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1908test sharing\"/>
    </mc:Choice>
  </mc:AlternateContent>
  <xr:revisionPtr revIDLastSave="0" documentId="8_{56B425D9-556E-4273-90E0-50AF166EC08B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Dashboard" sheetId="1" r:id="rId1"/>
    <sheet name="Ramesh" sheetId="2" r:id="rId2"/>
    <sheet name="Suresh" sheetId="3" r:id="rId3"/>
    <sheet name="Mahesh" sheetId="4" r:id="rId4"/>
  </sheets>
  <definedNames>
    <definedName name="_xlnm.Print_Area" localSheetId="3">Mahesh!$BD$10:$BQ$73</definedName>
    <definedName name="_xlnm.Print_Area" localSheetId="1">Ramesh!$BD$10:$BQ$73</definedName>
    <definedName name="_xlnm.Print_Area" localSheetId="2">Suresh!$BD$10:$BQ$73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4010" i="4" l="1"/>
  <c r="AZ4010" i="4"/>
  <c r="AY4010" i="4"/>
  <c r="BA4009" i="4"/>
  <c r="AZ4009" i="4"/>
  <c r="AY4009" i="4"/>
  <c r="BA4008" i="4"/>
  <c r="AZ4008" i="4"/>
  <c r="AY4008" i="4"/>
  <c r="BA4007" i="4"/>
  <c r="AZ4007" i="4"/>
  <c r="AY4007" i="4"/>
  <c r="BA4006" i="4"/>
  <c r="AZ4006" i="4"/>
  <c r="AY4006" i="4"/>
  <c r="BA4005" i="4"/>
  <c r="AZ4005" i="4"/>
  <c r="AY4005" i="4"/>
  <c r="BA4004" i="4"/>
  <c r="AZ4004" i="4"/>
  <c r="AY4004" i="4"/>
  <c r="BA4003" i="4"/>
  <c r="AZ4003" i="4"/>
  <c r="AY4003" i="4"/>
  <c r="BA4002" i="4"/>
  <c r="AZ4002" i="4"/>
  <c r="AY4002" i="4"/>
  <c r="BA4001" i="4"/>
  <c r="AZ4001" i="4"/>
  <c r="AY4001" i="4"/>
  <c r="BA4000" i="4"/>
  <c r="AZ4000" i="4"/>
  <c r="AY4000" i="4"/>
  <c r="BA3999" i="4"/>
  <c r="AZ3999" i="4"/>
  <c r="AY3999" i="4"/>
  <c r="BA3998" i="4"/>
  <c r="AZ3998" i="4"/>
  <c r="AY3998" i="4"/>
  <c r="BA3997" i="4"/>
  <c r="AZ3997" i="4"/>
  <c r="AY3997" i="4"/>
  <c r="BA3996" i="4"/>
  <c r="AZ3996" i="4"/>
  <c r="AY3996" i="4"/>
  <c r="BA3995" i="4"/>
  <c r="AZ3995" i="4"/>
  <c r="AY3995" i="4"/>
  <c r="BA3994" i="4"/>
  <c r="AZ3994" i="4"/>
  <c r="AY3994" i="4"/>
  <c r="BA3993" i="4"/>
  <c r="AZ3993" i="4"/>
  <c r="AY3993" i="4"/>
  <c r="BA3992" i="4"/>
  <c r="AZ3992" i="4"/>
  <c r="AY3992" i="4"/>
  <c r="BA3991" i="4"/>
  <c r="AZ3991" i="4"/>
  <c r="AY3991" i="4"/>
  <c r="BA3990" i="4"/>
  <c r="AZ3990" i="4"/>
  <c r="AY3990" i="4"/>
  <c r="BA3989" i="4"/>
  <c r="AZ3989" i="4"/>
  <c r="AY3989" i="4"/>
  <c r="BA3988" i="4"/>
  <c r="AZ3988" i="4"/>
  <c r="AY3988" i="4"/>
  <c r="BA3987" i="4"/>
  <c r="AZ3987" i="4"/>
  <c r="AY3987" i="4"/>
  <c r="BA3986" i="4"/>
  <c r="AZ3986" i="4"/>
  <c r="AY3986" i="4"/>
  <c r="BA3985" i="4"/>
  <c r="AZ3985" i="4"/>
  <c r="AY3985" i="4"/>
  <c r="BA3984" i="4"/>
  <c r="AZ3984" i="4"/>
  <c r="AY3984" i="4"/>
  <c r="BA3983" i="4"/>
  <c r="AZ3983" i="4"/>
  <c r="AY3983" i="4"/>
  <c r="BA3982" i="4"/>
  <c r="AZ3982" i="4"/>
  <c r="AY3982" i="4"/>
  <c r="BA3981" i="4"/>
  <c r="AZ3981" i="4"/>
  <c r="AY3981" i="4"/>
  <c r="BA3980" i="4"/>
  <c r="AZ3980" i="4"/>
  <c r="AY3980" i="4"/>
  <c r="BA3979" i="4"/>
  <c r="AZ3979" i="4"/>
  <c r="AY3979" i="4"/>
  <c r="BA3978" i="4"/>
  <c r="AZ3978" i="4"/>
  <c r="AY3978" i="4"/>
  <c r="BA3977" i="4"/>
  <c r="AZ3977" i="4"/>
  <c r="AY3977" i="4"/>
  <c r="BA3976" i="4"/>
  <c r="AZ3976" i="4"/>
  <c r="AY3976" i="4"/>
  <c r="BA3975" i="4"/>
  <c r="AZ3975" i="4"/>
  <c r="AY3975" i="4"/>
  <c r="BA3974" i="4"/>
  <c r="AZ3974" i="4"/>
  <c r="AY3974" i="4"/>
  <c r="BA3973" i="4"/>
  <c r="AZ3973" i="4"/>
  <c r="AY3973" i="4"/>
  <c r="BA3972" i="4"/>
  <c r="AZ3972" i="4"/>
  <c r="AY3972" i="4"/>
  <c r="BA3971" i="4"/>
  <c r="AZ3971" i="4"/>
  <c r="AY3971" i="4"/>
  <c r="BA3970" i="4"/>
  <c r="AZ3970" i="4"/>
  <c r="AY3970" i="4"/>
  <c r="BA3969" i="4"/>
  <c r="AZ3969" i="4"/>
  <c r="AY3969" i="4"/>
  <c r="BA3968" i="4"/>
  <c r="AZ3968" i="4"/>
  <c r="AY3968" i="4"/>
  <c r="BA3967" i="4"/>
  <c r="AZ3967" i="4"/>
  <c r="AY3967" i="4"/>
  <c r="BA3966" i="4"/>
  <c r="AZ3966" i="4"/>
  <c r="AY3966" i="4"/>
  <c r="BA3965" i="4"/>
  <c r="AZ3965" i="4"/>
  <c r="AY3965" i="4"/>
  <c r="BA3964" i="4"/>
  <c r="AZ3964" i="4"/>
  <c r="AY3964" i="4"/>
  <c r="BA3963" i="4"/>
  <c r="AZ3963" i="4"/>
  <c r="AY3963" i="4"/>
  <c r="BA3962" i="4"/>
  <c r="AZ3962" i="4"/>
  <c r="AY3962" i="4"/>
  <c r="BA3961" i="4"/>
  <c r="AZ3961" i="4"/>
  <c r="AY3961" i="4"/>
  <c r="BA3960" i="4"/>
  <c r="AZ3960" i="4"/>
  <c r="AY3960" i="4"/>
  <c r="BA3959" i="4"/>
  <c r="AZ3959" i="4"/>
  <c r="AY3959" i="4"/>
  <c r="BA3958" i="4"/>
  <c r="AZ3958" i="4"/>
  <c r="AY3958" i="4"/>
  <c r="BA3957" i="4"/>
  <c r="AZ3957" i="4"/>
  <c r="AY3957" i="4"/>
  <c r="BA3956" i="4"/>
  <c r="AZ3956" i="4"/>
  <c r="AY3956" i="4"/>
  <c r="BA3955" i="4"/>
  <c r="AZ3955" i="4"/>
  <c r="AY3955" i="4"/>
  <c r="BA3954" i="4"/>
  <c r="AZ3954" i="4"/>
  <c r="AY3954" i="4"/>
  <c r="BA3953" i="4"/>
  <c r="AZ3953" i="4"/>
  <c r="AY3953" i="4"/>
  <c r="BA3952" i="4"/>
  <c r="AZ3952" i="4"/>
  <c r="AY3952" i="4"/>
  <c r="BA3951" i="4"/>
  <c r="AZ3951" i="4"/>
  <c r="AY3951" i="4"/>
  <c r="BA3950" i="4"/>
  <c r="AZ3950" i="4"/>
  <c r="AY3950" i="4"/>
  <c r="BA3949" i="4"/>
  <c r="AZ3949" i="4"/>
  <c r="AY3949" i="4"/>
  <c r="BA3948" i="4"/>
  <c r="AZ3948" i="4"/>
  <c r="AY3948" i="4"/>
  <c r="BA3947" i="4"/>
  <c r="AZ3947" i="4"/>
  <c r="AY3947" i="4"/>
  <c r="BA3946" i="4"/>
  <c r="AZ3946" i="4"/>
  <c r="AY3946" i="4"/>
  <c r="BA3945" i="4"/>
  <c r="AZ3945" i="4"/>
  <c r="AY3945" i="4"/>
  <c r="BA3944" i="4"/>
  <c r="AZ3944" i="4"/>
  <c r="AY3944" i="4"/>
  <c r="BA3943" i="4"/>
  <c r="AZ3943" i="4"/>
  <c r="AY3943" i="4"/>
  <c r="BA3942" i="4"/>
  <c r="AZ3942" i="4"/>
  <c r="AY3942" i="4"/>
  <c r="BA3941" i="4"/>
  <c r="AZ3941" i="4"/>
  <c r="AY3941" i="4"/>
  <c r="BA3940" i="4"/>
  <c r="AZ3940" i="4"/>
  <c r="AY3940" i="4"/>
  <c r="BA3939" i="4"/>
  <c r="AZ3939" i="4"/>
  <c r="AY3939" i="4"/>
  <c r="BA3938" i="4"/>
  <c r="AZ3938" i="4"/>
  <c r="AY3938" i="4"/>
  <c r="BA3937" i="4"/>
  <c r="AZ3937" i="4"/>
  <c r="AY3937" i="4"/>
  <c r="BA3936" i="4"/>
  <c r="AZ3936" i="4"/>
  <c r="AY3936" i="4"/>
  <c r="BA3935" i="4"/>
  <c r="AZ3935" i="4"/>
  <c r="AY3935" i="4"/>
  <c r="BA3934" i="4"/>
  <c r="AZ3934" i="4"/>
  <c r="AY3934" i="4"/>
  <c r="BA3933" i="4"/>
  <c r="AZ3933" i="4"/>
  <c r="AY3933" i="4"/>
  <c r="BA3932" i="4"/>
  <c r="AZ3932" i="4"/>
  <c r="AY3932" i="4"/>
  <c r="BA3931" i="4"/>
  <c r="AZ3931" i="4"/>
  <c r="AY3931" i="4"/>
  <c r="BA3930" i="4"/>
  <c r="AZ3930" i="4"/>
  <c r="AY3930" i="4"/>
  <c r="BA3929" i="4"/>
  <c r="AZ3929" i="4"/>
  <c r="AY3929" i="4"/>
  <c r="BA3928" i="4"/>
  <c r="AZ3928" i="4"/>
  <c r="AY3928" i="4"/>
  <c r="BA3927" i="4"/>
  <c r="AZ3927" i="4"/>
  <c r="AY3927" i="4"/>
  <c r="BA3926" i="4"/>
  <c r="AZ3926" i="4"/>
  <c r="AY3926" i="4"/>
  <c r="BA3925" i="4"/>
  <c r="AZ3925" i="4"/>
  <c r="AY3925" i="4"/>
  <c r="BA3924" i="4"/>
  <c r="AZ3924" i="4"/>
  <c r="AY3924" i="4"/>
  <c r="BA3923" i="4"/>
  <c r="AZ3923" i="4"/>
  <c r="AY3923" i="4"/>
  <c r="BA3922" i="4"/>
  <c r="AZ3922" i="4"/>
  <c r="AY3922" i="4"/>
  <c r="BA3921" i="4"/>
  <c r="AZ3921" i="4"/>
  <c r="AY3921" i="4"/>
  <c r="BA3920" i="4"/>
  <c r="AZ3920" i="4"/>
  <c r="AY3920" i="4"/>
  <c r="BA3919" i="4"/>
  <c r="AZ3919" i="4"/>
  <c r="AY3919" i="4"/>
  <c r="BA3918" i="4"/>
  <c r="AZ3918" i="4"/>
  <c r="AY3918" i="4"/>
  <c r="BA3917" i="4"/>
  <c r="AZ3917" i="4"/>
  <c r="AY3917" i="4"/>
  <c r="BA3916" i="4"/>
  <c r="AZ3916" i="4"/>
  <c r="AY3916" i="4"/>
  <c r="BA3915" i="4"/>
  <c r="AZ3915" i="4"/>
  <c r="AY3915" i="4"/>
  <c r="BA3914" i="4"/>
  <c r="AZ3914" i="4"/>
  <c r="AY3914" i="4"/>
  <c r="BA3913" i="4"/>
  <c r="AZ3913" i="4"/>
  <c r="AY3913" i="4"/>
  <c r="BA3912" i="4"/>
  <c r="AZ3912" i="4"/>
  <c r="AY3912" i="4"/>
  <c r="BA3911" i="4"/>
  <c r="AZ3911" i="4"/>
  <c r="AY3911" i="4"/>
  <c r="BA3910" i="4"/>
  <c r="AZ3910" i="4"/>
  <c r="AY3910" i="4"/>
  <c r="BA3909" i="4"/>
  <c r="AZ3909" i="4"/>
  <c r="AY3909" i="4"/>
  <c r="BA3908" i="4"/>
  <c r="AZ3908" i="4"/>
  <c r="AY3908" i="4"/>
  <c r="BA3907" i="4"/>
  <c r="AZ3907" i="4"/>
  <c r="AY3907" i="4"/>
  <c r="BA3906" i="4"/>
  <c r="AZ3906" i="4"/>
  <c r="AY3906" i="4"/>
  <c r="BA3905" i="4"/>
  <c r="AZ3905" i="4"/>
  <c r="AY3905" i="4"/>
  <c r="BA3904" i="4"/>
  <c r="AZ3904" i="4"/>
  <c r="AY3904" i="4"/>
  <c r="BA3903" i="4"/>
  <c r="AZ3903" i="4"/>
  <c r="AY3903" i="4"/>
  <c r="BA3902" i="4"/>
  <c r="AZ3902" i="4"/>
  <c r="AY3902" i="4"/>
  <c r="BA3901" i="4"/>
  <c r="AZ3901" i="4"/>
  <c r="AY3901" i="4"/>
  <c r="BA3900" i="4"/>
  <c r="AZ3900" i="4"/>
  <c r="AY3900" i="4"/>
  <c r="BA3899" i="4"/>
  <c r="AZ3899" i="4"/>
  <c r="AY3899" i="4"/>
  <c r="BA3898" i="4"/>
  <c r="AZ3898" i="4"/>
  <c r="AY3898" i="4"/>
  <c r="BA3897" i="4"/>
  <c r="AZ3897" i="4"/>
  <c r="AY3897" i="4"/>
  <c r="BA3896" i="4"/>
  <c r="AZ3896" i="4"/>
  <c r="AY3896" i="4"/>
  <c r="BA3895" i="4"/>
  <c r="AZ3895" i="4"/>
  <c r="AY3895" i="4"/>
  <c r="BA3894" i="4"/>
  <c r="AZ3894" i="4"/>
  <c r="AY3894" i="4"/>
  <c r="BA3893" i="4"/>
  <c r="AZ3893" i="4"/>
  <c r="AY3893" i="4"/>
  <c r="BA3892" i="4"/>
  <c r="AZ3892" i="4"/>
  <c r="AY3892" i="4"/>
  <c r="BA3891" i="4"/>
  <c r="AZ3891" i="4"/>
  <c r="AY3891" i="4"/>
  <c r="BA3890" i="4"/>
  <c r="AZ3890" i="4"/>
  <c r="AY3890" i="4"/>
  <c r="BA3889" i="4"/>
  <c r="AZ3889" i="4"/>
  <c r="AY3889" i="4"/>
  <c r="BA3888" i="4"/>
  <c r="AZ3888" i="4"/>
  <c r="AY3888" i="4"/>
  <c r="BA3887" i="4"/>
  <c r="AZ3887" i="4"/>
  <c r="AY3887" i="4"/>
  <c r="BA3886" i="4"/>
  <c r="AZ3886" i="4"/>
  <c r="AY3886" i="4"/>
  <c r="BA3885" i="4"/>
  <c r="AZ3885" i="4"/>
  <c r="AY3885" i="4"/>
  <c r="BA3884" i="4"/>
  <c r="AZ3884" i="4"/>
  <c r="AY3884" i="4"/>
  <c r="BA3883" i="4"/>
  <c r="AZ3883" i="4"/>
  <c r="AY3883" i="4"/>
  <c r="BA3882" i="4"/>
  <c r="AZ3882" i="4"/>
  <c r="AY3882" i="4"/>
  <c r="BA3881" i="4"/>
  <c r="AZ3881" i="4"/>
  <c r="AY3881" i="4"/>
  <c r="BA3880" i="4"/>
  <c r="AZ3880" i="4"/>
  <c r="AY3880" i="4"/>
  <c r="BA3879" i="4"/>
  <c r="AZ3879" i="4"/>
  <c r="AY3879" i="4"/>
  <c r="BA3878" i="4"/>
  <c r="AZ3878" i="4"/>
  <c r="AY3878" i="4"/>
  <c r="BA3877" i="4"/>
  <c r="AZ3877" i="4"/>
  <c r="AY3877" i="4"/>
  <c r="BA3876" i="4"/>
  <c r="AZ3876" i="4"/>
  <c r="AY3876" i="4"/>
  <c r="BA3875" i="4"/>
  <c r="AZ3875" i="4"/>
  <c r="AY3875" i="4"/>
  <c r="BA3874" i="4"/>
  <c r="AZ3874" i="4"/>
  <c r="AY3874" i="4"/>
  <c r="BA3873" i="4"/>
  <c r="AZ3873" i="4"/>
  <c r="AY3873" i="4"/>
  <c r="BA3872" i="4"/>
  <c r="AZ3872" i="4"/>
  <c r="AY3872" i="4"/>
  <c r="BA3871" i="4"/>
  <c r="AZ3871" i="4"/>
  <c r="AY3871" i="4"/>
  <c r="BA3870" i="4"/>
  <c r="AZ3870" i="4"/>
  <c r="AY3870" i="4"/>
  <c r="BA3869" i="4"/>
  <c r="AZ3869" i="4"/>
  <c r="AY3869" i="4"/>
  <c r="BA3868" i="4"/>
  <c r="AZ3868" i="4"/>
  <c r="AY3868" i="4"/>
  <c r="BA3867" i="4"/>
  <c r="AZ3867" i="4"/>
  <c r="AY3867" i="4"/>
  <c r="BA3866" i="4"/>
  <c r="AZ3866" i="4"/>
  <c r="AY3866" i="4"/>
  <c r="BA3865" i="4"/>
  <c r="AZ3865" i="4"/>
  <c r="AY3865" i="4"/>
  <c r="BA3864" i="4"/>
  <c r="AZ3864" i="4"/>
  <c r="AY3864" i="4"/>
  <c r="BA3863" i="4"/>
  <c r="AZ3863" i="4"/>
  <c r="AY3863" i="4"/>
  <c r="BA3862" i="4"/>
  <c r="AZ3862" i="4"/>
  <c r="AY3862" i="4"/>
  <c r="BA3861" i="4"/>
  <c r="AZ3861" i="4"/>
  <c r="AY3861" i="4"/>
  <c r="BA3860" i="4"/>
  <c r="AZ3860" i="4"/>
  <c r="AY3860" i="4"/>
  <c r="BA3859" i="4"/>
  <c r="AZ3859" i="4"/>
  <c r="AY3859" i="4"/>
  <c r="BA3858" i="4"/>
  <c r="AZ3858" i="4"/>
  <c r="AY3858" i="4"/>
  <c r="BA3857" i="4"/>
  <c r="AZ3857" i="4"/>
  <c r="AY3857" i="4"/>
  <c r="BA3856" i="4"/>
  <c r="AZ3856" i="4"/>
  <c r="AY3856" i="4"/>
  <c r="BA3855" i="4"/>
  <c r="AZ3855" i="4"/>
  <c r="AY3855" i="4"/>
  <c r="BA3854" i="4"/>
  <c r="AZ3854" i="4"/>
  <c r="AY3854" i="4"/>
  <c r="BA3853" i="4"/>
  <c r="AZ3853" i="4"/>
  <c r="AY3853" i="4"/>
  <c r="BA3852" i="4"/>
  <c r="AZ3852" i="4"/>
  <c r="AY3852" i="4"/>
  <c r="BA3851" i="4"/>
  <c r="AZ3851" i="4"/>
  <c r="AY3851" i="4"/>
  <c r="BA3850" i="4"/>
  <c r="AZ3850" i="4"/>
  <c r="AY3850" i="4"/>
  <c r="BA3849" i="4"/>
  <c r="AZ3849" i="4"/>
  <c r="AY3849" i="4"/>
  <c r="BA3848" i="4"/>
  <c r="AZ3848" i="4"/>
  <c r="AY3848" i="4"/>
  <c r="BA3847" i="4"/>
  <c r="AZ3847" i="4"/>
  <c r="AY3847" i="4"/>
  <c r="BA3846" i="4"/>
  <c r="AZ3846" i="4"/>
  <c r="AY3846" i="4"/>
  <c r="BA3845" i="4"/>
  <c r="AZ3845" i="4"/>
  <c r="AY3845" i="4"/>
  <c r="BA3844" i="4"/>
  <c r="AZ3844" i="4"/>
  <c r="AY3844" i="4"/>
  <c r="BA3843" i="4"/>
  <c r="AZ3843" i="4"/>
  <c r="AY3843" i="4"/>
  <c r="BA3842" i="4"/>
  <c r="AZ3842" i="4"/>
  <c r="AY3842" i="4"/>
  <c r="BA3841" i="4"/>
  <c r="AZ3841" i="4"/>
  <c r="AY3841" i="4"/>
  <c r="BA3840" i="4"/>
  <c r="AZ3840" i="4"/>
  <c r="AY3840" i="4"/>
  <c r="BA3839" i="4"/>
  <c r="AZ3839" i="4"/>
  <c r="AY3839" i="4"/>
  <c r="BA3838" i="4"/>
  <c r="AZ3838" i="4"/>
  <c r="AY3838" i="4"/>
  <c r="BA3837" i="4"/>
  <c r="AZ3837" i="4"/>
  <c r="AY3837" i="4"/>
  <c r="BA3836" i="4"/>
  <c r="AZ3836" i="4"/>
  <c r="AY3836" i="4"/>
  <c r="BA3835" i="4"/>
  <c r="AZ3835" i="4"/>
  <c r="AY3835" i="4"/>
  <c r="BA3834" i="4"/>
  <c r="AZ3834" i="4"/>
  <c r="AY3834" i="4"/>
  <c r="BA3833" i="4"/>
  <c r="AZ3833" i="4"/>
  <c r="AY3833" i="4"/>
  <c r="BA3832" i="4"/>
  <c r="AZ3832" i="4"/>
  <c r="AY3832" i="4"/>
  <c r="BA3831" i="4"/>
  <c r="AZ3831" i="4"/>
  <c r="AY3831" i="4"/>
  <c r="BA3830" i="4"/>
  <c r="AZ3830" i="4"/>
  <c r="AY3830" i="4"/>
  <c r="BA3829" i="4"/>
  <c r="AZ3829" i="4"/>
  <c r="AY3829" i="4"/>
  <c r="BA3828" i="4"/>
  <c r="AZ3828" i="4"/>
  <c r="AY3828" i="4"/>
  <c r="BA3827" i="4"/>
  <c r="AZ3827" i="4"/>
  <c r="AY3827" i="4"/>
  <c r="BA3826" i="4"/>
  <c r="AZ3826" i="4"/>
  <c r="AY3826" i="4"/>
  <c r="BA3825" i="4"/>
  <c r="AZ3825" i="4"/>
  <c r="AY3825" i="4"/>
  <c r="BA3824" i="4"/>
  <c r="AZ3824" i="4"/>
  <c r="AY3824" i="4"/>
  <c r="BA3823" i="4"/>
  <c r="AZ3823" i="4"/>
  <c r="AY3823" i="4"/>
  <c r="BA3822" i="4"/>
  <c r="AZ3822" i="4"/>
  <c r="AY3822" i="4"/>
  <c r="BA3821" i="4"/>
  <c r="AZ3821" i="4"/>
  <c r="AY3821" i="4"/>
  <c r="BA3820" i="4"/>
  <c r="AZ3820" i="4"/>
  <c r="AY3820" i="4"/>
  <c r="BA3819" i="4"/>
  <c r="AZ3819" i="4"/>
  <c r="AY3819" i="4"/>
  <c r="BA3818" i="4"/>
  <c r="AZ3818" i="4"/>
  <c r="AY3818" i="4"/>
  <c r="BA3817" i="4"/>
  <c r="AZ3817" i="4"/>
  <c r="AY3817" i="4"/>
  <c r="BA3816" i="4"/>
  <c r="AZ3816" i="4"/>
  <c r="AY3816" i="4"/>
  <c r="BA3815" i="4"/>
  <c r="AZ3815" i="4"/>
  <c r="AY3815" i="4"/>
  <c r="BA3814" i="4"/>
  <c r="AZ3814" i="4"/>
  <c r="AY3814" i="4"/>
  <c r="BA3813" i="4"/>
  <c r="AZ3813" i="4"/>
  <c r="AY3813" i="4"/>
  <c r="BA3812" i="4"/>
  <c r="AZ3812" i="4"/>
  <c r="AY3812" i="4"/>
  <c r="BA3811" i="4"/>
  <c r="AZ3811" i="4"/>
  <c r="AY3811" i="4"/>
  <c r="BA3810" i="4"/>
  <c r="AZ3810" i="4"/>
  <c r="AY3810" i="4"/>
  <c r="BA3809" i="4"/>
  <c r="AZ3809" i="4"/>
  <c r="AY3809" i="4"/>
  <c r="BA3808" i="4"/>
  <c r="AZ3808" i="4"/>
  <c r="AY3808" i="4"/>
  <c r="BA3807" i="4"/>
  <c r="AZ3807" i="4"/>
  <c r="AY3807" i="4"/>
  <c r="BA3806" i="4"/>
  <c r="AZ3806" i="4"/>
  <c r="AY3806" i="4"/>
  <c r="BA3805" i="4"/>
  <c r="AZ3805" i="4"/>
  <c r="AY3805" i="4"/>
  <c r="BA3804" i="4"/>
  <c r="AZ3804" i="4"/>
  <c r="AY3804" i="4"/>
  <c r="BA3803" i="4"/>
  <c r="AZ3803" i="4"/>
  <c r="AY3803" i="4"/>
  <c r="BA3802" i="4"/>
  <c r="AZ3802" i="4"/>
  <c r="AY3802" i="4"/>
  <c r="BA3801" i="4"/>
  <c r="AZ3801" i="4"/>
  <c r="AY3801" i="4"/>
  <c r="BA3800" i="4"/>
  <c r="AZ3800" i="4"/>
  <c r="AY3800" i="4"/>
  <c r="BA3799" i="4"/>
  <c r="AZ3799" i="4"/>
  <c r="AY3799" i="4"/>
  <c r="BA3798" i="4"/>
  <c r="AZ3798" i="4"/>
  <c r="AY3798" i="4"/>
  <c r="BA3797" i="4"/>
  <c r="AZ3797" i="4"/>
  <c r="AY3797" i="4"/>
  <c r="BA3796" i="4"/>
  <c r="AZ3796" i="4"/>
  <c r="AY3796" i="4"/>
  <c r="BA3795" i="4"/>
  <c r="AZ3795" i="4"/>
  <c r="AY3795" i="4"/>
  <c r="BA3794" i="4"/>
  <c r="AZ3794" i="4"/>
  <c r="AY3794" i="4"/>
  <c r="BA3793" i="4"/>
  <c r="AZ3793" i="4"/>
  <c r="AY3793" i="4"/>
  <c r="BA3792" i="4"/>
  <c r="AZ3792" i="4"/>
  <c r="AY3792" i="4"/>
  <c r="BA3791" i="4"/>
  <c r="AZ3791" i="4"/>
  <c r="AY3791" i="4"/>
  <c r="BA3790" i="4"/>
  <c r="AZ3790" i="4"/>
  <c r="AY3790" i="4"/>
  <c r="BA3789" i="4"/>
  <c r="AZ3789" i="4"/>
  <c r="AY3789" i="4"/>
  <c r="BA3788" i="4"/>
  <c r="AZ3788" i="4"/>
  <c r="AY3788" i="4"/>
  <c r="BA3787" i="4"/>
  <c r="AZ3787" i="4"/>
  <c r="AY3787" i="4"/>
  <c r="BA3786" i="4"/>
  <c r="AZ3786" i="4"/>
  <c r="AY3786" i="4"/>
  <c r="BA3785" i="4"/>
  <c r="AZ3785" i="4"/>
  <c r="AY3785" i="4"/>
  <c r="BA3784" i="4"/>
  <c r="AZ3784" i="4"/>
  <c r="AY3784" i="4"/>
  <c r="BA3783" i="4"/>
  <c r="AZ3783" i="4"/>
  <c r="AY3783" i="4"/>
  <c r="BA3782" i="4"/>
  <c r="AZ3782" i="4"/>
  <c r="AY3782" i="4"/>
  <c r="BA3781" i="4"/>
  <c r="AZ3781" i="4"/>
  <c r="AY3781" i="4"/>
  <c r="BA3780" i="4"/>
  <c r="AZ3780" i="4"/>
  <c r="AY3780" i="4"/>
  <c r="BA3779" i="4"/>
  <c r="AZ3779" i="4"/>
  <c r="AY3779" i="4"/>
  <c r="BA3778" i="4"/>
  <c r="AZ3778" i="4"/>
  <c r="AY3778" i="4"/>
  <c r="BA3777" i="4"/>
  <c r="AZ3777" i="4"/>
  <c r="AY3777" i="4"/>
  <c r="BA3776" i="4"/>
  <c r="AZ3776" i="4"/>
  <c r="AY3776" i="4"/>
  <c r="BA3775" i="4"/>
  <c r="AZ3775" i="4"/>
  <c r="AY3775" i="4"/>
  <c r="BA3774" i="4"/>
  <c r="AZ3774" i="4"/>
  <c r="AY3774" i="4"/>
  <c r="BA3773" i="4"/>
  <c r="AZ3773" i="4"/>
  <c r="AY3773" i="4"/>
  <c r="BA3772" i="4"/>
  <c r="AZ3772" i="4"/>
  <c r="AY3772" i="4"/>
  <c r="BA3771" i="4"/>
  <c r="AZ3771" i="4"/>
  <c r="AY3771" i="4"/>
  <c r="BA3770" i="4"/>
  <c r="AZ3770" i="4"/>
  <c r="AY3770" i="4"/>
  <c r="BA3769" i="4"/>
  <c r="AZ3769" i="4"/>
  <c r="AY3769" i="4"/>
  <c r="BA3768" i="4"/>
  <c r="AZ3768" i="4"/>
  <c r="AY3768" i="4"/>
  <c r="BA3767" i="4"/>
  <c r="AZ3767" i="4"/>
  <c r="AY3767" i="4"/>
  <c r="BA3766" i="4"/>
  <c r="AZ3766" i="4"/>
  <c r="AY3766" i="4"/>
  <c r="BA3765" i="4"/>
  <c r="AZ3765" i="4"/>
  <c r="AY3765" i="4"/>
  <c r="BA3764" i="4"/>
  <c r="AZ3764" i="4"/>
  <c r="AY3764" i="4"/>
  <c r="BA3763" i="4"/>
  <c r="AZ3763" i="4"/>
  <c r="AY3763" i="4"/>
  <c r="BA3762" i="4"/>
  <c r="AZ3762" i="4"/>
  <c r="AY3762" i="4"/>
  <c r="BA3761" i="4"/>
  <c r="AZ3761" i="4"/>
  <c r="AY3761" i="4"/>
  <c r="BA3760" i="4"/>
  <c r="AZ3760" i="4"/>
  <c r="AY3760" i="4"/>
  <c r="BA3759" i="4"/>
  <c r="AZ3759" i="4"/>
  <c r="AY3759" i="4"/>
  <c r="BA3758" i="4"/>
  <c r="AZ3758" i="4"/>
  <c r="AY3758" i="4"/>
  <c r="BA3757" i="4"/>
  <c r="AZ3757" i="4"/>
  <c r="AY3757" i="4"/>
  <c r="BA3756" i="4"/>
  <c r="AZ3756" i="4"/>
  <c r="AY3756" i="4"/>
  <c r="BA3755" i="4"/>
  <c r="AZ3755" i="4"/>
  <c r="AY3755" i="4"/>
  <c r="BA3754" i="4"/>
  <c r="AZ3754" i="4"/>
  <c r="AY3754" i="4"/>
  <c r="BA3753" i="4"/>
  <c r="AZ3753" i="4"/>
  <c r="AY3753" i="4"/>
  <c r="BA3752" i="4"/>
  <c r="AZ3752" i="4"/>
  <c r="AY3752" i="4"/>
  <c r="BA3751" i="4"/>
  <c r="AZ3751" i="4"/>
  <c r="AY3751" i="4"/>
  <c r="BA3750" i="4"/>
  <c r="AZ3750" i="4"/>
  <c r="AY3750" i="4"/>
  <c r="BA3749" i="4"/>
  <c r="AZ3749" i="4"/>
  <c r="AY3749" i="4"/>
  <c r="BA3748" i="4"/>
  <c r="AZ3748" i="4"/>
  <c r="AY3748" i="4"/>
  <c r="BA3747" i="4"/>
  <c r="AZ3747" i="4"/>
  <c r="AY3747" i="4"/>
  <c r="BA3746" i="4"/>
  <c r="AZ3746" i="4"/>
  <c r="AY3746" i="4"/>
  <c r="BA3745" i="4"/>
  <c r="AZ3745" i="4"/>
  <c r="AY3745" i="4"/>
  <c r="BA3744" i="4"/>
  <c r="AZ3744" i="4"/>
  <c r="AY3744" i="4"/>
  <c r="BA3743" i="4"/>
  <c r="AZ3743" i="4"/>
  <c r="AY3743" i="4"/>
  <c r="BA3742" i="4"/>
  <c r="AZ3742" i="4"/>
  <c r="AY3742" i="4"/>
  <c r="BA3741" i="4"/>
  <c r="AZ3741" i="4"/>
  <c r="AY3741" i="4"/>
  <c r="BA3740" i="4"/>
  <c r="AZ3740" i="4"/>
  <c r="AY3740" i="4"/>
  <c r="BA3739" i="4"/>
  <c r="AZ3739" i="4"/>
  <c r="AY3739" i="4"/>
  <c r="BA3738" i="4"/>
  <c r="AZ3738" i="4"/>
  <c r="AY3738" i="4"/>
  <c r="BA3737" i="4"/>
  <c r="AZ3737" i="4"/>
  <c r="AY3737" i="4"/>
  <c r="BA3736" i="4"/>
  <c r="AZ3736" i="4"/>
  <c r="AY3736" i="4"/>
  <c r="BA3735" i="4"/>
  <c r="AZ3735" i="4"/>
  <c r="AY3735" i="4"/>
  <c r="BA3734" i="4"/>
  <c r="AZ3734" i="4"/>
  <c r="AY3734" i="4"/>
  <c r="BA3733" i="4"/>
  <c r="AZ3733" i="4"/>
  <c r="AY3733" i="4"/>
  <c r="BA3732" i="4"/>
  <c r="AZ3732" i="4"/>
  <c r="AY3732" i="4"/>
  <c r="BA3731" i="4"/>
  <c r="AZ3731" i="4"/>
  <c r="AY3731" i="4"/>
  <c r="BA3730" i="4"/>
  <c r="AZ3730" i="4"/>
  <c r="AY3730" i="4"/>
  <c r="BA3729" i="4"/>
  <c r="AZ3729" i="4"/>
  <c r="AY3729" i="4"/>
  <c r="BA3728" i="4"/>
  <c r="AZ3728" i="4"/>
  <c r="AY3728" i="4"/>
  <c r="BA3727" i="4"/>
  <c r="AZ3727" i="4"/>
  <c r="AY3727" i="4"/>
  <c r="BA3726" i="4"/>
  <c r="AZ3726" i="4"/>
  <c r="AY3726" i="4"/>
  <c r="BA3725" i="4"/>
  <c r="AZ3725" i="4"/>
  <c r="AY3725" i="4"/>
  <c r="BA3724" i="4"/>
  <c r="AZ3724" i="4"/>
  <c r="AY3724" i="4"/>
  <c r="BA3723" i="4"/>
  <c r="AZ3723" i="4"/>
  <c r="AY3723" i="4"/>
  <c r="BA3722" i="4"/>
  <c r="AZ3722" i="4"/>
  <c r="AY3722" i="4"/>
  <c r="BA3721" i="4"/>
  <c r="AZ3721" i="4"/>
  <c r="AY3721" i="4"/>
  <c r="BA3720" i="4"/>
  <c r="AZ3720" i="4"/>
  <c r="AY3720" i="4"/>
  <c r="BA3719" i="4"/>
  <c r="AZ3719" i="4"/>
  <c r="AY3719" i="4"/>
  <c r="BA3718" i="4"/>
  <c r="AZ3718" i="4"/>
  <c r="AY3718" i="4"/>
  <c r="BA3717" i="4"/>
  <c r="AZ3717" i="4"/>
  <c r="AY3717" i="4"/>
  <c r="BA3716" i="4"/>
  <c r="AZ3716" i="4"/>
  <c r="AY3716" i="4"/>
  <c r="BA3715" i="4"/>
  <c r="AZ3715" i="4"/>
  <c r="AY3715" i="4"/>
  <c r="BA3714" i="4"/>
  <c r="AZ3714" i="4"/>
  <c r="AY3714" i="4"/>
  <c r="BA3713" i="4"/>
  <c r="AZ3713" i="4"/>
  <c r="AY3713" i="4"/>
  <c r="BA3712" i="4"/>
  <c r="AZ3712" i="4"/>
  <c r="AY3712" i="4"/>
  <c r="BA3711" i="4"/>
  <c r="AZ3711" i="4"/>
  <c r="AY3711" i="4"/>
  <c r="BA3710" i="4"/>
  <c r="AZ3710" i="4"/>
  <c r="AY3710" i="4"/>
  <c r="BA3709" i="4"/>
  <c r="AZ3709" i="4"/>
  <c r="AY3709" i="4"/>
  <c r="BA3708" i="4"/>
  <c r="AZ3708" i="4"/>
  <c r="AY3708" i="4"/>
  <c r="BA3707" i="4"/>
  <c r="AZ3707" i="4"/>
  <c r="AY3707" i="4"/>
  <c r="BA3706" i="4"/>
  <c r="AZ3706" i="4"/>
  <c r="AY3706" i="4"/>
  <c r="BA3705" i="4"/>
  <c r="AZ3705" i="4"/>
  <c r="AY3705" i="4"/>
  <c r="BA3704" i="4"/>
  <c r="AZ3704" i="4"/>
  <c r="AY3704" i="4"/>
  <c r="BA3703" i="4"/>
  <c r="AZ3703" i="4"/>
  <c r="AY3703" i="4"/>
  <c r="BA3702" i="4"/>
  <c r="AZ3702" i="4"/>
  <c r="AY3702" i="4"/>
  <c r="BA3701" i="4"/>
  <c r="AZ3701" i="4"/>
  <c r="AY3701" i="4"/>
  <c r="BA3700" i="4"/>
  <c r="AZ3700" i="4"/>
  <c r="AY3700" i="4"/>
  <c r="BA3699" i="4"/>
  <c r="AZ3699" i="4"/>
  <c r="AY3699" i="4"/>
  <c r="AV3699" i="4"/>
  <c r="BA3698" i="4"/>
  <c r="AZ3698" i="4"/>
  <c r="AY3698" i="4"/>
  <c r="AV3698" i="4"/>
  <c r="BA3697" i="4"/>
  <c r="AZ3697" i="4"/>
  <c r="AY3697" i="4"/>
  <c r="AV3697" i="4"/>
  <c r="BA3696" i="4"/>
  <c r="AZ3696" i="4"/>
  <c r="AY3696" i="4"/>
  <c r="AV3696" i="4"/>
  <c r="BA3695" i="4"/>
  <c r="AZ3695" i="4"/>
  <c r="AY3695" i="4"/>
  <c r="AV3695" i="4"/>
  <c r="BA3694" i="4"/>
  <c r="AZ3694" i="4"/>
  <c r="AY3694" i="4"/>
  <c r="AV3694" i="4"/>
  <c r="BA3693" i="4"/>
  <c r="AZ3693" i="4"/>
  <c r="AY3693" i="4"/>
  <c r="AV3693" i="4"/>
  <c r="BA3692" i="4"/>
  <c r="AZ3692" i="4"/>
  <c r="AY3692" i="4"/>
  <c r="AV3692" i="4"/>
  <c r="BA3691" i="4"/>
  <c r="AZ3691" i="4"/>
  <c r="AY3691" i="4"/>
  <c r="AV3691" i="4"/>
  <c r="BA3690" i="4"/>
  <c r="AZ3690" i="4"/>
  <c r="AY3690" i="4"/>
  <c r="AV3690" i="4"/>
  <c r="BA3689" i="4"/>
  <c r="AZ3689" i="4"/>
  <c r="AY3689" i="4"/>
  <c r="AV3689" i="4"/>
  <c r="BA3688" i="4"/>
  <c r="AZ3688" i="4"/>
  <c r="AY3688" i="4"/>
  <c r="AV3688" i="4"/>
  <c r="BA3687" i="4"/>
  <c r="AZ3687" i="4"/>
  <c r="AY3687" i="4"/>
  <c r="AV3687" i="4"/>
  <c r="BA3686" i="4"/>
  <c r="AZ3686" i="4"/>
  <c r="AY3686" i="4"/>
  <c r="AV3686" i="4"/>
  <c r="BA3685" i="4"/>
  <c r="AZ3685" i="4"/>
  <c r="AY3685" i="4"/>
  <c r="AV3685" i="4"/>
  <c r="BA3684" i="4"/>
  <c r="AZ3684" i="4"/>
  <c r="AY3684" i="4"/>
  <c r="AV3684" i="4"/>
  <c r="BA3683" i="4"/>
  <c r="AZ3683" i="4"/>
  <c r="AY3683" i="4"/>
  <c r="AV3683" i="4"/>
  <c r="BA3682" i="4"/>
  <c r="AZ3682" i="4"/>
  <c r="AY3682" i="4"/>
  <c r="AV3682" i="4"/>
  <c r="BA3681" i="4"/>
  <c r="AZ3681" i="4"/>
  <c r="AY3681" i="4"/>
  <c r="AV3681" i="4"/>
  <c r="BA3680" i="4"/>
  <c r="AZ3680" i="4"/>
  <c r="AY3680" i="4"/>
  <c r="AV3680" i="4"/>
  <c r="BA3679" i="4"/>
  <c r="AZ3679" i="4"/>
  <c r="AY3679" i="4"/>
  <c r="AV3679" i="4"/>
  <c r="BA3678" i="4"/>
  <c r="AZ3678" i="4"/>
  <c r="AY3678" i="4"/>
  <c r="AV3678" i="4"/>
  <c r="BA3677" i="4"/>
  <c r="AZ3677" i="4"/>
  <c r="AY3677" i="4"/>
  <c r="AV3677" i="4"/>
  <c r="BA3676" i="4"/>
  <c r="AZ3676" i="4"/>
  <c r="AY3676" i="4"/>
  <c r="AV3676" i="4"/>
  <c r="BA3675" i="4"/>
  <c r="AZ3675" i="4"/>
  <c r="AY3675" i="4"/>
  <c r="AV3675" i="4"/>
  <c r="BA3674" i="4"/>
  <c r="AZ3674" i="4"/>
  <c r="AY3674" i="4"/>
  <c r="AV3674" i="4"/>
  <c r="BA3673" i="4"/>
  <c r="AZ3673" i="4"/>
  <c r="AY3673" i="4"/>
  <c r="AV3673" i="4"/>
  <c r="BA3672" i="4"/>
  <c r="AZ3672" i="4"/>
  <c r="AY3672" i="4"/>
  <c r="AV3672" i="4"/>
  <c r="BA3671" i="4"/>
  <c r="AZ3671" i="4"/>
  <c r="AY3671" i="4"/>
  <c r="AV3671" i="4"/>
  <c r="BA3670" i="4"/>
  <c r="AZ3670" i="4"/>
  <c r="AY3670" i="4"/>
  <c r="AV3670" i="4"/>
  <c r="BA3669" i="4"/>
  <c r="AZ3669" i="4"/>
  <c r="AY3669" i="4"/>
  <c r="AV3669" i="4"/>
  <c r="BA3668" i="4"/>
  <c r="AZ3668" i="4"/>
  <c r="AY3668" i="4"/>
  <c r="AV3668" i="4"/>
  <c r="BA3667" i="4"/>
  <c r="AZ3667" i="4"/>
  <c r="AY3667" i="4"/>
  <c r="AV3667" i="4"/>
  <c r="BA3666" i="4"/>
  <c r="AZ3666" i="4"/>
  <c r="AY3666" i="4"/>
  <c r="AV3666" i="4"/>
  <c r="BA3665" i="4"/>
  <c r="AZ3665" i="4"/>
  <c r="AY3665" i="4"/>
  <c r="AV3665" i="4"/>
  <c r="BA3664" i="4"/>
  <c r="AZ3664" i="4"/>
  <c r="AY3664" i="4"/>
  <c r="AV3664" i="4"/>
  <c r="BA3663" i="4"/>
  <c r="AZ3663" i="4"/>
  <c r="AY3663" i="4"/>
  <c r="AV3663" i="4"/>
  <c r="BA3662" i="4"/>
  <c r="AZ3662" i="4"/>
  <c r="AY3662" i="4"/>
  <c r="AV3662" i="4"/>
  <c r="BA3661" i="4"/>
  <c r="AZ3661" i="4"/>
  <c r="AY3661" i="4"/>
  <c r="AV3661" i="4"/>
  <c r="BA3660" i="4"/>
  <c r="AZ3660" i="4"/>
  <c r="AY3660" i="4"/>
  <c r="AV3660" i="4"/>
  <c r="BA3659" i="4"/>
  <c r="AZ3659" i="4"/>
  <c r="AY3659" i="4"/>
  <c r="AV3659" i="4"/>
  <c r="BA3658" i="4"/>
  <c r="AZ3658" i="4"/>
  <c r="AY3658" i="4"/>
  <c r="AV3658" i="4"/>
  <c r="BA3657" i="4"/>
  <c r="AZ3657" i="4"/>
  <c r="AY3657" i="4"/>
  <c r="AV3657" i="4"/>
  <c r="BA3656" i="4"/>
  <c r="AZ3656" i="4"/>
  <c r="AY3656" i="4"/>
  <c r="AV3656" i="4"/>
  <c r="BA3655" i="4"/>
  <c r="AZ3655" i="4"/>
  <c r="AY3655" i="4"/>
  <c r="AV3655" i="4"/>
  <c r="BA3654" i="4"/>
  <c r="AZ3654" i="4"/>
  <c r="AY3654" i="4"/>
  <c r="AV3654" i="4"/>
  <c r="BA3653" i="4"/>
  <c r="AZ3653" i="4"/>
  <c r="AY3653" i="4"/>
  <c r="AV3653" i="4"/>
  <c r="BA3652" i="4"/>
  <c r="AZ3652" i="4"/>
  <c r="AY3652" i="4"/>
  <c r="AV3652" i="4"/>
  <c r="BA3651" i="4"/>
  <c r="AZ3651" i="4"/>
  <c r="AY3651" i="4"/>
  <c r="AV3651" i="4"/>
  <c r="BA3650" i="4"/>
  <c r="AZ3650" i="4"/>
  <c r="AY3650" i="4"/>
  <c r="AV3650" i="4"/>
  <c r="BA3649" i="4"/>
  <c r="AZ3649" i="4"/>
  <c r="AY3649" i="4"/>
  <c r="AV3649" i="4"/>
  <c r="BA3648" i="4"/>
  <c r="AZ3648" i="4"/>
  <c r="AY3648" i="4"/>
  <c r="AV3648" i="4"/>
  <c r="BA3647" i="4"/>
  <c r="AZ3647" i="4"/>
  <c r="AY3647" i="4"/>
  <c r="AV3647" i="4"/>
  <c r="BA3646" i="4"/>
  <c r="AZ3646" i="4"/>
  <c r="AY3646" i="4"/>
  <c r="AV3646" i="4"/>
  <c r="BA3645" i="4"/>
  <c r="AZ3645" i="4"/>
  <c r="AY3645" i="4"/>
  <c r="AV3645" i="4"/>
  <c r="BA3644" i="4"/>
  <c r="AZ3644" i="4"/>
  <c r="AY3644" i="4"/>
  <c r="AV3644" i="4"/>
  <c r="BA3643" i="4"/>
  <c r="AZ3643" i="4"/>
  <c r="AY3643" i="4"/>
  <c r="AV3643" i="4"/>
  <c r="BA3642" i="4"/>
  <c r="AZ3642" i="4"/>
  <c r="AY3642" i="4"/>
  <c r="AV3642" i="4"/>
  <c r="BA3641" i="4"/>
  <c r="AZ3641" i="4"/>
  <c r="AY3641" i="4"/>
  <c r="AV3641" i="4"/>
  <c r="BA3640" i="4"/>
  <c r="AZ3640" i="4"/>
  <c r="AY3640" i="4"/>
  <c r="AV3640" i="4"/>
  <c r="BA3639" i="4"/>
  <c r="AZ3639" i="4"/>
  <c r="AY3639" i="4"/>
  <c r="AV3639" i="4"/>
  <c r="BA3638" i="4"/>
  <c r="AZ3638" i="4"/>
  <c r="AY3638" i="4"/>
  <c r="AV3638" i="4"/>
  <c r="BA3637" i="4"/>
  <c r="AZ3637" i="4"/>
  <c r="AY3637" i="4"/>
  <c r="AV3637" i="4"/>
  <c r="BA3636" i="4"/>
  <c r="AZ3636" i="4"/>
  <c r="AY3636" i="4"/>
  <c r="AV3636" i="4"/>
  <c r="BA3635" i="4"/>
  <c r="AZ3635" i="4"/>
  <c r="AY3635" i="4"/>
  <c r="AV3635" i="4"/>
  <c r="BA3634" i="4"/>
  <c r="AZ3634" i="4"/>
  <c r="AY3634" i="4"/>
  <c r="AV3634" i="4"/>
  <c r="BA3633" i="4"/>
  <c r="AZ3633" i="4"/>
  <c r="AY3633" i="4"/>
  <c r="AV3633" i="4"/>
  <c r="BA3632" i="4"/>
  <c r="AZ3632" i="4"/>
  <c r="AY3632" i="4"/>
  <c r="AV3632" i="4"/>
  <c r="BA3631" i="4"/>
  <c r="AZ3631" i="4"/>
  <c r="AY3631" i="4"/>
  <c r="AV3631" i="4"/>
  <c r="BA3630" i="4"/>
  <c r="AZ3630" i="4"/>
  <c r="AY3630" i="4"/>
  <c r="AV3630" i="4"/>
  <c r="BA3629" i="4"/>
  <c r="AZ3629" i="4"/>
  <c r="AY3629" i="4"/>
  <c r="AV3629" i="4"/>
  <c r="BA3628" i="4"/>
  <c r="AZ3628" i="4"/>
  <c r="AY3628" i="4"/>
  <c r="AV3628" i="4"/>
  <c r="BA3627" i="4"/>
  <c r="AZ3627" i="4"/>
  <c r="AY3627" i="4"/>
  <c r="AV3627" i="4"/>
  <c r="BA3626" i="4"/>
  <c r="AZ3626" i="4"/>
  <c r="AY3626" i="4"/>
  <c r="AV3626" i="4"/>
  <c r="BA3625" i="4"/>
  <c r="AZ3625" i="4"/>
  <c r="AY3625" i="4"/>
  <c r="AV3625" i="4"/>
  <c r="BA3624" i="4"/>
  <c r="AZ3624" i="4"/>
  <c r="AY3624" i="4"/>
  <c r="AV3624" i="4"/>
  <c r="BA3623" i="4"/>
  <c r="AZ3623" i="4"/>
  <c r="AY3623" i="4"/>
  <c r="AV3623" i="4"/>
  <c r="BA3622" i="4"/>
  <c r="AZ3622" i="4"/>
  <c r="AY3622" i="4"/>
  <c r="AV3622" i="4"/>
  <c r="BA3621" i="4"/>
  <c r="AZ3621" i="4"/>
  <c r="AY3621" i="4"/>
  <c r="AV3621" i="4"/>
  <c r="BA3620" i="4"/>
  <c r="AZ3620" i="4"/>
  <c r="AY3620" i="4"/>
  <c r="AV3620" i="4"/>
  <c r="BA3619" i="4"/>
  <c r="AZ3619" i="4"/>
  <c r="AY3619" i="4"/>
  <c r="AV3619" i="4"/>
  <c r="BA3618" i="4"/>
  <c r="AZ3618" i="4"/>
  <c r="AY3618" i="4"/>
  <c r="AV3618" i="4"/>
  <c r="BA3617" i="4"/>
  <c r="AZ3617" i="4"/>
  <c r="AY3617" i="4"/>
  <c r="AV3617" i="4"/>
  <c r="BA3616" i="4"/>
  <c r="AZ3616" i="4"/>
  <c r="AY3616" i="4"/>
  <c r="AV3616" i="4"/>
  <c r="BA3615" i="4"/>
  <c r="AZ3615" i="4"/>
  <c r="AY3615" i="4"/>
  <c r="AV3615" i="4"/>
  <c r="BA3614" i="4"/>
  <c r="AZ3614" i="4"/>
  <c r="AY3614" i="4"/>
  <c r="AV3614" i="4"/>
  <c r="BA3613" i="4"/>
  <c r="AZ3613" i="4"/>
  <c r="AY3613" i="4"/>
  <c r="AV3613" i="4"/>
  <c r="BA3612" i="4"/>
  <c r="AZ3612" i="4"/>
  <c r="AY3612" i="4"/>
  <c r="AV3612" i="4"/>
  <c r="BA3611" i="4"/>
  <c r="AZ3611" i="4"/>
  <c r="AY3611" i="4"/>
  <c r="AV3611" i="4"/>
  <c r="BA3610" i="4"/>
  <c r="AZ3610" i="4"/>
  <c r="AY3610" i="4"/>
  <c r="AV3610" i="4"/>
  <c r="BA3609" i="4"/>
  <c r="AZ3609" i="4"/>
  <c r="AY3609" i="4"/>
  <c r="AV3609" i="4"/>
  <c r="BA3608" i="4"/>
  <c r="AZ3608" i="4"/>
  <c r="AY3608" i="4"/>
  <c r="AV3608" i="4"/>
  <c r="BA3607" i="4"/>
  <c r="AZ3607" i="4"/>
  <c r="AY3607" i="4"/>
  <c r="AV3607" i="4"/>
  <c r="BA3606" i="4"/>
  <c r="AZ3606" i="4"/>
  <c r="AY3606" i="4"/>
  <c r="AV3606" i="4"/>
  <c r="BA3605" i="4"/>
  <c r="AZ3605" i="4"/>
  <c r="AY3605" i="4"/>
  <c r="AV3605" i="4"/>
  <c r="BA3604" i="4"/>
  <c r="AZ3604" i="4"/>
  <c r="AY3604" i="4"/>
  <c r="AV3604" i="4"/>
  <c r="BA3603" i="4"/>
  <c r="AZ3603" i="4"/>
  <c r="AY3603" i="4"/>
  <c r="AV3603" i="4"/>
  <c r="BA3602" i="4"/>
  <c r="AZ3602" i="4"/>
  <c r="AY3602" i="4"/>
  <c r="AV3602" i="4"/>
  <c r="BA3601" i="4"/>
  <c r="AZ3601" i="4"/>
  <c r="AY3601" i="4"/>
  <c r="AV3601" i="4"/>
  <c r="BA3600" i="4"/>
  <c r="AZ3600" i="4"/>
  <c r="AY3600" i="4"/>
  <c r="AV3600" i="4"/>
  <c r="BA3599" i="4"/>
  <c r="AZ3599" i="4"/>
  <c r="AY3599" i="4"/>
  <c r="AV3599" i="4"/>
  <c r="BA3598" i="4"/>
  <c r="AZ3598" i="4"/>
  <c r="AY3598" i="4"/>
  <c r="AV3598" i="4"/>
  <c r="BA3597" i="4"/>
  <c r="AZ3597" i="4"/>
  <c r="AY3597" i="4"/>
  <c r="AV3597" i="4"/>
  <c r="BA3596" i="4"/>
  <c r="AZ3596" i="4"/>
  <c r="AY3596" i="4"/>
  <c r="AV3596" i="4"/>
  <c r="BA3595" i="4"/>
  <c r="AZ3595" i="4"/>
  <c r="AY3595" i="4"/>
  <c r="AV3595" i="4"/>
  <c r="BA3594" i="4"/>
  <c r="AZ3594" i="4"/>
  <c r="AY3594" i="4"/>
  <c r="AV3594" i="4"/>
  <c r="BA3593" i="4"/>
  <c r="AZ3593" i="4"/>
  <c r="AY3593" i="4"/>
  <c r="AV3593" i="4"/>
  <c r="BA3592" i="4"/>
  <c r="AZ3592" i="4"/>
  <c r="AY3592" i="4"/>
  <c r="AV3592" i="4"/>
  <c r="BA3591" i="4"/>
  <c r="AZ3591" i="4"/>
  <c r="AY3591" i="4"/>
  <c r="AV3591" i="4"/>
  <c r="BA3590" i="4"/>
  <c r="AZ3590" i="4"/>
  <c r="AY3590" i="4"/>
  <c r="AV3590" i="4"/>
  <c r="BA3589" i="4"/>
  <c r="AZ3589" i="4"/>
  <c r="AY3589" i="4"/>
  <c r="AV3589" i="4"/>
  <c r="BA3588" i="4"/>
  <c r="AZ3588" i="4"/>
  <c r="AY3588" i="4"/>
  <c r="AV3588" i="4"/>
  <c r="BA3587" i="4"/>
  <c r="AZ3587" i="4"/>
  <c r="AY3587" i="4"/>
  <c r="AV3587" i="4"/>
  <c r="BA3586" i="4"/>
  <c r="AZ3586" i="4"/>
  <c r="AY3586" i="4"/>
  <c r="AV3586" i="4"/>
  <c r="BA3585" i="4"/>
  <c r="AZ3585" i="4"/>
  <c r="AY3585" i="4"/>
  <c r="AV3585" i="4"/>
  <c r="BA3584" i="4"/>
  <c r="AZ3584" i="4"/>
  <c r="AY3584" i="4"/>
  <c r="AV3584" i="4"/>
  <c r="BA3583" i="4"/>
  <c r="AZ3583" i="4"/>
  <c r="AY3583" i="4"/>
  <c r="AV3583" i="4"/>
  <c r="BA3582" i="4"/>
  <c r="AZ3582" i="4"/>
  <c r="AY3582" i="4"/>
  <c r="AV3582" i="4"/>
  <c r="BA3581" i="4"/>
  <c r="AZ3581" i="4"/>
  <c r="AY3581" i="4"/>
  <c r="AV3581" i="4"/>
  <c r="BA3580" i="4"/>
  <c r="AZ3580" i="4"/>
  <c r="AY3580" i="4"/>
  <c r="AV3580" i="4"/>
  <c r="BA3579" i="4"/>
  <c r="AZ3579" i="4"/>
  <c r="AY3579" i="4"/>
  <c r="AV3579" i="4"/>
  <c r="BA3578" i="4"/>
  <c r="AZ3578" i="4"/>
  <c r="AY3578" i="4"/>
  <c r="AV3578" i="4"/>
  <c r="BA3577" i="4"/>
  <c r="AZ3577" i="4"/>
  <c r="AY3577" i="4"/>
  <c r="AV3577" i="4"/>
  <c r="BA3576" i="4"/>
  <c r="AZ3576" i="4"/>
  <c r="AY3576" i="4"/>
  <c r="AV3576" i="4"/>
  <c r="BA3575" i="4"/>
  <c r="AZ3575" i="4"/>
  <c r="AY3575" i="4"/>
  <c r="AV3575" i="4"/>
  <c r="BA3574" i="4"/>
  <c r="AZ3574" i="4"/>
  <c r="AY3574" i="4"/>
  <c r="AV3574" i="4"/>
  <c r="BA3573" i="4"/>
  <c r="AZ3573" i="4"/>
  <c r="AY3573" i="4"/>
  <c r="AV3573" i="4"/>
  <c r="BA3572" i="4"/>
  <c r="AZ3572" i="4"/>
  <c r="AY3572" i="4"/>
  <c r="AV3572" i="4"/>
  <c r="BA3571" i="4"/>
  <c r="AZ3571" i="4"/>
  <c r="AY3571" i="4"/>
  <c r="AV3571" i="4"/>
  <c r="BA3570" i="4"/>
  <c r="AZ3570" i="4"/>
  <c r="AY3570" i="4"/>
  <c r="AV3570" i="4"/>
  <c r="BA3569" i="4"/>
  <c r="AZ3569" i="4"/>
  <c r="AY3569" i="4"/>
  <c r="AV3569" i="4"/>
  <c r="BA3568" i="4"/>
  <c r="AZ3568" i="4"/>
  <c r="AY3568" i="4"/>
  <c r="AV3568" i="4"/>
  <c r="BA3567" i="4"/>
  <c r="AZ3567" i="4"/>
  <c r="AY3567" i="4"/>
  <c r="AV3567" i="4"/>
  <c r="BA3566" i="4"/>
  <c r="AZ3566" i="4"/>
  <c r="AY3566" i="4"/>
  <c r="AV3566" i="4"/>
  <c r="BA3565" i="4"/>
  <c r="AZ3565" i="4"/>
  <c r="AY3565" i="4"/>
  <c r="AV3565" i="4"/>
  <c r="BA3564" i="4"/>
  <c r="AZ3564" i="4"/>
  <c r="AY3564" i="4"/>
  <c r="AV3564" i="4"/>
  <c r="BA3563" i="4"/>
  <c r="AZ3563" i="4"/>
  <c r="AY3563" i="4"/>
  <c r="AV3563" i="4"/>
  <c r="BA3562" i="4"/>
  <c r="AZ3562" i="4"/>
  <c r="AY3562" i="4"/>
  <c r="AV3562" i="4"/>
  <c r="BA3561" i="4"/>
  <c r="AZ3561" i="4"/>
  <c r="AY3561" i="4"/>
  <c r="AV3561" i="4"/>
  <c r="BA3560" i="4"/>
  <c r="AZ3560" i="4"/>
  <c r="AY3560" i="4"/>
  <c r="AV3560" i="4"/>
  <c r="BA3559" i="4"/>
  <c r="AZ3559" i="4"/>
  <c r="AY3559" i="4"/>
  <c r="AV3559" i="4"/>
  <c r="BA3558" i="4"/>
  <c r="AZ3558" i="4"/>
  <c r="AY3558" i="4"/>
  <c r="AV3558" i="4"/>
  <c r="BA3557" i="4"/>
  <c r="AZ3557" i="4"/>
  <c r="AY3557" i="4"/>
  <c r="AV3557" i="4"/>
  <c r="BA3556" i="4"/>
  <c r="AZ3556" i="4"/>
  <c r="AY3556" i="4"/>
  <c r="AV3556" i="4"/>
  <c r="BA3555" i="4"/>
  <c r="AZ3555" i="4"/>
  <c r="AY3555" i="4"/>
  <c r="AV3555" i="4"/>
  <c r="BA3554" i="4"/>
  <c r="AZ3554" i="4"/>
  <c r="AY3554" i="4"/>
  <c r="AV3554" i="4"/>
  <c r="BA3553" i="4"/>
  <c r="AZ3553" i="4"/>
  <c r="AY3553" i="4"/>
  <c r="AV3553" i="4"/>
  <c r="BA3552" i="4"/>
  <c r="AZ3552" i="4"/>
  <c r="AY3552" i="4"/>
  <c r="AV3552" i="4"/>
  <c r="BA3551" i="4"/>
  <c r="AZ3551" i="4"/>
  <c r="AY3551" i="4"/>
  <c r="AV3551" i="4"/>
  <c r="BA3550" i="4"/>
  <c r="AZ3550" i="4"/>
  <c r="AY3550" i="4"/>
  <c r="AV3550" i="4"/>
  <c r="BA3549" i="4"/>
  <c r="AZ3549" i="4"/>
  <c r="AY3549" i="4"/>
  <c r="AV3549" i="4"/>
  <c r="BA3548" i="4"/>
  <c r="AZ3548" i="4"/>
  <c r="AY3548" i="4"/>
  <c r="AV3548" i="4"/>
  <c r="BA3547" i="4"/>
  <c r="AZ3547" i="4"/>
  <c r="AY3547" i="4"/>
  <c r="AV3547" i="4"/>
  <c r="BA3546" i="4"/>
  <c r="AZ3546" i="4"/>
  <c r="AY3546" i="4"/>
  <c r="AV3546" i="4"/>
  <c r="BA3545" i="4"/>
  <c r="AZ3545" i="4"/>
  <c r="AY3545" i="4"/>
  <c r="AV3545" i="4"/>
  <c r="BA3544" i="4"/>
  <c r="AZ3544" i="4"/>
  <c r="AY3544" i="4"/>
  <c r="AV3544" i="4"/>
  <c r="BA3543" i="4"/>
  <c r="AZ3543" i="4"/>
  <c r="AY3543" i="4"/>
  <c r="AV3543" i="4"/>
  <c r="BA3542" i="4"/>
  <c r="AZ3542" i="4"/>
  <c r="AY3542" i="4"/>
  <c r="AV3542" i="4"/>
  <c r="BA3541" i="4"/>
  <c r="AZ3541" i="4"/>
  <c r="AY3541" i="4"/>
  <c r="AV3541" i="4"/>
  <c r="BA3540" i="4"/>
  <c r="AZ3540" i="4"/>
  <c r="AY3540" i="4"/>
  <c r="AV3540" i="4"/>
  <c r="BA3539" i="4"/>
  <c r="AZ3539" i="4"/>
  <c r="AY3539" i="4"/>
  <c r="AV3539" i="4"/>
  <c r="BA3538" i="4"/>
  <c r="AZ3538" i="4"/>
  <c r="AY3538" i="4"/>
  <c r="AV3538" i="4"/>
  <c r="BA3537" i="4"/>
  <c r="AZ3537" i="4"/>
  <c r="AY3537" i="4"/>
  <c r="AV3537" i="4"/>
  <c r="BA3536" i="4"/>
  <c r="AZ3536" i="4"/>
  <c r="AY3536" i="4"/>
  <c r="AV3536" i="4"/>
  <c r="BA3535" i="4"/>
  <c r="AZ3535" i="4"/>
  <c r="AY3535" i="4"/>
  <c r="AV3535" i="4"/>
  <c r="BA3534" i="4"/>
  <c r="AZ3534" i="4"/>
  <c r="AY3534" i="4"/>
  <c r="AV3534" i="4"/>
  <c r="BA3533" i="4"/>
  <c r="AZ3533" i="4"/>
  <c r="AY3533" i="4"/>
  <c r="AV3533" i="4"/>
  <c r="BA3532" i="4"/>
  <c r="AZ3532" i="4"/>
  <c r="AY3532" i="4"/>
  <c r="AV3532" i="4"/>
  <c r="BA3531" i="4"/>
  <c r="AZ3531" i="4"/>
  <c r="AY3531" i="4"/>
  <c r="AV3531" i="4"/>
  <c r="BA3530" i="4"/>
  <c r="AZ3530" i="4"/>
  <c r="AY3530" i="4"/>
  <c r="AV3530" i="4"/>
  <c r="BA3529" i="4"/>
  <c r="AZ3529" i="4"/>
  <c r="AY3529" i="4"/>
  <c r="AV3529" i="4"/>
  <c r="BA3528" i="4"/>
  <c r="AZ3528" i="4"/>
  <c r="AY3528" i="4"/>
  <c r="AV3528" i="4"/>
  <c r="BA3527" i="4"/>
  <c r="AZ3527" i="4"/>
  <c r="AY3527" i="4"/>
  <c r="AV3527" i="4"/>
  <c r="BA3526" i="4"/>
  <c r="AZ3526" i="4"/>
  <c r="AY3526" i="4"/>
  <c r="AV3526" i="4"/>
  <c r="BA3525" i="4"/>
  <c r="AZ3525" i="4"/>
  <c r="AY3525" i="4"/>
  <c r="AV3525" i="4"/>
  <c r="BA3524" i="4"/>
  <c r="AZ3524" i="4"/>
  <c r="AY3524" i="4"/>
  <c r="AV3524" i="4"/>
  <c r="BA3523" i="4"/>
  <c r="AZ3523" i="4"/>
  <c r="AY3523" i="4"/>
  <c r="AV3523" i="4"/>
  <c r="BA3522" i="4"/>
  <c r="AZ3522" i="4"/>
  <c r="AY3522" i="4"/>
  <c r="AV3522" i="4"/>
  <c r="BA3521" i="4"/>
  <c r="AZ3521" i="4"/>
  <c r="AY3521" i="4"/>
  <c r="AV3521" i="4"/>
  <c r="BA3520" i="4"/>
  <c r="AZ3520" i="4"/>
  <c r="AY3520" i="4"/>
  <c r="AV3520" i="4"/>
  <c r="BA3519" i="4"/>
  <c r="AZ3519" i="4"/>
  <c r="AY3519" i="4"/>
  <c r="AV3519" i="4"/>
  <c r="BA3518" i="4"/>
  <c r="AZ3518" i="4"/>
  <c r="AY3518" i="4"/>
  <c r="AV3518" i="4"/>
  <c r="BA3517" i="4"/>
  <c r="AZ3517" i="4"/>
  <c r="AY3517" i="4"/>
  <c r="AV3517" i="4"/>
  <c r="BA3516" i="4"/>
  <c r="AZ3516" i="4"/>
  <c r="AY3516" i="4"/>
  <c r="AV3516" i="4"/>
  <c r="BA3515" i="4"/>
  <c r="AZ3515" i="4"/>
  <c r="AY3515" i="4"/>
  <c r="AV3515" i="4"/>
  <c r="BA3514" i="4"/>
  <c r="AZ3514" i="4"/>
  <c r="AY3514" i="4"/>
  <c r="AV3514" i="4"/>
  <c r="BA3513" i="4"/>
  <c r="AZ3513" i="4"/>
  <c r="AY3513" i="4"/>
  <c r="AV3513" i="4"/>
  <c r="BA3512" i="4"/>
  <c r="AZ3512" i="4"/>
  <c r="AY3512" i="4"/>
  <c r="AV3512" i="4"/>
  <c r="BA3511" i="4"/>
  <c r="AZ3511" i="4"/>
  <c r="AY3511" i="4"/>
  <c r="AV3511" i="4"/>
  <c r="BA3510" i="4"/>
  <c r="AZ3510" i="4"/>
  <c r="AY3510" i="4"/>
  <c r="AV3510" i="4"/>
  <c r="BA3509" i="4"/>
  <c r="AZ3509" i="4"/>
  <c r="AY3509" i="4"/>
  <c r="AV3509" i="4"/>
  <c r="BA3508" i="4"/>
  <c r="AZ3508" i="4"/>
  <c r="AY3508" i="4"/>
  <c r="AV3508" i="4"/>
  <c r="BA3507" i="4"/>
  <c r="AZ3507" i="4"/>
  <c r="AY3507" i="4"/>
  <c r="AV3507" i="4"/>
  <c r="BA3506" i="4"/>
  <c r="AZ3506" i="4"/>
  <c r="AY3506" i="4"/>
  <c r="AV3506" i="4"/>
  <c r="BA3505" i="4"/>
  <c r="AZ3505" i="4"/>
  <c r="AY3505" i="4"/>
  <c r="AV3505" i="4"/>
  <c r="BA3504" i="4"/>
  <c r="AZ3504" i="4"/>
  <c r="AY3504" i="4"/>
  <c r="AV3504" i="4"/>
  <c r="BA3503" i="4"/>
  <c r="AZ3503" i="4"/>
  <c r="AY3503" i="4"/>
  <c r="AV3503" i="4"/>
  <c r="BA3502" i="4"/>
  <c r="AZ3502" i="4"/>
  <c r="AY3502" i="4"/>
  <c r="AV3502" i="4"/>
  <c r="BA3501" i="4"/>
  <c r="AZ3501" i="4"/>
  <c r="AY3501" i="4"/>
  <c r="AV3501" i="4"/>
  <c r="BA3500" i="4"/>
  <c r="AZ3500" i="4"/>
  <c r="AY3500" i="4"/>
  <c r="AV3500" i="4"/>
  <c r="BA3499" i="4"/>
  <c r="AZ3499" i="4"/>
  <c r="AY3499" i="4"/>
  <c r="AV3499" i="4"/>
  <c r="BA3498" i="4"/>
  <c r="AZ3498" i="4"/>
  <c r="AY3498" i="4"/>
  <c r="AV3498" i="4"/>
  <c r="BA3497" i="4"/>
  <c r="AZ3497" i="4"/>
  <c r="AY3497" i="4"/>
  <c r="AV3497" i="4"/>
  <c r="BA3496" i="4"/>
  <c r="AZ3496" i="4"/>
  <c r="AY3496" i="4"/>
  <c r="AV3496" i="4"/>
  <c r="BA3495" i="4"/>
  <c r="AZ3495" i="4"/>
  <c r="AY3495" i="4"/>
  <c r="AV3495" i="4"/>
  <c r="BA3494" i="4"/>
  <c r="AZ3494" i="4"/>
  <c r="AY3494" i="4"/>
  <c r="AV3494" i="4"/>
  <c r="BA3493" i="4"/>
  <c r="AZ3493" i="4"/>
  <c r="AY3493" i="4"/>
  <c r="AV3493" i="4"/>
  <c r="BA3492" i="4"/>
  <c r="AZ3492" i="4"/>
  <c r="AY3492" i="4"/>
  <c r="AV3492" i="4"/>
  <c r="BA3491" i="4"/>
  <c r="AZ3491" i="4"/>
  <c r="AY3491" i="4"/>
  <c r="AV3491" i="4"/>
  <c r="BA3490" i="4"/>
  <c r="AZ3490" i="4"/>
  <c r="AY3490" i="4"/>
  <c r="AV3490" i="4"/>
  <c r="BA3489" i="4"/>
  <c r="AZ3489" i="4"/>
  <c r="AY3489" i="4"/>
  <c r="AV3489" i="4"/>
  <c r="BA3488" i="4"/>
  <c r="AZ3488" i="4"/>
  <c r="AY3488" i="4"/>
  <c r="AV3488" i="4"/>
  <c r="BA3487" i="4"/>
  <c r="AZ3487" i="4"/>
  <c r="AY3487" i="4"/>
  <c r="AV3487" i="4"/>
  <c r="BA3486" i="4"/>
  <c r="AZ3486" i="4"/>
  <c r="AY3486" i="4"/>
  <c r="AV3486" i="4"/>
  <c r="BA3485" i="4"/>
  <c r="AZ3485" i="4"/>
  <c r="AY3485" i="4"/>
  <c r="AV3485" i="4"/>
  <c r="BA3484" i="4"/>
  <c r="AZ3484" i="4"/>
  <c r="AY3484" i="4"/>
  <c r="AV3484" i="4"/>
  <c r="BA3483" i="4"/>
  <c r="AZ3483" i="4"/>
  <c r="AY3483" i="4"/>
  <c r="AV3483" i="4"/>
  <c r="BA3482" i="4"/>
  <c r="AZ3482" i="4"/>
  <c r="AY3482" i="4"/>
  <c r="AV3482" i="4"/>
  <c r="BA3481" i="4"/>
  <c r="AZ3481" i="4"/>
  <c r="AY3481" i="4"/>
  <c r="AV3481" i="4"/>
  <c r="BA3480" i="4"/>
  <c r="AZ3480" i="4"/>
  <c r="AY3480" i="4"/>
  <c r="AV3480" i="4"/>
  <c r="BA3479" i="4"/>
  <c r="AZ3479" i="4"/>
  <c r="AY3479" i="4"/>
  <c r="AV3479" i="4"/>
  <c r="BA3478" i="4"/>
  <c r="AZ3478" i="4"/>
  <c r="AY3478" i="4"/>
  <c r="AV3478" i="4"/>
  <c r="BA3477" i="4"/>
  <c r="AZ3477" i="4"/>
  <c r="AY3477" i="4"/>
  <c r="AV3477" i="4"/>
  <c r="BA3476" i="4"/>
  <c r="AZ3476" i="4"/>
  <c r="AY3476" i="4"/>
  <c r="AV3476" i="4"/>
  <c r="BA3475" i="4"/>
  <c r="AZ3475" i="4"/>
  <c r="AY3475" i="4"/>
  <c r="AV3475" i="4"/>
  <c r="BA3474" i="4"/>
  <c r="AZ3474" i="4"/>
  <c r="AY3474" i="4"/>
  <c r="AV3474" i="4"/>
  <c r="BA3473" i="4"/>
  <c r="AZ3473" i="4"/>
  <c r="AY3473" i="4"/>
  <c r="AV3473" i="4"/>
  <c r="BA3472" i="4"/>
  <c r="AZ3472" i="4"/>
  <c r="AY3472" i="4"/>
  <c r="AV3472" i="4"/>
  <c r="BA3471" i="4"/>
  <c r="AZ3471" i="4"/>
  <c r="AY3471" i="4"/>
  <c r="AV3471" i="4"/>
  <c r="BA3470" i="4"/>
  <c r="AZ3470" i="4"/>
  <c r="AY3470" i="4"/>
  <c r="AV3470" i="4"/>
  <c r="BA3469" i="4"/>
  <c r="AZ3469" i="4"/>
  <c r="AY3469" i="4"/>
  <c r="AV3469" i="4"/>
  <c r="BA3468" i="4"/>
  <c r="AZ3468" i="4"/>
  <c r="AY3468" i="4"/>
  <c r="AV3468" i="4"/>
  <c r="BA3467" i="4"/>
  <c r="AZ3467" i="4"/>
  <c r="AY3467" i="4"/>
  <c r="AV3467" i="4"/>
  <c r="BA3466" i="4"/>
  <c r="AZ3466" i="4"/>
  <c r="AY3466" i="4"/>
  <c r="AV3466" i="4"/>
  <c r="BA3465" i="4"/>
  <c r="AZ3465" i="4"/>
  <c r="AY3465" i="4"/>
  <c r="AV3465" i="4"/>
  <c r="BA3464" i="4"/>
  <c r="AZ3464" i="4"/>
  <c r="AY3464" i="4"/>
  <c r="AV3464" i="4"/>
  <c r="BA3463" i="4"/>
  <c r="AZ3463" i="4"/>
  <c r="AY3463" i="4"/>
  <c r="AV3463" i="4"/>
  <c r="BA3462" i="4"/>
  <c r="AZ3462" i="4"/>
  <c r="AY3462" i="4"/>
  <c r="AV3462" i="4"/>
  <c r="BA3461" i="4"/>
  <c r="AZ3461" i="4"/>
  <c r="AY3461" i="4"/>
  <c r="AV3461" i="4"/>
  <c r="BA3460" i="4"/>
  <c r="AZ3460" i="4"/>
  <c r="AY3460" i="4"/>
  <c r="AV3460" i="4"/>
  <c r="BA3459" i="4"/>
  <c r="AZ3459" i="4"/>
  <c r="AY3459" i="4"/>
  <c r="AV3459" i="4"/>
  <c r="BA3458" i="4"/>
  <c r="AZ3458" i="4"/>
  <c r="AY3458" i="4"/>
  <c r="AV3458" i="4"/>
  <c r="BA3457" i="4"/>
  <c r="AZ3457" i="4"/>
  <c r="AY3457" i="4"/>
  <c r="AV3457" i="4"/>
  <c r="BA3456" i="4"/>
  <c r="AZ3456" i="4"/>
  <c r="AY3456" i="4"/>
  <c r="AV3456" i="4"/>
  <c r="BA3455" i="4"/>
  <c r="AZ3455" i="4"/>
  <c r="AY3455" i="4"/>
  <c r="AV3455" i="4"/>
  <c r="BA3454" i="4"/>
  <c r="AZ3454" i="4"/>
  <c r="AY3454" i="4"/>
  <c r="AV3454" i="4"/>
  <c r="BA3453" i="4"/>
  <c r="AZ3453" i="4"/>
  <c r="AY3453" i="4"/>
  <c r="AV3453" i="4"/>
  <c r="BA3452" i="4"/>
  <c r="AZ3452" i="4"/>
  <c r="AY3452" i="4"/>
  <c r="AV3452" i="4"/>
  <c r="BA3451" i="4"/>
  <c r="AZ3451" i="4"/>
  <c r="AY3451" i="4"/>
  <c r="AV3451" i="4"/>
  <c r="BA3450" i="4"/>
  <c r="AZ3450" i="4"/>
  <c r="AY3450" i="4"/>
  <c r="AV3450" i="4"/>
  <c r="BA3449" i="4"/>
  <c r="AZ3449" i="4"/>
  <c r="AY3449" i="4"/>
  <c r="AV3449" i="4"/>
  <c r="BA3448" i="4"/>
  <c r="AZ3448" i="4"/>
  <c r="AY3448" i="4"/>
  <c r="AV3448" i="4"/>
  <c r="BA3447" i="4"/>
  <c r="AZ3447" i="4"/>
  <c r="AY3447" i="4"/>
  <c r="AV3447" i="4"/>
  <c r="BA3446" i="4"/>
  <c r="AZ3446" i="4"/>
  <c r="AY3446" i="4"/>
  <c r="AV3446" i="4"/>
  <c r="BA3445" i="4"/>
  <c r="AZ3445" i="4"/>
  <c r="AY3445" i="4"/>
  <c r="AV3445" i="4"/>
  <c r="BA3444" i="4"/>
  <c r="AZ3444" i="4"/>
  <c r="AY3444" i="4"/>
  <c r="AV3444" i="4"/>
  <c r="BA3443" i="4"/>
  <c r="AZ3443" i="4"/>
  <c r="AY3443" i="4"/>
  <c r="AV3443" i="4"/>
  <c r="BA3442" i="4"/>
  <c r="AZ3442" i="4"/>
  <c r="AY3442" i="4"/>
  <c r="AV3442" i="4"/>
  <c r="BA3441" i="4"/>
  <c r="AZ3441" i="4"/>
  <c r="AY3441" i="4"/>
  <c r="AV3441" i="4"/>
  <c r="BA3440" i="4"/>
  <c r="AZ3440" i="4"/>
  <c r="AY3440" i="4"/>
  <c r="AV3440" i="4"/>
  <c r="BA3439" i="4"/>
  <c r="AZ3439" i="4"/>
  <c r="AY3439" i="4"/>
  <c r="AV3439" i="4"/>
  <c r="BA3438" i="4"/>
  <c r="AZ3438" i="4"/>
  <c r="AY3438" i="4"/>
  <c r="AV3438" i="4"/>
  <c r="BA3437" i="4"/>
  <c r="AZ3437" i="4"/>
  <c r="AY3437" i="4"/>
  <c r="AV3437" i="4"/>
  <c r="BA3436" i="4"/>
  <c r="AZ3436" i="4"/>
  <c r="AY3436" i="4"/>
  <c r="AV3436" i="4"/>
  <c r="BA3435" i="4"/>
  <c r="AZ3435" i="4"/>
  <c r="AY3435" i="4"/>
  <c r="AV3435" i="4"/>
  <c r="BA3434" i="4"/>
  <c r="AZ3434" i="4"/>
  <c r="AY3434" i="4"/>
  <c r="AV3434" i="4"/>
  <c r="BA3433" i="4"/>
  <c r="AZ3433" i="4"/>
  <c r="AY3433" i="4"/>
  <c r="AV3433" i="4"/>
  <c r="BA3432" i="4"/>
  <c r="AZ3432" i="4"/>
  <c r="AY3432" i="4"/>
  <c r="AV3432" i="4"/>
  <c r="BA3431" i="4"/>
  <c r="AZ3431" i="4"/>
  <c r="AY3431" i="4"/>
  <c r="AV3431" i="4"/>
  <c r="BA3430" i="4"/>
  <c r="AZ3430" i="4"/>
  <c r="AY3430" i="4"/>
  <c r="AV3430" i="4"/>
  <c r="BA3429" i="4"/>
  <c r="AZ3429" i="4"/>
  <c r="AY3429" i="4"/>
  <c r="AV3429" i="4"/>
  <c r="BA3428" i="4"/>
  <c r="AZ3428" i="4"/>
  <c r="AY3428" i="4"/>
  <c r="AV3428" i="4"/>
  <c r="BA3427" i="4"/>
  <c r="AZ3427" i="4"/>
  <c r="AY3427" i="4"/>
  <c r="AV3427" i="4"/>
  <c r="BA3426" i="4"/>
  <c r="AZ3426" i="4"/>
  <c r="AY3426" i="4"/>
  <c r="AV3426" i="4"/>
  <c r="BA3425" i="4"/>
  <c r="AZ3425" i="4"/>
  <c r="AY3425" i="4"/>
  <c r="AV3425" i="4"/>
  <c r="BA3424" i="4"/>
  <c r="AZ3424" i="4"/>
  <c r="AY3424" i="4"/>
  <c r="AV3424" i="4"/>
  <c r="BA3423" i="4"/>
  <c r="AZ3423" i="4"/>
  <c r="AY3423" i="4"/>
  <c r="AV3423" i="4"/>
  <c r="BA3422" i="4"/>
  <c r="AZ3422" i="4"/>
  <c r="AY3422" i="4"/>
  <c r="AV3422" i="4"/>
  <c r="BA3421" i="4"/>
  <c r="AZ3421" i="4"/>
  <c r="AY3421" i="4"/>
  <c r="AV3421" i="4"/>
  <c r="BA3420" i="4"/>
  <c r="AZ3420" i="4"/>
  <c r="AY3420" i="4"/>
  <c r="AV3420" i="4"/>
  <c r="BA3419" i="4"/>
  <c r="AZ3419" i="4"/>
  <c r="AY3419" i="4"/>
  <c r="AV3419" i="4"/>
  <c r="BA3418" i="4"/>
  <c r="AZ3418" i="4"/>
  <c r="AY3418" i="4"/>
  <c r="AV3418" i="4"/>
  <c r="BA3417" i="4"/>
  <c r="AZ3417" i="4"/>
  <c r="AY3417" i="4"/>
  <c r="AV3417" i="4"/>
  <c r="BA3416" i="4"/>
  <c r="AZ3416" i="4"/>
  <c r="AY3416" i="4"/>
  <c r="AV3416" i="4"/>
  <c r="BA3415" i="4"/>
  <c r="AZ3415" i="4"/>
  <c r="AY3415" i="4"/>
  <c r="AV3415" i="4"/>
  <c r="BA3414" i="4"/>
  <c r="AZ3414" i="4"/>
  <c r="AY3414" i="4"/>
  <c r="AV3414" i="4"/>
  <c r="BA3413" i="4"/>
  <c r="AZ3413" i="4"/>
  <c r="AY3413" i="4"/>
  <c r="AV3413" i="4"/>
  <c r="BA3412" i="4"/>
  <c r="AZ3412" i="4"/>
  <c r="AY3412" i="4"/>
  <c r="AV3412" i="4"/>
  <c r="BA3411" i="4"/>
  <c r="AZ3411" i="4"/>
  <c r="AY3411" i="4"/>
  <c r="AV3411" i="4"/>
  <c r="BA3410" i="4"/>
  <c r="AZ3410" i="4"/>
  <c r="AY3410" i="4"/>
  <c r="AV3410" i="4"/>
  <c r="BA3409" i="4"/>
  <c r="AZ3409" i="4"/>
  <c r="AY3409" i="4"/>
  <c r="AV3409" i="4"/>
  <c r="BA3408" i="4"/>
  <c r="AZ3408" i="4"/>
  <c r="AY3408" i="4"/>
  <c r="AV3408" i="4"/>
  <c r="BA3407" i="4"/>
  <c r="AZ3407" i="4"/>
  <c r="AY3407" i="4"/>
  <c r="AV3407" i="4"/>
  <c r="BA3406" i="4"/>
  <c r="AZ3406" i="4"/>
  <c r="AY3406" i="4"/>
  <c r="AV3406" i="4"/>
  <c r="BA3405" i="4"/>
  <c r="AZ3405" i="4"/>
  <c r="AY3405" i="4"/>
  <c r="AV3405" i="4"/>
  <c r="BA3404" i="4"/>
  <c r="AZ3404" i="4"/>
  <c r="AY3404" i="4"/>
  <c r="AV3404" i="4"/>
  <c r="BA3403" i="4"/>
  <c r="AZ3403" i="4"/>
  <c r="AY3403" i="4"/>
  <c r="AV3403" i="4"/>
  <c r="BA3402" i="4"/>
  <c r="AZ3402" i="4"/>
  <c r="AY3402" i="4"/>
  <c r="AV3402" i="4"/>
  <c r="BA3401" i="4"/>
  <c r="AZ3401" i="4"/>
  <c r="AY3401" i="4"/>
  <c r="AV3401" i="4"/>
  <c r="BA3400" i="4"/>
  <c r="AZ3400" i="4"/>
  <c r="AY3400" i="4"/>
  <c r="AV3400" i="4"/>
  <c r="BA3399" i="4"/>
  <c r="AZ3399" i="4"/>
  <c r="AY3399" i="4"/>
  <c r="AV3399" i="4"/>
  <c r="BA3398" i="4"/>
  <c r="AZ3398" i="4"/>
  <c r="AY3398" i="4"/>
  <c r="AV3398" i="4"/>
  <c r="BA3397" i="4"/>
  <c r="AZ3397" i="4"/>
  <c r="AY3397" i="4"/>
  <c r="AV3397" i="4"/>
  <c r="BA3396" i="4"/>
  <c r="AZ3396" i="4"/>
  <c r="AY3396" i="4"/>
  <c r="AV3396" i="4"/>
  <c r="BA3395" i="4"/>
  <c r="AZ3395" i="4"/>
  <c r="AY3395" i="4"/>
  <c r="AV3395" i="4"/>
  <c r="BA3394" i="4"/>
  <c r="AZ3394" i="4"/>
  <c r="AY3394" i="4"/>
  <c r="AV3394" i="4"/>
  <c r="BA3393" i="4"/>
  <c r="AZ3393" i="4"/>
  <c r="AY3393" i="4"/>
  <c r="AV3393" i="4"/>
  <c r="BA3392" i="4"/>
  <c r="AZ3392" i="4"/>
  <c r="AY3392" i="4"/>
  <c r="AV3392" i="4"/>
  <c r="BA3391" i="4"/>
  <c r="AZ3391" i="4"/>
  <c r="AY3391" i="4"/>
  <c r="AV3391" i="4"/>
  <c r="BA3390" i="4"/>
  <c r="AZ3390" i="4"/>
  <c r="AY3390" i="4"/>
  <c r="AV3390" i="4"/>
  <c r="BA3389" i="4"/>
  <c r="AZ3389" i="4"/>
  <c r="AY3389" i="4"/>
  <c r="AV3389" i="4"/>
  <c r="BA3388" i="4"/>
  <c r="AZ3388" i="4"/>
  <c r="AY3388" i="4"/>
  <c r="AV3388" i="4"/>
  <c r="BA3387" i="4"/>
  <c r="AZ3387" i="4"/>
  <c r="AY3387" i="4"/>
  <c r="AV3387" i="4"/>
  <c r="BA3386" i="4"/>
  <c r="AZ3386" i="4"/>
  <c r="AY3386" i="4"/>
  <c r="AV3386" i="4"/>
  <c r="BA3385" i="4"/>
  <c r="AZ3385" i="4"/>
  <c r="AY3385" i="4"/>
  <c r="AV3385" i="4"/>
  <c r="BA3384" i="4"/>
  <c r="AZ3384" i="4"/>
  <c r="AY3384" i="4"/>
  <c r="AV3384" i="4"/>
  <c r="BA3383" i="4"/>
  <c r="AZ3383" i="4"/>
  <c r="AY3383" i="4"/>
  <c r="AV3383" i="4"/>
  <c r="BA3382" i="4"/>
  <c r="AZ3382" i="4"/>
  <c r="AY3382" i="4"/>
  <c r="AV3382" i="4"/>
  <c r="BA3381" i="4"/>
  <c r="AZ3381" i="4"/>
  <c r="AY3381" i="4"/>
  <c r="AV3381" i="4"/>
  <c r="BA3380" i="4"/>
  <c r="AZ3380" i="4"/>
  <c r="AY3380" i="4"/>
  <c r="AV3380" i="4"/>
  <c r="BA3379" i="4"/>
  <c r="AZ3379" i="4"/>
  <c r="AY3379" i="4"/>
  <c r="AV3379" i="4"/>
  <c r="BA3378" i="4"/>
  <c r="AZ3378" i="4"/>
  <c r="AY3378" i="4"/>
  <c r="AV3378" i="4"/>
  <c r="BA3377" i="4"/>
  <c r="AZ3377" i="4"/>
  <c r="AY3377" i="4"/>
  <c r="AV3377" i="4"/>
  <c r="BA3376" i="4"/>
  <c r="AZ3376" i="4"/>
  <c r="AY3376" i="4"/>
  <c r="AV3376" i="4"/>
  <c r="BA3375" i="4"/>
  <c r="AZ3375" i="4"/>
  <c r="AY3375" i="4"/>
  <c r="AV3375" i="4"/>
  <c r="BA3374" i="4"/>
  <c r="AZ3374" i="4"/>
  <c r="AY3374" i="4"/>
  <c r="AV3374" i="4"/>
  <c r="BA3373" i="4"/>
  <c r="AZ3373" i="4"/>
  <c r="AY3373" i="4"/>
  <c r="AV3373" i="4"/>
  <c r="BA3372" i="4"/>
  <c r="AZ3372" i="4"/>
  <c r="AY3372" i="4"/>
  <c r="AV3372" i="4"/>
  <c r="BA3371" i="4"/>
  <c r="AZ3371" i="4"/>
  <c r="AY3371" i="4"/>
  <c r="AV3371" i="4"/>
  <c r="BA3370" i="4"/>
  <c r="AZ3370" i="4"/>
  <c r="AY3370" i="4"/>
  <c r="AV3370" i="4"/>
  <c r="BA3369" i="4"/>
  <c r="AZ3369" i="4"/>
  <c r="AY3369" i="4"/>
  <c r="AV3369" i="4"/>
  <c r="BA3368" i="4"/>
  <c r="AZ3368" i="4"/>
  <c r="AY3368" i="4"/>
  <c r="AV3368" i="4"/>
  <c r="BA3367" i="4"/>
  <c r="AZ3367" i="4"/>
  <c r="AY3367" i="4"/>
  <c r="AV3367" i="4"/>
  <c r="BA3366" i="4"/>
  <c r="AZ3366" i="4"/>
  <c r="AY3366" i="4"/>
  <c r="AV3366" i="4"/>
  <c r="BA3365" i="4"/>
  <c r="AZ3365" i="4"/>
  <c r="AY3365" i="4"/>
  <c r="AV3365" i="4"/>
  <c r="BA3364" i="4"/>
  <c r="AZ3364" i="4"/>
  <c r="AY3364" i="4"/>
  <c r="AV3364" i="4"/>
  <c r="BA3363" i="4"/>
  <c r="AZ3363" i="4"/>
  <c r="AY3363" i="4"/>
  <c r="AV3363" i="4"/>
  <c r="BA3362" i="4"/>
  <c r="AZ3362" i="4"/>
  <c r="AY3362" i="4"/>
  <c r="AV3362" i="4"/>
  <c r="BA3361" i="4"/>
  <c r="AZ3361" i="4"/>
  <c r="AY3361" i="4"/>
  <c r="AV3361" i="4"/>
  <c r="BA3360" i="4"/>
  <c r="AZ3360" i="4"/>
  <c r="AY3360" i="4"/>
  <c r="AV3360" i="4"/>
  <c r="BA3359" i="4"/>
  <c r="AZ3359" i="4"/>
  <c r="AY3359" i="4"/>
  <c r="AV3359" i="4"/>
  <c r="BA3358" i="4"/>
  <c r="AZ3358" i="4"/>
  <c r="AY3358" i="4"/>
  <c r="AV3358" i="4"/>
  <c r="BA3357" i="4"/>
  <c r="AZ3357" i="4"/>
  <c r="AY3357" i="4"/>
  <c r="AV3357" i="4"/>
  <c r="BA3356" i="4"/>
  <c r="AZ3356" i="4"/>
  <c r="AY3356" i="4"/>
  <c r="AV3356" i="4"/>
  <c r="BA3355" i="4"/>
  <c r="AZ3355" i="4"/>
  <c r="AY3355" i="4"/>
  <c r="AV3355" i="4"/>
  <c r="BA3354" i="4"/>
  <c r="AZ3354" i="4"/>
  <c r="AY3354" i="4"/>
  <c r="AV3354" i="4"/>
  <c r="BA3353" i="4"/>
  <c r="AZ3353" i="4"/>
  <c r="AY3353" i="4"/>
  <c r="AV3353" i="4"/>
  <c r="BA3352" i="4"/>
  <c r="AZ3352" i="4"/>
  <c r="AY3352" i="4"/>
  <c r="AV3352" i="4"/>
  <c r="BA3351" i="4"/>
  <c r="AZ3351" i="4"/>
  <c r="AY3351" i="4"/>
  <c r="AV3351" i="4"/>
  <c r="BA3350" i="4"/>
  <c r="AZ3350" i="4"/>
  <c r="AY3350" i="4"/>
  <c r="AV3350" i="4"/>
  <c r="BA3349" i="4"/>
  <c r="AZ3349" i="4"/>
  <c r="AY3349" i="4"/>
  <c r="AV3349" i="4"/>
  <c r="BA3348" i="4"/>
  <c r="AZ3348" i="4"/>
  <c r="AY3348" i="4"/>
  <c r="AV3348" i="4"/>
  <c r="BA3347" i="4"/>
  <c r="AZ3347" i="4"/>
  <c r="AY3347" i="4"/>
  <c r="AV3347" i="4"/>
  <c r="BA3346" i="4"/>
  <c r="AZ3346" i="4"/>
  <c r="AY3346" i="4"/>
  <c r="AV3346" i="4"/>
  <c r="BA3345" i="4"/>
  <c r="AZ3345" i="4"/>
  <c r="AY3345" i="4"/>
  <c r="AV3345" i="4"/>
  <c r="BA3344" i="4"/>
  <c r="AZ3344" i="4"/>
  <c r="AY3344" i="4"/>
  <c r="AV3344" i="4"/>
  <c r="BA3343" i="4"/>
  <c r="AZ3343" i="4"/>
  <c r="AY3343" i="4"/>
  <c r="AV3343" i="4"/>
  <c r="BA3342" i="4"/>
  <c r="AZ3342" i="4"/>
  <c r="AY3342" i="4"/>
  <c r="AV3342" i="4"/>
  <c r="BA3341" i="4"/>
  <c r="AZ3341" i="4"/>
  <c r="AY3341" i="4"/>
  <c r="AV3341" i="4"/>
  <c r="BA3340" i="4"/>
  <c r="AZ3340" i="4"/>
  <c r="AY3340" i="4"/>
  <c r="AV3340" i="4"/>
  <c r="BA3339" i="4"/>
  <c r="AZ3339" i="4"/>
  <c r="AY3339" i="4"/>
  <c r="AV3339" i="4"/>
  <c r="BA3338" i="4"/>
  <c r="AZ3338" i="4"/>
  <c r="AY3338" i="4"/>
  <c r="AV3338" i="4"/>
  <c r="BA3337" i="4"/>
  <c r="AZ3337" i="4"/>
  <c r="AY3337" i="4"/>
  <c r="AV3337" i="4"/>
  <c r="BA3336" i="4"/>
  <c r="AZ3336" i="4"/>
  <c r="AY3336" i="4"/>
  <c r="AV3336" i="4"/>
  <c r="BA3335" i="4"/>
  <c r="AZ3335" i="4"/>
  <c r="AY3335" i="4"/>
  <c r="AV3335" i="4"/>
  <c r="BA3334" i="4"/>
  <c r="AZ3334" i="4"/>
  <c r="AY3334" i="4"/>
  <c r="AV3334" i="4"/>
  <c r="BA3333" i="4"/>
  <c r="AZ3333" i="4"/>
  <c r="AY3333" i="4"/>
  <c r="AV3333" i="4"/>
  <c r="BA3332" i="4"/>
  <c r="AZ3332" i="4"/>
  <c r="AY3332" i="4"/>
  <c r="AV3332" i="4"/>
  <c r="BA3331" i="4"/>
  <c r="AZ3331" i="4"/>
  <c r="AY3331" i="4"/>
  <c r="AV3331" i="4"/>
  <c r="BA3330" i="4"/>
  <c r="AZ3330" i="4"/>
  <c r="AY3330" i="4"/>
  <c r="AV3330" i="4"/>
  <c r="BA3329" i="4"/>
  <c r="AZ3329" i="4"/>
  <c r="AY3329" i="4"/>
  <c r="AV3329" i="4"/>
  <c r="BA3328" i="4"/>
  <c r="AZ3328" i="4"/>
  <c r="AY3328" i="4"/>
  <c r="AV3328" i="4"/>
  <c r="BA3327" i="4"/>
  <c r="AZ3327" i="4"/>
  <c r="AY3327" i="4"/>
  <c r="AV3327" i="4"/>
  <c r="BA3326" i="4"/>
  <c r="AZ3326" i="4"/>
  <c r="AY3326" i="4"/>
  <c r="AV3326" i="4"/>
  <c r="BA3325" i="4"/>
  <c r="AZ3325" i="4"/>
  <c r="AY3325" i="4"/>
  <c r="AV3325" i="4"/>
  <c r="BA3324" i="4"/>
  <c r="AZ3324" i="4"/>
  <c r="AY3324" i="4"/>
  <c r="AV3324" i="4"/>
  <c r="BA3323" i="4"/>
  <c r="AZ3323" i="4"/>
  <c r="AY3323" i="4"/>
  <c r="AV3323" i="4"/>
  <c r="BA3322" i="4"/>
  <c r="AZ3322" i="4"/>
  <c r="AY3322" i="4"/>
  <c r="AV3322" i="4"/>
  <c r="BA3321" i="4"/>
  <c r="AZ3321" i="4"/>
  <c r="AY3321" i="4"/>
  <c r="AV3321" i="4"/>
  <c r="BA3320" i="4"/>
  <c r="AZ3320" i="4"/>
  <c r="AY3320" i="4"/>
  <c r="AV3320" i="4"/>
  <c r="BA3319" i="4"/>
  <c r="AZ3319" i="4"/>
  <c r="AY3319" i="4"/>
  <c r="AV3319" i="4"/>
  <c r="BA3318" i="4"/>
  <c r="AZ3318" i="4"/>
  <c r="AY3318" i="4"/>
  <c r="AV3318" i="4"/>
  <c r="BA3317" i="4"/>
  <c r="AZ3317" i="4"/>
  <c r="AY3317" i="4"/>
  <c r="AV3317" i="4"/>
  <c r="BA3316" i="4"/>
  <c r="AZ3316" i="4"/>
  <c r="AY3316" i="4"/>
  <c r="AV3316" i="4"/>
  <c r="BA3315" i="4"/>
  <c r="AZ3315" i="4"/>
  <c r="AY3315" i="4"/>
  <c r="AV3315" i="4"/>
  <c r="BA3314" i="4"/>
  <c r="AZ3314" i="4"/>
  <c r="AY3314" i="4"/>
  <c r="AV3314" i="4"/>
  <c r="BA3313" i="4"/>
  <c r="AZ3313" i="4"/>
  <c r="AY3313" i="4"/>
  <c r="AV3313" i="4"/>
  <c r="BA3312" i="4"/>
  <c r="AZ3312" i="4"/>
  <c r="AY3312" i="4"/>
  <c r="AV3312" i="4"/>
  <c r="BA3311" i="4"/>
  <c r="AZ3311" i="4"/>
  <c r="AY3311" i="4"/>
  <c r="AV3311" i="4"/>
  <c r="BA3310" i="4"/>
  <c r="AZ3310" i="4"/>
  <c r="AY3310" i="4"/>
  <c r="AV3310" i="4"/>
  <c r="BA3309" i="4"/>
  <c r="AZ3309" i="4"/>
  <c r="AY3309" i="4"/>
  <c r="AV3309" i="4"/>
  <c r="BA3308" i="4"/>
  <c r="AZ3308" i="4"/>
  <c r="AY3308" i="4"/>
  <c r="AV3308" i="4"/>
  <c r="BA3307" i="4"/>
  <c r="AZ3307" i="4"/>
  <c r="AY3307" i="4"/>
  <c r="AV3307" i="4"/>
  <c r="BA3306" i="4"/>
  <c r="AZ3306" i="4"/>
  <c r="AY3306" i="4"/>
  <c r="AV3306" i="4"/>
  <c r="BA3305" i="4"/>
  <c r="AZ3305" i="4"/>
  <c r="AY3305" i="4"/>
  <c r="AV3305" i="4"/>
  <c r="BA3304" i="4"/>
  <c r="AZ3304" i="4"/>
  <c r="AY3304" i="4"/>
  <c r="AV3304" i="4"/>
  <c r="BA3303" i="4"/>
  <c r="AZ3303" i="4"/>
  <c r="AY3303" i="4"/>
  <c r="AV3303" i="4"/>
  <c r="BA3302" i="4"/>
  <c r="AZ3302" i="4"/>
  <c r="AY3302" i="4"/>
  <c r="AV3302" i="4"/>
  <c r="BA3301" i="4"/>
  <c r="AZ3301" i="4"/>
  <c r="AY3301" i="4"/>
  <c r="AV3301" i="4"/>
  <c r="BA3300" i="4"/>
  <c r="AZ3300" i="4"/>
  <c r="AY3300" i="4"/>
  <c r="AV3300" i="4"/>
  <c r="BA3299" i="4"/>
  <c r="AZ3299" i="4"/>
  <c r="AY3299" i="4"/>
  <c r="AV3299" i="4"/>
  <c r="BA3298" i="4"/>
  <c r="AZ3298" i="4"/>
  <c r="AY3298" i="4"/>
  <c r="AV3298" i="4"/>
  <c r="BA3297" i="4"/>
  <c r="AZ3297" i="4"/>
  <c r="AY3297" i="4"/>
  <c r="AV3297" i="4"/>
  <c r="BA3296" i="4"/>
  <c r="AZ3296" i="4"/>
  <c r="AY3296" i="4"/>
  <c r="AV3296" i="4"/>
  <c r="BA3295" i="4"/>
  <c r="AZ3295" i="4"/>
  <c r="AY3295" i="4"/>
  <c r="AV3295" i="4"/>
  <c r="BA3294" i="4"/>
  <c r="AZ3294" i="4"/>
  <c r="AY3294" i="4"/>
  <c r="AV3294" i="4"/>
  <c r="BA3293" i="4"/>
  <c r="AZ3293" i="4"/>
  <c r="AY3293" i="4"/>
  <c r="AV3293" i="4"/>
  <c r="BA3292" i="4"/>
  <c r="AZ3292" i="4"/>
  <c r="AY3292" i="4"/>
  <c r="AV3292" i="4"/>
  <c r="BA3291" i="4"/>
  <c r="AZ3291" i="4"/>
  <c r="AY3291" i="4"/>
  <c r="AV3291" i="4"/>
  <c r="BA3290" i="4"/>
  <c r="AZ3290" i="4"/>
  <c r="AY3290" i="4"/>
  <c r="AV3290" i="4"/>
  <c r="BA3289" i="4"/>
  <c r="AZ3289" i="4"/>
  <c r="AY3289" i="4"/>
  <c r="AV3289" i="4"/>
  <c r="BA3288" i="4"/>
  <c r="AZ3288" i="4"/>
  <c r="AY3288" i="4"/>
  <c r="AV3288" i="4"/>
  <c r="BA3287" i="4"/>
  <c r="AZ3287" i="4"/>
  <c r="AY3287" i="4"/>
  <c r="AV3287" i="4"/>
  <c r="BA3286" i="4"/>
  <c r="AZ3286" i="4"/>
  <c r="AY3286" i="4"/>
  <c r="AV3286" i="4"/>
  <c r="BA3285" i="4"/>
  <c r="AZ3285" i="4"/>
  <c r="AY3285" i="4"/>
  <c r="AV3285" i="4"/>
  <c r="BA3284" i="4"/>
  <c r="AZ3284" i="4"/>
  <c r="AY3284" i="4"/>
  <c r="AV3284" i="4"/>
  <c r="BA3283" i="4"/>
  <c r="AZ3283" i="4"/>
  <c r="AY3283" i="4"/>
  <c r="AV3283" i="4"/>
  <c r="BA3282" i="4"/>
  <c r="AZ3282" i="4"/>
  <c r="AY3282" i="4"/>
  <c r="AV3282" i="4"/>
  <c r="BA3281" i="4"/>
  <c r="AZ3281" i="4"/>
  <c r="AY3281" i="4"/>
  <c r="AV3281" i="4"/>
  <c r="BA3280" i="4"/>
  <c r="AZ3280" i="4"/>
  <c r="AY3280" i="4"/>
  <c r="AV3280" i="4"/>
  <c r="BA3279" i="4"/>
  <c r="AZ3279" i="4"/>
  <c r="AY3279" i="4"/>
  <c r="AV3279" i="4"/>
  <c r="BA3278" i="4"/>
  <c r="AZ3278" i="4"/>
  <c r="AY3278" i="4"/>
  <c r="AV3278" i="4"/>
  <c r="BA3277" i="4"/>
  <c r="AZ3277" i="4"/>
  <c r="AY3277" i="4"/>
  <c r="AV3277" i="4"/>
  <c r="BA3276" i="4"/>
  <c r="AZ3276" i="4"/>
  <c r="AY3276" i="4"/>
  <c r="AV3276" i="4"/>
  <c r="BA3275" i="4"/>
  <c r="AZ3275" i="4"/>
  <c r="AY3275" i="4"/>
  <c r="AV3275" i="4"/>
  <c r="BA3274" i="4"/>
  <c r="AZ3274" i="4"/>
  <c r="AY3274" i="4"/>
  <c r="AV3274" i="4"/>
  <c r="BA3273" i="4"/>
  <c r="AZ3273" i="4"/>
  <c r="AY3273" i="4"/>
  <c r="AV3273" i="4"/>
  <c r="BA3272" i="4"/>
  <c r="AZ3272" i="4"/>
  <c r="AY3272" i="4"/>
  <c r="AV3272" i="4"/>
  <c r="BA3271" i="4"/>
  <c r="AZ3271" i="4"/>
  <c r="AY3271" i="4"/>
  <c r="AV3271" i="4"/>
  <c r="BA3270" i="4"/>
  <c r="AZ3270" i="4"/>
  <c r="AY3270" i="4"/>
  <c r="AV3270" i="4"/>
  <c r="BA3269" i="4"/>
  <c r="AZ3269" i="4"/>
  <c r="AY3269" i="4"/>
  <c r="AV3269" i="4"/>
  <c r="BA3268" i="4"/>
  <c r="AZ3268" i="4"/>
  <c r="AY3268" i="4"/>
  <c r="AV3268" i="4"/>
  <c r="BA3267" i="4"/>
  <c r="AZ3267" i="4"/>
  <c r="AY3267" i="4"/>
  <c r="AV3267" i="4"/>
  <c r="BA3266" i="4"/>
  <c r="AZ3266" i="4"/>
  <c r="AY3266" i="4"/>
  <c r="AV3266" i="4"/>
  <c r="BA3265" i="4"/>
  <c r="AZ3265" i="4"/>
  <c r="AY3265" i="4"/>
  <c r="AV3265" i="4"/>
  <c r="BA3264" i="4"/>
  <c r="AZ3264" i="4"/>
  <c r="AY3264" i="4"/>
  <c r="AV3264" i="4"/>
  <c r="BA3263" i="4"/>
  <c r="AZ3263" i="4"/>
  <c r="AY3263" i="4"/>
  <c r="AV3263" i="4"/>
  <c r="BA3262" i="4"/>
  <c r="AZ3262" i="4"/>
  <c r="AY3262" i="4"/>
  <c r="AV3262" i="4"/>
  <c r="BA3261" i="4"/>
  <c r="AZ3261" i="4"/>
  <c r="AY3261" i="4"/>
  <c r="AV3261" i="4"/>
  <c r="BA3260" i="4"/>
  <c r="AZ3260" i="4"/>
  <c r="AY3260" i="4"/>
  <c r="AV3260" i="4"/>
  <c r="BA3259" i="4"/>
  <c r="AZ3259" i="4"/>
  <c r="AY3259" i="4"/>
  <c r="AV3259" i="4"/>
  <c r="BA3258" i="4"/>
  <c r="AZ3258" i="4"/>
  <c r="AY3258" i="4"/>
  <c r="AV3258" i="4"/>
  <c r="BA3257" i="4"/>
  <c r="AZ3257" i="4"/>
  <c r="AY3257" i="4"/>
  <c r="AV3257" i="4"/>
  <c r="BA3256" i="4"/>
  <c r="AZ3256" i="4"/>
  <c r="AY3256" i="4"/>
  <c r="AV3256" i="4"/>
  <c r="BA3255" i="4"/>
  <c r="AZ3255" i="4"/>
  <c r="AY3255" i="4"/>
  <c r="AV3255" i="4"/>
  <c r="BA3254" i="4"/>
  <c r="AZ3254" i="4"/>
  <c r="AY3254" i="4"/>
  <c r="AV3254" i="4"/>
  <c r="BA3253" i="4"/>
  <c r="AZ3253" i="4"/>
  <c r="AY3253" i="4"/>
  <c r="AV3253" i="4"/>
  <c r="BA3252" i="4"/>
  <c r="AZ3252" i="4"/>
  <c r="AY3252" i="4"/>
  <c r="AV3252" i="4"/>
  <c r="BA3251" i="4"/>
  <c r="AZ3251" i="4"/>
  <c r="AY3251" i="4"/>
  <c r="AV3251" i="4"/>
  <c r="BA3250" i="4"/>
  <c r="AZ3250" i="4"/>
  <c r="AY3250" i="4"/>
  <c r="AV3250" i="4"/>
  <c r="BA3249" i="4"/>
  <c r="AZ3249" i="4"/>
  <c r="AY3249" i="4"/>
  <c r="AV3249" i="4"/>
  <c r="BA3248" i="4"/>
  <c r="AZ3248" i="4"/>
  <c r="AY3248" i="4"/>
  <c r="AV3248" i="4"/>
  <c r="BA3247" i="4"/>
  <c r="AZ3247" i="4"/>
  <c r="AY3247" i="4"/>
  <c r="AV3247" i="4"/>
  <c r="BA3246" i="4"/>
  <c r="AZ3246" i="4"/>
  <c r="AY3246" i="4"/>
  <c r="AV3246" i="4"/>
  <c r="BA3245" i="4"/>
  <c r="AZ3245" i="4"/>
  <c r="AY3245" i="4"/>
  <c r="AV3245" i="4"/>
  <c r="BA3244" i="4"/>
  <c r="AZ3244" i="4"/>
  <c r="AY3244" i="4"/>
  <c r="AV3244" i="4"/>
  <c r="BA3243" i="4"/>
  <c r="AZ3243" i="4"/>
  <c r="AY3243" i="4"/>
  <c r="AV3243" i="4"/>
  <c r="BA3242" i="4"/>
  <c r="AZ3242" i="4"/>
  <c r="AY3242" i="4"/>
  <c r="AV3242" i="4"/>
  <c r="BA3241" i="4"/>
  <c r="AZ3241" i="4"/>
  <c r="AY3241" i="4"/>
  <c r="AV3241" i="4"/>
  <c r="BA3240" i="4"/>
  <c r="AZ3240" i="4"/>
  <c r="AY3240" i="4"/>
  <c r="AV3240" i="4"/>
  <c r="BA3239" i="4"/>
  <c r="AZ3239" i="4"/>
  <c r="AY3239" i="4"/>
  <c r="AV3239" i="4"/>
  <c r="BA3238" i="4"/>
  <c r="AZ3238" i="4"/>
  <c r="AY3238" i="4"/>
  <c r="AV3238" i="4"/>
  <c r="BA3237" i="4"/>
  <c r="AZ3237" i="4"/>
  <c r="AY3237" i="4"/>
  <c r="AV3237" i="4"/>
  <c r="BA3236" i="4"/>
  <c r="AZ3236" i="4"/>
  <c r="AY3236" i="4"/>
  <c r="AV3236" i="4"/>
  <c r="BA3235" i="4"/>
  <c r="AZ3235" i="4"/>
  <c r="AY3235" i="4"/>
  <c r="AV3235" i="4"/>
  <c r="BA3234" i="4"/>
  <c r="AZ3234" i="4"/>
  <c r="AY3234" i="4"/>
  <c r="AV3234" i="4"/>
  <c r="BA3233" i="4"/>
  <c r="AZ3233" i="4"/>
  <c r="AY3233" i="4"/>
  <c r="AV3233" i="4"/>
  <c r="BA3232" i="4"/>
  <c r="AZ3232" i="4"/>
  <c r="AY3232" i="4"/>
  <c r="AV3232" i="4"/>
  <c r="BA3231" i="4"/>
  <c r="AZ3231" i="4"/>
  <c r="AY3231" i="4"/>
  <c r="AV3231" i="4"/>
  <c r="BA3230" i="4"/>
  <c r="AZ3230" i="4"/>
  <c r="AY3230" i="4"/>
  <c r="AV3230" i="4"/>
  <c r="BA3229" i="4"/>
  <c r="AZ3229" i="4"/>
  <c r="AY3229" i="4"/>
  <c r="AV3229" i="4"/>
  <c r="BA3228" i="4"/>
  <c r="AZ3228" i="4"/>
  <c r="AY3228" i="4"/>
  <c r="AV3228" i="4"/>
  <c r="BA3227" i="4"/>
  <c r="AZ3227" i="4"/>
  <c r="AY3227" i="4"/>
  <c r="AV3227" i="4"/>
  <c r="BA3226" i="4"/>
  <c r="AZ3226" i="4"/>
  <c r="AY3226" i="4"/>
  <c r="AV3226" i="4"/>
  <c r="BA3225" i="4"/>
  <c r="AZ3225" i="4"/>
  <c r="AY3225" i="4"/>
  <c r="AV3225" i="4"/>
  <c r="BA3224" i="4"/>
  <c r="AZ3224" i="4"/>
  <c r="AY3224" i="4"/>
  <c r="AV3224" i="4"/>
  <c r="BA3223" i="4"/>
  <c r="AZ3223" i="4"/>
  <c r="AY3223" i="4"/>
  <c r="AV3223" i="4"/>
  <c r="BA3222" i="4"/>
  <c r="AZ3222" i="4"/>
  <c r="AY3222" i="4"/>
  <c r="AV3222" i="4"/>
  <c r="BA3221" i="4"/>
  <c r="AZ3221" i="4"/>
  <c r="AY3221" i="4"/>
  <c r="AV3221" i="4"/>
  <c r="BA3220" i="4"/>
  <c r="AZ3220" i="4"/>
  <c r="AY3220" i="4"/>
  <c r="AV3220" i="4"/>
  <c r="BA3219" i="4"/>
  <c r="AZ3219" i="4"/>
  <c r="AY3219" i="4"/>
  <c r="AV3219" i="4"/>
  <c r="BA3218" i="4"/>
  <c r="AZ3218" i="4"/>
  <c r="AY3218" i="4"/>
  <c r="AV3218" i="4"/>
  <c r="BA3217" i="4"/>
  <c r="AZ3217" i="4"/>
  <c r="AY3217" i="4"/>
  <c r="AV3217" i="4"/>
  <c r="BA3216" i="4"/>
  <c r="AZ3216" i="4"/>
  <c r="AY3216" i="4"/>
  <c r="AV3216" i="4"/>
  <c r="BA3215" i="4"/>
  <c r="AZ3215" i="4"/>
  <c r="AY3215" i="4"/>
  <c r="AV3215" i="4"/>
  <c r="BA3214" i="4"/>
  <c r="AZ3214" i="4"/>
  <c r="AY3214" i="4"/>
  <c r="AV3214" i="4"/>
  <c r="BA3213" i="4"/>
  <c r="AZ3213" i="4"/>
  <c r="AY3213" i="4"/>
  <c r="AV3213" i="4"/>
  <c r="BA3212" i="4"/>
  <c r="AZ3212" i="4"/>
  <c r="AY3212" i="4"/>
  <c r="AV3212" i="4"/>
  <c r="BA3211" i="4"/>
  <c r="AZ3211" i="4"/>
  <c r="AY3211" i="4"/>
  <c r="AV3211" i="4"/>
  <c r="BA3210" i="4"/>
  <c r="AZ3210" i="4"/>
  <c r="AY3210" i="4"/>
  <c r="AV3210" i="4"/>
  <c r="BA3209" i="4"/>
  <c r="AZ3209" i="4"/>
  <c r="AY3209" i="4"/>
  <c r="AV3209" i="4"/>
  <c r="BA3208" i="4"/>
  <c r="AZ3208" i="4"/>
  <c r="AY3208" i="4"/>
  <c r="AV3208" i="4"/>
  <c r="BA3207" i="4"/>
  <c r="AZ3207" i="4"/>
  <c r="AY3207" i="4"/>
  <c r="AV3207" i="4"/>
  <c r="BA3206" i="4"/>
  <c r="AZ3206" i="4"/>
  <c r="AY3206" i="4"/>
  <c r="AV3206" i="4"/>
  <c r="BA3205" i="4"/>
  <c r="AZ3205" i="4"/>
  <c r="AY3205" i="4"/>
  <c r="AV3205" i="4"/>
  <c r="BA3204" i="4"/>
  <c r="AZ3204" i="4"/>
  <c r="AY3204" i="4"/>
  <c r="AV3204" i="4"/>
  <c r="BA3203" i="4"/>
  <c r="AZ3203" i="4"/>
  <c r="AY3203" i="4"/>
  <c r="AV3203" i="4"/>
  <c r="BA3202" i="4"/>
  <c r="AZ3202" i="4"/>
  <c r="AY3202" i="4"/>
  <c r="AV3202" i="4"/>
  <c r="BA3201" i="4"/>
  <c r="AZ3201" i="4"/>
  <c r="AY3201" i="4"/>
  <c r="AV3201" i="4"/>
  <c r="BA3200" i="4"/>
  <c r="AZ3200" i="4"/>
  <c r="AY3200" i="4"/>
  <c r="AV3200" i="4"/>
  <c r="BA3199" i="4"/>
  <c r="AZ3199" i="4"/>
  <c r="AY3199" i="4"/>
  <c r="AV3199" i="4"/>
  <c r="BA3198" i="4"/>
  <c r="AZ3198" i="4"/>
  <c r="AY3198" i="4"/>
  <c r="AV3198" i="4"/>
  <c r="BA3197" i="4"/>
  <c r="AZ3197" i="4"/>
  <c r="AY3197" i="4"/>
  <c r="AV3197" i="4"/>
  <c r="BA3196" i="4"/>
  <c r="AZ3196" i="4"/>
  <c r="AY3196" i="4"/>
  <c r="AV3196" i="4"/>
  <c r="BA3195" i="4"/>
  <c r="AZ3195" i="4"/>
  <c r="AY3195" i="4"/>
  <c r="AV3195" i="4"/>
  <c r="BA3194" i="4"/>
  <c r="AZ3194" i="4"/>
  <c r="AY3194" i="4"/>
  <c r="AV3194" i="4"/>
  <c r="BA3193" i="4"/>
  <c r="AZ3193" i="4"/>
  <c r="AY3193" i="4"/>
  <c r="AV3193" i="4"/>
  <c r="BA3192" i="4"/>
  <c r="AZ3192" i="4"/>
  <c r="AY3192" i="4"/>
  <c r="AV3192" i="4"/>
  <c r="BA3191" i="4"/>
  <c r="AZ3191" i="4"/>
  <c r="AY3191" i="4"/>
  <c r="AV3191" i="4"/>
  <c r="BA3190" i="4"/>
  <c r="AZ3190" i="4"/>
  <c r="AY3190" i="4"/>
  <c r="AV3190" i="4"/>
  <c r="BA3189" i="4"/>
  <c r="AZ3189" i="4"/>
  <c r="AY3189" i="4"/>
  <c r="AV3189" i="4"/>
  <c r="BA3188" i="4"/>
  <c r="AZ3188" i="4"/>
  <c r="AY3188" i="4"/>
  <c r="AV3188" i="4"/>
  <c r="BA3187" i="4"/>
  <c r="AZ3187" i="4"/>
  <c r="AY3187" i="4"/>
  <c r="AV3187" i="4"/>
  <c r="BA3186" i="4"/>
  <c r="AZ3186" i="4"/>
  <c r="AY3186" i="4"/>
  <c r="AV3186" i="4"/>
  <c r="BA3185" i="4"/>
  <c r="AZ3185" i="4"/>
  <c r="AY3185" i="4"/>
  <c r="AV3185" i="4"/>
  <c r="BA3184" i="4"/>
  <c r="AZ3184" i="4"/>
  <c r="AY3184" i="4"/>
  <c r="AV3184" i="4"/>
  <c r="BA3183" i="4"/>
  <c r="AZ3183" i="4"/>
  <c r="AY3183" i="4"/>
  <c r="AV3183" i="4"/>
  <c r="BA3182" i="4"/>
  <c r="AZ3182" i="4"/>
  <c r="AY3182" i="4"/>
  <c r="AV3182" i="4"/>
  <c r="BA3181" i="4"/>
  <c r="AZ3181" i="4"/>
  <c r="AY3181" i="4"/>
  <c r="AV3181" i="4"/>
  <c r="BA3180" i="4"/>
  <c r="AZ3180" i="4"/>
  <c r="AY3180" i="4"/>
  <c r="AV3180" i="4"/>
  <c r="BA3179" i="4"/>
  <c r="AZ3179" i="4"/>
  <c r="AY3179" i="4"/>
  <c r="AV3179" i="4"/>
  <c r="BA3178" i="4"/>
  <c r="AZ3178" i="4"/>
  <c r="AY3178" i="4"/>
  <c r="AV3178" i="4"/>
  <c r="BA3177" i="4"/>
  <c r="AZ3177" i="4"/>
  <c r="AY3177" i="4"/>
  <c r="AV3177" i="4"/>
  <c r="BA3176" i="4"/>
  <c r="AZ3176" i="4"/>
  <c r="AY3176" i="4"/>
  <c r="AV3176" i="4"/>
  <c r="BA3175" i="4"/>
  <c r="AZ3175" i="4"/>
  <c r="AY3175" i="4"/>
  <c r="AV3175" i="4"/>
  <c r="BA3174" i="4"/>
  <c r="AZ3174" i="4"/>
  <c r="AY3174" i="4"/>
  <c r="AV3174" i="4"/>
  <c r="BA3173" i="4"/>
  <c r="AZ3173" i="4"/>
  <c r="AY3173" i="4"/>
  <c r="AV3173" i="4"/>
  <c r="BA3172" i="4"/>
  <c r="AZ3172" i="4"/>
  <c r="AY3172" i="4"/>
  <c r="AV3172" i="4"/>
  <c r="BA3171" i="4"/>
  <c r="AZ3171" i="4"/>
  <c r="AY3171" i="4"/>
  <c r="AV3171" i="4"/>
  <c r="BA3170" i="4"/>
  <c r="AZ3170" i="4"/>
  <c r="AY3170" i="4"/>
  <c r="AV3170" i="4"/>
  <c r="BA3169" i="4"/>
  <c r="AZ3169" i="4"/>
  <c r="AY3169" i="4"/>
  <c r="AV3169" i="4"/>
  <c r="BA3168" i="4"/>
  <c r="AZ3168" i="4"/>
  <c r="AY3168" i="4"/>
  <c r="AV3168" i="4"/>
  <c r="BA3167" i="4"/>
  <c r="AZ3167" i="4"/>
  <c r="AY3167" i="4"/>
  <c r="AV3167" i="4"/>
  <c r="BA3166" i="4"/>
  <c r="AZ3166" i="4"/>
  <c r="AY3166" i="4"/>
  <c r="AV3166" i="4"/>
  <c r="BA3165" i="4"/>
  <c r="AZ3165" i="4"/>
  <c r="AY3165" i="4"/>
  <c r="AV3165" i="4"/>
  <c r="BA3164" i="4"/>
  <c r="AZ3164" i="4"/>
  <c r="AY3164" i="4"/>
  <c r="AV3164" i="4"/>
  <c r="BA3163" i="4"/>
  <c r="AZ3163" i="4"/>
  <c r="AY3163" i="4"/>
  <c r="AV3163" i="4"/>
  <c r="BA3162" i="4"/>
  <c r="AZ3162" i="4"/>
  <c r="AY3162" i="4"/>
  <c r="AV3162" i="4"/>
  <c r="BA3161" i="4"/>
  <c r="AZ3161" i="4"/>
  <c r="AY3161" i="4"/>
  <c r="AV3161" i="4"/>
  <c r="BA3160" i="4"/>
  <c r="AZ3160" i="4"/>
  <c r="AY3160" i="4"/>
  <c r="AV3160" i="4"/>
  <c r="BA3159" i="4"/>
  <c r="AZ3159" i="4"/>
  <c r="AY3159" i="4"/>
  <c r="AV3159" i="4"/>
  <c r="BA3158" i="4"/>
  <c r="AZ3158" i="4"/>
  <c r="AY3158" i="4"/>
  <c r="AV3158" i="4"/>
  <c r="BA3157" i="4"/>
  <c r="AZ3157" i="4"/>
  <c r="AY3157" i="4"/>
  <c r="AV3157" i="4"/>
  <c r="BA3156" i="4"/>
  <c r="AZ3156" i="4"/>
  <c r="AY3156" i="4"/>
  <c r="AV3156" i="4"/>
  <c r="BA3155" i="4"/>
  <c r="AZ3155" i="4"/>
  <c r="AY3155" i="4"/>
  <c r="AV3155" i="4"/>
  <c r="BA3154" i="4"/>
  <c r="AZ3154" i="4"/>
  <c r="AY3154" i="4"/>
  <c r="AV3154" i="4"/>
  <c r="BA3153" i="4"/>
  <c r="AZ3153" i="4"/>
  <c r="AY3153" i="4"/>
  <c r="AV3153" i="4"/>
  <c r="BA3152" i="4"/>
  <c r="AZ3152" i="4"/>
  <c r="AY3152" i="4"/>
  <c r="AV3152" i="4"/>
  <c r="BA3151" i="4"/>
  <c r="AZ3151" i="4"/>
  <c r="AY3151" i="4"/>
  <c r="AV3151" i="4"/>
  <c r="BA3150" i="4"/>
  <c r="AZ3150" i="4"/>
  <c r="AY3150" i="4"/>
  <c r="AV3150" i="4"/>
  <c r="BA3149" i="4"/>
  <c r="AZ3149" i="4"/>
  <c r="AY3149" i="4"/>
  <c r="AV3149" i="4"/>
  <c r="BA3148" i="4"/>
  <c r="AZ3148" i="4"/>
  <c r="AY3148" i="4"/>
  <c r="AV3148" i="4"/>
  <c r="BA3147" i="4"/>
  <c r="AZ3147" i="4"/>
  <c r="AY3147" i="4"/>
  <c r="AV3147" i="4"/>
  <c r="BA3146" i="4"/>
  <c r="AZ3146" i="4"/>
  <c r="AY3146" i="4"/>
  <c r="AV3146" i="4"/>
  <c r="BA3145" i="4"/>
  <c r="AZ3145" i="4"/>
  <c r="AY3145" i="4"/>
  <c r="AV3145" i="4"/>
  <c r="BA3144" i="4"/>
  <c r="AZ3144" i="4"/>
  <c r="AY3144" i="4"/>
  <c r="AV3144" i="4"/>
  <c r="BA3143" i="4"/>
  <c r="AZ3143" i="4"/>
  <c r="AY3143" i="4"/>
  <c r="AV3143" i="4"/>
  <c r="BA3142" i="4"/>
  <c r="AZ3142" i="4"/>
  <c r="AY3142" i="4"/>
  <c r="AV3142" i="4"/>
  <c r="BA3141" i="4"/>
  <c r="AZ3141" i="4"/>
  <c r="AY3141" i="4"/>
  <c r="AV3141" i="4"/>
  <c r="BA3140" i="4"/>
  <c r="AZ3140" i="4"/>
  <c r="AY3140" i="4"/>
  <c r="AV3140" i="4"/>
  <c r="BA3139" i="4"/>
  <c r="AZ3139" i="4"/>
  <c r="AY3139" i="4"/>
  <c r="AV3139" i="4"/>
  <c r="BA3138" i="4"/>
  <c r="AZ3138" i="4"/>
  <c r="AY3138" i="4"/>
  <c r="AV3138" i="4"/>
  <c r="BA3137" i="4"/>
  <c r="AZ3137" i="4"/>
  <c r="AY3137" i="4"/>
  <c r="AV3137" i="4"/>
  <c r="BA3136" i="4"/>
  <c r="AZ3136" i="4"/>
  <c r="AY3136" i="4"/>
  <c r="AV3136" i="4"/>
  <c r="BA3135" i="4"/>
  <c r="AZ3135" i="4"/>
  <c r="AY3135" i="4"/>
  <c r="AV3135" i="4"/>
  <c r="BA3134" i="4"/>
  <c r="AZ3134" i="4"/>
  <c r="AY3134" i="4"/>
  <c r="AV3134" i="4"/>
  <c r="BA3133" i="4"/>
  <c r="AZ3133" i="4"/>
  <c r="AY3133" i="4"/>
  <c r="AV3133" i="4"/>
  <c r="BA3132" i="4"/>
  <c r="AZ3132" i="4"/>
  <c r="AY3132" i="4"/>
  <c r="AV3132" i="4"/>
  <c r="BA3131" i="4"/>
  <c r="AZ3131" i="4"/>
  <c r="AY3131" i="4"/>
  <c r="AV3131" i="4"/>
  <c r="BA3130" i="4"/>
  <c r="AZ3130" i="4"/>
  <c r="AY3130" i="4"/>
  <c r="AV3130" i="4"/>
  <c r="BA3129" i="4"/>
  <c r="AZ3129" i="4"/>
  <c r="AY3129" i="4"/>
  <c r="AV3129" i="4"/>
  <c r="BA3128" i="4"/>
  <c r="AZ3128" i="4"/>
  <c r="AY3128" i="4"/>
  <c r="AV3128" i="4"/>
  <c r="BA3127" i="4"/>
  <c r="AZ3127" i="4"/>
  <c r="AY3127" i="4"/>
  <c r="AV3127" i="4"/>
  <c r="BA3126" i="4"/>
  <c r="AZ3126" i="4"/>
  <c r="AY3126" i="4"/>
  <c r="AV3126" i="4"/>
  <c r="BA3125" i="4"/>
  <c r="AZ3125" i="4"/>
  <c r="AY3125" i="4"/>
  <c r="AV3125" i="4"/>
  <c r="BA3124" i="4"/>
  <c r="AZ3124" i="4"/>
  <c r="AY3124" i="4"/>
  <c r="AV3124" i="4"/>
  <c r="BA3123" i="4"/>
  <c r="AZ3123" i="4"/>
  <c r="AY3123" i="4"/>
  <c r="AV3123" i="4"/>
  <c r="BA3122" i="4"/>
  <c r="AZ3122" i="4"/>
  <c r="AY3122" i="4"/>
  <c r="AV3122" i="4"/>
  <c r="BA3121" i="4"/>
  <c r="AZ3121" i="4"/>
  <c r="AY3121" i="4"/>
  <c r="AV3121" i="4"/>
  <c r="BA3120" i="4"/>
  <c r="AZ3120" i="4"/>
  <c r="AY3120" i="4"/>
  <c r="AV3120" i="4"/>
  <c r="BA3119" i="4"/>
  <c r="AZ3119" i="4"/>
  <c r="AY3119" i="4"/>
  <c r="AV3119" i="4"/>
  <c r="BA3118" i="4"/>
  <c r="AZ3118" i="4"/>
  <c r="AY3118" i="4"/>
  <c r="AV3118" i="4"/>
  <c r="BA3117" i="4"/>
  <c r="AZ3117" i="4"/>
  <c r="AY3117" i="4"/>
  <c r="AV3117" i="4"/>
  <c r="BA3116" i="4"/>
  <c r="AZ3116" i="4"/>
  <c r="AY3116" i="4"/>
  <c r="AV3116" i="4"/>
  <c r="BA3115" i="4"/>
  <c r="AZ3115" i="4"/>
  <c r="AY3115" i="4"/>
  <c r="AV3115" i="4"/>
  <c r="BA3114" i="4"/>
  <c r="AZ3114" i="4"/>
  <c r="AY3114" i="4"/>
  <c r="AV3114" i="4"/>
  <c r="BA3113" i="4"/>
  <c r="AZ3113" i="4"/>
  <c r="AY3113" i="4"/>
  <c r="AV3113" i="4"/>
  <c r="BA3112" i="4"/>
  <c r="AZ3112" i="4"/>
  <c r="AY3112" i="4"/>
  <c r="AV3112" i="4"/>
  <c r="BA3111" i="4"/>
  <c r="AZ3111" i="4"/>
  <c r="AY3111" i="4"/>
  <c r="AV3111" i="4"/>
  <c r="BA3110" i="4"/>
  <c r="AZ3110" i="4"/>
  <c r="AY3110" i="4"/>
  <c r="AV3110" i="4"/>
  <c r="BA3109" i="4"/>
  <c r="AZ3109" i="4"/>
  <c r="AY3109" i="4"/>
  <c r="AV3109" i="4"/>
  <c r="BA3108" i="4"/>
  <c r="AZ3108" i="4"/>
  <c r="AY3108" i="4"/>
  <c r="AV3108" i="4"/>
  <c r="BA3107" i="4"/>
  <c r="AZ3107" i="4"/>
  <c r="AY3107" i="4"/>
  <c r="AV3107" i="4"/>
  <c r="BA3106" i="4"/>
  <c r="AZ3106" i="4"/>
  <c r="AY3106" i="4"/>
  <c r="AV3106" i="4"/>
  <c r="BA3105" i="4"/>
  <c r="AZ3105" i="4"/>
  <c r="AY3105" i="4"/>
  <c r="AV3105" i="4"/>
  <c r="BA3104" i="4"/>
  <c r="AZ3104" i="4"/>
  <c r="AY3104" i="4"/>
  <c r="AV3104" i="4"/>
  <c r="BA3103" i="4"/>
  <c r="AZ3103" i="4"/>
  <c r="AY3103" i="4"/>
  <c r="AV3103" i="4"/>
  <c r="BA3102" i="4"/>
  <c r="AZ3102" i="4"/>
  <c r="AY3102" i="4"/>
  <c r="AV3102" i="4"/>
  <c r="BA3101" i="4"/>
  <c r="AZ3101" i="4"/>
  <c r="AY3101" i="4"/>
  <c r="AV3101" i="4"/>
  <c r="BA3100" i="4"/>
  <c r="AZ3100" i="4"/>
  <c r="AY3100" i="4"/>
  <c r="AV3100" i="4"/>
  <c r="BA3099" i="4"/>
  <c r="AZ3099" i="4"/>
  <c r="AY3099" i="4"/>
  <c r="AV3099" i="4"/>
  <c r="BA3098" i="4"/>
  <c r="AZ3098" i="4"/>
  <c r="AY3098" i="4"/>
  <c r="AV3098" i="4"/>
  <c r="BA3097" i="4"/>
  <c r="AZ3097" i="4"/>
  <c r="AY3097" i="4"/>
  <c r="AV3097" i="4"/>
  <c r="BA3096" i="4"/>
  <c r="AZ3096" i="4"/>
  <c r="AY3096" i="4"/>
  <c r="AV3096" i="4"/>
  <c r="BA3095" i="4"/>
  <c r="AZ3095" i="4"/>
  <c r="AY3095" i="4"/>
  <c r="AV3095" i="4"/>
  <c r="BA3094" i="4"/>
  <c r="AZ3094" i="4"/>
  <c r="AY3094" i="4"/>
  <c r="AV3094" i="4"/>
  <c r="BA3093" i="4"/>
  <c r="AZ3093" i="4"/>
  <c r="AY3093" i="4"/>
  <c r="AV3093" i="4"/>
  <c r="BA3092" i="4"/>
  <c r="AZ3092" i="4"/>
  <c r="AY3092" i="4"/>
  <c r="AV3092" i="4"/>
  <c r="BA3091" i="4"/>
  <c r="AZ3091" i="4"/>
  <c r="AY3091" i="4"/>
  <c r="AV3091" i="4"/>
  <c r="BA3090" i="4"/>
  <c r="AZ3090" i="4"/>
  <c r="AY3090" i="4"/>
  <c r="AV3090" i="4"/>
  <c r="BA3089" i="4"/>
  <c r="AZ3089" i="4"/>
  <c r="AY3089" i="4"/>
  <c r="AV3089" i="4"/>
  <c r="BA3088" i="4"/>
  <c r="AZ3088" i="4"/>
  <c r="AY3088" i="4"/>
  <c r="AV3088" i="4"/>
  <c r="BA3087" i="4"/>
  <c r="AZ3087" i="4"/>
  <c r="AY3087" i="4"/>
  <c r="AV3087" i="4"/>
  <c r="BA3086" i="4"/>
  <c r="AZ3086" i="4"/>
  <c r="AY3086" i="4"/>
  <c r="AV3086" i="4"/>
  <c r="BA3085" i="4"/>
  <c r="AZ3085" i="4"/>
  <c r="AY3085" i="4"/>
  <c r="AV3085" i="4"/>
  <c r="BA3084" i="4"/>
  <c r="AZ3084" i="4"/>
  <c r="AY3084" i="4"/>
  <c r="AV3084" i="4"/>
  <c r="BA3083" i="4"/>
  <c r="AZ3083" i="4"/>
  <c r="AY3083" i="4"/>
  <c r="AV3083" i="4"/>
  <c r="BA3082" i="4"/>
  <c r="AZ3082" i="4"/>
  <c r="AY3082" i="4"/>
  <c r="AV3082" i="4"/>
  <c r="BA3081" i="4"/>
  <c r="AZ3081" i="4"/>
  <c r="AY3081" i="4"/>
  <c r="AV3081" i="4"/>
  <c r="BA3080" i="4"/>
  <c r="AZ3080" i="4"/>
  <c r="AY3080" i="4"/>
  <c r="AV3080" i="4"/>
  <c r="BA3079" i="4"/>
  <c r="AZ3079" i="4"/>
  <c r="AY3079" i="4"/>
  <c r="AV3079" i="4"/>
  <c r="BA3078" i="4"/>
  <c r="AZ3078" i="4"/>
  <c r="AY3078" i="4"/>
  <c r="AV3078" i="4"/>
  <c r="BA3077" i="4"/>
  <c r="AZ3077" i="4"/>
  <c r="AY3077" i="4"/>
  <c r="AV3077" i="4"/>
  <c r="BA3076" i="4"/>
  <c r="AZ3076" i="4"/>
  <c r="AY3076" i="4"/>
  <c r="AV3076" i="4"/>
  <c r="BA3075" i="4"/>
  <c r="AZ3075" i="4"/>
  <c r="AY3075" i="4"/>
  <c r="AV3075" i="4"/>
  <c r="BA3074" i="4"/>
  <c r="AZ3074" i="4"/>
  <c r="AY3074" i="4"/>
  <c r="AV3074" i="4"/>
  <c r="BA3073" i="4"/>
  <c r="AZ3073" i="4"/>
  <c r="AY3073" i="4"/>
  <c r="AV3073" i="4"/>
  <c r="BA3072" i="4"/>
  <c r="AZ3072" i="4"/>
  <c r="AY3072" i="4"/>
  <c r="AV3072" i="4"/>
  <c r="BA3071" i="4"/>
  <c r="AZ3071" i="4"/>
  <c r="AY3071" i="4"/>
  <c r="AV3071" i="4"/>
  <c r="BA3070" i="4"/>
  <c r="AZ3070" i="4"/>
  <c r="AY3070" i="4"/>
  <c r="AV3070" i="4"/>
  <c r="BA3069" i="4"/>
  <c r="AZ3069" i="4"/>
  <c r="AY3069" i="4"/>
  <c r="AV3069" i="4"/>
  <c r="BA3068" i="4"/>
  <c r="AZ3068" i="4"/>
  <c r="AY3068" i="4"/>
  <c r="AV3068" i="4"/>
  <c r="BA3067" i="4"/>
  <c r="AZ3067" i="4"/>
  <c r="AY3067" i="4"/>
  <c r="AV3067" i="4"/>
  <c r="BA3066" i="4"/>
  <c r="AZ3066" i="4"/>
  <c r="AY3066" i="4"/>
  <c r="AV3066" i="4"/>
  <c r="BA3065" i="4"/>
  <c r="AZ3065" i="4"/>
  <c r="AY3065" i="4"/>
  <c r="AV3065" i="4"/>
  <c r="BA3064" i="4"/>
  <c r="AZ3064" i="4"/>
  <c r="AY3064" i="4"/>
  <c r="AV3064" i="4"/>
  <c r="BA3063" i="4"/>
  <c r="AZ3063" i="4"/>
  <c r="AY3063" i="4"/>
  <c r="AV3063" i="4"/>
  <c r="BA3062" i="4"/>
  <c r="AZ3062" i="4"/>
  <c r="AY3062" i="4"/>
  <c r="AV3062" i="4"/>
  <c r="BA3061" i="4"/>
  <c r="AZ3061" i="4"/>
  <c r="AY3061" i="4"/>
  <c r="AV3061" i="4"/>
  <c r="BA3060" i="4"/>
  <c r="AZ3060" i="4"/>
  <c r="AY3060" i="4"/>
  <c r="AV3060" i="4"/>
  <c r="BA3059" i="4"/>
  <c r="AZ3059" i="4"/>
  <c r="AY3059" i="4"/>
  <c r="AV3059" i="4"/>
  <c r="BA3058" i="4"/>
  <c r="AZ3058" i="4"/>
  <c r="AY3058" i="4"/>
  <c r="AV3058" i="4"/>
  <c r="BA3057" i="4"/>
  <c r="AZ3057" i="4"/>
  <c r="AY3057" i="4"/>
  <c r="AV3057" i="4"/>
  <c r="BA3056" i="4"/>
  <c r="AZ3056" i="4"/>
  <c r="AY3056" i="4"/>
  <c r="AV3056" i="4"/>
  <c r="BA3055" i="4"/>
  <c r="AZ3055" i="4"/>
  <c r="AY3055" i="4"/>
  <c r="AV3055" i="4"/>
  <c r="BA3054" i="4"/>
  <c r="AZ3054" i="4"/>
  <c r="AY3054" i="4"/>
  <c r="AV3054" i="4"/>
  <c r="BA3053" i="4"/>
  <c r="AZ3053" i="4"/>
  <c r="AY3053" i="4"/>
  <c r="AV3053" i="4"/>
  <c r="BA3052" i="4"/>
  <c r="AZ3052" i="4"/>
  <c r="AY3052" i="4"/>
  <c r="AV3052" i="4"/>
  <c r="BA3051" i="4"/>
  <c r="AZ3051" i="4"/>
  <c r="AY3051" i="4"/>
  <c r="AV3051" i="4"/>
  <c r="BA3050" i="4"/>
  <c r="AZ3050" i="4"/>
  <c r="AY3050" i="4"/>
  <c r="AV3050" i="4"/>
  <c r="BA3049" i="4"/>
  <c r="AZ3049" i="4"/>
  <c r="AY3049" i="4"/>
  <c r="AV3049" i="4"/>
  <c r="BA3048" i="4"/>
  <c r="AZ3048" i="4"/>
  <c r="AY3048" i="4"/>
  <c r="AV3048" i="4"/>
  <c r="BA3047" i="4"/>
  <c r="AZ3047" i="4"/>
  <c r="AY3047" i="4"/>
  <c r="AV3047" i="4"/>
  <c r="BA3046" i="4"/>
  <c r="AZ3046" i="4"/>
  <c r="AY3046" i="4"/>
  <c r="AV3046" i="4"/>
  <c r="BA3045" i="4"/>
  <c r="AZ3045" i="4"/>
  <c r="AY3045" i="4"/>
  <c r="AV3045" i="4"/>
  <c r="BA3044" i="4"/>
  <c r="AZ3044" i="4"/>
  <c r="AY3044" i="4"/>
  <c r="AV3044" i="4"/>
  <c r="BA3043" i="4"/>
  <c r="AZ3043" i="4"/>
  <c r="AY3043" i="4"/>
  <c r="AV3043" i="4"/>
  <c r="BA3042" i="4"/>
  <c r="AZ3042" i="4"/>
  <c r="AY3042" i="4"/>
  <c r="AV3042" i="4"/>
  <c r="BA3041" i="4"/>
  <c r="AZ3041" i="4"/>
  <c r="AY3041" i="4"/>
  <c r="AV3041" i="4"/>
  <c r="BA3040" i="4"/>
  <c r="AZ3040" i="4"/>
  <c r="AY3040" i="4"/>
  <c r="AV3040" i="4"/>
  <c r="BA3039" i="4"/>
  <c r="AZ3039" i="4"/>
  <c r="AY3039" i="4"/>
  <c r="AV3039" i="4"/>
  <c r="BA3038" i="4"/>
  <c r="AZ3038" i="4"/>
  <c r="AY3038" i="4"/>
  <c r="AV3038" i="4"/>
  <c r="BA3037" i="4"/>
  <c r="AZ3037" i="4"/>
  <c r="AY3037" i="4"/>
  <c r="AV3037" i="4"/>
  <c r="BA3036" i="4"/>
  <c r="AZ3036" i="4"/>
  <c r="AY3036" i="4"/>
  <c r="AV3036" i="4"/>
  <c r="BA3035" i="4"/>
  <c r="AZ3035" i="4"/>
  <c r="AY3035" i="4"/>
  <c r="AV3035" i="4"/>
  <c r="BA3034" i="4"/>
  <c r="AZ3034" i="4"/>
  <c r="AY3034" i="4"/>
  <c r="AV3034" i="4"/>
  <c r="BA3033" i="4"/>
  <c r="AZ3033" i="4"/>
  <c r="AY3033" i="4"/>
  <c r="AV3033" i="4"/>
  <c r="BA3032" i="4"/>
  <c r="AZ3032" i="4"/>
  <c r="AY3032" i="4"/>
  <c r="AV3032" i="4"/>
  <c r="BA3031" i="4"/>
  <c r="AZ3031" i="4"/>
  <c r="AY3031" i="4"/>
  <c r="AV3031" i="4"/>
  <c r="BA3030" i="4"/>
  <c r="AZ3030" i="4"/>
  <c r="AY3030" i="4"/>
  <c r="AV3030" i="4"/>
  <c r="BA3029" i="4"/>
  <c r="AZ3029" i="4"/>
  <c r="AY3029" i="4"/>
  <c r="AV3029" i="4"/>
  <c r="BA3028" i="4"/>
  <c r="AZ3028" i="4"/>
  <c r="AY3028" i="4"/>
  <c r="AV3028" i="4"/>
  <c r="BA3027" i="4"/>
  <c r="AZ3027" i="4"/>
  <c r="AY3027" i="4"/>
  <c r="AV3027" i="4"/>
  <c r="BA3026" i="4"/>
  <c r="AZ3026" i="4"/>
  <c r="AY3026" i="4"/>
  <c r="AV3026" i="4"/>
  <c r="BA3025" i="4"/>
  <c r="AZ3025" i="4"/>
  <c r="AY3025" i="4"/>
  <c r="AV3025" i="4"/>
  <c r="BA3024" i="4"/>
  <c r="AZ3024" i="4"/>
  <c r="AY3024" i="4"/>
  <c r="AV3024" i="4"/>
  <c r="BA3023" i="4"/>
  <c r="AZ3023" i="4"/>
  <c r="AY3023" i="4"/>
  <c r="AV3023" i="4"/>
  <c r="BA3022" i="4"/>
  <c r="AZ3022" i="4"/>
  <c r="AY3022" i="4"/>
  <c r="AV3022" i="4"/>
  <c r="BA3021" i="4"/>
  <c r="AZ3021" i="4"/>
  <c r="AY3021" i="4"/>
  <c r="AV3021" i="4"/>
  <c r="BA3020" i="4"/>
  <c r="AZ3020" i="4"/>
  <c r="AY3020" i="4"/>
  <c r="AV3020" i="4"/>
  <c r="BA3019" i="4"/>
  <c r="AZ3019" i="4"/>
  <c r="AY3019" i="4"/>
  <c r="AV3019" i="4"/>
  <c r="BA3018" i="4"/>
  <c r="AZ3018" i="4"/>
  <c r="AY3018" i="4"/>
  <c r="AV3018" i="4"/>
  <c r="BA3017" i="4"/>
  <c r="AZ3017" i="4"/>
  <c r="AY3017" i="4"/>
  <c r="AV3017" i="4"/>
  <c r="BA3016" i="4"/>
  <c r="AZ3016" i="4"/>
  <c r="AY3016" i="4"/>
  <c r="AV3016" i="4"/>
  <c r="BA3015" i="4"/>
  <c r="AZ3015" i="4"/>
  <c r="AY3015" i="4"/>
  <c r="AV3015" i="4"/>
  <c r="BA3014" i="4"/>
  <c r="AZ3014" i="4"/>
  <c r="AY3014" i="4"/>
  <c r="AV3014" i="4"/>
  <c r="BA3013" i="4"/>
  <c r="AZ3013" i="4"/>
  <c r="AY3013" i="4"/>
  <c r="AV3013" i="4"/>
  <c r="BA3012" i="4"/>
  <c r="AZ3012" i="4"/>
  <c r="AY3012" i="4"/>
  <c r="AV3012" i="4"/>
  <c r="BA3011" i="4"/>
  <c r="AZ3011" i="4"/>
  <c r="AY3011" i="4"/>
  <c r="AV3011" i="4"/>
  <c r="BA3010" i="4"/>
  <c r="AZ3010" i="4"/>
  <c r="AY3010" i="4"/>
  <c r="AV3010" i="4"/>
  <c r="BA3009" i="4"/>
  <c r="AZ3009" i="4"/>
  <c r="AY3009" i="4"/>
  <c r="AV3009" i="4"/>
  <c r="BA3008" i="4"/>
  <c r="AZ3008" i="4"/>
  <c r="AY3008" i="4"/>
  <c r="AV3008" i="4"/>
  <c r="BA3007" i="4"/>
  <c r="AZ3007" i="4"/>
  <c r="AY3007" i="4"/>
  <c r="AV3007" i="4"/>
  <c r="BA3006" i="4"/>
  <c r="AZ3006" i="4"/>
  <c r="AY3006" i="4"/>
  <c r="AV3006" i="4"/>
  <c r="BA3005" i="4"/>
  <c r="AZ3005" i="4"/>
  <c r="AY3005" i="4"/>
  <c r="AV3005" i="4"/>
  <c r="BA3004" i="4"/>
  <c r="AZ3004" i="4"/>
  <c r="AY3004" i="4"/>
  <c r="AV3004" i="4"/>
  <c r="BA3003" i="4"/>
  <c r="AZ3003" i="4"/>
  <c r="AY3003" i="4"/>
  <c r="AV3003" i="4"/>
  <c r="BA3002" i="4"/>
  <c r="AZ3002" i="4"/>
  <c r="AY3002" i="4"/>
  <c r="AV3002" i="4"/>
  <c r="BA3001" i="4"/>
  <c r="AZ3001" i="4"/>
  <c r="AY3001" i="4"/>
  <c r="AV3001" i="4"/>
  <c r="BA3000" i="4"/>
  <c r="AZ3000" i="4"/>
  <c r="AY3000" i="4"/>
  <c r="AV3000" i="4"/>
  <c r="BA2999" i="4"/>
  <c r="AZ2999" i="4"/>
  <c r="AY2999" i="4"/>
  <c r="AV2999" i="4"/>
  <c r="BA2998" i="4"/>
  <c r="AZ2998" i="4"/>
  <c r="AY2998" i="4"/>
  <c r="AV2998" i="4"/>
  <c r="BA2997" i="4"/>
  <c r="AZ2997" i="4"/>
  <c r="AY2997" i="4"/>
  <c r="AV2997" i="4"/>
  <c r="BA2996" i="4"/>
  <c r="AZ2996" i="4"/>
  <c r="AY2996" i="4"/>
  <c r="AV2996" i="4"/>
  <c r="BA2995" i="4"/>
  <c r="AZ2995" i="4"/>
  <c r="AY2995" i="4"/>
  <c r="AV2995" i="4"/>
  <c r="BA2994" i="4"/>
  <c r="AZ2994" i="4"/>
  <c r="AY2994" i="4"/>
  <c r="AV2994" i="4"/>
  <c r="BA2993" i="4"/>
  <c r="AZ2993" i="4"/>
  <c r="AY2993" i="4"/>
  <c r="AV2993" i="4"/>
  <c r="BA2992" i="4"/>
  <c r="AZ2992" i="4"/>
  <c r="AY2992" i="4"/>
  <c r="AV2992" i="4"/>
  <c r="BA2991" i="4"/>
  <c r="AZ2991" i="4"/>
  <c r="AY2991" i="4"/>
  <c r="AV2991" i="4"/>
  <c r="BA2990" i="4"/>
  <c r="AZ2990" i="4"/>
  <c r="AY2990" i="4"/>
  <c r="AV2990" i="4"/>
  <c r="BA2989" i="4"/>
  <c r="AZ2989" i="4"/>
  <c r="AY2989" i="4"/>
  <c r="AV2989" i="4"/>
  <c r="BA2988" i="4"/>
  <c r="AZ2988" i="4"/>
  <c r="AY2988" i="4"/>
  <c r="AV2988" i="4"/>
  <c r="BA2987" i="4"/>
  <c r="AZ2987" i="4"/>
  <c r="AY2987" i="4"/>
  <c r="AV2987" i="4"/>
  <c r="BA2986" i="4"/>
  <c r="AZ2986" i="4"/>
  <c r="AY2986" i="4"/>
  <c r="AV2986" i="4"/>
  <c r="BA2985" i="4"/>
  <c r="AZ2985" i="4"/>
  <c r="AY2985" i="4"/>
  <c r="AV2985" i="4"/>
  <c r="BA2984" i="4"/>
  <c r="AZ2984" i="4"/>
  <c r="AY2984" i="4"/>
  <c r="AV2984" i="4"/>
  <c r="BA2983" i="4"/>
  <c r="AZ2983" i="4"/>
  <c r="AY2983" i="4"/>
  <c r="AV2983" i="4"/>
  <c r="BA2982" i="4"/>
  <c r="AZ2982" i="4"/>
  <c r="AY2982" i="4"/>
  <c r="AV2982" i="4"/>
  <c r="BA2981" i="4"/>
  <c r="AZ2981" i="4"/>
  <c r="AY2981" i="4"/>
  <c r="AV2981" i="4"/>
  <c r="BA2980" i="4"/>
  <c r="AZ2980" i="4"/>
  <c r="AY2980" i="4"/>
  <c r="AV2980" i="4"/>
  <c r="BA2979" i="4"/>
  <c r="AZ2979" i="4"/>
  <c r="AY2979" i="4"/>
  <c r="AV2979" i="4"/>
  <c r="BA2978" i="4"/>
  <c r="AZ2978" i="4"/>
  <c r="AY2978" i="4"/>
  <c r="AV2978" i="4"/>
  <c r="BA2977" i="4"/>
  <c r="AZ2977" i="4"/>
  <c r="AY2977" i="4"/>
  <c r="AV2977" i="4"/>
  <c r="BA2976" i="4"/>
  <c r="AZ2976" i="4"/>
  <c r="AY2976" i="4"/>
  <c r="AV2976" i="4"/>
  <c r="BA2975" i="4"/>
  <c r="AZ2975" i="4"/>
  <c r="AY2975" i="4"/>
  <c r="AV2975" i="4"/>
  <c r="BA2974" i="4"/>
  <c r="AZ2974" i="4"/>
  <c r="AY2974" i="4"/>
  <c r="AV2974" i="4"/>
  <c r="BA2973" i="4"/>
  <c r="AZ2973" i="4"/>
  <c r="AY2973" i="4"/>
  <c r="AV2973" i="4"/>
  <c r="BA2972" i="4"/>
  <c r="AZ2972" i="4"/>
  <c r="AY2972" i="4"/>
  <c r="AV2972" i="4"/>
  <c r="BA2971" i="4"/>
  <c r="AZ2971" i="4"/>
  <c r="AY2971" i="4"/>
  <c r="AV2971" i="4"/>
  <c r="BA2970" i="4"/>
  <c r="AZ2970" i="4"/>
  <c r="AY2970" i="4"/>
  <c r="AV2970" i="4"/>
  <c r="BA2969" i="4"/>
  <c r="AZ2969" i="4"/>
  <c r="AY2969" i="4"/>
  <c r="AV2969" i="4"/>
  <c r="BA2968" i="4"/>
  <c r="AZ2968" i="4"/>
  <c r="AY2968" i="4"/>
  <c r="AV2968" i="4"/>
  <c r="BA2967" i="4"/>
  <c r="AZ2967" i="4"/>
  <c r="AY2967" i="4"/>
  <c r="AV2967" i="4"/>
  <c r="BA2966" i="4"/>
  <c r="AZ2966" i="4"/>
  <c r="AY2966" i="4"/>
  <c r="AV2966" i="4"/>
  <c r="BA2965" i="4"/>
  <c r="AZ2965" i="4"/>
  <c r="AY2965" i="4"/>
  <c r="AV2965" i="4"/>
  <c r="BA2964" i="4"/>
  <c r="AZ2964" i="4"/>
  <c r="AY2964" i="4"/>
  <c r="AV2964" i="4"/>
  <c r="BA2963" i="4"/>
  <c r="AZ2963" i="4"/>
  <c r="AY2963" i="4"/>
  <c r="AV2963" i="4"/>
  <c r="BA2962" i="4"/>
  <c r="AZ2962" i="4"/>
  <c r="AY2962" i="4"/>
  <c r="AV2962" i="4"/>
  <c r="BA2961" i="4"/>
  <c r="AZ2961" i="4"/>
  <c r="AY2961" i="4"/>
  <c r="AV2961" i="4"/>
  <c r="BA2960" i="4"/>
  <c r="AZ2960" i="4"/>
  <c r="AY2960" i="4"/>
  <c r="AV2960" i="4"/>
  <c r="BA2959" i="4"/>
  <c r="AZ2959" i="4"/>
  <c r="AY2959" i="4"/>
  <c r="AV2959" i="4"/>
  <c r="BA2958" i="4"/>
  <c r="AZ2958" i="4"/>
  <c r="AY2958" i="4"/>
  <c r="AV2958" i="4"/>
  <c r="BA2957" i="4"/>
  <c r="AZ2957" i="4"/>
  <c r="AY2957" i="4"/>
  <c r="AV2957" i="4"/>
  <c r="BA2956" i="4"/>
  <c r="AZ2956" i="4"/>
  <c r="AY2956" i="4"/>
  <c r="AV2956" i="4"/>
  <c r="BA2955" i="4"/>
  <c r="AZ2955" i="4"/>
  <c r="AY2955" i="4"/>
  <c r="AV2955" i="4"/>
  <c r="BA2954" i="4"/>
  <c r="AZ2954" i="4"/>
  <c r="AY2954" i="4"/>
  <c r="AV2954" i="4"/>
  <c r="BA2953" i="4"/>
  <c r="AZ2953" i="4"/>
  <c r="AY2953" i="4"/>
  <c r="AV2953" i="4"/>
  <c r="BA2952" i="4"/>
  <c r="AZ2952" i="4"/>
  <c r="AY2952" i="4"/>
  <c r="AV2952" i="4"/>
  <c r="BA2951" i="4"/>
  <c r="AZ2951" i="4"/>
  <c r="AY2951" i="4"/>
  <c r="AV2951" i="4"/>
  <c r="BA2950" i="4"/>
  <c r="AZ2950" i="4"/>
  <c r="AY2950" i="4"/>
  <c r="AV2950" i="4"/>
  <c r="BA2949" i="4"/>
  <c r="AZ2949" i="4"/>
  <c r="AY2949" i="4"/>
  <c r="AV2949" i="4"/>
  <c r="BA2948" i="4"/>
  <c r="AZ2948" i="4"/>
  <c r="AY2948" i="4"/>
  <c r="AV2948" i="4"/>
  <c r="BA2947" i="4"/>
  <c r="AZ2947" i="4"/>
  <c r="AY2947" i="4"/>
  <c r="AV2947" i="4"/>
  <c r="BA2946" i="4"/>
  <c r="AZ2946" i="4"/>
  <c r="AY2946" i="4"/>
  <c r="AV2946" i="4"/>
  <c r="BA2945" i="4"/>
  <c r="AZ2945" i="4"/>
  <c r="AY2945" i="4"/>
  <c r="AV2945" i="4"/>
  <c r="BA2944" i="4"/>
  <c r="AZ2944" i="4"/>
  <c r="AY2944" i="4"/>
  <c r="AV2944" i="4"/>
  <c r="BA2943" i="4"/>
  <c r="AZ2943" i="4"/>
  <c r="AY2943" i="4"/>
  <c r="AV2943" i="4"/>
  <c r="BA2942" i="4"/>
  <c r="AZ2942" i="4"/>
  <c r="AY2942" i="4"/>
  <c r="AV2942" i="4"/>
  <c r="BA2941" i="4"/>
  <c r="AZ2941" i="4"/>
  <c r="AY2941" i="4"/>
  <c r="AV2941" i="4"/>
  <c r="BA2940" i="4"/>
  <c r="AZ2940" i="4"/>
  <c r="AY2940" i="4"/>
  <c r="AV2940" i="4"/>
  <c r="BA2939" i="4"/>
  <c r="AZ2939" i="4"/>
  <c r="AY2939" i="4"/>
  <c r="AV2939" i="4"/>
  <c r="BA2938" i="4"/>
  <c r="AZ2938" i="4"/>
  <c r="AY2938" i="4"/>
  <c r="AV2938" i="4"/>
  <c r="BA2937" i="4"/>
  <c r="AZ2937" i="4"/>
  <c r="AY2937" i="4"/>
  <c r="AV2937" i="4"/>
  <c r="BA2936" i="4"/>
  <c r="AZ2936" i="4"/>
  <c r="AY2936" i="4"/>
  <c r="AV2936" i="4"/>
  <c r="BA2935" i="4"/>
  <c r="AZ2935" i="4"/>
  <c r="AY2935" i="4"/>
  <c r="AV2935" i="4"/>
  <c r="BA2934" i="4"/>
  <c r="AZ2934" i="4"/>
  <c r="AY2934" i="4"/>
  <c r="AV2934" i="4"/>
  <c r="BA2933" i="4"/>
  <c r="AZ2933" i="4"/>
  <c r="AY2933" i="4"/>
  <c r="AV2933" i="4"/>
  <c r="BA2932" i="4"/>
  <c r="AZ2932" i="4"/>
  <c r="AY2932" i="4"/>
  <c r="AV2932" i="4"/>
  <c r="BA2931" i="4"/>
  <c r="AZ2931" i="4"/>
  <c r="AY2931" i="4"/>
  <c r="AV2931" i="4"/>
  <c r="BA2930" i="4"/>
  <c r="AZ2930" i="4"/>
  <c r="AY2930" i="4"/>
  <c r="AV2930" i="4"/>
  <c r="BA2929" i="4"/>
  <c r="AZ2929" i="4"/>
  <c r="AY2929" i="4"/>
  <c r="AV2929" i="4"/>
  <c r="BA2928" i="4"/>
  <c r="AZ2928" i="4"/>
  <c r="AY2928" i="4"/>
  <c r="AV2928" i="4"/>
  <c r="BA2927" i="4"/>
  <c r="AZ2927" i="4"/>
  <c r="AY2927" i="4"/>
  <c r="AV2927" i="4"/>
  <c r="BA2926" i="4"/>
  <c r="AZ2926" i="4"/>
  <c r="AY2926" i="4"/>
  <c r="AV2926" i="4"/>
  <c r="BA2925" i="4"/>
  <c r="AZ2925" i="4"/>
  <c r="AY2925" i="4"/>
  <c r="AV2925" i="4"/>
  <c r="BA2924" i="4"/>
  <c r="AZ2924" i="4"/>
  <c r="AY2924" i="4"/>
  <c r="AV2924" i="4"/>
  <c r="BA2923" i="4"/>
  <c r="AZ2923" i="4"/>
  <c r="AY2923" i="4"/>
  <c r="AV2923" i="4"/>
  <c r="BA2922" i="4"/>
  <c r="AZ2922" i="4"/>
  <c r="AY2922" i="4"/>
  <c r="AV2922" i="4"/>
  <c r="BA2921" i="4"/>
  <c r="AZ2921" i="4"/>
  <c r="AY2921" i="4"/>
  <c r="AV2921" i="4"/>
  <c r="BA2920" i="4"/>
  <c r="AZ2920" i="4"/>
  <c r="AY2920" i="4"/>
  <c r="AV2920" i="4"/>
  <c r="BA2919" i="4"/>
  <c r="AZ2919" i="4"/>
  <c r="AY2919" i="4"/>
  <c r="AV2919" i="4"/>
  <c r="BA2918" i="4"/>
  <c r="AZ2918" i="4"/>
  <c r="AY2918" i="4"/>
  <c r="AV2918" i="4"/>
  <c r="BA2917" i="4"/>
  <c r="AZ2917" i="4"/>
  <c r="AY2917" i="4"/>
  <c r="AV2917" i="4"/>
  <c r="BA2916" i="4"/>
  <c r="AZ2916" i="4"/>
  <c r="AY2916" i="4"/>
  <c r="AV2916" i="4"/>
  <c r="BA2915" i="4"/>
  <c r="AZ2915" i="4"/>
  <c r="AY2915" i="4"/>
  <c r="AV2915" i="4"/>
  <c r="BA2914" i="4"/>
  <c r="AZ2914" i="4"/>
  <c r="AY2914" i="4"/>
  <c r="AV2914" i="4"/>
  <c r="BA2913" i="4"/>
  <c r="AZ2913" i="4"/>
  <c r="AY2913" i="4"/>
  <c r="AV2913" i="4"/>
  <c r="BA2912" i="4"/>
  <c r="AZ2912" i="4"/>
  <c r="AY2912" i="4"/>
  <c r="AV2912" i="4"/>
  <c r="BA2911" i="4"/>
  <c r="AZ2911" i="4"/>
  <c r="AY2911" i="4"/>
  <c r="AV2911" i="4"/>
  <c r="BA2910" i="4"/>
  <c r="AZ2910" i="4"/>
  <c r="AY2910" i="4"/>
  <c r="AV2910" i="4"/>
  <c r="BA2909" i="4"/>
  <c r="AZ2909" i="4"/>
  <c r="AY2909" i="4"/>
  <c r="AV2909" i="4"/>
  <c r="BA2908" i="4"/>
  <c r="AZ2908" i="4"/>
  <c r="AY2908" i="4"/>
  <c r="AV2908" i="4"/>
  <c r="BA2907" i="4"/>
  <c r="AZ2907" i="4"/>
  <c r="AY2907" i="4"/>
  <c r="AV2907" i="4"/>
  <c r="BA2906" i="4"/>
  <c r="AZ2906" i="4"/>
  <c r="AY2906" i="4"/>
  <c r="AV2906" i="4"/>
  <c r="BA2905" i="4"/>
  <c r="AZ2905" i="4"/>
  <c r="AY2905" i="4"/>
  <c r="AV2905" i="4"/>
  <c r="BA2904" i="4"/>
  <c r="AZ2904" i="4"/>
  <c r="AY2904" i="4"/>
  <c r="AV2904" i="4"/>
  <c r="BA2903" i="4"/>
  <c r="AZ2903" i="4"/>
  <c r="AY2903" i="4"/>
  <c r="AV2903" i="4"/>
  <c r="BA2902" i="4"/>
  <c r="AZ2902" i="4"/>
  <c r="AY2902" i="4"/>
  <c r="AV2902" i="4"/>
  <c r="BA2901" i="4"/>
  <c r="AZ2901" i="4"/>
  <c r="AY2901" i="4"/>
  <c r="AV2901" i="4"/>
  <c r="BA2900" i="4"/>
  <c r="AZ2900" i="4"/>
  <c r="AY2900" i="4"/>
  <c r="AV2900" i="4"/>
  <c r="BA2899" i="4"/>
  <c r="AZ2899" i="4"/>
  <c r="AY2899" i="4"/>
  <c r="AV2899" i="4"/>
  <c r="BA2898" i="4"/>
  <c r="AZ2898" i="4"/>
  <c r="AY2898" i="4"/>
  <c r="AV2898" i="4"/>
  <c r="BA2897" i="4"/>
  <c r="AZ2897" i="4"/>
  <c r="AY2897" i="4"/>
  <c r="AV2897" i="4"/>
  <c r="BA2896" i="4"/>
  <c r="AZ2896" i="4"/>
  <c r="AY2896" i="4"/>
  <c r="AV2896" i="4"/>
  <c r="BA2895" i="4"/>
  <c r="AZ2895" i="4"/>
  <c r="AY2895" i="4"/>
  <c r="AV2895" i="4"/>
  <c r="BA2894" i="4"/>
  <c r="AZ2894" i="4"/>
  <c r="AY2894" i="4"/>
  <c r="AV2894" i="4"/>
  <c r="BA2893" i="4"/>
  <c r="AZ2893" i="4"/>
  <c r="AY2893" i="4"/>
  <c r="AV2893" i="4"/>
  <c r="BA2892" i="4"/>
  <c r="AZ2892" i="4"/>
  <c r="AY2892" i="4"/>
  <c r="AV2892" i="4"/>
  <c r="BA2891" i="4"/>
  <c r="AZ2891" i="4"/>
  <c r="AY2891" i="4"/>
  <c r="AV2891" i="4"/>
  <c r="BA2890" i="4"/>
  <c r="AZ2890" i="4"/>
  <c r="AY2890" i="4"/>
  <c r="AV2890" i="4"/>
  <c r="BA2889" i="4"/>
  <c r="AZ2889" i="4"/>
  <c r="AY2889" i="4"/>
  <c r="AV2889" i="4"/>
  <c r="BA2888" i="4"/>
  <c r="AZ2888" i="4"/>
  <c r="AY2888" i="4"/>
  <c r="AV2888" i="4"/>
  <c r="BA2887" i="4"/>
  <c r="AZ2887" i="4"/>
  <c r="AY2887" i="4"/>
  <c r="AV2887" i="4"/>
  <c r="BA2886" i="4"/>
  <c r="AZ2886" i="4"/>
  <c r="AY2886" i="4"/>
  <c r="AV2886" i="4"/>
  <c r="BA2885" i="4"/>
  <c r="AZ2885" i="4"/>
  <c r="AY2885" i="4"/>
  <c r="AV2885" i="4"/>
  <c r="BA2884" i="4"/>
  <c r="AZ2884" i="4"/>
  <c r="AY2884" i="4"/>
  <c r="AV2884" i="4"/>
  <c r="BA2883" i="4"/>
  <c r="AZ2883" i="4"/>
  <c r="AY2883" i="4"/>
  <c r="AV2883" i="4"/>
  <c r="BA2882" i="4"/>
  <c r="AZ2882" i="4"/>
  <c r="AY2882" i="4"/>
  <c r="AV2882" i="4"/>
  <c r="BA2881" i="4"/>
  <c r="AZ2881" i="4"/>
  <c r="AY2881" i="4"/>
  <c r="AV2881" i="4"/>
  <c r="BA2880" i="4"/>
  <c r="AZ2880" i="4"/>
  <c r="AY2880" i="4"/>
  <c r="AV2880" i="4"/>
  <c r="BA2879" i="4"/>
  <c r="AZ2879" i="4"/>
  <c r="AY2879" i="4"/>
  <c r="AV2879" i="4"/>
  <c r="BA2878" i="4"/>
  <c r="AZ2878" i="4"/>
  <c r="AY2878" i="4"/>
  <c r="AV2878" i="4"/>
  <c r="BA2877" i="4"/>
  <c r="AZ2877" i="4"/>
  <c r="AY2877" i="4"/>
  <c r="AV2877" i="4"/>
  <c r="BA2876" i="4"/>
  <c r="AZ2876" i="4"/>
  <c r="AY2876" i="4"/>
  <c r="AV2876" i="4"/>
  <c r="BA2875" i="4"/>
  <c r="AZ2875" i="4"/>
  <c r="AY2875" i="4"/>
  <c r="AV2875" i="4"/>
  <c r="BA2874" i="4"/>
  <c r="AZ2874" i="4"/>
  <c r="AY2874" i="4"/>
  <c r="AV2874" i="4"/>
  <c r="BA2873" i="4"/>
  <c r="AZ2873" i="4"/>
  <c r="AY2873" i="4"/>
  <c r="AV2873" i="4"/>
  <c r="BA2872" i="4"/>
  <c r="AZ2872" i="4"/>
  <c r="AY2872" i="4"/>
  <c r="AV2872" i="4"/>
  <c r="BA2871" i="4"/>
  <c r="AZ2871" i="4"/>
  <c r="AY2871" i="4"/>
  <c r="AV2871" i="4"/>
  <c r="BA2870" i="4"/>
  <c r="AZ2870" i="4"/>
  <c r="AY2870" i="4"/>
  <c r="AV2870" i="4"/>
  <c r="BA2869" i="4"/>
  <c r="AZ2869" i="4"/>
  <c r="AY2869" i="4"/>
  <c r="AV2869" i="4"/>
  <c r="BA2868" i="4"/>
  <c r="AZ2868" i="4"/>
  <c r="AY2868" i="4"/>
  <c r="AV2868" i="4"/>
  <c r="BA2867" i="4"/>
  <c r="AZ2867" i="4"/>
  <c r="AY2867" i="4"/>
  <c r="AV2867" i="4"/>
  <c r="BA2866" i="4"/>
  <c r="AZ2866" i="4"/>
  <c r="AY2866" i="4"/>
  <c r="AV2866" i="4"/>
  <c r="BA2865" i="4"/>
  <c r="AZ2865" i="4"/>
  <c r="AY2865" i="4"/>
  <c r="AV2865" i="4"/>
  <c r="BA2864" i="4"/>
  <c r="AZ2864" i="4"/>
  <c r="AY2864" i="4"/>
  <c r="AV2864" i="4"/>
  <c r="BA2863" i="4"/>
  <c r="AZ2863" i="4"/>
  <c r="AY2863" i="4"/>
  <c r="AV2863" i="4"/>
  <c r="BA2862" i="4"/>
  <c r="AZ2862" i="4"/>
  <c r="AY2862" i="4"/>
  <c r="AV2862" i="4"/>
  <c r="BA2861" i="4"/>
  <c r="AZ2861" i="4"/>
  <c r="AY2861" i="4"/>
  <c r="AV2861" i="4"/>
  <c r="BA2860" i="4"/>
  <c r="AZ2860" i="4"/>
  <c r="AY2860" i="4"/>
  <c r="AV2860" i="4"/>
  <c r="BA2859" i="4"/>
  <c r="AZ2859" i="4"/>
  <c r="AY2859" i="4"/>
  <c r="AV2859" i="4"/>
  <c r="BA2858" i="4"/>
  <c r="AZ2858" i="4"/>
  <c r="AY2858" i="4"/>
  <c r="AV2858" i="4"/>
  <c r="BA2857" i="4"/>
  <c r="AZ2857" i="4"/>
  <c r="AY2857" i="4"/>
  <c r="AV2857" i="4"/>
  <c r="BA2856" i="4"/>
  <c r="AZ2856" i="4"/>
  <c r="AY2856" i="4"/>
  <c r="AV2856" i="4"/>
  <c r="BA2855" i="4"/>
  <c r="AZ2855" i="4"/>
  <c r="AY2855" i="4"/>
  <c r="AV2855" i="4"/>
  <c r="BA2854" i="4"/>
  <c r="AZ2854" i="4"/>
  <c r="AY2854" i="4"/>
  <c r="AV2854" i="4"/>
  <c r="BA2853" i="4"/>
  <c r="AZ2853" i="4"/>
  <c r="AY2853" i="4"/>
  <c r="AV2853" i="4"/>
  <c r="BA2852" i="4"/>
  <c r="AZ2852" i="4"/>
  <c r="AY2852" i="4"/>
  <c r="AV2852" i="4"/>
  <c r="BA2851" i="4"/>
  <c r="AZ2851" i="4"/>
  <c r="AY2851" i="4"/>
  <c r="AV2851" i="4"/>
  <c r="BA2850" i="4"/>
  <c r="AZ2850" i="4"/>
  <c r="AY2850" i="4"/>
  <c r="AV2850" i="4"/>
  <c r="BA2849" i="4"/>
  <c r="AZ2849" i="4"/>
  <c r="AY2849" i="4"/>
  <c r="AV2849" i="4"/>
  <c r="BA2848" i="4"/>
  <c r="AZ2848" i="4"/>
  <c r="AY2848" i="4"/>
  <c r="AV2848" i="4"/>
  <c r="BA2847" i="4"/>
  <c r="AZ2847" i="4"/>
  <c r="AY2847" i="4"/>
  <c r="AV2847" i="4"/>
  <c r="BA2846" i="4"/>
  <c r="AZ2846" i="4"/>
  <c r="AY2846" i="4"/>
  <c r="AV2846" i="4"/>
  <c r="BA2845" i="4"/>
  <c r="AZ2845" i="4"/>
  <c r="AY2845" i="4"/>
  <c r="AV2845" i="4"/>
  <c r="BA2844" i="4"/>
  <c r="AZ2844" i="4"/>
  <c r="AY2844" i="4"/>
  <c r="AV2844" i="4"/>
  <c r="BA2843" i="4"/>
  <c r="AZ2843" i="4"/>
  <c r="AY2843" i="4"/>
  <c r="AV2843" i="4"/>
  <c r="BA2842" i="4"/>
  <c r="AZ2842" i="4"/>
  <c r="AY2842" i="4"/>
  <c r="AV2842" i="4"/>
  <c r="BA2841" i="4"/>
  <c r="AZ2841" i="4"/>
  <c r="AY2841" i="4"/>
  <c r="AV2841" i="4"/>
  <c r="BA2840" i="4"/>
  <c r="AZ2840" i="4"/>
  <c r="AY2840" i="4"/>
  <c r="AV2840" i="4"/>
  <c r="BA2839" i="4"/>
  <c r="AZ2839" i="4"/>
  <c r="AY2839" i="4"/>
  <c r="AV2839" i="4"/>
  <c r="BA2838" i="4"/>
  <c r="AZ2838" i="4"/>
  <c r="AY2838" i="4"/>
  <c r="AV2838" i="4"/>
  <c r="BA2837" i="4"/>
  <c r="AZ2837" i="4"/>
  <c r="AY2837" i="4"/>
  <c r="AV2837" i="4"/>
  <c r="BA2836" i="4"/>
  <c r="AZ2836" i="4"/>
  <c r="AY2836" i="4"/>
  <c r="AV2836" i="4"/>
  <c r="BA2835" i="4"/>
  <c r="AZ2835" i="4"/>
  <c r="AY2835" i="4"/>
  <c r="AV2835" i="4"/>
  <c r="BA2834" i="4"/>
  <c r="AZ2834" i="4"/>
  <c r="AY2834" i="4"/>
  <c r="AV2834" i="4"/>
  <c r="BA2833" i="4"/>
  <c r="AZ2833" i="4"/>
  <c r="AY2833" i="4"/>
  <c r="AV2833" i="4"/>
  <c r="BA2832" i="4"/>
  <c r="AZ2832" i="4"/>
  <c r="AY2832" i="4"/>
  <c r="AV2832" i="4"/>
  <c r="BA2831" i="4"/>
  <c r="AZ2831" i="4"/>
  <c r="AY2831" i="4"/>
  <c r="AV2831" i="4"/>
  <c r="BA2830" i="4"/>
  <c r="AZ2830" i="4"/>
  <c r="AY2830" i="4"/>
  <c r="AV2830" i="4"/>
  <c r="BA2829" i="4"/>
  <c r="AZ2829" i="4"/>
  <c r="AY2829" i="4"/>
  <c r="AV2829" i="4"/>
  <c r="BA2828" i="4"/>
  <c r="AZ2828" i="4"/>
  <c r="AY2828" i="4"/>
  <c r="AV2828" i="4"/>
  <c r="BA2827" i="4"/>
  <c r="AZ2827" i="4"/>
  <c r="AY2827" i="4"/>
  <c r="AV2827" i="4"/>
  <c r="BA2826" i="4"/>
  <c r="AZ2826" i="4"/>
  <c r="AY2826" i="4"/>
  <c r="AV2826" i="4"/>
  <c r="BA2825" i="4"/>
  <c r="AZ2825" i="4"/>
  <c r="AY2825" i="4"/>
  <c r="AV2825" i="4"/>
  <c r="BA2824" i="4"/>
  <c r="AZ2824" i="4"/>
  <c r="AY2824" i="4"/>
  <c r="AV2824" i="4"/>
  <c r="BA2823" i="4"/>
  <c r="AZ2823" i="4"/>
  <c r="AY2823" i="4"/>
  <c r="AV2823" i="4"/>
  <c r="BA2822" i="4"/>
  <c r="AZ2822" i="4"/>
  <c r="AY2822" i="4"/>
  <c r="AV2822" i="4"/>
  <c r="BA2821" i="4"/>
  <c r="AZ2821" i="4"/>
  <c r="AY2821" i="4"/>
  <c r="AV2821" i="4"/>
  <c r="BA2820" i="4"/>
  <c r="AZ2820" i="4"/>
  <c r="AY2820" i="4"/>
  <c r="AV2820" i="4"/>
  <c r="BA2819" i="4"/>
  <c r="AZ2819" i="4"/>
  <c r="AY2819" i="4"/>
  <c r="AV2819" i="4"/>
  <c r="BA2818" i="4"/>
  <c r="AZ2818" i="4"/>
  <c r="AY2818" i="4"/>
  <c r="AV2818" i="4"/>
  <c r="BA2817" i="4"/>
  <c r="AZ2817" i="4"/>
  <c r="AY2817" i="4"/>
  <c r="AV2817" i="4"/>
  <c r="BA2816" i="4"/>
  <c r="AZ2816" i="4"/>
  <c r="AY2816" i="4"/>
  <c r="AV2816" i="4"/>
  <c r="BA2815" i="4"/>
  <c r="AZ2815" i="4"/>
  <c r="AY2815" i="4"/>
  <c r="AV2815" i="4"/>
  <c r="BA2814" i="4"/>
  <c r="AZ2814" i="4"/>
  <c r="AY2814" i="4"/>
  <c r="AV2814" i="4"/>
  <c r="BA2813" i="4"/>
  <c r="AZ2813" i="4"/>
  <c r="AY2813" i="4"/>
  <c r="AV2813" i="4"/>
  <c r="BA2812" i="4"/>
  <c r="AZ2812" i="4"/>
  <c r="AY2812" i="4"/>
  <c r="AV2812" i="4"/>
  <c r="BA2811" i="4"/>
  <c r="AZ2811" i="4"/>
  <c r="AY2811" i="4"/>
  <c r="AV2811" i="4"/>
  <c r="BA2810" i="4"/>
  <c r="AZ2810" i="4"/>
  <c r="AY2810" i="4"/>
  <c r="AV2810" i="4"/>
  <c r="BA2809" i="4"/>
  <c r="AZ2809" i="4"/>
  <c r="AY2809" i="4"/>
  <c r="AV2809" i="4"/>
  <c r="BA2808" i="4"/>
  <c r="AZ2808" i="4"/>
  <c r="AY2808" i="4"/>
  <c r="AV2808" i="4"/>
  <c r="BA2807" i="4"/>
  <c r="AZ2807" i="4"/>
  <c r="AY2807" i="4"/>
  <c r="AV2807" i="4"/>
  <c r="BA2806" i="4"/>
  <c r="AZ2806" i="4"/>
  <c r="AY2806" i="4"/>
  <c r="AV2806" i="4"/>
  <c r="BA2805" i="4"/>
  <c r="AZ2805" i="4"/>
  <c r="AY2805" i="4"/>
  <c r="AV2805" i="4"/>
  <c r="BA2804" i="4"/>
  <c r="AZ2804" i="4"/>
  <c r="AY2804" i="4"/>
  <c r="AV2804" i="4"/>
  <c r="BA2803" i="4"/>
  <c r="AZ2803" i="4"/>
  <c r="AY2803" i="4"/>
  <c r="AV2803" i="4"/>
  <c r="BA2802" i="4"/>
  <c r="AZ2802" i="4"/>
  <c r="AY2802" i="4"/>
  <c r="AV2802" i="4"/>
  <c r="BA2801" i="4"/>
  <c r="AZ2801" i="4"/>
  <c r="AY2801" i="4"/>
  <c r="AV2801" i="4"/>
  <c r="BA2800" i="4"/>
  <c r="AZ2800" i="4"/>
  <c r="AY2800" i="4"/>
  <c r="AV2800" i="4"/>
  <c r="BA2799" i="4"/>
  <c r="AZ2799" i="4"/>
  <c r="AY2799" i="4"/>
  <c r="AV2799" i="4"/>
  <c r="BA2798" i="4"/>
  <c r="AZ2798" i="4"/>
  <c r="AY2798" i="4"/>
  <c r="AV2798" i="4"/>
  <c r="BA2797" i="4"/>
  <c r="AZ2797" i="4"/>
  <c r="AY2797" i="4"/>
  <c r="AV2797" i="4"/>
  <c r="BA2796" i="4"/>
  <c r="AZ2796" i="4"/>
  <c r="AY2796" i="4"/>
  <c r="AV2796" i="4"/>
  <c r="BA2795" i="4"/>
  <c r="AZ2795" i="4"/>
  <c r="AY2795" i="4"/>
  <c r="AV2795" i="4"/>
  <c r="BA2794" i="4"/>
  <c r="AZ2794" i="4"/>
  <c r="AY2794" i="4"/>
  <c r="AV2794" i="4"/>
  <c r="BA2793" i="4"/>
  <c r="AZ2793" i="4"/>
  <c r="AY2793" i="4"/>
  <c r="AV2793" i="4"/>
  <c r="BA2792" i="4"/>
  <c r="AZ2792" i="4"/>
  <c r="AY2792" i="4"/>
  <c r="AV2792" i="4"/>
  <c r="BA2791" i="4"/>
  <c r="AZ2791" i="4"/>
  <c r="AY2791" i="4"/>
  <c r="AV2791" i="4"/>
  <c r="BA2790" i="4"/>
  <c r="AZ2790" i="4"/>
  <c r="AY2790" i="4"/>
  <c r="AV2790" i="4"/>
  <c r="BA2789" i="4"/>
  <c r="AZ2789" i="4"/>
  <c r="AY2789" i="4"/>
  <c r="AV2789" i="4"/>
  <c r="BA2788" i="4"/>
  <c r="AZ2788" i="4"/>
  <c r="AY2788" i="4"/>
  <c r="AV2788" i="4"/>
  <c r="BA2787" i="4"/>
  <c r="AZ2787" i="4"/>
  <c r="AY2787" i="4"/>
  <c r="AV2787" i="4"/>
  <c r="BA2786" i="4"/>
  <c r="AZ2786" i="4"/>
  <c r="AY2786" i="4"/>
  <c r="AV2786" i="4"/>
  <c r="BA2785" i="4"/>
  <c r="AZ2785" i="4"/>
  <c r="AY2785" i="4"/>
  <c r="AV2785" i="4"/>
  <c r="BA2784" i="4"/>
  <c r="AZ2784" i="4"/>
  <c r="AY2784" i="4"/>
  <c r="AV2784" i="4"/>
  <c r="BA2783" i="4"/>
  <c r="AZ2783" i="4"/>
  <c r="AY2783" i="4"/>
  <c r="AV2783" i="4"/>
  <c r="BA2782" i="4"/>
  <c r="AZ2782" i="4"/>
  <c r="AY2782" i="4"/>
  <c r="AV2782" i="4"/>
  <c r="BA2781" i="4"/>
  <c r="AZ2781" i="4"/>
  <c r="AY2781" i="4"/>
  <c r="AV2781" i="4"/>
  <c r="BA2780" i="4"/>
  <c r="AZ2780" i="4"/>
  <c r="AY2780" i="4"/>
  <c r="AV2780" i="4"/>
  <c r="BA2779" i="4"/>
  <c r="AZ2779" i="4"/>
  <c r="AY2779" i="4"/>
  <c r="AV2779" i="4"/>
  <c r="BA2778" i="4"/>
  <c r="AZ2778" i="4"/>
  <c r="AY2778" i="4"/>
  <c r="AV2778" i="4"/>
  <c r="BA2777" i="4"/>
  <c r="AZ2777" i="4"/>
  <c r="AY2777" i="4"/>
  <c r="AV2777" i="4"/>
  <c r="BA2776" i="4"/>
  <c r="AZ2776" i="4"/>
  <c r="AY2776" i="4"/>
  <c r="AV2776" i="4"/>
  <c r="BA2775" i="4"/>
  <c r="AZ2775" i="4"/>
  <c r="AY2775" i="4"/>
  <c r="AV2775" i="4"/>
  <c r="BA2774" i="4"/>
  <c r="AZ2774" i="4"/>
  <c r="AY2774" i="4"/>
  <c r="AV2774" i="4"/>
  <c r="BA2773" i="4"/>
  <c r="AZ2773" i="4"/>
  <c r="AY2773" i="4"/>
  <c r="AV2773" i="4"/>
  <c r="BA2772" i="4"/>
  <c r="AZ2772" i="4"/>
  <c r="AY2772" i="4"/>
  <c r="AV2772" i="4"/>
  <c r="BA2771" i="4"/>
  <c r="AZ2771" i="4"/>
  <c r="AY2771" i="4"/>
  <c r="AV2771" i="4"/>
  <c r="BA2770" i="4"/>
  <c r="AZ2770" i="4"/>
  <c r="AY2770" i="4"/>
  <c r="AV2770" i="4"/>
  <c r="BA2769" i="4"/>
  <c r="AZ2769" i="4"/>
  <c r="AY2769" i="4"/>
  <c r="AV2769" i="4"/>
  <c r="BA2768" i="4"/>
  <c r="AZ2768" i="4"/>
  <c r="AY2768" i="4"/>
  <c r="AV2768" i="4"/>
  <c r="BA2767" i="4"/>
  <c r="AZ2767" i="4"/>
  <c r="AY2767" i="4"/>
  <c r="AV2767" i="4"/>
  <c r="BA2766" i="4"/>
  <c r="AZ2766" i="4"/>
  <c r="AY2766" i="4"/>
  <c r="AV2766" i="4"/>
  <c r="BA2765" i="4"/>
  <c r="AZ2765" i="4"/>
  <c r="AY2765" i="4"/>
  <c r="AV2765" i="4"/>
  <c r="BA2764" i="4"/>
  <c r="AZ2764" i="4"/>
  <c r="AY2764" i="4"/>
  <c r="AV2764" i="4"/>
  <c r="BA2763" i="4"/>
  <c r="AZ2763" i="4"/>
  <c r="AY2763" i="4"/>
  <c r="AV2763" i="4"/>
  <c r="BA2762" i="4"/>
  <c r="AZ2762" i="4"/>
  <c r="AY2762" i="4"/>
  <c r="AV2762" i="4"/>
  <c r="BA2761" i="4"/>
  <c r="AZ2761" i="4"/>
  <c r="AY2761" i="4"/>
  <c r="AV2761" i="4"/>
  <c r="BA2760" i="4"/>
  <c r="AZ2760" i="4"/>
  <c r="AY2760" i="4"/>
  <c r="AV2760" i="4"/>
  <c r="BA2759" i="4"/>
  <c r="AZ2759" i="4"/>
  <c r="AY2759" i="4"/>
  <c r="AV2759" i="4"/>
  <c r="BA2758" i="4"/>
  <c r="AZ2758" i="4"/>
  <c r="AY2758" i="4"/>
  <c r="AV2758" i="4"/>
  <c r="BA2757" i="4"/>
  <c r="AZ2757" i="4"/>
  <c r="AY2757" i="4"/>
  <c r="AV2757" i="4"/>
  <c r="BA2756" i="4"/>
  <c r="AZ2756" i="4"/>
  <c r="AY2756" i="4"/>
  <c r="AV2756" i="4"/>
  <c r="BA2755" i="4"/>
  <c r="AZ2755" i="4"/>
  <c r="AY2755" i="4"/>
  <c r="AV2755" i="4"/>
  <c r="BA2754" i="4"/>
  <c r="AZ2754" i="4"/>
  <c r="AY2754" i="4"/>
  <c r="AV2754" i="4"/>
  <c r="BA2753" i="4"/>
  <c r="AZ2753" i="4"/>
  <c r="AY2753" i="4"/>
  <c r="AV2753" i="4"/>
  <c r="BA2752" i="4"/>
  <c r="AZ2752" i="4"/>
  <c r="AY2752" i="4"/>
  <c r="AV2752" i="4"/>
  <c r="BA2751" i="4"/>
  <c r="AZ2751" i="4"/>
  <c r="AY2751" i="4"/>
  <c r="AV2751" i="4"/>
  <c r="BA2750" i="4"/>
  <c r="AZ2750" i="4"/>
  <c r="AY2750" i="4"/>
  <c r="AV2750" i="4"/>
  <c r="BA2749" i="4"/>
  <c r="AZ2749" i="4"/>
  <c r="AY2749" i="4"/>
  <c r="AV2749" i="4"/>
  <c r="BA2748" i="4"/>
  <c r="AZ2748" i="4"/>
  <c r="AY2748" i="4"/>
  <c r="AV2748" i="4"/>
  <c r="BA2747" i="4"/>
  <c r="AZ2747" i="4"/>
  <c r="AY2747" i="4"/>
  <c r="AV2747" i="4"/>
  <c r="BA2746" i="4"/>
  <c r="AZ2746" i="4"/>
  <c r="AY2746" i="4"/>
  <c r="AV2746" i="4"/>
  <c r="BA2745" i="4"/>
  <c r="AZ2745" i="4"/>
  <c r="AY2745" i="4"/>
  <c r="AV2745" i="4"/>
  <c r="BA2744" i="4"/>
  <c r="AZ2744" i="4"/>
  <c r="AY2744" i="4"/>
  <c r="AV2744" i="4"/>
  <c r="BA2743" i="4"/>
  <c r="AZ2743" i="4"/>
  <c r="AY2743" i="4"/>
  <c r="AV2743" i="4"/>
  <c r="BA2742" i="4"/>
  <c r="AZ2742" i="4"/>
  <c r="AY2742" i="4"/>
  <c r="AV2742" i="4"/>
  <c r="BA2741" i="4"/>
  <c r="AZ2741" i="4"/>
  <c r="AY2741" i="4"/>
  <c r="AV2741" i="4"/>
  <c r="BA2740" i="4"/>
  <c r="AZ2740" i="4"/>
  <c r="AY2740" i="4"/>
  <c r="AV2740" i="4"/>
  <c r="BA2739" i="4"/>
  <c r="AZ2739" i="4"/>
  <c r="AY2739" i="4"/>
  <c r="AV2739" i="4"/>
  <c r="BA2738" i="4"/>
  <c r="AZ2738" i="4"/>
  <c r="AY2738" i="4"/>
  <c r="AV2738" i="4"/>
  <c r="BA2737" i="4"/>
  <c r="AZ2737" i="4"/>
  <c r="AY2737" i="4"/>
  <c r="AV2737" i="4"/>
  <c r="BA2736" i="4"/>
  <c r="AZ2736" i="4"/>
  <c r="AY2736" i="4"/>
  <c r="AV2736" i="4"/>
  <c r="BA2735" i="4"/>
  <c r="AZ2735" i="4"/>
  <c r="AY2735" i="4"/>
  <c r="AV2735" i="4"/>
  <c r="BA2734" i="4"/>
  <c r="AZ2734" i="4"/>
  <c r="AY2734" i="4"/>
  <c r="AV2734" i="4"/>
  <c r="BA2733" i="4"/>
  <c r="AZ2733" i="4"/>
  <c r="AY2733" i="4"/>
  <c r="AV2733" i="4"/>
  <c r="BA2732" i="4"/>
  <c r="AZ2732" i="4"/>
  <c r="AY2732" i="4"/>
  <c r="AV2732" i="4"/>
  <c r="BA2731" i="4"/>
  <c r="AZ2731" i="4"/>
  <c r="AY2731" i="4"/>
  <c r="AV2731" i="4"/>
  <c r="BA2730" i="4"/>
  <c r="AZ2730" i="4"/>
  <c r="AY2730" i="4"/>
  <c r="AV2730" i="4"/>
  <c r="BA2729" i="4"/>
  <c r="AZ2729" i="4"/>
  <c r="AY2729" i="4"/>
  <c r="AV2729" i="4"/>
  <c r="BA2728" i="4"/>
  <c r="AZ2728" i="4"/>
  <c r="AY2728" i="4"/>
  <c r="AV2728" i="4"/>
  <c r="BA2727" i="4"/>
  <c r="AZ2727" i="4"/>
  <c r="AY2727" i="4"/>
  <c r="AV2727" i="4"/>
  <c r="BA2726" i="4"/>
  <c r="AZ2726" i="4"/>
  <c r="AY2726" i="4"/>
  <c r="AV2726" i="4"/>
  <c r="BA2725" i="4"/>
  <c r="AZ2725" i="4"/>
  <c r="AY2725" i="4"/>
  <c r="AV2725" i="4"/>
  <c r="BA2724" i="4"/>
  <c r="AZ2724" i="4"/>
  <c r="AY2724" i="4"/>
  <c r="AV2724" i="4"/>
  <c r="BA2723" i="4"/>
  <c r="AZ2723" i="4"/>
  <c r="AY2723" i="4"/>
  <c r="AV2723" i="4"/>
  <c r="BA2722" i="4"/>
  <c r="AZ2722" i="4"/>
  <c r="AY2722" i="4"/>
  <c r="AV2722" i="4"/>
  <c r="BA2721" i="4"/>
  <c r="AZ2721" i="4"/>
  <c r="AY2721" i="4"/>
  <c r="AV2721" i="4"/>
  <c r="BA2720" i="4"/>
  <c r="AZ2720" i="4"/>
  <c r="AY2720" i="4"/>
  <c r="AV2720" i="4"/>
  <c r="BA2719" i="4"/>
  <c r="AZ2719" i="4"/>
  <c r="AY2719" i="4"/>
  <c r="AV2719" i="4"/>
  <c r="BA2718" i="4"/>
  <c r="AZ2718" i="4"/>
  <c r="AY2718" i="4"/>
  <c r="AV2718" i="4"/>
  <c r="BA2717" i="4"/>
  <c r="AZ2717" i="4"/>
  <c r="AY2717" i="4"/>
  <c r="AV2717" i="4"/>
  <c r="BA2716" i="4"/>
  <c r="AZ2716" i="4"/>
  <c r="AY2716" i="4"/>
  <c r="AV2716" i="4"/>
  <c r="BA2715" i="4"/>
  <c r="AZ2715" i="4"/>
  <c r="AY2715" i="4"/>
  <c r="AV2715" i="4"/>
  <c r="BA2714" i="4"/>
  <c r="AZ2714" i="4"/>
  <c r="AY2714" i="4"/>
  <c r="AV2714" i="4"/>
  <c r="BA2713" i="4"/>
  <c r="AZ2713" i="4"/>
  <c r="AY2713" i="4"/>
  <c r="AV2713" i="4"/>
  <c r="BA2712" i="4"/>
  <c r="AZ2712" i="4"/>
  <c r="AY2712" i="4"/>
  <c r="AV2712" i="4"/>
  <c r="BA2711" i="4"/>
  <c r="AZ2711" i="4"/>
  <c r="AY2711" i="4"/>
  <c r="AV2711" i="4"/>
  <c r="BA2710" i="4"/>
  <c r="AZ2710" i="4"/>
  <c r="AY2710" i="4"/>
  <c r="AV2710" i="4"/>
  <c r="BA2709" i="4"/>
  <c r="AZ2709" i="4"/>
  <c r="AY2709" i="4"/>
  <c r="AV2709" i="4"/>
  <c r="BA2708" i="4"/>
  <c r="AZ2708" i="4"/>
  <c r="AY2708" i="4"/>
  <c r="AV2708" i="4"/>
  <c r="BA2707" i="4"/>
  <c r="AZ2707" i="4"/>
  <c r="AY2707" i="4"/>
  <c r="AV2707" i="4"/>
  <c r="BA2706" i="4"/>
  <c r="AZ2706" i="4"/>
  <c r="AY2706" i="4"/>
  <c r="AV2706" i="4"/>
  <c r="BA2705" i="4"/>
  <c r="AZ2705" i="4"/>
  <c r="AY2705" i="4"/>
  <c r="AV2705" i="4"/>
  <c r="BA2704" i="4"/>
  <c r="AZ2704" i="4"/>
  <c r="AY2704" i="4"/>
  <c r="AV2704" i="4"/>
  <c r="BA2703" i="4"/>
  <c r="AZ2703" i="4"/>
  <c r="AY2703" i="4"/>
  <c r="AV2703" i="4"/>
  <c r="BA2702" i="4"/>
  <c r="AZ2702" i="4"/>
  <c r="AY2702" i="4"/>
  <c r="AV2702" i="4"/>
  <c r="BA2701" i="4"/>
  <c r="AZ2701" i="4"/>
  <c r="AY2701" i="4"/>
  <c r="AV2701" i="4"/>
  <c r="BA2700" i="4"/>
  <c r="AZ2700" i="4"/>
  <c r="AY2700" i="4"/>
  <c r="AV2700" i="4"/>
  <c r="BA2699" i="4"/>
  <c r="AZ2699" i="4"/>
  <c r="AY2699" i="4"/>
  <c r="AV2699" i="4"/>
  <c r="BA2698" i="4"/>
  <c r="AZ2698" i="4"/>
  <c r="AY2698" i="4"/>
  <c r="AV2698" i="4"/>
  <c r="BA2697" i="4"/>
  <c r="AZ2697" i="4"/>
  <c r="AY2697" i="4"/>
  <c r="AV2697" i="4"/>
  <c r="BA2696" i="4"/>
  <c r="AZ2696" i="4"/>
  <c r="AY2696" i="4"/>
  <c r="AV2696" i="4"/>
  <c r="BA2695" i="4"/>
  <c r="AZ2695" i="4"/>
  <c r="AY2695" i="4"/>
  <c r="AV2695" i="4"/>
  <c r="BA2694" i="4"/>
  <c r="AZ2694" i="4"/>
  <c r="AY2694" i="4"/>
  <c r="AV2694" i="4"/>
  <c r="BA2693" i="4"/>
  <c r="AZ2693" i="4"/>
  <c r="AY2693" i="4"/>
  <c r="AV2693" i="4"/>
  <c r="BA2692" i="4"/>
  <c r="AZ2692" i="4"/>
  <c r="AY2692" i="4"/>
  <c r="AV2692" i="4"/>
  <c r="BA2691" i="4"/>
  <c r="AZ2691" i="4"/>
  <c r="AY2691" i="4"/>
  <c r="AV2691" i="4"/>
  <c r="BA2690" i="4"/>
  <c r="AZ2690" i="4"/>
  <c r="AY2690" i="4"/>
  <c r="AV2690" i="4"/>
  <c r="BA2689" i="4"/>
  <c r="AZ2689" i="4"/>
  <c r="AY2689" i="4"/>
  <c r="AV2689" i="4"/>
  <c r="BA2688" i="4"/>
  <c r="AZ2688" i="4"/>
  <c r="AY2688" i="4"/>
  <c r="AV2688" i="4"/>
  <c r="BA2687" i="4"/>
  <c r="AZ2687" i="4"/>
  <c r="AY2687" i="4"/>
  <c r="AV2687" i="4"/>
  <c r="BA2686" i="4"/>
  <c r="AZ2686" i="4"/>
  <c r="AY2686" i="4"/>
  <c r="AV2686" i="4"/>
  <c r="BA2685" i="4"/>
  <c r="AZ2685" i="4"/>
  <c r="AY2685" i="4"/>
  <c r="AV2685" i="4"/>
  <c r="BA2684" i="4"/>
  <c r="AZ2684" i="4"/>
  <c r="AY2684" i="4"/>
  <c r="AV2684" i="4"/>
  <c r="BA2683" i="4"/>
  <c r="AZ2683" i="4"/>
  <c r="AY2683" i="4"/>
  <c r="AV2683" i="4"/>
  <c r="BA2682" i="4"/>
  <c r="AZ2682" i="4"/>
  <c r="AY2682" i="4"/>
  <c r="AV2682" i="4"/>
  <c r="BA2681" i="4"/>
  <c r="AZ2681" i="4"/>
  <c r="AY2681" i="4"/>
  <c r="AV2681" i="4"/>
  <c r="BA2680" i="4"/>
  <c r="AZ2680" i="4"/>
  <c r="AY2680" i="4"/>
  <c r="AV2680" i="4"/>
  <c r="BA2679" i="4"/>
  <c r="AZ2679" i="4"/>
  <c r="AY2679" i="4"/>
  <c r="AV2679" i="4"/>
  <c r="BA2678" i="4"/>
  <c r="AZ2678" i="4"/>
  <c r="AY2678" i="4"/>
  <c r="AV2678" i="4"/>
  <c r="BA2677" i="4"/>
  <c r="AZ2677" i="4"/>
  <c r="AY2677" i="4"/>
  <c r="AV2677" i="4"/>
  <c r="BA2676" i="4"/>
  <c r="AZ2676" i="4"/>
  <c r="AY2676" i="4"/>
  <c r="AV2676" i="4"/>
  <c r="BA2675" i="4"/>
  <c r="AZ2675" i="4"/>
  <c r="AY2675" i="4"/>
  <c r="AV2675" i="4"/>
  <c r="BA2674" i="4"/>
  <c r="AZ2674" i="4"/>
  <c r="AY2674" i="4"/>
  <c r="AV2674" i="4"/>
  <c r="BA2673" i="4"/>
  <c r="AZ2673" i="4"/>
  <c r="AY2673" i="4"/>
  <c r="AV2673" i="4"/>
  <c r="BA2672" i="4"/>
  <c r="AZ2672" i="4"/>
  <c r="AY2672" i="4"/>
  <c r="AV2672" i="4"/>
  <c r="BA2671" i="4"/>
  <c r="AZ2671" i="4"/>
  <c r="AY2671" i="4"/>
  <c r="AV2671" i="4"/>
  <c r="BA2670" i="4"/>
  <c r="AZ2670" i="4"/>
  <c r="AY2670" i="4"/>
  <c r="AV2670" i="4"/>
  <c r="BA2669" i="4"/>
  <c r="AZ2669" i="4"/>
  <c r="AY2669" i="4"/>
  <c r="AV2669" i="4"/>
  <c r="BA2668" i="4"/>
  <c r="AZ2668" i="4"/>
  <c r="AY2668" i="4"/>
  <c r="AV2668" i="4"/>
  <c r="BA2667" i="4"/>
  <c r="AZ2667" i="4"/>
  <c r="AY2667" i="4"/>
  <c r="AV2667" i="4"/>
  <c r="BA2666" i="4"/>
  <c r="AZ2666" i="4"/>
  <c r="AY2666" i="4"/>
  <c r="AV2666" i="4"/>
  <c r="BA2665" i="4"/>
  <c r="AZ2665" i="4"/>
  <c r="AY2665" i="4"/>
  <c r="AV2665" i="4"/>
  <c r="BA2664" i="4"/>
  <c r="AZ2664" i="4"/>
  <c r="AY2664" i="4"/>
  <c r="AV2664" i="4"/>
  <c r="BA2663" i="4"/>
  <c r="AZ2663" i="4"/>
  <c r="AY2663" i="4"/>
  <c r="AV2663" i="4"/>
  <c r="BA2662" i="4"/>
  <c r="AZ2662" i="4"/>
  <c r="AY2662" i="4"/>
  <c r="AV2662" i="4"/>
  <c r="BA2661" i="4"/>
  <c r="AZ2661" i="4"/>
  <c r="AY2661" i="4"/>
  <c r="AV2661" i="4"/>
  <c r="BA2660" i="4"/>
  <c r="AZ2660" i="4"/>
  <c r="AY2660" i="4"/>
  <c r="AV2660" i="4"/>
  <c r="BA2659" i="4"/>
  <c r="AZ2659" i="4"/>
  <c r="AY2659" i="4"/>
  <c r="AV2659" i="4"/>
  <c r="BA2658" i="4"/>
  <c r="AZ2658" i="4"/>
  <c r="AY2658" i="4"/>
  <c r="AV2658" i="4"/>
  <c r="BA2657" i="4"/>
  <c r="AZ2657" i="4"/>
  <c r="AY2657" i="4"/>
  <c r="AV2657" i="4"/>
  <c r="BA2656" i="4"/>
  <c r="AZ2656" i="4"/>
  <c r="AY2656" i="4"/>
  <c r="AV2656" i="4"/>
  <c r="BA2655" i="4"/>
  <c r="AZ2655" i="4"/>
  <c r="AY2655" i="4"/>
  <c r="AV2655" i="4"/>
  <c r="BA2654" i="4"/>
  <c r="AZ2654" i="4"/>
  <c r="AY2654" i="4"/>
  <c r="AV2654" i="4"/>
  <c r="BA2653" i="4"/>
  <c r="AZ2653" i="4"/>
  <c r="AY2653" i="4"/>
  <c r="AV2653" i="4"/>
  <c r="BA2652" i="4"/>
  <c r="AZ2652" i="4"/>
  <c r="AY2652" i="4"/>
  <c r="AV2652" i="4"/>
  <c r="BA2651" i="4"/>
  <c r="AZ2651" i="4"/>
  <c r="AY2651" i="4"/>
  <c r="AV2651" i="4"/>
  <c r="BA2650" i="4"/>
  <c r="AZ2650" i="4"/>
  <c r="AY2650" i="4"/>
  <c r="AV2650" i="4"/>
  <c r="BA2649" i="4"/>
  <c r="AZ2649" i="4"/>
  <c r="AY2649" i="4"/>
  <c r="AV2649" i="4"/>
  <c r="BA2648" i="4"/>
  <c r="AZ2648" i="4"/>
  <c r="AY2648" i="4"/>
  <c r="AV2648" i="4"/>
  <c r="BA2647" i="4"/>
  <c r="AZ2647" i="4"/>
  <c r="AY2647" i="4"/>
  <c r="AV2647" i="4"/>
  <c r="BA2646" i="4"/>
  <c r="AZ2646" i="4"/>
  <c r="AY2646" i="4"/>
  <c r="AV2646" i="4"/>
  <c r="BA2645" i="4"/>
  <c r="AZ2645" i="4"/>
  <c r="AY2645" i="4"/>
  <c r="AV2645" i="4"/>
  <c r="BA2644" i="4"/>
  <c r="AZ2644" i="4"/>
  <c r="AY2644" i="4"/>
  <c r="AV2644" i="4"/>
  <c r="BA2643" i="4"/>
  <c r="AZ2643" i="4"/>
  <c r="AY2643" i="4"/>
  <c r="AV2643" i="4"/>
  <c r="BA2642" i="4"/>
  <c r="AZ2642" i="4"/>
  <c r="AY2642" i="4"/>
  <c r="AV2642" i="4"/>
  <c r="BA2641" i="4"/>
  <c r="AZ2641" i="4"/>
  <c r="AY2641" i="4"/>
  <c r="AV2641" i="4"/>
  <c r="BA2640" i="4"/>
  <c r="AZ2640" i="4"/>
  <c r="AY2640" i="4"/>
  <c r="AV2640" i="4"/>
  <c r="BA2639" i="4"/>
  <c r="AZ2639" i="4"/>
  <c r="AY2639" i="4"/>
  <c r="AV2639" i="4"/>
  <c r="BA2638" i="4"/>
  <c r="AZ2638" i="4"/>
  <c r="AY2638" i="4"/>
  <c r="AV2638" i="4"/>
  <c r="BA2637" i="4"/>
  <c r="AZ2637" i="4"/>
  <c r="AY2637" i="4"/>
  <c r="AV2637" i="4"/>
  <c r="BA2636" i="4"/>
  <c r="AZ2636" i="4"/>
  <c r="AY2636" i="4"/>
  <c r="AV2636" i="4"/>
  <c r="BA2635" i="4"/>
  <c r="AZ2635" i="4"/>
  <c r="AY2635" i="4"/>
  <c r="AV2635" i="4"/>
  <c r="BA2634" i="4"/>
  <c r="AZ2634" i="4"/>
  <c r="AY2634" i="4"/>
  <c r="AV2634" i="4"/>
  <c r="BA2633" i="4"/>
  <c r="AZ2633" i="4"/>
  <c r="AY2633" i="4"/>
  <c r="AV2633" i="4"/>
  <c r="BA2632" i="4"/>
  <c r="AZ2632" i="4"/>
  <c r="AY2632" i="4"/>
  <c r="AV2632" i="4"/>
  <c r="BA2631" i="4"/>
  <c r="AZ2631" i="4"/>
  <c r="AY2631" i="4"/>
  <c r="AV2631" i="4"/>
  <c r="BA2630" i="4"/>
  <c r="AZ2630" i="4"/>
  <c r="AY2630" i="4"/>
  <c r="AV2630" i="4"/>
  <c r="BA2629" i="4"/>
  <c r="AZ2629" i="4"/>
  <c r="AY2629" i="4"/>
  <c r="AV2629" i="4"/>
  <c r="BA2628" i="4"/>
  <c r="AZ2628" i="4"/>
  <c r="AY2628" i="4"/>
  <c r="AV2628" i="4"/>
  <c r="BA2627" i="4"/>
  <c r="AZ2627" i="4"/>
  <c r="AY2627" i="4"/>
  <c r="AV2627" i="4"/>
  <c r="BA2626" i="4"/>
  <c r="AZ2626" i="4"/>
  <c r="AY2626" i="4"/>
  <c r="AV2626" i="4"/>
  <c r="BA2625" i="4"/>
  <c r="AZ2625" i="4"/>
  <c r="AY2625" i="4"/>
  <c r="AV2625" i="4"/>
  <c r="BA2624" i="4"/>
  <c r="AZ2624" i="4"/>
  <c r="AY2624" i="4"/>
  <c r="AV2624" i="4"/>
  <c r="BA2623" i="4"/>
  <c r="AZ2623" i="4"/>
  <c r="AY2623" i="4"/>
  <c r="AV2623" i="4"/>
  <c r="BA2622" i="4"/>
  <c r="AZ2622" i="4"/>
  <c r="AY2622" i="4"/>
  <c r="AV2622" i="4"/>
  <c r="BA2621" i="4"/>
  <c r="AZ2621" i="4"/>
  <c r="AY2621" i="4"/>
  <c r="AV2621" i="4"/>
  <c r="BA2620" i="4"/>
  <c r="AZ2620" i="4"/>
  <c r="AY2620" i="4"/>
  <c r="AV2620" i="4"/>
  <c r="BA2619" i="4"/>
  <c r="AZ2619" i="4"/>
  <c r="AY2619" i="4"/>
  <c r="AV2619" i="4"/>
  <c r="BA2618" i="4"/>
  <c r="AZ2618" i="4"/>
  <c r="AY2618" i="4"/>
  <c r="AV2618" i="4"/>
  <c r="BA2617" i="4"/>
  <c r="AZ2617" i="4"/>
  <c r="AY2617" i="4"/>
  <c r="AV2617" i="4"/>
  <c r="BA2616" i="4"/>
  <c r="AZ2616" i="4"/>
  <c r="AY2616" i="4"/>
  <c r="AV2616" i="4"/>
  <c r="BA2615" i="4"/>
  <c r="AZ2615" i="4"/>
  <c r="AY2615" i="4"/>
  <c r="AV2615" i="4"/>
  <c r="BA2614" i="4"/>
  <c r="AZ2614" i="4"/>
  <c r="AY2614" i="4"/>
  <c r="AV2614" i="4"/>
  <c r="BA2613" i="4"/>
  <c r="AZ2613" i="4"/>
  <c r="AY2613" i="4"/>
  <c r="AV2613" i="4"/>
  <c r="BA2612" i="4"/>
  <c r="AZ2612" i="4"/>
  <c r="AY2612" i="4"/>
  <c r="AV2612" i="4"/>
  <c r="BA2611" i="4"/>
  <c r="AZ2611" i="4"/>
  <c r="AY2611" i="4"/>
  <c r="AV2611" i="4"/>
  <c r="BA2610" i="4"/>
  <c r="AZ2610" i="4"/>
  <c r="AY2610" i="4"/>
  <c r="AV2610" i="4"/>
  <c r="BA2609" i="4"/>
  <c r="AZ2609" i="4"/>
  <c r="AY2609" i="4"/>
  <c r="AV2609" i="4"/>
  <c r="BA2608" i="4"/>
  <c r="AZ2608" i="4"/>
  <c r="AY2608" i="4"/>
  <c r="AV2608" i="4"/>
  <c r="BA2607" i="4"/>
  <c r="AZ2607" i="4"/>
  <c r="AY2607" i="4"/>
  <c r="AV2607" i="4"/>
  <c r="BA2606" i="4"/>
  <c r="AZ2606" i="4"/>
  <c r="AY2606" i="4"/>
  <c r="AV2606" i="4"/>
  <c r="BA2605" i="4"/>
  <c r="AZ2605" i="4"/>
  <c r="AY2605" i="4"/>
  <c r="AV2605" i="4"/>
  <c r="BA2604" i="4"/>
  <c r="AZ2604" i="4"/>
  <c r="AY2604" i="4"/>
  <c r="AV2604" i="4"/>
  <c r="BA2603" i="4"/>
  <c r="AZ2603" i="4"/>
  <c r="AY2603" i="4"/>
  <c r="AV2603" i="4"/>
  <c r="BA2602" i="4"/>
  <c r="AZ2602" i="4"/>
  <c r="AY2602" i="4"/>
  <c r="AV2602" i="4"/>
  <c r="BA2601" i="4"/>
  <c r="AZ2601" i="4"/>
  <c r="AY2601" i="4"/>
  <c r="AV2601" i="4"/>
  <c r="BA2600" i="4"/>
  <c r="AZ2600" i="4"/>
  <c r="AY2600" i="4"/>
  <c r="AV2600" i="4"/>
  <c r="BA2599" i="4"/>
  <c r="AZ2599" i="4"/>
  <c r="AY2599" i="4"/>
  <c r="AV2599" i="4"/>
  <c r="BA2598" i="4"/>
  <c r="AZ2598" i="4"/>
  <c r="AY2598" i="4"/>
  <c r="AV2598" i="4"/>
  <c r="BA2597" i="4"/>
  <c r="AZ2597" i="4"/>
  <c r="AY2597" i="4"/>
  <c r="AV2597" i="4"/>
  <c r="BA2596" i="4"/>
  <c r="AZ2596" i="4"/>
  <c r="AY2596" i="4"/>
  <c r="AV2596" i="4"/>
  <c r="BA2595" i="4"/>
  <c r="AZ2595" i="4"/>
  <c r="AY2595" i="4"/>
  <c r="AV2595" i="4"/>
  <c r="BA2594" i="4"/>
  <c r="AZ2594" i="4"/>
  <c r="AY2594" i="4"/>
  <c r="AV2594" i="4"/>
  <c r="BA2593" i="4"/>
  <c r="AZ2593" i="4"/>
  <c r="AY2593" i="4"/>
  <c r="AV2593" i="4"/>
  <c r="BA2592" i="4"/>
  <c r="AZ2592" i="4"/>
  <c r="AY2592" i="4"/>
  <c r="AV2592" i="4"/>
  <c r="BA2591" i="4"/>
  <c r="AZ2591" i="4"/>
  <c r="AY2591" i="4"/>
  <c r="AV2591" i="4"/>
  <c r="BA2590" i="4"/>
  <c r="AZ2590" i="4"/>
  <c r="AY2590" i="4"/>
  <c r="AV2590" i="4"/>
  <c r="BA2589" i="4"/>
  <c r="AZ2589" i="4"/>
  <c r="AY2589" i="4"/>
  <c r="AV2589" i="4"/>
  <c r="BA2588" i="4"/>
  <c r="AZ2588" i="4"/>
  <c r="AY2588" i="4"/>
  <c r="AV2588" i="4"/>
  <c r="BA2587" i="4"/>
  <c r="AZ2587" i="4"/>
  <c r="AY2587" i="4"/>
  <c r="AV2587" i="4"/>
  <c r="BA2586" i="4"/>
  <c r="AZ2586" i="4"/>
  <c r="AY2586" i="4"/>
  <c r="AV2586" i="4"/>
  <c r="BA2585" i="4"/>
  <c r="AZ2585" i="4"/>
  <c r="AY2585" i="4"/>
  <c r="AV2585" i="4"/>
  <c r="BA2584" i="4"/>
  <c r="AZ2584" i="4"/>
  <c r="AY2584" i="4"/>
  <c r="AV2584" i="4"/>
  <c r="BA2583" i="4"/>
  <c r="AZ2583" i="4"/>
  <c r="AY2583" i="4"/>
  <c r="AV2583" i="4"/>
  <c r="BA2582" i="4"/>
  <c r="AZ2582" i="4"/>
  <c r="AY2582" i="4"/>
  <c r="AV2582" i="4"/>
  <c r="BA2581" i="4"/>
  <c r="AZ2581" i="4"/>
  <c r="AY2581" i="4"/>
  <c r="AV2581" i="4"/>
  <c r="BA2580" i="4"/>
  <c r="AZ2580" i="4"/>
  <c r="AY2580" i="4"/>
  <c r="AV2580" i="4"/>
  <c r="BA2579" i="4"/>
  <c r="AZ2579" i="4"/>
  <c r="AY2579" i="4"/>
  <c r="AV2579" i="4"/>
  <c r="BA2578" i="4"/>
  <c r="AZ2578" i="4"/>
  <c r="AY2578" i="4"/>
  <c r="AV2578" i="4"/>
  <c r="BA2577" i="4"/>
  <c r="AZ2577" i="4"/>
  <c r="AY2577" i="4"/>
  <c r="AV2577" i="4"/>
  <c r="BA2576" i="4"/>
  <c r="AZ2576" i="4"/>
  <c r="AY2576" i="4"/>
  <c r="AV2576" i="4"/>
  <c r="BA2575" i="4"/>
  <c r="AZ2575" i="4"/>
  <c r="AY2575" i="4"/>
  <c r="AV2575" i="4"/>
  <c r="BA2574" i="4"/>
  <c r="AZ2574" i="4"/>
  <c r="AY2574" i="4"/>
  <c r="AV2574" i="4"/>
  <c r="BA2573" i="4"/>
  <c r="AZ2573" i="4"/>
  <c r="AY2573" i="4"/>
  <c r="AV2573" i="4"/>
  <c r="BA2572" i="4"/>
  <c r="AZ2572" i="4"/>
  <c r="AY2572" i="4"/>
  <c r="AV2572" i="4"/>
  <c r="BA2571" i="4"/>
  <c r="AZ2571" i="4"/>
  <c r="AY2571" i="4"/>
  <c r="AV2571" i="4"/>
  <c r="BA2570" i="4"/>
  <c r="AZ2570" i="4"/>
  <c r="AY2570" i="4"/>
  <c r="AV2570" i="4"/>
  <c r="BA2569" i="4"/>
  <c r="AZ2569" i="4"/>
  <c r="AY2569" i="4"/>
  <c r="AV2569" i="4"/>
  <c r="BA2568" i="4"/>
  <c r="AZ2568" i="4"/>
  <c r="AY2568" i="4"/>
  <c r="AV2568" i="4"/>
  <c r="BA2567" i="4"/>
  <c r="AZ2567" i="4"/>
  <c r="AY2567" i="4"/>
  <c r="AV2567" i="4"/>
  <c r="BA2566" i="4"/>
  <c r="AZ2566" i="4"/>
  <c r="AY2566" i="4"/>
  <c r="AV2566" i="4"/>
  <c r="BA2565" i="4"/>
  <c r="AZ2565" i="4"/>
  <c r="AY2565" i="4"/>
  <c r="AV2565" i="4"/>
  <c r="BA2564" i="4"/>
  <c r="AZ2564" i="4"/>
  <c r="AY2564" i="4"/>
  <c r="AV2564" i="4"/>
  <c r="BA2563" i="4"/>
  <c r="AZ2563" i="4"/>
  <c r="AY2563" i="4"/>
  <c r="AV2563" i="4"/>
  <c r="BA2562" i="4"/>
  <c r="AZ2562" i="4"/>
  <c r="AY2562" i="4"/>
  <c r="AV2562" i="4"/>
  <c r="BA2561" i="4"/>
  <c r="AZ2561" i="4"/>
  <c r="AY2561" i="4"/>
  <c r="AV2561" i="4"/>
  <c r="BA2560" i="4"/>
  <c r="AZ2560" i="4"/>
  <c r="AY2560" i="4"/>
  <c r="AV2560" i="4"/>
  <c r="BA2559" i="4"/>
  <c r="AZ2559" i="4"/>
  <c r="AY2559" i="4"/>
  <c r="AV2559" i="4"/>
  <c r="BA2558" i="4"/>
  <c r="AZ2558" i="4"/>
  <c r="AY2558" i="4"/>
  <c r="AV2558" i="4"/>
  <c r="BA2557" i="4"/>
  <c r="AZ2557" i="4"/>
  <c r="AY2557" i="4"/>
  <c r="AV2557" i="4"/>
  <c r="BA2556" i="4"/>
  <c r="AZ2556" i="4"/>
  <c r="AY2556" i="4"/>
  <c r="AV2556" i="4"/>
  <c r="BA2555" i="4"/>
  <c r="AZ2555" i="4"/>
  <c r="AY2555" i="4"/>
  <c r="AV2555" i="4"/>
  <c r="BA2554" i="4"/>
  <c r="AZ2554" i="4"/>
  <c r="AY2554" i="4"/>
  <c r="AV2554" i="4"/>
  <c r="BA2553" i="4"/>
  <c r="AZ2553" i="4"/>
  <c r="AY2553" i="4"/>
  <c r="AV2553" i="4"/>
  <c r="BA2552" i="4"/>
  <c r="AZ2552" i="4"/>
  <c r="AY2552" i="4"/>
  <c r="AV2552" i="4"/>
  <c r="BA2551" i="4"/>
  <c r="AZ2551" i="4"/>
  <c r="AY2551" i="4"/>
  <c r="AV2551" i="4"/>
  <c r="BA2550" i="4"/>
  <c r="AZ2550" i="4"/>
  <c r="AY2550" i="4"/>
  <c r="AV2550" i="4"/>
  <c r="BA2549" i="4"/>
  <c r="AZ2549" i="4"/>
  <c r="AY2549" i="4"/>
  <c r="AV2549" i="4"/>
  <c r="BA2548" i="4"/>
  <c r="AZ2548" i="4"/>
  <c r="AY2548" i="4"/>
  <c r="AV2548" i="4"/>
  <c r="BA2547" i="4"/>
  <c r="AZ2547" i="4"/>
  <c r="AY2547" i="4"/>
  <c r="AV2547" i="4"/>
  <c r="BA2546" i="4"/>
  <c r="AZ2546" i="4"/>
  <c r="AY2546" i="4"/>
  <c r="AV2546" i="4"/>
  <c r="BA2545" i="4"/>
  <c r="AZ2545" i="4"/>
  <c r="AY2545" i="4"/>
  <c r="AV2545" i="4"/>
  <c r="BA2544" i="4"/>
  <c r="AZ2544" i="4"/>
  <c r="AY2544" i="4"/>
  <c r="AV2544" i="4"/>
  <c r="BA2543" i="4"/>
  <c r="AZ2543" i="4"/>
  <c r="AY2543" i="4"/>
  <c r="AV2543" i="4"/>
  <c r="BA2542" i="4"/>
  <c r="AZ2542" i="4"/>
  <c r="AY2542" i="4"/>
  <c r="AV2542" i="4"/>
  <c r="BA2541" i="4"/>
  <c r="AZ2541" i="4"/>
  <c r="AY2541" i="4"/>
  <c r="AV2541" i="4"/>
  <c r="BA2540" i="4"/>
  <c r="AZ2540" i="4"/>
  <c r="AY2540" i="4"/>
  <c r="AV2540" i="4"/>
  <c r="BA2539" i="4"/>
  <c r="AZ2539" i="4"/>
  <c r="AY2539" i="4"/>
  <c r="AV2539" i="4"/>
  <c r="BA2538" i="4"/>
  <c r="AZ2538" i="4"/>
  <c r="AY2538" i="4"/>
  <c r="AV2538" i="4"/>
  <c r="BA2537" i="4"/>
  <c r="AZ2537" i="4"/>
  <c r="AY2537" i="4"/>
  <c r="AV2537" i="4"/>
  <c r="BA2536" i="4"/>
  <c r="AZ2536" i="4"/>
  <c r="AY2536" i="4"/>
  <c r="AV2536" i="4"/>
  <c r="BA2535" i="4"/>
  <c r="AZ2535" i="4"/>
  <c r="AY2535" i="4"/>
  <c r="AV2535" i="4"/>
  <c r="BA2534" i="4"/>
  <c r="AZ2534" i="4"/>
  <c r="AY2534" i="4"/>
  <c r="AV2534" i="4"/>
  <c r="BA2533" i="4"/>
  <c r="AZ2533" i="4"/>
  <c r="AY2533" i="4"/>
  <c r="AV2533" i="4"/>
  <c r="BA2532" i="4"/>
  <c r="AZ2532" i="4"/>
  <c r="AY2532" i="4"/>
  <c r="AV2532" i="4"/>
  <c r="BA2531" i="4"/>
  <c r="AZ2531" i="4"/>
  <c r="AY2531" i="4"/>
  <c r="AV2531" i="4"/>
  <c r="BA2530" i="4"/>
  <c r="AZ2530" i="4"/>
  <c r="AY2530" i="4"/>
  <c r="AV2530" i="4"/>
  <c r="BA2529" i="4"/>
  <c r="AZ2529" i="4"/>
  <c r="AY2529" i="4"/>
  <c r="AV2529" i="4"/>
  <c r="BA2528" i="4"/>
  <c r="AZ2528" i="4"/>
  <c r="AY2528" i="4"/>
  <c r="AV2528" i="4"/>
  <c r="BA2527" i="4"/>
  <c r="AZ2527" i="4"/>
  <c r="AY2527" i="4"/>
  <c r="AV2527" i="4"/>
  <c r="BA2526" i="4"/>
  <c r="AZ2526" i="4"/>
  <c r="AY2526" i="4"/>
  <c r="AV2526" i="4"/>
  <c r="BA2525" i="4"/>
  <c r="AZ2525" i="4"/>
  <c r="AY2525" i="4"/>
  <c r="AV2525" i="4"/>
  <c r="BA2524" i="4"/>
  <c r="AZ2524" i="4"/>
  <c r="AY2524" i="4"/>
  <c r="AV2524" i="4"/>
  <c r="BA2523" i="4"/>
  <c r="AZ2523" i="4"/>
  <c r="AY2523" i="4"/>
  <c r="AV2523" i="4"/>
  <c r="BA2522" i="4"/>
  <c r="AZ2522" i="4"/>
  <c r="AY2522" i="4"/>
  <c r="AV2522" i="4"/>
  <c r="BA2521" i="4"/>
  <c r="AZ2521" i="4"/>
  <c r="AY2521" i="4"/>
  <c r="AV2521" i="4"/>
  <c r="BA2520" i="4"/>
  <c r="AZ2520" i="4"/>
  <c r="AY2520" i="4"/>
  <c r="AV2520" i="4"/>
  <c r="BA2519" i="4"/>
  <c r="AZ2519" i="4"/>
  <c r="AY2519" i="4"/>
  <c r="AV2519" i="4"/>
  <c r="BA2518" i="4"/>
  <c r="AZ2518" i="4"/>
  <c r="AY2518" i="4"/>
  <c r="AV2518" i="4"/>
  <c r="BA2517" i="4"/>
  <c r="AZ2517" i="4"/>
  <c r="AY2517" i="4"/>
  <c r="AV2517" i="4"/>
  <c r="BA2516" i="4"/>
  <c r="AZ2516" i="4"/>
  <c r="AY2516" i="4"/>
  <c r="AV2516" i="4"/>
  <c r="BA2515" i="4"/>
  <c r="AZ2515" i="4"/>
  <c r="AY2515" i="4"/>
  <c r="AV2515" i="4"/>
  <c r="BA2514" i="4"/>
  <c r="AZ2514" i="4"/>
  <c r="AY2514" i="4"/>
  <c r="AV2514" i="4"/>
  <c r="BA2513" i="4"/>
  <c r="AZ2513" i="4"/>
  <c r="AY2513" i="4"/>
  <c r="AV2513" i="4"/>
  <c r="BA2512" i="4"/>
  <c r="AZ2512" i="4"/>
  <c r="AY2512" i="4"/>
  <c r="AV2512" i="4"/>
  <c r="BA2511" i="4"/>
  <c r="AZ2511" i="4"/>
  <c r="AY2511" i="4"/>
  <c r="AV2511" i="4"/>
  <c r="BA2510" i="4"/>
  <c r="AZ2510" i="4"/>
  <c r="AY2510" i="4"/>
  <c r="AV2510" i="4"/>
  <c r="BA2509" i="4"/>
  <c r="AZ2509" i="4"/>
  <c r="AY2509" i="4"/>
  <c r="AV2509" i="4"/>
  <c r="BA2508" i="4"/>
  <c r="AZ2508" i="4"/>
  <c r="AY2508" i="4"/>
  <c r="AV2508" i="4"/>
  <c r="BA2507" i="4"/>
  <c r="AZ2507" i="4"/>
  <c r="AY2507" i="4"/>
  <c r="AV2507" i="4"/>
  <c r="BA2506" i="4"/>
  <c r="AZ2506" i="4"/>
  <c r="AY2506" i="4"/>
  <c r="BA2505" i="4"/>
  <c r="AZ2505" i="4"/>
  <c r="AY2505" i="4"/>
  <c r="BA2504" i="4"/>
  <c r="AZ2504" i="4"/>
  <c r="AY2504" i="4"/>
  <c r="BA2503" i="4"/>
  <c r="AZ2503" i="4"/>
  <c r="AY2503" i="4"/>
  <c r="BA2502" i="4"/>
  <c r="AZ2502" i="4"/>
  <c r="AY2502" i="4"/>
  <c r="BA2501" i="4"/>
  <c r="AZ2501" i="4"/>
  <c r="AY2501" i="4"/>
  <c r="BA2500" i="4"/>
  <c r="AZ2500" i="4"/>
  <c r="AY2500" i="4"/>
  <c r="BA2499" i="4"/>
  <c r="AZ2499" i="4"/>
  <c r="AY2499" i="4"/>
  <c r="BA2498" i="4"/>
  <c r="AZ2498" i="4"/>
  <c r="AY2498" i="4"/>
  <c r="BA2497" i="4"/>
  <c r="AZ2497" i="4"/>
  <c r="AY2497" i="4"/>
  <c r="BA2496" i="4"/>
  <c r="AZ2496" i="4"/>
  <c r="AY2496" i="4"/>
  <c r="BA2495" i="4"/>
  <c r="AZ2495" i="4"/>
  <c r="AY2495" i="4"/>
  <c r="BA2494" i="4"/>
  <c r="AZ2494" i="4"/>
  <c r="AY2494" i="4"/>
  <c r="BA2493" i="4"/>
  <c r="AZ2493" i="4"/>
  <c r="AY2493" i="4"/>
  <c r="BA2492" i="4"/>
  <c r="AZ2492" i="4"/>
  <c r="AY2492" i="4"/>
  <c r="BA2491" i="4"/>
  <c r="AZ2491" i="4"/>
  <c r="AY2491" i="4"/>
  <c r="BA2490" i="4"/>
  <c r="AZ2490" i="4"/>
  <c r="AY2490" i="4"/>
  <c r="BA2489" i="4"/>
  <c r="AZ2489" i="4"/>
  <c r="AY2489" i="4"/>
  <c r="BA2488" i="4"/>
  <c r="AZ2488" i="4"/>
  <c r="AY2488" i="4"/>
  <c r="BA2487" i="4"/>
  <c r="AZ2487" i="4"/>
  <c r="AY2487" i="4"/>
  <c r="BA2486" i="4"/>
  <c r="AZ2486" i="4"/>
  <c r="AY2486" i="4"/>
  <c r="BA2485" i="4"/>
  <c r="AZ2485" i="4"/>
  <c r="AY2485" i="4"/>
  <c r="BA2484" i="4"/>
  <c r="AZ2484" i="4"/>
  <c r="AY2484" i="4"/>
  <c r="BA2483" i="4"/>
  <c r="AZ2483" i="4"/>
  <c r="AY2483" i="4"/>
  <c r="BA2482" i="4"/>
  <c r="AZ2482" i="4"/>
  <c r="AY2482" i="4"/>
  <c r="BA2481" i="4"/>
  <c r="AZ2481" i="4"/>
  <c r="AY2481" i="4"/>
  <c r="BA2480" i="4"/>
  <c r="AZ2480" i="4"/>
  <c r="AY2480" i="4"/>
  <c r="BA2479" i="4"/>
  <c r="AZ2479" i="4"/>
  <c r="AY2479" i="4"/>
  <c r="BA2478" i="4"/>
  <c r="AZ2478" i="4"/>
  <c r="AY2478" i="4"/>
  <c r="BA2477" i="4"/>
  <c r="AZ2477" i="4"/>
  <c r="AY2477" i="4"/>
  <c r="BA2476" i="4"/>
  <c r="AZ2476" i="4"/>
  <c r="AY2476" i="4"/>
  <c r="BA2475" i="4"/>
  <c r="AZ2475" i="4"/>
  <c r="AY2475" i="4"/>
  <c r="BA2474" i="4"/>
  <c r="AZ2474" i="4"/>
  <c r="AY2474" i="4"/>
  <c r="BA2473" i="4"/>
  <c r="AZ2473" i="4"/>
  <c r="AY2473" i="4"/>
  <c r="BA2472" i="4"/>
  <c r="AZ2472" i="4"/>
  <c r="AY2472" i="4"/>
  <c r="BA2471" i="4"/>
  <c r="AZ2471" i="4"/>
  <c r="AY2471" i="4"/>
  <c r="BA2470" i="4"/>
  <c r="AZ2470" i="4"/>
  <c r="AY2470" i="4"/>
  <c r="BA2469" i="4"/>
  <c r="AZ2469" i="4"/>
  <c r="AY2469" i="4"/>
  <c r="BA2468" i="4"/>
  <c r="AZ2468" i="4"/>
  <c r="AY2468" i="4"/>
  <c r="BA2467" i="4"/>
  <c r="AZ2467" i="4"/>
  <c r="AY2467" i="4"/>
  <c r="BA2466" i="4"/>
  <c r="AZ2466" i="4"/>
  <c r="AY2466" i="4"/>
  <c r="BA2465" i="4"/>
  <c r="AZ2465" i="4"/>
  <c r="AY2465" i="4"/>
  <c r="BA2464" i="4"/>
  <c r="AZ2464" i="4"/>
  <c r="AY2464" i="4"/>
  <c r="BA2463" i="4"/>
  <c r="AZ2463" i="4"/>
  <c r="AY2463" i="4"/>
  <c r="BA2462" i="4"/>
  <c r="AZ2462" i="4"/>
  <c r="AY2462" i="4"/>
  <c r="BA2461" i="4"/>
  <c r="AZ2461" i="4"/>
  <c r="AY2461" i="4"/>
  <c r="BA2460" i="4"/>
  <c r="AZ2460" i="4"/>
  <c r="AY2460" i="4"/>
  <c r="BA2459" i="4"/>
  <c r="AZ2459" i="4"/>
  <c r="AY2459" i="4"/>
  <c r="BA2458" i="4"/>
  <c r="AZ2458" i="4"/>
  <c r="AY2458" i="4"/>
  <c r="BA2457" i="4"/>
  <c r="AZ2457" i="4"/>
  <c r="AY2457" i="4"/>
  <c r="BA2456" i="4"/>
  <c r="AZ2456" i="4"/>
  <c r="AY2456" i="4"/>
  <c r="BA2455" i="4"/>
  <c r="AZ2455" i="4"/>
  <c r="AY2455" i="4"/>
  <c r="BA2454" i="4"/>
  <c r="AZ2454" i="4"/>
  <c r="AY2454" i="4"/>
  <c r="BA2453" i="4"/>
  <c r="AZ2453" i="4"/>
  <c r="AY2453" i="4"/>
  <c r="BA2452" i="4"/>
  <c r="AZ2452" i="4"/>
  <c r="AY2452" i="4"/>
  <c r="BA2451" i="4"/>
  <c r="AZ2451" i="4"/>
  <c r="AY2451" i="4"/>
  <c r="BA2450" i="4"/>
  <c r="AZ2450" i="4"/>
  <c r="AY2450" i="4"/>
  <c r="BA2449" i="4"/>
  <c r="AZ2449" i="4"/>
  <c r="AY2449" i="4"/>
  <c r="BA2448" i="4"/>
  <c r="AZ2448" i="4"/>
  <c r="AY2448" i="4"/>
  <c r="BA2447" i="4"/>
  <c r="AZ2447" i="4"/>
  <c r="AY2447" i="4"/>
  <c r="BA2446" i="4"/>
  <c r="AZ2446" i="4"/>
  <c r="AY2446" i="4"/>
  <c r="BA2445" i="4"/>
  <c r="AZ2445" i="4"/>
  <c r="AY2445" i="4"/>
  <c r="BA2444" i="4"/>
  <c r="AZ2444" i="4"/>
  <c r="AY2444" i="4"/>
  <c r="BA2443" i="4"/>
  <c r="AZ2443" i="4"/>
  <c r="AY2443" i="4"/>
  <c r="BA2442" i="4"/>
  <c r="AZ2442" i="4"/>
  <c r="AY2442" i="4"/>
  <c r="BA2441" i="4"/>
  <c r="AZ2441" i="4"/>
  <c r="AY2441" i="4"/>
  <c r="BA2440" i="4"/>
  <c r="AZ2440" i="4"/>
  <c r="AY2440" i="4"/>
  <c r="BA2439" i="4"/>
  <c r="AZ2439" i="4"/>
  <c r="AY2439" i="4"/>
  <c r="BA2438" i="4"/>
  <c r="AZ2438" i="4"/>
  <c r="AY2438" i="4"/>
  <c r="BA2437" i="4"/>
  <c r="AZ2437" i="4"/>
  <c r="AY2437" i="4"/>
  <c r="BA2436" i="4"/>
  <c r="AZ2436" i="4"/>
  <c r="AY2436" i="4"/>
  <c r="BA2435" i="4"/>
  <c r="AZ2435" i="4"/>
  <c r="AY2435" i="4"/>
  <c r="BA2434" i="4"/>
  <c r="AZ2434" i="4"/>
  <c r="AY2434" i="4"/>
  <c r="BA2433" i="4"/>
  <c r="AZ2433" i="4"/>
  <c r="AY2433" i="4"/>
  <c r="BA2432" i="4"/>
  <c r="AZ2432" i="4"/>
  <c r="AY2432" i="4"/>
  <c r="BA2431" i="4"/>
  <c r="AZ2431" i="4"/>
  <c r="AY2431" i="4"/>
  <c r="BA2430" i="4"/>
  <c r="AZ2430" i="4"/>
  <c r="AY2430" i="4"/>
  <c r="BA2429" i="4"/>
  <c r="AZ2429" i="4"/>
  <c r="AY2429" i="4"/>
  <c r="BA2428" i="4"/>
  <c r="AZ2428" i="4"/>
  <c r="AY2428" i="4"/>
  <c r="BA2427" i="4"/>
  <c r="AZ2427" i="4"/>
  <c r="AY2427" i="4"/>
  <c r="BA2426" i="4"/>
  <c r="AZ2426" i="4"/>
  <c r="AY2426" i="4"/>
  <c r="BA2425" i="4"/>
  <c r="AZ2425" i="4"/>
  <c r="AY2425" i="4"/>
  <c r="BA2424" i="4"/>
  <c r="AZ2424" i="4"/>
  <c r="AY2424" i="4"/>
  <c r="BA2423" i="4"/>
  <c r="AZ2423" i="4"/>
  <c r="AY2423" i="4"/>
  <c r="BA2422" i="4"/>
  <c r="AZ2422" i="4"/>
  <c r="AY2422" i="4"/>
  <c r="BA2421" i="4"/>
  <c r="AZ2421" i="4"/>
  <c r="AY2421" i="4"/>
  <c r="BA2420" i="4"/>
  <c r="AZ2420" i="4"/>
  <c r="AY2420" i="4"/>
  <c r="BA2419" i="4"/>
  <c r="AZ2419" i="4"/>
  <c r="AY2419" i="4"/>
  <c r="BA2418" i="4"/>
  <c r="AZ2418" i="4"/>
  <c r="AY2418" i="4"/>
  <c r="BA2417" i="4"/>
  <c r="AZ2417" i="4"/>
  <c r="AY2417" i="4"/>
  <c r="BA2416" i="4"/>
  <c r="AZ2416" i="4"/>
  <c r="AY2416" i="4"/>
  <c r="BA2415" i="4"/>
  <c r="AZ2415" i="4"/>
  <c r="AY2415" i="4"/>
  <c r="BA2414" i="4"/>
  <c r="AZ2414" i="4"/>
  <c r="AY2414" i="4"/>
  <c r="BA2413" i="4"/>
  <c r="AZ2413" i="4"/>
  <c r="AY2413" i="4"/>
  <c r="BA2412" i="4"/>
  <c r="AZ2412" i="4"/>
  <c r="AY2412" i="4"/>
  <c r="BA2411" i="4"/>
  <c r="AZ2411" i="4"/>
  <c r="AY2411" i="4"/>
  <c r="BA2410" i="4"/>
  <c r="AZ2410" i="4"/>
  <c r="AY2410" i="4"/>
  <c r="BA2409" i="4"/>
  <c r="AZ2409" i="4"/>
  <c r="AY2409" i="4"/>
  <c r="BA2408" i="4"/>
  <c r="AZ2408" i="4"/>
  <c r="AY2408" i="4"/>
  <c r="BA2407" i="4"/>
  <c r="AZ2407" i="4"/>
  <c r="AY2407" i="4"/>
  <c r="BA2406" i="4"/>
  <c r="AZ2406" i="4"/>
  <c r="AY2406" i="4"/>
  <c r="BA2405" i="4"/>
  <c r="AZ2405" i="4"/>
  <c r="AY2405" i="4"/>
  <c r="BA2404" i="4"/>
  <c r="AZ2404" i="4"/>
  <c r="AY2404" i="4"/>
  <c r="BA2403" i="4"/>
  <c r="AZ2403" i="4"/>
  <c r="AY2403" i="4"/>
  <c r="BA2402" i="4"/>
  <c r="AZ2402" i="4"/>
  <c r="AY2402" i="4"/>
  <c r="BA2401" i="4"/>
  <c r="AZ2401" i="4"/>
  <c r="AY2401" i="4"/>
  <c r="BA2400" i="4"/>
  <c r="AZ2400" i="4"/>
  <c r="AY2400" i="4"/>
  <c r="BA2399" i="4"/>
  <c r="AZ2399" i="4"/>
  <c r="AY2399" i="4"/>
  <c r="BA2398" i="4"/>
  <c r="AZ2398" i="4"/>
  <c r="AY2398" i="4"/>
  <c r="BA2397" i="4"/>
  <c r="AZ2397" i="4"/>
  <c r="AY2397" i="4"/>
  <c r="BA2396" i="4"/>
  <c r="AZ2396" i="4"/>
  <c r="AY2396" i="4"/>
  <c r="BA2395" i="4"/>
  <c r="AZ2395" i="4"/>
  <c r="AY2395" i="4"/>
  <c r="BA2394" i="4"/>
  <c r="AZ2394" i="4"/>
  <c r="AY2394" i="4"/>
  <c r="BA2393" i="4"/>
  <c r="AZ2393" i="4"/>
  <c r="AY2393" i="4"/>
  <c r="BA2392" i="4"/>
  <c r="AZ2392" i="4"/>
  <c r="AY2392" i="4"/>
  <c r="BA2391" i="4"/>
  <c r="AZ2391" i="4"/>
  <c r="AY2391" i="4"/>
  <c r="BA2390" i="4"/>
  <c r="AZ2390" i="4"/>
  <c r="AY2390" i="4"/>
  <c r="BA2389" i="4"/>
  <c r="AZ2389" i="4"/>
  <c r="AY2389" i="4"/>
  <c r="BA2388" i="4"/>
  <c r="AZ2388" i="4"/>
  <c r="AY2388" i="4"/>
  <c r="BA2387" i="4"/>
  <c r="AZ2387" i="4"/>
  <c r="AY2387" i="4"/>
  <c r="BA2386" i="4"/>
  <c r="AZ2386" i="4"/>
  <c r="AY2386" i="4"/>
  <c r="BA2385" i="4"/>
  <c r="AZ2385" i="4"/>
  <c r="AY2385" i="4"/>
  <c r="BA2384" i="4"/>
  <c r="AZ2384" i="4"/>
  <c r="AY2384" i="4"/>
  <c r="BA2383" i="4"/>
  <c r="AZ2383" i="4"/>
  <c r="AY2383" i="4"/>
  <c r="BA2382" i="4"/>
  <c r="AZ2382" i="4"/>
  <c r="AY2382" i="4"/>
  <c r="BA2381" i="4"/>
  <c r="AZ2381" i="4"/>
  <c r="AY2381" i="4"/>
  <c r="BA2380" i="4"/>
  <c r="AZ2380" i="4"/>
  <c r="AY2380" i="4"/>
  <c r="BA2379" i="4"/>
  <c r="AZ2379" i="4"/>
  <c r="AY2379" i="4"/>
  <c r="BA2378" i="4"/>
  <c r="AZ2378" i="4"/>
  <c r="AY2378" i="4"/>
  <c r="BA2377" i="4"/>
  <c r="AZ2377" i="4"/>
  <c r="AY2377" i="4"/>
  <c r="BA2376" i="4"/>
  <c r="AZ2376" i="4"/>
  <c r="AY2376" i="4"/>
  <c r="BA2375" i="4"/>
  <c r="AZ2375" i="4"/>
  <c r="AY2375" i="4"/>
  <c r="BA2374" i="4"/>
  <c r="AZ2374" i="4"/>
  <c r="AY2374" i="4"/>
  <c r="BA2373" i="4"/>
  <c r="AZ2373" i="4"/>
  <c r="AY2373" i="4"/>
  <c r="BA2372" i="4"/>
  <c r="AZ2372" i="4"/>
  <c r="AY2372" i="4"/>
  <c r="BA2371" i="4"/>
  <c r="AZ2371" i="4"/>
  <c r="AY2371" i="4"/>
  <c r="BA2370" i="4"/>
  <c r="AZ2370" i="4"/>
  <c r="AY2370" i="4"/>
  <c r="BA2369" i="4"/>
  <c r="AZ2369" i="4"/>
  <c r="AY2369" i="4"/>
  <c r="BA2368" i="4"/>
  <c r="AZ2368" i="4"/>
  <c r="AY2368" i="4"/>
  <c r="BA2367" i="4"/>
  <c r="AZ2367" i="4"/>
  <c r="AY2367" i="4"/>
  <c r="BA2366" i="4"/>
  <c r="AZ2366" i="4"/>
  <c r="AY2366" i="4"/>
  <c r="BA2365" i="4"/>
  <c r="AZ2365" i="4"/>
  <c r="AY2365" i="4"/>
  <c r="BA2364" i="4"/>
  <c r="AZ2364" i="4"/>
  <c r="AY2364" i="4"/>
  <c r="BA2363" i="4"/>
  <c r="AZ2363" i="4"/>
  <c r="AY2363" i="4"/>
  <c r="BA2362" i="4"/>
  <c r="AZ2362" i="4"/>
  <c r="AY2362" i="4"/>
  <c r="BA2361" i="4"/>
  <c r="AZ2361" i="4"/>
  <c r="AY2361" i="4"/>
  <c r="BA2360" i="4"/>
  <c r="AZ2360" i="4"/>
  <c r="AY2360" i="4"/>
  <c r="BA2359" i="4"/>
  <c r="AZ2359" i="4"/>
  <c r="AY2359" i="4"/>
  <c r="BA2358" i="4"/>
  <c r="AZ2358" i="4"/>
  <c r="AY2358" i="4"/>
  <c r="BA2357" i="4"/>
  <c r="AZ2357" i="4"/>
  <c r="AY2357" i="4"/>
  <c r="BA2356" i="4"/>
  <c r="AZ2356" i="4"/>
  <c r="AY2356" i="4"/>
  <c r="BA2355" i="4"/>
  <c r="AZ2355" i="4"/>
  <c r="AY2355" i="4"/>
  <c r="BA2354" i="4"/>
  <c r="AZ2354" i="4"/>
  <c r="AY2354" i="4"/>
  <c r="BA2353" i="4"/>
  <c r="AZ2353" i="4"/>
  <c r="AY2353" i="4"/>
  <c r="BA2352" i="4"/>
  <c r="AZ2352" i="4"/>
  <c r="AY2352" i="4"/>
  <c r="BA2351" i="4"/>
  <c r="AZ2351" i="4"/>
  <c r="AY2351" i="4"/>
  <c r="BA2350" i="4"/>
  <c r="AZ2350" i="4"/>
  <c r="AY2350" i="4"/>
  <c r="BA2349" i="4"/>
  <c r="AZ2349" i="4"/>
  <c r="AY2349" i="4"/>
  <c r="BA2348" i="4"/>
  <c r="AZ2348" i="4"/>
  <c r="AY2348" i="4"/>
  <c r="BA2347" i="4"/>
  <c r="AZ2347" i="4"/>
  <c r="AY2347" i="4"/>
  <c r="BA2346" i="4"/>
  <c r="AZ2346" i="4"/>
  <c r="AY2346" i="4"/>
  <c r="BA2345" i="4"/>
  <c r="AZ2345" i="4"/>
  <c r="AY2345" i="4"/>
  <c r="BA2344" i="4"/>
  <c r="AZ2344" i="4"/>
  <c r="AY2344" i="4"/>
  <c r="BA2343" i="4"/>
  <c r="AZ2343" i="4"/>
  <c r="AY2343" i="4"/>
  <c r="BA2342" i="4"/>
  <c r="AZ2342" i="4"/>
  <c r="AY2342" i="4"/>
  <c r="BA2341" i="4"/>
  <c r="AZ2341" i="4"/>
  <c r="AY2341" i="4"/>
  <c r="BA2340" i="4"/>
  <c r="AZ2340" i="4"/>
  <c r="AY2340" i="4"/>
  <c r="BA2339" i="4"/>
  <c r="AZ2339" i="4"/>
  <c r="AY2339" i="4"/>
  <c r="BA2338" i="4"/>
  <c r="AZ2338" i="4"/>
  <c r="AY2338" i="4"/>
  <c r="BA2337" i="4"/>
  <c r="AZ2337" i="4"/>
  <c r="AY2337" i="4"/>
  <c r="BA2336" i="4"/>
  <c r="AZ2336" i="4"/>
  <c r="AY2336" i="4"/>
  <c r="BA2335" i="4"/>
  <c r="AZ2335" i="4"/>
  <c r="AY2335" i="4"/>
  <c r="BA2334" i="4"/>
  <c r="AZ2334" i="4"/>
  <c r="AY2334" i="4"/>
  <c r="BA2333" i="4"/>
  <c r="AZ2333" i="4"/>
  <c r="AY2333" i="4"/>
  <c r="BA2332" i="4"/>
  <c r="AZ2332" i="4"/>
  <c r="AY2332" i="4"/>
  <c r="BA2331" i="4"/>
  <c r="AZ2331" i="4"/>
  <c r="AY2331" i="4"/>
  <c r="BA2330" i="4"/>
  <c r="AZ2330" i="4"/>
  <c r="AY2330" i="4"/>
  <c r="BA2329" i="4"/>
  <c r="AZ2329" i="4"/>
  <c r="AY2329" i="4"/>
  <c r="BA2328" i="4"/>
  <c r="AZ2328" i="4"/>
  <c r="AY2328" i="4"/>
  <c r="BA2327" i="4"/>
  <c r="AZ2327" i="4"/>
  <c r="AY2327" i="4"/>
  <c r="BA2326" i="4"/>
  <c r="AZ2326" i="4"/>
  <c r="AY2326" i="4"/>
  <c r="BA2325" i="4"/>
  <c r="AZ2325" i="4"/>
  <c r="AY2325" i="4"/>
  <c r="BA2324" i="4"/>
  <c r="AZ2324" i="4"/>
  <c r="AY2324" i="4"/>
  <c r="BA2323" i="4"/>
  <c r="AZ2323" i="4"/>
  <c r="AY2323" i="4"/>
  <c r="BA2322" i="4"/>
  <c r="AZ2322" i="4"/>
  <c r="AY2322" i="4"/>
  <c r="BA2321" i="4"/>
  <c r="AZ2321" i="4"/>
  <c r="AY2321" i="4"/>
  <c r="BA2320" i="4"/>
  <c r="AZ2320" i="4"/>
  <c r="AY2320" i="4"/>
  <c r="BA2319" i="4"/>
  <c r="AZ2319" i="4"/>
  <c r="AY2319" i="4"/>
  <c r="BA2318" i="4"/>
  <c r="AZ2318" i="4"/>
  <c r="AY2318" i="4"/>
  <c r="BA2317" i="4"/>
  <c r="AZ2317" i="4"/>
  <c r="AY2317" i="4"/>
  <c r="BA2316" i="4"/>
  <c r="AZ2316" i="4"/>
  <c r="AY2316" i="4"/>
  <c r="BA2315" i="4"/>
  <c r="AZ2315" i="4"/>
  <c r="AY2315" i="4"/>
  <c r="BA2314" i="4"/>
  <c r="AZ2314" i="4"/>
  <c r="AY2314" i="4"/>
  <c r="BA2313" i="4"/>
  <c r="AZ2313" i="4"/>
  <c r="AY2313" i="4"/>
  <c r="BA2312" i="4"/>
  <c r="AZ2312" i="4"/>
  <c r="AY2312" i="4"/>
  <c r="BA2311" i="4"/>
  <c r="AZ2311" i="4"/>
  <c r="AY2311" i="4"/>
  <c r="BA2310" i="4"/>
  <c r="AZ2310" i="4"/>
  <c r="AY2310" i="4"/>
  <c r="BA2309" i="4"/>
  <c r="AZ2309" i="4"/>
  <c r="AY2309" i="4"/>
  <c r="BA2308" i="4"/>
  <c r="AZ2308" i="4"/>
  <c r="AY2308" i="4"/>
  <c r="BA2307" i="4"/>
  <c r="AZ2307" i="4"/>
  <c r="AY2307" i="4"/>
  <c r="BA2306" i="4"/>
  <c r="AZ2306" i="4"/>
  <c r="AY2306" i="4"/>
  <c r="BA2305" i="4"/>
  <c r="AZ2305" i="4"/>
  <c r="AY2305" i="4"/>
  <c r="BA2304" i="4"/>
  <c r="AZ2304" i="4"/>
  <c r="AY2304" i="4"/>
  <c r="BA2303" i="4"/>
  <c r="AZ2303" i="4"/>
  <c r="AY2303" i="4"/>
  <c r="BA2302" i="4"/>
  <c r="AZ2302" i="4"/>
  <c r="AY2302" i="4"/>
  <c r="BA2301" i="4"/>
  <c r="AZ2301" i="4"/>
  <c r="AY2301" i="4"/>
  <c r="BA2300" i="4"/>
  <c r="AZ2300" i="4"/>
  <c r="AY2300" i="4"/>
  <c r="BA2299" i="4"/>
  <c r="AZ2299" i="4"/>
  <c r="AY2299" i="4"/>
  <c r="BA2298" i="4"/>
  <c r="AZ2298" i="4"/>
  <c r="AY2298" i="4"/>
  <c r="BA2297" i="4"/>
  <c r="AZ2297" i="4"/>
  <c r="AY2297" i="4"/>
  <c r="BA2296" i="4"/>
  <c r="AZ2296" i="4"/>
  <c r="AY2296" i="4"/>
  <c r="BA2295" i="4"/>
  <c r="AZ2295" i="4"/>
  <c r="AY2295" i="4"/>
  <c r="BA2294" i="4"/>
  <c r="AZ2294" i="4"/>
  <c r="AY2294" i="4"/>
  <c r="BA2293" i="4"/>
  <c r="AZ2293" i="4"/>
  <c r="AY2293" i="4"/>
  <c r="BA2292" i="4"/>
  <c r="AZ2292" i="4"/>
  <c r="AY2292" i="4"/>
  <c r="BA2291" i="4"/>
  <c r="AZ2291" i="4"/>
  <c r="AY2291" i="4"/>
  <c r="BA2290" i="4"/>
  <c r="AZ2290" i="4"/>
  <c r="AY2290" i="4"/>
  <c r="BA2289" i="4"/>
  <c r="AZ2289" i="4"/>
  <c r="AY2289" i="4"/>
  <c r="BA2288" i="4"/>
  <c r="AZ2288" i="4"/>
  <c r="AY2288" i="4"/>
  <c r="BA2287" i="4"/>
  <c r="AZ2287" i="4"/>
  <c r="AY2287" i="4"/>
  <c r="BA2286" i="4"/>
  <c r="AZ2286" i="4"/>
  <c r="AY2286" i="4"/>
  <c r="BA2285" i="4"/>
  <c r="AZ2285" i="4"/>
  <c r="AY2285" i="4"/>
  <c r="BA2284" i="4"/>
  <c r="AZ2284" i="4"/>
  <c r="AY2284" i="4"/>
  <c r="BA2283" i="4"/>
  <c r="AZ2283" i="4"/>
  <c r="AY2283" i="4"/>
  <c r="BA2282" i="4"/>
  <c r="AZ2282" i="4"/>
  <c r="AY2282" i="4"/>
  <c r="BA2281" i="4"/>
  <c r="AZ2281" i="4"/>
  <c r="AY2281" i="4"/>
  <c r="BA2280" i="4"/>
  <c r="AZ2280" i="4"/>
  <c r="AY2280" i="4"/>
  <c r="BA2279" i="4"/>
  <c r="AZ2279" i="4"/>
  <c r="AY2279" i="4"/>
  <c r="BA2278" i="4"/>
  <c r="AZ2278" i="4"/>
  <c r="AY2278" i="4"/>
  <c r="BA2277" i="4"/>
  <c r="AZ2277" i="4"/>
  <c r="AY2277" i="4"/>
  <c r="BA2276" i="4"/>
  <c r="AZ2276" i="4"/>
  <c r="AY2276" i="4"/>
  <c r="BA2275" i="4"/>
  <c r="AZ2275" i="4"/>
  <c r="AY2275" i="4"/>
  <c r="BA2274" i="4"/>
  <c r="AZ2274" i="4"/>
  <c r="AY2274" i="4"/>
  <c r="BA2273" i="4"/>
  <c r="AZ2273" i="4"/>
  <c r="AY2273" i="4"/>
  <c r="BA2272" i="4"/>
  <c r="AZ2272" i="4"/>
  <c r="AY2272" i="4"/>
  <c r="BA2271" i="4"/>
  <c r="AZ2271" i="4"/>
  <c r="AY2271" i="4"/>
  <c r="BA2270" i="4"/>
  <c r="AZ2270" i="4"/>
  <c r="AY2270" i="4"/>
  <c r="BA2269" i="4"/>
  <c r="AZ2269" i="4"/>
  <c r="AY2269" i="4"/>
  <c r="BA2268" i="4"/>
  <c r="AZ2268" i="4"/>
  <c r="AY2268" i="4"/>
  <c r="BA2267" i="4"/>
  <c r="AZ2267" i="4"/>
  <c r="AY2267" i="4"/>
  <c r="BA2266" i="4"/>
  <c r="AZ2266" i="4"/>
  <c r="AY2266" i="4"/>
  <c r="BA2265" i="4"/>
  <c r="AZ2265" i="4"/>
  <c r="AY2265" i="4"/>
  <c r="BA2264" i="4"/>
  <c r="AZ2264" i="4"/>
  <c r="AY2264" i="4"/>
  <c r="BA2263" i="4"/>
  <c r="AZ2263" i="4"/>
  <c r="AY2263" i="4"/>
  <c r="BA2262" i="4"/>
  <c r="AZ2262" i="4"/>
  <c r="AY2262" i="4"/>
  <c r="BA2261" i="4"/>
  <c r="AZ2261" i="4"/>
  <c r="AY2261" i="4"/>
  <c r="BA2260" i="4"/>
  <c r="AZ2260" i="4"/>
  <c r="AY2260" i="4"/>
  <c r="BA2259" i="4"/>
  <c r="AZ2259" i="4"/>
  <c r="AY2259" i="4"/>
  <c r="BA2258" i="4"/>
  <c r="AZ2258" i="4"/>
  <c r="AY2258" i="4"/>
  <c r="BA2257" i="4"/>
  <c r="AZ2257" i="4"/>
  <c r="AY2257" i="4"/>
  <c r="BA2256" i="4"/>
  <c r="AZ2256" i="4"/>
  <c r="AY2256" i="4"/>
  <c r="BA2255" i="4"/>
  <c r="AZ2255" i="4"/>
  <c r="AY2255" i="4"/>
  <c r="BA2254" i="4"/>
  <c r="AZ2254" i="4"/>
  <c r="AY2254" i="4"/>
  <c r="BA2253" i="4"/>
  <c r="AZ2253" i="4"/>
  <c r="AY2253" i="4"/>
  <c r="BA2252" i="4"/>
  <c r="AZ2252" i="4"/>
  <c r="AY2252" i="4"/>
  <c r="BA2251" i="4"/>
  <c r="AZ2251" i="4"/>
  <c r="AY2251" i="4"/>
  <c r="BA2250" i="4"/>
  <c r="AZ2250" i="4"/>
  <c r="AY2250" i="4"/>
  <c r="BA2249" i="4"/>
  <c r="AZ2249" i="4"/>
  <c r="AY2249" i="4"/>
  <c r="BA2248" i="4"/>
  <c r="AZ2248" i="4"/>
  <c r="AY2248" i="4"/>
  <c r="BA2247" i="4"/>
  <c r="AZ2247" i="4"/>
  <c r="AY2247" i="4"/>
  <c r="BA2246" i="4"/>
  <c r="AZ2246" i="4"/>
  <c r="AY2246" i="4"/>
  <c r="BA2245" i="4"/>
  <c r="AZ2245" i="4"/>
  <c r="AY2245" i="4"/>
  <c r="BA2244" i="4"/>
  <c r="AZ2244" i="4"/>
  <c r="AY2244" i="4"/>
  <c r="BA2243" i="4"/>
  <c r="AZ2243" i="4"/>
  <c r="AY2243" i="4"/>
  <c r="BA2242" i="4"/>
  <c r="AZ2242" i="4"/>
  <c r="AY2242" i="4"/>
  <c r="BA2241" i="4"/>
  <c r="AZ2241" i="4"/>
  <c r="AY2241" i="4"/>
  <c r="BA2240" i="4"/>
  <c r="AZ2240" i="4"/>
  <c r="AY2240" i="4"/>
  <c r="BA2239" i="4"/>
  <c r="AZ2239" i="4"/>
  <c r="AY2239" i="4"/>
  <c r="BA2238" i="4"/>
  <c r="AZ2238" i="4"/>
  <c r="AY2238" i="4"/>
  <c r="BA2237" i="4"/>
  <c r="AZ2237" i="4"/>
  <c r="AY2237" i="4"/>
  <c r="BA2236" i="4"/>
  <c r="AZ2236" i="4"/>
  <c r="AY2236" i="4"/>
  <c r="BA2235" i="4"/>
  <c r="AZ2235" i="4"/>
  <c r="AY2235" i="4"/>
  <c r="BA2234" i="4"/>
  <c r="AZ2234" i="4"/>
  <c r="AY2234" i="4"/>
  <c r="BA2233" i="4"/>
  <c r="AZ2233" i="4"/>
  <c r="AY2233" i="4"/>
  <c r="BA2232" i="4"/>
  <c r="AZ2232" i="4"/>
  <c r="AY2232" i="4"/>
  <c r="BA2231" i="4"/>
  <c r="AZ2231" i="4"/>
  <c r="AY2231" i="4"/>
  <c r="BA2230" i="4"/>
  <c r="AZ2230" i="4"/>
  <c r="AY2230" i="4"/>
  <c r="BA2229" i="4"/>
  <c r="AZ2229" i="4"/>
  <c r="AY2229" i="4"/>
  <c r="BA2228" i="4"/>
  <c r="AZ2228" i="4"/>
  <c r="AY2228" i="4"/>
  <c r="BA2227" i="4"/>
  <c r="AZ2227" i="4"/>
  <c r="AY2227" i="4"/>
  <c r="BA2226" i="4"/>
  <c r="AZ2226" i="4"/>
  <c r="AY2226" i="4"/>
  <c r="BA2225" i="4"/>
  <c r="AZ2225" i="4"/>
  <c r="AY2225" i="4"/>
  <c r="BA2224" i="4"/>
  <c r="AZ2224" i="4"/>
  <c r="AY2224" i="4"/>
  <c r="BA2223" i="4"/>
  <c r="AZ2223" i="4"/>
  <c r="AY2223" i="4"/>
  <c r="BA2222" i="4"/>
  <c r="AZ2222" i="4"/>
  <c r="AY2222" i="4"/>
  <c r="BA2221" i="4"/>
  <c r="AZ2221" i="4"/>
  <c r="AY2221" i="4"/>
  <c r="BA2220" i="4"/>
  <c r="AZ2220" i="4"/>
  <c r="AY2220" i="4"/>
  <c r="BA2219" i="4"/>
  <c r="AZ2219" i="4"/>
  <c r="AY2219" i="4"/>
  <c r="BA2218" i="4"/>
  <c r="AZ2218" i="4"/>
  <c r="AY2218" i="4"/>
  <c r="BA2217" i="4"/>
  <c r="AZ2217" i="4"/>
  <c r="AY2217" i="4"/>
  <c r="BA2216" i="4"/>
  <c r="AZ2216" i="4"/>
  <c r="AY2216" i="4"/>
  <c r="BA2215" i="4"/>
  <c r="AZ2215" i="4"/>
  <c r="AY2215" i="4"/>
  <c r="BA2214" i="4"/>
  <c r="AZ2214" i="4"/>
  <c r="AY2214" i="4"/>
  <c r="BA2213" i="4"/>
  <c r="AZ2213" i="4"/>
  <c r="AY2213" i="4"/>
  <c r="BA2212" i="4"/>
  <c r="AZ2212" i="4"/>
  <c r="AY2212" i="4"/>
  <c r="BA2211" i="4"/>
  <c r="AZ2211" i="4"/>
  <c r="AY2211" i="4"/>
  <c r="BA2210" i="4"/>
  <c r="AZ2210" i="4"/>
  <c r="AY2210" i="4"/>
  <c r="BA2209" i="4"/>
  <c r="AZ2209" i="4"/>
  <c r="AY2209" i="4"/>
  <c r="BA2208" i="4"/>
  <c r="AZ2208" i="4"/>
  <c r="AY2208" i="4"/>
  <c r="BA2207" i="4"/>
  <c r="AZ2207" i="4"/>
  <c r="AY2207" i="4"/>
  <c r="BA2206" i="4"/>
  <c r="AZ2206" i="4"/>
  <c r="AY2206" i="4"/>
  <c r="BA2205" i="4"/>
  <c r="AZ2205" i="4"/>
  <c r="AY2205" i="4"/>
  <c r="BA2204" i="4"/>
  <c r="AZ2204" i="4"/>
  <c r="AY2204" i="4"/>
  <c r="BA2203" i="4"/>
  <c r="AZ2203" i="4"/>
  <c r="AY2203" i="4"/>
  <c r="BA2202" i="4"/>
  <c r="AZ2202" i="4"/>
  <c r="AY2202" i="4"/>
  <c r="BA2201" i="4"/>
  <c r="AZ2201" i="4"/>
  <c r="AY2201" i="4"/>
  <c r="BA2200" i="4"/>
  <c r="AZ2200" i="4"/>
  <c r="AY2200" i="4"/>
  <c r="BA2199" i="4"/>
  <c r="AZ2199" i="4"/>
  <c r="AY2199" i="4"/>
  <c r="BA2198" i="4"/>
  <c r="AZ2198" i="4"/>
  <c r="AY2198" i="4"/>
  <c r="BA2197" i="4"/>
  <c r="AZ2197" i="4"/>
  <c r="AY2197" i="4"/>
  <c r="BA2196" i="4"/>
  <c r="AZ2196" i="4"/>
  <c r="AY2196" i="4"/>
  <c r="BA2195" i="4"/>
  <c r="AZ2195" i="4"/>
  <c r="AY2195" i="4"/>
  <c r="BA2194" i="4"/>
  <c r="AZ2194" i="4"/>
  <c r="AY2194" i="4"/>
  <c r="BA2193" i="4"/>
  <c r="AZ2193" i="4"/>
  <c r="AY2193" i="4"/>
  <c r="BA2192" i="4"/>
  <c r="AZ2192" i="4"/>
  <c r="AY2192" i="4"/>
  <c r="BA2191" i="4"/>
  <c r="AZ2191" i="4"/>
  <c r="AY2191" i="4"/>
  <c r="BA2190" i="4"/>
  <c r="AZ2190" i="4"/>
  <c r="AY2190" i="4"/>
  <c r="BA2189" i="4"/>
  <c r="AZ2189" i="4"/>
  <c r="AY2189" i="4"/>
  <c r="BA2188" i="4"/>
  <c r="AZ2188" i="4"/>
  <c r="AY2188" i="4"/>
  <c r="BA2187" i="4"/>
  <c r="AZ2187" i="4"/>
  <c r="AY2187" i="4"/>
  <c r="BA2186" i="4"/>
  <c r="AZ2186" i="4"/>
  <c r="AY2186" i="4"/>
  <c r="AV2186" i="4"/>
  <c r="BA2185" i="4"/>
  <c r="AZ2185" i="4"/>
  <c r="AY2185" i="4"/>
  <c r="AV2185" i="4"/>
  <c r="BA2184" i="4"/>
  <c r="AZ2184" i="4"/>
  <c r="AY2184" i="4"/>
  <c r="AV2184" i="4"/>
  <c r="BA2183" i="4"/>
  <c r="AZ2183" i="4"/>
  <c r="AY2183" i="4"/>
  <c r="AV2183" i="4"/>
  <c r="BA2182" i="4"/>
  <c r="AZ2182" i="4"/>
  <c r="AY2182" i="4"/>
  <c r="AV2182" i="4"/>
  <c r="BA2181" i="4"/>
  <c r="AZ2181" i="4"/>
  <c r="AY2181" i="4"/>
  <c r="AV2181" i="4"/>
  <c r="BA2180" i="4"/>
  <c r="AZ2180" i="4"/>
  <c r="AY2180" i="4"/>
  <c r="AV2180" i="4"/>
  <c r="BA2179" i="4"/>
  <c r="AZ2179" i="4"/>
  <c r="AY2179" i="4"/>
  <c r="AV2179" i="4"/>
  <c r="BA2178" i="4"/>
  <c r="AZ2178" i="4"/>
  <c r="AY2178" i="4"/>
  <c r="AV2178" i="4"/>
  <c r="BA2177" i="4"/>
  <c r="AZ2177" i="4"/>
  <c r="AY2177" i="4"/>
  <c r="AV2177" i="4"/>
  <c r="BA2176" i="4"/>
  <c r="AZ2176" i="4"/>
  <c r="AY2176" i="4"/>
  <c r="AV2176" i="4"/>
  <c r="BA2175" i="4"/>
  <c r="AZ2175" i="4"/>
  <c r="AY2175" i="4"/>
  <c r="AV2175" i="4"/>
  <c r="BA2174" i="4"/>
  <c r="AZ2174" i="4"/>
  <c r="AY2174" i="4"/>
  <c r="AV2174" i="4"/>
  <c r="BA2173" i="4"/>
  <c r="AZ2173" i="4"/>
  <c r="AY2173" i="4"/>
  <c r="AV2173" i="4"/>
  <c r="BA2172" i="4"/>
  <c r="AZ2172" i="4"/>
  <c r="AY2172" i="4"/>
  <c r="AV2172" i="4"/>
  <c r="BA2171" i="4"/>
  <c r="AZ2171" i="4"/>
  <c r="AY2171" i="4"/>
  <c r="AV2171" i="4"/>
  <c r="BA2170" i="4"/>
  <c r="AZ2170" i="4"/>
  <c r="AY2170" i="4"/>
  <c r="AV2170" i="4"/>
  <c r="BA2169" i="4"/>
  <c r="AZ2169" i="4"/>
  <c r="AY2169" i="4"/>
  <c r="BA2168" i="4"/>
  <c r="AZ2168" i="4"/>
  <c r="AY2168" i="4"/>
  <c r="BA2167" i="4"/>
  <c r="AZ2167" i="4"/>
  <c r="AY2167" i="4"/>
  <c r="BA2166" i="4"/>
  <c r="AZ2166" i="4"/>
  <c r="AY2166" i="4"/>
  <c r="BA2165" i="4"/>
  <c r="AZ2165" i="4"/>
  <c r="AY2165" i="4"/>
  <c r="BA2164" i="4"/>
  <c r="AZ2164" i="4"/>
  <c r="AY2164" i="4"/>
  <c r="BA2163" i="4"/>
  <c r="AZ2163" i="4"/>
  <c r="AY2163" i="4"/>
  <c r="BA2162" i="4"/>
  <c r="AZ2162" i="4"/>
  <c r="AY2162" i="4"/>
  <c r="BA2161" i="4"/>
  <c r="AZ2161" i="4"/>
  <c r="AY2161" i="4"/>
  <c r="BA2160" i="4"/>
  <c r="AZ2160" i="4"/>
  <c r="AY2160" i="4"/>
  <c r="BA2159" i="4"/>
  <c r="AZ2159" i="4"/>
  <c r="AY2159" i="4"/>
  <c r="BA2158" i="4"/>
  <c r="AZ2158" i="4"/>
  <c r="AY2158" i="4"/>
  <c r="BA2157" i="4"/>
  <c r="AZ2157" i="4"/>
  <c r="AY2157" i="4"/>
  <c r="BA2156" i="4"/>
  <c r="AZ2156" i="4"/>
  <c r="AY2156" i="4"/>
  <c r="BA2155" i="4"/>
  <c r="AZ2155" i="4"/>
  <c r="AY2155" i="4"/>
  <c r="BA2154" i="4"/>
  <c r="AZ2154" i="4"/>
  <c r="AY2154" i="4"/>
  <c r="BA2153" i="4"/>
  <c r="AZ2153" i="4"/>
  <c r="AY2153" i="4"/>
  <c r="BA2152" i="4"/>
  <c r="AZ2152" i="4"/>
  <c r="AY2152" i="4"/>
  <c r="BA2151" i="4"/>
  <c r="AZ2151" i="4"/>
  <c r="AY2151" i="4"/>
  <c r="BA2150" i="4"/>
  <c r="AZ2150" i="4"/>
  <c r="AY2150" i="4"/>
  <c r="BA2149" i="4"/>
  <c r="AZ2149" i="4"/>
  <c r="AY2149" i="4"/>
  <c r="BA2148" i="4"/>
  <c r="AZ2148" i="4"/>
  <c r="AY2148" i="4"/>
  <c r="BA2147" i="4"/>
  <c r="AZ2147" i="4"/>
  <c r="AY2147" i="4"/>
  <c r="BA2146" i="4"/>
  <c r="AZ2146" i="4"/>
  <c r="AY2146" i="4"/>
  <c r="BA2145" i="4"/>
  <c r="AZ2145" i="4"/>
  <c r="AY2145" i="4"/>
  <c r="BA2144" i="4"/>
  <c r="AZ2144" i="4"/>
  <c r="AY2144" i="4"/>
  <c r="BA2143" i="4"/>
  <c r="AZ2143" i="4"/>
  <c r="AY2143" i="4"/>
  <c r="BA2142" i="4"/>
  <c r="AZ2142" i="4"/>
  <c r="AY2142" i="4"/>
  <c r="BA2141" i="4"/>
  <c r="AZ2141" i="4"/>
  <c r="AY2141" i="4"/>
  <c r="BA2140" i="4"/>
  <c r="AZ2140" i="4"/>
  <c r="AY2140" i="4"/>
  <c r="BA2139" i="4"/>
  <c r="AZ2139" i="4"/>
  <c r="AY2139" i="4"/>
  <c r="BA2138" i="4"/>
  <c r="AZ2138" i="4"/>
  <c r="AY2138" i="4"/>
  <c r="BA2137" i="4"/>
  <c r="AZ2137" i="4"/>
  <c r="AY2137" i="4"/>
  <c r="BA2136" i="4"/>
  <c r="AZ2136" i="4"/>
  <c r="AY2136" i="4"/>
  <c r="BA2135" i="4"/>
  <c r="AZ2135" i="4"/>
  <c r="AY2135" i="4"/>
  <c r="BA2134" i="4"/>
  <c r="AZ2134" i="4"/>
  <c r="AY2134" i="4"/>
  <c r="BA2133" i="4"/>
  <c r="AZ2133" i="4"/>
  <c r="AY2133" i="4"/>
  <c r="BA2132" i="4"/>
  <c r="AZ2132" i="4"/>
  <c r="AY2132" i="4"/>
  <c r="BA2131" i="4"/>
  <c r="AZ2131" i="4"/>
  <c r="AY2131" i="4"/>
  <c r="BA2130" i="4"/>
  <c r="AZ2130" i="4"/>
  <c r="AY2130" i="4"/>
  <c r="BA2129" i="4"/>
  <c r="AZ2129" i="4"/>
  <c r="AY2129" i="4"/>
  <c r="BA2128" i="4"/>
  <c r="AZ2128" i="4"/>
  <c r="AY2128" i="4"/>
  <c r="BA2127" i="4"/>
  <c r="AZ2127" i="4"/>
  <c r="AY2127" i="4"/>
  <c r="BA2126" i="4"/>
  <c r="AZ2126" i="4"/>
  <c r="AY2126" i="4"/>
  <c r="BA2125" i="4"/>
  <c r="AZ2125" i="4"/>
  <c r="AY2125" i="4"/>
  <c r="BA2124" i="4"/>
  <c r="AZ2124" i="4"/>
  <c r="AY2124" i="4"/>
  <c r="BA2123" i="4"/>
  <c r="AZ2123" i="4"/>
  <c r="AY2123" i="4"/>
  <c r="BA2122" i="4"/>
  <c r="AZ2122" i="4"/>
  <c r="AY2122" i="4"/>
  <c r="BA2121" i="4"/>
  <c r="AZ2121" i="4"/>
  <c r="AY2121" i="4"/>
  <c r="BA2120" i="4"/>
  <c r="AZ2120" i="4"/>
  <c r="AY2120" i="4"/>
  <c r="BA2119" i="4"/>
  <c r="AZ2119" i="4"/>
  <c r="AY2119" i="4"/>
  <c r="BA2118" i="4"/>
  <c r="AZ2118" i="4"/>
  <c r="AY2118" i="4"/>
  <c r="BA2117" i="4"/>
  <c r="AZ2117" i="4"/>
  <c r="AY2117" i="4"/>
  <c r="BA2116" i="4"/>
  <c r="AZ2116" i="4"/>
  <c r="AY2116" i="4"/>
  <c r="BA2115" i="4"/>
  <c r="AZ2115" i="4"/>
  <c r="AY2115" i="4"/>
  <c r="BA2114" i="4"/>
  <c r="AZ2114" i="4"/>
  <c r="AY2114" i="4"/>
  <c r="BA2113" i="4"/>
  <c r="AZ2113" i="4"/>
  <c r="AY2113" i="4"/>
  <c r="BA2112" i="4"/>
  <c r="AZ2112" i="4"/>
  <c r="AY2112" i="4"/>
  <c r="BA2111" i="4"/>
  <c r="AZ2111" i="4"/>
  <c r="AY2111" i="4"/>
  <c r="BA2110" i="4"/>
  <c r="AZ2110" i="4"/>
  <c r="AY2110" i="4"/>
  <c r="BA2109" i="4"/>
  <c r="AZ2109" i="4"/>
  <c r="AY2109" i="4"/>
  <c r="BA2108" i="4"/>
  <c r="AZ2108" i="4"/>
  <c r="AY2108" i="4"/>
  <c r="BA2107" i="4"/>
  <c r="AZ2107" i="4"/>
  <c r="AY2107" i="4"/>
  <c r="BA2106" i="4"/>
  <c r="AZ2106" i="4"/>
  <c r="AY2106" i="4"/>
  <c r="BA2105" i="4"/>
  <c r="AZ2105" i="4"/>
  <c r="AY2105" i="4"/>
  <c r="BA2104" i="4"/>
  <c r="AZ2104" i="4"/>
  <c r="AY2104" i="4"/>
  <c r="BA2103" i="4"/>
  <c r="AZ2103" i="4"/>
  <c r="AY2103" i="4"/>
  <c r="BA2102" i="4"/>
  <c r="AZ2102" i="4"/>
  <c r="AY2102" i="4"/>
  <c r="BA2101" i="4"/>
  <c r="AZ2101" i="4"/>
  <c r="AY2101" i="4"/>
  <c r="BA2100" i="4"/>
  <c r="AZ2100" i="4"/>
  <c r="AY2100" i="4"/>
  <c r="BA2099" i="4"/>
  <c r="AZ2099" i="4"/>
  <c r="AY2099" i="4"/>
  <c r="BA2098" i="4"/>
  <c r="AZ2098" i="4"/>
  <c r="AY2098" i="4"/>
  <c r="BA2097" i="4"/>
  <c r="AZ2097" i="4"/>
  <c r="AY2097" i="4"/>
  <c r="BA2096" i="4"/>
  <c r="AZ2096" i="4"/>
  <c r="AY2096" i="4"/>
  <c r="BA2095" i="4"/>
  <c r="AZ2095" i="4"/>
  <c r="AY2095" i="4"/>
  <c r="BA2094" i="4"/>
  <c r="AZ2094" i="4"/>
  <c r="AY2094" i="4"/>
  <c r="BA2093" i="4"/>
  <c r="AZ2093" i="4"/>
  <c r="AY2093" i="4"/>
  <c r="BA2092" i="4"/>
  <c r="AZ2092" i="4"/>
  <c r="AY2092" i="4"/>
  <c r="BA2091" i="4"/>
  <c r="AZ2091" i="4"/>
  <c r="AY2091" i="4"/>
  <c r="BA2090" i="4"/>
  <c r="AZ2090" i="4"/>
  <c r="AY2090" i="4"/>
  <c r="BA2089" i="4"/>
  <c r="AZ2089" i="4"/>
  <c r="AY2089" i="4"/>
  <c r="BA2088" i="4"/>
  <c r="AZ2088" i="4"/>
  <c r="AY2088" i="4"/>
  <c r="BA2087" i="4"/>
  <c r="AZ2087" i="4"/>
  <c r="AY2087" i="4"/>
  <c r="BA2086" i="4"/>
  <c r="AZ2086" i="4"/>
  <c r="AY2086" i="4"/>
  <c r="BA2085" i="4"/>
  <c r="AZ2085" i="4"/>
  <c r="AY2085" i="4"/>
  <c r="BA2084" i="4"/>
  <c r="AZ2084" i="4"/>
  <c r="AY2084" i="4"/>
  <c r="BA2083" i="4"/>
  <c r="AZ2083" i="4"/>
  <c r="AY2083" i="4"/>
  <c r="BA2082" i="4"/>
  <c r="AZ2082" i="4"/>
  <c r="AY2082" i="4"/>
  <c r="BA2081" i="4"/>
  <c r="AZ2081" i="4"/>
  <c r="AY2081" i="4"/>
  <c r="BA2080" i="4"/>
  <c r="AZ2080" i="4"/>
  <c r="AY2080" i="4"/>
  <c r="BA2079" i="4"/>
  <c r="AZ2079" i="4"/>
  <c r="AY2079" i="4"/>
  <c r="BA2078" i="4"/>
  <c r="AZ2078" i="4"/>
  <c r="AY2078" i="4"/>
  <c r="BA2077" i="4"/>
  <c r="AZ2077" i="4"/>
  <c r="AY2077" i="4"/>
  <c r="BA2076" i="4"/>
  <c r="AZ2076" i="4"/>
  <c r="AY2076" i="4"/>
  <c r="BA2075" i="4"/>
  <c r="AZ2075" i="4"/>
  <c r="AY2075" i="4"/>
  <c r="BA2074" i="4"/>
  <c r="AZ2074" i="4"/>
  <c r="AY2074" i="4"/>
  <c r="BA2073" i="4"/>
  <c r="AZ2073" i="4"/>
  <c r="AY2073" i="4"/>
  <c r="BA2072" i="4"/>
  <c r="AZ2072" i="4"/>
  <c r="AY2072" i="4"/>
  <c r="BA2071" i="4"/>
  <c r="AZ2071" i="4"/>
  <c r="AY2071" i="4"/>
  <c r="BA2070" i="4"/>
  <c r="AZ2070" i="4"/>
  <c r="AY2070" i="4"/>
  <c r="BA2069" i="4"/>
  <c r="AZ2069" i="4"/>
  <c r="AY2069" i="4"/>
  <c r="BA2068" i="4"/>
  <c r="AZ2068" i="4"/>
  <c r="AY2068" i="4"/>
  <c r="BA2067" i="4"/>
  <c r="AZ2067" i="4"/>
  <c r="AY2067" i="4"/>
  <c r="BA2066" i="4"/>
  <c r="AZ2066" i="4"/>
  <c r="AY2066" i="4"/>
  <c r="BA2065" i="4"/>
  <c r="AZ2065" i="4"/>
  <c r="AY2065" i="4"/>
  <c r="BA2064" i="4"/>
  <c r="AZ2064" i="4"/>
  <c r="AY2064" i="4"/>
  <c r="BA2063" i="4"/>
  <c r="AZ2063" i="4"/>
  <c r="AY2063" i="4"/>
  <c r="BA2062" i="4"/>
  <c r="AZ2062" i="4"/>
  <c r="AY2062" i="4"/>
  <c r="BA2061" i="4"/>
  <c r="AZ2061" i="4"/>
  <c r="AY2061" i="4"/>
  <c r="BA2060" i="4"/>
  <c r="AZ2060" i="4"/>
  <c r="AY2060" i="4"/>
  <c r="BA2059" i="4"/>
  <c r="AZ2059" i="4"/>
  <c r="AY2059" i="4"/>
  <c r="BA2058" i="4"/>
  <c r="AZ2058" i="4"/>
  <c r="AY2058" i="4"/>
  <c r="BA2057" i="4"/>
  <c r="AZ2057" i="4"/>
  <c r="AY2057" i="4"/>
  <c r="BA2056" i="4"/>
  <c r="AZ2056" i="4"/>
  <c r="AY2056" i="4"/>
  <c r="BA2055" i="4"/>
  <c r="AZ2055" i="4"/>
  <c r="AY2055" i="4"/>
  <c r="BA2054" i="4"/>
  <c r="AZ2054" i="4"/>
  <c r="AY2054" i="4"/>
  <c r="BA2053" i="4"/>
  <c r="AZ2053" i="4"/>
  <c r="AY2053" i="4"/>
  <c r="BA2052" i="4"/>
  <c r="AZ2052" i="4"/>
  <c r="AY2052" i="4"/>
  <c r="BA2051" i="4"/>
  <c r="AZ2051" i="4"/>
  <c r="AY2051" i="4"/>
  <c r="BA2050" i="4"/>
  <c r="AZ2050" i="4"/>
  <c r="AY2050" i="4"/>
  <c r="BA2049" i="4"/>
  <c r="AZ2049" i="4"/>
  <c r="AY2049" i="4"/>
  <c r="BA2048" i="4"/>
  <c r="AZ2048" i="4"/>
  <c r="AY2048" i="4"/>
  <c r="BA2047" i="4"/>
  <c r="AZ2047" i="4"/>
  <c r="AY2047" i="4"/>
  <c r="BA2046" i="4"/>
  <c r="AZ2046" i="4"/>
  <c r="AY2046" i="4"/>
  <c r="BA2045" i="4"/>
  <c r="AZ2045" i="4"/>
  <c r="AY2045" i="4"/>
  <c r="BA2044" i="4"/>
  <c r="AZ2044" i="4"/>
  <c r="AY2044" i="4"/>
  <c r="BA2043" i="4"/>
  <c r="AZ2043" i="4"/>
  <c r="AY2043" i="4"/>
  <c r="BA2042" i="4"/>
  <c r="AZ2042" i="4"/>
  <c r="AY2042" i="4"/>
  <c r="BA2041" i="4"/>
  <c r="AZ2041" i="4"/>
  <c r="AY2041" i="4"/>
  <c r="BA2040" i="4"/>
  <c r="AZ2040" i="4"/>
  <c r="AY2040" i="4"/>
  <c r="BA2039" i="4"/>
  <c r="AZ2039" i="4"/>
  <c r="AY2039" i="4"/>
  <c r="BA2038" i="4"/>
  <c r="AZ2038" i="4"/>
  <c r="AY2038" i="4"/>
  <c r="BA2037" i="4"/>
  <c r="AZ2037" i="4"/>
  <c r="AY2037" i="4"/>
  <c r="BA2036" i="4"/>
  <c r="AZ2036" i="4"/>
  <c r="AY2036" i="4"/>
  <c r="BA2035" i="4"/>
  <c r="AZ2035" i="4"/>
  <c r="AY2035" i="4"/>
  <c r="BA2034" i="4"/>
  <c r="AZ2034" i="4"/>
  <c r="AY2034" i="4"/>
  <c r="BA2033" i="4"/>
  <c r="AZ2033" i="4"/>
  <c r="AY2033" i="4"/>
  <c r="BA2032" i="4"/>
  <c r="AZ2032" i="4"/>
  <c r="AY2032" i="4"/>
  <c r="BA2031" i="4"/>
  <c r="AZ2031" i="4"/>
  <c r="AY2031" i="4"/>
  <c r="BA2030" i="4"/>
  <c r="AZ2030" i="4"/>
  <c r="AY2030" i="4"/>
  <c r="BA2029" i="4"/>
  <c r="AZ2029" i="4"/>
  <c r="AY2029" i="4"/>
  <c r="BA2028" i="4"/>
  <c r="AZ2028" i="4"/>
  <c r="AY2028" i="4"/>
  <c r="BA2027" i="4"/>
  <c r="AZ2027" i="4"/>
  <c r="AY2027" i="4"/>
  <c r="BA2026" i="4"/>
  <c r="AZ2026" i="4"/>
  <c r="AY2026" i="4"/>
  <c r="BA2025" i="4"/>
  <c r="AZ2025" i="4"/>
  <c r="AY2025" i="4"/>
  <c r="BA2024" i="4"/>
  <c r="AZ2024" i="4"/>
  <c r="AY2024" i="4"/>
  <c r="BA2023" i="4"/>
  <c r="AZ2023" i="4"/>
  <c r="AY2023" i="4"/>
  <c r="BA2022" i="4"/>
  <c r="AZ2022" i="4"/>
  <c r="AY2022" i="4"/>
  <c r="BA2021" i="4"/>
  <c r="AZ2021" i="4"/>
  <c r="AY2021" i="4"/>
  <c r="BA2020" i="4"/>
  <c r="AZ2020" i="4"/>
  <c r="AY2020" i="4"/>
  <c r="BA2019" i="4"/>
  <c r="AZ2019" i="4"/>
  <c r="AY2019" i="4"/>
  <c r="BA2018" i="4"/>
  <c r="AZ2018" i="4"/>
  <c r="AY2018" i="4"/>
  <c r="BA2017" i="4"/>
  <c r="AZ2017" i="4"/>
  <c r="AY2017" i="4"/>
  <c r="BA2016" i="4"/>
  <c r="AZ2016" i="4"/>
  <c r="AY2016" i="4"/>
  <c r="BA2015" i="4"/>
  <c r="AZ2015" i="4"/>
  <c r="AY2015" i="4"/>
  <c r="BA2014" i="4"/>
  <c r="AZ2014" i="4"/>
  <c r="AY2014" i="4"/>
  <c r="BA2013" i="4"/>
  <c r="AZ2013" i="4"/>
  <c r="AY2013" i="4"/>
  <c r="BA2012" i="4"/>
  <c r="AZ2012" i="4"/>
  <c r="AY2012" i="4"/>
  <c r="BA2011" i="4"/>
  <c r="AZ2011" i="4"/>
  <c r="AY2011" i="4"/>
  <c r="BA2010" i="4"/>
  <c r="AZ2010" i="4"/>
  <c r="AY2010" i="4"/>
  <c r="BA2009" i="4"/>
  <c r="AZ2009" i="4"/>
  <c r="AY2009" i="4"/>
  <c r="BA2008" i="4"/>
  <c r="AZ2008" i="4"/>
  <c r="AY2008" i="4"/>
  <c r="BA2007" i="4"/>
  <c r="AZ2007" i="4"/>
  <c r="AY2007" i="4"/>
  <c r="BA2006" i="4"/>
  <c r="AZ2006" i="4"/>
  <c r="AY2006" i="4"/>
  <c r="BA2005" i="4"/>
  <c r="AZ2005" i="4"/>
  <c r="AY2005" i="4"/>
  <c r="BA2004" i="4"/>
  <c r="AZ2004" i="4"/>
  <c r="AY2004" i="4"/>
  <c r="BA2003" i="4"/>
  <c r="AZ2003" i="4"/>
  <c r="AY2003" i="4"/>
  <c r="BA2002" i="4"/>
  <c r="AZ2002" i="4"/>
  <c r="AY2002" i="4"/>
  <c r="BA2001" i="4"/>
  <c r="AZ2001" i="4"/>
  <c r="AY2001" i="4"/>
  <c r="BA2000" i="4"/>
  <c r="AZ2000" i="4"/>
  <c r="AY2000" i="4"/>
  <c r="BA1999" i="4"/>
  <c r="AZ1999" i="4"/>
  <c r="AY1999" i="4"/>
  <c r="BA1998" i="4"/>
  <c r="AZ1998" i="4"/>
  <c r="AY1998" i="4"/>
  <c r="BA1997" i="4"/>
  <c r="AZ1997" i="4"/>
  <c r="AY1997" i="4"/>
  <c r="BA1996" i="4"/>
  <c r="AZ1996" i="4"/>
  <c r="AY1996" i="4"/>
  <c r="BA1995" i="4"/>
  <c r="AZ1995" i="4"/>
  <c r="AY1995" i="4"/>
  <c r="BA1994" i="4"/>
  <c r="AZ1994" i="4"/>
  <c r="AY1994" i="4"/>
  <c r="BA1993" i="4"/>
  <c r="AZ1993" i="4"/>
  <c r="AY1993" i="4"/>
  <c r="BA1992" i="4"/>
  <c r="AZ1992" i="4"/>
  <c r="AY1992" i="4"/>
  <c r="BA1991" i="4"/>
  <c r="AZ1991" i="4"/>
  <c r="AY1991" i="4"/>
  <c r="BA1990" i="4"/>
  <c r="AZ1990" i="4"/>
  <c r="AY1990" i="4"/>
  <c r="BA1989" i="4"/>
  <c r="AZ1989" i="4"/>
  <c r="AY1989" i="4"/>
  <c r="BA1988" i="4"/>
  <c r="AZ1988" i="4"/>
  <c r="AY1988" i="4"/>
  <c r="BA1987" i="4"/>
  <c r="AZ1987" i="4"/>
  <c r="AY1987" i="4"/>
  <c r="BA1986" i="4"/>
  <c r="AZ1986" i="4"/>
  <c r="AY1986" i="4"/>
  <c r="BA1985" i="4"/>
  <c r="AZ1985" i="4"/>
  <c r="AY1985" i="4"/>
  <c r="BA1984" i="4"/>
  <c r="AZ1984" i="4"/>
  <c r="AY1984" i="4"/>
  <c r="BA1983" i="4"/>
  <c r="AZ1983" i="4"/>
  <c r="AY1983" i="4"/>
  <c r="BA1982" i="4"/>
  <c r="AZ1982" i="4"/>
  <c r="AY1982" i="4"/>
  <c r="BA1981" i="4"/>
  <c r="AZ1981" i="4"/>
  <c r="AY1981" i="4"/>
  <c r="BA1980" i="4"/>
  <c r="AZ1980" i="4"/>
  <c r="AY1980" i="4"/>
  <c r="BA1979" i="4"/>
  <c r="AZ1979" i="4"/>
  <c r="AY1979" i="4"/>
  <c r="BA1978" i="4"/>
  <c r="AZ1978" i="4"/>
  <c r="AY1978" i="4"/>
  <c r="BA1977" i="4"/>
  <c r="AZ1977" i="4"/>
  <c r="AY1977" i="4"/>
  <c r="BA1976" i="4"/>
  <c r="AZ1976" i="4"/>
  <c r="AY1976" i="4"/>
  <c r="BA1975" i="4"/>
  <c r="AZ1975" i="4"/>
  <c r="AY1975" i="4"/>
  <c r="BA1974" i="4"/>
  <c r="AZ1974" i="4"/>
  <c r="AY1974" i="4"/>
  <c r="BA1973" i="4"/>
  <c r="AZ1973" i="4"/>
  <c r="AY1973" i="4"/>
  <c r="BA1972" i="4"/>
  <c r="AZ1972" i="4"/>
  <c r="AY1972" i="4"/>
  <c r="BA1971" i="4"/>
  <c r="AZ1971" i="4"/>
  <c r="AY1971" i="4"/>
  <c r="BA1970" i="4"/>
  <c r="AZ1970" i="4"/>
  <c r="AY1970" i="4"/>
  <c r="BA1969" i="4"/>
  <c r="AZ1969" i="4"/>
  <c r="AY1969" i="4"/>
  <c r="BA1968" i="4"/>
  <c r="AZ1968" i="4"/>
  <c r="AY1968" i="4"/>
  <c r="BA1967" i="4"/>
  <c r="AZ1967" i="4"/>
  <c r="AY1967" i="4"/>
  <c r="BA1966" i="4"/>
  <c r="AZ1966" i="4"/>
  <c r="AY1966" i="4"/>
  <c r="BA1965" i="4"/>
  <c r="AZ1965" i="4"/>
  <c r="AY1965" i="4"/>
  <c r="BA1964" i="4"/>
  <c r="AZ1964" i="4"/>
  <c r="AY1964" i="4"/>
  <c r="BA1963" i="4"/>
  <c r="AZ1963" i="4"/>
  <c r="AY1963" i="4"/>
  <c r="BA1962" i="4"/>
  <c r="AZ1962" i="4"/>
  <c r="AY1962" i="4"/>
  <c r="BA1961" i="4"/>
  <c r="AZ1961" i="4"/>
  <c r="AY1961" i="4"/>
  <c r="BA1960" i="4"/>
  <c r="AZ1960" i="4"/>
  <c r="AY1960" i="4"/>
  <c r="BA1959" i="4"/>
  <c r="AZ1959" i="4"/>
  <c r="AY1959" i="4"/>
  <c r="BA1958" i="4"/>
  <c r="AZ1958" i="4"/>
  <c r="AY1958" i="4"/>
  <c r="BA1957" i="4"/>
  <c r="AZ1957" i="4"/>
  <c r="AY1957" i="4"/>
  <c r="BA1956" i="4"/>
  <c r="AZ1956" i="4"/>
  <c r="AY1956" i="4"/>
  <c r="BA1955" i="4"/>
  <c r="AZ1955" i="4"/>
  <c r="AY1955" i="4"/>
  <c r="BA1954" i="4"/>
  <c r="AZ1954" i="4"/>
  <c r="AY1954" i="4"/>
  <c r="BA1953" i="4"/>
  <c r="AZ1953" i="4"/>
  <c r="AY1953" i="4"/>
  <c r="BA1952" i="4"/>
  <c r="AZ1952" i="4"/>
  <c r="AY1952" i="4"/>
  <c r="BA1951" i="4"/>
  <c r="AZ1951" i="4"/>
  <c r="AY1951" i="4"/>
  <c r="BA1950" i="4"/>
  <c r="AZ1950" i="4"/>
  <c r="AY1950" i="4"/>
  <c r="BA1949" i="4"/>
  <c r="AZ1949" i="4"/>
  <c r="AY1949" i="4"/>
  <c r="BA1948" i="4"/>
  <c r="AZ1948" i="4"/>
  <c r="AY1948" i="4"/>
  <c r="BA1947" i="4"/>
  <c r="AZ1947" i="4"/>
  <c r="AY1947" i="4"/>
  <c r="BA1946" i="4"/>
  <c r="AZ1946" i="4"/>
  <c r="AY1946" i="4"/>
  <c r="BA1945" i="4"/>
  <c r="AZ1945" i="4"/>
  <c r="AY1945" i="4"/>
  <c r="BA1944" i="4"/>
  <c r="AZ1944" i="4"/>
  <c r="AY1944" i="4"/>
  <c r="BA1943" i="4"/>
  <c r="AZ1943" i="4"/>
  <c r="AY1943" i="4"/>
  <c r="BA1942" i="4"/>
  <c r="AZ1942" i="4"/>
  <c r="AY1942" i="4"/>
  <c r="BA1941" i="4"/>
  <c r="AZ1941" i="4"/>
  <c r="AY1941" i="4"/>
  <c r="BA1940" i="4"/>
  <c r="AZ1940" i="4"/>
  <c r="AY1940" i="4"/>
  <c r="BA1939" i="4"/>
  <c r="AZ1939" i="4"/>
  <c r="AY1939" i="4"/>
  <c r="BA1938" i="4"/>
  <c r="AZ1938" i="4"/>
  <c r="AY1938" i="4"/>
  <c r="BA1937" i="4"/>
  <c r="AZ1937" i="4"/>
  <c r="AY1937" i="4"/>
  <c r="BA1936" i="4"/>
  <c r="AZ1936" i="4"/>
  <c r="AY1936" i="4"/>
  <c r="BA1935" i="4"/>
  <c r="AZ1935" i="4"/>
  <c r="AY1935" i="4"/>
  <c r="BA1934" i="4"/>
  <c r="AZ1934" i="4"/>
  <c r="AY1934" i="4"/>
  <c r="BA1933" i="4"/>
  <c r="AZ1933" i="4"/>
  <c r="AY1933" i="4"/>
  <c r="BA1932" i="4"/>
  <c r="AZ1932" i="4"/>
  <c r="AY1932" i="4"/>
  <c r="BA1931" i="4"/>
  <c r="AZ1931" i="4"/>
  <c r="AY1931" i="4"/>
  <c r="BA1930" i="4"/>
  <c r="AZ1930" i="4"/>
  <c r="AY1930" i="4"/>
  <c r="BA1929" i="4"/>
  <c r="AZ1929" i="4"/>
  <c r="AY1929" i="4"/>
  <c r="BA1928" i="4"/>
  <c r="AZ1928" i="4"/>
  <c r="AY1928" i="4"/>
  <c r="BA1927" i="4"/>
  <c r="AZ1927" i="4"/>
  <c r="AY1927" i="4"/>
  <c r="BA1926" i="4"/>
  <c r="AZ1926" i="4"/>
  <c r="AY1926" i="4"/>
  <c r="BA1925" i="4"/>
  <c r="AZ1925" i="4"/>
  <c r="AY1925" i="4"/>
  <c r="BA1924" i="4"/>
  <c r="AZ1924" i="4"/>
  <c r="AY1924" i="4"/>
  <c r="BA1923" i="4"/>
  <c r="AZ1923" i="4"/>
  <c r="AY1923" i="4"/>
  <c r="BA1922" i="4"/>
  <c r="AZ1922" i="4"/>
  <c r="AY1922" i="4"/>
  <c r="BA1921" i="4"/>
  <c r="AZ1921" i="4"/>
  <c r="AY1921" i="4"/>
  <c r="BA1920" i="4"/>
  <c r="AZ1920" i="4"/>
  <c r="AY1920" i="4"/>
  <c r="BA1919" i="4"/>
  <c r="AZ1919" i="4"/>
  <c r="AY1919" i="4"/>
  <c r="BA1918" i="4"/>
  <c r="AZ1918" i="4"/>
  <c r="AY1918" i="4"/>
  <c r="BA1917" i="4"/>
  <c r="AZ1917" i="4"/>
  <c r="AY1917" i="4"/>
  <c r="BA1916" i="4"/>
  <c r="AZ1916" i="4"/>
  <c r="AY1916" i="4"/>
  <c r="BA1915" i="4"/>
  <c r="AZ1915" i="4"/>
  <c r="AY1915" i="4"/>
  <c r="BA1914" i="4"/>
  <c r="AZ1914" i="4"/>
  <c r="AY1914" i="4"/>
  <c r="BA1913" i="4"/>
  <c r="AZ1913" i="4"/>
  <c r="AY1913" i="4"/>
  <c r="BA1912" i="4"/>
  <c r="AZ1912" i="4"/>
  <c r="AY1912" i="4"/>
  <c r="BA1911" i="4"/>
  <c r="AZ1911" i="4"/>
  <c r="AY1911" i="4"/>
  <c r="BA1910" i="4"/>
  <c r="AZ1910" i="4"/>
  <c r="AY1910" i="4"/>
  <c r="BA1909" i="4"/>
  <c r="AZ1909" i="4"/>
  <c r="AY1909" i="4"/>
  <c r="BA1908" i="4"/>
  <c r="AZ1908" i="4"/>
  <c r="AY1908" i="4"/>
  <c r="BA1907" i="4"/>
  <c r="AZ1907" i="4"/>
  <c r="AY1907" i="4"/>
  <c r="BA1906" i="4"/>
  <c r="AZ1906" i="4"/>
  <c r="AY1906" i="4"/>
  <c r="BA1905" i="4"/>
  <c r="AZ1905" i="4"/>
  <c r="AY1905" i="4"/>
  <c r="BA1904" i="4"/>
  <c r="AZ1904" i="4"/>
  <c r="AY1904" i="4"/>
  <c r="BA1903" i="4"/>
  <c r="AZ1903" i="4"/>
  <c r="AY1903" i="4"/>
  <c r="BA1902" i="4"/>
  <c r="AZ1902" i="4"/>
  <c r="AY1902" i="4"/>
  <c r="BA1901" i="4"/>
  <c r="AZ1901" i="4"/>
  <c r="AY1901" i="4"/>
  <c r="BA1900" i="4"/>
  <c r="AZ1900" i="4"/>
  <c r="AY1900" i="4"/>
  <c r="BA1899" i="4"/>
  <c r="AZ1899" i="4"/>
  <c r="AY1899" i="4"/>
  <c r="AV1899" i="4"/>
  <c r="BA1898" i="4"/>
  <c r="AZ1898" i="4"/>
  <c r="AY1898" i="4"/>
  <c r="AV1898" i="4"/>
  <c r="BA1897" i="4"/>
  <c r="AZ1897" i="4"/>
  <c r="AY1897" i="4"/>
  <c r="AV1897" i="4"/>
  <c r="BA1896" i="4"/>
  <c r="AZ1896" i="4"/>
  <c r="AY1896" i="4"/>
  <c r="AV1896" i="4"/>
  <c r="BA1895" i="4"/>
  <c r="AZ1895" i="4"/>
  <c r="AY1895" i="4"/>
  <c r="AV1895" i="4"/>
  <c r="BA1894" i="4"/>
  <c r="AZ1894" i="4"/>
  <c r="AY1894" i="4"/>
  <c r="AV1894" i="4"/>
  <c r="BA1893" i="4"/>
  <c r="AZ1893" i="4"/>
  <c r="AY1893" i="4"/>
  <c r="AV1893" i="4"/>
  <c r="BA1892" i="4"/>
  <c r="AZ1892" i="4"/>
  <c r="AY1892" i="4"/>
  <c r="AV1892" i="4"/>
  <c r="BA1891" i="4"/>
  <c r="AZ1891" i="4"/>
  <c r="AY1891" i="4"/>
  <c r="AV1891" i="4"/>
  <c r="BA1890" i="4"/>
  <c r="AZ1890" i="4"/>
  <c r="AY1890" i="4"/>
  <c r="AV1890" i="4"/>
  <c r="BA1889" i="4"/>
  <c r="AZ1889" i="4"/>
  <c r="AY1889" i="4"/>
  <c r="AV1889" i="4"/>
  <c r="BA1888" i="4"/>
  <c r="AZ1888" i="4"/>
  <c r="AY1888" i="4"/>
  <c r="AV1888" i="4"/>
  <c r="BA1887" i="4"/>
  <c r="AZ1887" i="4"/>
  <c r="AY1887" i="4"/>
  <c r="AV1887" i="4"/>
  <c r="BA1886" i="4"/>
  <c r="AZ1886" i="4"/>
  <c r="AY1886" i="4"/>
  <c r="AV1886" i="4"/>
  <c r="BA1885" i="4"/>
  <c r="AZ1885" i="4"/>
  <c r="AY1885" i="4"/>
  <c r="AV1885" i="4"/>
  <c r="BA1884" i="4"/>
  <c r="AZ1884" i="4"/>
  <c r="AY1884" i="4"/>
  <c r="AV1884" i="4"/>
  <c r="BA1883" i="4"/>
  <c r="AZ1883" i="4"/>
  <c r="AY1883" i="4"/>
  <c r="AV1883" i="4"/>
  <c r="BA1882" i="4"/>
  <c r="AZ1882" i="4"/>
  <c r="AY1882" i="4"/>
  <c r="AV1882" i="4"/>
  <c r="BA1881" i="4"/>
  <c r="AZ1881" i="4"/>
  <c r="AY1881" i="4"/>
  <c r="AV1881" i="4"/>
  <c r="BA1880" i="4"/>
  <c r="AZ1880" i="4"/>
  <c r="AY1880" i="4"/>
  <c r="AV1880" i="4"/>
  <c r="BA1879" i="4"/>
  <c r="AZ1879" i="4"/>
  <c r="AY1879" i="4"/>
  <c r="AV1879" i="4"/>
  <c r="BA1878" i="4"/>
  <c r="AZ1878" i="4"/>
  <c r="AY1878" i="4"/>
  <c r="AV1878" i="4"/>
  <c r="BA1877" i="4"/>
  <c r="AZ1877" i="4"/>
  <c r="AY1877" i="4"/>
  <c r="AV1877" i="4"/>
  <c r="BA1876" i="4"/>
  <c r="AZ1876" i="4"/>
  <c r="AY1876" i="4"/>
  <c r="AV1876" i="4"/>
  <c r="BA1875" i="4"/>
  <c r="AZ1875" i="4"/>
  <c r="AY1875" i="4"/>
  <c r="AV1875" i="4"/>
  <c r="BA1874" i="4"/>
  <c r="AZ1874" i="4"/>
  <c r="AY1874" i="4"/>
  <c r="AV1874" i="4"/>
  <c r="BA1873" i="4"/>
  <c r="AZ1873" i="4"/>
  <c r="AY1873" i="4"/>
  <c r="AV1873" i="4"/>
  <c r="BA1872" i="4"/>
  <c r="AZ1872" i="4"/>
  <c r="AY1872" i="4"/>
  <c r="AV1872" i="4"/>
  <c r="BA1871" i="4"/>
  <c r="AZ1871" i="4"/>
  <c r="AY1871" i="4"/>
  <c r="AV1871" i="4"/>
  <c r="BA1870" i="4"/>
  <c r="AZ1870" i="4"/>
  <c r="AY1870" i="4"/>
  <c r="AV1870" i="4"/>
  <c r="BA1869" i="4"/>
  <c r="AZ1869" i="4"/>
  <c r="AY1869" i="4"/>
  <c r="AV1869" i="4"/>
  <c r="BA1868" i="4"/>
  <c r="AZ1868" i="4"/>
  <c r="AY1868" i="4"/>
  <c r="AV1868" i="4"/>
  <c r="BA1867" i="4"/>
  <c r="AZ1867" i="4"/>
  <c r="AY1867" i="4"/>
  <c r="AV1867" i="4"/>
  <c r="BA1866" i="4"/>
  <c r="AZ1866" i="4"/>
  <c r="AY1866" i="4"/>
  <c r="AV1866" i="4"/>
  <c r="BA1865" i="4"/>
  <c r="AZ1865" i="4"/>
  <c r="AY1865" i="4"/>
  <c r="AV1865" i="4"/>
  <c r="BA1864" i="4"/>
  <c r="AZ1864" i="4"/>
  <c r="AY1864" i="4"/>
  <c r="AV1864" i="4"/>
  <c r="BA1863" i="4"/>
  <c r="AZ1863" i="4"/>
  <c r="AY1863" i="4"/>
  <c r="AV1863" i="4"/>
  <c r="BA1862" i="4"/>
  <c r="AZ1862" i="4"/>
  <c r="AY1862" i="4"/>
  <c r="AV1862" i="4"/>
  <c r="BA1861" i="4"/>
  <c r="AZ1861" i="4"/>
  <c r="AY1861" i="4"/>
  <c r="AV1861" i="4"/>
  <c r="BA1860" i="4"/>
  <c r="AZ1860" i="4"/>
  <c r="AY1860" i="4"/>
  <c r="AV1860" i="4"/>
  <c r="BA1859" i="4"/>
  <c r="AZ1859" i="4"/>
  <c r="AY1859" i="4"/>
  <c r="AV1859" i="4"/>
  <c r="BA1858" i="4"/>
  <c r="AZ1858" i="4"/>
  <c r="AY1858" i="4"/>
  <c r="AV1858" i="4"/>
  <c r="BA1857" i="4"/>
  <c r="AZ1857" i="4"/>
  <c r="AY1857" i="4"/>
  <c r="AV1857" i="4"/>
  <c r="BA1856" i="4"/>
  <c r="AZ1856" i="4"/>
  <c r="AY1856" i="4"/>
  <c r="AV1856" i="4"/>
  <c r="BA1855" i="4"/>
  <c r="AZ1855" i="4"/>
  <c r="AY1855" i="4"/>
  <c r="AV1855" i="4"/>
  <c r="BA1854" i="4"/>
  <c r="AZ1854" i="4"/>
  <c r="AY1854" i="4"/>
  <c r="AV1854" i="4"/>
  <c r="BA1853" i="4"/>
  <c r="AZ1853" i="4"/>
  <c r="AY1853" i="4"/>
  <c r="AV1853" i="4"/>
  <c r="BA1852" i="4"/>
  <c r="AZ1852" i="4"/>
  <c r="AY1852" i="4"/>
  <c r="AV1852" i="4"/>
  <c r="BA1851" i="4"/>
  <c r="AZ1851" i="4"/>
  <c r="AY1851" i="4"/>
  <c r="AV1851" i="4"/>
  <c r="BA1850" i="4"/>
  <c r="AZ1850" i="4"/>
  <c r="AY1850" i="4"/>
  <c r="AV1850" i="4"/>
  <c r="BA1849" i="4"/>
  <c r="AZ1849" i="4"/>
  <c r="AY1849" i="4"/>
  <c r="AV1849" i="4"/>
  <c r="BA1848" i="4"/>
  <c r="AZ1848" i="4"/>
  <c r="AY1848" i="4"/>
  <c r="AV1848" i="4"/>
  <c r="BA1847" i="4"/>
  <c r="AZ1847" i="4"/>
  <c r="AY1847" i="4"/>
  <c r="AV1847" i="4"/>
  <c r="BA1846" i="4"/>
  <c r="AZ1846" i="4"/>
  <c r="AY1846" i="4"/>
  <c r="AV1846" i="4"/>
  <c r="BA1845" i="4"/>
  <c r="AZ1845" i="4"/>
  <c r="AY1845" i="4"/>
  <c r="AV1845" i="4"/>
  <c r="BA1844" i="4"/>
  <c r="AZ1844" i="4"/>
  <c r="AY1844" i="4"/>
  <c r="AV1844" i="4"/>
  <c r="BA1843" i="4"/>
  <c r="AZ1843" i="4"/>
  <c r="AY1843" i="4"/>
  <c r="AV1843" i="4"/>
  <c r="BA1842" i="4"/>
  <c r="AZ1842" i="4"/>
  <c r="AY1842" i="4"/>
  <c r="AV1842" i="4"/>
  <c r="BA1841" i="4"/>
  <c r="AZ1841" i="4"/>
  <c r="AY1841" i="4"/>
  <c r="AV1841" i="4"/>
  <c r="BA1840" i="4"/>
  <c r="AZ1840" i="4"/>
  <c r="AY1840" i="4"/>
  <c r="AV1840" i="4"/>
  <c r="BA1839" i="4"/>
  <c r="AZ1839" i="4"/>
  <c r="AY1839" i="4"/>
  <c r="AV1839" i="4"/>
  <c r="BA1838" i="4"/>
  <c r="AZ1838" i="4"/>
  <c r="AY1838" i="4"/>
  <c r="AV1838" i="4"/>
  <c r="BA1837" i="4"/>
  <c r="AZ1837" i="4"/>
  <c r="AY1837" i="4"/>
  <c r="AV1837" i="4"/>
  <c r="BA1836" i="4"/>
  <c r="AZ1836" i="4"/>
  <c r="AY1836" i="4"/>
  <c r="AV1836" i="4"/>
  <c r="BA1835" i="4"/>
  <c r="AZ1835" i="4"/>
  <c r="AY1835" i="4"/>
  <c r="AV1835" i="4"/>
  <c r="BA1834" i="4"/>
  <c r="AZ1834" i="4"/>
  <c r="AY1834" i="4"/>
  <c r="AV1834" i="4"/>
  <c r="BA1833" i="4"/>
  <c r="AZ1833" i="4"/>
  <c r="AY1833" i="4"/>
  <c r="AV1833" i="4"/>
  <c r="BA1832" i="4"/>
  <c r="AZ1832" i="4"/>
  <c r="AY1832" i="4"/>
  <c r="AV1832" i="4"/>
  <c r="BA1831" i="4"/>
  <c r="AZ1831" i="4"/>
  <c r="AY1831" i="4"/>
  <c r="AV1831" i="4"/>
  <c r="BA1830" i="4"/>
  <c r="AZ1830" i="4"/>
  <c r="AY1830" i="4"/>
  <c r="AV1830" i="4"/>
  <c r="BA1829" i="4"/>
  <c r="AZ1829" i="4"/>
  <c r="AY1829" i="4"/>
  <c r="AV1829" i="4"/>
  <c r="BA1828" i="4"/>
  <c r="AZ1828" i="4"/>
  <c r="AY1828" i="4"/>
  <c r="AV1828" i="4"/>
  <c r="BA1827" i="4"/>
  <c r="AZ1827" i="4"/>
  <c r="AY1827" i="4"/>
  <c r="AV1827" i="4"/>
  <c r="BA1826" i="4"/>
  <c r="AZ1826" i="4"/>
  <c r="AY1826" i="4"/>
  <c r="AV1826" i="4"/>
  <c r="BA1825" i="4"/>
  <c r="AZ1825" i="4"/>
  <c r="AY1825" i="4"/>
  <c r="AV1825" i="4"/>
  <c r="BA1824" i="4"/>
  <c r="AZ1824" i="4"/>
  <c r="AY1824" i="4"/>
  <c r="AV1824" i="4"/>
  <c r="BA1823" i="4"/>
  <c r="AZ1823" i="4"/>
  <c r="AY1823" i="4"/>
  <c r="AV1823" i="4"/>
  <c r="BA1822" i="4"/>
  <c r="AZ1822" i="4"/>
  <c r="AY1822" i="4"/>
  <c r="AV1822" i="4"/>
  <c r="BA1821" i="4"/>
  <c r="AZ1821" i="4"/>
  <c r="AY1821" i="4"/>
  <c r="AV1821" i="4"/>
  <c r="BA1820" i="4"/>
  <c r="AZ1820" i="4"/>
  <c r="AY1820" i="4"/>
  <c r="AV1820" i="4"/>
  <c r="BA1819" i="4"/>
  <c r="AZ1819" i="4"/>
  <c r="AY1819" i="4"/>
  <c r="AV1819" i="4"/>
  <c r="BA1818" i="4"/>
  <c r="AZ1818" i="4"/>
  <c r="AY1818" i="4"/>
  <c r="AV1818" i="4"/>
  <c r="BA1817" i="4"/>
  <c r="AZ1817" i="4"/>
  <c r="AY1817" i="4"/>
  <c r="AV1817" i="4"/>
  <c r="BA1816" i="4"/>
  <c r="AZ1816" i="4"/>
  <c r="AY1816" i="4"/>
  <c r="AV1816" i="4"/>
  <c r="BA1815" i="4"/>
  <c r="AZ1815" i="4"/>
  <c r="AY1815" i="4"/>
  <c r="AV1815" i="4"/>
  <c r="BA1814" i="4"/>
  <c r="AZ1814" i="4"/>
  <c r="AY1814" i="4"/>
  <c r="AV1814" i="4"/>
  <c r="BA1813" i="4"/>
  <c r="AZ1813" i="4"/>
  <c r="AY1813" i="4"/>
  <c r="AV1813" i="4"/>
  <c r="BA1812" i="4"/>
  <c r="AZ1812" i="4"/>
  <c r="AY1812" i="4"/>
  <c r="AV1812" i="4"/>
  <c r="BA1811" i="4"/>
  <c r="AZ1811" i="4"/>
  <c r="AY1811" i="4"/>
  <c r="AV1811" i="4"/>
  <c r="BA1810" i="4"/>
  <c r="AZ1810" i="4"/>
  <c r="AY1810" i="4"/>
  <c r="AV1810" i="4"/>
  <c r="BA1809" i="4"/>
  <c r="AZ1809" i="4"/>
  <c r="AY1809" i="4"/>
  <c r="AV1809" i="4"/>
  <c r="BA1808" i="4"/>
  <c r="AZ1808" i="4"/>
  <c r="AY1808" i="4"/>
  <c r="AV1808" i="4"/>
  <c r="BA1807" i="4"/>
  <c r="AZ1807" i="4"/>
  <c r="AY1807" i="4"/>
  <c r="AV1807" i="4"/>
  <c r="BA1806" i="4"/>
  <c r="AZ1806" i="4"/>
  <c r="AY1806" i="4"/>
  <c r="AV1806" i="4"/>
  <c r="BA1805" i="4"/>
  <c r="AZ1805" i="4"/>
  <c r="AY1805" i="4"/>
  <c r="AV1805" i="4"/>
  <c r="BA1804" i="4"/>
  <c r="AZ1804" i="4"/>
  <c r="AY1804" i="4"/>
  <c r="AV1804" i="4"/>
  <c r="BA1803" i="4"/>
  <c r="AZ1803" i="4"/>
  <c r="AY1803" i="4"/>
  <c r="AV1803" i="4"/>
  <c r="BA1802" i="4"/>
  <c r="AZ1802" i="4"/>
  <c r="AY1802" i="4"/>
  <c r="AV1802" i="4"/>
  <c r="BA1801" i="4"/>
  <c r="AZ1801" i="4"/>
  <c r="AY1801" i="4"/>
  <c r="AV1801" i="4"/>
  <c r="BA1800" i="4"/>
  <c r="AZ1800" i="4"/>
  <c r="AY1800" i="4"/>
  <c r="AV1800" i="4"/>
  <c r="BA1799" i="4"/>
  <c r="AZ1799" i="4"/>
  <c r="AY1799" i="4"/>
  <c r="AV1799" i="4"/>
  <c r="BA1798" i="4"/>
  <c r="AZ1798" i="4"/>
  <c r="AY1798" i="4"/>
  <c r="AV1798" i="4"/>
  <c r="BA1797" i="4"/>
  <c r="AZ1797" i="4"/>
  <c r="AY1797" i="4"/>
  <c r="AV1797" i="4"/>
  <c r="BA1796" i="4"/>
  <c r="AZ1796" i="4"/>
  <c r="AY1796" i="4"/>
  <c r="AV1796" i="4"/>
  <c r="BA1795" i="4"/>
  <c r="AZ1795" i="4"/>
  <c r="AY1795" i="4"/>
  <c r="AV1795" i="4"/>
  <c r="BA1794" i="4"/>
  <c r="AZ1794" i="4"/>
  <c r="AY1794" i="4"/>
  <c r="AV1794" i="4"/>
  <c r="BA1793" i="4"/>
  <c r="AZ1793" i="4"/>
  <c r="AY1793" i="4"/>
  <c r="AV1793" i="4"/>
  <c r="BA1792" i="4"/>
  <c r="AZ1792" i="4"/>
  <c r="AY1792" i="4"/>
  <c r="AV1792" i="4"/>
  <c r="BA1791" i="4"/>
  <c r="AZ1791" i="4"/>
  <c r="AY1791" i="4"/>
  <c r="AV1791" i="4"/>
  <c r="BA1790" i="4"/>
  <c r="AZ1790" i="4"/>
  <c r="AY1790" i="4"/>
  <c r="AV1790" i="4"/>
  <c r="BA1789" i="4"/>
  <c r="AZ1789" i="4"/>
  <c r="AY1789" i="4"/>
  <c r="AV1789" i="4"/>
  <c r="BA1788" i="4"/>
  <c r="AZ1788" i="4"/>
  <c r="AY1788" i="4"/>
  <c r="AV1788" i="4"/>
  <c r="BA1787" i="4"/>
  <c r="AZ1787" i="4"/>
  <c r="AY1787" i="4"/>
  <c r="AV1787" i="4"/>
  <c r="BA1786" i="4"/>
  <c r="AZ1786" i="4"/>
  <c r="AY1786" i="4"/>
  <c r="AV1786" i="4"/>
  <c r="BA1785" i="4"/>
  <c r="AZ1785" i="4"/>
  <c r="AY1785" i="4"/>
  <c r="AV1785" i="4"/>
  <c r="BA1784" i="4"/>
  <c r="AZ1784" i="4"/>
  <c r="AY1784" i="4"/>
  <c r="AV1784" i="4"/>
  <c r="BA1783" i="4"/>
  <c r="AZ1783" i="4"/>
  <c r="AY1783" i="4"/>
  <c r="AV1783" i="4"/>
  <c r="BA1782" i="4"/>
  <c r="AZ1782" i="4"/>
  <c r="AY1782" i="4"/>
  <c r="AV1782" i="4"/>
  <c r="BA1781" i="4"/>
  <c r="AZ1781" i="4"/>
  <c r="AY1781" i="4"/>
  <c r="AV1781" i="4"/>
  <c r="BA1780" i="4"/>
  <c r="AZ1780" i="4"/>
  <c r="AY1780" i="4"/>
  <c r="AV1780" i="4"/>
  <c r="BA1779" i="4"/>
  <c r="AZ1779" i="4"/>
  <c r="AY1779" i="4"/>
  <c r="AV1779" i="4"/>
  <c r="BA1778" i="4"/>
  <c r="AZ1778" i="4"/>
  <c r="AY1778" i="4"/>
  <c r="AV1778" i="4"/>
  <c r="BA1777" i="4"/>
  <c r="AZ1777" i="4"/>
  <c r="AY1777" i="4"/>
  <c r="AV1777" i="4"/>
  <c r="BA1776" i="4"/>
  <c r="AZ1776" i="4"/>
  <c r="AY1776" i="4"/>
  <c r="AV1776" i="4"/>
  <c r="BA1775" i="4"/>
  <c r="AZ1775" i="4"/>
  <c r="AY1775" i="4"/>
  <c r="AV1775" i="4"/>
  <c r="BA1774" i="4"/>
  <c r="AZ1774" i="4"/>
  <c r="AY1774" i="4"/>
  <c r="AV1774" i="4"/>
  <c r="BA1773" i="4"/>
  <c r="AZ1773" i="4"/>
  <c r="AY1773" i="4"/>
  <c r="AV1773" i="4"/>
  <c r="BA1772" i="4"/>
  <c r="AZ1772" i="4"/>
  <c r="AY1772" i="4"/>
  <c r="AV1772" i="4"/>
  <c r="BA1771" i="4"/>
  <c r="AZ1771" i="4"/>
  <c r="AY1771" i="4"/>
  <c r="AV1771" i="4"/>
  <c r="BA1770" i="4"/>
  <c r="AZ1770" i="4"/>
  <c r="AY1770" i="4"/>
  <c r="AV1770" i="4"/>
  <c r="BA1769" i="4"/>
  <c r="AZ1769" i="4"/>
  <c r="AY1769" i="4"/>
  <c r="AV1769" i="4"/>
  <c r="BA1768" i="4"/>
  <c r="AZ1768" i="4"/>
  <c r="AY1768" i="4"/>
  <c r="AV1768" i="4"/>
  <c r="BA1767" i="4"/>
  <c r="AZ1767" i="4"/>
  <c r="AY1767" i="4"/>
  <c r="AV1767" i="4"/>
  <c r="BA1766" i="4"/>
  <c r="AZ1766" i="4"/>
  <c r="AY1766" i="4"/>
  <c r="AV1766" i="4"/>
  <c r="BA1765" i="4"/>
  <c r="AZ1765" i="4"/>
  <c r="AY1765" i="4"/>
  <c r="AV1765" i="4"/>
  <c r="BA1764" i="4"/>
  <c r="AZ1764" i="4"/>
  <c r="AY1764" i="4"/>
  <c r="AV1764" i="4"/>
  <c r="BA1763" i="4"/>
  <c r="AZ1763" i="4"/>
  <c r="AY1763" i="4"/>
  <c r="AV1763" i="4"/>
  <c r="BA1762" i="4"/>
  <c r="AZ1762" i="4"/>
  <c r="AY1762" i="4"/>
  <c r="AV1762" i="4"/>
  <c r="BA1761" i="4"/>
  <c r="AZ1761" i="4"/>
  <c r="AY1761" i="4"/>
  <c r="AV1761" i="4"/>
  <c r="BA1760" i="4"/>
  <c r="AZ1760" i="4"/>
  <c r="AY1760" i="4"/>
  <c r="AV1760" i="4"/>
  <c r="BA1759" i="4"/>
  <c r="AZ1759" i="4"/>
  <c r="AY1759" i="4"/>
  <c r="AV1759" i="4"/>
  <c r="BA1758" i="4"/>
  <c r="AZ1758" i="4"/>
  <c r="AY1758" i="4"/>
  <c r="AV1758" i="4"/>
  <c r="BA1757" i="4"/>
  <c r="AZ1757" i="4"/>
  <c r="AY1757" i="4"/>
  <c r="AV1757" i="4"/>
  <c r="BA1756" i="4"/>
  <c r="AZ1756" i="4"/>
  <c r="AY1756" i="4"/>
  <c r="AV1756" i="4"/>
  <c r="BA1755" i="4"/>
  <c r="AZ1755" i="4"/>
  <c r="AY1755" i="4"/>
  <c r="AV1755" i="4"/>
  <c r="BA1754" i="4"/>
  <c r="AZ1754" i="4"/>
  <c r="AY1754" i="4"/>
  <c r="AV1754" i="4"/>
  <c r="BA1753" i="4"/>
  <c r="AZ1753" i="4"/>
  <c r="AY1753" i="4"/>
  <c r="AV1753" i="4"/>
  <c r="BA1752" i="4"/>
  <c r="AZ1752" i="4"/>
  <c r="AY1752" i="4"/>
  <c r="AV1752" i="4"/>
  <c r="BA1751" i="4"/>
  <c r="AZ1751" i="4"/>
  <c r="AY1751" i="4"/>
  <c r="AV1751" i="4"/>
  <c r="BA1750" i="4"/>
  <c r="AZ1750" i="4"/>
  <c r="AY1750" i="4"/>
  <c r="AV1750" i="4"/>
  <c r="BA1749" i="4"/>
  <c r="AZ1749" i="4"/>
  <c r="AY1749" i="4"/>
  <c r="AV1749" i="4"/>
  <c r="BA1748" i="4"/>
  <c r="AZ1748" i="4"/>
  <c r="AY1748" i="4"/>
  <c r="AV1748" i="4"/>
  <c r="BA1747" i="4"/>
  <c r="AZ1747" i="4"/>
  <c r="AY1747" i="4"/>
  <c r="AV1747" i="4"/>
  <c r="BA1746" i="4"/>
  <c r="AZ1746" i="4"/>
  <c r="AY1746" i="4"/>
  <c r="AV1746" i="4"/>
  <c r="BA1745" i="4"/>
  <c r="AZ1745" i="4"/>
  <c r="AY1745" i="4"/>
  <c r="AV1745" i="4"/>
  <c r="BA1744" i="4"/>
  <c r="AZ1744" i="4"/>
  <c r="AY1744" i="4"/>
  <c r="AV1744" i="4"/>
  <c r="BA1743" i="4"/>
  <c r="AZ1743" i="4"/>
  <c r="AY1743" i="4"/>
  <c r="AV1743" i="4"/>
  <c r="BA1742" i="4"/>
  <c r="AZ1742" i="4"/>
  <c r="AY1742" i="4"/>
  <c r="AV1742" i="4"/>
  <c r="BA1741" i="4"/>
  <c r="AZ1741" i="4"/>
  <c r="AY1741" i="4"/>
  <c r="AV1741" i="4"/>
  <c r="BA1740" i="4"/>
  <c r="AZ1740" i="4"/>
  <c r="AY1740" i="4"/>
  <c r="AV1740" i="4"/>
  <c r="BA1739" i="4"/>
  <c r="AZ1739" i="4"/>
  <c r="AY1739" i="4"/>
  <c r="AV1739" i="4"/>
  <c r="BA1738" i="4"/>
  <c r="AZ1738" i="4"/>
  <c r="AY1738" i="4"/>
  <c r="AV1738" i="4"/>
  <c r="BA1737" i="4"/>
  <c r="AZ1737" i="4"/>
  <c r="AY1737" i="4"/>
  <c r="AV1737" i="4"/>
  <c r="BA1736" i="4"/>
  <c r="AZ1736" i="4"/>
  <c r="AY1736" i="4"/>
  <c r="AV1736" i="4"/>
  <c r="BA1735" i="4"/>
  <c r="AZ1735" i="4"/>
  <c r="AY1735" i="4"/>
  <c r="AV1735" i="4"/>
  <c r="BA1734" i="4"/>
  <c r="AZ1734" i="4"/>
  <c r="AY1734" i="4"/>
  <c r="AV1734" i="4"/>
  <c r="BA1733" i="4"/>
  <c r="AZ1733" i="4"/>
  <c r="AY1733" i="4"/>
  <c r="AV1733" i="4"/>
  <c r="BA1732" i="4"/>
  <c r="AZ1732" i="4"/>
  <c r="AY1732" i="4"/>
  <c r="AV1732" i="4"/>
  <c r="BA1731" i="4"/>
  <c r="AZ1731" i="4"/>
  <c r="AY1731" i="4"/>
  <c r="AV1731" i="4"/>
  <c r="BA1730" i="4"/>
  <c r="AZ1730" i="4"/>
  <c r="AY1730" i="4"/>
  <c r="AV1730" i="4"/>
  <c r="BA1729" i="4"/>
  <c r="AZ1729" i="4"/>
  <c r="AY1729" i="4"/>
  <c r="AV1729" i="4"/>
  <c r="BA1728" i="4"/>
  <c r="AZ1728" i="4"/>
  <c r="AY1728" i="4"/>
  <c r="AV1728" i="4"/>
  <c r="BA1727" i="4"/>
  <c r="AZ1727" i="4"/>
  <c r="AY1727" i="4"/>
  <c r="AV1727" i="4"/>
  <c r="BA1726" i="4"/>
  <c r="AZ1726" i="4"/>
  <c r="AY1726" i="4"/>
  <c r="AV1726" i="4"/>
  <c r="BA1725" i="4"/>
  <c r="AZ1725" i="4"/>
  <c r="AY1725" i="4"/>
  <c r="AV1725" i="4"/>
  <c r="BA1724" i="4"/>
  <c r="AZ1724" i="4"/>
  <c r="AY1724" i="4"/>
  <c r="AV1724" i="4"/>
  <c r="BA1723" i="4"/>
  <c r="AZ1723" i="4"/>
  <c r="AY1723" i="4"/>
  <c r="AV1723" i="4"/>
  <c r="BA1722" i="4"/>
  <c r="AZ1722" i="4"/>
  <c r="AY1722" i="4"/>
  <c r="AV1722" i="4"/>
  <c r="BA1721" i="4"/>
  <c r="AZ1721" i="4"/>
  <c r="AY1721" i="4"/>
  <c r="AV1721" i="4"/>
  <c r="BA1720" i="4"/>
  <c r="AZ1720" i="4"/>
  <c r="AY1720" i="4"/>
  <c r="AV1720" i="4"/>
  <c r="BA1719" i="4"/>
  <c r="AZ1719" i="4"/>
  <c r="AY1719" i="4"/>
  <c r="AV1719" i="4"/>
  <c r="BA1718" i="4"/>
  <c r="AZ1718" i="4"/>
  <c r="AY1718" i="4"/>
  <c r="AV1718" i="4"/>
  <c r="BA1717" i="4"/>
  <c r="AZ1717" i="4"/>
  <c r="AY1717" i="4"/>
  <c r="AV1717" i="4"/>
  <c r="BA1716" i="4"/>
  <c r="AZ1716" i="4"/>
  <c r="AY1716" i="4"/>
  <c r="AV1716" i="4"/>
  <c r="BA1715" i="4"/>
  <c r="AZ1715" i="4"/>
  <c r="AY1715" i="4"/>
  <c r="AV1715" i="4"/>
  <c r="BA1714" i="4"/>
  <c r="AZ1714" i="4"/>
  <c r="AY1714" i="4"/>
  <c r="AV1714" i="4"/>
  <c r="BA1713" i="4"/>
  <c r="AZ1713" i="4"/>
  <c r="AY1713" i="4"/>
  <c r="AV1713" i="4"/>
  <c r="BA1712" i="4"/>
  <c r="AZ1712" i="4"/>
  <c r="AY1712" i="4"/>
  <c r="AV1712" i="4"/>
  <c r="BA1711" i="4"/>
  <c r="AZ1711" i="4"/>
  <c r="AY1711" i="4"/>
  <c r="AV1711" i="4"/>
  <c r="BA1710" i="4"/>
  <c r="AZ1710" i="4"/>
  <c r="AY1710" i="4"/>
  <c r="AV1710" i="4"/>
  <c r="BA1709" i="4"/>
  <c r="AZ1709" i="4"/>
  <c r="AY1709" i="4"/>
  <c r="AV1709" i="4"/>
  <c r="BA1708" i="4"/>
  <c r="AZ1708" i="4"/>
  <c r="AY1708" i="4"/>
  <c r="AV1708" i="4"/>
  <c r="BA1707" i="4"/>
  <c r="AZ1707" i="4"/>
  <c r="AY1707" i="4"/>
  <c r="AV1707" i="4"/>
  <c r="BA1706" i="4"/>
  <c r="AZ1706" i="4"/>
  <c r="AY1706" i="4"/>
  <c r="AV1706" i="4"/>
  <c r="BA1705" i="4"/>
  <c r="AZ1705" i="4"/>
  <c r="AY1705" i="4"/>
  <c r="AV1705" i="4"/>
  <c r="BA1704" i="4"/>
  <c r="AZ1704" i="4"/>
  <c r="AY1704" i="4"/>
  <c r="AV1704" i="4"/>
  <c r="BA1703" i="4"/>
  <c r="AZ1703" i="4"/>
  <c r="AY1703" i="4"/>
  <c r="AV1703" i="4"/>
  <c r="BA1702" i="4"/>
  <c r="AZ1702" i="4"/>
  <c r="AY1702" i="4"/>
  <c r="AV1702" i="4"/>
  <c r="BA1701" i="4"/>
  <c r="AZ1701" i="4"/>
  <c r="AY1701" i="4"/>
  <c r="AV1701" i="4"/>
  <c r="BA1700" i="4"/>
  <c r="AZ1700" i="4"/>
  <c r="AY1700" i="4"/>
  <c r="AV1700" i="4"/>
  <c r="BA1699" i="4"/>
  <c r="AZ1699" i="4"/>
  <c r="AY1699" i="4"/>
  <c r="AV1699" i="4"/>
  <c r="BA1698" i="4"/>
  <c r="AZ1698" i="4"/>
  <c r="AY1698" i="4"/>
  <c r="AV1698" i="4"/>
  <c r="BA1697" i="4"/>
  <c r="AZ1697" i="4"/>
  <c r="AY1697" i="4"/>
  <c r="AV1697" i="4"/>
  <c r="BA1696" i="4"/>
  <c r="AZ1696" i="4"/>
  <c r="AY1696" i="4"/>
  <c r="AV1696" i="4"/>
  <c r="BA1695" i="4"/>
  <c r="AZ1695" i="4"/>
  <c r="AY1695" i="4"/>
  <c r="AV1695" i="4"/>
  <c r="BA1694" i="4"/>
  <c r="AZ1694" i="4"/>
  <c r="AY1694" i="4"/>
  <c r="AV1694" i="4"/>
  <c r="BA1693" i="4"/>
  <c r="AZ1693" i="4"/>
  <c r="AY1693" i="4"/>
  <c r="AV1693" i="4"/>
  <c r="BA1692" i="4"/>
  <c r="AZ1692" i="4"/>
  <c r="AY1692" i="4"/>
  <c r="AV1692" i="4"/>
  <c r="BA1691" i="4"/>
  <c r="AZ1691" i="4"/>
  <c r="AY1691" i="4"/>
  <c r="AV1691" i="4"/>
  <c r="BA1690" i="4"/>
  <c r="AZ1690" i="4"/>
  <c r="AY1690" i="4"/>
  <c r="AV1690" i="4"/>
  <c r="BA1689" i="4"/>
  <c r="AZ1689" i="4"/>
  <c r="AY1689" i="4"/>
  <c r="AV1689" i="4"/>
  <c r="BA1688" i="4"/>
  <c r="AZ1688" i="4"/>
  <c r="AY1688" i="4"/>
  <c r="AV1688" i="4"/>
  <c r="BA1687" i="4"/>
  <c r="AZ1687" i="4"/>
  <c r="AY1687" i="4"/>
  <c r="AV1687" i="4"/>
  <c r="BA1686" i="4"/>
  <c r="AZ1686" i="4"/>
  <c r="AY1686" i="4"/>
  <c r="AV1686" i="4"/>
  <c r="BA1685" i="4"/>
  <c r="AZ1685" i="4"/>
  <c r="AY1685" i="4"/>
  <c r="AV1685" i="4"/>
  <c r="BA1684" i="4"/>
  <c r="AZ1684" i="4"/>
  <c r="AY1684" i="4"/>
  <c r="AV1684" i="4"/>
  <c r="BA1683" i="4"/>
  <c r="AZ1683" i="4"/>
  <c r="AY1683" i="4"/>
  <c r="AV1683" i="4"/>
  <c r="BA1682" i="4"/>
  <c r="AZ1682" i="4"/>
  <c r="AY1682" i="4"/>
  <c r="AV1682" i="4"/>
  <c r="BA1681" i="4"/>
  <c r="AZ1681" i="4"/>
  <c r="AY1681" i="4"/>
  <c r="AV1681" i="4"/>
  <c r="BA1680" i="4"/>
  <c r="AZ1680" i="4"/>
  <c r="AY1680" i="4"/>
  <c r="AV1680" i="4"/>
  <c r="BA1679" i="4"/>
  <c r="AZ1679" i="4"/>
  <c r="AY1679" i="4"/>
  <c r="AV1679" i="4"/>
  <c r="BA1678" i="4"/>
  <c r="AZ1678" i="4"/>
  <c r="AY1678" i="4"/>
  <c r="AV1678" i="4"/>
  <c r="BA1677" i="4"/>
  <c r="AZ1677" i="4"/>
  <c r="AY1677" i="4"/>
  <c r="AV1677" i="4"/>
  <c r="BA1676" i="4"/>
  <c r="AZ1676" i="4"/>
  <c r="AY1676" i="4"/>
  <c r="AV1676" i="4"/>
  <c r="BA1675" i="4"/>
  <c r="AZ1675" i="4"/>
  <c r="AY1675" i="4"/>
  <c r="AV1675" i="4"/>
  <c r="BA1674" i="4"/>
  <c r="AZ1674" i="4"/>
  <c r="AY1674" i="4"/>
  <c r="AV1674" i="4"/>
  <c r="BA1673" i="4"/>
  <c r="AZ1673" i="4"/>
  <c r="AY1673" i="4"/>
  <c r="AV1673" i="4"/>
  <c r="BA1672" i="4"/>
  <c r="AZ1672" i="4"/>
  <c r="AY1672" i="4"/>
  <c r="AV1672" i="4"/>
  <c r="BA1671" i="4"/>
  <c r="AZ1671" i="4"/>
  <c r="AY1671" i="4"/>
  <c r="AV1671" i="4"/>
  <c r="BA1670" i="4"/>
  <c r="AZ1670" i="4"/>
  <c r="AY1670" i="4"/>
  <c r="AV1670" i="4"/>
  <c r="BA1669" i="4"/>
  <c r="AZ1669" i="4"/>
  <c r="AY1669" i="4"/>
  <c r="AV1669" i="4"/>
  <c r="BA1668" i="4"/>
  <c r="AZ1668" i="4"/>
  <c r="AY1668" i="4"/>
  <c r="AV1668" i="4"/>
  <c r="BA1667" i="4"/>
  <c r="AZ1667" i="4"/>
  <c r="AY1667" i="4"/>
  <c r="AV1667" i="4"/>
  <c r="BA1666" i="4"/>
  <c r="AZ1666" i="4"/>
  <c r="AY1666" i="4"/>
  <c r="AV1666" i="4"/>
  <c r="BA1665" i="4"/>
  <c r="AZ1665" i="4"/>
  <c r="AY1665" i="4"/>
  <c r="AV1665" i="4"/>
  <c r="BA1664" i="4"/>
  <c r="AZ1664" i="4"/>
  <c r="AY1664" i="4"/>
  <c r="AV1664" i="4"/>
  <c r="BA1663" i="4"/>
  <c r="AZ1663" i="4"/>
  <c r="AY1663" i="4"/>
  <c r="AV1663" i="4"/>
  <c r="BA1662" i="4"/>
  <c r="AZ1662" i="4"/>
  <c r="AY1662" i="4"/>
  <c r="AV1662" i="4"/>
  <c r="BA1661" i="4"/>
  <c r="AZ1661" i="4"/>
  <c r="AY1661" i="4"/>
  <c r="AV1661" i="4"/>
  <c r="BA1660" i="4"/>
  <c r="AZ1660" i="4"/>
  <c r="AY1660" i="4"/>
  <c r="AV1660" i="4"/>
  <c r="BA1659" i="4"/>
  <c r="AZ1659" i="4"/>
  <c r="AY1659" i="4"/>
  <c r="AV1659" i="4"/>
  <c r="BA1658" i="4"/>
  <c r="AZ1658" i="4"/>
  <c r="AY1658" i="4"/>
  <c r="AV1658" i="4"/>
  <c r="BA1657" i="4"/>
  <c r="AZ1657" i="4"/>
  <c r="AY1657" i="4"/>
  <c r="AV1657" i="4"/>
  <c r="BA1656" i="4"/>
  <c r="AZ1656" i="4"/>
  <c r="AY1656" i="4"/>
  <c r="AV1656" i="4"/>
  <c r="BA1655" i="4"/>
  <c r="AZ1655" i="4"/>
  <c r="AY1655" i="4"/>
  <c r="AV1655" i="4"/>
  <c r="BA1654" i="4"/>
  <c r="AZ1654" i="4"/>
  <c r="AY1654" i="4"/>
  <c r="AV1654" i="4"/>
  <c r="BA1653" i="4"/>
  <c r="AZ1653" i="4"/>
  <c r="AY1653" i="4"/>
  <c r="AV1653" i="4"/>
  <c r="BA1652" i="4"/>
  <c r="AZ1652" i="4"/>
  <c r="AY1652" i="4"/>
  <c r="AV1652" i="4"/>
  <c r="BA1651" i="4"/>
  <c r="AZ1651" i="4"/>
  <c r="AY1651" i="4"/>
  <c r="AV1651" i="4"/>
  <c r="BA1650" i="4"/>
  <c r="AZ1650" i="4"/>
  <c r="AY1650" i="4"/>
  <c r="AV1650" i="4"/>
  <c r="BA1649" i="4"/>
  <c r="AZ1649" i="4"/>
  <c r="AY1649" i="4"/>
  <c r="AV1649" i="4"/>
  <c r="BA1648" i="4"/>
  <c r="AZ1648" i="4"/>
  <c r="AY1648" i="4"/>
  <c r="AV1648" i="4"/>
  <c r="BA1647" i="4"/>
  <c r="AZ1647" i="4"/>
  <c r="AY1647" i="4"/>
  <c r="AV1647" i="4"/>
  <c r="BA1646" i="4"/>
  <c r="AZ1646" i="4"/>
  <c r="AY1646" i="4"/>
  <c r="AV1646" i="4"/>
  <c r="BA1645" i="4"/>
  <c r="AZ1645" i="4"/>
  <c r="AY1645" i="4"/>
  <c r="AV1645" i="4"/>
  <c r="BA1644" i="4"/>
  <c r="AZ1644" i="4"/>
  <c r="AY1644" i="4"/>
  <c r="AV1644" i="4"/>
  <c r="BA1643" i="4"/>
  <c r="AZ1643" i="4"/>
  <c r="AY1643" i="4"/>
  <c r="AV1643" i="4"/>
  <c r="BA1642" i="4"/>
  <c r="AZ1642" i="4"/>
  <c r="AY1642" i="4"/>
  <c r="AV1642" i="4"/>
  <c r="BA1641" i="4"/>
  <c r="AZ1641" i="4"/>
  <c r="AY1641" i="4"/>
  <c r="AV1641" i="4"/>
  <c r="BA1640" i="4"/>
  <c r="AZ1640" i="4"/>
  <c r="AY1640" i="4"/>
  <c r="AV1640" i="4"/>
  <c r="BA1639" i="4"/>
  <c r="AZ1639" i="4"/>
  <c r="AY1639" i="4"/>
  <c r="AV1639" i="4"/>
  <c r="BA1638" i="4"/>
  <c r="AZ1638" i="4"/>
  <c r="AY1638" i="4"/>
  <c r="AV1638" i="4"/>
  <c r="BA1637" i="4"/>
  <c r="AZ1637" i="4"/>
  <c r="AY1637" i="4"/>
  <c r="AV1637" i="4"/>
  <c r="BA1636" i="4"/>
  <c r="AZ1636" i="4"/>
  <c r="AY1636" i="4"/>
  <c r="AV1636" i="4"/>
  <c r="BA1635" i="4"/>
  <c r="AZ1635" i="4"/>
  <c r="AY1635" i="4"/>
  <c r="AV1635" i="4"/>
  <c r="BA1634" i="4"/>
  <c r="AZ1634" i="4"/>
  <c r="AY1634" i="4"/>
  <c r="AV1634" i="4"/>
  <c r="BA1633" i="4"/>
  <c r="AZ1633" i="4"/>
  <c r="AY1633" i="4"/>
  <c r="AV1633" i="4"/>
  <c r="BA1632" i="4"/>
  <c r="AZ1632" i="4"/>
  <c r="AY1632" i="4"/>
  <c r="AV1632" i="4"/>
  <c r="BA1631" i="4"/>
  <c r="AZ1631" i="4"/>
  <c r="AY1631" i="4"/>
  <c r="AV1631" i="4"/>
  <c r="BA1630" i="4"/>
  <c r="AZ1630" i="4"/>
  <c r="AY1630" i="4"/>
  <c r="AV1630" i="4"/>
  <c r="BA1629" i="4"/>
  <c r="AZ1629" i="4"/>
  <c r="AY1629" i="4"/>
  <c r="AV1629" i="4"/>
  <c r="BA1628" i="4"/>
  <c r="AZ1628" i="4"/>
  <c r="AY1628" i="4"/>
  <c r="AV1628" i="4"/>
  <c r="BA1627" i="4"/>
  <c r="AZ1627" i="4"/>
  <c r="AY1627" i="4"/>
  <c r="AV1627" i="4"/>
  <c r="BA1626" i="4"/>
  <c r="AZ1626" i="4"/>
  <c r="AY1626" i="4"/>
  <c r="AV1626" i="4"/>
  <c r="BA1625" i="4"/>
  <c r="AZ1625" i="4"/>
  <c r="AY1625" i="4"/>
  <c r="AV1625" i="4"/>
  <c r="BA1624" i="4"/>
  <c r="AZ1624" i="4"/>
  <c r="AY1624" i="4"/>
  <c r="AV1624" i="4"/>
  <c r="BA1623" i="4"/>
  <c r="AZ1623" i="4"/>
  <c r="AY1623" i="4"/>
  <c r="AV1623" i="4"/>
  <c r="BA1622" i="4"/>
  <c r="AZ1622" i="4"/>
  <c r="AY1622" i="4"/>
  <c r="AV1622" i="4"/>
  <c r="BA1621" i="4"/>
  <c r="AZ1621" i="4"/>
  <c r="AY1621" i="4"/>
  <c r="AV1621" i="4"/>
  <c r="BA1620" i="4"/>
  <c r="AZ1620" i="4"/>
  <c r="AY1620" i="4"/>
  <c r="AV1620" i="4"/>
  <c r="BA1619" i="4"/>
  <c r="AZ1619" i="4"/>
  <c r="AY1619" i="4"/>
  <c r="AV1619" i="4"/>
  <c r="BA1618" i="4"/>
  <c r="AZ1618" i="4"/>
  <c r="AY1618" i="4"/>
  <c r="AV1618" i="4"/>
  <c r="BA1617" i="4"/>
  <c r="AZ1617" i="4"/>
  <c r="AY1617" i="4"/>
  <c r="AV1617" i="4"/>
  <c r="BA1616" i="4"/>
  <c r="AZ1616" i="4"/>
  <c r="AY1616" i="4"/>
  <c r="AV1616" i="4"/>
  <c r="BA1615" i="4"/>
  <c r="AZ1615" i="4"/>
  <c r="AY1615" i="4"/>
  <c r="AV1615" i="4"/>
  <c r="BA1614" i="4"/>
  <c r="AZ1614" i="4"/>
  <c r="AY1614" i="4"/>
  <c r="AV1614" i="4"/>
  <c r="BA1613" i="4"/>
  <c r="AZ1613" i="4"/>
  <c r="AY1613" i="4"/>
  <c r="AV1613" i="4"/>
  <c r="BA1612" i="4"/>
  <c r="AZ1612" i="4"/>
  <c r="AY1612" i="4"/>
  <c r="AV1612" i="4"/>
  <c r="BA1611" i="4"/>
  <c r="AZ1611" i="4"/>
  <c r="AY1611" i="4"/>
  <c r="AV1611" i="4"/>
  <c r="BA1610" i="4"/>
  <c r="AZ1610" i="4"/>
  <c r="AY1610" i="4"/>
  <c r="AV1610" i="4"/>
  <c r="BA1609" i="4"/>
  <c r="AZ1609" i="4"/>
  <c r="AY1609" i="4"/>
  <c r="AV1609" i="4"/>
  <c r="BA1608" i="4"/>
  <c r="AZ1608" i="4"/>
  <c r="AY1608" i="4"/>
  <c r="AV1608" i="4"/>
  <c r="BA1607" i="4"/>
  <c r="AZ1607" i="4"/>
  <c r="AY1607" i="4"/>
  <c r="AV1607" i="4"/>
  <c r="BA1606" i="4"/>
  <c r="AZ1606" i="4"/>
  <c r="AY1606" i="4"/>
  <c r="AV1606" i="4"/>
  <c r="BA1605" i="4"/>
  <c r="AZ1605" i="4"/>
  <c r="AY1605" i="4"/>
  <c r="AV1605" i="4"/>
  <c r="BA1604" i="4"/>
  <c r="AZ1604" i="4"/>
  <c r="AY1604" i="4"/>
  <c r="AV1604" i="4"/>
  <c r="BA1603" i="4"/>
  <c r="AZ1603" i="4"/>
  <c r="AY1603" i="4"/>
  <c r="AV1603" i="4"/>
  <c r="BA1602" i="4"/>
  <c r="AZ1602" i="4"/>
  <c r="AY1602" i="4"/>
  <c r="AV1602" i="4"/>
  <c r="BA1601" i="4"/>
  <c r="AZ1601" i="4"/>
  <c r="AY1601" i="4"/>
  <c r="AV1601" i="4"/>
  <c r="BA1600" i="4"/>
  <c r="AZ1600" i="4"/>
  <c r="AY1600" i="4"/>
  <c r="AV1600" i="4"/>
  <c r="BA1599" i="4"/>
  <c r="AZ1599" i="4"/>
  <c r="AY1599" i="4"/>
  <c r="AV1599" i="4"/>
  <c r="BA1598" i="4"/>
  <c r="AZ1598" i="4"/>
  <c r="AY1598" i="4"/>
  <c r="AV1598" i="4"/>
  <c r="BA1597" i="4"/>
  <c r="AZ1597" i="4"/>
  <c r="AY1597" i="4"/>
  <c r="AV1597" i="4"/>
  <c r="BA1596" i="4"/>
  <c r="AZ1596" i="4"/>
  <c r="AY1596" i="4"/>
  <c r="AV1596" i="4"/>
  <c r="BA1595" i="4"/>
  <c r="AZ1595" i="4"/>
  <c r="AY1595" i="4"/>
  <c r="AV1595" i="4"/>
  <c r="BA1594" i="4"/>
  <c r="AZ1594" i="4"/>
  <c r="AY1594" i="4"/>
  <c r="AV1594" i="4"/>
  <c r="BA1593" i="4"/>
  <c r="AZ1593" i="4"/>
  <c r="AY1593" i="4"/>
  <c r="AV1593" i="4"/>
  <c r="BA1592" i="4"/>
  <c r="AZ1592" i="4"/>
  <c r="AY1592" i="4"/>
  <c r="AV1592" i="4"/>
  <c r="BA1591" i="4"/>
  <c r="AZ1591" i="4"/>
  <c r="AY1591" i="4"/>
  <c r="AV1591" i="4"/>
  <c r="BA1590" i="4"/>
  <c r="AZ1590" i="4"/>
  <c r="AY1590" i="4"/>
  <c r="AV1590" i="4"/>
  <c r="BA1589" i="4"/>
  <c r="AZ1589" i="4"/>
  <c r="AY1589" i="4"/>
  <c r="AV1589" i="4"/>
  <c r="BA1588" i="4"/>
  <c r="AZ1588" i="4"/>
  <c r="AY1588" i="4"/>
  <c r="AV1588" i="4"/>
  <c r="BA1587" i="4"/>
  <c r="AZ1587" i="4"/>
  <c r="AY1587" i="4"/>
  <c r="AV1587" i="4"/>
  <c r="BA1586" i="4"/>
  <c r="AZ1586" i="4"/>
  <c r="AY1586" i="4"/>
  <c r="AV1586" i="4"/>
  <c r="BA1585" i="4"/>
  <c r="AZ1585" i="4"/>
  <c r="AY1585" i="4"/>
  <c r="AV1585" i="4"/>
  <c r="BA1584" i="4"/>
  <c r="AZ1584" i="4"/>
  <c r="AY1584" i="4"/>
  <c r="AV1584" i="4"/>
  <c r="BA1583" i="4"/>
  <c r="AZ1583" i="4"/>
  <c r="AY1583" i="4"/>
  <c r="AV1583" i="4"/>
  <c r="BA1582" i="4"/>
  <c r="AZ1582" i="4"/>
  <c r="AY1582" i="4"/>
  <c r="AV1582" i="4"/>
  <c r="BA1581" i="4"/>
  <c r="AZ1581" i="4"/>
  <c r="AY1581" i="4"/>
  <c r="AV1581" i="4"/>
  <c r="BA1580" i="4"/>
  <c r="AZ1580" i="4"/>
  <c r="AY1580" i="4"/>
  <c r="AV1580" i="4"/>
  <c r="BA1579" i="4"/>
  <c r="AZ1579" i="4"/>
  <c r="AY1579" i="4"/>
  <c r="AV1579" i="4"/>
  <c r="BA1578" i="4"/>
  <c r="AZ1578" i="4"/>
  <c r="AY1578" i="4"/>
  <c r="AV1578" i="4"/>
  <c r="BA1577" i="4"/>
  <c r="AZ1577" i="4"/>
  <c r="AY1577" i="4"/>
  <c r="AV1577" i="4"/>
  <c r="BA1576" i="4"/>
  <c r="AZ1576" i="4"/>
  <c r="AY1576" i="4"/>
  <c r="AV1576" i="4"/>
  <c r="BA1575" i="4"/>
  <c r="AZ1575" i="4"/>
  <c r="AY1575" i="4"/>
  <c r="AV1575" i="4"/>
  <c r="BA1574" i="4"/>
  <c r="AZ1574" i="4"/>
  <c r="AY1574" i="4"/>
  <c r="AV1574" i="4"/>
  <c r="BA1573" i="4"/>
  <c r="AZ1573" i="4"/>
  <c r="AY1573" i="4"/>
  <c r="AV1573" i="4"/>
  <c r="BA1572" i="4"/>
  <c r="AZ1572" i="4"/>
  <c r="AY1572" i="4"/>
  <c r="AV1572" i="4"/>
  <c r="BA1571" i="4"/>
  <c r="AZ1571" i="4"/>
  <c r="AY1571" i="4"/>
  <c r="AV1571" i="4"/>
  <c r="BA1570" i="4"/>
  <c r="AZ1570" i="4"/>
  <c r="AY1570" i="4"/>
  <c r="AV1570" i="4"/>
  <c r="BA1569" i="4"/>
  <c r="AZ1569" i="4"/>
  <c r="AY1569" i="4"/>
  <c r="AV1569" i="4"/>
  <c r="BA1568" i="4"/>
  <c r="AZ1568" i="4"/>
  <c r="AY1568" i="4"/>
  <c r="AV1568" i="4"/>
  <c r="BA1567" i="4"/>
  <c r="AZ1567" i="4"/>
  <c r="AY1567" i="4"/>
  <c r="AV1567" i="4"/>
  <c r="BA1566" i="4"/>
  <c r="AZ1566" i="4"/>
  <c r="AY1566" i="4"/>
  <c r="AV1566" i="4"/>
  <c r="BA1565" i="4"/>
  <c r="AZ1565" i="4"/>
  <c r="AY1565" i="4"/>
  <c r="AV1565" i="4"/>
  <c r="BA1564" i="4"/>
  <c r="AZ1564" i="4"/>
  <c r="AY1564" i="4"/>
  <c r="AV1564" i="4"/>
  <c r="BA1563" i="4"/>
  <c r="AZ1563" i="4"/>
  <c r="AY1563" i="4"/>
  <c r="AV1563" i="4"/>
  <c r="BA1562" i="4"/>
  <c r="AZ1562" i="4"/>
  <c r="AY1562" i="4"/>
  <c r="AV1562" i="4"/>
  <c r="BA1561" i="4"/>
  <c r="AZ1561" i="4"/>
  <c r="AY1561" i="4"/>
  <c r="AV1561" i="4"/>
  <c r="BA1560" i="4"/>
  <c r="AZ1560" i="4"/>
  <c r="AY1560" i="4"/>
  <c r="AV1560" i="4"/>
  <c r="BA1559" i="4"/>
  <c r="AZ1559" i="4"/>
  <c r="AY1559" i="4"/>
  <c r="AV1559" i="4"/>
  <c r="BA1558" i="4"/>
  <c r="AZ1558" i="4"/>
  <c r="AY1558" i="4"/>
  <c r="AV1558" i="4"/>
  <c r="BA1557" i="4"/>
  <c r="AZ1557" i="4"/>
  <c r="AY1557" i="4"/>
  <c r="AV1557" i="4"/>
  <c r="BA1556" i="4"/>
  <c r="AZ1556" i="4"/>
  <c r="AY1556" i="4"/>
  <c r="AV1556" i="4"/>
  <c r="BA1555" i="4"/>
  <c r="AZ1555" i="4"/>
  <c r="AY1555" i="4"/>
  <c r="AV1555" i="4"/>
  <c r="BA1554" i="4"/>
  <c r="AZ1554" i="4"/>
  <c r="AY1554" i="4"/>
  <c r="AV1554" i="4"/>
  <c r="BA1553" i="4"/>
  <c r="AZ1553" i="4"/>
  <c r="AY1553" i="4"/>
  <c r="AV1553" i="4"/>
  <c r="BA1552" i="4"/>
  <c r="AZ1552" i="4"/>
  <c r="AY1552" i="4"/>
  <c r="AV1552" i="4"/>
  <c r="BA1551" i="4"/>
  <c r="AZ1551" i="4"/>
  <c r="AY1551" i="4"/>
  <c r="AV1551" i="4"/>
  <c r="BA1550" i="4"/>
  <c r="AZ1550" i="4"/>
  <c r="AY1550" i="4"/>
  <c r="AV1550" i="4"/>
  <c r="BA1549" i="4"/>
  <c r="AZ1549" i="4"/>
  <c r="AY1549" i="4"/>
  <c r="AV1549" i="4"/>
  <c r="BA1548" i="4"/>
  <c r="AZ1548" i="4"/>
  <c r="AY1548" i="4"/>
  <c r="AV1548" i="4"/>
  <c r="BA1547" i="4"/>
  <c r="AZ1547" i="4"/>
  <c r="AY1547" i="4"/>
  <c r="AV1547" i="4"/>
  <c r="BA1546" i="4"/>
  <c r="AZ1546" i="4"/>
  <c r="AY1546" i="4"/>
  <c r="AV1546" i="4"/>
  <c r="BA1545" i="4"/>
  <c r="AZ1545" i="4"/>
  <c r="AY1545" i="4"/>
  <c r="AV1545" i="4"/>
  <c r="BA1544" i="4"/>
  <c r="AZ1544" i="4"/>
  <c r="AY1544" i="4"/>
  <c r="AV1544" i="4"/>
  <c r="BA1543" i="4"/>
  <c r="AZ1543" i="4"/>
  <c r="AY1543" i="4"/>
  <c r="AV1543" i="4"/>
  <c r="BA1542" i="4"/>
  <c r="AZ1542" i="4"/>
  <c r="AY1542" i="4"/>
  <c r="AV1542" i="4"/>
  <c r="BA1541" i="4"/>
  <c r="AZ1541" i="4"/>
  <c r="AY1541" i="4"/>
  <c r="AV1541" i="4"/>
  <c r="BA1540" i="4"/>
  <c r="AZ1540" i="4"/>
  <c r="AY1540" i="4"/>
  <c r="AV1540" i="4"/>
  <c r="BA1539" i="4"/>
  <c r="AZ1539" i="4"/>
  <c r="AY1539" i="4"/>
  <c r="AV1539" i="4"/>
  <c r="BA1538" i="4"/>
  <c r="AZ1538" i="4"/>
  <c r="AY1538" i="4"/>
  <c r="AV1538" i="4"/>
  <c r="BA1537" i="4"/>
  <c r="AZ1537" i="4"/>
  <c r="AY1537" i="4"/>
  <c r="AV1537" i="4"/>
  <c r="BA1536" i="4"/>
  <c r="AZ1536" i="4"/>
  <c r="AY1536" i="4"/>
  <c r="AV1536" i="4"/>
  <c r="BA1535" i="4"/>
  <c r="AZ1535" i="4"/>
  <c r="AY1535" i="4"/>
  <c r="AV1535" i="4"/>
  <c r="BA1534" i="4"/>
  <c r="AZ1534" i="4"/>
  <c r="AY1534" i="4"/>
  <c r="AV1534" i="4"/>
  <c r="BA1533" i="4"/>
  <c r="AZ1533" i="4"/>
  <c r="AY1533" i="4"/>
  <c r="AV1533" i="4"/>
  <c r="BA1532" i="4"/>
  <c r="AZ1532" i="4"/>
  <c r="AY1532" i="4"/>
  <c r="AV1532" i="4"/>
  <c r="BA1531" i="4"/>
  <c r="AZ1531" i="4"/>
  <c r="AY1531" i="4"/>
  <c r="AV1531" i="4"/>
  <c r="BA1530" i="4"/>
  <c r="AZ1530" i="4"/>
  <c r="AY1530" i="4"/>
  <c r="AV1530" i="4"/>
  <c r="BA1529" i="4"/>
  <c r="AZ1529" i="4"/>
  <c r="AY1529" i="4"/>
  <c r="AV1529" i="4"/>
  <c r="BA1528" i="4"/>
  <c r="AZ1528" i="4"/>
  <c r="AY1528" i="4"/>
  <c r="AV1528" i="4"/>
  <c r="BA1527" i="4"/>
  <c r="AZ1527" i="4"/>
  <c r="AY1527" i="4"/>
  <c r="AV1527" i="4"/>
  <c r="BA1526" i="4"/>
  <c r="AZ1526" i="4"/>
  <c r="AY1526" i="4"/>
  <c r="AV1526" i="4"/>
  <c r="BA1525" i="4"/>
  <c r="AZ1525" i="4"/>
  <c r="AY1525" i="4"/>
  <c r="AV1525" i="4"/>
  <c r="BA1524" i="4"/>
  <c r="AZ1524" i="4"/>
  <c r="AY1524" i="4"/>
  <c r="AV1524" i="4"/>
  <c r="BA1523" i="4"/>
  <c r="AZ1523" i="4"/>
  <c r="AY1523" i="4"/>
  <c r="AV1523" i="4"/>
  <c r="BA1522" i="4"/>
  <c r="AZ1522" i="4"/>
  <c r="AY1522" i="4"/>
  <c r="AV1522" i="4"/>
  <c r="BA1521" i="4"/>
  <c r="AZ1521" i="4"/>
  <c r="AY1521" i="4"/>
  <c r="AV1521" i="4"/>
  <c r="BA1520" i="4"/>
  <c r="AZ1520" i="4"/>
  <c r="AY1520" i="4"/>
  <c r="AV1520" i="4"/>
  <c r="BA1519" i="4"/>
  <c r="AZ1519" i="4"/>
  <c r="AY1519" i="4"/>
  <c r="AV1519" i="4"/>
  <c r="BA1518" i="4"/>
  <c r="AZ1518" i="4"/>
  <c r="AY1518" i="4"/>
  <c r="AV1518" i="4"/>
  <c r="BA1517" i="4"/>
  <c r="AZ1517" i="4"/>
  <c r="AY1517" i="4"/>
  <c r="AV1517" i="4"/>
  <c r="BA1516" i="4"/>
  <c r="AZ1516" i="4"/>
  <c r="AY1516" i="4"/>
  <c r="AV1516" i="4"/>
  <c r="BA1515" i="4"/>
  <c r="AZ1515" i="4"/>
  <c r="AY1515" i="4"/>
  <c r="AV1515" i="4"/>
  <c r="BA1514" i="4"/>
  <c r="AZ1514" i="4"/>
  <c r="AY1514" i="4"/>
  <c r="AV1514" i="4"/>
  <c r="BA1513" i="4"/>
  <c r="AZ1513" i="4"/>
  <c r="AY1513" i="4"/>
  <c r="AV1513" i="4"/>
  <c r="BA1512" i="4"/>
  <c r="AZ1512" i="4"/>
  <c r="AY1512" i="4"/>
  <c r="AV1512" i="4"/>
  <c r="BA1511" i="4"/>
  <c r="AZ1511" i="4"/>
  <c r="AY1511" i="4"/>
  <c r="AV1511" i="4"/>
  <c r="BA1510" i="4"/>
  <c r="AZ1510" i="4"/>
  <c r="AY1510" i="4"/>
  <c r="AV1510" i="4"/>
  <c r="BA1509" i="4"/>
  <c r="AZ1509" i="4"/>
  <c r="AY1509" i="4"/>
  <c r="AV1509" i="4"/>
  <c r="BA1508" i="4"/>
  <c r="AZ1508" i="4"/>
  <c r="AY1508" i="4"/>
  <c r="AV1508" i="4"/>
  <c r="BA1507" i="4"/>
  <c r="AZ1507" i="4"/>
  <c r="AY1507" i="4"/>
  <c r="AV1507" i="4"/>
  <c r="BA1506" i="4"/>
  <c r="AZ1506" i="4"/>
  <c r="AY1506" i="4"/>
  <c r="AV1506" i="4"/>
  <c r="BA1505" i="4"/>
  <c r="AZ1505" i="4"/>
  <c r="AY1505" i="4"/>
  <c r="AV1505" i="4"/>
  <c r="BA1504" i="4"/>
  <c r="AZ1504" i="4"/>
  <c r="AY1504" i="4"/>
  <c r="AV1504" i="4"/>
  <c r="BA1503" i="4"/>
  <c r="AZ1503" i="4"/>
  <c r="AY1503" i="4"/>
  <c r="AV1503" i="4"/>
  <c r="BA1502" i="4"/>
  <c r="AZ1502" i="4"/>
  <c r="AY1502" i="4"/>
  <c r="AV1502" i="4"/>
  <c r="BA1501" i="4"/>
  <c r="AZ1501" i="4"/>
  <c r="AY1501" i="4"/>
  <c r="AV1501" i="4"/>
  <c r="BA1500" i="4"/>
  <c r="AZ1500" i="4"/>
  <c r="AY1500" i="4"/>
  <c r="AV1500" i="4"/>
  <c r="BA1499" i="4"/>
  <c r="AZ1499" i="4"/>
  <c r="AY1499" i="4"/>
  <c r="AV1499" i="4"/>
  <c r="BA1498" i="4"/>
  <c r="AZ1498" i="4"/>
  <c r="AY1498" i="4"/>
  <c r="AV1498" i="4"/>
  <c r="BA1497" i="4"/>
  <c r="AZ1497" i="4"/>
  <c r="AY1497" i="4"/>
  <c r="AV1497" i="4"/>
  <c r="BA1496" i="4"/>
  <c r="AZ1496" i="4"/>
  <c r="AY1496" i="4"/>
  <c r="AV1496" i="4"/>
  <c r="BA1495" i="4"/>
  <c r="AZ1495" i="4"/>
  <c r="AY1495" i="4"/>
  <c r="AV1495" i="4"/>
  <c r="BA1494" i="4"/>
  <c r="AZ1494" i="4"/>
  <c r="AY1494" i="4"/>
  <c r="AV1494" i="4"/>
  <c r="BA1493" i="4"/>
  <c r="AZ1493" i="4"/>
  <c r="AY1493" i="4"/>
  <c r="AV1493" i="4"/>
  <c r="BA1492" i="4"/>
  <c r="AZ1492" i="4"/>
  <c r="AY1492" i="4"/>
  <c r="AV1492" i="4"/>
  <c r="BA1491" i="4"/>
  <c r="AZ1491" i="4"/>
  <c r="AY1491" i="4"/>
  <c r="AV1491" i="4"/>
  <c r="BA1490" i="4"/>
  <c r="AZ1490" i="4"/>
  <c r="AY1490" i="4"/>
  <c r="AV1490" i="4"/>
  <c r="BA1489" i="4"/>
  <c r="AZ1489" i="4"/>
  <c r="AY1489" i="4"/>
  <c r="AV1489" i="4"/>
  <c r="BA1488" i="4"/>
  <c r="AZ1488" i="4"/>
  <c r="AY1488" i="4"/>
  <c r="AV1488" i="4"/>
  <c r="BA1487" i="4"/>
  <c r="AZ1487" i="4"/>
  <c r="AY1487" i="4"/>
  <c r="AV1487" i="4"/>
  <c r="BA1486" i="4"/>
  <c r="AZ1486" i="4"/>
  <c r="AY1486" i="4"/>
  <c r="AV1486" i="4"/>
  <c r="BA1485" i="4"/>
  <c r="AZ1485" i="4"/>
  <c r="AY1485" i="4"/>
  <c r="AV1485" i="4"/>
  <c r="BA1484" i="4"/>
  <c r="AZ1484" i="4"/>
  <c r="AY1484" i="4"/>
  <c r="AV1484" i="4"/>
  <c r="BA1483" i="4"/>
  <c r="AZ1483" i="4"/>
  <c r="AY1483" i="4"/>
  <c r="AV1483" i="4"/>
  <c r="BA1482" i="4"/>
  <c r="AZ1482" i="4"/>
  <c r="AY1482" i="4"/>
  <c r="AV1482" i="4"/>
  <c r="BA1481" i="4"/>
  <c r="AZ1481" i="4"/>
  <c r="AY1481" i="4"/>
  <c r="AV1481" i="4"/>
  <c r="BA1480" i="4"/>
  <c r="AZ1480" i="4"/>
  <c r="AY1480" i="4"/>
  <c r="AV1480" i="4"/>
  <c r="BA1479" i="4"/>
  <c r="AZ1479" i="4"/>
  <c r="AY1479" i="4"/>
  <c r="AV1479" i="4"/>
  <c r="BA1478" i="4"/>
  <c r="AZ1478" i="4"/>
  <c r="AY1478" i="4"/>
  <c r="AV1478" i="4"/>
  <c r="BA1477" i="4"/>
  <c r="AZ1477" i="4"/>
  <c r="AY1477" i="4"/>
  <c r="AV1477" i="4"/>
  <c r="BA1476" i="4"/>
  <c r="AZ1476" i="4"/>
  <c r="AY1476" i="4"/>
  <c r="AV1476" i="4"/>
  <c r="BA1475" i="4"/>
  <c r="AZ1475" i="4"/>
  <c r="AY1475" i="4"/>
  <c r="AV1475" i="4"/>
  <c r="BA1474" i="4"/>
  <c r="AZ1474" i="4"/>
  <c r="AY1474" i="4"/>
  <c r="AV1474" i="4"/>
  <c r="BA1473" i="4"/>
  <c r="AZ1473" i="4"/>
  <c r="AY1473" i="4"/>
  <c r="AV1473" i="4"/>
  <c r="BA1472" i="4"/>
  <c r="AZ1472" i="4"/>
  <c r="AY1472" i="4"/>
  <c r="AV1472" i="4"/>
  <c r="BA1471" i="4"/>
  <c r="AZ1471" i="4"/>
  <c r="AY1471" i="4"/>
  <c r="AV1471" i="4"/>
  <c r="BA1470" i="4"/>
  <c r="AZ1470" i="4"/>
  <c r="AY1470" i="4"/>
  <c r="AV1470" i="4"/>
  <c r="BA1469" i="4"/>
  <c r="AZ1469" i="4"/>
  <c r="AY1469" i="4"/>
  <c r="AV1469" i="4"/>
  <c r="BA1468" i="4"/>
  <c r="AZ1468" i="4"/>
  <c r="AY1468" i="4"/>
  <c r="AV1468" i="4"/>
  <c r="BA1467" i="4"/>
  <c r="AZ1467" i="4"/>
  <c r="AY1467" i="4"/>
  <c r="AV1467" i="4"/>
  <c r="BA1466" i="4"/>
  <c r="AZ1466" i="4"/>
  <c r="AY1466" i="4"/>
  <c r="AV1466" i="4"/>
  <c r="BA1465" i="4"/>
  <c r="AZ1465" i="4"/>
  <c r="AY1465" i="4"/>
  <c r="AV1465" i="4"/>
  <c r="BA1464" i="4"/>
  <c r="AZ1464" i="4"/>
  <c r="AY1464" i="4"/>
  <c r="AV1464" i="4"/>
  <c r="BA1463" i="4"/>
  <c r="AZ1463" i="4"/>
  <c r="AY1463" i="4"/>
  <c r="AV1463" i="4"/>
  <c r="BA1462" i="4"/>
  <c r="AZ1462" i="4"/>
  <c r="AY1462" i="4"/>
  <c r="AV1462" i="4"/>
  <c r="BA1461" i="4"/>
  <c r="AZ1461" i="4"/>
  <c r="AY1461" i="4"/>
  <c r="AV1461" i="4"/>
  <c r="BA1460" i="4"/>
  <c r="AZ1460" i="4"/>
  <c r="AY1460" i="4"/>
  <c r="AV1460" i="4"/>
  <c r="BA1459" i="4"/>
  <c r="AZ1459" i="4"/>
  <c r="AY1459" i="4"/>
  <c r="AV1459" i="4"/>
  <c r="BA1458" i="4"/>
  <c r="AZ1458" i="4"/>
  <c r="AY1458" i="4"/>
  <c r="AV1458" i="4"/>
  <c r="BA1457" i="4"/>
  <c r="AZ1457" i="4"/>
  <c r="AY1457" i="4"/>
  <c r="AV1457" i="4"/>
  <c r="BA1456" i="4"/>
  <c r="AZ1456" i="4"/>
  <c r="AY1456" i="4"/>
  <c r="AV1456" i="4"/>
  <c r="BA1455" i="4"/>
  <c r="AZ1455" i="4"/>
  <c r="AY1455" i="4"/>
  <c r="AV1455" i="4"/>
  <c r="BA1454" i="4"/>
  <c r="AZ1454" i="4"/>
  <c r="AY1454" i="4"/>
  <c r="AV1454" i="4"/>
  <c r="BA1453" i="4"/>
  <c r="AZ1453" i="4"/>
  <c r="AY1453" i="4"/>
  <c r="AV1453" i="4"/>
  <c r="BA1452" i="4"/>
  <c r="AZ1452" i="4"/>
  <c r="AY1452" i="4"/>
  <c r="AV1452" i="4"/>
  <c r="BA1451" i="4"/>
  <c r="AZ1451" i="4"/>
  <c r="AY1451" i="4"/>
  <c r="AV1451" i="4"/>
  <c r="BA1450" i="4"/>
  <c r="AZ1450" i="4"/>
  <c r="AY1450" i="4"/>
  <c r="AV1450" i="4"/>
  <c r="BA1449" i="4"/>
  <c r="AZ1449" i="4"/>
  <c r="AY1449" i="4"/>
  <c r="AV1449" i="4"/>
  <c r="BA1448" i="4"/>
  <c r="AZ1448" i="4"/>
  <c r="AY1448" i="4"/>
  <c r="AV1448" i="4"/>
  <c r="BA1447" i="4"/>
  <c r="AZ1447" i="4"/>
  <c r="AY1447" i="4"/>
  <c r="AV1447" i="4"/>
  <c r="BA1446" i="4"/>
  <c r="AZ1446" i="4"/>
  <c r="AY1446" i="4"/>
  <c r="AV1446" i="4"/>
  <c r="BA1445" i="4"/>
  <c r="AZ1445" i="4"/>
  <c r="AY1445" i="4"/>
  <c r="AV1445" i="4"/>
  <c r="BA1444" i="4"/>
  <c r="AZ1444" i="4"/>
  <c r="AY1444" i="4"/>
  <c r="AV1444" i="4"/>
  <c r="BA1443" i="4"/>
  <c r="AZ1443" i="4"/>
  <c r="AY1443" i="4"/>
  <c r="AV1443" i="4"/>
  <c r="BA1442" i="4"/>
  <c r="AZ1442" i="4"/>
  <c r="AY1442" i="4"/>
  <c r="AV1442" i="4"/>
  <c r="BA1441" i="4"/>
  <c r="AZ1441" i="4"/>
  <c r="AY1441" i="4"/>
  <c r="AV1441" i="4"/>
  <c r="BA1440" i="4"/>
  <c r="AZ1440" i="4"/>
  <c r="AY1440" i="4"/>
  <c r="AV1440" i="4"/>
  <c r="BA1439" i="4"/>
  <c r="AZ1439" i="4"/>
  <c r="AY1439" i="4"/>
  <c r="AV1439" i="4"/>
  <c r="BA1438" i="4"/>
  <c r="AZ1438" i="4"/>
  <c r="AY1438" i="4"/>
  <c r="AV1438" i="4"/>
  <c r="BA1437" i="4"/>
  <c r="AZ1437" i="4"/>
  <c r="AY1437" i="4"/>
  <c r="AV1437" i="4"/>
  <c r="BA1436" i="4"/>
  <c r="AZ1436" i="4"/>
  <c r="AY1436" i="4"/>
  <c r="AV1436" i="4"/>
  <c r="BA1435" i="4"/>
  <c r="AZ1435" i="4"/>
  <c r="AY1435" i="4"/>
  <c r="AV1435" i="4"/>
  <c r="BA1434" i="4"/>
  <c r="AZ1434" i="4"/>
  <c r="AY1434" i="4"/>
  <c r="AV1434" i="4"/>
  <c r="BA1433" i="4"/>
  <c r="AZ1433" i="4"/>
  <c r="AY1433" i="4"/>
  <c r="AV1433" i="4"/>
  <c r="BA1432" i="4"/>
  <c r="AZ1432" i="4"/>
  <c r="AY1432" i="4"/>
  <c r="AV1432" i="4"/>
  <c r="BA1431" i="4"/>
  <c r="AZ1431" i="4"/>
  <c r="AY1431" i="4"/>
  <c r="AV1431" i="4"/>
  <c r="BA1430" i="4"/>
  <c r="AZ1430" i="4"/>
  <c r="AY1430" i="4"/>
  <c r="AV1430" i="4"/>
  <c r="BA1429" i="4"/>
  <c r="AZ1429" i="4"/>
  <c r="AY1429" i="4"/>
  <c r="AV1429" i="4"/>
  <c r="BA1428" i="4"/>
  <c r="AZ1428" i="4"/>
  <c r="AY1428" i="4"/>
  <c r="AV1428" i="4"/>
  <c r="BA1427" i="4"/>
  <c r="AZ1427" i="4"/>
  <c r="AY1427" i="4"/>
  <c r="AV1427" i="4"/>
  <c r="BA1426" i="4"/>
  <c r="AZ1426" i="4"/>
  <c r="AY1426" i="4"/>
  <c r="AV1426" i="4"/>
  <c r="BA1425" i="4"/>
  <c r="AZ1425" i="4"/>
  <c r="AY1425" i="4"/>
  <c r="AV1425" i="4"/>
  <c r="BA1424" i="4"/>
  <c r="AZ1424" i="4"/>
  <c r="AY1424" i="4"/>
  <c r="AV1424" i="4"/>
  <c r="BA1423" i="4"/>
  <c r="AZ1423" i="4"/>
  <c r="AY1423" i="4"/>
  <c r="AV1423" i="4"/>
  <c r="BA1422" i="4"/>
  <c r="AZ1422" i="4"/>
  <c r="AY1422" i="4"/>
  <c r="AV1422" i="4"/>
  <c r="BA1421" i="4"/>
  <c r="AZ1421" i="4"/>
  <c r="AY1421" i="4"/>
  <c r="AV1421" i="4"/>
  <c r="BA1420" i="4"/>
  <c r="AZ1420" i="4"/>
  <c r="AY1420" i="4"/>
  <c r="AV1420" i="4"/>
  <c r="BA1419" i="4"/>
  <c r="AZ1419" i="4"/>
  <c r="AY1419" i="4"/>
  <c r="AV1419" i="4"/>
  <c r="BA1418" i="4"/>
  <c r="AZ1418" i="4"/>
  <c r="AY1418" i="4"/>
  <c r="AV1418" i="4"/>
  <c r="BA1417" i="4"/>
  <c r="AZ1417" i="4"/>
  <c r="AY1417" i="4"/>
  <c r="AV1417" i="4"/>
  <c r="BA1416" i="4"/>
  <c r="AZ1416" i="4"/>
  <c r="AY1416" i="4"/>
  <c r="AV1416" i="4"/>
  <c r="BA1415" i="4"/>
  <c r="AZ1415" i="4"/>
  <c r="AY1415" i="4"/>
  <c r="AV1415" i="4"/>
  <c r="BA1414" i="4"/>
  <c r="AZ1414" i="4"/>
  <c r="AY1414" i="4"/>
  <c r="AV1414" i="4"/>
  <c r="BA1413" i="4"/>
  <c r="AZ1413" i="4"/>
  <c r="AY1413" i="4"/>
  <c r="AV1413" i="4"/>
  <c r="BA1412" i="4"/>
  <c r="AZ1412" i="4"/>
  <c r="AY1412" i="4"/>
  <c r="AV1412" i="4"/>
  <c r="BA1411" i="4"/>
  <c r="AZ1411" i="4"/>
  <c r="AY1411" i="4"/>
  <c r="AV1411" i="4"/>
  <c r="BA1410" i="4"/>
  <c r="AZ1410" i="4"/>
  <c r="AY1410" i="4"/>
  <c r="AV1410" i="4"/>
  <c r="BA1409" i="4"/>
  <c r="AZ1409" i="4"/>
  <c r="AY1409" i="4"/>
  <c r="AV1409" i="4"/>
  <c r="BA1408" i="4"/>
  <c r="AZ1408" i="4"/>
  <c r="AY1408" i="4"/>
  <c r="AV1408" i="4"/>
  <c r="BA1407" i="4"/>
  <c r="AZ1407" i="4"/>
  <c r="AY1407" i="4"/>
  <c r="AV1407" i="4"/>
  <c r="BA1406" i="4"/>
  <c r="AZ1406" i="4"/>
  <c r="AY1406" i="4"/>
  <c r="AV1406" i="4"/>
  <c r="BA1405" i="4"/>
  <c r="AZ1405" i="4"/>
  <c r="AY1405" i="4"/>
  <c r="AV1405" i="4"/>
  <c r="BA1404" i="4"/>
  <c r="AZ1404" i="4"/>
  <c r="AY1404" i="4"/>
  <c r="AV1404" i="4"/>
  <c r="BA1403" i="4"/>
  <c r="AZ1403" i="4"/>
  <c r="AY1403" i="4"/>
  <c r="AV1403" i="4"/>
  <c r="BA1402" i="4"/>
  <c r="AZ1402" i="4"/>
  <c r="AY1402" i="4"/>
  <c r="AV1402" i="4"/>
  <c r="BA1401" i="4"/>
  <c r="AZ1401" i="4"/>
  <c r="AY1401" i="4"/>
  <c r="AV1401" i="4"/>
  <c r="BA1400" i="4"/>
  <c r="AZ1400" i="4"/>
  <c r="AY1400" i="4"/>
  <c r="AV1400" i="4"/>
  <c r="BA1399" i="4"/>
  <c r="AZ1399" i="4"/>
  <c r="AY1399" i="4"/>
  <c r="AV1399" i="4"/>
  <c r="BA1398" i="4"/>
  <c r="AZ1398" i="4"/>
  <c r="AY1398" i="4"/>
  <c r="AV1398" i="4"/>
  <c r="BA1397" i="4"/>
  <c r="AZ1397" i="4"/>
  <c r="AY1397" i="4"/>
  <c r="AV1397" i="4"/>
  <c r="BA1396" i="4"/>
  <c r="AZ1396" i="4"/>
  <c r="AY1396" i="4"/>
  <c r="AV1396" i="4"/>
  <c r="BA1395" i="4"/>
  <c r="AZ1395" i="4"/>
  <c r="AY1395" i="4"/>
  <c r="AV1395" i="4"/>
  <c r="BA1394" i="4"/>
  <c r="AZ1394" i="4"/>
  <c r="AY1394" i="4"/>
  <c r="AV1394" i="4"/>
  <c r="BA1393" i="4"/>
  <c r="AZ1393" i="4"/>
  <c r="AY1393" i="4"/>
  <c r="AV1393" i="4"/>
  <c r="BA1392" i="4"/>
  <c r="AZ1392" i="4"/>
  <c r="AY1392" i="4"/>
  <c r="AV1392" i="4"/>
  <c r="BA1391" i="4"/>
  <c r="AZ1391" i="4"/>
  <c r="AY1391" i="4"/>
  <c r="AV1391" i="4"/>
  <c r="BA1390" i="4"/>
  <c r="AZ1390" i="4"/>
  <c r="AY1390" i="4"/>
  <c r="AV1390" i="4"/>
  <c r="BA1389" i="4"/>
  <c r="AZ1389" i="4"/>
  <c r="AY1389" i="4"/>
  <c r="AV1389" i="4"/>
  <c r="BA1388" i="4"/>
  <c r="AZ1388" i="4"/>
  <c r="AY1388" i="4"/>
  <c r="AV1388" i="4"/>
  <c r="BA1387" i="4"/>
  <c r="AZ1387" i="4"/>
  <c r="AY1387" i="4"/>
  <c r="AV1387" i="4"/>
  <c r="BA1386" i="4"/>
  <c r="AZ1386" i="4"/>
  <c r="AY1386" i="4"/>
  <c r="AV1386" i="4"/>
  <c r="BA1385" i="4"/>
  <c r="AZ1385" i="4"/>
  <c r="AY1385" i="4"/>
  <c r="AV1385" i="4"/>
  <c r="BA1384" i="4"/>
  <c r="AZ1384" i="4"/>
  <c r="AY1384" i="4"/>
  <c r="AV1384" i="4"/>
  <c r="BA1383" i="4"/>
  <c r="AZ1383" i="4"/>
  <c r="AY1383" i="4"/>
  <c r="AV1383" i="4"/>
  <c r="BA1382" i="4"/>
  <c r="AZ1382" i="4"/>
  <c r="AY1382" i="4"/>
  <c r="AV1382" i="4"/>
  <c r="BA1381" i="4"/>
  <c r="AZ1381" i="4"/>
  <c r="AY1381" i="4"/>
  <c r="AV1381" i="4"/>
  <c r="BA1380" i="4"/>
  <c r="AZ1380" i="4"/>
  <c r="AY1380" i="4"/>
  <c r="AV1380" i="4"/>
  <c r="BA1379" i="4"/>
  <c r="AZ1379" i="4"/>
  <c r="AY1379" i="4"/>
  <c r="AV1379" i="4"/>
  <c r="BA1378" i="4"/>
  <c r="AZ1378" i="4"/>
  <c r="AY1378" i="4"/>
  <c r="AV1378" i="4"/>
  <c r="BA1377" i="4"/>
  <c r="AZ1377" i="4"/>
  <c r="AY1377" i="4"/>
  <c r="AV1377" i="4"/>
  <c r="BA1376" i="4"/>
  <c r="AZ1376" i="4"/>
  <c r="AY1376" i="4"/>
  <c r="AV1376" i="4"/>
  <c r="BA1375" i="4"/>
  <c r="AZ1375" i="4"/>
  <c r="AY1375" i="4"/>
  <c r="AV1375" i="4"/>
  <c r="BA1374" i="4"/>
  <c r="AZ1374" i="4"/>
  <c r="AY1374" i="4"/>
  <c r="AV1374" i="4"/>
  <c r="BA1373" i="4"/>
  <c r="AZ1373" i="4"/>
  <c r="AY1373" i="4"/>
  <c r="AV1373" i="4"/>
  <c r="BA1372" i="4"/>
  <c r="AZ1372" i="4"/>
  <c r="AY1372" i="4"/>
  <c r="AV1372" i="4"/>
  <c r="BA1371" i="4"/>
  <c r="AZ1371" i="4"/>
  <c r="AY1371" i="4"/>
  <c r="AV1371" i="4"/>
  <c r="BA1370" i="4"/>
  <c r="AZ1370" i="4"/>
  <c r="AY1370" i="4"/>
  <c r="AV1370" i="4"/>
  <c r="BA1369" i="4"/>
  <c r="AZ1369" i="4"/>
  <c r="AY1369" i="4"/>
  <c r="AV1369" i="4"/>
  <c r="BA1368" i="4"/>
  <c r="AZ1368" i="4"/>
  <c r="AY1368" i="4"/>
  <c r="AV1368" i="4"/>
  <c r="BA1367" i="4"/>
  <c r="AZ1367" i="4"/>
  <c r="AY1367" i="4"/>
  <c r="AV1367" i="4"/>
  <c r="BA1366" i="4"/>
  <c r="AZ1366" i="4"/>
  <c r="AY1366" i="4"/>
  <c r="AV1366" i="4"/>
  <c r="BA1365" i="4"/>
  <c r="AZ1365" i="4"/>
  <c r="AY1365" i="4"/>
  <c r="AV1365" i="4"/>
  <c r="BA1364" i="4"/>
  <c r="AZ1364" i="4"/>
  <c r="AY1364" i="4"/>
  <c r="AV1364" i="4"/>
  <c r="BA1363" i="4"/>
  <c r="AZ1363" i="4"/>
  <c r="AY1363" i="4"/>
  <c r="AV1363" i="4"/>
  <c r="BA1362" i="4"/>
  <c r="AZ1362" i="4"/>
  <c r="AY1362" i="4"/>
  <c r="AV1362" i="4"/>
  <c r="BA1361" i="4"/>
  <c r="AZ1361" i="4"/>
  <c r="AY1361" i="4"/>
  <c r="AV1361" i="4"/>
  <c r="BA1360" i="4"/>
  <c r="AZ1360" i="4"/>
  <c r="AY1360" i="4"/>
  <c r="AV1360" i="4"/>
  <c r="BA1359" i="4"/>
  <c r="AZ1359" i="4"/>
  <c r="AY1359" i="4"/>
  <c r="AV1359" i="4"/>
  <c r="BA1358" i="4"/>
  <c r="AZ1358" i="4"/>
  <c r="AY1358" i="4"/>
  <c r="AV1358" i="4"/>
  <c r="BA1357" i="4"/>
  <c r="AZ1357" i="4"/>
  <c r="AY1357" i="4"/>
  <c r="AV1357" i="4"/>
  <c r="BA1356" i="4"/>
  <c r="AZ1356" i="4"/>
  <c r="AY1356" i="4"/>
  <c r="AV1356" i="4"/>
  <c r="BA1355" i="4"/>
  <c r="AZ1355" i="4"/>
  <c r="AY1355" i="4"/>
  <c r="AV1355" i="4"/>
  <c r="BA1354" i="4"/>
  <c r="AZ1354" i="4"/>
  <c r="AY1354" i="4"/>
  <c r="AV1354" i="4"/>
  <c r="BA1353" i="4"/>
  <c r="AZ1353" i="4"/>
  <c r="AY1353" i="4"/>
  <c r="AV1353" i="4"/>
  <c r="BA1352" i="4"/>
  <c r="AZ1352" i="4"/>
  <c r="AY1352" i="4"/>
  <c r="AV1352" i="4"/>
  <c r="BA1351" i="4"/>
  <c r="AZ1351" i="4"/>
  <c r="AY1351" i="4"/>
  <c r="AV1351" i="4"/>
  <c r="BA1350" i="4"/>
  <c r="AZ1350" i="4"/>
  <c r="AY1350" i="4"/>
  <c r="AV1350" i="4"/>
  <c r="BA1349" i="4"/>
  <c r="AZ1349" i="4"/>
  <c r="AY1349" i="4"/>
  <c r="AV1349" i="4"/>
  <c r="BA1348" i="4"/>
  <c r="AZ1348" i="4"/>
  <c r="AY1348" i="4"/>
  <c r="AV1348" i="4"/>
  <c r="BA1347" i="4"/>
  <c r="AZ1347" i="4"/>
  <c r="AY1347" i="4"/>
  <c r="AV1347" i="4"/>
  <c r="BA1346" i="4"/>
  <c r="AZ1346" i="4"/>
  <c r="AY1346" i="4"/>
  <c r="AV1346" i="4"/>
  <c r="BA1345" i="4"/>
  <c r="AZ1345" i="4"/>
  <c r="AY1345" i="4"/>
  <c r="AV1345" i="4"/>
  <c r="BA1344" i="4"/>
  <c r="AZ1344" i="4"/>
  <c r="AY1344" i="4"/>
  <c r="AV1344" i="4"/>
  <c r="BA1343" i="4"/>
  <c r="AZ1343" i="4"/>
  <c r="AY1343" i="4"/>
  <c r="AV1343" i="4"/>
  <c r="BA1342" i="4"/>
  <c r="AZ1342" i="4"/>
  <c r="AY1342" i="4"/>
  <c r="AV1342" i="4"/>
  <c r="BA1341" i="4"/>
  <c r="AZ1341" i="4"/>
  <c r="AY1341" i="4"/>
  <c r="AV1341" i="4"/>
  <c r="BA1340" i="4"/>
  <c r="AZ1340" i="4"/>
  <c r="AY1340" i="4"/>
  <c r="AV1340" i="4"/>
  <c r="BA1339" i="4"/>
  <c r="AZ1339" i="4"/>
  <c r="AY1339" i="4"/>
  <c r="AV1339" i="4"/>
  <c r="BA1338" i="4"/>
  <c r="AZ1338" i="4"/>
  <c r="AY1338" i="4"/>
  <c r="AV1338" i="4"/>
  <c r="BA1337" i="4"/>
  <c r="AZ1337" i="4"/>
  <c r="AY1337" i="4"/>
  <c r="AV1337" i="4"/>
  <c r="BA1336" i="4"/>
  <c r="AZ1336" i="4"/>
  <c r="AY1336" i="4"/>
  <c r="AV1336" i="4"/>
  <c r="BA1335" i="4"/>
  <c r="AZ1335" i="4"/>
  <c r="AY1335" i="4"/>
  <c r="AV1335" i="4"/>
  <c r="BA1334" i="4"/>
  <c r="AZ1334" i="4"/>
  <c r="AY1334" i="4"/>
  <c r="AV1334" i="4"/>
  <c r="BA1333" i="4"/>
  <c r="AZ1333" i="4"/>
  <c r="AY1333" i="4"/>
  <c r="AV1333" i="4"/>
  <c r="BA1332" i="4"/>
  <c r="AZ1332" i="4"/>
  <c r="AY1332" i="4"/>
  <c r="AV1332" i="4"/>
  <c r="BA1331" i="4"/>
  <c r="AZ1331" i="4"/>
  <c r="AY1331" i="4"/>
  <c r="AV1331" i="4"/>
  <c r="BA1330" i="4"/>
  <c r="AZ1330" i="4"/>
  <c r="AY1330" i="4"/>
  <c r="AV1330" i="4"/>
  <c r="BA1329" i="4"/>
  <c r="AZ1329" i="4"/>
  <c r="AY1329" i="4"/>
  <c r="AV1329" i="4"/>
  <c r="BA1328" i="4"/>
  <c r="AZ1328" i="4"/>
  <c r="AY1328" i="4"/>
  <c r="AV1328" i="4"/>
  <c r="BA1327" i="4"/>
  <c r="AZ1327" i="4"/>
  <c r="AY1327" i="4"/>
  <c r="AV1327" i="4"/>
  <c r="BA1326" i="4"/>
  <c r="AZ1326" i="4"/>
  <c r="AY1326" i="4"/>
  <c r="AV1326" i="4"/>
  <c r="BA1325" i="4"/>
  <c r="AZ1325" i="4"/>
  <c r="AY1325" i="4"/>
  <c r="AV1325" i="4"/>
  <c r="BA1324" i="4"/>
  <c r="AZ1324" i="4"/>
  <c r="AY1324" i="4"/>
  <c r="AV1324" i="4"/>
  <c r="BA1323" i="4"/>
  <c r="AZ1323" i="4"/>
  <c r="AY1323" i="4"/>
  <c r="AV1323" i="4"/>
  <c r="BA1322" i="4"/>
  <c r="AZ1322" i="4"/>
  <c r="AY1322" i="4"/>
  <c r="AV1322" i="4"/>
  <c r="BA1321" i="4"/>
  <c r="AZ1321" i="4"/>
  <c r="AY1321" i="4"/>
  <c r="AV1321" i="4"/>
  <c r="BA1320" i="4"/>
  <c r="AZ1320" i="4"/>
  <c r="AY1320" i="4"/>
  <c r="AV1320" i="4"/>
  <c r="BA1319" i="4"/>
  <c r="AZ1319" i="4"/>
  <c r="AY1319" i="4"/>
  <c r="AV1319" i="4"/>
  <c r="BA1318" i="4"/>
  <c r="AZ1318" i="4"/>
  <c r="AY1318" i="4"/>
  <c r="AV1318" i="4"/>
  <c r="BA1317" i="4"/>
  <c r="AZ1317" i="4"/>
  <c r="AY1317" i="4"/>
  <c r="AV1317" i="4"/>
  <c r="BA1316" i="4"/>
  <c r="AZ1316" i="4"/>
  <c r="AY1316" i="4"/>
  <c r="AV1316" i="4"/>
  <c r="BA1315" i="4"/>
  <c r="AZ1315" i="4"/>
  <c r="AY1315" i="4"/>
  <c r="AV1315" i="4"/>
  <c r="BA1314" i="4"/>
  <c r="AZ1314" i="4"/>
  <c r="AY1314" i="4"/>
  <c r="AV1314" i="4"/>
  <c r="BA1313" i="4"/>
  <c r="AZ1313" i="4"/>
  <c r="AY1313" i="4"/>
  <c r="AV1313" i="4"/>
  <c r="BA1312" i="4"/>
  <c r="AZ1312" i="4"/>
  <c r="AY1312" i="4"/>
  <c r="AV1312" i="4"/>
  <c r="BA1311" i="4"/>
  <c r="AZ1311" i="4"/>
  <c r="AY1311" i="4"/>
  <c r="AV1311" i="4"/>
  <c r="BA1310" i="4"/>
  <c r="AZ1310" i="4"/>
  <c r="AY1310" i="4"/>
  <c r="AV1310" i="4"/>
  <c r="BA1309" i="4"/>
  <c r="AZ1309" i="4"/>
  <c r="AY1309" i="4"/>
  <c r="AV1309" i="4"/>
  <c r="BA1308" i="4"/>
  <c r="AZ1308" i="4"/>
  <c r="AY1308" i="4"/>
  <c r="AV1308" i="4"/>
  <c r="BA1307" i="4"/>
  <c r="AZ1307" i="4"/>
  <c r="AY1307" i="4"/>
  <c r="AV1307" i="4"/>
  <c r="BA1306" i="4"/>
  <c r="AZ1306" i="4"/>
  <c r="AY1306" i="4"/>
  <c r="AV1306" i="4"/>
  <c r="BA1305" i="4"/>
  <c r="AZ1305" i="4"/>
  <c r="AY1305" i="4"/>
  <c r="AV1305" i="4"/>
  <c r="BA1304" i="4"/>
  <c r="AZ1304" i="4"/>
  <c r="AY1304" i="4"/>
  <c r="AV1304" i="4"/>
  <c r="BA1303" i="4"/>
  <c r="AZ1303" i="4"/>
  <c r="AY1303" i="4"/>
  <c r="AV1303" i="4"/>
  <c r="BA1302" i="4"/>
  <c r="AZ1302" i="4"/>
  <c r="AY1302" i="4"/>
  <c r="AV1302" i="4"/>
  <c r="BA1301" i="4"/>
  <c r="AZ1301" i="4"/>
  <c r="AY1301" i="4"/>
  <c r="AV1301" i="4"/>
  <c r="BA1300" i="4"/>
  <c r="AZ1300" i="4"/>
  <c r="AY1300" i="4"/>
  <c r="AV1300" i="4"/>
  <c r="BA1299" i="4"/>
  <c r="AZ1299" i="4"/>
  <c r="AY1299" i="4"/>
  <c r="AV1299" i="4"/>
  <c r="BA1298" i="4"/>
  <c r="AZ1298" i="4"/>
  <c r="AY1298" i="4"/>
  <c r="AV1298" i="4"/>
  <c r="BA1297" i="4"/>
  <c r="AZ1297" i="4"/>
  <c r="AY1297" i="4"/>
  <c r="AV1297" i="4"/>
  <c r="BA1296" i="4"/>
  <c r="AZ1296" i="4"/>
  <c r="AY1296" i="4"/>
  <c r="AV1296" i="4"/>
  <c r="BA1295" i="4"/>
  <c r="AZ1295" i="4"/>
  <c r="AY1295" i="4"/>
  <c r="AV1295" i="4"/>
  <c r="BA1294" i="4"/>
  <c r="AZ1294" i="4"/>
  <c r="AY1294" i="4"/>
  <c r="AV1294" i="4"/>
  <c r="BA1293" i="4"/>
  <c r="AZ1293" i="4"/>
  <c r="AY1293" i="4"/>
  <c r="AV1293" i="4"/>
  <c r="BA1292" i="4"/>
  <c r="AZ1292" i="4"/>
  <c r="AY1292" i="4"/>
  <c r="AV1292" i="4"/>
  <c r="BA1291" i="4"/>
  <c r="AZ1291" i="4"/>
  <c r="AY1291" i="4"/>
  <c r="AV1291" i="4"/>
  <c r="BA1290" i="4"/>
  <c r="AZ1290" i="4"/>
  <c r="AY1290" i="4"/>
  <c r="AV1290" i="4"/>
  <c r="BA1289" i="4"/>
  <c r="AZ1289" i="4"/>
  <c r="AY1289" i="4"/>
  <c r="AV1289" i="4"/>
  <c r="BA1288" i="4"/>
  <c r="AZ1288" i="4"/>
  <c r="AY1288" i="4"/>
  <c r="AV1288" i="4"/>
  <c r="BA1287" i="4"/>
  <c r="AZ1287" i="4"/>
  <c r="AY1287" i="4"/>
  <c r="AV1287" i="4"/>
  <c r="BA1286" i="4"/>
  <c r="AZ1286" i="4"/>
  <c r="AY1286" i="4"/>
  <c r="AV1286" i="4"/>
  <c r="BA1285" i="4"/>
  <c r="AZ1285" i="4"/>
  <c r="AY1285" i="4"/>
  <c r="AV1285" i="4"/>
  <c r="BA1284" i="4"/>
  <c r="AZ1284" i="4"/>
  <c r="AY1284" i="4"/>
  <c r="AV1284" i="4"/>
  <c r="BA1283" i="4"/>
  <c r="AZ1283" i="4"/>
  <c r="AY1283" i="4"/>
  <c r="AV1283" i="4"/>
  <c r="BA1282" i="4"/>
  <c r="AZ1282" i="4"/>
  <c r="AY1282" i="4"/>
  <c r="AV1282" i="4"/>
  <c r="BA1281" i="4"/>
  <c r="AZ1281" i="4"/>
  <c r="AY1281" i="4"/>
  <c r="AV1281" i="4"/>
  <c r="BA1280" i="4"/>
  <c r="AZ1280" i="4"/>
  <c r="AY1280" i="4"/>
  <c r="AV1280" i="4"/>
  <c r="BA1279" i="4"/>
  <c r="AZ1279" i="4"/>
  <c r="AY1279" i="4"/>
  <c r="AV1279" i="4"/>
  <c r="BA1278" i="4"/>
  <c r="AZ1278" i="4"/>
  <c r="AY1278" i="4"/>
  <c r="AV1278" i="4"/>
  <c r="BA1277" i="4"/>
  <c r="AZ1277" i="4"/>
  <c r="AY1277" i="4"/>
  <c r="AV1277" i="4"/>
  <c r="BA1276" i="4"/>
  <c r="AZ1276" i="4"/>
  <c r="AY1276" i="4"/>
  <c r="AV1276" i="4"/>
  <c r="BA1275" i="4"/>
  <c r="AZ1275" i="4"/>
  <c r="AY1275" i="4"/>
  <c r="AV1275" i="4"/>
  <c r="BA1274" i="4"/>
  <c r="AZ1274" i="4"/>
  <c r="AY1274" i="4"/>
  <c r="AV1274" i="4"/>
  <c r="BA1273" i="4"/>
  <c r="AZ1273" i="4"/>
  <c r="AY1273" i="4"/>
  <c r="AV1273" i="4"/>
  <c r="BA1272" i="4"/>
  <c r="AZ1272" i="4"/>
  <c r="AY1272" i="4"/>
  <c r="AV1272" i="4"/>
  <c r="BA1271" i="4"/>
  <c r="AZ1271" i="4"/>
  <c r="AY1271" i="4"/>
  <c r="AV1271" i="4"/>
  <c r="BA1270" i="4"/>
  <c r="AZ1270" i="4"/>
  <c r="AY1270" i="4"/>
  <c r="AV1270" i="4"/>
  <c r="BA1269" i="4"/>
  <c r="AZ1269" i="4"/>
  <c r="AY1269" i="4"/>
  <c r="AV1269" i="4"/>
  <c r="BA1268" i="4"/>
  <c r="AZ1268" i="4"/>
  <c r="AY1268" i="4"/>
  <c r="AV1268" i="4"/>
  <c r="BA1267" i="4"/>
  <c r="AZ1267" i="4"/>
  <c r="AY1267" i="4"/>
  <c r="AV1267" i="4"/>
  <c r="BA1266" i="4"/>
  <c r="AZ1266" i="4"/>
  <c r="AY1266" i="4"/>
  <c r="AV1266" i="4"/>
  <c r="BA1265" i="4"/>
  <c r="AZ1265" i="4"/>
  <c r="AY1265" i="4"/>
  <c r="AV1265" i="4"/>
  <c r="BA1264" i="4"/>
  <c r="AZ1264" i="4"/>
  <c r="AY1264" i="4"/>
  <c r="AV1264" i="4"/>
  <c r="BA1263" i="4"/>
  <c r="AZ1263" i="4"/>
  <c r="AY1263" i="4"/>
  <c r="AV1263" i="4"/>
  <c r="BA1262" i="4"/>
  <c r="AZ1262" i="4"/>
  <c r="AY1262" i="4"/>
  <c r="AV1262" i="4"/>
  <c r="BA1261" i="4"/>
  <c r="AZ1261" i="4"/>
  <c r="AY1261" i="4"/>
  <c r="AV1261" i="4"/>
  <c r="BA1260" i="4"/>
  <c r="AZ1260" i="4"/>
  <c r="AY1260" i="4"/>
  <c r="AV1260" i="4"/>
  <c r="BA1259" i="4"/>
  <c r="AZ1259" i="4"/>
  <c r="AY1259" i="4"/>
  <c r="AV1259" i="4"/>
  <c r="BA1258" i="4"/>
  <c r="AZ1258" i="4"/>
  <c r="AY1258" i="4"/>
  <c r="AV1258" i="4"/>
  <c r="BA1257" i="4"/>
  <c r="AZ1257" i="4"/>
  <c r="AY1257" i="4"/>
  <c r="AV1257" i="4"/>
  <c r="BA1256" i="4"/>
  <c r="AZ1256" i="4"/>
  <c r="AY1256" i="4"/>
  <c r="AV1256" i="4"/>
  <c r="BA1255" i="4"/>
  <c r="AZ1255" i="4"/>
  <c r="AY1255" i="4"/>
  <c r="AV1255" i="4"/>
  <c r="BA1254" i="4"/>
  <c r="AZ1254" i="4"/>
  <c r="AY1254" i="4"/>
  <c r="AV1254" i="4"/>
  <c r="BA1253" i="4"/>
  <c r="AZ1253" i="4"/>
  <c r="AY1253" i="4"/>
  <c r="AV1253" i="4"/>
  <c r="BA1252" i="4"/>
  <c r="AZ1252" i="4"/>
  <c r="AY1252" i="4"/>
  <c r="AV1252" i="4"/>
  <c r="BA1251" i="4"/>
  <c r="AZ1251" i="4"/>
  <c r="AY1251" i="4"/>
  <c r="AV1251" i="4"/>
  <c r="BA1250" i="4"/>
  <c r="AZ1250" i="4"/>
  <c r="AY1250" i="4"/>
  <c r="AV1250" i="4"/>
  <c r="BA1249" i="4"/>
  <c r="AZ1249" i="4"/>
  <c r="AY1249" i="4"/>
  <c r="AV1249" i="4"/>
  <c r="BA1248" i="4"/>
  <c r="AZ1248" i="4"/>
  <c r="AY1248" i="4"/>
  <c r="AV1248" i="4"/>
  <c r="BA1247" i="4"/>
  <c r="AZ1247" i="4"/>
  <c r="AY1247" i="4"/>
  <c r="AV1247" i="4"/>
  <c r="BA1246" i="4"/>
  <c r="AZ1246" i="4"/>
  <c r="AY1246" i="4"/>
  <c r="AV1246" i="4"/>
  <c r="BA1245" i="4"/>
  <c r="AZ1245" i="4"/>
  <c r="AY1245" i="4"/>
  <c r="AV1245" i="4"/>
  <c r="BA1244" i="4"/>
  <c r="AZ1244" i="4"/>
  <c r="AY1244" i="4"/>
  <c r="AV1244" i="4"/>
  <c r="BA1243" i="4"/>
  <c r="AZ1243" i="4"/>
  <c r="AY1243" i="4"/>
  <c r="AV1243" i="4"/>
  <c r="BA1242" i="4"/>
  <c r="AZ1242" i="4"/>
  <c r="AY1242" i="4"/>
  <c r="AV1242" i="4"/>
  <c r="BA1241" i="4"/>
  <c r="AZ1241" i="4"/>
  <c r="AY1241" i="4"/>
  <c r="AV1241" i="4"/>
  <c r="BA1240" i="4"/>
  <c r="AZ1240" i="4"/>
  <c r="AY1240" i="4"/>
  <c r="AV1240" i="4"/>
  <c r="BA1239" i="4"/>
  <c r="AZ1239" i="4"/>
  <c r="AY1239" i="4"/>
  <c r="AV1239" i="4"/>
  <c r="BA1238" i="4"/>
  <c r="AZ1238" i="4"/>
  <c r="AY1238" i="4"/>
  <c r="AV1238" i="4"/>
  <c r="BA1237" i="4"/>
  <c r="AZ1237" i="4"/>
  <c r="AY1237" i="4"/>
  <c r="AV1237" i="4"/>
  <c r="BA1236" i="4"/>
  <c r="AZ1236" i="4"/>
  <c r="AY1236" i="4"/>
  <c r="AV1236" i="4"/>
  <c r="BA1235" i="4"/>
  <c r="AZ1235" i="4"/>
  <c r="AY1235" i="4"/>
  <c r="AV1235" i="4"/>
  <c r="BA1234" i="4"/>
  <c r="AZ1234" i="4"/>
  <c r="AY1234" i="4"/>
  <c r="AV1234" i="4"/>
  <c r="BA1233" i="4"/>
  <c r="AZ1233" i="4"/>
  <c r="AY1233" i="4"/>
  <c r="AV1233" i="4"/>
  <c r="BA1232" i="4"/>
  <c r="AZ1232" i="4"/>
  <c r="AY1232" i="4"/>
  <c r="AV1232" i="4"/>
  <c r="BA1231" i="4"/>
  <c r="AZ1231" i="4"/>
  <c r="AY1231" i="4"/>
  <c r="AV1231" i="4"/>
  <c r="BA1230" i="4"/>
  <c r="AZ1230" i="4"/>
  <c r="AY1230" i="4"/>
  <c r="AV1230" i="4"/>
  <c r="BA1229" i="4"/>
  <c r="AZ1229" i="4"/>
  <c r="AY1229" i="4"/>
  <c r="AV1229" i="4"/>
  <c r="BA1228" i="4"/>
  <c r="AZ1228" i="4"/>
  <c r="AY1228" i="4"/>
  <c r="AV1228" i="4"/>
  <c r="BA1227" i="4"/>
  <c r="AZ1227" i="4"/>
  <c r="AY1227" i="4"/>
  <c r="AV1227" i="4"/>
  <c r="BA1226" i="4"/>
  <c r="AZ1226" i="4"/>
  <c r="AY1226" i="4"/>
  <c r="AV1226" i="4"/>
  <c r="BA1225" i="4"/>
  <c r="AZ1225" i="4"/>
  <c r="AY1225" i="4"/>
  <c r="AV1225" i="4"/>
  <c r="BA1224" i="4"/>
  <c r="AZ1224" i="4"/>
  <c r="AY1224" i="4"/>
  <c r="AV1224" i="4"/>
  <c r="BA1223" i="4"/>
  <c r="AZ1223" i="4"/>
  <c r="AY1223" i="4"/>
  <c r="AV1223" i="4"/>
  <c r="BA1222" i="4"/>
  <c r="AZ1222" i="4"/>
  <c r="AY1222" i="4"/>
  <c r="AV1222" i="4"/>
  <c r="BA1221" i="4"/>
  <c r="AZ1221" i="4"/>
  <c r="AY1221" i="4"/>
  <c r="AV1221" i="4"/>
  <c r="BA1220" i="4"/>
  <c r="AZ1220" i="4"/>
  <c r="AY1220" i="4"/>
  <c r="AV1220" i="4"/>
  <c r="BA1219" i="4"/>
  <c r="AZ1219" i="4"/>
  <c r="AY1219" i="4"/>
  <c r="AV1219" i="4"/>
  <c r="BA1218" i="4"/>
  <c r="AZ1218" i="4"/>
  <c r="AY1218" i="4"/>
  <c r="AV1218" i="4"/>
  <c r="BA1217" i="4"/>
  <c r="AZ1217" i="4"/>
  <c r="AY1217" i="4"/>
  <c r="AV1217" i="4"/>
  <c r="BA1216" i="4"/>
  <c r="AZ1216" i="4"/>
  <c r="AY1216" i="4"/>
  <c r="AV1216" i="4"/>
  <c r="BA1215" i="4"/>
  <c r="AZ1215" i="4"/>
  <c r="AY1215" i="4"/>
  <c r="AV1215" i="4"/>
  <c r="BA1214" i="4"/>
  <c r="AZ1214" i="4"/>
  <c r="AY1214" i="4"/>
  <c r="AV1214" i="4"/>
  <c r="BA1213" i="4"/>
  <c r="AZ1213" i="4"/>
  <c r="AY1213" i="4"/>
  <c r="AV1213" i="4"/>
  <c r="BA1212" i="4"/>
  <c r="AZ1212" i="4"/>
  <c r="AY1212" i="4"/>
  <c r="AV1212" i="4"/>
  <c r="BA1211" i="4"/>
  <c r="AZ1211" i="4"/>
  <c r="AY1211" i="4"/>
  <c r="AV1211" i="4"/>
  <c r="BA1210" i="4"/>
  <c r="AZ1210" i="4"/>
  <c r="AY1210" i="4"/>
  <c r="AV1210" i="4"/>
  <c r="BA1209" i="4"/>
  <c r="AZ1209" i="4"/>
  <c r="AY1209" i="4"/>
  <c r="AV1209" i="4"/>
  <c r="BA1208" i="4"/>
  <c r="AZ1208" i="4"/>
  <c r="AY1208" i="4"/>
  <c r="AV1208" i="4"/>
  <c r="BA1207" i="4"/>
  <c r="AZ1207" i="4"/>
  <c r="AY1207" i="4"/>
  <c r="AV1207" i="4"/>
  <c r="BA1206" i="4"/>
  <c r="AZ1206" i="4"/>
  <c r="AY1206" i="4"/>
  <c r="AV1206" i="4"/>
  <c r="BA1205" i="4"/>
  <c r="AZ1205" i="4"/>
  <c r="AY1205" i="4"/>
  <c r="AV1205" i="4"/>
  <c r="BA1204" i="4"/>
  <c r="AZ1204" i="4"/>
  <c r="AY1204" i="4"/>
  <c r="AV1204" i="4"/>
  <c r="BA1203" i="4"/>
  <c r="AZ1203" i="4"/>
  <c r="AY1203" i="4"/>
  <c r="AV1203" i="4"/>
  <c r="BA1202" i="4"/>
  <c r="AZ1202" i="4"/>
  <c r="AY1202" i="4"/>
  <c r="AV1202" i="4"/>
  <c r="BA1201" i="4"/>
  <c r="AZ1201" i="4"/>
  <c r="AY1201" i="4"/>
  <c r="AV1201" i="4"/>
  <c r="BA1200" i="4"/>
  <c r="AZ1200" i="4"/>
  <c r="AY1200" i="4"/>
  <c r="AV1200" i="4"/>
  <c r="BA1199" i="4"/>
  <c r="AZ1199" i="4"/>
  <c r="AY1199" i="4"/>
  <c r="AV1199" i="4"/>
  <c r="BA1198" i="4"/>
  <c r="AZ1198" i="4"/>
  <c r="AY1198" i="4"/>
  <c r="AV1198" i="4"/>
  <c r="BA1197" i="4"/>
  <c r="AZ1197" i="4"/>
  <c r="AY1197" i="4"/>
  <c r="AV1197" i="4"/>
  <c r="BA1196" i="4"/>
  <c r="AZ1196" i="4"/>
  <c r="AY1196" i="4"/>
  <c r="AV1196" i="4"/>
  <c r="BA1195" i="4"/>
  <c r="AZ1195" i="4"/>
  <c r="AY1195" i="4"/>
  <c r="AV1195" i="4"/>
  <c r="BA1194" i="4"/>
  <c r="AZ1194" i="4"/>
  <c r="AY1194" i="4"/>
  <c r="AV1194" i="4"/>
  <c r="BA1193" i="4"/>
  <c r="AZ1193" i="4"/>
  <c r="AY1193" i="4"/>
  <c r="AV1193" i="4"/>
  <c r="BA1192" i="4"/>
  <c r="AZ1192" i="4"/>
  <c r="AY1192" i="4"/>
  <c r="AV1192" i="4"/>
  <c r="BA1191" i="4"/>
  <c r="AZ1191" i="4"/>
  <c r="AY1191" i="4"/>
  <c r="AV1191" i="4"/>
  <c r="BA1190" i="4"/>
  <c r="AZ1190" i="4"/>
  <c r="AY1190" i="4"/>
  <c r="AV1190" i="4"/>
  <c r="BA1189" i="4"/>
  <c r="AZ1189" i="4"/>
  <c r="AY1189" i="4"/>
  <c r="AV1189" i="4"/>
  <c r="BA1188" i="4"/>
  <c r="AZ1188" i="4"/>
  <c r="AY1188" i="4"/>
  <c r="AV1188" i="4"/>
  <c r="BA1187" i="4"/>
  <c r="AZ1187" i="4"/>
  <c r="AY1187" i="4"/>
  <c r="AV1187" i="4"/>
  <c r="BA1186" i="4"/>
  <c r="AZ1186" i="4"/>
  <c r="AY1186" i="4"/>
  <c r="AV1186" i="4"/>
  <c r="BA1185" i="4"/>
  <c r="AZ1185" i="4"/>
  <c r="AY1185" i="4"/>
  <c r="AV1185" i="4"/>
  <c r="BA1184" i="4"/>
  <c r="AZ1184" i="4"/>
  <c r="AY1184" i="4"/>
  <c r="AV1184" i="4"/>
  <c r="BA1183" i="4"/>
  <c r="AZ1183" i="4"/>
  <c r="AY1183" i="4"/>
  <c r="AV1183" i="4"/>
  <c r="BA1182" i="4"/>
  <c r="AZ1182" i="4"/>
  <c r="AY1182" i="4"/>
  <c r="AV1182" i="4"/>
  <c r="BA1181" i="4"/>
  <c r="AZ1181" i="4"/>
  <c r="AY1181" i="4"/>
  <c r="AV1181" i="4"/>
  <c r="BA1180" i="4"/>
  <c r="AZ1180" i="4"/>
  <c r="AY1180" i="4"/>
  <c r="AV1180" i="4"/>
  <c r="BA1179" i="4"/>
  <c r="AZ1179" i="4"/>
  <c r="AY1179" i="4"/>
  <c r="AV1179" i="4"/>
  <c r="BA1178" i="4"/>
  <c r="AZ1178" i="4"/>
  <c r="AY1178" i="4"/>
  <c r="AV1178" i="4"/>
  <c r="BA1177" i="4"/>
  <c r="AZ1177" i="4"/>
  <c r="AY1177" i="4"/>
  <c r="AV1177" i="4"/>
  <c r="BA1176" i="4"/>
  <c r="AZ1176" i="4"/>
  <c r="AY1176" i="4"/>
  <c r="AV1176" i="4"/>
  <c r="BA1175" i="4"/>
  <c r="AZ1175" i="4"/>
  <c r="AY1175" i="4"/>
  <c r="AV1175" i="4"/>
  <c r="BA1174" i="4"/>
  <c r="AZ1174" i="4"/>
  <c r="AY1174" i="4"/>
  <c r="AV1174" i="4"/>
  <c r="BA1173" i="4"/>
  <c r="AZ1173" i="4"/>
  <c r="AY1173" i="4"/>
  <c r="AV1173" i="4"/>
  <c r="BA1172" i="4"/>
  <c r="AZ1172" i="4"/>
  <c r="AY1172" i="4"/>
  <c r="AV1172" i="4"/>
  <c r="BA1171" i="4"/>
  <c r="AZ1171" i="4"/>
  <c r="AY1171" i="4"/>
  <c r="AV1171" i="4"/>
  <c r="BA1170" i="4"/>
  <c r="AZ1170" i="4"/>
  <c r="AY1170" i="4"/>
  <c r="AV1170" i="4"/>
  <c r="BA1169" i="4"/>
  <c r="AZ1169" i="4"/>
  <c r="AY1169" i="4"/>
  <c r="AV1169" i="4"/>
  <c r="BA1168" i="4"/>
  <c r="AZ1168" i="4"/>
  <c r="AY1168" i="4"/>
  <c r="AV1168" i="4"/>
  <c r="BA1167" i="4"/>
  <c r="AZ1167" i="4"/>
  <c r="AY1167" i="4"/>
  <c r="AV1167" i="4"/>
  <c r="BA1166" i="4"/>
  <c r="AZ1166" i="4"/>
  <c r="AY1166" i="4"/>
  <c r="AV1166" i="4"/>
  <c r="BA1165" i="4"/>
  <c r="AZ1165" i="4"/>
  <c r="AY1165" i="4"/>
  <c r="AV1165" i="4"/>
  <c r="BA1164" i="4"/>
  <c r="AZ1164" i="4"/>
  <c r="AY1164" i="4"/>
  <c r="AV1164" i="4"/>
  <c r="BA1163" i="4"/>
  <c r="AZ1163" i="4"/>
  <c r="AY1163" i="4"/>
  <c r="AV1163" i="4"/>
  <c r="BA1162" i="4"/>
  <c r="AZ1162" i="4"/>
  <c r="AY1162" i="4"/>
  <c r="AV1162" i="4"/>
  <c r="BA1161" i="4"/>
  <c r="AZ1161" i="4"/>
  <c r="AY1161" i="4"/>
  <c r="AV1161" i="4"/>
  <c r="BA1160" i="4"/>
  <c r="AZ1160" i="4"/>
  <c r="AY1160" i="4"/>
  <c r="AV1160" i="4"/>
  <c r="BA1159" i="4"/>
  <c r="AZ1159" i="4"/>
  <c r="AY1159" i="4"/>
  <c r="AV1159" i="4"/>
  <c r="BA1158" i="4"/>
  <c r="AZ1158" i="4"/>
  <c r="AY1158" i="4"/>
  <c r="AV1158" i="4"/>
  <c r="BA1157" i="4"/>
  <c r="AZ1157" i="4"/>
  <c r="AY1157" i="4"/>
  <c r="AV1157" i="4"/>
  <c r="BA1156" i="4"/>
  <c r="AZ1156" i="4"/>
  <c r="AY1156" i="4"/>
  <c r="AV1156" i="4"/>
  <c r="BA1155" i="4"/>
  <c r="AZ1155" i="4"/>
  <c r="AY1155" i="4"/>
  <c r="AV1155" i="4"/>
  <c r="BA1154" i="4"/>
  <c r="AZ1154" i="4"/>
  <c r="AY1154" i="4"/>
  <c r="AV1154" i="4"/>
  <c r="BA1153" i="4"/>
  <c r="AZ1153" i="4"/>
  <c r="AY1153" i="4"/>
  <c r="AV1153" i="4"/>
  <c r="BA1152" i="4"/>
  <c r="AZ1152" i="4"/>
  <c r="AY1152" i="4"/>
  <c r="AV1152" i="4"/>
  <c r="BA1151" i="4"/>
  <c r="AZ1151" i="4"/>
  <c r="AY1151" i="4"/>
  <c r="AV1151" i="4"/>
  <c r="BA1150" i="4"/>
  <c r="AZ1150" i="4"/>
  <c r="AY1150" i="4"/>
  <c r="AV1150" i="4"/>
  <c r="BA1149" i="4"/>
  <c r="AZ1149" i="4"/>
  <c r="AY1149" i="4"/>
  <c r="AV1149" i="4"/>
  <c r="BA1148" i="4"/>
  <c r="AZ1148" i="4"/>
  <c r="AY1148" i="4"/>
  <c r="AV1148" i="4"/>
  <c r="BA1147" i="4"/>
  <c r="AZ1147" i="4"/>
  <c r="AY1147" i="4"/>
  <c r="AV1147" i="4"/>
  <c r="BA1146" i="4"/>
  <c r="AZ1146" i="4"/>
  <c r="AY1146" i="4"/>
  <c r="AV1146" i="4"/>
  <c r="BA1145" i="4"/>
  <c r="AZ1145" i="4"/>
  <c r="AY1145" i="4"/>
  <c r="AV1145" i="4"/>
  <c r="BA1144" i="4"/>
  <c r="AZ1144" i="4"/>
  <c r="AY1144" i="4"/>
  <c r="AV1144" i="4"/>
  <c r="BA1143" i="4"/>
  <c r="AZ1143" i="4"/>
  <c r="AY1143" i="4"/>
  <c r="AV1143" i="4"/>
  <c r="BA1142" i="4"/>
  <c r="AZ1142" i="4"/>
  <c r="AY1142" i="4"/>
  <c r="AV1142" i="4"/>
  <c r="BA1141" i="4"/>
  <c r="AZ1141" i="4"/>
  <c r="AY1141" i="4"/>
  <c r="AV1141" i="4"/>
  <c r="BA1140" i="4"/>
  <c r="AZ1140" i="4"/>
  <c r="AY1140" i="4"/>
  <c r="AV1140" i="4"/>
  <c r="BA1139" i="4"/>
  <c r="AZ1139" i="4"/>
  <c r="AY1139" i="4"/>
  <c r="AV1139" i="4"/>
  <c r="BA1138" i="4"/>
  <c r="AZ1138" i="4"/>
  <c r="AY1138" i="4"/>
  <c r="AV1138" i="4"/>
  <c r="BA1137" i="4"/>
  <c r="AZ1137" i="4"/>
  <c r="AY1137" i="4"/>
  <c r="AV1137" i="4"/>
  <c r="BA1136" i="4"/>
  <c r="AZ1136" i="4"/>
  <c r="AY1136" i="4"/>
  <c r="AV1136" i="4"/>
  <c r="BA1135" i="4"/>
  <c r="AZ1135" i="4"/>
  <c r="AY1135" i="4"/>
  <c r="AV1135" i="4"/>
  <c r="BA1134" i="4"/>
  <c r="AZ1134" i="4"/>
  <c r="AY1134" i="4"/>
  <c r="AV1134" i="4"/>
  <c r="BA1133" i="4"/>
  <c r="AZ1133" i="4"/>
  <c r="AY1133" i="4"/>
  <c r="AV1133" i="4"/>
  <c r="BA1132" i="4"/>
  <c r="AZ1132" i="4"/>
  <c r="AY1132" i="4"/>
  <c r="AV1132" i="4"/>
  <c r="BA1131" i="4"/>
  <c r="AZ1131" i="4"/>
  <c r="AY1131" i="4"/>
  <c r="AV1131" i="4"/>
  <c r="BA1130" i="4"/>
  <c r="AZ1130" i="4"/>
  <c r="AY1130" i="4"/>
  <c r="AV1130" i="4"/>
  <c r="BA1129" i="4"/>
  <c r="AZ1129" i="4"/>
  <c r="AY1129" i="4"/>
  <c r="AV1129" i="4"/>
  <c r="BA1128" i="4"/>
  <c r="AZ1128" i="4"/>
  <c r="AY1128" i="4"/>
  <c r="AV1128" i="4"/>
  <c r="BA1127" i="4"/>
  <c r="AZ1127" i="4"/>
  <c r="AY1127" i="4"/>
  <c r="AV1127" i="4"/>
  <c r="BA1126" i="4"/>
  <c r="AZ1126" i="4"/>
  <c r="AY1126" i="4"/>
  <c r="AV1126" i="4"/>
  <c r="BA1125" i="4"/>
  <c r="AZ1125" i="4"/>
  <c r="AY1125" i="4"/>
  <c r="AV1125" i="4"/>
  <c r="BA1124" i="4"/>
  <c r="AZ1124" i="4"/>
  <c r="AY1124" i="4"/>
  <c r="AV1124" i="4"/>
  <c r="BA1123" i="4"/>
  <c r="AZ1123" i="4"/>
  <c r="AY1123" i="4"/>
  <c r="AV1123" i="4"/>
  <c r="BA1122" i="4"/>
  <c r="AZ1122" i="4"/>
  <c r="AY1122" i="4"/>
  <c r="AV1122" i="4"/>
  <c r="BA1121" i="4"/>
  <c r="AZ1121" i="4"/>
  <c r="AY1121" i="4"/>
  <c r="AV1121" i="4"/>
  <c r="BA1120" i="4"/>
  <c r="AZ1120" i="4"/>
  <c r="AY1120" i="4"/>
  <c r="AV1120" i="4"/>
  <c r="BA1119" i="4"/>
  <c r="AZ1119" i="4"/>
  <c r="AY1119" i="4"/>
  <c r="AV1119" i="4"/>
  <c r="BA1118" i="4"/>
  <c r="AZ1118" i="4"/>
  <c r="AY1118" i="4"/>
  <c r="AV1118" i="4"/>
  <c r="BA1117" i="4"/>
  <c r="AZ1117" i="4"/>
  <c r="AY1117" i="4"/>
  <c r="AV1117" i="4"/>
  <c r="BA1116" i="4"/>
  <c r="AZ1116" i="4"/>
  <c r="AY1116" i="4"/>
  <c r="AV1116" i="4"/>
  <c r="BA1115" i="4"/>
  <c r="AZ1115" i="4"/>
  <c r="AY1115" i="4"/>
  <c r="AV1115" i="4"/>
  <c r="BA1114" i="4"/>
  <c r="AZ1114" i="4"/>
  <c r="AY1114" i="4"/>
  <c r="AV1114" i="4"/>
  <c r="BA1113" i="4"/>
  <c r="AZ1113" i="4"/>
  <c r="AY1113" i="4"/>
  <c r="AV1113" i="4"/>
  <c r="BA1112" i="4"/>
  <c r="AZ1112" i="4"/>
  <c r="AY1112" i="4"/>
  <c r="AV1112" i="4"/>
  <c r="BA1111" i="4"/>
  <c r="AZ1111" i="4"/>
  <c r="AY1111" i="4"/>
  <c r="AV1111" i="4"/>
  <c r="BA1110" i="4"/>
  <c r="AZ1110" i="4"/>
  <c r="AY1110" i="4"/>
  <c r="AV1110" i="4"/>
  <c r="BA1109" i="4"/>
  <c r="AZ1109" i="4"/>
  <c r="AY1109" i="4"/>
  <c r="AV1109" i="4"/>
  <c r="BA1108" i="4"/>
  <c r="AZ1108" i="4"/>
  <c r="AY1108" i="4"/>
  <c r="AV1108" i="4"/>
  <c r="BA1107" i="4"/>
  <c r="AZ1107" i="4"/>
  <c r="AY1107" i="4"/>
  <c r="AV1107" i="4"/>
  <c r="BA1106" i="4"/>
  <c r="AZ1106" i="4"/>
  <c r="AY1106" i="4"/>
  <c r="AV1106" i="4"/>
  <c r="BA1105" i="4"/>
  <c r="AZ1105" i="4"/>
  <c r="AY1105" i="4"/>
  <c r="AV1105" i="4"/>
  <c r="BA1104" i="4"/>
  <c r="AZ1104" i="4"/>
  <c r="AY1104" i="4"/>
  <c r="AV1104" i="4"/>
  <c r="BA1103" i="4"/>
  <c r="AZ1103" i="4"/>
  <c r="AY1103" i="4"/>
  <c r="AV1103" i="4"/>
  <c r="BA1102" i="4"/>
  <c r="AZ1102" i="4"/>
  <c r="AY1102" i="4"/>
  <c r="AV1102" i="4"/>
  <c r="BA1101" i="4"/>
  <c r="AZ1101" i="4"/>
  <c r="AY1101" i="4"/>
  <c r="AV1101" i="4"/>
  <c r="BA1100" i="4"/>
  <c r="AZ1100" i="4"/>
  <c r="AY1100" i="4"/>
  <c r="AV1100" i="4"/>
  <c r="BA1099" i="4"/>
  <c r="AZ1099" i="4"/>
  <c r="AY1099" i="4"/>
  <c r="AV1099" i="4"/>
  <c r="BA1098" i="4"/>
  <c r="AZ1098" i="4"/>
  <c r="AY1098" i="4"/>
  <c r="AV1098" i="4"/>
  <c r="BA1097" i="4"/>
  <c r="AZ1097" i="4"/>
  <c r="AY1097" i="4"/>
  <c r="AV1097" i="4"/>
  <c r="BA1096" i="4"/>
  <c r="AZ1096" i="4"/>
  <c r="AY1096" i="4"/>
  <c r="AV1096" i="4"/>
  <c r="BA1095" i="4"/>
  <c r="AZ1095" i="4"/>
  <c r="AY1095" i="4"/>
  <c r="AV1095" i="4"/>
  <c r="BA1094" i="4"/>
  <c r="AZ1094" i="4"/>
  <c r="AY1094" i="4"/>
  <c r="AV1094" i="4"/>
  <c r="BA1093" i="4"/>
  <c r="AZ1093" i="4"/>
  <c r="AY1093" i="4"/>
  <c r="AV1093" i="4"/>
  <c r="BA1092" i="4"/>
  <c r="AZ1092" i="4"/>
  <c r="AY1092" i="4"/>
  <c r="AV1092" i="4"/>
  <c r="BA1091" i="4"/>
  <c r="AZ1091" i="4"/>
  <c r="AY1091" i="4"/>
  <c r="AV1091" i="4"/>
  <c r="BA1090" i="4"/>
  <c r="AZ1090" i="4"/>
  <c r="AY1090" i="4"/>
  <c r="AV1090" i="4"/>
  <c r="BA1089" i="4"/>
  <c r="AZ1089" i="4"/>
  <c r="AY1089" i="4"/>
  <c r="AV1089" i="4"/>
  <c r="BA1088" i="4"/>
  <c r="AZ1088" i="4"/>
  <c r="AY1088" i="4"/>
  <c r="AV1088" i="4"/>
  <c r="BA1087" i="4"/>
  <c r="AZ1087" i="4"/>
  <c r="AY1087" i="4"/>
  <c r="AV1087" i="4"/>
  <c r="BA1086" i="4"/>
  <c r="AZ1086" i="4"/>
  <c r="AY1086" i="4"/>
  <c r="AV1086" i="4"/>
  <c r="BA1085" i="4"/>
  <c r="AZ1085" i="4"/>
  <c r="AY1085" i="4"/>
  <c r="AV1085" i="4"/>
  <c r="BA1084" i="4"/>
  <c r="AZ1084" i="4"/>
  <c r="AY1084" i="4"/>
  <c r="AV1084" i="4"/>
  <c r="BA1083" i="4"/>
  <c r="AZ1083" i="4"/>
  <c r="AY1083" i="4"/>
  <c r="AV1083" i="4"/>
  <c r="BA1082" i="4"/>
  <c r="AZ1082" i="4"/>
  <c r="AY1082" i="4"/>
  <c r="AV1082" i="4"/>
  <c r="BA1081" i="4"/>
  <c r="AZ1081" i="4"/>
  <c r="AY1081" i="4"/>
  <c r="AV1081" i="4"/>
  <c r="BA1080" i="4"/>
  <c r="AZ1080" i="4"/>
  <c r="AY1080" i="4"/>
  <c r="AV1080" i="4"/>
  <c r="BA1079" i="4"/>
  <c r="AZ1079" i="4"/>
  <c r="AY1079" i="4"/>
  <c r="AV1079" i="4"/>
  <c r="BA1078" i="4"/>
  <c r="AZ1078" i="4"/>
  <c r="AY1078" i="4"/>
  <c r="AV1078" i="4"/>
  <c r="BA1077" i="4"/>
  <c r="AZ1077" i="4"/>
  <c r="AY1077" i="4"/>
  <c r="AV1077" i="4"/>
  <c r="BA1076" i="4"/>
  <c r="AZ1076" i="4"/>
  <c r="AY1076" i="4"/>
  <c r="AV1076" i="4"/>
  <c r="BA1075" i="4"/>
  <c r="AZ1075" i="4"/>
  <c r="AY1075" i="4"/>
  <c r="AV1075" i="4"/>
  <c r="BA1074" i="4"/>
  <c r="AZ1074" i="4"/>
  <c r="AY1074" i="4"/>
  <c r="AV1074" i="4"/>
  <c r="BA1073" i="4"/>
  <c r="AZ1073" i="4"/>
  <c r="AY1073" i="4"/>
  <c r="AV1073" i="4"/>
  <c r="BA1072" i="4"/>
  <c r="AZ1072" i="4"/>
  <c r="AY1072" i="4"/>
  <c r="AV1072" i="4"/>
  <c r="BA1071" i="4"/>
  <c r="AZ1071" i="4"/>
  <c r="AY1071" i="4"/>
  <c r="AV1071" i="4"/>
  <c r="BA1070" i="4"/>
  <c r="AZ1070" i="4"/>
  <c r="AY1070" i="4"/>
  <c r="AV1070" i="4"/>
  <c r="BA1069" i="4"/>
  <c r="AZ1069" i="4"/>
  <c r="AY1069" i="4"/>
  <c r="AV1069" i="4"/>
  <c r="BA1068" i="4"/>
  <c r="AZ1068" i="4"/>
  <c r="AY1068" i="4"/>
  <c r="AV1068" i="4"/>
  <c r="BA1067" i="4"/>
  <c r="AZ1067" i="4"/>
  <c r="AY1067" i="4"/>
  <c r="AV1067" i="4"/>
  <c r="BA1066" i="4"/>
  <c r="AZ1066" i="4"/>
  <c r="AY1066" i="4"/>
  <c r="AV1066" i="4"/>
  <c r="BA1065" i="4"/>
  <c r="AZ1065" i="4"/>
  <c r="AY1065" i="4"/>
  <c r="AV1065" i="4"/>
  <c r="BA1064" i="4"/>
  <c r="AZ1064" i="4"/>
  <c r="AY1064" i="4"/>
  <c r="AV1064" i="4"/>
  <c r="BA1063" i="4"/>
  <c r="AZ1063" i="4"/>
  <c r="AY1063" i="4"/>
  <c r="AV1063" i="4"/>
  <c r="BA1062" i="4"/>
  <c r="AZ1062" i="4"/>
  <c r="AY1062" i="4"/>
  <c r="AV1062" i="4"/>
  <c r="BA1061" i="4"/>
  <c r="AZ1061" i="4"/>
  <c r="AY1061" i="4"/>
  <c r="AV1061" i="4"/>
  <c r="BA1060" i="4"/>
  <c r="AZ1060" i="4"/>
  <c r="AY1060" i="4"/>
  <c r="AV1060" i="4"/>
  <c r="BA1059" i="4"/>
  <c r="AZ1059" i="4"/>
  <c r="AY1059" i="4"/>
  <c r="AV1059" i="4"/>
  <c r="BA1058" i="4"/>
  <c r="AZ1058" i="4"/>
  <c r="AY1058" i="4"/>
  <c r="AV1058" i="4"/>
  <c r="BA1057" i="4"/>
  <c r="AZ1057" i="4"/>
  <c r="AY1057" i="4"/>
  <c r="AV1057" i="4"/>
  <c r="BA1056" i="4"/>
  <c r="AZ1056" i="4"/>
  <c r="AY1056" i="4"/>
  <c r="AV1056" i="4"/>
  <c r="BA1055" i="4"/>
  <c r="AZ1055" i="4"/>
  <c r="AY1055" i="4"/>
  <c r="AV1055" i="4"/>
  <c r="BA1054" i="4"/>
  <c r="AZ1054" i="4"/>
  <c r="AY1054" i="4"/>
  <c r="AV1054" i="4"/>
  <c r="BA1053" i="4"/>
  <c r="AZ1053" i="4"/>
  <c r="AY1053" i="4"/>
  <c r="AV1053" i="4"/>
  <c r="BA1052" i="4"/>
  <c r="AZ1052" i="4"/>
  <c r="AY1052" i="4"/>
  <c r="AV1052" i="4"/>
  <c r="BA1051" i="4"/>
  <c r="AZ1051" i="4"/>
  <c r="AY1051" i="4"/>
  <c r="AV1051" i="4"/>
  <c r="BA1050" i="4"/>
  <c r="AZ1050" i="4"/>
  <c r="AY1050" i="4"/>
  <c r="AV1050" i="4"/>
  <c r="BA1049" i="4"/>
  <c r="AZ1049" i="4"/>
  <c r="AY1049" i="4"/>
  <c r="AV1049" i="4"/>
  <c r="BA1048" i="4"/>
  <c r="AZ1048" i="4"/>
  <c r="AY1048" i="4"/>
  <c r="AV1048" i="4"/>
  <c r="BA1047" i="4"/>
  <c r="AZ1047" i="4"/>
  <c r="AY1047" i="4"/>
  <c r="AV1047" i="4"/>
  <c r="BA1046" i="4"/>
  <c r="AZ1046" i="4"/>
  <c r="AY1046" i="4"/>
  <c r="AV1046" i="4"/>
  <c r="BA1045" i="4"/>
  <c r="AZ1045" i="4"/>
  <c r="AY1045" i="4"/>
  <c r="AV1045" i="4"/>
  <c r="BA1044" i="4"/>
  <c r="AZ1044" i="4"/>
  <c r="AY1044" i="4"/>
  <c r="AV1044" i="4"/>
  <c r="BA1043" i="4"/>
  <c r="AZ1043" i="4"/>
  <c r="AY1043" i="4"/>
  <c r="AV1043" i="4"/>
  <c r="BA1042" i="4"/>
  <c r="AZ1042" i="4"/>
  <c r="AY1042" i="4"/>
  <c r="AV1042" i="4"/>
  <c r="BA1041" i="4"/>
  <c r="AZ1041" i="4"/>
  <c r="AY1041" i="4"/>
  <c r="AV1041" i="4"/>
  <c r="BA1040" i="4"/>
  <c r="AZ1040" i="4"/>
  <c r="AY1040" i="4"/>
  <c r="AV1040" i="4"/>
  <c r="BA1039" i="4"/>
  <c r="AZ1039" i="4"/>
  <c r="AY1039" i="4"/>
  <c r="AV1039" i="4"/>
  <c r="BA1038" i="4"/>
  <c r="AZ1038" i="4"/>
  <c r="AY1038" i="4"/>
  <c r="AV1038" i="4"/>
  <c r="BA1037" i="4"/>
  <c r="AZ1037" i="4"/>
  <c r="AY1037" i="4"/>
  <c r="AV1037" i="4"/>
  <c r="BA1036" i="4"/>
  <c r="AZ1036" i="4"/>
  <c r="AY1036" i="4"/>
  <c r="AV1036" i="4"/>
  <c r="BA1035" i="4"/>
  <c r="AZ1035" i="4"/>
  <c r="AY1035" i="4"/>
  <c r="AV1035" i="4"/>
  <c r="BA1034" i="4"/>
  <c r="AZ1034" i="4"/>
  <c r="AY1034" i="4"/>
  <c r="AV1034" i="4"/>
  <c r="BA1033" i="4"/>
  <c r="AZ1033" i="4"/>
  <c r="AY1033" i="4"/>
  <c r="AV1033" i="4"/>
  <c r="BA1032" i="4"/>
  <c r="AZ1032" i="4"/>
  <c r="AY1032" i="4"/>
  <c r="AV1032" i="4"/>
  <c r="BA1031" i="4"/>
  <c r="AZ1031" i="4"/>
  <c r="AY1031" i="4"/>
  <c r="AV1031" i="4"/>
  <c r="BA1030" i="4"/>
  <c r="AZ1030" i="4"/>
  <c r="AY1030" i="4"/>
  <c r="AV1030" i="4"/>
  <c r="BA1029" i="4"/>
  <c r="AZ1029" i="4"/>
  <c r="AY1029" i="4"/>
  <c r="AV1029" i="4"/>
  <c r="BA1028" i="4"/>
  <c r="AZ1028" i="4"/>
  <c r="AY1028" i="4"/>
  <c r="AV1028" i="4"/>
  <c r="BA1027" i="4"/>
  <c r="AZ1027" i="4"/>
  <c r="AY1027" i="4"/>
  <c r="AV1027" i="4"/>
  <c r="BA1026" i="4"/>
  <c r="AZ1026" i="4"/>
  <c r="AY1026" i="4"/>
  <c r="AV1026" i="4"/>
  <c r="BA1025" i="4"/>
  <c r="AZ1025" i="4"/>
  <c r="AY1025" i="4"/>
  <c r="AV1025" i="4"/>
  <c r="BA1024" i="4"/>
  <c r="AZ1024" i="4"/>
  <c r="AY1024" i="4"/>
  <c r="AV1024" i="4"/>
  <c r="BA1023" i="4"/>
  <c r="AZ1023" i="4"/>
  <c r="AY1023" i="4"/>
  <c r="AV1023" i="4"/>
  <c r="BA1022" i="4"/>
  <c r="AZ1022" i="4"/>
  <c r="AY1022" i="4"/>
  <c r="AV1022" i="4"/>
  <c r="BA1021" i="4"/>
  <c r="AZ1021" i="4"/>
  <c r="AY1021" i="4"/>
  <c r="AV1021" i="4"/>
  <c r="BA1020" i="4"/>
  <c r="AZ1020" i="4"/>
  <c r="AY1020" i="4"/>
  <c r="AV1020" i="4"/>
  <c r="BA1019" i="4"/>
  <c r="AZ1019" i="4"/>
  <c r="AY1019" i="4"/>
  <c r="AV1019" i="4"/>
  <c r="BA1018" i="4"/>
  <c r="AZ1018" i="4"/>
  <c r="AY1018" i="4"/>
  <c r="AV1018" i="4"/>
  <c r="BA1017" i="4"/>
  <c r="AZ1017" i="4"/>
  <c r="AY1017" i="4"/>
  <c r="AV1017" i="4"/>
  <c r="BA1016" i="4"/>
  <c r="AZ1016" i="4"/>
  <c r="AY1016" i="4"/>
  <c r="AV1016" i="4"/>
  <c r="BA1015" i="4"/>
  <c r="AZ1015" i="4"/>
  <c r="AY1015" i="4"/>
  <c r="AV1015" i="4"/>
  <c r="BA1014" i="4"/>
  <c r="AZ1014" i="4"/>
  <c r="AY1014" i="4"/>
  <c r="AV1014" i="4"/>
  <c r="BA1013" i="4"/>
  <c r="AZ1013" i="4"/>
  <c r="AY1013" i="4"/>
  <c r="AV1013" i="4"/>
  <c r="BA1012" i="4"/>
  <c r="AZ1012" i="4"/>
  <c r="AY1012" i="4"/>
  <c r="AV1012" i="4"/>
  <c r="BA1011" i="4"/>
  <c r="AZ1011" i="4"/>
  <c r="AY1011" i="4"/>
  <c r="AV1011" i="4"/>
  <c r="BA1010" i="4"/>
  <c r="AZ1010" i="4"/>
  <c r="AY1010" i="4"/>
  <c r="AV1010" i="4"/>
  <c r="BA1009" i="4"/>
  <c r="AZ1009" i="4"/>
  <c r="AY1009" i="4"/>
  <c r="AV1009" i="4"/>
  <c r="BA1008" i="4"/>
  <c r="AZ1008" i="4"/>
  <c r="AY1008" i="4"/>
  <c r="AV1008" i="4"/>
  <c r="BA1007" i="4"/>
  <c r="AZ1007" i="4"/>
  <c r="AY1007" i="4"/>
  <c r="AV1007" i="4"/>
  <c r="BA1006" i="4"/>
  <c r="AZ1006" i="4"/>
  <c r="AY1006" i="4"/>
  <c r="AV1006" i="4"/>
  <c r="BA1005" i="4"/>
  <c r="AZ1005" i="4"/>
  <c r="AY1005" i="4"/>
  <c r="AV1005" i="4"/>
  <c r="BA1004" i="4"/>
  <c r="AZ1004" i="4"/>
  <c r="AY1004" i="4"/>
  <c r="AV1004" i="4"/>
  <c r="BA1003" i="4"/>
  <c r="AZ1003" i="4"/>
  <c r="AY1003" i="4"/>
  <c r="AV1003" i="4"/>
  <c r="BA1002" i="4"/>
  <c r="AZ1002" i="4"/>
  <c r="AY1002" i="4"/>
  <c r="AV1002" i="4"/>
  <c r="BA1001" i="4"/>
  <c r="AZ1001" i="4"/>
  <c r="AY1001" i="4"/>
  <c r="AV1001" i="4"/>
  <c r="BA1000" i="4"/>
  <c r="AZ1000" i="4"/>
  <c r="AY1000" i="4"/>
  <c r="AV1000" i="4"/>
  <c r="BA999" i="4"/>
  <c r="AZ999" i="4"/>
  <c r="AY999" i="4"/>
  <c r="AV999" i="4"/>
  <c r="BA998" i="4"/>
  <c r="AZ998" i="4"/>
  <c r="AY998" i="4"/>
  <c r="AV998" i="4"/>
  <c r="BA997" i="4"/>
  <c r="AZ997" i="4"/>
  <c r="AY997" i="4"/>
  <c r="AV997" i="4"/>
  <c r="BA996" i="4"/>
  <c r="AZ996" i="4"/>
  <c r="AY996" i="4"/>
  <c r="AV996" i="4"/>
  <c r="BA995" i="4"/>
  <c r="AZ995" i="4"/>
  <c r="AY995" i="4"/>
  <c r="AV995" i="4"/>
  <c r="BA994" i="4"/>
  <c r="AZ994" i="4"/>
  <c r="AY994" i="4"/>
  <c r="AV994" i="4"/>
  <c r="BA993" i="4"/>
  <c r="AZ993" i="4"/>
  <c r="AY993" i="4"/>
  <c r="AV993" i="4"/>
  <c r="BA992" i="4"/>
  <c r="AZ992" i="4"/>
  <c r="AY992" i="4"/>
  <c r="AV992" i="4"/>
  <c r="BA991" i="4"/>
  <c r="AZ991" i="4"/>
  <c r="AY991" i="4"/>
  <c r="AV991" i="4"/>
  <c r="BA990" i="4"/>
  <c r="AZ990" i="4"/>
  <c r="AY990" i="4"/>
  <c r="AV990" i="4"/>
  <c r="BA989" i="4"/>
  <c r="AZ989" i="4"/>
  <c r="AY989" i="4"/>
  <c r="AV989" i="4"/>
  <c r="BA988" i="4"/>
  <c r="AZ988" i="4"/>
  <c r="AY988" i="4"/>
  <c r="AV988" i="4"/>
  <c r="BA987" i="4"/>
  <c r="AZ987" i="4"/>
  <c r="AY987" i="4"/>
  <c r="AV987" i="4"/>
  <c r="BA986" i="4"/>
  <c r="AZ986" i="4"/>
  <c r="AY986" i="4"/>
  <c r="AV986" i="4"/>
  <c r="BA985" i="4"/>
  <c r="AZ985" i="4"/>
  <c r="AY985" i="4"/>
  <c r="AV985" i="4"/>
  <c r="BA984" i="4"/>
  <c r="AZ984" i="4"/>
  <c r="AY984" i="4"/>
  <c r="AV984" i="4"/>
  <c r="BA983" i="4"/>
  <c r="AZ983" i="4"/>
  <c r="AY983" i="4"/>
  <c r="AV983" i="4"/>
  <c r="BA982" i="4"/>
  <c r="AZ982" i="4"/>
  <c r="AY982" i="4"/>
  <c r="AV982" i="4"/>
  <c r="BA981" i="4"/>
  <c r="AZ981" i="4"/>
  <c r="AY981" i="4"/>
  <c r="AV981" i="4"/>
  <c r="BA980" i="4"/>
  <c r="AZ980" i="4"/>
  <c r="AY980" i="4"/>
  <c r="AV980" i="4"/>
  <c r="BA979" i="4"/>
  <c r="AZ979" i="4"/>
  <c r="AY979" i="4"/>
  <c r="AV979" i="4"/>
  <c r="BA978" i="4"/>
  <c r="AZ978" i="4"/>
  <c r="AY978" i="4"/>
  <c r="AV978" i="4"/>
  <c r="BA977" i="4"/>
  <c r="AZ977" i="4"/>
  <c r="AY977" i="4"/>
  <c r="AV977" i="4"/>
  <c r="BA976" i="4"/>
  <c r="AZ976" i="4"/>
  <c r="AY976" i="4"/>
  <c r="AV976" i="4"/>
  <c r="BA975" i="4"/>
  <c r="AZ975" i="4"/>
  <c r="AY975" i="4"/>
  <c r="AV975" i="4"/>
  <c r="BA974" i="4"/>
  <c r="AZ974" i="4"/>
  <c r="AY974" i="4"/>
  <c r="AV974" i="4"/>
  <c r="BA973" i="4"/>
  <c r="AZ973" i="4"/>
  <c r="AY973" i="4"/>
  <c r="AV973" i="4"/>
  <c r="BA972" i="4"/>
  <c r="AZ972" i="4"/>
  <c r="AY972" i="4"/>
  <c r="AV972" i="4"/>
  <c r="BA971" i="4"/>
  <c r="AZ971" i="4"/>
  <c r="AY971" i="4"/>
  <c r="AV971" i="4"/>
  <c r="BA970" i="4"/>
  <c r="AZ970" i="4"/>
  <c r="AY970" i="4"/>
  <c r="AV970" i="4"/>
  <c r="BA969" i="4"/>
  <c r="AZ969" i="4"/>
  <c r="AY969" i="4"/>
  <c r="AV969" i="4"/>
  <c r="BA968" i="4"/>
  <c r="AZ968" i="4"/>
  <c r="AY968" i="4"/>
  <c r="AV968" i="4"/>
  <c r="BA967" i="4"/>
  <c r="AZ967" i="4"/>
  <c r="AY967" i="4"/>
  <c r="AV967" i="4"/>
  <c r="BA966" i="4"/>
  <c r="AZ966" i="4"/>
  <c r="AY966" i="4"/>
  <c r="AV966" i="4"/>
  <c r="BA965" i="4"/>
  <c r="AZ965" i="4"/>
  <c r="AY965" i="4"/>
  <c r="AV965" i="4"/>
  <c r="BA964" i="4"/>
  <c r="AZ964" i="4"/>
  <c r="AY964" i="4"/>
  <c r="AV964" i="4"/>
  <c r="BA963" i="4"/>
  <c r="AZ963" i="4"/>
  <c r="AY963" i="4"/>
  <c r="AV963" i="4"/>
  <c r="BA962" i="4"/>
  <c r="AZ962" i="4"/>
  <c r="AY962" i="4"/>
  <c r="AV962" i="4"/>
  <c r="BA961" i="4"/>
  <c r="AZ961" i="4"/>
  <c r="AY961" i="4"/>
  <c r="AV961" i="4"/>
  <c r="BA960" i="4"/>
  <c r="AZ960" i="4"/>
  <c r="AY960" i="4"/>
  <c r="AV960" i="4"/>
  <c r="BA959" i="4"/>
  <c r="AZ959" i="4"/>
  <c r="AY959" i="4"/>
  <c r="AV959" i="4"/>
  <c r="BA958" i="4"/>
  <c r="AZ958" i="4"/>
  <c r="AY958" i="4"/>
  <c r="AV958" i="4"/>
  <c r="BA957" i="4"/>
  <c r="AZ957" i="4"/>
  <c r="AY957" i="4"/>
  <c r="BA956" i="4"/>
  <c r="AZ956" i="4"/>
  <c r="AY956" i="4"/>
  <c r="BA955" i="4"/>
  <c r="AZ955" i="4"/>
  <c r="AY955" i="4"/>
  <c r="BA954" i="4"/>
  <c r="AZ954" i="4"/>
  <c r="AY954" i="4"/>
  <c r="BA953" i="4"/>
  <c r="AZ953" i="4"/>
  <c r="AY953" i="4"/>
  <c r="BA952" i="4"/>
  <c r="AZ952" i="4"/>
  <c r="AY952" i="4"/>
  <c r="BA951" i="4"/>
  <c r="AZ951" i="4"/>
  <c r="AY951" i="4"/>
  <c r="BA950" i="4"/>
  <c r="AZ950" i="4"/>
  <c r="AY950" i="4"/>
  <c r="BA949" i="4"/>
  <c r="AZ949" i="4"/>
  <c r="AY949" i="4"/>
  <c r="BA948" i="4"/>
  <c r="AZ948" i="4"/>
  <c r="AY948" i="4"/>
  <c r="BA947" i="4"/>
  <c r="AZ947" i="4"/>
  <c r="AY947" i="4"/>
  <c r="BA946" i="4"/>
  <c r="AZ946" i="4"/>
  <c r="AY946" i="4"/>
  <c r="BA945" i="4"/>
  <c r="AZ945" i="4"/>
  <c r="AY945" i="4"/>
  <c r="BA944" i="4"/>
  <c r="AZ944" i="4"/>
  <c r="AY944" i="4"/>
  <c r="BA943" i="4"/>
  <c r="AZ943" i="4"/>
  <c r="AY943" i="4"/>
  <c r="BA942" i="4"/>
  <c r="AZ942" i="4"/>
  <c r="AY942" i="4"/>
  <c r="BA941" i="4"/>
  <c r="AZ941" i="4"/>
  <c r="AY941" i="4"/>
  <c r="BA940" i="4"/>
  <c r="AZ940" i="4"/>
  <c r="AY940" i="4"/>
  <c r="BA939" i="4"/>
  <c r="AZ939" i="4"/>
  <c r="AY939" i="4"/>
  <c r="BA938" i="4"/>
  <c r="AZ938" i="4"/>
  <c r="AY938" i="4"/>
  <c r="BA937" i="4"/>
  <c r="AZ937" i="4"/>
  <c r="AY937" i="4"/>
  <c r="BA936" i="4"/>
  <c r="AZ936" i="4"/>
  <c r="AY936" i="4"/>
  <c r="BA935" i="4"/>
  <c r="AZ935" i="4"/>
  <c r="AY935" i="4"/>
  <c r="BA934" i="4"/>
  <c r="AZ934" i="4"/>
  <c r="AY934" i="4"/>
  <c r="BA933" i="4"/>
  <c r="AZ933" i="4"/>
  <c r="AY933" i="4"/>
  <c r="BA932" i="4"/>
  <c r="AZ932" i="4"/>
  <c r="AY932" i="4"/>
  <c r="BA931" i="4"/>
  <c r="AZ931" i="4"/>
  <c r="AY931" i="4"/>
  <c r="BA930" i="4"/>
  <c r="AZ930" i="4"/>
  <c r="AY930" i="4"/>
  <c r="BA929" i="4"/>
  <c r="AZ929" i="4"/>
  <c r="AY929" i="4"/>
  <c r="BA928" i="4"/>
  <c r="AZ928" i="4"/>
  <c r="AY928" i="4"/>
  <c r="BA927" i="4"/>
  <c r="AZ927" i="4"/>
  <c r="AY927" i="4"/>
  <c r="BA926" i="4"/>
  <c r="AZ926" i="4"/>
  <c r="AY926" i="4"/>
  <c r="BA925" i="4"/>
  <c r="AZ925" i="4"/>
  <c r="AY925" i="4"/>
  <c r="BA924" i="4"/>
  <c r="AZ924" i="4"/>
  <c r="AY924" i="4"/>
  <c r="BA923" i="4"/>
  <c r="AZ923" i="4"/>
  <c r="AY923" i="4"/>
  <c r="BA922" i="4"/>
  <c r="AZ922" i="4"/>
  <c r="AY922" i="4"/>
  <c r="BA921" i="4"/>
  <c r="AZ921" i="4"/>
  <c r="AY921" i="4"/>
  <c r="BA920" i="4"/>
  <c r="AZ920" i="4"/>
  <c r="AY920" i="4"/>
  <c r="BA919" i="4"/>
  <c r="AZ919" i="4"/>
  <c r="AY919" i="4"/>
  <c r="BA918" i="4"/>
  <c r="AZ918" i="4"/>
  <c r="AY918" i="4"/>
  <c r="BA917" i="4"/>
  <c r="AZ917" i="4"/>
  <c r="AY917" i="4"/>
  <c r="BA916" i="4"/>
  <c r="AZ916" i="4"/>
  <c r="AY916" i="4"/>
  <c r="BA915" i="4"/>
  <c r="AZ915" i="4"/>
  <c r="AY915" i="4"/>
  <c r="BA914" i="4"/>
  <c r="AZ914" i="4"/>
  <c r="AY914" i="4"/>
  <c r="BA913" i="4"/>
  <c r="AZ913" i="4"/>
  <c r="AY913" i="4"/>
  <c r="BA912" i="4"/>
  <c r="AZ912" i="4"/>
  <c r="AY912" i="4"/>
  <c r="BA911" i="4"/>
  <c r="AZ911" i="4"/>
  <c r="AY911" i="4"/>
  <c r="BA910" i="4"/>
  <c r="AZ910" i="4"/>
  <c r="AY910" i="4"/>
  <c r="BA909" i="4"/>
  <c r="AZ909" i="4"/>
  <c r="AY909" i="4"/>
  <c r="BA908" i="4"/>
  <c r="AZ908" i="4"/>
  <c r="AY908" i="4"/>
  <c r="BA907" i="4"/>
  <c r="AZ907" i="4"/>
  <c r="AY907" i="4"/>
  <c r="BA906" i="4"/>
  <c r="AZ906" i="4"/>
  <c r="AY906" i="4"/>
  <c r="BA905" i="4"/>
  <c r="AZ905" i="4"/>
  <c r="AY905" i="4"/>
  <c r="BA904" i="4"/>
  <c r="AZ904" i="4"/>
  <c r="AY904" i="4"/>
  <c r="BA903" i="4"/>
  <c r="AZ903" i="4"/>
  <c r="AY903" i="4"/>
  <c r="BA902" i="4"/>
  <c r="AZ902" i="4"/>
  <c r="AY902" i="4"/>
  <c r="BA901" i="4"/>
  <c r="AZ901" i="4"/>
  <c r="AY901" i="4"/>
  <c r="BA900" i="4"/>
  <c r="AZ900" i="4"/>
  <c r="AY900" i="4"/>
  <c r="BA899" i="4"/>
  <c r="AZ899" i="4"/>
  <c r="AY899" i="4"/>
  <c r="BA898" i="4"/>
  <c r="AZ898" i="4"/>
  <c r="AY898" i="4"/>
  <c r="BA897" i="4"/>
  <c r="AZ897" i="4"/>
  <c r="AY897" i="4"/>
  <c r="BA896" i="4"/>
  <c r="AZ896" i="4"/>
  <c r="AY896" i="4"/>
  <c r="BA895" i="4"/>
  <c r="AZ895" i="4"/>
  <c r="AY895" i="4"/>
  <c r="BA894" i="4"/>
  <c r="AZ894" i="4"/>
  <c r="AY894" i="4"/>
  <c r="BA893" i="4"/>
  <c r="AZ893" i="4"/>
  <c r="AY893" i="4"/>
  <c r="BA892" i="4"/>
  <c r="AZ892" i="4"/>
  <c r="AY892" i="4"/>
  <c r="BA891" i="4"/>
  <c r="AZ891" i="4"/>
  <c r="AY891" i="4"/>
  <c r="BA890" i="4"/>
  <c r="AZ890" i="4"/>
  <c r="AY890" i="4"/>
  <c r="BA889" i="4"/>
  <c r="AZ889" i="4"/>
  <c r="AY889" i="4"/>
  <c r="BA888" i="4"/>
  <c r="AZ888" i="4"/>
  <c r="AY888" i="4"/>
  <c r="BA887" i="4"/>
  <c r="AZ887" i="4"/>
  <c r="AY887" i="4"/>
  <c r="BA886" i="4"/>
  <c r="AZ886" i="4"/>
  <c r="AY886" i="4"/>
  <c r="BA885" i="4"/>
  <c r="AZ885" i="4"/>
  <c r="AY885" i="4"/>
  <c r="BA884" i="4"/>
  <c r="AZ884" i="4"/>
  <c r="AY884" i="4"/>
  <c r="BA883" i="4"/>
  <c r="AZ883" i="4"/>
  <c r="AY883" i="4"/>
  <c r="BA882" i="4"/>
  <c r="AZ882" i="4"/>
  <c r="AY882" i="4"/>
  <c r="BA881" i="4"/>
  <c r="AZ881" i="4"/>
  <c r="AY881" i="4"/>
  <c r="BA880" i="4"/>
  <c r="AZ880" i="4"/>
  <c r="AY880" i="4"/>
  <c r="BA879" i="4"/>
  <c r="AZ879" i="4"/>
  <c r="AY879" i="4"/>
  <c r="BA878" i="4"/>
  <c r="AZ878" i="4"/>
  <c r="AY878" i="4"/>
  <c r="BA877" i="4"/>
  <c r="AZ877" i="4"/>
  <c r="AY877" i="4"/>
  <c r="BA876" i="4"/>
  <c r="AZ876" i="4"/>
  <c r="AY876" i="4"/>
  <c r="BA875" i="4"/>
  <c r="AZ875" i="4"/>
  <c r="AY875" i="4"/>
  <c r="BA874" i="4"/>
  <c r="AZ874" i="4"/>
  <c r="AY874" i="4"/>
  <c r="BA873" i="4"/>
  <c r="AZ873" i="4"/>
  <c r="AY873" i="4"/>
  <c r="BA872" i="4"/>
  <c r="AZ872" i="4"/>
  <c r="AY872" i="4"/>
  <c r="BA871" i="4"/>
  <c r="AZ871" i="4"/>
  <c r="AY871" i="4"/>
  <c r="BA870" i="4"/>
  <c r="AZ870" i="4"/>
  <c r="AY870" i="4"/>
  <c r="BA869" i="4"/>
  <c r="AZ869" i="4"/>
  <c r="AY869" i="4"/>
  <c r="BA868" i="4"/>
  <c r="AZ868" i="4"/>
  <c r="AY868" i="4"/>
  <c r="BA867" i="4"/>
  <c r="AZ867" i="4"/>
  <c r="AY867" i="4"/>
  <c r="BA866" i="4"/>
  <c r="AZ866" i="4"/>
  <c r="AY866" i="4"/>
  <c r="BA865" i="4"/>
  <c r="AZ865" i="4"/>
  <c r="AY865" i="4"/>
  <c r="BA864" i="4"/>
  <c r="AZ864" i="4"/>
  <c r="AY864" i="4"/>
  <c r="BA863" i="4"/>
  <c r="AZ863" i="4"/>
  <c r="AY863" i="4"/>
  <c r="BA862" i="4"/>
  <c r="AZ862" i="4"/>
  <c r="AY862" i="4"/>
  <c r="BA861" i="4"/>
  <c r="AZ861" i="4"/>
  <c r="AY861" i="4"/>
  <c r="BA860" i="4"/>
  <c r="AZ860" i="4"/>
  <c r="AY860" i="4"/>
  <c r="BA859" i="4"/>
  <c r="AZ859" i="4"/>
  <c r="AY859" i="4"/>
  <c r="BA858" i="4"/>
  <c r="AZ858" i="4"/>
  <c r="AY858" i="4"/>
  <c r="BA857" i="4"/>
  <c r="AZ857" i="4"/>
  <c r="AY857" i="4"/>
  <c r="BA856" i="4"/>
  <c r="AZ856" i="4"/>
  <c r="AY856" i="4"/>
  <c r="BA855" i="4"/>
  <c r="AZ855" i="4"/>
  <c r="AY855" i="4"/>
  <c r="BA854" i="4"/>
  <c r="AZ854" i="4"/>
  <c r="AY854" i="4"/>
  <c r="BA853" i="4"/>
  <c r="AZ853" i="4"/>
  <c r="AY853" i="4"/>
  <c r="BA852" i="4"/>
  <c r="AZ852" i="4"/>
  <c r="AY852" i="4"/>
  <c r="BA851" i="4"/>
  <c r="AZ851" i="4"/>
  <c r="AY851" i="4"/>
  <c r="BA850" i="4"/>
  <c r="AZ850" i="4"/>
  <c r="AY850" i="4"/>
  <c r="BA849" i="4"/>
  <c r="AZ849" i="4"/>
  <c r="AY849" i="4"/>
  <c r="BA848" i="4"/>
  <c r="AZ848" i="4"/>
  <c r="AY848" i="4"/>
  <c r="BA847" i="4"/>
  <c r="AZ847" i="4"/>
  <c r="AY847" i="4"/>
  <c r="BA846" i="4"/>
  <c r="AZ846" i="4"/>
  <c r="AY846" i="4"/>
  <c r="BA845" i="4"/>
  <c r="AZ845" i="4"/>
  <c r="AY845" i="4"/>
  <c r="BA844" i="4"/>
  <c r="AZ844" i="4"/>
  <c r="AY844" i="4"/>
  <c r="BA843" i="4"/>
  <c r="AZ843" i="4"/>
  <c r="AY843" i="4"/>
  <c r="BA842" i="4"/>
  <c r="AZ842" i="4"/>
  <c r="AY842" i="4"/>
  <c r="BA841" i="4"/>
  <c r="AZ841" i="4"/>
  <c r="AY841" i="4"/>
  <c r="BA840" i="4"/>
  <c r="AZ840" i="4"/>
  <c r="AY840" i="4"/>
  <c r="BA839" i="4"/>
  <c r="AZ839" i="4"/>
  <c r="AY839" i="4"/>
  <c r="BA838" i="4"/>
  <c r="AZ838" i="4"/>
  <c r="AY838" i="4"/>
  <c r="BA837" i="4"/>
  <c r="AZ837" i="4"/>
  <c r="AY837" i="4"/>
  <c r="BA836" i="4"/>
  <c r="AZ836" i="4"/>
  <c r="AY836" i="4"/>
  <c r="BA835" i="4"/>
  <c r="AZ835" i="4"/>
  <c r="AY835" i="4"/>
  <c r="BA834" i="4"/>
  <c r="AZ834" i="4"/>
  <c r="AY834" i="4"/>
  <c r="BA833" i="4"/>
  <c r="AZ833" i="4"/>
  <c r="AY833" i="4"/>
  <c r="BA832" i="4"/>
  <c r="AZ832" i="4"/>
  <c r="AY832" i="4"/>
  <c r="BA831" i="4"/>
  <c r="AZ831" i="4"/>
  <c r="AY831" i="4"/>
  <c r="BA830" i="4"/>
  <c r="AZ830" i="4"/>
  <c r="AY830" i="4"/>
  <c r="BA829" i="4"/>
  <c r="AZ829" i="4"/>
  <c r="AY829" i="4"/>
  <c r="BA828" i="4"/>
  <c r="AZ828" i="4"/>
  <c r="AY828" i="4"/>
  <c r="BA827" i="4"/>
  <c r="AZ827" i="4"/>
  <c r="AY827" i="4"/>
  <c r="BA826" i="4"/>
  <c r="AZ826" i="4"/>
  <c r="AY826" i="4"/>
  <c r="BA825" i="4"/>
  <c r="AZ825" i="4"/>
  <c r="AY825" i="4"/>
  <c r="BA824" i="4"/>
  <c r="AZ824" i="4"/>
  <c r="AY824" i="4"/>
  <c r="BA823" i="4"/>
  <c r="AZ823" i="4"/>
  <c r="AY823" i="4"/>
  <c r="BA822" i="4"/>
  <c r="AZ822" i="4"/>
  <c r="AY822" i="4"/>
  <c r="BA821" i="4"/>
  <c r="AZ821" i="4"/>
  <c r="AY821" i="4"/>
  <c r="BA820" i="4"/>
  <c r="AZ820" i="4"/>
  <c r="AY820" i="4"/>
  <c r="BA819" i="4"/>
  <c r="AZ819" i="4"/>
  <c r="AY819" i="4"/>
  <c r="BA818" i="4"/>
  <c r="AZ818" i="4"/>
  <c r="AY818" i="4"/>
  <c r="BA817" i="4"/>
  <c r="AZ817" i="4"/>
  <c r="AY817" i="4"/>
  <c r="BA816" i="4"/>
  <c r="AZ816" i="4"/>
  <c r="AY816" i="4"/>
  <c r="BA815" i="4"/>
  <c r="AZ815" i="4"/>
  <c r="AY815" i="4"/>
  <c r="BA814" i="4"/>
  <c r="AZ814" i="4"/>
  <c r="AY814" i="4"/>
  <c r="BA813" i="4"/>
  <c r="AZ813" i="4"/>
  <c r="AY813" i="4"/>
  <c r="BA812" i="4"/>
  <c r="AZ812" i="4"/>
  <c r="AY812" i="4"/>
  <c r="BA811" i="4"/>
  <c r="AZ811" i="4"/>
  <c r="AY811" i="4"/>
  <c r="BA810" i="4"/>
  <c r="AZ810" i="4"/>
  <c r="AY810" i="4"/>
  <c r="BA809" i="4"/>
  <c r="AZ809" i="4"/>
  <c r="AY809" i="4"/>
  <c r="BA808" i="4"/>
  <c r="AZ808" i="4"/>
  <c r="AY808" i="4"/>
  <c r="BA807" i="4"/>
  <c r="AZ807" i="4"/>
  <c r="AY807" i="4"/>
  <c r="BA806" i="4"/>
  <c r="AZ806" i="4"/>
  <c r="AY806" i="4"/>
  <c r="BA805" i="4"/>
  <c r="AZ805" i="4"/>
  <c r="AY805" i="4"/>
  <c r="BA804" i="4"/>
  <c r="AZ804" i="4"/>
  <c r="AY804" i="4"/>
  <c r="BA803" i="4"/>
  <c r="AZ803" i="4"/>
  <c r="AY803" i="4"/>
  <c r="BA802" i="4"/>
  <c r="AZ802" i="4"/>
  <c r="AY802" i="4"/>
  <c r="BA801" i="4"/>
  <c r="AZ801" i="4"/>
  <c r="AY801" i="4"/>
  <c r="BA800" i="4"/>
  <c r="AZ800" i="4"/>
  <c r="AY800" i="4"/>
  <c r="BA799" i="4"/>
  <c r="AZ799" i="4"/>
  <c r="AY799" i="4"/>
  <c r="BA798" i="4"/>
  <c r="AZ798" i="4"/>
  <c r="AY798" i="4"/>
  <c r="BA797" i="4"/>
  <c r="AZ797" i="4"/>
  <c r="AY797" i="4"/>
  <c r="BA796" i="4"/>
  <c r="AZ796" i="4"/>
  <c r="AY796" i="4"/>
  <c r="BA795" i="4"/>
  <c r="AZ795" i="4"/>
  <c r="AY795" i="4"/>
  <c r="BA794" i="4"/>
  <c r="AZ794" i="4"/>
  <c r="AY794" i="4"/>
  <c r="BA793" i="4"/>
  <c r="AZ793" i="4"/>
  <c r="AY793" i="4"/>
  <c r="BA792" i="4"/>
  <c r="AZ792" i="4"/>
  <c r="AY792" i="4"/>
  <c r="BA791" i="4"/>
  <c r="AZ791" i="4"/>
  <c r="AY791" i="4"/>
  <c r="BA790" i="4"/>
  <c r="AZ790" i="4"/>
  <c r="AY790" i="4"/>
  <c r="BA789" i="4"/>
  <c r="AZ789" i="4"/>
  <c r="AY789" i="4"/>
  <c r="BA788" i="4"/>
  <c r="AZ788" i="4"/>
  <c r="AY788" i="4"/>
  <c r="BA787" i="4"/>
  <c r="AZ787" i="4"/>
  <c r="AY787" i="4"/>
  <c r="BA786" i="4"/>
  <c r="AZ786" i="4"/>
  <c r="AY786" i="4"/>
  <c r="BA785" i="4"/>
  <c r="AZ785" i="4"/>
  <c r="AY785" i="4"/>
  <c r="BA784" i="4"/>
  <c r="AZ784" i="4"/>
  <c r="AY784" i="4"/>
  <c r="BA783" i="4"/>
  <c r="AZ783" i="4"/>
  <c r="AY783" i="4"/>
  <c r="BA782" i="4"/>
  <c r="AZ782" i="4"/>
  <c r="AY782" i="4"/>
  <c r="BA781" i="4"/>
  <c r="AZ781" i="4"/>
  <c r="AY781" i="4"/>
  <c r="BA780" i="4"/>
  <c r="AZ780" i="4"/>
  <c r="AY780" i="4"/>
  <c r="BA779" i="4"/>
  <c r="AZ779" i="4"/>
  <c r="AY779" i="4"/>
  <c r="BA778" i="4"/>
  <c r="AZ778" i="4"/>
  <c r="AY778" i="4"/>
  <c r="BA777" i="4"/>
  <c r="AZ777" i="4"/>
  <c r="AY777" i="4"/>
  <c r="BA776" i="4"/>
  <c r="AZ776" i="4"/>
  <c r="AY776" i="4"/>
  <c r="BA775" i="4"/>
  <c r="AZ775" i="4"/>
  <c r="AY775" i="4"/>
  <c r="BA774" i="4"/>
  <c r="AZ774" i="4"/>
  <c r="AY774" i="4"/>
  <c r="BA773" i="4"/>
  <c r="AZ773" i="4"/>
  <c r="AY773" i="4"/>
  <c r="BA772" i="4"/>
  <c r="AZ772" i="4"/>
  <c r="AY772" i="4"/>
  <c r="BA771" i="4"/>
  <c r="AZ771" i="4"/>
  <c r="AY771" i="4"/>
  <c r="BA770" i="4"/>
  <c r="AZ770" i="4"/>
  <c r="AY770" i="4"/>
  <c r="BA769" i="4"/>
  <c r="AZ769" i="4"/>
  <c r="AY769" i="4"/>
  <c r="BA768" i="4"/>
  <c r="AZ768" i="4"/>
  <c r="AY768" i="4"/>
  <c r="BA767" i="4"/>
  <c r="AZ767" i="4"/>
  <c r="AY767" i="4"/>
  <c r="BA766" i="4"/>
  <c r="AZ766" i="4"/>
  <c r="AY766" i="4"/>
  <c r="BA765" i="4"/>
  <c r="AZ765" i="4"/>
  <c r="AY765" i="4"/>
  <c r="BA764" i="4"/>
  <c r="AZ764" i="4"/>
  <c r="AY764" i="4"/>
  <c r="BA763" i="4"/>
  <c r="AZ763" i="4"/>
  <c r="AY763" i="4"/>
  <c r="BA762" i="4"/>
  <c r="AZ762" i="4"/>
  <c r="AY762" i="4"/>
  <c r="BA761" i="4"/>
  <c r="AZ761" i="4"/>
  <c r="AY761" i="4"/>
  <c r="BA760" i="4"/>
  <c r="AZ760" i="4"/>
  <c r="AY760" i="4"/>
  <c r="BA759" i="4"/>
  <c r="AZ759" i="4"/>
  <c r="AY759" i="4"/>
  <c r="BA758" i="4"/>
  <c r="AZ758" i="4"/>
  <c r="AY758" i="4"/>
  <c r="BA757" i="4"/>
  <c r="AZ757" i="4"/>
  <c r="AY757" i="4"/>
  <c r="BA756" i="4"/>
  <c r="AZ756" i="4"/>
  <c r="AY756" i="4"/>
  <c r="BA755" i="4"/>
  <c r="AZ755" i="4"/>
  <c r="AY755" i="4"/>
  <c r="BA754" i="4"/>
  <c r="AZ754" i="4"/>
  <c r="AY754" i="4"/>
  <c r="BA753" i="4"/>
  <c r="AZ753" i="4"/>
  <c r="AY753" i="4"/>
  <c r="BA752" i="4"/>
  <c r="AZ752" i="4"/>
  <c r="AY752" i="4"/>
  <c r="BA751" i="4"/>
  <c r="AZ751" i="4"/>
  <c r="AY751" i="4"/>
  <c r="BA750" i="4"/>
  <c r="AZ750" i="4"/>
  <c r="AY750" i="4"/>
  <c r="BA749" i="4"/>
  <c r="AZ749" i="4"/>
  <c r="AY749" i="4"/>
  <c r="BA748" i="4"/>
  <c r="AZ748" i="4"/>
  <c r="AY748" i="4"/>
  <c r="BA747" i="4"/>
  <c r="AZ747" i="4"/>
  <c r="AY747" i="4"/>
  <c r="BA746" i="4"/>
  <c r="AZ746" i="4"/>
  <c r="AY746" i="4"/>
  <c r="BA745" i="4"/>
  <c r="AZ745" i="4"/>
  <c r="AY745" i="4"/>
  <c r="BA744" i="4"/>
  <c r="AZ744" i="4"/>
  <c r="AY744" i="4"/>
  <c r="BA743" i="4"/>
  <c r="AZ743" i="4"/>
  <c r="AY743" i="4"/>
  <c r="BA742" i="4"/>
  <c r="AZ742" i="4"/>
  <c r="AY742" i="4"/>
  <c r="BA741" i="4"/>
  <c r="AZ741" i="4"/>
  <c r="AY741" i="4"/>
  <c r="BA740" i="4"/>
  <c r="AZ740" i="4"/>
  <c r="AY740" i="4"/>
  <c r="BA739" i="4"/>
  <c r="AZ739" i="4"/>
  <c r="AY739" i="4"/>
  <c r="BA738" i="4"/>
  <c r="AZ738" i="4"/>
  <c r="AY738" i="4"/>
  <c r="BA737" i="4"/>
  <c r="AZ737" i="4"/>
  <c r="AY737" i="4"/>
  <c r="BA736" i="4"/>
  <c r="AZ736" i="4"/>
  <c r="AY736" i="4"/>
  <c r="BA735" i="4"/>
  <c r="AZ735" i="4"/>
  <c r="AY735" i="4"/>
  <c r="BA734" i="4"/>
  <c r="AZ734" i="4"/>
  <c r="AY734" i="4"/>
  <c r="BA733" i="4"/>
  <c r="AZ733" i="4"/>
  <c r="AY733" i="4"/>
  <c r="BA732" i="4"/>
  <c r="AZ732" i="4"/>
  <c r="AY732" i="4"/>
  <c r="BA731" i="4"/>
  <c r="AZ731" i="4"/>
  <c r="AY731" i="4"/>
  <c r="BA730" i="4"/>
  <c r="AZ730" i="4"/>
  <c r="AY730" i="4"/>
  <c r="BA729" i="4"/>
  <c r="AZ729" i="4"/>
  <c r="AY729" i="4"/>
  <c r="BA728" i="4"/>
  <c r="AZ728" i="4"/>
  <c r="AY728" i="4"/>
  <c r="BA727" i="4"/>
  <c r="AZ727" i="4"/>
  <c r="AY727" i="4"/>
  <c r="BA726" i="4"/>
  <c r="AZ726" i="4"/>
  <c r="AY726" i="4"/>
  <c r="BA725" i="4"/>
  <c r="AZ725" i="4"/>
  <c r="AY725" i="4"/>
  <c r="BA724" i="4"/>
  <c r="AZ724" i="4"/>
  <c r="AY724" i="4"/>
  <c r="BA723" i="4"/>
  <c r="AZ723" i="4"/>
  <c r="AY723" i="4"/>
  <c r="BA722" i="4"/>
  <c r="AZ722" i="4"/>
  <c r="AY722" i="4"/>
  <c r="BA721" i="4"/>
  <c r="AZ721" i="4"/>
  <c r="AY721" i="4"/>
  <c r="BA720" i="4"/>
  <c r="AZ720" i="4"/>
  <c r="AY720" i="4"/>
  <c r="BA719" i="4"/>
  <c r="AZ719" i="4"/>
  <c r="AY719" i="4"/>
  <c r="BA718" i="4"/>
  <c r="AZ718" i="4"/>
  <c r="AY718" i="4"/>
  <c r="BA717" i="4"/>
  <c r="AZ717" i="4"/>
  <c r="AY717" i="4"/>
  <c r="BA716" i="4"/>
  <c r="AZ716" i="4"/>
  <c r="AY716" i="4"/>
  <c r="BA715" i="4"/>
  <c r="AZ715" i="4"/>
  <c r="AY715" i="4"/>
  <c r="BA714" i="4"/>
  <c r="AZ714" i="4"/>
  <c r="AY714" i="4"/>
  <c r="BA713" i="4"/>
  <c r="AZ713" i="4"/>
  <c r="AY713" i="4"/>
  <c r="BA712" i="4"/>
  <c r="AZ712" i="4"/>
  <c r="AY712" i="4"/>
  <c r="BA711" i="4"/>
  <c r="AZ711" i="4"/>
  <c r="AY711" i="4"/>
  <c r="BA710" i="4"/>
  <c r="AZ710" i="4"/>
  <c r="AY710" i="4"/>
  <c r="BA709" i="4"/>
  <c r="AZ709" i="4"/>
  <c r="AY709" i="4"/>
  <c r="BA708" i="4"/>
  <c r="AZ708" i="4"/>
  <c r="AY708" i="4"/>
  <c r="BA707" i="4"/>
  <c r="AZ707" i="4"/>
  <c r="AY707" i="4"/>
  <c r="BA706" i="4"/>
  <c r="AZ706" i="4"/>
  <c r="AY706" i="4"/>
  <c r="BA705" i="4"/>
  <c r="AZ705" i="4"/>
  <c r="AY705" i="4"/>
  <c r="BA704" i="4"/>
  <c r="AZ704" i="4"/>
  <c r="AY704" i="4"/>
  <c r="BA703" i="4"/>
  <c r="AZ703" i="4"/>
  <c r="AY703" i="4"/>
  <c r="BA702" i="4"/>
  <c r="AZ702" i="4"/>
  <c r="AY702" i="4"/>
  <c r="BA701" i="4"/>
  <c r="AZ701" i="4"/>
  <c r="AY701" i="4"/>
  <c r="BA700" i="4"/>
  <c r="AZ700" i="4"/>
  <c r="AY700" i="4"/>
  <c r="BA699" i="4"/>
  <c r="AZ699" i="4"/>
  <c r="AY699" i="4"/>
  <c r="BA698" i="4"/>
  <c r="AZ698" i="4"/>
  <c r="AY698" i="4"/>
  <c r="BA697" i="4"/>
  <c r="AZ697" i="4"/>
  <c r="AY697" i="4"/>
  <c r="BA696" i="4"/>
  <c r="AZ696" i="4"/>
  <c r="AY696" i="4"/>
  <c r="BA695" i="4"/>
  <c r="AZ695" i="4"/>
  <c r="AY695" i="4"/>
  <c r="BA694" i="4"/>
  <c r="AZ694" i="4"/>
  <c r="AY694" i="4"/>
  <c r="BA693" i="4"/>
  <c r="AZ693" i="4"/>
  <c r="AY693" i="4"/>
  <c r="BA692" i="4"/>
  <c r="AZ692" i="4"/>
  <c r="AY692" i="4"/>
  <c r="BA691" i="4"/>
  <c r="AZ691" i="4"/>
  <c r="AY691" i="4"/>
  <c r="BA690" i="4"/>
  <c r="AZ690" i="4"/>
  <c r="AY690" i="4"/>
  <c r="BA689" i="4"/>
  <c r="AZ689" i="4"/>
  <c r="AY689" i="4"/>
  <c r="BA688" i="4"/>
  <c r="AZ688" i="4"/>
  <c r="AY688" i="4"/>
  <c r="BA687" i="4"/>
  <c r="AZ687" i="4"/>
  <c r="AY687" i="4"/>
  <c r="BA686" i="4"/>
  <c r="AZ686" i="4"/>
  <c r="AY686" i="4"/>
  <c r="BA685" i="4"/>
  <c r="AZ685" i="4"/>
  <c r="AY685" i="4"/>
  <c r="BA684" i="4"/>
  <c r="AZ684" i="4"/>
  <c r="AY684" i="4"/>
  <c r="BA683" i="4"/>
  <c r="AZ683" i="4"/>
  <c r="AY683" i="4"/>
  <c r="BA682" i="4"/>
  <c r="AZ682" i="4"/>
  <c r="AY682" i="4"/>
  <c r="BA681" i="4"/>
  <c r="AZ681" i="4"/>
  <c r="AY681" i="4"/>
  <c r="BA680" i="4"/>
  <c r="AZ680" i="4"/>
  <c r="AY680" i="4"/>
  <c r="BA679" i="4"/>
  <c r="AZ679" i="4"/>
  <c r="AY679" i="4"/>
  <c r="BA678" i="4"/>
  <c r="AZ678" i="4"/>
  <c r="AY678" i="4"/>
  <c r="BA677" i="4"/>
  <c r="AZ677" i="4"/>
  <c r="AY677" i="4"/>
  <c r="BA676" i="4"/>
  <c r="AZ676" i="4"/>
  <c r="AY676" i="4"/>
  <c r="BA675" i="4"/>
  <c r="AZ675" i="4"/>
  <c r="AY675" i="4"/>
  <c r="BA674" i="4"/>
  <c r="AZ674" i="4"/>
  <c r="AY674" i="4"/>
  <c r="BA673" i="4"/>
  <c r="AZ673" i="4"/>
  <c r="AY673" i="4"/>
  <c r="BA672" i="4"/>
  <c r="AZ672" i="4"/>
  <c r="AY672" i="4"/>
  <c r="BA671" i="4"/>
  <c r="AZ671" i="4"/>
  <c r="AY671" i="4"/>
  <c r="BA670" i="4"/>
  <c r="AZ670" i="4"/>
  <c r="AY670" i="4"/>
  <c r="BA669" i="4"/>
  <c r="AZ669" i="4"/>
  <c r="AY669" i="4"/>
  <c r="BA668" i="4"/>
  <c r="AZ668" i="4"/>
  <c r="AY668" i="4"/>
  <c r="BA667" i="4"/>
  <c r="AZ667" i="4"/>
  <c r="AY667" i="4"/>
  <c r="BA666" i="4"/>
  <c r="AZ666" i="4"/>
  <c r="AY666" i="4"/>
  <c r="BA665" i="4"/>
  <c r="AZ665" i="4"/>
  <c r="AY665" i="4"/>
  <c r="BA664" i="4"/>
  <c r="AZ664" i="4"/>
  <c r="AY664" i="4"/>
  <c r="BA663" i="4"/>
  <c r="AZ663" i="4"/>
  <c r="AY663" i="4"/>
  <c r="BA662" i="4"/>
  <c r="AZ662" i="4"/>
  <c r="AY662" i="4"/>
  <c r="BA661" i="4"/>
  <c r="AZ661" i="4"/>
  <c r="AY661" i="4"/>
  <c r="BA660" i="4"/>
  <c r="AZ660" i="4"/>
  <c r="AY660" i="4"/>
  <c r="BA659" i="4"/>
  <c r="AZ659" i="4"/>
  <c r="AY659" i="4"/>
  <c r="BA658" i="4"/>
  <c r="AZ658" i="4"/>
  <c r="AY658" i="4"/>
  <c r="BA657" i="4"/>
  <c r="AZ657" i="4"/>
  <c r="AY657" i="4"/>
  <c r="BA656" i="4"/>
  <c r="AZ656" i="4"/>
  <c r="AY656" i="4"/>
  <c r="BA655" i="4"/>
  <c r="AZ655" i="4"/>
  <c r="AY655" i="4"/>
  <c r="BA654" i="4"/>
  <c r="AZ654" i="4"/>
  <c r="AY654" i="4"/>
  <c r="BA653" i="4"/>
  <c r="AZ653" i="4"/>
  <c r="AY653" i="4"/>
  <c r="BA652" i="4"/>
  <c r="AZ652" i="4"/>
  <c r="AY652" i="4"/>
  <c r="BA651" i="4"/>
  <c r="AZ651" i="4"/>
  <c r="AY651" i="4"/>
  <c r="BA650" i="4"/>
  <c r="AZ650" i="4"/>
  <c r="AY650" i="4"/>
  <c r="BA649" i="4"/>
  <c r="AZ649" i="4"/>
  <c r="AY649" i="4"/>
  <c r="BA648" i="4"/>
  <c r="AZ648" i="4"/>
  <c r="AY648" i="4"/>
  <c r="BA647" i="4"/>
  <c r="AZ647" i="4"/>
  <c r="AY647" i="4"/>
  <c r="BA646" i="4"/>
  <c r="AZ646" i="4"/>
  <c r="AY646" i="4"/>
  <c r="BA645" i="4"/>
  <c r="AZ645" i="4"/>
  <c r="AY645" i="4"/>
  <c r="BA644" i="4"/>
  <c r="AZ644" i="4"/>
  <c r="AY644" i="4"/>
  <c r="BA643" i="4"/>
  <c r="AZ643" i="4"/>
  <c r="AY643" i="4"/>
  <c r="BA642" i="4"/>
  <c r="AZ642" i="4"/>
  <c r="AY642" i="4"/>
  <c r="BA641" i="4"/>
  <c r="AZ641" i="4"/>
  <c r="AY641" i="4"/>
  <c r="BA640" i="4"/>
  <c r="AZ640" i="4"/>
  <c r="AY640" i="4"/>
  <c r="BA639" i="4"/>
  <c r="AZ639" i="4"/>
  <c r="AY639" i="4"/>
  <c r="BA638" i="4"/>
  <c r="AZ638" i="4"/>
  <c r="AY638" i="4"/>
  <c r="BA637" i="4"/>
  <c r="AZ637" i="4"/>
  <c r="AY637" i="4"/>
  <c r="BA636" i="4"/>
  <c r="AZ636" i="4"/>
  <c r="AY636" i="4"/>
  <c r="BA635" i="4"/>
  <c r="AZ635" i="4"/>
  <c r="AY635" i="4"/>
  <c r="BA634" i="4"/>
  <c r="AZ634" i="4"/>
  <c r="AY634" i="4"/>
  <c r="BA633" i="4"/>
  <c r="AZ633" i="4"/>
  <c r="AY633" i="4"/>
  <c r="BA632" i="4"/>
  <c r="AZ632" i="4"/>
  <c r="AY632" i="4"/>
  <c r="BA631" i="4"/>
  <c r="AZ631" i="4"/>
  <c r="AY631" i="4"/>
  <c r="BA630" i="4"/>
  <c r="AZ630" i="4"/>
  <c r="AY630" i="4"/>
  <c r="BA629" i="4"/>
  <c r="AZ629" i="4"/>
  <c r="AY629" i="4"/>
  <c r="BA628" i="4"/>
  <c r="AZ628" i="4"/>
  <c r="AY628" i="4"/>
  <c r="BA627" i="4"/>
  <c r="AZ627" i="4"/>
  <c r="AY627" i="4"/>
  <c r="BA626" i="4"/>
  <c r="AZ626" i="4"/>
  <c r="AY626" i="4"/>
  <c r="BA625" i="4"/>
  <c r="AZ625" i="4"/>
  <c r="AY625" i="4"/>
  <c r="BA624" i="4"/>
  <c r="AZ624" i="4"/>
  <c r="AY624" i="4"/>
  <c r="BA623" i="4"/>
  <c r="AZ623" i="4"/>
  <c r="AY623" i="4"/>
  <c r="BA622" i="4"/>
  <c r="AZ622" i="4"/>
  <c r="AY622" i="4"/>
  <c r="BA621" i="4"/>
  <c r="AZ621" i="4"/>
  <c r="AY621" i="4"/>
  <c r="BA620" i="4"/>
  <c r="AZ620" i="4"/>
  <c r="AY620" i="4"/>
  <c r="BA619" i="4"/>
  <c r="AZ619" i="4"/>
  <c r="AY619" i="4"/>
  <c r="BA618" i="4"/>
  <c r="AZ618" i="4"/>
  <c r="AY618" i="4"/>
  <c r="BA617" i="4"/>
  <c r="AZ617" i="4"/>
  <c r="AY617" i="4"/>
  <c r="BA616" i="4"/>
  <c r="AZ616" i="4"/>
  <c r="AY616" i="4"/>
  <c r="BA615" i="4"/>
  <c r="AZ615" i="4"/>
  <c r="AY615" i="4"/>
  <c r="BA614" i="4"/>
  <c r="AZ614" i="4"/>
  <c r="AY614" i="4"/>
  <c r="BA613" i="4"/>
  <c r="AZ613" i="4"/>
  <c r="AY613" i="4"/>
  <c r="BA612" i="4"/>
  <c r="AZ612" i="4"/>
  <c r="AY612" i="4"/>
  <c r="BA611" i="4"/>
  <c r="AZ611" i="4"/>
  <c r="AY611" i="4"/>
  <c r="BA610" i="4"/>
  <c r="AZ610" i="4"/>
  <c r="AY610" i="4"/>
  <c r="BA609" i="4"/>
  <c r="AZ609" i="4"/>
  <c r="AY609" i="4"/>
  <c r="BA608" i="4"/>
  <c r="AZ608" i="4"/>
  <c r="AY608" i="4"/>
  <c r="BA607" i="4"/>
  <c r="AZ607" i="4"/>
  <c r="AY607" i="4"/>
  <c r="BA606" i="4"/>
  <c r="AZ606" i="4"/>
  <c r="AY606" i="4"/>
  <c r="BA605" i="4"/>
  <c r="AZ605" i="4"/>
  <c r="AY605" i="4"/>
  <c r="BA604" i="4"/>
  <c r="AZ604" i="4"/>
  <c r="AY604" i="4"/>
  <c r="BA603" i="4"/>
  <c r="AZ603" i="4"/>
  <c r="AY603" i="4"/>
  <c r="BA602" i="4"/>
  <c r="AZ602" i="4"/>
  <c r="AY602" i="4"/>
  <c r="BA601" i="4"/>
  <c r="AZ601" i="4"/>
  <c r="AY601" i="4"/>
  <c r="BA600" i="4"/>
  <c r="AZ600" i="4"/>
  <c r="AY600" i="4"/>
  <c r="BA599" i="4"/>
  <c r="AZ599" i="4"/>
  <c r="AY599" i="4"/>
  <c r="BA598" i="4"/>
  <c r="AZ598" i="4"/>
  <c r="AY598" i="4"/>
  <c r="BA597" i="4"/>
  <c r="AZ597" i="4"/>
  <c r="AY597" i="4"/>
  <c r="BA596" i="4"/>
  <c r="AZ596" i="4"/>
  <c r="AY596" i="4"/>
  <c r="BA595" i="4"/>
  <c r="AZ595" i="4"/>
  <c r="AY595" i="4"/>
  <c r="BA594" i="4"/>
  <c r="AZ594" i="4"/>
  <c r="AY594" i="4"/>
  <c r="BA593" i="4"/>
  <c r="AZ593" i="4"/>
  <c r="AY593" i="4"/>
  <c r="BA592" i="4"/>
  <c r="AZ592" i="4"/>
  <c r="AY592" i="4"/>
  <c r="BA591" i="4"/>
  <c r="AZ591" i="4"/>
  <c r="AY591" i="4"/>
  <c r="BA590" i="4"/>
  <c r="AZ590" i="4"/>
  <c r="AY590" i="4"/>
  <c r="BA589" i="4"/>
  <c r="AZ589" i="4"/>
  <c r="AY589" i="4"/>
  <c r="BA588" i="4"/>
  <c r="AZ588" i="4"/>
  <c r="AY588" i="4"/>
  <c r="BA587" i="4"/>
  <c r="AZ587" i="4"/>
  <c r="AY587" i="4"/>
  <c r="BA586" i="4"/>
  <c r="AZ586" i="4"/>
  <c r="AY586" i="4"/>
  <c r="BA585" i="4"/>
  <c r="AZ585" i="4"/>
  <c r="AY585" i="4"/>
  <c r="BA584" i="4"/>
  <c r="AZ584" i="4"/>
  <c r="AY584" i="4"/>
  <c r="BA583" i="4"/>
  <c r="AZ583" i="4"/>
  <c r="AY583" i="4"/>
  <c r="BA582" i="4"/>
  <c r="AZ582" i="4"/>
  <c r="AY582" i="4"/>
  <c r="BA581" i="4"/>
  <c r="AZ581" i="4"/>
  <c r="AY581" i="4"/>
  <c r="BA580" i="4"/>
  <c r="AZ580" i="4"/>
  <c r="AY580" i="4"/>
  <c r="BA579" i="4"/>
  <c r="AZ579" i="4"/>
  <c r="AY579" i="4"/>
  <c r="BA578" i="4"/>
  <c r="AZ578" i="4"/>
  <c r="AY578" i="4"/>
  <c r="BA577" i="4"/>
  <c r="AZ577" i="4"/>
  <c r="AY577" i="4"/>
  <c r="BA576" i="4"/>
  <c r="AZ576" i="4"/>
  <c r="AY576" i="4"/>
  <c r="BA575" i="4"/>
  <c r="AZ575" i="4"/>
  <c r="AY575" i="4"/>
  <c r="BA574" i="4"/>
  <c r="AZ574" i="4"/>
  <c r="AY574" i="4"/>
  <c r="BA573" i="4"/>
  <c r="AZ573" i="4"/>
  <c r="AY573" i="4"/>
  <c r="BA572" i="4"/>
  <c r="AZ572" i="4"/>
  <c r="AY572" i="4"/>
  <c r="BA571" i="4"/>
  <c r="AZ571" i="4"/>
  <c r="AY571" i="4"/>
  <c r="BA570" i="4"/>
  <c r="AZ570" i="4"/>
  <c r="AY570" i="4"/>
  <c r="BA569" i="4"/>
  <c r="AZ569" i="4"/>
  <c r="AY569" i="4"/>
  <c r="BA568" i="4"/>
  <c r="AZ568" i="4"/>
  <c r="AY568" i="4"/>
  <c r="BA567" i="4"/>
  <c r="AZ567" i="4"/>
  <c r="AY567" i="4"/>
  <c r="BA566" i="4"/>
  <c r="AZ566" i="4"/>
  <c r="AY566" i="4"/>
  <c r="BA565" i="4"/>
  <c r="AZ565" i="4"/>
  <c r="AY565" i="4"/>
  <c r="BA564" i="4"/>
  <c r="AZ564" i="4"/>
  <c r="AY564" i="4"/>
  <c r="BA563" i="4"/>
  <c r="AZ563" i="4"/>
  <c r="AY563" i="4"/>
  <c r="BA562" i="4"/>
  <c r="AZ562" i="4"/>
  <c r="AY562" i="4"/>
  <c r="BA561" i="4"/>
  <c r="AZ561" i="4"/>
  <c r="AY561" i="4"/>
  <c r="BA560" i="4"/>
  <c r="AZ560" i="4"/>
  <c r="AY560" i="4"/>
  <c r="BA559" i="4"/>
  <c r="AZ559" i="4"/>
  <c r="AY559" i="4"/>
  <c r="BA558" i="4"/>
  <c r="AZ558" i="4"/>
  <c r="AY558" i="4"/>
  <c r="BA557" i="4"/>
  <c r="AZ557" i="4"/>
  <c r="AY557" i="4"/>
  <c r="BA556" i="4"/>
  <c r="AZ556" i="4"/>
  <c r="AY556" i="4"/>
  <c r="BA555" i="4"/>
  <c r="AZ555" i="4"/>
  <c r="AY555" i="4"/>
  <c r="BA554" i="4"/>
  <c r="AZ554" i="4"/>
  <c r="AY554" i="4"/>
  <c r="BA553" i="4"/>
  <c r="AZ553" i="4"/>
  <c r="AY553" i="4"/>
  <c r="BA552" i="4"/>
  <c r="AZ552" i="4"/>
  <c r="AY552" i="4"/>
  <c r="BA551" i="4"/>
  <c r="AZ551" i="4"/>
  <c r="AY551" i="4"/>
  <c r="BA550" i="4"/>
  <c r="AZ550" i="4"/>
  <c r="AY550" i="4"/>
  <c r="BA549" i="4"/>
  <c r="AZ549" i="4"/>
  <c r="AY549" i="4"/>
  <c r="BA548" i="4"/>
  <c r="AZ548" i="4"/>
  <c r="AY548" i="4"/>
  <c r="BA547" i="4"/>
  <c r="AZ547" i="4"/>
  <c r="AY547" i="4"/>
  <c r="BA546" i="4"/>
  <c r="AZ546" i="4"/>
  <c r="AY546" i="4"/>
  <c r="BA545" i="4"/>
  <c r="AZ545" i="4"/>
  <c r="AY545" i="4"/>
  <c r="BA544" i="4"/>
  <c r="AZ544" i="4"/>
  <c r="AY544" i="4"/>
  <c r="BA543" i="4"/>
  <c r="AZ543" i="4"/>
  <c r="AY543" i="4"/>
  <c r="BA542" i="4"/>
  <c r="AZ542" i="4"/>
  <c r="AY542" i="4"/>
  <c r="BA541" i="4"/>
  <c r="AZ541" i="4"/>
  <c r="AY541" i="4"/>
  <c r="BA540" i="4"/>
  <c r="AZ540" i="4"/>
  <c r="AY540" i="4"/>
  <c r="BA539" i="4"/>
  <c r="AZ539" i="4"/>
  <c r="AY539" i="4"/>
  <c r="BA538" i="4"/>
  <c r="AZ538" i="4"/>
  <c r="AY538" i="4"/>
  <c r="BA537" i="4"/>
  <c r="AZ537" i="4"/>
  <c r="AY537" i="4"/>
  <c r="BA536" i="4"/>
  <c r="AZ536" i="4"/>
  <c r="AY536" i="4"/>
  <c r="BA535" i="4"/>
  <c r="AZ535" i="4"/>
  <c r="AY535" i="4"/>
  <c r="BA534" i="4"/>
  <c r="AZ534" i="4"/>
  <c r="AY534" i="4"/>
  <c r="BA533" i="4"/>
  <c r="AZ533" i="4"/>
  <c r="AY533" i="4"/>
  <c r="BA532" i="4"/>
  <c r="AZ532" i="4"/>
  <c r="AY532" i="4"/>
  <c r="BA531" i="4"/>
  <c r="AZ531" i="4"/>
  <c r="AY531" i="4"/>
  <c r="BA530" i="4"/>
  <c r="AZ530" i="4"/>
  <c r="AY530" i="4"/>
  <c r="BA529" i="4"/>
  <c r="AZ529" i="4"/>
  <c r="AY529" i="4"/>
  <c r="BA528" i="4"/>
  <c r="AZ528" i="4"/>
  <c r="AY528" i="4"/>
  <c r="BA527" i="4"/>
  <c r="AZ527" i="4"/>
  <c r="AY527" i="4"/>
  <c r="BA526" i="4"/>
  <c r="AZ526" i="4"/>
  <c r="AY526" i="4"/>
  <c r="BA525" i="4"/>
  <c r="AZ525" i="4"/>
  <c r="AY525" i="4"/>
  <c r="BA524" i="4"/>
  <c r="AZ524" i="4"/>
  <c r="AY524" i="4"/>
  <c r="BA523" i="4"/>
  <c r="AZ523" i="4"/>
  <c r="AY523" i="4"/>
  <c r="BA522" i="4"/>
  <c r="AZ522" i="4"/>
  <c r="AY522" i="4"/>
  <c r="BA521" i="4"/>
  <c r="AZ521" i="4"/>
  <c r="AY521" i="4"/>
  <c r="BA520" i="4"/>
  <c r="AZ520" i="4"/>
  <c r="AY520" i="4"/>
  <c r="BA519" i="4"/>
  <c r="AZ519" i="4"/>
  <c r="AY519" i="4"/>
  <c r="BA518" i="4"/>
  <c r="AZ518" i="4"/>
  <c r="AY518" i="4"/>
  <c r="BA517" i="4"/>
  <c r="AZ517" i="4"/>
  <c r="AY517" i="4"/>
  <c r="BA516" i="4"/>
  <c r="AZ516" i="4"/>
  <c r="AY516" i="4"/>
  <c r="BA515" i="4"/>
  <c r="AZ515" i="4"/>
  <c r="AY515" i="4"/>
  <c r="BA514" i="4"/>
  <c r="AZ514" i="4"/>
  <c r="AY514" i="4"/>
  <c r="BA513" i="4"/>
  <c r="AZ513" i="4"/>
  <c r="AY513" i="4"/>
  <c r="BA512" i="4"/>
  <c r="AZ512" i="4"/>
  <c r="AY512" i="4"/>
  <c r="BA511" i="4"/>
  <c r="AZ511" i="4"/>
  <c r="AY511" i="4"/>
  <c r="AR510" i="4"/>
  <c r="AQ510" i="4"/>
  <c r="AP510" i="4"/>
  <c r="AO510" i="4"/>
  <c r="AN510" i="4"/>
  <c r="AM510" i="4"/>
  <c r="AL510" i="4"/>
  <c r="B510" i="4"/>
  <c r="AR509" i="4"/>
  <c r="AQ509" i="4"/>
  <c r="AP509" i="4"/>
  <c r="AO509" i="4"/>
  <c r="AN509" i="4"/>
  <c r="AM509" i="4"/>
  <c r="AL509" i="4"/>
  <c r="B509" i="4"/>
  <c r="AR508" i="4"/>
  <c r="AQ508" i="4"/>
  <c r="AP508" i="4"/>
  <c r="AO508" i="4"/>
  <c r="AN508" i="4"/>
  <c r="AM508" i="4"/>
  <c r="AL508" i="4"/>
  <c r="B508" i="4"/>
  <c r="AR507" i="4"/>
  <c r="AQ507" i="4"/>
  <c r="AP507" i="4"/>
  <c r="AO507" i="4"/>
  <c r="AN507" i="4"/>
  <c r="AM507" i="4"/>
  <c r="AL507" i="4"/>
  <c r="B507" i="4"/>
  <c r="AR506" i="4"/>
  <c r="AQ506" i="4"/>
  <c r="AP506" i="4"/>
  <c r="AO506" i="4"/>
  <c r="AN506" i="4"/>
  <c r="AM506" i="4"/>
  <c r="AL506" i="4"/>
  <c r="B506" i="4"/>
  <c r="AR505" i="4"/>
  <c r="AQ505" i="4"/>
  <c r="AP505" i="4"/>
  <c r="AO505" i="4"/>
  <c r="AN505" i="4"/>
  <c r="AM505" i="4"/>
  <c r="AL505" i="4"/>
  <c r="B505" i="4"/>
  <c r="AR504" i="4"/>
  <c r="AQ504" i="4"/>
  <c r="AP504" i="4"/>
  <c r="AO504" i="4"/>
  <c r="AN504" i="4"/>
  <c r="AM504" i="4"/>
  <c r="AL504" i="4"/>
  <c r="B504" i="4"/>
  <c r="AR503" i="4"/>
  <c r="AQ503" i="4"/>
  <c r="AP503" i="4"/>
  <c r="AO503" i="4"/>
  <c r="AN503" i="4"/>
  <c r="AM503" i="4"/>
  <c r="AL503" i="4"/>
  <c r="B503" i="4"/>
  <c r="AR502" i="4"/>
  <c r="AQ502" i="4"/>
  <c r="AP502" i="4"/>
  <c r="AO502" i="4"/>
  <c r="AN502" i="4"/>
  <c r="AM502" i="4"/>
  <c r="AL502" i="4"/>
  <c r="B502" i="4"/>
  <c r="AR501" i="4"/>
  <c r="AQ501" i="4"/>
  <c r="AP501" i="4"/>
  <c r="AO501" i="4"/>
  <c r="AN501" i="4"/>
  <c r="AM501" i="4"/>
  <c r="AL501" i="4"/>
  <c r="B501" i="4"/>
  <c r="AR500" i="4"/>
  <c r="AQ500" i="4"/>
  <c r="AP500" i="4"/>
  <c r="AO500" i="4"/>
  <c r="AN500" i="4"/>
  <c r="AM500" i="4"/>
  <c r="AL500" i="4"/>
  <c r="B500" i="4"/>
  <c r="AR499" i="4"/>
  <c r="AQ499" i="4"/>
  <c r="AP499" i="4"/>
  <c r="AO499" i="4"/>
  <c r="AN499" i="4"/>
  <c r="AM499" i="4"/>
  <c r="AL499" i="4"/>
  <c r="B499" i="4"/>
  <c r="AR498" i="4"/>
  <c r="AQ498" i="4"/>
  <c r="AP498" i="4"/>
  <c r="AO498" i="4"/>
  <c r="AN498" i="4"/>
  <c r="AM498" i="4"/>
  <c r="AL498" i="4"/>
  <c r="B498" i="4"/>
  <c r="AR497" i="4"/>
  <c r="AQ497" i="4"/>
  <c r="AP497" i="4"/>
  <c r="AO497" i="4"/>
  <c r="AN497" i="4"/>
  <c r="AM497" i="4"/>
  <c r="AL497" i="4"/>
  <c r="B497" i="4"/>
  <c r="AR496" i="4"/>
  <c r="AQ496" i="4"/>
  <c r="AP496" i="4"/>
  <c r="AO496" i="4"/>
  <c r="AN496" i="4"/>
  <c r="AM496" i="4"/>
  <c r="AL496" i="4"/>
  <c r="B496" i="4"/>
  <c r="AR495" i="4"/>
  <c r="AQ495" i="4"/>
  <c r="AP495" i="4"/>
  <c r="AO495" i="4"/>
  <c r="AN495" i="4"/>
  <c r="AM495" i="4"/>
  <c r="AL495" i="4"/>
  <c r="B495" i="4"/>
  <c r="AR494" i="4"/>
  <c r="AQ494" i="4"/>
  <c r="AP494" i="4"/>
  <c r="AO494" i="4"/>
  <c r="AN494" i="4"/>
  <c r="AM494" i="4"/>
  <c r="AL494" i="4"/>
  <c r="B494" i="4"/>
  <c r="AR493" i="4"/>
  <c r="AQ493" i="4"/>
  <c r="AP493" i="4"/>
  <c r="AO493" i="4"/>
  <c r="AN493" i="4"/>
  <c r="AM493" i="4"/>
  <c r="AL493" i="4"/>
  <c r="B493" i="4"/>
  <c r="AR492" i="4"/>
  <c r="AQ492" i="4"/>
  <c r="AP492" i="4"/>
  <c r="AO492" i="4"/>
  <c r="AN492" i="4"/>
  <c r="AM492" i="4"/>
  <c r="AL492" i="4"/>
  <c r="B492" i="4"/>
  <c r="AR491" i="4"/>
  <c r="AQ491" i="4"/>
  <c r="AP491" i="4"/>
  <c r="AO491" i="4"/>
  <c r="AN491" i="4"/>
  <c r="AM491" i="4"/>
  <c r="AL491" i="4"/>
  <c r="B491" i="4"/>
  <c r="AR490" i="4"/>
  <c r="AQ490" i="4"/>
  <c r="AP490" i="4"/>
  <c r="AO490" i="4"/>
  <c r="AN490" i="4"/>
  <c r="AM490" i="4"/>
  <c r="AL490" i="4"/>
  <c r="B490" i="4"/>
  <c r="AR489" i="4"/>
  <c r="AQ489" i="4"/>
  <c r="AP489" i="4"/>
  <c r="AO489" i="4"/>
  <c r="AN489" i="4"/>
  <c r="AM489" i="4"/>
  <c r="AL489" i="4"/>
  <c r="B489" i="4"/>
  <c r="AR488" i="4"/>
  <c r="AQ488" i="4"/>
  <c r="AP488" i="4"/>
  <c r="AO488" i="4"/>
  <c r="AN488" i="4"/>
  <c r="AM488" i="4"/>
  <c r="AL488" i="4"/>
  <c r="B488" i="4"/>
  <c r="AR487" i="4"/>
  <c r="AQ487" i="4"/>
  <c r="AP487" i="4"/>
  <c r="AO487" i="4"/>
  <c r="AN487" i="4"/>
  <c r="AM487" i="4"/>
  <c r="AL487" i="4"/>
  <c r="B487" i="4"/>
  <c r="AR486" i="4"/>
  <c r="AQ486" i="4"/>
  <c r="AP486" i="4"/>
  <c r="AO486" i="4"/>
  <c r="AN486" i="4"/>
  <c r="AM486" i="4"/>
  <c r="AL486" i="4"/>
  <c r="B486" i="4"/>
  <c r="AR485" i="4"/>
  <c r="AQ485" i="4"/>
  <c r="AP485" i="4"/>
  <c r="AO485" i="4"/>
  <c r="AN485" i="4"/>
  <c r="AM485" i="4"/>
  <c r="AL485" i="4"/>
  <c r="B485" i="4"/>
  <c r="AR484" i="4"/>
  <c r="AQ484" i="4"/>
  <c r="AP484" i="4"/>
  <c r="AO484" i="4"/>
  <c r="AN484" i="4"/>
  <c r="AM484" i="4"/>
  <c r="AL484" i="4"/>
  <c r="B484" i="4"/>
  <c r="AR483" i="4"/>
  <c r="AQ483" i="4"/>
  <c r="AP483" i="4"/>
  <c r="AO483" i="4"/>
  <c r="AN483" i="4"/>
  <c r="AM483" i="4"/>
  <c r="AL483" i="4"/>
  <c r="B483" i="4"/>
  <c r="AR482" i="4"/>
  <c r="AQ482" i="4"/>
  <c r="AP482" i="4"/>
  <c r="AO482" i="4"/>
  <c r="AN482" i="4"/>
  <c r="AM482" i="4"/>
  <c r="AL482" i="4"/>
  <c r="B482" i="4"/>
  <c r="AR481" i="4"/>
  <c r="AQ481" i="4"/>
  <c r="AP481" i="4"/>
  <c r="AO481" i="4"/>
  <c r="AN481" i="4"/>
  <c r="AM481" i="4"/>
  <c r="AL481" i="4"/>
  <c r="B481" i="4"/>
  <c r="AR480" i="4"/>
  <c r="AQ480" i="4"/>
  <c r="AP480" i="4"/>
  <c r="AO480" i="4"/>
  <c r="AN480" i="4"/>
  <c r="AM480" i="4"/>
  <c r="AL480" i="4"/>
  <c r="B480" i="4"/>
  <c r="AR479" i="4"/>
  <c r="AQ479" i="4"/>
  <c r="AP479" i="4"/>
  <c r="AO479" i="4"/>
  <c r="AN479" i="4"/>
  <c r="AM479" i="4"/>
  <c r="AL479" i="4"/>
  <c r="B479" i="4"/>
  <c r="AR478" i="4"/>
  <c r="AQ478" i="4"/>
  <c r="AP478" i="4"/>
  <c r="AO478" i="4"/>
  <c r="AN478" i="4"/>
  <c r="AM478" i="4"/>
  <c r="AL478" i="4"/>
  <c r="B478" i="4"/>
  <c r="AR477" i="4"/>
  <c r="AQ477" i="4"/>
  <c r="AP477" i="4"/>
  <c r="AO477" i="4"/>
  <c r="AN477" i="4"/>
  <c r="AM477" i="4"/>
  <c r="AL477" i="4"/>
  <c r="B477" i="4"/>
  <c r="AR476" i="4"/>
  <c r="AQ476" i="4"/>
  <c r="AP476" i="4"/>
  <c r="AO476" i="4"/>
  <c r="AN476" i="4"/>
  <c r="AM476" i="4"/>
  <c r="AL476" i="4"/>
  <c r="B476" i="4"/>
  <c r="AR475" i="4"/>
  <c r="AQ475" i="4"/>
  <c r="AP475" i="4"/>
  <c r="AO475" i="4"/>
  <c r="AN475" i="4"/>
  <c r="AM475" i="4"/>
  <c r="AL475" i="4"/>
  <c r="B475" i="4"/>
  <c r="AR474" i="4"/>
  <c r="AQ474" i="4"/>
  <c r="AP474" i="4"/>
  <c r="AO474" i="4"/>
  <c r="AN474" i="4"/>
  <c r="AM474" i="4"/>
  <c r="AL474" i="4"/>
  <c r="B474" i="4"/>
  <c r="AR473" i="4"/>
  <c r="AQ473" i="4"/>
  <c r="AP473" i="4"/>
  <c r="AO473" i="4"/>
  <c r="AN473" i="4"/>
  <c r="AM473" i="4"/>
  <c r="AL473" i="4"/>
  <c r="B473" i="4"/>
  <c r="AR472" i="4"/>
  <c r="AQ472" i="4"/>
  <c r="AP472" i="4"/>
  <c r="AO472" i="4"/>
  <c r="AN472" i="4"/>
  <c r="AM472" i="4"/>
  <c r="AL472" i="4"/>
  <c r="B472" i="4"/>
  <c r="AR471" i="4"/>
  <c r="AQ471" i="4"/>
  <c r="AP471" i="4"/>
  <c r="AO471" i="4"/>
  <c r="AN471" i="4"/>
  <c r="AM471" i="4"/>
  <c r="AL471" i="4"/>
  <c r="B471" i="4"/>
  <c r="AR470" i="4"/>
  <c r="AQ470" i="4"/>
  <c r="AP470" i="4"/>
  <c r="AO470" i="4"/>
  <c r="AN470" i="4"/>
  <c r="AM470" i="4"/>
  <c r="AL470" i="4"/>
  <c r="B470" i="4"/>
  <c r="AR469" i="4"/>
  <c r="AQ469" i="4"/>
  <c r="AP469" i="4"/>
  <c r="AO469" i="4"/>
  <c r="AN469" i="4"/>
  <c r="AM469" i="4"/>
  <c r="AL469" i="4"/>
  <c r="B469" i="4"/>
  <c r="AR468" i="4"/>
  <c r="AQ468" i="4"/>
  <c r="AP468" i="4"/>
  <c r="AO468" i="4"/>
  <c r="AN468" i="4"/>
  <c r="AM468" i="4"/>
  <c r="AL468" i="4"/>
  <c r="B468" i="4"/>
  <c r="AR467" i="4"/>
  <c r="AQ467" i="4"/>
  <c r="AP467" i="4"/>
  <c r="AO467" i="4"/>
  <c r="AN467" i="4"/>
  <c r="AM467" i="4"/>
  <c r="AL467" i="4"/>
  <c r="B467" i="4"/>
  <c r="AR466" i="4"/>
  <c r="AQ466" i="4"/>
  <c r="AP466" i="4"/>
  <c r="AO466" i="4"/>
  <c r="AN466" i="4"/>
  <c r="AM466" i="4"/>
  <c r="AL466" i="4"/>
  <c r="B466" i="4"/>
  <c r="AR465" i="4"/>
  <c r="AQ465" i="4"/>
  <c r="AP465" i="4"/>
  <c r="AO465" i="4"/>
  <c r="AN465" i="4"/>
  <c r="AM465" i="4"/>
  <c r="AL465" i="4"/>
  <c r="B465" i="4"/>
  <c r="AR464" i="4"/>
  <c r="AQ464" i="4"/>
  <c r="AP464" i="4"/>
  <c r="AO464" i="4"/>
  <c r="AN464" i="4"/>
  <c r="AM464" i="4"/>
  <c r="AL464" i="4"/>
  <c r="B464" i="4"/>
  <c r="AR463" i="4"/>
  <c r="AQ463" i="4"/>
  <c r="AP463" i="4"/>
  <c r="AO463" i="4"/>
  <c r="AN463" i="4"/>
  <c r="AM463" i="4"/>
  <c r="AL463" i="4"/>
  <c r="B463" i="4"/>
  <c r="AR462" i="4"/>
  <c r="AQ462" i="4"/>
  <c r="AP462" i="4"/>
  <c r="AO462" i="4"/>
  <c r="AN462" i="4"/>
  <c r="AM462" i="4"/>
  <c r="AL462" i="4"/>
  <c r="B462" i="4"/>
  <c r="AR461" i="4"/>
  <c r="AQ461" i="4"/>
  <c r="AP461" i="4"/>
  <c r="AO461" i="4"/>
  <c r="AN461" i="4"/>
  <c r="AM461" i="4"/>
  <c r="AL461" i="4"/>
  <c r="B461" i="4"/>
  <c r="AR460" i="4"/>
  <c r="AQ460" i="4"/>
  <c r="AP460" i="4"/>
  <c r="AO460" i="4"/>
  <c r="AN460" i="4"/>
  <c r="AM460" i="4"/>
  <c r="AL460" i="4"/>
  <c r="B460" i="4"/>
  <c r="AR459" i="4"/>
  <c r="AQ459" i="4"/>
  <c r="AP459" i="4"/>
  <c r="AO459" i="4"/>
  <c r="AN459" i="4"/>
  <c r="AM459" i="4"/>
  <c r="AL459" i="4"/>
  <c r="B459" i="4"/>
  <c r="AR458" i="4"/>
  <c r="AQ458" i="4"/>
  <c r="AP458" i="4"/>
  <c r="AO458" i="4"/>
  <c r="AN458" i="4"/>
  <c r="AM458" i="4"/>
  <c r="AL458" i="4"/>
  <c r="B458" i="4"/>
  <c r="AR457" i="4"/>
  <c r="AQ457" i="4"/>
  <c r="AP457" i="4"/>
  <c r="AO457" i="4"/>
  <c r="AN457" i="4"/>
  <c r="AM457" i="4"/>
  <c r="AL457" i="4"/>
  <c r="B457" i="4"/>
  <c r="AR456" i="4"/>
  <c r="AQ456" i="4"/>
  <c r="AP456" i="4"/>
  <c r="AO456" i="4"/>
  <c r="AN456" i="4"/>
  <c r="AM456" i="4"/>
  <c r="AL456" i="4"/>
  <c r="B456" i="4"/>
  <c r="AR455" i="4"/>
  <c r="AQ455" i="4"/>
  <c r="AP455" i="4"/>
  <c r="AO455" i="4"/>
  <c r="AN455" i="4"/>
  <c r="AM455" i="4"/>
  <c r="AL455" i="4"/>
  <c r="B455" i="4"/>
  <c r="AR454" i="4"/>
  <c r="AQ454" i="4"/>
  <c r="AP454" i="4"/>
  <c r="AO454" i="4"/>
  <c r="AN454" i="4"/>
  <c r="AM454" i="4"/>
  <c r="AL454" i="4"/>
  <c r="B454" i="4"/>
  <c r="AR453" i="4"/>
  <c r="AQ453" i="4"/>
  <c r="AP453" i="4"/>
  <c r="AO453" i="4"/>
  <c r="AN453" i="4"/>
  <c r="AM453" i="4"/>
  <c r="AL453" i="4"/>
  <c r="B453" i="4"/>
  <c r="AR452" i="4"/>
  <c r="AQ452" i="4"/>
  <c r="AP452" i="4"/>
  <c r="AO452" i="4"/>
  <c r="AN452" i="4"/>
  <c r="AM452" i="4"/>
  <c r="AL452" i="4"/>
  <c r="B452" i="4"/>
  <c r="AR451" i="4"/>
  <c r="AQ451" i="4"/>
  <c r="AP451" i="4"/>
  <c r="AO451" i="4"/>
  <c r="AN451" i="4"/>
  <c r="AM451" i="4"/>
  <c r="AL451" i="4"/>
  <c r="B451" i="4"/>
  <c r="AR450" i="4"/>
  <c r="AQ450" i="4"/>
  <c r="AP450" i="4"/>
  <c r="AO450" i="4"/>
  <c r="AN450" i="4"/>
  <c r="AM450" i="4"/>
  <c r="AL450" i="4"/>
  <c r="B450" i="4"/>
  <c r="AR449" i="4"/>
  <c r="AQ449" i="4"/>
  <c r="AP449" i="4"/>
  <c r="AO449" i="4"/>
  <c r="AN449" i="4"/>
  <c r="AM449" i="4"/>
  <c r="AL449" i="4"/>
  <c r="B449" i="4"/>
  <c r="AR448" i="4"/>
  <c r="AQ448" i="4"/>
  <c r="AP448" i="4"/>
  <c r="AO448" i="4"/>
  <c r="AN448" i="4"/>
  <c r="AM448" i="4"/>
  <c r="AL448" i="4"/>
  <c r="B448" i="4"/>
  <c r="AR447" i="4"/>
  <c r="AQ447" i="4"/>
  <c r="AP447" i="4"/>
  <c r="AO447" i="4"/>
  <c r="AN447" i="4"/>
  <c r="AM447" i="4"/>
  <c r="AL447" i="4"/>
  <c r="B447" i="4"/>
  <c r="AR446" i="4"/>
  <c r="AQ446" i="4"/>
  <c r="AP446" i="4"/>
  <c r="AO446" i="4"/>
  <c r="AN446" i="4"/>
  <c r="AM446" i="4"/>
  <c r="AL446" i="4"/>
  <c r="B446" i="4"/>
  <c r="AR445" i="4"/>
  <c r="AQ445" i="4"/>
  <c r="AP445" i="4"/>
  <c r="AO445" i="4"/>
  <c r="AN445" i="4"/>
  <c r="AM445" i="4"/>
  <c r="AL445" i="4"/>
  <c r="B445" i="4"/>
  <c r="AR444" i="4"/>
  <c r="AQ444" i="4"/>
  <c r="AP444" i="4"/>
  <c r="AO444" i="4"/>
  <c r="AN444" i="4"/>
  <c r="AM444" i="4"/>
  <c r="AL444" i="4"/>
  <c r="B444" i="4"/>
  <c r="AR443" i="4"/>
  <c r="AQ443" i="4"/>
  <c r="AP443" i="4"/>
  <c r="AO443" i="4"/>
  <c r="AN443" i="4"/>
  <c r="AM443" i="4"/>
  <c r="AL443" i="4"/>
  <c r="B443" i="4"/>
  <c r="AR442" i="4"/>
  <c r="AQ442" i="4"/>
  <c r="AP442" i="4"/>
  <c r="AO442" i="4"/>
  <c r="AN442" i="4"/>
  <c r="AM442" i="4"/>
  <c r="AL442" i="4"/>
  <c r="B442" i="4"/>
  <c r="AR441" i="4"/>
  <c r="AQ441" i="4"/>
  <c r="AP441" i="4"/>
  <c r="AO441" i="4"/>
  <c r="AN441" i="4"/>
  <c r="AM441" i="4"/>
  <c r="AL441" i="4"/>
  <c r="B441" i="4"/>
  <c r="AR440" i="4"/>
  <c r="AQ440" i="4"/>
  <c r="AP440" i="4"/>
  <c r="AO440" i="4"/>
  <c r="AN440" i="4"/>
  <c r="AM440" i="4"/>
  <c r="AL440" i="4"/>
  <c r="B440" i="4"/>
  <c r="AR439" i="4"/>
  <c r="AQ439" i="4"/>
  <c r="AP439" i="4"/>
  <c r="AO439" i="4"/>
  <c r="AN439" i="4"/>
  <c r="AM439" i="4"/>
  <c r="AL439" i="4"/>
  <c r="B439" i="4"/>
  <c r="AR438" i="4"/>
  <c r="AQ438" i="4"/>
  <c r="AP438" i="4"/>
  <c r="AO438" i="4"/>
  <c r="AN438" i="4"/>
  <c r="AM438" i="4"/>
  <c r="AL438" i="4"/>
  <c r="B438" i="4"/>
  <c r="AR437" i="4"/>
  <c r="AQ437" i="4"/>
  <c r="AP437" i="4"/>
  <c r="AO437" i="4"/>
  <c r="AN437" i="4"/>
  <c r="AM437" i="4"/>
  <c r="AL437" i="4"/>
  <c r="B437" i="4"/>
  <c r="AR436" i="4"/>
  <c r="AQ436" i="4"/>
  <c r="AP436" i="4"/>
  <c r="AO436" i="4"/>
  <c r="AN436" i="4"/>
  <c r="AM436" i="4"/>
  <c r="AL436" i="4"/>
  <c r="B436" i="4"/>
  <c r="AR435" i="4"/>
  <c r="AQ435" i="4"/>
  <c r="AP435" i="4"/>
  <c r="AO435" i="4"/>
  <c r="AN435" i="4"/>
  <c r="AM435" i="4"/>
  <c r="AL435" i="4"/>
  <c r="B435" i="4"/>
  <c r="AR434" i="4"/>
  <c r="AQ434" i="4"/>
  <c r="AP434" i="4"/>
  <c r="AO434" i="4"/>
  <c r="AN434" i="4"/>
  <c r="AM434" i="4"/>
  <c r="AL434" i="4"/>
  <c r="B434" i="4"/>
  <c r="AR433" i="4"/>
  <c r="AQ433" i="4"/>
  <c r="AP433" i="4"/>
  <c r="AO433" i="4"/>
  <c r="AN433" i="4"/>
  <c r="AM433" i="4"/>
  <c r="AL433" i="4"/>
  <c r="B433" i="4"/>
  <c r="AR432" i="4"/>
  <c r="AQ432" i="4"/>
  <c r="AP432" i="4"/>
  <c r="AO432" i="4"/>
  <c r="AN432" i="4"/>
  <c r="AM432" i="4"/>
  <c r="AL432" i="4"/>
  <c r="B432" i="4"/>
  <c r="AR431" i="4"/>
  <c r="AQ431" i="4"/>
  <c r="AP431" i="4"/>
  <c r="AO431" i="4"/>
  <c r="AN431" i="4"/>
  <c r="AM431" i="4"/>
  <c r="AL431" i="4"/>
  <c r="B431" i="4"/>
  <c r="AR430" i="4"/>
  <c r="AQ430" i="4"/>
  <c r="AP430" i="4"/>
  <c r="AO430" i="4"/>
  <c r="AN430" i="4"/>
  <c r="AM430" i="4"/>
  <c r="AL430" i="4"/>
  <c r="B430" i="4"/>
  <c r="AR429" i="4"/>
  <c r="AQ429" i="4"/>
  <c r="AP429" i="4"/>
  <c r="AO429" i="4"/>
  <c r="AN429" i="4"/>
  <c r="AM429" i="4"/>
  <c r="AL429" i="4"/>
  <c r="B429" i="4"/>
  <c r="AR428" i="4"/>
  <c r="AQ428" i="4"/>
  <c r="AP428" i="4"/>
  <c r="AO428" i="4"/>
  <c r="AN428" i="4"/>
  <c r="AM428" i="4"/>
  <c r="AL428" i="4"/>
  <c r="B428" i="4"/>
  <c r="AR427" i="4"/>
  <c r="AQ427" i="4"/>
  <c r="AP427" i="4"/>
  <c r="AO427" i="4"/>
  <c r="AN427" i="4"/>
  <c r="AM427" i="4"/>
  <c r="AL427" i="4"/>
  <c r="B427" i="4"/>
  <c r="AR426" i="4"/>
  <c r="AQ426" i="4"/>
  <c r="AP426" i="4"/>
  <c r="AO426" i="4"/>
  <c r="AN426" i="4"/>
  <c r="AM426" i="4"/>
  <c r="AL426" i="4"/>
  <c r="B426" i="4"/>
  <c r="AR425" i="4"/>
  <c r="AQ425" i="4"/>
  <c r="AP425" i="4"/>
  <c r="AO425" i="4"/>
  <c r="AN425" i="4"/>
  <c r="AM425" i="4"/>
  <c r="AL425" i="4"/>
  <c r="B425" i="4"/>
  <c r="AR424" i="4"/>
  <c r="AQ424" i="4"/>
  <c r="AP424" i="4"/>
  <c r="AO424" i="4"/>
  <c r="AN424" i="4"/>
  <c r="AM424" i="4"/>
  <c r="AL424" i="4"/>
  <c r="B424" i="4"/>
  <c r="AR423" i="4"/>
  <c r="AQ423" i="4"/>
  <c r="AP423" i="4"/>
  <c r="AO423" i="4"/>
  <c r="AN423" i="4"/>
  <c r="AM423" i="4"/>
  <c r="AL423" i="4"/>
  <c r="B423" i="4"/>
  <c r="AR422" i="4"/>
  <c r="AQ422" i="4"/>
  <c r="AP422" i="4"/>
  <c r="AO422" i="4"/>
  <c r="AN422" i="4"/>
  <c r="AM422" i="4"/>
  <c r="AL422" i="4"/>
  <c r="B422" i="4"/>
  <c r="AR421" i="4"/>
  <c r="AQ421" i="4"/>
  <c r="AP421" i="4"/>
  <c r="AO421" i="4"/>
  <c r="AN421" i="4"/>
  <c r="AM421" i="4"/>
  <c r="AL421" i="4"/>
  <c r="B421" i="4"/>
  <c r="AR420" i="4"/>
  <c r="AQ420" i="4"/>
  <c r="AP420" i="4"/>
  <c r="AO420" i="4"/>
  <c r="AN420" i="4"/>
  <c r="AM420" i="4"/>
  <c r="AL420" i="4"/>
  <c r="B420" i="4"/>
  <c r="AR419" i="4"/>
  <c r="AQ419" i="4"/>
  <c r="AP419" i="4"/>
  <c r="AO419" i="4"/>
  <c r="AN419" i="4"/>
  <c r="AM419" i="4"/>
  <c r="AL419" i="4"/>
  <c r="B419" i="4"/>
  <c r="AR418" i="4"/>
  <c r="AQ418" i="4"/>
  <c r="AP418" i="4"/>
  <c r="AO418" i="4"/>
  <c r="AN418" i="4"/>
  <c r="AM418" i="4"/>
  <c r="AL418" i="4"/>
  <c r="B418" i="4"/>
  <c r="AR417" i="4"/>
  <c r="AQ417" i="4"/>
  <c r="AP417" i="4"/>
  <c r="AO417" i="4"/>
  <c r="AN417" i="4"/>
  <c r="AM417" i="4"/>
  <c r="AL417" i="4"/>
  <c r="B417" i="4"/>
  <c r="AR416" i="4"/>
  <c r="AQ416" i="4"/>
  <c r="AP416" i="4"/>
  <c r="AO416" i="4"/>
  <c r="AN416" i="4"/>
  <c r="AM416" i="4"/>
  <c r="AL416" i="4"/>
  <c r="B416" i="4"/>
  <c r="AR415" i="4"/>
  <c r="AQ415" i="4"/>
  <c r="AP415" i="4"/>
  <c r="AO415" i="4"/>
  <c r="AN415" i="4"/>
  <c r="AM415" i="4"/>
  <c r="AL415" i="4"/>
  <c r="B415" i="4"/>
  <c r="AR414" i="4"/>
  <c r="AQ414" i="4"/>
  <c r="AP414" i="4"/>
  <c r="AO414" i="4"/>
  <c r="AN414" i="4"/>
  <c r="AM414" i="4"/>
  <c r="AL414" i="4"/>
  <c r="B414" i="4"/>
  <c r="AR413" i="4"/>
  <c r="AQ413" i="4"/>
  <c r="AP413" i="4"/>
  <c r="AO413" i="4"/>
  <c r="AN413" i="4"/>
  <c r="AM413" i="4"/>
  <c r="AL413" i="4"/>
  <c r="B413" i="4"/>
  <c r="AR412" i="4"/>
  <c r="AQ412" i="4"/>
  <c r="AP412" i="4"/>
  <c r="AO412" i="4"/>
  <c r="AN412" i="4"/>
  <c r="AM412" i="4"/>
  <c r="AL412" i="4"/>
  <c r="B412" i="4"/>
  <c r="AR411" i="4"/>
  <c r="AQ411" i="4"/>
  <c r="AP411" i="4"/>
  <c r="AO411" i="4"/>
  <c r="AN411" i="4"/>
  <c r="AM411" i="4"/>
  <c r="AL411" i="4"/>
  <c r="B411" i="4"/>
  <c r="AR410" i="4"/>
  <c r="AQ410" i="4"/>
  <c r="AP410" i="4"/>
  <c r="AO410" i="4"/>
  <c r="AN410" i="4"/>
  <c r="AM410" i="4"/>
  <c r="AL410" i="4"/>
  <c r="B410" i="4"/>
  <c r="AR409" i="4"/>
  <c r="AQ409" i="4"/>
  <c r="AP409" i="4"/>
  <c r="AO409" i="4"/>
  <c r="AN409" i="4"/>
  <c r="AM409" i="4"/>
  <c r="AL409" i="4"/>
  <c r="B409" i="4"/>
  <c r="AR408" i="4"/>
  <c r="AQ408" i="4"/>
  <c r="AP408" i="4"/>
  <c r="AO408" i="4"/>
  <c r="AN408" i="4"/>
  <c r="AM408" i="4"/>
  <c r="AL408" i="4"/>
  <c r="B408" i="4"/>
  <c r="AR407" i="4"/>
  <c r="AQ407" i="4"/>
  <c r="AP407" i="4"/>
  <c r="AO407" i="4"/>
  <c r="AN407" i="4"/>
  <c r="AM407" i="4"/>
  <c r="AL407" i="4"/>
  <c r="B407" i="4"/>
  <c r="AR406" i="4"/>
  <c r="AQ406" i="4"/>
  <c r="AP406" i="4"/>
  <c r="AO406" i="4"/>
  <c r="AN406" i="4"/>
  <c r="AM406" i="4"/>
  <c r="AL406" i="4"/>
  <c r="B406" i="4"/>
  <c r="AR405" i="4"/>
  <c r="AQ405" i="4"/>
  <c r="AP405" i="4"/>
  <c r="AO405" i="4"/>
  <c r="AN405" i="4"/>
  <c r="AM405" i="4"/>
  <c r="AL405" i="4"/>
  <c r="B405" i="4"/>
  <c r="AR404" i="4"/>
  <c r="AQ404" i="4"/>
  <c r="AP404" i="4"/>
  <c r="AO404" i="4"/>
  <c r="AN404" i="4"/>
  <c r="AM404" i="4"/>
  <c r="AL404" i="4"/>
  <c r="B404" i="4"/>
  <c r="AR403" i="4"/>
  <c r="AQ403" i="4"/>
  <c r="AP403" i="4"/>
  <c r="AO403" i="4"/>
  <c r="AN403" i="4"/>
  <c r="AM403" i="4"/>
  <c r="AL403" i="4"/>
  <c r="B403" i="4"/>
  <c r="AR402" i="4"/>
  <c r="AQ402" i="4"/>
  <c r="AP402" i="4"/>
  <c r="AO402" i="4"/>
  <c r="AN402" i="4"/>
  <c r="AM402" i="4"/>
  <c r="AL402" i="4"/>
  <c r="B402" i="4"/>
  <c r="AR401" i="4"/>
  <c r="AQ401" i="4"/>
  <c r="AP401" i="4"/>
  <c r="AO401" i="4"/>
  <c r="AN401" i="4"/>
  <c r="AM401" i="4"/>
  <c r="AL401" i="4"/>
  <c r="B401" i="4"/>
  <c r="AR400" i="4"/>
  <c r="AQ400" i="4"/>
  <c r="AP400" i="4"/>
  <c r="AO400" i="4"/>
  <c r="AN400" i="4"/>
  <c r="AM400" i="4"/>
  <c r="AL400" i="4"/>
  <c r="B400" i="4"/>
  <c r="AR399" i="4"/>
  <c r="AQ399" i="4"/>
  <c r="AP399" i="4"/>
  <c r="AO399" i="4"/>
  <c r="AN399" i="4"/>
  <c r="AM399" i="4"/>
  <c r="AL399" i="4"/>
  <c r="B399" i="4"/>
  <c r="AR398" i="4"/>
  <c r="AQ398" i="4"/>
  <c r="AP398" i="4"/>
  <c r="AO398" i="4"/>
  <c r="AN398" i="4"/>
  <c r="AM398" i="4"/>
  <c r="AL398" i="4"/>
  <c r="B398" i="4"/>
  <c r="AR397" i="4"/>
  <c r="AQ397" i="4"/>
  <c r="AP397" i="4"/>
  <c r="AO397" i="4"/>
  <c r="AN397" i="4"/>
  <c r="AM397" i="4"/>
  <c r="AL397" i="4"/>
  <c r="B397" i="4"/>
  <c r="AR396" i="4"/>
  <c r="AQ396" i="4"/>
  <c r="AP396" i="4"/>
  <c r="AO396" i="4"/>
  <c r="AN396" i="4"/>
  <c r="AM396" i="4"/>
  <c r="AL396" i="4"/>
  <c r="B396" i="4"/>
  <c r="AR395" i="4"/>
  <c r="AQ395" i="4"/>
  <c r="AP395" i="4"/>
  <c r="AO395" i="4"/>
  <c r="AN395" i="4"/>
  <c r="AM395" i="4"/>
  <c r="AL395" i="4"/>
  <c r="B395" i="4"/>
  <c r="AR394" i="4"/>
  <c r="AQ394" i="4"/>
  <c r="AP394" i="4"/>
  <c r="AO394" i="4"/>
  <c r="AN394" i="4"/>
  <c r="AM394" i="4"/>
  <c r="AL394" i="4"/>
  <c r="B394" i="4"/>
  <c r="AR393" i="4"/>
  <c r="AQ393" i="4"/>
  <c r="AP393" i="4"/>
  <c r="AO393" i="4"/>
  <c r="AN393" i="4"/>
  <c r="AM393" i="4"/>
  <c r="AL393" i="4"/>
  <c r="B393" i="4"/>
  <c r="AR392" i="4"/>
  <c r="AQ392" i="4"/>
  <c r="AP392" i="4"/>
  <c r="AO392" i="4"/>
  <c r="AN392" i="4"/>
  <c r="AM392" i="4"/>
  <c r="AL392" i="4"/>
  <c r="B392" i="4"/>
  <c r="AR391" i="4"/>
  <c r="AQ391" i="4"/>
  <c r="AP391" i="4"/>
  <c r="AO391" i="4"/>
  <c r="AN391" i="4"/>
  <c r="AM391" i="4"/>
  <c r="AL391" i="4"/>
  <c r="B391" i="4"/>
  <c r="AR390" i="4"/>
  <c r="AQ390" i="4"/>
  <c r="AP390" i="4"/>
  <c r="AO390" i="4"/>
  <c r="AN390" i="4"/>
  <c r="AM390" i="4"/>
  <c r="AL390" i="4"/>
  <c r="B390" i="4"/>
  <c r="AR389" i="4"/>
  <c r="AQ389" i="4"/>
  <c r="AP389" i="4"/>
  <c r="AO389" i="4"/>
  <c r="AN389" i="4"/>
  <c r="AM389" i="4"/>
  <c r="AL389" i="4"/>
  <c r="B389" i="4"/>
  <c r="AR388" i="4"/>
  <c r="AQ388" i="4"/>
  <c r="AP388" i="4"/>
  <c r="AO388" i="4"/>
  <c r="AN388" i="4"/>
  <c r="AM388" i="4"/>
  <c r="AL388" i="4"/>
  <c r="B388" i="4"/>
  <c r="AR387" i="4"/>
  <c r="AQ387" i="4"/>
  <c r="AP387" i="4"/>
  <c r="AO387" i="4"/>
  <c r="AN387" i="4"/>
  <c r="AM387" i="4"/>
  <c r="AL387" i="4"/>
  <c r="B387" i="4"/>
  <c r="AR386" i="4"/>
  <c r="AQ386" i="4"/>
  <c r="AP386" i="4"/>
  <c r="AO386" i="4"/>
  <c r="AN386" i="4"/>
  <c r="AM386" i="4"/>
  <c r="AL386" i="4"/>
  <c r="B386" i="4"/>
  <c r="AR385" i="4"/>
  <c r="AQ385" i="4"/>
  <c r="AP385" i="4"/>
  <c r="AO385" i="4"/>
  <c r="AN385" i="4"/>
  <c r="AM385" i="4"/>
  <c r="AL385" i="4"/>
  <c r="B385" i="4"/>
  <c r="AR384" i="4"/>
  <c r="AQ384" i="4"/>
  <c r="AP384" i="4"/>
  <c r="AO384" i="4"/>
  <c r="AN384" i="4"/>
  <c r="AM384" i="4"/>
  <c r="AL384" i="4"/>
  <c r="B384" i="4"/>
  <c r="AR383" i="4"/>
  <c r="AQ383" i="4"/>
  <c r="AP383" i="4"/>
  <c r="AO383" i="4"/>
  <c r="AN383" i="4"/>
  <c r="AM383" i="4"/>
  <c r="AL383" i="4"/>
  <c r="B383" i="4"/>
  <c r="AR382" i="4"/>
  <c r="AQ382" i="4"/>
  <c r="AP382" i="4"/>
  <c r="AO382" i="4"/>
  <c r="AN382" i="4"/>
  <c r="AM382" i="4"/>
  <c r="AL382" i="4"/>
  <c r="B382" i="4"/>
  <c r="AR381" i="4"/>
  <c r="AQ381" i="4"/>
  <c r="AP381" i="4"/>
  <c r="AO381" i="4"/>
  <c r="AN381" i="4"/>
  <c r="AM381" i="4"/>
  <c r="AL381" i="4"/>
  <c r="B381" i="4"/>
  <c r="AR380" i="4"/>
  <c r="AQ380" i="4"/>
  <c r="AP380" i="4"/>
  <c r="AO380" i="4"/>
  <c r="AN380" i="4"/>
  <c r="AM380" i="4"/>
  <c r="AL380" i="4"/>
  <c r="B380" i="4"/>
  <c r="AR379" i="4"/>
  <c r="AQ379" i="4"/>
  <c r="AP379" i="4"/>
  <c r="AO379" i="4"/>
  <c r="AN379" i="4"/>
  <c r="AM379" i="4"/>
  <c r="AL379" i="4"/>
  <c r="B379" i="4"/>
  <c r="AR378" i="4"/>
  <c r="AQ378" i="4"/>
  <c r="AP378" i="4"/>
  <c r="AO378" i="4"/>
  <c r="AN378" i="4"/>
  <c r="AM378" i="4"/>
  <c r="AL378" i="4"/>
  <c r="B378" i="4"/>
  <c r="AR377" i="4"/>
  <c r="AQ377" i="4"/>
  <c r="AP377" i="4"/>
  <c r="AO377" i="4"/>
  <c r="AN377" i="4"/>
  <c r="AM377" i="4"/>
  <c r="AL377" i="4"/>
  <c r="B377" i="4"/>
  <c r="AR376" i="4"/>
  <c r="AQ376" i="4"/>
  <c r="AP376" i="4"/>
  <c r="AO376" i="4"/>
  <c r="AN376" i="4"/>
  <c r="AM376" i="4"/>
  <c r="AL376" i="4"/>
  <c r="B376" i="4"/>
  <c r="AR375" i="4"/>
  <c r="AQ375" i="4"/>
  <c r="AP375" i="4"/>
  <c r="AO375" i="4"/>
  <c r="AN375" i="4"/>
  <c r="AM375" i="4"/>
  <c r="AL375" i="4"/>
  <c r="B375" i="4"/>
  <c r="AR374" i="4"/>
  <c r="AQ374" i="4"/>
  <c r="AP374" i="4"/>
  <c r="AO374" i="4"/>
  <c r="AN374" i="4"/>
  <c r="AM374" i="4"/>
  <c r="AL374" i="4"/>
  <c r="B374" i="4"/>
  <c r="AR373" i="4"/>
  <c r="AQ373" i="4"/>
  <c r="AP373" i="4"/>
  <c r="AO373" i="4"/>
  <c r="AN373" i="4"/>
  <c r="AM373" i="4"/>
  <c r="AL373" i="4"/>
  <c r="B373" i="4"/>
  <c r="AR372" i="4"/>
  <c r="AQ372" i="4"/>
  <c r="AP372" i="4"/>
  <c r="AO372" i="4"/>
  <c r="AN372" i="4"/>
  <c r="AM372" i="4"/>
  <c r="AL372" i="4"/>
  <c r="B372" i="4"/>
  <c r="AR371" i="4"/>
  <c r="AQ371" i="4"/>
  <c r="AP371" i="4"/>
  <c r="AO371" i="4"/>
  <c r="AN371" i="4"/>
  <c r="AM371" i="4"/>
  <c r="AL371" i="4"/>
  <c r="B371" i="4"/>
  <c r="AR370" i="4"/>
  <c r="AQ370" i="4"/>
  <c r="AP370" i="4"/>
  <c r="AO370" i="4"/>
  <c r="AN370" i="4"/>
  <c r="AM370" i="4"/>
  <c r="AL370" i="4"/>
  <c r="B370" i="4"/>
  <c r="AR369" i="4"/>
  <c r="AQ369" i="4"/>
  <c r="AP369" i="4"/>
  <c r="AO369" i="4"/>
  <c r="AN369" i="4"/>
  <c r="AM369" i="4"/>
  <c r="AL369" i="4"/>
  <c r="B369" i="4"/>
  <c r="AR368" i="4"/>
  <c r="AQ368" i="4"/>
  <c r="AP368" i="4"/>
  <c r="AO368" i="4"/>
  <c r="AN368" i="4"/>
  <c r="AM368" i="4"/>
  <c r="AL368" i="4"/>
  <c r="B368" i="4"/>
  <c r="AR367" i="4"/>
  <c r="AQ367" i="4"/>
  <c r="AP367" i="4"/>
  <c r="AO367" i="4"/>
  <c r="AN367" i="4"/>
  <c r="AM367" i="4"/>
  <c r="AL367" i="4"/>
  <c r="B367" i="4"/>
  <c r="AR366" i="4"/>
  <c r="AQ366" i="4"/>
  <c r="AP366" i="4"/>
  <c r="AO366" i="4"/>
  <c r="AN366" i="4"/>
  <c r="AM366" i="4"/>
  <c r="AL366" i="4"/>
  <c r="B366" i="4"/>
  <c r="AR365" i="4"/>
  <c r="AQ365" i="4"/>
  <c r="AP365" i="4"/>
  <c r="AO365" i="4"/>
  <c r="AN365" i="4"/>
  <c r="AM365" i="4"/>
  <c r="AL365" i="4"/>
  <c r="B365" i="4"/>
  <c r="AR364" i="4"/>
  <c r="AQ364" i="4"/>
  <c r="AP364" i="4"/>
  <c r="AO364" i="4"/>
  <c r="AN364" i="4"/>
  <c r="AM364" i="4"/>
  <c r="AL364" i="4"/>
  <c r="B364" i="4"/>
  <c r="AR363" i="4"/>
  <c r="AQ363" i="4"/>
  <c r="AP363" i="4"/>
  <c r="AO363" i="4"/>
  <c r="AN363" i="4"/>
  <c r="AM363" i="4"/>
  <c r="AL363" i="4"/>
  <c r="B363" i="4"/>
  <c r="AR362" i="4"/>
  <c r="AQ362" i="4"/>
  <c r="AP362" i="4"/>
  <c r="AO362" i="4"/>
  <c r="AN362" i="4"/>
  <c r="AM362" i="4"/>
  <c r="AL362" i="4"/>
  <c r="B362" i="4"/>
  <c r="AR361" i="4"/>
  <c r="AQ361" i="4"/>
  <c r="AP361" i="4"/>
  <c r="AO361" i="4"/>
  <c r="AN361" i="4"/>
  <c r="AM361" i="4"/>
  <c r="AL361" i="4"/>
  <c r="B361" i="4"/>
  <c r="AR360" i="4"/>
  <c r="AQ360" i="4"/>
  <c r="AP360" i="4"/>
  <c r="AO360" i="4"/>
  <c r="AN360" i="4"/>
  <c r="AM360" i="4"/>
  <c r="AL360" i="4"/>
  <c r="B360" i="4"/>
  <c r="AR359" i="4"/>
  <c r="AQ359" i="4"/>
  <c r="AP359" i="4"/>
  <c r="AO359" i="4"/>
  <c r="AN359" i="4"/>
  <c r="AM359" i="4"/>
  <c r="AL359" i="4"/>
  <c r="B359" i="4"/>
  <c r="AR358" i="4"/>
  <c r="AQ358" i="4"/>
  <c r="AP358" i="4"/>
  <c r="AO358" i="4"/>
  <c r="AN358" i="4"/>
  <c r="AM358" i="4"/>
  <c r="AL358" i="4"/>
  <c r="B358" i="4"/>
  <c r="AR357" i="4"/>
  <c r="AQ357" i="4"/>
  <c r="AP357" i="4"/>
  <c r="AO357" i="4"/>
  <c r="AN357" i="4"/>
  <c r="AM357" i="4"/>
  <c r="AL357" i="4"/>
  <c r="B357" i="4"/>
  <c r="AR356" i="4"/>
  <c r="AQ356" i="4"/>
  <c r="AP356" i="4"/>
  <c r="AO356" i="4"/>
  <c r="AN356" i="4"/>
  <c r="AM356" i="4"/>
  <c r="AL356" i="4"/>
  <c r="B356" i="4"/>
  <c r="AR355" i="4"/>
  <c r="AQ355" i="4"/>
  <c r="AP355" i="4"/>
  <c r="AO355" i="4"/>
  <c r="AN355" i="4"/>
  <c r="AM355" i="4"/>
  <c r="AL355" i="4"/>
  <c r="B355" i="4"/>
  <c r="AR354" i="4"/>
  <c r="AQ354" i="4"/>
  <c r="AP354" i="4"/>
  <c r="AO354" i="4"/>
  <c r="AN354" i="4"/>
  <c r="AM354" i="4"/>
  <c r="AL354" i="4"/>
  <c r="B354" i="4"/>
  <c r="AR353" i="4"/>
  <c r="AQ353" i="4"/>
  <c r="AP353" i="4"/>
  <c r="AO353" i="4"/>
  <c r="AN353" i="4"/>
  <c r="AM353" i="4"/>
  <c r="AL353" i="4"/>
  <c r="B353" i="4"/>
  <c r="AR352" i="4"/>
  <c r="AQ352" i="4"/>
  <c r="AP352" i="4"/>
  <c r="AO352" i="4"/>
  <c r="AN352" i="4"/>
  <c r="AM352" i="4"/>
  <c r="AL352" i="4"/>
  <c r="B352" i="4"/>
  <c r="AR351" i="4"/>
  <c r="AQ351" i="4"/>
  <c r="AP351" i="4"/>
  <c r="AO351" i="4"/>
  <c r="AN351" i="4"/>
  <c r="AM351" i="4"/>
  <c r="AL351" i="4"/>
  <c r="B351" i="4"/>
  <c r="AR350" i="4"/>
  <c r="AQ350" i="4"/>
  <c r="AP350" i="4"/>
  <c r="AO350" i="4"/>
  <c r="AN350" i="4"/>
  <c r="AM350" i="4"/>
  <c r="AL350" i="4"/>
  <c r="B350" i="4"/>
  <c r="AR349" i="4"/>
  <c r="AQ349" i="4"/>
  <c r="AP349" i="4"/>
  <c r="AO349" i="4"/>
  <c r="AN349" i="4"/>
  <c r="AM349" i="4"/>
  <c r="AL349" i="4"/>
  <c r="B349" i="4"/>
  <c r="AR348" i="4"/>
  <c r="AQ348" i="4"/>
  <c r="AP348" i="4"/>
  <c r="AO348" i="4"/>
  <c r="AN348" i="4"/>
  <c r="AM348" i="4"/>
  <c r="AL348" i="4"/>
  <c r="B348" i="4"/>
  <c r="AR347" i="4"/>
  <c r="AQ347" i="4"/>
  <c r="AP347" i="4"/>
  <c r="AO347" i="4"/>
  <c r="AN347" i="4"/>
  <c r="AM347" i="4"/>
  <c r="AL347" i="4"/>
  <c r="B347" i="4"/>
  <c r="AR346" i="4"/>
  <c r="AQ346" i="4"/>
  <c r="AP346" i="4"/>
  <c r="AO346" i="4"/>
  <c r="AN346" i="4"/>
  <c r="AM346" i="4"/>
  <c r="AL346" i="4"/>
  <c r="B346" i="4"/>
  <c r="AR345" i="4"/>
  <c r="AQ345" i="4"/>
  <c r="AP345" i="4"/>
  <c r="AO345" i="4"/>
  <c r="AN345" i="4"/>
  <c r="AM345" i="4"/>
  <c r="AL345" i="4"/>
  <c r="B345" i="4"/>
  <c r="AR344" i="4"/>
  <c r="AQ344" i="4"/>
  <c r="AP344" i="4"/>
  <c r="AO344" i="4"/>
  <c r="AN344" i="4"/>
  <c r="AM344" i="4"/>
  <c r="AL344" i="4"/>
  <c r="B344" i="4"/>
  <c r="AR343" i="4"/>
  <c r="AQ343" i="4"/>
  <c r="AP343" i="4"/>
  <c r="AO343" i="4"/>
  <c r="AN343" i="4"/>
  <c r="AM343" i="4"/>
  <c r="AL343" i="4"/>
  <c r="B343" i="4"/>
  <c r="AR342" i="4"/>
  <c r="AQ342" i="4"/>
  <c r="AP342" i="4"/>
  <c r="AO342" i="4"/>
  <c r="AN342" i="4"/>
  <c r="AM342" i="4"/>
  <c r="AL342" i="4"/>
  <c r="B342" i="4"/>
  <c r="AR341" i="4"/>
  <c r="AQ341" i="4"/>
  <c r="AP341" i="4"/>
  <c r="AO341" i="4"/>
  <c r="AN341" i="4"/>
  <c r="AM341" i="4"/>
  <c r="AL341" i="4"/>
  <c r="B341" i="4"/>
  <c r="AR340" i="4"/>
  <c r="AQ340" i="4"/>
  <c r="AP340" i="4"/>
  <c r="AO340" i="4"/>
  <c r="AN340" i="4"/>
  <c r="AM340" i="4"/>
  <c r="AL340" i="4"/>
  <c r="B340" i="4"/>
  <c r="AR339" i="4"/>
  <c r="AQ339" i="4"/>
  <c r="AP339" i="4"/>
  <c r="AO339" i="4"/>
  <c r="AN339" i="4"/>
  <c r="AM339" i="4"/>
  <c r="AL339" i="4"/>
  <c r="B339" i="4"/>
  <c r="AR338" i="4"/>
  <c r="AQ338" i="4"/>
  <c r="AP338" i="4"/>
  <c r="AO338" i="4"/>
  <c r="AN338" i="4"/>
  <c r="AM338" i="4"/>
  <c r="AL338" i="4"/>
  <c r="B338" i="4"/>
  <c r="AR337" i="4"/>
  <c r="AQ337" i="4"/>
  <c r="AP337" i="4"/>
  <c r="AO337" i="4"/>
  <c r="AN337" i="4"/>
  <c r="AM337" i="4"/>
  <c r="AL337" i="4"/>
  <c r="B337" i="4"/>
  <c r="AR336" i="4"/>
  <c r="AQ336" i="4"/>
  <c r="AP336" i="4"/>
  <c r="AO336" i="4"/>
  <c r="AN336" i="4"/>
  <c r="AM336" i="4"/>
  <c r="AL336" i="4"/>
  <c r="B336" i="4"/>
  <c r="AR335" i="4"/>
  <c r="AQ335" i="4"/>
  <c r="AP335" i="4"/>
  <c r="AO335" i="4"/>
  <c r="AN335" i="4"/>
  <c r="AM335" i="4"/>
  <c r="AL335" i="4"/>
  <c r="B335" i="4"/>
  <c r="AR334" i="4"/>
  <c r="AQ334" i="4"/>
  <c r="AP334" i="4"/>
  <c r="AO334" i="4"/>
  <c r="AN334" i="4"/>
  <c r="AM334" i="4"/>
  <c r="AL334" i="4"/>
  <c r="B334" i="4"/>
  <c r="AR333" i="4"/>
  <c r="AQ333" i="4"/>
  <c r="AP333" i="4"/>
  <c r="AO333" i="4"/>
  <c r="AN333" i="4"/>
  <c r="AM333" i="4"/>
  <c r="AL333" i="4"/>
  <c r="B333" i="4"/>
  <c r="AR332" i="4"/>
  <c r="AQ332" i="4"/>
  <c r="AP332" i="4"/>
  <c r="AO332" i="4"/>
  <c r="AN332" i="4"/>
  <c r="AM332" i="4"/>
  <c r="AL332" i="4"/>
  <c r="B332" i="4"/>
  <c r="AR331" i="4"/>
  <c r="AQ331" i="4"/>
  <c r="AP331" i="4"/>
  <c r="AO331" i="4"/>
  <c r="AN331" i="4"/>
  <c r="AM331" i="4"/>
  <c r="AL331" i="4"/>
  <c r="B331" i="4"/>
  <c r="AR330" i="4"/>
  <c r="AQ330" i="4"/>
  <c r="AP330" i="4"/>
  <c r="AO330" i="4"/>
  <c r="AN330" i="4"/>
  <c r="AM330" i="4"/>
  <c r="AL330" i="4"/>
  <c r="B330" i="4"/>
  <c r="AR329" i="4"/>
  <c r="AQ329" i="4"/>
  <c r="AP329" i="4"/>
  <c r="AO329" i="4"/>
  <c r="AN329" i="4"/>
  <c r="AM329" i="4"/>
  <c r="AL329" i="4"/>
  <c r="B329" i="4"/>
  <c r="AR328" i="4"/>
  <c r="AQ328" i="4"/>
  <c r="AP328" i="4"/>
  <c r="AO328" i="4"/>
  <c r="AN328" i="4"/>
  <c r="AM328" i="4"/>
  <c r="AL328" i="4"/>
  <c r="B328" i="4"/>
  <c r="AR327" i="4"/>
  <c r="AQ327" i="4"/>
  <c r="AP327" i="4"/>
  <c r="AO327" i="4"/>
  <c r="AN327" i="4"/>
  <c r="AM327" i="4"/>
  <c r="AL327" i="4"/>
  <c r="B327" i="4"/>
  <c r="AR326" i="4"/>
  <c r="AQ326" i="4"/>
  <c r="AP326" i="4"/>
  <c r="AO326" i="4"/>
  <c r="AN326" i="4"/>
  <c r="AM326" i="4"/>
  <c r="AL326" i="4"/>
  <c r="B326" i="4"/>
  <c r="AR325" i="4"/>
  <c r="AQ325" i="4"/>
  <c r="AP325" i="4"/>
  <c r="AO325" i="4"/>
  <c r="AN325" i="4"/>
  <c r="AM325" i="4"/>
  <c r="AL325" i="4"/>
  <c r="B325" i="4"/>
  <c r="AR324" i="4"/>
  <c r="AQ324" i="4"/>
  <c r="AP324" i="4"/>
  <c r="AO324" i="4"/>
  <c r="AN324" i="4"/>
  <c r="AM324" i="4"/>
  <c r="AL324" i="4"/>
  <c r="B324" i="4"/>
  <c r="AR323" i="4"/>
  <c r="AQ323" i="4"/>
  <c r="AP323" i="4"/>
  <c r="AO323" i="4"/>
  <c r="AN323" i="4"/>
  <c r="AM323" i="4"/>
  <c r="AL323" i="4"/>
  <c r="B323" i="4"/>
  <c r="AR322" i="4"/>
  <c r="AQ322" i="4"/>
  <c r="AP322" i="4"/>
  <c r="AO322" i="4"/>
  <c r="AN322" i="4"/>
  <c r="AM322" i="4"/>
  <c r="AL322" i="4"/>
  <c r="B322" i="4"/>
  <c r="AR321" i="4"/>
  <c r="AQ321" i="4"/>
  <c r="AP321" i="4"/>
  <c r="AO321" i="4"/>
  <c r="AN321" i="4"/>
  <c r="AM321" i="4"/>
  <c r="AL321" i="4"/>
  <c r="B321" i="4"/>
  <c r="AR320" i="4"/>
  <c r="AQ320" i="4"/>
  <c r="AP320" i="4"/>
  <c r="AO320" i="4"/>
  <c r="AN320" i="4"/>
  <c r="AM320" i="4"/>
  <c r="AL320" i="4"/>
  <c r="B320" i="4"/>
  <c r="AR319" i="4"/>
  <c r="AQ319" i="4"/>
  <c r="AP319" i="4"/>
  <c r="AO319" i="4"/>
  <c r="AN319" i="4"/>
  <c r="AM319" i="4"/>
  <c r="AL319" i="4"/>
  <c r="B319" i="4"/>
  <c r="AR318" i="4"/>
  <c r="AQ318" i="4"/>
  <c r="AP318" i="4"/>
  <c r="AO318" i="4"/>
  <c r="AN318" i="4"/>
  <c r="AM318" i="4"/>
  <c r="AL318" i="4"/>
  <c r="B318" i="4"/>
  <c r="AR317" i="4"/>
  <c r="AQ317" i="4"/>
  <c r="AP317" i="4"/>
  <c r="AO317" i="4"/>
  <c r="AN317" i="4"/>
  <c r="AM317" i="4"/>
  <c r="AL317" i="4"/>
  <c r="B317" i="4"/>
  <c r="AR316" i="4"/>
  <c r="AQ316" i="4"/>
  <c r="AP316" i="4"/>
  <c r="AO316" i="4"/>
  <c r="AN316" i="4"/>
  <c r="AM316" i="4"/>
  <c r="AL316" i="4"/>
  <c r="B316" i="4"/>
  <c r="AR315" i="4"/>
  <c r="AQ315" i="4"/>
  <c r="AP315" i="4"/>
  <c r="AO315" i="4"/>
  <c r="AN315" i="4"/>
  <c r="AM315" i="4"/>
  <c r="AL315" i="4"/>
  <c r="B315" i="4"/>
  <c r="AR314" i="4"/>
  <c r="AQ314" i="4"/>
  <c r="AP314" i="4"/>
  <c r="AO314" i="4"/>
  <c r="AN314" i="4"/>
  <c r="AM314" i="4"/>
  <c r="AL314" i="4"/>
  <c r="B314" i="4"/>
  <c r="AR313" i="4"/>
  <c r="AQ313" i="4"/>
  <c r="AP313" i="4"/>
  <c r="AO313" i="4"/>
  <c r="AN313" i="4"/>
  <c r="AM313" i="4"/>
  <c r="AL313" i="4"/>
  <c r="B313" i="4"/>
  <c r="AR312" i="4"/>
  <c r="AQ312" i="4"/>
  <c r="AP312" i="4"/>
  <c r="AO312" i="4"/>
  <c r="AN312" i="4"/>
  <c r="AM312" i="4"/>
  <c r="AL312" i="4"/>
  <c r="B312" i="4"/>
  <c r="AR311" i="4"/>
  <c r="AQ311" i="4"/>
  <c r="AP311" i="4"/>
  <c r="AO311" i="4"/>
  <c r="AN311" i="4"/>
  <c r="AM311" i="4"/>
  <c r="AL311" i="4"/>
  <c r="B311" i="4"/>
  <c r="AR310" i="4"/>
  <c r="AQ310" i="4"/>
  <c r="AP310" i="4"/>
  <c r="AO310" i="4"/>
  <c r="AN310" i="4"/>
  <c r="AM310" i="4"/>
  <c r="AL310" i="4"/>
  <c r="B310" i="4"/>
  <c r="AR309" i="4"/>
  <c r="AQ309" i="4"/>
  <c r="AP309" i="4"/>
  <c r="AO309" i="4"/>
  <c r="AN309" i="4"/>
  <c r="AM309" i="4"/>
  <c r="AL309" i="4"/>
  <c r="B309" i="4"/>
  <c r="AR308" i="4"/>
  <c r="AQ308" i="4"/>
  <c r="AP308" i="4"/>
  <c r="AO308" i="4"/>
  <c r="AN308" i="4"/>
  <c r="AM308" i="4"/>
  <c r="AL308" i="4"/>
  <c r="B308" i="4"/>
  <c r="AR307" i="4"/>
  <c r="AQ307" i="4"/>
  <c r="AP307" i="4"/>
  <c r="AO307" i="4"/>
  <c r="AN307" i="4"/>
  <c r="AM307" i="4"/>
  <c r="AL307" i="4"/>
  <c r="B307" i="4"/>
  <c r="AR306" i="4"/>
  <c r="AQ306" i="4"/>
  <c r="AP306" i="4"/>
  <c r="AO306" i="4"/>
  <c r="AN306" i="4"/>
  <c r="AM306" i="4"/>
  <c r="AL306" i="4"/>
  <c r="B306" i="4"/>
  <c r="AR305" i="4"/>
  <c r="AQ305" i="4"/>
  <c r="AP305" i="4"/>
  <c r="AO305" i="4"/>
  <c r="AN305" i="4"/>
  <c r="AM305" i="4"/>
  <c r="AL305" i="4"/>
  <c r="B305" i="4"/>
  <c r="AR304" i="4"/>
  <c r="AQ304" i="4"/>
  <c r="AP304" i="4"/>
  <c r="AO304" i="4"/>
  <c r="AN304" i="4"/>
  <c r="AM304" i="4"/>
  <c r="AL304" i="4"/>
  <c r="B304" i="4"/>
  <c r="AR303" i="4"/>
  <c r="AQ303" i="4"/>
  <c r="AP303" i="4"/>
  <c r="AO303" i="4"/>
  <c r="AN303" i="4"/>
  <c r="AM303" i="4"/>
  <c r="AL303" i="4"/>
  <c r="B303" i="4"/>
  <c r="AR302" i="4"/>
  <c r="AQ302" i="4"/>
  <c r="AP302" i="4"/>
  <c r="AO302" i="4"/>
  <c r="AN302" i="4"/>
  <c r="AM302" i="4"/>
  <c r="AL302" i="4"/>
  <c r="B302" i="4"/>
  <c r="AR301" i="4"/>
  <c r="AQ301" i="4"/>
  <c r="AP301" i="4"/>
  <c r="AO301" i="4"/>
  <c r="AN301" i="4"/>
  <c r="AM301" i="4"/>
  <c r="AL301" i="4"/>
  <c r="B301" i="4"/>
  <c r="AR300" i="4"/>
  <c r="AQ300" i="4"/>
  <c r="AP300" i="4"/>
  <c r="AO300" i="4"/>
  <c r="AN300" i="4"/>
  <c r="AM300" i="4"/>
  <c r="AL300" i="4"/>
  <c r="B300" i="4"/>
  <c r="AR299" i="4"/>
  <c r="AQ299" i="4"/>
  <c r="AP299" i="4"/>
  <c r="AO299" i="4"/>
  <c r="AN299" i="4"/>
  <c r="AM299" i="4"/>
  <c r="AL299" i="4"/>
  <c r="B299" i="4"/>
  <c r="AR298" i="4"/>
  <c r="AQ298" i="4"/>
  <c r="AP298" i="4"/>
  <c r="AO298" i="4"/>
  <c r="AN298" i="4"/>
  <c r="AM298" i="4"/>
  <c r="AL298" i="4"/>
  <c r="B298" i="4"/>
  <c r="AR297" i="4"/>
  <c r="AQ297" i="4"/>
  <c r="AP297" i="4"/>
  <c r="AO297" i="4"/>
  <c r="AN297" i="4"/>
  <c r="AM297" i="4"/>
  <c r="AL297" i="4"/>
  <c r="B297" i="4"/>
  <c r="AR296" i="4"/>
  <c r="AQ296" i="4"/>
  <c r="AP296" i="4"/>
  <c r="AO296" i="4"/>
  <c r="AN296" i="4"/>
  <c r="AM296" i="4"/>
  <c r="AL296" i="4"/>
  <c r="B296" i="4"/>
  <c r="AR295" i="4"/>
  <c r="AQ295" i="4"/>
  <c r="AP295" i="4"/>
  <c r="AO295" i="4"/>
  <c r="AN295" i="4"/>
  <c r="AM295" i="4"/>
  <c r="AL295" i="4"/>
  <c r="B295" i="4"/>
  <c r="AR294" i="4"/>
  <c r="AQ294" i="4"/>
  <c r="AP294" i="4"/>
  <c r="AO294" i="4"/>
  <c r="AN294" i="4"/>
  <c r="AM294" i="4"/>
  <c r="AL294" i="4"/>
  <c r="B294" i="4"/>
  <c r="AR293" i="4"/>
  <c r="AQ293" i="4"/>
  <c r="AP293" i="4"/>
  <c r="AO293" i="4"/>
  <c r="AN293" i="4"/>
  <c r="AM293" i="4"/>
  <c r="AL293" i="4"/>
  <c r="B293" i="4"/>
  <c r="AR292" i="4"/>
  <c r="AQ292" i="4"/>
  <c r="AP292" i="4"/>
  <c r="AO292" i="4"/>
  <c r="AN292" i="4"/>
  <c r="AM292" i="4"/>
  <c r="AL292" i="4"/>
  <c r="B292" i="4"/>
  <c r="AR291" i="4"/>
  <c r="AQ291" i="4"/>
  <c r="AP291" i="4"/>
  <c r="AO291" i="4"/>
  <c r="AN291" i="4"/>
  <c r="AM291" i="4"/>
  <c r="AL291" i="4"/>
  <c r="B291" i="4"/>
  <c r="AR290" i="4"/>
  <c r="AQ290" i="4"/>
  <c r="AP290" i="4"/>
  <c r="AO290" i="4"/>
  <c r="AN290" i="4"/>
  <c r="AM290" i="4"/>
  <c r="AL290" i="4"/>
  <c r="B290" i="4"/>
  <c r="AR289" i="4"/>
  <c r="AQ289" i="4"/>
  <c r="AP289" i="4"/>
  <c r="AO289" i="4"/>
  <c r="AN289" i="4"/>
  <c r="AM289" i="4"/>
  <c r="AL289" i="4"/>
  <c r="B289" i="4"/>
  <c r="AR288" i="4"/>
  <c r="AQ288" i="4"/>
  <c r="AP288" i="4"/>
  <c r="AO288" i="4"/>
  <c r="AN288" i="4"/>
  <c r="AM288" i="4"/>
  <c r="AL288" i="4"/>
  <c r="B288" i="4"/>
  <c r="AR287" i="4"/>
  <c r="AQ287" i="4"/>
  <c r="AP287" i="4"/>
  <c r="AO287" i="4"/>
  <c r="AN287" i="4"/>
  <c r="AM287" i="4"/>
  <c r="AL287" i="4"/>
  <c r="B287" i="4"/>
  <c r="AR286" i="4"/>
  <c r="AQ286" i="4"/>
  <c r="AP286" i="4"/>
  <c r="AO286" i="4"/>
  <c r="AN286" i="4"/>
  <c r="AM286" i="4"/>
  <c r="AL286" i="4"/>
  <c r="B286" i="4"/>
  <c r="AR285" i="4"/>
  <c r="AQ285" i="4"/>
  <c r="AP285" i="4"/>
  <c r="AO285" i="4"/>
  <c r="AN285" i="4"/>
  <c r="AM285" i="4"/>
  <c r="AL285" i="4"/>
  <c r="B285" i="4"/>
  <c r="AR284" i="4"/>
  <c r="AQ284" i="4"/>
  <c r="AP284" i="4"/>
  <c r="AO284" i="4"/>
  <c r="AN284" i="4"/>
  <c r="AM284" i="4"/>
  <c r="AL284" i="4"/>
  <c r="B284" i="4"/>
  <c r="AR283" i="4"/>
  <c r="AQ283" i="4"/>
  <c r="AP283" i="4"/>
  <c r="AO283" i="4"/>
  <c r="AN283" i="4"/>
  <c r="AM283" i="4"/>
  <c r="AL283" i="4"/>
  <c r="B283" i="4"/>
  <c r="AR282" i="4"/>
  <c r="AQ282" i="4"/>
  <c r="AP282" i="4"/>
  <c r="AO282" i="4"/>
  <c r="AN282" i="4"/>
  <c r="AM282" i="4"/>
  <c r="AL282" i="4"/>
  <c r="B282" i="4"/>
  <c r="AR281" i="4"/>
  <c r="AQ281" i="4"/>
  <c r="AP281" i="4"/>
  <c r="AO281" i="4"/>
  <c r="AN281" i="4"/>
  <c r="AM281" i="4"/>
  <c r="AL281" i="4"/>
  <c r="B281" i="4"/>
  <c r="AR280" i="4"/>
  <c r="AQ280" i="4"/>
  <c r="AP280" i="4"/>
  <c r="AO280" i="4"/>
  <c r="AN280" i="4"/>
  <c r="AM280" i="4"/>
  <c r="AL280" i="4"/>
  <c r="B280" i="4"/>
  <c r="AR279" i="4"/>
  <c r="AQ279" i="4"/>
  <c r="AP279" i="4"/>
  <c r="AO279" i="4"/>
  <c r="AN279" i="4"/>
  <c r="AM279" i="4"/>
  <c r="AL279" i="4"/>
  <c r="B279" i="4"/>
  <c r="AR278" i="4"/>
  <c r="AQ278" i="4"/>
  <c r="AP278" i="4"/>
  <c r="AO278" i="4"/>
  <c r="AN278" i="4"/>
  <c r="AM278" i="4"/>
  <c r="AL278" i="4"/>
  <c r="B278" i="4"/>
  <c r="AR277" i="4"/>
  <c r="AQ277" i="4"/>
  <c r="AP277" i="4"/>
  <c r="AO277" i="4"/>
  <c r="AN277" i="4"/>
  <c r="AM277" i="4"/>
  <c r="AL277" i="4"/>
  <c r="B277" i="4"/>
  <c r="AR276" i="4"/>
  <c r="AQ276" i="4"/>
  <c r="AP276" i="4"/>
  <c r="AO276" i="4"/>
  <c r="AN276" i="4"/>
  <c r="AM276" i="4"/>
  <c r="AL276" i="4"/>
  <c r="B276" i="4"/>
  <c r="AR275" i="4"/>
  <c r="AQ275" i="4"/>
  <c r="AP275" i="4"/>
  <c r="AO275" i="4"/>
  <c r="AN275" i="4"/>
  <c r="AM275" i="4"/>
  <c r="AL275" i="4"/>
  <c r="B275" i="4"/>
  <c r="AR274" i="4"/>
  <c r="AQ274" i="4"/>
  <c r="AP274" i="4"/>
  <c r="AO274" i="4"/>
  <c r="AN274" i="4"/>
  <c r="AM274" i="4"/>
  <c r="AL274" i="4"/>
  <c r="B274" i="4"/>
  <c r="AR273" i="4"/>
  <c r="AQ273" i="4"/>
  <c r="AP273" i="4"/>
  <c r="AO273" i="4"/>
  <c r="AN273" i="4"/>
  <c r="AM273" i="4"/>
  <c r="AL273" i="4"/>
  <c r="B273" i="4"/>
  <c r="AR272" i="4"/>
  <c r="AQ272" i="4"/>
  <c r="AP272" i="4"/>
  <c r="AO272" i="4"/>
  <c r="AN272" i="4"/>
  <c r="AM272" i="4"/>
  <c r="AL272" i="4"/>
  <c r="B272" i="4"/>
  <c r="AR271" i="4"/>
  <c r="AQ271" i="4"/>
  <c r="AP271" i="4"/>
  <c r="AO271" i="4"/>
  <c r="AN271" i="4"/>
  <c r="AM271" i="4"/>
  <c r="AL271" i="4"/>
  <c r="B271" i="4"/>
  <c r="AR270" i="4"/>
  <c r="AQ270" i="4"/>
  <c r="AP270" i="4"/>
  <c r="AO270" i="4"/>
  <c r="AN270" i="4"/>
  <c r="AM270" i="4"/>
  <c r="AL270" i="4"/>
  <c r="B270" i="4"/>
  <c r="AR269" i="4"/>
  <c r="AQ269" i="4"/>
  <c r="AP269" i="4"/>
  <c r="AO269" i="4"/>
  <c r="AN269" i="4"/>
  <c r="AM269" i="4"/>
  <c r="AL269" i="4"/>
  <c r="B269" i="4"/>
  <c r="AR268" i="4"/>
  <c r="AQ268" i="4"/>
  <c r="AP268" i="4"/>
  <c r="AO268" i="4"/>
  <c r="AN268" i="4"/>
  <c r="AM268" i="4"/>
  <c r="AL268" i="4"/>
  <c r="B268" i="4"/>
  <c r="AR267" i="4"/>
  <c r="AQ267" i="4"/>
  <c r="AP267" i="4"/>
  <c r="AO267" i="4"/>
  <c r="AN267" i="4"/>
  <c r="AM267" i="4"/>
  <c r="AL267" i="4"/>
  <c r="B267" i="4"/>
  <c r="AR266" i="4"/>
  <c r="AQ266" i="4"/>
  <c r="AP266" i="4"/>
  <c r="AO266" i="4"/>
  <c r="AN266" i="4"/>
  <c r="AM266" i="4"/>
  <c r="AL266" i="4"/>
  <c r="B266" i="4"/>
  <c r="AR265" i="4"/>
  <c r="AQ265" i="4"/>
  <c r="AP265" i="4"/>
  <c r="AO265" i="4"/>
  <c r="AN265" i="4"/>
  <c r="AM265" i="4"/>
  <c r="AL265" i="4"/>
  <c r="B265" i="4"/>
  <c r="AR264" i="4"/>
  <c r="AQ264" i="4"/>
  <c r="AP264" i="4"/>
  <c r="AO264" i="4"/>
  <c r="AN264" i="4"/>
  <c r="AM264" i="4"/>
  <c r="AL264" i="4"/>
  <c r="B264" i="4"/>
  <c r="AR263" i="4"/>
  <c r="AQ263" i="4"/>
  <c r="AP263" i="4"/>
  <c r="AO263" i="4"/>
  <c r="AN263" i="4"/>
  <c r="AM263" i="4"/>
  <c r="AL263" i="4"/>
  <c r="B263" i="4"/>
  <c r="AR262" i="4"/>
  <c r="AQ262" i="4"/>
  <c r="AP262" i="4"/>
  <c r="AO262" i="4"/>
  <c r="AN262" i="4"/>
  <c r="AM262" i="4"/>
  <c r="AL262" i="4"/>
  <c r="B262" i="4"/>
  <c r="AR261" i="4"/>
  <c r="AQ261" i="4"/>
  <c r="AP261" i="4"/>
  <c r="AO261" i="4"/>
  <c r="AN261" i="4"/>
  <c r="AM261" i="4"/>
  <c r="AL261" i="4"/>
  <c r="B261" i="4"/>
  <c r="AR260" i="4"/>
  <c r="AQ260" i="4"/>
  <c r="AP260" i="4"/>
  <c r="AO260" i="4"/>
  <c r="AN260" i="4"/>
  <c r="AM260" i="4"/>
  <c r="AL260" i="4"/>
  <c r="B260" i="4"/>
  <c r="AR259" i="4"/>
  <c r="AQ259" i="4"/>
  <c r="AP259" i="4"/>
  <c r="AO259" i="4"/>
  <c r="AN259" i="4"/>
  <c r="AM259" i="4"/>
  <c r="AL259" i="4"/>
  <c r="B259" i="4"/>
  <c r="AR258" i="4"/>
  <c r="AQ258" i="4"/>
  <c r="AP258" i="4"/>
  <c r="AO258" i="4"/>
  <c r="AN258" i="4"/>
  <c r="AM258" i="4"/>
  <c r="AL258" i="4"/>
  <c r="B258" i="4"/>
  <c r="AR257" i="4"/>
  <c r="AQ257" i="4"/>
  <c r="AP257" i="4"/>
  <c r="AO257" i="4"/>
  <c r="AN257" i="4"/>
  <c r="AM257" i="4"/>
  <c r="AL257" i="4"/>
  <c r="B257" i="4"/>
  <c r="AR256" i="4"/>
  <c r="AQ256" i="4"/>
  <c r="AP256" i="4"/>
  <c r="AO256" i="4"/>
  <c r="AN256" i="4"/>
  <c r="AM256" i="4"/>
  <c r="AL256" i="4"/>
  <c r="B256" i="4"/>
  <c r="AR255" i="4"/>
  <c r="AQ255" i="4"/>
  <c r="AP255" i="4"/>
  <c r="AO255" i="4"/>
  <c r="AN255" i="4"/>
  <c r="AM255" i="4"/>
  <c r="AL255" i="4"/>
  <c r="B255" i="4"/>
  <c r="AR254" i="4"/>
  <c r="AQ254" i="4"/>
  <c r="AP254" i="4"/>
  <c r="AO254" i="4"/>
  <c r="AN254" i="4"/>
  <c r="AM254" i="4"/>
  <c r="AL254" i="4"/>
  <c r="B254" i="4"/>
  <c r="AR253" i="4"/>
  <c r="AQ253" i="4"/>
  <c r="AP253" i="4"/>
  <c r="AO253" i="4"/>
  <c r="AN253" i="4"/>
  <c r="AM253" i="4"/>
  <c r="AL253" i="4"/>
  <c r="B253" i="4"/>
  <c r="AR252" i="4"/>
  <c r="AQ252" i="4"/>
  <c r="AP252" i="4"/>
  <c r="AO252" i="4"/>
  <c r="AN252" i="4"/>
  <c r="AM252" i="4"/>
  <c r="AL252" i="4"/>
  <c r="B252" i="4"/>
  <c r="AR251" i="4"/>
  <c r="AQ251" i="4"/>
  <c r="AP251" i="4"/>
  <c r="AO251" i="4"/>
  <c r="AN251" i="4"/>
  <c r="AM251" i="4"/>
  <c r="AL251" i="4"/>
  <c r="B251" i="4"/>
  <c r="AR250" i="4"/>
  <c r="AQ250" i="4"/>
  <c r="AP250" i="4"/>
  <c r="AO250" i="4"/>
  <c r="AN250" i="4"/>
  <c r="AM250" i="4"/>
  <c r="AL250" i="4"/>
  <c r="B250" i="4"/>
  <c r="AR249" i="4"/>
  <c r="AQ249" i="4"/>
  <c r="AP249" i="4"/>
  <c r="AO249" i="4"/>
  <c r="AN249" i="4"/>
  <c r="AM249" i="4"/>
  <c r="AL249" i="4"/>
  <c r="B249" i="4"/>
  <c r="AR248" i="4"/>
  <c r="AQ248" i="4"/>
  <c r="AP248" i="4"/>
  <c r="AO248" i="4"/>
  <c r="AN248" i="4"/>
  <c r="AM248" i="4"/>
  <c r="AL248" i="4"/>
  <c r="B248" i="4"/>
  <c r="AR247" i="4"/>
  <c r="AQ247" i="4"/>
  <c r="AP247" i="4"/>
  <c r="AO247" i="4"/>
  <c r="AN247" i="4"/>
  <c r="AM247" i="4"/>
  <c r="AL247" i="4"/>
  <c r="B247" i="4"/>
  <c r="AR246" i="4"/>
  <c r="AQ246" i="4"/>
  <c r="AP246" i="4"/>
  <c r="AO246" i="4"/>
  <c r="AN246" i="4"/>
  <c r="AM246" i="4"/>
  <c r="AL246" i="4"/>
  <c r="B246" i="4"/>
  <c r="AR245" i="4"/>
  <c r="AQ245" i="4"/>
  <c r="AP245" i="4"/>
  <c r="AO245" i="4"/>
  <c r="AN245" i="4"/>
  <c r="AM245" i="4"/>
  <c r="AL245" i="4"/>
  <c r="B245" i="4"/>
  <c r="AR244" i="4"/>
  <c r="AQ244" i="4"/>
  <c r="AP244" i="4"/>
  <c r="AO244" i="4"/>
  <c r="AN244" i="4"/>
  <c r="AM244" i="4"/>
  <c r="AL244" i="4"/>
  <c r="B244" i="4"/>
  <c r="AR243" i="4"/>
  <c r="AQ243" i="4"/>
  <c r="AP243" i="4"/>
  <c r="AO243" i="4"/>
  <c r="AN243" i="4"/>
  <c r="AM243" i="4"/>
  <c r="AL243" i="4"/>
  <c r="B243" i="4"/>
  <c r="AR242" i="4"/>
  <c r="AQ242" i="4"/>
  <c r="AP242" i="4"/>
  <c r="AO242" i="4"/>
  <c r="AN242" i="4"/>
  <c r="AM242" i="4"/>
  <c r="AL242" i="4"/>
  <c r="B242" i="4"/>
  <c r="AR241" i="4"/>
  <c r="AQ241" i="4"/>
  <c r="AP241" i="4"/>
  <c r="AO241" i="4"/>
  <c r="AN241" i="4"/>
  <c r="AM241" i="4"/>
  <c r="AL241" i="4"/>
  <c r="B241" i="4"/>
  <c r="AR240" i="4"/>
  <c r="AQ240" i="4"/>
  <c r="AP240" i="4"/>
  <c r="AO240" i="4"/>
  <c r="AN240" i="4"/>
  <c r="AM240" i="4"/>
  <c r="AL240" i="4"/>
  <c r="B240" i="4"/>
  <c r="AR239" i="4"/>
  <c r="AQ239" i="4"/>
  <c r="AP239" i="4"/>
  <c r="AO239" i="4"/>
  <c r="AN239" i="4"/>
  <c r="AM239" i="4"/>
  <c r="AL239" i="4"/>
  <c r="B239" i="4"/>
  <c r="AR238" i="4"/>
  <c r="AQ238" i="4"/>
  <c r="AP238" i="4"/>
  <c r="AO238" i="4"/>
  <c r="AN238" i="4"/>
  <c r="AM238" i="4"/>
  <c r="AL238" i="4"/>
  <c r="B238" i="4"/>
  <c r="AR237" i="4"/>
  <c r="AQ237" i="4"/>
  <c r="AP237" i="4"/>
  <c r="AO237" i="4"/>
  <c r="AN237" i="4"/>
  <c r="AM237" i="4"/>
  <c r="AL237" i="4"/>
  <c r="B237" i="4"/>
  <c r="AR236" i="4"/>
  <c r="AQ236" i="4"/>
  <c r="AP236" i="4"/>
  <c r="AO236" i="4"/>
  <c r="AN236" i="4"/>
  <c r="AM236" i="4"/>
  <c r="AL236" i="4"/>
  <c r="B236" i="4"/>
  <c r="AR235" i="4"/>
  <c r="AQ235" i="4"/>
  <c r="AP235" i="4"/>
  <c r="AO235" i="4"/>
  <c r="AN235" i="4"/>
  <c r="AM235" i="4"/>
  <c r="AL235" i="4"/>
  <c r="B235" i="4"/>
  <c r="AR234" i="4"/>
  <c r="AQ234" i="4"/>
  <c r="AP234" i="4"/>
  <c r="AO234" i="4"/>
  <c r="AN234" i="4"/>
  <c r="AM234" i="4"/>
  <c r="AL234" i="4"/>
  <c r="B234" i="4"/>
  <c r="AR233" i="4"/>
  <c r="AQ233" i="4"/>
  <c r="AP233" i="4"/>
  <c r="AO233" i="4"/>
  <c r="AN233" i="4"/>
  <c r="AM233" i="4"/>
  <c r="AL233" i="4"/>
  <c r="B233" i="4"/>
  <c r="AR232" i="4"/>
  <c r="AQ232" i="4"/>
  <c r="AP232" i="4"/>
  <c r="AO232" i="4"/>
  <c r="AN232" i="4"/>
  <c r="AM232" i="4"/>
  <c r="AL232" i="4"/>
  <c r="B232" i="4"/>
  <c r="AR231" i="4"/>
  <c r="AQ231" i="4"/>
  <c r="AP231" i="4"/>
  <c r="AO231" i="4"/>
  <c r="AN231" i="4"/>
  <c r="AM231" i="4"/>
  <c r="AL231" i="4"/>
  <c r="B231" i="4"/>
  <c r="AR230" i="4"/>
  <c r="AQ230" i="4"/>
  <c r="AP230" i="4"/>
  <c r="AO230" i="4"/>
  <c r="AN230" i="4"/>
  <c r="AM230" i="4"/>
  <c r="AL230" i="4"/>
  <c r="B230" i="4"/>
  <c r="AR229" i="4"/>
  <c r="AQ229" i="4"/>
  <c r="AP229" i="4"/>
  <c r="AO229" i="4"/>
  <c r="AN229" i="4"/>
  <c r="AM229" i="4"/>
  <c r="AL229" i="4"/>
  <c r="B229" i="4"/>
  <c r="AR228" i="4"/>
  <c r="AQ228" i="4"/>
  <c r="AP228" i="4"/>
  <c r="AO228" i="4"/>
  <c r="AN228" i="4"/>
  <c r="AM228" i="4"/>
  <c r="AL228" i="4"/>
  <c r="B228" i="4"/>
  <c r="AR227" i="4"/>
  <c r="AQ227" i="4"/>
  <c r="AP227" i="4"/>
  <c r="AO227" i="4"/>
  <c r="AN227" i="4"/>
  <c r="AM227" i="4"/>
  <c r="AL227" i="4"/>
  <c r="B227" i="4"/>
  <c r="AR226" i="4"/>
  <c r="AQ226" i="4"/>
  <c r="AP226" i="4"/>
  <c r="AO226" i="4"/>
  <c r="AN226" i="4"/>
  <c r="AM226" i="4"/>
  <c r="AL226" i="4"/>
  <c r="B226" i="4"/>
  <c r="AR225" i="4"/>
  <c r="AQ225" i="4"/>
  <c r="AP225" i="4"/>
  <c r="AO225" i="4"/>
  <c r="AN225" i="4"/>
  <c r="AM225" i="4"/>
  <c r="AL225" i="4"/>
  <c r="B225" i="4"/>
  <c r="AR224" i="4"/>
  <c r="AQ224" i="4"/>
  <c r="AP224" i="4"/>
  <c r="AO224" i="4"/>
  <c r="AN224" i="4"/>
  <c r="AM224" i="4"/>
  <c r="AL224" i="4"/>
  <c r="B224" i="4"/>
  <c r="AR223" i="4"/>
  <c r="AQ223" i="4"/>
  <c r="AP223" i="4"/>
  <c r="AO223" i="4"/>
  <c r="AN223" i="4"/>
  <c r="AM223" i="4"/>
  <c r="AL223" i="4"/>
  <c r="B223" i="4"/>
  <c r="AR222" i="4"/>
  <c r="AQ222" i="4"/>
  <c r="AP222" i="4"/>
  <c r="AO222" i="4"/>
  <c r="AN222" i="4"/>
  <c r="AM222" i="4"/>
  <c r="AL222" i="4"/>
  <c r="B222" i="4"/>
  <c r="AR221" i="4"/>
  <c r="AQ221" i="4"/>
  <c r="AP221" i="4"/>
  <c r="AO221" i="4"/>
  <c r="AN221" i="4"/>
  <c r="AM221" i="4"/>
  <c r="AL221" i="4"/>
  <c r="B221" i="4"/>
  <c r="AR220" i="4"/>
  <c r="AQ220" i="4"/>
  <c r="AP220" i="4"/>
  <c r="AO220" i="4"/>
  <c r="AN220" i="4"/>
  <c r="AM220" i="4"/>
  <c r="AL220" i="4"/>
  <c r="B220" i="4"/>
  <c r="AR219" i="4"/>
  <c r="AQ219" i="4"/>
  <c r="AP219" i="4"/>
  <c r="AO219" i="4"/>
  <c r="AN219" i="4"/>
  <c r="AM219" i="4"/>
  <c r="AL219" i="4"/>
  <c r="B219" i="4"/>
  <c r="AR218" i="4"/>
  <c r="AQ218" i="4"/>
  <c r="AP218" i="4"/>
  <c r="AO218" i="4"/>
  <c r="AN218" i="4"/>
  <c r="AM218" i="4"/>
  <c r="AL218" i="4"/>
  <c r="B218" i="4"/>
  <c r="AR217" i="4"/>
  <c r="AQ217" i="4"/>
  <c r="AP217" i="4"/>
  <c r="AO217" i="4"/>
  <c r="AN217" i="4"/>
  <c r="AM217" i="4"/>
  <c r="AL217" i="4"/>
  <c r="B217" i="4"/>
  <c r="AR216" i="4"/>
  <c r="AQ216" i="4"/>
  <c r="AP216" i="4"/>
  <c r="AO216" i="4"/>
  <c r="AN216" i="4"/>
  <c r="AM216" i="4"/>
  <c r="AL216" i="4"/>
  <c r="B216" i="4"/>
  <c r="AR215" i="4"/>
  <c r="AQ215" i="4"/>
  <c r="AP215" i="4"/>
  <c r="AO215" i="4"/>
  <c r="AN215" i="4"/>
  <c r="AM215" i="4"/>
  <c r="AL215" i="4"/>
  <c r="B215" i="4"/>
  <c r="AR214" i="4"/>
  <c r="AQ214" i="4"/>
  <c r="AP214" i="4"/>
  <c r="AO214" i="4"/>
  <c r="AN214" i="4"/>
  <c r="AM214" i="4"/>
  <c r="AL214" i="4"/>
  <c r="B214" i="4"/>
  <c r="AR213" i="4"/>
  <c r="AQ213" i="4"/>
  <c r="AP213" i="4"/>
  <c r="AO213" i="4"/>
  <c r="AN213" i="4"/>
  <c r="AM213" i="4"/>
  <c r="AL213" i="4"/>
  <c r="B213" i="4"/>
  <c r="AR212" i="4"/>
  <c r="AQ212" i="4"/>
  <c r="AP212" i="4"/>
  <c r="AO212" i="4"/>
  <c r="AN212" i="4"/>
  <c r="AM212" i="4"/>
  <c r="AL212" i="4"/>
  <c r="B212" i="4"/>
  <c r="AR211" i="4"/>
  <c r="AQ211" i="4"/>
  <c r="AP211" i="4"/>
  <c r="AO211" i="4"/>
  <c r="AN211" i="4"/>
  <c r="AM211" i="4"/>
  <c r="AL211" i="4"/>
  <c r="B211" i="4"/>
  <c r="AR210" i="4"/>
  <c r="AQ210" i="4"/>
  <c r="AP210" i="4"/>
  <c r="AO210" i="4"/>
  <c r="AN210" i="4"/>
  <c r="AM210" i="4"/>
  <c r="AL210" i="4"/>
  <c r="B210" i="4"/>
  <c r="AR209" i="4"/>
  <c r="AQ209" i="4"/>
  <c r="AP209" i="4"/>
  <c r="AO209" i="4"/>
  <c r="AN209" i="4"/>
  <c r="AM209" i="4"/>
  <c r="AL209" i="4"/>
  <c r="B209" i="4"/>
  <c r="AR208" i="4"/>
  <c r="AQ208" i="4"/>
  <c r="AP208" i="4"/>
  <c r="AO208" i="4"/>
  <c r="AN208" i="4"/>
  <c r="AM208" i="4"/>
  <c r="AL208" i="4"/>
  <c r="B208" i="4"/>
  <c r="AR207" i="4"/>
  <c r="AQ207" i="4"/>
  <c r="AP207" i="4"/>
  <c r="AO207" i="4"/>
  <c r="AN207" i="4"/>
  <c r="AM207" i="4"/>
  <c r="AL207" i="4"/>
  <c r="B207" i="4"/>
  <c r="AR206" i="4"/>
  <c r="AQ206" i="4"/>
  <c r="AP206" i="4"/>
  <c r="AO206" i="4"/>
  <c r="AN206" i="4"/>
  <c r="AM206" i="4"/>
  <c r="AL206" i="4"/>
  <c r="B206" i="4"/>
  <c r="AR205" i="4"/>
  <c r="AQ205" i="4"/>
  <c r="AP205" i="4"/>
  <c r="AO205" i="4"/>
  <c r="AN205" i="4"/>
  <c r="AM205" i="4"/>
  <c r="AL205" i="4"/>
  <c r="B205" i="4"/>
  <c r="AR204" i="4"/>
  <c r="AQ204" i="4"/>
  <c r="AP204" i="4"/>
  <c r="AO204" i="4"/>
  <c r="AN204" i="4"/>
  <c r="AM204" i="4"/>
  <c r="AL204" i="4"/>
  <c r="B204" i="4"/>
  <c r="AR203" i="4"/>
  <c r="AQ203" i="4"/>
  <c r="AP203" i="4"/>
  <c r="AO203" i="4"/>
  <c r="AN203" i="4"/>
  <c r="AM203" i="4"/>
  <c r="AL203" i="4"/>
  <c r="B203" i="4"/>
  <c r="AR202" i="4"/>
  <c r="AQ202" i="4"/>
  <c r="AP202" i="4"/>
  <c r="AO202" i="4"/>
  <c r="AN202" i="4"/>
  <c r="AM202" i="4"/>
  <c r="AL202" i="4"/>
  <c r="B202" i="4"/>
  <c r="AR201" i="4"/>
  <c r="AQ201" i="4"/>
  <c r="AP201" i="4"/>
  <c r="AO201" i="4"/>
  <c r="AN201" i="4"/>
  <c r="AM201" i="4"/>
  <c r="AL201" i="4"/>
  <c r="B201" i="4"/>
  <c r="AR200" i="4"/>
  <c r="AQ200" i="4"/>
  <c r="AP200" i="4"/>
  <c r="AO200" i="4"/>
  <c r="AN200" i="4"/>
  <c r="AM200" i="4"/>
  <c r="AL200" i="4"/>
  <c r="B200" i="4"/>
  <c r="AR199" i="4"/>
  <c r="AQ199" i="4"/>
  <c r="AP199" i="4"/>
  <c r="AO199" i="4"/>
  <c r="AN199" i="4"/>
  <c r="AM199" i="4"/>
  <c r="AL199" i="4"/>
  <c r="B199" i="4"/>
  <c r="AR198" i="4"/>
  <c r="AQ198" i="4"/>
  <c r="AP198" i="4"/>
  <c r="AO198" i="4"/>
  <c r="AN198" i="4"/>
  <c r="AM198" i="4"/>
  <c r="AL198" i="4"/>
  <c r="B198" i="4"/>
  <c r="AR197" i="4"/>
  <c r="AQ197" i="4"/>
  <c r="AP197" i="4"/>
  <c r="AO197" i="4"/>
  <c r="AN197" i="4"/>
  <c r="AM197" i="4"/>
  <c r="AL197" i="4"/>
  <c r="B197" i="4"/>
  <c r="AR196" i="4"/>
  <c r="AQ196" i="4"/>
  <c r="AP196" i="4"/>
  <c r="AO196" i="4"/>
  <c r="AN196" i="4"/>
  <c r="AM196" i="4"/>
  <c r="AL196" i="4"/>
  <c r="B196" i="4"/>
  <c r="AR195" i="4"/>
  <c r="AQ195" i="4"/>
  <c r="AP195" i="4"/>
  <c r="AO195" i="4"/>
  <c r="AN195" i="4"/>
  <c r="AM195" i="4"/>
  <c r="AL195" i="4"/>
  <c r="B195" i="4"/>
  <c r="AR194" i="4"/>
  <c r="AQ194" i="4"/>
  <c r="AP194" i="4"/>
  <c r="AO194" i="4"/>
  <c r="AN194" i="4"/>
  <c r="AM194" i="4"/>
  <c r="AL194" i="4"/>
  <c r="B194" i="4"/>
  <c r="AR193" i="4"/>
  <c r="AQ193" i="4"/>
  <c r="AP193" i="4"/>
  <c r="AO193" i="4"/>
  <c r="AN193" i="4"/>
  <c r="AM193" i="4"/>
  <c r="AL193" i="4"/>
  <c r="B193" i="4"/>
  <c r="AR192" i="4"/>
  <c r="AQ192" i="4"/>
  <c r="AP192" i="4"/>
  <c r="AO192" i="4"/>
  <c r="AN192" i="4"/>
  <c r="AM192" i="4"/>
  <c r="AL192" i="4"/>
  <c r="B192" i="4"/>
  <c r="AR191" i="4"/>
  <c r="AQ191" i="4"/>
  <c r="AP191" i="4"/>
  <c r="AO191" i="4"/>
  <c r="AN191" i="4"/>
  <c r="AM191" i="4"/>
  <c r="AL191" i="4"/>
  <c r="B191" i="4"/>
  <c r="AR190" i="4"/>
  <c r="AQ190" i="4"/>
  <c r="AP190" i="4"/>
  <c r="AO190" i="4"/>
  <c r="AN190" i="4"/>
  <c r="AM190" i="4"/>
  <c r="AL190" i="4"/>
  <c r="B190" i="4"/>
  <c r="AR189" i="4"/>
  <c r="AQ189" i="4"/>
  <c r="AP189" i="4"/>
  <c r="AO189" i="4"/>
  <c r="AN189" i="4"/>
  <c r="AM189" i="4"/>
  <c r="AL189" i="4"/>
  <c r="B189" i="4"/>
  <c r="AR188" i="4"/>
  <c r="AQ188" i="4"/>
  <c r="AP188" i="4"/>
  <c r="AO188" i="4"/>
  <c r="AN188" i="4"/>
  <c r="AM188" i="4"/>
  <c r="AL188" i="4"/>
  <c r="B188" i="4"/>
  <c r="AR187" i="4"/>
  <c r="AQ187" i="4"/>
  <c r="AP187" i="4"/>
  <c r="AO187" i="4"/>
  <c r="AN187" i="4"/>
  <c r="AM187" i="4"/>
  <c r="AL187" i="4"/>
  <c r="B187" i="4"/>
  <c r="AR186" i="4"/>
  <c r="AQ186" i="4"/>
  <c r="AP186" i="4"/>
  <c r="AO186" i="4"/>
  <c r="AN186" i="4"/>
  <c r="AM186" i="4"/>
  <c r="AL186" i="4"/>
  <c r="B186" i="4"/>
  <c r="AR185" i="4"/>
  <c r="AQ185" i="4"/>
  <c r="AP185" i="4"/>
  <c r="AO185" i="4"/>
  <c r="AN185" i="4"/>
  <c r="AM185" i="4"/>
  <c r="AL185" i="4"/>
  <c r="B185" i="4"/>
  <c r="AR184" i="4"/>
  <c r="AQ184" i="4"/>
  <c r="AP184" i="4"/>
  <c r="AO184" i="4"/>
  <c r="AN184" i="4"/>
  <c r="AM184" i="4"/>
  <c r="AL184" i="4"/>
  <c r="B184" i="4"/>
  <c r="AR183" i="4"/>
  <c r="AQ183" i="4"/>
  <c r="AP183" i="4"/>
  <c r="AO183" i="4"/>
  <c r="AN183" i="4"/>
  <c r="AM183" i="4"/>
  <c r="AL183" i="4"/>
  <c r="B183" i="4"/>
  <c r="AR182" i="4"/>
  <c r="AQ182" i="4"/>
  <c r="AP182" i="4"/>
  <c r="AO182" i="4"/>
  <c r="AN182" i="4"/>
  <c r="AM182" i="4"/>
  <c r="AL182" i="4"/>
  <c r="B182" i="4"/>
  <c r="AR181" i="4"/>
  <c r="AQ181" i="4"/>
  <c r="AP181" i="4"/>
  <c r="AO181" i="4"/>
  <c r="AN181" i="4"/>
  <c r="AM181" i="4"/>
  <c r="AL181" i="4"/>
  <c r="B181" i="4"/>
  <c r="AR180" i="4"/>
  <c r="AQ180" i="4"/>
  <c r="AP180" i="4"/>
  <c r="AO180" i="4"/>
  <c r="AN180" i="4"/>
  <c r="AM180" i="4"/>
  <c r="AL180" i="4"/>
  <c r="B180" i="4"/>
  <c r="AR179" i="4"/>
  <c r="AQ179" i="4"/>
  <c r="AP179" i="4"/>
  <c r="AO179" i="4"/>
  <c r="AN179" i="4"/>
  <c r="AM179" i="4"/>
  <c r="AL179" i="4"/>
  <c r="B179" i="4"/>
  <c r="AR178" i="4"/>
  <c r="AQ178" i="4"/>
  <c r="AP178" i="4"/>
  <c r="AO178" i="4"/>
  <c r="AN178" i="4"/>
  <c r="AM178" i="4"/>
  <c r="AL178" i="4"/>
  <c r="B178" i="4"/>
  <c r="AR177" i="4"/>
  <c r="AQ177" i="4"/>
  <c r="AP177" i="4"/>
  <c r="AO177" i="4"/>
  <c r="AN177" i="4"/>
  <c r="AM177" i="4"/>
  <c r="AL177" i="4"/>
  <c r="B177" i="4"/>
  <c r="AR176" i="4"/>
  <c r="AQ176" i="4"/>
  <c r="AP176" i="4"/>
  <c r="AO176" i="4"/>
  <c r="AN176" i="4"/>
  <c r="AM176" i="4"/>
  <c r="AL176" i="4"/>
  <c r="B176" i="4"/>
  <c r="AR175" i="4"/>
  <c r="AQ175" i="4"/>
  <c r="AP175" i="4"/>
  <c r="AO175" i="4"/>
  <c r="AN175" i="4"/>
  <c r="AM175" i="4"/>
  <c r="AL175" i="4"/>
  <c r="B175" i="4"/>
  <c r="AR174" i="4"/>
  <c r="AQ174" i="4"/>
  <c r="AP174" i="4"/>
  <c r="AO174" i="4"/>
  <c r="AN174" i="4"/>
  <c r="AM174" i="4"/>
  <c r="AL174" i="4"/>
  <c r="B174" i="4"/>
  <c r="AR173" i="4"/>
  <c r="AQ173" i="4"/>
  <c r="AP173" i="4"/>
  <c r="AO173" i="4"/>
  <c r="AN173" i="4"/>
  <c r="AM173" i="4"/>
  <c r="AL173" i="4"/>
  <c r="B173" i="4"/>
  <c r="AR172" i="4"/>
  <c r="AQ172" i="4"/>
  <c r="AP172" i="4"/>
  <c r="AO172" i="4"/>
  <c r="AN172" i="4"/>
  <c r="AM172" i="4"/>
  <c r="AL172" i="4"/>
  <c r="B172" i="4"/>
  <c r="AR171" i="4"/>
  <c r="AQ171" i="4"/>
  <c r="AP171" i="4"/>
  <c r="AO171" i="4"/>
  <c r="AN171" i="4"/>
  <c r="AM171" i="4"/>
  <c r="AL171" i="4"/>
  <c r="B171" i="4"/>
  <c r="AR170" i="4"/>
  <c r="AQ170" i="4"/>
  <c r="AP170" i="4"/>
  <c r="AO170" i="4"/>
  <c r="AN170" i="4"/>
  <c r="AM170" i="4"/>
  <c r="AL170" i="4"/>
  <c r="B170" i="4"/>
  <c r="AR169" i="4"/>
  <c r="AQ169" i="4"/>
  <c r="AP169" i="4"/>
  <c r="AO169" i="4"/>
  <c r="AN169" i="4"/>
  <c r="AM169" i="4"/>
  <c r="AL169" i="4"/>
  <c r="B169" i="4"/>
  <c r="AR168" i="4"/>
  <c r="AQ168" i="4"/>
  <c r="AP168" i="4"/>
  <c r="AO168" i="4"/>
  <c r="AN168" i="4"/>
  <c r="AM168" i="4"/>
  <c r="AL168" i="4"/>
  <c r="B168" i="4"/>
  <c r="AR167" i="4"/>
  <c r="AQ167" i="4"/>
  <c r="AP167" i="4"/>
  <c r="AO167" i="4"/>
  <c r="AN167" i="4"/>
  <c r="AM167" i="4"/>
  <c r="AL167" i="4"/>
  <c r="B167" i="4"/>
  <c r="AR166" i="4"/>
  <c r="AQ166" i="4"/>
  <c r="AP166" i="4"/>
  <c r="AO166" i="4"/>
  <c r="AN166" i="4"/>
  <c r="AM166" i="4"/>
  <c r="AL166" i="4"/>
  <c r="B166" i="4"/>
  <c r="AR165" i="4"/>
  <c r="AQ165" i="4"/>
  <c r="AP165" i="4"/>
  <c r="AO165" i="4"/>
  <c r="AN165" i="4"/>
  <c r="AM165" i="4"/>
  <c r="AL165" i="4"/>
  <c r="B165" i="4"/>
  <c r="AR164" i="4"/>
  <c r="AQ164" i="4"/>
  <c r="AP164" i="4"/>
  <c r="AO164" i="4"/>
  <c r="AN164" i="4"/>
  <c r="AM164" i="4"/>
  <c r="AL164" i="4"/>
  <c r="B164" i="4"/>
  <c r="AR163" i="4"/>
  <c r="AQ163" i="4"/>
  <c r="AP163" i="4"/>
  <c r="AO163" i="4"/>
  <c r="AN163" i="4"/>
  <c r="AM163" i="4"/>
  <c r="AL163" i="4"/>
  <c r="B163" i="4"/>
  <c r="AR162" i="4"/>
  <c r="AQ162" i="4"/>
  <c r="AP162" i="4"/>
  <c r="AO162" i="4"/>
  <c r="AN162" i="4"/>
  <c r="AM162" i="4"/>
  <c r="AL162" i="4"/>
  <c r="B162" i="4"/>
  <c r="AR161" i="4"/>
  <c r="AQ161" i="4"/>
  <c r="AP161" i="4"/>
  <c r="AO161" i="4"/>
  <c r="AN161" i="4"/>
  <c r="AM161" i="4"/>
  <c r="AL161" i="4"/>
  <c r="B161" i="4"/>
  <c r="AR160" i="4"/>
  <c r="AQ160" i="4"/>
  <c r="AP160" i="4"/>
  <c r="AO160" i="4"/>
  <c r="AN160" i="4"/>
  <c r="AM160" i="4"/>
  <c r="AL160" i="4"/>
  <c r="B160" i="4"/>
  <c r="AR159" i="4"/>
  <c r="AQ159" i="4"/>
  <c r="AP159" i="4"/>
  <c r="AO159" i="4"/>
  <c r="AN159" i="4"/>
  <c r="AM159" i="4"/>
  <c r="AL159" i="4"/>
  <c r="B159" i="4"/>
  <c r="AR158" i="4"/>
  <c r="AQ158" i="4"/>
  <c r="AP158" i="4"/>
  <c r="AO158" i="4"/>
  <c r="AN158" i="4"/>
  <c r="AM158" i="4"/>
  <c r="AL158" i="4"/>
  <c r="B158" i="4"/>
  <c r="AR157" i="4"/>
  <c r="AQ157" i="4"/>
  <c r="AP157" i="4"/>
  <c r="AO157" i="4"/>
  <c r="AN157" i="4"/>
  <c r="AM157" i="4"/>
  <c r="AL157" i="4"/>
  <c r="B157" i="4"/>
  <c r="AR156" i="4"/>
  <c r="AQ156" i="4"/>
  <c r="AP156" i="4"/>
  <c r="AO156" i="4"/>
  <c r="AN156" i="4"/>
  <c r="AM156" i="4"/>
  <c r="AL156" i="4"/>
  <c r="B156" i="4"/>
  <c r="AR155" i="4"/>
  <c r="AQ155" i="4"/>
  <c r="AP155" i="4"/>
  <c r="AO155" i="4"/>
  <c r="AN155" i="4"/>
  <c r="AM155" i="4"/>
  <c r="AL155" i="4"/>
  <c r="B155" i="4"/>
  <c r="AR154" i="4"/>
  <c r="AQ154" i="4"/>
  <c r="AP154" i="4"/>
  <c r="AO154" i="4"/>
  <c r="AN154" i="4"/>
  <c r="AM154" i="4"/>
  <c r="AL154" i="4"/>
  <c r="B154" i="4"/>
  <c r="AR153" i="4"/>
  <c r="AQ153" i="4"/>
  <c r="AP153" i="4"/>
  <c r="AO153" i="4"/>
  <c r="AN153" i="4"/>
  <c r="AM153" i="4"/>
  <c r="AL153" i="4"/>
  <c r="B153" i="4"/>
  <c r="AR152" i="4"/>
  <c r="AQ152" i="4"/>
  <c r="AP152" i="4"/>
  <c r="AO152" i="4"/>
  <c r="AN152" i="4"/>
  <c r="AM152" i="4"/>
  <c r="AL152" i="4"/>
  <c r="B152" i="4"/>
  <c r="AR151" i="4"/>
  <c r="AQ151" i="4"/>
  <c r="AP151" i="4"/>
  <c r="AO151" i="4"/>
  <c r="AN151" i="4"/>
  <c r="AM151" i="4"/>
  <c r="AL151" i="4"/>
  <c r="B151" i="4"/>
  <c r="AR150" i="4"/>
  <c r="AQ150" i="4"/>
  <c r="AP150" i="4"/>
  <c r="AO150" i="4"/>
  <c r="AN150" i="4"/>
  <c r="AM150" i="4"/>
  <c r="AL150" i="4"/>
  <c r="B150" i="4"/>
  <c r="AR149" i="4"/>
  <c r="AQ149" i="4"/>
  <c r="AP149" i="4"/>
  <c r="AO149" i="4"/>
  <c r="AN149" i="4"/>
  <c r="AM149" i="4"/>
  <c r="AL149" i="4"/>
  <c r="B149" i="4"/>
  <c r="AR148" i="4"/>
  <c r="AQ148" i="4"/>
  <c r="AP148" i="4"/>
  <c r="AO148" i="4"/>
  <c r="AN148" i="4"/>
  <c r="AM148" i="4"/>
  <c r="AL148" i="4"/>
  <c r="B148" i="4"/>
  <c r="AR147" i="4"/>
  <c r="AQ147" i="4"/>
  <c r="AP147" i="4"/>
  <c r="AO147" i="4"/>
  <c r="AN147" i="4"/>
  <c r="AM147" i="4"/>
  <c r="AL147" i="4"/>
  <c r="B147" i="4"/>
  <c r="AR146" i="4"/>
  <c r="AQ146" i="4"/>
  <c r="AP146" i="4"/>
  <c r="AO146" i="4"/>
  <c r="AN146" i="4"/>
  <c r="AM146" i="4"/>
  <c r="AL146" i="4"/>
  <c r="B146" i="4"/>
  <c r="AR145" i="4"/>
  <c r="AQ145" i="4"/>
  <c r="AP145" i="4"/>
  <c r="AO145" i="4"/>
  <c r="AN145" i="4"/>
  <c r="AM145" i="4"/>
  <c r="AL145" i="4"/>
  <c r="B145" i="4"/>
  <c r="AR144" i="4"/>
  <c r="AQ144" i="4"/>
  <c r="AP144" i="4"/>
  <c r="AO144" i="4"/>
  <c r="AN144" i="4"/>
  <c r="AM144" i="4"/>
  <c r="AL144" i="4"/>
  <c r="B144" i="4"/>
  <c r="AR143" i="4"/>
  <c r="AQ143" i="4"/>
  <c r="AP143" i="4"/>
  <c r="AO143" i="4"/>
  <c r="AN143" i="4"/>
  <c r="AM143" i="4"/>
  <c r="AL143" i="4"/>
  <c r="B143" i="4"/>
  <c r="AR142" i="4"/>
  <c r="AQ142" i="4"/>
  <c r="AP142" i="4"/>
  <c r="AO142" i="4"/>
  <c r="AN142" i="4"/>
  <c r="AM142" i="4"/>
  <c r="AL142" i="4"/>
  <c r="B142" i="4"/>
  <c r="AR141" i="4"/>
  <c r="AQ141" i="4"/>
  <c r="AP141" i="4"/>
  <c r="AO141" i="4"/>
  <c r="AN141" i="4"/>
  <c r="AM141" i="4"/>
  <c r="AL141" i="4"/>
  <c r="B141" i="4"/>
  <c r="AR140" i="4"/>
  <c r="AQ140" i="4"/>
  <c r="AP140" i="4"/>
  <c r="AO140" i="4"/>
  <c r="AN140" i="4"/>
  <c r="AM140" i="4"/>
  <c r="AL140" i="4"/>
  <c r="B140" i="4"/>
  <c r="AR139" i="4"/>
  <c r="AQ139" i="4"/>
  <c r="AP139" i="4"/>
  <c r="AO139" i="4"/>
  <c r="AN139" i="4"/>
  <c r="AM139" i="4"/>
  <c r="AL139" i="4"/>
  <c r="B139" i="4"/>
  <c r="AR138" i="4"/>
  <c r="AQ138" i="4"/>
  <c r="AP138" i="4"/>
  <c r="AO138" i="4"/>
  <c r="AN138" i="4"/>
  <c r="AM138" i="4"/>
  <c r="AL138" i="4"/>
  <c r="B138" i="4"/>
  <c r="AR137" i="4"/>
  <c r="AQ137" i="4"/>
  <c r="AP137" i="4"/>
  <c r="AO137" i="4"/>
  <c r="AN137" i="4"/>
  <c r="AM137" i="4"/>
  <c r="AL137" i="4"/>
  <c r="B137" i="4"/>
  <c r="AR136" i="4"/>
  <c r="AQ136" i="4"/>
  <c r="AP136" i="4"/>
  <c r="AO136" i="4"/>
  <c r="AN136" i="4"/>
  <c r="AM136" i="4"/>
  <c r="AL136" i="4"/>
  <c r="B136" i="4"/>
  <c r="AR135" i="4"/>
  <c r="AQ135" i="4"/>
  <c r="AP135" i="4"/>
  <c r="AO135" i="4"/>
  <c r="AN135" i="4"/>
  <c r="AM135" i="4"/>
  <c r="AL135" i="4"/>
  <c r="B135" i="4"/>
  <c r="AR134" i="4"/>
  <c r="AQ134" i="4"/>
  <c r="AP134" i="4"/>
  <c r="AO134" i="4"/>
  <c r="AN134" i="4"/>
  <c r="AM134" i="4"/>
  <c r="AL134" i="4"/>
  <c r="B134" i="4"/>
  <c r="AR133" i="4"/>
  <c r="AQ133" i="4"/>
  <c r="AP133" i="4"/>
  <c r="AO133" i="4"/>
  <c r="AN133" i="4"/>
  <c r="AM133" i="4"/>
  <c r="AL133" i="4"/>
  <c r="B133" i="4"/>
  <c r="AR132" i="4"/>
  <c r="AQ132" i="4"/>
  <c r="AP132" i="4"/>
  <c r="AO132" i="4"/>
  <c r="AN132" i="4"/>
  <c r="AM132" i="4"/>
  <c r="AL132" i="4"/>
  <c r="B132" i="4"/>
  <c r="AR131" i="4"/>
  <c r="AQ131" i="4"/>
  <c r="AP131" i="4"/>
  <c r="AO131" i="4"/>
  <c r="AN131" i="4"/>
  <c r="AM131" i="4"/>
  <c r="AL131" i="4"/>
  <c r="B131" i="4"/>
  <c r="AR130" i="4"/>
  <c r="AQ130" i="4"/>
  <c r="AP130" i="4"/>
  <c r="AO130" i="4"/>
  <c r="AN130" i="4"/>
  <c r="AM130" i="4"/>
  <c r="AL130" i="4"/>
  <c r="B130" i="4"/>
  <c r="AR129" i="4"/>
  <c r="AQ129" i="4"/>
  <c r="AP129" i="4"/>
  <c r="AO129" i="4"/>
  <c r="AN129" i="4"/>
  <c r="AM129" i="4"/>
  <c r="AL129" i="4"/>
  <c r="B129" i="4"/>
  <c r="AR128" i="4"/>
  <c r="AQ128" i="4"/>
  <c r="AP128" i="4"/>
  <c r="AO128" i="4"/>
  <c r="AN128" i="4"/>
  <c r="AM128" i="4"/>
  <c r="AL128" i="4"/>
  <c r="B128" i="4"/>
  <c r="AR127" i="4"/>
  <c r="AQ127" i="4"/>
  <c r="AP127" i="4"/>
  <c r="AO127" i="4"/>
  <c r="AN127" i="4"/>
  <c r="AM127" i="4"/>
  <c r="AL127" i="4"/>
  <c r="B127" i="4"/>
  <c r="AR126" i="4"/>
  <c r="AQ126" i="4"/>
  <c r="AP126" i="4"/>
  <c r="AO126" i="4"/>
  <c r="AN126" i="4"/>
  <c r="AM126" i="4"/>
  <c r="AL126" i="4"/>
  <c r="B126" i="4"/>
  <c r="AR125" i="4"/>
  <c r="AQ125" i="4"/>
  <c r="AP125" i="4"/>
  <c r="AO125" i="4"/>
  <c r="AN125" i="4"/>
  <c r="AM125" i="4"/>
  <c r="AL125" i="4"/>
  <c r="B125" i="4"/>
  <c r="AR124" i="4"/>
  <c r="AQ124" i="4"/>
  <c r="AP124" i="4"/>
  <c r="AO124" i="4"/>
  <c r="AN124" i="4"/>
  <c r="AM124" i="4"/>
  <c r="AL124" i="4"/>
  <c r="B124" i="4"/>
  <c r="AR123" i="4"/>
  <c r="AQ123" i="4"/>
  <c r="AP123" i="4"/>
  <c r="AO123" i="4"/>
  <c r="AN123" i="4"/>
  <c r="AM123" i="4"/>
  <c r="AL123" i="4"/>
  <c r="B123" i="4"/>
  <c r="AR122" i="4"/>
  <c r="AQ122" i="4"/>
  <c r="AP122" i="4"/>
  <c r="AO122" i="4"/>
  <c r="AN122" i="4"/>
  <c r="AM122" i="4"/>
  <c r="AL122" i="4"/>
  <c r="B122" i="4"/>
  <c r="AR121" i="4"/>
  <c r="AQ121" i="4"/>
  <c r="AP121" i="4"/>
  <c r="AO121" i="4"/>
  <c r="AN121" i="4"/>
  <c r="AM121" i="4"/>
  <c r="AL121" i="4"/>
  <c r="B121" i="4"/>
  <c r="AR120" i="4"/>
  <c r="AQ120" i="4"/>
  <c r="AP120" i="4"/>
  <c r="AO120" i="4"/>
  <c r="AN120" i="4"/>
  <c r="AM120" i="4"/>
  <c r="AL120" i="4"/>
  <c r="B120" i="4"/>
  <c r="AR119" i="4"/>
  <c r="AQ119" i="4"/>
  <c r="AP119" i="4"/>
  <c r="AO119" i="4"/>
  <c r="AN119" i="4"/>
  <c r="AM119" i="4"/>
  <c r="AL119" i="4"/>
  <c r="B119" i="4"/>
  <c r="AR118" i="4"/>
  <c r="AQ118" i="4"/>
  <c r="AP118" i="4"/>
  <c r="AO118" i="4"/>
  <c r="AN118" i="4"/>
  <c r="AM118" i="4"/>
  <c r="AL118" i="4"/>
  <c r="B118" i="4"/>
  <c r="AR117" i="4"/>
  <c r="AQ117" i="4"/>
  <c r="AP117" i="4"/>
  <c r="AO117" i="4"/>
  <c r="AN117" i="4"/>
  <c r="AM117" i="4"/>
  <c r="AL117" i="4"/>
  <c r="B117" i="4"/>
  <c r="AR116" i="4"/>
  <c r="AQ116" i="4"/>
  <c r="AP116" i="4"/>
  <c r="AO116" i="4"/>
  <c r="AN116" i="4"/>
  <c r="AM116" i="4"/>
  <c r="AL116" i="4"/>
  <c r="B116" i="4"/>
  <c r="AR115" i="4"/>
  <c r="AQ115" i="4"/>
  <c r="AP115" i="4"/>
  <c r="AO115" i="4"/>
  <c r="AN115" i="4"/>
  <c r="AM115" i="4"/>
  <c r="AL115" i="4"/>
  <c r="B115" i="4"/>
  <c r="AR114" i="4"/>
  <c r="AQ114" i="4"/>
  <c r="AP114" i="4"/>
  <c r="AO114" i="4"/>
  <c r="AN114" i="4"/>
  <c r="AM114" i="4"/>
  <c r="AL114" i="4"/>
  <c r="B114" i="4"/>
  <c r="AR113" i="4"/>
  <c r="AQ113" i="4"/>
  <c r="AP113" i="4"/>
  <c r="AO113" i="4"/>
  <c r="AN113" i="4"/>
  <c r="AM113" i="4"/>
  <c r="AL113" i="4"/>
  <c r="B113" i="4"/>
  <c r="AR112" i="4"/>
  <c r="AQ112" i="4"/>
  <c r="AP112" i="4"/>
  <c r="AO112" i="4"/>
  <c r="AN112" i="4"/>
  <c r="AM112" i="4"/>
  <c r="AL112" i="4"/>
  <c r="B112" i="4"/>
  <c r="AR111" i="4"/>
  <c r="AQ111" i="4"/>
  <c r="AP111" i="4"/>
  <c r="AO111" i="4"/>
  <c r="AN111" i="4"/>
  <c r="AM111" i="4"/>
  <c r="AL111" i="4"/>
  <c r="B111" i="4"/>
  <c r="AR110" i="4"/>
  <c r="AQ110" i="4"/>
  <c r="AP110" i="4"/>
  <c r="AO110" i="4"/>
  <c r="AN110" i="4"/>
  <c r="AM110" i="4"/>
  <c r="AL110" i="4"/>
  <c r="B110" i="4"/>
  <c r="AR109" i="4"/>
  <c r="AQ109" i="4"/>
  <c r="AP109" i="4"/>
  <c r="AO109" i="4"/>
  <c r="AN109" i="4"/>
  <c r="AM109" i="4"/>
  <c r="AL109" i="4"/>
  <c r="B109" i="4"/>
  <c r="AR108" i="4"/>
  <c r="AQ108" i="4"/>
  <c r="AP108" i="4"/>
  <c r="AO108" i="4"/>
  <c r="AN108" i="4"/>
  <c r="AM108" i="4"/>
  <c r="AL108" i="4"/>
  <c r="B108" i="4"/>
  <c r="AR107" i="4"/>
  <c r="AQ107" i="4"/>
  <c r="AP107" i="4"/>
  <c r="AO107" i="4"/>
  <c r="AN107" i="4"/>
  <c r="AM107" i="4"/>
  <c r="AL107" i="4"/>
  <c r="B107" i="4"/>
  <c r="AR106" i="4"/>
  <c r="AQ106" i="4"/>
  <c r="AP106" i="4"/>
  <c r="AO106" i="4"/>
  <c r="AN106" i="4"/>
  <c r="AM106" i="4"/>
  <c r="AL106" i="4"/>
  <c r="B106" i="4"/>
  <c r="AR105" i="4"/>
  <c r="AQ105" i="4"/>
  <c r="AP105" i="4"/>
  <c r="AO105" i="4"/>
  <c r="AN105" i="4"/>
  <c r="AM105" i="4"/>
  <c r="AL105" i="4"/>
  <c r="B105" i="4"/>
  <c r="AR104" i="4"/>
  <c r="AQ104" i="4"/>
  <c r="AP104" i="4"/>
  <c r="AO104" i="4"/>
  <c r="AN104" i="4"/>
  <c r="AM104" i="4"/>
  <c r="AL104" i="4"/>
  <c r="B104" i="4"/>
  <c r="AR103" i="4"/>
  <c r="AQ103" i="4"/>
  <c r="AP103" i="4"/>
  <c r="AO103" i="4"/>
  <c r="AN103" i="4"/>
  <c r="AM103" i="4"/>
  <c r="AL103" i="4"/>
  <c r="B103" i="4"/>
  <c r="AR102" i="4"/>
  <c r="AQ102" i="4"/>
  <c r="AP102" i="4"/>
  <c r="AO102" i="4"/>
  <c r="AN102" i="4"/>
  <c r="AM102" i="4"/>
  <c r="AL102" i="4"/>
  <c r="B102" i="4"/>
  <c r="AR101" i="4"/>
  <c r="AQ101" i="4"/>
  <c r="AP101" i="4"/>
  <c r="AO101" i="4"/>
  <c r="AN101" i="4"/>
  <c r="AM101" i="4"/>
  <c r="AL101" i="4"/>
  <c r="B101" i="4"/>
  <c r="AR100" i="4"/>
  <c r="AQ100" i="4"/>
  <c r="AP100" i="4"/>
  <c r="AO100" i="4"/>
  <c r="AN100" i="4"/>
  <c r="AM100" i="4"/>
  <c r="AL100" i="4"/>
  <c r="B100" i="4"/>
  <c r="AR99" i="4"/>
  <c r="AQ99" i="4"/>
  <c r="AP99" i="4"/>
  <c r="AO99" i="4"/>
  <c r="AN99" i="4"/>
  <c r="AM99" i="4"/>
  <c r="AL99" i="4"/>
  <c r="B99" i="4"/>
  <c r="AR98" i="4"/>
  <c r="AQ98" i="4"/>
  <c r="AP98" i="4"/>
  <c r="AO98" i="4"/>
  <c r="AN98" i="4"/>
  <c r="AM98" i="4"/>
  <c r="AL98" i="4"/>
  <c r="B98" i="4"/>
  <c r="AR97" i="4"/>
  <c r="AQ97" i="4"/>
  <c r="AP97" i="4"/>
  <c r="AO97" i="4"/>
  <c r="AN97" i="4"/>
  <c r="AM97" i="4"/>
  <c r="AL97" i="4"/>
  <c r="B97" i="4"/>
  <c r="AR96" i="4"/>
  <c r="AQ96" i="4"/>
  <c r="AP96" i="4"/>
  <c r="AO96" i="4"/>
  <c r="AN96" i="4"/>
  <c r="AM96" i="4"/>
  <c r="AL96" i="4"/>
  <c r="B96" i="4"/>
  <c r="AR95" i="4"/>
  <c r="AQ95" i="4"/>
  <c r="AP95" i="4"/>
  <c r="AO95" i="4"/>
  <c r="AN95" i="4"/>
  <c r="AM95" i="4"/>
  <c r="AL95" i="4"/>
  <c r="B95" i="4"/>
  <c r="AR94" i="4"/>
  <c r="AQ94" i="4"/>
  <c r="AP94" i="4"/>
  <c r="AO94" i="4"/>
  <c r="AN94" i="4"/>
  <c r="AM94" i="4"/>
  <c r="AL94" i="4"/>
  <c r="B94" i="4"/>
  <c r="AR93" i="4"/>
  <c r="AQ93" i="4"/>
  <c r="AP93" i="4"/>
  <c r="AO93" i="4"/>
  <c r="AN93" i="4"/>
  <c r="AM93" i="4"/>
  <c r="AL93" i="4"/>
  <c r="B93" i="4"/>
  <c r="AR92" i="4"/>
  <c r="AQ92" i="4"/>
  <c r="AP92" i="4"/>
  <c r="AO92" i="4"/>
  <c r="AN92" i="4"/>
  <c r="AM92" i="4"/>
  <c r="AL92" i="4"/>
  <c r="B92" i="4"/>
  <c r="AR91" i="4"/>
  <c r="AQ91" i="4"/>
  <c r="AP91" i="4"/>
  <c r="AO91" i="4"/>
  <c r="AN91" i="4"/>
  <c r="AM91" i="4"/>
  <c r="AL91" i="4"/>
  <c r="B91" i="4"/>
  <c r="AR90" i="4"/>
  <c r="AQ90" i="4"/>
  <c r="AP90" i="4"/>
  <c r="AO90" i="4"/>
  <c r="AN90" i="4"/>
  <c r="AM90" i="4"/>
  <c r="AL90" i="4"/>
  <c r="B90" i="4"/>
  <c r="AR89" i="4"/>
  <c r="AQ89" i="4"/>
  <c r="AP89" i="4"/>
  <c r="AO89" i="4"/>
  <c r="AN89" i="4"/>
  <c r="AM89" i="4"/>
  <c r="AL89" i="4"/>
  <c r="B89" i="4"/>
  <c r="AR88" i="4"/>
  <c r="AQ88" i="4"/>
  <c r="AP88" i="4"/>
  <c r="AO88" i="4"/>
  <c r="AN88" i="4"/>
  <c r="AM88" i="4"/>
  <c r="AL88" i="4"/>
  <c r="B88" i="4"/>
  <c r="AR87" i="4"/>
  <c r="AQ87" i="4"/>
  <c r="AP87" i="4"/>
  <c r="AO87" i="4"/>
  <c r="AN87" i="4"/>
  <c r="AM87" i="4"/>
  <c r="AL87" i="4"/>
  <c r="B87" i="4"/>
  <c r="AR86" i="4"/>
  <c r="AQ86" i="4"/>
  <c r="AP86" i="4"/>
  <c r="AO86" i="4"/>
  <c r="AN86" i="4"/>
  <c r="AM86" i="4"/>
  <c r="AL86" i="4"/>
  <c r="B86" i="4"/>
  <c r="AR85" i="4"/>
  <c r="AQ85" i="4"/>
  <c r="AP85" i="4"/>
  <c r="AO85" i="4"/>
  <c r="AN85" i="4"/>
  <c r="AM85" i="4"/>
  <c r="AL85" i="4"/>
  <c r="B85" i="4"/>
  <c r="AR84" i="4"/>
  <c r="AQ84" i="4"/>
  <c r="AP84" i="4"/>
  <c r="AO84" i="4"/>
  <c r="AN84" i="4"/>
  <c r="AM84" i="4"/>
  <c r="AL84" i="4"/>
  <c r="B84" i="4"/>
  <c r="AR83" i="4"/>
  <c r="AQ83" i="4"/>
  <c r="AP83" i="4"/>
  <c r="AO83" i="4"/>
  <c r="AN83" i="4"/>
  <c r="AM83" i="4"/>
  <c r="AL83" i="4"/>
  <c r="B83" i="4"/>
  <c r="AR82" i="4"/>
  <c r="AQ82" i="4"/>
  <c r="AP82" i="4"/>
  <c r="AO82" i="4"/>
  <c r="AN82" i="4"/>
  <c r="AM82" i="4"/>
  <c r="AL82" i="4"/>
  <c r="B82" i="4"/>
  <c r="AR81" i="4"/>
  <c r="AQ81" i="4"/>
  <c r="AP81" i="4"/>
  <c r="AO81" i="4"/>
  <c r="AN81" i="4"/>
  <c r="AM81" i="4"/>
  <c r="AL81" i="4"/>
  <c r="B81" i="4"/>
  <c r="AR80" i="4"/>
  <c r="AQ80" i="4"/>
  <c r="AP80" i="4"/>
  <c r="AO80" i="4"/>
  <c r="AN80" i="4"/>
  <c r="AM80" i="4"/>
  <c r="AL80" i="4"/>
  <c r="B80" i="4"/>
  <c r="AR79" i="4"/>
  <c r="AQ79" i="4"/>
  <c r="AP79" i="4"/>
  <c r="AO79" i="4"/>
  <c r="AN79" i="4"/>
  <c r="AM79" i="4"/>
  <c r="AL79" i="4"/>
  <c r="B79" i="4"/>
  <c r="AR78" i="4"/>
  <c r="AQ78" i="4"/>
  <c r="AP78" i="4"/>
  <c r="AO78" i="4"/>
  <c r="AN78" i="4"/>
  <c r="AM78" i="4"/>
  <c r="AL78" i="4"/>
  <c r="B78" i="4"/>
  <c r="AR77" i="4"/>
  <c r="AQ77" i="4"/>
  <c r="AP77" i="4"/>
  <c r="AO77" i="4"/>
  <c r="AN77" i="4"/>
  <c r="AM77" i="4"/>
  <c r="AL77" i="4"/>
  <c r="B77" i="4"/>
  <c r="AR76" i="4"/>
  <c r="AQ76" i="4"/>
  <c r="AP76" i="4"/>
  <c r="AO76" i="4"/>
  <c r="AN76" i="4"/>
  <c r="AM76" i="4"/>
  <c r="AL76" i="4"/>
  <c r="B76" i="4"/>
  <c r="AR75" i="4"/>
  <c r="AQ75" i="4"/>
  <c r="AP75" i="4"/>
  <c r="AO75" i="4"/>
  <c r="AN75" i="4"/>
  <c r="AM75" i="4"/>
  <c r="AL75" i="4"/>
  <c r="B75" i="4"/>
  <c r="AR74" i="4"/>
  <c r="AQ74" i="4"/>
  <c r="AP74" i="4"/>
  <c r="AO74" i="4"/>
  <c r="AN74" i="4"/>
  <c r="AM74" i="4"/>
  <c r="AL74" i="4"/>
  <c r="B74" i="4"/>
  <c r="AR73" i="4"/>
  <c r="AQ73" i="4"/>
  <c r="AP73" i="4"/>
  <c r="AO73" i="4"/>
  <c r="AN73" i="4"/>
  <c r="AM73" i="4"/>
  <c r="AL73" i="4"/>
  <c r="B73" i="4"/>
  <c r="AR72" i="4"/>
  <c r="AQ72" i="4"/>
  <c r="AP72" i="4"/>
  <c r="AO72" i="4"/>
  <c r="AN72" i="4"/>
  <c r="AM72" i="4"/>
  <c r="AL72" i="4"/>
  <c r="B72" i="4"/>
  <c r="AR71" i="4"/>
  <c r="AQ71" i="4"/>
  <c r="AP71" i="4"/>
  <c r="AO71" i="4"/>
  <c r="AN71" i="4"/>
  <c r="AM71" i="4"/>
  <c r="AL71" i="4"/>
  <c r="B71" i="4"/>
  <c r="AR70" i="4"/>
  <c r="AQ70" i="4"/>
  <c r="AP70" i="4"/>
  <c r="AO70" i="4"/>
  <c r="AN70" i="4"/>
  <c r="AM70" i="4"/>
  <c r="AL70" i="4"/>
  <c r="B70" i="4"/>
  <c r="AR69" i="4"/>
  <c r="AQ69" i="4"/>
  <c r="AP69" i="4"/>
  <c r="AO69" i="4"/>
  <c r="AN69" i="4"/>
  <c r="AM69" i="4"/>
  <c r="AL69" i="4"/>
  <c r="B69" i="4"/>
  <c r="AR68" i="4"/>
  <c r="AQ68" i="4"/>
  <c r="AP68" i="4"/>
  <c r="AO68" i="4"/>
  <c r="AN68" i="4"/>
  <c r="AM68" i="4"/>
  <c r="AL68" i="4"/>
  <c r="B68" i="4"/>
  <c r="AR67" i="4"/>
  <c r="AQ67" i="4"/>
  <c r="AP67" i="4"/>
  <c r="AO67" i="4"/>
  <c r="AN67" i="4"/>
  <c r="AM67" i="4"/>
  <c r="AL67" i="4"/>
  <c r="B67" i="4"/>
  <c r="AR66" i="4"/>
  <c r="AQ66" i="4"/>
  <c r="AP66" i="4"/>
  <c r="AO66" i="4"/>
  <c r="AN66" i="4"/>
  <c r="AM66" i="4"/>
  <c r="AL66" i="4"/>
  <c r="B66" i="4"/>
  <c r="AR65" i="4"/>
  <c r="AQ65" i="4"/>
  <c r="AP65" i="4"/>
  <c r="AO65" i="4"/>
  <c r="AN65" i="4"/>
  <c r="AM65" i="4"/>
  <c r="AL65" i="4"/>
  <c r="B65" i="4"/>
  <c r="AR64" i="4"/>
  <c r="AQ64" i="4"/>
  <c r="AP64" i="4"/>
  <c r="AO64" i="4"/>
  <c r="AN64" i="4"/>
  <c r="AM64" i="4"/>
  <c r="AL64" i="4"/>
  <c r="B64" i="4"/>
  <c r="AR63" i="4"/>
  <c r="AQ63" i="4"/>
  <c r="AP63" i="4"/>
  <c r="AO63" i="4"/>
  <c r="AN63" i="4"/>
  <c r="AM63" i="4"/>
  <c r="AL63" i="4"/>
  <c r="B63" i="4"/>
  <c r="AR62" i="4"/>
  <c r="AQ62" i="4"/>
  <c r="AP62" i="4"/>
  <c r="AO62" i="4"/>
  <c r="AN62" i="4"/>
  <c r="AM62" i="4"/>
  <c r="AL62" i="4"/>
  <c r="B62" i="4"/>
  <c r="AR61" i="4"/>
  <c r="AQ61" i="4"/>
  <c r="AP61" i="4"/>
  <c r="AO61" i="4"/>
  <c r="AN61" i="4"/>
  <c r="AM61" i="4"/>
  <c r="AL61" i="4"/>
  <c r="B61" i="4"/>
  <c r="AR60" i="4"/>
  <c r="AQ60" i="4"/>
  <c r="AP60" i="4"/>
  <c r="AO60" i="4"/>
  <c r="AN60" i="4"/>
  <c r="AM60" i="4"/>
  <c r="AL60" i="4"/>
  <c r="B60" i="4"/>
  <c r="AR59" i="4"/>
  <c r="AQ59" i="4"/>
  <c r="AP59" i="4"/>
  <c r="AO59" i="4"/>
  <c r="AN59" i="4"/>
  <c r="AM59" i="4"/>
  <c r="AL59" i="4"/>
  <c r="B59" i="4"/>
  <c r="AR58" i="4"/>
  <c r="AQ58" i="4"/>
  <c r="AP58" i="4"/>
  <c r="AO58" i="4"/>
  <c r="AN58" i="4"/>
  <c r="AM58" i="4"/>
  <c r="AL58" i="4"/>
  <c r="B58" i="4"/>
  <c r="AR57" i="4"/>
  <c r="AQ57" i="4"/>
  <c r="AP57" i="4"/>
  <c r="AO57" i="4"/>
  <c r="AN57" i="4"/>
  <c r="AM57" i="4"/>
  <c r="AL57" i="4"/>
  <c r="B57" i="4"/>
  <c r="AR56" i="4"/>
  <c r="AQ56" i="4"/>
  <c r="AP56" i="4"/>
  <c r="AO56" i="4"/>
  <c r="AN56" i="4"/>
  <c r="AM56" i="4"/>
  <c r="AL56" i="4"/>
  <c r="B56" i="4"/>
  <c r="AR55" i="4"/>
  <c r="AQ55" i="4"/>
  <c r="AP55" i="4"/>
  <c r="AO55" i="4"/>
  <c r="AN55" i="4"/>
  <c r="AM55" i="4"/>
  <c r="AL55" i="4"/>
  <c r="B55" i="4"/>
  <c r="AR54" i="4"/>
  <c r="AQ54" i="4"/>
  <c r="AP54" i="4"/>
  <c r="AO54" i="4"/>
  <c r="AN54" i="4"/>
  <c r="AM54" i="4"/>
  <c r="AL54" i="4"/>
  <c r="B54" i="4"/>
  <c r="AR53" i="4"/>
  <c r="AQ53" i="4"/>
  <c r="AP53" i="4"/>
  <c r="AO53" i="4"/>
  <c r="AN53" i="4"/>
  <c r="AM53" i="4"/>
  <c r="AL53" i="4"/>
  <c r="B53" i="4"/>
  <c r="AR52" i="4"/>
  <c r="AQ52" i="4"/>
  <c r="AP52" i="4"/>
  <c r="AO52" i="4"/>
  <c r="AN52" i="4"/>
  <c r="AM52" i="4"/>
  <c r="AL52" i="4"/>
  <c r="B52" i="4"/>
  <c r="AR51" i="4"/>
  <c r="AQ51" i="4"/>
  <c r="AP51" i="4"/>
  <c r="AO51" i="4"/>
  <c r="AN51" i="4"/>
  <c r="AM51" i="4"/>
  <c r="AL51" i="4"/>
  <c r="B51" i="4"/>
  <c r="AR50" i="4"/>
  <c r="AQ50" i="4"/>
  <c r="AP50" i="4"/>
  <c r="AO50" i="4"/>
  <c r="AN50" i="4"/>
  <c r="AM50" i="4"/>
  <c r="AL50" i="4"/>
  <c r="B50" i="4"/>
  <c r="AR49" i="4"/>
  <c r="AQ49" i="4"/>
  <c r="AP49" i="4"/>
  <c r="AO49" i="4"/>
  <c r="AN49" i="4"/>
  <c r="AM49" i="4"/>
  <c r="AL49" i="4"/>
  <c r="B49" i="4"/>
  <c r="AR48" i="4"/>
  <c r="AQ48" i="4"/>
  <c r="AP48" i="4"/>
  <c r="AO48" i="4"/>
  <c r="AN48" i="4"/>
  <c r="AM48" i="4"/>
  <c r="AL48" i="4"/>
  <c r="B48" i="4"/>
  <c r="AR47" i="4"/>
  <c r="AQ47" i="4"/>
  <c r="AP47" i="4"/>
  <c r="AO47" i="4"/>
  <c r="AN47" i="4"/>
  <c r="AM47" i="4"/>
  <c r="AL47" i="4"/>
  <c r="B47" i="4"/>
  <c r="AR46" i="4"/>
  <c r="AQ46" i="4"/>
  <c r="AP46" i="4"/>
  <c r="AO46" i="4"/>
  <c r="AN46" i="4"/>
  <c r="AM46" i="4"/>
  <c r="AL46" i="4"/>
  <c r="B46" i="4"/>
  <c r="AR45" i="4"/>
  <c r="AQ45" i="4"/>
  <c r="AP45" i="4"/>
  <c r="AO45" i="4"/>
  <c r="AN45" i="4"/>
  <c r="AM45" i="4"/>
  <c r="AL45" i="4"/>
  <c r="B45" i="4"/>
  <c r="AR44" i="4"/>
  <c r="AQ44" i="4"/>
  <c r="AP44" i="4"/>
  <c r="AO44" i="4"/>
  <c r="AN44" i="4"/>
  <c r="AM44" i="4"/>
  <c r="AL44" i="4"/>
  <c r="B44" i="4"/>
  <c r="AR43" i="4"/>
  <c r="AQ43" i="4"/>
  <c r="AP43" i="4"/>
  <c r="AO43" i="4"/>
  <c r="AN43" i="4"/>
  <c r="AM43" i="4"/>
  <c r="AL43" i="4"/>
  <c r="B43" i="4"/>
  <c r="AR42" i="4"/>
  <c r="AQ42" i="4"/>
  <c r="AP42" i="4"/>
  <c r="AO42" i="4"/>
  <c r="AN42" i="4"/>
  <c r="AM42" i="4"/>
  <c r="AL42" i="4"/>
  <c r="B42" i="4"/>
  <c r="AR41" i="4"/>
  <c r="AQ41" i="4"/>
  <c r="AP41" i="4"/>
  <c r="AO41" i="4"/>
  <c r="AN41" i="4"/>
  <c r="AM41" i="4"/>
  <c r="AL41" i="4"/>
  <c r="B41" i="4"/>
  <c r="AR40" i="4"/>
  <c r="AQ40" i="4"/>
  <c r="AP40" i="4"/>
  <c r="AO40" i="4"/>
  <c r="AN40" i="4"/>
  <c r="AM40" i="4"/>
  <c r="AL40" i="4"/>
  <c r="B40" i="4"/>
  <c r="AR39" i="4"/>
  <c r="AQ39" i="4"/>
  <c r="AP39" i="4"/>
  <c r="AO39" i="4"/>
  <c r="AN39" i="4"/>
  <c r="AM39" i="4"/>
  <c r="AL39" i="4"/>
  <c r="B39" i="4"/>
  <c r="AR38" i="4"/>
  <c r="AQ38" i="4"/>
  <c r="AP38" i="4"/>
  <c r="AO38" i="4"/>
  <c r="AN38" i="4"/>
  <c r="AM38" i="4"/>
  <c r="AL38" i="4"/>
  <c r="B38" i="4"/>
  <c r="AR37" i="4"/>
  <c r="AQ37" i="4"/>
  <c r="AP37" i="4"/>
  <c r="AO37" i="4"/>
  <c r="AN37" i="4"/>
  <c r="AM37" i="4"/>
  <c r="AL37" i="4"/>
  <c r="B37" i="4"/>
  <c r="AR36" i="4"/>
  <c r="AQ36" i="4"/>
  <c r="AP36" i="4"/>
  <c r="AO36" i="4"/>
  <c r="AN36" i="4"/>
  <c r="AM36" i="4"/>
  <c r="AL36" i="4"/>
  <c r="B36" i="4"/>
  <c r="AR35" i="4"/>
  <c r="AQ35" i="4"/>
  <c r="AP35" i="4"/>
  <c r="AO35" i="4"/>
  <c r="AN35" i="4"/>
  <c r="AM35" i="4"/>
  <c r="AL35" i="4"/>
  <c r="B35" i="4"/>
  <c r="AR34" i="4"/>
  <c r="AQ34" i="4"/>
  <c r="AP34" i="4"/>
  <c r="AO34" i="4"/>
  <c r="AN34" i="4"/>
  <c r="AM34" i="4"/>
  <c r="AL34" i="4"/>
  <c r="B34" i="4"/>
  <c r="AR33" i="4"/>
  <c r="AQ33" i="4"/>
  <c r="AP33" i="4"/>
  <c r="AO33" i="4"/>
  <c r="AN33" i="4"/>
  <c r="AM33" i="4"/>
  <c r="AL33" i="4"/>
  <c r="B33" i="4"/>
  <c r="AR32" i="4"/>
  <c r="AQ32" i="4"/>
  <c r="AP32" i="4"/>
  <c r="AO32" i="4"/>
  <c r="AN32" i="4"/>
  <c r="AM32" i="4"/>
  <c r="AL32" i="4"/>
  <c r="B32" i="4"/>
  <c r="AR31" i="4"/>
  <c r="AQ31" i="4"/>
  <c r="AP31" i="4"/>
  <c r="AO31" i="4"/>
  <c r="AN31" i="4"/>
  <c r="AM31" i="4"/>
  <c r="AL31" i="4"/>
  <c r="B31" i="4"/>
  <c r="AR30" i="4"/>
  <c r="AQ30" i="4"/>
  <c r="AP30" i="4"/>
  <c r="AO30" i="4"/>
  <c r="AN30" i="4"/>
  <c r="AM30" i="4"/>
  <c r="AL30" i="4"/>
  <c r="B30" i="4"/>
  <c r="AR29" i="4"/>
  <c r="AQ29" i="4"/>
  <c r="AP29" i="4"/>
  <c r="AO29" i="4"/>
  <c r="AN29" i="4"/>
  <c r="AM29" i="4"/>
  <c r="AL29" i="4"/>
  <c r="B29" i="4"/>
  <c r="AR28" i="4"/>
  <c r="AQ28" i="4"/>
  <c r="AP28" i="4"/>
  <c r="AO28" i="4"/>
  <c r="AN28" i="4"/>
  <c r="AM28" i="4"/>
  <c r="AL28" i="4"/>
  <c r="B28" i="4"/>
  <c r="AR27" i="4"/>
  <c r="AQ27" i="4"/>
  <c r="AP27" i="4"/>
  <c r="AO27" i="4"/>
  <c r="AN27" i="4"/>
  <c r="AM27" i="4"/>
  <c r="AL27" i="4"/>
  <c r="B27" i="4"/>
  <c r="AR26" i="4"/>
  <c r="AQ26" i="4"/>
  <c r="AP26" i="4"/>
  <c r="AO26" i="4"/>
  <c r="AN26" i="4"/>
  <c r="AM26" i="4"/>
  <c r="AL26" i="4"/>
  <c r="B26" i="4"/>
  <c r="AR25" i="4"/>
  <c r="AQ25" i="4"/>
  <c r="AP25" i="4"/>
  <c r="AO25" i="4"/>
  <c r="AN25" i="4"/>
  <c r="AM25" i="4"/>
  <c r="AL25" i="4"/>
  <c r="B25" i="4"/>
  <c r="AR24" i="4"/>
  <c r="AQ24" i="4"/>
  <c r="AP24" i="4"/>
  <c r="AO24" i="4"/>
  <c r="AN24" i="4"/>
  <c r="AM24" i="4"/>
  <c r="AL24" i="4"/>
  <c r="B24" i="4"/>
  <c r="AR23" i="4"/>
  <c r="AQ23" i="4"/>
  <c r="AP23" i="4"/>
  <c r="AO23" i="4"/>
  <c r="AN23" i="4"/>
  <c r="AM23" i="4"/>
  <c r="AL23" i="4"/>
  <c r="B23" i="4"/>
  <c r="AR22" i="4"/>
  <c r="AQ22" i="4"/>
  <c r="AP22" i="4"/>
  <c r="AO22" i="4"/>
  <c r="AN22" i="4"/>
  <c r="AM22" i="4"/>
  <c r="AL22" i="4"/>
  <c r="B22" i="4"/>
  <c r="AR21" i="4"/>
  <c r="AQ21" i="4"/>
  <c r="AP21" i="4"/>
  <c r="AO21" i="4"/>
  <c r="AN21" i="4"/>
  <c r="AM21" i="4"/>
  <c r="AL21" i="4"/>
  <c r="B21" i="4"/>
  <c r="AR20" i="4"/>
  <c r="AQ20" i="4"/>
  <c r="AP20" i="4"/>
  <c r="AO20" i="4"/>
  <c r="AN20" i="4"/>
  <c r="AM20" i="4"/>
  <c r="AL20" i="4"/>
  <c r="B20" i="4"/>
  <c r="AR19" i="4"/>
  <c r="AQ19" i="4"/>
  <c r="AP19" i="4"/>
  <c r="AO19" i="4"/>
  <c r="AN19" i="4"/>
  <c r="AM19" i="4"/>
  <c r="AL19" i="4"/>
  <c r="B19" i="4"/>
  <c r="AR18" i="4"/>
  <c r="AQ18" i="4"/>
  <c r="AP18" i="4"/>
  <c r="AO18" i="4"/>
  <c r="AN18" i="4"/>
  <c r="AM18" i="4"/>
  <c r="AL18" i="4"/>
  <c r="B18" i="4"/>
  <c r="AR17" i="4"/>
  <c r="AQ17" i="4"/>
  <c r="AP17" i="4"/>
  <c r="AO17" i="4"/>
  <c r="AN17" i="4"/>
  <c r="AM17" i="4"/>
  <c r="AL17" i="4"/>
  <c r="B17" i="4"/>
  <c r="AR16" i="4"/>
  <c r="AQ16" i="4"/>
  <c r="AP16" i="4"/>
  <c r="AO16" i="4"/>
  <c r="AN16" i="4"/>
  <c r="AM16" i="4"/>
  <c r="AL16" i="4"/>
  <c r="B16" i="4"/>
  <c r="AR15" i="4"/>
  <c r="AQ15" i="4"/>
  <c r="AP15" i="4"/>
  <c r="AO15" i="4"/>
  <c r="AN15" i="4"/>
  <c r="AM15" i="4"/>
  <c r="AL15" i="4"/>
  <c r="B15" i="4"/>
  <c r="AR14" i="4"/>
  <c r="AQ14" i="4"/>
  <c r="AP14" i="4"/>
  <c r="AO14" i="4"/>
  <c r="AN14" i="4"/>
  <c r="AM14" i="4"/>
  <c r="AL14" i="4"/>
  <c r="B14" i="4"/>
  <c r="AR13" i="4"/>
  <c r="AQ13" i="4"/>
  <c r="AP13" i="4"/>
  <c r="AO13" i="4"/>
  <c r="AN13" i="4"/>
  <c r="AM13" i="4"/>
  <c r="AL13" i="4"/>
  <c r="B13" i="4"/>
  <c r="AR12" i="4"/>
  <c r="AQ12" i="4"/>
  <c r="AP12" i="4"/>
  <c r="AO12" i="4"/>
  <c r="AN12" i="4"/>
  <c r="AM12" i="4"/>
  <c r="AL12" i="4"/>
  <c r="B12" i="4"/>
  <c r="BP11" i="4"/>
  <c r="BH11" i="4"/>
  <c r="AR11" i="4"/>
  <c r="AQ11" i="4"/>
  <c r="AP11" i="4"/>
  <c r="AO11" i="4"/>
  <c r="AN11" i="4"/>
  <c r="AM11" i="4"/>
  <c r="AL11" i="4"/>
  <c r="B11" i="4"/>
  <c r="I8" i="4"/>
  <c r="B5" i="4"/>
  <c r="BA4010" i="3"/>
  <c r="AZ4010" i="3"/>
  <c r="AY4010" i="3"/>
  <c r="BA4009" i="3"/>
  <c r="AZ4009" i="3"/>
  <c r="AY4009" i="3"/>
  <c r="BA4008" i="3"/>
  <c r="AZ4008" i="3"/>
  <c r="AY4008" i="3"/>
  <c r="BA4007" i="3"/>
  <c r="AZ4007" i="3"/>
  <c r="AY4007" i="3"/>
  <c r="BA4006" i="3"/>
  <c r="AZ4006" i="3"/>
  <c r="AY4006" i="3"/>
  <c r="BA4005" i="3"/>
  <c r="AZ4005" i="3"/>
  <c r="AY4005" i="3"/>
  <c r="BA4004" i="3"/>
  <c r="AZ4004" i="3"/>
  <c r="AY4004" i="3"/>
  <c r="BA4003" i="3"/>
  <c r="AZ4003" i="3"/>
  <c r="AY4003" i="3"/>
  <c r="BA4002" i="3"/>
  <c r="AZ4002" i="3"/>
  <c r="AY4002" i="3"/>
  <c r="BA4001" i="3"/>
  <c r="AZ4001" i="3"/>
  <c r="AY4001" i="3"/>
  <c r="BA4000" i="3"/>
  <c r="AZ4000" i="3"/>
  <c r="AY4000" i="3"/>
  <c r="BA3999" i="3"/>
  <c r="AZ3999" i="3"/>
  <c r="AY3999" i="3"/>
  <c r="BA3998" i="3"/>
  <c r="AZ3998" i="3"/>
  <c r="AY3998" i="3"/>
  <c r="BA3997" i="3"/>
  <c r="AZ3997" i="3"/>
  <c r="AY3997" i="3"/>
  <c r="BA3996" i="3"/>
  <c r="AZ3996" i="3"/>
  <c r="AY3996" i="3"/>
  <c r="BA3995" i="3"/>
  <c r="AZ3995" i="3"/>
  <c r="AY3995" i="3"/>
  <c r="BA3994" i="3"/>
  <c r="AZ3994" i="3"/>
  <c r="AY3994" i="3"/>
  <c r="BA3993" i="3"/>
  <c r="AZ3993" i="3"/>
  <c r="AY3993" i="3"/>
  <c r="BA3992" i="3"/>
  <c r="AZ3992" i="3"/>
  <c r="AY3992" i="3"/>
  <c r="BA3991" i="3"/>
  <c r="AZ3991" i="3"/>
  <c r="AY3991" i="3"/>
  <c r="BA3990" i="3"/>
  <c r="AZ3990" i="3"/>
  <c r="AY3990" i="3"/>
  <c r="BA3989" i="3"/>
  <c r="AZ3989" i="3"/>
  <c r="AY3989" i="3"/>
  <c r="BA3988" i="3"/>
  <c r="AZ3988" i="3"/>
  <c r="AY3988" i="3"/>
  <c r="BA3987" i="3"/>
  <c r="AZ3987" i="3"/>
  <c r="AY3987" i="3"/>
  <c r="BA3986" i="3"/>
  <c r="AZ3986" i="3"/>
  <c r="AY3986" i="3"/>
  <c r="BA3985" i="3"/>
  <c r="AZ3985" i="3"/>
  <c r="AY3985" i="3"/>
  <c r="BA3984" i="3"/>
  <c r="AZ3984" i="3"/>
  <c r="AY3984" i="3"/>
  <c r="BA3983" i="3"/>
  <c r="AZ3983" i="3"/>
  <c r="AY3983" i="3"/>
  <c r="BA3982" i="3"/>
  <c r="AZ3982" i="3"/>
  <c r="AY3982" i="3"/>
  <c r="BA3981" i="3"/>
  <c r="AZ3981" i="3"/>
  <c r="AY3981" i="3"/>
  <c r="BA3980" i="3"/>
  <c r="AZ3980" i="3"/>
  <c r="AY3980" i="3"/>
  <c r="BA3979" i="3"/>
  <c r="AZ3979" i="3"/>
  <c r="AY3979" i="3"/>
  <c r="BA3978" i="3"/>
  <c r="AZ3978" i="3"/>
  <c r="AY3978" i="3"/>
  <c r="BA3977" i="3"/>
  <c r="AZ3977" i="3"/>
  <c r="AY3977" i="3"/>
  <c r="BA3976" i="3"/>
  <c r="AZ3976" i="3"/>
  <c r="AY3976" i="3"/>
  <c r="BA3975" i="3"/>
  <c r="AZ3975" i="3"/>
  <c r="AY3975" i="3"/>
  <c r="BA3974" i="3"/>
  <c r="AZ3974" i="3"/>
  <c r="AY3974" i="3"/>
  <c r="BA3973" i="3"/>
  <c r="AZ3973" i="3"/>
  <c r="AY3973" i="3"/>
  <c r="BA3972" i="3"/>
  <c r="AZ3972" i="3"/>
  <c r="AY3972" i="3"/>
  <c r="BA3971" i="3"/>
  <c r="AZ3971" i="3"/>
  <c r="AY3971" i="3"/>
  <c r="BA3970" i="3"/>
  <c r="AZ3970" i="3"/>
  <c r="AY3970" i="3"/>
  <c r="BA3969" i="3"/>
  <c r="AZ3969" i="3"/>
  <c r="AY3969" i="3"/>
  <c r="BA3968" i="3"/>
  <c r="AZ3968" i="3"/>
  <c r="AY3968" i="3"/>
  <c r="BA3967" i="3"/>
  <c r="AZ3967" i="3"/>
  <c r="AY3967" i="3"/>
  <c r="BA3966" i="3"/>
  <c r="AZ3966" i="3"/>
  <c r="AY3966" i="3"/>
  <c r="BA3965" i="3"/>
  <c r="AZ3965" i="3"/>
  <c r="AY3965" i="3"/>
  <c r="BA3964" i="3"/>
  <c r="AZ3964" i="3"/>
  <c r="AY3964" i="3"/>
  <c r="BA3963" i="3"/>
  <c r="AZ3963" i="3"/>
  <c r="AY3963" i="3"/>
  <c r="BA3962" i="3"/>
  <c r="AZ3962" i="3"/>
  <c r="AY3962" i="3"/>
  <c r="BA3961" i="3"/>
  <c r="AZ3961" i="3"/>
  <c r="AY3961" i="3"/>
  <c r="BA3960" i="3"/>
  <c r="AZ3960" i="3"/>
  <c r="AY3960" i="3"/>
  <c r="BA3959" i="3"/>
  <c r="AZ3959" i="3"/>
  <c r="AY3959" i="3"/>
  <c r="BA3958" i="3"/>
  <c r="AZ3958" i="3"/>
  <c r="AY3958" i="3"/>
  <c r="BA3957" i="3"/>
  <c r="AZ3957" i="3"/>
  <c r="AY3957" i="3"/>
  <c r="BA3956" i="3"/>
  <c r="AZ3956" i="3"/>
  <c r="AY3956" i="3"/>
  <c r="BA3955" i="3"/>
  <c r="AZ3955" i="3"/>
  <c r="AY3955" i="3"/>
  <c r="BA3954" i="3"/>
  <c r="AZ3954" i="3"/>
  <c r="AY3954" i="3"/>
  <c r="BA3953" i="3"/>
  <c r="AZ3953" i="3"/>
  <c r="AY3953" i="3"/>
  <c r="BA3952" i="3"/>
  <c r="AZ3952" i="3"/>
  <c r="AY3952" i="3"/>
  <c r="BA3951" i="3"/>
  <c r="AZ3951" i="3"/>
  <c r="AY3951" i="3"/>
  <c r="BA3950" i="3"/>
  <c r="AZ3950" i="3"/>
  <c r="AY3950" i="3"/>
  <c r="BA3949" i="3"/>
  <c r="AZ3949" i="3"/>
  <c r="AY3949" i="3"/>
  <c r="BA3948" i="3"/>
  <c r="AZ3948" i="3"/>
  <c r="AY3948" i="3"/>
  <c r="BA3947" i="3"/>
  <c r="AZ3947" i="3"/>
  <c r="AY3947" i="3"/>
  <c r="BA3946" i="3"/>
  <c r="AZ3946" i="3"/>
  <c r="AY3946" i="3"/>
  <c r="BA3945" i="3"/>
  <c r="AZ3945" i="3"/>
  <c r="AY3945" i="3"/>
  <c r="BA3944" i="3"/>
  <c r="AZ3944" i="3"/>
  <c r="AY3944" i="3"/>
  <c r="BA3943" i="3"/>
  <c r="AZ3943" i="3"/>
  <c r="AY3943" i="3"/>
  <c r="BA3942" i="3"/>
  <c r="AZ3942" i="3"/>
  <c r="AY3942" i="3"/>
  <c r="BA3941" i="3"/>
  <c r="AZ3941" i="3"/>
  <c r="AY3941" i="3"/>
  <c r="BA3940" i="3"/>
  <c r="AZ3940" i="3"/>
  <c r="AY3940" i="3"/>
  <c r="BA3939" i="3"/>
  <c r="AZ3939" i="3"/>
  <c r="AY3939" i="3"/>
  <c r="BA3938" i="3"/>
  <c r="AZ3938" i="3"/>
  <c r="AY3938" i="3"/>
  <c r="BA3937" i="3"/>
  <c r="AZ3937" i="3"/>
  <c r="AY3937" i="3"/>
  <c r="BA3936" i="3"/>
  <c r="AZ3936" i="3"/>
  <c r="AY3936" i="3"/>
  <c r="BA3935" i="3"/>
  <c r="AZ3935" i="3"/>
  <c r="AY3935" i="3"/>
  <c r="BA3934" i="3"/>
  <c r="AZ3934" i="3"/>
  <c r="AY3934" i="3"/>
  <c r="BA3933" i="3"/>
  <c r="AZ3933" i="3"/>
  <c r="AY3933" i="3"/>
  <c r="BA3932" i="3"/>
  <c r="AZ3932" i="3"/>
  <c r="AY3932" i="3"/>
  <c r="BA3931" i="3"/>
  <c r="AZ3931" i="3"/>
  <c r="AY3931" i="3"/>
  <c r="BA3930" i="3"/>
  <c r="AZ3930" i="3"/>
  <c r="AY3930" i="3"/>
  <c r="BA3929" i="3"/>
  <c r="AZ3929" i="3"/>
  <c r="AY3929" i="3"/>
  <c r="BA3928" i="3"/>
  <c r="AZ3928" i="3"/>
  <c r="AY3928" i="3"/>
  <c r="BA3927" i="3"/>
  <c r="AZ3927" i="3"/>
  <c r="AY3927" i="3"/>
  <c r="BA3926" i="3"/>
  <c r="AZ3926" i="3"/>
  <c r="AY3926" i="3"/>
  <c r="BA3925" i="3"/>
  <c r="AZ3925" i="3"/>
  <c r="AY3925" i="3"/>
  <c r="BA3924" i="3"/>
  <c r="AZ3924" i="3"/>
  <c r="AY3924" i="3"/>
  <c r="BA3923" i="3"/>
  <c r="AZ3923" i="3"/>
  <c r="AY3923" i="3"/>
  <c r="BA3922" i="3"/>
  <c r="AZ3922" i="3"/>
  <c r="AY3922" i="3"/>
  <c r="BA3921" i="3"/>
  <c r="AZ3921" i="3"/>
  <c r="AY3921" i="3"/>
  <c r="BA3920" i="3"/>
  <c r="AZ3920" i="3"/>
  <c r="AY3920" i="3"/>
  <c r="BA3919" i="3"/>
  <c r="AZ3919" i="3"/>
  <c r="AY3919" i="3"/>
  <c r="BA3918" i="3"/>
  <c r="AZ3918" i="3"/>
  <c r="AY3918" i="3"/>
  <c r="BA3917" i="3"/>
  <c r="AZ3917" i="3"/>
  <c r="AY3917" i="3"/>
  <c r="BA3916" i="3"/>
  <c r="AZ3916" i="3"/>
  <c r="AY3916" i="3"/>
  <c r="BA3915" i="3"/>
  <c r="AZ3915" i="3"/>
  <c r="AY3915" i="3"/>
  <c r="BA3914" i="3"/>
  <c r="AZ3914" i="3"/>
  <c r="AY3914" i="3"/>
  <c r="BA3913" i="3"/>
  <c r="AZ3913" i="3"/>
  <c r="AY3913" i="3"/>
  <c r="BA3912" i="3"/>
  <c r="AZ3912" i="3"/>
  <c r="AY3912" i="3"/>
  <c r="BA3911" i="3"/>
  <c r="AZ3911" i="3"/>
  <c r="AY3911" i="3"/>
  <c r="BA3910" i="3"/>
  <c r="AZ3910" i="3"/>
  <c r="AY3910" i="3"/>
  <c r="BA3909" i="3"/>
  <c r="AZ3909" i="3"/>
  <c r="AY3909" i="3"/>
  <c r="BA3908" i="3"/>
  <c r="AZ3908" i="3"/>
  <c r="AY3908" i="3"/>
  <c r="BA3907" i="3"/>
  <c r="AZ3907" i="3"/>
  <c r="AY3907" i="3"/>
  <c r="BA3906" i="3"/>
  <c r="AZ3906" i="3"/>
  <c r="AY3906" i="3"/>
  <c r="BA3905" i="3"/>
  <c r="AZ3905" i="3"/>
  <c r="AY3905" i="3"/>
  <c r="BA3904" i="3"/>
  <c r="AZ3904" i="3"/>
  <c r="AY3904" i="3"/>
  <c r="BA3903" i="3"/>
  <c r="AZ3903" i="3"/>
  <c r="AY3903" i="3"/>
  <c r="BA3902" i="3"/>
  <c r="AZ3902" i="3"/>
  <c r="AY3902" i="3"/>
  <c r="BA3901" i="3"/>
  <c r="AZ3901" i="3"/>
  <c r="AY3901" i="3"/>
  <c r="BA3900" i="3"/>
  <c r="AZ3900" i="3"/>
  <c r="AY3900" i="3"/>
  <c r="BA3899" i="3"/>
  <c r="AZ3899" i="3"/>
  <c r="AY3899" i="3"/>
  <c r="BA3898" i="3"/>
  <c r="AZ3898" i="3"/>
  <c r="AY3898" i="3"/>
  <c r="BA3897" i="3"/>
  <c r="AZ3897" i="3"/>
  <c r="AY3897" i="3"/>
  <c r="BA3896" i="3"/>
  <c r="AZ3896" i="3"/>
  <c r="AY3896" i="3"/>
  <c r="BA3895" i="3"/>
  <c r="AZ3895" i="3"/>
  <c r="AY3895" i="3"/>
  <c r="BA3894" i="3"/>
  <c r="AZ3894" i="3"/>
  <c r="AY3894" i="3"/>
  <c r="BA3893" i="3"/>
  <c r="AZ3893" i="3"/>
  <c r="AY3893" i="3"/>
  <c r="BA3892" i="3"/>
  <c r="AZ3892" i="3"/>
  <c r="AY3892" i="3"/>
  <c r="BA3891" i="3"/>
  <c r="AZ3891" i="3"/>
  <c r="AY3891" i="3"/>
  <c r="BA3890" i="3"/>
  <c r="AZ3890" i="3"/>
  <c r="AY3890" i="3"/>
  <c r="BA3889" i="3"/>
  <c r="AZ3889" i="3"/>
  <c r="AY3889" i="3"/>
  <c r="BA3888" i="3"/>
  <c r="AZ3888" i="3"/>
  <c r="AY3888" i="3"/>
  <c r="BA3887" i="3"/>
  <c r="AZ3887" i="3"/>
  <c r="AY3887" i="3"/>
  <c r="BA3886" i="3"/>
  <c r="AZ3886" i="3"/>
  <c r="AY3886" i="3"/>
  <c r="BA3885" i="3"/>
  <c r="AZ3885" i="3"/>
  <c r="AY3885" i="3"/>
  <c r="BA3884" i="3"/>
  <c r="AZ3884" i="3"/>
  <c r="AY3884" i="3"/>
  <c r="BA3883" i="3"/>
  <c r="AZ3883" i="3"/>
  <c r="AY3883" i="3"/>
  <c r="BA3882" i="3"/>
  <c r="AZ3882" i="3"/>
  <c r="AY3882" i="3"/>
  <c r="BA3881" i="3"/>
  <c r="AZ3881" i="3"/>
  <c r="AY3881" i="3"/>
  <c r="BA3880" i="3"/>
  <c r="AZ3880" i="3"/>
  <c r="AY3880" i="3"/>
  <c r="BA3879" i="3"/>
  <c r="AZ3879" i="3"/>
  <c r="AY3879" i="3"/>
  <c r="BA3878" i="3"/>
  <c r="AZ3878" i="3"/>
  <c r="AY3878" i="3"/>
  <c r="BA3877" i="3"/>
  <c r="AZ3877" i="3"/>
  <c r="AY3877" i="3"/>
  <c r="BA3876" i="3"/>
  <c r="AZ3876" i="3"/>
  <c r="AY3876" i="3"/>
  <c r="BA3875" i="3"/>
  <c r="AZ3875" i="3"/>
  <c r="AY3875" i="3"/>
  <c r="BA3874" i="3"/>
  <c r="AZ3874" i="3"/>
  <c r="AY3874" i="3"/>
  <c r="BA3873" i="3"/>
  <c r="AZ3873" i="3"/>
  <c r="AY3873" i="3"/>
  <c r="BA3872" i="3"/>
  <c r="AZ3872" i="3"/>
  <c r="AY3872" i="3"/>
  <c r="BA3871" i="3"/>
  <c r="AZ3871" i="3"/>
  <c r="AY3871" i="3"/>
  <c r="BA3870" i="3"/>
  <c r="AZ3870" i="3"/>
  <c r="AY3870" i="3"/>
  <c r="BA3869" i="3"/>
  <c r="AZ3869" i="3"/>
  <c r="AY3869" i="3"/>
  <c r="BA3868" i="3"/>
  <c r="AZ3868" i="3"/>
  <c r="AY3868" i="3"/>
  <c r="BA3867" i="3"/>
  <c r="AZ3867" i="3"/>
  <c r="AY3867" i="3"/>
  <c r="BA3866" i="3"/>
  <c r="AZ3866" i="3"/>
  <c r="AY3866" i="3"/>
  <c r="BA3865" i="3"/>
  <c r="AZ3865" i="3"/>
  <c r="AY3865" i="3"/>
  <c r="BA3864" i="3"/>
  <c r="AZ3864" i="3"/>
  <c r="AY3864" i="3"/>
  <c r="BA3863" i="3"/>
  <c r="AZ3863" i="3"/>
  <c r="AY3863" i="3"/>
  <c r="BA3862" i="3"/>
  <c r="AZ3862" i="3"/>
  <c r="AY3862" i="3"/>
  <c r="BA3861" i="3"/>
  <c r="AZ3861" i="3"/>
  <c r="AY3861" i="3"/>
  <c r="BA3860" i="3"/>
  <c r="AZ3860" i="3"/>
  <c r="AY3860" i="3"/>
  <c r="BA3859" i="3"/>
  <c r="AZ3859" i="3"/>
  <c r="AY3859" i="3"/>
  <c r="BA3858" i="3"/>
  <c r="AZ3858" i="3"/>
  <c r="AY3858" i="3"/>
  <c r="BA3857" i="3"/>
  <c r="AZ3857" i="3"/>
  <c r="AY3857" i="3"/>
  <c r="BA3856" i="3"/>
  <c r="AZ3856" i="3"/>
  <c r="AY3856" i="3"/>
  <c r="BA3855" i="3"/>
  <c r="AZ3855" i="3"/>
  <c r="AY3855" i="3"/>
  <c r="BA3854" i="3"/>
  <c r="AZ3854" i="3"/>
  <c r="AY3854" i="3"/>
  <c r="BA3853" i="3"/>
  <c r="AZ3853" i="3"/>
  <c r="AY3853" i="3"/>
  <c r="BA3852" i="3"/>
  <c r="AZ3852" i="3"/>
  <c r="AY3852" i="3"/>
  <c r="BA3851" i="3"/>
  <c r="AZ3851" i="3"/>
  <c r="AY3851" i="3"/>
  <c r="BA3850" i="3"/>
  <c r="AZ3850" i="3"/>
  <c r="AY3850" i="3"/>
  <c r="BA3849" i="3"/>
  <c r="AZ3849" i="3"/>
  <c r="AY3849" i="3"/>
  <c r="BA3848" i="3"/>
  <c r="AZ3848" i="3"/>
  <c r="AY3848" i="3"/>
  <c r="BA3847" i="3"/>
  <c r="AZ3847" i="3"/>
  <c r="AY3847" i="3"/>
  <c r="BA3846" i="3"/>
  <c r="AZ3846" i="3"/>
  <c r="AY3846" i="3"/>
  <c r="BA3845" i="3"/>
  <c r="AZ3845" i="3"/>
  <c r="AY3845" i="3"/>
  <c r="BA3844" i="3"/>
  <c r="AZ3844" i="3"/>
  <c r="AY3844" i="3"/>
  <c r="BA3843" i="3"/>
  <c r="AZ3843" i="3"/>
  <c r="AY3843" i="3"/>
  <c r="BA3842" i="3"/>
  <c r="AZ3842" i="3"/>
  <c r="AY3842" i="3"/>
  <c r="BA3841" i="3"/>
  <c r="AZ3841" i="3"/>
  <c r="AY3841" i="3"/>
  <c r="BA3840" i="3"/>
  <c r="AZ3840" i="3"/>
  <c r="AY3840" i="3"/>
  <c r="BA3839" i="3"/>
  <c r="AZ3839" i="3"/>
  <c r="AY3839" i="3"/>
  <c r="BA3838" i="3"/>
  <c r="AZ3838" i="3"/>
  <c r="AY3838" i="3"/>
  <c r="BA3837" i="3"/>
  <c r="AZ3837" i="3"/>
  <c r="AY3837" i="3"/>
  <c r="BA3836" i="3"/>
  <c r="AZ3836" i="3"/>
  <c r="AY3836" i="3"/>
  <c r="BA3835" i="3"/>
  <c r="AZ3835" i="3"/>
  <c r="AY3835" i="3"/>
  <c r="BA3834" i="3"/>
  <c r="AZ3834" i="3"/>
  <c r="AY3834" i="3"/>
  <c r="BA3833" i="3"/>
  <c r="AZ3833" i="3"/>
  <c r="AY3833" i="3"/>
  <c r="BA3832" i="3"/>
  <c r="AZ3832" i="3"/>
  <c r="AY3832" i="3"/>
  <c r="BA3831" i="3"/>
  <c r="AZ3831" i="3"/>
  <c r="AY3831" i="3"/>
  <c r="BA3830" i="3"/>
  <c r="AZ3830" i="3"/>
  <c r="AY3830" i="3"/>
  <c r="BA3829" i="3"/>
  <c r="AZ3829" i="3"/>
  <c r="AY3829" i="3"/>
  <c r="BA3828" i="3"/>
  <c r="AZ3828" i="3"/>
  <c r="AY3828" i="3"/>
  <c r="BA3827" i="3"/>
  <c r="AZ3827" i="3"/>
  <c r="AY3827" i="3"/>
  <c r="BA3826" i="3"/>
  <c r="AZ3826" i="3"/>
  <c r="AY3826" i="3"/>
  <c r="BA3825" i="3"/>
  <c r="AZ3825" i="3"/>
  <c r="AY3825" i="3"/>
  <c r="BA3824" i="3"/>
  <c r="AZ3824" i="3"/>
  <c r="AY3824" i="3"/>
  <c r="BA3823" i="3"/>
  <c r="AZ3823" i="3"/>
  <c r="AY3823" i="3"/>
  <c r="BA3822" i="3"/>
  <c r="AZ3822" i="3"/>
  <c r="AY3822" i="3"/>
  <c r="BA3821" i="3"/>
  <c r="AZ3821" i="3"/>
  <c r="AY3821" i="3"/>
  <c r="BA3820" i="3"/>
  <c r="AZ3820" i="3"/>
  <c r="AY3820" i="3"/>
  <c r="BA3819" i="3"/>
  <c r="AZ3819" i="3"/>
  <c r="AY3819" i="3"/>
  <c r="BA3818" i="3"/>
  <c r="AZ3818" i="3"/>
  <c r="AY3818" i="3"/>
  <c r="BA3817" i="3"/>
  <c r="AZ3817" i="3"/>
  <c r="AY3817" i="3"/>
  <c r="BA3816" i="3"/>
  <c r="AZ3816" i="3"/>
  <c r="AY3816" i="3"/>
  <c r="BA3815" i="3"/>
  <c r="AZ3815" i="3"/>
  <c r="AY3815" i="3"/>
  <c r="BA3814" i="3"/>
  <c r="AZ3814" i="3"/>
  <c r="AY3814" i="3"/>
  <c r="BA3813" i="3"/>
  <c r="AZ3813" i="3"/>
  <c r="AY3813" i="3"/>
  <c r="BA3812" i="3"/>
  <c r="AZ3812" i="3"/>
  <c r="AY3812" i="3"/>
  <c r="BA3811" i="3"/>
  <c r="AZ3811" i="3"/>
  <c r="AY3811" i="3"/>
  <c r="BA3810" i="3"/>
  <c r="AZ3810" i="3"/>
  <c r="AY3810" i="3"/>
  <c r="BA3809" i="3"/>
  <c r="AZ3809" i="3"/>
  <c r="AY3809" i="3"/>
  <c r="BA3808" i="3"/>
  <c r="AZ3808" i="3"/>
  <c r="AY3808" i="3"/>
  <c r="BA3807" i="3"/>
  <c r="AZ3807" i="3"/>
  <c r="AY3807" i="3"/>
  <c r="BA3806" i="3"/>
  <c r="AZ3806" i="3"/>
  <c r="AY3806" i="3"/>
  <c r="BA3805" i="3"/>
  <c r="AZ3805" i="3"/>
  <c r="AY3805" i="3"/>
  <c r="BA3804" i="3"/>
  <c r="AZ3804" i="3"/>
  <c r="AY3804" i="3"/>
  <c r="BA3803" i="3"/>
  <c r="AZ3803" i="3"/>
  <c r="AY3803" i="3"/>
  <c r="BA3802" i="3"/>
  <c r="AZ3802" i="3"/>
  <c r="AY3802" i="3"/>
  <c r="BA3801" i="3"/>
  <c r="AZ3801" i="3"/>
  <c r="AY3801" i="3"/>
  <c r="BA3800" i="3"/>
  <c r="AZ3800" i="3"/>
  <c r="AY3800" i="3"/>
  <c r="BA3799" i="3"/>
  <c r="AZ3799" i="3"/>
  <c r="AY3799" i="3"/>
  <c r="BA3798" i="3"/>
  <c r="AZ3798" i="3"/>
  <c r="AY3798" i="3"/>
  <c r="BA3797" i="3"/>
  <c r="AZ3797" i="3"/>
  <c r="AY3797" i="3"/>
  <c r="BA3796" i="3"/>
  <c r="AZ3796" i="3"/>
  <c r="AY3796" i="3"/>
  <c r="BA3795" i="3"/>
  <c r="AZ3795" i="3"/>
  <c r="AY3795" i="3"/>
  <c r="BA3794" i="3"/>
  <c r="AZ3794" i="3"/>
  <c r="AY3794" i="3"/>
  <c r="BA3793" i="3"/>
  <c r="AZ3793" i="3"/>
  <c r="AY3793" i="3"/>
  <c r="BA3792" i="3"/>
  <c r="AZ3792" i="3"/>
  <c r="AY3792" i="3"/>
  <c r="BA3791" i="3"/>
  <c r="AZ3791" i="3"/>
  <c r="AY3791" i="3"/>
  <c r="BA3790" i="3"/>
  <c r="AZ3790" i="3"/>
  <c r="AY3790" i="3"/>
  <c r="BA3789" i="3"/>
  <c r="AZ3789" i="3"/>
  <c r="AY3789" i="3"/>
  <c r="BA3788" i="3"/>
  <c r="AZ3788" i="3"/>
  <c r="AY3788" i="3"/>
  <c r="BA3787" i="3"/>
  <c r="AZ3787" i="3"/>
  <c r="AY3787" i="3"/>
  <c r="BA3786" i="3"/>
  <c r="AZ3786" i="3"/>
  <c r="AY3786" i="3"/>
  <c r="BA3785" i="3"/>
  <c r="AZ3785" i="3"/>
  <c r="AY3785" i="3"/>
  <c r="BA3784" i="3"/>
  <c r="AZ3784" i="3"/>
  <c r="AY3784" i="3"/>
  <c r="BA3783" i="3"/>
  <c r="AZ3783" i="3"/>
  <c r="AY3783" i="3"/>
  <c r="BA3782" i="3"/>
  <c r="AZ3782" i="3"/>
  <c r="AY3782" i="3"/>
  <c r="BA3781" i="3"/>
  <c r="AZ3781" i="3"/>
  <c r="AY3781" i="3"/>
  <c r="BA3780" i="3"/>
  <c r="AZ3780" i="3"/>
  <c r="AY3780" i="3"/>
  <c r="BA3779" i="3"/>
  <c r="AZ3779" i="3"/>
  <c r="AY3779" i="3"/>
  <c r="BA3778" i="3"/>
  <c r="AZ3778" i="3"/>
  <c r="AY3778" i="3"/>
  <c r="BA3777" i="3"/>
  <c r="AZ3777" i="3"/>
  <c r="AY3777" i="3"/>
  <c r="BA3776" i="3"/>
  <c r="AZ3776" i="3"/>
  <c r="AY3776" i="3"/>
  <c r="BA3775" i="3"/>
  <c r="AZ3775" i="3"/>
  <c r="AY3775" i="3"/>
  <c r="BA3774" i="3"/>
  <c r="AZ3774" i="3"/>
  <c r="AY3774" i="3"/>
  <c r="BA3773" i="3"/>
  <c r="AZ3773" i="3"/>
  <c r="AY3773" i="3"/>
  <c r="BA3772" i="3"/>
  <c r="AZ3772" i="3"/>
  <c r="AY3772" i="3"/>
  <c r="BA3771" i="3"/>
  <c r="AZ3771" i="3"/>
  <c r="AY3771" i="3"/>
  <c r="BA3770" i="3"/>
  <c r="AZ3770" i="3"/>
  <c r="AY3770" i="3"/>
  <c r="BA3769" i="3"/>
  <c r="AZ3769" i="3"/>
  <c r="AY3769" i="3"/>
  <c r="BA3768" i="3"/>
  <c r="AZ3768" i="3"/>
  <c r="AY3768" i="3"/>
  <c r="BA3767" i="3"/>
  <c r="AZ3767" i="3"/>
  <c r="AY3767" i="3"/>
  <c r="BA3766" i="3"/>
  <c r="AZ3766" i="3"/>
  <c r="AY3766" i="3"/>
  <c r="BA3765" i="3"/>
  <c r="AZ3765" i="3"/>
  <c r="AY3765" i="3"/>
  <c r="BA3764" i="3"/>
  <c r="AZ3764" i="3"/>
  <c r="AY3764" i="3"/>
  <c r="BA3763" i="3"/>
  <c r="AZ3763" i="3"/>
  <c r="AY3763" i="3"/>
  <c r="BA3762" i="3"/>
  <c r="AZ3762" i="3"/>
  <c r="AY3762" i="3"/>
  <c r="BA3761" i="3"/>
  <c r="AZ3761" i="3"/>
  <c r="AY3761" i="3"/>
  <c r="BA3760" i="3"/>
  <c r="AZ3760" i="3"/>
  <c r="AY3760" i="3"/>
  <c r="BA3759" i="3"/>
  <c r="AZ3759" i="3"/>
  <c r="AY3759" i="3"/>
  <c r="BA3758" i="3"/>
  <c r="AZ3758" i="3"/>
  <c r="AY3758" i="3"/>
  <c r="BA3757" i="3"/>
  <c r="AZ3757" i="3"/>
  <c r="AY3757" i="3"/>
  <c r="BA3756" i="3"/>
  <c r="AZ3756" i="3"/>
  <c r="AY3756" i="3"/>
  <c r="BA3755" i="3"/>
  <c r="AZ3755" i="3"/>
  <c r="AY3755" i="3"/>
  <c r="BA3754" i="3"/>
  <c r="AZ3754" i="3"/>
  <c r="AY3754" i="3"/>
  <c r="BA3753" i="3"/>
  <c r="AZ3753" i="3"/>
  <c r="AY3753" i="3"/>
  <c r="BA3752" i="3"/>
  <c r="AZ3752" i="3"/>
  <c r="AY3752" i="3"/>
  <c r="BA3751" i="3"/>
  <c r="AZ3751" i="3"/>
  <c r="AY3751" i="3"/>
  <c r="BA3750" i="3"/>
  <c r="AZ3750" i="3"/>
  <c r="AY3750" i="3"/>
  <c r="BA3749" i="3"/>
  <c r="AZ3749" i="3"/>
  <c r="AY3749" i="3"/>
  <c r="BA3748" i="3"/>
  <c r="AZ3748" i="3"/>
  <c r="AY3748" i="3"/>
  <c r="BA3747" i="3"/>
  <c r="AZ3747" i="3"/>
  <c r="AY3747" i="3"/>
  <c r="BA3746" i="3"/>
  <c r="AZ3746" i="3"/>
  <c r="AY3746" i="3"/>
  <c r="BA3745" i="3"/>
  <c r="AZ3745" i="3"/>
  <c r="AY3745" i="3"/>
  <c r="BA3744" i="3"/>
  <c r="AZ3744" i="3"/>
  <c r="AY3744" i="3"/>
  <c r="BA3743" i="3"/>
  <c r="AZ3743" i="3"/>
  <c r="AY3743" i="3"/>
  <c r="BA3742" i="3"/>
  <c r="AZ3742" i="3"/>
  <c r="AY3742" i="3"/>
  <c r="BA3741" i="3"/>
  <c r="AZ3741" i="3"/>
  <c r="AY3741" i="3"/>
  <c r="BA3740" i="3"/>
  <c r="AZ3740" i="3"/>
  <c r="AY3740" i="3"/>
  <c r="BA3739" i="3"/>
  <c r="AZ3739" i="3"/>
  <c r="AY3739" i="3"/>
  <c r="BA3738" i="3"/>
  <c r="AZ3738" i="3"/>
  <c r="AY3738" i="3"/>
  <c r="BA3737" i="3"/>
  <c r="AZ3737" i="3"/>
  <c r="AY3737" i="3"/>
  <c r="BA3736" i="3"/>
  <c r="AZ3736" i="3"/>
  <c r="AY3736" i="3"/>
  <c r="BA3735" i="3"/>
  <c r="AZ3735" i="3"/>
  <c r="AY3735" i="3"/>
  <c r="BA3734" i="3"/>
  <c r="AZ3734" i="3"/>
  <c r="AY3734" i="3"/>
  <c r="BA3733" i="3"/>
  <c r="AZ3733" i="3"/>
  <c r="AY3733" i="3"/>
  <c r="BA3732" i="3"/>
  <c r="AZ3732" i="3"/>
  <c r="AY3732" i="3"/>
  <c r="BA3731" i="3"/>
  <c r="AZ3731" i="3"/>
  <c r="AY3731" i="3"/>
  <c r="BA3730" i="3"/>
  <c r="AZ3730" i="3"/>
  <c r="AY3730" i="3"/>
  <c r="BA3729" i="3"/>
  <c r="AZ3729" i="3"/>
  <c r="AY3729" i="3"/>
  <c r="BA3728" i="3"/>
  <c r="AZ3728" i="3"/>
  <c r="AY3728" i="3"/>
  <c r="BA3727" i="3"/>
  <c r="AZ3727" i="3"/>
  <c r="AY3727" i="3"/>
  <c r="BA3726" i="3"/>
  <c r="AZ3726" i="3"/>
  <c r="AY3726" i="3"/>
  <c r="BA3725" i="3"/>
  <c r="AZ3725" i="3"/>
  <c r="AY3725" i="3"/>
  <c r="BA3724" i="3"/>
  <c r="AZ3724" i="3"/>
  <c r="AY3724" i="3"/>
  <c r="BA3723" i="3"/>
  <c r="AZ3723" i="3"/>
  <c r="AY3723" i="3"/>
  <c r="BA3722" i="3"/>
  <c r="AZ3722" i="3"/>
  <c r="AY3722" i="3"/>
  <c r="BA3721" i="3"/>
  <c r="AZ3721" i="3"/>
  <c r="AY3721" i="3"/>
  <c r="BA3720" i="3"/>
  <c r="AZ3720" i="3"/>
  <c r="AY3720" i="3"/>
  <c r="BA3719" i="3"/>
  <c r="AZ3719" i="3"/>
  <c r="AY3719" i="3"/>
  <c r="BA3718" i="3"/>
  <c r="AZ3718" i="3"/>
  <c r="AY3718" i="3"/>
  <c r="BA3717" i="3"/>
  <c r="AZ3717" i="3"/>
  <c r="AY3717" i="3"/>
  <c r="BA3716" i="3"/>
  <c r="AZ3716" i="3"/>
  <c r="AY3716" i="3"/>
  <c r="BA3715" i="3"/>
  <c r="AZ3715" i="3"/>
  <c r="AY3715" i="3"/>
  <c r="BA3714" i="3"/>
  <c r="AZ3714" i="3"/>
  <c r="AY3714" i="3"/>
  <c r="BA3713" i="3"/>
  <c r="AZ3713" i="3"/>
  <c r="AY3713" i="3"/>
  <c r="BA3712" i="3"/>
  <c r="AZ3712" i="3"/>
  <c r="AY3712" i="3"/>
  <c r="BA3711" i="3"/>
  <c r="AZ3711" i="3"/>
  <c r="AY3711" i="3"/>
  <c r="BA3710" i="3"/>
  <c r="AZ3710" i="3"/>
  <c r="AY3710" i="3"/>
  <c r="BA3709" i="3"/>
  <c r="AZ3709" i="3"/>
  <c r="AY3709" i="3"/>
  <c r="BA3708" i="3"/>
  <c r="AZ3708" i="3"/>
  <c r="AY3708" i="3"/>
  <c r="BA3707" i="3"/>
  <c r="AZ3707" i="3"/>
  <c r="AY3707" i="3"/>
  <c r="BA3706" i="3"/>
  <c r="AZ3706" i="3"/>
  <c r="AY3706" i="3"/>
  <c r="BA3705" i="3"/>
  <c r="AZ3705" i="3"/>
  <c r="AY3705" i="3"/>
  <c r="BA3704" i="3"/>
  <c r="AZ3704" i="3"/>
  <c r="AY3704" i="3"/>
  <c r="BA3703" i="3"/>
  <c r="AZ3703" i="3"/>
  <c r="AY3703" i="3"/>
  <c r="BA3702" i="3"/>
  <c r="AZ3702" i="3"/>
  <c r="AY3702" i="3"/>
  <c r="BA3701" i="3"/>
  <c r="AZ3701" i="3"/>
  <c r="AY3701" i="3"/>
  <c r="BA3700" i="3"/>
  <c r="AZ3700" i="3"/>
  <c r="AY3700" i="3"/>
  <c r="BA3699" i="3"/>
  <c r="AZ3699" i="3"/>
  <c r="AY3699" i="3"/>
  <c r="BA3698" i="3"/>
  <c r="AZ3698" i="3"/>
  <c r="AY3698" i="3"/>
  <c r="BA3697" i="3"/>
  <c r="AZ3697" i="3"/>
  <c r="AY3697" i="3"/>
  <c r="BA3696" i="3"/>
  <c r="AZ3696" i="3"/>
  <c r="AY3696" i="3"/>
  <c r="BA3695" i="3"/>
  <c r="AZ3695" i="3"/>
  <c r="AY3695" i="3"/>
  <c r="BA3694" i="3"/>
  <c r="AZ3694" i="3"/>
  <c r="AY3694" i="3"/>
  <c r="BA3693" i="3"/>
  <c r="AZ3693" i="3"/>
  <c r="AY3693" i="3"/>
  <c r="BA3692" i="3"/>
  <c r="AZ3692" i="3"/>
  <c r="AY3692" i="3"/>
  <c r="BA3691" i="3"/>
  <c r="AZ3691" i="3"/>
  <c r="AY3691" i="3"/>
  <c r="BA3690" i="3"/>
  <c r="AZ3690" i="3"/>
  <c r="AY3690" i="3"/>
  <c r="BA3689" i="3"/>
  <c r="AZ3689" i="3"/>
  <c r="AY3689" i="3"/>
  <c r="BA3688" i="3"/>
  <c r="AZ3688" i="3"/>
  <c r="AY3688" i="3"/>
  <c r="BA3687" i="3"/>
  <c r="AZ3687" i="3"/>
  <c r="AY3687" i="3"/>
  <c r="BA3686" i="3"/>
  <c r="AZ3686" i="3"/>
  <c r="AY3686" i="3"/>
  <c r="BA3685" i="3"/>
  <c r="AZ3685" i="3"/>
  <c r="AY3685" i="3"/>
  <c r="BA3684" i="3"/>
  <c r="AZ3684" i="3"/>
  <c r="AY3684" i="3"/>
  <c r="BA3683" i="3"/>
  <c r="AZ3683" i="3"/>
  <c r="AY3683" i="3"/>
  <c r="BA3682" i="3"/>
  <c r="AZ3682" i="3"/>
  <c r="AY3682" i="3"/>
  <c r="BA3681" i="3"/>
  <c r="AZ3681" i="3"/>
  <c r="AY3681" i="3"/>
  <c r="BA3680" i="3"/>
  <c r="AZ3680" i="3"/>
  <c r="AY3680" i="3"/>
  <c r="BA3679" i="3"/>
  <c r="AZ3679" i="3"/>
  <c r="AY3679" i="3"/>
  <c r="BA3678" i="3"/>
  <c r="AZ3678" i="3"/>
  <c r="AY3678" i="3"/>
  <c r="BA3677" i="3"/>
  <c r="AZ3677" i="3"/>
  <c r="AY3677" i="3"/>
  <c r="BA3676" i="3"/>
  <c r="AZ3676" i="3"/>
  <c r="AY3676" i="3"/>
  <c r="BA3675" i="3"/>
  <c r="AZ3675" i="3"/>
  <c r="AY3675" i="3"/>
  <c r="BA3674" i="3"/>
  <c r="AZ3674" i="3"/>
  <c r="AY3674" i="3"/>
  <c r="BA3673" i="3"/>
  <c r="AZ3673" i="3"/>
  <c r="AY3673" i="3"/>
  <c r="BA3672" i="3"/>
  <c r="AZ3672" i="3"/>
  <c r="AY3672" i="3"/>
  <c r="BA3671" i="3"/>
  <c r="AZ3671" i="3"/>
  <c r="AY3671" i="3"/>
  <c r="BA3670" i="3"/>
  <c r="AZ3670" i="3"/>
  <c r="AY3670" i="3"/>
  <c r="BA3669" i="3"/>
  <c r="AZ3669" i="3"/>
  <c r="AY3669" i="3"/>
  <c r="BA3668" i="3"/>
  <c r="AZ3668" i="3"/>
  <c r="AY3668" i="3"/>
  <c r="BA3667" i="3"/>
  <c r="AZ3667" i="3"/>
  <c r="AY3667" i="3"/>
  <c r="BA3666" i="3"/>
  <c r="AZ3666" i="3"/>
  <c r="AY3666" i="3"/>
  <c r="BA3665" i="3"/>
  <c r="AZ3665" i="3"/>
  <c r="AY3665" i="3"/>
  <c r="BA3664" i="3"/>
  <c r="AZ3664" i="3"/>
  <c r="AY3664" i="3"/>
  <c r="BA3663" i="3"/>
  <c r="AZ3663" i="3"/>
  <c r="AY3663" i="3"/>
  <c r="BA3662" i="3"/>
  <c r="AZ3662" i="3"/>
  <c r="AY3662" i="3"/>
  <c r="BA3661" i="3"/>
  <c r="AZ3661" i="3"/>
  <c r="AY3661" i="3"/>
  <c r="BA3660" i="3"/>
  <c r="AZ3660" i="3"/>
  <c r="AY3660" i="3"/>
  <c r="BA3659" i="3"/>
  <c r="AZ3659" i="3"/>
  <c r="AY3659" i="3"/>
  <c r="BA3658" i="3"/>
  <c r="AZ3658" i="3"/>
  <c r="AY3658" i="3"/>
  <c r="BA3657" i="3"/>
  <c r="AZ3657" i="3"/>
  <c r="AY3657" i="3"/>
  <c r="BA3656" i="3"/>
  <c r="AZ3656" i="3"/>
  <c r="AY3656" i="3"/>
  <c r="BA3655" i="3"/>
  <c r="AZ3655" i="3"/>
  <c r="AY3655" i="3"/>
  <c r="BA3654" i="3"/>
  <c r="AZ3654" i="3"/>
  <c r="AY3654" i="3"/>
  <c r="BA3653" i="3"/>
  <c r="AZ3653" i="3"/>
  <c r="AY3653" i="3"/>
  <c r="BA3652" i="3"/>
  <c r="AZ3652" i="3"/>
  <c r="AY3652" i="3"/>
  <c r="BA3651" i="3"/>
  <c r="AZ3651" i="3"/>
  <c r="AY3651" i="3"/>
  <c r="BA3650" i="3"/>
  <c r="AZ3650" i="3"/>
  <c r="AY3650" i="3"/>
  <c r="BA3649" i="3"/>
  <c r="AZ3649" i="3"/>
  <c r="AY3649" i="3"/>
  <c r="BA3648" i="3"/>
  <c r="AZ3648" i="3"/>
  <c r="AY3648" i="3"/>
  <c r="BA3647" i="3"/>
  <c r="AZ3647" i="3"/>
  <c r="AY3647" i="3"/>
  <c r="BA3646" i="3"/>
  <c r="AZ3646" i="3"/>
  <c r="AY3646" i="3"/>
  <c r="BA3645" i="3"/>
  <c r="AZ3645" i="3"/>
  <c r="AY3645" i="3"/>
  <c r="BA3644" i="3"/>
  <c r="AZ3644" i="3"/>
  <c r="AY3644" i="3"/>
  <c r="BA3643" i="3"/>
  <c r="AZ3643" i="3"/>
  <c r="AY3643" i="3"/>
  <c r="BA3642" i="3"/>
  <c r="AZ3642" i="3"/>
  <c r="AY3642" i="3"/>
  <c r="BA3641" i="3"/>
  <c r="AZ3641" i="3"/>
  <c r="AY3641" i="3"/>
  <c r="BA3640" i="3"/>
  <c r="AZ3640" i="3"/>
  <c r="AY3640" i="3"/>
  <c r="BA3639" i="3"/>
  <c r="AZ3639" i="3"/>
  <c r="AY3639" i="3"/>
  <c r="BA3638" i="3"/>
  <c r="AZ3638" i="3"/>
  <c r="AY3638" i="3"/>
  <c r="BA3637" i="3"/>
  <c r="AZ3637" i="3"/>
  <c r="AY3637" i="3"/>
  <c r="BA3636" i="3"/>
  <c r="AZ3636" i="3"/>
  <c r="AY3636" i="3"/>
  <c r="BA3635" i="3"/>
  <c r="AZ3635" i="3"/>
  <c r="AY3635" i="3"/>
  <c r="BA3634" i="3"/>
  <c r="AZ3634" i="3"/>
  <c r="AY3634" i="3"/>
  <c r="BA3633" i="3"/>
  <c r="AZ3633" i="3"/>
  <c r="AY3633" i="3"/>
  <c r="BA3632" i="3"/>
  <c r="AZ3632" i="3"/>
  <c r="AY3632" i="3"/>
  <c r="BA3631" i="3"/>
  <c r="AZ3631" i="3"/>
  <c r="AY3631" i="3"/>
  <c r="BA3630" i="3"/>
  <c r="AZ3630" i="3"/>
  <c r="AY3630" i="3"/>
  <c r="BA3629" i="3"/>
  <c r="AZ3629" i="3"/>
  <c r="AY3629" i="3"/>
  <c r="BA3628" i="3"/>
  <c r="AZ3628" i="3"/>
  <c r="AY3628" i="3"/>
  <c r="BA3627" i="3"/>
  <c r="AZ3627" i="3"/>
  <c r="AY3627" i="3"/>
  <c r="BA3626" i="3"/>
  <c r="AZ3626" i="3"/>
  <c r="AY3626" i="3"/>
  <c r="BA3625" i="3"/>
  <c r="AZ3625" i="3"/>
  <c r="AY3625" i="3"/>
  <c r="BA3624" i="3"/>
  <c r="AZ3624" i="3"/>
  <c r="AY3624" i="3"/>
  <c r="BA3623" i="3"/>
  <c r="AZ3623" i="3"/>
  <c r="AY3623" i="3"/>
  <c r="BA3622" i="3"/>
  <c r="AZ3622" i="3"/>
  <c r="AY3622" i="3"/>
  <c r="BA3621" i="3"/>
  <c r="AZ3621" i="3"/>
  <c r="AY3621" i="3"/>
  <c r="BA3620" i="3"/>
  <c r="AZ3620" i="3"/>
  <c r="AY3620" i="3"/>
  <c r="BA3619" i="3"/>
  <c r="AZ3619" i="3"/>
  <c r="AY3619" i="3"/>
  <c r="BA3618" i="3"/>
  <c r="AZ3618" i="3"/>
  <c r="AY3618" i="3"/>
  <c r="BA3617" i="3"/>
  <c r="AZ3617" i="3"/>
  <c r="AY3617" i="3"/>
  <c r="BA3616" i="3"/>
  <c r="AZ3616" i="3"/>
  <c r="AY3616" i="3"/>
  <c r="BA3615" i="3"/>
  <c r="AZ3615" i="3"/>
  <c r="AY3615" i="3"/>
  <c r="BA3614" i="3"/>
  <c r="AZ3614" i="3"/>
  <c r="AY3614" i="3"/>
  <c r="BA3613" i="3"/>
  <c r="AZ3613" i="3"/>
  <c r="AY3613" i="3"/>
  <c r="BA3612" i="3"/>
  <c r="AZ3612" i="3"/>
  <c r="AY3612" i="3"/>
  <c r="BA3611" i="3"/>
  <c r="AZ3611" i="3"/>
  <c r="AY3611" i="3"/>
  <c r="BA3610" i="3"/>
  <c r="AZ3610" i="3"/>
  <c r="AY3610" i="3"/>
  <c r="BA3609" i="3"/>
  <c r="AZ3609" i="3"/>
  <c r="AY3609" i="3"/>
  <c r="BA3608" i="3"/>
  <c r="AZ3608" i="3"/>
  <c r="AY3608" i="3"/>
  <c r="BA3607" i="3"/>
  <c r="AZ3607" i="3"/>
  <c r="AY3607" i="3"/>
  <c r="BA3606" i="3"/>
  <c r="AZ3606" i="3"/>
  <c r="AY3606" i="3"/>
  <c r="BA3605" i="3"/>
  <c r="AZ3605" i="3"/>
  <c r="AY3605" i="3"/>
  <c r="BA3604" i="3"/>
  <c r="AZ3604" i="3"/>
  <c r="AY3604" i="3"/>
  <c r="BA3603" i="3"/>
  <c r="AZ3603" i="3"/>
  <c r="AY3603" i="3"/>
  <c r="BA3602" i="3"/>
  <c r="AZ3602" i="3"/>
  <c r="AY3602" i="3"/>
  <c r="BA3601" i="3"/>
  <c r="AZ3601" i="3"/>
  <c r="AY3601" i="3"/>
  <c r="BA3600" i="3"/>
  <c r="AZ3600" i="3"/>
  <c r="AY3600" i="3"/>
  <c r="BA3599" i="3"/>
  <c r="AZ3599" i="3"/>
  <c r="AY3599" i="3"/>
  <c r="BA3598" i="3"/>
  <c r="AZ3598" i="3"/>
  <c r="AY3598" i="3"/>
  <c r="BA3597" i="3"/>
  <c r="AZ3597" i="3"/>
  <c r="AY3597" i="3"/>
  <c r="BA3596" i="3"/>
  <c r="AZ3596" i="3"/>
  <c r="AY3596" i="3"/>
  <c r="BA3595" i="3"/>
  <c r="AZ3595" i="3"/>
  <c r="AY3595" i="3"/>
  <c r="BA3594" i="3"/>
  <c r="AZ3594" i="3"/>
  <c r="AY3594" i="3"/>
  <c r="BA3593" i="3"/>
  <c r="AZ3593" i="3"/>
  <c r="AY3593" i="3"/>
  <c r="BA3592" i="3"/>
  <c r="AZ3592" i="3"/>
  <c r="AY3592" i="3"/>
  <c r="BA3591" i="3"/>
  <c r="AZ3591" i="3"/>
  <c r="AY3591" i="3"/>
  <c r="BA3590" i="3"/>
  <c r="AZ3590" i="3"/>
  <c r="AY3590" i="3"/>
  <c r="BA3589" i="3"/>
  <c r="AZ3589" i="3"/>
  <c r="AY3589" i="3"/>
  <c r="BA3588" i="3"/>
  <c r="AZ3588" i="3"/>
  <c r="AY3588" i="3"/>
  <c r="BA3587" i="3"/>
  <c r="AZ3587" i="3"/>
  <c r="AY3587" i="3"/>
  <c r="BA3586" i="3"/>
  <c r="AZ3586" i="3"/>
  <c r="AY3586" i="3"/>
  <c r="BA3585" i="3"/>
  <c r="AZ3585" i="3"/>
  <c r="AY3585" i="3"/>
  <c r="AV3585" i="3"/>
  <c r="BA3584" i="3"/>
  <c r="AZ3584" i="3"/>
  <c r="AY3584" i="3"/>
  <c r="AV3584" i="3"/>
  <c r="BA3583" i="3"/>
  <c r="AZ3583" i="3"/>
  <c r="AY3583" i="3"/>
  <c r="AV3583" i="3"/>
  <c r="BA3582" i="3"/>
  <c r="AZ3582" i="3"/>
  <c r="AY3582" i="3"/>
  <c r="AV3582" i="3"/>
  <c r="BA3581" i="3"/>
  <c r="AZ3581" i="3"/>
  <c r="AY3581" i="3"/>
  <c r="AV3581" i="3"/>
  <c r="BA3580" i="3"/>
  <c r="AZ3580" i="3"/>
  <c r="AY3580" i="3"/>
  <c r="AV3580" i="3"/>
  <c r="BA3579" i="3"/>
  <c r="AZ3579" i="3"/>
  <c r="AY3579" i="3"/>
  <c r="AV3579" i="3"/>
  <c r="BA3578" i="3"/>
  <c r="AZ3578" i="3"/>
  <c r="AY3578" i="3"/>
  <c r="AV3578" i="3"/>
  <c r="BA3577" i="3"/>
  <c r="AZ3577" i="3"/>
  <c r="AY3577" i="3"/>
  <c r="AV3577" i="3"/>
  <c r="BA3576" i="3"/>
  <c r="AZ3576" i="3"/>
  <c r="AY3576" i="3"/>
  <c r="AV3576" i="3"/>
  <c r="BA3575" i="3"/>
  <c r="AZ3575" i="3"/>
  <c r="AY3575" i="3"/>
  <c r="AV3575" i="3"/>
  <c r="BA3574" i="3"/>
  <c r="AZ3574" i="3"/>
  <c r="AY3574" i="3"/>
  <c r="AV3574" i="3"/>
  <c r="BA3573" i="3"/>
  <c r="AZ3573" i="3"/>
  <c r="AY3573" i="3"/>
  <c r="AV3573" i="3"/>
  <c r="BA3572" i="3"/>
  <c r="AZ3572" i="3"/>
  <c r="AY3572" i="3"/>
  <c r="AV3572" i="3"/>
  <c r="BA3571" i="3"/>
  <c r="AZ3571" i="3"/>
  <c r="AY3571" i="3"/>
  <c r="AV3571" i="3"/>
  <c r="BA3570" i="3"/>
  <c r="AZ3570" i="3"/>
  <c r="AY3570" i="3"/>
  <c r="AV3570" i="3"/>
  <c r="BA3569" i="3"/>
  <c r="AZ3569" i="3"/>
  <c r="AY3569" i="3"/>
  <c r="AV3569" i="3"/>
  <c r="BA3568" i="3"/>
  <c r="AZ3568" i="3"/>
  <c r="AY3568" i="3"/>
  <c r="AV3568" i="3"/>
  <c r="BA3567" i="3"/>
  <c r="AZ3567" i="3"/>
  <c r="AY3567" i="3"/>
  <c r="AV3567" i="3"/>
  <c r="BA3566" i="3"/>
  <c r="AZ3566" i="3"/>
  <c r="AY3566" i="3"/>
  <c r="AV3566" i="3"/>
  <c r="BA3565" i="3"/>
  <c r="AZ3565" i="3"/>
  <c r="AY3565" i="3"/>
  <c r="AV3565" i="3"/>
  <c r="BA3564" i="3"/>
  <c r="AZ3564" i="3"/>
  <c r="AY3564" i="3"/>
  <c r="AV3564" i="3"/>
  <c r="BA3563" i="3"/>
  <c r="AZ3563" i="3"/>
  <c r="AY3563" i="3"/>
  <c r="AV3563" i="3"/>
  <c r="BA3562" i="3"/>
  <c r="AZ3562" i="3"/>
  <c r="AY3562" i="3"/>
  <c r="AV3562" i="3"/>
  <c r="BA3561" i="3"/>
  <c r="AZ3561" i="3"/>
  <c r="AY3561" i="3"/>
  <c r="AV3561" i="3"/>
  <c r="BA3560" i="3"/>
  <c r="AZ3560" i="3"/>
  <c r="AY3560" i="3"/>
  <c r="AV3560" i="3"/>
  <c r="BA3559" i="3"/>
  <c r="AZ3559" i="3"/>
  <c r="AY3559" i="3"/>
  <c r="AV3559" i="3"/>
  <c r="BA3558" i="3"/>
  <c r="AZ3558" i="3"/>
  <c r="AY3558" i="3"/>
  <c r="AV3558" i="3"/>
  <c r="BA3557" i="3"/>
  <c r="AZ3557" i="3"/>
  <c r="AY3557" i="3"/>
  <c r="AV3557" i="3"/>
  <c r="BA3556" i="3"/>
  <c r="AZ3556" i="3"/>
  <c r="AY3556" i="3"/>
  <c r="AV3556" i="3"/>
  <c r="BA3555" i="3"/>
  <c r="AZ3555" i="3"/>
  <c r="AY3555" i="3"/>
  <c r="AV3555" i="3"/>
  <c r="BA3554" i="3"/>
  <c r="AZ3554" i="3"/>
  <c r="AY3554" i="3"/>
  <c r="AV3554" i="3"/>
  <c r="BA3553" i="3"/>
  <c r="AZ3553" i="3"/>
  <c r="AY3553" i="3"/>
  <c r="AV3553" i="3"/>
  <c r="BA3552" i="3"/>
  <c r="AZ3552" i="3"/>
  <c r="AY3552" i="3"/>
  <c r="AV3552" i="3"/>
  <c r="BA3551" i="3"/>
  <c r="AZ3551" i="3"/>
  <c r="AY3551" i="3"/>
  <c r="AV3551" i="3"/>
  <c r="BA3550" i="3"/>
  <c r="AZ3550" i="3"/>
  <c r="AY3550" i="3"/>
  <c r="AV3550" i="3"/>
  <c r="BA3549" i="3"/>
  <c r="AZ3549" i="3"/>
  <c r="AY3549" i="3"/>
  <c r="AV3549" i="3"/>
  <c r="BA3548" i="3"/>
  <c r="AZ3548" i="3"/>
  <c r="AY3548" i="3"/>
  <c r="AV3548" i="3"/>
  <c r="BA3547" i="3"/>
  <c r="AZ3547" i="3"/>
  <c r="AY3547" i="3"/>
  <c r="AV3547" i="3"/>
  <c r="BA3546" i="3"/>
  <c r="AZ3546" i="3"/>
  <c r="AY3546" i="3"/>
  <c r="AV3546" i="3"/>
  <c r="BA3545" i="3"/>
  <c r="AZ3545" i="3"/>
  <c r="AY3545" i="3"/>
  <c r="AV3545" i="3"/>
  <c r="BA3544" i="3"/>
  <c r="AZ3544" i="3"/>
  <c r="AY3544" i="3"/>
  <c r="AV3544" i="3"/>
  <c r="BA3543" i="3"/>
  <c r="AZ3543" i="3"/>
  <c r="AY3543" i="3"/>
  <c r="AV3543" i="3"/>
  <c r="BA3542" i="3"/>
  <c r="AZ3542" i="3"/>
  <c r="AY3542" i="3"/>
  <c r="AV3542" i="3"/>
  <c r="BA3541" i="3"/>
  <c r="AZ3541" i="3"/>
  <c r="AY3541" i="3"/>
  <c r="AV3541" i="3"/>
  <c r="BA3540" i="3"/>
  <c r="AZ3540" i="3"/>
  <c r="AY3540" i="3"/>
  <c r="AV3540" i="3"/>
  <c r="BA3539" i="3"/>
  <c r="AZ3539" i="3"/>
  <c r="AY3539" i="3"/>
  <c r="AV3539" i="3"/>
  <c r="BA3538" i="3"/>
  <c r="AZ3538" i="3"/>
  <c r="AY3538" i="3"/>
  <c r="AV3538" i="3"/>
  <c r="BA3537" i="3"/>
  <c r="AZ3537" i="3"/>
  <c r="AY3537" i="3"/>
  <c r="AV3537" i="3"/>
  <c r="BA3536" i="3"/>
  <c r="AZ3536" i="3"/>
  <c r="AY3536" i="3"/>
  <c r="AV3536" i="3"/>
  <c r="BA3535" i="3"/>
  <c r="AZ3535" i="3"/>
  <c r="AY3535" i="3"/>
  <c r="AV3535" i="3"/>
  <c r="BA3534" i="3"/>
  <c r="AZ3534" i="3"/>
  <c r="AY3534" i="3"/>
  <c r="AV3534" i="3"/>
  <c r="BA3533" i="3"/>
  <c r="AZ3533" i="3"/>
  <c r="AY3533" i="3"/>
  <c r="AV3533" i="3"/>
  <c r="BA3532" i="3"/>
  <c r="AZ3532" i="3"/>
  <c r="AY3532" i="3"/>
  <c r="AV3532" i="3"/>
  <c r="BA3531" i="3"/>
  <c r="AZ3531" i="3"/>
  <c r="AY3531" i="3"/>
  <c r="AV3531" i="3"/>
  <c r="BA3530" i="3"/>
  <c r="AZ3530" i="3"/>
  <c r="AY3530" i="3"/>
  <c r="AV3530" i="3"/>
  <c r="BA3529" i="3"/>
  <c r="AZ3529" i="3"/>
  <c r="AY3529" i="3"/>
  <c r="AV3529" i="3"/>
  <c r="BA3528" i="3"/>
  <c r="AZ3528" i="3"/>
  <c r="AY3528" i="3"/>
  <c r="AV3528" i="3"/>
  <c r="BA3527" i="3"/>
  <c r="AZ3527" i="3"/>
  <c r="AY3527" i="3"/>
  <c r="AV3527" i="3"/>
  <c r="BA3526" i="3"/>
  <c r="AZ3526" i="3"/>
  <c r="AY3526" i="3"/>
  <c r="AV3526" i="3"/>
  <c r="BA3525" i="3"/>
  <c r="AZ3525" i="3"/>
  <c r="AY3525" i="3"/>
  <c r="AV3525" i="3"/>
  <c r="BA3524" i="3"/>
  <c r="AZ3524" i="3"/>
  <c r="AY3524" i="3"/>
  <c r="AV3524" i="3"/>
  <c r="BA3523" i="3"/>
  <c r="AZ3523" i="3"/>
  <c r="AY3523" i="3"/>
  <c r="AV3523" i="3"/>
  <c r="BA3522" i="3"/>
  <c r="AZ3522" i="3"/>
  <c r="AY3522" i="3"/>
  <c r="AV3522" i="3"/>
  <c r="BA3521" i="3"/>
  <c r="AZ3521" i="3"/>
  <c r="AY3521" i="3"/>
  <c r="AV3521" i="3"/>
  <c r="BA3520" i="3"/>
  <c r="AZ3520" i="3"/>
  <c r="AY3520" i="3"/>
  <c r="AV3520" i="3"/>
  <c r="BA3519" i="3"/>
  <c r="AZ3519" i="3"/>
  <c r="AY3519" i="3"/>
  <c r="AV3519" i="3"/>
  <c r="BA3518" i="3"/>
  <c r="AZ3518" i="3"/>
  <c r="AY3518" i="3"/>
  <c r="AV3518" i="3"/>
  <c r="BA3517" i="3"/>
  <c r="AZ3517" i="3"/>
  <c r="AY3517" i="3"/>
  <c r="AV3517" i="3"/>
  <c r="BA3516" i="3"/>
  <c r="AZ3516" i="3"/>
  <c r="AY3516" i="3"/>
  <c r="AV3516" i="3"/>
  <c r="BA3515" i="3"/>
  <c r="AZ3515" i="3"/>
  <c r="AY3515" i="3"/>
  <c r="AV3515" i="3"/>
  <c r="BA3514" i="3"/>
  <c r="AZ3514" i="3"/>
  <c r="AY3514" i="3"/>
  <c r="AV3514" i="3"/>
  <c r="BA3513" i="3"/>
  <c r="AZ3513" i="3"/>
  <c r="AY3513" i="3"/>
  <c r="AV3513" i="3"/>
  <c r="BA3512" i="3"/>
  <c r="AZ3512" i="3"/>
  <c r="AY3512" i="3"/>
  <c r="AV3512" i="3"/>
  <c r="BA3511" i="3"/>
  <c r="AZ3511" i="3"/>
  <c r="AY3511" i="3"/>
  <c r="AV3511" i="3"/>
  <c r="BA3510" i="3"/>
  <c r="AZ3510" i="3"/>
  <c r="AY3510" i="3"/>
  <c r="AV3510" i="3"/>
  <c r="BA3509" i="3"/>
  <c r="AZ3509" i="3"/>
  <c r="AY3509" i="3"/>
  <c r="AV3509" i="3"/>
  <c r="BA3508" i="3"/>
  <c r="AZ3508" i="3"/>
  <c r="AY3508" i="3"/>
  <c r="AV3508" i="3"/>
  <c r="BA3507" i="3"/>
  <c r="AZ3507" i="3"/>
  <c r="AY3507" i="3"/>
  <c r="AV3507" i="3"/>
  <c r="BA3506" i="3"/>
  <c r="AZ3506" i="3"/>
  <c r="AY3506" i="3"/>
  <c r="AV3506" i="3"/>
  <c r="BA3505" i="3"/>
  <c r="AZ3505" i="3"/>
  <c r="AY3505" i="3"/>
  <c r="AV3505" i="3"/>
  <c r="BA3504" i="3"/>
  <c r="AZ3504" i="3"/>
  <c r="AY3504" i="3"/>
  <c r="AV3504" i="3"/>
  <c r="BA3503" i="3"/>
  <c r="AZ3503" i="3"/>
  <c r="AY3503" i="3"/>
  <c r="AV3503" i="3"/>
  <c r="BA3502" i="3"/>
  <c r="AZ3502" i="3"/>
  <c r="AY3502" i="3"/>
  <c r="AV3502" i="3"/>
  <c r="BA3501" i="3"/>
  <c r="AZ3501" i="3"/>
  <c r="AY3501" i="3"/>
  <c r="AV3501" i="3"/>
  <c r="BA3500" i="3"/>
  <c r="AZ3500" i="3"/>
  <c r="AY3500" i="3"/>
  <c r="AV3500" i="3"/>
  <c r="BA3499" i="3"/>
  <c r="AZ3499" i="3"/>
  <c r="AY3499" i="3"/>
  <c r="AV3499" i="3"/>
  <c r="BA3498" i="3"/>
  <c r="AZ3498" i="3"/>
  <c r="AY3498" i="3"/>
  <c r="AV3498" i="3"/>
  <c r="BA3497" i="3"/>
  <c r="AZ3497" i="3"/>
  <c r="AY3497" i="3"/>
  <c r="AV3497" i="3"/>
  <c r="BA3496" i="3"/>
  <c r="AZ3496" i="3"/>
  <c r="AY3496" i="3"/>
  <c r="AV3496" i="3"/>
  <c r="BA3495" i="3"/>
  <c r="AZ3495" i="3"/>
  <c r="AY3495" i="3"/>
  <c r="AV3495" i="3"/>
  <c r="BA3494" i="3"/>
  <c r="AZ3494" i="3"/>
  <c r="AY3494" i="3"/>
  <c r="AV3494" i="3"/>
  <c r="BA3493" i="3"/>
  <c r="AZ3493" i="3"/>
  <c r="AY3493" i="3"/>
  <c r="AV3493" i="3"/>
  <c r="BA3492" i="3"/>
  <c r="AZ3492" i="3"/>
  <c r="AY3492" i="3"/>
  <c r="AV3492" i="3"/>
  <c r="BA3491" i="3"/>
  <c r="AZ3491" i="3"/>
  <c r="AY3491" i="3"/>
  <c r="AV3491" i="3"/>
  <c r="BA3490" i="3"/>
  <c r="AZ3490" i="3"/>
  <c r="AY3490" i="3"/>
  <c r="AV3490" i="3"/>
  <c r="BA3489" i="3"/>
  <c r="AZ3489" i="3"/>
  <c r="AY3489" i="3"/>
  <c r="AV3489" i="3"/>
  <c r="BA3488" i="3"/>
  <c r="AZ3488" i="3"/>
  <c r="AY3488" i="3"/>
  <c r="AV3488" i="3"/>
  <c r="BA3487" i="3"/>
  <c r="AZ3487" i="3"/>
  <c r="AY3487" i="3"/>
  <c r="AV3487" i="3"/>
  <c r="BA3486" i="3"/>
  <c r="AZ3486" i="3"/>
  <c r="AY3486" i="3"/>
  <c r="AV3486" i="3"/>
  <c r="BA3485" i="3"/>
  <c r="AZ3485" i="3"/>
  <c r="AY3485" i="3"/>
  <c r="AV3485" i="3"/>
  <c r="BA3484" i="3"/>
  <c r="AZ3484" i="3"/>
  <c r="AY3484" i="3"/>
  <c r="AV3484" i="3"/>
  <c r="BA3483" i="3"/>
  <c r="AZ3483" i="3"/>
  <c r="AY3483" i="3"/>
  <c r="AV3483" i="3"/>
  <c r="BA3482" i="3"/>
  <c r="AZ3482" i="3"/>
  <c r="AY3482" i="3"/>
  <c r="AV3482" i="3"/>
  <c r="BA3481" i="3"/>
  <c r="AZ3481" i="3"/>
  <c r="AY3481" i="3"/>
  <c r="AV3481" i="3"/>
  <c r="BA3480" i="3"/>
  <c r="AZ3480" i="3"/>
  <c r="AY3480" i="3"/>
  <c r="AV3480" i="3"/>
  <c r="BA3479" i="3"/>
  <c r="AZ3479" i="3"/>
  <c r="AY3479" i="3"/>
  <c r="AV3479" i="3"/>
  <c r="BA3478" i="3"/>
  <c r="AZ3478" i="3"/>
  <c r="AY3478" i="3"/>
  <c r="AV3478" i="3"/>
  <c r="BA3477" i="3"/>
  <c r="AZ3477" i="3"/>
  <c r="AY3477" i="3"/>
  <c r="AV3477" i="3"/>
  <c r="BA3476" i="3"/>
  <c r="AZ3476" i="3"/>
  <c r="AY3476" i="3"/>
  <c r="AV3476" i="3"/>
  <c r="BA3475" i="3"/>
  <c r="AZ3475" i="3"/>
  <c r="AY3475" i="3"/>
  <c r="AV3475" i="3"/>
  <c r="BA3474" i="3"/>
  <c r="AZ3474" i="3"/>
  <c r="AY3474" i="3"/>
  <c r="AV3474" i="3"/>
  <c r="BA3473" i="3"/>
  <c r="AZ3473" i="3"/>
  <c r="AY3473" i="3"/>
  <c r="AV3473" i="3"/>
  <c r="BA3472" i="3"/>
  <c r="AZ3472" i="3"/>
  <c r="AY3472" i="3"/>
  <c r="AV3472" i="3"/>
  <c r="BA3471" i="3"/>
  <c r="AZ3471" i="3"/>
  <c r="AY3471" i="3"/>
  <c r="AV3471" i="3"/>
  <c r="BA3470" i="3"/>
  <c r="AZ3470" i="3"/>
  <c r="AY3470" i="3"/>
  <c r="AV3470" i="3"/>
  <c r="BA3469" i="3"/>
  <c r="AZ3469" i="3"/>
  <c r="AY3469" i="3"/>
  <c r="AV3469" i="3"/>
  <c r="BA3468" i="3"/>
  <c r="AZ3468" i="3"/>
  <c r="AY3468" i="3"/>
  <c r="AV3468" i="3"/>
  <c r="BA3467" i="3"/>
  <c r="AZ3467" i="3"/>
  <c r="AY3467" i="3"/>
  <c r="AV3467" i="3"/>
  <c r="BA3466" i="3"/>
  <c r="AZ3466" i="3"/>
  <c r="AY3466" i="3"/>
  <c r="AV3466" i="3"/>
  <c r="BA3465" i="3"/>
  <c r="AZ3465" i="3"/>
  <c r="AY3465" i="3"/>
  <c r="AV3465" i="3"/>
  <c r="BA3464" i="3"/>
  <c r="AZ3464" i="3"/>
  <c r="AY3464" i="3"/>
  <c r="AV3464" i="3"/>
  <c r="BA3463" i="3"/>
  <c r="AZ3463" i="3"/>
  <c r="AY3463" i="3"/>
  <c r="AV3463" i="3"/>
  <c r="BA3462" i="3"/>
  <c r="AZ3462" i="3"/>
  <c r="AY3462" i="3"/>
  <c r="AV3462" i="3"/>
  <c r="BA3461" i="3"/>
  <c r="AZ3461" i="3"/>
  <c r="AY3461" i="3"/>
  <c r="AV3461" i="3"/>
  <c r="BA3460" i="3"/>
  <c r="AZ3460" i="3"/>
  <c r="AY3460" i="3"/>
  <c r="AV3460" i="3"/>
  <c r="BA3459" i="3"/>
  <c r="AZ3459" i="3"/>
  <c r="AY3459" i="3"/>
  <c r="AV3459" i="3"/>
  <c r="BA3458" i="3"/>
  <c r="AZ3458" i="3"/>
  <c r="AY3458" i="3"/>
  <c r="AV3458" i="3"/>
  <c r="BA3457" i="3"/>
  <c r="AZ3457" i="3"/>
  <c r="AY3457" i="3"/>
  <c r="AV3457" i="3"/>
  <c r="BA3456" i="3"/>
  <c r="AZ3456" i="3"/>
  <c r="AY3456" i="3"/>
  <c r="AV3456" i="3"/>
  <c r="BA3455" i="3"/>
  <c r="AZ3455" i="3"/>
  <c r="AY3455" i="3"/>
  <c r="AV3455" i="3"/>
  <c r="BA3454" i="3"/>
  <c r="AZ3454" i="3"/>
  <c r="AY3454" i="3"/>
  <c r="AV3454" i="3"/>
  <c r="BA3453" i="3"/>
  <c r="AZ3453" i="3"/>
  <c r="AY3453" i="3"/>
  <c r="AV3453" i="3"/>
  <c r="BA3452" i="3"/>
  <c r="AZ3452" i="3"/>
  <c r="AY3452" i="3"/>
  <c r="AV3452" i="3"/>
  <c r="BA3451" i="3"/>
  <c r="AZ3451" i="3"/>
  <c r="AY3451" i="3"/>
  <c r="AV3451" i="3"/>
  <c r="BA3450" i="3"/>
  <c r="AZ3450" i="3"/>
  <c r="AY3450" i="3"/>
  <c r="AV3450" i="3"/>
  <c r="BA3449" i="3"/>
  <c r="AZ3449" i="3"/>
  <c r="AY3449" i="3"/>
  <c r="AV3449" i="3"/>
  <c r="BA3448" i="3"/>
  <c r="AZ3448" i="3"/>
  <c r="AY3448" i="3"/>
  <c r="AV3448" i="3"/>
  <c r="BA3447" i="3"/>
  <c r="AZ3447" i="3"/>
  <c r="AY3447" i="3"/>
  <c r="AV3447" i="3"/>
  <c r="BA3446" i="3"/>
  <c r="AZ3446" i="3"/>
  <c r="AY3446" i="3"/>
  <c r="AV3446" i="3"/>
  <c r="BA3445" i="3"/>
  <c r="AZ3445" i="3"/>
  <c r="AY3445" i="3"/>
  <c r="AV3445" i="3"/>
  <c r="BA3444" i="3"/>
  <c r="AZ3444" i="3"/>
  <c r="AY3444" i="3"/>
  <c r="AV3444" i="3"/>
  <c r="BA3443" i="3"/>
  <c r="AZ3443" i="3"/>
  <c r="AY3443" i="3"/>
  <c r="AV3443" i="3"/>
  <c r="BA3442" i="3"/>
  <c r="AZ3442" i="3"/>
  <c r="AY3442" i="3"/>
  <c r="AV3442" i="3"/>
  <c r="BA3441" i="3"/>
  <c r="AZ3441" i="3"/>
  <c r="AY3441" i="3"/>
  <c r="AV3441" i="3"/>
  <c r="BA3440" i="3"/>
  <c r="AZ3440" i="3"/>
  <c r="AY3440" i="3"/>
  <c r="AV3440" i="3"/>
  <c r="BA3439" i="3"/>
  <c r="AZ3439" i="3"/>
  <c r="AY3439" i="3"/>
  <c r="AV3439" i="3"/>
  <c r="BA3438" i="3"/>
  <c r="AZ3438" i="3"/>
  <c r="AY3438" i="3"/>
  <c r="AV3438" i="3"/>
  <c r="BA3437" i="3"/>
  <c r="AZ3437" i="3"/>
  <c r="AY3437" i="3"/>
  <c r="AV3437" i="3"/>
  <c r="BA3436" i="3"/>
  <c r="AZ3436" i="3"/>
  <c r="AY3436" i="3"/>
  <c r="AV3436" i="3"/>
  <c r="BA3435" i="3"/>
  <c r="AZ3435" i="3"/>
  <c r="AY3435" i="3"/>
  <c r="AV3435" i="3"/>
  <c r="BA3434" i="3"/>
  <c r="AZ3434" i="3"/>
  <c r="AY3434" i="3"/>
  <c r="AV3434" i="3"/>
  <c r="BA3433" i="3"/>
  <c r="AZ3433" i="3"/>
  <c r="AY3433" i="3"/>
  <c r="AV3433" i="3"/>
  <c r="BA3432" i="3"/>
  <c r="AZ3432" i="3"/>
  <c r="AY3432" i="3"/>
  <c r="AV3432" i="3"/>
  <c r="BA3431" i="3"/>
  <c r="AZ3431" i="3"/>
  <c r="AY3431" i="3"/>
  <c r="AV3431" i="3"/>
  <c r="BA3430" i="3"/>
  <c r="AZ3430" i="3"/>
  <c r="AY3430" i="3"/>
  <c r="AV3430" i="3"/>
  <c r="BA3429" i="3"/>
  <c r="AZ3429" i="3"/>
  <c r="AY3429" i="3"/>
  <c r="AV3429" i="3"/>
  <c r="BA3428" i="3"/>
  <c r="AZ3428" i="3"/>
  <c r="AY3428" i="3"/>
  <c r="AV3428" i="3"/>
  <c r="BA3427" i="3"/>
  <c r="AZ3427" i="3"/>
  <c r="AY3427" i="3"/>
  <c r="AV3427" i="3"/>
  <c r="BA3426" i="3"/>
  <c r="AZ3426" i="3"/>
  <c r="AY3426" i="3"/>
  <c r="AV3426" i="3"/>
  <c r="BA3425" i="3"/>
  <c r="AZ3425" i="3"/>
  <c r="AY3425" i="3"/>
  <c r="AV3425" i="3"/>
  <c r="BA3424" i="3"/>
  <c r="AZ3424" i="3"/>
  <c r="AY3424" i="3"/>
  <c r="AV3424" i="3"/>
  <c r="BA3423" i="3"/>
  <c r="AZ3423" i="3"/>
  <c r="AY3423" i="3"/>
  <c r="AV3423" i="3"/>
  <c r="BA3422" i="3"/>
  <c r="AZ3422" i="3"/>
  <c r="AY3422" i="3"/>
  <c r="AV3422" i="3"/>
  <c r="BA3421" i="3"/>
  <c r="AZ3421" i="3"/>
  <c r="AY3421" i="3"/>
  <c r="AV3421" i="3"/>
  <c r="BA3420" i="3"/>
  <c r="AZ3420" i="3"/>
  <c r="AY3420" i="3"/>
  <c r="AV3420" i="3"/>
  <c r="BA3419" i="3"/>
  <c r="AZ3419" i="3"/>
  <c r="AY3419" i="3"/>
  <c r="AV3419" i="3"/>
  <c r="BA3418" i="3"/>
  <c r="AZ3418" i="3"/>
  <c r="AY3418" i="3"/>
  <c r="AV3418" i="3"/>
  <c r="BA3417" i="3"/>
  <c r="AZ3417" i="3"/>
  <c r="AY3417" i="3"/>
  <c r="AV3417" i="3"/>
  <c r="BA3416" i="3"/>
  <c r="AZ3416" i="3"/>
  <c r="AY3416" i="3"/>
  <c r="AV3416" i="3"/>
  <c r="BA3415" i="3"/>
  <c r="AZ3415" i="3"/>
  <c r="AY3415" i="3"/>
  <c r="AV3415" i="3"/>
  <c r="BA3414" i="3"/>
  <c r="AZ3414" i="3"/>
  <c r="AY3414" i="3"/>
  <c r="AV3414" i="3"/>
  <c r="BA3413" i="3"/>
  <c r="AZ3413" i="3"/>
  <c r="AY3413" i="3"/>
  <c r="AV3413" i="3"/>
  <c r="BA3412" i="3"/>
  <c r="AZ3412" i="3"/>
  <c r="AY3412" i="3"/>
  <c r="AV3412" i="3"/>
  <c r="BA3411" i="3"/>
  <c r="AZ3411" i="3"/>
  <c r="AY3411" i="3"/>
  <c r="AV3411" i="3"/>
  <c r="BA3410" i="3"/>
  <c r="AZ3410" i="3"/>
  <c r="AY3410" i="3"/>
  <c r="AV3410" i="3"/>
  <c r="BA3409" i="3"/>
  <c r="AZ3409" i="3"/>
  <c r="AY3409" i="3"/>
  <c r="AV3409" i="3"/>
  <c r="BA3408" i="3"/>
  <c r="AZ3408" i="3"/>
  <c r="AY3408" i="3"/>
  <c r="AV3408" i="3"/>
  <c r="BA3407" i="3"/>
  <c r="AZ3407" i="3"/>
  <c r="AY3407" i="3"/>
  <c r="AV3407" i="3"/>
  <c r="BA3406" i="3"/>
  <c r="AZ3406" i="3"/>
  <c r="AY3406" i="3"/>
  <c r="AV3406" i="3"/>
  <c r="BA3405" i="3"/>
  <c r="AZ3405" i="3"/>
  <c r="AY3405" i="3"/>
  <c r="AV3405" i="3"/>
  <c r="BA3404" i="3"/>
  <c r="AZ3404" i="3"/>
  <c r="AY3404" i="3"/>
  <c r="AV3404" i="3"/>
  <c r="BA3403" i="3"/>
  <c r="AZ3403" i="3"/>
  <c r="AY3403" i="3"/>
  <c r="AV3403" i="3"/>
  <c r="BA3402" i="3"/>
  <c r="AZ3402" i="3"/>
  <c r="AY3402" i="3"/>
  <c r="AV3402" i="3"/>
  <c r="BA3401" i="3"/>
  <c r="AZ3401" i="3"/>
  <c r="AY3401" i="3"/>
  <c r="AV3401" i="3"/>
  <c r="BA3400" i="3"/>
  <c r="AZ3400" i="3"/>
  <c r="AY3400" i="3"/>
  <c r="AV3400" i="3"/>
  <c r="BA3399" i="3"/>
  <c r="AZ3399" i="3"/>
  <c r="AY3399" i="3"/>
  <c r="AV3399" i="3"/>
  <c r="BA3398" i="3"/>
  <c r="AZ3398" i="3"/>
  <c r="AY3398" i="3"/>
  <c r="AV3398" i="3"/>
  <c r="BA3397" i="3"/>
  <c r="AZ3397" i="3"/>
  <c r="AY3397" i="3"/>
  <c r="AV3397" i="3"/>
  <c r="BA3396" i="3"/>
  <c r="AZ3396" i="3"/>
  <c r="AY3396" i="3"/>
  <c r="AV3396" i="3"/>
  <c r="BA3395" i="3"/>
  <c r="AZ3395" i="3"/>
  <c r="AY3395" i="3"/>
  <c r="AV3395" i="3"/>
  <c r="BA3394" i="3"/>
  <c r="AZ3394" i="3"/>
  <c r="AY3394" i="3"/>
  <c r="AV3394" i="3"/>
  <c r="BA3393" i="3"/>
  <c r="AZ3393" i="3"/>
  <c r="AY3393" i="3"/>
  <c r="AV3393" i="3"/>
  <c r="BA3392" i="3"/>
  <c r="AZ3392" i="3"/>
  <c r="AY3392" i="3"/>
  <c r="AV3392" i="3"/>
  <c r="BA3391" i="3"/>
  <c r="AZ3391" i="3"/>
  <c r="AY3391" i="3"/>
  <c r="AV3391" i="3"/>
  <c r="BA3390" i="3"/>
  <c r="AZ3390" i="3"/>
  <c r="AY3390" i="3"/>
  <c r="AV3390" i="3"/>
  <c r="BA3389" i="3"/>
  <c r="AZ3389" i="3"/>
  <c r="AY3389" i="3"/>
  <c r="AV3389" i="3"/>
  <c r="BA3388" i="3"/>
  <c r="AZ3388" i="3"/>
  <c r="AY3388" i="3"/>
  <c r="AV3388" i="3"/>
  <c r="BA3387" i="3"/>
  <c r="AZ3387" i="3"/>
  <c r="AY3387" i="3"/>
  <c r="AV3387" i="3"/>
  <c r="BA3386" i="3"/>
  <c r="AZ3386" i="3"/>
  <c r="AY3386" i="3"/>
  <c r="AV3386" i="3"/>
  <c r="BA3385" i="3"/>
  <c r="AZ3385" i="3"/>
  <c r="AY3385" i="3"/>
  <c r="AV3385" i="3"/>
  <c r="BA3384" i="3"/>
  <c r="AZ3384" i="3"/>
  <c r="AY3384" i="3"/>
  <c r="AV3384" i="3"/>
  <c r="BA3383" i="3"/>
  <c r="AZ3383" i="3"/>
  <c r="AY3383" i="3"/>
  <c r="AV3383" i="3"/>
  <c r="BA3382" i="3"/>
  <c r="AZ3382" i="3"/>
  <c r="AY3382" i="3"/>
  <c r="AV3382" i="3"/>
  <c r="BA3381" i="3"/>
  <c r="AZ3381" i="3"/>
  <c r="AY3381" i="3"/>
  <c r="AV3381" i="3"/>
  <c r="BA3380" i="3"/>
  <c r="AZ3380" i="3"/>
  <c r="AY3380" i="3"/>
  <c r="AV3380" i="3"/>
  <c r="BA3379" i="3"/>
  <c r="AZ3379" i="3"/>
  <c r="AY3379" i="3"/>
  <c r="AV3379" i="3"/>
  <c r="BA3378" i="3"/>
  <c r="AZ3378" i="3"/>
  <c r="AY3378" i="3"/>
  <c r="AV3378" i="3"/>
  <c r="BA3377" i="3"/>
  <c r="AZ3377" i="3"/>
  <c r="AY3377" i="3"/>
  <c r="AV3377" i="3"/>
  <c r="BA3376" i="3"/>
  <c r="AZ3376" i="3"/>
  <c r="AY3376" i="3"/>
  <c r="AV3376" i="3"/>
  <c r="BA3375" i="3"/>
  <c r="AZ3375" i="3"/>
  <c r="AY3375" i="3"/>
  <c r="AV3375" i="3"/>
  <c r="BA3374" i="3"/>
  <c r="AZ3374" i="3"/>
  <c r="AY3374" i="3"/>
  <c r="AV3374" i="3"/>
  <c r="BA3373" i="3"/>
  <c r="AZ3373" i="3"/>
  <c r="AY3373" i="3"/>
  <c r="AV3373" i="3"/>
  <c r="BA3372" i="3"/>
  <c r="AZ3372" i="3"/>
  <c r="AY3372" i="3"/>
  <c r="AV3372" i="3"/>
  <c r="BA3371" i="3"/>
  <c r="AZ3371" i="3"/>
  <c r="AY3371" i="3"/>
  <c r="AV3371" i="3"/>
  <c r="BA3370" i="3"/>
  <c r="AZ3370" i="3"/>
  <c r="AY3370" i="3"/>
  <c r="AV3370" i="3"/>
  <c r="BA3369" i="3"/>
  <c r="AZ3369" i="3"/>
  <c r="AY3369" i="3"/>
  <c r="AV3369" i="3"/>
  <c r="BA3368" i="3"/>
  <c r="AZ3368" i="3"/>
  <c r="AY3368" i="3"/>
  <c r="AV3368" i="3"/>
  <c r="BA3367" i="3"/>
  <c r="AZ3367" i="3"/>
  <c r="AY3367" i="3"/>
  <c r="AV3367" i="3"/>
  <c r="BA3366" i="3"/>
  <c r="AZ3366" i="3"/>
  <c r="AY3366" i="3"/>
  <c r="AV3366" i="3"/>
  <c r="BA3365" i="3"/>
  <c r="AZ3365" i="3"/>
  <c r="AY3365" i="3"/>
  <c r="AV3365" i="3"/>
  <c r="BA3364" i="3"/>
  <c r="AZ3364" i="3"/>
  <c r="AY3364" i="3"/>
  <c r="AV3364" i="3"/>
  <c r="BA3363" i="3"/>
  <c r="AZ3363" i="3"/>
  <c r="AY3363" i="3"/>
  <c r="AV3363" i="3"/>
  <c r="BA3362" i="3"/>
  <c r="AZ3362" i="3"/>
  <c r="AY3362" i="3"/>
  <c r="AV3362" i="3"/>
  <c r="BA3361" i="3"/>
  <c r="AZ3361" i="3"/>
  <c r="AY3361" i="3"/>
  <c r="AV3361" i="3"/>
  <c r="BA3360" i="3"/>
  <c r="AZ3360" i="3"/>
  <c r="AY3360" i="3"/>
  <c r="AV3360" i="3"/>
  <c r="BA3359" i="3"/>
  <c r="AZ3359" i="3"/>
  <c r="AY3359" i="3"/>
  <c r="AV3359" i="3"/>
  <c r="BA3358" i="3"/>
  <c r="AZ3358" i="3"/>
  <c r="AY3358" i="3"/>
  <c r="AV3358" i="3"/>
  <c r="BA3357" i="3"/>
  <c r="AZ3357" i="3"/>
  <c r="AY3357" i="3"/>
  <c r="AV3357" i="3"/>
  <c r="BA3356" i="3"/>
  <c r="AZ3356" i="3"/>
  <c r="AY3356" i="3"/>
  <c r="AV3356" i="3"/>
  <c r="BA3355" i="3"/>
  <c r="AZ3355" i="3"/>
  <c r="AY3355" i="3"/>
  <c r="AV3355" i="3"/>
  <c r="BA3354" i="3"/>
  <c r="AZ3354" i="3"/>
  <c r="AY3354" i="3"/>
  <c r="AV3354" i="3"/>
  <c r="BA3353" i="3"/>
  <c r="AZ3353" i="3"/>
  <c r="AY3353" i="3"/>
  <c r="AV3353" i="3"/>
  <c r="BA3352" i="3"/>
  <c r="AZ3352" i="3"/>
  <c r="AY3352" i="3"/>
  <c r="AV3352" i="3"/>
  <c r="BA3351" i="3"/>
  <c r="AZ3351" i="3"/>
  <c r="AY3351" i="3"/>
  <c r="AV3351" i="3"/>
  <c r="BA3350" i="3"/>
  <c r="AZ3350" i="3"/>
  <c r="AY3350" i="3"/>
  <c r="AV3350" i="3"/>
  <c r="BA3349" i="3"/>
  <c r="AZ3349" i="3"/>
  <c r="AY3349" i="3"/>
  <c r="AV3349" i="3"/>
  <c r="BA3348" i="3"/>
  <c r="AZ3348" i="3"/>
  <c r="AY3348" i="3"/>
  <c r="AV3348" i="3"/>
  <c r="BA3347" i="3"/>
  <c r="AZ3347" i="3"/>
  <c r="AY3347" i="3"/>
  <c r="AV3347" i="3"/>
  <c r="BA3346" i="3"/>
  <c r="AZ3346" i="3"/>
  <c r="AY3346" i="3"/>
  <c r="AV3346" i="3"/>
  <c r="BA3345" i="3"/>
  <c r="AZ3345" i="3"/>
  <c r="AY3345" i="3"/>
  <c r="AV3345" i="3"/>
  <c r="BA3344" i="3"/>
  <c r="AZ3344" i="3"/>
  <c r="AY3344" i="3"/>
  <c r="AV3344" i="3"/>
  <c r="BA3343" i="3"/>
  <c r="AZ3343" i="3"/>
  <c r="AY3343" i="3"/>
  <c r="AV3343" i="3"/>
  <c r="BA3342" i="3"/>
  <c r="AZ3342" i="3"/>
  <c r="AY3342" i="3"/>
  <c r="AV3342" i="3"/>
  <c r="BA3341" i="3"/>
  <c r="AZ3341" i="3"/>
  <c r="AY3341" i="3"/>
  <c r="AV3341" i="3"/>
  <c r="BA3340" i="3"/>
  <c r="AZ3340" i="3"/>
  <c r="AY3340" i="3"/>
  <c r="AV3340" i="3"/>
  <c r="BA3339" i="3"/>
  <c r="AZ3339" i="3"/>
  <c r="AY3339" i="3"/>
  <c r="AV3339" i="3"/>
  <c r="BA3338" i="3"/>
  <c r="AZ3338" i="3"/>
  <c r="AY3338" i="3"/>
  <c r="AV3338" i="3"/>
  <c r="BA3337" i="3"/>
  <c r="AZ3337" i="3"/>
  <c r="AY3337" i="3"/>
  <c r="AV3337" i="3"/>
  <c r="BA3336" i="3"/>
  <c r="AZ3336" i="3"/>
  <c r="AY3336" i="3"/>
  <c r="AV3336" i="3"/>
  <c r="BA3335" i="3"/>
  <c r="AZ3335" i="3"/>
  <c r="AY3335" i="3"/>
  <c r="AV3335" i="3"/>
  <c r="BA3334" i="3"/>
  <c r="AZ3334" i="3"/>
  <c r="AY3334" i="3"/>
  <c r="AV3334" i="3"/>
  <c r="BA3333" i="3"/>
  <c r="AZ3333" i="3"/>
  <c r="AY3333" i="3"/>
  <c r="AV3333" i="3"/>
  <c r="BA3332" i="3"/>
  <c r="AZ3332" i="3"/>
  <c r="AY3332" i="3"/>
  <c r="AV3332" i="3"/>
  <c r="BA3331" i="3"/>
  <c r="AZ3331" i="3"/>
  <c r="AY3331" i="3"/>
  <c r="AV3331" i="3"/>
  <c r="BA3330" i="3"/>
  <c r="AZ3330" i="3"/>
  <c r="AY3330" i="3"/>
  <c r="AV3330" i="3"/>
  <c r="BA3329" i="3"/>
  <c r="AZ3329" i="3"/>
  <c r="AY3329" i="3"/>
  <c r="AV3329" i="3"/>
  <c r="BA3328" i="3"/>
  <c r="AZ3328" i="3"/>
  <c r="AY3328" i="3"/>
  <c r="AV3328" i="3"/>
  <c r="BA3327" i="3"/>
  <c r="AZ3327" i="3"/>
  <c r="AY3327" i="3"/>
  <c r="AV3327" i="3"/>
  <c r="BA3326" i="3"/>
  <c r="AZ3326" i="3"/>
  <c r="AY3326" i="3"/>
  <c r="AV3326" i="3"/>
  <c r="BA3325" i="3"/>
  <c r="AZ3325" i="3"/>
  <c r="AY3325" i="3"/>
  <c r="AV3325" i="3"/>
  <c r="BA3324" i="3"/>
  <c r="AZ3324" i="3"/>
  <c r="AY3324" i="3"/>
  <c r="AV3324" i="3"/>
  <c r="BA3323" i="3"/>
  <c r="AZ3323" i="3"/>
  <c r="AY3323" i="3"/>
  <c r="AV3323" i="3"/>
  <c r="BA3322" i="3"/>
  <c r="AZ3322" i="3"/>
  <c r="AY3322" i="3"/>
  <c r="AV3322" i="3"/>
  <c r="BA3321" i="3"/>
  <c r="AZ3321" i="3"/>
  <c r="AY3321" i="3"/>
  <c r="AV3321" i="3"/>
  <c r="BA3320" i="3"/>
  <c r="AZ3320" i="3"/>
  <c r="AY3320" i="3"/>
  <c r="AV3320" i="3"/>
  <c r="BA3319" i="3"/>
  <c r="AZ3319" i="3"/>
  <c r="AY3319" i="3"/>
  <c r="AV3319" i="3"/>
  <c r="BA3318" i="3"/>
  <c r="AZ3318" i="3"/>
  <c r="AY3318" i="3"/>
  <c r="AV3318" i="3"/>
  <c r="BA3317" i="3"/>
  <c r="AZ3317" i="3"/>
  <c r="AY3317" i="3"/>
  <c r="AV3317" i="3"/>
  <c r="BA3316" i="3"/>
  <c r="AZ3316" i="3"/>
  <c r="AY3316" i="3"/>
  <c r="AV3316" i="3"/>
  <c r="BA3315" i="3"/>
  <c r="AZ3315" i="3"/>
  <c r="AY3315" i="3"/>
  <c r="AV3315" i="3"/>
  <c r="BA3314" i="3"/>
  <c r="AZ3314" i="3"/>
  <c r="AY3314" i="3"/>
  <c r="AV3314" i="3"/>
  <c r="BA3313" i="3"/>
  <c r="AZ3313" i="3"/>
  <c r="AY3313" i="3"/>
  <c r="AV3313" i="3"/>
  <c r="BA3312" i="3"/>
  <c r="AZ3312" i="3"/>
  <c r="AY3312" i="3"/>
  <c r="AV3312" i="3"/>
  <c r="BA3311" i="3"/>
  <c r="AZ3311" i="3"/>
  <c r="AY3311" i="3"/>
  <c r="AV3311" i="3"/>
  <c r="BA3310" i="3"/>
  <c r="AZ3310" i="3"/>
  <c r="AY3310" i="3"/>
  <c r="AV3310" i="3"/>
  <c r="BA3309" i="3"/>
  <c r="AZ3309" i="3"/>
  <c r="AY3309" i="3"/>
  <c r="AV3309" i="3"/>
  <c r="BA3308" i="3"/>
  <c r="AZ3308" i="3"/>
  <c r="AY3308" i="3"/>
  <c r="AV3308" i="3"/>
  <c r="BA3307" i="3"/>
  <c r="AZ3307" i="3"/>
  <c r="AY3307" i="3"/>
  <c r="AV3307" i="3"/>
  <c r="BA3306" i="3"/>
  <c r="AZ3306" i="3"/>
  <c r="AY3306" i="3"/>
  <c r="AV3306" i="3"/>
  <c r="BA3305" i="3"/>
  <c r="AZ3305" i="3"/>
  <c r="AY3305" i="3"/>
  <c r="AV3305" i="3"/>
  <c r="BA3304" i="3"/>
  <c r="AZ3304" i="3"/>
  <c r="AY3304" i="3"/>
  <c r="AV3304" i="3"/>
  <c r="BA3303" i="3"/>
  <c r="AZ3303" i="3"/>
  <c r="AY3303" i="3"/>
  <c r="AV3303" i="3"/>
  <c r="BA3302" i="3"/>
  <c r="AZ3302" i="3"/>
  <c r="AY3302" i="3"/>
  <c r="AV3302" i="3"/>
  <c r="BA3301" i="3"/>
  <c r="AZ3301" i="3"/>
  <c r="AY3301" i="3"/>
  <c r="AV3301" i="3"/>
  <c r="BA3300" i="3"/>
  <c r="AZ3300" i="3"/>
  <c r="AY3300" i="3"/>
  <c r="AV3300" i="3"/>
  <c r="BA3299" i="3"/>
  <c r="AZ3299" i="3"/>
  <c r="AY3299" i="3"/>
  <c r="AV3299" i="3"/>
  <c r="BA3298" i="3"/>
  <c r="AZ3298" i="3"/>
  <c r="AY3298" i="3"/>
  <c r="AV3298" i="3"/>
  <c r="BA3297" i="3"/>
  <c r="AZ3297" i="3"/>
  <c r="AY3297" i="3"/>
  <c r="AV3297" i="3"/>
  <c r="BA3296" i="3"/>
  <c r="AZ3296" i="3"/>
  <c r="AY3296" i="3"/>
  <c r="AV3296" i="3"/>
  <c r="BA3295" i="3"/>
  <c r="AZ3295" i="3"/>
  <c r="AY3295" i="3"/>
  <c r="AV3295" i="3"/>
  <c r="BA3294" i="3"/>
  <c r="AZ3294" i="3"/>
  <c r="AY3294" i="3"/>
  <c r="AV3294" i="3"/>
  <c r="BA3293" i="3"/>
  <c r="AZ3293" i="3"/>
  <c r="AY3293" i="3"/>
  <c r="AV3293" i="3"/>
  <c r="BA3292" i="3"/>
  <c r="AZ3292" i="3"/>
  <c r="AY3292" i="3"/>
  <c r="AV3292" i="3"/>
  <c r="BA3291" i="3"/>
  <c r="AZ3291" i="3"/>
  <c r="AY3291" i="3"/>
  <c r="AV3291" i="3"/>
  <c r="BA3290" i="3"/>
  <c r="AZ3290" i="3"/>
  <c r="AY3290" i="3"/>
  <c r="AV3290" i="3"/>
  <c r="BA3289" i="3"/>
  <c r="AZ3289" i="3"/>
  <c r="AY3289" i="3"/>
  <c r="AV3289" i="3"/>
  <c r="BA3288" i="3"/>
  <c r="AZ3288" i="3"/>
  <c r="AY3288" i="3"/>
  <c r="AV3288" i="3"/>
  <c r="BA3287" i="3"/>
  <c r="AZ3287" i="3"/>
  <c r="AY3287" i="3"/>
  <c r="AV3287" i="3"/>
  <c r="BA3286" i="3"/>
  <c r="AZ3286" i="3"/>
  <c r="AY3286" i="3"/>
  <c r="AV3286" i="3"/>
  <c r="BA3285" i="3"/>
  <c r="AZ3285" i="3"/>
  <c r="AY3285" i="3"/>
  <c r="AV3285" i="3"/>
  <c r="BA3284" i="3"/>
  <c r="AZ3284" i="3"/>
  <c r="AY3284" i="3"/>
  <c r="AV3284" i="3"/>
  <c r="BA3283" i="3"/>
  <c r="AZ3283" i="3"/>
  <c r="AY3283" i="3"/>
  <c r="AV3283" i="3"/>
  <c r="BA3282" i="3"/>
  <c r="AZ3282" i="3"/>
  <c r="AY3282" i="3"/>
  <c r="AV3282" i="3"/>
  <c r="BA3281" i="3"/>
  <c r="AZ3281" i="3"/>
  <c r="AY3281" i="3"/>
  <c r="AV3281" i="3"/>
  <c r="BA3280" i="3"/>
  <c r="AZ3280" i="3"/>
  <c r="AY3280" i="3"/>
  <c r="AV3280" i="3"/>
  <c r="BA3279" i="3"/>
  <c r="AZ3279" i="3"/>
  <c r="AY3279" i="3"/>
  <c r="AV3279" i="3"/>
  <c r="BA3278" i="3"/>
  <c r="AZ3278" i="3"/>
  <c r="AY3278" i="3"/>
  <c r="AV3278" i="3"/>
  <c r="BA3277" i="3"/>
  <c r="AZ3277" i="3"/>
  <c r="AY3277" i="3"/>
  <c r="AV3277" i="3"/>
  <c r="BA3276" i="3"/>
  <c r="AZ3276" i="3"/>
  <c r="AY3276" i="3"/>
  <c r="AV3276" i="3"/>
  <c r="BA3275" i="3"/>
  <c r="AZ3275" i="3"/>
  <c r="AY3275" i="3"/>
  <c r="AV3275" i="3"/>
  <c r="BA3274" i="3"/>
  <c r="AZ3274" i="3"/>
  <c r="AY3274" i="3"/>
  <c r="AV3274" i="3"/>
  <c r="BA3273" i="3"/>
  <c r="AZ3273" i="3"/>
  <c r="AY3273" i="3"/>
  <c r="AV3273" i="3"/>
  <c r="BA3272" i="3"/>
  <c r="AZ3272" i="3"/>
  <c r="AY3272" i="3"/>
  <c r="AV3272" i="3"/>
  <c r="BA3271" i="3"/>
  <c r="AZ3271" i="3"/>
  <c r="AY3271" i="3"/>
  <c r="AV3271" i="3"/>
  <c r="BA3270" i="3"/>
  <c r="AZ3270" i="3"/>
  <c r="AY3270" i="3"/>
  <c r="AV3270" i="3"/>
  <c r="BA3269" i="3"/>
  <c r="AZ3269" i="3"/>
  <c r="AY3269" i="3"/>
  <c r="AV3269" i="3"/>
  <c r="BA3268" i="3"/>
  <c r="AZ3268" i="3"/>
  <c r="AY3268" i="3"/>
  <c r="AV3268" i="3"/>
  <c r="BA3267" i="3"/>
  <c r="AZ3267" i="3"/>
  <c r="AY3267" i="3"/>
  <c r="AV3267" i="3"/>
  <c r="BA3266" i="3"/>
  <c r="AZ3266" i="3"/>
  <c r="AY3266" i="3"/>
  <c r="AV3266" i="3"/>
  <c r="BA3265" i="3"/>
  <c r="AZ3265" i="3"/>
  <c r="AY3265" i="3"/>
  <c r="AV3265" i="3"/>
  <c r="BA3264" i="3"/>
  <c r="AZ3264" i="3"/>
  <c r="AY3264" i="3"/>
  <c r="AV3264" i="3"/>
  <c r="BA3263" i="3"/>
  <c r="AZ3263" i="3"/>
  <c r="AY3263" i="3"/>
  <c r="AV3263" i="3"/>
  <c r="BA3262" i="3"/>
  <c r="AZ3262" i="3"/>
  <c r="AY3262" i="3"/>
  <c r="AV3262" i="3"/>
  <c r="BA3261" i="3"/>
  <c r="AZ3261" i="3"/>
  <c r="AY3261" i="3"/>
  <c r="AV3261" i="3"/>
  <c r="BA3260" i="3"/>
  <c r="AZ3260" i="3"/>
  <c r="AY3260" i="3"/>
  <c r="AV3260" i="3"/>
  <c r="BA3259" i="3"/>
  <c r="AZ3259" i="3"/>
  <c r="AY3259" i="3"/>
  <c r="AV3259" i="3"/>
  <c r="BA3258" i="3"/>
  <c r="AZ3258" i="3"/>
  <c r="AY3258" i="3"/>
  <c r="AV3258" i="3"/>
  <c r="BA3257" i="3"/>
  <c r="AZ3257" i="3"/>
  <c r="AY3257" i="3"/>
  <c r="AV3257" i="3"/>
  <c r="BA3256" i="3"/>
  <c r="AZ3256" i="3"/>
  <c r="AY3256" i="3"/>
  <c r="AV3256" i="3"/>
  <c r="BA3255" i="3"/>
  <c r="AZ3255" i="3"/>
  <c r="AY3255" i="3"/>
  <c r="AV3255" i="3"/>
  <c r="BA3254" i="3"/>
  <c r="AZ3254" i="3"/>
  <c r="AY3254" i="3"/>
  <c r="AV3254" i="3"/>
  <c r="BA3253" i="3"/>
  <c r="AZ3253" i="3"/>
  <c r="AY3253" i="3"/>
  <c r="AV3253" i="3"/>
  <c r="BA3252" i="3"/>
  <c r="AZ3252" i="3"/>
  <c r="AY3252" i="3"/>
  <c r="AV3252" i="3"/>
  <c r="BA3251" i="3"/>
  <c r="AZ3251" i="3"/>
  <c r="AY3251" i="3"/>
  <c r="AV3251" i="3"/>
  <c r="BA3250" i="3"/>
  <c r="AZ3250" i="3"/>
  <c r="AY3250" i="3"/>
  <c r="AV3250" i="3"/>
  <c r="BA3249" i="3"/>
  <c r="AZ3249" i="3"/>
  <c r="AY3249" i="3"/>
  <c r="AV3249" i="3"/>
  <c r="BA3248" i="3"/>
  <c r="AZ3248" i="3"/>
  <c r="AY3248" i="3"/>
  <c r="AV3248" i="3"/>
  <c r="BA3247" i="3"/>
  <c r="AZ3247" i="3"/>
  <c r="AY3247" i="3"/>
  <c r="AV3247" i="3"/>
  <c r="BA3246" i="3"/>
  <c r="AZ3246" i="3"/>
  <c r="AY3246" i="3"/>
  <c r="AV3246" i="3"/>
  <c r="BA3245" i="3"/>
  <c r="AZ3245" i="3"/>
  <c r="AY3245" i="3"/>
  <c r="AV3245" i="3"/>
  <c r="BA3244" i="3"/>
  <c r="AZ3244" i="3"/>
  <c r="AY3244" i="3"/>
  <c r="AV3244" i="3"/>
  <c r="BA3243" i="3"/>
  <c r="AZ3243" i="3"/>
  <c r="AY3243" i="3"/>
  <c r="AV3243" i="3"/>
  <c r="BA3242" i="3"/>
  <c r="AZ3242" i="3"/>
  <c r="AY3242" i="3"/>
  <c r="AV3242" i="3"/>
  <c r="BA3241" i="3"/>
  <c r="AZ3241" i="3"/>
  <c r="AY3241" i="3"/>
  <c r="AV3241" i="3"/>
  <c r="BA3240" i="3"/>
  <c r="AZ3240" i="3"/>
  <c r="AY3240" i="3"/>
  <c r="AV3240" i="3"/>
  <c r="BA3239" i="3"/>
  <c r="AZ3239" i="3"/>
  <c r="AY3239" i="3"/>
  <c r="AV3239" i="3"/>
  <c r="BA3238" i="3"/>
  <c r="AZ3238" i="3"/>
  <c r="AY3238" i="3"/>
  <c r="AV3238" i="3"/>
  <c r="BA3237" i="3"/>
  <c r="AZ3237" i="3"/>
  <c r="AY3237" i="3"/>
  <c r="AV3237" i="3"/>
  <c r="BA3236" i="3"/>
  <c r="AZ3236" i="3"/>
  <c r="AY3236" i="3"/>
  <c r="AV3236" i="3"/>
  <c r="BA3235" i="3"/>
  <c r="AZ3235" i="3"/>
  <c r="AY3235" i="3"/>
  <c r="AV3235" i="3"/>
  <c r="BA3234" i="3"/>
  <c r="AZ3234" i="3"/>
  <c r="AY3234" i="3"/>
  <c r="AV3234" i="3"/>
  <c r="BA3233" i="3"/>
  <c r="AZ3233" i="3"/>
  <c r="AY3233" i="3"/>
  <c r="AV3233" i="3"/>
  <c r="BA3232" i="3"/>
  <c r="AZ3232" i="3"/>
  <c r="AY3232" i="3"/>
  <c r="AV3232" i="3"/>
  <c r="BA3231" i="3"/>
  <c r="AZ3231" i="3"/>
  <c r="AY3231" i="3"/>
  <c r="AV3231" i="3"/>
  <c r="BA3230" i="3"/>
  <c r="AZ3230" i="3"/>
  <c r="AY3230" i="3"/>
  <c r="AV3230" i="3"/>
  <c r="BA3229" i="3"/>
  <c r="AZ3229" i="3"/>
  <c r="AY3229" i="3"/>
  <c r="AV3229" i="3"/>
  <c r="BA3228" i="3"/>
  <c r="AZ3228" i="3"/>
  <c r="AY3228" i="3"/>
  <c r="AV3228" i="3"/>
  <c r="BA3227" i="3"/>
  <c r="AZ3227" i="3"/>
  <c r="AY3227" i="3"/>
  <c r="AV3227" i="3"/>
  <c r="BA3226" i="3"/>
  <c r="AZ3226" i="3"/>
  <c r="AY3226" i="3"/>
  <c r="AV3226" i="3"/>
  <c r="BA3225" i="3"/>
  <c r="AZ3225" i="3"/>
  <c r="AY3225" i="3"/>
  <c r="AV3225" i="3"/>
  <c r="BA3224" i="3"/>
  <c r="AZ3224" i="3"/>
  <c r="AY3224" i="3"/>
  <c r="AV3224" i="3"/>
  <c r="BA3223" i="3"/>
  <c r="AZ3223" i="3"/>
  <c r="AY3223" i="3"/>
  <c r="AV3223" i="3"/>
  <c r="BA3222" i="3"/>
  <c r="AZ3222" i="3"/>
  <c r="AY3222" i="3"/>
  <c r="AV3222" i="3"/>
  <c r="BA3221" i="3"/>
  <c r="AZ3221" i="3"/>
  <c r="AY3221" i="3"/>
  <c r="AV3221" i="3"/>
  <c r="BA3220" i="3"/>
  <c r="AZ3220" i="3"/>
  <c r="AY3220" i="3"/>
  <c r="AV3220" i="3"/>
  <c r="BA3219" i="3"/>
  <c r="AZ3219" i="3"/>
  <c r="AY3219" i="3"/>
  <c r="AV3219" i="3"/>
  <c r="BA3218" i="3"/>
  <c r="AZ3218" i="3"/>
  <c r="AY3218" i="3"/>
  <c r="AV3218" i="3"/>
  <c r="BA3217" i="3"/>
  <c r="AZ3217" i="3"/>
  <c r="AY3217" i="3"/>
  <c r="AV3217" i="3"/>
  <c r="BA3216" i="3"/>
  <c r="AZ3216" i="3"/>
  <c r="AY3216" i="3"/>
  <c r="AV3216" i="3"/>
  <c r="BA3215" i="3"/>
  <c r="AZ3215" i="3"/>
  <c r="AY3215" i="3"/>
  <c r="AV3215" i="3"/>
  <c r="BA3214" i="3"/>
  <c r="AZ3214" i="3"/>
  <c r="AY3214" i="3"/>
  <c r="AV3214" i="3"/>
  <c r="BA3213" i="3"/>
  <c r="AZ3213" i="3"/>
  <c r="AY3213" i="3"/>
  <c r="AV3213" i="3"/>
  <c r="BA3212" i="3"/>
  <c r="AZ3212" i="3"/>
  <c r="AY3212" i="3"/>
  <c r="AV3212" i="3"/>
  <c r="BA3211" i="3"/>
  <c r="AZ3211" i="3"/>
  <c r="AY3211" i="3"/>
  <c r="AV3211" i="3"/>
  <c r="BA3210" i="3"/>
  <c r="AZ3210" i="3"/>
  <c r="AY3210" i="3"/>
  <c r="AV3210" i="3"/>
  <c r="BA3209" i="3"/>
  <c r="AZ3209" i="3"/>
  <c r="AY3209" i="3"/>
  <c r="AV3209" i="3"/>
  <c r="BA3208" i="3"/>
  <c r="AZ3208" i="3"/>
  <c r="AY3208" i="3"/>
  <c r="AV3208" i="3"/>
  <c r="BA3207" i="3"/>
  <c r="AZ3207" i="3"/>
  <c r="AY3207" i="3"/>
  <c r="AV3207" i="3"/>
  <c r="BA3206" i="3"/>
  <c r="AZ3206" i="3"/>
  <c r="AY3206" i="3"/>
  <c r="AV3206" i="3"/>
  <c r="BA3205" i="3"/>
  <c r="AZ3205" i="3"/>
  <c r="AY3205" i="3"/>
  <c r="AV3205" i="3"/>
  <c r="BA3204" i="3"/>
  <c r="AZ3204" i="3"/>
  <c r="AY3204" i="3"/>
  <c r="AV3204" i="3"/>
  <c r="BA3203" i="3"/>
  <c r="AZ3203" i="3"/>
  <c r="AY3203" i="3"/>
  <c r="AV3203" i="3"/>
  <c r="BA3202" i="3"/>
  <c r="AZ3202" i="3"/>
  <c r="AY3202" i="3"/>
  <c r="AV3202" i="3"/>
  <c r="BA3201" i="3"/>
  <c r="AZ3201" i="3"/>
  <c r="AY3201" i="3"/>
  <c r="AV3201" i="3"/>
  <c r="BA3200" i="3"/>
  <c r="AZ3200" i="3"/>
  <c r="AY3200" i="3"/>
  <c r="AV3200" i="3"/>
  <c r="BA3199" i="3"/>
  <c r="AZ3199" i="3"/>
  <c r="AY3199" i="3"/>
  <c r="AV3199" i="3"/>
  <c r="BA3198" i="3"/>
  <c r="AZ3198" i="3"/>
  <c r="AY3198" i="3"/>
  <c r="AV3198" i="3"/>
  <c r="BA3197" i="3"/>
  <c r="AZ3197" i="3"/>
  <c r="AY3197" i="3"/>
  <c r="AV3197" i="3"/>
  <c r="BA3196" i="3"/>
  <c r="AZ3196" i="3"/>
  <c r="AY3196" i="3"/>
  <c r="AV3196" i="3"/>
  <c r="BA3195" i="3"/>
  <c r="AZ3195" i="3"/>
  <c r="AY3195" i="3"/>
  <c r="AV3195" i="3"/>
  <c r="BA3194" i="3"/>
  <c r="AZ3194" i="3"/>
  <c r="AY3194" i="3"/>
  <c r="AV3194" i="3"/>
  <c r="BA3193" i="3"/>
  <c r="AZ3193" i="3"/>
  <c r="AY3193" i="3"/>
  <c r="AV3193" i="3"/>
  <c r="BA3192" i="3"/>
  <c r="AZ3192" i="3"/>
  <c r="AY3192" i="3"/>
  <c r="AV3192" i="3"/>
  <c r="BA3191" i="3"/>
  <c r="AZ3191" i="3"/>
  <c r="AY3191" i="3"/>
  <c r="AV3191" i="3"/>
  <c r="BA3190" i="3"/>
  <c r="AZ3190" i="3"/>
  <c r="AY3190" i="3"/>
  <c r="AV3190" i="3"/>
  <c r="BA3189" i="3"/>
  <c r="AZ3189" i="3"/>
  <c r="AY3189" i="3"/>
  <c r="AV3189" i="3"/>
  <c r="BA3188" i="3"/>
  <c r="AZ3188" i="3"/>
  <c r="AY3188" i="3"/>
  <c r="AV3188" i="3"/>
  <c r="BA3187" i="3"/>
  <c r="AZ3187" i="3"/>
  <c r="AY3187" i="3"/>
  <c r="AV3187" i="3"/>
  <c r="BA3186" i="3"/>
  <c r="AZ3186" i="3"/>
  <c r="AY3186" i="3"/>
  <c r="AV3186" i="3"/>
  <c r="BA3185" i="3"/>
  <c r="AZ3185" i="3"/>
  <c r="AY3185" i="3"/>
  <c r="AV3185" i="3"/>
  <c r="BA3184" i="3"/>
  <c r="AZ3184" i="3"/>
  <c r="AY3184" i="3"/>
  <c r="AV3184" i="3"/>
  <c r="BA3183" i="3"/>
  <c r="AZ3183" i="3"/>
  <c r="AY3183" i="3"/>
  <c r="AV3183" i="3"/>
  <c r="BA3182" i="3"/>
  <c r="AZ3182" i="3"/>
  <c r="AY3182" i="3"/>
  <c r="AV3182" i="3"/>
  <c r="BA3181" i="3"/>
  <c r="AZ3181" i="3"/>
  <c r="AY3181" i="3"/>
  <c r="AV3181" i="3"/>
  <c r="BA3180" i="3"/>
  <c r="AZ3180" i="3"/>
  <c r="AY3180" i="3"/>
  <c r="AV3180" i="3"/>
  <c r="BA3179" i="3"/>
  <c r="AZ3179" i="3"/>
  <c r="AY3179" i="3"/>
  <c r="AV3179" i="3"/>
  <c r="BA3178" i="3"/>
  <c r="AZ3178" i="3"/>
  <c r="AY3178" i="3"/>
  <c r="AV3178" i="3"/>
  <c r="BA3177" i="3"/>
  <c r="AZ3177" i="3"/>
  <c r="AY3177" i="3"/>
  <c r="AV3177" i="3"/>
  <c r="BA3176" i="3"/>
  <c r="AZ3176" i="3"/>
  <c r="AY3176" i="3"/>
  <c r="AV3176" i="3"/>
  <c r="BA3175" i="3"/>
  <c r="AZ3175" i="3"/>
  <c r="AY3175" i="3"/>
  <c r="AV3175" i="3"/>
  <c r="BA3174" i="3"/>
  <c r="AZ3174" i="3"/>
  <c r="AY3174" i="3"/>
  <c r="AV3174" i="3"/>
  <c r="BA3173" i="3"/>
  <c r="AZ3173" i="3"/>
  <c r="AY3173" i="3"/>
  <c r="AV3173" i="3"/>
  <c r="BA3172" i="3"/>
  <c r="AZ3172" i="3"/>
  <c r="AY3172" i="3"/>
  <c r="AV3172" i="3"/>
  <c r="BA3171" i="3"/>
  <c r="AZ3171" i="3"/>
  <c r="AY3171" i="3"/>
  <c r="AV3171" i="3"/>
  <c r="BA3170" i="3"/>
  <c r="AZ3170" i="3"/>
  <c r="AY3170" i="3"/>
  <c r="AV3170" i="3"/>
  <c r="BA3169" i="3"/>
  <c r="AZ3169" i="3"/>
  <c r="AY3169" i="3"/>
  <c r="AV3169" i="3"/>
  <c r="BA3168" i="3"/>
  <c r="AZ3168" i="3"/>
  <c r="AY3168" i="3"/>
  <c r="AV3168" i="3"/>
  <c r="BA3167" i="3"/>
  <c r="AZ3167" i="3"/>
  <c r="AY3167" i="3"/>
  <c r="AV3167" i="3"/>
  <c r="BA3166" i="3"/>
  <c r="AZ3166" i="3"/>
  <c r="AY3166" i="3"/>
  <c r="AV3166" i="3"/>
  <c r="BA3165" i="3"/>
  <c r="AZ3165" i="3"/>
  <c r="AY3165" i="3"/>
  <c r="AV3165" i="3"/>
  <c r="BA3164" i="3"/>
  <c r="AZ3164" i="3"/>
  <c r="AY3164" i="3"/>
  <c r="AV3164" i="3"/>
  <c r="BA3163" i="3"/>
  <c r="AZ3163" i="3"/>
  <c r="AY3163" i="3"/>
  <c r="AV3163" i="3"/>
  <c r="BA3162" i="3"/>
  <c r="AZ3162" i="3"/>
  <c r="AY3162" i="3"/>
  <c r="AV3162" i="3"/>
  <c r="BA3161" i="3"/>
  <c r="AZ3161" i="3"/>
  <c r="AY3161" i="3"/>
  <c r="AV3161" i="3"/>
  <c r="BA3160" i="3"/>
  <c r="AZ3160" i="3"/>
  <c r="AY3160" i="3"/>
  <c r="AV3160" i="3"/>
  <c r="BA3159" i="3"/>
  <c r="AZ3159" i="3"/>
  <c r="AY3159" i="3"/>
  <c r="AV3159" i="3"/>
  <c r="BA3158" i="3"/>
  <c r="AZ3158" i="3"/>
  <c r="AY3158" i="3"/>
  <c r="AV3158" i="3"/>
  <c r="BA3157" i="3"/>
  <c r="AZ3157" i="3"/>
  <c r="AY3157" i="3"/>
  <c r="AV3157" i="3"/>
  <c r="BA3156" i="3"/>
  <c r="AZ3156" i="3"/>
  <c r="AY3156" i="3"/>
  <c r="AV3156" i="3"/>
  <c r="BA3155" i="3"/>
  <c r="AZ3155" i="3"/>
  <c r="AY3155" i="3"/>
  <c r="AV3155" i="3"/>
  <c r="BA3154" i="3"/>
  <c r="AZ3154" i="3"/>
  <c r="AY3154" i="3"/>
  <c r="AV3154" i="3"/>
  <c r="BA3153" i="3"/>
  <c r="AZ3153" i="3"/>
  <c r="AY3153" i="3"/>
  <c r="AV3153" i="3"/>
  <c r="BA3152" i="3"/>
  <c r="AZ3152" i="3"/>
  <c r="AY3152" i="3"/>
  <c r="AV3152" i="3"/>
  <c r="BA3151" i="3"/>
  <c r="AZ3151" i="3"/>
  <c r="AY3151" i="3"/>
  <c r="AV3151" i="3"/>
  <c r="BA3150" i="3"/>
  <c r="AZ3150" i="3"/>
  <c r="AY3150" i="3"/>
  <c r="AV3150" i="3"/>
  <c r="BA3149" i="3"/>
  <c r="AZ3149" i="3"/>
  <c r="AY3149" i="3"/>
  <c r="AV3149" i="3"/>
  <c r="BA3148" i="3"/>
  <c r="AZ3148" i="3"/>
  <c r="AY3148" i="3"/>
  <c r="AV3148" i="3"/>
  <c r="BA3147" i="3"/>
  <c r="AZ3147" i="3"/>
  <c r="AY3147" i="3"/>
  <c r="AV3147" i="3"/>
  <c r="BA3146" i="3"/>
  <c r="AZ3146" i="3"/>
  <c r="AY3146" i="3"/>
  <c r="AV3146" i="3"/>
  <c r="BA3145" i="3"/>
  <c r="AZ3145" i="3"/>
  <c r="AY3145" i="3"/>
  <c r="AV3145" i="3"/>
  <c r="BA3144" i="3"/>
  <c r="AZ3144" i="3"/>
  <c r="AY3144" i="3"/>
  <c r="AV3144" i="3"/>
  <c r="BA3143" i="3"/>
  <c r="AZ3143" i="3"/>
  <c r="AY3143" i="3"/>
  <c r="AV3143" i="3"/>
  <c r="BA3142" i="3"/>
  <c r="AZ3142" i="3"/>
  <c r="AY3142" i="3"/>
  <c r="AV3142" i="3"/>
  <c r="BA3141" i="3"/>
  <c r="AZ3141" i="3"/>
  <c r="AY3141" i="3"/>
  <c r="AV3141" i="3"/>
  <c r="BA3140" i="3"/>
  <c r="AZ3140" i="3"/>
  <c r="AY3140" i="3"/>
  <c r="AV3140" i="3"/>
  <c r="BA3139" i="3"/>
  <c r="AZ3139" i="3"/>
  <c r="AY3139" i="3"/>
  <c r="AV3139" i="3"/>
  <c r="BA3138" i="3"/>
  <c r="AZ3138" i="3"/>
  <c r="AY3138" i="3"/>
  <c r="AV3138" i="3"/>
  <c r="BA3137" i="3"/>
  <c r="AZ3137" i="3"/>
  <c r="AY3137" i="3"/>
  <c r="AV3137" i="3"/>
  <c r="BA3136" i="3"/>
  <c r="AZ3136" i="3"/>
  <c r="AY3136" i="3"/>
  <c r="AV3136" i="3"/>
  <c r="BA3135" i="3"/>
  <c r="AZ3135" i="3"/>
  <c r="AY3135" i="3"/>
  <c r="AV3135" i="3"/>
  <c r="BA3134" i="3"/>
  <c r="AZ3134" i="3"/>
  <c r="AY3134" i="3"/>
  <c r="AV3134" i="3"/>
  <c r="BA3133" i="3"/>
  <c r="AZ3133" i="3"/>
  <c r="AY3133" i="3"/>
  <c r="AV3133" i="3"/>
  <c r="BA3132" i="3"/>
  <c r="AZ3132" i="3"/>
  <c r="AY3132" i="3"/>
  <c r="AV3132" i="3"/>
  <c r="BA3131" i="3"/>
  <c r="AZ3131" i="3"/>
  <c r="AY3131" i="3"/>
  <c r="AV3131" i="3"/>
  <c r="BA3130" i="3"/>
  <c r="AZ3130" i="3"/>
  <c r="AY3130" i="3"/>
  <c r="AV3130" i="3"/>
  <c r="BA3129" i="3"/>
  <c r="AZ3129" i="3"/>
  <c r="AY3129" i="3"/>
  <c r="AV3129" i="3"/>
  <c r="BA3128" i="3"/>
  <c r="AZ3128" i="3"/>
  <c r="AY3128" i="3"/>
  <c r="AV3128" i="3"/>
  <c r="BA3127" i="3"/>
  <c r="AZ3127" i="3"/>
  <c r="AY3127" i="3"/>
  <c r="AV3127" i="3"/>
  <c r="BA3126" i="3"/>
  <c r="AZ3126" i="3"/>
  <c r="AY3126" i="3"/>
  <c r="AV3126" i="3"/>
  <c r="BA3125" i="3"/>
  <c r="AZ3125" i="3"/>
  <c r="AY3125" i="3"/>
  <c r="AV3125" i="3"/>
  <c r="BA3124" i="3"/>
  <c r="AZ3124" i="3"/>
  <c r="AY3124" i="3"/>
  <c r="AV3124" i="3"/>
  <c r="BA3123" i="3"/>
  <c r="AZ3123" i="3"/>
  <c r="AY3123" i="3"/>
  <c r="AV3123" i="3"/>
  <c r="BA3122" i="3"/>
  <c r="AZ3122" i="3"/>
  <c r="AY3122" i="3"/>
  <c r="AV3122" i="3"/>
  <c r="BA3121" i="3"/>
  <c r="AZ3121" i="3"/>
  <c r="AY3121" i="3"/>
  <c r="AV3121" i="3"/>
  <c r="BA3120" i="3"/>
  <c r="AZ3120" i="3"/>
  <c r="AY3120" i="3"/>
  <c r="AV3120" i="3"/>
  <c r="BA3119" i="3"/>
  <c r="AZ3119" i="3"/>
  <c r="AY3119" i="3"/>
  <c r="AV3119" i="3"/>
  <c r="BA3118" i="3"/>
  <c r="AZ3118" i="3"/>
  <c r="AY3118" i="3"/>
  <c r="AV3118" i="3"/>
  <c r="BA3117" i="3"/>
  <c r="AZ3117" i="3"/>
  <c r="AY3117" i="3"/>
  <c r="AV3117" i="3"/>
  <c r="BA3116" i="3"/>
  <c r="AZ3116" i="3"/>
  <c r="AY3116" i="3"/>
  <c r="AV3116" i="3"/>
  <c r="BA3115" i="3"/>
  <c r="AZ3115" i="3"/>
  <c r="AY3115" i="3"/>
  <c r="AV3115" i="3"/>
  <c r="BA3114" i="3"/>
  <c r="AZ3114" i="3"/>
  <c r="AY3114" i="3"/>
  <c r="AV3114" i="3"/>
  <c r="BA3113" i="3"/>
  <c r="AZ3113" i="3"/>
  <c r="AY3113" i="3"/>
  <c r="AV3113" i="3"/>
  <c r="BA3112" i="3"/>
  <c r="AZ3112" i="3"/>
  <c r="AY3112" i="3"/>
  <c r="AV3112" i="3"/>
  <c r="BA3111" i="3"/>
  <c r="AZ3111" i="3"/>
  <c r="AY3111" i="3"/>
  <c r="AV3111" i="3"/>
  <c r="BA3110" i="3"/>
  <c r="AZ3110" i="3"/>
  <c r="AY3110" i="3"/>
  <c r="AV3110" i="3"/>
  <c r="BA3109" i="3"/>
  <c r="AZ3109" i="3"/>
  <c r="AY3109" i="3"/>
  <c r="AV3109" i="3"/>
  <c r="BA3108" i="3"/>
  <c r="AZ3108" i="3"/>
  <c r="AY3108" i="3"/>
  <c r="AV3108" i="3"/>
  <c r="BA3107" i="3"/>
  <c r="AZ3107" i="3"/>
  <c r="AY3107" i="3"/>
  <c r="AV3107" i="3"/>
  <c r="BA3106" i="3"/>
  <c r="AZ3106" i="3"/>
  <c r="AY3106" i="3"/>
  <c r="AV3106" i="3"/>
  <c r="BA3105" i="3"/>
  <c r="AZ3105" i="3"/>
  <c r="AY3105" i="3"/>
  <c r="AV3105" i="3"/>
  <c r="BA3104" i="3"/>
  <c r="AZ3104" i="3"/>
  <c r="AY3104" i="3"/>
  <c r="AV3104" i="3"/>
  <c r="BA3103" i="3"/>
  <c r="AZ3103" i="3"/>
  <c r="AY3103" i="3"/>
  <c r="AV3103" i="3"/>
  <c r="BA3102" i="3"/>
  <c r="AZ3102" i="3"/>
  <c r="AY3102" i="3"/>
  <c r="AV3102" i="3"/>
  <c r="BA3101" i="3"/>
  <c r="AZ3101" i="3"/>
  <c r="AY3101" i="3"/>
  <c r="AV3101" i="3"/>
  <c r="BA3100" i="3"/>
  <c r="AZ3100" i="3"/>
  <c r="AY3100" i="3"/>
  <c r="AV3100" i="3"/>
  <c r="BA3099" i="3"/>
  <c r="AZ3099" i="3"/>
  <c r="AY3099" i="3"/>
  <c r="AV3099" i="3"/>
  <c r="BA3098" i="3"/>
  <c r="AZ3098" i="3"/>
  <c r="AY3098" i="3"/>
  <c r="AV3098" i="3"/>
  <c r="BA3097" i="3"/>
  <c r="AZ3097" i="3"/>
  <c r="AY3097" i="3"/>
  <c r="AV3097" i="3"/>
  <c r="BA3096" i="3"/>
  <c r="AZ3096" i="3"/>
  <c r="AY3096" i="3"/>
  <c r="AV3096" i="3"/>
  <c r="BA3095" i="3"/>
  <c r="AZ3095" i="3"/>
  <c r="AY3095" i="3"/>
  <c r="AV3095" i="3"/>
  <c r="BA3094" i="3"/>
  <c r="AZ3094" i="3"/>
  <c r="AY3094" i="3"/>
  <c r="AV3094" i="3"/>
  <c r="BA3093" i="3"/>
  <c r="AZ3093" i="3"/>
  <c r="AY3093" i="3"/>
  <c r="AV3093" i="3"/>
  <c r="BA3092" i="3"/>
  <c r="AZ3092" i="3"/>
  <c r="AY3092" i="3"/>
  <c r="AV3092" i="3"/>
  <c r="BA3091" i="3"/>
  <c r="AZ3091" i="3"/>
  <c r="AY3091" i="3"/>
  <c r="AV3091" i="3"/>
  <c r="BA3090" i="3"/>
  <c r="AZ3090" i="3"/>
  <c r="AY3090" i="3"/>
  <c r="AV3090" i="3"/>
  <c r="BA3089" i="3"/>
  <c r="AZ3089" i="3"/>
  <c r="AY3089" i="3"/>
  <c r="AV3089" i="3"/>
  <c r="BA3088" i="3"/>
  <c r="AZ3088" i="3"/>
  <c r="AY3088" i="3"/>
  <c r="AV3088" i="3"/>
  <c r="BA3087" i="3"/>
  <c r="AZ3087" i="3"/>
  <c r="AY3087" i="3"/>
  <c r="AV3087" i="3"/>
  <c r="BA3086" i="3"/>
  <c r="AZ3086" i="3"/>
  <c r="AY3086" i="3"/>
  <c r="AV3086" i="3"/>
  <c r="BA3085" i="3"/>
  <c r="AZ3085" i="3"/>
  <c r="AY3085" i="3"/>
  <c r="AV3085" i="3"/>
  <c r="BA3084" i="3"/>
  <c r="AZ3084" i="3"/>
  <c r="AY3084" i="3"/>
  <c r="AV3084" i="3"/>
  <c r="BA3083" i="3"/>
  <c r="AZ3083" i="3"/>
  <c r="AY3083" i="3"/>
  <c r="AV3083" i="3"/>
  <c r="BA3082" i="3"/>
  <c r="AZ3082" i="3"/>
  <c r="AY3082" i="3"/>
  <c r="AV3082" i="3"/>
  <c r="BA3081" i="3"/>
  <c r="AZ3081" i="3"/>
  <c r="AY3081" i="3"/>
  <c r="AV3081" i="3"/>
  <c r="BA3080" i="3"/>
  <c r="AZ3080" i="3"/>
  <c r="AY3080" i="3"/>
  <c r="AV3080" i="3"/>
  <c r="BA3079" i="3"/>
  <c r="AZ3079" i="3"/>
  <c r="AY3079" i="3"/>
  <c r="AV3079" i="3"/>
  <c r="BA3078" i="3"/>
  <c r="AZ3078" i="3"/>
  <c r="AY3078" i="3"/>
  <c r="AV3078" i="3"/>
  <c r="BA3077" i="3"/>
  <c r="AZ3077" i="3"/>
  <c r="AY3077" i="3"/>
  <c r="AV3077" i="3"/>
  <c r="BA3076" i="3"/>
  <c r="AZ3076" i="3"/>
  <c r="AY3076" i="3"/>
  <c r="AV3076" i="3"/>
  <c r="BA3075" i="3"/>
  <c r="AZ3075" i="3"/>
  <c r="AY3075" i="3"/>
  <c r="AV3075" i="3"/>
  <c r="BA3074" i="3"/>
  <c r="AZ3074" i="3"/>
  <c r="AY3074" i="3"/>
  <c r="AV3074" i="3"/>
  <c r="BA3073" i="3"/>
  <c r="AZ3073" i="3"/>
  <c r="AY3073" i="3"/>
  <c r="AV3073" i="3"/>
  <c r="BA3072" i="3"/>
  <c r="AZ3072" i="3"/>
  <c r="AY3072" i="3"/>
  <c r="AV3072" i="3"/>
  <c r="BA3071" i="3"/>
  <c r="AZ3071" i="3"/>
  <c r="AY3071" i="3"/>
  <c r="AV3071" i="3"/>
  <c r="BA3070" i="3"/>
  <c r="AZ3070" i="3"/>
  <c r="AY3070" i="3"/>
  <c r="AV3070" i="3"/>
  <c r="BA3069" i="3"/>
  <c r="AZ3069" i="3"/>
  <c r="AY3069" i="3"/>
  <c r="AV3069" i="3"/>
  <c r="BA3068" i="3"/>
  <c r="AZ3068" i="3"/>
  <c r="AY3068" i="3"/>
  <c r="AV3068" i="3"/>
  <c r="BA3067" i="3"/>
  <c r="AZ3067" i="3"/>
  <c r="AY3067" i="3"/>
  <c r="AV3067" i="3"/>
  <c r="BA3066" i="3"/>
  <c r="AZ3066" i="3"/>
  <c r="AY3066" i="3"/>
  <c r="AV3066" i="3"/>
  <c r="BA3065" i="3"/>
  <c r="AZ3065" i="3"/>
  <c r="AY3065" i="3"/>
  <c r="AV3065" i="3"/>
  <c r="BA3064" i="3"/>
  <c r="AZ3064" i="3"/>
  <c r="AY3064" i="3"/>
  <c r="AV3064" i="3"/>
  <c r="BA3063" i="3"/>
  <c r="AZ3063" i="3"/>
  <c r="AY3063" i="3"/>
  <c r="AV3063" i="3"/>
  <c r="BA3062" i="3"/>
  <c r="AZ3062" i="3"/>
  <c r="AY3062" i="3"/>
  <c r="AV3062" i="3"/>
  <c r="BA3061" i="3"/>
  <c r="AZ3061" i="3"/>
  <c r="AY3061" i="3"/>
  <c r="AV3061" i="3"/>
  <c r="BA3060" i="3"/>
  <c r="AZ3060" i="3"/>
  <c r="AY3060" i="3"/>
  <c r="AV3060" i="3"/>
  <c r="BA3059" i="3"/>
  <c r="AZ3059" i="3"/>
  <c r="AY3059" i="3"/>
  <c r="AV3059" i="3"/>
  <c r="BA3058" i="3"/>
  <c r="AZ3058" i="3"/>
  <c r="AY3058" i="3"/>
  <c r="AV3058" i="3"/>
  <c r="BA3057" i="3"/>
  <c r="AZ3057" i="3"/>
  <c r="AY3057" i="3"/>
  <c r="AV3057" i="3"/>
  <c r="BA3056" i="3"/>
  <c r="AZ3056" i="3"/>
  <c r="AY3056" i="3"/>
  <c r="AV3056" i="3"/>
  <c r="BA3055" i="3"/>
  <c r="AZ3055" i="3"/>
  <c r="AY3055" i="3"/>
  <c r="AV3055" i="3"/>
  <c r="BA3054" i="3"/>
  <c r="AZ3054" i="3"/>
  <c r="AY3054" i="3"/>
  <c r="AV3054" i="3"/>
  <c r="BA3053" i="3"/>
  <c r="AZ3053" i="3"/>
  <c r="AY3053" i="3"/>
  <c r="AV3053" i="3"/>
  <c r="BA3052" i="3"/>
  <c r="AZ3052" i="3"/>
  <c r="AY3052" i="3"/>
  <c r="AV3052" i="3"/>
  <c r="BA3051" i="3"/>
  <c r="AZ3051" i="3"/>
  <c r="AY3051" i="3"/>
  <c r="AV3051" i="3"/>
  <c r="BA3050" i="3"/>
  <c r="AZ3050" i="3"/>
  <c r="AY3050" i="3"/>
  <c r="AV3050" i="3"/>
  <c r="BA3049" i="3"/>
  <c r="AZ3049" i="3"/>
  <c r="AY3049" i="3"/>
  <c r="AV3049" i="3"/>
  <c r="BA3048" i="3"/>
  <c r="AZ3048" i="3"/>
  <c r="AY3048" i="3"/>
  <c r="AV3048" i="3"/>
  <c r="BA3047" i="3"/>
  <c r="AZ3047" i="3"/>
  <c r="AY3047" i="3"/>
  <c r="AV3047" i="3"/>
  <c r="BA3046" i="3"/>
  <c r="AZ3046" i="3"/>
  <c r="AY3046" i="3"/>
  <c r="AV3046" i="3"/>
  <c r="BA3045" i="3"/>
  <c r="AZ3045" i="3"/>
  <c r="AY3045" i="3"/>
  <c r="AV3045" i="3"/>
  <c r="BA3044" i="3"/>
  <c r="AZ3044" i="3"/>
  <c r="AY3044" i="3"/>
  <c r="AV3044" i="3"/>
  <c r="BA3043" i="3"/>
  <c r="AZ3043" i="3"/>
  <c r="AY3043" i="3"/>
  <c r="AV3043" i="3"/>
  <c r="BA3042" i="3"/>
  <c r="AZ3042" i="3"/>
  <c r="AY3042" i="3"/>
  <c r="AV3042" i="3"/>
  <c r="BA3041" i="3"/>
  <c r="AZ3041" i="3"/>
  <c r="AY3041" i="3"/>
  <c r="AV3041" i="3"/>
  <c r="BA3040" i="3"/>
  <c r="AZ3040" i="3"/>
  <c r="AY3040" i="3"/>
  <c r="AV3040" i="3"/>
  <c r="BA3039" i="3"/>
  <c r="AZ3039" i="3"/>
  <c r="AY3039" i="3"/>
  <c r="AV3039" i="3"/>
  <c r="BA3038" i="3"/>
  <c r="AZ3038" i="3"/>
  <c r="AY3038" i="3"/>
  <c r="AV3038" i="3"/>
  <c r="BA3037" i="3"/>
  <c r="AZ3037" i="3"/>
  <c r="AY3037" i="3"/>
  <c r="AV3037" i="3"/>
  <c r="BA3036" i="3"/>
  <c r="AZ3036" i="3"/>
  <c r="AY3036" i="3"/>
  <c r="AV3036" i="3"/>
  <c r="BA3035" i="3"/>
  <c r="AZ3035" i="3"/>
  <c r="AY3035" i="3"/>
  <c r="AV3035" i="3"/>
  <c r="BA3034" i="3"/>
  <c r="AZ3034" i="3"/>
  <c r="AY3034" i="3"/>
  <c r="AV3034" i="3"/>
  <c r="BA3033" i="3"/>
  <c r="AZ3033" i="3"/>
  <c r="AY3033" i="3"/>
  <c r="AV3033" i="3"/>
  <c r="BA3032" i="3"/>
  <c r="AZ3032" i="3"/>
  <c r="AY3032" i="3"/>
  <c r="AV3032" i="3"/>
  <c r="BA3031" i="3"/>
  <c r="AZ3031" i="3"/>
  <c r="AY3031" i="3"/>
  <c r="AV3031" i="3"/>
  <c r="BA3030" i="3"/>
  <c r="AZ3030" i="3"/>
  <c r="AY3030" i="3"/>
  <c r="AV3030" i="3"/>
  <c r="BA3029" i="3"/>
  <c r="AZ3029" i="3"/>
  <c r="AY3029" i="3"/>
  <c r="AV3029" i="3"/>
  <c r="BA3028" i="3"/>
  <c r="AZ3028" i="3"/>
  <c r="AY3028" i="3"/>
  <c r="AV3028" i="3"/>
  <c r="BA3027" i="3"/>
  <c r="AZ3027" i="3"/>
  <c r="AY3027" i="3"/>
  <c r="AV3027" i="3"/>
  <c r="BA3026" i="3"/>
  <c r="AZ3026" i="3"/>
  <c r="AY3026" i="3"/>
  <c r="AV3026" i="3"/>
  <c r="BA3025" i="3"/>
  <c r="AZ3025" i="3"/>
  <c r="AY3025" i="3"/>
  <c r="AV3025" i="3"/>
  <c r="BA3024" i="3"/>
  <c r="AZ3024" i="3"/>
  <c r="AY3024" i="3"/>
  <c r="AV3024" i="3"/>
  <c r="BA3023" i="3"/>
  <c r="AZ3023" i="3"/>
  <c r="AY3023" i="3"/>
  <c r="AV3023" i="3"/>
  <c r="BA3022" i="3"/>
  <c r="AZ3022" i="3"/>
  <c r="AY3022" i="3"/>
  <c r="AV3022" i="3"/>
  <c r="BA3021" i="3"/>
  <c r="AZ3021" i="3"/>
  <c r="AY3021" i="3"/>
  <c r="AV3021" i="3"/>
  <c r="BA3020" i="3"/>
  <c r="AZ3020" i="3"/>
  <c r="AY3020" i="3"/>
  <c r="AV3020" i="3"/>
  <c r="BA3019" i="3"/>
  <c r="AZ3019" i="3"/>
  <c r="AY3019" i="3"/>
  <c r="AV3019" i="3"/>
  <c r="BA3018" i="3"/>
  <c r="AZ3018" i="3"/>
  <c r="AY3018" i="3"/>
  <c r="AV3018" i="3"/>
  <c r="BA3017" i="3"/>
  <c r="AZ3017" i="3"/>
  <c r="AY3017" i="3"/>
  <c r="AV3017" i="3"/>
  <c r="BA3016" i="3"/>
  <c r="AZ3016" i="3"/>
  <c r="AY3016" i="3"/>
  <c r="AV3016" i="3"/>
  <c r="BA3015" i="3"/>
  <c r="AZ3015" i="3"/>
  <c r="AY3015" i="3"/>
  <c r="AV3015" i="3"/>
  <c r="BA3014" i="3"/>
  <c r="AZ3014" i="3"/>
  <c r="AY3014" i="3"/>
  <c r="AV3014" i="3"/>
  <c r="BA3013" i="3"/>
  <c r="AZ3013" i="3"/>
  <c r="AY3013" i="3"/>
  <c r="AV3013" i="3"/>
  <c r="BA3012" i="3"/>
  <c r="AZ3012" i="3"/>
  <c r="AY3012" i="3"/>
  <c r="AV3012" i="3"/>
  <c r="BA3011" i="3"/>
  <c r="AZ3011" i="3"/>
  <c r="AY3011" i="3"/>
  <c r="AV3011" i="3"/>
  <c r="BA3010" i="3"/>
  <c r="AZ3010" i="3"/>
  <c r="AY3010" i="3"/>
  <c r="AV3010" i="3"/>
  <c r="BA3009" i="3"/>
  <c r="AZ3009" i="3"/>
  <c r="AY3009" i="3"/>
  <c r="AV3009" i="3"/>
  <c r="BA3008" i="3"/>
  <c r="AZ3008" i="3"/>
  <c r="AY3008" i="3"/>
  <c r="AV3008" i="3"/>
  <c r="BA3007" i="3"/>
  <c r="AZ3007" i="3"/>
  <c r="AY3007" i="3"/>
  <c r="AV3007" i="3"/>
  <c r="BA3006" i="3"/>
  <c r="AZ3006" i="3"/>
  <c r="AY3006" i="3"/>
  <c r="AV3006" i="3"/>
  <c r="BA3005" i="3"/>
  <c r="AZ3005" i="3"/>
  <c r="AY3005" i="3"/>
  <c r="AV3005" i="3"/>
  <c r="BA3004" i="3"/>
  <c r="AZ3004" i="3"/>
  <c r="AY3004" i="3"/>
  <c r="AV3004" i="3"/>
  <c r="BA3003" i="3"/>
  <c r="AZ3003" i="3"/>
  <c r="AY3003" i="3"/>
  <c r="AV3003" i="3"/>
  <c r="BA3002" i="3"/>
  <c r="AZ3002" i="3"/>
  <c r="AY3002" i="3"/>
  <c r="AV3002" i="3"/>
  <c r="BA3001" i="3"/>
  <c r="AZ3001" i="3"/>
  <c r="AY3001" i="3"/>
  <c r="AV3001" i="3"/>
  <c r="BA3000" i="3"/>
  <c r="AZ3000" i="3"/>
  <c r="AY3000" i="3"/>
  <c r="AV3000" i="3"/>
  <c r="BA2999" i="3"/>
  <c r="AZ2999" i="3"/>
  <c r="AY2999" i="3"/>
  <c r="AV2999" i="3"/>
  <c r="BA2998" i="3"/>
  <c r="AZ2998" i="3"/>
  <c r="AY2998" i="3"/>
  <c r="AV2998" i="3"/>
  <c r="BA2997" i="3"/>
  <c r="AZ2997" i="3"/>
  <c r="AY2997" i="3"/>
  <c r="AV2997" i="3"/>
  <c r="BA2996" i="3"/>
  <c r="AZ2996" i="3"/>
  <c r="AY2996" i="3"/>
  <c r="AV2996" i="3"/>
  <c r="BA2995" i="3"/>
  <c r="AZ2995" i="3"/>
  <c r="AY2995" i="3"/>
  <c r="AV2995" i="3"/>
  <c r="BA2994" i="3"/>
  <c r="AZ2994" i="3"/>
  <c r="AY2994" i="3"/>
  <c r="AV2994" i="3"/>
  <c r="BA2993" i="3"/>
  <c r="AZ2993" i="3"/>
  <c r="AY2993" i="3"/>
  <c r="AV2993" i="3"/>
  <c r="BA2992" i="3"/>
  <c r="AZ2992" i="3"/>
  <c r="AY2992" i="3"/>
  <c r="AV2992" i="3"/>
  <c r="BA2991" i="3"/>
  <c r="AZ2991" i="3"/>
  <c r="AY2991" i="3"/>
  <c r="AV2991" i="3"/>
  <c r="BA2990" i="3"/>
  <c r="AZ2990" i="3"/>
  <c r="AY2990" i="3"/>
  <c r="AV2990" i="3"/>
  <c r="BA2989" i="3"/>
  <c r="AZ2989" i="3"/>
  <c r="AY2989" i="3"/>
  <c r="AV2989" i="3"/>
  <c r="BA2988" i="3"/>
  <c r="AZ2988" i="3"/>
  <c r="AY2988" i="3"/>
  <c r="AV2988" i="3"/>
  <c r="BA2987" i="3"/>
  <c r="AZ2987" i="3"/>
  <c r="AY2987" i="3"/>
  <c r="AV2987" i="3"/>
  <c r="BA2986" i="3"/>
  <c r="AZ2986" i="3"/>
  <c r="AY2986" i="3"/>
  <c r="AV2986" i="3"/>
  <c r="BA2985" i="3"/>
  <c r="AZ2985" i="3"/>
  <c r="AY2985" i="3"/>
  <c r="AV2985" i="3"/>
  <c r="BA2984" i="3"/>
  <c r="AZ2984" i="3"/>
  <c r="AY2984" i="3"/>
  <c r="AV2984" i="3"/>
  <c r="BA2983" i="3"/>
  <c r="AZ2983" i="3"/>
  <c r="AY2983" i="3"/>
  <c r="AV2983" i="3"/>
  <c r="BA2982" i="3"/>
  <c r="AZ2982" i="3"/>
  <c r="AY2982" i="3"/>
  <c r="AV2982" i="3"/>
  <c r="BA2981" i="3"/>
  <c r="AZ2981" i="3"/>
  <c r="AY2981" i="3"/>
  <c r="AV2981" i="3"/>
  <c r="BA2980" i="3"/>
  <c r="AZ2980" i="3"/>
  <c r="AY2980" i="3"/>
  <c r="AV2980" i="3"/>
  <c r="BA2979" i="3"/>
  <c r="AZ2979" i="3"/>
  <c r="AY2979" i="3"/>
  <c r="AV2979" i="3"/>
  <c r="BA2978" i="3"/>
  <c r="AZ2978" i="3"/>
  <c r="AY2978" i="3"/>
  <c r="AV2978" i="3"/>
  <c r="BA2977" i="3"/>
  <c r="AZ2977" i="3"/>
  <c r="AY2977" i="3"/>
  <c r="AV2977" i="3"/>
  <c r="BA2976" i="3"/>
  <c r="AZ2976" i="3"/>
  <c r="AY2976" i="3"/>
  <c r="AV2976" i="3"/>
  <c r="BA2975" i="3"/>
  <c r="AZ2975" i="3"/>
  <c r="AY2975" i="3"/>
  <c r="AV2975" i="3"/>
  <c r="BA2974" i="3"/>
  <c r="AZ2974" i="3"/>
  <c r="AY2974" i="3"/>
  <c r="AV2974" i="3"/>
  <c r="BA2973" i="3"/>
  <c r="AZ2973" i="3"/>
  <c r="AY2973" i="3"/>
  <c r="AV2973" i="3"/>
  <c r="BA2972" i="3"/>
  <c r="AZ2972" i="3"/>
  <c r="AY2972" i="3"/>
  <c r="AV2972" i="3"/>
  <c r="BA2971" i="3"/>
  <c r="AZ2971" i="3"/>
  <c r="AY2971" i="3"/>
  <c r="AV2971" i="3"/>
  <c r="BA2970" i="3"/>
  <c r="AZ2970" i="3"/>
  <c r="AY2970" i="3"/>
  <c r="AV2970" i="3"/>
  <c r="BA2969" i="3"/>
  <c r="AZ2969" i="3"/>
  <c r="AY2969" i="3"/>
  <c r="AV2969" i="3"/>
  <c r="BA2968" i="3"/>
  <c r="AZ2968" i="3"/>
  <c r="AY2968" i="3"/>
  <c r="AV2968" i="3"/>
  <c r="BA2967" i="3"/>
  <c r="AZ2967" i="3"/>
  <c r="AY2967" i="3"/>
  <c r="AV2967" i="3"/>
  <c r="BA2966" i="3"/>
  <c r="AZ2966" i="3"/>
  <c r="AY2966" i="3"/>
  <c r="AV2966" i="3"/>
  <c r="BA2965" i="3"/>
  <c r="AZ2965" i="3"/>
  <c r="AY2965" i="3"/>
  <c r="AV2965" i="3"/>
  <c r="BA2964" i="3"/>
  <c r="AZ2964" i="3"/>
  <c r="AY2964" i="3"/>
  <c r="AV2964" i="3"/>
  <c r="BA2963" i="3"/>
  <c r="AZ2963" i="3"/>
  <c r="AY2963" i="3"/>
  <c r="AV2963" i="3"/>
  <c r="BA2962" i="3"/>
  <c r="AZ2962" i="3"/>
  <c r="AY2962" i="3"/>
  <c r="AV2962" i="3"/>
  <c r="BA2961" i="3"/>
  <c r="AZ2961" i="3"/>
  <c r="AY2961" i="3"/>
  <c r="AV2961" i="3"/>
  <c r="BA2960" i="3"/>
  <c r="AZ2960" i="3"/>
  <c r="AY2960" i="3"/>
  <c r="AV2960" i="3"/>
  <c r="BA2959" i="3"/>
  <c r="AZ2959" i="3"/>
  <c r="AY2959" i="3"/>
  <c r="AV2959" i="3"/>
  <c r="BA2958" i="3"/>
  <c r="AZ2958" i="3"/>
  <c r="AY2958" i="3"/>
  <c r="AV2958" i="3"/>
  <c r="BA2957" i="3"/>
  <c r="AZ2957" i="3"/>
  <c r="AY2957" i="3"/>
  <c r="AV2957" i="3"/>
  <c r="BA2956" i="3"/>
  <c r="AZ2956" i="3"/>
  <c r="AY2956" i="3"/>
  <c r="AV2956" i="3"/>
  <c r="BA2955" i="3"/>
  <c r="AZ2955" i="3"/>
  <c r="AY2955" i="3"/>
  <c r="AV2955" i="3"/>
  <c r="BA2954" i="3"/>
  <c r="AZ2954" i="3"/>
  <c r="AY2954" i="3"/>
  <c r="AV2954" i="3"/>
  <c r="BA2953" i="3"/>
  <c r="AZ2953" i="3"/>
  <c r="AY2953" i="3"/>
  <c r="AV2953" i="3"/>
  <c r="BA2952" i="3"/>
  <c r="AZ2952" i="3"/>
  <c r="AY2952" i="3"/>
  <c r="AV2952" i="3"/>
  <c r="BA2951" i="3"/>
  <c r="AZ2951" i="3"/>
  <c r="AY2951" i="3"/>
  <c r="AV2951" i="3"/>
  <c r="BA2950" i="3"/>
  <c r="AZ2950" i="3"/>
  <c r="AY2950" i="3"/>
  <c r="AV2950" i="3"/>
  <c r="BA2949" i="3"/>
  <c r="AZ2949" i="3"/>
  <c r="AY2949" i="3"/>
  <c r="AV2949" i="3"/>
  <c r="BA2948" i="3"/>
  <c r="AZ2948" i="3"/>
  <c r="AY2948" i="3"/>
  <c r="AV2948" i="3"/>
  <c r="BA2947" i="3"/>
  <c r="AZ2947" i="3"/>
  <c r="AY2947" i="3"/>
  <c r="AV2947" i="3"/>
  <c r="BA2946" i="3"/>
  <c r="AZ2946" i="3"/>
  <c r="AY2946" i="3"/>
  <c r="AV2946" i="3"/>
  <c r="BA2945" i="3"/>
  <c r="AZ2945" i="3"/>
  <c r="AY2945" i="3"/>
  <c r="AV2945" i="3"/>
  <c r="BA2944" i="3"/>
  <c r="AZ2944" i="3"/>
  <c r="AY2944" i="3"/>
  <c r="AV2944" i="3"/>
  <c r="BA2943" i="3"/>
  <c r="AZ2943" i="3"/>
  <c r="AY2943" i="3"/>
  <c r="AV2943" i="3"/>
  <c r="BA2942" i="3"/>
  <c r="AZ2942" i="3"/>
  <c r="AY2942" i="3"/>
  <c r="AV2942" i="3"/>
  <c r="BA2941" i="3"/>
  <c r="AZ2941" i="3"/>
  <c r="AY2941" i="3"/>
  <c r="AV2941" i="3"/>
  <c r="BA2940" i="3"/>
  <c r="AZ2940" i="3"/>
  <c r="AY2940" i="3"/>
  <c r="AV2940" i="3"/>
  <c r="BA2939" i="3"/>
  <c r="AZ2939" i="3"/>
  <c r="AY2939" i="3"/>
  <c r="AV2939" i="3"/>
  <c r="BA2938" i="3"/>
  <c r="AZ2938" i="3"/>
  <c r="AY2938" i="3"/>
  <c r="AV2938" i="3"/>
  <c r="BA2937" i="3"/>
  <c r="AZ2937" i="3"/>
  <c r="AY2937" i="3"/>
  <c r="AV2937" i="3"/>
  <c r="BA2936" i="3"/>
  <c r="AZ2936" i="3"/>
  <c r="AY2936" i="3"/>
  <c r="AV2936" i="3"/>
  <c r="BA2935" i="3"/>
  <c r="AZ2935" i="3"/>
  <c r="AY2935" i="3"/>
  <c r="AV2935" i="3"/>
  <c r="BA2934" i="3"/>
  <c r="AZ2934" i="3"/>
  <c r="AY2934" i="3"/>
  <c r="AV2934" i="3"/>
  <c r="BA2933" i="3"/>
  <c r="AZ2933" i="3"/>
  <c r="AY2933" i="3"/>
  <c r="AV2933" i="3"/>
  <c r="BA2932" i="3"/>
  <c r="AZ2932" i="3"/>
  <c r="AY2932" i="3"/>
  <c r="AV2932" i="3"/>
  <c r="BA2931" i="3"/>
  <c r="AZ2931" i="3"/>
  <c r="AY2931" i="3"/>
  <c r="AV2931" i="3"/>
  <c r="BA2930" i="3"/>
  <c r="AZ2930" i="3"/>
  <c r="AY2930" i="3"/>
  <c r="AV2930" i="3"/>
  <c r="BA2929" i="3"/>
  <c r="AZ2929" i="3"/>
  <c r="AY2929" i="3"/>
  <c r="AV2929" i="3"/>
  <c r="BA2928" i="3"/>
  <c r="AZ2928" i="3"/>
  <c r="AY2928" i="3"/>
  <c r="AV2928" i="3"/>
  <c r="BA2927" i="3"/>
  <c r="AZ2927" i="3"/>
  <c r="AY2927" i="3"/>
  <c r="AV2927" i="3"/>
  <c r="BA2926" i="3"/>
  <c r="AZ2926" i="3"/>
  <c r="AY2926" i="3"/>
  <c r="AV2926" i="3"/>
  <c r="BA2925" i="3"/>
  <c r="AZ2925" i="3"/>
  <c r="AY2925" i="3"/>
  <c r="AV2925" i="3"/>
  <c r="BA2924" i="3"/>
  <c r="AZ2924" i="3"/>
  <c r="AY2924" i="3"/>
  <c r="AV2924" i="3"/>
  <c r="BA2923" i="3"/>
  <c r="AZ2923" i="3"/>
  <c r="AY2923" i="3"/>
  <c r="AV2923" i="3"/>
  <c r="BA2922" i="3"/>
  <c r="AZ2922" i="3"/>
  <c r="AY2922" i="3"/>
  <c r="AV2922" i="3"/>
  <c r="BA2921" i="3"/>
  <c r="AZ2921" i="3"/>
  <c r="AY2921" i="3"/>
  <c r="AV2921" i="3"/>
  <c r="BA2920" i="3"/>
  <c r="AZ2920" i="3"/>
  <c r="AY2920" i="3"/>
  <c r="AV2920" i="3"/>
  <c r="BA2919" i="3"/>
  <c r="AZ2919" i="3"/>
  <c r="AY2919" i="3"/>
  <c r="AV2919" i="3"/>
  <c r="BA2918" i="3"/>
  <c r="AZ2918" i="3"/>
  <c r="AY2918" i="3"/>
  <c r="AV2918" i="3"/>
  <c r="BA2917" i="3"/>
  <c r="AZ2917" i="3"/>
  <c r="AY2917" i="3"/>
  <c r="AV2917" i="3"/>
  <c r="BA2916" i="3"/>
  <c r="AZ2916" i="3"/>
  <c r="AY2916" i="3"/>
  <c r="AV2916" i="3"/>
  <c r="BA2915" i="3"/>
  <c r="AZ2915" i="3"/>
  <c r="AY2915" i="3"/>
  <c r="AV2915" i="3"/>
  <c r="BA2914" i="3"/>
  <c r="AZ2914" i="3"/>
  <c r="AY2914" i="3"/>
  <c r="AV2914" i="3"/>
  <c r="BA2913" i="3"/>
  <c r="AZ2913" i="3"/>
  <c r="AY2913" i="3"/>
  <c r="AV2913" i="3"/>
  <c r="BA2912" i="3"/>
  <c r="AZ2912" i="3"/>
  <c r="AY2912" i="3"/>
  <c r="AV2912" i="3"/>
  <c r="BA2911" i="3"/>
  <c r="AZ2911" i="3"/>
  <c r="AY2911" i="3"/>
  <c r="AV2911" i="3"/>
  <c r="BA2910" i="3"/>
  <c r="AZ2910" i="3"/>
  <c r="AY2910" i="3"/>
  <c r="AV2910" i="3"/>
  <c r="BA2909" i="3"/>
  <c r="AZ2909" i="3"/>
  <c r="AY2909" i="3"/>
  <c r="AV2909" i="3"/>
  <c r="BA2908" i="3"/>
  <c r="AZ2908" i="3"/>
  <c r="AY2908" i="3"/>
  <c r="AV2908" i="3"/>
  <c r="BA2907" i="3"/>
  <c r="AZ2907" i="3"/>
  <c r="AY2907" i="3"/>
  <c r="AV2907" i="3"/>
  <c r="BA2906" i="3"/>
  <c r="AZ2906" i="3"/>
  <c r="AY2906" i="3"/>
  <c r="AV2906" i="3"/>
  <c r="BA2905" i="3"/>
  <c r="AZ2905" i="3"/>
  <c r="AY2905" i="3"/>
  <c r="AV2905" i="3"/>
  <c r="BA2904" i="3"/>
  <c r="AZ2904" i="3"/>
  <c r="AY2904" i="3"/>
  <c r="AV2904" i="3"/>
  <c r="BA2903" i="3"/>
  <c r="AZ2903" i="3"/>
  <c r="AY2903" i="3"/>
  <c r="AV2903" i="3"/>
  <c r="BA2902" i="3"/>
  <c r="AZ2902" i="3"/>
  <c r="AY2902" i="3"/>
  <c r="AV2902" i="3"/>
  <c r="BA2901" i="3"/>
  <c r="AZ2901" i="3"/>
  <c r="AY2901" i="3"/>
  <c r="AV2901" i="3"/>
  <c r="BA2900" i="3"/>
  <c r="AZ2900" i="3"/>
  <c r="AY2900" i="3"/>
  <c r="AV2900" i="3"/>
  <c r="BA2899" i="3"/>
  <c r="AZ2899" i="3"/>
  <c r="AY2899" i="3"/>
  <c r="AV2899" i="3"/>
  <c r="BA2898" i="3"/>
  <c r="AZ2898" i="3"/>
  <c r="AY2898" i="3"/>
  <c r="AV2898" i="3"/>
  <c r="BA2897" i="3"/>
  <c r="AZ2897" i="3"/>
  <c r="AY2897" i="3"/>
  <c r="AV2897" i="3"/>
  <c r="BA2896" i="3"/>
  <c r="AZ2896" i="3"/>
  <c r="AY2896" i="3"/>
  <c r="AV2896" i="3"/>
  <c r="BA2895" i="3"/>
  <c r="AZ2895" i="3"/>
  <c r="AY2895" i="3"/>
  <c r="AV2895" i="3"/>
  <c r="BA2894" i="3"/>
  <c r="AZ2894" i="3"/>
  <c r="AY2894" i="3"/>
  <c r="AV2894" i="3"/>
  <c r="BA2893" i="3"/>
  <c r="AZ2893" i="3"/>
  <c r="AY2893" i="3"/>
  <c r="AV2893" i="3"/>
  <c r="BA2892" i="3"/>
  <c r="AZ2892" i="3"/>
  <c r="AY2892" i="3"/>
  <c r="AV2892" i="3"/>
  <c r="BA2891" i="3"/>
  <c r="AZ2891" i="3"/>
  <c r="AY2891" i="3"/>
  <c r="AV2891" i="3"/>
  <c r="BA2890" i="3"/>
  <c r="AZ2890" i="3"/>
  <c r="AY2890" i="3"/>
  <c r="AV2890" i="3"/>
  <c r="BA2889" i="3"/>
  <c r="AZ2889" i="3"/>
  <c r="AY2889" i="3"/>
  <c r="AV2889" i="3"/>
  <c r="BA2888" i="3"/>
  <c r="AZ2888" i="3"/>
  <c r="AY2888" i="3"/>
  <c r="AV2888" i="3"/>
  <c r="BA2887" i="3"/>
  <c r="AZ2887" i="3"/>
  <c r="AY2887" i="3"/>
  <c r="AV2887" i="3"/>
  <c r="BA2886" i="3"/>
  <c r="AZ2886" i="3"/>
  <c r="AY2886" i="3"/>
  <c r="AV2886" i="3"/>
  <c r="BA2885" i="3"/>
  <c r="AZ2885" i="3"/>
  <c r="AY2885" i="3"/>
  <c r="AV2885" i="3"/>
  <c r="BA2884" i="3"/>
  <c r="AZ2884" i="3"/>
  <c r="AY2884" i="3"/>
  <c r="AV2884" i="3"/>
  <c r="BA2883" i="3"/>
  <c r="AZ2883" i="3"/>
  <c r="AY2883" i="3"/>
  <c r="AV2883" i="3"/>
  <c r="BA2882" i="3"/>
  <c r="AZ2882" i="3"/>
  <c r="AY2882" i="3"/>
  <c r="AV2882" i="3"/>
  <c r="BA2881" i="3"/>
  <c r="AZ2881" i="3"/>
  <c r="AY2881" i="3"/>
  <c r="AV2881" i="3"/>
  <c r="BA2880" i="3"/>
  <c r="AZ2880" i="3"/>
  <c r="AY2880" i="3"/>
  <c r="AV2880" i="3"/>
  <c r="BA2879" i="3"/>
  <c r="AZ2879" i="3"/>
  <c r="AY2879" i="3"/>
  <c r="AV2879" i="3"/>
  <c r="BA2878" i="3"/>
  <c r="AZ2878" i="3"/>
  <c r="AY2878" i="3"/>
  <c r="AV2878" i="3"/>
  <c r="BA2877" i="3"/>
  <c r="AZ2877" i="3"/>
  <c r="AY2877" i="3"/>
  <c r="AV2877" i="3"/>
  <c r="BA2876" i="3"/>
  <c r="AZ2876" i="3"/>
  <c r="AY2876" i="3"/>
  <c r="AV2876" i="3"/>
  <c r="BA2875" i="3"/>
  <c r="AZ2875" i="3"/>
  <c r="AY2875" i="3"/>
  <c r="AV2875" i="3"/>
  <c r="BA2874" i="3"/>
  <c r="AZ2874" i="3"/>
  <c r="AY2874" i="3"/>
  <c r="AV2874" i="3"/>
  <c r="BA2873" i="3"/>
  <c r="AZ2873" i="3"/>
  <c r="AY2873" i="3"/>
  <c r="AV2873" i="3"/>
  <c r="BA2872" i="3"/>
  <c r="AZ2872" i="3"/>
  <c r="AY2872" i="3"/>
  <c r="AV2872" i="3"/>
  <c r="BA2871" i="3"/>
  <c r="AZ2871" i="3"/>
  <c r="AY2871" i="3"/>
  <c r="AV2871" i="3"/>
  <c r="BA2870" i="3"/>
  <c r="AZ2870" i="3"/>
  <c r="AY2870" i="3"/>
  <c r="AV2870" i="3"/>
  <c r="BA2869" i="3"/>
  <c r="AZ2869" i="3"/>
  <c r="AY2869" i="3"/>
  <c r="AV2869" i="3"/>
  <c r="BA2868" i="3"/>
  <c r="AZ2868" i="3"/>
  <c r="AY2868" i="3"/>
  <c r="AV2868" i="3"/>
  <c r="BA2867" i="3"/>
  <c r="AZ2867" i="3"/>
  <c r="AY2867" i="3"/>
  <c r="AV2867" i="3"/>
  <c r="BA2866" i="3"/>
  <c r="AZ2866" i="3"/>
  <c r="AY2866" i="3"/>
  <c r="AV2866" i="3"/>
  <c r="BA2865" i="3"/>
  <c r="AZ2865" i="3"/>
  <c r="AY2865" i="3"/>
  <c r="AV2865" i="3"/>
  <c r="BA2864" i="3"/>
  <c r="AZ2864" i="3"/>
  <c r="AY2864" i="3"/>
  <c r="AV2864" i="3"/>
  <c r="BA2863" i="3"/>
  <c r="AZ2863" i="3"/>
  <c r="AY2863" i="3"/>
  <c r="AV2863" i="3"/>
  <c r="BA2862" i="3"/>
  <c r="AZ2862" i="3"/>
  <c r="AY2862" i="3"/>
  <c r="AV2862" i="3"/>
  <c r="BA2861" i="3"/>
  <c r="AZ2861" i="3"/>
  <c r="AY2861" i="3"/>
  <c r="AV2861" i="3"/>
  <c r="BA2860" i="3"/>
  <c r="AZ2860" i="3"/>
  <c r="AY2860" i="3"/>
  <c r="AV2860" i="3"/>
  <c r="BA2859" i="3"/>
  <c r="AZ2859" i="3"/>
  <c r="AY2859" i="3"/>
  <c r="AV2859" i="3"/>
  <c r="BA2858" i="3"/>
  <c r="AZ2858" i="3"/>
  <c r="AY2858" i="3"/>
  <c r="AV2858" i="3"/>
  <c r="BA2857" i="3"/>
  <c r="AZ2857" i="3"/>
  <c r="AY2857" i="3"/>
  <c r="AV2857" i="3"/>
  <c r="BA2856" i="3"/>
  <c r="AZ2856" i="3"/>
  <c r="AY2856" i="3"/>
  <c r="AV2856" i="3"/>
  <c r="BA2855" i="3"/>
  <c r="AZ2855" i="3"/>
  <c r="AY2855" i="3"/>
  <c r="AV2855" i="3"/>
  <c r="BA2854" i="3"/>
  <c r="AZ2854" i="3"/>
  <c r="AY2854" i="3"/>
  <c r="AV2854" i="3"/>
  <c r="BA2853" i="3"/>
  <c r="AZ2853" i="3"/>
  <c r="AY2853" i="3"/>
  <c r="AV2853" i="3"/>
  <c r="BA2852" i="3"/>
  <c r="AZ2852" i="3"/>
  <c r="AY2852" i="3"/>
  <c r="AV2852" i="3"/>
  <c r="BA2851" i="3"/>
  <c r="AZ2851" i="3"/>
  <c r="AY2851" i="3"/>
  <c r="AV2851" i="3"/>
  <c r="BA2850" i="3"/>
  <c r="AZ2850" i="3"/>
  <c r="AY2850" i="3"/>
  <c r="AV2850" i="3"/>
  <c r="BA2849" i="3"/>
  <c r="AZ2849" i="3"/>
  <c r="AY2849" i="3"/>
  <c r="AV2849" i="3"/>
  <c r="BA2848" i="3"/>
  <c r="AZ2848" i="3"/>
  <c r="AY2848" i="3"/>
  <c r="AV2848" i="3"/>
  <c r="BA2847" i="3"/>
  <c r="AZ2847" i="3"/>
  <c r="AY2847" i="3"/>
  <c r="AV2847" i="3"/>
  <c r="BA2846" i="3"/>
  <c r="AZ2846" i="3"/>
  <c r="AY2846" i="3"/>
  <c r="AV2846" i="3"/>
  <c r="BA2845" i="3"/>
  <c r="AZ2845" i="3"/>
  <c r="AY2845" i="3"/>
  <c r="AV2845" i="3"/>
  <c r="BA2844" i="3"/>
  <c r="AZ2844" i="3"/>
  <c r="AY2844" i="3"/>
  <c r="AV2844" i="3"/>
  <c r="BA2843" i="3"/>
  <c r="AZ2843" i="3"/>
  <c r="AY2843" i="3"/>
  <c r="AV2843" i="3"/>
  <c r="BA2842" i="3"/>
  <c r="AZ2842" i="3"/>
  <c r="AY2842" i="3"/>
  <c r="AV2842" i="3"/>
  <c r="BA2841" i="3"/>
  <c r="AZ2841" i="3"/>
  <c r="AY2841" i="3"/>
  <c r="AV2841" i="3"/>
  <c r="BA2840" i="3"/>
  <c r="AZ2840" i="3"/>
  <c r="AY2840" i="3"/>
  <c r="AV2840" i="3"/>
  <c r="BA2839" i="3"/>
  <c r="AZ2839" i="3"/>
  <c r="AY2839" i="3"/>
  <c r="AV2839" i="3"/>
  <c r="BA2838" i="3"/>
  <c r="AZ2838" i="3"/>
  <c r="AY2838" i="3"/>
  <c r="AV2838" i="3"/>
  <c r="BA2837" i="3"/>
  <c r="AZ2837" i="3"/>
  <c r="AY2837" i="3"/>
  <c r="AV2837" i="3"/>
  <c r="BA2836" i="3"/>
  <c r="AZ2836" i="3"/>
  <c r="AY2836" i="3"/>
  <c r="AV2836" i="3"/>
  <c r="BA2835" i="3"/>
  <c r="AZ2835" i="3"/>
  <c r="AY2835" i="3"/>
  <c r="AV2835" i="3"/>
  <c r="BA2834" i="3"/>
  <c r="AZ2834" i="3"/>
  <c r="AY2834" i="3"/>
  <c r="AV2834" i="3"/>
  <c r="BA2833" i="3"/>
  <c r="AZ2833" i="3"/>
  <c r="AY2833" i="3"/>
  <c r="AV2833" i="3"/>
  <c r="BA2832" i="3"/>
  <c r="AZ2832" i="3"/>
  <c r="AY2832" i="3"/>
  <c r="AV2832" i="3"/>
  <c r="BA2831" i="3"/>
  <c r="AZ2831" i="3"/>
  <c r="AY2831" i="3"/>
  <c r="AV2831" i="3"/>
  <c r="BA2830" i="3"/>
  <c r="AZ2830" i="3"/>
  <c r="AY2830" i="3"/>
  <c r="AV2830" i="3"/>
  <c r="BA2829" i="3"/>
  <c r="AZ2829" i="3"/>
  <c r="AY2829" i="3"/>
  <c r="AV2829" i="3"/>
  <c r="BA2828" i="3"/>
  <c r="AZ2828" i="3"/>
  <c r="AY2828" i="3"/>
  <c r="AV2828" i="3"/>
  <c r="BA2827" i="3"/>
  <c r="AZ2827" i="3"/>
  <c r="AY2827" i="3"/>
  <c r="AV2827" i="3"/>
  <c r="BA2826" i="3"/>
  <c r="AZ2826" i="3"/>
  <c r="AY2826" i="3"/>
  <c r="AV2826" i="3"/>
  <c r="BA2825" i="3"/>
  <c r="AZ2825" i="3"/>
  <c r="AY2825" i="3"/>
  <c r="AV2825" i="3"/>
  <c r="BA2824" i="3"/>
  <c r="AZ2824" i="3"/>
  <c r="AY2824" i="3"/>
  <c r="AV2824" i="3"/>
  <c r="BA2823" i="3"/>
  <c r="AZ2823" i="3"/>
  <c r="AY2823" i="3"/>
  <c r="AV2823" i="3"/>
  <c r="BA2822" i="3"/>
  <c r="AZ2822" i="3"/>
  <c r="AY2822" i="3"/>
  <c r="AV2822" i="3"/>
  <c r="BA2821" i="3"/>
  <c r="AZ2821" i="3"/>
  <c r="AY2821" i="3"/>
  <c r="AV2821" i="3"/>
  <c r="BA2820" i="3"/>
  <c r="AZ2820" i="3"/>
  <c r="AY2820" i="3"/>
  <c r="AV2820" i="3"/>
  <c r="BA2819" i="3"/>
  <c r="AZ2819" i="3"/>
  <c r="AY2819" i="3"/>
  <c r="AV2819" i="3"/>
  <c r="BA2818" i="3"/>
  <c r="AZ2818" i="3"/>
  <c r="AY2818" i="3"/>
  <c r="AV2818" i="3"/>
  <c r="BA2817" i="3"/>
  <c r="AZ2817" i="3"/>
  <c r="AY2817" i="3"/>
  <c r="AV2817" i="3"/>
  <c r="BA2816" i="3"/>
  <c r="AZ2816" i="3"/>
  <c r="AY2816" i="3"/>
  <c r="AV2816" i="3"/>
  <c r="BA2815" i="3"/>
  <c r="AZ2815" i="3"/>
  <c r="AY2815" i="3"/>
  <c r="AV2815" i="3"/>
  <c r="BA2814" i="3"/>
  <c r="AZ2814" i="3"/>
  <c r="AY2814" i="3"/>
  <c r="AV2814" i="3"/>
  <c r="BA2813" i="3"/>
  <c r="AZ2813" i="3"/>
  <c r="AY2813" i="3"/>
  <c r="AV2813" i="3"/>
  <c r="BA2812" i="3"/>
  <c r="AZ2812" i="3"/>
  <c r="AY2812" i="3"/>
  <c r="AV2812" i="3"/>
  <c r="BA2811" i="3"/>
  <c r="AZ2811" i="3"/>
  <c r="AY2811" i="3"/>
  <c r="AV2811" i="3"/>
  <c r="BA2810" i="3"/>
  <c r="AZ2810" i="3"/>
  <c r="AY2810" i="3"/>
  <c r="AV2810" i="3"/>
  <c r="BA2809" i="3"/>
  <c r="AZ2809" i="3"/>
  <c r="AY2809" i="3"/>
  <c r="AV2809" i="3"/>
  <c r="BA2808" i="3"/>
  <c r="AZ2808" i="3"/>
  <c r="AY2808" i="3"/>
  <c r="AV2808" i="3"/>
  <c r="BA2807" i="3"/>
  <c r="AZ2807" i="3"/>
  <c r="AY2807" i="3"/>
  <c r="AV2807" i="3"/>
  <c r="BA2806" i="3"/>
  <c r="AZ2806" i="3"/>
  <c r="AY2806" i="3"/>
  <c r="AV2806" i="3"/>
  <c r="BA2805" i="3"/>
  <c r="AZ2805" i="3"/>
  <c r="AY2805" i="3"/>
  <c r="AV2805" i="3"/>
  <c r="BA2804" i="3"/>
  <c r="AZ2804" i="3"/>
  <c r="AY2804" i="3"/>
  <c r="AV2804" i="3"/>
  <c r="BA2803" i="3"/>
  <c r="AZ2803" i="3"/>
  <c r="AY2803" i="3"/>
  <c r="AV2803" i="3"/>
  <c r="BA2802" i="3"/>
  <c r="AZ2802" i="3"/>
  <c r="AY2802" i="3"/>
  <c r="AV2802" i="3"/>
  <c r="BA2801" i="3"/>
  <c r="AZ2801" i="3"/>
  <c r="AY2801" i="3"/>
  <c r="AV2801" i="3"/>
  <c r="BA2800" i="3"/>
  <c r="AZ2800" i="3"/>
  <c r="AY2800" i="3"/>
  <c r="AV2800" i="3"/>
  <c r="BA2799" i="3"/>
  <c r="AZ2799" i="3"/>
  <c r="AY2799" i="3"/>
  <c r="AV2799" i="3"/>
  <c r="BA2798" i="3"/>
  <c r="AZ2798" i="3"/>
  <c r="AY2798" i="3"/>
  <c r="AV2798" i="3"/>
  <c r="BA2797" i="3"/>
  <c r="AZ2797" i="3"/>
  <c r="AY2797" i="3"/>
  <c r="AV2797" i="3"/>
  <c r="BA2796" i="3"/>
  <c r="AZ2796" i="3"/>
  <c r="AY2796" i="3"/>
  <c r="AV2796" i="3"/>
  <c r="BA2795" i="3"/>
  <c r="AZ2795" i="3"/>
  <c r="AY2795" i="3"/>
  <c r="AV2795" i="3"/>
  <c r="BA2794" i="3"/>
  <c r="AZ2794" i="3"/>
  <c r="AY2794" i="3"/>
  <c r="AV2794" i="3"/>
  <c r="BA2793" i="3"/>
  <c r="AZ2793" i="3"/>
  <c r="AY2793" i="3"/>
  <c r="AV2793" i="3"/>
  <c r="BA2792" i="3"/>
  <c r="AZ2792" i="3"/>
  <c r="AY2792" i="3"/>
  <c r="AV2792" i="3"/>
  <c r="BA2791" i="3"/>
  <c r="AZ2791" i="3"/>
  <c r="AY2791" i="3"/>
  <c r="AV2791" i="3"/>
  <c r="BA2790" i="3"/>
  <c r="AZ2790" i="3"/>
  <c r="AY2790" i="3"/>
  <c r="AV2790" i="3"/>
  <c r="BA2789" i="3"/>
  <c r="AZ2789" i="3"/>
  <c r="AY2789" i="3"/>
  <c r="AV2789" i="3"/>
  <c r="BA2788" i="3"/>
  <c r="AZ2788" i="3"/>
  <c r="AY2788" i="3"/>
  <c r="AV2788" i="3"/>
  <c r="BA2787" i="3"/>
  <c r="AZ2787" i="3"/>
  <c r="AY2787" i="3"/>
  <c r="AV2787" i="3"/>
  <c r="BA2786" i="3"/>
  <c r="AZ2786" i="3"/>
  <c r="AY2786" i="3"/>
  <c r="AV2786" i="3"/>
  <c r="BA2785" i="3"/>
  <c r="AZ2785" i="3"/>
  <c r="AY2785" i="3"/>
  <c r="AV2785" i="3"/>
  <c r="BA2784" i="3"/>
  <c r="AZ2784" i="3"/>
  <c r="AY2784" i="3"/>
  <c r="AV2784" i="3"/>
  <c r="BA2783" i="3"/>
  <c r="AZ2783" i="3"/>
  <c r="AY2783" i="3"/>
  <c r="AV2783" i="3"/>
  <c r="BA2782" i="3"/>
  <c r="AZ2782" i="3"/>
  <c r="AY2782" i="3"/>
  <c r="AV2782" i="3"/>
  <c r="BA2781" i="3"/>
  <c r="AZ2781" i="3"/>
  <c r="AY2781" i="3"/>
  <c r="AV2781" i="3"/>
  <c r="BA2780" i="3"/>
  <c r="AZ2780" i="3"/>
  <c r="AY2780" i="3"/>
  <c r="AV2780" i="3"/>
  <c r="BA2779" i="3"/>
  <c r="AZ2779" i="3"/>
  <c r="AY2779" i="3"/>
  <c r="AV2779" i="3"/>
  <c r="BA2778" i="3"/>
  <c r="AZ2778" i="3"/>
  <c r="AY2778" i="3"/>
  <c r="AV2778" i="3"/>
  <c r="BA2777" i="3"/>
  <c r="AZ2777" i="3"/>
  <c r="AY2777" i="3"/>
  <c r="AV2777" i="3"/>
  <c r="BA2776" i="3"/>
  <c r="AZ2776" i="3"/>
  <c r="AY2776" i="3"/>
  <c r="AV2776" i="3"/>
  <c r="BA2775" i="3"/>
  <c r="AZ2775" i="3"/>
  <c r="AY2775" i="3"/>
  <c r="AV2775" i="3"/>
  <c r="BA2774" i="3"/>
  <c r="AZ2774" i="3"/>
  <c r="AY2774" i="3"/>
  <c r="AV2774" i="3"/>
  <c r="BA2773" i="3"/>
  <c r="AZ2773" i="3"/>
  <c r="AY2773" i="3"/>
  <c r="AV2773" i="3"/>
  <c r="BA2772" i="3"/>
  <c r="AZ2772" i="3"/>
  <c r="AY2772" i="3"/>
  <c r="AV2772" i="3"/>
  <c r="BA2771" i="3"/>
  <c r="AZ2771" i="3"/>
  <c r="AY2771" i="3"/>
  <c r="AV2771" i="3"/>
  <c r="BA2770" i="3"/>
  <c r="AZ2770" i="3"/>
  <c r="AY2770" i="3"/>
  <c r="AV2770" i="3"/>
  <c r="BA2769" i="3"/>
  <c r="AZ2769" i="3"/>
  <c r="AY2769" i="3"/>
  <c r="AV2769" i="3"/>
  <c r="BA2768" i="3"/>
  <c r="AZ2768" i="3"/>
  <c r="AY2768" i="3"/>
  <c r="AV2768" i="3"/>
  <c r="BA2767" i="3"/>
  <c r="AZ2767" i="3"/>
  <c r="AY2767" i="3"/>
  <c r="AV2767" i="3"/>
  <c r="BA2766" i="3"/>
  <c r="AZ2766" i="3"/>
  <c r="AY2766" i="3"/>
  <c r="AV2766" i="3"/>
  <c r="BA2765" i="3"/>
  <c r="AZ2765" i="3"/>
  <c r="AY2765" i="3"/>
  <c r="AV2765" i="3"/>
  <c r="BA2764" i="3"/>
  <c r="AZ2764" i="3"/>
  <c r="AY2764" i="3"/>
  <c r="AV2764" i="3"/>
  <c r="BA2763" i="3"/>
  <c r="AZ2763" i="3"/>
  <c r="AY2763" i="3"/>
  <c r="AV2763" i="3"/>
  <c r="BA2762" i="3"/>
  <c r="AZ2762" i="3"/>
  <c r="AY2762" i="3"/>
  <c r="AV2762" i="3"/>
  <c r="BA2761" i="3"/>
  <c r="AZ2761" i="3"/>
  <c r="AY2761" i="3"/>
  <c r="AV2761" i="3"/>
  <c r="BA2760" i="3"/>
  <c r="AZ2760" i="3"/>
  <c r="AY2760" i="3"/>
  <c r="AV2760" i="3"/>
  <c r="BA2759" i="3"/>
  <c r="AZ2759" i="3"/>
  <c r="AY2759" i="3"/>
  <c r="AV2759" i="3"/>
  <c r="BA2758" i="3"/>
  <c r="AZ2758" i="3"/>
  <c r="AY2758" i="3"/>
  <c r="AV2758" i="3"/>
  <c r="BA2757" i="3"/>
  <c r="AZ2757" i="3"/>
  <c r="AY2757" i="3"/>
  <c r="AV2757" i="3"/>
  <c r="BA2756" i="3"/>
  <c r="AZ2756" i="3"/>
  <c r="AY2756" i="3"/>
  <c r="AV2756" i="3"/>
  <c r="BA2755" i="3"/>
  <c r="AZ2755" i="3"/>
  <c r="AY2755" i="3"/>
  <c r="AV2755" i="3"/>
  <c r="BA2754" i="3"/>
  <c r="AZ2754" i="3"/>
  <c r="AY2754" i="3"/>
  <c r="AV2754" i="3"/>
  <c r="BA2753" i="3"/>
  <c r="AZ2753" i="3"/>
  <c r="AY2753" i="3"/>
  <c r="AV2753" i="3"/>
  <c r="BA2752" i="3"/>
  <c r="AZ2752" i="3"/>
  <c r="AY2752" i="3"/>
  <c r="AV2752" i="3"/>
  <c r="BA2751" i="3"/>
  <c r="AZ2751" i="3"/>
  <c r="AY2751" i="3"/>
  <c r="AV2751" i="3"/>
  <c r="BA2750" i="3"/>
  <c r="AZ2750" i="3"/>
  <c r="AY2750" i="3"/>
  <c r="AV2750" i="3"/>
  <c r="BA2749" i="3"/>
  <c r="AZ2749" i="3"/>
  <c r="AY2749" i="3"/>
  <c r="AV2749" i="3"/>
  <c r="BA2748" i="3"/>
  <c r="AZ2748" i="3"/>
  <c r="AY2748" i="3"/>
  <c r="AV2748" i="3"/>
  <c r="BA2747" i="3"/>
  <c r="AZ2747" i="3"/>
  <c r="AY2747" i="3"/>
  <c r="AV2747" i="3"/>
  <c r="BA2746" i="3"/>
  <c r="AZ2746" i="3"/>
  <c r="AY2746" i="3"/>
  <c r="AV2746" i="3"/>
  <c r="BA2745" i="3"/>
  <c r="AZ2745" i="3"/>
  <c r="AY2745" i="3"/>
  <c r="AV2745" i="3"/>
  <c r="BA2744" i="3"/>
  <c r="AZ2744" i="3"/>
  <c r="AY2744" i="3"/>
  <c r="AV2744" i="3"/>
  <c r="BA2743" i="3"/>
  <c r="AZ2743" i="3"/>
  <c r="AY2743" i="3"/>
  <c r="AV2743" i="3"/>
  <c r="BA2742" i="3"/>
  <c r="AZ2742" i="3"/>
  <c r="AY2742" i="3"/>
  <c r="AV2742" i="3"/>
  <c r="BA2741" i="3"/>
  <c r="AZ2741" i="3"/>
  <c r="AY2741" i="3"/>
  <c r="AV2741" i="3"/>
  <c r="BA2740" i="3"/>
  <c r="AZ2740" i="3"/>
  <c r="AY2740" i="3"/>
  <c r="AV2740" i="3"/>
  <c r="BA2739" i="3"/>
  <c r="AZ2739" i="3"/>
  <c r="AY2739" i="3"/>
  <c r="AV2739" i="3"/>
  <c r="BA2738" i="3"/>
  <c r="AZ2738" i="3"/>
  <c r="AY2738" i="3"/>
  <c r="AV2738" i="3"/>
  <c r="BA2737" i="3"/>
  <c r="AZ2737" i="3"/>
  <c r="AY2737" i="3"/>
  <c r="AV2737" i="3"/>
  <c r="BA2736" i="3"/>
  <c r="AZ2736" i="3"/>
  <c r="AY2736" i="3"/>
  <c r="AV2736" i="3"/>
  <c r="BA2735" i="3"/>
  <c r="AZ2735" i="3"/>
  <c r="AY2735" i="3"/>
  <c r="AV2735" i="3"/>
  <c r="BA2734" i="3"/>
  <c r="AZ2734" i="3"/>
  <c r="AY2734" i="3"/>
  <c r="AV2734" i="3"/>
  <c r="BA2733" i="3"/>
  <c r="AZ2733" i="3"/>
  <c r="AY2733" i="3"/>
  <c r="AV2733" i="3"/>
  <c r="BA2732" i="3"/>
  <c r="AZ2732" i="3"/>
  <c r="AY2732" i="3"/>
  <c r="AV2732" i="3"/>
  <c r="BA2731" i="3"/>
  <c r="AZ2731" i="3"/>
  <c r="AY2731" i="3"/>
  <c r="AV2731" i="3"/>
  <c r="BA2730" i="3"/>
  <c r="AZ2730" i="3"/>
  <c r="AY2730" i="3"/>
  <c r="AV2730" i="3"/>
  <c r="BA2729" i="3"/>
  <c r="AZ2729" i="3"/>
  <c r="AY2729" i="3"/>
  <c r="AV2729" i="3"/>
  <c r="BA2728" i="3"/>
  <c r="AZ2728" i="3"/>
  <c r="AY2728" i="3"/>
  <c r="AV2728" i="3"/>
  <c r="BA2727" i="3"/>
  <c r="AZ2727" i="3"/>
  <c r="AY2727" i="3"/>
  <c r="AV2727" i="3"/>
  <c r="BA2726" i="3"/>
  <c r="AZ2726" i="3"/>
  <c r="AY2726" i="3"/>
  <c r="AV2726" i="3"/>
  <c r="BA2725" i="3"/>
  <c r="AZ2725" i="3"/>
  <c r="AY2725" i="3"/>
  <c r="AV2725" i="3"/>
  <c r="BA2724" i="3"/>
  <c r="AZ2724" i="3"/>
  <c r="AY2724" i="3"/>
  <c r="AV2724" i="3"/>
  <c r="BA2723" i="3"/>
  <c r="AZ2723" i="3"/>
  <c r="AY2723" i="3"/>
  <c r="AV2723" i="3"/>
  <c r="BA2722" i="3"/>
  <c r="AZ2722" i="3"/>
  <c r="AY2722" i="3"/>
  <c r="AV2722" i="3"/>
  <c r="BA2721" i="3"/>
  <c r="AZ2721" i="3"/>
  <c r="AY2721" i="3"/>
  <c r="AV2721" i="3"/>
  <c r="BA2720" i="3"/>
  <c r="AZ2720" i="3"/>
  <c r="AY2720" i="3"/>
  <c r="AV2720" i="3"/>
  <c r="BA2719" i="3"/>
  <c r="AZ2719" i="3"/>
  <c r="AY2719" i="3"/>
  <c r="AV2719" i="3"/>
  <c r="BA2718" i="3"/>
  <c r="AZ2718" i="3"/>
  <c r="AY2718" i="3"/>
  <c r="AV2718" i="3"/>
  <c r="BA2717" i="3"/>
  <c r="AZ2717" i="3"/>
  <c r="AY2717" i="3"/>
  <c r="AV2717" i="3"/>
  <c r="BA2716" i="3"/>
  <c r="AZ2716" i="3"/>
  <c r="AY2716" i="3"/>
  <c r="AV2716" i="3"/>
  <c r="BA2715" i="3"/>
  <c r="AZ2715" i="3"/>
  <c r="AY2715" i="3"/>
  <c r="AV2715" i="3"/>
  <c r="BA2714" i="3"/>
  <c r="AZ2714" i="3"/>
  <c r="AY2714" i="3"/>
  <c r="AV2714" i="3"/>
  <c r="BA2713" i="3"/>
  <c r="AZ2713" i="3"/>
  <c r="AY2713" i="3"/>
  <c r="AV2713" i="3"/>
  <c r="BA2712" i="3"/>
  <c r="AZ2712" i="3"/>
  <c r="AY2712" i="3"/>
  <c r="AV2712" i="3"/>
  <c r="BA2711" i="3"/>
  <c r="AZ2711" i="3"/>
  <c r="AY2711" i="3"/>
  <c r="AV2711" i="3"/>
  <c r="BA2710" i="3"/>
  <c r="AZ2710" i="3"/>
  <c r="AY2710" i="3"/>
  <c r="AV2710" i="3"/>
  <c r="BA2709" i="3"/>
  <c r="AZ2709" i="3"/>
  <c r="AY2709" i="3"/>
  <c r="AV2709" i="3"/>
  <c r="BA2708" i="3"/>
  <c r="AZ2708" i="3"/>
  <c r="AY2708" i="3"/>
  <c r="AV2708" i="3"/>
  <c r="BA2707" i="3"/>
  <c r="AZ2707" i="3"/>
  <c r="AY2707" i="3"/>
  <c r="AV2707" i="3"/>
  <c r="BA2706" i="3"/>
  <c r="AZ2706" i="3"/>
  <c r="AY2706" i="3"/>
  <c r="AV2706" i="3"/>
  <c r="BA2705" i="3"/>
  <c r="AZ2705" i="3"/>
  <c r="AY2705" i="3"/>
  <c r="AV2705" i="3"/>
  <c r="BA2704" i="3"/>
  <c r="AZ2704" i="3"/>
  <c r="AY2704" i="3"/>
  <c r="AV2704" i="3"/>
  <c r="BA2703" i="3"/>
  <c r="AZ2703" i="3"/>
  <c r="AY2703" i="3"/>
  <c r="AV2703" i="3"/>
  <c r="BA2702" i="3"/>
  <c r="AZ2702" i="3"/>
  <c r="AY2702" i="3"/>
  <c r="AV2702" i="3"/>
  <c r="BA2701" i="3"/>
  <c r="AZ2701" i="3"/>
  <c r="AY2701" i="3"/>
  <c r="AV2701" i="3"/>
  <c r="BA2700" i="3"/>
  <c r="AZ2700" i="3"/>
  <c r="AY2700" i="3"/>
  <c r="AV2700" i="3"/>
  <c r="BA2699" i="3"/>
  <c r="AZ2699" i="3"/>
  <c r="AY2699" i="3"/>
  <c r="AV2699" i="3"/>
  <c r="BA2698" i="3"/>
  <c r="AZ2698" i="3"/>
  <c r="AY2698" i="3"/>
  <c r="AV2698" i="3"/>
  <c r="BA2697" i="3"/>
  <c r="AZ2697" i="3"/>
  <c r="AY2697" i="3"/>
  <c r="AV2697" i="3"/>
  <c r="BA2696" i="3"/>
  <c r="AZ2696" i="3"/>
  <c r="AY2696" i="3"/>
  <c r="AV2696" i="3"/>
  <c r="BA2695" i="3"/>
  <c r="AZ2695" i="3"/>
  <c r="AY2695" i="3"/>
  <c r="AV2695" i="3"/>
  <c r="BA2694" i="3"/>
  <c r="AZ2694" i="3"/>
  <c r="AY2694" i="3"/>
  <c r="AV2694" i="3"/>
  <c r="BA2693" i="3"/>
  <c r="AZ2693" i="3"/>
  <c r="AY2693" i="3"/>
  <c r="AV2693" i="3"/>
  <c r="BA2692" i="3"/>
  <c r="AZ2692" i="3"/>
  <c r="AY2692" i="3"/>
  <c r="AV2692" i="3"/>
  <c r="BA2691" i="3"/>
  <c r="AZ2691" i="3"/>
  <c r="AY2691" i="3"/>
  <c r="AV2691" i="3"/>
  <c r="BA2690" i="3"/>
  <c r="AZ2690" i="3"/>
  <c r="AY2690" i="3"/>
  <c r="AV2690" i="3"/>
  <c r="BA2689" i="3"/>
  <c r="AZ2689" i="3"/>
  <c r="AY2689" i="3"/>
  <c r="AV2689" i="3"/>
  <c r="BA2688" i="3"/>
  <c r="AZ2688" i="3"/>
  <c r="AY2688" i="3"/>
  <c r="AV2688" i="3"/>
  <c r="BA2687" i="3"/>
  <c r="AZ2687" i="3"/>
  <c r="AY2687" i="3"/>
  <c r="AV2687" i="3"/>
  <c r="BA2686" i="3"/>
  <c r="AZ2686" i="3"/>
  <c r="AY2686" i="3"/>
  <c r="AV2686" i="3"/>
  <c r="BA2685" i="3"/>
  <c r="AZ2685" i="3"/>
  <c r="AY2685" i="3"/>
  <c r="AV2685" i="3"/>
  <c r="BA2684" i="3"/>
  <c r="AZ2684" i="3"/>
  <c r="AY2684" i="3"/>
  <c r="AV2684" i="3"/>
  <c r="BA2683" i="3"/>
  <c r="AZ2683" i="3"/>
  <c r="AY2683" i="3"/>
  <c r="AV2683" i="3"/>
  <c r="BA2682" i="3"/>
  <c r="AZ2682" i="3"/>
  <c r="AY2682" i="3"/>
  <c r="AV2682" i="3"/>
  <c r="BA2681" i="3"/>
  <c r="AZ2681" i="3"/>
  <c r="AY2681" i="3"/>
  <c r="AV2681" i="3"/>
  <c r="BA2680" i="3"/>
  <c r="AZ2680" i="3"/>
  <c r="AY2680" i="3"/>
  <c r="AV2680" i="3"/>
  <c r="BA2679" i="3"/>
  <c r="AZ2679" i="3"/>
  <c r="AY2679" i="3"/>
  <c r="AV2679" i="3"/>
  <c r="BA2678" i="3"/>
  <c r="AZ2678" i="3"/>
  <c r="AY2678" i="3"/>
  <c r="AV2678" i="3"/>
  <c r="BA2677" i="3"/>
  <c r="AZ2677" i="3"/>
  <c r="AY2677" i="3"/>
  <c r="AV2677" i="3"/>
  <c r="BA2676" i="3"/>
  <c r="AZ2676" i="3"/>
  <c r="AY2676" i="3"/>
  <c r="AV2676" i="3"/>
  <c r="BA2675" i="3"/>
  <c r="AZ2675" i="3"/>
  <c r="AY2675" i="3"/>
  <c r="AV2675" i="3"/>
  <c r="BA2674" i="3"/>
  <c r="AZ2674" i="3"/>
  <c r="AY2674" i="3"/>
  <c r="AV2674" i="3"/>
  <c r="BA2673" i="3"/>
  <c r="AZ2673" i="3"/>
  <c r="AY2673" i="3"/>
  <c r="AV2673" i="3"/>
  <c r="BA2672" i="3"/>
  <c r="AZ2672" i="3"/>
  <c r="AY2672" i="3"/>
  <c r="AV2672" i="3"/>
  <c r="BA2671" i="3"/>
  <c r="AZ2671" i="3"/>
  <c r="AY2671" i="3"/>
  <c r="AV2671" i="3"/>
  <c r="BA2670" i="3"/>
  <c r="AZ2670" i="3"/>
  <c r="AY2670" i="3"/>
  <c r="AV2670" i="3"/>
  <c r="BA2669" i="3"/>
  <c r="AZ2669" i="3"/>
  <c r="AY2669" i="3"/>
  <c r="AV2669" i="3"/>
  <c r="BA2668" i="3"/>
  <c r="AZ2668" i="3"/>
  <c r="AY2668" i="3"/>
  <c r="AV2668" i="3"/>
  <c r="BA2667" i="3"/>
  <c r="AZ2667" i="3"/>
  <c r="AY2667" i="3"/>
  <c r="AV2667" i="3"/>
  <c r="BA2666" i="3"/>
  <c r="AZ2666" i="3"/>
  <c r="AY2666" i="3"/>
  <c r="AV2666" i="3"/>
  <c r="BA2665" i="3"/>
  <c r="AZ2665" i="3"/>
  <c r="AY2665" i="3"/>
  <c r="AV2665" i="3"/>
  <c r="BA2664" i="3"/>
  <c r="AZ2664" i="3"/>
  <c r="AY2664" i="3"/>
  <c r="AV2664" i="3"/>
  <c r="BA2663" i="3"/>
  <c r="AZ2663" i="3"/>
  <c r="AY2663" i="3"/>
  <c r="AV2663" i="3"/>
  <c r="BA2662" i="3"/>
  <c r="AZ2662" i="3"/>
  <c r="AY2662" i="3"/>
  <c r="AV2662" i="3"/>
  <c r="BA2661" i="3"/>
  <c r="AZ2661" i="3"/>
  <c r="AY2661" i="3"/>
  <c r="AV2661" i="3"/>
  <c r="BA2660" i="3"/>
  <c r="AZ2660" i="3"/>
  <c r="AY2660" i="3"/>
  <c r="AV2660" i="3"/>
  <c r="BA2659" i="3"/>
  <c r="AZ2659" i="3"/>
  <c r="AY2659" i="3"/>
  <c r="AV2659" i="3"/>
  <c r="BA2658" i="3"/>
  <c r="AZ2658" i="3"/>
  <c r="AY2658" i="3"/>
  <c r="AV2658" i="3"/>
  <c r="BA2657" i="3"/>
  <c r="AZ2657" i="3"/>
  <c r="AY2657" i="3"/>
  <c r="AV2657" i="3"/>
  <c r="BA2656" i="3"/>
  <c r="AZ2656" i="3"/>
  <c r="AY2656" i="3"/>
  <c r="AV2656" i="3"/>
  <c r="BA2655" i="3"/>
  <c r="AZ2655" i="3"/>
  <c r="AY2655" i="3"/>
  <c r="AV2655" i="3"/>
  <c r="BA2654" i="3"/>
  <c r="AZ2654" i="3"/>
  <c r="AY2654" i="3"/>
  <c r="AV2654" i="3"/>
  <c r="BA2653" i="3"/>
  <c r="AZ2653" i="3"/>
  <c r="AY2653" i="3"/>
  <c r="AV2653" i="3"/>
  <c r="BA2652" i="3"/>
  <c r="AZ2652" i="3"/>
  <c r="AY2652" i="3"/>
  <c r="AV2652" i="3"/>
  <c r="BA2651" i="3"/>
  <c r="AZ2651" i="3"/>
  <c r="AY2651" i="3"/>
  <c r="AV2651" i="3"/>
  <c r="BA2650" i="3"/>
  <c r="AZ2650" i="3"/>
  <c r="AY2650" i="3"/>
  <c r="AV2650" i="3"/>
  <c r="BA2649" i="3"/>
  <c r="AZ2649" i="3"/>
  <c r="AY2649" i="3"/>
  <c r="AV2649" i="3"/>
  <c r="BA2648" i="3"/>
  <c r="AZ2648" i="3"/>
  <c r="AY2648" i="3"/>
  <c r="AV2648" i="3"/>
  <c r="BA2647" i="3"/>
  <c r="AZ2647" i="3"/>
  <c r="AY2647" i="3"/>
  <c r="AV2647" i="3"/>
  <c r="BA2646" i="3"/>
  <c r="AZ2646" i="3"/>
  <c r="AY2646" i="3"/>
  <c r="AV2646" i="3"/>
  <c r="BA2645" i="3"/>
  <c r="AZ2645" i="3"/>
  <c r="AY2645" i="3"/>
  <c r="AV2645" i="3"/>
  <c r="BA2644" i="3"/>
  <c r="AZ2644" i="3"/>
  <c r="AY2644" i="3"/>
  <c r="AV2644" i="3"/>
  <c r="BA2643" i="3"/>
  <c r="AZ2643" i="3"/>
  <c r="AY2643" i="3"/>
  <c r="AV2643" i="3"/>
  <c r="BA2642" i="3"/>
  <c r="AZ2642" i="3"/>
  <c r="AY2642" i="3"/>
  <c r="AV2642" i="3"/>
  <c r="BA2641" i="3"/>
  <c r="AZ2641" i="3"/>
  <c r="AY2641" i="3"/>
  <c r="AV2641" i="3"/>
  <c r="BA2640" i="3"/>
  <c r="AZ2640" i="3"/>
  <c r="AY2640" i="3"/>
  <c r="AV2640" i="3"/>
  <c r="BA2639" i="3"/>
  <c r="AZ2639" i="3"/>
  <c r="AY2639" i="3"/>
  <c r="AV2639" i="3"/>
  <c r="BA2638" i="3"/>
  <c r="AZ2638" i="3"/>
  <c r="AY2638" i="3"/>
  <c r="AV2638" i="3"/>
  <c r="BA2637" i="3"/>
  <c r="AZ2637" i="3"/>
  <c r="AY2637" i="3"/>
  <c r="AV2637" i="3"/>
  <c r="BA2636" i="3"/>
  <c r="AZ2636" i="3"/>
  <c r="AY2636" i="3"/>
  <c r="AV2636" i="3"/>
  <c r="BA2635" i="3"/>
  <c r="AZ2635" i="3"/>
  <c r="AY2635" i="3"/>
  <c r="AV2635" i="3"/>
  <c r="BA2634" i="3"/>
  <c r="AZ2634" i="3"/>
  <c r="AY2634" i="3"/>
  <c r="AV2634" i="3"/>
  <c r="BA2633" i="3"/>
  <c r="AZ2633" i="3"/>
  <c r="AY2633" i="3"/>
  <c r="AV2633" i="3"/>
  <c r="BA2632" i="3"/>
  <c r="AZ2632" i="3"/>
  <c r="AY2632" i="3"/>
  <c r="AV2632" i="3"/>
  <c r="BA2631" i="3"/>
  <c r="AZ2631" i="3"/>
  <c r="AY2631" i="3"/>
  <c r="AV2631" i="3"/>
  <c r="BA2630" i="3"/>
  <c r="AZ2630" i="3"/>
  <c r="AY2630" i="3"/>
  <c r="AV2630" i="3"/>
  <c r="BA2629" i="3"/>
  <c r="AZ2629" i="3"/>
  <c r="AY2629" i="3"/>
  <c r="AV2629" i="3"/>
  <c r="BA2628" i="3"/>
  <c r="AZ2628" i="3"/>
  <c r="AY2628" i="3"/>
  <c r="AV2628" i="3"/>
  <c r="BA2627" i="3"/>
  <c r="AZ2627" i="3"/>
  <c r="AY2627" i="3"/>
  <c r="AV2627" i="3"/>
  <c r="BA2626" i="3"/>
  <c r="AZ2626" i="3"/>
  <c r="AY2626" i="3"/>
  <c r="AV2626" i="3"/>
  <c r="BA2625" i="3"/>
  <c r="AZ2625" i="3"/>
  <c r="AY2625" i="3"/>
  <c r="AV2625" i="3"/>
  <c r="BA2624" i="3"/>
  <c r="AZ2624" i="3"/>
  <c r="AY2624" i="3"/>
  <c r="AV2624" i="3"/>
  <c r="BA2623" i="3"/>
  <c r="AZ2623" i="3"/>
  <c r="AY2623" i="3"/>
  <c r="AV2623" i="3"/>
  <c r="BA2622" i="3"/>
  <c r="AZ2622" i="3"/>
  <c r="AY2622" i="3"/>
  <c r="AV2622" i="3"/>
  <c r="BA2621" i="3"/>
  <c r="AZ2621" i="3"/>
  <c r="AY2621" i="3"/>
  <c r="AV2621" i="3"/>
  <c r="BA2620" i="3"/>
  <c r="AZ2620" i="3"/>
  <c r="AY2620" i="3"/>
  <c r="AV2620" i="3"/>
  <c r="BA2619" i="3"/>
  <c r="AZ2619" i="3"/>
  <c r="AY2619" i="3"/>
  <c r="AV2619" i="3"/>
  <c r="BA2618" i="3"/>
  <c r="AZ2618" i="3"/>
  <c r="AY2618" i="3"/>
  <c r="AV2618" i="3"/>
  <c r="BA2617" i="3"/>
  <c r="AZ2617" i="3"/>
  <c r="AY2617" i="3"/>
  <c r="AV2617" i="3"/>
  <c r="BA2616" i="3"/>
  <c r="AZ2616" i="3"/>
  <c r="AY2616" i="3"/>
  <c r="AV2616" i="3"/>
  <c r="BA2615" i="3"/>
  <c r="AZ2615" i="3"/>
  <c r="AY2615" i="3"/>
  <c r="AV2615" i="3"/>
  <c r="BA2614" i="3"/>
  <c r="AZ2614" i="3"/>
  <c r="AY2614" i="3"/>
  <c r="AV2614" i="3"/>
  <c r="BA2613" i="3"/>
  <c r="AZ2613" i="3"/>
  <c r="AY2613" i="3"/>
  <c r="AV2613" i="3"/>
  <c r="BA2612" i="3"/>
  <c r="AZ2612" i="3"/>
  <c r="AY2612" i="3"/>
  <c r="AV2612" i="3"/>
  <c r="BA2611" i="3"/>
  <c r="AZ2611" i="3"/>
  <c r="AY2611" i="3"/>
  <c r="AV2611" i="3"/>
  <c r="BA2610" i="3"/>
  <c r="AZ2610" i="3"/>
  <c r="AY2610" i="3"/>
  <c r="AV2610" i="3"/>
  <c r="BA2609" i="3"/>
  <c r="AZ2609" i="3"/>
  <c r="AY2609" i="3"/>
  <c r="AV2609" i="3"/>
  <c r="BA2608" i="3"/>
  <c r="AZ2608" i="3"/>
  <c r="AY2608" i="3"/>
  <c r="AV2608" i="3"/>
  <c r="BA2607" i="3"/>
  <c r="AZ2607" i="3"/>
  <c r="AY2607" i="3"/>
  <c r="AV2607" i="3"/>
  <c r="BA2606" i="3"/>
  <c r="AZ2606" i="3"/>
  <c r="AY2606" i="3"/>
  <c r="AV2606" i="3"/>
  <c r="BA2605" i="3"/>
  <c r="AZ2605" i="3"/>
  <c r="AY2605" i="3"/>
  <c r="AV2605" i="3"/>
  <c r="BA2604" i="3"/>
  <c r="AZ2604" i="3"/>
  <c r="AY2604" i="3"/>
  <c r="AV2604" i="3"/>
  <c r="BA2603" i="3"/>
  <c r="AZ2603" i="3"/>
  <c r="AY2603" i="3"/>
  <c r="AV2603" i="3"/>
  <c r="BA2602" i="3"/>
  <c r="AZ2602" i="3"/>
  <c r="AY2602" i="3"/>
  <c r="AV2602" i="3"/>
  <c r="BA2601" i="3"/>
  <c r="AZ2601" i="3"/>
  <c r="AY2601" i="3"/>
  <c r="AV2601" i="3"/>
  <c r="BA2600" i="3"/>
  <c r="AZ2600" i="3"/>
  <c r="AY2600" i="3"/>
  <c r="AV2600" i="3"/>
  <c r="BA2599" i="3"/>
  <c r="AZ2599" i="3"/>
  <c r="AY2599" i="3"/>
  <c r="AV2599" i="3"/>
  <c r="BA2598" i="3"/>
  <c r="AZ2598" i="3"/>
  <c r="AY2598" i="3"/>
  <c r="AV2598" i="3"/>
  <c r="BA2597" i="3"/>
  <c r="AZ2597" i="3"/>
  <c r="AY2597" i="3"/>
  <c r="AV2597" i="3"/>
  <c r="BA2596" i="3"/>
  <c r="AZ2596" i="3"/>
  <c r="AY2596" i="3"/>
  <c r="AV2596" i="3"/>
  <c r="BA2595" i="3"/>
  <c r="AZ2595" i="3"/>
  <c r="AY2595" i="3"/>
  <c r="AV2595" i="3"/>
  <c r="BA2594" i="3"/>
  <c r="AZ2594" i="3"/>
  <c r="AY2594" i="3"/>
  <c r="AV2594" i="3"/>
  <c r="BA2593" i="3"/>
  <c r="AZ2593" i="3"/>
  <c r="AY2593" i="3"/>
  <c r="AV2593" i="3"/>
  <c r="BA2592" i="3"/>
  <c r="AZ2592" i="3"/>
  <c r="AY2592" i="3"/>
  <c r="AV2592" i="3"/>
  <c r="BA2591" i="3"/>
  <c r="AZ2591" i="3"/>
  <c r="AY2591" i="3"/>
  <c r="AV2591" i="3"/>
  <c r="BA2590" i="3"/>
  <c r="AZ2590" i="3"/>
  <c r="AY2590" i="3"/>
  <c r="AV2590" i="3"/>
  <c r="BA2589" i="3"/>
  <c r="AZ2589" i="3"/>
  <c r="AY2589" i="3"/>
  <c r="AV2589" i="3"/>
  <c r="BA2588" i="3"/>
  <c r="AZ2588" i="3"/>
  <c r="AY2588" i="3"/>
  <c r="AV2588" i="3"/>
  <c r="BA2587" i="3"/>
  <c r="AZ2587" i="3"/>
  <c r="AY2587" i="3"/>
  <c r="AV2587" i="3"/>
  <c r="BA2586" i="3"/>
  <c r="AZ2586" i="3"/>
  <c r="AY2586" i="3"/>
  <c r="AV2586" i="3"/>
  <c r="BA2585" i="3"/>
  <c r="AZ2585" i="3"/>
  <c r="AY2585" i="3"/>
  <c r="AV2585" i="3"/>
  <c r="BA2584" i="3"/>
  <c r="AZ2584" i="3"/>
  <c r="AY2584" i="3"/>
  <c r="AV2584" i="3"/>
  <c r="BA2583" i="3"/>
  <c r="AZ2583" i="3"/>
  <c r="AY2583" i="3"/>
  <c r="AV2583" i="3"/>
  <c r="BA2582" i="3"/>
  <c r="AZ2582" i="3"/>
  <c r="AY2582" i="3"/>
  <c r="AV2582" i="3"/>
  <c r="BA2581" i="3"/>
  <c r="AZ2581" i="3"/>
  <c r="AY2581" i="3"/>
  <c r="AV2581" i="3"/>
  <c r="BA2580" i="3"/>
  <c r="AZ2580" i="3"/>
  <c r="AY2580" i="3"/>
  <c r="AV2580" i="3"/>
  <c r="BA2579" i="3"/>
  <c r="AZ2579" i="3"/>
  <c r="AY2579" i="3"/>
  <c r="AV2579" i="3"/>
  <c r="BA2578" i="3"/>
  <c r="AZ2578" i="3"/>
  <c r="AY2578" i="3"/>
  <c r="AV2578" i="3"/>
  <c r="BA2577" i="3"/>
  <c r="AZ2577" i="3"/>
  <c r="AY2577" i="3"/>
  <c r="AV2577" i="3"/>
  <c r="BA2576" i="3"/>
  <c r="AZ2576" i="3"/>
  <c r="AY2576" i="3"/>
  <c r="AV2576" i="3"/>
  <c r="BA2575" i="3"/>
  <c r="AZ2575" i="3"/>
  <c r="AY2575" i="3"/>
  <c r="AV2575" i="3"/>
  <c r="BA2574" i="3"/>
  <c r="AZ2574" i="3"/>
  <c r="AY2574" i="3"/>
  <c r="AV2574" i="3"/>
  <c r="BA2573" i="3"/>
  <c r="AZ2573" i="3"/>
  <c r="AY2573" i="3"/>
  <c r="AV2573" i="3"/>
  <c r="BA2572" i="3"/>
  <c r="AZ2572" i="3"/>
  <c r="AY2572" i="3"/>
  <c r="AV2572" i="3"/>
  <c r="BA2571" i="3"/>
  <c r="AZ2571" i="3"/>
  <c r="AY2571" i="3"/>
  <c r="AV2571" i="3"/>
  <c r="BA2570" i="3"/>
  <c r="AZ2570" i="3"/>
  <c r="AY2570" i="3"/>
  <c r="AV2570" i="3"/>
  <c r="BA2569" i="3"/>
  <c r="AZ2569" i="3"/>
  <c r="AY2569" i="3"/>
  <c r="AV2569" i="3"/>
  <c r="BA2568" i="3"/>
  <c r="AZ2568" i="3"/>
  <c r="AY2568" i="3"/>
  <c r="AV2568" i="3"/>
  <c r="BA2567" i="3"/>
  <c r="AZ2567" i="3"/>
  <c r="AY2567" i="3"/>
  <c r="AV2567" i="3"/>
  <c r="BA2566" i="3"/>
  <c r="AZ2566" i="3"/>
  <c r="AY2566" i="3"/>
  <c r="AV2566" i="3"/>
  <c r="BA2565" i="3"/>
  <c r="AZ2565" i="3"/>
  <c r="AY2565" i="3"/>
  <c r="AV2565" i="3"/>
  <c r="BA2564" i="3"/>
  <c r="AZ2564" i="3"/>
  <c r="AY2564" i="3"/>
  <c r="AV2564" i="3"/>
  <c r="BA2563" i="3"/>
  <c r="AZ2563" i="3"/>
  <c r="AY2563" i="3"/>
  <c r="AV2563" i="3"/>
  <c r="BA2562" i="3"/>
  <c r="AZ2562" i="3"/>
  <c r="AY2562" i="3"/>
  <c r="AV2562" i="3"/>
  <c r="BA2561" i="3"/>
  <c r="AZ2561" i="3"/>
  <c r="AY2561" i="3"/>
  <c r="AV2561" i="3"/>
  <c r="BA2560" i="3"/>
  <c r="AZ2560" i="3"/>
  <c r="AY2560" i="3"/>
  <c r="AV2560" i="3"/>
  <c r="BA2559" i="3"/>
  <c r="AZ2559" i="3"/>
  <c r="AY2559" i="3"/>
  <c r="AV2559" i="3"/>
  <c r="BA2558" i="3"/>
  <c r="AZ2558" i="3"/>
  <c r="AY2558" i="3"/>
  <c r="AV2558" i="3"/>
  <c r="BA2557" i="3"/>
  <c r="AZ2557" i="3"/>
  <c r="AY2557" i="3"/>
  <c r="AV2557" i="3"/>
  <c r="BA2556" i="3"/>
  <c r="AZ2556" i="3"/>
  <c r="AY2556" i="3"/>
  <c r="AV2556" i="3"/>
  <c r="BA2555" i="3"/>
  <c r="AZ2555" i="3"/>
  <c r="AY2555" i="3"/>
  <c r="AV2555" i="3"/>
  <c r="BA2554" i="3"/>
  <c r="AZ2554" i="3"/>
  <c r="AY2554" i="3"/>
  <c r="AV2554" i="3"/>
  <c r="BA2553" i="3"/>
  <c r="AZ2553" i="3"/>
  <c r="AY2553" i="3"/>
  <c r="AV2553" i="3"/>
  <c r="BA2552" i="3"/>
  <c r="AZ2552" i="3"/>
  <c r="AY2552" i="3"/>
  <c r="AV2552" i="3"/>
  <c r="BA2551" i="3"/>
  <c r="AZ2551" i="3"/>
  <c r="AY2551" i="3"/>
  <c r="AV2551" i="3"/>
  <c r="BA2550" i="3"/>
  <c r="AZ2550" i="3"/>
  <c r="AY2550" i="3"/>
  <c r="AV2550" i="3"/>
  <c r="BA2549" i="3"/>
  <c r="AZ2549" i="3"/>
  <c r="AY2549" i="3"/>
  <c r="AV2549" i="3"/>
  <c r="BA2548" i="3"/>
  <c r="AZ2548" i="3"/>
  <c r="AY2548" i="3"/>
  <c r="AV2548" i="3"/>
  <c r="BA2547" i="3"/>
  <c r="AZ2547" i="3"/>
  <c r="AY2547" i="3"/>
  <c r="AV2547" i="3"/>
  <c r="BA2546" i="3"/>
  <c r="AZ2546" i="3"/>
  <c r="AY2546" i="3"/>
  <c r="AV2546" i="3"/>
  <c r="BA2545" i="3"/>
  <c r="AZ2545" i="3"/>
  <c r="AY2545" i="3"/>
  <c r="AV2545" i="3"/>
  <c r="BA2544" i="3"/>
  <c r="AZ2544" i="3"/>
  <c r="AY2544" i="3"/>
  <c r="AV2544" i="3"/>
  <c r="BA2543" i="3"/>
  <c r="AZ2543" i="3"/>
  <c r="AY2543" i="3"/>
  <c r="AV2543" i="3"/>
  <c r="BA2542" i="3"/>
  <c r="AZ2542" i="3"/>
  <c r="AY2542" i="3"/>
  <c r="AV2542" i="3"/>
  <c r="BA2541" i="3"/>
  <c r="AZ2541" i="3"/>
  <c r="AY2541" i="3"/>
  <c r="AV2541" i="3"/>
  <c r="BA2540" i="3"/>
  <c r="AZ2540" i="3"/>
  <c r="AY2540" i="3"/>
  <c r="AV2540" i="3"/>
  <c r="BA2539" i="3"/>
  <c r="AZ2539" i="3"/>
  <c r="AY2539" i="3"/>
  <c r="AV2539" i="3"/>
  <c r="BA2538" i="3"/>
  <c r="AZ2538" i="3"/>
  <c r="AY2538" i="3"/>
  <c r="AV2538" i="3"/>
  <c r="BA2537" i="3"/>
  <c r="AZ2537" i="3"/>
  <c r="AY2537" i="3"/>
  <c r="AV2537" i="3"/>
  <c r="BA2536" i="3"/>
  <c r="AZ2536" i="3"/>
  <c r="AY2536" i="3"/>
  <c r="AV2536" i="3"/>
  <c r="BA2535" i="3"/>
  <c r="AZ2535" i="3"/>
  <c r="AY2535" i="3"/>
  <c r="AV2535" i="3"/>
  <c r="BA2534" i="3"/>
  <c r="AZ2534" i="3"/>
  <c r="AY2534" i="3"/>
  <c r="AV2534" i="3"/>
  <c r="BA2533" i="3"/>
  <c r="AZ2533" i="3"/>
  <c r="AY2533" i="3"/>
  <c r="AV2533" i="3"/>
  <c r="BA2532" i="3"/>
  <c r="AZ2532" i="3"/>
  <c r="AY2532" i="3"/>
  <c r="AV2532" i="3"/>
  <c r="BA2531" i="3"/>
  <c r="AZ2531" i="3"/>
  <c r="AY2531" i="3"/>
  <c r="AV2531" i="3"/>
  <c r="BA2530" i="3"/>
  <c r="AZ2530" i="3"/>
  <c r="AY2530" i="3"/>
  <c r="AV2530" i="3"/>
  <c r="BA2529" i="3"/>
  <c r="AZ2529" i="3"/>
  <c r="AY2529" i="3"/>
  <c r="AV2529" i="3"/>
  <c r="BA2528" i="3"/>
  <c r="AZ2528" i="3"/>
  <c r="AY2528" i="3"/>
  <c r="AV2528" i="3"/>
  <c r="BA2527" i="3"/>
  <c r="AZ2527" i="3"/>
  <c r="AY2527" i="3"/>
  <c r="AV2527" i="3"/>
  <c r="BA2526" i="3"/>
  <c r="AZ2526" i="3"/>
  <c r="AY2526" i="3"/>
  <c r="AV2526" i="3"/>
  <c r="BA2525" i="3"/>
  <c r="AZ2525" i="3"/>
  <c r="AY2525" i="3"/>
  <c r="AV2525" i="3"/>
  <c r="BA2524" i="3"/>
  <c r="AZ2524" i="3"/>
  <c r="AY2524" i="3"/>
  <c r="AV2524" i="3"/>
  <c r="BA2523" i="3"/>
  <c r="AZ2523" i="3"/>
  <c r="AY2523" i="3"/>
  <c r="AV2523" i="3"/>
  <c r="BA2522" i="3"/>
  <c r="AZ2522" i="3"/>
  <c r="AY2522" i="3"/>
  <c r="AV2522" i="3"/>
  <c r="BA2521" i="3"/>
  <c r="AZ2521" i="3"/>
  <c r="AY2521" i="3"/>
  <c r="AV2521" i="3"/>
  <c r="BA2520" i="3"/>
  <c r="AZ2520" i="3"/>
  <c r="AY2520" i="3"/>
  <c r="AV2520" i="3"/>
  <c r="BA2519" i="3"/>
  <c r="AZ2519" i="3"/>
  <c r="AY2519" i="3"/>
  <c r="AV2519" i="3"/>
  <c r="BA2518" i="3"/>
  <c r="AZ2518" i="3"/>
  <c r="AY2518" i="3"/>
  <c r="AV2518" i="3"/>
  <c r="BA2517" i="3"/>
  <c r="AZ2517" i="3"/>
  <c r="AY2517" i="3"/>
  <c r="AV2517" i="3"/>
  <c r="BA2516" i="3"/>
  <c r="AZ2516" i="3"/>
  <c r="AY2516" i="3"/>
  <c r="AV2516" i="3"/>
  <c r="BA2515" i="3"/>
  <c r="AZ2515" i="3"/>
  <c r="AY2515" i="3"/>
  <c r="AV2515" i="3"/>
  <c r="BA2514" i="3"/>
  <c r="AZ2514" i="3"/>
  <c r="AY2514" i="3"/>
  <c r="AV2514" i="3"/>
  <c r="BA2513" i="3"/>
  <c r="AZ2513" i="3"/>
  <c r="AY2513" i="3"/>
  <c r="AV2513" i="3"/>
  <c r="BA2512" i="3"/>
  <c r="AZ2512" i="3"/>
  <c r="AY2512" i="3"/>
  <c r="AV2512" i="3"/>
  <c r="BA2511" i="3"/>
  <c r="AZ2511" i="3"/>
  <c r="AY2511" i="3"/>
  <c r="AV2511" i="3"/>
  <c r="BA2510" i="3"/>
  <c r="AZ2510" i="3"/>
  <c r="AY2510" i="3"/>
  <c r="AV2510" i="3"/>
  <c r="BA2509" i="3"/>
  <c r="AZ2509" i="3"/>
  <c r="AY2509" i="3"/>
  <c r="AV2509" i="3"/>
  <c r="BA2508" i="3"/>
  <c r="AZ2508" i="3"/>
  <c r="AY2508" i="3"/>
  <c r="AV2508" i="3"/>
  <c r="BA2507" i="3"/>
  <c r="AZ2507" i="3"/>
  <c r="AY2507" i="3"/>
  <c r="AV2507" i="3"/>
  <c r="BA2506" i="3"/>
  <c r="AZ2506" i="3"/>
  <c r="AY2506" i="3"/>
  <c r="AV2506" i="3"/>
  <c r="BA2505" i="3"/>
  <c r="AZ2505" i="3"/>
  <c r="AY2505" i="3"/>
  <c r="AV2505" i="3"/>
  <c r="BA2504" i="3"/>
  <c r="AZ2504" i="3"/>
  <c r="AY2504" i="3"/>
  <c r="AV2504" i="3"/>
  <c r="BA2503" i="3"/>
  <c r="AZ2503" i="3"/>
  <c r="AY2503" i="3"/>
  <c r="AV2503" i="3"/>
  <c r="BA2502" i="3"/>
  <c r="AZ2502" i="3"/>
  <c r="AY2502" i="3"/>
  <c r="AV2502" i="3"/>
  <c r="BA2501" i="3"/>
  <c r="AZ2501" i="3"/>
  <c r="AY2501" i="3"/>
  <c r="AV2501" i="3"/>
  <c r="BA2500" i="3"/>
  <c r="AZ2500" i="3"/>
  <c r="AY2500" i="3"/>
  <c r="AV2500" i="3"/>
  <c r="BA2499" i="3"/>
  <c r="AZ2499" i="3"/>
  <c r="AY2499" i="3"/>
  <c r="AV2499" i="3"/>
  <c r="BA2498" i="3"/>
  <c r="AZ2498" i="3"/>
  <c r="AY2498" i="3"/>
  <c r="AV2498" i="3"/>
  <c r="BA2497" i="3"/>
  <c r="AZ2497" i="3"/>
  <c r="AY2497" i="3"/>
  <c r="AV2497" i="3"/>
  <c r="BA2496" i="3"/>
  <c r="AZ2496" i="3"/>
  <c r="AY2496" i="3"/>
  <c r="AV2496" i="3"/>
  <c r="BA2495" i="3"/>
  <c r="AZ2495" i="3"/>
  <c r="AY2495" i="3"/>
  <c r="AV2495" i="3"/>
  <c r="BA2494" i="3"/>
  <c r="AZ2494" i="3"/>
  <c r="AY2494" i="3"/>
  <c r="AV2494" i="3"/>
  <c r="BA2493" i="3"/>
  <c r="AZ2493" i="3"/>
  <c r="AY2493" i="3"/>
  <c r="AV2493" i="3"/>
  <c r="BA2492" i="3"/>
  <c r="AZ2492" i="3"/>
  <c r="AY2492" i="3"/>
  <c r="AV2492" i="3"/>
  <c r="BA2491" i="3"/>
  <c r="AZ2491" i="3"/>
  <c r="AY2491" i="3"/>
  <c r="AV2491" i="3"/>
  <c r="BA2490" i="3"/>
  <c r="AZ2490" i="3"/>
  <c r="AY2490" i="3"/>
  <c r="AV2490" i="3"/>
  <c r="BA2489" i="3"/>
  <c r="AZ2489" i="3"/>
  <c r="AY2489" i="3"/>
  <c r="AV2489" i="3"/>
  <c r="BA2488" i="3"/>
  <c r="AZ2488" i="3"/>
  <c r="AY2488" i="3"/>
  <c r="AV2488" i="3"/>
  <c r="BA2487" i="3"/>
  <c r="AZ2487" i="3"/>
  <c r="AY2487" i="3"/>
  <c r="AV2487" i="3"/>
  <c r="BA2486" i="3"/>
  <c r="AZ2486" i="3"/>
  <c r="AY2486" i="3"/>
  <c r="AV2486" i="3"/>
  <c r="BA2485" i="3"/>
  <c r="AZ2485" i="3"/>
  <c r="AY2485" i="3"/>
  <c r="AV2485" i="3"/>
  <c r="BA2484" i="3"/>
  <c r="AZ2484" i="3"/>
  <c r="AY2484" i="3"/>
  <c r="AV2484" i="3"/>
  <c r="BA2483" i="3"/>
  <c r="AZ2483" i="3"/>
  <c r="AY2483" i="3"/>
  <c r="AV2483" i="3"/>
  <c r="BA2482" i="3"/>
  <c r="AZ2482" i="3"/>
  <c r="AY2482" i="3"/>
  <c r="AV2482" i="3"/>
  <c r="BA2481" i="3"/>
  <c r="AZ2481" i="3"/>
  <c r="AY2481" i="3"/>
  <c r="AV2481" i="3"/>
  <c r="BA2480" i="3"/>
  <c r="AZ2480" i="3"/>
  <c r="AY2480" i="3"/>
  <c r="AV2480" i="3"/>
  <c r="BA2479" i="3"/>
  <c r="AZ2479" i="3"/>
  <c r="AY2479" i="3"/>
  <c r="AV2479" i="3"/>
  <c r="BA2478" i="3"/>
  <c r="AZ2478" i="3"/>
  <c r="AY2478" i="3"/>
  <c r="AV2478" i="3"/>
  <c r="BA2477" i="3"/>
  <c r="AZ2477" i="3"/>
  <c r="AY2477" i="3"/>
  <c r="AV2477" i="3"/>
  <c r="BA2476" i="3"/>
  <c r="AZ2476" i="3"/>
  <c r="AY2476" i="3"/>
  <c r="AV2476" i="3"/>
  <c r="BA2475" i="3"/>
  <c r="AZ2475" i="3"/>
  <c r="AY2475" i="3"/>
  <c r="AV2475" i="3"/>
  <c r="BA2474" i="3"/>
  <c r="AZ2474" i="3"/>
  <c r="AY2474" i="3"/>
  <c r="AV2474" i="3"/>
  <c r="BA2473" i="3"/>
  <c r="AZ2473" i="3"/>
  <c r="AY2473" i="3"/>
  <c r="AV2473" i="3"/>
  <c r="BA2472" i="3"/>
  <c r="AZ2472" i="3"/>
  <c r="AY2472" i="3"/>
  <c r="AV2472" i="3"/>
  <c r="BA2471" i="3"/>
  <c r="AZ2471" i="3"/>
  <c r="AY2471" i="3"/>
  <c r="AV2471" i="3"/>
  <c r="BA2470" i="3"/>
  <c r="AZ2470" i="3"/>
  <c r="AY2470" i="3"/>
  <c r="AV2470" i="3"/>
  <c r="BA2469" i="3"/>
  <c r="AZ2469" i="3"/>
  <c r="AY2469" i="3"/>
  <c r="AV2469" i="3"/>
  <c r="BA2468" i="3"/>
  <c r="AZ2468" i="3"/>
  <c r="AY2468" i="3"/>
  <c r="AV2468" i="3"/>
  <c r="BA2467" i="3"/>
  <c r="AZ2467" i="3"/>
  <c r="AY2467" i="3"/>
  <c r="AV2467" i="3"/>
  <c r="BA2466" i="3"/>
  <c r="AZ2466" i="3"/>
  <c r="AY2466" i="3"/>
  <c r="AV2466" i="3"/>
  <c r="BA2465" i="3"/>
  <c r="AZ2465" i="3"/>
  <c r="AY2465" i="3"/>
  <c r="AV2465" i="3"/>
  <c r="BA2464" i="3"/>
  <c r="AZ2464" i="3"/>
  <c r="AY2464" i="3"/>
  <c r="AV2464" i="3"/>
  <c r="BA2463" i="3"/>
  <c r="AZ2463" i="3"/>
  <c r="AY2463" i="3"/>
  <c r="AV2463" i="3"/>
  <c r="BA2462" i="3"/>
  <c r="AZ2462" i="3"/>
  <c r="AY2462" i="3"/>
  <c r="AV2462" i="3"/>
  <c r="BA2461" i="3"/>
  <c r="AZ2461" i="3"/>
  <c r="AY2461" i="3"/>
  <c r="AV2461" i="3"/>
  <c r="BA2460" i="3"/>
  <c r="AZ2460" i="3"/>
  <c r="AY2460" i="3"/>
  <c r="AV2460" i="3"/>
  <c r="BA2459" i="3"/>
  <c r="AZ2459" i="3"/>
  <c r="AY2459" i="3"/>
  <c r="AV2459" i="3"/>
  <c r="BA2458" i="3"/>
  <c r="AZ2458" i="3"/>
  <c r="AY2458" i="3"/>
  <c r="AV2458" i="3"/>
  <c r="BA2457" i="3"/>
  <c r="AZ2457" i="3"/>
  <c r="AY2457" i="3"/>
  <c r="AV2457" i="3"/>
  <c r="BA2456" i="3"/>
  <c r="AZ2456" i="3"/>
  <c r="AY2456" i="3"/>
  <c r="AV2456" i="3"/>
  <c r="BA2455" i="3"/>
  <c r="AZ2455" i="3"/>
  <c r="AY2455" i="3"/>
  <c r="AV2455" i="3"/>
  <c r="BA2454" i="3"/>
  <c r="AZ2454" i="3"/>
  <c r="AY2454" i="3"/>
  <c r="AV2454" i="3"/>
  <c r="BA2453" i="3"/>
  <c r="AZ2453" i="3"/>
  <c r="AY2453" i="3"/>
  <c r="AV2453" i="3"/>
  <c r="BA2452" i="3"/>
  <c r="AZ2452" i="3"/>
  <c r="AY2452" i="3"/>
  <c r="AV2452" i="3"/>
  <c r="BA2451" i="3"/>
  <c r="AZ2451" i="3"/>
  <c r="AY2451" i="3"/>
  <c r="AV2451" i="3"/>
  <c r="BA2450" i="3"/>
  <c r="AZ2450" i="3"/>
  <c r="AY2450" i="3"/>
  <c r="AV2450" i="3"/>
  <c r="BA2449" i="3"/>
  <c r="AZ2449" i="3"/>
  <c r="AY2449" i="3"/>
  <c r="AV2449" i="3"/>
  <c r="BA2448" i="3"/>
  <c r="AZ2448" i="3"/>
  <c r="AY2448" i="3"/>
  <c r="AV2448" i="3"/>
  <c r="BA2447" i="3"/>
  <c r="AZ2447" i="3"/>
  <c r="AY2447" i="3"/>
  <c r="AV2447" i="3"/>
  <c r="BA2446" i="3"/>
  <c r="AZ2446" i="3"/>
  <c r="AY2446" i="3"/>
  <c r="AV2446" i="3"/>
  <c r="BA2445" i="3"/>
  <c r="AZ2445" i="3"/>
  <c r="AY2445" i="3"/>
  <c r="AV2445" i="3"/>
  <c r="BA2444" i="3"/>
  <c r="AZ2444" i="3"/>
  <c r="AY2444" i="3"/>
  <c r="AV2444" i="3"/>
  <c r="BA2443" i="3"/>
  <c r="AZ2443" i="3"/>
  <c r="AY2443" i="3"/>
  <c r="AV2443" i="3"/>
  <c r="BA2442" i="3"/>
  <c r="AZ2442" i="3"/>
  <c r="AY2442" i="3"/>
  <c r="AV2442" i="3"/>
  <c r="BA2441" i="3"/>
  <c r="AZ2441" i="3"/>
  <c r="AY2441" i="3"/>
  <c r="AV2441" i="3"/>
  <c r="BA2440" i="3"/>
  <c r="AZ2440" i="3"/>
  <c r="AY2440" i="3"/>
  <c r="AV2440" i="3"/>
  <c r="BA2439" i="3"/>
  <c r="AZ2439" i="3"/>
  <c r="AY2439" i="3"/>
  <c r="AV2439" i="3"/>
  <c r="BA2438" i="3"/>
  <c r="AZ2438" i="3"/>
  <c r="AY2438" i="3"/>
  <c r="AV2438" i="3"/>
  <c r="BA2437" i="3"/>
  <c r="AZ2437" i="3"/>
  <c r="AY2437" i="3"/>
  <c r="AV2437" i="3"/>
  <c r="BA2436" i="3"/>
  <c r="AZ2436" i="3"/>
  <c r="AY2436" i="3"/>
  <c r="AV2436" i="3"/>
  <c r="BA2435" i="3"/>
  <c r="AZ2435" i="3"/>
  <c r="AY2435" i="3"/>
  <c r="AV2435" i="3"/>
  <c r="BA2434" i="3"/>
  <c r="AZ2434" i="3"/>
  <c r="AY2434" i="3"/>
  <c r="AV2434" i="3"/>
  <c r="BA2433" i="3"/>
  <c r="AZ2433" i="3"/>
  <c r="AY2433" i="3"/>
  <c r="AV2433" i="3"/>
  <c r="BA2432" i="3"/>
  <c r="AZ2432" i="3"/>
  <c r="AY2432" i="3"/>
  <c r="AV2432" i="3"/>
  <c r="BA2431" i="3"/>
  <c r="AZ2431" i="3"/>
  <c r="AY2431" i="3"/>
  <c r="AV2431" i="3"/>
  <c r="BA2430" i="3"/>
  <c r="AZ2430" i="3"/>
  <c r="AY2430" i="3"/>
  <c r="AV2430" i="3"/>
  <c r="BA2429" i="3"/>
  <c r="AZ2429" i="3"/>
  <c r="AY2429" i="3"/>
  <c r="AV2429" i="3"/>
  <c r="BA2428" i="3"/>
  <c r="AZ2428" i="3"/>
  <c r="AY2428" i="3"/>
  <c r="AV2428" i="3"/>
  <c r="BA2427" i="3"/>
  <c r="AZ2427" i="3"/>
  <c r="AY2427" i="3"/>
  <c r="AV2427" i="3"/>
  <c r="BA2426" i="3"/>
  <c r="AZ2426" i="3"/>
  <c r="AY2426" i="3"/>
  <c r="AV2426" i="3"/>
  <c r="BA2425" i="3"/>
  <c r="AZ2425" i="3"/>
  <c r="AY2425" i="3"/>
  <c r="AV2425" i="3"/>
  <c r="BA2424" i="3"/>
  <c r="AZ2424" i="3"/>
  <c r="AY2424" i="3"/>
  <c r="AV2424" i="3"/>
  <c r="BA2423" i="3"/>
  <c r="AZ2423" i="3"/>
  <c r="AY2423" i="3"/>
  <c r="AV2423" i="3"/>
  <c r="BA2422" i="3"/>
  <c r="AZ2422" i="3"/>
  <c r="AY2422" i="3"/>
  <c r="AV2422" i="3"/>
  <c r="BA2421" i="3"/>
  <c r="AZ2421" i="3"/>
  <c r="AY2421" i="3"/>
  <c r="AV2421" i="3"/>
  <c r="BA2420" i="3"/>
  <c r="AZ2420" i="3"/>
  <c r="AY2420" i="3"/>
  <c r="AV2420" i="3"/>
  <c r="BA2419" i="3"/>
  <c r="AZ2419" i="3"/>
  <c r="AY2419" i="3"/>
  <c r="AV2419" i="3"/>
  <c r="BA2418" i="3"/>
  <c r="AZ2418" i="3"/>
  <c r="AY2418" i="3"/>
  <c r="AV2418" i="3"/>
  <c r="BA2417" i="3"/>
  <c r="AZ2417" i="3"/>
  <c r="AY2417" i="3"/>
  <c r="AV2417" i="3"/>
  <c r="BA2416" i="3"/>
  <c r="AZ2416" i="3"/>
  <c r="AY2416" i="3"/>
  <c r="AV2416" i="3"/>
  <c r="BA2415" i="3"/>
  <c r="AZ2415" i="3"/>
  <c r="AY2415" i="3"/>
  <c r="AV2415" i="3"/>
  <c r="BA2414" i="3"/>
  <c r="AZ2414" i="3"/>
  <c r="AY2414" i="3"/>
  <c r="AV2414" i="3"/>
  <c r="BA2413" i="3"/>
  <c r="AZ2413" i="3"/>
  <c r="AY2413" i="3"/>
  <c r="AV2413" i="3"/>
  <c r="BA2412" i="3"/>
  <c r="AZ2412" i="3"/>
  <c r="AY2412" i="3"/>
  <c r="AV2412" i="3"/>
  <c r="BA2411" i="3"/>
  <c r="AZ2411" i="3"/>
  <c r="AY2411" i="3"/>
  <c r="AV2411" i="3"/>
  <c r="BA2410" i="3"/>
  <c r="AZ2410" i="3"/>
  <c r="AY2410" i="3"/>
  <c r="AV2410" i="3"/>
  <c r="BA2409" i="3"/>
  <c r="AZ2409" i="3"/>
  <c r="AY2409" i="3"/>
  <c r="AV2409" i="3"/>
  <c r="BA2408" i="3"/>
  <c r="AZ2408" i="3"/>
  <c r="AY2408" i="3"/>
  <c r="AV2408" i="3"/>
  <c r="BA2407" i="3"/>
  <c r="AZ2407" i="3"/>
  <c r="AY2407" i="3"/>
  <c r="AV2407" i="3"/>
  <c r="BA2406" i="3"/>
  <c r="AZ2406" i="3"/>
  <c r="AY2406" i="3"/>
  <c r="AV2406" i="3"/>
  <c r="BA2405" i="3"/>
  <c r="AZ2405" i="3"/>
  <c r="AY2405" i="3"/>
  <c r="AV2405" i="3"/>
  <c r="BA2404" i="3"/>
  <c r="AZ2404" i="3"/>
  <c r="AY2404" i="3"/>
  <c r="AV2404" i="3"/>
  <c r="BA2403" i="3"/>
  <c r="AZ2403" i="3"/>
  <c r="AY2403" i="3"/>
  <c r="AV2403" i="3"/>
  <c r="BA2402" i="3"/>
  <c r="AZ2402" i="3"/>
  <c r="AY2402" i="3"/>
  <c r="AV2402" i="3"/>
  <c r="BA2401" i="3"/>
  <c r="AZ2401" i="3"/>
  <c r="AY2401" i="3"/>
  <c r="AV2401" i="3"/>
  <c r="BA2400" i="3"/>
  <c r="AZ2400" i="3"/>
  <c r="AY2400" i="3"/>
  <c r="AV2400" i="3"/>
  <c r="BA2399" i="3"/>
  <c r="AZ2399" i="3"/>
  <c r="AY2399" i="3"/>
  <c r="AV2399" i="3"/>
  <c r="BA2398" i="3"/>
  <c r="AZ2398" i="3"/>
  <c r="AY2398" i="3"/>
  <c r="AV2398" i="3"/>
  <c r="BA2397" i="3"/>
  <c r="AZ2397" i="3"/>
  <c r="AY2397" i="3"/>
  <c r="AV2397" i="3"/>
  <c r="BA2396" i="3"/>
  <c r="AZ2396" i="3"/>
  <c r="AY2396" i="3"/>
  <c r="AV2396" i="3"/>
  <c r="BA2395" i="3"/>
  <c r="AZ2395" i="3"/>
  <c r="AY2395" i="3"/>
  <c r="AV2395" i="3"/>
  <c r="BA2394" i="3"/>
  <c r="AZ2394" i="3"/>
  <c r="AY2394" i="3"/>
  <c r="AV2394" i="3"/>
  <c r="BA2393" i="3"/>
  <c r="AZ2393" i="3"/>
  <c r="AY2393" i="3"/>
  <c r="AV2393" i="3"/>
  <c r="BA2392" i="3"/>
  <c r="AZ2392" i="3"/>
  <c r="AY2392" i="3"/>
  <c r="AV2392" i="3"/>
  <c r="BA2391" i="3"/>
  <c r="AZ2391" i="3"/>
  <c r="AY2391" i="3"/>
  <c r="AV2391" i="3"/>
  <c r="BA2390" i="3"/>
  <c r="AZ2390" i="3"/>
  <c r="AY2390" i="3"/>
  <c r="AV2390" i="3"/>
  <c r="BA2389" i="3"/>
  <c r="AZ2389" i="3"/>
  <c r="AY2389" i="3"/>
  <c r="AV2389" i="3"/>
  <c r="BA2388" i="3"/>
  <c r="AZ2388" i="3"/>
  <c r="AY2388" i="3"/>
  <c r="AV2388" i="3"/>
  <c r="BA2387" i="3"/>
  <c r="AZ2387" i="3"/>
  <c r="AY2387" i="3"/>
  <c r="AV2387" i="3"/>
  <c r="BA2386" i="3"/>
  <c r="AZ2386" i="3"/>
  <c r="AY2386" i="3"/>
  <c r="AV2386" i="3"/>
  <c r="BA2385" i="3"/>
  <c r="AZ2385" i="3"/>
  <c r="AY2385" i="3"/>
  <c r="AV2385" i="3"/>
  <c r="BA2384" i="3"/>
  <c r="AZ2384" i="3"/>
  <c r="AY2384" i="3"/>
  <c r="AV2384" i="3"/>
  <c r="BA2383" i="3"/>
  <c r="AZ2383" i="3"/>
  <c r="AY2383" i="3"/>
  <c r="AV2383" i="3"/>
  <c r="BA2382" i="3"/>
  <c r="AZ2382" i="3"/>
  <c r="AY2382" i="3"/>
  <c r="AV2382" i="3"/>
  <c r="BA2381" i="3"/>
  <c r="AZ2381" i="3"/>
  <c r="AY2381" i="3"/>
  <c r="AV2381" i="3"/>
  <c r="BA2380" i="3"/>
  <c r="AZ2380" i="3"/>
  <c r="AY2380" i="3"/>
  <c r="AV2380" i="3"/>
  <c r="BA2379" i="3"/>
  <c r="AZ2379" i="3"/>
  <c r="AY2379" i="3"/>
  <c r="AV2379" i="3"/>
  <c r="BA2378" i="3"/>
  <c r="AZ2378" i="3"/>
  <c r="AY2378" i="3"/>
  <c r="AV2378" i="3"/>
  <c r="BA2377" i="3"/>
  <c r="AZ2377" i="3"/>
  <c r="AY2377" i="3"/>
  <c r="AV2377" i="3"/>
  <c r="BA2376" i="3"/>
  <c r="AZ2376" i="3"/>
  <c r="AY2376" i="3"/>
  <c r="AV2376" i="3"/>
  <c r="BA2375" i="3"/>
  <c r="AZ2375" i="3"/>
  <c r="AY2375" i="3"/>
  <c r="AV2375" i="3"/>
  <c r="BA2374" i="3"/>
  <c r="AZ2374" i="3"/>
  <c r="AY2374" i="3"/>
  <c r="AV2374" i="3"/>
  <c r="BA2373" i="3"/>
  <c r="AZ2373" i="3"/>
  <c r="AY2373" i="3"/>
  <c r="AV2373" i="3"/>
  <c r="BA2372" i="3"/>
  <c r="AZ2372" i="3"/>
  <c r="AY2372" i="3"/>
  <c r="BA2371" i="3"/>
  <c r="AZ2371" i="3"/>
  <c r="AY2371" i="3"/>
  <c r="BA2370" i="3"/>
  <c r="AZ2370" i="3"/>
  <c r="AY2370" i="3"/>
  <c r="BA2369" i="3"/>
  <c r="AZ2369" i="3"/>
  <c r="AY2369" i="3"/>
  <c r="BA2368" i="3"/>
  <c r="AZ2368" i="3"/>
  <c r="AY2368" i="3"/>
  <c r="BA2367" i="3"/>
  <c r="AZ2367" i="3"/>
  <c r="AY2367" i="3"/>
  <c r="BA2366" i="3"/>
  <c r="AZ2366" i="3"/>
  <c r="AY2366" i="3"/>
  <c r="BA2365" i="3"/>
  <c r="AZ2365" i="3"/>
  <c r="AY2365" i="3"/>
  <c r="BA2364" i="3"/>
  <c r="AZ2364" i="3"/>
  <c r="AY2364" i="3"/>
  <c r="BA2363" i="3"/>
  <c r="AZ2363" i="3"/>
  <c r="AY2363" i="3"/>
  <c r="BA2362" i="3"/>
  <c r="AZ2362" i="3"/>
  <c r="AY2362" i="3"/>
  <c r="BA2361" i="3"/>
  <c r="AZ2361" i="3"/>
  <c r="AY2361" i="3"/>
  <c r="BA2360" i="3"/>
  <c r="AZ2360" i="3"/>
  <c r="AY2360" i="3"/>
  <c r="BA2359" i="3"/>
  <c r="AZ2359" i="3"/>
  <c r="AY2359" i="3"/>
  <c r="BA2358" i="3"/>
  <c r="AZ2358" i="3"/>
  <c r="AY2358" i="3"/>
  <c r="BA2357" i="3"/>
  <c r="AZ2357" i="3"/>
  <c r="AY2357" i="3"/>
  <c r="BA2356" i="3"/>
  <c r="AZ2356" i="3"/>
  <c r="AY2356" i="3"/>
  <c r="BA2355" i="3"/>
  <c r="AZ2355" i="3"/>
  <c r="AY2355" i="3"/>
  <c r="BA2354" i="3"/>
  <c r="AZ2354" i="3"/>
  <c r="AY2354" i="3"/>
  <c r="BA2353" i="3"/>
  <c r="AZ2353" i="3"/>
  <c r="AY2353" i="3"/>
  <c r="BA2352" i="3"/>
  <c r="AZ2352" i="3"/>
  <c r="AY2352" i="3"/>
  <c r="BA2351" i="3"/>
  <c r="AZ2351" i="3"/>
  <c r="AY2351" i="3"/>
  <c r="BA2350" i="3"/>
  <c r="AZ2350" i="3"/>
  <c r="AY2350" i="3"/>
  <c r="BA2349" i="3"/>
  <c r="AZ2349" i="3"/>
  <c r="AY2349" i="3"/>
  <c r="BA2348" i="3"/>
  <c r="AZ2348" i="3"/>
  <c r="AY2348" i="3"/>
  <c r="BA2347" i="3"/>
  <c r="AZ2347" i="3"/>
  <c r="AY2347" i="3"/>
  <c r="BA2346" i="3"/>
  <c r="AZ2346" i="3"/>
  <c r="AY2346" i="3"/>
  <c r="BA2345" i="3"/>
  <c r="AZ2345" i="3"/>
  <c r="AY2345" i="3"/>
  <c r="BA2344" i="3"/>
  <c r="AZ2344" i="3"/>
  <c r="AY2344" i="3"/>
  <c r="BA2343" i="3"/>
  <c r="AZ2343" i="3"/>
  <c r="AY2343" i="3"/>
  <c r="BA2342" i="3"/>
  <c r="AZ2342" i="3"/>
  <c r="AY2342" i="3"/>
  <c r="BA2341" i="3"/>
  <c r="AZ2341" i="3"/>
  <c r="AY2341" i="3"/>
  <c r="BA2340" i="3"/>
  <c r="AZ2340" i="3"/>
  <c r="AY2340" i="3"/>
  <c r="BA2339" i="3"/>
  <c r="AZ2339" i="3"/>
  <c r="AY2339" i="3"/>
  <c r="BA2338" i="3"/>
  <c r="AZ2338" i="3"/>
  <c r="AY2338" i="3"/>
  <c r="BA2337" i="3"/>
  <c r="AZ2337" i="3"/>
  <c r="AY2337" i="3"/>
  <c r="BA2336" i="3"/>
  <c r="AZ2336" i="3"/>
  <c r="AY2336" i="3"/>
  <c r="BA2335" i="3"/>
  <c r="AZ2335" i="3"/>
  <c r="AY2335" i="3"/>
  <c r="BA2334" i="3"/>
  <c r="AZ2334" i="3"/>
  <c r="AY2334" i="3"/>
  <c r="BA2333" i="3"/>
  <c r="AZ2333" i="3"/>
  <c r="AY2333" i="3"/>
  <c r="BA2332" i="3"/>
  <c r="AZ2332" i="3"/>
  <c r="AY2332" i="3"/>
  <c r="BA2331" i="3"/>
  <c r="AZ2331" i="3"/>
  <c r="AY2331" i="3"/>
  <c r="BA2330" i="3"/>
  <c r="AZ2330" i="3"/>
  <c r="AY2330" i="3"/>
  <c r="BA2329" i="3"/>
  <c r="AZ2329" i="3"/>
  <c r="AY2329" i="3"/>
  <c r="BA2328" i="3"/>
  <c r="AZ2328" i="3"/>
  <c r="AY2328" i="3"/>
  <c r="BA2327" i="3"/>
  <c r="AZ2327" i="3"/>
  <c r="AY2327" i="3"/>
  <c r="BA2326" i="3"/>
  <c r="AZ2326" i="3"/>
  <c r="AY2326" i="3"/>
  <c r="BA2325" i="3"/>
  <c r="AZ2325" i="3"/>
  <c r="AY2325" i="3"/>
  <c r="BA2324" i="3"/>
  <c r="AZ2324" i="3"/>
  <c r="AY2324" i="3"/>
  <c r="BA2323" i="3"/>
  <c r="AZ2323" i="3"/>
  <c r="AY2323" i="3"/>
  <c r="BA2322" i="3"/>
  <c r="AZ2322" i="3"/>
  <c r="AY2322" i="3"/>
  <c r="BA2321" i="3"/>
  <c r="AZ2321" i="3"/>
  <c r="AY2321" i="3"/>
  <c r="BA2320" i="3"/>
  <c r="AZ2320" i="3"/>
  <c r="AY2320" i="3"/>
  <c r="BA2319" i="3"/>
  <c r="AZ2319" i="3"/>
  <c r="AY2319" i="3"/>
  <c r="BA2318" i="3"/>
  <c r="AZ2318" i="3"/>
  <c r="AY2318" i="3"/>
  <c r="BA2317" i="3"/>
  <c r="AZ2317" i="3"/>
  <c r="AY2317" i="3"/>
  <c r="BA2316" i="3"/>
  <c r="AZ2316" i="3"/>
  <c r="AY2316" i="3"/>
  <c r="BA2315" i="3"/>
  <c r="AZ2315" i="3"/>
  <c r="AY2315" i="3"/>
  <c r="BA2314" i="3"/>
  <c r="AZ2314" i="3"/>
  <c r="AY2314" i="3"/>
  <c r="BA2313" i="3"/>
  <c r="AZ2313" i="3"/>
  <c r="AY2313" i="3"/>
  <c r="BA2312" i="3"/>
  <c r="AZ2312" i="3"/>
  <c r="AY2312" i="3"/>
  <c r="BA2311" i="3"/>
  <c r="AZ2311" i="3"/>
  <c r="AY2311" i="3"/>
  <c r="BA2310" i="3"/>
  <c r="AZ2310" i="3"/>
  <c r="AY2310" i="3"/>
  <c r="BA2309" i="3"/>
  <c r="AZ2309" i="3"/>
  <c r="AY2309" i="3"/>
  <c r="BA2308" i="3"/>
  <c r="AZ2308" i="3"/>
  <c r="AY2308" i="3"/>
  <c r="BA2307" i="3"/>
  <c r="AZ2307" i="3"/>
  <c r="AY2307" i="3"/>
  <c r="BA2306" i="3"/>
  <c r="AZ2306" i="3"/>
  <c r="AY2306" i="3"/>
  <c r="BA2305" i="3"/>
  <c r="AZ2305" i="3"/>
  <c r="AY2305" i="3"/>
  <c r="BA2304" i="3"/>
  <c r="AZ2304" i="3"/>
  <c r="AY2304" i="3"/>
  <c r="BA2303" i="3"/>
  <c r="AZ2303" i="3"/>
  <c r="AY2303" i="3"/>
  <c r="BA2302" i="3"/>
  <c r="AZ2302" i="3"/>
  <c r="AY2302" i="3"/>
  <c r="BA2301" i="3"/>
  <c r="AZ2301" i="3"/>
  <c r="AY2301" i="3"/>
  <c r="BA2300" i="3"/>
  <c r="AZ2300" i="3"/>
  <c r="AY2300" i="3"/>
  <c r="BA2299" i="3"/>
  <c r="AZ2299" i="3"/>
  <c r="AY2299" i="3"/>
  <c r="BA2298" i="3"/>
  <c r="AZ2298" i="3"/>
  <c r="AY2298" i="3"/>
  <c r="BA2297" i="3"/>
  <c r="AZ2297" i="3"/>
  <c r="AY2297" i="3"/>
  <c r="BA2296" i="3"/>
  <c r="AZ2296" i="3"/>
  <c r="AY2296" i="3"/>
  <c r="BA2295" i="3"/>
  <c r="AZ2295" i="3"/>
  <c r="AY2295" i="3"/>
  <c r="BA2294" i="3"/>
  <c r="AZ2294" i="3"/>
  <c r="AY2294" i="3"/>
  <c r="BA2293" i="3"/>
  <c r="AZ2293" i="3"/>
  <c r="AY2293" i="3"/>
  <c r="BA2292" i="3"/>
  <c r="AZ2292" i="3"/>
  <c r="AY2292" i="3"/>
  <c r="BA2291" i="3"/>
  <c r="AZ2291" i="3"/>
  <c r="AY2291" i="3"/>
  <c r="BA2290" i="3"/>
  <c r="AZ2290" i="3"/>
  <c r="AY2290" i="3"/>
  <c r="BA2289" i="3"/>
  <c r="AZ2289" i="3"/>
  <c r="AY2289" i="3"/>
  <c r="BA2288" i="3"/>
  <c r="AZ2288" i="3"/>
  <c r="AY2288" i="3"/>
  <c r="BA2287" i="3"/>
  <c r="AZ2287" i="3"/>
  <c r="AY2287" i="3"/>
  <c r="BA2286" i="3"/>
  <c r="AZ2286" i="3"/>
  <c r="AY2286" i="3"/>
  <c r="BA2285" i="3"/>
  <c r="AZ2285" i="3"/>
  <c r="AY2285" i="3"/>
  <c r="BA2284" i="3"/>
  <c r="AZ2284" i="3"/>
  <c r="AY2284" i="3"/>
  <c r="BA2283" i="3"/>
  <c r="AZ2283" i="3"/>
  <c r="AY2283" i="3"/>
  <c r="BA2282" i="3"/>
  <c r="AZ2282" i="3"/>
  <c r="AY2282" i="3"/>
  <c r="BA2281" i="3"/>
  <c r="AZ2281" i="3"/>
  <c r="AY2281" i="3"/>
  <c r="BA2280" i="3"/>
  <c r="AZ2280" i="3"/>
  <c r="AY2280" i="3"/>
  <c r="BA2279" i="3"/>
  <c r="AZ2279" i="3"/>
  <c r="AY2279" i="3"/>
  <c r="BA2278" i="3"/>
  <c r="AZ2278" i="3"/>
  <c r="AY2278" i="3"/>
  <c r="BA2277" i="3"/>
  <c r="AZ2277" i="3"/>
  <c r="AY2277" i="3"/>
  <c r="BA2276" i="3"/>
  <c r="AZ2276" i="3"/>
  <c r="AY2276" i="3"/>
  <c r="BA2275" i="3"/>
  <c r="AZ2275" i="3"/>
  <c r="AY2275" i="3"/>
  <c r="BA2274" i="3"/>
  <c r="AZ2274" i="3"/>
  <c r="AY2274" i="3"/>
  <c r="BA2273" i="3"/>
  <c r="AZ2273" i="3"/>
  <c r="AY2273" i="3"/>
  <c r="BA2272" i="3"/>
  <c r="AZ2272" i="3"/>
  <c r="AY2272" i="3"/>
  <c r="BA2271" i="3"/>
  <c r="AZ2271" i="3"/>
  <c r="AY2271" i="3"/>
  <c r="BA2270" i="3"/>
  <c r="AZ2270" i="3"/>
  <c r="AY2270" i="3"/>
  <c r="BA2269" i="3"/>
  <c r="AZ2269" i="3"/>
  <c r="AY2269" i="3"/>
  <c r="BA2268" i="3"/>
  <c r="AZ2268" i="3"/>
  <c r="AY2268" i="3"/>
  <c r="BA2267" i="3"/>
  <c r="AZ2267" i="3"/>
  <c r="AY2267" i="3"/>
  <c r="BA2266" i="3"/>
  <c r="AZ2266" i="3"/>
  <c r="AY2266" i="3"/>
  <c r="BA2265" i="3"/>
  <c r="AZ2265" i="3"/>
  <c r="AY2265" i="3"/>
  <c r="BA2264" i="3"/>
  <c r="AZ2264" i="3"/>
  <c r="AY2264" i="3"/>
  <c r="BA2263" i="3"/>
  <c r="AZ2263" i="3"/>
  <c r="AY2263" i="3"/>
  <c r="BA2262" i="3"/>
  <c r="AZ2262" i="3"/>
  <c r="AY2262" i="3"/>
  <c r="BA2261" i="3"/>
  <c r="AZ2261" i="3"/>
  <c r="AY2261" i="3"/>
  <c r="BA2260" i="3"/>
  <c r="AZ2260" i="3"/>
  <c r="AY2260" i="3"/>
  <c r="BA2259" i="3"/>
  <c r="AZ2259" i="3"/>
  <c r="AY2259" i="3"/>
  <c r="BA2258" i="3"/>
  <c r="AZ2258" i="3"/>
  <c r="AY2258" i="3"/>
  <c r="BA2257" i="3"/>
  <c r="AZ2257" i="3"/>
  <c r="AY2257" i="3"/>
  <c r="BA2256" i="3"/>
  <c r="AZ2256" i="3"/>
  <c r="AY2256" i="3"/>
  <c r="BA2255" i="3"/>
  <c r="AZ2255" i="3"/>
  <c r="AY2255" i="3"/>
  <c r="BA2254" i="3"/>
  <c r="AZ2254" i="3"/>
  <c r="AY2254" i="3"/>
  <c r="BA2253" i="3"/>
  <c r="AZ2253" i="3"/>
  <c r="AY2253" i="3"/>
  <c r="BA2252" i="3"/>
  <c r="AZ2252" i="3"/>
  <c r="AY2252" i="3"/>
  <c r="BA2251" i="3"/>
  <c r="AZ2251" i="3"/>
  <c r="AY2251" i="3"/>
  <c r="BA2250" i="3"/>
  <c r="AZ2250" i="3"/>
  <c r="AY2250" i="3"/>
  <c r="BA2249" i="3"/>
  <c r="AZ2249" i="3"/>
  <c r="AY2249" i="3"/>
  <c r="BA2248" i="3"/>
  <c r="AZ2248" i="3"/>
  <c r="AY2248" i="3"/>
  <c r="BA2247" i="3"/>
  <c r="AZ2247" i="3"/>
  <c r="AY2247" i="3"/>
  <c r="BA2246" i="3"/>
  <c r="AZ2246" i="3"/>
  <c r="AY2246" i="3"/>
  <c r="BA2245" i="3"/>
  <c r="AZ2245" i="3"/>
  <c r="AY2245" i="3"/>
  <c r="BA2244" i="3"/>
  <c r="AZ2244" i="3"/>
  <c r="AY2244" i="3"/>
  <c r="BA2243" i="3"/>
  <c r="AZ2243" i="3"/>
  <c r="AY2243" i="3"/>
  <c r="BA2242" i="3"/>
  <c r="AZ2242" i="3"/>
  <c r="AY2242" i="3"/>
  <c r="BA2241" i="3"/>
  <c r="AZ2241" i="3"/>
  <c r="AY2241" i="3"/>
  <c r="BA2240" i="3"/>
  <c r="AZ2240" i="3"/>
  <c r="AY2240" i="3"/>
  <c r="BA2239" i="3"/>
  <c r="AZ2239" i="3"/>
  <c r="AY2239" i="3"/>
  <c r="BA2238" i="3"/>
  <c r="AZ2238" i="3"/>
  <c r="AY2238" i="3"/>
  <c r="BA2237" i="3"/>
  <c r="AZ2237" i="3"/>
  <c r="AY2237" i="3"/>
  <c r="BA2236" i="3"/>
  <c r="AZ2236" i="3"/>
  <c r="AY2236" i="3"/>
  <c r="BA2235" i="3"/>
  <c r="AZ2235" i="3"/>
  <c r="AY2235" i="3"/>
  <c r="BA2234" i="3"/>
  <c r="AZ2234" i="3"/>
  <c r="AY2234" i="3"/>
  <c r="BA2233" i="3"/>
  <c r="AZ2233" i="3"/>
  <c r="AY2233" i="3"/>
  <c r="BA2232" i="3"/>
  <c r="AZ2232" i="3"/>
  <c r="AY2232" i="3"/>
  <c r="BA2231" i="3"/>
  <c r="AZ2231" i="3"/>
  <c r="AY2231" i="3"/>
  <c r="BA2230" i="3"/>
  <c r="AZ2230" i="3"/>
  <c r="AY2230" i="3"/>
  <c r="BA2229" i="3"/>
  <c r="AZ2229" i="3"/>
  <c r="AY2229" i="3"/>
  <c r="BA2228" i="3"/>
  <c r="AZ2228" i="3"/>
  <c r="AY2228" i="3"/>
  <c r="BA2227" i="3"/>
  <c r="AZ2227" i="3"/>
  <c r="AY2227" i="3"/>
  <c r="BA2226" i="3"/>
  <c r="AZ2226" i="3"/>
  <c r="AY2226" i="3"/>
  <c r="BA2225" i="3"/>
  <c r="AZ2225" i="3"/>
  <c r="AY2225" i="3"/>
  <c r="BA2224" i="3"/>
  <c r="AZ2224" i="3"/>
  <c r="AY2224" i="3"/>
  <c r="BA2223" i="3"/>
  <c r="AZ2223" i="3"/>
  <c r="AY2223" i="3"/>
  <c r="BA2222" i="3"/>
  <c r="AZ2222" i="3"/>
  <c r="AY2222" i="3"/>
  <c r="BA2221" i="3"/>
  <c r="AZ2221" i="3"/>
  <c r="AY2221" i="3"/>
  <c r="BA2220" i="3"/>
  <c r="AZ2220" i="3"/>
  <c r="AY2220" i="3"/>
  <c r="BA2219" i="3"/>
  <c r="AZ2219" i="3"/>
  <c r="AY2219" i="3"/>
  <c r="BA2218" i="3"/>
  <c r="AZ2218" i="3"/>
  <c r="AY2218" i="3"/>
  <c r="BA2217" i="3"/>
  <c r="AZ2217" i="3"/>
  <c r="AY2217" i="3"/>
  <c r="BA2216" i="3"/>
  <c r="AZ2216" i="3"/>
  <c r="AY2216" i="3"/>
  <c r="BA2215" i="3"/>
  <c r="AZ2215" i="3"/>
  <c r="AY2215" i="3"/>
  <c r="BA2214" i="3"/>
  <c r="AZ2214" i="3"/>
  <c r="AY2214" i="3"/>
  <c r="BA2213" i="3"/>
  <c r="AZ2213" i="3"/>
  <c r="AY2213" i="3"/>
  <c r="BA2212" i="3"/>
  <c r="AZ2212" i="3"/>
  <c r="AY2212" i="3"/>
  <c r="BA2211" i="3"/>
  <c r="AZ2211" i="3"/>
  <c r="AY2211" i="3"/>
  <c r="BA2210" i="3"/>
  <c r="AZ2210" i="3"/>
  <c r="AY2210" i="3"/>
  <c r="BA2209" i="3"/>
  <c r="AZ2209" i="3"/>
  <c r="AY2209" i="3"/>
  <c r="BA2208" i="3"/>
  <c r="AZ2208" i="3"/>
  <c r="AY2208" i="3"/>
  <c r="BA2207" i="3"/>
  <c r="AZ2207" i="3"/>
  <c r="AY2207" i="3"/>
  <c r="BA2206" i="3"/>
  <c r="AZ2206" i="3"/>
  <c r="AY2206" i="3"/>
  <c r="BA2205" i="3"/>
  <c r="AZ2205" i="3"/>
  <c r="AY2205" i="3"/>
  <c r="BA2204" i="3"/>
  <c r="AZ2204" i="3"/>
  <c r="AY2204" i="3"/>
  <c r="BA2203" i="3"/>
  <c r="AZ2203" i="3"/>
  <c r="AY2203" i="3"/>
  <c r="BA2202" i="3"/>
  <c r="AZ2202" i="3"/>
  <c r="AY2202" i="3"/>
  <c r="BA2201" i="3"/>
  <c r="AZ2201" i="3"/>
  <c r="AY2201" i="3"/>
  <c r="BA2200" i="3"/>
  <c r="AZ2200" i="3"/>
  <c r="AY2200" i="3"/>
  <c r="BA2199" i="3"/>
  <c r="AZ2199" i="3"/>
  <c r="AY2199" i="3"/>
  <c r="BA2198" i="3"/>
  <c r="AZ2198" i="3"/>
  <c r="AY2198" i="3"/>
  <c r="BA2197" i="3"/>
  <c r="AZ2197" i="3"/>
  <c r="AY2197" i="3"/>
  <c r="BA2196" i="3"/>
  <c r="AZ2196" i="3"/>
  <c r="AY2196" i="3"/>
  <c r="BA2195" i="3"/>
  <c r="AZ2195" i="3"/>
  <c r="AY2195" i="3"/>
  <c r="BA2194" i="3"/>
  <c r="AZ2194" i="3"/>
  <c r="AY2194" i="3"/>
  <c r="BA2193" i="3"/>
  <c r="AZ2193" i="3"/>
  <c r="AY2193" i="3"/>
  <c r="BA2192" i="3"/>
  <c r="AZ2192" i="3"/>
  <c r="AY2192" i="3"/>
  <c r="BA2191" i="3"/>
  <c r="AZ2191" i="3"/>
  <c r="AY2191" i="3"/>
  <c r="BA2190" i="3"/>
  <c r="AZ2190" i="3"/>
  <c r="AY2190" i="3"/>
  <c r="BA2189" i="3"/>
  <c r="AZ2189" i="3"/>
  <c r="AY2189" i="3"/>
  <c r="BA2188" i="3"/>
  <c r="AZ2188" i="3"/>
  <c r="AY2188" i="3"/>
  <c r="BA2187" i="3"/>
  <c r="AZ2187" i="3"/>
  <c r="AY2187" i="3"/>
  <c r="BA2186" i="3"/>
  <c r="AZ2186" i="3"/>
  <c r="AY2186" i="3"/>
  <c r="BA2185" i="3"/>
  <c r="AZ2185" i="3"/>
  <c r="AY2185" i="3"/>
  <c r="BA2184" i="3"/>
  <c r="AZ2184" i="3"/>
  <c r="AY2184" i="3"/>
  <c r="BA2183" i="3"/>
  <c r="AZ2183" i="3"/>
  <c r="AY2183" i="3"/>
  <c r="BA2182" i="3"/>
  <c r="AZ2182" i="3"/>
  <c r="AY2182" i="3"/>
  <c r="BA2181" i="3"/>
  <c r="AZ2181" i="3"/>
  <c r="AY2181" i="3"/>
  <c r="BA2180" i="3"/>
  <c r="AZ2180" i="3"/>
  <c r="AY2180" i="3"/>
  <c r="BA2179" i="3"/>
  <c r="AZ2179" i="3"/>
  <c r="AY2179" i="3"/>
  <c r="BA2178" i="3"/>
  <c r="AZ2178" i="3"/>
  <c r="AY2178" i="3"/>
  <c r="BA2177" i="3"/>
  <c r="AZ2177" i="3"/>
  <c r="AY2177" i="3"/>
  <c r="BA2176" i="3"/>
  <c r="AZ2176" i="3"/>
  <c r="AY2176" i="3"/>
  <c r="BA2175" i="3"/>
  <c r="AZ2175" i="3"/>
  <c r="AY2175" i="3"/>
  <c r="BA2174" i="3"/>
  <c r="AZ2174" i="3"/>
  <c r="AY2174" i="3"/>
  <c r="BA2173" i="3"/>
  <c r="AZ2173" i="3"/>
  <c r="AY2173" i="3"/>
  <c r="BA2172" i="3"/>
  <c r="AZ2172" i="3"/>
  <c r="AY2172" i="3"/>
  <c r="BA2171" i="3"/>
  <c r="AZ2171" i="3"/>
  <c r="AY2171" i="3"/>
  <c r="BA2170" i="3"/>
  <c r="AZ2170" i="3"/>
  <c r="AY2170" i="3"/>
  <c r="BA2169" i="3"/>
  <c r="AZ2169" i="3"/>
  <c r="AY2169" i="3"/>
  <c r="BA2168" i="3"/>
  <c r="AZ2168" i="3"/>
  <c r="AY2168" i="3"/>
  <c r="BA2167" i="3"/>
  <c r="AZ2167" i="3"/>
  <c r="AY2167" i="3"/>
  <c r="BA2166" i="3"/>
  <c r="AZ2166" i="3"/>
  <c r="AY2166" i="3"/>
  <c r="BA2165" i="3"/>
  <c r="AZ2165" i="3"/>
  <c r="AY2165" i="3"/>
  <c r="BA2164" i="3"/>
  <c r="AZ2164" i="3"/>
  <c r="AY2164" i="3"/>
  <c r="BA2163" i="3"/>
  <c r="AZ2163" i="3"/>
  <c r="AY2163" i="3"/>
  <c r="BA2162" i="3"/>
  <c r="AZ2162" i="3"/>
  <c r="AY2162" i="3"/>
  <c r="BA2161" i="3"/>
  <c r="AZ2161" i="3"/>
  <c r="AY2161" i="3"/>
  <c r="BA2160" i="3"/>
  <c r="AZ2160" i="3"/>
  <c r="AY2160" i="3"/>
  <c r="BA2159" i="3"/>
  <c r="AZ2159" i="3"/>
  <c r="AY2159" i="3"/>
  <c r="BA2158" i="3"/>
  <c r="AZ2158" i="3"/>
  <c r="AY2158" i="3"/>
  <c r="BA2157" i="3"/>
  <c r="AZ2157" i="3"/>
  <c r="AY2157" i="3"/>
  <c r="BA2156" i="3"/>
  <c r="AZ2156" i="3"/>
  <c r="AY2156" i="3"/>
  <c r="BA2155" i="3"/>
  <c r="AZ2155" i="3"/>
  <c r="AY2155" i="3"/>
  <c r="BA2154" i="3"/>
  <c r="AZ2154" i="3"/>
  <c r="AY2154" i="3"/>
  <c r="BA2153" i="3"/>
  <c r="AZ2153" i="3"/>
  <c r="AY2153" i="3"/>
  <c r="BA2152" i="3"/>
  <c r="AZ2152" i="3"/>
  <c r="AY2152" i="3"/>
  <c r="BA2151" i="3"/>
  <c r="AZ2151" i="3"/>
  <c r="AY2151" i="3"/>
  <c r="BA2150" i="3"/>
  <c r="AZ2150" i="3"/>
  <c r="AY2150" i="3"/>
  <c r="BA2149" i="3"/>
  <c r="AZ2149" i="3"/>
  <c r="AY2149" i="3"/>
  <c r="BA2148" i="3"/>
  <c r="AZ2148" i="3"/>
  <c r="AY2148" i="3"/>
  <c r="BA2147" i="3"/>
  <c r="AZ2147" i="3"/>
  <c r="AY2147" i="3"/>
  <c r="BA2146" i="3"/>
  <c r="AZ2146" i="3"/>
  <c r="AY2146" i="3"/>
  <c r="BA2145" i="3"/>
  <c r="AZ2145" i="3"/>
  <c r="AY2145" i="3"/>
  <c r="BA2144" i="3"/>
  <c r="AZ2144" i="3"/>
  <c r="AY2144" i="3"/>
  <c r="BA2143" i="3"/>
  <c r="AZ2143" i="3"/>
  <c r="AY2143" i="3"/>
  <c r="BA2142" i="3"/>
  <c r="AZ2142" i="3"/>
  <c r="AY2142" i="3"/>
  <c r="BA2141" i="3"/>
  <c r="AZ2141" i="3"/>
  <c r="AY2141" i="3"/>
  <c r="BA2140" i="3"/>
  <c r="AZ2140" i="3"/>
  <c r="AY2140" i="3"/>
  <c r="BA2139" i="3"/>
  <c r="AZ2139" i="3"/>
  <c r="AY2139" i="3"/>
  <c r="BA2138" i="3"/>
  <c r="AZ2138" i="3"/>
  <c r="AY2138" i="3"/>
  <c r="BA2137" i="3"/>
  <c r="AZ2137" i="3"/>
  <c r="AY2137" i="3"/>
  <c r="BA2136" i="3"/>
  <c r="AZ2136" i="3"/>
  <c r="AY2136" i="3"/>
  <c r="BA2135" i="3"/>
  <c r="AZ2135" i="3"/>
  <c r="AY2135" i="3"/>
  <c r="BA2134" i="3"/>
  <c r="AZ2134" i="3"/>
  <c r="AY2134" i="3"/>
  <c r="BA2133" i="3"/>
  <c r="AZ2133" i="3"/>
  <c r="AY2133" i="3"/>
  <c r="BA2132" i="3"/>
  <c r="AZ2132" i="3"/>
  <c r="AY2132" i="3"/>
  <c r="BA2131" i="3"/>
  <c r="AZ2131" i="3"/>
  <c r="AY2131" i="3"/>
  <c r="BA2130" i="3"/>
  <c r="AZ2130" i="3"/>
  <c r="AY2130" i="3"/>
  <c r="BA2129" i="3"/>
  <c r="AZ2129" i="3"/>
  <c r="AY2129" i="3"/>
  <c r="BA2128" i="3"/>
  <c r="AZ2128" i="3"/>
  <c r="AY2128" i="3"/>
  <c r="BA2127" i="3"/>
  <c r="AZ2127" i="3"/>
  <c r="AY2127" i="3"/>
  <c r="BA2126" i="3"/>
  <c r="AZ2126" i="3"/>
  <c r="AY2126" i="3"/>
  <c r="BA2125" i="3"/>
  <c r="AZ2125" i="3"/>
  <c r="AY2125" i="3"/>
  <c r="BA2124" i="3"/>
  <c r="AZ2124" i="3"/>
  <c r="AY2124" i="3"/>
  <c r="BA2123" i="3"/>
  <c r="AZ2123" i="3"/>
  <c r="AY2123" i="3"/>
  <c r="BA2122" i="3"/>
  <c r="AZ2122" i="3"/>
  <c r="AY2122" i="3"/>
  <c r="BA2121" i="3"/>
  <c r="AZ2121" i="3"/>
  <c r="AY2121" i="3"/>
  <c r="BA2120" i="3"/>
  <c r="AZ2120" i="3"/>
  <c r="AY2120" i="3"/>
  <c r="BA2119" i="3"/>
  <c r="AZ2119" i="3"/>
  <c r="AY2119" i="3"/>
  <c r="BA2118" i="3"/>
  <c r="AZ2118" i="3"/>
  <c r="AY2118" i="3"/>
  <c r="BA2117" i="3"/>
  <c r="AZ2117" i="3"/>
  <c r="AY2117" i="3"/>
  <c r="BA2116" i="3"/>
  <c r="AZ2116" i="3"/>
  <c r="AY2116" i="3"/>
  <c r="BA2115" i="3"/>
  <c r="AZ2115" i="3"/>
  <c r="AY2115" i="3"/>
  <c r="BA2114" i="3"/>
  <c r="AZ2114" i="3"/>
  <c r="AY2114" i="3"/>
  <c r="BA2113" i="3"/>
  <c r="AZ2113" i="3"/>
  <c r="AY2113" i="3"/>
  <c r="BA2112" i="3"/>
  <c r="AZ2112" i="3"/>
  <c r="AY2112" i="3"/>
  <c r="BA2111" i="3"/>
  <c r="AZ2111" i="3"/>
  <c r="AY2111" i="3"/>
  <c r="BA2110" i="3"/>
  <c r="AZ2110" i="3"/>
  <c r="AY2110" i="3"/>
  <c r="BA2109" i="3"/>
  <c r="AZ2109" i="3"/>
  <c r="AY2109" i="3"/>
  <c r="BA2108" i="3"/>
  <c r="AZ2108" i="3"/>
  <c r="AY2108" i="3"/>
  <c r="BA2107" i="3"/>
  <c r="AZ2107" i="3"/>
  <c r="AY2107" i="3"/>
  <c r="BA2106" i="3"/>
  <c r="AZ2106" i="3"/>
  <c r="AY2106" i="3"/>
  <c r="BA2105" i="3"/>
  <c r="AZ2105" i="3"/>
  <c r="AY2105" i="3"/>
  <c r="BA2104" i="3"/>
  <c r="AZ2104" i="3"/>
  <c r="AY2104" i="3"/>
  <c r="BA2103" i="3"/>
  <c r="AZ2103" i="3"/>
  <c r="AY2103" i="3"/>
  <c r="BA2102" i="3"/>
  <c r="AZ2102" i="3"/>
  <c r="AY2102" i="3"/>
  <c r="BA2101" i="3"/>
  <c r="AZ2101" i="3"/>
  <c r="AY2101" i="3"/>
  <c r="BA2100" i="3"/>
  <c r="AZ2100" i="3"/>
  <c r="AY2100" i="3"/>
  <c r="BA2099" i="3"/>
  <c r="AZ2099" i="3"/>
  <c r="AY2099" i="3"/>
  <c r="BA2098" i="3"/>
  <c r="AZ2098" i="3"/>
  <c r="AY2098" i="3"/>
  <c r="BA2097" i="3"/>
  <c r="AZ2097" i="3"/>
  <c r="AY2097" i="3"/>
  <c r="BA2096" i="3"/>
  <c r="AZ2096" i="3"/>
  <c r="AY2096" i="3"/>
  <c r="BA2095" i="3"/>
  <c r="AZ2095" i="3"/>
  <c r="AY2095" i="3"/>
  <c r="BA2094" i="3"/>
  <c r="AZ2094" i="3"/>
  <c r="AY2094" i="3"/>
  <c r="BA2093" i="3"/>
  <c r="AZ2093" i="3"/>
  <c r="AY2093" i="3"/>
  <c r="BA2092" i="3"/>
  <c r="AZ2092" i="3"/>
  <c r="AY2092" i="3"/>
  <c r="BA2091" i="3"/>
  <c r="AZ2091" i="3"/>
  <c r="AY2091" i="3"/>
  <c r="BA2090" i="3"/>
  <c r="AZ2090" i="3"/>
  <c r="AY2090" i="3"/>
  <c r="BA2089" i="3"/>
  <c r="AZ2089" i="3"/>
  <c r="AY2089" i="3"/>
  <c r="BA2088" i="3"/>
  <c r="AZ2088" i="3"/>
  <c r="AY2088" i="3"/>
  <c r="BA2087" i="3"/>
  <c r="AZ2087" i="3"/>
  <c r="AY2087" i="3"/>
  <c r="BA2086" i="3"/>
  <c r="AZ2086" i="3"/>
  <c r="AY2086" i="3"/>
  <c r="BA2085" i="3"/>
  <c r="AZ2085" i="3"/>
  <c r="AY2085" i="3"/>
  <c r="BA2084" i="3"/>
  <c r="AZ2084" i="3"/>
  <c r="AY2084" i="3"/>
  <c r="BA2083" i="3"/>
  <c r="AZ2083" i="3"/>
  <c r="AY2083" i="3"/>
  <c r="BA2082" i="3"/>
  <c r="AZ2082" i="3"/>
  <c r="AY2082" i="3"/>
  <c r="BA2081" i="3"/>
  <c r="AZ2081" i="3"/>
  <c r="AY2081" i="3"/>
  <c r="BA2080" i="3"/>
  <c r="AZ2080" i="3"/>
  <c r="AY2080" i="3"/>
  <c r="BA2079" i="3"/>
  <c r="AZ2079" i="3"/>
  <c r="AY2079" i="3"/>
  <c r="BA2078" i="3"/>
  <c r="AZ2078" i="3"/>
  <c r="AY2078" i="3"/>
  <c r="BA2077" i="3"/>
  <c r="AZ2077" i="3"/>
  <c r="AY2077" i="3"/>
  <c r="BA2076" i="3"/>
  <c r="AZ2076" i="3"/>
  <c r="AY2076" i="3"/>
  <c r="BA2075" i="3"/>
  <c r="AZ2075" i="3"/>
  <c r="AY2075" i="3"/>
  <c r="BA2074" i="3"/>
  <c r="AZ2074" i="3"/>
  <c r="AY2074" i="3"/>
  <c r="BA2073" i="3"/>
  <c r="AZ2073" i="3"/>
  <c r="AY2073" i="3"/>
  <c r="BA2072" i="3"/>
  <c r="AZ2072" i="3"/>
  <c r="AY2072" i="3"/>
  <c r="BA2071" i="3"/>
  <c r="AZ2071" i="3"/>
  <c r="AY2071" i="3"/>
  <c r="BA2070" i="3"/>
  <c r="AZ2070" i="3"/>
  <c r="AY2070" i="3"/>
  <c r="BA2069" i="3"/>
  <c r="AZ2069" i="3"/>
  <c r="AY2069" i="3"/>
  <c r="BA2068" i="3"/>
  <c r="AZ2068" i="3"/>
  <c r="AY2068" i="3"/>
  <c r="BA2067" i="3"/>
  <c r="AZ2067" i="3"/>
  <c r="AY2067" i="3"/>
  <c r="BA2066" i="3"/>
  <c r="AZ2066" i="3"/>
  <c r="AY2066" i="3"/>
  <c r="BA2065" i="3"/>
  <c r="AZ2065" i="3"/>
  <c r="AY2065" i="3"/>
  <c r="BA2064" i="3"/>
  <c r="AZ2064" i="3"/>
  <c r="AY2064" i="3"/>
  <c r="BA2063" i="3"/>
  <c r="AZ2063" i="3"/>
  <c r="AY2063" i="3"/>
  <c r="BA2062" i="3"/>
  <c r="AZ2062" i="3"/>
  <c r="AY2062" i="3"/>
  <c r="BA2061" i="3"/>
  <c r="AZ2061" i="3"/>
  <c r="AY2061" i="3"/>
  <c r="BA2060" i="3"/>
  <c r="AZ2060" i="3"/>
  <c r="AY2060" i="3"/>
  <c r="BA2059" i="3"/>
  <c r="AZ2059" i="3"/>
  <c r="AY2059" i="3"/>
  <c r="BA2058" i="3"/>
  <c r="AZ2058" i="3"/>
  <c r="AY2058" i="3"/>
  <c r="BA2057" i="3"/>
  <c r="AZ2057" i="3"/>
  <c r="AY2057" i="3"/>
  <c r="BA2056" i="3"/>
  <c r="AZ2056" i="3"/>
  <c r="AY2056" i="3"/>
  <c r="BA2055" i="3"/>
  <c r="AZ2055" i="3"/>
  <c r="AY2055" i="3"/>
  <c r="BA2054" i="3"/>
  <c r="AZ2054" i="3"/>
  <c r="AY2054" i="3"/>
  <c r="BA2053" i="3"/>
  <c r="AZ2053" i="3"/>
  <c r="AY2053" i="3"/>
  <c r="BA2052" i="3"/>
  <c r="AZ2052" i="3"/>
  <c r="AY2052" i="3"/>
  <c r="BA2051" i="3"/>
  <c r="AZ2051" i="3"/>
  <c r="AY2051" i="3"/>
  <c r="BA2050" i="3"/>
  <c r="AZ2050" i="3"/>
  <c r="AY2050" i="3"/>
  <c r="BA2049" i="3"/>
  <c r="AZ2049" i="3"/>
  <c r="AY2049" i="3"/>
  <c r="BA2048" i="3"/>
  <c r="AZ2048" i="3"/>
  <c r="AY2048" i="3"/>
  <c r="BA2047" i="3"/>
  <c r="AZ2047" i="3"/>
  <c r="AY2047" i="3"/>
  <c r="BA2046" i="3"/>
  <c r="AZ2046" i="3"/>
  <c r="AY2046" i="3"/>
  <c r="BA2045" i="3"/>
  <c r="AZ2045" i="3"/>
  <c r="AY2045" i="3"/>
  <c r="BA2044" i="3"/>
  <c r="AZ2044" i="3"/>
  <c r="AY2044" i="3"/>
  <c r="BA2043" i="3"/>
  <c r="AZ2043" i="3"/>
  <c r="AY2043" i="3"/>
  <c r="BA2042" i="3"/>
  <c r="AZ2042" i="3"/>
  <c r="AY2042" i="3"/>
  <c r="BA2041" i="3"/>
  <c r="AZ2041" i="3"/>
  <c r="AY2041" i="3"/>
  <c r="BA2040" i="3"/>
  <c r="AZ2040" i="3"/>
  <c r="AY2040" i="3"/>
  <c r="BA2039" i="3"/>
  <c r="AZ2039" i="3"/>
  <c r="AY2039" i="3"/>
  <c r="BA2038" i="3"/>
  <c r="AZ2038" i="3"/>
  <c r="AY2038" i="3"/>
  <c r="BA2037" i="3"/>
  <c r="AZ2037" i="3"/>
  <c r="AY2037" i="3"/>
  <c r="BA2036" i="3"/>
  <c r="AZ2036" i="3"/>
  <c r="AY2036" i="3"/>
  <c r="BA2035" i="3"/>
  <c r="AZ2035" i="3"/>
  <c r="AY2035" i="3"/>
  <c r="BA2034" i="3"/>
  <c r="AZ2034" i="3"/>
  <c r="AY2034" i="3"/>
  <c r="BA2033" i="3"/>
  <c r="AZ2033" i="3"/>
  <c r="AY2033" i="3"/>
  <c r="BA2032" i="3"/>
  <c r="AZ2032" i="3"/>
  <c r="AY2032" i="3"/>
  <c r="BA2031" i="3"/>
  <c r="AZ2031" i="3"/>
  <c r="AY2031" i="3"/>
  <c r="BA2030" i="3"/>
  <c r="AZ2030" i="3"/>
  <c r="AY2030" i="3"/>
  <c r="BA2029" i="3"/>
  <c r="AZ2029" i="3"/>
  <c r="AY2029" i="3"/>
  <c r="BA2028" i="3"/>
  <c r="AZ2028" i="3"/>
  <c r="AY2028" i="3"/>
  <c r="BA2027" i="3"/>
  <c r="AZ2027" i="3"/>
  <c r="AY2027" i="3"/>
  <c r="BA2026" i="3"/>
  <c r="AZ2026" i="3"/>
  <c r="AY2026" i="3"/>
  <c r="BA2025" i="3"/>
  <c r="AZ2025" i="3"/>
  <c r="AY2025" i="3"/>
  <c r="BA2024" i="3"/>
  <c r="AZ2024" i="3"/>
  <c r="AY2024" i="3"/>
  <c r="BA2023" i="3"/>
  <c r="AZ2023" i="3"/>
  <c r="AY2023" i="3"/>
  <c r="BA2022" i="3"/>
  <c r="AZ2022" i="3"/>
  <c r="AY2022" i="3"/>
  <c r="BA2021" i="3"/>
  <c r="AZ2021" i="3"/>
  <c r="AY2021" i="3"/>
  <c r="BA2020" i="3"/>
  <c r="AZ2020" i="3"/>
  <c r="AY2020" i="3"/>
  <c r="BA2019" i="3"/>
  <c r="AZ2019" i="3"/>
  <c r="AY2019" i="3"/>
  <c r="BA2018" i="3"/>
  <c r="AZ2018" i="3"/>
  <c r="AY2018" i="3"/>
  <c r="BA2017" i="3"/>
  <c r="AZ2017" i="3"/>
  <c r="AY2017" i="3"/>
  <c r="BA2016" i="3"/>
  <c r="AZ2016" i="3"/>
  <c r="AY2016" i="3"/>
  <c r="BA2015" i="3"/>
  <c r="AZ2015" i="3"/>
  <c r="AY2015" i="3"/>
  <c r="BA2014" i="3"/>
  <c r="AZ2014" i="3"/>
  <c r="AY2014" i="3"/>
  <c r="BA2013" i="3"/>
  <c r="AZ2013" i="3"/>
  <c r="AY2013" i="3"/>
  <c r="BA2012" i="3"/>
  <c r="AZ2012" i="3"/>
  <c r="AY2012" i="3"/>
  <c r="BA2011" i="3"/>
  <c r="AZ2011" i="3"/>
  <c r="AY2011" i="3"/>
  <c r="BA2010" i="3"/>
  <c r="AZ2010" i="3"/>
  <c r="AY2010" i="3"/>
  <c r="BA2009" i="3"/>
  <c r="AZ2009" i="3"/>
  <c r="AY2009" i="3"/>
  <c r="BA2008" i="3"/>
  <c r="AZ2008" i="3"/>
  <c r="AY2008" i="3"/>
  <c r="BA2007" i="3"/>
  <c r="AZ2007" i="3"/>
  <c r="AY2007" i="3"/>
  <c r="BA2006" i="3"/>
  <c r="AZ2006" i="3"/>
  <c r="AY2006" i="3"/>
  <c r="BA2005" i="3"/>
  <c r="AZ2005" i="3"/>
  <c r="AY2005" i="3"/>
  <c r="BA2004" i="3"/>
  <c r="AZ2004" i="3"/>
  <c r="AY2004" i="3"/>
  <c r="BA2003" i="3"/>
  <c r="AZ2003" i="3"/>
  <c r="AY2003" i="3"/>
  <c r="BA2002" i="3"/>
  <c r="AZ2002" i="3"/>
  <c r="AY2002" i="3"/>
  <c r="BA2001" i="3"/>
  <c r="AZ2001" i="3"/>
  <c r="AY2001" i="3"/>
  <c r="BA2000" i="3"/>
  <c r="AZ2000" i="3"/>
  <c r="AY2000" i="3"/>
  <c r="BA1999" i="3"/>
  <c r="AZ1999" i="3"/>
  <c r="AY1999" i="3"/>
  <c r="BA1998" i="3"/>
  <c r="AZ1998" i="3"/>
  <c r="AY1998" i="3"/>
  <c r="BA1997" i="3"/>
  <c r="AZ1997" i="3"/>
  <c r="AY1997" i="3"/>
  <c r="BA1996" i="3"/>
  <c r="AZ1996" i="3"/>
  <c r="AY1996" i="3"/>
  <c r="BA1995" i="3"/>
  <c r="AZ1995" i="3"/>
  <c r="AY1995" i="3"/>
  <c r="BA1994" i="3"/>
  <c r="AZ1994" i="3"/>
  <c r="AY1994" i="3"/>
  <c r="BA1993" i="3"/>
  <c r="AZ1993" i="3"/>
  <c r="AY1993" i="3"/>
  <c r="BA1992" i="3"/>
  <c r="AZ1992" i="3"/>
  <c r="AY1992" i="3"/>
  <c r="BA1991" i="3"/>
  <c r="AZ1991" i="3"/>
  <c r="AY1991" i="3"/>
  <c r="BA1990" i="3"/>
  <c r="AZ1990" i="3"/>
  <c r="AY1990" i="3"/>
  <c r="BA1989" i="3"/>
  <c r="AZ1989" i="3"/>
  <c r="AY1989" i="3"/>
  <c r="BA1988" i="3"/>
  <c r="AZ1988" i="3"/>
  <c r="AY1988" i="3"/>
  <c r="BA1987" i="3"/>
  <c r="AZ1987" i="3"/>
  <c r="AY1987" i="3"/>
  <c r="BA1986" i="3"/>
  <c r="AZ1986" i="3"/>
  <c r="AY1986" i="3"/>
  <c r="BA1985" i="3"/>
  <c r="AZ1985" i="3"/>
  <c r="AY1985" i="3"/>
  <c r="BA1984" i="3"/>
  <c r="AZ1984" i="3"/>
  <c r="AY1984" i="3"/>
  <c r="BA1983" i="3"/>
  <c r="AZ1983" i="3"/>
  <c r="AY1983" i="3"/>
  <c r="BA1982" i="3"/>
  <c r="AZ1982" i="3"/>
  <c r="AY1982" i="3"/>
  <c r="BA1981" i="3"/>
  <c r="AZ1981" i="3"/>
  <c r="AY1981" i="3"/>
  <c r="BA1980" i="3"/>
  <c r="AZ1980" i="3"/>
  <c r="AY1980" i="3"/>
  <c r="BA1979" i="3"/>
  <c r="AZ1979" i="3"/>
  <c r="AY1979" i="3"/>
  <c r="BA1978" i="3"/>
  <c r="AZ1978" i="3"/>
  <c r="AY1978" i="3"/>
  <c r="BA1977" i="3"/>
  <c r="AZ1977" i="3"/>
  <c r="AY1977" i="3"/>
  <c r="BA1976" i="3"/>
  <c r="AZ1976" i="3"/>
  <c r="AY1976" i="3"/>
  <c r="BA1975" i="3"/>
  <c r="AZ1975" i="3"/>
  <c r="AY1975" i="3"/>
  <c r="BA1974" i="3"/>
  <c r="AZ1974" i="3"/>
  <c r="AY1974" i="3"/>
  <c r="BA1973" i="3"/>
  <c r="AZ1973" i="3"/>
  <c r="AY1973" i="3"/>
  <c r="BA1972" i="3"/>
  <c r="AZ1972" i="3"/>
  <c r="AY1972" i="3"/>
  <c r="BA1971" i="3"/>
  <c r="AZ1971" i="3"/>
  <c r="AY1971" i="3"/>
  <c r="BA1970" i="3"/>
  <c r="AZ1970" i="3"/>
  <c r="AY1970" i="3"/>
  <c r="BA1969" i="3"/>
  <c r="AZ1969" i="3"/>
  <c r="AY1969" i="3"/>
  <c r="BA1968" i="3"/>
  <c r="AZ1968" i="3"/>
  <c r="AY1968" i="3"/>
  <c r="BA1967" i="3"/>
  <c r="AZ1967" i="3"/>
  <c r="AY1967" i="3"/>
  <c r="BA1966" i="3"/>
  <c r="AZ1966" i="3"/>
  <c r="AY1966" i="3"/>
  <c r="BA1965" i="3"/>
  <c r="AZ1965" i="3"/>
  <c r="AY1965" i="3"/>
  <c r="BA1964" i="3"/>
  <c r="AZ1964" i="3"/>
  <c r="AY1964" i="3"/>
  <c r="BA1963" i="3"/>
  <c r="AZ1963" i="3"/>
  <c r="AY1963" i="3"/>
  <c r="BA1962" i="3"/>
  <c r="AZ1962" i="3"/>
  <c r="AY1962" i="3"/>
  <c r="BA1961" i="3"/>
  <c r="AZ1961" i="3"/>
  <c r="AY1961" i="3"/>
  <c r="BA1960" i="3"/>
  <c r="AZ1960" i="3"/>
  <c r="AY1960" i="3"/>
  <c r="BA1959" i="3"/>
  <c r="AZ1959" i="3"/>
  <c r="AY1959" i="3"/>
  <c r="BA1958" i="3"/>
  <c r="AZ1958" i="3"/>
  <c r="AY1958" i="3"/>
  <c r="BA1957" i="3"/>
  <c r="AZ1957" i="3"/>
  <c r="AY1957" i="3"/>
  <c r="BA1956" i="3"/>
  <c r="AZ1956" i="3"/>
  <c r="AY1956" i="3"/>
  <c r="BA1955" i="3"/>
  <c r="AZ1955" i="3"/>
  <c r="AY1955" i="3"/>
  <c r="BA1954" i="3"/>
  <c r="AZ1954" i="3"/>
  <c r="AY1954" i="3"/>
  <c r="BA1953" i="3"/>
  <c r="AZ1953" i="3"/>
  <c r="AY1953" i="3"/>
  <c r="BA1952" i="3"/>
  <c r="AZ1952" i="3"/>
  <c r="AY1952" i="3"/>
  <c r="BA1951" i="3"/>
  <c r="AZ1951" i="3"/>
  <c r="AY1951" i="3"/>
  <c r="BA1950" i="3"/>
  <c r="AZ1950" i="3"/>
  <c r="AY1950" i="3"/>
  <c r="BA1949" i="3"/>
  <c r="AZ1949" i="3"/>
  <c r="AY1949" i="3"/>
  <c r="BA1948" i="3"/>
  <c r="AZ1948" i="3"/>
  <c r="AY1948" i="3"/>
  <c r="BA1947" i="3"/>
  <c r="AZ1947" i="3"/>
  <c r="AY1947" i="3"/>
  <c r="BA1946" i="3"/>
  <c r="AZ1946" i="3"/>
  <c r="AY1946" i="3"/>
  <c r="BA1945" i="3"/>
  <c r="AZ1945" i="3"/>
  <c r="AY1945" i="3"/>
  <c r="BA1944" i="3"/>
  <c r="AZ1944" i="3"/>
  <c r="AY1944" i="3"/>
  <c r="BA1943" i="3"/>
  <c r="AZ1943" i="3"/>
  <c r="AY1943" i="3"/>
  <c r="BA1942" i="3"/>
  <c r="AZ1942" i="3"/>
  <c r="AY1942" i="3"/>
  <c r="BA1941" i="3"/>
  <c r="AZ1941" i="3"/>
  <c r="AY1941" i="3"/>
  <c r="BA1940" i="3"/>
  <c r="AZ1940" i="3"/>
  <c r="AY1940" i="3"/>
  <c r="BA1939" i="3"/>
  <c r="AZ1939" i="3"/>
  <c r="AY1939" i="3"/>
  <c r="BA1938" i="3"/>
  <c r="AZ1938" i="3"/>
  <c r="AY1938" i="3"/>
  <c r="BA1937" i="3"/>
  <c r="AZ1937" i="3"/>
  <c r="AY1937" i="3"/>
  <c r="BA1936" i="3"/>
  <c r="AZ1936" i="3"/>
  <c r="AY1936" i="3"/>
  <c r="BA1935" i="3"/>
  <c r="AZ1935" i="3"/>
  <c r="AY1935" i="3"/>
  <c r="BA1934" i="3"/>
  <c r="AZ1934" i="3"/>
  <c r="AY1934" i="3"/>
  <c r="BA1933" i="3"/>
  <c r="AZ1933" i="3"/>
  <c r="AY1933" i="3"/>
  <c r="BA1932" i="3"/>
  <c r="AZ1932" i="3"/>
  <c r="AY1932" i="3"/>
  <c r="BA1931" i="3"/>
  <c r="AZ1931" i="3"/>
  <c r="AY1931" i="3"/>
  <c r="BA1930" i="3"/>
  <c r="AZ1930" i="3"/>
  <c r="AY1930" i="3"/>
  <c r="BA1929" i="3"/>
  <c r="AZ1929" i="3"/>
  <c r="AY1929" i="3"/>
  <c r="BA1928" i="3"/>
  <c r="AZ1928" i="3"/>
  <c r="AY1928" i="3"/>
  <c r="BA1927" i="3"/>
  <c r="AZ1927" i="3"/>
  <c r="AY1927" i="3"/>
  <c r="BA1926" i="3"/>
  <c r="AZ1926" i="3"/>
  <c r="AY1926" i="3"/>
  <c r="BA1925" i="3"/>
  <c r="AZ1925" i="3"/>
  <c r="AY1925" i="3"/>
  <c r="BA1924" i="3"/>
  <c r="AZ1924" i="3"/>
  <c r="AY1924" i="3"/>
  <c r="BA1923" i="3"/>
  <c r="AZ1923" i="3"/>
  <c r="AY1923" i="3"/>
  <c r="BA1922" i="3"/>
  <c r="AZ1922" i="3"/>
  <c r="AY1922" i="3"/>
  <c r="BA1921" i="3"/>
  <c r="AZ1921" i="3"/>
  <c r="AY1921" i="3"/>
  <c r="BA1920" i="3"/>
  <c r="AZ1920" i="3"/>
  <c r="AY1920" i="3"/>
  <c r="BA1919" i="3"/>
  <c r="AZ1919" i="3"/>
  <c r="AY1919" i="3"/>
  <c r="BA1918" i="3"/>
  <c r="AZ1918" i="3"/>
  <c r="AY1918" i="3"/>
  <c r="BA1917" i="3"/>
  <c r="AZ1917" i="3"/>
  <c r="AY1917" i="3"/>
  <c r="BA1916" i="3"/>
  <c r="AZ1916" i="3"/>
  <c r="AY1916" i="3"/>
  <c r="BA1915" i="3"/>
  <c r="AZ1915" i="3"/>
  <c r="AY1915" i="3"/>
  <c r="BA1914" i="3"/>
  <c r="AZ1914" i="3"/>
  <c r="AY1914" i="3"/>
  <c r="BA1913" i="3"/>
  <c r="AZ1913" i="3"/>
  <c r="AY1913" i="3"/>
  <c r="BA1912" i="3"/>
  <c r="AZ1912" i="3"/>
  <c r="AY1912" i="3"/>
  <c r="BA1911" i="3"/>
  <c r="AZ1911" i="3"/>
  <c r="AY1911" i="3"/>
  <c r="BA1910" i="3"/>
  <c r="AZ1910" i="3"/>
  <c r="AY1910" i="3"/>
  <c r="BA1909" i="3"/>
  <c r="AZ1909" i="3"/>
  <c r="AY1909" i="3"/>
  <c r="BA1908" i="3"/>
  <c r="AZ1908" i="3"/>
  <c r="AY1908" i="3"/>
  <c r="BA1907" i="3"/>
  <c r="AZ1907" i="3"/>
  <c r="AY1907" i="3"/>
  <c r="BA1906" i="3"/>
  <c r="AZ1906" i="3"/>
  <c r="AY1906" i="3"/>
  <c r="BA1905" i="3"/>
  <c r="AZ1905" i="3"/>
  <c r="AY1905" i="3"/>
  <c r="BA1904" i="3"/>
  <c r="AZ1904" i="3"/>
  <c r="AY1904" i="3"/>
  <c r="BA1903" i="3"/>
  <c r="AZ1903" i="3"/>
  <c r="AY1903" i="3"/>
  <c r="BA1902" i="3"/>
  <c r="AZ1902" i="3"/>
  <c r="AY1902" i="3"/>
  <c r="BA1901" i="3"/>
  <c r="AZ1901" i="3"/>
  <c r="AY1901" i="3"/>
  <c r="BA1900" i="3"/>
  <c r="AZ1900" i="3"/>
  <c r="AY1900" i="3"/>
  <c r="BA1899" i="3"/>
  <c r="AZ1899" i="3"/>
  <c r="AY1899" i="3"/>
  <c r="BA1898" i="3"/>
  <c r="AZ1898" i="3"/>
  <c r="AY1898" i="3"/>
  <c r="BA1897" i="3"/>
  <c r="AZ1897" i="3"/>
  <c r="AY1897" i="3"/>
  <c r="BA1896" i="3"/>
  <c r="AZ1896" i="3"/>
  <c r="AY1896" i="3"/>
  <c r="BA1895" i="3"/>
  <c r="AZ1895" i="3"/>
  <c r="AY1895" i="3"/>
  <c r="BA1894" i="3"/>
  <c r="AZ1894" i="3"/>
  <c r="AY1894" i="3"/>
  <c r="BA1893" i="3"/>
  <c r="AZ1893" i="3"/>
  <c r="AY1893" i="3"/>
  <c r="BA1892" i="3"/>
  <c r="AZ1892" i="3"/>
  <c r="AY1892" i="3"/>
  <c r="BA1891" i="3"/>
  <c r="AZ1891" i="3"/>
  <c r="AY1891" i="3"/>
  <c r="BA1890" i="3"/>
  <c r="AZ1890" i="3"/>
  <c r="AY1890" i="3"/>
  <c r="BA1889" i="3"/>
  <c r="AZ1889" i="3"/>
  <c r="AY1889" i="3"/>
  <c r="BA1888" i="3"/>
  <c r="AZ1888" i="3"/>
  <c r="AY1888" i="3"/>
  <c r="BA1887" i="3"/>
  <c r="AZ1887" i="3"/>
  <c r="AY1887" i="3"/>
  <c r="BA1886" i="3"/>
  <c r="AZ1886" i="3"/>
  <c r="AY1886" i="3"/>
  <c r="BA1885" i="3"/>
  <c r="AZ1885" i="3"/>
  <c r="AY1885" i="3"/>
  <c r="BA1884" i="3"/>
  <c r="AZ1884" i="3"/>
  <c r="AY1884" i="3"/>
  <c r="BA1883" i="3"/>
  <c r="AZ1883" i="3"/>
  <c r="AY1883" i="3"/>
  <c r="BA1882" i="3"/>
  <c r="AZ1882" i="3"/>
  <c r="AY1882" i="3"/>
  <c r="BA1881" i="3"/>
  <c r="AZ1881" i="3"/>
  <c r="AY1881" i="3"/>
  <c r="BA1880" i="3"/>
  <c r="AZ1880" i="3"/>
  <c r="AY1880" i="3"/>
  <c r="BA1879" i="3"/>
  <c r="AZ1879" i="3"/>
  <c r="AY1879" i="3"/>
  <c r="BA1878" i="3"/>
  <c r="AZ1878" i="3"/>
  <c r="AY1878" i="3"/>
  <c r="BA1877" i="3"/>
  <c r="AZ1877" i="3"/>
  <c r="AY1877" i="3"/>
  <c r="BA1876" i="3"/>
  <c r="AZ1876" i="3"/>
  <c r="AY1876" i="3"/>
  <c r="BA1875" i="3"/>
  <c r="AZ1875" i="3"/>
  <c r="AY1875" i="3"/>
  <c r="BA1874" i="3"/>
  <c r="AZ1874" i="3"/>
  <c r="AY1874" i="3"/>
  <c r="BA1873" i="3"/>
  <c r="AZ1873" i="3"/>
  <c r="AY1873" i="3"/>
  <c r="BA1872" i="3"/>
  <c r="AZ1872" i="3"/>
  <c r="AY1872" i="3"/>
  <c r="BA1871" i="3"/>
  <c r="AZ1871" i="3"/>
  <c r="AY1871" i="3"/>
  <c r="BA1870" i="3"/>
  <c r="AZ1870" i="3"/>
  <c r="AY1870" i="3"/>
  <c r="BA1869" i="3"/>
  <c r="AZ1869" i="3"/>
  <c r="AY1869" i="3"/>
  <c r="BA1868" i="3"/>
  <c r="AZ1868" i="3"/>
  <c r="AY1868" i="3"/>
  <c r="BA1867" i="3"/>
  <c r="AZ1867" i="3"/>
  <c r="AY1867" i="3"/>
  <c r="BA1866" i="3"/>
  <c r="AZ1866" i="3"/>
  <c r="AY1866" i="3"/>
  <c r="BA1865" i="3"/>
  <c r="AZ1865" i="3"/>
  <c r="AY1865" i="3"/>
  <c r="BA1864" i="3"/>
  <c r="AZ1864" i="3"/>
  <c r="AY1864" i="3"/>
  <c r="BA1863" i="3"/>
  <c r="AZ1863" i="3"/>
  <c r="AY1863" i="3"/>
  <c r="BA1862" i="3"/>
  <c r="AZ1862" i="3"/>
  <c r="AY1862" i="3"/>
  <c r="BA1861" i="3"/>
  <c r="AZ1861" i="3"/>
  <c r="AY1861" i="3"/>
  <c r="BA1860" i="3"/>
  <c r="AZ1860" i="3"/>
  <c r="AY1860" i="3"/>
  <c r="BA1859" i="3"/>
  <c r="AZ1859" i="3"/>
  <c r="AY1859" i="3"/>
  <c r="BA1858" i="3"/>
  <c r="AZ1858" i="3"/>
  <c r="AY1858" i="3"/>
  <c r="BA1857" i="3"/>
  <c r="AZ1857" i="3"/>
  <c r="AY1857" i="3"/>
  <c r="BA1856" i="3"/>
  <c r="AZ1856" i="3"/>
  <c r="AY1856" i="3"/>
  <c r="BA1855" i="3"/>
  <c r="AZ1855" i="3"/>
  <c r="AY1855" i="3"/>
  <c r="BA1854" i="3"/>
  <c r="AZ1854" i="3"/>
  <c r="AY1854" i="3"/>
  <c r="BA1853" i="3"/>
  <c r="AZ1853" i="3"/>
  <c r="AY1853" i="3"/>
  <c r="BA1852" i="3"/>
  <c r="AZ1852" i="3"/>
  <c r="AY1852" i="3"/>
  <c r="BA1851" i="3"/>
  <c r="AZ1851" i="3"/>
  <c r="AY1851" i="3"/>
  <c r="BA1850" i="3"/>
  <c r="AZ1850" i="3"/>
  <c r="AY1850" i="3"/>
  <c r="BA1849" i="3"/>
  <c r="AZ1849" i="3"/>
  <c r="AY1849" i="3"/>
  <c r="BA1848" i="3"/>
  <c r="AZ1848" i="3"/>
  <c r="AY1848" i="3"/>
  <c r="BA1847" i="3"/>
  <c r="AZ1847" i="3"/>
  <c r="AY1847" i="3"/>
  <c r="BA1846" i="3"/>
  <c r="AZ1846" i="3"/>
  <c r="AY1846" i="3"/>
  <c r="BA1845" i="3"/>
  <c r="AZ1845" i="3"/>
  <c r="AY1845" i="3"/>
  <c r="BA1844" i="3"/>
  <c r="AZ1844" i="3"/>
  <c r="AY1844" i="3"/>
  <c r="BA1843" i="3"/>
  <c r="AZ1843" i="3"/>
  <c r="AY1843" i="3"/>
  <c r="BA1842" i="3"/>
  <c r="AZ1842" i="3"/>
  <c r="AY1842" i="3"/>
  <c r="BA1841" i="3"/>
  <c r="AZ1841" i="3"/>
  <c r="AY1841" i="3"/>
  <c r="BA1840" i="3"/>
  <c r="AZ1840" i="3"/>
  <c r="AY1840" i="3"/>
  <c r="BA1839" i="3"/>
  <c r="AZ1839" i="3"/>
  <c r="AY1839" i="3"/>
  <c r="BA1838" i="3"/>
  <c r="AZ1838" i="3"/>
  <c r="AY1838" i="3"/>
  <c r="BA1837" i="3"/>
  <c r="AZ1837" i="3"/>
  <c r="AY1837" i="3"/>
  <c r="BA1836" i="3"/>
  <c r="AZ1836" i="3"/>
  <c r="AY1836" i="3"/>
  <c r="BA1835" i="3"/>
  <c r="AZ1835" i="3"/>
  <c r="AY1835" i="3"/>
  <c r="BA1834" i="3"/>
  <c r="AZ1834" i="3"/>
  <c r="AY1834" i="3"/>
  <c r="BA1833" i="3"/>
  <c r="AZ1833" i="3"/>
  <c r="AY1833" i="3"/>
  <c r="BA1832" i="3"/>
  <c r="AZ1832" i="3"/>
  <c r="AY1832" i="3"/>
  <c r="BA1831" i="3"/>
  <c r="AZ1831" i="3"/>
  <c r="AY1831" i="3"/>
  <c r="BA1830" i="3"/>
  <c r="AZ1830" i="3"/>
  <c r="AY1830" i="3"/>
  <c r="BA1829" i="3"/>
  <c r="AZ1829" i="3"/>
  <c r="AY1829" i="3"/>
  <c r="BA1828" i="3"/>
  <c r="AZ1828" i="3"/>
  <c r="AY1828" i="3"/>
  <c r="BA1827" i="3"/>
  <c r="AZ1827" i="3"/>
  <c r="AY1827" i="3"/>
  <c r="BA1826" i="3"/>
  <c r="AZ1826" i="3"/>
  <c r="AY1826" i="3"/>
  <c r="BA1825" i="3"/>
  <c r="AZ1825" i="3"/>
  <c r="AY1825" i="3"/>
  <c r="BA1824" i="3"/>
  <c r="AZ1824" i="3"/>
  <c r="AY1824" i="3"/>
  <c r="BA1823" i="3"/>
  <c r="AZ1823" i="3"/>
  <c r="AY1823" i="3"/>
  <c r="BA1822" i="3"/>
  <c r="AZ1822" i="3"/>
  <c r="AY1822" i="3"/>
  <c r="BA1821" i="3"/>
  <c r="AZ1821" i="3"/>
  <c r="AY1821" i="3"/>
  <c r="BA1820" i="3"/>
  <c r="AZ1820" i="3"/>
  <c r="AY1820" i="3"/>
  <c r="BA1819" i="3"/>
  <c r="AZ1819" i="3"/>
  <c r="AY1819" i="3"/>
  <c r="BA1818" i="3"/>
  <c r="AZ1818" i="3"/>
  <c r="AY1818" i="3"/>
  <c r="BA1817" i="3"/>
  <c r="AZ1817" i="3"/>
  <c r="AY1817" i="3"/>
  <c r="BA1816" i="3"/>
  <c r="AZ1816" i="3"/>
  <c r="AY1816" i="3"/>
  <c r="BA1815" i="3"/>
  <c r="AZ1815" i="3"/>
  <c r="AY1815" i="3"/>
  <c r="BA1814" i="3"/>
  <c r="AZ1814" i="3"/>
  <c r="AY1814" i="3"/>
  <c r="BA1813" i="3"/>
  <c r="AZ1813" i="3"/>
  <c r="AY1813" i="3"/>
  <c r="BA1812" i="3"/>
  <c r="AZ1812" i="3"/>
  <c r="AY1812" i="3"/>
  <c r="BA1811" i="3"/>
  <c r="AZ1811" i="3"/>
  <c r="AY1811" i="3"/>
  <c r="BA1810" i="3"/>
  <c r="AZ1810" i="3"/>
  <c r="AY1810" i="3"/>
  <c r="BA1809" i="3"/>
  <c r="AZ1809" i="3"/>
  <c r="AY1809" i="3"/>
  <c r="BA1808" i="3"/>
  <c r="AZ1808" i="3"/>
  <c r="AY1808" i="3"/>
  <c r="BA1807" i="3"/>
  <c r="AZ1807" i="3"/>
  <c r="AY1807" i="3"/>
  <c r="BA1806" i="3"/>
  <c r="AZ1806" i="3"/>
  <c r="AY1806" i="3"/>
  <c r="AV1806" i="3"/>
  <c r="BA1805" i="3"/>
  <c r="AZ1805" i="3"/>
  <c r="AY1805" i="3"/>
  <c r="AV1805" i="3"/>
  <c r="BA1804" i="3"/>
  <c r="AZ1804" i="3"/>
  <c r="AY1804" i="3"/>
  <c r="AV1804" i="3"/>
  <c r="BA1803" i="3"/>
  <c r="AZ1803" i="3"/>
  <c r="AY1803" i="3"/>
  <c r="AV1803" i="3"/>
  <c r="BA1802" i="3"/>
  <c r="AZ1802" i="3"/>
  <c r="AY1802" i="3"/>
  <c r="AV1802" i="3"/>
  <c r="BA1801" i="3"/>
  <c r="AZ1801" i="3"/>
  <c r="AY1801" i="3"/>
  <c r="AV1801" i="3"/>
  <c r="BA1800" i="3"/>
  <c r="AZ1800" i="3"/>
  <c r="AY1800" i="3"/>
  <c r="AV1800" i="3"/>
  <c r="BA1799" i="3"/>
  <c r="AZ1799" i="3"/>
  <c r="AY1799" i="3"/>
  <c r="AV1799" i="3"/>
  <c r="BA1798" i="3"/>
  <c r="AZ1798" i="3"/>
  <c r="AY1798" i="3"/>
  <c r="AV1798" i="3"/>
  <c r="BA1797" i="3"/>
  <c r="AZ1797" i="3"/>
  <c r="AY1797" i="3"/>
  <c r="AV1797" i="3"/>
  <c r="BA1796" i="3"/>
  <c r="AZ1796" i="3"/>
  <c r="AY1796" i="3"/>
  <c r="AV1796" i="3"/>
  <c r="BA1795" i="3"/>
  <c r="AZ1795" i="3"/>
  <c r="AY1795" i="3"/>
  <c r="AV1795" i="3"/>
  <c r="BA1794" i="3"/>
  <c r="AZ1794" i="3"/>
  <c r="AY1794" i="3"/>
  <c r="AV1794" i="3"/>
  <c r="BA1793" i="3"/>
  <c r="AZ1793" i="3"/>
  <c r="AY1793" i="3"/>
  <c r="AV1793" i="3"/>
  <c r="BA1792" i="3"/>
  <c r="AZ1792" i="3"/>
  <c r="AY1792" i="3"/>
  <c r="AV1792" i="3"/>
  <c r="BA1791" i="3"/>
  <c r="AZ1791" i="3"/>
  <c r="AY1791" i="3"/>
  <c r="AV1791" i="3"/>
  <c r="BA1790" i="3"/>
  <c r="AZ1790" i="3"/>
  <c r="AY1790" i="3"/>
  <c r="AV1790" i="3"/>
  <c r="BA1789" i="3"/>
  <c r="AZ1789" i="3"/>
  <c r="AY1789" i="3"/>
  <c r="AV1789" i="3"/>
  <c r="BA1788" i="3"/>
  <c r="AZ1788" i="3"/>
  <c r="AY1788" i="3"/>
  <c r="AV1788" i="3"/>
  <c r="BA1787" i="3"/>
  <c r="AZ1787" i="3"/>
  <c r="AY1787" i="3"/>
  <c r="AV1787" i="3"/>
  <c r="BA1786" i="3"/>
  <c r="AZ1786" i="3"/>
  <c r="AY1786" i="3"/>
  <c r="AV1786" i="3"/>
  <c r="BA1785" i="3"/>
  <c r="AZ1785" i="3"/>
  <c r="AY1785" i="3"/>
  <c r="AV1785" i="3"/>
  <c r="BA1784" i="3"/>
  <c r="AZ1784" i="3"/>
  <c r="AY1784" i="3"/>
  <c r="AV1784" i="3"/>
  <c r="BA1783" i="3"/>
  <c r="AZ1783" i="3"/>
  <c r="AY1783" i="3"/>
  <c r="AV1783" i="3"/>
  <c r="BA1782" i="3"/>
  <c r="AZ1782" i="3"/>
  <c r="AY1782" i="3"/>
  <c r="AV1782" i="3"/>
  <c r="BA1781" i="3"/>
  <c r="AZ1781" i="3"/>
  <c r="AY1781" i="3"/>
  <c r="AV1781" i="3"/>
  <c r="BA1780" i="3"/>
  <c r="AZ1780" i="3"/>
  <c r="AY1780" i="3"/>
  <c r="AV1780" i="3"/>
  <c r="BA1779" i="3"/>
  <c r="AZ1779" i="3"/>
  <c r="AY1779" i="3"/>
  <c r="AV1779" i="3"/>
  <c r="BA1778" i="3"/>
  <c r="AZ1778" i="3"/>
  <c r="AY1778" i="3"/>
  <c r="AV1778" i="3"/>
  <c r="BA1777" i="3"/>
  <c r="AZ1777" i="3"/>
  <c r="AY1777" i="3"/>
  <c r="AV1777" i="3"/>
  <c r="BA1776" i="3"/>
  <c r="AZ1776" i="3"/>
  <c r="AY1776" i="3"/>
  <c r="AV1776" i="3"/>
  <c r="BA1775" i="3"/>
  <c r="AZ1775" i="3"/>
  <c r="AY1775" i="3"/>
  <c r="AV1775" i="3"/>
  <c r="BA1774" i="3"/>
  <c r="AZ1774" i="3"/>
  <c r="AY1774" i="3"/>
  <c r="AV1774" i="3"/>
  <c r="BA1773" i="3"/>
  <c r="AZ1773" i="3"/>
  <c r="AY1773" i="3"/>
  <c r="AV1773" i="3"/>
  <c r="BA1772" i="3"/>
  <c r="AZ1772" i="3"/>
  <c r="AY1772" i="3"/>
  <c r="AV1772" i="3"/>
  <c r="BA1771" i="3"/>
  <c r="AZ1771" i="3"/>
  <c r="AY1771" i="3"/>
  <c r="AV1771" i="3"/>
  <c r="BA1770" i="3"/>
  <c r="AZ1770" i="3"/>
  <c r="AY1770" i="3"/>
  <c r="AV1770" i="3"/>
  <c r="BA1769" i="3"/>
  <c r="AZ1769" i="3"/>
  <c r="AY1769" i="3"/>
  <c r="AV1769" i="3"/>
  <c r="BA1768" i="3"/>
  <c r="AZ1768" i="3"/>
  <c r="AY1768" i="3"/>
  <c r="AV1768" i="3"/>
  <c r="BA1767" i="3"/>
  <c r="AZ1767" i="3"/>
  <c r="AY1767" i="3"/>
  <c r="AV1767" i="3"/>
  <c r="BA1766" i="3"/>
  <c r="AZ1766" i="3"/>
  <c r="AY1766" i="3"/>
  <c r="AV1766" i="3"/>
  <c r="BA1765" i="3"/>
  <c r="AZ1765" i="3"/>
  <c r="AY1765" i="3"/>
  <c r="AV1765" i="3"/>
  <c r="BA1764" i="3"/>
  <c r="AZ1764" i="3"/>
  <c r="AY1764" i="3"/>
  <c r="AV1764" i="3"/>
  <c r="BA1763" i="3"/>
  <c r="AZ1763" i="3"/>
  <c r="AY1763" i="3"/>
  <c r="AV1763" i="3"/>
  <c r="BA1762" i="3"/>
  <c r="AZ1762" i="3"/>
  <c r="AY1762" i="3"/>
  <c r="AV1762" i="3"/>
  <c r="BA1761" i="3"/>
  <c r="AZ1761" i="3"/>
  <c r="AY1761" i="3"/>
  <c r="AV1761" i="3"/>
  <c r="BA1760" i="3"/>
  <c r="AZ1760" i="3"/>
  <c r="AY1760" i="3"/>
  <c r="AV1760" i="3"/>
  <c r="BA1759" i="3"/>
  <c r="AZ1759" i="3"/>
  <c r="AY1759" i="3"/>
  <c r="AV1759" i="3"/>
  <c r="BA1758" i="3"/>
  <c r="AZ1758" i="3"/>
  <c r="AY1758" i="3"/>
  <c r="AV1758" i="3"/>
  <c r="BA1757" i="3"/>
  <c r="AZ1757" i="3"/>
  <c r="AY1757" i="3"/>
  <c r="AV1757" i="3"/>
  <c r="BA1756" i="3"/>
  <c r="AZ1756" i="3"/>
  <c r="AY1756" i="3"/>
  <c r="AV1756" i="3"/>
  <c r="BA1755" i="3"/>
  <c r="AZ1755" i="3"/>
  <c r="AY1755" i="3"/>
  <c r="AV1755" i="3"/>
  <c r="BA1754" i="3"/>
  <c r="AZ1754" i="3"/>
  <c r="AY1754" i="3"/>
  <c r="AV1754" i="3"/>
  <c r="BA1753" i="3"/>
  <c r="AZ1753" i="3"/>
  <c r="AY1753" i="3"/>
  <c r="AV1753" i="3"/>
  <c r="BA1752" i="3"/>
  <c r="AZ1752" i="3"/>
  <c r="AY1752" i="3"/>
  <c r="AV1752" i="3"/>
  <c r="BA1751" i="3"/>
  <c r="AZ1751" i="3"/>
  <c r="AY1751" i="3"/>
  <c r="AV1751" i="3"/>
  <c r="BA1750" i="3"/>
  <c r="AZ1750" i="3"/>
  <c r="AY1750" i="3"/>
  <c r="AV1750" i="3"/>
  <c r="BA1749" i="3"/>
  <c r="AZ1749" i="3"/>
  <c r="AY1749" i="3"/>
  <c r="AV1749" i="3"/>
  <c r="BA1748" i="3"/>
  <c r="AZ1748" i="3"/>
  <c r="AY1748" i="3"/>
  <c r="AV1748" i="3"/>
  <c r="BA1747" i="3"/>
  <c r="AZ1747" i="3"/>
  <c r="AY1747" i="3"/>
  <c r="AV1747" i="3"/>
  <c r="BA1746" i="3"/>
  <c r="AZ1746" i="3"/>
  <c r="AY1746" i="3"/>
  <c r="AV1746" i="3"/>
  <c r="BA1745" i="3"/>
  <c r="AZ1745" i="3"/>
  <c r="AY1745" i="3"/>
  <c r="AV1745" i="3"/>
  <c r="BA1744" i="3"/>
  <c r="AZ1744" i="3"/>
  <c r="AY1744" i="3"/>
  <c r="AV1744" i="3"/>
  <c r="BA1743" i="3"/>
  <c r="AZ1743" i="3"/>
  <c r="AY1743" i="3"/>
  <c r="AV1743" i="3"/>
  <c r="BA1742" i="3"/>
  <c r="AZ1742" i="3"/>
  <c r="AY1742" i="3"/>
  <c r="AV1742" i="3"/>
  <c r="BA1741" i="3"/>
  <c r="AZ1741" i="3"/>
  <c r="AY1741" i="3"/>
  <c r="AV1741" i="3"/>
  <c r="BA1740" i="3"/>
  <c r="AZ1740" i="3"/>
  <c r="AY1740" i="3"/>
  <c r="AV1740" i="3"/>
  <c r="BA1739" i="3"/>
  <c r="AZ1739" i="3"/>
  <c r="AY1739" i="3"/>
  <c r="AV1739" i="3"/>
  <c r="BA1738" i="3"/>
  <c r="AZ1738" i="3"/>
  <c r="AY1738" i="3"/>
  <c r="AV1738" i="3"/>
  <c r="BA1737" i="3"/>
  <c r="AZ1737" i="3"/>
  <c r="AY1737" i="3"/>
  <c r="AV1737" i="3"/>
  <c r="BA1736" i="3"/>
  <c r="AZ1736" i="3"/>
  <c r="AY1736" i="3"/>
  <c r="AV1736" i="3"/>
  <c r="BA1735" i="3"/>
  <c r="AZ1735" i="3"/>
  <c r="AY1735" i="3"/>
  <c r="AV1735" i="3"/>
  <c r="BA1734" i="3"/>
  <c r="AZ1734" i="3"/>
  <c r="AY1734" i="3"/>
  <c r="AV1734" i="3"/>
  <c r="BA1733" i="3"/>
  <c r="AZ1733" i="3"/>
  <c r="AY1733" i="3"/>
  <c r="AV1733" i="3"/>
  <c r="BA1732" i="3"/>
  <c r="AZ1732" i="3"/>
  <c r="AY1732" i="3"/>
  <c r="AV1732" i="3"/>
  <c r="BA1731" i="3"/>
  <c r="AZ1731" i="3"/>
  <c r="AY1731" i="3"/>
  <c r="AV1731" i="3"/>
  <c r="BA1730" i="3"/>
  <c r="AZ1730" i="3"/>
  <c r="AY1730" i="3"/>
  <c r="AV1730" i="3"/>
  <c r="BA1729" i="3"/>
  <c r="AZ1729" i="3"/>
  <c r="AY1729" i="3"/>
  <c r="AV1729" i="3"/>
  <c r="BA1728" i="3"/>
  <c r="AZ1728" i="3"/>
  <c r="AY1728" i="3"/>
  <c r="AV1728" i="3"/>
  <c r="BA1727" i="3"/>
  <c r="AZ1727" i="3"/>
  <c r="AY1727" i="3"/>
  <c r="AV1727" i="3"/>
  <c r="BA1726" i="3"/>
  <c r="AZ1726" i="3"/>
  <c r="AY1726" i="3"/>
  <c r="AV1726" i="3"/>
  <c r="BA1725" i="3"/>
  <c r="AZ1725" i="3"/>
  <c r="AY1725" i="3"/>
  <c r="AV1725" i="3"/>
  <c r="BA1724" i="3"/>
  <c r="AZ1724" i="3"/>
  <c r="AY1724" i="3"/>
  <c r="AV1724" i="3"/>
  <c r="BA1723" i="3"/>
  <c r="AZ1723" i="3"/>
  <c r="AY1723" i="3"/>
  <c r="AV1723" i="3"/>
  <c r="BA1722" i="3"/>
  <c r="AZ1722" i="3"/>
  <c r="AY1722" i="3"/>
  <c r="AV1722" i="3"/>
  <c r="BA1721" i="3"/>
  <c r="AZ1721" i="3"/>
  <c r="AY1721" i="3"/>
  <c r="AV1721" i="3"/>
  <c r="BA1720" i="3"/>
  <c r="AZ1720" i="3"/>
  <c r="AY1720" i="3"/>
  <c r="AV1720" i="3"/>
  <c r="BA1719" i="3"/>
  <c r="AZ1719" i="3"/>
  <c r="AY1719" i="3"/>
  <c r="AV1719" i="3"/>
  <c r="BA1718" i="3"/>
  <c r="AZ1718" i="3"/>
  <c r="AY1718" i="3"/>
  <c r="AV1718" i="3"/>
  <c r="BA1717" i="3"/>
  <c r="AZ1717" i="3"/>
  <c r="AY1717" i="3"/>
  <c r="AV1717" i="3"/>
  <c r="BA1716" i="3"/>
  <c r="AZ1716" i="3"/>
  <c r="AY1716" i="3"/>
  <c r="AV1716" i="3"/>
  <c r="BA1715" i="3"/>
  <c r="AZ1715" i="3"/>
  <c r="AY1715" i="3"/>
  <c r="AV1715" i="3"/>
  <c r="BA1714" i="3"/>
  <c r="AZ1714" i="3"/>
  <c r="AY1714" i="3"/>
  <c r="AV1714" i="3"/>
  <c r="BA1713" i="3"/>
  <c r="AZ1713" i="3"/>
  <c r="AY1713" i="3"/>
  <c r="AV1713" i="3"/>
  <c r="BA1712" i="3"/>
  <c r="AZ1712" i="3"/>
  <c r="AY1712" i="3"/>
  <c r="AV1712" i="3"/>
  <c r="BA1711" i="3"/>
  <c r="AZ1711" i="3"/>
  <c r="AY1711" i="3"/>
  <c r="AV1711" i="3"/>
  <c r="BA1710" i="3"/>
  <c r="AZ1710" i="3"/>
  <c r="AY1710" i="3"/>
  <c r="AV1710" i="3"/>
  <c r="BA1709" i="3"/>
  <c r="AZ1709" i="3"/>
  <c r="AY1709" i="3"/>
  <c r="AV1709" i="3"/>
  <c r="BA1708" i="3"/>
  <c r="AZ1708" i="3"/>
  <c r="AY1708" i="3"/>
  <c r="AV1708" i="3"/>
  <c r="BA1707" i="3"/>
  <c r="AZ1707" i="3"/>
  <c r="AY1707" i="3"/>
  <c r="AV1707" i="3"/>
  <c r="BA1706" i="3"/>
  <c r="AZ1706" i="3"/>
  <c r="AY1706" i="3"/>
  <c r="AV1706" i="3"/>
  <c r="BA1705" i="3"/>
  <c r="AZ1705" i="3"/>
  <c r="AY1705" i="3"/>
  <c r="AV1705" i="3"/>
  <c r="BA1704" i="3"/>
  <c r="AZ1704" i="3"/>
  <c r="AY1704" i="3"/>
  <c r="AV1704" i="3"/>
  <c r="BA1703" i="3"/>
  <c r="AZ1703" i="3"/>
  <c r="AY1703" i="3"/>
  <c r="AV1703" i="3"/>
  <c r="BA1702" i="3"/>
  <c r="AZ1702" i="3"/>
  <c r="AY1702" i="3"/>
  <c r="AV1702" i="3"/>
  <c r="BA1701" i="3"/>
  <c r="AZ1701" i="3"/>
  <c r="AY1701" i="3"/>
  <c r="AV1701" i="3"/>
  <c r="BA1700" i="3"/>
  <c r="AZ1700" i="3"/>
  <c r="AY1700" i="3"/>
  <c r="AV1700" i="3"/>
  <c r="BA1699" i="3"/>
  <c r="AZ1699" i="3"/>
  <c r="AY1699" i="3"/>
  <c r="AV1699" i="3"/>
  <c r="BA1698" i="3"/>
  <c r="AZ1698" i="3"/>
  <c r="AY1698" i="3"/>
  <c r="AV1698" i="3"/>
  <c r="BA1697" i="3"/>
  <c r="AZ1697" i="3"/>
  <c r="AY1697" i="3"/>
  <c r="AV1697" i="3"/>
  <c r="BA1696" i="3"/>
  <c r="AZ1696" i="3"/>
  <c r="AY1696" i="3"/>
  <c r="AV1696" i="3"/>
  <c r="BA1695" i="3"/>
  <c r="AZ1695" i="3"/>
  <c r="AY1695" i="3"/>
  <c r="AV1695" i="3"/>
  <c r="BA1694" i="3"/>
  <c r="AZ1694" i="3"/>
  <c r="AY1694" i="3"/>
  <c r="AV1694" i="3"/>
  <c r="BA1693" i="3"/>
  <c r="AZ1693" i="3"/>
  <c r="AY1693" i="3"/>
  <c r="AV1693" i="3"/>
  <c r="BA1692" i="3"/>
  <c r="AZ1692" i="3"/>
  <c r="AY1692" i="3"/>
  <c r="AV1692" i="3"/>
  <c r="BA1691" i="3"/>
  <c r="AZ1691" i="3"/>
  <c r="AY1691" i="3"/>
  <c r="AV1691" i="3"/>
  <c r="BA1690" i="3"/>
  <c r="AZ1690" i="3"/>
  <c r="AY1690" i="3"/>
  <c r="AV1690" i="3"/>
  <c r="BA1689" i="3"/>
  <c r="AZ1689" i="3"/>
  <c r="AY1689" i="3"/>
  <c r="AV1689" i="3"/>
  <c r="BA1688" i="3"/>
  <c r="AZ1688" i="3"/>
  <c r="AY1688" i="3"/>
  <c r="AV1688" i="3"/>
  <c r="BA1687" i="3"/>
  <c r="AZ1687" i="3"/>
  <c r="AY1687" i="3"/>
  <c r="AV1687" i="3"/>
  <c r="BA1686" i="3"/>
  <c r="AZ1686" i="3"/>
  <c r="AY1686" i="3"/>
  <c r="AV1686" i="3"/>
  <c r="BA1685" i="3"/>
  <c r="AZ1685" i="3"/>
  <c r="AY1685" i="3"/>
  <c r="AV1685" i="3"/>
  <c r="BA1684" i="3"/>
  <c r="AZ1684" i="3"/>
  <c r="AY1684" i="3"/>
  <c r="AV1684" i="3"/>
  <c r="BA1683" i="3"/>
  <c r="AZ1683" i="3"/>
  <c r="AY1683" i="3"/>
  <c r="AV1683" i="3"/>
  <c r="BA1682" i="3"/>
  <c r="AZ1682" i="3"/>
  <c r="AY1682" i="3"/>
  <c r="AV1682" i="3"/>
  <c r="BA1681" i="3"/>
  <c r="AZ1681" i="3"/>
  <c r="AY1681" i="3"/>
  <c r="AV1681" i="3"/>
  <c r="BA1680" i="3"/>
  <c r="AZ1680" i="3"/>
  <c r="AY1680" i="3"/>
  <c r="AV1680" i="3"/>
  <c r="BA1679" i="3"/>
  <c r="AZ1679" i="3"/>
  <c r="AY1679" i="3"/>
  <c r="AV1679" i="3"/>
  <c r="BA1678" i="3"/>
  <c r="AZ1678" i="3"/>
  <c r="AY1678" i="3"/>
  <c r="AV1678" i="3"/>
  <c r="BA1677" i="3"/>
  <c r="AZ1677" i="3"/>
  <c r="AY1677" i="3"/>
  <c r="AV1677" i="3"/>
  <c r="BA1676" i="3"/>
  <c r="AZ1676" i="3"/>
  <c r="AY1676" i="3"/>
  <c r="AV1676" i="3"/>
  <c r="BA1675" i="3"/>
  <c r="AZ1675" i="3"/>
  <c r="AY1675" i="3"/>
  <c r="AV1675" i="3"/>
  <c r="BA1674" i="3"/>
  <c r="AZ1674" i="3"/>
  <c r="AY1674" i="3"/>
  <c r="AV1674" i="3"/>
  <c r="BA1673" i="3"/>
  <c r="AZ1673" i="3"/>
  <c r="AY1673" i="3"/>
  <c r="AV1673" i="3"/>
  <c r="BA1672" i="3"/>
  <c r="AZ1672" i="3"/>
  <c r="AY1672" i="3"/>
  <c r="AV1672" i="3"/>
  <c r="BA1671" i="3"/>
  <c r="AZ1671" i="3"/>
  <c r="AY1671" i="3"/>
  <c r="AV1671" i="3"/>
  <c r="BA1670" i="3"/>
  <c r="AZ1670" i="3"/>
  <c r="AY1670" i="3"/>
  <c r="AV1670" i="3"/>
  <c r="BA1669" i="3"/>
  <c r="AZ1669" i="3"/>
  <c r="AY1669" i="3"/>
  <c r="AV1669" i="3"/>
  <c r="BA1668" i="3"/>
  <c r="AZ1668" i="3"/>
  <c r="AY1668" i="3"/>
  <c r="AV1668" i="3"/>
  <c r="BA1667" i="3"/>
  <c r="AZ1667" i="3"/>
  <c r="AY1667" i="3"/>
  <c r="AV1667" i="3"/>
  <c r="BA1666" i="3"/>
  <c r="AZ1666" i="3"/>
  <c r="AY1666" i="3"/>
  <c r="AV1666" i="3"/>
  <c r="BA1665" i="3"/>
  <c r="AZ1665" i="3"/>
  <c r="AY1665" i="3"/>
  <c r="AV1665" i="3"/>
  <c r="BA1664" i="3"/>
  <c r="AZ1664" i="3"/>
  <c r="AY1664" i="3"/>
  <c r="AV1664" i="3"/>
  <c r="BA1663" i="3"/>
  <c r="AZ1663" i="3"/>
  <c r="AY1663" i="3"/>
  <c r="AV1663" i="3"/>
  <c r="BA1662" i="3"/>
  <c r="AZ1662" i="3"/>
  <c r="AY1662" i="3"/>
  <c r="AV1662" i="3"/>
  <c r="BA1661" i="3"/>
  <c r="AZ1661" i="3"/>
  <c r="AY1661" i="3"/>
  <c r="AV1661" i="3"/>
  <c r="BA1660" i="3"/>
  <c r="AZ1660" i="3"/>
  <c r="AY1660" i="3"/>
  <c r="AV1660" i="3"/>
  <c r="BA1659" i="3"/>
  <c r="AZ1659" i="3"/>
  <c r="AY1659" i="3"/>
  <c r="AV1659" i="3"/>
  <c r="BA1658" i="3"/>
  <c r="AZ1658" i="3"/>
  <c r="AY1658" i="3"/>
  <c r="AV1658" i="3"/>
  <c r="BA1657" i="3"/>
  <c r="AZ1657" i="3"/>
  <c r="AY1657" i="3"/>
  <c r="AV1657" i="3"/>
  <c r="BA1656" i="3"/>
  <c r="AZ1656" i="3"/>
  <c r="AY1656" i="3"/>
  <c r="AV1656" i="3"/>
  <c r="BA1655" i="3"/>
  <c r="AZ1655" i="3"/>
  <c r="AY1655" i="3"/>
  <c r="AV1655" i="3"/>
  <c r="BA1654" i="3"/>
  <c r="AZ1654" i="3"/>
  <c r="AY1654" i="3"/>
  <c r="AV1654" i="3"/>
  <c r="BA1653" i="3"/>
  <c r="AZ1653" i="3"/>
  <c r="AY1653" i="3"/>
  <c r="AV1653" i="3"/>
  <c r="BA1652" i="3"/>
  <c r="AZ1652" i="3"/>
  <c r="AY1652" i="3"/>
  <c r="AV1652" i="3"/>
  <c r="BA1651" i="3"/>
  <c r="AZ1651" i="3"/>
  <c r="AY1651" i="3"/>
  <c r="AV1651" i="3"/>
  <c r="BA1650" i="3"/>
  <c r="AZ1650" i="3"/>
  <c r="AY1650" i="3"/>
  <c r="AV1650" i="3"/>
  <c r="BA1649" i="3"/>
  <c r="AZ1649" i="3"/>
  <c r="AY1649" i="3"/>
  <c r="AV1649" i="3"/>
  <c r="BA1648" i="3"/>
  <c r="AZ1648" i="3"/>
  <c r="AY1648" i="3"/>
  <c r="AV1648" i="3"/>
  <c r="BA1647" i="3"/>
  <c r="AZ1647" i="3"/>
  <c r="AY1647" i="3"/>
  <c r="AV1647" i="3"/>
  <c r="BA1646" i="3"/>
  <c r="AZ1646" i="3"/>
  <c r="AY1646" i="3"/>
  <c r="AV1646" i="3"/>
  <c r="BA1645" i="3"/>
  <c r="AZ1645" i="3"/>
  <c r="AY1645" i="3"/>
  <c r="AV1645" i="3"/>
  <c r="BA1644" i="3"/>
  <c r="AZ1644" i="3"/>
  <c r="AY1644" i="3"/>
  <c r="AV1644" i="3"/>
  <c r="BA1643" i="3"/>
  <c r="AZ1643" i="3"/>
  <c r="AY1643" i="3"/>
  <c r="AV1643" i="3"/>
  <c r="BA1642" i="3"/>
  <c r="AZ1642" i="3"/>
  <c r="AY1642" i="3"/>
  <c r="AV1642" i="3"/>
  <c r="BA1641" i="3"/>
  <c r="AZ1641" i="3"/>
  <c r="AY1641" i="3"/>
  <c r="AV1641" i="3"/>
  <c r="BA1640" i="3"/>
  <c r="AZ1640" i="3"/>
  <c r="AY1640" i="3"/>
  <c r="AV1640" i="3"/>
  <c r="BA1639" i="3"/>
  <c r="AZ1639" i="3"/>
  <c r="AY1639" i="3"/>
  <c r="AV1639" i="3"/>
  <c r="BA1638" i="3"/>
  <c r="AZ1638" i="3"/>
  <c r="AY1638" i="3"/>
  <c r="AV1638" i="3"/>
  <c r="BA1637" i="3"/>
  <c r="AZ1637" i="3"/>
  <c r="AY1637" i="3"/>
  <c r="AV1637" i="3"/>
  <c r="BA1636" i="3"/>
  <c r="AZ1636" i="3"/>
  <c r="AY1636" i="3"/>
  <c r="AV1636" i="3"/>
  <c r="BA1635" i="3"/>
  <c r="AZ1635" i="3"/>
  <c r="AY1635" i="3"/>
  <c r="AV1635" i="3"/>
  <c r="BA1634" i="3"/>
  <c r="AZ1634" i="3"/>
  <c r="AY1634" i="3"/>
  <c r="AV1634" i="3"/>
  <c r="BA1633" i="3"/>
  <c r="AZ1633" i="3"/>
  <c r="AY1633" i="3"/>
  <c r="AV1633" i="3"/>
  <c r="BA1632" i="3"/>
  <c r="AZ1632" i="3"/>
  <c r="AY1632" i="3"/>
  <c r="AV1632" i="3"/>
  <c r="BA1631" i="3"/>
  <c r="AZ1631" i="3"/>
  <c r="AY1631" i="3"/>
  <c r="AV1631" i="3"/>
  <c r="BA1630" i="3"/>
  <c r="AZ1630" i="3"/>
  <c r="AY1630" i="3"/>
  <c r="AV1630" i="3"/>
  <c r="BA1629" i="3"/>
  <c r="AZ1629" i="3"/>
  <c r="AY1629" i="3"/>
  <c r="AV1629" i="3"/>
  <c r="BA1628" i="3"/>
  <c r="AZ1628" i="3"/>
  <c r="AY1628" i="3"/>
  <c r="AV1628" i="3"/>
  <c r="BA1627" i="3"/>
  <c r="AZ1627" i="3"/>
  <c r="AY1627" i="3"/>
  <c r="AV1627" i="3"/>
  <c r="BA1626" i="3"/>
  <c r="AZ1626" i="3"/>
  <c r="AY1626" i="3"/>
  <c r="AV1626" i="3"/>
  <c r="BA1625" i="3"/>
  <c r="AZ1625" i="3"/>
  <c r="AY1625" i="3"/>
  <c r="AV1625" i="3"/>
  <c r="BA1624" i="3"/>
  <c r="AZ1624" i="3"/>
  <c r="AY1624" i="3"/>
  <c r="AV1624" i="3"/>
  <c r="BA1623" i="3"/>
  <c r="AZ1623" i="3"/>
  <c r="AY1623" i="3"/>
  <c r="AV1623" i="3"/>
  <c r="BA1622" i="3"/>
  <c r="AZ1622" i="3"/>
  <c r="AY1622" i="3"/>
  <c r="AV1622" i="3"/>
  <c r="BA1621" i="3"/>
  <c r="AZ1621" i="3"/>
  <c r="AY1621" i="3"/>
  <c r="AV1621" i="3"/>
  <c r="BA1620" i="3"/>
  <c r="AZ1620" i="3"/>
  <c r="AY1620" i="3"/>
  <c r="AV1620" i="3"/>
  <c r="BA1619" i="3"/>
  <c r="AZ1619" i="3"/>
  <c r="AY1619" i="3"/>
  <c r="AV1619" i="3"/>
  <c r="BA1618" i="3"/>
  <c r="AZ1618" i="3"/>
  <c r="AY1618" i="3"/>
  <c r="AV1618" i="3"/>
  <c r="BA1617" i="3"/>
  <c r="AZ1617" i="3"/>
  <c r="AY1617" i="3"/>
  <c r="AV1617" i="3"/>
  <c r="BA1616" i="3"/>
  <c r="AZ1616" i="3"/>
  <c r="AY1616" i="3"/>
  <c r="AV1616" i="3"/>
  <c r="BA1615" i="3"/>
  <c r="AZ1615" i="3"/>
  <c r="AY1615" i="3"/>
  <c r="AV1615" i="3"/>
  <c r="BA1614" i="3"/>
  <c r="AZ1614" i="3"/>
  <c r="AY1614" i="3"/>
  <c r="AV1614" i="3"/>
  <c r="BA1613" i="3"/>
  <c r="AZ1613" i="3"/>
  <c r="AY1613" i="3"/>
  <c r="AV1613" i="3"/>
  <c r="BA1612" i="3"/>
  <c r="AZ1612" i="3"/>
  <c r="AY1612" i="3"/>
  <c r="AV1612" i="3"/>
  <c r="BA1611" i="3"/>
  <c r="AZ1611" i="3"/>
  <c r="AY1611" i="3"/>
  <c r="AV1611" i="3"/>
  <c r="BA1610" i="3"/>
  <c r="AZ1610" i="3"/>
  <c r="AY1610" i="3"/>
  <c r="AV1610" i="3"/>
  <c r="BA1609" i="3"/>
  <c r="AZ1609" i="3"/>
  <c r="AY1609" i="3"/>
  <c r="AV1609" i="3"/>
  <c r="BA1608" i="3"/>
  <c r="AZ1608" i="3"/>
  <c r="AY1608" i="3"/>
  <c r="AV1608" i="3"/>
  <c r="BA1607" i="3"/>
  <c r="AZ1607" i="3"/>
  <c r="AY1607" i="3"/>
  <c r="AV1607" i="3"/>
  <c r="BA1606" i="3"/>
  <c r="AZ1606" i="3"/>
  <c r="AY1606" i="3"/>
  <c r="AV1606" i="3"/>
  <c r="BA1605" i="3"/>
  <c r="AZ1605" i="3"/>
  <c r="AY1605" i="3"/>
  <c r="AV1605" i="3"/>
  <c r="BA1604" i="3"/>
  <c r="AZ1604" i="3"/>
  <c r="AY1604" i="3"/>
  <c r="AV1604" i="3"/>
  <c r="BA1603" i="3"/>
  <c r="AZ1603" i="3"/>
  <c r="AY1603" i="3"/>
  <c r="AV1603" i="3"/>
  <c r="BA1602" i="3"/>
  <c r="AZ1602" i="3"/>
  <c r="AY1602" i="3"/>
  <c r="AV1602" i="3"/>
  <c r="BA1601" i="3"/>
  <c r="AZ1601" i="3"/>
  <c r="AY1601" i="3"/>
  <c r="AV1601" i="3"/>
  <c r="BA1600" i="3"/>
  <c r="AZ1600" i="3"/>
  <c r="AY1600" i="3"/>
  <c r="AV1600" i="3"/>
  <c r="BA1599" i="3"/>
  <c r="AZ1599" i="3"/>
  <c r="AY1599" i="3"/>
  <c r="AV1599" i="3"/>
  <c r="BA1598" i="3"/>
  <c r="AZ1598" i="3"/>
  <c r="AY1598" i="3"/>
  <c r="AV1598" i="3"/>
  <c r="BA1597" i="3"/>
  <c r="AZ1597" i="3"/>
  <c r="AY1597" i="3"/>
  <c r="AV1597" i="3"/>
  <c r="BA1596" i="3"/>
  <c r="AZ1596" i="3"/>
  <c r="AY1596" i="3"/>
  <c r="AV1596" i="3"/>
  <c r="BA1595" i="3"/>
  <c r="AZ1595" i="3"/>
  <c r="AY1595" i="3"/>
  <c r="AV1595" i="3"/>
  <c r="BA1594" i="3"/>
  <c r="AZ1594" i="3"/>
  <c r="AY1594" i="3"/>
  <c r="AV1594" i="3"/>
  <c r="BA1593" i="3"/>
  <c r="AZ1593" i="3"/>
  <c r="AY1593" i="3"/>
  <c r="AV1593" i="3"/>
  <c r="BA1592" i="3"/>
  <c r="AZ1592" i="3"/>
  <c r="AY1592" i="3"/>
  <c r="AV1592" i="3"/>
  <c r="BA1591" i="3"/>
  <c r="AZ1591" i="3"/>
  <c r="AY1591" i="3"/>
  <c r="AV1591" i="3"/>
  <c r="BA1590" i="3"/>
  <c r="AZ1590" i="3"/>
  <c r="AY1590" i="3"/>
  <c r="AV1590" i="3"/>
  <c r="BA1589" i="3"/>
  <c r="AZ1589" i="3"/>
  <c r="AY1589" i="3"/>
  <c r="AV1589" i="3"/>
  <c r="BA1588" i="3"/>
  <c r="AZ1588" i="3"/>
  <c r="AY1588" i="3"/>
  <c r="AV1588" i="3"/>
  <c r="BA1587" i="3"/>
  <c r="AZ1587" i="3"/>
  <c r="AY1587" i="3"/>
  <c r="AV1587" i="3"/>
  <c r="BA1586" i="3"/>
  <c r="AZ1586" i="3"/>
  <c r="AY1586" i="3"/>
  <c r="AV1586" i="3"/>
  <c r="BA1585" i="3"/>
  <c r="AZ1585" i="3"/>
  <c r="AY1585" i="3"/>
  <c r="AV1585" i="3"/>
  <c r="BA1584" i="3"/>
  <c r="AZ1584" i="3"/>
  <c r="AY1584" i="3"/>
  <c r="AV1584" i="3"/>
  <c r="BA1583" i="3"/>
  <c r="AZ1583" i="3"/>
  <c r="AY1583" i="3"/>
  <c r="AV1583" i="3"/>
  <c r="BA1582" i="3"/>
  <c r="AZ1582" i="3"/>
  <c r="AY1582" i="3"/>
  <c r="AV1582" i="3"/>
  <c r="BA1581" i="3"/>
  <c r="AZ1581" i="3"/>
  <c r="AY1581" i="3"/>
  <c r="AV1581" i="3"/>
  <c r="BA1580" i="3"/>
  <c r="AZ1580" i="3"/>
  <c r="AY1580" i="3"/>
  <c r="AV1580" i="3"/>
  <c r="BA1579" i="3"/>
  <c r="AZ1579" i="3"/>
  <c r="AY1579" i="3"/>
  <c r="AV1579" i="3"/>
  <c r="BA1578" i="3"/>
  <c r="AZ1578" i="3"/>
  <c r="AY1578" i="3"/>
  <c r="AV1578" i="3"/>
  <c r="BA1577" i="3"/>
  <c r="AZ1577" i="3"/>
  <c r="AY1577" i="3"/>
  <c r="AV1577" i="3"/>
  <c r="BA1576" i="3"/>
  <c r="AZ1576" i="3"/>
  <c r="AY1576" i="3"/>
  <c r="AV1576" i="3"/>
  <c r="BA1575" i="3"/>
  <c r="AZ1575" i="3"/>
  <c r="AY1575" i="3"/>
  <c r="AV1575" i="3"/>
  <c r="BA1574" i="3"/>
  <c r="AZ1574" i="3"/>
  <c r="AY1574" i="3"/>
  <c r="AV1574" i="3"/>
  <c r="BA1573" i="3"/>
  <c r="AZ1573" i="3"/>
  <c r="AY1573" i="3"/>
  <c r="AV1573" i="3"/>
  <c r="BA1572" i="3"/>
  <c r="AZ1572" i="3"/>
  <c r="AY1572" i="3"/>
  <c r="AV1572" i="3"/>
  <c r="BA1571" i="3"/>
  <c r="AZ1571" i="3"/>
  <c r="AY1571" i="3"/>
  <c r="AV1571" i="3"/>
  <c r="BA1570" i="3"/>
  <c r="AZ1570" i="3"/>
  <c r="AY1570" i="3"/>
  <c r="AV1570" i="3"/>
  <c r="BA1569" i="3"/>
  <c r="AZ1569" i="3"/>
  <c r="AY1569" i="3"/>
  <c r="AV1569" i="3"/>
  <c r="BA1568" i="3"/>
  <c r="AZ1568" i="3"/>
  <c r="AY1568" i="3"/>
  <c r="AV1568" i="3"/>
  <c r="BA1567" i="3"/>
  <c r="AZ1567" i="3"/>
  <c r="AY1567" i="3"/>
  <c r="AV1567" i="3"/>
  <c r="BA1566" i="3"/>
  <c r="AZ1566" i="3"/>
  <c r="AY1566" i="3"/>
  <c r="AV1566" i="3"/>
  <c r="BA1565" i="3"/>
  <c r="AZ1565" i="3"/>
  <c r="AY1565" i="3"/>
  <c r="AV1565" i="3"/>
  <c r="BA1564" i="3"/>
  <c r="AZ1564" i="3"/>
  <c r="AY1564" i="3"/>
  <c r="AV1564" i="3"/>
  <c r="BA1563" i="3"/>
  <c r="AZ1563" i="3"/>
  <c r="AY1563" i="3"/>
  <c r="AV1563" i="3"/>
  <c r="BA1562" i="3"/>
  <c r="AZ1562" i="3"/>
  <c r="AY1562" i="3"/>
  <c r="AV1562" i="3"/>
  <c r="BA1561" i="3"/>
  <c r="AZ1561" i="3"/>
  <c r="AY1561" i="3"/>
  <c r="AV1561" i="3"/>
  <c r="BA1560" i="3"/>
  <c r="AZ1560" i="3"/>
  <c r="AY1560" i="3"/>
  <c r="AV1560" i="3"/>
  <c r="BA1559" i="3"/>
  <c r="AZ1559" i="3"/>
  <c r="AY1559" i="3"/>
  <c r="AV1559" i="3"/>
  <c r="BA1558" i="3"/>
  <c r="AZ1558" i="3"/>
  <c r="AY1558" i="3"/>
  <c r="AV1558" i="3"/>
  <c r="BA1557" i="3"/>
  <c r="AZ1557" i="3"/>
  <c r="AY1557" i="3"/>
  <c r="AV1557" i="3"/>
  <c r="BA1556" i="3"/>
  <c r="AZ1556" i="3"/>
  <c r="AY1556" i="3"/>
  <c r="AV1556" i="3"/>
  <c r="BA1555" i="3"/>
  <c r="AZ1555" i="3"/>
  <c r="AY1555" i="3"/>
  <c r="AV1555" i="3"/>
  <c r="BA1554" i="3"/>
  <c r="AZ1554" i="3"/>
  <c r="AY1554" i="3"/>
  <c r="AV1554" i="3"/>
  <c r="BA1553" i="3"/>
  <c r="AZ1553" i="3"/>
  <c r="AY1553" i="3"/>
  <c r="AV1553" i="3"/>
  <c r="BA1552" i="3"/>
  <c r="AZ1552" i="3"/>
  <c r="AY1552" i="3"/>
  <c r="AV1552" i="3"/>
  <c r="BA1551" i="3"/>
  <c r="AZ1551" i="3"/>
  <c r="AY1551" i="3"/>
  <c r="AV1551" i="3"/>
  <c r="BA1550" i="3"/>
  <c r="AZ1550" i="3"/>
  <c r="AY1550" i="3"/>
  <c r="AV1550" i="3"/>
  <c r="BA1549" i="3"/>
  <c r="AZ1549" i="3"/>
  <c r="AY1549" i="3"/>
  <c r="AV1549" i="3"/>
  <c r="BA1548" i="3"/>
  <c r="AZ1548" i="3"/>
  <c r="AY1548" i="3"/>
  <c r="AV1548" i="3"/>
  <c r="BA1547" i="3"/>
  <c r="AZ1547" i="3"/>
  <c r="AY1547" i="3"/>
  <c r="AV1547" i="3"/>
  <c r="BA1546" i="3"/>
  <c r="AZ1546" i="3"/>
  <c r="AY1546" i="3"/>
  <c r="AV1546" i="3"/>
  <c r="BA1545" i="3"/>
  <c r="AZ1545" i="3"/>
  <c r="AY1545" i="3"/>
  <c r="AV1545" i="3"/>
  <c r="BA1544" i="3"/>
  <c r="AZ1544" i="3"/>
  <c r="AY1544" i="3"/>
  <c r="AV1544" i="3"/>
  <c r="BA1543" i="3"/>
  <c r="AZ1543" i="3"/>
  <c r="AY1543" i="3"/>
  <c r="AV1543" i="3"/>
  <c r="BA1542" i="3"/>
  <c r="AZ1542" i="3"/>
  <c r="AY1542" i="3"/>
  <c r="AV1542" i="3"/>
  <c r="BA1541" i="3"/>
  <c r="AZ1541" i="3"/>
  <c r="AY1541" i="3"/>
  <c r="AV1541" i="3"/>
  <c r="BA1540" i="3"/>
  <c r="AZ1540" i="3"/>
  <c r="AY1540" i="3"/>
  <c r="AV1540" i="3"/>
  <c r="BA1539" i="3"/>
  <c r="AZ1539" i="3"/>
  <c r="AY1539" i="3"/>
  <c r="AV1539" i="3"/>
  <c r="BA1538" i="3"/>
  <c r="AZ1538" i="3"/>
  <c r="AY1538" i="3"/>
  <c r="AV1538" i="3"/>
  <c r="BA1537" i="3"/>
  <c r="AZ1537" i="3"/>
  <c r="AY1537" i="3"/>
  <c r="AV1537" i="3"/>
  <c r="BA1536" i="3"/>
  <c r="AZ1536" i="3"/>
  <c r="AY1536" i="3"/>
  <c r="AV1536" i="3"/>
  <c r="BA1535" i="3"/>
  <c r="AZ1535" i="3"/>
  <c r="AY1535" i="3"/>
  <c r="AV1535" i="3"/>
  <c r="BA1534" i="3"/>
  <c r="AZ1534" i="3"/>
  <c r="AY1534" i="3"/>
  <c r="AV1534" i="3"/>
  <c r="BA1533" i="3"/>
  <c r="AZ1533" i="3"/>
  <c r="AY1533" i="3"/>
  <c r="AV1533" i="3"/>
  <c r="BA1532" i="3"/>
  <c r="AZ1532" i="3"/>
  <c r="AY1532" i="3"/>
  <c r="AV1532" i="3"/>
  <c r="BA1531" i="3"/>
  <c r="AZ1531" i="3"/>
  <c r="AY1531" i="3"/>
  <c r="AV1531" i="3"/>
  <c r="BA1530" i="3"/>
  <c r="AZ1530" i="3"/>
  <c r="AY1530" i="3"/>
  <c r="AV1530" i="3"/>
  <c r="BA1529" i="3"/>
  <c r="AZ1529" i="3"/>
  <c r="AY1529" i="3"/>
  <c r="AV1529" i="3"/>
  <c r="BA1528" i="3"/>
  <c r="AZ1528" i="3"/>
  <c r="AY1528" i="3"/>
  <c r="AV1528" i="3"/>
  <c r="BA1527" i="3"/>
  <c r="AZ1527" i="3"/>
  <c r="AY1527" i="3"/>
  <c r="AV1527" i="3"/>
  <c r="BA1526" i="3"/>
  <c r="AZ1526" i="3"/>
  <c r="AY1526" i="3"/>
  <c r="AV1526" i="3"/>
  <c r="BA1525" i="3"/>
  <c r="AZ1525" i="3"/>
  <c r="AY1525" i="3"/>
  <c r="AV1525" i="3"/>
  <c r="BA1524" i="3"/>
  <c r="AZ1524" i="3"/>
  <c r="AY1524" i="3"/>
  <c r="AV1524" i="3"/>
  <c r="BA1523" i="3"/>
  <c r="AZ1523" i="3"/>
  <c r="AY1523" i="3"/>
  <c r="AV1523" i="3"/>
  <c r="BA1522" i="3"/>
  <c r="AZ1522" i="3"/>
  <c r="AY1522" i="3"/>
  <c r="AV1522" i="3"/>
  <c r="BA1521" i="3"/>
  <c r="AZ1521" i="3"/>
  <c r="AY1521" i="3"/>
  <c r="AV1521" i="3"/>
  <c r="BA1520" i="3"/>
  <c r="AZ1520" i="3"/>
  <c r="AY1520" i="3"/>
  <c r="AV1520" i="3"/>
  <c r="BA1519" i="3"/>
  <c r="AZ1519" i="3"/>
  <c r="AY1519" i="3"/>
  <c r="AV1519" i="3"/>
  <c r="BA1518" i="3"/>
  <c r="AZ1518" i="3"/>
  <c r="AY1518" i="3"/>
  <c r="AV1518" i="3"/>
  <c r="BA1517" i="3"/>
  <c r="AZ1517" i="3"/>
  <c r="AY1517" i="3"/>
  <c r="AV1517" i="3"/>
  <c r="BA1516" i="3"/>
  <c r="AZ1516" i="3"/>
  <c r="AY1516" i="3"/>
  <c r="AV1516" i="3"/>
  <c r="BA1515" i="3"/>
  <c r="AZ1515" i="3"/>
  <c r="AY1515" i="3"/>
  <c r="AV1515" i="3"/>
  <c r="BA1514" i="3"/>
  <c r="AZ1514" i="3"/>
  <c r="AY1514" i="3"/>
  <c r="AV1514" i="3"/>
  <c r="BA1513" i="3"/>
  <c r="AZ1513" i="3"/>
  <c r="AY1513" i="3"/>
  <c r="AV1513" i="3"/>
  <c r="BA1512" i="3"/>
  <c r="AZ1512" i="3"/>
  <c r="AY1512" i="3"/>
  <c r="AV1512" i="3"/>
  <c r="BA1511" i="3"/>
  <c r="AZ1511" i="3"/>
  <c r="AY1511" i="3"/>
  <c r="AV1511" i="3"/>
  <c r="BA1510" i="3"/>
  <c r="AZ1510" i="3"/>
  <c r="AY1510" i="3"/>
  <c r="AV1510" i="3"/>
  <c r="BA1509" i="3"/>
  <c r="AZ1509" i="3"/>
  <c r="AY1509" i="3"/>
  <c r="AV1509" i="3"/>
  <c r="BA1508" i="3"/>
  <c r="AZ1508" i="3"/>
  <c r="AY1508" i="3"/>
  <c r="AV1508" i="3"/>
  <c r="BA1507" i="3"/>
  <c r="AZ1507" i="3"/>
  <c r="AY1507" i="3"/>
  <c r="AV1507" i="3"/>
  <c r="BA1506" i="3"/>
  <c r="AZ1506" i="3"/>
  <c r="AY1506" i="3"/>
  <c r="AV1506" i="3"/>
  <c r="BA1505" i="3"/>
  <c r="AZ1505" i="3"/>
  <c r="AY1505" i="3"/>
  <c r="AV1505" i="3"/>
  <c r="BA1504" i="3"/>
  <c r="AZ1504" i="3"/>
  <c r="AY1504" i="3"/>
  <c r="AV1504" i="3"/>
  <c r="BA1503" i="3"/>
  <c r="AZ1503" i="3"/>
  <c r="AY1503" i="3"/>
  <c r="AV1503" i="3"/>
  <c r="BA1502" i="3"/>
  <c r="AZ1502" i="3"/>
  <c r="AY1502" i="3"/>
  <c r="AV1502" i="3"/>
  <c r="BA1501" i="3"/>
  <c r="AZ1501" i="3"/>
  <c r="AY1501" i="3"/>
  <c r="AV1501" i="3"/>
  <c r="BA1500" i="3"/>
  <c r="AZ1500" i="3"/>
  <c r="AY1500" i="3"/>
  <c r="AV1500" i="3"/>
  <c r="BA1499" i="3"/>
  <c r="AZ1499" i="3"/>
  <c r="AY1499" i="3"/>
  <c r="AV1499" i="3"/>
  <c r="BA1498" i="3"/>
  <c r="AZ1498" i="3"/>
  <c r="AY1498" i="3"/>
  <c r="AV1498" i="3"/>
  <c r="BA1497" i="3"/>
  <c r="AZ1497" i="3"/>
  <c r="AY1497" i="3"/>
  <c r="AV1497" i="3"/>
  <c r="BA1496" i="3"/>
  <c r="AZ1496" i="3"/>
  <c r="AY1496" i="3"/>
  <c r="AV1496" i="3"/>
  <c r="BA1495" i="3"/>
  <c r="AZ1495" i="3"/>
  <c r="AY1495" i="3"/>
  <c r="AV1495" i="3"/>
  <c r="BA1494" i="3"/>
  <c r="AZ1494" i="3"/>
  <c r="AY1494" i="3"/>
  <c r="AV1494" i="3"/>
  <c r="BA1493" i="3"/>
  <c r="AZ1493" i="3"/>
  <c r="AY1493" i="3"/>
  <c r="AV1493" i="3"/>
  <c r="BA1492" i="3"/>
  <c r="AZ1492" i="3"/>
  <c r="AY1492" i="3"/>
  <c r="AV1492" i="3"/>
  <c r="BA1491" i="3"/>
  <c r="AZ1491" i="3"/>
  <c r="AY1491" i="3"/>
  <c r="AV1491" i="3"/>
  <c r="BA1490" i="3"/>
  <c r="AZ1490" i="3"/>
  <c r="AY1490" i="3"/>
  <c r="AV1490" i="3"/>
  <c r="BA1489" i="3"/>
  <c r="AZ1489" i="3"/>
  <c r="AY1489" i="3"/>
  <c r="AV1489" i="3"/>
  <c r="BA1488" i="3"/>
  <c r="AZ1488" i="3"/>
  <c r="AY1488" i="3"/>
  <c r="AV1488" i="3"/>
  <c r="BA1487" i="3"/>
  <c r="AZ1487" i="3"/>
  <c r="AY1487" i="3"/>
  <c r="AV1487" i="3"/>
  <c r="BA1486" i="3"/>
  <c r="AZ1486" i="3"/>
  <c r="AY1486" i="3"/>
  <c r="AV1486" i="3"/>
  <c r="BA1485" i="3"/>
  <c r="AZ1485" i="3"/>
  <c r="AY1485" i="3"/>
  <c r="AV1485" i="3"/>
  <c r="BA1484" i="3"/>
  <c r="AZ1484" i="3"/>
  <c r="AY1484" i="3"/>
  <c r="AV1484" i="3"/>
  <c r="BA1483" i="3"/>
  <c r="AZ1483" i="3"/>
  <c r="AY1483" i="3"/>
  <c r="AV1483" i="3"/>
  <c r="BA1482" i="3"/>
  <c r="AZ1482" i="3"/>
  <c r="AY1482" i="3"/>
  <c r="AV1482" i="3"/>
  <c r="BA1481" i="3"/>
  <c r="AZ1481" i="3"/>
  <c r="AY1481" i="3"/>
  <c r="AV1481" i="3"/>
  <c r="BA1480" i="3"/>
  <c r="AZ1480" i="3"/>
  <c r="AY1480" i="3"/>
  <c r="AV1480" i="3"/>
  <c r="BA1479" i="3"/>
  <c r="AZ1479" i="3"/>
  <c r="AY1479" i="3"/>
  <c r="AV1479" i="3"/>
  <c r="BA1478" i="3"/>
  <c r="AZ1478" i="3"/>
  <c r="AY1478" i="3"/>
  <c r="AV1478" i="3"/>
  <c r="BA1477" i="3"/>
  <c r="AZ1477" i="3"/>
  <c r="AY1477" i="3"/>
  <c r="AV1477" i="3"/>
  <c r="BA1476" i="3"/>
  <c r="AZ1476" i="3"/>
  <c r="AY1476" i="3"/>
  <c r="AV1476" i="3"/>
  <c r="BA1475" i="3"/>
  <c r="AZ1475" i="3"/>
  <c r="AY1475" i="3"/>
  <c r="AV1475" i="3"/>
  <c r="BA1474" i="3"/>
  <c r="AZ1474" i="3"/>
  <c r="AY1474" i="3"/>
  <c r="AV1474" i="3"/>
  <c r="BA1473" i="3"/>
  <c r="AZ1473" i="3"/>
  <c r="AY1473" i="3"/>
  <c r="AV1473" i="3"/>
  <c r="BA1472" i="3"/>
  <c r="AZ1472" i="3"/>
  <c r="AY1472" i="3"/>
  <c r="AV1472" i="3"/>
  <c r="BA1471" i="3"/>
  <c r="AZ1471" i="3"/>
  <c r="AY1471" i="3"/>
  <c r="AV1471" i="3"/>
  <c r="BA1470" i="3"/>
  <c r="AZ1470" i="3"/>
  <c r="AY1470" i="3"/>
  <c r="AV1470" i="3"/>
  <c r="BA1469" i="3"/>
  <c r="AZ1469" i="3"/>
  <c r="AY1469" i="3"/>
  <c r="AV1469" i="3"/>
  <c r="BA1468" i="3"/>
  <c r="AZ1468" i="3"/>
  <c r="AY1468" i="3"/>
  <c r="AV1468" i="3"/>
  <c r="BA1467" i="3"/>
  <c r="AZ1467" i="3"/>
  <c r="AY1467" i="3"/>
  <c r="AV1467" i="3"/>
  <c r="BA1466" i="3"/>
  <c r="AZ1466" i="3"/>
  <c r="AY1466" i="3"/>
  <c r="AV1466" i="3"/>
  <c r="BA1465" i="3"/>
  <c r="AZ1465" i="3"/>
  <c r="AY1465" i="3"/>
  <c r="AV1465" i="3"/>
  <c r="BA1464" i="3"/>
  <c r="AZ1464" i="3"/>
  <c r="AY1464" i="3"/>
  <c r="AV1464" i="3"/>
  <c r="BA1463" i="3"/>
  <c r="AZ1463" i="3"/>
  <c r="AY1463" i="3"/>
  <c r="AV1463" i="3"/>
  <c r="BA1462" i="3"/>
  <c r="AZ1462" i="3"/>
  <c r="AY1462" i="3"/>
  <c r="AV1462" i="3"/>
  <c r="BA1461" i="3"/>
  <c r="AZ1461" i="3"/>
  <c r="AY1461" i="3"/>
  <c r="AV1461" i="3"/>
  <c r="BA1460" i="3"/>
  <c r="AZ1460" i="3"/>
  <c r="AY1460" i="3"/>
  <c r="AV1460" i="3"/>
  <c r="BA1459" i="3"/>
  <c r="AZ1459" i="3"/>
  <c r="AY1459" i="3"/>
  <c r="AV1459" i="3"/>
  <c r="BA1458" i="3"/>
  <c r="AZ1458" i="3"/>
  <c r="AY1458" i="3"/>
  <c r="AV1458" i="3"/>
  <c r="BA1457" i="3"/>
  <c r="AZ1457" i="3"/>
  <c r="AY1457" i="3"/>
  <c r="AV1457" i="3"/>
  <c r="BA1456" i="3"/>
  <c r="AZ1456" i="3"/>
  <c r="AY1456" i="3"/>
  <c r="AV1456" i="3"/>
  <c r="BA1455" i="3"/>
  <c r="AZ1455" i="3"/>
  <c r="AY1455" i="3"/>
  <c r="AV1455" i="3"/>
  <c r="BA1454" i="3"/>
  <c r="AZ1454" i="3"/>
  <c r="AY1454" i="3"/>
  <c r="AV1454" i="3"/>
  <c r="BA1453" i="3"/>
  <c r="AZ1453" i="3"/>
  <c r="AY1453" i="3"/>
  <c r="AV1453" i="3"/>
  <c r="BA1452" i="3"/>
  <c r="AZ1452" i="3"/>
  <c r="AY1452" i="3"/>
  <c r="AV1452" i="3"/>
  <c r="BA1451" i="3"/>
  <c r="AZ1451" i="3"/>
  <c r="AY1451" i="3"/>
  <c r="AV1451" i="3"/>
  <c r="BA1450" i="3"/>
  <c r="AZ1450" i="3"/>
  <c r="AY1450" i="3"/>
  <c r="AV1450" i="3"/>
  <c r="BA1449" i="3"/>
  <c r="AZ1449" i="3"/>
  <c r="AY1449" i="3"/>
  <c r="AV1449" i="3"/>
  <c r="BA1448" i="3"/>
  <c r="AZ1448" i="3"/>
  <c r="AY1448" i="3"/>
  <c r="AV1448" i="3"/>
  <c r="BA1447" i="3"/>
  <c r="AZ1447" i="3"/>
  <c r="AY1447" i="3"/>
  <c r="AV1447" i="3"/>
  <c r="BA1446" i="3"/>
  <c r="AZ1446" i="3"/>
  <c r="AY1446" i="3"/>
  <c r="AV1446" i="3"/>
  <c r="BA1445" i="3"/>
  <c r="AZ1445" i="3"/>
  <c r="AY1445" i="3"/>
  <c r="AV1445" i="3"/>
  <c r="BA1444" i="3"/>
  <c r="AZ1444" i="3"/>
  <c r="AY1444" i="3"/>
  <c r="AV1444" i="3"/>
  <c r="BA1443" i="3"/>
  <c r="AZ1443" i="3"/>
  <c r="AY1443" i="3"/>
  <c r="AV1443" i="3"/>
  <c r="BA1442" i="3"/>
  <c r="AZ1442" i="3"/>
  <c r="AY1442" i="3"/>
  <c r="AV1442" i="3"/>
  <c r="BA1441" i="3"/>
  <c r="AZ1441" i="3"/>
  <c r="AY1441" i="3"/>
  <c r="AV1441" i="3"/>
  <c r="BA1440" i="3"/>
  <c r="AZ1440" i="3"/>
  <c r="AY1440" i="3"/>
  <c r="AV1440" i="3"/>
  <c r="BA1439" i="3"/>
  <c r="AZ1439" i="3"/>
  <c r="AY1439" i="3"/>
  <c r="AV1439" i="3"/>
  <c r="BA1438" i="3"/>
  <c r="AZ1438" i="3"/>
  <c r="AY1438" i="3"/>
  <c r="AV1438" i="3"/>
  <c r="BA1437" i="3"/>
  <c r="AZ1437" i="3"/>
  <c r="AY1437" i="3"/>
  <c r="AV1437" i="3"/>
  <c r="BA1436" i="3"/>
  <c r="AZ1436" i="3"/>
  <c r="AY1436" i="3"/>
  <c r="AV1436" i="3"/>
  <c r="BA1435" i="3"/>
  <c r="AZ1435" i="3"/>
  <c r="AY1435" i="3"/>
  <c r="AV1435" i="3"/>
  <c r="BA1434" i="3"/>
  <c r="AZ1434" i="3"/>
  <c r="AY1434" i="3"/>
  <c r="AV1434" i="3"/>
  <c r="BA1433" i="3"/>
  <c r="AZ1433" i="3"/>
  <c r="AY1433" i="3"/>
  <c r="AV1433" i="3"/>
  <c r="BA1432" i="3"/>
  <c r="AZ1432" i="3"/>
  <c r="AY1432" i="3"/>
  <c r="AV1432" i="3"/>
  <c r="BA1431" i="3"/>
  <c r="AZ1431" i="3"/>
  <c r="AY1431" i="3"/>
  <c r="AV1431" i="3"/>
  <c r="BA1430" i="3"/>
  <c r="AZ1430" i="3"/>
  <c r="AY1430" i="3"/>
  <c r="AV1430" i="3"/>
  <c r="BA1429" i="3"/>
  <c r="AZ1429" i="3"/>
  <c r="AY1429" i="3"/>
  <c r="AV1429" i="3"/>
  <c r="BA1428" i="3"/>
  <c r="AZ1428" i="3"/>
  <c r="AY1428" i="3"/>
  <c r="AV1428" i="3"/>
  <c r="BA1427" i="3"/>
  <c r="AZ1427" i="3"/>
  <c r="AY1427" i="3"/>
  <c r="AV1427" i="3"/>
  <c r="BA1426" i="3"/>
  <c r="AZ1426" i="3"/>
  <c r="AY1426" i="3"/>
  <c r="AV1426" i="3"/>
  <c r="BA1425" i="3"/>
  <c r="AZ1425" i="3"/>
  <c r="AY1425" i="3"/>
  <c r="AV1425" i="3"/>
  <c r="BA1424" i="3"/>
  <c r="AZ1424" i="3"/>
  <c r="AY1424" i="3"/>
  <c r="AV1424" i="3"/>
  <c r="BA1423" i="3"/>
  <c r="AZ1423" i="3"/>
  <c r="AY1423" i="3"/>
  <c r="AV1423" i="3"/>
  <c r="BA1422" i="3"/>
  <c r="AZ1422" i="3"/>
  <c r="AY1422" i="3"/>
  <c r="AV1422" i="3"/>
  <c r="BA1421" i="3"/>
  <c r="AZ1421" i="3"/>
  <c r="AY1421" i="3"/>
  <c r="AV1421" i="3"/>
  <c r="BA1420" i="3"/>
  <c r="AZ1420" i="3"/>
  <c r="AY1420" i="3"/>
  <c r="AV1420" i="3"/>
  <c r="BA1419" i="3"/>
  <c r="AZ1419" i="3"/>
  <c r="AY1419" i="3"/>
  <c r="AV1419" i="3"/>
  <c r="BA1418" i="3"/>
  <c r="AZ1418" i="3"/>
  <c r="AY1418" i="3"/>
  <c r="AV1418" i="3"/>
  <c r="BA1417" i="3"/>
  <c r="AZ1417" i="3"/>
  <c r="AY1417" i="3"/>
  <c r="AV1417" i="3"/>
  <c r="BA1416" i="3"/>
  <c r="AZ1416" i="3"/>
  <c r="AY1416" i="3"/>
  <c r="AV1416" i="3"/>
  <c r="BA1415" i="3"/>
  <c r="AZ1415" i="3"/>
  <c r="AY1415" i="3"/>
  <c r="AV1415" i="3"/>
  <c r="BA1414" i="3"/>
  <c r="AZ1414" i="3"/>
  <c r="AY1414" i="3"/>
  <c r="AV1414" i="3"/>
  <c r="BA1413" i="3"/>
  <c r="AZ1413" i="3"/>
  <c r="AY1413" i="3"/>
  <c r="AV1413" i="3"/>
  <c r="BA1412" i="3"/>
  <c r="AZ1412" i="3"/>
  <c r="AY1412" i="3"/>
  <c r="AV1412" i="3"/>
  <c r="BA1411" i="3"/>
  <c r="AZ1411" i="3"/>
  <c r="AY1411" i="3"/>
  <c r="AV1411" i="3"/>
  <c r="BA1410" i="3"/>
  <c r="AZ1410" i="3"/>
  <c r="AY1410" i="3"/>
  <c r="AV1410" i="3"/>
  <c r="BA1409" i="3"/>
  <c r="AZ1409" i="3"/>
  <c r="AY1409" i="3"/>
  <c r="AV1409" i="3"/>
  <c r="BA1408" i="3"/>
  <c r="AZ1408" i="3"/>
  <c r="AY1408" i="3"/>
  <c r="AV1408" i="3"/>
  <c r="BA1407" i="3"/>
  <c r="AZ1407" i="3"/>
  <c r="AY1407" i="3"/>
  <c r="AV1407" i="3"/>
  <c r="BA1406" i="3"/>
  <c r="AZ1406" i="3"/>
  <c r="AY1406" i="3"/>
  <c r="AV1406" i="3"/>
  <c r="BA1405" i="3"/>
  <c r="AZ1405" i="3"/>
  <c r="AY1405" i="3"/>
  <c r="AV1405" i="3"/>
  <c r="BA1404" i="3"/>
  <c r="AZ1404" i="3"/>
  <c r="AY1404" i="3"/>
  <c r="AV1404" i="3"/>
  <c r="BA1403" i="3"/>
  <c r="AZ1403" i="3"/>
  <c r="AY1403" i="3"/>
  <c r="AV1403" i="3"/>
  <c r="BA1402" i="3"/>
  <c r="AZ1402" i="3"/>
  <c r="AY1402" i="3"/>
  <c r="AV1402" i="3"/>
  <c r="BA1401" i="3"/>
  <c r="AZ1401" i="3"/>
  <c r="AY1401" i="3"/>
  <c r="AV1401" i="3"/>
  <c r="BA1400" i="3"/>
  <c r="AZ1400" i="3"/>
  <c r="AY1400" i="3"/>
  <c r="AV1400" i="3"/>
  <c r="BA1399" i="3"/>
  <c r="AZ1399" i="3"/>
  <c r="AY1399" i="3"/>
  <c r="AV1399" i="3"/>
  <c r="BA1398" i="3"/>
  <c r="AZ1398" i="3"/>
  <c r="AY1398" i="3"/>
  <c r="AV1398" i="3"/>
  <c r="BA1397" i="3"/>
  <c r="AZ1397" i="3"/>
  <c r="AY1397" i="3"/>
  <c r="AV1397" i="3"/>
  <c r="BA1396" i="3"/>
  <c r="AZ1396" i="3"/>
  <c r="AY1396" i="3"/>
  <c r="AV1396" i="3"/>
  <c r="BA1395" i="3"/>
  <c r="AZ1395" i="3"/>
  <c r="AY1395" i="3"/>
  <c r="AV1395" i="3"/>
  <c r="BA1394" i="3"/>
  <c r="AZ1394" i="3"/>
  <c r="AY1394" i="3"/>
  <c r="AV1394" i="3"/>
  <c r="BA1393" i="3"/>
  <c r="AZ1393" i="3"/>
  <c r="AY1393" i="3"/>
  <c r="AV1393" i="3"/>
  <c r="BA1392" i="3"/>
  <c r="AZ1392" i="3"/>
  <c r="AY1392" i="3"/>
  <c r="AV1392" i="3"/>
  <c r="BA1391" i="3"/>
  <c r="AZ1391" i="3"/>
  <c r="AY1391" i="3"/>
  <c r="AV1391" i="3"/>
  <c r="BA1390" i="3"/>
  <c r="AZ1390" i="3"/>
  <c r="AY1390" i="3"/>
  <c r="AV1390" i="3"/>
  <c r="BA1389" i="3"/>
  <c r="AZ1389" i="3"/>
  <c r="AY1389" i="3"/>
  <c r="AV1389" i="3"/>
  <c r="BA1388" i="3"/>
  <c r="AZ1388" i="3"/>
  <c r="AY1388" i="3"/>
  <c r="AV1388" i="3"/>
  <c r="BA1387" i="3"/>
  <c r="AZ1387" i="3"/>
  <c r="AY1387" i="3"/>
  <c r="AV1387" i="3"/>
  <c r="BA1386" i="3"/>
  <c r="AZ1386" i="3"/>
  <c r="AY1386" i="3"/>
  <c r="AV1386" i="3"/>
  <c r="BA1385" i="3"/>
  <c r="AZ1385" i="3"/>
  <c r="AY1385" i="3"/>
  <c r="AV1385" i="3"/>
  <c r="BA1384" i="3"/>
  <c r="AZ1384" i="3"/>
  <c r="AY1384" i="3"/>
  <c r="AV1384" i="3"/>
  <c r="BA1383" i="3"/>
  <c r="AZ1383" i="3"/>
  <c r="AY1383" i="3"/>
  <c r="AV1383" i="3"/>
  <c r="BA1382" i="3"/>
  <c r="AZ1382" i="3"/>
  <c r="AY1382" i="3"/>
  <c r="AV1382" i="3"/>
  <c r="BA1381" i="3"/>
  <c r="AZ1381" i="3"/>
  <c r="AY1381" i="3"/>
  <c r="AV1381" i="3"/>
  <c r="BA1380" i="3"/>
  <c r="AZ1380" i="3"/>
  <c r="AY1380" i="3"/>
  <c r="AV1380" i="3"/>
  <c r="BA1379" i="3"/>
  <c r="AZ1379" i="3"/>
  <c r="AY1379" i="3"/>
  <c r="AV1379" i="3"/>
  <c r="BA1378" i="3"/>
  <c r="AZ1378" i="3"/>
  <c r="AY1378" i="3"/>
  <c r="AV1378" i="3"/>
  <c r="BA1377" i="3"/>
  <c r="AZ1377" i="3"/>
  <c r="AY1377" i="3"/>
  <c r="AV1377" i="3"/>
  <c r="BA1376" i="3"/>
  <c r="AZ1376" i="3"/>
  <c r="AY1376" i="3"/>
  <c r="AV1376" i="3"/>
  <c r="BA1375" i="3"/>
  <c r="AZ1375" i="3"/>
  <c r="AY1375" i="3"/>
  <c r="AV1375" i="3"/>
  <c r="BA1374" i="3"/>
  <c r="AZ1374" i="3"/>
  <c r="AY1374" i="3"/>
  <c r="AV1374" i="3"/>
  <c r="BA1373" i="3"/>
  <c r="AZ1373" i="3"/>
  <c r="AY1373" i="3"/>
  <c r="AV1373" i="3"/>
  <c r="BA1372" i="3"/>
  <c r="AZ1372" i="3"/>
  <c r="AY1372" i="3"/>
  <c r="AV1372" i="3"/>
  <c r="BA1371" i="3"/>
  <c r="AZ1371" i="3"/>
  <c r="AY1371" i="3"/>
  <c r="AV1371" i="3"/>
  <c r="BA1370" i="3"/>
  <c r="AZ1370" i="3"/>
  <c r="AY1370" i="3"/>
  <c r="AV1370" i="3"/>
  <c r="BA1369" i="3"/>
  <c r="AZ1369" i="3"/>
  <c r="AY1369" i="3"/>
  <c r="AV1369" i="3"/>
  <c r="BA1368" i="3"/>
  <c r="AZ1368" i="3"/>
  <c r="AY1368" i="3"/>
  <c r="AV1368" i="3"/>
  <c r="BA1367" i="3"/>
  <c r="AZ1367" i="3"/>
  <c r="AY1367" i="3"/>
  <c r="AV1367" i="3"/>
  <c r="BA1366" i="3"/>
  <c r="AZ1366" i="3"/>
  <c r="AY1366" i="3"/>
  <c r="AV1366" i="3"/>
  <c r="BA1365" i="3"/>
  <c r="AZ1365" i="3"/>
  <c r="AY1365" i="3"/>
  <c r="AV1365" i="3"/>
  <c r="BA1364" i="3"/>
  <c r="AZ1364" i="3"/>
  <c r="AY1364" i="3"/>
  <c r="AV1364" i="3"/>
  <c r="BA1363" i="3"/>
  <c r="AZ1363" i="3"/>
  <c r="AY1363" i="3"/>
  <c r="AV1363" i="3"/>
  <c r="BA1362" i="3"/>
  <c r="AZ1362" i="3"/>
  <c r="AY1362" i="3"/>
  <c r="AV1362" i="3"/>
  <c r="BA1361" i="3"/>
  <c r="AZ1361" i="3"/>
  <c r="AY1361" i="3"/>
  <c r="AV1361" i="3"/>
  <c r="BA1360" i="3"/>
  <c r="AZ1360" i="3"/>
  <c r="AY1360" i="3"/>
  <c r="AV1360" i="3"/>
  <c r="BA1359" i="3"/>
  <c r="AZ1359" i="3"/>
  <c r="AY1359" i="3"/>
  <c r="AV1359" i="3"/>
  <c r="BA1358" i="3"/>
  <c r="AZ1358" i="3"/>
  <c r="AY1358" i="3"/>
  <c r="AV1358" i="3"/>
  <c r="BA1357" i="3"/>
  <c r="AZ1357" i="3"/>
  <c r="AY1357" i="3"/>
  <c r="AV1357" i="3"/>
  <c r="BA1356" i="3"/>
  <c r="AZ1356" i="3"/>
  <c r="AY1356" i="3"/>
  <c r="AV1356" i="3"/>
  <c r="BA1355" i="3"/>
  <c r="AZ1355" i="3"/>
  <c r="AY1355" i="3"/>
  <c r="AV1355" i="3"/>
  <c r="BA1354" i="3"/>
  <c r="AZ1354" i="3"/>
  <c r="AY1354" i="3"/>
  <c r="AV1354" i="3"/>
  <c r="BA1353" i="3"/>
  <c r="AZ1353" i="3"/>
  <c r="AY1353" i="3"/>
  <c r="AV1353" i="3"/>
  <c r="BA1352" i="3"/>
  <c r="AZ1352" i="3"/>
  <c r="AY1352" i="3"/>
  <c r="AV1352" i="3"/>
  <c r="BA1351" i="3"/>
  <c r="AZ1351" i="3"/>
  <c r="AY1351" i="3"/>
  <c r="AV1351" i="3"/>
  <c r="BA1350" i="3"/>
  <c r="AZ1350" i="3"/>
  <c r="AY1350" i="3"/>
  <c r="AV1350" i="3"/>
  <c r="BA1349" i="3"/>
  <c r="AZ1349" i="3"/>
  <c r="AY1349" i="3"/>
  <c r="AV1349" i="3"/>
  <c r="BA1348" i="3"/>
  <c r="AZ1348" i="3"/>
  <c r="AY1348" i="3"/>
  <c r="AV1348" i="3"/>
  <c r="BA1347" i="3"/>
  <c r="AZ1347" i="3"/>
  <c r="AY1347" i="3"/>
  <c r="AV1347" i="3"/>
  <c r="BA1346" i="3"/>
  <c r="AZ1346" i="3"/>
  <c r="AY1346" i="3"/>
  <c r="AV1346" i="3"/>
  <c r="BA1345" i="3"/>
  <c r="AZ1345" i="3"/>
  <c r="AY1345" i="3"/>
  <c r="AV1345" i="3"/>
  <c r="BA1344" i="3"/>
  <c r="AZ1344" i="3"/>
  <c r="AY1344" i="3"/>
  <c r="AV1344" i="3"/>
  <c r="BA1343" i="3"/>
  <c r="AZ1343" i="3"/>
  <c r="AY1343" i="3"/>
  <c r="AV1343" i="3"/>
  <c r="BA1342" i="3"/>
  <c r="AZ1342" i="3"/>
  <c r="AY1342" i="3"/>
  <c r="AV1342" i="3"/>
  <c r="BA1341" i="3"/>
  <c r="AZ1341" i="3"/>
  <c r="AY1341" i="3"/>
  <c r="AV1341" i="3"/>
  <c r="BA1340" i="3"/>
  <c r="AZ1340" i="3"/>
  <c r="AY1340" i="3"/>
  <c r="AV1340" i="3"/>
  <c r="BA1339" i="3"/>
  <c r="AZ1339" i="3"/>
  <c r="AY1339" i="3"/>
  <c r="AV1339" i="3"/>
  <c r="BA1338" i="3"/>
  <c r="AZ1338" i="3"/>
  <c r="AY1338" i="3"/>
  <c r="AV1338" i="3"/>
  <c r="BA1337" i="3"/>
  <c r="AZ1337" i="3"/>
  <c r="AY1337" i="3"/>
  <c r="AV1337" i="3"/>
  <c r="BA1336" i="3"/>
  <c r="AZ1336" i="3"/>
  <c r="AY1336" i="3"/>
  <c r="AV1336" i="3"/>
  <c r="BA1335" i="3"/>
  <c r="AZ1335" i="3"/>
  <c r="AY1335" i="3"/>
  <c r="AV1335" i="3"/>
  <c r="BA1334" i="3"/>
  <c r="AZ1334" i="3"/>
  <c r="AY1334" i="3"/>
  <c r="AV1334" i="3"/>
  <c r="BA1333" i="3"/>
  <c r="AZ1333" i="3"/>
  <c r="AY1333" i="3"/>
  <c r="AV1333" i="3"/>
  <c r="BA1332" i="3"/>
  <c r="AZ1332" i="3"/>
  <c r="AY1332" i="3"/>
  <c r="AV1332" i="3"/>
  <c r="BA1331" i="3"/>
  <c r="AZ1331" i="3"/>
  <c r="AY1331" i="3"/>
  <c r="AV1331" i="3"/>
  <c r="BA1330" i="3"/>
  <c r="AZ1330" i="3"/>
  <c r="AY1330" i="3"/>
  <c r="AV1330" i="3"/>
  <c r="BA1329" i="3"/>
  <c r="AZ1329" i="3"/>
  <c r="AY1329" i="3"/>
  <c r="AV1329" i="3"/>
  <c r="BA1328" i="3"/>
  <c r="AZ1328" i="3"/>
  <c r="AY1328" i="3"/>
  <c r="AV1328" i="3"/>
  <c r="BA1327" i="3"/>
  <c r="AZ1327" i="3"/>
  <c r="AY1327" i="3"/>
  <c r="AV1327" i="3"/>
  <c r="BA1326" i="3"/>
  <c r="AZ1326" i="3"/>
  <c r="AY1326" i="3"/>
  <c r="AV1326" i="3"/>
  <c r="BA1325" i="3"/>
  <c r="AZ1325" i="3"/>
  <c r="AY1325" i="3"/>
  <c r="AV1325" i="3"/>
  <c r="BA1324" i="3"/>
  <c r="AZ1324" i="3"/>
  <c r="AY1324" i="3"/>
  <c r="AV1324" i="3"/>
  <c r="BA1323" i="3"/>
  <c r="AZ1323" i="3"/>
  <c r="AY1323" i="3"/>
  <c r="AV1323" i="3"/>
  <c r="BA1322" i="3"/>
  <c r="AZ1322" i="3"/>
  <c r="AY1322" i="3"/>
  <c r="AV1322" i="3"/>
  <c r="BA1321" i="3"/>
  <c r="AZ1321" i="3"/>
  <c r="AY1321" i="3"/>
  <c r="AV1321" i="3"/>
  <c r="BA1320" i="3"/>
  <c r="AZ1320" i="3"/>
  <c r="AY1320" i="3"/>
  <c r="AV1320" i="3"/>
  <c r="BA1319" i="3"/>
  <c r="AZ1319" i="3"/>
  <c r="AY1319" i="3"/>
  <c r="AV1319" i="3"/>
  <c r="BA1318" i="3"/>
  <c r="AZ1318" i="3"/>
  <c r="AY1318" i="3"/>
  <c r="AV1318" i="3"/>
  <c r="BA1317" i="3"/>
  <c r="AZ1317" i="3"/>
  <c r="AY1317" i="3"/>
  <c r="AV1317" i="3"/>
  <c r="BA1316" i="3"/>
  <c r="AZ1316" i="3"/>
  <c r="AY1316" i="3"/>
  <c r="AV1316" i="3"/>
  <c r="BA1315" i="3"/>
  <c r="AZ1315" i="3"/>
  <c r="AY1315" i="3"/>
  <c r="AV1315" i="3"/>
  <c r="BA1314" i="3"/>
  <c r="AZ1314" i="3"/>
  <c r="AY1314" i="3"/>
  <c r="AV1314" i="3"/>
  <c r="BA1313" i="3"/>
  <c r="AZ1313" i="3"/>
  <c r="AY1313" i="3"/>
  <c r="AV1313" i="3"/>
  <c r="BA1312" i="3"/>
  <c r="AZ1312" i="3"/>
  <c r="AY1312" i="3"/>
  <c r="AV1312" i="3"/>
  <c r="BA1311" i="3"/>
  <c r="AZ1311" i="3"/>
  <c r="AY1311" i="3"/>
  <c r="AV1311" i="3"/>
  <c r="BA1310" i="3"/>
  <c r="AZ1310" i="3"/>
  <c r="AY1310" i="3"/>
  <c r="AV1310" i="3"/>
  <c r="BA1309" i="3"/>
  <c r="AZ1309" i="3"/>
  <c r="AY1309" i="3"/>
  <c r="AV1309" i="3"/>
  <c r="BA1308" i="3"/>
  <c r="AZ1308" i="3"/>
  <c r="AY1308" i="3"/>
  <c r="AV1308" i="3"/>
  <c r="BA1307" i="3"/>
  <c r="AZ1307" i="3"/>
  <c r="AY1307" i="3"/>
  <c r="AV1307" i="3"/>
  <c r="BA1306" i="3"/>
  <c r="AZ1306" i="3"/>
  <c r="AY1306" i="3"/>
  <c r="AV1306" i="3"/>
  <c r="BA1305" i="3"/>
  <c r="AZ1305" i="3"/>
  <c r="AY1305" i="3"/>
  <c r="AV1305" i="3"/>
  <c r="BA1304" i="3"/>
  <c r="AZ1304" i="3"/>
  <c r="AY1304" i="3"/>
  <c r="AV1304" i="3"/>
  <c r="BA1303" i="3"/>
  <c r="AZ1303" i="3"/>
  <c r="AY1303" i="3"/>
  <c r="AV1303" i="3"/>
  <c r="BA1302" i="3"/>
  <c r="AZ1302" i="3"/>
  <c r="AY1302" i="3"/>
  <c r="AV1302" i="3"/>
  <c r="BA1301" i="3"/>
  <c r="AZ1301" i="3"/>
  <c r="AY1301" i="3"/>
  <c r="AV1301" i="3"/>
  <c r="BA1300" i="3"/>
  <c r="AZ1300" i="3"/>
  <c r="AY1300" i="3"/>
  <c r="AV1300" i="3"/>
  <c r="BA1299" i="3"/>
  <c r="AZ1299" i="3"/>
  <c r="AY1299" i="3"/>
  <c r="AV1299" i="3"/>
  <c r="BA1298" i="3"/>
  <c r="AZ1298" i="3"/>
  <c r="AY1298" i="3"/>
  <c r="AV1298" i="3"/>
  <c r="BA1297" i="3"/>
  <c r="AZ1297" i="3"/>
  <c r="AY1297" i="3"/>
  <c r="AV1297" i="3"/>
  <c r="BA1296" i="3"/>
  <c r="AZ1296" i="3"/>
  <c r="AY1296" i="3"/>
  <c r="AV1296" i="3"/>
  <c r="BA1295" i="3"/>
  <c r="AZ1295" i="3"/>
  <c r="AY1295" i="3"/>
  <c r="AV1295" i="3"/>
  <c r="BA1294" i="3"/>
  <c r="AZ1294" i="3"/>
  <c r="AY1294" i="3"/>
  <c r="AV1294" i="3"/>
  <c r="BA1293" i="3"/>
  <c r="AZ1293" i="3"/>
  <c r="AY1293" i="3"/>
  <c r="AV1293" i="3"/>
  <c r="BA1292" i="3"/>
  <c r="AZ1292" i="3"/>
  <c r="AY1292" i="3"/>
  <c r="AV1292" i="3"/>
  <c r="BA1291" i="3"/>
  <c r="AZ1291" i="3"/>
  <c r="AY1291" i="3"/>
  <c r="AV1291" i="3"/>
  <c r="BA1290" i="3"/>
  <c r="AZ1290" i="3"/>
  <c r="AY1290" i="3"/>
  <c r="AV1290" i="3"/>
  <c r="BA1289" i="3"/>
  <c r="AZ1289" i="3"/>
  <c r="AY1289" i="3"/>
  <c r="AV1289" i="3"/>
  <c r="BA1288" i="3"/>
  <c r="AZ1288" i="3"/>
  <c r="AY1288" i="3"/>
  <c r="AV1288" i="3"/>
  <c r="BA1287" i="3"/>
  <c r="AZ1287" i="3"/>
  <c r="AY1287" i="3"/>
  <c r="AV1287" i="3"/>
  <c r="BA1286" i="3"/>
  <c r="AZ1286" i="3"/>
  <c r="AY1286" i="3"/>
  <c r="AV1286" i="3"/>
  <c r="BA1285" i="3"/>
  <c r="AZ1285" i="3"/>
  <c r="AY1285" i="3"/>
  <c r="AV1285" i="3"/>
  <c r="BA1284" i="3"/>
  <c r="AZ1284" i="3"/>
  <c r="AY1284" i="3"/>
  <c r="AV1284" i="3"/>
  <c r="BA1283" i="3"/>
  <c r="AZ1283" i="3"/>
  <c r="AY1283" i="3"/>
  <c r="AV1283" i="3"/>
  <c r="BA1282" i="3"/>
  <c r="AZ1282" i="3"/>
  <c r="AY1282" i="3"/>
  <c r="AV1282" i="3"/>
  <c r="BA1281" i="3"/>
  <c r="AZ1281" i="3"/>
  <c r="AY1281" i="3"/>
  <c r="AV1281" i="3"/>
  <c r="BA1280" i="3"/>
  <c r="AZ1280" i="3"/>
  <c r="AY1280" i="3"/>
  <c r="AV1280" i="3"/>
  <c r="BA1279" i="3"/>
  <c r="AZ1279" i="3"/>
  <c r="AY1279" i="3"/>
  <c r="AV1279" i="3"/>
  <c r="BA1278" i="3"/>
  <c r="AZ1278" i="3"/>
  <c r="AY1278" i="3"/>
  <c r="AV1278" i="3"/>
  <c r="BA1277" i="3"/>
  <c r="AZ1277" i="3"/>
  <c r="AY1277" i="3"/>
  <c r="AV1277" i="3"/>
  <c r="BA1276" i="3"/>
  <c r="AZ1276" i="3"/>
  <c r="AY1276" i="3"/>
  <c r="AV1276" i="3"/>
  <c r="BA1275" i="3"/>
  <c r="AZ1275" i="3"/>
  <c r="AY1275" i="3"/>
  <c r="AV1275" i="3"/>
  <c r="BA1274" i="3"/>
  <c r="AZ1274" i="3"/>
  <c r="AY1274" i="3"/>
  <c r="AV1274" i="3"/>
  <c r="BA1273" i="3"/>
  <c r="AZ1273" i="3"/>
  <c r="AY1273" i="3"/>
  <c r="AV1273" i="3"/>
  <c r="BA1272" i="3"/>
  <c r="AZ1272" i="3"/>
  <c r="AY1272" i="3"/>
  <c r="AV1272" i="3"/>
  <c r="BA1271" i="3"/>
  <c r="AZ1271" i="3"/>
  <c r="AY1271" i="3"/>
  <c r="AV1271" i="3"/>
  <c r="BA1270" i="3"/>
  <c r="AZ1270" i="3"/>
  <c r="AY1270" i="3"/>
  <c r="AV1270" i="3"/>
  <c r="BA1269" i="3"/>
  <c r="AZ1269" i="3"/>
  <c r="AY1269" i="3"/>
  <c r="AV1269" i="3"/>
  <c r="BA1268" i="3"/>
  <c r="AZ1268" i="3"/>
  <c r="AY1268" i="3"/>
  <c r="AV1268" i="3"/>
  <c r="BA1267" i="3"/>
  <c r="AZ1267" i="3"/>
  <c r="AY1267" i="3"/>
  <c r="AV1267" i="3"/>
  <c r="BA1266" i="3"/>
  <c r="AZ1266" i="3"/>
  <c r="AY1266" i="3"/>
  <c r="AV1266" i="3"/>
  <c r="BA1265" i="3"/>
  <c r="AZ1265" i="3"/>
  <c r="AY1265" i="3"/>
  <c r="AV1265" i="3"/>
  <c r="BA1264" i="3"/>
  <c r="AZ1264" i="3"/>
  <c r="AY1264" i="3"/>
  <c r="AV1264" i="3"/>
  <c r="BA1263" i="3"/>
  <c r="AZ1263" i="3"/>
  <c r="AY1263" i="3"/>
  <c r="AV1263" i="3"/>
  <c r="BA1262" i="3"/>
  <c r="AZ1262" i="3"/>
  <c r="AY1262" i="3"/>
  <c r="AV1262" i="3"/>
  <c r="BA1261" i="3"/>
  <c r="AZ1261" i="3"/>
  <c r="AY1261" i="3"/>
  <c r="AV1261" i="3"/>
  <c r="BA1260" i="3"/>
  <c r="AZ1260" i="3"/>
  <c r="AY1260" i="3"/>
  <c r="AV1260" i="3"/>
  <c r="BA1259" i="3"/>
  <c r="AZ1259" i="3"/>
  <c r="AY1259" i="3"/>
  <c r="AV1259" i="3"/>
  <c r="BA1258" i="3"/>
  <c r="AZ1258" i="3"/>
  <c r="AY1258" i="3"/>
  <c r="AV1258" i="3"/>
  <c r="BA1257" i="3"/>
  <c r="AZ1257" i="3"/>
  <c r="AY1257" i="3"/>
  <c r="AV1257" i="3"/>
  <c r="BA1256" i="3"/>
  <c r="AZ1256" i="3"/>
  <c r="AY1256" i="3"/>
  <c r="AV1256" i="3"/>
  <c r="BA1255" i="3"/>
  <c r="AZ1255" i="3"/>
  <c r="AY1255" i="3"/>
  <c r="AV1255" i="3"/>
  <c r="BA1254" i="3"/>
  <c r="AZ1254" i="3"/>
  <c r="AY1254" i="3"/>
  <c r="AV1254" i="3"/>
  <c r="BA1253" i="3"/>
  <c r="AZ1253" i="3"/>
  <c r="AY1253" i="3"/>
  <c r="AV1253" i="3"/>
  <c r="BA1252" i="3"/>
  <c r="AZ1252" i="3"/>
  <c r="AY1252" i="3"/>
  <c r="AV1252" i="3"/>
  <c r="BA1251" i="3"/>
  <c r="AZ1251" i="3"/>
  <c r="AY1251" i="3"/>
  <c r="AV1251" i="3"/>
  <c r="BA1250" i="3"/>
  <c r="AZ1250" i="3"/>
  <c r="AY1250" i="3"/>
  <c r="AV1250" i="3"/>
  <c r="BA1249" i="3"/>
  <c r="AZ1249" i="3"/>
  <c r="AY1249" i="3"/>
  <c r="AV1249" i="3"/>
  <c r="BA1248" i="3"/>
  <c r="AZ1248" i="3"/>
  <c r="AY1248" i="3"/>
  <c r="AV1248" i="3"/>
  <c r="BA1247" i="3"/>
  <c r="AZ1247" i="3"/>
  <c r="AY1247" i="3"/>
  <c r="AV1247" i="3"/>
  <c r="BA1246" i="3"/>
  <c r="AZ1246" i="3"/>
  <c r="AY1246" i="3"/>
  <c r="AV1246" i="3"/>
  <c r="BA1245" i="3"/>
  <c r="AZ1245" i="3"/>
  <c r="AY1245" i="3"/>
  <c r="AV1245" i="3"/>
  <c r="BA1244" i="3"/>
  <c r="AZ1244" i="3"/>
  <c r="AY1244" i="3"/>
  <c r="AV1244" i="3"/>
  <c r="BA1243" i="3"/>
  <c r="AZ1243" i="3"/>
  <c r="AY1243" i="3"/>
  <c r="AV1243" i="3"/>
  <c r="BA1242" i="3"/>
  <c r="AZ1242" i="3"/>
  <c r="AY1242" i="3"/>
  <c r="AV1242" i="3"/>
  <c r="BA1241" i="3"/>
  <c r="AZ1241" i="3"/>
  <c r="AY1241" i="3"/>
  <c r="AV1241" i="3"/>
  <c r="BA1240" i="3"/>
  <c r="AZ1240" i="3"/>
  <c r="AY1240" i="3"/>
  <c r="AV1240" i="3"/>
  <c r="BA1239" i="3"/>
  <c r="AZ1239" i="3"/>
  <c r="AY1239" i="3"/>
  <c r="AV1239" i="3"/>
  <c r="BA1238" i="3"/>
  <c r="AZ1238" i="3"/>
  <c r="AY1238" i="3"/>
  <c r="AV1238" i="3"/>
  <c r="BA1237" i="3"/>
  <c r="AZ1237" i="3"/>
  <c r="AY1237" i="3"/>
  <c r="AV1237" i="3"/>
  <c r="BA1236" i="3"/>
  <c r="AZ1236" i="3"/>
  <c r="AY1236" i="3"/>
  <c r="AV1236" i="3"/>
  <c r="BA1235" i="3"/>
  <c r="AZ1235" i="3"/>
  <c r="AY1235" i="3"/>
  <c r="AV1235" i="3"/>
  <c r="BA1234" i="3"/>
  <c r="AZ1234" i="3"/>
  <c r="AY1234" i="3"/>
  <c r="AV1234" i="3"/>
  <c r="BA1233" i="3"/>
  <c r="AZ1233" i="3"/>
  <c r="AY1233" i="3"/>
  <c r="AV1233" i="3"/>
  <c r="BA1232" i="3"/>
  <c r="AZ1232" i="3"/>
  <c r="AY1232" i="3"/>
  <c r="AV1232" i="3"/>
  <c r="BA1231" i="3"/>
  <c r="AZ1231" i="3"/>
  <c r="AY1231" i="3"/>
  <c r="AV1231" i="3"/>
  <c r="BA1230" i="3"/>
  <c r="AZ1230" i="3"/>
  <c r="AY1230" i="3"/>
  <c r="AV1230" i="3"/>
  <c r="BA1229" i="3"/>
  <c r="AZ1229" i="3"/>
  <c r="AY1229" i="3"/>
  <c r="AV1229" i="3"/>
  <c r="BA1228" i="3"/>
  <c r="AZ1228" i="3"/>
  <c r="AY1228" i="3"/>
  <c r="AV1228" i="3"/>
  <c r="BA1227" i="3"/>
  <c r="AZ1227" i="3"/>
  <c r="AY1227" i="3"/>
  <c r="AV1227" i="3"/>
  <c r="BA1226" i="3"/>
  <c r="AZ1226" i="3"/>
  <c r="AY1226" i="3"/>
  <c r="AV1226" i="3"/>
  <c r="BA1225" i="3"/>
  <c r="AZ1225" i="3"/>
  <c r="AY1225" i="3"/>
  <c r="AV1225" i="3"/>
  <c r="BA1224" i="3"/>
  <c r="AZ1224" i="3"/>
  <c r="AY1224" i="3"/>
  <c r="AV1224" i="3"/>
  <c r="BA1223" i="3"/>
  <c r="AZ1223" i="3"/>
  <c r="AY1223" i="3"/>
  <c r="AV1223" i="3"/>
  <c r="BA1222" i="3"/>
  <c r="AZ1222" i="3"/>
  <c r="AY1222" i="3"/>
  <c r="AV1222" i="3"/>
  <c r="BA1221" i="3"/>
  <c r="AZ1221" i="3"/>
  <c r="AY1221" i="3"/>
  <c r="AV1221" i="3"/>
  <c r="BA1220" i="3"/>
  <c r="AZ1220" i="3"/>
  <c r="AY1220" i="3"/>
  <c r="AV1220" i="3"/>
  <c r="BA1219" i="3"/>
  <c r="AZ1219" i="3"/>
  <c r="AY1219" i="3"/>
  <c r="AV1219" i="3"/>
  <c r="BA1218" i="3"/>
  <c r="AZ1218" i="3"/>
  <c r="AY1218" i="3"/>
  <c r="AV1218" i="3"/>
  <c r="BA1217" i="3"/>
  <c r="AZ1217" i="3"/>
  <c r="AY1217" i="3"/>
  <c r="AV1217" i="3"/>
  <c r="BA1216" i="3"/>
  <c r="AZ1216" i="3"/>
  <c r="AY1216" i="3"/>
  <c r="AV1216" i="3"/>
  <c r="BA1215" i="3"/>
  <c r="AZ1215" i="3"/>
  <c r="AY1215" i="3"/>
  <c r="AV1215" i="3"/>
  <c r="BA1214" i="3"/>
  <c r="AZ1214" i="3"/>
  <c r="AY1214" i="3"/>
  <c r="AV1214" i="3"/>
  <c r="BA1213" i="3"/>
  <c r="AZ1213" i="3"/>
  <c r="AY1213" i="3"/>
  <c r="AV1213" i="3"/>
  <c r="BA1212" i="3"/>
  <c r="AZ1212" i="3"/>
  <c r="AY1212" i="3"/>
  <c r="AV1212" i="3"/>
  <c r="BA1211" i="3"/>
  <c r="AZ1211" i="3"/>
  <c r="AY1211" i="3"/>
  <c r="AV1211" i="3"/>
  <c r="BA1210" i="3"/>
  <c r="AZ1210" i="3"/>
  <c r="AY1210" i="3"/>
  <c r="AV1210" i="3"/>
  <c r="BA1209" i="3"/>
  <c r="AZ1209" i="3"/>
  <c r="AY1209" i="3"/>
  <c r="AV1209" i="3"/>
  <c r="BA1208" i="3"/>
  <c r="AZ1208" i="3"/>
  <c r="AY1208" i="3"/>
  <c r="AV1208" i="3"/>
  <c r="BA1207" i="3"/>
  <c r="AZ1207" i="3"/>
  <c r="AY1207" i="3"/>
  <c r="AV1207" i="3"/>
  <c r="BA1206" i="3"/>
  <c r="AZ1206" i="3"/>
  <c r="AY1206" i="3"/>
  <c r="AV1206" i="3"/>
  <c r="BA1205" i="3"/>
  <c r="AZ1205" i="3"/>
  <c r="AY1205" i="3"/>
  <c r="AV1205" i="3"/>
  <c r="BA1204" i="3"/>
  <c r="AZ1204" i="3"/>
  <c r="AY1204" i="3"/>
  <c r="AV1204" i="3"/>
  <c r="BA1203" i="3"/>
  <c r="AZ1203" i="3"/>
  <c r="AY1203" i="3"/>
  <c r="AV1203" i="3"/>
  <c r="BA1202" i="3"/>
  <c r="AZ1202" i="3"/>
  <c r="AY1202" i="3"/>
  <c r="AV1202" i="3"/>
  <c r="BA1201" i="3"/>
  <c r="AZ1201" i="3"/>
  <c r="AY1201" i="3"/>
  <c r="AV1201" i="3"/>
  <c r="BA1200" i="3"/>
  <c r="AZ1200" i="3"/>
  <c r="AY1200" i="3"/>
  <c r="AV1200" i="3"/>
  <c r="BA1199" i="3"/>
  <c r="AZ1199" i="3"/>
  <c r="AY1199" i="3"/>
  <c r="AV1199" i="3"/>
  <c r="BA1198" i="3"/>
  <c r="AZ1198" i="3"/>
  <c r="AY1198" i="3"/>
  <c r="AV1198" i="3"/>
  <c r="BA1197" i="3"/>
  <c r="AZ1197" i="3"/>
  <c r="AY1197" i="3"/>
  <c r="AV1197" i="3"/>
  <c r="BA1196" i="3"/>
  <c r="AZ1196" i="3"/>
  <c r="AY1196" i="3"/>
  <c r="AV1196" i="3"/>
  <c r="BA1195" i="3"/>
  <c r="AZ1195" i="3"/>
  <c r="AY1195" i="3"/>
  <c r="AV1195" i="3"/>
  <c r="BA1194" i="3"/>
  <c r="AZ1194" i="3"/>
  <c r="AY1194" i="3"/>
  <c r="AV1194" i="3"/>
  <c r="BA1193" i="3"/>
  <c r="AZ1193" i="3"/>
  <c r="AY1193" i="3"/>
  <c r="AV1193" i="3"/>
  <c r="BA1192" i="3"/>
  <c r="AZ1192" i="3"/>
  <c r="AY1192" i="3"/>
  <c r="AV1192" i="3"/>
  <c r="BA1191" i="3"/>
  <c r="AZ1191" i="3"/>
  <c r="AY1191" i="3"/>
  <c r="AV1191" i="3"/>
  <c r="BA1190" i="3"/>
  <c r="AZ1190" i="3"/>
  <c r="AY1190" i="3"/>
  <c r="AV1190" i="3"/>
  <c r="BA1189" i="3"/>
  <c r="AZ1189" i="3"/>
  <c r="AY1189" i="3"/>
  <c r="AV1189" i="3"/>
  <c r="BA1188" i="3"/>
  <c r="AZ1188" i="3"/>
  <c r="AY1188" i="3"/>
  <c r="AV1188" i="3"/>
  <c r="BA1187" i="3"/>
  <c r="AZ1187" i="3"/>
  <c r="AY1187" i="3"/>
  <c r="AV1187" i="3"/>
  <c r="BA1186" i="3"/>
  <c r="AZ1186" i="3"/>
  <c r="AY1186" i="3"/>
  <c r="AV1186" i="3"/>
  <c r="BA1185" i="3"/>
  <c r="AZ1185" i="3"/>
  <c r="AY1185" i="3"/>
  <c r="AV1185" i="3"/>
  <c r="BA1184" i="3"/>
  <c r="AZ1184" i="3"/>
  <c r="AY1184" i="3"/>
  <c r="AV1184" i="3"/>
  <c r="BA1183" i="3"/>
  <c r="AZ1183" i="3"/>
  <c r="AY1183" i="3"/>
  <c r="AV1183" i="3"/>
  <c r="BA1182" i="3"/>
  <c r="AZ1182" i="3"/>
  <c r="AY1182" i="3"/>
  <c r="AV1182" i="3"/>
  <c r="BA1181" i="3"/>
  <c r="AZ1181" i="3"/>
  <c r="AY1181" i="3"/>
  <c r="AV1181" i="3"/>
  <c r="BA1180" i="3"/>
  <c r="AZ1180" i="3"/>
  <c r="AY1180" i="3"/>
  <c r="AV1180" i="3"/>
  <c r="BA1179" i="3"/>
  <c r="AZ1179" i="3"/>
  <c r="AY1179" i="3"/>
  <c r="AV1179" i="3"/>
  <c r="BA1178" i="3"/>
  <c r="AZ1178" i="3"/>
  <c r="AY1178" i="3"/>
  <c r="AV1178" i="3"/>
  <c r="BA1177" i="3"/>
  <c r="AZ1177" i="3"/>
  <c r="AY1177" i="3"/>
  <c r="AV1177" i="3"/>
  <c r="BA1176" i="3"/>
  <c r="AZ1176" i="3"/>
  <c r="AY1176" i="3"/>
  <c r="AV1176" i="3"/>
  <c r="BA1175" i="3"/>
  <c r="AZ1175" i="3"/>
  <c r="AY1175" i="3"/>
  <c r="AV1175" i="3"/>
  <c r="BA1174" i="3"/>
  <c r="AZ1174" i="3"/>
  <c r="AY1174" i="3"/>
  <c r="AV1174" i="3"/>
  <c r="BA1173" i="3"/>
  <c r="AZ1173" i="3"/>
  <c r="AY1173" i="3"/>
  <c r="AV1173" i="3"/>
  <c r="BA1172" i="3"/>
  <c r="AZ1172" i="3"/>
  <c r="AY1172" i="3"/>
  <c r="AV1172" i="3"/>
  <c r="BA1171" i="3"/>
  <c r="AZ1171" i="3"/>
  <c r="AY1171" i="3"/>
  <c r="AV1171" i="3"/>
  <c r="BA1170" i="3"/>
  <c r="AZ1170" i="3"/>
  <c r="AY1170" i="3"/>
  <c r="AV1170" i="3"/>
  <c r="BA1169" i="3"/>
  <c r="AZ1169" i="3"/>
  <c r="AY1169" i="3"/>
  <c r="AV1169" i="3"/>
  <c r="BA1168" i="3"/>
  <c r="AZ1168" i="3"/>
  <c r="AY1168" i="3"/>
  <c r="AV1168" i="3"/>
  <c r="BA1167" i="3"/>
  <c r="AZ1167" i="3"/>
  <c r="AY1167" i="3"/>
  <c r="AV1167" i="3"/>
  <c r="BA1166" i="3"/>
  <c r="AZ1166" i="3"/>
  <c r="AY1166" i="3"/>
  <c r="AV1166" i="3"/>
  <c r="BA1165" i="3"/>
  <c r="AZ1165" i="3"/>
  <c r="AY1165" i="3"/>
  <c r="AV1165" i="3"/>
  <c r="BA1164" i="3"/>
  <c r="AZ1164" i="3"/>
  <c r="AY1164" i="3"/>
  <c r="AV1164" i="3"/>
  <c r="BA1163" i="3"/>
  <c r="AZ1163" i="3"/>
  <c r="AY1163" i="3"/>
  <c r="AV1163" i="3"/>
  <c r="BA1162" i="3"/>
  <c r="AZ1162" i="3"/>
  <c r="AY1162" i="3"/>
  <c r="AV1162" i="3"/>
  <c r="BA1161" i="3"/>
  <c r="AZ1161" i="3"/>
  <c r="AY1161" i="3"/>
  <c r="AV1161" i="3"/>
  <c r="BA1160" i="3"/>
  <c r="AZ1160" i="3"/>
  <c r="AY1160" i="3"/>
  <c r="AV1160" i="3"/>
  <c r="BA1159" i="3"/>
  <c r="AZ1159" i="3"/>
  <c r="AY1159" i="3"/>
  <c r="AV1159" i="3"/>
  <c r="BA1158" i="3"/>
  <c r="AZ1158" i="3"/>
  <c r="AY1158" i="3"/>
  <c r="AV1158" i="3"/>
  <c r="BA1157" i="3"/>
  <c r="AZ1157" i="3"/>
  <c r="AY1157" i="3"/>
  <c r="AV1157" i="3"/>
  <c r="BA1156" i="3"/>
  <c r="AZ1156" i="3"/>
  <c r="AY1156" i="3"/>
  <c r="AV1156" i="3"/>
  <c r="BA1155" i="3"/>
  <c r="AZ1155" i="3"/>
  <c r="AY1155" i="3"/>
  <c r="AV1155" i="3"/>
  <c r="BA1154" i="3"/>
  <c r="AZ1154" i="3"/>
  <c r="AY1154" i="3"/>
  <c r="AV1154" i="3"/>
  <c r="BA1153" i="3"/>
  <c r="AZ1153" i="3"/>
  <c r="AY1153" i="3"/>
  <c r="AV1153" i="3"/>
  <c r="BA1152" i="3"/>
  <c r="AZ1152" i="3"/>
  <c r="AY1152" i="3"/>
  <c r="AV1152" i="3"/>
  <c r="BA1151" i="3"/>
  <c r="AZ1151" i="3"/>
  <c r="AY1151" i="3"/>
  <c r="AV1151" i="3"/>
  <c r="BA1150" i="3"/>
  <c r="AZ1150" i="3"/>
  <c r="AY1150" i="3"/>
  <c r="AV1150" i="3"/>
  <c r="BA1149" i="3"/>
  <c r="AZ1149" i="3"/>
  <c r="AY1149" i="3"/>
  <c r="AV1149" i="3"/>
  <c r="BA1148" i="3"/>
  <c r="AZ1148" i="3"/>
  <c r="AY1148" i="3"/>
  <c r="AV1148" i="3"/>
  <c r="BA1147" i="3"/>
  <c r="AZ1147" i="3"/>
  <c r="AY1147" i="3"/>
  <c r="AV1147" i="3"/>
  <c r="BA1146" i="3"/>
  <c r="AZ1146" i="3"/>
  <c r="AY1146" i="3"/>
  <c r="AV1146" i="3"/>
  <c r="BA1145" i="3"/>
  <c r="AZ1145" i="3"/>
  <c r="AY1145" i="3"/>
  <c r="AV1145" i="3"/>
  <c r="BA1144" i="3"/>
  <c r="AZ1144" i="3"/>
  <c r="AY1144" i="3"/>
  <c r="AV1144" i="3"/>
  <c r="BA1143" i="3"/>
  <c r="AZ1143" i="3"/>
  <c r="AY1143" i="3"/>
  <c r="AV1143" i="3"/>
  <c r="BA1142" i="3"/>
  <c r="AZ1142" i="3"/>
  <c r="AY1142" i="3"/>
  <c r="AV1142" i="3"/>
  <c r="BA1141" i="3"/>
  <c r="AZ1141" i="3"/>
  <c r="AY1141" i="3"/>
  <c r="AV1141" i="3"/>
  <c r="BA1140" i="3"/>
  <c r="AZ1140" i="3"/>
  <c r="AY1140" i="3"/>
  <c r="AV1140" i="3"/>
  <c r="BA1139" i="3"/>
  <c r="AZ1139" i="3"/>
  <c r="AY1139" i="3"/>
  <c r="AV1139" i="3"/>
  <c r="BA1138" i="3"/>
  <c r="AZ1138" i="3"/>
  <c r="AY1138" i="3"/>
  <c r="AV1138" i="3"/>
  <c r="BA1137" i="3"/>
  <c r="AZ1137" i="3"/>
  <c r="AY1137" i="3"/>
  <c r="AV1137" i="3"/>
  <c r="BA1136" i="3"/>
  <c r="AZ1136" i="3"/>
  <c r="AY1136" i="3"/>
  <c r="AV1136" i="3"/>
  <c r="BA1135" i="3"/>
  <c r="AZ1135" i="3"/>
  <c r="AY1135" i="3"/>
  <c r="AV1135" i="3"/>
  <c r="BA1134" i="3"/>
  <c r="AZ1134" i="3"/>
  <c r="AY1134" i="3"/>
  <c r="AV1134" i="3"/>
  <c r="BA1133" i="3"/>
  <c r="AZ1133" i="3"/>
  <c r="AY1133" i="3"/>
  <c r="AV1133" i="3"/>
  <c r="BA1132" i="3"/>
  <c r="AZ1132" i="3"/>
  <c r="AY1132" i="3"/>
  <c r="AV1132" i="3"/>
  <c r="BA1131" i="3"/>
  <c r="AZ1131" i="3"/>
  <c r="AY1131" i="3"/>
  <c r="AV1131" i="3"/>
  <c r="BA1130" i="3"/>
  <c r="AZ1130" i="3"/>
  <c r="AY1130" i="3"/>
  <c r="AV1130" i="3"/>
  <c r="BA1129" i="3"/>
  <c r="AZ1129" i="3"/>
  <c r="AY1129" i="3"/>
  <c r="AV1129" i="3"/>
  <c r="BA1128" i="3"/>
  <c r="AZ1128" i="3"/>
  <c r="AY1128" i="3"/>
  <c r="AV1128" i="3"/>
  <c r="BA1127" i="3"/>
  <c r="AZ1127" i="3"/>
  <c r="AY1127" i="3"/>
  <c r="AV1127" i="3"/>
  <c r="BA1126" i="3"/>
  <c r="AZ1126" i="3"/>
  <c r="AY1126" i="3"/>
  <c r="AV1126" i="3"/>
  <c r="BA1125" i="3"/>
  <c r="AZ1125" i="3"/>
  <c r="AY1125" i="3"/>
  <c r="AV1125" i="3"/>
  <c r="BA1124" i="3"/>
  <c r="AZ1124" i="3"/>
  <c r="AY1124" i="3"/>
  <c r="AV1124" i="3"/>
  <c r="BA1123" i="3"/>
  <c r="AZ1123" i="3"/>
  <c r="AY1123" i="3"/>
  <c r="AV1123" i="3"/>
  <c r="BA1122" i="3"/>
  <c r="AZ1122" i="3"/>
  <c r="AY1122" i="3"/>
  <c r="AV1122" i="3"/>
  <c r="BA1121" i="3"/>
  <c r="AZ1121" i="3"/>
  <c r="AY1121" i="3"/>
  <c r="AV1121" i="3"/>
  <c r="BA1120" i="3"/>
  <c r="AZ1120" i="3"/>
  <c r="AY1120" i="3"/>
  <c r="AV1120" i="3"/>
  <c r="BA1119" i="3"/>
  <c r="AZ1119" i="3"/>
  <c r="AY1119" i="3"/>
  <c r="AV1119" i="3"/>
  <c r="BA1118" i="3"/>
  <c r="AZ1118" i="3"/>
  <c r="AY1118" i="3"/>
  <c r="AV1118" i="3"/>
  <c r="BA1117" i="3"/>
  <c r="AZ1117" i="3"/>
  <c r="AY1117" i="3"/>
  <c r="AV1117" i="3"/>
  <c r="BA1116" i="3"/>
  <c r="AZ1116" i="3"/>
  <c r="AY1116" i="3"/>
  <c r="AV1116" i="3"/>
  <c r="BA1115" i="3"/>
  <c r="AZ1115" i="3"/>
  <c r="AY1115" i="3"/>
  <c r="AV1115" i="3"/>
  <c r="BA1114" i="3"/>
  <c r="AZ1114" i="3"/>
  <c r="AY1114" i="3"/>
  <c r="AV1114" i="3"/>
  <c r="BA1113" i="3"/>
  <c r="AZ1113" i="3"/>
  <c r="AY1113" i="3"/>
  <c r="AV1113" i="3"/>
  <c r="BA1112" i="3"/>
  <c r="AZ1112" i="3"/>
  <c r="AY1112" i="3"/>
  <c r="AV1112" i="3"/>
  <c r="BA1111" i="3"/>
  <c r="AZ1111" i="3"/>
  <c r="AY1111" i="3"/>
  <c r="AV1111" i="3"/>
  <c r="BA1110" i="3"/>
  <c r="AZ1110" i="3"/>
  <c r="AY1110" i="3"/>
  <c r="AV1110" i="3"/>
  <c r="BA1109" i="3"/>
  <c r="AZ1109" i="3"/>
  <c r="AY1109" i="3"/>
  <c r="AV1109" i="3"/>
  <c r="BA1108" i="3"/>
  <c r="AZ1108" i="3"/>
  <c r="AY1108" i="3"/>
  <c r="AV1108" i="3"/>
  <c r="BA1107" i="3"/>
  <c r="AZ1107" i="3"/>
  <c r="AY1107" i="3"/>
  <c r="AV1107" i="3"/>
  <c r="BA1106" i="3"/>
  <c r="AZ1106" i="3"/>
  <c r="AY1106" i="3"/>
  <c r="AV1106" i="3"/>
  <c r="BA1105" i="3"/>
  <c r="AZ1105" i="3"/>
  <c r="AY1105" i="3"/>
  <c r="AV1105" i="3"/>
  <c r="BA1104" i="3"/>
  <c r="AZ1104" i="3"/>
  <c r="AY1104" i="3"/>
  <c r="AV1104" i="3"/>
  <c r="BA1103" i="3"/>
  <c r="AZ1103" i="3"/>
  <c r="AY1103" i="3"/>
  <c r="AV1103" i="3"/>
  <c r="BA1102" i="3"/>
  <c r="AZ1102" i="3"/>
  <c r="AY1102" i="3"/>
  <c r="AV1102" i="3"/>
  <c r="BA1101" i="3"/>
  <c r="AZ1101" i="3"/>
  <c r="AY1101" i="3"/>
  <c r="AV1101" i="3"/>
  <c r="BA1100" i="3"/>
  <c r="AZ1100" i="3"/>
  <c r="AY1100" i="3"/>
  <c r="AV1100" i="3"/>
  <c r="BA1099" i="3"/>
  <c r="AZ1099" i="3"/>
  <c r="AY1099" i="3"/>
  <c r="AV1099" i="3"/>
  <c r="BA1098" i="3"/>
  <c r="AZ1098" i="3"/>
  <c r="AY1098" i="3"/>
  <c r="AV1098" i="3"/>
  <c r="BA1097" i="3"/>
  <c r="AZ1097" i="3"/>
  <c r="AY1097" i="3"/>
  <c r="AV1097" i="3"/>
  <c r="BA1096" i="3"/>
  <c r="AZ1096" i="3"/>
  <c r="AY1096" i="3"/>
  <c r="AV1096" i="3"/>
  <c r="BA1095" i="3"/>
  <c r="AZ1095" i="3"/>
  <c r="AY1095" i="3"/>
  <c r="AV1095" i="3"/>
  <c r="BA1094" i="3"/>
  <c r="AZ1094" i="3"/>
  <c r="AY1094" i="3"/>
  <c r="AV1094" i="3"/>
  <c r="BA1093" i="3"/>
  <c r="AZ1093" i="3"/>
  <c r="AY1093" i="3"/>
  <c r="AV1093" i="3"/>
  <c r="BA1092" i="3"/>
  <c r="AZ1092" i="3"/>
  <c r="AY1092" i="3"/>
  <c r="AV1092" i="3"/>
  <c r="BA1091" i="3"/>
  <c r="AZ1091" i="3"/>
  <c r="AY1091" i="3"/>
  <c r="AV1091" i="3"/>
  <c r="BA1090" i="3"/>
  <c r="AZ1090" i="3"/>
  <c r="AY1090" i="3"/>
  <c r="AV1090" i="3"/>
  <c r="BA1089" i="3"/>
  <c r="AZ1089" i="3"/>
  <c r="AY1089" i="3"/>
  <c r="AV1089" i="3"/>
  <c r="BA1088" i="3"/>
  <c r="AZ1088" i="3"/>
  <c r="AY1088" i="3"/>
  <c r="AV1088" i="3"/>
  <c r="BA1087" i="3"/>
  <c r="AZ1087" i="3"/>
  <c r="AY1087" i="3"/>
  <c r="AV1087" i="3"/>
  <c r="BA1086" i="3"/>
  <c r="AZ1086" i="3"/>
  <c r="AY1086" i="3"/>
  <c r="AV1086" i="3"/>
  <c r="BA1085" i="3"/>
  <c r="AZ1085" i="3"/>
  <c r="AY1085" i="3"/>
  <c r="AV1085" i="3"/>
  <c r="BA1084" i="3"/>
  <c r="AZ1084" i="3"/>
  <c r="AY1084" i="3"/>
  <c r="AV1084" i="3"/>
  <c r="BA1083" i="3"/>
  <c r="AZ1083" i="3"/>
  <c r="AY1083" i="3"/>
  <c r="AV1083" i="3"/>
  <c r="BA1082" i="3"/>
  <c r="AZ1082" i="3"/>
  <c r="AY1082" i="3"/>
  <c r="AV1082" i="3"/>
  <c r="BA1081" i="3"/>
  <c r="AZ1081" i="3"/>
  <c r="AY1081" i="3"/>
  <c r="AV1081" i="3"/>
  <c r="BA1080" i="3"/>
  <c r="AZ1080" i="3"/>
  <c r="AY1080" i="3"/>
  <c r="AV1080" i="3"/>
  <c r="BA1079" i="3"/>
  <c r="AZ1079" i="3"/>
  <c r="AY1079" i="3"/>
  <c r="AV1079" i="3"/>
  <c r="BA1078" i="3"/>
  <c r="AZ1078" i="3"/>
  <c r="AY1078" i="3"/>
  <c r="AV1078" i="3"/>
  <c r="BA1077" i="3"/>
  <c r="AZ1077" i="3"/>
  <c r="AY1077" i="3"/>
  <c r="AV1077" i="3"/>
  <c r="BA1076" i="3"/>
  <c r="AZ1076" i="3"/>
  <c r="AY1076" i="3"/>
  <c r="AV1076" i="3"/>
  <c r="BA1075" i="3"/>
  <c r="AZ1075" i="3"/>
  <c r="AY1075" i="3"/>
  <c r="AV1075" i="3"/>
  <c r="BA1074" i="3"/>
  <c r="AZ1074" i="3"/>
  <c r="AY1074" i="3"/>
  <c r="AV1074" i="3"/>
  <c r="BA1073" i="3"/>
  <c r="AZ1073" i="3"/>
  <c r="AY1073" i="3"/>
  <c r="AV1073" i="3"/>
  <c r="BA1072" i="3"/>
  <c r="AZ1072" i="3"/>
  <c r="AY1072" i="3"/>
  <c r="AV1072" i="3"/>
  <c r="BA1071" i="3"/>
  <c r="AZ1071" i="3"/>
  <c r="AY1071" i="3"/>
  <c r="AV1071" i="3"/>
  <c r="BA1070" i="3"/>
  <c r="AZ1070" i="3"/>
  <c r="AY1070" i="3"/>
  <c r="AV1070" i="3"/>
  <c r="BA1069" i="3"/>
  <c r="AZ1069" i="3"/>
  <c r="AY1069" i="3"/>
  <c r="AV1069" i="3"/>
  <c r="BA1068" i="3"/>
  <c r="AZ1068" i="3"/>
  <c r="AY1068" i="3"/>
  <c r="AV1068" i="3"/>
  <c r="BA1067" i="3"/>
  <c r="AZ1067" i="3"/>
  <c r="AY1067" i="3"/>
  <c r="AV1067" i="3"/>
  <c r="BA1066" i="3"/>
  <c r="AZ1066" i="3"/>
  <c r="AY1066" i="3"/>
  <c r="AV1066" i="3"/>
  <c r="BA1065" i="3"/>
  <c r="AZ1065" i="3"/>
  <c r="AY1065" i="3"/>
  <c r="AV1065" i="3"/>
  <c r="BA1064" i="3"/>
  <c r="AZ1064" i="3"/>
  <c r="AY1064" i="3"/>
  <c r="AV1064" i="3"/>
  <c r="BA1063" i="3"/>
  <c r="AZ1063" i="3"/>
  <c r="AY1063" i="3"/>
  <c r="AV1063" i="3"/>
  <c r="BA1062" i="3"/>
  <c r="AZ1062" i="3"/>
  <c r="AY1062" i="3"/>
  <c r="AV1062" i="3"/>
  <c r="BA1061" i="3"/>
  <c r="AZ1061" i="3"/>
  <c r="AY1061" i="3"/>
  <c r="AV1061" i="3"/>
  <c r="BA1060" i="3"/>
  <c r="AZ1060" i="3"/>
  <c r="AY1060" i="3"/>
  <c r="AV1060" i="3"/>
  <c r="BA1059" i="3"/>
  <c r="AZ1059" i="3"/>
  <c r="AY1059" i="3"/>
  <c r="AV1059" i="3"/>
  <c r="BA1058" i="3"/>
  <c r="AZ1058" i="3"/>
  <c r="AY1058" i="3"/>
  <c r="AV1058" i="3"/>
  <c r="BA1057" i="3"/>
  <c r="AZ1057" i="3"/>
  <c r="AY1057" i="3"/>
  <c r="AV1057" i="3"/>
  <c r="BA1056" i="3"/>
  <c r="AZ1056" i="3"/>
  <c r="AY1056" i="3"/>
  <c r="AV1056" i="3"/>
  <c r="BA1055" i="3"/>
  <c r="AZ1055" i="3"/>
  <c r="AY1055" i="3"/>
  <c r="AV1055" i="3"/>
  <c r="BA1054" i="3"/>
  <c r="AZ1054" i="3"/>
  <c r="AY1054" i="3"/>
  <c r="AV1054" i="3"/>
  <c r="BA1053" i="3"/>
  <c r="AZ1053" i="3"/>
  <c r="AY1053" i="3"/>
  <c r="AV1053" i="3"/>
  <c r="BA1052" i="3"/>
  <c r="AZ1052" i="3"/>
  <c r="AY1052" i="3"/>
  <c r="AV1052" i="3"/>
  <c r="BA1051" i="3"/>
  <c r="AZ1051" i="3"/>
  <c r="AY1051" i="3"/>
  <c r="AV1051" i="3"/>
  <c r="BA1050" i="3"/>
  <c r="AZ1050" i="3"/>
  <c r="AY1050" i="3"/>
  <c r="AV1050" i="3"/>
  <c r="BA1049" i="3"/>
  <c r="AZ1049" i="3"/>
  <c r="AY1049" i="3"/>
  <c r="AV1049" i="3"/>
  <c r="BA1048" i="3"/>
  <c r="AZ1048" i="3"/>
  <c r="AY1048" i="3"/>
  <c r="AV1048" i="3"/>
  <c r="BA1047" i="3"/>
  <c r="AZ1047" i="3"/>
  <c r="AY1047" i="3"/>
  <c r="AV1047" i="3"/>
  <c r="BA1046" i="3"/>
  <c r="AZ1046" i="3"/>
  <c r="AY1046" i="3"/>
  <c r="AV1046" i="3"/>
  <c r="BA1045" i="3"/>
  <c r="AZ1045" i="3"/>
  <c r="AY1045" i="3"/>
  <c r="AV1045" i="3"/>
  <c r="BA1044" i="3"/>
  <c r="AZ1044" i="3"/>
  <c r="AY1044" i="3"/>
  <c r="AV1044" i="3"/>
  <c r="BA1043" i="3"/>
  <c r="AZ1043" i="3"/>
  <c r="AY1043" i="3"/>
  <c r="AV1043" i="3"/>
  <c r="BA1042" i="3"/>
  <c r="AZ1042" i="3"/>
  <c r="AY1042" i="3"/>
  <c r="AV1042" i="3"/>
  <c r="BA1041" i="3"/>
  <c r="AZ1041" i="3"/>
  <c r="AY1041" i="3"/>
  <c r="AV1041" i="3"/>
  <c r="BA1040" i="3"/>
  <c r="AZ1040" i="3"/>
  <c r="AY1040" i="3"/>
  <c r="AV1040" i="3"/>
  <c r="BA1039" i="3"/>
  <c r="AZ1039" i="3"/>
  <c r="AY1039" i="3"/>
  <c r="AV1039" i="3"/>
  <c r="BA1038" i="3"/>
  <c r="AZ1038" i="3"/>
  <c r="AY1038" i="3"/>
  <c r="AV1038" i="3"/>
  <c r="BA1037" i="3"/>
  <c r="AZ1037" i="3"/>
  <c r="AY1037" i="3"/>
  <c r="AV1037" i="3"/>
  <c r="BA1036" i="3"/>
  <c r="AZ1036" i="3"/>
  <c r="AY1036" i="3"/>
  <c r="AV1036" i="3"/>
  <c r="BA1035" i="3"/>
  <c r="AZ1035" i="3"/>
  <c r="AY1035" i="3"/>
  <c r="AV1035" i="3"/>
  <c r="BA1034" i="3"/>
  <c r="AZ1034" i="3"/>
  <c r="AY1034" i="3"/>
  <c r="AV1034" i="3"/>
  <c r="BA1033" i="3"/>
  <c r="AZ1033" i="3"/>
  <c r="AY1033" i="3"/>
  <c r="AV1033" i="3"/>
  <c r="BA1032" i="3"/>
  <c r="AZ1032" i="3"/>
  <c r="AY1032" i="3"/>
  <c r="AV1032" i="3"/>
  <c r="BA1031" i="3"/>
  <c r="AZ1031" i="3"/>
  <c r="AY1031" i="3"/>
  <c r="AV1031" i="3"/>
  <c r="BA1030" i="3"/>
  <c r="AZ1030" i="3"/>
  <c r="AY1030" i="3"/>
  <c r="AV1030" i="3"/>
  <c r="BA1029" i="3"/>
  <c r="AZ1029" i="3"/>
  <c r="AY1029" i="3"/>
  <c r="AV1029" i="3"/>
  <c r="BA1028" i="3"/>
  <c r="AZ1028" i="3"/>
  <c r="AY1028" i="3"/>
  <c r="AV1028" i="3"/>
  <c r="BA1027" i="3"/>
  <c r="AZ1027" i="3"/>
  <c r="AY1027" i="3"/>
  <c r="AV1027" i="3"/>
  <c r="BA1026" i="3"/>
  <c r="AZ1026" i="3"/>
  <c r="AY1026" i="3"/>
  <c r="AV1026" i="3"/>
  <c r="BA1025" i="3"/>
  <c r="AZ1025" i="3"/>
  <c r="AY1025" i="3"/>
  <c r="AV1025" i="3"/>
  <c r="BA1024" i="3"/>
  <c r="AZ1024" i="3"/>
  <c r="AY1024" i="3"/>
  <c r="AV1024" i="3"/>
  <c r="BA1023" i="3"/>
  <c r="AZ1023" i="3"/>
  <c r="AY1023" i="3"/>
  <c r="AV1023" i="3"/>
  <c r="BA1022" i="3"/>
  <c r="AZ1022" i="3"/>
  <c r="AY1022" i="3"/>
  <c r="AV1022" i="3"/>
  <c r="BA1021" i="3"/>
  <c r="AZ1021" i="3"/>
  <c r="AY1021" i="3"/>
  <c r="AV1021" i="3"/>
  <c r="BA1020" i="3"/>
  <c r="AZ1020" i="3"/>
  <c r="AY1020" i="3"/>
  <c r="AV1020" i="3"/>
  <c r="BA1019" i="3"/>
  <c r="AZ1019" i="3"/>
  <c r="AY1019" i="3"/>
  <c r="AV1019" i="3"/>
  <c r="BA1018" i="3"/>
  <c r="AZ1018" i="3"/>
  <c r="AY1018" i="3"/>
  <c r="AV1018" i="3"/>
  <c r="BA1017" i="3"/>
  <c r="AZ1017" i="3"/>
  <c r="AY1017" i="3"/>
  <c r="AV1017" i="3"/>
  <c r="BA1016" i="3"/>
  <c r="AZ1016" i="3"/>
  <c r="AY1016" i="3"/>
  <c r="AV1016" i="3"/>
  <c r="BA1015" i="3"/>
  <c r="AZ1015" i="3"/>
  <c r="AY1015" i="3"/>
  <c r="AV1015" i="3"/>
  <c r="BA1014" i="3"/>
  <c r="AZ1014" i="3"/>
  <c r="AY1014" i="3"/>
  <c r="AV1014" i="3"/>
  <c r="BA1013" i="3"/>
  <c r="AZ1013" i="3"/>
  <c r="AY1013" i="3"/>
  <c r="AV1013" i="3"/>
  <c r="BA1012" i="3"/>
  <c r="AZ1012" i="3"/>
  <c r="AY1012" i="3"/>
  <c r="AV1012" i="3"/>
  <c r="BA1011" i="3"/>
  <c r="AZ1011" i="3"/>
  <c r="AY1011" i="3"/>
  <c r="AV1011" i="3"/>
  <c r="BA1010" i="3"/>
  <c r="AZ1010" i="3"/>
  <c r="AY1010" i="3"/>
  <c r="AV1010" i="3"/>
  <c r="BA1009" i="3"/>
  <c r="AZ1009" i="3"/>
  <c r="AY1009" i="3"/>
  <c r="AV1009" i="3"/>
  <c r="BA1008" i="3"/>
  <c r="AZ1008" i="3"/>
  <c r="AY1008" i="3"/>
  <c r="AV1008" i="3"/>
  <c r="BA1007" i="3"/>
  <c r="AZ1007" i="3"/>
  <c r="AY1007" i="3"/>
  <c r="AV1007" i="3"/>
  <c r="BA1006" i="3"/>
  <c r="AZ1006" i="3"/>
  <c r="AY1006" i="3"/>
  <c r="AV1006" i="3"/>
  <c r="BA1005" i="3"/>
  <c r="AZ1005" i="3"/>
  <c r="AY1005" i="3"/>
  <c r="AV1005" i="3"/>
  <c r="BA1004" i="3"/>
  <c r="AZ1004" i="3"/>
  <c r="AY1004" i="3"/>
  <c r="AV1004" i="3"/>
  <c r="BA1003" i="3"/>
  <c r="AZ1003" i="3"/>
  <c r="AY1003" i="3"/>
  <c r="AV1003" i="3"/>
  <c r="BA1002" i="3"/>
  <c r="AZ1002" i="3"/>
  <c r="AY1002" i="3"/>
  <c r="AV1002" i="3"/>
  <c r="BA1001" i="3"/>
  <c r="AZ1001" i="3"/>
  <c r="AY1001" i="3"/>
  <c r="AV1001" i="3"/>
  <c r="BA1000" i="3"/>
  <c r="AZ1000" i="3"/>
  <c r="AY1000" i="3"/>
  <c r="AV1000" i="3"/>
  <c r="BA999" i="3"/>
  <c r="AZ999" i="3"/>
  <c r="AY999" i="3"/>
  <c r="AV999" i="3"/>
  <c r="BA998" i="3"/>
  <c r="AZ998" i="3"/>
  <c r="AY998" i="3"/>
  <c r="AV998" i="3"/>
  <c r="BA997" i="3"/>
  <c r="AZ997" i="3"/>
  <c r="AY997" i="3"/>
  <c r="AV997" i="3"/>
  <c r="BA996" i="3"/>
  <c r="AZ996" i="3"/>
  <c r="AY996" i="3"/>
  <c r="AV996" i="3"/>
  <c r="BA995" i="3"/>
  <c r="AZ995" i="3"/>
  <c r="AY995" i="3"/>
  <c r="AV995" i="3"/>
  <c r="BA994" i="3"/>
  <c r="AZ994" i="3"/>
  <c r="AY994" i="3"/>
  <c r="AV994" i="3"/>
  <c r="BA993" i="3"/>
  <c r="AZ993" i="3"/>
  <c r="AY993" i="3"/>
  <c r="AV993" i="3"/>
  <c r="BA992" i="3"/>
  <c r="AZ992" i="3"/>
  <c r="AY992" i="3"/>
  <c r="AV992" i="3"/>
  <c r="BA991" i="3"/>
  <c r="AZ991" i="3"/>
  <c r="AY991" i="3"/>
  <c r="AV991" i="3"/>
  <c r="BA990" i="3"/>
  <c r="AZ990" i="3"/>
  <c r="AY990" i="3"/>
  <c r="AV990" i="3"/>
  <c r="BA989" i="3"/>
  <c r="AZ989" i="3"/>
  <c r="AY989" i="3"/>
  <c r="AV989" i="3"/>
  <c r="BA988" i="3"/>
  <c r="AZ988" i="3"/>
  <c r="AY988" i="3"/>
  <c r="AV988" i="3"/>
  <c r="BA987" i="3"/>
  <c r="AZ987" i="3"/>
  <c r="AY987" i="3"/>
  <c r="AV987" i="3"/>
  <c r="BA986" i="3"/>
  <c r="AZ986" i="3"/>
  <c r="AY986" i="3"/>
  <c r="AV986" i="3"/>
  <c r="BA985" i="3"/>
  <c r="AZ985" i="3"/>
  <c r="AY985" i="3"/>
  <c r="AV985" i="3"/>
  <c r="BA984" i="3"/>
  <c r="AZ984" i="3"/>
  <c r="AY984" i="3"/>
  <c r="AV984" i="3"/>
  <c r="BA983" i="3"/>
  <c r="AZ983" i="3"/>
  <c r="AY983" i="3"/>
  <c r="AV983" i="3"/>
  <c r="BA982" i="3"/>
  <c r="AZ982" i="3"/>
  <c r="AY982" i="3"/>
  <c r="AV982" i="3"/>
  <c r="BA981" i="3"/>
  <c r="AZ981" i="3"/>
  <c r="AY981" i="3"/>
  <c r="AV981" i="3"/>
  <c r="BA980" i="3"/>
  <c r="AZ980" i="3"/>
  <c r="AY980" i="3"/>
  <c r="AV980" i="3"/>
  <c r="BA979" i="3"/>
  <c r="AZ979" i="3"/>
  <c r="AY979" i="3"/>
  <c r="AV979" i="3"/>
  <c r="BA978" i="3"/>
  <c r="AZ978" i="3"/>
  <c r="AY978" i="3"/>
  <c r="AV978" i="3"/>
  <c r="BA977" i="3"/>
  <c r="AZ977" i="3"/>
  <c r="AY977" i="3"/>
  <c r="AV977" i="3"/>
  <c r="BA976" i="3"/>
  <c r="AZ976" i="3"/>
  <c r="AY976" i="3"/>
  <c r="AV976" i="3"/>
  <c r="BA975" i="3"/>
  <c r="AZ975" i="3"/>
  <c r="AY975" i="3"/>
  <c r="AV975" i="3"/>
  <c r="BA974" i="3"/>
  <c r="AZ974" i="3"/>
  <c r="AY974" i="3"/>
  <c r="AV974" i="3"/>
  <c r="BA973" i="3"/>
  <c r="AZ973" i="3"/>
  <c r="AY973" i="3"/>
  <c r="AV973" i="3"/>
  <c r="BA972" i="3"/>
  <c r="AZ972" i="3"/>
  <c r="AY972" i="3"/>
  <c r="AV972" i="3"/>
  <c r="BA971" i="3"/>
  <c r="AZ971" i="3"/>
  <c r="AY971" i="3"/>
  <c r="AV971" i="3"/>
  <c r="BA970" i="3"/>
  <c r="AZ970" i="3"/>
  <c r="AY970" i="3"/>
  <c r="AV970" i="3"/>
  <c r="BA969" i="3"/>
  <c r="AZ969" i="3"/>
  <c r="AY969" i="3"/>
  <c r="AV969" i="3"/>
  <c r="BA968" i="3"/>
  <c r="AZ968" i="3"/>
  <c r="AY968" i="3"/>
  <c r="AV968" i="3"/>
  <c r="BA967" i="3"/>
  <c r="AZ967" i="3"/>
  <c r="AY967" i="3"/>
  <c r="AV967" i="3"/>
  <c r="BA966" i="3"/>
  <c r="AZ966" i="3"/>
  <c r="AY966" i="3"/>
  <c r="AV966" i="3"/>
  <c r="BA965" i="3"/>
  <c r="AZ965" i="3"/>
  <c r="AY965" i="3"/>
  <c r="AV965" i="3"/>
  <c r="BA964" i="3"/>
  <c r="AZ964" i="3"/>
  <c r="AY964" i="3"/>
  <c r="AV964" i="3"/>
  <c r="BA963" i="3"/>
  <c r="AZ963" i="3"/>
  <c r="AY963" i="3"/>
  <c r="AV963" i="3"/>
  <c r="BA962" i="3"/>
  <c r="AZ962" i="3"/>
  <c r="AY962" i="3"/>
  <c r="AV962" i="3"/>
  <c r="BA961" i="3"/>
  <c r="AZ961" i="3"/>
  <c r="AY961" i="3"/>
  <c r="AV961" i="3"/>
  <c r="BA960" i="3"/>
  <c r="AZ960" i="3"/>
  <c r="AY960" i="3"/>
  <c r="AV960" i="3"/>
  <c r="BA959" i="3"/>
  <c r="AZ959" i="3"/>
  <c r="AY959" i="3"/>
  <c r="AV959" i="3"/>
  <c r="BA958" i="3"/>
  <c r="AZ958" i="3"/>
  <c r="AY958" i="3"/>
  <c r="AV958" i="3"/>
  <c r="BA957" i="3"/>
  <c r="AZ957" i="3"/>
  <c r="AY957" i="3"/>
  <c r="AV957" i="3"/>
  <c r="BA956" i="3"/>
  <c r="AZ956" i="3"/>
  <c r="AY956" i="3"/>
  <c r="AV956" i="3"/>
  <c r="BA955" i="3"/>
  <c r="AZ955" i="3"/>
  <c r="AY955" i="3"/>
  <c r="AV955" i="3"/>
  <c r="BA954" i="3"/>
  <c r="AZ954" i="3"/>
  <c r="AY954" i="3"/>
  <c r="AV954" i="3"/>
  <c r="BA953" i="3"/>
  <c r="AZ953" i="3"/>
  <c r="AY953" i="3"/>
  <c r="AV953" i="3"/>
  <c r="BA952" i="3"/>
  <c r="AZ952" i="3"/>
  <c r="AY952" i="3"/>
  <c r="AV952" i="3"/>
  <c r="BA951" i="3"/>
  <c r="AZ951" i="3"/>
  <c r="AY951" i="3"/>
  <c r="AV951" i="3"/>
  <c r="BA950" i="3"/>
  <c r="AZ950" i="3"/>
  <c r="AY950" i="3"/>
  <c r="AV950" i="3"/>
  <c r="BA949" i="3"/>
  <c r="AZ949" i="3"/>
  <c r="AY949" i="3"/>
  <c r="AV949" i="3"/>
  <c r="BA948" i="3"/>
  <c r="AZ948" i="3"/>
  <c r="AY948" i="3"/>
  <c r="AV948" i="3"/>
  <c r="BA947" i="3"/>
  <c r="AZ947" i="3"/>
  <c r="AY947" i="3"/>
  <c r="AV947" i="3"/>
  <c r="BA946" i="3"/>
  <c r="AZ946" i="3"/>
  <c r="AY946" i="3"/>
  <c r="AV946" i="3"/>
  <c r="BA945" i="3"/>
  <c r="AZ945" i="3"/>
  <c r="AY945" i="3"/>
  <c r="AV945" i="3"/>
  <c r="BA944" i="3"/>
  <c r="AZ944" i="3"/>
  <c r="AY944" i="3"/>
  <c r="AV944" i="3"/>
  <c r="BA943" i="3"/>
  <c r="AZ943" i="3"/>
  <c r="AY943" i="3"/>
  <c r="AV943" i="3"/>
  <c r="BA942" i="3"/>
  <c r="AZ942" i="3"/>
  <c r="AY942" i="3"/>
  <c r="AV942" i="3"/>
  <c r="BA941" i="3"/>
  <c r="AZ941" i="3"/>
  <c r="AY941" i="3"/>
  <c r="AV941" i="3"/>
  <c r="BA940" i="3"/>
  <c r="AZ940" i="3"/>
  <c r="AY940" i="3"/>
  <c r="AV940" i="3"/>
  <c r="BA939" i="3"/>
  <c r="AZ939" i="3"/>
  <c r="AY939" i="3"/>
  <c r="AV939" i="3"/>
  <c r="BA938" i="3"/>
  <c r="AZ938" i="3"/>
  <c r="AY938" i="3"/>
  <c r="AV938" i="3"/>
  <c r="BA937" i="3"/>
  <c r="AZ937" i="3"/>
  <c r="AY937" i="3"/>
  <c r="AV937" i="3"/>
  <c r="BA936" i="3"/>
  <c r="AZ936" i="3"/>
  <c r="AY936" i="3"/>
  <c r="AV936" i="3"/>
  <c r="BA935" i="3"/>
  <c r="AZ935" i="3"/>
  <c r="AY935" i="3"/>
  <c r="AV935" i="3"/>
  <c r="BA934" i="3"/>
  <c r="AZ934" i="3"/>
  <c r="AY934" i="3"/>
  <c r="AV934" i="3"/>
  <c r="BA933" i="3"/>
  <c r="AZ933" i="3"/>
  <c r="AY933" i="3"/>
  <c r="AV933" i="3"/>
  <c r="BA932" i="3"/>
  <c r="AZ932" i="3"/>
  <c r="AY932" i="3"/>
  <c r="AV932" i="3"/>
  <c r="BA931" i="3"/>
  <c r="AZ931" i="3"/>
  <c r="AY931" i="3"/>
  <c r="AV931" i="3"/>
  <c r="BA930" i="3"/>
  <c r="AZ930" i="3"/>
  <c r="AY930" i="3"/>
  <c r="AV930" i="3"/>
  <c r="BA929" i="3"/>
  <c r="AZ929" i="3"/>
  <c r="AY929" i="3"/>
  <c r="AV929" i="3"/>
  <c r="BA928" i="3"/>
  <c r="AZ928" i="3"/>
  <c r="AY928" i="3"/>
  <c r="AV928" i="3"/>
  <c r="BA927" i="3"/>
  <c r="AZ927" i="3"/>
  <c r="AY927" i="3"/>
  <c r="AV927" i="3"/>
  <c r="BA926" i="3"/>
  <c r="AZ926" i="3"/>
  <c r="AY926" i="3"/>
  <c r="AV926" i="3"/>
  <c r="BA925" i="3"/>
  <c r="AZ925" i="3"/>
  <c r="AY925" i="3"/>
  <c r="AV925" i="3"/>
  <c r="BA924" i="3"/>
  <c r="AZ924" i="3"/>
  <c r="AY924" i="3"/>
  <c r="AV924" i="3"/>
  <c r="BA923" i="3"/>
  <c r="AZ923" i="3"/>
  <c r="AY923" i="3"/>
  <c r="AV923" i="3"/>
  <c r="BA922" i="3"/>
  <c r="AZ922" i="3"/>
  <c r="AY922" i="3"/>
  <c r="AV922" i="3"/>
  <c r="BA921" i="3"/>
  <c r="AZ921" i="3"/>
  <c r="AY921" i="3"/>
  <c r="AV921" i="3"/>
  <c r="BA920" i="3"/>
  <c r="AZ920" i="3"/>
  <c r="AY920" i="3"/>
  <c r="AV920" i="3"/>
  <c r="BA919" i="3"/>
  <c r="AZ919" i="3"/>
  <c r="AY919" i="3"/>
  <c r="AV919" i="3"/>
  <c r="BA918" i="3"/>
  <c r="AZ918" i="3"/>
  <c r="AY918" i="3"/>
  <c r="AV918" i="3"/>
  <c r="BA917" i="3"/>
  <c r="AZ917" i="3"/>
  <c r="AY917" i="3"/>
  <c r="AV917" i="3"/>
  <c r="BA916" i="3"/>
  <c r="AZ916" i="3"/>
  <c r="AY916" i="3"/>
  <c r="AV916" i="3"/>
  <c r="BA915" i="3"/>
  <c r="AZ915" i="3"/>
  <c r="AY915" i="3"/>
  <c r="AV915" i="3"/>
  <c r="BA914" i="3"/>
  <c r="AZ914" i="3"/>
  <c r="AY914" i="3"/>
  <c r="AV914" i="3"/>
  <c r="BA913" i="3"/>
  <c r="AZ913" i="3"/>
  <c r="AY913" i="3"/>
  <c r="AV913" i="3"/>
  <c r="BA912" i="3"/>
  <c r="AZ912" i="3"/>
  <c r="AY912" i="3"/>
  <c r="AV912" i="3"/>
  <c r="BA911" i="3"/>
  <c r="AZ911" i="3"/>
  <c r="AY911" i="3"/>
  <c r="AV911" i="3"/>
  <c r="BA910" i="3"/>
  <c r="AZ910" i="3"/>
  <c r="AY910" i="3"/>
  <c r="AV910" i="3"/>
  <c r="BA909" i="3"/>
  <c r="AZ909" i="3"/>
  <c r="AY909" i="3"/>
  <c r="AV909" i="3"/>
  <c r="BA908" i="3"/>
  <c r="AZ908" i="3"/>
  <c r="AY908" i="3"/>
  <c r="AV908" i="3"/>
  <c r="BA907" i="3"/>
  <c r="AZ907" i="3"/>
  <c r="AY907" i="3"/>
  <c r="AV907" i="3"/>
  <c r="BA906" i="3"/>
  <c r="AZ906" i="3"/>
  <c r="AY906" i="3"/>
  <c r="AV906" i="3"/>
  <c r="BA905" i="3"/>
  <c r="AZ905" i="3"/>
  <c r="AY905" i="3"/>
  <c r="AV905" i="3"/>
  <c r="BA904" i="3"/>
  <c r="AZ904" i="3"/>
  <c r="AY904" i="3"/>
  <c r="AV904" i="3"/>
  <c r="BA903" i="3"/>
  <c r="AZ903" i="3"/>
  <c r="AY903" i="3"/>
  <c r="AV903" i="3"/>
  <c r="BA902" i="3"/>
  <c r="AZ902" i="3"/>
  <c r="AY902" i="3"/>
  <c r="AV902" i="3"/>
  <c r="BA901" i="3"/>
  <c r="AZ901" i="3"/>
  <c r="AY901" i="3"/>
  <c r="AV901" i="3"/>
  <c r="BA900" i="3"/>
  <c r="AZ900" i="3"/>
  <c r="AY900" i="3"/>
  <c r="AV900" i="3"/>
  <c r="BA899" i="3"/>
  <c r="AZ899" i="3"/>
  <c r="AY899" i="3"/>
  <c r="AV899" i="3"/>
  <c r="BA898" i="3"/>
  <c r="AZ898" i="3"/>
  <c r="AY898" i="3"/>
  <c r="AV898" i="3"/>
  <c r="BA897" i="3"/>
  <c r="AZ897" i="3"/>
  <c r="AY897" i="3"/>
  <c r="AV897" i="3"/>
  <c r="BA896" i="3"/>
  <c r="AZ896" i="3"/>
  <c r="AY896" i="3"/>
  <c r="AV896" i="3"/>
  <c r="BA895" i="3"/>
  <c r="AZ895" i="3"/>
  <c r="AY895" i="3"/>
  <c r="AV895" i="3"/>
  <c r="BA894" i="3"/>
  <c r="AZ894" i="3"/>
  <c r="AY894" i="3"/>
  <c r="AV894" i="3"/>
  <c r="BA893" i="3"/>
  <c r="AZ893" i="3"/>
  <c r="AY893" i="3"/>
  <c r="AV893" i="3"/>
  <c r="BA892" i="3"/>
  <c r="AZ892" i="3"/>
  <c r="AY892" i="3"/>
  <c r="AV892" i="3"/>
  <c r="BA891" i="3"/>
  <c r="AZ891" i="3"/>
  <c r="AY891" i="3"/>
  <c r="AV891" i="3"/>
  <c r="BA890" i="3"/>
  <c r="AZ890" i="3"/>
  <c r="AY890" i="3"/>
  <c r="AV890" i="3"/>
  <c r="BA889" i="3"/>
  <c r="AZ889" i="3"/>
  <c r="AY889" i="3"/>
  <c r="AV889" i="3"/>
  <c r="BA888" i="3"/>
  <c r="AZ888" i="3"/>
  <c r="AY888" i="3"/>
  <c r="AV888" i="3"/>
  <c r="BA887" i="3"/>
  <c r="AZ887" i="3"/>
  <c r="AY887" i="3"/>
  <c r="AV887" i="3"/>
  <c r="BA886" i="3"/>
  <c r="AZ886" i="3"/>
  <c r="AY886" i="3"/>
  <c r="AV886" i="3"/>
  <c r="BA885" i="3"/>
  <c r="AZ885" i="3"/>
  <c r="AY885" i="3"/>
  <c r="AV885" i="3"/>
  <c r="BA884" i="3"/>
  <c r="AZ884" i="3"/>
  <c r="AY884" i="3"/>
  <c r="AV884" i="3"/>
  <c r="BA883" i="3"/>
  <c r="AZ883" i="3"/>
  <c r="AY883" i="3"/>
  <c r="AV883" i="3"/>
  <c r="BA882" i="3"/>
  <c r="AZ882" i="3"/>
  <c r="AY882" i="3"/>
  <c r="AV882" i="3"/>
  <c r="BA881" i="3"/>
  <c r="AZ881" i="3"/>
  <c r="AY881" i="3"/>
  <c r="AV881" i="3"/>
  <c r="BA880" i="3"/>
  <c r="AZ880" i="3"/>
  <c r="AY880" i="3"/>
  <c r="AV880" i="3"/>
  <c r="BA879" i="3"/>
  <c r="AZ879" i="3"/>
  <c r="AY879" i="3"/>
  <c r="AV879" i="3"/>
  <c r="BA878" i="3"/>
  <c r="AZ878" i="3"/>
  <c r="AY878" i="3"/>
  <c r="AV878" i="3"/>
  <c r="BA877" i="3"/>
  <c r="AZ877" i="3"/>
  <c r="AY877" i="3"/>
  <c r="AV877" i="3"/>
  <c r="BA876" i="3"/>
  <c r="AZ876" i="3"/>
  <c r="AY876" i="3"/>
  <c r="AV876" i="3"/>
  <c r="BA875" i="3"/>
  <c r="AZ875" i="3"/>
  <c r="AY875" i="3"/>
  <c r="AV875" i="3"/>
  <c r="BA874" i="3"/>
  <c r="AZ874" i="3"/>
  <c r="AY874" i="3"/>
  <c r="AV874" i="3"/>
  <c r="BA873" i="3"/>
  <c r="AZ873" i="3"/>
  <c r="AY873" i="3"/>
  <c r="AV873" i="3"/>
  <c r="BA872" i="3"/>
  <c r="AZ872" i="3"/>
  <c r="AY872" i="3"/>
  <c r="AV872" i="3"/>
  <c r="BA871" i="3"/>
  <c r="AZ871" i="3"/>
  <c r="AY871" i="3"/>
  <c r="AV871" i="3"/>
  <c r="BA870" i="3"/>
  <c r="AZ870" i="3"/>
  <c r="AY870" i="3"/>
  <c r="AV870" i="3"/>
  <c r="BA869" i="3"/>
  <c r="AZ869" i="3"/>
  <c r="AY869" i="3"/>
  <c r="AV869" i="3"/>
  <c r="BA868" i="3"/>
  <c r="AZ868" i="3"/>
  <c r="AY868" i="3"/>
  <c r="AV868" i="3"/>
  <c r="BA867" i="3"/>
  <c r="AZ867" i="3"/>
  <c r="AY867" i="3"/>
  <c r="AV867" i="3"/>
  <c r="BA866" i="3"/>
  <c r="AZ866" i="3"/>
  <c r="AY866" i="3"/>
  <c r="AV866" i="3"/>
  <c r="BA865" i="3"/>
  <c r="AZ865" i="3"/>
  <c r="AY865" i="3"/>
  <c r="AV865" i="3"/>
  <c r="BA864" i="3"/>
  <c r="AZ864" i="3"/>
  <c r="AY864" i="3"/>
  <c r="AV864" i="3"/>
  <c r="BA863" i="3"/>
  <c r="AZ863" i="3"/>
  <c r="AY863" i="3"/>
  <c r="AV863" i="3"/>
  <c r="BA862" i="3"/>
  <c r="AZ862" i="3"/>
  <c r="AY862" i="3"/>
  <c r="AV862" i="3"/>
  <c r="BA861" i="3"/>
  <c r="AZ861" i="3"/>
  <c r="AY861" i="3"/>
  <c r="AV861" i="3"/>
  <c r="BA860" i="3"/>
  <c r="AZ860" i="3"/>
  <c r="AY860" i="3"/>
  <c r="AV860" i="3"/>
  <c r="BA859" i="3"/>
  <c r="AZ859" i="3"/>
  <c r="AY859" i="3"/>
  <c r="AV859" i="3"/>
  <c r="BA858" i="3"/>
  <c r="AZ858" i="3"/>
  <c r="AY858" i="3"/>
  <c r="AV858" i="3"/>
  <c r="BA857" i="3"/>
  <c r="AZ857" i="3"/>
  <c r="AY857" i="3"/>
  <c r="AV857" i="3"/>
  <c r="BA856" i="3"/>
  <c r="AZ856" i="3"/>
  <c r="AY856" i="3"/>
  <c r="AV856" i="3"/>
  <c r="BA855" i="3"/>
  <c r="AZ855" i="3"/>
  <c r="AY855" i="3"/>
  <c r="AV855" i="3"/>
  <c r="BA854" i="3"/>
  <c r="AZ854" i="3"/>
  <c r="AY854" i="3"/>
  <c r="AV854" i="3"/>
  <c r="BA853" i="3"/>
  <c r="AZ853" i="3"/>
  <c r="AY853" i="3"/>
  <c r="AV853" i="3"/>
  <c r="BA852" i="3"/>
  <c r="AZ852" i="3"/>
  <c r="AY852" i="3"/>
  <c r="AV852" i="3"/>
  <c r="BA851" i="3"/>
  <c r="AZ851" i="3"/>
  <c r="AY851" i="3"/>
  <c r="AV851" i="3"/>
  <c r="BA850" i="3"/>
  <c r="AZ850" i="3"/>
  <c r="AY850" i="3"/>
  <c r="AV850" i="3"/>
  <c r="BA849" i="3"/>
  <c r="AZ849" i="3"/>
  <c r="AY849" i="3"/>
  <c r="AV849" i="3"/>
  <c r="BA848" i="3"/>
  <c r="AZ848" i="3"/>
  <c r="AY848" i="3"/>
  <c r="AV848" i="3"/>
  <c r="BA847" i="3"/>
  <c r="AZ847" i="3"/>
  <c r="AY847" i="3"/>
  <c r="AV847" i="3"/>
  <c r="BA846" i="3"/>
  <c r="AZ846" i="3"/>
  <c r="AY846" i="3"/>
  <c r="AV846" i="3"/>
  <c r="BA845" i="3"/>
  <c r="AZ845" i="3"/>
  <c r="AY845" i="3"/>
  <c r="AV845" i="3"/>
  <c r="BA844" i="3"/>
  <c r="AZ844" i="3"/>
  <c r="AY844" i="3"/>
  <c r="AV844" i="3"/>
  <c r="BA843" i="3"/>
  <c r="AZ843" i="3"/>
  <c r="AY843" i="3"/>
  <c r="AV843" i="3"/>
  <c r="BA842" i="3"/>
  <c r="AZ842" i="3"/>
  <c r="AY842" i="3"/>
  <c r="AV842" i="3"/>
  <c r="BA841" i="3"/>
  <c r="AZ841" i="3"/>
  <c r="AY841" i="3"/>
  <c r="AV841" i="3"/>
  <c r="BA840" i="3"/>
  <c r="AZ840" i="3"/>
  <c r="AY840" i="3"/>
  <c r="AV840" i="3"/>
  <c r="BA839" i="3"/>
  <c r="AZ839" i="3"/>
  <c r="AY839" i="3"/>
  <c r="AV839" i="3"/>
  <c r="BA838" i="3"/>
  <c r="AZ838" i="3"/>
  <c r="AY838" i="3"/>
  <c r="AV838" i="3"/>
  <c r="BA837" i="3"/>
  <c r="AZ837" i="3"/>
  <c r="AY837" i="3"/>
  <c r="AV837" i="3"/>
  <c r="BA836" i="3"/>
  <c r="AZ836" i="3"/>
  <c r="AY836" i="3"/>
  <c r="AV836" i="3"/>
  <c r="BA835" i="3"/>
  <c r="AZ835" i="3"/>
  <c r="AY835" i="3"/>
  <c r="AV835" i="3"/>
  <c r="BA834" i="3"/>
  <c r="AZ834" i="3"/>
  <c r="AY834" i="3"/>
  <c r="AV834" i="3"/>
  <c r="BA833" i="3"/>
  <c r="AZ833" i="3"/>
  <c r="AY833" i="3"/>
  <c r="AV833" i="3"/>
  <c r="BA832" i="3"/>
  <c r="AZ832" i="3"/>
  <c r="AY832" i="3"/>
  <c r="AV832" i="3"/>
  <c r="BA831" i="3"/>
  <c r="AZ831" i="3"/>
  <c r="AY831" i="3"/>
  <c r="AV831" i="3"/>
  <c r="BA830" i="3"/>
  <c r="AZ830" i="3"/>
  <c r="AY830" i="3"/>
  <c r="AV830" i="3"/>
  <c r="BA829" i="3"/>
  <c r="AZ829" i="3"/>
  <c r="AY829" i="3"/>
  <c r="AV829" i="3"/>
  <c r="BA828" i="3"/>
  <c r="AZ828" i="3"/>
  <c r="AY828" i="3"/>
  <c r="AV828" i="3"/>
  <c r="BA827" i="3"/>
  <c r="AZ827" i="3"/>
  <c r="AY827" i="3"/>
  <c r="AV827" i="3"/>
  <c r="BA826" i="3"/>
  <c r="AZ826" i="3"/>
  <c r="AY826" i="3"/>
  <c r="AV826" i="3"/>
  <c r="BA825" i="3"/>
  <c r="AZ825" i="3"/>
  <c r="AY825" i="3"/>
  <c r="AV825" i="3"/>
  <c r="BA824" i="3"/>
  <c r="AZ824" i="3"/>
  <c r="AY824" i="3"/>
  <c r="AV824" i="3"/>
  <c r="BA823" i="3"/>
  <c r="AZ823" i="3"/>
  <c r="AY823" i="3"/>
  <c r="AV823" i="3"/>
  <c r="BA822" i="3"/>
  <c r="AZ822" i="3"/>
  <c r="AY822" i="3"/>
  <c r="AV822" i="3"/>
  <c r="BA821" i="3"/>
  <c r="AZ821" i="3"/>
  <c r="AY821" i="3"/>
  <c r="AV821" i="3"/>
  <c r="BA820" i="3"/>
  <c r="AZ820" i="3"/>
  <c r="AY820" i="3"/>
  <c r="AV820" i="3"/>
  <c r="BA819" i="3"/>
  <c r="AZ819" i="3"/>
  <c r="AY819" i="3"/>
  <c r="AV819" i="3"/>
  <c r="BA818" i="3"/>
  <c r="AZ818" i="3"/>
  <c r="AY818" i="3"/>
  <c r="AV818" i="3"/>
  <c r="BA817" i="3"/>
  <c r="AZ817" i="3"/>
  <c r="AY817" i="3"/>
  <c r="BA816" i="3"/>
  <c r="AZ816" i="3"/>
  <c r="AY816" i="3"/>
  <c r="BA815" i="3"/>
  <c r="AZ815" i="3"/>
  <c r="AY815" i="3"/>
  <c r="BA814" i="3"/>
  <c r="AZ814" i="3"/>
  <c r="AY814" i="3"/>
  <c r="BA813" i="3"/>
  <c r="AZ813" i="3"/>
  <c r="AY813" i="3"/>
  <c r="BA812" i="3"/>
  <c r="AZ812" i="3"/>
  <c r="AY812" i="3"/>
  <c r="BA811" i="3"/>
  <c r="AZ811" i="3"/>
  <c r="AY811" i="3"/>
  <c r="BA810" i="3"/>
  <c r="AZ810" i="3"/>
  <c r="AY810" i="3"/>
  <c r="BA809" i="3"/>
  <c r="AZ809" i="3"/>
  <c r="AY809" i="3"/>
  <c r="BA808" i="3"/>
  <c r="AZ808" i="3"/>
  <c r="AY808" i="3"/>
  <c r="BA807" i="3"/>
  <c r="AZ807" i="3"/>
  <c r="AY807" i="3"/>
  <c r="BA806" i="3"/>
  <c r="AZ806" i="3"/>
  <c r="AY806" i="3"/>
  <c r="BA805" i="3"/>
  <c r="AZ805" i="3"/>
  <c r="AY805" i="3"/>
  <c r="BA804" i="3"/>
  <c r="AZ804" i="3"/>
  <c r="AY804" i="3"/>
  <c r="BA803" i="3"/>
  <c r="AZ803" i="3"/>
  <c r="AY803" i="3"/>
  <c r="BA802" i="3"/>
  <c r="AZ802" i="3"/>
  <c r="AY802" i="3"/>
  <c r="BA801" i="3"/>
  <c r="AZ801" i="3"/>
  <c r="AY801" i="3"/>
  <c r="BA800" i="3"/>
  <c r="AZ800" i="3"/>
  <c r="AY800" i="3"/>
  <c r="BA799" i="3"/>
  <c r="AZ799" i="3"/>
  <c r="AY799" i="3"/>
  <c r="BA798" i="3"/>
  <c r="AZ798" i="3"/>
  <c r="AY798" i="3"/>
  <c r="BA797" i="3"/>
  <c r="AZ797" i="3"/>
  <c r="AY797" i="3"/>
  <c r="BA796" i="3"/>
  <c r="AZ796" i="3"/>
  <c r="AY796" i="3"/>
  <c r="BA795" i="3"/>
  <c r="AZ795" i="3"/>
  <c r="AY795" i="3"/>
  <c r="BA794" i="3"/>
  <c r="AZ794" i="3"/>
  <c r="AY794" i="3"/>
  <c r="BA793" i="3"/>
  <c r="AZ793" i="3"/>
  <c r="AY793" i="3"/>
  <c r="BA792" i="3"/>
  <c r="AZ792" i="3"/>
  <c r="AY792" i="3"/>
  <c r="BA791" i="3"/>
  <c r="AZ791" i="3"/>
  <c r="AY791" i="3"/>
  <c r="BA790" i="3"/>
  <c r="AZ790" i="3"/>
  <c r="AY790" i="3"/>
  <c r="BA789" i="3"/>
  <c r="AZ789" i="3"/>
  <c r="AY789" i="3"/>
  <c r="BA788" i="3"/>
  <c r="AZ788" i="3"/>
  <c r="AY788" i="3"/>
  <c r="BA787" i="3"/>
  <c r="AZ787" i="3"/>
  <c r="AY787" i="3"/>
  <c r="BA786" i="3"/>
  <c r="AZ786" i="3"/>
  <c r="AY786" i="3"/>
  <c r="BA785" i="3"/>
  <c r="AZ785" i="3"/>
  <c r="AY785" i="3"/>
  <c r="BA784" i="3"/>
  <c r="AZ784" i="3"/>
  <c r="AY784" i="3"/>
  <c r="BA783" i="3"/>
  <c r="AZ783" i="3"/>
  <c r="AY783" i="3"/>
  <c r="BA782" i="3"/>
  <c r="AZ782" i="3"/>
  <c r="AY782" i="3"/>
  <c r="BA781" i="3"/>
  <c r="AZ781" i="3"/>
  <c r="AY781" i="3"/>
  <c r="BA780" i="3"/>
  <c r="AZ780" i="3"/>
  <c r="AY780" i="3"/>
  <c r="BA779" i="3"/>
  <c r="AZ779" i="3"/>
  <c r="AY779" i="3"/>
  <c r="BA778" i="3"/>
  <c r="AZ778" i="3"/>
  <c r="AY778" i="3"/>
  <c r="BA777" i="3"/>
  <c r="AZ777" i="3"/>
  <c r="AY777" i="3"/>
  <c r="BA776" i="3"/>
  <c r="AZ776" i="3"/>
  <c r="AY776" i="3"/>
  <c r="BA775" i="3"/>
  <c r="AZ775" i="3"/>
  <c r="AY775" i="3"/>
  <c r="BA774" i="3"/>
  <c r="AZ774" i="3"/>
  <c r="AY774" i="3"/>
  <c r="BA773" i="3"/>
  <c r="AZ773" i="3"/>
  <c r="AY773" i="3"/>
  <c r="BA772" i="3"/>
  <c r="AZ772" i="3"/>
  <c r="AY772" i="3"/>
  <c r="BA771" i="3"/>
  <c r="AZ771" i="3"/>
  <c r="AY771" i="3"/>
  <c r="BA770" i="3"/>
  <c r="AZ770" i="3"/>
  <c r="AY770" i="3"/>
  <c r="BA769" i="3"/>
  <c r="AZ769" i="3"/>
  <c r="AY769" i="3"/>
  <c r="BA768" i="3"/>
  <c r="AZ768" i="3"/>
  <c r="AY768" i="3"/>
  <c r="BA767" i="3"/>
  <c r="AZ767" i="3"/>
  <c r="AY767" i="3"/>
  <c r="BA766" i="3"/>
  <c r="AZ766" i="3"/>
  <c r="AY766" i="3"/>
  <c r="BA765" i="3"/>
  <c r="AZ765" i="3"/>
  <c r="AY765" i="3"/>
  <c r="BA764" i="3"/>
  <c r="AZ764" i="3"/>
  <c r="AY764" i="3"/>
  <c r="BA763" i="3"/>
  <c r="AZ763" i="3"/>
  <c r="AY763" i="3"/>
  <c r="BA762" i="3"/>
  <c r="AZ762" i="3"/>
  <c r="AY762" i="3"/>
  <c r="BA761" i="3"/>
  <c r="AZ761" i="3"/>
  <c r="AY761" i="3"/>
  <c r="BA760" i="3"/>
  <c r="AZ760" i="3"/>
  <c r="AY760" i="3"/>
  <c r="BA759" i="3"/>
  <c r="AZ759" i="3"/>
  <c r="AY759" i="3"/>
  <c r="BA758" i="3"/>
  <c r="AZ758" i="3"/>
  <c r="AY758" i="3"/>
  <c r="BA757" i="3"/>
  <c r="AZ757" i="3"/>
  <c r="AY757" i="3"/>
  <c r="BA756" i="3"/>
  <c r="AZ756" i="3"/>
  <c r="AY756" i="3"/>
  <c r="BA755" i="3"/>
  <c r="AZ755" i="3"/>
  <c r="AY755" i="3"/>
  <c r="BA754" i="3"/>
  <c r="AZ754" i="3"/>
  <c r="AY754" i="3"/>
  <c r="BA753" i="3"/>
  <c r="AZ753" i="3"/>
  <c r="AY753" i="3"/>
  <c r="BA752" i="3"/>
  <c r="AZ752" i="3"/>
  <c r="AY752" i="3"/>
  <c r="BA751" i="3"/>
  <c r="AZ751" i="3"/>
  <c r="AY751" i="3"/>
  <c r="BA750" i="3"/>
  <c r="AZ750" i="3"/>
  <c r="AY750" i="3"/>
  <c r="BA749" i="3"/>
  <c r="AZ749" i="3"/>
  <c r="AY749" i="3"/>
  <c r="BA748" i="3"/>
  <c r="AZ748" i="3"/>
  <c r="AY748" i="3"/>
  <c r="BA747" i="3"/>
  <c r="AZ747" i="3"/>
  <c r="AY747" i="3"/>
  <c r="BA746" i="3"/>
  <c r="AZ746" i="3"/>
  <c r="AY746" i="3"/>
  <c r="BA745" i="3"/>
  <c r="AZ745" i="3"/>
  <c r="AY745" i="3"/>
  <c r="BA744" i="3"/>
  <c r="AZ744" i="3"/>
  <c r="AY744" i="3"/>
  <c r="BA743" i="3"/>
  <c r="AZ743" i="3"/>
  <c r="AY743" i="3"/>
  <c r="BA742" i="3"/>
  <c r="AZ742" i="3"/>
  <c r="AY742" i="3"/>
  <c r="BA741" i="3"/>
  <c r="AZ741" i="3"/>
  <c r="AY741" i="3"/>
  <c r="BA740" i="3"/>
  <c r="AZ740" i="3"/>
  <c r="AY740" i="3"/>
  <c r="BA739" i="3"/>
  <c r="AZ739" i="3"/>
  <c r="AY739" i="3"/>
  <c r="BA738" i="3"/>
  <c r="AZ738" i="3"/>
  <c r="AY738" i="3"/>
  <c r="BA737" i="3"/>
  <c r="AZ737" i="3"/>
  <c r="AY737" i="3"/>
  <c r="BA736" i="3"/>
  <c r="AZ736" i="3"/>
  <c r="AY736" i="3"/>
  <c r="BA735" i="3"/>
  <c r="AZ735" i="3"/>
  <c r="AY735" i="3"/>
  <c r="BA734" i="3"/>
  <c r="AZ734" i="3"/>
  <c r="AY734" i="3"/>
  <c r="BA733" i="3"/>
  <c r="AZ733" i="3"/>
  <c r="AY733" i="3"/>
  <c r="BA732" i="3"/>
  <c r="AZ732" i="3"/>
  <c r="AY732" i="3"/>
  <c r="BA731" i="3"/>
  <c r="AZ731" i="3"/>
  <c r="AY731" i="3"/>
  <c r="BA730" i="3"/>
  <c r="AZ730" i="3"/>
  <c r="AY730" i="3"/>
  <c r="BA729" i="3"/>
  <c r="AZ729" i="3"/>
  <c r="AY729" i="3"/>
  <c r="BA728" i="3"/>
  <c r="AZ728" i="3"/>
  <c r="AY728" i="3"/>
  <c r="BA727" i="3"/>
  <c r="AZ727" i="3"/>
  <c r="AY727" i="3"/>
  <c r="BA726" i="3"/>
  <c r="AZ726" i="3"/>
  <c r="AY726" i="3"/>
  <c r="BA725" i="3"/>
  <c r="AZ725" i="3"/>
  <c r="AY725" i="3"/>
  <c r="BA724" i="3"/>
  <c r="AZ724" i="3"/>
  <c r="AY724" i="3"/>
  <c r="BA723" i="3"/>
  <c r="AZ723" i="3"/>
  <c r="AY723" i="3"/>
  <c r="BA722" i="3"/>
  <c r="AZ722" i="3"/>
  <c r="AY722" i="3"/>
  <c r="BA721" i="3"/>
  <c r="AZ721" i="3"/>
  <c r="AY721" i="3"/>
  <c r="BA720" i="3"/>
  <c r="AZ720" i="3"/>
  <c r="AY720" i="3"/>
  <c r="BA719" i="3"/>
  <c r="AZ719" i="3"/>
  <c r="AY719" i="3"/>
  <c r="BA718" i="3"/>
  <c r="AZ718" i="3"/>
  <c r="AY718" i="3"/>
  <c r="BA717" i="3"/>
  <c r="AZ717" i="3"/>
  <c r="AY717" i="3"/>
  <c r="BA716" i="3"/>
  <c r="AZ716" i="3"/>
  <c r="AY716" i="3"/>
  <c r="BA715" i="3"/>
  <c r="AZ715" i="3"/>
  <c r="AY715" i="3"/>
  <c r="BA714" i="3"/>
  <c r="AZ714" i="3"/>
  <c r="AY714" i="3"/>
  <c r="BA713" i="3"/>
  <c r="AZ713" i="3"/>
  <c r="AY713" i="3"/>
  <c r="BA712" i="3"/>
  <c r="AZ712" i="3"/>
  <c r="AY712" i="3"/>
  <c r="BA711" i="3"/>
  <c r="AZ711" i="3"/>
  <c r="AY711" i="3"/>
  <c r="BA710" i="3"/>
  <c r="AZ710" i="3"/>
  <c r="AY710" i="3"/>
  <c r="BA709" i="3"/>
  <c r="AZ709" i="3"/>
  <c r="AY709" i="3"/>
  <c r="BA708" i="3"/>
  <c r="AZ708" i="3"/>
  <c r="AY708" i="3"/>
  <c r="BA707" i="3"/>
  <c r="AZ707" i="3"/>
  <c r="AY707" i="3"/>
  <c r="BA706" i="3"/>
  <c r="AZ706" i="3"/>
  <c r="AY706" i="3"/>
  <c r="BA705" i="3"/>
  <c r="AZ705" i="3"/>
  <c r="AY705" i="3"/>
  <c r="BA704" i="3"/>
  <c r="AZ704" i="3"/>
  <c r="AY704" i="3"/>
  <c r="BA703" i="3"/>
  <c r="AZ703" i="3"/>
  <c r="AY703" i="3"/>
  <c r="BA702" i="3"/>
  <c r="AZ702" i="3"/>
  <c r="AY702" i="3"/>
  <c r="BA701" i="3"/>
  <c r="AZ701" i="3"/>
  <c r="AY701" i="3"/>
  <c r="BA700" i="3"/>
  <c r="AZ700" i="3"/>
  <c r="AY700" i="3"/>
  <c r="BA699" i="3"/>
  <c r="AZ699" i="3"/>
  <c r="AY699" i="3"/>
  <c r="BA698" i="3"/>
  <c r="AZ698" i="3"/>
  <c r="AY698" i="3"/>
  <c r="BA697" i="3"/>
  <c r="AZ697" i="3"/>
  <c r="AY697" i="3"/>
  <c r="BA696" i="3"/>
  <c r="AZ696" i="3"/>
  <c r="AY696" i="3"/>
  <c r="BA695" i="3"/>
  <c r="AZ695" i="3"/>
  <c r="AY695" i="3"/>
  <c r="BA694" i="3"/>
  <c r="AZ694" i="3"/>
  <c r="AY694" i="3"/>
  <c r="BA693" i="3"/>
  <c r="AZ693" i="3"/>
  <c r="AY693" i="3"/>
  <c r="BA692" i="3"/>
  <c r="AZ692" i="3"/>
  <c r="AY692" i="3"/>
  <c r="BA691" i="3"/>
  <c r="AZ691" i="3"/>
  <c r="AY691" i="3"/>
  <c r="BA690" i="3"/>
  <c r="AZ690" i="3"/>
  <c r="AY690" i="3"/>
  <c r="BA689" i="3"/>
  <c r="AZ689" i="3"/>
  <c r="AY689" i="3"/>
  <c r="BA688" i="3"/>
  <c r="AZ688" i="3"/>
  <c r="AY688" i="3"/>
  <c r="BA687" i="3"/>
  <c r="AZ687" i="3"/>
  <c r="AY687" i="3"/>
  <c r="BA686" i="3"/>
  <c r="AZ686" i="3"/>
  <c r="AY686" i="3"/>
  <c r="BA685" i="3"/>
  <c r="AZ685" i="3"/>
  <c r="AY685" i="3"/>
  <c r="BA684" i="3"/>
  <c r="AZ684" i="3"/>
  <c r="AY684" i="3"/>
  <c r="BA683" i="3"/>
  <c r="AZ683" i="3"/>
  <c r="AY683" i="3"/>
  <c r="BA682" i="3"/>
  <c r="AZ682" i="3"/>
  <c r="AY682" i="3"/>
  <c r="BA681" i="3"/>
  <c r="AZ681" i="3"/>
  <c r="AY681" i="3"/>
  <c r="BA680" i="3"/>
  <c r="AZ680" i="3"/>
  <c r="AY680" i="3"/>
  <c r="BA679" i="3"/>
  <c r="AZ679" i="3"/>
  <c r="AY679" i="3"/>
  <c r="BA678" i="3"/>
  <c r="AZ678" i="3"/>
  <c r="AY678" i="3"/>
  <c r="BA677" i="3"/>
  <c r="AZ677" i="3"/>
  <c r="AY677" i="3"/>
  <c r="BA676" i="3"/>
  <c r="AZ676" i="3"/>
  <c r="AY676" i="3"/>
  <c r="BA675" i="3"/>
  <c r="AZ675" i="3"/>
  <c r="AY675" i="3"/>
  <c r="BA674" i="3"/>
  <c r="AZ674" i="3"/>
  <c r="AY674" i="3"/>
  <c r="BA673" i="3"/>
  <c r="AZ673" i="3"/>
  <c r="AY673" i="3"/>
  <c r="BA672" i="3"/>
  <c r="AZ672" i="3"/>
  <c r="AY672" i="3"/>
  <c r="BA671" i="3"/>
  <c r="AZ671" i="3"/>
  <c r="AY671" i="3"/>
  <c r="BA670" i="3"/>
  <c r="AZ670" i="3"/>
  <c r="AY670" i="3"/>
  <c r="BA669" i="3"/>
  <c r="AZ669" i="3"/>
  <c r="AY669" i="3"/>
  <c r="BA668" i="3"/>
  <c r="AZ668" i="3"/>
  <c r="AY668" i="3"/>
  <c r="BA667" i="3"/>
  <c r="AZ667" i="3"/>
  <c r="AY667" i="3"/>
  <c r="BA666" i="3"/>
  <c r="AZ666" i="3"/>
  <c r="AY666" i="3"/>
  <c r="BA665" i="3"/>
  <c r="AZ665" i="3"/>
  <c r="AY665" i="3"/>
  <c r="BA664" i="3"/>
  <c r="AZ664" i="3"/>
  <c r="AY664" i="3"/>
  <c r="BA663" i="3"/>
  <c r="AZ663" i="3"/>
  <c r="AY663" i="3"/>
  <c r="BA662" i="3"/>
  <c r="AZ662" i="3"/>
  <c r="AY662" i="3"/>
  <c r="BA661" i="3"/>
  <c r="AZ661" i="3"/>
  <c r="AY661" i="3"/>
  <c r="BA660" i="3"/>
  <c r="AZ660" i="3"/>
  <c r="AY660" i="3"/>
  <c r="BA659" i="3"/>
  <c r="AZ659" i="3"/>
  <c r="AY659" i="3"/>
  <c r="BA658" i="3"/>
  <c r="AZ658" i="3"/>
  <c r="AY658" i="3"/>
  <c r="BA657" i="3"/>
  <c r="AZ657" i="3"/>
  <c r="AY657" i="3"/>
  <c r="BA656" i="3"/>
  <c r="AZ656" i="3"/>
  <c r="AY656" i="3"/>
  <c r="BA655" i="3"/>
  <c r="AZ655" i="3"/>
  <c r="AY655" i="3"/>
  <c r="BA654" i="3"/>
  <c r="AZ654" i="3"/>
  <c r="AY654" i="3"/>
  <c r="BA653" i="3"/>
  <c r="AZ653" i="3"/>
  <c r="AY653" i="3"/>
  <c r="BA652" i="3"/>
  <c r="AZ652" i="3"/>
  <c r="AY652" i="3"/>
  <c r="BA651" i="3"/>
  <c r="AZ651" i="3"/>
  <c r="AY651" i="3"/>
  <c r="BA650" i="3"/>
  <c r="AZ650" i="3"/>
  <c r="AY650" i="3"/>
  <c r="BA649" i="3"/>
  <c r="AZ649" i="3"/>
  <c r="AY649" i="3"/>
  <c r="BA648" i="3"/>
  <c r="AZ648" i="3"/>
  <c r="AY648" i="3"/>
  <c r="BA647" i="3"/>
  <c r="AZ647" i="3"/>
  <c r="AY647" i="3"/>
  <c r="BA646" i="3"/>
  <c r="AZ646" i="3"/>
  <c r="AY646" i="3"/>
  <c r="BA645" i="3"/>
  <c r="AZ645" i="3"/>
  <c r="AY645" i="3"/>
  <c r="BA644" i="3"/>
  <c r="AZ644" i="3"/>
  <c r="AY644" i="3"/>
  <c r="BA643" i="3"/>
  <c r="AZ643" i="3"/>
  <c r="AY643" i="3"/>
  <c r="BA642" i="3"/>
  <c r="AZ642" i="3"/>
  <c r="AY642" i="3"/>
  <c r="BA641" i="3"/>
  <c r="AZ641" i="3"/>
  <c r="AY641" i="3"/>
  <c r="BA640" i="3"/>
  <c r="AZ640" i="3"/>
  <c r="AY640" i="3"/>
  <c r="BA639" i="3"/>
  <c r="AZ639" i="3"/>
  <c r="AY639" i="3"/>
  <c r="BA638" i="3"/>
  <c r="AZ638" i="3"/>
  <c r="AY638" i="3"/>
  <c r="BA637" i="3"/>
  <c r="AZ637" i="3"/>
  <c r="AY637" i="3"/>
  <c r="BA636" i="3"/>
  <c r="AZ636" i="3"/>
  <c r="AY636" i="3"/>
  <c r="BA635" i="3"/>
  <c r="AZ635" i="3"/>
  <c r="AY635" i="3"/>
  <c r="BA634" i="3"/>
  <c r="AZ634" i="3"/>
  <c r="AY634" i="3"/>
  <c r="BA633" i="3"/>
  <c r="AZ633" i="3"/>
  <c r="AY633" i="3"/>
  <c r="BA632" i="3"/>
  <c r="AZ632" i="3"/>
  <c r="AY632" i="3"/>
  <c r="BA631" i="3"/>
  <c r="AZ631" i="3"/>
  <c r="AY631" i="3"/>
  <c r="BA630" i="3"/>
  <c r="AZ630" i="3"/>
  <c r="AY630" i="3"/>
  <c r="BA629" i="3"/>
  <c r="AZ629" i="3"/>
  <c r="AY629" i="3"/>
  <c r="BA628" i="3"/>
  <c r="AZ628" i="3"/>
  <c r="AY628" i="3"/>
  <c r="BA627" i="3"/>
  <c r="AZ627" i="3"/>
  <c r="AY627" i="3"/>
  <c r="BA626" i="3"/>
  <c r="AZ626" i="3"/>
  <c r="AY626" i="3"/>
  <c r="BA625" i="3"/>
  <c r="AZ625" i="3"/>
  <c r="AY625" i="3"/>
  <c r="BA624" i="3"/>
  <c r="AZ624" i="3"/>
  <c r="AY624" i="3"/>
  <c r="BA623" i="3"/>
  <c r="AZ623" i="3"/>
  <c r="AY623" i="3"/>
  <c r="BA622" i="3"/>
  <c r="AZ622" i="3"/>
  <c r="AY622" i="3"/>
  <c r="BA621" i="3"/>
  <c r="AZ621" i="3"/>
  <c r="AY621" i="3"/>
  <c r="BA620" i="3"/>
  <c r="AZ620" i="3"/>
  <c r="AY620" i="3"/>
  <c r="BA619" i="3"/>
  <c r="AZ619" i="3"/>
  <c r="AY619" i="3"/>
  <c r="BA618" i="3"/>
  <c r="AZ618" i="3"/>
  <c r="AY618" i="3"/>
  <c r="BA617" i="3"/>
  <c r="AZ617" i="3"/>
  <c r="AY617" i="3"/>
  <c r="BA616" i="3"/>
  <c r="AZ616" i="3"/>
  <c r="AY616" i="3"/>
  <c r="BA615" i="3"/>
  <c r="AZ615" i="3"/>
  <c r="AY615" i="3"/>
  <c r="BA614" i="3"/>
  <c r="AZ614" i="3"/>
  <c r="AY614" i="3"/>
  <c r="BA613" i="3"/>
  <c r="AZ613" i="3"/>
  <c r="AY613" i="3"/>
  <c r="BA612" i="3"/>
  <c r="AZ612" i="3"/>
  <c r="AY612" i="3"/>
  <c r="BA611" i="3"/>
  <c r="AZ611" i="3"/>
  <c r="AY611" i="3"/>
  <c r="BA610" i="3"/>
  <c r="AZ610" i="3"/>
  <c r="AY610" i="3"/>
  <c r="BA609" i="3"/>
  <c r="AZ609" i="3"/>
  <c r="AY609" i="3"/>
  <c r="BA608" i="3"/>
  <c r="AZ608" i="3"/>
  <c r="AY608" i="3"/>
  <c r="BA607" i="3"/>
  <c r="AZ607" i="3"/>
  <c r="AY607" i="3"/>
  <c r="BA606" i="3"/>
  <c r="AZ606" i="3"/>
  <c r="AY606" i="3"/>
  <c r="BA605" i="3"/>
  <c r="AZ605" i="3"/>
  <c r="AY605" i="3"/>
  <c r="BA604" i="3"/>
  <c r="AZ604" i="3"/>
  <c r="AY604" i="3"/>
  <c r="BA603" i="3"/>
  <c r="AZ603" i="3"/>
  <c r="AY603" i="3"/>
  <c r="BA602" i="3"/>
  <c r="AZ602" i="3"/>
  <c r="AY602" i="3"/>
  <c r="BA601" i="3"/>
  <c r="AZ601" i="3"/>
  <c r="AY601" i="3"/>
  <c r="BA600" i="3"/>
  <c r="AZ600" i="3"/>
  <c r="AY600" i="3"/>
  <c r="BA599" i="3"/>
  <c r="AZ599" i="3"/>
  <c r="AY599" i="3"/>
  <c r="BA598" i="3"/>
  <c r="AZ598" i="3"/>
  <c r="AY598" i="3"/>
  <c r="BA597" i="3"/>
  <c r="AZ597" i="3"/>
  <c r="AY597" i="3"/>
  <c r="BA596" i="3"/>
  <c r="AZ596" i="3"/>
  <c r="AY596" i="3"/>
  <c r="BA595" i="3"/>
  <c r="AZ595" i="3"/>
  <c r="AY595" i="3"/>
  <c r="BA594" i="3"/>
  <c r="AZ594" i="3"/>
  <c r="AY594" i="3"/>
  <c r="BA593" i="3"/>
  <c r="AZ593" i="3"/>
  <c r="AY593" i="3"/>
  <c r="BA592" i="3"/>
  <c r="AZ592" i="3"/>
  <c r="AY592" i="3"/>
  <c r="BA591" i="3"/>
  <c r="AZ591" i="3"/>
  <c r="AY591" i="3"/>
  <c r="BA590" i="3"/>
  <c r="AZ590" i="3"/>
  <c r="AY590" i="3"/>
  <c r="BA589" i="3"/>
  <c r="AZ589" i="3"/>
  <c r="AY589" i="3"/>
  <c r="BA588" i="3"/>
  <c r="AZ588" i="3"/>
  <c r="AY588" i="3"/>
  <c r="BA587" i="3"/>
  <c r="AZ587" i="3"/>
  <c r="AY587" i="3"/>
  <c r="BA586" i="3"/>
  <c r="AZ586" i="3"/>
  <c r="AY586" i="3"/>
  <c r="BA585" i="3"/>
  <c r="AZ585" i="3"/>
  <c r="AY585" i="3"/>
  <c r="BA584" i="3"/>
  <c r="AZ584" i="3"/>
  <c r="AY584" i="3"/>
  <c r="BA583" i="3"/>
  <c r="AZ583" i="3"/>
  <c r="AY583" i="3"/>
  <c r="BA582" i="3"/>
  <c r="AZ582" i="3"/>
  <c r="AY582" i="3"/>
  <c r="BA581" i="3"/>
  <c r="AZ581" i="3"/>
  <c r="AY581" i="3"/>
  <c r="BA580" i="3"/>
  <c r="AZ580" i="3"/>
  <c r="AY580" i="3"/>
  <c r="BA579" i="3"/>
  <c r="AZ579" i="3"/>
  <c r="AY579" i="3"/>
  <c r="BA578" i="3"/>
  <c r="AZ578" i="3"/>
  <c r="AY578" i="3"/>
  <c r="BA577" i="3"/>
  <c r="AZ577" i="3"/>
  <c r="AY577" i="3"/>
  <c r="BA576" i="3"/>
  <c r="AZ576" i="3"/>
  <c r="AY576" i="3"/>
  <c r="BA575" i="3"/>
  <c r="AZ575" i="3"/>
  <c r="AY575" i="3"/>
  <c r="BA574" i="3"/>
  <c r="AZ574" i="3"/>
  <c r="AY574" i="3"/>
  <c r="BA573" i="3"/>
  <c r="AZ573" i="3"/>
  <c r="AY573" i="3"/>
  <c r="BA572" i="3"/>
  <c r="AZ572" i="3"/>
  <c r="AY572" i="3"/>
  <c r="BA571" i="3"/>
  <c r="AZ571" i="3"/>
  <c r="AY571" i="3"/>
  <c r="BA570" i="3"/>
  <c r="AZ570" i="3"/>
  <c r="AY570" i="3"/>
  <c r="BA569" i="3"/>
  <c r="AZ569" i="3"/>
  <c r="AY569" i="3"/>
  <c r="BA568" i="3"/>
  <c r="AZ568" i="3"/>
  <c r="AY568" i="3"/>
  <c r="BA567" i="3"/>
  <c r="AZ567" i="3"/>
  <c r="AY567" i="3"/>
  <c r="BA566" i="3"/>
  <c r="AZ566" i="3"/>
  <c r="AY566" i="3"/>
  <c r="BA565" i="3"/>
  <c r="AZ565" i="3"/>
  <c r="AY565" i="3"/>
  <c r="BA564" i="3"/>
  <c r="AZ564" i="3"/>
  <c r="AY564" i="3"/>
  <c r="BA563" i="3"/>
  <c r="AZ563" i="3"/>
  <c r="AY563" i="3"/>
  <c r="BA562" i="3"/>
  <c r="AZ562" i="3"/>
  <c r="AY562" i="3"/>
  <c r="BA561" i="3"/>
  <c r="AZ561" i="3"/>
  <c r="AY561" i="3"/>
  <c r="BA560" i="3"/>
  <c r="AZ560" i="3"/>
  <c r="AY560" i="3"/>
  <c r="BA559" i="3"/>
  <c r="AZ559" i="3"/>
  <c r="AY559" i="3"/>
  <c r="BA558" i="3"/>
  <c r="AZ558" i="3"/>
  <c r="AY558" i="3"/>
  <c r="BA557" i="3"/>
  <c r="AZ557" i="3"/>
  <c r="AY557" i="3"/>
  <c r="BA556" i="3"/>
  <c r="AZ556" i="3"/>
  <c r="AY556" i="3"/>
  <c r="BA555" i="3"/>
  <c r="AZ555" i="3"/>
  <c r="AY555" i="3"/>
  <c r="BA554" i="3"/>
  <c r="AZ554" i="3"/>
  <c r="AY554" i="3"/>
  <c r="BA553" i="3"/>
  <c r="AZ553" i="3"/>
  <c r="AY553" i="3"/>
  <c r="BA552" i="3"/>
  <c r="AZ552" i="3"/>
  <c r="AY552" i="3"/>
  <c r="BA551" i="3"/>
  <c r="AZ551" i="3"/>
  <c r="AY551" i="3"/>
  <c r="BA550" i="3"/>
  <c r="AZ550" i="3"/>
  <c r="AY550" i="3"/>
  <c r="BA549" i="3"/>
  <c r="AZ549" i="3"/>
  <c r="AY549" i="3"/>
  <c r="BA548" i="3"/>
  <c r="AZ548" i="3"/>
  <c r="AY548" i="3"/>
  <c r="BA547" i="3"/>
  <c r="AZ547" i="3"/>
  <c r="AY547" i="3"/>
  <c r="BA546" i="3"/>
  <c r="AZ546" i="3"/>
  <c r="AY546" i="3"/>
  <c r="BA545" i="3"/>
  <c r="AZ545" i="3"/>
  <c r="AY545" i="3"/>
  <c r="BA544" i="3"/>
  <c r="AZ544" i="3"/>
  <c r="AY544" i="3"/>
  <c r="BA543" i="3"/>
  <c r="AZ543" i="3"/>
  <c r="AY543" i="3"/>
  <c r="BA542" i="3"/>
  <c r="AZ542" i="3"/>
  <c r="AY542" i="3"/>
  <c r="BA541" i="3"/>
  <c r="AZ541" i="3"/>
  <c r="AY541" i="3"/>
  <c r="BA540" i="3"/>
  <c r="AZ540" i="3"/>
  <c r="AY540" i="3"/>
  <c r="BA539" i="3"/>
  <c r="AZ539" i="3"/>
  <c r="AY539" i="3"/>
  <c r="BA538" i="3"/>
  <c r="AZ538" i="3"/>
  <c r="AY538" i="3"/>
  <c r="BA537" i="3"/>
  <c r="AZ537" i="3"/>
  <c r="AY537" i="3"/>
  <c r="BA536" i="3"/>
  <c r="AZ536" i="3"/>
  <c r="AY536" i="3"/>
  <c r="BA535" i="3"/>
  <c r="AZ535" i="3"/>
  <c r="AY535" i="3"/>
  <c r="BA534" i="3"/>
  <c r="AZ534" i="3"/>
  <c r="AY534" i="3"/>
  <c r="BA533" i="3"/>
  <c r="AZ533" i="3"/>
  <c r="AY533" i="3"/>
  <c r="BA532" i="3"/>
  <c r="AZ532" i="3"/>
  <c r="AY532" i="3"/>
  <c r="BA531" i="3"/>
  <c r="AZ531" i="3"/>
  <c r="AY531" i="3"/>
  <c r="BA530" i="3"/>
  <c r="AZ530" i="3"/>
  <c r="AY530" i="3"/>
  <c r="BA529" i="3"/>
  <c r="AZ529" i="3"/>
  <c r="AY529" i="3"/>
  <c r="BA528" i="3"/>
  <c r="AZ528" i="3"/>
  <c r="AY528" i="3"/>
  <c r="BA527" i="3"/>
  <c r="AZ527" i="3"/>
  <c r="AY527" i="3"/>
  <c r="BA526" i="3"/>
  <c r="AZ526" i="3"/>
  <c r="AY526" i="3"/>
  <c r="BA525" i="3"/>
  <c r="AZ525" i="3"/>
  <c r="AY525" i="3"/>
  <c r="BA524" i="3"/>
  <c r="AZ524" i="3"/>
  <c r="AY524" i="3"/>
  <c r="BA523" i="3"/>
  <c r="AZ523" i="3"/>
  <c r="AY523" i="3"/>
  <c r="BA522" i="3"/>
  <c r="AZ522" i="3"/>
  <c r="AY522" i="3"/>
  <c r="BA521" i="3"/>
  <c r="AZ521" i="3"/>
  <c r="AY521" i="3"/>
  <c r="BA520" i="3"/>
  <c r="AZ520" i="3"/>
  <c r="AY520" i="3"/>
  <c r="BA519" i="3"/>
  <c r="AZ519" i="3"/>
  <c r="AY519" i="3"/>
  <c r="BA518" i="3"/>
  <c r="AZ518" i="3"/>
  <c r="AY518" i="3"/>
  <c r="BA517" i="3"/>
  <c r="AZ517" i="3"/>
  <c r="AY517" i="3"/>
  <c r="BA516" i="3"/>
  <c r="AZ516" i="3"/>
  <c r="AY516" i="3"/>
  <c r="BA515" i="3"/>
  <c r="AZ515" i="3"/>
  <c r="AY515" i="3"/>
  <c r="BA514" i="3"/>
  <c r="AZ514" i="3"/>
  <c r="AY514" i="3"/>
  <c r="BA513" i="3"/>
  <c r="AZ513" i="3"/>
  <c r="AY513" i="3"/>
  <c r="BA512" i="3"/>
  <c r="AZ512" i="3"/>
  <c r="AY512" i="3"/>
  <c r="BA511" i="3"/>
  <c r="AZ511" i="3"/>
  <c r="AY511" i="3"/>
  <c r="AR510" i="3"/>
  <c r="AQ510" i="3"/>
  <c r="AP510" i="3"/>
  <c r="AO510" i="3"/>
  <c r="AN510" i="3"/>
  <c r="AM510" i="3"/>
  <c r="AL510" i="3"/>
  <c r="B510" i="3"/>
  <c r="AR509" i="3"/>
  <c r="AQ509" i="3"/>
  <c r="AP509" i="3"/>
  <c r="AO509" i="3"/>
  <c r="AN509" i="3"/>
  <c r="AM509" i="3"/>
  <c r="AL509" i="3"/>
  <c r="B509" i="3"/>
  <c r="AR508" i="3"/>
  <c r="AQ508" i="3"/>
  <c r="AP508" i="3"/>
  <c r="AO508" i="3"/>
  <c r="AN508" i="3"/>
  <c r="AM508" i="3"/>
  <c r="AL508" i="3"/>
  <c r="B508" i="3"/>
  <c r="AR507" i="3"/>
  <c r="AQ507" i="3"/>
  <c r="AP507" i="3"/>
  <c r="AO507" i="3"/>
  <c r="AN507" i="3"/>
  <c r="AM507" i="3"/>
  <c r="AL507" i="3"/>
  <c r="B507" i="3"/>
  <c r="AR506" i="3"/>
  <c r="AQ506" i="3"/>
  <c r="AP506" i="3"/>
  <c r="AO506" i="3"/>
  <c r="AN506" i="3"/>
  <c r="AM506" i="3"/>
  <c r="AL506" i="3"/>
  <c r="B506" i="3"/>
  <c r="AR505" i="3"/>
  <c r="AQ505" i="3"/>
  <c r="AP505" i="3"/>
  <c r="AO505" i="3"/>
  <c r="AN505" i="3"/>
  <c r="AM505" i="3"/>
  <c r="AL505" i="3"/>
  <c r="B505" i="3"/>
  <c r="AR504" i="3"/>
  <c r="AQ504" i="3"/>
  <c r="AP504" i="3"/>
  <c r="AO504" i="3"/>
  <c r="AN504" i="3"/>
  <c r="AM504" i="3"/>
  <c r="AL504" i="3"/>
  <c r="B504" i="3"/>
  <c r="AR503" i="3"/>
  <c r="AQ503" i="3"/>
  <c r="AP503" i="3"/>
  <c r="AO503" i="3"/>
  <c r="AN503" i="3"/>
  <c r="AM503" i="3"/>
  <c r="AL503" i="3"/>
  <c r="B503" i="3"/>
  <c r="AR502" i="3"/>
  <c r="AQ502" i="3"/>
  <c r="AP502" i="3"/>
  <c r="AO502" i="3"/>
  <c r="AN502" i="3"/>
  <c r="AM502" i="3"/>
  <c r="AL502" i="3"/>
  <c r="B502" i="3"/>
  <c r="AR501" i="3"/>
  <c r="AQ501" i="3"/>
  <c r="AP501" i="3"/>
  <c r="AO501" i="3"/>
  <c r="AN501" i="3"/>
  <c r="AM501" i="3"/>
  <c r="AL501" i="3"/>
  <c r="B501" i="3"/>
  <c r="AR500" i="3"/>
  <c r="AQ500" i="3"/>
  <c r="AP500" i="3"/>
  <c r="AO500" i="3"/>
  <c r="AN500" i="3"/>
  <c r="AM500" i="3"/>
  <c r="AL500" i="3"/>
  <c r="B500" i="3"/>
  <c r="AR499" i="3"/>
  <c r="AQ499" i="3"/>
  <c r="AP499" i="3"/>
  <c r="AO499" i="3"/>
  <c r="AN499" i="3"/>
  <c r="AM499" i="3"/>
  <c r="AL499" i="3"/>
  <c r="B499" i="3"/>
  <c r="AR498" i="3"/>
  <c r="AQ498" i="3"/>
  <c r="AP498" i="3"/>
  <c r="AO498" i="3"/>
  <c r="AN498" i="3"/>
  <c r="AM498" i="3"/>
  <c r="AL498" i="3"/>
  <c r="B498" i="3"/>
  <c r="AR497" i="3"/>
  <c r="AQ497" i="3"/>
  <c r="AP497" i="3"/>
  <c r="AO497" i="3"/>
  <c r="AN497" i="3"/>
  <c r="AM497" i="3"/>
  <c r="AL497" i="3"/>
  <c r="B497" i="3"/>
  <c r="AR496" i="3"/>
  <c r="AQ496" i="3"/>
  <c r="AP496" i="3"/>
  <c r="AO496" i="3"/>
  <c r="AN496" i="3"/>
  <c r="AM496" i="3"/>
  <c r="AL496" i="3"/>
  <c r="B496" i="3"/>
  <c r="AR495" i="3"/>
  <c r="AQ495" i="3"/>
  <c r="AP495" i="3"/>
  <c r="AO495" i="3"/>
  <c r="AN495" i="3"/>
  <c r="AM495" i="3"/>
  <c r="AL495" i="3"/>
  <c r="B495" i="3"/>
  <c r="AR494" i="3"/>
  <c r="AQ494" i="3"/>
  <c r="AP494" i="3"/>
  <c r="AO494" i="3"/>
  <c r="AN494" i="3"/>
  <c r="AM494" i="3"/>
  <c r="AL494" i="3"/>
  <c r="B494" i="3"/>
  <c r="AR493" i="3"/>
  <c r="AQ493" i="3"/>
  <c r="AP493" i="3"/>
  <c r="AO493" i="3"/>
  <c r="AN493" i="3"/>
  <c r="AM493" i="3"/>
  <c r="AL493" i="3"/>
  <c r="B493" i="3"/>
  <c r="AR492" i="3"/>
  <c r="AQ492" i="3"/>
  <c r="AP492" i="3"/>
  <c r="AO492" i="3"/>
  <c r="AN492" i="3"/>
  <c r="AM492" i="3"/>
  <c r="AL492" i="3"/>
  <c r="B492" i="3"/>
  <c r="AR491" i="3"/>
  <c r="AQ491" i="3"/>
  <c r="AP491" i="3"/>
  <c r="AO491" i="3"/>
  <c r="AN491" i="3"/>
  <c r="AM491" i="3"/>
  <c r="AL491" i="3"/>
  <c r="B491" i="3"/>
  <c r="AR490" i="3"/>
  <c r="AQ490" i="3"/>
  <c r="AP490" i="3"/>
  <c r="AO490" i="3"/>
  <c r="AN490" i="3"/>
  <c r="AM490" i="3"/>
  <c r="AL490" i="3"/>
  <c r="B490" i="3"/>
  <c r="AR489" i="3"/>
  <c r="AQ489" i="3"/>
  <c r="AP489" i="3"/>
  <c r="AO489" i="3"/>
  <c r="AN489" i="3"/>
  <c r="AM489" i="3"/>
  <c r="AL489" i="3"/>
  <c r="B489" i="3"/>
  <c r="AR488" i="3"/>
  <c r="AQ488" i="3"/>
  <c r="AP488" i="3"/>
  <c r="AO488" i="3"/>
  <c r="AN488" i="3"/>
  <c r="AM488" i="3"/>
  <c r="AL488" i="3"/>
  <c r="B488" i="3"/>
  <c r="AR487" i="3"/>
  <c r="AQ487" i="3"/>
  <c r="AP487" i="3"/>
  <c r="AO487" i="3"/>
  <c r="AN487" i="3"/>
  <c r="AM487" i="3"/>
  <c r="AL487" i="3"/>
  <c r="B487" i="3"/>
  <c r="AR486" i="3"/>
  <c r="AQ486" i="3"/>
  <c r="AP486" i="3"/>
  <c r="AO486" i="3"/>
  <c r="AN486" i="3"/>
  <c r="AM486" i="3"/>
  <c r="AL486" i="3"/>
  <c r="B486" i="3"/>
  <c r="AR485" i="3"/>
  <c r="AQ485" i="3"/>
  <c r="AP485" i="3"/>
  <c r="AO485" i="3"/>
  <c r="AN485" i="3"/>
  <c r="AM485" i="3"/>
  <c r="AL485" i="3"/>
  <c r="B485" i="3"/>
  <c r="AR484" i="3"/>
  <c r="AQ484" i="3"/>
  <c r="AP484" i="3"/>
  <c r="AO484" i="3"/>
  <c r="AN484" i="3"/>
  <c r="AM484" i="3"/>
  <c r="AL484" i="3"/>
  <c r="B484" i="3"/>
  <c r="AR483" i="3"/>
  <c r="AQ483" i="3"/>
  <c r="AP483" i="3"/>
  <c r="AO483" i="3"/>
  <c r="AN483" i="3"/>
  <c r="AM483" i="3"/>
  <c r="AL483" i="3"/>
  <c r="B483" i="3"/>
  <c r="AR482" i="3"/>
  <c r="AQ482" i="3"/>
  <c r="AP482" i="3"/>
  <c r="AO482" i="3"/>
  <c r="AN482" i="3"/>
  <c r="AM482" i="3"/>
  <c r="AL482" i="3"/>
  <c r="B482" i="3"/>
  <c r="AR481" i="3"/>
  <c r="AQ481" i="3"/>
  <c r="AP481" i="3"/>
  <c r="AO481" i="3"/>
  <c r="AN481" i="3"/>
  <c r="AM481" i="3"/>
  <c r="AL481" i="3"/>
  <c r="B481" i="3"/>
  <c r="AR480" i="3"/>
  <c r="AQ480" i="3"/>
  <c r="AP480" i="3"/>
  <c r="AO480" i="3"/>
  <c r="AN480" i="3"/>
  <c r="AM480" i="3"/>
  <c r="AL480" i="3"/>
  <c r="B480" i="3"/>
  <c r="AR479" i="3"/>
  <c r="AQ479" i="3"/>
  <c r="AP479" i="3"/>
  <c r="AO479" i="3"/>
  <c r="AN479" i="3"/>
  <c r="AM479" i="3"/>
  <c r="AL479" i="3"/>
  <c r="B479" i="3"/>
  <c r="AR478" i="3"/>
  <c r="AQ478" i="3"/>
  <c r="AP478" i="3"/>
  <c r="AO478" i="3"/>
  <c r="AN478" i="3"/>
  <c r="AM478" i="3"/>
  <c r="AL478" i="3"/>
  <c r="B478" i="3"/>
  <c r="AR477" i="3"/>
  <c r="AQ477" i="3"/>
  <c r="AP477" i="3"/>
  <c r="AO477" i="3"/>
  <c r="AN477" i="3"/>
  <c r="AM477" i="3"/>
  <c r="AL477" i="3"/>
  <c r="B477" i="3"/>
  <c r="AR476" i="3"/>
  <c r="AQ476" i="3"/>
  <c r="AP476" i="3"/>
  <c r="AO476" i="3"/>
  <c r="AN476" i="3"/>
  <c r="AM476" i="3"/>
  <c r="AL476" i="3"/>
  <c r="B476" i="3"/>
  <c r="AR475" i="3"/>
  <c r="AQ475" i="3"/>
  <c r="AP475" i="3"/>
  <c r="AO475" i="3"/>
  <c r="AN475" i="3"/>
  <c r="AM475" i="3"/>
  <c r="AL475" i="3"/>
  <c r="B475" i="3"/>
  <c r="AR474" i="3"/>
  <c r="AQ474" i="3"/>
  <c r="AP474" i="3"/>
  <c r="AO474" i="3"/>
  <c r="AN474" i="3"/>
  <c r="AM474" i="3"/>
  <c r="AL474" i="3"/>
  <c r="B474" i="3"/>
  <c r="AR473" i="3"/>
  <c r="AQ473" i="3"/>
  <c r="AP473" i="3"/>
  <c r="AO473" i="3"/>
  <c r="AN473" i="3"/>
  <c r="AM473" i="3"/>
  <c r="AL473" i="3"/>
  <c r="B473" i="3"/>
  <c r="AR472" i="3"/>
  <c r="AQ472" i="3"/>
  <c r="AP472" i="3"/>
  <c r="AO472" i="3"/>
  <c r="AN472" i="3"/>
  <c r="AM472" i="3"/>
  <c r="AL472" i="3"/>
  <c r="B472" i="3"/>
  <c r="AR471" i="3"/>
  <c r="AQ471" i="3"/>
  <c r="AP471" i="3"/>
  <c r="AO471" i="3"/>
  <c r="AN471" i="3"/>
  <c r="AM471" i="3"/>
  <c r="AL471" i="3"/>
  <c r="B471" i="3"/>
  <c r="AR470" i="3"/>
  <c r="AQ470" i="3"/>
  <c r="AP470" i="3"/>
  <c r="AO470" i="3"/>
  <c r="AN470" i="3"/>
  <c r="AM470" i="3"/>
  <c r="AL470" i="3"/>
  <c r="B470" i="3"/>
  <c r="AR469" i="3"/>
  <c r="AQ469" i="3"/>
  <c r="AP469" i="3"/>
  <c r="AO469" i="3"/>
  <c r="AN469" i="3"/>
  <c r="AM469" i="3"/>
  <c r="AL469" i="3"/>
  <c r="B469" i="3"/>
  <c r="AR468" i="3"/>
  <c r="AQ468" i="3"/>
  <c r="AP468" i="3"/>
  <c r="AO468" i="3"/>
  <c r="AN468" i="3"/>
  <c r="AM468" i="3"/>
  <c r="AL468" i="3"/>
  <c r="B468" i="3"/>
  <c r="AR467" i="3"/>
  <c r="AQ467" i="3"/>
  <c r="AP467" i="3"/>
  <c r="AO467" i="3"/>
  <c r="AN467" i="3"/>
  <c r="AM467" i="3"/>
  <c r="AL467" i="3"/>
  <c r="B467" i="3"/>
  <c r="AR466" i="3"/>
  <c r="AQ466" i="3"/>
  <c r="AP466" i="3"/>
  <c r="AO466" i="3"/>
  <c r="AN466" i="3"/>
  <c r="AM466" i="3"/>
  <c r="AL466" i="3"/>
  <c r="B466" i="3"/>
  <c r="AR465" i="3"/>
  <c r="AQ465" i="3"/>
  <c r="AP465" i="3"/>
  <c r="AO465" i="3"/>
  <c r="AN465" i="3"/>
  <c r="AM465" i="3"/>
  <c r="AL465" i="3"/>
  <c r="B465" i="3"/>
  <c r="AR464" i="3"/>
  <c r="AQ464" i="3"/>
  <c r="AP464" i="3"/>
  <c r="AO464" i="3"/>
  <c r="AN464" i="3"/>
  <c r="AM464" i="3"/>
  <c r="AL464" i="3"/>
  <c r="B464" i="3"/>
  <c r="AR463" i="3"/>
  <c r="AQ463" i="3"/>
  <c r="AP463" i="3"/>
  <c r="AO463" i="3"/>
  <c r="AN463" i="3"/>
  <c r="AM463" i="3"/>
  <c r="AL463" i="3"/>
  <c r="B463" i="3"/>
  <c r="AR462" i="3"/>
  <c r="AQ462" i="3"/>
  <c r="AP462" i="3"/>
  <c r="AO462" i="3"/>
  <c r="AN462" i="3"/>
  <c r="AM462" i="3"/>
  <c r="AL462" i="3"/>
  <c r="B462" i="3"/>
  <c r="AR461" i="3"/>
  <c r="AQ461" i="3"/>
  <c r="AP461" i="3"/>
  <c r="AO461" i="3"/>
  <c r="AN461" i="3"/>
  <c r="AM461" i="3"/>
  <c r="AL461" i="3"/>
  <c r="B461" i="3"/>
  <c r="AR460" i="3"/>
  <c r="AQ460" i="3"/>
  <c r="AP460" i="3"/>
  <c r="AO460" i="3"/>
  <c r="AN460" i="3"/>
  <c r="AM460" i="3"/>
  <c r="AL460" i="3"/>
  <c r="B460" i="3"/>
  <c r="AR459" i="3"/>
  <c r="AQ459" i="3"/>
  <c r="AP459" i="3"/>
  <c r="AO459" i="3"/>
  <c r="AN459" i="3"/>
  <c r="AM459" i="3"/>
  <c r="AL459" i="3"/>
  <c r="B459" i="3"/>
  <c r="AR458" i="3"/>
  <c r="AQ458" i="3"/>
  <c r="AP458" i="3"/>
  <c r="AO458" i="3"/>
  <c r="AN458" i="3"/>
  <c r="AM458" i="3"/>
  <c r="AL458" i="3"/>
  <c r="B458" i="3"/>
  <c r="AR457" i="3"/>
  <c r="AQ457" i="3"/>
  <c r="AP457" i="3"/>
  <c r="AO457" i="3"/>
  <c r="AN457" i="3"/>
  <c r="AM457" i="3"/>
  <c r="AL457" i="3"/>
  <c r="B457" i="3"/>
  <c r="AR456" i="3"/>
  <c r="AQ456" i="3"/>
  <c r="AP456" i="3"/>
  <c r="AO456" i="3"/>
  <c r="AN456" i="3"/>
  <c r="AM456" i="3"/>
  <c r="AL456" i="3"/>
  <c r="B456" i="3"/>
  <c r="AR455" i="3"/>
  <c r="AQ455" i="3"/>
  <c r="AP455" i="3"/>
  <c r="AO455" i="3"/>
  <c r="AN455" i="3"/>
  <c r="AM455" i="3"/>
  <c r="AL455" i="3"/>
  <c r="B455" i="3"/>
  <c r="AR454" i="3"/>
  <c r="AQ454" i="3"/>
  <c r="AP454" i="3"/>
  <c r="AO454" i="3"/>
  <c r="AN454" i="3"/>
  <c r="AM454" i="3"/>
  <c r="AL454" i="3"/>
  <c r="B454" i="3"/>
  <c r="AR453" i="3"/>
  <c r="AQ453" i="3"/>
  <c r="AP453" i="3"/>
  <c r="AO453" i="3"/>
  <c r="AN453" i="3"/>
  <c r="AM453" i="3"/>
  <c r="AL453" i="3"/>
  <c r="B453" i="3"/>
  <c r="AR452" i="3"/>
  <c r="AQ452" i="3"/>
  <c r="AP452" i="3"/>
  <c r="AO452" i="3"/>
  <c r="AN452" i="3"/>
  <c r="AM452" i="3"/>
  <c r="AL452" i="3"/>
  <c r="B452" i="3"/>
  <c r="AR451" i="3"/>
  <c r="AQ451" i="3"/>
  <c r="AP451" i="3"/>
  <c r="AO451" i="3"/>
  <c r="AN451" i="3"/>
  <c r="AM451" i="3"/>
  <c r="AL451" i="3"/>
  <c r="B451" i="3"/>
  <c r="AR450" i="3"/>
  <c r="AQ450" i="3"/>
  <c r="AP450" i="3"/>
  <c r="AO450" i="3"/>
  <c r="AN450" i="3"/>
  <c r="AM450" i="3"/>
  <c r="AL450" i="3"/>
  <c r="B450" i="3"/>
  <c r="AR449" i="3"/>
  <c r="AQ449" i="3"/>
  <c r="AP449" i="3"/>
  <c r="AO449" i="3"/>
  <c r="AN449" i="3"/>
  <c r="AM449" i="3"/>
  <c r="AL449" i="3"/>
  <c r="B449" i="3"/>
  <c r="AR448" i="3"/>
  <c r="AQ448" i="3"/>
  <c r="AP448" i="3"/>
  <c r="AO448" i="3"/>
  <c r="AN448" i="3"/>
  <c r="AM448" i="3"/>
  <c r="AL448" i="3"/>
  <c r="B448" i="3"/>
  <c r="AR447" i="3"/>
  <c r="AQ447" i="3"/>
  <c r="AP447" i="3"/>
  <c r="AO447" i="3"/>
  <c r="AN447" i="3"/>
  <c r="AM447" i="3"/>
  <c r="AL447" i="3"/>
  <c r="B447" i="3"/>
  <c r="AR446" i="3"/>
  <c r="AQ446" i="3"/>
  <c r="AP446" i="3"/>
  <c r="AO446" i="3"/>
  <c r="AN446" i="3"/>
  <c r="AM446" i="3"/>
  <c r="AL446" i="3"/>
  <c r="B446" i="3"/>
  <c r="AR445" i="3"/>
  <c r="AQ445" i="3"/>
  <c r="AP445" i="3"/>
  <c r="AO445" i="3"/>
  <c r="AN445" i="3"/>
  <c r="AM445" i="3"/>
  <c r="AL445" i="3"/>
  <c r="B445" i="3"/>
  <c r="AR444" i="3"/>
  <c r="AQ444" i="3"/>
  <c r="AP444" i="3"/>
  <c r="AO444" i="3"/>
  <c r="AN444" i="3"/>
  <c r="AM444" i="3"/>
  <c r="AL444" i="3"/>
  <c r="B444" i="3"/>
  <c r="AR443" i="3"/>
  <c r="AQ443" i="3"/>
  <c r="AP443" i="3"/>
  <c r="AO443" i="3"/>
  <c r="AN443" i="3"/>
  <c r="AM443" i="3"/>
  <c r="AL443" i="3"/>
  <c r="B443" i="3"/>
  <c r="AR442" i="3"/>
  <c r="AQ442" i="3"/>
  <c r="AP442" i="3"/>
  <c r="AO442" i="3"/>
  <c r="AN442" i="3"/>
  <c r="AM442" i="3"/>
  <c r="AL442" i="3"/>
  <c r="B442" i="3"/>
  <c r="AR441" i="3"/>
  <c r="AQ441" i="3"/>
  <c r="AP441" i="3"/>
  <c r="AO441" i="3"/>
  <c r="AN441" i="3"/>
  <c r="AM441" i="3"/>
  <c r="AL441" i="3"/>
  <c r="B441" i="3"/>
  <c r="AR440" i="3"/>
  <c r="AQ440" i="3"/>
  <c r="AP440" i="3"/>
  <c r="AO440" i="3"/>
  <c r="AN440" i="3"/>
  <c r="AM440" i="3"/>
  <c r="AL440" i="3"/>
  <c r="B440" i="3"/>
  <c r="AR439" i="3"/>
  <c r="AQ439" i="3"/>
  <c r="AP439" i="3"/>
  <c r="AO439" i="3"/>
  <c r="AN439" i="3"/>
  <c r="AM439" i="3"/>
  <c r="AL439" i="3"/>
  <c r="B439" i="3"/>
  <c r="AR438" i="3"/>
  <c r="AQ438" i="3"/>
  <c r="AP438" i="3"/>
  <c r="AO438" i="3"/>
  <c r="AN438" i="3"/>
  <c r="AM438" i="3"/>
  <c r="AL438" i="3"/>
  <c r="B438" i="3"/>
  <c r="AR437" i="3"/>
  <c r="AQ437" i="3"/>
  <c r="AP437" i="3"/>
  <c r="AO437" i="3"/>
  <c r="AN437" i="3"/>
  <c r="AM437" i="3"/>
  <c r="AL437" i="3"/>
  <c r="B437" i="3"/>
  <c r="AR436" i="3"/>
  <c r="AQ436" i="3"/>
  <c r="AP436" i="3"/>
  <c r="AO436" i="3"/>
  <c r="AN436" i="3"/>
  <c r="AM436" i="3"/>
  <c r="AL436" i="3"/>
  <c r="B436" i="3"/>
  <c r="AR435" i="3"/>
  <c r="AQ435" i="3"/>
  <c r="AP435" i="3"/>
  <c r="AO435" i="3"/>
  <c r="AN435" i="3"/>
  <c r="AM435" i="3"/>
  <c r="AL435" i="3"/>
  <c r="B435" i="3"/>
  <c r="AR434" i="3"/>
  <c r="AQ434" i="3"/>
  <c r="AP434" i="3"/>
  <c r="AO434" i="3"/>
  <c r="AN434" i="3"/>
  <c r="AM434" i="3"/>
  <c r="AL434" i="3"/>
  <c r="B434" i="3"/>
  <c r="AR433" i="3"/>
  <c r="AQ433" i="3"/>
  <c r="AP433" i="3"/>
  <c r="AO433" i="3"/>
  <c r="AN433" i="3"/>
  <c r="AM433" i="3"/>
  <c r="AL433" i="3"/>
  <c r="B433" i="3"/>
  <c r="AR432" i="3"/>
  <c r="AQ432" i="3"/>
  <c r="AP432" i="3"/>
  <c r="AO432" i="3"/>
  <c r="AN432" i="3"/>
  <c r="AM432" i="3"/>
  <c r="AL432" i="3"/>
  <c r="B432" i="3"/>
  <c r="AR431" i="3"/>
  <c r="AQ431" i="3"/>
  <c r="AP431" i="3"/>
  <c r="AO431" i="3"/>
  <c r="AN431" i="3"/>
  <c r="AM431" i="3"/>
  <c r="AL431" i="3"/>
  <c r="B431" i="3"/>
  <c r="AR430" i="3"/>
  <c r="AQ430" i="3"/>
  <c r="AP430" i="3"/>
  <c r="AO430" i="3"/>
  <c r="AN430" i="3"/>
  <c r="AM430" i="3"/>
  <c r="AL430" i="3"/>
  <c r="B430" i="3"/>
  <c r="AR429" i="3"/>
  <c r="AQ429" i="3"/>
  <c r="AP429" i="3"/>
  <c r="AO429" i="3"/>
  <c r="AN429" i="3"/>
  <c r="AM429" i="3"/>
  <c r="AL429" i="3"/>
  <c r="B429" i="3"/>
  <c r="AR428" i="3"/>
  <c r="AQ428" i="3"/>
  <c r="AP428" i="3"/>
  <c r="AO428" i="3"/>
  <c r="AN428" i="3"/>
  <c r="AM428" i="3"/>
  <c r="AL428" i="3"/>
  <c r="B428" i="3"/>
  <c r="AR427" i="3"/>
  <c r="AQ427" i="3"/>
  <c r="AP427" i="3"/>
  <c r="AO427" i="3"/>
  <c r="AN427" i="3"/>
  <c r="AM427" i="3"/>
  <c r="AL427" i="3"/>
  <c r="B427" i="3"/>
  <c r="AR426" i="3"/>
  <c r="AQ426" i="3"/>
  <c r="AP426" i="3"/>
  <c r="AO426" i="3"/>
  <c r="AN426" i="3"/>
  <c r="AM426" i="3"/>
  <c r="AL426" i="3"/>
  <c r="B426" i="3"/>
  <c r="AR425" i="3"/>
  <c r="AQ425" i="3"/>
  <c r="AP425" i="3"/>
  <c r="AO425" i="3"/>
  <c r="AN425" i="3"/>
  <c r="AM425" i="3"/>
  <c r="AL425" i="3"/>
  <c r="B425" i="3"/>
  <c r="AR424" i="3"/>
  <c r="AQ424" i="3"/>
  <c r="AP424" i="3"/>
  <c r="AO424" i="3"/>
  <c r="AN424" i="3"/>
  <c r="AM424" i="3"/>
  <c r="AL424" i="3"/>
  <c r="B424" i="3"/>
  <c r="AR423" i="3"/>
  <c r="AQ423" i="3"/>
  <c r="AP423" i="3"/>
  <c r="AO423" i="3"/>
  <c r="AN423" i="3"/>
  <c r="AM423" i="3"/>
  <c r="AL423" i="3"/>
  <c r="B423" i="3"/>
  <c r="AR422" i="3"/>
  <c r="AQ422" i="3"/>
  <c r="AP422" i="3"/>
  <c r="AO422" i="3"/>
  <c r="AN422" i="3"/>
  <c r="AM422" i="3"/>
  <c r="AL422" i="3"/>
  <c r="B422" i="3"/>
  <c r="AR421" i="3"/>
  <c r="AQ421" i="3"/>
  <c r="AP421" i="3"/>
  <c r="AO421" i="3"/>
  <c r="AN421" i="3"/>
  <c r="AM421" i="3"/>
  <c r="AL421" i="3"/>
  <c r="B421" i="3"/>
  <c r="AR420" i="3"/>
  <c r="AQ420" i="3"/>
  <c r="AP420" i="3"/>
  <c r="AO420" i="3"/>
  <c r="AN420" i="3"/>
  <c r="AM420" i="3"/>
  <c r="AL420" i="3"/>
  <c r="B420" i="3"/>
  <c r="AR419" i="3"/>
  <c r="AQ419" i="3"/>
  <c r="AP419" i="3"/>
  <c r="AO419" i="3"/>
  <c r="AN419" i="3"/>
  <c r="AM419" i="3"/>
  <c r="AL419" i="3"/>
  <c r="B419" i="3"/>
  <c r="AR418" i="3"/>
  <c r="AQ418" i="3"/>
  <c r="AP418" i="3"/>
  <c r="AO418" i="3"/>
  <c r="AN418" i="3"/>
  <c r="AM418" i="3"/>
  <c r="AL418" i="3"/>
  <c r="B418" i="3"/>
  <c r="AR417" i="3"/>
  <c r="AQ417" i="3"/>
  <c r="AP417" i="3"/>
  <c r="AO417" i="3"/>
  <c r="AN417" i="3"/>
  <c r="AM417" i="3"/>
  <c r="AL417" i="3"/>
  <c r="B417" i="3"/>
  <c r="AR416" i="3"/>
  <c r="AQ416" i="3"/>
  <c r="AP416" i="3"/>
  <c r="AO416" i="3"/>
  <c r="AN416" i="3"/>
  <c r="AM416" i="3"/>
  <c r="AL416" i="3"/>
  <c r="B416" i="3"/>
  <c r="AR415" i="3"/>
  <c r="AQ415" i="3"/>
  <c r="AP415" i="3"/>
  <c r="AO415" i="3"/>
  <c r="AN415" i="3"/>
  <c r="AM415" i="3"/>
  <c r="AL415" i="3"/>
  <c r="B415" i="3"/>
  <c r="AR414" i="3"/>
  <c r="AQ414" i="3"/>
  <c r="AP414" i="3"/>
  <c r="AO414" i="3"/>
  <c r="AN414" i="3"/>
  <c r="AM414" i="3"/>
  <c r="AL414" i="3"/>
  <c r="B414" i="3"/>
  <c r="AR413" i="3"/>
  <c r="AQ413" i="3"/>
  <c r="AP413" i="3"/>
  <c r="AO413" i="3"/>
  <c r="AN413" i="3"/>
  <c r="AM413" i="3"/>
  <c r="AL413" i="3"/>
  <c r="B413" i="3"/>
  <c r="AR412" i="3"/>
  <c r="AQ412" i="3"/>
  <c r="AP412" i="3"/>
  <c r="AO412" i="3"/>
  <c r="AN412" i="3"/>
  <c r="AM412" i="3"/>
  <c r="AL412" i="3"/>
  <c r="B412" i="3"/>
  <c r="AR411" i="3"/>
  <c r="AQ411" i="3"/>
  <c r="AP411" i="3"/>
  <c r="AO411" i="3"/>
  <c r="AN411" i="3"/>
  <c r="AM411" i="3"/>
  <c r="AL411" i="3"/>
  <c r="B411" i="3"/>
  <c r="AR410" i="3"/>
  <c r="AQ410" i="3"/>
  <c r="AP410" i="3"/>
  <c r="AO410" i="3"/>
  <c r="AN410" i="3"/>
  <c r="AM410" i="3"/>
  <c r="AL410" i="3"/>
  <c r="B410" i="3"/>
  <c r="AR409" i="3"/>
  <c r="AQ409" i="3"/>
  <c r="AP409" i="3"/>
  <c r="AO409" i="3"/>
  <c r="AN409" i="3"/>
  <c r="AM409" i="3"/>
  <c r="AL409" i="3"/>
  <c r="B409" i="3"/>
  <c r="AR408" i="3"/>
  <c r="AQ408" i="3"/>
  <c r="AP408" i="3"/>
  <c r="AO408" i="3"/>
  <c r="AN408" i="3"/>
  <c r="AM408" i="3"/>
  <c r="AL408" i="3"/>
  <c r="B408" i="3"/>
  <c r="AR407" i="3"/>
  <c r="AQ407" i="3"/>
  <c r="AP407" i="3"/>
  <c r="AO407" i="3"/>
  <c r="AN407" i="3"/>
  <c r="AM407" i="3"/>
  <c r="AL407" i="3"/>
  <c r="B407" i="3"/>
  <c r="AR406" i="3"/>
  <c r="AQ406" i="3"/>
  <c r="AP406" i="3"/>
  <c r="AO406" i="3"/>
  <c r="AN406" i="3"/>
  <c r="AM406" i="3"/>
  <c r="AL406" i="3"/>
  <c r="B406" i="3"/>
  <c r="AR405" i="3"/>
  <c r="AQ405" i="3"/>
  <c r="AP405" i="3"/>
  <c r="AO405" i="3"/>
  <c r="AN405" i="3"/>
  <c r="AM405" i="3"/>
  <c r="AL405" i="3"/>
  <c r="B405" i="3"/>
  <c r="AR404" i="3"/>
  <c r="AQ404" i="3"/>
  <c r="AP404" i="3"/>
  <c r="AO404" i="3"/>
  <c r="AN404" i="3"/>
  <c r="AM404" i="3"/>
  <c r="AL404" i="3"/>
  <c r="B404" i="3"/>
  <c r="AR403" i="3"/>
  <c r="AQ403" i="3"/>
  <c r="AP403" i="3"/>
  <c r="AO403" i="3"/>
  <c r="AN403" i="3"/>
  <c r="AM403" i="3"/>
  <c r="AL403" i="3"/>
  <c r="B403" i="3"/>
  <c r="AR402" i="3"/>
  <c r="AQ402" i="3"/>
  <c r="AP402" i="3"/>
  <c r="AO402" i="3"/>
  <c r="AN402" i="3"/>
  <c r="AM402" i="3"/>
  <c r="AL402" i="3"/>
  <c r="B402" i="3"/>
  <c r="AR401" i="3"/>
  <c r="AQ401" i="3"/>
  <c r="AP401" i="3"/>
  <c r="AO401" i="3"/>
  <c r="AN401" i="3"/>
  <c r="AM401" i="3"/>
  <c r="AL401" i="3"/>
  <c r="B401" i="3"/>
  <c r="AR400" i="3"/>
  <c r="AQ400" i="3"/>
  <c r="AP400" i="3"/>
  <c r="AO400" i="3"/>
  <c r="AN400" i="3"/>
  <c r="AM400" i="3"/>
  <c r="AL400" i="3"/>
  <c r="B400" i="3"/>
  <c r="AR399" i="3"/>
  <c r="AQ399" i="3"/>
  <c r="AP399" i="3"/>
  <c r="AO399" i="3"/>
  <c r="AN399" i="3"/>
  <c r="AM399" i="3"/>
  <c r="AL399" i="3"/>
  <c r="B399" i="3"/>
  <c r="AR398" i="3"/>
  <c r="AQ398" i="3"/>
  <c r="AP398" i="3"/>
  <c r="AO398" i="3"/>
  <c r="AN398" i="3"/>
  <c r="AM398" i="3"/>
  <c r="AL398" i="3"/>
  <c r="B398" i="3"/>
  <c r="AR397" i="3"/>
  <c r="AQ397" i="3"/>
  <c r="AP397" i="3"/>
  <c r="AO397" i="3"/>
  <c r="AN397" i="3"/>
  <c r="AM397" i="3"/>
  <c r="AL397" i="3"/>
  <c r="B397" i="3"/>
  <c r="AR396" i="3"/>
  <c r="AQ396" i="3"/>
  <c r="AP396" i="3"/>
  <c r="AO396" i="3"/>
  <c r="AN396" i="3"/>
  <c r="AM396" i="3"/>
  <c r="AL396" i="3"/>
  <c r="B396" i="3"/>
  <c r="AR395" i="3"/>
  <c r="AQ395" i="3"/>
  <c r="AP395" i="3"/>
  <c r="AO395" i="3"/>
  <c r="AN395" i="3"/>
  <c r="AM395" i="3"/>
  <c r="AL395" i="3"/>
  <c r="B395" i="3"/>
  <c r="AR394" i="3"/>
  <c r="AQ394" i="3"/>
  <c r="AP394" i="3"/>
  <c r="AO394" i="3"/>
  <c r="AN394" i="3"/>
  <c r="AM394" i="3"/>
  <c r="AL394" i="3"/>
  <c r="B394" i="3"/>
  <c r="AR393" i="3"/>
  <c r="AQ393" i="3"/>
  <c r="AP393" i="3"/>
  <c r="AO393" i="3"/>
  <c r="AN393" i="3"/>
  <c r="AM393" i="3"/>
  <c r="AL393" i="3"/>
  <c r="B393" i="3"/>
  <c r="AR392" i="3"/>
  <c r="AQ392" i="3"/>
  <c r="AP392" i="3"/>
  <c r="AO392" i="3"/>
  <c r="AN392" i="3"/>
  <c r="AM392" i="3"/>
  <c r="AL392" i="3"/>
  <c r="B392" i="3"/>
  <c r="AR391" i="3"/>
  <c r="AQ391" i="3"/>
  <c r="AP391" i="3"/>
  <c r="AO391" i="3"/>
  <c r="AN391" i="3"/>
  <c r="AM391" i="3"/>
  <c r="AL391" i="3"/>
  <c r="B391" i="3"/>
  <c r="AR390" i="3"/>
  <c r="AQ390" i="3"/>
  <c r="AP390" i="3"/>
  <c r="AO390" i="3"/>
  <c r="AN390" i="3"/>
  <c r="AM390" i="3"/>
  <c r="AL390" i="3"/>
  <c r="B390" i="3"/>
  <c r="AR389" i="3"/>
  <c r="AQ389" i="3"/>
  <c r="AP389" i="3"/>
  <c r="AO389" i="3"/>
  <c r="AN389" i="3"/>
  <c r="AM389" i="3"/>
  <c r="AL389" i="3"/>
  <c r="B389" i="3"/>
  <c r="AR388" i="3"/>
  <c r="AQ388" i="3"/>
  <c r="AP388" i="3"/>
  <c r="AO388" i="3"/>
  <c r="AN388" i="3"/>
  <c r="AM388" i="3"/>
  <c r="AL388" i="3"/>
  <c r="B388" i="3"/>
  <c r="AR387" i="3"/>
  <c r="AQ387" i="3"/>
  <c r="AP387" i="3"/>
  <c r="AO387" i="3"/>
  <c r="AN387" i="3"/>
  <c r="AM387" i="3"/>
  <c r="AL387" i="3"/>
  <c r="B387" i="3"/>
  <c r="AR386" i="3"/>
  <c r="AQ386" i="3"/>
  <c r="AP386" i="3"/>
  <c r="AO386" i="3"/>
  <c r="AN386" i="3"/>
  <c r="AM386" i="3"/>
  <c r="AL386" i="3"/>
  <c r="B386" i="3"/>
  <c r="AR385" i="3"/>
  <c r="AQ385" i="3"/>
  <c r="AP385" i="3"/>
  <c r="AO385" i="3"/>
  <c r="AN385" i="3"/>
  <c r="AM385" i="3"/>
  <c r="AL385" i="3"/>
  <c r="B385" i="3"/>
  <c r="AR384" i="3"/>
  <c r="AQ384" i="3"/>
  <c r="AP384" i="3"/>
  <c r="AO384" i="3"/>
  <c r="AN384" i="3"/>
  <c r="AM384" i="3"/>
  <c r="AL384" i="3"/>
  <c r="B384" i="3"/>
  <c r="AR383" i="3"/>
  <c r="AQ383" i="3"/>
  <c r="AP383" i="3"/>
  <c r="AO383" i="3"/>
  <c r="AN383" i="3"/>
  <c r="AM383" i="3"/>
  <c r="AL383" i="3"/>
  <c r="B383" i="3"/>
  <c r="AR382" i="3"/>
  <c r="AQ382" i="3"/>
  <c r="AP382" i="3"/>
  <c r="AO382" i="3"/>
  <c r="AN382" i="3"/>
  <c r="AM382" i="3"/>
  <c r="AL382" i="3"/>
  <c r="B382" i="3"/>
  <c r="AR381" i="3"/>
  <c r="AQ381" i="3"/>
  <c r="AP381" i="3"/>
  <c r="AO381" i="3"/>
  <c r="AN381" i="3"/>
  <c r="AM381" i="3"/>
  <c r="AL381" i="3"/>
  <c r="B381" i="3"/>
  <c r="AR380" i="3"/>
  <c r="AQ380" i="3"/>
  <c r="AP380" i="3"/>
  <c r="AO380" i="3"/>
  <c r="AN380" i="3"/>
  <c r="AM380" i="3"/>
  <c r="AL380" i="3"/>
  <c r="B380" i="3"/>
  <c r="AR379" i="3"/>
  <c r="AQ379" i="3"/>
  <c r="AP379" i="3"/>
  <c r="AO379" i="3"/>
  <c r="AN379" i="3"/>
  <c r="AM379" i="3"/>
  <c r="AL379" i="3"/>
  <c r="B379" i="3"/>
  <c r="AR378" i="3"/>
  <c r="AQ378" i="3"/>
  <c r="AP378" i="3"/>
  <c r="AO378" i="3"/>
  <c r="AN378" i="3"/>
  <c r="AM378" i="3"/>
  <c r="AL378" i="3"/>
  <c r="B378" i="3"/>
  <c r="AR377" i="3"/>
  <c r="AQ377" i="3"/>
  <c r="AP377" i="3"/>
  <c r="AO377" i="3"/>
  <c r="AN377" i="3"/>
  <c r="AM377" i="3"/>
  <c r="AL377" i="3"/>
  <c r="B377" i="3"/>
  <c r="AR376" i="3"/>
  <c r="AQ376" i="3"/>
  <c r="AP376" i="3"/>
  <c r="AO376" i="3"/>
  <c r="AN376" i="3"/>
  <c r="AM376" i="3"/>
  <c r="AL376" i="3"/>
  <c r="B376" i="3"/>
  <c r="AR375" i="3"/>
  <c r="AQ375" i="3"/>
  <c r="AP375" i="3"/>
  <c r="AO375" i="3"/>
  <c r="AN375" i="3"/>
  <c r="AM375" i="3"/>
  <c r="AL375" i="3"/>
  <c r="B375" i="3"/>
  <c r="AR374" i="3"/>
  <c r="AQ374" i="3"/>
  <c r="AP374" i="3"/>
  <c r="AO374" i="3"/>
  <c r="AN374" i="3"/>
  <c r="AM374" i="3"/>
  <c r="AL374" i="3"/>
  <c r="B374" i="3"/>
  <c r="AR373" i="3"/>
  <c r="AQ373" i="3"/>
  <c r="AP373" i="3"/>
  <c r="AO373" i="3"/>
  <c r="AN373" i="3"/>
  <c r="AM373" i="3"/>
  <c r="AL373" i="3"/>
  <c r="B373" i="3"/>
  <c r="AR372" i="3"/>
  <c r="AQ372" i="3"/>
  <c r="AP372" i="3"/>
  <c r="AO372" i="3"/>
  <c r="AN372" i="3"/>
  <c r="AM372" i="3"/>
  <c r="AL372" i="3"/>
  <c r="B372" i="3"/>
  <c r="AR371" i="3"/>
  <c r="AQ371" i="3"/>
  <c r="AP371" i="3"/>
  <c r="AO371" i="3"/>
  <c r="AN371" i="3"/>
  <c r="AM371" i="3"/>
  <c r="AL371" i="3"/>
  <c r="B371" i="3"/>
  <c r="AR370" i="3"/>
  <c r="AQ370" i="3"/>
  <c r="AP370" i="3"/>
  <c r="AO370" i="3"/>
  <c r="AN370" i="3"/>
  <c r="AM370" i="3"/>
  <c r="AL370" i="3"/>
  <c r="B370" i="3"/>
  <c r="AR369" i="3"/>
  <c r="AQ369" i="3"/>
  <c r="AP369" i="3"/>
  <c r="AO369" i="3"/>
  <c r="AN369" i="3"/>
  <c r="AM369" i="3"/>
  <c r="AL369" i="3"/>
  <c r="B369" i="3"/>
  <c r="AR368" i="3"/>
  <c r="AQ368" i="3"/>
  <c r="AP368" i="3"/>
  <c r="AO368" i="3"/>
  <c r="AN368" i="3"/>
  <c r="AM368" i="3"/>
  <c r="AL368" i="3"/>
  <c r="B368" i="3"/>
  <c r="AR367" i="3"/>
  <c r="AQ367" i="3"/>
  <c r="AP367" i="3"/>
  <c r="AO367" i="3"/>
  <c r="AN367" i="3"/>
  <c r="AM367" i="3"/>
  <c r="AL367" i="3"/>
  <c r="B367" i="3"/>
  <c r="AR366" i="3"/>
  <c r="AQ366" i="3"/>
  <c r="AP366" i="3"/>
  <c r="AO366" i="3"/>
  <c r="AN366" i="3"/>
  <c r="AM366" i="3"/>
  <c r="AL366" i="3"/>
  <c r="B366" i="3"/>
  <c r="AR365" i="3"/>
  <c r="AQ365" i="3"/>
  <c r="AP365" i="3"/>
  <c r="AO365" i="3"/>
  <c r="AN365" i="3"/>
  <c r="AM365" i="3"/>
  <c r="AL365" i="3"/>
  <c r="B365" i="3"/>
  <c r="AR364" i="3"/>
  <c r="AQ364" i="3"/>
  <c r="AP364" i="3"/>
  <c r="AO364" i="3"/>
  <c r="AN364" i="3"/>
  <c r="AM364" i="3"/>
  <c r="AL364" i="3"/>
  <c r="B364" i="3"/>
  <c r="AR363" i="3"/>
  <c r="AQ363" i="3"/>
  <c r="AP363" i="3"/>
  <c r="AO363" i="3"/>
  <c r="AN363" i="3"/>
  <c r="AM363" i="3"/>
  <c r="AL363" i="3"/>
  <c r="B363" i="3"/>
  <c r="AR362" i="3"/>
  <c r="AQ362" i="3"/>
  <c r="AP362" i="3"/>
  <c r="AO362" i="3"/>
  <c r="AN362" i="3"/>
  <c r="AM362" i="3"/>
  <c r="AL362" i="3"/>
  <c r="B362" i="3"/>
  <c r="AR361" i="3"/>
  <c r="AQ361" i="3"/>
  <c r="AP361" i="3"/>
  <c r="AO361" i="3"/>
  <c r="AN361" i="3"/>
  <c r="AM361" i="3"/>
  <c r="AL361" i="3"/>
  <c r="B361" i="3"/>
  <c r="AR360" i="3"/>
  <c r="AQ360" i="3"/>
  <c r="AP360" i="3"/>
  <c r="AO360" i="3"/>
  <c r="AN360" i="3"/>
  <c r="AM360" i="3"/>
  <c r="AL360" i="3"/>
  <c r="B360" i="3"/>
  <c r="AR359" i="3"/>
  <c r="AQ359" i="3"/>
  <c r="AP359" i="3"/>
  <c r="AO359" i="3"/>
  <c r="AN359" i="3"/>
  <c r="AM359" i="3"/>
  <c r="AL359" i="3"/>
  <c r="B359" i="3"/>
  <c r="AR358" i="3"/>
  <c r="AQ358" i="3"/>
  <c r="AP358" i="3"/>
  <c r="AO358" i="3"/>
  <c r="AN358" i="3"/>
  <c r="AM358" i="3"/>
  <c r="AL358" i="3"/>
  <c r="B358" i="3"/>
  <c r="AR357" i="3"/>
  <c r="AQ357" i="3"/>
  <c r="AP357" i="3"/>
  <c r="AO357" i="3"/>
  <c r="AN357" i="3"/>
  <c r="AM357" i="3"/>
  <c r="AL357" i="3"/>
  <c r="B357" i="3"/>
  <c r="AR356" i="3"/>
  <c r="AQ356" i="3"/>
  <c r="AP356" i="3"/>
  <c r="AO356" i="3"/>
  <c r="AN356" i="3"/>
  <c r="AM356" i="3"/>
  <c r="AL356" i="3"/>
  <c r="B356" i="3"/>
  <c r="AR355" i="3"/>
  <c r="AQ355" i="3"/>
  <c r="AP355" i="3"/>
  <c r="AO355" i="3"/>
  <c r="AN355" i="3"/>
  <c r="AM355" i="3"/>
  <c r="AL355" i="3"/>
  <c r="B355" i="3"/>
  <c r="AR354" i="3"/>
  <c r="AQ354" i="3"/>
  <c r="AP354" i="3"/>
  <c r="AO354" i="3"/>
  <c r="AN354" i="3"/>
  <c r="AM354" i="3"/>
  <c r="AL354" i="3"/>
  <c r="B354" i="3"/>
  <c r="AR353" i="3"/>
  <c r="AQ353" i="3"/>
  <c r="AP353" i="3"/>
  <c r="AO353" i="3"/>
  <c r="AN353" i="3"/>
  <c r="AM353" i="3"/>
  <c r="AL353" i="3"/>
  <c r="B353" i="3"/>
  <c r="AR352" i="3"/>
  <c r="AQ352" i="3"/>
  <c r="AP352" i="3"/>
  <c r="AO352" i="3"/>
  <c r="AN352" i="3"/>
  <c r="AM352" i="3"/>
  <c r="AL352" i="3"/>
  <c r="B352" i="3"/>
  <c r="AR351" i="3"/>
  <c r="AQ351" i="3"/>
  <c r="AP351" i="3"/>
  <c r="AO351" i="3"/>
  <c r="AN351" i="3"/>
  <c r="AM351" i="3"/>
  <c r="AL351" i="3"/>
  <c r="B351" i="3"/>
  <c r="AR350" i="3"/>
  <c r="AQ350" i="3"/>
  <c r="AP350" i="3"/>
  <c r="AO350" i="3"/>
  <c r="AN350" i="3"/>
  <c r="AM350" i="3"/>
  <c r="AL350" i="3"/>
  <c r="B350" i="3"/>
  <c r="AR349" i="3"/>
  <c r="AQ349" i="3"/>
  <c r="AP349" i="3"/>
  <c r="AO349" i="3"/>
  <c r="AN349" i="3"/>
  <c r="AM349" i="3"/>
  <c r="AL349" i="3"/>
  <c r="B349" i="3"/>
  <c r="AR348" i="3"/>
  <c r="AQ348" i="3"/>
  <c r="AP348" i="3"/>
  <c r="AO348" i="3"/>
  <c r="AN348" i="3"/>
  <c r="AM348" i="3"/>
  <c r="AL348" i="3"/>
  <c r="B348" i="3"/>
  <c r="AR347" i="3"/>
  <c r="AQ347" i="3"/>
  <c r="AP347" i="3"/>
  <c r="AO347" i="3"/>
  <c r="AN347" i="3"/>
  <c r="AM347" i="3"/>
  <c r="AL347" i="3"/>
  <c r="B347" i="3"/>
  <c r="AR346" i="3"/>
  <c r="AQ346" i="3"/>
  <c r="AP346" i="3"/>
  <c r="AO346" i="3"/>
  <c r="AN346" i="3"/>
  <c r="AM346" i="3"/>
  <c r="AL346" i="3"/>
  <c r="B346" i="3"/>
  <c r="AR345" i="3"/>
  <c r="AQ345" i="3"/>
  <c r="AP345" i="3"/>
  <c r="AO345" i="3"/>
  <c r="AN345" i="3"/>
  <c r="AM345" i="3"/>
  <c r="AL345" i="3"/>
  <c r="B345" i="3"/>
  <c r="AR344" i="3"/>
  <c r="AQ344" i="3"/>
  <c r="AP344" i="3"/>
  <c r="AO344" i="3"/>
  <c r="AN344" i="3"/>
  <c r="AM344" i="3"/>
  <c r="AL344" i="3"/>
  <c r="B344" i="3"/>
  <c r="AR343" i="3"/>
  <c r="AQ343" i="3"/>
  <c r="AP343" i="3"/>
  <c r="AO343" i="3"/>
  <c r="AN343" i="3"/>
  <c r="AM343" i="3"/>
  <c r="AL343" i="3"/>
  <c r="B343" i="3"/>
  <c r="AR342" i="3"/>
  <c r="AQ342" i="3"/>
  <c r="AP342" i="3"/>
  <c r="AO342" i="3"/>
  <c r="AN342" i="3"/>
  <c r="AM342" i="3"/>
  <c r="AL342" i="3"/>
  <c r="B342" i="3"/>
  <c r="AR341" i="3"/>
  <c r="AQ341" i="3"/>
  <c r="AP341" i="3"/>
  <c r="AO341" i="3"/>
  <c r="AN341" i="3"/>
  <c r="AM341" i="3"/>
  <c r="AL341" i="3"/>
  <c r="B341" i="3"/>
  <c r="AR340" i="3"/>
  <c r="AQ340" i="3"/>
  <c r="AP340" i="3"/>
  <c r="AO340" i="3"/>
  <c r="AN340" i="3"/>
  <c r="AM340" i="3"/>
  <c r="AL340" i="3"/>
  <c r="B340" i="3"/>
  <c r="AR339" i="3"/>
  <c r="AQ339" i="3"/>
  <c r="AP339" i="3"/>
  <c r="AO339" i="3"/>
  <c r="AN339" i="3"/>
  <c r="AM339" i="3"/>
  <c r="AL339" i="3"/>
  <c r="B339" i="3"/>
  <c r="AR338" i="3"/>
  <c r="AQ338" i="3"/>
  <c r="AP338" i="3"/>
  <c r="AO338" i="3"/>
  <c r="AN338" i="3"/>
  <c r="AM338" i="3"/>
  <c r="AL338" i="3"/>
  <c r="B338" i="3"/>
  <c r="AR337" i="3"/>
  <c r="AQ337" i="3"/>
  <c r="AP337" i="3"/>
  <c r="AO337" i="3"/>
  <c r="AN337" i="3"/>
  <c r="AM337" i="3"/>
  <c r="AL337" i="3"/>
  <c r="B337" i="3"/>
  <c r="AR336" i="3"/>
  <c r="AQ336" i="3"/>
  <c r="AP336" i="3"/>
  <c r="AO336" i="3"/>
  <c r="AN336" i="3"/>
  <c r="AM336" i="3"/>
  <c r="AL336" i="3"/>
  <c r="B336" i="3"/>
  <c r="AR335" i="3"/>
  <c r="AQ335" i="3"/>
  <c r="AP335" i="3"/>
  <c r="AO335" i="3"/>
  <c r="AN335" i="3"/>
  <c r="AM335" i="3"/>
  <c r="AL335" i="3"/>
  <c r="B335" i="3"/>
  <c r="AR334" i="3"/>
  <c r="AQ334" i="3"/>
  <c r="AP334" i="3"/>
  <c r="AO334" i="3"/>
  <c r="AN334" i="3"/>
  <c r="AM334" i="3"/>
  <c r="AL334" i="3"/>
  <c r="B334" i="3"/>
  <c r="AR333" i="3"/>
  <c r="AQ333" i="3"/>
  <c r="AP333" i="3"/>
  <c r="AO333" i="3"/>
  <c r="AN333" i="3"/>
  <c r="AM333" i="3"/>
  <c r="AL333" i="3"/>
  <c r="B333" i="3"/>
  <c r="AR332" i="3"/>
  <c r="AQ332" i="3"/>
  <c r="AP332" i="3"/>
  <c r="AO332" i="3"/>
  <c r="AN332" i="3"/>
  <c r="AM332" i="3"/>
  <c r="AL332" i="3"/>
  <c r="B332" i="3"/>
  <c r="AR331" i="3"/>
  <c r="AQ331" i="3"/>
  <c r="AP331" i="3"/>
  <c r="AO331" i="3"/>
  <c r="AN331" i="3"/>
  <c r="AM331" i="3"/>
  <c r="AL331" i="3"/>
  <c r="B331" i="3"/>
  <c r="AR330" i="3"/>
  <c r="AQ330" i="3"/>
  <c r="AP330" i="3"/>
  <c r="AO330" i="3"/>
  <c r="AN330" i="3"/>
  <c r="AM330" i="3"/>
  <c r="AL330" i="3"/>
  <c r="B330" i="3"/>
  <c r="AR329" i="3"/>
  <c r="AQ329" i="3"/>
  <c r="AP329" i="3"/>
  <c r="AO329" i="3"/>
  <c r="AN329" i="3"/>
  <c r="AM329" i="3"/>
  <c r="AL329" i="3"/>
  <c r="B329" i="3"/>
  <c r="AR328" i="3"/>
  <c r="AQ328" i="3"/>
  <c r="AP328" i="3"/>
  <c r="AO328" i="3"/>
  <c r="AN328" i="3"/>
  <c r="AM328" i="3"/>
  <c r="AL328" i="3"/>
  <c r="B328" i="3"/>
  <c r="AR327" i="3"/>
  <c r="AQ327" i="3"/>
  <c r="AP327" i="3"/>
  <c r="AO327" i="3"/>
  <c r="AN327" i="3"/>
  <c r="AM327" i="3"/>
  <c r="AL327" i="3"/>
  <c r="B327" i="3"/>
  <c r="AR326" i="3"/>
  <c r="AQ326" i="3"/>
  <c r="AP326" i="3"/>
  <c r="AO326" i="3"/>
  <c r="AN326" i="3"/>
  <c r="AM326" i="3"/>
  <c r="AL326" i="3"/>
  <c r="B326" i="3"/>
  <c r="AR325" i="3"/>
  <c r="AQ325" i="3"/>
  <c r="AP325" i="3"/>
  <c r="AO325" i="3"/>
  <c r="AN325" i="3"/>
  <c r="AM325" i="3"/>
  <c r="AL325" i="3"/>
  <c r="B325" i="3"/>
  <c r="AR324" i="3"/>
  <c r="AQ324" i="3"/>
  <c r="AP324" i="3"/>
  <c r="AO324" i="3"/>
  <c r="AN324" i="3"/>
  <c r="AM324" i="3"/>
  <c r="AL324" i="3"/>
  <c r="B324" i="3"/>
  <c r="AR323" i="3"/>
  <c r="AQ323" i="3"/>
  <c r="AP323" i="3"/>
  <c r="AO323" i="3"/>
  <c r="AN323" i="3"/>
  <c r="AM323" i="3"/>
  <c r="AL323" i="3"/>
  <c r="B323" i="3"/>
  <c r="AR322" i="3"/>
  <c r="AQ322" i="3"/>
  <c r="AP322" i="3"/>
  <c r="AO322" i="3"/>
  <c r="AN322" i="3"/>
  <c r="AM322" i="3"/>
  <c r="AL322" i="3"/>
  <c r="B322" i="3"/>
  <c r="AR321" i="3"/>
  <c r="AQ321" i="3"/>
  <c r="AP321" i="3"/>
  <c r="AO321" i="3"/>
  <c r="AN321" i="3"/>
  <c r="AM321" i="3"/>
  <c r="AL321" i="3"/>
  <c r="B321" i="3"/>
  <c r="AR320" i="3"/>
  <c r="AQ320" i="3"/>
  <c r="AP320" i="3"/>
  <c r="AO320" i="3"/>
  <c r="AN320" i="3"/>
  <c r="AM320" i="3"/>
  <c r="AL320" i="3"/>
  <c r="B320" i="3"/>
  <c r="AR319" i="3"/>
  <c r="AQ319" i="3"/>
  <c r="AP319" i="3"/>
  <c r="AO319" i="3"/>
  <c r="AN319" i="3"/>
  <c r="AM319" i="3"/>
  <c r="AL319" i="3"/>
  <c r="B319" i="3"/>
  <c r="AR318" i="3"/>
  <c r="AQ318" i="3"/>
  <c r="AP318" i="3"/>
  <c r="AO318" i="3"/>
  <c r="AN318" i="3"/>
  <c r="AM318" i="3"/>
  <c r="AL318" i="3"/>
  <c r="B318" i="3"/>
  <c r="AR317" i="3"/>
  <c r="AQ317" i="3"/>
  <c r="AP317" i="3"/>
  <c r="AO317" i="3"/>
  <c r="AN317" i="3"/>
  <c r="AM317" i="3"/>
  <c r="AL317" i="3"/>
  <c r="B317" i="3"/>
  <c r="AR316" i="3"/>
  <c r="AQ316" i="3"/>
  <c r="AP316" i="3"/>
  <c r="AO316" i="3"/>
  <c r="AN316" i="3"/>
  <c r="AM316" i="3"/>
  <c r="AL316" i="3"/>
  <c r="B316" i="3"/>
  <c r="AR315" i="3"/>
  <c r="AQ315" i="3"/>
  <c r="AP315" i="3"/>
  <c r="AO315" i="3"/>
  <c r="AN315" i="3"/>
  <c r="AM315" i="3"/>
  <c r="AL315" i="3"/>
  <c r="B315" i="3"/>
  <c r="AR314" i="3"/>
  <c r="AQ314" i="3"/>
  <c r="AP314" i="3"/>
  <c r="AO314" i="3"/>
  <c r="AN314" i="3"/>
  <c r="AM314" i="3"/>
  <c r="AL314" i="3"/>
  <c r="B314" i="3"/>
  <c r="AR313" i="3"/>
  <c r="AQ313" i="3"/>
  <c r="AP313" i="3"/>
  <c r="AO313" i="3"/>
  <c r="AN313" i="3"/>
  <c r="AM313" i="3"/>
  <c r="AL313" i="3"/>
  <c r="B313" i="3"/>
  <c r="AR312" i="3"/>
  <c r="AQ312" i="3"/>
  <c r="AP312" i="3"/>
  <c r="AO312" i="3"/>
  <c r="AN312" i="3"/>
  <c r="AM312" i="3"/>
  <c r="AL312" i="3"/>
  <c r="B312" i="3"/>
  <c r="AR311" i="3"/>
  <c r="AQ311" i="3"/>
  <c r="AP311" i="3"/>
  <c r="AO311" i="3"/>
  <c r="AN311" i="3"/>
  <c r="AM311" i="3"/>
  <c r="AL311" i="3"/>
  <c r="B311" i="3"/>
  <c r="AR310" i="3"/>
  <c r="AQ310" i="3"/>
  <c r="AP310" i="3"/>
  <c r="AO310" i="3"/>
  <c r="AN310" i="3"/>
  <c r="AM310" i="3"/>
  <c r="AL310" i="3"/>
  <c r="B310" i="3"/>
  <c r="AR309" i="3"/>
  <c r="AQ309" i="3"/>
  <c r="AP309" i="3"/>
  <c r="AO309" i="3"/>
  <c r="AN309" i="3"/>
  <c r="AM309" i="3"/>
  <c r="AL309" i="3"/>
  <c r="B309" i="3"/>
  <c r="AR308" i="3"/>
  <c r="AQ308" i="3"/>
  <c r="AP308" i="3"/>
  <c r="AO308" i="3"/>
  <c r="AN308" i="3"/>
  <c r="AM308" i="3"/>
  <c r="AL308" i="3"/>
  <c r="B308" i="3"/>
  <c r="AR307" i="3"/>
  <c r="AQ307" i="3"/>
  <c r="AP307" i="3"/>
  <c r="AO307" i="3"/>
  <c r="AN307" i="3"/>
  <c r="AM307" i="3"/>
  <c r="AL307" i="3"/>
  <c r="B307" i="3"/>
  <c r="AR306" i="3"/>
  <c r="AQ306" i="3"/>
  <c r="AP306" i="3"/>
  <c r="AO306" i="3"/>
  <c r="AN306" i="3"/>
  <c r="AM306" i="3"/>
  <c r="AL306" i="3"/>
  <c r="B306" i="3"/>
  <c r="AR305" i="3"/>
  <c r="AQ305" i="3"/>
  <c r="AP305" i="3"/>
  <c r="AO305" i="3"/>
  <c r="AN305" i="3"/>
  <c r="AM305" i="3"/>
  <c r="AL305" i="3"/>
  <c r="B305" i="3"/>
  <c r="AR304" i="3"/>
  <c r="AQ304" i="3"/>
  <c r="AP304" i="3"/>
  <c r="AO304" i="3"/>
  <c r="AN304" i="3"/>
  <c r="AM304" i="3"/>
  <c r="AL304" i="3"/>
  <c r="B304" i="3"/>
  <c r="AR303" i="3"/>
  <c r="AQ303" i="3"/>
  <c r="AP303" i="3"/>
  <c r="AO303" i="3"/>
  <c r="AN303" i="3"/>
  <c r="AM303" i="3"/>
  <c r="AL303" i="3"/>
  <c r="B303" i="3"/>
  <c r="AR302" i="3"/>
  <c r="AQ302" i="3"/>
  <c r="AP302" i="3"/>
  <c r="AO302" i="3"/>
  <c r="AN302" i="3"/>
  <c r="AM302" i="3"/>
  <c r="AL302" i="3"/>
  <c r="B302" i="3"/>
  <c r="AR301" i="3"/>
  <c r="AQ301" i="3"/>
  <c r="AP301" i="3"/>
  <c r="AO301" i="3"/>
  <c r="AN301" i="3"/>
  <c r="AM301" i="3"/>
  <c r="AL301" i="3"/>
  <c r="B301" i="3"/>
  <c r="AR300" i="3"/>
  <c r="AQ300" i="3"/>
  <c r="AP300" i="3"/>
  <c r="AO300" i="3"/>
  <c r="AN300" i="3"/>
  <c r="AM300" i="3"/>
  <c r="AL300" i="3"/>
  <c r="B300" i="3"/>
  <c r="AR299" i="3"/>
  <c r="AQ299" i="3"/>
  <c r="AP299" i="3"/>
  <c r="AO299" i="3"/>
  <c r="AN299" i="3"/>
  <c r="AM299" i="3"/>
  <c r="AL299" i="3"/>
  <c r="B299" i="3"/>
  <c r="AR298" i="3"/>
  <c r="AQ298" i="3"/>
  <c r="AP298" i="3"/>
  <c r="AO298" i="3"/>
  <c r="AN298" i="3"/>
  <c r="AM298" i="3"/>
  <c r="AL298" i="3"/>
  <c r="B298" i="3"/>
  <c r="AR297" i="3"/>
  <c r="AQ297" i="3"/>
  <c r="AP297" i="3"/>
  <c r="AO297" i="3"/>
  <c r="AN297" i="3"/>
  <c r="AM297" i="3"/>
  <c r="AL297" i="3"/>
  <c r="B297" i="3"/>
  <c r="AR296" i="3"/>
  <c r="AQ296" i="3"/>
  <c r="AP296" i="3"/>
  <c r="AO296" i="3"/>
  <c r="AN296" i="3"/>
  <c r="AM296" i="3"/>
  <c r="AL296" i="3"/>
  <c r="B296" i="3"/>
  <c r="AR295" i="3"/>
  <c r="AQ295" i="3"/>
  <c r="AP295" i="3"/>
  <c r="AO295" i="3"/>
  <c r="AN295" i="3"/>
  <c r="AM295" i="3"/>
  <c r="AL295" i="3"/>
  <c r="B295" i="3"/>
  <c r="AR294" i="3"/>
  <c r="AQ294" i="3"/>
  <c r="AP294" i="3"/>
  <c r="AO294" i="3"/>
  <c r="AN294" i="3"/>
  <c r="AM294" i="3"/>
  <c r="AL294" i="3"/>
  <c r="B294" i="3"/>
  <c r="AR293" i="3"/>
  <c r="AQ293" i="3"/>
  <c r="AP293" i="3"/>
  <c r="AO293" i="3"/>
  <c r="AN293" i="3"/>
  <c r="AM293" i="3"/>
  <c r="AL293" i="3"/>
  <c r="B293" i="3"/>
  <c r="AR292" i="3"/>
  <c r="AQ292" i="3"/>
  <c r="AP292" i="3"/>
  <c r="AO292" i="3"/>
  <c r="AN292" i="3"/>
  <c r="AM292" i="3"/>
  <c r="AL292" i="3"/>
  <c r="B292" i="3"/>
  <c r="AR291" i="3"/>
  <c r="AQ291" i="3"/>
  <c r="AP291" i="3"/>
  <c r="AO291" i="3"/>
  <c r="AN291" i="3"/>
  <c r="AM291" i="3"/>
  <c r="AL291" i="3"/>
  <c r="B291" i="3"/>
  <c r="AR290" i="3"/>
  <c r="AQ290" i="3"/>
  <c r="AP290" i="3"/>
  <c r="AO290" i="3"/>
  <c r="AN290" i="3"/>
  <c r="AM290" i="3"/>
  <c r="AL290" i="3"/>
  <c r="B290" i="3"/>
  <c r="AR289" i="3"/>
  <c r="AQ289" i="3"/>
  <c r="AP289" i="3"/>
  <c r="AO289" i="3"/>
  <c r="AN289" i="3"/>
  <c r="AM289" i="3"/>
  <c r="AL289" i="3"/>
  <c r="B289" i="3"/>
  <c r="AR288" i="3"/>
  <c r="AQ288" i="3"/>
  <c r="AP288" i="3"/>
  <c r="AO288" i="3"/>
  <c r="AN288" i="3"/>
  <c r="AM288" i="3"/>
  <c r="AL288" i="3"/>
  <c r="B288" i="3"/>
  <c r="AR287" i="3"/>
  <c r="AQ287" i="3"/>
  <c r="AP287" i="3"/>
  <c r="AO287" i="3"/>
  <c r="AN287" i="3"/>
  <c r="AM287" i="3"/>
  <c r="AL287" i="3"/>
  <c r="B287" i="3"/>
  <c r="AR286" i="3"/>
  <c r="AQ286" i="3"/>
  <c r="AP286" i="3"/>
  <c r="AO286" i="3"/>
  <c r="AN286" i="3"/>
  <c r="AM286" i="3"/>
  <c r="AL286" i="3"/>
  <c r="B286" i="3"/>
  <c r="AR285" i="3"/>
  <c r="AQ285" i="3"/>
  <c r="AP285" i="3"/>
  <c r="AO285" i="3"/>
  <c r="AN285" i="3"/>
  <c r="AM285" i="3"/>
  <c r="AL285" i="3"/>
  <c r="B285" i="3"/>
  <c r="AR284" i="3"/>
  <c r="AQ284" i="3"/>
  <c r="AP284" i="3"/>
  <c r="AO284" i="3"/>
  <c r="AN284" i="3"/>
  <c r="AM284" i="3"/>
  <c r="AL284" i="3"/>
  <c r="B284" i="3"/>
  <c r="AR283" i="3"/>
  <c r="AQ283" i="3"/>
  <c r="AP283" i="3"/>
  <c r="AO283" i="3"/>
  <c r="AN283" i="3"/>
  <c r="AM283" i="3"/>
  <c r="AL283" i="3"/>
  <c r="B283" i="3"/>
  <c r="AR282" i="3"/>
  <c r="AQ282" i="3"/>
  <c r="AP282" i="3"/>
  <c r="AO282" i="3"/>
  <c r="AN282" i="3"/>
  <c r="AM282" i="3"/>
  <c r="AL282" i="3"/>
  <c r="B282" i="3"/>
  <c r="AR281" i="3"/>
  <c r="AQ281" i="3"/>
  <c r="AP281" i="3"/>
  <c r="AO281" i="3"/>
  <c r="AN281" i="3"/>
  <c r="AM281" i="3"/>
  <c r="AL281" i="3"/>
  <c r="B281" i="3"/>
  <c r="AR280" i="3"/>
  <c r="AQ280" i="3"/>
  <c r="AP280" i="3"/>
  <c r="AO280" i="3"/>
  <c r="AN280" i="3"/>
  <c r="AM280" i="3"/>
  <c r="AL280" i="3"/>
  <c r="B280" i="3"/>
  <c r="AR279" i="3"/>
  <c r="AQ279" i="3"/>
  <c r="AP279" i="3"/>
  <c r="AO279" i="3"/>
  <c r="AN279" i="3"/>
  <c r="AM279" i="3"/>
  <c r="AL279" i="3"/>
  <c r="B279" i="3"/>
  <c r="AR278" i="3"/>
  <c r="AQ278" i="3"/>
  <c r="AP278" i="3"/>
  <c r="AO278" i="3"/>
  <c r="AN278" i="3"/>
  <c r="AM278" i="3"/>
  <c r="AL278" i="3"/>
  <c r="B278" i="3"/>
  <c r="AR277" i="3"/>
  <c r="AQ277" i="3"/>
  <c r="AP277" i="3"/>
  <c r="AO277" i="3"/>
  <c r="AN277" i="3"/>
  <c r="AM277" i="3"/>
  <c r="AL277" i="3"/>
  <c r="B277" i="3"/>
  <c r="AR276" i="3"/>
  <c r="AQ276" i="3"/>
  <c r="AP276" i="3"/>
  <c r="AO276" i="3"/>
  <c r="AN276" i="3"/>
  <c r="AM276" i="3"/>
  <c r="AL276" i="3"/>
  <c r="B276" i="3"/>
  <c r="AR275" i="3"/>
  <c r="AQ275" i="3"/>
  <c r="AP275" i="3"/>
  <c r="AO275" i="3"/>
  <c r="AN275" i="3"/>
  <c r="AM275" i="3"/>
  <c r="AL275" i="3"/>
  <c r="B275" i="3"/>
  <c r="AR274" i="3"/>
  <c r="AQ274" i="3"/>
  <c r="AP274" i="3"/>
  <c r="AO274" i="3"/>
  <c r="AN274" i="3"/>
  <c r="AM274" i="3"/>
  <c r="AL274" i="3"/>
  <c r="B274" i="3"/>
  <c r="AR273" i="3"/>
  <c r="AQ273" i="3"/>
  <c r="AP273" i="3"/>
  <c r="AO273" i="3"/>
  <c r="AN273" i="3"/>
  <c r="AM273" i="3"/>
  <c r="AL273" i="3"/>
  <c r="B273" i="3"/>
  <c r="AR272" i="3"/>
  <c r="AQ272" i="3"/>
  <c r="AP272" i="3"/>
  <c r="AO272" i="3"/>
  <c r="AN272" i="3"/>
  <c r="AM272" i="3"/>
  <c r="AL272" i="3"/>
  <c r="B272" i="3"/>
  <c r="AR271" i="3"/>
  <c r="AQ271" i="3"/>
  <c r="AP271" i="3"/>
  <c r="AO271" i="3"/>
  <c r="AN271" i="3"/>
  <c r="AM271" i="3"/>
  <c r="AL271" i="3"/>
  <c r="B271" i="3"/>
  <c r="AR270" i="3"/>
  <c r="AQ270" i="3"/>
  <c r="AP270" i="3"/>
  <c r="AO270" i="3"/>
  <c r="AN270" i="3"/>
  <c r="AM270" i="3"/>
  <c r="AL270" i="3"/>
  <c r="B270" i="3"/>
  <c r="AR269" i="3"/>
  <c r="AQ269" i="3"/>
  <c r="AP269" i="3"/>
  <c r="AO269" i="3"/>
  <c r="AN269" i="3"/>
  <c r="AM269" i="3"/>
  <c r="AL269" i="3"/>
  <c r="B269" i="3"/>
  <c r="AR268" i="3"/>
  <c r="AQ268" i="3"/>
  <c r="AP268" i="3"/>
  <c r="AO268" i="3"/>
  <c r="AN268" i="3"/>
  <c r="AM268" i="3"/>
  <c r="AL268" i="3"/>
  <c r="B268" i="3"/>
  <c r="AR267" i="3"/>
  <c r="AQ267" i="3"/>
  <c r="AP267" i="3"/>
  <c r="AO267" i="3"/>
  <c r="AN267" i="3"/>
  <c r="AM267" i="3"/>
  <c r="AL267" i="3"/>
  <c r="B267" i="3"/>
  <c r="AR266" i="3"/>
  <c r="AQ266" i="3"/>
  <c r="AP266" i="3"/>
  <c r="AO266" i="3"/>
  <c r="AN266" i="3"/>
  <c r="AM266" i="3"/>
  <c r="AL266" i="3"/>
  <c r="B266" i="3"/>
  <c r="AR265" i="3"/>
  <c r="AQ265" i="3"/>
  <c r="AP265" i="3"/>
  <c r="AO265" i="3"/>
  <c r="AN265" i="3"/>
  <c r="AM265" i="3"/>
  <c r="AL265" i="3"/>
  <c r="B265" i="3"/>
  <c r="AR264" i="3"/>
  <c r="AQ264" i="3"/>
  <c r="AP264" i="3"/>
  <c r="AO264" i="3"/>
  <c r="AN264" i="3"/>
  <c r="AM264" i="3"/>
  <c r="AL264" i="3"/>
  <c r="B264" i="3"/>
  <c r="AR263" i="3"/>
  <c r="AQ263" i="3"/>
  <c r="AP263" i="3"/>
  <c r="AO263" i="3"/>
  <c r="AN263" i="3"/>
  <c r="AM263" i="3"/>
  <c r="AL263" i="3"/>
  <c r="B263" i="3"/>
  <c r="AR262" i="3"/>
  <c r="AQ262" i="3"/>
  <c r="AP262" i="3"/>
  <c r="AO262" i="3"/>
  <c r="AN262" i="3"/>
  <c r="AM262" i="3"/>
  <c r="AL262" i="3"/>
  <c r="B262" i="3"/>
  <c r="AR261" i="3"/>
  <c r="AQ261" i="3"/>
  <c r="AP261" i="3"/>
  <c r="AO261" i="3"/>
  <c r="AN261" i="3"/>
  <c r="AM261" i="3"/>
  <c r="AL261" i="3"/>
  <c r="B261" i="3"/>
  <c r="AR260" i="3"/>
  <c r="AQ260" i="3"/>
  <c r="AP260" i="3"/>
  <c r="AO260" i="3"/>
  <c r="AN260" i="3"/>
  <c r="AM260" i="3"/>
  <c r="AL260" i="3"/>
  <c r="B260" i="3"/>
  <c r="AR259" i="3"/>
  <c r="AQ259" i="3"/>
  <c r="AP259" i="3"/>
  <c r="AO259" i="3"/>
  <c r="AN259" i="3"/>
  <c r="AM259" i="3"/>
  <c r="AL259" i="3"/>
  <c r="B259" i="3"/>
  <c r="AR258" i="3"/>
  <c r="AQ258" i="3"/>
  <c r="AP258" i="3"/>
  <c r="AO258" i="3"/>
  <c r="AN258" i="3"/>
  <c r="AM258" i="3"/>
  <c r="AL258" i="3"/>
  <c r="B258" i="3"/>
  <c r="AR257" i="3"/>
  <c r="AQ257" i="3"/>
  <c r="AP257" i="3"/>
  <c r="AO257" i="3"/>
  <c r="AN257" i="3"/>
  <c r="AM257" i="3"/>
  <c r="AL257" i="3"/>
  <c r="B257" i="3"/>
  <c r="AR256" i="3"/>
  <c r="AQ256" i="3"/>
  <c r="AP256" i="3"/>
  <c r="AO256" i="3"/>
  <c r="AN256" i="3"/>
  <c r="AM256" i="3"/>
  <c r="AL256" i="3"/>
  <c r="B256" i="3"/>
  <c r="AR255" i="3"/>
  <c r="AQ255" i="3"/>
  <c r="AP255" i="3"/>
  <c r="AO255" i="3"/>
  <c r="AN255" i="3"/>
  <c r="AM255" i="3"/>
  <c r="AL255" i="3"/>
  <c r="B255" i="3"/>
  <c r="AR254" i="3"/>
  <c r="AQ254" i="3"/>
  <c r="AP254" i="3"/>
  <c r="AO254" i="3"/>
  <c r="AN254" i="3"/>
  <c r="AM254" i="3"/>
  <c r="AL254" i="3"/>
  <c r="B254" i="3"/>
  <c r="AR253" i="3"/>
  <c r="AQ253" i="3"/>
  <c r="AP253" i="3"/>
  <c r="AO253" i="3"/>
  <c r="AN253" i="3"/>
  <c r="AM253" i="3"/>
  <c r="AL253" i="3"/>
  <c r="B253" i="3"/>
  <c r="AR252" i="3"/>
  <c r="AQ252" i="3"/>
  <c r="AP252" i="3"/>
  <c r="AO252" i="3"/>
  <c r="AN252" i="3"/>
  <c r="AM252" i="3"/>
  <c r="AL252" i="3"/>
  <c r="B252" i="3"/>
  <c r="AR251" i="3"/>
  <c r="AQ251" i="3"/>
  <c r="AP251" i="3"/>
  <c r="AO251" i="3"/>
  <c r="AN251" i="3"/>
  <c r="AM251" i="3"/>
  <c r="AL251" i="3"/>
  <c r="B251" i="3"/>
  <c r="AR250" i="3"/>
  <c r="AQ250" i="3"/>
  <c r="AP250" i="3"/>
  <c r="AO250" i="3"/>
  <c r="AN250" i="3"/>
  <c r="AM250" i="3"/>
  <c r="AL250" i="3"/>
  <c r="B250" i="3"/>
  <c r="AR249" i="3"/>
  <c r="AQ249" i="3"/>
  <c r="AP249" i="3"/>
  <c r="AO249" i="3"/>
  <c r="AN249" i="3"/>
  <c r="AM249" i="3"/>
  <c r="AL249" i="3"/>
  <c r="B249" i="3"/>
  <c r="AR248" i="3"/>
  <c r="AQ248" i="3"/>
  <c r="AP248" i="3"/>
  <c r="AO248" i="3"/>
  <c r="AN248" i="3"/>
  <c r="AM248" i="3"/>
  <c r="AL248" i="3"/>
  <c r="B248" i="3"/>
  <c r="AR247" i="3"/>
  <c r="AQ247" i="3"/>
  <c r="AP247" i="3"/>
  <c r="AO247" i="3"/>
  <c r="AN247" i="3"/>
  <c r="AM247" i="3"/>
  <c r="AL247" i="3"/>
  <c r="B247" i="3"/>
  <c r="AR246" i="3"/>
  <c r="AQ246" i="3"/>
  <c r="AP246" i="3"/>
  <c r="AO246" i="3"/>
  <c r="AN246" i="3"/>
  <c r="AM246" i="3"/>
  <c r="AL246" i="3"/>
  <c r="B246" i="3"/>
  <c r="AR245" i="3"/>
  <c r="AQ245" i="3"/>
  <c r="AP245" i="3"/>
  <c r="AO245" i="3"/>
  <c r="AN245" i="3"/>
  <c r="AM245" i="3"/>
  <c r="AL245" i="3"/>
  <c r="B245" i="3"/>
  <c r="AR244" i="3"/>
  <c r="AQ244" i="3"/>
  <c r="AP244" i="3"/>
  <c r="AO244" i="3"/>
  <c r="AN244" i="3"/>
  <c r="AM244" i="3"/>
  <c r="AL244" i="3"/>
  <c r="B244" i="3"/>
  <c r="AR243" i="3"/>
  <c r="AQ243" i="3"/>
  <c r="AP243" i="3"/>
  <c r="AO243" i="3"/>
  <c r="AN243" i="3"/>
  <c r="AM243" i="3"/>
  <c r="AL243" i="3"/>
  <c r="B243" i="3"/>
  <c r="AR242" i="3"/>
  <c r="AQ242" i="3"/>
  <c r="AP242" i="3"/>
  <c r="AO242" i="3"/>
  <c r="AN242" i="3"/>
  <c r="AM242" i="3"/>
  <c r="AL242" i="3"/>
  <c r="B242" i="3"/>
  <c r="AR241" i="3"/>
  <c r="AQ241" i="3"/>
  <c r="AP241" i="3"/>
  <c r="AO241" i="3"/>
  <c r="AN241" i="3"/>
  <c r="AM241" i="3"/>
  <c r="AL241" i="3"/>
  <c r="B241" i="3"/>
  <c r="AR240" i="3"/>
  <c r="AQ240" i="3"/>
  <c r="AP240" i="3"/>
  <c r="AO240" i="3"/>
  <c r="AN240" i="3"/>
  <c r="AM240" i="3"/>
  <c r="AL240" i="3"/>
  <c r="B240" i="3"/>
  <c r="AR239" i="3"/>
  <c r="AQ239" i="3"/>
  <c r="AP239" i="3"/>
  <c r="AO239" i="3"/>
  <c r="AN239" i="3"/>
  <c r="AM239" i="3"/>
  <c r="AL239" i="3"/>
  <c r="B239" i="3"/>
  <c r="AR238" i="3"/>
  <c r="AQ238" i="3"/>
  <c r="AP238" i="3"/>
  <c r="AO238" i="3"/>
  <c r="AN238" i="3"/>
  <c r="AM238" i="3"/>
  <c r="AL238" i="3"/>
  <c r="B238" i="3"/>
  <c r="AR237" i="3"/>
  <c r="AQ237" i="3"/>
  <c r="AP237" i="3"/>
  <c r="AO237" i="3"/>
  <c r="AN237" i="3"/>
  <c r="AM237" i="3"/>
  <c r="AL237" i="3"/>
  <c r="B237" i="3"/>
  <c r="AR236" i="3"/>
  <c r="AQ236" i="3"/>
  <c r="AP236" i="3"/>
  <c r="AO236" i="3"/>
  <c r="AN236" i="3"/>
  <c r="AM236" i="3"/>
  <c r="AL236" i="3"/>
  <c r="B236" i="3"/>
  <c r="AR235" i="3"/>
  <c r="AQ235" i="3"/>
  <c r="AP235" i="3"/>
  <c r="AO235" i="3"/>
  <c r="AN235" i="3"/>
  <c r="AM235" i="3"/>
  <c r="AL235" i="3"/>
  <c r="B235" i="3"/>
  <c r="AR234" i="3"/>
  <c r="AQ234" i="3"/>
  <c r="AP234" i="3"/>
  <c r="AO234" i="3"/>
  <c r="AN234" i="3"/>
  <c r="AM234" i="3"/>
  <c r="AL234" i="3"/>
  <c r="B234" i="3"/>
  <c r="AR233" i="3"/>
  <c r="AQ233" i="3"/>
  <c r="AP233" i="3"/>
  <c r="AO233" i="3"/>
  <c r="AN233" i="3"/>
  <c r="AM233" i="3"/>
  <c r="AL233" i="3"/>
  <c r="B233" i="3"/>
  <c r="AR232" i="3"/>
  <c r="AQ232" i="3"/>
  <c r="AP232" i="3"/>
  <c r="AO232" i="3"/>
  <c r="AN232" i="3"/>
  <c r="AM232" i="3"/>
  <c r="AL232" i="3"/>
  <c r="B232" i="3"/>
  <c r="AR231" i="3"/>
  <c r="AQ231" i="3"/>
  <c r="AP231" i="3"/>
  <c r="AO231" i="3"/>
  <c r="AN231" i="3"/>
  <c r="AM231" i="3"/>
  <c r="AL231" i="3"/>
  <c r="B231" i="3"/>
  <c r="AR230" i="3"/>
  <c r="AQ230" i="3"/>
  <c r="AP230" i="3"/>
  <c r="AO230" i="3"/>
  <c r="AN230" i="3"/>
  <c r="AM230" i="3"/>
  <c r="AL230" i="3"/>
  <c r="B230" i="3"/>
  <c r="AR229" i="3"/>
  <c r="AQ229" i="3"/>
  <c r="AP229" i="3"/>
  <c r="AO229" i="3"/>
  <c r="AN229" i="3"/>
  <c r="AM229" i="3"/>
  <c r="AL229" i="3"/>
  <c r="B229" i="3"/>
  <c r="AR228" i="3"/>
  <c r="AQ228" i="3"/>
  <c r="AP228" i="3"/>
  <c r="AO228" i="3"/>
  <c r="AN228" i="3"/>
  <c r="AM228" i="3"/>
  <c r="AL228" i="3"/>
  <c r="B228" i="3"/>
  <c r="AR227" i="3"/>
  <c r="AQ227" i="3"/>
  <c r="AP227" i="3"/>
  <c r="AO227" i="3"/>
  <c r="AN227" i="3"/>
  <c r="AM227" i="3"/>
  <c r="AL227" i="3"/>
  <c r="B227" i="3"/>
  <c r="AR226" i="3"/>
  <c r="AQ226" i="3"/>
  <c r="AP226" i="3"/>
  <c r="AO226" i="3"/>
  <c r="AN226" i="3"/>
  <c r="AM226" i="3"/>
  <c r="AL226" i="3"/>
  <c r="B226" i="3"/>
  <c r="AR225" i="3"/>
  <c r="AQ225" i="3"/>
  <c r="AP225" i="3"/>
  <c r="AO225" i="3"/>
  <c r="AN225" i="3"/>
  <c r="AM225" i="3"/>
  <c r="AL225" i="3"/>
  <c r="B225" i="3"/>
  <c r="AR224" i="3"/>
  <c r="AQ224" i="3"/>
  <c r="AP224" i="3"/>
  <c r="AO224" i="3"/>
  <c r="AN224" i="3"/>
  <c r="AM224" i="3"/>
  <c r="AL224" i="3"/>
  <c r="B224" i="3"/>
  <c r="AR223" i="3"/>
  <c r="AQ223" i="3"/>
  <c r="AP223" i="3"/>
  <c r="AO223" i="3"/>
  <c r="AN223" i="3"/>
  <c r="AM223" i="3"/>
  <c r="AL223" i="3"/>
  <c r="B223" i="3"/>
  <c r="AR222" i="3"/>
  <c r="AQ222" i="3"/>
  <c r="AP222" i="3"/>
  <c r="AO222" i="3"/>
  <c r="AN222" i="3"/>
  <c r="AM222" i="3"/>
  <c r="AL222" i="3"/>
  <c r="B222" i="3"/>
  <c r="AR221" i="3"/>
  <c r="AQ221" i="3"/>
  <c r="AP221" i="3"/>
  <c r="AO221" i="3"/>
  <c r="AN221" i="3"/>
  <c r="AM221" i="3"/>
  <c r="AL221" i="3"/>
  <c r="B221" i="3"/>
  <c r="AR220" i="3"/>
  <c r="AQ220" i="3"/>
  <c r="AP220" i="3"/>
  <c r="AO220" i="3"/>
  <c r="AN220" i="3"/>
  <c r="AM220" i="3"/>
  <c r="AL220" i="3"/>
  <c r="B220" i="3"/>
  <c r="AR219" i="3"/>
  <c r="AQ219" i="3"/>
  <c r="AP219" i="3"/>
  <c r="AO219" i="3"/>
  <c r="AN219" i="3"/>
  <c r="AM219" i="3"/>
  <c r="AL219" i="3"/>
  <c r="B219" i="3"/>
  <c r="AR218" i="3"/>
  <c r="AQ218" i="3"/>
  <c r="AP218" i="3"/>
  <c r="AO218" i="3"/>
  <c r="AN218" i="3"/>
  <c r="AM218" i="3"/>
  <c r="AL218" i="3"/>
  <c r="B218" i="3"/>
  <c r="AR217" i="3"/>
  <c r="AQ217" i="3"/>
  <c r="AP217" i="3"/>
  <c r="AO217" i="3"/>
  <c r="AN217" i="3"/>
  <c r="AM217" i="3"/>
  <c r="AL217" i="3"/>
  <c r="B217" i="3"/>
  <c r="AR216" i="3"/>
  <c r="AQ216" i="3"/>
  <c r="AP216" i="3"/>
  <c r="AO216" i="3"/>
  <c r="AN216" i="3"/>
  <c r="AM216" i="3"/>
  <c r="AL216" i="3"/>
  <c r="B216" i="3"/>
  <c r="AR215" i="3"/>
  <c r="AQ215" i="3"/>
  <c r="AP215" i="3"/>
  <c r="AO215" i="3"/>
  <c r="AN215" i="3"/>
  <c r="AM215" i="3"/>
  <c r="AL215" i="3"/>
  <c r="B215" i="3"/>
  <c r="AR214" i="3"/>
  <c r="AQ214" i="3"/>
  <c r="AP214" i="3"/>
  <c r="AO214" i="3"/>
  <c r="AN214" i="3"/>
  <c r="AM214" i="3"/>
  <c r="AL214" i="3"/>
  <c r="B214" i="3"/>
  <c r="AR213" i="3"/>
  <c r="AQ213" i="3"/>
  <c r="AP213" i="3"/>
  <c r="AO213" i="3"/>
  <c r="AN213" i="3"/>
  <c r="AM213" i="3"/>
  <c r="AL213" i="3"/>
  <c r="B213" i="3"/>
  <c r="AR212" i="3"/>
  <c r="AQ212" i="3"/>
  <c r="AP212" i="3"/>
  <c r="AO212" i="3"/>
  <c r="AN212" i="3"/>
  <c r="AM212" i="3"/>
  <c r="AL212" i="3"/>
  <c r="B212" i="3"/>
  <c r="AR211" i="3"/>
  <c r="AQ211" i="3"/>
  <c r="AP211" i="3"/>
  <c r="AO211" i="3"/>
  <c r="AN211" i="3"/>
  <c r="AM211" i="3"/>
  <c r="AL211" i="3"/>
  <c r="B211" i="3"/>
  <c r="AR210" i="3"/>
  <c r="AQ210" i="3"/>
  <c r="AP210" i="3"/>
  <c r="AO210" i="3"/>
  <c r="AN210" i="3"/>
  <c r="AM210" i="3"/>
  <c r="AL210" i="3"/>
  <c r="B210" i="3"/>
  <c r="AR209" i="3"/>
  <c r="AQ209" i="3"/>
  <c r="AP209" i="3"/>
  <c r="AO209" i="3"/>
  <c r="AN209" i="3"/>
  <c r="AM209" i="3"/>
  <c r="AL209" i="3"/>
  <c r="B209" i="3"/>
  <c r="AR208" i="3"/>
  <c r="AQ208" i="3"/>
  <c r="AP208" i="3"/>
  <c r="AO208" i="3"/>
  <c r="AN208" i="3"/>
  <c r="AM208" i="3"/>
  <c r="AL208" i="3"/>
  <c r="B208" i="3"/>
  <c r="AR207" i="3"/>
  <c r="AQ207" i="3"/>
  <c r="AP207" i="3"/>
  <c r="AO207" i="3"/>
  <c r="AN207" i="3"/>
  <c r="AM207" i="3"/>
  <c r="AL207" i="3"/>
  <c r="B207" i="3"/>
  <c r="AR206" i="3"/>
  <c r="AQ206" i="3"/>
  <c r="AP206" i="3"/>
  <c r="AO206" i="3"/>
  <c r="AN206" i="3"/>
  <c r="AM206" i="3"/>
  <c r="AL206" i="3"/>
  <c r="B206" i="3"/>
  <c r="AR205" i="3"/>
  <c r="AQ205" i="3"/>
  <c r="AP205" i="3"/>
  <c r="AO205" i="3"/>
  <c r="AN205" i="3"/>
  <c r="AM205" i="3"/>
  <c r="AL205" i="3"/>
  <c r="B205" i="3"/>
  <c r="AR204" i="3"/>
  <c r="AQ204" i="3"/>
  <c r="AP204" i="3"/>
  <c r="AO204" i="3"/>
  <c r="AN204" i="3"/>
  <c r="AM204" i="3"/>
  <c r="AL204" i="3"/>
  <c r="B204" i="3"/>
  <c r="AR203" i="3"/>
  <c r="AQ203" i="3"/>
  <c r="AP203" i="3"/>
  <c r="AO203" i="3"/>
  <c r="AN203" i="3"/>
  <c r="AM203" i="3"/>
  <c r="AL203" i="3"/>
  <c r="B203" i="3"/>
  <c r="AR202" i="3"/>
  <c r="AQ202" i="3"/>
  <c r="AP202" i="3"/>
  <c r="AO202" i="3"/>
  <c r="AN202" i="3"/>
  <c r="AM202" i="3"/>
  <c r="AL202" i="3"/>
  <c r="B202" i="3"/>
  <c r="AR201" i="3"/>
  <c r="AQ201" i="3"/>
  <c r="AP201" i="3"/>
  <c r="AO201" i="3"/>
  <c r="AN201" i="3"/>
  <c r="AM201" i="3"/>
  <c r="AL201" i="3"/>
  <c r="B201" i="3"/>
  <c r="AR200" i="3"/>
  <c r="AQ200" i="3"/>
  <c r="AP200" i="3"/>
  <c r="AO200" i="3"/>
  <c r="AN200" i="3"/>
  <c r="AM200" i="3"/>
  <c r="AL200" i="3"/>
  <c r="B200" i="3"/>
  <c r="AR199" i="3"/>
  <c r="AQ199" i="3"/>
  <c r="AP199" i="3"/>
  <c r="AO199" i="3"/>
  <c r="AN199" i="3"/>
  <c r="AM199" i="3"/>
  <c r="AL199" i="3"/>
  <c r="B199" i="3"/>
  <c r="AR198" i="3"/>
  <c r="AQ198" i="3"/>
  <c r="AP198" i="3"/>
  <c r="AO198" i="3"/>
  <c r="AN198" i="3"/>
  <c r="AM198" i="3"/>
  <c r="AL198" i="3"/>
  <c r="B198" i="3"/>
  <c r="AR197" i="3"/>
  <c r="AQ197" i="3"/>
  <c r="AP197" i="3"/>
  <c r="AO197" i="3"/>
  <c r="AN197" i="3"/>
  <c r="AM197" i="3"/>
  <c r="AL197" i="3"/>
  <c r="B197" i="3"/>
  <c r="AR196" i="3"/>
  <c r="AQ196" i="3"/>
  <c r="AP196" i="3"/>
  <c r="AO196" i="3"/>
  <c r="AN196" i="3"/>
  <c r="AM196" i="3"/>
  <c r="AL196" i="3"/>
  <c r="B196" i="3"/>
  <c r="AR195" i="3"/>
  <c r="AQ195" i="3"/>
  <c r="AP195" i="3"/>
  <c r="AO195" i="3"/>
  <c r="AN195" i="3"/>
  <c r="AM195" i="3"/>
  <c r="AL195" i="3"/>
  <c r="B195" i="3"/>
  <c r="AR194" i="3"/>
  <c r="AQ194" i="3"/>
  <c r="AP194" i="3"/>
  <c r="AO194" i="3"/>
  <c r="AN194" i="3"/>
  <c r="AM194" i="3"/>
  <c r="AL194" i="3"/>
  <c r="B194" i="3"/>
  <c r="AR193" i="3"/>
  <c r="AQ193" i="3"/>
  <c r="AP193" i="3"/>
  <c r="AO193" i="3"/>
  <c r="AN193" i="3"/>
  <c r="AM193" i="3"/>
  <c r="AL193" i="3"/>
  <c r="B193" i="3"/>
  <c r="AR192" i="3"/>
  <c r="AQ192" i="3"/>
  <c r="AP192" i="3"/>
  <c r="AO192" i="3"/>
  <c r="AN192" i="3"/>
  <c r="AM192" i="3"/>
  <c r="AL192" i="3"/>
  <c r="B192" i="3"/>
  <c r="AR191" i="3"/>
  <c r="AQ191" i="3"/>
  <c r="AP191" i="3"/>
  <c r="AO191" i="3"/>
  <c r="AN191" i="3"/>
  <c r="AM191" i="3"/>
  <c r="AL191" i="3"/>
  <c r="B191" i="3"/>
  <c r="AR190" i="3"/>
  <c r="AQ190" i="3"/>
  <c r="AP190" i="3"/>
  <c r="AO190" i="3"/>
  <c r="AN190" i="3"/>
  <c r="AM190" i="3"/>
  <c r="AL190" i="3"/>
  <c r="B190" i="3"/>
  <c r="AR189" i="3"/>
  <c r="AQ189" i="3"/>
  <c r="AP189" i="3"/>
  <c r="AO189" i="3"/>
  <c r="AN189" i="3"/>
  <c r="AM189" i="3"/>
  <c r="AL189" i="3"/>
  <c r="B189" i="3"/>
  <c r="AR188" i="3"/>
  <c r="AQ188" i="3"/>
  <c r="AP188" i="3"/>
  <c r="AO188" i="3"/>
  <c r="AN188" i="3"/>
  <c r="AM188" i="3"/>
  <c r="AL188" i="3"/>
  <c r="B188" i="3"/>
  <c r="AR187" i="3"/>
  <c r="AQ187" i="3"/>
  <c r="AP187" i="3"/>
  <c r="AO187" i="3"/>
  <c r="AN187" i="3"/>
  <c r="AM187" i="3"/>
  <c r="AL187" i="3"/>
  <c r="B187" i="3"/>
  <c r="AR186" i="3"/>
  <c r="AQ186" i="3"/>
  <c r="AP186" i="3"/>
  <c r="AO186" i="3"/>
  <c r="AN186" i="3"/>
  <c r="AM186" i="3"/>
  <c r="AL186" i="3"/>
  <c r="B186" i="3"/>
  <c r="AR185" i="3"/>
  <c r="AQ185" i="3"/>
  <c r="AP185" i="3"/>
  <c r="AO185" i="3"/>
  <c r="AN185" i="3"/>
  <c r="AM185" i="3"/>
  <c r="AL185" i="3"/>
  <c r="B185" i="3"/>
  <c r="AR184" i="3"/>
  <c r="AQ184" i="3"/>
  <c r="AP184" i="3"/>
  <c r="AO184" i="3"/>
  <c r="AN184" i="3"/>
  <c r="AM184" i="3"/>
  <c r="AL184" i="3"/>
  <c r="B184" i="3"/>
  <c r="AR183" i="3"/>
  <c r="AQ183" i="3"/>
  <c r="AP183" i="3"/>
  <c r="AO183" i="3"/>
  <c r="AN183" i="3"/>
  <c r="AM183" i="3"/>
  <c r="AL183" i="3"/>
  <c r="B183" i="3"/>
  <c r="AR182" i="3"/>
  <c r="AQ182" i="3"/>
  <c r="AP182" i="3"/>
  <c r="AO182" i="3"/>
  <c r="AN182" i="3"/>
  <c r="AM182" i="3"/>
  <c r="AL182" i="3"/>
  <c r="B182" i="3"/>
  <c r="AR181" i="3"/>
  <c r="AQ181" i="3"/>
  <c r="AP181" i="3"/>
  <c r="AO181" i="3"/>
  <c r="AN181" i="3"/>
  <c r="AM181" i="3"/>
  <c r="AL181" i="3"/>
  <c r="B181" i="3"/>
  <c r="AR180" i="3"/>
  <c r="AQ180" i="3"/>
  <c r="AP180" i="3"/>
  <c r="AO180" i="3"/>
  <c r="AN180" i="3"/>
  <c r="AM180" i="3"/>
  <c r="AL180" i="3"/>
  <c r="B180" i="3"/>
  <c r="AR179" i="3"/>
  <c r="AQ179" i="3"/>
  <c r="AP179" i="3"/>
  <c r="AO179" i="3"/>
  <c r="AN179" i="3"/>
  <c r="AM179" i="3"/>
  <c r="AL179" i="3"/>
  <c r="B179" i="3"/>
  <c r="AR178" i="3"/>
  <c r="AQ178" i="3"/>
  <c r="AP178" i="3"/>
  <c r="AO178" i="3"/>
  <c r="AN178" i="3"/>
  <c r="AM178" i="3"/>
  <c r="AL178" i="3"/>
  <c r="B178" i="3"/>
  <c r="AR177" i="3"/>
  <c r="AQ177" i="3"/>
  <c r="AP177" i="3"/>
  <c r="AO177" i="3"/>
  <c r="AN177" i="3"/>
  <c r="AM177" i="3"/>
  <c r="AL177" i="3"/>
  <c r="B177" i="3"/>
  <c r="AR176" i="3"/>
  <c r="AQ176" i="3"/>
  <c r="AP176" i="3"/>
  <c r="AO176" i="3"/>
  <c r="AN176" i="3"/>
  <c r="AM176" i="3"/>
  <c r="AL176" i="3"/>
  <c r="B176" i="3"/>
  <c r="AR175" i="3"/>
  <c r="AQ175" i="3"/>
  <c r="AP175" i="3"/>
  <c r="AO175" i="3"/>
  <c r="AN175" i="3"/>
  <c r="AM175" i="3"/>
  <c r="AL175" i="3"/>
  <c r="B175" i="3"/>
  <c r="AR174" i="3"/>
  <c r="AQ174" i="3"/>
  <c r="AP174" i="3"/>
  <c r="AO174" i="3"/>
  <c r="AN174" i="3"/>
  <c r="AM174" i="3"/>
  <c r="AL174" i="3"/>
  <c r="B174" i="3"/>
  <c r="AR173" i="3"/>
  <c r="AQ173" i="3"/>
  <c r="AP173" i="3"/>
  <c r="AO173" i="3"/>
  <c r="AN173" i="3"/>
  <c r="AM173" i="3"/>
  <c r="AL173" i="3"/>
  <c r="B173" i="3"/>
  <c r="AR172" i="3"/>
  <c r="AQ172" i="3"/>
  <c r="AP172" i="3"/>
  <c r="AO172" i="3"/>
  <c r="AN172" i="3"/>
  <c r="AM172" i="3"/>
  <c r="AL172" i="3"/>
  <c r="B172" i="3"/>
  <c r="AR171" i="3"/>
  <c r="AQ171" i="3"/>
  <c r="AP171" i="3"/>
  <c r="AO171" i="3"/>
  <c r="AN171" i="3"/>
  <c r="AM171" i="3"/>
  <c r="AL171" i="3"/>
  <c r="B171" i="3"/>
  <c r="AR170" i="3"/>
  <c r="AQ170" i="3"/>
  <c r="AP170" i="3"/>
  <c r="AO170" i="3"/>
  <c r="AN170" i="3"/>
  <c r="AM170" i="3"/>
  <c r="AL170" i="3"/>
  <c r="B170" i="3"/>
  <c r="AR169" i="3"/>
  <c r="AQ169" i="3"/>
  <c r="AP169" i="3"/>
  <c r="AO169" i="3"/>
  <c r="AN169" i="3"/>
  <c r="AM169" i="3"/>
  <c r="AL169" i="3"/>
  <c r="B169" i="3"/>
  <c r="AR168" i="3"/>
  <c r="AQ168" i="3"/>
  <c r="AP168" i="3"/>
  <c r="AO168" i="3"/>
  <c r="AN168" i="3"/>
  <c r="AM168" i="3"/>
  <c r="AL168" i="3"/>
  <c r="B168" i="3"/>
  <c r="AR167" i="3"/>
  <c r="AQ167" i="3"/>
  <c r="AP167" i="3"/>
  <c r="AO167" i="3"/>
  <c r="AN167" i="3"/>
  <c r="AM167" i="3"/>
  <c r="AL167" i="3"/>
  <c r="B167" i="3"/>
  <c r="AR166" i="3"/>
  <c r="AQ166" i="3"/>
  <c r="AP166" i="3"/>
  <c r="AO166" i="3"/>
  <c r="AN166" i="3"/>
  <c r="AM166" i="3"/>
  <c r="AL166" i="3"/>
  <c r="B166" i="3"/>
  <c r="AR165" i="3"/>
  <c r="AQ165" i="3"/>
  <c r="AP165" i="3"/>
  <c r="AO165" i="3"/>
  <c r="AN165" i="3"/>
  <c r="AM165" i="3"/>
  <c r="AL165" i="3"/>
  <c r="B165" i="3"/>
  <c r="AR164" i="3"/>
  <c r="AQ164" i="3"/>
  <c r="AP164" i="3"/>
  <c r="AO164" i="3"/>
  <c r="AN164" i="3"/>
  <c r="AM164" i="3"/>
  <c r="AL164" i="3"/>
  <c r="B164" i="3"/>
  <c r="AR163" i="3"/>
  <c r="AQ163" i="3"/>
  <c r="AP163" i="3"/>
  <c r="AO163" i="3"/>
  <c r="AN163" i="3"/>
  <c r="AM163" i="3"/>
  <c r="AL163" i="3"/>
  <c r="B163" i="3"/>
  <c r="AR162" i="3"/>
  <c r="AQ162" i="3"/>
  <c r="AP162" i="3"/>
  <c r="AO162" i="3"/>
  <c r="AN162" i="3"/>
  <c r="AM162" i="3"/>
  <c r="AL162" i="3"/>
  <c r="B162" i="3"/>
  <c r="AR161" i="3"/>
  <c r="AQ161" i="3"/>
  <c r="AP161" i="3"/>
  <c r="AO161" i="3"/>
  <c r="AN161" i="3"/>
  <c r="AM161" i="3"/>
  <c r="AL161" i="3"/>
  <c r="B161" i="3"/>
  <c r="AR160" i="3"/>
  <c r="AQ160" i="3"/>
  <c r="AP160" i="3"/>
  <c r="AO160" i="3"/>
  <c r="AN160" i="3"/>
  <c r="AM160" i="3"/>
  <c r="AL160" i="3"/>
  <c r="B160" i="3"/>
  <c r="AR159" i="3"/>
  <c r="AQ159" i="3"/>
  <c r="AP159" i="3"/>
  <c r="AO159" i="3"/>
  <c r="AN159" i="3"/>
  <c r="AM159" i="3"/>
  <c r="AL159" i="3"/>
  <c r="B159" i="3"/>
  <c r="AR158" i="3"/>
  <c r="AQ158" i="3"/>
  <c r="AP158" i="3"/>
  <c r="AO158" i="3"/>
  <c r="AN158" i="3"/>
  <c r="AM158" i="3"/>
  <c r="AL158" i="3"/>
  <c r="B158" i="3"/>
  <c r="AR157" i="3"/>
  <c r="AQ157" i="3"/>
  <c r="AP157" i="3"/>
  <c r="AO157" i="3"/>
  <c r="AN157" i="3"/>
  <c r="AM157" i="3"/>
  <c r="AL157" i="3"/>
  <c r="B157" i="3"/>
  <c r="AR156" i="3"/>
  <c r="AQ156" i="3"/>
  <c r="AP156" i="3"/>
  <c r="AO156" i="3"/>
  <c r="AN156" i="3"/>
  <c r="AM156" i="3"/>
  <c r="AL156" i="3"/>
  <c r="B156" i="3"/>
  <c r="AR155" i="3"/>
  <c r="AQ155" i="3"/>
  <c r="AP155" i="3"/>
  <c r="AO155" i="3"/>
  <c r="AN155" i="3"/>
  <c r="AM155" i="3"/>
  <c r="AL155" i="3"/>
  <c r="B155" i="3"/>
  <c r="AR154" i="3"/>
  <c r="AQ154" i="3"/>
  <c r="AP154" i="3"/>
  <c r="AO154" i="3"/>
  <c r="AN154" i="3"/>
  <c r="AM154" i="3"/>
  <c r="AL154" i="3"/>
  <c r="B154" i="3"/>
  <c r="AR153" i="3"/>
  <c r="AQ153" i="3"/>
  <c r="AP153" i="3"/>
  <c r="AO153" i="3"/>
  <c r="AN153" i="3"/>
  <c r="AM153" i="3"/>
  <c r="AL153" i="3"/>
  <c r="B153" i="3"/>
  <c r="AR152" i="3"/>
  <c r="AQ152" i="3"/>
  <c r="AP152" i="3"/>
  <c r="AO152" i="3"/>
  <c r="AN152" i="3"/>
  <c r="AM152" i="3"/>
  <c r="AL152" i="3"/>
  <c r="B152" i="3"/>
  <c r="AR151" i="3"/>
  <c r="AQ151" i="3"/>
  <c r="AP151" i="3"/>
  <c r="AO151" i="3"/>
  <c r="AN151" i="3"/>
  <c r="AM151" i="3"/>
  <c r="AL151" i="3"/>
  <c r="B151" i="3"/>
  <c r="AR150" i="3"/>
  <c r="AQ150" i="3"/>
  <c r="AP150" i="3"/>
  <c r="AO150" i="3"/>
  <c r="AN150" i="3"/>
  <c r="AM150" i="3"/>
  <c r="AL150" i="3"/>
  <c r="B150" i="3"/>
  <c r="AR149" i="3"/>
  <c r="AQ149" i="3"/>
  <c r="AP149" i="3"/>
  <c r="AO149" i="3"/>
  <c r="AN149" i="3"/>
  <c r="AM149" i="3"/>
  <c r="AL149" i="3"/>
  <c r="B149" i="3"/>
  <c r="AR148" i="3"/>
  <c r="AQ148" i="3"/>
  <c r="AP148" i="3"/>
  <c r="AO148" i="3"/>
  <c r="AN148" i="3"/>
  <c r="AM148" i="3"/>
  <c r="AL148" i="3"/>
  <c r="B148" i="3"/>
  <c r="AR147" i="3"/>
  <c r="AQ147" i="3"/>
  <c r="AP147" i="3"/>
  <c r="AO147" i="3"/>
  <c r="AN147" i="3"/>
  <c r="AM147" i="3"/>
  <c r="AL147" i="3"/>
  <c r="B147" i="3"/>
  <c r="AR146" i="3"/>
  <c r="AQ146" i="3"/>
  <c r="AP146" i="3"/>
  <c r="AO146" i="3"/>
  <c r="AN146" i="3"/>
  <c r="AM146" i="3"/>
  <c r="AL146" i="3"/>
  <c r="B146" i="3"/>
  <c r="AR145" i="3"/>
  <c r="AQ145" i="3"/>
  <c r="AP145" i="3"/>
  <c r="AO145" i="3"/>
  <c r="AN145" i="3"/>
  <c r="AM145" i="3"/>
  <c r="AL145" i="3"/>
  <c r="B145" i="3"/>
  <c r="AR144" i="3"/>
  <c r="AQ144" i="3"/>
  <c r="AP144" i="3"/>
  <c r="AO144" i="3"/>
  <c r="AN144" i="3"/>
  <c r="AM144" i="3"/>
  <c r="AL144" i="3"/>
  <c r="B144" i="3"/>
  <c r="AR143" i="3"/>
  <c r="AQ143" i="3"/>
  <c r="AP143" i="3"/>
  <c r="AO143" i="3"/>
  <c r="AN143" i="3"/>
  <c r="AM143" i="3"/>
  <c r="AL143" i="3"/>
  <c r="B143" i="3"/>
  <c r="AR142" i="3"/>
  <c r="AQ142" i="3"/>
  <c r="AP142" i="3"/>
  <c r="AO142" i="3"/>
  <c r="AN142" i="3"/>
  <c r="AM142" i="3"/>
  <c r="AL142" i="3"/>
  <c r="B142" i="3"/>
  <c r="AR141" i="3"/>
  <c r="AQ141" i="3"/>
  <c r="AP141" i="3"/>
  <c r="AO141" i="3"/>
  <c r="AN141" i="3"/>
  <c r="AM141" i="3"/>
  <c r="AL141" i="3"/>
  <c r="B141" i="3"/>
  <c r="AR140" i="3"/>
  <c r="AQ140" i="3"/>
  <c r="AP140" i="3"/>
  <c r="AO140" i="3"/>
  <c r="AN140" i="3"/>
  <c r="AM140" i="3"/>
  <c r="AL140" i="3"/>
  <c r="B140" i="3"/>
  <c r="AR139" i="3"/>
  <c r="AQ139" i="3"/>
  <c r="AP139" i="3"/>
  <c r="AO139" i="3"/>
  <c r="AN139" i="3"/>
  <c r="AM139" i="3"/>
  <c r="AL139" i="3"/>
  <c r="B139" i="3"/>
  <c r="AR138" i="3"/>
  <c r="AQ138" i="3"/>
  <c r="AP138" i="3"/>
  <c r="AO138" i="3"/>
  <c r="AN138" i="3"/>
  <c r="AM138" i="3"/>
  <c r="AL138" i="3"/>
  <c r="B138" i="3"/>
  <c r="AR137" i="3"/>
  <c r="AQ137" i="3"/>
  <c r="AP137" i="3"/>
  <c r="AO137" i="3"/>
  <c r="AN137" i="3"/>
  <c r="AM137" i="3"/>
  <c r="AL137" i="3"/>
  <c r="B137" i="3"/>
  <c r="AR136" i="3"/>
  <c r="AQ136" i="3"/>
  <c r="AP136" i="3"/>
  <c r="AO136" i="3"/>
  <c r="AN136" i="3"/>
  <c r="AM136" i="3"/>
  <c r="AL136" i="3"/>
  <c r="B136" i="3"/>
  <c r="AR135" i="3"/>
  <c r="AQ135" i="3"/>
  <c r="AP135" i="3"/>
  <c r="AO135" i="3"/>
  <c r="AN135" i="3"/>
  <c r="AM135" i="3"/>
  <c r="AL135" i="3"/>
  <c r="B135" i="3"/>
  <c r="AR134" i="3"/>
  <c r="AQ134" i="3"/>
  <c r="AP134" i="3"/>
  <c r="AO134" i="3"/>
  <c r="AN134" i="3"/>
  <c r="AM134" i="3"/>
  <c r="AL134" i="3"/>
  <c r="B134" i="3"/>
  <c r="AR133" i="3"/>
  <c r="AQ133" i="3"/>
  <c r="AP133" i="3"/>
  <c r="AO133" i="3"/>
  <c r="AN133" i="3"/>
  <c r="AM133" i="3"/>
  <c r="AL133" i="3"/>
  <c r="B133" i="3"/>
  <c r="AR132" i="3"/>
  <c r="AQ132" i="3"/>
  <c r="AP132" i="3"/>
  <c r="AO132" i="3"/>
  <c r="AN132" i="3"/>
  <c r="AM132" i="3"/>
  <c r="AL132" i="3"/>
  <c r="B132" i="3"/>
  <c r="AR131" i="3"/>
  <c r="AQ131" i="3"/>
  <c r="AP131" i="3"/>
  <c r="AO131" i="3"/>
  <c r="AN131" i="3"/>
  <c r="AM131" i="3"/>
  <c r="AL131" i="3"/>
  <c r="B131" i="3"/>
  <c r="AR130" i="3"/>
  <c r="AQ130" i="3"/>
  <c r="AP130" i="3"/>
  <c r="AO130" i="3"/>
  <c r="AN130" i="3"/>
  <c r="AM130" i="3"/>
  <c r="AL130" i="3"/>
  <c r="B130" i="3"/>
  <c r="AR129" i="3"/>
  <c r="AQ129" i="3"/>
  <c r="AP129" i="3"/>
  <c r="AO129" i="3"/>
  <c r="AN129" i="3"/>
  <c r="AM129" i="3"/>
  <c r="AL129" i="3"/>
  <c r="B129" i="3"/>
  <c r="AR128" i="3"/>
  <c r="AQ128" i="3"/>
  <c r="AP128" i="3"/>
  <c r="AO128" i="3"/>
  <c r="AN128" i="3"/>
  <c r="AM128" i="3"/>
  <c r="AL128" i="3"/>
  <c r="B128" i="3"/>
  <c r="AR127" i="3"/>
  <c r="AQ127" i="3"/>
  <c r="AP127" i="3"/>
  <c r="AO127" i="3"/>
  <c r="AN127" i="3"/>
  <c r="AM127" i="3"/>
  <c r="AL127" i="3"/>
  <c r="B127" i="3"/>
  <c r="AR126" i="3"/>
  <c r="AQ126" i="3"/>
  <c r="AP126" i="3"/>
  <c r="AO126" i="3"/>
  <c r="AN126" i="3"/>
  <c r="AM126" i="3"/>
  <c r="AL126" i="3"/>
  <c r="B126" i="3"/>
  <c r="AR125" i="3"/>
  <c r="AQ125" i="3"/>
  <c r="AP125" i="3"/>
  <c r="AO125" i="3"/>
  <c r="AN125" i="3"/>
  <c r="AM125" i="3"/>
  <c r="AL125" i="3"/>
  <c r="B125" i="3"/>
  <c r="AR124" i="3"/>
  <c r="AQ124" i="3"/>
  <c r="AP124" i="3"/>
  <c r="AO124" i="3"/>
  <c r="AN124" i="3"/>
  <c r="AM124" i="3"/>
  <c r="AL124" i="3"/>
  <c r="B124" i="3"/>
  <c r="AR123" i="3"/>
  <c r="AQ123" i="3"/>
  <c r="AP123" i="3"/>
  <c r="AO123" i="3"/>
  <c r="AN123" i="3"/>
  <c r="AM123" i="3"/>
  <c r="AL123" i="3"/>
  <c r="B123" i="3"/>
  <c r="AR122" i="3"/>
  <c r="AQ122" i="3"/>
  <c r="AP122" i="3"/>
  <c r="AO122" i="3"/>
  <c r="AN122" i="3"/>
  <c r="AM122" i="3"/>
  <c r="AL122" i="3"/>
  <c r="B122" i="3"/>
  <c r="AR121" i="3"/>
  <c r="AQ121" i="3"/>
  <c r="AP121" i="3"/>
  <c r="AO121" i="3"/>
  <c r="AN121" i="3"/>
  <c r="AM121" i="3"/>
  <c r="AL121" i="3"/>
  <c r="B121" i="3"/>
  <c r="AR120" i="3"/>
  <c r="AQ120" i="3"/>
  <c r="AP120" i="3"/>
  <c r="AO120" i="3"/>
  <c r="AN120" i="3"/>
  <c r="AM120" i="3"/>
  <c r="AL120" i="3"/>
  <c r="B120" i="3"/>
  <c r="AR119" i="3"/>
  <c r="AQ119" i="3"/>
  <c r="AP119" i="3"/>
  <c r="AO119" i="3"/>
  <c r="AN119" i="3"/>
  <c r="AM119" i="3"/>
  <c r="AL119" i="3"/>
  <c r="B119" i="3"/>
  <c r="AR118" i="3"/>
  <c r="AQ118" i="3"/>
  <c r="AP118" i="3"/>
  <c r="AO118" i="3"/>
  <c r="AN118" i="3"/>
  <c r="AM118" i="3"/>
  <c r="AL118" i="3"/>
  <c r="B118" i="3"/>
  <c r="AR117" i="3"/>
  <c r="AQ117" i="3"/>
  <c r="AP117" i="3"/>
  <c r="AO117" i="3"/>
  <c r="AN117" i="3"/>
  <c r="AM117" i="3"/>
  <c r="AL117" i="3"/>
  <c r="B117" i="3"/>
  <c r="AR116" i="3"/>
  <c r="AQ116" i="3"/>
  <c r="AP116" i="3"/>
  <c r="AO116" i="3"/>
  <c r="AN116" i="3"/>
  <c r="AM116" i="3"/>
  <c r="AL116" i="3"/>
  <c r="B116" i="3"/>
  <c r="AR115" i="3"/>
  <c r="AQ115" i="3"/>
  <c r="AP115" i="3"/>
  <c r="AO115" i="3"/>
  <c r="AN115" i="3"/>
  <c r="AM115" i="3"/>
  <c r="AL115" i="3"/>
  <c r="B115" i="3"/>
  <c r="AR114" i="3"/>
  <c r="AQ114" i="3"/>
  <c r="AP114" i="3"/>
  <c r="AO114" i="3"/>
  <c r="AN114" i="3"/>
  <c r="AM114" i="3"/>
  <c r="AL114" i="3"/>
  <c r="B114" i="3"/>
  <c r="AR113" i="3"/>
  <c r="AQ113" i="3"/>
  <c r="AP113" i="3"/>
  <c r="AO113" i="3"/>
  <c r="AN113" i="3"/>
  <c r="AM113" i="3"/>
  <c r="AL113" i="3"/>
  <c r="B113" i="3"/>
  <c r="AR112" i="3"/>
  <c r="AQ112" i="3"/>
  <c r="AP112" i="3"/>
  <c r="AO112" i="3"/>
  <c r="AN112" i="3"/>
  <c r="AM112" i="3"/>
  <c r="AL112" i="3"/>
  <c r="B112" i="3"/>
  <c r="AR111" i="3"/>
  <c r="AQ111" i="3"/>
  <c r="AP111" i="3"/>
  <c r="AO111" i="3"/>
  <c r="AN111" i="3"/>
  <c r="AM111" i="3"/>
  <c r="AL111" i="3"/>
  <c r="B111" i="3"/>
  <c r="AR110" i="3"/>
  <c r="AQ110" i="3"/>
  <c r="AP110" i="3"/>
  <c r="AO110" i="3"/>
  <c r="AN110" i="3"/>
  <c r="AM110" i="3"/>
  <c r="AL110" i="3"/>
  <c r="B110" i="3"/>
  <c r="AR109" i="3"/>
  <c r="AQ109" i="3"/>
  <c r="AP109" i="3"/>
  <c r="AO109" i="3"/>
  <c r="AN109" i="3"/>
  <c r="AM109" i="3"/>
  <c r="AL109" i="3"/>
  <c r="B109" i="3"/>
  <c r="AR108" i="3"/>
  <c r="AQ108" i="3"/>
  <c r="AP108" i="3"/>
  <c r="AO108" i="3"/>
  <c r="AN108" i="3"/>
  <c r="AM108" i="3"/>
  <c r="AL108" i="3"/>
  <c r="B108" i="3"/>
  <c r="AR107" i="3"/>
  <c r="AQ107" i="3"/>
  <c r="AP107" i="3"/>
  <c r="AO107" i="3"/>
  <c r="AN107" i="3"/>
  <c r="AM107" i="3"/>
  <c r="AL107" i="3"/>
  <c r="B107" i="3"/>
  <c r="AR106" i="3"/>
  <c r="AQ106" i="3"/>
  <c r="AP106" i="3"/>
  <c r="AO106" i="3"/>
  <c r="AN106" i="3"/>
  <c r="AM106" i="3"/>
  <c r="AL106" i="3"/>
  <c r="B106" i="3"/>
  <c r="AR105" i="3"/>
  <c r="AQ105" i="3"/>
  <c r="AP105" i="3"/>
  <c r="AO105" i="3"/>
  <c r="AN105" i="3"/>
  <c r="AM105" i="3"/>
  <c r="AL105" i="3"/>
  <c r="B105" i="3"/>
  <c r="AR104" i="3"/>
  <c r="AQ104" i="3"/>
  <c r="AP104" i="3"/>
  <c r="AO104" i="3"/>
  <c r="AN104" i="3"/>
  <c r="AM104" i="3"/>
  <c r="AL104" i="3"/>
  <c r="B104" i="3"/>
  <c r="AR103" i="3"/>
  <c r="AQ103" i="3"/>
  <c r="AP103" i="3"/>
  <c r="AO103" i="3"/>
  <c r="AN103" i="3"/>
  <c r="AM103" i="3"/>
  <c r="AL103" i="3"/>
  <c r="B103" i="3"/>
  <c r="AR102" i="3"/>
  <c r="AQ102" i="3"/>
  <c r="AP102" i="3"/>
  <c r="AO102" i="3"/>
  <c r="AN102" i="3"/>
  <c r="AM102" i="3"/>
  <c r="AL102" i="3"/>
  <c r="B102" i="3"/>
  <c r="AR101" i="3"/>
  <c r="AQ101" i="3"/>
  <c r="AP101" i="3"/>
  <c r="AO101" i="3"/>
  <c r="AN101" i="3"/>
  <c r="AM101" i="3"/>
  <c r="AL101" i="3"/>
  <c r="B101" i="3"/>
  <c r="AR100" i="3"/>
  <c r="AQ100" i="3"/>
  <c r="AP100" i="3"/>
  <c r="AO100" i="3"/>
  <c r="AN100" i="3"/>
  <c r="AM100" i="3"/>
  <c r="AL100" i="3"/>
  <c r="B100" i="3"/>
  <c r="AR99" i="3"/>
  <c r="AQ99" i="3"/>
  <c r="AP99" i="3"/>
  <c r="AO99" i="3"/>
  <c r="AN99" i="3"/>
  <c r="AM99" i="3"/>
  <c r="AL99" i="3"/>
  <c r="B99" i="3"/>
  <c r="AR98" i="3"/>
  <c r="AQ98" i="3"/>
  <c r="AP98" i="3"/>
  <c r="AO98" i="3"/>
  <c r="AN98" i="3"/>
  <c r="AM98" i="3"/>
  <c r="AL98" i="3"/>
  <c r="B98" i="3"/>
  <c r="AR97" i="3"/>
  <c r="AQ97" i="3"/>
  <c r="AP97" i="3"/>
  <c r="AO97" i="3"/>
  <c r="AN97" i="3"/>
  <c r="AM97" i="3"/>
  <c r="AL97" i="3"/>
  <c r="B97" i="3"/>
  <c r="AR96" i="3"/>
  <c r="AQ96" i="3"/>
  <c r="AP96" i="3"/>
  <c r="AO96" i="3"/>
  <c r="AN96" i="3"/>
  <c r="AM96" i="3"/>
  <c r="AL96" i="3"/>
  <c r="B96" i="3"/>
  <c r="AR95" i="3"/>
  <c r="AQ95" i="3"/>
  <c r="AP95" i="3"/>
  <c r="AO95" i="3"/>
  <c r="AN95" i="3"/>
  <c r="AM95" i="3"/>
  <c r="AL95" i="3"/>
  <c r="B95" i="3"/>
  <c r="AR94" i="3"/>
  <c r="AQ94" i="3"/>
  <c r="AP94" i="3"/>
  <c r="AO94" i="3"/>
  <c r="AN94" i="3"/>
  <c r="AM94" i="3"/>
  <c r="AL94" i="3"/>
  <c r="B94" i="3"/>
  <c r="AR93" i="3"/>
  <c r="AQ93" i="3"/>
  <c r="AP93" i="3"/>
  <c r="AO93" i="3"/>
  <c r="AN93" i="3"/>
  <c r="AM93" i="3"/>
  <c r="AL93" i="3"/>
  <c r="B93" i="3"/>
  <c r="AR92" i="3"/>
  <c r="AQ92" i="3"/>
  <c r="AP92" i="3"/>
  <c r="AO92" i="3"/>
  <c r="AN92" i="3"/>
  <c r="AM92" i="3"/>
  <c r="AL92" i="3"/>
  <c r="B92" i="3"/>
  <c r="AR91" i="3"/>
  <c r="AQ91" i="3"/>
  <c r="AP91" i="3"/>
  <c r="AO91" i="3"/>
  <c r="AN91" i="3"/>
  <c r="AM91" i="3"/>
  <c r="AL91" i="3"/>
  <c r="B91" i="3"/>
  <c r="AR90" i="3"/>
  <c r="AQ90" i="3"/>
  <c r="AP90" i="3"/>
  <c r="AO90" i="3"/>
  <c r="AN90" i="3"/>
  <c r="AM90" i="3"/>
  <c r="AL90" i="3"/>
  <c r="B90" i="3"/>
  <c r="AR89" i="3"/>
  <c r="AQ89" i="3"/>
  <c r="AP89" i="3"/>
  <c r="AO89" i="3"/>
  <c r="AN89" i="3"/>
  <c r="AM89" i="3"/>
  <c r="AL89" i="3"/>
  <c r="B89" i="3"/>
  <c r="AR88" i="3"/>
  <c r="AQ88" i="3"/>
  <c r="AP88" i="3"/>
  <c r="AO88" i="3"/>
  <c r="AN88" i="3"/>
  <c r="AM88" i="3"/>
  <c r="AL88" i="3"/>
  <c r="B88" i="3"/>
  <c r="AR87" i="3"/>
  <c r="AQ87" i="3"/>
  <c r="AP87" i="3"/>
  <c r="AO87" i="3"/>
  <c r="AN87" i="3"/>
  <c r="AM87" i="3"/>
  <c r="AL87" i="3"/>
  <c r="B87" i="3"/>
  <c r="AR86" i="3"/>
  <c r="AQ86" i="3"/>
  <c r="AP86" i="3"/>
  <c r="AO86" i="3"/>
  <c r="AN86" i="3"/>
  <c r="AM86" i="3"/>
  <c r="AL86" i="3"/>
  <c r="B86" i="3"/>
  <c r="AR85" i="3"/>
  <c r="AQ85" i="3"/>
  <c r="AP85" i="3"/>
  <c r="AO85" i="3"/>
  <c r="AN85" i="3"/>
  <c r="AM85" i="3"/>
  <c r="AL85" i="3"/>
  <c r="B85" i="3"/>
  <c r="AR84" i="3"/>
  <c r="AQ84" i="3"/>
  <c r="AP84" i="3"/>
  <c r="AO84" i="3"/>
  <c r="AN84" i="3"/>
  <c r="AM84" i="3"/>
  <c r="AL84" i="3"/>
  <c r="B84" i="3"/>
  <c r="AR83" i="3"/>
  <c r="AQ83" i="3"/>
  <c r="AP83" i="3"/>
  <c r="AO83" i="3"/>
  <c r="AN83" i="3"/>
  <c r="AM83" i="3"/>
  <c r="AL83" i="3"/>
  <c r="B83" i="3"/>
  <c r="AR82" i="3"/>
  <c r="AQ82" i="3"/>
  <c r="AP82" i="3"/>
  <c r="AO82" i="3"/>
  <c r="AN82" i="3"/>
  <c r="AM82" i="3"/>
  <c r="AL82" i="3"/>
  <c r="B82" i="3"/>
  <c r="AR81" i="3"/>
  <c r="AQ81" i="3"/>
  <c r="AP81" i="3"/>
  <c r="AO81" i="3"/>
  <c r="AN81" i="3"/>
  <c r="AM81" i="3"/>
  <c r="AL81" i="3"/>
  <c r="B81" i="3"/>
  <c r="AR80" i="3"/>
  <c r="AQ80" i="3"/>
  <c r="AP80" i="3"/>
  <c r="AO80" i="3"/>
  <c r="AN80" i="3"/>
  <c r="AM80" i="3"/>
  <c r="AL80" i="3"/>
  <c r="B80" i="3"/>
  <c r="AR79" i="3"/>
  <c r="AQ79" i="3"/>
  <c r="AP79" i="3"/>
  <c r="AO79" i="3"/>
  <c r="AN79" i="3"/>
  <c r="AM79" i="3"/>
  <c r="AL79" i="3"/>
  <c r="B79" i="3"/>
  <c r="AR78" i="3"/>
  <c r="AQ78" i="3"/>
  <c r="AP78" i="3"/>
  <c r="AO78" i="3"/>
  <c r="AN78" i="3"/>
  <c r="AM78" i="3"/>
  <c r="AL78" i="3"/>
  <c r="B78" i="3"/>
  <c r="AR77" i="3"/>
  <c r="AQ77" i="3"/>
  <c r="AP77" i="3"/>
  <c r="AO77" i="3"/>
  <c r="AN77" i="3"/>
  <c r="AM77" i="3"/>
  <c r="AL77" i="3"/>
  <c r="B77" i="3"/>
  <c r="AR76" i="3"/>
  <c r="AQ76" i="3"/>
  <c r="AP76" i="3"/>
  <c r="AO76" i="3"/>
  <c r="AN76" i="3"/>
  <c r="AM76" i="3"/>
  <c r="AL76" i="3"/>
  <c r="B76" i="3"/>
  <c r="AR75" i="3"/>
  <c r="AQ75" i="3"/>
  <c r="AP75" i="3"/>
  <c r="AO75" i="3"/>
  <c r="AN75" i="3"/>
  <c r="AM75" i="3"/>
  <c r="AL75" i="3"/>
  <c r="B75" i="3"/>
  <c r="AR74" i="3"/>
  <c r="AQ74" i="3"/>
  <c r="AP74" i="3"/>
  <c r="AO74" i="3"/>
  <c r="AN74" i="3"/>
  <c r="AM74" i="3"/>
  <c r="AL74" i="3"/>
  <c r="B74" i="3"/>
  <c r="AR73" i="3"/>
  <c r="AQ73" i="3"/>
  <c r="AP73" i="3"/>
  <c r="AO73" i="3"/>
  <c r="AN73" i="3"/>
  <c r="AM73" i="3"/>
  <c r="AL73" i="3"/>
  <c r="B73" i="3"/>
  <c r="AR72" i="3"/>
  <c r="AQ72" i="3"/>
  <c r="AP72" i="3"/>
  <c r="AO72" i="3"/>
  <c r="AN72" i="3"/>
  <c r="AM72" i="3"/>
  <c r="AL72" i="3"/>
  <c r="B72" i="3"/>
  <c r="AR71" i="3"/>
  <c r="AQ71" i="3"/>
  <c r="AP71" i="3"/>
  <c r="AO71" i="3"/>
  <c r="AN71" i="3"/>
  <c r="AM71" i="3"/>
  <c r="AL71" i="3"/>
  <c r="B71" i="3"/>
  <c r="AR70" i="3"/>
  <c r="AQ70" i="3"/>
  <c r="AP70" i="3"/>
  <c r="AO70" i="3"/>
  <c r="AN70" i="3"/>
  <c r="AM70" i="3"/>
  <c r="AL70" i="3"/>
  <c r="B70" i="3"/>
  <c r="AR69" i="3"/>
  <c r="AQ69" i="3"/>
  <c r="AP69" i="3"/>
  <c r="AO69" i="3"/>
  <c r="AN69" i="3"/>
  <c r="AM69" i="3"/>
  <c r="AL69" i="3"/>
  <c r="B69" i="3"/>
  <c r="AR68" i="3"/>
  <c r="AQ68" i="3"/>
  <c r="AP68" i="3"/>
  <c r="AO68" i="3"/>
  <c r="AN68" i="3"/>
  <c r="AM68" i="3"/>
  <c r="AL68" i="3"/>
  <c r="B68" i="3"/>
  <c r="AR67" i="3"/>
  <c r="AQ67" i="3"/>
  <c r="AP67" i="3"/>
  <c r="AO67" i="3"/>
  <c r="AN67" i="3"/>
  <c r="AM67" i="3"/>
  <c r="AL67" i="3"/>
  <c r="B67" i="3"/>
  <c r="AR66" i="3"/>
  <c r="AQ66" i="3"/>
  <c r="AP66" i="3"/>
  <c r="AO66" i="3"/>
  <c r="AN66" i="3"/>
  <c r="AM66" i="3"/>
  <c r="AL66" i="3"/>
  <c r="B66" i="3"/>
  <c r="AR65" i="3"/>
  <c r="AQ65" i="3"/>
  <c r="AP65" i="3"/>
  <c r="AO65" i="3"/>
  <c r="AN65" i="3"/>
  <c r="AM65" i="3"/>
  <c r="AL65" i="3"/>
  <c r="B65" i="3"/>
  <c r="AR64" i="3"/>
  <c r="AQ64" i="3"/>
  <c r="AP64" i="3"/>
  <c r="AO64" i="3"/>
  <c r="AN64" i="3"/>
  <c r="AM64" i="3"/>
  <c r="AL64" i="3"/>
  <c r="B64" i="3"/>
  <c r="AR63" i="3"/>
  <c r="AQ63" i="3"/>
  <c r="AP63" i="3"/>
  <c r="AO63" i="3"/>
  <c r="AN63" i="3"/>
  <c r="AM63" i="3"/>
  <c r="AL63" i="3"/>
  <c r="B63" i="3"/>
  <c r="AR62" i="3"/>
  <c r="AQ62" i="3"/>
  <c r="AP62" i="3"/>
  <c r="AO62" i="3"/>
  <c r="AN62" i="3"/>
  <c r="AM62" i="3"/>
  <c r="AL62" i="3"/>
  <c r="B62" i="3"/>
  <c r="AR61" i="3"/>
  <c r="AQ61" i="3"/>
  <c r="AP61" i="3"/>
  <c r="AO61" i="3"/>
  <c r="AN61" i="3"/>
  <c r="AM61" i="3"/>
  <c r="AL61" i="3"/>
  <c r="B61" i="3"/>
  <c r="AR60" i="3"/>
  <c r="AQ60" i="3"/>
  <c r="AP60" i="3"/>
  <c r="AO60" i="3"/>
  <c r="AN60" i="3"/>
  <c r="AM60" i="3"/>
  <c r="AL60" i="3"/>
  <c r="B60" i="3"/>
  <c r="AR59" i="3"/>
  <c r="AQ59" i="3"/>
  <c r="AP59" i="3"/>
  <c r="AO59" i="3"/>
  <c r="AN59" i="3"/>
  <c r="AM59" i="3"/>
  <c r="AL59" i="3"/>
  <c r="B59" i="3"/>
  <c r="AR58" i="3"/>
  <c r="AQ58" i="3"/>
  <c r="AP58" i="3"/>
  <c r="AO58" i="3"/>
  <c r="AN58" i="3"/>
  <c r="AM58" i="3"/>
  <c r="AL58" i="3"/>
  <c r="B58" i="3"/>
  <c r="AR57" i="3"/>
  <c r="AQ57" i="3"/>
  <c r="AP57" i="3"/>
  <c r="AO57" i="3"/>
  <c r="AN57" i="3"/>
  <c r="AM57" i="3"/>
  <c r="AL57" i="3"/>
  <c r="B57" i="3"/>
  <c r="AR56" i="3"/>
  <c r="AQ56" i="3"/>
  <c r="AP56" i="3"/>
  <c r="AO56" i="3"/>
  <c r="AN56" i="3"/>
  <c r="AM56" i="3"/>
  <c r="AL56" i="3"/>
  <c r="B56" i="3"/>
  <c r="AR55" i="3"/>
  <c r="AQ55" i="3"/>
  <c r="AP55" i="3"/>
  <c r="AO55" i="3"/>
  <c r="AN55" i="3"/>
  <c r="AM55" i="3"/>
  <c r="AL55" i="3"/>
  <c r="B55" i="3"/>
  <c r="AR54" i="3"/>
  <c r="AQ54" i="3"/>
  <c r="AP54" i="3"/>
  <c r="AO54" i="3"/>
  <c r="AN54" i="3"/>
  <c r="AM54" i="3"/>
  <c r="AL54" i="3"/>
  <c r="B54" i="3"/>
  <c r="AR53" i="3"/>
  <c r="AQ53" i="3"/>
  <c r="AP53" i="3"/>
  <c r="AO53" i="3"/>
  <c r="AN53" i="3"/>
  <c r="AM53" i="3"/>
  <c r="AL53" i="3"/>
  <c r="B53" i="3"/>
  <c r="AR52" i="3"/>
  <c r="AQ52" i="3"/>
  <c r="AP52" i="3"/>
  <c r="AO52" i="3"/>
  <c r="AN52" i="3"/>
  <c r="AM52" i="3"/>
  <c r="AL52" i="3"/>
  <c r="B52" i="3"/>
  <c r="AR51" i="3"/>
  <c r="AQ51" i="3"/>
  <c r="AP51" i="3"/>
  <c r="AO51" i="3"/>
  <c r="AN51" i="3"/>
  <c r="AM51" i="3"/>
  <c r="AL51" i="3"/>
  <c r="B51" i="3"/>
  <c r="AR50" i="3"/>
  <c r="AQ50" i="3"/>
  <c r="AP50" i="3"/>
  <c r="AO50" i="3"/>
  <c r="AN50" i="3"/>
  <c r="AM50" i="3"/>
  <c r="AL50" i="3"/>
  <c r="B50" i="3"/>
  <c r="AR49" i="3"/>
  <c r="AQ49" i="3"/>
  <c r="AP49" i="3"/>
  <c r="AO49" i="3"/>
  <c r="AN49" i="3"/>
  <c r="AM49" i="3"/>
  <c r="AL49" i="3"/>
  <c r="B49" i="3"/>
  <c r="AR48" i="3"/>
  <c r="AQ48" i="3"/>
  <c r="AP48" i="3"/>
  <c r="AO48" i="3"/>
  <c r="AN48" i="3"/>
  <c r="AM48" i="3"/>
  <c r="AL48" i="3"/>
  <c r="B48" i="3"/>
  <c r="AR47" i="3"/>
  <c r="AQ47" i="3"/>
  <c r="AP47" i="3"/>
  <c r="AO47" i="3"/>
  <c r="AN47" i="3"/>
  <c r="AM47" i="3"/>
  <c r="AL47" i="3"/>
  <c r="B47" i="3"/>
  <c r="AR46" i="3"/>
  <c r="AQ46" i="3"/>
  <c r="AP46" i="3"/>
  <c r="AO46" i="3"/>
  <c r="AN46" i="3"/>
  <c r="AM46" i="3"/>
  <c r="AL46" i="3"/>
  <c r="B46" i="3"/>
  <c r="AR45" i="3"/>
  <c r="AQ45" i="3"/>
  <c r="AP45" i="3"/>
  <c r="AO45" i="3"/>
  <c r="AN45" i="3"/>
  <c r="AM45" i="3"/>
  <c r="AL45" i="3"/>
  <c r="B45" i="3"/>
  <c r="AR44" i="3"/>
  <c r="AQ44" i="3"/>
  <c r="AP44" i="3"/>
  <c r="AO44" i="3"/>
  <c r="AN44" i="3"/>
  <c r="AM44" i="3"/>
  <c r="AL44" i="3"/>
  <c r="B44" i="3"/>
  <c r="AR43" i="3"/>
  <c r="AQ43" i="3"/>
  <c r="AP43" i="3"/>
  <c r="AO43" i="3"/>
  <c r="AN43" i="3"/>
  <c r="AM43" i="3"/>
  <c r="AL43" i="3"/>
  <c r="B43" i="3"/>
  <c r="AR42" i="3"/>
  <c r="AQ42" i="3"/>
  <c r="AP42" i="3"/>
  <c r="AO42" i="3"/>
  <c r="AN42" i="3"/>
  <c r="AM42" i="3"/>
  <c r="AL42" i="3"/>
  <c r="B42" i="3"/>
  <c r="AR41" i="3"/>
  <c r="AQ41" i="3"/>
  <c r="AP41" i="3"/>
  <c r="AO41" i="3"/>
  <c r="AN41" i="3"/>
  <c r="AM41" i="3"/>
  <c r="AL41" i="3"/>
  <c r="B41" i="3"/>
  <c r="AR40" i="3"/>
  <c r="AQ40" i="3"/>
  <c r="AP40" i="3"/>
  <c r="AO40" i="3"/>
  <c r="AN40" i="3"/>
  <c r="AM40" i="3"/>
  <c r="AL40" i="3"/>
  <c r="B40" i="3"/>
  <c r="AR39" i="3"/>
  <c r="AQ39" i="3"/>
  <c r="AP39" i="3"/>
  <c r="AO39" i="3"/>
  <c r="AN39" i="3"/>
  <c r="AM39" i="3"/>
  <c r="AL39" i="3"/>
  <c r="B39" i="3"/>
  <c r="AR38" i="3"/>
  <c r="AQ38" i="3"/>
  <c r="AP38" i="3"/>
  <c r="AO38" i="3"/>
  <c r="AN38" i="3"/>
  <c r="AM38" i="3"/>
  <c r="AL38" i="3"/>
  <c r="B38" i="3"/>
  <c r="AR37" i="3"/>
  <c r="AQ37" i="3"/>
  <c r="AP37" i="3"/>
  <c r="AO37" i="3"/>
  <c r="AN37" i="3"/>
  <c r="AM37" i="3"/>
  <c r="AL37" i="3"/>
  <c r="B37" i="3"/>
  <c r="AR36" i="3"/>
  <c r="AQ36" i="3"/>
  <c r="AP36" i="3"/>
  <c r="AO36" i="3"/>
  <c r="AN36" i="3"/>
  <c r="AM36" i="3"/>
  <c r="AL36" i="3"/>
  <c r="B36" i="3"/>
  <c r="AR35" i="3"/>
  <c r="AQ35" i="3"/>
  <c r="AP35" i="3"/>
  <c r="AO35" i="3"/>
  <c r="AN35" i="3"/>
  <c r="AM35" i="3"/>
  <c r="AL35" i="3"/>
  <c r="B35" i="3"/>
  <c r="AR34" i="3"/>
  <c r="AQ34" i="3"/>
  <c r="AP34" i="3"/>
  <c r="AO34" i="3"/>
  <c r="AN34" i="3"/>
  <c r="AM34" i="3"/>
  <c r="AL34" i="3"/>
  <c r="B34" i="3"/>
  <c r="AR33" i="3"/>
  <c r="AQ33" i="3"/>
  <c r="AP33" i="3"/>
  <c r="AO33" i="3"/>
  <c r="AN33" i="3"/>
  <c r="AM33" i="3"/>
  <c r="AL33" i="3"/>
  <c r="B33" i="3"/>
  <c r="AR32" i="3"/>
  <c r="AQ32" i="3"/>
  <c r="AP32" i="3"/>
  <c r="AO32" i="3"/>
  <c r="AN32" i="3"/>
  <c r="AM32" i="3"/>
  <c r="AL32" i="3"/>
  <c r="B32" i="3"/>
  <c r="AR31" i="3"/>
  <c r="AQ31" i="3"/>
  <c r="AP31" i="3"/>
  <c r="AO31" i="3"/>
  <c r="AN31" i="3"/>
  <c r="AM31" i="3"/>
  <c r="AL31" i="3"/>
  <c r="B31" i="3"/>
  <c r="AR30" i="3"/>
  <c r="AQ30" i="3"/>
  <c r="AP30" i="3"/>
  <c r="AO30" i="3"/>
  <c r="AN30" i="3"/>
  <c r="AM30" i="3"/>
  <c r="AL30" i="3"/>
  <c r="B30" i="3"/>
  <c r="AR29" i="3"/>
  <c r="AQ29" i="3"/>
  <c r="AP29" i="3"/>
  <c r="AO29" i="3"/>
  <c r="AN29" i="3"/>
  <c r="AM29" i="3"/>
  <c r="AL29" i="3"/>
  <c r="B29" i="3"/>
  <c r="AR28" i="3"/>
  <c r="AQ28" i="3"/>
  <c r="AP28" i="3"/>
  <c r="AO28" i="3"/>
  <c r="AN28" i="3"/>
  <c r="AM28" i="3"/>
  <c r="AL28" i="3"/>
  <c r="B28" i="3"/>
  <c r="AR27" i="3"/>
  <c r="AQ27" i="3"/>
  <c r="AP27" i="3"/>
  <c r="AO27" i="3"/>
  <c r="AN27" i="3"/>
  <c r="AM27" i="3"/>
  <c r="AL27" i="3"/>
  <c r="B27" i="3"/>
  <c r="AR26" i="3"/>
  <c r="AQ26" i="3"/>
  <c r="AP26" i="3"/>
  <c r="AO26" i="3"/>
  <c r="AN26" i="3"/>
  <c r="AM26" i="3"/>
  <c r="AL26" i="3"/>
  <c r="B26" i="3"/>
  <c r="AR25" i="3"/>
  <c r="AQ25" i="3"/>
  <c r="AP25" i="3"/>
  <c r="AO25" i="3"/>
  <c r="AN25" i="3"/>
  <c r="AM25" i="3"/>
  <c r="AL25" i="3"/>
  <c r="B25" i="3"/>
  <c r="AR24" i="3"/>
  <c r="AQ24" i="3"/>
  <c r="AP24" i="3"/>
  <c r="AO24" i="3"/>
  <c r="AN24" i="3"/>
  <c r="AM24" i="3"/>
  <c r="AL24" i="3"/>
  <c r="B24" i="3"/>
  <c r="AR23" i="3"/>
  <c r="AQ23" i="3"/>
  <c r="AP23" i="3"/>
  <c r="AO23" i="3"/>
  <c r="AN23" i="3"/>
  <c r="AM23" i="3"/>
  <c r="AL23" i="3"/>
  <c r="B23" i="3"/>
  <c r="AR22" i="3"/>
  <c r="AQ22" i="3"/>
  <c r="AP22" i="3"/>
  <c r="AO22" i="3"/>
  <c r="AN22" i="3"/>
  <c r="AM22" i="3"/>
  <c r="AL22" i="3"/>
  <c r="B22" i="3"/>
  <c r="AR21" i="3"/>
  <c r="AQ21" i="3"/>
  <c r="AP21" i="3"/>
  <c r="AO21" i="3"/>
  <c r="AN21" i="3"/>
  <c r="AM21" i="3"/>
  <c r="AL21" i="3"/>
  <c r="B21" i="3"/>
  <c r="AR20" i="3"/>
  <c r="AQ20" i="3"/>
  <c r="AP20" i="3"/>
  <c r="AO20" i="3"/>
  <c r="AN20" i="3"/>
  <c r="AM20" i="3"/>
  <c r="AL20" i="3"/>
  <c r="B20" i="3"/>
  <c r="AR19" i="3"/>
  <c r="AQ19" i="3"/>
  <c r="AP19" i="3"/>
  <c r="AO19" i="3"/>
  <c r="AN19" i="3"/>
  <c r="AM19" i="3"/>
  <c r="AL19" i="3"/>
  <c r="B19" i="3"/>
  <c r="AR18" i="3"/>
  <c r="AQ18" i="3"/>
  <c r="AP18" i="3"/>
  <c r="AO18" i="3"/>
  <c r="AN18" i="3"/>
  <c r="AM18" i="3"/>
  <c r="AL18" i="3"/>
  <c r="B18" i="3"/>
  <c r="AR17" i="3"/>
  <c r="AQ17" i="3"/>
  <c r="AP17" i="3"/>
  <c r="AO17" i="3"/>
  <c r="AN17" i="3"/>
  <c r="AM17" i="3"/>
  <c r="AL17" i="3"/>
  <c r="B17" i="3"/>
  <c r="AR16" i="3"/>
  <c r="AQ16" i="3"/>
  <c r="AP16" i="3"/>
  <c r="AO16" i="3"/>
  <c r="AN16" i="3"/>
  <c r="AM16" i="3"/>
  <c r="AL16" i="3"/>
  <c r="B16" i="3"/>
  <c r="AR15" i="3"/>
  <c r="AQ15" i="3"/>
  <c r="AP15" i="3"/>
  <c r="AO15" i="3"/>
  <c r="AN15" i="3"/>
  <c r="AM15" i="3"/>
  <c r="AL15" i="3"/>
  <c r="B15" i="3"/>
  <c r="AR14" i="3"/>
  <c r="AQ14" i="3"/>
  <c r="AP14" i="3"/>
  <c r="AO14" i="3"/>
  <c r="AN14" i="3"/>
  <c r="AM14" i="3"/>
  <c r="AL14" i="3"/>
  <c r="B14" i="3"/>
  <c r="AR13" i="3"/>
  <c r="AQ13" i="3"/>
  <c r="AP13" i="3"/>
  <c r="AO13" i="3"/>
  <c r="AN13" i="3"/>
  <c r="AM13" i="3"/>
  <c r="AL13" i="3"/>
  <c r="B13" i="3"/>
  <c r="AR12" i="3"/>
  <c r="AQ12" i="3"/>
  <c r="AP12" i="3"/>
  <c r="AO12" i="3"/>
  <c r="AN12" i="3"/>
  <c r="AM12" i="3"/>
  <c r="AL12" i="3"/>
  <c r="B12" i="3"/>
  <c r="BP11" i="3"/>
  <c r="BH11" i="3"/>
  <c r="AR11" i="3"/>
  <c r="AQ11" i="3"/>
  <c r="AP11" i="3"/>
  <c r="AO11" i="3"/>
  <c r="AN11" i="3"/>
  <c r="AM11" i="3"/>
  <c r="AL11" i="3"/>
  <c r="B11" i="3"/>
  <c r="I8" i="3"/>
  <c r="G5" i="3"/>
  <c r="E5" i="3"/>
  <c r="B5" i="3"/>
  <c r="BA4010" i="2"/>
  <c r="AZ4010" i="2"/>
  <c r="AY4010" i="2"/>
  <c r="BA4009" i="2"/>
  <c r="AZ4009" i="2"/>
  <c r="AY4009" i="2"/>
  <c r="BA4008" i="2"/>
  <c r="AZ4008" i="2"/>
  <c r="AY4008" i="2"/>
  <c r="BA4007" i="2"/>
  <c r="AZ4007" i="2"/>
  <c r="AY4007" i="2"/>
  <c r="BA4006" i="2"/>
  <c r="AZ4006" i="2"/>
  <c r="AY4006" i="2"/>
  <c r="BA4005" i="2"/>
  <c r="AZ4005" i="2"/>
  <c r="AY4005" i="2"/>
  <c r="BA4004" i="2"/>
  <c r="AZ4004" i="2"/>
  <c r="AY4004" i="2"/>
  <c r="BA4003" i="2"/>
  <c r="AZ4003" i="2"/>
  <c r="AY4003" i="2"/>
  <c r="BA4002" i="2"/>
  <c r="AZ4002" i="2"/>
  <c r="AY4002" i="2"/>
  <c r="BA4001" i="2"/>
  <c r="AZ4001" i="2"/>
  <c r="AY4001" i="2"/>
  <c r="BA4000" i="2"/>
  <c r="AZ4000" i="2"/>
  <c r="AY4000" i="2"/>
  <c r="BA3999" i="2"/>
  <c r="AZ3999" i="2"/>
  <c r="AY3999" i="2"/>
  <c r="BA3998" i="2"/>
  <c r="AZ3998" i="2"/>
  <c r="AY3998" i="2"/>
  <c r="BA3997" i="2"/>
  <c r="AZ3997" i="2"/>
  <c r="AY3997" i="2"/>
  <c r="BA3996" i="2"/>
  <c r="AZ3996" i="2"/>
  <c r="AY3996" i="2"/>
  <c r="BA3995" i="2"/>
  <c r="AZ3995" i="2"/>
  <c r="AY3995" i="2"/>
  <c r="BA3994" i="2"/>
  <c r="AZ3994" i="2"/>
  <c r="AY3994" i="2"/>
  <c r="BA3993" i="2"/>
  <c r="AZ3993" i="2"/>
  <c r="AY3993" i="2"/>
  <c r="BA3992" i="2"/>
  <c r="AZ3992" i="2"/>
  <c r="AY3992" i="2"/>
  <c r="BA3991" i="2"/>
  <c r="AZ3991" i="2"/>
  <c r="AY3991" i="2"/>
  <c r="BA3990" i="2"/>
  <c r="AZ3990" i="2"/>
  <c r="AY3990" i="2"/>
  <c r="BA3989" i="2"/>
  <c r="AZ3989" i="2"/>
  <c r="AY3989" i="2"/>
  <c r="BA3988" i="2"/>
  <c r="AZ3988" i="2"/>
  <c r="AY3988" i="2"/>
  <c r="BA3987" i="2"/>
  <c r="AZ3987" i="2"/>
  <c r="AY3987" i="2"/>
  <c r="BA3986" i="2"/>
  <c r="AZ3986" i="2"/>
  <c r="AY3986" i="2"/>
  <c r="BA3985" i="2"/>
  <c r="AZ3985" i="2"/>
  <c r="AY3985" i="2"/>
  <c r="BA3984" i="2"/>
  <c r="AZ3984" i="2"/>
  <c r="AY3984" i="2"/>
  <c r="BA3983" i="2"/>
  <c r="AZ3983" i="2"/>
  <c r="AY3983" i="2"/>
  <c r="BA3982" i="2"/>
  <c r="AZ3982" i="2"/>
  <c r="AY3982" i="2"/>
  <c r="BA3981" i="2"/>
  <c r="AZ3981" i="2"/>
  <c r="AY3981" i="2"/>
  <c r="BA3980" i="2"/>
  <c r="AZ3980" i="2"/>
  <c r="AY3980" i="2"/>
  <c r="BA3979" i="2"/>
  <c r="AZ3979" i="2"/>
  <c r="AY3979" i="2"/>
  <c r="BA3978" i="2"/>
  <c r="AZ3978" i="2"/>
  <c r="AY3978" i="2"/>
  <c r="BA3977" i="2"/>
  <c r="AZ3977" i="2"/>
  <c r="AY3977" i="2"/>
  <c r="BA3976" i="2"/>
  <c r="AZ3976" i="2"/>
  <c r="AY3976" i="2"/>
  <c r="BA3975" i="2"/>
  <c r="AZ3975" i="2"/>
  <c r="AY3975" i="2"/>
  <c r="BA3974" i="2"/>
  <c r="AZ3974" i="2"/>
  <c r="AY3974" i="2"/>
  <c r="BA3973" i="2"/>
  <c r="AZ3973" i="2"/>
  <c r="AY3973" i="2"/>
  <c r="BA3972" i="2"/>
  <c r="AZ3972" i="2"/>
  <c r="AY3972" i="2"/>
  <c r="BA3971" i="2"/>
  <c r="AZ3971" i="2"/>
  <c r="AY3971" i="2"/>
  <c r="BA3970" i="2"/>
  <c r="AZ3970" i="2"/>
  <c r="AY3970" i="2"/>
  <c r="BA3969" i="2"/>
  <c r="AZ3969" i="2"/>
  <c r="AY3969" i="2"/>
  <c r="BA3968" i="2"/>
  <c r="AZ3968" i="2"/>
  <c r="AY3968" i="2"/>
  <c r="BA3967" i="2"/>
  <c r="AZ3967" i="2"/>
  <c r="AY3967" i="2"/>
  <c r="BA3966" i="2"/>
  <c r="AZ3966" i="2"/>
  <c r="AY3966" i="2"/>
  <c r="BA3965" i="2"/>
  <c r="AZ3965" i="2"/>
  <c r="AY3965" i="2"/>
  <c r="BA3964" i="2"/>
  <c r="AZ3964" i="2"/>
  <c r="AY3964" i="2"/>
  <c r="BA3963" i="2"/>
  <c r="AZ3963" i="2"/>
  <c r="AY3963" i="2"/>
  <c r="BA3962" i="2"/>
  <c r="AZ3962" i="2"/>
  <c r="AY3962" i="2"/>
  <c r="BA3961" i="2"/>
  <c r="AZ3961" i="2"/>
  <c r="AY3961" i="2"/>
  <c r="BA3960" i="2"/>
  <c r="AZ3960" i="2"/>
  <c r="AY3960" i="2"/>
  <c r="BA3959" i="2"/>
  <c r="AZ3959" i="2"/>
  <c r="AY3959" i="2"/>
  <c r="BA3958" i="2"/>
  <c r="AZ3958" i="2"/>
  <c r="AY3958" i="2"/>
  <c r="BA3957" i="2"/>
  <c r="AZ3957" i="2"/>
  <c r="AY3957" i="2"/>
  <c r="BA3956" i="2"/>
  <c r="AZ3956" i="2"/>
  <c r="AY3956" i="2"/>
  <c r="BA3955" i="2"/>
  <c r="AZ3955" i="2"/>
  <c r="AY3955" i="2"/>
  <c r="BA3954" i="2"/>
  <c r="AZ3954" i="2"/>
  <c r="AY3954" i="2"/>
  <c r="BA3953" i="2"/>
  <c r="AZ3953" i="2"/>
  <c r="AY3953" i="2"/>
  <c r="BA3952" i="2"/>
  <c r="AZ3952" i="2"/>
  <c r="AY3952" i="2"/>
  <c r="BA3951" i="2"/>
  <c r="AZ3951" i="2"/>
  <c r="AY3951" i="2"/>
  <c r="BA3950" i="2"/>
  <c r="AZ3950" i="2"/>
  <c r="AY3950" i="2"/>
  <c r="BA3949" i="2"/>
  <c r="AZ3949" i="2"/>
  <c r="AY3949" i="2"/>
  <c r="BA3948" i="2"/>
  <c r="AZ3948" i="2"/>
  <c r="AY3948" i="2"/>
  <c r="BA3947" i="2"/>
  <c r="AZ3947" i="2"/>
  <c r="AY3947" i="2"/>
  <c r="BA3946" i="2"/>
  <c r="AZ3946" i="2"/>
  <c r="AY3946" i="2"/>
  <c r="BA3945" i="2"/>
  <c r="AZ3945" i="2"/>
  <c r="AY3945" i="2"/>
  <c r="BA3944" i="2"/>
  <c r="AZ3944" i="2"/>
  <c r="AY3944" i="2"/>
  <c r="BA3943" i="2"/>
  <c r="AZ3943" i="2"/>
  <c r="AY3943" i="2"/>
  <c r="BA3942" i="2"/>
  <c r="AZ3942" i="2"/>
  <c r="AY3942" i="2"/>
  <c r="BA3941" i="2"/>
  <c r="AZ3941" i="2"/>
  <c r="AY3941" i="2"/>
  <c r="BA3940" i="2"/>
  <c r="AZ3940" i="2"/>
  <c r="AY3940" i="2"/>
  <c r="BA3939" i="2"/>
  <c r="AZ3939" i="2"/>
  <c r="AY3939" i="2"/>
  <c r="BA3938" i="2"/>
  <c r="AZ3938" i="2"/>
  <c r="AY3938" i="2"/>
  <c r="BA3937" i="2"/>
  <c r="AZ3937" i="2"/>
  <c r="AY3937" i="2"/>
  <c r="BA3936" i="2"/>
  <c r="AZ3936" i="2"/>
  <c r="AY3936" i="2"/>
  <c r="BA3935" i="2"/>
  <c r="AZ3935" i="2"/>
  <c r="AY3935" i="2"/>
  <c r="BA3934" i="2"/>
  <c r="AZ3934" i="2"/>
  <c r="AY3934" i="2"/>
  <c r="BA3933" i="2"/>
  <c r="AZ3933" i="2"/>
  <c r="AY3933" i="2"/>
  <c r="BA3932" i="2"/>
  <c r="AZ3932" i="2"/>
  <c r="AY3932" i="2"/>
  <c r="BA3931" i="2"/>
  <c r="AZ3931" i="2"/>
  <c r="AY3931" i="2"/>
  <c r="BA3930" i="2"/>
  <c r="AZ3930" i="2"/>
  <c r="AY3930" i="2"/>
  <c r="BA3929" i="2"/>
  <c r="AZ3929" i="2"/>
  <c r="AY3929" i="2"/>
  <c r="BA3928" i="2"/>
  <c r="AZ3928" i="2"/>
  <c r="AY3928" i="2"/>
  <c r="BA3927" i="2"/>
  <c r="AZ3927" i="2"/>
  <c r="AY3927" i="2"/>
  <c r="BA3926" i="2"/>
  <c r="AZ3926" i="2"/>
  <c r="AY3926" i="2"/>
  <c r="BA3925" i="2"/>
  <c r="AZ3925" i="2"/>
  <c r="AY3925" i="2"/>
  <c r="BA3924" i="2"/>
  <c r="AZ3924" i="2"/>
  <c r="AY3924" i="2"/>
  <c r="BA3923" i="2"/>
  <c r="AZ3923" i="2"/>
  <c r="AY3923" i="2"/>
  <c r="BA3922" i="2"/>
  <c r="AZ3922" i="2"/>
  <c r="AY3922" i="2"/>
  <c r="BA3921" i="2"/>
  <c r="AZ3921" i="2"/>
  <c r="AY3921" i="2"/>
  <c r="BA3920" i="2"/>
  <c r="AZ3920" i="2"/>
  <c r="AY3920" i="2"/>
  <c r="BA3919" i="2"/>
  <c r="AZ3919" i="2"/>
  <c r="AY3919" i="2"/>
  <c r="BA3918" i="2"/>
  <c r="AZ3918" i="2"/>
  <c r="AY3918" i="2"/>
  <c r="BA3917" i="2"/>
  <c r="AZ3917" i="2"/>
  <c r="AY3917" i="2"/>
  <c r="BA3916" i="2"/>
  <c r="AZ3916" i="2"/>
  <c r="AY3916" i="2"/>
  <c r="BA3915" i="2"/>
  <c r="AZ3915" i="2"/>
  <c r="AY3915" i="2"/>
  <c r="BA3914" i="2"/>
  <c r="AZ3914" i="2"/>
  <c r="AY3914" i="2"/>
  <c r="BA3913" i="2"/>
  <c r="AZ3913" i="2"/>
  <c r="AY3913" i="2"/>
  <c r="BA3912" i="2"/>
  <c r="AZ3912" i="2"/>
  <c r="AY3912" i="2"/>
  <c r="BA3911" i="2"/>
  <c r="AZ3911" i="2"/>
  <c r="AY3911" i="2"/>
  <c r="BA3910" i="2"/>
  <c r="AZ3910" i="2"/>
  <c r="AY3910" i="2"/>
  <c r="BA3909" i="2"/>
  <c r="AZ3909" i="2"/>
  <c r="AY3909" i="2"/>
  <c r="BA3908" i="2"/>
  <c r="AZ3908" i="2"/>
  <c r="AY3908" i="2"/>
  <c r="BA3907" i="2"/>
  <c r="AZ3907" i="2"/>
  <c r="AY3907" i="2"/>
  <c r="BA3906" i="2"/>
  <c r="AZ3906" i="2"/>
  <c r="AY3906" i="2"/>
  <c r="BA3905" i="2"/>
  <c r="AZ3905" i="2"/>
  <c r="AY3905" i="2"/>
  <c r="BA3904" i="2"/>
  <c r="AZ3904" i="2"/>
  <c r="AY3904" i="2"/>
  <c r="BA3903" i="2"/>
  <c r="AZ3903" i="2"/>
  <c r="AY3903" i="2"/>
  <c r="BA3902" i="2"/>
  <c r="AZ3902" i="2"/>
  <c r="AY3902" i="2"/>
  <c r="BA3901" i="2"/>
  <c r="AZ3901" i="2"/>
  <c r="AY3901" i="2"/>
  <c r="BA3900" i="2"/>
  <c r="AZ3900" i="2"/>
  <c r="AY3900" i="2"/>
  <c r="BA3899" i="2"/>
  <c r="AZ3899" i="2"/>
  <c r="AY3899" i="2"/>
  <c r="BA3898" i="2"/>
  <c r="AZ3898" i="2"/>
  <c r="AY3898" i="2"/>
  <c r="BA3897" i="2"/>
  <c r="AZ3897" i="2"/>
  <c r="AY3897" i="2"/>
  <c r="BA3896" i="2"/>
  <c r="AZ3896" i="2"/>
  <c r="AY3896" i="2"/>
  <c r="BA3895" i="2"/>
  <c r="AZ3895" i="2"/>
  <c r="AY3895" i="2"/>
  <c r="BA3894" i="2"/>
  <c r="AZ3894" i="2"/>
  <c r="AY3894" i="2"/>
  <c r="BA3893" i="2"/>
  <c r="AZ3893" i="2"/>
  <c r="AY3893" i="2"/>
  <c r="BA3892" i="2"/>
  <c r="AZ3892" i="2"/>
  <c r="AY3892" i="2"/>
  <c r="BA3891" i="2"/>
  <c r="AZ3891" i="2"/>
  <c r="AY3891" i="2"/>
  <c r="BA3890" i="2"/>
  <c r="AZ3890" i="2"/>
  <c r="AY3890" i="2"/>
  <c r="BA3889" i="2"/>
  <c r="AZ3889" i="2"/>
  <c r="AY3889" i="2"/>
  <c r="BA3888" i="2"/>
  <c r="AZ3888" i="2"/>
  <c r="AY3888" i="2"/>
  <c r="BA3887" i="2"/>
  <c r="AZ3887" i="2"/>
  <c r="AY3887" i="2"/>
  <c r="BA3886" i="2"/>
  <c r="AZ3886" i="2"/>
  <c r="AY3886" i="2"/>
  <c r="BA3885" i="2"/>
  <c r="AZ3885" i="2"/>
  <c r="AY3885" i="2"/>
  <c r="BA3884" i="2"/>
  <c r="AZ3884" i="2"/>
  <c r="AY3884" i="2"/>
  <c r="BA3883" i="2"/>
  <c r="AZ3883" i="2"/>
  <c r="AY3883" i="2"/>
  <c r="BA3882" i="2"/>
  <c r="AZ3882" i="2"/>
  <c r="AY3882" i="2"/>
  <c r="BA3881" i="2"/>
  <c r="AZ3881" i="2"/>
  <c r="AY3881" i="2"/>
  <c r="BA3880" i="2"/>
  <c r="AZ3880" i="2"/>
  <c r="AY3880" i="2"/>
  <c r="BA3879" i="2"/>
  <c r="AZ3879" i="2"/>
  <c r="AY3879" i="2"/>
  <c r="BA3878" i="2"/>
  <c r="AZ3878" i="2"/>
  <c r="AY3878" i="2"/>
  <c r="BA3877" i="2"/>
  <c r="AZ3877" i="2"/>
  <c r="AY3877" i="2"/>
  <c r="BA3876" i="2"/>
  <c r="AZ3876" i="2"/>
  <c r="AY3876" i="2"/>
  <c r="BA3875" i="2"/>
  <c r="AZ3875" i="2"/>
  <c r="AY3875" i="2"/>
  <c r="BA3874" i="2"/>
  <c r="AZ3874" i="2"/>
  <c r="AY3874" i="2"/>
  <c r="BA3873" i="2"/>
  <c r="AZ3873" i="2"/>
  <c r="AY3873" i="2"/>
  <c r="BA3872" i="2"/>
  <c r="AZ3872" i="2"/>
  <c r="AY3872" i="2"/>
  <c r="BA3871" i="2"/>
  <c r="AZ3871" i="2"/>
  <c r="AY3871" i="2"/>
  <c r="BA3870" i="2"/>
  <c r="AZ3870" i="2"/>
  <c r="AY3870" i="2"/>
  <c r="BA3869" i="2"/>
  <c r="AZ3869" i="2"/>
  <c r="AY3869" i="2"/>
  <c r="BA3868" i="2"/>
  <c r="AZ3868" i="2"/>
  <c r="AY3868" i="2"/>
  <c r="BA3867" i="2"/>
  <c r="AZ3867" i="2"/>
  <c r="AY3867" i="2"/>
  <c r="BA3866" i="2"/>
  <c r="AZ3866" i="2"/>
  <c r="AY3866" i="2"/>
  <c r="BA3865" i="2"/>
  <c r="AZ3865" i="2"/>
  <c r="AY3865" i="2"/>
  <c r="BA3864" i="2"/>
  <c r="AZ3864" i="2"/>
  <c r="AY3864" i="2"/>
  <c r="BA3863" i="2"/>
  <c r="AZ3863" i="2"/>
  <c r="AY3863" i="2"/>
  <c r="BA3862" i="2"/>
  <c r="AZ3862" i="2"/>
  <c r="AY3862" i="2"/>
  <c r="BA3861" i="2"/>
  <c r="AZ3861" i="2"/>
  <c r="AY3861" i="2"/>
  <c r="BA3860" i="2"/>
  <c r="AZ3860" i="2"/>
  <c r="AY3860" i="2"/>
  <c r="BA3859" i="2"/>
  <c r="AZ3859" i="2"/>
  <c r="AY3859" i="2"/>
  <c r="BA3858" i="2"/>
  <c r="AZ3858" i="2"/>
  <c r="AY3858" i="2"/>
  <c r="BA3857" i="2"/>
  <c r="AZ3857" i="2"/>
  <c r="AY3857" i="2"/>
  <c r="BA3856" i="2"/>
  <c r="AZ3856" i="2"/>
  <c r="AY3856" i="2"/>
  <c r="BA3855" i="2"/>
  <c r="AZ3855" i="2"/>
  <c r="AY3855" i="2"/>
  <c r="BA3854" i="2"/>
  <c r="AZ3854" i="2"/>
  <c r="AY3854" i="2"/>
  <c r="BA3853" i="2"/>
  <c r="AZ3853" i="2"/>
  <c r="AY3853" i="2"/>
  <c r="BA3852" i="2"/>
  <c r="AZ3852" i="2"/>
  <c r="AY3852" i="2"/>
  <c r="BA3851" i="2"/>
  <c r="AZ3851" i="2"/>
  <c r="AY3851" i="2"/>
  <c r="BA3850" i="2"/>
  <c r="AZ3850" i="2"/>
  <c r="AY3850" i="2"/>
  <c r="BA3849" i="2"/>
  <c r="AZ3849" i="2"/>
  <c r="AY3849" i="2"/>
  <c r="BA3848" i="2"/>
  <c r="AZ3848" i="2"/>
  <c r="AY3848" i="2"/>
  <c r="BA3847" i="2"/>
  <c r="AZ3847" i="2"/>
  <c r="AY3847" i="2"/>
  <c r="BA3846" i="2"/>
  <c r="AZ3846" i="2"/>
  <c r="AY3846" i="2"/>
  <c r="BA3845" i="2"/>
  <c r="AZ3845" i="2"/>
  <c r="AY3845" i="2"/>
  <c r="BA3844" i="2"/>
  <c r="AZ3844" i="2"/>
  <c r="AY3844" i="2"/>
  <c r="BA3843" i="2"/>
  <c r="AZ3843" i="2"/>
  <c r="AY3843" i="2"/>
  <c r="BA3842" i="2"/>
  <c r="AZ3842" i="2"/>
  <c r="AY3842" i="2"/>
  <c r="BA3841" i="2"/>
  <c r="AZ3841" i="2"/>
  <c r="AY3841" i="2"/>
  <c r="BA3840" i="2"/>
  <c r="AZ3840" i="2"/>
  <c r="AY3840" i="2"/>
  <c r="BA3839" i="2"/>
  <c r="AZ3839" i="2"/>
  <c r="AY3839" i="2"/>
  <c r="BA3838" i="2"/>
  <c r="AZ3838" i="2"/>
  <c r="AY3838" i="2"/>
  <c r="BA3837" i="2"/>
  <c r="AZ3837" i="2"/>
  <c r="AY3837" i="2"/>
  <c r="BA3836" i="2"/>
  <c r="AZ3836" i="2"/>
  <c r="AY3836" i="2"/>
  <c r="BA3835" i="2"/>
  <c r="AZ3835" i="2"/>
  <c r="AY3835" i="2"/>
  <c r="BA3834" i="2"/>
  <c r="AZ3834" i="2"/>
  <c r="AY3834" i="2"/>
  <c r="BA3833" i="2"/>
  <c r="AZ3833" i="2"/>
  <c r="AY3833" i="2"/>
  <c r="BA3832" i="2"/>
  <c r="AZ3832" i="2"/>
  <c r="AY3832" i="2"/>
  <c r="BA3831" i="2"/>
  <c r="AZ3831" i="2"/>
  <c r="AY3831" i="2"/>
  <c r="BA3830" i="2"/>
  <c r="AZ3830" i="2"/>
  <c r="AY3830" i="2"/>
  <c r="BA3829" i="2"/>
  <c r="AZ3829" i="2"/>
  <c r="AY3829" i="2"/>
  <c r="BA3828" i="2"/>
  <c r="AZ3828" i="2"/>
  <c r="AY3828" i="2"/>
  <c r="BA3827" i="2"/>
  <c r="AZ3827" i="2"/>
  <c r="AY3827" i="2"/>
  <c r="BA3826" i="2"/>
  <c r="AZ3826" i="2"/>
  <c r="AY3826" i="2"/>
  <c r="BA3825" i="2"/>
  <c r="AZ3825" i="2"/>
  <c r="AY3825" i="2"/>
  <c r="BA3824" i="2"/>
  <c r="AZ3824" i="2"/>
  <c r="AY3824" i="2"/>
  <c r="BA3823" i="2"/>
  <c r="AZ3823" i="2"/>
  <c r="AY3823" i="2"/>
  <c r="BA3822" i="2"/>
  <c r="AZ3822" i="2"/>
  <c r="AY3822" i="2"/>
  <c r="BA3821" i="2"/>
  <c r="AZ3821" i="2"/>
  <c r="AY3821" i="2"/>
  <c r="BA3820" i="2"/>
  <c r="AZ3820" i="2"/>
  <c r="AY3820" i="2"/>
  <c r="BA3819" i="2"/>
  <c r="AZ3819" i="2"/>
  <c r="AY3819" i="2"/>
  <c r="BA3818" i="2"/>
  <c r="AZ3818" i="2"/>
  <c r="AY3818" i="2"/>
  <c r="BA3817" i="2"/>
  <c r="AZ3817" i="2"/>
  <c r="AY3817" i="2"/>
  <c r="BA3816" i="2"/>
  <c r="AZ3816" i="2"/>
  <c r="AY3816" i="2"/>
  <c r="BA3815" i="2"/>
  <c r="AZ3815" i="2"/>
  <c r="AY3815" i="2"/>
  <c r="BA3814" i="2"/>
  <c r="AZ3814" i="2"/>
  <c r="AY3814" i="2"/>
  <c r="BA3813" i="2"/>
  <c r="AZ3813" i="2"/>
  <c r="AY3813" i="2"/>
  <c r="BA3812" i="2"/>
  <c r="AZ3812" i="2"/>
  <c r="AY3812" i="2"/>
  <c r="BA3811" i="2"/>
  <c r="AZ3811" i="2"/>
  <c r="AY3811" i="2"/>
  <c r="BA3810" i="2"/>
  <c r="AZ3810" i="2"/>
  <c r="AY3810" i="2"/>
  <c r="BA3809" i="2"/>
  <c r="AZ3809" i="2"/>
  <c r="AY3809" i="2"/>
  <c r="BA3808" i="2"/>
  <c r="AZ3808" i="2"/>
  <c r="AY3808" i="2"/>
  <c r="BA3807" i="2"/>
  <c r="AZ3807" i="2"/>
  <c r="AY3807" i="2"/>
  <c r="BA3806" i="2"/>
  <c r="AZ3806" i="2"/>
  <c r="AY3806" i="2"/>
  <c r="BA3805" i="2"/>
  <c r="AZ3805" i="2"/>
  <c r="AY3805" i="2"/>
  <c r="BA3804" i="2"/>
  <c r="AZ3804" i="2"/>
  <c r="AY3804" i="2"/>
  <c r="BA3803" i="2"/>
  <c r="AZ3803" i="2"/>
  <c r="AY3803" i="2"/>
  <c r="BA3802" i="2"/>
  <c r="AZ3802" i="2"/>
  <c r="AY3802" i="2"/>
  <c r="BA3801" i="2"/>
  <c r="AZ3801" i="2"/>
  <c r="AY3801" i="2"/>
  <c r="BA3800" i="2"/>
  <c r="AZ3800" i="2"/>
  <c r="AY3800" i="2"/>
  <c r="BA3799" i="2"/>
  <c r="AZ3799" i="2"/>
  <c r="AY3799" i="2"/>
  <c r="BA3798" i="2"/>
  <c r="AZ3798" i="2"/>
  <c r="AY3798" i="2"/>
  <c r="BA3797" i="2"/>
  <c r="AZ3797" i="2"/>
  <c r="AY3797" i="2"/>
  <c r="BA3796" i="2"/>
  <c r="AZ3796" i="2"/>
  <c r="AY3796" i="2"/>
  <c r="BA3795" i="2"/>
  <c r="AZ3795" i="2"/>
  <c r="AY3795" i="2"/>
  <c r="BA3794" i="2"/>
  <c r="AZ3794" i="2"/>
  <c r="AY3794" i="2"/>
  <c r="BA3793" i="2"/>
  <c r="AZ3793" i="2"/>
  <c r="AY3793" i="2"/>
  <c r="BA3792" i="2"/>
  <c r="AZ3792" i="2"/>
  <c r="AY3792" i="2"/>
  <c r="BA3791" i="2"/>
  <c r="AZ3791" i="2"/>
  <c r="AY3791" i="2"/>
  <c r="BA3790" i="2"/>
  <c r="AZ3790" i="2"/>
  <c r="AY3790" i="2"/>
  <c r="BA3789" i="2"/>
  <c r="AZ3789" i="2"/>
  <c r="AY3789" i="2"/>
  <c r="BA3788" i="2"/>
  <c r="AZ3788" i="2"/>
  <c r="AY3788" i="2"/>
  <c r="BA3787" i="2"/>
  <c r="AZ3787" i="2"/>
  <c r="AY3787" i="2"/>
  <c r="BA3786" i="2"/>
  <c r="AZ3786" i="2"/>
  <c r="AY3786" i="2"/>
  <c r="BA3785" i="2"/>
  <c r="AZ3785" i="2"/>
  <c r="AY3785" i="2"/>
  <c r="BA3784" i="2"/>
  <c r="AZ3784" i="2"/>
  <c r="AY3784" i="2"/>
  <c r="BA3783" i="2"/>
  <c r="AZ3783" i="2"/>
  <c r="AY3783" i="2"/>
  <c r="BA3782" i="2"/>
  <c r="AZ3782" i="2"/>
  <c r="AY3782" i="2"/>
  <c r="BA3781" i="2"/>
  <c r="AZ3781" i="2"/>
  <c r="AY3781" i="2"/>
  <c r="BA3780" i="2"/>
  <c r="AZ3780" i="2"/>
  <c r="AY3780" i="2"/>
  <c r="BA3779" i="2"/>
  <c r="AZ3779" i="2"/>
  <c r="AY3779" i="2"/>
  <c r="BA3778" i="2"/>
  <c r="AZ3778" i="2"/>
  <c r="AY3778" i="2"/>
  <c r="BA3777" i="2"/>
  <c r="AZ3777" i="2"/>
  <c r="AY3777" i="2"/>
  <c r="BA3776" i="2"/>
  <c r="AZ3776" i="2"/>
  <c r="AY3776" i="2"/>
  <c r="BA3775" i="2"/>
  <c r="AZ3775" i="2"/>
  <c r="AY3775" i="2"/>
  <c r="BA3774" i="2"/>
  <c r="AZ3774" i="2"/>
  <c r="AY3774" i="2"/>
  <c r="BA3773" i="2"/>
  <c r="AZ3773" i="2"/>
  <c r="AY3773" i="2"/>
  <c r="BA3772" i="2"/>
  <c r="AZ3772" i="2"/>
  <c r="AY3772" i="2"/>
  <c r="BA3771" i="2"/>
  <c r="AZ3771" i="2"/>
  <c r="AY3771" i="2"/>
  <c r="BA3770" i="2"/>
  <c r="AZ3770" i="2"/>
  <c r="AY3770" i="2"/>
  <c r="BA3769" i="2"/>
  <c r="AZ3769" i="2"/>
  <c r="AY3769" i="2"/>
  <c r="BA3768" i="2"/>
  <c r="AZ3768" i="2"/>
  <c r="AY3768" i="2"/>
  <c r="BA3767" i="2"/>
  <c r="AZ3767" i="2"/>
  <c r="AY3767" i="2"/>
  <c r="BA3766" i="2"/>
  <c r="AZ3766" i="2"/>
  <c r="AY3766" i="2"/>
  <c r="BA3765" i="2"/>
  <c r="AZ3765" i="2"/>
  <c r="AY3765" i="2"/>
  <c r="BA3764" i="2"/>
  <c r="AZ3764" i="2"/>
  <c r="AY3764" i="2"/>
  <c r="BA3763" i="2"/>
  <c r="AZ3763" i="2"/>
  <c r="AY3763" i="2"/>
  <c r="BA3762" i="2"/>
  <c r="AZ3762" i="2"/>
  <c r="AY3762" i="2"/>
  <c r="BA3761" i="2"/>
  <c r="AZ3761" i="2"/>
  <c r="AY3761" i="2"/>
  <c r="BA3760" i="2"/>
  <c r="AZ3760" i="2"/>
  <c r="AY3760" i="2"/>
  <c r="BA3759" i="2"/>
  <c r="AZ3759" i="2"/>
  <c r="AY3759" i="2"/>
  <c r="BA3758" i="2"/>
  <c r="AZ3758" i="2"/>
  <c r="AY3758" i="2"/>
  <c r="BA3757" i="2"/>
  <c r="AZ3757" i="2"/>
  <c r="AY3757" i="2"/>
  <c r="BA3756" i="2"/>
  <c r="AZ3756" i="2"/>
  <c r="AY3756" i="2"/>
  <c r="BA3755" i="2"/>
  <c r="AZ3755" i="2"/>
  <c r="AY3755" i="2"/>
  <c r="BA3754" i="2"/>
  <c r="AZ3754" i="2"/>
  <c r="AY3754" i="2"/>
  <c r="BA3753" i="2"/>
  <c r="AZ3753" i="2"/>
  <c r="AY3753" i="2"/>
  <c r="BA3752" i="2"/>
  <c r="AZ3752" i="2"/>
  <c r="AY3752" i="2"/>
  <c r="BA3751" i="2"/>
  <c r="AZ3751" i="2"/>
  <c r="AY3751" i="2"/>
  <c r="BA3750" i="2"/>
  <c r="AZ3750" i="2"/>
  <c r="AY3750" i="2"/>
  <c r="BA3749" i="2"/>
  <c r="AZ3749" i="2"/>
  <c r="AY3749" i="2"/>
  <c r="BA3748" i="2"/>
  <c r="AZ3748" i="2"/>
  <c r="AY3748" i="2"/>
  <c r="BA3747" i="2"/>
  <c r="AZ3747" i="2"/>
  <c r="AY3747" i="2"/>
  <c r="BA3746" i="2"/>
  <c r="AZ3746" i="2"/>
  <c r="AY3746" i="2"/>
  <c r="BA3745" i="2"/>
  <c r="AZ3745" i="2"/>
  <c r="AY3745" i="2"/>
  <c r="BA3744" i="2"/>
  <c r="AZ3744" i="2"/>
  <c r="AY3744" i="2"/>
  <c r="BA3743" i="2"/>
  <c r="AZ3743" i="2"/>
  <c r="AY3743" i="2"/>
  <c r="BA3742" i="2"/>
  <c r="AZ3742" i="2"/>
  <c r="AY3742" i="2"/>
  <c r="BA3741" i="2"/>
  <c r="AZ3741" i="2"/>
  <c r="AY3741" i="2"/>
  <c r="BA3740" i="2"/>
  <c r="AZ3740" i="2"/>
  <c r="AY3740" i="2"/>
  <c r="BA3739" i="2"/>
  <c r="AZ3739" i="2"/>
  <c r="AY3739" i="2"/>
  <c r="BA3738" i="2"/>
  <c r="AZ3738" i="2"/>
  <c r="AY3738" i="2"/>
  <c r="BA3737" i="2"/>
  <c r="AZ3737" i="2"/>
  <c r="AY3737" i="2"/>
  <c r="BA3736" i="2"/>
  <c r="AZ3736" i="2"/>
  <c r="AY3736" i="2"/>
  <c r="BA3735" i="2"/>
  <c r="AZ3735" i="2"/>
  <c r="AY3735" i="2"/>
  <c r="BA3734" i="2"/>
  <c r="AZ3734" i="2"/>
  <c r="AY3734" i="2"/>
  <c r="BA3733" i="2"/>
  <c r="AZ3733" i="2"/>
  <c r="AY3733" i="2"/>
  <c r="BA3732" i="2"/>
  <c r="AZ3732" i="2"/>
  <c r="AY3732" i="2"/>
  <c r="BA3731" i="2"/>
  <c r="AZ3731" i="2"/>
  <c r="AY3731" i="2"/>
  <c r="BA3730" i="2"/>
  <c r="AZ3730" i="2"/>
  <c r="AY3730" i="2"/>
  <c r="BA3729" i="2"/>
  <c r="AZ3729" i="2"/>
  <c r="AY3729" i="2"/>
  <c r="BA3728" i="2"/>
  <c r="AZ3728" i="2"/>
  <c r="AY3728" i="2"/>
  <c r="BA3727" i="2"/>
  <c r="AZ3727" i="2"/>
  <c r="AY3727" i="2"/>
  <c r="BA3726" i="2"/>
  <c r="AZ3726" i="2"/>
  <c r="AY3726" i="2"/>
  <c r="BA3725" i="2"/>
  <c r="AZ3725" i="2"/>
  <c r="AY3725" i="2"/>
  <c r="BA3724" i="2"/>
  <c r="AZ3724" i="2"/>
  <c r="AY3724" i="2"/>
  <c r="BA3723" i="2"/>
  <c r="AZ3723" i="2"/>
  <c r="AY3723" i="2"/>
  <c r="BA3722" i="2"/>
  <c r="AZ3722" i="2"/>
  <c r="AY3722" i="2"/>
  <c r="BA3721" i="2"/>
  <c r="AZ3721" i="2"/>
  <c r="AY3721" i="2"/>
  <c r="BA3720" i="2"/>
  <c r="AZ3720" i="2"/>
  <c r="AY3720" i="2"/>
  <c r="BA3719" i="2"/>
  <c r="AZ3719" i="2"/>
  <c r="AY3719" i="2"/>
  <c r="BA3718" i="2"/>
  <c r="AZ3718" i="2"/>
  <c r="AY3718" i="2"/>
  <c r="BA3717" i="2"/>
  <c r="AZ3717" i="2"/>
  <c r="AY3717" i="2"/>
  <c r="BA3716" i="2"/>
  <c r="AZ3716" i="2"/>
  <c r="AY3716" i="2"/>
  <c r="BA3715" i="2"/>
  <c r="AZ3715" i="2"/>
  <c r="AY3715" i="2"/>
  <c r="BA3714" i="2"/>
  <c r="AZ3714" i="2"/>
  <c r="AY3714" i="2"/>
  <c r="BA3713" i="2"/>
  <c r="AZ3713" i="2"/>
  <c r="AY3713" i="2"/>
  <c r="BA3712" i="2"/>
  <c r="AZ3712" i="2"/>
  <c r="AY3712" i="2"/>
  <c r="BA3711" i="2"/>
  <c r="AZ3711" i="2"/>
  <c r="AY3711" i="2"/>
  <c r="BA3710" i="2"/>
  <c r="AZ3710" i="2"/>
  <c r="AY3710" i="2"/>
  <c r="BA3709" i="2"/>
  <c r="AZ3709" i="2"/>
  <c r="AY3709" i="2"/>
  <c r="BA3708" i="2"/>
  <c r="AZ3708" i="2"/>
  <c r="AY3708" i="2"/>
  <c r="BA3707" i="2"/>
  <c r="AZ3707" i="2"/>
  <c r="AY3707" i="2"/>
  <c r="BA3706" i="2"/>
  <c r="AZ3706" i="2"/>
  <c r="AY3706" i="2"/>
  <c r="BA3705" i="2"/>
  <c r="AZ3705" i="2"/>
  <c r="AY3705" i="2"/>
  <c r="BA3704" i="2"/>
  <c r="AZ3704" i="2"/>
  <c r="AY3704" i="2"/>
  <c r="BA3703" i="2"/>
  <c r="AZ3703" i="2"/>
  <c r="AY3703" i="2"/>
  <c r="BA3702" i="2"/>
  <c r="AZ3702" i="2"/>
  <c r="AY3702" i="2"/>
  <c r="BA3701" i="2"/>
  <c r="AZ3701" i="2"/>
  <c r="AY3701" i="2"/>
  <c r="BA3700" i="2"/>
  <c r="AZ3700" i="2"/>
  <c r="AY3700" i="2"/>
  <c r="BA3699" i="2"/>
  <c r="AZ3699" i="2"/>
  <c r="AY3699" i="2"/>
  <c r="BA3698" i="2"/>
  <c r="AZ3698" i="2"/>
  <c r="AY3698" i="2"/>
  <c r="BA3697" i="2"/>
  <c r="AZ3697" i="2"/>
  <c r="AY3697" i="2"/>
  <c r="BA3696" i="2"/>
  <c r="AZ3696" i="2"/>
  <c r="AY3696" i="2"/>
  <c r="BA3695" i="2"/>
  <c r="AZ3695" i="2"/>
  <c r="AY3695" i="2"/>
  <c r="BA3694" i="2"/>
  <c r="AZ3694" i="2"/>
  <c r="AY3694" i="2"/>
  <c r="BA3693" i="2"/>
  <c r="AZ3693" i="2"/>
  <c r="AY3693" i="2"/>
  <c r="BA3692" i="2"/>
  <c r="AZ3692" i="2"/>
  <c r="AY3692" i="2"/>
  <c r="BA3691" i="2"/>
  <c r="AZ3691" i="2"/>
  <c r="AY3691" i="2"/>
  <c r="BA3690" i="2"/>
  <c r="AZ3690" i="2"/>
  <c r="AY3690" i="2"/>
  <c r="BA3689" i="2"/>
  <c r="AZ3689" i="2"/>
  <c r="AY3689" i="2"/>
  <c r="BA3688" i="2"/>
  <c r="AZ3688" i="2"/>
  <c r="AY3688" i="2"/>
  <c r="BA3687" i="2"/>
  <c r="AZ3687" i="2"/>
  <c r="AY3687" i="2"/>
  <c r="BA3686" i="2"/>
  <c r="AZ3686" i="2"/>
  <c r="AY3686" i="2"/>
  <c r="BA3685" i="2"/>
  <c r="AZ3685" i="2"/>
  <c r="AY3685" i="2"/>
  <c r="BA3684" i="2"/>
  <c r="AZ3684" i="2"/>
  <c r="AY3684" i="2"/>
  <c r="BA3683" i="2"/>
  <c r="AZ3683" i="2"/>
  <c r="AY3683" i="2"/>
  <c r="BA3682" i="2"/>
  <c r="AZ3682" i="2"/>
  <c r="AY3682" i="2"/>
  <c r="BA3681" i="2"/>
  <c r="AZ3681" i="2"/>
  <c r="AY3681" i="2"/>
  <c r="BA3680" i="2"/>
  <c r="AZ3680" i="2"/>
  <c r="AY3680" i="2"/>
  <c r="BA3679" i="2"/>
  <c r="AZ3679" i="2"/>
  <c r="AY3679" i="2"/>
  <c r="BA3678" i="2"/>
  <c r="AZ3678" i="2"/>
  <c r="AY3678" i="2"/>
  <c r="BA3677" i="2"/>
  <c r="AZ3677" i="2"/>
  <c r="AY3677" i="2"/>
  <c r="BA3676" i="2"/>
  <c r="AZ3676" i="2"/>
  <c r="AY3676" i="2"/>
  <c r="BA3675" i="2"/>
  <c r="AZ3675" i="2"/>
  <c r="AY3675" i="2"/>
  <c r="BA3674" i="2"/>
  <c r="AZ3674" i="2"/>
  <c r="AY3674" i="2"/>
  <c r="BA3673" i="2"/>
  <c r="AZ3673" i="2"/>
  <c r="AY3673" i="2"/>
  <c r="BA3672" i="2"/>
  <c r="AZ3672" i="2"/>
  <c r="AY3672" i="2"/>
  <c r="BA3671" i="2"/>
  <c r="AZ3671" i="2"/>
  <c r="AY3671" i="2"/>
  <c r="BA3670" i="2"/>
  <c r="AZ3670" i="2"/>
  <c r="AY3670" i="2"/>
  <c r="BA3669" i="2"/>
  <c r="AZ3669" i="2"/>
  <c r="AY3669" i="2"/>
  <c r="BA3668" i="2"/>
  <c r="AZ3668" i="2"/>
  <c r="AY3668" i="2"/>
  <c r="BA3667" i="2"/>
  <c r="AZ3667" i="2"/>
  <c r="AY3667" i="2"/>
  <c r="BA3666" i="2"/>
  <c r="AZ3666" i="2"/>
  <c r="AY3666" i="2"/>
  <c r="BA3665" i="2"/>
  <c r="AZ3665" i="2"/>
  <c r="AY3665" i="2"/>
  <c r="BA3664" i="2"/>
  <c r="AZ3664" i="2"/>
  <c r="AY3664" i="2"/>
  <c r="BA3663" i="2"/>
  <c r="AZ3663" i="2"/>
  <c r="AY3663" i="2"/>
  <c r="BA3662" i="2"/>
  <c r="AZ3662" i="2"/>
  <c r="AY3662" i="2"/>
  <c r="BA3661" i="2"/>
  <c r="AZ3661" i="2"/>
  <c r="AY3661" i="2"/>
  <c r="BA3660" i="2"/>
  <c r="AZ3660" i="2"/>
  <c r="AY3660" i="2"/>
  <c r="BA3659" i="2"/>
  <c r="AZ3659" i="2"/>
  <c r="AY3659" i="2"/>
  <c r="BA3658" i="2"/>
  <c r="AZ3658" i="2"/>
  <c r="AY3658" i="2"/>
  <c r="BA3657" i="2"/>
  <c r="AZ3657" i="2"/>
  <c r="AY3657" i="2"/>
  <c r="BA3656" i="2"/>
  <c r="AZ3656" i="2"/>
  <c r="AY3656" i="2"/>
  <c r="BA3655" i="2"/>
  <c r="AZ3655" i="2"/>
  <c r="AY3655" i="2"/>
  <c r="BA3654" i="2"/>
  <c r="AZ3654" i="2"/>
  <c r="AY3654" i="2"/>
  <c r="BA3653" i="2"/>
  <c r="AZ3653" i="2"/>
  <c r="AY3653" i="2"/>
  <c r="BA3652" i="2"/>
  <c r="AZ3652" i="2"/>
  <c r="AY3652" i="2"/>
  <c r="BA3651" i="2"/>
  <c r="AZ3651" i="2"/>
  <c r="AY3651" i="2"/>
  <c r="BA3650" i="2"/>
  <c r="AZ3650" i="2"/>
  <c r="AY3650" i="2"/>
  <c r="BA3649" i="2"/>
  <c r="AZ3649" i="2"/>
  <c r="AY3649" i="2"/>
  <c r="BA3648" i="2"/>
  <c r="AZ3648" i="2"/>
  <c r="AY3648" i="2"/>
  <c r="BA3647" i="2"/>
  <c r="AZ3647" i="2"/>
  <c r="AY3647" i="2"/>
  <c r="BA3646" i="2"/>
  <c r="AZ3646" i="2"/>
  <c r="AY3646" i="2"/>
  <c r="BA3645" i="2"/>
  <c r="AZ3645" i="2"/>
  <c r="AY3645" i="2"/>
  <c r="BA3644" i="2"/>
  <c r="AZ3644" i="2"/>
  <c r="AY3644" i="2"/>
  <c r="BA3643" i="2"/>
  <c r="AZ3643" i="2"/>
  <c r="AY3643" i="2"/>
  <c r="BA3642" i="2"/>
  <c r="AZ3642" i="2"/>
  <c r="AY3642" i="2"/>
  <c r="BA3641" i="2"/>
  <c r="AZ3641" i="2"/>
  <c r="AY3641" i="2"/>
  <c r="BA3640" i="2"/>
  <c r="AZ3640" i="2"/>
  <c r="AY3640" i="2"/>
  <c r="BA3639" i="2"/>
  <c r="AZ3639" i="2"/>
  <c r="AY3639" i="2"/>
  <c r="BA3638" i="2"/>
  <c r="AZ3638" i="2"/>
  <c r="AY3638" i="2"/>
  <c r="BA3637" i="2"/>
  <c r="AZ3637" i="2"/>
  <c r="AY3637" i="2"/>
  <c r="BA3636" i="2"/>
  <c r="AZ3636" i="2"/>
  <c r="AY3636" i="2"/>
  <c r="BA3635" i="2"/>
  <c r="AZ3635" i="2"/>
  <c r="AY3635" i="2"/>
  <c r="BA3634" i="2"/>
  <c r="AZ3634" i="2"/>
  <c r="AY3634" i="2"/>
  <c r="BA3633" i="2"/>
  <c r="AZ3633" i="2"/>
  <c r="AY3633" i="2"/>
  <c r="BA3632" i="2"/>
  <c r="AZ3632" i="2"/>
  <c r="AY3632" i="2"/>
  <c r="BA3631" i="2"/>
  <c r="AZ3631" i="2"/>
  <c r="AY3631" i="2"/>
  <c r="BA3630" i="2"/>
  <c r="AZ3630" i="2"/>
  <c r="AY3630" i="2"/>
  <c r="BA3629" i="2"/>
  <c r="AZ3629" i="2"/>
  <c r="AY3629" i="2"/>
  <c r="BA3628" i="2"/>
  <c r="AZ3628" i="2"/>
  <c r="AY3628" i="2"/>
  <c r="BA3627" i="2"/>
  <c r="AZ3627" i="2"/>
  <c r="AY3627" i="2"/>
  <c r="BA3626" i="2"/>
  <c r="AZ3626" i="2"/>
  <c r="AY3626" i="2"/>
  <c r="BA3625" i="2"/>
  <c r="AZ3625" i="2"/>
  <c r="AY3625" i="2"/>
  <c r="BA3624" i="2"/>
  <c r="AZ3624" i="2"/>
  <c r="AY3624" i="2"/>
  <c r="BA3623" i="2"/>
  <c r="AZ3623" i="2"/>
  <c r="AY3623" i="2"/>
  <c r="BA3622" i="2"/>
  <c r="AZ3622" i="2"/>
  <c r="AY3622" i="2"/>
  <c r="BA3621" i="2"/>
  <c r="AZ3621" i="2"/>
  <c r="AY3621" i="2"/>
  <c r="BA3620" i="2"/>
  <c r="AZ3620" i="2"/>
  <c r="AY3620" i="2"/>
  <c r="BA3619" i="2"/>
  <c r="AZ3619" i="2"/>
  <c r="AY3619" i="2"/>
  <c r="BA3618" i="2"/>
  <c r="AZ3618" i="2"/>
  <c r="AY3618" i="2"/>
  <c r="BA3617" i="2"/>
  <c r="AZ3617" i="2"/>
  <c r="AY3617" i="2"/>
  <c r="BA3616" i="2"/>
  <c r="AZ3616" i="2"/>
  <c r="AY3616" i="2"/>
  <c r="BA3615" i="2"/>
  <c r="AZ3615" i="2"/>
  <c r="AY3615" i="2"/>
  <c r="BA3614" i="2"/>
  <c r="AZ3614" i="2"/>
  <c r="AY3614" i="2"/>
  <c r="BA3613" i="2"/>
  <c r="AZ3613" i="2"/>
  <c r="AY3613" i="2"/>
  <c r="BA3612" i="2"/>
  <c r="AZ3612" i="2"/>
  <c r="AY3612" i="2"/>
  <c r="BA3611" i="2"/>
  <c r="AZ3611" i="2"/>
  <c r="AY3611" i="2"/>
  <c r="BA3610" i="2"/>
  <c r="AZ3610" i="2"/>
  <c r="AY3610" i="2"/>
  <c r="BA3609" i="2"/>
  <c r="AZ3609" i="2"/>
  <c r="AY3609" i="2"/>
  <c r="BA3608" i="2"/>
  <c r="AZ3608" i="2"/>
  <c r="AY3608" i="2"/>
  <c r="BA3607" i="2"/>
  <c r="AZ3607" i="2"/>
  <c r="AY3607" i="2"/>
  <c r="BA3606" i="2"/>
  <c r="AZ3606" i="2"/>
  <c r="AY3606" i="2"/>
  <c r="BA3605" i="2"/>
  <c r="AZ3605" i="2"/>
  <c r="AY3605" i="2"/>
  <c r="BA3604" i="2"/>
  <c r="AZ3604" i="2"/>
  <c r="AY3604" i="2"/>
  <c r="BA3603" i="2"/>
  <c r="AZ3603" i="2"/>
  <c r="AY3603" i="2"/>
  <c r="BA3602" i="2"/>
  <c r="AZ3602" i="2"/>
  <c r="AY3602" i="2"/>
  <c r="BA3601" i="2"/>
  <c r="AZ3601" i="2"/>
  <c r="AY3601" i="2"/>
  <c r="BA3600" i="2"/>
  <c r="AZ3600" i="2"/>
  <c r="AY3600" i="2"/>
  <c r="BA3599" i="2"/>
  <c r="AZ3599" i="2"/>
  <c r="AY3599" i="2"/>
  <c r="BA3598" i="2"/>
  <c r="AZ3598" i="2"/>
  <c r="AY3598" i="2"/>
  <c r="BA3597" i="2"/>
  <c r="AZ3597" i="2"/>
  <c r="AY3597" i="2"/>
  <c r="BA3596" i="2"/>
  <c r="AZ3596" i="2"/>
  <c r="AY3596" i="2"/>
  <c r="BA3595" i="2"/>
  <c r="AZ3595" i="2"/>
  <c r="AY3595" i="2"/>
  <c r="BA3594" i="2"/>
  <c r="AZ3594" i="2"/>
  <c r="AY3594" i="2"/>
  <c r="BA3593" i="2"/>
  <c r="AZ3593" i="2"/>
  <c r="AY3593" i="2"/>
  <c r="BA3592" i="2"/>
  <c r="AZ3592" i="2"/>
  <c r="AY3592" i="2"/>
  <c r="BA3591" i="2"/>
  <c r="AZ3591" i="2"/>
  <c r="AY3591" i="2"/>
  <c r="BA3590" i="2"/>
  <c r="AZ3590" i="2"/>
  <c r="AY3590" i="2"/>
  <c r="BA3589" i="2"/>
  <c r="AZ3589" i="2"/>
  <c r="AY3589" i="2"/>
  <c r="BA3588" i="2"/>
  <c r="AZ3588" i="2"/>
  <c r="AY3588" i="2"/>
  <c r="BA3587" i="2"/>
  <c r="AZ3587" i="2"/>
  <c r="AY3587" i="2"/>
  <c r="BA3586" i="2"/>
  <c r="AZ3586" i="2"/>
  <c r="AY3586" i="2"/>
  <c r="BA3585" i="2"/>
  <c r="AZ3585" i="2"/>
  <c r="AY3585" i="2"/>
  <c r="BA3584" i="2"/>
  <c r="AZ3584" i="2"/>
  <c r="AY3584" i="2"/>
  <c r="BA3583" i="2"/>
  <c r="AZ3583" i="2"/>
  <c r="AY3583" i="2"/>
  <c r="BA3582" i="2"/>
  <c r="AZ3582" i="2"/>
  <c r="AY3582" i="2"/>
  <c r="BA3581" i="2"/>
  <c r="AZ3581" i="2"/>
  <c r="AY3581" i="2"/>
  <c r="BA3580" i="2"/>
  <c r="AZ3580" i="2"/>
  <c r="AY3580" i="2"/>
  <c r="BA3579" i="2"/>
  <c r="AZ3579" i="2"/>
  <c r="AY3579" i="2"/>
  <c r="BA3578" i="2"/>
  <c r="AZ3578" i="2"/>
  <c r="AY3578" i="2"/>
  <c r="BA3577" i="2"/>
  <c r="AZ3577" i="2"/>
  <c r="AY3577" i="2"/>
  <c r="BA3576" i="2"/>
  <c r="AZ3576" i="2"/>
  <c r="AY3576" i="2"/>
  <c r="BA3575" i="2"/>
  <c r="AZ3575" i="2"/>
  <c r="AY3575" i="2"/>
  <c r="BA3574" i="2"/>
  <c r="AZ3574" i="2"/>
  <c r="AY3574" i="2"/>
  <c r="BA3573" i="2"/>
  <c r="AZ3573" i="2"/>
  <c r="AY3573" i="2"/>
  <c r="BA3572" i="2"/>
  <c r="AZ3572" i="2"/>
  <c r="AY3572" i="2"/>
  <c r="BA3571" i="2"/>
  <c r="AZ3571" i="2"/>
  <c r="AY3571" i="2"/>
  <c r="BA3570" i="2"/>
  <c r="AZ3570" i="2"/>
  <c r="AY3570" i="2"/>
  <c r="BA3569" i="2"/>
  <c r="AZ3569" i="2"/>
  <c r="AY3569" i="2"/>
  <c r="BA3568" i="2"/>
  <c r="AZ3568" i="2"/>
  <c r="AY3568" i="2"/>
  <c r="BA3567" i="2"/>
  <c r="AZ3567" i="2"/>
  <c r="AY3567" i="2"/>
  <c r="BA3566" i="2"/>
  <c r="AZ3566" i="2"/>
  <c r="AY3566" i="2"/>
  <c r="BA3565" i="2"/>
  <c r="AZ3565" i="2"/>
  <c r="AY3565" i="2"/>
  <c r="BA3564" i="2"/>
  <c r="AZ3564" i="2"/>
  <c r="AY3564" i="2"/>
  <c r="BA3563" i="2"/>
  <c r="AZ3563" i="2"/>
  <c r="AY3563" i="2"/>
  <c r="BA3562" i="2"/>
  <c r="AZ3562" i="2"/>
  <c r="AY3562" i="2"/>
  <c r="BA3561" i="2"/>
  <c r="AZ3561" i="2"/>
  <c r="AY3561" i="2"/>
  <c r="BA3560" i="2"/>
  <c r="AZ3560" i="2"/>
  <c r="AY3560" i="2"/>
  <c r="BA3559" i="2"/>
  <c r="AZ3559" i="2"/>
  <c r="AY3559" i="2"/>
  <c r="BA3558" i="2"/>
  <c r="AZ3558" i="2"/>
  <c r="AY3558" i="2"/>
  <c r="BA3557" i="2"/>
  <c r="AZ3557" i="2"/>
  <c r="AY3557" i="2"/>
  <c r="BA3556" i="2"/>
  <c r="AZ3556" i="2"/>
  <c r="AY3556" i="2"/>
  <c r="BA3555" i="2"/>
  <c r="AZ3555" i="2"/>
  <c r="AY3555" i="2"/>
  <c r="BA3554" i="2"/>
  <c r="AZ3554" i="2"/>
  <c r="AY3554" i="2"/>
  <c r="BA3553" i="2"/>
  <c r="AZ3553" i="2"/>
  <c r="AY3553" i="2"/>
  <c r="BA3552" i="2"/>
  <c r="AZ3552" i="2"/>
  <c r="AY3552" i="2"/>
  <c r="BA3551" i="2"/>
  <c r="AZ3551" i="2"/>
  <c r="AY3551" i="2"/>
  <c r="BA3550" i="2"/>
  <c r="AZ3550" i="2"/>
  <c r="AY3550" i="2"/>
  <c r="BA3549" i="2"/>
  <c r="AZ3549" i="2"/>
  <c r="AY3549" i="2"/>
  <c r="BA3548" i="2"/>
  <c r="AZ3548" i="2"/>
  <c r="AY3548" i="2"/>
  <c r="BA3547" i="2"/>
  <c r="AZ3547" i="2"/>
  <c r="AY3547" i="2"/>
  <c r="BA3546" i="2"/>
  <c r="AZ3546" i="2"/>
  <c r="AY3546" i="2"/>
  <c r="BA3545" i="2"/>
  <c r="AZ3545" i="2"/>
  <c r="AY3545" i="2"/>
  <c r="BA3544" i="2"/>
  <c r="AZ3544" i="2"/>
  <c r="AY3544" i="2"/>
  <c r="BA3543" i="2"/>
  <c r="AZ3543" i="2"/>
  <c r="AY3543" i="2"/>
  <c r="BA3542" i="2"/>
  <c r="AZ3542" i="2"/>
  <c r="AY3542" i="2"/>
  <c r="BA3541" i="2"/>
  <c r="AZ3541" i="2"/>
  <c r="AY3541" i="2"/>
  <c r="BA3540" i="2"/>
  <c r="AZ3540" i="2"/>
  <c r="AY3540" i="2"/>
  <c r="BA3539" i="2"/>
  <c r="AZ3539" i="2"/>
  <c r="AY3539" i="2"/>
  <c r="BA3538" i="2"/>
  <c r="AZ3538" i="2"/>
  <c r="AY3538" i="2"/>
  <c r="BA3537" i="2"/>
  <c r="AZ3537" i="2"/>
  <c r="AY3537" i="2"/>
  <c r="BA3536" i="2"/>
  <c r="AZ3536" i="2"/>
  <c r="AY3536" i="2"/>
  <c r="BA3535" i="2"/>
  <c r="AZ3535" i="2"/>
  <c r="AY3535" i="2"/>
  <c r="BA3534" i="2"/>
  <c r="AZ3534" i="2"/>
  <c r="AY3534" i="2"/>
  <c r="BA3533" i="2"/>
  <c r="AZ3533" i="2"/>
  <c r="AY3533" i="2"/>
  <c r="BA3532" i="2"/>
  <c r="AZ3532" i="2"/>
  <c r="AY3532" i="2"/>
  <c r="BA3531" i="2"/>
  <c r="AZ3531" i="2"/>
  <c r="AY3531" i="2"/>
  <c r="BA3530" i="2"/>
  <c r="AZ3530" i="2"/>
  <c r="AY3530" i="2"/>
  <c r="BA3529" i="2"/>
  <c r="AZ3529" i="2"/>
  <c r="AY3529" i="2"/>
  <c r="BA3528" i="2"/>
  <c r="AZ3528" i="2"/>
  <c r="AY3528" i="2"/>
  <c r="BA3527" i="2"/>
  <c r="AZ3527" i="2"/>
  <c r="AY3527" i="2"/>
  <c r="BA3526" i="2"/>
  <c r="AZ3526" i="2"/>
  <c r="AY3526" i="2"/>
  <c r="BA3525" i="2"/>
  <c r="AZ3525" i="2"/>
  <c r="AY3525" i="2"/>
  <c r="BA3524" i="2"/>
  <c r="AZ3524" i="2"/>
  <c r="AY3524" i="2"/>
  <c r="BA3523" i="2"/>
  <c r="AZ3523" i="2"/>
  <c r="AY3523" i="2"/>
  <c r="BA3522" i="2"/>
  <c r="AZ3522" i="2"/>
  <c r="AY3522" i="2"/>
  <c r="BA3521" i="2"/>
  <c r="AZ3521" i="2"/>
  <c r="AY3521" i="2"/>
  <c r="BA3520" i="2"/>
  <c r="AZ3520" i="2"/>
  <c r="AY3520" i="2"/>
  <c r="BA3519" i="2"/>
  <c r="AZ3519" i="2"/>
  <c r="AY3519" i="2"/>
  <c r="BA3518" i="2"/>
  <c r="AZ3518" i="2"/>
  <c r="AY3518" i="2"/>
  <c r="BA3517" i="2"/>
  <c r="AZ3517" i="2"/>
  <c r="AY3517" i="2"/>
  <c r="BA3516" i="2"/>
  <c r="AZ3516" i="2"/>
  <c r="AY3516" i="2"/>
  <c r="BA3515" i="2"/>
  <c r="AZ3515" i="2"/>
  <c r="AY3515" i="2"/>
  <c r="BA3514" i="2"/>
  <c r="AZ3514" i="2"/>
  <c r="AY3514" i="2"/>
  <c r="BA3513" i="2"/>
  <c r="AZ3513" i="2"/>
  <c r="AY3513" i="2"/>
  <c r="BA3512" i="2"/>
  <c r="AZ3512" i="2"/>
  <c r="AY3512" i="2"/>
  <c r="BA3511" i="2"/>
  <c r="AZ3511" i="2"/>
  <c r="AY3511" i="2"/>
  <c r="BA3510" i="2"/>
  <c r="AZ3510" i="2"/>
  <c r="AY3510" i="2"/>
  <c r="BA3509" i="2"/>
  <c r="AZ3509" i="2"/>
  <c r="AY3509" i="2"/>
  <c r="BA3508" i="2"/>
  <c r="AZ3508" i="2"/>
  <c r="AY3508" i="2"/>
  <c r="BA3507" i="2"/>
  <c r="AZ3507" i="2"/>
  <c r="AY3507" i="2"/>
  <c r="BA3506" i="2"/>
  <c r="AZ3506" i="2"/>
  <c r="AY3506" i="2"/>
  <c r="BA3505" i="2"/>
  <c r="AZ3505" i="2"/>
  <c r="AY3505" i="2"/>
  <c r="BA3504" i="2"/>
  <c r="AZ3504" i="2"/>
  <c r="AY3504" i="2"/>
  <c r="BA3503" i="2"/>
  <c r="AZ3503" i="2"/>
  <c r="AY3503" i="2"/>
  <c r="BA3502" i="2"/>
  <c r="AZ3502" i="2"/>
  <c r="AY3502" i="2"/>
  <c r="BA3501" i="2"/>
  <c r="AZ3501" i="2"/>
  <c r="AY3501" i="2"/>
  <c r="BA3500" i="2"/>
  <c r="AZ3500" i="2"/>
  <c r="AY3500" i="2"/>
  <c r="BA3499" i="2"/>
  <c r="AZ3499" i="2"/>
  <c r="AY3499" i="2"/>
  <c r="BA3498" i="2"/>
  <c r="AZ3498" i="2"/>
  <c r="AY3498" i="2"/>
  <c r="BA3497" i="2"/>
  <c r="AZ3497" i="2"/>
  <c r="AY3497" i="2"/>
  <c r="BA3496" i="2"/>
  <c r="AZ3496" i="2"/>
  <c r="AY3496" i="2"/>
  <c r="BA3495" i="2"/>
  <c r="AZ3495" i="2"/>
  <c r="AY3495" i="2"/>
  <c r="BA3494" i="2"/>
  <c r="AZ3494" i="2"/>
  <c r="AY3494" i="2"/>
  <c r="BA3493" i="2"/>
  <c r="AZ3493" i="2"/>
  <c r="AY3493" i="2"/>
  <c r="BA3492" i="2"/>
  <c r="AZ3492" i="2"/>
  <c r="AY3492" i="2"/>
  <c r="BA3491" i="2"/>
  <c r="AZ3491" i="2"/>
  <c r="AY3491" i="2"/>
  <c r="BA3490" i="2"/>
  <c r="AZ3490" i="2"/>
  <c r="AY3490" i="2"/>
  <c r="BA3489" i="2"/>
  <c r="AZ3489" i="2"/>
  <c r="AY3489" i="2"/>
  <c r="BA3488" i="2"/>
  <c r="AZ3488" i="2"/>
  <c r="AY3488" i="2"/>
  <c r="BA3487" i="2"/>
  <c r="AZ3487" i="2"/>
  <c r="AY3487" i="2"/>
  <c r="BA3486" i="2"/>
  <c r="AZ3486" i="2"/>
  <c r="AY3486" i="2"/>
  <c r="BA3485" i="2"/>
  <c r="AZ3485" i="2"/>
  <c r="AY3485" i="2"/>
  <c r="BA3484" i="2"/>
  <c r="AZ3484" i="2"/>
  <c r="AY3484" i="2"/>
  <c r="BA3483" i="2"/>
  <c r="AZ3483" i="2"/>
  <c r="AY3483" i="2"/>
  <c r="BA3482" i="2"/>
  <c r="AZ3482" i="2"/>
  <c r="AY3482" i="2"/>
  <c r="BA3481" i="2"/>
  <c r="AZ3481" i="2"/>
  <c r="AY3481" i="2"/>
  <c r="BA3480" i="2"/>
  <c r="AZ3480" i="2"/>
  <c r="AY3480" i="2"/>
  <c r="BA3479" i="2"/>
  <c r="AZ3479" i="2"/>
  <c r="AY3479" i="2"/>
  <c r="BA3478" i="2"/>
  <c r="AZ3478" i="2"/>
  <c r="AY3478" i="2"/>
  <c r="BA3477" i="2"/>
  <c r="AZ3477" i="2"/>
  <c r="AY3477" i="2"/>
  <c r="BA3476" i="2"/>
  <c r="AZ3476" i="2"/>
  <c r="AY3476" i="2"/>
  <c r="BA3475" i="2"/>
  <c r="AZ3475" i="2"/>
  <c r="AY3475" i="2"/>
  <c r="BA3474" i="2"/>
  <c r="AZ3474" i="2"/>
  <c r="AY3474" i="2"/>
  <c r="BA3473" i="2"/>
  <c r="AZ3473" i="2"/>
  <c r="AY3473" i="2"/>
  <c r="BA3472" i="2"/>
  <c r="AZ3472" i="2"/>
  <c r="AY3472" i="2"/>
  <c r="BA3471" i="2"/>
  <c r="AZ3471" i="2"/>
  <c r="AY3471" i="2"/>
  <c r="BA3470" i="2"/>
  <c r="AZ3470" i="2"/>
  <c r="AY3470" i="2"/>
  <c r="BA3469" i="2"/>
  <c r="AZ3469" i="2"/>
  <c r="AY3469" i="2"/>
  <c r="BA3468" i="2"/>
  <c r="AZ3468" i="2"/>
  <c r="AY3468" i="2"/>
  <c r="BA3467" i="2"/>
  <c r="AZ3467" i="2"/>
  <c r="AY3467" i="2"/>
  <c r="BA3466" i="2"/>
  <c r="AZ3466" i="2"/>
  <c r="AY3466" i="2"/>
  <c r="BA3465" i="2"/>
  <c r="AZ3465" i="2"/>
  <c r="AY3465" i="2"/>
  <c r="BA3464" i="2"/>
  <c r="AZ3464" i="2"/>
  <c r="AY3464" i="2"/>
  <c r="BA3463" i="2"/>
  <c r="AZ3463" i="2"/>
  <c r="AY3463" i="2"/>
  <c r="BA3462" i="2"/>
  <c r="AZ3462" i="2"/>
  <c r="AY3462" i="2"/>
  <c r="BA3461" i="2"/>
  <c r="AZ3461" i="2"/>
  <c r="AY3461" i="2"/>
  <c r="BA3460" i="2"/>
  <c r="AZ3460" i="2"/>
  <c r="AY3460" i="2"/>
  <c r="BA3459" i="2"/>
  <c r="AZ3459" i="2"/>
  <c r="AY3459" i="2"/>
  <c r="BA3458" i="2"/>
  <c r="AZ3458" i="2"/>
  <c r="AY3458" i="2"/>
  <c r="BA3457" i="2"/>
  <c r="AZ3457" i="2"/>
  <c r="AY3457" i="2"/>
  <c r="BA3456" i="2"/>
  <c r="AZ3456" i="2"/>
  <c r="AY3456" i="2"/>
  <c r="BA3455" i="2"/>
  <c r="AZ3455" i="2"/>
  <c r="AY3455" i="2"/>
  <c r="BA3454" i="2"/>
  <c r="AZ3454" i="2"/>
  <c r="AY3454" i="2"/>
  <c r="BA3453" i="2"/>
  <c r="AZ3453" i="2"/>
  <c r="AY3453" i="2"/>
  <c r="BA3452" i="2"/>
  <c r="AZ3452" i="2"/>
  <c r="AY3452" i="2"/>
  <c r="BA3451" i="2"/>
  <c r="AZ3451" i="2"/>
  <c r="AY3451" i="2"/>
  <c r="BA3450" i="2"/>
  <c r="AZ3450" i="2"/>
  <c r="AY3450" i="2"/>
  <c r="BA3449" i="2"/>
  <c r="AZ3449" i="2"/>
  <c r="AY3449" i="2"/>
  <c r="BA3448" i="2"/>
  <c r="AZ3448" i="2"/>
  <c r="AY3448" i="2"/>
  <c r="BA3447" i="2"/>
  <c r="AZ3447" i="2"/>
  <c r="AY3447" i="2"/>
  <c r="BA3446" i="2"/>
  <c r="AZ3446" i="2"/>
  <c r="AY3446" i="2"/>
  <c r="BA3445" i="2"/>
  <c r="AZ3445" i="2"/>
  <c r="AY3445" i="2"/>
  <c r="BA3444" i="2"/>
  <c r="AZ3444" i="2"/>
  <c r="AY3444" i="2"/>
  <c r="BA3443" i="2"/>
  <c r="AZ3443" i="2"/>
  <c r="AY3443" i="2"/>
  <c r="BA3442" i="2"/>
  <c r="AZ3442" i="2"/>
  <c r="AY3442" i="2"/>
  <c r="BA3441" i="2"/>
  <c r="AZ3441" i="2"/>
  <c r="AY3441" i="2"/>
  <c r="BA3440" i="2"/>
  <c r="AZ3440" i="2"/>
  <c r="AY3440" i="2"/>
  <c r="BA3439" i="2"/>
  <c r="AZ3439" i="2"/>
  <c r="AY3439" i="2"/>
  <c r="BA3438" i="2"/>
  <c r="AZ3438" i="2"/>
  <c r="AY3438" i="2"/>
  <c r="BA3437" i="2"/>
  <c r="AZ3437" i="2"/>
  <c r="AY3437" i="2"/>
  <c r="BA3436" i="2"/>
  <c r="AZ3436" i="2"/>
  <c r="AY3436" i="2"/>
  <c r="BA3435" i="2"/>
  <c r="AZ3435" i="2"/>
  <c r="AY3435" i="2"/>
  <c r="BA3434" i="2"/>
  <c r="AZ3434" i="2"/>
  <c r="AY3434" i="2"/>
  <c r="BA3433" i="2"/>
  <c r="AZ3433" i="2"/>
  <c r="AY3433" i="2"/>
  <c r="BA3432" i="2"/>
  <c r="AZ3432" i="2"/>
  <c r="AY3432" i="2"/>
  <c r="BA3431" i="2"/>
  <c r="AZ3431" i="2"/>
  <c r="AY3431" i="2"/>
  <c r="BA3430" i="2"/>
  <c r="AZ3430" i="2"/>
  <c r="AY3430" i="2"/>
  <c r="BA3429" i="2"/>
  <c r="AZ3429" i="2"/>
  <c r="AY3429" i="2"/>
  <c r="BA3428" i="2"/>
  <c r="AZ3428" i="2"/>
  <c r="AY3428" i="2"/>
  <c r="BA3427" i="2"/>
  <c r="AZ3427" i="2"/>
  <c r="AY3427" i="2"/>
  <c r="BA3426" i="2"/>
  <c r="AZ3426" i="2"/>
  <c r="AY3426" i="2"/>
  <c r="BA3425" i="2"/>
  <c r="AZ3425" i="2"/>
  <c r="AY3425" i="2"/>
  <c r="BA3424" i="2"/>
  <c r="AZ3424" i="2"/>
  <c r="AY3424" i="2"/>
  <c r="BA3423" i="2"/>
  <c r="AZ3423" i="2"/>
  <c r="AY3423" i="2"/>
  <c r="BA3422" i="2"/>
  <c r="AZ3422" i="2"/>
  <c r="AY3422" i="2"/>
  <c r="BA3421" i="2"/>
  <c r="AZ3421" i="2"/>
  <c r="AY3421" i="2"/>
  <c r="BA3420" i="2"/>
  <c r="AZ3420" i="2"/>
  <c r="AY3420" i="2"/>
  <c r="BA3419" i="2"/>
  <c r="AZ3419" i="2"/>
  <c r="AY3419" i="2"/>
  <c r="BA3418" i="2"/>
  <c r="AZ3418" i="2"/>
  <c r="AY3418" i="2"/>
  <c r="BA3417" i="2"/>
  <c r="AZ3417" i="2"/>
  <c r="AY3417" i="2"/>
  <c r="BA3416" i="2"/>
  <c r="AZ3416" i="2"/>
  <c r="AY3416" i="2"/>
  <c r="BA3415" i="2"/>
  <c r="AZ3415" i="2"/>
  <c r="AY3415" i="2"/>
  <c r="BA3414" i="2"/>
  <c r="AZ3414" i="2"/>
  <c r="AY3414" i="2"/>
  <c r="BA3413" i="2"/>
  <c r="AZ3413" i="2"/>
  <c r="AY3413" i="2"/>
  <c r="BA3412" i="2"/>
  <c r="AZ3412" i="2"/>
  <c r="AY3412" i="2"/>
  <c r="BA3411" i="2"/>
  <c r="AZ3411" i="2"/>
  <c r="AY3411" i="2"/>
  <c r="BA3410" i="2"/>
  <c r="AZ3410" i="2"/>
  <c r="AY3410" i="2"/>
  <c r="BA3409" i="2"/>
  <c r="AZ3409" i="2"/>
  <c r="AY3409" i="2"/>
  <c r="BA3408" i="2"/>
  <c r="AZ3408" i="2"/>
  <c r="AY3408" i="2"/>
  <c r="BA3407" i="2"/>
  <c r="AZ3407" i="2"/>
  <c r="AY3407" i="2"/>
  <c r="BA3406" i="2"/>
  <c r="AZ3406" i="2"/>
  <c r="AY3406" i="2"/>
  <c r="BA3405" i="2"/>
  <c r="AZ3405" i="2"/>
  <c r="AY3405" i="2"/>
  <c r="BA3404" i="2"/>
  <c r="AZ3404" i="2"/>
  <c r="AY3404" i="2"/>
  <c r="BA3403" i="2"/>
  <c r="AZ3403" i="2"/>
  <c r="AY3403" i="2"/>
  <c r="BA3402" i="2"/>
  <c r="AZ3402" i="2"/>
  <c r="AY3402" i="2"/>
  <c r="BA3401" i="2"/>
  <c r="AZ3401" i="2"/>
  <c r="AY3401" i="2"/>
  <c r="BA3400" i="2"/>
  <c r="AZ3400" i="2"/>
  <c r="AY3400" i="2"/>
  <c r="BA3399" i="2"/>
  <c r="AZ3399" i="2"/>
  <c r="AY3399" i="2"/>
  <c r="BA3398" i="2"/>
  <c r="AZ3398" i="2"/>
  <c r="AY3398" i="2"/>
  <c r="BA3397" i="2"/>
  <c r="AZ3397" i="2"/>
  <c r="AY3397" i="2"/>
  <c r="BA3396" i="2"/>
  <c r="AZ3396" i="2"/>
  <c r="AY3396" i="2"/>
  <c r="BA3395" i="2"/>
  <c r="AZ3395" i="2"/>
  <c r="AY3395" i="2"/>
  <c r="BA3394" i="2"/>
  <c r="AZ3394" i="2"/>
  <c r="AY3394" i="2"/>
  <c r="BA3393" i="2"/>
  <c r="AZ3393" i="2"/>
  <c r="AY3393" i="2"/>
  <c r="BA3392" i="2"/>
  <c r="AZ3392" i="2"/>
  <c r="AY3392" i="2"/>
  <c r="BA3391" i="2"/>
  <c r="AZ3391" i="2"/>
  <c r="AY3391" i="2"/>
  <c r="BA3390" i="2"/>
  <c r="AZ3390" i="2"/>
  <c r="AY3390" i="2"/>
  <c r="BA3389" i="2"/>
  <c r="AZ3389" i="2"/>
  <c r="AY3389" i="2"/>
  <c r="BA3388" i="2"/>
  <c r="AZ3388" i="2"/>
  <c r="AY3388" i="2"/>
  <c r="BA3387" i="2"/>
  <c r="AZ3387" i="2"/>
  <c r="AY3387" i="2"/>
  <c r="BA3386" i="2"/>
  <c r="AZ3386" i="2"/>
  <c r="AY3386" i="2"/>
  <c r="BA3385" i="2"/>
  <c r="AZ3385" i="2"/>
  <c r="AY3385" i="2"/>
  <c r="BA3384" i="2"/>
  <c r="AZ3384" i="2"/>
  <c r="AY3384" i="2"/>
  <c r="BA3383" i="2"/>
  <c r="AZ3383" i="2"/>
  <c r="AY3383" i="2"/>
  <c r="BA3382" i="2"/>
  <c r="AZ3382" i="2"/>
  <c r="AY3382" i="2"/>
  <c r="BA3381" i="2"/>
  <c r="AZ3381" i="2"/>
  <c r="AY3381" i="2"/>
  <c r="BA3380" i="2"/>
  <c r="AZ3380" i="2"/>
  <c r="AY3380" i="2"/>
  <c r="BA3379" i="2"/>
  <c r="AZ3379" i="2"/>
  <c r="AY3379" i="2"/>
  <c r="BA3378" i="2"/>
  <c r="AZ3378" i="2"/>
  <c r="AY3378" i="2"/>
  <c r="BA3377" i="2"/>
  <c r="AZ3377" i="2"/>
  <c r="AY3377" i="2"/>
  <c r="BA3376" i="2"/>
  <c r="AZ3376" i="2"/>
  <c r="AY3376" i="2"/>
  <c r="BA3375" i="2"/>
  <c r="AZ3375" i="2"/>
  <c r="AY3375" i="2"/>
  <c r="BA3374" i="2"/>
  <c r="AZ3374" i="2"/>
  <c r="AY3374" i="2"/>
  <c r="BA3373" i="2"/>
  <c r="AZ3373" i="2"/>
  <c r="AY3373" i="2"/>
  <c r="BA3372" i="2"/>
  <c r="AZ3372" i="2"/>
  <c r="AY3372" i="2"/>
  <c r="BA3371" i="2"/>
  <c r="AZ3371" i="2"/>
  <c r="AY3371" i="2"/>
  <c r="BA3370" i="2"/>
  <c r="AZ3370" i="2"/>
  <c r="AY3370" i="2"/>
  <c r="BA3369" i="2"/>
  <c r="AZ3369" i="2"/>
  <c r="AY3369" i="2"/>
  <c r="BA3368" i="2"/>
  <c r="AZ3368" i="2"/>
  <c r="AY3368" i="2"/>
  <c r="BA3367" i="2"/>
  <c r="AZ3367" i="2"/>
  <c r="AY3367" i="2"/>
  <c r="BA3366" i="2"/>
  <c r="AZ3366" i="2"/>
  <c r="AY3366" i="2"/>
  <c r="BA3365" i="2"/>
  <c r="AZ3365" i="2"/>
  <c r="AY3365" i="2"/>
  <c r="BA3364" i="2"/>
  <c r="AZ3364" i="2"/>
  <c r="AY3364" i="2"/>
  <c r="BA3363" i="2"/>
  <c r="AZ3363" i="2"/>
  <c r="AY3363" i="2"/>
  <c r="BA3362" i="2"/>
  <c r="AZ3362" i="2"/>
  <c r="AY3362" i="2"/>
  <c r="BA3361" i="2"/>
  <c r="AZ3361" i="2"/>
  <c r="AY3361" i="2"/>
  <c r="BA3360" i="2"/>
  <c r="AZ3360" i="2"/>
  <c r="AY3360" i="2"/>
  <c r="BA3359" i="2"/>
  <c r="AZ3359" i="2"/>
  <c r="AY3359" i="2"/>
  <c r="BA3358" i="2"/>
  <c r="AZ3358" i="2"/>
  <c r="AY3358" i="2"/>
  <c r="BA3357" i="2"/>
  <c r="AZ3357" i="2"/>
  <c r="AY3357" i="2"/>
  <c r="BA3356" i="2"/>
  <c r="AZ3356" i="2"/>
  <c r="AY3356" i="2"/>
  <c r="BA3355" i="2"/>
  <c r="AZ3355" i="2"/>
  <c r="AY3355" i="2"/>
  <c r="BA3354" i="2"/>
  <c r="AZ3354" i="2"/>
  <c r="AY3354" i="2"/>
  <c r="BA3353" i="2"/>
  <c r="AZ3353" i="2"/>
  <c r="AY3353" i="2"/>
  <c r="BA3352" i="2"/>
  <c r="AZ3352" i="2"/>
  <c r="AY3352" i="2"/>
  <c r="BA3351" i="2"/>
  <c r="AZ3351" i="2"/>
  <c r="AY3351" i="2"/>
  <c r="BA3350" i="2"/>
  <c r="AZ3350" i="2"/>
  <c r="AY3350" i="2"/>
  <c r="BA3349" i="2"/>
  <c r="AZ3349" i="2"/>
  <c r="AY3349" i="2"/>
  <c r="BA3348" i="2"/>
  <c r="AZ3348" i="2"/>
  <c r="AY3348" i="2"/>
  <c r="BA3347" i="2"/>
  <c r="AZ3347" i="2"/>
  <c r="AY3347" i="2"/>
  <c r="BA3346" i="2"/>
  <c r="AZ3346" i="2"/>
  <c r="AY3346" i="2"/>
  <c r="BA3345" i="2"/>
  <c r="AZ3345" i="2"/>
  <c r="AY3345" i="2"/>
  <c r="BA3344" i="2"/>
  <c r="AZ3344" i="2"/>
  <c r="AY3344" i="2"/>
  <c r="BA3343" i="2"/>
  <c r="AZ3343" i="2"/>
  <c r="AY3343" i="2"/>
  <c r="BA3342" i="2"/>
  <c r="AZ3342" i="2"/>
  <c r="AY3342" i="2"/>
  <c r="BA3341" i="2"/>
  <c r="AZ3341" i="2"/>
  <c r="AY3341" i="2"/>
  <c r="BA3340" i="2"/>
  <c r="AZ3340" i="2"/>
  <c r="AY3340" i="2"/>
  <c r="BA3339" i="2"/>
  <c r="AZ3339" i="2"/>
  <c r="AY3339" i="2"/>
  <c r="BA3338" i="2"/>
  <c r="AZ3338" i="2"/>
  <c r="AY3338" i="2"/>
  <c r="BA3337" i="2"/>
  <c r="AZ3337" i="2"/>
  <c r="AY3337" i="2"/>
  <c r="BA3336" i="2"/>
  <c r="AZ3336" i="2"/>
  <c r="AY3336" i="2"/>
  <c r="BA3335" i="2"/>
  <c r="AZ3335" i="2"/>
  <c r="AY3335" i="2"/>
  <c r="BA3334" i="2"/>
  <c r="AZ3334" i="2"/>
  <c r="AY3334" i="2"/>
  <c r="BA3333" i="2"/>
  <c r="AZ3333" i="2"/>
  <c r="AY3333" i="2"/>
  <c r="BA3332" i="2"/>
  <c r="AZ3332" i="2"/>
  <c r="AY3332" i="2"/>
  <c r="BA3331" i="2"/>
  <c r="AZ3331" i="2"/>
  <c r="AY3331" i="2"/>
  <c r="BA3330" i="2"/>
  <c r="AZ3330" i="2"/>
  <c r="AY3330" i="2"/>
  <c r="BA3329" i="2"/>
  <c r="AZ3329" i="2"/>
  <c r="AY3329" i="2"/>
  <c r="BA3328" i="2"/>
  <c r="AZ3328" i="2"/>
  <c r="AY3328" i="2"/>
  <c r="BA3327" i="2"/>
  <c r="AZ3327" i="2"/>
  <c r="AY3327" i="2"/>
  <c r="BA3326" i="2"/>
  <c r="AZ3326" i="2"/>
  <c r="AY3326" i="2"/>
  <c r="BA3325" i="2"/>
  <c r="AZ3325" i="2"/>
  <c r="AY3325" i="2"/>
  <c r="BA3324" i="2"/>
  <c r="AZ3324" i="2"/>
  <c r="AY3324" i="2"/>
  <c r="BA3323" i="2"/>
  <c r="AZ3323" i="2"/>
  <c r="AY3323" i="2"/>
  <c r="BA3322" i="2"/>
  <c r="AZ3322" i="2"/>
  <c r="AY3322" i="2"/>
  <c r="BA3321" i="2"/>
  <c r="AZ3321" i="2"/>
  <c r="AY3321" i="2"/>
  <c r="BA3320" i="2"/>
  <c r="AZ3320" i="2"/>
  <c r="AY3320" i="2"/>
  <c r="BA3319" i="2"/>
  <c r="AZ3319" i="2"/>
  <c r="AY3319" i="2"/>
  <c r="BA3318" i="2"/>
  <c r="AZ3318" i="2"/>
  <c r="AY3318" i="2"/>
  <c r="BA3317" i="2"/>
  <c r="AZ3317" i="2"/>
  <c r="AY3317" i="2"/>
  <c r="BA3316" i="2"/>
  <c r="AZ3316" i="2"/>
  <c r="AY3316" i="2"/>
  <c r="BA3315" i="2"/>
  <c r="AZ3315" i="2"/>
  <c r="AY3315" i="2"/>
  <c r="BA3314" i="2"/>
  <c r="AZ3314" i="2"/>
  <c r="AY3314" i="2"/>
  <c r="BA3313" i="2"/>
  <c r="AZ3313" i="2"/>
  <c r="AY3313" i="2"/>
  <c r="BA3312" i="2"/>
  <c r="AZ3312" i="2"/>
  <c r="AY3312" i="2"/>
  <c r="BA3311" i="2"/>
  <c r="AZ3311" i="2"/>
  <c r="AY3311" i="2"/>
  <c r="BA3310" i="2"/>
  <c r="AZ3310" i="2"/>
  <c r="AY3310" i="2"/>
  <c r="BA3309" i="2"/>
  <c r="AZ3309" i="2"/>
  <c r="AY3309" i="2"/>
  <c r="BA3308" i="2"/>
  <c r="AZ3308" i="2"/>
  <c r="AY3308" i="2"/>
  <c r="BA3307" i="2"/>
  <c r="AZ3307" i="2"/>
  <c r="AY3307" i="2"/>
  <c r="BA3306" i="2"/>
  <c r="AZ3306" i="2"/>
  <c r="AY3306" i="2"/>
  <c r="BA3305" i="2"/>
  <c r="AZ3305" i="2"/>
  <c r="AY3305" i="2"/>
  <c r="BA3304" i="2"/>
  <c r="AZ3304" i="2"/>
  <c r="AY3304" i="2"/>
  <c r="BA3303" i="2"/>
  <c r="AZ3303" i="2"/>
  <c r="AY3303" i="2"/>
  <c r="BA3302" i="2"/>
  <c r="AZ3302" i="2"/>
  <c r="AY3302" i="2"/>
  <c r="BA3301" i="2"/>
  <c r="AZ3301" i="2"/>
  <c r="AY3301" i="2"/>
  <c r="BA3300" i="2"/>
  <c r="AZ3300" i="2"/>
  <c r="AY3300" i="2"/>
  <c r="BA3299" i="2"/>
  <c r="AZ3299" i="2"/>
  <c r="AY3299" i="2"/>
  <c r="BA3298" i="2"/>
  <c r="AZ3298" i="2"/>
  <c r="AY3298" i="2"/>
  <c r="BA3297" i="2"/>
  <c r="AZ3297" i="2"/>
  <c r="AY3297" i="2"/>
  <c r="BA3296" i="2"/>
  <c r="AZ3296" i="2"/>
  <c r="AY3296" i="2"/>
  <c r="BA3295" i="2"/>
  <c r="AZ3295" i="2"/>
  <c r="AY3295" i="2"/>
  <c r="BA3294" i="2"/>
  <c r="AZ3294" i="2"/>
  <c r="AY3294" i="2"/>
  <c r="BA3293" i="2"/>
  <c r="AZ3293" i="2"/>
  <c r="AY3293" i="2"/>
  <c r="BA3292" i="2"/>
  <c r="AZ3292" i="2"/>
  <c r="AY3292" i="2"/>
  <c r="BA3291" i="2"/>
  <c r="AZ3291" i="2"/>
  <c r="AY3291" i="2"/>
  <c r="BA3290" i="2"/>
  <c r="AZ3290" i="2"/>
  <c r="AY3290" i="2"/>
  <c r="BA3289" i="2"/>
  <c r="AZ3289" i="2"/>
  <c r="AY3289" i="2"/>
  <c r="BA3288" i="2"/>
  <c r="AZ3288" i="2"/>
  <c r="AY3288" i="2"/>
  <c r="BA3287" i="2"/>
  <c r="AZ3287" i="2"/>
  <c r="AY3287" i="2"/>
  <c r="BA3286" i="2"/>
  <c r="AZ3286" i="2"/>
  <c r="AY3286" i="2"/>
  <c r="BA3285" i="2"/>
  <c r="AZ3285" i="2"/>
  <c r="AY3285" i="2"/>
  <c r="BA3284" i="2"/>
  <c r="AZ3284" i="2"/>
  <c r="AY3284" i="2"/>
  <c r="BA3283" i="2"/>
  <c r="AZ3283" i="2"/>
  <c r="AY3283" i="2"/>
  <c r="BA3282" i="2"/>
  <c r="AZ3282" i="2"/>
  <c r="AY3282" i="2"/>
  <c r="BA3281" i="2"/>
  <c r="AZ3281" i="2"/>
  <c r="AY3281" i="2"/>
  <c r="BA3280" i="2"/>
  <c r="AZ3280" i="2"/>
  <c r="AY3280" i="2"/>
  <c r="BA3279" i="2"/>
  <c r="AZ3279" i="2"/>
  <c r="AY3279" i="2"/>
  <c r="BA3278" i="2"/>
  <c r="AZ3278" i="2"/>
  <c r="AY3278" i="2"/>
  <c r="BA3277" i="2"/>
  <c r="AZ3277" i="2"/>
  <c r="AY3277" i="2"/>
  <c r="BA3276" i="2"/>
  <c r="AZ3276" i="2"/>
  <c r="AY3276" i="2"/>
  <c r="BA3275" i="2"/>
  <c r="AZ3275" i="2"/>
  <c r="AY3275" i="2"/>
  <c r="BA3274" i="2"/>
  <c r="AZ3274" i="2"/>
  <c r="AY3274" i="2"/>
  <c r="BA3273" i="2"/>
  <c r="AZ3273" i="2"/>
  <c r="AY3273" i="2"/>
  <c r="BA3272" i="2"/>
  <c r="AZ3272" i="2"/>
  <c r="AY3272" i="2"/>
  <c r="BA3271" i="2"/>
  <c r="AZ3271" i="2"/>
  <c r="AY3271" i="2"/>
  <c r="BA3270" i="2"/>
  <c r="AZ3270" i="2"/>
  <c r="AY3270" i="2"/>
  <c r="BA3269" i="2"/>
  <c r="AZ3269" i="2"/>
  <c r="AY3269" i="2"/>
  <c r="BA3268" i="2"/>
  <c r="AZ3268" i="2"/>
  <c r="AY3268" i="2"/>
  <c r="BA3267" i="2"/>
  <c r="AZ3267" i="2"/>
  <c r="AY3267" i="2"/>
  <c r="BA3266" i="2"/>
  <c r="AZ3266" i="2"/>
  <c r="AY3266" i="2"/>
  <c r="BA3265" i="2"/>
  <c r="AZ3265" i="2"/>
  <c r="AY3265" i="2"/>
  <c r="BA3264" i="2"/>
  <c r="AZ3264" i="2"/>
  <c r="AY3264" i="2"/>
  <c r="BA3263" i="2"/>
  <c r="AZ3263" i="2"/>
  <c r="AY3263" i="2"/>
  <c r="BA3262" i="2"/>
  <c r="AZ3262" i="2"/>
  <c r="AY3262" i="2"/>
  <c r="BA3261" i="2"/>
  <c r="AZ3261" i="2"/>
  <c r="AY3261" i="2"/>
  <c r="BA3260" i="2"/>
  <c r="AZ3260" i="2"/>
  <c r="AY3260" i="2"/>
  <c r="BA3259" i="2"/>
  <c r="AZ3259" i="2"/>
  <c r="AY3259" i="2"/>
  <c r="BA3258" i="2"/>
  <c r="AZ3258" i="2"/>
  <c r="AY3258" i="2"/>
  <c r="BA3257" i="2"/>
  <c r="AZ3257" i="2"/>
  <c r="AY3257" i="2"/>
  <c r="BA3256" i="2"/>
  <c r="AZ3256" i="2"/>
  <c r="AY3256" i="2"/>
  <c r="BA3255" i="2"/>
  <c r="AZ3255" i="2"/>
  <c r="AY3255" i="2"/>
  <c r="BA3254" i="2"/>
  <c r="AZ3254" i="2"/>
  <c r="AY3254" i="2"/>
  <c r="BA3253" i="2"/>
  <c r="AZ3253" i="2"/>
  <c r="AY3253" i="2"/>
  <c r="BA3252" i="2"/>
  <c r="AZ3252" i="2"/>
  <c r="AY3252" i="2"/>
  <c r="BA3251" i="2"/>
  <c r="AZ3251" i="2"/>
  <c r="AY3251" i="2"/>
  <c r="BA3250" i="2"/>
  <c r="AZ3250" i="2"/>
  <c r="AY3250" i="2"/>
  <c r="BA3249" i="2"/>
  <c r="AZ3249" i="2"/>
  <c r="AY3249" i="2"/>
  <c r="BA3248" i="2"/>
  <c r="AZ3248" i="2"/>
  <c r="AY3248" i="2"/>
  <c r="BA3247" i="2"/>
  <c r="AZ3247" i="2"/>
  <c r="AY3247" i="2"/>
  <c r="BA3246" i="2"/>
  <c r="AZ3246" i="2"/>
  <c r="AY3246" i="2"/>
  <c r="BA3245" i="2"/>
  <c r="AZ3245" i="2"/>
  <c r="AY3245" i="2"/>
  <c r="BA3244" i="2"/>
  <c r="AZ3244" i="2"/>
  <c r="AY3244" i="2"/>
  <c r="BA3243" i="2"/>
  <c r="AZ3243" i="2"/>
  <c r="AY3243" i="2"/>
  <c r="BA3242" i="2"/>
  <c r="AZ3242" i="2"/>
  <c r="AY3242" i="2"/>
  <c r="BA3241" i="2"/>
  <c r="AZ3241" i="2"/>
  <c r="AY3241" i="2"/>
  <c r="BA3240" i="2"/>
  <c r="AZ3240" i="2"/>
  <c r="AY3240" i="2"/>
  <c r="BA3239" i="2"/>
  <c r="AZ3239" i="2"/>
  <c r="AY3239" i="2"/>
  <c r="BA3238" i="2"/>
  <c r="AZ3238" i="2"/>
  <c r="AY3238" i="2"/>
  <c r="BA3237" i="2"/>
  <c r="AZ3237" i="2"/>
  <c r="AY3237" i="2"/>
  <c r="BA3236" i="2"/>
  <c r="AZ3236" i="2"/>
  <c r="AY3236" i="2"/>
  <c r="BA3235" i="2"/>
  <c r="AZ3235" i="2"/>
  <c r="AY3235" i="2"/>
  <c r="BA3234" i="2"/>
  <c r="AZ3234" i="2"/>
  <c r="AY3234" i="2"/>
  <c r="BA3233" i="2"/>
  <c r="AZ3233" i="2"/>
  <c r="AY3233" i="2"/>
  <c r="BA3232" i="2"/>
  <c r="AZ3232" i="2"/>
  <c r="AY3232" i="2"/>
  <c r="BA3231" i="2"/>
  <c r="AZ3231" i="2"/>
  <c r="AY3231" i="2"/>
  <c r="BA3230" i="2"/>
  <c r="AZ3230" i="2"/>
  <c r="AY3230" i="2"/>
  <c r="BA3229" i="2"/>
  <c r="AZ3229" i="2"/>
  <c r="AY3229" i="2"/>
  <c r="BA3228" i="2"/>
  <c r="AZ3228" i="2"/>
  <c r="AY3228" i="2"/>
  <c r="BA3227" i="2"/>
  <c r="AZ3227" i="2"/>
  <c r="AY3227" i="2"/>
  <c r="BA3226" i="2"/>
  <c r="AZ3226" i="2"/>
  <c r="AY3226" i="2"/>
  <c r="BA3225" i="2"/>
  <c r="AZ3225" i="2"/>
  <c r="AY3225" i="2"/>
  <c r="BA3224" i="2"/>
  <c r="AZ3224" i="2"/>
  <c r="AY3224" i="2"/>
  <c r="BA3223" i="2"/>
  <c r="AZ3223" i="2"/>
  <c r="AY3223" i="2"/>
  <c r="BA3222" i="2"/>
  <c r="AZ3222" i="2"/>
  <c r="AY3222" i="2"/>
  <c r="BA3221" i="2"/>
  <c r="AZ3221" i="2"/>
  <c r="AY3221" i="2"/>
  <c r="BA3220" i="2"/>
  <c r="AZ3220" i="2"/>
  <c r="AY3220" i="2"/>
  <c r="BA3219" i="2"/>
  <c r="AZ3219" i="2"/>
  <c r="AY3219" i="2"/>
  <c r="BA3218" i="2"/>
  <c r="AZ3218" i="2"/>
  <c r="AY3218" i="2"/>
  <c r="BA3217" i="2"/>
  <c r="AZ3217" i="2"/>
  <c r="AY3217" i="2"/>
  <c r="BA3216" i="2"/>
  <c r="AZ3216" i="2"/>
  <c r="AY3216" i="2"/>
  <c r="BA3215" i="2"/>
  <c r="AZ3215" i="2"/>
  <c r="AY3215" i="2"/>
  <c r="BA3214" i="2"/>
  <c r="AZ3214" i="2"/>
  <c r="AY3214" i="2"/>
  <c r="BA3213" i="2"/>
  <c r="AZ3213" i="2"/>
  <c r="AY3213" i="2"/>
  <c r="BA3212" i="2"/>
  <c r="AZ3212" i="2"/>
  <c r="AY3212" i="2"/>
  <c r="BA3211" i="2"/>
  <c r="AZ3211" i="2"/>
  <c r="AY3211" i="2"/>
  <c r="BA3210" i="2"/>
  <c r="AZ3210" i="2"/>
  <c r="AY3210" i="2"/>
  <c r="BA3209" i="2"/>
  <c r="AZ3209" i="2"/>
  <c r="AY3209" i="2"/>
  <c r="BA3208" i="2"/>
  <c r="AZ3208" i="2"/>
  <c r="AY3208" i="2"/>
  <c r="BA3207" i="2"/>
  <c r="AZ3207" i="2"/>
  <c r="AY3207" i="2"/>
  <c r="BA3206" i="2"/>
  <c r="AZ3206" i="2"/>
  <c r="AY3206" i="2"/>
  <c r="BA3205" i="2"/>
  <c r="AZ3205" i="2"/>
  <c r="AY3205" i="2"/>
  <c r="BA3204" i="2"/>
  <c r="AZ3204" i="2"/>
  <c r="AY3204" i="2"/>
  <c r="BA3203" i="2"/>
  <c r="AZ3203" i="2"/>
  <c r="AY3203" i="2"/>
  <c r="BA3202" i="2"/>
  <c r="AZ3202" i="2"/>
  <c r="AY3202" i="2"/>
  <c r="BA3201" i="2"/>
  <c r="AZ3201" i="2"/>
  <c r="AY3201" i="2"/>
  <c r="BA3200" i="2"/>
  <c r="AZ3200" i="2"/>
  <c r="AY3200" i="2"/>
  <c r="BA3199" i="2"/>
  <c r="AZ3199" i="2"/>
  <c r="AY3199" i="2"/>
  <c r="BA3198" i="2"/>
  <c r="AZ3198" i="2"/>
  <c r="AY3198" i="2"/>
  <c r="BA3197" i="2"/>
  <c r="AZ3197" i="2"/>
  <c r="AY3197" i="2"/>
  <c r="BA3196" i="2"/>
  <c r="AZ3196" i="2"/>
  <c r="AY3196" i="2"/>
  <c r="BA3195" i="2"/>
  <c r="AZ3195" i="2"/>
  <c r="AY3195" i="2"/>
  <c r="BA3194" i="2"/>
  <c r="AZ3194" i="2"/>
  <c r="AY3194" i="2"/>
  <c r="BA3193" i="2"/>
  <c r="AZ3193" i="2"/>
  <c r="AY3193" i="2"/>
  <c r="BA3192" i="2"/>
  <c r="AZ3192" i="2"/>
  <c r="AY3192" i="2"/>
  <c r="BA3191" i="2"/>
  <c r="AZ3191" i="2"/>
  <c r="AY3191" i="2"/>
  <c r="BA3190" i="2"/>
  <c r="AZ3190" i="2"/>
  <c r="AY3190" i="2"/>
  <c r="BA3189" i="2"/>
  <c r="AZ3189" i="2"/>
  <c r="AY3189" i="2"/>
  <c r="BA3188" i="2"/>
  <c r="AZ3188" i="2"/>
  <c r="AY3188" i="2"/>
  <c r="BA3187" i="2"/>
  <c r="AZ3187" i="2"/>
  <c r="AY3187" i="2"/>
  <c r="BA3186" i="2"/>
  <c r="AZ3186" i="2"/>
  <c r="AY3186" i="2"/>
  <c r="BA3185" i="2"/>
  <c r="AZ3185" i="2"/>
  <c r="AY3185" i="2"/>
  <c r="BA3184" i="2"/>
  <c r="AZ3184" i="2"/>
  <c r="AY3184" i="2"/>
  <c r="BA3183" i="2"/>
  <c r="AZ3183" i="2"/>
  <c r="AY3183" i="2"/>
  <c r="BA3182" i="2"/>
  <c r="AZ3182" i="2"/>
  <c r="AY3182" i="2"/>
  <c r="BA3181" i="2"/>
  <c r="AZ3181" i="2"/>
  <c r="AY3181" i="2"/>
  <c r="BA3180" i="2"/>
  <c r="AZ3180" i="2"/>
  <c r="AY3180" i="2"/>
  <c r="BA3179" i="2"/>
  <c r="AZ3179" i="2"/>
  <c r="AY3179" i="2"/>
  <c r="BA3178" i="2"/>
  <c r="AZ3178" i="2"/>
  <c r="AY3178" i="2"/>
  <c r="BA3177" i="2"/>
  <c r="AZ3177" i="2"/>
  <c r="AY3177" i="2"/>
  <c r="BA3176" i="2"/>
  <c r="AZ3176" i="2"/>
  <c r="AY3176" i="2"/>
  <c r="BA3175" i="2"/>
  <c r="AZ3175" i="2"/>
  <c r="AY3175" i="2"/>
  <c r="BA3174" i="2"/>
  <c r="AZ3174" i="2"/>
  <c r="AY3174" i="2"/>
  <c r="BA3173" i="2"/>
  <c r="AZ3173" i="2"/>
  <c r="AY3173" i="2"/>
  <c r="BA3172" i="2"/>
  <c r="AZ3172" i="2"/>
  <c r="AY3172" i="2"/>
  <c r="BA3171" i="2"/>
  <c r="AZ3171" i="2"/>
  <c r="AY3171" i="2"/>
  <c r="BA3170" i="2"/>
  <c r="AZ3170" i="2"/>
  <c r="AY3170" i="2"/>
  <c r="BA3169" i="2"/>
  <c r="AZ3169" i="2"/>
  <c r="AY3169" i="2"/>
  <c r="BA3168" i="2"/>
  <c r="AZ3168" i="2"/>
  <c r="AY3168" i="2"/>
  <c r="BA3167" i="2"/>
  <c r="AZ3167" i="2"/>
  <c r="AY3167" i="2"/>
  <c r="BA3166" i="2"/>
  <c r="AZ3166" i="2"/>
  <c r="AY3166" i="2"/>
  <c r="BA3165" i="2"/>
  <c r="AZ3165" i="2"/>
  <c r="AY3165" i="2"/>
  <c r="BA3164" i="2"/>
  <c r="AZ3164" i="2"/>
  <c r="AY3164" i="2"/>
  <c r="BA3163" i="2"/>
  <c r="AZ3163" i="2"/>
  <c r="AY3163" i="2"/>
  <c r="BA3162" i="2"/>
  <c r="AZ3162" i="2"/>
  <c r="AY3162" i="2"/>
  <c r="BA3161" i="2"/>
  <c r="AZ3161" i="2"/>
  <c r="AY3161" i="2"/>
  <c r="BA3160" i="2"/>
  <c r="AZ3160" i="2"/>
  <c r="AY3160" i="2"/>
  <c r="BA3159" i="2"/>
  <c r="AZ3159" i="2"/>
  <c r="AY3159" i="2"/>
  <c r="BA3158" i="2"/>
  <c r="AZ3158" i="2"/>
  <c r="AY3158" i="2"/>
  <c r="BA3157" i="2"/>
  <c r="AZ3157" i="2"/>
  <c r="AY3157" i="2"/>
  <c r="BA3156" i="2"/>
  <c r="AZ3156" i="2"/>
  <c r="AY3156" i="2"/>
  <c r="BA3155" i="2"/>
  <c r="AZ3155" i="2"/>
  <c r="AY3155" i="2"/>
  <c r="BA3154" i="2"/>
  <c r="AZ3154" i="2"/>
  <c r="AY3154" i="2"/>
  <c r="BA3153" i="2"/>
  <c r="AZ3153" i="2"/>
  <c r="AY3153" i="2"/>
  <c r="BA3152" i="2"/>
  <c r="AZ3152" i="2"/>
  <c r="AY3152" i="2"/>
  <c r="BA3151" i="2"/>
  <c r="AZ3151" i="2"/>
  <c r="AY3151" i="2"/>
  <c r="BA3150" i="2"/>
  <c r="AZ3150" i="2"/>
  <c r="AY3150" i="2"/>
  <c r="BA3149" i="2"/>
  <c r="AZ3149" i="2"/>
  <c r="AY3149" i="2"/>
  <c r="BA3148" i="2"/>
  <c r="AZ3148" i="2"/>
  <c r="AY3148" i="2"/>
  <c r="BA3147" i="2"/>
  <c r="AZ3147" i="2"/>
  <c r="AY3147" i="2"/>
  <c r="BA3146" i="2"/>
  <c r="AZ3146" i="2"/>
  <c r="AY3146" i="2"/>
  <c r="BA3145" i="2"/>
  <c r="AZ3145" i="2"/>
  <c r="AY3145" i="2"/>
  <c r="BA3144" i="2"/>
  <c r="AZ3144" i="2"/>
  <c r="AY3144" i="2"/>
  <c r="BA3143" i="2"/>
  <c r="AZ3143" i="2"/>
  <c r="AY3143" i="2"/>
  <c r="BA3142" i="2"/>
  <c r="AZ3142" i="2"/>
  <c r="AY3142" i="2"/>
  <c r="BA3141" i="2"/>
  <c r="AZ3141" i="2"/>
  <c r="AY3141" i="2"/>
  <c r="BA3140" i="2"/>
  <c r="AZ3140" i="2"/>
  <c r="AY3140" i="2"/>
  <c r="BA3139" i="2"/>
  <c r="AZ3139" i="2"/>
  <c r="AY3139" i="2"/>
  <c r="BA3138" i="2"/>
  <c r="AZ3138" i="2"/>
  <c r="AY3138" i="2"/>
  <c r="BA3137" i="2"/>
  <c r="AZ3137" i="2"/>
  <c r="AY3137" i="2"/>
  <c r="BA3136" i="2"/>
  <c r="AZ3136" i="2"/>
  <c r="AY3136" i="2"/>
  <c r="BA3135" i="2"/>
  <c r="AZ3135" i="2"/>
  <c r="AY3135" i="2"/>
  <c r="BA3134" i="2"/>
  <c r="AZ3134" i="2"/>
  <c r="AY3134" i="2"/>
  <c r="BA3133" i="2"/>
  <c r="AZ3133" i="2"/>
  <c r="AY3133" i="2"/>
  <c r="BA3132" i="2"/>
  <c r="AZ3132" i="2"/>
  <c r="AY3132" i="2"/>
  <c r="BA3131" i="2"/>
  <c r="AZ3131" i="2"/>
  <c r="AY3131" i="2"/>
  <c r="BA3130" i="2"/>
  <c r="AZ3130" i="2"/>
  <c r="AY3130" i="2"/>
  <c r="BA3129" i="2"/>
  <c r="AZ3129" i="2"/>
  <c r="AY3129" i="2"/>
  <c r="BA3128" i="2"/>
  <c r="AZ3128" i="2"/>
  <c r="AY3128" i="2"/>
  <c r="BA3127" i="2"/>
  <c r="AZ3127" i="2"/>
  <c r="AY3127" i="2"/>
  <c r="BA3126" i="2"/>
  <c r="AZ3126" i="2"/>
  <c r="AY3126" i="2"/>
  <c r="BA3125" i="2"/>
  <c r="AZ3125" i="2"/>
  <c r="AY3125" i="2"/>
  <c r="BA3124" i="2"/>
  <c r="AZ3124" i="2"/>
  <c r="AY3124" i="2"/>
  <c r="BA3123" i="2"/>
  <c r="AZ3123" i="2"/>
  <c r="AY3123" i="2"/>
  <c r="BA3122" i="2"/>
  <c r="AZ3122" i="2"/>
  <c r="AY3122" i="2"/>
  <c r="BA3121" i="2"/>
  <c r="AZ3121" i="2"/>
  <c r="AY3121" i="2"/>
  <c r="BA3120" i="2"/>
  <c r="AZ3120" i="2"/>
  <c r="AY3120" i="2"/>
  <c r="BA3119" i="2"/>
  <c r="AZ3119" i="2"/>
  <c r="AY3119" i="2"/>
  <c r="BA3118" i="2"/>
  <c r="AZ3118" i="2"/>
  <c r="AY3118" i="2"/>
  <c r="BA3117" i="2"/>
  <c r="AZ3117" i="2"/>
  <c r="AY3117" i="2"/>
  <c r="BA3116" i="2"/>
  <c r="AZ3116" i="2"/>
  <c r="AY3116" i="2"/>
  <c r="BA3115" i="2"/>
  <c r="AZ3115" i="2"/>
  <c r="AY3115" i="2"/>
  <c r="BA3114" i="2"/>
  <c r="AZ3114" i="2"/>
  <c r="AY3114" i="2"/>
  <c r="BA3113" i="2"/>
  <c r="AZ3113" i="2"/>
  <c r="AY3113" i="2"/>
  <c r="BA3112" i="2"/>
  <c r="AZ3112" i="2"/>
  <c r="AY3112" i="2"/>
  <c r="BA3111" i="2"/>
  <c r="AZ3111" i="2"/>
  <c r="AY3111" i="2"/>
  <c r="BA3110" i="2"/>
  <c r="AZ3110" i="2"/>
  <c r="AY3110" i="2"/>
  <c r="BA3109" i="2"/>
  <c r="AZ3109" i="2"/>
  <c r="AY3109" i="2"/>
  <c r="BA3108" i="2"/>
  <c r="AZ3108" i="2"/>
  <c r="AY3108" i="2"/>
  <c r="BA3107" i="2"/>
  <c r="AZ3107" i="2"/>
  <c r="AY3107" i="2"/>
  <c r="BA3106" i="2"/>
  <c r="AZ3106" i="2"/>
  <c r="AY3106" i="2"/>
  <c r="BA3105" i="2"/>
  <c r="AZ3105" i="2"/>
  <c r="AY3105" i="2"/>
  <c r="BA3104" i="2"/>
  <c r="AZ3104" i="2"/>
  <c r="AY3104" i="2"/>
  <c r="BA3103" i="2"/>
  <c r="AZ3103" i="2"/>
  <c r="AY3103" i="2"/>
  <c r="BA3102" i="2"/>
  <c r="AZ3102" i="2"/>
  <c r="AY3102" i="2"/>
  <c r="BA3101" i="2"/>
  <c r="AZ3101" i="2"/>
  <c r="AY3101" i="2"/>
  <c r="BA3100" i="2"/>
  <c r="AZ3100" i="2"/>
  <c r="AY3100" i="2"/>
  <c r="BA3099" i="2"/>
  <c r="AZ3099" i="2"/>
  <c r="AY3099" i="2"/>
  <c r="BA3098" i="2"/>
  <c r="AZ3098" i="2"/>
  <c r="AY3098" i="2"/>
  <c r="BA3097" i="2"/>
  <c r="AZ3097" i="2"/>
  <c r="AY3097" i="2"/>
  <c r="BA3096" i="2"/>
  <c r="AZ3096" i="2"/>
  <c r="AY3096" i="2"/>
  <c r="BA3095" i="2"/>
  <c r="AZ3095" i="2"/>
  <c r="AY3095" i="2"/>
  <c r="BA3094" i="2"/>
  <c r="AZ3094" i="2"/>
  <c r="AY3094" i="2"/>
  <c r="BA3093" i="2"/>
  <c r="AZ3093" i="2"/>
  <c r="AY3093" i="2"/>
  <c r="BA3092" i="2"/>
  <c r="AZ3092" i="2"/>
  <c r="AY3092" i="2"/>
  <c r="BA3091" i="2"/>
  <c r="AZ3091" i="2"/>
  <c r="AY3091" i="2"/>
  <c r="BA3090" i="2"/>
  <c r="AZ3090" i="2"/>
  <c r="AY3090" i="2"/>
  <c r="BA3089" i="2"/>
  <c r="AZ3089" i="2"/>
  <c r="AY3089" i="2"/>
  <c r="BA3088" i="2"/>
  <c r="AZ3088" i="2"/>
  <c r="AY3088" i="2"/>
  <c r="BA3087" i="2"/>
  <c r="AZ3087" i="2"/>
  <c r="AY3087" i="2"/>
  <c r="BA3086" i="2"/>
  <c r="AZ3086" i="2"/>
  <c r="AY3086" i="2"/>
  <c r="BA3085" i="2"/>
  <c r="AZ3085" i="2"/>
  <c r="AY3085" i="2"/>
  <c r="BA3084" i="2"/>
  <c r="AZ3084" i="2"/>
  <c r="AY3084" i="2"/>
  <c r="BA3083" i="2"/>
  <c r="AZ3083" i="2"/>
  <c r="AY3083" i="2"/>
  <c r="BA3082" i="2"/>
  <c r="AZ3082" i="2"/>
  <c r="AY3082" i="2"/>
  <c r="BA3081" i="2"/>
  <c r="AZ3081" i="2"/>
  <c r="AY3081" i="2"/>
  <c r="BA3080" i="2"/>
  <c r="AZ3080" i="2"/>
  <c r="AY3080" i="2"/>
  <c r="BA3079" i="2"/>
  <c r="AZ3079" i="2"/>
  <c r="AY3079" i="2"/>
  <c r="BA3078" i="2"/>
  <c r="AZ3078" i="2"/>
  <c r="AY3078" i="2"/>
  <c r="BA3077" i="2"/>
  <c r="AZ3077" i="2"/>
  <c r="AY3077" i="2"/>
  <c r="BA3076" i="2"/>
  <c r="AZ3076" i="2"/>
  <c r="AY3076" i="2"/>
  <c r="BA3075" i="2"/>
  <c r="AZ3075" i="2"/>
  <c r="AY3075" i="2"/>
  <c r="BA3074" i="2"/>
  <c r="AZ3074" i="2"/>
  <c r="AY3074" i="2"/>
  <c r="BA3073" i="2"/>
  <c r="AZ3073" i="2"/>
  <c r="AY3073" i="2"/>
  <c r="BA3072" i="2"/>
  <c r="AZ3072" i="2"/>
  <c r="AY3072" i="2"/>
  <c r="BA3071" i="2"/>
  <c r="AZ3071" i="2"/>
  <c r="AY3071" i="2"/>
  <c r="BA3070" i="2"/>
  <c r="AZ3070" i="2"/>
  <c r="AY3070" i="2"/>
  <c r="BA3069" i="2"/>
  <c r="AZ3069" i="2"/>
  <c r="AY3069" i="2"/>
  <c r="BA3068" i="2"/>
  <c r="AZ3068" i="2"/>
  <c r="AY3068" i="2"/>
  <c r="BA3067" i="2"/>
  <c r="AZ3067" i="2"/>
  <c r="AY3067" i="2"/>
  <c r="BA3066" i="2"/>
  <c r="AZ3066" i="2"/>
  <c r="AY3066" i="2"/>
  <c r="BA3065" i="2"/>
  <c r="AZ3065" i="2"/>
  <c r="AY3065" i="2"/>
  <c r="BA3064" i="2"/>
  <c r="AZ3064" i="2"/>
  <c r="AY3064" i="2"/>
  <c r="BA3063" i="2"/>
  <c r="AZ3063" i="2"/>
  <c r="AY3063" i="2"/>
  <c r="BA3062" i="2"/>
  <c r="AZ3062" i="2"/>
  <c r="AY3062" i="2"/>
  <c r="BA3061" i="2"/>
  <c r="AZ3061" i="2"/>
  <c r="AY3061" i="2"/>
  <c r="BA3060" i="2"/>
  <c r="AZ3060" i="2"/>
  <c r="AY3060" i="2"/>
  <c r="BA3059" i="2"/>
  <c r="AZ3059" i="2"/>
  <c r="AY3059" i="2"/>
  <c r="BA3058" i="2"/>
  <c r="AZ3058" i="2"/>
  <c r="AY3058" i="2"/>
  <c r="BA3057" i="2"/>
  <c r="AZ3057" i="2"/>
  <c r="AY3057" i="2"/>
  <c r="BA3056" i="2"/>
  <c r="AZ3056" i="2"/>
  <c r="AY3056" i="2"/>
  <c r="BA3055" i="2"/>
  <c r="AZ3055" i="2"/>
  <c r="AY3055" i="2"/>
  <c r="BA3054" i="2"/>
  <c r="AZ3054" i="2"/>
  <c r="AY3054" i="2"/>
  <c r="BA3053" i="2"/>
  <c r="AZ3053" i="2"/>
  <c r="AY3053" i="2"/>
  <c r="BA3052" i="2"/>
  <c r="AZ3052" i="2"/>
  <c r="AY3052" i="2"/>
  <c r="BA3051" i="2"/>
  <c r="AZ3051" i="2"/>
  <c r="AY3051" i="2"/>
  <c r="BA3050" i="2"/>
  <c r="AZ3050" i="2"/>
  <c r="AY3050" i="2"/>
  <c r="BA3049" i="2"/>
  <c r="AZ3049" i="2"/>
  <c r="AY3049" i="2"/>
  <c r="BA3048" i="2"/>
  <c r="AZ3048" i="2"/>
  <c r="AY3048" i="2"/>
  <c r="BA3047" i="2"/>
  <c r="AZ3047" i="2"/>
  <c r="AY3047" i="2"/>
  <c r="BA3046" i="2"/>
  <c r="AZ3046" i="2"/>
  <c r="AY3046" i="2"/>
  <c r="BA3045" i="2"/>
  <c r="AZ3045" i="2"/>
  <c r="AY3045" i="2"/>
  <c r="BA3044" i="2"/>
  <c r="AZ3044" i="2"/>
  <c r="AY3044" i="2"/>
  <c r="BA3043" i="2"/>
  <c r="AZ3043" i="2"/>
  <c r="AY3043" i="2"/>
  <c r="BA3042" i="2"/>
  <c r="AZ3042" i="2"/>
  <c r="AY3042" i="2"/>
  <c r="BA3041" i="2"/>
  <c r="AZ3041" i="2"/>
  <c r="AY3041" i="2"/>
  <c r="BA3040" i="2"/>
  <c r="AZ3040" i="2"/>
  <c r="AY3040" i="2"/>
  <c r="BA3039" i="2"/>
  <c r="AZ3039" i="2"/>
  <c r="AY3039" i="2"/>
  <c r="BA3038" i="2"/>
  <c r="AZ3038" i="2"/>
  <c r="AY3038" i="2"/>
  <c r="BA3037" i="2"/>
  <c r="AZ3037" i="2"/>
  <c r="AY3037" i="2"/>
  <c r="BA3036" i="2"/>
  <c r="AZ3036" i="2"/>
  <c r="AY3036" i="2"/>
  <c r="BA3035" i="2"/>
  <c r="AZ3035" i="2"/>
  <c r="AY3035" i="2"/>
  <c r="BA3034" i="2"/>
  <c r="AZ3034" i="2"/>
  <c r="AY3034" i="2"/>
  <c r="BA3033" i="2"/>
  <c r="AZ3033" i="2"/>
  <c r="AY3033" i="2"/>
  <c r="BA3032" i="2"/>
  <c r="AZ3032" i="2"/>
  <c r="AY3032" i="2"/>
  <c r="BA3031" i="2"/>
  <c r="AZ3031" i="2"/>
  <c r="AY3031" i="2"/>
  <c r="BA3030" i="2"/>
  <c r="AZ3030" i="2"/>
  <c r="AY3030" i="2"/>
  <c r="BA3029" i="2"/>
  <c r="AZ3029" i="2"/>
  <c r="AY3029" i="2"/>
  <c r="BA3028" i="2"/>
  <c r="AZ3028" i="2"/>
  <c r="AY3028" i="2"/>
  <c r="BA3027" i="2"/>
  <c r="AZ3027" i="2"/>
  <c r="AY3027" i="2"/>
  <c r="BA3026" i="2"/>
  <c r="AZ3026" i="2"/>
  <c r="AY3026" i="2"/>
  <c r="BA3025" i="2"/>
  <c r="AZ3025" i="2"/>
  <c r="AY3025" i="2"/>
  <c r="BA3024" i="2"/>
  <c r="AZ3024" i="2"/>
  <c r="AY3024" i="2"/>
  <c r="BA3023" i="2"/>
  <c r="AZ3023" i="2"/>
  <c r="AY3023" i="2"/>
  <c r="BA3022" i="2"/>
  <c r="AZ3022" i="2"/>
  <c r="AY3022" i="2"/>
  <c r="BA3021" i="2"/>
  <c r="AZ3021" i="2"/>
  <c r="AY3021" i="2"/>
  <c r="BA3020" i="2"/>
  <c r="AZ3020" i="2"/>
  <c r="AY3020" i="2"/>
  <c r="BA3019" i="2"/>
  <c r="AZ3019" i="2"/>
  <c r="AY3019" i="2"/>
  <c r="BA3018" i="2"/>
  <c r="AZ3018" i="2"/>
  <c r="AY3018" i="2"/>
  <c r="BA3017" i="2"/>
  <c r="AZ3017" i="2"/>
  <c r="AY3017" i="2"/>
  <c r="BA3016" i="2"/>
  <c r="AZ3016" i="2"/>
  <c r="AY3016" i="2"/>
  <c r="BA3015" i="2"/>
  <c r="AZ3015" i="2"/>
  <c r="AY3015" i="2"/>
  <c r="BA3014" i="2"/>
  <c r="AZ3014" i="2"/>
  <c r="AY3014" i="2"/>
  <c r="BA3013" i="2"/>
  <c r="AZ3013" i="2"/>
  <c r="AY3013" i="2"/>
  <c r="BA3012" i="2"/>
  <c r="AZ3012" i="2"/>
  <c r="AY3012" i="2"/>
  <c r="BA3011" i="2"/>
  <c r="AZ3011" i="2"/>
  <c r="AY3011" i="2"/>
  <c r="BA3010" i="2"/>
  <c r="AZ3010" i="2"/>
  <c r="AY3010" i="2"/>
  <c r="BA3009" i="2"/>
  <c r="AZ3009" i="2"/>
  <c r="AY3009" i="2"/>
  <c r="BA3008" i="2"/>
  <c r="AZ3008" i="2"/>
  <c r="AY3008" i="2"/>
  <c r="BA3007" i="2"/>
  <c r="AZ3007" i="2"/>
  <c r="AY3007" i="2"/>
  <c r="BA3006" i="2"/>
  <c r="AZ3006" i="2"/>
  <c r="AY3006" i="2"/>
  <c r="BA3005" i="2"/>
  <c r="AZ3005" i="2"/>
  <c r="AY3005" i="2"/>
  <c r="BA3004" i="2"/>
  <c r="AZ3004" i="2"/>
  <c r="AY3004" i="2"/>
  <c r="BA3003" i="2"/>
  <c r="AZ3003" i="2"/>
  <c r="AY3003" i="2"/>
  <c r="BA3002" i="2"/>
  <c r="AZ3002" i="2"/>
  <c r="AY3002" i="2"/>
  <c r="BA3001" i="2"/>
  <c r="AZ3001" i="2"/>
  <c r="AY3001" i="2"/>
  <c r="BA3000" i="2"/>
  <c r="AZ3000" i="2"/>
  <c r="AY3000" i="2"/>
  <c r="BA2999" i="2"/>
  <c r="AZ2999" i="2"/>
  <c r="AY2999" i="2"/>
  <c r="BA2998" i="2"/>
  <c r="AZ2998" i="2"/>
  <c r="AY2998" i="2"/>
  <c r="BA2997" i="2"/>
  <c r="AZ2997" i="2"/>
  <c r="AY2997" i="2"/>
  <c r="BA2996" i="2"/>
  <c r="AZ2996" i="2"/>
  <c r="AY2996" i="2"/>
  <c r="BA2995" i="2"/>
  <c r="AZ2995" i="2"/>
  <c r="AY2995" i="2"/>
  <c r="BA2994" i="2"/>
  <c r="AZ2994" i="2"/>
  <c r="AY2994" i="2"/>
  <c r="BA2993" i="2"/>
  <c r="AZ2993" i="2"/>
  <c r="AY2993" i="2"/>
  <c r="BA2992" i="2"/>
  <c r="AZ2992" i="2"/>
  <c r="AY2992" i="2"/>
  <c r="BA2991" i="2"/>
  <c r="AZ2991" i="2"/>
  <c r="AY2991" i="2"/>
  <c r="BA2990" i="2"/>
  <c r="AZ2990" i="2"/>
  <c r="AY2990" i="2"/>
  <c r="BA2989" i="2"/>
  <c r="AZ2989" i="2"/>
  <c r="AY2989" i="2"/>
  <c r="BA2988" i="2"/>
  <c r="AZ2988" i="2"/>
  <c r="AY2988" i="2"/>
  <c r="BA2987" i="2"/>
  <c r="AZ2987" i="2"/>
  <c r="AY2987" i="2"/>
  <c r="BA2986" i="2"/>
  <c r="AZ2986" i="2"/>
  <c r="AY2986" i="2"/>
  <c r="BA2985" i="2"/>
  <c r="AZ2985" i="2"/>
  <c r="AY2985" i="2"/>
  <c r="BA2984" i="2"/>
  <c r="AZ2984" i="2"/>
  <c r="AY2984" i="2"/>
  <c r="BA2983" i="2"/>
  <c r="AZ2983" i="2"/>
  <c r="AY2983" i="2"/>
  <c r="BA2982" i="2"/>
  <c r="AZ2982" i="2"/>
  <c r="AY2982" i="2"/>
  <c r="BA2981" i="2"/>
  <c r="AZ2981" i="2"/>
  <c r="AY2981" i="2"/>
  <c r="BA2980" i="2"/>
  <c r="AZ2980" i="2"/>
  <c r="AY2980" i="2"/>
  <c r="BA2979" i="2"/>
  <c r="AZ2979" i="2"/>
  <c r="AY2979" i="2"/>
  <c r="BA2978" i="2"/>
  <c r="AZ2978" i="2"/>
  <c r="AY2978" i="2"/>
  <c r="BA2977" i="2"/>
  <c r="AZ2977" i="2"/>
  <c r="AY2977" i="2"/>
  <c r="BA2976" i="2"/>
  <c r="AZ2976" i="2"/>
  <c r="AY2976" i="2"/>
  <c r="BA2975" i="2"/>
  <c r="AZ2975" i="2"/>
  <c r="AY2975" i="2"/>
  <c r="BA2974" i="2"/>
  <c r="AZ2974" i="2"/>
  <c r="AY2974" i="2"/>
  <c r="BA2973" i="2"/>
  <c r="AZ2973" i="2"/>
  <c r="AY2973" i="2"/>
  <c r="BA2972" i="2"/>
  <c r="AZ2972" i="2"/>
  <c r="AY2972" i="2"/>
  <c r="BA2971" i="2"/>
  <c r="AZ2971" i="2"/>
  <c r="AY2971" i="2"/>
  <c r="BA2970" i="2"/>
  <c r="AZ2970" i="2"/>
  <c r="AY2970" i="2"/>
  <c r="BA2969" i="2"/>
  <c r="AZ2969" i="2"/>
  <c r="AY2969" i="2"/>
  <c r="BA2968" i="2"/>
  <c r="AZ2968" i="2"/>
  <c r="AY2968" i="2"/>
  <c r="BA2967" i="2"/>
  <c r="AZ2967" i="2"/>
  <c r="AY2967" i="2"/>
  <c r="BA2966" i="2"/>
  <c r="AZ2966" i="2"/>
  <c r="AY2966" i="2"/>
  <c r="BA2965" i="2"/>
  <c r="AZ2965" i="2"/>
  <c r="AY2965" i="2"/>
  <c r="BA2964" i="2"/>
  <c r="AZ2964" i="2"/>
  <c r="AY2964" i="2"/>
  <c r="BA2963" i="2"/>
  <c r="AZ2963" i="2"/>
  <c r="AY2963" i="2"/>
  <c r="BA2962" i="2"/>
  <c r="AZ2962" i="2"/>
  <c r="AY2962" i="2"/>
  <c r="BA2961" i="2"/>
  <c r="AZ2961" i="2"/>
  <c r="AY2961" i="2"/>
  <c r="BA2960" i="2"/>
  <c r="AZ2960" i="2"/>
  <c r="AY2960" i="2"/>
  <c r="BA2959" i="2"/>
  <c r="AZ2959" i="2"/>
  <c r="AY2959" i="2"/>
  <c r="BA2958" i="2"/>
  <c r="AZ2958" i="2"/>
  <c r="AY2958" i="2"/>
  <c r="BA2957" i="2"/>
  <c r="AZ2957" i="2"/>
  <c r="AY2957" i="2"/>
  <c r="BA2956" i="2"/>
  <c r="AZ2956" i="2"/>
  <c r="AY2956" i="2"/>
  <c r="BA2955" i="2"/>
  <c r="AZ2955" i="2"/>
  <c r="AY2955" i="2"/>
  <c r="BA2954" i="2"/>
  <c r="AZ2954" i="2"/>
  <c r="AY2954" i="2"/>
  <c r="BA2953" i="2"/>
  <c r="AZ2953" i="2"/>
  <c r="AY2953" i="2"/>
  <c r="BA2952" i="2"/>
  <c r="AZ2952" i="2"/>
  <c r="AY2952" i="2"/>
  <c r="BA2951" i="2"/>
  <c r="AZ2951" i="2"/>
  <c r="AY2951" i="2"/>
  <c r="BA2950" i="2"/>
  <c r="AZ2950" i="2"/>
  <c r="AY2950" i="2"/>
  <c r="BA2949" i="2"/>
  <c r="AZ2949" i="2"/>
  <c r="AY2949" i="2"/>
  <c r="BA2948" i="2"/>
  <c r="AZ2948" i="2"/>
  <c r="AY2948" i="2"/>
  <c r="BA2947" i="2"/>
  <c r="AZ2947" i="2"/>
  <c r="AY2947" i="2"/>
  <c r="BA2946" i="2"/>
  <c r="AZ2946" i="2"/>
  <c r="AY2946" i="2"/>
  <c r="BA2945" i="2"/>
  <c r="AZ2945" i="2"/>
  <c r="AY2945" i="2"/>
  <c r="BA2944" i="2"/>
  <c r="AZ2944" i="2"/>
  <c r="AY2944" i="2"/>
  <c r="BA2943" i="2"/>
  <c r="AZ2943" i="2"/>
  <c r="AY2943" i="2"/>
  <c r="BA2942" i="2"/>
  <c r="AZ2942" i="2"/>
  <c r="AY2942" i="2"/>
  <c r="BA2941" i="2"/>
  <c r="AZ2941" i="2"/>
  <c r="AY2941" i="2"/>
  <c r="BA2940" i="2"/>
  <c r="AZ2940" i="2"/>
  <c r="AY2940" i="2"/>
  <c r="BA2939" i="2"/>
  <c r="AZ2939" i="2"/>
  <c r="AY2939" i="2"/>
  <c r="BA2938" i="2"/>
  <c r="AZ2938" i="2"/>
  <c r="AY2938" i="2"/>
  <c r="BA2937" i="2"/>
  <c r="AZ2937" i="2"/>
  <c r="AY2937" i="2"/>
  <c r="BA2936" i="2"/>
  <c r="AZ2936" i="2"/>
  <c r="AY2936" i="2"/>
  <c r="BA2935" i="2"/>
  <c r="AZ2935" i="2"/>
  <c r="AY2935" i="2"/>
  <c r="BA2934" i="2"/>
  <c r="AZ2934" i="2"/>
  <c r="AY2934" i="2"/>
  <c r="BA2933" i="2"/>
  <c r="AZ2933" i="2"/>
  <c r="AY2933" i="2"/>
  <c r="BA2932" i="2"/>
  <c r="AZ2932" i="2"/>
  <c r="AY2932" i="2"/>
  <c r="BA2931" i="2"/>
  <c r="AZ2931" i="2"/>
  <c r="AY2931" i="2"/>
  <c r="BA2930" i="2"/>
  <c r="AZ2930" i="2"/>
  <c r="AY2930" i="2"/>
  <c r="BA2929" i="2"/>
  <c r="AZ2929" i="2"/>
  <c r="AY2929" i="2"/>
  <c r="BA2928" i="2"/>
  <c r="AZ2928" i="2"/>
  <c r="AY2928" i="2"/>
  <c r="BA2927" i="2"/>
  <c r="AZ2927" i="2"/>
  <c r="AY2927" i="2"/>
  <c r="BA2926" i="2"/>
  <c r="AZ2926" i="2"/>
  <c r="AY2926" i="2"/>
  <c r="BA2925" i="2"/>
  <c r="AZ2925" i="2"/>
  <c r="AY2925" i="2"/>
  <c r="BA2924" i="2"/>
  <c r="AZ2924" i="2"/>
  <c r="AY2924" i="2"/>
  <c r="BA2923" i="2"/>
  <c r="AZ2923" i="2"/>
  <c r="AY2923" i="2"/>
  <c r="BA2922" i="2"/>
  <c r="AZ2922" i="2"/>
  <c r="AY2922" i="2"/>
  <c r="BA2921" i="2"/>
  <c r="AZ2921" i="2"/>
  <c r="AY2921" i="2"/>
  <c r="BA2920" i="2"/>
  <c r="AZ2920" i="2"/>
  <c r="AY2920" i="2"/>
  <c r="BA2919" i="2"/>
  <c r="AZ2919" i="2"/>
  <c r="AY2919" i="2"/>
  <c r="BA2918" i="2"/>
  <c r="AZ2918" i="2"/>
  <c r="AY2918" i="2"/>
  <c r="BA2917" i="2"/>
  <c r="AZ2917" i="2"/>
  <c r="AY2917" i="2"/>
  <c r="BA2916" i="2"/>
  <c r="AZ2916" i="2"/>
  <c r="AY2916" i="2"/>
  <c r="BA2915" i="2"/>
  <c r="AZ2915" i="2"/>
  <c r="AY2915" i="2"/>
  <c r="BA2914" i="2"/>
  <c r="AZ2914" i="2"/>
  <c r="AY2914" i="2"/>
  <c r="BA2913" i="2"/>
  <c r="AZ2913" i="2"/>
  <c r="AY2913" i="2"/>
  <c r="BA2912" i="2"/>
  <c r="AZ2912" i="2"/>
  <c r="AY2912" i="2"/>
  <c r="BA2911" i="2"/>
  <c r="AZ2911" i="2"/>
  <c r="AY2911" i="2"/>
  <c r="BA2910" i="2"/>
  <c r="AZ2910" i="2"/>
  <c r="AY2910" i="2"/>
  <c r="BA2909" i="2"/>
  <c r="AZ2909" i="2"/>
  <c r="AY2909" i="2"/>
  <c r="BA2908" i="2"/>
  <c r="AZ2908" i="2"/>
  <c r="AY2908" i="2"/>
  <c r="BA2907" i="2"/>
  <c r="AZ2907" i="2"/>
  <c r="AY2907" i="2"/>
  <c r="BA2906" i="2"/>
  <c r="AZ2906" i="2"/>
  <c r="AY2906" i="2"/>
  <c r="BA2905" i="2"/>
  <c r="AZ2905" i="2"/>
  <c r="AY2905" i="2"/>
  <c r="BA2904" i="2"/>
  <c r="AZ2904" i="2"/>
  <c r="AY2904" i="2"/>
  <c r="BA2903" i="2"/>
  <c r="AZ2903" i="2"/>
  <c r="AY2903" i="2"/>
  <c r="BA2902" i="2"/>
  <c r="AZ2902" i="2"/>
  <c r="AY2902" i="2"/>
  <c r="BA2901" i="2"/>
  <c r="AZ2901" i="2"/>
  <c r="AY2901" i="2"/>
  <c r="BA2900" i="2"/>
  <c r="AZ2900" i="2"/>
  <c r="AY2900" i="2"/>
  <c r="BA2899" i="2"/>
  <c r="AZ2899" i="2"/>
  <c r="AY2899" i="2"/>
  <c r="BA2898" i="2"/>
  <c r="AZ2898" i="2"/>
  <c r="AY2898" i="2"/>
  <c r="BA2897" i="2"/>
  <c r="AZ2897" i="2"/>
  <c r="AY2897" i="2"/>
  <c r="BA2896" i="2"/>
  <c r="AZ2896" i="2"/>
  <c r="AY2896" i="2"/>
  <c r="BA2895" i="2"/>
  <c r="AZ2895" i="2"/>
  <c r="AY2895" i="2"/>
  <c r="BA2894" i="2"/>
  <c r="AZ2894" i="2"/>
  <c r="AY2894" i="2"/>
  <c r="BA2893" i="2"/>
  <c r="AZ2893" i="2"/>
  <c r="AY2893" i="2"/>
  <c r="BA2892" i="2"/>
  <c r="AZ2892" i="2"/>
  <c r="AY2892" i="2"/>
  <c r="BA2891" i="2"/>
  <c r="AZ2891" i="2"/>
  <c r="AY2891" i="2"/>
  <c r="BA2890" i="2"/>
  <c r="AZ2890" i="2"/>
  <c r="AY2890" i="2"/>
  <c r="BA2889" i="2"/>
  <c r="AZ2889" i="2"/>
  <c r="AY2889" i="2"/>
  <c r="BA2888" i="2"/>
  <c r="AZ2888" i="2"/>
  <c r="AY2888" i="2"/>
  <c r="BA2887" i="2"/>
  <c r="AZ2887" i="2"/>
  <c r="AY2887" i="2"/>
  <c r="BA2886" i="2"/>
  <c r="AZ2886" i="2"/>
  <c r="AY2886" i="2"/>
  <c r="BA2885" i="2"/>
  <c r="AZ2885" i="2"/>
  <c r="AY2885" i="2"/>
  <c r="BA2884" i="2"/>
  <c r="AZ2884" i="2"/>
  <c r="AY2884" i="2"/>
  <c r="BA2883" i="2"/>
  <c r="AZ2883" i="2"/>
  <c r="AY2883" i="2"/>
  <c r="BA2882" i="2"/>
  <c r="AZ2882" i="2"/>
  <c r="AY2882" i="2"/>
  <c r="BA2881" i="2"/>
  <c r="AZ2881" i="2"/>
  <c r="AY2881" i="2"/>
  <c r="BA2880" i="2"/>
  <c r="AZ2880" i="2"/>
  <c r="AY2880" i="2"/>
  <c r="BA2879" i="2"/>
  <c r="AZ2879" i="2"/>
  <c r="AY2879" i="2"/>
  <c r="BA2878" i="2"/>
  <c r="AZ2878" i="2"/>
  <c r="AY2878" i="2"/>
  <c r="BA2877" i="2"/>
  <c r="AZ2877" i="2"/>
  <c r="AY2877" i="2"/>
  <c r="BA2876" i="2"/>
  <c r="AZ2876" i="2"/>
  <c r="AY2876" i="2"/>
  <c r="BA2875" i="2"/>
  <c r="AZ2875" i="2"/>
  <c r="AY2875" i="2"/>
  <c r="BA2874" i="2"/>
  <c r="AZ2874" i="2"/>
  <c r="AY2874" i="2"/>
  <c r="BA2873" i="2"/>
  <c r="AZ2873" i="2"/>
  <c r="AY2873" i="2"/>
  <c r="BA2872" i="2"/>
  <c r="AZ2872" i="2"/>
  <c r="AY2872" i="2"/>
  <c r="BA2871" i="2"/>
  <c r="AZ2871" i="2"/>
  <c r="AY2871" i="2"/>
  <c r="BA2870" i="2"/>
  <c r="AZ2870" i="2"/>
  <c r="AY2870" i="2"/>
  <c r="BA2869" i="2"/>
  <c r="AZ2869" i="2"/>
  <c r="AY2869" i="2"/>
  <c r="BA2868" i="2"/>
  <c r="AZ2868" i="2"/>
  <c r="AY2868" i="2"/>
  <c r="BA2867" i="2"/>
  <c r="AZ2867" i="2"/>
  <c r="AY2867" i="2"/>
  <c r="BA2866" i="2"/>
  <c r="AZ2866" i="2"/>
  <c r="AY2866" i="2"/>
  <c r="BA2865" i="2"/>
  <c r="AZ2865" i="2"/>
  <c r="AY2865" i="2"/>
  <c r="BA2864" i="2"/>
  <c r="AZ2864" i="2"/>
  <c r="AY2864" i="2"/>
  <c r="BA2863" i="2"/>
  <c r="AZ2863" i="2"/>
  <c r="AY2863" i="2"/>
  <c r="BA2862" i="2"/>
  <c r="AZ2862" i="2"/>
  <c r="AY2862" i="2"/>
  <c r="BA2861" i="2"/>
  <c r="AZ2861" i="2"/>
  <c r="AY2861" i="2"/>
  <c r="BA2860" i="2"/>
  <c r="AZ2860" i="2"/>
  <c r="AY2860" i="2"/>
  <c r="BA2859" i="2"/>
  <c r="AZ2859" i="2"/>
  <c r="AY2859" i="2"/>
  <c r="BA2858" i="2"/>
  <c r="AZ2858" i="2"/>
  <c r="AY2858" i="2"/>
  <c r="BA2857" i="2"/>
  <c r="AZ2857" i="2"/>
  <c r="AY2857" i="2"/>
  <c r="BA2856" i="2"/>
  <c r="AZ2856" i="2"/>
  <c r="AY2856" i="2"/>
  <c r="BA2855" i="2"/>
  <c r="AZ2855" i="2"/>
  <c r="AY2855" i="2"/>
  <c r="BA2854" i="2"/>
  <c r="AZ2854" i="2"/>
  <c r="AY2854" i="2"/>
  <c r="BA2853" i="2"/>
  <c r="AZ2853" i="2"/>
  <c r="AY2853" i="2"/>
  <c r="BA2852" i="2"/>
  <c r="AZ2852" i="2"/>
  <c r="AY2852" i="2"/>
  <c r="BA2851" i="2"/>
  <c r="AZ2851" i="2"/>
  <c r="AY2851" i="2"/>
  <c r="BA2850" i="2"/>
  <c r="AZ2850" i="2"/>
  <c r="AY2850" i="2"/>
  <c r="BA2849" i="2"/>
  <c r="AZ2849" i="2"/>
  <c r="AY2849" i="2"/>
  <c r="BA2848" i="2"/>
  <c r="AZ2848" i="2"/>
  <c r="AY2848" i="2"/>
  <c r="BA2847" i="2"/>
  <c r="AZ2847" i="2"/>
  <c r="AY2847" i="2"/>
  <c r="BA2846" i="2"/>
  <c r="AZ2846" i="2"/>
  <c r="AY2846" i="2"/>
  <c r="BA2845" i="2"/>
  <c r="AZ2845" i="2"/>
  <c r="AY2845" i="2"/>
  <c r="BA2844" i="2"/>
  <c r="AZ2844" i="2"/>
  <c r="AY2844" i="2"/>
  <c r="BA2843" i="2"/>
  <c r="AZ2843" i="2"/>
  <c r="AY2843" i="2"/>
  <c r="BA2842" i="2"/>
  <c r="AZ2842" i="2"/>
  <c r="AY2842" i="2"/>
  <c r="BA2841" i="2"/>
  <c r="AZ2841" i="2"/>
  <c r="AY2841" i="2"/>
  <c r="BA2840" i="2"/>
  <c r="AZ2840" i="2"/>
  <c r="AY2840" i="2"/>
  <c r="BA2839" i="2"/>
  <c r="AZ2839" i="2"/>
  <c r="AY2839" i="2"/>
  <c r="BA2838" i="2"/>
  <c r="AZ2838" i="2"/>
  <c r="AY2838" i="2"/>
  <c r="BA2837" i="2"/>
  <c r="AZ2837" i="2"/>
  <c r="AY2837" i="2"/>
  <c r="BA2836" i="2"/>
  <c r="AZ2836" i="2"/>
  <c r="AY2836" i="2"/>
  <c r="BA2835" i="2"/>
  <c r="AZ2835" i="2"/>
  <c r="AY2835" i="2"/>
  <c r="BA2834" i="2"/>
  <c r="AZ2834" i="2"/>
  <c r="AY2834" i="2"/>
  <c r="BA2833" i="2"/>
  <c r="AZ2833" i="2"/>
  <c r="AY2833" i="2"/>
  <c r="BA2832" i="2"/>
  <c r="AZ2832" i="2"/>
  <c r="AY2832" i="2"/>
  <c r="BA2831" i="2"/>
  <c r="AZ2831" i="2"/>
  <c r="AY2831" i="2"/>
  <c r="BA2830" i="2"/>
  <c r="AZ2830" i="2"/>
  <c r="AY2830" i="2"/>
  <c r="BA2829" i="2"/>
  <c r="AZ2829" i="2"/>
  <c r="AY2829" i="2"/>
  <c r="BA2828" i="2"/>
  <c r="AZ2828" i="2"/>
  <c r="AY2828" i="2"/>
  <c r="BA2827" i="2"/>
  <c r="AZ2827" i="2"/>
  <c r="AY2827" i="2"/>
  <c r="BA2826" i="2"/>
  <c r="AZ2826" i="2"/>
  <c r="AY2826" i="2"/>
  <c r="BA2825" i="2"/>
  <c r="AZ2825" i="2"/>
  <c r="AY2825" i="2"/>
  <c r="BA2824" i="2"/>
  <c r="AZ2824" i="2"/>
  <c r="AY2824" i="2"/>
  <c r="BA2823" i="2"/>
  <c r="AZ2823" i="2"/>
  <c r="AY2823" i="2"/>
  <c r="BA2822" i="2"/>
  <c r="AZ2822" i="2"/>
  <c r="AY2822" i="2"/>
  <c r="BA2821" i="2"/>
  <c r="AZ2821" i="2"/>
  <c r="AY2821" i="2"/>
  <c r="BA2820" i="2"/>
  <c r="AZ2820" i="2"/>
  <c r="AY2820" i="2"/>
  <c r="BA2819" i="2"/>
  <c r="AZ2819" i="2"/>
  <c r="AY2819" i="2"/>
  <c r="BA2818" i="2"/>
  <c r="AZ2818" i="2"/>
  <c r="AY2818" i="2"/>
  <c r="BA2817" i="2"/>
  <c r="AZ2817" i="2"/>
  <c r="AY2817" i="2"/>
  <c r="BA2816" i="2"/>
  <c r="AZ2816" i="2"/>
  <c r="AY2816" i="2"/>
  <c r="BA2815" i="2"/>
  <c r="AZ2815" i="2"/>
  <c r="AY2815" i="2"/>
  <c r="BA2814" i="2"/>
  <c r="AZ2814" i="2"/>
  <c r="AY2814" i="2"/>
  <c r="BA2813" i="2"/>
  <c r="AZ2813" i="2"/>
  <c r="AY2813" i="2"/>
  <c r="BA2812" i="2"/>
  <c r="AZ2812" i="2"/>
  <c r="AY2812" i="2"/>
  <c r="BA2811" i="2"/>
  <c r="AZ2811" i="2"/>
  <c r="AY2811" i="2"/>
  <c r="BA2810" i="2"/>
  <c r="AZ2810" i="2"/>
  <c r="AY2810" i="2"/>
  <c r="BA2809" i="2"/>
  <c r="AZ2809" i="2"/>
  <c r="AY2809" i="2"/>
  <c r="BA2808" i="2"/>
  <c r="AZ2808" i="2"/>
  <c r="AY2808" i="2"/>
  <c r="BA2807" i="2"/>
  <c r="AZ2807" i="2"/>
  <c r="AY2807" i="2"/>
  <c r="BA2806" i="2"/>
  <c r="AZ2806" i="2"/>
  <c r="AY2806" i="2"/>
  <c r="BA2805" i="2"/>
  <c r="AZ2805" i="2"/>
  <c r="AY2805" i="2"/>
  <c r="BA2804" i="2"/>
  <c r="AZ2804" i="2"/>
  <c r="AY2804" i="2"/>
  <c r="BA2803" i="2"/>
  <c r="AZ2803" i="2"/>
  <c r="AY2803" i="2"/>
  <c r="BA2802" i="2"/>
  <c r="AZ2802" i="2"/>
  <c r="AY2802" i="2"/>
  <c r="BA2801" i="2"/>
  <c r="AZ2801" i="2"/>
  <c r="AY2801" i="2"/>
  <c r="BA2800" i="2"/>
  <c r="AZ2800" i="2"/>
  <c r="AY2800" i="2"/>
  <c r="BA2799" i="2"/>
  <c r="AZ2799" i="2"/>
  <c r="AY2799" i="2"/>
  <c r="BA2798" i="2"/>
  <c r="AZ2798" i="2"/>
  <c r="AY2798" i="2"/>
  <c r="BA2797" i="2"/>
  <c r="AZ2797" i="2"/>
  <c r="AY2797" i="2"/>
  <c r="BA2796" i="2"/>
  <c r="AZ2796" i="2"/>
  <c r="AY2796" i="2"/>
  <c r="BA2795" i="2"/>
  <c r="AZ2795" i="2"/>
  <c r="AY2795" i="2"/>
  <c r="BA2794" i="2"/>
  <c r="AZ2794" i="2"/>
  <c r="AY2794" i="2"/>
  <c r="BA2793" i="2"/>
  <c r="AZ2793" i="2"/>
  <c r="AY2793" i="2"/>
  <c r="BA2792" i="2"/>
  <c r="AZ2792" i="2"/>
  <c r="AY2792" i="2"/>
  <c r="BA2791" i="2"/>
  <c r="AZ2791" i="2"/>
  <c r="AY2791" i="2"/>
  <c r="BA2790" i="2"/>
  <c r="AZ2790" i="2"/>
  <c r="AY2790" i="2"/>
  <c r="BA2789" i="2"/>
  <c r="AZ2789" i="2"/>
  <c r="AY2789" i="2"/>
  <c r="BA2788" i="2"/>
  <c r="AZ2788" i="2"/>
  <c r="AY2788" i="2"/>
  <c r="BA2787" i="2"/>
  <c r="AZ2787" i="2"/>
  <c r="AY2787" i="2"/>
  <c r="BA2786" i="2"/>
  <c r="AZ2786" i="2"/>
  <c r="AY2786" i="2"/>
  <c r="BA2785" i="2"/>
  <c r="AZ2785" i="2"/>
  <c r="AY2785" i="2"/>
  <c r="BA2784" i="2"/>
  <c r="AZ2784" i="2"/>
  <c r="AY2784" i="2"/>
  <c r="BA2783" i="2"/>
  <c r="AZ2783" i="2"/>
  <c r="AY2783" i="2"/>
  <c r="BA2782" i="2"/>
  <c r="AZ2782" i="2"/>
  <c r="AY2782" i="2"/>
  <c r="BA2781" i="2"/>
  <c r="AZ2781" i="2"/>
  <c r="AY2781" i="2"/>
  <c r="AV2781" i="2"/>
  <c r="BA2780" i="2"/>
  <c r="AZ2780" i="2"/>
  <c r="AY2780" i="2"/>
  <c r="AV2780" i="2"/>
  <c r="BA2779" i="2"/>
  <c r="AZ2779" i="2"/>
  <c r="AY2779" i="2"/>
  <c r="AV2779" i="2"/>
  <c r="BA2778" i="2"/>
  <c r="AZ2778" i="2"/>
  <c r="AY2778" i="2"/>
  <c r="AV2778" i="2"/>
  <c r="BA2777" i="2"/>
  <c r="AZ2777" i="2"/>
  <c r="AY2777" i="2"/>
  <c r="AV2777" i="2"/>
  <c r="BA2776" i="2"/>
  <c r="AZ2776" i="2"/>
  <c r="AY2776" i="2"/>
  <c r="AV2776" i="2"/>
  <c r="BA2775" i="2"/>
  <c r="AZ2775" i="2"/>
  <c r="AY2775" i="2"/>
  <c r="AV2775" i="2"/>
  <c r="BA2774" i="2"/>
  <c r="AZ2774" i="2"/>
  <c r="AY2774" i="2"/>
  <c r="AV2774" i="2"/>
  <c r="BA2773" i="2"/>
  <c r="AZ2773" i="2"/>
  <c r="AY2773" i="2"/>
  <c r="AV2773" i="2"/>
  <c r="BA2772" i="2"/>
  <c r="AZ2772" i="2"/>
  <c r="AY2772" i="2"/>
  <c r="AV2772" i="2"/>
  <c r="BA2771" i="2"/>
  <c r="AZ2771" i="2"/>
  <c r="AY2771" i="2"/>
  <c r="AV2771" i="2"/>
  <c r="BA2770" i="2"/>
  <c r="AZ2770" i="2"/>
  <c r="AY2770" i="2"/>
  <c r="AV2770" i="2"/>
  <c r="BA2769" i="2"/>
  <c r="AZ2769" i="2"/>
  <c r="AY2769" i="2"/>
  <c r="AV2769" i="2"/>
  <c r="BA2768" i="2"/>
  <c r="AZ2768" i="2"/>
  <c r="AY2768" i="2"/>
  <c r="AV2768" i="2"/>
  <c r="BA2767" i="2"/>
  <c r="AZ2767" i="2"/>
  <c r="AY2767" i="2"/>
  <c r="AV2767" i="2"/>
  <c r="BA2766" i="2"/>
  <c r="AZ2766" i="2"/>
  <c r="AY2766" i="2"/>
  <c r="AV2766" i="2"/>
  <c r="BA2765" i="2"/>
  <c r="AZ2765" i="2"/>
  <c r="AY2765" i="2"/>
  <c r="AV2765" i="2"/>
  <c r="BA2764" i="2"/>
  <c r="AZ2764" i="2"/>
  <c r="AY2764" i="2"/>
  <c r="AV2764" i="2"/>
  <c r="BA2763" i="2"/>
  <c r="AZ2763" i="2"/>
  <c r="AY2763" i="2"/>
  <c r="AV2763" i="2"/>
  <c r="BA2762" i="2"/>
  <c r="AZ2762" i="2"/>
  <c r="AY2762" i="2"/>
  <c r="AV2762" i="2"/>
  <c r="BA2761" i="2"/>
  <c r="AZ2761" i="2"/>
  <c r="AY2761" i="2"/>
  <c r="AV2761" i="2"/>
  <c r="BA2760" i="2"/>
  <c r="AZ2760" i="2"/>
  <c r="AY2760" i="2"/>
  <c r="AV2760" i="2"/>
  <c r="BA2759" i="2"/>
  <c r="AZ2759" i="2"/>
  <c r="AY2759" i="2"/>
  <c r="AV2759" i="2"/>
  <c r="BA2758" i="2"/>
  <c r="AZ2758" i="2"/>
  <c r="AY2758" i="2"/>
  <c r="AV2758" i="2"/>
  <c r="BA2757" i="2"/>
  <c r="AZ2757" i="2"/>
  <c r="AY2757" i="2"/>
  <c r="AV2757" i="2"/>
  <c r="BA2756" i="2"/>
  <c r="AZ2756" i="2"/>
  <c r="AY2756" i="2"/>
  <c r="AV2756" i="2"/>
  <c r="BA2755" i="2"/>
  <c r="AZ2755" i="2"/>
  <c r="AY2755" i="2"/>
  <c r="AV2755" i="2"/>
  <c r="BA2754" i="2"/>
  <c r="AZ2754" i="2"/>
  <c r="AY2754" i="2"/>
  <c r="AV2754" i="2"/>
  <c r="BA2753" i="2"/>
  <c r="AZ2753" i="2"/>
  <c r="AY2753" i="2"/>
  <c r="AV2753" i="2"/>
  <c r="BA2752" i="2"/>
  <c r="AZ2752" i="2"/>
  <c r="AY2752" i="2"/>
  <c r="AV2752" i="2"/>
  <c r="BA2751" i="2"/>
  <c r="AZ2751" i="2"/>
  <c r="AY2751" i="2"/>
  <c r="AV2751" i="2"/>
  <c r="BA2750" i="2"/>
  <c r="AZ2750" i="2"/>
  <c r="AY2750" i="2"/>
  <c r="AV2750" i="2"/>
  <c r="BA2749" i="2"/>
  <c r="AZ2749" i="2"/>
  <c r="AY2749" i="2"/>
  <c r="AV2749" i="2"/>
  <c r="BA2748" i="2"/>
  <c r="AZ2748" i="2"/>
  <c r="AY2748" i="2"/>
  <c r="AV2748" i="2"/>
  <c r="BA2747" i="2"/>
  <c r="AZ2747" i="2"/>
  <c r="AY2747" i="2"/>
  <c r="AV2747" i="2"/>
  <c r="BA2746" i="2"/>
  <c r="AZ2746" i="2"/>
  <c r="AY2746" i="2"/>
  <c r="AV2746" i="2"/>
  <c r="BA2745" i="2"/>
  <c r="AZ2745" i="2"/>
  <c r="AY2745" i="2"/>
  <c r="AV2745" i="2"/>
  <c r="BA2744" i="2"/>
  <c r="AZ2744" i="2"/>
  <c r="AY2744" i="2"/>
  <c r="AV2744" i="2"/>
  <c r="BA2743" i="2"/>
  <c r="AZ2743" i="2"/>
  <c r="AY2743" i="2"/>
  <c r="AV2743" i="2"/>
  <c r="BA2742" i="2"/>
  <c r="AZ2742" i="2"/>
  <c r="AY2742" i="2"/>
  <c r="AV2742" i="2"/>
  <c r="BA2741" i="2"/>
  <c r="AZ2741" i="2"/>
  <c r="AY2741" i="2"/>
  <c r="AV2741" i="2"/>
  <c r="BA2740" i="2"/>
  <c r="AZ2740" i="2"/>
  <c r="AY2740" i="2"/>
  <c r="AV2740" i="2"/>
  <c r="BA2739" i="2"/>
  <c r="AZ2739" i="2"/>
  <c r="AY2739" i="2"/>
  <c r="AV2739" i="2"/>
  <c r="BA2738" i="2"/>
  <c r="AZ2738" i="2"/>
  <c r="AY2738" i="2"/>
  <c r="AV2738" i="2"/>
  <c r="BA2737" i="2"/>
  <c r="AZ2737" i="2"/>
  <c r="AY2737" i="2"/>
  <c r="AV2737" i="2"/>
  <c r="BA2736" i="2"/>
  <c r="AZ2736" i="2"/>
  <c r="AY2736" i="2"/>
  <c r="AV2736" i="2"/>
  <c r="BA2735" i="2"/>
  <c r="AZ2735" i="2"/>
  <c r="AY2735" i="2"/>
  <c r="AV2735" i="2"/>
  <c r="BA2734" i="2"/>
  <c r="AZ2734" i="2"/>
  <c r="AY2734" i="2"/>
  <c r="AV2734" i="2"/>
  <c r="BA2733" i="2"/>
  <c r="AZ2733" i="2"/>
  <c r="AY2733" i="2"/>
  <c r="AV2733" i="2"/>
  <c r="BA2732" i="2"/>
  <c r="AZ2732" i="2"/>
  <c r="AY2732" i="2"/>
  <c r="AV2732" i="2"/>
  <c r="BA2731" i="2"/>
  <c r="AZ2731" i="2"/>
  <c r="AY2731" i="2"/>
  <c r="AV2731" i="2"/>
  <c r="BA2730" i="2"/>
  <c r="AZ2730" i="2"/>
  <c r="AY2730" i="2"/>
  <c r="AV2730" i="2"/>
  <c r="BA2729" i="2"/>
  <c r="AZ2729" i="2"/>
  <c r="AY2729" i="2"/>
  <c r="AV2729" i="2"/>
  <c r="BA2728" i="2"/>
  <c r="AZ2728" i="2"/>
  <c r="AY2728" i="2"/>
  <c r="AV2728" i="2"/>
  <c r="BA2727" i="2"/>
  <c r="AZ2727" i="2"/>
  <c r="AY2727" i="2"/>
  <c r="AV2727" i="2"/>
  <c r="BA2726" i="2"/>
  <c r="AZ2726" i="2"/>
  <c r="AY2726" i="2"/>
  <c r="AV2726" i="2"/>
  <c r="BA2725" i="2"/>
  <c r="AZ2725" i="2"/>
  <c r="AY2725" i="2"/>
  <c r="AV2725" i="2"/>
  <c r="BA2724" i="2"/>
  <c r="AZ2724" i="2"/>
  <c r="AY2724" i="2"/>
  <c r="AV2724" i="2"/>
  <c r="BA2723" i="2"/>
  <c r="AZ2723" i="2"/>
  <c r="AY2723" i="2"/>
  <c r="AV2723" i="2"/>
  <c r="BA2722" i="2"/>
  <c r="AZ2722" i="2"/>
  <c r="AY2722" i="2"/>
  <c r="AV2722" i="2"/>
  <c r="BA2721" i="2"/>
  <c r="AZ2721" i="2"/>
  <c r="AY2721" i="2"/>
  <c r="AV2721" i="2"/>
  <c r="BA2720" i="2"/>
  <c r="AZ2720" i="2"/>
  <c r="AY2720" i="2"/>
  <c r="AV2720" i="2"/>
  <c r="BA2719" i="2"/>
  <c r="AZ2719" i="2"/>
  <c r="AY2719" i="2"/>
  <c r="AV2719" i="2"/>
  <c r="BA2718" i="2"/>
  <c r="AZ2718" i="2"/>
  <c r="AY2718" i="2"/>
  <c r="AV2718" i="2"/>
  <c r="BA2717" i="2"/>
  <c r="AZ2717" i="2"/>
  <c r="AY2717" i="2"/>
  <c r="AV2717" i="2"/>
  <c r="BA2716" i="2"/>
  <c r="AZ2716" i="2"/>
  <c r="AY2716" i="2"/>
  <c r="AV2716" i="2"/>
  <c r="BA2715" i="2"/>
  <c r="AZ2715" i="2"/>
  <c r="AY2715" i="2"/>
  <c r="AV2715" i="2"/>
  <c r="BA2714" i="2"/>
  <c r="AZ2714" i="2"/>
  <c r="AY2714" i="2"/>
  <c r="AV2714" i="2"/>
  <c r="BA2713" i="2"/>
  <c r="AZ2713" i="2"/>
  <c r="AY2713" i="2"/>
  <c r="AV2713" i="2"/>
  <c r="BA2712" i="2"/>
  <c r="AZ2712" i="2"/>
  <c r="AY2712" i="2"/>
  <c r="AV2712" i="2"/>
  <c r="BA2711" i="2"/>
  <c r="AZ2711" i="2"/>
  <c r="AY2711" i="2"/>
  <c r="AV2711" i="2"/>
  <c r="BA2710" i="2"/>
  <c r="AZ2710" i="2"/>
  <c r="AY2710" i="2"/>
  <c r="AV2710" i="2"/>
  <c r="BA2709" i="2"/>
  <c r="AZ2709" i="2"/>
  <c r="AY2709" i="2"/>
  <c r="AV2709" i="2"/>
  <c r="BA2708" i="2"/>
  <c r="AZ2708" i="2"/>
  <c r="AY2708" i="2"/>
  <c r="AV2708" i="2"/>
  <c r="BA2707" i="2"/>
  <c r="AZ2707" i="2"/>
  <c r="AY2707" i="2"/>
  <c r="AV2707" i="2"/>
  <c r="BA2706" i="2"/>
  <c r="AZ2706" i="2"/>
  <c r="AY2706" i="2"/>
  <c r="AV2706" i="2"/>
  <c r="BA2705" i="2"/>
  <c r="AZ2705" i="2"/>
  <c r="AY2705" i="2"/>
  <c r="AV2705" i="2"/>
  <c r="BA2704" i="2"/>
  <c r="AZ2704" i="2"/>
  <c r="AY2704" i="2"/>
  <c r="AV2704" i="2"/>
  <c r="BA2703" i="2"/>
  <c r="AZ2703" i="2"/>
  <c r="AY2703" i="2"/>
  <c r="AV2703" i="2"/>
  <c r="BA2702" i="2"/>
  <c r="AZ2702" i="2"/>
  <c r="AY2702" i="2"/>
  <c r="AV2702" i="2"/>
  <c r="BA2701" i="2"/>
  <c r="AZ2701" i="2"/>
  <c r="AY2701" i="2"/>
  <c r="AV2701" i="2"/>
  <c r="BA2700" i="2"/>
  <c r="AZ2700" i="2"/>
  <c r="AY2700" i="2"/>
  <c r="AV2700" i="2"/>
  <c r="BA2699" i="2"/>
  <c r="AZ2699" i="2"/>
  <c r="AY2699" i="2"/>
  <c r="AV2699" i="2"/>
  <c r="BA2698" i="2"/>
  <c r="AZ2698" i="2"/>
  <c r="AY2698" i="2"/>
  <c r="AV2698" i="2"/>
  <c r="BA2697" i="2"/>
  <c r="AZ2697" i="2"/>
  <c r="AY2697" i="2"/>
  <c r="AV2697" i="2"/>
  <c r="BA2696" i="2"/>
  <c r="AZ2696" i="2"/>
  <c r="AY2696" i="2"/>
  <c r="AV2696" i="2"/>
  <c r="BA2695" i="2"/>
  <c r="AZ2695" i="2"/>
  <c r="AY2695" i="2"/>
  <c r="AV2695" i="2"/>
  <c r="BA2694" i="2"/>
  <c r="AZ2694" i="2"/>
  <c r="AY2694" i="2"/>
  <c r="AV2694" i="2"/>
  <c r="BA2693" i="2"/>
  <c r="AZ2693" i="2"/>
  <c r="AY2693" i="2"/>
  <c r="AV2693" i="2"/>
  <c r="BA2692" i="2"/>
  <c r="AZ2692" i="2"/>
  <c r="AY2692" i="2"/>
  <c r="AV2692" i="2"/>
  <c r="BA2691" i="2"/>
  <c r="AZ2691" i="2"/>
  <c r="AY2691" i="2"/>
  <c r="AV2691" i="2"/>
  <c r="BA2690" i="2"/>
  <c r="AZ2690" i="2"/>
  <c r="AY2690" i="2"/>
  <c r="AV2690" i="2"/>
  <c r="BA2689" i="2"/>
  <c r="AZ2689" i="2"/>
  <c r="AY2689" i="2"/>
  <c r="AV2689" i="2"/>
  <c r="BA2688" i="2"/>
  <c r="AZ2688" i="2"/>
  <c r="AY2688" i="2"/>
  <c r="AV2688" i="2"/>
  <c r="BA2687" i="2"/>
  <c r="AZ2687" i="2"/>
  <c r="AY2687" i="2"/>
  <c r="AV2687" i="2"/>
  <c r="BA2686" i="2"/>
  <c r="AZ2686" i="2"/>
  <c r="AY2686" i="2"/>
  <c r="AV2686" i="2"/>
  <c r="BA2685" i="2"/>
  <c r="AZ2685" i="2"/>
  <c r="AY2685" i="2"/>
  <c r="AV2685" i="2"/>
  <c r="BA2684" i="2"/>
  <c r="AZ2684" i="2"/>
  <c r="AY2684" i="2"/>
  <c r="AV2684" i="2"/>
  <c r="BA2683" i="2"/>
  <c r="AZ2683" i="2"/>
  <c r="AY2683" i="2"/>
  <c r="AV2683" i="2"/>
  <c r="BA2682" i="2"/>
  <c r="AZ2682" i="2"/>
  <c r="AY2682" i="2"/>
  <c r="AV2682" i="2"/>
  <c r="BA2681" i="2"/>
  <c r="AZ2681" i="2"/>
  <c r="AY2681" i="2"/>
  <c r="AV2681" i="2"/>
  <c r="BA2680" i="2"/>
  <c r="AZ2680" i="2"/>
  <c r="AY2680" i="2"/>
  <c r="AV2680" i="2"/>
  <c r="BA2679" i="2"/>
  <c r="AZ2679" i="2"/>
  <c r="AY2679" i="2"/>
  <c r="AV2679" i="2"/>
  <c r="BA2678" i="2"/>
  <c r="AZ2678" i="2"/>
  <c r="AY2678" i="2"/>
  <c r="AV2678" i="2"/>
  <c r="BA2677" i="2"/>
  <c r="AZ2677" i="2"/>
  <c r="AY2677" i="2"/>
  <c r="AV2677" i="2"/>
  <c r="BA2676" i="2"/>
  <c r="AZ2676" i="2"/>
  <c r="AY2676" i="2"/>
  <c r="AV2676" i="2"/>
  <c r="BA2675" i="2"/>
  <c r="AZ2675" i="2"/>
  <c r="AY2675" i="2"/>
  <c r="AV2675" i="2"/>
  <c r="BA2674" i="2"/>
  <c r="AZ2674" i="2"/>
  <c r="AY2674" i="2"/>
  <c r="AV2674" i="2"/>
  <c r="BA2673" i="2"/>
  <c r="AZ2673" i="2"/>
  <c r="AY2673" i="2"/>
  <c r="AV2673" i="2"/>
  <c r="BA2672" i="2"/>
  <c r="AZ2672" i="2"/>
  <c r="AY2672" i="2"/>
  <c r="AV2672" i="2"/>
  <c r="BA2671" i="2"/>
  <c r="AZ2671" i="2"/>
  <c r="AY2671" i="2"/>
  <c r="AV2671" i="2"/>
  <c r="BA2670" i="2"/>
  <c r="AZ2670" i="2"/>
  <c r="AY2670" i="2"/>
  <c r="AV2670" i="2"/>
  <c r="BA2669" i="2"/>
  <c r="AZ2669" i="2"/>
  <c r="AY2669" i="2"/>
  <c r="AV2669" i="2"/>
  <c r="BA2668" i="2"/>
  <c r="AZ2668" i="2"/>
  <c r="AY2668" i="2"/>
  <c r="AV2668" i="2"/>
  <c r="BA2667" i="2"/>
  <c r="AZ2667" i="2"/>
  <c r="AY2667" i="2"/>
  <c r="AV2667" i="2"/>
  <c r="BA2666" i="2"/>
  <c r="AZ2666" i="2"/>
  <c r="AY2666" i="2"/>
  <c r="AV2666" i="2"/>
  <c r="BA2665" i="2"/>
  <c r="AZ2665" i="2"/>
  <c r="AY2665" i="2"/>
  <c r="AV2665" i="2"/>
  <c r="BA2664" i="2"/>
  <c r="AZ2664" i="2"/>
  <c r="AY2664" i="2"/>
  <c r="AV2664" i="2"/>
  <c r="BA2663" i="2"/>
  <c r="AZ2663" i="2"/>
  <c r="AY2663" i="2"/>
  <c r="AV2663" i="2"/>
  <c r="BA2662" i="2"/>
  <c r="AZ2662" i="2"/>
  <c r="AY2662" i="2"/>
  <c r="AV2662" i="2"/>
  <c r="BA2661" i="2"/>
  <c r="AZ2661" i="2"/>
  <c r="AY2661" i="2"/>
  <c r="AV2661" i="2"/>
  <c r="BA2660" i="2"/>
  <c r="AZ2660" i="2"/>
  <c r="AY2660" i="2"/>
  <c r="AV2660" i="2"/>
  <c r="BA2659" i="2"/>
  <c r="AZ2659" i="2"/>
  <c r="AY2659" i="2"/>
  <c r="AV2659" i="2"/>
  <c r="BA2658" i="2"/>
  <c r="AZ2658" i="2"/>
  <c r="AY2658" i="2"/>
  <c r="AV2658" i="2"/>
  <c r="BA2657" i="2"/>
  <c r="AZ2657" i="2"/>
  <c r="AY2657" i="2"/>
  <c r="AV2657" i="2"/>
  <c r="BA2656" i="2"/>
  <c r="AZ2656" i="2"/>
  <c r="AY2656" i="2"/>
  <c r="AV2656" i="2"/>
  <c r="BA2655" i="2"/>
  <c r="AZ2655" i="2"/>
  <c r="AY2655" i="2"/>
  <c r="AV2655" i="2"/>
  <c r="BA2654" i="2"/>
  <c r="AZ2654" i="2"/>
  <c r="AY2654" i="2"/>
  <c r="AV2654" i="2"/>
  <c r="BA2653" i="2"/>
  <c r="AZ2653" i="2"/>
  <c r="AY2653" i="2"/>
  <c r="AV2653" i="2"/>
  <c r="BA2652" i="2"/>
  <c r="AZ2652" i="2"/>
  <c r="AY2652" i="2"/>
  <c r="AV2652" i="2"/>
  <c r="BA2651" i="2"/>
  <c r="AZ2651" i="2"/>
  <c r="AY2651" i="2"/>
  <c r="AV2651" i="2"/>
  <c r="BA2650" i="2"/>
  <c r="AZ2650" i="2"/>
  <c r="AY2650" i="2"/>
  <c r="AV2650" i="2"/>
  <c r="BA2649" i="2"/>
  <c r="AZ2649" i="2"/>
  <c r="AY2649" i="2"/>
  <c r="AV2649" i="2"/>
  <c r="BA2648" i="2"/>
  <c r="AZ2648" i="2"/>
  <c r="AY2648" i="2"/>
  <c r="AV2648" i="2"/>
  <c r="BA2647" i="2"/>
  <c r="AZ2647" i="2"/>
  <c r="AY2647" i="2"/>
  <c r="AV2647" i="2"/>
  <c r="BA2646" i="2"/>
  <c r="AZ2646" i="2"/>
  <c r="AY2646" i="2"/>
  <c r="AV2646" i="2"/>
  <c r="BA2645" i="2"/>
  <c r="AZ2645" i="2"/>
  <c r="AY2645" i="2"/>
  <c r="AV2645" i="2"/>
  <c r="BA2644" i="2"/>
  <c r="AZ2644" i="2"/>
  <c r="AY2644" i="2"/>
  <c r="AV2644" i="2"/>
  <c r="BA2643" i="2"/>
  <c r="AZ2643" i="2"/>
  <c r="AY2643" i="2"/>
  <c r="AV2643" i="2"/>
  <c r="BA2642" i="2"/>
  <c r="AZ2642" i="2"/>
  <c r="AY2642" i="2"/>
  <c r="AV2642" i="2"/>
  <c r="BA2641" i="2"/>
  <c r="AZ2641" i="2"/>
  <c r="AY2641" i="2"/>
  <c r="AV2641" i="2"/>
  <c r="BA2640" i="2"/>
  <c r="AZ2640" i="2"/>
  <c r="AY2640" i="2"/>
  <c r="AV2640" i="2"/>
  <c r="BA2639" i="2"/>
  <c r="AZ2639" i="2"/>
  <c r="AY2639" i="2"/>
  <c r="AV2639" i="2"/>
  <c r="BA2638" i="2"/>
  <c r="AZ2638" i="2"/>
  <c r="AY2638" i="2"/>
  <c r="AV2638" i="2"/>
  <c r="BA2637" i="2"/>
  <c r="AZ2637" i="2"/>
  <c r="AY2637" i="2"/>
  <c r="AV2637" i="2"/>
  <c r="BA2636" i="2"/>
  <c r="AZ2636" i="2"/>
  <c r="AY2636" i="2"/>
  <c r="AV2636" i="2"/>
  <c r="BA2635" i="2"/>
  <c r="AZ2635" i="2"/>
  <c r="AY2635" i="2"/>
  <c r="AV2635" i="2"/>
  <c r="BA2634" i="2"/>
  <c r="AZ2634" i="2"/>
  <c r="AY2634" i="2"/>
  <c r="AV2634" i="2"/>
  <c r="BA2633" i="2"/>
  <c r="AZ2633" i="2"/>
  <c r="AY2633" i="2"/>
  <c r="AV2633" i="2"/>
  <c r="BA2632" i="2"/>
  <c r="AZ2632" i="2"/>
  <c r="AY2632" i="2"/>
  <c r="AV2632" i="2"/>
  <c r="BA2631" i="2"/>
  <c r="AZ2631" i="2"/>
  <c r="AY2631" i="2"/>
  <c r="AV2631" i="2"/>
  <c r="BA2630" i="2"/>
  <c r="AZ2630" i="2"/>
  <c r="AY2630" i="2"/>
  <c r="AV2630" i="2"/>
  <c r="BA2629" i="2"/>
  <c r="AZ2629" i="2"/>
  <c r="AY2629" i="2"/>
  <c r="AV2629" i="2"/>
  <c r="BA2628" i="2"/>
  <c r="AZ2628" i="2"/>
  <c r="AY2628" i="2"/>
  <c r="AV2628" i="2"/>
  <c r="BA2627" i="2"/>
  <c r="AZ2627" i="2"/>
  <c r="AY2627" i="2"/>
  <c r="AV2627" i="2"/>
  <c r="BA2626" i="2"/>
  <c r="AZ2626" i="2"/>
  <c r="AY2626" i="2"/>
  <c r="AV2626" i="2"/>
  <c r="BA2625" i="2"/>
  <c r="AZ2625" i="2"/>
  <c r="AY2625" i="2"/>
  <c r="AV2625" i="2"/>
  <c r="BA2624" i="2"/>
  <c r="AZ2624" i="2"/>
  <c r="AY2624" i="2"/>
  <c r="AV2624" i="2"/>
  <c r="BA2623" i="2"/>
  <c r="AZ2623" i="2"/>
  <c r="AY2623" i="2"/>
  <c r="AV2623" i="2"/>
  <c r="BA2622" i="2"/>
  <c r="AZ2622" i="2"/>
  <c r="AY2622" i="2"/>
  <c r="AV2622" i="2"/>
  <c r="BA2621" i="2"/>
  <c r="AZ2621" i="2"/>
  <c r="AY2621" i="2"/>
  <c r="AV2621" i="2"/>
  <c r="BA2620" i="2"/>
  <c r="AZ2620" i="2"/>
  <c r="AY2620" i="2"/>
  <c r="AV2620" i="2"/>
  <c r="BA2619" i="2"/>
  <c r="AZ2619" i="2"/>
  <c r="AY2619" i="2"/>
  <c r="AV2619" i="2"/>
  <c r="BA2618" i="2"/>
  <c r="AZ2618" i="2"/>
  <c r="AY2618" i="2"/>
  <c r="AV2618" i="2"/>
  <c r="BA2617" i="2"/>
  <c r="AZ2617" i="2"/>
  <c r="AY2617" i="2"/>
  <c r="AV2617" i="2"/>
  <c r="BA2616" i="2"/>
  <c r="AZ2616" i="2"/>
  <c r="AY2616" i="2"/>
  <c r="AV2616" i="2"/>
  <c r="BA2615" i="2"/>
  <c r="AZ2615" i="2"/>
  <c r="AY2615" i="2"/>
  <c r="AV2615" i="2"/>
  <c r="BA2614" i="2"/>
  <c r="AZ2614" i="2"/>
  <c r="AY2614" i="2"/>
  <c r="AV2614" i="2"/>
  <c r="BA2613" i="2"/>
  <c r="AZ2613" i="2"/>
  <c r="AY2613" i="2"/>
  <c r="AV2613" i="2"/>
  <c r="BA2612" i="2"/>
  <c r="AZ2612" i="2"/>
  <c r="AY2612" i="2"/>
  <c r="AV2612" i="2"/>
  <c r="BA2611" i="2"/>
  <c r="AZ2611" i="2"/>
  <c r="AY2611" i="2"/>
  <c r="AV2611" i="2"/>
  <c r="BA2610" i="2"/>
  <c r="AZ2610" i="2"/>
  <c r="AY2610" i="2"/>
  <c r="AV2610" i="2"/>
  <c r="BA2609" i="2"/>
  <c r="AZ2609" i="2"/>
  <c r="AY2609" i="2"/>
  <c r="AV2609" i="2"/>
  <c r="BA2608" i="2"/>
  <c r="AZ2608" i="2"/>
  <c r="AY2608" i="2"/>
  <c r="AV2608" i="2"/>
  <c r="BA2607" i="2"/>
  <c r="AZ2607" i="2"/>
  <c r="AY2607" i="2"/>
  <c r="AV2607" i="2"/>
  <c r="BA2606" i="2"/>
  <c r="AZ2606" i="2"/>
  <c r="AY2606" i="2"/>
  <c r="AV2606" i="2"/>
  <c r="BA2605" i="2"/>
  <c r="AZ2605" i="2"/>
  <c r="AY2605" i="2"/>
  <c r="AV2605" i="2"/>
  <c r="BA2604" i="2"/>
  <c r="AZ2604" i="2"/>
  <c r="AY2604" i="2"/>
  <c r="AV2604" i="2"/>
  <c r="BA2603" i="2"/>
  <c r="AZ2603" i="2"/>
  <c r="AY2603" i="2"/>
  <c r="AV2603" i="2"/>
  <c r="BA2602" i="2"/>
  <c r="AZ2602" i="2"/>
  <c r="AY2602" i="2"/>
  <c r="AV2602" i="2"/>
  <c r="BA2601" i="2"/>
  <c r="AZ2601" i="2"/>
  <c r="AY2601" i="2"/>
  <c r="AV2601" i="2"/>
  <c r="BA2600" i="2"/>
  <c r="AZ2600" i="2"/>
  <c r="AY2600" i="2"/>
  <c r="AV2600" i="2"/>
  <c r="BA2599" i="2"/>
  <c r="AZ2599" i="2"/>
  <c r="AY2599" i="2"/>
  <c r="AV2599" i="2"/>
  <c r="BA2598" i="2"/>
  <c r="AZ2598" i="2"/>
  <c r="AY2598" i="2"/>
  <c r="AV2598" i="2"/>
  <c r="BA2597" i="2"/>
  <c r="AZ2597" i="2"/>
  <c r="AY2597" i="2"/>
  <c r="AV2597" i="2"/>
  <c r="BA2596" i="2"/>
  <c r="AZ2596" i="2"/>
  <c r="AY2596" i="2"/>
  <c r="AV2596" i="2"/>
  <c r="BA2595" i="2"/>
  <c r="AZ2595" i="2"/>
  <c r="AY2595" i="2"/>
  <c r="AV2595" i="2"/>
  <c r="BA2594" i="2"/>
  <c r="AZ2594" i="2"/>
  <c r="AY2594" i="2"/>
  <c r="AV2594" i="2"/>
  <c r="BA2593" i="2"/>
  <c r="AZ2593" i="2"/>
  <c r="AY2593" i="2"/>
  <c r="AV2593" i="2"/>
  <c r="BA2592" i="2"/>
  <c r="AZ2592" i="2"/>
  <c r="AY2592" i="2"/>
  <c r="AV2592" i="2"/>
  <c r="BA2591" i="2"/>
  <c r="AZ2591" i="2"/>
  <c r="AY2591" i="2"/>
  <c r="AV2591" i="2"/>
  <c r="BA2590" i="2"/>
  <c r="AZ2590" i="2"/>
  <c r="AY2590" i="2"/>
  <c r="AV2590" i="2"/>
  <c r="BA2589" i="2"/>
  <c r="AZ2589" i="2"/>
  <c r="AY2589" i="2"/>
  <c r="AV2589" i="2"/>
  <c r="BA2588" i="2"/>
  <c r="AZ2588" i="2"/>
  <c r="AY2588" i="2"/>
  <c r="AV2588" i="2"/>
  <c r="BA2587" i="2"/>
  <c r="AZ2587" i="2"/>
  <c r="AY2587" i="2"/>
  <c r="AV2587" i="2"/>
  <c r="BA2586" i="2"/>
  <c r="AZ2586" i="2"/>
  <c r="AY2586" i="2"/>
  <c r="AV2586" i="2"/>
  <c r="BA2585" i="2"/>
  <c r="AZ2585" i="2"/>
  <c r="AY2585" i="2"/>
  <c r="AV2585" i="2"/>
  <c r="BA2584" i="2"/>
  <c r="AZ2584" i="2"/>
  <c r="AY2584" i="2"/>
  <c r="AV2584" i="2"/>
  <c r="BA2583" i="2"/>
  <c r="AZ2583" i="2"/>
  <c r="AY2583" i="2"/>
  <c r="AV2583" i="2"/>
  <c r="BA2582" i="2"/>
  <c r="AZ2582" i="2"/>
  <c r="AY2582" i="2"/>
  <c r="AV2582" i="2"/>
  <c r="BA2581" i="2"/>
  <c r="AZ2581" i="2"/>
  <c r="AY2581" i="2"/>
  <c r="AV2581" i="2"/>
  <c r="BA2580" i="2"/>
  <c r="AZ2580" i="2"/>
  <c r="AY2580" i="2"/>
  <c r="AV2580" i="2"/>
  <c r="BA2579" i="2"/>
  <c r="AZ2579" i="2"/>
  <c r="AY2579" i="2"/>
  <c r="AV2579" i="2"/>
  <c r="BA2578" i="2"/>
  <c r="AZ2578" i="2"/>
  <c r="AY2578" i="2"/>
  <c r="AV2578" i="2"/>
  <c r="BA2577" i="2"/>
  <c r="AZ2577" i="2"/>
  <c r="AY2577" i="2"/>
  <c r="AV2577" i="2"/>
  <c r="BA2576" i="2"/>
  <c r="AZ2576" i="2"/>
  <c r="AY2576" i="2"/>
  <c r="AV2576" i="2"/>
  <c r="BA2575" i="2"/>
  <c r="AZ2575" i="2"/>
  <c r="AY2575" i="2"/>
  <c r="AV2575" i="2"/>
  <c r="BA2574" i="2"/>
  <c r="AZ2574" i="2"/>
  <c r="AY2574" i="2"/>
  <c r="AV2574" i="2"/>
  <c r="BA2573" i="2"/>
  <c r="AZ2573" i="2"/>
  <c r="AY2573" i="2"/>
  <c r="AV2573" i="2"/>
  <c r="BA2572" i="2"/>
  <c r="AZ2572" i="2"/>
  <c r="AY2572" i="2"/>
  <c r="AV2572" i="2"/>
  <c r="BA2571" i="2"/>
  <c r="AZ2571" i="2"/>
  <c r="AY2571" i="2"/>
  <c r="AV2571" i="2"/>
  <c r="BA2570" i="2"/>
  <c r="AZ2570" i="2"/>
  <c r="AY2570" i="2"/>
  <c r="AV2570" i="2"/>
  <c r="BA2569" i="2"/>
  <c r="AZ2569" i="2"/>
  <c r="AY2569" i="2"/>
  <c r="AV2569" i="2"/>
  <c r="BA2568" i="2"/>
  <c r="AZ2568" i="2"/>
  <c r="AY2568" i="2"/>
  <c r="AV2568" i="2"/>
  <c r="BA2567" i="2"/>
  <c r="AZ2567" i="2"/>
  <c r="AY2567" i="2"/>
  <c r="AV2567" i="2"/>
  <c r="BA2566" i="2"/>
  <c r="AZ2566" i="2"/>
  <c r="AY2566" i="2"/>
  <c r="AV2566" i="2"/>
  <c r="BA2565" i="2"/>
  <c r="AZ2565" i="2"/>
  <c r="AY2565" i="2"/>
  <c r="AV2565" i="2"/>
  <c r="BA2564" i="2"/>
  <c r="AZ2564" i="2"/>
  <c r="AY2564" i="2"/>
  <c r="AV2564" i="2"/>
  <c r="BA2563" i="2"/>
  <c r="AZ2563" i="2"/>
  <c r="AY2563" i="2"/>
  <c r="AV2563" i="2"/>
  <c r="BA2562" i="2"/>
  <c r="AZ2562" i="2"/>
  <c r="AY2562" i="2"/>
  <c r="AV2562" i="2"/>
  <c r="BA2561" i="2"/>
  <c r="AZ2561" i="2"/>
  <c r="AY2561" i="2"/>
  <c r="AV2561" i="2"/>
  <c r="BA2560" i="2"/>
  <c r="AZ2560" i="2"/>
  <c r="AY2560" i="2"/>
  <c r="AV2560" i="2"/>
  <c r="BA2559" i="2"/>
  <c r="AZ2559" i="2"/>
  <c r="AY2559" i="2"/>
  <c r="AV2559" i="2"/>
  <c r="BA2558" i="2"/>
  <c r="AZ2558" i="2"/>
  <c r="AY2558" i="2"/>
  <c r="AV2558" i="2"/>
  <c r="BA2557" i="2"/>
  <c r="AZ2557" i="2"/>
  <c r="AY2557" i="2"/>
  <c r="AV2557" i="2"/>
  <c r="BA2556" i="2"/>
  <c r="AZ2556" i="2"/>
  <c r="AY2556" i="2"/>
  <c r="AV2556" i="2"/>
  <c r="BA2555" i="2"/>
  <c r="AZ2555" i="2"/>
  <c r="AY2555" i="2"/>
  <c r="AV2555" i="2"/>
  <c r="BA2554" i="2"/>
  <c r="AZ2554" i="2"/>
  <c r="AY2554" i="2"/>
  <c r="AV2554" i="2"/>
  <c r="BA2553" i="2"/>
  <c r="AZ2553" i="2"/>
  <c r="AY2553" i="2"/>
  <c r="AV2553" i="2"/>
  <c r="BA2552" i="2"/>
  <c r="AZ2552" i="2"/>
  <c r="AY2552" i="2"/>
  <c r="AV2552" i="2"/>
  <c r="BA2551" i="2"/>
  <c r="AZ2551" i="2"/>
  <c r="AY2551" i="2"/>
  <c r="AV2551" i="2"/>
  <c r="BA2550" i="2"/>
  <c r="AZ2550" i="2"/>
  <c r="AY2550" i="2"/>
  <c r="AV2550" i="2"/>
  <c r="BA2549" i="2"/>
  <c r="AZ2549" i="2"/>
  <c r="AY2549" i="2"/>
  <c r="AV2549" i="2"/>
  <c r="BA2548" i="2"/>
  <c r="AZ2548" i="2"/>
  <c r="AY2548" i="2"/>
  <c r="AV2548" i="2"/>
  <c r="BA2547" i="2"/>
  <c r="AZ2547" i="2"/>
  <c r="AY2547" i="2"/>
  <c r="AV2547" i="2"/>
  <c r="BA2546" i="2"/>
  <c r="AZ2546" i="2"/>
  <c r="AY2546" i="2"/>
  <c r="AV2546" i="2"/>
  <c r="BA2545" i="2"/>
  <c r="AZ2545" i="2"/>
  <c r="AY2545" i="2"/>
  <c r="AV2545" i="2"/>
  <c r="BA2544" i="2"/>
  <c r="AZ2544" i="2"/>
  <c r="AY2544" i="2"/>
  <c r="AV2544" i="2"/>
  <c r="BA2543" i="2"/>
  <c r="AZ2543" i="2"/>
  <c r="AY2543" i="2"/>
  <c r="AV2543" i="2"/>
  <c r="BA2542" i="2"/>
  <c r="AZ2542" i="2"/>
  <c r="AY2542" i="2"/>
  <c r="AV2542" i="2"/>
  <c r="BA2541" i="2"/>
  <c r="AZ2541" i="2"/>
  <c r="AY2541" i="2"/>
  <c r="AV2541" i="2"/>
  <c r="BA2540" i="2"/>
  <c r="AZ2540" i="2"/>
  <c r="AY2540" i="2"/>
  <c r="AV2540" i="2"/>
  <c r="BA2539" i="2"/>
  <c r="AZ2539" i="2"/>
  <c r="AY2539" i="2"/>
  <c r="AV2539" i="2"/>
  <c r="BA2538" i="2"/>
  <c r="AZ2538" i="2"/>
  <c r="AY2538" i="2"/>
  <c r="AV2538" i="2"/>
  <c r="BA2537" i="2"/>
  <c r="AZ2537" i="2"/>
  <c r="AY2537" i="2"/>
  <c r="AV2537" i="2"/>
  <c r="BA2536" i="2"/>
  <c r="AZ2536" i="2"/>
  <c r="AY2536" i="2"/>
  <c r="AV2536" i="2"/>
  <c r="BA2535" i="2"/>
  <c r="AZ2535" i="2"/>
  <c r="AY2535" i="2"/>
  <c r="AV2535" i="2"/>
  <c r="BA2534" i="2"/>
  <c r="AZ2534" i="2"/>
  <c r="AY2534" i="2"/>
  <c r="AV2534" i="2"/>
  <c r="BA2533" i="2"/>
  <c r="AZ2533" i="2"/>
  <c r="AY2533" i="2"/>
  <c r="AV2533" i="2"/>
  <c r="BA2532" i="2"/>
  <c r="AZ2532" i="2"/>
  <c r="AY2532" i="2"/>
  <c r="AV2532" i="2"/>
  <c r="BA2531" i="2"/>
  <c r="AZ2531" i="2"/>
  <c r="AY2531" i="2"/>
  <c r="AV2531" i="2"/>
  <c r="BA2530" i="2"/>
  <c r="AZ2530" i="2"/>
  <c r="AY2530" i="2"/>
  <c r="AV2530" i="2"/>
  <c r="BA2529" i="2"/>
  <c r="AZ2529" i="2"/>
  <c r="AY2529" i="2"/>
  <c r="AV2529" i="2"/>
  <c r="BA2528" i="2"/>
  <c r="AZ2528" i="2"/>
  <c r="AY2528" i="2"/>
  <c r="AV2528" i="2"/>
  <c r="BA2527" i="2"/>
  <c r="AZ2527" i="2"/>
  <c r="AY2527" i="2"/>
  <c r="AV2527" i="2"/>
  <c r="BA2526" i="2"/>
  <c r="AZ2526" i="2"/>
  <c r="AY2526" i="2"/>
  <c r="AV2526" i="2"/>
  <c r="BA2525" i="2"/>
  <c r="AZ2525" i="2"/>
  <c r="AY2525" i="2"/>
  <c r="AV2525" i="2"/>
  <c r="BA2524" i="2"/>
  <c r="AZ2524" i="2"/>
  <c r="AY2524" i="2"/>
  <c r="AV2524" i="2"/>
  <c r="BA2523" i="2"/>
  <c r="AZ2523" i="2"/>
  <c r="AY2523" i="2"/>
  <c r="AV2523" i="2"/>
  <c r="BA2522" i="2"/>
  <c r="AZ2522" i="2"/>
  <c r="AY2522" i="2"/>
  <c r="AV2522" i="2"/>
  <c r="BA2521" i="2"/>
  <c r="AZ2521" i="2"/>
  <c r="AY2521" i="2"/>
  <c r="AV2521" i="2"/>
  <c r="BA2520" i="2"/>
  <c r="AZ2520" i="2"/>
  <c r="AY2520" i="2"/>
  <c r="AV2520" i="2"/>
  <c r="BA2519" i="2"/>
  <c r="AZ2519" i="2"/>
  <c r="AY2519" i="2"/>
  <c r="AV2519" i="2"/>
  <c r="BA2518" i="2"/>
  <c r="AZ2518" i="2"/>
  <c r="AY2518" i="2"/>
  <c r="AV2518" i="2"/>
  <c r="BA2517" i="2"/>
  <c r="AZ2517" i="2"/>
  <c r="AY2517" i="2"/>
  <c r="AV2517" i="2"/>
  <c r="BA2516" i="2"/>
  <c r="AZ2516" i="2"/>
  <c r="AY2516" i="2"/>
  <c r="AV2516" i="2"/>
  <c r="BA2515" i="2"/>
  <c r="AZ2515" i="2"/>
  <c r="AY2515" i="2"/>
  <c r="AV2515" i="2"/>
  <c r="BA2514" i="2"/>
  <c r="AZ2514" i="2"/>
  <c r="AY2514" i="2"/>
  <c r="AV2514" i="2"/>
  <c r="BA2513" i="2"/>
  <c r="AZ2513" i="2"/>
  <c r="AY2513" i="2"/>
  <c r="AV2513" i="2"/>
  <c r="BA2512" i="2"/>
  <c r="AZ2512" i="2"/>
  <c r="AY2512" i="2"/>
  <c r="AV2512" i="2"/>
  <c r="BA2511" i="2"/>
  <c r="AZ2511" i="2"/>
  <c r="AY2511" i="2"/>
  <c r="AV2511" i="2"/>
  <c r="BA2510" i="2"/>
  <c r="AZ2510" i="2"/>
  <c r="AY2510" i="2"/>
  <c r="AV2510" i="2"/>
  <c r="BA2509" i="2"/>
  <c r="AZ2509" i="2"/>
  <c r="AY2509" i="2"/>
  <c r="AV2509" i="2"/>
  <c r="BA2508" i="2"/>
  <c r="AZ2508" i="2"/>
  <c r="AY2508" i="2"/>
  <c r="AV2508" i="2"/>
  <c r="BA2507" i="2"/>
  <c r="AZ2507" i="2"/>
  <c r="AY2507" i="2"/>
  <c r="AV2507" i="2"/>
  <c r="BA2506" i="2"/>
  <c r="AZ2506" i="2"/>
  <c r="AY2506" i="2"/>
  <c r="AV2506" i="2"/>
  <c r="BA2505" i="2"/>
  <c r="AZ2505" i="2"/>
  <c r="AY2505" i="2"/>
  <c r="AV2505" i="2"/>
  <c r="BA2504" i="2"/>
  <c r="AZ2504" i="2"/>
  <c r="AY2504" i="2"/>
  <c r="AV2504" i="2"/>
  <c r="BA2503" i="2"/>
  <c r="AZ2503" i="2"/>
  <c r="AY2503" i="2"/>
  <c r="AV2503" i="2"/>
  <c r="BA2502" i="2"/>
  <c r="AZ2502" i="2"/>
  <c r="AY2502" i="2"/>
  <c r="AV2502" i="2"/>
  <c r="BA2501" i="2"/>
  <c r="AZ2501" i="2"/>
  <c r="AY2501" i="2"/>
  <c r="AV2501" i="2"/>
  <c r="BA2500" i="2"/>
  <c r="AZ2500" i="2"/>
  <c r="AY2500" i="2"/>
  <c r="AV2500" i="2"/>
  <c r="BA2499" i="2"/>
  <c r="AZ2499" i="2"/>
  <c r="AY2499" i="2"/>
  <c r="AV2499" i="2"/>
  <c r="BA2498" i="2"/>
  <c r="AZ2498" i="2"/>
  <c r="AY2498" i="2"/>
  <c r="AV2498" i="2"/>
  <c r="BA2497" i="2"/>
  <c r="AZ2497" i="2"/>
  <c r="AY2497" i="2"/>
  <c r="AV2497" i="2"/>
  <c r="BA2496" i="2"/>
  <c r="AZ2496" i="2"/>
  <c r="AY2496" i="2"/>
  <c r="AV2496" i="2"/>
  <c r="BA2495" i="2"/>
  <c r="AZ2495" i="2"/>
  <c r="AY2495" i="2"/>
  <c r="AV2495" i="2"/>
  <c r="BA2494" i="2"/>
  <c r="AZ2494" i="2"/>
  <c r="AY2494" i="2"/>
  <c r="AV2494" i="2"/>
  <c r="BA2493" i="2"/>
  <c r="AZ2493" i="2"/>
  <c r="AY2493" i="2"/>
  <c r="AV2493" i="2"/>
  <c r="BA2492" i="2"/>
  <c r="AZ2492" i="2"/>
  <c r="AY2492" i="2"/>
  <c r="AV2492" i="2"/>
  <c r="BA2491" i="2"/>
  <c r="AZ2491" i="2"/>
  <c r="AY2491" i="2"/>
  <c r="AV2491" i="2"/>
  <c r="BA2490" i="2"/>
  <c r="AZ2490" i="2"/>
  <c r="AY2490" i="2"/>
  <c r="AV2490" i="2"/>
  <c r="BA2489" i="2"/>
  <c r="AZ2489" i="2"/>
  <c r="AY2489" i="2"/>
  <c r="AV2489" i="2"/>
  <c r="BA2488" i="2"/>
  <c r="AZ2488" i="2"/>
  <c r="AY2488" i="2"/>
  <c r="AV2488" i="2"/>
  <c r="BA2487" i="2"/>
  <c r="AZ2487" i="2"/>
  <c r="AY2487" i="2"/>
  <c r="AV2487" i="2"/>
  <c r="BA2486" i="2"/>
  <c r="AZ2486" i="2"/>
  <c r="AY2486" i="2"/>
  <c r="AV2486" i="2"/>
  <c r="BA2485" i="2"/>
  <c r="AZ2485" i="2"/>
  <c r="AY2485" i="2"/>
  <c r="AV2485" i="2"/>
  <c r="BA2484" i="2"/>
  <c r="AZ2484" i="2"/>
  <c r="AY2484" i="2"/>
  <c r="AV2484" i="2"/>
  <c r="BA2483" i="2"/>
  <c r="AZ2483" i="2"/>
  <c r="AY2483" i="2"/>
  <c r="AV2483" i="2"/>
  <c r="BA2482" i="2"/>
  <c r="AZ2482" i="2"/>
  <c r="AY2482" i="2"/>
  <c r="AV2482" i="2"/>
  <c r="BA2481" i="2"/>
  <c r="AZ2481" i="2"/>
  <c r="AY2481" i="2"/>
  <c r="AV2481" i="2"/>
  <c r="BA2480" i="2"/>
  <c r="AZ2480" i="2"/>
  <c r="AY2480" i="2"/>
  <c r="AV2480" i="2"/>
  <c r="BA2479" i="2"/>
  <c r="AZ2479" i="2"/>
  <c r="AY2479" i="2"/>
  <c r="AV2479" i="2"/>
  <c r="BA2478" i="2"/>
  <c r="AZ2478" i="2"/>
  <c r="AY2478" i="2"/>
  <c r="AV2478" i="2"/>
  <c r="BA2477" i="2"/>
  <c r="AZ2477" i="2"/>
  <c r="AY2477" i="2"/>
  <c r="AV2477" i="2"/>
  <c r="BA2476" i="2"/>
  <c r="AZ2476" i="2"/>
  <c r="AY2476" i="2"/>
  <c r="AV2476" i="2"/>
  <c r="BA2475" i="2"/>
  <c r="AZ2475" i="2"/>
  <c r="AY2475" i="2"/>
  <c r="AV2475" i="2"/>
  <c r="BA2474" i="2"/>
  <c r="AZ2474" i="2"/>
  <c r="AY2474" i="2"/>
  <c r="AV2474" i="2"/>
  <c r="BA2473" i="2"/>
  <c r="AZ2473" i="2"/>
  <c r="AY2473" i="2"/>
  <c r="AV2473" i="2"/>
  <c r="BA2472" i="2"/>
  <c r="AZ2472" i="2"/>
  <c r="AY2472" i="2"/>
  <c r="AV2472" i="2"/>
  <c r="BA2471" i="2"/>
  <c r="AZ2471" i="2"/>
  <c r="AY2471" i="2"/>
  <c r="AV2471" i="2"/>
  <c r="BA2470" i="2"/>
  <c r="AZ2470" i="2"/>
  <c r="AY2470" i="2"/>
  <c r="AV2470" i="2"/>
  <c r="BA2469" i="2"/>
  <c r="AZ2469" i="2"/>
  <c r="AY2469" i="2"/>
  <c r="AV2469" i="2"/>
  <c r="BA2468" i="2"/>
  <c r="AZ2468" i="2"/>
  <c r="AY2468" i="2"/>
  <c r="AV2468" i="2"/>
  <c r="BA2467" i="2"/>
  <c r="AZ2467" i="2"/>
  <c r="AY2467" i="2"/>
  <c r="AV2467" i="2"/>
  <c r="BA2466" i="2"/>
  <c r="AZ2466" i="2"/>
  <c r="AY2466" i="2"/>
  <c r="AV2466" i="2"/>
  <c r="BA2465" i="2"/>
  <c r="AZ2465" i="2"/>
  <c r="AY2465" i="2"/>
  <c r="AV2465" i="2"/>
  <c r="BA2464" i="2"/>
  <c r="AZ2464" i="2"/>
  <c r="AY2464" i="2"/>
  <c r="AV2464" i="2"/>
  <c r="BA2463" i="2"/>
  <c r="AZ2463" i="2"/>
  <c r="AY2463" i="2"/>
  <c r="AV2463" i="2"/>
  <c r="BA2462" i="2"/>
  <c r="AZ2462" i="2"/>
  <c r="AY2462" i="2"/>
  <c r="AV2462" i="2"/>
  <c r="BA2461" i="2"/>
  <c r="AZ2461" i="2"/>
  <c r="AY2461" i="2"/>
  <c r="AV2461" i="2"/>
  <c r="BA2460" i="2"/>
  <c r="AZ2460" i="2"/>
  <c r="AY2460" i="2"/>
  <c r="AV2460" i="2"/>
  <c r="BA2459" i="2"/>
  <c r="AZ2459" i="2"/>
  <c r="AY2459" i="2"/>
  <c r="AV2459" i="2"/>
  <c r="BA2458" i="2"/>
  <c r="AZ2458" i="2"/>
  <c r="AY2458" i="2"/>
  <c r="AV2458" i="2"/>
  <c r="BA2457" i="2"/>
  <c r="AZ2457" i="2"/>
  <c r="AY2457" i="2"/>
  <c r="AV2457" i="2"/>
  <c r="BA2456" i="2"/>
  <c r="AZ2456" i="2"/>
  <c r="AY2456" i="2"/>
  <c r="AV2456" i="2"/>
  <c r="BA2455" i="2"/>
  <c r="AZ2455" i="2"/>
  <c r="AY2455" i="2"/>
  <c r="AV2455" i="2"/>
  <c r="BA2454" i="2"/>
  <c r="AZ2454" i="2"/>
  <c r="AY2454" i="2"/>
  <c r="AV2454" i="2"/>
  <c r="BA2453" i="2"/>
  <c r="AZ2453" i="2"/>
  <c r="AY2453" i="2"/>
  <c r="AV2453" i="2"/>
  <c r="BA2452" i="2"/>
  <c r="AZ2452" i="2"/>
  <c r="AY2452" i="2"/>
  <c r="AV2452" i="2"/>
  <c r="BA2451" i="2"/>
  <c r="AZ2451" i="2"/>
  <c r="AY2451" i="2"/>
  <c r="AV2451" i="2"/>
  <c r="BA2450" i="2"/>
  <c r="AZ2450" i="2"/>
  <c r="AY2450" i="2"/>
  <c r="AV2450" i="2"/>
  <c r="BA2449" i="2"/>
  <c r="AZ2449" i="2"/>
  <c r="AY2449" i="2"/>
  <c r="AV2449" i="2"/>
  <c r="BA2448" i="2"/>
  <c r="AZ2448" i="2"/>
  <c r="AY2448" i="2"/>
  <c r="AV2448" i="2"/>
  <c r="BA2447" i="2"/>
  <c r="AZ2447" i="2"/>
  <c r="AY2447" i="2"/>
  <c r="AV2447" i="2"/>
  <c r="BA2446" i="2"/>
  <c r="AZ2446" i="2"/>
  <c r="AY2446" i="2"/>
  <c r="AV2446" i="2"/>
  <c r="BA2445" i="2"/>
  <c r="AZ2445" i="2"/>
  <c r="AY2445" i="2"/>
  <c r="AV2445" i="2"/>
  <c r="BA2444" i="2"/>
  <c r="AZ2444" i="2"/>
  <c r="AY2444" i="2"/>
  <c r="AV2444" i="2"/>
  <c r="BA2443" i="2"/>
  <c r="AZ2443" i="2"/>
  <c r="AY2443" i="2"/>
  <c r="AV2443" i="2"/>
  <c r="BA2442" i="2"/>
  <c r="AZ2442" i="2"/>
  <c r="AY2442" i="2"/>
  <c r="AV2442" i="2"/>
  <c r="BA2441" i="2"/>
  <c r="AZ2441" i="2"/>
  <c r="AY2441" i="2"/>
  <c r="AV2441" i="2"/>
  <c r="BA2440" i="2"/>
  <c r="AZ2440" i="2"/>
  <c r="AY2440" i="2"/>
  <c r="AV2440" i="2"/>
  <c r="BA2439" i="2"/>
  <c r="AZ2439" i="2"/>
  <c r="AY2439" i="2"/>
  <c r="AV2439" i="2"/>
  <c r="BA2438" i="2"/>
  <c r="AZ2438" i="2"/>
  <c r="AY2438" i="2"/>
  <c r="AV2438" i="2"/>
  <c r="BA2437" i="2"/>
  <c r="AZ2437" i="2"/>
  <c r="AY2437" i="2"/>
  <c r="AV2437" i="2"/>
  <c r="BA2436" i="2"/>
  <c r="AZ2436" i="2"/>
  <c r="AY2436" i="2"/>
  <c r="AV2436" i="2"/>
  <c r="BA2435" i="2"/>
  <c r="AZ2435" i="2"/>
  <c r="AY2435" i="2"/>
  <c r="AV2435" i="2"/>
  <c r="BA2434" i="2"/>
  <c r="AZ2434" i="2"/>
  <c r="AY2434" i="2"/>
  <c r="AV2434" i="2"/>
  <c r="BA2433" i="2"/>
  <c r="AZ2433" i="2"/>
  <c r="AY2433" i="2"/>
  <c r="AV2433" i="2"/>
  <c r="BA2432" i="2"/>
  <c r="AZ2432" i="2"/>
  <c r="AY2432" i="2"/>
  <c r="AV2432" i="2"/>
  <c r="BA2431" i="2"/>
  <c r="AZ2431" i="2"/>
  <c r="AY2431" i="2"/>
  <c r="AV2431" i="2"/>
  <c r="BA2430" i="2"/>
  <c r="AZ2430" i="2"/>
  <c r="AY2430" i="2"/>
  <c r="AV2430" i="2"/>
  <c r="BA2429" i="2"/>
  <c r="AZ2429" i="2"/>
  <c r="AY2429" i="2"/>
  <c r="AV2429" i="2"/>
  <c r="BA2428" i="2"/>
  <c r="AZ2428" i="2"/>
  <c r="AY2428" i="2"/>
  <c r="AV2428" i="2"/>
  <c r="BA2427" i="2"/>
  <c r="AZ2427" i="2"/>
  <c r="AY2427" i="2"/>
  <c r="AV2427" i="2"/>
  <c r="BA2426" i="2"/>
  <c r="AZ2426" i="2"/>
  <c r="AY2426" i="2"/>
  <c r="AV2426" i="2"/>
  <c r="BA2425" i="2"/>
  <c r="AZ2425" i="2"/>
  <c r="AY2425" i="2"/>
  <c r="AV2425" i="2"/>
  <c r="BA2424" i="2"/>
  <c r="AZ2424" i="2"/>
  <c r="AY2424" i="2"/>
  <c r="AV2424" i="2"/>
  <c r="BA2423" i="2"/>
  <c r="AZ2423" i="2"/>
  <c r="AY2423" i="2"/>
  <c r="AV2423" i="2"/>
  <c r="BA2422" i="2"/>
  <c r="AZ2422" i="2"/>
  <c r="AY2422" i="2"/>
  <c r="AV2422" i="2"/>
  <c r="BA2421" i="2"/>
  <c r="AZ2421" i="2"/>
  <c r="AY2421" i="2"/>
  <c r="AV2421" i="2"/>
  <c r="BA2420" i="2"/>
  <c r="AZ2420" i="2"/>
  <c r="AY2420" i="2"/>
  <c r="AV2420" i="2"/>
  <c r="BA2419" i="2"/>
  <c r="AZ2419" i="2"/>
  <c r="AY2419" i="2"/>
  <c r="AV2419" i="2"/>
  <c r="BA2418" i="2"/>
  <c r="AZ2418" i="2"/>
  <c r="AY2418" i="2"/>
  <c r="AV2418" i="2"/>
  <c r="BA2417" i="2"/>
  <c r="AZ2417" i="2"/>
  <c r="AY2417" i="2"/>
  <c r="AV2417" i="2"/>
  <c r="BA2416" i="2"/>
  <c r="AZ2416" i="2"/>
  <c r="AY2416" i="2"/>
  <c r="AV2416" i="2"/>
  <c r="BA2415" i="2"/>
  <c r="AZ2415" i="2"/>
  <c r="AY2415" i="2"/>
  <c r="AV2415" i="2"/>
  <c r="BA2414" i="2"/>
  <c r="AZ2414" i="2"/>
  <c r="AY2414" i="2"/>
  <c r="AV2414" i="2"/>
  <c r="BA2413" i="2"/>
  <c r="AZ2413" i="2"/>
  <c r="AY2413" i="2"/>
  <c r="AV2413" i="2"/>
  <c r="BA2412" i="2"/>
  <c r="AZ2412" i="2"/>
  <c r="AY2412" i="2"/>
  <c r="AV2412" i="2"/>
  <c r="BA2411" i="2"/>
  <c r="AZ2411" i="2"/>
  <c r="AY2411" i="2"/>
  <c r="AV2411" i="2"/>
  <c r="BA2410" i="2"/>
  <c r="AZ2410" i="2"/>
  <c r="AY2410" i="2"/>
  <c r="AV2410" i="2"/>
  <c r="BA2409" i="2"/>
  <c r="AZ2409" i="2"/>
  <c r="AY2409" i="2"/>
  <c r="AV2409" i="2"/>
  <c r="BA2408" i="2"/>
  <c r="AZ2408" i="2"/>
  <c r="AY2408" i="2"/>
  <c r="AV2408" i="2"/>
  <c r="BA2407" i="2"/>
  <c r="AZ2407" i="2"/>
  <c r="AY2407" i="2"/>
  <c r="AV2407" i="2"/>
  <c r="BA2406" i="2"/>
  <c r="AZ2406" i="2"/>
  <c r="AY2406" i="2"/>
  <c r="AV2406" i="2"/>
  <c r="BA2405" i="2"/>
  <c r="AZ2405" i="2"/>
  <c r="AY2405" i="2"/>
  <c r="AV2405" i="2"/>
  <c r="BA2404" i="2"/>
  <c r="AZ2404" i="2"/>
  <c r="AY2404" i="2"/>
  <c r="AV2404" i="2"/>
  <c r="BA2403" i="2"/>
  <c r="AZ2403" i="2"/>
  <c r="AY2403" i="2"/>
  <c r="AV2403" i="2"/>
  <c r="BA2402" i="2"/>
  <c r="AZ2402" i="2"/>
  <c r="AY2402" i="2"/>
  <c r="AV2402" i="2"/>
  <c r="BA2401" i="2"/>
  <c r="AZ2401" i="2"/>
  <c r="AY2401" i="2"/>
  <c r="AV2401" i="2"/>
  <c r="BA2400" i="2"/>
  <c r="AZ2400" i="2"/>
  <c r="AY2400" i="2"/>
  <c r="AV2400" i="2"/>
  <c r="BA2399" i="2"/>
  <c r="AZ2399" i="2"/>
  <c r="AY2399" i="2"/>
  <c r="AV2399" i="2"/>
  <c r="BA2398" i="2"/>
  <c r="AZ2398" i="2"/>
  <c r="AY2398" i="2"/>
  <c r="AV2398" i="2"/>
  <c r="BA2397" i="2"/>
  <c r="AZ2397" i="2"/>
  <c r="AY2397" i="2"/>
  <c r="AV2397" i="2"/>
  <c r="BA2396" i="2"/>
  <c r="AZ2396" i="2"/>
  <c r="AY2396" i="2"/>
  <c r="AV2396" i="2"/>
  <c r="BA2395" i="2"/>
  <c r="AZ2395" i="2"/>
  <c r="AY2395" i="2"/>
  <c r="AV2395" i="2"/>
  <c r="BA2394" i="2"/>
  <c r="AZ2394" i="2"/>
  <c r="AY2394" i="2"/>
  <c r="AV2394" i="2"/>
  <c r="BA2393" i="2"/>
  <c r="AZ2393" i="2"/>
  <c r="AY2393" i="2"/>
  <c r="AV2393" i="2"/>
  <c r="BA2392" i="2"/>
  <c r="AZ2392" i="2"/>
  <c r="AY2392" i="2"/>
  <c r="AV2392" i="2"/>
  <c r="BA2391" i="2"/>
  <c r="AZ2391" i="2"/>
  <c r="AY2391" i="2"/>
  <c r="AV2391" i="2"/>
  <c r="BA2390" i="2"/>
  <c r="AZ2390" i="2"/>
  <c r="AY2390" i="2"/>
  <c r="AV2390" i="2"/>
  <c r="BA2389" i="2"/>
  <c r="AZ2389" i="2"/>
  <c r="AY2389" i="2"/>
  <c r="AV2389" i="2"/>
  <c r="BA2388" i="2"/>
  <c r="AZ2388" i="2"/>
  <c r="AY2388" i="2"/>
  <c r="AV2388" i="2"/>
  <c r="BA2387" i="2"/>
  <c r="AZ2387" i="2"/>
  <c r="AY2387" i="2"/>
  <c r="AV2387" i="2"/>
  <c r="BA2386" i="2"/>
  <c r="AZ2386" i="2"/>
  <c r="AY2386" i="2"/>
  <c r="AV2386" i="2"/>
  <c r="BA2385" i="2"/>
  <c r="AZ2385" i="2"/>
  <c r="AY2385" i="2"/>
  <c r="AV2385" i="2"/>
  <c r="BA2384" i="2"/>
  <c r="AZ2384" i="2"/>
  <c r="AY2384" i="2"/>
  <c r="AV2384" i="2"/>
  <c r="BA2383" i="2"/>
  <c r="AZ2383" i="2"/>
  <c r="AY2383" i="2"/>
  <c r="AV2383" i="2"/>
  <c r="BA2382" i="2"/>
  <c r="AZ2382" i="2"/>
  <c r="AY2382" i="2"/>
  <c r="AV2382" i="2"/>
  <c r="BA2381" i="2"/>
  <c r="AZ2381" i="2"/>
  <c r="AY2381" i="2"/>
  <c r="AV2381" i="2"/>
  <c r="BA2380" i="2"/>
  <c r="AZ2380" i="2"/>
  <c r="AY2380" i="2"/>
  <c r="AV2380" i="2"/>
  <c r="BA2379" i="2"/>
  <c r="AZ2379" i="2"/>
  <c r="AY2379" i="2"/>
  <c r="AV2379" i="2"/>
  <c r="BA2378" i="2"/>
  <c r="AZ2378" i="2"/>
  <c r="AY2378" i="2"/>
  <c r="AV2378" i="2"/>
  <c r="BA2377" i="2"/>
  <c r="AZ2377" i="2"/>
  <c r="AY2377" i="2"/>
  <c r="AV2377" i="2"/>
  <c r="BA2376" i="2"/>
  <c r="AZ2376" i="2"/>
  <c r="AY2376" i="2"/>
  <c r="AV2376" i="2"/>
  <c r="BA2375" i="2"/>
  <c r="AZ2375" i="2"/>
  <c r="AY2375" i="2"/>
  <c r="AV2375" i="2"/>
  <c r="BA2374" i="2"/>
  <c r="AZ2374" i="2"/>
  <c r="AY2374" i="2"/>
  <c r="AV2374" i="2"/>
  <c r="BA2373" i="2"/>
  <c r="AZ2373" i="2"/>
  <c r="AY2373" i="2"/>
  <c r="AV2373" i="2"/>
  <c r="BA2372" i="2"/>
  <c r="AZ2372" i="2"/>
  <c r="AY2372" i="2"/>
  <c r="AV2372" i="2"/>
  <c r="BA2371" i="2"/>
  <c r="AZ2371" i="2"/>
  <c r="AY2371" i="2"/>
  <c r="AV2371" i="2"/>
  <c r="BA2370" i="2"/>
  <c r="AZ2370" i="2"/>
  <c r="AY2370" i="2"/>
  <c r="AV2370" i="2"/>
  <c r="BA2369" i="2"/>
  <c r="AZ2369" i="2"/>
  <c r="AY2369" i="2"/>
  <c r="AV2369" i="2"/>
  <c r="BA2368" i="2"/>
  <c r="AZ2368" i="2"/>
  <c r="AY2368" i="2"/>
  <c r="AV2368" i="2"/>
  <c r="BA2367" i="2"/>
  <c r="AZ2367" i="2"/>
  <c r="AY2367" i="2"/>
  <c r="AV2367" i="2"/>
  <c r="BA2366" i="2"/>
  <c r="AZ2366" i="2"/>
  <c r="AY2366" i="2"/>
  <c r="AV2366" i="2"/>
  <c r="BA2365" i="2"/>
  <c r="AZ2365" i="2"/>
  <c r="AY2365" i="2"/>
  <c r="AV2365" i="2"/>
  <c r="BA2364" i="2"/>
  <c r="AZ2364" i="2"/>
  <c r="AY2364" i="2"/>
  <c r="AV2364" i="2"/>
  <c r="BA2363" i="2"/>
  <c r="AZ2363" i="2"/>
  <c r="AY2363" i="2"/>
  <c r="AV2363" i="2"/>
  <c r="BA2362" i="2"/>
  <c r="AZ2362" i="2"/>
  <c r="AY2362" i="2"/>
  <c r="AV2362" i="2"/>
  <c r="BA2361" i="2"/>
  <c r="AZ2361" i="2"/>
  <c r="AY2361" i="2"/>
  <c r="AV2361" i="2"/>
  <c r="BA2360" i="2"/>
  <c r="AZ2360" i="2"/>
  <c r="AY2360" i="2"/>
  <c r="AV2360" i="2"/>
  <c r="BA2359" i="2"/>
  <c r="AZ2359" i="2"/>
  <c r="AY2359" i="2"/>
  <c r="AV2359" i="2"/>
  <c r="BA2358" i="2"/>
  <c r="AZ2358" i="2"/>
  <c r="AY2358" i="2"/>
  <c r="AV2358" i="2"/>
  <c r="BA2357" i="2"/>
  <c r="AZ2357" i="2"/>
  <c r="AY2357" i="2"/>
  <c r="AV2357" i="2"/>
  <c r="BA2356" i="2"/>
  <c r="AZ2356" i="2"/>
  <c r="AY2356" i="2"/>
  <c r="AV2356" i="2"/>
  <c r="BA2355" i="2"/>
  <c r="AZ2355" i="2"/>
  <c r="AY2355" i="2"/>
  <c r="AV2355" i="2"/>
  <c r="BA2354" i="2"/>
  <c r="AZ2354" i="2"/>
  <c r="AY2354" i="2"/>
  <c r="AV2354" i="2"/>
  <c r="BA2353" i="2"/>
  <c r="AZ2353" i="2"/>
  <c r="AY2353" i="2"/>
  <c r="AV2353" i="2"/>
  <c r="BA2352" i="2"/>
  <c r="AZ2352" i="2"/>
  <c r="AY2352" i="2"/>
  <c r="AV2352" i="2"/>
  <c r="BA2351" i="2"/>
  <c r="AZ2351" i="2"/>
  <c r="AY2351" i="2"/>
  <c r="AV2351" i="2"/>
  <c r="BA2350" i="2"/>
  <c r="AZ2350" i="2"/>
  <c r="AY2350" i="2"/>
  <c r="AV2350" i="2"/>
  <c r="BA2349" i="2"/>
  <c r="AZ2349" i="2"/>
  <c r="AY2349" i="2"/>
  <c r="AV2349" i="2"/>
  <c r="BA2348" i="2"/>
  <c r="AZ2348" i="2"/>
  <c r="AY2348" i="2"/>
  <c r="AV2348" i="2"/>
  <c r="BA2347" i="2"/>
  <c r="AZ2347" i="2"/>
  <c r="AY2347" i="2"/>
  <c r="AV2347" i="2"/>
  <c r="BA2346" i="2"/>
  <c r="AZ2346" i="2"/>
  <c r="AY2346" i="2"/>
  <c r="AV2346" i="2"/>
  <c r="BA2345" i="2"/>
  <c r="AZ2345" i="2"/>
  <c r="AY2345" i="2"/>
  <c r="AV2345" i="2"/>
  <c r="BA2344" i="2"/>
  <c r="AZ2344" i="2"/>
  <c r="AY2344" i="2"/>
  <c r="AV2344" i="2"/>
  <c r="BA2343" i="2"/>
  <c r="AZ2343" i="2"/>
  <c r="AY2343" i="2"/>
  <c r="AV2343" i="2"/>
  <c r="BA2342" i="2"/>
  <c r="AZ2342" i="2"/>
  <c r="AY2342" i="2"/>
  <c r="AV2342" i="2"/>
  <c r="BA2341" i="2"/>
  <c r="AZ2341" i="2"/>
  <c r="AY2341" i="2"/>
  <c r="AV2341" i="2"/>
  <c r="BA2340" i="2"/>
  <c r="AZ2340" i="2"/>
  <c r="AY2340" i="2"/>
  <c r="AV2340" i="2"/>
  <c r="BA2339" i="2"/>
  <c r="AZ2339" i="2"/>
  <c r="AY2339" i="2"/>
  <c r="AV2339" i="2"/>
  <c r="BA2338" i="2"/>
  <c r="AZ2338" i="2"/>
  <c r="AY2338" i="2"/>
  <c r="AV2338" i="2"/>
  <c r="BA2337" i="2"/>
  <c r="AZ2337" i="2"/>
  <c r="AY2337" i="2"/>
  <c r="AV2337" i="2"/>
  <c r="BA2336" i="2"/>
  <c r="AZ2336" i="2"/>
  <c r="AY2336" i="2"/>
  <c r="AV2336" i="2"/>
  <c r="BA2335" i="2"/>
  <c r="AZ2335" i="2"/>
  <c r="AY2335" i="2"/>
  <c r="AV2335" i="2"/>
  <c r="BA2334" i="2"/>
  <c r="AZ2334" i="2"/>
  <c r="AY2334" i="2"/>
  <c r="AV2334" i="2"/>
  <c r="BA2333" i="2"/>
  <c r="AZ2333" i="2"/>
  <c r="AY2333" i="2"/>
  <c r="AV2333" i="2"/>
  <c r="BA2332" i="2"/>
  <c r="AZ2332" i="2"/>
  <c r="AY2332" i="2"/>
  <c r="AV2332" i="2"/>
  <c r="BA2331" i="2"/>
  <c r="AZ2331" i="2"/>
  <c r="AY2331" i="2"/>
  <c r="AV2331" i="2"/>
  <c r="BA2330" i="2"/>
  <c r="AZ2330" i="2"/>
  <c r="AY2330" i="2"/>
  <c r="AV2330" i="2"/>
  <c r="BA2329" i="2"/>
  <c r="AZ2329" i="2"/>
  <c r="AY2329" i="2"/>
  <c r="AV2329" i="2"/>
  <c r="BA2328" i="2"/>
  <c r="AZ2328" i="2"/>
  <c r="AY2328" i="2"/>
  <c r="AV2328" i="2"/>
  <c r="BA2327" i="2"/>
  <c r="AZ2327" i="2"/>
  <c r="AY2327" i="2"/>
  <c r="AV2327" i="2"/>
  <c r="BA2326" i="2"/>
  <c r="AZ2326" i="2"/>
  <c r="AY2326" i="2"/>
  <c r="AV2326" i="2"/>
  <c r="BA2325" i="2"/>
  <c r="AZ2325" i="2"/>
  <c r="AY2325" i="2"/>
  <c r="AV2325" i="2"/>
  <c r="BA2324" i="2"/>
  <c r="AZ2324" i="2"/>
  <c r="AY2324" i="2"/>
  <c r="AV2324" i="2"/>
  <c r="BA2323" i="2"/>
  <c r="AZ2323" i="2"/>
  <c r="AY2323" i="2"/>
  <c r="AV2323" i="2"/>
  <c r="BA2322" i="2"/>
  <c r="AZ2322" i="2"/>
  <c r="AY2322" i="2"/>
  <c r="AV2322" i="2"/>
  <c r="BA2321" i="2"/>
  <c r="AZ2321" i="2"/>
  <c r="AY2321" i="2"/>
  <c r="AV2321" i="2"/>
  <c r="BA2320" i="2"/>
  <c r="AZ2320" i="2"/>
  <c r="AY2320" i="2"/>
  <c r="AV2320" i="2"/>
  <c r="BA2319" i="2"/>
  <c r="AZ2319" i="2"/>
  <c r="AY2319" i="2"/>
  <c r="AV2319" i="2"/>
  <c r="BA2318" i="2"/>
  <c r="AZ2318" i="2"/>
  <c r="AY2318" i="2"/>
  <c r="AV2318" i="2"/>
  <c r="BA2317" i="2"/>
  <c r="AZ2317" i="2"/>
  <c r="AY2317" i="2"/>
  <c r="AV2317" i="2"/>
  <c r="BA2316" i="2"/>
  <c r="AZ2316" i="2"/>
  <c r="AY2316" i="2"/>
  <c r="AV2316" i="2"/>
  <c r="BA2315" i="2"/>
  <c r="AZ2315" i="2"/>
  <c r="AY2315" i="2"/>
  <c r="AV2315" i="2"/>
  <c r="BA2314" i="2"/>
  <c r="AZ2314" i="2"/>
  <c r="AY2314" i="2"/>
  <c r="AV2314" i="2"/>
  <c r="BA2313" i="2"/>
  <c r="AZ2313" i="2"/>
  <c r="AY2313" i="2"/>
  <c r="AV2313" i="2"/>
  <c r="BA2312" i="2"/>
  <c r="AZ2312" i="2"/>
  <c r="AY2312" i="2"/>
  <c r="AV2312" i="2"/>
  <c r="BA2311" i="2"/>
  <c r="AZ2311" i="2"/>
  <c r="AY2311" i="2"/>
  <c r="AV2311" i="2"/>
  <c r="BA2310" i="2"/>
  <c r="AZ2310" i="2"/>
  <c r="AY2310" i="2"/>
  <c r="AV2310" i="2"/>
  <c r="BA2309" i="2"/>
  <c r="AZ2309" i="2"/>
  <c r="AY2309" i="2"/>
  <c r="AV2309" i="2"/>
  <c r="BA2308" i="2"/>
  <c r="AZ2308" i="2"/>
  <c r="AY2308" i="2"/>
  <c r="AV2308" i="2"/>
  <c r="BA2307" i="2"/>
  <c r="AZ2307" i="2"/>
  <c r="AY2307" i="2"/>
  <c r="AV2307" i="2"/>
  <c r="BA2306" i="2"/>
  <c r="AZ2306" i="2"/>
  <c r="AY2306" i="2"/>
  <c r="AV2306" i="2"/>
  <c r="BA2305" i="2"/>
  <c r="AZ2305" i="2"/>
  <c r="AY2305" i="2"/>
  <c r="AV2305" i="2"/>
  <c r="BA2304" i="2"/>
  <c r="AZ2304" i="2"/>
  <c r="AY2304" i="2"/>
  <c r="AV2304" i="2"/>
  <c r="BA2303" i="2"/>
  <c r="AZ2303" i="2"/>
  <c r="AY2303" i="2"/>
  <c r="AV2303" i="2"/>
  <c r="BA2302" i="2"/>
  <c r="AZ2302" i="2"/>
  <c r="AY2302" i="2"/>
  <c r="AV2302" i="2"/>
  <c r="BA2301" i="2"/>
  <c r="AZ2301" i="2"/>
  <c r="AY2301" i="2"/>
  <c r="AV2301" i="2"/>
  <c r="BA2300" i="2"/>
  <c r="AZ2300" i="2"/>
  <c r="AY2300" i="2"/>
  <c r="AV2300" i="2"/>
  <c r="BA2299" i="2"/>
  <c r="AZ2299" i="2"/>
  <c r="AY2299" i="2"/>
  <c r="AV2299" i="2"/>
  <c r="BA2298" i="2"/>
  <c r="AZ2298" i="2"/>
  <c r="AY2298" i="2"/>
  <c r="AV2298" i="2"/>
  <c r="BA2297" i="2"/>
  <c r="AZ2297" i="2"/>
  <c r="AY2297" i="2"/>
  <c r="AV2297" i="2"/>
  <c r="BA2296" i="2"/>
  <c r="AZ2296" i="2"/>
  <c r="AY2296" i="2"/>
  <c r="AV2296" i="2"/>
  <c r="BA2295" i="2"/>
  <c r="AZ2295" i="2"/>
  <c r="AY2295" i="2"/>
  <c r="AV2295" i="2"/>
  <c r="BA2294" i="2"/>
  <c r="AZ2294" i="2"/>
  <c r="AY2294" i="2"/>
  <c r="AV2294" i="2"/>
  <c r="BA2293" i="2"/>
  <c r="AZ2293" i="2"/>
  <c r="AY2293" i="2"/>
  <c r="AV2293" i="2"/>
  <c r="BA2292" i="2"/>
  <c r="AZ2292" i="2"/>
  <c r="AY2292" i="2"/>
  <c r="AV2292" i="2"/>
  <c r="BA2291" i="2"/>
  <c r="AZ2291" i="2"/>
  <c r="AY2291" i="2"/>
  <c r="AV2291" i="2"/>
  <c r="BA2290" i="2"/>
  <c r="AZ2290" i="2"/>
  <c r="AY2290" i="2"/>
  <c r="AV2290" i="2"/>
  <c r="BA2289" i="2"/>
  <c r="AZ2289" i="2"/>
  <c r="AY2289" i="2"/>
  <c r="AV2289" i="2"/>
  <c r="BA2288" i="2"/>
  <c r="AZ2288" i="2"/>
  <c r="AY2288" i="2"/>
  <c r="AV2288" i="2"/>
  <c r="BA2287" i="2"/>
  <c r="AZ2287" i="2"/>
  <c r="AY2287" i="2"/>
  <c r="AV2287" i="2"/>
  <c r="BA2286" i="2"/>
  <c r="AZ2286" i="2"/>
  <c r="AY2286" i="2"/>
  <c r="AV2286" i="2"/>
  <c r="BA2285" i="2"/>
  <c r="AZ2285" i="2"/>
  <c r="AY2285" i="2"/>
  <c r="AV2285" i="2"/>
  <c r="BA2284" i="2"/>
  <c r="AZ2284" i="2"/>
  <c r="AY2284" i="2"/>
  <c r="AV2284" i="2"/>
  <c r="BA2283" i="2"/>
  <c r="AZ2283" i="2"/>
  <c r="AY2283" i="2"/>
  <c r="AV2283" i="2"/>
  <c r="BA2282" i="2"/>
  <c r="AZ2282" i="2"/>
  <c r="AY2282" i="2"/>
  <c r="AV2282" i="2"/>
  <c r="BA2281" i="2"/>
  <c r="AZ2281" i="2"/>
  <c r="AY2281" i="2"/>
  <c r="AV2281" i="2"/>
  <c r="BA2280" i="2"/>
  <c r="AZ2280" i="2"/>
  <c r="AY2280" i="2"/>
  <c r="AV2280" i="2"/>
  <c r="BA2279" i="2"/>
  <c r="AZ2279" i="2"/>
  <c r="AY2279" i="2"/>
  <c r="AV2279" i="2"/>
  <c r="BA2278" i="2"/>
  <c r="AZ2278" i="2"/>
  <c r="AY2278" i="2"/>
  <c r="AV2278" i="2"/>
  <c r="BA2277" i="2"/>
  <c r="AZ2277" i="2"/>
  <c r="AY2277" i="2"/>
  <c r="AV2277" i="2"/>
  <c r="BA2276" i="2"/>
  <c r="AZ2276" i="2"/>
  <c r="AY2276" i="2"/>
  <c r="AV2276" i="2"/>
  <c r="BA2275" i="2"/>
  <c r="AZ2275" i="2"/>
  <c r="AY2275" i="2"/>
  <c r="AV2275" i="2"/>
  <c r="BA2274" i="2"/>
  <c r="AZ2274" i="2"/>
  <c r="AY2274" i="2"/>
  <c r="AV2274" i="2"/>
  <c r="BA2273" i="2"/>
  <c r="AZ2273" i="2"/>
  <c r="AY2273" i="2"/>
  <c r="AV2273" i="2"/>
  <c r="BA2272" i="2"/>
  <c r="AZ2272" i="2"/>
  <c r="AY2272" i="2"/>
  <c r="AV2272" i="2"/>
  <c r="BA2271" i="2"/>
  <c r="AZ2271" i="2"/>
  <c r="AY2271" i="2"/>
  <c r="AV2271" i="2"/>
  <c r="BA2270" i="2"/>
  <c r="AZ2270" i="2"/>
  <c r="AY2270" i="2"/>
  <c r="AV2270" i="2"/>
  <c r="BA2269" i="2"/>
  <c r="AZ2269" i="2"/>
  <c r="AY2269" i="2"/>
  <c r="AV2269" i="2"/>
  <c r="BA2268" i="2"/>
  <c r="AZ2268" i="2"/>
  <c r="AY2268" i="2"/>
  <c r="AV2268" i="2"/>
  <c r="BA2267" i="2"/>
  <c r="AZ2267" i="2"/>
  <c r="AY2267" i="2"/>
  <c r="AV2267" i="2"/>
  <c r="BA2266" i="2"/>
  <c r="AZ2266" i="2"/>
  <c r="AY2266" i="2"/>
  <c r="AV2266" i="2"/>
  <c r="BA2265" i="2"/>
  <c r="AZ2265" i="2"/>
  <c r="AY2265" i="2"/>
  <c r="AV2265" i="2"/>
  <c r="BA2264" i="2"/>
  <c r="AZ2264" i="2"/>
  <c r="AY2264" i="2"/>
  <c r="AV2264" i="2"/>
  <c r="BA2263" i="2"/>
  <c r="AZ2263" i="2"/>
  <c r="AY2263" i="2"/>
  <c r="AV2263" i="2"/>
  <c r="BA2262" i="2"/>
  <c r="AZ2262" i="2"/>
  <c r="AY2262" i="2"/>
  <c r="AV2262" i="2"/>
  <c r="BA2261" i="2"/>
  <c r="AZ2261" i="2"/>
  <c r="AY2261" i="2"/>
  <c r="AV2261" i="2"/>
  <c r="BA2260" i="2"/>
  <c r="AZ2260" i="2"/>
  <c r="AY2260" i="2"/>
  <c r="AV2260" i="2"/>
  <c r="BA2259" i="2"/>
  <c r="AZ2259" i="2"/>
  <c r="AY2259" i="2"/>
  <c r="AV2259" i="2"/>
  <c r="BA2258" i="2"/>
  <c r="AZ2258" i="2"/>
  <c r="AY2258" i="2"/>
  <c r="AV2258" i="2"/>
  <c r="BA2257" i="2"/>
  <c r="AZ2257" i="2"/>
  <c r="AY2257" i="2"/>
  <c r="AV2257" i="2"/>
  <c r="BA2256" i="2"/>
  <c r="AZ2256" i="2"/>
  <c r="AY2256" i="2"/>
  <c r="AV2256" i="2"/>
  <c r="BA2255" i="2"/>
  <c r="AZ2255" i="2"/>
  <c r="AY2255" i="2"/>
  <c r="AV2255" i="2"/>
  <c r="BA2254" i="2"/>
  <c r="AZ2254" i="2"/>
  <c r="AY2254" i="2"/>
  <c r="AV2254" i="2"/>
  <c r="BA2253" i="2"/>
  <c r="AZ2253" i="2"/>
  <c r="AY2253" i="2"/>
  <c r="AV2253" i="2"/>
  <c r="BA2252" i="2"/>
  <c r="AZ2252" i="2"/>
  <c r="AY2252" i="2"/>
  <c r="AV2252" i="2"/>
  <c r="BA2251" i="2"/>
  <c r="AZ2251" i="2"/>
  <c r="AY2251" i="2"/>
  <c r="AV2251" i="2"/>
  <c r="BA2250" i="2"/>
  <c r="AZ2250" i="2"/>
  <c r="AY2250" i="2"/>
  <c r="AV2250" i="2"/>
  <c r="BA2249" i="2"/>
  <c r="AZ2249" i="2"/>
  <c r="AY2249" i="2"/>
  <c r="AV2249" i="2"/>
  <c r="BA2248" i="2"/>
  <c r="AZ2248" i="2"/>
  <c r="AY2248" i="2"/>
  <c r="AV2248" i="2"/>
  <c r="BA2247" i="2"/>
  <c r="AZ2247" i="2"/>
  <c r="AY2247" i="2"/>
  <c r="AV2247" i="2"/>
  <c r="BA2246" i="2"/>
  <c r="AZ2246" i="2"/>
  <c r="AY2246" i="2"/>
  <c r="AV2246" i="2"/>
  <c r="BA2245" i="2"/>
  <c r="AZ2245" i="2"/>
  <c r="AY2245" i="2"/>
  <c r="AV2245" i="2"/>
  <c r="BA2244" i="2"/>
  <c r="AZ2244" i="2"/>
  <c r="AY2244" i="2"/>
  <c r="AV2244" i="2"/>
  <c r="BA2243" i="2"/>
  <c r="AZ2243" i="2"/>
  <c r="AY2243" i="2"/>
  <c r="AV2243" i="2"/>
  <c r="BA2242" i="2"/>
  <c r="AZ2242" i="2"/>
  <c r="AY2242" i="2"/>
  <c r="AV2242" i="2"/>
  <c r="BA2241" i="2"/>
  <c r="AZ2241" i="2"/>
  <c r="AY2241" i="2"/>
  <c r="AV2241" i="2"/>
  <c r="BA2240" i="2"/>
  <c r="AZ2240" i="2"/>
  <c r="AY2240" i="2"/>
  <c r="AV2240" i="2"/>
  <c r="BA2239" i="2"/>
  <c r="AZ2239" i="2"/>
  <c r="AY2239" i="2"/>
  <c r="AV2239" i="2"/>
  <c r="BA2238" i="2"/>
  <c r="AZ2238" i="2"/>
  <c r="AY2238" i="2"/>
  <c r="AV2238" i="2"/>
  <c r="BA2237" i="2"/>
  <c r="AZ2237" i="2"/>
  <c r="AY2237" i="2"/>
  <c r="AV2237" i="2"/>
  <c r="BA2236" i="2"/>
  <c r="AZ2236" i="2"/>
  <c r="AY2236" i="2"/>
  <c r="AV2236" i="2"/>
  <c r="BA2235" i="2"/>
  <c r="AZ2235" i="2"/>
  <c r="AY2235" i="2"/>
  <c r="AV2235" i="2"/>
  <c r="BA2234" i="2"/>
  <c r="AZ2234" i="2"/>
  <c r="AY2234" i="2"/>
  <c r="AV2234" i="2"/>
  <c r="BA2233" i="2"/>
  <c r="AZ2233" i="2"/>
  <c r="AY2233" i="2"/>
  <c r="AV2233" i="2"/>
  <c r="BA2232" i="2"/>
  <c r="AZ2232" i="2"/>
  <c r="AY2232" i="2"/>
  <c r="AV2232" i="2"/>
  <c r="BA2231" i="2"/>
  <c r="AZ2231" i="2"/>
  <c r="AY2231" i="2"/>
  <c r="AV2231" i="2"/>
  <c r="BA2230" i="2"/>
  <c r="AZ2230" i="2"/>
  <c r="AY2230" i="2"/>
  <c r="AV2230" i="2"/>
  <c r="BA2229" i="2"/>
  <c r="AZ2229" i="2"/>
  <c r="AY2229" i="2"/>
  <c r="AV2229" i="2"/>
  <c r="BA2228" i="2"/>
  <c r="AZ2228" i="2"/>
  <c r="AY2228" i="2"/>
  <c r="AV2228" i="2"/>
  <c r="BA2227" i="2"/>
  <c r="AZ2227" i="2"/>
  <c r="AY2227" i="2"/>
  <c r="AV2227" i="2"/>
  <c r="BA2226" i="2"/>
  <c r="AZ2226" i="2"/>
  <c r="AY2226" i="2"/>
  <c r="AV2226" i="2"/>
  <c r="BA2225" i="2"/>
  <c r="AZ2225" i="2"/>
  <c r="AY2225" i="2"/>
  <c r="AV2225" i="2"/>
  <c r="BA2224" i="2"/>
  <c r="AZ2224" i="2"/>
  <c r="AY2224" i="2"/>
  <c r="AV2224" i="2"/>
  <c r="BA2223" i="2"/>
  <c r="AZ2223" i="2"/>
  <c r="AY2223" i="2"/>
  <c r="AV2223" i="2"/>
  <c r="BA2222" i="2"/>
  <c r="AZ2222" i="2"/>
  <c r="AY2222" i="2"/>
  <c r="AV2222" i="2"/>
  <c r="BA2221" i="2"/>
  <c r="AZ2221" i="2"/>
  <c r="AY2221" i="2"/>
  <c r="AV2221" i="2"/>
  <c r="BA2220" i="2"/>
  <c r="AZ2220" i="2"/>
  <c r="AY2220" i="2"/>
  <c r="AV2220" i="2"/>
  <c r="BA2219" i="2"/>
  <c r="AZ2219" i="2"/>
  <c r="AY2219" i="2"/>
  <c r="AV2219" i="2"/>
  <c r="BA2218" i="2"/>
  <c r="AZ2218" i="2"/>
  <c r="AY2218" i="2"/>
  <c r="AV2218" i="2"/>
  <c r="BA2217" i="2"/>
  <c r="AZ2217" i="2"/>
  <c r="AY2217" i="2"/>
  <c r="AV2217" i="2"/>
  <c r="BA2216" i="2"/>
  <c r="AZ2216" i="2"/>
  <c r="AY2216" i="2"/>
  <c r="AV2216" i="2"/>
  <c r="BA2215" i="2"/>
  <c r="AZ2215" i="2"/>
  <c r="AY2215" i="2"/>
  <c r="AV2215" i="2"/>
  <c r="BA2214" i="2"/>
  <c r="AZ2214" i="2"/>
  <c r="AY2214" i="2"/>
  <c r="AV2214" i="2"/>
  <c r="BA2213" i="2"/>
  <c r="AZ2213" i="2"/>
  <c r="AY2213" i="2"/>
  <c r="AV2213" i="2"/>
  <c r="BA2212" i="2"/>
  <c r="AZ2212" i="2"/>
  <c r="AY2212" i="2"/>
  <c r="AV2212" i="2"/>
  <c r="BA2211" i="2"/>
  <c r="AZ2211" i="2"/>
  <c r="AY2211" i="2"/>
  <c r="AV2211" i="2"/>
  <c r="BA2210" i="2"/>
  <c r="AZ2210" i="2"/>
  <c r="AY2210" i="2"/>
  <c r="AV2210" i="2"/>
  <c r="BA2209" i="2"/>
  <c r="AZ2209" i="2"/>
  <c r="AY2209" i="2"/>
  <c r="AV2209" i="2"/>
  <c r="BA2208" i="2"/>
  <c r="AZ2208" i="2"/>
  <c r="AY2208" i="2"/>
  <c r="AV2208" i="2"/>
  <c r="BA2207" i="2"/>
  <c r="AZ2207" i="2"/>
  <c r="AY2207" i="2"/>
  <c r="AV2207" i="2"/>
  <c r="BA2206" i="2"/>
  <c r="AZ2206" i="2"/>
  <c r="AY2206" i="2"/>
  <c r="AV2206" i="2"/>
  <c r="BA2205" i="2"/>
  <c r="AZ2205" i="2"/>
  <c r="AY2205" i="2"/>
  <c r="AV2205" i="2"/>
  <c r="BA2204" i="2"/>
  <c r="AZ2204" i="2"/>
  <c r="AY2204" i="2"/>
  <c r="AV2204" i="2"/>
  <c r="BA2203" i="2"/>
  <c r="AZ2203" i="2"/>
  <c r="AY2203" i="2"/>
  <c r="AV2203" i="2"/>
  <c r="BA2202" i="2"/>
  <c r="AZ2202" i="2"/>
  <c r="AY2202" i="2"/>
  <c r="AV2202" i="2"/>
  <c r="BA2201" i="2"/>
  <c r="AZ2201" i="2"/>
  <c r="AY2201" i="2"/>
  <c r="AV2201" i="2"/>
  <c r="BA2200" i="2"/>
  <c r="AZ2200" i="2"/>
  <c r="AY2200" i="2"/>
  <c r="AV2200" i="2"/>
  <c r="BA2199" i="2"/>
  <c r="AZ2199" i="2"/>
  <c r="AY2199" i="2"/>
  <c r="AV2199" i="2"/>
  <c r="BA2198" i="2"/>
  <c r="AZ2198" i="2"/>
  <c r="AY2198" i="2"/>
  <c r="AV2198" i="2"/>
  <c r="BA2197" i="2"/>
  <c r="AZ2197" i="2"/>
  <c r="AY2197" i="2"/>
  <c r="AV2197" i="2"/>
  <c r="BA2196" i="2"/>
  <c r="AZ2196" i="2"/>
  <c r="AY2196" i="2"/>
  <c r="AV2196" i="2"/>
  <c r="BA2195" i="2"/>
  <c r="AZ2195" i="2"/>
  <c r="AY2195" i="2"/>
  <c r="AV2195" i="2"/>
  <c r="BA2194" i="2"/>
  <c r="AZ2194" i="2"/>
  <c r="AY2194" i="2"/>
  <c r="AV2194" i="2"/>
  <c r="BA2193" i="2"/>
  <c r="AZ2193" i="2"/>
  <c r="AY2193" i="2"/>
  <c r="AV2193" i="2"/>
  <c r="BA2192" i="2"/>
  <c r="AZ2192" i="2"/>
  <c r="AY2192" i="2"/>
  <c r="AV2192" i="2"/>
  <c r="BA2191" i="2"/>
  <c r="AZ2191" i="2"/>
  <c r="AY2191" i="2"/>
  <c r="AV2191" i="2"/>
  <c r="BA2190" i="2"/>
  <c r="AZ2190" i="2"/>
  <c r="AY2190" i="2"/>
  <c r="AV2190" i="2"/>
  <c r="BA2189" i="2"/>
  <c r="AZ2189" i="2"/>
  <c r="AY2189" i="2"/>
  <c r="AV2189" i="2"/>
  <c r="BA2188" i="2"/>
  <c r="AZ2188" i="2"/>
  <c r="AY2188" i="2"/>
  <c r="AV2188" i="2"/>
  <c r="BA2187" i="2"/>
  <c r="AZ2187" i="2"/>
  <c r="AY2187" i="2"/>
  <c r="AV2187" i="2"/>
  <c r="BA2186" i="2"/>
  <c r="AZ2186" i="2"/>
  <c r="AY2186" i="2"/>
  <c r="AV2186" i="2"/>
  <c r="BA2185" i="2"/>
  <c r="AZ2185" i="2"/>
  <c r="AY2185" i="2"/>
  <c r="AV2185" i="2"/>
  <c r="BA2184" i="2"/>
  <c r="AZ2184" i="2"/>
  <c r="AY2184" i="2"/>
  <c r="AV2184" i="2"/>
  <c r="BA2183" i="2"/>
  <c r="AZ2183" i="2"/>
  <c r="AY2183" i="2"/>
  <c r="AV2183" i="2"/>
  <c r="BA2182" i="2"/>
  <c r="AZ2182" i="2"/>
  <c r="AY2182" i="2"/>
  <c r="AV2182" i="2"/>
  <c r="BA2181" i="2"/>
  <c r="AZ2181" i="2"/>
  <c r="AY2181" i="2"/>
  <c r="AV2181" i="2"/>
  <c r="BA2180" i="2"/>
  <c r="AZ2180" i="2"/>
  <c r="AY2180" i="2"/>
  <c r="AV2180" i="2"/>
  <c r="BA2179" i="2"/>
  <c r="AZ2179" i="2"/>
  <c r="AY2179" i="2"/>
  <c r="AV2179" i="2"/>
  <c r="BA2178" i="2"/>
  <c r="AZ2178" i="2"/>
  <c r="AY2178" i="2"/>
  <c r="AV2178" i="2"/>
  <c r="BA2177" i="2"/>
  <c r="AZ2177" i="2"/>
  <c r="AY2177" i="2"/>
  <c r="AV2177" i="2"/>
  <c r="BA2176" i="2"/>
  <c r="AZ2176" i="2"/>
  <c r="AY2176" i="2"/>
  <c r="AV2176" i="2"/>
  <c r="BA2175" i="2"/>
  <c r="AZ2175" i="2"/>
  <c r="AY2175" i="2"/>
  <c r="AV2175" i="2"/>
  <c r="BA2174" i="2"/>
  <c r="AZ2174" i="2"/>
  <c r="AY2174" i="2"/>
  <c r="AV2174" i="2"/>
  <c r="BA2173" i="2"/>
  <c r="AZ2173" i="2"/>
  <c r="AY2173" i="2"/>
  <c r="AV2173" i="2"/>
  <c r="BA2172" i="2"/>
  <c r="AZ2172" i="2"/>
  <c r="AY2172" i="2"/>
  <c r="AV2172" i="2"/>
  <c r="BA2171" i="2"/>
  <c r="AZ2171" i="2"/>
  <c r="AY2171" i="2"/>
  <c r="AV2171" i="2"/>
  <c r="BA2170" i="2"/>
  <c r="AZ2170" i="2"/>
  <c r="AY2170" i="2"/>
  <c r="AV2170" i="2"/>
  <c r="BA2169" i="2"/>
  <c r="AZ2169" i="2"/>
  <c r="AY2169" i="2"/>
  <c r="AV2169" i="2"/>
  <c r="BA2168" i="2"/>
  <c r="AZ2168" i="2"/>
  <c r="AY2168" i="2"/>
  <c r="AV2168" i="2"/>
  <c r="BA2167" i="2"/>
  <c r="AZ2167" i="2"/>
  <c r="AY2167" i="2"/>
  <c r="AV2167" i="2"/>
  <c r="BA2166" i="2"/>
  <c r="AZ2166" i="2"/>
  <c r="AY2166" i="2"/>
  <c r="AV2166" i="2"/>
  <c r="BA2165" i="2"/>
  <c r="AZ2165" i="2"/>
  <c r="AY2165" i="2"/>
  <c r="AV2165" i="2"/>
  <c r="BA2164" i="2"/>
  <c r="AZ2164" i="2"/>
  <c r="AY2164" i="2"/>
  <c r="AV2164" i="2"/>
  <c r="BA2163" i="2"/>
  <c r="AZ2163" i="2"/>
  <c r="AY2163" i="2"/>
  <c r="AV2163" i="2"/>
  <c r="BA2162" i="2"/>
  <c r="AZ2162" i="2"/>
  <c r="AY2162" i="2"/>
  <c r="AV2162" i="2"/>
  <c r="BA2161" i="2"/>
  <c r="AZ2161" i="2"/>
  <c r="AY2161" i="2"/>
  <c r="AV2161" i="2"/>
  <c r="BA2160" i="2"/>
  <c r="AZ2160" i="2"/>
  <c r="AY2160" i="2"/>
  <c r="AV2160" i="2"/>
  <c r="BA2159" i="2"/>
  <c r="AZ2159" i="2"/>
  <c r="AY2159" i="2"/>
  <c r="AV2159" i="2"/>
  <c r="BA2158" i="2"/>
  <c r="AZ2158" i="2"/>
  <c r="AY2158" i="2"/>
  <c r="AV2158" i="2"/>
  <c r="BA2157" i="2"/>
  <c r="AZ2157" i="2"/>
  <c r="AY2157" i="2"/>
  <c r="AV2157" i="2"/>
  <c r="BA2156" i="2"/>
  <c r="AZ2156" i="2"/>
  <c r="AY2156" i="2"/>
  <c r="AV2156" i="2"/>
  <c r="BA2155" i="2"/>
  <c r="AZ2155" i="2"/>
  <c r="AY2155" i="2"/>
  <c r="AV2155" i="2"/>
  <c r="BA2154" i="2"/>
  <c r="AZ2154" i="2"/>
  <c r="AY2154" i="2"/>
  <c r="AV2154" i="2"/>
  <c r="BA2153" i="2"/>
  <c r="AZ2153" i="2"/>
  <c r="AY2153" i="2"/>
  <c r="AV2153" i="2"/>
  <c r="BA2152" i="2"/>
  <c r="AZ2152" i="2"/>
  <c r="AY2152" i="2"/>
  <c r="AV2152" i="2"/>
  <c r="BA2151" i="2"/>
  <c r="AZ2151" i="2"/>
  <c r="AY2151" i="2"/>
  <c r="AV2151" i="2"/>
  <c r="BA2150" i="2"/>
  <c r="AZ2150" i="2"/>
  <c r="AY2150" i="2"/>
  <c r="AV2150" i="2"/>
  <c r="BA2149" i="2"/>
  <c r="AZ2149" i="2"/>
  <c r="AY2149" i="2"/>
  <c r="AV2149" i="2"/>
  <c r="BA2148" i="2"/>
  <c r="AZ2148" i="2"/>
  <c r="AY2148" i="2"/>
  <c r="AV2148" i="2"/>
  <c r="BA2147" i="2"/>
  <c r="AZ2147" i="2"/>
  <c r="AY2147" i="2"/>
  <c r="AV2147" i="2"/>
  <c r="BA2146" i="2"/>
  <c r="AZ2146" i="2"/>
  <c r="AY2146" i="2"/>
  <c r="AV2146" i="2"/>
  <c r="BA2145" i="2"/>
  <c r="AZ2145" i="2"/>
  <c r="AY2145" i="2"/>
  <c r="BA2144" i="2"/>
  <c r="AZ2144" i="2"/>
  <c r="AY2144" i="2"/>
  <c r="BA2143" i="2"/>
  <c r="AZ2143" i="2"/>
  <c r="AY2143" i="2"/>
  <c r="BA2142" i="2"/>
  <c r="AZ2142" i="2"/>
  <c r="AY2142" i="2"/>
  <c r="BA2141" i="2"/>
  <c r="AZ2141" i="2"/>
  <c r="AY2141" i="2"/>
  <c r="BA2140" i="2"/>
  <c r="AZ2140" i="2"/>
  <c r="AY2140" i="2"/>
  <c r="BA2139" i="2"/>
  <c r="AZ2139" i="2"/>
  <c r="AY2139" i="2"/>
  <c r="BA2138" i="2"/>
  <c r="AZ2138" i="2"/>
  <c r="AY2138" i="2"/>
  <c r="BA2137" i="2"/>
  <c r="AZ2137" i="2"/>
  <c r="AY2137" i="2"/>
  <c r="BA2136" i="2"/>
  <c r="AZ2136" i="2"/>
  <c r="AY2136" i="2"/>
  <c r="BA2135" i="2"/>
  <c r="AZ2135" i="2"/>
  <c r="AY2135" i="2"/>
  <c r="BA2134" i="2"/>
  <c r="AZ2134" i="2"/>
  <c r="AY2134" i="2"/>
  <c r="BA2133" i="2"/>
  <c r="AZ2133" i="2"/>
  <c r="AY2133" i="2"/>
  <c r="BA2132" i="2"/>
  <c r="AZ2132" i="2"/>
  <c r="AY2132" i="2"/>
  <c r="BA2131" i="2"/>
  <c r="AZ2131" i="2"/>
  <c r="AY2131" i="2"/>
  <c r="BA2130" i="2"/>
  <c r="AZ2130" i="2"/>
  <c r="AY2130" i="2"/>
  <c r="BA2129" i="2"/>
  <c r="AZ2129" i="2"/>
  <c r="AY2129" i="2"/>
  <c r="BA2128" i="2"/>
  <c r="AZ2128" i="2"/>
  <c r="AY2128" i="2"/>
  <c r="BA2127" i="2"/>
  <c r="AZ2127" i="2"/>
  <c r="AY2127" i="2"/>
  <c r="BA2126" i="2"/>
  <c r="AZ2126" i="2"/>
  <c r="AY2126" i="2"/>
  <c r="BA2125" i="2"/>
  <c r="AZ2125" i="2"/>
  <c r="AY2125" i="2"/>
  <c r="BA2124" i="2"/>
  <c r="AZ2124" i="2"/>
  <c r="AY2124" i="2"/>
  <c r="BA2123" i="2"/>
  <c r="AZ2123" i="2"/>
  <c r="AY2123" i="2"/>
  <c r="BA2122" i="2"/>
  <c r="AZ2122" i="2"/>
  <c r="AY2122" i="2"/>
  <c r="BA2121" i="2"/>
  <c r="AZ2121" i="2"/>
  <c r="AY2121" i="2"/>
  <c r="BA2120" i="2"/>
  <c r="AZ2120" i="2"/>
  <c r="AY2120" i="2"/>
  <c r="BA2119" i="2"/>
  <c r="AZ2119" i="2"/>
  <c r="AY2119" i="2"/>
  <c r="BA2118" i="2"/>
  <c r="AZ2118" i="2"/>
  <c r="AY2118" i="2"/>
  <c r="BA2117" i="2"/>
  <c r="AZ2117" i="2"/>
  <c r="AY2117" i="2"/>
  <c r="BA2116" i="2"/>
  <c r="AZ2116" i="2"/>
  <c r="AY2116" i="2"/>
  <c r="BA2115" i="2"/>
  <c r="AZ2115" i="2"/>
  <c r="AY2115" i="2"/>
  <c r="BA2114" i="2"/>
  <c r="AZ2114" i="2"/>
  <c r="AY2114" i="2"/>
  <c r="BA2113" i="2"/>
  <c r="AZ2113" i="2"/>
  <c r="AY2113" i="2"/>
  <c r="BA2112" i="2"/>
  <c r="AZ2112" i="2"/>
  <c r="AY2112" i="2"/>
  <c r="BA2111" i="2"/>
  <c r="AZ2111" i="2"/>
  <c r="AY2111" i="2"/>
  <c r="BA2110" i="2"/>
  <c r="AZ2110" i="2"/>
  <c r="AY2110" i="2"/>
  <c r="BA2109" i="2"/>
  <c r="AZ2109" i="2"/>
  <c r="AY2109" i="2"/>
  <c r="BA2108" i="2"/>
  <c r="AZ2108" i="2"/>
  <c r="AY2108" i="2"/>
  <c r="BA2107" i="2"/>
  <c r="AZ2107" i="2"/>
  <c r="AY2107" i="2"/>
  <c r="BA2106" i="2"/>
  <c r="AZ2106" i="2"/>
  <c r="AY2106" i="2"/>
  <c r="BA2105" i="2"/>
  <c r="AZ2105" i="2"/>
  <c r="AY2105" i="2"/>
  <c r="BA2104" i="2"/>
  <c r="AZ2104" i="2"/>
  <c r="AY2104" i="2"/>
  <c r="BA2103" i="2"/>
  <c r="AZ2103" i="2"/>
  <c r="AY2103" i="2"/>
  <c r="BA2102" i="2"/>
  <c r="AZ2102" i="2"/>
  <c r="AY2102" i="2"/>
  <c r="BA2101" i="2"/>
  <c r="AZ2101" i="2"/>
  <c r="AY2101" i="2"/>
  <c r="BA2100" i="2"/>
  <c r="AZ2100" i="2"/>
  <c r="AY2100" i="2"/>
  <c r="BA2099" i="2"/>
  <c r="AZ2099" i="2"/>
  <c r="AY2099" i="2"/>
  <c r="BA2098" i="2"/>
  <c r="AZ2098" i="2"/>
  <c r="AY2098" i="2"/>
  <c r="BA2097" i="2"/>
  <c r="AZ2097" i="2"/>
  <c r="AY2097" i="2"/>
  <c r="BA2096" i="2"/>
  <c r="AZ2096" i="2"/>
  <c r="AY2096" i="2"/>
  <c r="BA2095" i="2"/>
  <c r="AZ2095" i="2"/>
  <c r="AY2095" i="2"/>
  <c r="BA2094" i="2"/>
  <c r="AZ2094" i="2"/>
  <c r="AY2094" i="2"/>
  <c r="BA2093" i="2"/>
  <c r="AZ2093" i="2"/>
  <c r="AY2093" i="2"/>
  <c r="BA2092" i="2"/>
  <c r="AZ2092" i="2"/>
  <c r="AY2092" i="2"/>
  <c r="BA2091" i="2"/>
  <c r="AZ2091" i="2"/>
  <c r="AY2091" i="2"/>
  <c r="BA2090" i="2"/>
  <c r="AZ2090" i="2"/>
  <c r="AY2090" i="2"/>
  <c r="BA2089" i="2"/>
  <c r="AZ2089" i="2"/>
  <c r="AY2089" i="2"/>
  <c r="BA2088" i="2"/>
  <c r="AZ2088" i="2"/>
  <c r="AY2088" i="2"/>
  <c r="BA2087" i="2"/>
  <c r="AZ2087" i="2"/>
  <c r="AY2087" i="2"/>
  <c r="BA2086" i="2"/>
  <c r="AZ2086" i="2"/>
  <c r="AY2086" i="2"/>
  <c r="BA2085" i="2"/>
  <c r="AZ2085" i="2"/>
  <c r="AY2085" i="2"/>
  <c r="BA2084" i="2"/>
  <c r="AZ2084" i="2"/>
  <c r="AY2084" i="2"/>
  <c r="BA2083" i="2"/>
  <c r="AZ2083" i="2"/>
  <c r="AY2083" i="2"/>
  <c r="BA2082" i="2"/>
  <c r="AZ2082" i="2"/>
  <c r="AY2082" i="2"/>
  <c r="BA2081" i="2"/>
  <c r="AZ2081" i="2"/>
  <c r="AY2081" i="2"/>
  <c r="BA2080" i="2"/>
  <c r="AZ2080" i="2"/>
  <c r="AY2080" i="2"/>
  <c r="BA2079" i="2"/>
  <c r="AZ2079" i="2"/>
  <c r="AY2079" i="2"/>
  <c r="BA2078" i="2"/>
  <c r="AZ2078" i="2"/>
  <c r="AY2078" i="2"/>
  <c r="BA2077" i="2"/>
  <c r="AZ2077" i="2"/>
  <c r="AY2077" i="2"/>
  <c r="BA2076" i="2"/>
  <c r="AZ2076" i="2"/>
  <c r="AY2076" i="2"/>
  <c r="BA2075" i="2"/>
  <c r="AZ2075" i="2"/>
  <c r="AY2075" i="2"/>
  <c r="BA2074" i="2"/>
  <c r="AZ2074" i="2"/>
  <c r="AY2074" i="2"/>
  <c r="BA2073" i="2"/>
  <c r="AZ2073" i="2"/>
  <c r="AY2073" i="2"/>
  <c r="BA2072" i="2"/>
  <c r="AZ2072" i="2"/>
  <c r="AY2072" i="2"/>
  <c r="BA2071" i="2"/>
  <c r="AZ2071" i="2"/>
  <c r="AY2071" i="2"/>
  <c r="BA2070" i="2"/>
  <c r="AZ2070" i="2"/>
  <c r="AY2070" i="2"/>
  <c r="BA2069" i="2"/>
  <c r="AZ2069" i="2"/>
  <c r="AY2069" i="2"/>
  <c r="BA2068" i="2"/>
  <c r="AZ2068" i="2"/>
  <c r="AY2068" i="2"/>
  <c r="BA2067" i="2"/>
  <c r="AZ2067" i="2"/>
  <c r="AY2067" i="2"/>
  <c r="BA2066" i="2"/>
  <c r="AZ2066" i="2"/>
  <c r="AY2066" i="2"/>
  <c r="BA2065" i="2"/>
  <c r="AZ2065" i="2"/>
  <c r="AY2065" i="2"/>
  <c r="BA2064" i="2"/>
  <c r="AZ2064" i="2"/>
  <c r="AY2064" i="2"/>
  <c r="BA2063" i="2"/>
  <c r="AZ2063" i="2"/>
  <c r="AY2063" i="2"/>
  <c r="BA2062" i="2"/>
  <c r="AZ2062" i="2"/>
  <c r="AY2062" i="2"/>
  <c r="BA2061" i="2"/>
  <c r="AZ2061" i="2"/>
  <c r="AY2061" i="2"/>
  <c r="BA2060" i="2"/>
  <c r="AZ2060" i="2"/>
  <c r="AY2060" i="2"/>
  <c r="BA2059" i="2"/>
  <c r="AZ2059" i="2"/>
  <c r="AY2059" i="2"/>
  <c r="BA2058" i="2"/>
  <c r="AZ2058" i="2"/>
  <c r="AY2058" i="2"/>
  <c r="BA2057" i="2"/>
  <c r="AZ2057" i="2"/>
  <c r="AY2057" i="2"/>
  <c r="BA2056" i="2"/>
  <c r="AZ2056" i="2"/>
  <c r="AY2056" i="2"/>
  <c r="BA2055" i="2"/>
  <c r="AZ2055" i="2"/>
  <c r="AY2055" i="2"/>
  <c r="BA2054" i="2"/>
  <c r="AZ2054" i="2"/>
  <c r="AY2054" i="2"/>
  <c r="BA2053" i="2"/>
  <c r="AZ2053" i="2"/>
  <c r="AY2053" i="2"/>
  <c r="BA2052" i="2"/>
  <c r="AZ2052" i="2"/>
  <c r="AY2052" i="2"/>
  <c r="BA2051" i="2"/>
  <c r="AZ2051" i="2"/>
  <c r="AY2051" i="2"/>
  <c r="BA2050" i="2"/>
  <c r="AZ2050" i="2"/>
  <c r="AY2050" i="2"/>
  <c r="BA2049" i="2"/>
  <c r="AZ2049" i="2"/>
  <c r="AY2049" i="2"/>
  <c r="BA2048" i="2"/>
  <c r="AZ2048" i="2"/>
  <c r="AY2048" i="2"/>
  <c r="BA2047" i="2"/>
  <c r="AZ2047" i="2"/>
  <c r="AY2047" i="2"/>
  <c r="BA2046" i="2"/>
  <c r="AZ2046" i="2"/>
  <c r="AY2046" i="2"/>
  <c r="BA2045" i="2"/>
  <c r="AZ2045" i="2"/>
  <c r="AY2045" i="2"/>
  <c r="BA2044" i="2"/>
  <c r="AZ2044" i="2"/>
  <c r="AY2044" i="2"/>
  <c r="BA2043" i="2"/>
  <c r="AZ2043" i="2"/>
  <c r="AY2043" i="2"/>
  <c r="BA2042" i="2"/>
  <c r="AZ2042" i="2"/>
  <c r="AY2042" i="2"/>
  <c r="BA2041" i="2"/>
  <c r="AZ2041" i="2"/>
  <c r="AY2041" i="2"/>
  <c r="BA2040" i="2"/>
  <c r="AZ2040" i="2"/>
  <c r="AY2040" i="2"/>
  <c r="BA2039" i="2"/>
  <c r="AZ2039" i="2"/>
  <c r="AY2039" i="2"/>
  <c r="BA2038" i="2"/>
  <c r="AZ2038" i="2"/>
  <c r="AY2038" i="2"/>
  <c r="BA2037" i="2"/>
  <c r="AZ2037" i="2"/>
  <c r="AY2037" i="2"/>
  <c r="BA2036" i="2"/>
  <c r="AZ2036" i="2"/>
  <c r="AY2036" i="2"/>
  <c r="BA2035" i="2"/>
  <c r="AZ2035" i="2"/>
  <c r="AY2035" i="2"/>
  <c r="BA2034" i="2"/>
  <c r="AZ2034" i="2"/>
  <c r="AY2034" i="2"/>
  <c r="BA2033" i="2"/>
  <c r="AZ2033" i="2"/>
  <c r="AY2033" i="2"/>
  <c r="BA2032" i="2"/>
  <c r="AZ2032" i="2"/>
  <c r="AY2032" i="2"/>
  <c r="BA2031" i="2"/>
  <c r="AZ2031" i="2"/>
  <c r="AY2031" i="2"/>
  <c r="BA2030" i="2"/>
  <c r="AZ2030" i="2"/>
  <c r="AY2030" i="2"/>
  <c r="BA2029" i="2"/>
  <c r="AZ2029" i="2"/>
  <c r="AY2029" i="2"/>
  <c r="BA2028" i="2"/>
  <c r="AZ2028" i="2"/>
  <c r="AY2028" i="2"/>
  <c r="BA2027" i="2"/>
  <c r="AZ2027" i="2"/>
  <c r="AY2027" i="2"/>
  <c r="BA2026" i="2"/>
  <c r="AZ2026" i="2"/>
  <c r="AY2026" i="2"/>
  <c r="BA2025" i="2"/>
  <c r="AZ2025" i="2"/>
  <c r="AY2025" i="2"/>
  <c r="BA2024" i="2"/>
  <c r="AZ2024" i="2"/>
  <c r="AY2024" i="2"/>
  <c r="BA2023" i="2"/>
  <c r="AZ2023" i="2"/>
  <c r="AY2023" i="2"/>
  <c r="BA2022" i="2"/>
  <c r="AZ2022" i="2"/>
  <c r="AY2022" i="2"/>
  <c r="BA2021" i="2"/>
  <c r="AZ2021" i="2"/>
  <c r="AY2021" i="2"/>
  <c r="BA2020" i="2"/>
  <c r="AZ2020" i="2"/>
  <c r="AY2020" i="2"/>
  <c r="BA2019" i="2"/>
  <c r="AZ2019" i="2"/>
  <c r="AY2019" i="2"/>
  <c r="BA2018" i="2"/>
  <c r="AZ2018" i="2"/>
  <c r="AY2018" i="2"/>
  <c r="BA2017" i="2"/>
  <c r="AZ2017" i="2"/>
  <c r="AY2017" i="2"/>
  <c r="BA2016" i="2"/>
  <c r="AZ2016" i="2"/>
  <c r="AY2016" i="2"/>
  <c r="BA2015" i="2"/>
  <c r="AZ2015" i="2"/>
  <c r="AY2015" i="2"/>
  <c r="BA2014" i="2"/>
  <c r="AZ2014" i="2"/>
  <c r="AY2014" i="2"/>
  <c r="BA2013" i="2"/>
  <c r="AZ2013" i="2"/>
  <c r="AY2013" i="2"/>
  <c r="BA2012" i="2"/>
  <c r="AZ2012" i="2"/>
  <c r="AY2012" i="2"/>
  <c r="BA2011" i="2"/>
  <c r="AZ2011" i="2"/>
  <c r="AY2011" i="2"/>
  <c r="BA2010" i="2"/>
  <c r="AZ2010" i="2"/>
  <c r="AY2010" i="2"/>
  <c r="BA2009" i="2"/>
  <c r="AZ2009" i="2"/>
  <c r="AY2009" i="2"/>
  <c r="BA2008" i="2"/>
  <c r="AZ2008" i="2"/>
  <c r="AY2008" i="2"/>
  <c r="BA2007" i="2"/>
  <c r="AZ2007" i="2"/>
  <c r="AY2007" i="2"/>
  <c r="BA2006" i="2"/>
  <c r="AZ2006" i="2"/>
  <c r="AY2006" i="2"/>
  <c r="BA2005" i="2"/>
  <c r="AZ2005" i="2"/>
  <c r="AY2005" i="2"/>
  <c r="BA2004" i="2"/>
  <c r="AZ2004" i="2"/>
  <c r="AY2004" i="2"/>
  <c r="BA2003" i="2"/>
  <c r="AZ2003" i="2"/>
  <c r="AY2003" i="2"/>
  <c r="BA2002" i="2"/>
  <c r="AZ2002" i="2"/>
  <c r="AY2002" i="2"/>
  <c r="BA2001" i="2"/>
  <c r="AZ2001" i="2"/>
  <c r="AY2001" i="2"/>
  <c r="BA2000" i="2"/>
  <c r="AZ2000" i="2"/>
  <c r="AY2000" i="2"/>
  <c r="BA1999" i="2"/>
  <c r="AZ1999" i="2"/>
  <c r="AY1999" i="2"/>
  <c r="BA1998" i="2"/>
  <c r="AZ1998" i="2"/>
  <c r="AY1998" i="2"/>
  <c r="BA1997" i="2"/>
  <c r="AZ1997" i="2"/>
  <c r="AY1997" i="2"/>
  <c r="BA1996" i="2"/>
  <c r="AZ1996" i="2"/>
  <c r="AY1996" i="2"/>
  <c r="BA1995" i="2"/>
  <c r="AZ1995" i="2"/>
  <c r="AY1995" i="2"/>
  <c r="BA1994" i="2"/>
  <c r="AZ1994" i="2"/>
  <c r="AY1994" i="2"/>
  <c r="BA1993" i="2"/>
  <c r="AZ1993" i="2"/>
  <c r="AY1993" i="2"/>
  <c r="BA1992" i="2"/>
  <c r="AZ1992" i="2"/>
  <c r="AY1992" i="2"/>
  <c r="BA1991" i="2"/>
  <c r="AZ1991" i="2"/>
  <c r="AY1991" i="2"/>
  <c r="BA1990" i="2"/>
  <c r="AZ1990" i="2"/>
  <c r="AY1990" i="2"/>
  <c r="BA1989" i="2"/>
  <c r="AZ1989" i="2"/>
  <c r="AY1989" i="2"/>
  <c r="BA1988" i="2"/>
  <c r="AZ1988" i="2"/>
  <c r="AY1988" i="2"/>
  <c r="BA1987" i="2"/>
  <c r="AZ1987" i="2"/>
  <c r="AY1987" i="2"/>
  <c r="BA1986" i="2"/>
  <c r="AZ1986" i="2"/>
  <c r="AY1986" i="2"/>
  <c r="BA1985" i="2"/>
  <c r="AZ1985" i="2"/>
  <c r="AY1985" i="2"/>
  <c r="BA1984" i="2"/>
  <c r="AZ1984" i="2"/>
  <c r="AY1984" i="2"/>
  <c r="BA1983" i="2"/>
  <c r="AZ1983" i="2"/>
  <c r="AY1983" i="2"/>
  <c r="BA1982" i="2"/>
  <c r="AZ1982" i="2"/>
  <c r="AY1982" i="2"/>
  <c r="BA1981" i="2"/>
  <c r="AZ1981" i="2"/>
  <c r="AY1981" i="2"/>
  <c r="BA1980" i="2"/>
  <c r="AZ1980" i="2"/>
  <c r="AY1980" i="2"/>
  <c r="BA1979" i="2"/>
  <c r="AZ1979" i="2"/>
  <c r="AY1979" i="2"/>
  <c r="BA1978" i="2"/>
  <c r="AZ1978" i="2"/>
  <c r="AY1978" i="2"/>
  <c r="BA1977" i="2"/>
  <c r="AZ1977" i="2"/>
  <c r="AY1977" i="2"/>
  <c r="BA1976" i="2"/>
  <c r="AZ1976" i="2"/>
  <c r="AY1976" i="2"/>
  <c r="BA1975" i="2"/>
  <c r="AZ1975" i="2"/>
  <c r="AY1975" i="2"/>
  <c r="BA1974" i="2"/>
  <c r="AZ1974" i="2"/>
  <c r="AY1974" i="2"/>
  <c r="BA1973" i="2"/>
  <c r="AZ1973" i="2"/>
  <c r="AY1973" i="2"/>
  <c r="BA1972" i="2"/>
  <c r="AZ1972" i="2"/>
  <c r="AY1972" i="2"/>
  <c r="BA1971" i="2"/>
  <c r="AZ1971" i="2"/>
  <c r="AY1971" i="2"/>
  <c r="BA1970" i="2"/>
  <c r="AZ1970" i="2"/>
  <c r="AY1970" i="2"/>
  <c r="BA1969" i="2"/>
  <c r="AZ1969" i="2"/>
  <c r="AY1969" i="2"/>
  <c r="BA1968" i="2"/>
  <c r="AZ1968" i="2"/>
  <c r="AY1968" i="2"/>
  <c r="BA1967" i="2"/>
  <c r="AZ1967" i="2"/>
  <c r="AY1967" i="2"/>
  <c r="BA1966" i="2"/>
  <c r="AZ1966" i="2"/>
  <c r="AY1966" i="2"/>
  <c r="BA1965" i="2"/>
  <c r="AZ1965" i="2"/>
  <c r="AY1965" i="2"/>
  <c r="BA1964" i="2"/>
  <c r="AZ1964" i="2"/>
  <c r="AY1964" i="2"/>
  <c r="BA1963" i="2"/>
  <c r="AZ1963" i="2"/>
  <c r="AY1963" i="2"/>
  <c r="BA1962" i="2"/>
  <c r="AZ1962" i="2"/>
  <c r="AY1962" i="2"/>
  <c r="BA1961" i="2"/>
  <c r="AZ1961" i="2"/>
  <c r="AY1961" i="2"/>
  <c r="BA1960" i="2"/>
  <c r="AZ1960" i="2"/>
  <c r="AY1960" i="2"/>
  <c r="BA1959" i="2"/>
  <c r="AZ1959" i="2"/>
  <c r="AY1959" i="2"/>
  <c r="BA1958" i="2"/>
  <c r="AZ1958" i="2"/>
  <c r="AY1958" i="2"/>
  <c r="BA1957" i="2"/>
  <c r="AZ1957" i="2"/>
  <c r="AY1957" i="2"/>
  <c r="BA1956" i="2"/>
  <c r="AZ1956" i="2"/>
  <c r="AY1956" i="2"/>
  <c r="BA1955" i="2"/>
  <c r="AZ1955" i="2"/>
  <c r="AY1955" i="2"/>
  <c r="BA1954" i="2"/>
  <c r="AZ1954" i="2"/>
  <c r="AY1954" i="2"/>
  <c r="BA1953" i="2"/>
  <c r="AZ1953" i="2"/>
  <c r="AY1953" i="2"/>
  <c r="BA1952" i="2"/>
  <c r="AZ1952" i="2"/>
  <c r="AY1952" i="2"/>
  <c r="BA1951" i="2"/>
  <c r="AZ1951" i="2"/>
  <c r="AY1951" i="2"/>
  <c r="BA1950" i="2"/>
  <c r="AZ1950" i="2"/>
  <c r="AY1950" i="2"/>
  <c r="BA1949" i="2"/>
  <c r="AZ1949" i="2"/>
  <c r="AY1949" i="2"/>
  <c r="BA1948" i="2"/>
  <c r="AZ1948" i="2"/>
  <c r="AY1948" i="2"/>
  <c r="BA1947" i="2"/>
  <c r="AZ1947" i="2"/>
  <c r="AY1947" i="2"/>
  <c r="BA1946" i="2"/>
  <c r="AZ1946" i="2"/>
  <c r="AY1946" i="2"/>
  <c r="BA1945" i="2"/>
  <c r="AZ1945" i="2"/>
  <c r="AY1945" i="2"/>
  <c r="BA1944" i="2"/>
  <c r="AZ1944" i="2"/>
  <c r="AY1944" i="2"/>
  <c r="BA1943" i="2"/>
  <c r="AZ1943" i="2"/>
  <c r="AY1943" i="2"/>
  <c r="BA1942" i="2"/>
  <c r="AZ1942" i="2"/>
  <c r="AY1942" i="2"/>
  <c r="BA1941" i="2"/>
  <c r="AZ1941" i="2"/>
  <c r="AY1941" i="2"/>
  <c r="BA1940" i="2"/>
  <c r="AZ1940" i="2"/>
  <c r="AY1940" i="2"/>
  <c r="BA1939" i="2"/>
  <c r="AZ1939" i="2"/>
  <c r="AY1939" i="2"/>
  <c r="BA1938" i="2"/>
  <c r="AZ1938" i="2"/>
  <c r="AY1938" i="2"/>
  <c r="BA1937" i="2"/>
  <c r="AZ1937" i="2"/>
  <c r="AY1937" i="2"/>
  <c r="BA1936" i="2"/>
  <c r="AZ1936" i="2"/>
  <c r="AY1936" i="2"/>
  <c r="BA1935" i="2"/>
  <c r="AZ1935" i="2"/>
  <c r="AY1935" i="2"/>
  <c r="BA1934" i="2"/>
  <c r="AZ1934" i="2"/>
  <c r="AY1934" i="2"/>
  <c r="BA1933" i="2"/>
  <c r="AZ1933" i="2"/>
  <c r="AY1933" i="2"/>
  <c r="BA1932" i="2"/>
  <c r="AZ1932" i="2"/>
  <c r="AY1932" i="2"/>
  <c r="BA1931" i="2"/>
  <c r="AZ1931" i="2"/>
  <c r="AY1931" i="2"/>
  <c r="BA1930" i="2"/>
  <c r="AZ1930" i="2"/>
  <c r="AY1930" i="2"/>
  <c r="BA1929" i="2"/>
  <c r="AZ1929" i="2"/>
  <c r="AY1929" i="2"/>
  <c r="BA1928" i="2"/>
  <c r="AZ1928" i="2"/>
  <c r="AY1928" i="2"/>
  <c r="BA1927" i="2"/>
  <c r="AZ1927" i="2"/>
  <c r="AY1927" i="2"/>
  <c r="BA1926" i="2"/>
  <c r="AZ1926" i="2"/>
  <c r="AY1926" i="2"/>
  <c r="BA1925" i="2"/>
  <c r="AZ1925" i="2"/>
  <c r="AY1925" i="2"/>
  <c r="BA1924" i="2"/>
  <c r="AZ1924" i="2"/>
  <c r="AY1924" i="2"/>
  <c r="BA1923" i="2"/>
  <c r="AZ1923" i="2"/>
  <c r="AY1923" i="2"/>
  <c r="BA1922" i="2"/>
  <c r="AZ1922" i="2"/>
  <c r="AY1922" i="2"/>
  <c r="BA1921" i="2"/>
  <c r="AZ1921" i="2"/>
  <c r="AY1921" i="2"/>
  <c r="BA1920" i="2"/>
  <c r="AZ1920" i="2"/>
  <c r="AY1920" i="2"/>
  <c r="BA1919" i="2"/>
  <c r="AZ1919" i="2"/>
  <c r="AY1919" i="2"/>
  <c r="BA1918" i="2"/>
  <c r="AZ1918" i="2"/>
  <c r="AY1918" i="2"/>
  <c r="BA1917" i="2"/>
  <c r="AZ1917" i="2"/>
  <c r="AY1917" i="2"/>
  <c r="BA1916" i="2"/>
  <c r="AZ1916" i="2"/>
  <c r="AY1916" i="2"/>
  <c r="BA1915" i="2"/>
  <c r="AZ1915" i="2"/>
  <c r="AY1915" i="2"/>
  <c r="BA1914" i="2"/>
  <c r="AZ1914" i="2"/>
  <c r="AY1914" i="2"/>
  <c r="BA1913" i="2"/>
  <c r="AZ1913" i="2"/>
  <c r="AY1913" i="2"/>
  <c r="BA1912" i="2"/>
  <c r="AZ1912" i="2"/>
  <c r="AY1912" i="2"/>
  <c r="BA1911" i="2"/>
  <c r="AZ1911" i="2"/>
  <c r="AY1911" i="2"/>
  <c r="BA1910" i="2"/>
  <c r="AZ1910" i="2"/>
  <c r="AY1910" i="2"/>
  <c r="BA1909" i="2"/>
  <c r="AZ1909" i="2"/>
  <c r="AY1909" i="2"/>
  <c r="BA1908" i="2"/>
  <c r="AZ1908" i="2"/>
  <c r="AY1908" i="2"/>
  <c r="BA1907" i="2"/>
  <c r="AZ1907" i="2"/>
  <c r="AY1907" i="2"/>
  <c r="BA1906" i="2"/>
  <c r="AZ1906" i="2"/>
  <c r="AY1906" i="2"/>
  <c r="BA1905" i="2"/>
  <c r="AZ1905" i="2"/>
  <c r="AY1905" i="2"/>
  <c r="BA1904" i="2"/>
  <c r="AZ1904" i="2"/>
  <c r="AY1904" i="2"/>
  <c r="BA1903" i="2"/>
  <c r="AZ1903" i="2"/>
  <c r="AY1903" i="2"/>
  <c r="BA1902" i="2"/>
  <c r="AZ1902" i="2"/>
  <c r="AY1902" i="2"/>
  <c r="BA1901" i="2"/>
  <c r="AZ1901" i="2"/>
  <c r="AY1901" i="2"/>
  <c r="BA1900" i="2"/>
  <c r="AZ1900" i="2"/>
  <c r="AY1900" i="2"/>
  <c r="BA1899" i="2"/>
  <c r="AZ1899" i="2"/>
  <c r="AY1899" i="2"/>
  <c r="BA1898" i="2"/>
  <c r="AZ1898" i="2"/>
  <c r="AY1898" i="2"/>
  <c r="BA1897" i="2"/>
  <c r="AZ1897" i="2"/>
  <c r="AY1897" i="2"/>
  <c r="BA1896" i="2"/>
  <c r="AZ1896" i="2"/>
  <c r="AY1896" i="2"/>
  <c r="BA1895" i="2"/>
  <c r="AZ1895" i="2"/>
  <c r="AY1895" i="2"/>
  <c r="BA1894" i="2"/>
  <c r="AZ1894" i="2"/>
  <c r="AY1894" i="2"/>
  <c r="BA1893" i="2"/>
  <c r="AZ1893" i="2"/>
  <c r="AY1893" i="2"/>
  <c r="BA1892" i="2"/>
  <c r="AZ1892" i="2"/>
  <c r="AY1892" i="2"/>
  <c r="BA1891" i="2"/>
  <c r="AZ1891" i="2"/>
  <c r="AY1891" i="2"/>
  <c r="BA1890" i="2"/>
  <c r="AZ1890" i="2"/>
  <c r="AY1890" i="2"/>
  <c r="BA1889" i="2"/>
  <c r="AZ1889" i="2"/>
  <c r="AY1889" i="2"/>
  <c r="BA1888" i="2"/>
  <c r="AZ1888" i="2"/>
  <c r="AY1888" i="2"/>
  <c r="BA1887" i="2"/>
  <c r="AZ1887" i="2"/>
  <c r="AY1887" i="2"/>
  <c r="BA1886" i="2"/>
  <c r="AZ1886" i="2"/>
  <c r="AY1886" i="2"/>
  <c r="BA1885" i="2"/>
  <c r="AZ1885" i="2"/>
  <c r="AY1885" i="2"/>
  <c r="BA1884" i="2"/>
  <c r="AZ1884" i="2"/>
  <c r="AY1884" i="2"/>
  <c r="BA1883" i="2"/>
  <c r="AZ1883" i="2"/>
  <c r="AY1883" i="2"/>
  <c r="BA1882" i="2"/>
  <c r="AZ1882" i="2"/>
  <c r="AY1882" i="2"/>
  <c r="BA1881" i="2"/>
  <c r="AZ1881" i="2"/>
  <c r="AY1881" i="2"/>
  <c r="BA1880" i="2"/>
  <c r="AZ1880" i="2"/>
  <c r="AY1880" i="2"/>
  <c r="BA1879" i="2"/>
  <c r="AZ1879" i="2"/>
  <c r="AY1879" i="2"/>
  <c r="BA1878" i="2"/>
  <c r="AZ1878" i="2"/>
  <c r="AY1878" i="2"/>
  <c r="BA1877" i="2"/>
  <c r="AZ1877" i="2"/>
  <c r="AY1877" i="2"/>
  <c r="BA1876" i="2"/>
  <c r="AZ1876" i="2"/>
  <c r="AY1876" i="2"/>
  <c r="BA1875" i="2"/>
  <c r="AZ1875" i="2"/>
  <c r="AY1875" i="2"/>
  <c r="BA1874" i="2"/>
  <c r="AZ1874" i="2"/>
  <c r="AY1874" i="2"/>
  <c r="BA1873" i="2"/>
  <c r="AZ1873" i="2"/>
  <c r="AY1873" i="2"/>
  <c r="BA1872" i="2"/>
  <c r="AZ1872" i="2"/>
  <c r="AY1872" i="2"/>
  <c r="BA1871" i="2"/>
  <c r="AZ1871" i="2"/>
  <c r="AY1871" i="2"/>
  <c r="BA1870" i="2"/>
  <c r="AZ1870" i="2"/>
  <c r="AY1870" i="2"/>
  <c r="BA1869" i="2"/>
  <c r="AZ1869" i="2"/>
  <c r="AY1869" i="2"/>
  <c r="BA1868" i="2"/>
  <c r="AZ1868" i="2"/>
  <c r="AY1868" i="2"/>
  <c r="BA1867" i="2"/>
  <c r="AZ1867" i="2"/>
  <c r="AY1867" i="2"/>
  <c r="BA1866" i="2"/>
  <c r="AZ1866" i="2"/>
  <c r="AY1866" i="2"/>
  <c r="BA1865" i="2"/>
  <c r="AZ1865" i="2"/>
  <c r="AY1865" i="2"/>
  <c r="BA1864" i="2"/>
  <c r="AZ1864" i="2"/>
  <c r="AY1864" i="2"/>
  <c r="BA1863" i="2"/>
  <c r="AZ1863" i="2"/>
  <c r="AY1863" i="2"/>
  <c r="BA1862" i="2"/>
  <c r="AZ1862" i="2"/>
  <c r="AY1862" i="2"/>
  <c r="BA1861" i="2"/>
  <c r="AZ1861" i="2"/>
  <c r="AY1861" i="2"/>
  <c r="BA1860" i="2"/>
  <c r="AZ1860" i="2"/>
  <c r="AY1860" i="2"/>
  <c r="BA1859" i="2"/>
  <c r="AZ1859" i="2"/>
  <c r="AY1859" i="2"/>
  <c r="BA1858" i="2"/>
  <c r="AZ1858" i="2"/>
  <c r="AY1858" i="2"/>
  <c r="BA1857" i="2"/>
  <c r="AZ1857" i="2"/>
  <c r="AY1857" i="2"/>
  <c r="BA1856" i="2"/>
  <c r="AZ1856" i="2"/>
  <c r="AY1856" i="2"/>
  <c r="BA1855" i="2"/>
  <c r="AZ1855" i="2"/>
  <c r="AY1855" i="2"/>
  <c r="BA1854" i="2"/>
  <c r="AZ1854" i="2"/>
  <c r="AY1854" i="2"/>
  <c r="BA1853" i="2"/>
  <c r="AZ1853" i="2"/>
  <c r="AY1853" i="2"/>
  <c r="BA1852" i="2"/>
  <c r="AZ1852" i="2"/>
  <c r="AY1852" i="2"/>
  <c r="BA1851" i="2"/>
  <c r="AZ1851" i="2"/>
  <c r="AY1851" i="2"/>
  <c r="BA1850" i="2"/>
  <c r="AZ1850" i="2"/>
  <c r="AY1850" i="2"/>
  <c r="BA1849" i="2"/>
  <c r="AZ1849" i="2"/>
  <c r="AY1849" i="2"/>
  <c r="BA1848" i="2"/>
  <c r="AZ1848" i="2"/>
  <c r="AY1848" i="2"/>
  <c r="BA1847" i="2"/>
  <c r="AZ1847" i="2"/>
  <c r="AY1847" i="2"/>
  <c r="BA1846" i="2"/>
  <c r="AZ1846" i="2"/>
  <c r="AY1846" i="2"/>
  <c r="BA1845" i="2"/>
  <c r="AZ1845" i="2"/>
  <c r="AY1845" i="2"/>
  <c r="BA1844" i="2"/>
  <c r="AZ1844" i="2"/>
  <c r="AY1844" i="2"/>
  <c r="BA1843" i="2"/>
  <c r="AZ1843" i="2"/>
  <c r="AY1843" i="2"/>
  <c r="BA1842" i="2"/>
  <c r="AZ1842" i="2"/>
  <c r="AY1842" i="2"/>
  <c r="BA1841" i="2"/>
  <c r="AZ1841" i="2"/>
  <c r="AY1841" i="2"/>
  <c r="BA1840" i="2"/>
  <c r="AZ1840" i="2"/>
  <c r="AY1840" i="2"/>
  <c r="BA1839" i="2"/>
  <c r="AZ1839" i="2"/>
  <c r="AY1839" i="2"/>
  <c r="BA1838" i="2"/>
  <c r="AZ1838" i="2"/>
  <c r="AY1838" i="2"/>
  <c r="BA1837" i="2"/>
  <c r="AZ1837" i="2"/>
  <c r="AY1837" i="2"/>
  <c r="BA1836" i="2"/>
  <c r="AZ1836" i="2"/>
  <c r="AY1836" i="2"/>
  <c r="BA1835" i="2"/>
  <c r="AZ1835" i="2"/>
  <c r="AY1835" i="2"/>
  <c r="BA1834" i="2"/>
  <c r="AZ1834" i="2"/>
  <c r="AY1834" i="2"/>
  <c r="BA1833" i="2"/>
  <c r="AZ1833" i="2"/>
  <c r="AY1833" i="2"/>
  <c r="BA1832" i="2"/>
  <c r="AZ1832" i="2"/>
  <c r="AY1832" i="2"/>
  <c r="BA1831" i="2"/>
  <c r="AZ1831" i="2"/>
  <c r="AY1831" i="2"/>
  <c r="BA1830" i="2"/>
  <c r="AZ1830" i="2"/>
  <c r="AY1830" i="2"/>
  <c r="BA1829" i="2"/>
  <c r="AZ1829" i="2"/>
  <c r="AY1829" i="2"/>
  <c r="BA1828" i="2"/>
  <c r="AZ1828" i="2"/>
  <c r="AY1828" i="2"/>
  <c r="BA1827" i="2"/>
  <c r="AZ1827" i="2"/>
  <c r="AY1827" i="2"/>
  <c r="BA1826" i="2"/>
  <c r="AZ1826" i="2"/>
  <c r="AY1826" i="2"/>
  <c r="BA1825" i="2"/>
  <c r="AZ1825" i="2"/>
  <c r="AY1825" i="2"/>
  <c r="BA1824" i="2"/>
  <c r="AZ1824" i="2"/>
  <c r="AY1824" i="2"/>
  <c r="BA1823" i="2"/>
  <c r="AZ1823" i="2"/>
  <c r="AY1823" i="2"/>
  <c r="BA1822" i="2"/>
  <c r="AZ1822" i="2"/>
  <c r="AY1822" i="2"/>
  <c r="BA1821" i="2"/>
  <c r="AZ1821" i="2"/>
  <c r="AY1821" i="2"/>
  <c r="BA1820" i="2"/>
  <c r="AZ1820" i="2"/>
  <c r="AY1820" i="2"/>
  <c r="BA1819" i="2"/>
  <c r="AZ1819" i="2"/>
  <c r="AY1819" i="2"/>
  <c r="BA1818" i="2"/>
  <c r="AZ1818" i="2"/>
  <c r="AY1818" i="2"/>
  <c r="BA1817" i="2"/>
  <c r="AZ1817" i="2"/>
  <c r="AY1817" i="2"/>
  <c r="BA1816" i="2"/>
  <c r="AZ1816" i="2"/>
  <c r="AY1816" i="2"/>
  <c r="BA1815" i="2"/>
  <c r="AZ1815" i="2"/>
  <c r="AY1815" i="2"/>
  <c r="BA1814" i="2"/>
  <c r="AZ1814" i="2"/>
  <c r="AY1814" i="2"/>
  <c r="BA1813" i="2"/>
  <c r="AZ1813" i="2"/>
  <c r="AY1813" i="2"/>
  <c r="BA1812" i="2"/>
  <c r="AZ1812" i="2"/>
  <c r="AY1812" i="2"/>
  <c r="BA1811" i="2"/>
  <c r="AZ1811" i="2"/>
  <c r="AY1811" i="2"/>
  <c r="BA1810" i="2"/>
  <c r="AZ1810" i="2"/>
  <c r="AY1810" i="2"/>
  <c r="BA1809" i="2"/>
  <c r="AZ1809" i="2"/>
  <c r="AY1809" i="2"/>
  <c r="BA1808" i="2"/>
  <c r="AZ1808" i="2"/>
  <c r="AY1808" i="2"/>
  <c r="BA1807" i="2"/>
  <c r="AZ1807" i="2"/>
  <c r="AY1807" i="2"/>
  <c r="BA1806" i="2"/>
  <c r="AZ1806" i="2"/>
  <c r="AY1806" i="2"/>
  <c r="BA1805" i="2"/>
  <c r="AZ1805" i="2"/>
  <c r="AY1805" i="2"/>
  <c r="BA1804" i="2"/>
  <c r="AZ1804" i="2"/>
  <c r="AY1804" i="2"/>
  <c r="BA1803" i="2"/>
  <c r="AZ1803" i="2"/>
  <c r="AY1803" i="2"/>
  <c r="BA1802" i="2"/>
  <c r="AZ1802" i="2"/>
  <c r="AY1802" i="2"/>
  <c r="BA1801" i="2"/>
  <c r="AZ1801" i="2"/>
  <c r="AY1801" i="2"/>
  <c r="BA1800" i="2"/>
  <c r="AZ1800" i="2"/>
  <c r="AY1800" i="2"/>
  <c r="BA1799" i="2"/>
  <c r="AZ1799" i="2"/>
  <c r="AY1799" i="2"/>
  <c r="BA1798" i="2"/>
  <c r="AZ1798" i="2"/>
  <c r="AY1798" i="2"/>
  <c r="BA1797" i="2"/>
  <c r="AZ1797" i="2"/>
  <c r="AY1797" i="2"/>
  <c r="BA1796" i="2"/>
  <c r="AZ1796" i="2"/>
  <c r="AY1796" i="2"/>
  <c r="BA1795" i="2"/>
  <c r="AZ1795" i="2"/>
  <c r="AY1795" i="2"/>
  <c r="BA1794" i="2"/>
  <c r="AZ1794" i="2"/>
  <c r="AY1794" i="2"/>
  <c r="BA1793" i="2"/>
  <c r="AZ1793" i="2"/>
  <c r="AY1793" i="2"/>
  <c r="BA1792" i="2"/>
  <c r="AZ1792" i="2"/>
  <c r="AY1792" i="2"/>
  <c r="BA1791" i="2"/>
  <c r="AZ1791" i="2"/>
  <c r="AY1791" i="2"/>
  <c r="BA1790" i="2"/>
  <c r="AZ1790" i="2"/>
  <c r="AY1790" i="2"/>
  <c r="BA1789" i="2"/>
  <c r="AZ1789" i="2"/>
  <c r="AY1789" i="2"/>
  <c r="BA1788" i="2"/>
  <c r="AZ1788" i="2"/>
  <c r="AY1788" i="2"/>
  <c r="BA1787" i="2"/>
  <c r="AZ1787" i="2"/>
  <c r="AY1787" i="2"/>
  <c r="BA1786" i="2"/>
  <c r="AZ1786" i="2"/>
  <c r="AY1786" i="2"/>
  <c r="BA1785" i="2"/>
  <c r="AZ1785" i="2"/>
  <c r="AY1785" i="2"/>
  <c r="BA1784" i="2"/>
  <c r="AZ1784" i="2"/>
  <c r="AY1784" i="2"/>
  <c r="BA1783" i="2"/>
  <c r="AZ1783" i="2"/>
  <c r="AY1783" i="2"/>
  <c r="BA1782" i="2"/>
  <c r="AZ1782" i="2"/>
  <c r="AY1782" i="2"/>
  <c r="BA1781" i="2"/>
  <c r="AZ1781" i="2"/>
  <c r="AY1781" i="2"/>
  <c r="BA1780" i="2"/>
  <c r="AZ1780" i="2"/>
  <c r="AY1780" i="2"/>
  <c r="BA1779" i="2"/>
  <c r="AZ1779" i="2"/>
  <c r="AY1779" i="2"/>
  <c r="BA1778" i="2"/>
  <c r="AZ1778" i="2"/>
  <c r="AY1778" i="2"/>
  <c r="BA1777" i="2"/>
  <c r="AZ1777" i="2"/>
  <c r="AY1777" i="2"/>
  <c r="BA1776" i="2"/>
  <c r="AZ1776" i="2"/>
  <c r="AY1776" i="2"/>
  <c r="BA1775" i="2"/>
  <c r="AZ1775" i="2"/>
  <c r="AY1775" i="2"/>
  <c r="BA1774" i="2"/>
  <c r="AZ1774" i="2"/>
  <c r="AY1774" i="2"/>
  <c r="BA1773" i="2"/>
  <c r="AZ1773" i="2"/>
  <c r="AY1773" i="2"/>
  <c r="BA1772" i="2"/>
  <c r="AZ1772" i="2"/>
  <c r="AY1772" i="2"/>
  <c r="BA1771" i="2"/>
  <c r="AZ1771" i="2"/>
  <c r="AY1771" i="2"/>
  <c r="BA1770" i="2"/>
  <c r="AZ1770" i="2"/>
  <c r="AY1770" i="2"/>
  <c r="BA1769" i="2"/>
  <c r="AZ1769" i="2"/>
  <c r="AY1769" i="2"/>
  <c r="BA1768" i="2"/>
  <c r="AZ1768" i="2"/>
  <c r="AY1768" i="2"/>
  <c r="BA1767" i="2"/>
  <c r="AZ1767" i="2"/>
  <c r="AY1767" i="2"/>
  <c r="BA1766" i="2"/>
  <c r="AZ1766" i="2"/>
  <c r="AY1766" i="2"/>
  <c r="BA1765" i="2"/>
  <c r="AZ1765" i="2"/>
  <c r="AY1765" i="2"/>
  <c r="BA1764" i="2"/>
  <c r="AZ1764" i="2"/>
  <c r="AY1764" i="2"/>
  <c r="BA1763" i="2"/>
  <c r="AZ1763" i="2"/>
  <c r="AY1763" i="2"/>
  <c r="BA1762" i="2"/>
  <c r="AZ1762" i="2"/>
  <c r="AY1762" i="2"/>
  <c r="BA1761" i="2"/>
  <c r="AZ1761" i="2"/>
  <c r="AY1761" i="2"/>
  <c r="BA1760" i="2"/>
  <c r="AZ1760" i="2"/>
  <c r="AY1760" i="2"/>
  <c r="BA1759" i="2"/>
  <c r="AZ1759" i="2"/>
  <c r="AY1759" i="2"/>
  <c r="BA1758" i="2"/>
  <c r="AZ1758" i="2"/>
  <c r="AY1758" i="2"/>
  <c r="BA1757" i="2"/>
  <c r="AZ1757" i="2"/>
  <c r="AY1757" i="2"/>
  <c r="BA1756" i="2"/>
  <c r="AZ1756" i="2"/>
  <c r="AY1756" i="2"/>
  <c r="BA1755" i="2"/>
  <c r="AZ1755" i="2"/>
  <c r="AY1755" i="2"/>
  <c r="BA1754" i="2"/>
  <c r="AZ1754" i="2"/>
  <c r="AY1754" i="2"/>
  <c r="BA1753" i="2"/>
  <c r="AZ1753" i="2"/>
  <c r="AY1753" i="2"/>
  <c r="BA1752" i="2"/>
  <c r="AZ1752" i="2"/>
  <c r="AY1752" i="2"/>
  <c r="BA1751" i="2"/>
  <c r="AZ1751" i="2"/>
  <c r="AY1751" i="2"/>
  <c r="BA1750" i="2"/>
  <c r="AZ1750" i="2"/>
  <c r="AY1750" i="2"/>
  <c r="BA1749" i="2"/>
  <c r="AZ1749" i="2"/>
  <c r="AY1749" i="2"/>
  <c r="BA1748" i="2"/>
  <c r="AZ1748" i="2"/>
  <c r="AY1748" i="2"/>
  <c r="BA1747" i="2"/>
  <c r="AZ1747" i="2"/>
  <c r="AY1747" i="2"/>
  <c r="BA1746" i="2"/>
  <c r="AZ1746" i="2"/>
  <c r="AY1746" i="2"/>
  <c r="BA1745" i="2"/>
  <c r="AZ1745" i="2"/>
  <c r="AY1745" i="2"/>
  <c r="BA1744" i="2"/>
  <c r="AZ1744" i="2"/>
  <c r="AY1744" i="2"/>
  <c r="BA1743" i="2"/>
  <c r="AZ1743" i="2"/>
  <c r="AY1743" i="2"/>
  <c r="BA1742" i="2"/>
  <c r="AZ1742" i="2"/>
  <c r="AY1742" i="2"/>
  <c r="BA1741" i="2"/>
  <c r="AZ1741" i="2"/>
  <c r="AY1741" i="2"/>
  <c r="BA1740" i="2"/>
  <c r="AZ1740" i="2"/>
  <c r="AY1740" i="2"/>
  <c r="BA1739" i="2"/>
  <c r="AZ1739" i="2"/>
  <c r="AY1739" i="2"/>
  <c r="BA1738" i="2"/>
  <c r="AZ1738" i="2"/>
  <c r="AY1738" i="2"/>
  <c r="BA1737" i="2"/>
  <c r="AZ1737" i="2"/>
  <c r="AY1737" i="2"/>
  <c r="BA1736" i="2"/>
  <c r="AZ1736" i="2"/>
  <c r="AY1736" i="2"/>
  <c r="BA1735" i="2"/>
  <c r="AZ1735" i="2"/>
  <c r="AY1735" i="2"/>
  <c r="BA1734" i="2"/>
  <c r="AZ1734" i="2"/>
  <c r="AY1734" i="2"/>
  <c r="BA1733" i="2"/>
  <c r="AZ1733" i="2"/>
  <c r="AY1733" i="2"/>
  <c r="BA1732" i="2"/>
  <c r="AZ1732" i="2"/>
  <c r="AY1732" i="2"/>
  <c r="BA1731" i="2"/>
  <c r="AZ1731" i="2"/>
  <c r="AY1731" i="2"/>
  <c r="BA1730" i="2"/>
  <c r="AZ1730" i="2"/>
  <c r="AY1730" i="2"/>
  <c r="BA1729" i="2"/>
  <c r="AZ1729" i="2"/>
  <c r="AY1729" i="2"/>
  <c r="BA1728" i="2"/>
  <c r="AZ1728" i="2"/>
  <c r="AY1728" i="2"/>
  <c r="BA1727" i="2"/>
  <c r="AZ1727" i="2"/>
  <c r="AY1727" i="2"/>
  <c r="BA1726" i="2"/>
  <c r="AZ1726" i="2"/>
  <c r="AY1726" i="2"/>
  <c r="BA1725" i="2"/>
  <c r="AZ1725" i="2"/>
  <c r="AY1725" i="2"/>
  <c r="BA1724" i="2"/>
  <c r="AZ1724" i="2"/>
  <c r="AY1724" i="2"/>
  <c r="BA1723" i="2"/>
  <c r="AZ1723" i="2"/>
  <c r="AY1723" i="2"/>
  <c r="BA1722" i="2"/>
  <c r="AZ1722" i="2"/>
  <c r="AY1722" i="2"/>
  <c r="BA1721" i="2"/>
  <c r="AZ1721" i="2"/>
  <c r="AY1721" i="2"/>
  <c r="BA1720" i="2"/>
  <c r="AZ1720" i="2"/>
  <c r="AY1720" i="2"/>
  <c r="BA1719" i="2"/>
  <c r="AZ1719" i="2"/>
  <c r="AY1719" i="2"/>
  <c r="BA1718" i="2"/>
  <c r="AZ1718" i="2"/>
  <c r="AY1718" i="2"/>
  <c r="BA1717" i="2"/>
  <c r="AZ1717" i="2"/>
  <c r="AY1717" i="2"/>
  <c r="BA1716" i="2"/>
  <c r="AZ1716" i="2"/>
  <c r="AY1716" i="2"/>
  <c r="BA1715" i="2"/>
  <c r="AZ1715" i="2"/>
  <c r="AY1715" i="2"/>
  <c r="BA1714" i="2"/>
  <c r="AZ1714" i="2"/>
  <c r="AY1714" i="2"/>
  <c r="BA1713" i="2"/>
  <c r="AZ1713" i="2"/>
  <c r="AY1713" i="2"/>
  <c r="BA1712" i="2"/>
  <c r="AZ1712" i="2"/>
  <c r="AY1712" i="2"/>
  <c r="BA1711" i="2"/>
  <c r="AZ1711" i="2"/>
  <c r="AY1711" i="2"/>
  <c r="BA1710" i="2"/>
  <c r="AZ1710" i="2"/>
  <c r="AY1710" i="2"/>
  <c r="BA1709" i="2"/>
  <c r="AZ1709" i="2"/>
  <c r="AY1709" i="2"/>
  <c r="BA1708" i="2"/>
  <c r="AZ1708" i="2"/>
  <c r="AY1708" i="2"/>
  <c r="BA1707" i="2"/>
  <c r="AZ1707" i="2"/>
  <c r="AY1707" i="2"/>
  <c r="BA1706" i="2"/>
  <c r="AZ1706" i="2"/>
  <c r="AY1706" i="2"/>
  <c r="BA1705" i="2"/>
  <c r="AZ1705" i="2"/>
  <c r="AY1705" i="2"/>
  <c r="BA1704" i="2"/>
  <c r="AZ1704" i="2"/>
  <c r="AY1704" i="2"/>
  <c r="BA1703" i="2"/>
  <c r="AZ1703" i="2"/>
  <c r="AY1703" i="2"/>
  <c r="BA1702" i="2"/>
  <c r="AZ1702" i="2"/>
  <c r="AY1702" i="2"/>
  <c r="BA1701" i="2"/>
  <c r="AZ1701" i="2"/>
  <c r="AY1701" i="2"/>
  <c r="BA1700" i="2"/>
  <c r="AZ1700" i="2"/>
  <c r="AY1700" i="2"/>
  <c r="BA1699" i="2"/>
  <c r="AZ1699" i="2"/>
  <c r="AY1699" i="2"/>
  <c r="BA1698" i="2"/>
  <c r="AZ1698" i="2"/>
  <c r="AY1698" i="2"/>
  <c r="BA1697" i="2"/>
  <c r="AZ1697" i="2"/>
  <c r="AY1697" i="2"/>
  <c r="BA1696" i="2"/>
  <c r="AZ1696" i="2"/>
  <c r="AY1696" i="2"/>
  <c r="BA1695" i="2"/>
  <c r="AZ1695" i="2"/>
  <c r="AY1695" i="2"/>
  <c r="BA1694" i="2"/>
  <c r="AZ1694" i="2"/>
  <c r="AY1694" i="2"/>
  <c r="BA1693" i="2"/>
  <c r="AZ1693" i="2"/>
  <c r="AY1693" i="2"/>
  <c r="BA1692" i="2"/>
  <c r="AZ1692" i="2"/>
  <c r="AY1692" i="2"/>
  <c r="BA1691" i="2"/>
  <c r="AZ1691" i="2"/>
  <c r="AY1691" i="2"/>
  <c r="BA1690" i="2"/>
  <c r="AZ1690" i="2"/>
  <c r="AY1690" i="2"/>
  <c r="BA1689" i="2"/>
  <c r="AZ1689" i="2"/>
  <c r="AY1689" i="2"/>
  <c r="BA1688" i="2"/>
  <c r="AZ1688" i="2"/>
  <c r="AY1688" i="2"/>
  <c r="BA1687" i="2"/>
  <c r="AZ1687" i="2"/>
  <c r="AY1687" i="2"/>
  <c r="BA1686" i="2"/>
  <c r="AZ1686" i="2"/>
  <c r="AY1686" i="2"/>
  <c r="BA1685" i="2"/>
  <c r="AZ1685" i="2"/>
  <c r="AY1685" i="2"/>
  <c r="BA1684" i="2"/>
  <c r="AZ1684" i="2"/>
  <c r="AY1684" i="2"/>
  <c r="BA1683" i="2"/>
  <c r="AZ1683" i="2"/>
  <c r="AY1683" i="2"/>
  <c r="BA1682" i="2"/>
  <c r="AZ1682" i="2"/>
  <c r="AY1682" i="2"/>
  <c r="BA1681" i="2"/>
  <c r="AZ1681" i="2"/>
  <c r="AY1681" i="2"/>
  <c r="BA1680" i="2"/>
  <c r="AZ1680" i="2"/>
  <c r="AY1680" i="2"/>
  <c r="BA1679" i="2"/>
  <c r="AZ1679" i="2"/>
  <c r="AY1679" i="2"/>
  <c r="BA1678" i="2"/>
  <c r="AZ1678" i="2"/>
  <c r="AY1678" i="2"/>
  <c r="BA1677" i="2"/>
  <c r="AZ1677" i="2"/>
  <c r="AY1677" i="2"/>
  <c r="BA1676" i="2"/>
  <c r="AZ1676" i="2"/>
  <c r="AY1676" i="2"/>
  <c r="BA1675" i="2"/>
  <c r="AZ1675" i="2"/>
  <c r="AY1675" i="2"/>
  <c r="BA1674" i="2"/>
  <c r="AZ1674" i="2"/>
  <c r="AY1674" i="2"/>
  <c r="BA1673" i="2"/>
  <c r="AZ1673" i="2"/>
  <c r="AY1673" i="2"/>
  <c r="BA1672" i="2"/>
  <c r="AZ1672" i="2"/>
  <c r="AY1672" i="2"/>
  <c r="BA1671" i="2"/>
  <c r="AZ1671" i="2"/>
  <c r="AY1671" i="2"/>
  <c r="BA1670" i="2"/>
  <c r="AZ1670" i="2"/>
  <c r="AY1670" i="2"/>
  <c r="BA1669" i="2"/>
  <c r="AZ1669" i="2"/>
  <c r="AY1669" i="2"/>
  <c r="BA1668" i="2"/>
  <c r="AZ1668" i="2"/>
  <c r="AY1668" i="2"/>
  <c r="BA1667" i="2"/>
  <c r="AZ1667" i="2"/>
  <c r="AY1667" i="2"/>
  <c r="BA1666" i="2"/>
  <c r="AZ1666" i="2"/>
  <c r="AY1666" i="2"/>
  <c r="BA1665" i="2"/>
  <c r="AZ1665" i="2"/>
  <c r="AY1665" i="2"/>
  <c r="BA1664" i="2"/>
  <c r="AZ1664" i="2"/>
  <c r="AY1664" i="2"/>
  <c r="BA1663" i="2"/>
  <c r="AZ1663" i="2"/>
  <c r="AY1663" i="2"/>
  <c r="BA1662" i="2"/>
  <c r="AZ1662" i="2"/>
  <c r="AY1662" i="2"/>
  <c r="BA1661" i="2"/>
  <c r="AZ1661" i="2"/>
  <c r="AY1661" i="2"/>
  <c r="BA1660" i="2"/>
  <c r="AZ1660" i="2"/>
  <c r="AY1660" i="2"/>
  <c r="BA1659" i="2"/>
  <c r="AZ1659" i="2"/>
  <c r="AY1659" i="2"/>
  <c r="BA1658" i="2"/>
  <c r="AZ1658" i="2"/>
  <c r="AY1658" i="2"/>
  <c r="BA1657" i="2"/>
  <c r="AZ1657" i="2"/>
  <c r="AY1657" i="2"/>
  <c r="BA1656" i="2"/>
  <c r="AZ1656" i="2"/>
  <c r="AY1656" i="2"/>
  <c r="BA1655" i="2"/>
  <c r="AZ1655" i="2"/>
  <c r="AY1655" i="2"/>
  <c r="BA1654" i="2"/>
  <c r="AZ1654" i="2"/>
  <c r="AY1654" i="2"/>
  <c r="BA1653" i="2"/>
  <c r="AZ1653" i="2"/>
  <c r="AY1653" i="2"/>
  <c r="BA1652" i="2"/>
  <c r="AZ1652" i="2"/>
  <c r="AY1652" i="2"/>
  <c r="BA1651" i="2"/>
  <c r="AZ1651" i="2"/>
  <c r="AY1651" i="2"/>
  <c r="BA1650" i="2"/>
  <c r="AZ1650" i="2"/>
  <c r="AY1650" i="2"/>
  <c r="BA1649" i="2"/>
  <c r="AZ1649" i="2"/>
  <c r="AY1649" i="2"/>
  <c r="BA1648" i="2"/>
  <c r="AZ1648" i="2"/>
  <c r="AY1648" i="2"/>
  <c r="BA1647" i="2"/>
  <c r="AZ1647" i="2"/>
  <c r="AY1647" i="2"/>
  <c r="BA1646" i="2"/>
  <c r="AZ1646" i="2"/>
  <c r="AY1646" i="2"/>
  <c r="BA1645" i="2"/>
  <c r="AZ1645" i="2"/>
  <c r="AY1645" i="2"/>
  <c r="BA1644" i="2"/>
  <c r="AZ1644" i="2"/>
  <c r="AY1644" i="2"/>
  <c r="BA1643" i="2"/>
  <c r="AZ1643" i="2"/>
  <c r="AY1643" i="2"/>
  <c r="BA1642" i="2"/>
  <c r="AZ1642" i="2"/>
  <c r="AY1642" i="2"/>
  <c r="BA1641" i="2"/>
  <c r="AZ1641" i="2"/>
  <c r="AY1641" i="2"/>
  <c r="BA1640" i="2"/>
  <c r="AZ1640" i="2"/>
  <c r="AY1640" i="2"/>
  <c r="BA1639" i="2"/>
  <c r="AZ1639" i="2"/>
  <c r="AY1639" i="2"/>
  <c r="BA1638" i="2"/>
  <c r="AZ1638" i="2"/>
  <c r="AY1638" i="2"/>
  <c r="BA1637" i="2"/>
  <c r="AZ1637" i="2"/>
  <c r="AY1637" i="2"/>
  <c r="BA1636" i="2"/>
  <c r="AZ1636" i="2"/>
  <c r="AY1636" i="2"/>
  <c r="BA1635" i="2"/>
  <c r="AZ1635" i="2"/>
  <c r="AY1635" i="2"/>
  <c r="BA1634" i="2"/>
  <c r="AZ1634" i="2"/>
  <c r="AY1634" i="2"/>
  <c r="BA1633" i="2"/>
  <c r="AZ1633" i="2"/>
  <c r="AY1633" i="2"/>
  <c r="BA1632" i="2"/>
  <c r="AZ1632" i="2"/>
  <c r="AY1632" i="2"/>
  <c r="BA1631" i="2"/>
  <c r="AZ1631" i="2"/>
  <c r="AY1631" i="2"/>
  <c r="BA1630" i="2"/>
  <c r="AZ1630" i="2"/>
  <c r="AY1630" i="2"/>
  <c r="BA1629" i="2"/>
  <c r="AZ1629" i="2"/>
  <c r="AY1629" i="2"/>
  <c r="BA1628" i="2"/>
  <c r="AZ1628" i="2"/>
  <c r="AY1628" i="2"/>
  <c r="BA1627" i="2"/>
  <c r="AZ1627" i="2"/>
  <c r="AY1627" i="2"/>
  <c r="BA1626" i="2"/>
  <c r="AZ1626" i="2"/>
  <c r="AY1626" i="2"/>
  <c r="BA1625" i="2"/>
  <c r="AZ1625" i="2"/>
  <c r="AY1625" i="2"/>
  <c r="BA1624" i="2"/>
  <c r="AZ1624" i="2"/>
  <c r="AY1624" i="2"/>
  <c r="BA1623" i="2"/>
  <c r="AZ1623" i="2"/>
  <c r="AY1623" i="2"/>
  <c r="BA1622" i="2"/>
  <c r="AZ1622" i="2"/>
  <c r="AY1622" i="2"/>
  <c r="BA1621" i="2"/>
  <c r="AZ1621" i="2"/>
  <c r="AY1621" i="2"/>
  <c r="BA1620" i="2"/>
  <c r="AZ1620" i="2"/>
  <c r="AY1620" i="2"/>
  <c r="BA1619" i="2"/>
  <c r="AZ1619" i="2"/>
  <c r="AY1619" i="2"/>
  <c r="BA1618" i="2"/>
  <c r="AZ1618" i="2"/>
  <c r="AY1618" i="2"/>
  <c r="BA1617" i="2"/>
  <c r="AZ1617" i="2"/>
  <c r="AY1617" i="2"/>
  <c r="BA1616" i="2"/>
  <c r="AZ1616" i="2"/>
  <c r="AY1616" i="2"/>
  <c r="BA1615" i="2"/>
  <c r="AZ1615" i="2"/>
  <c r="AY1615" i="2"/>
  <c r="BA1614" i="2"/>
  <c r="AZ1614" i="2"/>
  <c r="AY1614" i="2"/>
  <c r="BA1613" i="2"/>
  <c r="AZ1613" i="2"/>
  <c r="AY1613" i="2"/>
  <c r="BA1612" i="2"/>
  <c r="AZ1612" i="2"/>
  <c r="AY1612" i="2"/>
  <c r="BA1611" i="2"/>
  <c r="AZ1611" i="2"/>
  <c r="AY1611" i="2"/>
  <c r="BA1610" i="2"/>
  <c r="AZ1610" i="2"/>
  <c r="AY1610" i="2"/>
  <c r="BA1609" i="2"/>
  <c r="AZ1609" i="2"/>
  <c r="AY1609" i="2"/>
  <c r="BA1608" i="2"/>
  <c r="AZ1608" i="2"/>
  <c r="AY1608" i="2"/>
  <c r="BA1607" i="2"/>
  <c r="AZ1607" i="2"/>
  <c r="AY1607" i="2"/>
  <c r="BA1606" i="2"/>
  <c r="AZ1606" i="2"/>
  <c r="AY1606" i="2"/>
  <c r="BA1605" i="2"/>
  <c r="AZ1605" i="2"/>
  <c r="AY1605" i="2"/>
  <c r="BA1604" i="2"/>
  <c r="AZ1604" i="2"/>
  <c r="AY1604" i="2"/>
  <c r="BA1603" i="2"/>
  <c r="AZ1603" i="2"/>
  <c r="AY1603" i="2"/>
  <c r="BA1602" i="2"/>
  <c r="AZ1602" i="2"/>
  <c r="AY1602" i="2"/>
  <c r="BA1601" i="2"/>
  <c r="AZ1601" i="2"/>
  <c r="AY1601" i="2"/>
  <c r="BA1600" i="2"/>
  <c r="AZ1600" i="2"/>
  <c r="AY1600" i="2"/>
  <c r="BA1599" i="2"/>
  <c r="AZ1599" i="2"/>
  <c r="AY1599" i="2"/>
  <c r="BA1598" i="2"/>
  <c r="AZ1598" i="2"/>
  <c r="AY1598" i="2"/>
  <c r="BA1597" i="2"/>
  <c r="AZ1597" i="2"/>
  <c r="AY1597" i="2"/>
  <c r="BA1596" i="2"/>
  <c r="AZ1596" i="2"/>
  <c r="AY1596" i="2"/>
  <c r="BA1595" i="2"/>
  <c r="AZ1595" i="2"/>
  <c r="AY1595" i="2"/>
  <c r="BA1594" i="2"/>
  <c r="AZ1594" i="2"/>
  <c r="AY1594" i="2"/>
  <c r="BA1593" i="2"/>
  <c r="AZ1593" i="2"/>
  <c r="AY1593" i="2"/>
  <c r="BA1592" i="2"/>
  <c r="AZ1592" i="2"/>
  <c r="AY1592" i="2"/>
  <c r="BA1591" i="2"/>
  <c r="AZ1591" i="2"/>
  <c r="AY1591" i="2"/>
  <c r="BA1590" i="2"/>
  <c r="AZ1590" i="2"/>
  <c r="AY1590" i="2"/>
  <c r="BA1589" i="2"/>
  <c r="AZ1589" i="2"/>
  <c r="AY1589" i="2"/>
  <c r="BA1588" i="2"/>
  <c r="AZ1588" i="2"/>
  <c r="AY1588" i="2"/>
  <c r="BA1587" i="2"/>
  <c r="AZ1587" i="2"/>
  <c r="AY1587" i="2"/>
  <c r="BA1586" i="2"/>
  <c r="AZ1586" i="2"/>
  <c r="AY1586" i="2"/>
  <c r="BA1585" i="2"/>
  <c r="AZ1585" i="2"/>
  <c r="AY1585" i="2"/>
  <c r="BA1584" i="2"/>
  <c r="AZ1584" i="2"/>
  <c r="AY1584" i="2"/>
  <c r="BA1583" i="2"/>
  <c r="AZ1583" i="2"/>
  <c r="AY1583" i="2"/>
  <c r="BA1582" i="2"/>
  <c r="AZ1582" i="2"/>
  <c r="AY1582" i="2"/>
  <c r="BA1581" i="2"/>
  <c r="AZ1581" i="2"/>
  <c r="AY1581" i="2"/>
  <c r="BA1580" i="2"/>
  <c r="AZ1580" i="2"/>
  <c r="AY1580" i="2"/>
  <c r="BA1579" i="2"/>
  <c r="AZ1579" i="2"/>
  <c r="AY1579" i="2"/>
  <c r="BA1578" i="2"/>
  <c r="AZ1578" i="2"/>
  <c r="AY1578" i="2"/>
  <c r="BA1577" i="2"/>
  <c r="AZ1577" i="2"/>
  <c r="AY1577" i="2"/>
  <c r="BA1576" i="2"/>
  <c r="AZ1576" i="2"/>
  <c r="AY1576" i="2"/>
  <c r="BA1575" i="2"/>
  <c r="AZ1575" i="2"/>
  <c r="AY1575" i="2"/>
  <c r="BA1574" i="2"/>
  <c r="AZ1574" i="2"/>
  <c r="AY1574" i="2"/>
  <c r="BA1573" i="2"/>
  <c r="AZ1573" i="2"/>
  <c r="AY1573" i="2"/>
  <c r="BA1572" i="2"/>
  <c r="AZ1572" i="2"/>
  <c r="AY1572" i="2"/>
  <c r="BA1571" i="2"/>
  <c r="AZ1571" i="2"/>
  <c r="AY1571" i="2"/>
  <c r="BA1570" i="2"/>
  <c r="AZ1570" i="2"/>
  <c r="AY1570" i="2"/>
  <c r="BA1569" i="2"/>
  <c r="AZ1569" i="2"/>
  <c r="AY1569" i="2"/>
  <c r="BA1568" i="2"/>
  <c r="AZ1568" i="2"/>
  <c r="AY1568" i="2"/>
  <c r="BA1567" i="2"/>
  <c r="AZ1567" i="2"/>
  <c r="AY1567" i="2"/>
  <c r="BA1566" i="2"/>
  <c r="AZ1566" i="2"/>
  <c r="AY1566" i="2"/>
  <c r="BA1565" i="2"/>
  <c r="AZ1565" i="2"/>
  <c r="AY1565" i="2"/>
  <c r="BA1564" i="2"/>
  <c r="AZ1564" i="2"/>
  <c r="AY1564" i="2"/>
  <c r="BA1563" i="2"/>
  <c r="AZ1563" i="2"/>
  <c r="AY1563" i="2"/>
  <c r="BA1562" i="2"/>
  <c r="AZ1562" i="2"/>
  <c r="AY1562" i="2"/>
  <c r="BA1561" i="2"/>
  <c r="AZ1561" i="2"/>
  <c r="AY1561" i="2"/>
  <c r="BA1560" i="2"/>
  <c r="AZ1560" i="2"/>
  <c r="AY1560" i="2"/>
  <c r="BA1559" i="2"/>
  <c r="AZ1559" i="2"/>
  <c r="AY1559" i="2"/>
  <c r="BA1558" i="2"/>
  <c r="AZ1558" i="2"/>
  <c r="AY1558" i="2"/>
  <c r="BA1557" i="2"/>
  <c r="AZ1557" i="2"/>
  <c r="AY1557" i="2"/>
  <c r="BA1556" i="2"/>
  <c r="AZ1556" i="2"/>
  <c r="AY1556" i="2"/>
  <c r="BA1555" i="2"/>
  <c r="AZ1555" i="2"/>
  <c r="AY1555" i="2"/>
  <c r="BA1554" i="2"/>
  <c r="AZ1554" i="2"/>
  <c r="AY1554" i="2"/>
  <c r="BA1553" i="2"/>
  <c r="AZ1553" i="2"/>
  <c r="AY1553" i="2"/>
  <c r="BA1552" i="2"/>
  <c r="AZ1552" i="2"/>
  <c r="AY1552" i="2"/>
  <c r="BA1551" i="2"/>
  <c r="AZ1551" i="2"/>
  <c r="AY1551" i="2"/>
  <c r="BA1550" i="2"/>
  <c r="AZ1550" i="2"/>
  <c r="AY1550" i="2"/>
  <c r="BA1549" i="2"/>
  <c r="AZ1549" i="2"/>
  <c r="AY1549" i="2"/>
  <c r="BA1548" i="2"/>
  <c r="AZ1548" i="2"/>
  <c r="AY1548" i="2"/>
  <c r="BA1547" i="2"/>
  <c r="AZ1547" i="2"/>
  <c r="AY1547" i="2"/>
  <c r="BA1546" i="2"/>
  <c r="AZ1546" i="2"/>
  <c r="AY1546" i="2"/>
  <c r="BA1545" i="2"/>
  <c r="AZ1545" i="2"/>
  <c r="AY1545" i="2"/>
  <c r="BA1544" i="2"/>
  <c r="AZ1544" i="2"/>
  <c r="AY1544" i="2"/>
  <c r="BA1543" i="2"/>
  <c r="AZ1543" i="2"/>
  <c r="AY1543" i="2"/>
  <c r="BA1542" i="2"/>
  <c r="AZ1542" i="2"/>
  <c r="AY1542" i="2"/>
  <c r="BA1541" i="2"/>
  <c r="AZ1541" i="2"/>
  <c r="AY1541" i="2"/>
  <c r="BA1540" i="2"/>
  <c r="AZ1540" i="2"/>
  <c r="AY1540" i="2"/>
  <c r="BA1539" i="2"/>
  <c r="AZ1539" i="2"/>
  <c r="AY1539" i="2"/>
  <c r="BA1538" i="2"/>
  <c r="AZ1538" i="2"/>
  <c r="AY1538" i="2"/>
  <c r="BA1537" i="2"/>
  <c r="AZ1537" i="2"/>
  <c r="AY1537" i="2"/>
  <c r="BA1536" i="2"/>
  <c r="AZ1536" i="2"/>
  <c r="AY1536" i="2"/>
  <c r="BA1535" i="2"/>
  <c r="AZ1535" i="2"/>
  <c r="AY1535" i="2"/>
  <c r="BA1534" i="2"/>
  <c r="AZ1534" i="2"/>
  <c r="AY1534" i="2"/>
  <c r="BA1533" i="2"/>
  <c r="AZ1533" i="2"/>
  <c r="AY1533" i="2"/>
  <c r="BA1532" i="2"/>
  <c r="AZ1532" i="2"/>
  <c r="AY1532" i="2"/>
  <c r="BA1531" i="2"/>
  <c r="AZ1531" i="2"/>
  <c r="AY1531" i="2"/>
  <c r="BA1530" i="2"/>
  <c r="AZ1530" i="2"/>
  <c r="AY1530" i="2"/>
  <c r="BA1529" i="2"/>
  <c r="AZ1529" i="2"/>
  <c r="AY1529" i="2"/>
  <c r="BA1528" i="2"/>
  <c r="AZ1528" i="2"/>
  <c r="AY1528" i="2"/>
  <c r="BA1527" i="2"/>
  <c r="AZ1527" i="2"/>
  <c r="AY1527" i="2"/>
  <c r="BA1526" i="2"/>
  <c r="AZ1526" i="2"/>
  <c r="AY1526" i="2"/>
  <c r="BA1525" i="2"/>
  <c r="AZ1525" i="2"/>
  <c r="AY1525" i="2"/>
  <c r="BA1524" i="2"/>
  <c r="AZ1524" i="2"/>
  <c r="AY1524" i="2"/>
  <c r="BA1523" i="2"/>
  <c r="AZ1523" i="2"/>
  <c r="AY1523" i="2"/>
  <c r="BA1522" i="2"/>
  <c r="AZ1522" i="2"/>
  <c r="AY1522" i="2"/>
  <c r="BA1521" i="2"/>
  <c r="AZ1521" i="2"/>
  <c r="AY1521" i="2"/>
  <c r="BA1520" i="2"/>
  <c r="AZ1520" i="2"/>
  <c r="AY1520" i="2"/>
  <c r="BA1519" i="2"/>
  <c r="AZ1519" i="2"/>
  <c r="AY1519" i="2"/>
  <c r="BA1518" i="2"/>
  <c r="AZ1518" i="2"/>
  <c r="AY1518" i="2"/>
  <c r="BA1517" i="2"/>
  <c r="AZ1517" i="2"/>
  <c r="AY1517" i="2"/>
  <c r="BA1516" i="2"/>
  <c r="AZ1516" i="2"/>
  <c r="AY1516" i="2"/>
  <c r="BA1515" i="2"/>
  <c r="AZ1515" i="2"/>
  <c r="AY1515" i="2"/>
  <c r="BA1514" i="2"/>
  <c r="AZ1514" i="2"/>
  <c r="AY1514" i="2"/>
  <c r="BA1513" i="2"/>
  <c r="AZ1513" i="2"/>
  <c r="AY1513" i="2"/>
  <c r="BA1512" i="2"/>
  <c r="AZ1512" i="2"/>
  <c r="AY1512" i="2"/>
  <c r="BA1511" i="2"/>
  <c r="AZ1511" i="2"/>
  <c r="AY1511" i="2"/>
  <c r="BA1510" i="2"/>
  <c r="AZ1510" i="2"/>
  <c r="AY1510" i="2"/>
  <c r="BA1509" i="2"/>
  <c r="AZ1509" i="2"/>
  <c r="AY1509" i="2"/>
  <c r="BA1508" i="2"/>
  <c r="AZ1508" i="2"/>
  <c r="AY1508" i="2"/>
  <c r="BA1507" i="2"/>
  <c r="AZ1507" i="2"/>
  <c r="AY1507" i="2"/>
  <c r="BA1506" i="2"/>
  <c r="AZ1506" i="2"/>
  <c r="AY1506" i="2"/>
  <c r="BA1505" i="2"/>
  <c r="AZ1505" i="2"/>
  <c r="AY1505" i="2"/>
  <c r="BA1504" i="2"/>
  <c r="AZ1504" i="2"/>
  <c r="AY1504" i="2"/>
  <c r="BA1503" i="2"/>
  <c r="AZ1503" i="2"/>
  <c r="AY1503" i="2"/>
  <c r="BA1502" i="2"/>
  <c r="AZ1502" i="2"/>
  <c r="AY1502" i="2"/>
  <c r="BA1501" i="2"/>
  <c r="AZ1501" i="2"/>
  <c r="AY1501" i="2"/>
  <c r="BA1500" i="2"/>
  <c r="AZ1500" i="2"/>
  <c r="AY1500" i="2"/>
  <c r="BA1499" i="2"/>
  <c r="AZ1499" i="2"/>
  <c r="AY1499" i="2"/>
  <c r="BA1498" i="2"/>
  <c r="AZ1498" i="2"/>
  <c r="AY1498" i="2"/>
  <c r="BA1497" i="2"/>
  <c r="AZ1497" i="2"/>
  <c r="AY1497" i="2"/>
  <c r="BA1496" i="2"/>
  <c r="AZ1496" i="2"/>
  <c r="AY1496" i="2"/>
  <c r="BA1495" i="2"/>
  <c r="AZ1495" i="2"/>
  <c r="AY1495" i="2"/>
  <c r="BA1494" i="2"/>
  <c r="AZ1494" i="2"/>
  <c r="AY1494" i="2"/>
  <c r="BA1493" i="2"/>
  <c r="AZ1493" i="2"/>
  <c r="AY1493" i="2"/>
  <c r="BA1492" i="2"/>
  <c r="AZ1492" i="2"/>
  <c r="AY1492" i="2"/>
  <c r="BA1491" i="2"/>
  <c r="AZ1491" i="2"/>
  <c r="AY1491" i="2"/>
  <c r="BA1490" i="2"/>
  <c r="AZ1490" i="2"/>
  <c r="AY1490" i="2"/>
  <c r="BA1489" i="2"/>
  <c r="AZ1489" i="2"/>
  <c r="AY1489" i="2"/>
  <c r="BA1488" i="2"/>
  <c r="AZ1488" i="2"/>
  <c r="AY1488" i="2"/>
  <c r="BA1487" i="2"/>
  <c r="AZ1487" i="2"/>
  <c r="AY1487" i="2"/>
  <c r="BA1486" i="2"/>
  <c r="AZ1486" i="2"/>
  <c r="AY1486" i="2"/>
  <c r="BA1485" i="2"/>
  <c r="AZ1485" i="2"/>
  <c r="AY1485" i="2"/>
  <c r="BA1484" i="2"/>
  <c r="AZ1484" i="2"/>
  <c r="AY1484" i="2"/>
  <c r="BA1483" i="2"/>
  <c r="AZ1483" i="2"/>
  <c r="AY1483" i="2"/>
  <c r="BA1482" i="2"/>
  <c r="AZ1482" i="2"/>
  <c r="AY1482" i="2"/>
  <c r="BA1481" i="2"/>
  <c r="AZ1481" i="2"/>
  <c r="AY1481" i="2"/>
  <c r="BA1480" i="2"/>
  <c r="AZ1480" i="2"/>
  <c r="AY1480" i="2"/>
  <c r="BA1479" i="2"/>
  <c r="AZ1479" i="2"/>
  <c r="AY1479" i="2"/>
  <c r="BA1478" i="2"/>
  <c r="AZ1478" i="2"/>
  <c r="AY1478" i="2"/>
  <c r="BA1477" i="2"/>
  <c r="AZ1477" i="2"/>
  <c r="AY1477" i="2"/>
  <c r="BA1476" i="2"/>
  <c r="AZ1476" i="2"/>
  <c r="AY1476" i="2"/>
  <c r="BA1475" i="2"/>
  <c r="AZ1475" i="2"/>
  <c r="AY1475" i="2"/>
  <c r="BA1474" i="2"/>
  <c r="AZ1474" i="2"/>
  <c r="AY1474" i="2"/>
  <c r="BA1473" i="2"/>
  <c r="AZ1473" i="2"/>
  <c r="AY1473" i="2"/>
  <c r="BA1472" i="2"/>
  <c r="AZ1472" i="2"/>
  <c r="AY1472" i="2"/>
  <c r="BA1471" i="2"/>
  <c r="AZ1471" i="2"/>
  <c r="AY1471" i="2"/>
  <c r="BA1470" i="2"/>
  <c r="AZ1470" i="2"/>
  <c r="AY1470" i="2"/>
  <c r="BA1469" i="2"/>
  <c r="AZ1469" i="2"/>
  <c r="AY1469" i="2"/>
  <c r="BA1468" i="2"/>
  <c r="AZ1468" i="2"/>
  <c r="AY1468" i="2"/>
  <c r="BA1467" i="2"/>
  <c r="AZ1467" i="2"/>
  <c r="AY1467" i="2"/>
  <c r="BA1466" i="2"/>
  <c r="AZ1466" i="2"/>
  <c r="AY1466" i="2"/>
  <c r="BA1465" i="2"/>
  <c r="AZ1465" i="2"/>
  <c r="AY1465" i="2"/>
  <c r="BA1464" i="2"/>
  <c r="AZ1464" i="2"/>
  <c r="AY1464" i="2"/>
  <c r="BA1463" i="2"/>
  <c r="AZ1463" i="2"/>
  <c r="AY1463" i="2"/>
  <c r="BA1462" i="2"/>
  <c r="AZ1462" i="2"/>
  <c r="AY1462" i="2"/>
  <c r="BA1461" i="2"/>
  <c r="AZ1461" i="2"/>
  <c r="AY1461" i="2"/>
  <c r="BA1460" i="2"/>
  <c r="AZ1460" i="2"/>
  <c r="AY1460" i="2"/>
  <c r="BA1459" i="2"/>
  <c r="AZ1459" i="2"/>
  <c r="AY1459" i="2"/>
  <c r="BA1458" i="2"/>
  <c r="AZ1458" i="2"/>
  <c r="AY1458" i="2"/>
  <c r="BA1457" i="2"/>
  <c r="AZ1457" i="2"/>
  <c r="AY1457" i="2"/>
  <c r="BA1456" i="2"/>
  <c r="AZ1456" i="2"/>
  <c r="AY1456" i="2"/>
  <c r="BA1455" i="2"/>
  <c r="AZ1455" i="2"/>
  <c r="AY1455" i="2"/>
  <c r="BA1454" i="2"/>
  <c r="AZ1454" i="2"/>
  <c r="AY1454" i="2"/>
  <c r="BA1453" i="2"/>
  <c r="AZ1453" i="2"/>
  <c r="AY1453" i="2"/>
  <c r="BA1452" i="2"/>
  <c r="AZ1452" i="2"/>
  <c r="AY1452" i="2"/>
  <c r="BA1451" i="2"/>
  <c r="AZ1451" i="2"/>
  <c r="AY1451" i="2"/>
  <c r="BA1450" i="2"/>
  <c r="AZ1450" i="2"/>
  <c r="AY1450" i="2"/>
  <c r="BA1449" i="2"/>
  <c r="AZ1449" i="2"/>
  <c r="AY1449" i="2"/>
  <c r="BA1448" i="2"/>
  <c r="AZ1448" i="2"/>
  <c r="AY1448" i="2"/>
  <c r="BA1447" i="2"/>
  <c r="AZ1447" i="2"/>
  <c r="AY1447" i="2"/>
  <c r="BA1446" i="2"/>
  <c r="AZ1446" i="2"/>
  <c r="AY1446" i="2"/>
  <c r="BA1445" i="2"/>
  <c r="AZ1445" i="2"/>
  <c r="AY1445" i="2"/>
  <c r="BA1444" i="2"/>
  <c r="AZ1444" i="2"/>
  <c r="AY1444" i="2"/>
  <c r="BA1443" i="2"/>
  <c r="AZ1443" i="2"/>
  <c r="AY1443" i="2"/>
  <c r="BA1442" i="2"/>
  <c r="AZ1442" i="2"/>
  <c r="AY1442" i="2"/>
  <c r="BA1441" i="2"/>
  <c r="AZ1441" i="2"/>
  <c r="AY1441" i="2"/>
  <c r="BA1440" i="2"/>
  <c r="AZ1440" i="2"/>
  <c r="AY1440" i="2"/>
  <c r="BA1439" i="2"/>
  <c r="AZ1439" i="2"/>
  <c r="AY1439" i="2"/>
  <c r="BA1438" i="2"/>
  <c r="AZ1438" i="2"/>
  <c r="AY1438" i="2"/>
  <c r="BA1437" i="2"/>
  <c r="AZ1437" i="2"/>
  <c r="AY1437" i="2"/>
  <c r="BA1436" i="2"/>
  <c r="AZ1436" i="2"/>
  <c r="AY1436" i="2"/>
  <c r="BA1435" i="2"/>
  <c r="AZ1435" i="2"/>
  <c r="AY1435" i="2"/>
  <c r="BA1434" i="2"/>
  <c r="AZ1434" i="2"/>
  <c r="AY1434" i="2"/>
  <c r="BA1433" i="2"/>
  <c r="AZ1433" i="2"/>
  <c r="AY1433" i="2"/>
  <c r="BA1432" i="2"/>
  <c r="AZ1432" i="2"/>
  <c r="AY1432" i="2"/>
  <c r="BA1431" i="2"/>
  <c r="AZ1431" i="2"/>
  <c r="AY1431" i="2"/>
  <c r="BA1430" i="2"/>
  <c r="AZ1430" i="2"/>
  <c r="AY1430" i="2"/>
  <c r="BA1429" i="2"/>
  <c r="AZ1429" i="2"/>
  <c r="AY1429" i="2"/>
  <c r="BA1428" i="2"/>
  <c r="AZ1428" i="2"/>
  <c r="AY1428" i="2"/>
  <c r="BA1427" i="2"/>
  <c r="AZ1427" i="2"/>
  <c r="AY1427" i="2"/>
  <c r="BA1426" i="2"/>
  <c r="AZ1426" i="2"/>
  <c r="AY1426" i="2"/>
  <c r="BA1425" i="2"/>
  <c r="AZ1425" i="2"/>
  <c r="AY1425" i="2"/>
  <c r="BA1424" i="2"/>
  <c r="AZ1424" i="2"/>
  <c r="AY1424" i="2"/>
  <c r="BA1423" i="2"/>
  <c r="AZ1423" i="2"/>
  <c r="AY1423" i="2"/>
  <c r="BA1422" i="2"/>
  <c r="AZ1422" i="2"/>
  <c r="AY1422" i="2"/>
  <c r="BA1421" i="2"/>
  <c r="AZ1421" i="2"/>
  <c r="AY1421" i="2"/>
  <c r="BA1420" i="2"/>
  <c r="AZ1420" i="2"/>
  <c r="AY1420" i="2"/>
  <c r="BA1419" i="2"/>
  <c r="AZ1419" i="2"/>
  <c r="AY1419" i="2"/>
  <c r="BA1418" i="2"/>
  <c r="AZ1418" i="2"/>
  <c r="AY1418" i="2"/>
  <c r="BA1417" i="2"/>
  <c r="AZ1417" i="2"/>
  <c r="AY1417" i="2"/>
  <c r="BA1416" i="2"/>
  <c r="AZ1416" i="2"/>
  <c r="AY1416" i="2"/>
  <c r="BA1415" i="2"/>
  <c r="AZ1415" i="2"/>
  <c r="AY1415" i="2"/>
  <c r="BA1414" i="2"/>
  <c r="AZ1414" i="2"/>
  <c r="AY1414" i="2"/>
  <c r="BA1413" i="2"/>
  <c r="AZ1413" i="2"/>
  <c r="AY1413" i="2"/>
  <c r="BA1412" i="2"/>
  <c r="AZ1412" i="2"/>
  <c r="AY1412" i="2"/>
  <c r="BA1411" i="2"/>
  <c r="AZ1411" i="2"/>
  <c r="AY1411" i="2"/>
  <c r="BA1410" i="2"/>
  <c r="AZ1410" i="2"/>
  <c r="AY1410" i="2"/>
  <c r="BA1409" i="2"/>
  <c r="AZ1409" i="2"/>
  <c r="AY1409" i="2"/>
  <c r="BA1408" i="2"/>
  <c r="AZ1408" i="2"/>
  <c r="AY1408" i="2"/>
  <c r="BA1407" i="2"/>
  <c r="AZ1407" i="2"/>
  <c r="AY1407" i="2"/>
  <c r="BA1406" i="2"/>
  <c r="AZ1406" i="2"/>
  <c r="AY1406" i="2"/>
  <c r="BA1405" i="2"/>
  <c r="AZ1405" i="2"/>
  <c r="AY1405" i="2"/>
  <c r="BA1404" i="2"/>
  <c r="AZ1404" i="2"/>
  <c r="AY1404" i="2"/>
  <c r="BA1403" i="2"/>
  <c r="AZ1403" i="2"/>
  <c r="AY1403" i="2"/>
  <c r="BA1402" i="2"/>
  <c r="AZ1402" i="2"/>
  <c r="AY1402" i="2"/>
  <c r="BA1401" i="2"/>
  <c r="AZ1401" i="2"/>
  <c r="AY1401" i="2"/>
  <c r="BA1400" i="2"/>
  <c r="AZ1400" i="2"/>
  <c r="AY1400" i="2"/>
  <c r="BA1399" i="2"/>
  <c r="AZ1399" i="2"/>
  <c r="AY1399" i="2"/>
  <c r="BA1398" i="2"/>
  <c r="AZ1398" i="2"/>
  <c r="AY1398" i="2"/>
  <c r="BA1397" i="2"/>
  <c r="AZ1397" i="2"/>
  <c r="AY1397" i="2"/>
  <c r="BA1396" i="2"/>
  <c r="AZ1396" i="2"/>
  <c r="AY1396" i="2"/>
  <c r="BA1395" i="2"/>
  <c r="AZ1395" i="2"/>
  <c r="AY1395" i="2"/>
  <c r="BA1394" i="2"/>
  <c r="AZ1394" i="2"/>
  <c r="AY1394" i="2"/>
  <c r="BA1393" i="2"/>
  <c r="AZ1393" i="2"/>
  <c r="AY1393" i="2"/>
  <c r="BA1392" i="2"/>
  <c r="AZ1392" i="2"/>
  <c r="AY1392" i="2"/>
  <c r="BA1391" i="2"/>
  <c r="AZ1391" i="2"/>
  <c r="AY1391" i="2"/>
  <c r="BA1390" i="2"/>
  <c r="AZ1390" i="2"/>
  <c r="AY1390" i="2"/>
  <c r="BA1389" i="2"/>
  <c r="AZ1389" i="2"/>
  <c r="AY1389" i="2"/>
  <c r="BA1388" i="2"/>
  <c r="AZ1388" i="2"/>
  <c r="AY1388" i="2"/>
  <c r="BA1387" i="2"/>
  <c r="AZ1387" i="2"/>
  <c r="AY1387" i="2"/>
  <c r="BA1386" i="2"/>
  <c r="AZ1386" i="2"/>
  <c r="AY1386" i="2"/>
  <c r="BA1385" i="2"/>
  <c r="AZ1385" i="2"/>
  <c r="AY1385" i="2"/>
  <c r="BA1384" i="2"/>
  <c r="AZ1384" i="2"/>
  <c r="AY1384" i="2"/>
  <c r="BA1383" i="2"/>
  <c r="AZ1383" i="2"/>
  <c r="AY1383" i="2"/>
  <c r="BA1382" i="2"/>
  <c r="AZ1382" i="2"/>
  <c r="AY1382" i="2"/>
  <c r="BA1381" i="2"/>
  <c r="AZ1381" i="2"/>
  <c r="AY1381" i="2"/>
  <c r="BA1380" i="2"/>
  <c r="AZ1380" i="2"/>
  <c r="AY1380" i="2"/>
  <c r="BA1379" i="2"/>
  <c r="AZ1379" i="2"/>
  <c r="AY1379" i="2"/>
  <c r="BA1378" i="2"/>
  <c r="AZ1378" i="2"/>
  <c r="AY1378" i="2"/>
  <c r="BA1377" i="2"/>
  <c r="AZ1377" i="2"/>
  <c r="AY1377" i="2"/>
  <c r="BA1376" i="2"/>
  <c r="AZ1376" i="2"/>
  <c r="AY1376" i="2"/>
  <c r="BA1375" i="2"/>
  <c r="AZ1375" i="2"/>
  <c r="AY1375" i="2"/>
  <c r="BA1374" i="2"/>
  <c r="AZ1374" i="2"/>
  <c r="AY1374" i="2"/>
  <c r="BA1373" i="2"/>
  <c r="AZ1373" i="2"/>
  <c r="AY1373" i="2"/>
  <c r="BA1372" i="2"/>
  <c r="AZ1372" i="2"/>
  <c r="AY1372" i="2"/>
  <c r="BA1371" i="2"/>
  <c r="AZ1371" i="2"/>
  <c r="AY1371" i="2"/>
  <c r="BA1370" i="2"/>
  <c r="AZ1370" i="2"/>
  <c r="AY1370" i="2"/>
  <c r="BA1369" i="2"/>
  <c r="AZ1369" i="2"/>
  <c r="AY1369" i="2"/>
  <c r="BA1368" i="2"/>
  <c r="AZ1368" i="2"/>
  <c r="AY1368" i="2"/>
  <c r="BA1367" i="2"/>
  <c r="AZ1367" i="2"/>
  <c r="AY1367" i="2"/>
  <c r="BA1366" i="2"/>
  <c r="AZ1366" i="2"/>
  <c r="AY1366" i="2"/>
  <c r="BA1365" i="2"/>
  <c r="AZ1365" i="2"/>
  <c r="AY1365" i="2"/>
  <c r="BA1364" i="2"/>
  <c r="AZ1364" i="2"/>
  <c r="AY1364" i="2"/>
  <c r="BA1363" i="2"/>
  <c r="AZ1363" i="2"/>
  <c r="AY1363" i="2"/>
  <c r="BA1362" i="2"/>
  <c r="AZ1362" i="2"/>
  <c r="AY1362" i="2"/>
  <c r="BA1361" i="2"/>
  <c r="AZ1361" i="2"/>
  <c r="AY1361" i="2"/>
  <c r="BA1360" i="2"/>
  <c r="AZ1360" i="2"/>
  <c r="AY1360" i="2"/>
  <c r="BA1359" i="2"/>
  <c r="AZ1359" i="2"/>
  <c r="AY1359" i="2"/>
  <c r="BA1358" i="2"/>
  <c r="AZ1358" i="2"/>
  <c r="AY1358" i="2"/>
  <c r="BA1357" i="2"/>
  <c r="AZ1357" i="2"/>
  <c r="AY1357" i="2"/>
  <c r="BA1356" i="2"/>
  <c r="AZ1356" i="2"/>
  <c r="AY1356" i="2"/>
  <c r="BA1355" i="2"/>
  <c r="AZ1355" i="2"/>
  <c r="AY1355" i="2"/>
  <c r="BA1354" i="2"/>
  <c r="AZ1354" i="2"/>
  <c r="AY1354" i="2"/>
  <c r="BA1353" i="2"/>
  <c r="AZ1353" i="2"/>
  <c r="AY1353" i="2"/>
  <c r="BA1352" i="2"/>
  <c r="AZ1352" i="2"/>
  <c r="AY1352" i="2"/>
  <c r="BA1351" i="2"/>
  <c r="AZ1351" i="2"/>
  <c r="AY1351" i="2"/>
  <c r="BA1350" i="2"/>
  <c r="AZ1350" i="2"/>
  <c r="AY1350" i="2"/>
  <c r="BA1349" i="2"/>
  <c r="AZ1349" i="2"/>
  <c r="AY1349" i="2"/>
  <c r="BA1348" i="2"/>
  <c r="AZ1348" i="2"/>
  <c r="AY1348" i="2"/>
  <c r="BA1347" i="2"/>
  <c r="AZ1347" i="2"/>
  <c r="AY1347" i="2"/>
  <c r="BA1346" i="2"/>
  <c r="AZ1346" i="2"/>
  <c r="AY1346" i="2"/>
  <c r="BA1345" i="2"/>
  <c r="AZ1345" i="2"/>
  <c r="AY1345" i="2"/>
  <c r="BA1344" i="2"/>
  <c r="AZ1344" i="2"/>
  <c r="AY1344" i="2"/>
  <c r="BA1343" i="2"/>
  <c r="AZ1343" i="2"/>
  <c r="AY1343" i="2"/>
  <c r="BA1342" i="2"/>
  <c r="AZ1342" i="2"/>
  <c r="AY1342" i="2"/>
  <c r="BA1341" i="2"/>
  <c r="AZ1341" i="2"/>
  <c r="AY1341" i="2"/>
  <c r="BA1340" i="2"/>
  <c r="AZ1340" i="2"/>
  <c r="AY1340" i="2"/>
  <c r="BA1339" i="2"/>
  <c r="AZ1339" i="2"/>
  <c r="AY1339" i="2"/>
  <c r="BA1338" i="2"/>
  <c r="AZ1338" i="2"/>
  <c r="AY1338" i="2"/>
  <c r="BA1337" i="2"/>
  <c r="AZ1337" i="2"/>
  <c r="AY1337" i="2"/>
  <c r="BA1336" i="2"/>
  <c r="AZ1336" i="2"/>
  <c r="AY1336" i="2"/>
  <c r="BA1335" i="2"/>
  <c r="AZ1335" i="2"/>
  <c r="AY1335" i="2"/>
  <c r="BA1334" i="2"/>
  <c r="AZ1334" i="2"/>
  <c r="AY1334" i="2"/>
  <c r="BA1333" i="2"/>
  <c r="AZ1333" i="2"/>
  <c r="AY1333" i="2"/>
  <c r="BA1332" i="2"/>
  <c r="AZ1332" i="2"/>
  <c r="AY1332" i="2"/>
  <c r="BA1331" i="2"/>
  <c r="AZ1331" i="2"/>
  <c r="AY1331" i="2"/>
  <c r="BA1330" i="2"/>
  <c r="AZ1330" i="2"/>
  <c r="AY1330" i="2"/>
  <c r="BA1329" i="2"/>
  <c r="AZ1329" i="2"/>
  <c r="AY1329" i="2"/>
  <c r="BA1328" i="2"/>
  <c r="AZ1328" i="2"/>
  <c r="AY1328" i="2"/>
  <c r="BA1327" i="2"/>
  <c r="AZ1327" i="2"/>
  <c r="AY1327" i="2"/>
  <c r="BA1326" i="2"/>
  <c r="AZ1326" i="2"/>
  <c r="AY1326" i="2"/>
  <c r="BA1325" i="2"/>
  <c r="AZ1325" i="2"/>
  <c r="AY1325" i="2"/>
  <c r="BA1324" i="2"/>
  <c r="AZ1324" i="2"/>
  <c r="AY1324" i="2"/>
  <c r="BA1323" i="2"/>
  <c r="AZ1323" i="2"/>
  <c r="AY1323" i="2"/>
  <c r="BA1322" i="2"/>
  <c r="AZ1322" i="2"/>
  <c r="AY1322" i="2"/>
  <c r="BA1321" i="2"/>
  <c r="AZ1321" i="2"/>
  <c r="AY1321" i="2"/>
  <c r="BA1320" i="2"/>
  <c r="AZ1320" i="2"/>
  <c r="AY1320" i="2"/>
  <c r="BA1319" i="2"/>
  <c r="AZ1319" i="2"/>
  <c r="AY1319" i="2"/>
  <c r="BA1318" i="2"/>
  <c r="AZ1318" i="2"/>
  <c r="AY1318" i="2"/>
  <c r="BA1317" i="2"/>
  <c r="AZ1317" i="2"/>
  <c r="AY1317" i="2"/>
  <c r="BA1316" i="2"/>
  <c r="AZ1316" i="2"/>
  <c r="AY1316" i="2"/>
  <c r="BA1315" i="2"/>
  <c r="AZ1315" i="2"/>
  <c r="AY1315" i="2"/>
  <c r="BA1314" i="2"/>
  <c r="AZ1314" i="2"/>
  <c r="AY1314" i="2"/>
  <c r="BA1313" i="2"/>
  <c r="AZ1313" i="2"/>
  <c r="AY1313" i="2"/>
  <c r="BA1312" i="2"/>
  <c r="AZ1312" i="2"/>
  <c r="AY1312" i="2"/>
  <c r="BA1311" i="2"/>
  <c r="AZ1311" i="2"/>
  <c r="AY1311" i="2"/>
  <c r="BA1310" i="2"/>
  <c r="AZ1310" i="2"/>
  <c r="AY1310" i="2"/>
  <c r="BA1309" i="2"/>
  <c r="AZ1309" i="2"/>
  <c r="AY1309" i="2"/>
  <c r="BA1308" i="2"/>
  <c r="AZ1308" i="2"/>
  <c r="AY1308" i="2"/>
  <c r="BA1307" i="2"/>
  <c r="AZ1307" i="2"/>
  <c r="AY1307" i="2"/>
  <c r="BA1306" i="2"/>
  <c r="AZ1306" i="2"/>
  <c r="AY1306" i="2"/>
  <c r="BA1305" i="2"/>
  <c r="AZ1305" i="2"/>
  <c r="AY1305" i="2"/>
  <c r="BA1304" i="2"/>
  <c r="AZ1304" i="2"/>
  <c r="AY1304" i="2"/>
  <c r="BA1303" i="2"/>
  <c r="AZ1303" i="2"/>
  <c r="AY1303" i="2"/>
  <c r="BA1302" i="2"/>
  <c r="AZ1302" i="2"/>
  <c r="AY1302" i="2"/>
  <c r="BA1301" i="2"/>
  <c r="AZ1301" i="2"/>
  <c r="AY1301" i="2"/>
  <c r="BA1300" i="2"/>
  <c r="AZ1300" i="2"/>
  <c r="AY1300" i="2"/>
  <c r="BA1299" i="2"/>
  <c r="AZ1299" i="2"/>
  <c r="AY1299" i="2"/>
  <c r="BA1298" i="2"/>
  <c r="AZ1298" i="2"/>
  <c r="AY1298" i="2"/>
  <c r="BA1297" i="2"/>
  <c r="AZ1297" i="2"/>
  <c r="AY1297" i="2"/>
  <c r="BA1296" i="2"/>
  <c r="AZ1296" i="2"/>
  <c r="AY1296" i="2"/>
  <c r="BA1295" i="2"/>
  <c r="AZ1295" i="2"/>
  <c r="AY1295" i="2"/>
  <c r="BA1294" i="2"/>
  <c r="AZ1294" i="2"/>
  <c r="AY1294" i="2"/>
  <c r="BA1293" i="2"/>
  <c r="AZ1293" i="2"/>
  <c r="AY1293" i="2"/>
  <c r="BA1292" i="2"/>
  <c r="AZ1292" i="2"/>
  <c r="AY1292" i="2"/>
  <c r="BA1291" i="2"/>
  <c r="AZ1291" i="2"/>
  <c r="AY1291" i="2"/>
  <c r="BA1290" i="2"/>
  <c r="AZ1290" i="2"/>
  <c r="AY1290" i="2"/>
  <c r="BA1289" i="2"/>
  <c r="AZ1289" i="2"/>
  <c r="AY1289" i="2"/>
  <c r="BA1288" i="2"/>
  <c r="AZ1288" i="2"/>
  <c r="AY1288" i="2"/>
  <c r="BA1287" i="2"/>
  <c r="AZ1287" i="2"/>
  <c r="AY1287" i="2"/>
  <c r="BA1286" i="2"/>
  <c r="AZ1286" i="2"/>
  <c r="AY1286" i="2"/>
  <c r="BA1285" i="2"/>
  <c r="AZ1285" i="2"/>
  <c r="AY1285" i="2"/>
  <c r="BA1284" i="2"/>
  <c r="AZ1284" i="2"/>
  <c r="AY1284" i="2"/>
  <c r="BA1283" i="2"/>
  <c r="AZ1283" i="2"/>
  <c r="AY1283" i="2"/>
  <c r="BA1282" i="2"/>
  <c r="AZ1282" i="2"/>
  <c r="AY1282" i="2"/>
  <c r="BA1281" i="2"/>
  <c r="AZ1281" i="2"/>
  <c r="AY1281" i="2"/>
  <c r="BA1280" i="2"/>
  <c r="AZ1280" i="2"/>
  <c r="AY1280" i="2"/>
  <c r="BA1279" i="2"/>
  <c r="AZ1279" i="2"/>
  <c r="AY1279" i="2"/>
  <c r="BA1278" i="2"/>
  <c r="AZ1278" i="2"/>
  <c r="AY1278" i="2"/>
  <c r="BA1277" i="2"/>
  <c r="AZ1277" i="2"/>
  <c r="AY1277" i="2"/>
  <c r="BA1276" i="2"/>
  <c r="AZ1276" i="2"/>
  <c r="AY1276" i="2"/>
  <c r="BA1275" i="2"/>
  <c r="AZ1275" i="2"/>
  <c r="AY1275" i="2"/>
  <c r="BA1274" i="2"/>
  <c r="AZ1274" i="2"/>
  <c r="AY1274" i="2"/>
  <c r="BA1273" i="2"/>
  <c r="AZ1273" i="2"/>
  <c r="AY1273" i="2"/>
  <c r="BA1272" i="2"/>
  <c r="AZ1272" i="2"/>
  <c r="AY1272" i="2"/>
  <c r="BA1271" i="2"/>
  <c r="AZ1271" i="2"/>
  <c r="AY1271" i="2"/>
  <c r="BA1270" i="2"/>
  <c r="AZ1270" i="2"/>
  <c r="AY1270" i="2"/>
  <c r="BA1269" i="2"/>
  <c r="AZ1269" i="2"/>
  <c r="AY1269" i="2"/>
  <c r="BA1268" i="2"/>
  <c r="AZ1268" i="2"/>
  <c r="AY1268" i="2"/>
  <c r="BA1267" i="2"/>
  <c r="AZ1267" i="2"/>
  <c r="AY1267" i="2"/>
  <c r="BA1266" i="2"/>
  <c r="AZ1266" i="2"/>
  <c r="AY1266" i="2"/>
  <c r="BA1265" i="2"/>
  <c r="AZ1265" i="2"/>
  <c r="AY1265" i="2"/>
  <c r="BA1264" i="2"/>
  <c r="AZ1264" i="2"/>
  <c r="AY1264" i="2"/>
  <c r="BA1263" i="2"/>
  <c r="AZ1263" i="2"/>
  <c r="AY1263" i="2"/>
  <c r="BA1262" i="2"/>
  <c r="AZ1262" i="2"/>
  <c r="AY1262" i="2"/>
  <c r="BA1261" i="2"/>
  <c r="AZ1261" i="2"/>
  <c r="AY1261" i="2"/>
  <c r="BA1260" i="2"/>
  <c r="AZ1260" i="2"/>
  <c r="AY1260" i="2"/>
  <c r="BA1259" i="2"/>
  <c r="AZ1259" i="2"/>
  <c r="AY1259" i="2"/>
  <c r="BA1258" i="2"/>
  <c r="AZ1258" i="2"/>
  <c r="AY1258" i="2"/>
  <c r="BA1257" i="2"/>
  <c r="AZ1257" i="2"/>
  <c r="AY1257" i="2"/>
  <c r="BA1256" i="2"/>
  <c r="AZ1256" i="2"/>
  <c r="AY1256" i="2"/>
  <c r="BA1255" i="2"/>
  <c r="AZ1255" i="2"/>
  <c r="AY1255" i="2"/>
  <c r="BA1254" i="2"/>
  <c r="AZ1254" i="2"/>
  <c r="AY1254" i="2"/>
  <c r="BA1253" i="2"/>
  <c r="AZ1253" i="2"/>
  <c r="AY1253" i="2"/>
  <c r="BA1252" i="2"/>
  <c r="AZ1252" i="2"/>
  <c r="AY1252" i="2"/>
  <c r="BA1251" i="2"/>
  <c r="AZ1251" i="2"/>
  <c r="AY1251" i="2"/>
  <c r="BA1250" i="2"/>
  <c r="AZ1250" i="2"/>
  <c r="AY1250" i="2"/>
  <c r="BA1249" i="2"/>
  <c r="AZ1249" i="2"/>
  <c r="AY1249" i="2"/>
  <c r="BA1248" i="2"/>
  <c r="AZ1248" i="2"/>
  <c r="AY1248" i="2"/>
  <c r="BA1247" i="2"/>
  <c r="AZ1247" i="2"/>
  <c r="AY1247" i="2"/>
  <c r="BA1246" i="2"/>
  <c r="AZ1246" i="2"/>
  <c r="AY1246" i="2"/>
  <c r="BA1245" i="2"/>
  <c r="AZ1245" i="2"/>
  <c r="AY1245" i="2"/>
  <c r="BA1244" i="2"/>
  <c r="AZ1244" i="2"/>
  <c r="AY1244" i="2"/>
  <c r="BA1243" i="2"/>
  <c r="AZ1243" i="2"/>
  <c r="AY1243" i="2"/>
  <c r="BA1242" i="2"/>
  <c r="AZ1242" i="2"/>
  <c r="AY1242" i="2"/>
  <c r="BA1241" i="2"/>
  <c r="AZ1241" i="2"/>
  <c r="AY1241" i="2"/>
  <c r="BA1240" i="2"/>
  <c r="AZ1240" i="2"/>
  <c r="AY1240" i="2"/>
  <c r="BA1239" i="2"/>
  <c r="AZ1239" i="2"/>
  <c r="AY1239" i="2"/>
  <c r="BA1238" i="2"/>
  <c r="AZ1238" i="2"/>
  <c r="AY1238" i="2"/>
  <c r="BA1237" i="2"/>
  <c r="AZ1237" i="2"/>
  <c r="AY1237" i="2"/>
  <c r="BA1236" i="2"/>
  <c r="AZ1236" i="2"/>
  <c r="AY1236" i="2"/>
  <c r="BA1235" i="2"/>
  <c r="AZ1235" i="2"/>
  <c r="AY1235" i="2"/>
  <c r="BA1234" i="2"/>
  <c r="AZ1234" i="2"/>
  <c r="AY1234" i="2"/>
  <c r="BA1233" i="2"/>
  <c r="AZ1233" i="2"/>
  <c r="AY1233" i="2"/>
  <c r="BA1232" i="2"/>
  <c r="AZ1232" i="2"/>
  <c r="AY1232" i="2"/>
  <c r="BA1231" i="2"/>
  <c r="AZ1231" i="2"/>
  <c r="AY1231" i="2"/>
  <c r="BA1230" i="2"/>
  <c r="AZ1230" i="2"/>
  <c r="AY1230" i="2"/>
  <c r="BA1229" i="2"/>
  <c r="AZ1229" i="2"/>
  <c r="AY1229" i="2"/>
  <c r="BA1228" i="2"/>
  <c r="AZ1228" i="2"/>
  <c r="AY1228" i="2"/>
  <c r="BA1227" i="2"/>
  <c r="AZ1227" i="2"/>
  <c r="AY1227" i="2"/>
  <c r="BA1226" i="2"/>
  <c r="AZ1226" i="2"/>
  <c r="AY1226" i="2"/>
  <c r="BA1225" i="2"/>
  <c r="AZ1225" i="2"/>
  <c r="AY1225" i="2"/>
  <c r="BA1224" i="2"/>
  <c r="AZ1224" i="2"/>
  <c r="AY1224" i="2"/>
  <c r="BA1223" i="2"/>
  <c r="AZ1223" i="2"/>
  <c r="AY1223" i="2"/>
  <c r="BA1222" i="2"/>
  <c r="AZ1222" i="2"/>
  <c r="AY1222" i="2"/>
  <c r="BA1221" i="2"/>
  <c r="AZ1221" i="2"/>
  <c r="AY1221" i="2"/>
  <c r="BA1220" i="2"/>
  <c r="AZ1220" i="2"/>
  <c r="AY1220" i="2"/>
  <c r="BA1219" i="2"/>
  <c r="AZ1219" i="2"/>
  <c r="AY1219" i="2"/>
  <c r="BA1218" i="2"/>
  <c r="AZ1218" i="2"/>
  <c r="AY1218" i="2"/>
  <c r="BA1217" i="2"/>
  <c r="AZ1217" i="2"/>
  <c r="AY1217" i="2"/>
  <c r="BA1216" i="2"/>
  <c r="AZ1216" i="2"/>
  <c r="AY1216" i="2"/>
  <c r="BA1215" i="2"/>
  <c r="AZ1215" i="2"/>
  <c r="AY1215" i="2"/>
  <c r="BA1214" i="2"/>
  <c r="AZ1214" i="2"/>
  <c r="AY1214" i="2"/>
  <c r="BA1213" i="2"/>
  <c r="AZ1213" i="2"/>
  <c r="AY1213" i="2"/>
  <c r="BA1212" i="2"/>
  <c r="AZ1212" i="2"/>
  <c r="AY1212" i="2"/>
  <c r="BA1211" i="2"/>
  <c r="AZ1211" i="2"/>
  <c r="AY1211" i="2"/>
  <c r="BA1210" i="2"/>
  <c r="AZ1210" i="2"/>
  <c r="AY1210" i="2"/>
  <c r="BA1209" i="2"/>
  <c r="AZ1209" i="2"/>
  <c r="AY1209" i="2"/>
  <c r="BA1208" i="2"/>
  <c r="AZ1208" i="2"/>
  <c r="AY1208" i="2"/>
  <c r="BA1207" i="2"/>
  <c r="AZ1207" i="2"/>
  <c r="AY1207" i="2"/>
  <c r="BA1206" i="2"/>
  <c r="AZ1206" i="2"/>
  <c r="AY1206" i="2"/>
  <c r="BA1205" i="2"/>
  <c r="AZ1205" i="2"/>
  <c r="AY1205" i="2"/>
  <c r="BA1204" i="2"/>
  <c r="AZ1204" i="2"/>
  <c r="AY1204" i="2"/>
  <c r="BA1203" i="2"/>
  <c r="AZ1203" i="2"/>
  <c r="AY1203" i="2"/>
  <c r="BA1202" i="2"/>
  <c r="AZ1202" i="2"/>
  <c r="AY1202" i="2"/>
  <c r="BA1201" i="2"/>
  <c r="AZ1201" i="2"/>
  <c r="AY1201" i="2"/>
  <c r="BA1200" i="2"/>
  <c r="AZ1200" i="2"/>
  <c r="AY1200" i="2"/>
  <c r="BA1199" i="2"/>
  <c r="AZ1199" i="2"/>
  <c r="AY1199" i="2"/>
  <c r="BA1198" i="2"/>
  <c r="AZ1198" i="2"/>
  <c r="AY1198" i="2"/>
  <c r="BA1197" i="2"/>
  <c r="AZ1197" i="2"/>
  <c r="AY1197" i="2"/>
  <c r="BA1196" i="2"/>
  <c r="AZ1196" i="2"/>
  <c r="AY1196" i="2"/>
  <c r="BA1195" i="2"/>
  <c r="AZ1195" i="2"/>
  <c r="AY1195" i="2"/>
  <c r="BA1194" i="2"/>
  <c r="AZ1194" i="2"/>
  <c r="AY1194" i="2"/>
  <c r="BA1193" i="2"/>
  <c r="AZ1193" i="2"/>
  <c r="AY1193" i="2"/>
  <c r="BA1192" i="2"/>
  <c r="AZ1192" i="2"/>
  <c r="AY1192" i="2"/>
  <c r="BA1191" i="2"/>
  <c r="AZ1191" i="2"/>
  <c r="AY1191" i="2"/>
  <c r="BA1190" i="2"/>
  <c r="AZ1190" i="2"/>
  <c r="AY1190" i="2"/>
  <c r="BA1189" i="2"/>
  <c r="AZ1189" i="2"/>
  <c r="AY1189" i="2"/>
  <c r="BA1188" i="2"/>
  <c r="AZ1188" i="2"/>
  <c r="AY1188" i="2"/>
  <c r="BA1187" i="2"/>
  <c r="AZ1187" i="2"/>
  <c r="AY1187" i="2"/>
  <c r="BA1186" i="2"/>
  <c r="AZ1186" i="2"/>
  <c r="AY1186" i="2"/>
  <c r="BA1185" i="2"/>
  <c r="AZ1185" i="2"/>
  <c r="AY1185" i="2"/>
  <c r="BA1184" i="2"/>
  <c r="AZ1184" i="2"/>
  <c r="AY1184" i="2"/>
  <c r="BA1183" i="2"/>
  <c r="AZ1183" i="2"/>
  <c r="AY1183" i="2"/>
  <c r="BA1182" i="2"/>
  <c r="AZ1182" i="2"/>
  <c r="AY1182" i="2"/>
  <c r="BA1181" i="2"/>
  <c r="AZ1181" i="2"/>
  <c r="AY1181" i="2"/>
  <c r="BA1180" i="2"/>
  <c r="AZ1180" i="2"/>
  <c r="AY1180" i="2"/>
  <c r="BA1179" i="2"/>
  <c r="AZ1179" i="2"/>
  <c r="AY1179" i="2"/>
  <c r="BA1178" i="2"/>
  <c r="AZ1178" i="2"/>
  <c r="AY1178" i="2"/>
  <c r="BA1177" i="2"/>
  <c r="AZ1177" i="2"/>
  <c r="AY1177" i="2"/>
  <c r="BA1176" i="2"/>
  <c r="AZ1176" i="2"/>
  <c r="AY1176" i="2"/>
  <c r="BA1175" i="2"/>
  <c r="AZ1175" i="2"/>
  <c r="AY1175" i="2"/>
  <c r="BA1174" i="2"/>
  <c r="AZ1174" i="2"/>
  <c r="AY1174" i="2"/>
  <c r="BA1173" i="2"/>
  <c r="AZ1173" i="2"/>
  <c r="AY1173" i="2"/>
  <c r="BA1172" i="2"/>
  <c r="AZ1172" i="2"/>
  <c r="AY1172" i="2"/>
  <c r="BA1171" i="2"/>
  <c r="AZ1171" i="2"/>
  <c r="AY1171" i="2"/>
  <c r="BA1170" i="2"/>
  <c r="AZ1170" i="2"/>
  <c r="AY1170" i="2"/>
  <c r="BA1169" i="2"/>
  <c r="AZ1169" i="2"/>
  <c r="AY1169" i="2"/>
  <c r="BA1168" i="2"/>
  <c r="AZ1168" i="2"/>
  <c r="AY1168" i="2"/>
  <c r="BA1167" i="2"/>
  <c r="AZ1167" i="2"/>
  <c r="AY1167" i="2"/>
  <c r="BA1166" i="2"/>
  <c r="AZ1166" i="2"/>
  <c r="AY1166" i="2"/>
  <c r="BA1165" i="2"/>
  <c r="AZ1165" i="2"/>
  <c r="AY1165" i="2"/>
  <c r="BA1164" i="2"/>
  <c r="AZ1164" i="2"/>
  <c r="AY1164" i="2"/>
  <c r="BA1163" i="2"/>
  <c r="AZ1163" i="2"/>
  <c r="AY1163" i="2"/>
  <c r="BA1162" i="2"/>
  <c r="AZ1162" i="2"/>
  <c r="AY1162" i="2"/>
  <c r="BA1161" i="2"/>
  <c r="AZ1161" i="2"/>
  <c r="AY1161" i="2"/>
  <c r="BA1160" i="2"/>
  <c r="AZ1160" i="2"/>
  <c r="AY1160" i="2"/>
  <c r="BA1159" i="2"/>
  <c r="AZ1159" i="2"/>
  <c r="AY1159" i="2"/>
  <c r="BA1158" i="2"/>
  <c r="AZ1158" i="2"/>
  <c r="AY1158" i="2"/>
  <c r="BA1157" i="2"/>
  <c r="AZ1157" i="2"/>
  <c r="AY1157" i="2"/>
  <c r="BA1156" i="2"/>
  <c r="AZ1156" i="2"/>
  <c r="AY1156" i="2"/>
  <c r="BA1155" i="2"/>
  <c r="AZ1155" i="2"/>
  <c r="AY1155" i="2"/>
  <c r="BA1154" i="2"/>
  <c r="AZ1154" i="2"/>
  <c r="AY1154" i="2"/>
  <c r="BA1153" i="2"/>
  <c r="AZ1153" i="2"/>
  <c r="AY1153" i="2"/>
  <c r="BA1152" i="2"/>
  <c r="AZ1152" i="2"/>
  <c r="AY1152" i="2"/>
  <c r="BA1151" i="2"/>
  <c r="AZ1151" i="2"/>
  <c r="AY1151" i="2"/>
  <c r="BA1150" i="2"/>
  <c r="AZ1150" i="2"/>
  <c r="AY1150" i="2"/>
  <c r="BA1149" i="2"/>
  <c r="AZ1149" i="2"/>
  <c r="AY1149" i="2"/>
  <c r="BA1148" i="2"/>
  <c r="AZ1148" i="2"/>
  <c r="AY1148" i="2"/>
  <c r="BA1147" i="2"/>
  <c r="AZ1147" i="2"/>
  <c r="AY1147" i="2"/>
  <c r="BA1146" i="2"/>
  <c r="AZ1146" i="2"/>
  <c r="AY1146" i="2"/>
  <c r="BA1145" i="2"/>
  <c r="AZ1145" i="2"/>
  <c r="AY1145" i="2"/>
  <c r="BA1144" i="2"/>
  <c r="AZ1144" i="2"/>
  <c r="AY1144" i="2"/>
  <c r="BA1143" i="2"/>
  <c r="AZ1143" i="2"/>
  <c r="AY1143" i="2"/>
  <c r="BA1142" i="2"/>
  <c r="AZ1142" i="2"/>
  <c r="AY1142" i="2"/>
  <c r="BA1141" i="2"/>
  <c r="AZ1141" i="2"/>
  <c r="AY1141" i="2"/>
  <c r="BA1140" i="2"/>
  <c r="AZ1140" i="2"/>
  <c r="AY1140" i="2"/>
  <c r="BA1139" i="2"/>
  <c r="AZ1139" i="2"/>
  <c r="AY1139" i="2"/>
  <c r="BA1138" i="2"/>
  <c r="AZ1138" i="2"/>
  <c r="AY1138" i="2"/>
  <c r="BA1137" i="2"/>
  <c r="AZ1137" i="2"/>
  <c r="AY1137" i="2"/>
  <c r="BA1136" i="2"/>
  <c r="AZ1136" i="2"/>
  <c r="AY1136" i="2"/>
  <c r="BA1135" i="2"/>
  <c r="AZ1135" i="2"/>
  <c r="AY1135" i="2"/>
  <c r="BA1134" i="2"/>
  <c r="AZ1134" i="2"/>
  <c r="AY1134" i="2"/>
  <c r="BA1133" i="2"/>
  <c r="AZ1133" i="2"/>
  <c r="AY1133" i="2"/>
  <c r="BA1132" i="2"/>
  <c r="AZ1132" i="2"/>
  <c r="AY1132" i="2"/>
  <c r="BA1131" i="2"/>
  <c r="AZ1131" i="2"/>
  <c r="AY1131" i="2"/>
  <c r="BA1130" i="2"/>
  <c r="AZ1130" i="2"/>
  <c r="AY1130" i="2"/>
  <c r="BA1129" i="2"/>
  <c r="AZ1129" i="2"/>
  <c r="AY1129" i="2"/>
  <c r="BA1128" i="2"/>
  <c r="AZ1128" i="2"/>
  <c r="AY1128" i="2"/>
  <c r="BA1127" i="2"/>
  <c r="AZ1127" i="2"/>
  <c r="AY1127" i="2"/>
  <c r="BA1126" i="2"/>
  <c r="AZ1126" i="2"/>
  <c r="AY1126" i="2"/>
  <c r="BA1125" i="2"/>
  <c r="AZ1125" i="2"/>
  <c r="AY1125" i="2"/>
  <c r="BA1124" i="2"/>
  <c r="AZ1124" i="2"/>
  <c r="AY1124" i="2"/>
  <c r="BA1123" i="2"/>
  <c r="AZ1123" i="2"/>
  <c r="AY1123" i="2"/>
  <c r="BA1122" i="2"/>
  <c r="AZ1122" i="2"/>
  <c r="AY1122" i="2"/>
  <c r="BA1121" i="2"/>
  <c r="AZ1121" i="2"/>
  <c r="AY1121" i="2"/>
  <c r="BA1120" i="2"/>
  <c r="AZ1120" i="2"/>
  <c r="AY1120" i="2"/>
  <c r="BA1119" i="2"/>
  <c r="AZ1119" i="2"/>
  <c r="AY1119" i="2"/>
  <c r="BA1118" i="2"/>
  <c r="AZ1118" i="2"/>
  <c r="AY1118" i="2"/>
  <c r="BA1117" i="2"/>
  <c r="AZ1117" i="2"/>
  <c r="AY1117" i="2"/>
  <c r="BA1116" i="2"/>
  <c r="AZ1116" i="2"/>
  <c r="AY1116" i="2"/>
  <c r="BA1115" i="2"/>
  <c r="AZ1115" i="2"/>
  <c r="AY1115" i="2"/>
  <c r="BA1114" i="2"/>
  <c r="AZ1114" i="2"/>
  <c r="AY1114" i="2"/>
  <c r="BA1113" i="2"/>
  <c r="AZ1113" i="2"/>
  <c r="AY1113" i="2"/>
  <c r="BA1112" i="2"/>
  <c r="AZ1112" i="2"/>
  <c r="AY1112" i="2"/>
  <c r="BA1111" i="2"/>
  <c r="AZ1111" i="2"/>
  <c r="AY1111" i="2"/>
  <c r="BA1110" i="2"/>
  <c r="AZ1110" i="2"/>
  <c r="AY1110" i="2"/>
  <c r="BA1109" i="2"/>
  <c r="AZ1109" i="2"/>
  <c r="AY1109" i="2"/>
  <c r="BA1108" i="2"/>
  <c r="AZ1108" i="2"/>
  <c r="AY1108" i="2"/>
  <c r="BA1107" i="2"/>
  <c r="AZ1107" i="2"/>
  <c r="AY1107" i="2"/>
  <c r="BA1106" i="2"/>
  <c r="AZ1106" i="2"/>
  <c r="AY1106" i="2"/>
  <c r="BA1105" i="2"/>
  <c r="AZ1105" i="2"/>
  <c r="AY1105" i="2"/>
  <c r="BA1104" i="2"/>
  <c r="AZ1104" i="2"/>
  <c r="AY1104" i="2"/>
  <c r="BA1103" i="2"/>
  <c r="AZ1103" i="2"/>
  <c r="AY1103" i="2"/>
  <c r="BA1102" i="2"/>
  <c r="AZ1102" i="2"/>
  <c r="AY1102" i="2"/>
  <c r="BA1101" i="2"/>
  <c r="AZ1101" i="2"/>
  <c r="AY1101" i="2"/>
  <c r="BA1100" i="2"/>
  <c r="AZ1100" i="2"/>
  <c r="AY1100" i="2"/>
  <c r="BA1099" i="2"/>
  <c r="AZ1099" i="2"/>
  <c r="AY1099" i="2"/>
  <c r="BA1098" i="2"/>
  <c r="AZ1098" i="2"/>
  <c r="AY1098" i="2"/>
  <c r="BA1097" i="2"/>
  <c r="AZ1097" i="2"/>
  <c r="AY1097" i="2"/>
  <c r="BA1096" i="2"/>
  <c r="AZ1096" i="2"/>
  <c r="AY1096" i="2"/>
  <c r="BA1095" i="2"/>
  <c r="AZ1095" i="2"/>
  <c r="AY1095" i="2"/>
  <c r="BA1094" i="2"/>
  <c r="AZ1094" i="2"/>
  <c r="AY1094" i="2"/>
  <c r="BA1093" i="2"/>
  <c r="AZ1093" i="2"/>
  <c r="AY1093" i="2"/>
  <c r="BA1092" i="2"/>
  <c r="AZ1092" i="2"/>
  <c r="AY1092" i="2"/>
  <c r="BA1091" i="2"/>
  <c r="AZ1091" i="2"/>
  <c r="AY1091" i="2"/>
  <c r="BA1090" i="2"/>
  <c r="AZ1090" i="2"/>
  <c r="AY1090" i="2"/>
  <c r="BA1089" i="2"/>
  <c r="AZ1089" i="2"/>
  <c r="AY1089" i="2"/>
  <c r="BA1088" i="2"/>
  <c r="AZ1088" i="2"/>
  <c r="AY1088" i="2"/>
  <c r="BA1087" i="2"/>
  <c r="AZ1087" i="2"/>
  <c r="AY1087" i="2"/>
  <c r="BA1086" i="2"/>
  <c r="AZ1086" i="2"/>
  <c r="AY1086" i="2"/>
  <c r="BA1085" i="2"/>
  <c r="AZ1085" i="2"/>
  <c r="AY1085" i="2"/>
  <c r="BA1084" i="2"/>
  <c r="AZ1084" i="2"/>
  <c r="AY1084" i="2"/>
  <c r="BA1083" i="2"/>
  <c r="AZ1083" i="2"/>
  <c r="AY1083" i="2"/>
  <c r="BA1082" i="2"/>
  <c r="AZ1082" i="2"/>
  <c r="AY1082" i="2"/>
  <c r="BA1081" i="2"/>
  <c r="AZ1081" i="2"/>
  <c r="AY1081" i="2"/>
  <c r="BA1080" i="2"/>
  <c r="AZ1080" i="2"/>
  <c r="AY1080" i="2"/>
  <c r="BA1079" i="2"/>
  <c r="AZ1079" i="2"/>
  <c r="AY1079" i="2"/>
  <c r="BA1078" i="2"/>
  <c r="AZ1078" i="2"/>
  <c r="AY1078" i="2"/>
  <c r="BA1077" i="2"/>
  <c r="AZ1077" i="2"/>
  <c r="AY1077" i="2"/>
  <c r="BA1076" i="2"/>
  <c r="AZ1076" i="2"/>
  <c r="AY1076" i="2"/>
  <c r="BA1075" i="2"/>
  <c r="AZ1075" i="2"/>
  <c r="AY1075" i="2"/>
  <c r="BA1074" i="2"/>
  <c r="AZ1074" i="2"/>
  <c r="AY1074" i="2"/>
  <c r="BA1073" i="2"/>
  <c r="AZ1073" i="2"/>
  <c r="AY1073" i="2"/>
  <c r="BA1072" i="2"/>
  <c r="AZ1072" i="2"/>
  <c r="AY1072" i="2"/>
  <c r="BA1071" i="2"/>
  <c r="AZ1071" i="2"/>
  <c r="AY1071" i="2"/>
  <c r="BA1070" i="2"/>
  <c r="AZ1070" i="2"/>
  <c r="AY1070" i="2"/>
  <c r="BA1069" i="2"/>
  <c r="AZ1069" i="2"/>
  <c r="AY1069" i="2"/>
  <c r="BA1068" i="2"/>
  <c r="AZ1068" i="2"/>
  <c r="AY1068" i="2"/>
  <c r="BA1067" i="2"/>
  <c r="AZ1067" i="2"/>
  <c r="AY1067" i="2"/>
  <c r="BA1066" i="2"/>
  <c r="AZ1066" i="2"/>
  <c r="AY1066" i="2"/>
  <c r="BA1065" i="2"/>
  <c r="AZ1065" i="2"/>
  <c r="AY1065" i="2"/>
  <c r="BA1064" i="2"/>
  <c r="AZ1064" i="2"/>
  <c r="AY1064" i="2"/>
  <c r="BA1063" i="2"/>
  <c r="AZ1063" i="2"/>
  <c r="AY1063" i="2"/>
  <c r="BA1062" i="2"/>
  <c r="AZ1062" i="2"/>
  <c r="AY1062" i="2"/>
  <c r="BA1061" i="2"/>
  <c r="AZ1061" i="2"/>
  <c r="AY1061" i="2"/>
  <c r="BA1060" i="2"/>
  <c r="AZ1060" i="2"/>
  <c r="AY1060" i="2"/>
  <c r="BA1059" i="2"/>
  <c r="AZ1059" i="2"/>
  <c r="AY1059" i="2"/>
  <c r="BA1058" i="2"/>
  <c r="AZ1058" i="2"/>
  <c r="AY1058" i="2"/>
  <c r="BA1057" i="2"/>
  <c r="AZ1057" i="2"/>
  <c r="AY1057" i="2"/>
  <c r="BA1056" i="2"/>
  <c r="AZ1056" i="2"/>
  <c r="AY1056" i="2"/>
  <c r="BA1055" i="2"/>
  <c r="AZ1055" i="2"/>
  <c r="AY1055" i="2"/>
  <c r="BA1054" i="2"/>
  <c r="AZ1054" i="2"/>
  <c r="AY1054" i="2"/>
  <c r="BA1053" i="2"/>
  <c r="AZ1053" i="2"/>
  <c r="AY1053" i="2"/>
  <c r="BA1052" i="2"/>
  <c r="AZ1052" i="2"/>
  <c r="AY1052" i="2"/>
  <c r="BA1051" i="2"/>
  <c r="AZ1051" i="2"/>
  <c r="AY1051" i="2"/>
  <c r="BA1050" i="2"/>
  <c r="AZ1050" i="2"/>
  <c r="AY1050" i="2"/>
  <c r="BA1049" i="2"/>
  <c r="AZ1049" i="2"/>
  <c r="AY1049" i="2"/>
  <c r="BA1048" i="2"/>
  <c r="AZ1048" i="2"/>
  <c r="AY1048" i="2"/>
  <c r="BA1047" i="2"/>
  <c r="AZ1047" i="2"/>
  <c r="AY1047" i="2"/>
  <c r="BA1046" i="2"/>
  <c r="AZ1046" i="2"/>
  <c r="AY1046" i="2"/>
  <c r="BA1045" i="2"/>
  <c r="AZ1045" i="2"/>
  <c r="AY1045" i="2"/>
  <c r="BA1044" i="2"/>
  <c r="AZ1044" i="2"/>
  <c r="AY1044" i="2"/>
  <c r="BA1043" i="2"/>
  <c r="AZ1043" i="2"/>
  <c r="AY1043" i="2"/>
  <c r="BA1042" i="2"/>
  <c r="AZ1042" i="2"/>
  <c r="AY1042" i="2"/>
  <c r="BA1041" i="2"/>
  <c r="AZ1041" i="2"/>
  <c r="AY1041" i="2"/>
  <c r="BA1040" i="2"/>
  <c r="AZ1040" i="2"/>
  <c r="AY1040" i="2"/>
  <c r="BA1039" i="2"/>
  <c r="AZ1039" i="2"/>
  <c r="AY1039" i="2"/>
  <c r="BA1038" i="2"/>
  <c r="AZ1038" i="2"/>
  <c r="AY1038" i="2"/>
  <c r="BA1037" i="2"/>
  <c r="AZ1037" i="2"/>
  <c r="AY1037" i="2"/>
  <c r="BA1036" i="2"/>
  <c r="AZ1036" i="2"/>
  <c r="AY1036" i="2"/>
  <c r="BA1035" i="2"/>
  <c r="AZ1035" i="2"/>
  <c r="AY1035" i="2"/>
  <c r="BA1034" i="2"/>
  <c r="AZ1034" i="2"/>
  <c r="AY1034" i="2"/>
  <c r="BA1033" i="2"/>
  <c r="AZ1033" i="2"/>
  <c r="AY1033" i="2"/>
  <c r="BA1032" i="2"/>
  <c r="AZ1032" i="2"/>
  <c r="AY1032" i="2"/>
  <c r="BA1031" i="2"/>
  <c r="AZ1031" i="2"/>
  <c r="AY1031" i="2"/>
  <c r="BA1030" i="2"/>
  <c r="AZ1030" i="2"/>
  <c r="AY1030" i="2"/>
  <c r="BA1029" i="2"/>
  <c r="AZ1029" i="2"/>
  <c r="AY1029" i="2"/>
  <c r="BA1028" i="2"/>
  <c r="AZ1028" i="2"/>
  <c r="AY1028" i="2"/>
  <c r="BA1027" i="2"/>
  <c r="AZ1027" i="2"/>
  <c r="AY1027" i="2"/>
  <c r="BA1026" i="2"/>
  <c r="AZ1026" i="2"/>
  <c r="AY1026" i="2"/>
  <c r="BA1025" i="2"/>
  <c r="AZ1025" i="2"/>
  <c r="AY1025" i="2"/>
  <c r="BA1024" i="2"/>
  <c r="AZ1024" i="2"/>
  <c r="AY1024" i="2"/>
  <c r="BA1023" i="2"/>
  <c r="AZ1023" i="2"/>
  <c r="AY1023" i="2"/>
  <c r="BA1022" i="2"/>
  <c r="AZ1022" i="2"/>
  <c r="AY1022" i="2"/>
  <c r="BA1021" i="2"/>
  <c r="AZ1021" i="2"/>
  <c r="AY1021" i="2"/>
  <c r="BA1020" i="2"/>
  <c r="AZ1020" i="2"/>
  <c r="AY1020" i="2"/>
  <c r="BA1019" i="2"/>
  <c r="AZ1019" i="2"/>
  <c r="AY1019" i="2"/>
  <c r="BA1018" i="2"/>
  <c r="AZ1018" i="2"/>
  <c r="AY1018" i="2"/>
  <c r="BA1017" i="2"/>
  <c r="AZ1017" i="2"/>
  <c r="AY1017" i="2"/>
  <c r="BA1016" i="2"/>
  <c r="AZ1016" i="2"/>
  <c r="AY1016" i="2"/>
  <c r="BA1015" i="2"/>
  <c r="AZ1015" i="2"/>
  <c r="AY1015" i="2"/>
  <c r="BA1014" i="2"/>
  <c r="AZ1014" i="2"/>
  <c r="AY1014" i="2"/>
  <c r="BA1013" i="2"/>
  <c r="AZ1013" i="2"/>
  <c r="AY1013" i="2"/>
  <c r="BA1012" i="2"/>
  <c r="AZ1012" i="2"/>
  <c r="AY1012" i="2"/>
  <c r="BA1011" i="2"/>
  <c r="AZ1011" i="2"/>
  <c r="AY1011" i="2"/>
  <c r="BA1010" i="2"/>
  <c r="AZ1010" i="2"/>
  <c r="AY1010" i="2"/>
  <c r="BA1009" i="2"/>
  <c r="AZ1009" i="2"/>
  <c r="AY1009" i="2"/>
  <c r="BA1008" i="2"/>
  <c r="AZ1008" i="2"/>
  <c r="AY1008" i="2"/>
  <c r="BA1007" i="2"/>
  <c r="AZ1007" i="2"/>
  <c r="AY1007" i="2"/>
  <c r="BA1006" i="2"/>
  <c r="AZ1006" i="2"/>
  <c r="AY1006" i="2"/>
  <c r="BA1005" i="2"/>
  <c r="AZ1005" i="2"/>
  <c r="AY1005" i="2"/>
  <c r="BA1004" i="2"/>
  <c r="AZ1004" i="2"/>
  <c r="AY1004" i="2"/>
  <c r="BA1003" i="2"/>
  <c r="AZ1003" i="2"/>
  <c r="AY1003" i="2"/>
  <c r="BA1002" i="2"/>
  <c r="AZ1002" i="2"/>
  <c r="AY1002" i="2"/>
  <c r="BA1001" i="2"/>
  <c r="AZ1001" i="2"/>
  <c r="AY1001" i="2"/>
  <c r="BA1000" i="2"/>
  <c r="AZ1000" i="2"/>
  <c r="AY1000" i="2"/>
  <c r="BA999" i="2"/>
  <c r="AZ999" i="2"/>
  <c r="AY999" i="2"/>
  <c r="BA998" i="2"/>
  <c r="AZ998" i="2"/>
  <c r="AY998" i="2"/>
  <c r="BA997" i="2"/>
  <c r="AZ997" i="2"/>
  <c r="AY997" i="2"/>
  <c r="BA996" i="2"/>
  <c r="AZ996" i="2"/>
  <c r="AY996" i="2"/>
  <c r="BA995" i="2"/>
  <c r="AZ995" i="2"/>
  <c r="AY995" i="2"/>
  <c r="BA994" i="2"/>
  <c r="AZ994" i="2"/>
  <c r="AY994" i="2"/>
  <c r="BA993" i="2"/>
  <c r="AZ993" i="2"/>
  <c r="AY993" i="2"/>
  <c r="BA992" i="2"/>
  <c r="AZ992" i="2"/>
  <c r="AY992" i="2"/>
  <c r="BA991" i="2"/>
  <c r="AZ991" i="2"/>
  <c r="AY991" i="2"/>
  <c r="BA990" i="2"/>
  <c r="AZ990" i="2"/>
  <c r="AY990" i="2"/>
  <c r="BA989" i="2"/>
  <c r="AZ989" i="2"/>
  <c r="AY989" i="2"/>
  <c r="BA988" i="2"/>
  <c r="AZ988" i="2"/>
  <c r="AY988" i="2"/>
  <c r="BA987" i="2"/>
  <c r="AZ987" i="2"/>
  <c r="AY987" i="2"/>
  <c r="BA986" i="2"/>
  <c r="AZ986" i="2"/>
  <c r="AY986" i="2"/>
  <c r="BA985" i="2"/>
  <c r="AZ985" i="2"/>
  <c r="AY985" i="2"/>
  <c r="BA984" i="2"/>
  <c r="AZ984" i="2"/>
  <c r="AY984" i="2"/>
  <c r="BA983" i="2"/>
  <c r="AZ983" i="2"/>
  <c r="AY983" i="2"/>
  <c r="BA982" i="2"/>
  <c r="AZ982" i="2"/>
  <c r="AY982" i="2"/>
  <c r="BA981" i="2"/>
  <c r="AZ981" i="2"/>
  <c r="AY981" i="2"/>
  <c r="BA980" i="2"/>
  <c r="AZ980" i="2"/>
  <c r="AY980" i="2"/>
  <c r="BA979" i="2"/>
  <c r="AZ979" i="2"/>
  <c r="AY979" i="2"/>
  <c r="BA978" i="2"/>
  <c r="AZ978" i="2"/>
  <c r="AY978" i="2"/>
  <c r="BA977" i="2"/>
  <c r="AZ977" i="2"/>
  <c r="AY977" i="2"/>
  <c r="BA976" i="2"/>
  <c r="AZ976" i="2"/>
  <c r="AY976" i="2"/>
  <c r="BA975" i="2"/>
  <c r="AZ975" i="2"/>
  <c r="AY975" i="2"/>
  <c r="BA974" i="2"/>
  <c r="AZ974" i="2"/>
  <c r="AY974" i="2"/>
  <c r="BA973" i="2"/>
  <c r="AZ973" i="2"/>
  <c r="AY973" i="2"/>
  <c r="BA972" i="2"/>
  <c r="AZ972" i="2"/>
  <c r="AY972" i="2"/>
  <c r="BA971" i="2"/>
  <c r="AZ971" i="2"/>
  <c r="AY971" i="2"/>
  <c r="BA970" i="2"/>
  <c r="AZ970" i="2"/>
  <c r="AY970" i="2"/>
  <c r="BA969" i="2"/>
  <c r="AZ969" i="2"/>
  <c r="AY969" i="2"/>
  <c r="BA968" i="2"/>
  <c r="AZ968" i="2"/>
  <c r="AY968" i="2"/>
  <c r="BA967" i="2"/>
  <c r="AZ967" i="2"/>
  <c r="AY967" i="2"/>
  <c r="BA966" i="2"/>
  <c r="AZ966" i="2"/>
  <c r="AY966" i="2"/>
  <c r="BA965" i="2"/>
  <c r="AZ965" i="2"/>
  <c r="AY965" i="2"/>
  <c r="BA964" i="2"/>
  <c r="AZ964" i="2"/>
  <c r="AY964" i="2"/>
  <c r="BA963" i="2"/>
  <c r="AZ963" i="2"/>
  <c r="AY963" i="2"/>
  <c r="BA962" i="2"/>
  <c r="AZ962" i="2"/>
  <c r="AY962" i="2"/>
  <c r="BA961" i="2"/>
  <c r="AZ961" i="2"/>
  <c r="AY961" i="2"/>
  <c r="BA960" i="2"/>
  <c r="AZ960" i="2"/>
  <c r="AY960" i="2"/>
  <c r="BA959" i="2"/>
  <c r="AZ959" i="2"/>
  <c r="AY959" i="2"/>
  <c r="BA958" i="2"/>
  <c r="AZ958" i="2"/>
  <c r="AY958" i="2"/>
  <c r="BA957" i="2"/>
  <c r="AZ957" i="2"/>
  <c r="AY957" i="2"/>
  <c r="BA956" i="2"/>
  <c r="AZ956" i="2"/>
  <c r="AY956" i="2"/>
  <c r="BA955" i="2"/>
  <c r="AZ955" i="2"/>
  <c r="AY955" i="2"/>
  <c r="BA954" i="2"/>
  <c r="AZ954" i="2"/>
  <c r="AY954" i="2"/>
  <c r="BA953" i="2"/>
  <c r="AZ953" i="2"/>
  <c r="AY953" i="2"/>
  <c r="BA952" i="2"/>
  <c r="AZ952" i="2"/>
  <c r="AY952" i="2"/>
  <c r="BA951" i="2"/>
  <c r="AZ951" i="2"/>
  <c r="AY951" i="2"/>
  <c r="BA950" i="2"/>
  <c r="AZ950" i="2"/>
  <c r="AY950" i="2"/>
  <c r="BA949" i="2"/>
  <c r="AZ949" i="2"/>
  <c r="AY949" i="2"/>
  <c r="BA948" i="2"/>
  <c r="AZ948" i="2"/>
  <c r="AY948" i="2"/>
  <c r="BA947" i="2"/>
  <c r="AZ947" i="2"/>
  <c r="AY947" i="2"/>
  <c r="BA946" i="2"/>
  <c r="AZ946" i="2"/>
  <c r="AY946" i="2"/>
  <c r="BA945" i="2"/>
  <c r="AZ945" i="2"/>
  <c r="AY945" i="2"/>
  <c r="BA944" i="2"/>
  <c r="AZ944" i="2"/>
  <c r="AY944" i="2"/>
  <c r="BA943" i="2"/>
  <c r="AZ943" i="2"/>
  <c r="AY943" i="2"/>
  <c r="BA942" i="2"/>
  <c r="AZ942" i="2"/>
  <c r="AY942" i="2"/>
  <c r="BA941" i="2"/>
  <c r="AZ941" i="2"/>
  <c r="AY941" i="2"/>
  <c r="BA940" i="2"/>
  <c r="AZ940" i="2"/>
  <c r="AY940" i="2"/>
  <c r="BA939" i="2"/>
  <c r="AZ939" i="2"/>
  <c r="AY939" i="2"/>
  <c r="BA938" i="2"/>
  <c r="AZ938" i="2"/>
  <c r="AY938" i="2"/>
  <c r="BA937" i="2"/>
  <c r="AZ937" i="2"/>
  <c r="AY937" i="2"/>
  <c r="BA936" i="2"/>
  <c r="AZ936" i="2"/>
  <c r="AY936" i="2"/>
  <c r="BA935" i="2"/>
  <c r="AZ935" i="2"/>
  <c r="AY935" i="2"/>
  <c r="BA934" i="2"/>
  <c r="AZ934" i="2"/>
  <c r="AY934" i="2"/>
  <c r="BA933" i="2"/>
  <c r="AZ933" i="2"/>
  <c r="AY933" i="2"/>
  <c r="BA932" i="2"/>
  <c r="AZ932" i="2"/>
  <c r="AY932" i="2"/>
  <c r="BA931" i="2"/>
  <c r="AZ931" i="2"/>
  <c r="AY931" i="2"/>
  <c r="BA930" i="2"/>
  <c r="AZ930" i="2"/>
  <c r="AY930" i="2"/>
  <c r="BA929" i="2"/>
  <c r="AZ929" i="2"/>
  <c r="AY929" i="2"/>
  <c r="BA928" i="2"/>
  <c r="AZ928" i="2"/>
  <c r="AY928" i="2"/>
  <c r="BA927" i="2"/>
  <c r="AZ927" i="2"/>
  <c r="AY927" i="2"/>
  <c r="BA926" i="2"/>
  <c r="AZ926" i="2"/>
  <c r="AY926" i="2"/>
  <c r="BA925" i="2"/>
  <c r="AZ925" i="2"/>
  <c r="AY925" i="2"/>
  <c r="BA924" i="2"/>
  <c r="AZ924" i="2"/>
  <c r="AY924" i="2"/>
  <c r="BA923" i="2"/>
  <c r="AZ923" i="2"/>
  <c r="AY923" i="2"/>
  <c r="BA922" i="2"/>
  <c r="AZ922" i="2"/>
  <c r="AY922" i="2"/>
  <c r="BA921" i="2"/>
  <c r="AZ921" i="2"/>
  <c r="AY921" i="2"/>
  <c r="BA920" i="2"/>
  <c r="AZ920" i="2"/>
  <c r="AY920" i="2"/>
  <c r="BA919" i="2"/>
  <c r="AZ919" i="2"/>
  <c r="AY919" i="2"/>
  <c r="BA918" i="2"/>
  <c r="AZ918" i="2"/>
  <c r="AY918" i="2"/>
  <c r="BA917" i="2"/>
  <c r="AZ917" i="2"/>
  <c r="AY917" i="2"/>
  <c r="BA916" i="2"/>
  <c r="AZ916" i="2"/>
  <c r="AY916" i="2"/>
  <c r="BA915" i="2"/>
  <c r="AZ915" i="2"/>
  <c r="AY915" i="2"/>
  <c r="BA914" i="2"/>
  <c r="AZ914" i="2"/>
  <c r="AY914" i="2"/>
  <c r="BA913" i="2"/>
  <c r="AZ913" i="2"/>
  <c r="AY913" i="2"/>
  <c r="BA912" i="2"/>
  <c r="AZ912" i="2"/>
  <c r="AY912" i="2"/>
  <c r="BA911" i="2"/>
  <c r="AZ911" i="2"/>
  <c r="AY911" i="2"/>
  <c r="BA910" i="2"/>
  <c r="AZ910" i="2"/>
  <c r="AY910" i="2"/>
  <c r="BA909" i="2"/>
  <c r="AZ909" i="2"/>
  <c r="AY909" i="2"/>
  <c r="BA908" i="2"/>
  <c r="AZ908" i="2"/>
  <c r="AY908" i="2"/>
  <c r="BA907" i="2"/>
  <c r="AZ907" i="2"/>
  <c r="AY907" i="2"/>
  <c r="BA906" i="2"/>
  <c r="AZ906" i="2"/>
  <c r="AY906" i="2"/>
  <c r="BA905" i="2"/>
  <c r="AZ905" i="2"/>
  <c r="AY905" i="2"/>
  <c r="BA904" i="2"/>
  <c r="AZ904" i="2"/>
  <c r="AY904" i="2"/>
  <c r="BA903" i="2"/>
  <c r="AZ903" i="2"/>
  <c r="AY903" i="2"/>
  <c r="BA902" i="2"/>
  <c r="AZ902" i="2"/>
  <c r="AY902" i="2"/>
  <c r="BA901" i="2"/>
  <c r="AZ901" i="2"/>
  <c r="AY901" i="2"/>
  <c r="BA900" i="2"/>
  <c r="AZ900" i="2"/>
  <c r="AY900" i="2"/>
  <c r="BA899" i="2"/>
  <c r="AZ899" i="2"/>
  <c r="AY899" i="2"/>
  <c r="BA898" i="2"/>
  <c r="AZ898" i="2"/>
  <c r="AY898" i="2"/>
  <c r="BA897" i="2"/>
  <c r="AZ897" i="2"/>
  <c r="AY897" i="2"/>
  <c r="BA896" i="2"/>
  <c r="AZ896" i="2"/>
  <c r="AY896" i="2"/>
  <c r="BA895" i="2"/>
  <c r="AZ895" i="2"/>
  <c r="AY895" i="2"/>
  <c r="BA894" i="2"/>
  <c r="AZ894" i="2"/>
  <c r="AY894" i="2"/>
  <c r="BA893" i="2"/>
  <c r="AZ893" i="2"/>
  <c r="AY893" i="2"/>
  <c r="BA892" i="2"/>
  <c r="AZ892" i="2"/>
  <c r="AY892" i="2"/>
  <c r="BA891" i="2"/>
  <c r="AZ891" i="2"/>
  <c r="AY891" i="2"/>
  <c r="BA890" i="2"/>
  <c r="AZ890" i="2"/>
  <c r="AY890" i="2"/>
  <c r="BA889" i="2"/>
  <c r="AZ889" i="2"/>
  <c r="AY889" i="2"/>
  <c r="BA888" i="2"/>
  <c r="AZ888" i="2"/>
  <c r="AY888" i="2"/>
  <c r="BA887" i="2"/>
  <c r="AZ887" i="2"/>
  <c r="AY887" i="2"/>
  <c r="BA886" i="2"/>
  <c r="AZ886" i="2"/>
  <c r="AY886" i="2"/>
  <c r="BA885" i="2"/>
  <c r="AZ885" i="2"/>
  <c r="AY885" i="2"/>
  <c r="BA884" i="2"/>
  <c r="AZ884" i="2"/>
  <c r="AY884" i="2"/>
  <c r="BA883" i="2"/>
  <c r="AZ883" i="2"/>
  <c r="AY883" i="2"/>
  <c r="BA882" i="2"/>
  <c r="AZ882" i="2"/>
  <c r="AY882" i="2"/>
  <c r="BA881" i="2"/>
  <c r="AZ881" i="2"/>
  <c r="AY881" i="2"/>
  <c r="BA880" i="2"/>
  <c r="AZ880" i="2"/>
  <c r="AY880" i="2"/>
  <c r="BA879" i="2"/>
  <c r="AZ879" i="2"/>
  <c r="AY879" i="2"/>
  <c r="BA878" i="2"/>
  <c r="AZ878" i="2"/>
  <c r="AY878" i="2"/>
  <c r="BA877" i="2"/>
  <c r="AZ877" i="2"/>
  <c r="AY877" i="2"/>
  <c r="BA876" i="2"/>
  <c r="AZ876" i="2"/>
  <c r="AY876" i="2"/>
  <c r="BA875" i="2"/>
  <c r="AZ875" i="2"/>
  <c r="AY875" i="2"/>
  <c r="BA874" i="2"/>
  <c r="AZ874" i="2"/>
  <c r="AY874" i="2"/>
  <c r="BA873" i="2"/>
  <c r="AZ873" i="2"/>
  <c r="AY873" i="2"/>
  <c r="BA872" i="2"/>
  <c r="AZ872" i="2"/>
  <c r="AY872" i="2"/>
  <c r="BA871" i="2"/>
  <c r="AZ871" i="2"/>
  <c r="AY871" i="2"/>
  <c r="BA870" i="2"/>
  <c r="AZ870" i="2"/>
  <c r="AY870" i="2"/>
  <c r="BA869" i="2"/>
  <c r="AZ869" i="2"/>
  <c r="AY869" i="2"/>
  <c r="BA868" i="2"/>
  <c r="AZ868" i="2"/>
  <c r="AY868" i="2"/>
  <c r="BA867" i="2"/>
  <c r="AZ867" i="2"/>
  <c r="AY867" i="2"/>
  <c r="BA866" i="2"/>
  <c r="AZ866" i="2"/>
  <c r="AY866" i="2"/>
  <c r="BA865" i="2"/>
  <c r="AZ865" i="2"/>
  <c r="AY865" i="2"/>
  <c r="BA864" i="2"/>
  <c r="AZ864" i="2"/>
  <c r="AY864" i="2"/>
  <c r="BA863" i="2"/>
  <c r="AZ863" i="2"/>
  <c r="AY863" i="2"/>
  <c r="BA862" i="2"/>
  <c r="AZ862" i="2"/>
  <c r="AY862" i="2"/>
  <c r="BA861" i="2"/>
  <c r="AZ861" i="2"/>
  <c r="AY861" i="2"/>
  <c r="BA860" i="2"/>
  <c r="AZ860" i="2"/>
  <c r="AY860" i="2"/>
  <c r="BA859" i="2"/>
  <c r="AZ859" i="2"/>
  <c r="AY859" i="2"/>
  <c r="BA858" i="2"/>
  <c r="AZ858" i="2"/>
  <c r="AY858" i="2"/>
  <c r="BA857" i="2"/>
  <c r="AZ857" i="2"/>
  <c r="AY857" i="2"/>
  <c r="BA856" i="2"/>
  <c r="AZ856" i="2"/>
  <c r="AY856" i="2"/>
  <c r="BA855" i="2"/>
  <c r="AZ855" i="2"/>
  <c r="AY855" i="2"/>
  <c r="BA854" i="2"/>
  <c r="AZ854" i="2"/>
  <c r="AY854" i="2"/>
  <c r="BA853" i="2"/>
  <c r="AZ853" i="2"/>
  <c r="AY853" i="2"/>
  <c r="BA852" i="2"/>
  <c r="AZ852" i="2"/>
  <c r="AY852" i="2"/>
  <c r="BA851" i="2"/>
  <c r="AZ851" i="2"/>
  <c r="AY851" i="2"/>
  <c r="BA850" i="2"/>
  <c r="AZ850" i="2"/>
  <c r="AY850" i="2"/>
  <c r="BA849" i="2"/>
  <c r="AZ849" i="2"/>
  <c r="AY849" i="2"/>
  <c r="BA848" i="2"/>
  <c r="AZ848" i="2"/>
  <c r="AY848" i="2"/>
  <c r="BA847" i="2"/>
  <c r="AZ847" i="2"/>
  <c r="AY847" i="2"/>
  <c r="BA846" i="2"/>
  <c r="AZ846" i="2"/>
  <c r="AY846" i="2"/>
  <c r="BA845" i="2"/>
  <c r="AZ845" i="2"/>
  <c r="AY845" i="2"/>
  <c r="BA844" i="2"/>
  <c r="AZ844" i="2"/>
  <c r="AY844" i="2"/>
  <c r="BA843" i="2"/>
  <c r="AZ843" i="2"/>
  <c r="AY843" i="2"/>
  <c r="BA842" i="2"/>
  <c r="AZ842" i="2"/>
  <c r="AY842" i="2"/>
  <c r="BA841" i="2"/>
  <c r="AZ841" i="2"/>
  <c r="AY841" i="2"/>
  <c r="BA840" i="2"/>
  <c r="AZ840" i="2"/>
  <c r="AY840" i="2"/>
  <c r="BA839" i="2"/>
  <c r="AZ839" i="2"/>
  <c r="AY839" i="2"/>
  <c r="BA838" i="2"/>
  <c r="AZ838" i="2"/>
  <c r="AY838" i="2"/>
  <c r="BA837" i="2"/>
  <c r="AZ837" i="2"/>
  <c r="AY837" i="2"/>
  <c r="BA836" i="2"/>
  <c r="AZ836" i="2"/>
  <c r="AY836" i="2"/>
  <c r="BA835" i="2"/>
  <c r="AZ835" i="2"/>
  <c r="AY835" i="2"/>
  <c r="BA834" i="2"/>
  <c r="AZ834" i="2"/>
  <c r="AY834" i="2"/>
  <c r="BA833" i="2"/>
  <c r="AZ833" i="2"/>
  <c r="AY833" i="2"/>
  <c r="BA832" i="2"/>
  <c r="AZ832" i="2"/>
  <c r="AY832" i="2"/>
  <c r="BA831" i="2"/>
  <c r="AZ831" i="2"/>
  <c r="AY831" i="2"/>
  <c r="BA830" i="2"/>
  <c r="AZ830" i="2"/>
  <c r="AY830" i="2"/>
  <c r="BA829" i="2"/>
  <c r="AZ829" i="2"/>
  <c r="AY829" i="2"/>
  <c r="BA828" i="2"/>
  <c r="AZ828" i="2"/>
  <c r="AY828" i="2"/>
  <c r="BA827" i="2"/>
  <c r="AZ827" i="2"/>
  <c r="AY827" i="2"/>
  <c r="BA826" i="2"/>
  <c r="AZ826" i="2"/>
  <c r="AY826" i="2"/>
  <c r="BA825" i="2"/>
  <c r="AZ825" i="2"/>
  <c r="AY825" i="2"/>
  <c r="BA824" i="2"/>
  <c r="AZ824" i="2"/>
  <c r="AY824" i="2"/>
  <c r="BA823" i="2"/>
  <c r="AZ823" i="2"/>
  <c r="AY823" i="2"/>
  <c r="BA822" i="2"/>
  <c r="AZ822" i="2"/>
  <c r="AY822" i="2"/>
  <c r="BA821" i="2"/>
  <c r="AZ821" i="2"/>
  <c r="AY821" i="2"/>
  <c r="BA820" i="2"/>
  <c r="AZ820" i="2"/>
  <c r="AY820" i="2"/>
  <c r="BA819" i="2"/>
  <c r="AZ819" i="2"/>
  <c r="AY819" i="2"/>
  <c r="BA818" i="2"/>
  <c r="AZ818" i="2"/>
  <c r="AY818" i="2"/>
  <c r="BA817" i="2"/>
  <c r="AZ817" i="2"/>
  <c r="AY817" i="2"/>
  <c r="BA816" i="2"/>
  <c r="AZ816" i="2"/>
  <c r="AY816" i="2"/>
  <c r="BA815" i="2"/>
  <c r="AZ815" i="2"/>
  <c r="AY815" i="2"/>
  <c r="BA814" i="2"/>
  <c r="AZ814" i="2"/>
  <c r="AY814" i="2"/>
  <c r="BA813" i="2"/>
  <c r="AZ813" i="2"/>
  <c r="AY813" i="2"/>
  <c r="BA812" i="2"/>
  <c r="AZ812" i="2"/>
  <c r="AY812" i="2"/>
  <c r="BA811" i="2"/>
  <c r="AZ811" i="2"/>
  <c r="AY811" i="2"/>
  <c r="BA810" i="2"/>
  <c r="AZ810" i="2"/>
  <c r="AY810" i="2"/>
  <c r="BA809" i="2"/>
  <c r="AZ809" i="2"/>
  <c r="AY809" i="2"/>
  <c r="BA808" i="2"/>
  <c r="AZ808" i="2"/>
  <c r="AY808" i="2"/>
  <c r="BA807" i="2"/>
  <c r="AZ807" i="2"/>
  <c r="AY807" i="2"/>
  <c r="BA806" i="2"/>
  <c r="AZ806" i="2"/>
  <c r="AY806" i="2"/>
  <c r="BA805" i="2"/>
  <c r="AZ805" i="2"/>
  <c r="AY805" i="2"/>
  <c r="BA804" i="2"/>
  <c r="AZ804" i="2"/>
  <c r="AY804" i="2"/>
  <c r="BA803" i="2"/>
  <c r="AZ803" i="2"/>
  <c r="AY803" i="2"/>
  <c r="BA802" i="2"/>
  <c r="AZ802" i="2"/>
  <c r="AY802" i="2"/>
  <c r="BA801" i="2"/>
  <c r="AZ801" i="2"/>
  <c r="AY801" i="2"/>
  <c r="BA800" i="2"/>
  <c r="AZ800" i="2"/>
  <c r="AY800" i="2"/>
  <c r="BA799" i="2"/>
  <c r="AZ799" i="2"/>
  <c r="AY799" i="2"/>
  <c r="BA798" i="2"/>
  <c r="AZ798" i="2"/>
  <c r="AY798" i="2"/>
  <c r="BA797" i="2"/>
  <c r="AZ797" i="2"/>
  <c r="AY797" i="2"/>
  <c r="BA796" i="2"/>
  <c r="AZ796" i="2"/>
  <c r="AY796" i="2"/>
  <c r="BA795" i="2"/>
  <c r="AZ795" i="2"/>
  <c r="AY795" i="2"/>
  <c r="BA794" i="2"/>
  <c r="AZ794" i="2"/>
  <c r="AY794" i="2"/>
  <c r="BA793" i="2"/>
  <c r="AZ793" i="2"/>
  <c r="AY793" i="2"/>
  <c r="BA792" i="2"/>
  <c r="AZ792" i="2"/>
  <c r="AY792" i="2"/>
  <c r="BA791" i="2"/>
  <c r="AZ791" i="2"/>
  <c r="AY791" i="2"/>
  <c r="BA790" i="2"/>
  <c r="AZ790" i="2"/>
  <c r="AY790" i="2"/>
  <c r="BA789" i="2"/>
  <c r="AZ789" i="2"/>
  <c r="AY789" i="2"/>
  <c r="BA788" i="2"/>
  <c r="AZ788" i="2"/>
  <c r="AY788" i="2"/>
  <c r="BA787" i="2"/>
  <c r="AZ787" i="2"/>
  <c r="AY787" i="2"/>
  <c r="BA786" i="2"/>
  <c r="AZ786" i="2"/>
  <c r="AY786" i="2"/>
  <c r="BA785" i="2"/>
  <c r="AZ785" i="2"/>
  <c r="AY785" i="2"/>
  <c r="BA784" i="2"/>
  <c r="AZ784" i="2"/>
  <c r="AY784" i="2"/>
  <c r="BA783" i="2"/>
  <c r="AZ783" i="2"/>
  <c r="AY783" i="2"/>
  <c r="BA782" i="2"/>
  <c r="AZ782" i="2"/>
  <c r="AY782" i="2"/>
  <c r="BA781" i="2"/>
  <c r="AZ781" i="2"/>
  <c r="AY781" i="2"/>
  <c r="BA780" i="2"/>
  <c r="AZ780" i="2"/>
  <c r="AY780" i="2"/>
  <c r="BA779" i="2"/>
  <c r="AZ779" i="2"/>
  <c r="AY779" i="2"/>
  <c r="BA778" i="2"/>
  <c r="AZ778" i="2"/>
  <c r="AY778" i="2"/>
  <c r="BA777" i="2"/>
  <c r="AZ777" i="2"/>
  <c r="AY777" i="2"/>
  <c r="BA776" i="2"/>
  <c r="AZ776" i="2"/>
  <c r="AY776" i="2"/>
  <c r="BA775" i="2"/>
  <c r="AZ775" i="2"/>
  <c r="AY775" i="2"/>
  <c r="BA774" i="2"/>
  <c r="AZ774" i="2"/>
  <c r="AY774" i="2"/>
  <c r="BA773" i="2"/>
  <c r="AZ773" i="2"/>
  <c r="AY773" i="2"/>
  <c r="BA772" i="2"/>
  <c r="AZ772" i="2"/>
  <c r="AY772" i="2"/>
  <c r="BA771" i="2"/>
  <c r="AZ771" i="2"/>
  <c r="AY771" i="2"/>
  <c r="BA770" i="2"/>
  <c r="AZ770" i="2"/>
  <c r="AY770" i="2"/>
  <c r="BA769" i="2"/>
  <c r="AZ769" i="2"/>
  <c r="AY769" i="2"/>
  <c r="BA768" i="2"/>
  <c r="AZ768" i="2"/>
  <c r="AY768" i="2"/>
  <c r="BA767" i="2"/>
  <c r="AZ767" i="2"/>
  <c r="AY767" i="2"/>
  <c r="BA766" i="2"/>
  <c r="AZ766" i="2"/>
  <c r="AY766" i="2"/>
  <c r="BA765" i="2"/>
  <c r="AZ765" i="2"/>
  <c r="AY765" i="2"/>
  <c r="BA764" i="2"/>
  <c r="AZ764" i="2"/>
  <c r="AY764" i="2"/>
  <c r="BA763" i="2"/>
  <c r="AZ763" i="2"/>
  <c r="AY763" i="2"/>
  <c r="BA762" i="2"/>
  <c r="AZ762" i="2"/>
  <c r="AY762" i="2"/>
  <c r="BA761" i="2"/>
  <c r="AZ761" i="2"/>
  <c r="AY761" i="2"/>
  <c r="BA760" i="2"/>
  <c r="AZ760" i="2"/>
  <c r="AY760" i="2"/>
  <c r="BA759" i="2"/>
  <c r="AZ759" i="2"/>
  <c r="AY759" i="2"/>
  <c r="BA758" i="2"/>
  <c r="AZ758" i="2"/>
  <c r="AY758" i="2"/>
  <c r="BA757" i="2"/>
  <c r="AZ757" i="2"/>
  <c r="AY757" i="2"/>
  <c r="BA756" i="2"/>
  <c r="AZ756" i="2"/>
  <c r="AY756" i="2"/>
  <c r="BA755" i="2"/>
  <c r="AZ755" i="2"/>
  <c r="AY755" i="2"/>
  <c r="BA754" i="2"/>
  <c r="AZ754" i="2"/>
  <c r="AY754" i="2"/>
  <c r="BA753" i="2"/>
  <c r="AZ753" i="2"/>
  <c r="AY753" i="2"/>
  <c r="BA752" i="2"/>
  <c r="AZ752" i="2"/>
  <c r="AY752" i="2"/>
  <c r="BA751" i="2"/>
  <c r="AZ751" i="2"/>
  <c r="AY751" i="2"/>
  <c r="BA750" i="2"/>
  <c r="AZ750" i="2"/>
  <c r="AY750" i="2"/>
  <c r="BA749" i="2"/>
  <c r="AZ749" i="2"/>
  <c r="AY749" i="2"/>
  <c r="BA748" i="2"/>
  <c r="AZ748" i="2"/>
  <c r="AY748" i="2"/>
  <c r="BA747" i="2"/>
  <c r="AZ747" i="2"/>
  <c r="AY747" i="2"/>
  <c r="BA746" i="2"/>
  <c r="AZ746" i="2"/>
  <c r="AY746" i="2"/>
  <c r="BA745" i="2"/>
  <c r="AZ745" i="2"/>
  <c r="AY745" i="2"/>
  <c r="BA744" i="2"/>
  <c r="AZ744" i="2"/>
  <c r="AY744" i="2"/>
  <c r="BA743" i="2"/>
  <c r="AZ743" i="2"/>
  <c r="AY743" i="2"/>
  <c r="BA742" i="2"/>
  <c r="AZ742" i="2"/>
  <c r="AY742" i="2"/>
  <c r="BA741" i="2"/>
  <c r="AZ741" i="2"/>
  <c r="AY741" i="2"/>
  <c r="BA740" i="2"/>
  <c r="AZ740" i="2"/>
  <c r="AY740" i="2"/>
  <c r="BA739" i="2"/>
  <c r="AZ739" i="2"/>
  <c r="AY739" i="2"/>
  <c r="BA738" i="2"/>
  <c r="AZ738" i="2"/>
  <c r="AY738" i="2"/>
  <c r="BA737" i="2"/>
  <c r="AZ737" i="2"/>
  <c r="AY737" i="2"/>
  <c r="BA736" i="2"/>
  <c r="AZ736" i="2"/>
  <c r="AY736" i="2"/>
  <c r="BA735" i="2"/>
  <c r="AZ735" i="2"/>
  <c r="AY735" i="2"/>
  <c r="BA734" i="2"/>
  <c r="AZ734" i="2"/>
  <c r="AY734" i="2"/>
  <c r="BA733" i="2"/>
  <c r="AZ733" i="2"/>
  <c r="AY733" i="2"/>
  <c r="BA732" i="2"/>
  <c r="AZ732" i="2"/>
  <c r="AY732" i="2"/>
  <c r="BA731" i="2"/>
  <c r="AZ731" i="2"/>
  <c r="AY731" i="2"/>
  <c r="BA730" i="2"/>
  <c r="AZ730" i="2"/>
  <c r="AY730" i="2"/>
  <c r="BA729" i="2"/>
  <c r="AZ729" i="2"/>
  <c r="AY729" i="2"/>
  <c r="BA728" i="2"/>
  <c r="AZ728" i="2"/>
  <c r="AY728" i="2"/>
  <c r="BA727" i="2"/>
  <c r="AZ727" i="2"/>
  <c r="AY727" i="2"/>
  <c r="BA726" i="2"/>
  <c r="AZ726" i="2"/>
  <c r="AY726" i="2"/>
  <c r="BA725" i="2"/>
  <c r="AZ725" i="2"/>
  <c r="AY725" i="2"/>
  <c r="BA724" i="2"/>
  <c r="AZ724" i="2"/>
  <c r="AY724" i="2"/>
  <c r="BA723" i="2"/>
  <c r="AZ723" i="2"/>
  <c r="AY723" i="2"/>
  <c r="BA722" i="2"/>
  <c r="AZ722" i="2"/>
  <c r="AY722" i="2"/>
  <c r="BA721" i="2"/>
  <c r="AZ721" i="2"/>
  <c r="AY721" i="2"/>
  <c r="BA720" i="2"/>
  <c r="AZ720" i="2"/>
  <c r="AY720" i="2"/>
  <c r="BA719" i="2"/>
  <c r="AZ719" i="2"/>
  <c r="AY719" i="2"/>
  <c r="BA718" i="2"/>
  <c r="AZ718" i="2"/>
  <c r="AY718" i="2"/>
  <c r="BA717" i="2"/>
  <c r="AZ717" i="2"/>
  <c r="AY717" i="2"/>
  <c r="BA716" i="2"/>
  <c r="AZ716" i="2"/>
  <c r="AY716" i="2"/>
  <c r="BA715" i="2"/>
  <c r="AZ715" i="2"/>
  <c r="AY715" i="2"/>
  <c r="BA714" i="2"/>
  <c r="AZ714" i="2"/>
  <c r="AY714" i="2"/>
  <c r="BA713" i="2"/>
  <c r="AZ713" i="2"/>
  <c r="AY713" i="2"/>
  <c r="BA712" i="2"/>
  <c r="AZ712" i="2"/>
  <c r="AY712" i="2"/>
  <c r="BA711" i="2"/>
  <c r="AZ711" i="2"/>
  <c r="AY711" i="2"/>
  <c r="BA710" i="2"/>
  <c r="AZ710" i="2"/>
  <c r="AY710" i="2"/>
  <c r="BA709" i="2"/>
  <c r="AZ709" i="2"/>
  <c r="AY709" i="2"/>
  <c r="BA708" i="2"/>
  <c r="AZ708" i="2"/>
  <c r="AY708" i="2"/>
  <c r="BA707" i="2"/>
  <c r="AZ707" i="2"/>
  <c r="AY707" i="2"/>
  <c r="BA706" i="2"/>
  <c r="AZ706" i="2"/>
  <c r="AY706" i="2"/>
  <c r="BA705" i="2"/>
  <c r="AZ705" i="2"/>
  <c r="AY705" i="2"/>
  <c r="BA704" i="2"/>
  <c r="AZ704" i="2"/>
  <c r="AY704" i="2"/>
  <c r="BA703" i="2"/>
  <c r="AZ703" i="2"/>
  <c r="AY703" i="2"/>
  <c r="BA702" i="2"/>
  <c r="AZ702" i="2"/>
  <c r="AY702" i="2"/>
  <c r="BA701" i="2"/>
  <c r="AZ701" i="2"/>
  <c r="AY701" i="2"/>
  <c r="BA700" i="2"/>
  <c r="AZ700" i="2"/>
  <c r="AY700" i="2"/>
  <c r="BA699" i="2"/>
  <c r="AZ699" i="2"/>
  <c r="AY699" i="2"/>
  <c r="BA698" i="2"/>
  <c r="AZ698" i="2"/>
  <c r="AY698" i="2"/>
  <c r="BA697" i="2"/>
  <c r="AZ697" i="2"/>
  <c r="AY697" i="2"/>
  <c r="BA696" i="2"/>
  <c r="AZ696" i="2"/>
  <c r="AY696" i="2"/>
  <c r="BA695" i="2"/>
  <c r="AZ695" i="2"/>
  <c r="AY695" i="2"/>
  <c r="BA694" i="2"/>
  <c r="AZ694" i="2"/>
  <c r="AY694" i="2"/>
  <c r="BA693" i="2"/>
  <c r="AZ693" i="2"/>
  <c r="AY693" i="2"/>
  <c r="BA692" i="2"/>
  <c r="AZ692" i="2"/>
  <c r="AY692" i="2"/>
  <c r="BA691" i="2"/>
  <c r="AZ691" i="2"/>
  <c r="AY691" i="2"/>
  <c r="BA690" i="2"/>
  <c r="AZ690" i="2"/>
  <c r="AY690" i="2"/>
  <c r="BA689" i="2"/>
  <c r="AZ689" i="2"/>
  <c r="AY689" i="2"/>
  <c r="BA688" i="2"/>
  <c r="AZ688" i="2"/>
  <c r="AY688" i="2"/>
  <c r="BA687" i="2"/>
  <c r="AZ687" i="2"/>
  <c r="AY687" i="2"/>
  <c r="BA686" i="2"/>
  <c r="AZ686" i="2"/>
  <c r="AY686" i="2"/>
  <c r="BA685" i="2"/>
  <c r="AZ685" i="2"/>
  <c r="AY685" i="2"/>
  <c r="BA684" i="2"/>
  <c r="AZ684" i="2"/>
  <c r="AY684" i="2"/>
  <c r="BA683" i="2"/>
  <c r="AZ683" i="2"/>
  <c r="AY683" i="2"/>
  <c r="BA682" i="2"/>
  <c r="AZ682" i="2"/>
  <c r="AY682" i="2"/>
  <c r="BA681" i="2"/>
  <c r="AZ681" i="2"/>
  <c r="AY681" i="2"/>
  <c r="BA680" i="2"/>
  <c r="AZ680" i="2"/>
  <c r="AY680" i="2"/>
  <c r="BA679" i="2"/>
  <c r="AZ679" i="2"/>
  <c r="AY679" i="2"/>
  <c r="BA678" i="2"/>
  <c r="AZ678" i="2"/>
  <c r="AY678" i="2"/>
  <c r="BA677" i="2"/>
  <c r="AZ677" i="2"/>
  <c r="AY677" i="2"/>
  <c r="BA676" i="2"/>
  <c r="AZ676" i="2"/>
  <c r="AY676" i="2"/>
  <c r="BA675" i="2"/>
  <c r="AZ675" i="2"/>
  <c r="AY675" i="2"/>
  <c r="BA674" i="2"/>
  <c r="AZ674" i="2"/>
  <c r="AY674" i="2"/>
  <c r="BA673" i="2"/>
  <c r="AZ673" i="2"/>
  <c r="AY673" i="2"/>
  <c r="BA672" i="2"/>
  <c r="AZ672" i="2"/>
  <c r="AY672" i="2"/>
  <c r="BA671" i="2"/>
  <c r="AZ671" i="2"/>
  <c r="AY671" i="2"/>
  <c r="BA670" i="2"/>
  <c r="AZ670" i="2"/>
  <c r="AY670" i="2"/>
  <c r="BA669" i="2"/>
  <c r="AZ669" i="2"/>
  <c r="AY669" i="2"/>
  <c r="BA668" i="2"/>
  <c r="AZ668" i="2"/>
  <c r="AY668" i="2"/>
  <c r="BA667" i="2"/>
  <c r="AZ667" i="2"/>
  <c r="AY667" i="2"/>
  <c r="BA666" i="2"/>
  <c r="AZ666" i="2"/>
  <c r="AY666" i="2"/>
  <c r="BA665" i="2"/>
  <c r="AZ665" i="2"/>
  <c r="AY665" i="2"/>
  <c r="BA664" i="2"/>
  <c r="AZ664" i="2"/>
  <c r="AY664" i="2"/>
  <c r="BA663" i="2"/>
  <c r="AZ663" i="2"/>
  <c r="AY663" i="2"/>
  <c r="BA662" i="2"/>
  <c r="AZ662" i="2"/>
  <c r="AY662" i="2"/>
  <c r="BA661" i="2"/>
  <c r="AZ661" i="2"/>
  <c r="AY661" i="2"/>
  <c r="BA660" i="2"/>
  <c r="AZ660" i="2"/>
  <c r="AY660" i="2"/>
  <c r="BA659" i="2"/>
  <c r="AZ659" i="2"/>
  <c r="AY659" i="2"/>
  <c r="BA658" i="2"/>
  <c r="AZ658" i="2"/>
  <c r="AY658" i="2"/>
  <c r="BA657" i="2"/>
  <c r="AZ657" i="2"/>
  <c r="AY657" i="2"/>
  <c r="BA656" i="2"/>
  <c r="AZ656" i="2"/>
  <c r="AY656" i="2"/>
  <c r="BA655" i="2"/>
  <c r="AZ655" i="2"/>
  <c r="AY655" i="2"/>
  <c r="BA654" i="2"/>
  <c r="AZ654" i="2"/>
  <c r="AY654" i="2"/>
  <c r="BA653" i="2"/>
  <c r="AZ653" i="2"/>
  <c r="AY653" i="2"/>
  <c r="BA652" i="2"/>
  <c r="AZ652" i="2"/>
  <c r="AY652" i="2"/>
  <c r="BA651" i="2"/>
  <c r="AZ651" i="2"/>
  <c r="AY651" i="2"/>
  <c r="BA650" i="2"/>
  <c r="AZ650" i="2"/>
  <c r="AY650" i="2"/>
  <c r="BA649" i="2"/>
  <c r="AZ649" i="2"/>
  <c r="AY649" i="2"/>
  <c r="BA648" i="2"/>
  <c r="AZ648" i="2"/>
  <c r="AY648" i="2"/>
  <c r="BA647" i="2"/>
  <c r="AZ647" i="2"/>
  <c r="AY647" i="2"/>
  <c r="BA646" i="2"/>
  <c r="AZ646" i="2"/>
  <c r="AY646" i="2"/>
  <c r="BA645" i="2"/>
  <c r="AZ645" i="2"/>
  <c r="AY645" i="2"/>
  <c r="BA644" i="2"/>
  <c r="AZ644" i="2"/>
  <c r="AY644" i="2"/>
  <c r="BA643" i="2"/>
  <c r="AZ643" i="2"/>
  <c r="AY643" i="2"/>
  <c r="BA642" i="2"/>
  <c r="AZ642" i="2"/>
  <c r="AY642" i="2"/>
  <c r="BA641" i="2"/>
  <c r="AZ641" i="2"/>
  <c r="AY641" i="2"/>
  <c r="BA640" i="2"/>
  <c r="AZ640" i="2"/>
  <c r="AY640" i="2"/>
  <c r="BA639" i="2"/>
  <c r="AZ639" i="2"/>
  <c r="AY639" i="2"/>
  <c r="BA638" i="2"/>
  <c r="AZ638" i="2"/>
  <c r="AY638" i="2"/>
  <c r="BA637" i="2"/>
  <c r="AZ637" i="2"/>
  <c r="AY637" i="2"/>
  <c r="BA636" i="2"/>
  <c r="AZ636" i="2"/>
  <c r="AY636" i="2"/>
  <c r="BA635" i="2"/>
  <c r="AZ635" i="2"/>
  <c r="AY635" i="2"/>
  <c r="BA634" i="2"/>
  <c r="AZ634" i="2"/>
  <c r="AY634" i="2"/>
  <c r="BA633" i="2"/>
  <c r="AZ633" i="2"/>
  <c r="AY633" i="2"/>
  <c r="BA632" i="2"/>
  <c r="AZ632" i="2"/>
  <c r="AY632" i="2"/>
  <c r="BA631" i="2"/>
  <c r="AZ631" i="2"/>
  <c r="AY631" i="2"/>
  <c r="BA630" i="2"/>
  <c r="AZ630" i="2"/>
  <c r="AY630" i="2"/>
  <c r="BA629" i="2"/>
  <c r="AZ629" i="2"/>
  <c r="AY629" i="2"/>
  <c r="BA628" i="2"/>
  <c r="AZ628" i="2"/>
  <c r="AY628" i="2"/>
  <c r="BA627" i="2"/>
  <c r="AZ627" i="2"/>
  <c r="AY627" i="2"/>
  <c r="BA626" i="2"/>
  <c r="AZ626" i="2"/>
  <c r="AY626" i="2"/>
  <c r="BA625" i="2"/>
  <c r="AZ625" i="2"/>
  <c r="AY625" i="2"/>
  <c r="BA624" i="2"/>
  <c r="AZ624" i="2"/>
  <c r="AY624" i="2"/>
  <c r="BA623" i="2"/>
  <c r="AZ623" i="2"/>
  <c r="AY623" i="2"/>
  <c r="BA622" i="2"/>
  <c r="AZ622" i="2"/>
  <c r="AY622" i="2"/>
  <c r="BA621" i="2"/>
  <c r="AZ621" i="2"/>
  <c r="AY621" i="2"/>
  <c r="BA620" i="2"/>
  <c r="AZ620" i="2"/>
  <c r="AY620" i="2"/>
  <c r="BA619" i="2"/>
  <c r="AZ619" i="2"/>
  <c r="AY619" i="2"/>
  <c r="BA618" i="2"/>
  <c r="AZ618" i="2"/>
  <c r="AY618" i="2"/>
  <c r="BA617" i="2"/>
  <c r="AZ617" i="2"/>
  <c r="AY617" i="2"/>
  <c r="BA616" i="2"/>
  <c r="AZ616" i="2"/>
  <c r="AY616" i="2"/>
  <c r="BA615" i="2"/>
  <c r="AZ615" i="2"/>
  <c r="AY615" i="2"/>
  <c r="BA614" i="2"/>
  <c r="AZ614" i="2"/>
  <c r="AY614" i="2"/>
  <c r="BA613" i="2"/>
  <c r="AZ613" i="2"/>
  <c r="AY613" i="2"/>
  <c r="BA612" i="2"/>
  <c r="AZ612" i="2"/>
  <c r="AY612" i="2"/>
  <c r="BA611" i="2"/>
  <c r="AZ611" i="2"/>
  <c r="AY611" i="2"/>
  <c r="BA610" i="2"/>
  <c r="AZ610" i="2"/>
  <c r="AY610" i="2"/>
  <c r="BA609" i="2"/>
  <c r="AZ609" i="2"/>
  <c r="AY609" i="2"/>
  <c r="BA608" i="2"/>
  <c r="AZ608" i="2"/>
  <c r="AY608" i="2"/>
  <c r="BA607" i="2"/>
  <c r="AZ607" i="2"/>
  <c r="AY607" i="2"/>
  <c r="BA606" i="2"/>
  <c r="AZ606" i="2"/>
  <c r="AY606" i="2"/>
  <c r="BA605" i="2"/>
  <c r="AZ605" i="2"/>
  <c r="AY605" i="2"/>
  <c r="BA604" i="2"/>
  <c r="AZ604" i="2"/>
  <c r="AY604" i="2"/>
  <c r="BA603" i="2"/>
  <c r="AZ603" i="2"/>
  <c r="AY603" i="2"/>
  <c r="BA602" i="2"/>
  <c r="AZ602" i="2"/>
  <c r="AY602" i="2"/>
  <c r="BA601" i="2"/>
  <c r="AZ601" i="2"/>
  <c r="AY601" i="2"/>
  <c r="BA600" i="2"/>
  <c r="AZ600" i="2"/>
  <c r="AY600" i="2"/>
  <c r="BA599" i="2"/>
  <c r="AZ599" i="2"/>
  <c r="AY599" i="2"/>
  <c r="BA598" i="2"/>
  <c r="AZ598" i="2"/>
  <c r="AY598" i="2"/>
  <c r="BA597" i="2"/>
  <c r="AZ597" i="2"/>
  <c r="AY597" i="2"/>
  <c r="BA596" i="2"/>
  <c r="AZ596" i="2"/>
  <c r="AY596" i="2"/>
  <c r="BA595" i="2"/>
  <c r="AZ595" i="2"/>
  <c r="AY595" i="2"/>
  <c r="BA594" i="2"/>
  <c r="AZ594" i="2"/>
  <c r="AY594" i="2"/>
  <c r="BA593" i="2"/>
  <c r="AZ593" i="2"/>
  <c r="AY593" i="2"/>
  <c r="BA592" i="2"/>
  <c r="AZ592" i="2"/>
  <c r="AY592" i="2"/>
  <c r="BA591" i="2"/>
  <c r="AZ591" i="2"/>
  <c r="AY591" i="2"/>
  <c r="BA590" i="2"/>
  <c r="AZ590" i="2"/>
  <c r="AY590" i="2"/>
  <c r="BA589" i="2"/>
  <c r="AZ589" i="2"/>
  <c r="AY589" i="2"/>
  <c r="BA588" i="2"/>
  <c r="AZ588" i="2"/>
  <c r="AY588" i="2"/>
  <c r="BA587" i="2"/>
  <c r="AZ587" i="2"/>
  <c r="AY587" i="2"/>
  <c r="BA586" i="2"/>
  <c r="AZ586" i="2"/>
  <c r="AY586" i="2"/>
  <c r="BA585" i="2"/>
  <c r="AZ585" i="2"/>
  <c r="AY585" i="2"/>
  <c r="BA584" i="2"/>
  <c r="AZ584" i="2"/>
  <c r="AY584" i="2"/>
  <c r="BA583" i="2"/>
  <c r="AZ583" i="2"/>
  <c r="AY583" i="2"/>
  <c r="BA582" i="2"/>
  <c r="AZ582" i="2"/>
  <c r="AY582" i="2"/>
  <c r="BA581" i="2"/>
  <c r="AZ581" i="2"/>
  <c r="AY581" i="2"/>
  <c r="BA580" i="2"/>
  <c r="AZ580" i="2"/>
  <c r="AY580" i="2"/>
  <c r="BA579" i="2"/>
  <c r="AZ579" i="2"/>
  <c r="AY579" i="2"/>
  <c r="BA578" i="2"/>
  <c r="AZ578" i="2"/>
  <c r="AY578" i="2"/>
  <c r="BA577" i="2"/>
  <c r="AZ577" i="2"/>
  <c r="AY577" i="2"/>
  <c r="BA576" i="2"/>
  <c r="AZ576" i="2"/>
  <c r="AY576" i="2"/>
  <c r="BA575" i="2"/>
  <c r="AZ575" i="2"/>
  <c r="AY575" i="2"/>
  <c r="BA574" i="2"/>
  <c r="AZ574" i="2"/>
  <c r="AY574" i="2"/>
  <c r="BA573" i="2"/>
  <c r="AZ573" i="2"/>
  <c r="AY573" i="2"/>
  <c r="BA572" i="2"/>
  <c r="AZ572" i="2"/>
  <c r="AY572" i="2"/>
  <c r="BA571" i="2"/>
  <c r="AZ571" i="2"/>
  <c r="AY571" i="2"/>
  <c r="BA570" i="2"/>
  <c r="AZ570" i="2"/>
  <c r="AY570" i="2"/>
  <c r="BA569" i="2"/>
  <c r="AZ569" i="2"/>
  <c r="AY569" i="2"/>
  <c r="BA568" i="2"/>
  <c r="AZ568" i="2"/>
  <c r="AY568" i="2"/>
  <c r="BA567" i="2"/>
  <c r="AZ567" i="2"/>
  <c r="AY567" i="2"/>
  <c r="BA566" i="2"/>
  <c r="AZ566" i="2"/>
  <c r="AY566" i="2"/>
  <c r="BA565" i="2"/>
  <c r="AZ565" i="2"/>
  <c r="AY565" i="2"/>
  <c r="BA564" i="2"/>
  <c r="AZ564" i="2"/>
  <c r="AY564" i="2"/>
  <c r="BA563" i="2"/>
  <c r="AZ563" i="2"/>
  <c r="AY563" i="2"/>
  <c r="BA562" i="2"/>
  <c r="AZ562" i="2"/>
  <c r="AY562" i="2"/>
  <c r="BA561" i="2"/>
  <c r="AZ561" i="2"/>
  <c r="AY561" i="2"/>
  <c r="BA560" i="2"/>
  <c r="AZ560" i="2"/>
  <c r="AY560" i="2"/>
  <c r="BA559" i="2"/>
  <c r="AZ559" i="2"/>
  <c r="AY559" i="2"/>
  <c r="BA558" i="2"/>
  <c r="AZ558" i="2"/>
  <c r="AY558" i="2"/>
  <c r="BA557" i="2"/>
  <c r="AZ557" i="2"/>
  <c r="AY557" i="2"/>
  <c r="BA556" i="2"/>
  <c r="AZ556" i="2"/>
  <c r="AY556" i="2"/>
  <c r="BA555" i="2"/>
  <c r="AZ555" i="2"/>
  <c r="AY555" i="2"/>
  <c r="BA554" i="2"/>
  <c r="AZ554" i="2"/>
  <c r="AY554" i="2"/>
  <c r="BA553" i="2"/>
  <c r="AZ553" i="2"/>
  <c r="AY553" i="2"/>
  <c r="BA552" i="2"/>
  <c r="AZ552" i="2"/>
  <c r="AY552" i="2"/>
  <c r="BA551" i="2"/>
  <c r="AZ551" i="2"/>
  <c r="AY551" i="2"/>
  <c r="BA550" i="2"/>
  <c r="AZ550" i="2"/>
  <c r="AY550" i="2"/>
  <c r="BA549" i="2"/>
  <c r="AZ549" i="2"/>
  <c r="AY549" i="2"/>
  <c r="BA548" i="2"/>
  <c r="AZ548" i="2"/>
  <c r="AY548" i="2"/>
  <c r="BA547" i="2"/>
  <c r="AZ547" i="2"/>
  <c r="AY547" i="2"/>
  <c r="BA546" i="2"/>
  <c r="AZ546" i="2"/>
  <c r="AY546" i="2"/>
  <c r="BA545" i="2"/>
  <c r="AZ545" i="2"/>
  <c r="AY545" i="2"/>
  <c r="BA544" i="2"/>
  <c r="AZ544" i="2"/>
  <c r="AY544" i="2"/>
  <c r="BA543" i="2"/>
  <c r="AZ543" i="2"/>
  <c r="AY543" i="2"/>
  <c r="BA542" i="2"/>
  <c r="AZ542" i="2"/>
  <c r="AY542" i="2"/>
  <c r="BA541" i="2"/>
  <c r="AZ541" i="2"/>
  <c r="AY541" i="2"/>
  <c r="BA540" i="2"/>
  <c r="AZ540" i="2"/>
  <c r="AY540" i="2"/>
  <c r="BA539" i="2"/>
  <c r="AZ539" i="2"/>
  <c r="AY539" i="2"/>
  <c r="BA538" i="2"/>
  <c r="AZ538" i="2"/>
  <c r="AY538" i="2"/>
  <c r="BA537" i="2"/>
  <c r="AZ537" i="2"/>
  <c r="AY537" i="2"/>
  <c r="BA536" i="2"/>
  <c r="AZ536" i="2"/>
  <c r="AY536" i="2"/>
  <c r="BA535" i="2"/>
  <c r="AZ535" i="2"/>
  <c r="AY535" i="2"/>
  <c r="BA534" i="2"/>
  <c r="AZ534" i="2"/>
  <c r="AY534" i="2"/>
  <c r="BA533" i="2"/>
  <c r="AZ533" i="2"/>
  <c r="AY533" i="2"/>
  <c r="BA532" i="2"/>
  <c r="AZ532" i="2"/>
  <c r="AY532" i="2"/>
  <c r="BA531" i="2"/>
  <c r="AZ531" i="2"/>
  <c r="AY531" i="2"/>
  <c r="BA530" i="2"/>
  <c r="AZ530" i="2"/>
  <c r="AY530" i="2"/>
  <c r="BA529" i="2"/>
  <c r="AZ529" i="2"/>
  <c r="AY529" i="2"/>
  <c r="BA528" i="2"/>
  <c r="AZ528" i="2"/>
  <c r="AY528" i="2"/>
  <c r="BA527" i="2"/>
  <c r="AZ527" i="2"/>
  <c r="AY527" i="2"/>
  <c r="BA526" i="2"/>
  <c r="AZ526" i="2"/>
  <c r="AY526" i="2"/>
  <c r="BA525" i="2"/>
  <c r="AZ525" i="2"/>
  <c r="AY525" i="2"/>
  <c r="BA524" i="2"/>
  <c r="AZ524" i="2"/>
  <c r="AY524" i="2"/>
  <c r="BA523" i="2"/>
  <c r="AZ523" i="2"/>
  <c r="AY523" i="2"/>
  <c r="BA522" i="2"/>
  <c r="AZ522" i="2"/>
  <c r="AY522" i="2"/>
  <c r="BA521" i="2"/>
  <c r="AZ521" i="2"/>
  <c r="AY521" i="2"/>
  <c r="BA520" i="2"/>
  <c r="AZ520" i="2"/>
  <c r="AY520" i="2"/>
  <c r="BA519" i="2"/>
  <c r="AZ519" i="2"/>
  <c r="AY519" i="2"/>
  <c r="BA518" i="2"/>
  <c r="AZ518" i="2"/>
  <c r="AY518" i="2"/>
  <c r="BA517" i="2"/>
  <c r="AZ517" i="2"/>
  <c r="AY517" i="2"/>
  <c r="BA516" i="2"/>
  <c r="AZ516" i="2"/>
  <c r="AY516" i="2"/>
  <c r="BA515" i="2"/>
  <c r="AZ515" i="2"/>
  <c r="AY515" i="2"/>
  <c r="BA514" i="2"/>
  <c r="AZ514" i="2"/>
  <c r="AY514" i="2"/>
  <c r="BA513" i="2"/>
  <c r="AZ513" i="2"/>
  <c r="AY513" i="2"/>
  <c r="BA512" i="2"/>
  <c r="AZ512" i="2"/>
  <c r="AY512" i="2"/>
  <c r="BA511" i="2"/>
  <c r="AZ511" i="2"/>
  <c r="AY511" i="2"/>
  <c r="AR510" i="2"/>
  <c r="AQ510" i="2"/>
  <c r="AP510" i="2"/>
  <c r="AO510" i="2"/>
  <c r="AN510" i="2"/>
  <c r="AM510" i="2"/>
  <c r="AL510" i="2"/>
  <c r="B510" i="2"/>
  <c r="AR509" i="2"/>
  <c r="AQ509" i="2"/>
  <c r="AP509" i="2"/>
  <c r="AO509" i="2"/>
  <c r="AN509" i="2"/>
  <c r="AM509" i="2"/>
  <c r="AL509" i="2"/>
  <c r="B509" i="2"/>
  <c r="AR508" i="2"/>
  <c r="AQ508" i="2"/>
  <c r="AP508" i="2"/>
  <c r="AO508" i="2"/>
  <c r="AN508" i="2"/>
  <c r="AM508" i="2"/>
  <c r="AL508" i="2"/>
  <c r="B508" i="2"/>
  <c r="AR507" i="2"/>
  <c r="AQ507" i="2"/>
  <c r="AP507" i="2"/>
  <c r="AO507" i="2"/>
  <c r="AN507" i="2"/>
  <c r="AM507" i="2"/>
  <c r="AL507" i="2"/>
  <c r="B507" i="2"/>
  <c r="AR506" i="2"/>
  <c r="AQ506" i="2"/>
  <c r="AP506" i="2"/>
  <c r="AO506" i="2"/>
  <c r="AN506" i="2"/>
  <c r="AM506" i="2"/>
  <c r="AL506" i="2"/>
  <c r="B506" i="2"/>
  <c r="AR505" i="2"/>
  <c r="AQ505" i="2"/>
  <c r="AP505" i="2"/>
  <c r="AO505" i="2"/>
  <c r="AN505" i="2"/>
  <c r="AM505" i="2"/>
  <c r="AL505" i="2"/>
  <c r="B505" i="2"/>
  <c r="AR504" i="2"/>
  <c r="AQ504" i="2"/>
  <c r="AP504" i="2"/>
  <c r="AO504" i="2"/>
  <c r="AN504" i="2"/>
  <c r="AM504" i="2"/>
  <c r="AL504" i="2"/>
  <c r="B504" i="2"/>
  <c r="AR503" i="2"/>
  <c r="AQ503" i="2"/>
  <c r="AP503" i="2"/>
  <c r="AO503" i="2"/>
  <c r="AN503" i="2"/>
  <c r="AM503" i="2"/>
  <c r="AL503" i="2"/>
  <c r="B503" i="2"/>
  <c r="AR502" i="2"/>
  <c r="AQ502" i="2"/>
  <c r="AP502" i="2"/>
  <c r="AO502" i="2"/>
  <c r="AN502" i="2"/>
  <c r="AM502" i="2"/>
  <c r="AL502" i="2"/>
  <c r="B502" i="2"/>
  <c r="AR501" i="2"/>
  <c r="AQ501" i="2"/>
  <c r="AP501" i="2"/>
  <c r="AO501" i="2"/>
  <c r="AN501" i="2"/>
  <c r="AM501" i="2"/>
  <c r="AL501" i="2"/>
  <c r="B501" i="2"/>
  <c r="AR500" i="2"/>
  <c r="AQ500" i="2"/>
  <c r="AP500" i="2"/>
  <c r="AO500" i="2"/>
  <c r="AN500" i="2"/>
  <c r="AM500" i="2"/>
  <c r="AL500" i="2"/>
  <c r="B500" i="2"/>
  <c r="AR499" i="2"/>
  <c r="AQ499" i="2"/>
  <c r="AP499" i="2"/>
  <c r="AO499" i="2"/>
  <c r="AN499" i="2"/>
  <c r="AM499" i="2"/>
  <c r="AL499" i="2"/>
  <c r="B499" i="2"/>
  <c r="AR498" i="2"/>
  <c r="AQ498" i="2"/>
  <c r="AP498" i="2"/>
  <c r="AO498" i="2"/>
  <c r="AN498" i="2"/>
  <c r="AM498" i="2"/>
  <c r="AL498" i="2"/>
  <c r="B498" i="2"/>
  <c r="AR497" i="2"/>
  <c r="AQ497" i="2"/>
  <c r="AP497" i="2"/>
  <c r="AO497" i="2"/>
  <c r="AN497" i="2"/>
  <c r="AM497" i="2"/>
  <c r="AL497" i="2"/>
  <c r="B497" i="2"/>
  <c r="AR496" i="2"/>
  <c r="AQ496" i="2"/>
  <c r="AP496" i="2"/>
  <c r="AO496" i="2"/>
  <c r="AN496" i="2"/>
  <c r="AM496" i="2"/>
  <c r="AL496" i="2"/>
  <c r="B496" i="2"/>
  <c r="AR495" i="2"/>
  <c r="AQ495" i="2"/>
  <c r="AP495" i="2"/>
  <c r="AO495" i="2"/>
  <c r="AN495" i="2"/>
  <c r="AM495" i="2"/>
  <c r="AL495" i="2"/>
  <c r="B495" i="2"/>
  <c r="AR494" i="2"/>
  <c r="AQ494" i="2"/>
  <c r="AP494" i="2"/>
  <c r="AO494" i="2"/>
  <c r="AN494" i="2"/>
  <c r="AM494" i="2"/>
  <c r="AL494" i="2"/>
  <c r="B494" i="2"/>
  <c r="AR493" i="2"/>
  <c r="AQ493" i="2"/>
  <c r="AP493" i="2"/>
  <c r="AO493" i="2"/>
  <c r="AN493" i="2"/>
  <c r="AM493" i="2"/>
  <c r="AL493" i="2"/>
  <c r="B493" i="2"/>
  <c r="AR492" i="2"/>
  <c r="AQ492" i="2"/>
  <c r="AP492" i="2"/>
  <c r="AO492" i="2"/>
  <c r="AN492" i="2"/>
  <c r="AM492" i="2"/>
  <c r="AL492" i="2"/>
  <c r="B492" i="2"/>
  <c r="AR491" i="2"/>
  <c r="AQ491" i="2"/>
  <c r="AP491" i="2"/>
  <c r="AO491" i="2"/>
  <c r="AN491" i="2"/>
  <c r="AM491" i="2"/>
  <c r="AL491" i="2"/>
  <c r="B491" i="2"/>
  <c r="AR490" i="2"/>
  <c r="AQ490" i="2"/>
  <c r="AP490" i="2"/>
  <c r="AO490" i="2"/>
  <c r="AN490" i="2"/>
  <c r="AM490" i="2"/>
  <c r="AL490" i="2"/>
  <c r="B490" i="2"/>
  <c r="AR489" i="2"/>
  <c r="AQ489" i="2"/>
  <c r="AP489" i="2"/>
  <c r="AO489" i="2"/>
  <c r="AN489" i="2"/>
  <c r="AM489" i="2"/>
  <c r="AL489" i="2"/>
  <c r="B489" i="2"/>
  <c r="AR488" i="2"/>
  <c r="AQ488" i="2"/>
  <c r="AP488" i="2"/>
  <c r="AO488" i="2"/>
  <c r="AN488" i="2"/>
  <c r="AM488" i="2"/>
  <c r="AL488" i="2"/>
  <c r="B488" i="2"/>
  <c r="AR487" i="2"/>
  <c r="AQ487" i="2"/>
  <c r="AP487" i="2"/>
  <c r="AO487" i="2"/>
  <c r="AN487" i="2"/>
  <c r="AM487" i="2"/>
  <c r="AL487" i="2"/>
  <c r="B487" i="2"/>
  <c r="AR486" i="2"/>
  <c r="AQ486" i="2"/>
  <c r="AP486" i="2"/>
  <c r="AO486" i="2"/>
  <c r="AN486" i="2"/>
  <c r="AM486" i="2"/>
  <c r="AL486" i="2"/>
  <c r="B486" i="2"/>
  <c r="AR485" i="2"/>
  <c r="AQ485" i="2"/>
  <c r="AP485" i="2"/>
  <c r="AO485" i="2"/>
  <c r="AN485" i="2"/>
  <c r="AM485" i="2"/>
  <c r="AL485" i="2"/>
  <c r="B485" i="2"/>
  <c r="AR484" i="2"/>
  <c r="AQ484" i="2"/>
  <c r="AP484" i="2"/>
  <c r="AO484" i="2"/>
  <c r="AN484" i="2"/>
  <c r="AM484" i="2"/>
  <c r="AL484" i="2"/>
  <c r="B484" i="2"/>
  <c r="AR483" i="2"/>
  <c r="AQ483" i="2"/>
  <c r="AP483" i="2"/>
  <c r="AO483" i="2"/>
  <c r="AN483" i="2"/>
  <c r="AM483" i="2"/>
  <c r="AL483" i="2"/>
  <c r="B483" i="2"/>
  <c r="AR482" i="2"/>
  <c r="AQ482" i="2"/>
  <c r="AP482" i="2"/>
  <c r="AO482" i="2"/>
  <c r="AN482" i="2"/>
  <c r="AM482" i="2"/>
  <c r="AL482" i="2"/>
  <c r="B482" i="2"/>
  <c r="AR481" i="2"/>
  <c r="AQ481" i="2"/>
  <c r="AP481" i="2"/>
  <c r="AO481" i="2"/>
  <c r="AN481" i="2"/>
  <c r="AM481" i="2"/>
  <c r="AL481" i="2"/>
  <c r="B481" i="2"/>
  <c r="AR480" i="2"/>
  <c r="AQ480" i="2"/>
  <c r="AP480" i="2"/>
  <c r="AO480" i="2"/>
  <c r="AN480" i="2"/>
  <c r="AM480" i="2"/>
  <c r="AL480" i="2"/>
  <c r="B480" i="2"/>
  <c r="AR479" i="2"/>
  <c r="AQ479" i="2"/>
  <c r="AP479" i="2"/>
  <c r="AO479" i="2"/>
  <c r="AN479" i="2"/>
  <c r="AM479" i="2"/>
  <c r="AL479" i="2"/>
  <c r="B479" i="2"/>
  <c r="AR478" i="2"/>
  <c r="AQ478" i="2"/>
  <c r="AP478" i="2"/>
  <c r="AO478" i="2"/>
  <c r="AN478" i="2"/>
  <c r="AM478" i="2"/>
  <c r="AL478" i="2"/>
  <c r="B478" i="2"/>
  <c r="AR477" i="2"/>
  <c r="AQ477" i="2"/>
  <c r="AP477" i="2"/>
  <c r="AO477" i="2"/>
  <c r="AN477" i="2"/>
  <c r="AM477" i="2"/>
  <c r="AL477" i="2"/>
  <c r="B477" i="2"/>
  <c r="AR476" i="2"/>
  <c r="AQ476" i="2"/>
  <c r="AP476" i="2"/>
  <c r="AO476" i="2"/>
  <c r="AN476" i="2"/>
  <c r="AM476" i="2"/>
  <c r="AL476" i="2"/>
  <c r="B476" i="2"/>
  <c r="AR475" i="2"/>
  <c r="AQ475" i="2"/>
  <c r="AP475" i="2"/>
  <c r="AO475" i="2"/>
  <c r="AN475" i="2"/>
  <c r="AM475" i="2"/>
  <c r="AL475" i="2"/>
  <c r="B475" i="2"/>
  <c r="AR474" i="2"/>
  <c r="AQ474" i="2"/>
  <c r="AP474" i="2"/>
  <c r="AO474" i="2"/>
  <c r="AN474" i="2"/>
  <c r="AM474" i="2"/>
  <c r="AL474" i="2"/>
  <c r="B474" i="2"/>
  <c r="AR473" i="2"/>
  <c r="AQ473" i="2"/>
  <c r="AP473" i="2"/>
  <c r="AO473" i="2"/>
  <c r="AN473" i="2"/>
  <c r="AM473" i="2"/>
  <c r="AL473" i="2"/>
  <c r="B473" i="2"/>
  <c r="AR472" i="2"/>
  <c r="AQ472" i="2"/>
  <c r="AP472" i="2"/>
  <c r="AO472" i="2"/>
  <c r="AN472" i="2"/>
  <c r="AM472" i="2"/>
  <c r="AL472" i="2"/>
  <c r="B472" i="2"/>
  <c r="AR471" i="2"/>
  <c r="AQ471" i="2"/>
  <c r="AP471" i="2"/>
  <c r="AO471" i="2"/>
  <c r="AN471" i="2"/>
  <c r="AM471" i="2"/>
  <c r="AL471" i="2"/>
  <c r="B471" i="2"/>
  <c r="AR470" i="2"/>
  <c r="AQ470" i="2"/>
  <c r="AP470" i="2"/>
  <c r="AO470" i="2"/>
  <c r="AN470" i="2"/>
  <c r="AM470" i="2"/>
  <c r="AL470" i="2"/>
  <c r="B470" i="2"/>
  <c r="AR469" i="2"/>
  <c r="AQ469" i="2"/>
  <c r="AP469" i="2"/>
  <c r="AO469" i="2"/>
  <c r="AN469" i="2"/>
  <c r="AM469" i="2"/>
  <c r="AL469" i="2"/>
  <c r="B469" i="2"/>
  <c r="AR468" i="2"/>
  <c r="AQ468" i="2"/>
  <c r="AP468" i="2"/>
  <c r="AO468" i="2"/>
  <c r="AN468" i="2"/>
  <c r="AM468" i="2"/>
  <c r="AL468" i="2"/>
  <c r="B468" i="2"/>
  <c r="AR467" i="2"/>
  <c r="AQ467" i="2"/>
  <c r="AP467" i="2"/>
  <c r="AO467" i="2"/>
  <c r="AN467" i="2"/>
  <c r="AM467" i="2"/>
  <c r="AL467" i="2"/>
  <c r="B467" i="2"/>
  <c r="AR466" i="2"/>
  <c r="AQ466" i="2"/>
  <c r="AP466" i="2"/>
  <c r="AO466" i="2"/>
  <c r="AN466" i="2"/>
  <c r="AM466" i="2"/>
  <c r="AL466" i="2"/>
  <c r="B466" i="2"/>
  <c r="AR465" i="2"/>
  <c r="AQ465" i="2"/>
  <c r="AP465" i="2"/>
  <c r="AO465" i="2"/>
  <c r="AN465" i="2"/>
  <c r="AM465" i="2"/>
  <c r="AL465" i="2"/>
  <c r="B465" i="2"/>
  <c r="AR464" i="2"/>
  <c r="AQ464" i="2"/>
  <c r="AP464" i="2"/>
  <c r="AO464" i="2"/>
  <c r="AN464" i="2"/>
  <c r="AM464" i="2"/>
  <c r="AL464" i="2"/>
  <c r="B464" i="2"/>
  <c r="AR463" i="2"/>
  <c r="AQ463" i="2"/>
  <c r="AP463" i="2"/>
  <c r="AO463" i="2"/>
  <c r="AN463" i="2"/>
  <c r="AM463" i="2"/>
  <c r="AL463" i="2"/>
  <c r="B463" i="2"/>
  <c r="AR462" i="2"/>
  <c r="AQ462" i="2"/>
  <c r="AP462" i="2"/>
  <c r="AO462" i="2"/>
  <c r="AN462" i="2"/>
  <c r="AM462" i="2"/>
  <c r="AL462" i="2"/>
  <c r="B462" i="2"/>
  <c r="AR461" i="2"/>
  <c r="AQ461" i="2"/>
  <c r="AP461" i="2"/>
  <c r="AO461" i="2"/>
  <c r="AN461" i="2"/>
  <c r="AM461" i="2"/>
  <c r="AL461" i="2"/>
  <c r="B461" i="2"/>
  <c r="AR460" i="2"/>
  <c r="AQ460" i="2"/>
  <c r="AP460" i="2"/>
  <c r="AO460" i="2"/>
  <c r="AN460" i="2"/>
  <c r="AM460" i="2"/>
  <c r="AL460" i="2"/>
  <c r="B460" i="2"/>
  <c r="AR459" i="2"/>
  <c r="AQ459" i="2"/>
  <c r="AP459" i="2"/>
  <c r="AO459" i="2"/>
  <c r="AN459" i="2"/>
  <c r="AM459" i="2"/>
  <c r="AL459" i="2"/>
  <c r="B459" i="2"/>
  <c r="AR458" i="2"/>
  <c r="AQ458" i="2"/>
  <c r="AP458" i="2"/>
  <c r="AO458" i="2"/>
  <c r="AN458" i="2"/>
  <c r="AM458" i="2"/>
  <c r="AL458" i="2"/>
  <c r="B458" i="2"/>
  <c r="AR457" i="2"/>
  <c r="AQ457" i="2"/>
  <c r="AP457" i="2"/>
  <c r="AO457" i="2"/>
  <c r="AN457" i="2"/>
  <c r="AM457" i="2"/>
  <c r="AL457" i="2"/>
  <c r="B457" i="2"/>
  <c r="AR456" i="2"/>
  <c r="AQ456" i="2"/>
  <c r="AP456" i="2"/>
  <c r="AO456" i="2"/>
  <c r="AN456" i="2"/>
  <c r="AM456" i="2"/>
  <c r="AL456" i="2"/>
  <c r="B456" i="2"/>
  <c r="AR455" i="2"/>
  <c r="AQ455" i="2"/>
  <c r="AP455" i="2"/>
  <c r="AO455" i="2"/>
  <c r="AN455" i="2"/>
  <c r="AM455" i="2"/>
  <c r="AL455" i="2"/>
  <c r="B455" i="2"/>
  <c r="AR454" i="2"/>
  <c r="AQ454" i="2"/>
  <c r="AP454" i="2"/>
  <c r="AO454" i="2"/>
  <c r="AN454" i="2"/>
  <c r="AM454" i="2"/>
  <c r="AL454" i="2"/>
  <c r="B454" i="2"/>
  <c r="AR453" i="2"/>
  <c r="AQ453" i="2"/>
  <c r="AP453" i="2"/>
  <c r="AO453" i="2"/>
  <c r="AN453" i="2"/>
  <c r="AM453" i="2"/>
  <c r="AL453" i="2"/>
  <c r="B453" i="2"/>
  <c r="AR452" i="2"/>
  <c r="AQ452" i="2"/>
  <c r="AP452" i="2"/>
  <c r="AO452" i="2"/>
  <c r="AN452" i="2"/>
  <c r="AM452" i="2"/>
  <c r="AL452" i="2"/>
  <c r="B452" i="2"/>
  <c r="AR451" i="2"/>
  <c r="AQ451" i="2"/>
  <c r="AP451" i="2"/>
  <c r="AO451" i="2"/>
  <c r="AN451" i="2"/>
  <c r="AM451" i="2"/>
  <c r="AL451" i="2"/>
  <c r="B451" i="2"/>
  <c r="AR450" i="2"/>
  <c r="AQ450" i="2"/>
  <c r="AP450" i="2"/>
  <c r="AO450" i="2"/>
  <c r="AN450" i="2"/>
  <c r="AM450" i="2"/>
  <c r="AL450" i="2"/>
  <c r="B450" i="2"/>
  <c r="AR449" i="2"/>
  <c r="AQ449" i="2"/>
  <c r="AP449" i="2"/>
  <c r="AO449" i="2"/>
  <c r="AN449" i="2"/>
  <c r="AM449" i="2"/>
  <c r="AL449" i="2"/>
  <c r="B449" i="2"/>
  <c r="AR448" i="2"/>
  <c r="AQ448" i="2"/>
  <c r="AP448" i="2"/>
  <c r="AO448" i="2"/>
  <c r="AN448" i="2"/>
  <c r="AM448" i="2"/>
  <c r="AL448" i="2"/>
  <c r="B448" i="2"/>
  <c r="AR447" i="2"/>
  <c r="AQ447" i="2"/>
  <c r="AP447" i="2"/>
  <c r="AO447" i="2"/>
  <c r="AN447" i="2"/>
  <c r="AM447" i="2"/>
  <c r="AL447" i="2"/>
  <c r="B447" i="2"/>
  <c r="AR446" i="2"/>
  <c r="AQ446" i="2"/>
  <c r="AP446" i="2"/>
  <c r="AO446" i="2"/>
  <c r="AN446" i="2"/>
  <c r="AM446" i="2"/>
  <c r="AL446" i="2"/>
  <c r="B446" i="2"/>
  <c r="AR445" i="2"/>
  <c r="AQ445" i="2"/>
  <c r="AP445" i="2"/>
  <c r="AO445" i="2"/>
  <c r="AN445" i="2"/>
  <c r="AM445" i="2"/>
  <c r="AL445" i="2"/>
  <c r="B445" i="2"/>
  <c r="AR444" i="2"/>
  <c r="AQ444" i="2"/>
  <c r="AP444" i="2"/>
  <c r="AO444" i="2"/>
  <c r="AN444" i="2"/>
  <c r="AM444" i="2"/>
  <c r="AL444" i="2"/>
  <c r="B444" i="2"/>
  <c r="AR443" i="2"/>
  <c r="AQ443" i="2"/>
  <c r="AP443" i="2"/>
  <c r="AO443" i="2"/>
  <c r="AN443" i="2"/>
  <c r="AM443" i="2"/>
  <c r="AL443" i="2"/>
  <c r="B443" i="2"/>
  <c r="AR442" i="2"/>
  <c r="AQ442" i="2"/>
  <c r="AP442" i="2"/>
  <c r="AO442" i="2"/>
  <c r="AN442" i="2"/>
  <c r="AM442" i="2"/>
  <c r="AL442" i="2"/>
  <c r="B442" i="2"/>
  <c r="AR441" i="2"/>
  <c r="AQ441" i="2"/>
  <c r="AP441" i="2"/>
  <c r="AO441" i="2"/>
  <c r="AN441" i="2"/>
  <c r="AM441" i="2"/>
  <c r="AL441" i="2"/>
  <c r="B441" i="2"/>
  <c r="AR440" i="2"/>
  <c r="AQ440" i="2"/>
  <c r="AP440" i="2"/>
  <c r="AO440" i="2"/>
  <c r="AN440" i="2"/>
  <c r="AM440" i="2"/>
  <c r="AL440" i="2"/>
  <c r="B440" i="2"/>
  <c r="AR439" i="2"/>
  <c r="AQ439" i="2"/>
  <c r="AP439" i="2"/>
  <c r="AO439" i="2"/>
  <c r="AN439" i="2"/>
  <c r="AM439" i="2"/>
  <c r="AL439" i="2"/>
  <c r="B439" i="2"/>
  <c r="AR438" i="2"/>
  <c r="AQ438" i="2"/>
  <c r="AP438" i="2"/>
  <c r="AO438" i="2"/>
  <c r="AN438" i="2"/>
  <c r="AM438" i="2"/>
  <c r="AL438" i="2"/>
  <c r="B438" i="2"/>
  <c r="AR437" i="2"/>
  <c r="AQ437" i="2"/>
  <c r="AP437" i="2"/>
  <c r="AO437" i="2"/>
  <c r="AN437" i="2"/>
  <c r="AM437" i="2"/>
  <c r="AL437" i="2"/>
  <c r="B437" i="2"/>
  <c r="AR436" i="2"/>
  <c r="AQ436" i="2"/>
  <c r="AP436" i="2"/>
  <c r="AO436" i="2"/>
  <c r="AN436" i="2"/>
  <c r="AM436" i="2"/>
  <c r="AL436" i="2"/>
  <c r="B436" i="2"/>
  <c r="AR435" i="2"/>
  <c r="AQ435" i="2"/>
  <c r="AP435" i="2"/>
  <c r="AO435" i="2"/>
  <c r="AN435" i="2"/>
  <c r="AM435" i="2"/>
  <c r="AL435" i="2"/>
  <c r="B435" i="2"/>
  <c r="AR434" i="2"/>
  <c r="AQ434" i="2"/>
  <c r="AP434" i="2"/>
  <c r="AO434" i="2"/>
  <c r="AN434" i="2"/>
  <c r="AM434" i="2"/>
  <c r="AL434" i="2"/>
  <c r="B434" i="2"/>
  <c r="AR433" i="2"/>
  <c r="AQ433" i="2"/>
  <c r="AP433" i="2"/>
  <c r="AO433" i="2"/>
  <c r="AN433" i="2"/>
  <c r="AM433" i="2"/>
  <c r="AL433" i="2"/>
  <c r="B433" i="2"/>
  <c r="AR432" i="2"/>
  <c r="AQ432" i="2"/>
  <c r="AP432" i="2"/>
  <c r="AO432" i="2"/>
  <c r="AN432" i="2"/>
  <c r="AM432" i="2"/>
  <c r="AL432" i="2"/>
  <c r="B432" i="2"/>
  <c r="AR431" i="2"/>
  <c r="AQ431" i="2"/>
  <c r="AP431" i="2"/>
  <c r="AO431" i="2"/>
  <c r="AN431" i="2"/>
  <c r="AM431" i="2"/>
  <c r="AL431" i="2"/>
  <c r="B431" i="2"/>
  <c r="AR430" i="2"/>
  <c r="AQ430" i="2"/>
  <c r="AP430" i="2"/>
  <c r="AO430" i="2"/>
  <c r="AN430" i="2"/>
  <c r="AM430" i="2"/>
  <c r="AL430" i="2"/>
  <c r="B430" i="2"/>
  <c r="AR429" i="2"/>
  <c r="AQ429" i="2"/>
  <c r="AP429" i="2"/>
  <c r="AO429" i="2"/>
  <c r="AN429" i="2"/>
  <c r="AM429" i="2"/>
  <c r="AL429" i="2"/>
  <c r="B429" i="2"/>
  <c r="AR428" i="2"/>
  <c r="AQ428" i="2"/>
  <c r="AP428" i="2"/>
  <c r="AO428" i="2"/>
  <c r="AN428" i="2"/>
  <c r="AM428" i="2"/>
  <c r="AL428" i="2"/>
  <c r="B428" i="2"/>
  <c r="AR427" i="2"/>
  <c r="AQ427" i="2"/>
  <c r="AP427" i="2"/>
  <c r="AO427" i="2"/>
  <c r="AN427" i="2"/>
  <c r="AM427" i="2"/>
  <c r="AL427" i="2"/>
  <c r="B427" i="2"/>
  <c r="AR426" i="2"/>
  <c r="AQ426" i="2"/>
  <c r="AP426" i="2"/>
  <c r="AO426" i="2"/>
  <c r="AN426" i="2"/>
  <c r="AM426" i="2"/>
  <c r="AL426" i="2"/>
  <c r="B426" i="2"/>
  <c r="AR425" i="2"/>
  <c r="AQ425" i="2"/>
  <c r="AP425" i="2"/>
  <c r="AO425" i="2"/>
  <c r="AN425" i="2"/>
  <c r="AM425" i="2"/>
  <c r="AL425" i="2"/>
  <c r="B425" i="2"/>
  <c r="AR424" i="2"/>
  <c r="AQ424" i="2"/>
  <c r="AP424" i="2"/>
  <c r="AO424" i="2"/>
  <c r="AN424" i="2"/>
  <c r="AM424" i="2"/>
  <c r="AL424" i="2"/>
  <c r="B424" i="2"/>
  <c r="AR423" i="2"/>
  <c r="AQ423" i="2"/>
  <c r="AP423" i="2"/>
  <c r="AO423" i="2"/>
  <c r="AN423" i="2"/>
  <c r="AM423" i="2"/>
  <c r="AL423" i="2"/>
  <c r="B423" i="2"/>
  <c r="AR422" i="2"/>
  <c r="AQ422" i="2"/>
  <c r="AP422" i="2"/>
  <c r="AO422" i="2"/>
  <c r="AN422" i="2"/>
  <c r="AM422" i="2"/>
  <c r="AL422" i="2"/>
  <c r="B422" i="2"/>
  <c r="AR421" i="2"/>
  <c r="AQ421" i="2"/>
  <c r="AP421" i="2"/>
  <c r="AO421" i="2"/>
  <c r="AN421" i="2"/>
  <c r="AM421" i="2"/>
  <c r="AL421" i="2"/>
  <c r="B421" i="2"/>
  <c r="AR420" i="2"/>
  <c r="AQ420" i="2"/>
  <c r="AP420" i="2"/>
  <c r="AO420" i="2"/>
  <c r="AN420" i="2"/>
  <c r="AM420" i="2"/>
  <c r="AL420" i="2"/>
  <c r="B420" i="2"/>
  <c r="AR419" i="2"/>
  <c r="AQ419" i="2"/>
  <c r="AP419" i="2"/>
  <c r="AO419" i="2"/>
  <c r="AN419" i="2"/>
  <c r="AM419" i="2"/>
  <c r="AL419" i="2"/>
  <c r="B419" i="2"/>
  <c r="AR418" i="2"/>
  <c r="AQ418" i="2"/>
  <c r="AP418" i="2"/>
  <c r="AO418" i="2"/>
  <c r="AN418" i="2"/>
  <c r="AM418" i="2"/>
  <c r="AL418" i="2"/>
  <c r="B418" i="2"/>
  <c r="AR417" i="2"/>
  <c r="AQ417" i="2"/>
  <c r="AP417" i="2"/>
  <c r="AO417" i="2"/>
  <c r="AN417" i="2"/>
  <c r="AM417" i="2"/>
  <c r="AL417" i="2"/>
  <c r="B417" i="2"/>
  <c r="AR416" i="2"/>
  <c r="AQ416" i="2"/>
  <c r="AP416" i="2"/>
  <c r="AO416" i="2"/>
  <c r="AN416" i="2"/>
  <c r="AM416" i="2"/>
  <c r="AL416" i="2"/>
  <c r="B416" i="2"/>
  <c r="AR415" i="2"/>
  <c r="AQ415" i="2"/>
  <c r="AP415" i="2"/>
  <c r="AO415" i="2"/>
  <c r="AN415" i="2"/>
  <c r="AM415" i="2"/>
  <c r="AL415" i="2"/>
  <c r="B415" i="2"/>
  <c r="AR414" i="2"/>
  <c r="AQ414" i="2"/>
  <c r="AP414" i="2"/>
  <c r="AO414" i="2"/>
  <c r="AN414" i="2"/>
  <c r="AM414" i="2"/>
  <c r="AL414" i="2"/>
  <c r="B414" i="2"/>
  <c r="AR413" i="2"/>
  <c r="AQ413" i="2"/>
  <c r="AP413" i="2"/>
  <c r="AO413" i="2"/>
  <c r="AN413" i="2"/>
  <c r="AM413" i="2"/>
  <c r="AL413" i="2"/>
  <c r="B413" i="2"/>
  <c r="AR412" i="2"/>
  <c r="AQ412" i="2"/>
  <c r="AP412" i="2"/>
  <c r="AO412" i="2"/>
  <c r="AN412" i="2"/>
  <c r="AM412" i="2"/>
  <c r="AL412" i="2"/>
  <c r="B412" i="2"/>
  <c r="AR411" i="2"/>
  <c r="AQ411" i="2"/>
  <c r="AP411" i="2"/>
  <c r="AO411" i="2"/>
  <c r="AN411" i="2"/>
  <c r="AM411" i="2"/>
  <c r="AL411" i="2"/>
  <c r="B411" i="2"/>
  <c r="AR410" i="2"/>
  <c r="AQ410" i="2"/>
  <c r="AP410" i="2"/>
  <c r="AO410" i="2"/>
  <c r="AN410" i="2"/>
  <c r="AM410" i="2"/>
  <c r="AL410" i="2"/>
  <c r="B410" i="2"/>
  <c r="AR409" i="2"/>
  <c r="AQ409" i="2"/>
  <c r="AP409" i="2"/>
  <c r="AO409" i="2"/>
  <c r="AN409" i="2"/>
  <c r="AM409" i="2"/>
  <c r="AL409" i="2"/>
  <c r="B409" i="2"/>
  <c r="AR408" i="2"/>
  <c r="AQ408" i="2"/>
  <c r="AP408" i="2"/>
  <c r="AO408" i="2"/>
  <c r="AN408" i="2"/>
  <c r="AM408" i="2"/>
  <c r="AL408" i="2"/>
  <c r="B408" i="2"/>
  <c r="AR407" i="2"/>
  <c r="AQ407" i="2"/>
  <c r="AP407" i="2"/>
  <c r="AO407" i="2"/>
  <c r="AN407" i="2"/>
  <c r="AM407" i="2"/>
  <c r="AL407" i="2"/>
  <c r="B407" i="2"/>
  <c r="AR406" i="2"/>
  <c r="AQ406" i="2"/>
  <c r="AP406" i="2"/>
  <c r="AO406" i="2"/>
  <c r="AN406" i="2"/>
  <c r="AM406" i="2"/>
  <c r="AL406" i="2"/>
  <c r="B406" i="2"/>
  <c r="AR405" i="2"/>
  <c r="AQ405" i="2"/>
  <c r="AP405" i="2"/>
  <c r="AO405" i="2"/>
  <c r="AN405" i="2"/>
  <c r="AM405" i="2"/>
  <c r="AL405" i="2"/>
  <c r="B405" i="2"/>
  <c r="AR404" i="2"/>
  <c r="AQ404" i="2"/>
  <c r="AP404" i="2"/>
  <c r="AO404" i="2"/>
  <c r="AN404" i="2"/>
  <c r="AM404" i="2"/>
  <c r="AL404" i="2"/>
  <c r="B404" i="2"/>
  <c r="AR403" i="2"/>
  <c r="AQ403" i="2"/>
  <c r="AP403" i="2"/>
  <c r="AO403" i="2"/>
  <c r="AN403" i="2"/>
  <c r="AM403" i="2"/>
  <c r="AL403" i="2"/>
  <c r="B403" i="2"/>
  <c r="AR402" i="2"/>
  <c r="AQ402" i="2"/>
  <c r="AP402" i="2"/>
  <c r="AO402" i="2"/>
  <c r="AN402" i="2"/>
  <c r="AM402" i="2"/>
  <c r="AL402" i="2"/>
  <c r="B402" i="2"/>
  <c r="AR401" i="2"/>
  <c r="AQ401" i="2"/>
  <c r="AP401" i="2"/>
  <c r="AO401" i="2"/>
  <c r="AN401" i="2"/>
  <c r="AM401" i="2"/>
  <c r="AL401" i="2"/>
  <c r="B401" i="2"/>
  <c r="AR400" i="2"/>
  <c r="AQ400" i="2"/>
  <c r="AP400" i="2"/>
  <c r="AO400" i="2"/>
  <c r="AN400" i="2"/>
  <c r="AM400" i="2"/>
  <c r="AL400" i="2"/>
  <c r="B400" i="2"/>
  <c r="AR399" i="2"/>
  <c r="AQ399" i="2"/>
  <c r="AP399" i="2"/>
  <c r="AO399" i="2"/>
  <c r="AN399" i="2"/>
  <c r="AM399" i="2"/>
  <c r="AL399" i="2"/>
  <c r="B399" i="2"/>
  <c r="AR398" i="2"/>
  <c r="AQ398" i="2"/>
  <c r="AP398" i="2"/>
  <c r="AO398" i="2"/>
  <c r="AN398" i="2"/>
  <c r="AM398" i="2"/>
  <c r="AL398" i="2"/>
  <c r="B398" i="2"/>
  <c r="AR397" i="2"/>
  <c r="AQ397" i="2"/>
  <c r="AP397" i="2"/>
  <c r="AO397" i="2"/>
  <c r="AN397" i="2"/>
  <c r="AM397" i="2"/>
  <c r="AL397" i="2"/>
  <c r="B397" i="2"/>
  <c r="AR396" i="2"/>
  <c r="AQ396" i="2"/>
  <c r="AP396" i="2"/>
  <c r="AO396" i="2"/>
  <c r="AN396" i="2"/>
  <c r="AM396" i="2"/>
  <c r="AL396" i="2"/>
  <c r="B396" i="2"/>
  <c r="AR395" i="2"/>
  <c r="AQ395" i="2"/>
  <c r="AP395" i="2"/>
  <c r="AO395" i="2"/>
  <c r="AN395" i="2"/>
  <c r="AM395" i="2"/>
  <c r="AL395" i="2"/>
  <c r="B395" i="2"/>
  <c r="AR394" i="2"/>
  <c r="AQ394" i="2"/>
  <c r="AP394" i="2"/>
  <c r="AO394" i="2"/>
  <c r="AN394" i="2"/>
  <c r="AM394" i="2"/>
  <c r="AL394" i="2"/>
  <c r="B394" i="2"/>
  <c r="AR393" i="2"/>
  <c r="AQ393" i="2"/>
  <c r="AP393" i="2"/>
  <c r="AO393" i="2"/>
  <c r="AN393" i="2"/>
  <c r="AM393" i="2"/>
  <c r="AL393" i="2"/>
  <c r="B393" i="2"/>
  <c r="AR392" i="2"/>
  <c r="AQ392" i="2"/>
  <c r="AP392" i="2"/>
  <c r="AO392" i="2"/>
  <c r="AN392" i="2"/>
  <c r="AM392" i="2"/>
  <c r="AL392" i="2"/>
  <c r="B392" i="2"/>
  <c r="AR391" i="2"/>
  <c r="AQ391" i="2"/>
  <c r="AP391" i="2"/>
  <c r="AO391" i="2"/>
  <c r="AN391" i="2"/>
  <c r="AM391" i="2"/>
  <c r="AL391" i="2"/>
  <c r="B391" i="2"/>
  <c r="AR390" i="2"/>
  <c r="AQ390" i="2"/>
  <c r="AP390" i="2"/>
  <c r="AO390" i="2"/>
  <c r="AN390" i="2"/>
  <c r="AM390" i="2"/>
  <c r="AL390" i="2"/>
  <c r="B390" i="2"/>
  <c r="AR389" i="2"/>
  <c r="AQ389" i="2"/>
  <c r="AP389" i="2"/>
  <c r="AO389" i="2"/>
  <c r="AN389" i="2"/>
  <c r="AM389" i="2"/>
  <c r="AL389" i="2"/>
  <c r="B389" i="2"/>
  <c r="AR388" i="2"/>
  <c r="AQ388" i="2"/>
  <c r="AP388" i="2"/>
  <c r="AO388" i="2"/>
  <c r="AN388" i="2"/>
  <c r="AM388" i="2"/>
  <c r="AL388" i="2"/>
  <c r="B388" i="2"/>
  <c r="AR387" i="2"/>
  <c r="AQ387" i="2"/>
  <c r="AP387" i="2"/>
  <c r="AO387" i="2"/>
  <c r="AN387" i="2"/>
  <c r="AM387" i="2"/>
  <c r="AL387" i="2"/>
  <c r="B387" i="2"/>
  <c r="AR386" i="2"/>
  <c r="AQ386" i="2"/>
  <c r="AP386" i="2"/>
  <c r="AO386" i="2"/>
  <c r="AN386" i="2"/>
  <c r="AM386" i="2"/>
  <c r="AL386" i="2"/>
  <c r="B386" i="2"/>
  <c r="AR385" i="2"/>
  <c r="AQ385" i="2"/>
  <c r="AP385" i="2"/>
  <c r="AO385" i="2"/>
  <c r="AN385" i="2"/>
  <c r="AM385" i="2"/>
  <c r="AL385" i="2"/>
  <c r="B385" i="2"/>
  <c r="AR384" i="2"/>
  <c r="AQ384" i="2"/>
  <c r="AP384" i="2"/>
  <c r="AO384" i="2"/>
  <c r="AN384" i="2"/>
  <c r="AM384" i="2"/>
  <c r="AL384" i="2"/>
  <c r="B384" i="2"/>
  <c r="AR383" i="2"/>
  <c r="AQ383" i="2"/>
  <c r="AP383" i="2"/>
  <c r="AO383" i="2"/>
  <c r="AN383" i="2"/>
  <c r="AM383" i="2"/>
  <c r="AL383" i="2"/>
  <c r="B383" i="2"/>
  <c r="AR382" i="2"/>
  <c r="AQ382" i="2"/>
  <c r="AP382" i="2"/>
  <c r="AO382" i="2"/>
  <c r="AN382" i="2"/>
  <c r="AM382" i="2"/>
  <c r="AL382" i="2"/>
  <c r="B382" i="2"/>
  <c r="AR381" i="2"/>
  <c r="AQ381" i="2"/>
  <c r="AP381" i="2"/>
  <c r="AO381" i="2"/>
  <c r="AN381" i="2"/>
  <c r="AM381" i="2"/>
  <c r="AL381" i="2"/>
  <c r="B381" i="2"/>
  <c r="AR380" i="2"/>
  <c r="AQ380" i="2"/>
  <c r="AP380" i="2"/>
  <c r="AO380" i="2"/>
  <c r="AN380" i="2"/>
  <c r="AM380" i="2"/>
  <c r="AL380" i="2"/>
  <c r="B380" i="2"/>
  <c r="AR379" i="2"/>
  <c r="AQ379" i="2"/>
  <c r="AP379" i="2"/>
  <c r="AO379" i="2"/>
  <c r="AN379" i="2"/>
  <c r="AM379" i="2"/>
  <c r="AL379" i="2"/>
  <c r="B379" i="2"/>
  <c r="AR378" i="2"/>
  <c r="AQ378" i="2"/>
  <c r="AP378" i="2"/>
  <c r="AO378" i="2"/>
  <c r="AN378" i="2"/>
  <c r="AM378" i="2"/>
  <c r="AL378" i="2"/>
  <c r="B378" i="2"/>
  <c r="AR377" i="2"/>
  <c r="AQ377" i="2"/>
  <c r="AP377" i="2"/>
  <c r="AO377" i="2"/>
  <c r="AN377" i="2"/>
  <c r="AM377" i="2"/>
  <c r="AL377" i="2"/>
  <c r="B377" i="2"/>
  <c r="AR376" i="2"/>
  <c r="AQ376" i="2"/>
  <c r="AP376" i="2"/>
  <c r="AO376" i="2"/>
  <c r="AN376" i="2"/>
  <c r="AM376" i="2"/>
  <c r="AL376" i="2"/>
  <c r="B376" i="2"/>
  <c r="AR375" i="2"/>
  <c r="AQ375" i="2"/>
  <c r="AP375" i="2"/>
  <c r="AO375" i="2"/>
  <c r="AN375" i="2"/>
  <c r="AM375" i="2"/>
  <c r="AL375" i="2"/>
  <c r="B375" i="2"/>
  <c r="AR374" i="2"/>
  <c r="AQ374" i="2"/>
  <c r="AP374" i="2"/>
  <c r="AO374" i="2"/>
  <c r="AN374" i="2"/>
  <c r="AM374" i="2"/>
  <c r="AL374" i="2"/>
  <c r="B374" i="2"/>
  <c r="AR373" i="2"/>
  <c r="AQ373" i="2"/>
  <c r="AP373" i="2"/>
  <c r="AO373" i="2"/>
  <c r="AN373" i="2"/>
  <c r="AM373" i="2"/>
  <c r="AL373" i="2"/>
  <c r="B373" i="2"/>
  <c r="AR372" i="2"/>
  <c r="AQ372" i="2"/>
  <c r="AP372" i="2"/>
  <c r="AO372" i="2"/>
  <c r="AN372" i="2"/>
  <c r="AM372" i="2"/>
  <c r="AL372" i="2"/>
  <c r="B372" i="2"/>
  <c r="AR371" i="2"/>
  <c r="AQ371" i="2"/>
  <c r="AP371" i="2"/>
  <c r="AO371" i="2"/>
  <c r="AN371" i="2"/>
  <c r="AM371" i="2"/>
  <c r="AL371" i="2"/>
  <c r="B371" i="2"/>
  <c r="AR370" i="2"/>
  <c r="AQ370" i="2"/>
  <c r="AP370" i="2"/>
  <c r="AO370" i="2"/>
  <c r="AN370" i="2"/>
  <c r="AM370" i="2"/>
  <c r="AL370" i="2"/>
  <c r="B370" i="2"/>
  <c r="AR369" i="2"/>
  <c r="AQ369" i="2"/>
  <c r="AP369" i="2"/>
  <c r="AO369" i="2"/>
  <c r="AN369" i="2"/>
  <c r="AM369" i="2"/>
  <c r="AL369" i="2"/>
  <c r="B369" i="2"/>
  <c r="AR368" i="2"/>
  <c r="AQ368" i="2"/>
  <c r="AP368" i="2"/>
  <c r="AO368" i="2"/>
  <c r="AN368" i="2"/>
  <c r="AM368" i="2"/>
  <c r="AL368" i="2"/>
  <c r="B368" i="2"/>
  <c r="AR367" i="2"/>
  <c r="AQ367" i="2"/>
  <c r="AP367" i="2"/>
  <c r="AO367" i="2"/>
  <c r="AN367" i="2"/>
  <c r="AM367" i="2"/>
  <c r="AL367" i="2"/>
  <c r="B367" i="2"/>
  <c r="AR366" i="2"/>
  <c r="AQ366" i="2"/>
  <c r="AP366" i="2"/>
  <c r="AO366" i="2"/>
  <c r="AN366" i="2"/>
  <c r="AM366" i="2"/>
  <c r="AL366" i="2"/>
  <c r="B366" i="2"/>
  <c r="AR365" i="2"/>
  <c r="AQ365" i="2"/>
  <c r="AP365" i="2"/>
  <c r="AO365" i="2"/>
  <c r="AN365" i="2"/>
  <c r="AM365" i="2"/>
  <c r="AL365" i="2"/>
  <c r="B365" i="2"/>
  <c r="AR364" i="2"/>
  <c r="AQ364" i="2"/>
  <c r="AP364" i="2"/>
  <c r="AO364" i="2"/>
  <c r="AN364" i="2"/>
  <c r="AM364" i="2"/>
  <c r="AL364" i="2"/>
  <c r="B364" i="2"/>
  <c r="AR363" i="2"/>
  <c r="AQ363" i="2"/>
  <c r="AP363" i="2"/>
  <c r="AO363" i="2"/>
  <c r="AN363" i="2"/>
  <c r="AM363" i="2"/>
  <c r="AL363" i="2"/>
  <c r="B363" i="2"/>
  <c r="AR362" i="2"/>
  <c r="AQ362" i="2"/>
  <c r="AP362" i="2"/>
  <c r="AO362" i="2"/>
  <c r="AN362" i="2"/>
  <c r="AM362" i="2"/>
  <c r="AL362" i="2"/>
  <c r="B362" i="2"/>
  <c r="AR361" i="2"/>
  <c r="AQ361" i="2"/>
  <c r="AP361" i="2"/>
  <c r="AO361" i="2"/>
  <c r="AN361" i="2"/>
  <c r="AM361" i="2"/>
  <c r="AL361" i="2"/>
  <c r="B361" i="2"/>
  <c r="AR360" i="2"/>
  <c r="AQ360" i="2"/>
  <c r="AP360" i="2"/>
  <c r="AO360" i="2"/>
  <c r="AN360" i="2"/>
  <c r="AM360" i="2"/>
  <c r="AL360" i="2"/>
  <c r="B360" i="2"/>
  <c r="AR359" i="2"/>
  <c r="AQ359" i="2"/>
  <c r="AP359" i="2"/>
  <c r="AO359" i="2"/>
  <c r="AN359" i="2"/>
  <c r="AM359" i="2"/>
  <c r="AL359" i="2"/>
  <c r="B359" i="2"/>
  <c r="AR358" i="2"/>
  <c r="AQ358" i="2"/>
  <c r="AP358" i="2"/>
  <c r="AO358" i="2"/>
  <c r="AN358" i="2"/>
  <c r="AM358" i="2"/>
  <c r="AL358" i="2"/>
  <c r="B358" i="2"/>
  <c r="AR357" i="2"/>
  <c r="AQ357" i="2"/>
  <c r="AP357" i="2"/>
  <c r="AO357" i="2"/>
  <c r="AN357" i="2"/>
  <c r="AM357" i="2"/>
  <c r="AL357" i="2"/>
  <c r="B357" i="2"/>
  <c r="AR356" i="2"/>
  <c r="AQ356" i="2"/>
  <c r="AP356" i="2"/>
  <c r="AO356" i="2"/>
  <c r="AN356" i="2"/>
  <c r="AM356" i="2"/>
  <c r="AL356" i="2"/>
  <c r="B356" i="2"/>
  <c r="AR355" i="2"/>
  <c r="AQ355" i="2"/>
  <c r="AP355" i="2"/>
  <c r="AO355" i="2"/>
  <c r="AN355" i="2"/>
  <c r="AM355" i="2"/>
  <c r="AL355" i="2"/>
  <c r="B355" i="2"/>
  <c r="AR354" i="2"/>
  <c r="AQ354" i="2"/>
  <c r="AP354" i="2"/>
  <c r="AO354" i="2"/>
  <c r="AN354" i="2"/>
  <c r="AM354" i="2"/>
  <c r="AL354" i="2"/>
  <c r="B354" i="2"/>
  <c r="AR353" i="2"/>
  <c r="AQ353" i="2"/>
  <c r="AP353" i="2"/>
  <c r="AO353" i="2"/>
  <c r="AN353" i="2"/>
  <c r="AM353" i="2"/>
  <c r="AL353" i="2"/>
  <c r="B353" i="2"/>
  <c r="AR352" i="2"/>
  <c r="AQ352" i="2"/>
  <c r="AP352" i="2"/>
  <c r="AO352" i="2"/>
  <c r="AN352" i="2"/>
  <c r="AM352" i="2"/>
  <c r="AL352" i="2"/>
  <c r="B352" i="2"/>
  <c r="AR351" i="2"/>
  <c r="AQ351" i="2"/>
  <c r="AP351" i="2"/>
  <c r="AO351" i="2"/>
  <c r="AN351" i="2"/>
  <c r="AM351" i="2"/>
  <c r="AL351" i="2"/>
  <c r="B351" i="2"/>
  <c r="AR350" i="2"/>
  <c r="AQ350" i="2"/>
  <c r="AP350" i="2"/>
  <c r="AO350" i="2"/>
  <c r="AN350" i="2"/>
  <c r="AM350" i="2"/>
  <c r="AL350" i="2"/>
  <c r="B350" i="2"/>
  <c r="AR349" i="2"/>
  <c r="AQ349" i="2"/>
  <c r="AP349" i="2"/>
  <c r="AO349" i="2"/>
  <c r="AN349" i="2"/>
  <c r="AM349" i="2"/>
  <c r="AL349" i="2"/>
  <c r="B349" i="2"/>
  <c r="AR348" i="2"/>
  <c r="AQ348" i="2"/>
  <c r="AP348" i="2"/>
  <c r="AO348" i="2"/>
  <c r="AN348" i="2"/>
  <c r="AM348" i="2"/>
  <c r="AL348" i="2"/>
  <c r="B348" i="2"/>
  <c r="AR347" i="2"/>
  <c r="AQ347" i="2"/>
  <c r="AP347" i="2"/>
  <c r="AO347" i="2"/>
  <c r="AN347" i="2"/>
  <c r="AM347" i="2"/>
  <c r="AL347" i="2"/>
  <c r="B347" i="2"/>
  <c r="AR346" i="2"/>
  <c r="AQ346" i="2"/>
  <c r="AP346" i="2"/>
  <c r="AO346" i="2"/>
  <c r="AN346" i="2"/>
  <c r="AM346" i="2"/>
  <c r="AL346" i="2"/>
  <c r="B346" i="2"/>
  <c r="AR345" i="2"/>
  <c r="AQ345" i="2"/>
  <c r="AP345" i="2"/>
  <c r="AO345" i="2"/>
  <c r="AN345" i="2"/>
  <c r="AM345" i="2"/>
  <c r="AL345" i="2"/>
  <c r="B345" i="2"/>
  <c r="AR344" i="2"/>
  <c r="AQ344" i="2"/>
  <c r="AP344" i="2"/>
  <c r="AO344" i="2"/>
  <c r="AN344" i="2"/>
  <c r="AM344" i="2"/>
  <c r="AL344" i="2"/>
  <c r="B344" i="2"/>
  <c r="AR343" i="2"/>
  <c r="AQ343" i="2"/>
  <c r="AP343" i="2"/>
  <c r="AO343" i="2"/>
  <c r="AN343" i="2"/>
  <c r="AM343" i="2"/>
  <c r="AL343" i="2"/>
  <c r="B343" i="2"/>
  <c r="AR342" i="2"/>
  <c r="AQ342" i="2"/>
  <c r="AP342" i="2"/>
  <c r="AO342" i="2"/>
  <c r="AN342" i="2"/>
  <c r="AM342" i="2"/>
  <c r="AL342" i="2"/>
  <c r="B342" i="2"/>
  <c r="AR341" i="2"/>
  <c r="AQ341" i="2"/>
  <c r="AP341" i="2"/>
  <c r="AO341" i="2"/>
  <c r="AN341" i="2"/>
  <c r="AM341" i="2"/>
  <c r="AL341" i="2"/>
  <c r="B341" i="2"/>
  <c r="AR340" i="2"/>
  <c r="AQ340" i="2"/>
  <c r="AP340" i="2"/>
  <c r="AO340" i="2"/>
  <c r="AN340" i="2"/>
  <c r="AM340" i="2"/>
  <c r="AL340" i="2"/>
  <c r="B340" i="2"/>
  <c r="AR339" i="2"/>
  <c r="AQ339" i="2"/>
  <c r="AP339" i="2"/>
  <c r="AO339" i="2"/>
  <c r="AN339" i="2"/>
  <c r="AM339" i="2"/>
  <c r="AL339" i="2"/>
  <c r="B339" i="2"/>
  <c r="AR338" i="2"/>
  <c r="AQ338" i="2"/>
  <c r="AP338" i="2"/>
  <c r="AO338" i="2"/>
  <c r="AN338" i="2"/>
  <c r="AM338" i="2"/>
  <c r="AL338" i="2"/>
  <c r="B338" i="2"/>
  <c r="AR337" i="2"/>
  <c r="AQ337" i="2"/>
  <c r="AP337" i="2"/>
  <c r="AO337" i="2"/>
  <c r="AN337" i="2"/>
  <c r="AM337" i="2"/>
  <c r="AL337" i="2"/>
  <c r="B337" i="2"/>
  <c r="AR336" i="2"/>
  <c r="AQ336" i="2"/>
  <c r="AP336" i="2"/>
  <c r="AO336" i="2"/>
  <c r="AN336" i="2"/>
  <c r="AM336" i="2"/>
  <c r="AL336" i="2"/>
  <c r="B336" i="2"/>
  <c r="AR335" i="2"/>
  <c r="AQ335" i="2"/>
  <c r="AP335" i="2"/>
  <c r="AO335" i="2"/>
  <c r="AN335" i="2"/>
  <c r="AM335" i="2"/>
  <c r="AL335" i="2"/>
  <c r="B335" i="2"/>
  <c r="AR334" i="2"/>
  <c r="AQ334" i="2"/>
  <c r="AP334" i="2"/>
  <c r="AO334" i="2"/>
  <c r="AN334" i="2"/>
  <c r="AM334" i="2"/>
  <c r="AL334" i="2"/>
  <c r="B334" i="2"/>
  <c r="AR333" i="2"/>
  <c r="AQ333" i="2"/>
  <c r="AP333" i="2"/>
  <c r="AO333" i="2"/>
  <c r="AN333" i="2"/>
  <c r="AM333" i="2"/>
  <c r="AL333" i="2"/>
  <c r="B333" i="2"/>
  <c r="AR332" i="2"/>
  <c r="AQ332" i="2"/>
  <c r="AP332" i="2"/>
  <c r="AO332" i="2"/>
  <c r="AN332" i="2"/>
  <c r="AM332" i="2"/>
  <c r="AL332" i="2"/>
  <c r="B332" i="2"/>
  <c r="AR331" i="2"/>
  <c r="AQ331" i="2"/>
  <c r="AP331" i="2"/>
  <c r="AO331" i="2"/>
  <c r="AN331" i="2"/>
  <c r="AM331" i="2"/>
  <c r="AL331" i="2"/>
  <c r="B331" i="2"/>
  <c r="AR330" i="2"/>
  <c r="AQ330" i="2"/>
  <c r="AP330" i="2"/>
  <c r="AO330" i="2"/>
  <c r="AN330" i="2"/>
  <c r="AM330" i="2"/>
  <c r="AL330" i="2"/>
  <c r="B330" i="2"/>
  <c r="AR329" i="2"/>
  <c r="AQ329" i="2"/>
  <c r="AP329" i="2"/>
  <c r="AO329" i="2"/>
  <c r="AN329" i="2"/>
  <c r="AM329" i="2"/>
  <c r="AL329" i="2"/>
  <c r="B329" i="2"/>
  <c r="AR328" i="2"/>
  <c r="AQ328" i="2"/>
  <c r="AP328" i="2"/>
  <c r="AO328" i="2"/>
  <c r="AN328" i="2"/>
  <c r="AM328" i="2"/>
  <c r="AL328" i="2"/>
  <c r="B328" i="2"/>
  <c r="AR327" i="2"/>
  <c r="AQ327" i="2"/>
  <c r="AP327" i="2"/>
  <c r="AO327" i="2"/>
  <c r="AN327" i="2"/>
  <c r="AM327" i="2"/>
  <c r="AL327" i="2"/>
  <c r="B327" i="2"/>
  <c r="AR326" i="2"/>
  <c r="AQ326" i="2"/>
  <c r="AP326" i="2"/>
  <c r="AO326" i="2"/>
  <c r="AN326" i="2"/>
  <c r="AM326" i="2"/>
  <c r="AL326" i="2"/>
  <c r="B326" i="2"/>
  <c r="AR325" i="2"/>
  <c r="AQ325" i="2"/>
  <c r="AP325" i="2"/>
  <c r="AO325" i="2"/>
  <c r="AN325" i="2"/>
  <c r="AM325" i="2"/>
  <c r="AL325" i="2"/>
  <c r="B325" i="2"/>
  <c r="AR324" i="2"/>
  <c r="AQ324" i="2"/>
  <c r="AP324" i="2"/>
  <c r="AO324" i="2"/>
  <c r="AN324" i="2"/>
  <c r="AM324" i="2"/>
  <c r="AL324" i="2"/>
  <c r="B324" i="2"/>
  <c r="AR323" i="2"/>
  <c r="AQ323" i="2"/>
  <c r="AP323" i="2"/>
  <c r="AO323" i="2"/>
  <c r="AN323" i="2"/>
  <c r="AM323" i="2"/>
  <c r="AL323" i="2"/>
  <c r="B323" i="2"/>
  <c r="AR322" i="2"/>
  <c r="AQ322" i="2"/>
  <c r="AP322" i="2"/>
  <c r="AO322" i="2"/>
  <c r="AN322" i="2"/>
  <c r="AM322" i="2"/>
  <c r="AL322" i="2"/>
  <c r="B322" i="2"/>
  <c r="AR321" i="2"/>
  <c r="AQ321" i="2"/>
  <c r="AP321" i="2"/>
  <c r="AO321" i="2"/>
  <c r="AN321" i="2"/>
  <c r="AM321" i="2"/>
  <c r="AL321" i="2"/>
  <c r="B321" i="2"/>
  <c r="AR320" i="2"/>
  <c r="AQ320" i="2"/>
  <c r="AP320" i="2"/>
  <c r="AO320" i="2"/>
  <c r="AN320" i="2"/>
  <c r="AM320" i="2"/>
  <c r="AL320" i="2"/>
  <c r="B320" i="2"/>
  <c r="AR319" i="2"/>
  <c r="AQ319" i="2"/>
  <c r="AP319" i="2"/>
  <c r="AO319" i="2"/>
  <c r="AN319" i="2"/>
  <c r="AM319" i="2"/>
  <c r="AL319" i="2"/>
  <c r="B319" i="2"/>
  <c r="AR318" i="2"/>
  <c r="AQ318" i="2"/>
  <c r="AP318" i="2"/>
  <c r="AO318" i="2"/>
  <c r="AN318" i="2"/>
  <c r="AM318" i="2"/>
  <c r="AL318" i="2"/>
  <c r="B318" i="2"/>
  <c r="AR317" i="2"/>
  <c r="AQ317" i="2"/>
  <c r="AP317" i="2"/>
  <c r="AO317" i="2"/>
  <c r="AN317" i="2"/>
  <c r="AM317" i="2"/>
  <c r="AL317" i="2"/>
  <c r="B317" i="2"/>
  <c r="AR316" i="2"/>
  <c r="AQ316" i="2"/>
  <c r="AP316" i="2"/>
  <c r="AO316" i="2"/>
  <c r="AN316" i="2"/>
  <c r="AM316" i="2"/>
  <c r="AL316" i="2"/>
  <c r="B316" i="2"/>
  <c r="AR315" i="2"/>
  <c r="AQ315" i="2"/>
  <c r="AP315" i="2"/>
  <c r="AO315" i="2"/>
  <c r="AN315" i="2"/>
  <c r="AM315" i="2"/>
  <c r="AL315" i="2"/>
  <c r="B315" i="2"/>
  <c r="AR314" i="2"/>
  <c r="AQ314" i="2"/>
  <c r="AP314" i="2"/>
  <c r="AO314" i="2"/>
  <c r="AN314" i="2"/>
  <c r="AM314" i="2"/>
  <c r="AL314" i="2"/>
  <c r="B314" i="2"/>
  <c r="AR313" i="2"/>
  <c r="AQ313" i="2"/>
  <c r="AP313" i="2"/>
  <c r="AO313" i="2"/>
  <c r="AN313" i="2"/>
  <c r="AM313" i="2"/>
  <c r="AL313" i="2"/>
  <c r="B313" i="2"/>
  <c r="AR312" i="2"/>
  <c r="AQ312" i="2"/>
  <c r="AP312" i="2"/>
  <c r="AO312" i="2"/>
  <c r="AN312" i="2"/>
  <c r="AM312" i="2"/>
  <c r="AL312" i="2"/>
  <c r="B312" i="2"/>
  <c r="AR311" i="2"/>
  <c r="AQ311" i="2"/>
  <c r="AP311" i="2"/>
  <c r="AO311" i="2"/>
  <c r="AN311" i="2"/>
  <c r="AM311" i="2"/>
  <c r="AL311" i="2"/>
  <c r="B311" i="2"/>
  <c r="AR310" i="2"/>
  <c r="AQ310" i="2"/>
  <c r="AP310" i="2"/>
  <c r="AO310" i="2"/>
  <c r="AN310" i="2"/>
  <c r="AM310" i="2"/>
  <c r="AL310" i="2"/>
  <c r="B310" i="2"/>
  <c r="AR309" i="2"/>
  <c r="AQ309" i="2"/>
  <c r="AP309" i="2"/>
  <c r="AO309" i="2"/>
  <c r="AN309" i="2"/>
  <c r="AM309" i="2"/>
  <c r="AL309" i="2"/>
  <c r="B309" i="2"/>
  <c r="AR308" i="2"/>
  <c r="AQ308" i="2"/>
  <c r="AP308" i="2"/>
  <c r="AO308" i="2"/>
  <c r="AN308" i="2"/>
  <c r="AM308" i="2"/>
  <c r="AL308" i="2"/>
  <c r="B308" i="2"/>
  <c r="AR307" i="2"/>
  <c r="AQ307" i="2"/>
  <c r="AP307" i="2"/>
  <c r="AO307" i="2"/>
  <c r="AN307" i="2"/>
  <c r="AM307" i="2"/>
  <c r="AL307" i="2"/>
  <c r="B307" i="2"/>
  <c r="AR306" i="2"/>
  <c r="AQ306" i="2"/>
  <c r="AP306" i="2"/>
  <c r="AO306" i="2"/>
  <c r="AN306" i="2"/>
  <c r="AM306" i="2"/>
  <c r="AL306" i="2"/>
  <c r="B306" i="2"/>
  <c r="AR305" i="2"/>
  <c r="AQ305" i="2"/>
  <c r="AP305" i="2"/>
  <c r="AO305" i="2"/>
  <c r="AN305" i="2"/>
  <c r="AM305" i="2"/>
  <c r="AL305" i="2"/>
  <c r="B305" i="2"/>
  <c r="AR304" i="2"/>
  <c r="AQ304" i="2"/>
  <c r="AP304" i="2"/>
  <c r="AO304" i="2"/>
  <c r="AN304" i="2"/>
  <c r="AM304" i="2"/>
  <c r="AL304" i="2"/>
  <c r="B304" i="2"/>
  <c r="AR303" i="2"/>
  <c r="AQ303" i="2"/>
  <c r="AP303" i="2"/>
  <c r="AO303" i="2"/>
  <c r="AN303" i="2"/>
  <c r="AM303" i="2"/>
  <c r="AL303" i="2"/>
  <c r="B303" i="2"/>
  <c r="AR302" i="2"/>
  <c r="AQ302" i="2"/>
  <c r="AP302" i="2"/>
  <c r="AO302" i="2"/>
  <c r="AN302" i="2"/>
  <c r="AM302" i="2"/>
  <c r="AL302" i="2"/>
  <c r="B302" i="2"/>
  <c r="AR301" i="2"/>
  <c r="AQ301" i="2"/>
  <c r="AP301" i="2"/>
  <c r="AO301" i="2"/>
  <c r="AN301" i="2"/>
  <c r="AM301" i="2"/>
  <c r="AL301" i="2"/>
  <c r="B301" i="2"/>
  <c r="AR300" i="2"/>
  <c r="AQ300" i="2"/>
  <c r="AP300" i="2"/>
  <c r="AO300" i="2"/>
  <c r="AN300" i="2"/>
  <c r="AM300" i="2"/>
  <c r="AL300" i="2"/>
  <c r="B300" i="2"/>
  <c r="AR299" i="2"/>
  <c r="AQ299" i="2"/>
  <c r="AP299" i="2"/>
  <c r="AO299" i="2"/>
  <c r="AN299" i="2"/>
  <c r="AM299" i="2"/>
  <c r="AL299" i="2"/>
  <c r="B299" i="2"/>
  <c r="AR298" i="2"/>
  <c r="AQ298" i="2"/>
  <c r="AP298" i="2"/>
  <c r="AO298" i="2"/>
  <c r="AN298" i="2"/>
  <c r="AM298" i="2"/>
  <c r="AL298" i="2"/>
  <c r="B298" i="2"/>
  <c r="AR297" i="2"/>
  <c r="AQ297" i="2"/>
  <c r="AP297" i="2"/>
  <c r="AO297" i="2"/>
  <c r="AN297" i="2"/>
  <c r="AM297" i="2"/>
  <c r="AL297" i="2"/>
  <c r="B297" i="2"/>
  <c r="AR296" i="2"/>
  <c r="AQ296" i="2"/>
  <c r="AP296" i="2"/>
  <c r="AO296" i="2"/>
  <c r="AN296" i="2"/>
  <c r="AM296" i="2"/>
  <c r="AL296" i="2"/>
  <c r="B296" i="2"/>
  <c r="AR295" i="2"/>
  <c r="AQ295" i="2"/>
  <c r="AP295" i="2"/>
  <c r="AO295" i="2"/>
  <c r="AN295" i="2"/>
  <c r="AM295" i="2"/>
  <c r="AL295" i="2"/>
  <c r="B295" i="2"/>
  <c r="AR294" i="2"/>
  <c r="AQ294" i="2"/>
  <c r="AP294" i="2"/>
  <c r="AO294" i="2"/>
  <c r="AN294" i="2"/>
  <c r="AM294" i="2"/>
  <c r="AL294" i="2"/>
  <c r="B294" i="2"/>
  <c r="AR293" i="2"/>
  <c r="AQ293" i="2"/>
  <c r="AP293" i="2"/>
  <c r="AO293" i="2"/>
  <c r="AN293" i="2"/>
  <c r="AM293" i="2"/>
  <c r="AL293" i="2"/>
  <c r="B293" i="2"/>
  <c r="AR292" i="2"/>
  <c r="AQ292" i="2"/>
  <c r="AP292" i="2"/>
  <c r="AO292" i="2"/>
  <c r="AN292" i="2"/>
  <c r="AM292" i="2"/>
  <c r="AL292" i="2"/>
  <c r="B292" i="2"/>
  <c r="AR291" i="2"/>
  <c r="AQ291" i="2"/>
  <c r="AP291" i="2"/>
  <c r="AO291" i="2"/>
  <c r="AN291" i="2"/>
  <c r="AM291" i="2"/>
  <c r="AL291" i="2"/>
  <c r="B291" i="2"/>
  <c r="AR290" i="2"/>
  <c r="AQ290" i="2"/>
  <c r="AP290" i="2"/>
  <c r="AO290" i="2"/>
  <c r="AN290" i="2"/>
  <c r="AM290" i="2"/>
  <c r="AL290" i="2"/>
  <c r="B290" i="2"/>
  <c r="AR289" i="2"/>
  <c r="AQ289" i="2"/>
  <c r="AP289" i="2"/>
  <c r="AO289" i="2"/>
  <c r="AN289" i="2"/>
  <c r="AM289" i="2"/>
  <c r="AL289" i="2"/>
  <c r="B289" i="2"/>
  <c r="AR288" i="2"/>
  <c r="AQ288" i="2"/>
  <c r="AP288" i="2"/>
  <c r="AO288" i="2"/>
  <c r="AN288" i="2"/>
  <c r="AM288" i="2"/>
  <c r="AL288" i="2"/>
  <c r="B288" i="2"/>
  <c r="AR287" i="2"/>
  <c r="AQ287" i="2"/>
  <c r="AP287" i="2"/>
  <c r="AO287" i="2"/>
  <c r="AN287" i="2"/>
  <c r="AM287" i="2"/>
  <c r="AL287" i="2"/>
  <c r="B287" i="2"/>
  <c r="AR286" i="2"/>
  <c r="AQ286" i="2"/>
  <c r="AP286" i="2"/>
  <c r="AO286" i="2"/>
  <c r="AN286" i="2"/>
  <c r="AM286" i="2"/>
  <c r="AL286" i="2"/>
  <c r="B286" i="2"/>
  <c r="AR285" i="2"/>
  <c r="AQ285" i="2"/>
  <c r="AP285" i="2"/>
  <c r="AO285" i="2"/>
  <c r="AN285" i="2"/>
  <c r="AM285" i="2"/>
  <c r="AL285" i="2"/>
  <c r="B285" i="2"/>
  <c r="AR284" i="2"/>
  <c r="AQ284" i="2"/>
  <c r="AP284" i="2"/>
  <c r="AO284" i="2"/>
  <c r="AN284" i="2"/>
  <c r="AM284" i="2"/>
  <c r="AL284" i="2"/>
  <c r="B284" i="2"/>
  <c r="AR283" i="2"/>
  <c r="AQ283" i="2"/>
  <c r="AP283" i="2"/>
  <c r="AO283" i="2"/>
  <c r="AN283" i="2"/>
  <c r="AM283" i="2"/>
  <c r="AL283" i="2"/>
  <c r="B283" i="2"/>
  <c r="AR282" i="2"/>
  <c r="AQ282" i="2"/>
  <c r="AP282" i="2"/>
  <c r="AO282" i="2"/>
  <c r="AN282" i="2"/>
  <c r="AM282" i="2"/>
  <c r="AL282" i="2"/>
  <c r="B282" i="2"/>
  <c r="AR281" i="2"/>
  <c r="AQ281" i="2"/>
  <c r="AP281" i="2"/>
  <c r="AO281" i="2"/>
  <c r="AN281" i="2"/>
  <c r="AM281" i="2"/>
  <c r="AL281" i="2"/>
  <c r="B281" i="2"/>
  <c r="AR280" i="2"/>
  <c r="AQ280" i="2"/>
  <c r="AP280" i="2"/>
  <c r="AO280" i="2"/>
  <c r="AN280" i="2"/>
  <c r="AM280" i="2"/>
  <c r="AL280" i="2"/>
  <c r="B280" i="2"/>
  <c r="AR279" i="2"/>
  <c r="AQ279" i="2"/>
  <c r="AP279" i="2"/>
  <c r="AO279" i="2"/>
  <c r="AN279" i="2"/>
  <c r="AM279" i="2"/>
  <c r="AL279" i="2"/>
  <c r="B279" i="2"/>
  <c r="AR278" i="2"/>
  <c r="AQ278" i="2"/>
  <c r="AP278" i="2"/>
  <c r="AO278" i="2"/>
  <c r="AN278" i="2"/>
  <c r="AM278" i="2"/>
  <c r="AL278" i="2"/>
  <c r="B278" i="2"/>
  <c r="AR277" i="2"/>
  <c r="AQ277" i="2"/>
  <c r="AP277" i="2"/>
  <c r="AO277" i="2"/>
  <c r="AN277" i="2"/>
  <c r="AM277" i="2"/>
  <c r="AL277" i="2"/>
  <c r="B277" i="2"/>
  <c r="AR276" i="2"/>
  <c r="AQ276" i="2"/>
  <c r="AP276" i="2"/>
  <c r="AO276" i="2"/>
  <c r="AN276" i="2"/>
  <c r="AM276" i="2"/>
  <c r="AL276" i="2"/>
  <c r="B276" i="2"/>
  <c r="AR275" i="2"/>
  <c r="AQ275" i="2"/>
  <c r="AP275" i="2"/>
  <c r="AO275" i="2"/>
  <c r="AN275" i="2"/>
  <c r="AM275" i="2"/>
  <c r="AL275" i="2"/>
  <c r="B275" i="2"/>
  <c r="AR274" i="2"/>
  <c r="AQ274" i="2"/>
  <c r="AP274" i="2"/>
  <c r="AO274" i="2"/>
  <c r="AN274" i="2"/>
  <c r="AM274" i="2"/>
  <c r="AL274" i="2"/>
  <c r="B274" i="2"/>
  <c r="AR273" i="2"/>
  <c r="AQ273" i="2"/>
  <c r="AP273" i="2"/>
  <c r="AO273" i="2"/>
  <c r="AN273" i="2"/>
  <c r="AM273" i="2"/>
  <c r="AL273" i="2"/>
  <c r="B273" i="2"/>
  <c r="AR272" i="2"/>
  <c r="AQ272" i="2"/>
  <c r="AP272" i="2"/>
  <c r="AO272" i="2"/>
  <c r="AN272" i="2"/>
  <c r="AM272" i="2"/>
  <c r="AL272" i="2"/>
  <c r="B272" i="2"/>
  <c r="AR271" i="2"/>
  <c r="AQ271" i="2"/>
  <c r="AP271" i="2"/>
  <c r="AO271" i="2"/>
  <c r="AN271" i="2"/>
  <c r="AM271" i="2"/>
  <c r="AL271" i="2"/>
  <c r="B271" i="2"/>
  <c r="AR270" i="2"/>
  <c r="AQ270" i="2"/>
  <c r="AP270" i="2"/>
  <c r="AO270" i="2"/>
  <c r="AN270" i="2"/>
  <c r="AM270" i="2"/>
  <c r="AL270" i="2"/>
  <c r="B270" i="2"/>
  <c r="AR269" i="2"/>
  <c r="AQ269" i="2"/>
  <c r="AP269" i="2"/>
  <c r="AO269" i="2"/>
  <c r="AN269" i="2"/>
  <c r="AM269" i="2"/>
  <c r="AL269" i="2"/>
  <c r="B269" i="2"/>
  <c r="AR268" i="2"/>
  <c r="AQ268" i="2"/>
  <c r="AP268" i="2"/>
  <c r="AO268" i="2"/>
  <c r="AN268" i="2"/>
  <c r="AM268" i="2"/>
  <c r="AL268" i="2"/>
  <c r="B268" i="2"/>
  <c r="AR267" i="2"/>
  <c r="AQ267" i="2"/>
  <c r="AP267" i="2"/>
  <c r="AO267" i="2"/>
  <c r="AN267" i="2"/>
  <c r="AM267" i="2"/>
  <c r="AL267" i="2"/>
  <c r="B267" i="2"/>
  <c r="AR266" i="2"/>
  <c r="AQ266" i="2"/>
  <c r="AP266" i="2"/>
  <c r="AO266" i="2"/>
  <c r="AN266" i="2"/>
  <c r="AM266" i="2"/>
  <c r="AL266" i="2"/>
  <c r="B266" i="2"/>
  <c r="AR265" i="2"/>
  <c r="AQ265" i="2"/>
  <c r="AP265" i="2"/>
  <c r="AO265" i="2"/>
  <c r="AN265" i="2"/>
  <c r="AM265" i="2"/>
  <c r="AL265" i="2"/>
  <c r="B265" i="2"/>
  <c r="AR264" i="2"/>
  <c r="AQ264" i="2"/>
  <c r="AP264" i="2"/>
  <c r="AO264" i="2"/>
  <c r="AN264" i="2"/>
  <c r="AM264" i="2"/>
  <c r="AL264" i="2"/>
  <c r="B264" i="2"/>
  <c r="AR263" i="2"/>
  <c r="AQ263" i="2"/>
  <c r="AP263" i="2"/>
  <c r="AO263" i="2"/>
  <c r="AN263" i="2"/>
  <c r="AM263" i="2"/>
  <c r="AL263" i="2"/>
  <c r="B263" i="2"/>
  <c r="AR262" i="2"/>
  <c r="AQ262" i="2"/>
  <c r="AP262" i="2"/>
  <c r="AO262" i="2"/>
  <c r="AN262" i="2"/>
  <c r="AM262" i="2"/>
  <c r="AL262" i="2"/>
  <c r="B262" i="2"/>
  <c r="AR261" i="2"/>
  <c r="AQ261" i="2"/>
  <c r="AP261" i="2"/>
  <c r="AO261" i="2"/>
  <c r="AN261" i="2"/>
  <c r="AM261" i="2"/>
  <c r="AL261" i="2"/>
  <c r="B261" i="2"/>
  <c r="AR260" i="2"/>
  <c r="AQ260" i="2"/>
  <c r="AP260" i="2"/>
  <c r="AO260" i="2"/>
  <c r="AN260" i="2"/>
  <c r="AM260" i="2"/>
  <c r="AL260" i="2"/>
  <c r="B260" i="2"/>
  <c r="AR259" i="2"/>
  <c r="AQ259" i="2"/>
  <c r="AP259" i="2"/>
  <c r="AO259" i="2"/>
  <c r="AN259" i="2"/>
  <c r="AM259" i="2"/>
  <c r="AL259" i="2"/>
  <c r="B259" i="2"/>
  <c r="AR258" i="2"/>
  <c r="AQ258" i="2"/>
  <c r="AP258" i="2"/>
  <c r="AO258" i="2"/>
  <c r="AN258" i="2"/>
  <c r="AM258" i="2"/>
  <c r="AL258" i="2"/>
  <c r="B258" i="2"/>
  <c r="AR257" i="2"/>
  <c r="AQ257" i="2"/>
  <c r="AP257" i="2"/>
  <c r="AO257" i="2"/>
  <c r="AN257" i="2"/>
  <c r="AM257" i="2"/>
  <c r="AL257" i="2"/>
  <c r="B257" i="2"/>
  <c r="AR256" i="2"/>
  <c r="AQ256" i="2"/>
  <c r="AP256" i="2"/>
  <c r="AO256" i="2"/>
  <c r="AN256" i="2"/>
  <c r="AM256" i="2"/>
  <c r="AL256" i="2"/>
  <c r="B256" i="2"/>
  <c r="AR255" i="2"/>
  <c r="AQ255" i="2"/>
  <c r="AP255" i="2"/>
  <c r="AO255" i="2"/>
  <c r="AN255" i="2"/>
  <c r="AM255" i="2"/>
  <c r="AL255" i="2"/>
  <c r="B255" i="2"/>
  <c r="AR254" i="2"/>
  <c r="AQ254" i="2"/>
  <c r="AP254" i="2"/>
  <c r="AO254" i="2"/>
  <c r="AN254" i="2"/>
  <c r="AM254" i="2"/>
  <c r="AL254" i="2"/>
  <c r="B254" i="2"/>
  <c r="AR253" i="2"/>
  <c r="AQ253" i="2"/>
  <c r="AP253" i="2"/>
  <c r="AO253" i="2"/>
  <c r="AN253" i="2"/>
  <c r="AM253" i="2"/>
  <c r="AL253" i="2"/>
  <c r="B253" i="2"/>
  <c r="AR252" i="2"/>
  <c r="AQ252" i="2"/>
  <c r="AP252" i="2"/>
  <c r="AO252" i="2"/>
  <c r="AN252" i="2"/>
  <c r="AM252" i="2"/>
  <c r="AL252" i="2"/>
  <c r="B252" i="2"/>
  <c r="AR251" i="2"/>
  <c r="AQ251" i="2"/>
  <c r="AP251" i="2"/>
  <c r="AO251" i="2"/>
  <c r="AN251" i="2"/>
  <c r="AM251" i="2"/>
  <c r="AL251" i="2"/>
  <c r="B251" i="2"/>
  <c r="AR250" i="2"/>
  <c r="AQ250" i="2"/>
  <c r="AP250" i="2"/>
  <c r="AO250" i="2"/>
  <c r="AN250" i="2"/>
  <c r="AM250" i="2"/>
  <c r="AL250" i="2"/>
  <c r="B250" i="2"/>
  <c r="AR249" i="2"/>
  <c r="AQ249" i="2"/>
  <c r="AP249" i="2"/>
  <c r="AO249" i="2"/>
  <c r="AN249" i="2"/>
  <c r="AM249" i="2"/>
  <c r="AL249" i="2"/>
  <c r="B249" i="2"/>
  <c r="AR248" i="2"/>
  <c r="AQ248" i="2"/>
  <c r="AP248" i="2"/>
  <c r="AO248" i="2"/>
  <c r="AN248" i="2"/>
  <c r="AM248" i="2"/>
  <c r="AL248" i="2"/>
  <c r="B248" i="2"/>
  <c r="AR247" i="2"/>
  <c r="AQ247" i="2"/>
  <c r="AP247" i="2"/>
  <c r="AO247" i="2"/>
  <c r="AN247" i="2"/>
  <c r="AM247" i="2"/>
  <c r="AL247" i="2"/>
  <c r="B247" i="2"/>
  <c r="AR246" i="2"/>
  <c r="AQ246" i="2"/>
  <c r="AP246" i="2"/>
  <c r="AO246" i="2"/>
  <c r="AN246" i="2"/>
  <c r="AM246" i="2"/>
  <c r="AL246" i="2"/>
  <c r="B246" i="2"/>
  <c r="AR245" i="2"/>
  <c r="AQ245" i="2"/>
  <c r="AP245" i="2"/>
  <c r="AO245" i="2"/>
  <c r="AN245" i="2"/>
  <c r="AM245" i="2"/>
  <c r="AL245" i="2"/>
  <c r="B245" i="2"/>
  <c r="AR244" i="2"/>
  <c r="AQ244" i="2"/>
  <c r="AP244" i="2"/>
  <c r="AO244" i="2"/>
  <c r="AN244" i="2"/>
  <c r="AM244" i="2"/>
  <c r="AL244" i="2"/>
  <c r="B244" i="2"/>
  <c r="AR243" i="2"/>
  <c r="AQ243" i="2"/>
  <c r="AP243" i="2"/>
  <c r="AO243" i="2"/>
  <c r="AN243" i="2"/>
  <c r="AM243" i="2"/>
  <c r="AL243" i="2"/>
  <c r="B243" i="2"/>
  <c r="AR242" i="2"/>
  <c r="AQ242" i="2"/>
  <c r="AP242" i="2"/>
  <c r="AO242" i="2"/>
  <c r="AN242" i="2"/>
  <c r="AM242" i="2"/>
  <c r="AL242" i="2"/>
  <c r="B242" i="2"/>
  <c r="AR241" i="2"/>
  <c r="AQ241" i="2"/>
  <c r="AP241" i="2"/>
  <c r="AO241" i="2"/>
  <c r="AN241" i="2"/>
  <c r="AM241" i="2"/>
  <c r="AL241" i="2"/>
  <c r="B241" i="2"/>
  <c r="AR240" i="2"/>
  <c r="AQ240" i="2"/>
  <c r="AP240" i="2"/>
  <c r="AO240" i="2"/>
  <c r="AN240" i="2"/>
  <c r="AM240" i="2"/>
  <c r="AL240" i="2"/>
  <c r="B240" i="2"/>
  <c r="AR239" i="2"/>
  <c r="AQ239" i="2"/>
  <c r="AP239" i="2"/>
  <c r="AO239" i="2"/>
  <c r="AN239" i="2"/>
  <c r="AM239" i="2"/>
  <c r="AL239" i="2"/>
  <c r="B239" i="2"/>
  <c r="AR238" i="2"/>
  <c r="AQ238" i="2"/>
  <c r="AP238" i="2"/>
  <c r="AO238" i="2"/>
  <c r="AN238" i="2"/>
  <c r="AM238" i="2"/>
  <c r="AL238" i="2"/>
  <c r="B238" i="2"/>
  <c r="AR237" i="2"/>
  <c r="AQ237" i="2"/>
  <c r="AP237" i="2"/>
  <c r="AO237" i="2"/>
  <c r="AN237" i="2"/>
  <c r="AM237" i="2"/>
  <c r="AL237" i="2"/>
  <c r="B237" i="2"/>
  <c r="AR236" i="2"/>
  <c r="AQ236" i="2"/>
  <c r="AP236" i="2"/>
  <c r="AO236" i="2"/>
  <c r="AN236" i="2"/>
  <c r="AM236" i="2"/>
  <c r="AL236" i="2"/>
  <c r="B236" i="2"/>
  <c r="AR235" i="2"/>
  <c r="AQ235" i="2"/>
  <c r="AP235" i="2"/>
  <c r="AO235" i="2"/>
  <c r="AN235" i="2"/>
  <c r="AM235" i="2"/>
  <c r="AL235" i="2"/>
  <c r="B235" i="2"/>
  <c r="AR234" i="2"/>
  <c r="AQ234" i="2"/>
  <c r="AP234" i="2"/>
  <c r="AO234" i="2"/>
  <c r="AN234" i="2"/>
  <c r="AM234" i="2"/>
  <c r="AL234" i="2"/>
  <c r="B234" i="2"/>
  <c r="AR233" i="2"/>
  <c r="AQ233" i="2"/>
  <c r="AP233" i="2"/>
  <c r="AO233" i="2"/>
  <c r="AN233" i="2"/>
  <c r="AM233" i="2"/>
  <c r="AL233" i="2"/>
  <c r="B233" i="2"/>
  <c r="AR232" i="2"/>
  <c r="AQ232" i="2"/>
  <c r="AP232" i="2"/>
  <c r="AO232" i="2"/>
  <c r="AN232" i="2"/>
  <c r="AM232" i="2"/>
  <c r="AL232" i="2"/>
  <c r="B232" i="2"/>
  <c r="AR231" i="2"/>
  <c r="AQ231" i="2"/>
  <c r="AP231" i="2"/>
  <c r="AO231" i="2"/>
  <c r="AN231" i="2"/>
  <c r="AM231" i="2"/>
  <c r="AL231" i="2"/>
  <c r="B231" i="2"/>
  <c r="AR230" i="2"/>
  <c r="AQ230" i="2"/>
  <c r="AP230" i="2"/>
  <c r="AO230" i="2"/>
  <c r="AN230" i="2"/>
  <c r="AM230" i="2"/>
  <c r="AL230" i="2"/>
  <c r="B230" i="2"/>
  <c r="AR229" i="2"/>
  <c r="AQ229" i="2"/>
  <c r="AP229" i="2"/>
  <c r="AO229" i="2"/>
  <c r="AN229" i="2"/>
  <c r="AM229" i="2"/>
  <c r="AL229" i="2"/>
  <c r="B229" i="2"/>
  <c r="AR228" i="2"/>
  <c r="AQ228" i="2"/>
  <c r="AP228" i="2"/>
  <c r="AO228" i="2"/>
  <c r="AN228" i="2"/>
  <c r="AM228" i="2"/>
  <c r="AL228" i="2"/>
  <c r="B228" i="2"/>
  <c r="AR227" i="2"/>
  <c r="AQ227" i="2"/>
  <c r="AP227" i="2"/>
  <c r="AO227" i="2"/>
  <c r="AN227" i="2"/>
  <c r="AM227" i="2"/>
  <c r="AL227" i="2"/>
  <c r="B227" i="2"/>
  <c r="AR226" i="2"/>
  <c r="AQ226" i="2"/>
  <c r="AP226" i="2"/>
  <c r="AO226" i="2"/>
  <c r="AN226" i="2"/>
  <c r="AM226" i="2"/>
  <c r="AL226" i="2"/>
  <c r="B226" i="2"/>
  <c r="AR225" i="2"/>
  <c r="AQ225" i="2"/>
  <c r="AP225" i="2"/>
  <c r="AO225" i="2"/>
  <c r="AN225" i="2"/>
  <c r="AM225" i="2"/>
  <c r="AL225" i="2"/>
  <c r="B225" i="2"/>
  <c r="AR224" i="2"/>
  <c r="AQ224" i="2"/>
  <c r="AP224" i="2"/>
  <c r="AO224" i="2"/>
  <c r="AN224" i="2"/>
  <c r="AM224" i="2"/>
  <c r="AL224" i="2"/>
  <c r="B224" i="2"/>
  <c r="AR223" i="2"/>
  <c r="AQ223" i="2"/>
  <c r="AP223" i="2"/>
  <c r="AO223" i="2"/>
  <c r="AN223" i="2"/>
  <c r="AM223" i="2"/>
  <c r="AL223" i="2"/>
  <c r="B223" i="2"/>
  <c r="AR222" i="2"/>
  <c r="AQ222" i="2"/>
  <c r="AP222" i="2"/>
  <c r="AO222" i="2"/>
  <c r="AN222" i="2"/>
  <c r="AM222" i="2"/>
  <c r="AL222" i="2"/>
  <c r="B222" i="2"/>
  <c r="AR221" i="2"/>
  <c r="AQ221" i="2"/>
  <c r="AP221" i="2"/>
  <c r="AO221" i="2"/>
  <c r="AN221" i="2"/>
  <c r="AM221" i="2"/>
  <c r="AL221" i="2"/>
  <c r="B221" i="2"/>
  <c r="AR220" i="2"/>
  <c r="AQ220" i="2"/>
  <c r="AP220" i="2"/>
  <c r="AO220" i="2"/>
  <c r="AN220" i="2"/>
  <c r="AM220" i="2"/>
  <c r="AL220" i="2"/>
  <c r="B220" i="2"/>
  <c r="AR219" i="2"/>
  <c r="AQ219" i="2"/>
  <c r="AP219" i="2"/>
  <c r="AO219" i="2"/>
  <c r="AN219" i="2"/>
  <c r="AM219" i="2"/>
  <c r="AL219" i="2"/>
  <c r="B219" i="2"/>
  <c r="AR218" i="2"/>
  <c r="AQ218" i="2"/>
  <c r="AP218" i="2"/>
  <c r="AO218" i="2"/>
  <c r="AN218" i="2"/>
  <c r="AM218" i="2"/>
  <c r="AL218" i="2"/>
  <c r="B218" i="2"/>
  <c r="AR217" i="2"/>
  <c r="AQ217" i="2"/>
  <c r="AP217" i="2"/>
  <c r="AO217" i="2"/>
  <c r="AN217" i="2"/>
  <c r="AM217" i="2"/>
  <c r="AL217" i="2"/>
  <c r="B217" i="2"/>
  <c r="AR216" i="2"/>
  <c r="AQ216" i="2"/>
  <c r="AP216" i="2"/>
  <c r="AO216" i="2"/>
  <c r="AN216" i="2"/>
  <c r="AM216" i="2"/>
  <c r="AL216" i="2"/>
  <c r="B216" i="2"/>
  <c r="AR215" i="2"/>
  <c r="AQ215" i="2"/>
  <c r="AP215" i="2"/>
  <c r="AO215" i="2"/>
  <c r="AN215" i="2"/>
  <c r="AM215" i="2"/>
  <c r="AL215" i="2"/>
  <c r="B215" i="2"/>
  <c r="AR214" i="2"/>
  <c r="AQ214" i="2"/>
  <c r="AP214" i="2"/>
  <c r="AO214" i="2"/>
  <c r="AN214" i="2"/>
  <c r="AM214" i="2"/>
  <c r="AL214" i="2"/>
  <c r="B214" i="2"/>
  <c r="AR213" i="2"/>
  <c r="AQ213" i="2"/>
  <c r="AP213" i="2"/>
  <c r="AO213" i="2"/>
  <c r="AN213" i="2"/>
  <c r="AM213" i="2"/>
  <c r="AL213" i="2"/>
  <c r="B213" i="2"/>
  <c r="AR212" i="2"/>
  <c r="AQ212" i="2"/>
  <c r="AP212" i="2"/>
  <c r="AO212" i="2"/>
  <c r="AN212" i="2"/>
  <c r="AM212" i="2"/>
  <c r="AL212" i="2"/>
  <c r="B212" i="2"/>
  <c r="AR211" i="2"/>
  <c r="AQ211" i="2"/>
  <c r="AP211" i="2"/>
  <c r="AO211" i="2"/>
  <c r="AN211" i="2"/>
  <c r="AM211" i="2"/>
  <c r="AL211" i="2"/>
  <c r="B211" i="2"/>
  <c r="AR210" i="2"/>
  <c r="AQ210" i="2"/>
  <c r="AP210" i="2"/>
  <c r="AO210" i="2"/>
  <c r="AN210" i="2"/>
  <c r="AM210" i="2"/>
  <c r="AL210" i="2"/>
  <c r="B210" i="2"/>
  <c r="AR209" i="2"/>
  <c r="AQ209" i="2"/>
  <c r="AP209" i="2"/>
  <c r="AO209" i="2"/>
  <c r="AN209" i="2"/>
  <c r="AM209" i="2"/>
  <c r="AL209" i="2"/>
  <c r="B209" i="2"/>
  <c r="AR208" i="2"/>
  <c r="AQ208" i="2"/>
  <c r="AP208" i="2"/>
  <c r="AO208" i="2"/>
  <c r="AN208" i="2"/>
  <c r="AM208" i="2"/>
  <c r="AL208" i="2"/>
  <c r="B208" i="2"/>
  <c r="AR207" i="2"/>
  <c r="AQ207" i="2"/>
  <c r="AP207" i="2"/>
  <c r="AO207" i="2"/>
  <c r="AN207" i="2"/>
  <c r="AM207" i="2"/>
  <c r="AL207" i="2"/>
  <c r="B207" i="2"/>
  <c r="AR206" i="2"/>
  <c r="AQ206" i="2"/>
  <c r="AP206" i="2"/>
  <c r="AO206" i="2"/>
  <c r="AN206" i="2"/>
  <c r="AM206" i="2"/>
  <c r="AL206" i="2"/>
  <c r="B206" i="2"/>
  <c r="AR205" i="2"/>
  <c r="AQ205" i="2"/>
  <c r="AP205" i="2"/>
  <c r="AO205" i="2"/>
  <c r="AN205" i="2"/>
  <c r="AM205" i="2"/>
  <c r="AL205" i="2"/>
  <c r="B205" i="2"/>
  <c r="AR204" i="2"/>
  <c r="AQ204" i="2"/>
  <c r="AP204" i="2"/>
  <c r="AO204" i="2"/>
  <c r="AN204" i="2"/>
  <c r="AM204" i="2"/>
  <c r="AL204" i="2"/>
  <c r="B204" i="2"/>
  <c r="AR203" i="2"/>
  <c r="AQ203" i="2"/>
  <c r="AP203" i="2"/>
  <c r="AO203" i="2"/>
  <c r="AN203" i="2"/>
  <c r="AM203" i="2"/>
  <c r="AL203" i="2"/>
  <c r="B203" i="2"/>
  <c r="AR202" i="2"/>
  <c r="AQ202" i="2"/>
  <c r="AP202" i="2"/>
  <c r="AO202" i="2"/>
  <c r="AN202" i="2"/>
  <c r="AM202" i="2"/>
  <c r="AL202" i="2"/>
  <c r="B202" i="2"/>
  <c r="AR201" i="2"/>
  <c r="AQ201" i="2"/>
  <c r="AP201" i="2"/>
  <c r="AO201" i="2"/>
  <c r="AN201" i="2"/>
  <c r="AM201" i="2"/>
  <c r="AL201" i="2"/>
  <c r="B201" i="2"/>
  <c r="AR200" i="2"/>
  <c r="AQ200" i="2"/>
  <c r="AP200" i="2"/>
  <c r="AO200" i="2"/>
  <c r="AN200" i="2"/>
  <c r="AM200" i="2"/>
  <c r="AL200" i="2"/>
  <c r="B200" i="2"/>
  <c r="AR199" i="2"/>
  <c r="AQ199" i="2"/>
  <c r="AP199" i="2"/>
  <c r="AO199" i="2"/>
  <c r="AN199" i="2"/>
  <c r="AM199" i="2"/>
  <c r="AL199" i="2"/>
  <c r="B199" i="2"/>
  <c r="AR198" i="2"/>
  <c r="AQ198" i="2"/>
  <c r="AP198" i="2"/>
  <c r="AO198" i="2"/>
  <c r="AN198" i="2"/>
  <c r="AM198" i="2"/>
  <c r="AL198" i="2"/>
  <c r="B198" i="2"/>
  <c r="AR197" i="2"/>
  <c r="AQ197" i="2"/>
  <c r="AP197" i="2"/>
  <c r="AO197" i="2"/>
  <c r="AN197" i="2"/>
  <c r="AM197" i="2"/>
  <c r="AL197" i="2"/>
  <c r="B197" i="2"/>
  <c r="AR196" i="2"/>
  <c r="AQ196" i="2"/>
  <c r="AP196" i="2"/>
  <c r="AO196" i="2"/>
  <c r="AN196" i="2"/>
  <c r="AM196" i="2"/>
  <c r="AL196" i="2"/>
  <c r="B196" i="2"/>
  <c r="AR195" i="2"/>
  <c r="AQ195" i="2"/>
  <c r="AP195" i="2"/>
  <c r="AO195" i="2"/>
  <c r="AN195" i="2"/>
  <c r="AM195" i="2"/>
  <c r="AL195" i="2"/>
  <c r="B195" i="2"/>
  <c r="AR194" i="2"/>
  <c r="AQ194" i="2"/>
  <c r="AP194" i="2"/>
  <c r="AO194" i="2"/>
  <c r="AN194" i="2"/>
  <c r="AM194" i="2"/>
  <c r="AL194" i="2"/>
  <c r="B194" i="2"/>
  <c r="AR193" i="2"/>
  <c r="AQ193" i="2"/>
  <c r="AP193" i="2"/>
  <c r="AO193" i="2"/>
  <c r="AN193" i="2"/>
  <c r="AM193" i="2"/>
  <c r="AL193" i="2"/>
  <c r="B193" i="2"/>
  <c r="AR192" i="2"/>
  <c r="AQ192" i="2"/>
  <c r="AP192" i="2"/>
  <c r="AO192" i="2"/>
  <c r="AN192" i="2"/>
  <c r="AM192" i="2"/>
  <c r="AL192" i="2"/>
  <c r="B192" i="2"/>
  <c r="AR191" i="2"/>
  <c r="AQ191" i="2"/>
  <c r="AP191" i="2"/>
  <c r="AO191" i="2"/>
  <c r="AN191" i="2"/>
  <c r="AM191" i="2"/>
  <c r="AL191" i="2"/>
  <c r="B191" i="2"/>
  <c r="AR190" i="2"/>
  <c r="AQ190" i="2"/>
  <c r="AP190" i="2"/>
  <c r="AO190" i="2"/>
  <c r="AN190" i="2"/>
  <c r="AM190" i="2"/>
  <c r="AL190" i="2"/>
  <c r="B190" i="2"/>
  <c r="AR189" i="2"/>
  <c r="AQ189" i="2"/>
  <c r="AP189" i="2"/>
  <c r="AO189" i="2"/>
  <c r="AN189" i="2"/>
  <c r="AM189" i="2"/>
  <c r="AL189" i="2"/>
  <c r="B189" i="2"/>
  <c r="AR188" i="2"/>
  <c r="AQ188" i="2"/>
  <c r="AP188" i="2"/>
  <c r="AO188" i="2"/>
  <c r="AN188" i="2"/>
  <c r="AM188" i="2"/>
  <c r="AL188" i="2"/>
  <c r="B188" i="2"/>
  <c r="AR187" i="2"/>
  <c r="AQ187" i="2"/>
  <c r="AP187" i="2"/>
  <c r="AO187" i="2"/>
  <c r="AN187" i="2"/>
  <c r="AM187" i="2"/>
  <c r="AL187" i="2"/>
  <c r="B187" i="2"/>
  <c r="AR186" i="2"/>
  <c r="AQ186" i="2"/>
  <c r="AP186" i="2"/>
  <c r="AO186" i="2"/>
  <c r="AN186" i="2"/>
  <c r="AM186" i="2"/>
  <c r="AL186" i="2"/>
  <c r="B186" i="2"/>
  <c r="AR185" i="2"/>
  <c r="AQ185" i="2"/>
  <c r="AP185" i="2"/>
  <c r="AO185" i="2"/>
  <c r="AN185" i="2"/>
  <c r="AM185" i="2"/>
  <c r="AL185" i="2"/>
  <c r="B185" i="2"/>
  <c r="AR184" i="2"/>
  <c r="AQ184" i="2"/>
  <c r="AP184" i="2"/>
  <c r="AO184" i="2"/>
  <c r="AN184" i="2"/>
  <c r="AM184" i="2"/>
  <c r="AL184" i="2"/>
  <c r="B184" i="2"/>
  <c r="AR183" i="2"/>
  <c r="AQ183" i="2"/>
  <c r="AP183" i="2"/>
  <c r="AO183" i="2"/>
  <c r="AN183" i="2"/>
  <c r="AM183" i="2"/>
  <c r="AL183" i="2"/>
  <c r="B183" i="2"/>
  <c r="AR182" i="2"/>
  <c r="AQ182" i="2"/>
  <c r="AP182" i="2"/>
  <c r="AO182" i="2"/>
  <c r="AN182" i="2"/>
  <c r="AM182" i="2"/>
  <c r="AL182" i="2"/>
  <c r="B182" i="2"/>
  <c r="AR181" i="2"/>
  <c r="AQ181" i="2"/>
  <c r="AP181" i="2"/>
  <c r="AO181" i="2"/>
  <c r="AN181" i="2"/>
  <c r="AM181" i="2"/>
  <c r="AL181" i="2"/>
  <c r="B181" i="2"/>
  <c r="AR180" i="2"/>
  <c r="AQ180" i="2"/>
  <c r="AP180" i="2"/>
  <c r="AO180" i="2"/>
  <c r="AN180" i="2"/>
  <c r="AM180" i="2"/>
  <c r="AL180" i="2"/>
  <c r="B180" i="2"/>
  <c r="AR179" i="2"/>
  <c r="AQ179" i="2"/>
  <c r="AP179" i="2"/>
  <c r="AO179" i="2"/>
  <c r="AN179" i="2"/>
  <c r="AM179" i="2"/>
  <c r="AL179" i="2"/>
  <c r="B179" i="2"/>
  <c r="AR178" i="2"/>
  <c r="AQ178" i="2"/>
  <c r="AP178" i="2"/>
  <c r="AO178" i="2"/>
  <c r="AN178" i="2"/>
  <c r="AM178" i="2"/>
  <c r="AL178" i="2"/>
  <c r="B178" i="2"/>
  <c r="AR177" i="2"/>
  <c r="AQ177" i="2"/>
  <c r="AP177" i="2"/>
  <c r="AO177" i="2"/>
  <c r="AN177" i="2"/>
  <c r="AM177" i="2"/>
  <c r="AL177" i="2"/>
  <c r="B177" i="2"/>
  <c r="AR176" i="2"/>
  <c r="AQ176" i="2"/>
  <c r="AP176" i="2"/>
  <c r="AO176" i="2"/>
  <c r="AN176" i="2"/>
  <c r="AM176" i="2"/>
  <c r="AL176" i="2"/>
  <c r="B176" i="2"/>
  <c r="AR175" i="2"/>
  <c r="AQ175" i="2"/>
  <c r="AP175" i="2"/>
  <c r="AO175" i="2"/>
  <c r="AN175" i="2"/>
  <c r="AM175" i="2"/>
  <c r="AL175" i="2"/>
  <c r="B175" i="2"/>
  <c r="AR174" i="2"/>
  <c r="AQ174" i="2"/>
  <c r="AP174" i="2"/>
  <c r="AO174" i="2"/>
  <c r="AN174" i="2"/>
  <c r="AM174" i="2"/>
  <c r="AL174" i="2"/>
  <c r="B174" i="2"/>
  <c r="AR173" i="2"/>
  <c r="AQ173" i="2"/>
  <c r="AP173" i="2"/>
  <c r="AO173" i="2"/>
  <c r="AN173" i="2"/>
  <c r="AM173" i="2"/>
  <c r="AL173" i="2"/>
  <c r="B173" i="2"/>
  <c r="AR172" i="2"/>
  <c r="AQ172" i="2"/>
  <c r="AP172" i="2"/>
  <c r="AO172" i="2"/>
  <c r="AN172" i="2"/>
  <c r="AM172" i="2"/>
  <c r="AL172" i="2"/>
  <c r="B172" i="2"/>
  <c r="AR171" i="2"/>
  <c r="AQ171" i="2"/>
  <c r="AP171" i="2"/>
  <c r="AO171" i="2"/>
  <c r="AN171" i="2"/>
  <c r="AM171" i="2"/>
  <c r="AL171" i="2"/>
  <c r="B171" i="2"/>
  <c r="AR170" i="2"/>
  <c r="AQ170" i="2"/>
  <c r="AP170" i="2"/>
  <c r="AO170" i="2"/>
  <c r="AN170" i="2"/>
  <c r="AM170" i="2"/>
  <c r="AL170" i="2"/>
  <c r="B170" i="2"/>
  <c r="AR169" i="2"/>
  <c r="AQ169" i="2"/>
  <c r="AP169" i="2"/>
  <c r="AO169" i="2"/>
  <c r="AN169" i="2"/>
  <c r="AM169" i="2"/>
  <c r="AL169" i="2"/>
  <c r="B169" i="2"/>
  <c r="AR168" i="2"/>
  <c r="AQ168" i="2"/>
  <c r="AP168" i="2"/>
  <c r="AO168" i="2"/>
  <c r="AN168" i="2"/>
  <c r="AM168" i="2"/>
  <c r="AL168" i="2"/>
  <c r="B168" i="2"/>
  <c r="AR167" i="2"/>
  <c r="AQ167" i="2"/>
  <c r="AP167" i="2"/>
  <c r="AO167" i="2"/>
  <c r="AN167" i="2"/>
  <c r="AM167" i="2"/>
  <c r="AL167" i="2"/>
  <c r="B167" i="2"/>
  <c r="AR166" i="2"/>
  <c r="AQ166" i="2"/>
  <c r="AP166" i="2"/>
  <c r="AO166" i="2"/>
  <c r="AN166" i="2"/>
  <c r="AM166" i="2"/>
  <c r="AL166" i="2"/>
  <c r="B166" i="2"/>
  <c r="AR165" i="2"/>
  <c r="AQ165" i="2"/>
  <c r="AP165" i="2"/>
  <c r="AO165" i="2"/>
  <c r="AN165" i="2"/>
  <c r="AM165" i="2"/>
  <c r="AL165" i="2"/>
  <c r="B165" i="2"/>
  <c r="AR164" i="2"/>
  <c r="AQ164" i="2"/>
  <c r="AP164" i="2"/>
  <c r="AO164" i="2"/>
  <c r="AN164" i="2"/>
  <c r="AM164" i="2"/>
  <c r="AL164" i="2"/>
  <c r="B164" i="2"/>
  <c r="AR163" i="2"/>
  <c r="AQ163" i="2"/>
  <c r="AP163" i="2"/>
  <c r="AO163" i="2"/>
  <c r="AN163" i="2"/>
  <c r="AM163" i="2"/>
  <c r="AL163" i="2"/>
  <c r="B163" i="2"/>
  <c r="AR162" i="2"/>
  <c r="AQ162" i="2"/>
  <c r="AP162" i="2"/>
  <c r="AO162" i="2"/>
  <c r="AN162" i="2"/>
  <c r="AM162" i="2"/>
  <c r="AL162" i="2"/>
  <c r="B162" i="2"/>
  <c r="AR161" i="2"/>
  <c r="AQ161" i="2"/>
  <c r="AP161" i="2"/>
  <c r="AO161" i="2"/>
  <c r="AN161" i="2"/>
  <c r="AM161" i="2"/>
  <c r="AL161" i="2"/>
  <c r="B161" i="2"/>
  <c r="AR160" i="2"/>
  <c r="AQ160" i="2"/>
  <c r="AP160" i="2"/>
  <c r="AO160" i="2"/>
  <c r="AN160" i="2"/>
  <c r="AM160" i="2"/>
  <c r="AL160" i="2"/>
  <c r="B160" i="2"/>
  <c r="AR159" i="2"/>
  <c r="AQ159" i="2"/>
  <c r="AP159" i="2"/>
  <c r="AO159" i="2"/>
  <c r="AN159" i="2"/>
  <c r="AM159" i="2"/>
  <c r="AL159" i="2"/>
  <c r="B159" i="2"/>
  <c r="AR158" i="2"/>
  <c r="AQ158" i="2"/>
  <c r="AP158" i="2"/>
  <c r="AO158" i="2"/>
  <c r="AN158" i="2"/>
  <c r="AM158" i="2"/>
  <c r="AL158" i="2"/>
  <c r="B158" i="2"/>
  <c r="AR157" i="2"/>
  <c r="AQ157" i="2"/>
  <c r="AP157" i="2"/>
  <c r="AO157" i="2"/>
  <c r="AN157" i="2"/>
  <c r="AM157" i="2"/>
  <c r="AL157" i="2"/>
  <c r="B157" i="2"/>
  <c r="AR156" i="2"/>
  <c r="AQ156" i="2"/>
  <c r="AP156" i="2"/>
  <c r="AO156" i="2"/>
  <c r="AN156" i="2"/>
  <c r="AM156" i="2"/>
  <c r="AL156" i="2"/>
  <c r="B156" i="2"/>
  <c r="AR155" i="2"/>
  <c r="AQ155" i="2"/>
  <c r="AP155" i="2"/>
  <c r="AO155" i="2"/>
  <c r="AN155" i="2"/>
  <c r="AM155" i="2"/>
  <c r="AL155" i="2"/>
  <c r="B155" i="2"/>
  <c r="AR154" i="2"/>
  <c r="AQ154" i="2"/>
  <c r="AP154" i="2"/>
  <c r="AO154" i="2"/>
  <c r="AN154" i="2"/>
  <c r="AM154" i="2"/>
  <c r="AL154" i="2"/>
  <c r="B154" i="2"/>
  <c r="AR153" i="2"/>
  <c r="AQ153" i="2"/>
  <c r="AP153" i="2"/>
  <c r="AO153" i="2"/>
  <c r="AN153" i="2"/>
  <c r="AM153" i="2"/>
  <c r="AL153" i="2"/>
  <c r="B153" i="2"/>
  <c r="AR152" i="2"/>
  <c r="AQ152" i="2"/>
  <c r="AP152" i="2"/>
  <c r="AO152" i="2"/>
  <c r="AN152" i="2"/>
  <c r="AM152" i="2"/>
  <c r="AL152" i="2"/>
  <c r="B152" i="2"/>
  <c r="AR151" i="2"/>
  <c r="AQ151" i="2"/>
  <c r="AP151" i="2"/>
  <c r="AO151" i="2"/>
  <c r="AN151" i="2"/>
  <c r="AM151" i="2"/>
  <c r="AL151" i="2"/>
  <c r="B151" i="2"/>
  <c r="AR150" i="2"/>
  <c r="AQ150" i="2"/>
  <c r="AP150" i="2"/>
  <c r="AO150" i="2"/>
  <c r="AN150" i="2"/>
  <c r="AM150" i="2"/>
  <c r="AL150" i="2"/>
  <c r="B150" i="2"/>
  <c r="AR149" i="2"/>
  <c r="AQ149" i="2"/>
  <c r="AP149" i="2"/>
  <c r="AO149" i="2"/>
  <c r="AN149" i="2"/>
  <c r="AM149" i="2"/>
  <c r="AL149" i="2"/>
  <c r="B149" i="2"/>
  <c r="AR148" i="2"/>
  <c r="AQ148" i="2"/>
  <c r="AP148" i="2"/>
  <c r="AO148" i="2"/>
  <c r="AN148" i="2"/>
  <c r="AM148" i="2"/>
  <c r="AL148" i="2"/>
  <c r="B148" i="2"/>
  <c r="AR147" i="2"/>
  <c r="AQ147" i="2"/>
  <c r="AP147" i="2"/>
  <c r="AO147" i="2"/>
  <c r="AN147" i="2"/>
  <c r="AM147" i="2"/>
  <c r="AL147" i="2"/>
  <c r="B147" i="2"/>
  <c r="AR146" i="2"/>
  <c r="AQ146" i="2"/>
  <c r="AP146" i="2"/>
  <c r="AO146" i="2"/>
  <c r="AN146" i="2"/>
  <c r="AM146" i="2"/>
  <c r="AL146" i="2"/>
  <c r="B146" i="2"/>
  <c r="AR145" i="2"/>
  <c r="AQ145" i="2"/>
  <c r="AP145" i="2"/>
  <c r="AO145" i="2"/>
  <c r="AN145" i="2"/>
  <c r="AM145" i="2"/>
  <c r="AL145" i="2"/>
  <c r="B145" i="2"/>
  <c r="AR144" i="2"/>
  <c r="AQ144" i="2"/>
  <c r="AP144" i="2"/>
  <c r="AO144" i="2"/>
  <c r="AN144" i="2"/>
  <c r="AM144" i="2"/>
  <c r="AL144" i="2"/>
  <c r="B144" i="2"/>
  <c r="AR143" i="2"/>
  <c r="AQ143" i="2"/>
  <c r="AP143" i="2"/>
  <c r="AO143" i="2"/>
  <c r="AN143" i="2"/>
  <c r="AM143" i="2"/>
  <c r="AL143" i="2"/>
  <c r="B143" i="2"/>
  <c r="AR142" i="2"/>
  <c r="AQ142" i="2"/>
  <c r="AP142" i="2"/>
  <c r="AO142" i="2"/>
  <c r="AN142" i="2"/>
  <c r="AM142" i="2"/>
  <c r="AL142" i="2"/>
  <c r="B142" i="2"/>
  <c r="AR141" i="2"/>
  <c r="AQ141" i="2"/>
  <c r="AP141" i="2"/>
  <c r="AO141" i="2"/>
  <c r="AN141" i="2"/>
  <c r="AM141" i="2"/>
  <c r="AL141" i="2"/>
  <c r="B141" i="2"/>
  <c r="AR140" i="2"/>
  <c r="AQ140" i="2"/>
  <c r="AP140" i="2"/>
  <c r="AO140" i="2"/>
  <c r="AN140" i="2"/>
  <c r="AM140" i="2"/>
  <c r="AL140" i="2"/>
  <c r="B140" i="2"/>
  <c r="AR139" i="2"/>
  <c r="AQ139" i="2"/>
  <c r="AP139" i="2"/>
  <c r="AO139" i="2"/>
  <c r="AN139" i="2"/>
  <c r="AM139" i="2"/>
  <c r="AL139" i="2"/>
  <c r="B139" i="2"/>
  <c r="AR138" i="2"/>
  <c r="AQ138" i="2"/>
  <c r="AP138" i="2"/>
  <c r="AO138" i="2"/>
  <c r="AN138" i="2"/>
  <c r="AM138" i="2"/>
  <c r="AL138" i="2"/>
  <c r="B138" i="2"/>
  <c r="AR137" i="2"/>
  <c r="AQ137" i="2"/>
  <c r="AP137" i="2"/>
  <c r="AO137" i="2"/>
  <c r="AN137" i="2"/>
  <c r="AM137" i="2"/>
  <c r="AL137" i="2"/>
  <c r="B137" i="2"/>
  <c r="AR136" i="2"/>
  <c r="AQ136" i="2"/>
  <c r="AP136" i="2"/>
  <c r="AO136" i="2"/>
  <c r="AN136" i="2"/>
  <c r="AM136" i="2"/>
  <c r="AL136" i="2"/>
  <c r="B136" i="2"/>
  <c r="AR135" i="2"/>
  <c r="AQ135" i="2"/>
  <c r="AP135" i="2"/>
  <c r="AO135" i="2"/>
  <c r="AN135" i="2"/>
  <c r="AM135" i="2"/>
  <c r="AL135" i="2"/>
  <c r="B135" i="2"/>
  <c r="AR134" i="2"/>
  <c r="AQ134" i="2"/>
  <c r="AP134" i="2"/>
  <c r="AO134" i="2"/>
  <c r="AN134" i="2"/>
  <c r="AM134" i="2"/>
  <c r="AL134" i="2"/>
  <c r="B134" i="2"/>
  <c r="AR133" i="2"/>
  <c r="AQ133" i="2"/>
  <c r="AP133" i="2"/>
  <c r="AO133" i="2"/>
  <c r="AN133" i="2"/>
  <c r="AM133" i="2"/>
  <c r="AL133" i="2"/>
  <c r="B133" i="2"/>
  <c r="AR132" i="2"/>
  <c r="AQ132" i="2"/>
  <c r="AP132" i="2"/>
  <c r="AO132" i="2"/>
  <c r="AN132" i="2"/>
  <c r="AM132" i="2"/>
  <c r="AL132" i="2"/>
  <c r="B132" i="2"/>
  <c r="AR131" i="2"/>
  <c r="AQ131" i="2"/>
  <c r="AP131" i="2"/>
  <c r="AO131" i="2"/>
  <c r="AN131" i="2"/>
  <c r="AM131" i="2"/>
  <c r="AL131" i="2"/>
  <c r="B131" i="2"/>
  <c r="AR130" i="2"/>
  <c r="AQ130" i="2"/>
  <c r="AP130" i="2"/>
  <c r="AO130" i="2"/>
  <c r="AN130" i="2"/>
  <c r="AM130" i="2"/>
  <c r="AL130" i="2"/>
  <c r="B130" i="2"/>
  <c r="AR129" i="2"/>
  <c r="AQ129" i="2"/>
  <c r="AP129" i="2"/>
  <c r="AO129" i="2"/>
  <c r="AN129" i="2"/>
  <c r="AM129" i="2"/>
  <c r="AL129" i="2"/>
  <c r="B129" i="2"/>
  <c r="AR128" i="2"/>
  <c r="AQ128" i="2"/>
  <c r="AP128" i="2"/>
  <c r="AO128" i="2"/>
  <c r="AN128" i="2"/>
  <c r="AM128" i="2"/>
  <c r="AL128" i="2"/>
  <c r="B128" i="2"/>
  <c r="AR127" i="2"/>
  <c r="AQ127" i="2"/>
  <c r="AP127" i="2"/>
  <c r="AO127" i="2"/>
  <c r="AN127" i="2"/>
  <c r="AM127" i="2"/>
  <c r="AL127" i="2"/>
  <c r="B127" i="2"/>
  <c r="AR126" i="2"/>
  <c r="AQ126" i="2"/>
  <c r="AP126" i="2"/>
  <c r="AO126" i="2"/>
  <c r="AN126" i="2"/>
  <c r="AM126" i="2"/>
  <c r="AL126" i="2"/>
  <c r="B126" i="2"/>
  <c r="AR125" i="2"/>
  <c r="AQ125" i="2"/>
  <c r="AP125" i="2"/>
  <c r="AO125" i="2"/>
  <c r="AN125" i="2"/>
  <c r="AM125" i="2"/>
  <c r="AL125" i="2"/>
  <c r="B125" i="2"/>
  <c r="AR124" i="2"/>
  <c r="AQ124" i="2"/>
  <c r="AP124" i="2"/>
  <c r="AO124" i="2"/>
  <c r="AN124" i="2"/>
  <c r="AM124" i="2"/>
  <c r="AL124" i="2"/>
  <c r="B124" i="2"/>
  <c r="AR123" i="2"/>
  <c r="AQ123" i="2"/>
  <c r="AP123" i="2"/>
  <c r="AO123" i="2"/>
  <c r="AN123" i="2"/>
  <c r="AM123" i="2"/>
  <c r="AL123" i="2"/>
  <c r="B123" i="2"/>
  <c r="AR122" i="2"/>
  <c r="AQ122" i="2"/>
  <c r="AP122" i="2"/>
  <c r="AO122" i="2"/>
  <c r="AN122" i="2"/>
  <c r="AM122" i="2"/>
  <c r="AL122" i="2"/>
  <c r="B122" i="2"/>
  <c r="AR121" i="2"/>
  <c r="AQ121" i="2"/>
  <c r="AP121" i="2"/>
  <c r="AO121" i="2"/>
  <c r="AN121" i="2"/>
  <c r="AM121" i="2"/>
  <c r="AL121" i="2"/>
  <c r="B121" i="2"/>
  <c r="AR120" i="2"/>
  <c r="AQ120" i="2"/>
  <c r="AP120" i="2"/>
  <c r="AO120" i="2"/>
  <c r="AN120" i="2"/>
  <c r="AM120" i="2"/>
  <c r="AL120" i="2"/>
  <c r="B120" i="2"/>
  <c r="AR119" i="2"/>
  <c r="AQ119" i="2"/>
  <c r="AP119" i="2"/>
  <c r="AO119" i="2"/>
  <c r="AN119" i="2"/>
  <c r="AM119" i="2"/>
  <c r="AL119" i="2"/>
  <c r="B119" i="2"/>
  <c r="AR118" i="2"/>
  <c r="AQ118" i="2"/>
  <c r="AP118" i="2"/>
  <c r="AO118" i="2"/>
  <c r="AN118" i="2"/>
  <c r="AM118" i="2"/>
  <c r="AL118" i="2"/>
  <c r="B118" i="2"/>
  <c r="AR117" i="2"/>
  <c r="AQ117" i="2"/>
  <c r="AP117" i="2"/>
  <c r="AO117" i="2"/>
  <c r="AN117" i="2"/>
  <c r="AM117" i="2"/>
  <c r="AL117" i="2"/>
  <c r="B117" i="2"/>
  <c r="AR116" i="2"/>
  <c r="AQ116" i="2"/>
  <c r="AP116" i="2"/>
  <c r="AO116" i="2"/>
  <c r="AN116" i="2"/>
  <c r="AM116" i="2"/>
  <c r="AL116" i="2"/>
  <c r="B116" i="2"/>
  <c r="AR115" i="2"/>
  <c r="AQ115" i="2"/>
  <c r="AP115" i="2"/>
  <c r="AO115" i="2"/>
  <c r="AN115" i="2"/>
  <c r="AM115" i="2"/>
  <c r="AL115" i="2"/>
  <c r="B115" i="2"/>
  <c r="AR114" i="2"/>
  <c r="AQ114" i="2"/>
  <c r="AP114" i="2"/>
  <c r="AO114" i="2"/>
  <c r="AN114" i="2"/>
  <c r="AM114" i="2"/>
  <c r="AL114" i="2"/>
  <c r="B114" i="2"/>
  <c r="AR113" i="2"/>
  <c r="AQ113" i="2"/>
  <c r="AP113" i="2"/>
  <c r="AO113" i="2"/>
  <c r="AN113" i="2"/>
  <c r="AM113" i="2"/>
  <c r="AL113" i="2"/>
  <c r="B113" i="2"/>
  <c r="AR112" i="2"/>
  <c r="AQ112" i="2"/>
  <c r="AP112" i="2"/>
  <c r="AO112" i="2"/>
  <c r="AN112" i="2"/>
  <c r="AM112" i="2"/>
  <c r="AL112" i="2"/>
  <c r="B112" i="2"/>
  <c r="AR111" i="2"/>
  <c r="AQ111" i="2"/>
  <c r="AP111" i="2"/>
  <c r="AO111" i="2"/>
  <c r="AN111" i="2"/>
  <c r="AM111" i="2"/>
  <c r="AL111" i="2"/>
  <c r="B111" i="2"/>
  <c r="AR110" i="2"/>
  <c r="AQ110" i="2"/>
  <c r="AP110" i="2"/>
  <c r="AO110" i="2"/>
  <c r="AN110" i="2"/>
  <c r="AM110" i="2"/>
  <c r="AL110" i="2"/>
  <c r="B110" i="2"/>
  <c r="AR109" i="2"/>
  <c r="AQ109" i="2"/>
  <c r="AP109" i="2"/>
  <c r="AO109" i="2"/>
  <c r="AN109" i="2"/>
  <c r="AM109" i="2"/>
  <c r="AL109" i="2"/>
  <c r="B109" i="2"/>
  <c r="AR108" i="2"/>
  <c r="AQ108" i="2"/>
  <c r="AP108" i="2"/>
  <c r="AO108" i="2"/>
  <c r="AN108" i="2"/>
  <c r="AM108" i="2"/>
  <c r="AL108" i="2"/>
  <c r="B108" i="2"/>
  <c r="AR107" i="2"/>
  <c r="AQ107" i="2"/>
  <c r="AP107" i="2"/>
  <c r="AO107" i="2"/>
  <c r="AN107" i="2"/>
  <c r="AM107" i="2"/>
  <c r="AL107" i="2"/>
  <c r="B107" i="2"/>
  <c r="AR106" i="2"/>
  <c r="AQ106" i="2"/>
  <c r="AP106" i="2"/>
  <c r="AO106" i="2"/>
  <c r="AN106" i="2"/>
  <c r="AM106" i="2"/>
  <c r="AL106" i="2"/>
  <c r="B106" i="2"/>
  <c r="AR105" i="2"/>
  <c r="AQ105" i="2"/>
  <c r="AP105" i="2"/>
  <c r="AO105" i="2"/>
  <c r="AN105" i="2"/>
  <c r="AM105" i="2"/>
  <c r="AL105" i="2"/>
  <c r="B105" i="2"/>
  <c r="AR104" i="2"/>
  <c r="AQ104" i="2"/>
  <c r="AP104" i="2"/>
  <c r="AO104" i="2"/>
  <c r="AN104" i="2"/>
  <c r="AM104" i="2"/>
  <c r="AL104" i="2"/>
  <c r="B104" i="2"/>
  <c r="AR103" i="2"/>
  <c r="AQ103" i="2"/>
  <c r="AP103" i="2"/>
  <c r="AO103" i="2"/>
  <c r="AN103" i="2"/>
  <c r="AM103" i="2"/>
  <c r="AL103" i="2"/>
  <c r="B103" i="2"/>
  <c r="AR102" i="2"/>
  <c r="AQ102" i="2"/>
  <c r="AP102" i="2"/>
  <c r="AO102" i="2"/>
  <c r="AN102" i="2"/>
  <c r="AM102" i="2"/>
  <c r="AL102" i="2"/>
  <c r="B102" i="2"/>
  <c r="AR101" i="2"/>
  <c r="AQ101" i="2"/>
  <c r="AP101" i="2"/>
  <c r="AO101" i="2"/>
  <c r="AN101" i="2"/>
  <c r="AM101" i="2"/>
  <c r="AL101" i="2"/>
  <c r="B101" i="2"/>
  <c r="AR100" i="2"/>
  <c r="AQ100" i="2"/>
  <c r="AP100" i="2"/>
  <c r="AO100" i="2"/>
  <c r="AN100" i="2"/>
  <c r="AM100" i="2"/>
  <c r="AL100" i="2"/>
  <c r="B100" i="2"/>
  <c r="AR99" i="2"/>
  <c r="AQ99" i="2"/>
  <c r="AP99" i="2"/>
  <c r="AO99" i="2"/>
  <c r="AN99" i="2"/>
  <c r="AM99" i="2"/>
  <c r="AL99" i="2"/>
  <c r="B99" i="2"/>
  <c r="AR98" i="2"/>
  <c r="AQ98" i="2"/>
  <c r="AP98" i="2"/>
  <c r="AO98" i="2"/>
  <c r="AN98" i="2"/>
  <c r="AM98" i="2"/>
  <c r="AL98" i="2"/>
  <c r="B98" i="2"/>
  <c r="AR97" i="2"/>
  <c r="AQ97" i="2"/>
  <c r="AP97" i="2"/>
  <c r="AO97" i="2"/>
  <c r="AN97" i="2"/>
  <c r="AM97" i="2"/>
  <c r="AL97" i="2"/>
  <c r="B97" i="2"/>
  <c r="AR96" i="2"/>
  <c r="AQ96" i="2"/>
  <c r="AP96" i="2"/>
  <c r="AO96" i="2"/>
  <c r="AN96" i="2"/>
  <c r="AM96" i="2"/>
  <c r="AL96" i="2"/>
  <c r="B96" i="2"/>
  <c r="AR95" i="2"/>
  <c r="AQ95" i="2"/>
  <c r="AP95" i="2"/>
  <c r="AO95" i="2"/>
  <c r="AN95" i="2"/>
  <c r="AM95" i="2"/>
  <c r="AL95" i="2"/>
  <c r="B95" i="2"/>
  <c r="AR94" i="2"/>
  <c r="AQ94" i="2"/>
  <c r="AP94" i="2"/>
  <c r="AO94" i="2"/>
  <c r="AN94" i="2"/>
  <c r="AM94" i="2"/>
  <c r="AL94" i="2"/>
  <c r="B94" i="2"/>
  <c r="AR93" i="2"/>
  <c r="AQ93" i="2"/>
  <c r="AP93" i="2"/>
  <c r="AO93" i="2"/>
  <c r="AN93" i="2"/>
  <c r="AM93" i="2"/>
  <c r="AL93" i="2"/>
  <c r="B93" i="2"/>
  <c r="AR92" i="2"/>
  <c r="AQ92" i="2"/>
  <c r="AP92" i="2"/>
  <c r="AO92" i="2"/>
  <c r="AN92" i="2"/>
  <c r="AM92" i="2"/>
  <c r="AL92" i="2"/>
  <c r="B92" i="2"/>
  <c r="AR91" i="2"/>
  <c r="AQ91" i="2"/>
  <c r="AP91" i="2"/>
  <c r="AO91" i="2"/>
  <c r="AN91" i="2"/>
  <c r="AM91" i="2"/>
  <c r="AL91" i="2"/>
  <c r="B91" i="2"/>
  <c r="AR90" i="2"/>
  <c r="AQ90" i="2"/>
  <c r="AP90" i="2"/>
  <c r="AO90" i="2"/>
  <c r="AN90" i="2"/>
  <c r="AM90" i="2"/>
  <c r="AL90" i="2"/>
  <c r="B90" i="2"/>
  <c r="AR89" i="2"/>
  <c r="AQ89" i="2"/>
  <c r="AP89" i="2"/>
  <c r="AO89" i="2"/>
  <c r="AN89" i="2"/>
  <c r="AM89" i="2"/>
  <c r="AL89" i="2"/>
  <c r="B89" i="2"/>
  <c r="AR88" i="2"/>
  <c r="AQ88" i="2"/>
  <c r="AP88" i="2"/>
  <c r="AO88" i="2"/>
  <c r="AN88" i="2"/>
  <c r="AM88" i="2"/>
  <c r="AL88" i="2"/>
  <c r="B88" i="2"/>
  <c r="AR87" i="2"/>
  <c r="AQ87" i="2"/>
  <c r="AP87" i="2"/>
  <c r="AO87" i="2"/>
  <c r="AN87" i="2"/>
  <c r="AM87" i="2"/>
  <c r="AL87" i="2"/>
  <c r="B87" i="2"/>
  <c r="AR86" i="2"/>
  <c r="AQ86" i="2"/>
  <c r="AP86" i="2"/>
  <c r="AO86" i="2"/>
  <c r="AN86" i="2"/>
  <c r="AM86" i="2"/>
  <c r="AL86" i="2"/>
  <c r="B86" i="2"/>
  <c r="AR85" i="2"/>
  <c r="AQ85" i="2"/>
  <c r="AP85" i="2"/>
  <c r="AO85" i="2"/>
  <c r="AN85" i="2"/>
  <c r="AM85" i="2"/>
  <c r="AL85" i="2"/>
  <c r="B85" i="2"/>
  <c r="AR84" i="2"/>
  <c r="AQ84" i="2"/>
  <c r="AP84" i="2"/>
  <c r="AO84" i="2"/>
  <c r="AN84" i="2"/>
  <c r="AM84" i="2"/>
  <c r="AL84" i="2"/>
  <c r="B84" i="2"/>
  <c r="AR83" i="2"/>
  <c r="AQ83" i="2"/>
  <c r="AP83" i="2"/>
  <c r="AO83" i="2"/>
  <c r="AN83" i="2"/>
  <c r="AM83" i="2"/>
  <c r="AL83" i="2"/>
  <c r="B83" i="2"/>
  <c r="AR82" i="2"/>
  <c r="AQ82" i="2"/>
  <c r="AP82" i="2"/>
  <c r="AO82" i="2"/>
  <c r="AN82" i="2"/>
  <c r="AM82" i="2"/>
  <c r="AL82" i="2"/>
  <c r="B82" i="2"/>
  <c r="AR81" i="2"/>
  <c r="AQ81" i="2"/>
  <c r="AP81" i="2"/>
  <c r="AO81" i="2"/>
  <c r="AN81" i="2"/>
  <c r="AM81" i="2"/>
  <c r="AL81" i="2"/>
  <c r="B81" i="2"/>
  <c r="AR80" i="2"/>
  <c r="AQ80" i="2"/>
  <c r="AP80" i="2"/>
  <c r="AO80" i="2"/>
  <c r="AN80" i="2"/>
  <c r="AM80" i="2"/>
  <c r="AL80" i="2"/>
  <c r="B80" i="2"/>
  <c r="AR79" i="2"/>
  <c r="AQ79" i="2"/>
  <c r="AP79" i="2"/>
  <c r="AO79" i="2"/>
  <c r="AN79" i="2"/>
  <c r="AM79" i="2"/>
  <c r="AL79" i="2"/>
  <c r="B79" i="2"/>
  <c r="AR78" i="2"/>
  <c r="AQ78" i="2"/>
  <c r="AP78" i="2"/>
  <c r="AO78" i="2"/>
  <c r="AN78" i="2"/>
  <c r="AM78" i="2"/>
  <c r="AL78" i="2"/>
  <c r="B78" i="2"/>
  <c r="AR77" i="2"/>
  <c r="AQ77" i="2"/>
  <c r="AP77" i="2"/>
  <c r="AO77" i="2"/>
  <c r="AN77" i="2"/>
  <c r="AM77" i="2"/>
  <c r="AL77" i="2"/>
  <c r="B77" i="2"/>
  <c r="AR76" i="2"/>
  <c r="AQ76" i="2"/>
  <c r="AP76" i="2"/>
  <c r="AO76" i="2"/>
  <c r="AN76" i="2"/>
  <c r="AM76" i="2"/>
  <c r="AL76" i="2"/>
  <c r="B76" i="2"/>
  <c r="AR75" i="2"/>
  <c r="AQ75" i="2"/>
  <c r="AP75" i="2"/>
  <c r="AO75" i="2"/>
  <c r="AN75" i="2"/>
  <c r="AM75" i="2"/>
  <c r="AL75" i="2"/>
  <c r="B75" i="2"/>
  <c r="AR74" i="2"/>
  <c r="AQ74" i="2"/>
  <c r="AP74" i="2"/>
  <c r="AO74" i="2"/>
  <c r="AN74" i="2"/>
  <c r="AM74" i="2"/>
  <c r="AL74" i="2"/>
  <c r="B74" i="2"/>
  <c r="AR73" i="2"/>
  <c r="AQ73" i="2"/>
  <c r="AP73" i="2"/>
  <c r="AO73" i="2"/>
  <c r="AN73" i="2"/>
  <c r="AM73" i="2"/>
  <c r="AL73" i="2"/>
  <c r="B73" i="2"/>
  <c r="AR72" i="2"/>
  <c r="AQ72" i="2"/>
  <c r="AP72" i="2"/>
  <c r="AO72" i="2"/>
  <c r="AN72" i="2"/>
  <c r="AM72" i="2"/>
  <c r="AL72" i="2"/>
  <c r="B72" i="2"/>
  <c r="AR71" i="2"/>
  <c r="AQ71" i="2"/>
  <c r="AP71" i="2"/>
  <c r="AO71" i="2"/>
  <c r="AN71" i="2"/>
  <c r="AM71" i="2"/>
  <c r="AL71" i="2"/>
  <c r="B71" i="2"/>
  <c r="AR70" i="2"/>
  <c r="AQ70" i="2"/>
  <c r="AP70" i="2"/>
  <c r="AO70" i="2"/>
  <c r="AN70" i="2"/>
  <c r="AM70" i="2"/>
  <c r="AL70" i="2"/>
  <c r="B70" i="2"/>
  <c r="AR69" i="2"/>
  <c r="AQ69" i="2"/>
  <c r="AP69" i="2"/>
  <c r="AO69" i="2"/>
  <c r="AN69" i="2"/>
  <c r="AM69" i="2"/>
  <c r="AL69" i="2"/>
  <c r="B69" i="2"/>
  <c r="AR68" i="2"/>
  <c r="AQ68" i="2"/>
  <c r="AP68" i="2"/>
  <c r="AO68" i="2"/>
  <c r="AN68" i="2"/>
  <c r="AM68" i="2"/>
  <c r="AL68" i="2"/>
  <c r="B68" i="2"/>
  <c r="AR67" i="2"/>
  <c r="AQ67" i="2"/>
  <c r="AP67" i="2"/>
  <c r="AO67" i="2"/>
  <c r="AN67" i="2"/>
  <c r="AM67" i="2"/>
  <c r="AL67" i="2"/>
  <c r="B67" i="2"/>
  <c r="AR66" i="2"/>
  <c r="AQ66" i="2"/>
  <c r="AP66" i="2"/>
  <c r="AO66" i="2"/>
  <c r="AN66" i="2"/>
  <c r="AM66" i="2"/>
  <c r="AL66" i="2"/>
  <c r="B66" i="2"/>
  <c r="AR65" i="2"/>
  <c r="AQ65" i="2"/>
  <c r="AP65" i="2"/>
  <c r="AO65" i="2"/>
  <c r="AN65" i="2"/>
  <c r="AM65" i="2"/>
  <c r="AL65" i="2"/>
  <c r="B65" i="2"/>
  <c r="AR64" i="2"/>
  <c r="AQ64" i="2"/>
  <c r="AP64" i="2"/>
  <c r="AO64" i="2"/>
  <c r="AN64" i="2"/>
  <c r="AM64" i="2"/>
  <c r="AL64" i="2"/>
  <c r="B64" i="2"/>
  <c r="AR63" i="2"/>
  <c r="AQ63" i="2"/>
  <c r="AP63" i="2"/>
  <c r="AO63" i="2"/>
  <c r="AN63" i="2"/>
  <c r="AM63" i="2"/>
  <c r="AL63" i="2"/>
  <c r="B63" i="2"/>
  <c r="AR62" i="2"/>
  <c r="AQ62" i="2"/>
  <c r="AP62" i="2"/>
  <c r="AO62" i="2"/>
  <c r="AN62" i="2"/>
  <c r="AM62" i="2"/>
  <c r="AL62" i="2"/>
  <c r="B62" i="2"/>
  <c r="AR61" i="2"/>
  <c r="AQ61" i="2"/>
  <c r="AP61" i="2"/>
  <c r="AO61" i="2"/>
  <c r="AN61" i="2"/>
  <c r="AM61" i="2"/>
  <c r="AL61" i="2"/>
  <c r="B61" i="2"/>
  <c r="AR60" i="2"/>
  <c r="AQ60" i="2"/>
  <c r="AP60" i="2"/>
  <c r="AO60" i="2"/>
  <c r="AN60" i="2"/>
  <c r="AM60" i="2"/>
  <c r="AL60" i="2"/>
  <c r="B60" i="2"/>
  <c r="AR59" i="2"/>
  <c r="AQ59" i="2"/>
  <c r="AP59" i="2"/>
  <c r="AO59" i="2"/>
  <c r="AN59" i="2"/>
  <c r="AM59" i="2"/>
  <c r="AL59" i="2"/>
  <c r="B59" i="2"/>
  <c r="AR58" i="2"/>
  <c r="AQ58" i="2"/>
  <c r="AP58" i="2"/>
  <c r="AO58" i="2"/>
  <c r="AN58" i="2"/>
  <c r="AM58" i="2"/>
  <c r="AL58" i="2"/>
  <c r="B58" i="2"/>
  <c r="AR57" i="2"/>
  <c r="AQ57" i="2"/>
  <c r="AP57" i="2"/>
  <c r="AO57" i="2"/>
  <c r="AN57" i="2"/>
  <c r="AM57" i="2"/>
  <c r="AL57" i="2"/>
  <c r="B57" i="2"/>
  <c r="AR56" i="2"/>
  <c r="AQ56" i="2"/>
  <c r="AP56" i="2"/>
  <c r="AO56" i="2"/>
  <c r="AN56" i="2"/>
  <c r="AM56" i="2"/>
  <c r="AL56" i="2"/>
  <c r="B56" i="2"/>
  <c r="AR55" i="2"/>
  <c r="AQ55" i="2"/>
  <c r="AP55" i="2"/>
  <c r="AO55" i="2"/>
  <c r="AN55" i="2"/>
  <c r="AM55" i="2"/>
  <c r="AL55" i="2"/>
  <c r="B55" i="2"/>
  <c r="AR54" i="2"/>
  <c r="AQ54" i="2"/>
  <c r="AP54" i="2"/>
  <c r="AO54" i="2"/>
  <c r="AN54" i="2"/>
  <c r="AM54" i="2"/>
  <c r="AL54" i="2"/>
  <c r="B54" i="2"/>
  <c r="AR53" i="2"/>
  <c r="AQ53" i="2"/>
  <c r="AP53" i="2"/>
  <c r="AO53" i="2"/>
  <c r="AN53" i="2"/>
  <c r="AM53" i="2"/>
  <c r="AL53" i="2"/>
  <c r="B53" i="2"/>
  <c r="AR52" i="2"/>
  <c r="AQ52" i="2"/>
  <c r="AP52" i="2"/>
  <c r="AO52" i="2"/>
  <c r="AN52" i="2"/>
  <c r="AM52" i="2"/>
  <c r="AL52" i="2"/>
  <c r="B52" i="2"/>
  <c r="AR51" i="2"/>
  <c r="AQ51" i="2"/>
  <c r="AP51" i="2"/>
  <c r="AO51" i="2"/>
  <c r="AN51" i="2"/>
  <c r="AM51" i="2"/>
  <c r="AL51" i="2"/>
  <c r="B51" i="2"/>
  <c r="AR50" i="2"/>
  <c r="AQ50" i="2"/>
  <c r="AP50" i="2"/>
  <c r="AO50" i="2"/>
  <c r="AN50" i="2"/>
  <c r="AM50" i="2"/>
  <c r="AL50" i="2"/>
  <c r="B50" i="2"/>
  <c r="AR49" i="2"/>
  <c r="AQ49" i="2"/>
  <c r="AP49" i="2"/>
  <c r="AO49" i="2"/>
  <c r="AN49" i="2"/>
  <c r="AM49" i="2"/>
  <c r="AL49" i="2"/>
  <c r="B49" i="2"/>
  <c r="AR48" i="2"/>
  <c r="AQ48" i="2"/>
  <c r="AP48" i="2"/>
  <c r="AO48" i="2"/>
  <c r="AN48" i="2"/>
  <c r="AM48" i="2"/>
  <c r="AL48" i="2"/>
  <c r="B48" i="2"/>
  <c r="AR47" i="2"/>
  <c r="AQ47" i="2"/>
  <c r="AP47" i="2"/>
  <c r="AO47" i="2"/>
  <c r="AN47" i="2"/>
  <c r="AM47" i="2"/>
  <c r="AL47" i="2"/>
  <c r="B47" i="2"/>
  <c r="AR46" i="2"/>
  <c r="AQ46" i="2"/>
  <c r="AP46" i="2"/>
  <c r="AO46" i="2"/>
  <c r="AN46" i="2"/>
  <c r="AM46" i="2"/>
  <c r="AL46" i="2"/>
  <c r="B46" i="2"/>
  <c r="AR45" i="2"/>
  <c r="AQ45" i="2"/>
  <c r="AP45" i="2"/>
  <c r="AO45" i="2"/>
  <c r="AN45" i="2"/>
  <c r="AM45" i="2"/>
  <c r="AL45" i="2"/>
  <c r="B45" i="2"/>
  <c r="AR44" i="2"/>
  <c r="AQ44" i="2"/>
  <c r="AP44" i="2"/>
  <c r="AO44" i="2"/>
  <c r="AN44" i="2"/>
  <c r="AM44" i="2"/>
  <c r="AL44" i="2"/>
  <c r="B44" i="2"/>
  <c r="AR43" i="2"/>
  <c r="AQ43" i="2"/>
  <c r="AP43" i="2"/>
  <c r="AO43" i="2"/>
  <c r="AN43" i="2"/>
  <c r="AM43" i="2"/>
  <c r="AL43" i="2"/>
  <c r="B43" i="2"/>
  <c r="AR42" i="2"/>
  <c r="AQ42" i="2"/>
  <c r="AP42" i="2"/>
  <c r="AO42" i="2"/>
  <c r="AN42" i="2"/>
  <c r="AM42" i="2"/>
  <c r="AL42" i="2"/>
  <c r="B42" i="2"/>
  <c r="AR41" i="2"/>
  <c r="AQ41" i="2"/>
  <c r="AP41" i="2"/>
  <c r="AO41" i="2"/>
  <c r="AN41" i="2"/>
  <c r="AM41" i="2"/>
  <c r="AL41" i="2"/>
  <c r="B41" i="2"/>
  <c r="AR40" i="2"/>
  <c r="AQ40" i="2"/>
  <c r="AP40" i="2"/>
  <c r="AO40" i="2"/>
  <c r="AN40" i="2"/>
  <c r="AM40" i="2"/>
  <c r="AL40" i="2"/>
  <c r="B40" i="2"/>
  <c r="AR39" i="2"/>
  <c r="AQ39" i="2"/>
  <c r="AP39" i="2"/>
  <c r="AO39" i="2"/>
  <c r="AN39" i="2"/>
  <c r="AM39" i="2"/>
  <c r="AL39" i="2"/>
  <c r="B39" i="2"/>
  <c r="AR38" i="2"/>
  <c r="AQ38" i="2"/>
  <c r="AP38" i="2"/>
  <c r="AO38" i="2"/>
  <c r="AN38" i="2"/>
  <c r="AM38" i="2"/>
  <c r="AL38" i="2"/>
  <c r="B38" i="2"/>
  <c r="AR37" i="2"/>
  <c r="AQ37" i="2"/>
  <c r="AP37" i="2"/>
  <c r="AO37" i="2"/>
  <c r="AN37" i="2"/>
  <c r="AM37" i="2"/>
  <c r="AL37" i="2"/>
  <c r="B37" i="2"/>
  <c r="AR36" i="2"/>
  <c r="AQ36" i="2"/>
  <c r="AP36" i="2"/>
  <c r="AO36" i="2"/>
  <c r="AN36" i="2"/>
  <c r="AM36" i="2"/>
  <c r="AL36" i="2"/>
  <c r="B36" i="2"/>
  <c r="AR35" i="2"/>
  <c r="AQ35" i="2"/>
  <c r="AP35" i="2"/>
  <c r="AO35" i="2"/>
  <c r="AN35" i="2"/>
  <c r="AM35" i="2"/>
  <c r="AL35" i="2"/>
  <c r="B35" i="2"/>
  <c r="AR34" i="2"/>
  <c r="AQ34" i="2"/>
  <c r="AP34" i="2"/>
  <c r="AO34" i="2"/>
  <c r="AN34" i="2"/>
  <c r="AM34" i="2"/>
  <c r="AL34" i="2"/>
  <c r="B34" i="2"/>
  <c r="AR33" i="2"/>
  <c r="AQ33" i="2"/>
  <c r="AP33" i="2"/>
  <c r="AO33" i="2"/>
  <c r="AN33" i="2"/>
  <c r="AM33" i="2"/>
  <c r="AL33" i="2"/>
  <c r="B33" i="2"/>
  <c r="AR32" i="2"/>
  <c r="AQ32" i="2"/>
  <c r="AP32" i="2"/>
  <c r="AO32" i="2"/>
  <c r="AN32" i="2"/>
  <c r="AM32" i="2"/>
  <c r="AL32" i="2"/>
  <c r="B32" i="2"/>
  <c r="AR31" i="2"/>
  <c r="AQ31" i="2"/>
  <c r="AP31" i="2"/>
  <c r="AO31" i="2"/>
  <c r="AN31" i="2"/>
  <c r="AM31" i="2"/>
  <c r="AL31" i="2"/>
  <c r="B31" i="2"/>
  <c r="AR30" i="2"/>
  <c r="AQ30" i="2"/>
  <c r="AP30" i="2"/>
  <c r="AO30" i="2"/>
  <c r="AN30" i="2"/>
  <c r="AM30" i="2"/>
  <c r="AL30" i="2"/>
  <c r="B30" i="2"/>
  <c r="AR29" i="2"/>
  <c r="AQ29" i="2"/>
  <c r="AP29" i="2"/>
  <c r="AO29" i="2"/>
  <c r="AN29" i="2"/>
  <c r="AM29" i="2"/>
  <c r="AL29" i="2"/>
  <c r="B29" i="2"/>
  <c r="AR28" i="2"/>
  <c r="AQ28" i="2"/>
  <c r="AP28" i="2"/>
  <c r="AO28" i="2"/>
  <c r="AN28" i="2"/>
  <c r="AM28" i="2"/>
  <c r="AL28" i="2"/>
  <c r="B28" i="2"/>
  <c r="AR27" i="2"/>
  <c r="AQ27" i="2"/>
  <c r="AP27" i="2"/>
  <c r="AO27" i="2"/>
  <c r="AN27" i="2"/>
  <c r="AM27" i="2"/>
  <c r="AL27" i="2"/>
  <c r="B27" i="2"/>
  <c r="AR26" i="2"/>
  <c r="AQ26" i="2"/>
  <c r="AP26" i="2"/>
  <c r="AO26" i="2"/>
  <c r="AN26" i="2"/>
  <c r="AM26" i="2"/>
  <c r="AL26" i="2"/>
  <c r="B26" i="2"/>
  <c r="AR25" i="2"/>
  <c r="AQ25" i="2"/>
  <c r="AP25" i="2"/>
  <c r="AO25" i="2"/>
  <c r="AN25" i="2"/>
  <c r="AM25" i="2"/>
  <c r="AL25" i="2"/>
  <c r="B25" i="2"/>
  <c r="AR24" i="2"/>
  <c r="AQ24" i="2"/>
  <c r="AP24" i="2"/>
  <c r="AO24" i="2"/>
  <c r="AN24" i="2"/>
  <c r="AM24" i="2"/>
  <c r="AL24" i="2"/>
  <c r="B24" i="2"/>
  <c r="AR23" i="2"/>
  <c r="AQ23" i="2"/>
  <c r="AP23" i="2"/>
  <c r="AO23" i="2"/>
  <c r="AN23" i="2"/>
  <c r="AM23" i="2"/>
  <c r="AL23" i="2"/>
  <c r="B23" i="2"/>
  <c r="AR22" i="2"/>
  <c r="AQ22" i="2"/>
  <c r="AP22" i="2"/>
  <c r="AO22" i="2"/>
  <c r="AN22" i="2"/>
  <c r="AM22" i="2"/>
  <c r="AL22" i="2"/>
  <c r="B22" i="2"/>
  <c r="AR21" i="2"/>
  <c r="AQ21" i="2"/>
  <c r="AP21" i="2"/>
  <c r="AO21" i="2"/>
  <c r="AN21" i="2"/>
  <c r="AM21" i="2"/>
  <c r="AL21" i="2"/>
  <c r="B21" i="2"/>
  <c r="AR20" i="2"/>
  <c r="AQ20" i="2"/>
  <c r="AP20" i="2"/>
  <c r="AO20" i="2"/>
  <c r="AN20" i="2"/>
  <c r="AM20" i="2"/>
  <c r="AL20" i="2"/>
  <c r="B20" i="2"/>
  <c r="AR19" i="2"/>
  <c r="AQ19" i="2"/>
  <c r="AP19" i="2"/>
  <c r="AO19" i="2"/>
  <c r="AN19" i="2"/>
  <c r="AM19" i="2"/>
  <c r="AL19" i="2"/>
  <c r="B19" i="2"/>
  <c r="AR18" i="2"/>
  <c r="AQ18" i="2"/>
  <c r="AP18" i="2"/>
  <c r="AO18" i="2"/>
  <c r="AN18" i="2"/>
  <c r="AM18" i="2"/>
  <c r="AL18" i="2"/>
  <c r="B18" i="2"/>
  <c r="AR17" i="2"/>
  <c r="AQ17" i="2"/>
  <c r="AP17" i="2"/>
  <c r="AO17" i="2"/>
  <c r="AN17" i="2"/>
  <c r="AM17" i="2"/>
  <c r="AL17" i="2"/>
  <c r="B17" i="2"/>
  <c r="AR16" i="2"/>
  <c r="AQ16" i="2"/>
  <c r="AP16" i="2"/>
  <c r="AO16" i="2"/>
  <c r="AN16" i="2"/>
  <c r="AM16" i="2"/>
  <c r="AL16" i="2"/>
  <c r="B16" i="2"/>
  <c r="AR15" i="2"/>
  <c r="AQ15" i="2"/>
  <c r="AP15" i="2"/>
  <c r="AO15" i="2"/>
  <c r="AN15" i="2"/>
  <c r="AM15" i="2"/>
  <c r="AL15" i="2"/>
  <c r="B15" i="2"/>
  <c r="AR14" i="2"/>
  <c r="AQ14" i="2"/>
  <c r="AP14" i="2"/>
  <c r="AO14" i="2"/>
  <c r="AN14" i="2"/>
  <c r="AM14" i="2"/>
  <c r="AL14" i="2"/>
  <c r="B14" i="2"/>
  <c r="AR13" i="2"/>
  <c r="AQ13" i="2"/>
  <c r="AP13" i="2"/>
  <c r="AO13" i="2"/>
  <c r="AN13" i="2"/>
  <c r="AM13" i="2"/>
  <c r="AL13" i="2"/>
  <c r="B13" i="2"/>
  <c r="AR12" i="2"/>
  <c r="AQ12" i="2"/>
  <c r="AP12" i="2"/>
  <c r="AO12" i="2"/>
  <c r="AN12" i="2"/>
  <c r="AM12" i="2"/>
  <c r="AL12" i="2"/>
  <c r="B12" i="2"/>
  <c r="BP11" i="2"/>
  <c r="BH11" i="2"/>
  <c r="AR11" i="2"/>
  <c r="AQ11" i="2"/>
  <c r="AP11" i="2"/>
  <c r="AO11" i="2"/>
  <c r="AN11" i="2"/>
  <c r="AM11" i="2"/>
  <c r="AL11" i="2"/>
  <c r="B11" i="2"/>
  <c r="I8" i="2"/>
  <c r="AV3745" i="4" l="1"/>
  <c r="AV3744" i="4"/>
  <c r="AV3743" i="4"/>
  <c r="AV3742" i="4"/>
  <c r="AV3741" i="4"/>
  <c r="AV3740" i="4"/>
  <c r="AV3739" i="4"/>
  <c r="AV3738" i="4"/>
  <c r="AV3737" i="4"/>
  <c r="AV3736" i="4"/>
  <c r="AV3735" i="4"/>
  <c r="AV3734" i="4"/>
  <c r="AV3733" i="4"/>
  <c r="AV3732" i="4"/>
  <c r="AV3731" i="4"/>
  <c r="AV3730" i="4"/>
  <c r="AV3729" i="4"/>
  <c r="AV3728" i="4"/>
  <c r="AV3727" i="4"/>
  <c r="AV3726" i="4"/>
  <c r="AV3725" i="4"/>
  <c r="AV3724" i="4"/>
  <c r="AV3723" i="4"/>
  <c r="AV3722" i="4"/>
  <c r="AV3721" i="4"/>
  <c r="AV3720" i="4"/>
  <c r="AV3719" i="4"/>
  <c r="AV3718" i="4"/>
  <c r="AV3717" i="4"/>
  <c r="AV3716" i="4"/>
  <c r="AV3715" i="4"/>
  <c r="AV3714" i="4"/>
  <c r="AV3713" i="4"/>
  <c r="AV3712" i="4"/>
  <c r="AV3711" i="4"/>
  <c r="AV3710" i="4"/>
  <c r="AV3709" i="4"/>
  <c r="AV3708" i="4"/>
  <c r="AV3707" i="4"/>
  <c r="AV3706" i="4"/>
  <c r="AV3705" i="4"/>
  <c r="AV3704" i="4"/>
  <c r="AV3703" i="4"/>
  <c r="AV3702" i="4"/>
  <c r="AV3701" i="4"/>
  <c r="AV3700" i="4"/>
  <c r="AV2280" i="4"/>
  <c r="AV2279" i="4"/>
  <c r="AV2278" i="4"/>
  <c r="AV2277" i="4"/>
  <c r="AV2276" i="4"/>
  <c r="AV2275" i="4"/>
  <c r="AV2274" i="4"/>
  <c r="AV2273" i="4"/>
  <c r="AV2272" i="4"/>
  <c r="AV2271" i="4"/>
  <c r="AV2270" i="4"/>
  <c r="AV2269" i="4"/>
  <c r="AV2268" i="4"/>
  <c r="AV2267" i="4"/>
  <c r="AV2266" i="4"/>
  <c r="AV2265" i="4"/>
  <c r="AV2264" i="4"/>
  <c r="AV2263" i="4"/>
  <c r="AV2262" i="4"/>
  <c r="AV2261" i="4"/>
  <c r="AV2260" i="4"/>
  <c r="AV2259" i="4"/>
  <c r="AV2258" i="4"/>
  <c r="AV2257" i="4"/>
  <c r="AV2256" i="4"/>
  <c r="AV2255" i="4"/>
  <c r="AV2254" i="4"/>
  <c r="AV2253" i="4"/>
  <c r="AV2252" i="4"/>
  <c r="AV2251" i="4"/>
  <c r="AV2250" i="4"/>
  <c r="AV2249" i="4"/>
  <c r="AV2248" i="4"/>
  <c r="AV2247" i="4"/>
  <c r="AV2246" i="4"/>
  <c r="AV2245" i="4"/>
  <c r="AV2244" i="4"/>
  <c r="AV2243" i="4"/>
  <c r="AV2242" i="4"/>
  <c r="AV2241" i="4"/>
  <c r="AV2240" i="4"/>
  <c r="AV2239" i="4"/>
  <c r="AV2238" i="4"/>
  <c r="AV2237" i="4"/>
  <c r="AV2236" i="4"/>
  <c r="AV2235" i="4"/>
  <c r="AV2234" i="4"/>
  <c r="AV2233" i="4"/>
  <c r="AV2232" i="4"/>
  <c r="AV2231" i="4"/>
  <c r="AV2230" i="4"/>
  <c r="AV2229" i="4"/>
  <c r="AV2228" i="4"/>
  <c r="AV2227" i="4"/>
  <c r="AV2226" i="4"/>
  <c r="AV2225" i="4"/>
  <c r="AV2224" i="4"/>
  <c r="AV2223" i="4"/>
  <c r="AV2222" i="4"/>
  <c r="AV2221" i="4"/>
  <c r="AV2220" i="4"/>
  <c r="AV2219" i="4"/>
  <c r="AV2218" i="4"/>
  <c r="AV2217" i="4"/>
  <c r="AV2216" i="4"/>
  <c r="AV2215" i="4"/>
  <c r="AV2214" i="4"/>
  <c r="AV2213" i="4"/>
  <c r="AV2212" i="4"/>
  <c r="AV2211" i="4"/>
  <c r="AV2210" i="4"/>
  <c r="AV2209" i="4"/>
  <c r="AV2208" i="4"/>
  <c r="AV2207" i="4"/>
  <c r="AV2206" i="4"/>
  <c r="AV2205" i="4"/>
  <c r="AV2204" i="4"/>
  <c r="AV2203" i="4"/>
  <c r="AV2202" i="4"/>
  <c r="AV2201" i="4"/>
  <c r="AV2200" i="4"/>
  <c r="AV2199" i="4"/>
  <c r="AV2198" i="4"/>
  <c r="AV2197" i="4"/>
  <c r="AV2196" i="4"/>
  <c r="AV2195" i="4"/>
  <c r="AV2194" i="4"/>
  <c r="AV2193" i="4"/>
  <c r="AV2192" i="4"/>
  <c r="AV2191" i="4"/>
  <c r="AV2190" i="4"/>
  <c r="AV2189" i="4"/>
  <c r="AV2188" i="4"/>
  <c r="AV2187" i="4"/>
  <c r="AV3629" i="3"/>
  <c r="AV3628" i="3"/>
  <c r="AV3627" i="3"/>
  <c r="AV3626" i="3"/>
  <c r="AV3625" i="3"/>
  <c r="AV3624" i="3"/>
  <c r="AV3623" i="3"/>
  <c r="AV3622" i="3"/>
  <c r="AV3621" i="3"/>
  <c r="AV3620" i="3"/>
  <c r="AV3619" i="3"/>
  <c r="AV3618" i="3"/>
  <c r="AV3617" i="3"/>
  <c r="AV3616" i="3"/>
  <c r="AV3615" i="3"/>
  <c r="AV3614" i="3"/>
  <c r="AV3613" i="3"/>
  <c r="AV3612" i="3"/>
  <c r="AV3611" i="3"/>
  <c r="AV3610" i="3"/>
  <c r="AV3609" i="3"/>
  <c r="AV3608" i="3"/>
  <c r="AV3607" i="3"/>
  <c r="AV3606" i="3"/>
  <c r="AV3605" i="3"/>
  <c r="AV3604" i="3"/>
  <c r="AV3603" i="3"/>
  <c r="AV3602" i="3"/>
  <c r="AV3601" i="3"/>
  <c r="AV3600" i="3"/>
  <c r="AV3599" i="3"/>
  <c r="AV3598" i="3"/>
  <c r="AV3597" i="3"/>
  <c r="AV3596" i="3"/>
  <c r="AV3595" i="3"/>
  <c r="AV3594" i="3"/>
  <c r="AV3593" i="3"/>
  <c r="AV3592" i="3"/>
  <c r="AV3591" i="3"/>
  <c r="AV3590" i="3"/>
  <c r="AV3589" i="3"/>
  <c r="AV3588" i="3"/>
  <c r="AV3587" i="3"/>
  <c r="AV3586" i="3"/>
  <c r="AV2176" i="3"/>
  <c r="AV2175" i="3"/>
  <c r="AV2174" i="3"/>
  <c r="AV2173" i="3"/>
  <c r="AV2172" i="3"/>
  <c r="AV2171" i="3"/>
  <c r="AV2170" i="3"/>
  <c r="AV2169" i="3"/>
  <c r="AV2168" i="3"/>
  <c r="AV2167" i="3"/>
  <c r="AV2166" i="3"/>
  <c r="AV2165" i="3"/>
  <c r="AV2164" i="3"/>
  <c r="AV2163" i="3"/>
  <c r="AV2162" i="3"/>
  <c r="AV2161" i="3"/>
  <c r="AV2160" i="3"/>
  <c r="AV2159" i="3"/>
  <c r="AV2158" i="3"/>
  <c r="AV1839" i="3"/>
  <c r="AV1838" i="3"/>
  <c r="AV1837" i="3"/>
  <c r="AV1836" i="3"/>
  <c r="AV1835" i="3"/>
  <c r="AV1834" i="3"/>
  <c r="AV1833" i="3"/>
  <c r="AV1832" i="3"/>
  <c r="AV1831" i="3"/>
  <c r="AV1830" i="3"/>
  <c r="AV1829" i="3"/>
  <c r="AV1828" i="3"/>
  <c r="AV1827" i="3"/>
  <c r="AV1826" i="3"/>
  <c r="AV1825" i="3"/>
  <c r="AV1824" i="3"/>
  <c r="AV1823" i="3"/>
  <c r="AV1822" i="3"/>
  <c r="AV1821" i="3"/>
  <c r="AV1820" i="3"/>
  <c r="AV1819" i="3"/>
  <c r="AV1818" i="3"/>
  <c r="AV1817" i="3"/>
  <c r="AV1816" i="3"/>
  <c r="AV1815" i="3"/>
  <c r="AV1814" i="3"/>
  <c r="AV1813" i="3"/>
  <c r="AV1812" i="3"/>
  <c r="AV1811" i="3"/>
  <c r="AV1810" i="3"/>
  <c r="AV1809" i="3"/>
  <c r="AV1808" i="3"/>
  <c r="AV1807" i="3"/>
  <c r="AV2806" i="2"/>
  <c r="AV2805" i="2"/>
  <c r="AV2804" i="2"/>
  <c r="AV2803" i="2"/>
  <c r="AV2802" i="2"/>
  <c r="AV2801" i="2"/>
  <c r="AV2800" i="2"/>
  <c r="AV2799" i="2"/>
  <c r="AV2798" i="2"/>
  <c r="AV2797" i="2"/>
  <c r="AV2796" i="2"/>
  <c r="AV2795" i="2"/>
  <c r="AV2794" i="2"/>
  <c r="AV2793" i="2"/>
  <c r="AV2792" i="2"/>
  <c r="AV2791" i="2"/>
  <c r="AV2790" i="2"/>
  <c r="AV2789" i="2"/>
  <c r="AV2788" i="2"/>
  <c r="AV2787" i="2"/>
  <c r="AV2786" i="2"/>
  <c r="AV2785" i="2"/>
  <c r="AV2784" i="2"/>
  <c r="AV2783" i="2"/>
  <c r="AV2782" i="2"/>
  <c r="AV3806" i="4"/>
  <c r="AV3805" i="4"/>
  <c r="AV3804" i="4"/>
  <c r="AV3803" i="4"/>
  <c r="AV3802" i="4"/>
  <c r="AV3801" i="4"/>
  <c r="AV3800" i="4"/>
  <c r="AV3799" i="4"/>
  <c r="AV3798" i="4"/>
  <c r="AV3797" i="4"/>
  <c r="AV3796" i="4"/>
  <c r="AV3795" i="4"/>
  <c r="AV3794" i="4"/>
  <c r="AV3793" i="4"/>
  <c r="AV3792" i="4"/>
  <c r="AV3791" i="4"/>
  <c r="AV3790" i="4"/>
  <c r="AV3789" i="4"/>
  <c r="AV3788" i="4"/>
  <c r="AV3787" i="4"/>
  <c r="AV3786" i="4"/>
  <c r="AV3785" i="4"/>
  <c r="AV3784" i="4"/>
  <c r="AV3783" i="4"/>
  <c r="AV3782" i="4"/>
  <c r="AV3781" i="4"/>
  <c r="AV3780" i="4"/>
  <c r="AV3779" i="4"/>
  <c r="AV3778" i="4"/>
  <c r="AV3777" i="4"/>
  <c r="AV3776" i="4"/>
  <c r="AV3775" i="4"/>
  <c r="AV3774" i="4"/>
  <c r="AV3773" i="4"/>
  <c r="AV3772" i="4"/>
  <c r="AV3771" i="4"/>
  <c r="AV3770" i="4"/>
  <c r="AV3769" i="4"/>
  <c r="AV3768" i="4"/>
  <c r="AV3767" i="4"/>
  <c r="AV3766" i="4"/>
  <c r="AV3765" i="4"/>
  <c r="AV3764" i="4"/>
  <c r="AV3763" i="4"/>
  <c r="AV3762" i="4"/>
  <c r="AV3761" i="4"/>
  <c r="AV3760" i="4"/>
  <c r="AV3759" i="4"/>
  <c r="AV3758" i="4"/>
  <c r="AV3757" i="4"/>
  <c r="AV3756" i="4"/>
  <c r="AV3755" i="4"/>
  <c r="AV3754" i="4"/>
  <c r="AV3753" i="4"/>
  <c r="AV3752" i="4"/>
  <c r="AV3751" i="4"/>
  <c r="AV3750" i="4"/>
  <c r="AV3749" i="4"/>
  <c r="AV3748" i="4"/>
  <c r="AV3747" i="4"/>
  <c r="AV3746" i="4"/>
  <c r="AV2506" i="4"/>
  <c r="AV2505" i="4"/>
  <c r="AV2504" i="4"/>
  <c r="AV2503" i="4"/>
  <c r="AV2502" i="4"/>
  <c r="AV2501" i="4"/>
  <c r="AV2500" i="4"/>
  <c r="AV2499" i="4"/>
  <c r="AV2498" i="4"/>
  <c r="AV2497" i="4"/>
  <c r="AV2496" i="4"/>
  <c r="AV2495" i="4"/>
  <c r="AV2494" i="4"/>
  <c r="AV2493" i="4"/>
  <c r="AV2492" i="4"/>
  <c r="AV2491" i="4"/>
  <c r="AV2490" i="4"/>
  <c r="AV2489" i="4"/>
  <c r="AV2488" i="4"/>
  <c r="AV2487" i="4"/>
  <c r="AV2486" i="4"/>
  <c r="AV2485" i="4"/>
  <c r="AV2484" i="4"/>
  <c r="AV2483" i="4"/>
  <c r="AV2482" i="4"/>
  <c r="AV2481" i="4"/>
  <c r="AV2480" i="4"/>
  <c r="AV2479" i="4"/>
  <c r="AV2478" i="4"/>
  <c r="AV2477" i="4"/>
  <c r="AV2476" i="4"/>
  <c r="AV2359" i="4"/>
  <c r="AV2358" i="4"/>
  <c r="AV2357" i="4"/>
  <c r="AV2356" i="4"/>
  <c r="AV2355" i="4"/>
  <c r="AV2354" i="4"/>
  <c r="AV2353" i="4"/>
  <c r="AV2352" i="4"/>
  <c r="AV2351" i="4"/>
  <c r="AV2350" i="4"/>
  <c r="AV2349" i="4"/>
  <c r="AV2348" i="4"/>
  <c r="AV2347" i="4"/>
  <c r="AV2346" i="4"/>
  <c r="AV2345" i="4"/>
  <c r="AV2344" i="4"/>
  <c r="AV2343" i="4"/>
  <c r="AV2342" i="4"/>
  <c r="AV2341" i="4"/>
  <c r="AV2340" i="4"/>
  <c r="AV2339" i="4"/>
  <c r="AV2338" i="4"/>
  <c r="AV2337" i="4"/>
  <c r="AV2336" i="4"/>
  <c r="AV2335" i="4"/>
  <c r="AV2334" i="4"/>
  <c r="AV2333" i="4"/>
  <c r="AV2332" i="4"/>
  <c r="AV2331" i="4"/>
  <c r="AV2330" i="4"/>
  <c r="AV2329" i="4"/>
  <c r="AV2328" i="4"/>
  <c r="AV2327" i="4"/>
  <c r="AV2326" i="4"/>
  <c r="AV2325" i="4"/>
  <c r="AV2324" i="4"/>
  <c r="AV2323" i="4"/>
  <c r="AV2322" i="4"/>
  <c r="AV2321" i="4"/>
  <c r="AV2320" i="4"/>
  <c r="AV2319" i="4"/>
  <c r="AV2318" i="4"/>
  <c r="AV2317" i="4"/>
  <c r="AV2316" i="4"/>
  <c r="AV2315" i="4"/>
  <c r="AV2314" i="4"/>
  <c r="AV2313" i="4"/>
  <c r="AV2312" i="4"/>
  <c r="AV2311" i="4"/>
  <c r="AV2310" i="4"/>
  <c r="AV2309" i="4"/>
  <c r="AV2308" i="4"/>
  <c r="AV2307" i="4"/>
  <c r="AV2306" i="4"/>
  <c r="AV2305" i="4"/>
  <c r="AV2304" i="4"/>
  <c r="AV2303" i="4"/>
  <c r="AV2302" i="4"/>
  <c r="AV2301" i="4"/>
  <c r="AV2300" i="4"/>
  <c r="AV2299" i="4"/>
  <c r="AV2298" i="4"/>
  <c r="AV2297" i="4"/>
  <c r="AV2296" i="4"/>
  <c r="AV2295" i="4"/>
  <c r="AV2294" i="4"/>
  <c r="AV2293" i="4"/>
  <c r="AV2292" i="4"/>
  <c r="AV2291" i="4"/>
  <c r="AV2290" i="4"/>
  <c r="AV2289" i="4"/>
  <c r="AV2288" i="4"/>
  <c r="AV2287" i="4"/>
  <c r="AV2286" i="4"/>
  <c r="AV2285" i="4"/>
  <c r="AV2284" i="4"/>
  <c r="AV2283" i="4"/>
  <c r="AV2282" i="4"/>
  <c r="AV2281" i="4"/>
  <c r="AV957" i="4"/>
  <c r="AV956" i="4"/>
  <c r="AV955" i="4"/>
  <c r="AV954" i="4"/>
  <c r="AV953" i="4"/>
  <c r="AV952" i="4"/>
  <c r="AV951" i="4"/>
  <c r="AV950" i="4"/>
  <c r="AV949" i="4"/>
  <c r="AV948" i="4"/>
  <c r="AV947" i="4"/>
  <c r="AV946" i="4"/>
  <c r="AV945" i="4"/>
  <c r="AV944" i="4"/>
  <c r="AV943" i="4"/>
  <c r="AV942" i="4"/>
  <c r="AV941" i="4"/>
  <c r="AV940" i="4"/>
  <c r="AV939" i="4"/>
  <c r="AV938" i="4"/>
  <c r="AV937" i="4"/>
  <c r="AV936" i="4"/>
  <c r="AV935" i="4"/>
  <c r="AV934" i="4"/>
  <c r="AV933" i="4"/>
  <c r="AV932" i="4"/>
  <c r="AV931" i="4"/>
  <c r="AV930" i="4"/>
  <c r="AV929" i="4"/>
  <c r="AV928" i="4"/>
  <c r="AV927" i="4"/>
  <c r="AV926" i="4"/>
  <c r="AV925" i="4"/>
  <c r="AV924" i="4"/>
  <c r="AV923" i="4"/>
  <c r="AV922" i="4"/>
  <c r="AV921" i="4"/>
  <c r="AV920" i="4"/>
  <c r="AV919" i="4"/>
  <c r="AV918" i="4"/>
  <c r="AV917" i="4"/>
  <c r="AV916" i="4"/>
  <c r="AV915" i="4"/>
  <c r="AV914" i="4"/>
  <c r="AV913" i="4"/>
  <c r="AV912" i="4"/>
  <c r="AV911" i="4"/>
  <c r="AV910" i="4"/>
  <c r="AV909" i="4"/>
  <c r="AV908" i="4"/>
  <c r="AV3687" i="3"/>
  <c r="AV3686" i="3"/>
  <c r="AV3685" i="3"/>
  <c r="AV3684" i="3"/>
  <c r="AV3683" i="3"/>
  <c r="AV3682" i="3"/>
  <c r="AV3681" i="3"/>
  <c r="AV3680" i="3"/>
  <c r="AV3679" i="3"/>
  <c r="AV3678" i="3"/>
  <c r="AV3677" i="3"/>
  <c r="AV3676" i="3"/>
  <c r="AV3675" i="3"/>
  <c r="AV3674" i="3"/>
  <c r="AV3673" i="3"/>
  <c r="AV3672" i="3"/>
  <c r="AV3671" i="3"/>
  <c r="AV3670" i="3"/>
  <c r="AV3669" i="3"/>
  <c r="AV3668" i="3"/>
  <c r="AV3667" i="3"/>
  <c r="AV3666" i="3"/>
  <c r="AV3665" i="3"/>
  <c r="AV3664" i="3"/>
  <c r="AV3663" i="3"/>
  <c r="AV3662" i="3"/>
  <c r="AV3661" i="3"/>
  <c r="AV3660" i="3"/>
  <c r="AV3659" i="3"/>
  <c r="AV3658" i="3"/>
  <c r="AV3657" i="3"/>
  <c r="AV3656" i="3"/>
  <c r="AV3655" i="3"/>
  <c r="AV3654" i="3"/>
  <c r="AV3653" i="3"/>
  <c r="AV3652" i="3"/>
  <c r="AV3651" i="3"/>
  <c r="AV3650" i="3"/>
  <c r="AV3649" i="3"/>
  <c r="AV3648" i="3"/>
  <c r="AV3647" i="3"/>
  <c r="AV3646" i="3"/>
  <c r="AV3645" i="3"/>
  <c r="AV3644" i="3"/>
  <c r="AV3643" i="3"/>
  <c r="AV3642" i="3"/>
  <c r="AV3641" i="3"/>
  <c r="AV3640" i="3"/>
  <c r="AV3639" i="3"/>
  <c r="AV3638" i="3"/>
  <c r="AV3637" i="3"/>
  <c r="AV3636" i="3"/>
  <c r="AV3635" i="3"/>
  <c r="AV3634" i="3"/>
  <c r="AV3633" i="3"/>
  <c r="AV3632" i="3"/>
  <c r="AV3631" i="3"/>
  <c r="AV3630" i="3"/>
  <c r="AV2372" i="3"/>
  <c r="AV2371" i="3"/>
  <c r="AV2370" i="3"/>
  <c r="AV2369" i="3"/>
  <c r="AV2368" i="3"/>
  <c r="AV2367" i="3"/>
  <c r="AV2366" i="3"/>
  <c r="AV2365" i="3"/>
  <c r="AV2364" i="3"/>
  <c r="AV2363" i="3"/>
  <c r="AV2362" i="3"/>
  <c r="AV2361" i="3"/>
  <c r="AV2360" i="3"/>
  <c r="AV2359" i="3"/>
  <c r="AV2358" i="3"/>
  <c r="AV2357" i="3"/>
  <c r="AV2356" i="3"/>
  <c r="AV2355" i="3"/>
  <c r="AV2354" i="3"/>
  <c r="AV2353" i="3"/>
  <c r="AV2352" i="3"/>
  <c r="AV2351" i="3"/>
  <c r="AV2350" i="3"/>
  <c r="AV2349" i="3"/>
  <c r="AV2348" i="3"/>
  <c r="AV2347" i="3"/>
  <c r="AV2346" i="3"/>
  <c r="AV2345" i="3"/>
  <c r="AV2344" i="3"/>
  <c r="AV2343" i="3"/>
  <c r="AV2342" i="3"/>
  <c r="AV2341" i="3"/>
  <c r="AV2340" i="3"/>
  <c r="AV2339" i="3"/>
  <c r="AV2338" i="3"/>
  <c r="AV2337" i="3"/>
  <c r="AV2336" i="3"/>
  <c r="AV2335" i="3"/>
  <c r="AV2334" i="3"/>
  <c r="AV2333" i="3"/>
  <c r="AV2332" i="3"/>
  <c r="AV2331" i="3"/>
  <c r="AV2330" i="3"/>
  <c r="AV2329" i="3"/>
  <c r="AV2328" i="3"/>
  <c r="AV2327" i="3"/>
  <c r="AV2326" i="3"/>
  <c r="AV2325" i="3"/>
  <c r="AV2324" i="3"/>
  <c r="AV2323" i="3"/>
  <c r="AV2322" i="3"/>
  <c r="AV2321" i="3"/>
  <c r="AV2320" i="3"/>
  <c r="AV2319" i="3"/>
  <c r="AV2318" i="3"/>
  <c r="AV2317" i="3"/>
  <c r="AV2316" i="3"/>
  <c r="AV2315" i="3"/>
  <c r="AV2314" i="3"/>
  <c r="AV2313" i="3"/>
  <c r="AV2312" i="3"/>
  <c r="AV2311" i="3"/>
  <c r="AV2310" i="3"/>
  <c r="AV2309" i="3"/>
  <c r="AV2308" i="3"/>
  <c r="AV2307" i="3"/>
  <c r="AV2306" i="3"/>
  <c r="AV2305" i="3"/>
  <c r="AV2304" i="3"/>
  <c r="AV2303" i="3"/>
  <c r="AV2302" i="3"/>
  <c r="AV2301" i="3"/>
  <c r="AV2300" i="3"/>
  <c r="AV2299" i="3"/>
  <c r="AV2298" i="3"/>
  <c r="AV2297" i="3"/>
  <c r="AV2296" i="3"/>
  <c r="AV2295" i="3"/>
  <c r="AV2294" i="3"/>
  <c r="AV2293" i="3"/>
  <c r="AV2292" i="3"/>
  <c r="AV2291" i="3"/>
  <c r="AV2290" i="3"/>
  <c r="AV2289" i="3"/>
  <c r="AV2288" i="3"/>
  <c r="AV2287" i="3"/>
  <c r="AV2286" i="3"/>
  <c r="AV2285" i="3"/>
  <c r="AV2284" i="3"/>
  <c r="AV2283" i="3"/>
  <c r="AV2282" i="3"/>
  <c r="AV2281" i="3"/>
  <c r="AV2280" i="3"/>
  <c r="AV2279" i="3"/>
  <c r="AV2278" i="3"/>
  <c r="AV2277" i="3"/>
  <c r="AV2276" i="3"/>
  <c r="AV2275" i="3"/>
  <c r="AV2274" i="3"/>
  <c r="AV2273" i="3"/>
  <c r="AV2272" i="3"/>
  <c r="AV2271" i="3"/>
  <c r="AV2270" i="3"/>
  <c r="AV2269" i="3"/>
  <c r="AV2268" i="3"/>
  <c r="AV817" i="3"/>
  <c r="AV816" i="3"/>
  <c r="AV815" i="3"/>
  <c r="AV814" i="3"/>
  <c r="AV813" i="3"/>
  <c r="AV812" i="3"/>
  <c r="AV811" i="3"/>
  <c r="AV810" i="3"/>
  <c r="AV809" i="3"/>
  <c r="AV808" i="3"/>
  <c r="AV807" i="3"/>
  <c r="AV806" i="3"/>
  <c r="AV805" i="3"/>
  <c r="AV804" i="3"/>
  <c r="AV803" i="3"/>
  <c r="AV802" i="3"/>
  <c r="AV801" i="3"/>
  <c r="AV800" i="3"/>
  <c r="AV799" i="3"/>
  <c r="AV798" i="3"/>
  <c r="AV797" i="3"/>
  <c r="AV796" i="3"/>
  <c r="AV795" i="3"/>
  <c r="AV794" i="3"/>
  <c r="AV793" i="3"/>
  <c r="AV792" i="3"/>
  <c r="AV791" i="3"/>
  <c r="AV2841" i="2"/>
  <c r="AV2840" i="2"/>
  <c r="AV2839" i="2"/>
  <c r="AV2838" i="2"/>
  <c r="AV2837" i="2"/>
  <c r="AV2836" i="2"/>
  <c r="AV2835" i="2"/>
  <c r="AV2834" i="2"/>
  <c r="AV2833" i="2"/>
  <c r="AV2832" i="2"/>
  <c r="AV2831" i="2"/>
  <c r="AV2830" i="2"/>
  <c r="AV2829" i="2"/>
  <c r="AV2828" i="2"/>
  <c r="AV2827" i="2"/>
  <c r="AV2826" i="2"/>
  <c r="AV2825" i="2"/>
  <c r="AV2824" i="2"/>
  <c r="AV2823" i="2"/>
  <c r="AV2822" i="2"/>
  <c r="AV2821" i="2"/>
  <c r="AV2820" i="2"/>
  <c r="AV2819" i="2"/>
  <c r="AV2818" i="2"/>
  <c r="AV2817" i="2"/>
  <c r="AV2816" i="2"/>
  <c r="AV2815" i="2"/>
  <c r="AV2814" i="2"/>
  <c r="AV2813" i="2"/>
  <c r="AV2812" i="2"/>
  <c r="AV2811" i="2"/>
  <c r="AV2810" i="2"/>
  <c r="AV2809" i="2"/>
  <c r="AV2808" i="2"/>
  <c r="AV2807" i="2"/>
  <c r="AV3873" i="4"/>
  <c r="AV3872" i="4"/>
  <c r="AV3871" i="4"/>
  <c r="AV3870" i="4"/>
  <c r="AV3869" i="4"/>
  <c r="AV3868" i="4"/>
  <c r="AV3867" i="4"/>
  <c r="AV3866" i="4"/>
  <c r="AV3865" i="4"/>
  <c r="AV3864" i="4"/>
  <c r="AV3863" i="4"/>
  <c r="AV3862" i="4"/>
  <c r="AV3861" i="4"/>
  <c r="AV3860" i="4"/>
  <c r="AV3859" i="4"/>
  <c r="AV3858" i="4"/>
  <c r="AV3857" i="4"/>
  <c r="AV3856" i="4"/>
  <c r="AV3855" i="4"/>
  <c r="AV3854" i="4"/>
  <c r="AV3853" i="4"/>
  <c r="AV3852" i="4"/>
  <c r="AV3851" i="4"/>
  <c r="AV3850" i="4"/>
  <c r="AV3849" i="4"/>
  <c r="AV3848" i="4"/>
  <c r="AV3847" i="4"/>
  <c r="AV3846" i="4"/>
  <c r="AV3845" i="4"/>
  <c r="AV3844" i="4"/>
  <c r="AV3843" i="4"/>
  <c r="AV3842" i="4"/>
  <c r="AV3841" i="4"/>
  <c r="AV3840" i="4"/>
  <c r="AV3839" i="4"/>
  <c r="AV3838" i="4"/>
  <c r="AV3837" i="4"/>
  <c r="AV3836" i="4"/>
  <c r="AV3835" i="4"/>
  <c r="AV3834" i="4"/>
  <c r="AV3833" i="4"/>
  <c r="AV3832" i="4"/>
  <c r="AV3831" i="4"/>
  <c r="AV3830" i="4"/>
  <c r="AV3829" i="4"/>
  <c r="AV3828" i="4"/>
  <c r="AV3827" i="4"/>
  <c r="AV3826" i="4"/>
  <c r="AV3825" i="4"/>
  <c r="AV3824" i="4"/>
  <c r="AV3823" i="4"/>
  <c r="AV3822" i="4"/>
  <c r="AV3821" i="4"/>
  <c r="AV3820" i="4"/>
  <c r="AV3819" i="4"/>
  <c r="AV3818" i="4"/>
  <c r="AV3817" i="4"/>
  <c r="AV3816" i="4"/>
  <c r="AV3815" i="4"/>
  <c r="AV3814" i="4"/>
  <c r="AV3813" i="4"/>
  <c r="AV3812" i="4"/>
  <c r="AV3811" i="4"/>
  <c r="AV3810" i="4"/>
  <c r="AV3809" i="4"/>
  <c r="AV3808" i="4"/>
  <c r="AV3807" i="4"/>
  <c r="AV2475" i="4"/>
  <c r="AV2474" i="4"/>
  <c r="AV2473" i="4"/>
  <c r="AV2472" i="4"/>
  <c r="AV2471" i="4"/>
  <c r="AV2470" i="4"/>
  <c r="AV2469" i="4"/>
  <c r="AV2468" i="4"/>
  <c r="AV2467" i="4"/>
  <c r="AV2466" i="4"/>
  <c r="AV2465" i="4"/>
  <c r="AV2464" i="4"/>
  <c r="AV2463" i="4"/>
  <c r="AV2462" i="4"/>
  <c r="AV2461" i="4"/>
  <c r="AV2460" i="4"/>
  <c r="AV2459" i="4"/>
  <c r="AV2458" i="4"/>
  <c r="AV2457" i="4"/>
  <c r="AV2456" i="4"/>
  <c r="AV2455" i="4"/>
  <c r="AV2454" i="4"/>
  <c r="AV2453" i="4"/>
  <c r="AV2452" i="4"/>
  <c r="AV2451" i="4"/>
  <c r="AV2450" i="4"/>
  <c r="AV2449" i="4"/>
  <c r="AV2448" i="4"/>
  <c r="AV2447" i="4"/>
  <c r="AV2446" i="4"/>
  <c r="AV2445" i="4"/>
  <c r="AV2444" i="4"/>
  <c r="AV2443" i="4"/>
  <c r="AV2442" i="4"/>
  <c r="AV2441" i="4"/>
  <c r="AV2440" i="4"/>
  <c r="AV2439" i="4"/>
  <c r="AV2438" i="4"/>
  <c r="AV2437" i="4"/>
  <c r="AV2436" i="4"/>
  <c r="AV2435" i="4"/>
  <c r="AV2434" i="4"/>
  <c r="AV2433" i="4"/>
  <c r="AV2432" i="4"/>
  <c r="AV2431" i="4"/>
  <c r="AV2430" i="4"/>
  <c r="AV2429" i="4"/>
  <c r="AV2428" i="4"/>
  <c r="AV2427" i="4"/>
  <c r="AV2426" i="4"/>
  <c r="AV2425" i="4"/>
  <c r="AV2424" i="4"/>
  <c r="AV2423" i="4"/>
  <c r="AV2422" i="4"/>
  <c r="AV2421" i="4"/>
  <c r="AV2420" i="4"/>
  <c r="AV2419" i="4"/>
  <c r="AV2418" i="4"/>
  <c r="AV2417" i="4"/>
  <c r="AV2416" i="4"/>
  <c r="AV2415" i="4"/>
  <c r="AV2414" i="4"/>
  <c r="AV2413" i="4"/>
  <c r="AV2412" i="4"/>
  <c r="AV2411" i="4"/>
  <c r="AV2410" i="4"/>
  <c r="AV2409" i="4"/>
  <c r="AV2408" i="4"/>
  <c r="AV2407" i="4"/>
  <c r="AV2406" i="4"/>
  <c r="AV2405" i="4"/>
  <c r="AV2404" i="4"/>
  <c r="AV2403" i="4"/>
  <c r="AV2402" i="4"/>
  <c r="AV2401" i="4"/>
  <c r="AV2400" i="4"/>
  <c r="AV2399" i="4"/>
  <c r="AV2398" i="4"/>
  <c r="AV2397" i="4"/>
  <c r="AV2396" i="4"/>
  <c r="AV2395" i="4"/>
  <c r="AV2394" i="4"/>
  <c r="AV2393" i="4"/>
  <c r="AV2392" i="4"/>
  <c r="AV2391" i="4"/>
  <c r="AV2390" i="4"/>
  <c r="AV2389" i="4"/>
  <c r="AV2388" i="4"/>
  <c r="AV2387" i="4"/>
  <c r="AV2386" i="4"/>
  <c r="AV2385" i="4"/>
  <c r="AV2384" i="4"/>
  <c r="AV2383" i="4"/>
  <c r="AV2382" i="4"/>
  <c r="AV2381" i="4"/>
  <c r="AV2380" i="4"/>
  <c r="AV2379" i="4"/>
  <c r="AV2378" i="4"/>
  <c r="AV2377" i="4"/>
  <c r="AV2376" i="4"/>
  <c r="AV2375" i="4"/>
  <c r="AV2374" i="4"/>
  <c r="AV2373" i="4"/>
  <c r="AV2372" i="4"/>
  <c r="AV2371" i="4"/>
  <c r="AV2370" i="4"/>
  <c r="AV2369" i="4"/>
  <c r="AV2368" i="4"/>
  <c r="AV2367" i="4"/>
  <c r="AV2366" i="4"/>
  <c r="AV2365" i="4"/>
  <c r="AV2364" i="4"/>
  <c r="AV2363" i="4"/>
  <c r="AV2362" i="4"/>
  <c r="AV2361" i="4"/>
  <c r="AV2360" i="4"/>
  <c r="AV907" i="4"/>
  <c r="AV906" i="4"/>
  <c r="AV905" i="4"/>
  <c r="AV904" i="4"/>
  <c r="AV903" i="4"/>
  <c r="AV902" i="4"/>
  <c r="AV901" i="4"/>
  <c r="AV900" i="4"/>
  <c r="AV899" i="4"/>
  <c r="AV898" i="4"/>
  <c r="AV897" i="4"/>
  <c r="AV896" i="4"/>
  <c r="AV895" i="4"/>
  <c r="AV894" i="4"/>
  <c r="AV893" i="4"/>
  <c r="AV892" i="4"/>
  <c r="AV891" i="4"/>
  <c r="AV890" i="4"/>
  <c r="AV889" i="4"/>
  <c r="AV888" i="4"/>
  <c r="AV887" i="4"/>
  <c r="AV886" i="4"/>
  <c r="AV885" i="4"/>
  <c r="AV884" i="4"/>
  <c r="AV883" i="4"/>
  <c r="AV882" i="4"/>
  <c r="AV881" i="4"/>
  <c r="AV880" i="4"/>
  <c r="AV879" i="4"/>
  <c r="AV878" i="4"/>
  <c r="AV877" i="4"/>
  <c r="AV876" i="4"/>
  <c r="AV875" i="4"/>
  <c r="AV874" i="4"/>
  <c r="AV873" i="4"/>
  <c r="AV872" i="4"/>
  <c r="AV871" i="4"/>
  <c r="AV870" i="4"/>
  <c r="AV869" i="4"/>
  <c r="AV868" i="4"/>
  <c r="AV867" i="4"/>
  <c r="AV866" i="4"/>
  <c r="AV865" i="4"/>
  <c r="AV864" i="4"/>
  <c r="AV863" i="4"/>
  <c r="AV862" i="4"/>
  <c r="AV861" i="4"/>
  <c r="AV860" i="4"/>
  <c r="AV859" i="4"/>
  <c r="AV858" i="4"/>
  <c r="AV857" i="4"/>
  <c r="AV856" i="4"/>
  <c r="AV855" i="4"/>
  <c r="AV854" i="4"/>
  <c r="AV853" i="4"/>
  <c r="AV852" i="4"/>
  <c r="AV851" i="4"/>
  <c r="AV850" i="4"/>
  <c r="AV849" i="4"/>
  <c r="AV848" i="4"/>
  <c r="AV847" i="4"/>
  <c r="AV846" i="4"/>
  <c r="AV845" i="4"/>
  <c r="AV844" i="4"/>
  <c r="AV843" i="4"/>
  <c r="AV842" i="4"/>
  <c r="AV841" i="4"/>
  <c r="AV840" i="4"/>
  <c r="AV839" i="4"/>
  <c r="AV838" i="4"/>
  <c r="AV837" i="4"/>
  <c r="AV836" i="4"/>
  <c r="AV835" i="4"/>
  <c r="AV834" i="4"/>
  <c r="AV833" i="4"/>
  <c r="AV832" i="4"/>
  <c r="AV831" i="4"/>
  <c r="AV830" i="4"/>
  <c r="AV829" i="4"/>
  <c r="AV828" i="4"/>
  <c r="AV827" i="4"/>
  <c r="AV826" i="4"/>
  <c r="AV825" i="4"/>
  <c r="AV824" i="4"/>
  <c r="AV823" i="4"/>
  <c r="AV822" i="4"/>
  <c r="AV821" i="4"/>
  <c r="AV820" i="4"/>
  <c r="AV819" i="4"/>
  <c r="AV818" i="4"/>
  <c r="AV817" i="4"/>
  <c r="AV816" i="4"/>
  <c r="AV815" i="4"/>
  <c r="AV814" i="4"/>
  <c r="AV813" i="4"/>
  <c r="AV812" i="4"/>
  <c r="AV811" i="4"/>
  <c r="AV810" i="4"/>
  <c r="AV809" i="4"/>
  <c r="AV808" i="4"/>
  <c r="AV807" i="4"/>
  <c r="AV806" i="4"/>
  <c r="AV805" i="4"/>
  <c r="AV804" i="4"/>
  <c r="AV803" i="4"/>
  <c r="AV802" i="4"/>
  <c r="AV801" i="4"/>
  <c r="AV800" i="4"/>
  <c r="AV799" i="4"/>
  <c r="AV798" i="4"/>
  <c r="AV797" i="4"/>
  <c r="AV796" i="4"/>
  <c r="AV795" i="4"/>
  <c r="BA302" i="4"/>
  <c r="AV3734" i="3"/>
  <c r="AV3733" i="3"/>
  <c r="AV3732" i="3"/>
  <c r="AV3731" i="3"/>
  <c r="AV3730" i="3"/>
  <c r="AV3729" i="3"/>
  <c r="AV3728" i="3"/>
  <c r="AV3727" i="3"/>
  <c r="AV3726" i="3"/>
  <c r="AV3725" i="3"/>
  <c r="AV3724" i="3"/>
  <c r="AV3723" i="3"/>
  <c r="AV3722" i="3"/>
  <c r="AV3721" i="3"/>
  <c r="AV3720" i="3"/>
  <c r="AV3719" i="3"/>
  <c r="AV3718" i="3"/>
  <c r="AV3717" i="3"/>
  <c r="AV3716" i="3"/>
  <c r="AV3715" i="3"/>
  <c r="AV3714" i="3"/>
  <c r="AV3713" i="3"/>
  <c r="AV3712" i="3"/>
  <c r="AV3711" i="3"/>
  <c r="AV3710" i="3"/>
  <c r="AV3709" i="3"/>
  <c r="AV3708" i="3"/>
  <c r="AV3707" i="3"/>
  <c r="AV3706" i="3"/>
  <c r="AV3705" i="3"/>
  <c r="AV3704" i="3"/>
  <c r="AV3703" i="3"/>
  <c r="AV3702" i="3"/>
  <c r="AV3701" i="3"/>
  <c r="AV3700" i="3"/>
  <c r="AV3699" i="3"/>
  <c r="AV3698" i="3"/>
  <c r="AV3697" i="3"/>
  <c r="AV3696" i="3"/>
  <c r="AV3695" i="3"/>
  <c r="AV3694" i="3"/>
  <c r="AV3693" i="3"/>
  <c r="AV3692" i="3"/>
  <c r="AV3691" i="3"/>
  <c r="AV3690" i="3"/>
  <c r="AV3689" i="3"/>
  <c r="AV3688" i="3"/>
  <c r="AV2267" i="3"/>
  <c r="AV2266" i="3"/>
  <c r="AV2265" i="3"/>
  <c r="AV2264" i="3"/>
  <c r="AV2263" i="3"/>
  <c r="AV2262" i="3"/>
  <c r="AV2261" i="3"/>
  <c r="AV2260" i="3"/>
  <c r="AV2259" i="3"/>
  <c r="AV2258" i="3"/>
  <c r="AV2257" i="3"/>
  <c r="AV2256" i="3"/>
  <c r="AV2255" i="3"/>
  <c r="AV2254" i="3"/>
  <c r="AV2253" i="3"/>
  <c r="AV2252" i="3"/>
  <c r="AV2251" i="3"/>
  <c r="AV2250" i="3"/>
  <c r="AV2249" i="3"/>
  <c r="AV2248" i="3"/>
  <c r="AV2247" i="3"/>
  <c r="AV2246" i="3"/>
  <c r="AV2245" i="3"/>
  <c r="AV2244" i="3"/>
  <c r="AV2243" i="3"/>
  <c r="AV2242" i="3"/>
  <c r="AV2241" i="3"/>
  <c r="AV2240" i="3"/>
  <c r="AV2239" i="3"/>
  <c r="AV2238" i="3"/>
  <c r="AV2237" i="3"/>
  <c r="AV2236" i="3"/>
  <c r="AV2235" i="3"/>
  <c r="AV2234" i="3"/>
  <c r="AV2233" i="3"/>
  <c r="AV2232" i="3"/>
  <c r="AV2231" i="3"/>
  <c r="AV2230" i="3"/>
  <c r="AV2229" i="3"/>
  <c r="AV2228" i="3"/>
  <c r="AV2227" i="3"/>
  <c r="AV2226" i="3"/>
  <c r="AV2225" i="3"/>
  <c r="AV2224" i="3"/>
  <c r="AV2223" i="3"/>
  <c r="AV2222" i="3"/>
  <c r="AV2221" i="3"/>
  <c r="AV2220" i="3"/>
  <c r="AV2219" i="3"/>
  <c r="AV2218" i="3"/>
  <c r="AV2217" i="3"/>
  <c r="AV2216" i="3"/>
  <c r="AV2215" i="3"/>
  <c r="AV2214" i="3"/>
  <c r="AV2213" i="3"/>
  <c r="AV2212" i="3"/>
  <c r="AV2211" i="3"/>
  <c r="AV2210" i="3"/>
  <c r="AV2209" i="3"/>
  <c r="AV2208" i="3"/>
  <c r="AV2207" i="3"/>
  <c r="AV2206" i="3"/>
  <c r="AV2205" i="3"/>
  <c r="AV2204" i="3"/>
  <c r="AV2203" i="3"/>
  <c r="AV2202" i="3"/>
  <c r="AV2201" i="3"/>
  <c r="AV2200" i="3"/>
  <c r="AV2199" i="3"/>
  <c r="AV2198" i="3"/>
  <c r="AV2197" i="3"/>
  <c r="AV2196" i="3"/>
  <c r="AV2195" i="3"/>
  <c r="AV2194" i="3"/>
  <c r="AV2193" i="3"/>
  <c r="AV2192" i="3"/>
  <c r="AV2191" i="3"/>
  <c r="AV2190" i="3"/>
  <c r="AV2189" i="3"/>
  <c r="AV2188" i="3"/>
  <c r="AV2187" i="3"/>
  <c r="AV2186" i="3"/>
  <c r="AV2185" i="3"/>
  <c r="AV2184" i="3"/>
  <c r="AV2183" i="3"/>
  <c r="AV2182" i="3"/>
  <c r="AV2181" i="3"/>
  <c r="AV2180" i="3"/>
  <c r="AV2179" i="3"/>
  <c r="AV2178" i="3"/>
  <c r="AV2177" i="3"/>
  <c r="AZ131" i="3"/>
  <c r="AV4010" i="2"/>
  <c r="AV4009" i="2"/>
  <c r="AV4008" i="2"/>
  <c r="AV4007" i="2"/>
  <c r="AV4006" i="2"/>
  <c r="AV4005" i="2"/>
  <c r="AV4004" i="2"/>
  <c r="AV4003" i="2"/>
  <c r="AV4002" i="2"/>
  <c r="AV4001" i="2"/>
  <c r="AV4000" i="2"/>
  <c r="AV3999" i="2"/>
  <c r="AV3998" i="2"/>
  <c r="AV3997" i="2"/>
  <c r="AV3996" i="2"/>
  <c r="AV3995" i="2"/>
  <c r="AV3994" i="2"/>
  <c r="AV3993" i="2"/>
  <c r="AV3992" i="2"/>
  <c r="AV3991" i="2"/>
  <c r="AV3990" i="2"/>
  <c r="AV3989" i="2"/>
  <c r="AV3988" i="2"/>
  <c r="AV3987" i="2"/>
  <c r="AV3859" i="2"/>
  <c r="AV3858" i="2"/>
  <c r="AV3857" i="2"/>
  <c r="AV3856" i="2"/>
  <c r="AV3855" i="2"/>
  <c r="AV3854" i="2"/>
  <c r="AV3853" i="2"/>
  <c r="AV3852" i="2"/>
  <c r="AV3851" i="2"/>
  <c r="AV3850" i="2"/>
  <c r="AV3849" i="2"/>
  <c r="AV3848" i="2"/>
  <c r="AV3847" i="2"/>
  <c r="AV3846" i="2"/>
  <c r="AV3845" i="2"/>
  <c r="AV3844" i="2"/>
  <c r="AV3843" i="2"/>
  <c r="AV3842" i="2"/>
  <c r="AV3841" i="2"/>
  <c r="AV3840" i="2"/>
  <c r="AV3839" i="2"/>
  <c r="AV3838" i="2"/>
  <c r="AV3837" i="2"/>
  <c r="AV3836" i="2"/>
  <c r="AV3835" i="2"/>
  <c r="AV3834" i="2"/>
  <c r="AV3833" i="2"/>
  <c r="AV3832" i="2"/>
  <c r="AV3831" i="2"/>
  <c r="AV3830" i="2"/>
  <c r="AV3829" i="2"/>
  <c r="AV3828" i="2"/>
  <c r="AV3827" i="2"/>
  <c r="AV3826" i="2"/>
  <c r="AV3825" i="2"/>
  <c r="AV3824" i="2"/>
  <c r="AV3823" i="2"/>
  <c r="AV3822" i="2"/>
  <c r="AV3821" i="2"/>
  <c r="AV3820" i="2"/>
  <c r="AV3819" i="2"/>
  <c r="AV3818" i="2"/>
  <c r="AV3817" i="2"/>
  <c r="AV3816" i="2"/>
  <c r="AV3815" i="2"/>
  <c r="AV3814" i="2"/>
  <c r="AV3813" i="2"/>
  <c r="AV3812" i="2"/>
  <c r="AV3811" i="2"/>
  <c r="AV3810" i="2"/>
  <c r="AV3809" i="2"/>
  <c r="AV3808" i="2"/>
  <c r="AV3807" i="2"/>
  <c r="AV3806" i="2"/>
  <c r="AV3805" i="2"/>
  <c r="AV3804" i="2"/>
  <c r="AV3803" i="2"/>
  <c r="AV3802" i="2"/>
  <c r="AV3801" i="2"/>
  <c r="AV3800" i="2"/>
  <c r="AV3799" i="2"/>
  <c r="AV3798" i="2"/>
  <c r="AV3797" i="2"/>
  <c r="AV3796" i="2"/>
  <c r="AV3795" i="2"/>
  <c r="AV3794" i="2"/>
  <c r="AV3793" i="2"/>
  <c r="AV3792" i="2"/>
  <c r="AV3791" i="2"/>
  <c r="AV3790" i="2"/>
  <c r="AV3789" i="2"/>
  <c r="AV3788" i="2"/>
  <c r="AV3787" i="2"/>
  <c r="AV3786" i="2"/>
  <c r="AV3785" i="2"/>
  <c r="AV3784" i="2"/>
  <c r="AV3783" i="2"/>
  <c r="AV3782" i="2"/>
  <c r="AV3781" i="2"/>
  <c r="AV3780" i="2"/>
  <c r="AV3779" i="2"/>
  <c r="AV3778" i="2"/>
  <c r="AV3777" i="2"/>
  <c r="AV3776" i="2"/>
  <c r="AV3775" i="2"/>
  <c r="AV3774" i="2"/>
  <c r="AV3773" i="2"/>
  <c r="AV3772" i="2"/>
  <c r="AV3771" i="2"/>
  <c r="AV3770" i="2"/>
  <c r="AV3769" i="2"/>
  <c r="AV3768" i="2"/>
  <c r="AV3767" i="2"/>
  <c r="AV3766" i="2"/>
  <c r="AV3765" i="2"/>
  <c r="AV3764" i="2"/>
  <c r="AV3763" i="2"/>
  <c r="AV3762" i="2"/>
  <c r="AV3761" i="2"/>
  <c r="AV3760" i="2"/>
  <c r="AV3759" i="2"/>
  <c r="AV3758" i="2"/>
  <c r="AV3757" i="2"/>
  <c r="AV3756" i="2"/>
  <c r="AV3755" i="2"/>
  <c r="AV3754" i="2"/>
  <c r="AV3753" i="2"/>
  <c r="AV3752" i="2"/>
  <c r="AV3751" i="2"/>
  <c r="AV3750" i="2"/>
  <c r="AV3749" i="2"/>
  <c r="AV3748" i="2"/>
  <c r="AV3747" i="2"/>
  <c r="AV3746" i="2"/>
  <c r="AV3745" i="2"/>
  <c r="AV3744" i="2"/>
  <c r="AV3743" i="2"/>
  <c r="AV3742" i="2"/>
  <c r="AV3741" i="2"/>
  <c r="AV3740" i="2"/>
  <c r="AV3739" i="2"/>
  <c r="AV3738" i="2"/>
  <c r="AV3737" i="2"/>
  <c r="AV3736" i="2"/>
  <c r="AV3735" i="2"/>
  <c r="AV3734" i="2"/>
  <c r="AV3733" i="2"/>
  <c r="AV3732" i="2"/>
  <c r="AV3731" i="2"/>
  <c r="AV3730" i="2"/>
  <c r="AV3729" i="2"/>
  <c r="AV3728" i="2"/>
  <c r="AV3727" i="2"/>
  <c r="AV3726" i="2"/>
  <c r="AV3725" i="2"/>
  <c r="AV3724" i="2"/>
  <c r="AV3723" i="2"/>
  <c r="AV3722" i="2"/>
  <c r="AV3721" i="2"/>
  <c r="AV3720" i="2"/>
  <c r="AV3719" i="2"/>
  <c r="AV3718" i="2"/>
  <c r="AV3717" i="2"/>
  <c r="AV3716" i="2"/>
  <c r="AV3715" i="2"/>
  <c r="AV3714" i="2"/>
  <c r="AV3713" i="2"/>
  <c r="AV3712" i="2"/>
  <c r="AV3711" i="2"/>
  <c r="AV3710" i="2"/>
  <c r="AV3709" i="2"/>
  <c r="AV3708" i="2"/>
  <c r="AV3707" i="2"/>
  <c r="AV3706" i="2"/>
  <c r="AV3705" i="2"/>
  <c r="AV3704" i="2"/>
  <c r="AV3703" i="2"/>
  <c r="AV3702" i="2"/>
  <c r="AV3701" i="2"/>
  <c r="AV3700" i="2"/>
  <c r="AV3699" i="2"/>
  <c r="AV3698" i="2"/>
  <c r="AV3697" i="2"/>
  <c r="AV3696" i="2"/>
  <c r="AV3695" i="2"/>
  <c r="AV3694" i="2"/>
  <c r="AV3693" i="2"/>
  <c r="AV3692" i="2"/>
  <c r="AV3691" i="2"/>
  <c r="AV3690" i="2"/>
  <c r="AV3689" i="2"/>
  <c r="AV3688" i="2"/>
  <c r="AV3687" i="2"/>
  <c r="AV3686" i="2"/>
  <c r="AV3685" i="2"/>
  <c r="AV3684" i="2"/>
  <c r="AV3683" i="2"/>
  <c r="AV3682" i="2"/>
  <c r="AV3681" i="2"/>
  <c r="AV3680" i="2"/>
  <c r="AV3679" i="2"/>
  <c r="AV3678" i="2"/>
  <c r="AV3677" i="2"/>
  <c r="AV3676" i="2"/>
  <c r="AV3675" i="2"/>
  <c r="AV3674" i="2"/>
  <c r="AV3673" i="2"/>
  <c r="AV3672" i="2"/>
  <c r="AV3671" i="2"/>
  <c r="AV3670" i="2"/>
  <c r="AV3669" i="2"/>
  <c r="AV3668" i="2"/>
  <c r="AV3667" i="2"/>
  <c r="AV3666" i="2"/>
  <c r="AV3665" i="2"/>
  <c r="AV3664" i="2"/>
  <c r="AV3663" i="2"/>
  <c r="AV3662" i="2"/>
  <c r="AV3661" i="2"/>
  <c r="AV3660" i="2"/>
  <c r="AV3659" i="2"/>
  <c r="AV3658" i="2"/>
  <c r="AV3657" i="2"/>
  <c r="AV3656" i="2"/>
  <c r="AV3655" i="2"/>
  <c r="AV3654" i="2"/>
  <c r="AV3653" i="2"/>
  <c r="AV3652" i="2"/>
  <c r="AV3651" i="2"/>
  <c r="AV3650" i="2"/>
  <c r="AV3649" i="2"/>
  <c r="AV3648" i="2"/>
  <c r="AV3647" i="2"/>
  <c r="AV3646" i="2"/>
  <c r="AV3645" i="2"/>
  <c r="AV3644" i="2"/>
  <c r="AV3643" i="2"/>
  <c r="AV3642" i="2"/>
  <c r="AV3641" i="2"/>
  <c r="AV3640" i="2"/>
  <c r="AV3639" i="2"/>
  <c r="AV3638" i="2"/>
  <c r="AV3637" i="2"/>
  <c r="AV3636" i="2"/>
  <c r="AV3635" i="2"/>
  <c r="AV3634" i="2"/>
  <c r="AV3633" i="2"/>
  <c r="AV3632" i="2"/>
  <c r="AV3631" i="2"/>
  <c r="AV3630" i="2"/>
  <c r="AV3629" i="2"/>
  <c r="AV3628" i="2"/>
  <c r="AV3627" i="2"/>
  <c r="AV3626" i="2"/>
  <c r="AV3625" i="2"/>
  <c r="AV3624" i="2"/>
  <c r="AV3623" i="2"/>
  <c r="AV3622" i="2"/>
  <c r="AV3621" i="2"/>
  <c r="AV3620" i="2"/>
  <c r="AV3619" i="2"/>
  <c r="AV3618" i="2"/>
  <c r="AV3617" i="2"/>
  <c r="AV3616" i="2"/>
  <c r="AV3615" i="2"/>
  <c r="AV3614" i="2"/>
  <c r="AV3613" i="2"/>
  <c r="AV3612" i="2"/>
  <c r="AV3611" i="2"/>
  <c r="AV3610" i="2"/>
  <c r="AV3609" i="2"/>
  <c r="AV3608" i="2"/>
  <c r="AV3607" i="2"/>
  <c r="AV3606" i="2"/>
  <c r="AV3605" i="2"/>
  <c r="AV3604" i="2"/>
  <c r="AV3603" i="2"/>
  <c r="AV3602" i="2"/>
  <c r="AV3601" i="2"/>
  <c r="AV3600" i="2"/>
  <c r="AV3599" i="2"/>
  <c r="AV3598" i="2"/>
  <c r="AV3597" i="2"/>
  <c r="AV3596" i="2"/>
  <c r="AV3595" i="2"/>
  <c r="AV3594" i="2"/>
  <c r="AV3593" i="2"/>
  <c r="AV3592" i="2"/>
  <c r="AV3591" i="2"/>
  <c r="AV3590" i="2"/>
  <c r="AV3589" i="2"/>
  <c r="AV3588" i="2"/>
  <c r="AV3587" i="2"/>
  <c r="AV3176" i="2"/>
  <c r="AV3174" i="2"/>
  <c r="AV3172" i="2"/>
  <c r="AV3170" i="2"/>
  <c r="AV3168" i="2"/>
  <c r="AV3166" i="2"/>
  <c r="AV3164" i="2"/>
  <c r="AV3162" i="2"/>
  <c r="AV3160" i="2"/>
  <c r="AV3158" i="2"/>
  <c r="AV3155" i="2"/>
  <c r="AV3153" i="2"/>
  <c r="AV3151" i="2"/>
  <c r="AV3149" i="2"/>
  <c r="AV3147" i="2"/>
  <c r="AV3145" i="2"/>
  <c r="AV3143" i="2"/>
  <c r="AV3141" i="2"/>
  <c r="AV3139" i="2"/>
  <c r="AV3137" i="2"/>
  <c r="AV3135" i="2"/>
  <c r="AV3133" i="2"/>
  <c r="AV3131" i="2"/>
  <c r="AV3129" i="2"/>
  <c r="AV3126" i="2"/>
  <c r="AV3124" i="2"/>
  <c r="AV3122" i="2"/>
  <c r="AV3120" i="2"/>
  <c r="AV3118" i="2"/>
  <c r="AV3116" i="2"/>
  <c r="AV3114" i="2"/>
  <c r="AV3112" i="2"/>
  <c r="AV3110" i="2"/>
  <c r="AV3108" i="2"/>
  <c r="AV3106" i="2"/>
  <c r="AV3104" i="2"/>
  <c r="AV3102" i="2"/>
  <c r="AV3100" i="2"/>
  <c r="AV3098" i="2"/>
  <c r="AV3096" i="2"/>
  <c r="AV3093" i="2"/>
  <c r="AV3091" i="2"/>
  <c r="AV3089" i="2"/>
  <c r="AV3087" i="2"/>
  <c r="AV3085" i="2"/>
  <c r="AV3083" i="2"/>
  <c r="AV3081" i="2"/>
  <c r="AV3079" i="2"/>
  <c r="AV3077" i="2"/>
  <c r="AV3075" i="2"/>
  <c r="AV3073" i="2"/>
  <c r="AV3071" i="2"/>
  <c r="AV3069" i="2"/>
  <c r="AV3067" i="2"/>
  <c r="AV3065" i="2"/>
  <c r="AV3063" i="2"/>
  <c r="AV3060" i="2"/>
  <c r="AV3058" i="2"/>
  <c r="AV3056" i="2"/>
  <c r="AV3054" i="2"/>
  <c r="AV3052" i="2"/>
  <c r="AV3050" i="2"/>
  <c r="AV3048" i="2"/>
  <c r="AV3046" i="2"/>
  <c r="AV3044" i="2"/>
  <c r="AV3042" i="2"/>
  <c r="AV3040" i="2"/>
  <c r="AV3038" i="2"/>
  <c r="AV3036" i="2"/>
  <c r="AV3034" i="2"/>
  <c r="AV3031" i="2"/>
  <c r="AV3029" i="2"/>
  <c r="AV3027" i="2"/>
  <c r="AV3025" i="2"/>
  <c r="AV3023" i="2"/>
  <c r="AV3021" i="2"/>
  <c r="AV3019" i="2"/>
  <c r="AV3017" i="2"/>
  <c r="AV3015" i="2"/>
  <c r="AV3013" i="2"/>
  <c r="AV3011" i="2"/>
  <c r="AV3009" i="2"/>
  <c r="AV3006" i="2"/>
  <c r="AV3004" i="2"/>
  <c r="AV3002" i="2"/>
  <c r="AV3000" i="2"/>
  <c r="AV2998" i="2"/>
  <c r="AV2996" i="2"/>
  <c r="AV2994" i="2"/>
  <c r="AV2992" i="2"/>
  <c r="AV2990" i="2"/>
  <c r="AV2986" i="2"/>
  <c r="AV2983" i="2"/>
  <c r="AV2981" i="2"/>
  <c r="AV2979" i="2"/>
  <c r="AV2976" i="2"/>
  <c r="AV2974" i="2"/>
  <c r="AV2972" i="2"/>
  <c r="AV2970" i="2"/>
  <c r="AV2968" i="2"/>
  <c r="AV2966" i="2"/>
  <c r="AV2964" i="2"/>
  <c r="AV2962" i="2"/>
  <c r="AV2960" i="2"/>
  <c r="AV2958" i="2"/>
  <c r="AV2956" i="2"/>
  <c r="AV2954" i="2"/>
  <c r="AV2952" i="2"/>
  <c r="AV2949" i="2"/>
  <c r="AV2947" i="2"/>
  <c r="AV2945" i="2"/>
  <c r="AV2943" i="2"/>
  <c r="AV2941" i="2"/>
  <c r="AV2939" i="2"/>
  <c r="AV2937" i="2"/>
  <c r="AV2935" i="2"/>
  <c r="AV2933" i="2"/>
  <c r="AV2931" i="2"/>
  <c r="AV2929" i="2"/>
  <c r="AV2927" i="2"/>
  <c r="AV2925" i="2"/>
  <c r="AV2923" i="2"/>
  <c r="AV2921" i="2"/>
  <c r="AV2919" i="2"/>
  <c r="AV2917" i="2"/>
  <c r="AV2914" i="2"/>
  <c r="AV2912" i="2"/>
  <c r="AV2910" i="2"/>
  <c r="AV2908" i="2"/>
  <c r="AV2906" i="2"/>
  <c r="AV2904" i="2"/>
  <c r="AV2902" i="2"/>
  <c r="AV2900" i="2"/>
  <c r="AV2898" i="2"/>
  <c r="AV2896" i="2"/>
  <c r="AV2894" i="2"/>
  <c r="AV2892" i="2"/>
  <c r="AV2890" i="2"/>
  <c r="AV2888" i="2"/>
  <c r="AV2886" i="2"/>
  <c r="AV2884" i="2"/>
  <c r="AV2882" i="2"/>
  <c r="AV2880" i="2"/>
  <c r="AV2878" i="2"/>
  <c r="AV2876" i="2"/>
  <c r="AV2874" i="2"/>
  <c r="AV2872" i="2"/>
  <c r="AV2869" i="2"/>
  <c r="AV2867" i="2"/>
  <c r="AV2865" i="2"/>
  <c r="AV2863" i="2"/>
  <c r="AV2861" i="2"/>
  <c r="AV2859" i="2"/>
  <c r="AV2857" i="2"/>
  <c r="AV2855" i="2"/>
  <c r="AV2853" i="2"/>
  <c r="AV2851" i="2"/>
  <c r="AV2849" i="2"/>
  <c r="AV2847" i="2"/>
  <c r="AV2845" i="2"/>
  <c r="AV2843" i="2"/>
  <c r="AV3586" i="2"/>
  <c r="AV3585" i="2"/>
  <c r="AV3584" i="2"/>
  <c r="AV3583" i="2"/>
  <c r="AV3582" i="2"/>
  <c r="AV3581" i="2"/>
  <c r="AV3580" i="2"/>
  <c r="AV3579" i="2"/>
  <c r="AV3578" i="2"/>
  <c r="AV3577" i="2"/>
  <c r="AV3576" i="2"/>
  <c r="AV3575" i="2"/>
  <c r="AV3574" i="2"/>
  <c r="AV3573" i="2"/>
  <c r="AV3572" i="2"/>
  <c r="AV3571" i="2"/>
  <c r="AV3570" i="2"/>
  <c r="AV3569" i="2"/>
  <c r="AV3568" i="2"/>
  <c r="AV3567" i="2"/>
  <c r="AV3566" i="2"/>
  <c r="AV3565" i="2"/>
  <c r="AV3564" i="2"/>
  <c r="AV3563" i="2"/>
  <c r="AV3562" i="2"/>
  <c r="AV3561" i="2"/>
  <c r="AV3560" i="2"/>
  <c r="AV3559" i="2"/>
  <c r="AV3558" i="2"/>
  <c r="AV3557" i="2"/>
  <c r="AV3556" i="2"/>
  <c r="AV3555" i="2"/>
  <c r="AV3554" i="2"/>
  <c r="AV3553" i="2"/>
  <c r="AV3552" i="2"/>
  <c r="AV3551" i="2"/>
  <c r="AV3550" i="2"/>
  <c r="AV3549" i="2"/>
  <c r="AV3548" i="2"/>
  <c r="AV3547" i="2"/>
  <c r="AV3546" i="2"/>
  <c r="AV3545" i="2"/>
  <c r="AV3544" i="2"/>
  <c r="AV3543" i="2"/>
  <c r="AV3542" i="2"/>
  <c r="AV3541" i="2"/>
  <c r="AV3540" i="2"/>
  <c r="AV3539" i="2"/>
  <c r="AV3538" i="2"/>
  <c r="AV3537" i="2"/>
  <c r="AV3536" i="2"/>
  <c r="AV3535" i="2"/>
  <c r="AV3534" i="2"/>
  <c r="AV3533" i="2"/>
  <c r="AV3532" i="2"/>
  <c r="AV3531" i="2"/>
  <c r="AV3530" i="2"/>
  <c r="AV3529" i="2"/>
  <c r="AV3528" i="2"/>
  <c r="AV3527" i="2"/>
  <c r="AV3526" i="2"/>
  <c r="AV3525" i="2"/>
  <c r="AV3524" i="2"/>
  <c r="AV3523" i="2"/>
  <c r="AV3522" i="2"/>
  <c r="AV3521" i="2"/>
  <c r="AV3520" i="2"/>
  <c r="AV3519" i="2"/>
  <c r="AV3518" i="2"/>
  <c r="AV3517" i="2"/>
  <c r="AV3516" i="2"/>
  <c r="AV3515" i="2"/>
  <c r="AV3514" i="2"/>
  <c r="AV3513" i="2"/>
  <c r="AV3512" i="2"/>
  <c r="AV3511" i="2"/>
  <c r="AV3510" i="2"/>
  <c r="AV3509" i="2"/>
  <c r="AV3508" i="2"/>
  <c r="AV3507" i="2"/>
  <c r="AV3506" i="2"/>
  <c r="AV3505" i="2"/>
  <c r="AV3504" i="2"/>
  <c r="AV3503" i="2"/>
  <c r="AV3502" i="2"/>
  <c r="AV3501" i="2"/>
  <c r="AV3500" i="2"/>
  <c r="AV3499" i="2"/>
  <c r="AV3498" i="2"/>
  <c r="AV3497" i="2"/>
  <c r="AV3496" i="2"/>
  <c r="AV3495" i="2"/>
  <c r="AV3494" i="2"/>
  <c r="AV3493" i="2"/>
  <c r="AV3492" i="2"/>
  <c r="AV3491" i="2"/>
  <c r="AV3490" i="2"/>
  <c r="AV3489" i="2"/>
  <c r="AV3488" i="2"/>
  <c r="AV3487" i="2"/>
  <c r="AV3486" i="2"/>
  <c r="AV3485" i="2"/>
  <c r="AV3484" i="2"/>
  <c r="AV3483" i="2"/>
  <c r="AV3482" i="2"/>
  <c r="AV3481" i="2"/>
  <c r="AV3480" i="2"/>
  <c r="AV3479" i="2"/>
  <c r="AV3478" i="2"/>
  <c r="AV3477" i="2"/>
  <c r="AV3476" i="2"/>
  <c r="AV3475" i="2"/>
  <c r="AV3474" i="2"/>
  <c r="AV3473" i="2"/>
  <c r="AV3472" i="2"/>
  <c r="AV3471" i="2"/>
  <c r="AV3470" i="2"/>
  <c r="AV3469" i="2"/>
  <c r="AV3468" i="2"/>
  <c r="AV3467" i="2"/>
  <c r="AV3466" i="2"/>
  <c r="AV3465" i="2"/>
  <c r="AV3464" i="2"/>
  <c r="AV3463" i="2"/>
  <c r="AV3462" i="2"/>
  <c r="AV3461" i="2"/>
  <c r="AV3460" i="2"/>
  <c r="AV3459" i="2"/>
  <c r="AV3458" i="2"/>
  <c r="AV3457" i="2"/>
  <c r="AV3456" i="2"/>
  <c r="AV3455" i="2"/>
  <c r="AV3454" i="2"/>
  <c r="AV3453" i="2"/>
  <c r="AV3452" i="2"/>
  <c r="AV3451" i="2"/>
  <c r="AV3450" i="2"/>
  <c r="AV3449" i="2"/>
  <c r="AV3448" i="2"/>
  <c r="AV3447" i="2"/>
  <c r="AV3446" i="2"/>
  <c r="AV3445" i="2"/>
  <c r="AV3444" i="2"/>
  <c r="AV3443" i="2"/>
  <c r="AV3442" i="2"/>
  <c r="AV3441" i="2"/>
  <c r="AV3440" i="2"/>
  <c r="AV3439" i="2"/>
  <c r="AV3438" i="2"/>
  <c r="AV3437" i="2"/>
  <c r="AV3436" i="2"/>
  <c r="AV3435" i="2"/>
  <c r="AV3434" i="2"/>
  <c r="AV3433" i="2"/>
  <c r="AV3432" i="2"/>
  <c r="AV3431" i="2"/>
  <c r="AV3430" i="2"/>
  <c r="AV3429" i="2"/>
  <c r="AV3428" i="2"/>
  <c r="AV3427" i="2"/>
  <c r="AV3426" i="2"/>
  <c r="AV3425" i="2"/>
  <c r="AV3424" i="2"/>
  <c r="AV3423" i="2"/>
  <c r="AV3422" i="2"/>
  <c r="AV3421" i="2"/>
  <c r="AV3420" i="2"/>
  <c r="AV3419" i="2"/>
  <c r="AV3418" i="2"/>
  <c r="AV3417" i="2"/>
  <c r="AV3416" i="2"/>
  <c r="AV3415" i="2"/>
  <c r="AV3414" i="2"/>
  <c r="AV3413" i="2"/>
  <c r="AV3412" i="2"/>
  <c r="AV3411" i="2"/>
  <c r="AV3410" i="2"/>
  <c r="AV3409" i="2"/>
  <c r="AV3408" i="2"/>
  <c r="AV3407" i="2"/>
  <c r="AV3406" i="2"/>
  <c r="AV3405" i="2"/>
  <c r="AV3404" i="2"/>
  <c r="AV3403" i="2"/>
  <c r="AV3402" i="2"/>
  <c r="AV3401" i="2"/>
  <c r="AV3400" i="2"/>
  <c r="AV3399" i="2"/>
  <c r="AV3398" i="2"/>
  <c r="AV3397" i="2"/>
  <c r="AV3396" i="2"/>
  <c r="AV3395" i="2"/>
  <c r="AV3394" i="2"/>
  <c r="AV3393" i="2"/>
  <c r="AV3392" i="2"/>
  <c r="AV3391" i="2"/>
  <c r="AV3390" i="2"/>
  <c r="AV3389" i="2"/>
  <c r="AV3388" i="2"/>
  <c r="AV3387" i="2"/>
  <c r="AV3386" i="2"/>
  <c r="AV3385" i="2"/>
  <c r="AV3384" i="2"/>
  <c r="AV3383" i="2"/>
  <c r="AV3382" i="2"/>
  <c r="AV3381" i="2"/>
  <c r="AV3380" i="2"/>
  <c r="AV3379" i="2"/>
  <c r="AV3378" i="2"/>
  <c r="AV3377" i="2"/>
  <c r="AV3376" i="2"/>
  <c r="AV3375" i="2"/>
  <c r="AV3374" i="2"/>
  <c r="AV3373" i="2"/>
  <c r="AV3372" i="2"/>
  <c r="AV3371" i="2"/>
  <c r="AV3370" i="2"/>
  <c r="AV3369" i="2"/>
  <c r="AV3368" i="2"/>
  <c r="AV3367" i="2"/>
  <c r="AV3366" i="2"/>
  <c r="AV3365" i="2"/>
  <c r="AV3364" i="2"/>
  <c r="AV3363" i="2"/>
  <c r="AV3362" i="2"/>
  <c r="AV3361" i="2"/>
  <c r="AV3360" i="2"/>
  <c r="AV3359" i="2"/>
  <c r="AV3358" i="2"/>
  <c r="AV3357" i="2"/>
  <c r="AV3356" i="2"/>
  <c r="AV3355" i="2"/>
  <c r="AV3354" i="2"/>
  <c r="AV3353" i="2"/>
  <c r="AV3352" i="2"/>
  <c r="AV3351" i="2"/>
  <c r="AV3350" i="2"/>
  <c r="AV3349" i="2"/>
  <c r="AV3348" i="2"/>
  <c r="AV3347" i="2"/>
  <c r="AV3346" i="2"/>
  <c r="AV3345" i="2"/>
  <c r="AV3344" i="2"/>
  <c r="AV3343" i="2"/>
  <c r="AV3342" i="2"/>
  <c r="AV3341" i="2"/>
  <c r="AV3340" i="2"/>
  <c r="AV3339" i="2"/>
  <c r="AV3338" i="2"/>
  <c r="AV3337" i="2"/>
  <c r="AV3336" i="2"/>
  <c r="AV3335" i="2"/>
  <c r="AV3334" i="2"/>
  <c r="AV3333" i="2"/>
  <c r="AV3332" i="2"/>
  <c r="AV3331" i="2"/>
  <c r="AV3330" i="2"/>
  <c r="AV3329" i="2"/>
  <c r="AV3328" i="2"/>
  <c r="AV3327" i="2"/>
  <c r="AV3326" i="2"/>
  <c r="AV3325" i="2"/>
  <c r="AV3324" i="2"/>
  <c r="AV3323" i="2"/>
  <c r="AV3322" i="2"/>
  <c r="AV3321" i="2"/>
  <c r="AV3320" i="2"/>
  <c r="AV3319" i="2"/>
  <c r="AV3318" i="2"/>
  <c r="AV3317" i="2"/>
  <c r="AV3316" i="2"/>
  <c r="AV3315" i="2"/>
  <c r="AV3314" i="2"/>
  <c r="AV3313" i="2"/>
  <c r="AV3312" i="2"/>
  <c r="AV3311" i="2"/>
  <c r="AV3310" i="2"/>
  <c r="AV3309" i="2"/>
  <c r="AV3308" i="2"/>
  <c r="AV3307" i="2"/>
  <c r="AV3306" i="2"/>
  <c r="AV3305" i="2"/>
  <c r="AV3304" i="2"/>
  <c r="AV3303" i="2"/>
  <c r="AV3302" i="2"/>
  <c r="AV3301" i="2"/>
  <c r="AV3300" i="2"/>
  <c r="AV3299" i="2"/>
  <c r="AV3298" i="2"/>
  <c r="AV3297" i="2"/>
  <c r="AV3296" i="2"/>
  <c r="AV3295" i="2"/>
  <c r="AV3294" i="2"/>
  <c r="AV3293" i="2"/>
  <c r="AV3292" i="2"/>
  <c r="AV3291" i="2"/>
  <c r="AV3290" i="2"/>
  <c r="AV3289" i="2"/>
  <c r="AV3288" i="2"/>
  <c r="AV3287" i="2"/>
  <c r="AV3286" i="2"/>
  <c r="AV3285" i="2"/>
  <c r="AV3284" i="2"/>
  <c r="AV3283" i="2"/>
  <c r="AV3282" i="2"/>
  <c r="AV3281" i="2"/>
  <c r="AV3280" i="2"/>
  <c r="AV3279" i="2"/>
  <c r="AV3278" i="2"/>
  <c r="AV3277" i="2"/>
  <c r="AV3276" i="2"/>
  <c r="AV3275" i="2"/>
  <c r="AV3274" i="2"/>
  <c r="AV3273" i="2"/>
  <c r="AV3272" i="2"/>
  <c r="AV3271" i="2"/>
  <c r="AV3270" i="2"/>
  <c r="AV3269" i="2"/>
  <c r="AV3268" i="2"/>
  <c r="AV3267" i="2"/>
  <c r="AV3266" i="2"/>
  <c r="AV3265" i="2"/>
  <c r="AV3264" i="2"/>
  <c r="AV3263" i="2"/>
  <c r="AV3262" i="2"/>
  <c r="AV3261" i="2"/>
  <c r="AV3260" i="2"/>
  <c r="AV3259" i="2"/>
  <c r="AV3258" i="2"/>
  <c r="AV3257" i="2"/>
  <c r="AV3256" i="2"/>
  <c r="AV3255" i="2"/>
  <c r="AV3254" i="2"/>
  <c r="AV3253" i="2"/>
  <c r="AV3252" i="2"/>
  <c r="AV3251" i="2"/>
  <c r="AV3250" i="2"/>
  <c r="AV3249" i="2"/>
  <c r="AV3248" i="2"/>
  <c r="AV3247" i="2"/>
  <c r="AV3246" i="2"/>
  <c r="AV3245" i="2"/>
  <c r="AV3244" i="2"/>
  <c r="AV3243" i="2"/>
  <c r="AV3242" i="2"/>
  <c r="AV3241" i="2"/>
  <c r="AV3240" i="2"/>
  <c r="AV3239" i="2"/>
  <c r="AV3238" i="2"/>
  <c r="AV3237" i="2"/>
  <c r="AV3236" i="2"/>
  <c r="AV3235" i="2"/>
  <c r="AV3234" i="2"/>
  <c r="AV3233" i="2"/>
  <c r="AV3232" i="2"/>
  <c r="AV3231" i="2"/>
  <c r="AV3230" i="2"/>
  <c r="AV3229" i="2"/>
  <c r="AV3228" i="2"/>
  <c r="AV3227" i="2"/>
  <c r="AV3226" i="2"/>
  <c r="AV3225" i="2"/>
  <c r="AV3224" i="2"/>
  <c r="AV3223" i="2"/>
  <c r="AV3222" i="2"/>
  <c r="AV3221" i="2"/>
  <c r="AV3220" i="2"/>
  <c r="AV3219" i="2"/>
  <c r="AV3218" i="2"/>
  <c r="AV3217" i="2"/>
  <c r="AV3216" i="2"/>
  <c r="AV3215" i="2"/>
  <c r="AV3214" i="2"/>
  <c r="AV3213" i="2"/>
  <c r="AV3212" i="2"/>
  <c r="AV3211" i="2"/>
  <c r="AV3210" i="2"/>
  <c r="AV3209" i="2"/>
  <c r="AV3208" i="2"/>
  <c r="AV3207" i="2"/>
  <c r="AV3206" i="2"/>
  <c r="AV3205" i="2"/>
  <c r="AV3204" i="2"/>
  <c r="AV3203" i="2"/>
  <c r="AV3202" i="2"/>
  <c r="AV3201" i="2"/>
  <c r="AV3200" i="2"/>
  <c r="AV3199" i="2"/>
  <c r="AV3198" i="2"/>
  <c r="AV3197" i="2"/>
  <c r="AV3196" i="2"/>
  <c r="AV3195" i="2"/>
  <c r="AV3194" i="2"/>
  <c r="AV3193" i="2"/>
  <c r="AV3192" i="2"/>
  <c r="AV3191" i="2"/>
  <c r="AV3190" i="2"/>
  <c r="AV3189" i="2"/>
  <c r="AV3188" i="2"/>
  <c r="AV3187" i="2"/>
  <c r="AV3186" i="2"/>
  <c r="AV3185" i="2"/>
  <c r="AV3184" i="2"/>
  <c r="AV3183" i="2"/>
  <c r="AV3182" i="2"/>
  <c r="AV3181" i="2"/>
  <c r="AV3180" i="2"/>
  <c r="AV3179" i="2"/>
  <c r="AV3178" i="2"/>
  <c r="AV3177" i="2"/>
  <c r="AV3175" i="2"/>
  <c r="AV3173" i="2"/>
  <c r="AV3171" i="2"/>
  <c r="AV3169" i="2"/>
  <c r="AV3167" i="2"/>
  <c r="AV3165" i="2"/>
  <c r="AV3163" i="2"/>
  <c r="AV3161" i="2"/>
  <c r="AV3159" i="2"/>
  <c r="AV3157" i="2"/>
  <c r="AV3156" i="2"/>
  <c r="AV3154" i="2"/>
  <c r="AV3152" i="2"/>
  <c r="AV3150" i="2"/>
  <c r="AV3148" i="2"/>
  <c r="AV3146" i="2"/>
  <c r="AV3144" i="2"/>
  <c r="AV3142" i="2"/>
  <c r="AV3140" i="2"/>
  <c r="AV3138" i="2"/>
  <c r="AV3136" i="2"/>
  <c r="AV3134" i="2"/>
  <c r="AV3132" i="2"/>
  <c r="AV3130" i="2"/>
  <c r="AV3128" i="2"/>
  <c r="AV3127" i="2"/>
  <c r="AV3125" i="2"/>
  <c r="AV3123" i="2"/>
  <c r="AV3121" i="2"/>
  <c r="AV3119" i="2"/>
  <c r="AV3117" i="2"/>
  <c r="AV3115" i="2"/>
  <c r="AV3113" i="2"/>
  <c r="AV3111" i="2"/>
  <c r="AV3109" i="2"/>
  <c r="AV3107" i="2"/>
  <c r="AV3105" i="2"/>
  <c r="AV3103" i="2"/>
  <c r="AV3101" i="2"/>
  <c r="AV3099" i="2"/>
  <c r="AV3097" i="2"/>
  <c r="AV3095" i="2"/>
  <c r="AV3094" i="2"/>
  <c r="AV3092" i="2"/>
  <c r="AV3090" i="2"/>
  <c r="AV3088" i="2"/>
  <c r="AV3086" i="2"/>
  <c r="AV3084" i="2"/>
  <c r="AV3082" i="2"/>
  <c r="AV3080" i="2"/>
  <c r="AV3078" i="2"/>
  <c r="AV3076" i="2"/>
  <c r="AV3074" i="2"/>
  <c r="AV3072" i="2"/>
  <c r="AV3070" i="2"/>
  <c r="AV3068" i="2"/>
  <c r="AV3066" i="2"/>
  <c r="AV3064" i="2"/>
  <c r="AV3062" i="2"/>
  <c r="AV3061" i="2"/>
  <c r="AV3059" i="2"/>
  <c r="AV3057" i="2"/>
  <c r="AV3055" i="2"/>
  <c r="AV3053" i="2"/>
  <c r="AV3051" i="2"/>
  <c r="AV3049" i="2"/>
  <c r="AV3047" i="2"/>
  <c r="AV3045" i="2"/>
  <c r="AV3043" i="2"/>
  <c r="AV3041" i="2"/>
  <c r="AV3039" i="2"/>
  <c r="AV3037" i="2"/>
  <c r="AV3035" i="2"/>
  <c r="AV3033" i="2"/>
  <c r="AV3032" i="2"/>
  <c r="AV3030" i="2"/>
  <c r="AV3028" i="2"/>
  <c r="AV3026" i="2"/>
  <c r="AV3024" i="2"/>
  <c r="AV3022" i="2"/>
  <c r="AV3020" i="2"/>
  <c r="AV3018" i="2"/>
  <c r="AV3016" i="2"/>
  <c r="AV3014" i="2"/>
  <c r="AV3012" i="2"/>
  <c r="AV3010" i="2"/>
  <c r="AV3008" i="2"/>
  <c r="AV3007" i="2"/>
  <c r="AV3005" i="2"/>
  <c r="AV3003" i="2"/>
  <c r="AV3001" i="2"/>
  <c r="AV2999" i="2"/>
  <c r="AV2997" i="2"/>
  <c r="AV2995" i="2"/>
  <c r="AV2993" i="2"/>
  <c r="AV2991" i="2"/>
  <c r="AV2989" i="2"/>
  <c r="AV2988" i="2"/>
  <c r="AV2987" i="2"/>
  <c r="AV2985" i="2"/>
  <c r="AV2984" i="2"/>
  <c r="AV2982" i="2"/>
  <c r="AV2980" i="2"/>
  <c r="AV2978" i="2"/>
  <c r="AV2977" i="2"/>
  <c r="AV2975" i="2"/>
  <c r="AV2973" i="2"/>
  <c r="AV2971" i="2"/>
  <c r="AV2969" i="2"/>
  <c r="AV2967" i="2"/>
  <c r="AV2965" i="2"/>
  <c r="AV2963" i="2"/>
  <c r="AV2961" i="2"/>
  <c r="AV2959" i="2"/>
  <c r="AV2957" i="2"/>
  <c r="AV2955" i="2"/>
  <c r="AV2953" i="2"/>
  <c r="AV2951" i="2"/>
  <c r="AV2950" i="2"/>
  <c r="AV2948" i="2"/>
  <c r="AV2946" i="2"/>
  <c r="AV2944" i="2"/>
  <c r="AV2942" i="2"/>
  <c r="AV2940" i="2"/>
  <c r="AV2938" i="2"/>
  <c r="AV2936" i="2"/>
  <c r="AV2934" i="2"/>
  <c r="AV2932" i="2"/>
  <c r="AV2930" i="2"/>
  <c r="AV2928" i="2"/>
  <c r="AV2926" i="2"/>
  <c r="AV2924" i="2"/>
  <c r="AV2922" i="2"/>
  <c r="AV2920" i="2"/>
  <c r="AV2918" i="2"/>
  <c r="AV2916" i="2"/>
  <c r="AV2915" i="2"/>
  <c r="AV2913" i="2"/>
  <c r="AV2911" i="2"/>
  <c r="AV2909" i="2"/>
  <c r="AV2907" i="2"/>
  <c r="AV2905" i="2"/>
  <c r="AV2903" i="2"/>
  <c r="AV2901" i="2"/>
  <c r="AV2899" i="2"/>
  <c r="AV2897" i="2"/>
  <c r="AV2895" i="2"/>
  <c r="AV2893" i="2"/>
  <c r="AV2891" i="2"/>
  <c r="AV2889" i="2"/>
  <c r="AV2887" i="2"/>
  <c r="AV2885" i="2"/>
  <c r="AV2883" i="2"/>
  <c r="AV2881" i="2"/>
  <c r="AV2879" i="2"/>
  <c r="AV2877" i="2"/>
  <c r="AV2875" i="2"/>
  <c r="AV2873" i="2"/>
  <c r="AV2871" i="2"/>
  <c r="AV2870" i="2"/>
  <c r="AV2868" i="2"/>
  <c r="AV2866" i="2"/>
  <c r="AV2864" i="2"/>
  <c r="AV2862" i="2"/>
  <c r="AV2860" i="2"/>
  <c r="AV2858" i="2"/>
  <c r="AV2856" i="2"/>
  <c r="AV2854" i="2"/>
  <c r="AV2852" i="2"/>
  <c r="AV2850" i="2"/>
  <c r="AV2848" i="2"/>
  <c r="AV2846" i="2"/>
  <c r="AV2844" i="2"/>
  <c r="AV2842" i="2"/>
  <c r="AV1850" i="2"/>
  <c r="AV1849" i="2"/>
  <c r="AV1848" i="2"/>
  <c r="AV1847" i="2"/>
  <c r="AV1846" i="2"/>
  <c r="AV1845" i="2"/>
  <c r="AV1844" i="2"/>
  <c r="AV1843" i="2"/>
  <c r="AV1842" i="2"/>
  <c r="AV1841" i="2"/>
  <c r="AV1840" i="2"/>
  <c r="AV1839" i="2"/>
  <c r="AV1838" i="2"/>
  <c r="AV1837" i="2"/>
  <c r="AV1836" i="2"/>
  <c r="AV1835" i="2"/>
  <c r="AV1834" i="2"/>
  <c r="AV1833" i="2"/>
  <c r="AV1832" i="2"/>
  <c r="AV1831" i="2"/>
  <c r="AV1830" i="2"/>
  <c r="AV1829" i="2"/>
  <c r="AV1828" i="2"/>
  <c r="AV1827" i="2"/>
  <c r="AV1826" i="2"/>
  <c r="AV1825" i="2"/>
  <c r="AV1824" i="2"/>
  <c r="AV1823" i="2"/>
  <c r="AV1822" i="2"/>
  <c r="AV1821" i="2"/>
  <c r="AV1820" i="2"/>
  <c r="AV1819" i="2"/>
  <c r="AV1818" i="2"/>
  <c r="AV1817" i="2"/>
  <c r="AV1816" i="2"/>
  <c r="AV1815" i="2"/>
  <c r="AV1814" i="2"/>
  <c r="AV1813" i="2"/>
  <c r="AV1812" i="2"/>
  <c r="AV1811" i="2"/>
  <c r="AV1810" i="2"/>
  <c r="AV1809" i="2"/>
  <c r="AV1808" i="2"/>
  <c r="AV1807" i="2"/>
  <c r="AV1806" i="2"/>
  <c r="AV1805" i="2"/>
  <c r="AV1804" i="2"/>
  <c r="AV1803" i="2"/>
  <c r="AV1802" i="2"/>
  <c r="AV1801" i="2"/>
  <c r="AV1800" i="2"/>
  <c r="AV1799" i="2"/>
  <c r="AV1798" i="2"/>
  <c r="AV1797" i="2"/>
  <c r="AV1796" i="2"/>
  <c r="AV1795" i="2"/>
  <c r="AV1794" i="2"/>
  <c r="AV1793" i="2"/>
  <c r="AV1792" i="2"/>
  <c r="AV1791" i="2"/>
  <c r="AV1790" i="2"/>
  <c r="AV1789" i="2"/>
  <c r="AV1788" i="2"/>
  <c r="AV1787" i="2"/>
  <c r="AV1786" i="2"/>
  <c r="AV1785" i="2"/>
  <c r="AV1784" i="2"/>
  <c r="AV1783" i="2"/>
  <c r="AV1782" i="2"/>
  <c r="AV1781" i="2"/>
  <c r="AV1780" i="2"/>
  <c r="AV1779" i="2"/>
  <c r="AV1778" i="2"/>
  <c r="AV1777" i="2"/>
  <c r="AV1776" i="2"/>
  <c r="AV1775" i="2"/>
  <c r="AV1774" i="2"/>
  <c r="AV1773" i="2"/>
  <c r="AV1772" i="2"/>
  <c r="AV1771" i="2"/>
  <c r="AV1770" i="2"/>
  <c r="AV1769" i="2"/>
  <c r="AV1768" i="2"/>
  <c r="AV1767" i="2"/>
  <c r="AV1766" i="2"/>
  <c r="AV1765" i="2"/>
  <c r="AV1764" i="2"/>
  <c r="AV1763" i="2"/>
  <c r="AV1762" i="2"/>
  <c r="AV1761" i="2"/>
  <c r="AV1760" i="2"/>
  <c r="AV1759" i="2"/>
  <c r="AV1758" i="2"/>
  <c r="AV1757" i="2"/>
  <c r="AV1756" i="2"/>
  <c r="AV1755" i="2"/>
  <c r="AV1754" i="2"/>
  <c r="AV1753" i="2"/>
  <c r="AV1752" i="2"/>
  <c r="AV1751" i="2"/>
  <c r="AV1750" i="2"/>
  <c r="AV1749" i="2"/>
  <c r="AV1748" i="2"/>
  <c r="AV1747" i="2"/>
  <c r="AV1746" i="2"/>
  <c r="AV1745" i="2"/>
  <c r="AV1744" i="2"/>
  <c r="AV1743" i="2"/>
  <c r="AV1742" i="2"/>
  <c r="AV1741" i="2"/>
  <c r="AV1740" i="2"/>
  <c r="AV1739" i="2"/>
  <c r="AV1738" i="2"/>
  <c r="AV1737" i="2"/>
  <c r="AV1736" i="2"/>
  <c r="AV1735" i="2"/>
  <c r="AV1734" i="2"/>
  <c r="AV1733" i="2"/>
  <c r="AV1732" i="2"/>
  <c r="AV1731" i="2"/>
  <c r="AV1730" i="2"/>
  <c r="AV1729" i="2"/>
  <c r="AV1728" i="2"/>
  <c r="AV1727" i="2"/>
  <c r="AV1726" i="2"/>
  <c r="AV1725" i="2"/>
  <c r="AV1724" i="2"/>
  <c r="AV1723" i="2"/>
  <c r="AV1722" i="2"/>
  <c r="AV1721" i="2"/>
  <c r="AV1720" i="2"/>
  <c r="AV1719" i="2"/>
  <c r="AV1718" i="2"/>
  <c r="AV1717" i="2"/>
  <c r="AV1716" i="2"/>
  <c r="AV1715" i="2"/>
  <c r="AV1714" i="2"/>
  <c r="AV1713" i="2"/>
  <c r="AV1712" i="2"/>
  <c r="AV1711" i="2"/>
  <c r="AV1710" i="2"/>
  <c r="AV1709" i="2"/>
  <c r="AV1708" i="2"/>
  <c r="AV1707" i="2"/>
  <c r="AV1706" i="2"/>
  <c r="AV1705" i="2"/>
  <c r="AV1704" i="2"/>
  <c r="AV1703" i="2"/>
  <c r="AV1702" i="2"/>
  <c r="AV1701" i="2"/>
  <c r="AV1700" i="2"/>
  <c r="AV1699" i="2"/>
  <c r="AV1698" i="2"/>
  <c r="AV1697" i="2"/>
  <c r="AV1696" i="2"/>
  <c r="AV1695" i="2"/>
  <c r="AV1694" i="2"/>
  <c r="AV1693" i="2"/>
  <c r="AV1692" i="2"/>
  <c r="AV1691" i="2"/>
  <c r="AV1690" i="2"/>
  <c r="AV1689" i="2"/>
  <c r="AV1688" i="2"/>
  <c r="AV1687" i="2"/>
  <c r="AV1686" i="2"/>
  <c r="AV1685" i="2"/>
  <c r="AV1684" i="2"/>
  <c r="AV1683" i="2"/>
  <c r="AV1682" i="2"/>
  <c r="AV1681" i="2"/>
  <c r="AV1680" i="2"/>
  <c r="AV1679" i="2"/>
  <c r="AV1678" i="2"/>
  <c r="AV1677" i="2"/>
  <c r="AV1676" i="2"/>
  <c r="AV1675" i="2"/>
  <c r="AV1674" i="2"/>
  <c r="AV1673" i="2"/>
  <c r="AV1672" i="2"/>
  <c r="AV1671" i="2"/>
  <c r="AV1670" i="2"/>
  <c r="AV1669" i="2"/>
  <c r="AV1668" i="2"/>
  <c r="AV1667" i="2"/>
  <c r="AV1666" i="2"/>
  <c r="AV1665" i="2"/>
  <c r="AV1664" i="2"/>
  <c r="AV1663" i="2"/>
  <c r="AV1662" i="2"/>
  <c r="AV1661" i="2"/>
  <c r="AV1660" i="2"/>
  <c r="AV1659" i="2"/>
  <c r="AV1658" i="2"/>
  <c r="AV1657" i="2"/>
  <c r="AV1656" i="2"/>
  <c r="AV1655" i="2"/>
  <c r="AV1654" i="2"/>
  <c r="AV1653" i="2"/>
  <c r="AV1652" i="2"/>
  <c r="AV1651" i="2"/>
  <c r="AV1650" i="2"/>
  <c r="AV1649" i="2"/>
  <c r="AV1648" i="2"/>
  <c r="AV1647" i="2"/>
  <c r="AV1646" i="2"/>
  <c r="AV1645" i="2"/>
  <c r="AV1644" i="2"/>
  <c r="AV1643" i="2"/>
  <c r="AV1642" i="2"/>
  <c r="AV1641" i="2"/>
  <c r="AV1640" i="2"/>
  <c r="AV1639" i="2"/>
  <c r="AV1638" i="2"/>
  <c r="AV1637" i="2"/>
  <c r="AV1636" i="2"/>
  <c r="AV1635" i="2"/>
  <c r="AV1634" i="2"/>
  <c r="AV1633" i="2"/>
  <c r="AV1632" i="2"/>
  <c r="AV1631" i="2"/>
  <c r="AV1630" i="2"/>
  <c r="AV1629" i="2"/>
  <c r="AV1628" i="2"/>
  <c r="AV1627" i="2"/>
  <c r="AV1626" i="2"/>
  <c r="AV1625" i="2"/>
  <c r="AV1624" i="2"/>
  <c r="AV1623" i="2"/>
  <c r="AV1622" i="2"/>
  <c r="AV1621" i="2"/>
  <c r="AV1620" i="2"/>
  <c r="AV1619" i="2"/>
  <c r="AV1618" i="2"/>
  <c r="AV1617" i="2"/>
  <c r="AV1616" i="2"/>
  <c r="AV1615" i="2"/>
  <c r="AV1614" i="2"/>
  <c r="AV1613" i="2"/>
  <c r="AV1612" i="2"/>
  <c r="AV1611" i="2"/>
  <c r="AV1610" i="2"/>
  <c r="AV1609" i="2"/>
  <c r="AV1608" i="2"/>
  <c r="AV1607" i="2"/>
  <c r="AV1606" i="2"/>
  <c r="AV1605" i="2"/>
  <c r="AV1604" i="2"/>
  <c r="AV1603" i="2"/>
  <c r="AV1602" i="2"/>
  <c r="AV1601" i="2"/>
  <c r="AV1600" i="2"/>
  <c r="AV1599" i="2"/>
  <c r="AV1598" i="2"/>
  <c r="AV1597" i="2"/>
  <c r="AV1596" i="2"/>
  <c r="AV1595" i="2"/>
  <c r="AV1594" i="2"/>
  <c r="AV1593" i="2"/>
  <c r="AV1592" i="2"/>
  <c r="AV1591" i="2"/>
  <c r="AV1590" i="2"/>
  <c r="AV1589" i="2"/>
  <c r="AV1588" i="2"/>
  <c r="AV1587" i="2"/>
  <c r="AV1586" i="2"/>
  <c r="AV1585" i="2"/>
  <c r="AV1584" i="2"/>
  <c r="AV1583" i="2"/>
  <c r="AV1582" i="2"/>
  <c r="AV1581" i="2"/>
  <c r="AV1580" i="2"/>
  <c r="AV1579" i="2"/>
  <c r="AV1578" i="2"/>
  <c r="AV1577" i="2"/>
  <c r="AV1576" i="2"/>
  <c r="AV1575" i="2"/>
  <c r="AV1574" i="2"/>
  <c r="AV1573" i="2"/>
  <c r="AV1572" i="2"/>
  <c r="AV1571" i="2"/>
  <c r="AV1570" i="2"/>
  <c r="AV1569" i="2"/>
  <c r="AV1568" i="2"/>
  <c r="AV1567" i="2"/>
  <c r="AV1566" i="2"/>
  <c r="AV1565" i="2"/>
  <c r="AV1564" i="2"/>
  <c r="AV1563" i="2"/>
  <c r="AV1562" i="2"/>
  <c r="AV1561" i="2"/>
  <c r="AV1560" i="2"/>
  <c r="AV1559" i="2"/>
  <c r="AV1558" i="2"/>
  <c r="AV1557" i="2"/>
  <c r="AV1556" i="2"/>
  <c r="AV1555" i="2"/>
  <c r="AV1554" i="2"/>
  <c r="AV1553" i="2"/>
  <c r="AV1552" i="2"/>
  <c r="AV1551" i="2"/>
  <c r="AV1550" i="2"/>
  <c r="AV1549" i="2"/>
  <c r="AV1548" i="2"/>
  <c r="AV1547" i="2"/>
  <c r="AV1546" i="2"/>
  <c r="AV1545" i="2"/>
  <c r="AV1544" i="2"/>
  <c r="AV1543" i="2"/>
  <c r="AV1542" i="2"/>
  <c r="AV1541" i="2"/>
  <c r="AV1540" i="2"/>
  <c r="AV1539" i="2"/>
  <c r="AV1538" i="2"/>
  <c r="AV1537" i="2"/>
  <c r="AV1536" i="2"/>
  <c r="AV1535" i="2"/>
  <c r="AV1534" i="2"/>
  <c r="AV1533" i="2"/>
  <c r="AV1532" i="2"/>
  <c r="AV1531" i="2"/>
  <c r="AV1530" i="2"/>
  <c r="AV1529" i="2"/>
  <c r="AV1528" i="2"/>
  <c r="AV1527" i="2"/>
  <c r="AV1526" i="2"/>
  <c r="AV1525" i="2"/>
  <c r="AV1524" i="2"/>
  <c r="AV1523" i="2"/>
  <c r="AV1522" i="2"/>
  <c r="AV1521" i="2"/>
  <c r="AV1520" i="2"/>
  <c r="AV1519" i="2"/>
  <c r="AV1518" i="2"/>
  <c r="AV1517" i="2"/>
  <c r="AV1516" i="2"/>
  <c r="AV1515" i="2"/>
  <c r="AV1514" i="2"/>
  <c r="AV1513" i="2"/>
  <c r="AV1512" i="2"/>
  <c r="AV1511" i="2"/>
  <c r="AV1510" i="2"/>
  <c r="AV1509" i="2"/>
  <c r="AV1508" i="2"/>
  <c r="AV1507" i="2"/>
  <c r="AV1506" i="2"/>
  <c r="AV1505" i="2"/>
  <c r="AV1504" i="2"/>
  <c r="AV1503" i="2"/>
  <c r="AV1502" i="2"/>
  <c r="AV1501" i="2"/>
  <c r="AV1500" i="2"/>
  <c r="AV1499" i="2"/>
  <c r="AV1498" i="2"/>
  <c r="AV1497" i="2"/>
  <c r="AV1496" i="2"/>
  <c r="AV1495" i="2"/>
  <c r="AV1494" i="2"/>
  <c r="AV1493" i="2"/>
  <c r="AV1492" i="2"/>
  <c r="AV1491" i="2"/>
  <c r="AV1490" i="2"/>
  <c r="AV1489" i="2"/>
  <c r="AV1488" i="2"/>
  <c r="AV1487" i="2"/>
  <c r="AV1486" i="2"/>
  <c r="AV1485" i="2"/>
  <c r="AV1484" i="2"/>
  <c r="AV1483" i="2"/>
  <c r="AV1482" i="2"/>
  <c r="AV1481" i="2"/>
  <c r="AV1480" i="2"/>
  <c r="AV1479" i="2"/>
  <c r="AV1478" i="2"/>
  <c r="AV1477" i="2"/>
  <c r="AV1476" i="2"/>
  <c r="AV1475" i="2"/>
  <c r="AV1474" i="2"/>
  <c r="AV1473" i="2"/>
  <c r="AV1472" i="2"/>
  <c r="AV1471" i="2"/>
  <c r="AV1470" i="2"/>
  <c r="AV1469" i="2"/>
  <c r="AV1468" i="2"/>
  <c r="AV1467" i="2"/>
  <c r="AV1466" i="2"/>
  <c r="AV1465" i="2"/>
  <c r="AV1464" i="2"/>
  <c r="AV1463" i="2"/>
  <c r="AV1462" i="2"/>
  <c r="AV1461" i="2"/>
  <c r="AV1460" i="2"/>
  <c r="AV1459" i="2"/>
  <c r="AV1458" i="2"/>
  <c r="AV1457" i="2"/>
  <c r="AV1456" i="2"/>
  <c r="AV1455" i="2"/>
  <c r="AV1454" i="2"/>
  <c r="AV1453" i="2"/>
  <c r="AV1452" i="2"/>
  <c r="AV1451" i="2"/>
  <c r="AV1450" i="2"/>
  <c r="AV1449" i="2"/>
  <c r="AV1448" i="2"/>
  <c r="AV1447" i="2"/>
  <c r="AV1446" i="2"/>
  <c r="AV1445" i="2"/>
  <c r="AV1444" i="2"/>
  <c r="AV1443" i="2"/>
  <c r="AV1442" i="2"/>
  <c r="AV1441" i="2"/>
  <c r="AV1440" i="2"/>
  <c r="AV1439" i="2"/>
  <c r="AV1438" i="2"/>
  <c r="AV1437" i="2"/>
  <c r="AV1436" i="2"/>
  <c r="AV1435" i="2"/>
  <c r="AV1434" i="2"/>
  <c r="AV1433" i="2"/>
  <c r="AV1432" i="2"/>
  <c r="AV1431" i="2"/>
  <c r="AV1430" i="2"/>
  <c r="AV1429" i="2"/>
  <c r="AV1428" i="2"/>
  <c r="AV1427" i="2"/>
  <c r="AV1426" i="2"/>
  <c r="AV1425" i="2"/>
  <c r="AV1424" i="2"/>
  <c r="AV1423" i="2"/>
  <c r="AV1422" i="2"/>
  <c r="AV1421" i="2"/>
  <c r="AV1420" i="2"/>
  <c r="AV1419" i="2"/>
  <c r="AV1418" i="2"/>
  <c r="AV1417" i="2"/>
  <c r="AV1416" i="2"/>
  <c r="AV1415" i="2"/>
  <c r="AV1414" i="2"/>
  <c r="AV1413" i="2"/>
  <c r="AV1412" i="2"/>
  <c r="AV1411" i="2"/>
  <c r="AV1410" i="2"/>
  <c r="AV1409" i="2"/>
  <c r="AV1408" i="2"/>
  <c r="AV1407" i="2"/>
  <c r="AV1406" i="2"/>
  <c r="AV1405" i="2"/>
  <c r="AV1404" i="2"/>
  <c r="AV1403" i="2"/>
  <c r="AV1402" i="2"/>
  <c r="AV1401" i="2"/>
  <c r="AV1400" i="2"/>
  <c r="AV1399" i="2"/>
  <c r="AV1398" i="2"/>
  <c r="AV1397" i="2"/>
  <c r="AV1396" i="2"/>
  <c r="AV1395" i="2"/>
  <c r="AV1394" i="2"/>
  <c r="AV1393" i="2"/>
  <c r="AV1392" i="2"/>
  <c r="AV1391" i="2"/>
  <c r="AV1390" i="2"/>
  <c r="AV1389" i="2"/>
  <c r="AV1388" i="2"/>
  <c r="AV1387" i="2"/>
  <c r="AV1386" i="2"/>
  <c r="AV1385" i="2"/>
  <c r="AV1384" i="2"/>
  <c r="AV1383" i="2"/>
  <c r="AV1382" i="2"/>
  <c r="AV1381" i="2"/>
  <c r="AV1380" i="2"/>
  <c r="AV1379" i="2"/>
  <c r="AV1378" i="2"/>
  <c r="AV1377" i="2"/>
  <c r="AV1376" i="2"/>
  <c r="AV1375" i="2"/>
  <c r="AV1374" i="2"/>
  <c r="AV1373" i="2"/>
  <c r="AV1372" i="2"/>
  <c r="AV1371" i="2"/>
  <c r="AV1370" i="2"/>
  <c r="AV1369" i="2"/>
  <c r="AV1368" i="2"/>
  <c r="AV1367" i="2"/>
  <c r="AV1366" i="2"/>
  <c r="AV1365" i="2"/>
  <c r="AV1364" i="2"/>
  <c r="AV1363" i="2"/>
  <c r="AV1362" i="2"/>
  <c r="AV1361" i="2"/>
  <c r="AV1360" i="2"/>
  <c r="AV1359" i="2"/>
  <c r="AV1358" i="2"/>
  <c r="AV1357" i="2"/>
  <c r="AV1356" i="2"/>
  <c r="AV1355" i="2"/>
  <c r="AV1354" i="2"/>
  <c r="AV1353" i="2"/>
  <c r="AV1352" i="2"/>
  <c r="AV1351" i="2"/>
  <c r="AV1350" i="2"/>
  <c r="AV1349" i="2"/>
  <c r="AV1348" i="2"/>
  <c r="AV1347" i="2"/>
  <c r="AV1346" i="2"/>
  <c r="AV1345" i="2"/>
  <c r="AV1344" i="2"/>
  <c r="AV1343" i="2"/>
  <c r="AV1342" i="2"/>
  <c r="AV1341" i="2"/>
  <c r="AV1340" i="2"/>
  <c r="AV1339" i="2"/>
  <c r="AV1338" i="2"/>
  <c r="AV1337" i="2"/>
  <c r="AV1336" i="2"/>
  <c r="AV1335" i="2"/>
  <c r="AV1334" i="2"/>
  <c r="AV1333" i="2"/>
  <c r="AV1332" i="2"/>
  <c r="AV1331" i="2"/>
  <c r="AV1330" i="2"/>
  <c r="AV1329" i="2"/>
  <c r="AV1328" i="2"/>
  <c r="AV1327" i="2"/>
  <c r="AV1326" i="2"/>
  <c r="AV1325" i="2"/>
  <c r="AV1324" i="2"/>
  <c r="AV1323" i="2"/>
  <c r="AV1322" i="2"/>
  <c r="AV1321" i="2"/>
  <c r="AV1320" i="2"/>
  <c r="AV1319" i="2"/>
  <c r="AV1318" i="2"/>
  <c r="AV1317" i="2"/>
  <c r="AV1316" i="2"/>
  <c r="AV1315" i="2"/>
  <c r="AV1314" i="2"/>
  <c r="AV1313" i="2"/>
  <c r="AV1312" i="2"/>
  <c r="AV1311" i="2"/>
  <c r="AV1310" i="2"/>
  <c r="AV1309" i="2"/>
  <c r="AV1308" i="2"/>
  <c r="AV1307" i="2"/>
  <c r="AV1306" i="2"/>
  <c r="AV1305" i="2"/>
  <c r="AV1304" i="2"/>
  <c r="AV1303" i="2"/>
  <c r="AV1302" i="2"/>
  <c r="AV1301" i="2"/>
  <c r="AV1300" i="2"/>
  <c r="AV1299" i="2"/>
  <c r="AV1298" i="2"/>
  <c r="AV1297" i="2"/>
  <c r="AV1296" i="2"/>
  <c r="AV1295" i="2"/>
  <c r="AV1294" i="2"/>
  <c r="AV1293" i="2"/>
  <c r="AV1292" i="2"/>
  <c r="AV1291" i="2"/>
  <c r="AV1290" i="2"/>
  <c r="AV1289" i="2"/>
  <c r="AV1288" i="2"/>
  <c r="AV1287" i="2"/>
  <c r="AV1286" i="2"/>
  <c r="AV1285" i="2"/>
  <c r="AV1284" i="2"/>
  <c r="AV1283" i="2"/>
  <c r="AV1282" i="2"/>
  <c r="AV1281" i="2"/>
  <c r="AV1280" i="2"/>
  <c r="AV1279" i="2"/>
  <c r="AV1278" i="2"/>
  <c r="AV1277" i="2"/>
  <c r="AV1276" i="2"/>
  <c r="AV1275" i="2"/>
  <c r="AV1274" i="2"/>
  <c r="AV1273" i="2"/>
  <c r="AV1272" i="2"/>
  <c r="AV1271" i="2"/>
  <c r="AV1270" i="2"/>
  <c r="AV1269" i="2"/>
  <c r="AV1268" i="2"/>
  <c r="AV1267" i="2"/>
  <c r="AV1266" i="2"/>
  <c r="AV1265" i="2"/>
  <c r="AV1264" i="2"/>
  <c r="AV1263" i="2"/>
  <c r="AV1262" i="2"/>
  <c r="AV1261" i="2"/>
  <c r="AV1260" i="2"/>
  <c r="AV1259" i="2"/>
  <c r="AV1258" i="2"/>
  <c r="AV1257" i="2"/>
  <c r="AV1256" i="2"/>
  <c r="AV1255" i="2"/>
  <c r="AV1254" i="2"/>
  <c r="AV1253" i="2"/>
  <c r="AV1252" i="2"/>
  <c r="AV1251" i="2"/>
  <c r="AV1250" i="2"/>
  <c r="AV1249" i="2"/>
  <c r="AV1248" i="2"/>
  <c r="AV1247" i="2"/>
  <c r="AV1246" i="2"/>
  <c r="AV1245" i="2"/>
  <c r="AV1244" i="2"/>
  <c r="AV1243" i="2"/>
  <c r="AV1242" i="2"/>
  <c r="AV1241" i="2"/>
  <c r="AV1240" i="2"/>
  <c r="AV1239" i="2"/>
  <c r="AV1238" i="2"/>
  <c r="AV1237" i="2"/>
  <c r="AV1236" i="2"/>
  <c r="AV1235" i="2"/>
  <c r="AV1234" i="2"/>
  <c r="AV1233" i="2"/>
  <c r="AV1232" i="2"/>
  <c r="AV1231" i="2"/>
  <c r="AV1230" i="2"/>
  <c r="AV1229" i="2"/>
  <c r="AV1228" i="2"/>
  <c r="AV1227" i="2"/>
  <c r="AV1226" i="2"/>
  <c r="AV1225" i="2"/>
  <c r="AV1224" i="2"/>
  <c r="AV1223" i="2"/>
  <c r="AV1222" i="2"/>
  <c r="AV1221" i="2"/>
  <c r="AV1220" i="2"/>
  <c r="AV1219" i="2"/>
  <c r="AV1218" i="2"/>
  <c r="AV1217" i="2"/>
  <c r="AV1216" i="2"/>
  <c r="AV1215" i="2"/>
  <c r="AV1214" i="2"/>
  <c r="AV1213" i="2"/>
  <c r="AV1212" i="2"/>
  <c r="AV1211" i="2"/>
  <c r="AV1210" i="2"/>
  <c r="AV1209" i="2"/>
  <c r="AV1208" i="2"/>
  <c r="AV1207" i="2"/>
  <c r="AV1206" i="2"/>
  <c r="AV1205" i="2"/>
  <c r="AV1204" i="2"/>
  <c r="AV1203" i="2"/>
  <c r="AV1202" i="2"/>
  <c r="AV1201" i="2"/>
  <c r="AV1200" i="2"/>
  <c r="AV1199" i="2"/>
  <c r="AV1198" i="2"/>
  <c r="AV1197" i="2"/>
  <c r="AV1196" i="2"/>
  <c r="AV1195" i="2"/>
  <c r="AV1194" i="2"/>
  <c r="AV1193" i="2"/>
  <c r="AV1192" i="2"/>
  <c r="AV1191" i="2"/>
  <c r="AV1190" i="2"/>
  <c r="AV1189" i="2"/>
  <c r="AV1188" i="2"/>
  <c r="AV1187" i="2"/>
  <c r="AV1186" i="2"/>
  <c r="AV1185" i="2"/>
  <c r="AV1184" i="2"/>
  <c r="AV1183" i="2"/>
  <c r="AV1182" i="2"/>
  <c r="AV1181" i="2"/>
  <c r="AV1180" i="2"/>
  <c r="AV1179" i="2"/>
  <c r="AV1178" i="2"/>
  <c r="AV1177" i="2"/>
  <c r="AV1176" i="2"/>
  <c r="AV1175" i="2"/>
  <c r="AV1174" i="2"/>
  <c r="AV1173" i="2"/>
  <c r="AV1172" i="2"/>
  <c r="AV1171" i="2"/>
  <c r="AV1170" i="2"/>
  <c r="AV1169" i="2"/>
  <c r="AV1168" i="2"/>
  <c r="AV1167" i="2"/>
  <c r="AV1166" i="2"/>
  <c r="AV1165" i="2"/>
  <c r="AV1164" i="2"/>
  <c r="AV1163" i="2"/>
  <c r="AV1162" i="2"/>
  <c r="AV1161" i="2"/>
  <c r="AV1160" i="2"/>
  <c r="AV1159" i="2"/>
  <c r="AV1158" i="2"/>
  <c r="AV1157" i="2"/>
  <c r="AV1156" i="2"/>
  <c r="AV1155" i="2"/>
  <c r="AV1154" i="2"/>
  <c r="AV1153" i="2"/>
  <c r="AV1152" i="2"/>
  <c r="AV1151" i="2"/>
  <c r="AV1150" i="2"/>
  <c r="AV1149" i="2"/>
  <c r="AV1148" i="2"/>
  <c r="AV1147" i="2"/>
  <c r="AV1146" i="2"/>
  <c r="AV1145" i="2"/>
  <c r="AV1144" i="2"/>
  <c r="AV1143" i="2"/>
  <c r="AV1142" i="2"/>
  <c r="AV1141" i="2"/>
  <c r="AV1140" i="2"/>
  <c r="AV1139" i="2"/>
  <c r="AV1138" i="2"/>
  <c r="AV1137" i="2"/>
  <c r="AV1136" i="2"/>
  <c r="AV1135" i="2"/>
  <c r="AV1134" i="2"/>
  <c r="AV1133" i="2"/>
  <c r="AV1132" i="2"/>
  <c r="AV1131" i="2"/>
  <c r="AV1130" i="2"/>
  <c r="AV1129" i="2"/>
  <c r="AV1128" i="2"/>
  <c r="AV1127" i="2"/>
  <c r="AV1126" i="2"/>
  <c r="AV1125" i="2"/>
  <c r="AV1124" i="2"/>
  <c r="AV1123" i="2"/>
  <c r="AV1122" i="2"/>
  <c r="AV1121" i="2"/>
  <c r="AV1120" i="2"/>
  <c r="AV1119" i="2"/>
  <c r="AV1118" i="2"/>
  <c r="AV1117" i="2"/>
  <c r="AV1116" i="2"/>
  <c r="AV1115" i="2"/>
  <c r="AV1114" i="2"/>
  <c r="AV1113" i="2"/>
  <c r="AV1112" i="2"/>
  <c r="AV1111" i="2"/>
  <c r="AV1110" i="2"/>
  <c r="AV1109" i="2"/>
  <c r="AV1108" i="2"/>
  <c r="AV1107" i="2"/>
  <c r="AV1106" i="2"/>
  <c r="AV1105" i="2"/>
  <c r="AV1104" i="2"/>
  <c r="AV1103" i="2"/>
  <c r="AV1102" i="2"/>
  <c r="AV1101" i="2"/>
  <c r="AV1100" i="2"/>
  <c r="AV1099" i="2"/>
  <c r="AV1098" i="2"/>
  <c r="AV1097" i="2"/>
  <c r="AV1096" i="2"/>
  <c r="AV1095" i="2"/>
  <c r="AV1094" i="2"/>
  <c r="AV1093" i="2"/>
  <c r="AV1092" i="2"/>
  <c r="AV1091" i="2"/>
  <c r="AV1090" i="2"/>
  <c r="AV1089" i="2"/>
  <c r="AV1088" i="2"/>
  <c r="AV1087" i="2"/>
  <c r="AV1086" i="2"/>
  <c r="AV1085" i="2"/>
  <c r="AV1084" i="2"/>
  <c r="AV1083" i="2"/>
  <c r="AV1082" i="2"/>
  <c r="AV1081" i="2"/>
  <c r="AV1080" i="2"/>
  <c r="AV1079" i="2"/>
  <c r="AV1078" i="2"/>
  <c r="AV1077" i="2"/>
  <c r="AV1076" i="2"/>
  <c r="AV1075" i="2"/>
  <c r="AV1074" i="2"/>
  <c r="AV1073" i="2"/>
  <c r="AV1072" i="2"/>
  <c r="AV1071" i="2"/>
  <c r="AV1070" i="2"/>
  <c r="AV1069" i="2"/>
  <c r="AV1068" i="2"/>
  <c r="AV1067" i="2"/>
  <c r="AV1066" i="2"/>
  <c r="AV1065" i="2"/>
  <c r="AV1064" i="2"/>
  <c r="AV1063" i="2"/>
  <c r="AV1062" i="2"/>
  <c r="AV1061" i="2"/>
  <c r="AV1060" i="2"/>
  <c r="AV1059" i="2"/>
  <c r="AV1058" i="2"/>
  <c r="AV1057" i="2"/>
  <c r="AV1056" i="2"/>
  <c r="AV1055" i="2"/>
  <c r="AV1054" i="2"/>
  <c r="AV1053" i="2"/>
  <c r="AV1052" i="2"/>
  <c r="AV1051" i="2"/>
  <c r="AV1050" i="2"/>
  <c r="AV1049" i="2"/>
  <c r="AV1048" i="2"/>
  <c r="AV1047" i="2"/>
  <c r="AV1046" i="2"/>
  <c r="AV1045" i="2"/>
  <c r="AV1044" i="2"/>
  <c r="AV1043" i="2"/>
  <c r="AV1042" i="2"/>
  <c r="AV1041" i="2"/>
  <c r="AV1040" i="2"/>
  <c r="AV1039" i="2"/>
  <c r="AV1038" i="2"/>
  <c r="AV1037" i="2"/>
  <c r="AV1036" i="2"/>
  <c r="AV1035" i="2"/>
  <c r="AV1034" i="2"/>
  <c r="AV1033" i="2"/>
  <c r="AV1032" i="2"/>
  <c r="AV1031" i="2"/>
  <c r="AV1030" i="2"/>
  <c r="AV1029" i="2"/>
  <c r="AV1028" i="2"/>
  <c r="AV1027" i="2"/>
  <c r="AV1026" i="2"/>
  <c r="AV1025" i="2"/>
  <c r="AV1024" i="2"/>
  <c r="AV1023" i="2"/>
  <c r="AV1022" i="2"/>
  <c r="AV1021" i="2"/>
  <c r="AV1020" i="2"/>
  <c r="AV1019" i="2"/>
  <c r="AV1018" i="2"/>
  <c r="AV1017" i="2"/>
  <c r="AV1016" i="2"/>
  <c r="AV1015" i="2"/>
  <c r="AV1014" i="2"/>
  <c r="AV1013" i="2"/>
  <c r="AV1012" i="2"/>
  <c r="AV1011" i="2"/>
  <c r="AV1010" i="2"/>
  <c r="AV1009" i="2"/>
  <c r="AV1008" i="2"/>
  <c r="AV1007" i="2"/>
  <c r="AV1006" i="2"/>
  <c r="AV1005" i="2"/>
  <c r="AV1004" i="2"/>
  <c r="AV1003" i="2"/>
  <c r="AV1002" i="2"/>
  <c r="AV1001" i="2"/>
  <c r="AV1000" i="2"/>
  <c r="AV999" i="2"/>
  <c r="AV998" i="2"/>
  <c r="AV997" i="2"/>
  <c r="AV996" i="2"/>
  <c r="AV995" i="2"/>
  <c r="AV994" i="2"/>
  <c r="AV993" i="2"/>
  <c r="AV992" i="2"/>
  <c r="AV991" i="2"/>
  <c r="AV990" i="2"/>
  <c r="AV989" i="2"/>
  <c r="AV988" i="2"/>
  <c r="AV987" i="2"/>
  <c r="AV986" i="2"/>
  <c r="AV985" i="2"/>
  <c r="AV984" i="2"/>
  <c r="AV983" i="2"/>
  <c r="AV982" i="2"/>
  <c r="AV981" i="2"/>
  <c r="AV980" i="2"/>
  <c r="AV979" i="2"/>
  <c r="AV978" i="2"/>
  <c r="AV977" i="2"/>
  <c r="AV976" i="2"/>
  <c r="AV975" i="2"/>
  <c r="AV974" i="2"/>
  <c r="AV973" i="2"/>
  <c r="AV972" i="2"/>
  <c r="AV971" i="2"/>
  <c r="AV970" i="2"/>
  <c r="AV969" i="2"/>
  <c r="AV968" i="2"/>
  <c r="AV967" i="2"/>
  <c r="AV966" i="2"/>
  <c r="AV965" i="2"/>
  <c r="AV964" i="2"/>
  <c r="AV963" i="2"/>
  <c r="AV962" i="2"/>
  <c r="AV961" i="2"/>
  <c r="AV960" i="2"/>
  <c r="AV959" i="2"/>
  <c r="AV958" i="2"/>
  <c r="AV957" i="2"/>
  <c r="AV956" i="2"/>
  <c r="AV955" i="2"/>
  <c r="AV954" i="2"/>
  <c r="AV953" i="2"/>
  <c r="AV952" i="2"/>
  <c r="AV951" i="2"/>
  <c r="AV950" i="2"/>
  <c r="AV949" i="2"/>
  <c r="AV948" i="2"/>
  <c r="AV947" i="2"/>
  <c r="AV946" i="2"/>
  <c r="AV945" i="2"/>
  <c r="AV944" i="2"/>
  <c r="AV943" i="2"/>
  <c r="AV942" i="2"/>
  <c r="AV941" i="2"/>
  <c r="AV940" i="2"/>
  <c r="AV939" i="2"/>
  <c r="AV938" i="2"/>
  <c r="AV937" i="2"/>
  <c r="AV936" i="2"/>
  <c r="AV935" i="2"/>
  <c r="AV934" i="2"/>
  <c r="AV933" i="2"/>
  <c r="AV932" i="2"/>
  <c r="AV931" i="2"/>
  <c r="AV930" i="2"/>
  <c r="AV929" i="2"/>
  <c r="AV928" i="2"/>
  <c r="AV927" i="2"/>
  <c r="AV926" i="2"/>
  <c r="AV925" i="2"/>
  <c r="AV924" i="2"/>
  <c r="AV923" i="2"/>
  <c r="AV922" i="2"/>
  <c r="AV921" i="2"/>
  <c r="AV920" i="2"/>
  <c r="AV919" i="2"/>
  <c r="AV918" i="2"/>
  <c r="AV917" i="2"/>
  <c r="AV916" i="2"/>
  <c r="AV915" i="2"/>
  <c r="AV914" i="2"/>
  <c r="AV913" i="2"/>
  <c r="AV912" i="2"/>
  <c r="AV911" i="2"/>
  <c r="AV910" i="2"/>
  <c r="AV909" i="2"/>
  <c r="AV908" i="2"/>
  <c r="AV907" i="2"/>
  <c r="AV906" i="2"/>
  <c r="AV905" i="2"/>
  <c r="AV904" i="2"/>
  <c r="AV903" i="2"/>
  <c r="AV902" i="2"/>
  <c r="AV901" i="2"/>
  <c r="AV900" i="2"/>
  <c r="AV899" i="2"/>
  <c r="AV898" i="2"/>
  <c r="AV897" i="2"/>
  <c r="AV896" i="2"/>
  <c r="AV895" i="2"/>
  <c r="AV894" i="2"/>
  <c r="AV893" i="2"/>
  <c r="AV892" i="2"/>
  <c r="AV891" i="2"/>
  <c r="AV890" i="2"/>
  <c r="AV889" i="2"/>
  <c r="AV888" i="2"/>
  <c r="AV887" i="2"/>
  <c r="AV886" i="2"/>
  <c r="AV885" i="2"/>
  <c r="AV884" i="2"/>
  <c r="AV883" i="2"/>
  <c r="AV882" i="2"/>
  <c r="AV881" i="2"/>
  <c r="AV880" i="2"/>
  <c r="AV879" i="2"/>
  <c r="AV878" i="2"/>
  <c r="AV877" i="2"/>
  <c r="AV876" i="2"/>
  <c r="AV875" i="2"/>
  <c r="AV874" i="2"/>
  <c r="AV873" i="2"/>
  <c r="AV872" i="2"/>
  <c r="AV871" i="2"/>
  <c r="AV870" i="2"/>
  <c r="AV869" i="2"/>
  <c r="AV868" i="2"/>
  <c r="AV867" i="2"/>
  <c r="AV866" i="2"/>
  <c r="AV865" i="2"/>
  <c r="AV864" i="2"/>
  <c r="AV863" i="2"/>
  <c r="AV862" i="2"/>
  <c r="AV861" i="2"/>
  <c r="AV860" i="2"/>
  <c r="AV859" i="2"/>
  <c r="AV858" i="2"/>
  <c r="AV857" i="2"/>
  <c r="AV856" i="2"/>
  <c r="AV855" i="2"/>
  <c r="AV854" i="2"/>
  <c r="AV853" i="2"/>
  <c r="AV852" i="2"/>
  <c r="AV851" i="2"/>
  <c r="AV850" i="2"/>
  <c r="AV849" i="2"/>
  <c r="AV848" i="2"/>
  <c r="AV847" i="2"/>
  <c r="AV846" i="2"/>
  <c r="AV845" i="2"/>
  <c r="AV844" i="2"/>
  <c r="AV843" i="2"/>
  <c r="AV842" i="2"/>
  <c r="AV841" i="2"/>
  <c r="AV840" i="2"/>
  <c r="AV839" i="2"/>
  <c r="AV838" i="2"/>
  <c r="AV837" i="2"/>
  <c r="AV836" i="2"/>
  <c r="AV835" i="2"/>
  <c r="AV834" i="2"/>
  <c r="AV833" i="2"/>
  <c r="AV832" i="2"/>
  <c r="AV831" i="2"/>
  <c r="AV830" i="2"/>
  <c r="AV829" i="2"/>
  <c r="AV828" i="2"/>
  <c r="AV827" i="2"/>
  <c r="AV826" i="2"/>
  <c r="AV825" i="2"/>
  <c r="AV824" i="2"/>
  <c r="AV823" i="2"/>
  <c r="AV822" i="2"/>
  <c r="AV821" i="2"/>
  <c r="AV820" i="2"/>
  <c r="AV819" i="2"/>
  <c r="AV818" i="2"/>
  <c r="AV817" i="2"/>
  <c r="AV816" i="2"/>
  <c r="AV815" i="2"/>
  <c r="AV814" i="2"/>
  <c r="AV813" i="2"/>
  <c r="AV812" i="2"/>
  <c r="AV811" i="2"/>
  <c r="AV810" i="2"/>
  <c r="AV809" i="2"/>
  <c r="AV808" i="2"/>
  <c r="AV807" i="2"/>
  <c r="AV806" i="2"/>
  <c r="AV805" i="2"/>
  <c r="AV804" i="2"/>
  <c r="AV803" i="2"/>
  <c r="AV802" i="2"/>
  <c r="AV801" i="2"/>
  <c r="AV800" i="2"/>
  <c r="AV799" i="2"/>
  <c r="AV798" i="2"/>
  <c r="AV797" i="2"/>
  <c r="AV796" i="2"/>
  <c r="AV795" i="2"/>
  <c r="AV794" i="2"/>
  <c r="AV793" i="2"/>
  <c r="AV792" i="2"/>
  <c r="AV791" i="2"/>
  <c r="AV790" i="2"/>
  <c r="AV789" i="2"/>
  <c r="AV788" i="2"/>
  <c r="AV787" i="2"/>
  <c r="B5" i="2"/>
  <c r="AV4010" i="4"/>
  <c r="AX4010" i="4" s="1"/>
  <c r="AV4009" i="4"/>
  <c r="AX4009" i="4" s="1"/>
  <c r="AV4008" i="4"/>
  <c r="AX4008" i="4" s="1"/>
  <c r="AV4007" i="4"/>
  <c r="AX4007" i="4" s="1"/>
  <c r="AV4006" i="4"/>
  <c r="AX4006" i="4" s="1"/>
  <c r="AV4005" i="4"/>
  <c r="AX4005" i="4" s="1"/>
  <c r="AV4004" i="4"/>
  <c r="AX4004" i="4" s="1"/>
  <c r="AV4003" i="4"/>
  <c r="AX4003" i="4" s="1"/>
  <c r="AV4002" i="4"/>
  <c r="AX4002" i="4" s="1"/>
  <c r="AV4001" i="4"/>
  <c r="AX4001" i="4" s="1"/>
  <c r="AV4000" i="4"/>
  <c r="AX4000" i="4" s="1"/>
  <c r="AV3999" i="4"/>
  <c r="AX3999" i="4" s="1"/>
  <c r="AV3998" i="4"/>
  <c r="AX3998" i="4" s="1"/>
  <c r="AV3997" i="4"/>
  <c r="AX3997" i="4" s="1"/>
  <c r="AV3996" i="4"/>
  <c r="AX3996" i="4" s="1"/>
  <c r="AV3995" i="4"/>
  <c r="AX3995" i="4" s="1"/>
  <c r="AV3994" i="4"/>
  <c r="AX3994" i="4" s="1"/>
  <c r="AV3993" i="4"/>
  <c r="AX3993" i="4" s="1"/>
  <c r="AV3992" i="4"/>
  <c r="AX3992" i="4" s="1"/>
  <c r="AV3991" i="4"/>
  <c r="AX3991" i="4" s="1"/>
  <c r="AV3990" i="4"/>
  <c r="AX3990" i="4" s="1"/>
  <c r="AV3989" i="4"/>
  <c r="AX3989" i="4" s="1"/>
  <c r="AV3988" i="4"/>
  <c r="AX3988" i="4" s="1"/>
  <c r="AV3987" i="4"/>
  <c r="AX3987" i="4" s="1"/>
  <c r="AV3986" i="4"/>
  <c r="AX3986" i="4" s="1"/>
  <c r="AV3985" i="4"/>
  <c r="AX3985" i="4" s="1"/>
  <c r="AV3984" i="4"/>
  <c r="AX3984" i="4" s="1"/>
  <c r="AV3983" i="4"/>
  <c r="AX3983" i="4" s="1"/>
  <c r="AV3982" i="4"/>
  <c r="AX3982" i="4" s="1"/>
  <c r="AV3981" i="4"/>
  <c r="AX3981" i="4" s="1"/>
  <c r="AV3980" i="4"/>
  <c r="AX3980" i="4" s="1"/>
  <c r="AV3979" i="4"/>
  <c r="AX3979" i="4" s="1"/>
  <c r="AV3978" i="4"/>
  <c r="AX3978" i="4" s="1"/>
  <c r="AV3977" i="4"/>
  <c r="AX3977" i="4" s="1"/>
  <c r="AV3976" i="4"/>
  <c r="AX3976" i="4" s="1"/>
  <c r="AV3975" i="4"/>
  <c r="AX3975" i="4" s="1"/>
  <c r="AV3974" i="4"/>
  <c r="AX3974" i="4" s="1"/>
  <c r="AV3973" i="4"/>
  <c r="AX3973" i="4" s="1"/>
  <c r="AV3972" i="4"/>
  <c r="AX3972" i="4" s="1"/>
  <c r="AV3971" i="4"/>
  <c r="AX3971" i="4" s="1"/>
  <c r="AV3970" i="4"/>
  <c r="AX3970" i="4" s="1"/>
  <c r="AV3969" i="4"/>
  <c r="AX3969" i="4" s="1"/>
  <c r="AV3968" i="4"/>
  <c r="AX3968" i="4" s="1"/>
  <c r="AV3967" i="4"/>
  <c r="AX3967" i="4" s="1"/>
  <c r="AV3966" i="4"/>
  <c r="AX3966" i="4" s="1"/>
  <c r="AV3965" i="4"/>
  <c r="AX3965" i="4" s="1"/>
  <c r="AV3964" i="4"/>
  <c r="AX3964" i="4" s="1"/>
  <c r="AV3963" i="4"/>
  <c r="AX3963" i="4" s="1"/>
  <c r="AV3962" i="4"/>
  <c r="AX3962" i="4" s="1"/>
  <c r="AV3961" i="4"/>
  <c r="AX3961" i="4" s="1"/>
  <c r="AV3960" i="4"/>
  <c r="AX3960" i="4" s="1"/>
  <c r="AV3959" i="4"/>
  <c r="AX3959" i="4" s="1"/>
  <c r="AV3958" i="4"/>
  <c r="AX3958" i="4" s="1"/>
  <c r="AV3957" i="4"/>
  <c r="AX3957" i="4" s="1"/>
  <c r="AV3956" i="4"/>
  <c r="AX3956" i="4" s="1"/>
  <c r="AV3955" i="4"/>
  <c r="AX3955" i="4" s="1"/>
  <c r="AV3954" i="4"/>
  <c r="AX3954" i="4" s="1"/>
  <c r="AV3953" i="4"/>
  <c r="AX3953" i="4" s="1"/>
  <c r="AV3952" i="4"/>
  <c r="AX3952" i="4" s="1"/>
  <c r="AV3951" i="4"/>
  <c r="AX3951" i="4" s="1"/>
  <c r="AV3950" i="4"/>
  <c r="AX3950" i="4" s="1"/>
  <c r="AV3949" i="4"/>
  <c r="AX3949" i="4" s="1"/>
  <c r="AV3948" i="4"/>
  <c r="AX3948" i="4" s="1"/>
  <c r="AV3947" i="4"/>
  <c r="AX3947" i="4" s="1"/>
  <c r="AV3946" i="4"/>
  <c r="AX3946" i="4" s="1"/>
  <c r="AV3945" i="4"/>
  <c r="AX3945" i="4" s="1"/>
  <c r="AV3944" i="4"/>
  <c r="AX3944" i="4" s="1"/>
  <c r="AV3943" i="4"/>
  <c r="AX3943" i="4" s="1"/>
  <c r="AV3942" i="4"/>
  <c r="AX3942" i="4" s="1"/>
  <c r="AV3941" i="4"/>
  <c r="AX3941" i="4" s="1"/>
  <c r="AV3940" i="4"/>
  <c r="AX3940" i="4" s="1"/>
  <c r="AV3939" i="4"/>
  <c r="AX3939" i="4" s="1"/>
  <c r="AV3938" i="4"/>
  <c r="AX3938" i="4" s="1"/>
  <c r="AV3937" i="4"/>
  <c r="AX3937" i="4" s="1"/>
  <c r="AV3936" i="4"/>
  <c r="AX3936" i="4" s="1"/>
  <c r="AV3935" i="4"/>
  <c r="AX3935" i="4" s="1"/>
  <c r="AV3934" i="4"/>
  <c r="AX3934" i="4" s="1"/>
  <c r="AV3933" i="4"/>
  <c r="AX3933" i="4" s="1"/>
  <c r="AV3932" i="4"/>
  <c r="AX3932" i="4" s="1"/>
  <c r="AV3931" i="4"/>
  <c r="AX3931" i="4" s="1"/>
  <c r="AV3930" i="4"/>
  <c r="AX3930" i="4" s="1"/>
  <c r="AV3929" i="4"/>
  <c r="AX3929" i="4" s="1"/>
  <c r="AV3928" i="4"/>
  <c r="AX3928" i="4" s="1"/>
  <c r="AV3927" i="4"/>
  <c r="AX3927" i="4" s="1"/>
  <c r="AV3926" i="4"/>
  <c r="AX3926" i="4" s="1"/>
  <c r="AV3925" i="4"/>
  <c r="AX3925" i="4" s="1"/>
  <c r="AV3924" i="4"/>
  <c r="AX3924" i="4" s="1"/>
  <c r="AV3923" i="4"/>
  <c r="AX3923" i="4" s="1"/>
  <c r="AV3922" i="4"/>
  <c r="AX3922" i="4" s="1"/>
  <c r="AV3921" i="4"/>
  <c r="AX3921" i="4" s="1"/>
  <c r="AV3920" i="4"/>
  <c r="AX3920" i="4" s="1"/>
  <c r="AV3919" i="4"/>
  <c r="AX3919" i="4" s="1"/>
  <c r="AV3918" i="4"/>
  <c r="AX3918" i="4" s="1"/>
  <c r="AV3917" i="4"/>
  <c r="AX3917" i="4" s="1"/>
  <c r="AV3916" i="4"/>
  <c r="AX3916" i="4" s="1"/>
  <c r="AV3915" i="4"/>
  <c r="AX3915" i="4" s="1"/>
  <c r="AV3914" i="4"/>
  <c r="AX3914" i="4" s="1"/>
  <c r="AV3913" i="4"/>
  <c r="AX3913" i="4" s="1"/>
  <c r="AV3912" i="4"/>
  <c r="AX3912" i="4" s="1"/>
  <c r="AV3911" i="4"/>
  <c r="AX3911" i="4" s="1"/>
  <c r="AV3910" i="4"/>
  <c r="AX3910" i="4" s="1"/>
  <c r="AV3909" i="4"/>
  <c r="AX3909" i="4" s="1"/>
  <c r="AV3908" i="4"/>
  <c r="AX3908" i="4" s="1"/>
  <c r="AV3907" i="4"/>
  <c r="AX3907" i="4" s="1"/>
  <c r="AV3906" i="4"/>
  <c r="AX3906" i="4" s="1"/>
  <c r="AV3905" i="4"/>
  <c r="AX3905" i="4" s="1"/>
  <c r="AV3904" i="4"/>
  <c r="AX3904" i="4" s="1"/>
  <c r="AV3903" i="4"/>
  <c r="AX3903" i="4" s="1"/>
  <c r="AV3902" i="4"/>
  <c r="AX3902" i="4" s="1"/>
  <c r="AV3901" i="4"/>
  <c r="AX3901" i="4" s="1"/>
  <c r="AV3900" i="4"/>
  <c r="AX3900" i="4" s="1"/>
  <c r="AV3899" i="4"/>
  <c r="AX3899" i="4" s="1"/>
  <c r="AV3898" i="4"/>
  <c r="AX3898" i="4" s="1"/>
  <c r="AV3897" i="4"/>
  <c r="AX3897" i="4" s="1"/>
  <c r="AV3896" i="4"/>
  <c r="AX3896" i="4" s="1"/>
  <c r="AV3895" i="4"/>
  <c r="AX3895" i="4" s="1"/>
  <c r="AV3894" i="4"/>
  <c r="AX3894" i="4" s="1"/>
  <c r="AV3893" i="4"/>
  <c r="AX3893" i="4" s="1"/>
  <c r="AV3892" i="4"/>
  <c r="AX3892" i="4" s="1"/>
  <c r="AV3891" i="4"/>
  <c r="AX3891" i="4" s="1"/>
  <c r="AV3890" i="4"/>
  <c r="AX3890" i="4" s="1"/>
  <c r="AV3889" i="4"/>
  <c r="AX3889" i="4" s="1"/>
  <c r="AV3888" i="4"/>
  <c r="AX3888" i="4" s="1"/>
  <c r="AV3887" i="4"/>
  <c r="AX3887" i="4" s="1"/>
  <c r="AV3886" i="4"/>
  <c r="AX3886" i="4" s="1"/>
  <c r="AV3885" i="4"/>
  <c r="AX3885" i="4" s="1"/>
  <c r="AV3884" i="4"/>
  <c r="AX3884" i="4" s="1"/>
  <c r="AV3883" i="4"/>
  <c r="AX3883" i="4" s="1"/>
  <c r="AV3882" i="4"/>
  <c r="AX3882" i="4" s="1"/>
  <c r="AV3881" i="4"/>
  <c r="AX3881" i="4" s="1"/>
  <c r="AV3880" i="4"/>
  <c r="AX3880" i="4" s="1"/>
  <c r="AV3879" i="4"/>
  <c r="AX3879" i="4" s="1"/>
  <c r="AV3878" i="4"/>
  <c r="AX3878" i="4" s="1"/>
  <c r="AV3877" i="4"/>
  <c r="AX3877" i="4" s="1"/>
  <c r="AV3876" i="4"/>
  <c r="AX3876" i="4" s="1"/>
  <c r="AV3875" i="4"/>
  <c r="AX3875" i="4" s="1"/>
  <c r="AV3874" i="4"/>
  <c r="AX3874" i="4" s="1"/>
  <c r="AX3873" i="4"/>
  <c r="AX3872" i="4"/>
  <c r="AX3871" i="4"/>
  <c r="AX3870" i="4"/>
  <c r="AX3867" i="4"/>
  <c r="AX3866" i="4"/>
  <c r="AX3863" i="4"/>
  <c r="AX3860" i="4"/>
  <c r="AX3857" i="4"/>
  <c r="AX3854" i="4"/>
  <c r="AX3851" i="4"/>
  <c r="AX3848" i="4"/>
  <c r="AX3845" i="4"/>
  <c r="AX3842" i="4"/>
  <c r="AX3840" i="4"/>
  <c r="AX3839" i="4"/>
  <c r="AX3837" i="4"/>
  <c r="AX3835" i="4"/>
  <c r="AX3832" i="4"/>
  <c r="AX3829" i="4"/>
  <c r="AX3826" i="4"/>
  <c r="AX3823" i="4"/>
  <c r="AX3820" i="4"/>
  <c r="AX3817" i="4"/>
  <c r="AX3814" i="4"/>
  <c r="AX3811" i="4"/>
  <c r="AX3808" i="4"/>
  <c r="AX3805" i="4"/>
  <c r="AX3800" i="4"/>
  <c r="AX3797" i="4"/>
  <c r="AX3794" i="4"/>
  <c r="AX3791" i="4"/>
  <c r="AX3788" i="4"/>
  <c r="AX3783" i="4"/>
  <c r="AX3781" i="4"/>
  <c r="AX3778" i="4"/>
  <c r="AX3775" i="4"/>
  <c r="AX3772" i="4"/>
  <c r="AX3769" i="4"/>
  <c r="AX3766" i="4"/>
  <c r="AX3763" i="4"/>
  <c r="AX3760" i="4"/>
  <c r="AX3757" i="4"/>
  <c r="AX3754" i="4"/>
  <c r="AX3751" i="4"/>
  <c r="AX3748" i="4"/>
  <c r="AX3745" i="4"/>
  <c r="AX3742" i="4"/>
  <c r="AX3739" i="4"/>
  <c r="AX3736" i="4"/>
  <c r="AX3733" i="4"/>
  <c r="AX3730" i="4"/>
  <c r="AX3727" i="4"/>
  <c r="AX3724" i="4"/>
  <c r="AX3721" i="4"/>
  <c r="AX3718" i="4"/>
  <c r="AX3715" i="4"/>
  <c r="AX3712" i="4"/>
  <c r="AX3709" i="4"/>
  <c r="AX3706" i="4"/>
  <c r="AX3703" i="4"/>
  <c r="AX3700" i="4"/>
  <c r="AX3697" i="4"/>
  <c r="AX3694" i="4"/>
  <c r="AX3691" i="4"/>
  <c r="AX3688" i="4"/>
  <c r="AX3685" i="4"/>
  <c r="AX3682" i="4"/>
  <c r="AX3680" i="4"/>
  <c r="AX3677" i="4"/>
  <c r="AX3673" i="4"/>
  <c r="AX3670" i="4"/>
  <c r="AX3667" i="4"/>
  <c r="AX3664" i="4"/>
  <c r="AX3663" i="4"/>
  <c r="AX3660" i="4"/>
  <c r="AX3657" i="4"/>
  <c r="AX3654" i="4"/>
  <c r="AX3651" i="4"/>
  <c r="AX3648" i="4"/>
  <c r="AX3645" i="4"/>
  <c r="AX3642" i="4"/>
  <c r="AX3639" i="4"/>
  <c r="AX3636" i="4"/>
  <c r="AX3633" i="4"/>
  <c r="AX3630" i="4"/>
  <c r="AX3627" i="4"/>
  <c r="AX3624" i="4"/>
  <c r="AX3621" i="4"/>
  <c r="AX3618" i="4"/>
  <c r="AX3615" i="4"/>
  <c r="AX3612" i="4"/>
  <c r="AX3608" i="4"/>
  <c r="AX3605" i="4"/>
  <c r="AX3602" i="4"/>
  <c r="AX3599" i="4"/>
  <c r="AX3596" i="4"/>
  <c r="AX3593" i="4"/>
  <c r="AX3590" i="4"/>
  <c r="AX3587" i="4"/>
  <c r="AX3584" i="4"/>
  <c r="AX3581" i="4"/>
  <c r="AX3578" i="4"/>
  <c r="AX3575" i="4"/>
  <c r="AX3572" i="4"/>
  <c r="AX3569" i="4"/>
  <c r="AX3563" i="4"/>
  <c r="AX3559" i="4"/>
  <c r="AX3556" i="4"/>
  <c r="AX3553" i="4"/>
  <c r="AX3550" i="4"/>
  <c r="AX3547" i="4"/>
  <c r="AX3544" i="4"/>
  <c r="AX3541" i="4"/>
  <c r="AX3538" i="4"/>
  <c r="AX3535" i="4"/>
  <c r="AX3532" i="4"/>
  <c r="AX3529" i="4"/>
  <c r="AX3526" i="4"/>
  <c r="AX3523" i="4"/>
  <c r="AX3520" i="4"/>
  <c r="AX3517" i="4"/>
  <c r="AX3514" i="4"/>
  <c r="AX3511" i="4"/>
  <c r="AX3508" i="4"/>
  <c r="AX3505" i="4"/>
  <c r="AX3502" i="4"/>
  <c r="AX3499" i="4"/>
  <c r="AX3496" i="4"/>
  <c r="AX3493" i="4"/>
  <c r="AX3489" i="4"/>
  <c r="AX3486" i="4"/>
  <c r="AX3483" i="4"/>
  <c r="AX3480" i="4"/>
  <c r="AX3477" i="4"/>
  <c r="AX3474" i="4"/>
  <c r="AX3471" i="4"/>
  <c r="AX3468" i="4"/>
  <c r="AX3465" i="4"/>
  <c r="AX3462" i="4"/>
  <c r="AX3459" i="4"/>
  <c r="AX3456" i="4"/>
  <c r="AX3453" i="4"/>
  <c r="AX3450" i="4"/>
  <c r="AX3447" i="4"/>
  <c r="AX3444" i="4"/>
  <c r="AX3441" i="4"/>
  <c r="AX3438" i="4"/>
  <c r="AX3435" i="4"/>
  <c r="AX3432" i="4"/>
  <c r="AX3426" i="4"/>
  <c r="AX3423" i="4"/>
  <c r="AX3422" i="4"/>
  <c r="AX3419" i="4"/>
  <c r="AX3416" i="4"/>
  <c r="AX3413" i="4"/>
  <c r="AX3410" i="4"/>
  <c r="AX3407" i="4"/>
  <c r="AX3404" i="4"/>
  <c r="AX3401" i="4"/>
  <c r="AX3398" i="4"/>
  <c r="AX3395" i="4"/>
  <c r="AX3392" i="4"/>
  <c r="AX3389" i="4"/>
  <c r="AX3386" i="4"/>
  <c r="AX3383" i="4"/>
  <c r="AX3380" i="4"/>
  <c r="AX3377" i="4"/>
  <c r="AX3374" i="4"/>
  <c r="AX3371" i="4"/>
  <c r="AX3368" i="4"/>
  <c r="AX3365" i="4"/>
  <c r="AX3362" i="4"/>
  <c r="AX3360" i="4"/>
  <c r="AX3357" i="4"/>
  <c r="AX3354" i="4"/>
  <c r="AX3351" i="4"/>
  <c r="AX3348" i="4"/>
  <c r="AX3345" i="4"/>
  <c r="AX3342" i="4"/>
  <c r="AX3339" i="4"/>
  <c r="AX3336" i="4"/>
  <c r="AX3332" i="4"/>
  <c r="AX3329" i="4"/>
  <c r="AX3326" i="4"/>
  <c r="AX3323" i="4"/>
  <c r="AX3320" i="4"/>
  <c r="AX3317" i="4"/>
  <c r="AX3314" i="4"/>
  <c r="AX3311" i="4"/>
  <c r="AX3308" i="4"/>
  <c r="AX3305" i="4"/>
  <c r="AX3302" i="4"/>
  <c r="AX3300" i="4"/>
  <c r="AX3298" i="4"/>
  <c r="AX3295" i="4"/>
  <c r="AX3292" i="4"/>
  <c r="AX3289" i="4"/>
  <c r="AX3286" i="4"/>
  <c r="AX3283" i="4"/>
  <c r="AX3280" i="4"/>
  <c r="AX3277" i="4"/>
  <c r="AX3271" i="4"/>
  <c r="AX3268" i="4"/>
  <c r="AX3265" i="4"/>
  <c r="AX3262" i="4"/>
  <c r="AX3259" i="4"/>
  <c r="AX3256" i="4"/>
  <c r="AX3253" i="4"/>
  <c r="AX3250" i="4"/>
  <c r="AX3247" i="4"/>
  <c r="AX3244" i="4"/>
  <c r="AX3241" i="4"/>
  <c r="AX3238" i="4"/>
  <c r="AX3235" i="4"/>
  <c r="AX3232" i="4"/>
  <c r="AX3229" i="4"/>
  <c r="AX3226" i="4"/>
  <c r="AX3223" i="4"/>
  <c r="AX3220" i="4"/>
  <c r="AX3215" i="4"/>
  <c r="AX3211" i="4"/>
  <c r="AX3207" i="4"/>
  <c r="AX3203" i="4"/>
  <c r="AX3202" i="4"/>
  <c r="AX3198" i="4"/>
  <c r="AX3194" i="4"/>
  <c r="AX3190" i="4"/>
  <c r="AX3186" i="4"/>
  <c r="AX3182" i="4"/>
  <c r="AX3178" i="4"/>
  <c r="AX3169" i="4"/>
  <c r="AX3166" i="4"/>
  <c r="AX3161" i="4"/>
  <c r="AX3157" i="4"/>
  <c r="AX3153" i="4"/>
  <c r="AX3149" i="4"/>
  <c r="AX3144" i="4"/>
  <c r="AX3140" i="4"/>
  <c r="AX3136" i="4"/>
  <c r="AX3132" i="4"/>
  <c r="AX3128" i="4"/>
  <c r="AX3124" i="4"/>
  <c r="AX3120" i="4"/>
  <c r="AX3115" i="4"/>
  <c r="AX3111" i="4"/>
  <c r="AX3107" i="4"/>
  <c r="AX3103" i="4"/>
  <c r="AX3099" i="4"/>
  <c r="AX3096" i="4"/>
  <c r="AX3095" i="4"/>
  <c r="AX3094" i="4"/>
  <c r="AX3090" i="4"/>
  <c r="AX3084" i="4"/>
  <c r="AX3083" i="4"/>
  <c r="AX3076" i="4"/>
  <c r="AX3069" i="4"/>
  <c r="AX3062" i="4"/>
  <c r="AX3055" i="4"/>
  <c r="AX3048" i="4"/>
  <c r="AX3041" i="4"/>
  <c r="AX3025" i="4"/>
  <c r="AX3018" i="4"/>
  <c r="AX3011" i="4"/>
  <c r="AX3004" i="4"/>
  <c r="AX2996" i="4"/>
  <c r="AX2989" i="4"/>
  <c r="AX2982" i="4"/>
  <c r="AX2975" i="4"/>
  <c r="AX2967" i="4"/>
  <c r="AX2961" i="4"/>
  <c r="AX2953" i="4"/>
  <c r="AX2946" i="4"/>
  <c r="AX2939" i="4"/>
  <c r="AX2932" i="4"/>
  <c r="AX2925" i="4"/>
  <c r="AX2912" i="4"/>
  <c r="AX2904" i="4"/>
  <c r="AX2898" i="4"/>
  <c r="AX2897" i="4"/>
  <c r="AX2890" i="4"/>
  <c r="AX2884" i="4"/>
  <c r="AX2877" i="4"/>
  <c r="AX2869" i="4"/>
  <c r="AX2863" i="4"/>
  <c r="AX2856" i="4"/>
  <c r="AX2849" i="4"/>
  <c r="AX2842" i="4"/>
  <c r="AX2835" i="4"/>
  <c r="AX2828" i="4"/>
  <c r="AX2821" i="4"/>
  <c r="AX2814" i="4"/>
  <c r="AX2807" i="4"/>
  <c r="AX2799" i="4"/>
  <c r="AX2792" i="4"/>
  <c r="AX2785" i="4"/>
  <c r="AX2784" i="4"/>
  <c r="AX2777" i="4"/>
  <c r="AX2765" i="4"/>
  <c r="AX2764" i="4"/>
  <c r="AX2763" i="4"/>
  <c r="AX2752" i="4"/>
  <c r="AX2745" i="4"/>
  <c r="AX2737" i="4"/>
  <c r="AX2730" i="4"/>
  <c r="AX2723" i="4"/>
  <c r="AX2722" i="4"/>
  <c r="AX2715" i="4"/>
  <c r="AX2708" i="4"/>
  <c r="AX2701" i="4"/>
  <c r="AX2694" i="4"/>
  <c r="AX2679" i="4"/>
  <c r="AX2672" i="4"/>
  <c r="AX2665" i="4"/>
  <c r="AX2658" i="4"/>
  <c r="AX2652" i="4"/>
  <c r="AX2645" i="4"/>
  <c r="AX2638" i="4"/>
  <c r="AX2631" i="4"/>
  <c r="AX2624" i="4"/>
  <c r="AX2617" i="4"/>
  <c r="AX2610" i="4"/>
  <c r="AX2603" i="4"/>
  <c r="AX2602" i="4"/>
  <c r="AX2595" i="4"/>
  <c r="AX2588" i="4"/>
  <c r="AX2581" i="4"/>
  <c r="AX2574" i="4"/>
  <c r="AX2568" i="4"/>
  <c r="AX2567" i="4"/>
  <c r="AX2562" i="4"/>
  <c r="AX2555" i="4"/>
  <c r="AX2548" i="4"/>
  <c r="AX2541" i="4"/>
  <c r="AX2534" i="4"/>
  <c r="AX2526" i="4"/>
  <c r="AX2519" i="4"/>
  <c r="AX2512" i="4"/>
  <c r="AX2505" i="4"/>
  <c r="AX2498" i="4"/>
  <c r="AX2491" i="4"/>
  <c r="AX2484" i="4"/>
  <c r="AX2477" i="4"/>
  <c r="AX2470" i="4"/>
  <c r="AX2463" i="4"/>
  <c r="AX2456" i="4"/>
  <c r="AX2449" i="4"/>
  <c r="AX2442" i="4"/>
  <c r="AX2428" i="4"/>
  <c r="AX2421" i="4"/>
  <c r="AX2420" i="4"/>
  <c r="AX2419" i="4"/>
  <c r="AX2413" i="4"/>
  <c r="AX2406" i="4"/>
  <c r="AX2398" i="4"/>
  <c r="AX2391" i="4"/>
  <c r="AX2384" i="4"/>
  <c r="AX2376" i="4"/>
  <c r="AX2369" i="4"/>
  <c r="AX2362" i="4"/>
  <c r="AX2355" i="4"/>
  <c r="AX2349" i="4"/>
  <c r="AX2342" i="4"/>
  <c r="AX2334" i="4"/>
  <c r="AX2327" i="4"/>
  <c r="AX2321" i="4"/>
  <c r="AX2314" i="4"/>
  <c r="AX2307" i="4"/>
  <c r="AX2300" i="4"/>
  <c r="AX2293" i="4"/>
  <c r="AX2286" i="4"/>
  <c r="AX2279" i="4"/>
  <c r="AX2271" i="4"/>
  <c r="AX2270" i="4"/>
  <c r="AX2263" i="4"/>
  <c r="AX2256" i="4"/>
  <c r="AX2249" i="4"/>
  <c r="AX2242" i="4"/>
  <c r="AX2235" i="4"/>
  <c r="AX2227" i="4"/>
  <c r="AX2226" i="4"/>
  <c r="AX2219" i="4"/>
  <c r="AX2212" i="4"/>
  <c r="AX2205" i="4"/>
  <c r="AX2198" i="4"/>
  <c r="AX2191" i="4"/>
  <c r="AX2176" i="4"/>
  <c r="AX1155" i="4"/>
  <c r="AX1147" i="4"/>
  <c r="AX1139" i="4"/>
  <c r="AX1131" i="4"/>
  <c r="AX1123" i="4"/>
  <c r="AX1115" i="4"/>
  <c r="AX1114" i="4"/>
  <c r="AX1105" i="4"/>
  <c r="AX1097" i="4"/>
  <c r="AX1080" i="4"/>
  <c r="AX1072" i="4"/>
  <c r="AX1064" i="4"/>
  <c r="AX1063" i="4"/>
  <c r="AX1054" i="4"/>
  <c r="AX1046" i="4"/>
  <c r="AX1045" i="4"/>
  <c r="AX1044" i="4"/>
  <c r="AX1043" i="4"/>
  <c r="AX1035" i="4"/>
  <c r="AX1034" i="4"/>
  <c r="AX1018" i="4"/>
  <c r="AX1011" i="4"/>
  <c r="AX1010" i="4"/>
  <c r="AX1004" i="4"/>
  <c r="AX996" i="4"/>
  <c r="AX993" i="4"/>
  <c r="AX978" i="4"/>
  <c r="AX959" i="4"/>
  <c r="AX952" i="4"/>
  <c r="AX946" i="4"/>
  <c r="AX939" i="4"/>
  <c r="AX917" i="4"/>
  <c r="AX908" i="4"/>
  <c r="AX905" i="4"/>
  <c r="AX890" i="4"/>
  <c r="AX870" i="4"/>
  <c r="AX863" i="4"/>
  <c r="AX847" i="4"/>
  <c r="AX840" i="4"/>
  <c r="AX835" i="4"/>
  <c r="AX813" i="4"/>
  <c r="AX798" i="4"/>
  <c r="AX2999" i="3"/>
  <c r="AX2988" i="3"/>
  <c r="AX2964" i="3"/>
  <c r="AX2953" i="3"/>
  <c r="AX2951" i="3"/>
  <c r="AX2940" i="3"/>
  <c r="AX2929" i="3"/>
  <c r="AX2918" i="3"/>
  <c r="AX2907" i="3"/>
  <c r="AX2896" i="3"/>
  <c r="AX2885" i="3"/>
  <c r="AX2874" i="3"/>
  <c r="AX2863" i="3"/>
  <c r="AX2852" i="3"/>
  <c r="AX2828" i="3"/>
  <c r="AX2827" i="3"/>
  <c r="AX2802" i="3"/>
  <c r="AX2792" i="3"/>
  <c r="AX2781" i="3"/>
  <c r="AX2770" i="3"/>
  <c r="AX2759" i="3"/>
  <c r="AX2748" i="3"/>
  <c r="AX2738" i="3"/>
  <c r="AX2727" i="3"/>
  <c r="AX2717" i="3"/>
  <c r="AX2704" i="3"/>
  <c r="AX2692" i="3"/>
  <c r="AX2680" i="3"/>
  <c r="AX2668" i="3"/>
  <c r="AX2656" i="3"/>
  <c r="AX2644" i="3"/>
  <c r="AX2633" i="3"/>
  <c r="AX2622" i="3"/>
  <c r="AX2611" i="3"/>
  <c r="AX2598" i="3"/>
  <c r="AX2587" i="3"/>
  <c r="AX2586" i="3"/>
  <c r="AX2575" i="3"/>
  <c r="AX2564" i="3"/>
  <c r="AX2553" i="3"/>
  <c r="AX2542" i="3"/>
  <c r="AX2531" i="3"/>
  <c r="AX2507" i="3"/>
  <c r="AX2495" i="3"/>
  <c r="AX2484" i="3"/>
  <c r="AX2473" i="3"/>
  <c r="AX2460" i="3"/>
  <c r="AX2439" i="3"/>
  <c r="AX2414" i="3"/>
  <c r="AX2404" i="3"/>
  <c r="AX2381" i="3"/>
  <c r="AX2355" i="3"/>
  <c r="AX2344" i="3"/>
  <c r="AX2333" i="3"/>
  <c r="AX2322" i="3"/>
  <c r="AX2311" i="3"/>
  <c r="AX2300" i="3"/>
  <c r="AX2289" i="3"/>
  <c r="AX2276" i="3"/>
  <c r="AX2265" i="3"/>
  <c r="AX2255" i="3"/>
  <c r="AX2244" i="3"/>
  <c r="AX2230" i="3"/>
  <c r="AX2217" i="3"/>
  <c r="AX2206" i="3"/>
  <c r="AX2195" i="3"/>
  <c r="AX2184" i="3"/>
  <c r="AX2173" i="3"/>
  <c r="AX933" i="3"/>
  <c r="AX928" i="3"/>
  <c r="AX924" i="3"/>
  <c r="AX923" i="3"/>
  <c r="AX901" i="3"/>
  <c r="AX890" i="3"/>
  <c r="AX867" i="3"/>
  <c r="AX857" i="3"/>
  <c r="AX831" i="3"/>
  <c r="AX821" i="3"/>
  <c r="AX810" i="3"/>
  <c r="AX799" i="3"/>
  <c r="AX798" i="3"/>
  <c r="AX2629" i="2"/>
  <c r="AX2597" i="2"/>
  <c r="AX2552" i="2"/>
  <c r="AX2536" i="2"/>
  <c r="AX2504" i="2"/>
  <c r="AX2491" i="2"/>
  <c r="AX2476" i="2"/>
  <c r="AX2461" i="2"/>
  <c r="AX2446" i="2"/>
  <c r="AX2445" i="2"/>
  <c r="AX2416" i="2"/>
  <c r="AX2398" i="2"/>
  <c r="AX2383" i="2"/>
  <c r="AX2370" i="2"/>
  <c r="AX2369" i="2"/>
  <c r="AX2355" i="2"/>
  <c r="AX2353" i="2"/>
  <c r="AX2339" i="2"/>
  <c r="AX2323" i="2"/>
  <c r="AX2310" i="2"/>
  <c r="AX2295" i="2"/>
  <c r="AX2250" i="2"/>
  <c r="AX2234" i="2"/>
  <c r="AX2215" i="2"/>
  <c r="AX2214" i="2"/>
  <c r="AX2212" i="2"/>
  <c r="AX2198" i="2"/>
  <c r="AX2197" i="2"/>
  <c r="AX2182" i="2"/>
  <c r="AX2167" i="2"/>
  <c r="AX2153" i="2"/>
  <c r="AV2169" i="4"/>
  <c r="AX2169" i="4" s="1"/>
  <c r="AV2168" i="4"/>
  <c r="AX2168" i="4" s="1"/>
  <c r="AV2167" i="4"/>
  <c r="AX2167" i="4" s="1"/>
  <c r="AV2166" i="4"/>
  <c r="AX2166" i="4" s="1"/>
  <c r="AV2165" i="4"/>
  <c r="AX2165" i="4" s="1"/>
  <c r="AV2164" i="4"/>
  <c r="AX2164" i="4" s="1"/>
  <c r="AV2163" i="4"/>
  <c r="AX2163" i="4" s="1"/>
  <c r="AV2162" i="4"/>
  <c r="AX2162" i="4" s="1"/>
  <c r="AV2161" i="4"/>
  <c r="AX2161" i="4" s="1"/>
  <c r="AV2160" i="4"/>
  <c r="AX2160" i="4" s="1"/>
  <c r="AV2159" i="4"/>
  <c r="AX2159" i="4" s="1"/>
  <c r="AV2158" i="4"/>
  <c r="AX2158" i="4" s="1"/>
  <c r="AV2157" i="4"/>
  <c r="AX2157" i="4" s="1"/>
  <c r="AV2156" i="4"/>
  <c r="AX2156" i="4" s="1"/>
  <c r="AV2155" i="4"/>
  <c r="AX2155" i="4" s="1"/>
  <c r="AV2154" i="4"/>
  <c r="AX2154" i="4" s="1"/>
  <c r="AV2153" i="4"/>
  <c r="AX2153" i="4" s="1"/>
  <c r="AV2152" i="4"/>
  <c r="AX2152" i="4" s="1"/>
  <c r="AV2151" i="4"/>
  <c r="AX2151" i="4" s="1"/>
  <c r="AV2150" i="4"/>
  <c r="AX2150" i="4" s="1"/>
  <c r="AV2149" i="4"/>
  <c r="AX2149" i="4" s="1"/>
  <c r="AV2148" i="4"/>
  <c r="AX2148" i="4" s="1"/>
  <c r="AV2147" i="4"/>
  <c r="AX2147" i="4" s="1"/>
  <c r="AV2146" i="4"/>
  <c r="AX2146" i="4" s="1"/>
  <c r="AV2145" i="4"/>
  <c r="AX2145" i="4" s="1"/>
  <c r="AV2144" i="4"/>
  <c r="AX2144" i="4" s="1"/>
  <c r="AV2143" i="4"/>
  <c r="AX2143" i="4" s="1"/>
  <c r="AV2142" i="4"/>
  <c r="AX2142" i="4" s="1"/>
  <c r="AV2141" i="4"/>
  <c r="AX2141" i="4" s="1"/>
  <c r="AV2140" i="4"/>
  <c r="AX2140" i="4" s="1"/>
  <c r="AV2139" i="4"/>
  <c r="AX2139" i="4" s="1"/>
  <c r="AV2138" i="4"/>
  <c r="AX2138" i="4" s="1"/>
  <c r="AV2137" i="4"/>
  <c r="AX2137" i="4" s="1"/>
  <c r="AV2136" i="4"/>
  <c r="AX2136" i="4" s="1"/>
  <c r="AV2135" i="4"/>
  <c r="AX2135" i="4" s="1"/>
  <c r="AV2134" i="4"/>
  <c r="AX2134" i="4" s="1"/>
  <c r="AV2133" i="4"/>
  <c r="AX2133" i="4" s="1"/>
  <c r="AV2132" i="4"/>
  <c r="AX2132" i="4" s="1"/>
  <c r="AV2131" i="4"/>
  <c r="AX2131" i="4" s="1"/>
  <c r="AV2130" i="4"/>
  <c r="AX2130" i="4" s="1"/>
  <c r="AV2129" i="4"/>
  <c r="AX2129" i="4" s="1"/>
  <c r="AV2128" i="4"/>
  <c r="AX2128" i="4" s="1"/>
  <c r="AV2127" i="4"/>
  <c r="AX2127" i="4" s="1"/>
  <c r="AV2126" i="4"/>
  <c r="AX2126" i="4" s="1"/>
  <c r="AV2125" i="4"/>
  <c r="AX2125" i="4" s="1"/>
  <c r="AV2124" i="4"/>
  <c r="AX2124" i="4" s="1"/>
  <c r="AV2123" i="4"/>
  <c r="AX2123" i="4" s="1"/>
  <c r="AV2122" i="4"/>
  <c r="AX2122" i="4" s="1"/>
  <c r="AV2121" i="4"/>
  <c r="AX2121" i="4" s="1"/>
  <c r="AV2120" i="4"/>
  <c r="AX2120" i="4" s="1"/>
  <c r="AV2119" i="4"/>
  <c r="AX2119" i="4" s="1"/>
  <c r="AV2118" i="4"/>
  <c r="AX2118" i="4" s="1"/>
  <c r="AV2117" i="4"/>
  <c r="AX2117" i="4" s="1"/>
  <c r="AV2116" i="4"/>
  <c r="AX2116" i="4" s="1"/>
  <c r="AV2115" i="4"/>
  <c r="AX2115" i="4" s="1"/>
  <c r="AV2114" i="4"/>
  <c r="AX2114" i="4" s="1"/>
  <c r="AV2113" i="4"/>
  <c r="AX2113" i="4" s="1"/>
  <c r="AV2112" i="4"/>
  <c r="AX2112" i="4" s="1"/>
  <c r="AV2111" i="4"/>
  <c r="AX2111" i="4" s="1"/>
  <c r="AV2110" i="4"/>
  <c r="AX2110" i="4" s="1"/>
  <c r="AV2109" i="4"/>
  <c r="AX2109" i="4" s="1"/>
  <c r="AV2108" i="4"/>
  <c r="AX2108" i="4" s="1"/>
  <c r="AV2107" i="4"/>
  <c r="AX2107" i="4" s="1"/>
  <c r="AV2106" i="4"/>
  <c r="AX2106" i="4" s="1"/>
  <c r="AV2105" i="4"/>
  <c r="AX2105" i="4" s="1"/>
  <c r="AV2104" i="4"/>
  <c r="AX2104" i="4" s="1"/>
  <c r="AV2103" i="4"/>
  <c r="AX2103" i="4" s="1"/>
  <c r="AV2102" i="4"/>
  <c r="AX2102" i="4" s="1"/>
  <c r="AV2101" i="4"/>
  <c r="AX2101" i="4" s="1"/>
  <c r="AV2100" i="4"/>
  <c r="AX2100" i="4" s="1"/>
  <c r="AV2099" i="4"/>
  <c r="AX2099" i="4" s="1"/>
  <c r="AV2098" i="4"/>
  <c r="AX2098" i="4" s="1"/>
  <c r="AV2097" i="4"/>
  <c r="AX2097" i="4" s="1"/>
  <c r="AV2096" i="4"/>
  <c r="AX2096" i="4" s="1"/>
  <c r="AV2095" i="4"/>
  <c r="AX2095" i="4" s="1"/>
  <c r="AV2094" i="4"/>
  <c r="AX2094" i="4" s="1"/>
  <c r="AV2093" i="4"/>
  <c r="AX2093" i="4" s="1"/>
  <c r="AV2092" i="4"/>
  <c r="AX2092" i="4" s="1"/>
  <c r="AV2091" i="4"/>
  <c r="AX2091" i="4" s="1"/>
  <c r="AV2090" i="4"/>
  <c r="AX2090" i="4" s="1"/>
  <c r="AV2089" i="4"/>
  <c r="AX2089" i="4" s="1"/>
  <c r="AV2088" i="4"/>
  <c r="AX2088" i="4" s="1"/>
  <c r="AV2087" i="4"/>
  <c r="AX2087" i="4" s="1"/>
  <c r="AV2086" i="4"/>
  <c r="AX2086" i="4" s="1"/>
  <c r="AV2085" i="4"/>
  <c r="AX2085" i="4" s="1"/>
  <c r="AV2084" i="4"/>
  <c r="AX2084" i="4" s="1"/>
  <c r="AV2083" i="4"/>
  <c r="AX2083" i="4" s="1"/>
  <c r="AV2082" i="4"/>
  <c r="AX2082" i="4" s="1"/>
  <c r="AV2081" i="4"/>
  <c r="AX2081" i="4" s="1"/>
  <c r="AV2080" i="4"/>
  <c r="AX2080" i="4" s="1"/>
  <c r="AV2079" i="4"/>
  <c r="AX2079" i="4" s="1"/>
  <c r="AV2078" i="4"/>
  <c r="AX2078" i="4" s="1"/>
  <c r="AV2077" i="4"/>
  <c r="AX2077" i="4" s="1"/>
  <c r="AV2076" i="4"/>
  <c r="AX2076" i="4" s="1"/>
  <c r="AV2075" i="4"/>
  <c r="AX2075" i="4" s="1"/>
  <c r="AV2074" i="4"/>
  <c r="AX2074" i="4" s="1"/>
  <c r="AV2073" i="4"/>
  <c r="AX2073" i="4" s="1"/>
  <c r="AV2072" i="4"/>
  <c r="AX2072" i="4" s="1"/>
  <c r="AV2071" i="4"/>
  <c r="AX2071" i="4" s="1"/>
  <c r="AV2070" i="4"/>
  <c r="AX2070" i="4" s="1"/>
  <c r="AV2069" i="4"/>
  <c r="AX2069" i="4" s="1"/>
  <c r="AV2068" i="4"/>
  <c r="AX2068" i="4" s="1"/>
  <c r="AV2067" i="4"/>
  <c r="AX2067" i="4" s="1"/>
  <c r="AV2066" i="4"/>
  <c r="AX2066" i="4" s="1"/>
  <c r="AV2065" i="4"/>
  <c r="AX2065" i="4" s="1"/>
  <c r="AV2064" i="4"/>
  <c r="AX2064" i="4" s="1"/>
  <c r="AV2063" i="4"/>
  <c r="AX2063" i="4" s="1"/>
  <c r="AV2062" i="4"/>
  <c r="AX2062" i="4" s="1"/>
  <c r="AV2061" i="4"/>
  <c r="AX2061" i="4" s="1"/>
  <c r="AV2060" i="4"/>
  <c r="AX2060" i="4" s="1"/>
  <c r="AV2059" i="4"/>
  <c r="AX2059" i="4" s="1"/>
  <c r="AV2058" i="4"/>
  <c r="AX2058" i="4" s="1"/>
  <c r="AV2057" i="4"/>
  <c r="AX2057" i="4" s="1"/>
  <c r="AV2056" i="4"/>
  <c r="AX2056" i="4" s="1"/>
  <c r="AV2055" i="4"/>
  <c r="AX2055" i="4" s="1"/>
  <c r="AV2054" i="4"/>
  <c r="AX2054" i="4" s="1"/>
  <c r="AV2053" i="4"/>
  <c r="AX2053" i="4" s="1"/>
  <c r="AV2052" i="4"/>
  <c r="AX2052" i="4" s="1"/>
  <c r="AV2051" i="4"/>
  <c r="AX2051" i="4" s="1"/>
  <c r="AV2050" i="4"/>
  <c r="AX2050" i="4" s="1"/>
  <c r="AV2049" i="4"/>
  <c r="AX2049" i="4" s="1"/>
  <c r="AV2048" i="4"/>
  <c r="AX2048" i="4" s="1"/>
  <c r="AV2047" i="4"/>
  <c r="AX2047" i="4" s="1"/>
  <c r="AV2046" i="4"/>
  <c r="AX2046" i="4" s="1"/>
  <c r="AV2045" i="4"/>
  <c r="AX2045" i="4" s="1"/>
  <c r="AV2044" i="4"/>
  <c r="AX2044" i="4" s="1"/>
  <c r="AV2043" i="4"/>
  <c r="AX2043" i="4" s="1"/>
  <c r="AV2042" i="4"/>
  <c r="AX2042" i="4" s="1"/>
  <c r="AV2041" i="4"/>
  <c r="AX2041" i="4" s="1"/>
  <c r="AV2040" i="4"/>
  <c r="AX2040" i="4" s="1"/>
  <c r="AV2039" i="4"/>
  <c r="AX2039" i="4" s="1"/>
  <c r="AV2038" i="4"/>
  <c r="AX2038" i="4" s="1"/>
  <c r="AV2037" i="4"/>
  <c r="AX2037" i="4" s="1"/>
  <c r="AV2036" i="4"/>
  <c r="AX2036" i="4" s="1"/>
  <c r="AV2035" i="4"/>
  <c r="AX2035" i="4" s="1"/>
  <c r="AV2034" i="4"/>
  <c r="AX2034" i="4" s="1"/>
  <c r="AV2033" i="4"/>
  <c r="AX2033" i="4" s="1"/>
  <c r="AV2032" i="4"/>
  <c r="AX2032" i="4" s="1"/>
  <c r="AV2031" i="4"/>
  <c r="AX2031" i="4" s="1"/>
  <c r="AV2030" i="4"/>
  <c r="AX2030" i="4" s="1"/>
  <c r="AV2029" i="4"/>
  <c r="AX2029" i="4" s="1"/>
  <c r="AV2028" i="4"/>
  <c r="AX2028" i="4" s="1"/>
  <c r="AV2027" i="4"/>
  <c r="AX2027" i="4" s="1"/>
  <c r="AV2026" i="4"/>
  <c r="AX2026" i="4" s="1"/>
  <c r="AV2025" i="4"/>
  <c r="AX2025" i="4" s="1"/>
  <c r="AV2024" i="4"/>
  <c r="AX2024" i="4" s="1"/>
  <c r="AV2023" i="4"/>
  <c r="AX2023" i="4" s="1"/>
  <c r="AV2022" i="4"/>
  <c r="AX2022" i="4" s="1"/>
  <c r="AV2021" i="4"/>
  <c r="AX2021" i="4" s="1"/>
  <c r="AV2020" i="4"/>
  <c r="AX2020" i="4" s="1"/>
  <c r="AV2019" i="4"/>
  <c r="AX2019" i="4" s="1"/>
  <c r="AV2018" i="4"/>
  <c r="AX2018" i="4" s="1"/>
  <c r="AV2017" i="4"/>
  <c r="AX2017" i="4" s="1"/>
  <c r="AV2016" i="4"/>
  <c r="AX2016" i="4" s="1"/>
  <c r="AV2015" i="4"/>
  <c r="AX2015" i="4" s="1"/>
  <c r="AV2014" i="4"/>
  <c r="AX2014" i="4" s="1"/>
  <c r="AV2013" i="4"/>
  <c r="AX2013" i="4" s="1"/>
  <c r="AV2012" i="4"/>
  <c r="AX2012" i="4" s="1"/>
  <c r="AV2011" i="4"/>
  <c r="AX2011" i="4" s="1"/>
  <c r="AV2010" i="4"/>
  <c r="AX2010" i="4" s="1"/>
  <c r="AV2009" i="4"/>
  <c r="AX2009" i="4" s="1"/>
  <c r="AV2008" i="4"/>
  <c r="AX2008" i="4" s="1"/>
  <c r="AV2007" i="4"/>
  <c r="AX2007" i="4" s="1"/>
  <c r="AV2006" i="4"/>
  <c r="AX2006" i="4" s="1"/>
  <c r="AV2005" i="4"/>
  <c r="AX2005" i="4" s="1"/>
  <c r="AV2004" i="4"/>
  <c r="AX2004" i="4" s="1"/>
  <c r="AV2003" i="4"/>
  <c r="AX2003" i="4" s="1"/>
  <c r="AV2002" i="4"/>
  <c r="AX2002" i="4" s="1"/>
  <c r="AV2001" i="4"/>
  <c r="AX2001" i="4" s="1"/>
  <c r="AV2000" i="4"/>
  <c r="AX2000" i="4" s="1"/>
  <c r="AV1999" i="4"/>
  <c r="AX1999" i="4" s="1"/>
  <c r="AV1998" i="4"/>
  <c r="AX1998" i="4" s="1"/>
  <c r="AV1997" i="4"/>
  <c r="AX1997" i="4" s="1"/>
  <c r="AV1996" i="4"/>
  <c r="AX1996" i="4" s="1"/>
  <c r="AV1995" i="4"/>
  <c r="AX1995" i="4" s="1"/>
  <c r="AV1994" i="4"/>
  <c r="AX1994" i="4" s="1"/>
  <c r="AV1993" i="4"/>
  <c r="AX1993" i="4" s="1"/>
  <c r="AV1992" i="4"/>
  <c r="AX1992" i="4" s="1"/>
  <c r="AV1991" i="4"/>
  <c r="AX1991" i="4" s="1"/>
  <c r="AV1990" i="4"/>
  <c r="AX1990" i="4" s="1"/>
  <c r="AV1989" i="4"/>
  <c r="AX1989" i="4" s="1"/>
  <c r="AV1988" i="4"/>
  <c r="AX1988" i="4" s="1"/>
  <c r="AV1987" i="4"/>
  <c r="AX1987" i="4" s="1"/>
  <c r="AV1986" i="4"/>
  <c r="AX1986" i="4" s="1"/>
  <c r="AV1985" i="4"/>
  <c r="AX1985" i="4" s="1"/>
  <c r="AV1984" i="4"/>
  <c r="AX1984" i="4" s="1"/>
  <c r="AV1983" i="4"/>
  <c r="AX1983" i="4" s="1"/>
  <c r="AV1982" i="4"/>
  <c r="AX1982" i="4" s="1"/>
  <c r="AV1981" i="4"/>
  <c r="AX1981" i="4" s="1"/>
  <c r="AV1980" i="4"/>
  <c r="AX1980" i="4" s="1"/>
  <c r="AV1979" i="4"/>
  <c r="AX1979" i="4" s="1"/>
  <c r="AV1978" i="4"/>
  <c r="AX1978" i="4" s="1"/>
  <c r="AV1977" i="4"/>
  <c r="AX1977" i="4" s="1"/>
  <c r="AV1976" i="4"/>
  <c r="AX1976" i="4" s="1"/>
  <c r="AV1975" i="4"/>
  <c r="AX1975" i="4" s="1"/>
  <c r="AV1974" i="4"/>
  <c r="AX1974" i="4" s="1"/>
  <c r="AV1973" i="4"/>
  <c r="AX1973" i="4" s="1"/>
  <c r="AV1972" i="4"/>
  <c r="AX1972" i="4" s="1"/>
  <c r="AV1971" i="4"/>
  <c r="AX1971" i="4" s="1"/>
  <c r="AV1970" i="4"/>
  <c r="AX1970" i="4" s="1"/>
  <c r="AV1969" i="4"/>
  <c r="AX1969" i="4" s="1"/>
  <c r="AV1968" i="4"/>
  <c r="AX1968" i="4" s="1"/>
  <c r="AV1967" i="4"/>
  <c r="AX1967" i="4" s="1"/>
  <c r="AV1966" i="4"/>
  <c r="AX1966" i="4" s="1"/>
  <c r="AV1965" i="4"/>
  <c r="AX1965" i="4" s="1"/>
  <c r="AV1964" i="4"/>
  <c r="AX1964" i="4" s="1"/>
  <c r="AV1963" i="4"/>
  <c r="AX1963" i="4" s="1"/>
  <c r="AV1962" i="4"/>
  <c r="AX1962" i="4" s="1"/>
  <c r="AV1961" i="4"/>
  <c r="AX1961" i="4" s="1"/>
  <c r="AV1960" i="4"/>
  <c r="AX1960" i="4" s="1"/>
  <c r="AV1959" i="4"/>
  <c r="AX1959" i="4" s="1"/>
  <c r="AV1958" i="4"/>
  <c r="AX1958" i="4" s="1"/>
  <c r="AV1957" i="4"/>
  <c r="AX1957" i="4" s="1"/>
  <c r="AV1956" i="4"/>
  <c r="AX1956" i="4" s="1"/>
  <c r="AV1955" i="4"/>
  <c r="AX1955" i="4" s="1"/>
  <c r="AV1954" i="4"/>
  <c r="AX1954" i="4" s="1"/>
  <c r="AV1953" i="4"/>
  <c r="AX1953" i="4" s="1"/>
  <c r="AV1952" i="4"/>
  <c r="AX1952" i="4" s="1"/>
  <c r="AV1951" i="4"/>
  <c r="AX1951" i="4" s="1"/>
  <c r="AV1950" i="4"/>
  <c r="AX1950" i="4" s="1"/>
  <c r="AV1949" i="4"/>
  <c r="AX1949" i="4" s="1"/>
  <c r="AV1948" i="4"/>
  <c r="AX1948" i="4" s="1"/>
  <c r="AV1947" i="4"/>
  <c r="AX1947" i="4" s="1"/>
  <c r="AV1946" i="4"/>
  <c r="AX1946" i="4" s="1"/>
  <c r="AV1945" i="4"/>
  <c r="AX1945" i="4" s="1"/>
  <c r="AV1944" i="4"/>
  <c r="AX1944" i="4" s="1"/>
  <c r="AV1943" i="4"/>
  <c r="AX1943" i="4" s="1"/>
  <c r="AV1942" i="4"/>
  <c r="AX1942" i="4" s="1"/>
  <c r="AV1941" i="4"/>
  <c r="AX1941" i="4" s="1"/>
  <c r="AV1940" i="4"/>
  <c r="AX1940" i="4" s="1"/>
  <c r="AV1939" i="4"/>
  <c r="AX1939" i="4" s="1"/>
  <c r="AV1938" i="4"/>
  <c r="AX1938" i="4" s="1"/>
  <c r="AV1937" i="4"/>
  <c r="AX1937" i="4" s="1"/>
  <c r="AV1936" i="4"/>
  <c r="AX1936" i="4" s="1"/>
  <c r="AV1935" i="4"/>
  <c r="AX1935" i="4" s="1"/>
  <c r="AV1934" i="4"/>
  <c r="AX1934" i="4" s="1"/>
  <c r="AV1933" i="4"/>
  <c r="AX1933" i="4" s="1"/>
  <c r="AV1932" i="4"/>
  <c r="AX1932" i="4" s="1"/>
  <c r="AV1931" i="4"/>
  <c r="AX1931" i="4" s="1"/>
  <c r="AV1930" i="4"/>
  <c r="AX1930" i="4" s="1"/>
  <c r="AV1929" i="4"/>
  <c r="AX1929" i="4" s="1"/>
  <c r="AV1928" i="4"/>
  <c r="AX1928" i="4" s="1"/>
  <c r="AV1927" i="4"/>
  <c r="AX1927" i="4" s="1"/>
  <c r="AV1926" i="4"/>
  <c r="AX1926" i="4" s="1"/>
  <c r="AV1925" i="4"/>
  <c r="AX1925" i="4" s="1"/>
  <c r="AV1924" i="4"/>
  <c r="AX1924" i="4" s="1"/>
  <c r="AV1923" i="4"/>
  <c r="AX1923" i="4" s="1"/>
  <c r="AV1922" i="4"/>
  <c r="AX1922" i="4" s="1"/>
  <c r="AV1921" i="4"/>
  <c r="AX1921" i="4" s="1"/>
  <c r="AV1920" i="4"/>
  <c r="AX1920" i="4" s="1"/>
  <c r="AV1919" i="4"/>
  <c r="AX1919" i="4" s="1"/>
  <c r="AV1918" i="4"/>
  <c r="AX1918" i="4" s="1"/>
  <c r="AV1917" i="4"/>
  <c r="AX1917" i="4" s="1"/>
  <c r="AV1916" i="4"/>
  <c r="AX1916" i="4" s="1"/>
  <c r="AV1915" i="4"/>
  <c r="AX1915" i="4" s="1"/>
  <c r="AV1914" i="4"/>
  <c r="AX1914" i="4" s="1"/>
  <c r="AV1913" i="4"/>
  <c r="AX1913" i="4" s="1"/>
  <c r="AV1912" i="4"/>
  <c r="AX1912" i="4" s="1"/>
  <c r="AV1911" i="4"/>
  <c r="AX1911" i="4" s="1"/>
  <c r="AV1910" i="4"/>
  <c r="AX1910" i="4" s="1"/>
  <c r="AV1909" i="4"/>
  <c r="AX1909" i="4" s="1"/>
  <c r="AV1908" i="4"/>
  <c r="AX1908" i="4" s="1"/>
  <c r="AV1907" i="4"/>
  <c r="AX1907" i="4" s="1"/>
  <c r="AV1906" i="4"/>
  <c r="AX1906" i="4" s="1"/>
  <c r="AV1905" i="4"/>
  <c r="AX1905" i="4" s="1"/>
  <c r="AV1904" i="4"/>
  <c r="AX1904" i="4" s="1"/>
  <c r="AV1903" i="4"/>
  <c r="AX1903" i="4" s="1"/>
  <c r="AV1902" i="4"/>
  <c r="AX1902" i="4" s="1"/>
  <c r="AV1901" i="4"/>
  <c r="AX1901" i="4" s="1"/>
  <c r="AV1900" i="4"/>
  <c r="AX1900" i="4" s="1"/>
  <c r="AX1899" i="4"/>
  <c r="AX1898" i="4"/>
  <c r="AX1897" i="4"/>
  <c r="AX1896" i="4"/>
  <c r="AX1895" i="4"/>
  <c r="AX1894" i="4"/>
  <c r="AX1893" i="4"/>
  <c r="AX1892" i="4"/>
  <c r="AX1891" i="4"/>
  <c r="AX1890" i="4"/>
  <c r="AX1889" i="4"/>
  <c r="AX1888" i="4"/>
  <c r="AX1887" i="4"/>
  <c r="AX1886" i="4"/>
  <c r="AX1885" i="4"/>
  <c r="AX1884" i="4"/>
  <c r="AX1883" i="4"/>
  <c r="AX1882" i="4"/>
  <c r="AX1881" i="4"/>
  <c r="AX1880" i="4"/>
  <c r="AX1879" i="4"/>
  <c r="AX1878" i="4"/>
  <c r="AX1877" i="4"/>
  <c r="AX1876" i="4"/>
  <c r="AX1875" i="4"/>
  <c r="AX1874" i="4"/>
  <c r="AX1873" i="4"/>
  <c r="AX1872" i="4"/>
  <c r="AX1871" i="4"/>
  <c r="AX1870" i="4"/>
  <c r="AX1869" i="4"/>
  <c r="AX1868" i="4"/>
  <c r="AX1867" i="4"/>
  <c r="AX1866" i="4"/>
  <c r="AX1865" i="4"/>
  <c r="AX1864" i="4"/>
  <c r="AX1863" i="4"/>
  <c r="AX1862" i="4"/>
  <c r="AX1861" i="4"/>
  <c r="AX1860" i="4"/>
  <c r="AX1859" i="4"/>
  <c r="AX1858" i="4"/>
  <c r="AX1857" i="4"/>
  <c r="AX1856" i="4"/>
  <c r="AX1855" i="4"/>
  <c r="AX1854" i="4"/>
  <c r="AX1853" i="4"/>
  <c r="AX1852" i="4"/>
  <c r="AX1851" i="4"/>
  <c r="AX1850" i="4"/>
  <c r="AX1849" i="4"/>
  <c r="AX1848" i="4"/>
  <c r="AX1847" i="4"/>
  <c r="AX1846" i="4"/>
  <c r="AX1845" i="4"/>
  <c r="AX1844" i="4"/>
  <c r="AX1843" i="4"/>
  <c r="AX1842" i="4"/>
  <c r="AX1841" i="4"/>
  <c r="AX1840" i="4"/>
  <c r="AX1839" i="4"/>
  <c r="AX1838" i="4"/>
  <c r="AX1837" i="4"/>
  <c r="AX1836" i="4"/>
  <c r="AX1835" i="4"/>
  <c r="AX1834" i="4"/>
  <c r="AX1833" i="4"/>
  <c r="AX1832" i="4"/>
  <c r="AX1831" i="4"/>
  <c r="AX1830" i="4"/>
  <c r="AX1829" i="4"/>
  <c r="AX1828" i="4"/>
  <c r="AX1827" i="4"/>
  <c r="AX1826" i="4"/>
  <c r="AX1825" i="4"/>
  <c r="AX1824" i="4"/>
  <c r="AX1823" i="4"/>
  <c r="AX1822" i="4"/>
  <c r="AX1821" i="4"/>
  <c r="AX1820" i="4"/>
  <c r="AX1819" i="4"/>
  <c r="AX1818" i="4"/>
  <c r="AX1817" i="4"/>
  <c r="AX1816" i="4"/>
  <c r="AX1815" i="4"/>
  <c r="AX1814" i="4"/>
  <c r="AX1813" i="4"/>
  <c r="AX1812" i="4"/>
  <c r="AX1811" i="4"/>
  <c r="AX1810" i="4"/>
  <c r="AX1809" i="4"/>
  <c r="AX1808" i="4"/>
  <c r="AX1807" i="4"/>
  <c r="AX1806" i="4"/>
  <c r="AX1805" i="4"/>
  <c r="AX1804" i="4"/>
  <c r="AX1803" i="4"/>
  <c r="AX1802" i="4"/>
  <c r="AX1801" i="4"/>
  <c r="AX1800" i="4"/>
  <c r="AX1799" i="4"/>
  <c r="AX1798" i="4"/>
  <c r="AX1797" i="4"/>
  <c r="AX1796" i="4"/>
  <c r="AX1795" i="4"/>
  <c r="AX1794" i="4"/>
  <c r="AX1793" i="4"/>
  <c r="AX1792" i="4"/>
  <c r="AX1791" i="4"/>
  <c r="AX1790" i="4"/>
  <c r="AX1789" i="4"/>
  <c r="AX1788" i="4"/>
  <c r="AX1787" i="4"/>
  <c r="AX1786" i="4"/>
  <c r="AX1785" i="4"/>
  <c r="AX1784" i="4"/>
  <c r="AX1783" i="4"/>
  <c r="AX1782" i="4"/>
  <c r="AX1781" i="4"/>
  <c r="AX1780" i="4"/>
  <c r="AX1779" i="4"/>
  <c r="AX1778" i="4"/>
  <c r="AX1777" i="4"/>
  <c r="AX1776" i="4"/>
  <c r="AX1775" i="4"/>
  <c r="AX1774" i="4"/>
  <c r="AX1773" i="4"/>
  <c r="AX1772" i="4"/>
  <c r="AX1771" i="4"/>
  <c r="AX1770" i="4"/>
  <c r="AX1769" i="4"/>
  <c r="AX1768" i="4"/>
  <c r="AX1767" i="4"/>
  <c r="AX1766" i="4"/>
  <c r="AX1765" i="4"/>
  <c r="AX1764" i="4"/>
  <c r="AX1763" i="4"/>
  <c r="AX1762" i="4"/>
  <c r="AX1761" i="4"/>
  <c r="AX1760" i="4"/>
  <c r="AX1759" i="4"/>
  <c r="AX1758" i="4"/>
  <c r="AX1757" i="4"/>
  <c r="AX1756" i="4"/>
  <c r="AX1755" i="4"/>
  <c r="AX1754" i="4"/>
  <c r="AX1753" i="4"/>
  <c r="AX1752" i="4"/>
  <c r="AX1751" i="4"/>
  <c r="AX1750" i="4"/>
  <c r="AX1749" i="4"/>
  <c r="AX1748" i="4"/>
  <c r="AX1747" i="4"/>
  <c r="AX1746" i="4"/>
  <c r="AX1745" i="4"/>
  <c r="AX1744" i="4"/>
  <c r="AX1743" i="4"/>
  <c r="AX1742" i="4"/>
  <c r="AX1741" i="4"/>
  <c r="AX1740" i="4"/>
  <c r="AX1739" i="4"/>
  <c r="AX1738" i="4"/>
  <c r="AX1737" i="4"/>
  <c r="AX1736" i="4"/>
  <c r="AX1735" i="4"/>
  <c r="AX1734" i="4"/>
  <c r="AX1733" i="4"/>
  <c r="AX1732" i="4"/>
  <c r="AX1731" i="4"/>
  <c r="AX1730" i="4"/>
  <c r="AX1729" i="4"/>
  <c r="AX1728" i="4"/>
  <c r="AX1727" i="4"/>
  <c r="AX1726" i="4"/>
  <c r="AX1725" i="4"/>
  <c r="AX1724" i="4"/>
  <c r="AX1723" i="4"/>
  <c r="AX1722" i="4"/>
  <c r="AX1721" i="4"/>
  <c r="AX1720" i="4"/>
  <c r="AX1719" i="4"/>
  <c r="AX1718" i="4"/>
  <c r="AX1717" i="4"/>
  <c r="AX1716" i="4"/>
  <c r="AX1715" i="4"/>
  <c r="AX1714" i="4"/>
  <c r="AX1713" i="4"/>
  <c r="AX1712" i="4"/>
  <c r="AX1711" i="4"/>
  <c r="AX1710" i="4"/>
  <c r="AX1709" i="4"/>
  <c r="AX1708" i="4"/>
  <c r="AX1707" i="4"/>
  <c r="AX1706" i="4"/>
  <c r="AX1705" i="4"/>
  <c r="AX1704" i="4"/>
  <c r="AX1703" i="4"/>
  <c r="AX1702" i="4"/>
  <c r="AX1701" i="4"/>
  <c r="AX1700" i="4"/>
  <c r="AX1699" i="4"/>
  <c r="AX1698" i="4"/>
  <c r="AX1697" i="4"/>
  <c r="AX1696" i="4"/>
  <c r="AX1695" i="4"/>
  <c r="AX1694" i="4"/>
  <c r="AX1693" i="4"/>
  <c r="AX1692" i="4"/>
  <c r="AX1691" i="4"/>
  <c r="AX1690" i="4"/>
  <c r="AX1689" i="4"/>
  <c r="AX1688" i="4"/>
  <c r="AX1687" i="4"/>
  <c r="AX1686" i="4"/>
  <c r="AX1685" i="4"/>
  <c r="AX1684" i="4"/>
  <c r="AX1683" i="4"/>
  <c r="AX1682" i="4"/>
  <c r="AX1681" i="4"/>
  <c r="AX1680" i="4"/>
  <c r="AX1679" i="4"/>
  <c r="AX1678" i="4"/>
  <c r="AX1677" i="4"/>
  <c r="AX1676" i="4"/>
  <c r="AX1675" i="4"/>
  <c r="AX1674" i="4"/>
  <c r="AX1673" i="4"/>
  <c r="AX1672" i="4"/>
  <c r="AX1671" i="4"/>
  <c r="AX1670" i="4"/>
  <c r="AX1669" i="4"/>
  <c r="AX1668" i="4"/>
  <c r="AX1667" i="4"/>
  <c r="AX1666" i="4"/>
  <c r="AX1665" i="4"/>
  <c r="AX1664" i="4"/>
  <c r="AX1663" i="4"/>
  <c r="AX1662" i="4"/>
  <c r="AX1661" i="4"/>
  <c r="AX1660" i="4"/>
  <c r="AX1659" i="4"/>
  <c r="AX1658" i="4"/>
  <c r="AX1657" i="4"/>
  <c r="AX1656" i="4"/>
  <c r="AX1655" i="4"/>
  <c r="AX1654" i="4"/>
  <c r="AX1653" i="4"/>
  <c r="AX1652" i="4"/>
  <c r="AX1651" i="4"/>
  <c r="AX1650" i="4"/>
  <c r="AX1649" i="4"/>
  <c r="AX1648" i="4"/>
  <c r="AX1647" i="4"/>
  <c r="AX1646" i="4"/>
  <c r="AX1645" i="4"/>
  <c r="AX1644" i="4"/>
  <c r="AX1643" i="4"/>
  <c r="AX1642" i="4"/>
  <c r="AX1641" i="4"/>
  <c r="AX1640" i="4"/>
  <c r="AX1639" i="4"/>
  <c r="AX1638" i="4"/>
  <c r="AX1637" i="4"/>
  <c r="AX1636" i="4"/>
  <c r="AX1635" i="4"/>
  <c r="AX1634" i="4"/>
  <c r="AX1633" i="4"/>
  <c r="AX1632" i="4"/>
  <c r="AX1631" i="4"/>
  <c r="AX1630" i="4"/>
  <c r="AX1629" i="4"/>
  <c r="AX1628" i="4"/>
  <c r="AX1627" i="4"/>
  <c r="AX1626" i="4"/>
  <c r="AX1625" i="4"/>
  <c r="AX1624" i="4"/>
  <c r="AX1623" i="4"/>
  <c r="AX1622" i="4"/>
  <c r="AX1621" i="4"/>
  <c r="AX1620" i="4"/>
  <c r="AX1619" i="4"/>
  <c r="AX1618" i="4"/>
  <c r="AX1617" i="4"/>
  <c r="AX1616" i="4"/>
  <c r="AX1615" i="4"/>
  <c r="AX1614" i="4"/>
  <c r="AX1613" i="4"/>
  <c r="AX1612" i="4"/>
  <c r="AX1611" i="4"/>
  <c r="AX1610" i="4"/>
  <c r="AX1609" i="4"/>
  <c r="AX1608" i="4"/>
  <c r="AX1607" i="4"/>
  <c r="AX1606" i="4"/>
  <c r="AX1605" i="4"/>
  <c r="AX1604" i="4"/>
  <c r="AX1603" i="4"/>
  <c r="AX1602" i="4"/>
  <c r="AX1601" i="4"/>
  <c r="AX1600" i="4"/>
  <c r="AX1599" i="4"/>
  <c r="AX1598" i="4"/>
  <c r="AX1597" i="4"/>
  <c r="AX1596" i="4"/>
  <c r="AX1595" i="4"/>
  <c r="AX1594" i="4"/>
  <c r="AX1593" i="4"/>
  <c r="AX1592" i="4"/>
  <c r="AX1591" i="4"/>
  <c r="AX1590" i="4"/>
  <c r="AX1589" i="4"/>
  <c r="AX1588" i="4"/>
  <c r="AX1587" i="4"/>
  <c r="AX1586" i="4"/>
  <c r="AX1585" i="4"/>
  <c r="AX1584" i="4"/>
  <c r="AX1583" i="4"/>
  <c r="AX1582" i="4"/>
  <c r="AX1581" i="4"/>
  <c r="AX1580" i="4"/>
  <c r="AX1579" i="4"/>
  <c r="AX1578" i="4"/>
  <c r="AX1577" i="4"/>
  <c r="AX1576" i="4"/>
  <c r="AX1575" i="4"/>
  <c r="AX1574" i="4"/>
  <c r="AX1573" i="4"/>
  <c r="AX1572" i="4"/>
  <c r="AX1571" i="4"/>
  <c r="AX1570" i="4"/>
  <c r="AX1569" i="4"/>
  <c r="AX1568" i="4"/>
  <c r="AX1567" i="4"/>
  <c r="AX1566" i="4"/>
  <c r="AX1565" i="4"/>
  <c r="AX1564" i="4"/>
  <c r="AX1563" i="4"/>
  <c r="AX1562" i="4"/>
  <c r="AX1561" i="4"/>
  <c r="AX1560" i="4"/>
  <c r="AX1559" i="4"/>
  <c r="AX1558" i="4"/>
  <c r="AX1557" i="4"/>
  <c r="AX1556" i="4"/>
  <c r="AX1555" i="4"/>
  <c r="AX1554" i="4"/>
  <c r="AX1553" i="4"/>
  <c r="AX1552" i="4"/>
  <c r="AX1551" i="4"/>
  <c r="AX1550" i="4"/>
  <c r="AX1549" i="4"/>
  <c r="AX1548" i="4"/>
  <c r="AX1547" i="4"/>
  <c r="AX1546" i="4"/>
  <c r="AX1545" i="4"/>
  <c r="AX1544" i="4"/>
  <c r="AX1543" i="4"/>
  <c r="AX1542" i="4"/>
  <c r="AX1541" i="4"/>
  <c r="AX1540" i="4"/>
  <c r="AX1539" i="4"/>
  <c r="AX1538" i="4"/>
  <c r="AX1537" i="4"/>
  <c r="AX1536" i="4"/>
  <c r="AX1535" i="4"/>
  <c r="AX1534" i="4"/>
  <c r="AX1533" i="4"/>
  <c r="AX1532" i="4"/>
  <c r="AX1531" i="4"/>
  <c r="AX1530" i="4"/>
  <c r="AX1529" i="4"/>
  <c r="AX1528" i="4"/>
  <c r="AX1527" i="4"/>
  <c r="AX1526" i="4"/>
  <c r="AX1525" i="4"/>
  <c r="AX1524" i="4"/>
  <c r="AX1523" i="4"/>
  <c r="AX1522" i="4"/>
  <c r="AX1521" i="4"/>
  <c r="AX1520" i="4"/>
  <c r="AX1519" i="4"/>
  <c r="AX1518" i="4"/>
  <c r="AX1517" i="4"/>
  <c r="AX1516" i="4"/>
  <c r="AX1515" i="4"/>
  <c r="AX1514" i="4"/>
  <c r="AX1513" i="4"/>
  <c r="AX1512" i="4"/>
  <c r="AX1511" i="4"/>
  <c r="AX1510" i="4"/>
  <c r="AX1509" i="4"/>
  <c r="AX1508" i="4"/>
  <c r="AX1507" i="4"/>
  <c r="AX1506" i="4"/>
  <c r="AX1505" i="4"/>
  <c r="AX1504" i="4"/>
  <c r="AX1503" i="4"/>
  <c r="AX1502" i="4"/>
  <c r="AX1501" i="4"/>
  <c r="AX1500" i="4"/>
  <c r="AX1499" i="4"/>
  <c r="AX1498" i="4"/>
  <c r="AX1497" i="4"/>
  <c r="AX1496" i="4"/>
  <c r="AX1495" i="4"/>
  <c r="AX1494" i="4"/>
  <c r="AX1493" i="4"/>
  <c r="AX1492" i="4"/>
  <c r="AX1491" i="4"/>
  <c r="AX1490" i="4"/>
  <c r="AX1489" i="4"/>
  <c r="AX1488" i="4"/>
  <c r="AX1487" i="4"/>
  <c r="AX1486" i="4"/>
  <c r="AX1485" i="4"/>
  <c r="AX1484" i="4"/>
  <c r="AX1483" i="4"/>
  <c r="AX1482" i="4"/>
  <c r="AX1481" i="4"/>
  <c r="AX1480" i="4"/>
  <c r="AX1479" i="4"/>
  <c r="AX1478" i="4"/>
  <c r="AX1477" i="4"/>
  <c r="AX1476" i="4"/>
  <c r="AX1475" i="4"/>
  <c r="AX1474" i="4"/>
  <c r="AX1473" i="4"/>
  <c r="AX1472" i="4"/>
  <c r="AX1471" i="4"/>
  <c r="AX1470" i="4"/>
  <c r="AX1469" i="4"/>
  <c r="AX1468" i="4"/>
  <c r="AX1467" i="4"/>
  <c r="AX1466" i="4"/>
  <c r="AX1465" i="4"/>
  <c r="AX1464" i="4"/>
  <c r="AX1463" i="4"/>
  <c r="AX1462" i="4"/>
  <c r="AX1461" i="4"/>
  <c r="AX1460" i="4"/>
  <c r="AX1459" i="4"/>
  <c r="AX1458" i="4"/>
  <c r="AX1457" i="4"/>
  <c r="AX1456" i="4"/>
  <c r="AX1455" i="4"/>
  <c r="AX1454" i="4"/>
  <c r="AX1453" i="4"/>
  <c r="AX1452" i="4"/>
  <c r="AX1451" i="4"/>
  <c r="AX1450" i="4"/>
  <c r="AX1449" i="4"/>
  <c r="AX1448" i="4"/>
  <c r="AX1447" i="4"/>
  <c r="AX1446" i="4"/>
  <c r="AX1445" i="4"/>
  <c r="AX1444" i="4"/>
  <c r="AX1443" i="4"/>
  <c r="AX1442" i="4"/>
  <c r="AX1441" i="4"/>
  <c r="AX1440" i="4"/>
  <c r="AX1439" i="4"/>
  <c r="AX1438" i="4"/>
  <c r="AX1437" i="4"/>
  <c r="AX1436" i="4"/>
  <c r="AX1435" i="4"/>
  <c r="AX1434" i="4"/>
  <c r="AX1433" i="4"/>
  <c r="AX1432" i="4"/>
  <c r="AX1431" i="4"/>
  <c r="AX1430" i="4"/>
  <c r="AX1429" i="4"/>
  <c r="AX1428" i="4"/>
  <c r="AX1427" i="4"/>
  <c r="AX1426" i="4"/>
  <c r="AX1425" i="4"/>
  <c r="AX1424" i="4"/>
  <c r="AX1423" i="4"/>
  <c r="AX1422" i="4"/>
  <c r="AX1421" i="4"/>
  <c r="AX1420" i="4"/>
  <c r="AX1419" i="4"/>
  <c r="AX1418" i="4"/>
  <c r="AX1417" i="4"/>
  <c r="AX1416" i="4"/>
  <c r="AX1415" i="4"/>
  <c r="AX1414" i="4"/>
  <c r="AX1413" i="4"/>
  <c r="AX1412" i="4"/>
  <c r="AX1411" i="4"/>
  <c r="AX1410" i="4"/>
  <c r="AX1409" i="4"/>
  <c r="AX1408" i="4"/>
  <c r="AX1407" i="4"/>
  <c r="AX1406" i="4"/>
  <c r="AX1405" i="4"/>
  <c r="AX1404" i="4"/>
  <c r="AX1403" i="4"/>
  <c r="AX1402" i="4"/>
  <c r="AX1401" i="4"/>
  <c r="AX1400" i="4"/>
  <c r="AX1399" i="4"/>
  <c r="AX1398" i="4"/>
  <c r="AX1397" i="4"/>
  <c r="AX1396" i="4"/>
  <c r="AX1395" i="4"/>
  <c r="AX1394" i="4"/>
  <c r="AX1393" i="4"/>
  <c r="AX1392" i="4"/>
  <c r="AX1391" i="4"/>
  <c r="AX1390" i="4"/>
  <c r="AX1389" i="4"/>
  <c r="AX1388" i="4"/>
  <c r="AX1387" i="4"/>
  <c r="AX1386" i="4"/>
  <c r="AX1385" i="4"/>
  <c r="AX1384" i="4"/>
  <c r="AX1383" i="4"/>
  <c r="AX1382" i="4"/>
  <c r="AX1381" i="4"/>
  <c r="AX1380" i="4"/>
  <c r="AX1379" i="4"/>
  <c r="AX1378" i="4"/>
  <c r="AX1377" i="4"/>
  <c r="AX1376" i="4"/>
  <c r="AX1375" i="4"/>
  <c r="AX1374" i="4"/>
  <c r="AX1373" i="4"/>
  <c r="AX1372" i="4"/>
  <c r="AX1371" i="4"/>
  <c r="AX1370" i="4"/>
  <c r="AX1369" i="4"/>
  <c r="AX1368" i="4"/>
  <c r="AX1367" i="4"/>
  <c r="AX1366" i="4"/>
  <c r="AX1365" i="4"/>
  <c r="AX1364" i="4"/>
  <c r="AX1363" i="4"/>
  <c r="AX1362" i="4"/>
  <c r="AX1361" i="4"/>
  <c r="AX1360" i="4"/>
  <c r="AX1359" i="4"/>
  <c r="AX1358" i="4"/>
  <c r="AX1357" i="4"/>
  <c r="AX1356" i="4"/>
  <c r="AX1355" i="4"/>
  <c r="AX1354" i="4"/>
  <c r="AX1353" i="4"/>
  <c r="AX1352" i="4"/>
  <c r="AX1351" i="4"/>
  <c r="AX1350" i="4"/>
  <c r="AX1349" i="4"/>
  <c r="AX1348" i="4"/>
  <c r="AX1347" i="4"/>
  <c r="AX1346" i="4"/>
  <c r="AX1345" i="4"/>
  <c r="AX1344" i="4"/>
  <c r="AX1343" i="4"/>
  <c r="AX1342" i="4"/>
  <c r="AX1341" i="4"/>
  <c r="AX1340" i="4"/>
  <c r="AX1339" i="4"/>
  <c r="AX1338" i="4"/>
  <c r="AX1337" i="4"/>
  <c r="AX1336" i="4"/>
  <c r="AX1335" i="4"/>
  <c r="AX1334" i="4"/>
  <c r="AX1333" i="4"/>
  <c r="AX1332" i="4"/>
  <c r="AX1331" i="4"/>
  <c r="AX1330" i="4"/>
  <c r="AX1329" i="4"/>
  <c r="AX1328" i="4"/>
  <c r="AX1327" i="4"/>
  <c r="AX1326" i="4"/>
  <c r="AX1325" i="4"/>
  <c r="AX1324" i="4"/>
  <c r="AX1323" i="4"/>
  <c r="AX1322" i="4"/>
  <c r="AX1321" i="4"/>
  <c r="AX1320" i="4"/>
  <c r="AX1319" i="4"/>
  <c r="AX1318" i="4"/>
  <c r="AX1317" i="4"/>
  <c r="AX1316" i="4"/>
  <c r="AX1315" i="4"/>
  <c r="AX1314" i="4"/>
  <c r="AX1313" i="4"/>
  <c r="AX1312" i="4"/>
  <c r="AX1311" i="4"/>
  <c r="AX1310" i="4"/>
  <c r="AX1309" i="4"/>
  <c r="AX1308" i="4"/>
  <c r="AX1307" i="4"/>
  <c r="AX1306" i="4"/>
  <c r="AX1305" i="4"/>
  <c r="AX1304" i="4"/>
  <c r="AX1303" i="4"/>
  <c r="AX1302" i="4"/>
  <c r="AX1301" i="4"/>
  <c r="AX1300" i="4"/>
  <c r="AX1299" i="4"/>
  <c r="AX1298" i="4"/>
  <c r="AX1297" i="4"/>
  <c r="AX1296" i="4"/>
  <c r="AX1295" i="4"/>
  <c r="AX1294" i="4"/>
  <c r="AX1293" i="4"/>
  <c r="AX1292" i="4"/>
  <c r="AX1291" i="4"/>
  <c r="AX1290" i="4"/>
  <c r="AX1289" i="4"/>
  <c r="AX1288" i="4"/>
  <c r="AX1287" i="4"/>
  <c r="AX1286" i="4"/>
  <c r="AX1285" i="4"/>
  <c r="AX1284" i="4"/>
  <c r="AX1283" i="4"/>
  <c r="AX1282" i="4"/>
  <c r="AX1281" i="4"/>
  <c r="AX1280" i="4"/>
  <c r="AX1279" i="4"/>
  <c r="AX1278" i="4"/>
  <c r="AX1277" i="4"/>
  <c r="AX1276" i="4"/>
  <c r="AX1275" i="4"/>
  <c r="AX1274" i="4"/>
  <c r="AX1273" i="4"/>
  <c r="AX1272" i="4"/>
  <c r="AX1271" i="4"/>
  <c r="AX1270" i="4"/>
  <c r="AX1269" i="4"/>
  <c r="AX1268" i="4"/>
  <c r="AX1267" i="4"/>
  <c r="AX1266" i="4"/>
  <c r="AX1265" i="4"/>
  <c r="AX1264" i="4"/>
  <c r="AX1263" i="4"/>
  <c r="AX1262" i="4"/>
  <c r="AX1261" i="4"/>
  <c r="AX1260" i="4"/>
  <c r="AX1259" i="4"/>
  <c r="AX1258" i="4"/>
  <c r="AX1257" i="4"/>
  <c r="AX1256" i="4"/>
  <c r="AX1255" i="4"/>
  <c r="AX1254" i="4"/>
  <c r="AX1253" i="4"/>
  <c r="AX1252" i="4"/>
  <c r="AX1251" i="4"/>
  <c r="AX1250" i="4"/>
  <c r="AX1249" i="4"/>
  <c r="AX1248" i="4"/>
  <c r="AX1247" i="4"/>
  <c r="AX1246" i="4"/>
  <c r="AX1245" i="4"/>
  <c r="AX1244" i="4"/>
  <c r="AX1243" i="4"/>
  <c r="AX1242" i="4"/>
  <c r="AX1241" i="4"/>
  <c r="AX1240" i="4"/>
  <c r="AX1239" i="4"/>
  <c r="AX1238" i="4"/>
  <c r="AX1237" i="4"/>
  <c r="AX1236" i="4"/>
  <c r="AX1235" i="4"/>
  <c r="AX1234" i="4"/>
  <c r="AX1233" i="4"/>
  <c r="AX1232" i="4"/>
  <c r="AX1231" i="4"/>
  <c r="AX1230" i="4"/>
  <c r="AX1229" i="4"/>
  <c r="AX1228" i="4"/>
  <c r="AX1227" i="4"/>
  <c r="AX1226" i="4"/>
  <c r="AX1225" i="4"/>
  <c r="AX1224" i="4"/>
  <c r="AX1223" i="4"/>
  <c r="AX1222" i="4"/>
  <c r="AX1221" i="4"/>
  <c r="AX1220" i="4"/>
  <c r="AX1219" i="4"/>
  <c r="AX1218" i="4"/>
  <c r="AX1217" i="4"/>
  <c r="AX1216" i="4"/>
  <c r="AX1215" i="4"/>
  <c r="AX1214" i="4"/>
  <c r="AX1213" i="4"/>
  <c r="AX1212" i="4"/>
  <c r="AX1211" i="4"/>
  <c r="AX1210" i="4"/>
  <c r="AX1209" i="4"/>
  <c r="AX1208" i="4"/>
  <c r="AX1207" i="4"/>
  <c r="AX1206" i="4"/>
  <c r="AX1205" i="4"/>
  <c r="AX1204" i="4"/>
  <c r="AX1203" i="4"/>
  <c r="AX1202" i="4"/>
  <c r="AX1201" i="4"/>
  <c r="AX1200" i="4"/>
  <c r="AX1199" i="4"/>
  <c r="AX1198" i="4"/>
  <c r="AX1197" i="4"/>
  <c r="AX1196" i="4"/>
  <c r="AX1195" i="4"/>
  <c r="AX1194" i="4"/>
  <c r="AX1193" i="4"/>
  <c r="AX1192" i="4"/>
  <c r="AX1191" i="4"/>
  <c r="AX1190" i="4"/>
  <c r="AX1189" i="4"/>
  <c r="AX1188" i="4"/>
  <c r="AX1187" i="4"/>
  <c r="AX1186" i="4"/>
  <c r="AX1185" i="4"/>
  <c r="AX1184" i="4"/>
  <c r="AX1183" i="4"/>
  <c r="AX1182" i="4"/>
  <c r="AX1181" i="4"/>
  <c r="AX1180" i="4"/>
  <c r="AX1179" i="4"/>
  <c r="AX1178" i="4"/>
  <c r="AX1177" i="4"/>
  <c r="AX1176" i="4"/>
  <c r="AX1175" i="4"/>
  <c r="AX1174" i="4"/>
  <c r="AX1173" i="4"/>
  <c r="AX1172" i="4"/>
  <c r="AX1171" i="4"/>
  <c r="AX1170" i="4"/>
  <c r="AX1169" i="4"/>
  <c r="AX1168" i="4"/>
  <c r="AX1167" i="4"/>
  <c r="AX1166" i="4"/>
  <c r="AX1165" i="4"/>
  <c r="AX1164" i="4"/>
  <c r="AX1163" i="4"/>
  <c r="AX1162" i="4"/>
  <c r="AX1161" i="4"/>
  <c r="AX1160" i="4"/>
  <c r="AX1159" i="4"/>
  <c r="AX1158" i="4"/>
  <c r="AX1157" i="4"/>
  <c r="AX1156" i="4"/>
  <c r="AX1153" i="4"/>
  <c r="AX1148" i="4"/>
  <c r="AX1141" i="4"/>
  <c r="AX1140" i="4"/>
  <c r="AX1134" i="4"/>
  <c r="AX1122" i="4"/>
  <c r="AX1107" i="4"/>
  <c r="AX1099" i="4"/>
  <c r="AX1091" i="4"/>
  <c r="AX1085" i="4"/>
  <c r="AX1083" i="4"/>
  <c r="AX1070" i="4"/>
  <c r="AX1065" i="4"/>
  <c r="AX1057" i="4"/>
  <c r="AX1049" i="4"/>
  <c r="AX1041" i="4"/>
  <c r="AX1033" i="4"/>
  <c r="AX1028" i="4"/>
  <c r="AX1021" i="4"/>
  <c r="AX1005" i="4"/>
  <c r="AX1003" i="4"/>
  <c r="AX998" i="4"/>
  <c r="AX991" i="4"/>
  <c r="AX984" i="4"/>
  <c r="AX3003" i="3"/>
  <c r="AX2993" i="3"/>
  <c r="AX2981" i="3"/>
  <c r="AX2960" i="3"/>
  <c r="AX2949" i="3"/>
  <c r="AX2938" i="3"/>
  <c r="AX2926" i="3"/>
  <c r="AX2915" i="3"/>
  <c r="AX2906" i="3"/>
  <c r="AX2904" i="3"/>
  <c r="AX2895" i="3"/>
  <c r="AX2884" i="3"/>
  <c r="AX2873" i="3"/>
  <c r="AX2861" i="3"/>
  <c r="AX2851" i="3"/>
  <c r="AX2850" i="3"/>
  <c r="AX2843" i="3"/>
  <c r="AX2842" i="3"/>
  <c r="AX2832" i="3"/>
  <c r="AX2831" i="3"/>
  <c r="AX2822" i="3"/>
  <c r="AX2798" i="3"/>
  <c r="AX2789" i="3"/>
  <c r="AX2776" i="3"/>
  <c r="AX2765" i="3"/>
  <c r="AX2756" i="3"/>
  <c r="AX2734" i="3"/>
  <c r="AX2710" i="3"/>
  <c r="AX2709" i="3"/>
  <c r="AX2699" i="3"/>
  <c r="AX2689" i="3"/>
  <c r="AX2688" i="3"/>
  <c r="AX2677" i="3"/>
  <c r="AX2667" i="3"/>
  <c r="AX2657" i="3"/>
  <c r="AX2646" i="3"/>
  <c r="AX2635" i="3"/>
  <c r="AX2626" i="3"/>
  <c r="AX2593" i="3"/>
  <c r="AX2592" i="3"/>
  <c r="AX2582" i="3"/>
  <c r="AX2581" i="3"/>
  <c r="AX2572" i="3"/>
  <c r="AX2561" i="3"/>
  <c r="AX2552" i="3"/>
  <c r="AX2541" i="3"/>
  <c r="AX2520" i="3"/>
  <c r="AX2519" i="3"/>
  <c r="AX2506" i="3"/>
  <c r="AX2496" i="3"/>
  <c r="AX2477" i="3"/>
  <c r="AX2466" i="3"/>
  <c r="AX2456" i="3"/>
  <c r="AX2436" i="3"/>
  <c r="AX2425" i="3"/>
  <c r="AX2415" i="3"/>
  <c r="AX2413" i="3"/>
  <c r="AX2401" i="3"/>
  <c r="AX2389" i="3"/>
  <c r="AX2380" i="3"/>
  <c r="AX902" i="3"/>
  <c r="AX891" i="3"/>
  <c r="AX884" i="3"/>
  <c r="AX882" i="3"/>
  <c r="AX856" i="3"/>
  <c r="AX844" i="3"/>
  <c r="AX836" i="3"/>
  <c r="AX828" i="3"/>
  <c r="AX822" i="3"/>
  <c r="AX2634" i="2"/>
  <c r="AX2617" i="2"/>
  <c r="AX2603" i="2"/>
  <c r="AX2587" i="2"/>
  <c r="AX2572" i="2"/>
  <c r="AX2570" i="2"/>
  <c r="AX2541" i="2"/>
  <c r="AX2511" i="2"/>
  <c r="AX2495" i="2"/>
  <c r="AX2450" i="2"/>
  <c r="AX2449" i="2"/>
  <c r="AX2390" i="2"/>
  <c r="AX2389" i="2"/>
  <c r="AX2374" i="2"/>
  <c r="AX2358" i="2"/>
  <c r="AX2357" i="2"/>
  <c r="AX2343" i="2"/>
  <c r="AX2326" i="2"/>
  <c r="AX2324" i="2"/>
  <c r="AX2312" i="2"/>
  <c r="AX2311" i="2"/>
  <c r="AX2278" i="2"/>
  <c r="AX2265" i="2"/>
  <c r="AX2251" i="2"/>
  <c r="AX2248" i="2"/>
  <c r="AX2236" i="2"/>
  <c r="AX2187" i="2"/>
  <c r="AX2185" i="2"/>
  <c r="AX2172" i="2"/>
  <c r="AX2157" i="2"/>
  <c r="AV794" i="4"/>
  <c r="AX794" i="4" s="1"/>
  <c r="AV793" i="4"/>
  <c r="AX793" i="4" s="1"/>
  <c r="AV792" i="4"/>
  <c r="AX792" i="4" s="1"/>
  <c r="AV791" i="4"/>
  <c r="AX791" i="4" s="1"/>
  <c r="AV790" i="4"/>
  <c r="AX790" i="4" s="1"/>
  <c r="AV789" i="4"/>
  <c r="AX789" i="4" s="1"/>
  <c r="AV788" i="4"/>
  <c r="AX788" i="4" s="1"/>
  <c r="AV787" i="4"/>
  <c r="AX787" i="4" s="1"/>
  <c r="AV786" i="4"/>
  <c r="AX786" i="4" s="1"/>
  <c r="AV785" i="4"/>
  <c r="AX785" i="4" s="1"/>
  <c r="AV784" i="4"/>
  <c r="AX784" i="4" s="1"/>
  <c r="AV783" i="4"/>
  <c r="AX783" i="4" s="1"/>
  <c r="AV782" i="4"/>
  <c r="AX782" i="4" s="1"/>
  <c r="AV781" i="4"/>
  <c r="AX781" i="4" s="1"/>
  <c r="AV780" i="4"/>
  <c r="AX780" i="4" s="1"/>
  <c r="AV779" i="4"/>
  <c r="AX779" i="4" s="1"/>
  <c r="AV778" i="4"/>
  <c r="AX778" i="4" s="1"/>
  <c r="AV777" i="4"/>
  <c r="AX777" i="4" s="1"/>
  <c r="AV776" i="4"/>
  <c r="AX776" i="4" s="1"/>
  <c r="AV775" i="4"/>
  <c r="AX775" i="4" s="1"/>
  <c r="AV774" i="4"/>
  <c r="AX774" i="4" s="1"/>
  <c r="AV773" i="4"/>
  <c r="AX773" i="4" s="1"/>
  <c r="AV772" i="4"/>
  <c r="AX772" i="4" s="1"/>
  <c r="AV771" i="4"/>
  <c r="AX771" i="4" s="1"/>
  <c r="AV770" i="4"/>
  <c r="AX770" i="4" s="1"/>
  <c r="AV769" i="4"/>
  <c r="AX769" i="4" s="1"/>
  <c r="AV768" i="4"/>
  <c r="AX768" i="4" s="1"/>
  <c r="AV767" i="4"/>
  <c r="AX767" i="4" s="1"/>
  <c r="AV766" i="4"/>
  <c r="AX766" i="4" s="1"/>
  <c r="AV765" i="4"/>
  <c r="AX765" i="4" s="1"/>
  <c r="AV764" i="4"/>
  <c r="AX764" i="4" s="1"/>
  <c r="AV763" i="4"/>
  <c r="AX763" i="4" s="1"/>
  <c r="AV762" i="4"/>
  <c r="AX762" i="4" s="1"/>
  <c r="AV761" i="4"/>
  <c r="AX761" i="4" s="1"/>
  <c r="AV760" i="4"/>
  <c r="AX760" i="4" s="1"/>
  <c r="AV759" i="4"/>
  <c r="AX759" i="4" s="1"/>
  <c r="AV758" i="4"/>
  <c r="AX758" i="4" s="1"/>
  <c r="AV757" i="4"/>
  <c r="AX757" i="4" s="1"/>
  <c r="AV756" i="4"/>
  <c r="AX756" i="4" s="1"/>
  <c r="AV755" i="4"/>
  <c r="AX755" i="4" s="1"/>
  <c r="AV754" i="4"/>
  <c r="AX754" i="4" s="1"/>
  <c r="AV753" i="4"/>
  <c r="AX753" i="4" s="1"/>
  <c r="AV752" i="4"/>
  <c r="AX752" i="4" s="1"/>
  <c r="AV751" i="4"/>
  <c r="AX751" i="4" s="1"/>
  <c r="AV750" i="4"/>
  <c r="AX750" i="4" s="1"/>
  <c r="AV749" i="4"/>
  <c r="AX749" i="4" s="1"/>
  <c r="AV748" i="4"/>
  <c r="AX748" i="4" s="1"/>
  <c r="AV747" i="4"/>
  <c r="AX747" i="4" s="1"/>
  <c r="AV746" i="4"/>
  <c r="AX746" i="4" s="1"/>
  <c r="AV745" i="4"/>
  <c r="AX745" i="4" s="1"/>
  <c r="AV744" i="4"/>
  <c r="AX744" i="4" s="1"/>
  <c r="AV743" i="4"/>
  <c r="AX743" i="4" s="1"/>
  <c r="AV742" i="4"/>
  <c r="AX742" i="4" s="1"/>
  <c r="AV741" i="4"/>
  <c r="AX741" i="4" s="1"/>
  <c r="AV740" i="4"/>
  <c r="AX740" i="4" s="1"/>
  <c r="AV739" i="4"/>
  <c r="AX739" i="4" s="1"/>
  <c r="AV738" i="4"/>
  <c r="AX738" i="4" s="1"/>
  <c r="AV737" i="4"/>
  <c r="AX737" i="4" s="1"/>
  <c r="AV736" i="4"/>
  <c r="AX736" i="4" s="1"/>
  <c r="AV735" i="4"/>
  <c r="AX735" i="4" s="1"/>
  <c r="AV734" i="4"/>
  <c r="AX734" i="4" s="1"/>
  <c r="AV733" i="4"/>
  <c r="AX733" i="4" s="1"/>
  <c r="AV732" i="4"/>
  <c r="AX732" i="4" s="1"/>
  <c r="AV731" i="4"/>
  <c r="AX731" i="4" s="1"/>
  <c r="AV730" i="4"/>
  <c r="AX730" i="4" s="1"/>
  <c r="AV729" i="4"/>
  <c r="AX729" i="4" s="1"/>
  <c r="AV728" i="4"/>
  <c r="AX728" i="4" s="1"/>
  <c r="AV727" i="4"/>
  <c r="AX727" i="4" s="1"/>
  <c r="AV726" i="4"/>
  <c r="AX726" i="4" s="1"/>
  <c r="AV725" i="4"/>
  <c r="AX725" i="4" s="1"/>
  <c r="AV724" i="4"/>
  <c r="AX724" i="4" s="1"/>
  <c r="AV723" i="4"/>
  <c r="AX723" i="4" s="1"/>
  <c r="AV722" i="4"/>
  <c r="AX722" i="4" s="1"/>
  <c r="AV721" i="4"/>
  <c r="AX721" i="4" s="1"/>
  <c r="AV720" i="4"/>
  <c r="AX720" i="4" s="1"/>
  <c r="AV719" i="4"/>
  <c r="AX719" i="4" s="1"/>
  <c r="AV718" i="4"/>
  <c r="AX718" i="4" s="1"/>
  <c r="AV717" i="4"/>
  <c r="AX717" i="4" s="1"/>
  <c r="AV716" i="4"/>
  <c r="AX716" i="4" s="1"/>
  <c r="AV715" i="4"/>
  <c r="AX715" i="4" s="1"/>
  <c r="AV714" i="4"/>
  <c r="AX714" i="4" s="1"/>
  <c r="AV713" i="4"/>
  <c r="AX713" i="4" s="1"/>
  <c r="AV712" i="4"/>
  <c r="AX712" i="4" s="1"/>
  <c r="AV711" i="4"/>
  <c r="AX711" i="4" s="1"/>
  <c r="AV710" i="4"/>
  <c r="AX710" i="4" s="1"/>
  <c r="AV709" i="4"/>
  <c r="AX709" i="4" s="1"/>
  <c r="AV708" i="4"/>
  <c r="AX708" i="4" s="1"/>
  <c r="AV707" i="4"/>
  <c r="AX707" i="4" s="1"/>
  <c r="AV706" i="4"/>
  <c r="AX706" i="4" s="1"/>
  <c r="AV705" i="4"/>
  <c r="AX705" i="4" s="1"/>
  <c r="AV704" i="4"/>
  <c r="AX704" i="4" s="1"/>
  <c r="AV703" i="4"/>
  <c r="AX703" i="4" s="1"/>
  <c r="AV702" i="4"/>
  <c r="AX702" i="4" s="1"/>
  <c r="AV701" i="4"/>
  <c r="AX701" i="4" s="1"/>
  <c r="AV700" i="4"/>
  <c r="AX700" i="4" s="1"/>
  <c r="AV699" i="4"/>
  <c r="AX699" i="4" s="1"/>
  <c r="AV698" i="4"/>
  <c r="AX698" i="4" s="1"/>
  <c r="AV697" i="4"/>
  <c r="AX697" i="4" s="1"/>
  <c r="AV696" i="4"/>
  <c r="AX696" i="4" s="1"/>
  <c r="AV695" i="4"/>
  <c r="AX695" i="4" s="1"/>
  <c r="AV694" i="4"/>
  <c r="AX694" i="4" s="1"/>
  <c r="AV693" i="4"/>
  <c r="AX693" i="4" s="1"/>
  <c r="AV692" i="4"/>
  <c r="AX692" i="4" s="1"/>
  <c r="AV691" i="4"/>
  <c r="AX691" i="4" s="1"/>
  <c r="AV690" i="4"/>
  <c r="AX690" i="4" s="1"/>
  <c r="AV689" i="4"/>
  <c r="AX689" i="4" s="1"/>
  <c r="AV688" i="4"/>
  <c r="AX688" i="4" s="1"/>
  <c r="AV687" i="4"/>
  <c r="AX687" i="4" s="1"/>
  <c r="AV686" i="4"/>
  <c r="AX686" i="4" s="1"/>
  <c r="AV685" i="4"/>
  <c r="AX685" i="4" s="1"/>
  <c r="AV684" i="4"/>
  <c r="AX684" i="4" s="1"/>
  <c r="AV683" i="4"/>
  <c r="AX683" i="4" s="1"/>
  <c r="AV682" i="4"/>
  <c r="AX682" i="4" s="1"/>
  <c r="AV681" i="4"/>
  <c r="AX681" i="4" s="1"/>
  <c r="AV680" i="4"/>
  <c r="AX680" i="4" s="1"/>
  <c r="AV679" i="4"/>
  <c r="AX679" i="4" s="1"/>
  <c r="AV678" i="4"/>
  <c r="AX678" i="4" s="1"/>
  <c r="AV677" i="4"/>
  <c r="AX677" i="4" s="1"/>
  <c r="AV676" i="4"/>
  <c r="AX676" i="4" s="1"/>
  <c r="AV675" i="4"/>
  <c r="AX675" i="4" s="1"/>
  <c r="AV674" i="4"/>
  <c r="AX674" i="4" s="1"/>
  <c r="AV673" i="4"/>
  <c r="AX673" i="4" s="1"/>
  <c r="AV672" i="4"/>
  <c r="AX672" i="4" s="1"/>
  <c r="AV671" i="4"/>
  <c r="AX671" i="4" s="1"/>
  <c r="AV670" i="4"/>
  <c r="AX670" i="4" s="1"/>
  <c r="AV669" i="4"/>
  <c r="AX669" i="4" s="1"/>
  <c r="AV668" i="4"/>
  <c r="AX668" i="4" s="1"/>
  <c r="AV667" i="4"/>
  <c r="AX667" i="4" s="1"/>
  <c r="AV666" i="4"/>
  <c r="AX666" i="4" s="1"/>
  <c r="AV665" i="4"/>
  <c r="AX665" i="4" s="1"/>
  <c r="AV664" i="4"/>
  <c r="AX664" i="4" s="1"/>
  <c r="AV663" i="4"/>
  <c r="AX663" i="4" s="1"/>
  <c r="AV662" i="4"/>
  <c r="AX662" i="4" s="1"/>
  <c r="AV661" i="4"/>
  <c r="AX661" i="4" s="1"/>
  <c r="AV660" i="4"/>
  <c r="AX660" i="4" s="1"/>
  <c r="AV659" i="4"/>
  <c r="AX659" i="4" s="1"/>
  <c r="AV658" i="4"/>
  <c r="AX658" i="4" s="1"/>
  <c r="AV657" i="4"/>
  <c r="AX657" i="4" s="1"/>
  <c r="AV656" i="4"/>
  <c r="AX656" i="4" s="1"/>
  <c r="AV655" i="4"/>
  <c r="AX655" i="4" s="1"/>
  <c r="AV654" i="4"/>
  <c r="AX654" i="4" s="1"/>
  <c r="AV653" i="4"/>
  <c r="AX653" i="4" s="1"/>
  <c r="AV652" i="4"/>
  <c r="AX652" i="4" s="1"/>
  <c r="AV651" i="4"/>
  <c r="AX651" i="4" s="1"/>
  <c r="AV650" i="4"/>
  <c r="AX650" i="4" s="1"/>
  <c r="AV649" i="4"/>
  <c r="AX649" i="4" s="1"/>
  <c r="AV648" i="4"/>
  <c r="AX648" i="4" s="1"/>
  <c r="AV647" i="4"/>
  <c r="AX647" i="4" s="1"/>
  <c r="AV646" i="4"/>
  <c r="AX646" i="4" s="1"/>
  <c r="AV645" i="4"/>
  <c r="AX645" i="4" s="1"/>
  <c r="AV644" i="4"/>
  <c r="AX644" i="4" s="1"/>
  <c r="AV643" i="4"/>
  <c r="AX643" i="4" s="1"/>
  <c r="AV642" i="4"/>
  <c r="AX642" i="4" s="1"/>
  <c r="AV641" i="4"/>
  <c r="AX641" i="4" s="1"/>
  <c r="AV640" i="4"/>
  <c r="AX640" i="4" s="1"/>
  <c r="AV639" i="4"/>
  <c r="AX639" i="4" s="1"/>
  <c r="AV638" i="4"/>
  <c r="AX638" i="4" s="1"/>
  <c r="AV637" i="4"/>
  <c r="AX637" i="4" s="1"/>
  <c r="AV636" i="4"/>
  <c r="AX636" i="4" s="1"/>
  <c r="AV635" i="4"/>
  <c r="AX635" i="4" s="1"/>
  <c r="AV634" i="4"/>
  <c r="AX634" i="4" s="1"/>
  <c r="AV633" i="4"/>
  <c r="AX633" i="4" s="1"/>
  <c r="AV632" i="4"/>
  <c r="AX632" i="4" s="1"/>
  <c r="AV631" i="4"/>
  <c r="AX631" i="4" s="1"/>
  <c r="AV630" i="4"/>
  <c r="AX630" i="4" s="1"/>
  <c r="AV629" i="4"/>
  <c r="AX629" i="4" s="1"/>
  <c r="AV628" i="4"/>
  <c r="AX628" i="4" s="1"/>
  <c r="AV627" i="4"/>
  <c r="AX627" i="4" s="1"/>
  <c r="AV626" i="4"/>
  <c r="AX626" i="4" s="1"/>
  <c r="AV625" i="4"/>
  <c r="AX625" i="4" s="1"/>
  <c r="AV624" i="4"/>
  <c r="AX624" i="4" s="1"/>
  <c r="AV623" i="4"/>
  <c r="AX623" i="4" s="1"/>
  <c r="AV622" i="4"/>
  <c r="AX622" i="4" s="1"/>
  <c r="AV621" i="4"/>
  <c r="AX621" i="4" s="1"/>
  <c r="AV620" i="4"/>
  <c r="AX620" i="4" s="1"/>
  <c r="AV619" i="4"/>
  <c r="AX619" i="4" s="1"/>
  <c r="AV618" i="4"/>
  <c r="AX618" i="4" s="1"/>
  <c r="AV617" i="4"/>
  <c r="AX617" i="4" s="1"/>
  <c r="AV616" i="4"/>
  <c r="AX616" i="4" s="1"/>
  <c r="AV615" i="4"/>
  <c r="AX615" i="4" s="1"/>
  <c r="AV614" i="4"/>
  <c r="AX614" i="4" s="1"/>
  <c r="AV613" i="4"/>
  <c r="AX613" i="4" s="1"/>
  <c r="AV612" i="4"/>
  <c r="AX612" i="4" s="1"/>
  <c r="AV611" i="4"/>
  <c r="AX611" i="4" s="1"/>
  <c r="AV610" i="4"/>
  <c r="AX610" i="4" s="1"/>
  <c r="AV609" i="4"/>
  <c r="AX609" i="4" s="1"/>
  <c r="AV608" i="4"/>
  <c r="AX608" i="4" s="1"/>
  <c r="AV607" i="4"/>
  <c r="AX607" i="4" s="1"/>
  <c r="AV606" i="4"/>
  <c r="AX606" i="4" s="1"/>
  <c r="AV605" i="4"/>
  <c r="AX605" i="4" s="1"/>
  <c r="AV604" i="4"/>
  <c r="AX604" i="4" s="1"/>
  <c r="AV603" i="4"/>
  <c r="AX603" i="4" s="1"/>
  <c r="AV602" i="4"/>
  <c r="AX602" i="4" s="1"/>
  <c r="AV601" i="4"/>
  <c r="AX601" i="4" s="1"/>
  <c r="AV600" i="4"/>
  <c r="AX600" i="4" s="1"/>
  <c r="AV599" i="4"/>
  <c r="AX599" i="4" s="1"/>
  <c r="AV598" i="4"/>
  <c r="AX598" i="4" s="1"/>
  <c r="AV597" i="4"/>
  <c r="AX597" i="4" s="1"/>
  <c r="AV596" i="4"/>
  <c r="AX596" i="4" s="1"/>
  <c r="AV595" i="4"/>
  <c r="AX595" i="4" s="1"/>
  <c r="AV594" i="4"/>
  <c r="AX594" i="4" s="1"/>
  <c r="AV593" i="4"/>
  <c r="AX593" i="4" s="1"/>
  <c r="AV592" i="4"/>
  <c r="AX592" i="4" s="1"/>
  <c r="AV591" i="4"/>
  <c r="AX591" i="4" s="1"/>
  <c r="AV590" i="4"/>
  <c r="AX590" i="4" s="1"/>
  <c r="AV589" i="4"/>
  <c r="AX589" i="4" s="1"/>
  <c r="AV588" i="4"/>
  <c r="AX588" i="4" s="1"/>
  <c r="AV587" i="4"/>
  <c r="AX587" i="4" s="1"/>
  <c r="AV586" i="4"/>
  <c r="AX586" i="4" s="1"/>
  <c r="AV585" i="4"/>
  <c r="AX585" i="4" s="1"/>
  <c r="AV584" i="4"/>
  <c r="AX584" i="4" s="1"/>
  <c r="AV583" i="4"/>
  <c r="AX583" i="4" s="1"/>
  <c r="AV582" i="4"/>
  <c r="AX582" i="4" s="1"/>
  <c r="AV581" i="4"/>
  <c r="AX581" i="4" s="1"/>
  <c r="AV580" i="4"/>
  <c r="AX580" i="4" s="1"/>
  <c r="AV579" i="4"/>
  <c r="AX579" i="4" s="1"/>
  <c r="AV578" i="4"/>
  <c r="AX578" i="4" s="1"/>
  <c r="AV577" i="4"/>
  <c r="AX577" i="4" s="1"/>
  <c r="AV576" i="4"/>
  <c r="AX576" i="4" s="1"/>
  <c r="AV575" i="4"/>
  <c r="AX575" i="4" s="1"/>
  <c r="AV574" i="4"/>
  <c r="AX574" i="4" s="1"/>
  <c r="AV573" i="4"/>
  <c r="AX573" i="4" s="1"/>
  <c r="AV572" i="4"/>
  <c r="AX572" i="4" s="1"/>
  <c r="AV571" i="4"/>
  <c r="AX571" i="4" s="1"/>
  <c r="AV570" i="4"/>
  <c r="AX570" i="4" s="1"/>
  <c r="AV569" i="4"/>
  <c r="AX569" i="4" s="1"/>
  <c r="AV568" i="4"/>
  <c r="AX568" i="4" s="1"/>
  <c r="AV567" i="4"/>
  <c r="AX567" i="4" s="1"/>
  <c r="AV566" i="4"/>
  <c r="AX566" i="4" s="1"/>
  <c r="AV565" i="4"/>
  <c r="AX565" i="4" s="1"/>
  <c r="AV564" i="4"/>
  <c r="AX564" i="4" s="1"/>
  <c r="AV563" i="4"/>
  <c r="AX563" i="4" s="1"/>
  <c r="AV562" i="4"/>
  <c r="AX562" i="4" s="1"/>
  <c r="AV561" i="4"/>
  <c r="AX561" i="4" s="1"/>
  <c r="AV560" i="4"/>
  <c r="AX560" i="4" s="1"/>
  <c r="AV559" i="4"/>
  <c r="AX559" i="4" s="1"/>
  <c r="AV558" i="4"/>
  <c r="AX558" i="4" s="1"/>
  <c r="AV557" i="4"/>
  <c r="AX557" i="4" s="1"/>
  <c r="AV556" i="4"/>
  <c r="AX556" i="4" s="1"/>
  <c r="AV555" i="4"/>
  <c r="AX555" i="4" s="1"/>
  <c r="AV554" i="4"/>
  <c r="AX554" i="4" s="1"/>
  <c r="AV553" i="4"/>
  <c r="AX553" i="4" s="1"/>
  <c r="AV552" i="4"/>
  <c r="AX552" i="4" s="1"/>
  <c r="AV551" i="4"/>
  <c r="AX551" i="4" s="1"/>
  <c r="AV550" i="4"/>
  <c r="AX550" i="4" s="1"/>
  <c r="AV549" i="4"/>
  <c r="AX549" i="4" s="1"/>
  <c r="AV548" i="4"/>
  <c r="AX548" i="4" s="1"/>
  <c r="AV547" i="4"/>
  <c r="AX547" i="4" s="1"/>
  <c r="AV546" i="4"/>
  <c r="AX546" i="4" s="1"/>
  <c r="AV545" i="4"/>
  <c r="AX545" i="4" s="1"/>
  <c r="AV544" i="4"/>
  <c r="AX544" i="4" s="1"/>
  <c r="AV543" i="4"/>
  <c r="AX543" i="4" s="1"/>
  <c r="AV542" i="4"/>
  <c r="AX542" i="4" s="1"/>
  <c r="AV541" i="4"/>
  <c r="AX541" i="4" s="1"/>
  <c r="AV540" i="4"/>
  <c r="AX540" i="4" s="1"/>
  <c r="AV539" i="4"/>
  <c r="AX539" i="4" s="1"/>
  <c r="AV538" i="4"/>
  <c r="AX538" i="4" s="1"/>
  <c r="AV537" i="4"/>
  <c r="AX537" i="4" s="1"/>
  <c r="AV536" i="4"/>
  <c r="AX536" i="4" s="1"/>
  <c r="AV535" i="4"/>
  <c r="AX535" i="4" s="1"/>
  <c r="AV534" i="4"/>
  <c r="AX534" i="4" s="1"/>
  <c r="AV533" i="4"/>
  <c r="AX533" i="4" s="1"/>
  <c r="AV532" i="4"/>
  <c r="AX532" i="4" s="1"/>
  <c r="AV531" i="4"/>
  <c r="AX531" i="4" s="1"/>
  <c r="AV530" i="4"/>
  <c r="AX530" i="4" s="1"/>
  <c r="AV529" i="4"/>
  <c r="AX529" i="4" s="1"/>
  <c r="AV528" i="4"/>
  <c r="AX528" i="4" s="1"/>
  <c r="AV527" i="4"/>
  <c r="AX527" i="4" s="1"/>
  <c r="AV526" i="4"/>
  <c r="AX526" i="4" s="1"/>
  <c r="AV525" i="4"/>
  <c r="AX525" i="4" s="1"/>
  <c r="AV524" i="4"/>
  <c r="AX524" i="4" s="1"/>
  <c r="AV523" i="4"/>
  <c r="AX523" i="4" s="1"/>
  <c r="AV522" i="4"/>
  <c r="AX522" i="4" s="1"/>
  <c r="AV521" i="4"/>
  <c r="AX521" i="4" s="1"/>
  <c r="AV520" i="4"/>
  <c r="AX520" i="4" s="1"/>
  <c r="AV519" i="4"/>
  <c r="AX519" i="4" s="1"/>
  <c r="AV518" i="4"/>
  <c r="AX518" i="4" s="1"/>
  <c r="AV517" i="4"/>
  <c r="AX517" i="4" s="1"/>
  <c r="AV516" i="4"/>
  <c r="AX516" i="4" s="1"/>
  <c r="AV515" i="4"/>
  <c r="AX515" i="4" s="1"/>
  <c r="AV514" i="4"/>
  <c r="AX514" i="4" s="1"/>
  <c r="AV513" i="4"/>
  <c r="AX513" i="4" s="1"/>
  <c r="AV512" i="4"/>
  <c r="AX512" i="4" s="1"/>
  <c r="AV511" i="4"/>
  <c r="AX511" i="4" s="1"/>
  <c r="BA510" i="4"/>
  <c r="AZ510" i="4"/>
  <c r="AY510" i="4"/>
  <c r="AV510" i="4"/>
  <c r="AX510" i="4" s="1"/>
  <c r="BA509" i="4"/>
  <c r="AZ509" i="4"/>
  <c r="AY509" i="4"/>
  <c r="AV509" i="4"/>
  <c r="AX509" i="4" s="1"/>
  <c r="BA508" i="4"/>
  <c r="AZ508" i="4"/>
  <c r="AY508" i="4"/>
  <c r="AV508" i="4"/>
  <c r="AX508" i="4" s="1"/>
  <c r="BA507" i="4"/>
  <c r="AZ507" i="4"/>
  <c r="AY507" i="4"/>
  <c r="AV507" i="4"/>
  <c r="AX507" i="4" s="1"/>
  <c r="BA506" i="4"/>
  <c r="AZ506" i="4"/>
  <c r="AY506" i="4"/>
  <c r="AV506" i="4"/>
  <c r="AX506" i="4" s="1"/>
  <c r="BA505" i="4"/>
  <c r="AZ505" i="4"/>
  <c r="AY505" i="4"/>
  <c r="AV505" i="4"/>
  <c r="AX505" i="4" s="1"/>
  <c r="BA504" i="4"/>
  <c r="AZ504" i="4"/>
  <c r="AY504" i="4"/>
  <c r="AV504" i="4"/>
  <c r="AX504" i="4" s="1"/>
  <c r="BA503" i="4"/>
  <c r="AZ503" i="4"/>
  <c r="AY503" i="4"/>
  <c r="AV503" i="4"/>
  <c r="AX503" i="4" s="1"/>
  <c r="BA502" i="4"/>
  <c r="AZ502" i="4"/>
  <c r="AY502" i="4"/>
  <c r="AV502" i="4"/>
  <c r="AX502" i="4" s="1"/>
  <c r="BA501" i="4"/>
  <c r="AZ501" i="4"/>
  <c r="AY501" i="4"/>
  <c r="AV501" i="4"/>
  <c r="AX501" i="4" s="1"/>
  <c r="BA500" i="4"/>
  <c r="AZ500" i="4"/>
  <c r="AY500" i="4"/>
  <c r="AV500" i="4"/>
  <c r="AX500" i="4" s="1"/>
  <c r="BA499" i="4"/>
  <c r="AZ499" i="4"/>
  <c r="AY499" i="4"/>
  <c r="AV499" i="4"/>
  <c r="AX499" i="4" s="1"/>
  <c r="BA498" i="4"/>
  <c r="AZ498" i="4"/>
  <c r="AY498" i="4"/>
  <c r="AV498" i="4"/>
  <c r="AX498" i="4" s="1"/>
  <c r="BA497" i="4"/>
  <c r="AZ497" i="4"/>
  <c r="AY497" i="4"/>
  <c r="AV497" i="4"/>
  <c r="AX497" i="4" s="1"/>
  <c r="BA496" i="4"/>
  <c r="AZ496" i="4"/>
  <c r="AY496" i="4"/>
  <c r="AV496" i="4"/>
  <c r="AX496" i="4" s="1"/>
  <c r="BA495" i="4"/>
  <c r="AZ495" i="4"/>
  <c r="AY495" i="4"/>
  <c r="AV495" i="4"/>
  <c r="AX495" i="4" s="1"/>
  <c r="BA494" i="4"/>
  <c r="AZ494" i="4"/>
  <c r="AY494" i="4"/>
  <c r="AV494" i="4"/>
  <c r="AX494" i="4" s="1"/>
  <c r="BA493" i="4"/>
  <c r="AZ493" i="4"/>
  <c r="AY493" i="4"/>
  <c r="AV493" i="4"/>
  <c r="AX493" i="4" s="1"/>
  <c r="BA492" i="4"/>
  <c r="AZ492" i="4"/>
  <c r="AY492" i="4"/>
  <c r="AV492" i="4"/>
  <c r="AX492" i="4" s="1"/>
  <c r="BA491" i="4"/>
  <c r="AZ491" i="4"/>
  <c r="AY491" i="4"/>
  <c r="AV491" i="4"/>
  <c r="AX491" i="4" s="1"/>
  <c r="BA490" i="4"/>
  <c r="AZ490" i="4"/>
  <c r="AY490" i="4"/>
  <c r="AV490" i="4"/>
  <c r="AX490" i="4" s="1"/>
  <c r="BA489" i="4"/>
  <c r="AZ489" i="4"/>
  <c r="AY489" i="4"/>
  <c r="AV489" i="4"/>
  <c r="AX489" i="4" s="1"/>
  <c r="BA488" i="4"/>
  <c r="AZ488" i="4"/>
  <c r="AY488" i="4"/>
  <c r="AV488" i="4"/>
  <c r="AX488" i="4" s="1"/>
  <c r="BA487" i="4"/>
  <c r="AZ487" i="4"/>
  <c r="AY487" i="4"/>
  <c r="AV487" i="4"/>
  <c r="AX487" i="4" s="1"/>
  <c r="BA486" i="4"/>
  <c r="AZ486" i="4"/>
  <c r="AY486" i="4"/>
  <c r="AV486" i="4"/>
  <c r="AX486" i="4" s="1"/>
  <c r="BA485" i="4"/>
  <c r="AZ485" i="4"/>
  <c r="AY485" i="4"/>
  <c r="AV485" i="4"/>
  <c r="AX485" i="4" s="1"/>
  <c r="BA484" i="4"/>
  <c r="AZ484" i="4"/>
  <c r="AY484" i="4"/>
  <c r="AV484" i="4"/>
  <c r="AX484" i="4" s="1"/>
  <c r="BA483" i="4"/>
  <c r="AZ483" i="4"/>
  <c r="AY483" i="4"/>
  <c r="AV483" i="4"/>
  <c r="AX483" i="4" s="1"/>
  <c r="BA482" i="4"/>
  <c r="AZ482" i="4"/>
  <c r="AY482" i="4"/>
  <c r="AV482" i="4"/>
  <c r="AX482" i="4" s="1"/>
  <c r="BA481" i="4"/>
  <c r="AZ481" i="4"/>
  <c r="AY481" i="4"/>
  <c r="AV481" i="4"/>
  <c r="AX481" i="4" s="1"/>
  <c r="BA480" i="4"/>
  <c r="AZ480" i="4"/>
  <c r="AY480" i="4"/>
  <c r="AV480" i="4"/>
  <c r="AX480" i="4" s="1"/>
  <c r="BA479" i="4"/>
  <c r="AZ479" i="4"/>
  <c r="AY479" i="4"/>
  <c r="AV479" i="4"/>
  <c r="AX479" i="4" s="1"/>
  <c r="BA478" i="4"/>
  <c r="AZ478" i="4"/>
  <c r="AY478" i="4"/>
  <c r="AV478" i="4"/>
  <c r="AX478" i="4" s="1"/>
  <c r="BA477" i="4"/>
  <c r="AZ477" i="4"/>
  <c r="AY477" i="4"/>
  <c r="AV477" i="4"/>
  <c r="AX477" i="4" s="1"/>
  <c r="BA476" i="4"/>
  <c r="AZ476" i="4"/>
  <c r="AY476" i="4"/>
  <c r="AV476" i="4"/>
  <c r="AX476" i="4" s="1"/>
  <c r="BA475" i="4"/>
  <c r="AZ475" i="4"/>
  <c r="AY475" i="4"/>
  <c r="AV475" i="4"/>
  <c r="AX475" i="4" s="1"/>
  <c r="BA474" i="4"/>
  <c r="AZ474" i="4"/>
  <c r="AY474" i="4"/>
  <c r="AV474" i="4"/>
  <c r="AX474" i="4" s="1"/>
  <c r="BA473" i="4"/>
  <c r="AZ473" i="4"/>
  <c r="AY473" i="4"/>
  <c r="AV473" i="4"/>
  <c r="AX473" i="4" s="1"/>
  <c r="BA472" i="4"/>
  <c r="AZ472" i="4"/>
  <c r="AY472" i="4"/>
  <c r="AV472" i="4"/>
  <c r="AX472" i="4" s="1"/>
  <c r="BA471" i="4"/>
  <c r="AZ471" i="4"/>
  <c r="AY471" i="4"/>
  <c r="AV471" i="4"/>
  <c r="AX471" i="4" s="1"/>
  <c r="BA470" i="4"/>
  <c r="AZ470" i="4"/>
  <c r="AY470" i="4"/>
  <c r="AV470" i="4"/>
  <c r="AX470" i="4" s="1"/>
  <c r="BA469" i="4"/>
  <c r="AZ469" i="4"/>
  <c r="AY469" i="4"/>
  <c r="AV469" i="4"/>
  <c r="AX469" i="4" s="1"/>
  <c r="BA468" i="4"/>
  <c r="AZ468" i="4"/>
  <c r="AY468" i="4"/>
  <c r="AV468" i="4"/>
  <c r="AX468" i="4" s="1"/>
  <c r="BA467" i="4"/>
  <c r="AZ467" i="4"/>
  <c r="AY467" i="4"/>
  <c r="AV467" i="4"/>
  <c r="AX467" i="4" s="1"/>
  <c r="BA466" i="4"/>
  <c r="AZ466" i="4"/>
  <c r="AY466" i="4"/>
  <c r="AV466" i="4"/>
  <c r="AX466" i="4" s="1"/>
  <c r="BA465" i="4"/>
  <c r="AZ465" i="4"/>
  <c r="AY465" i="4"/>
  <c r="AV465" i="4"/>
  <c r="AX465" i="4" s="1"/>
  <c r="BA464" i="4"/>
  <c r="AZ464" i="4"/>
  <c r="AY464" i="4"/>
  <c r="AV464" i="4"/>
  <c r="AX464" i="4" s="1"/>
  <c r="BA463" i="4"/>
  <c r="AZ463" i="4"/>
  <c r="AY463" i="4"/>
  <c r="AV463" i="4"/>
  <c r="AX463" i="4" s="1"/>
  <c r="BA462" i="4"/>
  <c r="AZ462" i="4"/>
  <c r="AY462" i="4"/>
  <c r="AV462" i="4"/>
  <c r="AX462" i="4" s="1"/>
  <c r="BA461" i="4"/>
  <c r="AZ461" i="4"/>
  <c r="AY461" i="4"/>
  <c r="AV461" i="4"/>
  <c r="AX461" i="4" s="1"/>
  <c r="BA460" i="4"/>
  <c r="AZ460" i="4"/>
  <c r="AY460" i="4"/>
  <c r="AV460" i="4"/>
  <c r="AX460" i="4" s="1"/>
  <c r="BA459" i="4"/>
  <c r="AZ459" i="4"/>
  <c r="AY459" i="4"/>
  <c r="AV459" i="4"/>
  <c r="AX459" i="4" s="1"/>
  <c r="BA458" i="4"/>
  <c r="AZ458" i="4"/>
  <c r="AY458" i="4"/>
  <c r="AV458" i="4"/>
  <c r="AX458" i="4" s="1"/>
  <c r="BA457" i="4"/>
  <c r="AZ457" i="4"/>
  <c r="AY457" i="4"/>
  <c r="AV457" i="4"/>
  <c r="AX457" i="4" s="1"/>
  <c r="BA456" i="4"/>
  <c r="AZ456" i="4"/>
  <c r="AY456" i="4"/>
  <c r="AV456" i="4"/>
  <c r="AX456" i="4" s="1"/>
  <c r="BA455" i="4"/>
  <c r="AZ455" i="4"/>
  <c r="AY455" i="4"/>
  <c r="AV455" i="4"/>
  <c r="AX455" i="4" s="1"/>
  <c r="BA454" i="4"/>
  <c r="AZ454" i="4"/>
  <c r="AY454" i="4"/>
  <c r="AV454" i="4"/>
  <c r="AX454" i="4" s="1"/>
  <c r="BA453" i="4"/>
  <c r="AZ453" i="4"/>
  <c r="AY453" i="4"/>
  <c r="AV453" i="4"/>
  <c r="AX453" i="4" s="1"/>
  <c r="BA452" i="4"/>
  <c r="AZ452" i="4"/>
  <c r="AY452" i="4"/>
  <c r="AV452" i="4"/>
  <c r="AX452" i="4" s="1"/>
  <c r="BA451" i="4"/>
  <c r="AZ451" i="4"/>
  <c r="AY451" i="4"/>
  <c r="AV451" i="4"/>
  <c r="AX451" i="4" s="1"/>
  <c r="BA450" i="4"/>
  <c r="AZ450" i="4"/>
  <c r="AY450" i="4"/>
  <c r="AV450" i="4"/>
  <c r="AX450" i="4" s="1"/>
  <c r="BA449" i="4"/>
  <c r="AZ449" i="4"/>
  <c r="AY449" i="4"/>
  <c r="AV449" i="4"/>
  <c r="AX449" i="4" s="1"/>
  <c r="BA448" i="4"/>
  <c r="AZ448" i="4"/>
  <c r="AY448" i="4"/>
  <c r="AV448" i="4"/>
  <c r="AX448" i="4" s="1"/>
  <c r="BA447" i="4"/>
  <c r="AZ447" i="4"/>
  <c r="AY447" i="4"/>
  <c r="AV447" i="4"/>
  <c r="AX447" i="4" s="1"/>
  <c r="BA446" i="4"/>
  <c r="AZ446" i="4"/>
  <c r="AY446" i="4"/>
  <c r="AV446" i="4"/>
  <c r="AX446" i="4" s="1"/>
  <c r="BA445" i="4"/>
  <c r="AZ445" i="4"/>
  <c r="AY445" i="4"/>
  <c r="AV445" i="4"/>
  <c r="AX445" i="4" s="1"/>
  <c r="BA444" i="4"/>
  <c r="AZ444" i="4"/>
  <c r="AY444" i="4"/>
  <c r="AV444" i="4"/>
  <c r="AX444" i="4" s="1"/>
  <c r="BA443" i="4"/>
  <c r="AZ443" i="4"/>
  <c r="AY443" i="4"/>
  <c r="AV443" i="4"/>
  <c r="AX443" i="4" s="1"/>
  <c r="BA442" i="4"/>
  <c r="AZ442" i="4"/>
  <c r="AY442" i="4"/>
  <c r="AV442" i="4"/>
  <c r="AX442" i="4" s="1"/>
  <c r="BA441" i="4"/>
  <c r="AZ441" i="4"/>
  <c r="AY441" i="4"/>
  <c r="AV441" i="4"/>
  <c r="AX441" i="4" s="1"/>
  <c r="BA440" i="4"/>
  <c r="AZ440" i="4"/>
  <c r="AY440" i="4"/>
  <c r="AV440" i="4"/>
  <c r="AX440" i="4" s="1"/>
  <c r="BA439" i="4"/>
  <c r="AZ439" i="4"/>
  <c r="AY439" i="4"/>
  <c r="AV439" i="4"/>
  <c r="AX439" i="4" s="1"/>
  <c r="BA438" i="4"/>
  <c r="AZ438" i="4"/>
  <c r="AY438" i="4"/>
  <c r="AV438" i="4"/>
  <c r="AX438" i="4" s="1"/>
  <c r="BA437" i="4"/>
  <c r="AZ437" i="4"/>
  <c r="AY437" i="4"/>
  <c r="AV437" i="4"/>
  <c r="AX437" i="4" s="1"/>
  <c r="BA436" i="4"/>
  <c r="AZ436" i="4"/>
  <c r="AY436" i="4"/>
  <c r="AV436" i="4"/>
  <c r="AX436" i="4" s="1"/>
  <c r="BA435" i="4"/>
  <c r="AZ435" i="4"/>
  <c r="AY435" i="4"/>
  <c r="AV435" i="4"/>
  <c r="AX435" i="4" s="1"/>
  <c r="BA434" i="4"/>
  <c r="AZ434" i="4"/>
  <c r="AY434" i="4"/>
  <c r="AV434" i="4"/>
  <c r="AX434" i="4" s="1"/>
  <c r="BA433" i="4"/>
  <c r="AZ433" i="4"/>
  <c r="AY433" i="4"/>
  <c r="AV433" i="4"/>
  <c r="AX433" i="4" s="1"/>
  <c r="BA432" i="4"/>
  <c r="AZ432" i="4"/>
  <c r="AY432" i="4"/>
  <c r="AV432" i="4"/>
  <c r="AX432" i="4" s="1"/>
  <c r="BA431" i="4"/>
  <c r="AZ431" i="4"/>
  <c r="AY431" i="4"/>
  <c r="AV431" i="4"/>
  <c r="AX431" i="4" s="1"/>
  <c r="BA430" i="4"/>
  <c r="AZ430" i="4"/>
  <c r="AY430" i="4"/>
  <c r="AV430" i="4"/>
  <c r="AX430" i="4" s="1"/>
  <c r="BA429" i="4"/>
  <c r="AZ429" i="4"/>
  <c r="AY429" i="4"/>
  <c r="AV429" i="4"/>
  <c r="AX429" i="4" s="1"/>
  <c r="BA428" i="4"/>
  <c r="AZ428" i="4"/>
  <c r="AY428" i="4"/>
  <c r="AV428" i="4"/>
  <c r="AX428" i="4" s="1"/>
  <c r="BA427" i="4"/>
  <c r="AZ427" i="4"/>
  <c r="AY427" i="4"/>
  <c r="AV427" i="4"/>
  <c r="AX427" i="4" s="1"/>
  <c r="BA426" i="4"/>
  <c r="AZ426" i="4"/>
  <c r="AY426" i="4"/>
  <c r="AV426" i="4"/>
  <c r="AX426" i="4" s="1"/>
  <c r="BA425" i="4"/>
  <c r="AZ425" i="4"/>
  <c r="AY425" i="4"/>
  <c r="AV425" i="4"/>
  <c r="AX425" i="4" s="1"/>
  <c r="BA424" i="4"/>
  <c r="AZ424" i="4"/>
  <c r="AY424" i="4"/>
  <c r="AV424" i="4"/>
  <c r="AX424" i="4" s="1"/>
  <c r="BA423" i="4"/>
  <c r="AZ423" i="4"/>
  <c r="AY423" i="4"/>
  <c r="AV423" i="4"/>
  <c r="AX423" i="4" s="1"/>
  <c r="BA422" i="4"/>
  <c r="AZ422" i="4"/>
  <c r="AY422" i="4"/>
  <c r="AV422" i="4"/>
  <c r="AX422" i="4" s="1"/>
  <c r="BA421" i="4"/>
  <c r="AZ421" i="4"/>
  <c r="AY421" i="4"/>
  <c r="AV421" i="4"/>
  <c r="AX421" i="4" s="1"/>
  <c r="BA420" i="4"/>
  <c r="AZ420" i="4"/>
  <c r="AY420" i="4"/>
  <c r="AV420" i="4"/>
  <c r="AX420" i="4" s="1"/>
  <c r="BA419" i="4"/>
  <c r="AZ419" i="4"/>
  <c r="AY419" i="4"/>
  <c r="AV419" i="4"/>
  <c r="AX419" i="4" s="1"/>
  <c r="BA418" i="4"/>
  <c r="AZ418" i="4"/>
  <c r="AY418" i="4"/>
  <c r="AV418" i="4"/>
  <c r="AX418" i="4" s="1"/>
  <c r="BA417" i="4"/>
  <c r="AZ417" i="4"/>
  <c r="AY417" i="4"/>
  <c r="AV417" i="4"/>
  <c r="AX417" i="4" s="1"/>
  <c r="BA416" i="4"/>
  <c r="AZ416" i="4"/>
  <c r="AY416" i="4"/>
  <c r="AV416" i="4"/>
  <c r="AX416" i="4" s="1"/>
  <c r="BA415" i="4"/>
  <c r="AZ415" i="4"/>
  <c r="AY415" i="4"/>
  <c r="AV415" i="4"/>
  <c r="AX415" i="4" s="1"/>
  <c r="BA414" i="4"/>
  <c r="AZ414" i="4"/>
  <c r="AY414" i="4"/>
  <c r="AV414" i="4"/>
  <c r="AX414" i="4" s="1"/>
  <c r="BA413" i="4"/>
  <c r="AZ413" i="4"/>
  <c r="AY413" i="4"/>
  <c r="AV413" i="4"/>
  <c r="AX413" i="4" s="1"/>
  <c r="BA412" i="4"/>
  <c r="AZ412" i="4"/>
  <c r="AY412" i="4"/>
  <c r="AV412" i="4"/>
  <c r="AX412" i="4" s="1"/>
  <c r="BA411" i="4"/>
  <c r="AZ411" i="4"/>
  <c r="AY411" i="4"/>
  <c r="AV411" i="4"/>
  <c r="AX411" i="4" s="1"/>
  <c r="BA410" i="4"/>
  <c r="AZ410" i="4"/>
  <c r="AY410" i="4"/>
  <c r="AV410" i="4"/>
  <c r="AX410" i="4" s="1"/>
  <c r="BA409" i="4"/>
  <c r="AZ409" i="4"/>
  <c r="AY409" i="4"/>
  <c r="AV409" i="4"/>
  <c r="AX409" i="4" s="1"/>
  <c r="BA408" i="4"/>
  <c r="AZ408" i="4"/>
  <c r="AY408" i="4"/>
  <c r="AV408" i="4"/>
  <c r="AX408" i="4" s="1"/>
  <c r="BA407" i="4"/>
  <c r="AZ407" i="4"/>
  <c r="AY407" i="4"/>
  <c r="AV407" i="4"/>
  <c r="AX407" i="4" s="1"/>
  <c r="BA406" i="4"/>
  <c r="AZ406" i="4"/>
  <c r="AY406" i="4"/>
  <c r="AV406" i="4"/>
  <c r="AX406" i="4" s="1"/>
  <c r="BA405" i="4"/>
  <c r="AZ405" i="4"/>
  <c r="AY405" i="4"/>
  <c r="AV405" i="4"/>
  <c r="AX405" i="4" s="1"/>
  <c r="BA404" i="4"/>
  <c r="AZ404" i="4"/>
  <c r="AY404" i="4"/>
  <c r="AV404" i="4"/>
  <c r="AX404" i="4" s="1"/>
  <c r="BA403" i="4"/>
  <c r="AZ403" i="4"/>
  <c r="AY403" i="4"/>
  <c r="AV403" i="4"/>
  <c r="AX403" i="4" s="1"/>
  <c r="BA402" i="4"/>
  <c r="AZ402" i="4"/>
  <c r="AY402" i="4"/>
  <c r="AV402" i="4"/>
  <c r="AX402" i="4" s="1"/>
  <c r="BA401" i="4"/>
  <c r="AZ401" i="4"/>
  <c r="AY401" i="4"/>
  <c r="AV401" i="4"/>
  <c r="AX401" i="4" s="1"/>
  <c r="BA400" i="4"/>
  <c r="AZ400" i="4"/>
  <c r="AY400" i="4"/>
  <c r="AV400" i="4"/>
  <c r="AX400" i="4" s="1"/>
  <c r="BA399" i="4"/>
  <c r="AZ399" i="4"/>
  <c r="AY399" i="4"/>
  <c r="AV399" i="4"/>
  <c r="AX399" i="4" s="1"/>
  <c r="BA398" i="4"/>
  <c r="AZ398" i="4"/>
  <c r="AY398" i="4"/>
  <c r="AV398" i="4"/>
  <c r="AX398" i="4" s="1"/>
  <c r="BA397" i="4"/>
  <c r="AZ397" i="4"/>
  <c r="AY397" i="4"/>
  <c r="AV397" i="4"/>
  <c r="AX397" i="4" s="1"/>
  <c r="BA396" i="4"/>
  <c r="AZ396" i="4"/>
  <c r="AY396" i="4"/>
  <c r="AV396" i="4"/>
  <c r="AX396" i="4" s="1"/>
  <c r="BA395" i="4"/>
  <c r="AZ395" i="4"/>
  <c r="AY395" i="4"/>
  <c r="AV395" i="4"/>
  <c r="AX395" i="4" s="1"/>
  <c r="BA394" i="4"/>
  <c r="AZ394" i="4"/>
  <c r="AY394" i="4"/>
  <c r="AV394" i="4"/>
  <c r="AX394" i="4" s="1"/>
  <c r="BA393" i="4"/>
  <c r="AZ393" i="4"/>
  <c r="AY393" i="4"/>
  <c r="AV393" i="4"/>
  <c r="AX393" i="4" s="1"/>
  <c r="BA392" i="4"/>
  <c r="AZ392" i="4"/>
  <c r="AY392" i="4"/>
  <c r="AV392" i="4"/>
  <c r="AX392" i="4" s="1"/>
  <c r="BA391" i="4"/>
  <c r="AZ391" i="4"/>
  <c r="AY391" i="4"/>
  <c r="AV391" i="4"/>
  <c r="AX391" i="4" s="1"/>
  <c r="BA390" i="4"/>
  <c r="AZ390" i="4"/>
  <c r="AY390" i="4"/>
  <c r="AV390" i="4"/>
  <c r="AX390" i="4" s="1"/>
  <c r="BA389" i="4"/>
  <c r="AZ389" i="4"/>
  <c r="AY389" i="4"/>
  <c r="AV389" i="4"/>
  <c r="AX389" i="4" s="1"/>
  <c r="BA388" i="4"/>
  <c r="AZ388" i="4"/>
  <c r="AY388" i="4"/>
  <c r="AV388" i="4"/>
  <c r="AX388" i="4" s="1"/>
  <c r="BA387" i="4"/>
  <c r="AZ387" i="4"/>
  <c r="AY387" i="4"/>
  <c r="AV387" i="4"/>
  <c r="AX387" i="4" s="1"/>
  <c r="BA386" i="4"/>
  <c r="AZ386" i="4"/>
  <c r="AY386" i="4"/>
  <c r="AV386" i="4"/>
  <c r="AX386" i="4" s="1"/>
  <c r="BA385" i="4"/>
  <c r="AZ385" i="4"/>
  <c r="AY385" i="4"/>
  <c r="AV385" i="4"/>
  <c r="AX385" i="4" s="1"/>
  <c r="BA384" i="4"/>
  <c r="AZ384" i="4"/>
  <c r="AY384" i="4"/>
  <c r="AV384" i="4"/>
  <c r="AX384" i="4" s="1"/>
  <c r="BA383" i="4"/>
  <c r="AZ383" i="4"/>
  <c r="AY383" i="4"/>
  <c r="AV383" i="4"/>
  <c r="AX383" i="4" s="1"/>
  <c r="BA382" i="4"/>
  <c r="AZ382" i="4"/>
  <c r="AY382" i="4"/>
  <c r="AV382" i="4"/>
  <c r="AX382" i="4" s="1"/>
  <c r="BA381" i="4"/>
  <c r="AZ381" i="4"/>
  <c r="AY381" i="4"/>
  <c r="AV381" i="4"/>
  <c r="AX381" i="4" s="1"/>
  <c r="BA380" i="4"/>
  <c r="AZ380" i="4"/>
  <c r="AY380" i="4"/>
  <c r="AV380" i="4"/>
  <c r="AX380" i="4" s="1"/>
  <c r="BA379" i="4"/>
  <c r="AZ379" i="4"/>
  <c r="AY379" i="4"/>
  <c r="AV379" i="4"/>
  <c r="AX379" i="4" s="1"/>
  <c r="BA378" i="4"/>
  <c r="AZ378" i="4"/>
  <c r="AY378" i="4"/>
  <c r="AV378" i="4"/>
  <c r="AX378" i="4" s="1"/>
  <c r="BA377" i="4"/>
  <c r="AZ377" i="4"/>
  <c r="AY377" i="4"/>
  <c r="AV377" i="4"/>
  <c r="AX377" i="4" s="1"/>
  <c r="BA376" i="4"/>
  <c r="AZ376" i="4"/>
  <c r="AY376" i="4"/>
  <c r="AV376" i="4"/>
  <c r="AX376" i="4" s="1"/>
  <c r="BA375" i="4"/>
  <c r="AZ375" i="4"/>
  <c r="AY375" i="4"/>
  <c r="AV375" i="4"/>
  <c r="AX375" i="4" s="1"/>
  <c r="BA374" i="4"/>
  <c r="AZ374" i="4"/>
  <c r="AY374" i="4"/>
  <c r="AV374" i="4"/>
  <c r="AX374" i="4" s="1"/>
  <c r="BA373" i="4"/>
  <c r="AZ373" i="4"/>
  <c r="AY373" i="4"/>
  <c r="AV373" i="4"/>
  <c r="AX373" i="4" s="1"/>
  <c r="BA372" i="4"/>
  <c r="AZ372" i="4"/>
  <c r="AY372" i="4"/>
  <c r="AV372" i="4"/>
  <c r="AX372" i="4" s="1"/>
  <c r="BA371" i="4"/>
  <c r="AZ371" i="4"/>
  <c r="AY371" i="4"/>
  <c r="AV371" i="4"/>
  <c r="AX371" i="4" s="1"/>
  <c r="BA370" i="4"/>
  <c r="AZ370" i="4"/>
  <c r="AY370" i="4"/>
  <c r="AV370" i="4"/>
  <c r="AX370" i="4" s="1"/>
  <c r="BA369" i="4"/>
  <c r="AZ369" i="4"/>
  <c r="AY369" i="4"/>
  <c r="AV369" i="4"/>
  <c r="AX369" i="4" s="1"/>
  <c r="BA368" i="4"/>
  <c r="AZ368" i="4"/>
  <c r="AY368" i="4"/>
  <c r="AV368" i="4"/>
  <c r="AX368" i="4" s="1"/>
  <c r="BA367" i="4"/>
  <c r="AZ367" i="4"/>
  <c r="AY367" i="4"/>
  <c r="AV367" i="4"/>
  <c r="AX367" i="4" s="1"/>
  <c r="BA366" i="4"/>
  <c r="AZ366" i="4"/>
  <c r="AY366" i="4"/>
  <c r="AV366" i="4"/>
  <c r="AX366" i="4" s="1"/>
  <c r="BA365" i="4"/>
  <c r="AZ365" i="4"/>
  <c r="AY365" i="4"/>
  <c r="AV365" i="4"/>
  <c r="AX365" i="4" s="1"/>
  <c r="BA364" i="4"/>
  <c r="AZ364" i="4"/>
  <c r="AY364" i="4"/>
  <c r="AV364" i="4"/>
  <c r="AX364" i="4" s="1"/>
  <c r="BA363" i="4"/>
  <c r="AZ363" i="4"/>
  <c r="AY363" i="4"/>
  <c r="AV363" i="4"/>
  <c r="AX363" i="4" s="1"/>
  <c r="BA362" i="4"/>
  <c r="AZ362" i="4"/>
  <c r="AY362" i="4"/>
  <c r="AV362" i="4"/>
  <c r="AX362" i="4" s="1"/>
  <c r="BA361" i="4"/>
  <c r="AZ361" i="4"/>
  <c r="AY361" i="4"/>
  <c r="AV361" i="4"/>
  <c r="AX361" i="4" s="1"/>
  <c r="BA360" i="4"/>
  <c r="AZ360" i="4"/>
  <c r="AY360" i="4"/>
  <c r="AV360" i="4"/>
  <c r="AX360" i="4" s="1"/>
  <c r="BA359" i="4"/>
  <c r="AZ359" i="4"/>
  <c r="AY359" i="4"/>
  <c r="AV359" i="4"/>
  <c r="AX359" i="4" s="1"/>
  <c r="BA358" i="4"/>
  <c r="AZ358" i="4"/>
  <c r="AY358" i="4"/>
  <c r="AV358" i="4"/>
  <c r="AX358" i="4" s="1"/>
  <c r="BA357" i="4"/>
  <c r="AZ357" i="4"/>
  <c r="AY357" i="4"/>
  <c r="AV357" i="4"/>
  <c r="AX357" i="4" s="1"/>
  <c r="BA356" i="4"/>
  <c r="AZ356" i="4"/>
  <c r="AY356" i="4"/>
  <c r="AV356" i="4"/>
  <c r="AX356" i="4" s="1"/>
  <c r="BA355" i="4"/>
  <c r="AZ355" i="4"/>
  <c r="AY355" i="4"/>
  <c r="AV355" i="4"/>
  <c r="AX355" i="4" s="1"/>
  <c r="BA354" i="4"/>
  <c r="AZ354" i="4"/>
  <c r="AY354" i="4"/>
  <c r="AV354" i="4"/>
  <c r="AX354" i="4" s="1"/>
  <c r="BA353" i="4"/>
  <c r="AZ353" i="4"/>
  <c r="AY353" i="4"/>
  <c r="AV353" i="4"/>
  <c r="AX353" i="4" s="1"/>
  <c r="BA352" i="4"/>
  <c r="AZ352" i="4"/>
  <c r="AY352" i="4"/>
  <c r="AV352" i="4"/>
  <c r="AX352" i="4" s="1"/>
  <c r="BA351" i="4"/>
  <c r="AZ351" i="4"/>
  <c r="AY351" i="4"/>
  <c r="AV351" i="4"/>
  <c r="AX351" i="4" s="1"/>
  <c r="BA350" i="4"/>
  <c r="AZ350" i="4"/>
  <c r="AY350" i="4"/>
  <c r="AV350" i="4"/>
  <c r="AX350" i="4" s="1"/>
  <c r="BA349" i="4"/>
  <c r="AZ349" i="4"/>
  <c r="AY349" i="4"/>
  <c r="AV349" i="4"/>
  <c r="AX349" i="4" s="1"/>
  <c r="BA348" i="4"/>
  <c r="AZ348" i="4"/>
  <c r="AY348" i="4"/>
  <c r="AV348" i="4"/>
  <c r="AX348" i="4" s="1"/>
  <c r="BA347" i="4"/>
  <c r="AZ347" i="4"/>
  <c r="AY347" i="4"/>
  <c r="AV347" i="4"/>
  <c r="AX347" i="4" s="1"/>
  <c r="BA346" i="4"/>
  <c r="AZ346" i="4"/>
  <c r="AY346" i="4"/>
  <c r="AV346" i="4"/>
  <c r="AX346" i="4" s="1"/>
  <c r="BA345" i="4"/>
  <c r="AZ345" i="4"/>
  <c r="AY345" i="4"/>
  <c r="AV345" i="4"/>
  <c r="AX345" i="4" s="1"/>
  <c r="BA344" i="4"/>
  <c r="AZ344" i="4"/>
  <c r="AY344" i="4"/>
  <c r="AV344" i="4"/>
  <c r="AX344" i="4" s="1"/>
  <c r="BA343" i="4"/>
  <c r="AZ343" i="4"/>
  <c r="AY343" i="4"/>
  <c r="AV343" i="4"/>
  <c r="AX343" i="4" s="1"/>
  <c r="BA342" i="4"/>
  <c r="AZ342" i="4"/>
  <c r="AY342" i="4"/>
  <c r="AV342" i="4"/>
  <c r="AX342" i="4" s="1"/>
  <c r="BA341" i="4"/>
  <c r="AZ341" i="4"/>
  <c r="AY341" i="4"/>
  <c r="AV341" i="4"/>
  <c r="AX341" i="4" s="1"/>
  <c r="BA340" i="4"/>
  <c r="AZ340" i="4"/>
  <c r="AY340" i="4"/>
  <c r="AV340" i="4"/>
  <c r="AX340" i="4" s="1"/>
  <c r="BA339" i="4"/>
  <c r="AZ339" i="4"/>
  <c r="AY339" i="4"/>
  <c r="AV339" i="4"/>
  <c r="AX339" i="4" s="1"/>
  <c r="BA338" i="4"/>
  <c r="AZ338" i="4"/>
  <c r="AY338" i="4"/>
  <c r="AV338" i="4"/>
  <c r="AX338" i="4" s="1"/>
  <c r="BA337" i="4"/>
  <c r="AZ337" i="4"/>
  <c r="AY337" i="4"/>
  <c r="AV337" i="4"/>
  <c r="AX337" i="4" s="1"/>
  <c r="BA336" i="4"/>
  <c r="AZ336" i="4"/>
  <c r="AY336" i="4"/>
  <c r="AV336" i="4"/>
  <c r="AX336" i="4" s="1"/>
  <c r="BA335" i="4"/>
  <c r="AZ335" i="4"/>
  <c r="AY335" i="4"/>
  <c r="AV335" i="4"/>
  <c r="AX335" i="4" s="1"/>
  <c r="BA334" i="4"/>
  <c r="AZ334" i="4"/>
  <c r="AY334" i="4"/>
  <c r="AV334" i="4"/>
  <c r="AX334" i="4" s="1"/>
  <c r="BA333" i="4"/>
  <c r="AZ333" i="4"/>
  <c r="AY333" i="4"/>
  <c r="AV333" i="4"/>
  <c r="AX333" i="4" s="1"/>
  <c r="BA332" i="4"/>
  <c r="AZ332" i="4"/>
  <c r="AY332" i="4"/>
  <c r="AV332" i="4"/>
  <c r="AX332" i="4" s="1"/>
  <c r="BA331" i="4"/>
  <c r="AZ331" i="4"/>
  <c r="AY331" i="4"/>
  <c r="AV331" i="4"/>
  <c r="AX331" i="4" s="1"/>
  <c r="BA330" i="4"/>
  <c r="AZ330" i="4"/>
  <c r="AY330" i="4"/>
  <c r="AV330" i="4"/>
  <c r="AX330" i="4" s="1"/>
  <c r="BA329" i="4"/>
  <c r="AZ329" i="4"/>
  <c r="AY329" i="4"/>
  <c r="AV329" i="4"/>
  <c r="AX329" i="4" s="1"/>
  <c r="BA328" i="4"/>
  <c r="AZ328" i="4"/>
  <c r="AY328" i="4"/>
  <c r="AV328" i="4"/>
  <c r="AX328" i="4" s="1"/>
  <c r="BA327" i="4"/>
  <c r="AZ327" i="4"/>
  <c r="AY327" i="4"/>
  <c r="AV327" i="4"/>
  <c r="AX327" i="4" s="1"/>
  <c r="BA326" i="4"/>
  <c r="AZ326" i="4"/>
  <c r="AY326" i="4"/>
  <c r="AV326" i="4"/>
  <c r="AX326" i="4" s="1"/>
  <c r="BA325" i="4"/>
  <c r="AZ325" i="4"/>
  <c r="AY325" i="4"/>
  <c r="AV325" i="4"/>
  <c r="AX325" i="4" s="1"/>
  <c r="BA324" i="4"/>
  <c r="AZ324" i="4"/>
  <c r="AY324" i="4"/>
  <c r="AV324" i="4"/>
  <c r="AX324" i="4" s="1"/>
  <c r="BA323" i="4"/>
  <c r="AZ323" i="4"/>
  <c r="AY323" i="4"/>
  <c r="AV323" i="4"/>
  <c r="AX323" i="4" s="1"/>
  <c r="BA322" i="4"/>
  <c r="AZ322" i="4"/>
  <c r="AY322" i="4"/>
  <c r="AV322" i="4"/>
  <c r="AX322" i="4" s="1"/>
  <c r="BA321" i="4"/>
  <c r="AZ321" i="4"/>
  <c r="AY321" i="4"/>
  <c r="AV321" i="4"/>
  <c r="AX321" i="4" s="1"/>
  <c r="BA320" i="4"/>
  <c r="AZ320" i="4"/>
  <c r="AY320" i="4"/>
  <c r="AV320" i="4"/>
  <c r="AX320" i="4" s="1"/>
  <c r="BA319" i="4"/>
  <c r="AZ319" i="4"/>
  <c r="AY319" i="4"/>
  <c r="AV319" i="4"/>
  <c r="AX319" i="4" s="1"/>
  <c r="BA318" i="4"/>
  <c r="AZ318" i="4"/>
  <c r="AY318" i="4"/>
  <c r="AV318" i="4"/>
  <c r="AX318" i="4" s="1"/>
  <c r="BA317" i="4"/>
  <c r="AZ317" i="4"/>
  <c r="AY317" i="4"/>
  <c r="AV317" i="4"/>
  <c r="AX317" i="4" s="1"/>
  <c r="BA316" i="4"/>
  <c r="AZ316" i="4"/>
  <c r="AY316" i="4"/>
  <c r="AV316" i="4"/>
  <c r="AX316" i="4" s="1"/>
  <c r="BA315" i="4"/>
  <c r="AZ315" i="4"/>
  <c r="AY315" i="4"/>
  <c r="AV315" i="4"/>
  <c r="AX315" i="4" s="1"/>
  <c r="BA314" i="4"/>
  <c r="AZ314" i="4"/>
  <c r="AY314" i="4"/>
  <c r="AV314" i="4"/>
  <c r="AX314" i="4" s="1"/>
  <c r="BA313" i="4"/>
  <c r="AZ313" i="4"/>
  <c r="AY313" i="4"/>
  <c r="AV313" i="4"/>
  <c r="AX313" i="4" s="1"/>
  <c r="BA312" i="4"/>
  <c r="AZ312" i="4"/>
  <c r="AY312" i="4"/>
  <c r="AV312" i="4"/>
  <c r="AX312" i="4" s="1"/>
  <c r="BA311" i="4"/>
  <c r="AZ311" i="4"/>
  <c r="AY311" i="4"/>
  <c r="AV311" i="4"/>
  <c r="AX311" i="4" s="1"/>
  <c r="BA310" i="4"/>
  <c r="AZ310" i="4"/>
  <c r="AY310" i="4"/>
  <c r="AV310" i="4"/>
  <c r="AX310" i="4" s="1"/>
  <c r="BA309" i="4"/>
  <c r="AZ309" i="4"/>
  <c r="AY309" i="4"/>
  <c r="AV309" i="4"/>
  <c r="AX309" i="4" s="1"/>
  <c r="BA308" i="4"/>
  <c r="AZ308" i="4"/>
  <c r="AY308" i="4"/>
  <c r="AV308" i="4"/>
  <c r="AX308" i="4" s="1"/>
  <c r="BA307" i="4"/>
  <c r="AZ307" i="4"/>
  <c r="AY307" i="4"/>
  <c r="AV307" i="4"/>
  <c r="AX307" i="4" s="1"/>
  <c r="BA306" i="4"/>
  <c r="AZ306" i="4"/>
  <c r="AY306" i="4"/>
  <c r="AV306" i="4"/>
  <c r="AX306" i="4" s="1"/>
  <c r="BA305" i="4"/>
  <c r="AZ305" i="4"/>
  <c r="AY305" i="4"/>
  <c r="AV305" i="4"/>
  <c r="AX305" i="4" s="1"/>
  <c r="BA304" i="4"/>
  <c r="AZ304" i="4"/>
  <c r="AY304" i="4"/>
  <c r="AV304" i="4"/>
  <c r="AX304" i="4" s="1"/>
  <c r="BA303" i="4"/>
  <c r="AZ303" i="4"/>
  <c r="AY303" i="4"/>
  <c r="AV303" i="4"/>
  <c r="AX303" i="4" s="1"/>
  <c r="AX3166" i="3"/>
  <c r="AX3163" i="3"/>
  <c r="AX3160" i="3"/>
  <c r="AX3157" i="3"/>
  <c r="AX3154" i="3"/>
  <c r="AX3151" i="3"/>
  <c r="AX3148" i="3"/>
  <c r="AX3145" i="3"/>
  <c r="AX3141" i="3"/>
  <c r="AX3138" i="3"/>
  <c r="AX3135" i="3"/>
  <c r="AX3132" i="3"/>
  <c r="AX3129" i="3"/>
  <c r="AX3122" i="3"/>
  <c r="AX3119" i="3"/>
  <c r="AX3116" i="3"/>
  <c r="AX3113" i="3"/>
  <c r="AX3110" i="3"/>
  <c r="AX3107" i="3"/>
  <c r="AX3104" i="3"/>
  <c r="AX3101" i="3"/>
  <c r="AX3097" i="3"/>
  <c r="AX3094" i="3"/>
  <c r="AX3091" i="3"/>
  <c r="AX3088" i="3"/>
  <c r="AX3078" i="3"/>
  <c r="AX3075" i="3"/>
  <c r="AX3072" i="3"/>
  <c r="AX3069" i="3"/>
  <c r="AX3066" i="3"/>
  <c r="AX3063" i="3"/>
  <c r="AX3060" i="3"/>
  <c r="AX3057" i="3"/>
  <c r="AX3054" i="3"/>
  <c r="AX3051" i="3"/>
  <c r="AX3048" i="3"/>
  <c r="AX3045" i="3"/>
  <c r="AX3042" i="3"/>
  <c r="AX3039" i="3"/>
  <c r="AX3036" i="3"/>
  <c r="AX3033" i="3"/>
  <c r="AX3030" i="3"/>
  <c r="AX3026" i="3"/>
  <c r="AX3022" i="3"/>
  <c r="AX3019" i="3"/>
  <c r="AX3016" i="3"/>
  <c r="AX3013" i="3"/>
  <c r="AX3010" i="3"/>
  <c r="AX3007" i="3"/>
  <c r="AX3004" i="3"/>
  <c r="AX2992" i="3"/>
  <c r="AX2991" i="3"/>
  <c r="AX2969" i="3"/>
  <c r="AX2958" i="3"/>
  <c r="AX2925" i="3"/>
  <c r="AX2914" i="3"/>
  <c r="AX2903" i="3"/>
  <c r="AX2902" i="3"/>
  <c r="AX2892" i="3"/>
  <c r="AX2891" i="3"/>
  <c r="AX2878" i="3"/>
  <c r="AX2870" i="3"/>
  <c r="AX2869" i="3"/>
  <c r="AX2860" i="3"/>
  <c r="AX2837" i="3"/>
  <c r="AX2836" i="3"/>
  <c r="AX2829" i="3"/>
  <c r="AX2818" i="3"/>
  <c r="AX2807" i="3"/>
  <c r="AX2786" i="3"/>
  <c r="AX2743" i="3"/>
  <c r="AX2742" i="3"/>
  <c r="AX2732" i="3"/>
  <c r="AX2723" i="3"/>
  <c r="AX2722" i="3"/>
  <c r="AX2711" i="3"/>
  <c r="AX2690" i="3"/>
  <c r="AX2669" i="3"/>
  <c r="AX2648" i="3"/>
  <c r="AX2647" i="3"/>
  <c r="AX2638" i="3"/>
  <c r="AX2627" i="3"/>
  <c r="AX2617" i="3"/>
  <c r="AX2616" i="3"/>
  <c r="AX2615" i="3"/>
  <c r="AX2604" i="3"/>
  <c r="AX2595" i="3"/>
  <c r="AX2594" i="3"/>
  <c r="AX2571" i="3"/>
  <c r="AX2560" i="3"/>
  <c r="AX2559" i="3"/>
  <c r="AX2548" i="3"/>
  <c r="AX2539" i="3"/>
  <c r="AX2528" i="3"/>
  <c r="AX2527" i="3"/>
  <c r="AX2517" i="3"/>
  <c r="AX2509" i="3"/>
  <c r="AX2508" i="3"/>
  <c r="AX2497" i="3"/>
  <c r="AX2488" i="3"/>
  <c r="AX2475" i="3"/>
  <c r="AX2465" i="3"/>
  <c r="AX2454" i="3"/>
  <c r="AX2453" i="3"/>
  <c r="AX2443" i="3"/>
  <c r="AX2442" i="3"/>
  <c r="AX2434" i="3"/>
  <c r="AX2423" i="3"/>
  <c r="AX2412" i="3"/>
  <c r="AX2402" i="3"/>
  <c r="AX2391" i="3"/>
  <c r="AX2378" i="3"/>
  <c r="AX2167" i="3"/>
  <c r="AX934" i="3"/>
  <c r="AX922" i="3"/>
  <c r="AX917" i="3"/>
  <c r="AX911" i="3"/>
  <c r="AX910" i="3"/>
  <c r="AX887" i="3"/>
  <c r="AX878" i="3"/>
  <c r="AX872" i="3"/>
  <c r="AX846" i="3"/>
  <c r="AX835" i="3"/>
  <c r="AX824" i="3"/>
  <c r="AX2625" i="2"/>
  <c r="AX2594" i="2"/>
  <c r="AX2580" i="2"/>
  <c r="AX2579" i="2"/>
  <c r="AX2565" i="2"/>
  <c r="AX2564" i="2"/>
  <c r="AX2521" i="2"/>
  <c r="AX2506" i="2"/>
  <c r="AX2489" i="2"/>
  <c r="AX2488" i="2"/>
  <c r="AX2474" i="2"/>
  <c r="AX2432" i="2"/>
  <c r="AX2386" i="2"/>
  <c r="AX2371" i="2"/>
  <c r="AX2356" i="2"/>
  <c r="AX2354" i="2"/>
  <c r="AX2328" i="2"/>
  <c r="AX2296" i="2"/>
  <c r="AX2283" i="2"/>
  <c r="AX2268" i="2"/>
  <c r="AX2267" i="2"/>
  <c r="AX2252" i="2"/>
  <c r="AX2237" i="2"/>
  <c r="AX2222" i="2"/>
  <c r="AX2193" i="2"/>
  <c r="AX2176" i="2"/>
  <c r="AX2175" i="2"/>
  <c r="AX2162" i="2"/>
  <c r="AX2161" i="2"/>
  <c r="AZ302" i="4"/>
  <c r="AY302" i="4"/>
  <c r="AV302" i="4"/>
  <c r="AX302" i="4" s="1"/>
  <c r="BA301" i="4"/>
  <c r="AZ301" i="4"/>
  <c r="AY301" i="4"/>
  <c r="AV301" i="4"/>
  <c r="AX301" i="4" s="1"/>
  <c r="BA300" i="4"/>
  <c r="AZ300" i="4"/>
  <c r="AY300" i="4"/>
  <c r="AV300" i="4"/>
  <c r="AX300" i="4" s="1"/>
  <c r="BA299" i="4"/>
  <c r="AZ299" i="4"/>
  <c r="AY299" i="4"/>
  <c r="AV299" i="4"/>
  <c r="AX299" i="4" s="1"/>
  <c r="BA298" i="4"/>
  <c r="AZ298" i="4"/>
  <c r="AY298" i="4"/>
  <c r="AV298" i="4"/>
  <c r="AX298" i="4" s="1"/>
  <c r="BA297" i="4"/>
  <c r="AZ297" i="4"/>
  <c r="AY297" i="4"/>
  <c r="AV297" i="4"/>
  <c r="AX297" i="4" s="1"/>
  <c r="BA296" i="4"/>
  <c r="AZ296" i="4"/>
  <c r="AY296" i="4"/>
  <c r="AV296" i="4"/>
  <c r="AX296" i="4" s="1"/>
  <c r="BA295" i="4"/>
  <c r="AZ295" i="4"/>
  <c r="AY295" i="4"/>
  <c r="AV295" i="4"/>
  <c r="AX295" i="4" s="1"/>
  <c r="BA294" i="4"/>
  <c r="AZ294" i="4"/>
  <c r="AY294" i="4"/>
  <c r="AV294" i="4"/>
  <c r="AX294" i="4" s="1"/>
  <c r="BA293" i="4"/>
  <c r="AZ293" i="4"/>
  <c r="AY293" i="4"/>
  <c r="AV293" i="4"/>
  <c r="AX293" i="4" s="1"/>
  <c r="BA292" i="4"/>
  <c r="AZ292" i="4"/>
  <c r="AY292" i="4"/>
  <c r="AV292" i="4"/>
  <c r="AX292" i="4" s="1"/>
  <c r="BA291" i="4"/>
  <c r="AZ291" i="4"/>
  <c r="AY291" i="4"/>
  <c r="AV291" i="4"/>
  <c r="AX291" i="4" s="1"/>
  <c r="BA290" i="4"/>
  <c r="AZ290" i="4"/>
  <c r="AY290" i="4"/>
  <c r="AV290" i="4"/>
  <c r="AX290" i="4" s="1"/>
  <c r="BA289" i="4"/>
  <c r="AZ289" i="4"/>
  <c r="AY289" i="4"/>
  <c r="AV289" i="4"/>
  <c r="AX289" i="4" s="1"/>
  <c r="BA288" i="4"/>
  <c r="AZ288" i="4"/>
  <c r="AY288" i="4"/>
  <c r="AV288" i="4"/>
  <c r="AX288" i="4" s="1"/>
  <c r="BA287" i="4"/>
  <c r="AZ287" i="4"/>
  <c r="AY287" i="4"/>
  <c r="AV287" i="4"/>
  <c r="AX287" i="4" s="1"/>
  <c r="BA286" i="4"/>
  <c r="AZ286" i="4"/>
  <c r="AY286" i="4"/>
  <c r="AV286" i="4"/>
  <c r="AX286" i="4" s="1"/>
  <c r="BA285" i="4"/>
  <c r="AZ285" i="4"/>
  <c r="AY285" i="4"/>
  <c r="AV285" i="4"/>
  <c r="AX285" i="4" s="1"/>
  <c r="BA284" i="4"/>
  <c r="AZ284" i="4"/>
  <c r="AY284" i="4"/>
  <c r="AV284" i="4"/>
  <c r="AX284" i="4" s="1"/>
  <c r="BA283" i="4"/>
  <c r="AZ283" i="4"/>
  <c r="AY283" i="4"/>
  <c r="AV283" i="4"/>
  <c r="AX283" i="4" s="1"/>
  <c r="BA282" i="4"/>
  <c r="AZ282" i="4"/>
  <c r="AY282" i="4"/>
  <c r="AV282" i="4"/>
  <c r="AX282" i="4" s="1"/>
  <c r="BA281" i="4"/>
  <c r="AZ281" i="4"/>
  <c r="AY281" i="4"/>
  <c r="AV281" i="4"/>
  <c r="AX281" i="4" s="1"/>
  <c r="BA280" i="4"/>
  <c r="AZ280" i="4"/>
  <c r="AY280" i="4"/>
  <c r="AV280" i="4"/>
  <c r="AX280" i="4" s="1"/>
  <c r="BA279" i="4"/>
  <c r="AZ279" i="4"/>
  <c r="AY279" i="4"/>
  <c r="AV279" i="4"/>
  <c r="AX279" i="4" s="1"/>
  <c r="BA278" i="4"/>
  <c r="AZ278" i="4"/>
  <c r="AY278" i="4"/>
  <c r="AV278" i="4"/>
  <c r="AX278" i="4" s="1"/>
  <c r="BA277" i="4"/>
  <c r="AZ277" i="4"/>
  <c r="AY277" i="4"/>
  <c r="AV277" i="4"/>
  <c r="AX277" i="4" s="1"/>
  <c r="BA276" i="4"/>
  <c r="AZ276" i="4"/>
  <c r="AY276" i="4"/>
  <c r="AV276" i="4"/>
  <c r="AX276" i="4" s="1"/>
  <c r="BA275" i="4"/>
  <c r="AZ275" i="4"/>
  <c r="AY275" i="4"/>
  <c r="AV275" i="4"/>
  <c r="AX275" i="4" s="1"/>
  <c r="BA274" i="4"/>
  <c r="AZ274" i="4"/>
  <c r="AY274" i="4"/>
  <c r="AV274" i="4"/>
  <c r="AX274" i="4" s="1"/>
  <c r="BA273" i="4"/>
  <c r="AZ273" i="4"/>
  <c r="AY273" i="4"/>
  <c r="AV273" i="4"/>
  <c r="AX273" i="4" s="1"/>
  <c r="BA272" i="4"/>
  <c r="AZ272" i="4"/>
  <c r="AY272" i="4"/>
  <c r="AV272" i="4"/>
  <c r="AX272" i="4" s="1"/>
  <c r="BA271" i="4"/>
  <c r="AZ271" i="4"/>
  <c r="AY271" i="4"/>
  <c r="AV271" i="4"/>
  <c r="AX271" i="4" s="1"/>
  <c r="BA270" i="4"/>
  <c r="AZ270" i="4"/>
  <c r="AY270" i="4"/>
  <c r="AV270" i="4"/>
  <c r="AX270" i="4" s="1"/>
  <c r="BA269" i="4"/>
  <c r="AZ269" i="4"/>
  <c r="AY269" i="4"/>
  <c r="AV269" i="4"/>
  <c r="AX269" i="4" s="1"/>
  <c r="BA268" i="4"/>
  <c r="AZ268" i="4"/>
  <c r="AY268" i="4"/>
  <c r="AV268" i="4"/>
  <c r="AX268" i="4" s="1"/>
  <c r="BA267" i="4"/>
  <c r="AZ267" i="4"/>
  <c r="AY267" i="4"/>
  <c r="AV267" i="4"/>
  <c r="AX267" i="4" s="1"/>
  <c r="BA266" i="4"/>
  <c r="AZ266" i="4"/>
  <c r="AY266" i="4"/>
  <c r="AV266" i="4"/>
  <c r="AX266" i="4" s="1"/>
  <c r="BA265" i="4"/>
  <c r="AZ265" i="4"/>
  <c r="AY265" i="4"/>
  <c r="AV265" i="4"/>
  <c r="AX265" i="4" s="1"/>
  <c r="BA264" i="4"/>
  <c r="AZ264" i="4"/>
  <c r="AY264" i="4"/>
  <c r="AV264" i="4"/>
  <c r="AX264" i="4" s="1"/>
  <c r="BA263" i="4"/>
  <c r="AZ263" i="4"/>
  <c r="AY263" i="4"/>
  <c r="AV263" i="4"/>
  <c r="AX263" i="4" s="1"/>
  <c r="BA262" i="4"/>
  <c r="AZ262" i="4"/>
  <c r="AY262" i="4"/>
  <c r="AV262" i="4"/>
  <c r="AX262" i="4" s="1"/>
  <c r="BA261" i="4"/>
  <c r="AZ261" i="4"/>
  <c r="AY261" i="4"/>
  <c r="AV261" i="4"/>
  <c r="AX261" i="4" s="1"/>
  <c r="BA260" i="4"/>
  <c r="AZ260" i="4"/>
  <c r="AY260" i="4"/>
  <c r="AV260" i="4"/>
  <c r="AX260" i="4" s="1"/>
  <c r="BA259" i="4"/>
  <c r="AZ259" i="4"/>
  <c r="AY259" i="4"/>
  <c r="AV259" i="4"/>
  <c r="AX259" i="4" s="1"/>
  <c r="BA258" i="4"/>
  <c r="AZ258" i="4"/>
  <c r="AY258" i="4"/>
  <c r="AV258" i="4"/>
  <c r="AX258" i="4" s="1"/>
  <c r="BA257" i="4"/>
  <c r="AZ257" i="4"/>
  <c r="AY257" i="4"/>
  <c r="AV257" i="4"/>
  <c r="AX257" i="4" s="1"/>
  <c r="BA256" i="4"/>
  <c r="AZ256" i="4"/>
  <c r="AY256" i="4"/>
  <c r="AV256" i="4"/>
  <c r="AX256" i="4" s="1"/>
  <c r="BA255" i="4"/>
  <c r="AZ255" i="4"/>
  <c r="AY255" i="4"/>
  <c r="AV255" i="4"/>
  <c r="AX255" i="4" s="1"/>
  <c r="BA254" i="4"/>
  <c r="AZ254" i="4"/>
  <c r="AY254" i="4"/>
  <c r="AV254" i="4"/>
  <c r="AX254" i="4" s="1"/>
  <c r="BA253" i="4"/>
  <c r="AZ253" i="4"/>
  <c r="AY253" i="4"/>
  <c r="AV253" i="4"/>
  <c r="AX253" i="4" s="1"/>
  <c r="BA252" i="4"/>
  <c r="AZ252" i="4"/>
  <c r="AY252" i="4"/>
  <c r="AV252" i="4"/>
  <c r="AX252" i="4" s="1"/>
  <c r="BA251" i="4"/>
  <c r="AZ251" i="4"/>
  <c r="AY251" i="4"/>
  <c r="AV251" i="4"/>
  <c r="AX251" i="4" s="1"/>
  <c r="BA250" i="4"/>
  <c r="AZ250" i="4"/>
  <c r="AY250" i="4"/>
  <c r="AV250" i="4"/>
  <c r="AX250" i="4" s="1"/>
  <c r="BA249" i="4"/>
  <c r="AZ249" i="4"/>
  <c r="AY249" i="4"/>
  <c r="AV249" i="4"/>
  <c r="AX249" i="4" s="1"/>
  <c r="BA248" i="4"/>
  <c r="AZ248" i="4"/>
  <c r="AY248" i="4"/>
  <c r="AV248" i="4"/>
  <c r="AX248" i="4" s="1"/>
  <c r="BA247" i="4"/>
  <c r="AZ247" i="4"/>
  <c r="AY247" i="4"/>
  <c r="AV247" i="4"/>
  <c r="AX247" i="4" s="1"/>
  <c r="BA246" i="4"/>
  <c r="AZ246" i="4"/>
  <c r="AY246" i="4"/>
  <c r="AV246" i="4"/>
  <c r="AX246" i="4" s="1"/>
  <c r="BA245" i="4"/>
  <c r="AZ245" i="4"/>
  <c r="AY245" i="4"/>
  <c r="AV245" i="4"/>
  <c r="AX245" i="4" s="1"/>
  <c r="BA244" i="4"/>
  <c r="AZ244" i="4"/>
  <c r="AY244" i="4"/>
  <c r="AV244" i="4"/>
  <c r="AX244" i="4" s="1"/>
  <c r="BA243" i="4"/>
  <c r="AZ243" i="4"/>
  <c r="AY243" i="4"/>
  <c r="AV243" i="4"/>
  <c r="AX243" i="4" s="1"/>
  <c r="BA242" i="4"/>
  <c r="AZ242" i="4"/>
  <c r="AY242" i="4"/>
  <c r="AV242" i="4"/>
  <c r="AX242" i="4" s="1"/>
  <c r="BA241" i="4"/>
  <c r="AZ241" i="4"/>
  <c r="AY241" i="4"/>
  <c r="AV241" i="4"/>
  <c r="AX241" i="4" s="1"/>
  <c r="BA240" i="4"/>
  <c r="AZ240" i="4"/>
  <c r="AY240" i="4"/>
  <c r="AV240" i="4"/>
  <c r="AX240" i="4" s="1"/>
  <c r="BA239" i="4"/>
  <c r="AZ239" i="4"/>
  <c r="AY239" i="4"/>
  <c r="AV239" i="4"/>
  <c r="AX239" i="4" s="1"/>
  <c r="BA238" i="4"/>
  <c r="AZ238" i="4"/>
  <c r="AY238" i="4"/>
  <c r="AV238" i="4"/>
  <c r="AX238" i="4" s="1"/>
  <c r="BA237" i="4"/>
  <c r="AZ237" i="4"/>
  <c r="AY237" i="4"/>
  <c r="AV237" i="4"/>
  <c r="AX237" i="4" s="1"/>
  <c r="BA236" i="4"/>
  <c r="AZ236" i="4"/>
  <c r="AY236" i="4"/>
  <c r="AV236" i="4"/>
  <c r="AX236" i="4" s="1"/>
  <c r="BA235" i="4"/>
  <c r="AZ235" i="4"/>
  <c r="AY235" i="4"/>
  <c r="AV235" i="4"/>
  <c r="AX235" i="4" s="1"/>
  <c r="BA234" i="4"/>
  <c r="AZ234" i="4"/>
  <c r="AY234" i="4"/>
  <c r="AV234" i="4"/>
  <c r="AX234" i="4" s="1"/>
  <c r="BA233" i="4"/>
  <c r="AZ233" i="4"/>
  <c r="AY233" i="4"/>
  <c r="AV233" i="4"/>
  <c r="AX233" i="4" s="1"/>
  <c r="BA232" i="4"/>
  <c r="AZ232" i="4"/>
  <c r="AY232" i="4"/>
  <c r="AV232" i="4"/>
  <c r="AX232" i="4" s="1"/>
  <c r="BA231" i="4"/>
  <c r="AZ231" i="4"/>
  <c r="AY231" i="4"/>
  <c r="AV231" i="4"/>
  <c r="AX231" i="4" s="1"/>
  <c r="BA230" i="4"/>
  <c r="AZ230" i="4"/>
  <c r="AY230" i="4"/>
  <c r="AV230" i="4"/>
  <c r="AX230" i="4" s="1"/>
  <c r="BA229" i="4"/>
  <c r="AZ229" i="4"/>
  <c r="AY229" i="4"/>
  <c r="AV229" i="4"/>
  <c r="AX229" i="4" s="1"/>
  <c r="BA228" i="4"/>
  <c r="AZ228" i="4"/>
  <c r="AY228" i="4"/>
  <c r="AV228" i="4"/>
  <c r="AX228" i="4" s="1"/>
  <c r="BA227" i="4"/>
  <c r="AZ227" i="4"/>
  <c r="AY227" i="4"/>
  <c r="AV227" i="4"/>
  <c r="AX227" i="4" s="1"/>
  <c r="BA226" i="4"/>
  <c r="AZ226" i="4"/>
  <c r="AY226" i="4"/>
  <c r="AV226" i="4"/>
  <c r="AX226" i="4" s="1"/>
  <c r="BA225" i="4"/>
  <c r="AZ225" i="4"/>
  <c r="AY225" i="4"/>
  <c r="AV225" i="4"/>
  <c r="AX225" i="4" s="1"/>
  <c r="BA224" i="4"/>
  <c r="AZ224" i="4"/>
  <c r="AY224" i="4"/>
  <c r="AV224" i="4"/>
  <c r="AX224" i="4" s="1"/>
  <c r="BA223" i="4"/>
  <c r="AZ223" i="4"/>
  <c r="AY223" i="4"/>
  <c r="AV223" i="4"/>
  <c r="AX223" i="4" s="1"/>
  <c r="BA222" i="4"/>
  <c r="AZ222" i="4"/>
  <c r="AY222" i="4"/>
  <c r="AV222" i="4"/>
  <c r="AX222" i="4" s="1"/>
  <c r="BA221" i="4"/>
  <c r="AZ221" i="4"/>
  <c r="AY221" i="4"/>
  <c r="AV221" i="4"/>
  <c r="AX221" i="4" s="1"/>
  <c r="BA220" i="4"/>
  <c r="AZ220" i="4"/>
  <c r="AY220" i="4"/>
  <c r="AV220" i="4"/>
  <c r="AX220" i="4" s="1"/>
  <c r="BA219" i="4"/>
  <c r="AZ219" i="4"/>
  <c r="AY219" i="4"/>
  <c r="AV219" i="4"/>
  <c r="AX219" i="4" s="1"/>
  <c r="BA218" i="4"/>
  <c r="AZ218" i="4"/>
  <c r="AY218" i="4"/>
  <c r="AV218" i="4"/>
  <c r="AX218" i="4" s="1"/>
  <c r="BA217" i="4"/>
  <c r="AZ217" i="4"/>
  <c r="AY217" i="4"/>
  <c r="AV217" i="4"/>
  <c r="AX217" i="4" s="1"/>
  <c r="BA216" i="4"/>
  <c r="AZ216" i="4"/>
  <c r="AY216" i="4"/>
  <c r="AV216" i="4"/>
  <c r="AX216" i="4" s="1"/>
  <c r="BA215" i="4"/>
  <c r="AZ215" i="4"/>
  <c r="AY215" i="4"/>
  <c r="AV215" i="4"/>
  <c r="AX215" i="4" s="1"/>
  <c r="BA214" i="4"/>
  <c r="AZ214" i="4"/>
  <c r="AY214" i="4"/>
  <c r="AV214" i="4"/>
  <c r="AX214" i="4" s="1"/>
  <c r="BA213" i="4"/>
  <c r="AZ213" i="4"/>
  <c r="AY213" i="4"/>
  <c r="AV213" i="4"/>
  <c r="AX213" i="4" s="1"/>
  <c r="BA212" i="4"/>
  <c r="AZ212" i="4"/>
  <c r="AY212" i="4"/>
  <c r="AV212" i="4"/>
  <c r="AX212" i="4" s="1"/>
  <c r="BA211" i="4"/>
  <c r="AZ211" i="4"/>
  <c r="AY211" i="4"/>
  <c r="AV211" i="4"/>
  <c r="AX211" i="4" s="1"/>
  <c r="BA210" i="4"/>
  <c r="AZ210" i="4"/>
  <c r="AY210" i="4"/>
  <c r="AV210" i="4"/>
  <c r="AX210" i="4" s="1"/>
  <c r="BA209" i="4"/>
  <c r="AZ209" i="4"/>
  <c r="AY209" i="4"/>
  <c r="AV209" i="4"/>
  <c r="AX209" i="4" s="1"/>
  <c r="BA208" i="4"/>
  <c r="AZ208" i="4"/>
  <c r="AY208" i="4"/>
  <c r="AV208" i="4"/>
  <c r="AX208" i="4" s="1"/>
  <c r="BA207" i="4"/>
  <c r="AZ207" i="4"/>
  <c r="AY207" i="4"/>
  <c r="AV207" i="4"/>
  <c r="AX207" i="4" s="1"/>
  <c r="BA206" i="4"/>
  <c r="AZ206" i="4"/>
  <c r="AY206" i="4"/>
  <c r="AV206" i="4"/>
  <c r="AX206" i="4" s="1"/>
  <c r="BA205" i="4"/>
  <c r="AZ205" i="4"/>
  <c r="AY205" i="4"/>
  <c r="AV205" i="4"/>
  <c r="AX205" i="4" s="1"/>
  <c r="BA204" i="4"/>
  <c r="AZ204" i="4"/>
  <c r="AY204" i="4"/>
  <c r="AV204" i="4"/>
  <c r="AX204" i="4" s="1"/>
  <c r="BA203" i="4"/>
  <c r="AZ203" i="4"/>
  <c r="AY203" i="4"/>
  <c r="AV203" i="4"/>
  <c r="AX203" i="4" s="1"/>
  <c r="BA202" i="4"/>
  <c r="AZ202" i="4"/>
  <c r="AY202" i="4"/>
  <c r="AV202" i="4"/>
  <c r="AX202" i="4" s="1"/>
  <c r="BA201" i="4"/>
  <c r="AZ201" i="4"/>
  <c r="AY201" i="4"/>
  <c r="AV201" i="4"/>
  <c r="AX201" i="4" s="1"/>
  <c r="BA200" i="4"/>
  <c r="AZ200" i="4"/>
  <c r="AY200" i="4"/>
  <c r="AV200" i="4"/>
  <c r="AX200" i="4" s="1"/>
  <c r="BA199" i="4"/>
  <c r="AZ199" i="4"/>
  <c r="AY199" i="4"/>
  <c r="AV199" i="4"/>
  <c r="AX199" i="4" s="1"/>
  <c r="BA198" i="4"/>
  <c r="AZ198" i="4"/>
  <c r="AY198" i="4"/>
  <c r="AV198" i="4"/>
  <c r="AX198" i="4" s="1"/>
  <c r="BA197" i="4"/>
  <c r="AZ197" i="4"/>
  <c r="AY197" i="4"/>
  <c r="AV197" i="4"/>
  <c r="AX197" i="4" s="1"/>
  <c r="BA196" i="4"/>
  <c r="AZ196" i="4"/>
  <c r="AY196" i="4"/>
  <c r="AV196" i="4"/>
  <c r="AX196" i="4" s="1"/>
  <c r="BA195" i="4"/>
  <c r="AZ195" i="4"/>
  <c r="AY195" i="4"/>
  <c r="AV195" i="4"/>
  <c r="AX195" i="4" s="1"/>
  <c r="BA194" i="4"/>
  <c r="AZ194" i="4"/>
  <c r="AY194" i="4"/>
  <c r="AV194" i="4"/>
  <c r="AX194" i="4" s="1"/>
  <c r="BA193" i="4"/>
  <c r="AZ193" i="4"/>
  <c r="AY193" i="4"/>
  <c r="AV193" i="4"/>
  <c r="AX193" i="4" s="1"/>
  <c r="BA192" i="4"/>
  <c r="AZ192" i="4"/>
  <c r="AY192" i="4"/>
  <c r="AV192" i="4"/>
  <c r="AX192" i="4" s="1"/>
  <c r="BA191" i="4"/>
  <c r="AZ191" i="4"/>
  <c r="AY191" i="4"/>
  <c r="AV191" i="4"/>
  <c r="AX191" i="4" s="1"/>
  <c r="BA190" i="4"/>
  <c r="AZ190" i="4"/>
  <c r="AY190" i="4"/>
  <c r="AV190" i="4"/>
  <c r="AX190" i="4" s="1"/>
  <c r="BA189" i="4"/>
  <c r="AZ189" i="4"/>
  <c r="AY189" i="4"/>
  <c r="AV189" i="4"/>
  <c r="AX189" i="4" s="1"/>
  <c r="BA188" i="4"/>
  <c r="AZ188" i="4"/>
  <c r="AY188" i="4"/>
  <c r="AV188" i="4"/>
  <c r="AX188" i="4" s="1"/>
  <c r="BA187" i="4"/>
  <c r="AZ187" i="4"/>
  <c r="AY187" i="4"/>
  <c r="AV187" i="4"/>
  <c r="AX187" i="4" s="1"/>
  <c r="BA186" i="4"/>
  <c r="AZ186" i="4"/>
  <c r="AY186" i="4"/>
  <c r="AV186" i="4"/>
  <c r="AX186" i="4" s="1"/>
  <c r="BA185" i="4"/>
  <c r="AZ185" i="4"/>
  <c r="AY185" i="4"/>
  <c r="AV185" i="4"/>
  <c r="AX185" i="4" s="1"/>
  <c r="BA184" i="4"/>
  <c r="AZ184" i="4"/>
  <c r="AY184" i="4"/>
  <c r="AV184" i="4"/>
  <c r="AX184" i="4" s="1"/>
  <c r="BA183" i="4"/>
  <c r="AZ183" i="4"/>
  <c r="AY183" i="4"/>
  <c r="AV183" i="4"/>
  <c r="AX183" i="4" s="1"/>
  <c r="BA182" i="4"/>
  <c r="AZ182" i="4"/>
  <c r="AY182" i="4"/>
  <c r="AV182" i="4"/>
  <c r="AX182" i="4" s="1"/>
  <c r="BA181" i="4"/>
  <c r="AZ181" i="4"/>
  <c r="AY181" i="4"/>
  <c r="AV181" i="4"/>
  <c r="AX181" i="4" s="1"/>
  <c r="BA180" i="4"/>
  <c r="AZ180" i="4"/>
  <c r="AY180" i="4"/>
  <c r="AV180" i="4"/>
  <c r="AX180" i="4" s="1"/>
  <c r="BA179" i="4"/>
  <c r="AZ179" i="4"/>
  <c r="AY179" i="4"/>
  <c r="AV179" i="4"/>
  <c r="AX179" i="4" s="1"/>
  <c r="BA178" i="4"/>
  <c r="AZ178" i="4"/>
  <c r="AY178" i="4"/>
  <c r="AV178" i="4"/>
  <c r="AX178" i="4" s="1"/>
  <c r="BA177" i="4"/>
  <c r="AZ177" i="4"/>
  <c r="AY177" i="4"/>
  <c r="AV177" i="4"/>
  <c r="AX177" i="4" s="1"/>
  <c r="BA176" i="4"/>
  <c r="AZ176" i="4"/>
  <c r="AY176" i="4"/>
  <c r="AV176" i="4"/>
  <c r="AX176" i="4" s="1"/>
  <c r="BA175" i="4"/>
  <c r="AZ175" i="4"/>
  <c r="AY175" i="4"/>
  <c r="AV175" i="4"/>
  <c r="AX175" i="4" s="1"/>
  <c r="BA174" i="4"/>
  <c r="AZ174" i="4"/>
  <c r="AY174" i="4"/>
  <c r="AV174" i="4"/>
  <c r="AX174" i="4" s="1"/>
  <c r="BA173" i="4"/>
  <c r="AZ173" i="4"/>
  <c r="AY173" i="4"/>
  <c r="AV173" i="4"/>
  <c r="AX173" i="4" s="1"/>
  <c r="BA172" i="4"/>
  <c r="AZ172" i="4"/>
  <c r="AY172" i="4"/>
  <c r="AV172" i="4"/>
  <c r="AX172" i="4" s="1"/>
  <c r="BA171" i="4"/>
  <c r="AZ171" i="4"/>
  <c r="AY171" i="4"/>
  <c r="AV171" i="4"/>
  <c r="AX171" i="4" s="1"/>
  <c r="BA170" i="4"/>
  <c r="AZ170" i="4"/>
  <c r="AY170" i="4"/>
  <c r="AV170" i="4"/>
  <c r="AX170" i="4" s="1"/>
  <c r="BA169" i="4"/>
  <c r="AZ169" i="4"/>
  <c r="AY169" i="4"/>
  <c r="AV169" i="4"/>
  <c r="AX169" i="4" s="1"/>
  <c r="BA168" i="4"/>
  <c r="AZ168" i="4"/>
  <c r="AY168" i="4"/>
  <c r="AV168" i="4"/>
  <c r="AX168" i="4" s="1"/>
  <c r="BA167" i="4"/>
  <c r="AZ167" i="4"/>
  <c r="AY167" i="4"/>
  <c r="AV167" i="4"/>
  <c r="AX167" i="4" s="1"/>
  <c r="BA166" i="4"/>
  <c r="AZ166" i="4"/>
  <c r="AY166" i="4"/>
  <c r="AV166" i="4"/>
  <c r="AX166" i="4" s="1"/>
  <c r="BA165" i="4"/>
  <c r="AZ165" i="4"/>
  <c r="AY165" i="4"/>
  <c r="AV165" i="4"/>
  <c r="AX165" i="4" s="1"/>
  <c r="BA164" i="4"/>
  <c r="AZ164" i="4"/>
  <c r="AY164" i="4"/>
  <c r="AV164" i="4"/>
  <c r="AX164" i="4" s="1"/>
  <c r="BA163" i="4"/>
  <c r="AZ163" i="4"/>
  <c r="AY163" i="4"/>
  <c r="AV163" i="4"/>
  <c r="AX163" i="4" s="1"/>
  <c r="BA162" i="4"/>
  <c r="AZ162" i="4"/>
  <c r="AY162" i="4"/>
  <c r="AV162" i="4"/>
  <c r="AX162" i="4" s="1"/>
  <c r="BA161" i="4"/>
  <c r="AZ161" i="4"/>
  <c r="AY161" i="4"/>
  <c r="AV161" i="4"/>
  <c r="AX161" i="4" s="1"/>
  <c r="BA160" i="4"/>
  <c r="AZ160" i="4"/>
  <c r="AY160" i="4"/>
  <c r="AV160" i="4"/>
  <c r="AX160" i="4" s="1"/>
  <c r="BA159" i="4"/>
  <c r="AZ159" i="4"/>
  <c r="AY159" i="4"/>
  <c r="AV159" i="4"/>
  <c r="AX159" i="4" s="1"/>
  <c r="BA158" i="4"/>
  <c r="AZ158" i="4"/>
  <c r="AY158" i="4"/>
  <c r="AV158" i="4"/>
  <c r="AX158" i="4" s="1"/>
  <c r="BA157" i="4"/>
  <c r="AZ157" i="4"/>
  <c r="AY157" i="4"/>
  <c r="AV157" i="4"/>
  <c r="AX157" i="4" s="1"/>
  <c r="BA156" i="4"/>
  <c r="AZ156" i="4"/>
  <c r="AY156" i="4"/>
  <c r="AV156" i="4"/>
  <c r="AX156" i="4" s="1"/>
  <c r="BA155" i="4"/>
  <c r="AZ155" i="4"/>
  <c r="AY155" i="4"/>
  <c r="AV155" i="4"/>
  <c r="AX155" i="4" s="1"/>
  <c r="BA154" i="4"/>
  <c r="AZ154" i="4"/>
  <c r="AY154" i="4"/>
  <c r="AV154" i="4"/>
  <c r="AX154" i="4" s="1"/>
  <c r="BA153" i="4"/>
  <c r="AZ153" i="4"/>
  <c r="AY153" i="4"/>
  <c r="AV153" i="4"/>
  <c r="AX153" i="4" s="1"/>
  <c r="BA152" i="4"/>
  <c r="AZ152" i="4"/>
  <c r="AY152" i="4"/>
  <c r="AV152" i="4"/>
  <c r="AX152" i="4" s="1"/>
  <c r="BA151" i="4"/>
  <c r="AZ151" i="4"/>
  <c r="AY151" i="4"/>
  <c r="AV151" i="4"/>
  <c r="AX151" i="4" s="1"/>
  <c r="BA150" i="4"/>
  <c r="AZ150" i="4"/>
  <c r="AY150" i="4"/>
  <c r="AV150" i="4"/>
  <c r="AX150" i="4" s="1"/>
  <c r="BA149" i="4"/>
  <c r="AZ149" i="4"/>
  <c r="AY149" i="4"/>
  <c r="AV149" i="4"/>
  <c r="AX149" i="4" s="1"/>
  <c r="BA148" i="4"/>
  <c r="AZ148" i="4"/>
  <c r="AY148" i="4"/>
  <c r="AV148" i="4"/>
  <c r="AX148" i="4" s="1"/>
  <c r="BA147" i="4"/>
  <c r="AZ147" i="4"/>
  <c r="AY147" i="4"/>
  <c r="AV147" i="4"/>
  <c r="AX147" i="4" s="1"/>
  <c r="BA146" i="4"/>
  <c r="AZ146" i="4"/>
  <c r="AY146" i="4"/>
  <c r="AV146" i="4"/>
  <c r="AX146" i="4" s="1"/>
  <c r="BA145" i="4"/>
  <c r="AZ145" i="4"/>
  <c r="AY145" i="4"/>
  <c r="AV145" i="4"/>
  <c r="AX145" i="4" s="1"/>
  <c r="BA144" i="4"/>
  <c r="AZ144" i="4"/>
  <c r="AY144" i="4"/>
  <c r="AV144" i="4"/>
  <c r="AX144" i="4" s="1"/>
  <c r="BA143" i="4"/>
  <c r="AZ143" i="4"/>
  <c r="AY143" i="4"/>
  <c r="AV143" i="4"/>
  <c r="AX143" i="4" s="1"/>
  <c r="BA142" i="4"/>
  <c r="AZ142" i="4"/>
  <c r="AY142" i="4"/>
  <c r="AV142" i="4"/>
  <c r="AX142" i="4" s="1"/>
  <c r="BA141" i="4"/>
  <c r="AZ141" i="4"/>
  <c r="AY141" i="4"/>
  <c r="AV141" i="4"/>
  <c r="AX141" i="4" s="1"/>
  <c r="BA140" i="4"/>
  <c r="AZ140" i="4"/>
  <c r="AY140" i="4"/>
  <c r="AV140" i="4"/>
  <c r="AX140" i="4" s="1"/>
  <c r="BA139" i="4"/>
  <c r="AZ139" i="4"/>
  <c r="AY139" i="4"/>
  <c r="AV139" i="4"/>
  <c r="AX139" i="4" s="1"/>
  <c r="BA138" i="4"/>
  <c r="AZ138" i="4"/>
  <c r="AY138" i="4"/>
  <c r="AV138" i="4"/>
  <c r="AX138" i="4" s="1"/>
  <c r="BA137" i="4"/>
  <c r="AZ137" i="4"/>
  <c r="AY137" i="4"/>
  <c r="AV137" i="4"/>
  <c r="AX137" i="4" s="1"/>
  <c r="BA136" i="4"/>
  <c r="AZ136" i="4"/>
  <c r="AY136" i="4"/>
  <c r="AV136" i="4"/>
  <c r="AX136" i="4" s="1"/>
  <c r="BA135" i="4"/>
  <c r="AZ135" i="4"/>
  <c r="AY135" i="4"/>
  <c r="AV135" i="4"/>
  <c r="AX135" i="4" s="1"/>
  <c r="BA134" i="4"/>
  <c r="AZ134" i="4"/>
  <c r="AY134" i="4"/>
  <c r="AV134" i="4"/>
  <c r="AX134" i="4" s="1"/>
  <c r="BA133" i="4"/>
  <c r="AZ133" i="4"/>
  <c r="AY133" i="4"/>
  <c r="AV133" i="4"/>
  <c r="AX133" i="4" s="1"/>
  <c r="BA132" i="4"/>
  <c r="AZ132" i="4"/>
  <c r="AY132" i="4"/>
  <c r="AV132" i="4"/>
  <c r="AX132" i="4" s="1"/>
  <c r="BA131" i="4"/>
  <c r="AZ131" i="4"/>
  <c r="AY131" i="4"/>
  <c r="AV131" i="4"/>
  <c r="AX131" i="4" s="1"/>
  <c r="BA130" i="4"/>
  <c r="AZ130" i="4"/>
  <c r="AY130" i="4"/>
  <c r="AV130" i="4"/>
  <c r="AX130" i="4" s="1"/>
  <c r="BA129" i="4"/>
  <c r="AZ129" i="4"/>
  <c r="AY129" i="4"/>
  <c r="AV129" i="4"/>
  <c r="AX129" i="4" s="1"/>
  <c r="BA128" i="4"/>
  <c r="AZ128" i="4"/>
  <c r="AY128" i="4"/>
  <c r="AV128" i="4"/>
  <c r="AX128" i="4" s="1"/>
  <c r="BA127" i="4"/>
  <c r="AZ127" i="4"/>
  <c r="AY127" i="4"/>
  <c r="AV127" i="4"/>
  <c r="AX127" i="4" s="1"/>
  <c r="BA126" i="4"/>
  <c r="AZ126" i="4"/>
  <c r="AY126" i="4"/>
  <c r="AV126" i="4"/>
  <c r="AX126" i="4" s="1"/>
  <c r="BA125" i="4"/>
  <c r="AZ125" i="4"/>
  <c r="AY125" i="4"/>
  <c r="AV125" i="4"/>
  <c r="AX125" i="4" s="1"/>
  <c r="BA124" i="4"/>
  <c r="AZ124" i="4"/>
  <c r="AY124" i="4"/>
  <c r="AV124" i="4"/>
  <c r="AX124" i="4" s="1"/>
  <c r="BA123" i="4"/>
  <c r="AZ123" i="4"/>
  <c r="AY123" i="4"/>
  <c r="AV123" i="4"/>
  <c r="AX123" i="4" s="1"/>
  <c r="BA122" i="4"/>
  <c r="AZ122" i="4"/>
  <c r="AY122" i="4"/>
  <c r="AV122" i="4"/>
  <c r="AX122" i="4" s="1"/>
  <c r="BA121" i="4"/>
  <c r="AZ121" i="4"/>
  <c r="AY121" i="4"/>
  <c r="AV121" i="4"/>
  <c r="AX121" i="4" s="1"/>
  <c r="BA120" i="4"/>
  <c r="AZ120" i="4"/>
  <c r="AY120" i="4"/>
  <c r="AV120" i="4"/>
  <c r="AX120" i="4" s="1"/>
  <c r="BA119" i="4"/>
  <c r="AZ119" i="4"/>
  <c r="AY119" i="4"/>
  <c r="AV119" i="4"/>
  <c r="AX119" i="4" s="1"/>
  <c r="BA118" i="4"/>
  <c r="AZ118" i="4"/>
  <c r="AY118" i="4"/>
  <c r="AV118" i="4"/>
  <c r="AX118" i="4" s="1"/>
  <c r="BA117" i="4"/>
  <c r="AZ117" i="4"/>
  <c r="AY117" i="4"/>
  <c r="AV117" i="4"/>
  <c r="AX117" i="4" s="1"/>
  <c r="BA116" i="4"/>
  <c r="AZ116" i="4"/>
  <c r="AY116" i="4"/>
  <c r="AV116" i="4"/>
  <c r="AX116" i="4" s="1"/>
  <c r="BA115" i="4"/>
  <c r="AZ115" i="4"/>
  <c r="AY115" i="4"/>
  <c r="AV115" i="4"/>
  <c r="AX115" i="4" s="1"/>
  <c r="BA114" i="4"/>
  <c r="AZ114" i="4"/>
  <c r="AY114" i="4"/>
  <c r="AV114" i="4"/>
  <c r="AX114" i="4" s="1"/>
  <c r="BA113" i="4"/>
  <c r="AZ113" i="4"/>
  <c r="AY113" i="4"/>
  <c r="AV113" i="4"/>
  <c r="AX113" i="4" s="1"/>
  <c r="BA112" i="4"/>
  <c r="AZ112" i="4"/>
  <c r="AY112" i="4"/>
  <c r="AV112" i="4"/>
  <c r="AX112" i="4" s="1"/>
  <c r="BA111" i="4"/>
  <c r="AZ111" i="4"/>
  <c r="AY111" i="4"/>
  <c r="AV111" i="4"/>
  <c r="AX111" i="4" s="1"/>
  <c r="BA110" i="4"/>
  <c r="AZ110" i="4"/>
  <c r="AY110" i="4"/>
  <c r="AV110" i="4"/>
  <c r="AX110" i="4" s="1"/>
  <c r="BA109" i="4"/>
  <c r="AZ109" i="4"/>
  <c r="AY109" i="4"/>
  <c r="AV109" i="4"/>
  <c r="AX109" i="4" s="1"/>
  <c r="BA108" i="4"/>
  <c r="AZ108" i="4"/>
  <c r="AY108" i="4"/>
  <c r="AV108" i="4"/>
  <c r="AX108" i="4" s="1"/>
  <c r="BA107" i="4"/>
  <c r="AZ107" i="4"/>
  <c r="AY107" i="4"/>
  <c r="AV107" i="4"/>
  <c r="AX107" i="4" s="1"/>
  <c r="BA106" i="4"/>
  <c r="AZ106" i="4"/>
  <c r="AY106" i="4"/>
  <c r="AV106" i="4"/>
  <c r="AX106" i="4" s="1"/>
  <c r="BA105" i="4"/>
  <c r="AZ105" i="4"/>
  <c r="AY105" i="4"/>
  <c r="AV105" i="4"/>
  <c r="AX105" i="4" s="1"/>
  <c r="BA104" i="4"/>
  <c r="AZ104" i="4"/>
  <c r="AY104" i="4"/>
  <c r="AV104" i="4"/>
  <c r="AX104" i="4" s="1"/>
  <c r="BA103" i="4"/>
  <c r="AZ103" i="4"/>
  <c r="AY103" i="4"/>
  <c r="AV103" i="4"/>
  <c r="AX103" i="4" s="1"/>
  <c r="BA102" i="4"/>
  <c r="AZ102" i="4"/>
  <c r="AY102" i="4"/>
  <c r="AV102" i="4"/>
  <c r="AX102" i="4" s="1"/>
  <c r="BA101" i="4"/>
  <c r="AZ101" i="4"/>
  <c r="AY101" i="4"/>
  <c r="AV101" i="4"/>
  <c r="AX101" i="4" s="1"/>
  <c r="BA100" i="4"/>
  <c r="AZ100" i="4"/>
  <c r="AY100" i="4"/>
  <c r="AV100" i="4"/>
  <c r="AX100" i="4" s="1"/>
  <c r="BA99" i="4"/>
  <c r="AZ99" i="4"/>
  <c r="AY99" i="4"/>
  <c r="AV99" i="4"/>
  <c r="AX99" i="4" s="1"/>
  <c r="BA98" i="4"/>
  <c r="AZ98" i="4"/>
  <c r="AY98" i="4"/>
  <c r="AV98" i="4"/>
  <c r="AX98" i="4" s="1"/>
  <c r="BA97" i="4"/>
  <c r="AZ97" i="4"/>
  <c r="AY97" i="4"/>
  <c r="AV97" i="4"/>
  <c r="AX97" i="4" s="1"/>
  <c r="BA96" i="4"/>
  <c r="AZ96" i="4"/>
  <c r="AY96" i="4"/>
  <c r="AV96" i="4"/>
  <c r="AX96" i="4" s="1"/>
  <c r="BA95" i="4"/>
  <c r="AZ95" i="4"/>
  <c r="AY95" i="4"/>
  <c r="AV95" i="4"/>
  <c r="AX95" i="4" s="1"/>
  <c r="BA94" i="4"/>
  <c r="AZ94" i="4"/>
  <c r="AY94" i="4"/>
  <c r="AV94" i="4"/>
  <c r="AX94" i="4" s="1"/>
  <c r="BA93" i="4"/>
  <c r="AZ93" i="4"/>
  <c r="AY93" i="4"/>
  <c r="AV93" i="4"/>
  <c r="AX93" i="4" s="1"/>
  <c r="BA92" i="4"/>
  <c r="AZ92" i="4"/>
  <c r="AY92" i="4"/>
  <c r="AV92" i="4"/>
  <c r="AX92" i="4" s="1"/>
  <c r="BA91" i="4"/>
  <c r="AZ91" i="4"/>
  <c r="AY91" i="4"/>
  <c r="AV91" i="4"/>
  <c r="AX91" i="4" s="1"/>
  <c r="BA90" i="4"/>
  <c r="AZ90" i="4"/>
  <c r="AY90" i="4"/>
  <c r="AV90" i="4"/>
  <c r="AX90" i="4" s="1"/>
  <c r="BA89" i="4"/>
  <c r="AZ89" i="4"/>
  <c r="AY89" i="4"/>
  <c r="AV89" i="4"/>
  <c r="AX89" i="4" s="1"/>
  <c r="BA88" i="4"/>
  <c r="AZ88" i="4"/>
  <c r="AY88" i="4"/>
  <c r="AV88" i="4"/>
  <c r="AX88" i="4" s="1"/>
  <c r="BA87" i="4"/>
  <c r="AZ87" i="4"/>
  <c r="AY87" i="4"/>
  <c r="AV87" i="4"/>
  <c r="AX87" i="4" s="1"/>
  <c r="BA86" i="4"/>
  <c r="AZ86" i="4"/>
  <c r="AY86" i="4"/>
  <c r="AV86" i="4"/>
  <c r="AX86" i="4" s="1"/>
  <c r="BA85" i="4"/>
  <c r="AZ85" i="4"/>
  <c r="AY85" i="4"/>
  <c r="AV85" i="4"/>
  <c r="AX85" i="4" s="1"/>
  <c r="BA84" i="4"/>
  <c r="AZ84" i="4"/>
  <c r="AY84" i="4"/>
  <c r="AV84" i="4"/>
  <c r="AX84" i="4" s="1"/>
  <c r="BA83" i="4"/>
  <c r="AZ83" i="4"/>
  <c r="AY83" i="4"/>
  <c r="AV83" i="4"/>
  <c r="AX83" i="4" s="1"/>
  <c r="BA82" i="4"/>
  <c r="AZ82" i="4"/>
  <c r="AY82" i="4"/>
  <c r="AV82" i="4"/>
  <c r="AX82" i="4" s="1"/>
  <c r="BA81" i="4"/>
  <c r="AZ81" i="4"/>
  <c r="AY81" i="4"/>
  <c r="AV81" i="4"/>
  <c r="AX81" i="4" s="1"/>
  <c r="BA80" i="4"/>
  <c r="AZ80" i="4"/>
  <c r="AY80" i="4"/>
  <c r="AV80" i="4"/>
  <c r="AX80" i="4" s="1"/>
  <c r="BA79" i="4"/>
  <c r="AZ79" i="4"/>
  <c r="AY79" i="4"/>
  <c r="AV79" i="4"/>
  <c r="AX79" i="4" s="1"/>
  <c r="BA78" i="4"/>
  <c r="AZ78" i="4"/>
  <c r="AY78" i="4"/>
  <c r="AV78" i="4"/>
  <c r="AX78" i="4" s="1"/>
  <c r="BA77" i="4"/>
  <c r="AZ77" i="4"/>
  <c r="AY77" i="4"/>
  <c r="AV77" i="4"/>
  <c r="AX77" i="4" s="1"/>
  <c r="BA76" i="4"/>
  <c r="AZ76" i="4"/>
  <c r="AY76" i="4"/>
  <c r="AV76" i="4"/>
  <c r="AX76" i="4" s="1"/>
  <c r="BA75" i="4"/>
  <c r="AZ75" i="4"/>
  <c r="AY75" i="4"/>
  <c r="AV75" i="4"/>
  <c r="AX75" i="4" s="1"/>
  <c r="BA74" i="4"/>
  <c r="AZ74" i="4"/>
  <c r="AY74" i="4"/>
  <c r="AV74" i="4"/>
  <c r="AX74" i="4" s="1"/>
  <c r="BA73" i="4"/>
  <c r="AZ73" i="4"/>
  <c r="AY73" i="4"/>
  <c r="AV73" i="4"/>
  <c r="AX73" i="4" s="1"/>
  <c r="BA72" i="4"/>
  <c r="AZ72" i="4"/>
  <c r="AY72" i="4"/>
  <c r="AV72" i="4"/>
  <c r="AX72" i="4" s="1"/>
  <c r="BA71" i="4"/>
  <c r="AZ71" i="4"/>
  <c r="AY71" i="4"/>
  <c r="AV71" i="4"/>
  <c r="AX71" i="4" s="1"/>
  <c r="BA70" i="4"/>
  <c r="AZ70" i="4"/>
  <c r="AY70" i="4"/>
  <c r="AV70" i="4"/>
  <c r="AX70" i="4" s="1"/>
  <c r="BA69" i="4"/>
  <c r="AZ69" i="4"/>
  <c r="AY69" i="4"/>
  <c r="AV69" i="4"/>
  <c r="AX69" i="4" s="1"/>
  <c r="BA68" i="4"/>
  <c r="AZ68" i="4"/>
  <c r="AY68" i="4"/>
  <c r="AV68" i="4"/>
  <c r="AX68" i="4" s="1"/>
  <c r="BA67" i="4"/>
  <c r="AZ67" i="4"/>
  <c r="AY67" i="4"/>
  <c r="AV67" i="4"/>
  <c r="AX67" i="4" s="1"/>
  <c r="BA66" i="4"/>
  <c r="AZ66" i="4"/>
  <c r="AY66" i="4"/>
  <c r="AV66" i="4"/>
  <c r="AX66" i="4" s="1"/>
  <c r="BA65" i="4"/>
  <c r="AZ65" i="4"/>
  <c r="AY65" i="4"/>
  <c r="AV65" i="4"/>
  <c r="AX65" i="4" s="1"/>
  <c r="BA64" i="4"/>
  <c r="AZ64" i="4"/>
  <c r="AY64" i="4"/>
  <c r="AV64" i="4"/>
  <c r="AX64" i="4" s="1"/>
  <c r="BA63" i="4"/>
  <c r="AZ63" i="4"/>
  <c r="AY63" i="4"/>
  <c r="AV63" i="4"/>
  <c r="AX63" i="4" s="1"/>
  <c r="BA62" i="4"/>
  <c r="AZ62" i="4"/>
  <c r="AY62" i="4"/>
  <c r="AV62" i="4"/>
  <c r="AX62" i="4" s="1"/>
  <c r="BA61" i="4"/>
  <c r="AZ61" i="4"/>
  <c r="AY61" i="4"/>
  <c r="AV61" i="4"/>
  <c r="AX61" i="4" s="1"/>
  <c r="BA60" i="4"/>
  <c r="AZ60" i="4"/>
  <c r="AY60" i="4"/>
  <c r="AV60" i="4"/>
  <c r="AX60" i="4" s="1"/>
  <c r="BA59" i="4"/>
  <c r="AZ59" i="4"/>
  <c r="AY59" i="4"/>
  <c r="AV59" i="4"/>
  <c r="AX59" i="4" s="1"/>
  <c r="BA58" i="4"/>
  <c r="AZ58" i="4"/>
  <c r="AY58" i="4"/>
  <c r="AV58" i="4"/>
  <c r="AX58" i="4" s="1"/>
  <c r="BA57" i="4"/>
  <c r="AZ57" i="4"/>
  <c r="AY57" i="4"/>
  <c r="AV57" i="4"/>
  <c r="AX57" i="4" s="1"/>
  <c r="BA56" i="4"/>
  <c r="AZ56" i="4"/>
  <c r="AY56" i="4"/>
  <c r="AV56" i="4"/>
  <c r="AX56" i="4" s="1"/>
  <c r="BA55" i="4"/>
  <c r="AZ55" i="4"/>
  <c r="AY55" i="4"/>
  <c r="AV55" i="4"/>
  <c r="AX55" i="4" s="1"/>
  <c r="BA54" i="4"/>
  <c r="AZ54" i="4"/>
  <c r="AY54" i="4"/>
  <c r="AV54" i="4"/>
  <c r="AX54" i="4" s="1"/>
  <c r="BA53" i="4"/>
  <c r="AZ53" i="4"/>
  <c r="AY53" i="4"/>
  <c r="AV53" i="4"/>
  <c r="AX53" i="4" s="1"/>
  <c r="BA52" i="4"/>
  <c r="AZ52" i="4"/>
  <c r="AY52" i="4"/>
  <c r="AV52" i="4"/>
  <c r="AX52" i="4" s="1"/>
  <c r="BA51" i="4"/>
  <c r="AZ51" i="4"/>
  <c r="AY51" i="4"/>
  <c r="AV51" i="4"/>
  <c r="AX51" i="4" s="1"/>
  <c r="BA50" i="4"/>
  <c r="AZ50" i="4"/>
  <c r="AY50" i="4"/>
  <c r="AV50" i="4"/>
  <c r="AX50" i="4" s="1"/>
  <c r="BA49" i="4"/>
  <c r="AZ49" i="4"/>
  <c r="AY49" i="4"/>
  <c r="AV49" i="4"/>
  <c r="AX49" i="4" s="1"/>
  <c r="BA48" i="4"/>
  <c r="AZ48" i="4"/>
  <c r="AY48" i="4"/>
  <c r="AV48" i="4"/>
  <c r="AX48" i="4" s="1"/>
  <c r="BA47" i="4"/>
  <c r="AZ47" i="4"/>
  <c r="AY47" i="4"/>
  <c r="AV47" i="4"/>
  <c r="AX47" i="4" s="1"/>
  <c r="BA46" i="4"/>
  <c r="AZ46" i="4"/>
  <c r="AY46" i="4"/>
  <c r="AV46" i="4"/>
  <c r="AX46" i="4" s="1"/>
  <c r="BA45" i="4"/>
  <c r="AZ45" i="4"/>
  <c r="AY45" i="4"/>
  <c r="AV45" i="4"/>
  <c r="AX45" i="4" s="1"/>
  <c r="BA44" i="4"/>
  <c r="AZ44" i="4"/>
  <c r="AY44" i="4"/>
  <c r="AV44" i="4"/>
  <c r="AX44" i="4" s="1"/>
  <c r="BA43" i="4"/>
  <c r="AZ43" i="4"/>
  <c r="AY43" i="4"/>
  <c r="AV43" i="4"/>
  <c r="AX43" i="4" s="1"/>
  <c r="BA42" i="4"/>
  <c r="AZ42" i="4"/>
  <c r="AY42" i="4"/>
  <c r="AV42" i="4"/>
  <c r="AX42" i="4" s="1"/>
  <c r="BA41" i="4"/>
  <c r="AZ41" i="4"/>
  <c r="AY41" i="4"/>
  <c r="AV41" i="4"/>
  <c r="AX41" i="4" s="1"/>
  <c r="BA40" i="4"/>
  <c r="AZ40" i="4"/>
  <c r="AY40" i="4"/>
  <c r="AV40" i="4"/>
  <c r="AX40" i="4" s="1"/>
  <c r="BA39" i="4"/>
  <c r="AZ39" i="4"/>
  <c r="AY39" i="4"/>
  <c r="AV39" i="4"/>
  <c r="AX39" i="4" s="1"/>
  <c r="BA38" i="4"/>
  <c r="AZ38" i="4"/>
  <c r="AY38" i="4"/>
  <c r="AV38" i="4"/>
  <c r="AX38" i="4" s="1"/>
  <c r="BA37" i="4"/>
  <c r="AZ37" i="4"/>
  <c r="AY37" i="4"/>
  <c r="AV37" i="4"/>
  <c r="AX37" i="4" s="1"/>
  <c r="BA36" i="4"/>
  <c r="AZ36" i="4"/>
  <c r="AY36" i="4"/>
  <c r="AV36" i="4"/>
  <c r="AX36" i="4" s="1"/>
  <c r="BA35" i="4"/>
  <c r="AZ35" i="4"/>
  <c r="AY35" i="4"/>
  <c r="AV35" i="4"/>
  <c r="AX35" i="4" s="1"/>
  <c r="BA34" i="4"/>
  <c r="AZ34" i="4"/>
  <c r="AY34" i="4"/>
  <c r="AV34" i="4"/>
  <c r="AX34" i="4" s="1"/>
  <c r="BA33" i="4"/>
  <c r="AZ33" i="4"/>
  <c r="AY33" i="4"/>
  <c r="AV33" i="4"/>
  <c r="AX33" i="4" s="1"/>
  <c r="BA32" i="4"/>
  <c r="AZ32" i="4"/>
  <c r="AY32" i="4"/>
  <c r="AV32" i="4"/>
  <c r="AX32" i="4" s="1"/>
  <c r="BA31" i="4"/>
  <c r="AZ31" i="4"/>
  <c r="AY31" i="4"/>
  <c r="AV31" i="4"/>
  <c r="AX31" i="4" s="1"/>
  <c r="BA30" i="4"/>
  <c r="AZ30" i="4"/>
  <c r="AY30" i="4"/>
  <c r="AV30" i="4"/>
  <c r="AX30" i="4" s="1"/>
  <c r="BA29" i="4"/>
  <c r="AZ29" i="4"/>
  <c r="AY29" i="4"/>
  <c r="AV29" i="4"/>
  <c r="AX29" i="4" s="1"/>
  <c r="BA28" i="4"/>
  <c r="AZ28" i="4"/>
  <c r="AY28" i="4"/>
  <c r="AV28" i="4"/>
  <c r="AX28" i="4" s="1"/>
  <c r="BA27" i="4"/>
  <c r="AZ27" i="4"/>
  <c r="AY27" i="4"/>
  <c r="AV27" i="4"/>
  <c r="AX27" i="4" s="1"/>
  <c r="BA26" i="4"/>
  <c r="AZ26" i="4"/>
  <c r="AY26" i="4"/>
  <c r="AV26" i="4"/>
  <c r="AX26" i="4" s="1"/>
  <c r="BA25" i="4"/>
  <c r="AZ25" i="4"/>
  <c r="AY25" i="4"/>
  <c r="AV25" i="4"/>
  <c r="AX25" i="4" s="1"/>
  <c r="BA24" i="4"/>
  <c r="AZ24" i="4"/>
  <c r="AY24" i="4"/>
  <c r="AV24" i="4"/>
  <c r="AX24" i="4" s="1"/>
  <c r="BA23" i="4"/>
  <c r="AZ23" i="4"/>
  <c r="AY23" i="4"/>
  <c r="AV23" i="4"/>
  <c r="AX23" i="4" s="1"/>
  <c r="BA22" i="4"/>
  <c r="AZ22" i="4"/>
  <c r="AY22" i="4"/>
  <c r="AV22" i="4"/>
  <c r="AX22" i="4" s="1"/>
  <c r="BA21" i="4"/>
  <c r="AZ21" i="4"/>
  <c r="AY21" i="4"/>
  <c r="AV21" i="4"/>
  <c r="AX21" i="4" s="1"/>
  <c r="BA20" i="4"/>
  <c r="AZ20" i="4"/>
  <c r="AY20" i="4"/>
  <c r="AV20" i="4"/>
  <c r="AX20" i="4" s="1"/>
  <c r="BA19" i="4"/>
  <c r="AZ19" i="4"/>
  <c r="AY19" i="4"/>
  <c r="AV19" i="4"/>
  <c r="AX19" i="4" s="1"/>
  <c r="BA18" i="4"/>
  <c r="AZ18" i="4"/>
  <c r="AY18" i="4"/>
  <c r="AV18" i="4"/>
  <c r="AX18" i="4" s="1"/>
  <c r="BA17" i="4"/>
  <c r="AZ17" i="4"/>
  <c r="AY17" i="4"/>
  <c r="AV17" i="4"/>
  <c r="AX17" i="4" s="1"/>
  <c r="BA16" i="4"/>
  <c r="AZ16" i="4"/>
  <c r="AY16" i="4"/>
  <c r="AV16" i="4"/>
  <c r="AX16" i="4" s="1"/>
  <c r="BA15" i="4"/>
  <c r="AZ15" i="4"/>
  <c r="AY15" i="4"/>
  <c r="AV15" i="4"/>
  <c r="AX15" i="4" s="1"/>
  <c r="BA14" i="4"/>
  <c r="AZ14" i="4"/>
  <c r="AY14" i="4"/>
  <c r="AV14" i="4"/>
  <c r="AX14" i="4" s="1"/>
  <c r="BA13" i="4"/>
  <c r="AZ13" i="4"/>
  <c r="AY13" i="4"/>
  <c r="AV13" i="4"/>
  <c r="AX13" i="4" s="1"/>
  <c r="BA12" i="4"/>
  <c r="AZ12" i="4"/>
  <c r="AY12" i="4"/>
  <c r="AV12" i="4"/>
  <c r="AX12" i="4" s="1"/>
  <c r="BA11" i="4"/>
  <c r="AZ11" i="4"/>
  <c r="AY11" i="4"/>
  <c r="AV11" i="4"/>
  <c r="G5" i="4"/>
  <c r="E5" i="4"/>
  <c r="AV4010" i="3"/>
  <c r="AX4010" i="3" s="1"/>
  <c r="AV4009" i="3"/>
  <c r="AX4009" i="3" s="1"/>
  <c r="AV4008" i="3"/>
  <c r="AX4008" i="3" s="1"/>
  <c r="AV4007" i="3"/>
  <c r="AX4007" i="3" s="1"/>
  <c r="AV4006" i="3"/>
  <c r="AX4006" i="3" s="1"/>
  <c r="AV4005" i="3"/>
  <c r="AX4005" i="3" s="1"/>
  <c r="AV4004" i="3"/>
  <c r="AX4004" i="3" s="1"/>
  <c r="AV4003" i="3"/>
  <c r="AX4003" i="3" s="1"/>
  <c r="AV4002" i="3"/>
  <c r="AX4002" i="3" s="1"/>
  <c r="AV4001" i="3"/>
  <c r="AX4001" i="3" s="1"/>
  <c r="AV4000" i="3"/>
  <c r="AX4000" i="3" s="1"/>
  <c r="AV3999" i="3"/>
  <c r="AX3999" i="3" s="1"/>
  <c r="AV3837" i="3"/>
  <c r="AX3837" i="3" s="1"/>
  <c r="AV3835" i="3"/>
  <c r="AX3835" i="3" s="1"/>
  <c r="AV3833" i="3"/>
  <c r="AX3833" i="3" s="1"/>
  <c r="AV3831" i="3"/>
  <c r="AX3831" i="3" s="1"/>
  <c r="AV3829" i="3"/>
  <c r="AX3829" i="3" s="1"/>
  <c r="AV3827" i="3"/>
  <c r="AX3827" i="3" s="1"/>
  <c r="AV3825" i="3"/>
  <c r="AX3825" i="3" s="1"/>
  <c r="AV3823" i="3"/>
  <c r="AX3823" i="3" s="1"/>
  <c r="AV3821" i="3"/>
  <c r="AX3821" i="3" s="1"/>
  <c r="AV3819" i="3"/>
  <c r="AX3819" i="3" s="1"/>
  <c r="AV3817" i="3"/>
  <c r="AX3817" i="3" s="1"/>
  <c r="AV3815" i="3"/>
  <c r="AX3815" i="3" s="1"/>
  <c r="AV3813" i="3"/>
  <c r="AX3813" i="3" s="1"/>
  <c r="AV3811" i="3"/>
  <c r="AX3811" i="3" s="1"/>
  <c r="AV3809" i="3"/>
  <c r="AX3809" i="3" s="1"/>
  <c r="AV3807" i="3"/>
  <c r="AX3807" i="3" s="1"/>
  <c r="AV3806" i="3"/>
  <c r="AX3806" i="3" s="1"/>
  <c r="AV3804" i="3"/>
  <c r="AX3804" i="3" s="1"/>
  <c r="AV3802" i="3"/>
  <c r="AX3802" i="3" s="1"/>
  <c r="AV3800" i="3"/>
  <c r="AX3800" i="3" s="1"/>
  <c r="AV3798" i="3"/>
  <c r="AX3798" i="3" s="1"/>
  <c r="AV3796" i="3"/>
  <c r="AX3796" i="3" s="1"/>
  <c r="AV3794" i="3"/>
  <c r="AX3794" i="3" s="1"/>
  <c r="AV3792" i="3"/>
  <c r="AX3792" i="3" s="1"/>
  <c r="AV3790" i="3"/>
  <c r="AX3790" i="3" s="1"/>
  <c r="AV3788" i="3"/>
  <c r="AX3788" i="3" s="1"/>
  <c r="AV3786" i="3"/>
  <c r="AX3786" i="3" s="1"/>
  <c r="AV3784" i="3"/>
  <c r="AX3784" i="3" s="1"/>
  <c r="AV3782" i="3"/>
  <c r="AX3782" i="3" s="1"/>
  <c r="AV3780" i="3"/>
  <c r="AX3780" i="3" s="1"/>
  <c r="AV3778" i="3"/>
  <c r="AX3778" i="3" s="1"/>
  <c r="AV3776" i="3"/>
  <c r="AX3776" i="3" s="1"/>
  <c r="AV3774" i="3"/>
  <c r="AX3774" i="3" s="1"/>
  <c r="AV3773" i="3"/>
  <c r="AX3773" i="3" s="1"/>
  <c r="AV3772" i="3"/>
  <c r="AX3772" i="3" s="1"/>
  <c r="AV3771" i="3"/>
  <c r="AX3771" i="3" s="1"/>
  <c r="AV3770" i="3"/>
  <c r="AX3770" i="3" s="1"/>
  <c r="AV3769" i="3"/>
  <c r="AX3769" i="3" s="1"/>
  <c r="AV3768" i="3"/>
  <c r="AX3768" i="3" s="1"/>
  <c r="AV3767" i="3"/>
  <c r="AX3767" i="3" s="1"/>
  <c r="AV3766" i="3"/>
  <c r="AX3766" i="3" s="1"/>
  <c r="AV3764" i="3"/>
  <c r="AX3764" i="3" s="1"/>
  <c r="AV3762" i="3"/>
  <c r="AX3762" i="3" s="1"/>
  <c r="AV3760" i="3"/>
  <c r="AX3760" i="3" s="1"/>
  <c r="AV3758" i="3"/>
  <c r="AX3758" i="3" s="1"/>
  <c r="AV3756" i="3"/>
  <c r="AX3756" i="3" s="1"/>
  <c r="AV3754" i="3"/>
  <c r="AX3754" i="3" s="1"/>
  <c r="AV3752" i="3"/>
  <c r="AX3752" i="3" s="1"/>
  <c r="AV3750" i="3"/>
  <c r="AX3750" i="3" s="1"/>
  <c r="AV3748" i="3"/>
  <c r="AX3748" i="3" s="1"/>
  <c r="AV3745" i="3"/>
  <c r="AX3745" i="3" s="1"/>
  <c r="AV3743" i="3"/>
  <c r="AX3743" i="3" s="1"/>
  <c r="AV3741" i="3"/>
  <c r="AX3741" i="3" s="1"/>
  <c r="AV3739" i="3"/>
  <c r="AX3739" i="3" s="1"/>
  <c r="AV3737" i="3"/>
  <c r="AX3737" i="3" s="1"/>
  <c r="AV3735" i="3"/>
  <c r="AX3735" i="3" s="1"/>
  <c r="AX3629" i="3"/>
  <c r="AX3627" i="3"/>
  <c r="AX3625" i="3"/>
  <c r="AX3623" i="3"/>
  <c r="AX3621" i="3"/>
  <c r="AX3619" i="3"/>
  <c r="AX3617" i="3"/>
  <c r="AX3615" i="3"/>
  <c r="AX3613" i="3"/>
  <c r="AX3611" i="3"/>
  <c r="AX3609" i="3"/>
  <c r="AX3607" i="3"/>
  <c r="AX3605" i="3"/>
  <c r="AX3603" i="3"/>
  <c r="AX3601" i="3"/>
  <c r="AX3599" i="3"/>
  <c r="AX3597" i="3"/>
  <c r="AX3595" i="3"/>
  <c r="AX3593" i="3"/>
  <c r="AX3591" i="3"/>
  <c r="AX3589" i="3"/>
  <c r="AX3587" i="3"/>
  <c r="AX3585" i="3"/>
  <c r="AX3583" i="3"/>
  <c r="AX3581" i="3"/>
  <c r="AX3579" i="3"/>
  <c r="AX3577" i="3"/>
  <c r="AX3575" i="3"/>
  <c r="AX3573" i="3"/>
  <c r="AX3571" i="3"/>
  <c r="AX3569" i="3"/>
  <c r="AX3567" i="3"/>
  <c r="AX3565" i="3"/>
  <c r="AX3563" i="3"/>
  <c r="AX3561" i="3"/>
  <c r="AX3559" i="3"/>
  <c r="AX3557" i="3"/>
  <c r="AX3555" i="3"/>
  <c r="AX3553" i="3"/>
  <c r="AX3551" i="3"/>
  <c r="AX3549" i="3"/>
  <c r="AX3547" i="3"/>
  <c r="AX3545" i="3"/>
  <c r="AX3543" i="3"/>
  <c r="AX3541" i="3"/>
  <c r="AX3540" i="3"/>
  <c r="AX3538" i="3"/>
  <c r="AX3536" i="3"/>
  <c r="AX3534" i="3"/>
  <c r="AX3532" i="3"/>
  <c r="AX3530" i="3"/>
  <c r="AX3528" i="3"/>
  <c r="AX3526" i="3"/>
  <c r="AX3524" i="3"/>
  <c r="AX3522" i="3"/>
  <c r="AX3520" i="3"/>
  <c r="AX3518" i="3"/>
  <c r="AX3516" i="3"/>
  <c r="AX3514" i="3"/>
  <c r="AX3512" i="3"/>
  <c r="AX3510" i="3"/>
  <c r="AX3508" i="3"/>
  <c r="AX3506" i="3"/>
  <c r="AX3504" i="3"/>
  <c r="AX3502" i="3"/>
  <c r="AX3500" i="3"/>
  <c r="AX3498" i="3"/>
  <c r="AX3496" i="3"/>
  <c r="AX3494" i="3"/>
  <c r="AX3492" i="3"/>
  <c r="AX3490" i="3"/>
  <c r="AX3488" i="3"/>
  <c r="AX3486" i="3"/>
  <c r="AX3484" i="3"/>
  <c r="AX3482" i="3"/>
  <c r="AX3480" i="3"/>
  <c r="AX3478" i="3"/>
  <c r="AX3476" i="3"/>
  <c r="AX3474" i="3"/>
  <c r="AX3472" i="3"/>
  <c r="AX3470" i="3"/>
  <c r="AX3468" i="3"/>
  <c r="AX3466" i="3"/>
  <c r="AX3464" i="3"/>
  <c r="AX3462" i="3"/>
  <c r="AX3460" i="3"/>
  <c r="AX3459" i="3"/>
  <c r="AX3456" i="3"/>
  <c r="AX3454" i="3"/>
  <c r="AX3452" i="3"/>
  <c r="AX3450" i="3"/>
  <c r="AX3448" i="3"/>
  <c r="AX3446" i="3"/>
  <c r="AX3444" i="3"/>
  <c r="AX3442" i="3"/>
  <c r="AX3440" i="3"/>
  <c r="AX3438" i="3"/>
  <c r="AX3436" i="3"/>
  <c r="AX3434" i="3"/>
  <c r="AX3432" i="3"/>
  <c r="AX3430" i="3"/>
  <c r="AX3429" i="3"/>
  <c r="AX3427" i="3"/>
  <c r="AX3425" i="3"/>
  <c r="AX3423" i="3"/>
  <c r="AX3421" i="3"/>
  <c r="AX3419" i="3"/>
  <c r="AX3416" i="3"/>
  <c r="AX3415" i="3"/>
  <c r="AX3413" i="3"/>
  <c r="AX3411" i="3"/>
  <c r="AX3409" i="3"/>
  <c r="AX3407" i="3"/>
  <c r="AX3405" i="3"/>
  <c r="AX3403" i="3"/>
  <c r="AX3401" i="3"/>
  <c r="AX3399" i="3"/>
  <c r="AX3397" i="3"/>
  <c r="AX3395" i="3"/>
  <c r="AX3393" i="3"/>
  <c r="AX3391" i="3"/>
  <c r="AX3389" i="3"/>
  <c r="AX3387" i="3"/>
  <c r="AX3385" i="3"/>
  <c r="AX3383" i="3"/>
  <c r="AX3381" i="3"/>
  <c r="AX3379" i="3"/>
  <c r="AX3377" i="3"/>
  <c r="AX3375" i="3"/>
  <c r="AX3373" i="3"/>
  <c r="AX3371" i="3"/>
  <c r="AX3369" i="3"/>
  <c r="AX3368" i="3"/>
  <c r="AX3366" i="3"/>
  <c r="AX3364" i="3"/>
  <c r="AX3362" i="3"/>
  <c r="AX3360" i="3"/>
  <c r="AX3358" i="3"/>
  <c r="AX3356" i="3"/>
  <c r="AX3354" i="3"/>
  <c r="AX3352" i="3"/>
  <c r="AX3350" i="3"/>
  <c r="AX3348" i="3"/>
  <c r="AX3346" i="3"/>
  <c r="AX3344" i="3"/>
  <c r="AX3342" i="3"/>
  <c r="AX3340" i="3"/>
  <c r="AX3338" i="3"/>
  <c r="AX3336" i="3"/>
  <c r="AX3334" i="3"/>
  <c r="AX3332" i="3"/>
  <c r="AX3330" i="3"/>
  <c r="AX3328" i="3"/>
  <c r="AX3326" i="3"/>
  <c r="AX3324" i="3"/>
  <c r="AX3322" i="3"/>
  <c r="AX3320" i="3"/>
  <c r="AX3319" i="3"/>
  <c r="AX3317" i="3"/>
  <c r="AX3315" i="3"/>
  <c r="AX3313" i="3"/>
  <c r="AX3311" i="3"/>
  <c r="AX3309" i="3"/>
  <c r="AX3307" i="3"/>
  <c r="AX3305" i="3"/>
  <c r="AX3303" i="3"/>
  <c r="AX3301" i="3"/>
  <c r="AX3299" i="3"/>
  <c r="AX3297" i="3"/>
  <c r="AX3295" i="3"/>
  <c r="AX3293" i="3"/>
  <c r="AX3291" i="3"/>
  <c r="AX3289" i="3"/>
  <c r="AX3287" i="3"/>
  <c r="AX3285" i="3"/>
  <c r="AX3283" i="3"/>
  <c r="AX3281" i="3"/>
  <c r="AX3279" i="3"/>
  <c r="AX3277" i="3"/>
  <c r="AX3275" i="3"/>
  <c r="AX3273" i="3"/>
  <c r="AX3271" i="3"/>
  <c r="AX3269" i="3"/>
  <c r="AX3266" i="3"/>
  <c r="AX3264" i="3"/>
  <c r="AX3262" i="3"/>
  <c r="AX3259" i="3"/>
  <c r="AX3258" i="3"/>
  <c r="AX3256" i="3"/>
  <c r="AX3254" i="3"/>
  <c r="AX3251" i="3"/>
  <c r="AX3249" i="3"/>
  <c r="AX3247" i="3"/>
  <c r="AX3246" i="3"/>
  <c r="AX3244" i="3"/>
  <c r="AX3242" i="3"/>
  <c r="AX3240" i="3"/>
  <c r="AX3238" i="3"/>
  <c r="AX3236" i="3"/>
  <c r="AX3234" i="3"/>
  <c r="AX3233" i="3"/>
  <c r="AX3232" i="3"/>
  <c r="AX3230" i="3"/>
  <c r="AX3228" i="3"/>
  <c r="AX3226" i="3"/>
  <c r="AX3224" i="3"/>
  <c r="AX3222" i="3"/>
  <c r="AX3220" i="3"/>
  <c r="AX3218" i="3"/>
  <c r="AX3216" i="3"/>
  <c r="AX3214" i="3"/>
  <c r="AX3212" i="3"/>
  <c r="AX3210" i="3"/>
  <c r="AX3208" i="3"/>
  <c r="AX3206" i="3"/>
  <c r="AX3204" i="3"/>
  <c r="AX3202" i="3"/>
  <c r="AX3200" i="3"/>
  <c r="AX3198" i="3"/>
  <c r="AX3196" i="3"/>
  <c r="AX3194" i="3"/>
  <c r="AX3192" i="3"/>
  <c r="AX3190" i="3"/>
  <c r="AX3188" i="3"/>
  <c r="AX3186" i="3"/>
  <c r="AX3184" i="3"/>
  <c r="AX3182" i="3"/>
  <c r="AX3180" i="3"/>
  <c r="AX3178" i="3"/>
  <c r="AX3176" i="3"/>
  <c r="AX3174" i="3"/>
  <c r="AX3172" i="3"/>
  <c r="AX3170" i="3"/>
  <c r="AX3168" i="3"/>
  <c r="AX3165" i="3"/>
  <c r="AX3162" i="3"/>
  <c r="AX3159" i="3"/>
  <c r="AX3156" i="3"/>
  <c r="AX3153" i="3"/>
  <c r="AX3150" i="3"/>
  <c r="AX3147" i="3"/>
  <c r="AX3144" i="3"/>
  <c r="AX3142" i="3"/>
  <c r="AX3139" i="3"/>
  <c r="AX3136" i="3"/>
  <c r="AX3133" i="3"/>
  <c r="AX3130" i="3"/>
  <c r="AX3127" i="3"/>
  <c r="AX3124" i="3"/>
  <c r="AX3121" i="3"/>
  <c r="AX3118" i="3"/>
  <c r="AX3115" i="3"/>
  <c r="AX3112" i="3"/>
  <c r="AX3109" i="3"/>
  <c r="AX3106" i="3"/>
  <c r="AX3103" i="3"/>
  <c r="AX3100" i="3"/>
  <c r="AX3098" i="3"/>
  <c r="AX3095" i="3"/>
  <c r="AX3092" i="3"/>
  <c r="AX3089" i="3"/>
  <c r="AX3086" i="3"/>
  <c r="AX3083" i="3"/>
  <c r="AX3080" i="3"/>
  <c r="AX3077" i="3"/>
  <c r="AX3074" i="3"/>
  <c r="AX3071" i="3"/>
  <c r="AX3068" i="3"/>
  <c r="AX3065" i="3"/>
  <c r="AX3062" i="3"/>
  <c r="AX3059" i="3"/>
  <c r="AX3056" i="3"/>
  <c r="AX3053" i="3"/>
  <c r="AX3050" i="3"/>
  <c r="AX3047" i="3"/>
  <c r="AX3044" i="3"/>
  <c r="AX3041" i="3"/>
  <c r="AX3038" i="3"/>
  <c r="AX3035" i="3"/>
  <c r="AX3031" i="3"/>
  <c r="AX3028" i="3"/>
  <c r="AX3027" i="3"/>
  <c r="AX3024" i="3"/>
  <c r="AX3021" i="3"/>
  <c r="AX3018" i="3"/>
  <c r="AX3015" i="3"/>
  <c r="AX3011" i="3"/>
  <c r="AX3008" i="3"/>
  <c r="AX3005" i="3"/>
  <c r="AX2994" i="3"/>
  <c r="AX2983" i="3"/>
  <c r="AX2972" i="3"/>
  <c r="AX2961" i="3"/>
  <c r="AX2950" i="3"/>
  <c r="AX2936" i="3"/>
  <c r="AX2923" i="3"/>
  <c r="AX2910" i="3"/>
  <c r="AX2899" i="3"/>
  <c r="AX2888" i="3"/>
  <c r="AX2887" i="3"/>
  <c r="AX2876" i="3"/>
  <c r="AX2865" i="3"/>
  <c r="AX2854" i="3"/>
  <c r="AX2840" i="3"/>
  <c r="AX2839" i="3"/>
  <c r="AX2838" i="3"/>
  <c r="AX2825" i="3"/>
  <c r="AX2812" i="3"/>
  <c r="AX2801" i="3"/>
  <c r="AX2790" i="3"/>
  <c r="AX2779" i="3"/>
  <c r="AX2768" i="3"/>
  <c r="AX2757" i="3"/>
  <c r="AX2744" i="3"/>
  <c r="AX2731" i="3"/>
  <c r="AX2730" i="3"/>
  <c r="AX2719" i="3"/>
  <c r="AX2708" i="3"/>
  <c r="AX2697" i="3"/>
  <c r="AX2686" i="3"/>
  <c r="AX2675" i="3"/>
  <c r="AX2650" i="3"/>
  <c r="AX2639" i="3"/>
  <c r="AX2628" i="3"/>
  <c r="AX2612" i="3"/>
  <c r="AX2601" i="3"/>
  <c r="AX2590" i="3"/>
  <c r="AX2568" i="3"/>
  <c r="AX2556" i="3"/>
  <c r="AX2543" i="3"/>
  <c r="AX2532" i="3"/>
  <c r="AX2521" i="3"/>
  <c r="AX2510" i="3"/>
  <c r="AX2499" i="3"/>
  <c r="AX2486" i="3"/>
  <c r="AX2485" i="3"/>
  <c r="AX2474" i="3"/>
  <c r="AX2463" i="3"/>
  <c r="AX2450" i="3"/>
  <c r="AX2428" i="3"/>
  <c r="AX2427" i="3"/>
  <c r="AX2416" i="3"/>
  <c r="AX2403" i="3"/>
  <c r="AX2393" i="3"/>
  <c r="AX2392" i="3"/>
  <c r="AX2379" i="3"/>
  <c r="AX2174" i="3"/>
  <c r="AX2163" i="3"/>
  <c r="AX914" i="3"/>
  <c r="AX913" i="3"/>
  <c r="AX871" i="3"/>
  <c r="AX860" i="3"/>
  <c r="AX855" i="3"/>
  <c r="AX843" i="3"/>
  <c r="AX826" i="3"/>
  <c r="AX2632" i="2"/>
  <c r="AX2620" i="2"/>
  <c r="AX2605" i="2"/>
  <c r="AX2590" i="2"/>
  <c r="AX2575" i="2"/>
  <c r="AX2560" i="2"/>
  <c r="AX2545" i="2"/>
  <c r="AX2530" i="2"/>
  <c r="AX2515" i="2"/>
  <c r="AX2500" i="2"/>
  <c r="AX2486" i="2"/>
  <c r="AX2485" i="2"/>
  <c r="AX2456" i="2"/>
  <c r="AX2441" i="2"/>
  <c r="AX2425" i="2"/>
  <c r="AX2410" i="2"/>
  <c r="AX2396" i="2"/>
  <c r="AX2395" i="2"/>
  <c r="AX2380" i="2"/>
  <c r="AX2367" i="2"/>
  <c r="AX2352" i="2"/>
  <c r="AX2351" i="2"/>
  <c r="AX2336" i="2"/>
  <c r="AX2321" i="2"/>
  <c r="AX2306" i="2"/>
  <c r="AX2293" i="2"/>
  <c r="AX2292" i="2"/>
  <c r="AX2275" i="2"/>
  <c r="AX2261" i="2"/>
  <c r="AX2244" i="2"/>
  <c r="AX2217" i="2"/>
  <c r="AX2204" i="2"/>
  <c r="AX2174" i="2"/>
  <c r="AX2159" i="2"/>
  <c r="AV3998" i="3"/>
  <c r="AX3998" i="3" s="1"/>
  <c r="AV3997" i="3"/>
  <c r="AX3997" i="3" s="1"/>
  <c r="AV3996" i="3"/>
  <c r="AX3996" i="3" s="1"/>
  <c r="AV3995" i="3"/>
  <c r="AX3995" i="3" s="1"/>
  <c r="AV3994" i="3"/>
  <c r="AX3994" i="3" s="1"/>
  <c r="AV3993" i="3"/>
  <c r="AX3993" i="3" s="1"/>
  <c r="AV3992" i="3"/>
  <c r="AX3992" i="3" s="1"/>
  <c r="AV3991" i="3"/>
  <c r="AX3991" i="3" s="1"/>
  <c r="AV3990" i="3"/>
  <c r="AX3990" i="3" s="1"/>
  <c r="AV3989" i="3"/>
  <c r="AX3989" i="3" s="1"/>
  <c r="AV3988" i="3"/>
  <c r="AX3988" i="3" s="1"/>
  <c r="AV3987" i="3"/>
  <c r="AX3987" i="3" s="1"/>
  <c r="AV3986" i="3"/>
  <c r="AX3986" i="3" s="1"/>
  <c r="AV3985" i="3"/>
  <c r="AX3985" i="3" s="1"/>
  <c r="AV3984" i="3"/>
  <c r="AX3984" i="3" s="1"/>
  <c r="AV3983" i="3"/>
  <c r="AX3983" i="3" s="1"/>
  <c r="AV3982" i="3"/>
  <c r="AX3982" i="3" s="1"/>
  <c r="AV3981" i="3"/>
  <c r="AX3981" i="3" s="1"/>
  <c r="AV3980" i="3"/>
  <c r="AX3980" i="3" s="1"/>
  <c r="AV3979" i="3"/>
  <c r="AX3979" i="3" s="1"/>
  <c r="AV3978" i="3"/>
  <c r="AX3978" i="3" s="1"/>
  <c r="AV3977" i="3"/>
  <c r="AX3977" i="3" s="1"/>
  <c r="AV3976" i="3"/>
  <c r="AX3976" i="3" s="1"/>
  <c r="AV3975" i="3"/>
  <c r="AX3975" i="3" s="1"/>
  <c r="AV3974" i="3"/>
  <c r="AX3974" i="3" s="1"/>
  <c r="AV3973" i="3"/>
  <c r="AX3973" i="3" s="1"/>
  <c r="AV3972" i="3"/>
  <c r="AX3972" i="3" s="1"/>
  <c r="AV3971" i="3"/>
  <c r="AX3971" i="3" s="1"/>
  <c r="AV3970" i="3"/>
  <c r="AX3970" i="3" s="1"/>
  <c r="AV3969" i="3"/>
  <c r="AX3969" i="3" s="1"/>
  <c r="AV3968" i="3"/>
  <c r="AX3968" i="3" s="1"/>
  <c r="AV3967" i="3"/>
  <c r="AX3967" i="3" s="1"/>
  <c r="AV3966" i="3"/>
  <c r="AX3966" i="3" s="1"/>
  <c r="AV3965" i="3"/>
  <c r="AX3965" i="3" s="1"/>
  <c r="AV3964" i="3"/>
  <c r="AX3964" i="3" s="1"/>
  <c r="AV3963" i="3"/>
  <c r="AX3963" i="3" s="1"/>
  <c r="AV3962" i="3"/>
  <c r="AX3962" i="3" s="1"/>
  <c r="AV3961" i="3"/>
  <c r="AX3961" i="3" s="1"/>
  <c r="AV3960" i="3"/>
  <c r="AX3960" i="3" s="1"/>
  <c r="AV3959" i="3"/>
  <c r="AX3959" i="3" s="1"/>
  <c r="AV3958" i="3"/>
  <c r="AX3958" i="3" s="1"/>
  <c r="AV3957" i="3"/>
  <c r="AX3957" i="3" s="1"/>
  <c r="AV3956" i="3"/>
  <c r="AX3956" i="3" s="1"/>
  <c r="AV3955" i="3"/>
  <c r="AX3955" i="3" s="1"/>
  <c r="AV3954" i="3"/>
  <c r="AX3954" i="3" s="1"/>
  <c r="AV3953" i="3"/>
  <c r="AX3953" i="3" s="1"/>
  <c r="AV3952" i="3"/>
  <c r="AX3952" i="3" s="1"/>
  <c r="AV3951" i="3"/>
  <c r="AX3951" i="3" s="1"/>
  <c r="AV3950" i="3"/>
  <c r="AX3950" i="3" s="1"/>
  <c r="AV3949" i="3"/>
  <c r="AX3949" i="3" s="1"/>
  <c r="AV3948" i="3"/>
  <c r="AX3948" i="3" s="1"/>
  <c r="AV3947" i="3"/>
  <c r="AX3947" i="3" s="1"/>
  <c r="AV3946" i="3"/>
  <c r="AX3946" i="3" s="1"/>
  <c r="AV3945" i="3"/>
  <c r="AX3945" i="3" s="1"/>
  <c r="AV3944" i="3"/>
  <c r="AX3944" i="3" s="1"/>
  <c r="AV3943" i="3"/>
  <c r="AX3943" i="3" s="1"/>
  <c r="AV3942" i="3"/>
  <c r="AX3942" i="3" s="1"/>
  <c r="AV3941" i="3"/>
  <c r="AX3941" i="3" s="1"/>
  <c r="AV3940" i="3"/>
  <c r="AX3940" i="3" s="1"/>
  <c r="AV3939" i="3"/>
  <c r="AX3939" i="3" s="1"/>
  <c r="AV3938" i="3"/>
  <c r="AX3938" i="3" s="1"/>
  <c r="AV3937" i="3"/>
  <c r="AX3937" i="3" s="1"/>
  <c r="AV3936" i="3"/>
  <c r="AX3936" i="3" s="1"/>
  <c r="AV3935" i="3"/>
  <c r="AX3935" i="3" s="1"/>
  <c r="AV3934" i="3"/>
  <c r="AX3934" i="3" s="1"/>
  <c r="AV3933" i="3"/>
  <c r="AX3933" i="3" s="1"/>
  <c r="AV3932" i="3"/>
  <c r="AX3932" i="3" s="1"/>
  <c r="AV3931" i="3"/>
  <c r="AX3931" i="3" s="1"/>
  <c r="AV3930" i="3"/>
  <c r="AX3930" i="3" s="1"/>
  <c r="AV3929" i="3"/>
  <c r="AX3929" i="3" s="1"/>
  <c r="AV3928" i="3"/>
  <c r="AX3928" i="3" s="1"/>
  <c r="AV3927" i="3"/>
  <c r="AX3927" i="3" s="1"/>
  <c r="AV3926" i="3"/>
  <c r="AX3926" i="3" s="1"/>
  <c r="AV3925" i="3"/>
  <c r="AX3925" i="3" s="1"/>
  <c r="AV3924" i="3"/>
  <c r="AX3924" i="3" s="1"/>
  <c r="AV3923" i="3"/>
  <c r="AX3923" i="3" s="1"/>
  <c r="AV3922" i="3"/>
  <c r="AX3922" i="3" s="1"/>
  <c r="AV3921" i="3"/>
  <c r="AX3921" i="3" s="1"/>
  <c r="AV3920" i="3"/>
  <c r="AX3920" i="3" s="1"/>
  <c r="AV3919" i="3"/>
  <c r="AX3919" i="3" s="1"/>
  <c r="AV3918" i="3"/>
  <c r="AX3918" i="3" s="1"/>
  <c r="AV3917" i="3"/>
  <c r="AX3917" i="3" s="1"/>
  <c r="AV3916" i="3"/>
  <c r="AX3916" i="3" s="1"/>
  <c r="AV3915" i="3"/>
  <c r="AX3915" i="3" s="1"/>
  <c r="AV3914" i="3"/>
  <c r="AX3914" i="3" s="1"/>
  <c r="AV3913" i="3"/>
  <c r="AX3913" i="3" s="1"/>
  <c r="AV3912" i="3"/>
  <c r="AX3912" i="3" s="1"/>
  <c r="AV3911" i="3"/>
  <c r="AX3911" i="3" s="1"/>
  <c r="AV3910" i="3"/>
  <c r="AX3910" i="3" s="1"/>
  <c r="AV3909" i="3"/>
  <c r="AX3909" i="3" s="1"/>
  <c r="AV3908" i="3"/>
  <c r="AX3908" i="3" s="1"/>
  <c r="AV3907" i="3"/>
  <c r="AX3907" i="3" s="1"/>
  <c r="AV3906" i="3"/>
  <c r="AX3906" i="3" s="1"/>
  <c r="AV3905" i="3"/>
  <c r="AX3905" i="3" s="1"/>
  <c r="AV3904" i="3"/>
  <c r="AX3904" i="3" s="1"/>
  <c r="AV3903" i="3"/>
  <c r="AX3903" i="3" s="1"/>
  <c r="AV3902" i="3"/>
  <c r="AX3902" i="3" s="1"/>
  <c r="AV3901" i="3"/>
  <c r="AX3901" i="3" s="1"/>
  <c r="AV3900" i="3"/>
  <c r="AX3900" i="3" s="1"/>
  <c r="AV3899" i="3"/>
  <c r="AX3899" i="3" s="1"/>
  <c r="AV3898" i="3"/>
  <c r="AX3898" i="3" s="1"/>
  <c r="AV3897" i="3"/>
  <c r="AX3897" i="3" s="1"/>
  <c r="AV3896" i="3"/>
  <c r="AX3896" i="3" s="1"/>
  <c r="AV3895" i="3"/>
  <c r="AX3895" i="3" s="1"/>
  <c r="AV3894" i="3"/>
  <c r="AX3894" i="3" s="1"/>
  <c r="AV3893" i="3"/>
  <c r="AX3893" i="3" s="1"/>
  <c r="AV3892" i="3"/>
  <c r="AX3892" i="3" s="1"/>
  <c r="AV3891" i="3"/>
  <c r="AX3891" i="3" s="1"/>
  <c r="AV3890" i="3"/>
  <c r="AX3890" i="3" s="1"/>
  <c r="AV3889" i="3"/>
  <c r="AX3889" i="3" s="1"/>
  <c r="AV3888" i="3"/>
  <c r="AX3888" i="3" s="1"/>
  <c r="AV3887" i="3"/>
  <c r="AX3887" i="3" s="1"/>
  <c r="AV3886" i="3"/>
  <c r="AX3886" i="3" s="1"/>
  <c r="AV3885" i="3"/>
  <c r="AX3885" i="3" s="1"/>
  <c r="AV3884" i="3"/>
  <c r="AX3884" i="3" s="1"/>
  <c r="AV3883" i="3"/>
  <c r="AX3883" i="3" s="1"/>
  <c r="AV3882" i="3"/>
  <c r="AX3882" i="3" s="1"/>
  <c r="AV3881" i="3"/>
  <c r="AX3881" i="3" s="1"/>
  <c r="AV3880" i="3"/>
  <c r="AX3880" i="3" s="1"/>
  <c r="AV3879" i="3"/>
  <c r="AX3879" i="3" s="1"/>
  <c r="AV3878" i="3"/>
  <c r="AX3878" i="3" s="1"/>
  <c r="AV3877" i="3"/>
  <c r="AX3877" i="3" s="1"/>
  <c r="AV3876" i="3"/>
  <c r="AX3876" i="3" s="1"/>
  <c r="AV3875" i="3"/>
  <c r="AX3875" i="3" s="1"/>
  <c r="AV3874" i="3"/>
  <c r="AX3874" i="3" s="1"/>
  <c r="AV3873" i="3"/>
  <c r="AX3873" i="3" s="1"/>
  <c r="AV3872" i="3"/>
  <c r="AX3872" i="3" s="1"/>
  <c r="AV3871" i="3"/>
  <c r="AX3871" i="3" s="1"/>
  <c r="AV3870" i="3"/>
  <c r="AX3870" i="3" s="1"/>
  <c r="AV3869" i="3"/>
  <c r="AX3869" i="3" s="1"/>
  <c r="AV3868" i="3"/>
  <c r="AX3868" i="3" s="1"/>
  <c r="AV3867" i="3"/>
  <c r="AX3867" i="3" s="1"/>
  <c r="AV3866" i="3"/>
  <c r="AX3866" i="3" s="1"/>
  <c r="AV3865" i="3"/>
  <c r="AX3865" i="3" s="1"/>
  <c r="AV3864" i="3"/>
  <c r="AX3864" i="3" s="1"/>
  <c r="AV3863" i="3"/>
  <c r="AX3863" i="3" s="1"/>
  <c r="AV3862" i="3"/>
  <c r="AX3862" i="3" s="1"/>
  <c r="AV3861" i="3"/>
  <c r="AX3861" i="3" s="1"/>
  <c r="AV3860" i="3"/>
  <c r="AX3860" i="3" s="1"/>
  <c r="AV3859" i="3"/>
  <c r="AX3859" i="3" s="1"/>
  <c r="AV3858" i="3"/>
  <c r="AX3858" i="3" s="1"/>
  <c r="AV3857" i="3"/>
  <c r="AX3857" i="3" s="1"/>
  <c r="AV3856" i="3"/>
  <c r="AX3856" i="3" s="1"/>
  <c r="AV3855" i="3"/>
  <c r="AX3855" i="3" s="1"/>
  <c r="AV3854" i="3"/>
  <c r="AX3854" i="3" s="1"/>
  <c r="AV3853" i="3"/>
  <c r="AX3853" i="3" s="1"/>
  <c r="AV3852" i="3"/>
  <c r="AX3852" i="3" s="1"/>
  <c r="AV3851" i="3"/>
  <c r="AX3851" i="3" s="1"/>
  <c r="AV3850" i="3"/>
  <c r="AX3850" i="3" s="1"/>
  <c r="AV3849" i="3"/>
  <c r="AX3849" i="3" s="1"/>
  <c r="AV3848" i="3"/>
  <c r="AX3848" i="3" s="1"/>
  <c r="AV3847" i="3"/>
  <c r="AX3847" i="3" s="1"/>
  <c r="AV3846" i="3"/>
  <c r="AX3846" i="3" s="1"/>
  <c r="AV3845" i="3"/>
  <c r="AX3845" i="3" s="1"/>
  <c r="AV3844" i="3"/>
  <c r="AX3844" i="3" s="1"/>
  <c r="AV3843" i="3"/>
  <c r="AX3843" i="3" s="1"/>
  <c r="AV3842" i="3"/>
  <c r="AX3842" i="3" s="1"/>
  <c r="AV3841" i="3"/>
  <c r="AX3841" i="3" s="1"/>
  <c r="AV3840" i="3"/>
  <c r="AX3840" i="3" s="1"/>
  <c r="AV3839" i="3"/>
  <c r="AX3839" i="3" s="1"/>
  <c r="AV3838" i="3"/>
  <c r="AX3838" i="3" s="1"/>
  <c r="AV3836" i="3"/>
  <c r="AX3836" i="3" s="1"/>
  <c r="AV3834" i="3"/>
  <c r="AX3834" i="3" s="1"/>
  <c r="AV3832" i="3"/>
  <c r="AX3832" i="3" s="1"/>
  <c r="AV3830" i="3"/>
  <c r="AX3830" i="3" s="1"/>
  <c r="AV3828" i="3"/>
  <c r="AX3828" i="3" s="1"/>
  <c r="AV3826" i="3"/>
  <c r="AX3826" i="3" s="1"/>
  <c r="AV3824" i="3"/>
  <c r="AX3824" i="3" s="1"/>
  <c r="AV3822" i="3"/>
  <c r="AX3822" i="3" s="1"/>
  <c r="AV3820" i="3"/>
  <c r="AX3820" i="3" s="1"/>
  <c r="AV3818" i="3"/>
  <c r="AX3818" i="3" s="1"/>
  <c r="AV3816" i="3"/>
  <c r="AX3816" i="3" s="1"/>
  <c r="AV3814" i="3"/>
  <c r="AX3814" i="3" s="1"/>
  <c r="AV3812" i="3"/>
  <c r="AX3812" i="3" s="1"/>
  <c r="AV3810" i="3"/>
  <c r="AX3810" i="3" s="1"/>
  <c r="AV3808" i="3"/>
  <c r="AX3808" i="3" s="1"/>
  <c r="AV3805" i="3"/>
  <c r="AX3805" i="3" s="1"/>
  <c r="AV3803" i="3"/>
  <c r="AX3803" i="3" s="1"/>
  <c r="AV3801" i="3"/>
  <c r="AX3801" i="3" s="1"/>
  <c r="AV3799" i="3"/>
  <c r="AX3799" i="3" s="1"/>
  <c r="AV3797" i="3"/>
  <c r="AX3797" i="3" s="1"/>
  <c r="AV3795" i="3"/>
  <c r="AX3795" i="3" s="1"/>
  <c r="AV3793" i="3"/>
  <c r="AX3793" i="3" s="1"/>
  <c r="AV3791" i="3"/>
  <c r="AX3791" i="3" s="1"/>
  <c r="AV3789" i="3"/>
  <c r="AX3789" i="3" s="1"/>
  <c r="AV3787" i="3"/>
  <c r="AX3787" i="3" s="1"/>
  <c r="AV3785" i="3"/>
  <c r="AX3785" i="3" s="1"/>
  <c r="AV3783" i="3"/>
  <c r="AX3783" i="3" s="1"/>
  <c r="AV3781" i="3"/>
  <c r="AX3781" i="3" s="1"/>
  <c r="AV3779" i="3"/>
  <c r="AX3779" i="3" s="1"/>
  <c r="AV3777" i="3"/>
  <c r="AX3777" i="3" s="1"/>
  <c r="AV3775" i="3"/>
  <c r="AX3775" i="3" s="1"/>
  <c r="AV3765" i="3"/>
  <c r="AX3765" i="3" s="1"/>
  <c r="AV3763" i="3"/>
  <c r="AX3763" i="3" s="1"/>
  <c r="AV3761" i="3"/>
  <c r="AX3761" i="3" s="1"/>
  <c r="AV3759" i="3"/>
  <c r="AX3759" i="3" s="1"/>
  <c r="AV3757" i="3"/>
  <c r="AX3757" i="3" s="1"/>
  <c r="AV3755" i="3"/>
  <c r="AX3755" i="3" s="1"/>
  <c r="AV3753" i="3"/>
  <c r="AX3753" i="3" s="1"/>
  <c r="AV3751" i="3"/>
  <c r="AX3751" i="3" s="1"/>
  <c r="AV3749" i="3"/>
  <c r="AX3749" i="3" s="1"/>
  <c r="AV3747" i="3"/>
  <c r="AX3747" i="3" s="1"/>
  <c r="AV3746" i="3"/>
  <c r="AX3746" i="3" s="1"/>
  <c r="AV3744" i="3"/>
  <c r="AX3744" i="3" s="1"/>
  <c r="AV3742" i="3"/>
  <c r="AX3742" i="3" s="1"/>
  <c r="AV3740" i="3"/>
  <c r="AX3740" i="3" s="1"/>
  <c r="AV3738" i="3"/>
  <c r="AX3738" i="3" s="1"/>
  <c r="AV3736" i="3"/>
  <c r="AX3736" i="3" s="1"/>
  <c r="AX3687" i="3"/>
  <c r="AX3685" i="3"/>
  <c r="AX3683" i="3"/>
  <c r="AX3681" i="3"/>
  <c r="AX3679" i="3"/>
  <c r="AX3677" i="3"/>
  <c r="AX3675" i="3"/>
  <c r="AX3673" i="3"/>
  <c r="AX3671" i="3"/>
  <c r="AX3669" i="3"/>
  <c r="AX3667" i="3"/>
  <c r="AX3628" i="3"/>
  <c r="AX3626" i="3"/>
  <c r="AX3624" i="3"/>
  <c r="AX3622" i="3"/>
  <c r="AX3620" i="3"/>
  <c r="AX3618" i="3"/>
  <c r="AX3616" i="3"/>
  <c r="AX3614" i="3"/>
  <c r="AX3612" i="3"/>
  <c r="AX3610" i="3"/>
  <c r="AX3608" i="3"/>
  <c r="AX3606" i="3"/>
  <c r="AX3604" i="3"/>
  <c r="AX3602" i="3"/>
  <c r="AX3600" i="3"/>
  <c r="AX3598" i="3"/>
  <c r="AX3596" i="3"/>
  <c r="AX3594" i="3"/>
  <c r="AX3592" i="3"/>
  <c r="AX3590" i="3"/>
  <c r="AX3588" i="3"/>
  <c r="AX3586" i="3"/>
  <c r="AX3584" i="3"/>
  <c r="AX3582" i="3"/>
  <c r="AX3580" i="3"/>
  <c r="AX3578" i="3"/>
  <c r="AX3576" i="3"/>
  <c r="AX3574" i="3"/>
  <c r="AX3572" i="3"/>
  <c r="AX3570" i="3"/>
  <c r="AX3568" i="3"/>
  <c r="AX3566" i="3"/>
  <c r="AX3564" i="3"/>
  <c r="AX3562" i="3"/>
  <c r="AX3560" i="3"/>
  <c r="AX3558" i="3"/>
  <c r="AX3556" i="3"/>
  <c r="AX3554" i="3"/>
  <c r="AX3552" i="3"/>
  <c r="AX3550" i="3"/>
  <c r="AX3548" i="3"/>
  <c r="AX3546" i="3"/>
  <c r="AX3544" i="3"/>
  <c r="AX3542" i="3"/>
  <c r="AX3539" i="3"/>
  <c r="AX3537" i="3"/>
  <c r="AX3535" i="3"/>
  <c r="AX3533" i="3"/>
  <c r="AX3531" i="3"/>
  <c r="AX3529" i="3"/>
  <c r="AX3527" i="3"/>
  <c r="AX3525" i="3"/>
  <c r="AX3523" i="3"/>
  <c r="AX3521" i="3"/>
  <c r="AX3519" i="3"/>
  <c r="AX3517" i="3"/>
  <c r="AX3515" i="3"/>
  <c r="AX3513" i="3"/>
  <c r="AX3511" i="3"/>
  <c r="AX3509" i="3"/>
  <c r="AX3507" i="3"/>
  <c r="AX3505" i="3"/>
  <c r="AX3503" i="3"/>
  <c r="AX3501" i="3"/>
  <c r="AX3499" i="3"/>
  <c r="AX3497" i="3"/>
  <c r="AX3495" i="3"/>
  <c r="AX3493" i="3"/>
  <c r="AX3491" i="3"/>
  <c r="AX3489" i="3"/>
  <c r="AX3487" i="3"/>
  <c r="AX3485" i="3"/>
  <c r="AX3483" i="3"/>
  <c r="AX3481" i="3"/>
  <c r="AX3479" i="3"/>
  <c r="AX3477" i="3"/>
  <c r="AX3475" i="3"/>
  <c r="AX3473" i="3"/>
  <c r="AX3471" i="3"/>
  <c r="AX3469" i="3"/>
  <c r="AX3467" i="3"/>
  <c r="AX3465" i="3"/>
  <c r="AX3463" i="3"/>
  <c r="AX3461" i="3"/>
  <c r="AX3458" i="3"/>
  <c r="AX3457" i="3"/>
  <c r="AX3455" i="3"/>
  <c r="AX3453" i="3"/>
  <c r="AX3451" i="3"/>
  <c r="AX3449" i="3"/>
  <c r="AX3447" i="3"/>
  <c r="AX3445" i="3"/>
  <c r="AX3443" i="3"/>
  <c r="AX3441" i="3"/>
  <c r="AX3439" i="3"/>
  <c r="AX3437" i="3"/>
  <c r="AX3435" i="3"/>
  <c r="AX3433" i="3"/>
  <c r="AX3431" i="3"/>
  <c r="AX3428" i="3"/>
  <c r="AX3426" i="3"/>
  <c r="AX3424" i="3"/>
  <c r="AX3422" i="3"/>
  <c r="AX3420" i="3"/>
  <c r="AX3418" i="3"/>
  <c r="AX3417" i="3"/>
  <c r="AX3414" i="3"/>
  <c r="AX3412" i="3"/>
  <c r="AX3410" i="3"/>
  <c r="AX3408" i="3"/>
  <c r="AX3406" i="3"/>
  <c r="AX3404" i="3"/>
  <c r="AX3402" i="3"/>
  <c r="AX3400" i="3"/>
  <c r="AX3398" i="3"/>
  <c r="AX3396" i="3"/>
  <c r="AX3394" i="3"/>
  <c r="AX3392" i="3"/>
  <c r="AX3390" i="3"/>
  <c r="AX3388" i="3"/>
  <c r="AX3386" i="3"/>
  <c r="AX3384" i="3"/>
  <c r="AX3382" i="3"/>
  <c r="AX3380" i="3"/>
  <c r="AX3378" i="3"/>
  <c r="AX3376" i="3"/>
  <c r="AX3374" i="3"/>
  <c r="AX3372" i="3"/>
  <c r="AX3370" i="3"/>
  <c r="AX3367" i="3"/>
  <c r="AX3365" i="3"/>
  <c r="AX3363" i="3"/>
  <c r="AX3361" i="3"/>
  <c r="AX3359" i="3"/>
  <c r="AX3357" i="3"/>
  <c r="AX3355" i="3"/>
  <c r="AX3353" i="3"/>
  <c r="AX3351" i="3"/>
  <c r="AX3349" i="3"/>
  <c r="AX3347" i="3"/>
  <c r="AX3345" i="3"/>
  <c r="AX3343" i="3"/>
  <c r="AX3341" i="3"/>
  <c r="AX3339" i="3"/>
  <c r="AX3337" i="3"/>
  <c r="AX3335" i="3"/>
  <c r="AX3333" i="3"/>
  <c r="AX3331" i="3"/>
  <c r="AX3329" i="3"/>
  <c r="AX3327" i="3"/>
  <c r="AX3325" i="3"/>
  <c r="AX3323" i="3"/>
  <c r="AX3321" i="3"/>
  <c r="AX3318" i="3"/>
  <c r="AX3316" i="3"/>
  <c r="AX3314" i="3"/>
  <c r="AX3312" i="3"/>
  <c r="AX3310" i="3"/>
  <c r="AX3308" i="3"/>
  <c r="AX3306" i="3"/>
  <c r="AX3304" i="3"/>
  <c r="AX3302" i="3"/>
  <c r="AX3300" i="3"/>
  <c r="AX3298" i="3"/>
  <c r="AX3296" i="3"/>
  <c r="AX3294" i="3"/>
  <c r="AX3292" i="3"/>
  <c r="AX3290" i="3"/>
  <c r="AX3288" i="3"/>
  <c r="AX3286" i="3"/>
  <c r="AX3284" i="3"/>
  <c r="AX3282" i="3"/>
  <c r="AX3280" i="3"/>
  <c r="AX3278" i="3"/>
  <c r="AX3276" i="3"/>
  <c r="AX3274" i="3"/>
  <c r="AX3272" i="3"/>
  <c r="AX3270" i="3"/>
  <c r="AX3268" i="3"/>
  <c r="AX3267" i="3"/>
  <c r="AX3265" i="3"/>
  <c r="AX3263" i="3"/>
  <c r="AX3261" i="3"/>
  <c r="AX3260" i="3"/>
  <c r="AX3257" i="3"/>
  <c r="AX3255" i="3"/>
  <c r="AX3253" i="3"/>
  <c r="AX3252" i="3"/>
  <c r="AX3250" i="3"/>
  <c r="AX3248" i="3"/>
  <c r="AX3245" i="3"/>
  <c r="AX3243" i="3"/>
  <c r="AX3241" i="3"/>
  <c r="AX3239" i="3"/>
  <c r="AX3237" i="3"/>
  <c r="AX3235" i="3"/>
  <c r="AX3231" i="3"/>
  <c r="AX3229" i="3"/>
  <c r="AX3227" i="3"/>
  <c r="AX3225" i="3"/>
  <c r="AX3223" i="3"/>
  <c r="AX3221" i="3"/>
  <c r="AX3219" i="3"/>
  <c r="AX3217" i="3"/>
  <c r="AX3215" i="3"/>
  <c r="AX3213" i="3"/>
  <c r="AX3211" i="3"/>
  <c r="AX3209" i="3"/>
  <c r="AX3207" i="3"/>
  <c r="AX3205" i="3"/>
  <c r="AX3203" i="3"/>
  <c r="AX3201" i="3"/>
  <c r="AX3199" i="3"/>
  <c r="AX3197" i="3"/>
  <c r="AX3195" i="3"/>
  <c r="AX3193" i="3"/>
  <c r="AX3191" i="3"/>
  <c r="AX3189" i="3"/>
  <c r="AX3187" i="3"/>
  <c r="AX3185" i="3"/>
  <c r="AX3183" i="3"/>
  <c r="AX3181" i="3"/>
  <c r="AX3179" i="3"/>
  <c r="AX3177" i="3"/>
  <c r="AX3175" i="3"/>
  <c r="AX3173" i="3"/>
  <c r="AX3171" i="3"/>
  <c r="AX3169" i="3"/>
  <c r="AX3167" i="3"/>
  <c r="AX3164" i="3"/>
  <c r="AX3161" i="3"/>
  <c r="AX3158" i="3"/>
  <c r="AX3155" i="3"/>
  <c r="AX3152" i="3"/>
  <c r="AX3149" i="3"/>
  <c r="AX3146" i="3"/>
  <c r="AX3143" i="3"/>
  <c r="AX3140" i="3"/>
  <c r="AX3137" i="3"/>
  <c r="AX3134" i="3"/>
  <c r="AX3131" i="3"/>
  <c r="AX3128" i="3"/>
  <c r="AX3126" i="3"/>
  <c r="AX3125" i="3"/>
  <c r="AX3123" i="3"/>
  <c r="AX3120" i="3"/>
  <c r="AX3117" i="3"/>
  <c r="AX3114" i="3"/>
  <c r="AX3111" i="3"/>
  <c r="AX3108" i="3"/>
  <c r="AX3105" i="3"/>
  <c r="AX3102" i="3"/>
  <c r="AX3099" i="3"/>
  <c r="AX3096" i="3"/>
  <c r="AX3093" i="3"/>
  <c r="AX3090" i="3"/>
  <c r="AX3087" i="3"/>
  <c r="AX3085" i="3"/>
  <c r="AX3084" i="3"/>
  <c r="AX3082" i="3"/>
  <c r="AX3081" i="3"/>
  <c r="AX3079" i="3"/>
  <c r="AX3076" i="3"/>
  <c r="AX3073" i="3"/>
  <c r="AX3070" i="3"/>
  <c r="AX3067" i="3"/>
  <c r="AX3064" i="3"/>
  <c r="AX3061" i="3"/>
  <c r="AX3058" i="3"/>
  <c r="AX3055" i="3"/>
  <c r="AX3052" i="3"/>
  <c r="AX3049" i="3"/>
  <c r="AX3046" i="3"/>
  <c r="AX3043" i="3"/>
  <c r="AX3040" i="3"/>
  <c r="AX3037" i="3"/>
  <c r="AX3034" i="3"/>
  <c r="AX3032" i="3"/>
  <c r="AX3029" i="3"/>
  <c r="AX3025" i="3"/>
  <c r="AX3023" i="3"/>
  <c r="AX3020" i="3"/>
  <c r="AX3017" i="3"/>
  <c r="AX3014" i="3"/>
  <c r="AX3012" i="3"/>
  <c r="AX3009" i="3"/>
  <c r="AX3006" i="3"/>
  <c r="AX2995" i="3"/>
  <c r="AX2984" i="3"/>
  <c r="AX2973" i="3"/>
  <c r="AX2962" i="3"/>
  <c r="AX2954" i="3"/>
  <c r="AX2943" i="3"/>
  <c r="AX2932" i="3"/>
  <c r="AX2922" i="3"/>
  <c r="AX2921" i="3"/>
  <c r="AX2912" i="3"/>
  <c r="AX2911" i="3"/>
  <c r="AX2901" i="3"/>
  <c r="AX2900" i="3"/>
  <c r="AX2879" i="3"/>
  <c r="AX2857" i="3"/>
  <c r="AX2846" i="3"/>
  <c r="AX2835" i="3"/>
  <c r="AX2824" i="3"/>
  <c r="AX2814" i="3"/>
  <c r="AX2803" i="3"/>
  <c r="AX2794" i="3"/>
  <c r="AX2785" i="3"/>
  <c r="AX2782" i="3"/>
  <c r="AX2773" i="3"/>
  <c r="AX2763" i="3"/>
  <c r="AX2752" i="3"/>
  <c r="AX2750" i="3"/>
  <c r="AX2741" i="3"/>
  <c r="AX2740" i="3"/>
  <c r="AX2716" i="3"/>
  <c r="AX2706" i="3"/>
  <c r="AX2695" i="3"/>
  <c r="AX2674" i="3"/>
  <c r="AX2664" i="3"/>
  <c r="AX2653" i="3"/>
  <c r="AX2652" i="3"/>
  <c r="AX2642" i="3"/>
  <c r="AX2641" i="3"/>
  <c r="AX2631" i="3"/>
  <c r="AX2620" i="3"/>
  <c r="AX2610" i="3"/>
  <c r="AX2599" i="3"/>
  <c r="AX2589" i="3"/>
  <c r="AX2579" i="3"/>
  <c r="AX2577" i="3"/>
  <c r="AX2566" i="3"/>
  <c r="AX2555" i="3"/>
  <c r="AX2545" i="3"/>
  <c r="AX2535" i="3"/>
  <c r="AX2534" i="3"/>
  <c r="AX2525" i="3"/>
  <c r="AX2515" i="3"/>
  <c r="AX2494" i="3"/>
  <c r="AX2483" i="3"/>
  <c r="AX2472" i="3"/>
  <c r="AX2471" i="3"/>
  <c r="AX2441" i="3"/>
  <c r="AX2418" i="3"/>
  <c r="AX2408" i="3"/>
  <c r="AX2398" i="3"/>
  <c r="AX2388" i="3"/>
  <c r="AX2377" i="3"/>
  <c r="AX2168" i="3"/>
  <c r="AX2159" i="3"/>
  <c r="AX907" i="3"/>
  <c r="AX894" i="3"/>
  <c r="AX883" i="3"/>
  <c r="AX880" i="3"/>
  <c r="AX870" i="3"/>
  <c r="AX847" i="3"/>
  <c r="AX842" i="3"/>
  <c r="AX840" i="3"/>
  <c r="AX820" i="3"/>
  <c r="AX2635" i="2"/>
  <c r="AX2619" i="2"/>
  <c r="AX2589" i="2"/>
  <c r="AX2574" i="2"/>
  <c r="AX2559" i="2"/>
  <c r="AX2558" i="2"/>
  <c r="AX2544" i="2"/>
  <c r="AX2529" i="2"/>
  <c r="AX2498" i="2"/>
  <c r="AX2469" i="2"/>
  <c r="AX2468" i="2"/>
  <c r="AX2454" i="2"/>
  <c r="AX2453" i="2"/>
  <c r="AX2438" i="2"/>
  <c r="AX2423" i="2"/>
  <c r="AX2408" i="2"/>
  <c r="AX2394" i="2"/>
  <c r="AX2379" i="2"/>
  <c r="AX2364" i="2"/>
  <c r="AX2348" i="2"/>
  <c r="AX2334" i="2"/>
  <c r="AX2319" i="2"/>
  <c r="AX2304" i="2"/>
  <c r="AX2290" i="2"/>
  <c r="AX2264" i="2"/>
  <c r="AX2259" i="2"/>
  <c r="AX2247" i="2"/>
  <c r="AX2245" i="2"/>
  <c r="AX2221" i="2"/>
  <c r="AX2205" i="2"/>
  <c r="AX2177" i="2"/>
  <c r="AV2157" i="3"/>
  <c r="AX2157" i="3" s="1"/>
  <c r="AV2156" i="3"/>
  <c r="AX2156" i="3" s="1"/>
  <c r="AV2155" i="3"/>
  <c r="AX2155" i="3" s="1"/>
  <c r="AV2154" i="3"/>
  <c r="AX2154" i="3" s="1"/>
  <c r="AV2153" i="3"/>
  <c r="AX2153" i="3" s="1"/>
  <c r="AV2152" i="3"/>
  <c r="AX2152" i="3" s="1"/>
  <c r="AV2151" i="3"/>
  <c r="AX2151" i="3" s="1"/>
  <c r="AV2150" i="3"/>
  <c r="AX2150" i="3" s="1"/>
  <c r="AV2149" i="3"/>
  <c r="AX2149" i="3" s="1"/>
  <c r="AV2148" i="3"/>
  <c r="AX2148" i="3" s="1"/>
  <c r="AV2147" i="3"/>
  <c r="AX2147" i="3" s="1"/>
  <c r="AV2146" i="3"/>
  <c r="AX2146" i="3" s="1"/>
  <c r="AV2145" i="3"/>
  <c r="AX2145" i="3" s="1"/>
  <c r="AV2144" i="3"/>
  <c r="AX2144" i="3" s="1"/>
  <c r="AV2143" i="3"/>
  <c r="AX2143" i="3" s="1"/>
  <c r="AV2142" i="3"/>
  <c r="AX2142" i="3" s="1"/>
  <c r="AV2141" i="3"/>
  <c r="AX2141" i="3" s="1"/>
  <c r="AV2140" i="3"/>
  <c r="AX2140" i="3" s="1"/>
  <c r="AV2139" i="3"/>
  <c r="AX2139" i="3" s="1"/>
  <c r="AV2138" i="3"/>
  <c r="AX2138" i="3" s="1"/>
  <c r="AV2137" i="3"/>
  <c r="AX2137" i="3" s="1"/>
  <c r="AV2136" i="3"/>
  <c r="AX2136" i="3" s="1"/>
  <c r="AV2135" i="3"/>
  <c r="AX2135" i="3" s="1"/>
  <c r="AV2134" i="3"/>
  <c r="AX2134" i="3" s="1"/>
  <c r="AV2133" i="3"/>
  <c r="AX2133" i="3" s="1"/>
  <c r="AV2132" i="3"/>
  <c r="AX2132" i="3" s="1"/>
  <c r="AV2131" i="3"/>
  <c r="AX2131" i="3" s="1"/>
  <c r="AV2130" i="3"/>
  <c r="AX2130" i="3" s="1"/>
  <c r="AV2129" i="3"/>
  <c r="AX2129" i="3" s="1"/>
  <c r="AV2128" i="3"/>
  <c r="AX2128" i="3" s="1"/>
  <c r="AV2127" i="3"/>
  <c r="AX2127" i="3" s="1"/>
  <c r="AV2126" i="3"/>
  <c r="AX2126" i="3" s="1"/>
  <c r="AV2125" i="3"/>
  <c r="AX2125" i="3" s="1"/>
  <c r="AV2124" i="3"/>
  <c r="AX2124" i="3" s="1"/>
  <c r="AV2123" i="3"/>
  <c r="AX2123" i="3" s="1"/>
  <c r="AV2122" i="3"/>
  <c r="AX2122" i="3" s="1"/>
  <c r="AV2121" i="3"/>
  <c r="AX2121" i="3" s="1"/>
  <c r="AV2120" i="3"/>
  <c r="AX2120" i="3" s="1"/>
  <c r="AV2119" i="3"/>
  <c r="AX2119" i="3" s="1"/>
  <c r="AV2118" i="3"/>
  <c r="AX2118" i="3" s="1"/>
  <c r="AV2117" i="3"/>
  <c r="AX2117" i="3" s="1"/>
  <c r="AV2116" i="3"/>
  <c r="AX2116" i="3" s="1"/>
  <c r="AV2115" i="3"/>
  <c r="AX2115" i="3" s="1"/>
  <c r="AV2114" i="3"/>
  <c r="AX2114" i="3" s="1"/>
  <c r="AV2113" i="3"/>
  <c r="AX2113" i="3" s="1"/>
  <c r="AV2112" i="3"/>
  <c r="AX2112" i="3" s="1"/>
  <c r="AV2111" i="3"/>
  <c r="AX2111" i="3" s="1"/>
  <c r="AV2110" i="3"/>
  <c r="AX2110" i="3" s="1"/>
  <c r="AV2109" i="3"/>
  <c r="AX2109" i="3" s="1"/>
  <c r="AV2108" i="3"/>
  <c r="AX2108" i="3" s="1"/>
  <c r="AV2107" i="3"/>
  <c r="AX2107" i="3" s="1"/>
  <c r="AV2106" i="3"/>
  <c r="AX2106" i="3" s="1"/>
  <c r="AV2105" i="3"/>
  <c r="AX2105" i="3" s="1"/>
  <c r="AV2104" i="3"/>
  <c r="AX2104" i="3" s="1"/>
  <c r="AV2103" i="3"/>
  <c r="AX2103" i="3" s="1"/>
  <c r="AV2102" i="3"/>
  <c r="AX2102" i="3" s="1"/>
  <c r="AV2101" i="3"/>
  <c r="AX2101" i="3" s="1"/>
  <c r="AV2100" i="3"/>
  <c r="AX2100" i="3" s="1"/>
  <c r="AV2099" i="3"/>
  <c r="AX2099" i="3" s="1"/>
  <c r="AV2098" i="3"/>
  <c r="AX2098" i="3" s="1"/>
  <c r="AV2097" i="3"/>
  <c r="AX2097" i="3" s="1"/>
  <c r="AV2096" i="3"/>
  <c r="AX2096" i="3" s="1"/>
  <c r="AV2095" i="3"/>
  <c r="AX2095" i="3" s="1"/>
  <c r="AV2094" i="3"/>
  <c r="AX2094" i="3" s="1"/>
  <c r="AV2093" i="3"/>
  <c r="AX2093" i="3" s="1"/>
  <c r="AV2092" i="3"/>
  <c r="AX2092" i="3" s="1"/>
  <c r="AV2091" i="3"/>
  <c r="AX2091" i="3" s="1"/>
  <c r="AV2090" i="3"/>
  <c r="AX2090" i="3" s="1"/>
  <c r="AV2089" i="3"/>
  <c r="AX2089" i="3" s="1"/>
  <c r="AV2088" i="3"/>
  <c r="AX2088" i="3" s="1"/>
  <c r="AV2087" i="3"/>
  <c r="AX2087" i="3" s="1"/>
  <c r="AV2086" i="3"/>
  <c r="AX2086" i="3" s="1"/>
  <c r="AV2085" i="3"/>
  <c r="AX2085" i="3" s="1"/>
  <c r="AV2084" i="3"/>
  <c r="AX2084" i="3" s="1"/>
  <c r="AV2083" i="3"/>
  <c r="AX2083" i="3" s="1"/>
  <c r="AV2082" i="3"/>
  <c r="AX2082" i="3" s="1"/>
  <c r="AV2081" i="3"/>
  <c r="AX2081" i="3" s="1"/>
  <c r="AV2080" i="3"/>
  <c r="AX2080" i="3" s="1"/>
  <c r="AV2079" i="3"/>
  <c r="AX2079" i="3" s="1"/>
  <c r="AV2078" i="3"/>
  <c r="AX2078" i="3" s="1"/>
  <c r="AV2077" i="3"/>
  <c r="AX2077" i="3" s="1"/>
  <c r="AV2076" i="3"/>
  <c r="AX2076" i="3" s="1"/>
  <c r="AV2075" i="3"/>
  <c r="AX2075" i="3" s="1"/>
  <c r="AV2074" i="3"/>
  <c r="AX2074" i="3" s="1"/>
  <c r="AV2073" i="3"/>
  <c r="AX2073" i="3" s="1"/>
  <c r="AV2072" i="3"/>
  <c r="AX2072" i="3" s="1"/>
  <c r="AV2071" i="3"/>
  <c r="AX2071" i="3" s="1"/>
  <c r="AV2070" i="3"/>
  <c r="AX2070" i="3" s="1"/>
  <c r="AV2069" i="3"/>
  <c r="AX2069" i="3" s="1"/>
  <c r="AV2068" i="3"/>
  <c r="AX2068" i="3" s="1"/>
  <c r="AV2067" i="3"/>
  <c r="AX2067" i="3" s="1"/>
  <c r="AV2066" i="3"/>
  <c r="AX2066" i="3" s="1"/>
  <c r="AV2065" i="3"/>
  <c r="AX2065" i="3" s="1"/>
  <c r="AV2064" i="3"/>
  <c r="AX2064" i="3" s="1"/>
  <c r="AV2063" i="3"/>
  <c r="AX2063" i="3" s="1"/>
  <c r="AV2062" i="3"/>
  <c r="AX2062" i="3" s="1"/>
  <c r="AV2061" i="3"/>
  <c r="AX2061" i="3" s="1"/>
  <c r="AV2060" i="3"/>
  <c r="AX2060" i="3" s="1"/>
  <c r="AV2059" i="3"/>
  <c r="AX2059" i="3" s="1"/>
  <c r="AV2058" i="3"/>
  <c r="AX2058" i="3" s="1"/>
  <c r="AV2057" i="3"/>
  <c r="AX2057" i="3" s="1"/>
  <c r="AV2056" i="3"/>
  <c r="AX2056" i="3" s="1"/>
  <c r="AV2055" i="3"/>
  <c r="AX2055" i="3" s="1"/>
  <c r="AV2054" i="3"/>
  <c r="AX2054" i="3" s="1"/>
  <c r="AV2053" i="3"/>
  <c r="AX2053" i="3" s="1"/>
  <c r="AV2052" i="3"/>
  <c r="AX2052" i="3" s="1"/>
  <c r="AV2051" i="3"/>
  <c r="AX2051" i="3" s="1"/>
  <c r="AV2050" i="3"/>
  <c r="AX2050" i="3" s="1"/>
  <c r="AV2049" i="3"/>
  <c r="AX2049" i="3" s="1"/>
  <c r="AV2048" i="3"/>
  <c r="AX2048" i="3" s="1"/>
  <c r="AV2047" i="3"/>
  <c r="AX2047" i="3" s="1"/>
  <c r="AV2046" i="3"/>
  <c r="AX2046" i="3" s="1"/>
  <c r="AV2045" i="3"/>
  <c r="AX2045" i="3" s="1"/>
  <c r="AV2044" i="3"/>
  <c r="AX2044" i="3" s="1"/>
  <c r="AV2043" i="3"/>
  <c r="AX2043" i="3" s="1"/>
  <c r="AV2042" i="3"/>
  <c r="AX2042" i="3" s="1"/>
  <c r="AV2041" i="3"/>
  <c r="AX2041" i="3" s="1"/>
  <c r="AV2040" i="3"/>
  <c r="AX2040" i="3" s="1"/>
  <c r="AV2039" i="3"/>
  <c r="AX2039" i="3" s="1"/>
  <c r="AV2038" i="3"/>
  <c r="AX2038" i="3" s="1"/>
  <c r="AV2037" i="3"/>
  <c r="AX2037" i="3" s="1"/>
  <c r="AV2036" i="3"/>
  <c r="AX2036" i="3" s="1"/>
  <c r="AV2035" i="3"/>
  <c r="AX2035" i="3" s="1"/>
  <c r="AV2034" i="3"/>
  <c r="AX2034" i="3" s="1"/>
  <c r="AV2033" i="3"/>
  <c r="AX2033" i="3" s="1"/>
  <c r="AV2032" i="3"/>
  <c r="AX2032" i="3" s="1"/>
  <c r="AV2031" i="3"/>
  <c r="AX2031" i="3" s="1"/>
  <c r="AV2030" i="3"/>
  <c r="AX2030" i="3" s="1"/>
  <c r="AV2029" i="3"/>
  <c r="AX2029" i="3" s="1"/>
  <c r="AV2028" i="3"/>
  <c r="AX2028" i="3" s="1"/>
  <c r="AV2027" i="3"/>
  <c r="AX2027" i="3" s="1"/>
  <c r="AV2026" i="3"/>
  <c r="AX2026" i="3" s="1"/>
  <c r="AV2025" i="3"/>
  <c r="AX2025" i="3" s="1"/>
  <c r="AV2024" i="3"/>
  <c r="AX2024" i="3" s="1"/>
  <c r="AV2023" i="3"/>
  <c r="AX2023" i="3" s="1"/>
  <c r="AV2022" i="3"/>
  <c r="AX2022" i="3" s="1"/>
  <c r="AV2021" i="3"/>
  <c r="AX2021" i="3" s="1"/>
  <c r="AV2020" i="3"/>
  <c r="AX2020" i="3" s="1"/>
  <c r="AV2019" i="3"/>
  <c r="AX2019" i="3" s="1"/>
  <c r="AV2018" i="3"/>
  <c r="AX2018" i="3" s="1"/>
  <c r="AV2017" i="3"/>
  <c r="AX2017" i="3" s="1"/>
  <c r="AV2016" i="3"/>
  <c r="AX2016" i="3" s="1"/>
  <c r="AV2015" i="3"/>
  <c r="AX2015" i="3" s="1"/>
  <c r="AV2014" i="3"/>
  <c r="AX2014" i="3" s="1"/>
  <c r="AV2013" i="3"/>
  <c r="AX2013" i="3" s="1"/>
  <c r="AV2012" i="3"/>
  <c r="AX2012" i="3" s="1"/>
  <c r="AV2011" i="3"/>
  <c r="AX2011" i="3" s="1"/>
  <c r="AV2010" i="3"/>
  <c r="AX2010" i="3" s="1"/>
  <c r="AV2009" i="3"/>
  <c r="AX2009" i="3" s="1"/>
  <c r="AV2008" i="3"/>
  <c r="AX2008" i="3" s="1"/>
  <c r="AV2007" i="3"/>
  <c r="AX2007" i="3" s="1"/>
  <c r="AV2006" i="3"/>
  <c r="AX2006" i="3" s="1"/>
  <c r="AV2005" i="3"/>
  <c r="AX2005" i="3" s="1"/>
  <c r="AV2004" i="3"/>
  <c r="AX2004" i="3" s="1"/>
  <c r="AV2003" i="3"/>
  <c r="AX2003" i="3" s="1"/>
  <c r="AV2002" i="3"/>
  <c r="AX2002" i="3" s="1"/>
  <c r="AV2001" i="3"/>
  <c r="AX2001" i="3" s="1"/>
  <c r="AV2000" i="3"/>
  <c r="AX2000" i="3" s="1"/>
  <c r="AV1999" i="3"/>
  <c r="AX1999" i="3" s="1"/>
  <c r="AV1998" i="3"/>
  <c r="AX1998" i="3" s="1"/>
  <c r="AV1997" i="3"/>
  <c r="AX1997" i="3" s="1"/>
  <c r="AV1996" i="3"/>
  <c r="AX1996" i="3" s="1"/>
  <c r="AV1995" i="3"/>
  <c r="AX1995" i="3" s="1"/>
  <c r="AV1994" i="3"/>
  <c r="AX1994" i="3" s="1"/>
  <c r="AV1993" i="3"/>
  <c r="AX1993" i="3" s="1"/>
  <c r="AV1992" i="3"/>
  <c r="AX1992" i="3" s="1"/>
  <c r="AV1991" i="3"/>
  <c r="AX1991" i="3" s="1"/>
  <c r="AV1990" i="3"/>
  <c r="AX1990" i="3" s="1"/>
  <c r="AV1989" i="3"/>
  <c r="AX1989" i="3" s="1"/>
  <c r="AV1988" i="3"/>
  <c r="AX1988" i="3" s="1"/>
  <c r="AV1987" i="3"/>
  <c r="AX1987" i="3" s="1"/>
  <c r="AV1986" i="3"/>
  <c r="AX1986" i="3" s="1"/>
  <c r="AV1985" i="3"/>
  <c r="AX1985" i="3" s="1"/>
  <c r="AV1984" i="3"/>
  <c r="AX1984" i="3" s="1"/>
  <c r="AV1983" i="3"/>
  <c r="AX1983" i="3" s="1"/>
  <c r="AV1982" i="3"/>
  <c r="AX1982" i="3" s="1"/>
  <c r="AV1981" i="3"/>
  <c r="AX1981" i="3" s="1"/>
  <c r="AV1980" i="3"/>
  <c r="AX1980" i="3" s="1"/>
  <c r="AV1979" i="3"/>
  <c r="AX1979" i="3" s="1"/>
  <c r="AV1978" i="3"/>
  <c r="AX1978" i="3" s="1"/>
  <c r="AV1977" i="3"/>
  <c r="AX1977" i="3" s="1"/>
  <c r="AV1976" i="3"/>
  <c r="AX1976" i="3" s="1"/>
  <c r="AV1975" i="3"/>
  <c r="AX1975" i="3" s="1"/>
  <c r="AV1974" i="3"/>
  <c r="AX1974" i="3" s="1"/>
  <c r="AV1973" i="3"/>
  <c r="AX1973" i="3" s="1"/>
  <c r="AV1972" i="3"/>
  <c r="AX1972" i="3" s="1"/>
  <c r="AV1971" i="3"/>
  <c r="AX1971" i="3" s="1"/>
  <c r="AV1970" i="3"/>
  <c r="AX1970" i="3" s="1"/>
  <c r="AV1969" i="3"/>
  <c r="AX1969" i="3" s="1"/>
  <c r="AV1968" i="3"/>
  <c r="AX1968" i="3" s="1"/>
  <c r="AV1967" i="3"/>
  <c r="AX1967" i="3" s="1"/>
  <c r="AV1966" i="3"/>
  <c r="AX1966" i="3" s="1"/>
  <c r="AV1965" i="3"/>
  <c r="AX1965" i="3" s="1"/>
  <c r="AV1964" i="3"/>
  <c r="AX1964" i="3" s="1"/>
  <c r="AV1963" i="3"/>
  <c r="AX1963" i="3" s="1"/>
  <c r="AV1962" i="3"/>
  <c r="AX1962" i="3" s="1"/>
  <c r="AV1961" i="3"/>
  <c r="AX1961" i="3" s="1"/>
  <c r="AV1960" i="3"/>
  <c r="AX1960" i="3" s="1"/>
  <c r="AV1959" i="3"/>
  <c r="AX1959" i="3" s="1"/>
  <c r="AV1958" i="3"/>
  <c r="AX1958" i="3" s="1"/>
  <c r="AV1957" i="3"/>
  <c r="AX1957" i="3" s="1"/>
  <c r="AV1956" i="3"/>
  <c r="AX1956" i="3" s="1"/>
  <c r="AV1955" i="3"/>
  <c r="AX1955" i="3" s="1"/>
  <c r="AV1954" i="3"/>
  <c r="AX1954" i="3" s="1"/>
  <c r="AV1953" i="3"/>
  <c r="AX1953" i="3" s="1"/>
  <c r="AV1952" i="3"/>
  <c r="AX1952" i="3" s="1"/>
  <c r="AV1951" i="3"/>
  <c r="AX1951" i="3" s="1"/>
  <c r="AV1950" i="3"/>
  <c r="AX1950" i="3" s="1"/>
  <c r="AV1949" i="3"/>
  <c r="AX1949" i="3" s="1"/>
  <c r="AV1948" i="3"/>
  <c r="AX1948" i="3" s="1"/>
  <c r="AV1947" i="3"/>
  <c r="AX1947" i="3" s="1"/>
  <c r="AV1946" i="3"/>
  <c r="AX1946" i="3" s="1"/>
  <c r="AV1945" i="3"/>
  <c r="AX1945" i="3" s="1"/>
  <c r="AV1944" i="3"/>
  <c r="AX1944" i="3" s="1"/>
  <c r="AV1943" i="3"/>
  <c r="AX1943" i="3" s="1"/>
  <c r="AV1942" i="3"/>
  <c r="AX1942" i="3" s="1"/>
  <c r="AV1941" i="3"/>
  <c r="AX1941" i="3" s="1"/>
  <c r="AV1940" i="3"/>
  <c r="AX1940" i="3" s="1"/>
  <c r="AV1939" i="3"/>
  <c r="AX1939" i="3" s="1"/>
  <c r="AV1938" i="3"/>
  <c r="AX1938" i="3" s="1"/>
  <c r="AV1937" i="3"/>
  <c r="AX1937" i="3" s="1"/>
  <c r="AV1936" i="3"/>
  <c r="AX1936" i="3" s="1"/>
  <c r="AV1935" i="3"/>
  <c r="AX1935" i="3" s="1"/>
  <c r="AV1934" i="3"/>
  <c r="AX1934" i="3" s="1"/>
  <c r="AV1933" i="3"/>
  <c r="AX1933" i="3" s="1"/>
  <c r="AV1932" i="3"/>
  <c r="AX1932" i="3" s="1"/>
  <c r="AV1931" i="3"/>
  <c r="AX1931" i="3" s="1"/>
  <c r="AV1930" i="3"/>
  <c r="AX1930" i="3" s="1"/>
  <c r="AV1929" i="3"/>
  <c r="AX1929" i="3" s="1"/>
  <c r="AV1928" i="3"/>
  <c r="AX1928" i="3" s="1"/>
  <c r="AV1927" i="3"/>
  <c r="AX1927" i="3" s="1"/>
  <c r="AV1926" i="3"/>
  <c r="AX1926" i="3" s="1"/>
  <c r="AV1925" i="3"/>
  <c r="AX1925" i="3" s="1"/>
  <c r="AV1924" i="3"/>
  <c r="AX1924" i="3" s="1"/>
  <c r="AV1923" i="3"/>
  <c r="AX1923" i="3" s="1"/>
  <c r="AV1922" i="3"/>
  <c r="AX1922" i="3" s="1"/>
  <c r="AV1921" i="3"/>
  <c r="AX1921" i="3" s="1"/>
  <c r="AV1920" i="3"/>
  <c r="AX1920" i="3" s="1"/>
  <c r="AV1919" i="3"/>
  <c r="AX1919" i="3" s="1"/>
  <c r="AV1918" i="3"/>
  <c r="AX1918" i="3" s="1"/>
  <c r="AV1917" i="3"/>
  <c r="AX1917" i="3" s="1"/>
  <c r="AV1916" i="3"/>
  <c r="AX1916" i="3" s="1"/>
  <c r="AV1915" i="3"/>
  <c r="AX1915" i="3" s="1"/>
  <c r="AV1914" i="3"/>
  <c r="AX1914" i="3" s="1"/>
  <c r="AV1913" i="3"/>
  <c r="AX1913" i="3" s="1"/>
  <c r="AV1912" i="3"/>
  <c r="AX1912" i="3" s="1"/>
  <c r="AV1911" i="3"/>
  <c r="AX1911" i="3" s="1"/>
  <c r="AV1910" i="3"/>
  <c r="AX1910" i="3" s="1"/>
  <c r="AV1909" i="3"/>
  <c r="AX1909" i="3" s="1"/>
  <c r="AV1908" i="3"/>
  <c r="AX1908" i="3" s="1"/>
  <c r="AV1907" i="3"/>
  <c r="AX1907" i="3" s="1"/>
  <c r="AV1906" i="3"/>
  <c r="AX1906" i="3" s="1"/>
  <c r="AV1905" i="3"/>
  <c r="AX1905" i="3" s="1"/>
  <c r="AV1904" i="3"/>
  <c r="AX1904" i="3" s="1"/>
  <c r="AV1903" i="3"/>
  <c r="AX1903" i="3" s="1"/>
  <c r="AV1902" i="3"/>
  <c r="AX1902" i="3" s="1"/>
  <c r="AV1901" i="3"/>
  <c r="AX1901" i="3" s="1"/>
  <c r="AV1900" i="3"/>
  <c r="AX1900" i="3" s="1"/>
  <c r="AV1899" i="3"/>
  <c r="AX1899" i="3" s="1"/>
  <c r="AV1898" i="3"/>
  <c r="AX1898" i="3" s="1"/>
  <c r="AV1897" i="3"/>
  <c r="AX1897" i="3" s="1"/>
  <c r="AV1896" i="3"/>
  <c r="AX1896" i="3" s="1"/>
  <c r="AV1895" i="3"/>
  <c r="AX1895" i="3" s="1"/>
  <c r="AV1894" i="3"/>
  <c r="AX1894" i="3" s="1"/>
  <c r="AV1893" i="3"/>
  <c r="AX1893" i="3" s="1"/>
  <c r="AV1892" i="3"/>
  <c r="AX1892" i="3" s="1"/>
  <c r="AV1891" i="3"/>
  <c r="AX1891" i="3" s="1"/>
  <c r="AV1890" i="3"/>
  <c r="AX1890" i="3" s="1"/>
  <c r="AV1889" i="3"/>
  <c r="AX1889" i="3" s="1"/>
  <c r="AV1888" i="3"/>
  <c r="AX1888" i="3" s="1"/>
  <c r="AV1887" i="3"/>
  <c r="AX1887" i="3" s="1"/>
  <c r="AV1886" i="3"/>
  <c r="AX1886" i="3" s="1"/>
  <c r="AV1885" i="3"/>
  <c r="AX1885" i="3" s="1"/>
  <c r="AV1884" i="3"/>
  <c r="AX1884" i="3" s="1"/>
  <c r="AV1883" i="3"/>
  <c r="AX1883" i="3" s="1"/>
  <c r="AV1882" i="3"/>
  <c r="AX1882" i="3" s="1"/>
  <c r="AV1881" i="3"/>
  <c r="AX1881" i="3" s="1"/>
  <c r="AV1880" i="3"/>
  <c r="AX1880" i="3" s="1"/>
  <c r="AV1879" i="3"/>
  <c r="AX1879" i="3" s="1"/>
  <c r="AV1878" i="3"/>
  <c r="AX1878" i="3" s="1"/>
  <c r="AV1877" i="3"/>
  <c r="AX1877" i="3" s="1"/>
  <c r="AV1876" i="3"/>
  <c r="AX1876" i="3" s="1"/>
  <c r="AV1875" i="3"/>
  <c r="AX1875" i="3" s="1"/>
  <c r="AV1874" i="3"/>
  <c r="AX1874" i="3" s="1"/>
  <c r="AV1873" i="3"/>
  <c r="AX1873" i="3" s="1"/>
  <c r="AV1872" i="3"/>
  <c r="AX1872" i="3" s="1"/>
  <c r="AV1871" i="3"/>
  <c r="AX1871" i="3" s="1"/>
  <c r="AV1870" i="3"/>
  <c r="AX1870" i="3" s="1"/>
  <c r="AV1869" i="3"/>
  <c r="AX1869" i="3" s="1"/>
  <c r="AV1868" i="3"/>
  <c r="AX1868" i="3" s="1"/>
  <c r="AV1867" i="3"/>
  <c r="AX1867" i="3" s="1"/>
  <c r="AV1866" i="3"/>
  <c r="AX1866" i="3" s="1"/>
  <c r="AV1865" i="3"/>
  <c r="AX1865" i="3" s="1"/>
  <c r="AV1864" i="3"/>
  <c r="AX1864" i="3" s="1"/>
  <c r="AV1863" i="3"/>
  <c r="AX1863" i="3" s="1"/>
  <c r="AV1862" i="3"/>
  <c r="AX1862" i="3" s="1"/>
  <c r="AV1861" i="3"/>
  <c r="AX1861" i="3" s="1"/>
  <c r="AV1860" i="3"/>
  <c r="AX1860" i="3" s="1"/>
  <c r="AV1859" i="3"/>
  <c r="AX1859" i="3" s="1"/>
  <c r="AV1858" i="3"/>
  <c r="AX1858" i="3" s="1"/>
  <c r="AV1857" i="3"/>
  <c r="AX1857" i="3" s="1"/>
  <c r="AV1856" i="3"/>
  <c r="AX1856" i="3" s="1"/>
  <c r="AV1855" i="3"/>
  <c r="AX1855" i="3" s="1"/>
  <c r="AV1854" i="3"/>
  <c r="AX1854" i="3" s="1"/>
  <c r="AV1853" i="3"/>
  <c r="AX1853" i="3" s="1"/>
  <c r="AV1852" i="3"/>
  <c r="AX1852" i="3" s="1"/>
  <c r="AV1851" i="3"/>
  <c r="AX1851" i="3" s="1"/>
  <c r="AV1850" i="3"/>
  <c r="AX1850" i="3" s="1"/>
  <c r="AV1849" i="3"/>
  <c r="AX1849" i="3" s="1"/>
  <c r="AV1848" i="3"/>
  <c r="AX1848" i="3" s="1"/>
  <c r="AV1847" i="3"/>
  <c r="AX1847" i="3" s="1"/>
  <c r="AV1846" i="3"/>
  <c r="AX1846" i="3" s="1"/>
  <c r="AV1845" i="3"/>
  <c r="AX1845" i="3" s="1"/>
  <c r="AV1844" i="3"/>
  <c r="AX1844" i="3" s="1"/>
  <c r="AV1843" i="3"/>
  <c r="AX1843" i="3" s="1"/>
  <c r="AV1842" i="3"/>
  <c r="AX1842" i="3" s="1"/>
  <c r="AV1841" i="3"/>
  <c r="AX1841" i="3" s="1"/>
  <c r="AV1840" i="3"/>
  <c r="AX1840" i="3" s="1"/>
  <c r="AX1839" i="3"/>
  <c r="AX1838" i="3"/>
  <c r="AX1837" i="3"/>
  <c r="AX1836" i="3"/>
  <c r="AX1835" i="3"/>
  <c r="AX1834" i="3"/>
  <c r="AX1833" i="3"/>
  <c r="AX1832" i="3"/>
  <c r="AX1831" i="3"/>
  <c r="AX1830" i="3"/>
  <c r="AX1829" i="3"/>
  <c r="AX1828" i="3"/>
  <c r="AX1827" i="3"/>
  <c r="AX1826" i="3"/>
  <c r="AX1825" i="3"/>
  <c r="AX1824" i="3"/>
  <c r="AX1823" i="3"/>
  <c r="AX1822" i="3"/>
  <c r="AX1821" i="3"/>
  <c r="AX1820" i="3"/>
  <c r="AX1819" i="3"/>
  <c r="AX1818" i="3"/>
  <c r="AX1817" i="3"/>
  <c r="AX1816" i="3"/>
  <c r="AX1815" i="3"/>
  <c r="AX1814" i="3"/>
  <c r="AX1813" i="3"/>
  <c r="AX1812" i="3"/>
  <c r="AX1811" i="3"/>
  <c r="AX1810" i="3"/>
  <c r="AX1809" i="3"/>
  <c r="AX1808" i="3"/>
  <c r="AX1807" i="3"/>
  <c r="AX1806" i="3"/>
  <c r="AX1805" i="3"/>
  <c r="AX1804" i="3"/>
  <c r="AX1803" i="3"/>
  <c r="AX1802" i="3"/>
  <c r="AX1801" i="3"/>
  <c r="AX1800" i="3"/>
  <c r="AX1799" i="3"/>
  <c r="AX1798" i="3"/>
  <c r="AX1797" i="3"/>
  <c r="AX1796" i="3"/>
  <c r="AX1795" i="3"/>
  <c r="AX1794" i="3"/>
  <c r="AX1793" i="3"/>
  <c r="AX1792" i="3"/>
  <c r="AX1791" i="3"/>
  <c r="AX1790" i="3"/>
  <c r="AX1789" i="3"/>
  <c r="AX1788" i="3"/>
  <c r="AX1787" i="3"/>
  <c r="AX1786" i="3"/>
  <c r="AX1785" i="3"/>
  <c r="AX1784" i="3"/>
  <c r="AX1783" i="3"/>
  <c r="AX1782" i="3"/>
  <c r="AX1781" i="3"/>
  <c r="AX1780" i="3"/>
  <c r="AX1779" i="3"/>
  <c r="AX1778" i="3"/>
  <c r="AX1777" i="3"/>
  <c r="AX1776" i="3"/>
  <c r="AX1775" i="3"/>
  <c r="AX1774" i="3"/>
  <c r="AX1773" i="3"/>
  <c r="AX1772" i="3"/>
  <c r="AX1771" i="3"/>
  <c r="AX1770" i="3"/>
  <c r="AX1769" i="3"/>
  <c r="AX1768" i="3"/>
  <c r="AX1767" i="3"/>
  <c r="AX1766" i="3"/>
  <c r="AX1765" i="3"/>
  <c r="AX1764" i="3"/>
  <c r="AX1763" i="3"/>
  <c r="AX1762" i="3"/>
  <c r="AX1761" i="3"/>
  <c r="AX1760" i="3"/>
  <c r="AX1759" i="3"/>
  <c r="AX1758" i="3"/>
  <c r="AX1757" i="3"/>
  <c r="AX1756" i="3"/>
  <c r="AX1755" i="3"/>
  <c r="AX1754" i="3"/>
  <c r="AX1753" i="3"/>
  <c r="AX1752" i="3"/>
  <c r="AX1751" i="3"/>
  <c r="AX1750" i="3"/>
  <c r="AX1749" i="3"/>
  <c r="AX1748" i="3"/>
  <c r="AX1747" i="3"/>
  <c r="AX1746" i="3"/>
  <c r="AX1745" i="3"/>
  <c r="AX1744" i="3"/>
  <c r="AX1743" i="3"/>
  <c r="AX1742" i="3"/>
  <c r="AX1741" i="3"/>
  <c r="AX1740" i="3"/>
  <c r="AX1739" i="3"/>
  <c r="AX1738" i="3"/>
  <c r="AX1737" i="3"/>
  <c r="AX1736" i="3"/>
  <c r="AX1735" i="3"/>
  <c r="AX1734" i="3"/>
  <c r="AX1733" i="3"/>
  <c r="AX1732" i="3"/>
  <c r="AX1731" i="3"/>
  <c r="AX1730" i="3"/>
  <c r="AX1729" i="3"/>
  <c r="AX1728" i="3"/>
  <c r="AX1727" i="3"/>
  <c r="AX1726" i="3"/>
  <c r="AX1725" i="3"/>
  <c r="AX1724" i="3"/>
  <c r="AX1723" i="3"/>
  <c r="AX1722" i="3"/>
  <c r="AX1721" i="3"/>
  <c r="AX1720" i="3"/>
  <c r="AX1719" i="3"/>
  <c r="AX1718" i="3"/>
  <c r="AX1717" i="3"/>
  <c r="AX1716" i="3"/>
  <c r="AX1715" i="3"/>
  <c r="AX1714" i="3"/>
  <c r="AX1713" i="3"/>
  <c r="AX1712" i="3"/>
  <c r="AX1711" i="3"/>
  <c r="AX1710" i="3"/>
  <c r="AX1709" i="3"/>
  <c r="AX1708" i="3"/>
  <c r="AX1707" i="3"/>
  <c r="AX1706" i="3"/>
  <c r="AX1705" i="3"/>
  <c r="AX1704" i="3"/>
  <c r="AX1703" i="3"/>
  <c r="AX1702" i="3"/>
  <c r="AX1701" i="3"/>
  <c r="AX1700" i="3"/>
  <c r="AX1699" i="3"/>
  <c r="AX1698" i="3"/>
  <c r="AX1697" i="3"/>
  <c r="AX1696" i="3"/>
  <c r="AX1695" i="3"/>
  <c r="AX1694" i="3"/>
  <c r="AX1693" i="3"/>
  <c r="AX1692" i="3"/>
  <c r="AX1691" i="3"/>
  <c r="AX1690" i="3"/>
  <c r="AX1689" i="3"/>
  <c r="AX1688" i="3"/>
  <c r="AX1687" i="3"/>
  <c r="AX1686" i="3"/>
  <c r="AX1685" i="3"/>
  <c r="AX1684" i="3"/>
  <c r="AX1683" i="3"/>
  <c r="AX1682" i="3"/>
  <c r="AX1681" i="3"/>
  <c r="AX1680" i="3"/>
  <c r="AX1679" i="3"/>
  <c r="AX1678" i="3"/>
  <c r="AX1677" i="3"/>
  <c r="AX1676" i="3"/>
  <c r="AX1675" i="3"/>
  <c r="AX1674" i="3"/>
  <c r="AX1673" i="3"/>
  <c r="AX1672" i="3"/>
  <c r="AX1671" i="3"/>
  <c r="AX1670" i="3"/>
  <c r="AX1669" i="3"/>
  <c r="AX1668" i="3"/>
  <c r="AX1667" i="3"/>
  <c r="AX1666" i="3"/>
  <c r="AX1665" i="3"/>
  <c r="AX1664" i="3"/>
  <c r="AX1663" i="3"/>
  <c r="AX1662" i="3"/>
  <c r="AX1661" i="3"/>
  <c r="AX1660" i="3"/>
  <c r="AX1659" i="3"/>
  <c r="AX1658" i="3"/>
  <c r="AX1657" i="3"/>
  <c r="AX1656" i="3"/>
  <c r="AX1655" i="3"/>
  <c r="AX1654" i="3"/>
  <c r="AX1653" i="3"/>
  <c r="AX1652" i="3"/>
  <c r="AX1651" i="3"/>
  <c r="AX1650" i="3"/>
  <c r="AX1649" i="3"/>
  <c r="AX1648" i="3"/>
  <c r="AX1647" i="3"/>
  <c r="AX1646" i="3"/>
  <c r="AX1645" i="3"/>
  <c r="AX1644" i="3"/>
  <c r="AX1643" i="3"/>
  <c r="AX1642" i="3"/>
  <c r="AX1641" i="3"/>
  <c r="AX1640" i="3"/>
  <c r="AX1639" i="3"/>
  <c r="AX1638" i="3"/>
  <c r="AX1637" i="3"/>
  <c r="AX1636" i="3"/>
  <c r="AX1635" i="3"/>
  <c r="AX1634" i="3"/>
  <c r="AX1633" i="3"/>
  <c r="AX1632" i="3"/>
  <c r="AX1631" i="3"/>
  <c r="AX1630" i="3"/>
  <c r="AX1629" i="3"/>
  <c r="AX1628" i="3"/>
  <c r="AX1627" i="3"/>
  <c r="AX1626" i="3"/>
  <c r="AX1625" i="3"/>
  <c r="AX1624" i="3"/>
  <c r="AX1623" i="3"/>
  <c r="AX1622" i="3"/>
  <c r="AX1621" i="3"/>
  <c r="AX1620" i="3"/>
  <c r="AX1619" i="3"/>
  <c r="AX1618" i="3"/>
  <c r="AX1617" i="3"/>
  <c r="AX1616" i="3"/>
  <c r="AX1615" i="3"/>
  <c r="AX1614" i="3"/>
  <c r="AX1613" i="3"/>
  <c r="AX1612" i="3"/>
  <c r="AX1611" i="3"/>
  <c r="AX1610" i="3"/>
  <c r="AX1609" i="3"/>
  <c r="AX1608" i="3"/>
  <c r="AX1607" i="3"/>
  <c r="AX1606" i="3"/>
  <c r="AX1605" i="3"/>
  <c r="AX1604" i="3"/>
  <c r="AX1603" i="3"/>
  <c r="AX1602" i="3"/>
  <c r="AX1601" i="3"/>
  <c r="AX1600" i="3"/>
  <c r="AX1599" i="3"/>
  <c r="AX1598" i="3"/>
  <c r="AX1597" i="3"/>
  <c r="AX1596" i="3"/>
  <c r="AX1595" i="3"/>
  <c r="AX1594" i="3"/>
  <c r="AX1593" i="3"/>
  <c r="AX1592" i="3"/>
  <c r="AX1591" i="3"/>
  <c r="AX1590" i="3"/>
  <c r="AX1589" i="3"/>
  <c r="AX1588" i="3"/>
  <c r="AX1587" i="3"/>
  <c r="AX1586" i="3"/>
  <c r="AX1585" i="3"/>
  <c r="AX1584" i="3"/>
  <c r="AX1583" i="3"/>
  <c r="AX1582" i="3"/>
  <c r="AX1581" i="3"/>
  <c r="AX1580" i="3"/>
  <c r="AX1579" i="3"/>
  <c r="AX1578" i="3"/>
  <c r="AX1577" i="3"/>
  <c r="AX1576" i="3"/>
  <c r="AX1575" i="3"/>
  <c r="AX1574" i="3"/>
  <c r="AX1573" i="3"/>
  <c r="AX1572" i="3"/>
  <c r="AX1571" i="3"/>
  <c r="AX1570" i="3"/>
  <c r="AX1569" i="3"/>
  <c r="AX1568" i="3"/>
  <c r="AX1567" i="3"/>
  <c r="AX1566" i="3"/>
  <c r="AX1565" i="3"/>
  <c r="AX1564" i="3"/>
  <c r="AX1563" i="3"/>
  <c r="AX1562" i="3"/>
  <c r="AX1561" i="3"/>
  <c r="AX1560" i="3"/>
  <c r="AX1559" i="3"/>
  <c r="AX1558" i="3"/>
  <c r="AX1557" i="3"/>
  <c r="AX1556" i="3"/>
  <c r="AX1555" i="3"/>
  <c r="AX1554" i="3"/>
  <c r="AX1553" i="3"/>
  <c r="AX1552" i="3"/>
  <c r="AX1551" i="3"/>
  <c r="AX1550" i="3"/>
  <c r="AX1549" i="3"/>
  <c r="AX1548" i="3"/>
  <c r="AX1547" i="3"/>
  <c r="AX1546" i="3"/>
  <c r="AX1545" i="3"/>
  <c r="AX1544" i="3"/>
  <c r="AX1543" i="3"/>
  <c r="AX1542" i="3"/>
  <c r="AX1541" i="3"/>
  <c r="AX1540" i="3"/>
  <c r="AX1539" i="3"/>
  <c r="AX1538" i="3"/>
  <c r="AX1537" i="3"/>
  <c r="AX1536" i="3"/>
  <c r="AX1535" i="3"/>
  <c r="AX1534" i="3"/>
  <c r="AX1533" i="3"/>
  <c r="AX1532" i="3"/>
  <c r="AX1531" i="3"/>
  <c r="AX1530" i="3"/>
  <c r="AX1529" i="3"/>
  <c r="AX1528" i="3"/>
  <c r="AX1527" i="3"/>
  <c r="AX1526" i="3"/>
  <c r="AX1525" i="3"/>
  <c r="AX1524" i="3"/>
  <c r="AX1523" i="3"/>
  <c r="AX1522" i="3"/>
  <c r="AX1521" i="3"/>
  <c r="AX1520" i="3"/>
  <c r="AX1519" i="3"/>
  <c r="AX1518" i="3"/>
  <c r="AX1517" i="3"/>
  <c r="AX1516" i="3"/>
  <c r="AX1515" i="3"/>
  <c r="AX1514" i="3"/>
  <c r="AX1513" i="3"/>
  <c r="AX1512" i="3"/>
  <c r="AX1511" i="3"/>
  <c r="AX1510" i="3"/>
  <c r="AX1509" i="3"/>
  <c r="AX1508" i="3"/>
  <c r="AX1507" i="3"/>
  <c r="AX1506" i="3"/>
  <c r="AX1505" i="3"/>
  <c r="AX1504" i="3"/>
  <c r="AX1503" i="3"/>
  <c r="AX1502" i="3"/>
  <c r="AX1501" i="3"/>
  <c r="AX1500" i="3"/>
  <c r="AX1499" i="3"/>
  <c r="AX1498" i="3"/>
  <c r="AX1497" i="3"/>
  <c r="AX1496" i="3"/>
  <c r="AX1495" i="3"/>
  <c r="AX1494" i="3"/>
  <c r="AX1493" i="3"/>
  <c r="AX1492" i="3"/>
  <c r="AX1491" i="3"/>
  <c r="AX1490" i="3"/>
  <c r="AX1489" i="3"/>
  <c r="AX1488" i="3"/>
  <c r="AX1487" i="3"/>
  <c r="AX1486" i="3"/>
  <c r="AX1485" i="3"/>
  <c r="AX1484" i="3"/>
  <c r="AX1483" i="3"/>
  <c r="AX1482" i="3"/>
  <c r="AX1481" i="3"/>
  <c r="AX1480" i="3"/>
  <c r="AX1479" i="3"/>
  <c r="AX1478" i="3"/>
  <c r="AX1477" i="3"/>
  <c r="AX1476" i="3"/>
  <c r="AX1475" i="3"/>
  <c r="AX1474" i="3"/>
  <c r="AX1473" i="3"/>
  <c r="AX1472" i="3"/>
  <c r="AX1471" i="3"/>
  <c r="AX1470" i="3"/>
  <c r="AX1469" i="3"/>
  <c r="AX1468" i="3"/>
  <c r="AX1467" i="3"/>
  <c r="AX1466" i="3"/>
  <c r="AX1465" i="3"/>
  <c r="AX1464" i="3"/>
  <c r="AX1463" i="3"/>
  <c r="AX1462" i="3"/>
  <c r="AX1461" i="3"/>
  <c r="AX1460" i="3"/>
  <c r="AX1459" i="3"/>
  <c r="AX1458" i="3"/>
  <c r="AX1457" i="3"/>
  <c r="AX1456" i="3"/>
  <c r="AX1455" i="3"/>
  <c r="AX1454" i="3"/>
  <c r="AX1453" i="3"/>
  <c r="AX1452" i="3"/>
  <c r="AX1451" i="3"/>
  <c r="AX1450" i="3"/>
  <c r="AX1449" i="3"/>
  <c r="AX1448" i="3"/>
  <c r="AX1447" i="3"/>
  <c r="AX1446" i="3"/>
  <c r="AX1445" i="3"/>
  <c r="AX1444" i="3"/>
  <c r="AX1443" i="3"/>
  <c r="AX1442" i="3"/>
  <c r="AX1441" i="3"/>
  <c r="AX1440" i="3"/>
  <c r="AX1439" i="3"/>
  <c r="AX1438" i="3"/>
  <c r="AX1437" i="3"/>
  <c r="AX1436" i="3"/>
  <c r="AX1435" i="3"/>
  <c r="AX1434" i="3"/>
  <c r="AX1433" i="3"/>
  <c r="AX1432" i="3"/>
  <c r="AX1431" i="3"/>
  <c r="AX1430" i="3"/>
  <c r="AX1429" i="3"/>
  <c r="AX1428" i="3"/>
  <c r="AX1427" i="3"/>
  <c r="AX1426" i="3"/>
  <c r="AX1425" i="3"/>
  <c r="AX1424" i="3"/>
  <c r="AX1423" i="3"/>
  <c r="AX1422" i="3"/>
  <c r="AX1421" i="3"/>
  <c r="AX1420" i="3"/>
  <c r="AX1419" i="3"/>
  <c r="AX1418" i="3"/>
  <c r="AX1417" i="3"/>
  <c r="AX1416" i="3"/>
  <c r="AX1415" i="3"/>
  <c r="AX1414" i="3"/>
  <c r="AX1413" i="3"/>
  <c r="AX1412" i="3"/>
  <c r="AX1411" i="3"/>
  <c r="AX1410" i="3"/>
  <c r="AX1409" i="3"/>
  <c r="AX1408" i="3"/>
  <c r="AX1407" i="3"/>
  <c r="AX1406" i="3"/>
  <c r="AX1405" i="3"/>
  <c r="AX1404" i="3"/>
  <c r="AX1403" i="3"/>
  <c r="AX1402" i="3"/>
  <c r="AX1401" i="3"/>
  <c r="AX1400" i="3"/>
  <c r="AX1399" i="3"/>
  <c r="AX1398" i="3"/>
  <c r="AX1397" i="3"/>
  <c r="AX1396" i="3"/>
  <c r="AX1395" i="3"/>
  <c r="AX1394" i="3"/>
  <c r="AX1393" i="3"/>
  <c r="AX1392" i="3"/>
  <c r="AX1391" i="3"/>
  <c r="AX1390" i="3"/>
  <c r="AX1389" i="3"/>
  <c r="AX1388" i="3"/>
  <c r="AX1387" i="3"/>
  <c r="AX1386" i="3"/>
  <c r="AX1385" i="3"/>
  <c r="AX1384" i="3"/>
  <c r="AX1383" i="3"/>
  <c r="AX1382" i="3"/>
  <c r="AX1381" i="3"/>
  <c r="AX1380" i="3"/>
  <c r="AX1379" i="3"/>
  <c r="AX1378" i="3"/>
  <c r="AX1377" i="3"/>
  <c r="AX1376" i="3"/>
  <c r="AX1375" i="3"/>
  <c r="AX1374" i="3"/>
  <c r="AX1373" i="3"/>
  <c r="AX1372" i="3"/>
  <c r="AX1371" i="3"/>
  <c r="AX1370" i="3"/>
  <c r="AX1369" i="3"/>
  <c r="AX1368" i="3"/>
  <c r="AX1367" i="3"/>
  <c r="AX1366" i="3"/>
  <c r="AX1365" i="3"/>
  <c r="AX1364" i="3"/>
  <c r="AX1363" i="3"/>
  <c r="AX1362" i="3"/>
  <c r="AX1361" i="3"/>
  <c r="AX1360" i="3"/>
  <c r="AX1359" i="3"/>
  <c r="AX1358" i="3"/>
  <c r="AX1357" i="3"/>
  <c r="AX1356" i="3"/>
  <c r="AX1355" i="3"/>
  <c r="AX1354" i="3"/>
  <c r="AX1353" i="3"/>
  <c r="AX1352" i="3"/>
  <c r="AX1351" i="3"/>
  <c r="AX1350" i="3"/>
  <c r="AX1349" i="3"/>
  <c r="AX1348" i="3"/>
  <c r="AX1347" i="3"/>
  <c r="AX1346" i="3"/>
  <c r="AX1345" i="3"/>
  <c r="AX1344" i="3"/>
  <c r="AX1343" i="3"/>
  <c r="AX1342" i="3"/>
  <c r="AX1341" i="3"/>
  <c r="AX1340" i="3"/>
  <c r="AX1339" i="3"/>
  <c r="AX1338" i="3"/>
  <c r="AX1337" i="3"/>
  <c r="AX1336" i="3"/>
  <c r="AX1335" i="3"/>
  <c r="AX1334" i="3"/>
  <c r="AX1333" i="3"/>
  <c r="AX1332" i="3"/>
  <c r="AX1331" i="3"/>
  <c r="AX1330" i="3"/>
  <c r="AX1329" i="3"/>
  <c r="AX1328" i="3"/>
  <c r="AX1327" i="3"/>
  <c r="AX1326" i="3"/>
  <c r="AX1325" i="3"/>
  <c r="AX1324" i="3"/>
  <c r="AX1323" i="3"/>
  <c r="AX1322" i="3"/>
  <c r="AX1321" i="3"/>
  <c r="AX1320" i="3"/>
  <c r="AX1319" i="3"/>
  <c r="AX1318" i="3"/>
  <c r="AX1317" i="3"/>
  <c r="AX1316" i="3"/>
  <c r="AX1315" i="3"/>
  <c r="AX1314" i="3"/>
  <c r="AX1313" i="3"/>
  <c r="AX1312" i="3"/>
  <c r="AX1311" i="3"/>
  <c r="AX1310" i="3"/>
  <c r="AX1309" i="3"/>
  <c r="AX1308" i="3"/>
  <c r="AX1307" i="3"/>
  <c r="AX1306" i="3"/>
  <c r="AX1305" i="3"/>
  <c r="AX1304" i="3"/>
  <c r="AX1303" i="3"/>
  <c r="AX1302" i="3"/>
  <c r="AX1301" i="3"/>
  <c r="AX1300" i="3"/>
  <c r="AX1299" i="3"/>
  <c r="AX1298" i="3"/>
  <c r="AX1297" i="3"/>
  <c r="AX1296" i="3"/>
  <c r="AX1295" i="3"/>
  <c r="AX1294" i="3"/>
  <c r="AX1293" i="3"/>
  <c r="AX1292" i="3"/>
  <c r="AX1291" i="3"/>
  <c r="AX1290" i="3"/>
  <c r="AX1289" i="3"/>
  <c r="AX1288" i="3"/>
  <c r="AX1287" i="3"/>
  <c r="AX1286" i="3"/>
  <c r="AX1285" i="3"/>
  <c r="AX1284" i="3"/>
  <c r="AX1283" i="3"/>
  <c r="AX1282" i="3"/>
  <c r="AX1281" i="3"/>
  <c r="AX1280" i="3"/>
  <c r="AX1279" i="3"/>
  <c r="AX1278" i="3"/>
  <c r="AX1277" i="3"/>
  <c r="AX1276" i="3"/>
  <c r="AX1275" i="3"/>
  <c r="AX1274" i="3"/>
  <c r="AX1273" i="3"/>
  <c r="AX1272" i="3"/>
  <c r="AX1271" i="3"/>
  <c r="AX1270" i="3"/>
  <c r="AX1269" i="3"/>
  <c r="AX1268" i="3"/>
  <c r="AX1267" i="3"/>
  <c r="AX1266" i="3"/>
  <c r="AX1265" i="3"/>
  <c r="AX1264" i="3"/>
  <c r="AX1263" i="3"/>
  <c r="AX1262" i="3"/>
  <c r="AX1261" i="3"/>
  <c r="AX1260" i="3"/>
  <c r="AX1259" i="3"/>
  <c r="AX1258" i="3"/>
  <c r="AX1257" i="3"/>
  <c r="AX1256" i="3"/>
  <c r="AX1255" i="3"/>
  <c r="AX1254" i="3"/>
  <c r="AX1253" i="3"/>
  <c r="AX1252" i="3"/>
  <c r="AX1251" i="3"/>
  <c r="AX1250" i="3"/>
  <c r="AX1249" i="3"/>
  <c r="AX1248" i="3"/>
  <c r="AX1247" i="3"/>
  <c r="AX1246" i="3"/>
  <c r="AX1245" i="3"/>
  <c r="AX1244" i="3"/>
  <c r="AX1243" i="3"/>
  <c r="AX1242" i="3"/>
  <c r="AX1241" i="3"/>
  <c r="AX1240" i="3"/>
  <c r="AX1239" i="3"/>
  <c r="AX1238" i="3"/>
  <c r="AX1237" i="3"/>
  <c r="AX1236" i="3"/>
  <c r="AX1235" i="3"/>
  <c r="AX1234" i="3"/>
  <c r="AX1233" i="3"/>
  <c r="AX1232" i="3"/>
  <c r="AX1231" i="3"/>
  <c r="AX1230" i="3"/>
  <c r="AX1229" i="3"/>
  <c r="AX1228" i="3"/>
  <c r="AX1227" i="3"/>
  <c r="AX1226" i="3"/>
  <c r="AX1225" i="3"/>
  <c r="AX1224" i="3"/>
  <c r="AX1223" i="3"/>
  <c r="AX1222" i="3"/>
  <c r="AX1221" i="3"/>
  <c r="AX1220" i="3"/>
  <c r="AX1219" i="3"/>
  <c r="AX1218" i="3"/>
  <c r="AX1217" i="3"/>
  <c r="AX1216" i="3"/>
  <c r="AX1215" i="3"/>
  <c r="AX1214" i="3"/>
  <c r="AX1213" i="3"/>
  <c r="AX1212" i="3"/>
  <c r="AX1211" i="3"/>
  <c r="AX1210" i="3"/>
  <c r="AX1209" i="3"/>
  <c r="AX1208" i="3"/>
  <c r="AX1207" i="3"/>
  <c r="AX1206" i="3"/>
  <c r="AX1205" i="3"/>
  <c r="AX1204" i="3"/>
  <c r="AX1203" i="3"/>
  <c r="AX1202" i="3"/>
  <c r="AX1201" i="3"/>
  <c r="AX1200" i="3"/>
  <c r="AX1199" i="3"/>
  <c r="AX1198" i="3"/>
  <c r="AX1197" i="3"/>
  <c r="AX1196" i="3"/>
  <c r="AX1195" i="3"/>
  <c r="AX1194" i="3"/>
  <c r="AX1193" i="3"/>
  <c r="AX1192" i="3"/>
  <c r="AX1191" i="3"/>
  <c r="AX1190" i="3"/>
  <c r="AX1189" i="3"/>
  <c r="AX1188" i="3"/>
  <c r="AX1187" i="3"/>
  <c r="AX1186" i="3"/>
  <c r="AX1185" i="3"/>
  <c r="AX1184" i="3"/>
  <c r="AX1183" i="3"/>
  <c r="AX1182" i="3"/>
  <c r="AX1181" i="3"/>
  <c r="AX1180" i="3"/>
  <c r="AX1179" i="3"/>
  <c r="AX1178" i="3"/>
  <c r="AX1177" i="3"/>
  <c r="AX1176" i="3"/>
  <c r="AX1175" i="3"/>
  <c r="AX1174" i="3"/>
  <c r="AX1173" i="3"/>
  <c r="AX1172" i="3"/>
  <c r="AX1171" i="3"/>
  <c r="AX1170" i="3"/>
  <c r="AX1169" i="3"/>
  <c r="AX1168" i="3"/>
  <c r="AX1167" i="3"/>
  <c r="AX1166" i="3"/>
  <c r="AX1165" i="3"/>
  <c r="AX1164" i="3"/>
  <c r="AX1163" i="3"/>
  <c r="AX1162" i="3"/>
  <c r="AX1161" i="3"/>
  <c r="AX1160" i="3"/>
  <c r="AX1159" i="3"/>
  <c r="AX1158" i="3"/>
  <c r="AX1157" i="3"/>
  <c r="AX1156" i="3"/>
  <c r="AX1155" i="3"/>
  <c r="AX1154" i="3"/>
  <c r="AX1153" i="3"/>
  <c r="AX1152" i="3"/>
  <c r="AX1151" i="3"/>
  <c r="AX1150" i="3"/>
  <c r="AX1149" i="3"/>
  <c r="AX1148" i="3"/>
  <c r="AX1147" i="3"/>
  <c r="AX1146" i="3"/>
  <c r="AX1145" i="3"/>
  <c r="AX1144" i="3"/>
  <c r="AX1143" i="3"/>
  <c r="AX1142" i="3"/>
  <c r="AX1141" i="3"/>
  <c r="AX1140" i="3"/>
  <c r="AX1139" i="3"/>
  <c r="AX1138" i="3"/>
  <c r="AX1137" i="3"/>
  <c r="AX1136" i="3"/>
  <c r="AX1135" i="3"/>
  <c r="AX1134" i="3"/>
  <c r="AX1133" i="3"/>
  <c r="AX1132" i="3"/>
  <c r="AX1131" i="3"/>
  <c r="AX1130" i="3"/>
  <c r="AX1129" i="3"/>
  <c r="AX1128" i="3"/>
  <c r="AX1127" i="3"/>
  <c r="AX1126" i="3"/>
  <c r="AX1125" i="3"/>
  <c r="AX1124" i="3"/>
  <c r="AX1123" i="3"/>
  <c r="AX1122" i="3"/>
  <c r="AX1121" i="3"/>
  <c r="AX1120" i="3"/>
  <c r="AX1119" i="3"/>
  <c r="AX1118" i="3"/>
  <c r="AX1117" i="3"/>
  <c r="AX1116" i="3"/>
  <c r="AX1115" i="3"/>
  <c r="AX1114" i="3"/>
  <c r="AX1113" i="3"/>
  <c r="AX1112" i="3"/>
  <c r="AX1111" i="3"/>
  <c r="AX1110" i="3"/>
  <c r="AX1109" i="3"/>
  <c r="AX1108" i="3"/>
  <c r="AX1107" i="3"/>
  <c r="AX1106" i="3"/>
  <c r="AX1105" i="3"/>
  <c r="AX1104" i="3"/>
  <c r="AX1103" i="3"/>
  <c r="AX1102" i="3"/>
  <c r="AX1101" i="3"/>
  <c r="AX1100" i="3"/>
  <c r="AX1099" i="3"/>
  <c r="AX1098" i="3"/>
  <c r="AX1097" i="3"/>
  <c r="AX1096" i="3"/>
  <c r="AX1095" i="3"/>
  <c r="AX1094" i="3"/>
  <c r="AX1093" i="3"/>
  <c r="AX1092" i="3"/>
  <c r="AX1091" i="3"/>
  <c r="AX1090" i="3"/>
  <c r="AX1089" i="3"/>
  <c r="AX1088" i="3"/>
  <c r="AX1087" i="3"/>
  <c r="AX1086" i="3"/>
  <c r="AX1085" i="3"/>
  <c r="AX1084" i="3"/>
  <c r="AX1083" i="3"/>
  <c r="AX1082" i="3"/>
  <c r="AX1081" i="3"/>
  <c r="AX1080" i="3"/>
  <c r="AX1079" i="3"/>
  <c r="AX1078" i="3"/>
  <c r="AX1077" i="3"/>
  <c r="AX1076" i="3"/>
  <c r="AX1075" i="3"/>
  <c r="AX1074" i="3"/>
  <c r="AX1073" i="3"/>
  <c r="AX1072" i="3"/>
  <c r="AX1071" i="3"/>
  <c r="AX1070" i="3"/>
  <c r="AX1069" i="3"/>
  <c r="AX1068" i="3"/>
  <c r="AX1067" i="3"/>
  <c r="AX1066" i="3"/>
  <c r="AX1065" i="3"/>
  <c r="AX1064" i="3"/>
  <c r="AX1063" i="3"/>
  <c r="AX1062" i="3"/>
  <c r="AX1061" i="3"/>
  <c r="AX1060" i="3"/>
  <c r="AX1059" i="3"/>
  <c r="AX1058" i="3"/>
  <c r="AX1057" i="3"/>
  <c r="AX1056" i="3"/>
  <c r="AX1055" i="3"/>
  <c r="AX1054" i="3"/>
  <c r="AX1053" i="3"/>
  <c r="AX1052" i="3"/>
  <c r="AX1051" i="3"/>
  <c r="AX1050" i="3"/>
  <c r="AX1049" i="3"/>
  <c r="AX1048" i="3"/>
  <c r="AX1047" i="3"/>
  <c r="AX1046" i="3"/>
  <c r="AX1045" i="3"/>
  <c r="AX1044" i="3"/>
  <c r="AX1043" i="3"/>
  <c r="AX1042" i="3"/>
  <c r="AX1041" i="3"/>
  <c r="AX1040" i="3"/>
  <c r="AX1039" i="3"/>
  <c r="AX1038" i="3"/>
  <c r="AX1037" i="3"/>
  <c r="AX1036" i="3"/>
  <c r="AX1035" i="3"/>
  <c r="AX1034" i="3"/>
  <c r="AX1033" i="3"/>
  <c r="AX1032" i="3"/>
  <c r="AX1031" i="3"/>
  <c r="AX1030" i="3"/>
  <c r="AX1029" i="3"/>
  <c r="AX1028" i="3"/>
  <c r="AX1027" i="3"/>
  <c r="AX1026" i="3"/>
  <c r="AX1025" i="3"/>
  <c r="AX1024" i="3"/>
  <c r="AX1023" i="3"/>
  <c r="AX1022" i="3"/>
  <c r="AX1021" i="3"/>
  <c r="AX1020" i="3"/>
  <c r="AX1019" i="3"/>
  <c r="AX1018" i="3"/>
  <c r="AX1017" i="3"/>
  <c r="AX1016" i="3"/>
  <c r="AX1015" i="3"/>
  <c r="AX1014" i="3"/>
  <c r="AX1013" i="3"/>
  <c r="AX1012" i="3"/>
  <c r="AX1011" i="3"/>
  <c r="AX1010" i="3"/>
  <c r="AX1009" i="3"/>
  <c r="AX1008" i="3"/>
  <c r="AX1007" i="3"/>
  <c r="AX1006" i="3"/>
  <c r="AX1005" i="3"/>
  <c r="AX1004" i="3"/>
  <c r="AX1003" i="3"/>
  <c r="AX1002" i="3"/>
  <c r="AX1001" i="3"/>
  <c r="AX1000" i="3"/>
  <c r="AX999" i="3"/>
  <c r="AX998" i="3"/>
  <c r="AX997" i="3"/>
  <c r="AX996" i="3"/>
  <c r="AX995" i="3"/>
  <c r="AX994" i="3"/>
  <c r="AX993" i="3"/>
  <c r="AX992" i="3"/>
  <c r="AX991" i="3"/>
  <c r="AX990" i="3"/>
  <c r="AX989" i="3"/>
  <c r="AX988" i="3"/>
  <c r="AX987" i="3"/>
  <c r="AX986" i="3"/>
  <c r="AX985" i="3"/>
  <c r="AX984" i="3"/>
  <c r="AX983" i="3"/>
  <c r="AX982" i="3"/>
  <c r="AX981" i="3"/>
  <c r="AX980" i="3"/>
  <c r="AX979" i="3"/>
  <c r="AX978" i="3"/>
  <c r="AX977" i="3"/>
  <c r="AX976" i="3"/>
  <c r="AX975" i="3"/>
  <c r="AX974" i="3"/>
  <c r="AX973" i="3"/>
  <c r="AX972" i="3"/>
  <c r="AX971" i="3"/>
  <c r="AX970" i="3"/>
  <c r="AX969" i="3"/>
  <c r="AX968" i="3"/>
  <c r="AX967" i="3"/>
  <c r="AX966" i="3"/>
  <c r="AX965" i="3"/>
  <c r="AX964" i="3"/>
  <c r="AX963" i="3"/>
  <c r="AX962" i="3"/>
  <c r="AX961" i="3"/>
  <c r="AX960" i="3"/>
  <c r="AX959" i="3"/>
  <c r="AX958" i="3"/>
  <c r="AX957" i="3"/>
  <c r="AX956" i="3"/>
  <c r="AX955" i="3"/>
  <c r="AX954" i="3"/>
  <c r="AX953" i="3"/>
  <c r="AX952" i="3"/>
  <c r="AX951" i="3"/>
  <c r="AX950" i="3"/>
  <c r="AX949" i="3"/>
  <c r="AX948" i="3"/>
  <c r="AX947" i="3"/>
  <c r="AX946" i="3"/>
  <c r="AX945" i="3"/>
  <c r="AX944" i="3"/>
  <c r="AX943" i="3"/>
  <c r="AX942" i="3"/>
  <c r="AX941" i="3"/>
  <c r="AX940" i="3"/>
  <c r="AX938" i="3"/>
  <c r="AX927" i="3"/>
  <c r="AX915" i="3"/>
  <c r="AX904" i="3"/>
  <c r="AX896" i="3"/>
  <c r="AX875" i="3"/>
  <c r="AX866" i="3"/>
  <c r="AX853" i="3"/>
  <c r="AX837" i="3"/>
  <c r="AX827" i="3"/>
  <c r="AX823" i="3"/>
  <c r="AX2631" i="2"/>
  <c r="AX2615" i="2"/>
  <c r="AX2614" i="2"/>
  <c r="AX2599" i="2"/>
  <c r="AX2585" i="2"/>
  <c r="AX2554" i="2"/>
  <c r="AX2540" i="2"/>
  <c r="AX2508" i="2"/>
  <c r="AX2494" i="2"/>
  <c r="AX2479" i="2"/>
  <c r="AX2477" i="2"/>
  <c r="AX2448" i="2"/>
  <c r="AX2434" i="2"/>
  <c r="AX2433" i="2"/>
  <c r="AX2419" i="2"/>
  <c r="AX2405" i="2"/>
  <c r="AX2375" i="2"/>
  <c r="AX2360" i="2"/>
  <c r="AX2344" i="2"/>
  <c r="AX2329" i="2"/>
  <c r="AX2314" i="2"/>
  <c r="AX2299" i="2"/>
  <c r="AX2285" i="2"/>
  <c r="AX2269" i="2"/>
  <c r="AX2255" i="2"/>
  <c r="AX2254" i="2"/>
  <c r="AX2240" i="2"/>
  <c r="AX2225" i="2"/>
  <c r="AX2224" i="2"/>
  <c r="AX2209" i="2"/>
  <c r="AX2195" i="2"/>
  <c r="AV790" i="3"/>
  <c r="AX790" i="3" s="1"/>
  <c r="AV789" i="3"/>
  <c r="AX789" i="3" s="1"/>
  <c r="AV788" i="3"/>
  <c r="AX788" i="3" s="1"/>
  <c r="AV787" i="3"/>
  <c r="AX787" i="3" s="1"/>
  <c r="AV786" i="3"/>
  <c r="AX786" i="3" s="1"/>
  <c r="AV785" i="3"/>
  <c r="AX785" i="3" s="1"/>
  <c r="AV784" i="3"/>
  <c r="AX784" i="3" s="1"/>
  <c r="AV783" i="3"/>
  <c r="AX783" i="3" s="1"/>
  <c r="AV782" i="3"/>
  <c r="AX782" i="3" s="1"/>
  <c r="AV781" i="3"/>
  <c r="AX781" i="3" s="1"/>
  <c r="AV780" i="3"/>
  <c r="AX780" i="3" s="1"/>
  <c r="AV779" i="3"/>
  <c r="AX779" i="3" s="1"/>
  <c r="AV778" i="3"/>
  <c r="AX778" i="3" s="1"/>
  <c r="AV777" i="3"/>
  <c r="AX777" i="3" s="1"/>
  <c r="AV776" i="3"/>
  <c r="AX776" i="3" s="1"/>
  <c r="AV775" i="3"/>
  <c r="AX775" i="3" s="1"/>
  <c r="AV774" i="3"/>
  <c r="AX774" i="3" s="1"/>
  <c r="AV773" i="3"/>
  <c r="AX773" i="3" s="1"/>
  <c r="AV772" i="3"/>
  <c r="AX772" i="3" s="1"/>
  <c r="AV771" i="3"/>
  <c r="AX771" i="3" s="1"/>
  <c r="AV770" i="3"/>
  <c r="AX770" i="3" s="1"/>
  <c r="AV769" i="3"/>
  <c r="AX769" i="3" s="1"/>
  <c r="AV768" i="3"/>
  <c r="AX768" i="3" s="1"/>
  <c r="AV767" i="3"/>
  <c r="AX767" i="3" s="1"/>
  <c r="AV766" i="3"/>
  <c r="AX766" i="3" s="1"/>
  <c r="AV765" i="3"/>
  <c r="AX765" i="3" s="1"/>
  <c r="AV764" i="3"/>
  <c r="AX764" i="3" s="1"/>
  <c r="AV763" i="3"/>
  <c r="AX763" i="3" s="1"/>
  <c r="AV762" i="3"/>
  <c r="AX762" i="3" s="1"/>
  <c r="AV761" i="3"/>
  <c r="AX761" i="3" s="1"/>
  <c r="AV760" i="3"/>
  <c r="AX760" i="3" s="1"/>
  <c r="AV759" i="3"/>
  <c r="AX759" i="3" s="1"/>
  <c r="AV758" i="3"/>
  <c r="AX758" i="3" s="1"/>
  <c r="AV757" i="3"/>
  <c r="AX757" i="3" s="1"/>
  <c r="AV756" i="3"/>
  <c r="AX756" i="3" s="1"/>
  <c r="AV755" i="3"/>
  <c r="AX755" i="3" s="1"/>
  <c r="AV754" i="3"/>
  <c r="AX754" i="3" s="1"/>
  <c r="AV753" i="3"/>
  <c r="AX753" i="3" s="1"/>
  <c r="AV752" i="3"/>
  <c r="AX752" i="3" s="1"/>
  <c r="AV751" i="3"/>
  <c r="AX751" i="3" s="1"/>
  <c r="AV750" i="3"/>
  <c r="AX750" i="3" s="1"/>
  <c r="AV749" i="3"/>
  <c r="AX749" i="3" s="1"/>
  <c r="AV748" i="3"/>
  <c r="AX748" i="3" s="1"/>
  <c r="AV747" i="3"/>
  <c r="AX747" i="3" s="1"/>
  <c r="AV746" i="3"/>
  <c r="AX746" i="3" s="1"/>
  <c r="AV745" i="3"/>
  <c r="AX745" i="3" s="1"/>
  <c r="AV744" i="3"/>
  <c r="AX744" i="3" s="1"/>
  <c r="AV743" i="3"/>
  <c r="AX743" i="3" s="1"/>
  <c r="AV742" i="3"/>
  <c r="AX742" i="3" s="1"/>
  <c r="AV741" i="3"/>
  <c r="AX741" i="3" s="1"/>
  <c r="AV740" i="3"/>
  <c r="AX740" i="3" s="1"/>
  <c r="AV739" i="3"/>
  <c r="AX739" i="3" s="1"/>
  <c r="AV738" i="3"/>
  <c r="AX738" i="3" s="1"/>
  <c r="AV737" i="3"/>
  <c r="AX737" i="3" s="1"/>
  <c r="AV736" i="3"/>
  <c r="AX736" i="3" s="1"/>
  <c r="AV735" i="3"/>
  <c r="AX735" i="3" s="1"/>
  <c r="AV734" i="3"/>
  <c r="AX734" i="3" s="1"/>
  <c r="AV733" i="3"/>
  <c r="AX733" i="3" s="1"/>
  <c r="AV732" i="3"/>
  <c r="AX732" i="3" s="1"/>
  <c r="AV731" i="3"/>
  <c r="AX731" i="3" s="1"/>
  <c r="AV730" i="3"/>
  <c r="AX730" i="3" s="1"/>
  <c r="AV729" i="3"/>
  <c r="AX729" i="3" s="1"/>
  <c r="AV728" i="3"/>
  <c r="AX728" i="3" s="1"/>
  <c r="AV727" i="3"/>
  <c r="AX727" i="3" s="1"/>
  <c r="AV726" i="3"/>
  <c r="AX726" i="3" s="1"/>
  <c r="AV725" i="3"/>
  <c r="AX725" i="3" s="1"/>
  <c r="AV724" i="3"/>
  <c r="AX724" i="3" s="1"/>
  <c r="AV723" i="3"/>
  <c r="AX723" i="3" s="1"/>
  <c r="AV722" i="3"/>
  <c r="AX722" i="3" s="1"/>
  <c r="AV721" i="3"/>
  <c r="AX721" i="3" s="1"/>
  <c r="AV720" i="3"/>
  <c r="AX720" i="3" s="1"/>
  <c r="AV719" i="3"/>
  <c r="AX719" i="3" s="1"/>
  <c r="AV718" i="3"/>
  <c r="AX718" i="3" s="1"/>
  <c r="AV717" i="3"/>
  <c r="AX717" i="3" s="1"/>
  <c r="AV716" i="3"/>
  <c r="AX716" i="3" s="1"/>
  <c r="AV715" i="3"/>
  <c r="AX715" i="3" s="1"/>
  <c r="AV714" i="3"/>
  <c r="AX714" i="3" s="1"/>
  <c r="AV713" i="3"/>
  <c r="AX713" i="3" s="1"/>
  <c r="AV712" i="3"/>
  <c r="AX712" i="3" s="1"/>
  <c r="AV711" i="3"/>
  <c r="AX711" i="3" s="1"/>
  <c r="AV710" i="3"/>
  <c r="AX710" i="3" s="1"/>
  <c r="AV709" i="3"/>
  <c r="AX709" i="3" s="1"/>
  <c r="AV708" i="3"/>
  <c r="AX708" i="3" s="1"/>
  <c r="AV707" i="3"/>
  <c r="AX707" i="3" s="1"/>
  <c r="AV706" i="3"/>
  <c r="AX706" i="3" s="1"/>
  <c r="AV705" i="3"/>
  <c r="AX705" i="3" s="1"/>
  <c r="AV704" i="3"/>
  <c r="AX704" i="3" s="1"/>
  <c r="AV703" i="3"/>
  <c r="AX703" i="3" s="1"/>
  <c r="AV702" i="3"/>
  <c r="AX702" i="3" s="1"/>
  <c r="AV701" i="3"/>
  <c r="AX701" i="3" s="1"/>
  <c r="AV700" i="3"/>
  <c r="AX700" i="3" s="1"/>
  <c r="AV699" i="3"/>
  <c r="AX699" i="3" s="1"/>
  <c r="AV698" i="3"/>
  <c r="AX698" i="3" s="1"/>
  <c r="AV697" i="3"/>
  <c r="AX697" i="3" s="1"/>
  <c r="AV696" i="3"/>
  <c r="AX696" i="3" s="1"/>
  <c r="AV695" i="3"/>
  <c r="AX695" i="3" s="1"/>
  <c r="AV694" i="3"/>
  <c r="AX694" i="3" s="1"/>
  <c r="AV693" i="3"/>
  <c r="AX693" i="3" s="1"/>
  <c r="AV692" i="3"/>
  <c r="AX692" i="3" s="1"/>
  <c r="AV691" i="3"/>
  <c r="AX691" i="3" s="1"/>
  <c r="AV690" i="3"/>
  <c r="AX690" i="3" s="1"/>
  <c r="AV689" i="3"/>
  <c r="AX689" i="3" s="1"/>
  <c r="AV688" i="3"/>
  <c r="AX688" i="3" s="1"/>
  <c r="AV687" i="3"/>
  <c r="AX687" i="3" s="1"/>
  <c r="AV686" i="3"/>
  <c r="AX686" i="3" s="1"/>
  <c r="AV685" i="3"/>
  <c r="AX685" i="3" s="1"/>
  <c r="AV684" i="3"/>
  <c r="AX684" i="3" s="1"/>
  <c r="AV683" i="3"/>
  <c r="AX683" i="3" s="1"/>
  <c r="AV682" i="3"/>
  <c r="AX682" i="3" s="1"/>
  <c r="AV681" i="3"/>
  <c r="AX681" i="3" s="1"/>
  <c r="AV680" i="3"/>
  <c r="AX680" i="3" s="1"/>
  <c r="AV679" i="3"/>
  <c r="AX679" i="3" s="1"/>
  <c r="AV678" i="3"/>
  <c r="AX678" i="3" s="1"/>
  <c r="AV677" i="3"/>
  <c r="AX677" i="3" s="1"/>
  <c r="AV676" i="3"/>
  <c r="AX676" i="3" s="1"/>
  <c r="AV675" i="3"/>
  <c r="AX675" i="3" s="1"/>
  <c r="AV674" i="3"/>
  <c r="AX674" i="3" s="1"/>
  <c r="AV673" i="3"/>
  <c r="AX673" i="3" s="1"/>
  <c r="AV672" i="3"/>
  <c r="AX672" i="3" s="1"/>
  <c r="AV671" i="3"/>
  <c r="AX671" i="3" s="1"/>
  <c r="AV670" i="3"/>
  <c r="AX670" i="3" s="1"/>
  <c r="AV669" i="3"/>
  <c r="AX669" i="3" s="1"/>
  <c r="AV668" i="3"/>
  <c r="AX668" i="3" s="1"/>
  <c r="AV667" i="3"/>
  <c r="AX667" i="3" s="1"/>
  <c r="AV666" i="3"/>
  <c r="AX666" i="3" s="1"/>
  <c r="AV665" i="3"/>
  <c r="AX665" i="3" s="1"/>
  <c r="AV664" i="3"/>
  <c r="AX664" i="3" s="1"/>
  <c r="AV663" i="3"/>
  <c r="AX663" i="3" s="1"/>
  <c r="AV662" i="3"/>
  <c r="AX662" i="3" s="1"/>
  <c r="AV661" i="3"/>
  <c r="AX661" i="3" s="1"/>
  <c r="AV660" i="3"/>
  <c r="AX660" i="3" s="1"/>
  <c r="AV659" i="3"/>
  <c r="AX659" i="3" s="1"/>
  <c r="AV658" i="3"/>
  <c r="AX658" i="3" s="1"/>
  <c r="AV657" i="3"/>
  <c r="AX657" i="3" s="1"/>
  <c r="AV656" i="3"/>
  <c r="AX656" i="3" s="1"/>
  <c r="AV655" i="3"/>
  <c r="AX655" i="3" s="1"/>
  <c r="AV654" i="3"/>
  <c r="AX654" i="3" s="1"/>
  <c r="AV653" i="3"/>
  <c r="AX653" i="3" s="1"/>
  <c r="AV652" i="3"/>
  <c r="AX652" i="3" s="1"/>
  <c r="AV651" i="3"/>
  <c r="AX651" i="3" s="1"/>
  <c r="AV650" i="3"/>
  <c r="AX650" i="3" s="1"/>
  <c r="AV649" i="3"/>
  <c r="AX649" i="3" s="1"/>
  <c r="AV648" i="3"/>
  <c r="AX648" i="3" s="1"/>
  <c r="AV647" i="3"/>
  <c r="AX647" i="3" s="1"/>
  <c r="AV646" i="3"/>
  <c r="AX646" i="3" s="1"/>
  <c r="AV645" i="3"/>
  <c r="AX645" i="3" s="1"/>
  <c r="AV644" i="3"/>
  <c r="AX644" i="3" s="1"/>
  <c r="AV643" i="3"/>
  <c r="AX643" i="3" s="1"/>
  <c r="AV642" i="3"/>
  <c r="AX642" i="3" s="1"/>
  <c r="AV641" i="3"/>
  <c r="AX641" i="3" s="1"/>
  <c r="AV640" i="3"/>
  <c r="AX640" i="3" s="1"/>
  <c r="AV639" i="3"/>
  <c r="AX639" i="3" s="1"/>
  <c r="AV638" i="3"/>
  <c r="AX638" i="3" s="1"/>
  <c r="AV637" i="3"/>
  <c r="AX637" i="3" s="1"/>
  <c r="AV636" i="3"/>
  <c r="AX636" i="3" s="1"/>
  <c r="AV635" i="3"/>
  <c r="AX635" i="3" s="1"/>
  <c r="AV634" i="3"/>
  <c r="AX634" i="3" s="1"/>
  <c r="AV633" i="3"/>
  <c r="AX633" i="3" s="1"/>
  <c r="AV632" i="3"/>
  <c r="AX632" i="3" s="1"/>
  <c r="AV631" i="3"/>
  <c r="AX631" i="3" s="1"/>
  <c r="AV630" i="3"/>
  <c r="AX630" i="3" s="1"/>
  <c r="AV629" i="3"/>
  <c r="AX629" i="3" s="1"/>
  <c r="AV628" i="3"/>
  <c r="AX628" i="3" s="1"/>
  <c r="AV627" i="3"/>
  <c r="AX627" i="3" s="1"/>
  <c r="AV626" i="3"/>
  <c r="AX626" i="3" s="1"/>
  <c r="AV625" i="3"/>
  <c r="AX625" i="3" s="1"/>
  <c r="AV624" i="3"/>
  <c r="AX624" i="3" s="1"/>
  <c r="AV623" i="3"/>
  <c r="AX623" i="3" s="1"/>
  <c r="AV622" i="3"/>
  <c r="AX622" i="3" s="1"/>
  <c r="AV621" i="3"/>
  <c r="AX621" i="3" s="1"/>
  <c r="AV620" i="3"/>
  <c r="AX620" i="3" s="1"/>
  <c r="AV619" i="3"/>
  <c r="AX619" i="3" s="1"/>
  <c r="AV618" i="3"/>
  <c r="AX618" i="3" s="1"/>
  <c r="AV617" i="3"/>
  <c r="AX617" i="3" s="1"/>
  <c r="AV616" i="3"/>
  <c r="AX616" i="3" s="1"/>
  <c r="AV615" i="3"/>
  <c r="AX615" i="3" s="1"/>
  <c r="AV614" i="3"/>
  <c r="AX614" i="3" s="1"/>
  <c r="AV613" i="3"/>
  <c r="AX613" i="3" s="1"/>
  <c r="AV612" i="3"/>
  <c r="AX612" i="3" s="1"/>
  <c r="AV611" i="3"/>
  <c r="AX611" i="3" s="1"/>
  <c r="AV610" i="3"/>
  <c r="AX610" i="3" s="1"/>
  <c r="AV609" i="3"/>
  <c r="AX609" i="3" s="1"/>
  <c r="AV608" i="3"/>
  <c r="AX608" i="3" s="1"/>
  <c r="AV607" i="3"/>
  <c r="AX607" i="3" s="1"/>
  <c r="AV606" i="3"/>
  <c r="AX606" i="3" s="1"/>
  <c r="AV605" i="3"/>
  <c r="AX605" i="3" s="1"/>
  <c r="AV604" i="3"/>
  <c r="AX604" i="3" s="1"/>
  <c r="AV603" i="3"/>
  <c r="AX603" i="3" s="1"/>
  <c r="AV602" i="3"/>
  <c r="AX602" i="3" s="1"/>
  <c r="AV601" i="3"/>
  <c r="AX601" i="3" s="1"/>
  <c r="AV600" i="3"/>
  <c r="AX600" i="3" s="1"/>
  <c r="AV599" i="3"/>
  <c r="AX599" i="3" s="1"/>
  <c r="AV598" i="3"/>
  <c r="AX598" i="3" s="1"/>
  <c r="AV597" i="3"/>
  <c r="AX597" i="3" s="1"/>
  <c r="AV596" i="3"/>
  <c r="AX596" i="3" s="1"/>
  <c r="AV595" i="3"/>
  <c r="AX595" i="3" s="1"/>
  <c r="AV594" i="3"/>
  <c r="AX594" i="3" s="1"/>
  <c r="AV593" i="3"/>
  <c r="AX593" i="3" s="1"/>
  <c r="AV592" i="3"/>
  <c r="AX592" i="3" s="1"/>
  <c r="AV591" i="3"/>
  <c r="AX591" i="3" s="1"/>
  <c r="AV590" i="3"/>
  <c r="AX590" i="3" s="1"/>
  <c r="AV589" i="3"/>
  <c r="AX589" i="3" s="1"/>
  <c r="AV588" i="3"/>
  <c r="AX588" i="3" s="1"/>
  <c r="AV587" i="3"/>
  <c r="AX587" i="3" s="1"/>
  <c r="AV586" i="3"/>
  <c r="AX586" i="3" s="1"/>
  <c r="AV585" i="3"/>
  <c r="AX585" i="3" s="1"/>
  <c r="AV584" i="3"/>
  <c r="AX584" i="3" s="1"/>
  <c r="AV583" i="3"/>
  <c r="AX583" i="3" s="1"/>
  <c r="AV582" i="3"/>
  <c r="AX582" i="3" s="1"/>
  <c r="AV581" i="3"/>
  <c r="AX581" i="3" s="1"/>
  <c r="AV580" i="3"/>
  <c r="AX580" i="3" s="1"/>
  <c r="AV579" i="3"/>
  <c r="AX579" i="3" s="1"/>
  <c r="AV578" i="3"/>
  <c r="AX578" i="3" s="1"/>
  <c r="AV577" i="3"/>
  <c r="AX577" i="3" s="1"/>
  <c r="AV576" i="3"/>
  <c r="AX576" i="3" s="1"/>
  <c r="AV575" i="3"/>
  <c r="AX575" i="3" s="1"/>
  <c r="AV574" i="3"/>
  <c r="AX574" i="3" s="1"/>
  <c r="AV573" i="3"/>
  <c r="AX573" i="3" s="1"/>
  <c r="AV572" i="3"/>
  <c r="AX572" i="3" s="1"/>
  <c r="AV571" i="3"/>
  <c r="AX571" i="3" s="1"/>
  <c r="AV570" i="3"/>
  <c r="AX570" i="3" s="1"/>
  <c r="AV569" i="3"/>
  <c r="AX569" i="3" s="1"/>
  <c r="AV568" i="3"/>
  <c r="AX568" i="3" s="1"/>
  <c r="AV567" i="3"/>
  <c r="AX567" i="3" s="1"/>
  <c r="AV566" i="3"/>
  <c r="AX566" i="3" s="1"/>
  <c r="AV565" i="3"/>
  <c r="AX565" i="3" s="1"/>
  <c r="AV564" i="3"/>
  <c r="AX564" i="3" s="1"/>
  <c r="AV563" i="3"/>
  <c r="AX563" i="3" s="1"/>
  <c r="AV562" i="3"/>
  <c r="AX562" i="3" s="1"/>
  <c r="AV561" i="3"/>
  <c r="AX561" i="3" s="1"/>
  <c r="AV560" i="3"/>
  <c r="AX560" i="3" s="1"/>
  <c r="AV559" i="3"/>
  <c r="AX559" i="3" s="1"/>
  <c r="AV558" i="3"/>
  <c r="AX558" i="3" s="1"/>
  <c r="AV557" i="3"/>
  <c r="AX557" i="3" s="1"/>
  <c r="AV556" i="3"/>
  <c r="AX556" i="3" s="1"/>
  <c r="AV555" i="3"/>
  <c r="AX555" i="3" s="1"/>
  <c r="AV554" i="3"/>
  <c r="AX554" i="3" s="1"/>
  <c r="AV553" i="3"/>
  <c r="AX553" i="3" s="1"/>
  <c r="AV552" i="3"/>
  <c r="AX552" i="3" s="1"/>
  <c r="AV551" i="3"/>
  <c r="AX551" i="3" s="1"/>
  <c r="AV550" i="3"/>
  <c r="AX550" i="3" s="1"/>
  <c r="AV549" i="3"/>
  <c r="AX549" i="3" s="1"/>
  <c r="AV548" i="3"/>
  <c r="AX548" i="3" s="1"/>
  <c r="AV547" i="3"/>
  <c r="AX547" i="3" s="1"/>
  <c r="AV546" i="3"/>
  <c r="AX546" i="3" s="1"/>
  <c r="AV545" i="3"/>
  <c r="AX545" i="3" s="1"/>
  <c r="AV544" i="3"/>
  <c r="AX544" i="3" s="1"/>
  <c r="AV543" i="3"/>
  <c r="AX543" i="3" s="1"/>
  <c r="AV542" i="3"/>
  <c r="AX542" i="3" s="1"/>
  <c r="AV541" i="3"/>
  <c r="AX541" i="3" s="1"/>
  <c r="AV540" i="3"/>
  <c r="AX540" i="3" s="1"/>
  <c r="AV539" i="3"/>
  <c r="AX539" i="3" s="1"/>
  <c r="AV538" i="3"/>
  <c r="AX538" i="3" s="1"/>
  <c r="AV537" i="3"/>
  <c r="AX537" i="3" s="1"/>
  <c r="AV536" i="3"/>
  <c r="AX536" i="3" s="1"/>
  <c r="AV535" i="3"/>
  <c r="AX535" i="3" s="1"/>
  <c r="AV534" i="3"/>
  <c r="AX534" i="3" s="1"/>
  <c r="AV533" i="3"/>
  <c r="AX533" i="3" s="1"/>
  <c r="AV532" i="3"/>
  <c r="AX532" i="3" s="1"/>
  <c r="AV531" i="3"/>
  <c r="AX531" i="3" s="1"/>
  <c r="AV530" i="3"/>
  <c r="AX530" i="3" s="1"/>
  <c r="AV529" i="3"/>
  <c r="AX529" i="3" s="1"/>
  <c r="AV528" i="3"/>
  <c r="AX528" i="3" s="1"/>
  <c r="AV527" i="3"/>
  <c r="AX527" i="3" s="1"/>
  <c r="AV526" i="3"/>
  <c r="AX526" i="3" s="1"/>
  <c r="AV525" i="3"/>
  <c r="AX525" i="3" s="1"/>
  <c r="AV524" i="3"/>
  <c r="AX524" i="3" s="1"/>
  <c r="AV523" i="3"/>
  <c r="AX523" i="3" s="1"/>
  <c r="AV522" i="3"/>
  <c r="AX522" i="3" s="1"/>
  <c r="AV521" i="3"/>
  <c r="AX521" i="3" s="1"/>
  <c r="AV520" i="3"/>
  <c r="AX520" i="3" s="1"/>
  <c r="AV519" i="3"/>
  <c r="AX519" i="3" s="1"/>
  <c r="AV518" i="3"/>
  <c r="AX518" i="3" s="1"/>
  <c r="AV517" i="3"/>
  <c r="AX517" i="3" s="1"/>
  <c r="AV516" i="3"/>
  <c r="AX516" i="3" s="1"/>
  <c r="AV515" i="3"/>
  <c r="AX515" i="3" s="1"/>
  <c r="AV514" i="3"/>
  <c r="AX514" i="3" s="1"/>
  <c r="AV513" i="3"/>
  <c r="AX513" i="3" s="1"/>
  <c r="AV512" i="3"/>
  <c r="AX512" i="3" s="1"/>
  <c r="AV511" i="3"/>
  <c r="AX511" i="3" s="1"/>
  <c r="BA510" i="3"/>
  <c r="AZ510" i="3"/>
  <c r="AY510" i="3"/>
  <c r="AV510" i="3"/>
  <c r="AX510" i="3" s="1"/>
  <c r="BA509" i="3"/>
  <c r="AZ509" i="3"/>
  <c r="AY509" i="3"/>
  <c r="AV509" i="3"/>
  <c r="AX509" i="3" s="1"/>
  <c r="BA508" i="3"/>
  <c r="AZ508" i="3"/>
  <c r="AY508" i="3"/>
  <c r="AV508" i="3"/>
  <c r="AX508" i="3" s="1"/>
  <c r="BA507" i="3"/>
  <c r="AZ507" i="3"/>
  <c r="AY507" i="3"/>
  <c r="AV507" i="3"/>
  <c r="AX507" i="3" s="1"/>
  <c r="BA506" i="3"/>
  <c r="AZ506" i="3"/>
  <c r="AY506" i="3"/>
  <c r="AV506" i="3"/>
  <c r="AX506" i="3" s="1"/>
  <c r="BA505" i="3"/>
  <c r="AZ505" i="3"/>
  <c r="AY505" i="3"/>
  <c r="AV505" i="3"/>
  <c r="AX505" i="3" s="1"/>
  <c r="BA504" i="3"/>
  <c r="AZ504" i="3"/>
  <c r="AY504" i="3"/>
  <c r="AV504" i="3"/>
  <c r="AX504" i="3" s="1"/>
  <c r="BA503" i="3"/>
  <c r="AZ503" i="3"/>
  <c r="AY503" i="3"/>
  <c r="AV503" i="3"/>
  <c r="AX503" i="3" s="1"/>
  <c r="BA502" i="3"/>
  <c r="AZ502" i="3"/>
  <c r="AY502" i="3"/>
  <c r="AV502" i="3"/>
  <c r="AX502" i="3" s="1"/>
  <c r="BA501" i="3"/>
  <c r="AZ501" i="3"/>
  <c r="AY501" i="3"/>
  <c r="AV501" i="3"/>
  <c r="AX501" i="3" s="1"/>
  <c r="BA500" i="3"/>
  <c r="AZ500" i="3"/>
  <c r="AY500" i="3"/>
  <c r="AV500" i="3"/>
  <c r="AX500" i="3" s="1"/>
  <c r="BA499" i="3"/>
  <c r="AZ499" i="3"/>
  <c r="AY499" i="3"/>
  <c r="AV499" i="3"/>
  <c r="AX499" i="3" s="1"/>
  <c r="BA498" i="3"/>
  <c r="AZ498" i="3"/>
  <c r="AY498" i="3"/>
  <c r="AV498" i="3"/>
  <c r="AX498" i="3" s="1"/>
  <c r="BA497" i="3"/>
  <c r="AZ497" i="3"/>
  <c r="AY497" i="3"/>
  <c r="AV497" i="3"/>
  <c r="AX497" i="3" s="1"/>
  <c r="BA496" i="3"/>
  <c r="AZ496" i="3"/>
  <c r="AY496" i="3"/>
  <c r="AV496" i="3"/>
  <c r="AX496" i="3" s="1"/>
  <c r="BA495" i="3"/>
  <c r="AZ495" i="3"/>
  <c r="AY495" i="3"/>
  <c r="AV495" i="3"/>
  <c r="AX495" i="3" s="1"/>
  <c r="BA494" i="3"/>
  <c r="AZ494" i="3"/>
  <c r="AY494" i="3"/>
  <c r="AV494" i="3"/>
  <c r="AX494" i="3" s="1"/>
  <c r="BA493" i="3"/>
  <c r="AZ493" i="3"/>
  <c r="AY493" i="3"/>
  <c r="AV493" i="3"/>
  <c r="AX493" i="3" s="1"/>
  <c r="BA492" i="3"/>
  <c r="AZ492" i="3"/>
  <c r="AY492" i="3"/>
  <c r="AV492" i="3"/>
  <c r="AX492" i="3" s="1"/>
  <c r="BA491" i="3"/>
  <c r="AZ491" i="3"/>
  <c r="AY491" i="3"/>
  <c r="AV491" i="3"/>
  <c r="AX491" i="3" s="1"/>
  <c r="BA490" i="3"/>
  <c r="AZ490" i="3"/>
  <c r="AY490" i="3"/>
  <c r="AV490" i="3"/>
  <c r="AX490" i="3" s="1"/>
  <c r="BA489" i="3"/>
  <c r="AZ489" i="3"/>
  <c r="AY489" i="3"/>
  <c r="AV489" i="3"/>
  <c r="AX489" i="3" s="1"/>
  <c r="BA488" i="3"/>
  <c r="AZ488" i="3"/>
  <c r="AY488" i="3"/>
  <c r="AV488" i="3"/>
  <c r="AX488" i="3" s="1"/>
  <c r="BA487" i="3"/>
  <c r="AZ487" i="3"/>
  <c r="AY487" i="3"/>
  <c r="AV487" i="3"/>
  <c r="AX487" i="3" s="1"/>
  <c r="BA486" i="3"/>
  <c r="AZ486" i="3"/>
  <c r="AY486" i="3"/>
  <c r="AV486" i="3"/>
  <c r="AX486" i="3" s="1"/>
  <c r="BA485" i="3"/>
  <c r="AZ485" i="3"/>
  <c r="AY485" i="3"/>
  <c r="AV485" i="3"/>
  <c r="AX485" i="3" s="1"/>
  <c r="BA484" i="3"/>
  <c r="AZ484" i="3"/>
  <c r="AY484" i="3"/>
  <c r="AV484" i="3"/>
  <c r="AX484" i="3" s="1"/>
  <c r="BA483" i="3"/>
  <c r="AZ483" i="3"/>
  <c r="AY483" i="3"/>
  <c r="AV483" i="3"/>
  <c r="AX483" i="3" s="1"/>
  <c r="BA482" i="3"/>
  <c r="AZ482" i="3"/>
  <c r="AY482" i="3"/>
  <c r="AV482" i="3"/>
  <c r="AX482" i="3" s="1"/>
  <c r="BA481" i="3"/>
  <c r="AZ481" i="3"/>
  <c r="AY481" i="3"/>
  <c r="AV481" i="3"/>
  <c r="AX481" i="3" s="1"/>
  <c r="BA480" i="3"/>
  <c r="AZ480" i="3"/>
  <c r="AY480" i="3"/>
  <c r="AV480" i="3"/>
  <c r="AX480" i="3" s="1"/>
  <c r="BA479" i="3"/>
  <c r="AZ479" i="3"/>
  <c r="AY479" i="3"/>
  <c r="AV479" i="3"/>
  <c r="AX479" i="3" s="1"/>
  <c r="BA478" i="3"/>
  <c r="AZ478" i="3"/>
  <c r="AY478" i="3"/>
  <c r="AV478" i="3"/>
  <c r="AX478" i="3" s="1"/>
  <c r="BA477" i="3"/>
  <c r="AZ477" i="3"/>
  <c r="AY477" i="3"/>
  <c r="AV477" i="3"/>
  <c r="AX477" i="3" s="1"/>
  <c r="BA476" i="3"/>
  <c r="AZ476" i="3"/>
  <c r="AY476" i="3"/>
  <c r="AV476" i="3"/>
  <c r="AX476" i="3" s="1"/>
  <c r="BA475" i="3"/>
  <c r="AZ475" i="3"/>
  <c r="AY475" i="3"/>
  <c r="AV475" i="3"/>
  <c r="AX475" i="3" s="1"/>
  <c r="BA474" i="3"/>
  <c r="AZ474" i="3"/>
  <c r="AY474" i="3"/>
  <c r="AV474" i="3"/>
  <c r="AX474" i="3" s="1"/>
  <c r="BA473" i="3"/>
  <c r="AZ473" i="3"/>
  <c r="AY473" i="3"/>
  <c r="AV473" i="3"/>
  <c r="AX473" i="3" s="1"/>
  <c r="BA472" i="3"/>
  <c r="AZ472" i="3"/>
  <c r="AY472" i="3"/>
  <c r="AV472" i="3"/>
  <c r="AX472" i="3" s="1"/>
  <c r="BA471" i="3"/>
  <c r="AZ471" i="3"/>
  <c r="AY471" i="3"/>
  <c r="AV471" i="3"/>
  <c r="AX471" i="3" s="1"/>
  <c r="BA470" i="3"/>
  <c r="AZ470" i="3"/>
  <c r="AY470" i="3"/>
  <c r="AV470" i="3"/>
  <c r="AX470" i="3" s="1"/>
  <c r="BA469" i="3"/>
  <c r="AZ469" i="3"/>
  <c r="AY469" i="3"/>
  <c r="AV469" i="3"/>
  <c r="AX469" i="3" s="1"/>
  <c r="BA468" i="3"/>
  <c r="AZ468" i="3"/>
  <c r="AY468" i="3"/>
  <c r="AV468" i="3"/>
  <c r="AX468" i="3" s="1"/>
  <c r="BA467" i="3"/>
  <c r="AZ467" i="3"/>
  <c r="AY467" i="3"/>
  <c r="AV467" i="3"/>
  <c r="AX467" i="3" s="1"/>
  <c r="BA466" i="3"/>
  <c r="AZ466" i="3"/>
  <c r="AY466" i="3"/>
  <c r="AV466" i="3"/>
  <c r="AX466" i="3" s="1"/>
  <c r="BA465" i="3"/>
  <c r="AZ465" i="3"/>
  <c r="AY465" i="3"/>
  <c r="AV465" i="3"/>
  <c r="AX465" i="3" s="1"/>
  <c r="BA464" i="3"/>
  <c r="AZ464" i="3"/>
  <c r="AY464" i="3"/>
  <c r="AV464" i="3"/>
  <c r="AX464" i="3" s="1"/>
  <c r="BA463" i="3"/>
  <c r="AZ463" i="3"/>
  <c r="AY463" i="3"/>
  <c r="AV463" i="3"/>
  <c r="AX463" i="3" s="1"/>
  <c r="BA462" i="3"/>
  <c r="AZ462" i="3"/>
  <c r="AY462" i="3"/>
  <c r="AV462" i="3"/>
  <c r="AX462" i="3" s="1"/>
  <c r="BA461" i="3"/>
  <c r="AZ461" i="3"/>
  <c r="AY461" i="3"/>
  <c r="AV461" i="3"/>
  <c r="AX461" i="3" s="1"/>
  <c r="BA460" i="3"/>
  <c r="AZ460" i="3"/>
  <c r="AY460" i="3"/>
  <c r="AV460" i="3"/>
  <c r="AX460" i="3" s="1"/>
  <c r="BA459" i="3"/>
  <c r="AZ459" i="3"/>
  <c r="AY459" i="3"/>
  <c r="AV459" i="3"/>
  <c r="AX459" i="3" s="1"/>
  <c r="BA458" i="3"/>
  <c r="AZ458" i="3"/>
  <c r="AY458" i="3"/>
  <c r="AV458" i="3"/>
  <c r="AX458" i="3" s="1"/>
  <c r="BA457" i="3"/>
  <c r="AZ457" i="3"/>
  <c r="AY457" i="3"/>
  <c r="AV457" i="3"/>
  <c r="AX457" i="3" s="1"/>
  <c r="BA456" i="3"/>
  <c r="AZ456" i="3"/>
  <c r="AY456" i="3"/>
  <c r="AV456" i="3"/>
  <c r="AX456" i="3" s="1"/>
  <c r="BA455" i="3"/>
  <c r="AZ455" i="3"/>
  <c r="AY455" i="3"/>
  <c r="AV455" i="3"/>
  <c r="AX455" i="3" s="1"/>
  <c r="BA454" i="3"/>
  <c r="AZ454" i="3"/>
  <c r="AY454" i="3"/>
  <c r="AV454" i="3"/>
  <c r="AX454" i="3" s="1"/>
  <c r="BA453" i="3"/>
  <c r="AZ453" i="3"/>
  <c r="AY453" i="3"/>
  <c r="AV453" i="3"/>
  <c r="AX453" i="3" s="1"/>
  <c r="BA452" i="3"/>
  <c r="AZ452" i="3"/>
  <c r="AY452" i="3"/>
  <c r="AV452" i="3"/>
  <c r="AX452" i="3" s="1"/>
  <c r="BA451" i="3"/>
  <c r="AZ451" i="3"/>
  <c r="AY451" i="3"/>
  <c r="AV451" i="3"/>
  <c r="AX451" i="3" s="1"/>
  <c r="BA450" i="3"/>
  <c r="AZ450" i="3"/>
  <c r="AY450" i="3"/>
  <c r="AV450" i="3"/>
  <c r="AX450" i="3" s="1"/>
  <c r="BA449" i="3"/>
  <c r="AZ449" i="3"/>
  <c r="AY449" i="3"/>
  <c r="AV449" i="3"/>
  <c r="AX449" i="3" s="1"/>
  <c r="BA448" i="3"/>
  <c r="AZ448" i="3"/>
  <c r="AY448" i="3"/>
  <c r="AV448" i="3"/>
  <c r="AX448" i="3" s="1"/>
  <c r="BA447" i="3"/>
  <c r="AZ447" i="3"/>
  <c r="AY447" i="3"/>
  <c r="AV447" i="3"/>
  <c r="AX447" i="3" s="1"/>
  <c r="BA446" i="3"/>
  <c r="AZ446" i="3"/>
  <c r="AY446" i="3"/>
  <c r="AV446" i="3"/>
  <c r="AX446" i="3" s="1"/>
  <c r="BA445" i="3"/>
  <c r="AZ445" i="3"/>
  <c r="AY445" i="3"/>
  <c r="AV445" i="3"/>
  <c r="AX445" i="3" s="1"/>
  <c r="BA444" i="3"/>
  <c r="AZ444" i="3"/>
  <c r="AY444" i="3"/>
  <c r="AV444" i="3"/>
  <c r="AX444" i="3" s="1"/>
  <c r="BA443" i="3"/>
  <c r="AZ443" i="3"/>
  <c r="AY443" i="3"/>
  <c r="AV443" i="3"/>
  <c r="AX443" i="3" s="1"/>
  <c r="BA442" i="3"/>
  <c r="AZ442" i="3"/>
  <c r="AY442" i="3"/>
  <c r="AV442" i="3"/>
  <c r="AX442" i="3" s="1"/>
  <c r="BA441" i="3"/>
  <c r="AZ441" i="3"/>
  <c r="AY441" i="3"/>
  <c r="AV441" i="3"/>
  <c r="AX441" i="3" s="1"/>
  <c r="BA440" i="3"/>
  <c r="AZ440" i="3"/>
  <c r="AY440" i="3"/>
  <c r="AV440" i="3"/>
  <c r="AX440" i="3" s="1"/>
  <c r="BA439" i="3"/>
  <c r="AZ439" i="3"/>
  <c r="AY439" i="3"/>
  <c r="AV439" i="3"/>
  <c r="AX439" i="3" s="1"/>
  <c r="BA438" i="3"/>
  <c r="AZ438" i="3"/>
  <c r="AY438" i="3"/>
  <c r="AV438" i="3"/>
  <c r="AX438" i="3" s="1"/>
  <c r="BA437" i="3"/>
  <c r="AZ437" i="3"/>
  <c r="AY437" i="3"/>
  <c r="AV437" i="3"/>
  <c r="AX437" i="3" s="1"/>
  <c r="BA436" i="3"/>
  <c r="AZ436" i="3"/>
  <c r="AY436" i="3"/>
  <c r="AV436" i="3"/>
  <c r="AX436" i="3" s="1"/>
  <c r="BA435" i="3"/>
  <c r="AZ435" i="3"/>
  <c r="AY435" i="3"/>
  <c r="AV435" i="3"/>
  <c r="AX435" i="3" s="1"/>
  <c r="BA434" i="3"/>
  <c r="AZ434" i="3"/>
  <c r="AY434" i="3"/>
  <c r="AV434" i="3"/>
  <c r="AX434" i="3" s="1"/>
  <c r="BA433" i="3"/>
  <c r="AZ433" i="3"/>
  <c r="AY433" i="3"/>
  <c r="AV433" i="3"/>
  <c r="AX433" i="3" s="1"/>
  <c r="BA432" i="3"/>
  <c r="AZ432" i="3"/>
  <c r="AY432" i="3"/>
  <c r="AV432" i="3"/>
  <c r="AX432" i="3" s="1"/>
  <c r="BA431" i="3"/>
  <c r="AZ431" i="3"/>
  <c r="AY431" i="3"/>
  <c r="AV431" i="3"/>
  <c r="AX431" i="3" s="1"/>
  <c r="BA430" i="3"/>
  <c r="AZ430" i="3"/>
  <c r="AY430" i="3"/>
  <c r="AV430" i="3"/>
  <c r="AX430" i="3" s="1"/>
  <c r="BA429" i="3"/>
  <c r="AZ429" i="3"/>
  <c r="AY429" i="3"/>
  <c r="AV429" i="3"/>
  <c r="AX429" i="3" s="1"/>
  <c r="BA428" i="3"/>
  <c r="AZ428" i="3"/>
  <c r="AY428" i="3"/>
  <c r="AV428" i="3"/>
  <c r="AX428" i="3" s="1"/>
  <c r="BA427" i="3"/>
  <c r="AZ427" i="3"/>
  <c r="AY427" i="3"/>
  <c r="AV427" i="3"/>
  <c r="AX427" i="3" s="1"/>
  <c r="BA426" i="3"/>
  <c r="AZ426" i="3"/>
  <c r="AY426" i="3"/>
  <c r="AV426" i="3"/>
  <c r="AX426" i="3" s="1"/>
  <c r="BA425" i="3"/>
  <c r="AZ425" i="3"/>
  <c r="AY425" i="3"/>
  <c r="AV425" i="3"/>
  <c r="AX425" i="3" s="1"/>
  <c r="BA424" i="3"/>
  <c r="AZ424" i="3"/>
  <c r="AY424" i="3"/>
  <c r="AV424" i="3"/>
  <c r="AX424" i="3" s="1"/>
  <c r="BA423" i="3"/>
  <c r="AZ423" i="3"/>
  <c r="AY423" i="3"/>
  <c r="AV423" i="3"/>
  <c r="AX423" i="3" s="1"/>
  <c r="BA422" i="3"/>
  <c r="AZ422" i="3"/>
  <c r="AY422" i="3"/>
  <c r="AV422" i="3"/>
  <c r="AX422" i="3" s="1"/>
  <c r="BA421" i="3"/>
  <c r="AZ421" i="3"/>
  <c r="AY421" i="3"/>
  <c r="AV421" i="3"/>
  <c r="AX421" i="3" s="1"/>
  <c r="BA420" i="3"/>
  <c r="AZ420" i="3"/>
  <c r="AY420" i="3"/>
  <c r="AV420" i="3"/>
  <c r="AX420" i="3" s="1"/>
  <c r="BA419" i="3"/>
  <c r="AZ419" i="3"/>
  <c r="AY419" i="3"/>
  <c r="AV419" i="3"/>
  <c r="AX419" i="3" s="1"/>
  <c r="BA418" i="3"/>
  <c r="AZ418" i="3"/>
  <c r="AY418" i="3"/>
  <c r="AV418" i="3"/>
  <c r="AX418" i="3" s="1"/>
  <c r="BA417" i="3"/>
  <c r="AZ417" i="3"/>
  <c r="AY417" i="3"/>
  <c r="AV417" i="3"/>
  <c r="AX417" i="3" s="1"/>
  <c r="BA416" i="3"/>
  <c r="AZ416" i="3"/>
  <c r="AY416" i="3"/>
  <c r="AV416" i="3"/>
  <c r="AX416" i="3" s="1"/>
  <c r="BA415" i="3"/>
  <c r="AZ415" i="3"/>
  <c r="AY415" i="3"/>
  <c r="AV415" i="3"/>
  <c r="AX415" i="3" s="1"/>
  <c r="BA414" i="3"/>
  <c r="AZ414" i="3"/>
  <c r="AY414" i="3"/>
  <c r="AV414" i="3"/>
  <c r="AX414" i="3" s="1"/>
  <c r="BA413" i="3"/>
  <c r="AZ413" i="3"/>
  <c r="AY413" i="3"/>
  <c r="AV413" i="3"/>
  <c r="AX413" i="3" s="1"/>
  <c r="BA412" i="3"/>
  <c r="AZ412" i="3"/>
  <c r="AY412" i="3"/>
  <c r="AV412" i="3"/>
  <c r="AX412" i="3" s="1"/>
  <c r="BA411" i="3"/>
  <c r="AZ411" i="3"/>
  <c r="AY411" i="3"/>
  <c r="AV411" i="3"/>
  <c r="AX411" i="3" s="1"/>
  <c r="BA410" i="3"/>
  <c r="AZ410" i="3"/>
  <c r="AY410" i="3"/>
  <c r="AV410" i="3"/>
  <c r="AX410" i="3" s="1"/>
  <c r="BA409" i="3"/>
  <c r="AZ409" i="3"/>
  <c r="AY409" i="3"/>
  <c r="AV409" i="3"/>
  <c r="AX409" i="3" s="1"/>
  <c r="BA408" i="3"/>
  <c r="AZ408" i="3"/>
  <c r="AY408" i="3"/>
  <c r="AV408" i="3"/>
  <c r="AX408" i="3" s="1"/>
  <c r="BA407" i="3"/>
  <c r="AZ407" i="3"/>
  <c r="AY407" i="3"/>
  <c r="AV407" i="3"/>
  <c r="AX407" i="3" s="1"/>
  <c r="BA406" i="3"/>
  <c r="AZ406" i="3"/>
  <c r="AY406" i="3"/>
  <c r="AV406" i="3"/>
  <c r="AX406" i="3" s="1"/>
  <c r="BA405" i="3"/>
  <c r="AZ405" i="3"/>
  <c r="AY405" i="3"/>
  <c r="AV405" i="3"/>
  <c r="AX405" i="3" s="1"/>
  <c r="BA404" i="3"/>
  <c r="AZ404" i="3"/>
  <c r="AY404" i="3"/>
  <c r="AV404" i="3"/>
  <c r="AX404" i="3" s="1"/>
  <c r="BA403" i="3"/>
  <c r="AZ403" i="3"/>
  <c r="AY403" i="3"/>
  <c r="AV403" i="3"/>
  <c r="AX403" i="3" s="1"/>
  <c r="BA402" i="3"/>
  <c r="AZ402" i="3"/>
  <c r="AY402" i="3"/>
  <c r="AV402" i="3"/>
  <c r="AX402" i="3" s="1"/>
  <c r="BA401" i="3"/>
  <c r="AZ401" i="3"/>
  <c r="AY401" i="3"/>
  <c r="AV401" i="3"/>
  <c r="AX401" i="3" s="1"/>
  <c r="BA400" i="3"/>
  <c r="AZ400" i="3"/>
  <c r="AY400" i="3"/>
  <c r="AV400" i="3"/>
  <c r="AX400" i="3" s="1"/>
  <c r="BA399" i="3"/>
  <c r="AZ399" i="3"/>
  <c r="AY399" i="3"/>
  <c r="AV399" i="3"/>
  <c r="AX399" i="3" s="1"/>
  <c r="BA398" i="3"/>
  <c r="AZ398" i="3"/>
  <c r="AY398" i="3"/>
  <c r="AV398" i="3"/>
  <c r="AX398" i="3" s="1"/>
  <c r="BA397" i="3"/>
  <c r="AZ397" i="3"/>
  <c r="AY397" i="3"/>
  <c r="AV397" i="3"/>
  <c r="AX397" i="3" s="1"/>
  <c r="BA396" i="3"/>
  <c r="AZ396" i="3"/>
  <c r="AY396" i="3"/>
  <c r="AV396" i="3"/>
  <c r="AX396" i="3" s="1"/>
  <c r="BA395" i="3"/>
  <c r="AZ395" i="3"/>
  <c r="AY395" i="3"/>
  <c r="AV395" i="3"/>
  <c r="AX395" i="3" s="1"/>
  <c r="BA394" i="3"/>
  <c r="AZ394" i="3"/>
  <c r="AY394" i="3"/>
  <c r="AV394" i="3"/>
  <c r="AX394" i="3" s="1"/>
  <c r="BA393" i="3"/>
  <c r="AZ393" i="3"/>
  <c r="AY393" i="3"/>
  <c r="AV393" i="3"/>
  <c r="AX393" i="3" s="1"/>
  <c r="BA392" i="3"/>
  <c r="AZ392" i="3"/>
  <c r="AY392" i="3"/>
  <c r="AV392" i="3"/>
  <c r="AX392" i="3" s="1"/>
  <c r="BA391" i="3"/>
  <c r="AZ391" i="3"/>
  <c r="AY391" i="3"/>
  <c r="AV391" i="3"/>
  <c r="AX391" i="3" s="1"/>
  <c r="BA390" i="3"/>
  <c r="AZ390" i="3"/>
  <c r="AY390" i="3"/>
  <c r="AV390" i="3"/>
  <c r="AX390" i="3" s="1"/>
  <c r="BA389" i="3"/>
  <c r="AZ389" i="3"/>
  <c r="AY389" i="3"/>
  <c r="AV389" i="3"/>
  <c r="AX389" i="3" s="1"/>
  <c r="BA388" i="3"/>
  <c r="AZ388" i="3"/>
  <c r="AY388" i="3"/>
  <c r="AV388" i="3"/>
  <c r="AX388" i="3" s="1"/>
  <c r="BA387" i="3"/>
  <c r="AZ387" i="3"/>
  <c r="AY387" i="3"/>
  <c r="AV387" i="3"/>
  <c r="AX387" i="3" s="1"/>
  <c r="BA386" i="3"/>
  <c r="AZ386" i="3"/>
  <c r="AY386" i="3"/>
  <c r="AV386" i="3"/>
  <c r="AX386" i="3" s="1"/>
  <c r="BA385" i="3"/>
  <c r="AZ385" i="3"/>
  <c r="AY385" i="3"/>
  <c r="AV385" i="3"/>
  <c r="AX385" i="3" s="1"/>
  <c r="BA384" i="3"/>
  <c r="AZ384" i="3"/>
  <c r="AY384" i="3"/>
  <c r="AV384" i="3"/>
  <c r="AX384" i="3" s="1"/>
  <c r="BA383" i="3"/>
  <c r="AZ383" i="3"/>
  <c r="AY383" i="3"/>
  <c r="AV383" i="3"/>
  <c r="AX383" i="3" s="1"/>
  <c r="BA382" i="3"/>
  <c r="AZ382" i="3"/>
  <c r="AY382" i="3"/>
  <c r="AV382" i="3"/>
  <c r="AX382" i="3" s="1"/>
  <c r="BA381" i="3"/>
  <c r="AZ381" i="3"/>
  <c r="AY381" i="3"/>
  <c r="AV381" i="3"/>
  <c r="AX381" i="3" s="1"/>
  <c r="BA380" i="3"/>
  <c r="AZ380" i="3"/>
  <c r="AY380" i="3"/>
  <c r="AV380" i="3"/>
  <c r="AX380" i="3" s="1"/>
  <c r="BA379" i="3"/>
  <c r="AZ379" i="3"/>
  <c r="AY379" i="3"/>
  <c r="AV379" i="3"/>
  <c r="AX379" i="3" s="1"/>
  <c r="BA378" i="3"/>
  <c r="AZ378" i="3"/>
  <c r="AY378" i="3"/>
  <c r="AV378" i="3"/>
  <c r="AX378" i="3" s="1"/>
  <c r="BA377" i="3"/>
  <c r="AZ377" i="3"/>
  <c r="AY377" i="3"/>
  <c r="AV377" i="3"/>
  <c r="AX377" i="3" s="1"/>
  <c r="BA376" i="3"/>
  <c r="AZ376" i="3"/>
  <c r="AY376" i="3"/>
  <c r="AV376" i="3"/>
  <c r="AX376" i="3" s="1"/>
  <c r="BA375" i="3"/>
  <c r="AZ375" i="3"/>
  <c r="AY375" i="3"/>
  <c r="AV375" i="3"/>
  <c r="AX375" i="3" s="1"/>
  <c r="BA374" i="3"/>
  <c r="AZ374" i="3"/>
  <c r="AY374" i="3"/>
  <c r="AV374" i="3"/>
  <c r="AX374" i="3" s="1"/>
  <c r="BA373" i="3"/>
  <c r="AZ373" i="3"/>
  <c r="AY373" i="3"/>
  <c r="AV373" i="3"/>
  <c r="AX373" i="3" s="1"/>
  <c r="BA372" i="3"/>
  <c r="AZ372" i="3"/>
  <c r="AY372" i="3"/>
  <c r="AV372" i="3"/>
  <c r="AX372" i="3" s="1"/>
  <c r="BA371" i="3"/>
  <c r="AZ371" i="3"/>
  <c r="AY371" i="3"/>
  <c r="AV371" i="3"/>
  <c r="AX371" i="3" s="1"/>
  <c r="BA370" i="3"/>
  <c r="AZ370" i="3"/>
  <c r="AY370" i="3"/>
  <c r="AV370" i="3"/>
  <c r="AX370" i="3" s="1"/>
  <c r="BA369" i="3"/>
  <c r="AZ369" i="3"/>
  <c r="AY369" i="3"/>
  <c r="AV369" i="3"/>
  <c r="AX369" i="3" s="1"/>
  <c r="BA368" i="3"/>
  <c r="AZ368" i="3"/>
  <c r="AY368" i="3"/>
  <c r="AV368" i="3"/>
  <c r="AX368" i="3" s="1"/>
  <c r="BA367" i="3"/>
  <c r="AZ367" i="3"/>
  <c r="AY367" i="3"/>
  <c r="AV367" i="3"/>
  <c r="AX367" i="3" s="1"/>
  <c r="BA366" i="3"/>
  <c r="AZ366" i="3"/>
  <c r="AY366" i="3"/>
  <c r="AV366" i="3"/>
  <c r="AX366" i="3" s="1"/>
  <c r="BA365" i="3"/>
  <c r="AZ365" i="3"/>
  <c r="AY365" i="3"/>
  <c r="AV365" i="3"/>
  <c r="AX365" i="3" s="1"/>
  <c r="BA364" i="3"/>
  <c r="AZ364" i="3"/>
  <c r="AY364" i="3"/>
  <c r="AV364" i="3"/>
  <c r="AX364" i="3" s="1"/>
  <c r="BA363" i="3"/>
  <c r="AZ363" i="3"/>
  <c r="AY363" i="3"/>
  <c r="AV363" i="3"/>
  <c r="AX363" i="3" s="1"/>
  <c r="BA362" i="3"/>
  <c r="AZ362" i="3"/>
  <c r="AY362" i="3"/>
  <c r="AV362" i="3"/>
  <c r="AX362" i="3" s="1"/>
  <c r="BA361" i="3"/>
  <c r="AZ361" i="3"/>
  <c r="AY361" i="3"/>
  <c r="AV361" i="3"/>
  <c r="AX361" i="3" s="1"/>
  <c r="BA360" i="3"/>
  <c r="AZ360" i="3"/>
  <c r="AY360" i="3"/>
  <c r="AV360" i="3"/>
  <c r="AX360" i="3" s="1"/>
  <c r="BA359" i="3"/>
  <c r="AZ359" i="3"/>
  <c r="AY359" i="3"/>
  <c r="AV359" i="3"/>
  <c r="AX359" i="3" s="1"/>
  <c r="BA358" i="3"/>
  <c r="AZ358" i="3"/>
  <c r="AY358" i="3"/>
  <c r="AV358" i="3"/>
  <c r="AX358" i="3" s="1"/>
  <c r="BA357" i="3"/>
  <c r="AZ357" i="3"/>
  <c r="AY357" i="3"/>
  <c r="AV357" i="3"/>
  <c r="AX357" i="3" s="1"/>
  <c r="BA356" i="3"/>
  <c r="AZ356" i="3"/>
  <c r="AY356" i="3"/>
  <c r="AV356" i="3"/>
  <c r="AX356" i="3" s="1"/>
  <c r="BA355" i="3"/>
  <c r="AZ355" i="3"/>
  <c r="AY355" i="3"/>
  <c r="AV355" i="3"/>
  <c r="AX355" i="3" s="1"/>
  <c r="BA354" i="3"/>
  <c r="AZ354" i="3"/>
  <c r="AY354" i="3"/>
  <c r="AV354" i="3"/>
  <c r="AX354" i="3" s="1"/>
  <c r="BA353" i="3"/>
  <c r="AZ353" i="3"/>
  <c r="AY353" i="3"/>
  <c r="AV353" i="3"/>
  <c r="AX353" i="3" s="1"/>
  <c r="BA352" i="3"/>
  <c r="AZ352" i="3"/>
  <c r="AY352" i="3"/>
  <c r="AV352" i="3"/>
  <c r="AX352" i="3" s="1"/>
  <c r="BA351" i="3"/>
  <c r="AZ351" i="3"/>
  <c r="AY351" i="3"/>
  <c r="AV351" i="3"/>
  <c r="AX351" i="3" s="1"/>
  <c r="BA350" i="3"/>
  <c r="AZ350" i="3"/>
  <c r="AY350" i="3"/>
  <c r="AV350" i="3"/>
  <c r="AX350" i="3" s="1"/>
  <c r="BA349" i="3"/>
  <c r="AZ349" i="3"/>
  <c r="AY349" i="3"/>
  <c r="AV349" i="3"/>
  <c r="AX349" i="3" s="1"/>
  <c r="BA348" i="3"/>
  <c r="AZ348" i="3"/>
  <c r="AY348" i="3"/>
  <c r="AV348" i="3"/>
  <c r="AX348" i="3" s="1"/>
  <c r="BA347" i="3"/>
  <c r="AZ347" i="3"/>
  <c r="AY347" i="3"/>
  <c r="AV347" i="3"/>
  <c r="AX347" i="3" s="1"/>
  <c r="BA346" i="3"/>
  <c r="AZ346" i="3"/>
  <c r="AY346" i="3"/>
  <c r="AV346" i="3"/>
  <c r="AX346" i="3" s="1"/>
  <c r="BA345" i="3"/>
  <c r="AZ345" i="3"/>
  <c r="AY345" i="3"/>
  <c r="AV345" i="3"/>
  <c r="AX345" i="3" s="1"/>
  <c r="BA344" i="3"/>
  <c r="AZ344" i="3"/>
  <c r="AY344" i="3"/>
  <c r="AV344" i="3"/>
  <c r="AX344" i="3" s="1"/>
  <c r="BA343" i="3"/>
  <c r="AZ343" i="3"/>
  <c r="AY343" i="3"/>
  <c r="AV343" i="3"/>
  <c r="AX343" i="3" s="1"/>
  <c r="BA342" i="3"/>
  <c r="AZ342" i="3"/>
  <c r="AY342" i="3"/>
  <c r="AV342" i="3"/>
  <c r="AX342" i="3" s="1"/>
  <c r="BA341" i="3"/>
  <c r="AZ341" i="3"/>
  <c r="AY341" i="3"/>
  <c r="AV341" i="3"/>
  <c r="AX341" i="3" s="1"/>
  <c r="BA340" i="3"/>
  <c r="AZ340" i="3"/>
  <c r="AY340" i="3"/>
  <c r="AV340" i="3"/>
  <c r="AX340" i="3" s="1"/>
  <c r="BA339" i="3"/>
  <c r="AZ339" i="3"/>
  <c r="AY339" i="3"/>
  <c r="AV339" i="3"/>
  <c r="AX339" i="3" s="1"/>
  <c r="BA338" i="3"/>
  <c r="AZ338" i="3"/>
  <c r="AY338" i="3"/>
  <c r="AV338" i="3"/>
  <c r="AX338" i="3" s="1"/>
  <c r="BA337" i="3"/>
  <c r="AZ337" i="3"/>
  <c r="AY337" i="3"/>
  <c r="AV337" i="3"/>
  <c r="AX337" i="3" s="1"/>
  <c r="BA336" i="3"/>
  <c r="AZ336" i="3"/>
  <c r="AY336" i="3"/>
  <c r="AV336" i="3"/>
  <c r="AX336" i="3" s="1"/>
  <c r="BA335" i="3"/>
  <c r="AZ335" i="3"/>
  <c r="AY335" i="3"/>
  <c r="AV335" i="3"/>
  <c r="AX335" i="3" s="1"/>
  <c r="BA334" i="3"/>
  <c r="AZ334" i="3"/>
  <c r="AY334" i="3"/>
  <c r="AV334" i="3"/>
  <c r="AX334" i="3" s="1"/>
  <c r="BA333" i="3"/>
  <c r="AZ333" i="3"/>
  <c r="AY333" i="3"/>
  <c r="AV333" i="3"/>
  <c r="AX333" i="3" s="1"/>
  <c r="BA332" i="3"/>
  <c r="AZ332" i="3"/>
  <c r="AY332" i="3"/>
  <c r="AV332" i="3"/>
  <c r="AX332" i="3" s="1"/>
  <c r="BA331" i="3"/>
  <c r="AZ331" i="3"/>
  <c r="AY331" i="3"/>
  <c r="AV331" i="3"/>
  <c r="AX331" i="3" s="1"/>
  <c r="BA330" i="3"/>
  <c r="AZ330" i="3"/>
  <c r="AY330" i="3"/>
  <c r="AV330" i="3"/>
  <c r="AX330" i="3" s="1"/>
  <c r="BA329" i="3"/>
  <c r="AZ329" i="3"/>
  <c r="AY329" i="3"/>
  <c r="AV329" i="3"/>
  <c r="AX329" i="3" s="1"/>
  <c r="BA328" i="3"/>
  <c r="AZ328" i="3"/>
  <c r="AY328" i="3"/>
  <c r="AV328" i="3"/>
  <c r="AX328" i="3" s="1"/>
  <c r="BA327" i="3"/>
  <c r="AZ327" i="3"/>
  <c r="AY327" i="3"/>
  <c r="AV327" i="3"/>
  <c r="AX327" i="3" s="1"/>
  <c r="BA326" i="3"/>
  <c r="AZ326" i="3"/>
  <c r="AY326" i="3"/>
  <c r="AV326" i="3"/>
  <c r="AX326" i="3" s="1"/>
  <c r="BA325" i="3"/>
  <c r="AZ325" i="3"/>
  <c r="AY325" i="3"/>
  <c r="AV325" i="3"/>
  <c r="AX325" i="3" s="1"/>
  <c r="BA324" i="3"/>
  <c r="AZ324" i="3"/>
  <c r="AY324" i="3"/>
  <c r="AV324" i="3"/>
  <c r="AX324" i="3" s="1"/>
  <c r="BA323" i="3"/>
  <c r="AZ323" i="3"/>
  <c r="AY323" i="3"/>
  <c r="AV323" i="3"/>
  <c r="AX323" i="3" s="1"/>
  <c r="BA322" i="3"/>
  <c r="AZ322" i="3"/>
  <c r="AY322" i="3"/>
  <c r="AV322" i="3"/>
  <c r="AX322" i="3" s="1"/>
  <c r="BA321" i="3"/>
  <c r="AZ321" i="3"/>
  <c r="AY321" i="3"/>
  <c r="AV321" i="3"/>
  <c r="AX321" i="3" s="1"/>
  <c r="BA320" i="3"/>
  <c r="AZ320" i="3"/>
  <c r="AY320" i="3"/>
  <c r="AV320" i="3"/>
  <c r="AX320" i="3" s="1"/>
  <c r="BA319" i="3"/>
  <c r="AZ319" i="3"/>
  <c r="AY319" i="3"/>
  <c r="AV319" i="3"/>
  <c r="AX319" i="3" s="1"/>
  <c r="BA318" i="3"/>
  <c r="AZ318" i="3"/>
  <c r="AY318" i="3"/>
  <c r="AV318" i="3"/>
  <c r="AX318" i="3" s="1"/>
  <c r="BA317" i="3"/>
  <c r="AZ317" i="3"/>
  <c r="AY317" i="3"/>
  <c r="AV317" i="3"/>
  <c r="AX317" i="3" s="1"/>
  <c r="BA316" i="3"/>
  <c r="AZ316" i="3"/>
  <c r="AY316" i="3"/>
  <c r="AV316" i="3"/>
  <c r="AX316" i="3" s="1"/>
  <c r="BA315" i="3"/>
  <c r="AZ315" i="3"/>
  <c r="AY315" i="3"/>
  <c r="AV315" i="3"/>
  <c r="AX315" i="3" s="1"/>
  <c r="BA314" i="3"/>
  <c r="AZ314" i="3"/>
  <c r="AY314" i="3"/>
  <c r="AV314" i="3"/>
  <c r="AX314" i="3" s="1"/>
  <c r="BA313" i="3"/>
  <c r="AZ313" i="3"/>
  <c r="AY313" i="3"/>
  <c r="AV313" i="3"/>
  <c r="AX313" i="3" s="1"/>
  <c r="BA312" i="3"/>
  <c r="AZ312" i="3"/>
  <c r="AY312" i="3"/>
  <c r="AV312" i="3"/>
  <c r="AX312" i="3" s="1"/>
  <c r="BA311" i="3"/>
  <c r="AZ311" i="3"/>
  <c r="AY311" i="3"/>
  <c r="AV311" i="3"/>
  <c r="AX311" i="3" s="1"/>
  <c r="BA310" i="3"/>
  <c r="AZ310" i="3"/>
  <c r="AY310" i="3"/>
  <c r="AV310" i="3"/>
  <c r="AX310" i="3" s="1"/>
  <c r="BA309" i="3"/>
  <c r="AZ309" i="3"/>
  <c r="AY309" i="3"/>
  <c r="AV309" i="3"/>
  <c r="AX309" i="3" s="1"/>
  <c r="BA308" i="3"/>
  <c r="AZ308" i="3"/>
  <c r="AY308" i="3"/>
  <c r="AV308" i="3"/>
  <c r="AX308" i="3" s="1"/>
  <c r="BA307" i="3"/>
  <c r="AZ307" i="3"/>
  <c r="AY307" i="3"/>
  <c r="AV307" i="3"/>
  <c r="AX307" i="3" s="1"/>
  <c r="BA306" i="3"/>
  <c r="AZ306" i="3"/>
  <c r="AY306" i="3"/>
  <c r="AV306" i="3"/>
  <c r="AX306" i="3" s="1"/>
  <c r="BA305" i="3"/>
  <c r="AZ305" i="3"/>
  <c r="AY305" i="3"/>
  <c r="AV305" i="3"/>
  <c r="AX305" i="3" s="1"/>
  <c r="BA304" i="3"/>
  <c r="AZ304" i="3"/>
  <c r="AY304" i="3"/>
  <c r="AV304" i="3"/>
  <c r="AX304" i="3" s="1"/>
  <c r="BA303" i="3"/>
  <c r="AZ303" i="3"/>
  <c r="AY303" i="3"/>
  <c r="AV303" i="3"/>
  <c r="AX303" i="3" s="1"/>
  <c r="BA302" i="3"/>
  <c r="AZ302" i="3"/>
  <c r="AY302" i="3"/>
  <c r="AV302" i="3"/>
  <c r="AX302" i="3" s="1"/>
  <c r="BA301" i="3"/>
  <c r="AZ301" i="3"/>
  <c r="AY301" i="3"/>
  <c r="AV301" i="3"/>
  <c r="AX301" i="3" s="1"/>
  <c r="BA300" i="3"/>
  <c r="AZ300" i="3"/>
  <c r="AY300" i="3"/>
  <c r="AV300" i="3"/>
  <c r="AX300" i="3" s="1"/>
  <c r="BA299" i="3"/>
  <c r="AZ299" i="3"/>
  <c r="AY299" i="3"/>
  <c r="AV299" i="3"/>
  <c r="AX299" i="3" s="1"/>
  <c r="BA298" i="3"/>
  <c r="AZ298" i="3"/>
  <c r="AY298" i="3"/>
  <c r="AV298" i="3"/>
  <c r="AX298" i="3" s="1"/>
  <c r="BA297" i="3"/>
  <c r="AZ297" i="3"/>
  <c r="AY297" i="3"/>
  <c r="AV297" i="3"/>
  <c r="AX297" i="3" s="1"/>
  <c r="BA296" i="3"/>
  <c r="AZ296" i="3"/>
  <c r="AY296" i="3"/>
  <c r="AV296" i="3"/>
  <c r="AX296" i="3" s="1"/>
  <c r="BA295" i="3"/>
  <c r="AZ295" i="3"/>
  <c r="AY295" i="3"/>
  <c r="AV295" i="3"/>
  <c r="AX295" i="3" s="1"/>
  <c r="BA294" i="3"/>
  <c r="AZ294" i="3"/>
  <c r="AY294" i="3"/>
  <c r="AV294" i="3"/>
  <c r="AX294" i="3" s="1"/>
  <c r="BA293" i="3"/>
  <c r="AZ293" i="3"/>
  <c r="AY293" i="3"/>
  <c r="AV293" i="3"/>
  <c r="AX293" i="3" s="1"/>
  <c r="BA292" i="3"/>
  <c r="AZ292" i="3"/>
  <c r="AY292" i="3"/>
  <c r="AV292" i="3"/>
  <c r="AX292" i="3" s="1"/>
  <c r="BA291" i="3"/>
  <c r="AZ291" i="3"/>
  <c r="AY291" i="3"/>
  <c r="AV291" i="3"/>
  <c r="AX291" i="3" s="1"/>
  <c r="BA290" i="3"/>
  <c r="AZ290" i="3"/>
  <c r="AY290" i="3"/>
  <c r="AV290" i="3"/>
  <c r="AX290" i="3" s="1"/>
  <c r="BA289" i="3"/>
  <c r="AZ289" i="3"/>
  <c r="AY289" i="3"/>
  <c r="AV289" i="3"/>
  <c r="AX289" i="3" s="1"/>
  <c r="BA288" i="3"/>
  <c r="AZ288" i="3"/>
  <c r="AY288" i="3"/>
  <c r="AV288" i="3"/>
  <c r="AX288" i="3" s="1"/>
  <c r="BA287" i="3"/>
  <c r="AZ287" i="3"/>
  <c r="AY287" i="3"/>
  <c r="AV287" i="3"/>
  <c r="AX287" i="3" s="1"/>
  <c r="BA286" i="3"/>
  <c r="AZ286" i="3"/>
  <c r="AY286" i="3"/>
  <c r="AV286" i="3"/>
  <c r="AX286" i="3" s="1"/>
  <c r="BA285" i="3"/>
  <c r="AZ285" i="3"/>
  <c r="AY285" i="3"/>
  <c r="AV285" i="3"/>
  <c r="AX285" i="3" s="1"/>
  <c r="BA284" i="3"/>
  <c r="AZ284" i="3"/>
  <c r="AY284" i="3"/>
  <c r="AV284" i="3"/>
  <c r="AX284" i="3" s="1"/>
  <c r="BA283" i="3"/>
  <c r="AZ283" i="3"/>
  <c r="AY283" i="3"/>
  <c r="AV283" i="3"/>
  <c r="AX283" i="3" s="1"/>
  <c r="AZ282" i="3"/>
  <c r="AY282" i="3"/>
  <c r="AZ281" i="3"/>
  <c r="BA280" i="3"/>
  <c r="AZ280" i="3"/>
  <c r="AV280" i="3"/>
  <c r="AX280" i="3" s="1"/>
  <c r="AZ279" i="3"/>
  <c r="BA278" i="3"/>
  <c r="AZ278" i="3"/>
  <c r="AY278" i="3"/>
  <c r="AZ277" i="3"/>
  <c r="AV277" i="3"/>
  <c r="AX277" i="3" s="1"/>
  <c r="AZ276" i="3"/>
  <c r="AV276" i="3"/>
  <c r="AX276" i="3" s="1"/>
  <c r="AZ275" i="3"/>
  <c r="AV275" i="3"/>
  <c r="AX275" i="3" s="1"/>
  <c r="AZ274" i="3"/>
  <c r="AZ273" i="3"/>
  <c r="AV273" i="3"/>
  <c r="AX273" i="3" s="1"/>
  <c r="AZ272" i="3"/>
  <c r="AV272" i="3"/>
  <c r="AX272" i="3" s="1"/>
  <c r="BA271" i="3"/>
  <c r="AY271" i="3"/>
  <c r="BA270" i="3"/>
  <c r="AY270" i="3"/>
  <c r="AZ269" i="3"/>
  <c r="AV269" i="3"/>
  <c r="AX269" i="3" s="1"/>
  <c r="AZ268" i="3"/>
  <c r="AV268" i="3"/>
  <c r="AX268" i="3" s="1"/>
  <c r="AZ267" i="3"/>
  <c r="AV267" i="3"/>
  <c r="AX267" i="3" s="1"/>
  <c r="AZ266" i="3"/>
  <c r="AV266" i="3"/>
  <c r="AX266" i="3" s="1"/>
  <c r="AZ265" i="3"/>
  <c r="AY265" i="3"/>
  <c r="BA264" i="3"/>
  <c r="AY264" i="3"/>
  <c r="AV264" i="3"/>
  <c r="AX264" i="3" s="1"/>
  <c r="AZ263" i="3"/>
  <c r="AV263" i="3"/>
  <c r="AX263" i="3" s="1"/>
  <c r="BA262" i="3"/>
  <c r="AY262" i="3"/>
  <c r="BA261" i="3"/>
  <c r="AV261" i="3"/>
  <c r="AX261" i="3" s="1"/>
  <c r="BA260" i="3"/>
  <c r="AZ260" i="3"/>
  <c r="AV260" i="3"/>
  <c r="AX260" i="3" s="1"/>
  <c r="AZ259" i="3"/>
  <c r="AY259" i="3"/>
  <c r="AZ258" i="3"/>
  <c r="AY258" i="3"/>
  <c r="AZ257" i="3"/>
  <c r="AV257" i="3"/>
  <c r="AX257" i="3" s="1"/>
  <c r="BA256" i="3"/>
  <c r="AV256" i="3"/>
  <c r="AX256" i="3" s="1"/>
  <c r="BA255" i="3"/>
  <c r="AV255" i="3"/>
  <c r="AX255" i="3" s="1"/>
  <c r="AZ254" i="3"/>
  <c r="AV254" i="3"/>
  <c r="AX254" i="3" s="1"/>
  <c r="BA253" i="3"/>
  <c r="AV253" i="3"/>
  <c r="AX253" i="3" s="1"/>
  <c r="AZ252" i="3"/>
  <c r="AZ251" i="3"/>
  <c r="AV251" i="3"/>
  <c r="AX251" i="3" s="1"/>
  <c r="BA250" i="3"/>
  <c r="AZ250" i="3"/>
  <c r="AY250" i="3"/>
  <c r="AV250" i="3"/>
  <c r="AX250" i="3" s="1"/>
  <c r="BA249" i="3"/>
  <c r="AZ249" i="3"/>
  <c r="AY249" i="3"/>
  <c r="AZ248" i="3"/>
  <c r="AV248" i="3"/>
  <c r="AX248" i="3" s="1"/>
  <c r="AZ247" i="3"/>
  <c r="AV247" i="3"/>
  <c r="AX247" i="3" s="1"/>
  <c r="BA246" i="3"/>
  <c r="AZ245" i="3"/>
  <c r="AV245" i="3"/>
  <c r="AX245" i="3" s="1"/>
  <c r="BA244" i="3"/>
  <c r="AY244" i="3"/>
  <c r="AZ243" i="3"/>
  <c r="AV243" i="3"/>
  <c r="AX243" i="3" s="1"/>
  <c r="AZ242" i="3"/>
  <c r="BA241" i="3"/>
  <c r="AY241" i="3"/>
  <c r="BA240" i="3"/>
  <c r="AY240" i="3"/>
  <c r="AY239" i="3"/>
  <c r="AV239" i="3"/>
  <c r="AX239" i="3" s="1"/>
  <c r="AZ238" i="3"/>
  <c r="AV238" i="3"/>
  <c r="AX238" i="3" s="1"/>
  <c r="BA237" i="3"/>
  <c r="AY237" i="3"/>
  <c r="AV237" i="3"/>
  <c r="AX237" i="3" s="1"/>
  <c r="BA236" i="3"/>
  <c r="AY236" i="3"/>
  <c r="AV236" i="3"/>
  <c r="AX236" i="3" s="1"/>
  <c r="AZ235" i="3"/>
  <c r="AV235" i="3"/>
  <c r="AX235" i="3" s="1"/>
  <c r="BA234" i="3"/>
  <c r="AZ234" i="3"/>
  <c r="AY234" i="3"/>
  <c r="AZ233" i="3"/>
  <c r="BA232" i="3"/>
  <c r="AY231" i="3"/>
  <c r="AV231" i="3"/>
  <c r="AX231" i="3" s="1"/>
  <c r="BA230" i="3"/>
  <c r="AY230" i="3"/>
  <c r="AZ229" i="3"/>
  <c r="AY229" i="3"/>
  <c r="BA228" i="3"/>
  <c r="AY228" i="3"/>
  <c r="BA227" i="3"/>
  <c r="AY227" i="3"/>
  <c r="AV227" i="3"/>
  <c r="AX227" i="3" s="1"/>
  <c r="BA226" i="3"/>
  <c r="AY226" i="3"/>
  <c r="AV226" i="3"/>
  <c r="AX226" i="3" s="1"/>
  <c r="AZ225" i="3"/>
  <c r="AZ224" i="3"/>
  <c r="AY224" i="3"/>
  <c r="BA223" i="3"/>
  <c r="AY223" i="3"/>
  <c r="AV223" i="3"/>
  <c r="AX223" i="3" s="1"/>
  <c r="BA222" i="3"/>
  <c r="AY222" i="3"/>
  <c r="BA221" i="3"/>
  <c r="BA220" i="3"/>
  <c r="AZ220" i="3"/>
  <c r="AY220" i="3"/>
  <c r="AV220" i="3"/>
  <c r="AX220" i="3" s="1"/>
  <c r="BA219" i="3"/>
  <c r="AY219" i="3"/>
  <c r="AV219" i="3"/>
  <c r="AX219" i="3" s="1"/>
  <c r="BA218" i="3"/>
  <c r="AY218" i="3"/>
  <c r="AV218" i="3"/>
  <c r="AX218" i="3" s="1"/>
  <c r="AZ217" i="3"/>
  <c r="AV217" i="3"/>
  <c r="AX217" i="3" s="1"/>
  <c r="BA215" i="3"/>
  <c r="AY215" i="3"/>
  <c r="BA214" i="3"/>
  <c r="AY214" i="3"/>
  <c r="AZ213" i="3"/>
  <c r="AV213" i="3"/>
  <c r="AX213" i="3" s="1"/>
  <c r="AZ212" i="3"/>
  <c r="AY212" i="3"/>
  <c r="AZ211" i="3"/>
  <c r="AY211" i="3"/>
  <c r="BA210" i="3"/>
  <c r="AY210" i="3"/>
  <c r="BA209" i="3"/>
  <c r="AZ209" i="3"/>
  <c r="AY209" i="3"/>
  <c r="AV209" i="3"/>
  <c r="AX209" i="3" s="1"/>
  <c r="AZ208" i="3"/>
  <c r="AV208" i="3"/>
  <c r="AX208" i="3" s="1"/>
  <c r="BA206" i="3"/>
  <c r="AZ206" i="3"/>
  <c r="AV206" i="3"/>
  <c r="AX206" i="3" s="1"/>
  <c r="BA205" i="3"/>
  <c r="AY205" i="3"/>
  <c r="AV205" i="3"/>
  <c r="AX205" i="3" s="1"/>
  <c r="AV204" i="3"/>
  <c r="AX204" i="3" s="1"/>
  <c r="BA203" i="3"/>
  <c r="AZ203" i="3"/>
  <c r="AY202" i="3"/>
  <c r="BA201" i="3"/>
  <c r="AZ201" i="3"/>
  <c r="AY201" i="3"/>
  <c r="AV201" i="3"/>
  <c r="AX201" i="3" s="1"/>
  <c r="BA200" i="3"/>
  <c r="AZ200" i="3"/>
  <c r="AV200" i="3"/>
  <c r="AX200" i="3" s="1"/>
  <c r="AY199" i="3"/>
  <c r="AV199" i="3"/>
  <c r="AX199" i="3" s="1"/>
  <c r="AY198" i="3"/>
  <c r="AV198" i="3"/>
  <c r="AX198" i="3" s="1"/>
  <c r="AV197" i="3"/>
  <c r="AX197" i="3" s="1"/>
  <c r="AY196" i="3"/>
  <c r="AV196" i="3"/>
  <c r="AX196" i="3" s="1"/>
  <c r="AZ195" i="3"/>
  <c r="AV195" i="3"/>
  <c r="AX195" i="3" s="1"/>
  <c r="BA194" i="3"/>
  <c r="AZ194" i="3"/>
  <c r="AY194" i="3"/>
  <c r="BA193" i="3"/>
  <c r="AZ193" i="3"/>
  <c r="AY193" i="3"/>
  <c r="AY192" i="3"/>
  <c r="AV192" i="3"/>
  <c r="AX192" i="3" s="1"/>
  <c r="AZ191" i="3"/>
  <c r="AY191" i="3"/>
  <c r="AV191" i="3"/>
  <c r="AX191" i="3" s="1"/>
  <c r="BA190" i="3"/>
  <c r="AZ190" i="3"/>
  <c r="AV190" i="3"/>
  <c r="AX190" i="3" s="1"/>
  <c r="BA189" i="3"/>
  <c r="AY189" i="3"/>
  <c r="AV189" i="3"/>
  <c r="AX189" i="3" s="1"/>
  <c r="AY188" i="3"/>
  <c r="AV188" i="3"/>
  <c r="AX188" i="3" s="1"/>
  <c r="AV186" i="3"/>
  <c r="AX186" i="3" s="1"/>
  <c r="BA185" i="3"/>
  <c r="AY185" i="3"/>
  <c r="BA184" i="3"/>
  <c r="AZ184" i="3"/>
  <c r="AV184" i="3"/>
  <c r="AX184" i="3" s="1"/>
  <c r="AY183" i="3"/>
  <c r="AV182" i="3"/>
  <c r="AX182" i="3" s="1"/>
  <c r="AY181" i="3"/>
  <c r="AV181" i="3"/>
  <c r="AX181" i="3" s="1"/>
  <c r="AY180" i="3"/>
  <c r="AV180" i="3"/>
  <c r="AX180" i="3" s="1"/>
  <c r="BA179" i="3"/>
  <c r="AZ179" i="3"/>
  <c r="BA178" i="3"/>
  <c r="AY178" i="3"/>
  <c r="AZ177" i="3"/>
  <c r="AV176" i="3"/>
  <c r="AX176" i="3" s="1"/>
  <c r="BA175" i="3"/>
  <c r="AZ175" i="3"/>
  <c r="AY175" i="3"/>
  <c r="BA174" i="3"/>
  <c r="AZ174" i="3"/>
  <c r="AV174" i="3"/>
  <c r="AX174" i="3" s="1"/>
  <c r="BA173" i="3"/>
  <c r="AZ173" i="3"/>
  <c r="AV173" i="3"/>
  <c r="AX173" i="3" s="1"/>
  <c r="AZ172" i="3"/>
  <c r="BA171" i="3"/>
  <c r="AZ171" i="3"/>
  <c r="AY171" i="3"/>
  <c r="AV171" i="3"/>
  <c r="AX171" i="3" s="1"/>
  <c r="AZ170" i="3"/>
  <c r="AV170" i="3"/>
  <c r="AX170" i="3" s="1"/>
  <c r="AY169" i="3"/>
  <c r="BA168" i="3"/>
  <c r="AZ168" i="3"/>
  <c r="AY168" i="3"/>
  <c r="AY167" i="3"/>
  <c r="AV167" i="3"/>
  <c r="AX167" i="3" s="1"/>
  <c r="BA166" i="3"/>
  <c r="AZ166" i="3"/>
  <c r="AV166" i="3"/>
  <c r="AX166" i="3" s="1"/>
  <c r="BA165" i="3"/>
  <c r="AZ165" i="3"/>
  <c r="AZ164" i="3"/>
  <c r="AV164" i="3"/>
  <c r="AX164" i="3" s="1"/>
  <c r="BA163" i="3"/>
  <c r="AZ163" i="3"/>
  <c r="AV163" i="3"/>
  <c r="AX163" i="3" s="1"/>
  <c r="BA162" i="3"/>
  <c r="AY162" i="3"/>
  <c r="AV162" i="3"/>
  <c r="AX162" i="3" s="1"/>
  <c r="AY161" i="3"/>
  <c r="AV161" i="3"/>
  <c r="AX161" i="3" s="1"/>
  <c r="BA160" i="3"/>
  <c r="AZ160" i="3"/>
  <c r="AV160" i="3"/>
  <c r="AX160" i="3" s="1"/>
  <c r="AV159" i="3"/>
  <c r="AX159" i="3" s="1"/>
  <c r="AZ158" i="3"/>
  <c r="AV158" i="3"/>
  <c r="AX158" i="3" s="1"/>
  <c r="BA157" i="3"/>
  <c r="AZ157" i="3"/>
  <c r="AV157" i="3"/>
  <c r="AX157" i="3" s="1"/>
  <c r="BA156" i="3"/>
  <c r="AZ156" i="3"/>
  <c r="AV156" i="3"/>
  <c r="AX156" i="3" s="1"/>
  <c r="AY155" i="3"/>
  <c r="AZ154" i="3"/>
  <c r="AV154" i="3"/>
  <c r="AX154" i="3" s="1"/>
  <c r="BA153" i="3"/>
  <c r="AY153" i="3"/>
  <c r="BA152" i="3"/>
  <c r="AZ152" i="3"/>
  <c r="AY152" i="3"/>
  <c r="AV151" i="3"/>
  <c r="AX151" i="3" s="1"/>
  <c r="AY150" i="3"/>
  <c r="AV150" i="3"/>
  <c r="AX150" i="3" s="1"/>
  <c r="AY149" i="3"/>
  <c r="AV149" i="3"/>
  <c r="AX149" i="3" s="1"/>
  <c r="BA147" i="3"/>
  <c r="AY147" i="3"/>
  <c r="AZ146" i="3"/>
  <c r="AV146" i="3"/>
  <c r="AX146" i="3" s="1"/>
  <c r="AV145" i="3"/>
  <c r="AX145" i="3" s="1"/>
  <c r="AV144" i="3"/>
  <c r="AX144" i="3" s="1"/>
  <c r="BA143" i="3"/>
  <c r="AZ143" i="3"/>
  <c r="AY143" i="3"/>
  <c r="AY141" i="3"/>
  <c r="AV141" i="3"/>
  <c r="AX141" i="3" s="1"/>
  <c r="AY140" i="3"/>
  <c r="BA139" i="3"/>
  <c r="AZ139" i="3"/>
  <c r="AV139" i="3"/>
  <c r="AX139" i="3" s="1"/>
  <c r="AZ138" i="3"/>
  <c r="AV138" i="3"/>
  <c r="AX138" i="3" s="1"/>
  <c r="BA136" i="3"/>
  <c r="AZ136" i="3"/>
  <c r="AY136" i="3"/>
  <c r="AV136" i="3"/>
  <c r="AX136" i="3" s="1"/>
  <c r="AY135" i="3"/>
  <c r="AZ134" i="3"/>
  <c r="BA133" i="3"/>
  <c r="AZ133" i="3"/>
  <c r="AV132" i="3"/>
  <c r="AX132" i="3" s="1"/>
  <c r="BA131" i="3"/>
  <c r="AZ124" i="3"/>
  <c r="BA123" i="3"/>
  <c r="AZ123" i="3"/>
  <c r="AV123" i="3"/>
  <c r="AX123" i="3" s="1"/>
  <c r="BA122" i="3"/>
  <c r="AZ122" i="3"/>
  <c r="AY122" i="3"/>
  <c r="AY121" i="3"/>
  <c r="BA120" i="3"/>
  <c r="AY120" i="3"/>
  <c r="AY119" i="3"/>
  <c r="AV119" i="3"/>
  <c r="AX119" i="3" s="1"/>
  <c r="AZ118" i="3"/>
  <c r="AV118" i="3"/>
  <c r="AX118" i="3" s="1"/>
  <c r="BA117" i="3"/>
  <c r="AZ117" i="3"/>
  <c r="BA116" i="3"/>
  <c r="AZ116" i="3"/>
  <c r="AV115" i="3"/>
  <c r="AX115" i="3" s="1"/>
  <c r="BA114" i="3"/>
  <c r="AZ114" i="3"/>
  <c r="AV114" i="3"/>
  <c r="AX114" i="3" s="1"/>
  <c r="BA113" i="3"/>
  <c r="AY113" i="3"/>
  <c r="AV112" i="3"/>
  <c r="AX112" i="3" s="1"/>
  <c r="AZ111" i="3"/>
  <c r="AV111" i="3"/>
  <c r="AX111" i="3" s="1"/>
  <c r="AV110" i="3"/>
  <c r="AX110" i="3" s="1"/>
  <c r="BA109" i="3"/>
  <c r="AZ109" i="3"/>
  <c r="AV109" i="3"/>
  <c r="AX109" i="3" s="1"/>
  <c r="BA108" i="3"/>
  <c r="AY108" i="3"/>
  <c r="AY107" i="3"/>
  <c r="AV107" i="3"/>
  <c r="AX107" i="3" s="1"/>
  <c r="AY106" i="3"/>
  <c r="AV106" i="3"/>
  <c r="AX106" i="3" s="1"/>
  <c r="AY105" i="3"/>
  <c r="BA104" i="3"/>
  <c r="AV104" i="3"/>
  <c r="AX104" i="3" s="1"/>
  <c r="AY103" i="3"/>
  <c r="AY102" i="3"/>
  <c r="AV102" i="3"/>
  <c r="AX102" i="3" s="1"/>
  <c r="AV101" i="3"/>
  <c r="AX101" i="3" s="1"/>
  <c r="BA100" i="3"/>
  <c r="AZ100" i="3"/>
  <c r="AY100" i="3"/>
  <c r="BA99" i="3"/>
  <c r="AZ99" i="3"/>
  <c r="AY99" i="3"/>
  <c r="AV99" i="3"/>
  <c r="AX99" i="3" s="1"/>
  <c r="BA98" i="3"/>
  <c r="AZ98" i="3"/>
  <c r="AY98" i="3"/>
  <c r="AZ96" i="3"/>
  <c r="AV96" i="3"/>
  <c r="AX96" i="3" s="1"/>
  <c r="AV95" i="3"/>
  <c r="AX95" i="3" s="1"/>
  <c r="AZ94" i="3"/>
  <c r="AV94" i="3"/>
  <c r="AX94" i="3" s="1"/>
  <c r="AV93" i="3"/>
  <c r="AX93" i="3" s="1"/>
  <c r="AY92" i="3"/>
  <c r="AV92" i="3"/>
  <c r="AX92" i="3" s="1"/>
  <c r="AY91" i="3"/>
  <c r="BA90" i="3"/>
  <c r="AZ90" i="3"/>
  <c r="AV89" i="3"/>
  <c r="AX89" i="3" s="1"/>
  <c r="AZ88" i="3"/>
  <c r="BA87" i="3"/>
  <c r="AZ87" i="3"/>
  <c r="BA86" i="3"/>
  <c r="AZ86" i="3"/>
  <c r="AY86" i="3"/>
  <c r="AV86" i="3"/>
  <c r="AX86" i="3" s="1"/>
  <c r="BA85" i="3"/>
  <c r="AY85" i="3"/>
  <c r="AZ84" i="3"/>
  <c r="AV84" i="3"/>
  <c r="AX84" i="3" s="1"/>
  <c r="BA83" i="3"/>
  <c r="AZ83" i="3"/>
  <c r="AY83" i="3"/>
  <c r="AY82" i="3"/>
  <c r="AV82" i="3"/>
  <c r="AX82" i="3" s="1"/>
  <c r="AY81" i="3"/>
  <c r="BA80" i="3"/>
  <c r="AV80" i="3"/>
  <c r="AX80" i="3" s="1"/>
  <c r="AY79" i="3"/>
  <c r="AY78" i="3"/>
  <c r="AV78" i="3"/>
  <c r="AX78" i="3" s="1"/>
  <c r="BA77" i="3"/>
  <c r="AY77" i="3"/>
  <c r="BA76" i="3"/>
  <c r="AZ76" i="3"/>
  <c r="BA74" i="3"/>
  <c r="AZ74" i="3"/>
  <c r="AY74" i="3"/>
  <c r="AV74" i="3"/>
  <c r="AX74" i="3" s="1"/>
  <c r="BA73" i="3"/>
  <c r="AZ73" i="3"/>
  <c r="AY73" i="3"/>
  <c r="AZ72" i="3"/>
  <c r="AV72" i="3"/>
  <c r="AX72" i="3" s="1"/>
  <c r="BA69" i="3"/>
  <c r="AZ69" i="3"/>
  <c r="AY69" i="3"/>
  <c r="AV69" i="3"/>
  <c r="AX69" i="3" s="1"/>
  <c r="BA68" i="3"/>
  <c r="AY68" i="3"/>
  <c r="AV68" i="3"/>
  <c r="AX68" i="3" s="1"/>
  <c r="BA67" i="3"/>
  <c r="AY67" i="3"/>
  <c r="BA66" i="3"/>
  <c r="AZ66" i="3"/>
  <c r="AY66" i="3"/>
  <c r="BA65" i="3"/>
  <c r="AZ65" i="3"/>
  <c r="AY65" i="3"/>
  <c r="AV64" i="3"/>
  <c r="AX64" i="3" s="1"/>
  <c r="BA63" i="3"/>
  <c r="AZ63" i="3"/>
  <c r="AY63" i="3"/>
  <c r="AY62" i="3"/>
  <c r="BA61" i="3"/>
  <c r="AV61" i="3"/>
  <c r="AX61" i="3" s="1"/>
  <c r="BA60" i="3"/>
  <c r="AZ60" i="3"/>
  <c r="AY60" i="3"/>
  <c r="BA59" i="3"/>
  <c r="AZ59" i="3"/>
  <c r="AY59" i="3"/>
  <c r="AV59" i="3"/>
  <c r="AX59" i="3" s="1"/>
  <c r="BA58" i="3"/>
  <c r="AZ58" i="3"/>
  <c r="AZ57" i="3"/>
  <c r="BA56" i="3"/>
  <c r="AZ56" i="3"/>
  <c r="AV56" i="3"/>
  <c r="AX56" i="3" s="1"/>
  <c r="AY55" i="3"/>
  <c r="AV55" i="3"/>
  <c r="AX55" i="3" s="1"/>
  <c r="BA54" i="3"/>
  <c r="AV54" i="3"/>
  <c r="AX54" i="3" s="1"/>
  <c r="BA52" i="3"/>
  <c r="AZ52" i="3"/>
  <c r="AV52" i="3"/>
  <c r="AX52" i="3" s="1"/>
  <c r="AZ51" i="3"/>
  <c r="AV51" i="3"/>
  <c r="AX51" i="3" s="1"/>
  <c r="BA50" i="3"/>
  <c r="AZ50" i="3"/>
  <c r="AV50" i="3"/>
  <c r="AX50" i="3" s="1"/>
  <c r="AY48" i="3"/>
  <c r="BA47" i="3"/>
  <c r="AY47" i="3"/>
  <c r="AY46" i="3"/>
  <c r="AV46" i="3"/>
  <c r="AX46" i="3" s="1"/>
  <c r="BA45" i="3"/>
  <c r="AY45" i="3"/>
  <c r="AV45" i="3"/>
  <c r="AX45" i="3" s="1"/>
  <c r="AY44" i="3"/>
  <c r="AV44" i="3"/>
  <c r="AX44" i="3" s="1"/>
  <c r="AY43" i="3"/>
  <c r="AV43" i="3"/>
  <c r="AX43" i="3" s="1"/>
  <c r="AY42" i="3"/>
  <c r="BA41" i="3"/>
  <c r="AZ41" i="3"/>
  <c r="AY41" i="3"/>
  <c r="AV41" i="3"/>
  <c r="AX41" i="3" s="1"/>
  <c r="BA40" i="3"/>
  <c r="AZ40" i="3"/>
  <c r="AY40" i="3"/>
  <c r="AV40" i="3"/>
  <c r="AX40" i="3" s="1"/>
  <c r="BA39" i="3"/>
  <c r="AZ39" i="3"/>
  <c r="AY39" i="3"/>
  <c r="AV39" i="3"/>
  <c r="AX39" i="3" s="1"/>
  <c r="BA38" i="3"/>
  <c r="AZ38" i="3"/>
  <c r="AY38" i="3"/>
  <c r="AV38" i="3"/>
  <c r="AX38" i="3" s="1"/>
  <c r="BA37" i="3"/>
  <c r="AZ37" i="3"/>
  <c r="AY37" i="3"/>
  <c r="AV37" i="3"/>
  <c r="AX37" i="3" s="1"/>
  <c r="BA36" i="3"/>
  <c r="AZ36" i="3"/>
  <c r="AY36" i="3"/>
  <c r="AV36" i="3"/>
  <c r="AX36" i="3" s="1"/>
  <c r="BA35" i="3"/>
  <c r="AZ35" i="3"/>
  <c r="AY35" i="3"/>
  <c r="AV35" i="3"/>
  <c r="AX35" i="3" s="1"/>
  <c r="BA34" i="3"/>
  <c r="AZ34" i="3"/>
  <c r="AY34" i="3"/>
  <c r="AV34" i="3"/>
  <c r="AX34" i="3" s="1"/>
  <c r="BA33" i="3"/>
  <c r="AZ33" i="3"/>
  <c r="AY33" i="3"/>
  <c r="AV33" i="3"/>
  <c r="AX33" i="3" s="1"/>
  <c r="BA32" i="3"/>
  <c r="AZ32" i="3"/>
  <c r="AY32" i="3"/>
  <c r="AV32" i="3"/>
  <c r="AX32" i="3" s="1"/>
  <c r="BA31" i="3"/>
  <c r="AZ31" i="3"/>
  <c r="AY31" i="3"/>
  <c r="AV31" i="3"/>
  <c r="AX31" i="3" s="1"/>
  <c r="BA30" i="3"/>
  <c r="AZ30" i="3"/>
  <c r="AY30" i="3"/>
  <c r="AV30" i="3"/>
  <c r="AX30" i="3" s="1"/>
  <c r="BA29" i="3"/>
  <c r="AZ29" i="3"/>
  <c r="AY29" i="3"/>
  <c r="AV29" i="3"/>
  <c r="AX29" i="3" s="1"/>
  <c r="BA28" i="3"/>
  <c r="AZ28" i="3"/>
  <c r="AY28" i="3"/>
  <c r="AV28" i="3"/>
  <c r="AX28" i="3" s="1"/>
  <c r="BA27" i="3"/>
  <c r="AZ27" i="3"/>
  <c r="AY27" i="3"/>
  <c r="AV27" i="3"/>
  <c r="AX27" i="3" s="1"/>
  <c r="BA26" i="3"/>
  <c r="AY26" i="3"/>
  <c r="BA25" i="3"/>
  <c r="AY25" i="3"/>
  <c r="AV25" i="3"/>
  <c r="AX25" i="3" s="1"/>
  <c r="AV24" i="3"/>
  <c r="AX24" i="3" s="1"/>
  <c r="BA23" i="3"/>
  <c r="AZ23" i="3"/>
  <c r="AY23" i="3"/>
  <c r="AV23" i="3"/>
  <c r="AX23" i="3" s="1"/>
  <c r="BA22" i="3"/>
  <c r="AZ22" i="3"/>
  <c r="AY22" i="3"/>
  <c r="AV22" i="3"/>
  <c r="AX22" i="3" s="1"/>
  <c r="BA21" i="3"/>
  <c r="AZ21" i="3"/>
  <c r="AY21" i="3"/>
  <c r="AV21" i="3"/>
  <c r="AX21" i="3" s="1"/>
  <c r="BA20" i="3"/>
  <c r="AZ20" i="3"/>
  <c r="AY20" i="3"/>
  <c r="AV20" i="3"/>
  <c r="AX20" i="3" s="1"/>
  <c r="BA19" i="3"/>
  <c r="AZ19" i="3"/>
  <c r="AY19" i="3"/>
  <c r="AV19" i="3"/>
  <c r="AX19" i="3" s="1"/>
  <c r="BA18" i="3"/>
  <c r="AZ18" i="3"/>
  <c r="AY18" i="3"/>
  <c r="AZ17" i="3"/>
  <c r="AY17" i="3"/>
  <c r="AZ16" i="3"/>
  <c r="BA15" i="3"/>
  <c r="AZ15" i="3"/>
  <c r="AY15" i="3"/>
  <c r="AV15" i="3"/>
  <c r="AX15" i="3" s="1"/>
  <c r="AV14" i="3"/>
  <c r="AX14" i="3" s="1"/>
  <c r="AV13" i="3"/>
  <c r="AX13" i="3" s="1"/>
  <c r="AY12" i="3"/>
  <c r="AV12" i="3"/>
  <c r="AX12" i="3" s="1"/>
  <c r="AZ11" i="3"/>
  <c r="AV11" i="3"/>
  <c r="AX2780" i="2"/>
  <c r="AX2777" i="2"/>
  <c r="AX2774" i="2"/>
  <c r="AX2771" i="2"/>
  <c r="AX2768" i="2"/>
  <c r="AX2765" i="2"/>
  <c r="AX2762" i="2"/>
  <c r="AX2759" i="2"/>
  <c r="AX2756" i="2"/>
  <c r="AX2753" i="2"/>
  <c r="AX2750" i="2"/>
  <c r="AX2747" i="2"/>
  <c r="AX2745" i="2"/>
  <c r="AX2742" i="2"/>
  <c r="AX2739" i="2"/>
  <c r="AX2736" i="2"/>
  <c r="AX2733" i="2"/>
  <c r="AX2730" i="2"/>
  <c r="AX2727" i="2"/>
  <c r="AX2724" i="2"/>
  <c r="AX2721" i="2"/>
  <c r="AX2718" i="2"/>
  <c r="AX2715" i="2"/>
  <c r="AX2712" i="2"/>
  <c r="AX2709" i="2"/>
  <c r="AX2706" i="2"/>
  <c r="AX2703" i="2"/>
  <c r="AX2700" i="2"/>
  <c r="AX2697" i="2"/>
  <c r="AX2694" i="2"/>
  <c r="AX2691" i="2"/>
  <c r="AX2686" i="2"/>
  <c r="AX2683" i="2"/>
  <c r="AX2680" i="2"/>
  <c r="AX2677" i="2"/>
  <c r="AX2674" i="2"/>
  <c r="AX2671" i="2"/>
  <c r="AX2668" i="2"/>
  <c r="AX2665" i="2"/>
  <c r="AX2662" i="2"/>
  <c r="AX2659" i="2"/>
  <c r="AX2657" i="2"/>
  <c r="AX2654" i="2"/>
  <c r="AX2650" i="2"/>
  <c r="AX2647" i="2"/>
  <c r="AX2644" i="2"/>
  <c r="AX2641" i="2"/>
  <c r="AX2638" i="2"/>
  <c r="AX2623" i="2"/>
  <c r="AX2608" i="2"/>
  <c r="AX2593" i="2"/>
  <c r="AX2578" i="2"/>
  <c r="AX2563" i="2"/>
  <c r="AX2550" i="2"/>
  <c r="AX2537" i="2"/>
  <c r="AX2522" i="2"/>
  <c r="AX2517" i="2"/>
  <c r="AX2505" i="2"/>
  <c r="AX2490" i="2"/>
  <c r="AX2475" i="2"/>
  <c r="AX2473" i="2"/>
  <c r="AX2459" i="2"/>
  <c r="AX2458" i="2"/>
  <c r="AX2430" i="2"/>
  <c r="AX2429" i="2"/>
  <c r="AX2428" i="2"/>
  <c r="AX2414" i="2"/>
  <c r="AX2413" i="2"/>
  <c r="AX2400" i="2"/>
  <c r="AX2399" i="2"/>
  <c r="AX2384" i="2"/>
  <c r="AX2342" i="2"/>
  <c r="AX2338" i="2"/>
  <c r="AX2325" i="2"/>
  <c r="AX2308" i="2"/>
  <c r="AX2281" i="2"/>
  <c r="AX2280" i="2"/>
  <c r="AX2266" i="2"/>
  <c r="AX2233" i="2"/>
  <c r="AX2232" i="2"/>
  <c r="AX2230" i="2"/>
  <c r="AX2229" i="2"/>
  <c r="AX2216" i="2"/>
  <c r="AX2201" i="2"/>
  <c r="AX2183" i="2"/>
  <c r="AX2168" i="2"/>
  <c r="AX2152" i="2"/>
  <c r="BA282" i="3"/>
  <c r="AV282" i="3"/>
  <c r="AX282" i="3" s="1"/>
  <c r="BA281" i="3"/>
  <c r="AY281" i="3"/>
  <c r="AV281" i="3"/>
  <c r="AX281" i="3" s="1"/>
  <c r="AY280" i="3"/>
  <c r="BA279" i="3"/>
  <c r="AY279" i="3"/>
  <c r="AV279" i="3"/>
  <c r="AX279" i="3" s="1"/>
  <c r="AV278" i="3"/>
  <c r="AX278" i="3" s="1"/>
  <c r="BA277" i="3"/>
  <c r="AY277" i="3"/>
  <c r="BA276" i="3"/>
  <c r="AY276" i="3"/>
  <c r="BA275" i="3"/>
  <c r="AY275" i="3"/>
  <c r="BA274" i="3"/>
  <c r="AY274" i="3"/>
  <c r="AV274" i="3"/>
  <c r="AX274" i="3" s="1"/>
  <c r="BA273" i="3"/>
  <c r="AY273" i="3"/>
  <c r="BA272" i="3"/>
  <c r="AY272" i="3"/>
  <c r="AZ271" i="3"/>
  <c r="AV271" i="3"/>
  <c r="AX271" i="3" s="1"/>
  <c r="AZ270" i="3"/>
  <c r="AV270" i="3"/>
  <c r="AX270" i="3" s="1"/>
  <c r="BA269" i="3"/>
  <c r="AY269" i="3"/>
  <c r="BA268" i="3"/>
  <c r="AY268" i="3"/>
  <c r="BA267" i="3"/>
  <c r="AY267" i="3"/>
  <c r="BA266" i="3"/>
  <c r="AY266" i="3"/>
  <c r="BA265" i="3"/>
  <c r="AV265" i="3"/>
  <c r="AX265" i="3" s="1"/>
  <c r="AZ264" i="3"/>
  <c r="BA263" i="3"/>
  <c r="AY263" i="3"/>
  <c r="AZ262" i="3"/>
  <c r="AV262" i="3"/>
  <c r="AX262" i="3" s="1"/>
  <c r="AZ261" i="3"/>
  <c r="AY261" i="3"/>
  <c r="AY260" i="3"/>
  <c r="BA259" i="3"/>
  <c r="AV259" i="3"/>
  <c r="AX259" i="3" s="1"/>
  <c r="BA258" i="3"/>
  <c r="AV258" i="3"/>
  <c r="AX258" i="3" s="1"/>
  <c r="BA257" i="3"/>
  <c r="AY257" i="3"/>
  <c r="AZ256" i="3"/>
  <c r="AY256" i="3"/>
  <c r="AZ255" i="3"/>
  <c r="AY255" i="3"/>
  <c r="BA254" i="3"/>
  <c r="AY254" i="3"/>
  <c r="AZ253" i="3"/>
  <c r="AY253" i="3"/>
  <c r="BA252" i="3"/>
  <c r="AY252" i="3"/>
  <c r="AV252" i="3"/>
  <c r="AX252" i="3" s="1"/>
  <c r="BA251" i="3"/>
  <c r="AY251" i="3"/>
  <c r="AV249" i="3"/>
  <c r="AX249" i="3" s="1"/>
  <c r="BA248" i="3"/>
  <c r="AY248" i="3"/>
  <c r="BA247" i="3"/>
  <c r="AY247" i="3"/>
  <c r="AZ246" i="3"/>
  <c r="AY246" i="3"/>
  <c r="AV246" i="3"/>
  <c r="AX246" i="3" s="1"/>
  <c r="BA245" i="3"/>
  <c r="AY245" i="3"/>
  <c r="AZ244" i="3"/>
  <c r="AV244" i="3"/>
  <c r="AX244" i="3" s="1"/>
  <c r="BA243" i="3"/>
  <c r="AY243" i="3"/>
  <c r="BA242" i="3"/>
  <c r="AY242" i="3"/>
  <c r="AV242" i="3"/>
  <c r="AX242" i="3" s="1"/>
  <c r="AZ241" i="3"/>
  <c r="AV241" i="3"/>
  <c r="AX241" i="3" s="1"/>
  <c r="AZ240" i="3"/>
  <c r="AV240" i="3"/>
  <c r="AX240" i="3" s="1"/>
  <c r="BA239" i="3"/>
  <c r="AZ239" i="3"/>
  <c r="BA238" i="3"/>
  <c r="AY238" i="3"/>
  <c r="AZ237" i="3"/>
  <c r="AZ236" i="3"/>
  <c r="BA235" i="3"/>
  <c r="AY235" i="3"/>
  <c r="AV234" i="3"/>
  <c r="AX234" i="3" s="1"/>
  <c r="BA233" i="3"/>
  <c r="AY233" i="3"/>
  <c r="AV233" i="3"/>
  <c r="AX233" i="3" s="1"/>
  <c r="AZ232" i="3"/>
  <c r="AY232" i="3"/>
  <c r="AV232" i="3"/>
  <c r="AX232" i="3" s="1"/>
  <c r="BA231" i="3"/>
  <c r="AZ231" i="3"/>
  <c r="AZ230" i="3"/>
  <c r="AV230" i="3"/>
  <c r="AX230" i="3" s="1"/>
  <c r="BA229" i="3"/>
  <c r="AV229" i="3"/>
  <c r="AX229" i="3" s="1"/>
  <c r="AZ228" i="3"/>
  <c r="AV228" i="3"/>
  <c r="AX228" i="3" s="1"/>
  <c r="AZ227" i="3"/>
  <c r="AZ226" i="3"/>
  <c r="BA225" i="3"/>
  <c r="AY225" i="3"/>
  <c r="AV225" i="3"/>
  <c r="AX225" i="3" s="1"/>
  <c r="BA224" i="3"/>
  <c r="AV224" i="3"/>
  <c r="AX224" i="3" s="1"/>
  <c r="AZ223" i="3"/>
  <c r="AZ222" i="3"/>
  <c r="AV222" i="3"/>
  <c r="AX222" i="3" s="1"/>
  <c r="AZ221" i="3"/>
  <c r="AY221" i="3"/>
  <c r="AV221" i="3"/>
  <c r="AX221" i="3" s="1"/>
  <c r="AZ219" i="3"/>
  <c r="AZ218" i="3"/>
  <c r="BA217" i="3"/>
  <c r="AY217" i="3"/>
  <c r="BA216" i="3"/>
  <c r="AZ216" i="3"/>
  <c r="AY216" i="3"/>
  <c r="AV216" i="3"/>
  <c r="AX216" i="3" s="1"/>
  <c r="AZ215" i="3"/>
  <c r="AV215" i="3"/>
  <c r="AX215" i="3" s="1"/>
  <c r="AZ214" i="3"/>
  <c r="AV214" i="3"/>
  <c r="AX214" i="3" s="1"/>
  <c r="BA213" i="3"/>
  <c r="AY213" i="3"/>
  <c r="BA212" i="3"/>
  <c r="AV212" i="3"/>
  <c r="AX212" i="3" s="1"/>
  <c r="BA211" i="3"/>
  <c r="AV211" i="3"/>
  <c r="AX211" i="3" s="1"/>
  <c r="AZ210" i="3"/>
  <c r="AV210" i="3"/>
  <c r="AX210" i="3" s="1"/>
  <c r="BA208" i="3"/>
  <c r="AY208" i="3"/>
  <c r="BA207" i="3"/>
  <c r="AZ207" i="3"/>
  <c r="AY207" i="3"/>
  <c r="AV207" i="3"/>
  <c r="AX207" i="3" s="1"/>
  <c r="AY206" i="3"/>
  <c r="AZ205" i="3"/>
  <c r="BA204" i="3"/>
  <c r="AZ204" i="3"/>
  <c r="AY204" i="3"/>
  <c r="AY203" i="3"/>
  <c r="AV203" i="3"/>
  <c r="AX203" i="3" s="1"/>
  <c r="BA202" i="3"/>
  <c r="AZ202" i="3"/>
  <c r="AV202" i="3"/>
  <c r="AX202" i="3" s="1"/>
  <c r="AY200" i="3"/>
  <c r="BA199" i="3"/>
  <c r="AZ199" i="3"/>
  <c r="BA198" i="3"/>
  <c r="AZ198" i="3"/>
  <c r="BA197" i="3"/>
  <c r="AZ197" i="3"/>
  <c r="AY197" i="3"/>
  <c r="BA196" i="3"/>
  <c r="AZ196" i="3"/>
  <c r="BA195" i="3"/>
  <c r="AY195" i="3"/>
  <c r="AV194" i="3"/>
  <c r="AX194" i="3" s="1"/>
  <c r="AV193" i="3"/>
  <c r="AX193" i="3" s="1"/>
  <c r="BA192" i="3"/>
  <c r="AZ192" i="3"/>
  <c r="BA191" i="3"/>
  <c r="AY190" i="3"/>
  <c r="AZ189" i="3"/>
  <c r="BA188" i="3"/>
  <c r="AZ188" i="3"/>
  <c r="BA187" i="3"/>
  <c r="AZ187" i="3"/>
  <c r="AY187" i="3"/>
  <c r="AV187" i="3"/>
  <c r="AX187" i="3" s="1"/>
  <c r="BA186" i="3"/>
  <c r="AZ186" i="3"/>
  <c r="AY186" i="3"/>
  <c r="AZ185" i="3"/>
  <c r="AV185" i="3"/>
  <c r="AX185" i="3" s="1"/>
  <c r="AY184" i="3"/>
  <c r="BA183" i="3"/>
  <c r="AZ183" i="3"/>
  <c r="AV183" i="3"/>
  <c r="AX183" i="3" s="1"/>
  <c r="BA182" i="3"/>
  <c r="AZ182" i="3"/>
  <c r="AY182" i="3"/>
  <c r="BA181" i="3"/>
  <c r="AZ181" i="3"/>
  <c r="BA180" i="3"/>
  <c r="AZ180" i="3"/>
  <c r="AY179" i="3"/>
  <c r="AV179" i="3"/>
  <c r="AX179" i="3" s="1"/>
  <c r="AZ178" i="3"/>
  <c r="AV178" i="3"/>
  <c r="AX178" i="3" s="1"/>
  <c r="BA177" i="3"/>
  <c r="AY177" i="3"/>
  <c r="AV177" i="3"/>
  <c r="AX177" i="3" s="1"/>
  <c r="BA176" i="3"/>
  <c r="AZ176" i="3"/>
  <c r="AY176" i="3"/>
  <c r="AV175" i="3"/>
  <c r="AX175" i="3" s="1"/>
  <c r="AY174" i="3"/>
  <c r="AY173" i="3"/>
  <c r="BA172" i="3"/>
  <c r="AY172" i="3"/>
  <c r="AV172" i="3"/>
  <c r="AX172" i="3" s="1"/>
  <c r="BA170" i="3"/>
  <c r="AY170" i="3"/>
  <c r="BA169" i="3"/>
  <c r="AZ169" i="3"/>
  <c r="AV169" i="3"/>
  <c r="AX169" i="3" s="1"/>
  <c r="AV168" i="3"/>
  <c r="AX168" i="3" s="1"/>
  <c r="BA167" i="3"/>
  <c r="AZ167" i="3"/>
  <c r="AY166" i="3"/>
  <c r="AY165" i="3"/>
  <c r="AV165" i="3"/>
  <c r="AX165" i="3" s="1"/>
  <c r="BA164" i="3"/>
  <c r="AY164" i="3"/>
  <c r="AY163" i="3"/>
  <c r="AZ162" i="3"/>
  <c r="BA161" i="3"/>
  <c r="AZ161" i="3"/>
  <c r="AY160" i="3"/>
  <c r="BA159" i="3"/>
  <c r="AZ159" i="3"/>
  <c r="AY159" i="3"/>
  <c r="BA158" i="3"/>
  <c r="AY158" i="3"/>
  <c r="AY157" i="3"/>
  <c r="AY156" i="3"/>
  <c r="BA155" i="3"/>
  <c r="AZ155" i="3"/>
  <c r="AV155" i="3"/>
  <c r="AX155" i="3" s="1"/>
  <c r="BA154" i="3"/>
  <c r="AY154" i="3"/>
  <c r="AZ153" i="3"/>
  <c r="AV153" i="3"/>
  <c r="AX153" i="3" s="1"/>
  <c r="AV152" i="3"/>
  <c r="AX152" i="3" s="1"/>
  <c r="BA151" i="3"/>
  <c r="AZ151" i="3"/>
  <c r="AY151" i="3"/>
  <c r="BA150" i="3"/>
  <c r="AZ150" i="3"/>
  <c r="BA149" i="3"/>
  <c r="AZ149" i="3"/>
  <c r="BA148" i="3"/>
  <c r="AZ148" i="3"/>
  <c r="AY148" i="3"/>
  <c r="AV148" i="3"/>
  <c r="AX148" i="3" s="1"/>
  <c r="AZ147" i="3"/>
  <c r="AV147" i="3"/>
  <c r="AX147" i="3" s="1"/>
  <c r="BA146" i="3"/>
  <c r="AY146" i="3"/>
  <c r="BA145" i="3"/>
  <c r="AZ145" i="3"/>
  <c r="AY145" i="3"/>
  <c r="BA144" i="3"/>
  <c r="AZ144" i="3"/>
  <c r="AY144" i="3"/>
  <c r="AV143" i="3"/>
  <c r="AX143" i="3" s="1"/>
  <c r="BA142" i="3"/>
  <c r="AZ142" i="3"/>
  <c r="AY142" i="3"/>
  <c r="AV142" i="3"/>
  <c r="AX142" i="3" s="1"/>
  <c r="BA141" i="3"/>
  <c r="AZ141" i="3"/>
  <c r="BA140" i="3"/>
  <c r="AZ140" i="3"/>
  <c r="AV140" i="3"/>
  <c r="AX140" i="3" s="1"/>
  <c r="AY139" i="3"/>
  <c r="BA138" i="3"/>
  <c r="AY138" i="3"/>
  <c r="BA137" i="3"/>
  <c r="AZ137" i="3"/>
  <c r="AY137" i="3"/>
  <c r="AV137" i="3"/>
  <c r="AX137" i="3" s="1"/>
  <c r="BA135" i="3"/>
  <c r="AZ135" i="3"/>
  <c r="AV135" i="3"/>
  <c r="AX135" i="3" s="1"/>
  <c r="BA134" i="3"/>
  <c r="AY134" i="3"/>
  <c r="AV134" i="3"/>
  <c r="AX134" i="3" s="1"/>
  <c r="AY133" i="3"/>
  <c r="AV133" i="3"/>
  <c r="AX133" i="3" s="1"/>
  <c r="BA132" i="3"/>
  <c r="AZ132" i="3"/>
  <c r="AY132" i="3"/>
  <c r="AY131" i="3"/>
  <c r="AV131" i="3"/>
  <c r="AX131" i="3" s="1"/>
  <c r="BA130" i="3"/>
  <c r="AZ130" i="3"/>
  <c r="AY130" i="3"/>
  <c r="AV130" i="3"/>
  <c r="AX130" i="3" s="1"/>
  <c r="BA129" i="3"/>
  <c r="AZ129" i="3"/>
  <c r="AY129" i="3"/>
  <c r="AV129" i="3"/>
  <c r="AX129" i="3" s="1"/>
  <c r="BA128" i="3"/>
  <c r="AZ128" i="3"/>
  <c r="AY128" i="3"/>
  <c r="AV128" i="3"/>
  <c r="AX128" i="3" s="1"/>
  <c r="BA127" i="3"/>
  <c r="AZ127" i="3"/>
  <c r="AY127" i="3"/>
  <c r="AV127" i="3"/>
  <c r="AX127" i="3" s="1"/>
  <c r="BA126" i="3"/>
  <c r="AZ126" i="3"/>
  <c r="AY126" i="3"/>
  <c r="AV126" i="3"/>
  <c r="AX126" i="3" s="1"/>
  <c r="BA125" i="3"/>
  <c r="AZ125" i="3"/>
  <c r="AY125" i="3"/>
  <c r="AV125" i="3"/>
  <c r="AX125" i="3" s="1"/>
  <c r="BA124" i="3"/>
  <c r="AY124" i="3"/>
  <c r="AV124" i="3"/>
  <c r="AX124" i="3" s="1"/>
  <c r="AY123" i="3"/>
  <c r="AV122" i="3"/>
  <c r="AX122" i="3" s="1"/>
  <c r="BA121" i="3"/>
  <c r="AZ121" i="3"/>
  <c r="AV121" i="3"/>
  <c r="AX121" i="3" s="1"/>
  <c r="AZ120" i="3"/>
  <c r="AV120" i="3"/>
  <c r="AX120" i="3" s="1"/>
  <c r="BA119" i="3"/>
  <c r="AZ119" i="3"/>
  <c r="BA118" i="3"/>
  <c r="AY118" i="3"/>
  <c r="AY117" i="3"/>
  <c r="AV117" i="3"/>
  <c r="AX117" i="3" s="1"/>
  <c r="AY116" i="3"/>
  <c r="AV116" i="3"/>
  <c r="AX116" i="3" s="1"/>
  <c r="BA115" i="3"/>
  <c r="AZ115" i="3"/>
  <c r="AY115" i="3"/>
  <c r="AY114" i="3"/>
  <c r="AZ113" i="3"/>
  <c r="AV113" i="3"/>
  <c r="AX113" i="3" s="1"/>
  <c r="BA112" i="3"/>
  <c r="AZ112" i="3"/>
  <c r="AY112" i="3"/>
  <c r="BA111" i="3"/>
  <c r="AY111" i="3"/>
  <c r="BA110" i="3"/>
  <c r="AZ110" i="3"/>
  <c r="AY110" i="3"/>
  <c r="AY109" i="3"/>
  <c r="AZ108" i="3"/>
  <c r="AV108" i="3"/>
  <c r="AX108" i="3" s="1"/>
  <c r="BA107" i="3"/>
  <c r="AZ107" i="3"/>
  <c r="BA106" i="3"/>
  <c r="AZ106" i="3"/>
  <c r="BA105" i="3"/>
  <c r="AZ105" i="3"/>
  <c r="AV105" i="3"/>
  <c r="AX105" i="3" s="1"/>
  <c r="AZ104" i="3"/>
  <c r="AY104" i="3"/>
  <c r="BA103" i="3"/>
  <c r="AZ103" i="3"/>
  <c r="AV103" i="3"/>
  <c r="AX103" i="3" s="1"/>
  <c r="BA102" i="3"/>
  <c r="AZ102" i="3"/>
  <c r="BA101" i="3"/>
  <c r="AZ101" i="3"/>
  <c r="AY101" i="3"/>
  <c r="AV100" i="3"/>
  <c r="AX100" i="3" s="1"/>
  <c r="AV98" i="3"/>
  <c r="AX98" i="3" s="1"/>
  <c r="BA97" i="3"/>
  <c r="AZ97" i="3"/>
  <c r="AY97" i="3"/>
  <c r="AV97" i="3"/>
  <c r="AX97" i="3" s="1"/>
  <c r="BA96" i="3"/>
  <c r="AY96" i="3"/>
  <c r="BA95" i="3"/>
  <c r="AZ95" i="3"/>
  <c r="AY95" i="3"/>
  <c r="BA94" i="3"/>
  <c r="AY94" i="3"/>
  <c r="BA93" i="3"/>
  <c r="AZ93" i="3"/>
  <c r="AY93" i="3"/>
  <c r="BA92" i="3"/>
  <c r="AZ92" i="3"/>
  <c r="BA91" i="3"/>
  <c r="AZ91" i="3"/>
  <c r="AV91" i="3"/>
  <c r="AX91" i="3" s="1"/>
  <c r="AY90" i="3"/>
  <c r="AV90" i="3"/>
  <c r="AX90" i="3" s="1"/>
  <c r="BA89" i="3"/>
  <c r="AZ89" i="3"/>
  <c r="AY89" i="3"/>
  <c r="BA88" i="3"/>
  <c r="AY88" i="3"/>
  <c r="AV88" i="3"/>
  <c r="AX88" i="3" s="1"/>
  <c r="AY87" i="3"/>
  <c r="AV87" i="3"/>
  <c r="AX87" i="3" s="1"/>
  <c r="AZ85" i="3"/>
  <c r="AV85" i="3"/>
  <c r="AX85" i="3" s="1"/>
  <c r="BA84" i="3"/>
  <c r="AY84" i="3"/>
  <c r="AV83" i="3"/>
  <c r="AX83" i="3" s="1"/>
  <c r="BA82" i="3"/>
  <c r="AZ82" i="3"/>
  <c r="BA81" i="3"/>
  <c r="AZ81" i="3"/>
  <c r="AV81" i="3"/>
  <c r="AX81" i="3" s="1"/>
  <c r="AZ80" i="3"/>
  <c r="AY80" i="3"/>
  <c r="BA79" i="3"/>
  <c r="AZ79" i="3"/>
  <c r="AV79" i="3"/>
  <c r="AX79" i="3" s="1"/>
  <c r="BA78" i="3"/>
  <c r="AZ78" i="3"/>
  <c r="AZ77" i="3"/>
  <c r="AV77" i="3"/>
  <c r="AX77" i="3" s="1"/>
  <c r="AY76" i="3"/>
  <c r="AV76" i="3"/>
  <c r="AX76" i="3" s="1"/>
  <c r="BA75" i="3"/>
  <c r="AZ75" i="3"/>
  <c r="AY75" i="3"/>
  <c r="AV75" i="3"/>
  <c r="AX75" i="3" s="1"/>
  <c r="AV73" i="3"/>
  <c r="AX73" i="3" s="1"/>
  <c r="BA72" i="3"/>
  <c r="AY72" i="3"/>
  <c r="BA71" i="3"/>
  <c r="AZ71" i="3"/>
  <c r="AY71" i="3"/>
  <c r="AV71" i="3"/>
  <c r="AX71" i="3" s="1"/>
  <c r="BA70" i="3"/>
  <c r="AZ70" i="3"/>
  <c r="AY70" i="3"/>
  <c r="AV70" i="3"/>
  <c r="AX70" i="3" s="1"/>
  <c r="AZ68" i="3"/>
  <c r="AZ67" i="3"/>
  <c r="AV67" i="3"/>
  <c r="AX67" i="3" s="1"/>
  <c r="AV66" i="3"/>
  <c r="AX66" i="3" s="1"/>
  <c r="AV65" i="3"/>
  <c r="AX65" i="3" s="1"/>
  <c r="BA64" i="3"/>
  <c r="AZ64" i="3"/>
  <c r="AY64" i="3"/>
  <c r="AV63" i="3"/>
  <c r="AX63" i="3" s="1"/>
  <c r="BA62" i="3"/>
  <c r="AZ62" i="3"/>
  <c r="AV62" i="3"/>
  <c r="AX62" i="3" s="1"/>
  <c r="AZ61" i="3"/>
  <c r="AY61" i="3"/>
  <c r="AV60" i="3"/>
  <c r="AX60" i="3" s="1"/>
  <c r="AY58" i="3"/>
  <c r="AV58" i="3"/>
  <c r="AX58" i="3" s="1"/>
  <c r="BA57" i="3"/>
  <c r="AY57" i="3"/>
  <c r="AV57" i="3"/>
  <c r="AX57" i="3" s="1"/>
  <c r="AY56" i="3"/>
  <c r="BA55" i="3"/>
  <c r="AZ55" i="3"/>
  <c r="AZ54" i="3"/>
  <c r="AY54" i="3"/>
  <c r="BA53" i="3"/>
  <c r="AZ53" i="3"/>
  <c r="AY53" i="3"/>
  <c r="AV53" i="3"/>
  <c r="AX53" i="3" s="1"/>
  <c r="AY52" i="3"/>
  <c r="BA51" i="3"/>
  <c r="AY51" i="3"/>
  <c r="AY50" i="3"/>
  <c r="BA49" i="3"/>
  <c r="AZ49" i="3"/>
  <c r="AY49" i="3"/>
  <c r="AV49" i="3"/>
  <c r="AX49" i="3" s="1"/>
  <c r="BA48" i="3"/>
  <c r="AZ48" i="3"/>
  <c r="AV48" i="3"/>
  <c r="AX48" i="3" s="1"/>
  <c r="AZ47" i="3"/>
  <c r="AV47" i="3"/>
  <c r="AX47" i="3" s="1"/>
  <c r="BA46" i="3"/>
  <c r="AZ46" i="3"/>
  <c r="AZ45" i="3"/>
  <c r="BA44" i="3"/>
  <c r="AZ44" i="3"/>
  <c r="BA43" i="3"/>
  <c r="AZ43" i="3"/>
  <c r="BA42" i="3"/>
  <c r="AZ42" i="3"/>
  <c r="AV42" i="3"/>
  <c r="AX42" i="3" s="1"/>
  <c r="AZ26" i="3"/>
  <c r="AV26" i="3"/>
  <c r="AX26" i="3" s="1"/>
  <c r="AZ25" i="3"/>
  <c r="BA24" i="3"/>
  <c r="AZ24" i="3"/>
  <c r="AY24" i="3"/>
  <c r="AV18" i="3"/>
  <c r="AX18" i="3" s="1"/>
  <c r="BA17" i="3"/>
  <c r="AV17" i="3"/>
  <c r="AX17" i="3" s="1"/>
  <c r="BA16" i="3"/>
  <c r="AY16" i="3"/>
  <c r="AV16" i="3"/>
  <c r="AX16" i="3" s="1"/>
  <c r="BA14" i="3"/>
  <c r="AZ14" i="3"/>
  <c r="AY14" i="3"/>
  <c r="BA13" i="3"/>
  <c r="AZ13" i="3"/>
  <c r="AY13" i="3"/>
  <c r="BA12" i="3"/>
  <c r="AZ12" i="3"/>
  <c r="BA11" i="3"/>
  <c r="AY11" i="3"/>
  <c r="AX2781" i="2"/>
  <c r="AX2778" i="2"/>
  <c r="AX2775" i="2"/>
  <c r="AX2772" i="2"/>
  <c r="AX2769" i="2"/>
  <c r="AX2766" i="2"/>
  <c r="AX2764" i="2"/>
  <c r="AX2761" i="2"/>
  <c r="AX2758" i="2"/>
  <c r="AX2755" i="2"/>
  <c r="AX2752" i="2"/>
  <c r="AX2749" i="2"/>
  <c r="AX2746" i="2"/>
  <c r="AX2743" i="2"/>
  <c r="AX2740" i="2"/>
  <c r="AX2737" i="2"/>
  <c r="AX2734" i="2"/>
  <c r="AX2731" i="2"/>
  <c r="AX2728" i="2"/>
  <c r="AX2725" i="2"/>
  <c r="AX2722" i="2"/>
  <c r="AX2719" i="2"/>
  <c r="AX2716" i="2"/>
  <c r="AX2713" i="2"/>
  <c r="AX2710" i="2"/>
  <c r="AX2707" i="2"/>
  <c r="AX2704" i="2"/>
  <c r="AX2701" i="2"/>
  <c r="AX2699" i="2"/>
  <c r="AX2696" i="2"/>
  <c r="AX2693" i="2"/>
  <c r="AX2690" i="2"/>
  <c r="AX2687" i="2"/>
  <c r="AX2684" i="2"/>
  <c r="AX2681" i="2"/>
  <c r="AX2678" i="2"/>
  <c r="AX2675" i="2"/>
  <c r="AX2672" i="2"/>
  <c r="AX2669" i="2"/>
  <c r="AX2666" i="2"/>
  <c r="AX2663" i="2"/>
  <c r="AX2660" i="2"/>
  <c r="AX2656" i="2"/>
  <c r="AX2653" i="2"/>
  <c r="AX2651" i="2"/>
  <c r="AX2648" i="2"/>
  <c r="AX2645" i="2"/>
  <c r="AX2642" i="2"/>
  <c r="AX2639" i="2"/>
  <c r="AX2636" i="2"/>
  <c r="AX2621" i="2"/>
  <c r="AX2606" i="2"/>
  <c r="AX2591" i="2"/>
  <c r="AX2577" i="2"/>
  <c r="AX2576" i="2"/>
  <c r="AX2562" i="2"/>
  <c r="AX2547" i="2"/>
  <c r="AX2533" i="2"/>
  <c r="AX2520" i="2"/>
  <c r="AX2507" i="2"/>
  <c r="AX2493" i="2"/>
  <c r="AX2492" i="2"/>
  <c r="AX2451" i="2"/>
  <c r="AX2437" i="2"/>
  <c r="AX2422" i="2"/>
  <c r="AX2406" i="2"/>
  <c r="AX2391" i="2"/>
  <c r="AX2376" i="2"/>
  <c r="AX2361" i="2"/>
  <c r="AX2347" i="2"/>
  <c r="AX2332" i="2"/>
  <c r="AX2301" i="2"/>
  <c r="AX2286" i="2"/>
  <c r="AX2272" i="2"/>
  <c r="AX2257" i="2"/>
  <c r="AX2243" i="2"/>
  <c r="AX2242" i="2"/>
  <c r="AX2228" i="2"/>
  <c r="AX2213" i="2"/>
  <c r="AX2199" i="2"/>
  <c r="AX2186" i="2"/>
  <c r="AX2184" i="2"/>
  <c r="AX2171" i="2"/>
  <c r="AX2170" i="2"/>
  <c r="AX2169" i="2"/>
  <c r="AX2154" i="2"/>
  <c r="AV3986" i="2"/>
  <c r="AX3986" i="2" s="1"/>
  <c r="AV3985" i="2"/>
  <c r="AX3985" i="2" s="1"/>
  <c r="AV3984" i="2"/>
  <c r="AX3984" i="2" s="1"/>
  <c r="AV3983" i="2"/>
  <c r="AX3983" i="2" s="1"/>
  <c r="AV3982" i="2"/>
  <c r="AX3982" i="2" s="1"/>
  <c r="AV3981" i="2"/>
  <c r="AX3981" i="2" s="1"/>
  <c r="AV3980" i="2"/>
  <c r="AX3980" i="2" s="1"/>
  <c r="AV3979" i="2"/>
  <c r="AX3979" i="2" s="1"/>
  <c r="AV3978" i="2"/>
  <c r="AX3978" i="2" s="1"/>
  <c r="AV3977" i="2"/>
  <c r="AX3977" i="2" s="1"/>
  <c r="AV3976" i="2"/>
  <c r="AX3976" i="2" s="1"/>
  <c r="AV3975" i="2"/>
  <c r="AX3975" i="2" s="1"/>
  <c r="AV3974" i="2"/>
  <c r="AX3974" i="2" s="1"/>
  <c r="AV3973" i="2"/>
  <c r="AX3973" i="2" s="1"/>
  <c r="AV3972" i="2"/>
  <c r="AX3972" i="2" s="1"/>
  <c r="AV3971" i="2"/>
  <c r="AX3971" i="2" s="1"/>
  <c r="AV3970" i="2"/>
  <c r="AX3970" i="2" s="1"/>
  <c r="AV3969" i="2"/>
  <c r="AX3969" i="2" s="1"/>
  <c r="AV3968" i="2"/>
  <c r="AX3968" i="2" s="1"/>
  <c r="AV3967" i="2"/>
  <c r="AX3967" i="2" s="1"/>
  <c r="AV3966" i="2"/>
  <c r="AX3966" i="2" s="1"/>
  <c r="AV3965" i="2"/>
  <c r="AX3965" i="2" s="1"/>
  <c r="AV3964" i="2"/>
  <c r="AX3964" i="2" s="1"/>
  <c r="AV3963" i="2"/>
  <c r="AX3963" i="2" s="1"/>
  <c r="AV3962" i="2"/>
  <c r="AX3962" i="2" s="1"/>
  <c r="AV3961" i="2"/>
  <c r="AX3961" i="2" s="1"/>
  <c r="AV3960" i="2"/>
  <c r="AX3960" i="2" s="1"/>
  <c r="AV3959" i="2"/>
  <c r="AX3959" i="2" s="1"/>
  <c r="AV3958" i="2"/>
  <c r="AX3958" i="2" s="1"/>
  <c r="AV3957" i="2"/>
  <c r="AX3957" i="2" s="1"/>
  <c r="AV3956" i="2"/>
  <c r="AX3956" i="2" s="1"/>
  <c r="AV3955" i="2"/>
  <c r="AX3955" i="2" s="1"/>
  <c r="AV3954" i="2"/>
  <c r="AX3954" i="2" s="1"/>
  <c r="AV3953" i="2"/>
  <c r="AX3953" i="2" s="1"/>
  <c r="AV3952" i="2"/>
  <c r="AX3952" i="2" s="1"/>
  <c r="AV3951" i="2"/>
  <c r="AX3951" i="2" s="1"/>
  <c r="AV3950" i="2"/>
  <c r="AX3950" i="2" s="1"/>
  <c r="AV3949" i="2"/>
  <c r="AX3949" i="2" s="1"/>
  <c r="AV3948" i="2"/>
  <c r="AX3948" i="2" s="1"/>
  <c r="AV3947" i="2"/>
  <c r="AX3947" i="2" s="1"/>
  <c r="AV3946" i="2"/>
  <c r="AX3946" i="2" s="1"/>
  <c r="AV3945" i="2"/>
  <c r="AX3945" i="2" s="1"/>
  <c r="AV3944" i="2"/>
  <c r="AX3944" i="2" s="1"/>
  <c r="AV3943" i="2"/>
  <c r="AX3943" i="2" s="1"/>
  <c r="AV3942" i="2"/>
  <c r="AX3942" i="2" s="1"/>
  <c r="AV3941" i="2"/>
  <c r="AX3941" i="2" s="1"/>
  <c r="AV3940" i="2"/>
  <c r="AX3940" i="2" s="1"/>
  <c r="AV3939" i="2"/>
  <c r="AX3939" i="2" s="1"/>
  <c r="AV3938" i="2"/>
  <c r="AX3938" i="2" s="1"/>
  <c r="AV3937" i="2"/>
  <c r="AX3937" i="2" s="1"/>
  <c r="AV3936" i="2"/>
  <c r="AX3936" i="2" s="1"/>
  <c r="AV3935" i="2"/>
  <c r="AX3935" i="2" s="1"/>
  <c r="AV3934" i="2"/>
  <c r="AX3934" i="2" s="1"/>
  <c r="AV3933" i="2"/>
  <c r="AX3933" i="2" s="1"/>
  <c r="AV3932" i="2"/>
  <c r="AX3932" i="2" s="1"/>
  <c r="AV3931" i="2"/>
  <c r="AX3931" i="2" s="1"/>
  <c r="AV3930" i="2"/>
  <c r="AX3930" i="2" s="1"/>
  <c r="AV3929" i="2"/>
  <c r="AX3929" i="2" s="1"/>
  <c r="AV3928" i="2"/>
  <c r="AX3928" i="2" s="1"/>
  <c r="AV3927" i="2"/>
  <c r="AX3927" i="2" s="1"/>
  <c r="AV3926" i="2"/>
  <c r="AX3926" i="2" s="1"/>
  <c r="AV3925" i="2"/>
  <c r="AX3925" i="2" s="1"/>
  <c r="AV3924" i="2"/>
  <c r="AX3924" i="2" s="1"/>
  <c r="AV3923" i="2"/>
  <c r="AX3923" i="2" s="1"/>
  <c r="AV3922" i="2"/>
  <c r="AX3922" i="2" s="1"/>
  <c r="AV3921" i="2"/>
  <c r="AX3921" i="2" s="1"/>
  <c r="AV3920" i="2"/>
  <c r="AX3920" i="2" s="1"/>
  <c r="AV3919" i="2"/>
  <c r="AX3919" i="2" s="1"/>
  <c r="AV3918" i="2"/>
  <c r="AX3918" i="2" s="1"/>
  <c r="AV3917" i="2"/>
  <c r="AX3917" i="2" s="1"/>
  <c r="AV3916" i="2"/>
  <c r="AX3916" i="2" s="1"/>
  <c r="AV3915" i="2"/>
  <c r="AX3915" i="2" s="1"/>
  <c r="AV3914" i="2"/>
  <c r="AX3914" i="2" s="1"/>
  <c r="AV3913" i="2"/>
  <c r="AX3913" i="2" s="1"/>
  <c r="AV3912" i="2"/>
  <c r="AX3912" i="2" s="1"/>
  <c r="AV3911" i="2"/>
  <c r="AX3911" i="2" s="1"/>
  <c r="AV3910" i="2"/>
  <c r="AX3910" i="2" s="1"/>
  <c r="AV3909" i="2"/>
  <c r="AX3909" i="2" s="1"/>
  <c r="AV3908" i="2"/>
  <c r="AX3908" i="2" s="1"/>
  <c r="AV3907" i="2"/>
  <c r="AX3907" i="2" s="1"/>
  <c r="AV3906" i="2"/>
  <c r="AX3906" i="2" s="1"/>
  <c r="AV3905" i="2"/>
  <c r="AX3905" i="2" s="1"/>
  <c r="AV3904" i="2"/>
  <c r="AX3904" i="2" s="1"/>
  <c r="AV3903" i="2"/>
  <c r="AX3903" i="2" s="1"/>
  <c r="AV3902" i="2"/>
  <c r="AX3902" i="2" s="1"/>
  <c r="AV3901" i="2"/>
  <c r="AX3901" i="2" s="1"/>
  <c r="AV3900" i="2"/>
  <c r="AX3900" i="2" s="1"/>
  <c r="AV3899" i="2"/>
  <c r="AX3899" i="2" s="1"/>
  <c r="AV3898" i="2"/>
  <c r="AX3898" i="2" s="1"/>
  <c r="AV3897" i="2"/>
  <c r="AX3897" i="2" s="1"/>
  <c r="AV3896" i="2"/>
  <c r="AX3896" i="2" s="1"/>
  <c r="AV3895" i="2"/>
  <c r="AX3895" i="2" s="1"/>
  <c r="AV3894" i="2"/>
  <c r="AX3894" i="2" s="1"/>
  <c r="AV3893" i="2"/>
  <c r="AX3893" i="2" s="1"/>
  <c r="AV3892" i="2"/>
  <c r="AX3892" i="2" s="1"/>
  <c r="AV3891" i="2"/>
  <c r="AX3891" i="2" s="1"/>
  <c r="AV3890" i="2"/>
  <c r="AX3890" i="2" s="1"/>
  <c r="AV3889" i="2"/>
  <c r="AX3889" i="2" s="1"/>
  <c r="AV3888" i="2"/>
  <c r="AX3888" i="2" s="1"/>
  <c r="AV3887" i="2"/>
  <c r="AX3887" i="2" s="1"/>
  <c r="AV3886" i="2"/>
  <c r="AX3886" i="2" s="1"/>
  <c r="AV3885" i="2"/>
  <c r="AX3885" i="2" s="1"/>
  <c r="AV3884" i="2"/>
  <c r="AX3884" i="2" s="1"/>
  <c r="AV3883" i="2"/>
  <c r="AX3883" i="2" s="1"/>
  <c r="AV3882" i="2"/>
  <c r="AX3882" i="2" s="1"/>
  <c r="AV3881" i="2"/>
  <c r="AX3881" i="2" s="1"/>
  <c r="AV3880" i="2"/>
  <c r="AX3880" i="2" s="1"/>
  <c r="AV3879" i="2"/>
  <c r="AX3879" i="2" s="1"/>
  <c r="AV3878" i="2"/>
  <c r="AX3878" i="2" s="1"/>
  <c r="AV3877" i="2"/>
  <c r="AX3877" i="2" s="1"/>
  <c r="AV3876" i="2"/>
  <c r="AX3876" i="2" s="1"/>
  <c r="AV3875" i="2"/>
  <c r="AX3875" i="2" s="1"/>
  <c r="AV3874" i="2"/>
  <c r="AX3874" i="2" s="1"/>
  <c r="AV3873" i="2"/>
  <c r="AX3873" i="2" s="1"/>
  <c r="AV3872" i="2"/>
  <c r="AX3872" i="2" s="1"/>
  <c r="AV3871" i="2"/>
  <c r="AX3871" i="2" s="1"/>
  <c r="AV3870" i="2"/>
  <c r="AX3870" i="2" s="1"/>
  <c r="AV3869" i="2"/>
  <c r="AX3869" i="2" s="1"/>
  <c r="AV3868" i="2"/>
  <c r="AX3868" i="2" s="1"/>
  <c r="AV3867" i="2"/>
  <c r="AX3867" i="2" s="1"/>
  <c r="AV3866" i="2"/>
  <c r="AX3866" i="2" s="1"/>
  <c r="AV3865" i="2"/>
  <c r="AX3865" i="2" s="1"/>
  <c r="AV3864" i="2"/>
  <c r="AX3864" i="2" s="1"/>
  <c r="AV3863" i="2"/>
  <c r="AX3863" i="2" s="1"/>
  <c r="AV3862" i="2"/>
  <c r="AX3862" i="2" s="1"/>
  <c r="AV3861" i="2"/>
  <c r="AX3861" i="2" s="1"/>
  <c r="AV3860" i="2"/>
  <c r="AX3860" i="2" s="1"/>
  <c r="AX2806" i="2"/>
  <c r="AX2803" i="2"/>
  <c r="AX2800" i="2"/>
  <c r="AX2797" i="2"/>
  <c r="AX2794" i="2"/>
  <c r="AX2791" i="2"/>
  <c r="AX2788" i="2"/>
  <c r="AX2785" i="2"/>
  <c r="AX2782" i="2"/>
  <c r="AX2779" i="2"/>
  <c r="AX2776" i="2"/>
  <c r="AX2773" i="2"/>
  <c r="AX2770" i="2"/>
  <c r="AX2767" i="2"/>
  <c r="AX2763" i="2"/>
  <c r="AX2760" i="2"/>
  <c r="AX2757" i="2"/>
  <c r="AX2754" i="2"/>
  <c r="AX2751" i="2"/>
  <c r="AX2748" i="2"/>
  <c r="AX2744" i="2"/>
  <c r="AX2741" i="2"/>
  <c r="AX2738" i="2"/>
  <c r="AX2735" i="2"/>
  <c r="AX2732" i="2"/>
  <c r="AX2729" i="2"/>
  <c r="AX2726" i="2"/>
  <c r="AX2723" i="2"/>
  <c r="AX2720" i="2"/>
  <c r="AX2717" i="2"/>
  <c r="AX2714" i="2"/>
  <c r="AX2711" i="2"/>
  <c r="AX2708" i="2"/>
  <c r="AX2705" i="2"/>
  <c r="AX2702" i="2"/>
  <c r="AX2698" i="2"/>
  <c r="AX2695" i="2"/>
  <c r="AX2692" i="2"/>
  <c r="AX2689" i="2"/>
  <c r="AX2688" i="2"/>
  <c r="AX2685" i="2"/>
  <c r="AX2682" i="2"/>
  <c r="AX2679" i="2"/>
  <c r="AX2676" i="2"/>
  <c r="AX2673" i="2"/>
  <c r="AX2670" i="2"/>
  <c r="AX2667" i="2"/>
  <c r="AX2664" i="2"/>
  <c r="AX2661" i="2"/>
  <c r="AX2658" i="2"/>
  <c r="AX2655" i="2"/>
  <c r="AX2652" i="2"/>
  <c r="AX2649" i="2"/>
  <c r="AX2646" i="2"/>
  <c r="AX2643" i="2"/>
  <c r="AX2640" i="2"/>
  <c r="AX2637" i="2"/>
  <c r="AX2622" i="2"/>
  <c r="AX2607" i="2"/>
  <c r="AX2592" i="2"/>
  <c r="AX2561" i="2"/>
  <c r="AX2546" i="2"/>
  <c r="AX2531" i="2"/>
  <c r="AX2516" i="2"/>
  <c r="AX2501" i="2"/>
  <c r="AX2471" i="2"/>
  <c r="AX2470" i="2"/>
  <c r="AX2455" i="2"/>
  <c r="AX2440" i="2"/>
  <c r="AX2426" i="2"/>
  <c r="AX2411" i="2"/>
  <c r="AX2381" i="2"/>
  <c r="AX2366" i="2"/>
  <c r="AX2337" i="2"/>
  <c r="AX2322" i="2"/>
  <c r="AX2307" i="2"/>
  <c r="AX2291" i="2"/>
  <c r="AX2289" i="2"/>
  <c r="AX2276" i="2"/>
  <c r="AX2274" i="2"/>
  <c r="AX2260" i="2"/>
  <c r="AX2246" i="2"/>
  <c r="AX2231" i="2"/>
  <c r="AX2219" i="2"/>
  <c r="AX2218" i="2"/>
  <c r="AX2203" i="2"/>
  <c r="AX2189" i="2"/>
  <c r="AX2173" i="2"/>
  <c r="AX2158" i="2"/>
  <c r="AV2145" i="2"/>
  <c r="AX2145" i="2" s="1"/>
  <c r="AV2144" i="2"/>
  <c r="AX2144" i="2" s="1"/>
  <c r="AV2143" i="2"/>
  <c r="AX2143" i="2" s="1"/>
  <c r="AV2142" i="2"/>
  <c r="AX2142" i="2" s="1"/>
  <c r="AV2141" i="2"/>
  <c r="AX2141" i="2" s="1"/>
  <c r="AV2140" i="2"/>
  <c r="AX2140" i="2" s="1"/>
  <c r="AV2139" i="2"/>
  <c r="AX2139" i="2" s="1"/>
  <c r="AV2138" i="2"/>
  <c r="AX2138" i="2" s="1"/>
  <c r="AV2137" i="2"/>
  <c r="AX2137" i="2" s="1"/>
  <c r="AV2136" i="2"/>
  <c r="AX2136" i="2" s="1"/>
  <c r="AV2135" i="2"/>
  <c r="AX2135" i="2" s="1"/>
  <c r="AV2134" i="2"/>
  <c r="AX2134" i="2" s="1"/>
  <c r="AV2133" i="2"/>
  <c r="AX2133" i="2" s="1"/>
  <c r="AV2132" i="2"/>
  <c r="AX2132" i="2" s="1"/>
  <c r="AV2131" i="2"/>
  <c r="AX2131" i="2" s="1"/>
  <c r="AV2130" i="2"/>
  <c r="AX2130" i="2" s="1"/>
  <c r="AV2129" i="2"/>
  <c r="AX2129" i="2" s="1"/>
  <c r="AV2128" i="2"/>
  <c r="AX2128" i="2" s="1"/>
  <c r="AV2127" i="2"/>
  <c r="AX2127" i="2" s="1"/>
  <c r="AV2126" i="2"/>
  <c r="AX2126" i="2" s="1"/>
  <c r="AV2125" i="2"/>
  <c r="AX2125" i="2" s="1"/>
  <c r="AV2124" i="2"/>
  <c r="AX2124" i="2" s="1"/>
  <c r="AV2123" i="2"/>
  <c r="AX2123" i="2" s="1"/>
  <c r="AV2122" i="2"/>
  <c r="AX2122" i="2" s="1"/>
  <c r="AV2121" i="2"/>
  <c r="AX2121" i="2" s="1"/>
  <c r="AV2120" i="2"/>
  <c r="AX2120" i="2" s="1"/>
  <c r="AV2119" i="2"/>
  <c r="AX2119" i="2" s="1"/>
  <c r="AV2118" i="2"/>
  <c r="AX2118" i="2" s="1"/>
  <c r="AV2117" i="2"/>
  <c r="AX2117" i="2" s="1"/>
  <c r="AV2116" i="2"/>
  <c r="AX2116" i="2" s="1"/>
  <c r="AV2115" i="2"/>
  <c r="AX2115" i="2" s="1"/>
  <c r="AV2114" i="2"/>
  <c r="AX2114" i="2" s="1"/>
  <c r="AV2113" i="2"/>
  <c r="AX2113" i="2" s="1"/>
  <c r="AV2112" i="2"/>
  <c r="AX2112" i="2" s="1"/>
  <c r="AV2111" i="2"/>
  <c r="AX2111" i="2" s="1"/>
  <c r="AV2110" i="2"/>
  <c r="AX2110" i="2" s="1"/>
  <c r="AV2109" i="2"/>
  <c r="AX2109" i="2" s="1"/>
  <c r="AV2108" i="2"/>
  <c r="AX2108" i="2" s="1"/>
  <c r="AV2107" i="2"/>
  <c r="AX2107" i="2" s="1"/>
  <c r="AV2106" i="2"/>
  <c r="AX2106" i="2" s="1"/>
  <c r="AV2105" i="2"/>
  <c r="AX2105" i="2" s="1"/>
  <c r="AV2104" i="2"/>
  <c r="AX2104" i="2" s="1"/>
  <c r="AV2103" i="2"/>
  <c r="AX2103" i="2" s="1"/>
  <c r="AV2102" i="2"/>
  <c r="AX2102" i="2" s="1"/>
  <c r="AV2101" i="2"/>
  <c r="AX2101" i="2" s="1"/>
  <c r="AV2100" i="2"/>
  <c r="AX2100" i="2" s="1"/>
  <c r="AV2099" i="2"/>
  <c r="AX2099" i="2" s="1"/>
  <c r="AV2098" i="2"/>
  <c r="AX2098" i="2" s="1"/>
  <c r="AV2097" i="2"/>
  <c r="AX2097" i="2" s="1"/>
  <c r="AV2096" i="2"/>
  <c r="AX2096" i="2" s="1"/>
  <c r="AV2095" i="2"/>
  <c r="AX2095" i="2" s="1"/>
  <c r="AV2094" i="2"/>
  <c r="AX2094" i="2" s="1"/>
  <c r="AV2093" i="2"/>
  <c r="AX2093" i="2" s="1"/>
  <c r="AV2092" i="2"/>
  <c r="AX2092" i="2" s="1"/>
  <c r="AV2091" i="2"/>
  <c r="AX2091" i="2" s="1"/>
  <c r="AV2090" i="2"/>
  <c r="AX2090" i="2" s="1"/>
  <c r="AV2089" i="2"/>
  <c r="AX2089" i="2" s="1"/>
  <c r="AV2088" i="2"/>
  <c r="AX2088" i="2" s="1"/>
  <c r="AV2087" i="2"/>
  <c r="AX2087" i="2" s="1"/>
  <c r="AV2086" i="2"/>
  <c r="AX2086" i="2" s="1"/>
  <c r="AV2085" i="2"/>
  <c r="AX2085" i="2" s="1"/>
  <c r="AV2084" i="2"/>
  <c r="AX2084" i="2" s="1"/>
  <c r="AV2083" i="2"/>
  <c r="AX2083" i="2" s="1"/>
  <c r="AV2082" i="2"/>
  <c r="AX2082" i="2" s="1"/>
  <c r="AV2081" i="2"/>
  <c r="AX2081" i="2" s="1"/>
  <c r="AV2080" i="2"/>
  <c r="AX2080" i="2" s="1"/>
  <c r="AV2079" i="2"/>
  <c r="AX2079" i="2" s="1"/>
  <c r="AV2078" i="2"/>
  <c r="AX2078" i="2" s="1"/>
  <c r="AV2077" i="2"/>
  <c r="AX2077" i="2" s="1"/>
  <c r="AV2076" i="2"/>
  <c r="AX2076" i="2" s="1"/>
  <c r="AV2075" i="2"/>
  <c r="AX2075" i="2" s="1"/>
  <c r="AV2074" i="2"/>
  <c r="AX2074" i="2" s="1"/>
  <c r="AV2073" i="2"/>
  <c r="AX2073" i="2" s="1"/>
  <c r="AV2072" i="2"/>
  <c r="AX2072" i="2" s="1"/>
  <c r="AV2071" i="2"/>
  <c r="AX2071" i="2" s="1"/>
  <c r="AV2070" i="2"/>
  <c r="AX2070" i="2" s="1"/>
  <c r="AV2069" i="2"/>
  <c r="AX2069" i="2" s="1"/>
  <c r="AV2068" i="2"/>
  <c r="AX2068" i="2" s="1"/>
  <c r="AV2067" i="2"/>
  <c r="AX2067" i="2" s="1"/>
  <c r="AV2066" i="2"/>
  <c r="AX2066" i="2" s="1"/>
  <c r="AV2065" i="2"/>
  <c r="AX2065" i="2" s="1"/>
  <c r="AV2064" i="2"/>
  <c r="AX2064" i="2" s="1"/>
  <c r="AV2063" i="2"/>
  <c r="AX2063" i="2" s="1"/>
  <c r="AV2062" i="2"/>
  <c r="AX2062" i="2" s="1"/>
  <c r="AV2061" i="2"/>
  <c r="AX2061" i="2" s="1"/>
  <c r="AV2060" i="2"/>
  <c r="AX2060" i="2" s="1"/>
  <c r="AV2059" i="2"/>
  <c r="AX2059" i="2" s="1"/>
  <c r="AV2058" i="2"/>
  <c r="AX2058" i="2" s="1"/>
  <c r="AV2057" i="2"/>
  <c r="AX2057" i="2" s="1"/>
  <c r="AV2056" i="2"/>
  <c r="AX2056" i="2" s="1"/>
  <c r="AV2055" i="2"/>
  <c r="AX2055" i="2" s="1"/>
  <c r="AV2054" i="2"/>
  <c r="AX2054" i="2" s="1"/>
  <c r="AV2053" i="2"/>
  <c r="AX2053" i="2" s="1"/>
  <c r="AV2052" i="2"/>
  <c r="AX2052" i="2" s="1"/>
  <c r="AV2051" i="2"/>
  <c r="AX2051" i="2" s="1"/>
  <c r="AV2050" i="2"/>
  <c r="AX2050" i="2" s="1"/>
  <c r="AV2049" i="2"/>
  <c r="AX2049" i="2" s="1"/>
  <c r="AV2048" i="2"/>
  <c r="AX2048" i="2" s="1"/>
  <c r="AV2047" i="2"/>
  <c r="AX2047" i="2" s="1"/>
  <c r="AV2046" i="2"/>
  <c r="AX2046" i="2" s="1"/>
  <c r="AV2045" i="2"/>
  <c r="AX2045" i="2" s="1"/>
  <c r="AV2044" i="2"/>
  <c r="AX2044" i="2" s="1"/>
  <c r="AV2043" i="2"/>
  <c r="AX2043" i="2" s="1"/>
  <c r="AV2042" i="2"/>
  <c r="AX2042" i="2" s="1"/>
  <c r="AV2041" i="2"/>
  <c r="AX2041" i="2" s="1"/>
  <c r="AV2040" i="2"/>
  <c r="AX2040" i="2" s="1"/>
  <c r="AV2039" i="2"/>
  <c r="AX2039" i="2" s="1"/>
  <c r="AV2038" i="2"/>
  <c r="AX2038" i="2" s="1"/>
  <c r="AV2037" i="2"/>
  <c r="AX2037" i="2" s="1"/>
  <c r="AV2036" i="2"/>
  <c r="AX2036" i="2" s="1"/>
  <c r="AV2035" i="2"/>
  <c r="AX2035" i="2" s="1"/>
  <c r="AV2034" i="2"/>
  <c r="AX2034" i="2" s="1"/>
  <c r="AV2033" i="2"/>
  <c r="AX2033" i="2" s="1"/>
  <c r="AV2032" i="2"/>
  <c r="AX2032" i="2" s="1"/>
  <c r="AV2031" i="2"/>
  <c r="AX2031" i="2" s="1"/>
  <c r="AV2030" i="2"/>
  <c r="AX2030" i="2" s="1"/>
  <c r="AV2029" i="2"/>
  <c r="AX2029" i="2" s="1"/>
  <c r="AV2028" i="2"/>
  <c r="AX2028" i="2" s="1"/>
  <c r="AV2027" i="2"/>
  <c r="AX2027" i="2" s="1"/>
  <c r="AV2026" i="2"/>
  <c r="AX2026" i="2" s="1"/>
  <c r="AV2025" i="2"/>
  <c r="AX2025" i="2" s="1"/>
  <c r="AV2024" i="2"/>
  <c r="AX2024" i="2" s="1"/>
  <c r="AV2023" i="2"/>
  <c r="AX2023" i="2" s="1"/>
  <c r="AV2022" i="2"/>
  <c r="AX2022" i="2" s="1"/>
  <c r="AV2021" i="2"/>
  <c r="AX2021" i="2" s="1"/>
  <c r="AV2020" i="2"/>
  <c r="AX2020" i="2" s="1"/>
  <c r="AV2019" i="2"/>
  <c r="AX2019" i="2" s="1"/>
  <c r="AV2018" i="2"/>
  <c r="AX2018" i="2" s="1"/>
  <c r="AV2017" i="2"/>
  <c r="AX2017" i="2" s="1"/>
  <c r="AV2016" i="2"/>
  <c r="AX2016" i="2" s="1"/>
  <c r="AV2015" i="2"/>
  <c r="AX2015" i="2" s="1"/>
  <c r="AV2014" i="2"/>
  <c r="AX2014" i="2" s="1"/>
  <c r="AV2013" i="2"/>
  <c r="AX2013" i="2" s="1"/>
  <c r="AV2012" i="2"/>
  <c r="AX2012" i="2" s="1"/>
  <c r="AV2011" i="2"/>
  <c r="AX2011" i="2" s="1"/>
  <c r="AV2010" i="2"/>
  <c r="AX2010" i="2" s="1"/>
  <c r="AV2009" i="2"/>
  <c r="AX2009" i="2" s="1"/>
  <c r="AV2008" i="2"/>
  <c r="AX2008" i="2" s="1"/>
  <c r="AV2007" i="2"/>
  <c r="AX2007" i="2" s="1"/>
  <c r="AV2006" i="2"/>
  <c r="AX2006" i="2" s="1"/>
  <c r="AV2005" i="2"/>
  <c r="AX2005" i="2" s="1"/>
  <c r="AV2004" i="2"/>
  <c r="AX2004" i="2" s="1"/>
  <c r="AV2003" i="2"/>
  <c r="AX2003" i="2" s="1"/>
  <c r="AV2002" i="2"/>
  <c r="AX2002" i="2" s="1"/>
  <c r="AV2001" i="2"/>
  <c r="AX2001" i="2" s="1"/>
  <c r="AV2000" i="2"/>
  <c r="AX2000" i="2" s="1"/>
  <c r="AV1999" i="2"/>
  <c r="AX1999" i="2" s="1"/>
  <c r="AV1998" i="2"/>
  <c r="AX1998" i="2" s="1"/>
  <c r="AV1997" i="2"/>
  <c r="AX1997" i="2" s="1"/>
  <c r="AV1996" i="2"/>
  <c r="AX1996" i="2" s="1"/>
  <c r="AV1995" i="2"/>
  <c r="AX1995" i="2" s="1"/>
  <c r="AV1994" i="2"/>
  <c r="AX1994" i="2" s="1"/>
  <c r="AV1993" i="2"/>
  <c r="AX1993" i="2" s="1"/>
  <c r="AV1992" i="2"/>
  <c r="AX1992" i="2" s="1"/>
  <c r="AV1991" i="2"/>
  <c r="AX1991" i="2" s="1"/>
  <c r="AV1990" i="2"/>
  <c r="AX1990" i="2" s="1"/>
  <c r="AV1989" i="2"/>
  <c r="AX1989" i="2" s="1"/>
  <c r="AV1988" i="2"/>
  <c r="AX1988" i="2" s="1"/>
  <c r="AV1987" i="2"/>
  <c r="AX1987" i="2" s="1"/>
  <c r="AV1986" i="2"/>
  <c r="AX1986" i="2" s="1"/>
  <c r="AV1985" i="2"/>
  <c r="AX1985" i="2" s="1"/>
  <c r="AV1984" i="2"/>
  <c r="AX1984" i="2" s="1"/>
  <c r="AV1983" i="2"/>
  <c r="AX1983" i="2" s="1"/>
  <c r="AV1982" i="2"/>
  <c r="AX1982" i="2" s="1"/>
  <c r="AV1981" i="2"/>
  <c r="AX1981" i="2" s="1"/>
  <c r="AV1980" i="2"/>
  <c r="AX1980" i="2" s="1"/>
  <c r="AV1979" i="2"/>
  <c r="AX1979" i="2" s="1"/>
  <c r="AV1978" i="2"/>
  <c r="AX1978" i="2" s="1"/>
  <c r="AV1977" i="2"/>
  <c r="AX1977" i="2" s="1"/>
  <c r="AV1976" i="2"/>
  <c r="AX1976" i="2" s="1"/>
  <c r="AV1975" i="2"/>
  <c r="AX1975" i="2" s="1"/>
  <c r="AV1974" i="2"/>
  <c r="AX1974" i="2" s="1"/>
  <c r="AV1973" i="2"/>
  <c r="AX1973" i="2" s="1"/>
  <c r="AV1972" i="2"/>
  <c r="AX1972" i="2" s="1"/>
  <c r="AV1971" i="2"/>
  <c r="AX1971" i="2" s="1"/>
  <c r="AV1970" i="2"/>
  <c r="AX1970" i="2" s="1"/>
  <c r="AV1969" i="2"/>
  <c r="AX1969" i="2" s="1"/>
  <c r="AV1968" i="2"/>
  <c r="AX1968" i="2" s="1"/>
  <c r="AV1967" i="2"/>
  <c r="AX1967" i="2" s="1"/>
  <c r="AV1966" i="2"/>
  <c r="AX1966" i="2" s="1"/>
  <c r="AV1965" i="2"/>
  <c r="AX1965" i="2" s="1"/>
  <c r="AV1964" i="2"/>
  <c r="AX1964" i="2" s="1"/>
  <c r="AV1963" i="2"/>
  <c r="AX1963" i="2" s="1"/>
  <c r="AV1962" i="2"/>
  <c r="AX1962" i="2" s="1"/>
  <c r="AV1961" i="2"/>
  <c r="AX1961" i="2" s="1"/>
  <c r="AV1960" i="2"/>
  <c r="AX1960" i="2" s="1"/>
  <c r="AV1959" i="2"/>
  <c r="AX1959" i="2" s="1"/>
  <c r="AV1958" i="2"/>
  <c r="AX1958" i="2" s="1"/>
  <c r="AV1957" i="2"/>
  <c r="AX1957" i="2" s="1"/>
  <c r="AV1956" i="2"/>
  <c r="AX1956" i="2" s="1"/>
  <c r="AV1955" i="2"/>
  <c r="AX1955" i="2" s="1"/>
  <c r="AV1954" i="2"/>
  <c r="AX1954" i="2" s="1"/>
  <c r="AV1953" i="2"/>
  <c r="AX1953" i="2" s="1"/>
  <c r="AV1952" i="2"/>
  <c r="AX1952" i="2" s="1"/>
  <c r="AV1951" i="2"/>
  <c r="AX1951" i="2" s="1"/>
  <c r="AV1950" i="2"/>
  <c r="AX1950" i="2" s="1"/>
  <c r="AV1949" i="2"/>
  <c r="AX1949" i="2" s="1"/>
  <c r="AV1948" i="2"/>
  <c r="AX1948" i="2" s="1"/>
  <c r="AV1947" i="2"/>
  <c r="AX1947" i="2" s="1"/>
  <c r="AV1946" i="2"/>
  <c r="AX1946" i="2" s="1"/>
  <c r="AV1945" i="2"/>
  <c r="AX1945" i="2" s="1"/>
  <c r="AV1944" i="2"/>
  <c r="AX1944" i="2" s="1"/>
  <c r="AV1943" i="2"/>
  <c r="AX1943" i="2" s="1"/>
  <c r="AV1942" i="2"/>
  <c r="AX1942" i="2" s="1"/>
  <c r="AV1941" i="2"/>
  <c r="AX1941" i="2" s="1"/>
  <c r="AV1940" i="2"/>
  <c r="AX1940" i="2" s="1"/>
  <c r="AV1939" i="2"/>
  <c r="AX1939" i="2" s="1"/>
  <c r="AV1938" i="2"/>
  <c r="AX1938" i="2" s="1"/>
  <c r="AV1937" i="2"/>
  <c r="AX1937" i="2" s="1"/>
  <c r="AV1936" i="2"/>
  <c r="AX1936" i="2" s="1"/>
  <c r="AV1935" i="2"/>
  <c r="AX1935" i="2" s="1"/>
  <c r="AV1934" i="2"/>
  <c r="AX1934" i="2" s="1"/>
  <c r="AV1933" i="2"/>
  <c r="AX1933" i="2" s="1"/>
  <c r="AV1932" i="2"/>
  <c r="AX1932" i="2" s="1"/>
  <c r="AV1931" i="2"/>
  <c r="AX1931" i="2" s="1"/>
  <c r="AV1930" i="2"/>
  <c r="AX1930" i="2" s="1"/>
  <c r="AV1929" i="2"/>
  <c r="AX1929" i="2" s="1"/>
  <c r="AV1928" i="2"/>
  <c r="AX1928" i="2" s="1"/>
  <c r="AV1927" i="2"/>
  <c r="AX1927" i="2" s="1"/>
  <c r="AV1926" i="2"/>
  <c r="AX1926" i="2" s="1"/>
  <c r="AV1925" i="2"/>
  <c r="AX1925" i="2" s="1"/>
  <c r="AV1924" i="2"/>
  <c r="AX1924" i="2" s="1"/>
  <c r="AV1923" i="2"/>
  <c r="AX1923" i="2" s="1"/>
  <c r="AV1922" i="2"/>
  <c r="AX1922" i="2" s="1"/>
  <c r="AV1921" i="2"/>
  <c r="AX1921" i="2" s="1"/>
  <c r="AV1920" i="2"/>
  <c r="AX1920" i="2" s="1"/>
  <c r="AV1919" i="2"/>
  <c r="AX1919" i="2" s="1"/>
  <c r="AV1918" i="2"/>
  <c r="AX1918" i="2" s="1"/>
  <c r="AV1917" i="2"/>
  <c r="AX1917" i="2" s="1"/>
  <c r="AV1916" i="2"/>
  <c r="AX1916" i="2" s="1"/>
  <c r="AV1915" i="2"/>
  <c r="AX1915" i="2" s="1"/>
  <c r="AV1914" i="2"/>
  <c r="AX1914" i="2" s="1"/>
  <c r="AV1913" i="2"/>
  <c r="AX1913" i="2" s="1"/>
  <c r="AV1912" i="2"/>
  <c r="AX1912" i="2" s="1"/>
  <c r="AV1911" i="2"/>
  <c r="AX1911" i="2" s="1"/>
  <c r="AV1910" i="2"/>
  <c r="AX1910" i="2" s="1"/>
  <c r="AV1909" i="2"/>
  <c r="AX1909" i="2" s="1"/>
  <c r="AV1908" i="2"/>
  <c r="AX1908" i="2" s="1"/>
  <c r="AV1907" i="2"/>
  <c r="AX1907" i="2" s="1"/>
  <c r="AV1906" i="2"/>
  <c r="AX1906" i="2" s="1"/>
  <c r="AV1905" i="2"/>
  <c r="AX1905" i="2" s="1"/>
  <c r="AV1904" i="2"/>
  <c r="AX1904" i="2" s="1"/>
  <c r="AV1903" i="2"/>
  <c r="AX1903" i="2" s="1"/>
  <c r="AV1902" i="2"/>
  <c r="AX1902" i="2" s="1"/>
  <c r="AV1901" i="2"/>
  <c r="AX1901" i="2" s="1"/>
  <c r="AV1900" i="2"/>
  <c r="AX1900" i="2" s="1"/>
  <c r="AV1899" i="2"/>
  <c r="AX1899" i="2" s="1"/>
  <c r="AV1898" i="2"/>
  <c r="AX1898" i="2" s="1"/>
  <c r="AV1897" i="2"/>
  <c r="AX1897" i="2" s="1"/>
  <c r="AV1896" i="2"/>
  <c r="AX1896" i="2" s="1"/>
  <c r="AV1895" i="2"/>
  <c r="AX1895" i="2" s="1"/>
  <c r="AV1894" i="2"/>
  <c r="AX1894" i="2" s="1"/>
  <c r="AV1893" i="2"/>
  <c r="AX1893" i="2" s="1"/>
  <c r="AV1892" i="2"/>
  <c r="AX1892" i="2" s="1"/>
  <c r="AV1891" i="2"/>
  <c r="AX1891" i="2" s="1"/>
  <c r="AV1890" i="2"/>
  <c r="AX1890" i="2" s="1"/>
  <c r="AV1889" i="2"/>
  <c r="AX1889" i="2" s="1"/>
  <c r="AV1888" i="2"/>
  <c r="AX1888" i="2" s="1"/>
  <c r="AV1887" i="2"/>
  <c r="AX1887" i="2" s="1"/>
  <c r="AV1886" i="2"/>
  <c r="AX1886" i="2" s="1"/>
  <c r="AV1885" i="2"/>
  <c r="AX1885" i="2" s="1"/>
  <c r="AV1884" i="2"/>
  <c r="AX1884" i="2" s="1"/>
  <c r="AV1883" i="2"/>
  <c r="AX1883" i="2" s="1"/>
  <c r="AV1882" i="2"/>
  <c r="AX1882" i="2" s="1"/>
  <c r="AV1881" i="2"/>
  <c r="AX1881" i="2" s="1"/>
  <c r="AV1880" i="2"/>
  <c r="AX1880" i="2" s="1"/>
  <c r="AV1879" i="2"/>
  <c r="AX1879" i="2" s="1"/>
  <c r="AV1878" i="2"/>
  <c r="AX1878" i="2" s="1"/>
  <c r="AV1877" i="2"/>
  <c r="AX1877" i="2" s="1"/>
  <c r="AV1876" i="2"/>
  <c r="AX1876" i="2" s="1"/>
  <c r="AV1875" i="2"/>
  <c r="AX1875" i="2" s="1"/>
  <c r="AV1874" i="2"/>
  <c r="AX1874" i="2" s="1"/>
  <c r="AV1873" i="2"/>
  <c r="AX1873" i="2" s="1"/>
  <c r="AV1872" i="2"/>
  <c r="AX1872" i="2" s="1"/>
  <c r="AV1871" i="2"/>
  <c r="AX1871" i="2" s="1"/>
  <c r="AV1870" i="2"/>
  <c r="AX1870" i="2" s="1"/>
  <c r="AV1869" i="2"/>
  <c r="AX1869" i="2" s="1"/>
  <c r="AV1868" i="2"/>
  <c r="AX1868" i="2" s="1"/>
  <c r="AV1867" i="2"/>
  <c r="AX1867" i="2" s="1"/>
  <c r="AV1866" i="2"/>
  <c r="AX1866" i="2" s="1"/>
  <c r="AV1865" i="2"/>
  <c r="AX1865" i="2" s="1"/>
  <c r="AV1864" i="2"/>
  <c r="AX1864" i="2" s="1"/>
  <c r="AV1863" i="2"/>
  <c r="AX1863" i="2" s="1"/>
  <c r="AV1862" i="2"/>
  <c r="AX1862" i="2" s="1"/>
  <c r="AV1861" i="2"/>
  <c r="AX1861" i="2" s="1"/>
  <c r="AV1860" i="2"/>
  <c r="AX1860" i="2" s="1"/>
  <c r="AV1859" i="2"/>
  <c r="AX1859" i="2" s="1"/>
  <c r="AV1858" i="2"/>
  <c r="AX1858" i="2" s="1"/>
  <c r="AV1857" i="2"/>
  <c r="AX1857" i="2" s="1"/>
  <c r="AV1856" i="2"/>
  <c r="AX1856" i="2" s="1"/>
  <c r="AV1855" i="2"/>
  <c r="AX1855" i="2" s="1"/>
  <c r="AV1854" i="2"/>
  <c r="AX1854" i="2" s="1"/>
  <c r="AV1853" i="2"/>
  <c r="AX1853" i="2" s="1"/>
  <c r="AV1852" i="2"/>
  <c r="AX1852" i="2" s="1"/>
  <c r="AV1851" i="2"/>
  <c r="AX1851" i="2" s="1"/>
  <c r="AV786" i="2"/>
  <c r="AX786" i="2" s="1"/>
  <c r="AV785" i="2"/>
  <c r="AX785" i="2" s="1"/>
  <c r="AV784" i="2"/>
  <c r="AX784" i="2" s="1"/>
  <c r="AV783" i="2"/>
  <c r="AX783" i="2" s="1"/>
  <c r="AV782" i="2"/>
  <c r="AX782" i="2" s="1"/>
  <c r="AV781" i="2"/>
  <c r="AX781" i="2" s="1"/>
  <c r="AV780" i="2"/>
  <c r="AX780" i="2" s="1"/>
  <c r="AV779" i="2"/>
  <c r="AX779" i="2" s="1"/>
  <c r="AV778" i="2"/>
  <c r="AX778" i="2" s="1"/>
  <c r="AV777" i="2"/>
  <c r="AX777" i="2" s="1"/>
  <c r="AV776" i="2"/>
  <c r="AX776" i="2" s="1"/>
  <c r="AV775" i="2"/>
  <c r="AX775" i="2" s="1"/>
  <c r="AV774" i="2"/>
  <c r="AX774" i="2" s="1"/>
  <c r="AV773" i="2"/>
  <c r="AX773" i="2" s="1"/>
  <c r="AV772" i="2"/>
  <c r="AX772" i="2" s="1"/>
  <c r="AV771" i="2"/>
  <c r="AX771" i="2" s="1"/>
  <c r="AV770" i="2"/>
  <c r="AX770" i="2" s="1"/>
  <c r="AV769" i="2"/>
  <c r="AX769" i="2" s="1"/>
  <c r="AV768" i="2"/>
  <c r="AX768" i="2" s="1"/>
  <c r="AV767" i="2"/>
  <c r="AX767" i="2" s="1"/>
  <c r="AV766" i="2"/>
  <c r="AX766" i="2" s="1"/>
  <c r="AV765" i="2"/>
  <c r="AX765" i="2" s="1"/>
  <c r="AV764" i="2"/>
  <c r="AX764" i="2" s="1"/>
  <c r="AV763" i="2"/>
  <c r="AX763" i="2" s="1"/>
  <c r="AV762" i="2"/>
  <c r="AX762" i="2" s="1"/>
  <c r="AV761" i="2"/>
  <c r="AX761" i="2" s="1"/>
  <c r="AV760" i="2"/>
  <c r="AX760" i="2" s="1"/>
  <c r="AV759" i="2"/>
  <c r="AX759" i="2" s="1"/>
  <c r="AV758" i="2"/>
  <c r="AX758" i="2" s="1"/>
  <c r="AV757" i="2"/>
  <c r="AX757" i="2" s="1"/>
  <c r="AV756" i="2"/>
  <c r="AX756" i="2" s="1"/>
  <c r="AV755" i="2"/>
  <c r="AX755" i="2" s="1"/>
  <c r="AV754" i="2"/>
  <c r="AX754" i="2" s="1"/>
  <c r="AV753" i="2"/>
  <c r="AX753" i="2" s="1"/>
  <c r="AV752" i="2"/>
  <c r="AX752" i="2" s="1"/>
  <c r="AV751" i="2"/>
  <c r="AX751" i="2" s="1"/>
  <c r="AV750" i="2"/>
  <c r="AX750" i="2" s="1"/>
  <c r="AV749" i="2"/>
  <c r="AX749" i="2" s="1"/>
  <c r="AV748" i="2"/>
  <c r="AX748" i="2" s="1"/>
  <c r="AV747" i="2"/>
  <c r="AX747" i="2" s="1"/>
  <c r="AV746" i="2"/>
  <c r="AX746" i="2" s="1"/>
  <c r="AV745" i="2"/>
  <c r="AX745" i="2" s="1"/>
  <c r="AV744" i="2"/>
  <c r="AX744" i="2" s="1"/>
  <c r="AV743" i="2"/>
  <c r="AX743" i="2" s="1"/>
  <c r="AV742" i="2"/>
  <c r="AX742" i="2" s="1"/>
  <c r="AV741" i="2"/>
  <c r="AX741" i="2" s="1"/>
  <c r="AV740" i="2"/>
  <c r="AX740" i="2" s="1"/>
  <c r="AV739" i="2"/>
  <c r="AX739" i="2" s="1"/>
  <c r="AV738" i="2"/>
  <c r="AX738" i="2" s="1"/>
  <c r="AV737" i="2"/>
  <c r="AX737" i="2" s="1"/>
  <c r="AV736" i="2"/>
  <c r="AX736" i="2" s="1"/>
  <c r="AV735" i="2"/>
  <c r="AX735" i="2" s="1"/>
  <c r="AV734" i="2"/>
  <c r="AX734" i="2" s="1"/>
  <c r="AV733" i="2"/>
  <c r="AX733" i="2" s="1"/>
  <c r="AV732" i="2"/>
  <c r="AX732" i="2" s="1"/>
  <c r="AV731" i="2"/>
  <c r="AX731" i="2" s="1"/>
  <c r="AV730" i="2"/>
  <c r="AX730" i="2" s="1"/>
  <c r="AV729" i="2"/>
  <c r="AX729" i="2" s="1"/>
  <c r="AV728" i="2"/>
  <c r="AX728" i="2" s="1"/>
  <c r="AV727" i="2"/>
  <c r="AX727" i="2" s="1"/>
  <c r="AV726" i="2"/>
  <c r="AX726" i="2" s="1"/>
  <c r="AV725" i="2"/>
  <c r="AX725" i="2" s="1"/>
  <c r="AV724" i="2"/>
  <c r="AX724" i="2" s="1"/>
  <c r="AV723" i="2"/>
  <c r="AX723" i="2" s="1"/>
  <c r="AV722" i="2"/>
  <c r="AX722" i="2" s="1"/>
  <c r="AV721" i="2"/>
  <c r="AX721" i="2" s="1"/>
  <c r="AV720" i="2"/>
  <c r="AX720" i="2" s="1"/>
  <c r="AV719" i="2"/>
  <c r="AX719" i="2" s="1"/>
  <c r="AV718" i="2"/>
  <c r="AX718" i="2" s="1"/>
  <c r="AV717" i="2"/>
  <c r="AX717" i="2" s="1"/>
  <c r="AV716" i="2"/>
  <c r="AX716" i="2" s="1"/>
  <c r="AV715" i="2"/>
  <c r="AX715" i="2" s="1"/>
  <c r="AV714" i="2"/>
  <c r="AX714" i="2" s="1"/>
  <c r="AV713" i="2"/>
  <c r="AX713" i="2" s="1"/>
  <c r="AV712" i="2"/>
  <c r="AX712" i="2" s="1"/>
  <c r="AV711" i="2"/>
  <c r="AX711" i="2" s="1"/>
  <c r="AV710" i="2"/>
  <c r="AX710" i="2" s="1"/>
  <c r="AV709" i="2"/>
  <c r="AX709" i="2" s="1"/>
  <c r="AV708" i="2"/>
  <c r="AX708" i="2" s="1"/>
  <c r="AV707" i="2"/>
  <c r="AX707" i="2" s="1"/>
  <c r="AV706" i="2"/>
  <c r="AX706" i="2" s="1"/>
  <c r="AV705" i="2"/>
  <c r="AX705" i="2" s="1"/>
  <c r="AV704" i="2"/>
  <c r="AX704" i="2" s="1"/>
  <c r="AV703" i="2"/>
  <c r="AX703" i="2" s="1"/>
  <c r="AV702" i="2"/>
  <c r="AX702" i="2" s="1"/>
  <c r="AV701" i="2"/>
  <c r="AX701" i="2" s="1"/>
  <c r="AV700" i="2"/>
  <c r="AX700" i="2" s="1"/>
  <c r="AV699" i="2"/>
  <c r="AX699" i="2" s="1"/>
  <c r="AV698" i="2"/>
  <c r="AX698" i="2" s="1"/>
  <c r="AV697" i="2"/>
  <c r="AX697" i="2" s="1"/>
  <c r="AV696" i="2"/>
  <c r="AX696" i="2" s="1"/>
  <c r="AV695" i="2"/>
  <c r="AX695" i="2" s="1"/>
  <c r="AV694" i="2"/>
  <c r="AX694" i="2" s="1"/>
  <c r="AV693" i="2"/>
  <c r="AX693" i="2" s="1"/>
  <c r="AV692" i="2"/>
  <c r="AX692" i="2" s="1"/>
  <c r="AV691" i="2"/>
  <c r="AX691" i="2" s="1"/>
  <c r="AV690" i="2"/>
  <c r="AX690" i="2" s="1"/>
  <c r="AV689" i="2"/>
  <c r="AX689" i="2" s="1"/>
  <c r="AV688" i="2"/>
  <c r="AX688" i="2" s="1"/>
  <c r="AV687" i="2"/>
  <c r="AX687" i="2" s="1"/>
  <c r="AV686" i="2"/>
  <c r="AX686" i="2" s="1"/>
  <c r="AV685" i="2"/>
  <c r="AX685" i="2" s="1"/>
  <c r="AV684" i="2"/>
  <c r="AX684" i="2" s="1"/>
  <c r="AV683" i="2"/>
  <c r="AX683" i="2" s="1"/>
  <c r="AV682" i="2"/>
  <c r="AX682" i="2" s="1"/>
  <c r="AV681" i="2"/>
  <c r="AX681" i="2" s="1"/>
  <c r="AV680" i="2"/>
  <c r="AX680" i="2" s="1"/>
  <c r="AV679" i="2"/>
  <c r="AX679" i="2" s="1"/>
  <c r="AV678" i="2"/>
  <c r="AX678" i="2" s="1"/>
  <c r="AV677" i="2"/>
  <c r="AX677" i="2" s="1"/>
  <c r="AV676" i="2"/>
  <c r="AX676" i="2" s="1"/>
  <c r="AV675" i="2"/>
  <c r="AX675" i="2" s="1"/>
  <c r="AV674" i="2"/>
  <c r="AX674" i="2" s="1"/>
  <c r="AV673" i="2"/>
  <c r="AX673" i="2" s="1"/>
  <c r="AV672" i="2"/>
  <c r="AX672" i="2" s="1"/>
  <c r="AV671" i="2"/>
  <c r="AX671" i="2" s="1"/>
  <c r="AV670" i="2"/>
  <c r="AX670" i="2" s="1"/>
  <c r="AV669" i="2"/>
  <c r="AX669" i="2" s="1"/>
  <c r="AV668" i="2"/>
  <c r="AX668" i="2" s="1"/>
  <c r="AV667" i="2"/>
  <c r="AX667" i="2" s="1"/>
  <c r="AV666" i="2"/>
  <c r="AX666" i="2" s="1"/>
  <c r="AV665" i="2"/>
  <c r="AX665" i="2" s="1"/>
  <c r="AV664" i="2"/>
  <c r="AX664" i="2" s="1"/>
  <c r="AV663" i="2"/>
  <c r="AX663" i="2" s="1"/>
  <c r="AV662" i="2"/>
  <c r="AX662" i="2" s="1"/>
  <c r="AV661" i="2"/>
  <c r="AX661" i="2" s="1"/>
  <c r="AV660" i="2"/>
  <c r="AX660" i="2" s="1"/>
  <c r="AV659" i="2"/>
  <c r="AX659" i="2" s="1"/>
  <c r="AV658" i="2"/>
  <c r="AX658" i="2" s="1"/>
  <c r="AV657" i="2"/>
  <c r="AX657" i="2" s="1"/>
  <c r="AV656" i="2"/>
  <c r="AX656" i="2" s="1"/>
  <c r="AV655" i="2"/>
  <c r="AX655" i="2" s="1"/>
  <c r="AV654" i="2"/>
  <c r="AX654" i="2" s="1"/>
  <c r="AV653" i="2"/>
  <c r="AX653" i="2" s="1"/>
  <c r="AV652" i="2"/>
  <c r="AX652" i="2" s="1"/>
  <c r="AV651" i="2"/>
  <c r="AX651" i="2" s="1"/>
  <c r="AV650" i="2"/>
  <c r="AX650" i="2" s="1"/>
  <c r="AV649" i="2"/>
  <c r="AX649" i="2" s="1"/>
  <c r="AV648" i="2"/>
  <c r="AX648" i="2" s="1"/>
  <c r="AV647" i="2"/>
  <c r="AX647" i="2" s="1"/>
  <c r="AV646" i="2"/>
  <c r="AX646" i="2" s="1"/>
  <c r="AV645" i="2"/>
  <c r="AX645" i="2" s="1"/>
  <c r="AV644" i="2"/>
  <c r="AX644" i="2" s="1"/>
  <c r="AV643" i="2"/>
  <c r="AX643" i="2" s="1"/>
  <c r="AV642" i="2"/>
  <c r="AX642" i="2" s="1"/>
  <c r="AV641" i="2"/>
  <c r="AX641" i="2" s="1"/>
  <c r="AV640" i="2"/>
  <c r="AX640" i="2" s="1"/>
  <c r="AV639" i="2"/>
  <c r="AX639" i="2" s="1"/>
  <c r="AV638" i="2"/>
  <c r="AX638" i="2" s="1"/>
  <c r="AV637" i="2"/>
  <c r="AX637" i="2" s="1"/>
  <c r="AV636" i="2"/>
  <c r="AX636" i="2" s="1"/>
  <c r="AV635" i="2"/>
  <c r="AX635" i="2" s="1"/>
  <c r="AV634" i="2"/>
  <c r="AX634" i="2" s="1"/>
  <c r="AV633" i="2"/>
  <c r="AX633" i="2" s="1"/>
  <c r="AV632" i="2"/>
  <c r="AX632" i="2" s="1"/>
  <c r="AV631" i="2"/>
  <c r="AX631" i="2" s="1"/>
  <c r="AV630" i="2"/>
  <c r="AX630" i="2" s="1"/>
  <c r="AV629" i="2"/>
  <c r="AX629" i="2" s="1"/>
  <c r="AV628" i="2"/>
  <c r="AX628" i="2" s="1"/>
  <c r="AV627" i="2"/>
  <c r="AX627" i="2" s="1"/>
  <c r="AV626" i="2"/>
  <c r="AX626" i="2" s="1"/>
  <c r="AV625" i="2"/>
  <c r="AX625" i="2" s="1"/>
  <c r="AV624" i="2"/>
  <c r="AX624" i="2" s="1"/>
  <c r="AV623" i="2"/>
  <c r="AX623" i="2" s="1"/>
  <c r="AV622" i="2"/>
  <c r="AX622" i="2" s="1"/>
  <c r="AV621" i="2"/>
  <c r="AX621" i="2" s="1"/>
  <c r="AV620" i="2"/>
  <c r="AX620" i="2" s="1"/>
  <c r="AV619" i="2"/>
  <c r="AX619" i="2" s="1"/>
  <c r="AV618" i="2"/>
  <c r="AX618" i="2" s="1"/>
  <c r="AV617" i="2"/>
  <c r="AX617" i="2" s="1"/>
  <c r="AV616" i="2"/>
  <c r="AX616" i="2" s="1"/>
  <c r="AV615" i="2"/>
  <c r="AX615" i="2" s="1"/>
  <c r="AV614" i="2"/>
  <c r="AX614" i="2" s="1"/>
  <c r="AV613" i="2"/>
  <c r="AX613" i="2" s="1"/>
  <c r="AV612" i="2"/>
  <c r="AX612" i="2" s="1"/>
  <c r="AV611" i="2"/>
  <c r="AX611" i="2" s="1"/>
  <c r="AV610" i="2"/>
  <c r="AX610" i="2" s="1"/>
  <c r="AV609" i="2"/>
  <c r="AX609" i="2" s="1"/>
  <c r="AV608" i="2"/>
  <c r="AX608" i="2" s="1"/>
  <c r="AV607" i="2"/>
  <c r="AX607" i="2" s="1"/>
  <c r="AV606" i="2"/>
  <c r="AX606" i="2" s="1"/>
  <c r="AV605" i="2"/>
  <c r="AX605" i="2" s="1"/>
  <c r="AV604" i="2"/>
  <c r="AX604" i="2" s="1"/>
  <c r="AV603" i="2"/>
  <c r="AX603" i="2" s="1"/>
  <c r="AV602" i="2"/>
  <c r="AX602" i="2" s="1"/>
  <c r="AV601" i="2"/>
  <c r="AX601" i="2" s="1"/>
  <c r="AV600" i="2"/>
  <c r="AX600" i="2" s="1"/>
  <c r="AV599" i="2"/>
  <c r="AX599" i="2" s="1"/>
  <c r="AV598" i="2"/>
  <c r="AX598" i="2" s="1"/>
  <c r="AV597" i="2"/>
  <c r="AX597" i="2" s="1"/>
  <c r="AV596" i="2"/>
  <c r="AX596" i="2" s="1"/>
  <c r="AV595" i="2"/>
  <c r="AX595" i="2" s="1"/>
  <c r="AV594" i="2"/>
  <c r="AX594" i="2" s="1"/>
  <c r="AV593" i="2"/>
  <c r="AX593" i="2" s="1"/>
  <c r="AV592" i="2"/>
  <c r="AX592" i="2" s="1"/>
  <c r="AV591" i="2"/>
  <c r="AX591" i="2" s="1"/>
  <c r="AV590" i="2"/>
  <c r="AX590" i="2" s="1"/>
  <c r="AV589" i="2"/>
  <c r="AX589" i="2" s="1"/>
  <c r="AV588" i="2"/>
  <c r="AX588" i="2" s="1"/>
  <c r="AV587" i="2"/>
  <c r="AX587" i="2" s="1"/>
  <c r="AV586" i="2"/>
  <c r="AX586" i="2" s="1"/>
  <c r="AV585" i="2"/>
  <c r="AX585" i="2" s="1"/>
  <c r="AV584" i="2"/>
  <c r="AX584" i="2" s="1"/>
  <c r="AV583" i="2"/>
  <c r="AX583" i="2" s="1"/>
  <c r="AV582" i="2"/>
  <c r="AX582" i="2" s="1"/>
  <c r="AV581" i="2"/>
  <c r="AX581" i="2" s="1"/>
  <c r="AV580" i="2"/>
  <c r="AX580" i="2" s="1"/>
  <c r="AV579" i="2"/>
  <c r="AX579" i="2" s="1"/>
  <c r="AV578" i="2"/>
  <c r="AX578" i="2" s="1"/>
  <c r="AV577" i="2"/>
  <c r="AX577" i="2" s="1"/>
  <c r="AV576" i="2"/>
  <c r="AX576" i="2" s="1"/>
  <c r="AV575" i="2"/>
  <c r="AX575" i="2" s="1"/>
  <c r="AV574" i="2"/>
  <c r="AX574" i="2" s="1"/>
  <c r="AV573" i="2"/>
  <c r="AX573" i="2" s="1"/>
  <c r="AV572" i="2"/>
  <c r="AX572" i="2" s="1"/>
  <c r="AV571" i="2"/>
  <c r="AX571" i="2" s="1"/>
  <c r="AV570" i="2"/>
  <c r="AX570" i="2" s="1"/>
  <c r="AV569" i="2"/>
  <c r="AX569" i="2" s="1"/>
  <c r="AV568" i="2"/>
  <c r="AX568" i="2" s="1"/>
  <c r="AV567" i="2"/>
  <c r="AX567" i="2" s="1"/>
  <c r="AV566" i="2"/>
  <c r="AX566" i="2" s="1"/>
  <c r="AV565" i="2"/>
  <c r="AX565" i="2" s="1"/>
  <c r="AV564" i="2"/>
  <c r="AX564" i="2" s="1"/>
  <c r="AV563" i="2"/>
  <c r="AX563" i="2" s="1"/>
  <c r="AV562" i="2"/>
  <c r="AX562" i="2" s="1"/>
  <c r="AV561" i="2"/>
  <c r="AX561" i="2" s="1"/>
  <c r="AV560" i="2"/>
  <c r="AX560" i="2" s="1"/>
  <c r="AV559" i="2"/>
  <c r="AX559" i="2" s="1"/>
  <c r="AV558" i="2"/>
  <c r="AX558" i="2" s="1"/>
  <c r="AV557" i="2"/>
  <c r="AX557" i="2" s="1"/>
  <c r="AV556" i="2"/>
  <c r="AX556" i="2" s="1"/>
  <c r="AV555" i="2"/>
  <c r="AX555" i="2" s="1"/>
  <c r="AV554" i="2"/>
  <c r="AX554" i="2" s="1"/>
  <c r="AV553" i="2"/>
  <c r="AX553" i="2" s="1"/>
  <c r="AV552" i="2"/>
  <c r="AX552" i="2" s="1"/>
  <c r="AV551" i="2"/>
  <c r="AX551" i="2" s="1"/>
  <c r="AV550" i="2"/>
  <c r="AX550" i="2" s="1"/>
  <c r="AV549" i="2"/>
  <c r="AX549" i="2" s="1"/>
  <c r="AV548" i="2"/>
  <c r="AX548" i="2" s="1"/>
  <c r="AV547" i="2"/>
  <c r="AX547" i="2" s="1"/>
  <c r="AV546" i="2"/>
  <c r="AX546" i="2" s="1"/>
  <c r="AV545" i="2"/>
  <c r="AX545" i="2" s="1"/>
  <c r="AV544" i="2"/>
  <c r="AX544" i="2" s="1"/>
  <c r="AV543" i="2"/>
  <c r="AX543" i="2" s="1"/>
  <c r="AV542" i="2"/>
  <c r="AX542" i="2" s="1"/>
  <c r="AV541" i="2"/>
  <c r="AX541" i="2" s="1"/>
  <c r="AV540" i="2"/>
  <c r="AX540" i="2" s="1"/>
  <c r="AV539" i="2"/>
  <c r="AX539" i="2" s="1"/>
  <c r="AV538" i="2"/>
  <c r="AX538" i="2" s="1"/>
  <c r="AV537" i="2"/>
  <c r="AX537" i="2" s="1"/>
  <c r="AV536" i="2"/>
  <c r="AX536" i="2" s="1"/>
  <c r="AV535" i="2"/>
  <c r="AX535" i="2" s="1"/>
  <c r="AV534" i="2"/>
  <c r="AX534" i="2" s="1"/>
  <c r="AV533" i="2"/>
  <c r="AX533" i="2" s="1"/>
  <c r="AV532" i="2"/>
  <c r="AX532" i="2" s="1"/>
  <c r="AV531" i="2"/>
  <c r="AX531" i="2" s="1"/>
  <c r="AV530" i="2"/>
  <c r="AX530" i="2" s="1"/>
  <c r="AV529" i="2"/>
  <c r="AX529" i="2" s="1"/>
  <c r="AV528" i="2"/>
  <c r="AX528" i="2" s="1"/>
  <c r="AV527" i="2"/>
  <c r="AX527" i="2" s="1"/>
  <c r="AV526" i="2"/>
  <c r="AX526" i="2" s="1"/>
  <c r="AV525" i="2"/>
  <c r="AX525" i="2" s="1"/>
  <c r="AV524" i="2"/>
  <c r="AX524" i="2" s="1"/>
  <c r="AV523" i="2"/>
  <c r="AX523" i="2" s="1"/>
  <c r="AV522" i="2"/>
  <c r="AX522" i="2" s="1"/>
  <c r="AV521" i="2"/>
  <c r="AX521" i="2" s="1"/>
  <c r="AV520" i="2"/>
  <c r="AX520" i="2" s="1"/>
  <c r="AV519" i="2"/>
  <c r="AX519" i="2" s="1"/>
  <c r="AV518" i="2"/>
  <c r="AX518" i="2" s="1"/>
  <c r="AV517" i="2"/>
  <c r="AX517" i="2" s="1"/>
  <c r="AV516" i="2"/>
  <c r="AX516" i="2" s="1"/>
  <c r="AV515" i="2"/>
  <c r="AX515" i="2" s="1"/>
  <c r="AV514" i="2"/>
  <c r="AX514" i="2" s="1"/>
  <c r="AV513" i="2"/>
  <c r="AX513" i="2" s="1"/>
  <c r="AV512" i="2"/>
  <c r="AX512" i="2" s="1"/>
  <c r="AV511" i="2"/>
  <c r="AX511" i="2" s="1"/>
  <c r="BA510" i="2"/>
  <c r="AZ510" i="2"/>
  <c r="AY510" i="2"/>
  <c r="AV510" i="2"/>
  <c r="AX510" i="2" s="1"/>
  <c r="BA509" i="2"/>
  <c r="AZ509" i="2"/>
  <c r="AY509" i="2"/>
  <c r="AV509" i="2"/>
  <c r="AX509" i="2" s="1"/>
  <c r="BA508" i="2"/>
  <c r="AZ508" i="2"/>
  <c r="AY508" i="2"/>
  <c r="AV508" i="2"/>
  <c r="AX508" i="2" s="1"/>
  <c r="BA507" i="2"/>
  <c r="AZ507" i="2"/>
  <c r="AY507" i="2"/>
  <c r="AV507" i="2"/>
  <c r="AX507" i="2" s="1"/>
  <c r="BA506" i="2"/>
  <c r="AZ506" i="2"/>
  <c r="AY506" i="2"/>
  <c r="AV506" i="2"/>
  <c r="AX506" i="2" s="1"/>
  <c r="BA505" i="2"/>
  <c r="AZ505" i="2"/>
  <c r="AY505" i="2"/>
  <c r="AV505" i="2"/>
  <c r="AX505" i="2" s="1"/>
  <c r="BA504" i="2"/>
  <c r="AZ504" i="2"/>
  <c r="AY504" i="2"/>
  <c r="AV504" i="2"/>
  <c r="AX504" i="2" s="1"/>
  <c r="BA503" i="2"/>
  <c r="AZ503" i="2"/>
  <c r="AY503" i="2"/>
  <c r="AV503" i="2"/>
  <c r="AX503" i="2" s="1"/>
  <c r="BA502" i="2"/>
  <c r="AZ502" i="2"/>
  <c r="AY502" i="2"/>
  <c r="AV502" i="2"/>
  <c r="AX502" i="2" s="1"/>
  <c r="BA501" i="2"/>
  <c r="AZ501" i="2"/>
  <c r="AY501" i="2"/>
  <c r="AV501" i="2"/>
  <c r="AX501" i="2" s="1"/>
  <c r="BA500" i="2"/>
  <c r="AZ500" i="2"/>
  <c r="AY500" i="2"/>
  <c r="AV500" i="2"/>
  <c r="AX500" i="2" s="1"/>
  <c r="BA499" i="2"/>
  <c r="AZ499" i="2"/>
  <c r="AY499" i="2"/>
  <c r="AV499" i="2"/>
  <c r="AX499" i="2" s="1"/>
  <c r="BA498" i="2"/>
  <c r="AZ498" i="2"/>
  <c r="AY498" i="2"/>
  <c r="AV498" i="2"/>
  <c r="AX498" i="2" s="1"/>
  <c r="BA497" i="2"/>
  <c r="AZ497" i="2"/>
  <c r="AY497" i="2"/>
  <c r="AV497" i="2"/>
  <c r="AX497" i="2" s="1"/>
  <c r="BA496" i="2"/>
  <c r="AZ496" i="2"/>
  <c r="AY496" i="2"/>
  <c r="AV496" i="2"/>
  <c r="AX496" i="2" s="1"/>
  <c r="BA495" i="2"/>
  <c r="AZ495" i="2"/>
  <c r="AY495" i="2"/>
  <c r="AV495" i="2"/>
  <c r="AX495" i="2" s="1"/>
  <c r="BA494" i="2"/>
  <c r="AZ494" i="2"/>
  <c r="AY494" i="2"/>
  <c r="AV494" i="2"/>
  <c r="AX494" i="2" s="1"/>
  <c r="BA493" i="2"/>
  <c r="AZ493" i="2"/>
  <c r="AY493" i="2"/>
  <c r="AV493" i="2"/>
  <c r="AX493" i="2" s="1"/>
  <c r="BA492" i="2"/>
  <c r="AZ492" i="2"/>
  <c r="AY492" i="2"/>
  <c r="AV492" i="2"/>
  <c r="AX492" i="2" s="1"/>
  <c r="BA491" i="2"/>
  <c r="AZ491" i="2"/>
  <c r="AY491" i="2"/>
  <c r="AV491" i="2"/>
  <c r="AX491" i="2" s="1"/>
  <c r="BA490" i="2"/>
  <c r="AZ490" i="2"/>
  <c r="AY490" i="2"/>
  <c r="AV490" i="2"/>
  <c r="AX490" i="2" s="1"/>
  <c r="BA489" i="2"/>
  <c r="AZ489" i="2"/>
  <c r="AY489" i="2"/>
  <c r="AV489" i="2"/>
  <c r="AX489" i="2" s="1"/>
  <c r="BA488" i="2"/>
  <c r="AZ488" i="2"/>
  <c r="AY488" i="2"/>
  <c r="AV488" i="2"/>
  <c r="AX488" i="2" s="1"/>
  <c r="BA487" i="2"/>
  <c r="AZ487" i="2"/>
  <c r="AY487" i="2"/>
  <c r="AV487" i="2"/>
  <c r="AX487" i="2" s="1"/>
  <c r="BA486" i="2"/>
  <c r="AZ486" i="2"/>
  <c r="AY486" i="2"/>
  <c r="AV486" i="2"/>
  <c r="AX486" i="2" s="1"/>
  <c r="BA485" i="2"/>
  <c r="AZ485" i="2"/>
  <c r="AY485" i="2"/>
  <c r="AV485" i="2"/>
  <c r="AX485" i="2" s="1"/>
  <c r="BA484" i="2"/>
  <c r="AZ484" i="2"/>
  <c r="AY484" i="2"/>
  <c r="AV484" i="2"/>
  <c r="AX484" i="2" s="1"/>
  <c r="BA483" i="2"/>
  <c r="AZ483" i="2"/>
  <c r="AY483" i="2"/>
  <c r="AV483" i="2"/>
  <c r="AX483" i="2" s="1"/>
  <c r="BA482" i="2"/>
  <c r="AZ482" i="2"/>
  <c r="AY482" i="2"/>
  <c r="AV482" i="2"/>
  <c r="AX482" i="2" s="1"/>
  <c r="BA481" i="2"/>
  <c r="AZ481" i="2"/>
  <c r="AY481" i="2"/>
  <c r="AV481" i="2"/>
  <c r="AX481" i="2" s="1"/>
  <c r="BA480" i="2"/>
  <c r="AZ480" i="2"/>
  <c r="AY480" i="2"/>
  <c r="AV480" i="2"/>
  <c r="AX480" i="2" s="1"/>
  <c r="BA479" i="2"/>
  <c r="AZ479" i="2"/>
  <c r="AY479" i="2"/>
  <c r="AV479" i="2"/>
  <c r="AX479" i="2" s="1"/>
  <c r="BA478" i="2"/>
  <c r="AZ478" i="2"/>
  <c r="AY478" i="2"/>
  <c r="AV478" i="2"/>
  <c r="AX478" i="2" s="1"/>
  <c r="BA477" i="2"/>
  <c r="AZ477" i="2"/>
  <c r="AY477" i="2"/>
  <c r="AV477" i="2"/>
  <c r="AX477" i="2" s="1"/>
  <c r="BA476" i="2"/>
  <c r="AZ476" i="2"/>
  <c r="AY476" i="2"/>
  <c r="AV476" i="2"/>
  <c r="AX476" i="2" s="1"/>
  <c r="BA475" i="2"/>
  <c r="AZ475" i="2"/>
  <c r="AY475" i="2"/>
  <c r="AV475" i="2"/>
  <c r="AX475" i="2" s="1"/>
  <c r="BA474" i="2"/>
  <c r="AZ474" i="2"/>
  <c r="AY474" i="2"/>
  <c r="AV474" i="2"/>
  <c r="AX474" i="2" s="1"/>
  <c r="BA473" i="2"/>
  <c r="AZ473" i="2"/>
  <c r="AY473" i="2"/>
  <c r="AV473" i="2"/>
  <c r="AX473" i="2" s="1"/>
  <c r="BA472" i="2"/>
  <c r="AZ472" i="2"/>
  <c r="AY472" i="2"/>
  <c r="AV472" i="2"/>
  <c r="AX472" i="2" s="1"/>
  <c r="BA471" i="2"/>
  <c r="AZ471" i="2"/>
  <c r="AY471" i="2"/>
  <c r="AV471" i="2"/>
  <c r="AX471" i="2" s="1"/>
  <c r="BA470" i="2"/>
  <c r="AZ470" i="2"/>
  <c r="AY470" i="2"/>
  <c r="AV470" i="2"/>
  <c r="AX470" i="2" s="1"/>
  <c r="BA469" i="2"/>
  <c r="AZ469" i="2"/>
  <c r="AY469" i="2"/>
  <c r="AV469" i="2"/>
  <c r="AX469" i="2" s="1"/>
  <c r="BA468" i="2"/>
  <c r="AZ468" i="2"/>
  <c r="AY468" i="2"/>
  <c r="AV468" i="2"/>
  <c r="AX468" i="2" s="1"/>
  <c r="BA467" i="2"/>
  <c r="AZ467" i="2"/>
  <c r="AY467" i="2"/>
  <c r="AV467" i="2"/>
  <c r="AX467" i="2" s="1"/>
  <c r="BA466" i="2"/>
  <c r="AZ466" i="2"/>
  <c r="AY466" i="2"/>
  <c r="AV466" i="2"/>
  <c r="AX466" i="2" s="1"/>
  <c r="BA465" i="2"/>
  <c r="AZ465" i="2"/>
  <c r="AY465" i="2"/>
  <c r="AV465" i="2"/>
  <c r="AX465" i="2" s="1"/>
  <c r="BA464" i="2"/>
  <c r="AZ464" i="2"/>
  <c r="AY464" i="2"/>
  <c r="AV464" i="2"/>
  <c r="AX464" i="2" s="1"/>
  <c r="BA463" i="2"/>
  <c r="AZ463" i="2"/>
  <c r="AY463" i="2"/>
  <c r="AV463" i="2"/>
  <c r="AX463" i="2" s="1"/>
  <c r="BA462" i="2"/>
  <c r="AZ462" i="2"/>
  <c r="AY462" i="2"/>
  <c r="AV462" i="2"/>
  <c r="AX462" i="2" s="1"/>
  <c r="BA461" i="2"/>
  <c r="AZ461" i="2"/>
  <c r="AY461" i="2"/>
  <c r="AV461" i="2"/>
  <c r="AX461" i="2" s="1"/>
  <c r="BA460" i="2"/>
  <c r="AZ460" i="2"/>
  <c r="AY460" i="2"/>
  <c r="AV460" i="2"/>
  <c r="AX460" i="2" s="1"/>
  <c r="BA459" i="2"/>
  <c r="AZ459" i="2"/>
  <c r="AY459" i="2"/>
  <c r="AV459" i="2"/>
  <c r="AX459" i="2" s="1"/>
  <c r="BA458" i="2"/>
  <c r="AZ458" i="2"/>
  <c r="AY458" i="2"/>
  <c r="AV458" i="2"/>
  <c r="AX458" i="2" s="1"/>
  <c r="BA457" i="2"/>
  <c r="AZ457" i="2"/>
  <c r="AY457" i="2"/>
  <c r="AV457" i="2"/>
  <c r="AX457" i="2" s="1"/>
  <c r="BA456" i="2"/>
  <c r="AZ456" i="2"/>
  <c r="AY456" i="2"/>
  <c r="AV456" i="2"/>
  <c r="AX456" i="2" s="1"/>
  <c r="BA455" i="2"/>
  <c r="AZ455" i="2"/>
  <c r="AY455" i="2"/>
  <c r="AV455" i="2"/>
  <c r="AX455" i="2" s="1"/>
  <c r="BA454" i="2"/>
  <c r="AZ454" i="2"/>
  <c r="AY454" i="2"/>
  <c r="AV454" i="2"/>
  <c r="AX454" i="2" s="1"/>
  <c r="BA453" i="2"/>
  <c r="AZ453" i="2"/>
  <c r="AY453" i="2"/>
  <c r="AV453" i="2"/>
  <c r="AX453" i="2" s="1"/>
  <c r="BA452" i="2"/>
  <c r="AZ452" i="2"/>
  <c r="AY452" i="2"/>
  <c r="AV452" i="2"/>
  <c r="AX452" i="2" s="1"/>
  <c r="BA451" i="2"/>
  <c r="AZ451" i="2"/>
  <c r="AY451" i="2"/>
  <c r="AV451" i="2"/>
  <c r="AX451" i="2" s="1"/>
  <c r="BA450" i="2"/>
  <c r="AZ450" i="2"/>
  <c r="AY450" i="2"/>
  <c r="AV450" i="2"/>
  <c r="AX450" i="2" s="1"/>
  <c r="BA449" i="2"/>
  <c r="AZ449" i="2"/>
  <c r="AY449" i="2"/>
  <c r="AV449" i="2"/>
  <c r="AX449" i="2" s="1"/>
  <c r="BA448" i="2"/>
  <c r="AZ448" i="2"/>
  <c r="AY448" i="2"/>
  <c r="AV448" i="2"/>
  <c r="AX448" i="2" s="1"/>
  <c r="BA447" i="2"/>
  <c r="AZ447" i="2"/>
  <c r="AY447" i="2"/>
  <c r="AV447" i="2"/>
  <c r="AX447" i="2" s="1"/>
  <c r="BA446" i="2"/>
  <c r="AZ446" i="2"/>
  <c r="AY446" i="2"/>
  <c r="AV446" i="2"/>
  <c r="AX446" i="2" s="1"/>
  <c r="BA445" i="2"/>
  <c r="AZ445" i="2"/>
  <c r="AY445" i="2"/>
  <c r="AV445" i="2"/>
  <c r="AX445" i="2" s="1"/>
  <c r="BA444" i="2"/>
  <c r="AZ444" i="2"/>
  <c r="AY444" i="2"/>
  <c r="AV444" i="2"/>
  <c r="AX444" i="2" s="1"/>
  <c r="BA443" i="2"/>
  <c r="AZ443" i="2"/>
  <c r="AY443" i="2"/>
  <c r="AV443" i="2"/>
  <c r="AX443" i="2" s="1"/>
  <c r="BA442" i="2"/>
  <c r="AZ442" i="2"/>
  <c r="AY442" i="2"/>
  <c r="AV442" i="2"/>
  <c r="AX442" i="2" s="1"/>
  <c r="BA441" i="2"/>
  <c r="AZ441" i="2"/>
  <c r="AY441" i="2"/>
  <c r="AV441" i="2"/>
  <c r="AX441" i="2" s="1"/>
  <c r="BA440" i="2"/>
  <c r="AZ440" i="2"/>
  <c r="AY440" i="2"/>
  <c r="AV440" i="2"/>
  <c r="AX440" i="2" s="1"/>
  <c r="BA439" i="2"/>
  <c r="AZ439" i="2"/>
  <c r="AY439" i="2"/>
  <c r="AV439" i="2"/>
  <c r="AX439" i="2" s="1"/>
  <c r="BA438" i="2"/>
  <c r="AZ438" i="2"/>
  <c r="AY438" i="2"/>
  <c r="AV438" i="2"/>
  <c r="AX438" i="2" s="1"/>
  <c r="BA437" i="2"/>
  <c r="AZ437" i="2"/>
  <c r="AY437" i="2"/>
  <c r="AV437" i="2"/>
  <c r="AX437" i="2" s="1"/>
  <c r="BA436" i="2"/>
  <c r="AZ436" i="2"/>
  <c r="AY436" i="2"/>
  <c r="AV436" i="2"/>
  <c r="AX436" i="2" s="1"/>
  <c r="BA435" i="2"/>
  <c r="AZ435" i="2"/>
  <c r="AY435" i="2"/>
  <c r="AV435" i="2"/>
  <c r="AX435" i="2" s="1"/>
  <c r="BA434" i="2"/>
  <c r="AZ434" i="2"/>
  <c r="AY434" i="2"/>
  <c r="AV434" i="2"/>
  <c r="AX434" i="2" s="1"/>
  <c r="BA433" i="2"/>
  <c r="AZ433" i="2"/>
  <c r="AY433" i="2"/>
  <c r="AV433" i="2"/>
  <c r="AX433" i="2" s="1"/>
  <c r="BA432" i="2"/>
  <c r="AZ432" i="2"/>
  <c r="AY432" i="2"/>
  <c r="AV432" i="2"/>
  <c r="AX432" i="2" s="1"/>
  <c r="BA431" i="2"/>
  <c r="AZ431" i="2"/>
  <c r="AY431" i="2"/>
  <c r="AV431" i="2"/>
  <c r="AX431" i="2" s="1"/>
  <c r="BA430" i="2"/>
  <c r="AZ430" i="2"/>
  <c r="AY430" i="2"/>
  <c r="AV430" i="2"/>
  <c r="AX430" i="2" s="1"/>
  <c r="BA429" i="2"/>
  <c r="AZ429" i="2"/>
  <c r="AY429" i="2"/>
  <c r="AV429" i="2"/>
  <c r="AX429" i="2" s="1"/>
  <c r="BA428" i="2"/>
  <c r="AZ428" i="2"/>
  <c r="AY428" i="2"/>
  <c r="AV428" i="2"/>
  <c r="AX428" i="2" s="1"/>
  <c r="BA427" i="2"/>
  <c r="AZ427" i="2"/>
  <c r="AY427" i="2"/>
  <c r="AV427" i="2"/>
  <c r="AX427" i="2" s="1"/>
  <c r="BA426" i="2"/>
  <c r="AZ426" i="2"/>
  <c r="AY426" i="2"/>
  <c r="AV426" i="2"/>
  <c r="AX426" i="2" s="1"/>
  <c r="BA425" i="2"/>
  <c r="AZ425" i="2"/>
  <c r="AY425" i="2"/>
  <c r="AV425" i="2"/>
  <c r="AX425" i="2" s="1"/>
  <c r="BA424" i="2"/>
  <c r="AZ424" i="2"/>
  <c r="AY424" i="2"/>
  <c r="AV424" i="2"/>
  <c r="AX424" i="2" s="1"/>
  <c r="BA423" i="2"/>
  <c r="AZ423" i="2"/>
  <c r="AY423" i="2"/>
  <c r="AV423" i="2"/>
  <c r="AX423" i="2" s="1"/>
  <c r="BA422" i="2"/>
  <c r="AZ422" i="2"/>
  <c r="AY422" i="2"/>
  <c r="AV422" i="2"/>
  <c r="AX422" i="2" s="1"/>
  <c r="BA421" i="2"/>
  <c r="AZ421" i="2"/>
  <c r="AY421" i="2"/>
  <c r="AV421" i="2"/>
  <c r="AX421" i="2" s="1"/>
  <c r="BA420" i="2"/>
  <c r="AZ420" i="2"/>
  <c r="AY420" i="2"/>
  <c r="AV420" i="2"/>
  <c r="AX420" i="2" s="1"/>
  <c r="BA419" i="2"/>
  <c r="AZ419" i="2"/>
  <c r="AY419" i="2"/>
  <c r="AV419" i="2"/>
  <c r="AX419" i="2" s="1"/>
  <c r="BA418" i="2"/>
  <c r="AZ418" i="2"/>
  <c r="AY418" i="2"/>
  <c r="AV418" i="2"/>
  <c r="AX418" i="2" s="1"/>
  <c r="BA417" i="2"/>
  <c r="AZ417" i="2"/>
  <c r="AY417" i="2"/>
  <c r="AV417" i="2"/>
  <c r="AX417" i="2" s="1"/>
  <c r="BA416" i="2"/>
  <c r="AZ416" i="2"/>
  <c r="AY416" i="2"/>
  <c r="AV416" i="2"/>
  <c r="AX416" i="2" s="1"/>
  <c r="BA415" i="2"/>
  <c r="AZ415" i="2"/>
  <c r="AY415" i="2"/>
  <c r="AV415" i="2"/>
  <c r="AX415" i="2" s="1"/>
  <c r="BA414" i="2"/>
  <c r="AZ414" i="2"/>
  <c r="AY414" i="2"/>
  <c r="AV414" i="2"/>
  <c r="AX414" i="2" s="1"/>
  <c r="BA413" i="2"/>
  <c r="AZ413" i="2"/>
  <c r="AY413" i="2"/>
  <c r="AV413" i="2"/>
  <c r="AX413" i="2" s="1"/>
  <c r="BA412" i="2"/>
  <c r="AZ412" i="2"/>
  <c r="AY412" i="2"/>
  <c r="AV412" i="2"/>
  <c r="AX412" i="2" s="1"/>
  <c r="BA411" i="2"/>
  <c r="AZ411" i="2"/>
  <c r="AY411" i="2"/>
  <c r="AV411" i="2"/>
  <c r="AX411" i="2" s="1"/>
  <c r="BA410" i="2"/>
  <c r="AZ410" i="2"/>
  <c r="AY410" i="2"/>
  <c r="AV410" i="2"/>
  <c r="AX410" i="2" s="1"/>
  <c r="BA409" i="2"/>
  <c r="AZ409" i="2"/>
  <c r="AY409" i="2"/>
  <c r="AV409" i="2"/>
  <c r="AX409" i="2" s="1"/>
  <c r="BA408" i="2"/>
  <c r="AZ408" i="2"/>
  <c r="AY408" i="2"/>
  <c r="AV408" i="2"/>
  <c r="AX408" i="2" s="1"/>
  <c r="BA407" i="2"/>
  <c r="AZ407" i="2"/>
  <c r="AY407" i="2"/>
  <c r="AV407" i="2"/>
  <c r="AX407" i="2" s="1"/>
  <c r="BA406" i="2"/>
  <c r="AZ406" i="2"/>
  <c r="AY406" i="2"/>
  <c r="AV406" i="2"/>
  <c r="AX406" i="2" s="1"/>
  <c r="BA405" i="2"/>
  <c r="AZ405" i="2"/>
  <c r="AY405" i="2"/>
  <c r="AV405" i="2"/>
  <c r="AX405" i="2" s="1"/>
  <c r="BA404" i="2"/>
  <c r="AZ404" i="2"/>
  <c r="AY404" i="2"/>
  <c r="AV404" i="2"/>
  <c r="AX404" i="2" s="1"/>
  <c r="BA403" i="2"/>
  <c r="AZ403" i="2"/>
  <c r="AY403" i="2"/>
  <c r="AV403" i="2"/>
  <c r="AX403" i="2" s="1"/>
  <c r="BA402" i="2"/>
  <c r="AZ402" i="2"/>
  <c r="AY402" i="2"/>
  <c r="AV402" i="2"/>
  <c r="AX402" i="2" s="1"/>
  <c r="BA401" i="2"/>
  <c r="AZ401" i="2"/>
  <c r="AY401" i="2"/>
  <c r="AV401" i="2"/>
  <c r="AX401" i="2" s="1"/>
  <c r="BA400" i="2"/>
  <c r="AZ400" i="2"/>
  <c r="AY400" i="2"/>
  <c r="AV400" i="2"/>
  <c r="AX400" i="2" s="1"/>
  <c r="BA399" i="2"/>
  <c r="AZ399" i="2"/>
  <c r="AY399" i="2"/>
  <c r="AV399" i="2"/>
  <c r="AX399" i="2" s="1"/>
  <c r="BA398" i="2"/>
  <c r="AZ398" i="2"/>
  <c r="AY398" i="2"/>
  <c r="AV398" i="2"/>
  <c r="AX398" i="2" s="1"/>
  <c r="BA397" i="2"/>
  <c r="AZ397" i="2"/>
  <c r="AY397" i="2"/>
  <c r="AV397" i="2"/>
  <c r="AX397" i="2" s="1"/>
  <c r="BA396" i="2"/>
  <c r="AZ396" i="2"/>
  <c r="AY396" i="2"/>
  <c r="AV396" i="2"/>
  <c r="AX396" i="2" s="1"/>
  <c r="BA395" i="2"/>
  <c r="AZ395" i="2"/>
  <c r="AY395" i="2"/>
  <c r="AV395" i="2"/>
  <c r="AX395" i="2" s="1"/>
  <c r="BA394" i="2"/>
  <c r="AZ394" i="2"/>
  <c r="AY394" i="2"/>
  <c r="AV394" i="2"/>
  <c r="AX394" i="2" s="1"/>
  <c r="BA393" i="2"/>
  <c r="AZ393" i="2"/>
  <c r="AY393" i="2"/>
  <c r="AV393" i="2"/>
  <c r="AX393" i="2" s="1"/>
  <c r="BA392" i="2"/>
  <c r="AZ392" i="2"/>
  <c r="AY392" i="2"/>
  <c r="AV392" i="2"/>
  <c r="AX392" i="2" s="1"/>
  <c r="BA391" i="2"/>
  <c r="AZ391" i="2"/>
  <c r="AY391" i="2"/>
  <c r="AV391" i="2"/>
  <c r="AX391" i="2" s="1"/>
  <c r="BA390" i="2"/>
  <c r="AZ390" i="2"/>
  <c r="AY390" i="2"/>
  <c r="AV390" i="2"/>
  <c r="AX390" i="2" s="1"/>
  <c r="BA389" i="2"/>
  <c r="AZ389" i="2"/>
  <c r="AY389" i="2"/>
  <c r="AV389" i="2"/>
  <c r="AX389" i="2" s="1"/>
  <c r="BA388" i="2"/>
  <c r="AZ388" i="2"/>
  <c r="AY388" i="2"/>
  <c r="AV388" i="2"/>
  <c r="AX388" i="2" s="1"/>
  <c r="BA387" i="2"/>
  <c r="AZ387" i="2"/>
  <c r="AY387" i="2"/>
  <c r="AV387" i="2"/>
  <c r="AX387" i="2" s="1"/>
  <c r="BA386" i="2"/>
  <c r="AZ386" i="2"/>
  <c r="AY386" i="2"/>
  <c r="AV386" i="2"/>
  <c r="AX386" i="2" s="1"/>
  <c r="BA385" i="2"/>
  <c r="AZ385" i="2"/>
  <c r="AY385" i="2"/>
  <c r="AV385" i="2"/>
  <c r="AX385" i="2" s="1"/>
  <c r="BA384" i="2"/>
  <c r="AZ384" i="2"/>
  <c r="AY384" i="2"/>
  <c r="AV384" i="2"/>
  <c r="AX384" i="2" s="1"/>
  <c r="BA383" i="2"/>
  <c r="AZ383" i="2"/>
  <c r="AY383" i="2"/>
  <c r="AV383" i="2"/>
  <c r="AX383" i="2" s="1"/>
  <c r="BA382" i="2"/>
  <c r="AZ382" i="2"/>
  <c r="AY382" i="2"/>
  <c r="AV382" i="2"/>
  <c r="AX382" i="2" s="1"/>
  <c r="BA381" i="2"/>
  <c r="AZ381" i="2"/>
  <c r="AY381" i="2"/>
  <c r="AV381" i="2"/>
  <c r="AX381" i="2" s="1"/>
  <c r="BA380" i="2"/>
  <c r="AZ380" i="2"/>
  <c r="AY380" i="2"/>
  <c r="AV380" i="2"/>
  <c r="AX380" i="2" s="1"/>
  <c r="BA379" i="2"/>
  <c r="AZ379" i="2"/>
  <c r="AY379" i="2"/>
  <c r="AV379" i="2"/>
  <c r="AX379" i="2" s="1"/>
  <c r="BA378" i="2"/>
  <c r="AZ378" i="2"/>
  <c r="AY378" i="2"/>
  <c r="AV378" i="2"/>
  <c r="AX378" i="2" s="1"/>
  <c r="BA377" i="2"/>
  <c r="AZ377" i="2"/>
  <c r="AY377" i="2"/>
  <c r="AV377" i="2"/>
  <c r="AX377" i="2" s="1"/>
  <c r="BA376" i="2"/>
  <c r="AZ376" i="2"/>
  <c r="AY376" i="2"/>
  <c r="AV376" i="2"/>
  <c r="AX376" i="2" s="1"/>
  <c r="BA375" i="2"/>
  <c r="AZ375" i="2"/>
  <c r="AY375" i="2"/>
  <c r="AV375" i="2"/>
  <c r="AX375" i="2" s="1"/>
  <c r="BA374" i="2"/>
  <c r="AZ374" i="2"/>
  <c r="AY374" i="2"/>
  <c r="AV374" i="2"/>
  <c r="AX374" i="2" s="1"/>
  <c r="BA373" i="2"/>
  <c r="AZ373" i="2"/>
  <c r="AY373" i="2"/>
  <c r="AV373" i="2"/>
  <c r="AX373" i="2" s="1"/>
  <c r="BA372" i="2"/>
  <c r="AZ372" i="2"/>
  <c r="AY372" i="2"/>
  <c r="AV372" i="2"/>
  <c r="AX372" i="2" s="1"/>
  <c r="BA371" i="2"/>
  <c r="AZ371" i="2"/>
  <c r="AY371" i="2"/>
  <c r="AV371" i="2"/>
  <c r="AX371" i="2" s="1"/>
  <c r="BA370" i="2"/>
  <c r="AZ370" i="2"/>
  <c r="AY370" i="2"/>
  <c r="AV370" i="2"/>
  <c r="AX370" i="2" s="1"/>
  <c r="BA369" i="2"/>
  <c r="AZ369" i="2"/>
  <c r="AY369" i="2"/>
  <c r="AV369" i="2"/>
  <c r="AX369" i="2" s="1"/>
  <c r="BA368" i="2"/>
  <c r="AZ368" i="2"/>
  <c r="AY368" i="2"/>
  <c r="AV368" i="2"/>
  <c r="AX368" i="2" s="1"/>
  <c r="BA367" i="2"/>
  <c r="AZ367" i="2"/>
  <c r="AY367" i="2"/>
  <c r="AV367" i="2"/>
  <c r="AX367" i="2" s="1"/>
  <c r="BA366" i="2"/>
  <c r="AZ366" i="2"/>
  <c r="AY366" i="2"/>
  <c r="AV366" i="2"/>
  <c r="AX366" i="2" s="1"/>
  <c r="BA365" i="2"/>
  <c r="AZ365" i="2"/>
  <c r="AY365" i="2"/>
  <c r="AV365" i="2"/>
  <c r="AX365" i="2" s="1"/>
  <c r="BA364" i="2"/>
  <c r="AZ364" i="2"/>
  <c r="AY364" i="2"/>
  <c r="AV364" i="2"/>
  <c r="AX364" i="2" s="1"/>
  <c r="BA363" i="2"/>
  <c r="AZ363" i="2"/>
  <c r="AY363" i="2"/>
  <c r="AV363" i="2"/>
  <c r="AX363" i="2" s="1"/>
  <c r="BA362" i="2"/>
  <c r="AZ362" i="2"/>
  <c r="AY362" i="2"/>
  <c r="AV362" i="2"/>
  <c r="AX362" i="2" s="1"/>
  <c r="BA361" i="2"/>
  <c r="AZ361" i="2"/>
  <c r="AY361" i="2"/>
  <c r="AV361" i="2"/>
  <c r="AX361" i="2" s="1"/>
  <c r="BA360" i="2"/>
  <c r="AZ360" i="2"/>
  <c r="AY360" i="2"/>
  <c r="AV360" i="2"/>
  <c r="AX360" i="2" s="1"/>
  <c r="BA359" i="2"/>
  <c r="AZ359" i="2"/>
  <c r="AY359" i="2"/>
  <c r="AV359" i="2"/>
  <c r="AX359" i="2" s="1"/>
  <c r="BA358" i="2"/>
  <c r="AZ358" i="2"/>
  <c r="AY358" i="2"/>
  <c r="AV358" i="2"/>
  <c r="AX358" i="2" s="1"/>
  <c r="BA357" i="2"/>
  <c r="AZ357" i="2"/>
  <c r="AY357" i="2"/>
  <c r="AV357" i="2"/>
  <c r="AX357" i="2" s="1"/>
  <c r="BA356" i="2"/>
  <c r="AZ356" i="2"/>
  <c r="AY356" i="2"/>
  <c r="AV356" i="2"/>
  <c r="AX356" i="2" s="1"/>
  <c r="BA355" i="2"/>
  <c r="AZ355" i="2"/>
  <c r="AY355" i="2"/>
  <c r="AV355" i="2"/>
  <c r="AX355" i="2" s="1"/>
  <c r="BA354" i="2"/>
  <c r="AZ354" i="2"/>
  <c r="AY354" i="2"/>
  <c r="AV354" i="2"/>
  <c r="AX354" i="2" s="1"/>
  <c r="BA353" i="2"/>
  <c r="AZ353" i="2"/>
  <c r="AY353" i="2"/>
  <c r="AV353" i="2"/>
  <c r="AX353" i="2" s="1"/>
  <c r="BA352" i="2"/>
  <c r="AZ352" i="2"/>
  <c r="AY352" i="2"/>
  <c r="AV352" i="2"/>
  <c r="AX352" i="2" s="1"/>
  <c r="BA351" i="2"/>
  <c r="AZ351" i="2"/>
  <c r="AY351" i="2"/>
  <c r="AV351" i="2"/>
  <c r="AX351" i="2" s="1"/>
  <c r="BA350" i="2"/>
  <c r="AZ350" i="2"/>
  <c r="AY350" i="2"/>
  <c r="AV350" i="2"/>
  <c r="AX350" i="2" s="1"/>
  <c r="BA349" i="2"/>
  <c r="AZ349" i="2"/>
  <c r="AY349" i="2"/>
  <c r="AV349" i="2"/>
  <c r="AX349" i="2" s="1"/>
  <c r="BA348" i="2"/>
  <c r="AZ348" i="2"/>
  <c r="AY348" i="2"/>
  <c r="AV348" i="2"/>
  <c r="AX348" i="2" s="1"/>
  <c r="BA347" i="2"/>
  <c r="AZ347" i="2"/>
  <c r="AY347" i="2"/>
  <c r="AV347" i="2"/>
  <c r="AX347" i="2" s="1"/>
  <c r="BA346" i="2"/>
  <c r="AZ346" i="2"/>
  <c r="AY346" i="2"/>
  <c r="AV346" i="2"/>
  <c r="AX346" i="2" s="1"/>
  <c r="BA345" i="2"/>
  <c r="AZ345" i="2"/>
  <c r="AY345" i="2"/>
  <c r="AV345" i="2"/>
  <c r="AX345" i="2" s="1"/>
  <c r="BA344" i="2"/>
  <c r="AZ344" i="2"/>
  <c r="AY344" i="2"/>
  <c r="AV344" i="2"/>
  <c r="AX344" i="2" s="1"/>
  <c r="BA343" i="2"/>
  <c r="AZ343" i="2"/>
  <c r="AY343" i="2"/>
  <c r="AV343" i="2"/>
  <c r="AX343" i="2" s="1"/>
  <c r="BA342" i="2"/>
  <c r="AZ342" i="2"/>
  <c r="AY342" i="2"/>
  <c r="AV342" i="2"/>
  <c r="AX342" i="2" s="1"/>
  <c r="BA341" i="2"/>
  <c r="AZ341" i="2"/>
  <c r="AY341" i="2"/>
  <c r="AV341" i="2"/>
  <c r="AX341" i="2" s="1"/>
  <c r="BA340" i="2"/>
  <c r="AZ340" i="2"/>
  <c r="AY340" i="2"/>
  <c r="AV340" i="2"/>
  <c r="AX340" i="2" s="1"/>
  <c r="BA339" i="2"/>
  <c r="AZ339" i="2"/>
  <c r="AY339" i="2"/>
  <c r="AV339" i="2"/>
  <c r="AX339" i="2" s="1"/>
  <c r="BA338" i="2"/>
  <c r="AZ338" i="2"/>
  <c r="AY338" i="2"/>
  <c r="AV338" i="2"/>
  <c r="AX338" i="2" s="1"/>
  <c r="BA337" i="2"/>
  <c r="AZ337" i="2"/>
  <c r="AY337" i="2"/>
  <c r="AV337" i="2"/>
  <c r="AX337" i="2" s="1"/>
  <c r="BA336" i="2"/>
  <c r="AZ336" i="2"/>
  <c r="AY336" i="2"/>
  <c r="AV336" i="2"/>
  <c r="AX336" i="2" s="1"/>
  <c r="BA335" i="2"/>
  <c r="AZ335" i="2"/>
  <c r="AY335" i="2"/>
  <c r="AV335" i="2"/>
  <c r="AX335" i="2" s="1"/>
  <c r="BA334" i="2"/>
  <c r="AZ334" i="2"/>
  <c r="AY334" i="2"/>
  <c r="AV334" i="2"/>
  <c r="AX334" i="2" s="1"/>
  <c r="BA333" i="2"/>
  <c r="AZ333" i="2"/>
  <c r="AY333" i="2"/>
  <c r="AV333" i="2"/>
  <c r="AX333" i="2" s="1"/>
  <c r="BA332" i="2"/>
  <c r="AZ332" i="2"/>
  <c r="AY332" i="2"/>
  <c r="AV332" i="2"/>
  <c r="AX332" i="2" s="1"/>
  <c r="BA331" i="2"/>
  <c r="AZ331" i="2"/>
  <c r="AY331" i="2"/>
  <c r="AV331" i="2"/>
  <c r="AX331" i="2" s="1"/>
  <c r="BA330" i="2"/>
  <c r="AZ330" i="2"/>
  <c r="AY330" i="2"/>
  <c r="AV330" i="2"/>
  <c r="AX330" i="2" s="1"/>
  <c r="BA329" i="2"/>
  <c r="AZ329" i="2"/>
  <c r="AY329" i="2"/>
  <c r="AV329" i="2"/>
  <c r="AX329" i="2" s="1"/>
  <c r="BA328" i="2"/>
  <c r="AZ328" i="2"/>
  <c r="AY328" i="2"/>
  <c r="AV328" i="2"/>
  <c r="AX328" i="2" s="1"/>
  <c r="BA327" i="2"/>
  <c r="AZ327" i="2"/>
  <c r="AY327" i="2"/>
  <c r="AV327" i="2"/>
  <c r="AX327" i="2" s="1"/>
  <c r="BA326" i="2"/>
  <c r="AZ326" i="2"/>
  <c r="AY326" i="2"/>
  <c r="AV326" i="2"/>
  <c r="AX326" i="2" s="1"/>
  <c r="BA325" i="2"/>
  <c r="AZ325" i="2"/>
  <c r="AY325" i="2"/>
  <c r="AV325" i="2"/>
  <c r="AX325" i="2" s="1"/>
  <c r="BA324" i="2"/>
  <c r="AZ324" i="2"/>
  <c r="AY324" i="2"/>
  <c r="AV324" i="2"/>
  <c r="AX324" i="2" s="1"/>
  <c r="BA323" i="2"/>
  <c r="AZ323" i="2"/>
  <c r="AY323" i="2"/>
  <c r="AV323" i="2"/>
  <c r="AX323" i="2" s="1"/>
  <c r="BA322" i="2"/>
  <c r="AZ322" i="2"/>
  <c r="AY322" i="2"/>
  <c r="AV322" i="2"/>
  <c r="AX322" i="2" s="1"/>
  <c r="BA321" i="2"/>
  <c r="AZ321" i="2"/>
  <c r="AY321" i="2"/>
  <c r="AV321" i="2"/>
  <c r="AX321" i="2" s="1"/>
  <c r="BA320" i="2"/>
  <c r="AZ320" i="2"/>
  <c r="AY320" i="2"/>
  <c r="AV320" i="2"/>
  <c r="AX320" i="2" s="1"/>
  <c r="BA319" i="2"/>
  <c r="AZ319" i="2"/>
  <c r="AY319" i="2"/>
  <c r="AV319" i="2"/>
  <c r="AX319" i="2" s="1"/>
  <c r="BA318" i="2"/>
  <c r="AZ318" i="2"/>
  <c r="AY318" i="2"/>
  <c r="AV318" i="2"/>
  <c r="AX318" i="2" s="1"/>
  <c r="BA317" i="2"/>
  <c r="AZ317" i="2"/>
  <c r="AY317" i="2"/>
  <c r="AV317" i="2"/>
  <c r="AX317" i="2" s="1"/>
  <c r="BA316" i="2"/>
  <c r="AZ316" i="2"/>
  <c r="AY316" i="2"/>
  <c r="AV316" i="2"/>
  <c r="AX316" i="2" s="1"/>
  <c r="BA315" i="2"/>
  <c r="AZ315" i="2"/>
  <c r="AY315" i="2"/>
  <c r="AV315" i="2"/>
  <c r="AX315" i="2" s="1"/>
  <c r="BA314" i="2"/>
  <c r="AZ314" i="2"/>
  <c r="AY314" i="2"/>
  <c r="AV314" i="2"/>
  <c r="AX314" i="2" s="1"/>
  <c r="BA313" i="2"/>
  <c r="AZ313" i="2"/>
  <c r="AY313" i="2"/>
  <c r="AV313" i="2"/>
  <c r="AX313" i="2" s="1"/>
  <c r="BA312" i="2"/>
  <c r="AZ312" i="2"/>
  <c r="AY312" i="2"/>
  <c r="AV312" i="2"/>
  <c r="AX312" i="2" s="1"/>
  <c r="BA311" i="2"/>
  <c r="AZ311" i="2"/>
  <c r="AY311" i="2"/>
  <c r="AV311" i="2"/>
  <c r="AX311" i="2" s="1"/>
  <c r="BA310" i="2"/>
  <c r="AZ310" i="2"/>
  <c r="AY310" i="2"/>
  <c r="AV310" i="2"/>
  <c r="AX310" i="2" s="1"/>
  <c r="BA309" i="2"/>
  <c r="AZ309" i="2"/>
  <c r="AY309" i="2"/>
  <c r="AV309" i="2"/>
  <c r="AX309" i="2" s="1"/>
  <c r="BA308" i="2"/>
  <c r="AZ308" i="2"/>
  <c r="AY308" i="2"/>
  <c r="AV308" i="2"/>
  <c r="AX308" i="2" s="1"/>
  <c r="BA307" i="2"/>
  <c r="AZ307" i="2"/>
  <c r="AY307" i="2"/>
  <c r="AV307" i="2"/>
  <c r="AX307" i="2" s="1"/>
  <c r="BA306" i="2"/>
  <c r="AZ306" i="2"/>
  <c r="AY306" i="2"/>
  <c r="AV306" i="2"/>
  <c r="AX306" i="2" s="1"/>
  <c r="BA305" i="2"/>
  <c r="AZ305" i="2"/>
  <c r="AY305" i="2"/>
  <c r="AV305" i="2"/>
  <c r="AX305" i="2" s="1"/>
  <c r="BA304" i="2"/>
  <c r="AZ304" i="2"/>
  <c r="AY304" i="2"/>
  <c r="AV304" i="2"/>
  <c r="AX304" i="2" s="1"/>
  <c r="BA303" i="2"/>
  <c r="AZ303" i="2"/>
  <c r="AY303" i="2"/>
  <c r="AV303" i="2"/>
  <c r="AX303" i="2" s="1"/>
  <c r="BA302" i="2"/>
  <c r="AZ302" i="2"/>
  <c r="AY302" i="2"/>
  <c r="AV302" i="2"/>
  <c r="AX302" i="2" s="1"/>
  <c r="BA301" i="2"/>
  <c r="AZ301" i="2"/>
  <c r="AY301" i="2"/>
  <c r="AV301" i="2"/>
  <c r="AX301" i="2" s="1"/>
  <c r="BA300" i="2"/>
  <c r="AZ300" i="2"/>
  <c r="AY300" i="2"/>
  <c r="AV300" i="2"/>
  <c r="AX300" i="2" s="1"/>
  <c r="BA299" i="2"/>
  <c r="AZ299" i="2"/>
  <c r="AY299" i="2"/>
  <c r="AV299" i="2"/>
  <c r="AX299" i="2" s="1"/>
  <c r="BA298" i="2"/>
  <c r="AZ298" i="2"/>
  <c r="AY298" i="2"/>
  <c r="AV298" i="2"/>
  <c r="AX298" i="2" s="1"/>
  <c r="AX3080" i="4"/>
  <c r="AX3067" i="4"/>
  <c r="AX3060" i="4"/>
  <c r="AX3053" i="4"/>
  <c r="AX3045" i="4"/>
  <c r="AX3039" i="4"/>
  <c r="AX3032" i="4"/>
  <c r="AX3027" i="4"/>
  <c r="AX3019" i="4"/>
  <c r="AX3012" i="4"/>
  <c r="AX3006" i="4"/>
  <c r="AX2999" i="4"/>
  <c r="AX2992" i="4"/>
  <c r="AX2987" i="4"/>
  <c r="AX2981" i="4"/>
  <c r="AX2980" i="4"/>
  <c r="AX2974" i="4"/>
  <c r="AX2973" i="4"/>
  <c r="AX2968" i="4"/>
  <c r="AX2962" i="4"/>
  <c r="AX2955" i="4"/>
  <c r="AX2948" i="4"/>
  <c r="AX2941" i="4"/>
  <c r="AX2935" i="4"/>
  <c r="AX2928" i="4"/>
  <c r="AX2922" i="4"/>
  <c r="AX2915" i="4"/>
  <c r="AX2909" i="4"/>
  <c r="AX2902" i="4"/>
  <c r="AX2896" i="4"/>
  <c r="AX2895" i="4"/>
  <c r="AX2888" i="4"/>
  <c r="AX2882" i="4"/>
  <c r="AX2876" i="4"/>
  <c r="AX2872" i="4"/>
  <c r="AX2865" i="4"/>
  <c r="AX2858" i="4"/>
  <c r="AX2851" i="4"/>
  <c r="AX2844" i="4"/>
  <c r="AX2837" i="4"/>
  <c r="AX2826" i="4"/>
  <c r="AX2819" i="4"/>
  <c r="AX2812" i="4"/>
  <c r="AX2805" i="4"/>
  <c r="AX2800" i="4"/>
  <c r="AX2793" i="4"/>
  <c r="AX2788" i="4"/>
  <c r="AX2782" i="4"/>
  <c r="AX2776" i="4"/>
  <c r="AX2769" i="4"/>
  <c r="AX2762" i="4"/>
  <c r="AX2755" i="4"/>
  <c r="AX2750" i="4"/>
  <c r="AX2749" i="4"/>
  <c r="AX2744" i="4"/>
  <c r="AX2743" i="4"/>
  <c r="AX2731" i="4"/>
  <c r="AX2724" i="4"/>
  <c r="AX2718" i="4"/>
  <c r="AX2713" i="4"/>
  <c r="AX2712" i="4"/>
  <c r="AX2706" i="4"/>
  <c r="AX2699" i="4"/>
  <c r="AX2692" i="4"/>
  <c r="AX2685" i="4"/>
  <c r="AX2680" i="4"/>
  <c r="AX2675" i="4"/>
  <c r="AX2670" i="4"/>
  <c r="AX2663" i="4"/>
  <c r="AX2656" i="4"/>
  <c r="AX2655" i="4"/>
  <c r="AX2648" i="4"/>
  <c r="AX2641" i="4"/>
  <c r="AX2634" i="4"/>
  <c r="AX2628" i="4"/>
  <c r="AX2623" i="4"/>
  <c r="AX2616" i="4"/>
  <c r="AX2609" i="4"/>
  <c r="AX2596" i="4"/>
  <c r="AX2590" i="4"/>
  <c r="AX2585" i="4"/>
  <c r="AX2578" i="4"/>
  <c r="AX2571" i="4"/>
  <c r="AX2564" i="4"/>
  <c r="AX2557" i="4"/>
  <c r="AX2552" i="4"/>
  <c r="AX2545" i="4"/>
  <c r="AX2540" i="4"/>
  <c r="AX2533" i="4"/>
  <c r="AX2527" i="4"/>
  <c r="AX2520" i="4"/>
  <c r="AX2513" i="4"/>
  <c r="AX2507" i="4"/>
  <c r="AX2277" i="4"/>
  <c r="AX2272" i="4"/>
  <c r="AX2265" i="4"/>
  <c r="AX2258" i="4"/>
  <c r="AX2252" i="4"/>
  <c r="AX2245" i="4"/>
  <c r="AX2240" i="4"/>
  <c r="AX2233" i="4"/>
  <c r="AX2221" i="4"/>
  <c r="AX2209" i="4"/>
  <c r="AX2202" i="4"/>
  <c r="AX2195" i="4"/>
  <c r="AX2189" i="4"/>
  <c r="AX2184" i="4"/>
  <c r="AX2177" i="4"/>
  <c r="AX1149" i="4"/>
  <c r="AX1126" i="4"/>
  <c r="AX1118" i="4"/>
  <c r="AX1112" i="4"/>
  <c r="AX1109" i="4"/>
  <c r="AX1102" i="4"/>
  <c r="AX1090" i="4"/>
  <c r="AX1082" i="4"/>
  <c r="AX1074" i="4"/>
  <c r="AX1067" i="4"/>
  <c r="AX1060" i="4"/>
  <c r="AX1055" i="4"/>
  <c r="AX1047" i="4"/>
  <c r="AX1040" i="4"/>
  <c r="AX1032" i="4"/>
  <c r="AX1026" i="4"/>
  <c r="AX1025" i="4"/>
  <c r="AX1020" i="4"/>
  <c r="AX1013" i="4"/>
  <c r="AX1012" i="4"/>
  <c r="AX1006" i="4"/>
  <c r="AX1002" i="4"/>
  <c r="AX995" i="4"/>
  <c r="AX987" i="4"/>
  <c r="AX979" i="4"/>
  <c r="AX974" i="4"/>
  <c r="AX968" i="4"/>
  <c r="AX962" i="4"/>
  <c r="AX3001" i="3"/>
  <c r="AX2982" i="3"/>
  <c r="AX2971" i="3"/>
  <c r="AX2970" i="3"/>
  <c r="AX2959" i="3"/>
  <c r="AX2939" i="3"/>
  <c r="AX2917" i="3"/>
  <c r="AX2905" i="3"/>
  <c r="AX2894" i="3"/>
  <c r="AX2883" i="3"/>
  <c r="AX2820" i="3"/>
  <c r="AX2811" i="3"/>
  <c r="AX2800" i="3"/>
  <c r="AX2788" i="3"/>
  <c r="AX2778" i="3"/>
  <c r="AX2767" i="3"/>
  <c r="AX2755" i="3"/>
  <c r="AX2754" i="3"/>
  <c r="AX2745" i="3"/>
  <c r="AX2735" i="3"/>
  <c r="AX2724" i="3"/>
  <c r="AX2679" i="3"/>
  <c r="AX2678" i="3"/>
  <c r="AX2666" i="3"/>
  <c r="AX2655" i="3"/>
  <c r="AX2645" i="3"/>
  <c r="AX2624" i="3"/>
  <c r="AX2623" i="3"/>
  <c r="AX2614" i="3"/>
  <c r="AX2606" i="3"/>
  <c r="AX2605" i="3"/>
  <c r="AX2603" i="3"/>
  <c r="AX2573" i="3"/>
  <c r="AX2562" i="3"/>
  <c r="AX2551" i="3"/>
  <c r="AX2540" i="3"/>
  <c r="AX2530" i="3"/>
  <c r="AX2529" i="3"/>
  <c r="AX2511" i="3"/>
  <c r="AX2500" i="3"/>
  <c r="AX2489" i="3"/>
  <c r="AX2478" i="3"/>
  <c r="AX2458" i="3"/>
  <c r="AX2447" i="3"/>
  <c r="AX2446" i="3"/>
  <c r="AX2435" i="3"/>
  <c r="AX2426" i="3"/>
  <c r="AX2424" i="3"/>
  <c r="AX2405" i="3"/>
  <c r="AX2394" i="3"/>
  <c r="AX2373" i="3"/>
  <c r="AX2170" i="3"/>
  <c r="AX2161" i="3"/>
  <c r="AX932" i="3"/>
  <c r="AX921" i="3"/>
  <c r="AX912" i="3"/>
  <c r="AX903" i="3"/>
  <c r="AX885" i="3"/>
  <c r="AX874" i="3"/>
  <c r="AX865" i="3"/>
  <c r="AX850" i="3"/>
  <c r="AX849" i="3"/>
  <c r="AX848" i="3"/>
  <c r="AX838" i="3"/>
  <c r="AX830" i="3"/>
  <c r="AX825" i="3"/>
  <c r="AX2633" i="2"/>
  <c r="AX2618" i="2"/>
  <c r="AX2602" i="2"/>
  <c r="AX2584" i="2"/>
  <c r="AX2571" i="2"/>
  <c r="AX2556" i="2"/>
  <c r="AX2538" i="2"/>
  <c r="AX2525" i="2"/>
  <c r="AX2509" i="2"/>
  <c r="AX2478" i="2"/>
  <c r="AX2463" i="2"/>
  <c r="AX2462" i="2"/>
  <c r="AX2418" i="2"/>
  <c r="AX2417" i="2"/>
  <c r="AX2403" i="2"/>
  <c r="AX2388" i="2"/>
  <c r="AX2387" i="2"/>
  <c r="AX2341" i="2"/>
  <c r="AX2340" i="2"/>
  <c r="AX2309" i="2"/>
  <c r="AX2297" i="2"/>
  <c r="AX2294" i="2"/>
  <c r="AX2279" i="2"/>
  <c r="AX2262" i="2"/>
  <c r="AX2202" i="2"/>
  <c r="AX2188" i="2"/>
  <c r="AX2155" i="2"/>
  <c r="BA297" i="2"/>
  <c r="AZ297" i="2"/>
  <c r="AY297" i="2"/>
  <c r="AV297" i="2"/>
  <c r="AX297" i="2" s="1"/>
  <c r="BA296" i="2"/>
  <c r="AZ296" i="2"/>
  <c r="AY296" i="2"/>
  <c r="AV296" i="2"/>
  <c r="AX296" i="2" s="1"/>
  <c r="BA295" i="2"/>
  <c r="AZ295" i="2"/>
  <c r="AY295" i="2"/>
  <c r="AV295" i="2"/>
  <c r="AX295" i="2" s="1"/>
  <c r="BA294" i="2"/>
  <c r="AZ294" i="2"/>
  <c r="AY294" i="2"/>
  <c r="AV294" i="2"/>
  <c r="AX294" i="2" s="1"/>
  <c r="BA293" i="2"/>
  <c r="AZ293" i="2"/>
  <c r="AY293" i="2"/>
  <c r="AV293" i="2"/>
  <c r="AX293" i="2" s="1"/>
  <c r="BA292" i="2"/>
  <c r="AZ292" i="2"/>
  <c r="AY292" i="2"/>
  <c r="AV292" i="2"/>
  <c r="AX292" i="2" s="1"/>
  <c r="BA291" i="2"/>
  <c r="AZ291" i="2"/>
  <c r="AY291" i="2"/>
  <c r="AV291" i="2"/>
  <c r="AX291" i="2" s="1"/>
  <c r="BA290" i="2"/>
  <c r="AZ290" i="2"/>
  <c r="AY290" i="2"/>
  <c r="AV290" i="2"/>
  <c r="AX290" i="2" s="1"/>
  <c r="BA289" i="2"/>
  <c r="AZ289" i="2"/>
  <c r="AY289" i="2"/>
  <c r="AV289" i="2"/>
  <c r="AX289" i="2" s="1"/>
  <c r="BA288" i="2"/>
  <c r="AZ288" i="2"/>
  <c r="AY288" i="2"/>
  <c r="AV288" i="2"/>
  <c r="AX288" i="2" s="1"/>
  <c r="BA287" i="2"/>
  <c r="AZ287" i="2"/>
  <c r="AY287" i="2"/>
  <c r="AV287" i="2"/>
  <c r="AX287" i="2" s="1"/>
  <c r="BA286" i="2"/>
  <c r="AZ286" i="2"/>
  <c r="AY286" i="2"/>
  <c r="AV286" i="2"/>
  <c r="AX286" i="2" s="1"/>
  <c r="BA285" i="2"/>
  <c r="AZ285" i="2"/>
  <c r="AY285" i="2"/>
  <c r="AV285" i="2"/>
  <c r="AX285" i="2" s="1"/>
  <c r="BA284" i="2"/>
  <c r="AZ284" i="2"/>
  <c r="AY284" i="2"/>
  <c r="AV284" i="2"/>
  <c r="AX284" i="2" s="1"/>
  <c r="BA283" i="2"/>
  <c r="AZ283" i="2"/>
  <c r="AY283" i="2"/>
  <c r="AV283" i="2"/>
  <c r="AX283" i="2" s="1"/>
  <c r="BA282" i="2"/>
  <c r="AZ282" i="2"/>
  <c r="AY282" i="2"/>
  <c r="AV282" i="2"/>
  <c r="AX282" i="2" s="1"/>
  <c r="BA281" i="2"/>
  <c r="AZ281" i="2"/>
  <c r="AY281" i="2"/>
  <c r="AV281" i="2"/>
  <c r="AX281" i="2" s="1"/>
  <c r="BA280" i="2"/>
  <c r="AZ280" i="2"/>
  <c r="AY280" i="2"/>
  <c r="AV280" i="2"/>
  <c r="AX280" i="2" s="1"/>
  <c r="BA279" i="2"/>
  <c r="AZ279" i="2"/>
  <c r="AY279" i="2"/>
  <c r="AV279" i="2"/>
  <c r="AX279" i="2" s="1"/>
  <c r="BA278" i="2"/>
  <c r="AZ278" i="2"/>
  <c r="AY278" i="2"/>
  <c r="AV278" i="2"/>
  <c r="AX278" i="2" s="1"/>
  <c r="BA277" i="2"/>
  <c r="AZ277" i="2"/>
  <c r="AY277" i="2"/>
  <c r="AV277" i="2"/>
  <c r="AX277" i="2" s="1"/>
  <c r="BA276" i="2"/>
  <c r="AZ276" i="2"/>
  <c r="AY276" i="2"/>
  <c r="AV276" i="2"/>
  <c r="AX276" i="2" s="1"/>
  <c r="BA275" i="2"/>
  <c r="AZ275" i="2"/>
  <c r="AY275" i="2"/>
  <c r="AV275" i="2"/>
  <c r="AX275" i="2" s="1"/>
  <c r="BA274" i="2"/>
  <c r="AZ274" i="2"/>
  <c r="AY274" i="2"/>
  <c r="AV274" i="2"/>
  <c r="AX274" i="2" s="1"/>
  <c r="BA273" i="2"/>
  <c r="AZ273" i="2"/>
  <c r="AY273" i="2"/>
  <c r="AV273" i="2"/>
  <c r="AX273" i="2" s="1"/>
  <c r="BA272" i="2"/>
  <c r="AZ272" i="2"/>
  <c r="AY272" i="2"/>
  <c r="AV272" i="2"/>
  <c r="AX272" i="2" s="1"/>
  <c r="BA271" i="2"/>
  <c r="AZ271" i="2"/>
  <c r="AY271" i="2"/>
  <c r="AV271" i="2"/>
  <c r="AX271" i="2" s="1"/>
  <c r="BA270" i="2"/>
  <c r="AZ270" i="2"/>
  <c r="AY270" i="2"/>
  <c r="AV270" i="2"/>
  <c r="AX270" i="2" s="1"/>
  <c r="BA269" i="2"/>
  <c r="AZ269" i="2"/>
  <c r="AY269" i="2"/>
  <c r="AV269" i="2"/>
  <c r="AX269" i="2" s="1"/>
  <c r="BA268" i="2"/>
  <c r="AZ268" i="2"/>
  <c r="AY268" i="2"/>
  <c r="AV268" i="2"/>
  <c r="AX268" i="2" s="1"/>
  <c r="BA267" i="2"/>
  <c r="AZ267" i="2"/>
  <c r="AY267" i="2"/>
  <c r="AV267" i="2"/>
  <c r="AX267" i="2" s="1"/>
  <c r="BA266" i="2"/>
  <c r="AZ266" i="2"/>
  <c r="AY266" i="2"/>
  <c r="AV266" i="2"/>
  <c r="AX266" i="2" s="1"/>
  <c r="BA265" i="2"/>
  <c r="AZ265" i="2"/>
  <c r="AY265" i="2"/>
  <c r="AV265" i="2"/>
  <c r="AX265" i="2" s="1"/>
  <c r="BA264" i="2"/>
  <c r="AZ264" i="2"/>
  <c r="AY264" i="2"/>
  <c r="AV264" i="2"/>
  <c r="AX264" i="2" s="1"/>
  <c r="BA263" i="2"/>
  <c r="AZ263" i="2"/>
  <c r="AY263" i="2"/>
  <c r="AV263" i="2"/>
  <c r="AX263" i="2" s="1"/>
  <c r="BA262" i="2"/>
  <c r="AZ262" i="2"/>
  <c r="AY262" i="2"/>
  <c r="AV262" i="2"/>
  <c r="AX262" i="2" s="1"/>
  <c r="BA261" i="2"/>
  <c r="AZ261" i="2"/>
  <c r="AY261" i="2"/>
  <c r="AV261" i="2"/>
  <c r="AX261" i="2" s="1"/>
  <c r="BA260" i="2"/>
  <c r="AZ260" i="2"/>
  <c r="AY260" i="2"/>
  <c r="AV260" i="2"/>
  <c r="AX260" i="2" s="1"/>
  <c r="BA259" i="2"/>
  <c r="AZ259" i="2"/>
  <c r="AY259" i="2"/>
  <c r="AV259" i="2"/>
  <c r="AX259" i="2" s="1"/>
  <c r="BA258" i="2"/>
  <c r="AZ258" i="2"/>
  <c r="AY258" i="2"/>
  <c r="AV258" i="2"/>
  <c r="AX258" i="2" s="1"/>
  <c r="BA257" i="2"/>
  <c r="AZ257" i="2"/>
  <c r="AY257" i="2"/>
  <c r="AV257" i="2"/>
  <c r="AX257" i="2" s="1"/>
  <c r="BA256" i="2"/>
  <c r="AZ256" i="2"/>
  <c r="AY256" i="2"/>
  <c r="AV256" i="2"/>
  <c r="AX256" i="2" s="1"/>
  <c r="BA255" i="2"/>
  <c r="AZ255" i="2"/>
  <c r="AY255" i="2"/>
  <c r="AV255" i="2"/>
  <c r="AX255" i="2" s="1"/>
  <c r="BA254" i="2"/>
  <c r="AZ254" i="2"/>
  <c r="AY254" i="2"/>
  <c r="AV254" i="2"/>
  <c r="AX254" i="2" s="1"/>
  <c r="BA253" i="2"/>
  <c r="AZ253" i="2"/>
  <c r="AY253" i="2"/>
  <c r="AV253" i="2"/>
  <c r="AX253" i="2" s="1"/>
  <c r="BA252" i="2"/>
  <c r="AZ252" i="2"/>
  <c r="AY252" i="2"/>
  <c r="AV252" i="2"/>
  <c r="AX252" i="2" s="1"/>
  <c r="BA251" i="2"/>
  <c r="AZ251" i="2"/>
  <c r="AY251" i="2"/>
  <c r="AV251" i="2"/>
  <c r="AX251" i="2" s="1"/>
  <c r="BA250" i="2"/>
  <c r="AZ250" i="2"/>
  <c r="AY250" i="2"/>
  <c r="AV250" i="2"/>
  <c r="AX250" i="2" s="1"/>
  <c r="BA249" i="2"/>
  <c r="AZ249" i="2"/>
  <c r="AY249" i="2"/>
  <c r="AV249" i="2"/>
  <c r="AX249" i="2" s="1"/>
  <c r="BA248" i="2"/>
  <c r="AZ248" i="2"/>
  <c r="AY248" i="2"/>
  <c r="AV248" i="2"/>
  <c r="AX248" i="2" s="1"/>
  <c r="BA247" i="2"/>
  <c r="AZ247" i="2"/>
  <c r="AY247" i="2"/>
  <c r="AV247" i="2"/>
  <c r="AX247" i="2" s="1"/>
  <c r="BA246" i="2"/>
  <c r="AZ246" i="2"/>
  <c r="AY246" i="2"/>
  <c r="AV246" i="2"/>
  <c r="AX246" i="2" s="1"/>
  <c r="BA245" i="2"/>
  <c r="AZ245" i="2"/>
  <c r="AY245" i="2"/>
  <c r="AV245" i="2"/>
  <c r="AX245" i="2" s="1"/>
  <c r="BA244" i="2"/>
  <c r="AZ244" i="2"/>
  <c r="AY244" i="2"/>
  <c r="AV244" i="2"/>
  <c r="AX244" i="2" s="1"/>
  <c r="BA243" i="2"/>
  <c r="AZ243" i="2"/>
  <c r="AY243" i="2"/>
  <c r="AV243" i="2"/>
  <c r="AX243" i="2" s="1"/>
  <c r="BA242" i="2"/>
  <c r="AZ242" i="2"/>
  <c r="AY242" i="2"/>
  <c r="AV242" i="2"/>
  <c r="AX242" i="2" s="1"/>
  <c r="BA241" i="2"/>
  <c r="AZ241" i="2"/>
  <c r="AY241" i="2"/>
  <c r="AV241" i="2"/>
  <c r="AX241" i="2" s="1"/>
  <c r="BA240" i="2"/>
  <c r="AZ240" i="2"/>
  <c r="AY240" i="2"/>
  <c r="AV240" i="2"/>
  <c r="AX240" i="2" s="1"/>
  <c r="BA239" i="2"/>
  <c r="AZ239" i="2"/>
  <c r="AY239" i="2"/>
  <c r="AV239" i="2"/>
  <c r="AX239" i="2" s="1"/>
  <c r="BA238" i="2"/>
  <c r="AZ238" i="2"/>
  <c r="AY238" i="2"/>
  <c r="AV238" i="2"/>
  <c r="AX238" i="2" s="1"/>
  <c r="BA237" i="2"/>
  <c r="AZ237" i="2"/>
  <c r="AY237" i="2"/>
  <c r="AV237" i="2"/>
  <c r="AX237" i="2" s="1"/>
  <c r="BA236" i="2"/>
  <c r="AZ236" i="2"/>
  <c r="AY236" i="2"/>
  <c r="AV236" i="2"/>
  <c r="AX236" i="2" s="1"/>
  <c r="BA235" i="2"/>
  <c r="AZ235" i="2"/>
  <c r="AY235" i="2"/>
  <c r="AV235" i="2"/>
  <c r="AX235" i="2" s="1"/>
  <c r="BA234" i="2"/>
  <c r="AZ234" i="2"/>
  <c r="AY234" i="2"/>
  <c r="AV234" i="2"/>
  <c r="AX234" i="2" s="1"/>
  <c r="BA233" i="2"/>
  <c r="AZ233" i="2"/>
  <c r="AY233" i="2"/>
  <c r="AV233" i="2"/>
  <c r="AX233" i="2" s="1"/>
  <c r="BA232" i="2"/>
  <c r="AZ232" i="2"/>
  <c r="AY232" i="2"/>
  <c r="AV232" i="2"/>
  <c r="AX232" i="2" s="1"/>
  <c r="BA231" i="2"/>
  <c r="AZ231" i="2"/>
  <c r="AY231" i="2"/>
  <c r="AV231" i="2"/>
  <c r="AX231" i="2" s="1"/>
  <c r="BA230" i="2"/>
  <c r="AZ230" i="2"/>
  <c r="AY230" i="2"/>
  <c r="AV230" i="2"/>
  <c r="AX230" i="2" s="1"/>
  <c r="BA229" i="2"/>
  <c r="AZ229" i="2"/>
  <c r="AY229" i="2"/>
  <c r="AV229" i="2"/>
  <c r="AX229" i="2" s="1"/>
  <c r="BA228" i="2"/>
  <c r="AZ228" i="2"/>
  <c r="AY228" i="2"/>
  <c r="AV228" i="2"/>
  <c r="AX228" i="2" s="1"/>
  <c r="BA227" i="2"/>
  <c r="AZ227" i="2"/>
  <c r="AY227" i="2"/>
  <c r="AV227" i="2"/>
  <c r="AX227" i="2" s="1"/>
  <c r="BA226" i="2"/>
  <c r="AZ226" i="2"/>
  <c r="AY226" i="2"/>
  <c r="AV226" i="2"/>
  <c r="AX226" i="2" s="1"/>
  <c r="BA225" i="2"/>
  <c r="AZ225" i="2"/>
  <c r="AY225" i="2"/>
  <c r="AV225" i="2"/>
  <c r="AX225" i="2" s="1"/>
  <c r="BA224" i="2"/>
  <c r="AZ224" i="2"/>
  <c r="AY224" i="2"/>
  <c r="AV224" i="2"/>
  <c r="AX224" i="2" s="1"/>
  <c r="BA223" i="2"/>
  <c r="AZ223" i="2"/>
  <c r="AY223" i="2"/>
  <c r="AV223" i="2"/>
  <c r="AX223" i="2" s="1"/>
  <c r="BA222" i="2"/>
  <c r="AZ222" i="2"/>
  <c r="AY222" i="2"/>
  <c r="AV222" i="2"/>
  <c r="AX222" i="2" s="1"/>
  <c r="BA221" i="2"/>
  <c r="AZ221" i="2"/>
  <c r="AY221" i="2"/>
  <c r="AV221" i="2"/>
  <c r="AX221" i="2" s="1"/>
  <c r="BA220" i="2"/>
  <c r="AZ220" i="2"/>
  <c r="AY220" i="2"/>
  <c r="AV220" i="2"/>
  <c r="AX220" i="2" s="1"/>
  <c r="BA219" i="2"/>
  <c r="AZ219" i="2"/>
  <c r="AY219" i="2"/>
  <c r="AV219" i="2"/>
  <c r="AX219" i="2" s="1"/>
  <c r="BA218" i="2"/>
  <c r="AZ218" i="2"/>
  <c r="AY218" i="2"/>
  <c r="AV218" i="2"/>
  <c r="AX218" i="2" s="1"/>
  <c r="BA217" i="2"/>
  <c r="AZ217" i="2"/>
  <c r="AY217" i="2"/>
  <c r="AV217" i="2"/>
  <c r="AX217" i="2" s="1"/>
  <c r="BA216" i="2"/>
  <c r="AZ216" i="2"/>
  <c r="AY216" i="2"/>
  <c r="AV216" i="2"/>
  <c r="AX216" i="2" s="1"/>
  <c r="BA215" i="2"/>
  <c r="AZ215" i="2"/>
  <c r="AY215" i="2"/>
  <c r="AV215" i="2"/>
  <c r="AX215" i="2" s="1"/>
  <c r="BA214" i="2"/>
  <c r="AZ214" i="2"/>
  <c r="AY214" i="2"/>
  <c r="AV214" i="2"/>
  <c r="AX214" i="2" s="1"/>
  <c r="BA213" i="2"/>
  <c r="AZ213" i="2"/>
  <c r="AY213" i="2"/>
  <c r="AV213" i="2"/>
  <c r="AX213" i="2" s="1"/>
  <c r="BA212" i="2"/>
  <c r="AZ212" i="2"/>
  <c r="AY212" i="2"/>
  <c r="AV212" i="2"/>
  <c r="AX212" i="2" s="1"/>
  <c r="BA211" i="2"/>
  <c r="AZ211" i="2"/>
  <c r="AY211" i="2"/>
  <c r="AV211" i="2"/>
  <c r="AX211" i="2" s="1"/>
  <c r="BA210" i="2"/>
  <c r="AZ210" i="2"/>
  <c r="AY210" i="2"/>
  <c r="AV210" i="2"/>
  <c r="AX210" i="2" s="1"/>
  <c r="BA209" i="2"/>
  <c r="AZ209" i="2"/>
  <c r="AY209" i="2"/>
  <c r="AV209" i="2"/>
  <c r="AX209" i="2" s="1"/>
  <c r="BA208" i="2"/>
  <c r="AZ208" i="2"/>
  <c r="AY208" i="2"/>
  <c r="AV208" i="2"/>
  <c r="AX208" i="2" s="1"/>
  <c r="BA207" i="2"/>
  <c r="AZ207" i="2"/>
  <c r="AY207" i="2"/>
  <c r="AV207" i="2"/>
  <c r="AX207" i="2" s="1"/>
  <c r="BA206" i="2"/>
  <c r="AZ206" i="2"/>
  <c r="AY206" i="2"/>
  <c r="AV206" i="2"/>
  <c r="AX206" i="2" s="1"/>
  <c r="BA205" i="2"/>
  <c r="AZ205" i="2"/>
  <c r="AY205" i="2"/>
  <c r="AV205" i="2"/>
  <c r="AX205" i="2" s="1"/>
  <c r="BA204" i="2"/>
  <c r="AZ204" i="2"/>
  <c r="AY204" i="2"/>
  <c r="AV204" i="2"/>
  <c r="AX204" i="2" s="1"/>
  <c r="BA203" i="2"/>
  <c r="AZ203" i="2"/>
  <c r="AY203" i="2"/>
  <c r="AV203" i="2"/>
  <c r="AX203" i="2" s="1"/>
  <c r="BA202" i="2"/>
  <c r="AZ202" i="2"/>
  <c r="AY202" i="2"/>
  <c r="AV202" i="2"/>
  <c r="AX202" i="2" s="1"/>
  <c r="BA201" i="2"/>
  <c r="AZ201" i="2"/>
  <c r="AY201" i="2"/>
  <c r="AV201" i="2"/>
  <c r="AX201" i="2" s="1"/>
  <c r="BA200" i="2"/>
  <c r="AZ200" i="2"/>
  <c r="AY200" i="2"/>
  <c r="AV200" i="2"/>
  <c r="AX200" i="2" s="1"/>
  <c r="BA199" i="2"/>
  <c r="AZ199" i="2"/>
  <c r="AY199" i="2"/>
  <c r="AV199" i="2"/>
  <c r="AX199" i="2" s="1"/>
  <c r="BA198" i="2"/>
  <c r="AZ198" i="2"/>
  <c r="AY198" i="2"/>
  <c r="AV198" i="2"/>
  <c r="AX198" i="2" s="1"/>
  <c r="BA197" i="2"/>
  <c r="AZ197" i="2"/>
  <c r="AY197" i="2"/>
  <c r="AV197" i="2"/>
  <c r="AX197" i="2" s="1"/>
  <c r="BA196" i="2"/>
  <c r="AZ196" i="2"/>
  <c r="AY196" i="2"/>
  <c r="AV196" i="2"/>
  <c r="AX196" i="2" s="1"/>
  <c r="BA195" i="2"/>
  <c r="AZ195" i="2"/>
  <c r="AY195" i="2"/>
  <c r="AV195" i="2"/>
  <c r="AX195" i="2" s="1"/>
  <c r="BA194" i="2"/>
  <c r="AZ194" i="2"/>
  <c r="AY194" i="2"/>
  <c r="AV194" i="2"/>
  <c r="AX194" i="2" s="1"/>
  <c r="BA193" i="2"/>
  <c r="AZ193" i="2"/>
  <c r="AY193" i="2"/>
  <c r="AV193" i="2"/>
  <c r="AX193" i="2" s="1"/>
  <c r="BA192" i="2"/>
  <c r="AZ192" i="2"/>
  <c r="AY192" i="2"/>
  <c r="AV192" i="2"/>
  <c r="AX192" i="2" s="1"/>
  <c r="BA191" i="2"/>
  <c r="AZ191" i="2"/>
  <c r="AY191" i="2"/>
  <c r="AV191" i="2"/>
  <c r="AX191" i="2" s="1"/>
  <c r="BA190" i="2"/>
  <c r="AZ190" i="2"/>
  <c r="AY190" i="2"/>
  <c r="AV190" i="2"/>
  <c r="AX190" i="2" s="1"/>
  <c r="BA189" i="2"/>
  <c r="AZ189" i="2"/>
  <c r="AY189" i="2"/>
  <c r="AV189" i="2"/>
  <c r="AX189" i="2" s="1"/>
  <c r="BA188" i="2"/>
  <c r="AZ188" i="2"/>
  <c r="AY188" i="2"/>
  <c r="AV188" i="2"/>
  <c r="AX188" i="2" s="1"/>
  <c r="BA187" i="2"/>
  <c r="AZ187" i="2"/>
  <c r="AY187" i="2"/>
  <c r="AV187" i="2"/>
  <c r="AX187" i="2" s="1"/>
  <c r="BA186" i="2"/>
  <c r="AZ186" i="2"/>
  <c r="AY186" i="2"/>
  <c r="AV186" i="2"/>
  <c r="AX186" i="2" s="1"/>
  <c r="BA185" i="2"/>
  <c r="AZ185" i="2"/>
  <c r="AY185" i="2"/>
  <c r="AV185" i="2"/>
  <c r="AX185" i="2" s="1"/>
  <c r="BA184" i="2"/>
  <c r="AZ184" i="2"/>
  <c r="AY184" i="2"/>
  <c r="AV184" i="2"/>
  <c r="AX184" i="2" s="1"/>
  <c r="BA183" i="2"/>
  <c r="AZ183" i="2"/>
  <c r="AY183" i="2"/>
  <c r="AV183" i="2"/>
  <c r="AX183" i="2" s="1"/>
  <c r="BA182" i="2"/>
  <c r="AZ182" i="2"/>
  <c r="AY182" i="2"/>
  <c r="AV182" i="2"/>
  <c r="AX182" i="2" s="1"/>
  <c r="BA181" i="2"/>
  <c r="AZ181" i="2"/>
  <c r="AY181" i="2"/>
  <c r="AV181" i="2"/>
  <c r="AX181" i="2" s="1"/>
  <c r="BA180" i="2"/>
  <c r="AZ180" i="2"/>
  <c r="AY180" i="2"/>
  <c r="AV180" i="2"/>
  <c r="AX180" i="2" s="1"/>
  <c r="BA179" i="2"/>
  <c r="AZ179" i="2"/>
  <c r="AY179" i="2"/>
  <c r="AV179" i="2"/>
  <c r="AX179" i="2" s="1"/>
  <c r="BA178" i="2"/>
  <c r="AZ178" i="2"/>
  <c r="AY178" i="2"/>
  <c r="AV178" i="2"/>
  <c r="AX178" i="2" s="1"/>
  <c r="BA177" i="2"/>
  <c r="AZ177" i="2"/>
  <c r="AY177" i="2"/>
  <c r="AV177" i="2"/>
  <c r="AX177" i="2" s="1"/>
  <c r="BA176" i="2"/>
  <c r="AZ176" i="2"/>
  <c r="AY176" i="2"/>
  <c r="AV176" i="2"/>
  <c r="AX176" i="2" s="1"/>
  <c r="BA175" i="2"/>
  <c r="AZ175" i="2"/>
  <c r="AY175" i="2"/>
  <c r="AV175" i="2"/>
  <c r="AX175" i="2" s="1"/>
  <c r="BA174" i="2"/>
  <c r="AZ174" i="2"/>
  <c r="AY174" i="2"/>
  <c r="AV174" i="2"/>
  <c r="AX174" i="2" s="1"/>
  <c r="BA173" i="2"/>
  <c r="AZ173" i="2"/>
  <c r="AY173" i="2"/>
  <c r="AV173" i="2"/>
  <c r="AX173" i="2" s="1"/>
  <c r="BA172" i="2"/>
  <c r="AZ172" i="2"/>
  <c r="AY172" i="2"/>
  <c r="AV172" i="2"/>
  <c r="AX172" i="2" s="1"/>
  <c r="BA171" i="2"/>
  <c r="AZ171" i="2"/>
  <c r="AY171" i="2"/>
  <c r="AV171" i="2"/>
  <c r="AX171" i="2" s="1"/>
  <c r="BA170" i="2"/>
  <c r="AZ170" i="2"/>
  <c r="AY170" i="2"/>
  <c r="AV170" i="2"/>
  <c r="AX170" i="2" s="1"/>
  <c r="BA169" i="2"/>
  <c r="AZ169" i="2"/>
  <c r="AY169" i="2"/>
  <c r="AV169" i="2"/>
  <c r="AX169" i="2" s="1"/>
  <c r="BA168" i="2"/>
  <c r="AZ168" i="2"/>
  <c r="AY168" i="2"/>
  <c r="AV168" i="2"/>
  <c r="AX168" i="2" s="1"/>
  <c r="BA167" i="2"/>
  <c r="AZ167" i="2"/>
  <c r="AY167" i="2"/>
  <c r="AV167" i="2"/>
  <c r="AX167" i="2" s="1"/>
  <c r="BA166" i="2"/>
  <c r="AZ166" i="2"/>
  <c r="AY166" i="2"/>
  <c r="AV166" i="2"/>
  <c r="AX166" i="2" s="1"/>
  <c r="BA165" i="2"/>
  <c r="AZ165" i="2"/>
  <c r="AY165" i="2"/>
  <c r="AV165" i="2"/>
  <c r="AX165" i="2" s="1"/>
  <c r="BA164" i="2"/>
  <c r="AZ164" i="2"/>
  <c r="AY164" i="2"/>
  <c r="AV164" i="2"/>
  <c r="AX164" i="2" s="1"/>
  <c r="BA163" i="2"/>
  <c r="AZ163" i="2"/>
  <c r="AY163" i="2"/>
  <c r="AV163" i="2"/>
  <c r="AX163" i="2" s="1"/>
  <c r="BA162" i="2"/>
  <c r="AZ162" i="2"/>
  <c r="AY162" i="2"/>
  <c r="AV162" i="2"/>
  <c r="AX162" i="2" s="1"/>
  <c r="BA161" i="2"/>
  <c r="AZ161" i="2"/>
  <c r="AY161" i="2"/>
  <c r="AV161" i="2"/>
  <c r="AX161" i="2" s="1"/>
  <c r="BA160" i="2"/>
  <c r="AZ160" i="2"/>
  <c r="AY160" i="2"/>
  <c r="AV160" i="2"/>
  <c r="AX160" i="2" s="1"/>
  <c r="BA159" i="2"/>
  <c r="AZ159" i="2"/>
  <c r="AY159" i="2"/>
  <c r="AV159" i="2"/>
  <c r="AX159" i="2" s="1"/>
  <c r="BA158" i="2"/>
  <c r="AZ158" i="2"/>
  <c r="AY158" i="2"/>
  <c r="AV158" i="2"/>
  <c r="AX158" i="2" s="1"/>
  <c r="BA157" i="2"/>
  <c r="AZ157" i="2"/>
  <c r="AY157" i="2"/>
  <c r="AV157" i="2"/>
  <c r="AX157" i="2" s="1"/>
  <c r="BA156" i="2"/>
  <c r="AZ156" i="2"/>
  <c r="AY156" i="2"/>
  <c r="AV156" i="2"/>
  <c r="AX156" i="2" s="1"/>
  <c r="BA155" i="2"/>
  <c r="AZ155" i="2"/>
  <c r="AY155" i="2"/>
  <c r="AV155" i="2"/>
  <c r="AX155" i="2" s="1"/>
  <c r="BA154" i="2"/>
  <c r="AZ154" i="2"/>
  <c r="AY154" i="2"/>
  <c r="AV154" i="2"/>
  <c r="AX154" i="2" s="1"/>
  <c r="BA153" i="2"/>
  <c r="AZ153" i="2"/>
  <c r="AY153" i="2"/>
  <c r="AV153" i="2"/>
  <c r="AX153" i="2" s="1"/>
  <c r="BA152" i="2"/>
  <c r="AZ152" i="2"/>
  <c r="AY152" i="2"/>
  <c r="AV152" i="2"/>
  <c r="AX152" i="2" s="1"/>
  <c r="BA151" i="2"/>
  <c r="AZ151" i="2"/>
  <c r="AY151" i="2"/>
  <c r="AV151" i="2"/>
  <c r="AX151" i="2" s="1"/>
  <c r="BA150" i="2"/>
  <c r="AZ150" i="2"/>
  <c r="AY150" i="2"/>
  <c r="AV150" i="2"/>
  <c r="AX150" i="2" s="1"/>
  <c r="BA149" i="2"/>
  <c r="AZ149" i="2"/>
  <c r="AY149" i="2"/>
  <c r="AV149" i="2"/>
  <c r="AX149" i="2" s="1"/>
  <c r="BA148" i="2"/>
  <c r="AZ148" i="2"/>
  <c r="AY148" i="2"/>
  <c r="AV148" i="2"/>
  <c r="AX148" i="2" s="1"/>
  <c r="BA147" i="2"/>
  <c r="AZ147" i="2"/>
  <c r="AY147" i="2"/>
  <c r="AV147" i="2"/>
  <c r="AX147" i="2" s="1"/>
  <c r="BA146" i="2"/>
  <c r="AZ146" i="2"/>
  <c r="AY146" i="2"/>
  <c r="AV146" i="2"/>
  <c r="AX146" i="2" s="1"/>
  <c r="BA145" i="2"/>
  <c r="AZ145" i="2"/>
  <c r="AY145" i="2"/>
  <c r="AV145" i="2"/>
  <c r="AX145" i="2" s="1"/>
  <c r="BA144" i="2"/>
  <c r="AZ144" i="2"/>
  <c r="AY144" i="2"/>
  <c r="AV144" i="2"/>
  <c r="AX144" i="2" s="1"/>
  <c r="BA143" i="2"/>
  <c r="AZ143" i="2"/>
  <c r="AY143" i="2"/>
  <c r="AV143" i="2"/>
  <c r="AX143" i="2" s="1"/>
  <c r="BA142" i="2"/>
  <c r="AZ142" i="2"/>
  <c r="AY142" i="2"/>
  <c r="AV142" i="2"/>
  <c r="AX142" i="2" s="1"/>
  <c r="BA141" i="2"/>
  <c r="AZ141" i="2"/>
  <c r="AY141" i="2"/>
  <c r="AV141" i="2"/>
  <c r="AX141" i="2" s="1"/>
  <c r="BA140" i="2"/>
  <c r="AZ140" i="2"/>
  <c r="AY140" i="2"/>
  <c r="AV140" i="2"/>
  <c r="AX140" i="2" s="1"/>
  <c r="BA139" i="2"/>
  <c r="AZ139" i="2"/>
  <c r="AY139" i="2"/>
  <c r="AV139" i="2"/>
  <c r="AX139" i="2" s="1"/>
  <c r="BA138" i="2"/>
  <c r="AZ138" i="2"/>
  <c r="AY138" i="2"/>
  <c r="AV138" i="2"/>
  <c r="AX138" i="2" s="1"/>
  <c r="BA137" i="2"/>
  <c r="AZ137" i="2"/>
  <c r="AY137" i="2"/>
  <c r="AV137" i="2"/>
  <c r="AX137" i="2" s="1"/>
  <c r="BA136" i="2"/>
  <c r="AZ136" i="2"/>
  <c r="AY136" i="2"/>
  <c r="AV136" i="2"/>
  <c r="AX136" i="2" s="1"/>
  <c r="BA135" i="2"/>
  <c r="AZ135" i="2"/>
  <c r="AY135" i="2"/>
  <c r="AV135" i="2"/>
  <c r="AX135" i="2" s="1"/>
  <c r="BA134" i="2"/>
  <c r="AZ134" i="2"/>
  <c r="AY134" i="2"/>
  <c r="AV134" i="2"/>
  <c r="AX134" i="2" s="1"/>
  <c r="BA133" i="2"/>
  <c r="AZ133" i="2"/>
  <c r="AY133" i="2"/>
  <c r="AV133" i="2"/>
  <c r="AX133" i="2" s="1"/>
  <c r="BA132" i="2"/>
  <c r="AZ132" i="2"/>
  <c r="AY132" i="2"/>
  <c r="AV132" i="2"/>
  <c r="AX132" i="2" s="1"/>
  <c r="BA131" i="2"/>
  <c r="AZ131" i="2"/>
  <c r="AY131" i="2"/>
  <c r="AV131" i="2"/>
  <c r="AX131" i="2" s="1"/>
  <c r="BA130" i="2"/>
  <c r="AZ130" i="2"/>
  <c r="AY130" i="2"/>
  <c r="AV130" i="2"/>
  <c r="AX130" i="2" s="1"/>
  <c r="BA129" i="2"/>
  <c r="AZ129" i="2"/>
  <c r="AY129" i="2"/>
  <c r="AV129" i="2"/>
  <c r="AX129" i="2" s="1"/>
  <c r="BA128" i="2"/>
  <c r="AZ128" i="2"/>
  <c r="AY128" i="2"/>
  <c r="AV128" i="2"/>
  <c r="AX128" i="2" s="1"/>
  <c r="BA127" i="2"/>
  <c r="AZ127" i="2"/>
  <c r="AY127" i="2"/>
  <c r="AV127" i="2"/>
  <c r="AX127" i="2" s="1"/>
  <c r="BA126" i="2"/>
  <c r="AZ126" i="2"/>
  <c r="AY126" i="2"/>
  <c r="AV126" i="2"/>
  <c r="AX126" i="2" s="1"/>
  <c r="BA125" i="2"/>
  <c r="AZ125" i="2"/>
  <c r="AY125" i="2"/>
  <c r="AV125" i="2"/>
  <c r="AX125" i="2" s="1"/>
  <c r="BA124" i="2"/>
  <c r="AZ124" i="2"/>
  <c r="AY124" i="2"/>
  <c r="AV124" i="2"/>
  <c r="AX124" i="2" s="1"/>
  <c r="BA123" i="2"/>
  <c r="AZ123" i="2"/>
  <c r="AY123" i="2"/>
  <c r="AV123" i="2"/>
  <c r="AX123" i="2" s="1"/>
  <c r="BA122" i="2"/>
  <c r="AZ122" i="2"/>
  <c r="AY122" i="2"/>
  <c r="AV122" i="2"/>
  <c r="AX122" i="2" s="1"/>
  <c r="BA121" i="2"/>
  <c r="AZ121" i="2"/>
  <c r="AY121" i="2"/>
  <c r="AV121" i="2"/>
  <c r="AX121" i="2" s="1"/>
  <c r="BA120" i="2"/>
  <c r="AZ120" i="2"/>
  <c r="AY120" i="2"/>
  <c r="AV120" i="2"/>
  <c r="AX120" i="2" s="1"/>
  <c r="BA119" i="2"/>
  <c r="AZ119" i="2"/>
  <c r="AY119" i="2"/>
  <c r="AV119" i="2"/>
  <c r="AX119" i="2" s="1"/>
  <c r="BA118" i="2"/>
  <c r="AZ118" i="2"/>
  <c r="AY118" i="2"/>
  <c r="AV118" i="2"/>
  <c r="AX118" i="2" s="1"/>
  <c r="BA117" i="2"/>
  <c r="AZ117" i="2"/>
  <c r="AY117" i="2"/>
  <c r="AV117" i="2"/>
  <c r="AX117" i="2" s="1"/>
  <c r="BA116" i="2"/>
  <c r="AZ116" i="2"/>
  <c r="AY116" i="2"/>
  <c r="AV116" i="2"/>
  <c r="AX116" i="2" s="1"/>
  <c r="BA115" i="2"/>
  <c r="AZ115" i="2"/>
  <c r="AY115" i="2"/>
  <c r="AV115" i="2"/>
  <c r="AX115" i="2" s="1"/>
  <c r="BA114" i="2"/>
  <c r="AZ114" i="2"/>
  <c r="AY114" i="2"/>
  <c r="AV114" i="2"/>
  <c r="AX114" i="2" s="1"/>
  <c r="BA113" i="2"/>
  <c r="AZ113" i="2"/>
  <c r="AY113" i="2"/>
  <c r="AV113" i="2"/>
  <c r="AX113" i="2" s="1"/>
  <c r="BA112" i="2"/>
  <c r="AZ112" i="2"/>
  <c r="AY112" i="2"/>
  <c r="AV112" i="2"/>
  <c r="AX112" i="2" s="1"/>
  <c r="BA111" i="2"/>
  <c r="AZ111" i="2"/>
  <c r="AY111" i="2"/>
  <c r="AV111" i="2"/>
  <c r="AX111" i="2" s="1"/>
  <c r="BA110" i="2"/>
  <c r="AZ110" i="2"/>
  <c r="AY110" i="2"/>
  <c r="AV110" i="2"/>
  <c r="AX110" i="2" s="1"/>
  <c r="BA109" i="2"/>
  <c r="AZ109" i="2"/>
  <c r="AY109" i="2"/>
  <c r="AV109" i="2"/>
  <c r="AX109" i="2" s="1"/>
  <c r="BA108" i="2"/>
  <c r="AZ108" i="2"/>
  <c r="AY108" i="2"/>
  <c r="AV108" i="2"/>
  <c r="AX108" i="2" s="1"/>
  <c r="BA107" i="2"/>
  <c r="AZ107" i="2"/>
  <c r="AY107" i="2"/>
  <c r="AV107" i="2"/>
  <c r="AX107" i="2" s="1"/>
  <c r="BA106" i="2"/>
  <c r="AZ106" i="2"/>
  <c r="AY106" i="2"/>
  <c r="AV106" i="2"/>
  <c r="AX106" i="2" s="1"/>
  <c r="BA105" i="2"/>
  <c r="AZ105" i="2"/>
  <c r="AY105" i="2"/>
  <c r="AV105" i="2"/>
  <c r="AX105" i="2" s="1"/>
  <c r="BA104" i="2"/>
  <c r="AZ104" i="2"/>
  <c r="AY104" i="2"/>
  <c r="AV104" i="2"/>
  <c r="AX104" i="2" s="1"/>
  <c r="BA103" i="2"/>
  <c r="AZ103" i="2"/>
  <c r="AY103" i="2"/>
  <c r="AV103" i="2"/>
  <c r="AX103" i="2" s="1"/>
  <c r="BA102" i="2"/>
  <c r="AZ102" i="2"/>
  <c r="AY102" i="2"/>
  <c r="AV102" i="2"/>
  <c r="AX102" i="2" s="1"/>
  <c r="BA101" i="2"/>
  <c r="AZ101" i="2"/>
  <c r="AY101" i="2"/>
  <c r="AV101" i="2"/>
  <c r="AX101" i="2" s="1"/>
  <c r="BA100" i="2"/>
  <c r="AZ100" i="2"/>
  <c r="AY100" i="2"/>
  <c r="AV100" i="2"/>
  <c r="AX100" i="2" s="1"/>
  <c r="BA99" i="2"/>
  <c r="AZ99" i="2"/>
  <c r="AY99" i="2"/>
  <c r="AV99" i="2"/>
  <c r="AX99" i="2" s="1"/>
  <c r="BA98" i="2"/>
  <c r="AZ98" i="2"/>
  <c r="AY98" i="2"/>
  <c r="AV98" i="2"/>
  <c r="AX98" i="2" s="1"/>
  <c r="BA97" i="2"/>
  <c r="AZ97" i="2"/>
  <c r="AY97" i="2"/>
  <c r="AV97" i="2"/>
  <c r="AX97" i="2" s="1"/>
  <c r="BA96" i="2"/>
  <c r="AZ96" i="2"/>
  <c r="AY96" i="2"/>
  <c r="AV96" i="2"/>
  <c r="AX96" i="2" s="1"/>
  <c r="BA95" i="2"/>
  <c r="AZ95" i="2"/>
  <c r="AY95" i="2"/>
  <c r="AV95" i="2"/>
  <c r="AX95" i="2" s="1"/>
  <c r="BA94" i="2"/>
  <c r="AZ94" i="2"/>
  <c r="AY94" i="2"/>
  <c r="AV94" i="2"/>
  <c r="AX94" i="2" s="1"/>
  <c r="BA93" i="2"/>
  <c r="AZ93" i="2"/>
  <c r="AY93" i="2"/>
  <c r="AV93" i="2"/>
  <c r="AX93" i="2" s="1"/>
  <c r="BA92" i="2"/>
  <c r="AZ92" i="2"/>
  <c r="AY92" i="2"/>
  <c r="AV92" i="2"/>
  <c r="AX92" i="2" s="1"/>
  <c r="BA91" i="2"/>
  <c r="AZ91" i="2"/>
  <c r="AY91" i="2"/>
  <c r="AV91" i="2"/>
  <c r="AX91" i="2" s="1"/>
  <c r="BA90" i="2"/>
  <c r="AZ90" i="2"/>
  <c r="AY90" i="2"/>
  <c r="AV90" i="2"/>
  <c r="AX90" i="2" s="1"/>
  <c r="BA89" i="2"/>
  <c r="AZ89" i="2"/>
  <c r="AY89" i="2"/>
  <c r="AV89" i="2"/>
  <c r="AX89" i="2" s="1"/>
  <c r="BA88" i="2"/>
  <c r="AZ88" i="2"/>
  <c r="AY88" i="2"/>
  <c r="AV88" i="2"/>
  <c r="AX88" i="2" s="1"/>
  <c r="BA87" i="2"/>
  <c r="AZ87" i="2"/>
  <c r="AY87" i="2"/>
  <c r="AV87" i="2"/>
  <c r="AX87" i="2" s="1"/>
  <c r="BA86" i="2"/>
  <c r="AZ86" i="2"/>
  <c r="AY86" i="2"/>
  <c r="AV86" i="2"/>
  <c r="AX86" i="2" s="1"/>
  <c r="BA85" i="2"/>
  <c r="AZ85" i="2"/>
  <c r="AY85" i="2"/>
  <c r="AV85" i="2"/>
  <c r="AX85" i="2" s="1"/>
  <c r="BA84" i="2"/>
  <c r="AZ84" i="2"/>
  <c r="AY84" i="2"/>
  <c r="AV84" i="2"/>
  <c r="AX84" i="2" s="1"/>
  <c r="BA83" i="2"/>
  <c r="AZ83" i="2"/>
  <c r="AY83" i="2"/>
  <c r="AV83" i="2"/>
  <c r="AX83" i="2" s="1"/>
  <c r="BA82" i="2"/>
  <c r="AZ82" i="2"/>
  <c r="AY82" i="2"/>
  <c r="AV82" i="2"/>
  <c r="AX82" i="2" s="1"/>
  <c r="BA81" i="2"/>
  <c r="AZ81" i="2"/>
  <c r="AY81" i="2"/>
  <c r="AV81" i="2"/>
  <c r="AX81" i="2" s="1"/>
  <c r="BA80" i="2"/>
  <c r="AZ80" i="2"/>
  <c r="AY80" i="2"/>
  <c r="AV80" i="2"/>
  <c r="AX80" i="2" s="1"/>
  <c r="BA79" i="2"/>
  <c r="AZ79" i="2"/>
  <c r="AY79" i="2"/>
  <c r="AV79" i="2"/>
  <c r="AX79" i="2" s="1"/>
  <c r="BA78" i="2"/>
  <c r="AZ78" i="2"/>
  <c r="AY78" i="2"/>
  <c r="AV78" i="2"/>
  <c r="AX78" i="2" s="1"/>
  <c r="BA77" i="2"/>
  <c r="AZ77" i="2"/>
  <c r="AY77" i="2"/>
  <c r="AV77" i="2"/>
  <c r="AX77" i="2" s="1"/>
  <c r="BA76" i="2"/>
  <c r="AZ76" i="2"/>
  <c r="AY76" i="2"/>
  <c r="AV76" i="2"/>
  <c r="AX76" i="2" s="1"/>
  <c r="BA75" i="2"/>
  <c r="AZ75" i="2"/>
  <c r="AY75" i="2"/>
  <c r="AV75" i="2"/>
  <c r="AX75" i="2" s="1"/>
  <c r="BA74" i="2"/>
  <c r="AZ74" i="2"/>
  <c r="AY74" i="2"/>
  <c r="AV74" i="2"/>
  <c r="AX74" i="2" s="1"/>
  <c r="BA73" i="2"/>
  <c r="AZ73" i="2"/>
  <c r="AY73" i="2"/>
  <c r="AV73" i="2"/>
  <c r="AX73" i="2" s="1"/>
  <c r="BA72" i="2"/>
  <c r="AZ72" i="2"/>
  <c r="AY72" i="2"/>
  <c r="AV72" i="2"/>
  <c r="AX72" i="2" s="1"/>
  <c r="BA71" i="2"/>
  <c r="AZ71" i="2"/>
  <c r="AY71" i="2"/>
  <c r="AV71" i="2"/>
  <c r="AX71" i="2" s="1"/>
  <c r="BA70" i="2"/>
  <c r="AZ70" i="2"/>
  <c r="AY70" i="2"/>
  <c r="AV70" i="2"/>
  <c r="AX70" i="2" s="1"/>
  <c r="BA69" i="2"/>
  <c r="AZ69" i="2"/>
  <c r="AY69" i="2"/>
  <c r="AV69" i="2"/>
  <c r="AX69" i="2" s="1"/>
  <c r="BA68" i="2"/>
  <c r="AZ68" i="2"/>
  <c r="AY68" i="2"/>
  <c r="AV68" i="2"/>
  <c r="AX68" i="2" s="1"/>
  <c r="BA67" i="2"/>
  <c r="AZ67" i="2"/>
  <c r="AY67" i="2"/>
  <c r="AV67" i="2"/>
  <c r="AX67" i="2" s="1"/>
  <c r="BA66" i="2"/>
  <c r="AZ66" i="2"/>
  <c r="AY66" i="2"/>
  <c r="AV66" i="2"/>
  <c r="AX66" i="2" s="1"/>
  <c r="BA65" i="2"/>
  <c r="AZ65" i="2"/>
  <c r="AY65" i="2"/>
  <c r="AV65" i="2"/>
  <c r="AX65" i="2" s="1"/>
  <c r="BA64" i="2"/>
  <c r="AZ64" i="2"/>
  <c r="AY64" i="2"/>
  <c r="AV64" i="2"/>
  <c r="AX64" i="2" s="1"/>
  <c r="BA63" i="2"/>
  <c r="AZ63" i="2"/>
  <c r="AY63" i="2"/>
  <c r="AV63" i="2"/>
  <c r="AX63" i="2" s="1"/>
  <c r="BA62" i="2"/>
  <c r="AZ62" i="2"/>
  <c r="AY62" i="2"/>
  <c r="AV62" i="2"/>
  <c r="AX62" i="2" s="1"/>
  <c r="BA61" i="2"/>
  <c r="AZ61" i="2"/>
  <c r="AY61" i="2"/>
  <c r="AV61" i="2"/>
  <c r="AX61" i="2" s="1"/>
  <c r="BA60" i="2"/>
  <c r="AZ60" i="2"/>
  <c r="AY60" i="2"/>
  <c r="AV60" i="2"/>
  <c r="AX60" i="2" s="1"/>
  <c r="BA59" i="2"/>
  <c r="AZ59" i="2"/>
  <c r="AY59" i="2"/>
  <c r="AV59" i="2"/>
  <c r="AX59" i="2" s="1"/>
  <c r="BA58" i="2"/>
  <c r="AZ58" i="2"/>
  <c r="AY58" i="2"/>
  <c r="AV58" i="2"/>
  <c r="AX58" i="2" s="1"/>
  <c r="BA57" i="2"/>
  <c r="AZ57" i="2"/>
  <c r="AY57" i="2"/>
  <c r="AV57" i="2"/>
  <c r="AX57" i="2" s="1"/>
  <c r="BA56" i="2"/>
  <c r="AZ56" i="2"/>
  <c r="AY56" i="2"/>
  <c r="AV56" i="2"/>
  <c r="AX56" i="2" s="1"/>
  <c r="BA55" i="2"/>
  <c r="AZ55" i="2"/>
  <c r="AY55" i="2"/>
  <c r="AV55" i="2"/>
  <c r="AX55" i="2" s="1"/>
  <c r="BA54" i="2"/>
  <c r="AZ54" i="2"/>
  <c r="AY54" i="2"/>
  <c r="AV54" i="2"/>
  <c r="AX54" i="2" s="1"/>
  <c r="BA53" i="2"/>
  <c r="AZ53" i="2"/>
  <c r="AY53" i="2"/>
  <c r="AV53" i="2"/>
  <c r="AX53" i="2" s="1"/>
  <c r="BA52" i="2"/>
  <c r="AZ52" i="2"/>
  <c r="AY52" i="2"/>
  <c r="AV52" i="2"/>
  <c r="AX52" i="2" s="1"/>
  <c r="BA51" i="2"/>
  <c r="AZ51" i="2"/>
  <c r="AY51" i="2"/>
  <c r="AV51" i="2"/>
  <c r="AX51" i="2" s="1"/>
  <c r="BA50" i="2"/>
  <c r="AZ50" i="2"/>
  <c r="AY50" i="2"/>
  <c r="AV50" i="2"/>
  <c r="AX50" i="2" s="1"/>
  <c r="BA49" i="2"/>
  <c r="AZ49" i="2"/>
  <c r="AY49" i="2"/>
  <c r="AV49" i="2"/>
  <c r="AX49" i="2" s="1"/>
  <c r="BA48" i="2"/>
  <c r="AZ48" i="2"/>
  <c r="AY48" i="2"/>
  <c r="AV48" i="2"/>
  <c r="AX48" i="2" s="1"/>
  <c r="BA47" i="2"/>
  <c r="AZ47" i="2"/>
  <c r="AY47" i="2"/>
  <c r="AV47" i="2"/>
  <c r="AX47" i="2" s="1"/>
  <c r="BA46" i="2"/>
  <c r="AZ46" i="2"/>
  <c r="AY46" i="2"/>
  <c r="AV46" i="2"/>
  <c r="AX46" i="2" s="1"/>
  <c r="BA45" i="2"/>
  <c r="AZ45" i="2"/>
  <c r="AY45" i="2"/>
  <c r="AV45" i="2"/>
  <c r="AX45" i="2" s="1"/>
  <c r="BA44" i="2"/>
  <c r="AZ44" i="2"/>
  <c r="AY44" i="2"/>
  <c r="AV44" i="2"/>
  <c r="AX44" i="2" s="1"/>
  <c r="BA43" i="2"/>
  <c r="AZ43" i="2"/>
  <c r="AY43" i="2"/>
  <c r="AV43" i="2"/>
  <c r="AX43" i="2" s="1"/>
  <c r="BA42" i="2"/>
  <c r="AZ42" i="2"/>
  <c r="AY42" i="2"/>
  <c r="AV42" i="2"/>
  <c r="AX42" i="2" s="1"/>
  <c r="BA41" i="2"/>
  <c r="AZ41" i="2"/>
  <c r="AY41" i="2"/>
  <c r="AV41" i="2"/>
  <c r="AX41" i="2" s="1"/>
  <c r="BA40" i="2"/>
  <c r="AZ40" i="2"/>
  <c r="AY40" i="2"/>
  <c r="AV40" i="2"/>
  <c r="AX40" i="2" s="1"/>
  <c r="BA39" i="2"/>
  <c r="AZ39" i="2"/>
  <c r="AY39" i="2"/>
  <c r="AV39" i="2"/>
  <c r="AX39" i="2" s="1"/>
  <c r="BA38" i="2"/>
  <c r="AZ38" i="2"/>
  <c r="AY38" i="2"/>
  <c r="AV38" i="2"/>
  <c r="AX38" i="2" s="1"/>
  <c r="BA37" i="2"/>
  <c r="AZ37" i="2"/>
  <c r="AY37" i="2"/>
  <c r="AV37" i="2"/>
  <c r="AX37" i="2" s="1"/>
  <c r="BA36" i="2"/>
  <c r="AZ36" i="2"/>
  <c r="AY36" i="2"/>
  <c r="AV36" i="2"/>
  <c r="AX36" i="2" s="1"/>
  <c r="BA35" i="2"/>
  <c r="AZ35" i="2"/>
  <c r="AY35" i="2"/>
  <c r="AV35" i="2"/>
  <c r="AX35" i="2" s="1"/>
  <c r="BA34" i="2"/>
  <c r="AZ34" i="2"/>
  <c r="AY34" i="2"/>
  <c r="AV34" i="2"/>
  <c r="AX34" i="2" s="1"/>
  <c r="BA33" i="2"/>
  <c r="AZ33" i="2"/>
  <c r="AY33" i="2"/>
  <c r="AV33" i="2"/>
  <c r="AX33" i="2" s="1"/>
  <c r="BA32" i="2"/>
  <c r="AZ32" i="2"/>
  <c r="AY32" i="2"/>
  <c r="AV32" i="2"/>
  <c r="AX32" i="2" s="1"/>
  <c r="BA31" i="2"/>
  <c r="AZ31" i="2"/>
  <c r="AY31" i="2"/>
  <c r="AV31" i="2"/>
  <c r="AX31" i="2" s="1"/>
  <c r="BA30" i="2"/>
  <c r="AZ30" i="2"/>
  <c r="AY30" i="2"/>
  <c r="AV30" i="2"/>
  <c r="AX30" i="2" s="1"/>
  <c r="BA29" i="2"/>
  <c r="AZ29" i="2"/>
  <c r="AY29" i="2"/>
  <c r="AV29" i="2"/>
  <c r="AX29" i="2" s="1"/>
  <c r="BA28" i="2"/>
  <c r="AZ28" i="2"/>
  <c r="AY28" i="2"/>
  <c r="AV28" i="2"/>
  <c r="AX28" i="2" s="1"/>
  <c r="BA27" i="2"/>
  <c r="AZ27" i="2"/>
  <c r="AY27" i="2"/>
  <c r="AV27" i="2"/>
  <c r="AX27" i="2" s="1"/>
  <c r="BA26" i="2"/>
  <c r="AZ26" i="2"/>
  <c r="AY26" i="2"/>
  <c r="AV26" i="2"/>
  <c r="AX26" i="2" s="1"/>
  <c r="BA25" i="2"/>
  <c r="AZ25" i="2"/>
  <c r="AY25" i="2"/>
  <c r="AV25" i="2"/>
  <c r="AX25" i="2" s="1"/>
  <c r="BA24" i="2"/>
  <c r="AZ24" i="2"/>
  <c r="AY24" i="2"/>
  <c r="AV24" i="2"/>
  <c r="AX24" i="2" s="1"/>
  <c r="BA23" i="2"/>
  <c r="AZ23" i="2"/>
  <c r="AY23" i="2"/>
  <c r="AV23" i="2"/>
  <c r="AX23" i="2" s="1"/>
  <c r="BA22" i="2"/>
  <c r="AZ22" i="2"/>
  <c r="AY22" i="2"/>
  <c r="AV22" i="2"/>
  <c r="AX22" i="2" s="1"/>
  <c r="BA21" i="2"/>
  <c r="AZ21" i="2"/>
  <c r="AY21" i="2"/>
  <c r="AV21" i="2"/>
  <c r="AX21" i="2" s="1"/>
  <c r="BA20" i="2"/>
  <c r="AZ20" i="2"/>
  <c r="AY20" i="2"/>
  <c r="AV20" i="2"/>
  <c r="AX20" i="2" s="1"/>
  <c r="BA19" i="2"/>
  <c r="AZ19" i="2"/>
  <c r="AY19" i="2"/>
  <c r="AV19" i="2"/>
  <c r="AX19" i="2" s="1"/>
  <c r="BA18" i="2"/>
  <c r="AZ18" i="2"/>
  <c r="AY18" i="2"/>
  <c r="AV18" i="2"/>
  <c r="AX18" i="2" s="1"/>
  <c r="BA17" i="2"/>
  <c r="AZ17" i="2"/>
  <c r="AY17" i="2"/>
  <c r="AV17" i="2"/>
  <c r="AX17" i="2" s="1"/>
  <c r="BA16" i="2"/>
  <c r="AZ16" i="2"/>
  <c r="AY16" i="2"/>
  <c r="AV16" i="2"/>
  <c r="AX16" i="2" s="1"/>
  <c r="BA15" i="2"/>
  <c r="AZ15" i="2"/>
  <c r="AY15" i="2"/>
  <c r="AV15" i="2"/>
  <c r="AX15" i="2" s="1"/>
  <c r="BA14" i="2"/>
  <c r="AZ14" i="2"/>
  <c r="AY14" i="2"/>
  <c r="AV14" i="2"/>
  <c r="BA13" i="2"/>
  <c r="AZ13" i="2"/>
  <c r="AY13" i="2"/>
  <c r="AV13" i="2"/>
  <c r="AX13" i="2" s="1"/>
  <c r="BA12" i="2"/>
  <c r="AZ12" i="2"/>
  <c r="AY12" i="2"/>
  <c r="AV12" i="2"/>
  <c r="AX12" i="2" s="1"/>
  <c r="BA11" i="2"/>
  <c r="AZ11" i="2"/>
  <c r="AY11" i="2"/>
  <c r="AV11" i="2"/>
  <c r="G5" i="2"/>
  <c r="E5" i="2"/>
  <c r="B12" i="1"/>
  <c r="B9" i="1"/>
  <c r="AX3086" i="4"/>
  <c r="AX3085" i="4"/>
  <c r="AX3079" i="4"/>
  <c r="AX3072" i="4"/>
  <c r="AX3064" i="4"/>
  <c r="AX3057" i="4"/>
  <c r="AX3050" i="4"/>
  <c r="AX3043" i="4"/>
  <c r="AX3036" i="4"/>
  <c r="AX3029" i="4"/>
  <c r="AX3022" i="4"/>
  <c r="AX3015" i="4"/>
  <c r="AX3008" i="4"/>
  <c r="AX3000" i="4"/>
  <c r="AX2994" i="4"/>
  <c r="AX2986" i="4"/>
  <c r="AX2979" i="4"/>
  <c r="AX2971" i="4"/>
  <c r="AX2964" i="4"/>
  <c r="AX2957" i="4"/>
  <c r="AX2950" i="4"/>
  <c r="AX2944" i="4"/>
  <c r="AX2938" i="4"/>
  <c r="AX2931" i="4"/>
  <c r="AX2924" i="4"/>
  <c r="AX2917" i="4"/>
  <c r="AX2910" i="4"/>
  <c r="AX2903" i="4"/>
  <c r="AX2889" i="4"/>
  <c r="AX2881" i="4"/>
  <c r="AX2874" i="4"/>
  <c r="AX2867" i="4"/>
  <c r="AX2861" i="4"/>
  <c r="AX2855" i="4"/>
  <c r="AX2848" i="4"/>
  <c r="AX2834" i="4"/>
  <c r="AX2827" i="4"/>
  <c r="AX2820" i="4"/>
  <c r="AX2813" i="4"/>
  <c r="AX2806" i="4"/>
  <c r="AX2798" i="4"/>
  <c r="AX2791" i="4"/>
  <c r="AX2778" i="4"/>
  <c r="AX2771" i="4"/>
  <c r="AX2770" i="4"/>
  <c r="AX2758" i="4"/>
  <c r="AX2751" i="4"/>
  <c r="AX2738" i="4"/>
  <c r="AX2736" i="4"/>
  <c r="AX2729" i="4"/>
  <c r="AX2716" i="4"/>
  <c r="AX2709" i="4"/>
  <c r="AX2702" i="4"/>
  <c r="AX2695" i="4"/>
  <c r="AX2688" i="4"/>
  <c r="AX2677" i="4"/>
  <c r="AX2668" i="4"/>
  <c r="AX2660" i="4"/>
  <c r="AX2653" i="4"/>
  <c r="AX2646" i="4"/>
  <c r="AX2639" i="4"/>
  <c r="AX2632" i="4"/>
  <c r="AX2625" i="4"/>
  <c r="AX2618" i="4"/>
  <c r="AX2611" i="4"/>
  <c r="AX2604" i="4"/>
  <c r="AX2598" i="4"/>
  <c r="AX2591" i="4"/>
  <c r="AX2589" i="4"/>
  <c r="AX2584" i="4"/>
  <c r="AX2583" i="4"/>
  <c r="AX2577" i="4"/>
  <c r="AX2570" i="4"/>
  <c r="AX2563" i="4"/>
  <c r="AX2556" i="4"/>
  <c r="AX2549" i="4"/>
  <c r="AX2542" i="4"/>
  <c r="AX2535" i="4"/>
  <c r="AX2529" i="4"/>
  <c r="AX2522" i="4"/>
  <c r="AX2515" i="4"/>
  <c r="AX2509" i="4"/>
  <c r="AX2180" i="4"/>
  <c r="AX2173" i="4"/>
  <c r="AX1151" i="4"/>
  <c r="AX1143" i="4"/>
  <c r="AX1132" i="4"/>
  <c r="AX1125" i="4"/>
  <c r="AX1117" i="4"/>
  <c r="AX1110" i="4"/>
  <c r="AX1104" i="4"/>
  <c r="AX1089" i="4"/>
  <c r="AX1081" i="4"/>
  <c r="AX1073" i="4"/>
  <c r="AX1062" i="4"/>
  <c r="AX1053" i="4"/>
  <c r="AX1038" i="4"/>
  <c r="AX1030" i="4"/>
  <c r="AX1022" i="4"/>
  <c r="AX1014" i="4"/>
  <c r="AX1007" i="4"/>
  <c r="AX1000" i="4"/>
  <c r="AX992" i="4"/>
  <c r="AX982" i="4"/>
  <c r="AX975" i="4"/>
  <c r="AX969" i="4"/>
  <c r="AX967" i="4"/>
  <c r="AX3000" i="3"/>
  <c r="AX2987" i="3"/>
  <c r="AX2986" i="3"/>
  <c r="AX2977" i="3"/>
  <c r="AX2948" i="3"/>
  <c r="AX2947" i="3"/>
  <c r="AX2928" i="3"/>
  <c r="AX2927" i="3"/>
  <c r="AX2916" i="3"/>
  <c r="AX2893" i="3"/>
  <c r="AX2882" i="3"/>
  <c r="AX2872" i="3"/>
  <c r="AX2871" i="3"/>
  <c r="AX2862" i="3"/>
  <c r="AX2859" i="3"/>
  <c r="AX2830" i="3"/>
  <c r="AX2821" i="3"/>
  <c r="AX2819" i="3"/>
  <c r="AX2810" i="3"/>
  <c r="AX2809" i="3"/>
  <c r="AX2799" i="3"/>
  <c r="AX2787" i="3"/>
  <c r="AX2777" i="3"/>
  <c r="AX2766" i="3"/>
  <c r="AX2746" i="3"/>
  <c r="AX2736" i="3"/>
  <c r="AX2725" i="3"/>
  <c r="AX2715" i="3"/>
  <c r="AX2703" i="3"/>
  <c r="AX2694" i="3"/>
  <c r="AX2693" i="3"/>
  <c r="AX2684" i="3"/>
  <c r="AX2683" i="3"/>
  <c r="AX2682" i="3"/>
  <c r="AX2671" i="3"/>
  <c r="AX2661" i="3"/>
  <c r="AX2651" i="3"/>
  <c r="AX2640" i="3"/>
  <c r="AX2629" i="3"/>
  <c r="AX2618" i="3"/>
  <c r="AX2608" i="3"/>
  <c r="AX2597" i="3"/>
  <c r="AX2576" i="3"/>
  <c r="AX2565" i="3"/>
  <c r="AX2554" i="3"/>
  <c r="AX2544" i="3"/>
  <c r="AX2533" i="3"/>
  <c r="AX2522" i="3"/>
  <c r="AX2512" i="3"/>
  <c r="AX2502" i="3"/>
  <c r="AX2481" i="3"/>
  <c r="AX2470" i="3"/>
  <c r="AX2459" i="3"/>
  <c r="AX2449" i="3"/>
  <c r="AX2448" i="3"/>
  <c r="AX2438" i="3"/>
  <c r="AX2437" i="3"/>
  <c r="AX2417" i="3"/>
  <c r="AX2406" i="3"/>
  <c r="AX2395" i="3"/>
  <c r="AX2374" i="3"/>
  <c r="AX937" i="3"/>
  <c r="AX931" i="3"/>
  <c r="AX926" i="3"/>
  <c r="AX925" i="3"/>
  <c r="AX916" i="3"/>
  <c r="AX905" i="3"/>
  <c r="AX893" i="3"/>
  <c r="AX892" i="3"/>
  <c r="AX876" i="3"/>
  <c r="AX862" i="3"/>
  <c r="AX861" i="3"/>
  <c r="AX859" i="3"/>
  <c r="AX858" i="3"/>
  <c r="AX839" i="3"/>
  <c r="AX829" i="3"/>
  <c r="AX819" i="3"/>
  <c r="AX818" i="3"/>
  <c r="AX2630" i="2"/>
  <c r="AX2616" i="2"/>
  <c r="AX2600" i="2"/>
  <c r="AX2586" i="2"/>
  <c r="AX2557" i="2"/>
  <c r="AX2542" i="2"/>
  <c r="AX2527" i="2"/>
  <c r="AX2512" i="2"/>
  <c r="AX2497" i="2"/>
  <c r="AX2466" i="2"/>
  <c r="AX2465" i="2"/>
  <c r="AX2464" i="2"/>
  <c r="AX2447" i="2"/>
  <c r="AX2435" i="2"/>
  <c r="AX2420" i="2"/>
  <c r="AX2404" i="2"/>
  <c r="AX2373" i="2"/>
  <c r="AX2372" i="2"/>
  <c r="AX2359" i="2"/>
  <c r="AX2345" i="2"/>
  <c r="AX2330" i="2"/>
  <c r="AX2315" i="2"/>
  <c r="AX2300" i="2"/>
  <c r="AX2284" i="2"/>
  <c r="AX2270" i="2"/>
  <c r="AX2239" i="2"/>
  <c r="AX2210" i="2"/>
  <c r="AX2194" i="2"/>
  <c r="AX2180" i="2"/>
  <c r="AX2179" i="2"/>
  <c r="AX2165" i="2"/>
  <c r="AX2150" i="2"/>
  <c r="AX2149" i="2"/>
  <c r="AX3078" i="4"/>
  <c r="AX3063" i="4"/>
  <c r="AX3056" i="4"/>
  <c r="AX3049" i="4"/>
  <c r="AX3042" i="4"/>
  <c r="AX3035" i="4"/>
  <c r="AX3028" i="4"/>
  <c r="AX3021" i="4"/>
  <c r="AX3014" i="4"/>
  <c r="AX3005" i="4"/>
  <c r="AX2998" i="4"/>
  <c r="AX2991" i="4"/>
  <c r="AX2983" i="4"/>
  <c r="AX2976" i="4"/>
  <c r="AX2969" i="4"/>
  <c r="AX2945" i="4"/>
  <c r="AX2936" i="4"/>
  <c r="AX2929" i="4"/>
  <c r="AX2921" i="4"/>
  <c r="AX2914" i="4"/>
  <c r="AX2907" i="4"/>
  <c r="AX2900" i="4"/>
  <c r="AX2893" i="4"/>
  <c r="AX2886" i="4"/>
  <c r="AX2870" i="4"/>
  <c r="AX2862" i="4"/>
  <c r="AX2854" i="4"/>
  <c r="AX2847" i="4"/>
  <c r="AX2841" i="4"/>
  <c r="AX2839" i="4"/>
  <c r="AX2832" i="4"/>
  <c r="AX2831" i="4"/>
  <c r="AX2824" i="4"/>
  <c r="AX2817" i="4"/>
  <c r="AX2809" i="4"/>
  <c r="AX2794" i="4"/>
  <c r="AX2786" i="4"/>
  <c r="AX2779" i="4"/>
  <c r="AX2772" i="4"/>
  <c r="AX2757" i="4"/>
  <c r="AX2756" i="4"/>
  <c r="AX2748" i="4"/>
  <c r="AX2741" i="4"/>
  <c r="AX2734" i="4"/>
  <c r="AX2726" i="4"/>
  <c r="AX2719" i="4"/>
  <c r="AX2711" i="4"/>
  <c r="AX2704" i="4"/>
  <c r="AX2697" i="4"/>
  <c r="AX2690" i="4"/>
  <c r="AX2682" i="4"/>
  <c r="AX2681" i="4"/>
  <c r="AX2671" i="4"/>
  <c r="AX2664" i="4"/>
  <c r="AX2657" i="4"/>
  <c r="AX2650" i="4"/>
  <c r="AX2643" i="4"/>
  <c r="AX2635" i="4"/>
  <c r="AX2627" i="4"/>
  <c r="AX2620" i="4"/>
  <c r="AX2605" i="4"/>
  <c r="AX2597" i="4"/>
  <c r="AX2582" i="4"/>
  <c r="AX2575" i="4"/>
  <c r="AX2560" i="4"/>
  <c r="AX2553" i="4"/>
  <c r="AX2546" i="4"/>
  <c r="AX2539" i="4"/>
  <c r="AX2532" i="4"/>
  <c r="AX2525" i="4"/>
  <c r="AX2518" i="4"/>
  <c r="AX2276" i="4"/>
  <c r="AX2269" i="4"/>
  <c r="AX2254" i="4"/>
  <c r="AX2186" i="4"/>
  <c r="AX2179" i="4"/>
  <c r="AX2172" i="4"/>
  <c r="AX1146" i="4"/>
  <c r="AX1138" i="4"/>
  <c r="AX1130" i="4"/>
  <c r="AX1120" i="4"/>
  <c r="AX1103" i="4"/>
  <c r="AX1101" i="4"/>
  <c r="AX1087" i="4"/>
  <c r="AX1086" i="4"/>
  <c r="AX1079" i="4"/>
  <c r="AX1078" i="4"/>
  <c r="AX1077" i="4"/>
  <c r="AX1075" i="4"/>
  <c r="AX1066" i="4"/>
  <c r="AX1058" i="4"/>
  <c r="AX1050" i="4"/>
  <c r="AX1042" i="4"/>
  <c r="AX1027" i="4"/>
  <c r="AX1019" i="4"/>
  <c r="AX1017" i="4"/>
  <c r="AX1009" i="4"/>
  <c r="AX999" i="4"/>
  <c r="AX977" i="4"/>
  <c r="AX976" i="4"/>
  <c r="AX970" i="4"/>
  <c r="AX963" i="4"/>
  <c r="AX961" i="4"/>
  <c r="AX960" i="4"/>
  <c r="AX2996" i="3"/>
  <c r="AX2985" i="3"/>
  <c r="AX2974" i="3"/>
  <c r="AX2963" i="3"/>
  <c r="AX2952" i="3"/>
  <c r="AX2942" i="3"/>
  <c r="AX2931" i="3"/>
  <c r="AX2920" i="3"/>
  <c r="AX2909" i="3"/>
  <c r="AX2898" i="3"/>
  <c r="AX2877" i="3"/>
  <c r="AX2866" i="3"/>
  <c r="AX2855" i="3"/>
  <c r="AX2844" i="3"/>
  <c r="AX2833" i="3"/>
  <c r="AX2808" i="3"/>
  <c r="AX2797" i="3"/>
  <c r="AX2772" i="3"/>
  <c r="AX2771" i="3"/>
  <c r="AX2760" i="3"/>
  <c r="AX2749" i="3"/>
  <c r="AX2739" i="3"/>
  <c r="AX2729" i="3"/>
  <c r="AX2728" i="3"/>
  <c r="AX2718" i="3"/>
  <c r="AX2707" i="3"/>
  <c r="AX2696" i="3"/>
  <c r="AX2672" i="3"/>
  <c r="AX2660" i="3"/>
  <c r="AX2649" i="3"/>
  <c r="AX2637" i="3"/>
  <c r="AX2625" i="3"/>
  <c r="AX2613" i="3"/>
  <c r="AX2602" i="3"/>
  <c r="AX2591" i="3"/>
  <c r="AX2580" i="3"/>
  <c r="AX2569" i="3"/>
  <c r="AX2558" i="3"/>
  <c r="AX2547" i="3"/>
  <c r="AX2524" i="3"/>
  <c r="AX2513" i="3"/>
  <c r="AX2501" i="3"/>
  <c r="AX2490" i="3"/>
  <c r="AX2479" i="3"/>
  <c r="AX2468" i="3"/>
  <c r="AX2467" i="3"/>
  <c r="AX2457" i="3"/>
  <c r="AX2455" i="3"/>
  <c r="AX2444" i="3"/>
  <c r="AX2431" i="3"/>
  <c r="AX2410" i="3"/>
  <c r="AX2397" i="3"/>
  <c r="AX2386" i="3"/>
  <c r="AX2375" i="3"/>
  <c r="AX900" i="3"/>
  <c r="AX899" i="3"/>
  <c r="AX888" i="3"/>
  <c r="AX877" i="3"/>
  <c r="AX845" i="3"/>
  <c r="AX834" i="3"/>
  <c r="AX2627" i="2"/>
  <c r="AX2626" i="2"/>
  <c r="AX2613" i="2"/>
  <c r="AX2612" i="2"/>
  <c r="AX2598" i="2"/>
  <c r="AX2583" i="2"/>
  <c r="AX2569" i="2"/>
  <c r="AX2568" i="2"/>
  <c r="AX2555" i="2"/>
  <c r="AX2553" i="2"/>
  <c r="AX2539" i="2"/>
  <c r="AX2526" i="2"/>
  <c r="AX2524" i="2"/>
  <c r="AX2523" i="2"/>
  <c r="AX2510" i="2"/>
  <c r="AX2496" i="2"/>
  <c r="AX2482" i="2"/>
  <c r="AX2481" i="2"/>
  <c r="AX2480" i="2"/>
  <c r="AX2467" i="2"/>
  <c r="AX2452" i="2"/>
  <c r="AX2436" i="2"/>
  <c r="AX2421" i="2"/>
  <c r="AX2407" i="2"/>
  <c r="AX2392" i="2"/>
  <c r="AX2377" i="2"/>
  <c r="AX2362" i="2"/>
  <c r="AX2346" i="2"/>
  <c r="AX2331" i="2"/>
  <c r="AX2317" i="2"/>
  <c r="AX2316" i="2"/>
  <c r="AX2302" i="2"/>
  <c r="AX2273" i="2"/>
  <c r="AX2258" i="2"/>
  <c r="AX2227" i="2"/>
  <c r="AX2200" i="2"/>
  <c r="AX2156" i="2"/>
  <c r="AX3214" i="4"/>
  <c r="AX3210" i="4"/>
  <c r="AX3206" i="4"/>
  <c r="AX3199" i="4"/>
  <c r="AX3195" i="4"/>
  <c r="AX3191" i="4"/>
  <c r="AX3187" i="4"/>
  <c r="AX3183" i="4"/>
  <c r="AX3181" i="4"/>
  <c r="AX3180" i="4"/>
  <c r="AX3177" i="4"/>
  <c r="AX3174" i="4"/>
  <c r="AX3173" i="4"/>
  <c r="AX3170" i="4"/>
  <c r="AX3165" i="4"/>
  <c r="AX3162" i="4"/>
  <c r="AX3158" i="4"/>
  <c r="AX3155" i="4"/>
  <c r="AX3151" i="4"/>
  <c r="AX3147" i="4"/>
  <c r="AX3143" i="4"/>
  <c r="AX3139" i="4"/>
  <c r="AX3135" i="4"/>
  <c r="AX3131" i="4"/>
  <c r="AX3127" i="4"/>
  <c r="AX3123" i="4"/>
  <c r="AX3119" i="4"/>
  <c r="AX3117" i="4"/>
  <c r="AX3113" i="4"/>
  <c r="AX3109" i="4"/>
  <c r="AX3105" i="4"/>
  <c r="AX3101" i="4"/>
  <c r="AX3097" i="4"/>
  <c r="AX3093" i="4"/>
  <c r="AX3089" i="4"/>
  <c r="AX3082" i="4"/>
  <c r="AX3075" i="4"/>
  <c r="AX3071" i="4"/>
  <c r="AX3070" i="4"/>
  <c r="AX3065" i="4"/>
  <c r="AX3058" i="4"/>
  <c r="AX3052" i="4"/>
  <c r="AX3046" i="4"/>
  <c r="AX3040" i="4"/>
  <c r="AX3034" i="4"/>
  <c r="AX3033" i="4"/>
  <c r="AX3026" i="4"/>
  <c r="AX3020" i="4"/>
  <c r="AX3013" i="4"/>
  <c r="AX3007" i="4"/>
  <c r="AX3003" i="4"/>
  <c r="AX2997" i="4"/>
  <c r="AX2990" i="4"/>
  <c r="AX2984" i="4"/>
  <c r="AX2977" i="4"/>
  <c r="AX2970" i="4"/>
  <c r="AX2963" i="4"/>
  <c r="AX2956" i="4"/>
  <c r="AX2949" i="4"/>
  <c r="AX2942" i="4"/>
  <c r="AX2934" i="4"/>
  <c r="AX2927" i="4"/>
  <c r="AX2920" i="4"/>
  <c r="AX2913" i="4"/>
  <c r="AX2906" i="4"/>
  <c r="AX2891" i="4"/>
  <c r="AX2883" i="4"/>
  <c r="AX2875" i="4"/>
  <c r="AX2868" i="4"/>
  <c r="AX2860" i="4"/>
  <c r="AX2853" i="4"/>
  <c r="AX2846" i="4"/>
  <c r="AX2840" i="4"/>
  <c r="AX2833" i="4"/>
  <c r="AX2825" i="4"/>
  <c r="AX2818" i="4"/>
  <c r="AX2811" i="4"/>
  <c r="AX2804" i="4"/>
  <c r="AX2797" i="4"/>
  <c r="AX2787" i="4"/>
  <c r="AX2780" i="4"/>
  <c r="AX2773" i="4"/>
  <c r="AX2766" i="4"/>
  <c r="AX2759" i="4"/>
  <c r="AX2742" i="4"/>
  <c r="AX2735" i="4"/>
  <c r="AX2728" i="4"/>
  <c r="AX2720" i="4"/>
  <c r="AX2705" i="4"/>
  <c r="AX2698" i="4"/>
  <c r="AX2691" i="4"/>
  <c r="AX2684" i="4"/>
  <c r="AX2674" i="4"/>
  <c r="AX2666" i="4"/>
  <c r="AX2659" i="4"/>
  <c r="AX2651" i="4"/>
  <c r="AX2644" i="4"/>
  <c r="AX2629" i="4"/>
  <c r="AX2621" i="4"/>
  <c r="AX2614" i="4"/>
  <c r="AX2607" i="4"/>
  <c r="AX2599" i="4"/>
  <c r="AX2592" i="4"/>
  <c r="AX2576" i="4"/>
  <c r="AX2569" i="4"/>
  <c r="AX2561" i="4"/>
  <c r="AX2554" i="4"/>
  <c r="AX2547" i="4"/>
  <c r="AX2538" i="4"/>
  <c r="AX2531" i="4"/>
  <c r="AX2524" i="4"/>
  <c r="AX2517" i="4"/>
  <c r="AX2510" i="4"/>
  <c r="AX2275" i="4"/>
  <c r="AX2268" i="4"/>
  <c r="AX2267" i="4"/>
  <c r="AX2260" i="4"/>
  <c r="AX2253" i="4"/>
  <c r="AX2181" i="4"/>
  <c r="AX2174" i="4"/>
  <c r="AX1152" i="4"/>
  <c r="AX1145" i="4"/>
  <c r="AX1144" i="4"/>
  <c r="AX1137" i="4"/>
  <c r="AX1121" i="4"/>
  <c r="AX1113" i="4"/>
  <c r="AX1106" i="4"/>
  <c r="AX1098" i="4"/>
  <c r="AX1096" i="4"/>
  <c r="AX1088" i="4"/>
  <c r="AX1061" i="4"/>
  <c r="AX1052" i="4"/>
  <c r="AX1029" i="4"/>
  <c r="AX997" i="4"/>
  <c r="AX989" i="4"/>
  <c r="AX981" i="4"/>
  <c r="AX973" i="4"/>
  <c r="AX972" i="4"/>
  <c r="AX971" i="4"/>
  <c r="AX2998" i="3"/>
  <c r="AX2976" i="3"/>
  <c r="AX2975" i="3"/>
  <c r="AX2965" i="3"/>
  <c r="AX2944" i="3"/>
  <c r="AX2933" i="3"/>
  <c r="AX2890" i="3"/>
  <c r="AX2889" i="3"/>
  <c r="AX2880" i="3"/>
  <c r="AX2868" i="3"/>
  <c r="AX2867" i="3"/>
  <c r="AX2858" i="3"/>
  <c r="AX2856" i="3"/>
  <c r="AX2845" i="3"/>
  <c r="AX2834" i="3"/>
  <c r="AX2823" i="3"/>
  <c r="AX2813" i="3"/>
  <c r="AX2805" i="3"/>
  <c r="AX2793" i="3"/>
  <c r="AX2783" i="3"/>
  <c r="AX2775" i="3"/>
  <c r="AX2764" i="3"/>
  <c r="AX2762" i="3"/>
  <c r="AX2761" i="3"/>
  <c r="AX2753" i="3"/>
  <c r="AX2751" i="3"/>
  <c r="AX2733" i="3"/>
  <c r="AX2713" i="3"/>
  <c r="AX2712" i="3"/>
  <c r="AX2705" i="3"/>
  <c r="AX2685" i="3"/>
  <c r="AX2673" i="3"/>
  <c r="AX2663" i="3"/>
  <c r="AX2662" i="3"/>
  <c r="AX2643" i="3"/>
  <c r="AX2632" i="3"/>
  <c r="AX2621" i="3"/>
  <c r="AX2609" i="3"/>
  <c r="AX2600" i="3"/>
  <c r="AX2588" i="3"/>
  <c r="AX2578" i="3"/>
  <c r="AX2567" i="3"/>
  <c r="AX2557" i="3"/>
  <c r="AX2546" i="3"/>
  <c r="AX2536" i="3"/>
  <c r="AX2523" i="3"/>
  <c r="AX2514" i="3"/>
  <c r="AX2503" i="3"/>
  <c r="AX2493" i="3"/>
  <c r="AX2482" i="3"/>
  <c r="AX2462" i="3"/>
  <c r="AX2461" i="3"/>
  <c r="AX2452" i="3"/>
  <c r="AX2451" i="3"/>
  <c r="AX2440" i="3"/>
  <c r="AX2430" i="3"/>
  <c r="AX2429" i="3"/>
  <c r="AX2419" i="3"/>
  <c r="AX2409" i="3"/>
  <c r="AX2399" i="3"/>
  <c r="AX2387" i="3"/>
  <c r="AX2376" i="3"/>
  <c r="AX929" i="3"/>
  <c r="AX920" i="3"/>
  <c r="AX918" i="3"/>
  <c r="AX906" i="3"/>
  <c r="AX895" i="3"/>
  <c r="AX889" i="3"/>
  <c r="AX868" i="3"/>
  <c r="AX864" i="3"/>
  <c r="AX863" i="3"/>
  <c r="AX854" i="3"/>
  <c r="AX852" i="3"/>
  <c r="AX841" i="3"/>
  <c r="AX2628" i="2"/>
  <c r="AX2604" i="2"/>
  <c r="AX2601" i="2"/>
  <c r="AX2588" i="2"/>
  <c r="AX2573" i="2"/>
  <c r="AX2543" i="2"/>
  <c r="AX2528" i="2"/>
  <c r="AX2514" i="2"/>
  <c r="AX2513" i="2"/>
  <c r="AX2499" i="2"/>
  <c r="AX2484" i="2"/>
  <c r="AX2483" i="2"/>
  <c r="AX2439" i="2"/>
  <c r="AX2424" i="2"/>
  <c r="AX2409" i="2"/>
  <c r="AX2393" i="2"/>
  <c r="AX2378" i="2"/>
  <c r="AX2363" i="2"/>
  <c r="AX2350" i="2"/>
  <c r="AX2349" i="2"/>
  <c r="AX2320" i="2"/>
  <c r="AX2305" i="2"/>
  <c r="AX2277" i="2"/>
  <c r="AX2263" i="2"/>
  <c r="AX2249" i="2"/>
  <c r="AX2235" i="2"/>
  <c r="AX2220" i="2"/>
  <c r="AX2206" i="2"/>
  <c r="AX2191" i="2"/>
  <c r="AX2190" i="2"/>
  <c r="AX2160" i="2"/>
  <c r="AX2148" i="2"/>
  <c r="AX2147" i="2"/>
  <c r="AX2146" i="2"/>
  <c r="AX3743" i="4"/>
  <c r="AX3740" i="4"/>
  <c r="AX3737" i="4"/>
  <c r="AX3734" i="4"/>
  <c r="AX3731" i="4"/>
  <c r="AX3728" i="4"/>
  <c r="AX3725" i="4"/>
  <c r="AX3722" i="4"/>
  <c r="AX3720" i="4"/>
  <c r="AX3717" i="4"/>
  <c r="AX3714" i="4"/>
  <c r="AX3711" i="4"/>
  <c r="AX3708" i="4"/>
  <c r="AX3705" i="4"/>
  <c r="AX3702" i="4"/>
  <c r="AX3699" i="4"/>
  <c r="AX3696" i="4"/>
  <c r="AX3693" i="4"/>
  <c r="AX3690" i="4"/>
  <c r="AX3687" i="4"/>
  <c r="AX3684" i="4"/>
  <c r="AX3681" i="4"/>
  <c r="AX3678" i="4"/>
  <c r="AX3675" i="4"/>
  <c r="AX3672" i="4"/>
  <c r="AX3669" i="4"/>
  <c r="AX3666" i="4"/>
  <c r="AX3662" i="4"/>
  <c r="AX3659" i="4"/>
  <c r="AX3656" i="4"/>
  <c r="AX3653" i="4"/>
  <c r="AX3650" i="4"/>
  <c r="AX3647" i="4"/>
  <c r="AX3644" i="4"/>
  <c r="AX3641" i="4"/>
  <c r="AX3638" i="4"/>
  <c r="AX3635" i="4"/>
  <c r="AX3632" i="4"/>
  <c r="AX3629" i="4"/>
  <c r="AX3626" i="4"/>
  <c r="AX3623" i="4"/>
  <c r="AX3620" i="4"/>
  <c r="AX3617" i="4"/>
  <c r="AX3614" i="4"/>
  <c r="AX3611" i="4"/>
  <c r="AX3609" i="4"/>
  <c r="AX3606" i="4"/>
  <c r="AX3603" i="4"/>
  <c r="AX3600" i="4"/>
  <c r="AX3597" i="4"/>
  <c r="AX3594" i="4"/>
  <c r="AX3589" i="4"/>
  <c r="AX3586" i="4"/>
  <c r="AX3583" i="4"/>
  <c r="AX3580" i="4"/>
  <c r="AX3577" i="4"/>
  <c r="AX3574" i="4"/>
  <c r="AX3571" i="4"/>
  <c r="AX3568" i="4"/>
  <c r="AX3566" i="4"/>
  <c r="AX3565" i="4"/>
  <c r="AX3562" i="4"/>
  <c r="AX3560" i="4"/>
  <c r="AX3557" i="4"/>
  <c r="AX3554" i="4"/>
  <c r="AX3551" i="4"/>
  <c r="AX3548" i="4"/>
  <c r="AX3545" i="4"/>
  <c r="AX3542" i="4"/>
  <c r="AX3539" i="4"/>
  <c r="AX3536" i="4"/>
  <c r="AX3533" i="4"/>
  <c r="AX3530" i="4"/>
  <c r="AX3527" i="4"/>
  <c r="AX3525" i="4"/>
  <c r="AX3524" i="4"/>
  <c r="AX3522" i="4"/>
  <c r="AX3519" i="4"/>
  <c r="AX3516" i="4"/>
  <c r="AX3513" i="4"/>
  <c r="AX3510" i="4"/>
  <c r="AX3507" i="4"/>
  <c r="AX3504" i="4"/>
  <c r="AX3501" i="4"/>
  <c r="AX3498" i="4"/>
  <c r="AX3495" i="4"/>
  <c r="AX3492" i="4"/>
  <c r="AX3490" i="4"/>
  <c r="AX3487" i="4"/>
  <c r="AX3484" i="4"/>
  <c r="AX3481" i="4"/>
  <c r="AX3478" i="4"/>
  <c r="AX3475" i="4"/>
  <c r="AX3472" i="4"/>
  <c r="AX3469" i="4"/>
  <c r="AX3466" i="4"/>
  <c r="AX3463" i="4"/>
  <c r="AX3460" i="4"/>
  <c r="AX3457" i="4"/>
  <c r="AX3454" i="4"/>
  <c r="AX3451" i="4"/>
  <c r="AX3446" i="4"/>
  <c r="AX3443" i="4"/>
  <c r="AX3440" i="4"/>
  <c r="AX3437" i="4"/>
  <c r="AX3434" i="4"/>
  <c r="AX3431" i="4"/>
  <c r="AX3429" i="4"/>
  <c r="AX3428" i="4"/>
  <c r="AX3425" i="4"/>
  <c r="AX3420" i="4"/>
  <c r="AX3417" i="4"/>
  <c r="AX3414" i="4"/>
  <c r="AX3411" i="4"/>
  <c r="AX3408" i="4"/>
  <c r="AX3405" i="4"/>
  <c r="AX3402" i="4"/>
  <c r="AX3399" i="4"/>
  <c r="AX3396" i="4"/>
  <c r="AX3393" i="4"/>
  <c r="AX3390" i="4"/>
  <c r="AX3388" i="4"/>
  <c r="AX3385" i="4"/>
  <c r="AX3382" i="4"/>
  <c r="AX3379" i="4"/>
  <c r="AX3376" i="4"/>
  <c r="AX3373" i="4"/>
  <c r="AX3370" i="4"/>
  <c r="AX3367" i="4"/>
  <c r="AX3364" i="4"/>
  <c r="AX3361" i="4"/>
  <c r="AX3358" i="4"/>
  <c r="AX3355" i="4"/>
  <c r="AX3352" i="4"/>
  <c r="AX3349" i="4"/>
  <c r="AX3346" i="4"/>
  <c r="AX3344" i="4"/>
  <c r="AX3341" i="4"/>
  <c r="AX3338" i="4"/>
  <c r="AX3335" i="4"/>
  <c r="AX3333" i="4"/>
  <c r="AX3330" i="4"/>
  <c r="AX3327" i="4"/>
  <c r="AX3324" i="4"/>
  <c r="AX3321" i="4"/>
  <c r="AX3318" i="4"/>
  <c r="AX3315" i="4"/>
  <c r="AX3312" i="4"/>
  <c r="AX3307" i="4"/>
  <c r="AX3304" i="4"/>
  <c r="AX3301" i="4"/>
  <c r="AX3299" i="4"/>
  <c r="AX3297" i="4"/>
  <c r="AX3294" i="4"/>
  <c r="AX3291" i="4"/>
  <c r="AX3288" i="4"/>
  <c r="AX3285" i="4"/>
  <c r="AX3282" i="4"/>
  <c r="AX3279" i="4"/>
  <c r="AX3276" i="4"/>
  <c r="AX3274" i="4"/>
  <c r="AX3273" i="4"/>
  <c r="AX3272" i="4"/>
  <c r="AX3269" i="4"/>
  <c r="AX3266" i="4"/>
  <c r="AX3263" i="4"/>
  <c r="AX3260" i="4"/>
  <c r="AX3257" i="4"/>
  <c r="AX3254" i="4"/>
  <c r="AX3251" i="4"/>
  <c r="AX3248" i="4"/>
  <c r="AX3245" i="4"/>
  <c r="AX3242" i="4"/>
  <c r="AX3239" i="4"/>
  <c r="AX3236" i="4"/>
  <c r="AX3234" i="4"/>
  <c r="AX3231" i="4"/>
  <c r="AX3228" i="4"/>
  <c r="AX3225" i="4"/>
  <c r="AX3222" i="4"/>
  <c r="AX3219" i="4"/>
  <c r="AX3218" i="4"/>
  <c r="AX3216" i="4"/>
  <c r="AX3212" i="4"/>
  <c r="AX3208" i="4"/>
  <c r="AX3204" i="4"/>
  <c r="AX3200" i="4"/>
  <c r="AX3196" i="4"/>
  <c r="AX3192" i="4"/>
  <c r="AX3188" i="4"/>
  <c r="AX3184" i="4"/>
  <c r="AX3179" i="4"/>
  <c r="AX3176" i="4"/>
  <c r="AX3172" i="4"/>
  <c r="AX3168" i="4"/>
  <c r="AX3164" i="4"/>
  <c r="AX3160" i="4"/>
  <c r="AX3156" i="4"/>
  <c r="AX3152" i="4"/>
  <c r="AX3148" i="4"/>
  <c r="AX3145" i="4"/>
  <c r="AX3141" i="4"/>
  <c r="AX3138" i="4"/>
  <c r="AX3134" i="4"/>
  <c r="AX3130" i="4"/>
  <c r="AX3126" i="4"/>
  <c r="AX3122" i="4"/>
  <c r="AX3118" i="4"/>
  <c r="AX3114" i="4"/>
  <c r="AX3110" i="4"/>
  <c r="AX3106" i="4"/>
  <c r="AX3102" i="4"/>
  <c r="AX3098" i="4"/>
  <c r="AX3092" i="4"/>
  <c r="AX3088" i="4"/>
  <c r="AX3087" i="4"/>
  <c r="AX3081" i="4"/>
  <c r="AX3074" i="4"/>
  <c r="AX3073" i="4"/>
  <c r="AX3066" i="4"/>
  <c r="AX3059" i="4"/>
  <c r="AX3051" i="4"/>
  <c r="AX3044" i="4"/>
  <c r="AX3037" i="4"/>
  <c r="AX3030" i="4"/>
  <c r="AX3023" i="4"/>
  <c r="AX3016" i="4"/>
  <c r="AX3010" i="4"/>
  <c r="AX3002" i="4"/>
  <c r="AX2995" i="4"/>
  <c r="AX2988" i="4"/>
  <c r="AX2960" i="4"/>
  <c r="AX2954" i="4"/>
  <c r="AX2947" i="4"/>
  <c r="AX2940" i="4"/>
  <c r="AX2933" i="4"/>
  <c r="AX2926" i="4"/>
  <c r="AX2919" i="4"/>
  <c r="AX2918" i="4"/>
  <c r="AX2911" i="4"/>
  <c r="AX2905" i="4"/>
  <c r="AX2899" i="4"/>
  <c r="AX2892" i="4"/>
  <c r="AX2885" i="4"/>
  <c r="AX2879" i="4"/>
  <c r="AX2878" i="4"/>
  <c r="AX2871" i="4"/>
  <c r="AX2864" i="4"/>
  <c r="AX2857" i="4"/>
  <c r="AX2850" i="4"/>
  <c r="AX2843" i="4"/>
  <c r="AX2836" i="4"/>
  <c r="AX2829" i="4"/>
  <c r="AX2816" i="4"/>
  <c r="AX2810" i="4"/>
  <c r="AX2803" i="4"/>
  <c r="AX2796" i="4"/>
  <c r="AX2790" i="4"/>
  <c r="AX2781" i="4"/>
  <c r="AX2774" i="4"/>
  <c r="AX2767" i="4"/>
  <c r="AX2760" i="4"/>
  <c r="AX2753" i="4"/>
  <c r="AX2746" i="4"/>
  <c r="AX2739" i="4"/>
  <c r="AX2732" i="4"/>
  <c r="AX2725" i="4"/>
  <c r="AX2717" i="4"/>
  <c r="AX2710" i="4"/>
  <c r="AX2703" i="4"/>
  <c r="AX2696" i="4"/>
  <c r="AX2689" i="4"/>
  <c r="AX2683" i="4"/>
  <c r="AX2676" i="4"/>
  <c r="AX2669" i="4"/>
  <c r="AX2662" i="4"/>
  <c r="AX2654" i="4"/>
  <c r="AX2647" i="4"/>
  <c r="AX2640" i="4"/>
  <c r="AX2633" i="4"/>
  <c r="AX2626" i="4"/>
  <c r="AX2619" i="4"/>
  <c r="AX2613" i="4"/>
  <c r="AX2612" i="4"/>
  <c r="AX2606" i="4"/>
  <c r="AX2600" i="4"/>
  <c r="AX2593" i="4"/>
  <c r="AX2586" i="4"/>
  <c r="AX2579" i="4"/>
  <c r="AX2572" i="4"/>
  <c r="AX2565" i="4"/>
  <c r="AX2559" i="4"/>
  <c r="AX2551" i="4"/>
  <c r="AX2544" i="4"/>
  <c r="AX2537" i="4"/>
  <c r="AX2530" i="4"/>
  <c r="AX2523" i="4"/>
  <c r="AX2516" i="4"/>
  <c r="AX2511" i="4"/>
  <c r="AX2508" i="4"/>
  <c r="AX2278" i="4"/>
  <c r="AX2264" i="4"/>
  <c r="AX2257" i="4"/>
  <c r="AX2251" i="4"/>
  <c r="AX2250" i="4"/>
  <c r="AX2183" i="4"/>
  <c r="AX2182" i="4"/>
  <c r="AX2175" i="4"/>
  <c r="AX1154" i="4"/>
  <c r="AX1150" i="4"/>
  <c r="AX1142" i="4"/>
  <c r="AX1135" i="4"/>
  <c r="AX1133" i="4"/>
  <c r="AX1124" i="4"/>
  <c r="AX1116" i="4"/>
  <c r="AX1108" i="4"/>
  <c r="AX1100" i="4"/>
  <c r="AX1093" i="4"/>
  <c r="AX1092" i="4"/>
  <c r="AX1084" i="4"/>
  <c r="AX1071" i="4"/>
  <c r="AX1056" i="4"/>
  <c r="AX1048" i="4"/>
  <c r="AX1039" i="4"/>
  <c r="AX1031" i="4"/>
  <c r="AX1023" i="4"/>
  <c r="AX1015" i="4"/>
  <c r="AX1001" i="4"/>
  <c r="AX994" i="4"/>
  <c r="AX986" i="4"/>
  <c r="AX985" i="4"/>
  <c r="AX983" i="4"/>
  <c r="AX964" i="4"/>
  <c r="AX3002" i="3"/>
  <c r="AX2990" i="3"/>
  <c r="AX2979" i="3"/>
  <c r="AX2967" i="3"/>
  <c r="AX2966" i="3"/>
  <c r="AX2955" i="3"/>
  <c r="AX2941" i="3"/>
  <c r="AX2930" i="3"/>
  <c r="AX2919" i="3"/>
  <c r="AX2908" i="3"/>
  <c r="AX2897" i="3"/>
  <c r="AX2886" i="3"/>
  <c r="AX2875" i="3"/>
  <c r="AX2864" i="3"/>
  <c r="AX2853" i="3"/>
  <c r="AX2841" i="3"/>
  <c r="AX2817" i="3"/>
  <c r="AX2816" i="3"/>
  <c r="AX2804" i="3"/>
  <c r="AX2791" i="3"/>
  <c r="AX2780" i="3"/>
  <c r="AX2769" i="3"/>
  <c r="AX2758" i="3"/>
  <c r="AX2747" i="3"/>
  <c r="AX2737" i="3"/>
  <c r="AX2726" i="3"/>
  <c r="AX2714" i="3"/>
  <c r="AX2702" i="3"/>
  <c r="AX2700" i="3"/>
  <c r="AX2698" i="3"/>
  <c r="AX2687" i="3"/>
  <c r="AX2676" i="3"/>
  <c r="AX2665" i="3"/>
  <c r="AX2654" i="3"/>
  <c r="AX2630" i="3"/>
  <c r="AX2619" i="3"/>
  <c r="AX2607" i="3"/>
  <c r="AX2596" i="3"/>
  <c r="AX2585" i="3"/>
  <c r="AX2574" i="3"/>
  <c r="AX2563" i="3"/>
  <c r="AX2550" i="3"/>
  <c r="AX2538" i="3"/>
  <c r="AX2526" i="3"/>
  <c r="AX2516" i="3"/>
  <c r="AX2505" i="3"/>
  <c r="AX2504" i="3"/>
  <c r="AX2492" i="3"/>
  <c r="AX2491" i="3"/>
  <c r="AX2480" i="3"/>
  <c r="AX2469" i="3"/>
  <c r="AX2445" i="3"/>
  <c r="AX2433" i="3"/>
  <c r="AX2432" i="3"/>
  <c r="AX2421" i="3"/>
  <c r="AX2420" i="3"/>
  <c r="AX2407" i="3"/>
  <c r="AX2396" i="3"/>
  <c r="AX2385" i="3"/>
  <c r="AX2384" i="3"/>
  <c r="AX2383" i="3"/>
  <c r="AX930" i="3"/>
  <c r="AX909" i="3"/>
  <c r="AX886" i="3"/>
  <c r="AX873" i="3"/>
  <c r="AX869" i="3"/>
  <c r="AX2624" i="2"/>
  <c r="AX2610" i="2"/>
  <c r="AX2596" i="2"/>
  <c r="AX2582" i="2"/>
  <c r="AX2581" i="2"/>
  <c r="AX2567" i="2"/>
  <c r="AX2566" i="2"/>
  <c r="AX2534" i="2"/>
  <c r="AX2518" i="2"/>
  <c r="AX2503" i="2"/>
  <c r="AX2487" i="2"/>
  <c r="AX2472" i="2"/>
  <c r="AX2457" i="2"/>
  <c r="AX2442" i="2"/>
  <c r="AX2427" i="2"/>
  <c r="AX2412" i="2"/>
  <c r="AX2397" i="2"/>
  <c r="AX2382" i="2"/>
  <c r="AX2365" i="2"/>
  <c r="AX2335" i="2"/>
  <c r="AX2333" i="2"/>
  <c r="AX2318" i="2"/>
  <c r="AX2303" i="2"/>
  <c r="AX2288" i="2"/>
  <c r="AX2287" i="2"/>
  <c r="AX2271" i="2"/>
  <c r="AX2256" i="2"/>
  <c r="AX2241" i="2"/>
  <c r="AX2226" i="2"/>
  <c r="AX2211" i="2"/>
  <c r="AX2196" i="2"/>
  <c r="AX2181" i="2"/>
  <c r="AX2166" i="2"/>
  <c r="AX2151" i="2"/>
  <c r="AX3744" i="4"/>
  <c r="AX3741" i="4"/>
  <c r="AX3738" i="4"/>
  <c r="AX3735" i="4"/>
  <c r="AX3732" i="4"/>
  <c r="AX3729" i="4"/>
  <c r="AX3726" i="4"/>
  <c r="AX3723" i="4"/>
  <c r="AX3719" i="4"/>
  <c r="AX3716" i="4"/>
  <c r="AX3713" i="4"/>
  <c r="AX3710" i="4"/>
  <c r="AX3707" i="4"/>
  <c r="AX3704" i="4"/>
  <c r="AX3701" i="4"/>
  <c r="AX3698" i="4"/>
  <c r="AX3695" i="4"/>
  <c r="AX3692" i="4"/>
  <c r="AX3689" i="4"/>
  <c r="AX3686" i="4"/>
  <c r="AX3683" i="4"/>
  <c r="AX3679" i="4"/>
  <c r="AX3676" i="4"/>
  <c r="AX3674" i="4"/>
  <c r="AX3671" i="4"/>
  <c r="AX3668" i="4"/>
  <c r="AX3665" i="4"/>
  <c r="AX3661" i="4"/>
  <c r="AX3658" i="4"/>
  <c r="AX3655" i="4"/>
  <c r="AX3652" i="4"/>
  <c r="AX3649" i="4"/>
  <c r="AX3646" i="4"/>
  <c r="AX3643" i="4"/>
  <c r="AX3640" i="4"/>
  <c r="AX3637" i="4"/>
  <c r="AX3634" i="4"/>
  <c r="AX3631" i="4"/>
  <c r="AX3628" i="4"/>
  <c r="AX3625" i="4"/>
  <c r="AX3622" i="4"/>
  <c r="AX3619" i="4"/>
  <c r="AX3616" i="4"/>
  <c r="AX3613" i="4"/>
  <c r="AX3610" i="4"/>
  <c r="AX3607" i="4"/>
  <c r="AX3604" i="4"/>
  <c r="AX3601" i="4"/>
  <c r="AX3598" i="4"/>
  <c r="AX3595" i="4"/>
  <c r="AX3592" i="4"/>
  <c r="AX3591" i="4"/>
  <c r="AX3588" i="4"/>
  <c r="AX3585" i="4"/>
  <c r="AX3582" i="4"/>
  <c r="AX3579" i="4"/>
  <c r="AX3576" i="4"/>
  <c r="AX3573" i="4"/>
  <c r="AX3570" i="4"/>
  <c r="AX3567" i="4"/>
  <c r="AX3564" i="4"/>
  <c r="AX3561" i="4"/>
  <c r="AX3558" i="4"/>
  <c r="AX3555" i="4"/>
  <c r="AX3552" i="4"/>
  <c r="AX3549" i="4"/>
  <c r="AX3546" i="4"/>
  <c r="AX3543" i="4"/>
  <c r="AX3540" i="4"/>
  <c r="AX3537" i="4"/>
  <c r="AX3534" i="4"/>
  <c r="AX3531" i="4"/>
  <c r="AX3528" i="4"/>
  <c r="AX3521" i="4"/>
  <c r="AX3518" i="4"/>
  <c r="AX3515" i="4"/>
  <c r="AX3512" i="4"/>
  <c r="AX3509" i="4"/>
  <c r="AX3506" i="4"/>
  <c r="AX3503" i="4"/>
  <c r="AX3500" i="4"/>
  <c r="AX3497" i="4"/>
  <c r="AX3494" i="4"/>
  <c r="AX3491" i="4"/>
  <c r="AX3488" i="4"/>
  <c r="AX3485" i="4"/>
  <c r="AX3482" i="4"/>
  <c r="AX3479" i="4"/>
  <c r="AX3476" i="4"/>
  <c r="AX3473" i="4"/>
  <c r="AX3470" i="4"/>
  <c r="AX3467" i="4"/>
  <c r="AX3464" i="4"/>
  <c r="AX3461" i="4"/>
  <c r="AX3458" i="4"/>
  <c r="AX3455" i="4"/>
  <c r="AX3452" i="4"/>
  <c r="AX3449" i="4"/>
  <c r="AX3448" i="4"/>
  <c r="AX3445" i="4"/>
  <c r="AX3442" i="4"/>
  <c r="AX3439" i="4"/>
  <c r="AX3436" i="4"/>
  <c r="AX3433" i="4"/>
  <c r="AX3430" i="4"/>
  <c r="AX3427" i="4"/>
  <c r="AX3424" i="4"/>
  <c r="AX3421" i="4"/>
  <c r="AX3418" i="4"/>
  <c r="AX3415" i="4"/>
  <c r="AX3412" i="4"/>
  <c r="AX3409" i="4"/>
  <c r="AX3406" i="4"/>
  <c r="AX3403" i="4"/>
  <c r="AX3400" i="4"/>
  <c r="AX3397" i="4"/>
  <c r="AX3394" i="4"/>
  <c r="AX3391" i="4"/>
  <c r="AX3387" i="4"/>
  <c r="AX3384" i="4"/>
  <c r="AX3381" i="4"/>
  <c r="AX3378" i="4"/>
  <c r="AX3375" i="4"/>
  <c r="AX3372" i="4"/>
  <c r="AX3369" i="4"/>
  <c r="AX3366" i="4"/>
  <c r="AX3363" i="4"/>
  <c r="AX3359" i="4"/>
  <c r="AX3356" i="4"/>
  <c r="AX3353" i="4"/>
  <c r="AX3350" i="4"/>
  <c r="AX3347" i="4"/>
  <c r="AX3343" i="4"/>
  <c r="AX3340" i="4"/>
  <c r="AX3337" i="4"/>
  <c r="AX3334" i="4"/>
  <c r="AX3331" i="4"/>
  <c r="AX3328" i="4"/>
  <c r="AX3325" i="4"/>
  <c r="AX3322" i="4"/>
  <c r="AX3319" i="4"/>
  <c r="AX3316" i="4"/>
  <c r="AX3313" i="4"/>
  <c r="AX3310" i="4"/>
  <c r="AX3309" i="4"/>
  <c r="AX3306" i="4"/>
  <c r="AX3303" i="4"/>
  <c r="AX3296" i="4"/>
  <c r="AX3293" i="4"/>
  <c r="AX3290" i="4"/>
  <c r="AX3287" i="4"/>
  <c r="AX3284" i="4"/>
  <c r="AX3281" i="4"/>
  <c r="AX3278" i="4"/>
  <c r="AX3275" i="4"/>
  <c r="AX3270" i="4"/>
  <c r="AX3267" i="4"/>
  <c r="AX3264" i="4"/>
  <c r="AX3261" i="4"/>
  <c r="AX3258" i="4"/>
  <c r="AX3255" i="4"/>
  <c r="AX3252" i="4"/>
  <c r="AX3249" i="4"/>
  <c r="AX3246" i="4"/>
  <c r="AX3243" i="4"/>
  <c r="AX3240" i="4"/>
  <c r="AX3237" i="4"/>
  <c r="AX3233" i="4"/>
  <c r="AX3230" i="4"/>
  <c r="AX3227" i="4"/>
  <c r="AX3224" i="4"/>
  <c r="AX3221" i="4"/>
  <c r="AX3217" i="4"/>
  <c r="AX3213" i="4"/>
  <c r="AX3209" i="4"/>
  <c r="AX3205" i="4"/>
  <c r="AX3201" i="4"/>
  <c r="AX3197" i="4"/>
  <c r="AX3193" i="4"/>
  <c r="AX3189" i="4"/>
  <c r="AX3185" i="4"/>
  <c r="AX3175" i="4"/>
  <c r="AX3171" i="4"/>
  <c r="AX3167" i="4"/>
  <c r="AX3163" i="4"/>
  <c r="AX3159" i="4"/>
  <c r="AX3154" i="4"/>
  <c r="AX3150" i="4"/>
  <c r="AX3146" i="4"/>
  <c r="AX3142" i="4"/>
  <c r="AX3137" i="4"/>
  <c r="AX3133" i="4"/>
  <c r="AX3129" i="4"/>
  <c r="AX3125" i="4"/>
  <c r="AX3121" i="4"/>
  <c r="AX3116" i="4"/>
  <c r="AX3112" i="4"/>
  <c r="AX3108" i="4"/>
  <c r="AX3104" i="4"/>
  <c r="AX3100" i="4"/>
  <c r="AX3091" i="4"/>
  <c r="AX3077" i="4"/>
  <c r="AX3068" i="4"/>
  <c r="AX3061" i="4"/>
  <c r="AX3054" i="4"/>
  <c r="AX3047" i="4"/>
  <c r="AX3038" i="4"/>
  <c r="AX3031" i="4"/>
  <c r="AX3024" i="4"/>
  <c r="AX3017" i="4"/>
  <c r="AX3009" i="4"/>
  <c r="AX3001" i="4"/>
  <c r="AX2993" i="4"/>
  <c r="AX2985" i="4"/>
  <c r="AX2978" i="4"/>
  <c r="AX2972" i="4"/>
  <c r="AX2966" i="4"/>
  <c r="AX2965" i="4"/>
  <c r="AX2959" i="4"/>
  <c r="AX2958" i="4"/>
  <c r="AX2952" i="4"/>
  <c r="AX2951" i="4"/>
  <c r="AX2943" i="4"/>
  <c r="AX2937" i="4"/>
  <c r="AX2930" i="4"/>
  <c r="AX2923" i="4"/>
  <c r="AX2916" i="4"/>
  <c r="AX2908" i="4"/>
  <c r="AX2901" i="4"/>
  <c r="AX2894" i="4"/>
  <c r="AX2887" i="4"/>
  <c r="AX2880" i="4"/>
  <c r="AX2873" i="4"/>
  <c r="AX2866" i="4"/>
  <c r="AX2859" i="4"/>
  <c r="AX2852" i="4"/>
  <c r="AX2845" i="4"/>
  <c r="AX2838" i="4"/>
  <c r="AX2830" i="4"/>
  <c r="AX2823" i="4"/>
  <c r="AX2822" i="4"/>
  <c r="AX2815" i="4"/>
  <c r="AX2808" i="4"/>
  <c r="AX2802" i="4"/>
  <c r="AX2801" i="4"/>
  <c r="AX2795" i="4"/>
  <c r="AX2789" i="4"/>
  <c r="AX2783" i="4"/>
  <c r="AX2775" i="4"/>
  <c r="AX2768" i="4"/>
  <c r="AX2761" i="4"/>
  <c r="AX2754" i="4"/>
  <c r="AX2747" i="4"/>
  <c r="AX2740" i="4"/>
  <c r="AX2733" i="4"/>
  <c r="AX2727" i="4"/>
  <c r="AX2721" i="4"/>
  <c r="AX2714" i="4"/>
  <c r="AX2707" i="4"/>
  <c r="AX2700" i="4"/>
  <c r="AX2693" i="4"/>
  <c r="AX2687" i="4"/>
  <c r="AX2686" i="4"/>
  <c r="AX2678" i="4"/>
  <c r="AX2673" i="4"/>
  <c r="AX2667" i="4"/>
  <c r="AX2661" i="4"/>
  <c r="AX2649" i="4"/>
  <c r="AX2642" i="4"/>
  <c r="AX2637" i="4"/>
  <c r="AX2636" i="4"/>
  <c r="AX2630" i="4"/>
  <c r="AX2622" i="4"/>
  <c r="AX2615" i="4"/>
  <c r="AX2608" i="4"/>
  <c r="AX2601" i="4"/>
  <c r="AX2594" i="4"/>
  <c r="AX2587" i="4"/>
  <c r="AX2580" i="4"/>
  <c r="AX2573" i="4"/>
  <c r="AX2566" i="4"/>
  <c r="AX2558" i="4"/>
  <c r="AX2550" i="4"/>
  <c r="AX2543" i="4"/>
  <c r="AX2536" i="4"/>
  <c r="AX2528" i="4"/>
  <c r="AX2521" i="4"/>
  <c r="AX2514" i="4"/>
  <c r="AX2280" i="4"/>
  <c r="AX2273" i="4"/>
  <c r="AX2266" i="4"/>
  <c r="AX2259" i="4"/>
  <c r="AX2244" i="4"/>
  <c r="AX2243" i="4"/>
  <c r="AX2185" i="4"/>
  <c r="AX2178" i="4"/>
  <c r="AX2171" i="4"/>
  <c r="AX2170" i="4"/>
  <c r="AX1136" i="4"/>
  <c r="AX1129" i="4"/>
  <c r="AX1128" i="4"/>
  <c r="AX1127" i="4"/>
  <c r="AX1119" i="4"/>
  <c r="AX1111" i="4"/>
  <c r="AX1095" i="4"/>
  <c r="AX1094" i="4"/>
  <c r="AX1076" i="4"/>
  <c r="AX1069" i="4"/>
  <c r="AX1068" i="4"/>
  <c r="AX1059" i="4"/>
  <c r="AX1051" i="4"/>
  <c r="AX1037" i="4"/>
  <c r="AX1036" i="4"/>
  <c r="AX1024" i="4"/>
  <c r="AX1016" i="4"/>
  <c r="AX1008" i="4"/>
  <c r="AX990" i="4"/>
  <c r="AX988" i="4"/>
  <c r="AX980" i="4"/>
  <c r="AX966" i="4"/>
  <c r="AX965" i="4"/>
  <c r="AX958" i="4"/>
  <c r="AX2997" i="3"/>
  <c r="AX2989" i="3"/>
  <c r="AX2980" i="3"/>
  <c r="AX2978" i="3"/>
  <c r="AX2968" i="3"/>
  <c r="AX2957" i="3"/>
  <c r="AX2956" i="3"/>
  <c r="AX2946" i="3"/>
  <c r="AX2945" i="3"/>
  <c r="AX2937" i="3"/>
  <c r="AX2935" i="3"/>
  <c r="AX2934" i="3"/>
  <c r="AX2924" i="3"/>
  <c r="AX2913" i="3"/>
  <c r="AX2881" i="3"/>
  <c r="AX2849" i="3"/>
  <c r="AX2848" i="3"/>
  <c r="AX2847" i="3"/>
  <c r="AX2826" i="3"/>
  <c r="AX2815" i="3"/>
  <c r="AX2806" i="3"/>
  <c r="AX2796" i="3"/>
  <c r="AX2795" i="3"/>
  <c r="AX2784" i="3"/>
  <c r="AX2774" i="3"/>
  <c r="AX2721" i="3"/>
  <c r="AX2720" i="3"/>
  <c r="AX2701" i="3"/>
  <c r="AX2691" i="3"/>
  <c r="AX2681" i="3"/>
  <c r="AX2670" i="3"/>
  <c r="AX2659" i="3"/>
  <c r="AX2658" i="3"/>
  <c r="AX2636" i="3"/>
  <c r="AX2634" i="3"/>
  <c r="AX2584" i="3"/>
  <c r="AX2583" i="3"/>
  <c r="AX2570" i="3"/>
  <c r="AX2549" i="3"/>
  <c r="AX2537" i="3"/>
  <c r="AX2518" i="3"/>
  <c r="AX2498" i="3"/>
  <c r="AX2487" i="3"/>
  <c r="AX2476" i="3"/>
  <c r="AX2464" i="3"/>
  <c r="AX2422" i="3"/>
  <c r="AX2411" i="3"/>
  <c r="AX2400" i="3"/>
  <c r="AX2390" i="3"/>
  <c r="AX2382" i="3"/>
  <c r="AX939" i="3"/>
  <c r="AX936" i="3"/>
  <c r="AX935" i="3"/>
  <c r="AX919" i="3"/>
  <c r="AX908" i="3"/>
  <c r="AX898" i="3"/>
  <c r="AX897" i="3"/>
  <c r="AX881" i="3"/>
  <c r="AX879" i="3"/>
  <c r="AX851" i="3"/>
  <c r="AX833" i="3"/>
  <c r="AX832" i="3"/>
  <c r="AX2611" i="2"/>
  <c r="AX2609" i="2"/>
  <c r="AX2595" i="2"/>
  <c r="AX2551" i="2"/>
  <c r="AX2549" i="2"/>
  <c r="AX2548" i="2"/>
  <c r="AX2535" i="2"/>
  <c r="AX2532" i="2"/>
  <c r="AX2519" i="2"/>
  <c r="AX2502" i="2"/>
  <c r="AX2460" i="2"/>
  <c r="AX2444" i="2"/>
  <c r="AX2443" i="2"/>
  <c r="AX2431" i="2"/>
  <c r="AX2415" i="2"/>
  <c r="AX2402" i="2"/>
  <c r="AX2401" i="2"/>
  <c r="AX2385" i="2"/>
  <c r="AX2368" i="2"/>
  <c r="AX2327" i="2"/>
  <c r="AX2313" i="2"/>
  <c r="AX2298" i="2"/>
  <c r="AX2282" i="2"/>
  <c r="AX2253" i="2"/>
  <c r="AX2238" i="2"/>
  <c r="AX2223" i="2"/>
  <c r="AX2208" i="2"/>
  <c r="AX2207" i="2"/>
  <c r="AX2192" i="2"/>
  <c r="AX2178" i="2"/>
  <c r="AX2164" i="2"/>
  <c r="AX2163" i="2"/>
  <c r="AX2172" i="3" l="1"/>
  <c r="AX2162" i="3"/>
  <c r="AX2160" i="3"/>
  <c r="AX3665" i="3"/>
  <c r="AX3662" i="3"/>
  <c r="AX3660" i="3"/>
  <c r="AX3658" i="3"/>
  <c r="AX3656" i="3"/>
  <c r="AX3654" i="3"/>
  <c r="AX3652" i="3"/>
  <c r="AX3650" i="3"/>
  <c r="AX3648" i="3"/>
  <c r="AX3646" i="3"/>
  <c r="AX3644" i="3"/>
  <c r="AX3642" i="3"/>
  <c r="AX3640" i="3"/>
  <c r="AX3638" i="3"/>
  <c r="AX3636" i="3"/>
  <c r="AX3634" i="3"/>
  <c r="AX3632" i="3"/>
  <c r="AX3630" i="3"/>
  <c r="AX2357" i="3"/>
  <c r="AX2325" i="3"/>
  <c r="AX2283" i="3"/>
  <c r="AX2271" i="3"/>
  <c r="AX814" i="3"/>
  <c r="AX3686" i="3"/>
  <c r="AX3684" i="3"/>
  <c r="AX3682" i="3"/>
  <c r="AX3680" i="3"/>
  <c r="AX3678" i="3"/>
  <c r="AX3676" i="3"/>
  <c r="AX3674" i="3"/>
  <c r="AX3672" i="3"/>
  <c r="AX2367" i="3"/>
  <c r="AX2334" i="3"/>
  <c r="AX2314" i="3"/>
  <c r="AX2804" i="2"/>
  <c r="AX2801" i="2"/>
  <c r="AX2798" i="2"/>
  <c r="AX2795" i="2"/>
  <c r="AX2792" i="2"/>
  <c r="AX2789" i="2"/>
  <c r="AX2786" i="2"/>
  <c r="AX2783" i="2"/>
  <c r="AX2805" i="2"/>
  <c r="AX2802" i="2"/>
  <c r="AX2799" i="2"/>
  <c r="AX2796" i="2"/>
  <c r="AX2793" i="2"/>
  <c r="AX2790" i="2"/>
  <c r="AX2787" i="2"/>
  <c r="AX2784" i="2"/>
  <c r="AX2839" i="2"/>
  <c r="AX2836" i="2"/>
  <c r="AX2833" i="2"/>
  <c r="AX2830" i="2"/>
  <c r="AX2827" i="2"/>
  <c r="AX2824" i="2"/>
  <c r="AX2821" i="2"/>
  <c r="AX2818" i="2"/>
  <c r="AX2815" i="2"/>
  <c r="AX2812" i="2"/>
  <c r="AX2809" i="2"/>
  <c r="AX2501" i="4"/>
  <c r="AX2496" i="4"/>
  <c r="AX2489" i="4"/>
  <c r="AX2483" i="4"/>
  <c r="AX2476" i="4"/>
  <c r="AX2353" i="4"/>
  <c r="AX2347" i="4"/>
  <c r="AX2341" i="4"/>
  <c r="AX2336" i="4"/>
  <c r="AX2335" i="4"/>
  <c r="AX2329" i="4"/>
  <c r="AX2322" i="4"/>
  <c r="AX2315" i="4"/>
  <c r="AX2308" i="4"/>
  <c r="AX2303" i="4"/>
  <c r="AX2296" i="4"/>
  <c r="AX2274" i="4"/>
  <c r="AX2262" i="4"/>
  <c r="AX2261" i="4"/>
  <c r="AX2255" i="4"/>
  <c r="AX2248" i="4"/>
  <c r="AX2241" i="4"/>
  <c r="AX2234" i="4"/>
  <c r="AX2228" i="4"/>
  <c r="AX2220" i="4"/>
  <c r="AX2213" i="4"/>
  <c r="AX2207" i="4"/>
  <c r="AX2206" i="4"/>
  <c r="AX2200" i="4"/>
  <c r="AX2199" i="4"/>
  <c r="AX2187" i="4"/>
  <c r="AX2176" i="3"/>
  <c r="AX2165" i="3"/>
  <c r="AX2247" i="4"/>
  <c r="AX2246" i="4"/>
  <c r="AX2238" i="4"/>
  <c r="AX2230" i="4"/>
  <c r="AX2223" i="4"/>
  <c r="AX2216" i="4"/>
  <c r="AX2208" i="4"/>
  <c r="AX2201" i="4"/>
  <c r="AX2194" i="4"/>
  <c r="AX2175" i="3"/>
  <c r="AX2164" i="3"/>
  <c r="AX2239" i="4"/>
  <c r="AX2232" i="4"/>
  <c r="AX2225" i="4"/>
  <c r="AX2218" i="4"/>
  <c r="AX2203" i="4"/>
  <c r="AX2196" i="4"/>
  <c r="AX2188" i="4"/>
  <c r="AX2169" i="3"/>
  <c r="AX2158" i="3"/>
  <c r="AX3806" i="4"/>
  <c r="AX3803" i="4"/>
  <c r="AX3802" i="4"/>
  <c r="AX3799" i="4"/>
  <c r="AX3796" i="4"/>
  <c r="AX3793" i="4"/>
  <c r="AX3790" i="4"/>
  <c r="AX3787" i="4"/>
  <c r="AX3784" i="4"/>
  <c r="AX3782" i="4"/>
  <c r="AX3779" i="4"/>
  <c r="AX3776" i="4"/>
  <c r="AX3773" i="4"/>
  <c r="AX3770" i="4"/>
  <c r="AX3767" i="4"/>
  <c r="AX3764" i="4"/>
  <c r="AX3761" i="4"/>
  <c r="AX3758" i="4"/>
  <c r="AX3755" i="4"/>
  <c r="AX3752" i="4"/>
  <c r="AX3749" i="4"/>
  <c r="AX2237" i="4"/>
  <c r="AX2231" i="4"/>
  <c r="AX2224" i="4"/>
  <c r="AX2217" i="4"/>
  <c r="AX2211" i="4"/>
  <c r="AX2210" i="4"/>
  <c r="AX2204" i="4"/>
  <c r="AX2197" i="4"/>
  <c r="AX2190" i="4"/>
  <c r="AX2171" i="3"/>
  <c r="AX3804" i="4"/>
  <c r="AX3801" i="4"/>
  <c r="AX3798" i="4"/>
  <c r="AX3795" i="4"/>
  <c r="AX3792" i="4"/>
  <c r="AX3789" i="4"/>
  <c r="AX3786" i="4"/>
  <c r="AX3785" i="4"/>
  <c r="AX3780" i="4"/>
  <c r="AX3777" i="4"/>
  <c r="AX3774" i="4"/>
  <c r="AX3771" i="4"/>
  <c r="AX3768" i="4"/>
  <c r="AX3765" i="4"/>
  <c r="AX3762" i="4"/>
  <c r="AX3759" i="4"/>
  <c r="AX3756" i="4"/>
  <c r="AX3753" i="4"/>
  <c r="AX3750" i="4"/>
  <c r="AX3747" i="4"/>
  <c r="AX2506" i="4"/>
  <c r="AX2236" i="4"/>
  <c r="AX2229" i="4"/>
  <c r="AX2222" i="4"/>
  <c r="AX2215" i="4"/>
  <c r="AX2214" i="4"/>
  <c r="AX2193" i="4"/>
  <c r="AX2192" i="4"/>
  <c r="AX2166" i="3"/>
  <c r="AX938" i="4"/>
  <c r="AX915" i="4"/>
  <c r="AX913" i="4"/>
  <c r="AX906" i="4"/>
  <c r="AX901" i="4"/>
  <c r="AX883" i="4"/>
  <c r="AX878" i="4"/>
  <c r="AX872" i="4"/>
  <c r="AX864" i="4"/>
  <c r="AX862" i="4"/>
  <c r="AX857" i="4"/>
  <c r="AX856" i="4"/>
  <c r="AX850" i="4"/>
  <c r="AX843" i="4"/>
  <c r="AX833" i="4"/>
  <c r="AX832" i="4"/>
  <c r="AX823" i="4"/>
  <c r="AX818" i="4"/>
  <c r="AX809" i="4"/>
  <c r="AX801" i="4"/>
  <c r="AX800" i="4"/>
  <c r="AX2359" i="3"/>
  <c r="AX2339" i="3"/>
  <c r="AX2328" i="3"/>
  <c r="AX2287" i="3"/>
  <c r="AX2277" i="3"/>
  <c r="AX2267" i="3"/>
  <c r="AX2257" i="3"/>
  <c r="AX2256" i="3"/>
  <c r="AX2245" i="3"/>
  <c r="AX2235" i="3"/>
  <c r="AX2214" i="3"/>
  <c r="AX2204" i="3"/>
  <c r="AX2192" i="3"/>
  <c r="AX2181" i="3"/>
  <c r="AX2370" i="3"/>
  <c r="AX2369" i="3"/>
  <c r="AX2350" i="3"/>
  <c r="AX2338" i="3"/>
  <c r="AX2337" i="3"/>
  <c r="AX2327" i="3"/>
  <c r="AX2315" i="3"/>
  <c r="AX2305" i="3"/>
  <c r="AX2296" i="3"/>
  <c r="AX2295" i="3"/>
  <c r="AX2285" i="3"/>
  <c r="AX2274" i="3"/>
  <c r="AX805" i="3"/>
  <c r="AX804" i="3"/>
  <c r="AX3734" i="3"/>
  <c r="AX3730" i="3"/>
  <c r="AX3726" i="3"/>
  <c r="AX3722" i="3"/>
  <c r="AX3717" i="3"/>
  <c r="AX3711" i="3"/>
  <c r="AX3707" i="3"/>
  <c r="AX3701" i="3"/>
  <c r="AX3697" i="3"/>
  <c r="AX3693" i="3"/>
  <c r="AX3689" i="3"/>
  <c r="AX2252" i="3"/>
  <c r="AX2250" i="3"/>
  <c r="AX2233" i="3"/>
  <c r="AX2211" i="3"/>
  <c r="AX2190" i="3"/>
  <c r="AX3670" i="3"/>
  <c r="AX3668" i="3"/>
  <c r="AX3666" i="3"/>
  <c r="AX3664" i="3"/>
  <c r="AX3663" i="3"/>
  <c r="AX3661" i="3"/>
  <c r="AX3659" i="3"/>
  <c r="AX3657" i="3"/>
  <c r="AX3655" i="3"/>
  <c r="AX3653" i="3"/>
  <c r="AX3651" i="3"/>
  <c r="AX3649" i="3"/>
  <c r="AX3647" i="3"/>
  <c r="AX3645" i="3"/>
  <c r="AX3643" i="3"/>
  <c r="AX3641" i="3"/>
  <c r="AX3639" i="3"/>
  <c r="AX3637" i="3"/>
  <c r="AX3635" i="3"/>
  <c r="AX3633" i="3"/>
  <c r="AX3631" i="3"/>
  <c r="AX2368" i="3"/>
  <c r="AX2366" i="3"/>
  <c r="AX2365" i="3"/>
  <c r="AX2354" i="3"/>
  <c r="AX2343" i="3"/>
  <c r="AX2332" i="3"/>
  <c r="AX2321" i="3"/>
  <c r="AX2320" i="3"/>
  <c r="AX2308" i="3"/>
  <c r="AX2307" i="3"/>
  <c r="AX2282" i="3"/>
  <c r="AX2270" i="3"/>
  <c r="AX817" i="3"/>
  <c r="AX816" i="3"/>
  <c r="AX812" i="3"/>
  <c r="AX3732" i="3"/>
  <c r="AX3728" i="3"/>
  <c r="AX3724" i="3"/>
  <c r="AX3719" i="3"/>
  <c r="AX3715" i="3"/>
  <c r="AX3713" i="3"/>
  <c r="AX3709" i="3"/>
  <c r="AX3705" i="3"/>
  <c r="AX3703" i="3"/>
  <c r="AX3699" i="3"/>
  <c r="AX3695" i="3"/>
  <c r="AX3691" i="3"/>
  <c r="AX2261" i="3"/>
  <c r="AX2253" i="3"/>
  <c r="AX2249" i="3"/>
  <c r="AX2221" i="3"/>
  <c r="AX2210" i="3"/>
  <c r="AX815" i="3"/>
  <c r="AX791" i="3"/>
  <c r="AX2840" i="2"/>
  <c r="AX2837" i="2"/>
  <c r="AX2834" i="2"/>
  <c r="AX2831" i="2"/>
  <c r="AX2828" i="2"/>
  <c r="AX2825" i="2"/>
  <c r="AX2822" i="2"/>
  <c r="AX2819" i="2"/>
  <c r="AX2816" i="2"/>
  <c r="AX2813" i="2"/>
  <c r="AX2810" i="2"/>
  <c r="AX2807" i="2"/>
  <c r="AX2841" i="2"/>
  <c r="AX2838" i="2"/>
  <c r="AX2835" i="2"/>
  <c r="AX2832" i="2"/>
  <c r="AX2829" i="2"/>
  <c r="AX2826" i="2"/>
  <c r="AX2823" i="2"/>
  <c r="AX2820" i="2"/>
  <c r="AX2817" i="2"/>
  <c r="AX2814" i="2"/>
  <c r="AX2811" i="2"/>
  <c r="AX2808" i="2"/>
  <c r="AX2466" i="4"/>
  <c r="AX2460" i="4"/>
  <c r="AX2459" i="4"/>
  <c r="AX2453" i="4"/>
  <c r="AX2447" i="4"/>
  <c r="AX2440" i="4"/>
  <c r="AX2434" i="4"/>
  <c r="AX2427" i="4"/>
  <c r="AX2422" i="4"/>
  <c r="AX2409" i="4"/>
  <c r="AX2403" i="4"/>
  <c r="AX2396" i="4"/>
  <c r="AX2383" i="4"/>
  <c r="AX2377" i="4"/>
  <c r="AX2372" i="4"/>
  <c r="AX2366" i="4"/>
  <c r="AX2290" i="4"/>
  <c r="AX956" i="4"/>
  <c r="AX949" i="4"/>
  <c r="AX943" i="4"/>
  <c r="AX937" i="4"/>
  <c r="AX931" i="4"/>
  <c r="AX930" i="4"/>
  <c r="AX925" i="4"/>
  <c r="AX924" i="4"/>
  <c r="AX923" i="4"/>
  <c r="AX918" i="4"/>
  <c r="AX912" i="4"/>
  <c r="AX904" i="4"/>
  <c r="AX903" i="4"/>
  <c r="AX897" i="4"/>
  <c r="AX891" i="4"/>
  <c r="AX879" i="4"/>
  <c r="AX2362" i="3"/>
  <c r="AX2351" i="3"/>
  <c r="AX2342" i="3"/>
  <c r="AX2331" i="3"/>
  <c r="AX2310" i="3"/>
  <c r="AX2299" i="3"/>
  <c r="AX2288" i="3"/>
  <c r="AX2278" i="3"/>
  <c r="AX2268" i="3"/>
  <c r="AX809" i="3"/>
  <c r="AX801" i="3"/>
  <c r="AX800" i="3"/>
  <c r="AX2502" i="4"/>
  <c r="AX2500" i="4"/>
  <c r="AX2487" i="4"/>
  <c r="AX2480" i="4"/>
  <c r="AX2357" i="4"/>
  <c r="AX2351" i="4"/>
  <c r="AX2344" i="4"/>
  <c r="AX2337" i="4"/>
  <c r="AX2330" i="4"/>
  <c r="AX2323" i="4"/>
  <c r="AX2317" i="4"/>
  <c r="AX2316" i="4"/>
  <c r="AX2310" i="4"/>
  <c r="AX2301" i="4"/>
  <c r="AX2295" i="4"/>
  <c r="AX2288" i="4"/>
  <c r="AX2281" i="4"/>
  <c r="AX950" i="4"/>
  <c r="AX935" i="4"/>
  <c r="AX933" i="4"/>
  <c r="AX932" i="4"/>
  <c r="AX922" i="4"/>
  <c r="AX921" i="4"/>
  <c r="AX910" i="4"/>
  <c r="AX2363" i="3"/>
  <c r="AX2353" i="3"/>
  <c r="AX2341" i="3"/>
  <c r="AX2340" i="3"/>
  <c r="AX2330" i="3"/>
  <c r="AX2319" i="3"/>
  <c r="AX2309" i="3"/>
  <c r="AX2298" i="3"/>
  <c r="AX2297" i="3"/>
  <c r="AX2286" i="3"/>
  <c r="AX2275" i="3"/>
  <c r="AX808" i="3"/>
  <c r="AX796" i="3"/>
  <c r="AX2504" i="4"/>
  <c r="AX2497" i="4"/>
  <c r="AX2490" i="4"/>
  <c r="AX2482" i="4"/>
  <c r="AX2474" i="4"/>
  <c r="AX2468" i="4"/>
  <c r="AX2358" i="4"/>
  <c r="AX2350" i="4"/>
  <c r="AX2343" i="4"/>
  <c r="AX2328" i="4"/>
  <c r="AX2320" i="4"/>
  <c r="AX2313" i="4"/>
  <c r="AX2306" i="4"/>
  <c r="AX2291" i="4"/>
  <c r="AX2284" i="4"/>
  <c r="AX2283" i="4"/>
  <c r="AX953" i="4"/>
  <c r="AX941" i="4"/>
  <c r="AX914" i="4"/>
  <c r="AX2364" i="3"/>
  <c r="AX2352" i="3"/>
  <c r="AX2329" i="3"/>
  <c r="AX2318" i="3"/>
  <c r="AX2317" i="3"/>
  <c r="AX2306" i="3"/>
  <c r="AX2294" i="3"/>
  <c r="AX2293" i="3"/>
  <c r="AX2291" i="3"/>
  <c r="AX2281" i="3"/>
  <c r="AX2280" i="3"/>
  <c r="AX2269" i="3"/>
  <c r="AX2494" i="4"/>
  <c r="AX2493" i="4"/>
  <c r="AX2486" i="4"/>
  <c r="AX2479" i="4"/>
  <c r="AX2472" i="4"/>
  <c r="AX2465" i="4"/>
  <c r="AX2458" i="4"/>
  <c r="AX2451" i="4"/>
  <c r="AX2356" i="4"/>
  <c r="AX2348" i="4"/>
  <c r="AX2340" i="4"/>
  <c r="AX2333" i="4"/>
  <c r="AX2326" i="4"/>
  <c r="AX2319" i="4"/>
  <c r="AX2311" i="4"/>
  <c r="AX2304" i="4"/>
  <c r="AX2297" i="4"/>
  <c r="AX2289" i="4"/>
  <c r="AX2282" i="4"/>
  <c r="AX957" i="4"/>
  <c r="AX951" i="4"/>
  <c r="AX945" i="4"/>
  <c r="AX944" i="4"/>
  <c r="AX942" i="4"/>
  <c r="AX927" i="4"/>
  <c r="AX920" i="4"/>
  <c r="AX919" i="4"/>
  <c r="AX911" i="4"/>
  <c r="AX2356" i="3"/>
  <c r="AX2347" i="3"/>
  <c r="AX2345" i="3"/>
  <c r="AX2336" i="3"/>
  <c r="AX2324" i="3"/>
  <c r="AX2313" i="3"/>
  <c r="AX2304" i="3"/>
  <c r="AX2302" i="3"/>
  <c r="AX2292" i="3"/>
  <c r="AX2272" i="3"/>
  <c r="AX806" i="3"/>
  <c r="AX803" i="3"/>
  <c r="AX797" i="3"/>
  <c r="AX3869" i="4"/>
  <c r="AX3865" i="4"/>
  <c r="AX3862" i="4"/>
  <c r="AX3859" i="4"/>
  <c r="AX3856" i="4"/>
  <c r="AX3853" i="4"/>
  <c r="AX3850" i="4"/>
  <c r="AX3846" i="4"/>
  <c r="AX3843" i="4"/>
  <c r="AX3836" i="4"/>
  <c r="AX3833" i="4"/>
  <c r="AX3830" i="4"/>
  <c r="AX3827" i="4"/>
  <c r="AX3824" i="4"/>
  <c r="AX3821" i="4"/>
  <c r="AX3818" i="4"/>
  <c r="AX3815" i="4"/>
  <c r="AX3812" i="4"/>
  <c r="AX3809" i="4"/>
  <c r="AX3746" i="4"/>
  <c r="AX2503" i="4"/>
  <c r="AX2495" i="4"/>
  <c r="AX2488" i="4"/>
  <c r="AX2481" i="4"/>
  <c r="AX2475" i="4"/>
  <c r="AX2469" i="4"/>
  <c r="AX2462" i="4"/>
  <c r="AX2455" i="4"/>
  <c r="AX2448" i="4"/>
  <c r="AX2359" i="4"/>
  <c r="AX2352" i="4"/>
  <c r="AX2345" i="4"/>
  <c r="AX2338" i="4"/>
  <c r="AX2332" i="4"/>
  <c r="AX2325" i="4"/>
  <c r="AX2318" i="4"/>
  <c r="AX2312" i="4"/>
  <c r="AX2305" i="4"/>
  <c r="AX2299" i="4"/>
  <c r="AX2298" i="4"/>
  <c r="AX2292" i="4"/>
  <c r="AX2285" i="4"/>
  <c r="AX955" i="4"/>
  <c r="AX954" i="4"/>
  <c r="AX940" i="4"/>
  <c r="AX936" i="4"/>
  <c r="AX929" i="4"/>
  <c r="AX928" i="4"/>
  <c r="AX916" i="4"/>
  <c r="AX909" i="4"/>
  <c r="AX2372" i="3"/>
  <c r="AX2361" i="3"/>
  <c r="AX2349" i="3"/>
  <c r="AX2335" i="3"/>
  <c r="AX2323" i="3"/>
  <c r="AX2312" i="3"/>
  <c r="AX2301" i="3"/>
  <c r="AX2290" i="3"/>
  <c r="AX2279" i="3"/>
  <c r="AX793" i="3"/>
  <c r="AX3868" i="4"/>
  <c r="AX3864" i="4"/>
  <c r="AX3861" i="4"/>
  <c r="AX3858" i="4"/>
  <c r="AX3855" i="4"/>
  <c r="AX3852" i="4"/>
  <c r="AX3849" i="4"/>
  <c r="AX3847" i="4"/>
  <c r="AX3844" i="4"/>
  <c r="AX3841" i="4"/>
  <c r="AX3838" i="4"/>
  <c r="AX3834" i="4"/>
  <c r="AX3831" i="4"/>
  <c r="AX3828" i="4"/>
  <c r="AX3825" i="4"/>
  <c r="AX3822" i="4"/>
  <c r="AX3819" i="4"/>
  <c r="AX3816" i="4"/>
  <c r="AX3813" i="4"/>
  <c r="AX3810" i="4"/>
  <c r="AX3807" i="4"/>
  <c r="AX2499" i="4"/>
  <c r="AX2492" i="4"/>
  <c r="AX2485" i="4"/>
  <c r="AX2478" i="4"/>
  <c r="AX2354" i="4"/>
  <c r="AX2346" i="4"/>
  <c r="AX2339" i="4"/>
  <c r="AX2331" i="4"/>
  <c r="AX2324" i="4"/>
  <c r="AX2309" i="4"/>
  <c r="AX2302" i="4"/>
  <c r="AX2294" i="4"/>
  <c r="AX2287" i="4"/>
  <c r="AX948" i="4"/>
  <c r="AX947" i="4"/>
  <c r="AX934" i="4"/>
  <c r="AX926" i="4"/>
  <c r="AX2371" i="3"/>
  <c r="AX2360" i="3"/>
  <c r="AX2358" i="3"/>
  <c r="AX2348" i="3"/>
  <c r="AX2346" i="3"/>
  <c r="AX2326" i="3"/>
  <c r="AX2316" i="3"/>
  <c r="AX2303" i="3"/>
  <c r="AX2284" i="3"/>
  <c r="AX2273" i="3"/>
  <c r="AX813" i="3"/>
  <c r="AX811" i="3"/>
  <c r="AX807" i="3"/>
  <c r="AX802" i="3"/>
  <c r="AX795" i="3"/>
  <c r="AX794" i="3"/>
  <c r="AX792" i="3"/>
  <c r="AX788" i="2"/>
  <c r="AX793" i="2"/>
  <c r="AX2260" i="3"/>
  <c r="AX2251" i="3"/>
  <c r="AX2242" i="3"/>
  <c r="AX2241" i="3"/>
  <c r="AX2240" i="3"/>
  <c r="AX2238" i="3"/>
  <c r="AX2218" i="3"/>
  <c r="AX2209" i="3"/>
  <c r="AX2207" i="3"/>
  <c r="AX2196" i="3"/>
  <c r="AX2188" i="3"/>
  <c r="AX2178" i="3"/>
  <c r="AX3733" i="3"/>
  <c r="AX3731" i="3"/>
  <c r="AX3729" i="3"/>
  <c r="AX3727" i="3"/>
  <c r="AX3725" i="3"/>
  <c r="AX3723" i="3"/>
  <c r="AX3721" i="3"/>
  <c r="AX3720" i="3"/>
  <c r="AX3718" i="3"/>
  <c r="AX3716" i="3"/>
  <c r="AX3714" i="3"/>
  <c r="AX3712" i="3"/>
  <c r="AX3710" i="3"/>
  <c r="AX3708" i="3"/>
  <c r="AX3706" i="3"/>
  <c r="AX3704" i="3"/>
  <c r="AX3702" i="3"/>
  <c r="AX3700" i="3"/>
  <c r="AX3698" i="3"/>
  <c r="AX3696" i="3"/>
  <c r="AX3694" i="3"/>
  <c r="AX3692" i="3"/>
  <c r="AX3690" i="3"/>
  <c r="AX3688" i="3"/>
  <c r="AX2248" i="3"/>
  <c r="AX2234" i="3"/>
  <c r="AX2223" i="3"/>
  <c r="AX2186" i="3"/>
  <c r="AX2185" i="3"/>
  <c r="AX798" i="2"/>
  <c r="AX797" i="2"/>
  <c r="AX787" i="2"/>
  <c r="AX4009" i="2"/>
  <c r="AX4007" i="2"/>
  <c r="AX4005" i="2"/>
  <c r="AX4003" i="2"/>
  <c r="AX4001" i="2"/>
  <c r="AX3999" i="2"/>
  <c r="AX3997" i="2"/>
  <c r="AX3995" i="2"/>
  <c r="AX3993" i="2"/>
  <c r="AX3991" i="2"/>
  <c r="AX3989" i="2"/>
  <c r="AX3987" i="2"/>
  <c r="AX3805" i="2"/>
  <c r="AX3802" i="2"/>
  <c r="AX3799" i="2"/>
  <c r="AX3796" i="2"/>
  <c r="AX3793" i="2"/>
  <c r="AX3790" i="2"/>
  <c r="AX3787" i="2"/>
  <c r="AX3784" i="2"/>
  <c r="AX3781" i="2"/>
  <c r="AX3778" i="2"/>
  <c r="AX3775" i="2"/>
  <c r="AX3772" i="2"/>
  <c r="AX3769" i="2"/>
  <c r="AX3767" i="2"/>
  <c r="AX3764" i="2"/>
  <c r="AX3761" i="2"/>
  <c r="AX3758" i="2"/>
  <c r="AX3755" i="2"/>
  <c r="AX3752" i="2"/>
  <c r="AX3749" i="2"/>
  <c r="AX3746" i="2"/>
  <c r="AX3744" i="2"/>
  <c r="AX3742" i="2"/>
  <c r="AX3739" i="2"/>
  <c r="AX3736" i="2"/>
  <c r="AX3733" i="2"/>
  <c r="AX3730" i="2"/>
  <c r="AX3727" i="2"/>
  <c r="AX3724" i="2"/>
  <c r="AX3720" i="2"/>
  <c r="AX3718" i="2"/>
  <c r="AX3716" i="2"/>
  <c r="AX3713" i="2"/>
  <c r="AX3710" i="2"/>
  <c r="AX3707" i="2"/>
  <c r="AX3704" i="2"/>
  <c r="AX3701" i="2"/>
  <c r="AX3698" i="2"/>
  <c r="AX3695" i="2"/>
  <c r="AX3692" i="2"/>
  <c r="AX3689" i="2"/>
  <c r="AX3686" i="2"/>
  <c r="AX3683" i="2"/>
  <c r="AX3680" i="2"/>
  <c r="AX3677" i="2"/>
  <c r="AX3674" i="2"/>
  <c r="AX3671" i="2"/>
  <c r="AX3668" i="2"/>
  <c r="AX3665" i="2"/>
  <c r="AX3662" i="2"/>
  <c r="AX3660" i="2"/>
  <c r="AX3658" i="2"/>
  <c r="AX3655" i="2"/>
  <c r="AX3652" i="2"/>
  <c r="AX3649" i="2"/>
  <c r="AX3646" i="2"/>
  <c r="AX3643" i="2"/>
  <c r="AX3640" i="2"/>
  <c r="AX3637" i="2"/>
  <c r="AX3634" i="2"/>
  <c r="AX3632" i="2"/>
  <c r="AX3629" i="2"/>
  <c r="AX3626" i="2"/>
  <c r="AX3623" i="2"/>
  <c r="AX3620" i="2"/>
  <c r="AX3617" i="2"/>
  <c r="AX3614" i="2"/>
  <c r="AX3611" i="2"/>
  <c r="AX3608" i="2"/>
  <c r="AX3605" i="2"/>
  <c r="AX3602" i="2"/>
  <c r="AX3599" i="2"/>
  <c r="AX3596" i="2"/>
  <c r="AX3593" i="2"/>
  <c r="AX3590" i="2"/>
  <c r="AX3587" i="2"/>
  <c r="AX3584" i="2"/>
  <c r="AX3581" i="2"/>
  <c r="AX3578" i="2"/>
  <c r="AX3575" i="2"/>
  <c r="AX3572" i="2"/>
  <c r="AX3569" i="2"/>
  <c r="AX3566" i="2"/>
  <c r="AX3563" i="2"/>
  <c r="AX3560" i="2"/>
  <c r="AX3557" i="2"/>
  <c r="AX3554" i="2"/>
  <c r="AX3551" i="2"/>
  <c r="AX3548" i="2"/>
  <c r="AX3545" i="2"/>
  <c r="AX3542" i="2"/>
  <c r="AX3539" i="2"/>
  <c r="AX3536" i="2"/>
  <c r="AX3533" i="2"/>
  <c r="AX3530" i="2"/>
  <c r="AX3527" i="2"/>
  <c r="AX3524" i="2"/>
  <c r="AX3521" i="2"/>
  <c r="AX3518" i="2"/>
  <c r="AX3515" i="2"/>
  <c r="AX3513" i="2"/>
  <c r="AX3511" i="2"/>
  <c r="AX3508" i="2"/>
  <c r="AX3505" i="2"/>
  <c r="AX3502" i="2"/>
  <c r="AX3499" i="2"/>
  <c r="AX3496" i="2"/>
  <c r="AX3493" i="2"/>
  <c r="AX3490" i="2"/>
  <c r="AX3487" i="2"/>
  <c r="AX3485" i="2"/>
  <c r="AX3483" i="2"/>
  <c r="AX3480" i="2"/>
  <c r="AX3479" i="2"/>
  <c r="AX3476" i="2"/>
  <c r="AX3473" i="2"/>
  <c r="AX3470" i="2"/>
  <c r="AX3467" i="2"/>
  <c r="AX3464" i="2"/>
  <c r="AX3461" i="2"/>
  <c r="AX3459" i="2"/>
  <c r="AX3457" i="2"/>
  <c r="AX3452" i="2"/>
  <c r="AX3449" i="2"/>
  <c r="AX3446" i="2"/>
  <c r="AX3443" i="2"/>
  <c r="AX3439" i="2"/>
  <c r="AX3437" i="2"/>
  <c r="AX3434" i="2"/>
  <c r="AX3431" i="2"/>
  <c r="AX3428" i="2"/>
  <c r="AX3425" i="2"/>
  <c r="AX3422" i="2"/>
  <c r="AX3419" i="2"/>
  <c r="AX3416" i="2"/>
  <c r="AX3413" i="2"/>
  <c r="AX3411" i="2"/>
  <c r="AX3409" i="2"/>
  <c r="AX3406" i="2"/>
  <c r="AX3403" i="2"/>
  <c r="AX3400" i="2"/>
  <c r="AX3397" i="2"/>
  <c r="AX3394" i="2"/>
  <c r="AX3391" i="2"/>
  <c r="AX3388" i="2"/>
  <c r="AX3385" i="2"/>
  <c r="AX3382" i="2"/>
  <c r="AX3379" i="2"/>
  <c r="AX3376" i="2"/>
  <c r="AX3373" i="2"/>
  <c r="AX3371" i="2"/>
  <c r="AX3369" i="2"/>
  <c r="AX3366" i="2"/>
  <c r="AX3363" i="2"/>
  <c r="AX3360" i="2"/>
  <c r="AX3357" i="2"/>
  <c r="AX3354" i="2"/>
  <c r="AX3351" i="2"/>
  <c r="AX3347" i="2"/>
  <c r="AX3344" i="2"/>
  <c r="AX3341" i="2"/>
  <c r="AX3338" i="2"/>
  <c r="AX3335" i="2"/>
  <c r="AX3333" i="2"/>
  <c r="AX3331" i="2"/>
  <c r="AX3328" i="2"/>
  <c r="AX3325" i="2"/>
  <c r="AX3323" i="2"/>
  <c r="AX3321" i="2"/>
  <c r="AX3318" i="2"/>
  <c r="AX3315" i="2"/>
  <c r="AX3314" i="2"/>
  <c r="AX3311" i="2"/>
  <c r="AX3308" i="2"/>
  <c r="AX3305" i="2"/>
  <c r="AX3302" i="2"/>
  <c r="AX3299" i="2"/>
  <c r="AX3296" i="2"/>
  <c r="AX3293" i="2"/>
  <c r="AX3290" i="2"/>
  <c r="AX3286" i="2"/>
  <c r="AX3283" i="2"/>
  <c r="AX3280" i="2"/>
  <c r="AX3277" i="2"/>
  <c r="AX3274" i="2"/>
  <c r="AX3271" i="2"/>
  <c r="AX3268" i="2"/>
  <c r="AX3265" i="2"/>
  <c r="AX3262" i="2"/>
  <c r="AX3259" i="2"/>
  <c r="AX3256" i="2"/>
  <c r="AX3253" i="2"/>
  <c r="AX3250" i="2"/>
  <c r="AX3247" i="2"/>
  <c r="AX3244" i="2"/>
  <c r="AX3241" i="2"/>
  <c r="AX3238" i="2"/>
  <c r="AX3235" i="2"/>
  <c r="AX3232" i="2"/>
  <c r="AX3231" i="2"/>
  <c r="AX3228" i="2"/>
  <c r="AX3225" i="2"/>
  <c r="AX3222" i="2"/>
  <c r="AX3219" i="2"/>
  <c r="AX3216" i="2"/>
  <c r="AX3213" i="2"/>
  <c r="AX3210" i="2"/>
  <c r="AX3207" i="2"/>
  <c r="AX3204" i="2"/>
  <c r="AX3201" i="2"/>
  <c r="AX3198" i="2"/>
  <c r="AX3195" i="2"/>
  <c r="AX3192" i="2"/>
  <c r="AX3189" i="2"/>
  <c r="AX3186" i="2"/>
  <c r="AX3183" i="2"/>
  <c r="AX3180" i="2"/>
  <c r="AX3177" i="2"/>
  <c r="AX3175" i="2"/>
  <c r="AX3172" i="2"/>
  <c r="AX3169" i="2"/>
  <c r="AX3166" i="2"/>
  <c r="AX3164" i="2"/>
  <c r="AX3161" i="2"/>
  <c r="AX3158" i="2"/>
  <c r="AX3155" i="2"/>
  <c r="AX3152" i="2"/>
  <c r="AX3149" i="2"/>
  <c r="AX3146" i="2"/>
  <c r="AX3143" i="2"/>
  <c r="AX3140" i="2"/>
  <c r="AX3137" i="2"/>
  <c r="AX3135" i="2"/>
  <c r="AX3132" i="2"/>
  <c r="AX3129" i="2"/>
  <c r="AX3126" i="2"/>
  <c r="AX3123" i="2"/>
  <c r="AX3120" i="2"/>
  <c r="AX3117" i="2"/>
  <c r="AX3114" i="2"/>
  <c r="AX3111" i="2"/>
  <c r="AX3108" i="2"/>
  <c r="AX3105" i="2"/>
  <c r="AX3102" i="2"/>
  <c r="AX3099" i="2"/>
  <c r="AX3096" i="2"/>
  <c r="AX3093" i="2"/>
  <c r="AX3091" i="2"/>
  <c r="AX3088" i="2"/>
  <c r="AX3085" i="2"/>
  <c r="AX3083" i="2"/>
  <c r="AX3079" i="2"/>
  <c r="AX3077" i="2"/>
  <c r="AX3074" i="2"/>
  <c r="AX3071" i="2"/>
  <c r="AX3068" i="2"/>
  <c r="AX3065" i="2"/>
  <c r="AX3062" i="2"/>
  <c r="AX3059" i="2"/>
  <c r="AX3056" i="2"/>
  <c r="AX3053" i="2"/>
  <c r="AX3050" i="2"/>
  <c r="AX3047" i="2"/>
  <c r="AX3045" i="2"/>
  <c r="AX3042" i="2"/>
  <c r="AX3039" i="2"/>
  <c r="AX3036" i="2"/>
  <c r="AX3033" i="2"/>
  <c r="AX3030" i="2"/>
  <c r="AX3027" i="2"/>
  <c r="AX3024" i="2"/>
  <c r="AX3021" i="2"/>
  <c r="AX3018" i="2"/>
  <c r="AX3015" i="2"/>
  <c r="AX3012" i="2"/>
  <c r="AX3009" i="2"/>
  <c r="AX3006" i="2"/>
  <c r="AX3003" i="2"/>
  <c r="AX3000" i="2"/>
  <c r="AX2997" i="2"/>
  <c r="AX2994" i="2"/>
  <c r="AX2991" i="2"/>
  <c r="AX2988" i="2"/>
  <c r="AX2985" i="2"/>
  <c r="AX2982" i="2"/>
  <c r="AX2979" i="2"/>
  <c r="AX2976" i="2"/>
  <c r="AX2970" i="2"/>
  <c r="AX2966" i="2"/>
  <c r="AX2964" i="2"/>
  <c r="AX2963" i="2"/>
  <c r="AX2960" i="2"/>
  <c r="AX2958" i="2"/>
  <c r="AX2954" i="2"/>
  <c r="AX2951" i="2"/>
  <c r="AX2946" i="2"/>
  <c r="AX2943" i="2"/>
  <c r="AX2940" i="2"/>
  <c r="AX2937" i="2"/>
  <c r="AX2934" i="2"/>
  <c r="AX2931" i="2"/>
  <c r="AX2928" i="2"/>
  <c r="AX2925" i="2"/>
  <c r="AX2922" i="2"/>
  <c r="AX2919" i="2"/>
  <c r="AX2916" i="2"/>
  <c r="AX2913" i="2"/>
  <c r="AX2910" i="2"/>
  <c r="AX2907" i="2"/>
  <c r="AX2904" i="2"/>
  <c r="AX2902" i="2"/>
  <c r="AX2898" i="2"/>
  <c r="AX2896" i="2"/>
  <c r="AX2893" i="2"/>
  <c r="AX2890" i="2"/>
  <c r="AX2887" i="2"/>
  <c r="AX2884" i="2"/>
  <c r="AX2881" i="2"/>
  <c r="AX2878" i="2"/>
  <c r="AX2875" i="2"/>
  <c r="AX2872" i="2"/>
  <c r="AX2869" i="2"/>
  <c r="AX2866" i="2"/>
  <c r="AX2863" i="2"/>
  <c r="AX2860" i="2"/>
  <c r="AX2857" i="2"/>
  <c r="AX2854" i="2"/>
  <c r="AX2849" i="2"/>
  <c r="AX2846" i="2"/>
  <c r="AX2843" i="2"/>
  <c r="AX3407" i="2"/>
  <c r="AX3398" i="2"/>
  <c r="AX3392" i="2"/>
  <c r="AX3386" i="2"/>
  <c r="AX3380" i="2"/>
  <c r="AX3374" i="2"/>
  <c r="AX3370" i="2"/>
  <c r="AX3364" i="2"/>
  <c r="AX3355" i="2"/>
  <c r="AX3349" i="2"/>
  <c r="AX3343" i="2"/>
  <c r="AX3337" i="2"/>
  <c r="AX3332" i="2"/>
  <c r="AX3326" i="2"/>
  <c r="AX3324" i="2"/>
  <c r="AX3319" i="2"/>
  <c r="AX3313" i="2"/>
  <c r="AX3307" i="2"/>
  <c r="AX3304" i="2"/>
  <c r="AX3298" i="2"/>
  <c r="AX3294" i="2"/>
  <c r="AX3288" i="2"/>
  <c r="AX3282" i="2"/>
  <c r="AX3279" i="2"/>
  <c r="AX3270" i="2"/>
  <c r="AX3264" i="2"/>
  <c r="AX3255" i="2"/>
  <c r="AX3248" i="2"/>
  <c r="AX3239" i="2"/>
  <c r="AX3233" i="2"/>
  <c r="AX3227" i="2"/>
  <c r="AX3221" i="2"/>
  <c r="AX3215" i="2"/>
  <c r="AX3209" i="2"/>
  <c r="AX3203" i="2"/>
  <c r="AX3197" i="2"/>
  <c r="AX3191" i="2"/>
  <c r="AX3188" i="2"/>
  <c r="AX3181" i="2"/>
  <c r="AX3171" i="2"/>
  <c r="AX3168" i="2"/>
  <c r="AX3162" i="2"/>
  <c r="AX3156" i="2"/>
  <c r="AX3150" i="2"/>
  <c r="AX3144" i="2"/>
  <c r="AX3138" i="2"/>
  <c r="AX3131" i="2"/>
  <c r="AX3128" i="2"/>
  <c r="AX3122" i="2"/>
  <c r="AX3116" i="2"/>
  <c r="AX3104" i="2"/>
  <c r="AX3100" i="2"/>
  <c r="AX3094" i="2"/>
  <c r="AX3087" i="2"/>
  <c r="AX3081" i="2"/>
  <c r="AX3075" i="2"/>
  <c r="AX3069" i="2"/>
  <c r="AX3063" i="2"/>
  <c r="AX3057" i="2"/>
  <c r="AX3051" i="2"/>
  <c r="AX3044" i="2"/>
  <c r="AX3035" i="2"/>
  <c r="AX3028" i="2"/>
  <c r="AX3022" i="2"/>
  <c r="AX3016" i="2"/>
  <c r="AX3010" i="2"/>
  <c r="AX3004" i="2"/>
  <c r="AX2998" i="2"/>
  <c r="AX2992" i="2"/>
  <c r="AX2986" i="2"/>
  <c r="AX2980" i="2"/>
  <c r="AX2974" i="2"/>
  <c r="AX2968" i="2"/>
  <c r="AX2961" i="2"/>
  <c r="AX2952" i="2"/>
  <c r="AX2948" i="2"/>
  <c r="AX2942" i="2"/>
  <c r="AX2936" i="2"/>
  <c r="AX2930" i="2"/>
  <c r="AX2924" i="2"/>
  <c r="AX2918" i="2"/>
  <c r="AX2911" i="2"/>
  <c r="AX2901" i="2"/>
  <c r="AX2895" i="2"/>
  <c r="AX2889" i="2"/>
  <c r="AX2883" i="2"/>
  <c r="AX2877" i="2"/>
  <c r="AX2873" i="2"/>
  <c r="AX2867" i="2"/>
  <c r="AX2861" i="2"/>
  <c r="AX2855" i="2"/>
  <c r="AX2848" i="2"/>
  <c r="AX1733" i="2"/>
  <c r="AX1727" i="2"/>
  <c r="AX1725" i="2"/>
  <c r="AX1724" i="2"/>
  <c r="AX1721" i="2"/>
  <c r="AX1718" i="2"/>
  <c r="AX1716" i="2"/>
  <c r="AX1712" i="2"/>
  <c r="AX1710" i="2"/>
  <c r="AX1708" i="2"/>
  <c r="AX1706" i="2"/>
  <c r="AX1704" i="2"/>
  <c r="AX1702" i="2"/>
  <c r="AX1699" i="2"/>
  <c r="AX1697" i="2"/>
  <c r="AX1695" i="2"/>
  <c r="AX1693" i="2"/>
  <c r="AX1691" i="2"/>
  <c r="AX1689" i="2"/>
  <c r="AX1686" i="2"/>
  <c r="AX1684" i="2"/>
  <c r="AX1683" i="2"/>
  <c r="AX1680" i="2"/>
  <c r="AX1678" i="2"/>
  <c r="AX1676" i="2"/>
  <c r="AX1674" i="2"/>
  <c r="AX1672" i="2"/>
  <c r="AX1670" i="2"/>
  <c r="AX1667" i="2"/>
  <c r="AX1663" i="2"/>
  <c r="AX1661" i="2"/>
  <c r="AX1659" i="2"/>
  <c r="AX1658" i="2"/>
  <c r="AX1656" i="2"/>
  <c r="AX1654" i="2"/>
  <c r="AX1652" i="2"/>
  <c r="AX1650" i="2"/>
  <c r="AX1648" i="2"/>
  <c r="AX1646" i="2"/>
  <c r="AX1645" i="2"/>
  <c r="AX1643" i="2"/>
  <c r="AX1641" i="2"/>
  <c r="AX1639" i="2"/>
  <c r="AX1637" i="2"/>
  <c r="AX1635" i="2"/>
  <c r="AX1633" i="2"/>
  <c r="AX1631" i="2"/>
  <c r="AX1630" i="2"/>
  <c r="AX1628" i="2"/>
  <c r="AX1627" i="2"/>
  <c r="AX1625" i="2"/>
  <c r="AX1624" i="2"/>
  <c r="AX1622" i="2"/>
  <c r="AX1620" i="2"/>
  <c r="AX1618" i="2"/>
  <c r="AX1616" i="2"/>
  <c r="AX1614" i="2"/>
  <c r="AX1612" i="2"/>
  <c r="AX1610" i="2"/>
  <c r="AX1608" i="2"/>
  <c r="AX1606" i="2"/>
  <c r="AX1603" i="2"/>
  <c r="AX1600" i="2"/>
  <c r="AX1598" i="2"/>
  <c r="AX1596" i="2"/>
  <c r="AX1595" i="2"/>
  <c r="AX1593" i="2"/>
  <c r="AX1591" i="2"/>
  <c r="AX1589" i="2"/>
  <c r="AX1587" i="2"/>
  <c r="AX1585" i="2"/>
  <c r="AX1584" i="2"/>
  <c r="AX1582" i="2"/>
  <c r="AX1581" i="2"/>
  <c r="AX1579" i="2"/>
  <c r="AX1577" i="2"/>
  <c r="AX1575" i="2"/>
  <c r="AX1573" i="2"/>
  <c r="AX1571" i="2"/>
  <c r="AX1569" i="2"/>
  <c r="AX1567" i="2"/>
  <c r="AX1565" i="2"/>
  <c r="AX1563" i="2"/>
  <c r="AX1561" i="2"/>
  <c r="AX1559" i="2"/>
  <c r="AX1557" i="2"/>
  <c r="AX1555" i="2"/>
  <c r="AX1554" i="2"/>
  <c r="AX1552" i="2"/>
  <c r="AX1550" i="2"/>
  <c r="AX1548" i="2"/>
  <c r="AX1546" i="2"/>
  <c r="AX1544" i="2"/>
  <c r="AX1542" i="2"/>
  <c r="AX1541" i="2"/>
  <c r="AX1539" i="2"/>
  <c r="AX1537" i="2"/>
  <c r="AX1535" i="2"/>
  <c r="AX1534" i="2"/>
  <c r="AX1532" i="2"/>
  <c r="AX1530" i="2"/>
  <c r="AX1528" i="2"/>
  <c r="AX1526" i="2"/>
  <c r="AX1524" i="2"/>
  <c r="AX1522" i="2"/>
  <c r="AX1521" i="2"/>
  <c r="AX1519" i="2"/>
  <c r="AX1517" i="2"/>
  <c r="AX1514" i="2"/>
  <c r="AX1512" i="2"/>
  <c r="AX1510" i="2"/>
  <c r="AX1508" i="2"/>
  <c r="AX1506" i="2"/>
  <c r="AX1505" i="2"/>
  <c r="AX1503" i="2"/>
  <c r="AX1501" i="2"/>
  <c r="AX1499" i="2"/>
  <c r="AX1497" i="2"/>
  <c r="AX1495" i="2"/>
  <c r="AX1493" i="2"/>
  <c r="AX1491" i="2"/>
  <c r="AX1489" i="2"/>
  <c r="AX1488" i="2"/>
  <c r="AX1486" i="2"/>
  <c r="AX1485" i="2"/>
  <c r="AX1482" i="2"/>
  <c r="AX1479" i="2"/>
  <c r="AX1477" i="2"/>
  <c r="AX1475" i="2"/>
  <c r="AX1473" i="2"/>
  <c r="AX1471" i="2"/>
  <c r="AX1469" i="2"/>
  <c r="AX1467" i="2"/>
  <c r="AX1465" i="2"/>
  <c r="AX1463" i="2"/>
  <c r="AX1461" i="2"/>
  <c r="AX1459" i="2"/>
  <c r="AX792" i="2"/>
  <c r="AX4010" i="2"/>
  <c r="AX4008" i="2"/>
  <c r="AX4006" i="2"/>
  <c r="AX4004" i="2"/>
  <c r="AX4002" i="2"/>
  <c r="AX4000" i="2"/>
  <c r="AX3998" i="2"/>
  <c r="AX3996" i="2"/>
  <c r="AX3994" i="2"/>
  <c r="AX3992" i="2"/>
  <c r="AX3990" i="2"/>
  <c r="AX3988" i="2"/>
  <c r="AX3807" i="2"/>
  <c r="AX3804" i="2"/>
  <c r="AX3801" i="2"/>
  <c r="AX3798" i="2"/>
  <c r="AX3795" i="2"/>
  <c r="AX3791" i="2"/>
  <c r="AX3788" i="2"/>
  <c r="AX3783" i="2"/>
  <c r="AX3780" i="2"/>
  <c r="AX3779" i="2"/>
  <c r="AX3777" i="2"/>
  <c r="AX3776" i="2"/>
  <c r="AX3773" i="2"/>
  <c r="AX3766" i="2"/>
  <c r="AX3763" i="2"/>
  <c r="AX3760" i="2"/>
  <c r="AX3757" i="2"/>
  <c r="AX3754" i="2"/>
  <c r="AX3751" i="2"/>
  <c r="AX3748" i="2"/>
  <c r="AX3741" i="2"/>
  <c r="AX3738" i="2"/>
  <c r="AX3735" i="2"/>
  <c r="AX3732" i="2"/>
  <c r="AX3729" i="2"/>
  <c r="AX3726" i="2"/>
  <c r="AX3723" i="2"/>
  <c r="AX3721" i="2"/>
  <c r="AX3714" i="2"/>
  <c r="AX3711" i="2"/>
  <c r="AX3708" i="2"/>
  <c r="AX3705" i="2"/>
  <c r="AX3702" i="2"/>
  <c r="AX3699" i="2"/>
  <c r="AX3696" i="2"/>
  <c r="AX3693" i="2"/>
  <c r="AX3690" i="2"/>
  <c r="AX3687" i="2"/>
  <c r="AX3684" i="2"/>
  <c r="AX3681" i="2"/>
  <c r="AX3678" i="2"/>
  <c r="AX3675" i="2"/>
  <c r="AX3672" i="2"/>
  <c r="AX3669" i="2"/>
  <c r="AX3666" i="2"/>
  <c r="AX3663" i="2"/>
  <c r="AX3656" i="2"/>
  <c r="AX3653" i="2"/>
  <c r="AX3650" i="2"/>
  <c r="AX3647" i="2"/>
  <c r="AX3644" i="2"/>
  <c r="AX3641" i="2"/>
  <c r="AX3638" i="2"/>
  <c r="AX3635" i="2"/>
  <c r="AX3630" i="2"/>
  <c r="AX3627" i="2"/>
  <c r="AX3624" i="2"/>
  <c r="AX3621" i="2"/>
  <c r="AX3618" i="2"/>
  <c r="AX3615" i="2"/>
  <c r="AX3612" i="2"/>
  <c r="AX3609" i="2"/>
  <c r="AX3606" i="2"/>
  <c r="AX3603" i="2"/>
  <c r="AX3600" i="2"/>
  <c r="AX3597" i="2"/>
  <c r="AX3594" i="2"/>
  <c r="AX3591" i="2"/>
  <c r="AX3588" i="2"/>
  <c r="AX3585" i="2"/>
  <c r="AX3582" i="2"/>
  <c r="AX3579" i="2"/>
  <c r="AX3576" i="2"/>
  <c r="AX3573" i="2"/>
  <c r="AX3570" i="2"/>
  <c r="AX3567" i="2"/>
  <c r="AX3564" i="2"/>
  <c r="AX3561" i="2"/>
  <c r="AX3552" i="2"/>
  <c r="AX3549" i="2"/>
  <c r="AX3546" i="2"/>
  <c r="AX3543" i="2"/>
  <c r="AX3540" i="2"/>
  <c r="AX3538" i="2"/>
  <c r="AX3535" i="2"/>
  <c r="AX3532" i="2"/>
  <c r="AX3526" i="2"/>
  <c r="AX3523" i="2"/>
  <c r="AX3520" i="2"/>
  <c r="AX3517" i="2"/>
  <c r="AX3510" i="2"/>
  <c r="AX3507" i="2"/>
  <c r="AX3504" i="2"/>
  <c r="AX3501" i="2"/>
  <c r="AX3498" i="2"/>
  <c r="AX3495" i="2"/>
  <c r="AX3492" i="2"/>
  <c r="AX3489" i="2"/>
  <c r="AX3482" i="2"/>
  <c r="AX3477" i="2"/>
  <c r="AX3474" i="2"/>
  <c r="AX3471" i="2"/>
  <c r="AX3468" i="2"/>
  <c r="AX3465" i="2"/>
  <c r="AX3462" i="2"/>
  <c r="AX3455" i="2"/>
  <c r="AX3454" i="2"/>
  <c r="AX3451" i="2"/>
  <c r="AX3448" i="2"/>
  <c r="AX3445" i="2"/>
  <c r="AX3442" i="2"/>
  <c r="AX3440" i="2"/>
  <c r="AX3436" i="2"/>
  <c r="AX3433" i="2"/>
  <c r="AX3429" i="2"/>
  <c r="AX3426" i="2"/>
  <c r="AX3423" i="2"/>
  <c r="AX3420" i="2"/>
  <c r="AX3417" i="2"/>
  <c r="AX3414" i="2"/>
  <c r="AX3408" i="2"/>
  <c r="AX3405" i="2"/>
  <c r="AX3399" i="2"/>
  <c r="AX3396" i="2"/>
  <c r="AX3393" i="2"/>
  <c r="AX3390" i="2"/>
  <c r="AX3387" i="2"/>
  <c r="AX3384" i="2"/>
  <c r="AX3381" i="2"/>
  <c r="AX3378" i="2"/>
  <c r="AX3375" i="2"/>
  <c r="AX3368" i="2"/>
  <c r="AX3365" i="2"/>
  <c r="AX3362" i="2"/>
  <c r="AX3359" i="2"/>
  <c r="AX3356" i="2"/>
  <c r="AX3353" i="2"/>
  <c r="AX3350" i="2"/>
  <c r="AX3348" i="2"/>
  <c r="AX3345" i="2"/>
  <c r="AX3342" i="2"/>
  <c r="AX3339" i="2"/>
  <c r="AX3336" i="2"/>
  <c r="AX3330" i="2"/>
  <c r="AX3327" i="2"/>
  <c r="AX3320" i="2"/>
  <c r="AX3317" i="2"/>
  <c r="AX3312" i="2"/>
  <c r="AX3309" i="2"/>
  <c r="AX3306" i="2"/>
  <c r="AX3303" i="2"/>
  <c r="AX3300" i="2"/>
  <c r="AX3297" i="2"/>
  <c r="AX3295" i="2"/>
  <c r="AX3292" i="2"/>
  <c r="AX3289" i="2"/>
  <c r="AX3287" i="2"/>
  <c r="AX3284" i="2"/>
  <c r="AX3281" i="2"/>
  <c r="AX3278" i="2"/>
  <c r="AX3275" i="2"/>
  <c r="AX3272" i="2"/>
  <c r="AX3269" i="2"/>
  <c r="AX3266" i="2"/>
  <c r="AX3263" i="2"/>
  <c r="AX3260" i="2"/>
  <c r="AX3257" i="2"/>
  <c r="AX3254" i="2"/>
  <c r="AX3252" i="2"/>
  <c r="AX3249" i="2"/>
  <c r="AX3246" i="2"/>
  <c r="AX3243" i="2"/>
  <c r="AX3240" i="2"/>
  <c r="AX3237" i="2"/>
  <c r="AX3234" i="2"/>
  <c r="AX3229" i="2"/>
  <c r="AX3226" i="2"/>
  <c r="AX3223" i="2"/>
  <c r="AX3220" i="2"/>
  <c r="AX3217" i="2"/>
  <c r="AX3214" i="2"/>
  <c r="AX3211" i="2"/>
  <c r="AX3208" i="2"/>
  <c r="AX3205" i="2"/>
  <c r="AX3202" i="2"/>
  <c r="AX3199" i="2"/>
  <c r="AX3196" i="2"/>
  <c r="AX3193" i="2"/>
  <c r="AX3190" i="2"/>
  <c r="AX3187" i="2"/>
  <c r="AX3185" i="2"/>
  <c r="AX3182" i="2"/>
  <c r="AX3179" i="2"/>
  <c r="AX3176" i="2"/>
  <c r="AX3173" i="2"/>
  <c r="AX3170" i="2"/>
  <c r="AX3167" i="2"/>
  <c r="AX3163" i="2"/>
  <c r="AX3160" i="2"/>
  <c r="AX3157" i="2"/>
  <c r="AX3154" i="2"/>
  <c r="AX3151" i="2"/>
  <c r="AX3148" i="2"/>
  <c r="AX3145" i="2"/>
  <c r="AX3142" i="2"/>
  <c r="AX3139" i="2"/>
  <c r="AX3136" i="2"/>
  <c r="AX3133" i="2"/>
  <c r="AX3130" i="2"/>
  <c r="AX3127" i="2"/>
  <c r="AX3124" i="2"/>
  <c r="AX3121" i="2"/>
  <c r="AX3118" i="2"/>
  <c r="AX3115" i="2"/>
  <c r="AX3112" i="2"/>
  <c r="AX3110" i="2"/>
  <c r="AX3109" i="2"/>
  <c r="AX3107" i="2"/>
  <c r="AX3106" i="2"/>
  <c r="AX3103" i="2"/>
  <c r="AX3098" i="2"/>
  <c r="AX3095" i="2"/>
  <c r="AX3092" i="2"/>
  <c r="AX3089" i="2"/>
  <c r="AX3086" i="2"/>
  <c r="AX3082" i="2"/>
  <c r="AX3080" i="2"/>
  <c r="AX3076" i="2"/>
  <c r="AX3073" i="2"/>
  <c r="AX3070" i="2"/>
  <c r="AX3067" i="2"/>
  <c r="AX3064" i="2"/>
  <c r="AX3061" i="2"/>
  <c r="AX3058" i="2"/>
  <c r="AX3055" i="2"/>
  <c r="AX3052" i="2"/>
  <c r="AX3049" i="2"/>
  <c r="AX3046" i="2"/>
  <c r="AX3043" i="2"/>
  <c r="AX3040" i="2"/>
  <c r="AX3037" i="2"/>
  <c r="AX3032" i="2"/>
  <c r="AX3029" i="2"/>
  <c r="AX3026" i="2"/>
  <c r="AX3023" i="2"/>
  <c r="AX3020" i="2"/>
  <c r="AX3017" i="2"/>
  <c r="AX3014" i="2"/>
  <c r="AX3011" i="2"/>
  <c r="AX3008" i="2"/>
  <c r="AX3005" i="2"/>
  <c r="AX3002" i="2"/>
  <c r="AX2999" i="2"/>
  <c r="AX2996" i="2"/>
  <c r="AX2993" i="2"/>
  <c r="AX2990" i="2"/>
  <c r="AX2987" i="2"/>
  <c r="AX2984" i="2"/>
  <c r="AX2981" i="2"/>
  <c r="AX2978" i="2"/>
  <c r="AX2975" i="2"/>
  <c r="AX2973" i="2"/>
  <c r="AX2972" i="2"/>
  <c r="AX2969" i="2"/>
  <c r="AX2967" i="2"/>
  <c r="AX2962" i="2"/>
  <c r="AX2959" i="2"/>
  <c r="AX2956" i="2"/>
  <c r="AX2953" i="2"/>
  <c r="AX2950" i="2"/>
  <c r="AX2947" i="2"/>
  <c r="AX2944" i="2"/>
  <c r="AX2941" i="2"/>
  <c r="AX2938" i="2"/>
  <c r="AX2935" i="2"/>
  <c r="AX2932" i="2"/>
  <c r="AX2929" i="2"/>
  <c r="AX2926" i="2"/>
  <c r="AX2923" i="2"/>
  <c r="AX2920" i="2"/>
  <c r="AX2917" i="2"/>
  <c r="AX2914" i="2"/>
  <c r="AX2912" i="2"/>
  <c r="AX2909" i="2"/>
  <c r="AX2906" i="2"/>
  <c r="AX2903" i="2"/>
  <c r="AX2900" i="2"/>
  <c r="AX2897" i="2"/>
  <c r="AX2894" i="2"/>
  <c r="AX2891" i="2"/>
  <c r="AX2888" i="2"/>
  <c r="AX2885" i="2"/>
  <c r="AX2882" i="2"/>
  <c r="AX2879" i="2"/>
  <c r="AX2876" i="2"/>
  <c r="AX2874" i="2"/>
  <c r="AX2871" i="2"/>
  <c r="AX2868" i="2"/>
  <c r="AX2865" i="2"/>
  <c r="AX2862" i="2"/>
  <c r="AX2859" i="2"/>
  <c r="AX2856" i="2"/>
  <c r="AX2853" i="2"/>
  <c r="AX2850" i="2"/>
  <c r="AX2847" i="2"/>
  <c r="AX2844" i="2"/>
  <c r="AX3859" i="2"/>
  <c r="AX3858" i="2"/>
  <c r="AX3857" i="2"/>
  <c r="AX3856" i="2"/>
  <c r="AX3855" i="2"/>
  <c r="AX3854" i="2"/>
  <c r="AX3853" i="2"/>
  <c r="AX3852" i="2"/>
  <c r="AX3851" i="2"/>
  <c r="AX3850" i="2"/>
  <c r="AX3849" i="2"/>
  <c r="AX3848" i="2"/>
  <c r="AX3847" i="2"/>
  <c r="AX3846" i="2"/>
  <c r="AX3845" i="2"/>
  <c r="AX3844" i="2"/>
  <c r="AX3843" i="2"/>
  <c r="AX3842" i="2"/>
  <c r="AX3841" i="2"/>
  <c r="AX3840" i="2"/>
  <c r="AX3839" i="2"/>
  <c r="AX3838" i="2"/>
  <c r="AX3837" i="2"/>
  <c r="AX3836" i="2"/>
  <c r="AX3835" i="2"/>
  <c r="AX3834" i="2"/>
  <c r="AX3833" i="2"/>
  <c r="AX3832" i="2"/>
  <c r="AX3831" i="2"/>
  <c r="AX3830" i="2"/>
  <c r="AX3829" i="2"/>
  <c r="AX3828" i="2"/>
  <c r="AX3827" i="2"/>
  <c r="AX3826" i="2"/>
  <c r="AX3825" i="2"/>
  <c r="AX3824" i="2"/>
  <c r="AX3823" i="2"/>
  <c r="AX3822" i="2"/>
  <c r="AX3821" i="2"/>
  <c r="AX3820" i="2"/>
  <c r="AX3819" i="2"/>
  <c r="AX3818" i="2"/>
  <c r="AX3817" i="2"/>
  <c r="AX3816" i="2"/>
  <c r="AX3815" i="2"/>
  <c r="AX3814" i="2"/>
  <c r="AX3813" i="2"/>
  <c r="AX3812" i="2"/>
  <c r="AX3811" i="2"/>
  <c r="AX3810" i="2"/>
  <c r="AX3809" i="2"/>
  <c r="AX3808" i="2"/>
  <c r="AX3806" i="2"/>
  <c r="AX3803" i="2"/>
  <c r="AX3800" i="2"/>
  <c r="AX3797" i="2"/>
  <c r="AX3794" i="2"/>
  <c r="AX3792" i="2"/>
  <c r="AX3789" i="2"/>
  <c r="AX3786" i="2"/>
  <c r="AX3785" i="2"/>
  <c r="AX3782" i="2"/>
  <c r="AX3774" i="2"/>
  <c r="AX3771" i="2"/>
  <c r="AX3770" i="2"/>
  <c r="AX3768" i="2"/>
  <c r="AX3765" i="2"/>
  <c r="AX3762" i="2"/>
  <c r="AX3759" i="2"/>
  <c r="AX3756" i="2"/>
  <c r="AX3753" i="2"/>
  <c r="AX3750" i="2"/>
  <c r="AX3747" i="2"/>
  <c r="AX3745" i="2"/>
  <c r="AX3743" i="2"/>
  <c r="AX3740" i="2"/>
  <c r="AX3737" i="2"/>
  <c r="AX3734" i="2"/>
  <c r="AX3731" i="2"/>
  <c r="AX3728" i="2"/>
  <c r="AX3725" i="2"/>
  <c r="AX3722" i="2"/>
  <c r="AX3719" i="2"/>
  <c r="AX3717" i="2"/>
  <c r="AX3715" i="2"/>
  <c r="AX3712" i="2"/>
  <c r="AX3709" i="2"/>
  <c r="AX3706" i="2"/>
  <c r="AX3703" i="2"/>
  <c r="AX3700" i="2"/>
  <c r="AX3697" i="2"/>
  <c r="AX3694" i="2"/>
  <c r="AX3691" i="2"/>
  <c r="AX3688" i="2"/>
  <c r="AX3685" i="2"/>
  <c r="AX3682" i="2"/>
  <c r="AX3679" i="2"/>
  <c r="AX3676" i="2"/>
  <c r="AX3673" i="2"/>
  <c r="AX3670" i="2"/>
  <c r="AX3667" i="2"/>
  <c r="AX3664" i="2"/>
  <c r="AX3661" i="2"/>
  <c r="AX3659" i="2"/>
  <c r="AX3657" i="2"/>
  <c r="AX3654" i="2"/>
  <c r="AX3651" i="2"/>
  <c r="AX3648" i="2"/>
  <c r="AX3645" i="2"/>
  <c r="AX3642" i="2"/>
  <c r="AX3639" i="2"/>
  <c r="AX3636" i="2"/>
  <c r="AX3633" i="2"/>
  <c r="AX3631" i="2"/>
  <c r="AX3628" i="2"/>
  <c r="AX3625" i="2"/>
  <c r="AX3622" i="2"/>
  <c r="AX3619" i="2"/>
  <c r="AX3616" i="2"/>
  <c r="AX3613" i="2"/>
  <c r="AX3610" i="2"/>
  <c r="AX3607" i="2"/>
  <c r="AX3604" i="2"/>
  <c r="AX3601" i="2"/>
  <c r="AX3598" i="2"/>
  <c r="AX3595" i="2"/>
  <c r="AX3592" i="2"/>
  <c r="AX3589" i="2"/>
  <c r="AX3586" i="2"/>
  <c r="AX3583" i="2"/>
  <c r="AX3580" i="2"/>
  <c r="AX3577" i="2"/>
  <c r="AX3574" i="2"/>
  <c r="AX3571" i="2"/>
  <c r="AX3568" i="2"/>
  <c r="AX3565" i="2"/>
  <c r="AX3562" i="2"/>
  <c r="AX3559" i="2"/>
  <c r="AX3558" i="2"/>
  <c r="AX3556" i="2"/>
  <c r="AX3555" i="2"/>
  <c r="AX3553" i="2"/>
  <c r="AX3550" i="2"/>
  <c r="AX3547" i="2"/>
  <c r="AX3544" i="2"/>
  <c r="AX3541" i="2"/>
  <c r="AX3537" i="2"/>
  <c r="AX3534" i="2"/>
  <c r="AX3531" i="2"/>
  <c r="AX3529" i="2"/>
  <c r="AX3528" i="2"/>
  <c r="AX3525" i="2"/>
  <c r="AX3522" i="2"/>
  <c r="AX3519" i="2"/>
  <c r="AX3516" i="2"/>
  <c r="AX3514" i="2"/>
  <c r="AX3512" i="2"/>
  <c r="AX3509" i="2"/>
  <c r="AX3506" i="2"/>
  <c r="AX3503" i="2"/>
  <c r="AX3500" i="2"/>
  <c r="AX3497" i="2"/>
  <c r="AX3494" i="2"/>
  <c r="AX3491" i="2"/>
  <c r="AX3488" i="2"/>
  <c r="AX3486" i="2"/>
  <c r="AX3484" i="2"/>
  <c r="AX3481" i="2"/>
  <c r="AX3478" i="2"/>
  <c r="AX3475" i="2"/>
  <c r="AX3472" i="2"/>
  <c r="AX3469" i="2"/>
  <c r="AX3466" i="2"/>
  <c r="AX3463" i="2"/>
  <c r="AX3460" i="2"/>
  <c r="AX3458" i="2"/>
  <c r="AX3456" i="2"/>
  <c r="AX3453" i="2"/>
  <c r="AX3450" i="2"/>
  <c r="AX3447" i="2"/>
  <c r="AX3444" i="2"/>
  <c r="AX3441" i="2"/>
  <c r="AX3438" i="2"/>
  <c r="AX3435" i="2"/>
  <c r="AX3432" i="2"/>
  <c r="AX3430" i="2"/>
  <c r="AX3427" i="2"/>
  <c r="AX3424" i="2"/>
  <c r="AX3421" i="2"/>
  <c r="AX3418" i="2"/>
  <c r="AX3415" i="2"/>
  <c r="AX3412" i="2"/>
  <c r="AX3410" i="2"/>
  <c r="AX3404" i="2"/>
  <c r="AX3402" i="2"/>
  <c r="AX3401" i="2"/>
  <c r="AX3395" i="2"/>
  <c r="AX3389" i="2"/>
  <c r="AX3383" i="2"/>
  <c r="AX3377" i="2"/>
  <c r="AX3372" i="2"/>
  <c r="AX3367" i="2"/>
  <c r="AX3361" i="2"/>
  <c r="AX3358" i="2"/>
  <c r="AX3352" i="2"/>
  <c r="AX3346" i="2"/>
  <c r="AX3340" i="2"/>
  <c r="AX3334" i="2"/>
  <c r="AX3329" i="2"/>
  <c r="AX3322" i="2"/>
  <c r="AX3316" i="2"/>
  <c r="AX3310" i="2"/>
  <c r="AX3301" i="2"/>
  <c r="AX3291" i="2"/>
  <c r="AX3285" i="2"/>
  <c r="AX3276" i="2"/>
  <c r="AX3273" i="2"/>
  <c r="AX3267" i="2"/>
  <c r="AX3261" i="2"/>
  <c r="AX3258" i="2"/>
  <c r="AX3251" i="2"/>
  <c r="AX3245" i="2"/>
  <c r="AX3242" i="2"/>
  <c r="AX3236" i="2"/>
  <c r="AX3230" i="2"/>
  <c r="AX3224" i="2"/>
  <c r="AX3218" i="2"/>
  <c r="AX3212" i="2"/>
  <c r="AX3206" i="2"/>
  <c r="AX3200" i="2"/>
  <c r="AX3194" i="2"/>
  <c r="AX3184" i="2"/>
  <c r="AX3178" i="2"/>
  <c r="AX3174" i="2"/>
  <c r="AX3165" i="2"/>
  <c r="AX3159" i="2"/>
  <c r="AX3153" i="2"/>
  <c r="AX3147" i="2"/>
  <c r="AX3141" i="2"/>
  <c r="AX3134" i="2"/>
  <c r="AX3125" i="2"/>
  <c r="AX3119" i="2"/>
  <c r="AX3113" i="2"/>
  <c r="AX3101" i="2"/>
  <c r="AX3097" i="2"/>
  <c r="AX3090" i="2"/>
  <c r="AX3084" i="2"/>
  <c r="AX3078" i="2"/>
  <c r="AX3072" i="2"/>
  <c r="AX3066" i="2"/>
  <c r="AX3060" i="2"/>
  <c r="AX3054" i="2"/>
  <c r="AX3048" i="2"/>
  <c r="AX3041" i="2"/>
  <c r="AX3038" i="2"/>
  <c r="AX3034" i="2"/>
  <c r="AX3031" i="2"/>
  <c r="AX3025" i="2"/>
  <c r="AX3019" i="2"/>
  <c r="AX3013" i="2"/>
  <c r="AX3007" i="2"/>
  <c r="AX3001" i="2"/>
  <c r="AX2995" i="2"/>
  <c r="AX2989" i="2"/>
  <c r="AX2983" i="2"/>
  <c r="AX2977" i="2"/>
  <c r="AX2971" i="2"/>
  <c r="AX2965" i="2"/>
  <c r="AX2957" i="2"/>
  <c r="AX2955" i="2"/>
  <c r="AX2949" i="2"/>
  <c r="AX2945" i="2"/>
  <c r="AX2939" i="2"/>
  <c r="AX2933" i="2"/>
  <c r="AX2927" i="2"/>
  <c r="AX2921" i="2"/>
  <c r="AX2915" i="2"/>
  <c r="AX2908" i="2"/>
  <c r="AX2905" i="2"/>
  <c r="AX2899" i="2"/>
  <c r="AX2892" i="2"/>
  <c r="AX2886" i="2"/>
  <c r="AX2880" i="2"/>
  <c r="AX2870" i="2"/>
  <c r="AX2864" i="2"/>
  <c r="AX2858" i="2"/>
  <c r="AX2852" i="2"/>
  <c r="AX2851" i="2"/>
  <c r="AX2845" i="2"/>
  <c r="AX2842" i="2"/>
  <c r="AX1850" i="2"/>
  <c r="AX1849" i="2"/>
  <c r="AX1848" i="2"/>
  <c r="AX1847" i="2"/>
  <c r="AX1846" i="2"/>
  <c r="AX1845" i="2"/>
  <c r="AX1844" i="2"/>
  <c r="AX1843" i="2"/>
  <c r="AX1842" i="2"/>
  <c r="AX1841" i="2"/>
  <c r="AX1840" i="2"/>
  <c r="AX1839" i="2"/>
  <c r="AX1838" i="2"/>
  <c r="AX1837" i="2"/>
  <c r="AX1836" i="2"/>
  <c r="AX1835" i="2"/>
  <c r="AX1834" i="2"/>
  <c r="AX1833" i="2"/>
  <c r="AX1832" i="2"/>
  <c r="AX1831" i="2"/>
  <c r="AX1830" i="2"/>
  <c r="AX1829" i="2"/>
  <c r="AX1828" i="2"/>
  <c r="AX1827" i="2"/>
  <c r="AX1826" i="2"/>
  <c r="AX1825" i="2"/>
  <c r="AX1824" i="2"/>
  <c r="AX1823" i="2"/>
  <c r="AX1822" i="2"/>
  <c r="AX1821" i="2"/>
  <c r="AX1820" i="2"/>
  <c r="AX1819" i="2"/>
  <c r="AX1818" i="2"/>
  <c r="AX1817" i="2"/>
  <c r="AX1816" i="2"/>
  <c r="AX1815" i="2"/>
  <c r="AX1814" i="2"/>
  <c r="AX1813" i="2"/>
  <c r="AX1812" i="2"/>
  <c r="AX1811" i="2"/>
  <c r="AX1810" i="2"/>
  <c r="AX1809" i="2"/>
  <c r="AX1808" i="2"/>
  <c r="AX1807" i="2"/>
  <c r="AX1806" i="2"/>
  <c r="AX1805" i="2"/>
  <c r="AX1804" i="2"/>
  <c r="AX1803" i="2"/>
  <c r="AX1802" i="2"/>
  <c r="AX1801" i="2"/>
  <c r="AX1800" i="2"/>
  <c r="AX1799" i="2"/>
  <c r="AX1798" i="2"/>
  <c r="AX1797" i="2"/>
  <c r="AX1796" i="2"/>
  <c r="AX1795" i="2"/>
  <c r="AX1794" i="2"/>
  <c r="AX1793" i="2"/>
  <c r="AX1792" i="2"/>
  <c r="AX1791" i="2"/>
  <c r="AX1790" i="2"/>
  <c r="AX1789" i="2"/>
  <c r="AX1788" i="2"/>
  <c r="AX1787" i="2"/>
  <c r="AX1786" i="2"/>
  <c r="AX1785" i="2"/>
  <c r="AX1784" i="2"/>
  <c r="AX1783" i="2"/>
  <c r="AX1782" i="2"/>
  <c r="AX1781" i="2"/>
  <c r="AX1780" i="2"/>
  <c r="AX1779" i="2"/>
  <c r="AX1778" i="2"/>
  <c r="AX1777" i="2"/>
  <c r="AX1776" i="2"/>
  <c r="AX1775" i="2"/>
  <c r="AX1774" i="2"/>
  <c r="AX1773" i="2"/>
  <c r="AX1772" i="2"/>
  <c r="AX1771" i="2"/>
  <c r="AX1770" i="2"/>
  <c r="AX1769" i="2"/>
  <c r="AX1768" i="2"/>
  <c r="AX1767" i="2"/>
  <c r="AX1766" i="2"/>
  <c r="AX1765" i="2"/>
  <c r="AX1764" i="2"/>
  <c r="AX1763" i="2"/>
  <c r="AX1762" i="2"/>
  <c r="AX1761" i="2"/>
  <c r="AX1760" i="2"/>
  <c r="AX1759" i="2"/>
  <c r="AX1758" i="2"/>
  <c r="AX1757" i="2"/>
  <c r="AX1756" i="2"/>
  <c r="AX1755" i="2"/>
  <c r="AX1754" i="2"/>
  <c r="AX1753" i="2"/>
  <c r="AX1752" i="2"/>
  <c r="AX1751" i="2"/>
  <c r="AX1750" i="2"/>
  <c r="AX1749" i="2"/>
  <c r="AX1748" i="2"/>
  <c r="AX1747" i="2"/>
  <c r="AX1746" i="2"/>
  <c r="AX1745" i="2"/>
  <c r="AX1744" i="2"/>
  <c r="AX1743" i="2"/>
  <c r="AX1742" i="2"/>
  <c r="AX1741" i="2"/>
  <c r="AX1740" i="2"/>
  <c r="AX1739" i="2"/>
  <c r="AX1738" i="2"/>
  <c r="AX1737" i="2"/>
  <c r="AX1736" i="2"/>
  <c r="AX1735" i="2"/>
  <c r="AX1734" i="2"/>
  <c r="AX1732" i="2"/>
  <c r="AX1731" i="2"/>
  <c r="AX1730" i="2"/>
  <c r="AX1729" i="2"/>
  <c r="AX1728" i="2"/>
  <c r="AX1726" i="2"/>
  <c r="AX1723" i="2"/>
  <c r="AX1722" i="2"/>
  <c r="AX1720" i="2"/>
  <c r="AX1719" i="2"/>
  <c r="AX1717" i="2"/>
  <c r="AX1715" i="2"/>
  <c r="AX1714" i="2"/>
  <c r="AX1713" i="2"/>
  <c r="AX1711" i="2"/>
  <c r="AX1709" i="2"/>
  <c r="AX1707" i="2"/>
  <c r="AX1705" i="2"/>
  <c r="AX1703" i="2"/>
  <c r="AX1701" i="2"/>
  <c r="AX1700" i="2"/>
  <c r="AX1698" i="2"/>
  <c r="AX1696" i="2"/>
  <c r="AX1694" i="2"/>
  <c r="AX1692" i="2"/>
  <c r="AX1690" i="2"/>
  <c r="AX1688" i="2"/>
  <c r="AX1687" i="2"/>
  <c r="AX1685" i="2"/>
  <c r="AX1682" i="2"/>
  <c r="AX1681" i="2"/>
  <c r="AX1679" i="2"/>
  <c r="AX1677" i="2"/>
  <c r="AX1675" i="2"/>
  <c r="AX1673" i="2"/>
  <c r="AX1671" i="2"/>
  <c r="AX1669" i="2"/>
  <c r="AX1668" i="2"/>
  <c r="AX1666" i="2"/>
  <c r="AX1665" i="2"/>
  <c r="AX1664" i="2"/>
  <c r="AX1662" i="2"/>
  <c r="AX1660" i="2"/>
  <c r="AX1657" i="2"/>
  <c r="AX1655" i="2"/>
  <c r="AX1653" i="2"/>
  <c r="AX1651" i="2"/>
  <c r="AX1649" i="2"/>
  <c r="AX1647" i="2"/>
  <c r="AX1644" i="2"/>
  <c r="AX1642" i="2"/>
  <c r="AX1640" i="2"/>
  <c r="AX1638" i="2"/>
  <c r="AX1636" i="2"/>
  <c r="AX1634" i="2"/>
  <c r="AX1632" i="2"/>
  <c r="AX1629" i="2"/>
  <c r="AX1626" i="2"/>
  <c r="AX1623" i="2"/>
  <c r="AX1621" i="2"/>
  <c r="AX1619" i="2"/>
  <c r="AX1617" i="2"/>
  <c r="AX1615" i="2"/>
  <c r="AX1613" i="2"/>
  <c r="AX1611" i="2"/>
  <c r="AX1609" i="2"/>
  <c r="AX1607" i="2"/>
  <c r="AX1605" i="2"/>
  <c r="AX1604" i="2"/>
  <c r="AX1602" i="2"/>
  <c r="AX1601" i="2"/>
  <c r="AX1599" i="2"/>
  <c r="AX1597" i="2"/>
  <c r="AX1594" i="2"/>
  <c r="AX1592" i="2"/>
  <c r="AX1590" i="2"/>
  <c r="AX1588" i="2"/>
  <c r="AX1586" i="2"/>
  <c r="AX1583" i="2"/>
  <c r="AX1580" i="2"/>
  <c r="AX1578" i="2"/>
  <c r="AX1576" i="2"/>
  <c r="AX1574" i="2"/>
  <c r="AX1572" i="2"/>
  <c r="AX1570" i="2"/>
  <c r="AX1568" i="2"/>
  <c r="AX1566" i="2"/>
  <c r="AX1564" i="2"/>
  <c r="AX1562" i="2"/>
  <c r="AX1560" i="2"/>
  <c r="AX1558" i="2"/>
  <c r="AX1556" i="2"/>
  <c r="AX1553" i="2"/>
  <c r="AX1551" i="2"/>
  <c r="AX1549" i="2"/>
  <c r="AX1547" i="2"/>
  <c r="AX1545" i="2"/>
  <c r="AX1543" i="2"/>
  <c r="AX1540" i="2"/>
  <c r="AX1538" i="2"/>
  <c r="AX1536" i="2"/>
  <c r="AX1533" i="2"/>
  <c r="AX1531" i="2"/>
  <c r="AX1529" i="2"/>
  <c r="AX1527" i="2"/>
  <c r="AX1525" i="2"/>
  <c r="AX1523" i="2"/>
  <c r="AX1520" i="2"/>
  <c r="AX1518" i="2"/>
  <c r="AX1516" i="2"/>
  <c r="AX1515" i="2"/>
  <c r="AX1513" i="2"/>
  <c r="AX1511" i="2"/>
  <c r="AX1509" i="2"/>
  <c r="AX1507" i="2"/>
  <c r="AX1504" i="2"/>
  <c r="AX1502" i="2"/>
  <c r="AX1500" i="2"/>
  <c r="AX1498" i="2"/>
  <c r="AX1496" i="2"/>
  <c r="AX1494" i="2"/>
  <c r="AX1492" i="2"/>
  <c r="AX1490" i="2"/>
  <c r="AX1487" i="2"/>
  <c r="AX1484" i="2"/>
  <c r="AX1483" i="2"/>
  <c r="AX1481" i="2"/>
  <c r="AX1480" i="2"/>
  <c r="AX1478" i="2"/>
  <c r="AX1476" i="2"/>
  <c r="AX1474" i="2"/>
  <c r="AX1472" i="2"/>
  <c r="AX1470" i="2"/>
  <c r="AX1468" i="2"/>
  <c r="AX1466" i="2"/>
  <c r="AX1464" i="2"/>
  <c r="AX1462" i="2"/>
  <c r="AX1460" i="2"/>
  <c r="AX1458" i="2"/>
  <c r="AX1457" i="2"/>
  <c r="AX1456" i="2"/>
  <c r="AX1455" i="2"/>
  <c r="AX1454" i="2"/>
  <c r="AX1453" i="2"/>
  <c r="AX1452" i="2"/>
  <c r="AX1451" i="2"/>
  <c r="AX1450" i="2"/>
  <c r="AX1449" i="2"/>
  <c r="AX1448" i="2"/>
  <c r="AX1447" i="2"/>
  <c r="AX1446" i="2"/>
  <c r="AX1445" i="2"/>
  <c r="AX1444" i="2"/>
  <c r="AX1443" i="2"/>
  <c r="AX1442" i="2"/>
  <c r="AX1441" i="2"/>
  <c r="AX1440" i="2"/>
  <c r="AX1439" i="2"/>
  <c r="AX1438" i="2"/>
  <c r="AX1437" i="2"/>
  <c r="AX1436" i="2"/>
  <c r="AX1435" i="2"/>
  <c r="AX1434" i="2"/>
  <c r="AX1433" i="2"/>
  <c r="AX1432" i="2"/>
  <c r="AX1431" i="2"/>
  <c r="AX1430" i="2"/>
  <c r="AX1429" i="2"/>
  <c r="AX1428" i="2"/>
  <c r="AX1427" i="2"/>
  <c r="AX1426" i="2"/>
  <c r="AX1425" i="2"/>
  <c r="AX1424" i="2"/>
  <c r="AX1423" i="2"/>
  <c r="AX1422" i="2"/>
  <c r="AX1421" i="2"/>
  <c r="AX1420" i="2"/>
  <c r="AX1419" i="2"/>
  <c r="AX1418" i="2"/>
  <c r="AX1417" i="2"/>
  <c r="AX1416" i="2"/>
  <c r="AX1415" i="2"/>
  <c r="AX1414" i="2"/>
  <c r="AX1413" i="2"/>
  <c r="AX1412" i="2"/>
  <c r="AX1411" i="2"/>
  <c r="AX1410" i="2"/>
  <c r="AX1409" i="2"/>
  <c r="AX1408" i="2"/>
  <c r="AX1407" i="2"/>
  <c r="AX1406" i="2"/>
  <c r="AX1405" i="2"/>
  <c r="AX1404" i="2"/>
  <c r="AX1403" i="2"/>
  <c r="AX1402" i="2"/>
  <c r="AX1401" i="2"/>
  <c r="AX1400" i="2"/>
  <c r="AX1399" i="2"/>
  <c r="AX1398" i="2"/>
  <c r="AX1397" i="2"/>
  <c r="AX1396" i="2"/>
  <c r="AX1395" i="2"/>
  <c r="AX1394" i="2"/>
  <c r="AX1393" i="2"/>
  <c r="AX1392" i="2"/>
  <c r="AX1391" i="2"/>
  <c r="AX1390" i="2"/>
  <c r="AX1389" i="2"/>
  <c r="AX1388" i="2"/>
  <c r="AX1387" i="2"/>
  <c r="AX1386" i="2"/>
  <c r="AX1385" i="2"/>
  <c r="AX1384" i="2"/>
  <c r="AX1383" i="2"/>
  <c r="AX1382" i="2"/>
  <c r="AX1381" i="2"/>
  <c r="AX1380" i="2"/>
  <c r="AX1379" i="2"/>
  <c r="AX1378" i="2"/>
  <c r="AX1377" i="2"/>
  <c r="AX1376" i="2"/>
  <c r="AX1375" i="2"/>
  <c r="AX1374" i="2"/>
  <c r="AX1373" i="2"/>
  <c r="AX1372" i="2"/>
  <c r="AX1371" i="2"/>
  <c r="AX1370" i="2"/>
  <c r="AX1369" i="2"/>
  <c r="AX1368" i="2"/>
  <c r="AX1367" i="2"/>
  <c r="AX1366" i="2"/>
  <c r="AX1365" i="2"/>
  <c r="AX1364" i="2"/>
  <c r="AX1363" i="2"/>
  <c r="AX1362" i="2"/>
  <c r="AX1361" i="2"/>
  <c r="AX1360" i="2"/>
  <c r="AX1359" i="2"/>
  <c r="AX1358" i="2"/>
  <c r="AX1357" i="2"/>
  <c r="AX1356" i="2"/>
  <c r="AX1355" i="2"/>
  <c r="AX1354" i="2"/>
  <c r="AX1353" i="2"/>
  <c r="AX1352" i="2"/>
  <c r="AX1351" i="2"/>
  <c r="AX1350" i="2"/>
  <c r="AX1349" i="2"/>
  <c r="AX1348" i="2"/>
  <c r="AX1347" i="2"/>
  <c r="AX1346" i="2"/>
  <c r="AX1345" i="2"/>
  <c r="AX1344" i="2"/>
  <c r="AX1343" i="2"/>
  <c r="AX1342" i="2"/>
  <c r="AX1341" i="2"/>
  <c r="AX1340" i="2"/>
  <c r="AX1339" i="2"/>
  <c r="AX1338" i="2"/>
  <c r="AX1337" i="2"/>
  <c r="AX1336" i="2"/>
  <c r="AX1335" i="2"/>
  <c r="AX1334" i="2"/>
  <c r="AX1333" i="2"/>
  <c r="AX1332" i="2"/>
  <c r="AX1331" i="2"/>
  <c r="AX1330" i="2"/>
  <c r="AX1329" i="2"/>
  <c r="AX1328" i="2"/>
  <c r="AX1327" i="2"/>
  <c r="AX1326" i="2"/>
  <c r="AX1325" i="2"/>
  <c r="AX1324" i="2"/>
  <c r="AX1323" i="2"/>
  <c r="AX1322" i="2"/>
  <c r="AX1321" i="2"/>
  <c r="AX1320" i="2"/>
  <c r="AX1319" i="2"/>
  <c r="AX1318" i="2"/>
  <c r="AX1317" i="2"/>
  <c r="AX1316" i="2"/>
  <c r="AX1315" i="2"/>
  <c r="AX1314" i="2"/>
  <c r="AX1313" i="2"/>
  <c r="AX1312" i="2"/>
  <c r="AX1311" i="2"/>
  <c r="AX1310" i="2"/>
  <c r="AX1309" i="2"/>
  <c r="AX1308" i="2"/>
  <c r="AX1307" i="2"/>
  <c r="AX1306" i="2"/>
  <c r="AX1305" i="2"/>
  <c r="AX1304" i="2"/>
  <c r="AX1303" i="2"/>
  <c r="AX1302" i="2"/>
  <c r="AX1301" i="2"/>
  <c r="AX1300" i="2"/>
  <c r="AX1299" i="2"/>
  <c r="AX1298" i="2"/>
  <c r="AX1297" i="2"/>
  <c r="AX1296" i="2"/>
  <c r="AX1295" i="2"/>
  <c r="AX1294" i="2"/>
  <c r="AX1293" i="2"/>
  <c r="AX1292" i="2"/>
  <c r="AX1291" i="2"/>
  <c r="AX1290" i="2"/>
  <c r="AX1289" i="2"/>
  <c r="AX1288" i="2"/>
  <c r="AX1287" i="2"/>
  <c r="AX1286" i="2"/>
  <c r="AX1285" i="2"/>
  <c r="AX1284" i="2"/>
  <c r="AX1283" i="2"/>
  <c r="AX1282" i="2"/>
  <c r="AX1281" i="2"/>
  <c r="AX1280" i="2"/>
  <c r="AX1279" i="2"/>
  <c r="AX1278" i="2"/>
  <c r="AX1277" i="2"/>
  <c r="AX1276" i="2"/>
  <c r="AX1275" i="2"/>
  <c r="AX1274" i="2"/>
  <c r="AX1273" i="2"/>
  <c r="AX1272" i="2"/>
  <c r="AX1271" i="2"/>
  <c r="AX1270" i="2"/>
  <c r="AX1269" i="2"/>
  <c r="AX1268" i="2"/>
  <c r="AX1267" i="2"/>
  <c r="AX1266" i="2"/>
  <c r="AX1265" i="2"/>
  <c r="AX1264" i="2"/>
  <c r="AX1263" i="2"/>
  <c r="AX1262" i="2"/>
  <c r="AX1261" i="2"/>
  <c r="AX1260" i="2"/>
  <c r="AX1259" i="2"/>
  <c r="AX1258" i="2"/>
  <c r="AX1257" i="2"/>
  <c r="AX1256" i="2"/>
  <c r="AX1255" i="2"/>
  <c r="AX1254" i="2"/>
  <c r="AX1253" i="2"/>
  <c r="AX1252" i="2"/>
  <c r="AX1251" i="2"/>
  <c r="AX1250" i="2"/>
  <c r="AX1249" i="2"/>
  <c r="AX1248" i="2"/>
  <c r="AX1247" i="2"/>
  <c r="AX1246" i="2"/>
  <c r="AX1245" i="2"/>
  <c r="AX1244" i="2"/>
  <c r="AX1243" i="2"/>
  <c r="AX1242" i="2"/>
  <c r="AX1241" i="2"/>
  <c r="AX1240" i="2"/>
  <c r="AX1239" i="2"/>
  <c r="AX1238" i="2"/>
  <c r="AX1237" i="2"/>
  <c r="AX1236" i="2"/>
  <c r="AX1235" i="2"/>
  <c r="AX1234" i="2"/>
  <c r="AX1233" i="2"/>
  <c r="AX1232" i="2"/>
  <c r="AX1231" i="2"/>
  <c r="AX1230" i="2"/>
  <c r="AX1229" i="2"/>
  <c r="AX1228" i="2"/>
  <c r="AX1227" i="2"/>
  <c r="AX1226" i="2"/>
  <c r="AX1225" i="2"/>
  <c r="AX1224" i="2"/>
  <c r="AX1223" i="2"/>
  <c r="AX1222" i="2"/>
  <c r="AX1221" i="2"/>
  <c r="AX1220" i="2"/>
  <c r="AX1219" i="2"/>
  <c r="AX1218" i="2"/>
  <c r="AX1217" i="2"/>
  <c r="AX1216" i="2"/>
  <c r="AX1215" i="2"/>
  <c r="AX1214" i="2"/>
  <c r="AX1213" i="2"/>
  <c r="AX1212" i="2"/>
  <c r="AX1211" i="2"/>
  <c r="AX1210" i="2"/>
  <c r="AX1209" i="2"/>
  <c r="AX1208" i="2"/>
  <c r="AX1207" i="2"/>
  <c r="AX1206" i="2"/>
  <c r="AX1205" i="2"/>
  <c r="AX1204" i="2"/>
  <c r="AX1203" i="2"/>
  <c r="AX1202" i="2"/>
  <c r="AX1201" i="2"/>
  <c r="AX1200" i="2"/>
  <c r="AX1199" i="2"/>
  <c r="AX1198" i="2"/>
  <c r="AX1197" i="2"/>
  <c r="AX1196" i="2"/>
  <c r="AX1195" i="2"/>
  <c r="AX1194" i="2"/>
  <c r="AX1193" i="2"/>
  <c r="AX1192" i="2"/>
  <c r="AX1191" i="2"/>
  <c r="AX1190" i="2"/>
  <c r="AX1189" i="2"/>
  <c r="AX1188" i="2"/>
  <c r="AX1187" i="2"/>
  <c r="AX1186" i="2"/>
  <c r="AX1185" i="2"/>
  <c r="AX1184" i="2"/>
  <c r="AX1183" i="2"/>
  <c r="AX1182" i="2"/>
  <c r="AX1181" i="2"/>
  <c r="AX1180" i="2"/>
  <c r="AX1179" i="2"/>
  <c r="AX1178" i="2"/>
  <c r="AX1177" i="2"/>
  <c r="AX1176" i="2"/>
  <c r="AX1175" i="2"/>
  <c r="AX1174" i="2"/>
  <c r="AX1173" i="2"/>
  <c r="AX1172" i="2"/>
  <c r="AX1171" i="2"/>
  <c r="AX1170" i="2"/>
  <c r="AX1169" i="2"/>
  <c r="AX1168" i="2"/>
  <c r="AX1167" i="2"/>
  <c r="AX1166" i="2"/>
  <c r="AX1165" i="2"/>
  <c r="AX1164" i="2"/>
  <c r="AX1163" i="2"/>
  <c r="AX1162" i="2"/>
  <c r="AX1161" i="2"/>
  <c r="AX1160" i="2"/>
  <c r="AX1159" i="2"/>
  <c r="AX1158" i="2"/>
  <c r="AX1157" i="2"/>
  <c r="AX1156" i="2"/>
  <c r="AX1155" i="2"/>
  <c r="AX1154" i="2"/>
  <c r="AX1153" i="2"/>
  <c r="AX1152" i="2"/>
  <c r="AX1151" i="2"/>
  <c r="AX1150" i="2"/>
  <c r="AX1149" i="2"/>
  <c r="AX1148" i="2"/>
  <c r="AX1147" i="2"/>
  <c r="AX1146" i="2"/>
  <c r="AX1145" i="2"/>
  <c r="AX1144" i="2"/>
  <c r="AX1143" i="2"/>
  <c r="AX1142" i="2"/>
  <c r="AX1141" i="2"/>
  <c r="AX1140" i="2"/>
  <c r="AX1139" i="2"/>
  <c r="AX1138" i="2"/>
  <c r="AX1137" i="2"/>
  <c r="AX1136" i="2"/>
  <c r="AX1135" i="2"/>
  <c r="AX1134" i="2"/>
  <c r="AX1133" i="2"/>
  <c r="AX1132" i="2"/>
  <c r="AX1131" i="2"/>
  <c r="AX1130" i="2"/>
  <c r="AX1129" i="2"/>
  <c r="AX1128" i="2"/>
  <c r="AX1127" i="2"/>
  <c r="AX1126" i="2"/>
  <c r="AX1125" i="2"/>
  <c r="AX1124" i="2"/>
  <c r="AX1123" i="2"/>
  <c r="AX1122" i="2"/>
  <c r="AX1121" i="2"/>
  <c r="AX1120" i="2"/>
  <c r="AX1119" i="2"/>
  <c r="AX1118" i="2"/>
  <c r="AX1117" i="2"/>
  <c r="AX1116" i="2"/>
  <c r="AX1115" i="2"/>
  <c r="AX1114" i="2"/>
  <c r="AX1113" i="2"/>
  <c r="AX1112" i="2"/>
  <c r="AX1111" i="2"/>
  <c r="AX1110" i="2"/>
  <c r="AX1109" i="2"/>
  <c r="AX1108" i="2"/>
  <c r="AX1107" i="2"/>
  <c r="AX1106" i="2"/>
  <c r="AX1105" i="2"/>
  <c r="AX1104" i="2"/>
  <c r="AX1103" i="2"/>
  <c r="AX1102" i="2"/>
  <c r="AX1101" i="2"/>
  <c r="AX1100" i="2"/>
  <c r="AX1099" i="2"/>
  <c r="AX1098" i="2"/>
  <c r="AX1097" i="2"/>
  <c r="AX1096" i="2"/>
  <c r="AX1095" i="2"/>
  <c r="AX1094" i="2"/>
  <c r="AX1093" i="2"/>
  <c r="AX1092" i="2"/>
  <c r="AX1091" i="2"/>
  <c r="AX1090" i="2"/>
  <c r="AX1089" i="2"/>
  <c r="AX1088" i="2"/>
  <c r="AX1087" i="2"/>
  <c r="AX1086" i="2"/>
  <c r="AX1085" i="2"/>
  <c r="AX1084" i="2"/>
  <c r="AX1083" i="2"/>
  <c r="AX1082" i="2"/>
  <c r="AX1081" i="2"/>
  <c r="AX1080" i="2"/>
  <c r="AX1079" i="2"/>
  <c r="AX1078" i="2"/>
  <c r="AX1077" i="2"/>
  <c r="AX1076" i="2"/>
  <c r="AX1075" i="2"/>
  <c r="AX1074" i="2"/>
  <c r="AX1073" i="2"/>
  <c r="AX1072" i="2"/>
  <c r="AX1071" i="2"/>
  <c r="AX1070" i="2"/>
  <c r="AX1069" i="2"/>
  <c r="AX1068" i="2"/>
  <c r="AX1067" i="2"/>
  <c r="AX1066" i="2"/>
  <c r="AX1065" i="2"/>
  <c r="AX1064" i="2"/>
  <c r="AX1063" i="2"/>
  <c r="AX1062" i="2"/>
  <c r="AX1061" i="2"/>
  <c r="AX1060" i="2"/>
  <c r="AX1059" i="2"/>
  <c r="AX1058" i="2"/>
  <c r="AX1057" i="2"/>
  <c r="AX1056" i="2"/>
  <c r="AX1055" i="2"/>
  <c r="AX1054" i="2"/>
  <c r="AX1053" i="2"/>
  <c r="AX1052" i="2"/>
  <c r="AX1051" i="2"/>
  <c r="AX1050" i="2"/>
  <c r="AX1049" i="2"/>
  <c r="AX1048" i="2"/>
  <c r="AX1047" i="2"/>
  <c r="AX1046" i="2"/>
  <c r="AX1045" i="2"/>
  <c r="AX1044" i="2"/>
  <c r="AX1043" i="2"/>
  <c r="AX1042" i="2"/>
  <c r="AX1041" i="2"/>
  <c r="AX1040" i="2"/>
  <c r="AX1039" i="2"/>
  <c r="AX1038" i="2"/>
  <c r="AX1037" i="2"/>
  <c r="AX1036" i="2"/>
  <c r="AX1035" i="2"/>
  <c r="AX1034" i="2"/>
  <c r="AX1033" i="2"/>
  <c r="AX1032" i="2"/>
  <c r="AX1031" i="2"/>
  <c r="AX1030" i="2"/>
  <c r="AX1029" i="2"/>
  <c r="AX1028" i="2"/>
  <c r="AX1027" i="2"/>
  <c r="AX1026" i="2"/>
  <c r="AX1025" i="2"/>
  <c r="AX1024" i="2"/>
  <c r="AX1023" i="2"/>
  <c r="AX1022" i="2"/>
  <c r="AX1021" i="2"/>
  <c r="AX1020" i="2"/>
  <c r="AX1019" i="2"/>
  <c r="AX1018" i="2"/>
  <c r="AX1017" i="2"/>
  <c r="AX1016" i="2"/>
  <c r="AX1015" i="2"/>
  <c r="AX1014" i="2"/>
  <c r="AX1013" i="2"/>
  <c r="AX1012" i="2"/>
  <c r="AX1011" i="2"/>
  <c r="AX1010" i="2"/>
  <c r="AX1009" i="2"/>
  <c r="AX1008" i="2"/>
  <c r="AX1007" i="2"/>
  <c r="AX1006" i="2"/>
  <c r="AX1005" i="2"/>
  <c r="AX1004" i="2"/>
  <c r="AX1003" i="2"/>
  <c r="AX1002" i="2"/>
  <c r="AX1001" i="2"/>
  <c r="AX1000" i="2"/>
  <c r="AX999" i="2"/>
  <c r="AX998" i="2"/>
  <c r="AX997" i="2"/>
  <c r="AX996" i="2"/>
  <c r="AX995" i="2"/>
  <c r="AX994" i="2"/>
  <c r="AX993" i="2"/>
  <c r="AX992" i="2"/>
  <c r="AX991" i="2"/>
  <c r="AX990" i="2"/>
  <c r="AX989" i="2"/>
  <c r="AX988" i="2"/>
  <c r="AX987" i="2"/>
  <c r="AX986" i="2"/>
  <c r="AX985" i="2"/>
  <c r="AX984" i="2"/>
  <c r="AX983" i="2"/>
  <c r="AX982" i="2"/>
  <c r="AX981" i="2"/>
  <c r="AX980" i="2"/>
  <c r="AX979" i="2"/>
  <c r="AX978" i="2"/>
  <c r="AX977" i="2"/>
  <c r="AX976" i="2"/>
  <c r="AX975" i="2"/>
  <c r="AX974" i="2"/>
  <c r="AX973" i="2"/>
  <c r="AX972" i="2"/>
  <c r="AX971" i="2"/>
  <c r="AX970" i="2"/>
  <c r="AX969" i="2"/>
  <c r="AX968" i="2"/>
  <c r="AX967" i="2"/>
  <c r="AX966" i="2"/>
  <c r="AX965" i="2"/>
  <c r="AX964" i="2"/>
  <c r="AX963" i="2"/>
  <c r="AX962" i="2"/>
  <c r="AX961" i="2"/>
  <c r="AX960" i="2"/>
  <c r="AX959" i="2"/>
  <c r="AX958" i="2"/>
  <c r="AX957" i="2"/>
  <c r="AX956" i="2"/>
  <c r="AX955" i="2"/>
  <c r="AX954" i="2"/>
  <c r="AX953" i="2"/>
  <c r="AX952" i="2"/>
  <c r="AX951" i="2"/>
  <c r="AX950" i="2"/>
  <c r="AX949" i="2"/>
  <c r="AX948" i="2"/>
  <c r="AX947" i="2"/>
  <c r="AX946" i="2"/>
  <c r="AX945" i="2"/>
  <c r="AX944" i="2"/>
  <c r="AX943" i="2"/>
  <c r="AX942" i="2"/>
  <c r="AX941" i="2"/>
  <c r="AX940" i="2"/>
  <c r="AX939" i="2"/>
  <c r="AX938" i="2"/>
  <c r="AX937" i="2"/>
  <c r="AX936" i="2"/>
  <c r="AX935" i="2"/>
  <c r="AX934" i="2"/>
  <c r="AX933" i="2"/>
  <c r="AX932" i="2"/>
  <c r="AX931" i="2"/>
  <c r="AX930" i="2"/>
  <c r="AX929" i="2"/>
  <c r="AX928" i="2"/>
  <c r="AX927" i="2"/>
  <c r="AX926" i="2"/>
  <c r="AX925" i="2"/>
  <c r="AX924" i="2"/>
  <c r="AX923" i="2"/>
  <c r="AX922" i="2"/>
  <c r="AX921" i="2"/>
  <c r="AX920" i="2"/>
  <c r="AX919" i="2"/>
  <c r="AX918" i="2"/>
  <c r="AX917" i="2"/>
  <c r="AX916" i="2"/>
  <c r="AX915" i="2"/>
  <c r="AX914" i="2"/>
  <c r="AX913" i="2"/>
  <c r="AX912" i="2"/>
  <c r="AX911" i="2"/>
  <c r="AX910" i="2"/>
  <c r="AX909" i="2"/>
  <c r="AX908" i="2"/>
  <c r="AX907" i="2"/>
  <c r="AX906" i="2"/>
  <c r="AX905" i="2"/>
  <c r="AX904" i="2"/>
  <c r="AX903" i="2"/>
  <c r="AX902" i="2"/>
  <c r="AX901" i="2"/>
  <c r="AX900" i="2"/>
  <c r="AX899" i="2"/>
  <c r="AX898" i="2"/>
  <c r="AX897" i="2"/>
  <c r="AX896" i="2"/>
  <c r="AX895" i="2"/>
  <c r="AX894" i="2"/>
  <c r="AX893" i="2"/>
  <c r="AX892" i="2"/>
  <c r="AX891" i="2"/>
  <c r="AX890" i="2"/>
  <c r="AX889" i="2"/>
  <c r="AX888" i="2"/>
  <c r="AX887" i="2"/>
  <c r="AX886" i="2"/>
  <c r="AX885" i="2"/>
  <c r="AX884" i="2"/>
  <c r="AX883" i="2"/>
  <c r="AX882" i="2"/>
  <c r="AX881" i="2"/>
  <c r="AX880" i="2"/>
  <c r="AX879" i="2"/>
  <c r="AX878" i="2"/>
  <c r="AX877" i="2"/>
  <c r="AX876" i="2"/>
  <c r="AX875" i="2"/>
  <c r="AX874" i="2"/>
  <c r="AX873" i="2"/>
  <c r="AX872" i="2"/>
  <c r="AX871" i="2"/>
  <c r="AX870" i="2"/>
  <c r="AX869" i="2"/>
  <c r="AX868" i="2"/>
  <c r="AX867" i="2"/>
  <c r="AX866" i="2"/>
  <c r="AX865" i="2"/>
  <c r="AX864" i="2"/>
  <c r="AX863" i="2"/>
  <c r="AX862" i="2"/>
  <c r="AX861" i="2"/>
  <c r="AX860" i="2"/>
  <c r="AX859" i="2"/>
  <c r="AX858" i="2"/>
  <c r="AX857" i="2"/>
  <c r="AX856" i="2"/>
  <c r="AX855" i="2"/>
  <c r="AX854" i="2"/>
  <c r="AX853" i="2"/>
  <c r="AX852" i="2"/>
  <c r="AX851" i="2"/>
  <c r="AX850" i="2"/>
  <c r="AX849" i="2"/>
  <c r="AX848" i="2"/>
  <c r="AX847" i="2"/>
  <c r="AX846" i="2"/>
  <c r="AX845" i="2"/>
  <c r="AX844" i="2"/>
  <c r="AX843" i="2"/>
  <c r="AX842" i="2"/>
  <c r="AX841" i="2"/>
  <c r="AX840" i="2"/>
  <c r="AX839" i="2"/>
  <c r="AX838" i="2"/>
  <c r="AX837" i="2"/>
  <c r="AX836" i="2"/>
  <c r="AX835" i="2"/>
  <c r="AX834" i="2"/>
  <c r="AX833" i="2"/>
  <c r="AX832" i="2"/>
  <c r="AX831" i="2"/>
  <c r="AX830" i="2"/>
  <c r="AX829" i="2"/>
  <c r="AX828" i="2"/>
  <c r="AX827" i="2"/>
  <c r="AX826" i="2"/>
  <c r="AX825" i="2"/>
  <c r="AX824" i="2"/>
  <c r="AX823" i="2"/>
  <c r="AX822" i="2"/>
  <c r="AX821" i="2"/>
  <c r="AX820" i="2"/>
  <c r="AX819" i="2"/>
  <c r="AX818" i="2"/>
  <c r="AX817" i="2"/>
  <c r="AX816" i="2"/>
  <c r="AX815" i="2"/>
  <c r="AX814" i="2"/>
  <c r="AX813" i="2"/>
  <c r="AX812" i="2"/>
  <c r="AX811" i="2"/>
  <c r="AX810" i="2"/>
  <c r="AX809" i="2"/>
  <c r="AX808" i="2"/>
  <c r="AX807" i="2"/>
  <c r="AX806" i="2"/>
  <c r="AX805" i="2"/>
  <c r="AX804" i="2"/>
  <c r="AX803" i="2"/>
  <c r="AX802" i="2"/>
  <c r="AX801" i="2"/>
  <c r="AX800" i="2"/>
  <c r="AX799" i="2"/>
  <c r="AX789" i="2"/>
  <c r="AX871" i="4"/>
  <c r="AX861" i="4"/>
  <c r="AX855" i="4"/>
  <c r="AX853" i="4"/>
  <c r="AX846" i="4"/>
  <c r="AX831" i="4"/>
  <c r="AX825" i="4"/>
  <c r="AX821" i="4"/>
  <c r="AX815" i="4"/>
  <c r="AX810" i="4"/>
  <c r="AX803" i="4"/>
  <c r="AX802" i="4"/>
  <c r="AX797" i="4"/>
  <c r="AX2246" i="3"/>
  <c r="AX2236" i="3"/>
  <c r="AX2226" i="3"/>
  <c r="AX2224" i="3"/>
  <c r="AX2215" i="3"/>
  <c r="AX2203" i="3"/>
  <c r="AX2193" i="3"/>
  <c r="AX2182" i="3"/>
  <c r="AX791" i="2"/>
  <c r="AX790" i="2"/>
  <c r="D14" i="1"/>
  <c r="B6" i="1"/>
  <c r="AX2473" i="4"/>
  <c r="AX2467" i="4"/>
  <c r="AX2461" i="4"/>
  <c r="AX2454" i="4"/>
  <c r="AX2446" i="4"/>
  <c r="AX2439" i="4"/>
  <c r="AX2432" i="4"/>
  <c r="AX2425" i="4"/>
  <c r="AX2418" i="4"/>
  <c r="AX2412" i="4"/>
  <c r="AX2411" i="4"/>
  <c r="AX2405" i="4"/>
  <c r="AX2399" i="4"/>
  <c r="AX2392" i="4"/>
  <c r="AX2385" i="4"/>
  <c r="AX2379" i="4"/>
  <c r="AX2371" i="4"/>
  <c r="AX2364" i="4"/>
  <c r="AX902" i="4"/>
  <c r="AX896" i="4"/>
  <c r="AX888" i="4"/>
  <c r="AX881" i="4"/>
  <c r="AX875" i="4"/>
  <c r="AX866" i="4"/>
  <c r="AX852" i="4"/>
  <c r="AX839" i="4"/>
  <c r="AX824" i="4"/>
  <c r="AX816" i="4"/>
  <c r="AX808" i="4"/>
  <c r="AX807" i="4"/>
  <c r="AX799" i="4"/>
  <c r="AX2266" i="3"/>
  <c r="AX2264" i="3"/>
  <c r="AX2231" i="3"/>
  <c r="AX2220" i="3"/>
  <c r="AX2452" i="4"/>
  <c r="AX2445" i="4"/>
  <c r="AX2438" i="4"/>
  <c r="AX2431" i="4"/>
  <c r="AX2424" i="4"/>
  <c r="AX2417" i="4"/>
  <c r="AX2410" i="4"/>
  <c r="AX2402" i="4"/>
  <c r="AX2395" i="4"/>
  <c r="AX2388" i="4"/>
  <c r="AX2381" i="4"/>
  <c r="AX2374" i="4"/>
  <c r="AX2365" i="4"/>
  <c r="AX907" i="4"/>
  <c r="AX895" i="4"/>
  <c r="AX894" i="4"/>
  <c r="AX893" i="4"/>
  <c r="AX882" i="4"/>
  <c r="AX876" i="4"/>
  <c r="AX865" i="4"/>
  <c r="AX859" i="4"/>
  <c r="AX854" i="4"/>
  <c r="AX845" i="4"/>
  <c r="AX837" i="4"/>
  <c r="AX830" i="4"/>
  <c r="AX829" i="4"/>
  <c r="AX820" i="4"/>
  <c r="AX795" i="4"/>
  <c r="AX2259" i="3"/>
  <c r="AX2258" i="3"/>
  <c r="AX2247" i="3"/>
  <c r="AX2237" i="3"/>
  <c r="AX2225" i="3"/>
  <c r="AX2213" i="3"/>
  <c r="AX2189" i="3"/>
  <c r="AX2177" i="3"/>
  <c r="AX794" i="2"/>
  <c r="AX2444" i="4"/>
  <c r="AX2437" i="4"/>
  <c r="AX2430" i="4"/>
  <c r="AX2423" i="4"/>
  <c r="AX2416" i="4"/>
  <c r="AX2415" i="4"/>
  <c r="AX2408" i="4"/>
  <c r="AX2401" i="4"/>
  <c r="AX2393" i="4"/>
  <c r="AX2386" i="4"/>
  <c r="AX2378" i="4"/>
  <c r="AX2370" i="4"/>
  <c r="AX2363" i="4"/>
  <c r="AX900" i="4"/>
  <c r="AX885" i="4"/>
  <c r="AX884" i="4"/>
  <c r="AX874" i="4"/>
  <c r="AX851" i="4"/>
  <c r="AX844" i="4"/>
  <c r="AX838" i="4"/>
  <c r="AX836" i="4"/>
  <c r="AX828" i="4"/>
  <c r="AX826" i="4"/>
  <c r="AX822" i="4"/>
  <c r="AX806" i="4"/>
  <c r="AX2262" i="3"/>
  <c r="AX2243" i="3"/>
  <c r="AX2232" i="3"/>
  <c r="AX2222" i="3"/>
  <c r="AX2212" i="3"/>
  <c r="AX2202" i="3"/>
  <c r="AX2201" i="3"/>
  <c r="AX2200" i="3"/>
  <c r="AX2199" i="3"/>
  <c r="AX2191" i="3"/>
  <c r="AX2180" i="3"/>
  <c r="AX2179" i="3"/>
  <c r="AX796" i="2"/>
  <c r="AX795" i="2"/>
  <c r="AX2441" i="4"/>
  <c r="AX2435" i="4"/>
  <c r="AX2433" i="4"/>
  <c r="AX2426" i="4"/>
  <c r="AX2414" i="4"/>
  <c r="AX2407" i="4"/>
  <c r="AX2400" i="4"/>
  <c r="AX2394" i="4"/>
  <c r="AX2387" i="4"/>
  <c r="AX2380" i="4"/>
  <c r="AX2373" i="4"/>
  <c r="AX2367" i="4"/>
  <c r="AX2360" i="4"/>
  <c r="AX899" i="4"/>
  <c r="AX889" i="4"/>
  <c r="AX887" i="4"/>
  <c r="AX886" i="4"/>
  <c r="AX877" i="4"/>
  <c r="AX869" i="4"/>
  <c r="AX868" i="4"/>
  <c r="AX867" i="4"/>
  <c r="AX860" i="4"/>
  <c r="AX841" i="4"/>
  <c r="AX811" i="4"/>
  <c r="AX2254" i="3"/>
  <c r="AX2239" i="3"/>
  <c r="AX2228" i="3"/>
  <c r="AX2216" i="3"/>
  <c r="AX2205" i="3"/>
  <c r="AX2194" i="3"/>
  <c r="AX2183" i="3"/>
  <c r="AX2471" i="4"/>
  <c r="AX2464" i="4"/>
  <c r="AX2457" i="4"/>
  <c r="AX2450" i="4"/>
  <c r="AX2443" i="4"/>
  <c r="AX2436" i="4"/>
  <c r="AX2429" i="4"/>
  <c r="AX2404" i="4"/>
  <c r="AX2397" i="4"/>
  <c r="AX2390" i="4"/>
  <c r="AX2389" i="4"/>
  <c r="AX2382" i="4"/>
  <c r="AX2375" i="4"/>
  <c r="AX2368" i="4"/>
  <c r="AX2361" i="4"/>
  <c r="AX898" i="4"/>
  <c r="AX892" i="4"/>
  <c r="AX880" i="4"/>
  <c r="AX873" i="4"/>
  <c r="AX858" i="4"/>
  <c r="AX849" i="4"/>
  <c r="AX848" i="4"/>
  <c r="AX842" i="4"/>
  <c r="AX834" i="4"/>
  <c r="AX827" i="4"/>
  <c r="AX819" i="4"/>
  <c r="AX817" i="4"/>
  <c r="AX814" i="4"/>
  <c r="AX812" i="4"/>
  <c r="AX805" i="4"/>
  <c r="AX804" i="4"/>
  <c r="AX796" i="4"/>
  <c r="AX2263" i="3"/>
  <c r="AX2229" i="3"/>
  <c r="AX2227" i="3"/>
  <c r="AX2219" i="3"/>
  <c r="AX2208" i="3"/>
  <c r="AX2198" i="3"/>
  <c r="AX2197" i="3"/>
  <c r="AX2187" i="3"/>
  <c r="P12" i="4"/>
  <c r="P13" i="4"/>
  <c r="BD13" i="4"/>
  <c r="BE13" i="4"/>
  <c r="BF13" i="4"/>
  <c r="BG13" i="4"/>
  <c r="BH13" i="4"/>
  <c r="BI13" i="4"/>
  <c r="BL13" i="4"/>
  <c r="BM13" i="4"/>
  <c r="BN13" i="4"/>
  <c r="BO13" i="4"/>
  <c r="BP13" i="4"/>
  <c r="BQ13" i="4"/>
  <c r="P14" i="4"/>
  <c r="BD14" i="4"/>
  <c r="BE14" i="4"/>
  <c r="BF14" i="4"/>
  <c r="BG14" i="4"/>
  <c r="BH14" i="4"/>
  <c r="BI14" i="4"/>
  <c r="BL14" i="4"/>
  <c r="BM14" i="4"/>
  <c r="BN14" i="4"/>
  <c r="BO14" i="4"/>
  <c r="BP14" i="4"/>
  <c r="BQ14" i="4"/>
  <c r="P15" i="4"/>
  <c r="BD15" i="4"/>
  <c r="BE15" i="4"/>
  <c r="BF15" i="4"/>
  <c r="BG15" i="4"/>
  <c r="BH15" i="4"/>
  <c r="BI15" i="4"/>
  <c r="BL15" i="4"/>
  <c r="BM15" i="4"/>
  <c r="BN15" i="4"/>
  <c r="BO15" i="4"/>
  <c r="BP15" i="4"/>
  <c r="BQ15" i="4"/>
  <c r="P16" i="4"/>
  <c r="BD16" i="4"/>
  <c r="BE16" i="4"/>
  <c r="BF16" i="4"/>
  <c r="BG16" i="4"/>
  <c r="BH16" i="4"/>
  <c r="BI16" i="4"/>
  <c r="BL16" i="4"/>
  <c r="BM16" i="4"/>
  <c r="BN16" i="4"/>
  <c r="BO16" i="4"/>
  <c r="BP16" i="4"/>
  <c r="BQ16" i="4"/>
  <c r="P17" i="4"/>
  <c r="BD17" i="4"/>
  <c r="BE17" i="4"/>
  <c r="BF17" i="4"/>
  <c r="BG17" i="4"/>
  <c r="BH17" i="4"/>
  <c r="BI17" i="4"/>
  <c r="BL17" i="4"/>
  <c r="BM17" i="4"/>
  <c r="BN17" i="4"/>
  <c r="BO17" i="4"/>
  <c r="BP17" i="4"/>
  <c r="BQ17" i="4"/>
  <c r="P18" i="4"/>
  <c r="BD18" i="4"/>
  <c r="BE18" i="4"/>
  <c r="BF18" i="4"/>
  <c r="BG18" i="4"/>
  <c r="BH18" i="4"/>
  <c r="BI18" i="4"/>
  <c r="BL18" i="4"/>
  <c r="BM18" i="4"/>
  <c r="BN18" i="4"/>
  <c r="BO18" i="4"/>
  <c r="BP18" i="4"/>
  <c r="BQ18" i="4"/>
  <c r="P19" i="4"/>
  <c r="BD19" i="4"/>
  <c r="BE19" i="4"/>
  <c r="BF19" i="4"/>
  <c r="BG19" i="4"/>
  <c r="BH19" i="4"/>
  <c r="BI19" i="4"/>
  <c r="BL19" i="4"/>
  <c r="BM19" i="4"/>
  <c r="BN19" i="4"/>
  <c r="BO19" i="4"/>
  <c r="BP19" i="4"/>
  <c r="BQ19" i="4"/>
  <c r="P20" i="4"/>
  <c r="BD20" i="4"/>
  <c r="BE20" i="4"/>
  <c r="BF20" i="4"/>
  <c r="BG20" i="4"/>
  <c r="BH20" i="4"/>
  <c r="BI20" i="4"/>
  <c r="BL20" i="4"/>
  <c r="BM20" i="4"/>
  <c r="BN20" i="4"/>
  <c r="BO20" i="4"/>
  <c r="BP20" i="4"/>
  <c r="BQ20" i="4"/>
  <c r="P21" i="4"/>
  <c r="BD21" i="4"/>
  <c r="BE21" i="4"/>
  <c r="BF21" i="4"/>
  <c r="BG21" i="4"/>
  <c r="BH21" i="4"/>
  <c r="BI21" i="4"/>
  <c r="BL21" i="4"/>
  <c r="BM21" i="4"/>
  <c r="BN21" i="4"/>
  <c r="BO21" i="4"/>
  <c r="BP21" i="4"/>
  <c r="BQ21" i="4"/>
  <c r="P22" i="4"/>
  <c r="BD22" i="4"/>
  <c r="BE22" i="4"/>
  <c r="BF22" i="4"/>
  <c r="BG22" i="4"/>
  <c r="BH22" i="4"/>
  <c r="BI22" i="4"/>
  <c r="BL22" i="4"/>
  <c r="BM22" i="4"/>
  <c r="BN22" i="4"/>
  <c r="BO22" i="4"/>
  <c r="BP22" i="4"/>
  <c r="BQ22" i="4"/>
  <c r="P23" i="4"/>
  <c r="BD23" i="4"/>
  <c r="BE23" i="4"/>
  <c r="BF23" i="4"/>
  <c r="BG23" i="4"/>
  <c r="BH23" i="4"/>
  <c r="BI23" i="4"/>
  <c r="BL23" i="4"/>
  <c r="BM23" i="4"/>
  <c r="BN23" i="4"/>
  <c r="BO23" i="4"/>
  <c r="BP23" i="4"/>
  <c r="BQ23" i="4"/>
  <c r="P24" i="4"/>
  <c r="BD24" i="4"/>
  <c r="BE24" i="4"/>
  <c r="BF24" i="4"/>
  <c r="BG24" i="4"/>
  <c r="BH24" i="4"/>
  <c r="BI24" i="4"/>
  <c r="BL24" i="4"/>
  <c r="BM24" i="4"/>
  <c r="BN24" i="4"/>
  <c r="BO24" i="4"/>
  <c r="BP24" i="4"/>
  <c r="BQ24" i="4"/>
  <c r="P25" i="4"/>
  <c r="BD25" i="4"/>
  <c r="BE25" i="4"/>
  <c r="BF25" i="4"/>
  <c r="BG25" i="4"/>
  <c r="BH25" i="4"/>
  <c r="BI25" i="4"/>
  <c r="BL25" i="4"/>
  <c r="BM25" i="4"/>
  <c r="BN25" i="4"/>
  <c r="BO25" i="4"/>
  <c r="BP25" i="4"/>
  <c r="BQ25" i="4"/>
  <c r="P26" i="4"/>
  <c r="BD26" i="4"/>
  <c r="BE26" i="4"/>
  <c r="BF26" i="4"/>
  <c r="BG26" i="4"/>
  <c r="BH26" i="4"/>
  <c r="BI26" i="4"/>
  <c r="BL26" i="4"/>
  <c r="BM26" i="4"/>
  <c r="BN26" i="4"/>
  <c r="BO26" i="4"/>
  <c r="BP26" i="4"/>
  <c r="BQ26" i="4"/>
  <c r="P27" i="4"/>
  <c r="BD27" i="4"/>
  <c r="BE27" i="4"/>
  <c r="BF27" i="4"/>
  <c r="BG27" i="4"/>
  <c r="BH27" i="4"/>
  <c r="BI27" i="4"/>
  <c r="BL27" i="4"/>
  <c r="BM27" i="4"/>
  <c r="BN27" i="4"/>
  <c r="BO27" i="4"/>
  <c r="BP27" i="4"/>
  <c r="BQ27" i="4"/>
  <c r="P28" i="4"/>
  <c r="BD28" i="4"/>
  <c r="BE28" i="4"/>
  <c r="BF28" i="4"/>
  <c r="BG28" i="4"/>
  <c r="BH28" i="4"/>
  <c r="BI28" i="4"/>
  <c r="BL28" i="4"/>
  <c r="BM28" i="4"/>
  <c r="BN28" i="4"/>
  <c r="BO28" i="4"/>
  <c r="BP28" i="4"/>
  <c r="BQ28" i="4"/>
  <c r="P29" i="4"/>
  <c r="BD29" i="4"/>
  <c r="BE29" i="4"/>
  <c r="BF29" i="4"/>
  <c r="BG29" i="4"/>
  <c r="BH29" i="4"/>
  <c r="BI29" i="4"/>
  <c r="BL29" i="4"/>
  <c r="BM29" i="4"/>
  <c r="BN29" i="4"/>
  <c r="BO29" i="4"/>
  <c r="BP29" i="4"/>
  <c r="BQ29" i="4"/>
  <c r="P30" i="4"/>
  <c r="BD30" i="4"/>
  <c r="BE30" i="4"/>
  <c r="BF30" i="4"/>
  <c r="BG30" i="4"/>
  <c r="BH30" i="4"/>
  <c r="BI30" i="4"/>
  <c r="BL30" i="4"/>
  <c r="BM30" i="4"/>
  <c r="BN30" i="4"/>
  <c r="BO30" i="4"/>
  <c r="BP30" i="4"/>
  <c r="BQ30" i="4"/>
  <c r="P31" i="4"/>
  <c r="BD31" i="4"/>
  <c r="BE31" i="4"/>
  <c r="BF31" i="4"/>
  <c r="BG31" i="4"/>
  <c r="BH31" i="4"/>
  <c r="BI31" i="4"/>
  <c r="BL31" i="4"/>
  <c r="BM31" i="4"/>
  <c r="BN31" i="4"/>
  <c r="BO31" i="4"/>
  <c r="BP31" i="4"/>
  <c r="BQ31" i="4"/>
  <c r="P32" i="4"/>
  <c r="BD32" i="4"/>
  <c r="BE32" i="4"/>
  <c r="BF32" i="4"/>
  <c r="BG32" i="4"/>
  <c r="BH32" i="4"/>
  <c r="BI32" i="4"/>
  <c r="BL32" i="4"/>
  <c r="BM32" i="4"/>
  <c r="BN32" i="4"/>
  <c r="BO32" i="4"/>
  <c r="BP32" i="4"/>
  <c r="BQ32" i="4"/>
  <c r="P33" i="4"/>
  <c r="BD33" i="4"/>
  <c r="BE33" i="4"/>
  <c r="BF33" i="4"/>
  <c r="BG33" i="4"/>
  <c r="BH33" i="4"/>
  <c r="BI33" i="4"/>
  <c r="BL33" i="4"/>
  <c r="BM33" i="4"/>
  <c r="BN33" i="4"/>
  <c r="BO33" i="4"/>
  <c r="BP33" i="4"/>
  <c r="BQ33" i="4"/>
  <c r="P34" i="4"/>
  <c r="BD34" i="4"/>
  <c r="BE34" i="4"/>
  <c r="BF34" i="4"/>
  <c r="BG34" i="4"/>
  <c r="BH34" i="4"/>
  <c r="BI34" i="4"/>
  <c r="BL34" i="4"/>
  <c r="BM34" i="4"/>
  <c r="BN34" i="4"/>
  <c r="BO34" i="4"/>
  <c r="BP34" i="4"/>
  <c r="BQ34" i="4"/>
  <c r="P35" i="4"/>
  <c r="BD35" i="4"/>
  <c r="BE35" i="4"/>
  <c r="BF35" i="4"/>
  <c r="BG35" i="4"/>
  <c r="BH35" i="4"/>
  <c r="BI35" i="4"/>
  <c r="BL35" i="4"/>
  <c r="BM35" i="4"/>
  <c r="BN35" i="4"/>
  <c r="BO35" i="4"/>
  <c r="BP35" i="4"/>
  <c r="BQ35" i="4"/>
  <c r="P36" i="4"/>
  <c r="BD36" i="4"/>
  <c r="BE36" i="4"/>
  <c r="BF36" i="4"/>
  <c r="BG36" i="4"/>
  <c r="BH36" i="4"/>
  <c r="BI36" i="4"/>
  <c r="BL36" i="4"/>
  <c r="BM36" i="4"/>
  <c r="BN36" i="4"/>
  <c r="BO36" i="4"/>
  <c r="BP36" i="4"/>
  <c r="BQ36" i="4"/>
  <c r="P37" i="4"/>
  <c r="BD37" i="4"/>
  <c r="BE37" i="4"/>
  <c r="BF37" i="4"/>
  <c r="BG37" i="4"/>
  <c r="BH37" i="4"/>
  <c r="BI37" i="4"/>
  <c r="BL37" i="4"/>
  <c r="BM37" i="4"/>
  <c r="BN37" i="4"/>
  <c r="BO37" i="4"/>
  <c r="BP37" i="4"/>
  <c r="BQ37" i="4"/>
  <c r="P38" i="4"/>
  <c r="BD38" i="4"/>
  <c r="BE38" i="4"/>
  <c r="BF38" i="4"/>
  <c r="BG38" i="4"/>
  <c r="BH38" i="4"/>
  <c r="BI38" i="4"/>
  <c r="BL38" i="4"/>
  <c r="BM38" i="4"/>
  <c r="BN38" i="4"/>
  <c r="BO38" i="4"/>
  <c r="BP38" i="4"/>
  <c r="BQ38" i="4"/>
  <c r="P39" i="4"/>
  <c r="BD39" i="4"/>
  <c r="BE39" i="4"/>
  <c r="BF39" i="4"/>
  <c r="BG39" i="4"/>
  <c r="BH39" i="4"/>
  <c r="BI39" i="4"/>
  <c r="BL39" i="4"/>
  <c r="BM39" i="4"/>
  <c r="BN39" i="4"/>
  <c r="BO39" i="4"/>
  <c r="BP39" i="4"/>
  <c r="BQ39" i="4"/>
  <c r="P40" i="4"/>
  <c r="BD40" i="4"/>
  <c r="BE40" i="4"/>
  <c r="BF40" i="4"/>
  <c r="BG40" i="4"/>
  <c r="BH40" i="4"/>
  <c r="BI40" i="4"/>
  <c r="BL40" i="4"/>
  <c r="BM40" i="4"/>
  <c r="BN40" i="4"/>
  <c r="BO40" i="4"/>
  <c r="BP40" i="4"/>
  <c r="BQ40" i="4"/>
  <c r="P41" i="4"/>
  <c r="BD41" i="4"/>
  <c r="BE41" i="4"/>
  <c r="BF41" i="4"/>
  <c r="BG41" i="4"/>
  <c r="BH41" i="4"/>
  <c r="BI41" i="4"/>
  <c r="BL41" i="4"/>
  <c r="BM41" i="4"/>
  <c r="BN41" i="4"/>
  <c r="BO41" i="4"/>
  <c r="BP41" i="4"/>
  <c r="BQ41" i="4"/>
  <c r="P42" i="4"/>
  <c r="BD42" i="4"/>
  <c r="BE42" i="4"/>
  <c r="BF42" i="4"/>
  <c r="BG42" i="4"/>
  <c r="BH42" i="4"/>
  <c r="BI42" i="4"/>
  <c r="BL42" i="4"/>
  <c r="BM42" i="4"/>
  <c r="BN42" i="4"/>
  <c r="BO42" i="4"/>
  <c r="BP42" i="4"/>
  <c r="BQ42" i="4"/>
  <c r="P43" i="4"/>
  <c r="BD43" i="4"/>
  <c r="BE43" i="4"/>
  <c r="BF43" i="4"/>
  <c r="BG43" i="4"/>
  <c r="BH43" i="4"/>
  <c r="BI43" i="4"/>
  <c r="BL43" i="4"/>
  <c r="BM43" i="4"/>
  <c r="BN43" i="4"/>
  <c r="BO43" i="4"/>
  <c r="BP43" i="4"/>
  <c r="BQ43" i="4"/>
  <c r="P44" i="4"/>
  <c r="BD44" i="4"/>
  <c r="BE44" i="4"/>
  <c r="BF44" i="4"/>
  <c r="BG44" i="4"/>
  <c r="BH44" i="4"/>
  <c r="BI44" i="4"/>
  <c r="BL44" i="4"/>
  <c r="BM44" i="4"/>
  <c r="BN44" i="4"/>
  <c r="BO44" i="4"/>
  <c r="BP44" i="4"/>
  <c r="BQ44" i="4"/>
  <c r="P45" i="4"/>
  <c r="BD45" i="4"/>
  <c r="BE45" i="4"/>
  <c r="BF45" i="4"/>
  <c r="BG45" i="4"/>
  <c r="BH45" i="4"/>
  <c r="BI45" i="4"/>
  <c r="BL45" i="4"/>
  <c r="BM45" i="4"/>
  <c r="BN45" i="4"/>
  <c r="BO45" i="4"/>
  <c r="BP45" i="4"/>
  <c r="BQ45" i="4"/>
  <c r="P46" i="4"/>
  <c r="BD46" i="4"/>
  <c r="BE46" i="4"/>
  <c r="BF46" i="4"/>
  <c r="BG46" i="4"/>
  <c r="BH46" i="4"/>
  <c r="BI46" i="4"/>
  <c r="BL46" i="4"/>
  <c r="BM46" i="4"/>
  <c r="BN46" i="4"/>
  <c r="BO46" i="4"/>
  <c r="BP46" i="4"/>
  <c r="BQ46" i="4"/>
  <c r="P47" i="4"/>
  <c r="BD47" i="4"/>
  <c r="BE47" i="4"/>
  <c r="BF47" i="4"/>
  <c r="BG47" i="4"/>
  <c r="BH47" i="4"/>
  <c r="BI47" i="4"/>
  <c r="BL47" i="4"/>
  <c r="BM47" i="4"/>
  <c r="BN47" i="4"/>
  <c r="BO47" i="4"/>
  <c r="BP47" i="4"/>
  <c r="BQ47" i="4"/>
  <c r="P48" i="4"/>
  <c r="BD48" i="4"/>
  <c r="BE48" i="4"/>
  <c r="BF48" i="4"/>
  <c r="BG48" i="4"/>
  <c r="BH48" i="4"/>
  <c r="BI48" i="4"/>
  <c r="BL48" i="4"/>
  <c r="BM48" i="4"/>
  <c r="BN48" i="4"/>
  <c r="BO48" i="4"/>
  <c r="BP48" i="4"/>
  <c r="BQ48" i="4"/>
  <c r="P49" i="4"/>
  <c r="BD49" i="4"/>
  <c r="BE49" i="4"/>
  <c r="BF49" i="4"/>
  <c r="BG49" i="4"/>
  <c r="BH49" i="4"/>
  <c r="BI49" i="4"/>
  <c r="BL49" i="4"/>
  <c r="BM49" i="4"/>
  <c r="BN49" i="4"/>
  <c r="BO49" i="4"/>
  <c r="BP49" i="4"/>
  <c r="BQ49" i="4"/>
  <c r="P50" i="4"/>
  <c r="BD50" i="4"/>
  <c r="BE50" i="4"/>
  <c r="BF50" i="4"/>
  <c r="BG50" i="4"/>
  <c r="BH50" i="4"/>
  <c r="BI50" i="4"/>
  <c r="BL50" i="4"/>
  <c r="BM50" i="4"/>
  <c r="BN50" i="4"/>
  <c r="BO50" i="4"/>
  <c r="BP50" i="4"/>
  <c r="BQ50" i="4"/>
  <c r="P51" i="4"/>
  <c r="BD51" i="4"/>
  <c r="BE51" i="4"/>
  <c r="BF51" i="4"/>
  <c r="BG51" i="4"/>
  <c r="BH51" i="4"/>
  <c r="BI51" i="4"/>
  <c r="BL51" i="4"/>
  <c r="BM51" i="4"/>
  <c r="BN51" i="4"/>
  <c r="BO51" i="4"/>
  <c r="BP51" i="4"/>
  <c r="BQ51" i="4"/>
  <c r="P52" i="4"/>
  <c r="BD52" i="4"/>
  <c r="BE52" i="4"/>
  <c r="BF52" i="4"/>
  <c r="BG52" i="4"/>
  <c r="BH52" i="4"/>
  <c r="BI52" i="4"/>
  <c r="BL52" i="4"/>
  <c r="BM52" i="4"/>
  <c r="BN52" i="4"/>
  <c r="BO52" i="4"/>
  <c r="BP52" i="4"/>
  <c r="BQ52" i="4"/>
  <c r="P53" i="4"/>
  <c r="BD53" i="4"/>
  <c r="BE53" i="4"/>
  <c r="BF53" i="4"/>
  <c r="BG53" i="4"/>
  <c r="BH53" i="4"/>
  <c r="BI53" i="4"/>
  <c r="BL53" i="4"/>
  <c r="BM53" i="4"/>
  <c r="BN53" i="4"/>
  <c r="BO53" i="4"/>
  <c r="BP53" i="4"/>
  <c r="BQ53" i="4"/>
  <c r="P54" i="4"/>
  <c r="BD54" i="4"/>
  <c r="BE54" i="4"/>
  <c r="BF54" i="4"/>
  <c r="BG54" i="4"/>
  <c r="BH54" i="4"/>
  <c r="BI54" i="4"/>
  <c r="BL54" i="4"/>
  <c r="BM54" i="4"/>
  <c r="BN54" i="4"/>
  <c r="BO54" i="4"/>
  <c r="BP54" i="4"/>
  <c r="BQ54" i="4"/>
  <c r="P55" i="4"/>
  <c r="BD55" i="4"/>
  <c r="BE55" i="4"/>
  <c r="BF55" i="4"/>
  <c r="BG55" i="4"/>
  <c r="BH55" i="4"/>
  <c r="BI55" i="4"/>
  <c r="BL55" i="4"/>
  <c r="BM55" i="4"/>
  <c r="BN55" i="4"/>
  <c r="BO55" i="4"/>
  <c r="BP55" i="4"/>
  <c r="BQ55" i="4"/>
  <c r="P56" i="4"/>
  <c r="BD56" i="4"/>
  <c r="BE56" i="4"/>
  <c r="BF56" i="4"/>
  <c r="BG56" i="4"/>
  <c r="BH56" i="4"/>
  <c r="BI56" i="4"/>
  <c r="BL56" i="4"/>
  <c r="BM56" i="4"/>
  <c r="BN56" i="4"/>
  <c r="BO56" i="4"/>
  <c r="BP56" i="4"/>
  <c r="BQ56" i="4"/>
  <c r="P57" i="4"/>
  <c r="BD57" i="4"/>
  <c r="BE57" i="4"/>
  <c r="BF57" i="4"/>
  <c r="BG57" i="4"/>
  <c r="BH57" i="4"/>
  <c r="BI57" i="4"/>
  <c r="BL57" i="4"/>
  <c r="BM57" i="4"/>
  <c r="BN57" i="4"/>
  <c r="BO57" i="4"/>
  <c r="BP57" i="4"/>
  <c r="BQ57" i="4"/>
  <c r="P58" i="4"/>
  <c r="BD58" i="4"/>
  <c r="BE58" i="4"/>
  <c r="BF58" i="4"/>
  <c r="BG58" i="4"/>
  <c r="BH58" i="4"/>
  <c r="BI58" i="4"/>
  <c r="BL58" i="4"/>
  <c r="BM58" i="4"/>
  <c r="BN58" i="4"/>
  <c r="BO58" i="4"/>
  <c r="BP58" i="4"/>
  <c r="BQ58" i="4"/>
  <c r="P59" i="4"/>
  <c r="BD59" i="4"/>
  <c r="BE59" i="4"/>
  <c r="BF59" i="4"/>
  <c r="BG59" i="4"/>
  <c r="BH59" i="4"/>
  <c r="BI59" i="4"/>
  <c r="BL59" i="4"/>
  <c r="BM59" i="4"/>
  <c r="BN59" i="4"/>
  <c r="BO59" i="4"/>
  <c r="BP59" i="4"/>
  <c r="BQ59" i="4"/>
  <c r="P60" i="4"/>
  <c r="BD60" i="4"/>
  <c r="BE60" i="4"/>
  <c r="BF60" i="4"/>
  <c r="BG60" i="4"/>
  <c r="BH60" i="4"/>
  <c r="BI60" i="4"/>
  <c r="BL60" i="4"/>
  <c r="BM60" i="4"/>
  <c r="BN60" i="4"/>
  <c r="BO60" i="4"/>
  <c r="BP60" i="4"/>
  <c r="BQ60" i="4"/>
  <c r="P61" i="4"/>
  <c r="BD61" i="4"/>
  <c r="BE61" i="4"/>
  <c r="BF61" i="4"/>
  <c r="BG61" i="4"/>
  <c r="BH61" i="4"/>
  <c r="BI61" i="4"/>
  <c r="BL61" i="4"/>
  <c r="BM61" i="4"/>
  <c r="BN61" i="4"/>
  <c r="BO61" i="4"/>
  <c r="BP61" i="4"/>
  <c r="BQ61" i="4"/>
  <c r="P62" i="4"/>
  <c r="BD62" i="4"/>
  <c r="BE62" i="4"/>
  <c r="BF62" i="4"/>
  <c r="BG62" i="4"/>
  <c r="BH62" i="4"/>
  <c r="BI62" i="4"/>
  <c r="BL62" i="4"/>
  <c r="BM62" i="4"/>
  <c r="BN62" i="4"/>
  <c r="BO62" i="4"/>
  <c r="BP62" i="4"/>
  <c r="BQ62" i="4"/>
  <c r="P63" i="4"/>
  <c r="BD63" i="4"/>
  <c r="BE63" i="4"/>
  <c r="BF63" i="4"/>
  <c r="BG63" i="4"/>
  <c r="BH63" i="4"/>
  <c r="BI63" i="4"/>
  <c r="BL63" i="4"/>
  <c r="BM63" i="4"/>
  <c r="BN63" i="4"/>
  <c r="BO63" i="4"/>
  <c r="BP63" i="4"/>
  <c r="BQ63" i="4"/>
  <c r="P64" i="4"/>
  <c r="BD64" i="4"/>
  <c r="BE64" i="4"/>
  <c r="BF64" i="4"/>
  <c r="BG64" i="4"/>
  <c r="BH64" i="4"/>
  <c r="BI64" i="4"/>
  <c r="BL64" i="4"/>
  <c r="BM64" i="4"/>
  <c r="BN64" i="4"/>
  <c r="BO64" i="4"/>
  <c r="BP64" i="4"/>
  <c r="BQ64" i="4"/>
  <c r="P65" i="4"/>
  <c r="BD65" i="4"/>
  <c r="BE65" i="4"/>
  <c r="BF65" i="4"/>
  <c r="BG65" i="4"/>
  <c r="BH65" i="4"/>
  <c r="BI65" i="4"/>
  <c r="BL65" i="4"/>
  <c r="BM65" i="4"/>
  <c r="BN65" i="4"/>
  <c r="BO65" i="4"/>
  <c r="BP65" i="4"/>
  <c r="BQ65" i="4"/>
  <c r="P66" i="4"/>
  <c r="BD66" i="4"/>
  <c r="BE66" i="4"/>
  <c r="BF66" i="4"/>
  <c r="BG66" i="4"/>
  <c r="BH66" i="4"/>
  <c r="BI66" i="4"/>
  <c r="BL66" i="4"/>
  <c r="BM66" i="4"/>
  <c r="BN66" i="4"/>
  <c r="BO66" i="4"/>
  <c r="BP66" i="4"/>
  <c r="BQ66" i="4"/>
  <c r="P67" i="4"/>
  <c r="BD67" i="4"/>
  <c r="BE67" i="4"/>
  <c r="BF67" i="4"/>
  <c r="BG67" i="4"/>
  <c r="BH67" i="4"/>
  <c r="BI67" i="4"/>
  <c r="BL67" i="4"/>
  <c r="BM67" i="4"/>
  <c r="BN67" i="4"/>
  <c r="BO67" i="4"/>
  <c r="BP67" i="4"/>
  <c r="BQ67" i="4"/>
  <c r="P68" i="4"/>
  <c r="BD68" i="4"/>
  <c r="BE68" i="4"/>
  <c r="BF68" i="4"/>
  <c r="BG68" i="4"/>
  <c r="BH68" i="4"/>
  <c r="BI68" i="4"/>
  <c r="BL68" i="4"/>
  <c r="BM68" i="4"/>
  <c r="BN68" i="4"/>
  <c r="BO68" i="4"/>
  <c r="BP68" i="4"/>
  <c r="BQ68" i="4"/>
  <c r="P69" i="4"/>
  <c r="BD69" i="4"/>
  <c r="BE69" i="4"/>
  <c r="BF69" i="4"/>
  <c r="BG69" i="4"/>
  <c r="BH69" i="4"/>
  <c r="BI69" i="4"/>
  <c r="BL69" i="4"/>
  <c r="BM69" i="4"/>
  <c r="BN69" i="4"/>
  <c r="BO69" i="4"/>
  <c r="BP69" i="4"/>
  <c r="BQ69" i="4"/>
  <c r="P70" i="4"/>
  <c r="BD70" i="4"/>
  <c r="BE70" i="4"/>
  <c r="BF70" i="4"/>
  <c r="BG70" i="4"/>
  <c r="BH70" i="4"/>
  <c r="BI70" i="4"/>
  <c r="BL70" i="4"/>
  <c r="BM70" i="4"/>
  <c r="BN70" i="4"/>
  <c r="BO70" i="4"/>
  <c r="BP70" i="4"/>
  <c r="BQ70" i="4"/>
  <c r="P71" i="4"/>
  <c r="BD71" i="4"/>
  <c r="BE71" i="4"/>
  <c r="BF71" i="4"/>
  <c r="BG71" i="4"/>
  <c r="BH71" i="4"/>
  <c r="BI71" i="4"/>
  <c r="BL71" i="4"/>
  <c r="BM71" i="4"/>
  <c r="BN71" i="4"/>
  <c r="BO71" i="4"/>
  <c r="BP71" i="4"/>
  <c r="BQ71" i="4"/>
  <c r="P72" i="4"/>
  <c r="BD72" i="4"/>
  <c r="BE72" i="4"/>
  <c r="BF72" i="4"/>
  <c r="BG72" i="4"/>
  <c r="BH72" i="4"/>
  <c r="BI72" i="4"/>
  <c r="BL72" i="4"/>
  <c r="BM72" i="4"/>
  <c r="BN72" i="4"/>
  <c r="BO72" i="4"/>
  <c r="BP72" i="4"/>
  <c r="BQ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801" i="4"/>
  <c r="AE802" i="4"/>
  <c r="AE804" i="4"/>
  <c r="AE812" i="4"/>
  <c r="AE813" i="4"/>
  <c r="AE824" i="4"/>
  <c r="AE831" i="4"/>
  <c r="AE832" i="4"/>
  <c r="AE833" i="4"/>
  <c r="AE844" i="4"/>
  <c r="AE863" i="4"/>
  <c r="AE866" i="4"/>
  <c r="AE867" i="4"/>
  <c r="AE884" i="4"/>
  <c r="AE890" i="4"/>
  <c r="AE896" i="4"/>
  <c r="AE907" i="4"/>
  <c r="AE914" i="4"/>
  <c r="AE932" i="4"/>
  <c r="AE939" i="4"/>
  <c r="AE985" i="4"/>
  <c r="AE986" i="4"/>
  <c r="AE992" i="4"/>
  <c r="AE993" i="4"/>
  <c r="AE1004" i="4"/>
  <c r="AE1005" i="4"/>
  <c r="AE1006" i="4"/>
  <c r="AE1009" i="4"/>
  <c r="AE822" i="4"/>
  <c r="AE836" i="4"/>
  <c r="AE837" i="4"/>
  <c r="AE838" i="4"/>
  <c r="AE839" i="4"/>
  <c r="AE840" i="4"/>
  <c r="AE841" i="4"/>
  <c r="AE848" i="4"/>
  <c r="AE849" i="4"/>
  <c r="AE851" i="4"/>
  <c r="AE864" i="4"/>
  <c r="AE879" i="4"/>
  <c r="AE880" i="4"/>
  <c r="AE882" i="4"/>
  <c r="AE906" i="4"/>
  <c r="AE908" i="4"/>
  <c r="AE917" i="4"/>
  <c r="AE918" i="4"/>
  <c r="AE919" i="4"/>
  <c r="AE920" i="4"/>
  <c r="AE947" i="4"/>
  <c r="AE952" i="4"/>
  <c r="AE953" i="4"/>
  <c r="AE960" i="4"/>
  <c r="AE994" i="4"/>
  <c r="AE995" i="4"/>
  <c r="AE798" i="4"/>
  <c r="AE805" i="4"/>
  <c r="AE806" i="4"/>
  <c r="AE814" i="4"/>
  <c r="AE815" i="4"/>
  <c r="AE816" i="4"/>
  <c r="AE817" i="4"/>
  <c r="AE818" i="4"/>
  <c r="AE820" i="4"/>
  <c r="AE821" i="4"/>
  <c r="AE835" i="4"/>
  <c r="AE856" i="4"/>
  <c r="AE857" i="4"/>
  <c r="AE858" i="4"/>
  <c r="AE865" i="4"/>
  <c r="AE881" i="4"/>
  <c r="AE889" i="4"/>
  <c r="AE891" i="4"/>
  <c r="AE892" i="4"/>
  <c r="AE925" i="4"/>
  <c r="AE926" i="4"/>
  <c r="AE927" i="4"/>
  <c r="AE941" i="4"/>
  <c r="AE959" i="4"/>
  <c r="AE966" i="4"/>
  <c r="AE967" i="4"/>
  <c r="AE981" i="4"/>
  <c r="AE982" i="4"/>
  <c r="AE997" i="4"/>
  <c r="AE1010" i="4"/>
  <c r="AE810" i="4"/>
  <c r="AE811" i="4"/>
  <c r="AE842" i="4"/>
  <c r="AE843" i="4"/>
  <c r="AE850" i="4"/>
  <c r="AE852" i="4"/>
  <c r="AE868" i="4"/>
  <c r="AE869" i="4"/>
  <c r="AE870" i="4"/>
  <c r="AE886" i="4"/>
  <c r="AE887" i="4"/>
  <c r="AE888" i="4"/>
  <c r="AE897" i="4"/>
  <c r="AE898" i="4"/>
  <c r="AE901" i="4"/>
  <c r="AE902" i="4"/>
  <c r="AE903" i="4"/>
  <c r="AE910" i="4"/>
  <c r="AE930" i="4"/>
  <c r="AE937" i="4"/>
  <c r="AE940" i="4"/>
  <c r="AE942" i="4"/>
  <c r="AE945" i="4"/>
  <c r="AE946" i="4"/>
  <c r="AE948" i="4"/>
  <c r="AE949" i="4"/>
  <c r="AE955" i="4"/>
  <c r="AE957" i="4"/>
  <c r="AE958" i="4"/>
  <c r="AE965" i="4"/>
  <c r="AE971" i="4"/>
  <c r="AE987" i="4"/>
  <c r="AE988" i="4"/>
  <c r="AE799" i="4"/>
  <c r="AE800" i="4"/>
  <c r="AE827" i="4"/>
  <c r="AE828" i="4"/>
  <c r="AE829" i="4"/>
  <c r="AE861" i="4"/>
  <c r="AE877" i="4"/>
  <c r="AE878" i="4"/>
  <c r="AE893" i="4"/>
  <c r="AE909" i="4"/>
  <c r="AE928" i="4"/>
  <c r="AE929" i="4"/>
  <c r="AE943" i="4"/>
  <c r="AE944" i="4"/>
  <c r="AE972" i="4"/>
  <c r="AE973" i="4"/>
  <c r="AE974" i="4"/>
  <c r="AE998" i="4"/>
  <c r="AE999" i="4"/>
  <c r="AE1000" i="4"/>
  <c r="AE796" i="4"/>
  <c r="AE797" i="4"/>
  <c r="AE823" i="4"/>
  <c r="AE830" i="4"/>
  <c r="AE846" i="4"/>
  <c r="AE847" i="4"/>
  <c r="AE855" i="4"/>
  <c r="AE859" i="4"/>
  <c r="AE873" i="4"/>
  <c r="AE874" i="4"/>
  <c r="AE875" i="4"/>
  <c r="AE876" i="4"/>
  <c r="AE883" i="4"/>
  <c r="AE885" i="4"/>
  <c r="AE894" i="4"/>
  <c r="AE895" i="4"/>
  <c r="AE899" i="4"/>
  <c r="AE900" i="4"/>
  <c r="AE921" i="4"/>
  <c r="AE935" i="4"/>
  <c r="AE954" i="4"/>
  <c r="AE961" i="4"/>
  <c r="AE962" i="4"/>
  <c r="AE963" i="4"/>
  <c r="AE970" i="4"/>
  <c r="AE977" i="4"/>
  <c r="AE978" i="4"/>
  <c r="AE979" i="4"/>
  <c r="AE1001" i="4"/>
  <c r="AE1002" i="4"/>
  <c r="AE807" i="4"/>
  <c r="AE808" i="4"/>
  <c r="AE809" i="4"/>
  <c r="AE819" i="4"/>
  <c r="AE825" i="4"/>
  <c r="AE826" i="4"/>
  <c r="AE834" i="4"/>
  <c r="AE845" i="4"/>
  <c r="AE853" i="4"/>
  <c r="AE860" i="4"/>
  <c r="AE911" i="4"/>
  <c r="AE912" i="4"/>
  <c r="AE915" i="4"/>
  <c r="AE916" i="4"/>
  <c r="AE922" i="4"/>
  <c r="AE923" i="4"/>
  <c r="AE931" i="4"/>
  <c r="AE933" i="4"/>
  <c r="AE934" i="4"/>
  <c r="AE936" i="4"/>
  <c r="AE956" i="4"/>
  <c r="AE968" i="4"/>
  <c r="AE969" i="4"/>
  <c r="AE976" i="4"/>
  <c r="AE983" i="4"/>
  <c r="AE984" i="4"/>
  <c r="AE991" i="4"/>
  <c r="AE1007" i="4"/>
  <c r="AE803" i="4"/>
  <c r="AE854" i="4"/>
  <c r="AE862" i="4"/>
  <c r="AE871" i="4"/>
  <c r="AE872" i="4"/>
  <c r="AE904" i="4"/>
  <c r="AE905" i="4"/>
  <c r="AE913" i="4"/>
  <c r="AE924" i="4"/>
  <c r="AE938" i="4"/>
  <c r="AE950" i="4"/>
  <c r="AE951" i="4"/>
  <c r="AE964" i="4"/>
  <c r="AE975" i="4"/>
  <c r="AE980" i="4"/>
  <c r="AE989" i="4"/>
  <c r="AE990" i="4"/>
  <c r="AE996" i="4"/>
  <c r="AE1003" i="4"/>
  <c r="AE1008" i="4"/>
  <c r="AE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801" i="4"/>
  <c r="X803" i="4"/>
  <c r="X811" i="4"/>
  <c r="X812" i="4"/>
  <c r="X819" i="4"/>
  <c r="X844" i="4"/>
  <c r="X857" i="4"/>
  <c r="X864" i="4"/>
  <c r="X865" i="4"/>
  <c r="X873" i="4"/>
  <c r="X992" i="4"/>
  <c r="X993" i="4"/>
  <c r="X1004" i="4"/>
  <c r="X1005" i="4"/>
  <c r="X1007" i="4"/>
  <c r="X822" i="4"/>
  <c r="X829" i="4"/>
  <c r="X837" i="4"/>
  <c r="X838" i="4"/>
  <c r="X839" i="4"/>
  <c r="X840" i="4"/>
  <c r="X852" i="4"/>
  <c r="X858" i="4"/>
  <c r="X881" i="4"/>
  <c r="X882" i="4"/>
  <c r="X883" i="4"/>
  <c r="X891" i="4"/>
  <c r="X892" i="4"/>
  <c r="X893" i="4"/>
  <c r="X906" i="4"/>
  <c r="X916" i="4"/>
  <c r="X917" i="4"/>
  <c r="X919" i="4"/>
  <c r="X933" i="4"/>
  <c r="X952" i="4"/>
  <c r="X960" i="4"/>
  <c r="X973" i="4"/>
  <c r="X979" i="4"/>
  <c r="X980" i="4"/>
  <c r="X994" i="4"/>
  <c r="X995" i="4"/>
  <c r="X996" i="4"/>
  <c r="X998" i="4"/>
  <c r="X999" i="4"/>
  <c r="X814" i="4"/>
  <c r="X816" i="4"/>
  <c r="X828" i="4"/>
  <c r="X835" i="4"/>
  <c r="X836" i="4"/>
  <c r="X849" i="4"/>
  <c r="X874" i="4"/>
  <c r="X889" i="4"/>
  <c r="X918" i="4"/>
  <c r="X927" i="4"/>
  <c r="X928" i="4"/>
  <c r="X948" i="4"/>
  <c r="X953" i="4"/>
  <c r="X966" i="4"/>
  <c r="X967" i="4"/>
  <c r="X1002" i="4"/>
  <c r="X802" i="4"/>
  <c r="X820" i="4"/>
  <c r="X821" i="4"/>
  <c r="X827" i="4"/>
  <c r="X834" i="4"/>
  <c r="X850" i="4"/>
  <c r="X851" i="4"/>
  <c r="X854" i="4"/>
  <c r="X868" i="4"/>
  <c r="X877" i="4"/>
  <c r="X878" i="4"/>
  <c r="X888" i="4"/>
  <c r="X890" i="4"/>
  <c r="X897" i="4"/>
  <c r="X898" i="4"/>
  <c r="X899" i="4"/>
  <c r="X900" i="4"/>
  <c r="X902" i="4"/>
  <c r="X923" i="4"/>
  <c r="X929" i="4"/>
  <c r="X938" i="4"/>
  <c r="X939" i="4"/>
  <c r="X940" i="4"/>
  <c r="X941" i="4"/>
  <c r="X946" i="4"/>
  <c r="X947" i="4"/>
  <c r="X949" i="4"/>
  <c r="X956" i="4"/>
  <c r="X958" i="4"/>
  <c r="X959" i="4"/>
  <c r="X965" i="4"/>
  <c r="X971" i="4"/>
  <c r="X972" i="4"/>
  <c r="X984" i="4"/>
  <c r="X985" i="4"/>
  <c r="X987" i="4"/>
  <c r="X1008" i="4"/>
  <c r="X1010" i="4"/>
  <c r="X798" i="4"/>
  <c r="X799" i="4"/>
  <c r="X800" i="4"/>
  <c r="X808" i="4"/>
  <c r="X815" i="4"/>
  <c r="X823" i="4"/>
  <c r="X824" i="4"/>
  <c r="X826" i="4"/>
  <c r="X845" i="4"/>
  <c r="X860" i="4"/>
  <c r="X861" i="4"/>
  <c r="X862" i="4"/>
  <c r="X875" i="4"/>
  <c r="X879" i="4"/>
  <c r="X901" i="4"/>
  <c r="X909" i="4"/>
  <c r="X910" i="4"/>
  <c r="X911" i="4"/>
  <c r="X920" i="4"/>
  <c r="X922" i="4"/>
  <c r="X936" i="4"/>
  <c r="X943" i="4"/>
  <c r="X944" i="4"/>
  <c r="X945" i="4"/>
  <c r="X974" i="4"/>
  <c r="X975" i="4"/>
  <c r="X976" i="4"/>
  <c r="X982" i="4"/>
  <c r="X983" i="4"/>
  <c r="X796" i="4"/>
  <c r="X804" i="4"/>
  <c r="X813" i="4"/>
  <c r="X830" i="4"/>
  <c r="X831" i="4"/>
  <c r="X848" i="4"/>
  <c r="X859" i="4"/>
  <c r="X866" i="4"/>
  <c r="X884" i="4"/>
  <c r="X885" i="4"/>
  <c r="X886" i="4"/>
  <c r="X887" i="4"/>
  <c r="X894" i="4"/>
  <c r="X896" i="4"/>
  <c r="X908" i="4"/>
  <c r="X921" i="4"/>
  <c r="X934" i="4"/>
  <c r="X935" i="4"/>
  <c r="X942" i="4"/>
  <c r="X954" i="4"/>
  <c r="X955" i="4"/>
  <c r="X961" i="4"/>
  <c r="X963" i="4"/>
  <c r="X964" i="4"/>
  <c r="X977" i="4"/>
  <c r="X978" i="4"/>
  <c r="X986" i="4"/>
  <c r="X1000" i="4"/>
  <c r="X806" i="4"/>
  <c r="X807" i="4"/>
  <c r="X809" i="4"/>
  <c r="X810" i="4"/>
  <c r="X817" i="4"/>
  <c r="X818" i="4"/>
  <c r="X825" i="4"/>
  <c r="X841" i="4"/>
  <c r="X842" i="4"/>
  <c r="X843" i="4"/>
  <c r="X846" i="4"/>
  <c r="X853" i="4"/>
  <c r="X867" i="4"/>
  <c r="X869" i="4"/>
  <c r="X876" i="4"/>
  <c r="X895" i="4"/>
  <c r="X903" i="4"/>
  <c r="X904" i="4"/>
  <c r="X912" i="4"/>
  <c r="X913" i="4"/>
  <c r="X914" i="4"/>
  <c r="X915" i="4"/>
  <c r="X930" i="4"/>
  <c r="X931" i="4"/>
  <c r="X932" i="4"/>
  <c r="X937" i="4"/>
  <c r="X962" i="4"/>
  <c r="X968" i="4"/>
  <c r="X970" i="4"/>
  <c r="X1001" i="4"/>
  <c r="X1009" i="4"/>
  <c r="X797" i="4"/>
  <c r="X805" i="4"/>
  <c r="X832" i="4"/>
  <c r="X833" i="4"/>
  <c r="X847" i="4"/>
  <c r="X855" i="4"/>
  <c r="X856" i="4"/>
  <c r="X863" i="4"/>
  <c r="X870" i="4"/>
  <c r="X871" i="4"/>
  <c r="X872" i="4"/>
  <c r="X880" i="4"/>
  <c r="X905" i="4"/>
  <c r="X907" i="4"/>
  <c r="X924" i="4"/>
  <c r="X925" i="4"/>
  <c r="X926" i="4"/>
  <c r="X950" i="4"/>
  <c r="X951" i="4"/>
  <c r="X957" i="4"/>
  <c r="X969" i="4"/>
  <c r="X981" i="4"/>
  <c r="X988" i="4"/>
  <c r="X989" i="4"/>
  <c r="X990" i="4"/>
  <c r="X991" i="4"/>
  <c r="X997" i="4"/>
  <c r="X1003" i="4"/>
  <c r="X1006" i="4"/>
  <c r="X11" i="4"/>
  <c r="AW11" i="4"/>
  <c r="AW12" i="4" s="1"/>
  <c r="AW13" i="4" s="1"/>
  <c r="AW14" i="4" s="1"/>
  <c r="AW15" i="4" s="1"/>
  <c r="AW16" i="4" s="1"/>
  <c r="AW17" i="4" s="1"/>
  <c r="AW18" i="4" s="1"/>
  <c r="AW19" i="4" s="1"/>
  <c r="AW20" i="4" s="1"/>
  <c r="AW21" i="4" s="1"/>
  <c r="AW22" i="4" s="1"/>
  <c r="AW23" i="4" s="1"/>
  <c r="AW24" i="4" s="1"/>
  <c r="AW25" i="4" s="1"/>
  <c r="AW26" i="4" s="1"/>
  <c r="AW27" i="4" s="1"/>
  <c r="AW28" i="4" s="1"/>
  <c r="AW29" i="4" s="1"/>
  <c r="AW30" i="4" s="1"/>
  <c r="AW31" i="4" s="1"/>
  <c r="AW32" i="4" s="1"/>
  <c r="AW33" i="4" s="1"/>
  <c r="AW34" i="4" s="1"/>
  <c r="AW35" i="4" s="1"/>
  <c r="AW36" i="4" s="1"/>
  <c r="AW37" i="4" s="1"/>
  <c r="AW38" i="4" s="1"/>
  <c r="AW39" i="4" s="1"/>
  <c r="AW40" i="4" s="1"/>
  <c r="AW41" i="4" s="1"/>
  <c r="AW42" i="4" s="1"/>
  <c r="AW43" i="4" s="1"/>
  <c r="AW44" i="4" s="1"/>
  <c r="AW45" i="4" s="1"/>
  <c r="AW46" i="4" s="1"/>
  <c r="AW47" i="4" s="1"/>
  <c r="AW48" i="4" s="1"/>
  <c r="AW49" i="4" s="1"/>
  <c r="AW50" i="4" s="1"/>
  <c r="AW51" i="4" s="1"/>
  <c r="AW52" i="4" s="1"/>
  <c r="AW53" i="4" s="1"/>
  <c r="AW54" i="4" s="1"/>
  <c r="AW55" i="4" s="1"/>
  <c r="AW56" i="4" s="1"/>
  <c r="AW57" i="4" s="1"/>
  <c r="AW58" i="4" s="1"/>
  <c r="AW59" i="4" s="1"/>
  <c r="AW60" i="4" s="1"/>
  <c r="AW61" i="4" s="1"/>
  <c r="AW62" i="4" s="1"/>
  <c r="AW63" i="4" s="1"/>
  <c r="AW64" i="4" s="1"/>
  <c r="AW65" i="4" s="1"/>
  <c r="AW66" i="4" s="1"/>
  <c r="AW67" i="4" s="1"/>
  <c r="AW68" i="4" s="1"/>
  <c r="AW69" i="4" s="1"/>
  <c r="AW70" i="4" s="1"/>
  <c r="AW71" i="4" s="1"/>
  <c r="AW72" i="4" s="1"/>
  <c r="AW73" i="4" s="1"/>
  <c r="AW74" i="4" s="1"/>
  <c r="AW75" i="4" s="1"/>
  <c r="AW76" i="4" s="1"/>
  <c r="AW77" i="4" s="1"/>
  <c r="AW78" i="4" s="1"/>
  <c r="AW79" i="4" s="1"/>
  <c r="AW80" i="4" s="1"/>
  <c r="AW81" i="4" s="1"/>
  <c r="AW82" i="4" s="1"/>
  <c r="AW83" i="4" s="1"/>
  <c r="AW84" i="4" s="1"/>
  <c r="AW85" i="4" s="1"/>
  <c r="AW86" i="4" s="1"/>
  <c r="AW87" i="4" s="1"/>
  <c r="AW88" i="4" s="1"/>
  <c r="AW89" i="4" s="1"/>
  <c r="AW90" i="4" s="1"/>
  <c r="AW91" i="4" s="1"/>
  <c r="AW92" i="4" s="1"/>
  <c r="AW93" i="4" s="1"/>
  <c r="AW94" i="4" s="1"/>
  <c r="AW95" i="4" s="1"/>
  <c r="AW96" i="4" s="1"/>
  <c r="AW97" i="4" s="1"/>
  <c r="AW98" i="4" s="1"/>
  <c r="AW99" i="4" s="1"/>
  <c r="AW100" i="4" s="1"/>
  <c r="AW101" i="4" s="1"/>
  <c r="AW102" i="4" s="1"/>
  <c r="AW103" i="4" s="1"/>
  <c r="AW104" i="4" s="1"/>
  <c r="AW105" i="4" s="1"/>
  <c r="AW106" i="4" s="1"/>
  <c r="AW107" i="4" s="1"/>
  <c r="AW108" i="4" s="1"/>
  <c r="AW109" i="4" s="1"/>
  <c r="AW110" i="4" s="1"/>
  <c r="AW111" i="4" s="1"/>
  <c r="AW112" i="4" s="1"/>
  <c r="AW113" i="4" s="1"/>
  <c r="AW114" i="4" s="1"/>
  <c r="AW115" i="4" s="1"/>
  <c r="AW116" i="4" s="1"/>
  <c r="AW117" i="4" s="1"/>
  <c r="AW118" i="4" s="1"/>
  <c r="AW119" i="4" s="1"/>
  <c r="AW120" i="4" s="1"/>
  <c r="AW121" i="4" s="1"/>
  <c r="AW122" i="4" s="1"/>
  <c r="AW123" i="4" s="1"/>
  <c r="AW124" i="4" s="1"/>
  <c r="AW125" i="4" s="1"/>
  <c r="AW126" i="4" s="1"/>
  <c r="AW127" i="4" s="1"/>
  <c r="AW128" i="4" s="1"/>
  <c r="AW129" i="4" s="1"/>
  <c r="AW130" i="4" s="1"/>
  <c r="AW131" i="4" s="1"/>
  <c r="AW132" i="4" s="1"/>
  <c r="AW133" i="4" s="1"/>
  <c r="AW134" i="4" s="1"/>
  <c r="AW135" i="4" s="1"/>
  <c r="AW136" i="4" s="1"/>
  <c r="AW137" i="4" s="1"/>
  <c r="AW138" i="4" s="1"/>
  <c r="AW139" i="4" s="1"/>
  <c r="AW140" i="4" s="1"/>
  <c r="AW141" i="4" s="1"/>
  <c r="AW142" i="4" s="1"/>
  <c r="AW143" i="4" s="1"/>
  <c r="AW144" i="4" s="1"/>
  <c r="AW145" i="4" s="1"/>
  <c r="AW146" i="4" s="1"/>
  <c r="AW147" i="4" s="1"/>
  <c r="AW148" i="4" s="1"/>
  <c r="AW149" i="4" s="1"/>
  <c r="AW150" i="4" s="1"/>
  <c r="AW151" i="4" s="1"/>
  <c r="AW152" i="4" s="1"/>
  <c r="AW153" i="4" s="1"/>
  <c r="AW154" i="4" s="1"/>
  <c r="AW155" i="4" s="1"/>
  <c r="AW156" i="4" s="1"/>
  <c r="AW157" i="4" s="1"/>
  <c r="AW158" i="4" s="1"/>
  <c r="AW159" i="4" s="1"/>
  <c r="AW160" i="4" s="1"/>
  <c r="AW161" i="4" s="1"/>
  <c r="AW162" i="4" s="1"/>
  <c r="AW163" i="4" s="1"/>
  <c r="AW164" i="4" s="1"/>
  <c r="AW165" i="4" s="1"/>
  <c r="AW166" i="4" s="1"/>
  <c r="AW167" i="4" s="1"/>
  <c r="AW168" i="4" s="1"/>
  <c r="AW169" i="4" s="1"/>
  <c r="AW170" i="4" s="1"/>
  <c r="AW171" i="4" s="1"/>
  <c r="AW172" i="4" s="1"/>
  <c r="AW173" i="4" s="1"/>
  <c r="AW174" i="4" s="1"/>
  <c r="AW175" i="4" s="1"/>
  <c r="AW176" i="4" s="1"/>
  <c r="AW177" i="4" s="1"/>
  <c r="AW178" i="4" s="1"/>
  <c r="AW179" i="4" s="1"/>
  <c r="AW180" i="4" s="1"/>
  <c r="AW181" i="4" s="1"/>
  <c r="AW182" i="4" s="1"/>
  <c r="AW183" i="4" s="1"/>
  <c r="AW184" i="4" s="1"/>
  <c r="AW185" i="4" s="1"/>
  <c r="AW186" i="4" s="1"/>
  <c r="AW187" i="4" s="1"/>
  <c r="AW188" i="4" s="1"/>
  <c r="AW189" i="4" s="1"/>
  <c r="AW190" i="4" s="1"/>
  <c r="AW191" i="4" s="1"/>
  <c r="AW192" i="4" s="1"/>
  <c r="AW193" i="4" s="1"/>
  <c r="AW194" i="4" s="1"/>
  <c r="AW195" i="4" s="1"/>
  <c r="AW196" i="4" s="1"/>
  <c r="AW197" i="4" s="1"/>
  <c r="AW198" i="4" s="1"/>
  <c r="AW199" i="4" s="1"/>
  <c r="AW200" i="4" s="1"/>
  <c r="AW201" i="4" s="1"/>
  <c r="AW202" i="4" s="1"/>
  <c r="AW203" i="4" s="1"/>
  <c r="AW204" i="4" s="1"/>
  <c r="AW205" i="4" s="1"/>
  <c r="AW206" i="4" s="1"/>
  <c r="AW207" i="4" s="1"/>
  <c r="AW208" i="4" s="1"/>
  <c r="AW209" i="4" s="1"/>
  <c r="AW210" i="4" s="1"/>
  <c r="AW211" i="4" s="1"/>
  <c r="AW212" i="4" s="1"/>
  <c r="AW213" i="4" s="1"/>
  <c r="AW214" i="4" s="1"/>
  <c r="AW215" i="4" s="1"/>
  <c r="AW216" i="4" s="1"/>
  <c r="AW217" i="4" s="1"/>
  <c r="AW218" i="4" s="1"/>
  <c r="AW219" i="4" s="1"/>
  <c r="AW220" i="4" s="1"/>
  <c r="AW221" i="4" s="1"/>
  <c r="AW222" i="4" s="1"/>
  <c r="AW223" i="4" s="1"/>
  <c r="AW224" i="4" s="1"/>
  <c r="AW225" i="4" s="1"/>
  <c r="AW226" i="4" s="1"/>
  <c r="AW227" i="4" s="1"/>
  <c r="AW228" i="4" s="1"/>
  <c r="AW229" i="4" s="1"/>
  <c r="AW230" i="4" s="1"/>
  <c r="AW231" i="4" s="1"/>
  <c r="AW232" i="4" s="1"/>
  <c r="AW233" i="4" s="1"/>
  <c r="AW234" i="4" s="1"/>
  <c r="AW235" i="4" s="1"/>
  <c r="AW236" i="4" s="1"/>
  <c r="AW237" i="4" s="1"/>
  <c r="AW238" i="4" s="1"/>
  <c r="AW239" i="4" s="1"/>
  <c r="AW240" i="4" s="1"/>
  <c r="AW241" i="4" s="1"/>
  <c r="AW242" i="4" s="1"/>
  <c r="AW243" i="4" s="1"/>
  <c r="AW244" i="4" s="1"/>
  <c r="AW245" i="4" s="1"/>
  <c r="AW246" i="4" s="1"/>
  <c r="AW247" i="4" s="1"/>
  <c r="AW248" i="4" s="1"/>
  <c r="AW249" i="4" s="1"/>
  <c r="AW250" i="4" s="1"/>
  <c r="AW251" i="4" s="1"/>
  <c r="AW252" i="4" s="1"/>
  <c r="AW253" i="4" s="1"/>
  <c r="AW254" i="4" s="1"/>
  <c r="AW255" i="4" s="1"/>
  <c r="AW256" i="4" s="1"/>
  <c r="AW257" i="4" s="1"/>
  <c r="AW258" i="4" s="1"/>
  <c r="AW259" i="4" s="1"/>
  <c r="AW260" i="4" s="1"/>
  <c r="AW261" i="4" s="1"/>
  <c r="AW262" i="4" s="1"/>
  <c r="AW263" i="4" s="1"/>
  <c r="AW264" i="4" s="1"/>
  <c r="AW265" i="4" s="1"/>
  <c r="AW266" i="4" s="1"/>
  <c r="AW267" i="4" s="1"/>
  <c r="AW268" i="4" s="1"/>
  <c r="AW269" i="4" s="1"/>
  <c r="AW270" i="4" s="1"/>
  <c r="AW271" i="4" s="1"/>
  <c r="AW272" i="4" s="1"/>
  <c r="AW273" i="4" s="1"/>
  <c r="AW274" i="4" s="1"/>
  <c r="AW275" i="4" s="1"/>
  <c r="AW276" i="4" s="1"/>
  <c r="AW277" i="4" s="1"/>
  <c r="AW278" i="4" s="1"/>
  <c r="AW279" i="4" s="1"/>
  <c r="AW280" i="4" s="1"/>
  <c r="AW281" i="4" s="1"/>
  <c r="AW282" i="4" s="1"/>
  <c r="AW283" i="4" s="1"/>
  <c r="AW284" i="4" s="1"/>
  <c r="AW285" i="4" s="1"/>
  <c r="AW286" i="4" s="1"/>
  <c r="AW287" i="4" s="1"/>
  <c r="AW288" i="4" s="1"/>
  <c r="AW289" i="4" s="1"/>
  <c r="AW290" i="4" s="1"/>
  <c r="AW291" i="4" s="1"/>
  <c r="AW292" i="4" s="1"/>
  <c r="AW293" i="4" s="1"/>
  <c r="AW294" i="4" s="1"/>
  <c r="AW295" i="4" s="1"/>
  <c r="AW296" i="4" s="1"/>
  <c r="AW297" i="4" s="1"/>
  <c r="AW298" i="4" s="1"/>
  <c r="AW299" i="4" s="1"/>
  <c r="AW300" i="4" s="1"/>
  <c r="AW301" i="4" s="1"/>
  <c r="AW302" i="4" s="1"/>
  <c r="AW303" i="4" s="1"/>
  <c r="AW304" i="4" s="1"/>
  <c r="AW305" i="4" s="1"/>
  <c r="AW306" i="4" s="1"/>
  <c r="AW307" i="4" s="1"/>
  <c r="AW308" i="4" s="1"/>
  <c r="AW309" i="4" s="1"/>
  <c r="AW310" i="4" s="1"/>
  <c r="AW311" i="4" s="1"/>
  <c r="AW312" i="4" s="1"/>
  <c r="AW313" i="4" s="1"/>
  <c r="AW314" i="4" s="1"/>
  <c r="AW315" i="4" s="1"/>
  <c r="AW316" i="4" s="1"/>
  <c r="AW317" i="4" s="1"/>
  <c r="AW318" i="4" s="1"/>
  <c r="AW319" i="4" s="1"/>
  <c r="AW320" i="4" s="1"/>
  <c r="AW321" i="4" s="1"/>
  <c r="AW322" i="4" s="1"/>
  <c r="AW323" i="4" s="1"/>
  <c r="AW324" i="4" s="1"/>
  <c r="AW325" i="4" s="1"/>
  <c r="AW326" i="4" s="1"/>
  <c r="AW327" i="4" s="1"/>
  <c r="AW328" i="4" s="1"/>
  <c r="AW329" i="4" s="1"/>
  <c r="AW330" i="4" s="1"/>
  <c r="AW331" i="4" s="1"/>
  <c r="AW332" i="4" s="1"/>
  <c r="AW333" i="4" s="1"/>
  <c r="AW334" i="4" s="1"/>
  <c r="AW335" i="4" s="1"/>
  <c r="AW336" i="4" s="1"/>
  <c r="AW337" i="4" s="1"/>
  <c r="AW338" i="4" s="1"/>
  <c r="AW339" i="4" s="1"/>
  <c r="AW340" i="4" s="1"/>
  <c r="AW341" i="4" s="1"/>
  <c r="AW342" i="4" s="1"/>
  <c r="AW343" i="4" s="1"/>
  <c r="AW344" i="4" s="1"/>
  <c r="AW345" i="4" s="1"/>
  <c r="AW346" i="4" s="1"/>
  <c r="AW347" i="4" s="1"/>
  <c r="AW348" i="4" s="1"/>
  <c r="AW349" i="4" s="1"/>
  <c r="AW350" i="4" s="1"/>
  <c r="AW351" i="4" s="1"/>
  <c r="AW352" i="4" s="1"/>
  <c r="AW353" i="4" s="1"/>
  <c r="AW354" i="4" s="1"/>
  <c r="AW355" i="4" s="1"/>
  <c r="AW356" i="4" s="1"/>
  <c r="AW357" i="4" s="1"/>
  <c r="AW358" i="4" s="1"/>
  <c r="AW359" i="4" s="1"/>
  <c r="AW360" i="4" s="1"/>
  <c r="AW361" i="4" s="1"/>
  <c r="AW362" i="4" s="1"/>
  <c r="AW363" i="4" s="1"/>
  <c r="AW364" i="4" s="1"/>
  <c r="AW365" i="4" s="1"/>
  <c r="AW366" i="4" s="1"/>
  <c r="AW367" i="4" s="1"/>
  <c r="AW368" i="4" s="1"/>
  <c r="AW369" i="4" s="1"/>
  <c r="AW370" i="4" s="1"/>
  <c r="AW371" i="4" s="1"/>
  <c r="AW372" i="4" s="1"/>
  <c r="AW373" i="4" s="1"/>
  <c r="AW374" i="4" s="1"/>
  <c r="AW375" i="4" s="1"/>
  <c r="AW376" i="4" s="1"/>
  <c r="AW377" i="4" s="1"/>
  <c r="AW378" i="4" s="1"/>
  <c r="AW379" i="4" s="1"/>
  <c r="AW380" i="4" s="1"/>
  <c r="AW381" i="4" s="1"/>
  <c r="AW382" i="4" s="1"/>
  <c r="AW383" i="4" s="1"/>
  <c r="AW384" i="4" s="1"/>
  <c r="AW385" i="4" s="1"/>
  <c r="AW386" i="4" s="1"/>
  <c r="AW387" i="4" s="1"/>
  <c r="AW388" i="4" s="1"/>
  <c r="AW389" i="4" s="1"/>
  <c r="AW390" i="4" s="1"/>
  <c r="AW391" i="4" s="1"/>
  <c r="AW392" i="4" s="1"/>
  <c r="AW393" i="4" s="1"/>
  <c r="AW394" i="4" s="1"/>
  <c r="AW395" i="4" s="1"/>
  <c r="AW396" i="4" s="1"/>
  <c r="AW397" i="4" s="1"/>
  <c r="AW398" i="4" s="1"/>
  <c r="AW399" i="4" s="1"/>
  <c r="AW400" i="4" s="1"/>
  <c r="AW401" i="4" s="1"/>
  <c r="AW402" i="4" s="1"/>
  <c r="AW403" i="4" s="1"/>
  <c r="AW404" i="4" s="1"/>
  <c r="AW405" i="4" s="1"/>
  <c r="AW406" i="4" s="1"/>
  <c r="AW407" i="4" s="1"/>
  <c r="AW408" i="4" s="1"/>
  <c r="AW409" i="4" s="1"/>
  <c r="AW410" i="4" s="1"/>
  <c r="AW411" i="4" s="1"/>
  <c r="AW412" i="4" s="1"/>
  <c r="AW413" i="4" s="1"/>
  <c r="AW414" i="4" s="1"/>
  <c r="AW415" i="4" s="1"/>
  <c r="AW416" i="4" s="1"/>
  <c r="AW417" i="4" s="1"/>
  <c r="AW418" i="4" s="1"/>
  <c r="AW419" i="4" s="1"/>
  <c r="AW420" i="4" s="1"/>
  <c r="AW421" i="4" s="1"/>
  <c r="AW422" i="4" s="1"/>
  <c r="AW423" i="4" s="1"/>
  <c r="AW424" i="4" s="1"/>
  <c r="AW425" i="4" s="1"/>
  <c r="AW426" i="4" s="1"/>
  <c r="AW427" i="4" s="1"/>
  <c r="AW428" i="4" s="1"/>
  <c r="AW429" i="4" s="1"/>
  <c r="AW430" i="4" s="1"/>
  <c r="AW431" i="4" s="1"/>
  <c r="AW432" i="4" s="1"/>
  <c r="AW433" i="4" s="1"/>
  <c r="AW434" i="4" s="1"/>
  <c r="AW435" i="4" s="1"/>
  <c r="AW436" i="4" s="1"/>
  <c r="AW437" i="4" s="1"/>
  <c r="AW438" i="4" s="1"/>
  <c r="AW439" i="4" s="1"/>
  <c r="AW440" i="4" s="1"/>
  <c r="AW441" i="4" s="1"/>
  <c r="AW442" i="4" s="1"/>
  <c r="AW443" i="4" s="1"/>
  <c r="AW444" i="4" s="1"/>
  <c r="AW445" i="4" s="1"/>
  <c r="AW446" i="4" s="1"/>
  <c r="AW447" i="4" s="1"/>
  <c r="AW448" i="4" s="1"/>
  <c r="AW449" i="4" s="1"/>
  <c r="AW450" i="4" s="1"/>
  <c r="AW451" i="4" s="1"/>
  <c r="AW452" i="4" s="1"/>
  <c r="AW453" i="4" s="1"/>
  <c r="AW454" i="4" s="1"/>
  <c r="AW455" i="4" s="1"/>
  <c r="AW456" i="4" s="1"/>
  <c r="AW457" i="4" s="1"/>
  <c r="AW458" i="4" s="1"/>
  <c r="AW459" i="4" s="1"/>
  <c r="AW460" i="4" s="1"/>
  <c r="AW461" i="4" s="1"/>
  <c r="AW462" i="4" s="1"/>
  <c r="AW463" i="4" s="1"/>
  <c r="AW464" i="4" s="1"/>
  <c r="AW465" i="4" s="1"/>
  <c r="AW466" i="4" s="1"/>
  <c r="AW467" i="4" s="1"/>
  <c r="AW468" i="4" s="1"/>
  <c r="AW469" i="4" s="1"/>
  <c r="AW470" i="4" s="1"/>
  <c r="AW471" i="4" s="1"/>
  <c r="AW472" i="4" s="1"/>
  <c r="AW473" i="4" s="1"/>
  <c r="AW474" i="4" s="1"/>
  <c r="AW475" i="4" s="1"/>
  <c r="AW476" i="4" s="1"/>
  <c r="AW477" i="4" s="1"/>
  <c r="AW478" i="4" s="1"/>
  <c r="AW479" i="4" s="1"/>
  <c r="AW480" i="4" s="1"/>
  <c r="AW481" i="4" s="1"/>
  <c r="AW482" i="4" s="1"/>
  <c r="AW483" i="4" s="1"/>
  <c r="AW484" i="4" s="1"/>
  <c r="AW485" i="4" s="1"/>
  <c r="AW486" i="4" s="1"/>
  <c r="AW487" i="4" s="1"/>
  <c r="AW488" i="4" s="1"/>
  <c r="AW489" i="4" s="1"/>
  <c r="AW490" i="4" s="1"/>
  <c r="AW491" i="4" s="1"/>
  <c r="AW492" i="4" s="1"/>
  <c r="AW493" i="4" s="1"/>
  <c r="AW494" i="4" s="1"/>
  <c r="AW495" i="4" s="1"/>
  <c r="AW496" i="4" s="1"/>
  <c r="AW497" i="4" s="1"/>
  <c r="AW498" i="4" s="1"/>
  <c r="AW499" i="4" s="1"/>
  <c r="AW500" i="4" s="1"/>
  <c r="AW501" i="4" s="1"/>
  <c r="AW502" i="4" s="1"/>
  <c r="AW503" i="4" s="1"/>
  <c r="AW504" i="4" s="1"/>
  <c r="AW505" i="4" s="1"/>
  <c r="AW506" i="4" s="1"/>
  <c r="AW507" i="4" s="1"/>
  <c r="AW508" i="4" s="1"/>
  <c r="AW509" i="4" s="1"/>
  <c r="AW510" i="4" s="1"/>
  <c r="AW511" i="4" s="1"/>
  <c r="AW512" i="4" s="1"/>
  <c r="AW513" i="4" s="1"/>
  <c r="AW514" i="4" s="1"/>
  <c r="AW515" i="4" s="1"/>
  <c r="AW516" i="4" s="1"/>
  <c r="AW517" i="4" s="1"/>
  <c r="AW518" i="4" s="1"/>
  <c r="AW519" i="4" s="1"/>
  <c r="AW520" i="4" s="1"/>
  <c r="AW521" i="4" s="1"/>
  <c r="AW522" i="4" s="1"/>
  <c r="AW523" i="4" s="1"/>
  <c r="AW524" i="4" s="1"/>
  <c r="AW525" i="4" s="1"/>
  <c r="AW526" i="4" s="1"/>
  <c r="AW527" i="4" s="1"/>
  <c r="AW528" i="4" s="1"/>
  <c r="AW529" i="4" s="1"/>
  <c r="AW530" i="4" s="1"/>
  <c r="AW531" i="4" s="1"/>
  <c r="AW532" i="4" s="1"/>
  <c r="AW533" i="4" s="1"/>
  <c r="AW534" i="4" s="1"/>
  <c r="AW535" i="4" s="1"/>
  <c r="AW536" i="4" s="1"/>
  <c r="AW537" i="4" s="1"/>
  <c r="AW538" i="4" s="1"/>
  <c r="AW539" i="4" s="1"/>
  <c r="AW540" i="4" s="1"/>
  <c r="AW541" i="4" s="1"/>
  <c r="AW542" i="4" s="1"/>
  <c r="AW543" i="4" s="1"/>
  <c r="AW544" i="4" s="1"/>
  <c r="AW545" i="4" s="1"/>
  <c r="AW546" i="4" s="1"/>
  <c r="AW547" i="4" s="1"/>
  <c r="AW548" i="4" s="1"/>
  <c r="AW549" i="4" s="1"/>
  <c r="AW550" i="4" s="1"/>
  <c r="AW551" i="4" s="1"/>
  <c r="AW552" i="4" s="1"/>
  <c r="AW553" i="4" s="1"/>
  <c r="AW554" i="4" s="1"/>
  <c r="AW555" i="4" s="1"/>
  <c r="AW556" i="4" s="1"/>
  <c r="AW557" i="4" s="1"/>
  <c r="AW558" i="4" s="1"/>
  <c r="AW559" i="4" s="1"/>
  <c r="AW560" i="4" s="1"/>
  <c r="AW561" i="4" s="1"/>
  <c r="AW562" i="4" s="1"/>
  <c r="AW563" i="4" s="1"/>
  <c r="AW564" i="4" s="1"/>
  <c r="AW565" i="4" s="1"/>
  <c r="AW566" i="4" s="1"/>
  <c r="AW567" i="4" s="1"/>
  <c r="AW568" i="4" s="1"/>
  <c r="AW569" i="4" s="1"/>
  <c r="AW570" i="4" s="1"/>
  <c r="AW571" i="4" s="1"/>
  <c r="AW572" i="4" s="1"/>
  <c r="AW573" i="4" s="1"/>
  <c r="AW574" i="4" s="1"/>
  <c r="AW575" i="4" s="1"/>
  <c r="AW576" i="4" s="1"/>
  <c r="AW577" i="4" s="1"/>
  <c r="AW578" i="4" s="1"/>
  <c r="AW579" i="4" s="1"/>
  <c r="AW580" i="4" s="1"/>
  <c r="AW581" i="4" s="1"/>
  <c r="AW582" i="4" s="1"/>
  <c r="AW583" i="4" s="1"/>
  <c r="AW584" i="4" s="1"/>
  <c r="AW585" i="4" s="1"/>
  <c r="AW586" i="4" s="1"/>
  <c r="AW587" i="4" s="1"/>
  <c r="AW588" i="4" s="1"/>
  <c r="AW589" i="4" s="1"/>
  <c r="AW590" i="4" s="1"/>
  <c r="AW591" i="4" s="1"/>
  <c r="AW592" i="4" s="1"/>
  <c r="AW593" i="4" s="1"/>
  <c r="AW594" i="4" s="1"/>
  <c r="AW595" i="4" s="1"/>
  <c r="AW596" i="4" s="1"/>
  <c r="AW597" i="4" s="1"/>
  <c r="AW598" i="4" s="1"/>
  <c r="AW599" i="4" s="1"/>
  <c r="AW600" i="4" s="1"/>
  <c r="AW601" i="4" s="1"/>
  <c r="AW602" i="4" s="1"/>
  <c r="AW603" i="4" s="1"/>
  <c r="AW604" i="4" s="1"/>
  <c r="AW605" i="4" s="1"/>
  <c r="AW606" i="4" s="1"/>
  <c r="AW607" i="4" s="1"/>
  <c r="AW608" i="4" s="1"/>
  <c r="AW609" i="4" s="1"/>
  <c r="AW610" i="4" s="1"/>
  <c r="AW611" i="4" s="1"/>
  <c r="AW612" i="4" s="1"/>
  <c r="AW613" i="4" s="1"/>
  <c r="AW614" i="4" s="1"/>
  <c r="AW615" i="4" s="1"/>
  <c r="AW616" i="4" s="1"/>
  <c r="AW617" i="4" s="1"/>
  <c r="AW618" i="4" s="1"/>
  <c r="AW619" i="4" s="1"/>
  <c r="AW620" i="4" s="1"/>
  <c r="AW621" i="4" s="1"/>
  <c r="AW622" i="4" s="1"/>
  <c r="AW623" i="4" s="1"/>
  <c r="AW624" i="4" s="1"/>
  <c r="AW625" i="4" s="1"/>
  <c r="AW626" i="4" s="1"/>
  <c r="AW627" i="4" s="1"/>
  <c r="AW628" i="4" s="1"/>
  <c r="AW629" i="4" s="1"/>
  <c r="AW630" i="4" s="1"/>
  <c r="AW631" i="4" s="1"/>
  <c r="AW632" i="4" s="1"/>
  <c r="AW633" i="4" s="1"/>
  <c r="AW634" i="4" s="1"/>
  <c r="AW635" i="4" s="1"/>
  <c r="AW636" i="4" s="1"/>
  <c r="AW637" i="4" s="1"/>
  <c r="AW638" i="4" s="1"/>
  <c r="AW639" i="4" s="1"/>
  <c r="AW640" i="4" s="1"/>
  <c r="AW641" i="4" s="1"/>
  <c r="AW642" i="4" s="1"/>
  <c r="AW643" i="4" s="1"/>
  <c r="AW644" i="4" s="1"/>
  <c r="AW645" i="4" s="1"/>
  <c r="AW646" i="4" s="1"/>
  <c r="AW647" i="4" s="1"/>
  <c r="AW648" i="4" s="1"/>
  <c r="AW649" i="4" s="1"/>
  <c r="AW650" i="4" s="1"/>
  <c r="AW651" i="4" s="1"/>
  <c r="AW652" i="4" s="1"/>
  <c r="AW653" i="4" s="1"/>
  <c r="AW654" i="4" s="1"/>
  <c r="AW655" i="4" s="1"/>
  <c r="AW656" i="4" s="1"/>
  <c r="AW657" i="4" s="1"/>
  <c r="AW658" i="4" s="1"/>
  <c r="AW659" i="4" s="1"/>
  <c r="AW660" i="4" s="1"/>
  <c r="AW661" i="4" s="1"/>
  <c r="AW662" i="4" s="1"/>
  <c r="AW663" i="4" s="1"/>
  <c r="AW664" i="4" s="1"/>
  <c r="AW665" i="4" s="1"/>
  <c r="AW666" i="4" s="1"/>
  <c r="AW667" i="4" s="1"/>
  <c r="AW668" i="4" s="1"/>
  <c r="AW669" i="4" s="1"/>
  <c r="AW670" i="4" s="1"/>
  <c r="AW671" i="4" s="1"/>
  <c r="AW672" i="4" s="1"/>
  <c r="AW673" i="4" s="1"/>
  <c r="AW674" i="4" s="1"/>
  <c r="AW675" i="4" s="1"/>
  <c r="AW676" i="4" s="1"/>
  <c r="AW677" i="4" s="1"/>
  <c r="AW678" i="4" s="1"/>
  <c r="AW679" i="4" s="1"/>
  <c r="AW680" i="4" s="1"/>
  <c r="AW681" i="4" s="1"/>
  <c r="AW682" i="4" s="1"/>
  <c r="AW683" i="4" s="1"/>
  <c r="AW684" i="4" s="1"/>
  <c r="AW685" i="4" s="1"/>
  <c r="AW686" i="4" s="1"/>
  <c r="AW687" i="4" s="1"/>
  <c r="AW688" i="4" s="1"/>
  <c r="AW689" i="4" s="1"/>
  <c r="AW690" i="4" s="1"/>
  <c r="AW691" i="4" s="1"/>
  <c r="AW692" i="4" s="1"/>
  <c r="AW693" i="4" s="1"/>
  <c r="AW694" i="4" s="1"/>
  <c r="AW695" i="4" s="1"/>
  <c r="AW696" i="4" s="1"/>
  <c r="AW697" i="4" s="1"/>
  <c r="AW698" i="4" s="1"/>
  <c r="AW699" i="4" s="1"/>
  <c r="AW700" i="4" s="1"/>
  <c r="AW701" i="4" s="1"/>
  <c r="AW702" i="4" s="1"/>
  <c r="AW703" i="4" s="1"/>
  <c r="AW704" i="4" s="1"/>
  <c r="AW705" i="4" s="1"/>
  <c r="AW706" i="4" s="1"/>
  <c r="AW707" i="4" s="1"/>
  <c r="AW708" i="4" s="1"/>
  <c r="AW709" i="4" s="1"/>
  <c r="AW710" i="4" s="1"/>
  <c r="AW711" i="4" s="1"/>
  <c r="AW712" i="4" s="1"/>
  <c r="AW713" i="4" s="1"/>
  <c r="AW714" i="4" s="1"/>
  <c r="AW715" i="4" s="1"/>
  <c r="AW716" i="4" s="1"/>
  <c r="AW717" i="4" s="1"/>
  <c r="AW718" i="4" s="1"/>
  <c r="AW719" i="4" s="1"/>
  <c r="AW720" i="4" s="1"/>
  <c r="AW721" i="4" s="1"/>
  <c r="AW722" i="4" s="1"/>
  <c r="AW723" i="4" s="1"/>
  <c r="AW724" i="4" s="1"/>
  <c r="AW725" i="4" s="1"/>
  <c r="AW726" i="4" s="1"/>
  <c r="AW727" i="4" s="1"/>
  <c r="AW728" i="4" s="1"/>
  <c r="AW729" i="4" s="1"/>
  <c r="AW730" i="4" s="1"/>
  <c r="AW731" i="4" s="1"/>
  <c r="AW732" i="4" s="1"/>
  <c r="AW733" i="4" s="1"/>
  <c r="AW734" i="4" s="1"/>
  <c r="AW735" i="4" s="1"/>
  <c r="AW736" i="4" s="1"/>
  <c r="AW737" i="4" s="1"/>
  <c r="AW738" i="4" s="1"/>
  <c r="AW739" i="4" s="1"/>
  <c r="AW740" i="4" s="1"/>
  <c r="AW741" i="4" s="1"/>
  <c r="AW742" i="4" s="1"/>
  <c r="AW743" i="4" s="1"/>
  <c r="AW744" i="4" s="1"/>
  <c r="AW745" i="4" s="1"/>
  <c r="AW746" i="4" s="1"/>
  <c r="AW747" i="4" s="1"/>
  <c r="AW748" i="4" s="1"/>
  <c r="AW749" i="4" s="1"/>
  <c r="AW750" i="4" s="1"/>
  <c r="AW751" i="4" s="1"/>
  <c r="AW752" i="4" s="1"/>
  <c r="AW753" i="4" s="1"/>
  <c r="AW754" i="4" s="1"/>
  <c r="AW755" i="4" s="1"/>
  <c r="AW756" i="4" s="1"/>
  <c r="AW757" i="4" s="1"/>
  <c r="AW758" i="4" s="1"/>
  <c r="AW759" i="4" s="1"/>
  <c r="AW760" i="4" s="1"/>
  <c r="AW761" i="4" s="1"/>
  <c r="AW762" i="4" s="1"/>
  <c r="AW763" i="4" s="1"/>
  <c r="AW764" i="4" s="1"/>
  <c r="AW765" i="4" s="1"/>
  <c r="AW766" i="4" s="1"/>
  <c r="AW767" i="4" s="1"/>
  <c r="AW768" i="4" s="1"/>
  <c r="AW769" i="4" s="1"/>
  <c r="AW770" i="4" s="1"/>
  <c r="AW771" i="4" s="1"/>
  <c r="AW772" i="4" s="1"/>
  <c r="AW773" i="4" s="1"/>
  <c r="AW774" i="4" s="1"/>
  <c r="AW775" i="4" s="1"/>
  <c r="AW776" i="4" s="1"/>
  <c r="AW777" i="4" s="1"/>
  <c r="AW778" i="4" s="1"/>
  <c r="AW779" i="4" s="1"/>
  <c r="AW780" i="4" s="1"/>
  <c r="AW781" i="4" s="1"/>
  <c r="AW782" i="4" s="1"/>
  <c r="AW783" i="4" s="1"/>
  <c r="AW784" i="4" s="1"/>
  <c r="AW785" i="4" s="1"/>
  <c r="AW786" i="4" s="1"/>
  <c r="AW787" i="4" s="1"/>
  <c r="AW788" i="4" s="1"/>
  <c r="AW789" i="4" s="1"/>
  <c r="AW790" i="4" s="1"/>
  <c r="AW791" i="4" s="1"/>
  <c r="AW792" i="4" s="1"/>
  <c r="AW793" i="4" s="1"/>
  <c r="AW794" i="4" s="1"/>
  <c r="AW795" i="4" s="1"/>
  <c r="AW796" i="4" s="1"/>
  <c r="AW797" i="4" s="1"/>
  <c r="AW798" i="4" s="1"/>
  <c r="AW799" i="4" s="1"/>
  <c r="AW800" i="4" s="1"/>
  <c r="AW801" i="4" s="1"/>
  <c r="AW802" i="4" s="1"/>
  <c r="AW803" i="4" s="1"/>
  <c r="AW804" i="4" s="1"/>
  <c r="AW805" i="4" s="1"/>
  <c r="AW806" i="4" s="1"/>
  <c r="AW807" i="4" s="1"/>
  <c r="AW808" i="4" s="1"/>
  <c r="AW809" i="4" s="1"/>
  <c r="AW810" i="4" s="1"/>
  <c r="AW811" i="4" s="1"/>
  <c r="AW812" i="4" s="1"/>
  <c r="AW813" i="4" s="1"/>
  <c r="AW814" i="4" s="1"/>
  <c r="AW815" i="4" s="1"/>
  <c r="AW816" i="4" s="1"/>
  <c r="AW817" i="4" s="1"/>
  <c r="AW818" i="4" s="1"/>
  <c r="AW819" i="4" s="1"/>
  <c r="AW820" i="4" s="1"/>
  <c r="AW821" i="4" s="1"/>
  <c r="AW822" i="4" s="1"/>
  <c r="AW823" i="4" s="1"/>
  <c r="AW824" i="4" s="1"/>
  <c r="AW825" i="4" s="1"/>
  <c r="AW826" i="4" s="1"/>
  <c r="AW827" i="4" s="1"/>
  <c r="AW828" i="4" s="1"/>
  <c r="AW829" i="4" s="1"/>
  <c r="AW830" i="4" s="1"/>
  <c r="AW831" i="4" s="1"/>
  <c r="AW832" i="4" s="1"/>
  <c r="AW833" i="4" s="1"/>
  <c r="AW834" i="4" s="1"/>
  <c r="AW835" i="4" s="1"/>
  <c r="AW836" i="4" s="1"/>
  <c r="AW837" i="4" s="1"/>
  <c r="AW838" i="4" s="1"/>
  <c r="AW839" i="4" s="1"/>
  <c r="AW840" i="4" s="1"/>
  <c r="AW841" i="4" s="1"/>
  <c r="AW842" i="4" s="1"/>
  <c r="AW843" i="4" s="1"/>
  <c r="AW844" i="4" s="1"/>
  <c r="AW845" i="4" s="1"/>
  <c r="AW846" i="4" s="1"/>
  <c r="AW847" i="4" s="1"/>
  <c r="AW848" i="4" s="1"/>
  <c r="AW849" i="4" s="1"/>
  <c r="AW850" i="4" s="1"/>
  <c r="AW851" i="4" s="1"/>
  <c r="AW852" i="4" s="1"/>
  <c r="AW853" i="4" s="1"/>
  <c r="AW854" i="4" s="1"/>
  <c r="AW855" i="4" s="1"/>
  <c r="AW856" i="4" s="1"/>
  <c r="AW857" i="4" s="1"/>
  <c r="AW858" i="4" s="1"/>
  <c r="AW859" i="4" s="1"/>
  <c r="AW860" i="4" s="1"/>
  <c r="AW861" i="4" s="1"/>
  <c r="AW862" i="4" s="1"/>
  <c r="AW863" i="4" s="1"/>
  <c r="AW864" i="4" s="1"/>
  <c r="AW865" i="4" s="1"/>
  <c r="AW866" i="4" s="1"/>
  <c r="AW867" i="4" s="1"/>
  <c r="AW868" i="4" s="1"/>
  <c r="AW869" i="4" s="1"/>
  <c r="AW870" i="4" s="1"/>
  <c r="AW871" i="4" s="1"/>
  <c r="AW872" i="4" s="1"/>
  <c r="AW873" i="4" s="1"/>
  <c r="AW874" i="4" s="1"/>
  <c r="AW875" i="4" s="1"/>
  <c r="AW876" i="4" s="1"/>
  <c r="AW877" i="4" s="1"/>
  <c r="AW878" i="4" s="1"/>
  <c r="AW879" i="4" s="1"/>
  <c r="AW880" i="4" s="1"/>
  <c r="AW881" i="4" s="1"/>
  <c r="AW882" i="4" s="1"/>
  <c r="AW883" i="4" s="1"/>
  <c r="AW884" i="4" s="1"/>
  <c r="AW885" i="4" s="1"/>
  <c r="AW886" i="4" s="1"/>
  <c r="AW887" i="4" s="1"/>
  <c r="AW888" i="4" s="1"/>
  <c r="AW889" i="4" s="1"/>
  <c r="AW890" i="4" s="1"/>
  <c r="AW891" i="4" s="1"/>
  <c r="AW892" i="4" s="1"/>
  <c r="AW893" i="4" s="1"/>
  <c r="AW894" i="4" s="1"/>
  <c r="AW895" i="4" s="1"/>
  <c r="AW896" i="4" s="1"/>
  <c r="AW897" i="4" s="1"/>
  <c r="AW898" i="4" s="1"/>
  <c r="AW899" i="4" s="1"/>
  <c r="AW900" i="4" s="1"/>
  <c r="AW901" i="4" s="1"/>
  <c r="AW902" i="4" s="1"/>
  <c r="AW903" i="4" s="1"/>
  <c r="AW904" i="4" s="1"/>
  <c r="AW905" i="4" s="1"/>
  <c r="AW906" i="4" s="1"/>
  <c r="AW907" i="4" s="1"/>
  <c r="AW908" i="4" s="1"/>
  <c r="AW909" i="4" s="1"/>
  <c r="AW910" i="4" s="1"/>
  <c r="AW911" i="4" s="1"/>
  <c r="AW912" i="4" s="1"/>
  <c r="AW913" i="4" s="1"/>
  <c r="AW914" i="4" s="1"/>
  <c r="AW915" i="4" s="1"/>
  <c r="AW916" i="4" s="1"/>
  <c r="AW917" i="4" s="1"/>
  <c r="AW918" i="4" s="1"/>
  <c r="AW919" i="4" s="1"/>
  <c r="AW920" i="4" s="1"/>
  <c r="AW921" i="4" s="1"/>
  <c r="AW922" i="4" s="1"/>
  <c r="AW923" i="4" s="1"/>
  <c r="AW924" i="4" s="1"/>
  <c r="AW925" i="4" s="1"/>
  <c r="AW926" i="4" s="1"/>
  <c r="AW927" i="4" s="1"/>
  <c r="AW928" i="4" s="1"/>
  <c r="AW929" i="4" s="1"/>
  <c r="AW930" i="4" s="1"/>
  <c r="AW931" i="4" s="1"/>
  <c r="AW932" i="4" s="1"/>
  <c r="AW933" i="4" s="1"/>
  <c r="AW934" i="4" s="1"/>
  <c r="AW935" i="4" s="1"/>
  <c r="AW936" i="4" s="1"/>
  <c r="AW937" i="4" s="1"/>
  <c r="AW938" i="4" s="1"/>
  <c r="AW939" i="4" s="1"/>
  <c r="AW940" i="4" s="1"/>
  <c r="AW941" i="4" s="1"/>
  <c r="AW942" i="4" s="1"/>
  <c r="AW943" i="4" s="1"/>
  <c r="AW944" i="4" s="1"/>
  <c r="AW945" i="4" s="1"/>
  <c r="AW946" i="4" s="1"/>
  <c r="AW947" i="4" s="1"/>
  <c r="AW948" i="4" s="1"/>
  <c r="AW949" i="4" s="1"/>
  <c r="AW950" i="4" s="1"/>
  <c r="AW951" i="4" s="1"/>
  <c r="AW952" i="4" s="1"/>
  <c r="AW953" i="4" s="1"/>
  <c r="AW954" i="4" s="1"/>
  <c r="AW955" i="4" s="1"/>
  <c r="AW956" i="4" s="1"/>
  <c r="AW957" i="4" s="1"/>
  <c r="AW958" i="4" s="1"/>
  <c r="AW959" i="4" s="1"/>
  <c r="AW960" i="4" s="1"/>
  <c r="AW961" i="4" s="1"/>
  <c r="AW962" i="4" s="1"/>
  <c r="AW963" i="4" s="1"/>
  <c r="AW964" i="4" s="1"/>
  <c r="AW965" i="4" s="1"/>
  <c r="AW966" i="4" s="1"/>
  <c r="AW967" i="4" s="1"/>
  <c r="AW968" i="4" s="1"/>
  <c r="AW969" i="4" s="1"/>
  <c r="AW970" i="4" s="1"/>
  <c r="AW971" i="4" s="1"/>
  <c r="AW972" i="4" s="1"/>
  <c r="AW973" i="4" s="1"/>
  <c r="AW974" i="4" s="1"/>
  <c r="AW975" i="4" s="1"/>
  <c r="AW976" i="4" s="1"/>
  <c r="AW977" i="4" s="1"/>
  <c r="AW978" i="4" s="1"/>
  <c r="AW979" i="4" s="1"/>
  <c r="AW980" i="4" s="1"/>
  <c r="AW981" i="4" s="1"/>
  <c r="AW982" i="4" s="1"/>
  <c r="AW983" i="4" s="1"/>
  <c r="AW984" i="4" s="1"/>
  <c r="AW985" i="4" s="1"/>
  <c r="AW986" i="4" s="1"/>
  <c r="AW987" i="4" s="1"/>
  <c r="AW988" i="4" s="1"/>
  <c r="AW989" i="4" s="1"/>
  <c r="AW990" i="4" s="1"/>
  <c r="AW991" i="4" s="1"/>
  <c r="AW992" i="4" s="1"/>
  <c r="AW993" i="4" s="1"/>
  <c r="AW994" i="4" s="1"/>
  <c r="AW995" i="4" s="1"/>
  <c r="AW996" i="4" s="1"/>
  <c r="AW997" i="4" s="1"/>
  <c r="AW998" i="4" s="1"/>
  <c r="AW999" i="4" s="1"/>
  <c r="AW1000" i="4" s="1"/>
  <c r="AW1001" i="4" s="1"/>
  <c r="AW1002" i="4" s="1"/>
  <c r="AW1003" i="4" s="1"/>
  <c r="AW1004" i="4" s="1"/>
  <c r="AW1005" i="4" s="1"/>
  <c r="AW1006" i="4" s="1"/>
  <c r="AW1007" i="4" s="1"/>
  <c r="AW1008" i="4" s="1"/>
  <c r="AW1009" i="4" s="1"/>
  <c r="AW1010" i="4" s="1"/>
  <c r="AW1011" i="4" s="1"/>
  <c r="AW1012" i="4" s="1"/>
  <c r="AW1013" i="4" s="1"/>
  <c r="AW1014" i="4" s="1"/>
  <c r="AW1015" i="4" s="1"/>
  <c r="AW1016" i="4" s="1"/>
  <c r="AW1017" i="4" s="1"/>
  <c r="AW1018" i="4" s="1"/>
  <c r="AW1019" i="4" s="1"/>
  <c r="AW1020" i="4" s="1"/>
  <c r="AW1021" i="4" s="1"/>
  <c r="AW1022" i="4" s="1"/>
  <c r="AW1023" i="4" s="1"/>
  <c r="AW1024" i="4" s="1"/>
  <c r="AW1025" i="4" s="1"/>
  <c r="AW1026" i="4" s="1"/>
  <c r="AW1027" i="4" s="1"/>
  <c r="AW1028" i="4" s="1"/>
  <c r="AW1029" i="4" s="1"/>
  <c r="AW1030" i="4" s="1"/>
  <c r="AW1031" i="4" s="1"/>
  <c r="AW1032" i="4" s="1"/>
  <c r="AW1033" i="4" s="1"/>
  <c r="AW1034" i="4" s="1"/>
  <c r="AW1035" i="4" s="1"/>
  <c r="AW1036" i="4" s="1"/>
  <c r="AW1037" i="4" s="1"/>
  <c r="AW1038" i="4" s="1"/>
  <c r="AW1039" i="4" s="1"/>
  <c r="AW1040" i="4" s="1"/>
  <c r="AW1041" i="4" s="1"/>
  <c r="AW1042" i="4" s="1"/>
  <c r="AW1043" i="4" s="1"/>
  <c r="AW1044" i="4" s="1"/>
  <c r="AW1045" i="4" s="1"/>
  <c r="AW1046" i="4" s="1"/>
  <c r="AW1047" i="4" s="1"/>
  <c r="AW1048" i="4" s="1"/>
  <c r="AW1049" i="4" s="1"/>
  <c r="AW1050" i="4" s="1"/>
  <c r="AW1051" i="4" s="1"/>
  <c r="AW1052" i="4" s="1"/>
  <c r="AW1053" i="4" s="1"/>
  <c r="AW1054" i="4" s="1"/>
  <c r="AW1055" i="4" s="1"/>
  <c r="AW1056" i="4" s="1"/>
  <c r="AW1057" i="4" s="1"/>
  <c r="AW1058" i="4" s="1"/>
  <c r="AW1059" i="4" s="1"/>
  <c r="AW1060" i="4" s="1"/>
  <c r="AW1061" i="4" s="1"/>
  <c r="AW1062" i="4" s="1"/>
  <c r="AW1063" i="4" s="1"/>
  <c r="AW1064" i="4" s="1"/>
  <c r="AW1065" i="4" s="1"/>
  <c r="AW1066" i="4" s="1"/>
  <c r="AW1067" i="4" s="1"/>
  <c r="AW1068" i="4" s="1"/>
  <c r="AW1069" i="4" s="1"/>
  <c r="AW1070" i="4" s="1"/>
  <c r="AW1071" i="4" s="1"/>
  <c r="AW1072" i="4" s="1"/>
  <c r="AW1073" i="4" s="1"/>
  <c r="AW1074" i="4" s="1"/>
  <c r="AW1075" i="4" s="1"/>
  <c r="AW1076" i="4" s="1"/>
  <c r="AW1077" i="4" s="1"/>
  <c r="AW1078" i="4" s="1"/>
  <c r="AW1079" i="4" s="1"/>
  <c r="AW1080" i="4" s="1"/>
  <c r="AW1081" i="4" s="1"/>
  <c r="AW1082" i="4" s="1"/>
  <c r="AW1083" i="4" s="1"/>
  <c r="AW1084" i="4" s="1"/>
  <c r="AW1085" i="4" s="1"/>
  <c r="AW1086" i="4" s="1"/>
  <c r="AW1087" i="4" s="1"/>
  <c r="AW1088" i="4" s="1"/>
  <c r="AW1089" i="4" s="1"/>
  <c r="AW1090" i="4" s="1"/>
  <c r="AW1091" i="4" s="1"/>
  <c r="AW1092" i="4" s="1"/>
  <c r="AW1093" i="4" s="1"/>
  <c r="AW1094" i="4" s="1"/>
  <c r="AW1095" i="4" s="1"/>
  <c r="AW1096" i="4" s="1"/>
  <c r="AW1097" i="4" s="1"/>
  <c r="AW1098" i="4" s="1"/>
  <c r="AW1099" i="4" s="1"/>
  <c r="AW1100" i="4" s="1"/>
  <c r="AW1101" i="4" s="1"/>
  <c r="AW1102" i="4" s="1"/>
  <c r="AW1103" i="4" s="1"/>
  <c r="AW1104" i="4" s="1"/>
  <c r="AW1105" i="4" s="1"/>
  <c r="AW1106" i="4" s="1"/>
  <c r="AW1107" i="4" s="1"/>
  <c r="AW1108" i="4" s="1"/>
  <c r="AW1109" i="4" s="1"/>
  <c r="AW1110" i="4" s="1"/>
  <c r="AW1111" i="4" s="1"/>
  <c r="AW1112" i="4" s="1"/>
  <c r="AW1113" i="4" s="1"/>
  <c r="AW1114" i="4" s="1"/>
  <c r="AW1115" i="4" s="1"/>
  <c r="AW1116" i="4" s="1"/>
  <c r="AW1117" i="4" s="1"/>
  <c r="AW1118" i="4" s="1"/>
  <c r="AW1119" i="4" s="1"/>
  <c r="AW1120" i="4" s="1"/>
  <c r="AW1121" i="4" s="1"/>
  <c r="AW1122" i="4" s="1"/>
  <c r="AW1123" i="4" s="1"/>
  <c r="AW1124" i="4" s="1"/>
  <c r="AW1125" i="4" s="1"/>
  <c r="AW1126" i="4" s="1"/>
  <c r="AW1127" i="4" s="1"/>
  <c r="AW1128" i="4" s="1"/>
  <c r="AW1129" i="4" s="1"/>
  <c r="AW1130" i="4" s="1"/>
  <c r="AW1131" i="4" s="1"/>
  <c r="AW1132" i="4" s="1"/>
  <c r="AW1133" i="4" s="1"/>
  <c r="AW1134" i="4" s="1"/>
  <c r="AW1135" i="4" s="1"/>
  <c r="AW1136" i="4" s="1"/>
  <c r="AW1137" i="4" s="1"/>
  <c r="AW1138" i="4" s="1"/>
  <c r="AW1139" i="4" s="1"/>
  <c r="AW1140" i="4" s="1"/>
  <c r="AW1141" i="4" s="1"/>
  <c r="AW1142" i="4" s="1"/>
  <c r="AW1143" i="4" s="1"/>
  <c r="AW1144" i="4" s="1"/>
  <c r="AW1145" i="4" s="1"/>
  <c r="AW1146" i="4" s="1"/>
  <c r="AW1147" i="4" s="1"/>
  <c r="AW1148" i="4" s="1"/>
  <c r="AW1149" i="4" s="1"/>
  <c r="AW1150" i="4" s="1"/>
  <c r="AW1151" i="4" s="1"/>
  <c r="AW1152" i="4" s="1"/>
  <c r="AW1153" i="4" s="1"/>
  <c r="AW1154" i="4" s="1"/>
  <c r="AW1155" i="4" s="1"/>
  <c r="AW1156" i="4" s="1"/>
  <c r="AW1157" i="4" s="1"/>
  <c r="AW1158" i="4" s="1"/>
  <c r="AW1159" i="4" s="1"/>
  <c r="AW1160" i="4" s="1"/>
  <c r="AW1161" i="4" s="1"/>
  <c r="AW1162" i="4" s="1"/>
  <c r="AW1163" i="4" s="1"/>
  <c r="AW1164" i="4" s="1"/>
  <c r="AW1165" i="4" s="1"/>
  <c r="AW1166" i="4" s="1"/>
  <c r="AW1167" i="4" s="1"/>
  <c r="AW1168" i="4" s="1"/>
  <c r="AW1169" i="4" s="1"/>
  <c r="AW1170" i="4" s="1"/>
  <c r="AW1171" i="4" s="1"/>
  <c r="AW1172" i="4" s="1"/>
  <c r="AW1173" i="4" s="1"/>
  <c r="AW1174" i="4" s="1"/>
  <c r="AW1175" i="4" s="1"/>
  <c r="AW1176" i="4" s="1"/>
  <c r="AW1177" i="4" s="1"/>
  <c r="AW1178" i="4" s="1"/>
  <c r="AW1179" i="4" s="1"/>
  <c r="AW1180" i="4" s="1"/>
  <c r="AW1181" i="4" s="1"/>
  <c r="AW1182" i="4" s="1"/>
  <c r="AW1183" i="4" s="1"/>
  <c r="AW1184" i="4" s="1"/>
  <c r="AW1185" i="4" s="1"/>
  <c r="AW1186" i="4" s="1"/>
  <c r="AW1187" i="4" s="1"/>
  <c r="AW1188" i="4" s="1"/>
  <c r="AW1189" i="4" s="1"/>
  <c r="AW1190" i="4" s="1"/>
  <c r="AW1191" i="4" s="1"/>
  <c r="AW1192" i="4" s="1"/>
  <c r="AW1193" i="4" s="1"/>
  <c r="AW1194" i="4" s="1"/>
  <c r="AW1195" i="4" s="1"/>
  <c r="AW1196" i="4" s="1"/>
  <c r="AW1197" i="4" s="1"/>
  <c r="AW1198" i="4" s="1"/>
  <c r="AW1199" i="4" s="1"/>
  <c r="AW1200" i="4" s="1"/>
  <c r="AW1201" i="4" s="1"/>
  <c r="AW1202" i="4" s="1"/>
  <c r="AW1203" i="4" s="1"/>
  <c r="AW1204" i="4" s="1"/>
  <c r="AW1205" i="4" s="1"/>
  <c r="AW1206" i="4" s="1"/>
  <c r="AW1207" i="4" s="1"/>
  <c r="AW1208" i="4" s="1"/>
  <c r="AW1209" i="4" s="1"/>
  <c r="AW1210" i="4" s="1"/>
  <c r="AW1211" i="4" s="1"/>
  <c r="AW1212" i="4" s="1"/>
  <c r="AW1213" i="4" s="1"/>
  <c r="AW1214" i="4" s="1"/>
  <c r="AW1215" i="4" s="1"/>
  <c r="AW1216" i="4" s="1"/>
  <c r="AW1217" i="4" s="1"/>
  <c r="AW1218" i="4" s="1"/>
  <c r="AW1219" i="4" s="1"/>
  <c r="AW1220" i="4" s="1"/>
  <c r="AW1221" i="4" s="1"/>
  <c r="AW1222" i="4" s="1"/>
  <c r="AW1223" i="4" s="1"/>
  <c r="AW1224" i="4" s="1"/>
  <c r="AW1225" i="4" s="1"/>
  <c r="AW1226" i="4" s="1"/>
  <c r="AW1227" i="4" s="1"/>
  <c r="AW1228" i="4" s="1"/>
  <c r="AW1229" i="4" s="1"/>
  <c r="AW1230" i="4" s="1"/>
  <c r="AW1231" i="4" s="1"/>
  <c r="AW1232" i="4" s="1"/>
  <c r="AW1233" i="4" s="1"/>
  <c r="AW1234" i="4" s="1"/>
  <c r="AW1235" i="4" s="1"/>
  <c r="AW1236" i="4" s="1"/>
  <c r="AW1237" i="4" s="1"/>
  <c r="AW1238" i="4" s="1"/>
  <c r="AW1239" i="4" s="1"/>
  <c r="AW1240" i="4" s="1"/>
  <c r="AW1241" i="4" s="1"/>
  <c r="AW1242" i="4" s="1"/>
  <c r="AW1243" i="4" s="1"/>
  <c r="AW1244" i="4" s="1"/>
  <c r="AW1245" i="4" s="1"/>
  <c r="AW1246" i="4" s="1"/>
  <c r="AW1247" i="4" s="1"/>
  <c r="AW1248" i="4" s="1"/>
  <c r="AW1249" i="4" s="1"/>
  <c r="AW1250" i="4" s="1"/>
  <c r="AW1251" i="4" s="1"/>
  <c r="AW1252" i="4" s="1"/>
  <c r="AW1253" i="4" s="1"/>
  <c r="AW1254" i="4" s="1"/>
  <c r="AW1255" i="4" s="1"/>
  <c r="AW1256" i="4" s="1"/>
  <c r="AW1257" i="4" s="1"/>
  <c r="AW1258" i="4" s="1"/>
  <c r="AW1259" i="4" s="1"/>
  <c r="AW1260" i="4" s="1"/>
  <c r="AW1261" i="4" s="1"/>
  <c r="AW1262" i="4" s="1"/>
  <c r="AW1263" i="4" s="1"/>
  <c r="AW1264" i="4" s="1"/>
  <c r="AW1265" i="4" s="1"/>
  <c r="AW1266" i="4" s="1"/>
  <c r="AW1267" i="4" s="1"/>
  <c r="AW1268" i="4" s="1"/>
  <c r="AW1269" i="4" s="1"/>
  <c r="AW1270" i="4" s="1"/>
  <c r="AW1271" i="4" s="1"/>
  <c r="AW1272" i="4" s="1"/>
  <c r="AW1273" i="4" s="1"/>
  <c r="AW1274" i="4" s="1"/>
  <c r="AW1275" i="4" s="1"/>
  <c r="AW1276" i="4" s="1"/>
  <c r="AW1277" i="4" s="1"/>
  <c r="AW1278" i="4" s="1"/>
  <c r="AW1279" i="4" s="1"/>
  <c r="AW1280" i="4" s="1"/>
  <c r="AW1281" i="4" s="1"/>
  <c r="AW1282" i="4" s="1"/>
  <c r="AW1283" i="4" s="1"/>
  <c r="AW1284" i="4" s="1"/>
  <c r="AW1285" i="4" s="1"/>
  <c r="AW1286" i="4" s="1"/>
  <c r="AW1287" i="4" s="1"/>
  <c r="AW1288" i="4" s="1"/>
  <c r="AW1289" i="4" s="1"/>
  <c r="AW1290" i="4" s="1"/>
  <c r="AW1291" i="4" s="1"/>
  <c r="AW1292" i="4" s="1"/>
  <c r="AW1293" i="4" s="1"/>
  <c r="AW1294" i="4" s="1"/>
  <c r="AW1295" i="4" s="1"/>
  <c r="AW1296" i="4" s="1"/>
  <c r="AW1297" i="4" s="1"/>
  <c r="AW1298" i="4" s="1"/>
  <c r="AW1299" i="4" s="1"/>
  <c r="AW1300" i="4" s="1"/>
  <c r="AW1301" i="4" s="1"/>
  <c r="AW1302" i="4" s="1"/>
  <c r="AW1303" i="4" s="1"/>
  <c r="AW1304" i="4" s="1"/>
  <c r="AW1305" i="4" s="1"/>
  <c r="AW1306" i="4" s="1"/>
  <c r="AW1307" i="4" s="1"/>
  <c r="AW1308" i="4" s="1"/>
  <c r="AW1309" i="4" s="1"/>
  <c r="AW1310" i="4" s="1"/>
  <c r="AW1311" i="4" s="1"/>
  <c r="AW1312" i="4" s="1"/>
  <c r="AW1313" i="4" s="1"/>
  <c r="AW1314" i="4" s="1"/>
  <c r="AW1315" i="4" s="1"/>
  <c r="AW1316" i="4" s="1"/>
  <c r="AW1317" i="4" s="1"/>
  <c r="AW1318" i="4" s="1"/>
  <c r="AW1319" i="4" s="1"/>
  <c r="AW1320" i="4" s="1"/>
  <c r="AW1321" i="4" s="1"/>
  <c r="AW1322" i="4" s="1"/>
  <c r="AW1323" i="4" s="1"/>
  <c r="AW1324" i="4" s="1"/>
  <c r="AW1325" i="4" s="1"/>
  <c r="AW1326" i="4" s="1"/>
  <c r="AW1327" i="4" s="1"/>
  <c r="AW1328" i="4" s="1"/>
  <c r="AW1329" i="4" s="1"/>
  <c r="AW1330" i="4" s="1"/>
  <c r="AW1331" i="4" s="1"/>
  <c r="AW1332" i="4" s="1"/>
  <c r="AW1333" i="4" s="1"/>
  <c r="AW1334" i="4" s="1"/>
  <c r="AW1335" i="4" s="1"/>
  <c r="AW1336" i="4" s="1"/>
  <c r="AW1337" i="4" s="1"/>
  <c r="AW1338" i="4" s="1"/>
  <c r="AW1339" i="4" s="1"/>
  <c r="AW1340" i="4" s="1"/>
  <c r="AW1341" i="4" s="1"/>
  <c r="AW1342" i="4" s="1"/>
  <c r="AW1343" i="4" s="1"/>
  <c r="AW1344" i="4" s="1"/>
  <c r="AW1345" i="4" s="1"/>
  <c r="AW1346" i="4" s="1"/>
  <c r="AW1347" i="4" s="1"/>
  <c r="AW1348" i="4" s="1"/>
  <c r="AW1349" i="4" s="1"/>
  <c r="AW1350" i="4" s="1"/>
  <c r="AW1351" i="4" s="1"/>
  <c r="AW1352" i="4" s="1"/>
  <c r="AW1353" i="4" s="1"/>
  <c r="AW1354" i="4" s="1"/>
  <c r="AW1355" i="4" s="1"/>
  <c r="AW1356" i="4" s="1"/>
  <c r="AW1357" i="4" s="1"/>
  <c r="AW1358" i="4" s="1"/>
  <c r="AW1359" i="4" s="1"/>
  <c r="AW1360" i="4" s="1"/>
  <c r="AW1361" i="4" s="1"/>
  <c r="AW1362" i="4" s="1"/>
  <c r="AW1363" i="4" s="1"/>
  <c r="AW1364" i="4" s="1"/>
  <c r="AW1365" i="4" s="1"/>
  <c r="AW1366" i="4" s="1"/>
  <c r="AW1367" i="4" s="1"/>
  <c r="AW1368" i="4" s="1"/>
  <c r="AW1369" i="4" s="1"/>
  <c r="AW1370" i="4" s="1"/>
  <c r="AW1371" i="4" s="1"/>
  <c r="AW1372" i="4" s="1"/>
  <c r="AW1373" i="4" s="1"/>
  <c r="AW1374" i="4" s="1"/>
  <c r="AW1375" i="4" s="1"/>
  <c r="AW1376" i="4" s="1"/>
  <c r="AW1377" i="4" s="1"/>
  <c r="AW1378" i="4" s="1"/>
  <c r="AW1379" i="4" s="1"/>
  <c r="AW1380" i="4" s="1"/>
  <c r="AW1381" i="4" s="1"/>
  <c r="AW1382" i="4" s="1"/>
  <c r="AW1383" i="4" s="1"/>
  <c r="AW1384" i="4" s="1"/>
  <c r="AW1385" i="4" s="1"/>
  <c r="AW1386" i="4" s="1"/>
  <c r="AW1387" i="4" s="1"/>
  <c r="AW1388" i="4" s="1"/>
  <c r="AW1389" i="4" s="1"/>
  <c r="AW1390" i="4" s="1"/>
  <c r="AW1391" i="4" s="1"/>
  <c r="AW1392" i="4" s="1"/>
  <c r="AW1393" i="4" s="1"/>
  <c r="AW1394" i="4" s="1"/>
  <c r="AW1395" i="4" s="1"/>
  <c r="AW1396" i="4" s="1"/>
  <c r="AW1397" i="4" s="1"/>
  <c r="AW1398" i="4" s="1"/>
  <c r="AW1399" i="4" s="1"/>
  <c r="AW1400" i="4" s="1"/>
  <c r="AW1401" i="4" s="1"/>
  <c r="AW1402" i="4" s="1"/>
  <c r="AW1403" i="4" s="1"/>
  <c r="AW1404" i="4" s="1"/>
  <c r="AW1405" i="4" s="1"/>
  <c r="AW1406" i="4" s="1"/>
  <c r="AW1407" i="4" s="1"/>
  <c r="AW1408" i="4" s="1"/>
  <c r="AW1409" i="4" s="1"/>
  <c r="AW1410" i="4" s="1"/>
  <c r="AW1411" i="4" s="1"/>
  <c r="AW1412" i="4" s="1"/>
  <c r="AW1413" i="4" s="1"/>
  <c r="AW1414" i="4" s="1"/>
  <c r="AW1415" i="4" s="1"/>
  <c r="AW1416" i="4" s="1"/>
  <c r="AW1417" i="4" s="1"/>
  <c r="AW1418" i="4" s="1"/>
  <c r="AW1419" i="4" s="1"/>
  <c r="AW1420" i="4" s="1"/>
  <c r="AW1421" i="4" s="1"/>
  <c r="AW1422" i="4" s="1"/>
  <c r="AW1423" i="4" s="1"/>
  <c r="AW1424" i="4" s="1"/>
  <c r="AW1425" i="4" s="1"/>
  <c r="AW1426" i="4" s="1"/>
  <c r="AW1427" i="4" s="1"/>
  <c r="AW1428" i="4" s="1"/>
  <c r="AW1429" i="4" s="1"/>
  <c r="AW1430" i="4" s="1"/>
  <c r="AW1431" i="4" s="1"/>
  <c r="AW1432" i="4" s="1"/>
  <c r="AW1433" i="4" s="1"/>
  <c r="AW1434" i="4" s="1"/>
  <c r="AW1435" i="4" s="1"/>
  <c r="AW1436" i="4" s="1"/>
  <c r="AW1437" i="4" s="1"/>
  <c r="AW1438" i="4" s="1"/>
  <c r="AW1439" i="4" s="1"/>
  <c r="AW1440" i="4" s="1"/>
  <c r="AW1441" i="4" s="1"/>
  <c r="AW1442" i="4" s="1"/>
  <c r="AW1443" i="4" s="1"/>
  <c r="AW1444" i="4" s="1"/>
  <c r="AW1445" i="4" s="1"/>
  <c r="AW1446" i="4" s="1"/>
  <c r="AW1447" i="4" s="1"/>
  <c r="AW1448" i="4" s="1"/>
  <c r="AW1449" i="4" s="1"/>
  <c r="AW1450" i="4" s="1"/>
  <c r="AW1451" i="4" s="1"/>
  <c r="AW1452" i="4" s="1"/>
  <c r="AW1453" i="4" s="1"/>
  <c r="AW1454" i="4" s="1"/>
  <c r="AW1455" i="4" s="1"/>
  <c r="AW1456" i="4" s="1"/>
  <c r="AW1457" i="4" s="1"/>
  <c r="AW1458" i="4" s="1"/>
  <c r="AW1459" i="4" s="1"/>
  <c r="AW1460" i="4" s="1"/>
  <c r="AW1461" i="4" s="1"/>
  <c r="AW1462" i="4" s="1"/>
  <c r="AW1463" i="4" s="1"/>
  <c r="AW1464" i="4" s="1"/>
  <c r="AW1465" i="4" s="1"/>
  <c r="AW1466" i="4" s="1"/>
  <c r="AW1467" i="4" s="1"/>
  <c r="AW1468" i="4" s="1"/>
  <c r="AW1469" i="4" s="1"/>
  <c r="AW1470" i="4" s="1"/>
  <c r="AW1471" i="4" s="1"/>
  <c r="AW1472" i="4" s="1"/>
  <c r="AW1473" i="4" s="1"/>
  <c r="AW1474" i="4" s="1"/>
  <c r="AW1475" i="4" s="1"/>
  <c r="AW1476" i="4" s="1"/>
  <c r="AW1477" i="4" s="1"/>
  <c r="AW1478" i="4" s="1"/>
  <c r="AW1479" i="4" s="1"/>
  <c r="AW1480" i="4" s="1"/>
  <c r="AW1481" i="4" s="1"/>
  <c r="AW1482" i="4" s="1"/>
  <c r="AW1483" i="4" s="1"/>
  <c r="AW1484" i="4" s="1"/>
  <c r="AW1485" i="4" s="1"/>
  <c r="AW1486" i="4" s="1"/>
  <c r="AW1487" i="4" s="1"/>
  <c r="AW1488" i="4" s="1"/>
  <c r="AW1489" i="4" s="1"/>
  <c r="AW1490" i="4" s="1"/>
  <c r="AW1491" i="4" s="1"/>
  <c r="AW1492" i="4" s="1"/>
  <c r="AW1493" i="4" s="1"/>
  <c r="AW1494" i="4" s="1"/>
  <c r="AW1495" i="4" s="1"/>
  <c r="AW1496" i="4" s="1"/>
  <c r="AW1497" i="4" s="1"/>
  <c r="AW1498" i="4" s="1"/>
  <c r="AW1499" i="4" s="1"/>
  <c r="AW1500" i="4" s="1"/>
  <c r="AW1501" i="4" s="1"/>
  <c r="AW1502" i="4" s="1"/>
  <c r="AW1503" i="4" s="1"/>
  <c r="AW1504" i="4" s="1"/>
  <c r="AW1505" i="4" s="1"/>
  <c r="AW1506" i="4" s="1"/>
  <c r="AW1507" i="4" s="1"/>
  <c r="AW1508" i="4" s="1"/>
  <c r="AW1509" i="4" s="1"/>
  <c r="AW1510" i="4" s="1"/>
  <c r="AW1511" i="4" s="1"/>
  <c r="AW1512" i="4" s="1"/>
  <c r="AW1513" i="4" s="1"/>
  <c r="AW1514" i="4" s="1"/>
  <c r="AW1515" i="4" s="1"/>
  <c r="AW1516" i="4" s="1"/>
  <c r="AW1517" i="4" s="1"/>
  <c r="AW1518" i="4" s="1"/>
  <c r="AW1519" i="4" s="1"/>
  <c r="AW1520" i="4" s="1"/>
  <c r="AW1521" i="4" s="1"/>
  <c r="AW1522" i="4" s="1"/>
  <c r="AW1523" i="4" s="1"/>
  <c r="AW1524" i="4" s="1"/>
  <c r="AW1525" i="4" s="1"/>
  <c r="AW1526" i="4" s="1"/>
  <c r="AW1527" i="4" s="1"/>
  <c r="AW1528" i="4" s="1"/>
  <c r="AW1529" i="4" s="1"/>
  <c r="AW1530" i="4" s="1"/>
  <c r="AW1531" i="4" s="1"/>
  <c r="AW1532" i="4" s="1"/>
  <c r="AW1533" i="4" s="1"/>
  <c r="AW1534" i="4" s="1"/>
  <c r="AW1535" i="4" s="1"/>
  <c r="AW1536" i="4" s="1"/>
  <c r="AW1537" i="4" s="1"/>
  <c r="AW1538" i="4" s="1"/>
  <c r="AW1539" i="4" s="1"/>
  <c r="AW1540" i="4" s="1"/>
  <c r="AW1541" i="4" s="1"/>
  <c r="AW1542" i="4" s="1"/>
  <c r="AW1543" i="4" s="1"/>
  <c r="AW1544" i="4" s="1"/>
  <c r="AW1545" i="4" s="1"/>
  <c r="AW1546" i="4" s="1"/>
  <c r="AW1547" i="4" s="1"/>
  <c r="AW1548" i="4" s="1"/>
  <c r="AW1549" i="4" s="1"/>
  <c r="AW1550" i="4" s="1"/>
  <c r="AW1551" i="4" s="1"/>
  <c r="AW1552" i="4" s="1"/>
  <c r="AW1553" i="4" s="1"/>
  <c r="AW1554" i="4" s="1"/>
  <c r="AW1555" i="4" s="1"/>
  <c r="AW1556" i="4" s="1"/>
  <c r="AW1557" i="4" s="1"/>
  <c r="AW1558" i="4" s="1"/>
  <c r="AW1559" i="4" s="1"/>
  <c r="AW1560" i="4" s="1"/>
  <c r="AW1561" i="4" s="1"/>
  <c r="AW1562" i="4" s="1"/>
  <c r="AW1563" i="4" s="1"/>
  <c r="AW1564" i="4" s="1"/>
  <c r="AW1565" i="4" s="1"/>
  <c r="AW1566" i="4" s="1"/>
  <c r="AW1567" i="4" s="1"/>
  <c r="AW1568" i="4" s="1"/>
  <c r="AW1569" i="4" s="1"/>
  <c r="AW1570" i="4" s="1"/>
  <c r="AW1571" i="4" s="1"/>
  <c r="AW1572" i="4" s="1"/>
  <c r="AW1573" i="4" s="1"/>
  <c r="AW1574" i="4" s="1"/>
  <c r="AW1575" i="4" s="1"/>
  <c r="AW1576" i="4" s="1"/>
  <c r="AW1577" i="4" s="1"/>
  <c r="AW1578" i="4" s="1"/>
  <c r="AW1579" i="4" s="1"/>
  <c r="AW1580" i="4" s="1"/>
  <c r="AW1581" i="4" s="1"/>
  <c r="AW1582" i="4" s="1"/>
  <c r="AW1583" i="4" s="1"/>
  <c r="AW1584" i="4" s="1"/>
  <c r="AW1585" i="4" s="1"/>
  <c r="AW1586" i="4" s="1"/>
  <c r="AW1587" i="4" s="1"/>
  <c r="AW1588" i="4" s="1"/>
  <c r="AW1589" i="4" s="1"/>
  <c r="AW1590" i="4" s="1"/>
  <c r="AW1591" i="4" s="1"/>
  <c r="AW1592" i="4" s="1"/>
  <c r="AW1593" i="4" s="1"/>
  <c r="AW1594" i="4" s="1"/>
  <c r="AW1595" i="4" s="1"/>
  <c r="AW1596" i="4" s="1"/>
  <c r="AW1597" i="4" s="1"/>
  <c r="AW1598" i="4" s="1"/>
  <c r="AW1599" i="4" s="1"/>
  <c r="AW1600" i="4" s="1"/>
  <c r="AW1601" i="4" s="1"/>
  <c r="AW1602" i="4" s="1"/>
  <c r="AW1603" i="4" s="1"/>
  <c r="AW1604" i="4" s="1"/>
  <c r="AW1605" i="4" s="1"/>
  <c r="AW1606" i="4" s="1"/>
  <c r="AW1607" i="4" s="1"/>
  <c r="AW1608" i="4" s="1"/>
  <c r="AW1609" i="4" s="1"/>
  <c r="AW1610" i="4" s="1"/>
  <c r="AW1611" i="4" s="1"/>
  <c r="AW1612" i="4" s="1"/>
  <c r="AW1613" i="4" s="1"/>
  <c r="AW1614" i="4" s="1"/>
  <c r="AW1615" i="4" s="1"/>
  <c r="AW1616" i="4" s="1"/>
  <c r="AW1617" i="4" s="1"/>
  <c r="AW1618" i="4" s="1"/>
  <c r="AW1619" i="4" s="1"/>
  <c r="AW1620" i="4" s="1"/>
  <c r="AW1621" i="4" s="1"/>
  <c r="AW1622" i="4" s="1"/>
  <c r="AW1623" i="4" s="1"/>
  <c r="AW1624" i="4" s="1"/>
  <c r="AW1625" i="4" s="1"/>
  <c r="AW1626" i="4" s="1"/>
  <c r="AW1627" i="4" s="1"/>
  <c r="AW1628" i="4" s="1"/>
  <c r="AW1629" i="4" s="1"/>
  <c r="AW1630" i="4" s="1"/>
  <c r="AW1631" i="4" s="1"/>
  <c r="AW1632" i="4" s="1"/>
  <c r="AW1633" i="4" s="1"/>
  <c r="AW1634" i="4" s="1"/>
  <c r="AW1635" i="4" s="1"/>
  <c r="AW1636" i="4" s="1"/>
  <c r="AW1637" i="4" s="1"/>
  <c r="AW1638" i="4" s="1"/>
  <c r="AW1639" i="4" s="1"/>
  <c r="AW1640" i="4" s="1"/>
  <c r="AW1641" i="4" s="1"/>
  <c r="AW1642" i="4" s="1"/>
  <c r="AW1643" i="4" s="1"/>
  <c r="AW1644" i="4" s="1"/>
  <c r="AW1645" i="4" s="1"/>
  <c r="AW1646" i="4" s="1"/>
  <c r="AW1647" i="4" s="1"/>
  <c r="AW1648" i="4" s="1"/>
  <c r="AW1649" i="4" s="1"/>
  <c r="AW1650" i="4" s="1"/>
  <c r="AW1651" i="4" s="1"/>
  <c r="AW1652" i="4" s="1"/>
  <c r="AW1653" i="4" s="1"/>
  <c r="AW1654" i="4" s="1"/>
  <c r="AW1655" i="4" s="1"/>
  <c r="AW1656" i="4" s="1"/>
  <c r="AW1657" i="4" s="1"/>
  <c r="AW1658" i="4" s="1"/>
  <c r="AW1659" i="4" s="1"/>
  <c r="AW1660" i="4" s="1"/>
  <c r="AW1661" i="4" s="1"/>
  <c r="AW1662" i="4" s="1"/>
  <c r="AW1663" i="4" s="1"/>
  <c r="AW1664" i="4" s="1"/>
  <c r="AW1665" i="4" s="1"/>
  <c r="AW1666" i="4" s="1"/>
  <c r="AW1667" i="4" s="1"/>
  <c r="AW1668" i="4" s="1"/>
  <c r="AW1669" i="4" s="1"/>
  <c r="AW1670" i="4" s="1"/>
  <c r="AW1671" i="4" s="1"/>
  <c r="AW1672" i="4" s="1"/>
  <c r="AW1673" i="4" s="1"/>
  <c r="AW1674" i="4" s="1"/>
  <c r="AW1675" i="4" s="1"/>
  <c r="AW1676" i="4" s="1"/>
  <c r="AW1677" i="4" s="1"/>
  <c r="AW1678" i="4" s="1"/>
  <c r="AW1679" i="4" s="1"/>
  <c r="AW1680" i="4" s="1"/>
  <c r="AW1681" i="4" s="1"/>
  <c r="AW1682" i="4" s="1"/>
  <c r="AW1683" i="4" s="1"/>
  <c r="AW1684" i="4" s="1"/>
  <c r="AW1685" i="4" s="1"/>
  <c r="AW1686" i="4" s="1"/>
  <c r="AW1687" i="4" s="1"/>
  <c r="AW1688" i="4" s="1"/>
  <c r="AW1689" i="4" s="1"/>
  <c r="AW1690" i="4" s="1"/>
  <c r="AW1691" i="4" s="1"/>
  <c r="AW1692" i="4" s="1"/>
  <c r="AW1693" i="4" s="1"/>
  <c r="AW1694" i="4" s="1"/>
  <c r="AW1695" i="4" s="1"/>
  <c r="AW1696" i="4" s="1"/>
  <c r="AW1697" i="4" s="1"/>
  <c r="AW1698" i="4" s="1"/>
  <c r="AW1699" i="4" s="1"/>
  <c r="AW1700" i="4" s="1"/>
  <c r="AW1701" i="4" s="1"/>
  <c r="AW1702" i="4" s="1"/>
  <c r="AW1703" i="4" s="1"/>
  <c r="AW1704" i="4" s="1"/>
  <c r="AW1705" i="4" s="1"/>
  <c r="AW1706" i="4" s="1"/>
  <c r="AW1707" i="4" s="1"/>
  <c r="AW1708" i="4" s="1"/>
  <c r="AW1709" i="4" s="1"/>
  <c r="AW1710" i="4" s="1"/>
  <c r="AW1711" i="4" s="1"/>
  <c r="AW1712" i="4" s="1"/>
  <c r="AW1713" i="4" s="1"/>
  <c r="AW1714" i="4" s="1"/>
  <c r="AW1715" i="4" s="1"/>
  <c r="AW1716" i="4" s="1"/>
  <c r="AW1717" i="4" s="1"/>
  <c r="AW1718" i="4" s="1"/>
  <c r="AW1719" i="4" s="1"/>
  <c r="AW1720" i="4" s="1"/>
  <c r="AW1721" i="4" s="1"/>
  <c r="AW1722" i="4" s="1"/>
  <c r="AW1723" i="4" s="1"/>
  <c r="AW1724" i="4" s="1"/>
  <c r="AW1725" i="4" s="1"/>
  <c r="AW1726" i="4" s="1"/>
  <c r="AW1727" i="4" s="1"/>
  <c r="AW1728" i="4" s="1"/>
  <c r="AW1729" i="4" s="1"/>
  <c r="AW1730" i="4" s="1"/>
  <c r="AW1731" i="4" s="1"/>
  <c r="AW1732" i="4" s="1"/>
  <c r="AW1733" i="4" s="1"/>
  <c r="AW1734" i="4" s="1"/>
  <c r="AW1735" i="4" s="1"/>
  <c r="AW1736" i="4" s="1"/>
  <c r="AW1737" i="4" s="1"/>
  <c r="AW1738" i="4" s="1"/>
  <c r="AW1739" i="4" s="1"/>
  <c r="AW1740" i="4" s="1"/>
  <c r="AW1741" i="4" s="1"/>
  <c r="AW1742" i="4" s="1"/>
  <c r="AW1743" i="4" s="1"/>
  <c r="AW1744" i="4" s="1"/>
  <c r="AW1745" i="4" s="1"/>
  <c r="AW1746" i="4" s="1"/>
  <c r="AW1747" i="4" s="1"/>
  <c r="AW1748" i="4" s="1"/>
  <c r="AW1749" i="4" s="1"/>
  <c r="AW1750" i="4" s="1"/>
  <c r="AW1751" i="4" s="1"/>
  <c r="AW1752" i="4" s="1"/>
  <c r="AW1753" i="4" s="1"/>
  <c r="AW1754" i="4" s="1"/>
  <c r="AW1755" i="4" s="1"/>
  <c r="AW1756" i="4" s="1"/>
  <c r="AW1757" i="4" s="1"/>
  <c r="AW1758" i="4" s="1"/>
  <c r="AW1759" i="4" s="1"/>
  <c r="AW1760" i="4" s="1"/>
  <c r="AW1761" i="4" s="1"/>
  <c r="AW1762" i="4" s="1"/>
  <c r="AW1763" i="4" s="1"/>
  <c r="AW1764" i="4" s="1"/>
  <c r="AW1765" i="4" s="1"/>
  <c r="AW1766" i="4" s="1"/>
  <c r="AW1767" i="4" s="1"/>
  <c r="AW1768" i="4" s="1"/>
  <c r="AW1769" i="4" s="1"/>
  <c r="AW1770" i="4" s="1"/>
  <c r="AW1771" i="4" s="1"/>
  <c r="AW1772" i="4" s="1"/>
  <c r="AW1773" i="4" s="1"/>
  <c r="AW1774" i="4" s="1"/>
  <c r="AW1775" i="4" s="1"/>
  <c r="AW1776" i="4" s="1"/>
  <c r="AW1777" i="4" s="1"/>
  <c r="AW1778" i="4" s="1"/>
  <c r="AW1779" i="4" s="1"/>
  <c r="AW1780" i="4" s="1"/>
  <c r="AW1781" i="4" s="1"/>
  <c r="AW1782" i="4" s="1"/>
  <c r="AW1783" i="4" s="1"/>
  <c r="AW1784" i="4" s="1"/>
  <c r="AW1785" i="4" s="1"/>
  <c r="AW1786" i="4" s="1"/>
  <c r="AW1787" i="4" s="1"/>
  <c r="AW1788" i="4" s="1"/>
  <c r="AW1789" i="4" s="1"/>
  <c r="AW1790" i="4" s="1"/>
  <c r="AW1791" i="4" s="1"/>
  <c r="AW1792" i="4" s="1"/>
  <c r="AW1793" i="4" s="1"/>
  <c r="AW1794" i="4" s="1"/>
  <c r="AW1795" i="4" s="1"/>
  <c r="AW1796" i="4" s="1"/>
  <c r="AW1797" i="4" s="1"/>
  <c r="AW1798" i="4" s="1"/>
  <c r="AW1799" i="4" s="1"/>
  <c r="AW1800" i="4" s="1"/>
  <c r="AW1801" i="4" s="1"/>
  <c r="AW1802" i="4" s="1"/>
  <c r="AW1803" i="4" s="1"/>
  <c r="AW1804" i="4" s="1"/>
  <c r="AW1805" i="4" s="1"/>
  <c r="AW1806" i="4" s="1"/>
  <c r="AW1807" i="4" s="1"/>
  <c r="AW1808" i="4" s="1"/>
  <c r="AW1809" i="4" s="1"/>
  <c r="AW1810" i="4" s="1"/>
  <c r="AW1811" i="4" s="1"/>
  <c r="AW1812" i="4" s="1"/>
  <c r="AW1813" i="4" s="1"/>
  <c r="AW1814" i="4" s="1"/>
  <c r="AW1815" i="4" s="1"/>
  <c r="AW1816" i="4" s="1"/>
  <c r="AW1817" i="4" s="1"/>
  <c r="AW1818" i="4" s="1"/>
  <c r="AW1819" i="4" s="1"/>
  <c r="AW1820" i="4" s="1"/>
  <c r="AW1821" i="4" s="1"/>
  <c r="AW1822" i="4" s="1"/>
  <c r="AW1823" i="4" s="1"/>
  <c r="AW1824" i="4" s="1"/>
  <c r="AW1825" i="4" s="1"/>
  <c r="AW1826" i="4" s="1"/>
  <c r="AW1827" i="4" s="1"/>
  <c r="AW1828" i="4" s="1"/>
  <c r="AW1829" i="4" s="1"/>
  <c r="AW1830" i="4" s="1"/>
  <c r="AW1831" i="4" s="1"/>
  <c r="AW1832" i="4" s="1"/>
  <c r="AW1833" i="4" s="1"/>
  <c r="AW1834" i="4" s="1"/>
  <c r="AW1835" i="4" s="1"/>
  <c r="AW1836" i="4" s="1"/>
  <c r="AW1837" i="4" s="1"/>
  <c r="AW1838" i="4" s="1"/>
  <c r="AW1839" i="4" s="1"/>
  <c r="AW1840" i="4" s="1"/>
  <c r="AW1841" i="4" s="1"/>
  <c r="AW1842" i="4" s="1"/>
  <c r="AW1843" i="4" s="1"/>
  <c r="AW1844" i="4" s="1"/>
  <c r="AW1845" i="4" s="1"/>
  <c r="AW1846" i="4" s="1"/>
  <c r="AW1847" i="4" s="1"/>
  <c r="AW1848" i="4" s="1"/>
  <c r="AW1849" i="4" s="1"/>
  <c r="AW1850" i="4" s="1"/>
  <c r="AW1851" i="4" s="1"/>
  <c r="AW1852" i="4" s="1"/>
  <c r="AW1853" i="4" s="1"/>
  <c r="AW1854" i="4" s="1"/>
  <c r="AW1855" i="4" s="1"/>
  <c r="AW1856" i="4" s="1"/>
  <c r="AW1857" i="4" s="1"/>
  <c r="AW1858" i="4" s="1"/>
  <c r="AW1859" i="4" s="1"/>
  <c r="AW1860" i="4" s="1"/>
  <c r="AW1861" i="4" s="1"/>
  <c r="AW1862" i="4" s="1"/>
  <c r="AW1863" i="4" s="1"/>
  <c r="AW1864" i="4" s="1"/>
  <c r="AW1865" i="4" s="1"/>
  <c r="AW1866" i="4" s="1"/>
  <c r="AW1867" i="4" s="1"/>
  <c r="AW1868" i="4" s="1"/>
  <c r="AW1869" i="4" s="1"/>
  <c r="AW1870" i="4" s="1"/>
  <c r="AW1871" i="4" s="1"/>
  <c r="AW1872" i="4" s="1"/>
  <c r="AW1873" i="4" s="1"/>
  <c r="AW1874" i="4" s="1"/>
  <c r="AW1875" i="4" s="1"/>
  <c r="AW1876" i="4" s="1"/>
  <c r="AW1877" i="4" s="1"/>
  <c r="AW1878" i="4" s="1"/>
  <c r="AW1879" i="4" s="1"/>
  <c r="AW1880" i="4" s="1"/>
  <c r="AW1881" i="4" s="1"/>
  <c r="AW1882" i="4" s="1"/>
  <c r="AW1883" i="4" s="1"/>
  <c r="AW1884" i="4" s="1"/>
  <c r="AW1885" i="4" s="1"/>
  <c r="AW1886" i="4" s="1"/>
  <c r="AW1887" i="4" s="1"/>
  <c r="AW1888" i="4" s="1"/>
  <c r="AW1889" i="4" s="1"/>
  <c r="AW1890" i="4" s="1"/>
  <c r="AW1891" i="4" s="1"/>
  <c r="AW1892" i="4" s="1"/>
  <c r="AW1893" i="4" s="1"/>
  <c r="AW1894" i="4" s="1"/>
  <c r="AW1895" i="4" s="1"/>
  <c r="AW1896" i="4" s="1"/>
  <c r="AW1897" i="4" s="1"/>
  <c r="AW1898" i="4" s="1"/>
  <c r="AW1899" i="4" s="1"/>
  <c r="AW1900" i="4" s="1"/>
  <c r="AW1901" i="4" s="1"/>
  <c r="AW1902" i="4" s="1"/>
  <c r="AW1903" i="4" s="1"/>
  <c r="AW1904" i="4" s="1"/>
  <c r="AW1905" i="4" s="1"/>
  <c r="AW1906" i="4" s="1"/>
  <c r="AW1907" i="4" s="1"/>
  <c r="AW1908" i="4" s="1"/>
  <c r="AW1909" i="4" s="1"/>
  <c r="AW1910" i="4" s="1"/>
  <c r="AW1911" i="4" s="1"/>
  <c r="AW1912" i="4" s="1"/>
  <c r="AW1913" i="4" s="1"/>
  <c r="AW1914" i="4" s="1"/>
  <c r="AW1915" i="4" s="1"/>
  <c r="AW1916" i="4" s="1"/>
  <c r="AW1917" i="4" s="1"/>
  <c r="AW1918" i="4" s="1"/>
  <c r="AW1919" i="4" s="1"/>
  <c r="AW1920" i="4" s="1"/>
  <c r="AW1921" i="4" s="1"/>
  <c r="AW1922" i="4" s="1"/>
  <c r="AW1923" i="4" s="1"/>
  <c r="AW1924" i="4" s="1"/>
  <c r="AW1925" i="4" s="1"/>
  <c r="AW1926" i="4" s="1"/>
  <c r="AW1927" i="4" s="1"/>
  <c r="AW1928" i="4" s="1"/>
  <c r="AW1929" i="4" s="1"/>
  <c r="AW1930" i="4" s="1"/>
  <c r="AW1931" i="4" s="1"/>
  <c r="AW1932" i="4" s="1"/>
  <c r="AW1933" i="4" s="1"/>
  <c r="AW1934" i="4" s="1"/>
  <c r="AW1935" i="4" s="1"/>
  <c r="AW1936" i="4" s="1"/>
  <c r="AW1937" i="4" s="1"/>
  <c r="AW1938" i="4" s="1"/>
  <c r="AW1939" i="4" s="1"/>
  <c r="AW1940" i="4" s="1"/>
  <c r="AW1941" i="4" s="1"/>
  <c r="AW1942" i="4" s="1"/>
  <c r="AW1943" i="4" s="1"/>
  <c r="AW1944" i="4" s="1"/>
  <c r="AW1945" i="4" s="1"/>
  <c r="AW1946" i="4" s="1"/>
  <c r="AW1947" i="4" s="1"/>
  <c r="AW1948" i="4" s="1"/>
  <c r="AW1949" i="4" s="1"/>
  <c r="AW1950" i="4" s="1"/>
  <c r="AW1951" i="4" s="1"/>
  <c r="AW1952" i="4" s="1"/>
  <c r="AW1953" i="4" s="1"/>
  <c r="AW1954" i="4" s="1"/>
  <c r="AW1955" i="4" s="1"/>
  <c r="AW1956" i="4" s="1"/>
  <c r="AW1957" i="4" s="1"/>
  <c r="AW1958" i="4" s="1"/>
  <c r="AW1959" i="4" s="1"/>
  <c r="AW1960" i="4" s="1"/>
  <c r="AW1961" i="4" s="1"/>
  <c r="AW1962" i="4" s="1"/>
  <c r="AW1963" i="4" s="1"/>
  <c r="AW1964" i="4" s="1"/>
  <c r="AW1965" i="4" s="1"/>
  <c r="AW1966" i="4" s="1"/>
  <c r="AW1967" i="4" s="1"/>
  <c r="AW1968" i="4" s="1"/>
  <c r="AW1969" i="4" s="1"/>
  <c r="AW1970" i="4" s="1"/>
  <c r="AW1971" i="4" s="1"/>
  <c r="AW1972" i="4" s="1"/>
  <c r="AW1973" i="4" s="1"/>
  <c r="AW1974" i="4" s="1"/>
  <c r="AW1975" i="4" s="1"/>
  <c r="AW1976" i="4" s="1"/>
  <c r="AW1977" i="4" s="1"/>
  <c r="AW1978" i="4" s="1"/>
  <c r="AW1979" i="4" s="1"/>
  <c r="AW1980" i="4" s="1"/>
  <c r="AW1981" i="4" s="1"/>
  <c r="AW1982" i="4" s="1"/>
  <c r="AW1983" i="4" s="1"/>
  <c r="AW1984" i="4" s="1"/>
  <c r="AW1985" i="4" s="1"/>
  <c r="AW1986" i="4" s="1"/>
  <c r="AW1987" i="4" s="1"/>
  <c r="AW1988" i="4" s="1"/>
  <c r="AW1989" i="4" s="1"/>
  <c r="AW1990" i="4" s="1"/>
  <c r="AW1991" i="4" s="1"/>
  <c r="AW1992" i="4" s="1"/>
  <c r="AW1993" i="4" s="1"/>
  <c r="AW1994" i="4" s="1"/>
  <c r="AW1995" i="4" s="1"/>
  <c r="AW1996" i="4" s="1"/>
  <c r="AW1997" i="4" s="1"/>
  <c r="AW1998" i="4" s="1"/>
  <c r="AW1999" i="4" s="1"/>
  <c r="AW2000" i="4" s="1"/>
  <c r="AW2001" i="4" s="1"/>
  <c r="AW2002" i="4" s="1"/>
  <c r="AW2003" i="4" s="1"/>
  <c r="AW2004" i="4" s="1"/>
  <c r="AW2005" i="4" s="1"/>
  <c r="AW2006" i="4" s="1"/>
  <c r="AW2007" i="4" s="1"/>
  <c r="AW2008" i="4" s="1"/>
  <c r="AW2009" i="4" s="1"/>
  <c r="AW2010" i="4" s="1"/>
  <c r="AW2011" i="4" s="1"/>
  <c r="AW2012" i="4" s="1"/>
  <c r="AW2013" i="4" s="1"/>
  <c r="AW2014" i="4" s="1"/>
  <c r="AW2015" i="4" s="1"/>
  <c r="AW2016" i="4" s="1"/>
  <c r="AW2017" i="4" s="1"/>
  <c r="AW2018" i="4" s="1"/>
  <c r="AW2019" i="4" s="1"/>
  <c r="AW2020" i="4" s="1"/>
  <c r="AW2021" i="4" s="1"/>
  <c r="AW2022" i="4" s="1"/>
  <c r="AW2023" i="4" s="1"/>
  <c r="AW2024" i="4" s="1"/>
  <c r="AW2025" i="4" s="1"/>
  <c r="AW2026" i="4" s="1"/>
  <c r="AW2027" i="4" s="1"/>
  <c r="AW2028" i="4" s="1"/>
  <c r="AW2029" i="4" s="1"/>
  <c r="AW2030" i="4" s="1"/>
  <c r="AW2031" i="4" s="1"/>
  <c r="AW2032" i="4" s="1"/>
  <c r="AW2033" i="4" s="1"/>
  <c r="AW2034" i="4" s="1"/>
  <c r="AW2035" i="4" s="1"/>
  <c r="AW2036" i="4" s="1"/>
  <c r="AW2037" i="4" s="1"/>
  <c r="AW2038" i="4" s="1"/>
  <c r="AW2039" i="4" s="1"/>
  <c r="AW2040" i="4" s="1"/>
  <c r="AW2041" i="4" s="1"/>
  <c r="AW2042" i="4" s="1"/>
  <c r="AW2043" i="4" s="1"/>
  <c r="AW2044" i="4" s="1"/>
  <c r="AW2045" i="4" s="1"/>
  <c r="AW2046" i="4" s="1"/>
  <c r="AW2047" i="4" s="1"/>
  <c r="AW2048" i="4" s="1"/>
  <c r="AW2049" i="4" s="1"/>
  <c r="AW2050" i="4" s="1"/>
  <c r="AW2051" i="4" s="1"/>
  <c r="AW2052" i="4" s="1"/>
  <c r="AW2053" i="4" s="1"/>
  <c r="AW2054" i="4" s="1"/>
  <c r="AW2055" i="4" s="1"/>
  <c r="AW2056" i="4" s="1"/>
  <c r="AW2057" i="4" s="1"/>
  <c r="AW2058" i="4" s="1"/>
  <c r="AW2059" i="4" s="1"/>
  <c r="AW2060" i="4" s="1"/>
  <c r="AW2061" i="4" s="1"/>
  <c r="AW2062" i="4" s="1"/>
  <c r="AW2063" i="4" s="1"/>
  <c r="AW2064" i="4" s="1"/>
  <c r="AW2065" i="4" s="1"/>
  <c r="AW2066" i="4" s="1"/>
  <c r="AW2067" i="4" s="1"/>
  <c r="AW2068" i="4" s="1"/>
  <c r="AW2069" i="4" s="1"/>
  <c r="AW2070" i="4" s="1"/>
  <c r="AW2071" i="4" s="1"/>
  <c r="AW2072" i="4" s="1"/>
  <c r="AW2073" i="4" s="1"/>
  <c r="AW2074" i="4" s="1"/>
  <c r="AW2075" i="4" s="1"/>
  <c r="AW2076" i="4" s="1"/>
  <c r="AW2077" i="4" s="1"/>
  <c r="AW2078" i="4" s="1"/>
  <c r="AW2079" i="4" s="1"/>
  <c r="AW2080" i="4" s="1"/>
  <c r="AW2081" i="4" s="1"/>
  <c r="AW2082" i="4" s="1"/>
  <c r="AW2083" i="4" s="1"/>
  <c r="AW2084" i="4" s="1"/>
  <c r="AW2085" i="4" s="1"/>
  <c r="AW2086" i="4" s="1"/>
  <c r="AW2087" i="4" s="1"/>
  <c r="AW2088" i="4" s="1"/>
  <c r="AW2089" i="4" s="1"/>
  <c r="AW2090" i="4" s="1"/>
  <c r="AW2091" i="4" s="1"/>
  <c r="AW2092" i="4" s="1"/>
  <c r="AW2093" i="4" s="1"/>
  <c r="AW2094" i="4" s="1"/>
  <c r="AW2095" i="4" s="1"/>
  <c r="AW2096" i="4" s="1"/>
  <c r="AW2097" i="4" s="1"/>
  <c r="AW2098" i="4" s="1"/>
  <c r="AW2099" i="4" s="1"/>
  <c r="AW2100" i="4" s="1"/>
  <c r="AW2101" i="4" s="1"/>
  <c r="AW2102" i="4" s="1"/>
  <c r="AW2103" i="4" s="1"/>
  <c r="AW2104" i="4" s="1"/>
  <c r="AW2105" i="4" s="1"/>
  <c r="AW2106" i="4" s="1"/>
  <c r="AW2107" i="4" s="1"/>
  <c r="AW2108" i="4" s="1"/>
  <c r="AW2109" i="4" s="1"/>
  <c r="AW2110" i="4" s="1"/>
  <c r="AW2111" i="4" s="1"/>
  <c r="AW2112" i="4" s="1"/>
  <c r="AW2113" i="4" s="1"/>
  <c r="AW2114" i="4" s="1"/>
  <c r="AW2115" i="4" s="1"/>
  <c r="AW2116" i="4" s="1"/>
  <c r="AW2117" i="4" s="1"/>
  <c r="AW2118" i="4" s="1"/>
  <c r="AW2119" i="4" s="1"/>
  <c r="AW2120" i="4" s="1"/>
  <c r="AW2121" i="4" s="1"/>
  <c r="AW2122" i="4" s="1"/>
  <c r="AW2123" i="4" s="1"/>
  <c r="AW2124" i="4" s="1"/>
  <c r="AW2125" i="4" s="1"/>
  <c r="AW2126" i="4" s="1"/>
  <c r="AW2127" i="4" s="1"/>
  <c r="AW2128" i="4" s="1"/>
  <c r="AW2129" i="4" s="1"/>
  <c r="AW2130" i="4" s="1"/>
  <c r="AW2131" i="4" s="1"/>
  <c r="AW2132" i="4" s="1"/>
  <c r="AW2133" i="4" s="1"/>
  <c r="AW2134" i="4" s="1"/>
  <c r="AW2135" i="4" s="1"/>
  <c r="AW2136" i="4" s="1"/>
  <c r="AW2137" i="4" s="1"/>
  <c r="AW2138" i="4" s="1"/>
  <c r="AW2139" i="4" s="1"/>
  <c r="AW2140" i="4" s="1"/>
  <c r="AW2141" i="4" s="1"/>
  <c r="AW2142" i="4" s="1"/>
  <c r="AW2143" i="4" s="1"/>
  <c r="AW2144" i="4" s="1"/>
  <c r="AW2145" i="4" s="1"/>
  <c r="AW2146" i="4" s="1"/>
  <c r="AW2147" i="4" s="1"/>
  <c r="AW2148" i="4" s="1"/>
  <c r="AW2149" i="4" s="1"/>
  <c r="AW2150" i="4" s="1"/>
  <c r="AW2151" i="4" s="1"/>
  <c r="AW2152" i="4" s="1"/>
  <c r="AW2153" i="4" s="1"/>
  <c r="AW2154" i="4" s="1"/>
  <c r="AW2155" i="4" s="1"/>
  <c r="AW2156" i="4" s="1"/>
  <c r="AW2157" i="4" s="1"/>
  <c r="AW2158" i="4" s="1"/>
  <c r="AW2159" i="4" s="1"/>
  <c r="AW2160" i="4" s="1"/>
  <c r="AW2161" i="4" s="1"/>
  <c r="AW2162" i="4" s="1"/>
  <c r="AW2163" i="4" s="1"/>
  <c r="AW2164" i="4" s="1"/>
  <c r="AW2165" i="4" s="1"/>
  <c r="AW2166" i="4" s="1"/>
  <c r="AW2167" i="4" s="1"/>
  <c r="AW2168" i="4" s="1"/>
  <c r="AW2169" i="4" s="1"/>
  <c r="AW2170" i="4" s="1"/>
  <c r="AW2171" i="4" s="1"/>
  <c r="AW2172" i="4" s="1"/>
  <c r="AW2173" i="4" s="1"/>
  <c r="AW2174" i="4" s="1"/>
  <c r="AW2175" i="4" s="1"/>
  <c r="AW2176" i="4" s="1"/>
  <c r="AW2177" i="4" s="1"/>
  <c r="AW2178" i="4" s="1"/>
  <c r="AW2179" i="4" s="1"/>
  <c r="AW2180" i="4" s="1"/>
  <c r="AW2181" i="4" s="1"/>
  <c r="AW2182" i="4" s="1"/>
  <c r="AW2183" i="4" s="1"/>
  <c r="AW2184" i="4" s="1"/>
  <c r="AW2185" i="4" s="1"/>
  <c r="AW2186" i="4" s="1"/>
  <c r="AW2187" i="4" s="1"/>
  <c r="AW2188" i="4" s="1"/>
  <c r="AW2189" i="4" s="1"/>
  <c r="AW2190" i="4" s="1"/>
  <c r="AW2191" i="4" s="1"/>
  <c r="AW2192" i="4" s="1"/>
  <c r="AW2193" i="4" s="1"/>
  <c r="AW2194" i="4" s="1"/>
  <c r="AW2195" i="4" s="1"/>
  <c r="AW2196" i="4" s="1"/>
  <c r="AW2197" i="4" s="1"/>
  <c r="AW2198" i="4" s="1"/>
  <c r="AW2199" i="4" s="1"/>
  <c r="AW2200" i="4" s="1"/>
  <c r="AW2201" i="4" s="1"/>
  <c r="AW2202" i="4" s="1"/>
  <c r="AW2203" i="4" s="1"/>
  <c r="AW2204" i="4" s="1"/>
  <c r="AW2205" i="4" s="1"/>
  <c r="AW2206" i="4" s="1"/>
  <c r="AW2207" i="4" s="1"/>
  <c r="AW2208" i="4" s="1"/>
  <c r="AW2209" i="4" s="1"/>
  <c r="AW2210" i="4" s="1"/>
  <c r="AW2211" i="4" s="1"/>
  <c r="AW2212" i="4" s="1"/>
  <c r="AW2213" i="4" s="1"/>
  <c r="AW2214" i="4" s="1"/>
  <c r="AW2215" i="4" s="1"/>
  <c r="AW2216" i="4" s="1"/>
  <c r="AW2217" i="4" s="1"/>
  <c r="AW2218" i="4" s="1"/>
  <c r="AW2219" i="4" s="1"/>
  <c r="AW2220" i="4" s="1"/>
  <c r="AW2221" i="4" s="1"/>
  <c r="AW2222" i="4" s="1"/>
  <c r="AW2223" i="4" s="1"/>
  <c r="AW2224" i="4" s="1"/>
  <c r="AW2225" i="4" s="1"/>
  <c r="AW2226" i="4" s="1"/>
  <c r="AW2227" i="4" s="1"/>
  <c r="AW2228" i="4" s="1"/>
  <c r="AW2229" i="4" s="1"/>
  <c r="AW2230" i="4" s="1"/>
  <c r="AW2231" i="4" s="1"/>
  <c r="AW2232" i="4" s="1"/>
  <c r="AW2233" i="4" s="1"/>
  <c r="AW2234" i="4" s="1"/>
  <c r="AW2235" i="4" s="1"/>
  <c r="AW2236" i="4" s="1"/>
  <c r="AW2237" i="4" s="1"/>
  <c r="AW2238" i="4" s="1"/>
  <c r="AW2239" i="4" s="1"/>
  <c r="AW2240" i="4" s="1"/>
  <c r="AW2241" i="4" s="1"/>
  <c r="AW2242" i="4" s="1"/>
  <c r="AW2243" i="4" s="1"/>
  <c r="AW2244" i="4" s="1"/>
  <c r="AW2245" i="4" s="1"/>
  <c r="AW2246" i="4" s="1"/>
  <c r="AW2247" i="4" s="1"/>
  <c r="AW2248" i="4" s="1"/>
  <c r="AW2249" i="4" s="1"/>
  <c r="AW2250" i="4" s="1"/>
  <c r="AW2251" i="4" s="1"/>
  <c r="AW2252" i="4" s="1"/>
  <c r="AW2253" i="4" s="1"/>
  <c r="AW2254" i="4" s="1"/>
  <c r="AW2255" i="4" s="1"/>
  <c r="AW2256" i="4" s="1"/>
  <c r="AW2257" i="4" s="1"/>
  <c r="AW2258" i="4" s="1"/>
  <c r="AW2259" i="4" s="1"/>
  <c r="AW2260" i="4" s="1"/>
  <c r="AW2261" i="4" s="1"/>
  <c r="AW2262" i="4" s="1"/>
  <c r="AW2263" i="4" s="1"/>
  <c r="AW2264" i="4" s="1"/>
  <c r="AW2265" i="4" s="1"/>
  <c r="AW2266" i="4" s="1"/>
  <c r="AW2267" i="4" s="1"/>
  <c r="AW2268" i="4" s="1"/>
  <c r="AW2269" i="4" s="1"/>
  <c r="AW2270" i="4" s="1"/>
  <c r="AW2271" i="4" s="1"/>
  <c r="AW2272" i="4" s="1"/>
  <c r="AW2273" i="4" s="1"/>
  <c r="AW2274" i="4" s="1"/>
  <c r="AW2275" i="4" s="1"/>
  <c r="AW2276" i="4" s="1"/>
  <c r="AW2277" i="4" s="1"/>
  <c r="AW2278" i="4" s="1"/>
  <c r="AW2279" i="4" s="1"/>
  <c r="AW2280" i="4" s="1"/>
  <c r="AW2281" i="4" s="1"/>
  <c r="AW2282" i="4" s="1"/>
  <c r="AW2283" i="4" s="1"/>
  <c r="AW2284" i="4" s="1"/>
  <c r="AW2285" i="4" s="1"/>
  <c r="AW2286" i="4" s="1"/>
  <c r="AW2287" i="4" s="1"/>
  <c r="AW2288" i="4" s="1"/>
  <c r="AW2289" i="4" s="1"/>
  <c r="AW2290" i="4" s="1"/>
  <c r="AW2291" i="4" s="1"/>
  <c r="AW2292" i="4" s="1"/>
  <c r="AW2293" i="4" s="1"/>
  <c r="AW2294" i="4" s="1"/>
  <c r="AW2295" i="4" s="1"/>
  <c r="AW2296" i="4" s="1"/>
  <c r="AW2297" i="4" s="1"/>
  <c r="AW2298" i="4" s="1"/>
  <c r="AW2299" i="4" s="1"/>
  <c r="AW2300" i="4" s="1"/>
  <c r="AW2301" i="4" s="1"/>
  <c r="AW2302" i="4" s="1"/>
  <c r="AW2303" i="4" s="1"/>
  <c r="AW2304" i="4" s="1"/>
  <c r="AW2305" i="4" s="1"/>
  <c r="AW2306" i="4" s="1"/>
  <c r="AW2307" i="4" s="1"/>
  <c r="AW2308" i="4" s="1"/>
  <c r="AW2309" i="4" s="1"/>
  <c r="AW2310" i="4" s="1"/>
  <c r="AW2311" i="4" s="1"/>
  <c r="AW2312" i="4" s="1"/>
  <c r="AW2313" i="4" s="1"/>
  <c r="AW2314" i="4" s="1"/>
  <c r="AW2315" i="4" s="1"/>
  <c r="AW2316" i="4" s="1"/>
  <c r="AW2317" i="4" s="1"/>
  <c r="AW2318" i="4" s="1"/>
  <c r="AW2319" i="4" s="1"/>
  <c r="AW2320" i="4" s="1"/>
  <c r="AW2321" i="4" s="1"/>
  <c r="AW2322" i="4" s="1"/>
  <c r="AW2323" i="4" s="1"/>
  <c r="AW2324" i="4" s="1"/>
  <c r="AW2325" i="4" s="1"/>
  <c r="AW2326" i="4" s="1"/>
  <c r="AW2327" i="4" s="1"/>
  <c r="AW2328" i="4" s="1"/>
  <c r="AW2329" i="4" s="1"/>
  <c r="AW2330" i="4" s="1"/>
  <c r="AW2331" i="4" s="1"/>
  <c r="AW2332" i="4" s="1"/>
  <c r="AW2333" i="4" s="1"/>
  <c r="AW2334" i="4" s="1"/>
  <c r="AW2335" i="4" s="1"/>
  <c r="AW2336" i="4" s="1"/>
  <c r="AW2337" i="4" s="1"/>
  <c r="AW2338" i="4" s="1"/>
  <c r="AW2339" i="4" s="1"/>
  <c r="AW2340" i="4" s="1"/>
  <c r="AW2341" i="4" s="1"/>
  <c r="AW2342" i="4" s="1"/>
  <c r="AW2343" i="4" s="1"/>
  <c r="AW2344" i="4" s="1"/>
  <c r="AW2345" i="4" s="1"/>
  <c r="AW2346" i="4" s="1"/>
  <c r="AW2347" i="4" s="1"/>
  <c r="AW2348" i="4" s="1"/>
  <c r="AW2349" i="4" s="1"/>
  <c r="AW2350" i="4" s="1"/>
  <c r="AW2351" i="4" s="1"/>
  <c r="AW2352" i="4" s="1"/>
  <c r="AW2353" i="4" s="1"/>
  <c r="AW2354" i="4" s="1"/>
  <c r="AW2355" i="4" s="1"/>
  <c r="AW2356" i="4" s="1"/>
  <c r="AW2357" i="4" s="1"/>
  <c r="AW2358" i="4" s="1"/>
  <c r="AW2359" i="4" s="1"/>
  <c r="AW2360" i="4" s="1"/>
  <c r="AW2361" i="4" s="1"/>
  <c r="AW2362" i="4" s="1"/>
  <c r="AW2363" i="4" s="1"/>
  <c r="AW2364" i="4" s="1"/>
  <c r="AW2365" i="4" s="1"/>
  <c r="AW2366" i="4" s="1"/>
  <c r="AW2367" i="4" s="1"/>
  <c r="AW2368" i="4" s="1"/>
  <c r="AW2369" i="4" s="1"/>
  <c r="AW2370" i="4" s="1"/>
  <c r="AW2371" i="4" s="1"/>
  <c r="AW2372" i="4" s="1"/>
  <c r="AW2373" i="4" s="1"/>
  <c r="AW2374" i="4" s="1"/>
  <c r="AW2375" i="4" s="1"/>
  <c r="AW2376" i="4" s="1"/>
  <c r="AW2377" i="4" s="1"/>
  <c r="AW2378" i="4" s="1"/>
  <c r="AW2379" i="4" s="1"/>
  <c r="AW2380" i="4" s="1"/>
  <c r="AW2381" i="4" s="1"/>
  <c r="AW2382" i="4" s="1"/>
  <c r="AW2383" i="4" s="1"/>
  <c r="AW2384" i="4" s="1"/>
  <c r="AW2385" i="4" s="1"/>
  <c r="AW2386" i="4" s="1"/>
  <c r="AW2387" i="4" s="1"/>
  <c r="AW2388" i="4" s="1"/>
  <c r="AW2389" i="4" s="1"/>
  <c r="AW2390" i="4" s="1"/>
  <c r="AW2391" i="4" s="1"/>
  <c r="AW2392" i="4" s="1"/>
  <c r="AW2393" i="4" s="1"/>
  <c r="AW2394" i="4" s="1"/>
  <c r="AW2395" i="4" s="1"/>
  <c r="AW2396" i="4" s="1"/>
  <c r="AW2397" i="4" s="1"/>
  <c r="AW2398" i="4" s="1"/>
  <c r="AW2399" i="4" s="1"/>
  <c r="AW2400" i="4" s="1"/>
  <c r="AW2401" i="4" s="1"/>
  <c r="AW2402" i="4" s="1"/>
  <c r="AW2403" i="4" s="1"/>
  <c r="AW2404" i="4" s="1"/>
  <c r="AW2405" i="4" s="1"/>
  <c r="AW2406" i="4" s="1"/>
  <c r="AW2407" i="4" s="1"/>
  <c r="AW2408" i="4" s="1"/>
  <c r="AW2409" i="4" s="1"/>
  <c r="AW2410" i="4" s="1"/>
  <c r="AW2411" i="4" s="1"/>
  <c r="AW2412" i="4" s="1"/>
  <c r="AW2413" i="4" s="1"/>
  <c r="AW2414" i="4" s="1"/>
  <c r="AW2415" i="4" s="1"/>
  <c r="AW2416" i="4" s="1"/>
  <c r="AW2417" i="4" s="1"/>
  <c r="AW2418" i="4" s="1"/>
  <c r="AW2419" i="4" s="1"/>
  <c r="AW2420" i="4" s="1"/>
  <c r="AW2421" i="4" s="1"/>
  <c r="AW2422" i="4" s="1"/>
  <c r="AW2423" i="4" s="1"/>
  <c r="AW2424" i="4" s="1"/>
  <c r="AW2425" i="4" s="1"/>
  <c r="AW2426" i="4" s="1"/>
  <c r="AW2427" i="4" s="1"/>
  <c r="AW2428" i="4" s="1"/>
  <c r="AW2429" i="4" s="1"/>
  <c r="AW2430" i="4" s="1"/>
  <c r="AW2431" i="4" s="1"/>
  <c r="AW2432" i="4" s="1"/>
  <c r="AW2433" i="4" s="1"/>
  <c r="AW2434" i="4" s="1"/>
  <c r="AW2435" i="4" s="1"/>
  <c r="AW2436" i="4" s="1"/>
  <c r="AW2437" i="4" s="1"/>
  <c r="AW2438" i="4" s="1"/>
  <c r="AW2439" i="4" s="1"/>
  <c r="AW2440" i="4" s="1"/>
  <c r="AW2441" i="4" s="1"/>
  <c r="AW2442" i="4" s="1"/>
  <c r="AW2443" i="4" s="1"/>
  <c r="AW2444" i="4" s="1"/>
  <c r="AW2445" i="4" s="1"/>
  <c r="AW2446" i="4" s="1"/>
  <c r="AW2447" i="4" s="1"/>
  <c r="AW2448" i="4" s="1"/>
  <c r="AW2449" i="4" s="1"/>
  <c r="AW2450" i="4" s="1"/>
  <c r="AW2451" i="4" s="1"/>
  <c r="AW2452" i="4" s="1"/>
  <c r="AW2453" i="4" s="1"/>
  <c r="AW2454" i="4" s="1"/>
  <c r="AW2455" i="4" s="1"/>
  <c r="AW2456" i="4" s="1"/>
  <c r="AW2457" i="4" s="1"/>
  <c r="AW2458" i="4" s="1"/>
  <c r="AW2459" i="4" s="1"/>
  <c r="AW2460" i="4" s="1"/>
  <c r="AW2461" i="4" s="1"/>
  <c r="AW2462" i="4" s="1"/>
  <c r="AW2463" i="4" s="1"/>
  <c r="AW2464" i="4" s="1"/>
  <c r="AW2465" i="4" s="1"/>
  <c r="AW2466" i="4" s="1"/>
  <c r="AW2467" i="4" s="1"/>
  <c r="AW2468" i="4" s="1"/>
  <c r="AW2469" i="4" s="1"/>
  <c r="AW2470" i="4" s="1"/>
  <c r="AW2471" i="4" s="1"/>
  <c r="AW2472" i="4" s="1"/>
  <c r="AW2473" i="4" s="1"/>
  <c r="AW2474" i="4" s="1"/>
  <c r="AW2475" i="4" s="1"/>
  <c r="AW2476" i="4" s="1"/>
  <c r="AW2477" i="4" s="1"/>
  <c r="AW2478" i="4" s="1"/>
  <c r="AW2479" i="4" s="1"/>
  <c r="AW2480" i="4" s="1"/>
  <c r="AW2481" i="4" s="1"/>
  <c r="AW2482" i="4" s="1"/>
  <c r="AW2483" i="4" s="1"/>
  <c r="AW2484" i="4" s="1"/>
  <c r="AW2485" i="4" s="1"/>
  <c r="AW2486" i="4" s="1"/>
  <c r="AW2487" i="4" s="1"/>
  <c r="AW2488" i="4" s="1"/>
  <c r="AW2489" i="4" s="1"/>
  <c r="AW2490" i="4" s="1"/>
  <c r="AW2491" i="4" s="1"/>
  <c r="AW2492" i="4" s="1"/>
  <c r="AW2493" i="4" s="1"/>
  <c r="AW2494" i="4" s="1"/>
  <c r="AW2495" i="4" s="1"/>
  <c r="AW2496" i="4" s="1"/>
  <c r="AW2497" i="4" s="1"/>
  <c r="AW2498" i="4" s="1"/>
  <c r="AW2499" i="4" s="1"/>
  <c r="AW2500" i="4" s="1"/>
  <c r="AW2501" i="4" s="1"/>
  <c r="AW2502" i="4" s="1"/>
  <c r="AW2503" i="4" s="1"/>
  <c r="AW2504" i="4" s="1"/>
  <c r="AW2505" i="4" s="1"/>
  <c r="AW2506" i="4" s="1"/>
  <c r="AW2507" i="4" s="1"/>
  <c r="AW2508" i="4" s="1"/>
  <c r="AW2509" i="4" s="1"/>
  <c r="AW2510" i="4" s="1"/>
  <c r="AW2511" i="4" s="1"/>
  <c r="AW2512" i="4" s="1"/>
  <c r="AW2513" i="4" s="1"/>
  <c r="AW2514" i="4" s="1"/>
  <c r="AW2515" i="4" s="1"/>
  <c r="AW2516" i="4" s="1"/>
  <c r="AW2517" i="4" s="1"/>
  <c r="AW2518" i="4" s="1"/>
  <c r="AW2519" i="4" s="1"/>
  <c r="AW2520" i="4" s="1"/>
  <c r="AW2521" i="4" s="1"/>
  <c r="AW2522" i="4" s="1"/>
  <c r="AW2523" i="4" s="1"/>
  <c r="AW2524" i="4" s="1"/>
  <c r="AW2525" i="4" s="1"/>
  <c r="AW2526" i="4" s="1"/>
  <c r="AW2527" i="4" s="1"/>
  <c r="AW2528" i="4" s="1"/>
  <c r="AW2529" i="4" s="1"/>
  <c r="AW2530" i="4" s="1"/>
  <c r="AW2531" i="4" s="1"/>
  <c r="AW2532" i="4" s="1"/>
  <c r="AW2533" i="4" s="1"/>
  <c r="AW2534" i="4" s="1"/>
  <c r="AW2535" i="4" s="1"/>
  <c r="AW2536" i="4" s="1"/>
  <c r="AW2537" i="4" s="1"/>
  <c r="AW2538" i="4" s="1"/>
  <c r="AW2539" i="4" s="1"/>
  <c r="AW2540" i="4" s="1"/>
  <c r="AW2541" i="4" s="1"/>
  <c r="AW2542" i="4" s="1"/>
  <c r="AW2543" i="4" s="1"/>
  <c r="AW2544" i="4" s="1"/>
  <c r="AW2545" i="4" s="1"/>
  <c r="AW2546" i="4" s="1"/>
  <c r="AW2547" i="4" s="1"/>
  <c r="AW2548" i="4" s="1"/>
  <c r="AW2549" i="4" s="1"/>
  <c r="AW2550" i="4" s="1"/>
  <c r="AW2551" i="4" s="1"/>
  <c r="AW2552" i="4" s="1"/>
  <c r="AW2553" i="4" s="1"/>
  <c r="AW2554" i="4" s="1"/>
  <c r="AW2555" i="4" s="1"/>
  <c r="AW2556" i="4" s="1"/>
  <c r="AW2557" i="4" s="1"/>
  <c r="AW2558" i="4" s="1"/>
  <c r="AW2559" i="4" s="1"/>
  <c r="AW2560" i="4" s="1"/>
  <c r="AW2561" i="4" s="1"/>
  <c r="AW2562" i="4" s="1"/>
  <c r="AW2563" i="4" s="1"/>
  <c r="AW2564" i="4" s="1"/>
  <c r="AW2565" i="4" s="1"/>
  <c r="AW2566" i="4" s="1"/>
  <c r="AW2567" i="4" s="1"/>
  <c r="AW2568" i="4" s="1"/>
  <c r="AW2569" i="4" s="1"/>
  <c r="AW2570" i="4" s="1"/>
  <c r="AW2571" i="4" s="1"/>
  <c r="AW2572" i="4" s="1"/>
  <c r="AW2573" i="4" s="1"/>
  <c r="AW2574" i="4" s="1"/>
  <c r="AW2575" i="4" s="1"/>
  <c r="AW2576" i="4" s="1"/>
  <c r="AW2577" i="4" s="1"/>
  <c r="AW2578" i="4" s="1"/>
  <c r="AW2579" i="4" s="1"/>
  <c r="AW2580" i="4" s="1"/>
  <c r="AW2581" i="4" s="1"/>
  <c r="AW2582" i="4" s="1"/>
  <c r="AW2583" i="4" s="1"/>
  <c r="AW2584" i="4" s="1"/>
  <c r="AW2585" i="4" s="1"/>
  <c r="AW2586" i="4" s="1"/>
  <c r="AW2587" i="4" s="1"/>
  <c r="AW2588" i="4" s="1"/>
  <c r="AW2589" i="4" s="1"/>
  <c r="AW2590" i="4" s="1"/>
  <c r="AW2591" i="4" s="1"/>
  <c r="AW2592" i="4" s="1"/>
  <c r="AW2593" i="4" s="1"/>
  <c r="AW2594" i="4" s="1"/>
  <c r="AW2595" i="4" s="1"/>
  <c r="AW2596" i="4" s="1"/>
  <c r="AW2597" i="4" s="1"/>
  <c r="AW2598" i="4" s="1"/>
  <c r="AW2599" i="4" s="1"/>
  <c r="AW2600" i="4" s="1"/>
  <c r="AW2601" i="4" s="1"/>
  <c r="AW2602" i="4" s="1"/>
  <c r="AW2603" i="4" s="1"/>
  <c r="AW2604" i="4" s="1"/>
  <c r="AW2605" i="4" s="1"/>
  <c r="AW2606" i="4" s="1"/>
  <c r="AW2607" i="4" s="1"/>
  <c r="AW2608" i="4" s="1"/>
  <c r="AW2609" i="4" s="1"/>
  <c r="AW2610" i="4" s="1"/>
  <c r="AW2611" i="4" s="1"/>
  <c r="AW2612" i="4" s="1"/>
  <c r="AW2613" i="4" s="1"/>
  <c r="AW2614" i="4" s="1"/>
  <c r="AW2615" i="4" s="1"/>
  <c r="AW2616" i="4" s="1"/>
  <c r="AW2617" i="4" s="1"/>
  <c r="AW2618" i="4" s="1"/>
  <c r="AW2619" i="4" s="1"/>
  <c r="AW2620" i="4" s="1"/>
  <c r="AW2621" i="4" s="1"/>
  <c r="AW2622" i="4" s="1"/>
  <c r="AW2623" i="4" s="1"/>
  <c r="AW2624" i="4" s="1"/>
  <c r="AW2625" i="4" s="1"/>
  <c r="AW2626" i="4" s="1"/>
  <c r="AW2627" i="4" s="1"/>
  <c r="AW2628" i="4" s="1"/>
  <c r="AW2629" i="4" s="1"/>
  <c r="AW2630" i="4" s="1"/>
  <c r="AW2631" i="4" s="1"/>
  <c r="AW2632" i="4" s="1"/>
  <c r="AW2633" i="4" s="1"/>
  <c r="AW2634" i="4" s="1"/>
  <c r="AW2635" i="4" s="1"/>
  <c r="AW2636" i="4" s="1"/>
  <c r="AW2637" i="4" s="1"/>
  <c r="AW2638" i="4" s="1"/>
  <c r="AW2639" i="4" s="1"/>
  <c r="AW2640" i="4" s="1"/>
  <c r="AW2641" i="4" s="1"/>
  <c r="AW2642" i="4" s="1"/>
  <c r="AW2643" i="4" s="1"/>
  <c r="AW2644" i="4" s="1"/>
  <c r="AW2645" i="4" s="1"/>
  <c r="AW2646" i="4" s="1"/>
  <c r="AW2647" i="4" s="1"/>
  <c r="AW2648" i="4" s="1"/>
  <c r="AW2649" i="4" s="1"/>
  <c r="AW2650" i="4" s="1"/>
  <c r="AW2651" i="4" s="1"/>
  <c r="AW2652" i="4" s="1"/>
  <c r="AW2653" i="4" s="1"/>
  <c r="AW2654" i="4" s="1"/>
  <c r="AW2655" i="4" s="1"/>
  <c r="AW2656" i="4" s="1"/>
  <c r="AW2657" i="4" s="1"/>
  <c r="AW2658" i="4" s="1"/>
  <c r="AW2659" i="4" s="1"/>
  <c r="AW2660" i="4" s="1"/>
  <c r="AW2661" i="4" s="1"/>
  <c r="AW2662" i="4" s="1"/>
  <c r="AW2663" i="4" s="1"/>
  <c r="AW2664" i="4" s="1"/>
  <c r="AW2665" i="4" s="1"/>
  <c r="AW2666" i="4" s="1"/>
  <c r="AW2667" i="4" s="1"/>
  <c r="AW2668" i="4" s="1"/>
  <c r="AW2669" i="4" s="1"/>
  <c r="AW2670" i="4" s="1"/>
  <c r="AW2671" i="4" s="1"/>
  <c r="AW2672" i="4" s="1"/>
  <c r="AW2673" i="4" s="1"/>
  <c r="AW2674" i="4" s="1"/>
  <c r="AW2675" i="4" s="1"/>
  <c r="AW2676" i="4" s="1"/>
  <c r="AW2677" i="4" s="1"/>
  <c r="AW2678" i="4" s="1"/>
  <c r="AW2679" i="4" s="1"/>
  <c r="AW2680" i="4" s="1"/>
  <c r="AW2681" i="4" s="1"/>
  <c r="AW2682" i="4" s="1"/>
  <c r="AW2683" i="4" s="1"/>
  <c r="AW2684" i="4" s="1"/>
  <c r="AW2685" i="4" s="1"/>
  <c r="AW2686" i="4" s="1"/>
  <c r="AW2687" i="4" s="1"/>
  <c r="AW2688" i="4" s="1"/>
  <c r="AW2689" i="4" s="1"/>
  <c r="AW2690" i="4" s="1"/>
  <c r="AW2691" i="4" s="1"/>
  <c r="AW2692" i="4" s="1"/>
  <c r="AW2693" i="4" s="1"/>
  <c r="AW2694" i="4" s="1"/>
  <c r="AW2695" i="4" s="1"/>
  <c r="AW2696" i="4" s="1"/>
  <c r="AW2697" i="4" s="1"/>
  <c r="AW2698" i="4" s="1"/>
  <c r="AW2699" i="4" s="1"/>
  <c r="AW2700" i="4" s="1"/>
  <c r="AW2701" i="4" s="1"/>
  <c r="AW2702" i="4" s="1"/>
  <c r="AW2703" i="4" s="1"/>
  <c r="AW2704" i="4" s="1"/>
  <c r="AW2705" i="4" s="1"/>
  <c r="AW2706" i="4" s="1"/>
  <c r="AW2707" i="4" s="1"/>
  <c r="AW2708" i="4" s="1"/>
  <c r="AW2709" i="4" s="1"/>
  <c r="AW2710" i="4" s="1"/>
  <c r="AW2711" i="4" s="1"/>
  <c r="AW2712" i="4" s="1"/>
  <c r="AW2713" i="4" s="1"/>
  <c r="AW2714" i="4" s="1"/>
  <c r="AW2715" i="4" s="1"/>
  <c r="AW2716" i="4" s="1"/>
  <c r="AW2717" i="4" s="1"/>
  <c r="AW2718" i="4" s="1"/>
  <c r="AW2719" i="4" s="1"/>
  <c r="AW2720" i="4" s="1"/>
  <c r="AW2721" i="4" s="1"/>
  <c r="AW2722" i="4" s="1"/>
  <c r="AW2723" i="4" s="1"/>
  <c r="AW2724" i="4" s="1"/>
  <c r="AW2725" i="4" s="1"/>
  <c r="AW2726" i="4" s="1"/>
  <c r="AW2727" i="4" s="1"/>
  <c r="AW2728" i="4" s="1"/>
  <c r="AW2729" i="4" s="1"/>
  <c r="AW2730" i="4" s="1"/>
  <c r="AW2731" i="4" s="1"/>
  <c r="AW2732" i="4" s="1"/>
  <c r="AW2733" i="4" s="1"/>
  <c r="AW2734" i="4" s="1"/>
  <c r="AW2735" i="4" s="1"/>
  <c r="AW2736" i="4" s="1"/>
  <c r="AW2737" i="4" s="1"/>
  <c r="AW2738" i="4" s="1"/>
  <c r="AW2739" i="4" s="1"/>
  <c r="AW2740" i="4" s="1"/>
  <c r="AW2741" i="4" s="1"/>
  <c r="AW2742" i="4" s="1"/>
  <c r="AW2743" i="4" s="1"/>
  <c r="AW2744" i="4" s="1"/>
  <c r="AW2745" i="4" s="1"/>
  <c r="AW2746" i="4" s="1"/>
  <c r="AW2747" i="4" s="1"/>
  <c r="AW2748" i="4" s="1"/>
  <c r="AW2749" i="4" s="1"/>
  <c r="AW2750" i="4" s="1"/>
  <c r="AW2751" i="4" s="1"/>
  <c r="AW2752" i="4" s="1"/>
  <c r="AW2753" i="4" s="1"/>
  <c r="AW2754" i="4" s="1"/>
  <c r="AW2755" i="4" s="1"/>
  <c r="AW2756" i="4" s="1"/>
  <c r="AW2757" i="4" s="1"/>
  <c r="AW2758" i="4" s="1"/>
  <c r="AW2759" i="4" s="1"/>
  <c r="AW2760" i="4" s="1"/>
  <c r="AW2761" i="4" s="1"/>
  <c r="AW2762" i="4" s="1"/>
  <c r="AW2763" i="4" s="1"/>
  <c r="AW2764" i="4" s="1"/>
  <c r="AW2765" i="4" s="1"/>
  <c r="AW2766" i="4" s="1"/>
  <c r="AW2767" i="4" s="1"/>
  <c r="AW2768" i="4" s="1"/>
  <c r="AW2769" i="4" s="1"/>
  <c r="AW2770" i="4" s="1"/>
  <c r="AW2771" i="4" s="1"/>
  <c r="AW2772" i="4" s="1"/>
  <c r="AW2773" i="4" s="1"/>
  <c r="AW2774" i="4" s="1"/>
  <c r="AW2775" i="4" s="1"/>
  <c r="AW2776" i="4" s="1"/>
  <c r="AW2777" i="4" s="1"/>
  <c r="AW2778" i="4" s="1"/>
  <c r="AW2779" i="4" s="1"/>
  <c r="AW2780" i="4" s="1"/>
  <c r="AW2781" i="4" s="1"/>
  <c r="AW2782" i="4" s="1"/>
  <c r="AW2783" i="4" s="1"/>
  <c r="AW2784" i="4" s="1"/>
  <c r="AW2785" i="4" s="1"/>
  <c r="AW2786" i="4" s="1"/>
  <c r="AW2787" i="4" s="1"/>
  <c r="AW2788" i="4" s="1"/>
  <c r="AW2789" i="4" s="1"/>
  <c r="AW2790" i="4" s="1"/>
  <c r="AW2791" i="4" s="1"/>
  <c r="AW2792" i="4" s="1"/>
  <c r="AW2793" i="4" s="1"/>
  <c r="AW2794" i="4" s="1"/>
  <c r="AW2795" i="4" s="1"/>
  <c r="AW2796" i="4" s="1"/>
  <c r="AW2797" i="4" s="1"/>
  <c r="AW2798" i="4" s="1"/>
  <c r="AW2799" i="4" s="1"/>
  <c r="AW2800" i="4" s="1"/>
  <c r="AW2801" i="4" s="1"/>
  <c r="AW2802" i="4" s="1"/>
  <c r="AW2803" i="4" s="1"/>
  <c r="AW2804" i="4" s="1"/>
  <c r="AW2805" i="4" s="1"/>
  <c r="AW2806" i="4" s="1"/>
  <c r="AW2807" i="4" s="1"/>
  <c r="AW2808" i="4" s="1"/>
  <c r="AW2809" i="4" s="1"/>
  <c r="AW2810" i="4" s="1"/>
  <c r="AW2811" i="4" s="1"/>
  <c r="AW2812" i="4" s="1"/>
  <c r="AW2813" i="4" s="1"/>
  <c r="AW2814" i="4" s="1"/>
  <c r="AW2815" i="4" s="1"/>
  <c r="AW2816" i="4" s="1"/>
  <c r="AW2817" i="4" s="1"/>
  <c r="AW2818" i="4" s="1"/>
  <c r="AW2819" i="4" s="1"/>
  <c r="AW2820" i="4" s="1"/>
  <c r="AW2821" i="4" s="1"/>
  <c r="AW2822" i="4" s="1"/>
  <c r="AW2823" i="4" s="1"/>
  <c r="AW2824" i="4" s="1"/>
  <c r="AW2825" i="4" s="1"/>
  <c r="AW2826" i="4" s="1"/>
  <c r="AW2827" i="4" s="1"/>
  <c r="AW2828" i="4" s="1"/>
  <c r="AW2829" i="4" s="1"/>
  <c r="AW2830" i="4" s="1"/>
  <c r="AW2831" i="4" s="1"/>
  <c r="AW2832" i="4" s="1"/>
  <c r="AW2833" i="4" s="1"/>
  <c r="AW2834" i="4" s="1"/>
  <c r="AW2835" i="4" s="1"/>
  <c r="AW2836" i="4" s="1"/>
  <c r="AW2837" i="4" s="1"/>
  <c r="AW2838" i="4" s="1"/>
  <c r="AW2839" i="4" s="1"/>
  <c r="AW2840" i="4" s="1"/>
  <c r="AW2841" i="4" s="1"/>
  <c r="AW2842" i="4" s="1"/>
  <c r="AW2843" i="4" s="1"/>
  <c r="AW2844" i="4" s="1"/>
  <c r="AW2845" i="4" s="1"/>
  <c r="AW2846" i="4" s="1"/>
  <c r="AW2847" i="4" s="1"/>
  <c r="AW2848" i="4" s="1"/>
  <c r="AW2849" i="4" s="1"/>
  <c r="AW2850" i="4" s="1"/>
  <c r="AW2851" i="4" s="1"/>
  <c r="AW2852" i="4" s="1"/>
  <c r="AW2853" i="4" s="1"/>
  <c r="AW2854" i="4" s="1"/>
  <c r="AW2855" i="4" s="1"/>
  <c r="AW2856" i="4" s="1"/>
  <c r="AW2857" i="4" s="1"/>
  <c r="AW2858" i="4" s="1"/>
  <c r="AW2859" i="4" s="1"/>
  <c r="AW2860" i="4" s="1"/>
  <c r="AW2861" i="4" s="1"/>
  <c r="AW2862" i="4" s="1"/>
  <c r="AW2863" i="4" s="1"/>
  <c r="AW2864" i="4" s="1"/>
  <c r="AW2865" i="4" s="1"/>
  <c r="AW2866" i="4" s="1"/>
  <c r="AW2867" i="4" s="1"/>
  <c r="AW2868" i="4" s="1"/>
  <c r="AW2869" i="4" s="1"/>
  <c r="AW2870" i="4" s="1"/>
  <c r="AW2871" i="4" s="1"/>
  <c r="AW2872" i="4" s="1"/>
  <c r="AW2873" i="4" s="1"/>
  <c r="AW2874" i="4" s="1"/>
  <c r="AW2875" i="4" s="1"/>
  <c r="AW2876" i="4" s="1"/>
  <c r="AW2877" i="4" s="1"/>
  <c r="AW2878" i="4" s="1"/>
  <c r="AW2879" i="4" s="1"/>
  <c r="AW2880" i="4" s="1"/>
  <c r="AW2881" i="4" s="1"/>
  <c r="AW2882" i="4" s="1"/>
  <c r="AW2883" i="4" s="1"/>
  <c r="AW2884" i="4" s="1"/>
  <c r="AW2885" i="4" s="1"/>
  <c r="AW2886" i="4" s="1"/>
  <c r="AW2887" i="4" s="1"/>
  <c r="AW2888" i="4" s="1"/>
  <c r="AW2889" i="4" s="1"/>
  <c r="AW2890" i="4" s="1"/>
  <c r="AW2891" i="4" s="1"/>
  <c r="AW2892" i="4" s="1"/>
  <c r="AW2893" i="4" s="1"/>
  <c r="AW2894" i="4" s="1"/>
  <c r="AW2895" i="4" s="1"/>
  <c r="AW2896" i="4" s="1"/>
  <c r="AW2897" i="4" s="1"/>
  <c r="AW2898" i="4" s="1"/>
  <c r="AW2899" i="4" s="1"/>
  <c r="AW2900" i="4" s="1"/>
  <c r="AW2901" i="4" s="1"/>
  <c r="AW2902" i="4" s="1"/>
  <c r="AW2903" i="4" s="1"/>
  <c r="AW2904" i="4" s="1"/>
  <c r="AW2905" i="4" s="1"/>
  <c r="AW2906" i="4" s="1"/>
  <c r="AW2907" i="4" s="1"/>
  <c r="AW2908" i="4" s="1"/>
  <c r="AW2909" i="4" s="1"/>
  <c r="AW2910" i="4" s="1"/>
  <c r="AW2911" i="4" s="1"/>
  <c r="AW2912" i="4" s="1"/>
  <c r="AW2913" i="4" s="1"/>
  <c r="AW2914" i="4" s="1"/>
  <c r="AW2915" i="4" s="1"/>
  <c r="AW2916" i="4" s="1"/>
  <c r="AW2917" i="4" s="1"/>
  <c r="AW2918" i="4" s="1"/>
  <c r="AW2919" i="4" s="1"/>
  <c r="AW2920" i="4" s="1"/>
  <c r="AW2921" i="4" s="1"/>
  <c r="AW2922" i="4" s="1"/>
  <c r="AW2923" i="4" s="1"/>
  <c r="AW2924" i="4" s="1"/>
  <c r="AW2925" i="4" s="1"/>
  <c r="AW2926" i="4" s="1"/>
  <c r="AW2927" i="4" s="1"/>
  <c r="AW2928" i="4" s="1"/>
  <c r="AW2929" i="4" s="1"/>
  <c r="AW2930" i="4" s="1"/>
  <c r="AW2931" i="4" s="1"/>
  <c r="AW2932" i="4" s="1"/>
  <c r="AW2933" i="4" s="1"/>
  <c r="AW2934" i="4" s="1"/>
  <c r="AW2935" i="4" s="1"/>
  <c r="AW2936" i="4" s="1"/>
  <c r="AW2937" i="4" s="1"/>
  <c r="AW2938" i="4" s="1"/>
  <c r="AW2939" i="4" s="1"/>
  <c r="AW2940" i="4" s="1"/>
  <c r="AW2941" i="4" s="1"/>
  <c r="AW2942" i="4" s="1"/>
  <c r="AW2943" i="4" s="1"/>
  <c r="AW2944" i="4" s="1"/>
  <c r="AW2945" i="4" s="1"/>
  <c r="AW2946" i="4" s="1"/>
  <c r="AW2947" i="4" s="1"/>
  <c r="AW2948" i="4" s="1"/>
  <c r="AW2949" i="4" s="1"/>
  <c r="AW2950" i="4" s="1"/>
  <c r="AW2951" i="4" s="1"/>
  <c r="AW2952" i="4" s="1"/>
  <c r="AW2953" i="4" s="1"/>
  <c r="AW2954" i="4" s="1"/>
  <c r="AW2955" i="4" s="1"/>
  <c r="AW2956" i="4" s="1"/>
  <c r="AW2957" i="4" s="1"/>
  <c r="AW2958" i="4" s="1"/>
  <c r="AW2959" i="4" s="1"/>
  <c r="AW2960" i="4" s="1"/>
  <c r="AW2961" i="4" s="1"/>
  <c r="AW2962" i="4" s="1"/>
  <c r="AW2963" i="4" s="1"/>
  <c r="AW2964" i="4" s="1"/>
  <c r="AW2965" i="4" s="1"/>
  <c r="AW2966" i="4" s="1"/>
  <c r="AW2967" i="4" s="1"/>
  <c r="AW2968" i="4" s="1"/>
  <c r="AW2969" i="4" s="1"/>
  <c r="AW2970" i="4" s="1"/>
  <c r="AW2971" i="4" s="1"/>
  <c r="AW2972" i="4" s="1"/>
  <c r="AW2973" i="4" s="1"/>
  <c r="AW2974" i="4" s="1"/>
  <c r="AW2975" i="4" s="1"/>
  <c r="AW2976" i="4" s="1"/>
  <c r="AW2977" i="4" s="1"/>
  <c r="AW2978" i="4" s="1"/>
  <c r="AW2979" i="4" s="1"/>
  <c r="AW2980" i="4" s="1"/>
  <c r="AW2981" i="4" s="1"/>
  <c r="AW2982" i="4" s="1"/>
  <c r="AW2983" i="4" s="1"/>
  <c r="AW2984" i="4" s="1"/>
  <c r="AW2985" i="4" s="1"/>
  <c r="AW2986" i="4" s="1"/>
  <c r="AW2987" i="4" s="1"/>
  <c r="AW2988" i="4" s="1"/>
  <c r="AW2989" i="4" s="1"/>
  <c r="AW2990" i="4" s="1"/>
  <c r="AW2991" i="4" s="1"/>
  <c r="AW2992" i="4" s="1"/>
  <c r="AW2993" i="4" s="1"/>
  <c r="AW2994" i="4" s="1"/>
  <c r="AW2995" i="4" s="1"/>
  <c r="AW2996" i="4" s="1"/>
  <c r="AW2997" i="4" s="1"/>
  <c r="AW2998" i="4" s="1"/>
  <c r="AW2999" i="4" s="1"/>
  <c r="AW3000" i="4" s="1"/>
  <c r="AW3001" i="4" s="1"/>
  <c r="AW3002" i="4" s="1"/>
  <c r="AW3003" i="4" s="1"/>
  <c r="AW3004" i="4" s="1"/>
  <c r="AW3005" i="4" s="1"/>
  <c r="AW3006" i="4" s="1"/>
  <c r="AW3007" i="4" s="1"/>
  <c r="AW3008" i="4" s="1"/>
  <c r="AW3009" i="4" s="1"/>
  <c r="AW3010" i="4" s="1"/>
  <c r="AW3011" i="4" s="1"/>
  <c r="AW3012" i="4" s="1"/>
  <c r="AW3013" i="4" s="1"/>
  <c r="AW3014" i="4" s="1"/>
  <c r="AW3015" i="4" s="1"/>
  <c r="AW3016" i="4" s="1"/>
  <c r="AW3017" i="4" s="1"/>
  <c r="AW3018" i="4" s="1"/>
  <c r="AW3019" i="4" s="1"/>
  <c r="AW3020" i="4" s="1"/>
  <c r="AW3021" i="4" s="1"/>
  <c r="AW3022" i="4" s="1"/>
  <c r="AW3023" i="4" s="1"/>
  <c r="AW3024" i="4" s="1"/>
  <c r="AW3025" i="4" s="1"/>
  <c r="AW3026" i="4" s="1"/>
  <c r="AW3027" i="4" s="1"/>
  <c r="AW3028" i="4" s="1"/>
  <c r="AW3029" i="4" s="1"/>
  <c r="AW3030" i="4" s="1"/>
  <c r="AW3031" i="4" s="1"/>
  <c r="AW3032" i="4" s="1"/>
  <c r="AW3033" i="4" s="1"/>
  <c r="AW3034" i="4" s="1"/>
  <c r="AW3035" i="4" s="1"/>
  <c r="AW3036" i="4" s="1"/>
  <c r="AW3037" i="4" s="1"/>
  <c r="AW3038" i="4" s="1"/>
  <c r="AW3039" i="4" s="1"/>
  <c r="AW3040" i="4" s="1"/>
  <c r="AW3041" i="4" s="1"/>
  <c r="AW3042" i="4" s="1"/>
  <c r="AW3043" i="4" s="1"/>
  <c r="AW3044" i="4" s="1"/>
  <c r="AW3045" i="4" s="1"/>
  <c r="AW3046" i="4" s="1"/>
  <c r="AW3047" i="4" s="1"/>
  <c r="AW3048" i="4" s="1"/>
  <c r="AW3049" i="4" s="1"/>
  <c r="AW3050" i="4" s="1"/>
  <c r="AW3051" i="4" s="1"/>
  <c r="AW3052" i="4" s="1"/>
  <c r="AW3053" i="4" s="1"/>
  <c r="AW3054" i="4" s="1"/>
  <c r="AW3055" i="4" s="1"/>
  <c r="AW3056" i="4" s="1"/>
  <c r="AW3057" i="4" s="1"/>
  <c r="AW3058" i="4" s="1"/>
  <c r="AW3059" i="4" s="1"/>
  <c r="AW3060" i="4" s="1"/>
  <c r="AW3061" i="4" s="1"/>
  <c r="AW3062" i="4" s="1"/>
  <c r="AW3063" i="4" s="1"/>
  <c r="AW3064" i="4" s="1"/>
  <c r="AW3065" i="4" s="1"/>
  <c r="AW3066" i="4" s="1"/>
  <c r="AW3067" i="4" s="1"/>
  <c r="AW3068" i="4" s="1"/>
  <c r="AW3069" i="4" s="1"/>
  <c r="AW3070" i="4" s="1"/>
  <c r="AW3071" i="4" s="1"/>
  <c r="AW3072" i="4" s="1"/>
  <c r="AW3073" i="4" s="1"/>
  <c r="AW3074" i="4" s="1"/>
  <c r="AW3075" i="4" s="1"/>
  <c r="AW3076" i="4" s="1"/>
  <c r="AW3077" i="4" s="1"/>
  <c r="AW3078" i="4" s="1"/>
  <c r="AW3079" i="4" s="1"/>
  <c r="AW3080" i="4" s="1"/>
  <c r="AW3081" i="4" s="1"/>
  <c r="AW3082" i="4" s="1"/>
  <c r="AW3083" i="4" s="1"/>
  <c r="AW3084" i="4" s="1"/>
  <c r="AW3085" i="4" s="1"/>
  <c r="AW3086" i="4" s="1"/>
  <c r="AW3087" i="4" s="1"/>
  <c r="AW3088" i="4" s="1"/>
  <c r="AW3089" i="4" s="1"/>
  <c r="AW3090" i="4" s="1"/>
  <c r="AW3091" i="4" s="1"/>
  <c r="AW3092" i="4" s="1"/>
  <c r="AW3093" i="4" s="1"/>
  <c r="AW3094" i="4" s="1"/>
  <c r="AW3095" i="4" s="1"/>
  <c r="AW3096" i="4" s="1"/>
  <c r="AW3097" i="4" s="1"/>
  <c r="AW3098" i="4" s="1"/>
  <c r="AW3099" i="4" s="1"/>
  <c r="AW3100" i="4" s="1"/>
  <c r="AW3101" i="4" s="1"/>
  <c r="AW3102" i="4" s="1"/>
  <c r="AW3103" i="4" s="1"/>
  <c r="AW3104" i="4" s="1"/>
  <c r="AW3105" i="4" s="1"/>
  <c r="AW3106" i="4" s="1"/>
  <c r="AW3107" i="4" s="1"/>
  <c r="AW3108" i="4" s="1"/>
  <c r="AW3109" i="4" s="1"/>
  <c r="AW3110" i="4" s="1"/>
  <c r="AW3111" i="4" s="1"/>
  <c r="AW3112" i="4" s="1"/>
  <c r="AW3113" i="4" s="1"/>
  <c r="AW3114" i="4" s="1"/>
  <c r="AW3115" i="4" s="1"/>
  <c r="AW3116" i="4" s="1"/>
  <c r="AW3117" i="4" s="1"/>
  <c r="AW3118" i="4" s="1"/>
  <c r="AW3119" i="4" s="1"/>
  <c r="AW3120" i="4" s="1"/>
  <c r="AW3121" i="4" s="1"/>
  <c r="AW3122" i="4" s="1"/>
  <c r="AW3123" i="4" s="1"/>
  <c r="AW3124" i="4" s="1"/>
  <c r="AW3125" i="4" s="1"/>
  <c r="AW3126" i="4" s="1"/>
  <c r="AW3127" i="4" s="1"/>
  <c r="AW3128" i="4" s="1"/>
  <c r="AW3129" i="4" s="1"/>
  <c r="AW3130" i="4" s="1"/>
  <c r="AW3131" i="4" s="1"/>
  <c r="AW3132" i="4" s="1"/>
  <c r="AW3133" i="4" s="1"/>
  <c r="AW3134" i="4" s="1"/>
  <c r="AW3135" i="4" s="1"/>
  <c r="AW3136" i="4" s="1"/>
  <c r="AW3137" i="4" s="1"/>
  <c r="AW3138" i="4" s="1"/>
  <c r="AW3139" i="4" s="1"/>
  <c r="AW3140" i="4" s="1"/>
  <c r="AW3141" i="4" s="1"/>
  <c r="AW3142" i="4" s="1"/>
  <c r="AW3143" i="4" s="1"/>
  <c r="AW3144" i="4" s="1"/>
  <c r="AW3145" i="4" s="1"/>
  <c r="AW3146" i="4" s="1"/>
  <c r="AW3147" i="4" s="1"/>
  <c r="AW3148" i="4" s="1"/>
  <c r="AW3149" i="4" s="1"/>
  <c r="AW3150" i="4" s="1"/>
  <c r="AW3151" i="4" s="1"/>
  <c r="AW3152" i="4" s="1"/>
  <c r="AW3153" i="4" s="1"/>
  <c r="AW3154" i="4" s="1"/>
  <c r="AW3155" i="4" s="1"/>
  <c r="AW3156" i="4" s="1"/>
  <c r="AW3157" i="4" s="1"/>
  <c r="AW3158" i="4" s="1"/>
  <c r="AW3159" i="4" s="1"/>
  <c r="AW3160" i="4" s="1"/>
  <c r="AW3161" i="4" s="1"/>
  <c r="AW3162" i="4" s="1"/>
  <c r="AW3163" i="4" s="1"/>
  <c r="AW3164" i="4" s="1"/>
  <c r="AW3165" i="4" s="1"/>
  <c r="AW3166" i="4" s="1"/>
  <c r="AW3167" i="4" s="1"/>
  <c r="AW3168" i="4" s="1"/>
  <c r="AW3169" i="4" s="1"/>
  <c r="AW3170" i="4" s="1"/>
  <c r="AW3171" i="4" s="1"/>
  <c r="AW3172" i="4" s="1"/>
  <c r="AW3173" i="4" s="1"/>
  <c r="AW3174" i="4" s="1"/>
  <c r="AW3175" i="4" s="1"/>
  <c r="AW3176" i="4" s="1"/>
  <c r="AW3177" i="4" s="1"/>
  <c r="AW3178" i="4" s="1"/>
  <c r="AW3179" i="4" s="1"/>
  <c r="AW3180" i="4" s="1"/>
  <c r="AW3181" i="4" s="1"/>
  <c r="AW3182" i="4" s="1"/>
  <c r="AW3183" i="4" s="1"/>
  <c r="AW3184" i="4" s="1"/>
  <c r="AW3185" i="4" s="1"/>
  <c r="AW3186" i="4" s="1"/>
  <c r="AW3187" i="4" s="1"/>
  <c r="AW3188" i="4" s="1"/>
  <c r="AW3189" i="4" s="1"/>
  <c r="AW3190" i="4" s="1"/>
  <c r="AW3191" i="4" s="1"/>
  <c r="AW3192" i="4" s="1"/>
  <c r="AW3193" i="4" s="1"/>
  <c r="AW3194" i="4" s="1"/>
  <c r="AW3195" i="4" s="1"/>
  <c r="AW3196" i="4" s="1"/>
  <c r="AW3197" i="4" s="1"/>
  <c r="AW3198" i="4" s="1"/>
  <c r="AW3199" i="4" s="1"/>
  <c r="AW3200" i="4" s="1"/>
  <c r="AW3201" i="4" s="1"/>
  <c r="AW3202" i="4" s="1"/>
  <c r="AW3203" i="4" s="1"/>
  <c r="AW3204" i="4" s="1"/>
  <c r="AW3205" i="4" s="1"/>
  <c r="AW3206" i="4" s="1"/>
  <c r="AW3207" i="4" s="1"/>
  <c r="AW3208" i="4" s="1"/>
  <c r="AW3209" i="4" s="1"/>
  <c r="AW3210" i="4" s="1"/>
  <c r="AW3211" i="4" s="1"/>
  <c r="AW3212" i="4" s="1"/>
  <c r="AW3213" i="4" s="1"/>
  <c r="AW3214" i="4" s="1"/>
  <c r="AW3215" i="4" s="1"/>
  <c r="AW3216" i="4" s="1"/>
  <c r="AW3217" i="4" s="1"/>
  <c r="AW3218" i="4" s="1"/>
  <c r="AW3219" i="4" s="1"/>
  <c r="AW3220" i="4" s="1"/>
  <c r="AW3221" i="4" s="1"/>
  <c r="AW3222" i="4" s="1"/>
  <c r="AW3223" i="4" s="1"/>
  <c r="AW3224" i="4" s="1"/>
  <c r="AW3225" i="4" s="1"/>
  <c r="AW3226" i="4" s="1"/>
  <c r="AW3227" i="4" s="1"/>
  <c r="AW3228" i="4" s="1"/>
  <c r="AW3229" i="4" s="1"/>
  <c r="AW3230" i="4" s="1"/>
  <c r="AW3231" i="4" s="1"/>
  <c r="AW3232" i="4" s="1"/>
  <c r="AW3233" i="4" s="1"/>
  <c r="AW3234" i="4" s="1"/>
  <c r="AW3235" i="4" s="1"/>
  <c r="AW3236" i="4" s="1"/>
  <c r="AW3237" i="4" s="1"/>
  <c r="AW3238" i="4" s="1"/>
  <c r="AW3239" i="4" s="1"/>
  <c r="AW3240" i="4" s="1"/>
  <c r="AW3241" i="4" s="1"/>
  <c r="AW3242" i="4" s="1"/>
  <c r="AW3243" i="4" s="1"/>
  <c r="AW3244" i="4" s="1"/>
  <c r="AW3245" i="4" s="1"/>
  <c r="AW3246" i="4" s="1"/>
  <c r="AW3247" i="4" s="1"/>
  <c r="AW3248" i="4" s="1"/>
  <c r="AW3249" i="4" s="1"/>
  <c r="AW3250" i="4" s="1"/>
  <c r="AW3251" i="4" s="1"/>
  <c r="AW3252" i="4" s="1"/>
  <c r="AW3253" i="4" s="1"/>
  <c r="AW3254" i="4" s="1"/>
  <c r="AW3255" i="4" s="1"/>
  <c r="AW3256" i="4" s="1"/>
  <c r="AW3257" i="4" s="1"/>
  <c r="AW3258" i="4" s="1"/>
  <c r="AW3259" i="4" s="1"/>
  <c r="AW3260" i="4" s="1"/>
  <c r="AW3261" i="4" s="1"/>
  <c r="AW3262" i="4" s="1"/>
  <c r="AW3263" i="4" s="1"/>
  <c r="AW3264" i="4" s="1"/>
  <c r="AW3265" i="4" s="1"/>
  <c r="AW3266" i="4" s="1"/>
  <c r="AW3267" i="4" s="1"/>
  <c r="AW3268" i="4" s="1"/>
  <c r="AW3269" i="4" s="1"/>
  <c r="AW3270" i="4" s="1"/>
  <c r="AW3271" i="4" s="1"/>
  <c r="AW3272" i="4" s="1"/>
  <c r="AW3273" i="4" s="1"/>
  <c r="AW3274" i="4" s="1"/>
  <c r="AW3275" i="4" s="1"/>
  <c r="AW3276" i="4" s="1"/>
  <c r="AW3277" i="4" s="1"/>
  <c r="AW3278" i="4" s="1"/>
  <c r="AW3279" i="4" s="1"/>
  <c r="AW3280" i="4" s="1"/>
  <c r="AW3281" i="4" s="1"/>
  <c r="AW3282" i="4" s="1"/>
  <c r="AW3283" i="4" s="1"/>
  <c r="AW3284" i="4" s="1"/>
  <c r="AW3285" i="4" s="1"/>
  <c r="AW3286" i="4" s="1"/>
  <c r="AW3287" i="4" s="1"/>
  <c r="AW3288" i="4" s="1"/>
  <c r="AW3289" i="4" s="1"/>
  <c r="AW3290" i="4" s="1"/>
  <c r="AW3291" i="4" s="1"/>
  <c r="AW3292" i="4" s="1"/>
  <c r="AW3293" i="4" s="1"/>
  <c r="AW3294" i="4" s="1"/>
  <c r="AW3295" i="4" s="1"/>
  <c r="AW3296" i="4" s="1"/>
  <c r="AW3297" i="4" s="1"/>
  <c r="AW3298" i="4" s="1"/>
  <c r="AW3299" i="4" s="1"/>
  <c r="AW3300" i="4" s="1"/>
  <c r="AW3301" i="4" s="1"/>
  <c r="AW3302" i="4" s="1"/>
  <c r="AW3303" i="4" s="1"/>
  <c r="AW3304" i="4" s="1"/>
  <c r="AW3305" i="4" s="1"/>
  <c r="AW3306" i="4" s="1"/>
  <c r="AW3307" i="4" s="1"/>
  <c r="AW3308" i="4" s="1"/>
  <c r="AW3309" i="4" s="1"/>
  <c r="AW3310" i="4" s="1"/>
  <c r="AW3311" i="4" s="1"/>
  <c r="AW3312" i="4" s="1"/>
  <c r="AW3313" i="4" s="1"/>
  <c r="AW3314" i="4" s="1"/>
  <c r="AW3315" i="4" s="1"/>
  <c r="AW3316" i="4" s="1"/>
  <c r="AW3317" i="4" s="1"/>
  <c r="AW3318" i="4" s="1"/>
  <c r="AW3319" i="4" s="1"/>
  <c r="AW3320" i="4" s="1"/>
  <c r="AW3321" i="4" s="1"/>
  <c r="AW3322" i="4" s="1"/>
  <c r="AW3323" i="4" s="1"/>
  <c r="AW3324" i="4" s="1"/>
  <c r="AW3325" i="4" s="1"/>
  <c r="AW3326" i="4" s="1"/>
  <c r="AW3327" i="4" s="1"/>
  <c r="AW3328" i="4" s="1"/>
  <c r="AW3329" i="4" s="1"/>
  <c r="AW3330" i="4" s="1"/>
  <c r="AW3331" i="4" s="1"/>
  <c r="AW3332" i="4" s="1"/>
  <c r="AW3333" i="4" s="1"/>
  <c r="AW3334" i="4" s="1"/>
  <c r="AW3335" i="4" s="1"/>
  <c r="AW3336" i="4" s="1"/>
  <c r="AW3337" i="4" s="1"/>
  <c r="AW3338" i="4" s="1"/>
  <c r="AW3339" i="4" s="1"/>
  <c r="AW3340" i="4" s="1"/>
  <c r="AW3341" i="4" s="1"/>
  <c r="AW3342" i="4" s="1"/>
  <c r="AW3343" i="4" s="1"/>
  <c r="AW3344" i="4" s="1"/>
  <c r="AW3345" i="4" s="1"/>
  <c r="AW3346" i="4" s="1"/>
  <c r="AW3347" i="4" s="1"/>
  <c r="AW3348" i="4" s="1"/>
  <c r="AW3349" i="4" s="1"/>
  <c r="AW3350" i="4" s="1"/>
  <c r="AW3351" i="4" s="1"/>
  <c r="AW3352" i="4" s="1"/>
  <c r="AW3353" i="4" s="1"/>
  <c r="AW3354" i="4" s="1"/>
  <c r="AW3355" i="4" s="1"/>
  <c r="AW3356" i="4" s="1"/>
  <c r="AW3357" i="4" s="1"/>
  <c r="AW3358" i="4" s="1"/>
  <c r="AW3359" i="4" s="1"/>
  <c r="AW3360" i="4" s="1"/>
  <c r="AW3361" i="4" s="1"/>
  <c r="AW3362" i="4" s="1"/>
  <c r="AW3363" i="4" s="1"/>
  <c r="AW3364" i="4" s="1"/>
  <c r="AW3365" i="4" s="1"/>
  <c r="AW3366" i="4" s="1"/>
  <c r="AW3367" i="4" s="1"/>
  <c r="AW3368" i="4" s="1"/>
  <c r="AW3369" i="4" s="1"/>
  <c r="AW3370" i="4" s="1"/>
  <c r="AW3371" i="4" s="1"/>
  <c r="AW3372" i="4" s="1"/>
  <c r="AW3373" i="4" s="1"/>
  <c r="AW3374" i="4" s="1"/>
  <c r="AW3375" i="4" s="1"/>
  <c r="AW3376" i="4" s="1"/>
  <c r="AW3377" i="4" s="1"/>
  <c r="AW3378" i="4" s="1"/>
  <c r="AW3379" i="4" s="1"/>
  <c r="AW3380" i="4" s="1"/>
  <c r="AW3381" i="4" s="1"/>
  <c r="AW3382" i="4" s="1"/>
  <c r="AW3383" i="4" s="1"/>
  <c r="AW3384" i="4" s="1"/>
  <c r="AW3385" i="4" s="1"/>
  <c r="AW3386" i="4" s="1"/>
  <c r="AW3387" i="4" s="1"/>
  <c r="AW3388" i="4" s="1"/>
  <c r="AW3389" i="4" s="1"/>
  <c r="AW3390" i="4" s="1"/>
  <c r="AW3391" i="4" s="1"/>
  <c r="AW3392" i="4" s="1"/>
  <c r="AW3393" i="4" s="1"/>
  <c r="AW3394" i="4" s="1"/>
  <c r="AW3395" i="4" s="1"/>
  <c r="AW3396" i="4" s="1"/>
  <c r="AW3397" i="4" s="1"/>
  <c r="AW3398" i="4" s="1"/>
  <c r="AW3399" i="4" s="1"/>
  <c r="AW3400" i="4" s="1"/>
  <c r="AW3401" i="4" s="1"/>
  <c r="AW3402" i="4" s="1"/>
  <c r="AW3403" i="4" s="1"/>
  <c r="AW3404" i="4" s="1"/>
  <c r="AW3405" i="4" s="1"/>
  <c r="AW3406" i="4" s="1"/>
  <c r="AW3407" i="4" s="1"/>
  <c r="AW3408" i="4" s="1"/>
  <c r="AW3409" i="4" s="1"/>
  <c r="AW3410" i="4" s="1"/>
  <c r="AW3411" i="4" s="1"/>
  <c r="AW3412" i="4" s="1"/>
  <c r="AW3413" i="4" s="1"/>
  <c r="AW3414" i="4" s="1"/>
  <c r="AW3415" i="4" s="1"/>
  <c r="AW3416" i="4" s="1"/>
  <c r="AW3417" i="4" s="1"/>
  <c r="AW3418" i="4" s="1"/>
  <c r="AW3419" i="4" s="1"/>
  <c r="AW3420" i="4" s="1"/>
  <c r="AW3421" i="4" s="1"/>
  <c r="AW3422" i="4" s="1"/>
  <c r="AW3423" i="4" s="1"/>
  <c r="AW3424" i="4" s="1"/>
  <c r="AW3425" i="4" s="1"/>
  <c r="AW3426" i="4" s="1"/>
  <c r="AW3427" i="4" s="1"/>
  <c r="AW3428" i="4" s="1"/>
  <c r="AW3429" i="4" s="1"/>
  <c r="AW3430" i="4" s="1"/>
  <c r="AW3431" i="4" s="1"/>
  <c r="AW3432" i="4" s="1"/>
  <c r="AW3433" i="4" s="1"/>
  <c r="AW3434" i="4" s="1"/>
  <c r="AW3435" i="4" s="1"/>
  <c r="AW3436" i="4" s="1"/>
  <c r="AW3437" i="4" s="1"/>
  <c r="AW3438" i="4" s="1"/>
  <c r="AW3439" i="4" s="1"/>
  <c r="AW3440" i="4" s="1"/>
  <c r="AW3441" i="4" s="1"/>
  <c r="AW3442" i="4" s="1"/>
  <c r="AW3443" i="4" s="1"/>
  <c r="AW3444" i="4" s="1"/>
  <c r="AW3445" i="4" s="1"/>
  <c r="AW3446" i="4" s="1"/>
  <c r="AW3447" i="4" s="1"/>
  <c r="AW3448" i="4" s="1"/>
  <c r="AW3449" i="4" s="1"/>
  <c r="AW3450" i="4" s="1"/>
  <c r="AW3451" i="4" s="1"/>
  <c r="AW3452" i="4" s="1"/>
  <c r="AW3453" i="4" s="1"/>
  <c r="AW3454" i="4" s="1"/>
  <c r="AW3455" i="4" s="1"/>
  <c r="AW3456" i="4" s="1"/>
  <c r="AW3457" i="4" s="1"/>
  <c r="AW3458" i="4" s="1"/>
  <c r="AW3459" i="4" s="1"/>
  <c r="AW3460" i="4" s="1"/>
  <c r="AW3461" i="4" s="1"/>
  <c r="AW3462" i="4" s="1"/>
  <c r="AW3463" i="4" s="1"/>
  <c r="AW3464" i="4" s="1"/>
  <c r="AW3465" i="4" s="1"/>
  <c r="AW3466" i="4" s="1"/>
  <c r="AW3467" i="4" s="1"/>
  <c r="AW3468" i="4" s="1"/>
  <c r="AW3469" i="4" s="1"/>
  <c r="AW3470" i="4" s="1"/>
  <c r="AW3471" i="4" s="1"/>
  <c r="AW3472" i="4" s="1"/>
  <c r="AW3473" i="4" s="1"/>
  <c r="AW3474" i="4" s="1"/>
  <c r="AW3475" i="4" s="1"/>
  <c r="AW3476" i="4" s="1"/>
  <c r="AW3477" i="4" s="1"/>
  <c r="AW3478" i="4" s="1"/>
  <c r="AW3479" i="4" s="1"/>
  <c r="AW3480" i="4" s="1"/>
  <c r="AW3481" i="4" s="1"/>
  <c r="AW3482" i="4" s="1"/>
  <c r="AW3483" i="4" s="1"/>
  <c r="AW3484" i="4" s="1"/>
  <c r="AW3485" i="4" s="1"/>
  <c r="AW3486" i="4" s="1"/>
  <c r="AW3487" i="4" s="1"/>
  <c r="AW3488" i="4" s="1"/>
  <c r="AW3489" i="4" s="1"/>
  <c r="AW3490" i="4" s="1"/>
  <c r="AW3491" i="4" s="1"/>
  <c r="AW3492" i="4" s="1"/>
  <c r="AW3493" i="4" s="1"/>
  <c r="AW3494" i="4" s="1"/>
  <c r="AW3495" i="4" s="1"/>
  <c r="AW3496" i="4" s="1"/>
  <c r="AW3497" i="4" s="1"/>
  <c r="AW3498" i="4" s="1"/>
  <c r="AW3499" i="4" s="1"/>
  <c r="AW3500" i="4" s="1"/>
  <c r="AW3501" i="4" s="1"/>
  <c r="AW3502" i="4" s="1"/>
  <c r="AW3503" i="4" s="1"/>
  <c r="AW3504" i="4" s="1"/>
  <c r="AW3505" i="4" s="1"/>
  <c r="AW3506" i="4" s="1"/>
  <c r="AW3507" i="4" s="1"/>
  <c r="AW3508" i="4" s="1"/>
  <c r="AW3509" i="4" s="1"/>
  <c r="AW3510" i="4" s="1"/>
  <c r="AW3511" i="4" s="1"/>
  <c r="AW3512" i="4" s="1"/>
  <c r="AW3513" i="4" s="1"/>
  <c r="AW3514" i="4" s="1"/>
  <c r="AW3515" i="4" s="1"/>
  <c r="AW3516" i="4" s="1"/>
  <c r="AW3517" i="4" s="1"/>
  <c r="AW3518" i="4" s="1"/>
  <c r="AW3519" i="4" s="1"/>
  <c r="AW3520" i="4" s="1"/>
  <c r="AW3521" i="4" s="1"/>
  <c r="AW3522" i="4" s="1"/>
  <c r="AW3523" i="4" s="1"/>
  <c r="AW3524" i="4" s="1"/>
  <c r="AW3525" i="4" s="1"/>
  <c r="AW3526" i="4" s="1"/>
  <c r="AW3527" i="4" s="1"/>
  <c r="AW3528" i="4" s="1"/>
  <c r="AW3529" i="4" s="1"/>
  <c r="AW3530" i="4" s="1"/>
  <c r="AW3531" i="4" s="1"/>
  <c r="AW3532" i="4" s="1"/>
  <c r="AW3533" i="4" s="1"/>
  <c r="AW3534" i="4" s="1"/>
  <c r="AW3535" i="4" s="1"/>
  <c r="AW3536" i="4" s="1"/>
  <c r="AW3537" i="4" s="1"/>
  <c r="AW3538" i="4" s="1"/>
  <c r="AW3539" i="4" s="1"/>
  <c r="AW3540" i="4" s="1"/>
  <c r="AW3541" i="4" s="1"/>
  <c r="AW3542" i="4" s="1"/>
  <c r="AW3543" i="4" s="1"/>
  <c r="AW3544" i="4" s="1"/>
  <c r="AW3545" i="4" s="1"/>
  <c r="AW3546" i="4" s="1"/>
  <c r="AW3547" i="4" s="1"/>
  <c r="AW3548" i="4" s="1"/>
  <c r="AW3549" i="4" s="1"/>
  <c r="AW3550" i="4" s="1"/>
  <c r="AW3551" i="4" s="1"/>
  <c r="AW3552" i="4" s="1"/>
  <c r="AW3553" i="4" s="1"/>
  <c r="AW3554" i="4" s="1"/>
  <c r="AW3555" i="4" s="1"/>
  <c r="AW3556" i="4" s="1"/>
  <c r="AW3557" i="4" s="1"/>
  <c r="AW3558" i="4" s="1"/>
  <c r="AW3559" i="4" s="1"/>
  <c r="AW3560" i="4" s="1"/>
  <c r="AW3561" i="4" s="1"/>
  <c r="AW3562" i="4" s="1"/>
  <c r="AW3563" i="4" s="1"/>
  <c r="AW3564" i="4" s="1"/>
  <c r="AW3565" i="4" s="1"/>
  <c r="AW3566" i="4" s="1"/>
  <c r="AW3567" i="4" s="1"/>
  <c r="AW3568" i="4" s="1"/>
  <c r="AW3569" i="4" s="1"/>
  <c r="AW3570" i="4" s="1"/>
  <c r="AW3571" i="4" s="1"/>
  <c r="AW3572" i="4" s="1"/>
  <c r="AW3573" i="4" s="1"/>
  <c r="AW3574" i="4" s="1"/>
  <c r="AW3575" i="4" s="1"/>
  <c r="AW3576" i="4" s="1"/>
  <c r="AW3577" i="4" s="1"/>
  <c r="AW3578" i="4" s="1"/>
  <c r="AW3579" i="4" s="1"/>
  <c r="AW3580" i="4" s="1"/>
  <c r="AW3581" i="4" s="1"/>
  <c r="AW3582" i="4" s="1"/>
  <c r="AW3583" i="4" s="1"/>
  <c r="AW3584" i="4" s="1"/>
  <c r="AW3585" i="4" s="1"/>
  <c r="AW3586" i="4" s="1"/>
  <c r="AW3587" i="4" s="1"/>
  <c r="AW3588" i="4" s="1"/>
  <c r="AW3589" i="4" s="1"/>
  <c r="AW3590" i="4" s="1"/>
  <c r="AW3591" i="4" s="1"/>
  <c r="AW3592" i="4" s="1"/>
  <c r="AW3593" i="4" s="1"/>
  <c r="AW3594" i="4" s="1"/>
  <c r="AW3595" i="4" s="1"/>
  <c r="AW3596" i="4" s="1"/>
  <c r="AW3597" i="4" s="1"/>
  <c r="AW3598" i="4" s="1"/>
  <c r="AW3599" i="4" s="1"/>
  <c r="AW3600" i="4" s="1"/>
  <c r="AW3601" i="4" s="1"/>
  <c r="AW3602" i="4" s="1"/>
  <c r="AW3603" i="4" s="1"/>
  <c r="AW3604" i="4" s="1"/>
  <c r="AW3605" i="4" s="1"/>
  <c r="AW3606" i="4" s="1"/>
  <c r="AW3607" i="4" s="1"/>
  <c r="AW3608" i="4" s="1"/>
  <c r="AW3609" i="4" s="1"/>
  <c r="AW3610" i="4" s="1"/>
  <c r="AW3611" i="4" s="1"/>
  <c r="AW3612" i="4" s="1"/>
  <c r="AW3613" i="4" s="1"/>
  <c r="AW3614" i="4" s="1"/>
  <c r="AW3615" i="4" s="1"/>
  <c r="AW3616" i="4" s="1"/>
  <c r="AW3617" i="4" s="1"/>
  <c r="AW3618" i="4" s="1"/>
  <c r="AW3619" i="4" s="1"/>
  <c r="AW3620" i="4" s="1"/>
  <c r="AW3621" i="4" s="1"/>
  <c r="AW3622" i="4" s="1"/>
  <c r="AW3623" i="4" s="1"/>
  <c r="AW3624" i="4" s="1"/>
  <c r="AW3625" i="4" s="1"/>
  <c r="AW3626" i="4" s="1"/>
  <c r="AW3627" i="4" s="1"/>
  <c r="AW3628" i="4" s="1"/>
  <c r="AW3629" i="4" s="1"/>
  <c r="AW3630" i="4" s="1"/>
  <c r="AW3631" i="4" s="1"/>
  <c r="AW3632" i="4" s="1"/>
  <c r="AW3633" i="4" s="1"/>
  <c r="AW3634" i="4" s="1"/>
  <c r="AW3635" i="4" s="1"/>
  <c r="AW3636" i="4" s="1"/>
  <c r="AW3637" i="4" s="1"/>
  <c r="AW3638" i="4" s="1"/>
  <c r="AW3639" i="4" s="1"/>
  <c r="AW3640" i="4" s="1"/>
  <c r="AW3641" i="4" s="1"/>
  <c r="AW3642" i="4" s="1"/>
  <c r="AW3643" i="4" s="1"/>
  <c r="AW3644" i="4" s="1"/>
  <c r="AW3645" i="4" s="1"/>
  <c r="AW3646" i="4" s="1"/>
  <c r="AW3647" i="4" s="1"/>
  <c r="AW3648" i="4" s="1"/>
  <c r="AW3649" i="4" s="1"/>
  <c r="AW3650" i="4" s="1"/>
  <c r="AW3651" i="4" s="1"/>
  <c r="AW3652" i="4" s="1"/>
  <c r="AW3653" i="4" s="1"/>
  <c r="AW3654" i="4" s="1"/>
  <c r="AW3655" i="4" s="1"/>
  <c r="AW3656" i="4" s="1"/>
  <c r="AW3657" i="4" s="1"/>
  <c r="AW3658" i="4" s="1"/>
  <c r="AW3659" i="4" s="1"/>
  <c r="AW3660" i="4" s="1"/>
  <c r="AW3661" i="4" s="1"/>
  <c r="AW3662" i="4" s="1"/>
  <c r="AW3663" i="4" s="1"/>
  <c r="AW3664" i="4" s="1"/>
  <c r="AW3665" i="4" s="1"/>
  <c r="AW3666" i="4" s="1"/>
  <c r="AW3667" i="4" s="1"/>
  <c r="AW3668" i="4" s="1"/>
  <c r="AW3669" i="4" s="1"/>
  <c r="AW3670" i="4" s="1"/>
  <c r="AW3671" i="4" s="1"/>
  <c r="AW3672" i="4" s="1"/>
  <c r="AW3673" i="4" s="1"/>
  <c r="AW3674" i="4" s="1"/>
  <c r="AW3675" i="4" s="1"/>
  <c r="AW3676" i="4" s="1"/>
  <c r="AW3677" i="4" s="1"/>
  <c r="AW3678" i="4" s="1"/>
  <c r="AW3679" i="4" s="1"/>
  <c r="AW3680" i="4" s="1"/>
  <c r="AW3681" i="4" s="1"/>
  <c r="AW3682" i="4" s="1"/>
  <c r="AW3683" i="4" s="1"/>
  <c r="AW3684" i="4" s="1"/>
  <c r="AW3685" i="4" s="1"/>
  <c r="AW3686" i="4" s="1"/>
  <c r="AW3687" i="4" s="1"/>
  <c r="AW3688" i="4" s="1"/>
  <c r="AW3689" i="4" s="1"/>
  <c r="AW3690" i="4" s="1"/>
  <c r="AW3691" i="4" s="1"/>
  <c r="AW3692" i="4" s="1"/>
  <c r="AW3693" i="4" s="1"/>
  <c r="AW3694" i="4" s="1"/>
  <c r="AW3695" i="4" s="1"/>
  <c r="AW3696" i="4" s="1"/>
  <c r="AW3697" i="4" s="1"/>
  <c r="AW3698" i="4" s="1"/>
  <c r="AW3699" i="4" s="1"/>
  <c r="AW3700" i="4" s="1"/>
  <c r="AW3701" i="4" s="1"/>
  <c r="AW3702" i="4" s="1"/>
  <c r="AW3703" i="4" s="1"/>
  <c r="AW3704" i="4" s="1"/>
  <c r="AW3705" i="4" s="1"/>
  <c r="AW3706" i="4" s="1"/>
  <c r="AW3707" i="4" s="1"/>
  <c r="AW3708" i="4" s="1"/>
  <c r="AW3709" i="4" s="1"/>
  <c r="AW3710" i="4" s="1"/>
  <c r="AW3711" i="4" s="1"/>
  <c r="AW3712" i="4" s="1"/>
  <c r="AW3713" i="4" s="1"/>
  <c r="AW3714" i="4" s="1"/>
  <c r="AW3715" i="4" s="1"/>
  <c r="AW3716" i="4" s="1"/>
  <c r="AW3717" i="4" s="1"/>
  <c r="AW3718" i="4" s="1"/>
  <c r="AW3719" i="4" s="1"/>
  <c r="AW3720" i="4" s="1"/>
  <c r="AW3721" i="4" s="1"/>
  <c r="AW3722" i="4" s="1"/>
  <c r="AW3723" i="4" s="1"/>
  <c r="AW3724" i="4" s="1"/>
  <c r="AW3725" i="4" s="1"/>
  <c r="AW3726" i="4" s="1"/>
  <c r="AW3727" i="4" s="1"/>
  <c r="AW3728" i="4" s="1"/>
  <c r="AW3729" i="4" s="1"/>
  <c r="AW3730" i="4" s="1"/>
  <c r="AW3731" i="4" s="1"/>
  <c r="AW3732" i="4" s="1"/>
  <c r="AW3733" i="4" s="1"/>
  <c r="AW3734" i="4" s="1"/>
  <c r="AW3735" i="4" s="1"/>
  <c r="AW3736" i="4" s="1"/>
  <c r="AW3737" i="4" s="1"/>
  <c r="AW3738" i="4" s="1"/>
  <c r="AW3739" i="4" s="1"/>
  <c r="AW3740" i="4" s="1"/>
  <c r="AW3741" i="4" s="1"/>
  <c r="AW3742" i="4" s="1"/>
  <c r="AW3743" i="4" s="1"/>
  <c r="AW3744" i="4" s="1"/>
  <c r="AW3745" i="4" s="1"/>
  <c r="AW3746" i="4" s="1"/>
  <c r="AW3747" i="4" s="1"/>
  <c r="AW3748" i="4" s="1"/>
  <c r="AW3749" i="4" s="1"/>
  <c r="AW3750" i="4" s="1"/>
  <c r="AW3751" i="4" s="1"/>
  <c r="AW3752" i="4" s="1"/>
  <c r="AW3753" i="4" s="1"/>
  <c r="AW3754" i="4" s="1"/>
  <c r="AW3755" i="4" s="1"/>
  <c r="AW3756" i="4" s="1"/>
  <c r="AW3757" i="4" s="1"/>
  <c r="AW3758" i="4" s="1"/>
  <c r="AW3759" i="4" s="1"/>
  <c r="AW3760" i="4" s="1"/>
  <c r="AW3761" i="4" s="1"/>
  <c r="AW3762" i="4" s="1"/>
  <c r="AW3763" i="4" s="1"/>
  <c r="AW3764" i="4" s="1"/>
  <c r="AW3765" i="4" s="1"/>
  <c r="AW3766" i="4" s="1"/>
  <c r="AW3767" i="4" s="1"/>
  <c r="AW3768" i="4" s="1"/>
  <c r="AW3769" i="4" s="1"/>
  <c r="AW3770" i="4" s="1"/>
  <c r="AW3771" i="4" s="1"/>
  <c r="AW3772" i="4" s="1"/>
  <c r="AW3773" i="4" s="1"/>
  <c r="AW3774" i="4" s="1"/>
  <c r="AW3775" i="4" s="1"/>
  <c r="AW3776" i="4" s="1"/>
  <c r="AW3777" i="4" s="1"/>
  <c r="AW3778" i="4" s="1"/>
  <c r="AW3779" i="4" s="1"/>
  <c r="AW3780" i="4" s="1"/>
  <c r="AW3781" i="4" s="1"/>
  <c r="AW3782" i="4" s="1"/>
  <c r="AW3783" i="4" s="1"/>
  <c r="AW3784" i="4" s="1"/>
  <c r="AW3785" i="4" s="1"/>
  <c r="AW3786" i="4" s="1"/>
  <c r="AW3787" i="4" s="1"/>
  <c r="AW3788" i="4" s="1"/>
  <c r="AW3789" i="4" s="1"/>
  <c r="AW3790" i="4" s="1"/>
  <c r="AW3791" i="4" s="1"/>
  <c r="AW3792" i="4" s="1"/>
  <c r="AW3793" i="4" s="1"/>
  <c r="AW3794" i="4" s="1"/>
  <c r="AW3795" i="4" s="1"/>
  <c r="AW3796" i="4" s="1"/>
  <c r="AW3797" i="4" s="1"/>
  <c r="AW3798" i="4" s="1"/>
  <c r="AW3799" i="4" s="1"/>
  <c r="AW3800" i="4" s="1"/>
  <c r="AW3801" i="4" s="1"/>
  <c r="AW3802" i="4" s="1"/>
  <c r="AW3803" i="4" s="1"/>
  <c r="AW3804" i="4" s="1"/>
  <c r="AW3805" i="4" s="1"/>
  <c r="AW3806" i="4" s="1"/>
  <c r="AW3807" i="4" s="1"/>
  <c r="AW3808" i="4" s="1"/>
  <c r="AW3809" i="4" s="1"/>
  <c r="AW3810" i="4" s="1"/>
  <c r="AW3811" i="4" s="1"/>
  <c r="AW3812" i="4" s="1"/>
  <c r="AW3813" i="4" s="1"/>
  <c r="AW3814" i="4" s="1"/>
  <c r="AW3815" i="4" s="1"/>
  <c r="AW3816" i="4" s="1"/>
  <c r="AW3817" i="4" s="1"/>
  <c r="AW3818" i="4" s="1"/>
  <c r="AW3819" i="4" s="1"/>
  <c r="AW3820" i="4" s="1"/>
  <c r="AW3821" i="4" s="1"/>
  <c r="AW3822" i="4" s="1"/>
  <c r="AW3823" i="4" s="1"/>
  <c r="AW3824" i="4" s="1"/>
  <c r="AW3825" i="4" s="1"/>
  <c r="AW3826" i="4" s="1"/>
  <c r="AW3827" i="4" s="1"/>
  <c r="AW3828" i="4" s="1"/>
  <c r="AW3829" i="4" s="1"/>
  <c r="AW3830" i="4" s="1"/>
  <c r="AW3831" i="4" s="1"/>
  <c r="AW3832" i="4" s="1"/>
  <c r="AW3833" i="4" s="1"/>
  <c r="AW3834" i="4" s="1"/>
  <c r="AW3835" i="4" s="1"/>
  <c r="AW3836" i="4" s="1"/>
  <c r="AW3837" i="4" s="1"/>
  <c r="AW3838" i="4" s="1"/>
  <c r="AW3839" i="4" s="1"/>
  <c r="AW3840" i="4" s="1"/>
  <c r="AW3841" i="4" s="1"/>
  <c r="AW3842" i="4" s="1"/>
  <c r="AW3843" i="4" s="1"/>
  <c r="AW3844" i="4" s="1"/>
  <c r="AW3845" i="4" s="1"/>
  <c r="AW3846" i="4" s="1"/>
  <c r="AW3847" i="4" s="1"/>
  <c r="AW3848" i="4" s="1"/>
  <c r="AW3849" i="4" s="1"/>
  <c r="AW3850" i="4" s="1"/>
  <c r="AW3851" i="4" s="1"/>
  <c r="AW3852" i="4" s="1"/>
  <c r="AW3853" i="4" s="1"/>
  <c r="AW3854" i="4" s="1"/>
  <c r="AW3855" i="4" s="1"/>
  <c r="AW3856" i="4" s="1"/>
  <c r="AW3857" i="4" s="1"/>
  <c r="AW3858" i="4" s="1"/>
  <c r="AW3859" i="4" s="1"/>
  <c r="AW3860" i="4" s="1"/>
  <c r="AW3861" i="4" s="1"/>
  <c r="AW3862" i="4" s="1"/>
  <c r="AW3863" i="4" s="1"/>
  <c r="AW3864" i="4" s="1"/>
  <c r="AW3865" i="4" s="1"/>
  <c r="AW3866" i="4" s="1"/>
  <c r="AW3867" i="4" s="1"/>
  <c r="AW3868" i="4" s="1"/>
  <c r="AW3869" i="4" s="1"/>
  <c r="AW3870" i="4" s="1"/>
  <c r="AW3871" i="4" s="1"/>
  <c r="AW3872" i="4" s="1"/>
  <c r="AW3873" i="4" s="1"/>
  <c r="AW3874" i="4" s="1"/>
  <c r="AW3875" i="4" s="1"/>
  <c r="AW3876" i="4" s="1"/>
  <c r="AW3877" i="4" s="1"/>
  <c r="AW3878" i="4" s="1"/>
  <c r="AW3879" i="4" s="1"/>
  <c r="AW3880" i="4" s="1"/>
  <c r="AW3881" i="4" s="1"/>
  <c r="AW3882" i="4" s="1"/>
  <c r="AW3883" i="4" s="1"/>
  <c r="AW3884" i="4" s="1"/>
  <c r="AW3885" i="4" s="1"/>
  <c r="AW3886" i="4" s="1"/>
  <c r="AW3887" i="4" s="1"/>
  <c r="AW3888" i="4" s="1"/>
  <c r="AW3889" i="4" s="1"/>
  <c r="AW3890" i="4" s="1"/>
  <c r="AW3891" i="4" s="1"/>
  <c r="AW3892" i="4" s="1"/>
  <c r="AW3893" i="4" s="1"/>
  <c r="AW3894" i="4" s="1"/>
  <c r="AW3895" i="4" s="1"/>
  <c r="AW3896" i="4" s="1"/>
  <c r="AW3897" i="4" s="1"/>
  <c r="AW3898" i="4" s="1"/>
  <c r="AW3899" i="4" s="1"/>
  <c r="AW3900" i="4" s="1"/>
  <c r="AW3901" i="4" s="1"/>
  <c r="AW3902" i="4" s="1"/>
  <c r="AW3903" i="4" s="1"/>
  <c r="AW3904" i="4" s="1"/>
  <c r="AW3905" i="4" s="1"/>
  <c r="AW3906" i="4" s="1"/>
  <c r="AW3907" i="4" s="1"/>
  <c r="AW3908" i="4" s="1"/>
  <c r="AW3909" i="4" s="1"/>
  <c r="AW3910" i="4" s="1"/>
  <c r="AW3911" i="4" s="1"/>
  <c r="AW3912" i="4" s="1"/>
  <c r="AW3913" i="4" s="1"/>
  <c r="AW3914" i="4" s="1"/>
  <c r="AW3915" i="4" s="1"/>
  <c r="AW3916" i="4" s="1"/>
  <c r="AW3917" i="4" s="1"/>
  <c r="AW3918" i="4" s="1"/>
  <c r="AW3919" i="4" s="1"/>
  <c r="AW3920" i="4" s="1"/>
  <c r="AW3921" i="4" s="1"/>
  <c r="AW3922" i="4" s="1"/>
  <c r="AW3923" i="4" s="1"/>
  <c r="AW3924" i="4" s="1"/>
  <c r="AW3925" i="4" s="1"/>
  <c r="AW3926" i="4" s="1"/>
  <c r="AW3927" i="4" s="1"/>
  <c r="AW3928" i="4" s="1"/>
  <c r="AW3929" i="4" s="1"/>
  <c r="AW3930" i="4" s="1"/>
  <c r="AW3931" i="4" s="1"/>
  <c r="AW3932" i="4" s="1"/>
  <c r="AW3933" i="4" s="1"/>
  <c r="AW3934" i="4" s="1"/>
  <c r="AW3935" i="4" s="1"/>
  <c r="AW3936" i="4" s="1"/>
  <c r="AW3937" i="4" s="1"/>
  <c r="AW3938" i="4" s="1"/>
  <c r="AW3939" i="4" s="1"/>
  <c r="AW3940" i="4" s="1"/>
  <c r="AW3941" i="4" s="1"/>
  <c r="AW3942" i="4" s="1"/>
  <c r="AW3943" i="4" s="1"/>
  <c r="AW3944" i="4" s="1"/>
  <c r="AW3945" i="4" s="1"/>
  <c r="AW3946" i="4" s="1"/>
  <c r="AW3947" i="4" s="1"/>
  <c r="AW3948" i="4" s="1"/>
  <c r="AW3949" i="4" s="1"/>
  <c r="AW3950" i="4" s="1"/>
  <c r="AW3951" i="4" s="1"/>
  <c r="AW3952" i="4" s="1"/>
  <c r="AW3953" i="4" s="1"/>
  <c r="AW3954" i="4" s="1"/>
  <c r="AW3955" i="4" s="1"/>
  <c r="AW3956" i="4" s="1"/>
  <c r="AW3957" i="4" s="1"/>
  <c r="AW3958" i="4" s="1"/>
  <c r="AW3959" i="4" s="1"/>
  <c r="AW3960" i="4" s="1"/>
  <c r="AW3961" i="4" s="1"/>
  <c r="AW3962" i="4" s="1"/>
  <c r="AW3963" i="4" s="1"/>
  <c r="AW3964" i="4" s="1"/>
  <c r="AW3965" i="4" s="1"/>
  <c r="AW3966" i="4" s="1"/>
  <c r="AW3967" i="4" s="1"/>
  <c r="AW3968" i="4" s="1"/>
  <c r="AW3969" i="4" s="1"/>
  <c r="AW3970" i="4" s="1"/>
  <c r="AW3971" i="4" s="1"/>
  <c r="AW3972" i="4" s="1"/>
  <c r="AW3973" i="4" s="1"/>
  <c r="AW3974" i="4" s="1"/>
  <c r="AW3975" i="4" s="1"/>
  <c r="AW3976" i="4" s="1"/>
  <c r="AW3977" i="4" s="1"/>
  <c r="AW3978" i="4" s="1"/>
  <c r="AW3979" i="4" s="1"/>
  <c r="AW3980" i="4" s="1"/>
  <c r="AW3981" i="4" s="1"/>
  <c r="AW3982" i="4" s="1"/>
  <c r="AW3983" i="4" s="1"/>
  <c r="AW3984" i="4" s="1"/>
  <c r="AW3985" i="4" s="1"/>
  <c r="AW3986" i="4" s="1"/>
  <c r="AW3987" i="4" s="1"/>
  <c r="AW3988" i="4" s="1"/>
  <c r="AW3989" i="4" s="1"/>
  <c r="AW3990" i="4" s="1"/>
  <c r="AW3991" i="4" s="1"/>
  <c r="AW3992" i="4" s="1"/>
  <c r="AW3993" i="4" s="1"/>
  <c r="AW3994" i="4" s="1"/>
  <c r="AW3995" i="4" s="1"/>
  <c r="AW3996" i="4" s="1"/>
  <c r="AW3997" i="4" s="1"/>
  <c r="AW3998" i="4" s="1"/>
  <c r="AW3999" i="4" s="1"/>
  <c r="AW4000" i="4" s="1"/>
  <c r="AW4001" i="4" s="1"/>
  <c r="AW4002" i="4" s="1"/>
  <c r="AW4003" i="4" s="1"/>
  <c r="AW4004" i="4" s="1"/>
  <c r="AW4005" i="4" s="1"/>
  <c r="AW4006" i="4" s="1"/>
  <c r="AW4007" i="4" s="1"/>
  <c r="AW4008" i="4" s="1"/>
  <c r="AW4009" i="4" s="1"/>
  <c r="AW4010" i="4" s="1"/>
  <c r="AX11" i="4"/>
  <c r="AE14" i="3"/>
  <c r="AE15" i="3"/>
  <c r="AE18" i="3"/>
  <c r="AE19" i="3"/>
  <c r="AE20" i="3"/>
  <c r="AE21" i="3"/>
  <c r="AE22" i="3"/>
  <c r="AE23" i="3"/>
  <c r="AE24" i="3"/>
  <c r="AE26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7" i="3"/>
  <c r="AE48" i="3"/>
  <c r="AE49" i="3"/>
  <c r="AE50" i="3"/>
  <c r="AE51" i="3"/>
  <c r="AE53" i="3"/>
  <c r="AE54" i="3"/>
  <c r="AE57" i="3"/>
  <c r="AE59" i="3"/>
  <c r="AE60" i="3"/>
  <c r="AE61" i="3"/>
  <c r="AE62" i="3"/>
  <c r="AE64" i="3"/>
  <c r="AE66" i="3"/>
  <c r="AE69" i="3"/>
  <c r="AE70" i="3"/>
  <c r="AE72" i="3"/>
  <c r="AE73" i="3"/>
  <c r="AE74" i="3"/>
  <c r="AE78" i="3"/>
  <c r="AE81" i="3"/>
  <c r="AE82" i="3"/>
  <c r="AE83" i="3"/>
  <c r="AE86" i="3"/>
  <c r="AE87" i="3"/>
  <c r="AE90" i="3"/>
  <c r="AE91" i="3"/>
  <c r="AE92" i="3"/>
  <c r="AE93" i="3"/>
  <c r="AE96" i="3"/>
  <c r="AE99" i="3"/>
  <c r="AE101" i="3"/>
  <c r="AE102" i="3"/>
  <c r="AE103" i="3"/>
  <c r="AE105" i="3"/>
  <c r="AE107" i="3"/>
  <c r="AE108" i="3"/>
  <c r="AE112" i="3"/>
  <c r="AE115" i="3"/>
  <c r="AE116" i="3"/>
  <c r="AE117" i="3"/>
  <c r="AE118" i="3"/>
  <c r="AE120" i="3"/>
  <c r="AE121" i="3"/>
  <c r="AE122" i="3"/>
  <c r="AE133" i="3"/>
  <c r="AE135" i="3"/>
  <c r="AE136" i="3"/>
  <c r="AE137" i="3"/>
  <c r="AE138" i="3"/>
  <c r="AE140" i="3"/>
  <c r="AE141" i="3"/>
  <c r="AE144" i="3"/>
  <c r="AE145" i="3"/>
  <c r="AE146" i="3"/>
  <c r="AE147" i="3"/>
  <c r="AE149" i="3"/>
  <c r="AE158" i="3"/>
  <c r="AE159" i="3"/>
  <c r="AE160" i="3"/>
  <c r="AE161" i="3"/>
  <c r="AE162" i="3"/>
  <c r="AE165" i="3"/>
  <c r="AE167" i="3"/>
  <c r="AE168" i="3"/>
  <c r="AE169" i="3"/>
  <c r="AE171" i="3"/>
  <c r="AE174" i="3"/>
  <c r="AE175" i="3"/>
  <c r="AE176" i="3"/>
  <c r="AE178" i="3"/>
  <c r="AE183" i="3"/>
  <c r="AE187" i="3"/>
  <c r="AE188" i="3"/>
  <c r="AE190" i="3"/>
  <c r="AE193" i="3"/>
  <c r="AE194" i="3"/>
  <c r="AE195" i="3"/>
  <c r="AE196" i="3"/>
  <c r="AE198" i="3"/>
  <c r="AE199" i="3"/>
  <c r="AE200" i="3"/>
  <c r="AE202" i="3"/>
  <c r="AE205" i="3"/>
  <c r="AE206" i="3"/>
  <c r="AE207" i="3"/>
  <c r="AE212" i="3"/>
  <c r="AE214" i="3"/>
  <c r="AE218" i="3"/>
  <c r="AE219" i="3"/>
  <c r="AE220" i="3"/>
  <c r="AE221" i="3"/>
  <c r="AE222" i="3"/>
  <c r="AE223" i="3"/>
  <c r="AE224" i="3"/>
  <c r="AE225" i="3"/>
  <c r="AE227" i="3"/>
  <c r="AE230" i="3"/>
  <c r="AE231" i="3"/>
  <c r="AE236" i="3"/>
  <c r="AE238" i="3"/>
  <c r="AE239" i="3"/>
  <c r="AE242" i="3"/>
  <c r="AE248" i="3"/>
  <c r="AE250" i="3"/>
  <c r="AE251" i="3"/>
  <c r="AE253" i="3"/>
  <c r="AE254" i="3"/>
  <c r="AE257" i="3"/>
  <c r="AE262" i="3"/>
  <c r="AE263" i="3"/>
  <c r="AE265" i="3"/>
  <c r="AE266" i="3"/>
  <c r="AE267" i="3"/>
  <c r="AE271" i="3"/>
  <c r="AE272" i="3"/>
  <c r="AE276" i="3"/>
  <c r="AE279" i="3"/>
  <c r="AE280" i="3"/>
  <c r="AE281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E786" i="3"/>
  <c r="AE787" i="3"/>
  <c r="AE788" i="3"/>
  <c r="AE789" i="3"/>
  <c r="AE790" i="3"/>
  <c r="AE791" i="3"/>
  <c r="AE826" i="3"/>
  <c r="AE836" i="3"/>
  <c r="AE837" i="3"/>
  <c r="AE838" i="3"/>
  <c r="AE839" i="3"/>
  <c r="AE841" i="3"/>
  <c r="AE853" i="3"/>
  <c r="AE857" i="3"/>
  <c r="AE867" i="3"/>
  <c r="AE887" i="3"/>
  <c r="AE927" i="3"/>
  <c r="AE931" i="3"/>
  <c r="AE939" i="3"/>
  <c r="AE942" i="3"/>
  <c r="AE943" i="3"/>
  <c r="AE944" i="3"/>
  <c r="AE945" i="3"/>
  <c r="AE946" i="3"/>
  <c r="AE947" i="3"/>
  <c r="AE948" i="3"/>
  <c r="AE949" i="3"/>
  <c r="AE950" i="3"/>
  <c r="AE951" i="3"/>
  <c r="AE952" i="3"/>
  <c r="AE953" i="3"/>
  <c r="AE954" i="3"/>
  <c r="AE955" i="3"/>
  <c r="AE956" i="3"/>
  <c r="AE957" i="3"/>
  <c r="AE958" i="3"/>
  <c r="AE959" i="3"/>
  <c r="AE960" i="3"/>
  <c r="AE961" i="3"/>
  <c r="AE962" i="3"/>
  <c r="AE963" i="3"/>
  <c r="AE964" i="3"/>
  <c r="AE965" i="3"/>
  <c r="AE966" i="3"/>
  <c r="AE967" i="3"/>
  <c r="AE968" i="3"/>
  <c r="AE969" i="3"/>
  <c r="AE970" i="3"/>
  <c r="AE971" i="3"/>
  <c r="AE972" i="3"/>
  <c r="AE973" i="3"/>
  <c r="AE974" i="3"/>
  <c r="AE975" i="3"/>
  <c r="AE976" i="3"/>
  <c r="AE977" i="3"/>
  <c r="AE978" i="3"/>
  <c r="AE979" i="3"/>
  <c r="AE980" i="3"/>
  <c r="AE981" i="3"/>
  <c r="AE982" i="3"/>
  <c r="AE983" i="3"/>
  <c r="AE984" i="3"/>
  <c r="AE985" i="3"/>
  <c r="AE986" i="3"/>
  <c r="AE987" i="3"/>
  <c r="AE988" i="3"/>
  <c r="AE989" i="3"/>
  <c r="AE990" i="3"/>
  <c r="AE991" i="3"/>
  <c r="AE992" i="3"/>
  <c r="AE993" i="3"/>
  <c r="AE994" i="3"/>
  <c r="AE995" i="3"/>
  <c r="AE996" i="3"/>
  <c r="AE997" i="3"/>
  <c r="AE998" i="3"/>
  <c r="AE999" i="3"/>
  <c r="AE1000" i="3"/>
  <c r="AE1001" i="3"/>
  <c r="AE1002" i="3"/>
  <c r="AE1003" i="3"/>
  <c r="AE1004" i="3"/>
  <c r="AE1005" i="3"/>
  <c r="AE1006" i="3"/>
  <c r="AE1007" i="3"/>
  <c r="AE1008" i="3"/>
  <c r="AE1009" i="3"/>
  <c r="AE1010" i="3"/>
  <c r="AE792" i="3"/>
  <c r="AE793" i="3"/>
  <c r="AE794" i="3"/>
  <c r="AE805" i="3"/>
  <c r="AE807" i="3"/>
  <c r="AE815" i="3"/>
  <c r="AE816" i="3"/>
  <c r="AE820" i="3"/>
  <c r="AE821" i="3"/>
  <c r="AE843" i="3"/>
  <c r="AE868" i="3"/>
  <c r="AE882" i="3"/>
  <c r="AE897" i="3"/>
  <c r="AE898" i="3"/>
  <c r="AE909" i="3"/>
  <c r="AE920" i="3"/>
  <c r="AE801" i="3"/>
  <c r="AE817" i="3"/>
  <c r="AE856" i="3"/>
  <c r="AE914" i="3"/>
  <c r="AE917" i="3"/>
  <c r="AE934" i="3"/>
  <c r="AE806" i="3"/>
  <c r="AE874" i="3"/>
  <c r="AE875" i="3"/>
  <c r="AE876" i="3"/>
  <c r="AE877" i="3"/>
  <c r="AE879" i="3"/>
  <c r="AE901" i="3"/>
  <c r="AE902" i="3"/>
  <c r="AE912" i="3"/>
  <c r="AE913" i="3"/>
  <c r="AE916" i="3"/>
  <c r="AE918" i="3"/>
  <c r="AE922" i="3"/>
  <c r="AE923" i="3"/>
  <c r="AE924" i="3"/>
  <c r="AE925" i="3"/>
  <c r="AE935" i="3"/>
  <c r="AE825" i="3"/>
  <c r="AE827" i="3"/>
  <c r="AE845" i="3"/>
  <c r="AE846" i="3"/>
  <c r="AE859" i="3"/>
  <c r="AE861" i="3"/>
  <c r="AE862" i="3"/>
  <c r="AE883" i="3"/>
  <c r="AE888" i="3"/>
  <c r="AE890" i="3"/>
  <c r="AE835" i="3"/>
  <c r="AE858" i="3"/>
  <c r="AE891" i="3"/>
  <c r="AE903" i="3"/>
  <c r="AE932" i="3"/>
  <c r="AE795" i="3"/>
  <c r="AE803" i="3"/>
  <c r="AE811" i="3"/>
  <c r="AE812" i="3"/>
  <c r="AE813" i="3"/>
  <c r="AE818" i="3"/>
  <c r="AE831" i="3"/>
  <c r="AE832" i="3"/>
  <c r="AE833" i="3"/>
  <c r="AE834" i="3"/>
  <c r="AE884" i="3"/>
  <c r="AE885" i="3"/>
  <c r="AE899" i="3"/>
  <c r="AE900" i="3"/>
  <c r="AE919" i="3"/>
  <c r="AE936" i="3"/>
  <c r="AE937" i="3"/>
  <c r="AE940" i="3"/>
  <c r="AE796" i="3"/>
  <c r="AE798" i="3"/>
  <c r="AE842" i="3"/>
  <c r="AE844" i="3"/>
  <c r="AE850" i="3"/>
  <c r="AE860" i="3"/>
  <c r="AE871" i="3"/>
  <c r="AE872" i="3"/>
  <c r="AE873" i="3"/>
  <c r="AE886" i="3"/>
  <c r="AE933" i="3"/>
  <c r="AE941" i="3"/>
  <c r="AE797" i="3"/>
  <c r="AE804" i="3"/>
  <c r="AE808" i="3"/>
  <c r="AE809" i="3"/>
  <c r="AE814" i="3"/>
  <c r="AE823" i="3"/>
  <c r="AE864" i="3"/>
  <c r="AE865" i="3"/>
  <c r="AE869" i="3"/>
  <c r="AE870" i="3"/>
  <c r="AE880" i="3"/>
  <c r="AE881" i="3"/>
  <c r="AE892" i="3"/>
  <c r="AE893" i="3"/>
  <c r="AE895" i="3"/>
  <c r="AE908" i="3"/>
  <c r="AE921" i="3"/>
  <c r="AE799" i="3"/>
  <c r="AE800" i="3"/>
  <c r="AE822" i="3"/>
  <c r="AE824" i="3"/>
  <c r="AE847" i="3"/>
  <c r="AE848" i="3"/>
  <c r="AE849" i="3"/>
  <c r="AE852" i="3"/>
  <c r="AE863" i="3"/>
  <c r="AE866" i="3"/>
  <c r="AE878" i="3"/>
  <c r="AE889" i="3"/>
  <c r="AE904" i="3"/>
  <c r="AE915" i="3"/>
  <c r="AE928" i="3"/>
  <c r="AE810" i="3"/>
  <c r="AE819" i="3"/>
  <c r="AE840" i="3"/>
  <c r="AE896" i="3"/>
  <c r="AE926" i="3"/>
  <c r="AE929" i="3"/>
  <c r="AE930" i="3"/>
  <c r="AE938" i="3"/>
  <c r="AE802" i="3"/>
  <c r="AE828" i="3"/>
  <c r="AE829" i="3"/>
  <c r="AE830" i="3"/>
  <c r="AE851" i="3"/>
  <c r="AE854" i="3"/>
  <c r="AE855" i="3"/>
  <c r="AE894" i="3"/>
  <c r="AE905" i="3"/>
  <c r="AE906" i="3"/>
  <c r="AE907" i="3"/>
  <c r="AE910" i="3"/>
  <c r="AE911" i="3"/>
  <c r="AE11" i="3"/>
  <c r="AE12" i="3"/>
  <c r="AE13" i="3"/>
  <c r="AE16" i="3"/>
  <c r="AE17" i="3"/>
  <c r="AE25" i="3"/>
  <c r="AE27" i="3"/>
  <c r="AE44" i="3"/>
  <c r="AE45" i="3"/>
  <c r="AE46" i="3"/>
  <c r="AE52" i="3"/>
  <c r="AE55" i="3"/>
  <c r="AE56" i="3"/>
  <c r="AE58" i="3"/>
  <c r="AE63" i="3"/>
  <c r="AE65" i="3"/>
  <c r="AE67" i="3"/>
  <c r="AE68" i="3"/>
  <c r="AE71" i="3"/>
  <c r="AE75" i="3"/>
  <c r="AE76" i="3"/>
  <c r="AE77" i="3"/>
  <c r="AE79" i="3"/>
  <c r="AE80" i="3"/>
  <c r="AE84" i="3"/>
  <c r="AE85" i="3"/>
  <c r="AE88" i="3"/>
  <c r="AE89" i="3"/>
  <c r="AE94" i="3"/>
  <c r="AE95" i="3"/>
  <c r="AE97" i="3"/>
  <c r="AE98" i="3"/>
  <c r="AE100" i="3"/>
  <c r="AE104" i="3"/>
  <c r="AE106" i="3"/>
  <c r="AE109" i="3"/>
  <c r="AE110" i="3"/>
  <c r="AE111" i="3"/>
  <c r="AE113" i="3"/>
  <c r="AE114" i="3"/>
  <c r="AE119" i="3"/>
  <c r="AE123" i="3"/>
  <c r="AE124" i="3"/>
  <c r="AE125" i="3"/>
  <c r="AE126" i="3"/>
  <c r="AE127" i="3"/>
  <c r="AE128" i="3"/>
  <c r="AE129" i="3"/>
  <c r="AE130" i="3"/>
  <c r="AE131" i="3"/>
  <c r="AE132" i="3"/>
  <c r="AE134" i="3"/>
  <c r="AE139" i="3"/>
  <c r="AE142" i="3"/>
  <c r="AE143" i="3"/>
  <c r="AE148" i="3"/>
  <c r="AE150" i="3"/>
  <c r="AE151" i="3"/>
  <c r="AE152" i="3"/>
  <c r="AE153" i="3"/>
  <c r="AE154" i="3"/>
  <c r="AE155" i="3"/>
  <c r="AE156" i="3"/>
  <c r="AE157" i="3"/>
  <c r="AE163" i="3"/>
  <c r="AE164" i="3"/>
  <c r="AE166" i="3"/>
  <c r="AE170" i="3"/>
  <c r="AE172" i="3"/>
  <c r="AE173" i="3"/>
  <c r="AE177" i="3"/>
  <c r="AE179" i="3"/>
  <c r="AE180" i="3"/>
  <c r="AE181" i="3"/>
  <c r="AE182" i="3"/>
  <c r="AE184" i="3"/>
  <c r="AE185" i="3"/>
  <c r="AE186" i="3"/>
  <c r="AE189" i="3"/>
  <c r="AE191" i="3"/>
  <c r="AE192" i="3"/>
  <c r="AE197" i="3"/>
  <c r="AE201" i="3"/>
  <c r="AE203" i="3"/>
  <c r="AE204" i="3"/>
  <c r="AE208" i="3"/>
  <c r="AE209" i="3"/>
  <c r="AE210" i="3"/>
  <c r="AE211" i="3"/>
  <c r="AE213" i="3"/>
  <c r="AE215" i="3"/>
  <c r="AE216" i="3"/>
  <c r="AE217" i="3"/>
  <c r="AE226" i="3"/>
  <c r="AE228" i="3"/>
  <c r="AE229" i="3"/>
  <c r="AE232" i="3"/>
  <c r="AE233" i="3"/>
  <c r="AE234" i="3"/>
  <c r="AE235" i="3"/>
  <c r="AE237" i="3"/>
  <c r="AE240" i="3"/>
  <c r="AE241" i="3"/>
  <c r="AE243" i="3"/>
  <c r="AE244" i="3"/>
  <c r="AE245" i="3"/>
  <c r="AE246" i="3"/>
  <c r="AE247" i="3"/>
  <c r="AE249" i="3"/>
  <c r="AE252" i="3"/>
  <c r="AE255" i="3"/>
  <c r="AE256" i="3"/>
  <c r="AE258" i="3"/>
  <c r="AE259" i="3"/>
  <c r="AE260" i="3"/>
  <c r="AE261" i="3"/>
  <c r="AE264" i="3"/>
  <c r="AE268" i="3"/>
  <c r="AE269" i="3"/>
  <c r="AE270" i="3"/>
  <c r="AE273" i="3"/>
  <c r="AE274" i="3"/>
  <c r="AE275" i="3"/>
  <c r="AE277" i="3"/>
  <c r="AE278" i="3"/>
  <c r="AE282" i="3"/>
  <c r="AX11" i="3"/>
  <c r="AW11" i="3"/>
  <c r="AW12" i="3" s="1"/>
  <c r="AW13" i="3" s="1"/>
  <c r="AW14" i="3" s="1"/>
  <c r="AW15" i="3" s="1"/>
  <c r="AW16" i="3" s="1"/>
  <c r="AW17" i="3" s="1"/>
  <c r="AW18" i="3" s="1"/>
  <c r="AW19" i="3" s="1"/>
  <c r="AW20" i="3" s="1"/>
  <c r="AW21" i="3" s="1"/>
  <c r="AW22" i="3" s="1"/>
  <c r="AW23" i="3" s="1"/>
  <c r="AW24" i="3" s="1"/>
  <c r="AW25" i="3" s="1"/>
  <c r="AW26" i="3" s="1"/>
  <c r="AW27" i="3" s="1"/>
  <c r="AW28" i="3" s="1"/>
  <c r="AW29" i="3" s="1"/>
  <c r="AW30" i="3" s="1"/>
  <c r="AW31" i="3" s="1"/>
  <c r="AW32" i="3" s="1"/>
  <c r="AW33" i="3" s="1"/>
  <c r="AW34" i="3" s="1"/>
  <c r="AW35" i="3" s="1"/>
  <c r="AW36" i="3" s="1"/>
  <c r="AW37" i="3" s="1"/>
  <c r="AW38" i="3" s="1"/>
  <c r="AW39" i="3" s="1"/>
  <c r="AW40" i="3" s="1"/>
  <c r="AW41" i="3" s="1"/>
  <c r="AW42" i="3" s="1"/>
  <c r="AW43" i="3" s="1"/>
  <c r="AW44" i="3" s="1"/>
  <c r="AW45" i="3" s="1"/>
  <c r="AW46" i="3" s="1"/>
  <c r="AW47" i="3" s="1"/>
  <c r="AW48" i="3" s="1"/>
  <c r="AW49" i="3" s="1"/>
  <c r="AW50" i="3" s="1"/>
  <c r="AW51" i="3" s="1"/>
  <c r="AW52" i="3" s="1"/>
  <c r="AW53" i="3" s="1"/>
  <c r="AW54" i="3" s="1"/>
  <c r="AW55" i="3" s="1"/>
  <c r="AW56" i="3" s="1"/>
  <c r="AW57" i="3" s="1"/>
  <c r="AW58" i="3" s="1"/>
  <c r="AW59" i="3" s="1"/>
  <c r="AW60" i="3" s="1"/>
  <c r="AW61" i="3" s="1"/>
  <c r="AW62" i="3" s="1"/>
  <c r="AW63" i="3" s="1"/>
  <c r="AW64" i="3" s="1"/>
  <c r="AW65" i="3" s="1"/>
  <c r="AW66" i="3" s="1"/>
  <c r="AW67" i="3" s="1"/>
  <c r="AW68" i="3" s="1"/>
  <c r="AW69" i="3" s="1"/>
  <c r="AW70" i="3" s="1"/>
  <c r="AW71" i="3" s="1"/>
  <c r="AW72" i="3" s="1"/>
  <c r="AW73" i="3" s="1"/>
  <c r="AW74" i="3" s="1"/>
  <c r="AW75" i="3" s="1"/>
  <c r="AW76" i="3" s="1"/>
  <c r="AW77" i="3" s="1"/>
  <c r="AW78" i="3" s="1"/>
  <c r="AW79" i="3" s="1"/>
  <c r="AW80" i="3" s="1"/>
  <c r="AW81" i="3" s="1"/>
  <c r="AW82" i="3" s="1"/>
  <c r="AW83" i="3" s="1"/>
  <c r="AW84" i="3" s="1"/>
  <c r="AW85" i="3" s="1"/>
  <c r="AW86" i="3" s="1"/>
  <c r="AW87" i="3" s="1"/>
  <c r="AW88" i="3" s="1"/>
  <c r="AW89" i="3" s="1"/>
  <c r="AW90" i="3" s="1"/>
  <c r="AW91" i="3" s="1"/>
  <c r="AW92" i="3" s="1"/>
  <c r="AW93" i="3" s="1"/>
  <c r="AW94" i="3" s="1"/>
  <c r="AW95" i="3" s="1"/>
  <c r="AW96" i="3" s="1"/>
  <c r="AW97" i="3" s="1"/>
  <c r="AW98" i="3" s="1"/>
  <c r="AW99" i="3" s="1"/>
  <c r="AW100" i="3" s="1"/>
  <c r="AW101" i="3" s="1"/>
  <c r="AW102" i="3" s="1"/>
  <c r="AW103" i="3" s="1"/>
  <c r="AW104" i="3" s="1"/>
  <c r="AW105" i="3" s="1"/>
  <c r="AW106" i="3" s="1"/>
  <c r="AW107" i="3" s="1"/>
  <c r="AW108" i="3" s="1"/>
  <c r="AW109" i="3" s="1"/>
  <c r="AW110" i="3" s="1"/>
  <c r="AW111" i="3" s="1"/>
  <c r="AW112" i="3" s="1"/>
  <c r="AW113" i="3" s="1"/>
  <c r="AW114" i="3" s="1"/>
  <c r="AW115" i="3" s="1"/>
  <c r="AW116" i="3" s="1"/>
  <c r="AW117" i="3" s="1"/>
  <c r="AW118" i="3" s="1"/>
  <c r="AW119" i="3" s="1"/>
  <c r="AW120" i="3" s="1"/>
  <c r="AW121" i="3" s="1"/>
  <c r="AW122" i="3" s="1"/>
  <c r="AW123" i="3" s="1"/>
  <c r="AW124" i="3" s="1"/>
  <c r="AW125" i="3" s="1"/>
  <c r="AW126" i="3" s="1"/>
  <c r="AW127" i="3" s="1"/>
  <c r="AW128" i="3" s="1"/>
  <c r="AW129" i="3" s="1"/>
  <c r="AW130" i="3" s="1"/>
  <c r="AW131" i="3" s="1"/>
  <c r="AW132" i="3" s="1"/>
  <c r="AW133" i="3" s="1"/>
  <c r="AW134" i="3" s="1"/>
  <c r="AW135" i="3" s="1"/>
  <c r="AW136" i="3" s="1"/>
  <c r="AW137" i="3" s="1"/>
  <c r="AW138" i="3" s="1"/>
  <c r="AW139" i="3" s="1"/>
  <c r="AW140" i="3" s="1"/>
  <c r="AW141" i="3" s="1"/>
  <c r="AW142" i="3" s="1"/>
  <c r="AW143" i="3" s="1"/>
  <c r="AW144" i="3" s="1"/>
  <c r="AW145" i="3" s="1"/>
  <c r="AW146" i="3" s="1"/>
  <c r="AW147" i="3" s="1"/>
  <c r="AW148" i="3" s="1"/>
  <c r="AW149" i="3" s="1"/>
  <c r="AW150" i="3" s="1"/>
  <c r="AW151" i="3" s="1"/>
  <c r="AW152" i="3" s="1"/>
  <c r="AW153" i="3" s="1"/>
  <c r="AW154" i="3" s="1"/>
  <c r="AW155" i="3" s="1"/>
  <c r="AW156" i="3" s="1"/>
  <c r="AW157" i="3" s="1"/>
  <c r="AW158" i="3" s="1"/>
  <c r="AW159" i="3" s="1"/>
  <c r="AW160" i="3" s="1"/>
  <c r="AW161" i="3" s="1"/>
  <c r="AW162" i="3" s="1"/>
  <c r="AW163" i="3" s="1"/>
  <c r="AW164" i="3" s="1"/>
  <c r="AW165" i="3" s="1"/>
  <c r="AW166" i="3" s="1"/>
  <c r="AW167" i="3" s="1"/>
  <c r="AW168" i="3" s="1"/>
  <c r="AW169" i="3" s="1"/>
  <c r="AW170" i="3" s="1"/>
  <c r="AW171" i="3" s="1"/>
  <c r="AW172" i="3" s="1"/>
  <c r="AW173" i="3" s="1"/>
  <c r="AW174" i="3" s="1"/>
  <c r="AW175" i="3" s="1"/>
  <c r="AW176" i="3" s="1"/>
  <c r="AW177" i="3" s="1"/>
  <c r="AW178" i="3" s="1"/>
  <c r="AW179" i="3" s="1"/>
  <c r="AW180" i="3" s="1"/>
  <c r="AW181" i="3" s="1"/>
  <c r="AW182" i="3" s="1"/>
  <c r="AW183" i="3" s="1"/>
  <c r="AW184" i="3" s="1"/>
  <c r="AW185" i="3" s="1"/>
  <c r="AW186" i="3" s="1"/>
  <c r="AW187" i="3" s="1"/>
  <c r="AW188" i="3" s="1"/>
  <c r="AW189" i="3" s="1"/>
  <c r="AW190" i="3" s="1"/>
  <c r="AW191" i="3" s="1"/>
  <c r="AW192" i="3" s="1"/>
  <c r="AW193" i="3" s="1"/>
  <c r="AW194" i="3" s="1"/>
  <c r="AW195" i="3" s="1"/>
  <c r="AW196" i="3" s="1"/>
  <c r="AW197" i="3" s="1"/>
  <c r="AW198" i="3" s="1"/>
  <c r="AW199" i="3" s="1"/>
  <c r="AW200" i="3" s="1"/>
  <c r="AW201" i="3" s="1"/>
  <c r="AW202" i="3" s="1"/>
  <c r="AW203" i="3" s="1"/>
  <c r="AW204" i="3" s="1"/>
  <c r="AW205" i="3" s="1"/>
  <c r="AW206" i="3" s="1"/>
  <c r="AW207" i="3" s="1"/>
  <c r="AW208" i="3" s="1"/>
  <c r="AW209" i="3" s="1"/>
  <c r="AW210" i="3" s="1"/>
  <c r="AW211" i="3" s="1"/>
  <c r="AW212" i="3" s="1"/>
  <c r="AW213" i="3" s="1"/>
  <c r="AW214" i="3" s="1"/>
  <c r="AW215" i="3" s="1"/>
  <c r="AW216" i="3" s="1"/>
  <c r="AW217" i="3" s="1"/>
  <c r="AW218" i="3" s="1"/>
  <c r="AW219" i="3" s="1"/>
  <c r="AW220" i="3" s="1"/>
  <c r="AW221" i="3" s="1"/>
  <c r="AW222" i="3" s="1"/>
  <c r="AW223" i="3" s="1"/>
  <c r="AW224" i="3" s="1"/>
  <c r="AW225" i="3" s="1"/>
  <c r="AW226" i="3" s="1"/>
  <c r="AW227" i="3" s="1"/>
  <c r="AW228" i="3" s="1"/>
  <c r="AW229" i="3" s="1"/>
  <c r="AW230" i="3" s="1"/>
  <c r="AW231" i="3" s="1"/>
  <c r="AW232" i="3" s="1"/>
  <c r="AW233" i="3" s="1"/>
  <c r="AW234" i="3" s="1"/>
  <c r="AW235" i="3" s="1"/>
  <c r="AW236" i="3" s="1"/>
  <c r="AW237" i="3" s="1"/>
  <c r="AW238" i="3" s="1"/>
  <c r="AW239" i="3" s="1"/>
  <c r="AW240" i="3" s="1"/>
  <c r="AW241" i="3" s="1"/>
  <c r="AW242" i="3" s="1"/>
  <c r="AW243" i="3" s="1"/>
  <c r="AW244" i="3" s="1"/>
  <c r="AW245" i="3" s="1"/>
  <c r="AW246" i="3" s="1"/>
  <c r="AW247" i="3" s="1"/>
  <c r="AW248" i="3" s="1"/>
  <c r="AW249" i="3" s="1"/>
  <c r="AW250" i="3" s="1"/>
  <c r="AW251" i="3" s="1"/>
  <c r="AW252" i="3" s="1"/>
  <c r="AW253" i="3" s="1"/>
  <c r="AW254" i="3" s="1"/>
  <c r="AW255" i="3" s="1"/>
  <c r="AW256" i="3" s="1"/>
  <c r="AW257" i="3" s="1"/>
  <c r="AW258" i="3" s="1"/>
  <c r="AW259" i="3" s="1"/>
  <c r="AW260" i="3" s="1"/>
  <c r="AW261" i="3" s="1"/>
  <c r="AW262" i="3" s="1"/>
  <c r="AW263" i="3" s="1"/>
  <c r="AW264" i="3" s="1"/>
  <c r="AW265" i="3" s="1"/>
  <c r="AW266" i="3" s="1"/>
  <c r="AW267" i="3" s="1"/>
  <c r="AW268" i="3" s="1"/>
  <c r="AW269" i="3" s="1"/>
  <c r="AW270" i="3" s="1"/>
  <c r="AW271" i="3" s="1"/>
  <c r="AW272" i="3" s="1"/>
  <c r="AW273" i="3" s="1"/>
  <c r="AW274" i="3" s="1"/>
  <c r="AW275" i="3" s="1"/>
  <c r="AW276" i="3" s="1"/>
  <c r="AW277" i="3" s="1"/>
  <c r="AW278" i="3" s="1"/>
  <c r="AW279" i="3" s="1"/>
  <c r="AW280" i="3" s="1"/>
  <c r="AW281" i="3" s="1"/>
  <c r="AW282" i="3" s="1"/>
  <c r="AW283" i="3" s="1"/>
  <c r="AW284" i="3" s="1"/>
  <c r="AW285" i="3" s="1"/>
  <c r="AW286" i="3" s="1"/>
  <c r="AW287" i="3" s="1"/>
  <c r="AW288" i="3" s="1"/>
  <c r="AW289" i="3" s="1"/>
  <c r="AW290" i="3" s="1"/>
  <c r="AW291" i="3" s="1"/>
  <c r="AW292" i="3" s="1"/>
  <c r="AW293" i="3" s="1"/>
  <c r="AW294" i="3" s="1"/>
  <c r="AW295" i="3" s="1"/>
  <c r="AW296" i="3" s="1"/>
  <c r="AW297" i="3" s="1"/>
  <c r="AW298" i="3" s="1"/>
  <c r="AW299" i="3" s="1"/>
  <c r="AW300" i="3" s="1"/>
  <c r="AW301" i="3" s="1"/>
  <c r="AW302" i="3" s="1"/>
  <c r="AW303" i="3" s="1"/>
  <c r="AW304" i="3" s="1"/>
  <c r="AW305" i="3" s="1"/>
  <c r="AW306" i="3" s="1"/>
  <c r="AW307" i="3" s="1"/>
  <c r="AW308" i="3" s="1"/>
  <c r="AW309" i="3" s="1"/>
  <c r="AW310" i="3" s="1"/>
  <c r="AW311" i="3" s="1"/>
  <c r="AW312" i="3" s="1"/>
  <c r="AW313" i="3" s="1"/>
  <c r="AW314" i="3" s="1"/>
  <c r="AW315" i="3" s="1"/>
  <c r="AW316" i="3" s="1"/>
  <c r="AW317" i="3" s="1"/>
  <c r="AW318" i="3" s="1"/>
  <c r="AW319" i="3" s="1"/>
  <c r="AW320" i="3" s="1"/>
  <c r="AW321" i="3" s="1"/>
  <c r="AW322" i="3" s="1"/>
  <c r="AW323" i="3" s="1"/>
  <c r="AW324" i="3" s="1"/>
  <c r="AW325" i="3" s="1"/>
  <c r="AW326" i="3" s="1"/>
  <c r="AW327" i="3" s="1"/>
  <c r="AW328" i="3" s="1"/>
  <c r="AW329" i="3" s="1"/>
  <c r="AW330" i="3" s="1"/>
  <c r="AW331" i="3" s="1"/>
  <c r="AW332" i="3" s="1"/>
  <c r="AW333" i="3" s="1"/>
  <c r="AW334" i="3" s="1"/>
  <c r="AW335" i="3" s="1"/>
  <c r="AW336" i="3" s="1"/>
  <c r="AW337" i="3" s="1"/>
  <c r="AW338" i="3" s="1"/>
  <c r="AW339" i="3" s="1"/>
  <c r="AW340" i="3" s="1"/>
  <c r="AW341" i="3" s="1"/>
  <c r="AW342" i="3" s="1"/>
  <c r="AW343" i="3" s="1"/>
  <c r="AW344" i="3" s="1"/>
  <c r="AW345" i="3" s="1"/>
  <c r="AW346" i="3" s="1"/>
  <c r="AW347" i="3" s="1"/>
  <c r="AW348" i="3" s="1"/>
  <c r="AW349" i="3" s="1"/>
  <c r="AW350" i="3" s="1"/>
  <c r="AW351" i="3" s="1"/>
  <c r="AW352" i="3" s="1"/>
  <c r="AW353" i="3" s="1"/>
  <c r="AW354" i="3" s="1"/>
  <c r="AW355" i="3" s="1"/>
  <c r="AW356" i="3" s="1"/>
  <c r="AW357" i="3" s="1"/>
  <c r="AW358" i="3" s="1"/>
  <c r="AW359" i="3" s="1"/>
  <c r="AW360" i="3" s="1"/>
  <c r="AW361" i="3" s="1"/>
  <c r="AW362" i="3" s="1"/>
  <c r="AW363" i="3" s="1"/>
  <c r="AW364" i="3" s="1"/>
  <c r="AW365" i="3" s="1"/>
  <c r="AW366" i="3" s="1"/>
  <c r="AW367" i="3" s="1"/>
  <c r="AW368" i="3" s="1"/>
  <c r="AW369" i="3" s="1"/>
  <c r="AW370" i="3" s="1"/>
  <c r="AW371" i="3" s="1"/>
  <c r="AW372" i="3" s="1"/>
  <c r="AW373" i="3" s="1"/>
  <c r="AW374" i="3" s="1"/>
  <c r="AW375" i="3" s="1"/>
  <c r="AW376" i="3" s="1"/>
  <c r="AW377" i="3" s="1"/>
  <c r="AW378" i="3" s="1"/>
  <c r="AW379" i="3" s="1"/>
  <c r="AW380" i="3" s="1"/>
  <c r="AW381" i="3" s="1"/>
  <c r="AW382" i="3" s="1"/>
  <c r="AW383" i="3" s="1"/>
  <c r="AW384" i="3" s="1"/>
  <c r="AW385" i="3" s="1"/>
  <c r="AW386" i="3" s="1"/>
  <c r="AW387" i="3" s="1"/>
  <c r="AW388" i="3" s="1"/>
  <c r="AW389" i="3" s="1"/>
  <c r="AW390" i="3" s="1"/>
  <c r="AW391" i="3" s="1"/>
  <c r="AW392" i="3" s="1"/>
  <c r="AW393" i="3" s="1"/>
  <c r="AW394" i="3" s="1"/>
  <c r="AW395" i="3" s="1"/>
  <c r="AW396" i="3" s="1"/>
  <c r="AW397" i="3" s="1"/>
  <c r="AW398" i="3" s="1"/>
  <c r="AW399" i="3" s="1"/>
  <c r="AW400" i="3" s="1"/>
  <c r="AW401" i="3" s="1"/>
  <c r="AW402" i="3" s="1"/>
  <c r="AW403" i="3" s="1"/>
  <c r="AW404" i="3" s="1"/>
  <c r="AW405" i="3" s="1"/>
  <c r="AW406" i="3" s="1"/>
  <c r="AW407" i="3" s="1"/>
  <c r="AW408" i="3" s="1"/>
  <c r="AW409" i="3" s="1"/>
  <c r="AW410" i="3" s="1"/>
  <c r="AW411" i="3" s="1"/>
  <c r="AW412" i="3" s="1"/>
  <c r="AW413" i="3" s="1"/>
  <c r="AW414" i="3" s="1"/>
  <c r="AW415" i="3" s="1"/>
  <c r="AW416" i="3" s="1"/>
  <c r="AW417" i="3" s="1"/>
  <c r="AW418" i="3" s="1"/>
  <c r="AW419" i="3" s="1"/>
  <c r="AW420" i="3" s="1"/>
  <c r="AW421" i="3" s="1"/>
  <c r="AW422" i="3" s="1"/>
  <c r="AW423" i="3" s="1"/>
  <c r="AW424" i="3" s="1"/>
  <c r="AW425" i="3" s="1"/>
  <c r="AW426" i="3" s="1"/>
  <c r="AW427" i="3" s="1"/>
  <c r="AW428" i="3" s="1"/>
  <c r="AW429" i="3" s="1"/>
  <c r="AW430" i="3" s="1"/>
  <c r="AW431" i="3" s="1"/>
  <c r="AW432" i="3" s="1"/>
  <c r="AW433" i="3" s="1"/>
  <c r="AW434" i="3" s="1"/>
  <c r="AW435" i="3" s="1"/>
  <c r="AW436" i="3" s="1"/>
  <c r="AW437" i="3" s="1"/>
  <c r="AW438" i="3" s="1"/>
  <c r="AW439" i="3" s="1"/>
  <c r="AW440" i="3" s="1"/>
  <c r="AW441" i="3" s="1"/>
  <c r="AW442" i="3" s="1"/>
  <c r="AW443" i="3" s="1"/>
  <c r="AW444" i="3" s="1"/>
  <c r="AW445" i="3" s="1"/>
  <c r="AW446" i="3" s="1"/>
  <c r="AW447" i="3" s="1"/>
  <c r="AW448" i="3" s="1"/>
  <c r="AW449" i="3" s="1"/>
  <c r="AW450" i="3" s="1"/>
  <c r="AW451" i="3" s="1"/>
  <c r="AW452" i="3" s="1"/>
  <c r="AW453" i="3" s="1"/>
  <c r="AW454" i="3" s="1"/>
  <c r="AW455" i="3" s="1"/>
  <c r="AW456" i="3" s="1"/>
  <c r="AW457" i="3" s="1"/>
  <c r="AW458" i="3" s="1"/>
  <c r="AW459" i="3" s="1"/>
  <c r="AW460" i="3" s="1"/>
  <c r="AW461" i="3" s="1"/>
  <c r="AW462" i="3" s="1"/>
  <c r="AW463" i="3" s="1"/>
  <c r="AW464" i="3" s="1"/>
  <c r="AW465" i="3" s="1"/>
  <c r="AW466" i="3" s="1"/>
  <c r="AW467" i="3" s="1"/>
  <c r="AW468" i="3" s="1"/>
  <c r="AW469" i="3" s="1"/>
  <c r="AW470" i="3" s="1"/>
  <c r="AW471" i="3" s="1"/>
  <c r="AW472" i="3" s="1"/>
  <c r="AW473" i="3" s="1"/>
  <c r="AW474" i="3" s="1"/>
  <c r="AW475" i="3" s="1"/>
  <c r="AW476" i="3" s="1"/>
  <c r="AW477" i="3" s="1"/>
  <c r="AW478" i="3" s="1"/>
  <c r="AW479" i="3" s="1"/>
  <c r="AW480" i="3" s="1"/>
  <c r="AW481" i="3" s="1"/>
  <c r="AW482" i="3" s="1"/>
  <c r="AW483" i="3" s="1"/>
  <c r="AW484" i="3" s="1"/>
  <c r="AW485" i="3" s="1"/>
  <c r="AW486" i="3" s="1"/>
  <c r="AW487" i="3" s="1"/>
  <c r="AW488" i="3" s="1"/>
  <c r="AW489" i="3" s="1"/>
  <c r="AW490" i="3" s="1"/>
  <c r="AW491" i="3" s="1"/>
  <c r="AW492" i="3" s="1"/>
  <c r="AW493" i="3" s="1"/>
  <c r="AW494" i="3" s="1"/>
  <c r="AW495" i="3" s="1"/>
  <c r="AW496" i="3" s="1"/>
  <c r="AW497" i="3" s="1"/>
  <c r="AW498" i="3" s="1"/>
  <c r="AW499" i="3" s="1"/>
  <c r="AW500" i="3" s="1"/>
  <c r="AW501" i="3" s="1"/>
  <c r="AW502" i="3" s="1"/>
  <c r="AW503" i="3" s="1"/>
  <c r="AW504" i="3" s="1"/>
  <c r="AW505" i="3" s="1"/>
  <c r="AW506" i="3" s="1"/>
  <c r="AW507" i="3" s="1"/>
  <c r="AW508" i="3" s="1"/>
  <c r="AW509" i="3" s="1"/>
  <c r="AW510" i="3" s="1"/>
  <c r="AW511" i="3" s="1"/>
  <c r="AW512" i="3" s="1"/>
  <c r="AW513" i="3" s="1"/>
  <c r="AW514" i="3" s="1"/>
  <c r="AW515" i="3" s="1"/>
  <c r="AW516" i="3" s="1"/>
  <c r="AW517" i="3" s="1"/>
  <c r="AW518" i="3" s="1"/>
  <c r="AW519" i="3" s="1"/>
  <c r="AW520" i="3" s="1"/>
  <c r="AW521" i="3" s="1"/>
  <c r="AW522" i="3" s="1"/>
  <c r="AW523" i="3" s="1"/>
  <c r="AW524" i="3" s="1"/>
  <c r="AW525" i="3" s="1"/>
  <c r="AW526" i="3" s="1"/>
  <c r="AW527" i="3" s="1"/>
  <c r="AW528" i="3" s="1"/>
  <c r="AW529" i="3" s="1"/>
  <c r="AW530" i="3" s="1"/>
  <c r="AW531" i="3" s="1"/>
  <c r="AW532" i="3" s="1"/>
  <c r="AW533" i="3" s="1"/>
  <c r="AW534" i="3" s="1"/>
  <c r="AW535" i="3" s="1"/>
  <c r="AW536" i="3" s="1"/>
  <c r="AW537" i="3" s="1"/>
  <c r="AW538" i="3" s="1"/>
  <c r="AW539" i="3" s="1"/>
  <c r="AW540" i="3" s="1"/>
  <c r="AW541" i="3" s="1"/>
  <c r="AW542" i="3" s="1"/>
  <c r="AW543" i="3" s="1"/>
  <c r="AW544" i="3" s="1"/>
  <c r="AW545" i="3" s="1"/>
  <c r="AW546" i="3" s="1"/>
  <c r="AW547" i="3" s="1"/>
  <c r="AW548" i="3" s="1"/>
  <c r="AW549" i="3" s="1"/>
  <c r="AW550" i="3" s="1"/>
  <c r="AW551" i="3" s="1"/>
  <c r="AW552" i="3" s="1"/>
  <c r="AW553" i="3" s="1"/>
  <c r="AW554" i="3" s="1"/>
  <c r="AW555" i="3" s="1"/>
  <c r="AW556" i="3" s="1"/>
  <c r="AW557" i="3" s="1"/>
  <c r="AW558" i="3" s="1"/>
  <c r="AW559" i="3" s="1"/>
  <c r="AW560" i="3" s="1"/>
  <c r="AW561" i="3" s="1"/>
  <c r="AW562" i="3" s="1"/>
  <c r="AW563" i="3" s="1"/>
  <c r="AW564" i="3" s="1"/>
  <c r="AW565" i="3" s="1"/>
  <c r="AW566" i="3" s="1"/>
  <c r="AW567" i="3" s="1"/>
  <c r="AW568" i="3" s="1"/>
  <c r="AW569" i="3" s="1"/>
  <c r="AW570" i="3" s="1"/>
  <c r="AW571" i="3" s="1"/>
  <c r="AW572" i="3" s="1"/>
  <c r="AW573" i="3" s="1"/>
  <c r="AW574" i="3" s="1"/>
  <c r="AW575" i="3" s="1"/>
  <c r="AW576" i="3" s="1"/>
  <c r="AW577" i="3" s="1"/>
  <c r="AW578" i="3" s="1"/>
  <c r="AW579" i="3" s="1"/>
  <c r="AW580" i="3" s="1"/>
  <c r="AW581" i="3" s="1"/>
  <c r="AW582" i="3" s="1"/>
  <c r="AW583" i="3" s="1"/>
  <c r="AW584" i="3" s="1"/>
  <c r="AW585" i="3" s="1"/>
  <c r="AW586" i="3" s="1"/>
  <c r="AW587" i="3" s="1"/>
  <c r="AW588" i="3" s="1"/>
  <c r="AW589" i="3" s="1"/>
  <c r="AW590" i="3" s="1"/>
  <c r="AW591" i="3" s="1"/>
  <c r="AW592" i="3" s="1"/>
  <c r="AW593" i="3" s="1"/>
  <c r="AW594" i="3" s="1"/>
  <c r="AW595" i="3" s="1"/>
  <c r="AW596" i="3" s="1"/>
  <c r="AW597" i="3" s="1"/>
  <c r="AW598" i="3" s="1"/>
  <c r="AW599" i="3" s="1"/>
  <c r="AW600" i="3" s="1"/>
  <c r="AW601" i="3" s="1"/>
  <c r="AW602" i="3" s="1"/>
  <c r="AW603" i="3" s="1"/>
  <c r="AW604" i="3" s="1"/>
  <c r="AW605" i="3" s="1"/>
  <c r="AW606" i="3" s="1"/>
  <c r="AW607" i="3" s="1"/>
  <c r="AW608" i="3" s="1"/>
  <c r="AW609" i="3" s="1"/>
  <c r="AW610" i="3" s="1"/>
  <c r="AW611" i="3" s="1"/>
  <c r="AW612" i="3" s="1"/>
  <c r="AW613" i="3" s="1"/>
  <c r="AW614" i="3" s="1"/>
  <c r="AW615" i="3" s="1"/>
  <c r="AW616" i="3" s="1"/>
  <c r="AW617" i="3" s="1"/>
  <c r="AW618" i="3" s="1"/>
  <c r="AW619" i="3" s="1"/>
  <c r="AW620" i="3" s="1"/>
  <c r="AW621" i="3" s="1"/>
  <c r="AW622" i="3" s="1"/>
  <c r="AW623" i="3" s="1"/>
  <c r="AW624" i="3" s="1"/>
  <c r="AW625" i="3" s="1"/>
  <c r="AW626" i="3" s="1"/>
  <c r="AW627" i="3" s="1"/>
  <c r="AW628" i="3" s="1"/>
  <c r="AW629" i="3" s="1"/>
  <c r="AW630" i="3" s="1"/>
  <c r="AW631" i="3" s="1"/>
  <c r="AW632" i="3" s="1"/>
  <c r="AW633" i="3" s="1"/>
  <c r="AW634" i="3" s="1"/>
  <c r="AW635" i="3" s="1"/>
  <c r="AW636" i="3" s="1"/>
  <c r="AW637" i="3" s="1"/>
  <c r="AW638" i="3" s="1"/>
  <c r="AW639" i="3" s="1"/>
  <c r="AW640" i="3" s="1"/>
  <c r="AW641" i="3" s="1"/>
  <c r="AW642" i="3" s="1"/>
  <c r="AW643" i="3" s="1"/>
  <c r="AW644" i="3" s="1"/>
  <c r="AW645" i="3" s="1"/>
  <c r="AW646" i="3" s="1"/>
  <c r="AW647" i="3" s="1"/>
  <c r="AW648" i="3" s="1"/>
  <c r="AW649" i="3" s="1"/>
  <c r="AW650" i="3" s="1"/>
  <c r="AW651" i="3" s="1"/>
  <c r="AW652" i="3" s="1"/>
  <c r="AW653" i="3" s="1"/>
  <c r="AW654" i="3" s="1"/>
  <c r="AW655" i="3" s="1"/>
  <c r="AW656" i="3" s="1"/>
  <c r="AW657" i="3" s="1"/>
  <c r="AW658" i="3" s="1"/>
  <c r="AW659" i="3" s="1"/>
  <c r="AW660" i="3" s="1"/>
  <c r="AW661" i="3" s="1"/>
  <c r="AW662" i="3" s="1"/>
  <c r="AW663" i="3" s="1"/>
  <c r="AW664" i="3" s="1"/>
  <c r="AW665" i="3" s="1"/>
  <c r="AW666" i="3" s="1"/>
  <c r="AW667" i="3" s="1"/>
  <c r="AW668" i="3" s="1"/>
  <c r="AW669" i="3" s="1"/>
  <c r="AW670" i="3" s="1"/>
  <c r="AW671" i="3" s="1"/>
  <c r="AW672" i="3" s="1"/>
  <c r="AW673" i="3" s="1"/>
  <c r="AW674" i="3" s="1"/>
  <c r="AW675" i="3" s="1"/>
  <c r="AW676" i="3" s="1"/>
  <c r="AW677" i="3" s="1"/>
  <c r="AW678" i="3" s="1"/>
  <c r="AW679" i="3" s="1"/>
  <c r="AW680" i="3" s="1"/>
  <c r="AW681" i="3" s="1"/>
  <c r="AW682" i="3" s="1"/>
  <c r="AW683" i="3" s="1"/>
  <c r="AW684" i="3" s="1"/>
  <c r="AW685" i="3" s="1"/>
  <c r="AW686" i="3" s="1"/>
  <c r="AW687" i="3" s="1"/>
  <c r="AW688" i="3" s="1"/>
  <c r="AW689" i="3" s="1"/>
  <c r="AW690" i="3" s="1"/>
  <c r="AW691" i="3" s="1"/>
  <c r="AW692" i="3" s="1"/>
  <c r="AW693" i="3" s="1"/>
  <c r="AW694" i="3" s="1"/>
  <c r="AW695" i="3" s="1"/>
  <c r="AW696" i="3" s="1"/>
  <c r="AW697" i="3" s="1"/>
  <c r="AW698" i="3" s="1"/>
  <c r="AW699" i="3" s="1"/>
  <c r="AW700" i="3" s="1"/>
  <c r="AW701" i="3" s="1"/>
  <c r="AW702" i="3" s="1"/>
  <c r="AW703" i="3" s="1"/>
  <c r="AW704" i="3" s="1"/>
  <c r="AW705" i="3" s="1"/>
  <c r="AW706" i="3" s="1"/>
  <c r="AW707" i="3" s="1"/>
  <c r="AW708" i="3" s="1"/>
  <c r="AW709" i="3" s="1"/>
  <c r="AW710" i="3" s="1"/>
  <c r="AW711" i="3" s="1"/>
  <c r="AW712" i="3" s="1"/>
  <c r="AW713" i="3" s="1"/>
  <c r="AW714" i="3" s="1"/>
  <c r="AW715" i="3" s="1"/>
  <c r="AW716" i="3" s="1"/>
  <c r="AW717" i="3" s="1"/>
  <c r="AW718" i="3" s="1"/>
  <c r="AW719" i="3" s="1"/>
  <c r="AW720" i="3" s="1"/>
  <c r="AW721" i="3" s="1"/>
  <c r="AW722" i="3" s="1"/>
  <c r="AW723" i="3" s="1"/>
  <c r="AW724" i="3" s="1"/>
  <c r="AW725" i="3" s="1"/>
  <c r="AW726" i="3" s="1"/>
  <c r="AW727" i="3" s="1"/>
  <c r="AW728" i="3" s="1"/>
  <c r="AW729" i="3" s="1"/>
  <c r="AW730" i="3" s="1"/>
  <c r="AW731" i="3" s="1"/>
  <c r="AW732" i="3" s="1"/>
  <c r="AW733" i="3" s="1"/>
  <c r="AW734" i="3" s="1"/>
  <c r="AW735" i="3" s="1"/>
  <c r="AW736" i="3" s="1"/>
  <c r="AW737" i="3" s="1"/>
  <c r="AW738" i="3" s="1"/>
  <c r="AW739" i="3" s="1"/>
  <c r="AW740" i="3" s="1"/>
  <c r="AW741" i="3" s="1"/>
  <c r="AW742" i="3" s="1"/>
  <c r="AW743" i="3" s="1"/>
  <c r="AW744" i="3" s="1"/>
  <c r="AW745" i="3" s="1"/>
  <c r="AW746" i="3" s="1"/>
  <c r="AW747" i="3" s="1"/>
  <c r="AW748" i="3" s="1"/>
  <c r="AW749" i="3" s="1"/>
  <c r="AW750" i="3" s="1"/>
  <c r="AW751" i="3" s="1"/>
  <c r="AW752" i="3" s="1"/>
  <c r="AW753" i="3" s="1"/>
  <c r="AW754" i="3" s="1"/>
  <c r="AW755" i="3" s="1"/>
  <c r="AW756" i="3" s="1"/>
  <c r="AW757" i="3" s="1"/>
  <c r="AW758" i="3" s="1"/>
  <c r="AW759" i="3" s="1"/>
  <c r="AW760" i="3" s="1"/>
  <c r="AW761" i="3" s="1"/>
  <c r="AW762" i="3" s="1"/>
  <c r="AW763" i="3" s="1"/>
  <c r="AW764" i="3" s="1"/>
  <c r="AW765" i="3" s="1"/>
  <c r="AW766" i="3" s="1"/>
  <c r="AW767" i="3" s="1"/>
  <c r="AW768" i="3" s="1"/>
  <c r="AW769" i="3" s="1"/>
  <c r="AW770" i="3" s="1"/>
  <c r="AW771" i="3" s="1"/>
  <c r="AW772" i="3" s="1"/>
  <c r="AW773" i="3" s="1"/>
  <c r="AW774" i="3" s="1"/>
  <c r="AW775" i="3" s="1"/>
  <c r="AW776" i="3" s="1"/>
  <c r="AW777" i="3" s="1"/>
  <c r="AW778" i="3" s="1"/>
  <c r="AW779" i="3" s="1"/>
  <c r="AW780" i="3" s="1"/>
  <c r="AW781" i="3" s="1"/>
  <c r="AW782" i="3" s="1"/>
  <c r="AW783" i="3" s="1"/>
  <c r="AW784" i="3" s="1"/>
  <c r="AW785" i="3" s="1"/>
  <c r="AW786" i="3" s="1"/>
  <c r="AW787" i="3" s="1"/>
  <c r="AW788" i="3" s="1"/>
  <c r="AW789" i="3" s="1"/>
  <c r="AW790" i="3" s="1"/>
  <c r="AW791" i="3" s="1"/>
  <c r="AW792" i="3" s="1"/>
  <c r="AW793" i="3" s="1"/>
  <c r="AW794" i="3" s="1"/>
  <c r="AW795" i="3" s="1"/>
  <c r="AW796" i="3" s="1"/>
  <c r="AW797" i="3" s="1"/>
  <c r="AW798" i="3" s="1"/>
  <c r="AW799" i="3" s="1"/>
  <c r="AW800" i="3" s="1"/>
  <c r="AW801" i="3" s="1"/>
  <c r="AW802" i="3" s="1"/>
  <c r="AW803" i="3" s="1"/>
  <c r="AW804" i="3" s="1"/>
  <c r="AW805" i="3" s="1"/>
  <c r="AW806" i="3" s="1"/>
  <c r="AW807" i="3" s="1"/>
  <c r="AW808" i="3" s="1"/>
  <c r="AW809" i="3" s="1"/>
  <c r="AW810" i="3" s="1"/>
  <c r="AW811" i="3" s="1"/>
  <c r="AW812" i="3" s="1"/>
  <c r="AW813" i="3" s="1"/>
  <c r="AW814" i="3" s="1"/>
  <c r="AW815" i="3" s="1"/>
  <c r="AW816" i="3" s="1"/>
  <c r="AW817" i="3" s="1"/>
  <c r="AW818" i="3" s="1"/>
  <c r="AW819" i="3" s="1"/>
  <c r="AW820" i="3" s="1"/>
  <c r="AW821" i="3" s="1"/>
  <c r="AW822" i="3" s="1"/>
  <c r="AW823" i="3" s="1"/>
  <c r="AW824" i="3" s="1"/>
  <c r="AW825" i="3" s="1"/>
  <c r="AW826" i="3" s="1"/>
  <c r="AW827" i="3" s="1"/>
  <c r="AW828" i="3" s="1"/>
  <c r="AW829" i="3" s="1"/>
  <c r="AW830" i="3" s="1"/>
  <c r="AW831" i="3" s="1"/>
  <c r="AW832" i="3" s="1"/>
  <c r="AW833" i="3" s="1"/>
  <c r="AW834" i="3" s="1"/>
  <c r="AW835" i="3" s="1"/>
  <c r="AW836" i="3" s="1"/>
  <c r="AW837" i="3" s="1"/>
  <c r="AW838" i="3" s="1"/>
  <c r="AW839" i="3" s="1"/>
  <c r="AW840" i="3" s="1"/>
  <c r="AW841" i="3" s="1"/>
  <c r="AW842" i="3" s="1"/>
  <c r="AW843" i="3" s="1"/>
  <c r="AW844" i="3" s="1"/>
  <c r="AW845" i="3" s="1"/>
  <c r="AW846" i="3" s="1"/>
  <c r="AW847" i="3" s="1"/>
  <c r="AW848" i="3" s="1"/>
  <c r="AW849" i="3" s="1"/>
  <c r="AW850" i="3" s="1"/>
  <c r="AW851" i="3" s="1"/>
  <c r="AW852" i="3" s="1"/>
  <c r="AW853" i="3" s="1"/>
  <c r="AW854" i="3" s="1"/>
  <c r="AW855" i="3" s="1"/>
  <c r="AW856" i="3" s="1"/>
  <c r="AW857" i="3" s="1"/>
  <c r="AW858" i="3" s="1"/>
  <c r="AW859" i="3" s="1"/>
  <c r="AW860" i="3" s="1"/>
  <c r="AW861" i="3" s="1"/>
  <c r="AW862" i="3" s="1"/>
  <c r="AW863" i="3" s="1"/>
  <c r="AW864" i="3" s="1"/>
  <c r="AW865" i="3" s="1"/>
  <c r="AW866" i="3" s="1"/>
  <c r="AW867" i="3" s="1"/>
  <c r="AW868" i="3" s="1"/>
  <c r="AW869" i="3" s="1"/>
  <c r="AW870" i="3" s="1"/>
  <c r="AW871" i="3" s="1"/>
  <c r="AW872" i="3" s="1"/>
  <c r="AW873" i="3" s="1"/>
  <c r="AW874" i="3" s="1"/>
  <c r="AW875" i="3" s="1"/>
  <c r="AW876" i="3" s="1"/>
  <c r="AW877" i="3" s="1"/>
  <c r="AW878" i="3" s="1"/>
  <c r="AW879" i="3" s="1"/>
  <c r="AW880" i="3" s="1"/>
  <c r="AW881" i="3" s="1"/>
  <c r="AW882" i="3" s="1"/>
  <c r="AW883" i="3" s="1"/>
  <c r="AW884" i="3" s="1"/>
  <c r="AW885" i="3" s="1"/>
  <c r="AW886" i="3" s="1"/>
  <c r="AW887" i="3" s="1"/>
  <c r="AW888" i="3" s="1"/>
  <c r="AW889" i="3" s="1"/>
  <c r="AW890" i="3" s="1"/>
  <c r="AW891" i="3" s="1"/>
  <c r="AW892" i="3" s="1"/>
  <c r="AW893" i="3" s="1"/>
  <c r="AW894" i="3" s="1"/>
  <c r="AW895" i="3" s="1"/>
  <c r="AW896" i="3" s="1"/>
  <c r="AW897" i="3" s="1"/>
  <c r="AW898" i="3" s="1"/>
  <c r="AW899" i="3" s="1"/>
  <c r="AW900" i="3" s="1"/>
  <c r="AW901" i="3" s="1"/>
  <c r="AW902" i="3" s="1"/>
  <c r="AW903" i="3" s="1"/>
  <c r="AW904" i="3" s="1"/>
  <c r="AW905" i="3" s="1"/>
  <c r="AW906" i="3" s="1"/>
  <c r="AW907" i="3" s="1"/>
  <c r="AW908" i="3" s="1"/>
  <c r="AW909" i="3" s="1"/>
  <c r="AW910" i="3" s="1"/>
  <c r="AW911" i="3" s="1"/>
  <c r="AW912" i="3" s="1"/>
  <c r="AW913" i="3" s="1"/>
  <c r="AW914" i="3" s="1"/>
  <c r="AW915" i="3" s="1"/>
  <c r="AW916" i="3" s="1"/>
  <c r="AW917" i="3" s="1"/>
  <c r="AW918" i="3" s="1"/>
  <c r="AW919" i="3" s="1"/>
  <c r="AW920" i="3" s="1"/>
  <c r="AW921" i="3" s="1"/>
  <c r="AW922" i="3" s="1"/>
  <c r="AW923" i="3" s="1"/>
  <c r="AW924" i="3" s="1"/>
  <c r="AW925" i="3" s="1"/>
  <c r="AW926" i="3" s="1"/>
  <c r="AW927" i="3" s="1"/>
  <c r="AW928" i="3" s="1"/>
  <c r="AW929" i="3" s="1"/>
  <c r="AW930" i="3" s="1"/>
  <c r="AW931" i="3" s="1"/>
  <c r="AW932" i="3" s="1"/>
  <c r="AW933" i="3" s="1"/>
  <c r="AW934" i="3" s="1"/>
  <c r="AW935" i="3" s="1"/>
  <c r="AW936" i="3" s="1"/>
  <c r="AW937" i="3" s="1"/>
  <c r="AW938" i="3" s="1"/>
  <c r="AW939" i="3" s="1"/>
  <c r="AW940" i="3" s="1"/>
  <c r="AW941" i="3" s="1"/>
  <c r="AW942" i="3" s="1"/>
  <c r="AW943" i="3" s="1"/>
  <c r="AW944" i="3" s="1"/>
  <c r="AW945" i="3" s="1"/>
  <c r="AW946" i="3" s="1"/>
  <c r="AW947" i="3" s="1"/>
  <c r="AW948" i="3" s="1"/>
  <c r="AW949" i="3" s="1"/>
  <c r="AW950" i="3" s="1"/>
  <c r="AW951" i="3" s="1"/>
  <c r="AW952" i="3" s="1"/>
  <c r="AW953" i="3" s="1"/>
  <c r="AW954" i="3" s="1"/>
  <c r="AW955" i="3" s="1"/>
  <c r="AW956" i="3" s="1"/>
  <c r="AW957" i="3" s="1"/>
  <c r="AW958" i="3" s="1"/>
  <c r="AW959" i="3" s="1"/>
  <c r="AW960" i="3" s="1"/>
  <c r="AW961" i="3" s="1"/>
  <c r="AW962" i="3" s="1"/>
  <c r="AW963" i="3" s="1"/>
  <c r="AW964" i="3" s="1"/>
  <c r="AW965" i="3" s="1"/>
  <c r="AW966" i="3" s="1"/>
  <c r="AW967" i="3" s="1"/>
  <c r="AW968" i="3" s="1"/>
  <c r="AW969" i="3" s="1"/>
  <c r="AW970" i="3" s="1"/>
  <c r="AW971" i="3" s="1"/>
  <c r="AW972" i="3" s="1"/>
  <c r="AW973" i="3" s="1"/>
  <c r="AW974" i="3" s="1"/>
  <c r="AW975" i="3" s="1"/>
  <c r="AW976" i="3" s="1"/>
  <c r="AW977" i="3" s="1"/>
  <c r="AW978" i="3" s="1"/>
  <c r="AW979" i="3" s="1"/>
  <c r="AW980" i="3" s="1"/>
  <c r="AW981" i="3" s="1"/>
  <c r="AW982" i="3" s="1"/>
  <c r="AW983" i="3" s="1"/>
  <c r="AW984" i="3" s="1"/>
  <c r="AW985" i="3" s="1"/>
  <c r="AW986" i="3" s="1"/>
  <c r="AW987" i="3" s="1"/>
  <c r="AW988" i="3" s="1"/>
  <c r="AW989" i="3" s="1"/>
  <c r="AW990" i="3" s="1"/>
  <c r="AW991" i="3" s="1"/>
  <c r="AW992" i="3" s="1"/>
  <c r="AW993" i="3" s="1"/>
  <c r="AW994" i="3" s="1"/>
  <c r="AW995" i="3" s="1"/>
  <c r="AW996" i="3" s="1"/>
  <c r="AW997" i="3" s="1"/>
  <c r="AW998" i="3" s="1"/>
  <c r="AW999" i="3" s="1"/>
  <c r="AW1000" i="3" s="1"/>
  <c r="AW1001" i="3" s="1"/>
  <c r="AW1002" i="3" s="1"/>
  <c r="AW1003" i="3" s="1"/>
  <c r="AW1004" i="3" s="1"/>
  <c r="AW1005" i="3" s="1"/>
  <c r="AW1006" i="3" s="1"/>
  <c r="AW1007" i="3" s="1"/>
  <c r="AW1008" i="3" s="1"/>
  <c r="AW1009" i="3" s="1"/>
  <c r="AW1010" i="3" s="1"/>
  <c r="AW1011" i="3" s="1"/>
  <c r="AW1012" i="3" s="1"/>
  <c r="AW1013" i="3" s="1"/>
  <c r="AW1014" i="3" s="1"/>
  <c r="AW1015" i="3" s="1"/>
  <c r="AW1016" i="3" s="1"/>
  <c r="AW1017" i="3" s="1"/>
  <c r="AW1018" i="3" s="1"/>
  <c r="AW1019" i="3" s="1"/>
  <c r="AW1020" i="3" s="1"/>
  <c r="AW1021" i="3" s="1"/>
  <c r="AW1022" i="3" s="1"/>
  <c r="AW1023" i="3" s="1"/>
  <c r="AW1024" i="3" s="1"/>
  <c r="AW1025" i="3" s="1"/>
  <c r="AW1026" i="3" s="1"/>
  <c r="AW1027" i="3" s="1"/>
  <c r="AW1028" i="3" s="1"/>
  <c r="AW1029" i="3" s="1"/>
  <c r="AW1030" i="3" s="1"/>
  <c r="AW1031" i="3" s="1"/>
  <c r="AW1032" i="3" s="1"/>
  <c r="AW1033" i="3" s="1"/>
  <c r="AW1034" i="3" s="1"/>
  <c r="AW1035" i="3" s="1"/>
  <c r="AW1036" i="3" s="1"/>
  <c r="AW1037" i="3" s="1"/>
  <c r="AW1038" i="3" s="1"/>
  <c r="AW1039" i="3" s="1"/>
  <c r="AW1040" i="3" s="1"/>
  <c r="AW1041" i="3" s="1"/>
  <c r="AW1042" i="3" s="1"/>
  <c r="AW1043" i="3" s="1"/>
  <c r="AW1044" i="3" s="1"/>
  <c r="AW1045" i="3" s="1"/>
  <c r="AW1046" i="3" s="1"/>
  <c r="AW1047" i="3" s="1"/>
  <c r="AW1048" i="3" s="1"/>
  <c r="AW1049" i="3" s="1"/>
  <c r="AW1050" i="3" s="1"/>
  <c r="AW1051" i="3" s="1"/>
  <c r="AW1052" i="3" s="1"/>
  <c r="AW1053" i="3" s="1"/>
  <c r="AW1054" i="3" s="1"/>
  <c r="AW1055" i="3" s="1"/>
  <c r="AW1056" i="3" s="1"/>
  <c r="AW1057" i="3" s="1"/>
  <c r="AW1058" i="3" s="1"/>
  <c r="AW1059" i="3" s="1"/>
  <c r="AW1060" i="3" s="1"/>
  <c r="AW1061" i="3" s="1"/>
  <c r="AW1062" i="3" s="1"/>
  <c r="AW1063" i="3" s="1"/>
  <c r="AW1064" i="3" s="1"/>
  <c r="AW1065" i="3" s="1"/>
  <c r="AW1066" i="3" s="1"/>
  <c r="AW1067" i="3" s="1"/>
  <c r="AW1068" i="3" s="1"/>
  <c r="AW1069" i="3" s="1"/>
  <c r="AW1070" i="3" s="1"/>
  <c r="AW1071" i="3" s="1"/>
  <c r="AW1072" i="3" s="1"/>
  <c r="AW1073" i="3" s="1"/>
  <c r="AW1074" i="3" s="1"/>
  <c r="AW1075" i="3" s="1"/>
  <c r="AW1076" i="3" s="1"/>
  <c r="AW1077" i="3" s="1"/>
  <c r="AW1078" i="3" s="1"/>
  <c r="AW1079" i="3" s="1"/>
  <c r="AW1080" i="3" s="1"/>
  <c r="AW1081" i="3" s="1"/>
  <c r="AW1082" i="3" s="1"/>
  <c r="AW1083" i="3" s="1"/>
  <c r="AW1084" i="3" s="1"/>
  <c r="AW1085" i="3" s="1"/>
  <c r="AW1086" i="3" s="1"/>
  <c r="AW1087" i="3" s="1"/>
  <c r="AW1088" i="3" s="1"/>
  <c r="AW1089" i="3" s="1"/>
  <c r="AW1090" i="3" s="1"/>
  <c r="AW1091" i="3" s="1"/>
  <c r="AW1092" i="3" s="1"/>
  <c r="AW1093" i="3" s="1"/>
  <c r="AW1094" i="3" s="1"/>
  <c r="AW1095" i="3" s="1"/>
  <c r="AW1096" i="3" s="1"/>
  <c r="AW1097" i="3" s="1"/>
  <c r="AW1098" i="3" s="1"/>
  <c r="AW1099" i="3" s="1"/>
  <c r="AW1100" i="3" s="1"/>
  <c r="AW1101" i="3" s="1"/>
  <c r="AW1102" i="3" s="1"/>
  <c r="AW1103" i="3" s="1"/>
  <c r="AW1104" i="3" s="1"/>
  <c r="AW1105" i="3" s="1"/>
  <c r="AW1106" i="3" s="1"/>
  <c r="AW1107" i="3" s="1"/>
  <c r="AW1108" i="3" s="1"/>
  <c r="AW1109" i="3" s="1"/>
  <c r="AW1110" i="3" s="1"/>
  <c r="AW1111" i="3" s="1"/>
  <c r="AW1112" i="3" s="1"/>
  <c r="AW1113" i="3" s="1"/>
  <c r="AW1114" i="3" s="1"/>
  <c r="AW1115" i="3" s="1"/>
  <c r="AW1116" i="3" s="1"/>
  <c r="AW1117" i="3" s="1"/>
  <c r="AW1118" i="3" s="1"/>
  <c r="AW1119" i="3" s="1"/>
  <c r="AW1120" i="3" s="1"/>
  <c r="AW1121" i="3" s="1"/>
  <c r="AW1122" i="3" s="1"/>
  <c r="AW1123" i="3" s="1"/>
  <c r="AW1124" i="3" s="1"/>
  <c r="AW1125" i="3" s="1"/>
  <c r="AW1126" i="3" s="1"/>
  <c r="AW1127" i="3" s="1"/>
  <c r="AW1128" i="3" s="1"/>
  <c r="AW1129" i="3" s="1"/>
  <c r="AW1130" i="3" s="1"/>
  <c r="AW1131" i="3" s="1"/>
  <c r="AW1132" i="3" s="1"/>
  <c r="AW1133" i="3" s="1"/>
  <c r="AW1134" i="3" s="1"/>
  <c r="AW1135" i="3" s="1"/>
  <c r="AW1136" i="3" s="1"/>
  <c r="AW1137" i="3" s="1"/>
  <c r="AW1138" i="3" s="1"/>
  <c r="AW1139" i="3" s="1"/>
  <c r="AW1140" i="3" s="1"/>
  <c r="AW1141" i="3" s="1"/>
  <c r="AW1142" i="3" s="1"/>
  <c r="AW1143" i="3" s="1"/>
  <c r="AW1144" i="3" s="1"/>
  <c r="AW1145" i="3" s="1"/>
  <c r="AW1146" i="3" s="1"/>
  <c r="AW1147" i="3" s="1"/>
  <c r="AW1148" i="3" s="1"/>
  <c r="AW1149" i="3" s="1"/>
  <c r="AW1150" i="3" s="1"/>
  <c r="AW1151" i="3" s="1"/>
  <c r="AW1152" i="3" s="1"/>
  <c r="AW1153" i="3" s="1"/>
  <c r="AW1154" i="3" s="1"/>
  <c r="AW1155" i="3" s="1"/>
  <c r="AW1156" i="3" s="1"/>
  <c r="AW1157" i="3" s="1"/>
  <c r="AW1158" i="3" s="1"/>
  <c r="AW1159" i="3" s="1"/>
  <c r="AW1160" i="3" s="1"/>
  <c r="AW1161" i="3" s="1"/>
  <c r="AW1162" i="3" s="1"/>
  <c r="AW1163" i="3" s="1"/>
  <c r="AW1164" i="3" s="1"/>
  <c r="AW1165" i="3" s="1"/>
  <c r="AW1166" i="3" s="1"/>
  <c r="AW1167" i="3" s="1"/>
  <c r="AW1168" i="3" s="1"/>
  <c r="AW1169" i="3" s="1"/>
  <c r="AW1170" i="3" s="1"/>
  <c r="AW1171" i="3" s="1"/>
  <c r="AW1172" i="3" s="1"/>
  <c r="AW1173" i="3" s="1"/>
  <c r="AW1174" i="3" s="1"/>
  <c r="AW1175" i="3" s="1"/>
  <c r="AW1176" i="3" s="1"/>
  <c r="AW1177" i="3" s="1"/>
  <c r="AW1178" i="3" s="1"/>
  <c r="AW1179" i="3" s="1"/>
  <c r="AW1180" i="3" s="1"/>
  <c r="AW1181" i="3" s="1"/>
  <c r="AW1182" i="3" s="1"/>
  <c r="AW1183" i="3" s="1"/>
  <c r="AW1184" i="3" s="1"/>
  <c r="AW1185" i="3" s="1"/>
  <c r="AW1186" i="3" s="1"/>
  <c r="AW1187" i="3" s="1"/>
  <c r="AW1188" i="3" s="1"/>
  <c r="AW1189" i="3" s="1"/>
  <c r="AW1190" i="3" s="1"/>
  <c r="AW1191" i="3" s="1"/>
  <c r="AW1192" i="3" s="1"/>
  <c r="AW1193" i="3" s="1"/>
  <c r="AW1194" i="3" s="1"/>
  <c r="AW1195" i="3" s="1"/>
  <c r="AW1196" i="3" s="1"/>
  <c r="AW1197" i="3" s="1"/>
  <c r="AW1198" i="3" s="1"/>
  <c r="AW1199" i="3" s="1"/>
  <c r="AW1200" i="3" s="1"/>
  <c r="AW1201" i="3" s="1"/>
  <c r="AW1202" i="3" s="1"/>
  <c r="AW1203" i="3" s="1"/>
  <c r="AW1204" i="3" s="1"/>
  <c r="AW1205" i="3" s="1"/>
  <c r="AW1206" i="3" s="1"/>
  <c r="AW1207" i="3" s="1"/>
  <c r="AW1208" i="3" s="1"/>
  <c r="AW1209" i="3" s="1"/>
  <c r="AW1210" i="3" s="1"/>
  <c r="AW1211" i="3" s="1"/>
  <c r="AW1212" i="3" s="1"/>
  <c r="AW1213" i="3" s="1"/>
  <c r="AW1214" i="3" s="1"/>
  <c r="AW1215" i="3" s="1"/>
  <c r="AW1216" i="3" s="1"/>
  <c r="AW1217" i="3" s="1"/>
  <c r="AW1218" i="3" s="1"/>
  <c r="AW1219" i="3" s="1"/>
  <c r="AW1220" i="3" s="1"/>
  <c r="AW1221" i="3" s="1"/>
  <c r="AW1222" i="3" s="1"/>
  <c r="AW1223" i="3" s="1"/>
  <c r="AW1224" i="3" s="1"/>
  <c r="AW1225" i="3" s="1"/>
  <c r="AW1226" i="3" s="1"/>
  <c r="AW1227" i="3" s="1"/>
  <c r="AW1228" i="3" s="1"/>
  <c r="AW1229" i="3" s="1"/>
  <c r="AW1230" i="3" s="1"/>
  <c r="AW1231" i="3" s="1"/>
  <c r="AW1232" i="3" s="1"/>
  <c r="AW1233" i="3" s="1"/>
  <c r="AW1234" i="3" s="1"/>
  <c r="AW1235" i="3" s="1"/>
  <c r="AW1236" i="3" s="1"/>
  <c r="AW1237" i="3" s="1"/>
  <c r="AW1238" i="3" s="1"/>
  <c r="AW1239" i="3" s="1"/>
  <c r="AW1240" i="3" s="1"/>
  <c r="AW1241" i="3" s="1"/>
  <c r="AW1242" i="3" s="1"/>
  <c r="AW1243" i="3" s="1"/>
  <c r="AW1244" i="3" s="1"/>
  <c r="AW1245" i="3" s="1"/>
  <c r="AW1246" i="3" s="1"/>
  <c r="AW1247" i="3" s="1"/>
  <c r="AW1248" i="3" s="1"/>
  <c r="AW1249" i="3" s="1"/>
  <c r="AW1250" i="3" s="1"/>
  <c r="AW1251" i="3" s="1"/>
  <c r="AW1252" i="3" s="1"/>
  <c r="AW1253" i="3" s="1"/>
  <c r="AW1254" i="3" s="1"/>
  <c r="AW1255" i="3" s="1"/>
  <c r="AW1256" i="3" s="1"/>
  <c r="AW1257" i="3" s="1"/>
  <c r="AW1258" i="3" s="1"/>
  <c r="AW1259" i="3" s="1"/>
  <c r="AW1260" i="3" s="1"/>
  <c r="AW1261" i="3" s="1"/>
  <c r="AW1262" i="3" s="1"/>
  <c r="AW1263" i="3" s="1"/>
  <c r="AW1264" i="3" s="1"/>
  <c r="AW1265" i="3" s="1"/>
  <c r="AW1266" i="3" s="1"/>
  <c r="AW1267" i="3" s="1"/>
  <c r="AW1268" i="3" s="1"/>
  <c r="AW1269" i="3" s="1"/>
  <c r="AW1270" i="3" s="1"/>
  <c r="AW1271" i="3" s="1"/>
  <c r="AW1272" i="3" s="1"/>
  <c r="AW1273" i="3" s="1"/>
  <c r="AW1274" i="3" s="1"/>
  <c r="AW1275" i="3" s="1"/>
  <c r="AW1276" i="3" s="1"/>
  <c r="AW1277" i="3" s="1"/>
  <c r="AW1278" i="3" s="1"/>
  <c r="AW1279" i="3" s="1"/>
  <c r="AW1280" i="3" s="1"/>
  <c r="AW1281" i="3" s="1"/>
  <c r="AW1282" i="3" s="1"/>
  <c r="AW1283" i="3" s="1"/>
  <c r="AW1284" i="3" s="1"/>
  <c r="AW1285" i="3" s="1"/>
  <c r="AW1286" i="3" s="1"/>
  <c r="AW1287" i="3" s="1"/>
  <c r="AW1288" i="3" s="1"/>
  <c r="AW1289" i="3" s="1"/>
  <c r="AW1290" i="3" s="1"/>
  <c r="AW1291" i="3" s="1"/>
  <c r="AW1292" i="3" s="1"/>
  <c r="AW1293" i="3" s="1"/>
  <c r="AW1294" i="3" s="1"/>
  <c r="AW1295" i="3" s="1"/>
  <c r="AW1296" i="3" s="1"/>
  <c r="AW1297" i="3" s="1"/>
  <c r="AW1298" i="3" s="1"/>
  <c r="AW1299" i="3" s="1"/>
  <c r="AW1300" i="3" s="1"/>
  <c r="AW1301" i="3" s="1"/>
  <c r="AW1302" i="3" s="1"/>
  <c r="AW1303" i="3" s="1"/>
  <c r="AW1304" i="3" s="1"/>
  <c r="AW1305" i="3" s="1"/>
  <c r="AW1306" i="3" s="1"/>
  <c r="AW1307" i="3" s="1"/>
  <c r="AW1308" i="3" s="1"/>
  <c r="AW1309" i="3" s="1"/>
  <c r="AW1310" i="3" s="1"/>
  <c r="AW1311" i="3" s="1"/>
  <c r="AW1312" i="3" s="1"/>
  <c r="AW1313" i="3" s="1"/>
  <c r="AW1314" i="3" s="1"/>
  <c r="AW1315" i="3" s="1"/>
  <c r="AW1316" i="3" s="1"/>
  <c r="AW1317" i="3" s="1"/>
  <c r="AW1318" i="3" s="1"/>
  <c r="AW1319" i="3" s="1"/>
  <c r="AW1320" i="3" s="1"/>
  <c r="AW1321" i="3" s="1"/>
  <c r="AW1322" i="3" s="1"/>
  <c r="AW1323" i="3" s="1"/>
  <c r="AW1324" i="3" s="1"/>
  <c r="AW1325" i="3" s="1"/>
  <c r="AW1326" i="3" s="1"/>
  <c r="AW1327" i="3" s="1"/>
  <c r="AW1328" i="3" s="1"/>
  <c r="AW1329" i="3" s="1"/>
  <c r="AW1330" i="3" s="1"/>
  <c r="AW1331" i="3" s="1"/>
  <c r="AW1332" i="3" s="1"/>
  <c r="AW1333" i="3" s="1"/>
  <c r="AW1334" i="3" s="1"/>
  <c r="AW1335" i="3" s="1"/>
  <c r="AW1336" i="3" s="1"/>
  <c r="AW1337" i="3" s="1"/>
  <c r="AW1338" i="3" s="1"/>
  <c r="AW1339" i="3" s="1"/>
  <c r="AW1340" i="3" s="1"/>
  <c r="AW1341" i="3" s="1"/>
  <c r="AW1342" i="3" s="1"/>
  <c r="AW1343" i="3" s="1"/>
  <c r="AW1344" i="3" s="1"/>
  <c r="AW1345" i="3" s="1"/>
  <c r="AW1346" i="3" s="1"/>
  <c r="AW1347" i="3" s="1"/>
  <c r="AW1348" i="3" s="1"/>
  <c r="AW1349" i="3" s="1"/>
  <c r="AW1350" i="3" s="1"/>
  <c r="AW1351" i="3" s="1"/>
  <c r="AW1352" i="3" s="1"/>
  <c r="AW1353" i="3" s="1"/>
  <c r="AW1354" i="3" s="1"/>
  <c r="AW1355" i="3" s="1"/>
  <c r="AW1356" i="3" s="1"/>
  <c r="AW1357" i="3" s="1"/>
  <c r="AW1358" i="3" s="1"/>
  <c r="AW1359" i="3" s="1"/>
  <c r="AW1360" i="3" s="1"/>
  <c r="AW1361" i="3" s="1"/>
  <c r="AW1362" i="3" s="1"/>
  <c r="AW1363" i="3" s="1"/>
  <c r="AW1364" i="3" s="1"/>
  <c r="AW1365" i="3" s="1"/>
  <c r="AW1366" i="3" s="1"/>
  <c r="AW1367" i="3" s="1"/>
  <c r="AW1368" i="3" s="1"/>
  <c r="AW1369" i="3" s="1"/>
  <c r="AW1370" i="3" s="1"/>
  <c r="AW1371" i="3" s="1"/>
  <c r="AW1372" i="3" s="1"/>
  <c r="AW1373" i="3" s="1"/>
  <c r="AW1374" i="3" s="1"/>
  <c r="AW1375" i="3" s="1"/>
  <c r="AW1376" i="3" s="1"/>
  <c r="AW1377" i="3" s="1"/>
  <c r="AW1378" i="3" s="1"/>
  <c r="AW1379" i="3" s="1"/>
  <c r="AW1380" i="3" s="1"/>
  <c r="AW1381" i="3" s="1"/>
  <c r="AW1382" i="3" s="1"/>
  <c r="AW1383" i="3" s="1"/>
  <c r="AW1384" i="3" s="1"/>
  <c r="AW1385" i="3" s="1"/>
  <c r="AW1386" i="3" s="1"/>
  <c r="AW1387" i="3" s="1"/>
  <c r="AW1388" i="3" s="1"/>
  <c r="AW1389" i="3" s="1"/>
  <c r="AW1390" i="3" s="1"/>
  <c r="AW1391" i="3" s="1"/>
  <c r="AW1392" i="3" s="1"/>
  <c r="AW1393" i="3" s="1"/>
  <c r="AW1394" i="3" s="1"/>
  <c r="AW1395" i="3" s="1"/>
  <c r="AW1396" i="3" s="1"/>
  <c r="AW1397" i="3" s="1"/>
  <c r="AW1398" i="3" s="1"/>
  <c r="AW1399" i="3" s="1"/>
  <c r="AW1400" i="3" s="1"/>
  <c r="AW1401" i="3" s="1"/>
  <c r="AW1402" i="3" s="1"/>
  <c r="AW1403" i="3" s="1"/>
  <c r="AW1404" i="3" s="1"/>
  <c r="AW1405" i="3" s="1"/>
  <c r="AW1406" i="3" s="1"/>
  <c r="AW1407" i="3" s="1"/>
  <c r="AW1408" i="3" s="1"/>
  <c r="AW1409" i="3" s="1"/>
  <c r="AW1410" i="3" s="1"/>
  <c r="AW1411" i="3" s="1"/>
  <c r="AW1412" i="3" s="1"/>
  <c r="AW1413" i="3" s="1"/>
  <c r="AW1414" i="3" s="1"/>
  <c r="AW1415" i="3" s="1"/>
  <c r="AW1416" i="3" s="1"/>
  <c r="AW1417" i="3" s="1"/>
  <c r="AW1418" i="3" s="1"/>
  <c r="AW1419" i="3" s="1"/>
  <c r="AW1420" i="3" s="1"/>
  <c r="AW1421" i="3" s="1"/>
  <c r="AW1422" i="3" s="1"/>
  <c r="AW1423" i="3" s="1"/>
  <c r="AW1424" i="3" s="1"/>
  <c r="AW1425" i="3" s="1"/>
  <c r="AW1426" i="3" s="1"/>
  <c r="AW1427" i="3" s="1"/>
  <c r="AW1428" i="3" s="1"/>
  <c r="AW1429" i="3" s="1"/>
  <c r="AW1430" i="3" s="1"/>
  <c r="AW1431" i="3" s="1"/>
  <c r="AW1432" i="3" s="1"/>
  <c r="AW1433" i="3" s="1"/>
  <c r="AW1434" i="3" s="1"/>
  <c r="AW1435" i="3" s="1"/>
  <c r="AW1436" i="3" s="1"/>
  <c r="AW1437" i="3" s="1"/>
  <c r="AW1438" i="3" s="1"/>
  <c r="AW1439" i="3" s="1"/>
  <c r="AW1440" i="3" s="1"/>
  <c r="AW1441" i="3" s="1"/>
  <c r="AW1442" i="3" s="1"/>
  <c r="AW1443" i="3" s="1"/>
  <c r="AW1444" i="3" s="1"/>
  <c r="AW1445" i="3" s="1"/>
  <c r="AW1446" i="3" s="1"/>
  <c r="AW1447" i="3" s="1"/>
  <c r="AW1448" i="3" s="1"/>
  <c r="AW1449" i="3" s="1"/>
  <c r="AW1450" i="3" s="1"/>
  <c r="AW1451" i="3" s="1"/>
  <c r="AW1452" i="3" s="1"/>
  <c r="AW1453" i="3" s="1"/>
  <c r="AW1454" i="3" s="1"/>
  <c r="AW1455" i="3" s="1"/>
  <c r="AW1456" i="3" s="1"/>
  <c r="AW1457" i="3" s="1"/>
  <c r="AW1458" i="3" s="1"/>
  <c r="AW1459" i="3" s="1"/>
  <c r="AW1460" i="3" s="1"/>
  <c r="AW1461" i="3" s="1"/>
  <c r="AW1462" i="3" s="1"/>
  <c r="AW1463" i="3" s="1"/>
  <c r="AW1464" i="3" s="1"/>
  <c r="AW1465" i="3" s="1"/>
  <c r="AW1466" i="3" s="1"/>
  <c r="AW1467" i="3" s="1"/>
  <c r="AW1468" i="3" s="1"/>
  <c r="AW1469" i="3" s="1"/>
  <c r="AW1470" i="3" s="1"/>
  <c r="AW1471" i="3" s="1"/>
  <c r="AW1472" i="3" s="1"/>
  <c r="AW1473" i="3" s="1"/>
  <c r="AW1474" i="3" s="1"/>
  <c r="AW1475" i="3" s="1"/>
  <c r="AW1476" i="3" s="1"/>
  <c r="AW1477" i="3" s="1"/>
  <c r="AW1478" i="3" s="1"/>
  <c r="AW1479" i="3" s="1"/>
  <c r="AW1480" i="3" s="1"/>
  <c r="AW1481" i="3" s="1"/>
  <c r="AW1482" i="3" s="1"/>
  <c r="AW1483" i="3" s="1"/>
  <c r="AW1484" i="3" s="1"/>
  <c r="AW1485" i="3" s="1"/>
  <c r="AW1486" i="3" s="1"/>
  <c r="AW1487" i="3" s="1"/>
  <c r="AW1488" i="3" s="1"/>
  <c r="AW1489" i="3" s="1"/>
  <c r="AW1490" i="3" s="1"/>
  <c r="AW1491" i="3" s="1"/>
  <c r="AW1492" i="3" s="1"/>
  <c r="AW1493" i="3" s="1"/>
  <c r="AW1494" i="3" s="1"/>
  <c r="AW1495" i="3" s="1"/>
  <c r="AW1496" i="3" s="1"/>
  <c r="AW1497" i="3" s="1"/>
  <c r="AW1498" i="3" s="1"/>
  <c r="AW1499" i="3" s="1"/>
  <c r="AW1500" i="3" s="1"/>
  <c r="AW1501" i="3" s="1"/>
  <c r="AW1502" i="3" s="1"/>
  <c r="AW1503" i="3" s="1"/>
  <c r="AW1504" i="3" s="1"/>
  <c r="AW1505" i="3" s="1"/>
  <c r="AW1506" i="3" s="1"/>
  <c r="AW1507" i="3" s="1"/>
  <c r="AW1508" i="3" s="1"/>
  <c r="AW1509" i="3" s="1"/>
  <c r="AW1510" i="3" s="1"/>
  <c r="AW1511" i="3" s="1"/>
  <c r="AW1512" i="3" s="1"/>
  <c r="AW1513" i="3" s="1"/>
  <c r="AW1514" i="3" s="1"/>
  <c r="AW1515" i="3" s="1"/>
  <c r="AW1516" i="3" s="1"/>
  <c r="AW1517" i="3" s="1"/>
  <c r="AW1518" i="3" s="1"/>
  <c r="AW1519" i="3" s="1"/>
  <c r="AW1520" i="3" s="1"/>
  <c r="AW1521" i="3" s="1"/>
  <c r="AW1522" i="3" s="1"/>
  <c r="AW1523" i="3" s="1"/>
  <c r="AW1524" i="3" s="1"/>
  <c r="AW1525" i="3" s="1"/>
  <c r="AW1526" i="3" s="1"/>
  <c r="AW1527" i="3" s="1"/>
  <c r="AW1528" i="3" s="1"/>
  <c r="AW1529" i="3" s="1"/>
  <c r="AW1530" i="3" s="1"/>
  <c r="AW1531" i="3" s="1"/>
  <c r="AW1532" i="3" s="1"/>
  <c r="AW1533" i="3" s="1"/>
  <c r="AW1534" i="3" s="1"/>
  <c r="AW1535" i="3" s="1"/>
  <c r="AW1536" i="3" s="1"/>
  <c r="AW1537" i="3" s="1"/>
  <c r="AW1538" i="3" s="1"/>
  <c r="AW1539" i="3" s="1"/>
  <c r="AW1540" i="3" s="1"/>
  <c r="AW1541" i="3" s="1"/>
  <c r="AW1542" i="3" s="1"/>
  <c r="AW1543" i="3" s="1"/>
  <c r="AW1544" i="3" s="1"/>
  <c r="AW1545" i="3" s="1"/>
  <c r="AW1546" i="3" s="1"/>
  <c r="AW1547" i="3" s="1"/>
  <c r="AW1548" i="3" s="1"/>
  <c r="AW1549" i="3" s="1"/>
  <c r="AW1550" i="3" s="1"/>
  <c r="AW1551" i="3" s="1"/>
  <c r="AW1552" i="3" s="1"/>
  <c r="AW1553" i="3" s="1"/>
  <c r="AW1554" i="3" s="1"/>
  <c r="AW1555" i="3" s="1"/>
  <c r="AW1556" i="3" s="1"/>
  <c r="AW1557" i="3" s="1"/>
  <c r="AW1558" i="3" s="1"/>
  <c r="AW1559" i="3" s="1"/>
  <c r="AW1560" i="3" s="1"/>
  <c r="AW1561" i="3" s="1"/>
  <c r="AW1562" i="3" s="1"/>
  <c r="AW1563" i="3" s="1"/>
  <c r="AW1564" i="3" s="1"/>
  <c r="AW1565" i="3" s="1"/>
  <c r="AW1566" i="3" s="1"/>
  <c r="AW1567" i="3" s="1"/>
  <c r="AW1568" i="3" s="1"/>
  <c r="AW1569" i="3" s="1"/>
  <c r="AW1570" i="3" s="1"/>
  <c r="AW1571" i="3" s="1"/>
  <c r="AW1572" i="3" s="1"/>
  <c r="AW1573" i="3" s="1"/>
  <c r="AW1574" i="3" s="1"/>
  <c r="AW1575" i="3" s="1"/>
  <c r="AW1576" i="3" s="1"/>
  <c r="AW1577" i="3" s="1"/>
  <c r="AW1578" i="3" s="1"/>
  <c r="AW1579" i="3" s="1"/>
  <c r="AW1580" i="3" s="1"/>
  <c r="AW1581" i="3" s="1"/>
  <c r="AW1582" i="3" s="1"/>
  <c r="AW1583" i="3" s="1"/>
  <c r="AW1584" i="3" s="1"/>
  <c r="AW1585" i="3" s="1"/>
  <c r="AW1586" i="3" s="1"/>
  <c r="AW1587" i="3" s="1"/>
  <c r="AW1588" i="3" s="1"/>
  <c r="AW1589" i="3" s="1"/>
  <c r="AW1590" i="3" s="1"/>
  <c r="AW1591" i="3" s="1"/>
  <c r="AW1592" i="3" s="1"/>
  <c r="AW1593" i="3" s="1"/>
  <c r="AW1594" i="3" s="1"/>
  <c r="AW1595" i="3" s="1"/>
  <c r="AW1596" i="3" s="1"/>
  <c r="AW1597" i="3" s="1"/>
  <c r="AW1598" i="3" s="1"/>
  <c r="AW1599" i="3" s="1"/>
  <c r="AW1600" i="3" s="1"/>
  <c r="AW1601" i="3" s="1"/>
  <c r="AW1602" i="3" s="1"/>
  <c r="AW1603" i="3" s="1"/>
  <c r="AW1604" i="3" s="1"/>
  <c r="AW1605" i="3" s="1"/>
  <c r="AW1606" i="3" s="1"/>
  <c r="AW1607" i="3" s="1"/>
  <c r="AW1608" i="3" s="1"/>
  <c r="AW1609" i="3" s="1"/>
  <c r="AW1610" i="3" s="1"/>
  <c r="AW1611" i="3" s="1"/>
  <c r="AW1612" i="3" s="1"/>
  <c r="AW1613" i="3" s="1"/>
  <c r="AW1614" i="3" s="1"/>
  <c r="AW1615" i="3" s="1"/>
  <c r="AW1616" i="3" s="1"/>
  <c r="AW1617" i="3" s="1"/>
  <c r="AW1618" i="3" s="1"/>
  <c r="AW1619" i="3" s="1"/>
  <c r="AW1620" i="3" s="1"/>
  <c r="AW1621" i="3" s="1"/>
  <c r="AW1622" i="3" s="1"/>
  <c r="AW1623" i="3" s="1"/>
  <c r="AW1624" i="3" s="1"/>
  <c r="AW1625" i="3" s="1"/>
  <c r="AW1626" i="3" s="1"/>
  <c r="AW1627" i="3" s="1"/>
  <c r="AW1628" i="3" s="1"/>
  <c r="AW1629" i="3" s="1"/>
  <c r="AW1630" i="3" s="1"/>
  <c r="AW1631" i="3" s="1"/>
  <c r="AW1632" i="3" s="1"/>
  <c r="AW1633" i="3" s="1"/>
  <c r="AW1634" i="3" s="1"/>
  <c r="AW1635" i="3" s="1"/>
  <c r="AW1636" i="3" s="1"/>
  <c r="AW1637" i="3" s="1"/>
  <c r="AW1638" i="3" s="1"/>
  <c r="AW1639" i="3" s="1"/>
  <c r="AW1640" i="3" s="1"/>
  <c r="AW1641" i="3" s="1"/>
  <c r="AW1642" i="3" s="1"/>
  <c r="AW1643" i="3" s="1"/>
  <c r="AW1644" i="3" s="1"/>
  <c r="AW1645" i="3" s="1"/>
  <c r="AW1646" i="3" s="1"/>
  <c r="AW1647" i="3" s="1"/>
  <c r="AW1648" i="3" s="1"/>
  <c r="AW1649" i="3" s="1"/>
  <c r="AW1650" i="3" s="1"/>
  <c r="AW1651" i="3" s="1"/>
  <c r="AW1652" i="3" s="1"/>
  <c r="AW1653" i="3" s="1"/>
  <c r="AW1654" i="3" s="1"/>
  <c r="AW1655" i="3" s="1"/>
  <c r="AW1656" i="3" s="1"/>
  <c r="AW1657" i="3" s="1"/>
  <c r="AW1658" i="3" s="1"/>
  <c r="AW1659" i="3" s="1"/>
  <c r="AW1660" i="3" s="1"/>
  <c r="AW1661" i="3" s="1"/>
  <c r="AW1662" i="3" s="1"/>
  <c r="AW1663" i="3" s="1"/>
  <c r="AW1664" i="3" s="1"/>
  <c r="AW1665" i="3" s="1"/>
  <c r="AW1666" i="3" s="1"/>
  <c r="AW1667" i="3" s="1"/>
  <c r="AW1668" i="3" s="1"/>
  <c r="AW1669" i="3" s="1"/>
  <c r="AW1670" i="3" s="1"/>
  <c r="AW1671" i="3" s="1"/>
  <c r="AW1672" i="3" s="1"/>
  <c r="AW1673" i="3" s="1"/>
  <c r="AW1674" i="3" s="1"/>
  <c r="AW1675" i="3" s="1"/>
  <c r="AW1676" i="3" s="1"/>
  <c r="AW1677" i="3" s="1"/>
  <c r="AW1678" i="3" s="1"/>
  <c r="AW1679" i="3" s="1"/>
  <c r="AW1680" i="3" s="1"/>
  <c r="AW1681" i="3" s="1"/>
  <c r="AW1682" i="3" s="1"/>
  <c r="AW1683" i="3" s="1"/>
  <c r="AW1684" i="3" s="1"/>
  <c r="AW1685" i="3" s="1"/>
  <c r="AW1686" i="3" s="1"/>
  <c r="AW1687" i="3" s="1"/>
  <c r="AW1688" i="3" s="1"/>
  <c r="AW1689" i="3" s="1"/>
  <c r="AW1690" i="3" s="1"/>
  <c r="AW1691" i="3" s="1"/>
  <c r="AW1692" i="3" s="1"/>
  <c r="AW1693" i="3" s="1"/>
  <c r="AW1694" i="3" s="1"/>
  <c r="AW1695" i="3" s="1"/>
  <c r="AW1696" i="3" s="1"/>
  <c r="AW1697" i="3" s="1"/>
  <c r="AW1698" i="3" s="1"/>
  <c r="AW1699" i="3" s="1"/>
  <c r="AW1700" i="3" s="1"/>
  <c r="AW1701" i="3" s="1"/>
  <c r="AW1702" i="3" s="1"/>
  <c r="AW1703" i="3" s="1"/>
  <c r="AW1704" i="3" s="1"/>
  <c r="AW1705" i="3" s="1"/>
  <c r="AW1706" i="3" s="1"/>
  <c r="AW1707" i="3" s="1"/>
  <c r="AW1708" i="3" s="1"/>
  <c r="AW1709" i="3" s="1"/>
  <c r="AW1710" i="3" s="1"/>
  <c r="AW1711" i="3" s="1"/>
  <c r="AW1712" i="3" s="1"/>
  <c r="AW1713" i="3" s="1"/>
  <c r="AW1714" i="3" s="1"/>
  <c r="AW1715" i="3" s="1"/>
  <c r="AW1716" i="3" s="1"/>
  <c r="AW1717" i="3" s="1"/>
  <c r="AW1718" i="3" s="1"/>
  <c r="AW1719" i="3" s="1"/>
  <c r="AW1720" i="3" s="1"/>
  <c r="AW1721" i="3" s="1"/>
  <c r="AW1722" i="3" s="1"/>
  <c r="AW1723" i="3" s="1"/>
  <c r="AW1724" i="3" s="1"/>
  <c r="AW1725" i="3" s="1"/>
  <c r="AW1726" i="3" s="1"/>
  <c r="AW1727" i="3" s="1"/>
  <c r="AW1728" i="3" s="1"/>
  <c r="AW1729" i="3" s="1"/>
  <c r="AW1730" i="3" s="1"/>
  <c r="AW1731" i="3" s="1"/>
  <c r="AW1732" i="3" s="1"/>
  <c r="AW1733" i="3" s="1"/>
  <c r="AW1734" i="3" s="1"/>
  <c r="AW1735" i="3" s="1"/>
  <c r="AW1736" i="3" s="1"/>
  <c r="AW1737" i="3" s="1"/>
  <c r="AW1738" i="3" s="1"/>
  <c r="AW1739" i="3" s="1"/>
  <c r="AW1740" i="3" s="1"/>
  <c r="AW1741" i="3" s="1"/>
  <c r="AW1742" i="3" s="1"/>
  <c r="AW1743" i="3" s="1"/>
  <c r="AW1744" i="3" s="1"/>
  <c r="AW1745" i="3" s="1"/>
  <c r="AW1746" i="3" s="1"/>
  <c r="AW1747" i="3" s="1"/>
  <c r="AW1748" i="3" s="1"/>
  <c r="AW1749" i="3" s="1"/>
  <c r="AW1750" i="3" s="1"/>
  <c r="AW1751" i="3" s="1"/>
  <c r="AW1752" i="3" s="1"/>
  <c r="AW1753" i="3" s="1"/>
  <c r="AW1754" i="3" s="1"/>
  <c r="AW1755" i="3" s="1"/>
  <c r="AW1756" i="3" s="1"/>
  <c r="AW1757" i="3" s="1"/>
  <c r="AW1758" i="3" s="1"/>
  <c r="AW1759" i="3" s="1"/>
  <c r="AW1760" i="3" s="1"/>
  <c r="AW1761" i="3" s="1"/>
  <c r="AW1762" i="3" s="1"/>
  <c r="AW1763" i="3" s="1"/>
  <c r="AW1764" i="3" s="1"/>
  <c r="AW1765" i="3" s="1"/>
  <c r="AW1766" i="3" s="1"/>
  <c r="AW1767" i="3" s="1"/>
  <c r="AW1768" i="3" s="1"/>
  <c r="AW1769" i="3" s="1"/>
  <c r="AW1770" i="3" s="1"/>
  <c r="AW1771" i="3" s="1"/>
  <c r="AW1772" i="3" s="1"/>
  <c r="AW1773" i="3" s="1"/>
  <c r="AW1774" i="3" s="1"/>
  <c r="AW1775" i="3" s="1"/>
  <c r="AW1776" i="3" s="1"/>
  <c r="AW1777" i="3" s="1"/>
  <c r="AW1778" i="3" s="1"/>
  <c r="AW1779" i="3" s="1"/>
  <c r="AW1780" i="3" s="1"/>
  <c r="AW1781" i="3" s="1"/>
  <c r="AW1782" i="3" s="1"/>
  <c r="AW1783" i="3" s="1"/>
  <c r="AW1784" i="3" s="1"/>
  <c r="AW1785" i="3" s="1"/>
  <c r="AW1786" i="3" s="1"/>
  <c r="AW1787" i="3" s="1"/>
  <c r="AW1788" i="3" s="1"/>
  <c r="AW1789" i="3" s="1"/>
  <c r="AW1790" i="3" s="1"/>
  <c r="AW1791" i="3" s="1"/>
  <c r="AW1792" i="3" s="1"/>
  <c r="AW1793" i="3" s="1"/>
  <c r="AW1794" i="3" s="1"/>
  <c r="AW1795" i="3" s="1"/>
  <c r="AW1796" i="3" s="1"/>
  <c r="AW1797" i="3" s="1"/>
  <c r="AW1798" i="3" s="1"/>
  <c r="AW1799" i="3" s="1"/>
  <c r="AW1800" i="3" s="1"/>
  <c r="AW1801" i="3" s="1"/>
  <c r="AW1802" i="3" s="1"/>
  <c r="AW1803" i="3" s="1"/>
  <c r="AW1804" i="3" s="1"/>
  <c r="AW1805" i="3" s="1"/>
  <c r="AW1806" i="3" s="1"/>
  <c r="AW1807" i="3" s="1"/>
  <c r="AW1808" i="3" s="1"/>
  <c r="AW1809" i="3" s="1"/>
  <c r="AW1810" i="3" s="1"/>
  <c r="AW1811" i="3" s="1"/>
  <c r="AW1812" i="3" s="1"/>
  <c r="AW1813" i="3" s="1"/>
  <c r="AW1814" i="3" s="1"/>
  <c r="AW1815" i="3" s="1"/>
  <c r="AW1816" i="3" s="1"/>
  <c r="AW1817" i="3" s="1"/>
  <c r="AW1818" i="3" s="1"/>
  <c r="AW1819" i="3" s="1"/>
  <c r="AW1820" i="3" s="1"/>
  <c r="AW1821" i="3" s="1"/>
  <c r="AW1822" i="3" s="1"/>
  <c r="AW1823" i="3" s="1"/>
  <c r="AW1824" i="3" s="1"/>
  <c r="AW1825" i="3" s="1"/>
  <c r="AW1826" i="3" s="1"/>
  <c r="AW1827" i="3" s="1"/>
  <c r="AW1828" i="3" s="1"/>
  <c r="AW1829" i="3" s="1"/>
  <c r="AW1830" i="3" s="1"/>
  <c r="AW1831" i="3" s="1"/>
  <c r="AW1832" i="3" s="1"/>
  <c r="AW1833" i="3" s="1"/>
  <c r="AW1834" i="3" s="1"/>
  <c r="AW1835" i="3" s="1"/>
  <c r="AW1836" i="3" s="1"/>
  <c r="AW1837" i="3" s="1"/>
  <c r="AW1838" i="3" s="1"/>
  <c r="AW1839" i="3" s="1"/>
  <c r="AW1840" i="3" s="1"/>
  <c r="AW1841" i="3" s="1"/>
  <c r="AW1842" i="3" s="1"/>
  <c r="AW1843" i="3" s="1"/>
  <c r="AW1844" i="3" s="1"/>
  <c r="AW1845" i="3" s="1"/>
  <c r="AW1846" i="3" s="1"/>
  <c r="AW1847" i="3" s="1"/>
  <c r="AW1848" i="3" s="1"/>
  <c r="AW1849" i="3" s="1"/>
  <c r="AW1850" i="3" s="1"/>
  <c r="AW1851" i="3" s="1"/>
  <c r="AW1852" i="3" s="1"/>
  <c r="AW1853" i="3" s="1"/>
  <c r="AW1854" i="3" s="1"/>
  <c r="AW1855" i="3" s="1"/>
  <c r="AW1856" i="3" s="1"/>
  <c r="AW1857" i="3" s="1"/>
  <c r="AW1858" i="3" s="1"/>
  <c r="AW1859" i="3" s="1"/>
  <c r="AW1860" i="3" s="1"/>
  <c r="AW1861" i="3" s="1"/>
  <c r="AW1862" i="3" s="1"/>
  <c r="AW1863" i="3" s="1"/>
  <c r="AW1864" i="3" s="1"/>
  <c r="AW1865" i="3" s="1"/>
  <c r="AW1866" i="3" s="1"/>
  <c r="AW1867" i="3" s="1"/>
  <c r="AW1868" i="3" s="1"/>
  <c r="AW1869" i="3" s="1"/>
  <c r="AW1870" i="3" s="1"/>
  <c r="AW1871" i="3" s="1"/>
  <c r="AW1872" i="3" s="1"/>
  <c r="AW1873" i="3" s="1"/>
  <c r="AW1874" i="3" s="1"/>
  <c r="AW1875" i="3" s="1"/>
  <c r="AW1876" i="3" s="1"/>
  <c r="AW1877" i="3" s="1"/>
  <c r="AW1878" i="3" s="1"/>
  <c r="AW1879" i="3" s="1"/>
  <c r="AW1880" i="3" s="1"/>
  <c r="AW1881" i="3" s="1"/>
  <c r="AW1882" i="3" s="1"/>
  <c r="AW1883" i="3" s="1"/>
  <c r="AW1884" i="3" s="1"/>
  <c r="AW1885" i="3" s="1"/>
  <c r="AW1886" i="3" s="1"/>
  <c r="AW1887" i="3" s="1"/>
  <c r="AW1888" i="3" s="1"/>
  <c r="AW1889" i="3" s="1"/>
  <c r="AW1890" i="3" s="1"/>
  <c r="AW1891" i="3" s="1"/>
  <c r="AW1892" i="3" s="1"/>
  <c r="AW1893" i="3" s="1"/>
  <c r="AW1894" i="3" s="1"/>
  <c r="AW1895" i="3" s="1"/>
  <c r="AW1896" i="3" s="1"/>
  <c r="AW1897" i="3" s="1"/>
  <c r="AW1898" i="3" s="1"/>
  <c r="AW1899" i="3" s="1"/>
  <c r="AW1900" i="3" s="1"/>
  <c r="AW1901" i="3" s="1"/>
  <c r="AW1902" i="3" s="1"/>
  <c r="AW1903" i="3" s="1"/>
  <c r="AW1904" i="3" s="1"/>
  <c r="AW1905" i="3" s="1"/>
  <c r="AW1906" i="3" s="1"/>
  <c r="AW1907" i="3" s="1"/>
  <c r="AW1908" i="3" s="1"/>
  <c r="AW1909" i="3" s="1"/>
  <c r="AW1910" i="3" s="1"/>
  <c r="AW1911" i="3" s="1"/>
  <c r="AW1912" i="3" s="1"/>
  <c r="AW1913" i="3" s="1"/>
  <c r="AW1914" i="3" s="1"/>
  <c r="AW1915" i="3" s="1"/>
  <c r="AW1916" i="3" s="1"/>
  <c r="AW1917" i="3" s="1"/>
  <c r="AW1918" i="3" s="1"/>
  <c r="AW1919" i="3" s="1"/>
  <c r="AW1920" i="3" s="1"/>
  <c r="AW1921" i="3" s="1"/>
  <c r="AW1922" i="3" s="1"/>
  <c r="AW1923" i="3" s="1"/>
  <c r="AW1924" i="3" s="1"/>
  <c r="AW1925" i="3" s="1"/>
  <c r="AW1926" i="3" s="1"/>
  <c r="AW1927" i="3" s="1"/>
  <c r="AW1928" i="3" s="1"/>
  <c r="AW1929" i="3" s="1"/>
  <c r="AW1930" i="3" s="1"/>
  <c r="AW1931" i="3" s="1"/>
  <c r="AW1932" i="3" s="1"/>
  <c r="AW1933" i="3" s="1"/>
  <c r="AW1934" i="3" s="1"/>
  <c r="AW1935" i="3" s="1"/>
  <c r="AW1936" i="3" s="1"/>
  <c r="AW1937" i="3" s="1"/>
  <c r="AW1938" i="3" s="1"/>
  <c r="AW1939" i="3" s="1"/>
  <c r="AW1940" i="3" s="1"/>
  <c r="AW1941" i="3" s="1"/>
  <c r="AW1942" i="3" s="1"/>
  <c r="AW1943" i="3" s="1"/>
  <c r="AW1944" i="3" s="1"/>
  <c r="AW1945" i="3" s="1"/>
  <c r="AW1946" i="3" s="1"/>
  <c r="AW1947" i="3" s="1"/>
  <c r="AW1948" i="3" s="1"/>
  <c r="AW1949" i="3" s="1"/>
  <c r="AW1950" i="3" s="1"/>
  <c r="AW1951" i="3" s="1"/>
  <c r="AW1952" i="3" s="1"/>
  <c r="AW1953" i="3" s="1"/>
  <c r="AW1954" i="3" s="1"/>
  <c r="AW1955" i="3" s="1"/>
  <c r="AW1956" i="3" s="1"/>
  <c r="AW1957" i="3" s="1"/>
  <c r="AW1958" i="3" s="1"/>
  <c r="AW1959" i="3" s="1"/>
  <c r="AW1960" i="3" s="1"/>
  <c r="AW1961" i="3" s="1"/>
  <c r="AW1962" i="3" s="1"/>
  <c r="AW1963" i="3" s="1"/>
  <c r="AW1964" i="3" s="1"/>
  <c r="AW1965" i="3" s="1"/>
  <c r="AW1966" i="3" s="1"/>
  <c r="AW1967" i="3" s="1"/>
  <c r="AW1968" i="3" s="1"/>
  <c r="AW1969" i="3" s="1"/>
  <c r="AW1970" i="3" s="1"/>
  <c r="AW1971" i="3" s="1"/>
  <c r="AW1972" i="3" s="1"/>
  <c r="AW1973" i="3" s="1"/>
  <c r="AW1974" i="3" s="1"/>
  <c r="AW1975" i="3" s="1"/>
  <c r="AW1976" i="3" s="1"/>
  <c r="AW1977" i="3" s="1"/>
  <c r="AW1978" i="3" s="1"/>
  <c r="AW1979" i="3" s="1"/>
  <c r="AW1980" i="3" s="1"/>
  <c r="AW1981" i="3" s="1"/>
  <c r="AW1982" i="3" s="1"/>
  <c r="AW1983" i="3" s="1"/>
  <c r="AW1984" i="3" s="1"/>
  <c r="AW1985" i="3" s="1"/>
  <c r="AW1986" i="3" s="1"/>
  <c r="AW1987" i="3" s="1"/>
  <c r="AW1988" i="3" s="1"/>
  <c r="AW1989" i="3" s="1"/>
  <c r="AW1990" i="3" s="1"/>
  <c r="AW1991" i="3" s="1"/>
  <c r="AW1992" i="3" s="1"/>
  <c r="AW1993" i="3" s="1"/>
  <c r="AW1994" i="3" s="1"/>
  <c r="AW1995" i="3" s="1"/>
  <c r="AW1996" i="3" s="1"/>
  <c r="AW1997" i="3" s="1"/>
  <c r="AW1998" i="3" s="1"/>
  <c r="AW1999" i="3" s="1"/>
  <c r="AW2000" i="3" s="1"/>
  <c r="AW2001" i="3" s="1"/>
  <c r="AW2002" i="3" s="1"/>
  <c r="AW2003" i="3" s="1"/>
  <c r="AW2004" i="3" s="1"/>
  <c r="AW2005" i="3" s="1"/>
  <c r="AW2006" i="3" s="1"/>
  <c r="AW2007" i="3" s="1"/>
  <c r="AW2008" i="3" s="1"/>
  <c r="AW2009" i="3" s="1"/>
  <c r="AW2010" i="3" s="1"/>
  <c r="AW2011" i="3" s="1"/>
  <c r="AW2012" i="3" s="1"/>
  <c r="AW2013" i="3" s="1"/>
  <c r="AW2014" i="3" s="1"/>
  <c r="AW2015" i="3" s="1"/>
  <c r="AW2016" i="3" s="1"/>
  <c r="AW2017" i="3" s="1"/>
  <c r="AW2018" i="3" s="1"/>
  <c r="AW2019" i="3" s="1"/>
  <c r="AW2020" i="3" s="1"/>
  <c r="AW2021" i="3" s="1"/>
  <c r="AW2022" i="3" s="1"/>
  <c r="AW2023" i="3" s="1"/>
  <c r="AW2024" i="3" s="1"/>
  <c r="AW2025" i="3" s="1"/>
  <c r="AW2026" i="3" s="1"/>
  <c r="AW2027" i="3" s="1"/>
  <c r="AW2028" i="3" s="1"/>
  <c r="AW2029" i="3" s="1"/>
  <c r="AW2030" i="3" s="1"/>
  <c r="AW2031" i="3" s="1"/>
  <c r="AW2032" i="3" s="1"/>
  <c r="AW2033" i="3" s="1"/>
  <c r="AW2034" i="3" s="1"/>
  <c r="AW2035" i="3" s="1"/>
  <c r="AW2036" i="3" s="1"/>
  <c r="AW2037" i="3" s="1"/>
  <c r="AW2038" i="3" s="1"/>
  <c r="AW2039" i="3" s="1"/>
  <c r="AW2040" i="3" s="1"/>
  <c r="AW2041" i="3" s="1"/>
  <c r="AW2042" i="3" s="1"/>
  <c r="AW2043" i="3" s="1"/>
  <c r="AW2044" i="3" s="1"/>
  <c r="AW2045" i="3" s="1"/>
  <c r="AW2046" i="3" s="1"/>
  <c r="AW2047" i="3" s="1"/>
  <c r="AW2048" i="3" s="1"/>
  <c r="AW2049" i="3" s="1"/>
  <c r="AW2050" i="3" s="1"/>
  <c r="AW2051" i="3" s="1"/>
  <c r="AW2052" i="3" s="1"/>
  <c r="AW2053" i="3" s="1"/>
  <c r="AW2054" i="3" s="1"/>
  <c r="AW2055" i="3" s="1"/>
  <c r="AW2056" i="3" s="1"/>
  <c r="AW2057" i="3" s="1"/>
  <c r="AW2058" i="3" s="1"/>
  <c r="AW2059" i="3" s="1"/>
  <c r="AW2060" i="3" s="1"/>
  <c r="AW2061" i="3" s="1"/>
  <c r="AW2062" i="3" s="1"/>
  <c r="AW2063" i="3" s="1"/>
  <c r="AW2064" i="3" s="1"/>
  <c r="AW2065" i="3" s="1"/>
  <c r="AW2066" i="3" s="1"/>
  <c r="AW2067" i="3" s="1"/>
  <c r="AW2068" i="3" s="1"/>
  <c r="AW2069" i="3" s="1"/>
  <c r="AW2070" i="3" s="1"/>
  <c r="AW2071" i="3" s="1"/>
  <c r="AW2072" i="3" s="1"/>
  <c r="AW2073" i="3" s="1"/>
  <c r="AW2074" i="3" s="1"/>
  <c r="AW2075" i="3" s="1"/>
  <c r="AW2076" i="3" s="1"/>
  <c r="AW2077" i="3" s="1"/>
  <c r="AW2078" i="3" s="1"/>
  <c r="AW2079" i="3" s="1"/>
  <c r="AW2080" i="3" s="1"/>
  <c r="AW2081" i="3" s="1"/>
  <c r="AW2082" i="3" s="1"/>
  <c r="AW2083" i="3" s="1"/>
  <c r="AW2084" i="3" s="1"/>
  <c r="AW2085" i="3" s="1"/>
  <c r="AW2086" i="3" s="1"/>
  <c r="AW2087" i="3" s="1"/>
  <c r="AW2088" i="3" s="1"/>
  <c r="AW2089" i="3" s="1"/>
  <c r="AW2090" i="3" s="1"/>
  <c r="AW2091" i="3" s="1"/>
  <c r="AW2092" i="3" s="1"/>
  <c r="AW2093" i="3" s="1"/>
  <c r="AW2094" i="3" s="1"/>
  <c r="AW2095" i="3" s="1"/>
  <c r="AW2096" i="3" s="1"/>
  <c r="AW2097" i="3" s="1"/>
  <c r="AW2098" i="3" s="1"/>
  <c r="AW2099" i="3" s="1"/>
  <c r="AW2100" i="3" s="1"/>
  <c r="AW2101" i="3" s="1"/>
  <c r="AW2102" i="3" s="1"/>
  <c r="AW2103" i="3" s="1"/>
  <c r="AW2104" i="3" s="1"/>
  <c r="AW2105" i="3" s="1"/>
  <c r="AW2106" i="3" s="1"/>
  <c r="AW2107" i="3" s="1"/>
  <c r="AW2108" i="3" s="1"/>
  <c r="AW2109" i="3" s="1"/>
  <c r="AW2110" i="3" s="1"/>
  <c r="AW2111" i="3" s="1"/>
  <c r="AW2112" i="3" s="1"/>
  <c r="AW2113" i="3" s="1"/>
  <c r="AW2114" i="3" s="1"/>
  <c r="AW2115" i="3" s="1"/>
  <c r="AW2116" i="3" s="1"/>
  <c r="AW2117" i="3" s="1"/>
  <c r="AW2118" i="3" s="1"/>
  <c r="AW2119" i="3" s="1"/>
  <c r="AW2120" i="3" s="1"/>
  <c r="AW2121" i="3" s="1"/>
  <c r="AW2122" i="3" s="1"/>
  <c r="AW2123" i="3" s="1"/>
  <c r="AW2124" i="3" s="1"/>
  <c r="AW2125" i="3" s="1"/>
  <c r="AW2126" i="3" s="1"/>
  <c r="AW2127" i="3" s="1"/>
  <c r="AW2128" i="3" s="1"/>
  <c r="AW2129" i="3" s="1"/>
  <c r="AW2130" i="3" s="1"/>
  <c r="AW2131" i="3" s="1"/>
  <c r="AW2132" i="3" s="1"/>
  <c r="AW2133" i="3" s="1"/>
  <c r="AW2134" i="3" s="1"/>
  <c r="AW2135" i="3" s="1"/>
  <c r="AW2136" i="3" s="1"/>
  <c r="AW2137" i="3" s="1"/>
  <c r="AW2138" i="3" s="1"/>
  <c r="AW2139" i="3" s="1"/>
  <c r="AW2140" i="3" s="1"/>
  <c r="AW2141" i="3" s="1"/>
  <c r="AW2142" i="3" s="1"/>
  <c r="AW2143" i="3" s="1"/>
  <c r="AW2144" i="3" s="1"/>
  <c r="AW2145" i="3" s="1"/>
  <c r="AW2146" i="3" s="1"/>
  <c r="AW2147" i="3" s="1"/>
  <c r="AW2148" i="3" s="1"/>
  <c r="AW2149" i="3" s="1"/>
  <c r="AW2150" i="3" s="1"/>
  <c r="AW2151" i="3" s="1"/>
  <c r="AW2152" i="3" s="1"/>
  <c r="AW2153" i="3" s="1"/>
  <c r="AW2154" i="3" s="1"/>
  <c r="AW2155" i="3" s="1"/>
  <c r="AW2156" i="3" s="1"/>
  <c r="AW2157" i="3" s="1"/>
  <c r="AW2158" i="3" s="1"/>
  <c r="AW2159" i="3" s="1"/>
  <c r="AW2160" i="3" s="1"/>
  <c r="AW2161" i="3" s="1"/>
  <c r="AW2162" i="3" s="1"/>
  <c r="AW2163" i="3" s="1"/>
  <c r="AW2164" i="3" s="1"/>
  <c r="AW2165" i="3" s="1"/>
  <c r="AW2166" i="3" s="1"/>
  <c r="AW2167" i="3" s="1"/>
  <c r="AW2168" i="3" s="1"/>
  <c r="AW2169" i="3" s="1"/>
  <c r="AW2170" i="3" s="1"/>
  <c r="AW2171" i="3" s="1"/>
  <c r="AW2172" i="3" s="1"/>
  <c r="AW2173" i="3" s="1"/>
  <c r="AW2174" i="3" s="1"/>
  <c r="AW2175" i="3" s="1"/>
  <c r="AW2176" i="3" s="1"/>
  <c r="AW2177" i="3" s="1"/>
  <c r="AW2178" i="3" s="1"/>
  <c r="AW2179" i="3" s="1"/>
  <c r="AW2180" i="3" s="1"/>
  <c r="AW2181" i="3" s="1"/>
  <c r="AW2182" i="3" s="1"/>
  <c r="AW2183" i="3" s="1"/>
  <c r="AW2184" i="3" s="1"/>
  <c r="AW2185" i="3" s="1"/>
  <c r="AW2186" i="3" s="1"/>
  <c r="AW2187" i="3" s="1"/>
  <c r="AW2188" i="3" s="1"/>
  <c r="AW2189" i="3" s="1"/>
  <c r="AW2190" i="3" s="1"/>
  <c r="AW2191" i="3" s="1"/>
  <c r="AW2192" i="3" s="1"/>
  <c r="AW2193" i="3" s="1"/>
  <c r="AW2194" i="3" s="1"/>
  <c r="AW2195" i="3" s="1"/>
  <c r="AW2196" i="3" s="1"/>
  <c r="AW2197" i="3" s="1"/>
  <c r="AW2198" i="3" s="1"/>
  <c r="AW2199" i="3" s="1"/>
  <c r="AW2200" i="3" s="1"/>
  <c r="AW2201" i="3" s="1"/>
  <c r="AW2202" i="3" s="1"/>
  <c r="AW2203" i="3" s="1"/>
  <c r="AW2204" i="3" s="1"/>
  <c r="AW2205" i="3" s="1"/>
  <c r="AW2206" i="3" s="1"/>
  <c r="AW2207" i="3" s="1"/>
  <c r="AW2208" i="3" s="1"/>
  <c r="AW2209" i="3" s="1"/>
  <c r="AW2210" i="3" s="1"/>
  <c r="AW2211" i="3" s="1"/>
  <c r="AW2212" i="3" s="1"/>
  <c r="AW2213" i="3" s="1"/>
  <c r="AW2214" i="3" s="1"/>
  <c r="AW2215" i="3" s="1"/>
  <c r="AW2216" i="3" s="1"/>
  <c r="AW2217" i="3" s="1"/>
  <c r="AW2218" i="3" s="1"/>
  <c r="AW2219" i="3" s="1"/>
  <c r="AW2220" i="3" s="1"/>
  <c r="AW2221" i="3" s="1"/>
  <c r="AW2222" i="3" s="1"/>
  <c r="AW2223" i="3" s="1"/>
  <c r="AW2224" i="3" s="1"/>
  <c r="AW2225" i="3" s="1"/>
  <c r="AW2226" i="3" s="1"/>
  <c r="AW2227" i="3" s="1"/>
  <c r="AW2228" i="3" s="1"/>
  <c r="AW2229" i="3" s="1"/>
  <c r="AW2230" i="3" s="1"/>
  <c r="AW2231" i="3" s="1"/>
  <c r="AW2232" i="3" s="1"/>
  <c r="AW2233" i="3" s="1"/>
  <c r="AW2234" i="3" s="1"/>
  <c r="AW2235" i="3" s="1"/>
  <c r="AW2236" i="3" s="1"/>
  <c r="AW2237" i="3" s="1"/>
  <c r="AW2238" i="3" s="1"/>
  <c r="AW2239" i="3" s="1"/>
  <c r="AW2240" i="3" s="1"/>
  <c r="AW2241" i="3" s="1"/>
  <c r="AW2242" i="3" s="1"/>
  <c r="AW2243" i="3" s="1"/>
  <c r="AW2244" i="3" s="1"/>
  <c r="AW2245" i="3" s="1"/>
  <c r="AW2246" i="3" s="1"/>
  <c r="AW2247" i="3" s="1"/>
  <c r="AW2248" i="3" s="1"/>
  <c r="AW2249" i="3" s="1"/>
  <c r="AW2250" i="3" s="1"/>
  <c r="AW2251" i="3" s="1"/>
  <c r="AW2252" i="3" s="1"/>
  <c r="AW2253" i="3" s="1"/>
  <c r="AW2254" i="3" s="1"/>
  <c r="AW2255" i="3" s="1"/>
  <c r="AW2256" i="3" s="1"/>
  <c r="AW2257" i="3" s="1"/>
  <c r="AW2258" i="3" s="1"/>
  <c r="AW2259" i="3" s="1"/>
  <c r="AW2260" i="3" s="1"/>
  <c r="AW2261" i="3" s="1"/>
  <c r="AW2262" i="3" s="1"/>
  <c r="AW2263" i="3" s="1"/>
  <c r="AW2264" i="3" s="1"/>
  <c r="AW2265" i="3" s="1"/>
  <c r="AW2266" i="3" s="1"/>
  <c r="AW2267" i="3" s="1"/>
  <c r="AW2268" i="3" s="1"/>
  <c r="AW2269" i="3" s="1"/>
  <c r="AW2270" i="3" s="1"/>
  <c r="AW2271" i="3" s="1"/>
  <c r="AW2272" i="3" s="1"/>
  <c r="AW2273" i="3" s="1"/>
  <c r="AW2274" i="3" s="1"/>
  <c r="AW2275" i="3" s="1"/>
  <c r="AW2276" i="3" s="1"/>
  <c r="AW2277" i="3" s="1"/>
  <c r="AW2278" i="3" s="1"/>
  <c r="AW2279" i="3" s="1"/>
  <c r="AW2280" i="3" s="1"/>
  <c r="AW2281" i="3" s="1"/>
  <c r="AW2282" i="3" s="1"/>
  <c r="AW2283" i="3" s="1"/>
  <c r="AW2284" i="3" s="1"/>
  <c r="AW2285" i="3" s="1"/>
  <c r="AW2286" i="3" s="1"/>
  <c r="AW2287" i="3" s="1"/>
  <c r="AW2288" i="3" s="1"/>
  <c r="AW2289" i="3" s="1"/>
  <c r="AW2290" i="3" s="1"/>
  <c r="AW2291" i="3" s="1"/>
  <c r="AW2292" i="3" s="1"/>
  <c r="AW2293" i="3" s="1"/>
  <c r="AW2294" i="3" s="1"/>
  <c r="AW2295" i="3" s="1"/>
  <c r="AW2296" i="3" s="1"/>
  <c r="AW2297" i="3" s="1"/>
  <c r="AW2298" i="3" s="1"/>
  <c r="AW2299" i="3" s="1"/>
  <c r="AW2300" i="3" s="1"/>
  <c r="AW2301" i="3" s="1"/>
  <c r="AW2302" i="3" s="1"/>
  <c r="AW2303" i="3" s="1"/>
  <c r="AW2304" i="3" s="1"/>
  <c r="AW2305" i="3" s="1"/>
  <c r="AW2306" i="3" s="1"/>
  <c r="AW2307" i="3" s="1"/>
  <c r="AW2308" i="3" s="1"/>
  <c r="AW2309" i="3" s="1"/>
  <c r="AW2310" i="3" s="1"/>
  <c r="AW2311" i="3" s="1"/>
  <c r="AW2312" i="3" s="1"/>
  <c r="AW2313" i="3" s="1"/>
  <c r="AW2314" i="3" s="1"/>
  <c r="AW2315" i="3" s="1"/>
  <c r="AW2316" i="3" s="1"/>
  <c r="AW2317" i="3" s="1"/>
  <c r="AW2318" i="3" s="1"/>
  <c r="AW2319" i="3" s="1"/>
  <c r="AW2320" i="3" s="1"/>
  <c r="AW2321" i="3" s="1"/>
  <c r="AW2322" i="3" s="1"/>
  <c r="AW2323" i="3" s="1"/>
  <c r="AW2324" i="3" s="1"/>
  <c r="AW2325" i="3" s="1"/>
  <c r="AW2326" i="3" s="1"/>
  <c r="AW2327" i="3" s="1"/>
  <c r="AW2328" i="3" s="1"/>
  <c r="AW2329" i="3" s="1"/>
  <c r="AW2330" i="3" s="1"/>
  <c r="AW2331" i="3" s="1"/>
  <c r="AW2332" i="3" s="1"/>
  <c r="AW2333" i="3" s="1"/>
  <c r="AW2334" i="3" s="1"/>
  <c r="AW2335" i="3" s="1"/>
  <c r="AW2336" i="3" s="1"/>
  <c r="AW2337" i="3" s="1"/>
  <c r="AW2338" i="3" s="1"/>
  <c r="AW2339" i="3" s="1"/>
  <c r="AW2340" i="3" s="1"/>
  <c r="AW2341" i="3" s="1"/>
  <c r="AW2342" i="3" s="1"/>
  <c r="AW2343" i="3" s="1"/>
  <c r="AW2344" i="3" s="1"/>
  <c r="AW2345" i="3" s="1"/>
  <c r="AW2346" i="3" s="1"/>
  <c r="AW2347" i="3" s="1"/>
  <c r="AW2348" i="3" s="1"/>
  <c r="AW2349" i="3" s="1"/>
  <c r="AW2350" i="3" s="1"/>
  <c r="AW2351" i="3" s="1"/>
  <c r="AW2352" i="3" s="1"/>
  <c r="AW2353" i="3" s="1"/>
  <c r="AW2354" i="3" s="1"/>
  <c r="AW2355" i="3" s="1"/>
  <c r="AW2356" i="3" s="1"/>
  <c r="AW2357" i="3" s="1"/>
  <c r="AW2358" i="3" s="1"/>
  <c r="AW2359" i="3" s="1"/>
  <c r="AW2360" i="3" s="1"/>
  <c r="AW2361" i="3" s="1"/>
  <c r="AW2362" i="3" s="1"/>
  <c r="AW2363" i="3" s="1"/>
  <c r="AW2364" i="3" s="1"/>
  <c r="AW2365" i="3" s="1"/>
  <c r="AW2366" i="3" s="1"/>
  <c r="AW2367" i="3" s="1"/>
  <c r="AW2368" i="3" s="1"/>
  <c r="AW2369" i="3" s="1"/>
  <c r="AW2370" i="3" s="1"/>
  <c r="AW2371" i="3" s="1"/>
  <c r="AW2372" i="3" s="1"/>
  <c r="AW2373" i="3" s="1"/>
  <c r="AW2374" i="3" s="1"/>
  <c r="AW2375" i="3" s="1"/>
  <c r="AW2376" i="3" s="1"/>
  <c r="AW2377" i="3" s="1"/>
  <c r="AW2378" i="3" s="1"/>
  <c r="AW2379" i="3" s="1"/>
  <c r="AW2380" i="3" s="1"/>
  <c r="AW2381" i="3" s="1"/>
  <c r="AW2382" i="3" s="1"/>
  <c r="AW2383" i="3" s="1"/>
  <c r="AW2384" i="3" s="1"/>
  <c r="AW2385" i="3" s="1"/>
  <c r="AW2386" i="3" s="1"/>
  <c r="AW2387" i="3" s="1"/>
  <c r="AW2388" i="3" s="1"/>
  <c r="AW2389" i="3" s="1"/>
  <c r="AW2390" i="3" s="1"/>
  <c r="AW2391" i="3" s="1"/>
  <c r="AW2392" i="3" s="1"/>
  <c r="AW2393" i="3" s="1"/>
  <c r="AW2394" i="3" s="1"/>
  <c r="AW2395" i="3" s="1"/>
  <c r="AW2396" i="3" s="1"/>
  <c r="AW2397" i="3" s="1"/>
  <c r="AW2398" i="3" s="1"/>
  <c r="AW2399" i="3" s="1"/>
  <c r="AW2400" i="3" s="1"/>
  <c r="AW2401" i="3" s="1"/>
  <c r="AW2402" i="3" s="1"/>
  <c r="AW2403" i="3" s="1"/>
  <c r="AW2404" i="3" s="1"/>
  <c r="AW2405" i="3" s="1"/>
  <c r="AW2406" i="3" s="1"/>
  <c r="AW2407" i="3" s="1"/>
  <c r="AW2408" i="3" s="1"/>
  <c r="AW2409" i="3" s="1"/>
  <c r="AW2410" i="3" s="1"/>
  <c r="AW2411" i="3" s="1"/>
  <c r="AW2412" i="3" s="1"/>
  <c r="AW2413" i="3" s="1"/>
  <c r="AW2414" i="3" s="1"/>
  <c r="AW2415" i="3" s="1"/>
  <c r="AW2416" i="3" s="1"/>
  <c r="AW2417" i="3" s="1"/>
  <c r="AW2418" i="3" s="1"/>
  <c r="AW2419" i="3" s="1"/>
  <c r="AW2420" i="3" s="1"/>
  <c r="AW2421" i="3" s="1"/>
  <c r="AW2422" i="3" s="1"/>
  <c r="AW2423" i="3" s="1"/>
  <c r="AW2424" i="3" s="1"/>
  <c r="AW2425" i="3" s="1"/>
  <c r="AW2426" i="3" s="1"/>
  <c r="AW2427" i="3" s="1"/>
  <c r="AW2428" i="3" s="1"/>
  <c r="AW2429" i="3" s="1"/>
  <c r="AW2430" i="3" s="1"/>
  <c r="AW2431" i="3" s="1"/>
  <c r="AW2432" i="3" s="1"/>
  <c r="AW2433" i="3" s="1"/>
  <c r="AW2434" i="3" s="1"/>
  <c r="AW2435" i="3" s="1"/>
  <c r="AW2436" i="3" s="1"/>
  <c r="AW2437" i="3" s="1"/>
  <c r="AW2438" i="3" s="1"/>
  <c r="AW2439" i="3" s="1"/>
  <c r="AW2440" i="3" s="1"/>
  <c r="AW2441" i="3" s="1"/>
  <c r="AW2442" i="3" s="1"/>
  <c r="AW2443" i="3" s="1"/>
  <c r="AW2444" i="3" s="1"/>
  <c r="AW2445" i="3" s="1"/>
  <c r="AW2446" i="3" s="1"/>
  <c r="AW2447" i="3" s="1"/>
  <c r="AW2448" i="3" s="1"/>
  <c r="AW2449" i="3" s="1"/>
  <c r="AW2450" i="3" s="1"/>
  <c r="AW2451" i="3" s="1"/>
  <c r="AW2452" i="3" s="1"/>
  <c r="AW2453" i="3" s="1"/>
  <c r="AW2454" i="3" s="1"/>
  <c r="AW2455" i="3" s="1"/>
  <c r="AW2456" i="3" s="1"/>
  <c r="AW2457" i="3" s="1"/>
  <c r="AW2458" i="3" s="1"/>
  <c r="AW2459" i="3" s="1"/>
  <c r="AW2460" i="3" s="1"/>
  <c r="AW2461" i="3" s="1"/>
  <c r="AW2462" i="3" s="1"/>
  <c r="AW2463" i="3" s="1"/>
  <c r="AW2464" i="3" s="1"/>
  <c r="AW2465" i="3" s="1"/>
  <c r="AW2466" i="3" s="1"/>
  <c r="AW2467" i="3" s="1"/>
  <c r="AW2468" i="3" s="1"/>
  <c r="AW2469" i="3" s="1"/>
  <c r="AW2470" i="3" s="1"/>
  <c r="AW2471" i="3" s="1"/>
  <c r="AW2472" i="3" s="1"/>
  <c r="AW2473" i="3" s="1"/>
  <c r="AW2474" i="3" s="1"/>
  <c r="AW2475" i="3" s="1"/>
  <c r="AW2476" i="3" s="1"/>
  <c r="AW2477" i="3" s="1"/>
  <c r="AW2478" i="3" s="1"/>
  <c r="AW2479" i="3" s="1"/>
  <c r="AW2480" i="3" s="1"/>
  <c r="AW2481" i="3" s="1"/>
  <c r="AW2482" i="3" s="1"/>
  <c r="AW2483" i="3" s="1"/>
  <c r="AW2484" i="3" s="1"/>
  <c r="AW2485" i="3" s="1"/>
  <c r="AW2486" i="3" s="1"/>
  <c r="AW2487" i="3" s="1"/>
  <c r="AW2488" i="3" s="1"/>
  <c r="AW2489" i="3" s="1"/>
  <c r="AW2490" i="3" s="1"/>
  <c r="AW2491" i="3" s="1"/>
  <c r="AW2492" i="3" s="1"/>
  <c r="AW2493" i="3" s="1"/>
  <c r="AW2494" i="3" s="1"/>
  <c r="AW2495" i="3" s="1"/>
  <c r="AW2496" i="3" s="1"/>
  <c r="AW2497" i="3" s="1"/>
  <c r="AW2498" i="3" s="1"/>
  <c r="AW2499" i="3" s="1"/>
  <c r="AW2500" i="3" s="1"/>
  <c r="AW2501" i="3" s="1"/>
  <c r="AW2502" i="3" s="1"/>
  <c r="AW2503" i="3" s="1"/>
  <c r="AW2504" i="3" s="1"/>
  <c r="AW2505" i="3" s="1"/>
  <c r="AW2506" i="3" s="1"/>
  <c r="AW2507" i="3" s="1"/>
  <c r="AW2508" i="3" s="1"/>
  <c r="AW2509" i="3" s="1"/>
  <c r="AW2510" i="3" s="1"/>
  <c r="AW2511" i="3" s="1"/>
  <c r="AW2512" i="3" s="1"/>
  <c r="AW2513" i="3" s="1"/>
  <c r="AW2514" i="3" s="1"/>
  <c r="AW2515" i="3" s="1"/>
  <c r="AW2516" i="3" s="1"/>
  <c r="AW2517" i="3" s="1"/>
  <c r="AW2518" i="3" s="1"/>
  <c r="AW2519" i="3" s="1"/>
  <c r="AW2520" i="3" s="1"/>
  <c r="AW2521" i="3" s="1"/>
  <c r="AW2522" i="3" s="1"/>
  <c r="AW2523" i="3" s="1"/>
  <c r="AW2524" i="3" s="1"/>
  <c r="AW2525" i="3" s="1"/>
  <c r="AW2526" i="3" s="1"/>
  <c r="AW2527" i="3" s="1"/>
  <c r="AW2528" i="3" s="1"/>
  <c r="AW2529" i="3" s="1"/>
  <c r="AW2530" i="3" s="1"/>
  <c r="AW2531" i="3" s="1"/>
  <c r="AW2532" i="3" s="1"/>
  <c r="AW2533" i="3" s="1"/>
  <c r="AW2534" i="3" s="1"/>
  <c r="AW2535" i="3" s="1"/>
  <c r="AW2536" i="3" s="1"/>
  <c r="AW2537" i="3" s="1"/>
  <c r="AW2538" i="3" s="1"/>
  <c r="AW2539" i="3" s="1"/>
  <c r="AW2540" i="3" s="1"/>
  <c r="AW2541" i="3" s="1"/>
  <c r="AW2542" i="3" s="1"/>
  <c r="AW2543" i="3" s="1"/>
  <c r="AW2544" i="3" s="1"/>
  <c r="AW2545" i="3" s="1"/>
  <c r="AW2546" i="3" s="1"/>
  <c r="AW2547" i="3" s="1"/>
  <c r="AW2548" i="3" s="1"/>
  <c r="AW2549" i="3" s="1"/>
  <c r="AW2550" i="3" s="1"/>
  <c r="AW2551" i="3" s="1"/>
  <c r="AW2552" i="3" s="1"/>
  <c r="AW2553" i="3" s="1"/>
  <c r="AW2554" i="3" s="1"/>
  <c r="AW2555" i="3" s="1"/>
  <c r="AW2556" i="3" s="1"/>
  <c r="AW2557" i="3" s="1"/>
  <c r="AW2558" i="3" s="1"/>
  <c r="AW2559" i="3" s="1"/>
  <c r="AW2560" i="3" s="1"/>
  <c r="AW2561" i="3" s="1"/>
  <c r="AW2562" i="3" s="1"/>
  <c r="AW2563" i="3" s="1"/>
  <c r="AW2564" i="3" s="1"/>
  <c r="AW2565" i="3" s="1"/>
  <c r="AW2566" i="3" s="1"/>
  <c r="AW2567" i="3" s="1"/>
  <c r="AW2568" i="3" s="1"/>
  <c r="AW2569" i="3" s="1"/>
  <c r="AW2570" i="3" s="1"/>
  <c r="AW2571" i="3" s="1"/>
  <c r="AW2572" i="3" s="1"/>
  <c r="AW2573" i="3" s="1"/>
  <c r="AW2574" i="3" s="1"/>
  <c r="AW2575" i="3" s="1"/>
  <c r="AW2576" i="3" s="1"/>
  <c r="AW2577" i="3" s="1"/>
  <c r="AW2578" i="3" s="1"/>
  <c r="AW2579" i="3" s="1"/>
  <c r="AW2580" i="3" s="1"/>
  <c r="AW2581" i="3" s="1"/>
  <c r="AW2582" i="3" s="1"/>
  <c r="AW2583" i="3" s="1"/>
  <c r="AW2584" i="3" s="1"/>
  <c r="AW2585" i="3" s="1"/>
  <c r="AW2586" i="3" s="1"/>
  <c r="AW2587" i="3" s="1"/>
  <c r="AW2588" i="3" s="1"/>
  <c r="AW2589" i="3" s="1"/>
  <c r="AW2590" i="3" s="1"/>
  <c r="AW2591" i="3" s="1"/>
  <c r="AW2592" i="3" s="1"/>
  <c r="AW2593" i="3" s="1"/>
  <c r="AW2594" i="3" s="1"/>
  <c r="AW2595" i="3" s="1"/>
  <c r="AW2596" i="3" s="1"/>
  <c r="AW2597" i="3" s="1"/>
  <c r="AW2598" i="3" s="1"/>
  <c r="AW2599" i="3" s="1"/>
  <c r="AW2600" i="3" s="1"/>
  <c r="AW2601" i="3" s="1"/>
  <c r="AW2602" i="3" s="1"/>
  <c r="AW2603" i="3" s="1"/>
  <c r="AW2604" i="3" s="1"/>
  <c r="AW2605" i="3" s="1"/>
  <c r="AW2606" i="3" s="1"/>
  <c r="AW2607" i="3" s="1"/>
  <c r="AW2608" i="3" s="1"/>
  <c r="AW2609" i="3" s="1"/>
  <c r="AW2610" i="3" s="1"/>
  <c r="AW2611" i="3" s="1"/>
  <c r="AW2612" i="3" s="1"/>
  <c r="AW2613" i="3" s="1"/>
  <c r="AW2614" i="3" s="1"/>
  <c r="AW2615" i="3" s="1"/>
  <c r="AW2616" i="3" s="1"/>
  <c r="AW2617" i="3" s="1"/>
  <c r="AW2618" i="3" s="1"/>
  <c r="AW2619" i="3" s="1"/>
  <c r="AW2620" i="3" s="1"/>
  <c r="AW2621" i="3" s="1"/>
  <c r="AW2622" i="3" s="1"/>
  <c r="AW2623" i="3" s="1"/>
  <c r="AW2624" i="3" s="1"/>
  <c r="AW2625" i="3" s="1"/>
  <c r="AW2626" i="3" s="1"/>
  <c r="AW2627" i="3" s="1"/>
  <c r="AW2628" i="3" s="1"/>
  <c r="AW2629" i="3" s="1"/>
  <c r="AW2630" i="3" s="1"/>
  <c r="AW2631" i="3" s="1"/>
  <c r="AW2632" i="3" s="1"/>
  <c r="AW2633" i="3" s="1"/>
  <c r="AW2634" i="3" s="1"/>
  <c r="AW2635" i="3" s="1"/>
  <c r="AW2636" i="3" s="1"/>
  <c r="AW2637" i="3" s="1"/>
  <c r="AW2638" i="3" s="1"/>
  <c r="AW2639" i="3" s="1"/>
  <c r="AW2640" i="3" s="1"/>
  <c r="AW2641" i="3" s="1"/>
  <c r="AW2642" i="3" s="1"/>
  <c r="AW2643" i="3" s="1"/>
  <c r="AW2644" i="3" s="1"/>
  <c r="AW2645" i="3" s="1"/>
  <c r="AW2646" i="3" s="1"/>
  <c r="AW2647" i="3" s="1"/>
  <c r="AW2648" i="3" s="1"/>
  <c r="AW2649" i="3" s="1"/>
  <c r="AW2650" i="3" s="1"/>
  <c r="AW2651" i="3" s="1"/>
  <c r="AW2652" i="3" s="1"/>
  <c r="AW2653" i="3" s="1"/>
  <c r="AW2654" i="3" s="1"/>
  <c r="AW2655" i="3" s="1"/>
  <c r="AW2656" i="3" s="1"/>
  <c r="AW2657" i="3" s="1"/>
  <c r="AW2658" i="3" s="1"/>
  <c r="AW2659" i="3" s="1"/>
  <c r="AW2660" i="3" s="1"/>
  <c r="AW2661" i="3" s="1"/>
  <c r="AW2662" i="3" s="1"/>
  <c r="AW2663" i="3" s="1"/>
  <c r="AW2664" i="3" s="1"/>
  <c r="AW2665" i="3" s="1"/>
  <c r="AW2666" i="3" s="1"/>
  <c r="AW2667" i="3" s="1"/>
  <c r="AW2668" i="3" s="1"/>
  <c r="AW2669" i="3" s="1"/>
  <c r="AW2670" i="3" s="1"/>
  <c r="AW2671" i="3" s="1"/>
  <c r="AW2672" i="3" s="1"/>
  <c r="AW2673" i="3" s="1"/>
  <c r="AW2674" i="3" s="1"/>
  <c r="AW2675" i="3" s="1"/>
  <c r="AW2676" i="3" s="1"/>
  <c r="AW2677" i="3" s="1"/>
  <c r="AW2678" i="3" s="1"/>
  <c r="AW2679" i="3" s="1"/>
  <c r="AW2680" i="3" s="1"/>
  <c r="AW2681" i="3" s="1"/>
  <c r="AW2682" i="3" s="1"/>
  <c r="AW2683" i="3" s="1"/>
  <c r="AW2684" i="3" s="1"/>
  <c r="AW2685" i="3" s="1"/>
  <c r="AW2686" i="3" s="1"/>
  <c r="AW2687" i="3" s="1"/>
  <c r="AW2688" i="3" s="1"/>
  <c r="AW2689" i="3" s="1"/>
  <c r="AW2690" i="3" s="1"/>
  <c r="AW2691" i="3" s="1"/>
  <c r="AW2692" i="3" s="1"/>
  <c r="AW2693" i="3" s="1"/>
  <c r="AW2694" i="3" s="1"/>
  <c r="AW2695" i="3" s="1"/>
  <c r="AW2696" i="3" s="1"/>
  <c r="AW2697" i="3" s="1"/>
  <c r="AW2698" i="3" s="1"/>
  <c r="AW2699" i="3" s="1"/>
  <c r="AW2700" i="3" s="1"/>
  <c r="AW2701" i="3" s="1"/>
  <c r="AW2702" i="3" s="1"/>
  <c r="AW2703" i="3" s="1"/>
  <c r="AW2704" i="3" s="1"/>
  <c r="AW2705" i="3" s="1"/>
  <c r="AW2706" i="3" s="1"/>
  <c r="AW2707" i="3" s="1"/>
  <c r="AW2708" i="3" s="1"/>
  <c r="AW2709" i="3" s="1"/>
  <c r="AW2710" i="3" s="1"/>
  <c r="AW2711" i="3" s="1"/>
  <c r="AW2712" i="3" s="1"/>
  <c r="AW2713" i="3" s="1"/>
  <c r="AW2714" i="3" s="1"/>
  <c r="AW2715" i="3" s="1"/>
  <c r="AW2716" i="3" s="1"/>
  <c r="AW2717" i="3" s="1"/>
  <c r="AW2718" i="3" s="1"/>
  <c r="AW2719" i="3" s="1"/>
  <c r="AW2720" i="3" s="1"/>
  <c r="AW2721" i="3" s="1"/>
  <c r="AW2722" i="3" s="1"/>
  <c r="AW2723" i="3" s="1"/>
  <c r="AW2724" i="3" s="1"/>
  <c r="AW2725" i="3" s="1"/>
  <c r="AW2726" i="3" s="1"/>
  <c r="AW2727" i="3" s="1"/>
  <c r="AW2728" i="3" s="1"/>
  <c r="AW2729" i="3" s="1"/>
  <c r="AW2730" i="3" s="1"/>
  <c r="AW2731" i="3" s="1"/>
  <c r="AW2732" i="3" s="1"/>
  <c r="AW2733" i="3" s="1"/>
  <c r="AW2734" i="3" s="1"/>
  <c r="AW2735" i="3" s="1"/>
  <c r="AW2736" i="3" s="1"/>
  <c r="AW2737" i="3" s="1"/>
  <c r="AW2738" i="3" s="1"/>
  <c r="AW2739" i="3" s="1"/>
  <c r="AW2740" i="3" s="1"/>
  <c r="AW2741" i="3" s="1"/>
  <c r="AW2742" i="3" s="1"/>
  <c r="AW2743" i="3" s="1"/>
  <c r="AW2744" i="3" s="1"/>
  <c r="AW2745" i="3" s="1"/>
  <c r="AW2746" i="3" s="1"/>
  <c r="AW2747" i="3" s="1"/>
  <c r="AW2748" i="3" s="1"/>
  <c r="AW2749" i="3" s="1"/>
  <c r="AW2750" i="3" s="1"/>
  <c r="AW2751" i="3" s="1"/>
  <c r="AW2752" i="3" s="1"/>
  <c r="AW2753" i="3" s="1"/>
  <c r="AW2754" i="3" s="1"/>
  <c r="AW2755" i="3" s="1"/>
  <c r="AW2756" i="3" s="1"/>
  <c r="AW2757" i="3" s="1"/>
  <c r="AW2758" i="3" s="1"/>
  <c r="AW2759" i="3" s="1"/>
  <c r="AW2760" i="3" s="1"/>
  <c r="AW2761" i="3" s="1"/>
  <c r="AW2762" i="3" s="1"/>
  <c r="AW2763" i="3" s="1"/>
  <c r="AW2764" i="3" s="1"/>
  <c r="AW2765" i="3" s="1"/>
  <c r="AW2766" i="3" s="1"/>
  <c r="AW2767" i="3" s="1"/>
  <c r="AW2768" i="3" s="1"/>
  <c r="AW2769" i="3" s="1"/>
  <c r="AW2770" i="3" s="1"/>
  <c r="AW2771" i="3" s="1"/>
  <c r="AW2772" i="3" s="1"/>
  <c r="AW2773" i="3" s="1"/>
  <c r="AW2774" i="3" s="1"/>
  <c r="AW2775" i="3" s="1"/>
  <c r="AW2776" i="3" s="1"/>
  <c r="AW2777" i="3" s="1"/>
  <c r="AW2778" i="3" s="1"/>
  <c r="AW2779" i="3" s="1"/>
  <c r="AW2780" i="3" s="1"/>
  <c r="AW2781" i="3" s="1"/>
  <c r="AW2782" i="3" s="1"/>
  <c r="AW2783" i="3" s="1"/>
  <c r="AW2784" i="3" s="1"/>
  <c r="AW2785" i="3" s="1"/>
  <c r="AW2786" i="3" s="1"/>
  <c r="AW2787" i="3" s="1"/>
  <c r="AW2788" i="3" s="1"/>
  <c r="AW2789" i="3" s="1"/>
  <c r="AW2790" i="3" s="1"/>
  <c r="AW2791" i="3" s="1"/>
  <c r="AW2792" i="3" s="1"/>
  <c r="AW2793" i="3" s="1"/>
  <c r="AW2794" i="3" s="1"/>
  <c r="AW2795" i="3" s="1"/>
  <c r="AW2796" i="3" s="1"/>
  <c r="AW2797" i="3" s="1"/>
  <c r="AW2798" i="3" s="1"/>
  <c r="AW2799" i="3" s="1"/>
  <c r="AW2800" i="3" s="1"/>
  <c r="AW2801" i="3" s="1"/>
  <c r="AW2802" i="3" s="1"/>
  <c r="AW2803" i="3" s="1"/>
  <c r="AW2804" i="3" s="1"/>
  <c r="AW2805" i="3" s="1"/>
  <c r="AW2806" i="3" s="1"/>
  <c r="AW2807" i="3" s="1"/>
  <c r="AW2808" i="3" s="1"/>
  <c r="AW2809" i="3" s="1"/>
  <c r="AW2810" i="3" s="1"/>
  <c r="AW2811" i="3" s="1"/>
  <c r="AW2812" i="3" s="1"/>
  <c r="AW2813" i="3" s="1"/>
  <c r="AW2814" i="3" s="1"/>
  <c r="AW2815" i="3" s="1"/>
  <c r="AW2816" i="3" s="1"/>
  <c r="AW2817" i="3" s="1"/>
  <c r="AW2818" i="3" s="1"/>
  <c r="AW2819" i="3" s="1"/>
  <c r="AW2820" i="3" s="1"/>
  <c r="AW2821" i="3" s="1"/>
  <c r="AW2822" i="3" s="1"/>
  <c r="AW2823" i="3" s="1"/>
  <c r="AW2824" i="3" s="1"/>
  <c r="AW2825" i="3" s="1"/>
  <c r="AW2826" i="3" s="1"/>
  <c r="AW2827" i="3" s="1"/>
  <c r="AW2828" i="3" s="1"/>
  <c r="AW2829" i="3" s="1"/>
  <c r="AW2830" i="3" s="1"/>
  <c r="AW2831" i="3" s="1"/>
  <c r="AW2832" i="3" s="1"/>
  <c r="AW2833" i="3" s="1"/>
  <c r="AW2834" i="3" s="1"/>
  <c r="AW2835" i="3" s="1"/>
  <c r="AW2836" i="3" s="1"/>
  <c r="AW2837" i="3" s="1"/>
  <c r="AW2838" i="3" s="1"/>
  <c r="AW2839" i="3" s="1"/>
  <c r="AW2840" i="3" s="1"/>
  <c r="AW2841" i="3" s="1"/>
  <c r="AW2842" i="3" s="1"/>
  <c r="AW2843" i="3" s="1"/>
  <c r="AW2844" i="3" s="1"/>
  <c r="AW2845" i="3" s="1"/>
  <c r="AW2846" i="3" s="1"/>
  <c r="AW2847" i="3" s="1"/>
  <c r="AW2848" i="3" s="1"/>
  <c r="AW2849" i="3" s="1"/>
  <c r="AW2850" i="3" s="1"/>
  <c r="AW2851" i="3" s="1"/>
  <c r="AW2852" i="3" s="1"/>
  <c r="AW2853" i="3" s="1"/>
  <c r="AW2854" i="3" s="1"/>
  <c r="AW2855" i="3" s="1"/>
  <c r="AW2856" i="3" s="1"/>
  <c r="AW2857" i="3" s="1"/>
  <c r="AW2858" i="3" s="1"/>
  <c r="AW2859" i="3" s="1"/>
  <c r="AW2860" i="3" s="1"/>
  <c r="AW2861" i="3" s="1"/>
  <c r="AW2862" i="3" s="1"/>
  <c r="AW2863" i="3" s="1"/>
  <c r="AW2864" i="3" s="1"/>
  <c r="AW2865" i="3" s="1"/>
  <c r="AW2866" i="3" s="1"/>
  <c r="AW2867" i="3" s="1"/>
  <c r="AW2868" i="3" s="1"/>
  <c r="AW2869" i="3" s="1"/>
  <c r="AW2870" i="3" s="1"/>
  <c r="AW2871" i="3" s="1"/>
  <c r="AW2872" i="3" s="1"/>
  <c r="AW2873" i="3" s="1"/>
  <c r="AW2874" i="3" s="1"/>
  <c r="AW2875" i="3" s="1"/>
  <c r="AW2876" i="3" s="1"/>
  <c r="AW2877" i="3" s="1"/>
  <c r="AW2878" i="3" s="1"/>
  <c r="AW2879" i="3" s="1"/>
  <c r="AW2880" i="3" s="1"/>
  <c r="AW2881" i="3" s="1"/>
  <c r="AW2882" i="3" s="1"/>
  <c r="AW2883" i="3" s="1"/>
  <c r="AW2884" i="3" s="1"/>
  <c r="AW2885" i="3" s="1"/>
  <c r="AW2886" i="3" s="1"/>
  <c r="AW2887" i="3" s="1"/>
  <c r="AW2888" i="3" s="1"/>
  <c r="AW2889" i="3" s="1"/>
  <c r="AW2890" i="3" s="1"/>
  <c r="AW2891" i="3" s="1"/>
  <c r="AW2892" i="3" s="1"/>
  <c r="AW2893" i="3" s="1"/>
  <c r="AW2894" i="3" s="1"/>
  <c r="AW2895" i="3" s="1"/>
  <c r="AW2896" i="3" s="1"/>
  <c r="AW2897" i="3" s="1"/>
  <c r="AW2898" i="3" s="1"/>
  <c r="AW2899" i="3" s="1"/>
  <c r="AW2900" i="3" s="1"/>
  <c r="AW2901" i="3" s="1"/>
  <c r="AW2902" i="3" s="1"/>
  <c r="AW2903" i="3" s="1"/>
  <c r="AW2904" i="3" s="1"/>
  <c r="AW2905" i="3" s="1"/>
  <c r="AW2906" i="3" s="1"/>
  <c r="AW2907" i="3" s="1"/>
  <c r="AW2908" i="3" s="1"/>
  <c r="AW2909" i="3" s="1"/>
  <c r="AW2910" i="3" s="1"/>
  <c r="AW2911" i="3" s="1"/>
  <c r="AW2912" i="3" s="1"/>
  <c r="AW2913" i="3" s="1"/>
  <c r="AW2914" i="3" s="1"/>
  <c r="AW2915" i="3" s="1"/>
  <c r="AW2916" i="3" s="1"/>
  <c r="AW2917" i="3" s="1"/>
  <c r="AW2918" i="3" s="1"/>
  <c r="AW2919" i="3" s="1"/>
  <c r="AW2920" i="3" s="1"/>
  <c r="AW2921" i="3" s="1"/>
  <c r="AW2922" i="3" s="1"/>
  <c r="AW2923" i="3" s="1"/>
  <c r="AW2924" i="3" s="1"/>
  <c r="AW2925" i="3" s="1"/>
  <c r="AW2926" i="3" s="1"/>
  <c r="AW2927" i="3" s="1"/>
  <c r="AW2928" i="3" s="1"/>
  <c r="AW2929" i="3" s="1"/>
  <c r="AW2930" i="3" s="1"/>
  <c r="AW2931" i="3" s="1"/>
  <c r="AW2932" i="3" s="1"/>
  <c r="AW2933" i="3" s="1"/>
  <c r="AW2934" i="3" s="1"/>
  <c r="AW2935" i="3" s="1"/>
  <c r="AW2936" i="3" s="1"/>
  <c r="AW2937" i="3" s="1"/>
  <c r="AW2938" i="3" s="1"/>
  <c r="AW2939" i="3" s="1"/>
  <c r="AW2940" i="3" s="1"/>
  <c r="AW2941" i="3" s="1"/>
  <c r="AW2942" i="3" s="1"/>
  <c r="AW2943" i="3" s="1"/>
  <c r="AW2944" i="3" s="1"/>
  <c r="AW2945" i="3" s="1"/>
  <c r="AW2946" i="3" s="1"/>
  <c r="AW2947" i="3" s="1"/>
  <c r="AW2948" i="3" s="1"/>
  <c r="AW2949" i="3" s="1"/>
  <c r="AW2950" i="3" s="1"/>
  <c r="AW2951" i="3" s="1"/>
  <c r="AW2952" i="3" s="1"/>
  <c r="AW2953" i="3" s="1"/>
  <c r="AW2954" i="3" s="1"/>
  <c r="AW2955" i="3" s="1"/>
  <c r="AW2956" i="3" s="1"/>
  <c r="AW2957" i="3" s="1"/>
  <c r="AW2958" i="3" s="1"/>
  <c r="AW2959" i="3" s="1"/>
  <c r="AW2960" i="3" s="1"/>
  <c r="AW2961" i="3" s="1"/>
  <c r="AW2962" i="3" s="1"/>
  <c r="AW2963" i="3" s="1"/>
  <c r="AW2964" i="3" s="1"/>
  <c r="AW2965" i="3" s="1"/>
  <c r="AW2966" i="3" s="1"/>
  <c r="AW2967" i="3" s="1"/>
  <c r="AW2968" i="3" s="1"/>
  <c r="AW2969" i="3" s="1"/>
  <c r="AW2970" i="3" s="1"/>
  <c r="AW2971" i="3" s="1"/>
  <c r="AW2972" i="3" s="1"/>
  <c r="AW2973" i="3" s="1"/>
  <c r="AW2974" i="3" s="1"/>
  <c r="AW2975" i="3" s="1"/>
  <c r="AW2976" i="3" s="1"/>
  <c r="AW2977" i="3" s="1"/>
  <c r="AW2978" i="3" s="1"/>
  <c r="AW2979" i="3" s="1"/>
  <c r="AW2980" i="3" s="1"/>
  <c r="AW2981" i="3" s="1"/>
  <c r="AW2982" i="3" s="1"/>
  <c r="AW2983" i="3" s="1"/>
  <c r="AW2984" i="3" s="1"/>
  <c r="AW2985" i="3" s="1"/>
  <c r="AW2986" i="3" s="1"/>
  <c r="AW2987" i="3" s="1"/>
  <c r="AW2988" i="3" s="1"/>
  <c r="AW2989" i="3" s="1"/>
  <c r="AW2990" i="3" s="1"/>
  <c r="AW2991" i="3" s="1"/>
  <c r="AW2992" i="3" s="1"/>
  <c r="AW2993" i="3" s="1"/>
  <c r="AW2994" i="3" s="1"/>
  <c r="AW2995" i="3" s="1"/>
  <c r="AW2996" i="3" s="1"/>
  <c r="AW2997" i="3" s="1"/>
  <c r="AW2998" i="3" s="1"/>
  <c r="AW2999" i="3" s="1"/>
  <c r="AW3000" i="3" s="1"/>
  <c r="AW3001" i="3" s="1"/>
  <c r="AW3002" i="3" s="1"/>
  <c r="AW3003" i="3" s="1"/>
  <c r="AW3004" i="3" s="1"/>
  <c r="AW3005" i="3" s="1"/>
  <c r="AW3006" i="3" s="1"/>
  <c r="AW3007" i="3" s="1"/>
  <c r="AW3008" i="3" s="1"/>
  <c r="AW3009" i="3" s="1"/>
  <c r="AW3010" i="3" s="1"/>
  <c r="AW3011" i="3" s="1"/>
  <c r="AW3012" i="3" s="1"/>
  <c r="AW3013" i="3" s="1"/>
  <c r="AW3014" i="3" s="1"/>
  <c r="AW3015" i="3" s="1"/>
  <c r="AW3016" i="3" s="1"/>
  <c r="AW3017" i="3" s="1"/>
  <c r="AW3018" i="3" s="1"/>
  <c r="AW3019" i="3" s="1"/>
  <c r="AW3020" i="3" s="1"/>
  <c r="AW3021" i="3" s="1"/>
  <c r="AW3022" i="3" s="1"/>
  <c r="AW3023" i="3" s="1"/>
  <c r="AW3024" i="3" s="1"/>
  <c r="AW3025" i="3" s="1"/>
  <c r="AW3026" i="3" s="1"/>
  <c r="AW3027" i="3" s="1"/>
  <c r="AW3028" i="3" s="1"/>
  <c r="AW3029" i="3" s="1"/>
  <c r="AW3030" i="3" s="1"/>
  <c r="AW3031" i="3" s="1"/>
  <c r="AW3032" i="3" s="1"/>
  <c r="AW3033" i="3" s="1"/>
  <c r="AW3034" i="3" s="1"/>
  <c r="AW3035" i="3" s="1"/>
  <c r="AW3036" i="3" s="1"/>
  <c r="AW3037" i="3" s="1"/>
  <c r="AW3038" i="3" s="1"/>
  <c r="AW3039" i="3" s="1"/>
  <c r="AW3040" i="3" s="1"/>
  <c r="AW3041" i="3" s="1"/>
  <c r="AW3042" i="3" s="1"/>
  <c r="AW3043" i="3" s="1"/>
  <c r="AW3044" i="3" s="1"/>
  <c r="AW3045" i="3" s="1"/>
  <c r="AW3046" i="3" s="1"/>
  <c r="AW3047" i="3" s="1"/>
  <c r="AW3048" i="3" s="1"/>
  <c r="AW3049" i="3" s="1"/>
  <c r="AW3050" i="3" s="1"/>
  <c r="AW3051" i="3" s="1"/>
  <c r="AW3052" i="3" s="1"/>
  <c r="AW3053" i="3" s="1"/>
  <c r="AW3054" i="3" s="1"/>
  <c r="AW3055" i="3" s="1"/>
  <c r="AW3056" i="3" s="1"/>
  <c r="AW3057" i="3" s="1"/>
  <c r="AW3058" i="3" s="1"/>
  <c r="AW3059" i="3" s="1"/>
  <c r="AW3060" i="3" s="1"/>
  <c r="AW3061" i="3" s="1"/>
  <c r="AW3062" i="3" s="1"/>
  <c r="AW3063" i="3" s="1"/>
  <c r="AW3064" i="3" s="1"/>
  <c r="AW3065" i="3" s="1"/>
  <c r="AW3066" i="3" s="1"/>
  <c r="AW3067" i="3" s="1"/>
  <c r="AW3068" i="3" s="1"/>
  <c r="AW3069" i="3" s="1"/>
  <c r="AW3070" i="3" s="1"/>
  <c r="AW3071" i="3" s="1"/>
  <c r="AW3072" i="3" s="1"/>
  <c r="AW3073" i="3" s="1"/>
  <c r="AW3074" i="3" s="1"/>
  <c r="AW3075" i="3" s="1"/>
  <c r="AW3076" i="3" s="1"/>
  <c r="AW3077" i="3" s="1"/>
  <c r="AW3078" i="3" s="1"/>
  <c r="AW3079" i="3" s="1"/>
  <c r="AW3080" i="3" s="1"/>
  <c r="AW3081" i="3" s="1"/>
  <c r="AW3082" i="3" s="1"/>
  <c r="AW3083" i="3" s="1"/>
  <c r="AW3084" i="3" s="1"/>
  <c r="AW3085" i="3" s="1"/>
  <c r="AW3086" i="3" s="1"/>
  <c r="AW3087" i="3" s="1"/>
  <c r="AW3088" i="3" s="1"/>
  <c r="AW3089" i="3" s="1"/>
  <c r="AW3090" i="3" s="1"/>
  <c r="AW3091" i="3" s="1"/>
  <c r="AW3092" i="3" s="1"/>
  <c r="AW3093" i="3" s="1"/>
  <c r="AW3094" i="3" s="1"/>
  <c r="AW3095" i="3" s="1"/>
  <c r="AW3096" i="3" s="1"/>
  <c r="AW3097" i="3" s="1"/>
  <c r="AW3098" i="3" s="1"/>
  <c r="AW3099" i="3" s="1"/>
  <c r="AW3100" i="3" s="1"/>
  <c r="AW3101" i="3" s="1"/>
  <c r="AW3102" i="3" s="1"/>
  <c r="AW3103" i="3" s="1"/>
  <c r="AW3104" i="3" s="1"/>
  <c r="AW3105" i="3" s="1"/>
  <c r="AW3106" i="3" s="1"/>
  <c r="AW3107" i="3" s="1"/>
  <c r="AW3108" i="3" s="1"/>
  <c r="AW3109" i="3" s="1"/>
  <c r="AW3110" i="3" s="1"/>
  <c r="AW3111" i="3" s="1"/>
  <c r="AW3112" i="3" s="1"/>
  <c r="AW3113" i="3" s="1"/>
  <c r="AW3114" i="3" s="1"/>
  <c r="AW3115" i="3" s="1"/>
  <c r="AW3116" i="3" s="1"/>
  <c r="AW3117" i="3" s="1"/>
  <c r="AW3118" i="3" s="1"/>
  <c r="AW3119" i="3" s="1"/>
  <c r="AW3120" i="3" s="1"/>
  <c r="AW3121" i="3" s="1"/>
  <c r="AW3122" i="3" s="1"/>
  <c r="AW3123" i="3" s="1"/>
  <c r="AW3124" i="3" s="1"/>
  <c r="AW3125" i="3" s="1"/>
  <c r="AW3126" i="3" s="1"/>
  <c r="AW3127" i="3" s="1"/>
  <c r="AW3128" i="3" s="1"/>
  <c r="AW3129" i="3" s="1"/>
  <c r="AW3130" i="3" s="1"/>
  <c r="AW3131" i="3" s="1"/>
  <c r="AW3132" i="3" s="1"/>
  <c r="AW3133" i="3" s="1"/>
  <c r="AW3134" i="3" s="1"/>
  <c r="AW3135" i="3" s="1"/>
  <c r="AW3136" i="3" s="1"/>
  <c r="AW3137" i="3" s="1"/>
  <c r="AW3138" i="3" s="1"/>
  <c r="AW3139" i="3" s="1"/>
  <c r="AW3140" i="3" s="1"/>
  <c r="AW3141" i="3" s="1"/>
  <c r="AW3142" i="3" s="1"/>
  <c r="AW3143" i="3" s="1"/>
  <c r="AW3144" i="3" s="1"/>
  <c r="AW3145" i="3" s="1"/>
  <c r="AW3146" i="3" s="1"/>
  <c r="AW3147" i="3" s="1"/>
  <c r="AW3148" i="3" s="1"/>
  <c r="AW3149" i="3" s="1"/>
  <c r="AW3150" i="3" s="1"/>
  <c r="AW3151" i="3" s="1"/>
  <c r="AW3152" i="3" s="1"/>
  <c r="AW3153" i="3" s="1"/>
  <c r="AW3154" i="3" s="1"/>
  <c r="AW3155" i="3" s="1"/>
  <c r="AW3156" i="3" s="1"/>
  <c r="AW3157" i="3" s="1"/>
  <c r="AW3158" i="3" s="1"/>
  <c r="AW3159" i="3" s="1"/>
  <c r="AW3160" i="3" s="1"/>
  <c r="AW3161" i="3" s="1"/>
  <c r="AW3162" i="3" s="1"/>
  <c r="AW3163" i="3" s="1"/>
  <c r="AW3164" i="3" s="1"/>
  <c r="AW3165" i="3" s="1"/>
  <c r="AW3166" i="3" s="1"/>
  <c r="AW3167" i="3" s="1"/>
  <c r="AW3168" i="3" s="1"/>
  <c r="AW3169" i="3" s="1"/>
  <c r="AW3170" i="3" s="1"/>
  <c r="AW3171" i="3" s="1"/>
  <c r="AW3172" i="3" s="1"/>
  <c r="AW3173" i="3" s="1"/>
  <c r="AW3174" i="3" s="1"/>
  <c r="AW3175" i="3" s="1"/>
  <c r="AW3176" i="3" s="1"/>
  <c r="AW3177" i="3" s="1"/>
  <c r="AW3178" i="3" s="1"/>
  <c r="AW3179" i="3" s="1"/>
  <c r="AW3180" i="3" s="1"/>
  <c r="AW3181" i="3" s="1"/>
  <c r="AW3182" i="3" s="1"/>
  <c r="AW3183" i="3" s="1"/>
  <c r="AW3184" i="3" s="1"/>
  <c r="AW3185" i="3" s="1"/>
  <c r="AW3186" i="3" s="1"/>
  <c r="AW3187" i="3" s="1"/>
  <c r="AW3188" i="3" s="1"/>
  <c r="AW3189" i="3" s="1"/>
  <c r="AW3190" i="3" s="1"/>
  <c r="AW3191" i="3" s="1"/>
  <c r="AW3192" i="3" s="1"/>
  <c r="AW3193" i="3" s="1"/>
  <c r="AW3194" i="3" s="1"/>
  <c r="AW3195" i="3" s="1"/>
  <c r="AW3196" i="3" s="1"/>
  <c r="AW3197" i="3" s="1"/>
  <c r="AW3198" i="3" s="1"/>
  <c r="AW3199" i="3" s="1"/>
  <c r="AW3200" i="3" s="1"/>
  <c r="AW3201" i="3" s="1"/>
  <c r="AW3202" i="3" s="1"/>
  <c r="AW3203" i="3" s="1"/>
  <c r="AW3204" i="3" s="1"/>
  <c r="AW3205" i="3" s="1"/>
  <c r="AW3206" i="3" s="1"/>
  <c r="AW3207" i="3" s="1"/>
  <c r="AW3208" i="3" s="1"/>
  <c r="AW3209" i="3" s="1"/>
  <c r="AW3210" i="3" s="1"/>
  <c r="AW3211" i="3" s="1"/>
  <c r="AW3212" i="3" s="1"/>
  <c r="AW3213" i="3" s="1"/>
  <c r="AW3214" i="3" s="1"/>
  <c r="AW3215" i="3" s="1"/>
  <c r="AW3216" i="3" s="1"/>
  <c r="AW3217" i="3" s="1"/>
  <c r="AW3218" i="3" s="1"/>
  <c r="AW3219" i="3" s="1"/>
  <c r="AW3220" i="3" s="1"/>
  <c r="AW3221" i="3" s="1"/>
  <c r="AW3222" i="3" s="1"/>
  <c r="AW3223" i="3" s="1"/>
  <c r="AW3224" i="3" s="1"/>
  <c r="AW3225" i="3" s="1"/>
  <c r="AW3226" i="3" s="1"/>
  <c r="AW3227" i="3" s="1"/>
  <c r="AW3228" i="3" s="1"/>
  <c r="AW3229" i="3" s="1"/>
  <c r="AW3230" i="3" s="1"/>
  <c r="AW3231" i="3" s="1"/>
  <c r="AW3232" i="3" s="1"/>
  <c r="AW3233" i="3" s="1"/>
  <c r="AW3234" i="3" s="1"/>
  <c r="AW3235" i="3" s="1"/>
  <c r="AW3236" i="3" s="1"/>
  <c r="AW3237" i="3" s="1"/>
  <c r="AW3238" i="3" s="1"/>
  <c r="AW3239" i="3" s="1"/>
  <c r="AW3240" i="3" s="1"/>
  <c r="AW3241" i="3" s="1"/>
  <c r="AW3242" i="3" s="1"/>
  <c r="AW3243" i="3" s="1"/>
  <c r="AW3244" i="3" s="1"/>
  <c r="AW3245" i="3" s="1"/>
  <c r="AW3246" i="3" s="1"/>
  <c r="AW3247" i="3" s="1"/>
  <c r="AW3248" i="3" s="1"/>
  <c r="AW3249" i="3" s="1"/>
  <c r="AW3250" i="3" s="1"/>
  <c r="AW3251" i="3" s="1"/>
  <c r="AW3252" i="3" s="1"/>
  <c r="AW3253" i="3" s="1"/>
  <c r="AW3254" i="3" s="1"/>
  <c r="AW3255" i="3" s="1"/>
  <c r="AW3256" i="3" s="1"/>
  <c r="AW3257" i="3" s="1"/>
  <c r="AW3258" i="3" s="1"/>
  <c r="AW3259" i="3" s="1"/>
  <c r="AW3260" i="3" s="1"/>
  <c r="AW3261" i="3" s="1"/>
  <c r="AW3262" i="3" s="1"/>
  <c r="AW3263" i="3" s="1"/>
  <c r="AW3264" i="3" s="1"/>
  <c r="AW3265" i="3" s="1"/>
  <c r="AW3266" i="3" s="1"/>
  <c r="AW3267" i="3" s="1"/>
  <c r="AW3268" i="3" s="1"/>
  <c r="AW3269" i="3" s="1"/>
  <c r="AW3270" i="3" s="1"/>
  <c r="AW3271" i="3" s="1"/>
  <c r="AW3272" i="3" s="1"/>
  <c r="AW3273" i="3" s="1"/>
  <c r="AW3274" i="3" s="1"/>
  <c r="AW3275" i="3" s="1"/>
  <c r="AW3276" i="3" s="1"/>
  <c r="AW3277" i="3" s="1"/>
  <c r="AW3278" i="3" s="1"/>
  <c r="AW3279" i="3" s="1"/>
  <c r="AW3280" i="3" s="1"/>
  <c r="AW3281" i="3" s="1"/>
  <c r="AW3282" i="3" s="1"/>
  <c r="AW3283" i="3" s="1"/>
  <c r="AW3284" i="3" s="1"/>
  <c r="AW3285" i="3" s="1"/>
  <c r="AW3286" i="3" s="1"/>
  <c r="AW3287" i="3" s="1"/>
  <c r="AW3288" i="3" s="1"/>
  <c r="AW3289" i="3" s="1"/>
  <c r="AW3290" i="3" s="1"/>
  <c r="AW3291" i="3" s="1"/>
  <c r="AW3292" i="3" s="1"/>
  <c r="AW3293" i="3" s="1"/>
  <c r="AW3294" i="3" s="1"/>
  <c r="AW3295" i="3" s="1"/>
  <c r="AW3296" i="3" s="1"/>
  <c r="AW3297" i="3" s="1"/>
  <c r="AW3298" i="3" s="1"/>
  <c r="AW3299" i="3" s="1"/>
  <c r="AW3300" i="3" s="1"/>
  <c r="AW3301" i="3" s="1"/>
  <c r="AW3302" i="3" s="1"/>
  <c r="AW3303" i="3" s="1"/>
  <c r="AW3304" i="3" s="1"/>
  <c r="AW3305" i="3" s="1"/>
  <c r="AW3306" i="3" s="1"/>
  <c r="AW3307" i="3" s="1"/>
  <c r="AW3308" i="3" s="1"/>
  <c r="AW3309" i="3" s="1"/>
  <c r="AW3310" i="3" s="1"/>
  <c r="AW3311" i="3" s="1"/>
  <c r="AW3312" i="3" s="1"/>
  <c r="AW3313" i="3" s="1"/>
  <c r="AW3314" i="3" s="1"/>
  <c r="AW3315" i="3" s="1"/>
  <c r="AW3316" i="3" s="1"/>
  <c r="AW3317" i="3" s="1"/>
  <c r="AW3318" i="3" s="1"/>
  <c r="AW3319" i="3" s="1"/>
  <c r="AW3320" i="3" s="1"/>
  <c r="AW3321" i="3" s="1"/>
  <c r="AW3322" i="3" s="1"/>
  <c r="AW3323" i="3" s="1"/>
  <c r="AW3324" i="3" s="1"/>
  <c r="AW3325" i="3" s="1"/>
  <c r="AW3326" i="3" s="1"/>
  <c r="AW3327" i="3" s="1"/>
  <c r="AW3328" i="3" s="1"/>
  <c r="AW3329" i="3" s="1"/>
  <c r="AW3330" i="3" s="1"/>
  <c r="AW3331" i="3" s="1"/>
  <c r="AW3332" i="3" s="1"/>
  <c r="AW3333" i="3" s="1"/>
  <c r="AW3334" i="3" s="1"/>
  <c r="AW3335" i="3" s="1"/>
  <c r="AW3336" i="3" s="1"/>
  <c r="AW3337" i="3" s="1"/>
  <c r="AW3338" i="3" s="1"/>
  <c r="AW3339" i="3" s="1"/>
  <c r="AW3340" i="3" s="1"/>
  <c r="AW3341" i="3" s="1"/>
  <c r="AW3342" i="3" s="1"/>
  <c r="AW3343" i="3" s="1"/>
  <c r="AW3344" i="3" s="1"/>
  <c r="AW3345" i="3" s="1"/>
  <c r="AW3346" i="3" s="1"/>
  <c r="AW3347" i="3" s="1"/>
  <c r="AW3348" i="3" s="1"/>
  <c r="AW3349" i="3" s="1"/>
  <c r="AW3350" i="3" s="1"/>
  <c r="AW3351" i="3" s="1"/>
  <c r="AW3352" i="3" s="1"/>
  <c r="AW3353" i="3" s="1"/>
  <c r="AW3354" i="3" s="1"/>
  <c r="AW3355" i="3" s="1"/>
  <c r="AW3356" i="3" s="1"/>
  <c r="AW3357" i="3" s="1"/>
  <c r="AW3358" i="3" s="1"/>
  <c r="AW3359" i="3" s="1"/>
  <c r="AW3360" i="3" s="1"/>
  <c r="AW3361" i="3" s="1"/>
  <c r="AW3362" i="3" s="1"/>
  <c r="AW3363" i="3" s="1"/>
  <c r="AW3364" i="3" s="1"/>
  <c r="AW3365" i="3" s="1"/>
  <c r="AW3366" i="3" s="1"/>
  <c r="AW3367" i="3" s="1"/>
  <c r="AW3368" i="3" s="1"/>
  <c r="AW3369" i="3" s="1"/>
  <c r="AW3370" i="3" s="1"/>
  <c r="AW3371" i="3" s="1"/>
  <c r="AW3372" i="3" s="1"/>
  <c r="AW3373" i="3" s="1"/>
  <c r="AW3374" i="3" s="1"/>
  <c r="AW3375" i="3" s="1"/>
  <c r="AW3376" i="3" s="1"/>
  <c r="AW3377" i="3" s="1"/>
  <c r="AW3378" i="3" s="1"/>
  <c r="AW3379" i="3" s="1"/>
  <c r="AW3380" i="3" s="1"/>
  <c r="AW3381" i="3" s="1"/>
  <c r="AW3382" i="3" s="1"/>
  <c r="AW3383" i="3" s="1"/>
  <c r="AW3384" i="3" s="1"/>
  <c r="AW3385" i="3" s="1"/>
  <c r="AW3386" i="3" s="1"/>
  <c r="AW3387" i="3" s="1"/>
  <c r="AW3388" i="3" s="1"/>
  <c r="AW3389" i="3" s="1"/>
  <c r="AW3390" i="3" s="1"/>
  <c r="AW3391" i="3" s="1"/>
  <c r="AW3392" i="3" s="1"/>
  <c r="AW3393" i="3" s="1"/>
  <c r="AW3394" i="3" s="1"/>
  <c r="AW3395" i="3" s="1"/>
  <c r="AW3396" i="3" s="1"/>
  <c r="AW3397" i="3" s="1"/>
  <c r="AW3398" i="3" s="1"/>
  <c r="AW3399" i="3" s="1"/>
  <c r="AW3400" i="3" s="1"/>
  <c r="AW3401" i="3" s="1"/>
  <c r="AW3402" i="3" s="1"/>
  <c r="AW3403" i="3" s="1"/>
  <c r="AW3404" i="3" s="1"/>
  <c r="AW3405" i="3" s="1"/>
  <c r="AW3406" i="3" s="1"/>
  <c r="AW3407" i="3" s="1"/>
  <c r="AW3408" i="3" s="1"/>
  <c r="AW3409" i="3" s="1"/>
  <c r="AW3410" i="3" s="1"/>
  <c r="AW3411" i="3" s="1"/>
  <c r="AW3412" i="3" s="1"/>
  <c r="AW3413" i="3" s="1"/>
  <c r="AW3414" i="3" s="1"/>
  <c r="AW3415" i="3" s="1"/>
  <c r="AW3416" i="3" s="1"/>
  <c r="AW3417" i="3" s="1"/>
  <c r="AW3418" i="3" s="1"/>
  <c r="AW3419" i="3" s="1"/>
  <c r="AW3420" i="3" s="1"/>
  <c r="AW3421" i="3" s="1"/>
  <c r="AW3422" i="3" s="1"/>
  <c r="AW3423" i="3" s="1"/>
  <c r="AW3424" i="3" s="1"/>
  <c r="AW3425" i="3" s="1"/>
  <c r="AW3426" i="3" s="1"/>
  <c r="AW3427" i="3" s="1"/>
  <c r="AW3428" i="3" s="1"/>
  <c r="AW3429" i="3" s="1"/>
  <c r="AW3430" i="3" s="1"/>
  <c r="AW3431" i="3" s="1"/>
  <c r="AW3432" i="3" s="1"/>
  <c r="AW3433" i="3" s="1"/>
  <c r="AW3434" i="3" s="1"/>
  <c r="AW3435" i="3" s="1"/>
  <c r="AW3436" i="3" s="1"/>
  <c r="AW3437" i="3" s="1"/>
  <c r="AW3438" i="3" s="1"/>
  <c r="AW3439" i="3" s="1"/>
  <c r="AW3440" i="3" s="1"/>
  <c r="AW3441" i="3" s="1"/>
  <c r="AW3442" i="3" s="1"/>
  <c r="AW3443" i="3" s="1"/>
  <c r="AW3444" i="3" s="1"/>
  <c r="AW3445" i="3" s="1"/>
  <c r="AW3446" i="3" s="1"/>
  <c r="AW3447" i="3" s="1"/>
  <c r="AW3448" i="3" s="1"/>
  <c r="AW3449" i="3" s="1"/>
  <c r="AW3450" i="3" s="1"/>
  <c r="AW3451" i="3" s="1"/>
  <c r="AW3452" i="3" s="1"/>
  <c r="AW3453" i="3" s="1"/>
  <c r="AW3454" i="3" s="1"/>
  <c r="AW3455" i="3" s="1"/>
  <c r="AW3456" i="3" s="1"/>
  <c r="AW3457" i="3" s="1"/>
  <c r="AW3458" i="3" s="1"/>
  <c r="AW3459" i="3" s="1"/>
  <c r="AW3460" i="3" s="1"/>
  <c r="AW3461" i="3" s="1"/>
  <c r="AW3462" i="3" s="1"/>
  <c r="AW3463" i="3" s="1"/>
  <c r="AW3464" i="3" s="1"/>
  <c r="AW3465" i="3" s="1"/>
  <c r="AW3466" i="3" s="1"/>
  <c r="AW3467" i="3" s="1"/>
  <c r="AW3468" i="3" s="1"/>
  <c r="AW3469" i="3" s="1"/>
  <c r="AW3470" i="3" s="1"/>
  <c r="AW3471" i="3" s="1"/>
  <c r="AW3472" i="3" s="1"/>
  <c r="AW3473" i="3" s="1"/>
  <c r="AW3474" i="3" s="1"/>
  <c r="AW3475" i="3" s="1"/>
  <c r="AW3476" i="3" s="1"/>
  <c r="AW3477" i="3" s="1"/>
  <c r="AW3478" i="3" s="1"/>
  <c r="AW3479" i="3" s="1"/>
  <c r="AW3480" i="3" s="1"/>
  <c r="AW3481" i="3" s="1"/>
  <c r="AW3482" i="3" s="1"/>
  <c r="AW3483" i="3" s="1"/>
  <c r="AW3484" i="3" s="1"/>
  <c r="AW3485" i="3" s="1"/>
  <c r="AW3486" i="3" s="1"/>
  <c r="AW3487" i="3" s="1"/>
  <c r="AW3488" i="3" s="1"/>
  <c r="AW3489" i="3" s="1"/>
  <c r="AW3490" i="3" s="1"/>
  <c r="AW3491" i="3" s="1"/>
  <c r="AW3492" i="3" s="1"/>
  <c r="AW3493" i="3" s="1"/>
  <c r="AW3494" i="3" s="1"/>
  <c r="AW3495" i="3" s="1"/>
  <c r="AW3496" i="3" s="1"/>
  <c r="AW3497" i="3" s="1"/>
  <c r="AW3498" i="3" s="1"/>
  <c r="AW3499" i="3" s="1"/>
  <c r="AW3500" i="3" s="1"/>
  <c r="AW3501" i="3" s="1"/>
  <c r="AW3502" i="3" s="1"/>
  <c r="AW3503" i="3" s="1"/>
  <c r="AW3504" i="3" s="1"/>
  <c r="AW3505" i="3" s="1"/>
  <c r="AW3506" i="3" s="1"/>
  <c r="AW3507" i="3" s="1"/>
  <c r="AW3508" i="3" s="1"/>
  <c r="AW3509" i="3" s="1"/>
  <c r="AW3510" i="3" s="1"/>
  <c r="AW3511" i="3" s="1"/>
  <c r="AW3512" i="3" s="1"/>
  <c r="AW3513" i="3" s="1"/>
  <c r="AW3514" i="3" s="1"/>
  <c r="AW3515" i="3" s="1"/>
  <c r="AW3516" i="3" s="1"/>
  <c r="AW3517" i="3" s="1"/>
  <c r="AW3518" i="3" s="1"/>
  <c r="AW3519" i="3" s="1"/>
  <c r="AW3520" i="3" s="1"/>
  <c r="AW3521" i="3" s="1"/>
  <c r="AW3522" i="3" s="1"/>
  <c r="AW3523" i="3" s="1"/>
  <c r="AW3524" i="3" s="1"/>
  <c r="AW3525" i="3" s="1"/>
  <c r="AW3526" i="3" s="1"/>
  <c r="AW3527" i="3" s="1"/>
  <c r="AW3528" i="3" s="1"/>
  <c r="AW3529" i="3" s="1"/>
  <c r="AW3530" i="3" s="1"/>
  <c r="AW3531" i="3" s="1"/>
  <c r="AW3532" i="3" s="1"/>
  <c r="AW3533" i="3" s="1"/>
  <c r="AW3534" i="3" s="1"/>
  <c r="AW3535" i="3" s="1"/>
  <c r="AW3536" i="3" s="1"/>
  <c r="AW3537" i="3" s="1"/>
  <c r="AW3538" i="3" s="1"/>
  <c r="AW3539" i="3" s="1"/>
  <c r="AW3540" i="3" s="1"/>
  <c r="AW3541" i="3" s="1"/>
  <c r="AW3542" i="3" s="1"/>
  <c r="AW3543" i="3" s="1"/>
  <c r="AW3544" i="3" s="1"/>
  <c r="AW3545" i="3" s="1"/>
  <c r="AW3546" i="3" s="1"/>
  <c r="AW3547" i="3" s="1"/>
  <c r="AW3548" i="3" s="1"/>
  <c r="AW3549" i="3" s="1"/>
  <c r="AW3550" i="3" s="1"/>
  <c r="AW3551" i="3" s="1"/>
  <c r="AW3552" i="3" s="1"/>
  <c r="AW3553" i="3" s="1"/>
  <c r="AW3554" i="3" s="1"/>
  <c r="AW3555" i="3" s="1"/>
  <c r="AW3556" i="3" s="1"/>
  <c r="AW3557" i="3" s="1"/>
  <c r="AW3558" i="3" s="1"/>
  <c r="AW3559" i="3" s="1"/>
  <c r="AW3560" i="3" s="1"/>
  <c r="AW3561" i="3" s="1"/>
  <c r="AW3562" i="3" s="1"/>
  <c r="AW3563" i="3" s="1"/>
  <c r="AW3564" i="3" s="1"/>
  <c r="AW3565" i="3" s="1"/>
  <c r="AW3566" i="3" s="1"/>
  <c r="AW3567" i="3" s="1"/>
  <c r="AW3568" i="3" s="1"/>
  <c r="AW3569" i="3" s="1"/>
  <c r="AW3570" i="3" s="1"/>
  <c r="AW3571" i="3" s="1"/>
  <c r="AW3572" i="3" s="1"/>
  <c r="AW3573" i="3" s="1"/>
  <c r="AW3574" i="3" s="1"/>
  <c r="AW3575" i="3" s="1"/>
  <c r="AW3576" i="3" s="1"/>
  <c r="AW3577" i="3" s="1"/>
  <c r="AW3578" i="3" s="1"/>
  <c r="AW3579" i="3" s="1"/>
  <c r="AW3580" i="3" s="1"/>
  <c r="AW3581" i="3" s="1"/>
  <c r="AW3582" i="3" s="1"/>
  <c r="AW3583" i="3" s="1"/>
  <c r="AW3584" i="3" s="1"/>
  <c r="AW3585" i="3" s="1"/>
  <c r="AW3586" i="3" s="1"/>
  <c r="AW3587" i="3" s="1"/>
  <c r="AW3588" i="3" s="1"/>
  <c r="AW3589" i="3" s="1"/>
  <c r="AW3590" i="3" s="1"/>
  <c r="AW3591" i="3" s="1"/>
  <c r="AW3592" i="3" s="1"/>
  <c r="AW3593" i="3" s="1"/>
  <c r="AW3594" i="3" s="1"/>
  <c r="AW3595" i="3" s="1"/>
  <c r="AW3596" i="3" s="1"/>
  <c r="AW3597" i="3" s="1"/>
  <c r="AW3598" i="3" s="1"/>
  <c r="AW3599" i="3" s="1"/>
  <c r="AW3600" i="3" s="1"/>
  <c r="AW3601" i="3" s="1"/>
  <c r="AW3602" i="3" s="1"/>
  <c r="AW3603" i="3" s="1"/>
  <c r="AW3604" i="3" s="1"/>
  <c r="AW3605" i="3" s="1"/>
  <c r="AW3606" i="3" s="1"/>
  <c r="AW3607" i="3" s="1"/>
  <c r="AW3608" i="3" s="1"/>
  <c r="AW3609" i="3" s="1"/>
  <c r="AW3610" i="3" s="1"/>
  <c r="AW3611" i="3" s="1"/>
  <c r="AW3612" i="3" s="1"/>
  <c r="AW3613" i="3" s="1"/>
  <c r="AW3614" i="3" s="1"/>
  <c r="AW3615" i="3" s="1"/>
  <c r="AW3616" i="3" s="1"/>
  <c r="AW3617" i="3" s="1"/>
  <c r="AW3618" i="3" s="1"/>
  <c r="AW3619" i="3" s="1"/>
  <c r="AW3620" i="3" s="1"/>
  <c r="AW3621" i="3" s="1"/>
  <c r="AW3622" i="3" s="1"/>
  <c r="AW3623" i="3" s="1"/>
  <c r="AW3624" i="3" s="1"/>
  <c r="AW3625" i="3" s="1"/>
  <c r="AW3626" i="3" s="1"/>
  <c r="AW3627" i="3" s="1"/>
  <c r="AW3628" i="3" s="1"/>
  <c r="AW3629" i="3" s="1"/>
  <c r="AW3630" i="3" s="1"/>
  <c r="AW3631" i="3" s="1"/>
  <c r="AW3632" i="3" s="1"/>
  <c r="AW3633" i="3" s="1"/>
  <c r="AW3634" i="3" s="1"/>
  <c r="AW3635" i="3" s="1"/>
  <c r="AW3636" i="3" s="1"/>
  <c r="AW3637" i="3" s="1"/>
  <c r="AW3638" i="3" s="1"/>
  <c r="AW3639" i="3" s="1"/>
  <c r="AW3640" i="3" s="1"/>
  <c r="AW3641" i="3" s="1"/>
  <c r="AW3642" i="3" s="1"/>
  <c r="AW3643" i="3" s="1"/>
  <c r="AW3644" i="3" s="1"/>
  <c r="AW3645" i="3" s="1"/>
  <c r="AW3646" i="3" s="1"/>
  <c r="AW3647" i="3" s="1"/>
  <c r="AW3648" i="3" s="1"/>
  <c r="AW3649" i="3" s="1"/>
  <c r="AW3650" i="3" s="1"/>
  <c r="AW3651" i="3" s="1"/>
  <c r="AW3652" i="3" s="1"/>
  <c r="AW3653" i="3" s="1"/>
  <c r="AW3654" i="3" s="1"/>
  <c r="AW3655" i="3" s="1"/>
  <c r="AW3656" i="3" s="1"/>
  <c r="AW3657" i="3" s="1"/>
  <c r="AW3658" i="3" s="1"/>
  <c r="AW3659" i="3" s="1"/>
  <c r="AW3660" i="3" s="1"/>
  <c r="AW3661" i="3" s="1"/>
  <c r="AW3662" i="3" s="1"/>
  <c r="AW3663" i="3" s="1"/>
  <c r="AW3664" i="3" s="1"/>
  <c r="AW3665" i="3" s="1"/>
  <c r="AW3666" i="3" s="1"/>
  <c r="AW3667" i="3" s="1"/>
  <c r="AW3668" i="3" s="1"/>
  <c r="AW3669" i="3" s="1"/>
  <c r="AW3670" i="3" s="1"/>
  <c r="AW3671" i="3" s="1"/>
  <c r="AW3672" i="3" s="1"/>
  <c r="AW3673" i="3" s="1"/>
  <c r="AW3674" i="3" s="1"/>
  <c r="AW3675" i="3" s="1"/>
  <c r="AW3676" i="3" s="1"/>
  <c r="AW3677" i="3" s="1"/>
  <c r="AW3678" i="3" s="1"/>
  <c r="AW3679" i="3" s="1"/>
  <c r="AW3680" i="3" s="1"/>
  <c r="AW3681" i="3" s="1"/>
  <c r="AW3682" i="3" s="1"/>
  <c r="AW3683" i="3" s="1"/>
  <c r="AW3684" i="3" s="1"/>
  <c r="AW3685" i="3" s="1"/>
  <c r="AW3686" i="3" s="1"/>
  <c r="AW3687" i="3" s="1"/>
  <c r="AW3688" i="3" s="1"/>
  <c r="AW3689" i="3" s="1"/>
  <c r="AW3690" i="3" s="1"/>
  <c r="AW3691" i="3" s="1"/>
  <c r="AW3692" i="3" s="1"/>
  <c r="AW3693" i="3" s="1"/>
  <c r="AW3694" i="3" s="1"/>
  <c r="AW3695" i="3" s="1"/>
  <c r="AW3696" i="3" s="1"/>
  <c r="AW3697" i="3" s="1"/>
  <c r="AW3698" i="3" s="1"/>
  <c r="AW3699" i="3" s="1"/>
  <c r="AW3700" i="3" s="1"/>
  <c r="AW3701" i="3" s="1"/>
  <c r="AW3702" i="3" s="1"/>
  <c r="AW3703" i="3" s="1"/>
  <c r="AW3704" i="3" s="1"/>
  <c r="AW3705" i="3" s="1"/>
  <c r="AW3706" i="3" s="1"/>
  <c r="AW3707" i="3" s="1"/>
  <c r="AW3708" i="3" s="1"/>
  <c r="AW3709" i="3" s="1"/>
  <c r="AW3710" i="3" s="1"/>
  <c r="AW3711" i="3" s="1"/>
  <c r="AW3712" i="3" s="1"/>
  <c r="AW3713" i="3" s="1"/>
  <c r="AW3714" i="3" s="1"/>
  <c r="AW3715" i="3" s="1"/>
  <c r="AW3716" i="3" s="1"/>
  <c r="AW3717" i="3" s="1"/>
  <c r="AW3718" i="3" s="1"/>
  <c r="AW3719" i="3" s="1"/>
  <c r="AW3720" i="3" s="1"/>
  <c r="AW3721" i="3" s="1"/>
  <c r="AW3722" i="3" s="1"/>
  <c r="AW3723" i="3" s="1"/>
  <c r="AW3724" i="3" s="1"/>
  <c r="AW3725" i="3" s="1"/>
  <c r="AW3726" i="3" s="1"/>
  <c r="AW3727" i="3" s="1"/>
  <c r="AW3728" i="3" s="1"/>
  <c r="AW3729" i="3" s="1"/>
  <c r="AW3730" i="3" s="1"/>
  <c r="AW3731" i="3" s="1"/>
  <c r="AW3732" i="3" s="1"/>
  <c r="AW3733" i="3" s="1"/>
  <c r="AW3734" i="3" s="1"/>
  <c r="AW3735" i="3" s="1"/>
  <c r="AW3736" i="3" s="1"/>
  <c r="AW3737" i="3" s="1"/>
  <c r="AW3738" i="3" s="1"/>
  <c r="AW3739" i="3" s="1"/>
  <c r="AW3740" i="3" s="1"/>
  <c r="AW3741" i="3" s="1"/>
  <c r="AW3742" i="3" s="1"/>
  <c r="AW3743" i="3" s="1"/>
  <c r="AW3744" i="3" s="1"/>
  <c r="AW3745" i="3" s="1"/>
  <c r="AW3746" i="3" s="1"/>
  <c r="AW3747" i="3" s="1"/>
  <c r="AW3748" i="3" s="1"/>
  <c r="AW3749" i="3" s="1"/>
  <c r="AW3750" i="3" s="1"/>
  <c r="AW3751" i="3" s="1"/>
  <c r="AW3752" i="3" s="1"/>
  <c r="AW3753" i="3" s="1"/>
  <c r="AW3754" i="3" s="1"/>
  <c r="AW3755" i="3" s="1"/>
  <c r="AW3756" i="3" s="1"/>
  <c r="AW3757" i="3" s="1"/>
  <c r="AW3758" i="3" s="1"/>
  <c r="AW3759" i="3" s="1"/>
  <c r="AW3760" i="3" s="1"/>
  <c r="AW3761" i="3" s="1"/>
  <c r="AW3762" i="3" s="1"/>
  <c r="AW3763" i="3" s="1"/>
  <c r="AW3764" i="3" s="1"/>
  <c r="AW3765" i="3" s="1"/>
  <c r="AW3766" i="3" s="1"/>
  <c r="AW3767" i="3" s="1"/>
  <c r="AW3768" i="3" s="1"/>
  <c r="AW3769" i="3" s="1"/>
  <c r="AW3770" i="3" s="1"/>
  <c r="AW3771" i="3" s="1"/>
  <c r="AW3772" i="3" s="1"/>
  <c r="AW3773" i="3" s="1"/>
  <c r="AW3774" i="3" s="1"/>
  <c r="AW3775" i="3" s="1"/>
  <c r="AW3776" i="3" s="1"/>
  <c r="AW3777" i="3" s="1"/>
  <c r="AW3778" i="3" s="1"/>
  <c r="AW3779" i="3" s="1"/>
  <c r="AW3780" i="3" s="1"/>
  <c r="AW3781" i="3" s="1"/>
  <c r="AW3782" i="3" s="1"/>
  <c r="AW3783" i="3" s="1"/>
  <c r="AW3784" i="3" s="1"/>
  <c r="AW3785" i="3" s="1"/>
  <c r="AW3786" i="3" s="1"/>
  <c r="AW3787" i="3" s="1"/>
  <c r="AW3788" i="3" s="1"/>
  <c r="AW3789" i="3" s="1"/>
  <c r="AW3790" i="3" s="1"/>
  <c r="AW3791" i="3" s="1"/>
  <c r="AW3792" i="3" s="1"/>
  <c r="AW3793" i="3" s="1"/>
  <c r="AW3794" i="3" s="1"/>
  <c r="AW3795" i="3" s="1"/>
  <c r="AW3796" i="3" s="1"/>
  <c r="AW3797" i="3" s="1"/>
  <c r="AW3798" i="3" s="1"/>
  <c r="AW3799" i="3" s="1"/>
  <c r="AW3800" i="3" s="1"/>
  <c r="AW3801" i="3" s="1"/>
  <c r="AW3802" i="3" s="1"/>
  <c r="AW3803" i="3" s="1"/>
  <c r="AW3804" i="3" s="1"/>
  <c r="AW3805" i="3" s="1"/>
  <c r="AW3806" i="3" s="1"/>
  <c r="AW3807" i="3" s="1"/>
  <c r="AW3808" i="3" s="1"/>
  <c r="AW3809" i="3" s="1"/>
  <c r="AW3810" i="3" s="1"/>
  <c r="AW3811" i="3" s="1"/>
  <c r="AW3812" i="3" s="1"/>
  <c r="AW3813" i="3" s="1"/>
  <c r="AW3814" i="3" s="1"/>
  <c r="AW3815" i="3" s="1"/>
  <c r="AW3816" i="3" s="1"/>
  <c r="AW3817" i="3" s="1"/>
  <c r="AW3818" i="3" s="1"/>
  <c r="AW3819" i="3" s="1"/>
  <c r="AW3820" i="3" s="1"/>
  <c r="AW3821" i="3" s="1"/>
  <c r="AW3822" i="3" s="1"/>
  <c r="AW3823" i="3" s="1"/>
  <c r="AW3824" i="3" s="1"/>
  <c r="AW3825" i="3" s="1"/>
  <c r="AW3826" i="3" s="1"/>
  <c r="AW3827" i="3" s="1"/>
  <c r="AW3828" i="3" s="1"/>
  <c r="AW3829" i="3" s="1"/>
  <c r="AW3830" i="3" s="1"/>
  <c r="AW3831" i="3" s="1"/>
  <c r="AW3832" i="3" s="1"/>
  <c r="AW3833" i="3" s="1"/>
  <c r="AW3834" i="3" s="1"/>
  <c r="AW3835" i="3" s="1"/>
  <c r="AW3836" i="3" s="1"/>
  <c r="AW3837" i="3" s="1"/>
  <c r="AW3838" i="3" s="1"/>
  <c r="AW3839" i="3" s="1"/>
  <c r="AW3840" i="3" s="1"/>
  <c r="AW3841" i="3" s="1"/>
  <c r="AW3842" i="3" s="1"/>
  <c r="AW3843" i="3" s="1"/>
  <c r="AW3844" i="3" s="1"/>
  <c r="AW3845" i="3" s="1"/>
  <c r="AW3846" i="3" s="1"/>
  <c r="AW3847" i="3" s="1"/>
  <c r="AW3848" i="3" s="1"/>
  <c r="AW3849" i="3" s="1"/>
  <c r="AW3850" i="3" s="1"/>
  <c r="AW3851" i="3" s="1"/>
  <c r="AW3852" i="3" s="1"/>
  <c r="AW3853" i="3" s="1"/>
  <c r="AW3854" i="3" s="1"/>
  <c r="AW3855" i="3" s="1"/>
  <c r="AW3856" i="3" s="1"/>
  <c r="AW3857" i="3" s="1"/>
  <c r="AW3858" i="3" s="1"/>
  <c r="AW3859" i="3" s="1"/>
  <c r="AW3860" i="3" s="1"/>
  <c r="AW3861" i="3" s="1"/>
  <c r="AW3862" i="3" s="1"/>
  <c r="AW3863" i="3" s="1"/>
  <c r="AW3864" i="3" s="1"/>
  <c r="AW3865" i="3" s="1"/>
  <c r="AW3866" i="3" s="1"/>
  <c r="AW3867" i="3" s="1"/>
  <c r="AW3868" i="3" s="1"/>
  <c r="AW3869" i="3" s="1"/>
  <c r="AW3870" i="3" s="1"/>
  <c r="AW3871" i="3" s="1"/>
  <c r="AW3872" i="3" s="1"/>
  <c r="AW3873" i="3" s="1"/>
  <c r="AW3874" i="3" s="1"/>
  <c r="AW3875" i="3" s="1"/>
  <c r="AW3876" i="3" s="1"/>
  <c r="AW3877" i="3" s="1"/>
  <c r="AW3878" i="3" s="1"/>
  <c r="AW3879" i="3" s="1"/>
  <c r="AW3880" i="3" s="1"/>
  <c r="AW3881" i="3" s="1"/>
  <c r="AW3882" i="3" s="1"/>
  <c r="AW3883" i="3" s="1"/>
  <c r="AW3884" i="3" s="1"/>
  <c r="AW3885" i="3" s="1"/>
  <c r="AW3886" i="3" s="1"/>
  <c r="AW3887" i="3" s="1"/>
  <c r="AW3888" i="3" s="1"/>
  <c r="AW3889" i="3" s="1"/>
  <c r="AW3890" i="3" s="1"/>
  <c r="AW3891" i="3" s="1"/>
  <c r="AW3892" i="3" s="1"/>
  <c r="AW3893" i="3" s="1"/>
  <c r="AW3894" i="3" s="1"/>
  <c r="AW3895" i="3" s="1"/>
  <c r="AW3896" i="3" s="1"/>
  <c r="AW3897" i="3" s="1"/>
  <c r="AW3898" i="3" s="1"/>
  <c r="AW3899" i="3" s="1"/>
  <c r="AW3900" i="3" s="1"/>
  <c r="AW3901" i="3" s="1"/>
  <c r="AW3902" i="3" s="1"/>
  <c r="AW3903" i="3" s="1"/>
  <c r="AW3904" i="3" s="1"/>
  <c r="AW3905" i="3" s="1"/>
  <c r="AW3906" i="3" s="1"/>
  <c r="AW3907" i="3" s="1"/>
  <c r="AW3908" i="3" s="1"/>
  <c r="AW3909" i="3" s="1"/>
  <c r="AW3910" i="3" s="1"/>
  <c r="AW3911" i="3" s="1"/>
  <c r="AW3912" i="3" s="1"/>
  <c r="AW3913" i="3" s="1"/>
  <c r="AW3914" i="3" s="1"/>
  <c r="AW3915" i="3" s="1"/>
  <c r="AW3916" i="3" s="1"/>
  <c r="AW3917" i="3" s="1"/>
  <c r="AW3918" i="3" s="1"/>
  <c r="AW3919" i="3" s="1"/>
  <c r="AW3920" i="3" s="1"/>
  <c r="AW3921" i="3" s="1"/>
  <c r="AW3922" i="3" s="1"/>
  <c r="AW3923" i="3" s="1"/>
  <c r="AW3924" i="3" s="1"/>
  <c r="AW3925" i="3" s="1"/>
  <c r="AW3926" i="3" s="1"/>
  <c r="AW3927" i="3" s="1"/>
  <c r="AW3928" i="3" s="1"/>
  <c r="AW3929" i="3" s="1"/>
  <c r="AW3930" i="3" s="1"/>
  <c r="AW3931" i="3" s="1"/>
  <c r="AW3932" i="3" s="1"/>
  <c r="AW3933" i="3" s="1"/>
  <c r="AW3934" i="3" s="1"/>
  <c r="AW3935" i="3" s="1"/>
  <c r="AW3936" i="3" s="1"/>
  <c r="AW3937" i="3" s="1"/>
  <c r="AW3938" i="3" s="1"/>
  <c r="AW3939" i="3" s="1"/>
  <c r="AW3940" i="3" s="1"/>
  <c r="AW3941" i="3" s="1"/>
  <c r="AW3942" i="3" s="1"/>
  <c r="AW3943" i="3" s="1"/>
  <c r="AW3944" i="3" s="1"/>
  <c r="AW3945" i="3" s="1"/>
  <c r="AW3946" i="3" s="1"/>
  <c r="AW3947" i="3" s="1"/>
  <c r="AW3948" i="3" s="1"/>
  <c r="AW3949" i="3" s="1"/>
  <c r="AW3950" i="3" s="1"/>
  <c r="AW3951" i="3" s="1"/>
  <c r="AW3952" i="3" s="1"/>
  <c r="AW3953" i="3" s="1"/>
  <c r="AW3954" i="3" s="1"/>
  <c r="AW3955" i="3" s="1"/>
  <c r="AW3956" i="3" s="1"/>
  <c r="AW3957" i="3" s="1"/>
  <c r="AW3958" i="3" s="1"/>
  <c r="AW3959" i="3" s="1"/>
  <c r="AW3960" i="3" s="1"/>
  <c r="AW3961" i="3" s="1"/>
  <c r="AW3962" i="3" s="1"/>
  <c r="AW3963" i="3" s="1"/>
  <c r="AW3964" i="3" s="1"/>
  <c r="AW3965" i="3" s="1"/>
  <c r="AW3966" i="3" s="1"/>
  <c r="AW3967" i="3" s="1"/>
  <c r="AW3968" i="3" s="1"/>
  <c r="AW3969" i="3" s="1"/>
  <c r="AW3970" i="3" s="1"/>
  <c r="AW3971" i="3" s="1"/>
  <c r="AW3972" i="3" s="1"/>
  <c r="AW3973" i="3" s="1"/>
  <c r="AW3974" i="3" s="1"/>
  <c r="AW3975" i="3" s="1"/>
  <c r="AW3976" i="3" s="1"/>
  <c r="AW3977" i="3" s="1"/>
  <c r="AW3978" i="3" s="1"/>
  <c r="AW3979" i="3" s="1"/>
  <c r="AW3980" i="3" s="1"/>
  <c r="AW3981" i="3" s="1"/>
  <c r="AW3982" i="3" s="1"/>
  <c r="AW3983" i="3" s="1"/>
  <c r="AW3984" i="3" s="1"/>
  <c r="AW3985" i="3" s="1"/>
  <c r="AW3986" i="3" s="1"/>
  <c r="AW3987" i="3" s="1"/>
  <c r="AW3988" i="3" s="1"/>
  <c r="AW3989" i="3" s="1"/>
  <c r="AW3990" i="3" s="1"/>
  <c r="AW3991" i="3" s="1"/>
  <c r="AW3992" i="3" s="1"/>
  <c r="AW3993" i="3" s="1"/>
  <c r="AW3994" i="3" s="1"/>
  <c r="AW3995" i="3" s="1"/>
  <c r="AW3996" i="3" s="1"/>
  <c r="AW3997" i="3" s="1"/>
  <c r="AW3998" i="3" s="1"/>
  <c r="AW3999" i="3" s="1"/>
  <c r="AW4000" i="3" s="1"/>
  <c r="AW4001" i="3" s="1"/>
  <c r="AW4002" i="3" s="1"/>
  <c r="AW4003" i="3" s="1"/>
  <c r="AW4004" i="3" s="1"/>
  <c r="AW4005" i="3" s="1"/>
  <c r="AW4006" i="3" s="1"/>
  <c r="AW4007" i="3" s="1"/>
  <c r="AW4008" i="3" s="1"/>
  <c r="AW4009" i="3" s="1"/>
  <c r="AW4010" i="3" s="1"/>
  <c r="P12" i="3"/>
  <c r="P13" i="3"/>
  <c r="BE13" i="3"/>
  <c r="BG13" i="3"/>
  <c r="BI13" i="3"/>
  <c r="BM13" i="3"/>
  <c r="BO13" i="3"/>
  <c r="BQ13" i="3"/>
  <c r="BE14" i="3"/>
  <c r="BG14" i="3"/>
  <c r="BI14" i="3"/>
  <c r="BM14" i="3"/>
  <c r="BO14" i="3"/>
  <c r="BQ14" i="3"/>
  <c r="BD15" i="3"/>
  <c r="BF15" i="3"/>
  <c r="BH15" i="3"/>
  <c r="BL15" i="3"/>
  <c r="BN15" i="3"/>
  <c r="BP15" i="3"/>
  <c r="P16" i="3"/>
  <c r="BE16" i="3"/>
  <c r="BG16" i="3"/>
  <c r="BI16" i="3"/>
  <c r="BM16" i="3"/>
  <c r="BN16" i="3"/>
  <c r="BP16" i="3"/>
  <c r="P17" i="3"/>
  <c r="BD17" i="3"/>
  <c r="BF17" i="3"/>
  <c r="BH17" i="3"/>
  <c r="BL17" i="3"/>
  <c r="BN17" i="3"/>
  <c r="BP17" i="3"/>
  <c r="P18" i="3"/>
  <c r="BE18" i="3"/>
  <c r="BE24" i="3"/>
  <c r="BG24" i="3"/>
  <c r="BI24" i="3"/>
  <c r="BM24" i="3"/>
  <c r="BO24" i="3"/>
  <c r="BQ24" i="3"/>
  <c r="BD25" i="3"/>
  <c r="BF25" i="3"/>
  <c r="BH25" i="3"/>
  <c r="BL25" i="3"/>
  <c r="BN25" i="3"/>
  <c r="BP25" i="3"/>
  <c r="P26" i="3"/>
  <c r="BD26" i="3"/>
  <c r="BG26" i="3"/>
  <c r="BH26" i="3"/>
  <c r="BL26" i="3"/>
  <c r="BN26" i="3"/>
  <c r="BP26" i="3"/>
  <c r="P27" i="3"/>
  <c r="P42" i="3"/>
  <c r="BE42" i="3"/>
  <c r="BG42" i="3"/>
  <c r="BI42" i="3"/>
  <c r="BM42" i="3"/>
  <c r="BO42" i="3"/>
  <c r="BQ42" i="3"/>
  <c r="BE43" i="3"/>
  <c r="BG43" i="3"/>
  <c r="BI43" i="3"/>
  <c r="BM43" i="3"/>
  <c r="BO43" i="3"/>
  <c r="BQ43" i="3"/>
  <c r="BE44" i="3"/>
  <c r="BG44" i="3"/>
  <c r="BI44" i="3"/>
  <c r="BM44" i="3"/>
  <c r="BO44" i="3"/>
  <c r="BQ44" i="3"/>
  <c r="P45" i="3"/>
  <c r="BD45" i="3"/>
  <c r="BF45" i="3"/>
  <c r="BH45" i="3"/>
  <c r="BL45" i="3"/>
  <c r="BN45" i="3"/>
  <c r="BP45" i="3"/>
  <c r="P46" i="3"/>
  <c r="BE46" i="3"/>
  <c r="BG46" i="3"/>
  <c r="BI46" i="3"/>
  <c r="BM46" i="3"/>
  <c r="BO46" i="3"/>
  <c r="BQ46" i="3"/>
  <c r="BD47" i="3"/>
  <c r="BF47" i="3"/>
  <c r="BH47" i="3"/>
  <c r="BL47" i="3"/>
  <c r="BN47" i="3"/>
  <c r="BP47" i="3"/>
  <c r="P48" i="3"/>
  <c r="BE48" i="3"/>
  <c r="BG48" i="3"/>
  <c r="BI48" i="3"/>
  <c r="BM48" i="3"/>
  <c r="BO48" i="3"/>
  <c r="BQ48" i="3"/>
  <c r="BE49" i="3"/>
  <c r="BG49" i="3"/>
  <c r="BI49" i="3"/>
  <c r="BM49" i="3"/>
  <c r="BO49" i="3"/>
  <c r="BQ49" i="3"/>
  <c r="P50" i="3"/>
  <c r="BD50" i="3"/>
  <c r="BF50" i="3"/>
  <c r="BH50" i="3"/>
  <c r="BL50" i="3"/>
  <c r="BN50" i="3"/>
  <c r="BP50" i="3"/>
  <c r="P51" i="3"/>
  <c r="BE51" i="3"/>
  <c r="BG51" i="3"/>
  <c r="BI51" i="3"/>
  <c r="BM51" i="3"/>
  <c r="BO51" i="3"/>
  <c r="BQ51" i="3"/>
  <c r="BD52" i="3"/>
  <c r="BF52" i="3"/>
  <c r="BH52" i="3"/>
  <c r="BL52" i="3"/>
  <c r="BN52" i="3"/>
  <c r="BP52" i="3"/>
  <c r="P53" i="3"/>
  <c r="BE53" i="3"/>
  <c r="BG53" i="3"/>
  <c r="BI53" i="3"/>
  <c r="BM53" i="3"/>
  <c r="BO53" i="3"/>
  <c r="BQ53" i="3"/>
  <c r="BD54" i="3"/>
  <c r="BF54" i="3"/>
  <c r="BH54" i="3"/>
  <c r="BI54" i="3"/>
  <c r="BM54" i="3"/>
  <c r="BO54" i="3"/>
  <c r="BQ54" i="3"/>
  <c r="BE55" i="3"/>
  <c r="BG55" i="3"/>
  <c r="BI55" i="3"/>
  <c r="BM55" i="3"/>
  <c r="BO55" i="3"/>
  <c r="BQ55" i="3"/>
  <c r="BD56" i="3"/>
  <c r="BF56" i="3"/>
  <c r="BH56" i="3"/>
  <c r="BL56" i="3"/>
  <c r="BN56" i="3"/>
  <c r="BP56" i="3"/>
  <c r="P57" i="3"/>
  <c r="BE57" i="3"/>
  <c r="BG57" i="3"/>
  <c r="BI57" i="3"/>
  <c r="BM57" i="3"/>
  <c r="BO57" i="3"/>
  <c r="BQ57" i="3"/>
  <c r="P58" i="3"/>
  <c r="BD58" i="3"/>
  <c r="BF58" i="3"/>
  <c r="BH58" i="3"/>
  <c r="BL58" i="3"/>
  <c r="BN58" i="3"/>
  <c r="BP58" i="3"/>
  <c r="P59" i="3"/>
  <c r="BD59" i="3"/>
  <c r="BF59" i="3"/>
  <c r="BH59" i="3"/>
  <c r="BL59" i="3"/>
  <c r="BN59" i="3"/>
  <c r="BP59" i="3"/>
  <c r="P60" i="3"/>
  <c r="BD60" i="3"/>
  <c r="BE60" i="3"/>
  <c r="BG60" i="3"/>
  <c r="BI60" i="3"/>
  <c r="BM60" i="3"/>
  <c r="BO60" i="3"/>
  <c r="BQ60" i="3"/>
  <c r="BD61" i="3"/>
  <c r="BF61" i="3"/>
  <c r="BH61" i="3"/>
  <c r="BM61" i="3"/>
  <c r="BO61" i="3"/>
  <c r="BQ61" i="3"/>
  <c r="BE62" i="3"/>
  <c r="BG62" i="3"/>
  <c r="BI62" i="3"/>
  <c r="BM62" i="3"/>
  <c r="BO62" i="3"/>
  <c r="BQ62" i="3"/>
  <c r="BD63" i="3"/>
  <c r="BF63" i="3"/>
  <c r="BH63" i="3"/>
  <c r="BL63" i="3"/>
  <c r="BN63" i="3"/>
  <c r="BP63" i="3"/>
  <c r="BE64" i="3"/>
  <c r="BG64" i="3"/>
  <c r="BI64" i="3"/>
  <c r="BN64" i="3"/>
  <c r="BP64" i="3"/>
  <c r="P65" i="3"/>
  <c r="BD65" i="3"/>
  <c r="BF65" i="3"/>
  <c r="BH65" i="3"/>
  <c r="BL65" i="3"/>
  <c r="BN65" i="3"/>
  <c r="BP65" i="3"/>
  <c r="P66" i="3"/>
  <c r="BD66" i="3"/>
  <c r="BG66" i="3"/>
  <c r="BI66" i="3"/>
  <c r="BM66" i="3"/>
  <c r="BO66" i="3"/>
  <c r="BQ66" i="3"/>
  <c r="P67" i="3"/>
  <c r="BD67" i="3"/>
  <c r="BG67" i="3"/>
  <c r="BI67" i="3"/>
  <c r="BM67" i="3"/>
  <c r="BO67" i="3"/>
  <c r="BQ67" i="3"/>
  <c r="BD68" i="3"/>
  <c r="BG68" i="3"/>
  <c r="BI68" i="3"/>
  <c r="BM68" i="3"/>
  <c r="BO68" i="3"/>
  <c r="BQ68" i="3"/>
  <c r="BD69" i="3"/>
  <c r="BF69" i="3"/>
  <c r="BH69" i="3"/>
  <c r="BL69" i="3"/>
  <c r="BO69" i="3"/>
  <c r="BQ69" i="3"/>
  <c r="P70" i="3"/>
  <c r="BE70" i="3"/>
  <c r="BH70" i="3"/>
  <c r="BL70" i="3"/>
  <c r="BN70" i="3"/>
  <c r="BP70" i="3"/>
  <c r="P71" i="3"/>
  <c r="BE71" i="3"/>
  <c r="BG71" i="3"/>
  <c r="BI71" i="3"/>
  <c r="BM71" i="3"/>
  <c r="BO71" i="3"/>
  <c r="BQ71" i="3"/>
  <c r="P72" i="3"/>
  <c r="BE72" i="3"/>
  <c r="BG72" i="3"/>
  <c r="BI72" i="3"/>
  <c r="BM72" i="3"/>
  <c r="BO72" i="3"/>
  <c r="BQ72" i="3"/>
  <c r="P74" i="3"/>
  <c r="P75" i="3"/>
  <c r="P77" i="3"/>
  <c r="P80" i="3"/>
  <c r="P84" i="3"/>
  <c r="P86" i="3"/>
  <c r="P90" i="3"/>
  <c r="P91" i="3"/>
  <c r="P93" i="3"/>
  <c r="P99" i="3"/>
  <c r="P101" i="3"/>
  <c r="P103" i="3"/>
  <c r="P106" i="3"/>
  <c r="P109" i="3"/>
  <c r="P110" i="3"/>
  <c r="P114" i="3"/>
  <c r="P115" i="3"/>
  <c r="P116" i="3"/>
  <c r="P118" i="3"/>
  <c r="P119" i="3"/>
  <c r="P121" i="3"/>
  <c r="P122" i="3"/>
  <c r="P123" i="3"/>
  <c r="P125" i="3"/>
  <c r="P126" i="3"/>
  <c r="P127" i="3"/>
  <c r="P128" i="3"/>
  <c r="P129" i="3"/>
  <c r="P130" i="3"/>
  <c r="P131" i="3"/>
  <c r="P132" i="3"/>
  <c r="P134" i="3"/>
  <c r="P137" i="3"/>
  <c r="P138" i="3"/>
  <c r="P140" i="3"/>
  <c r="P144" i="3"/>
  <c r="P146" i="3"/>
  <c r="P149" i="3"/>
  <c r="P150" i="3"/>
  <c r="P154" i="3"/>
  <c r="P155" i="3"/>
  <c r="P156" i="3"/>
  <c r="P158" i="3"/>
  <c r="P160" i="3"/>
  <c r="P161" i="3"/>
  <c r="P164" i="3"/>
  <c r="P165" i="3"/>
  <c r="P166" i="3"/>
  <c r="P167" i="3"/>
  <c r="P169" i="3"/>
  <c r="P174" i="3"/>
  <c r="P180" i="3"/>
  <c r="P181" i="3"/>
  <c r="P186" i="3"/>
  <c r="P187" i="3"/>
  <c r="P190" i="3"/>
  <c r="P194" i="3"/>
  <c r="P200" i="3"/>
  <c r="P201" i="3"/>
  <c r="P202" i="3"/>
  <c r="P206" i="3"/>
  <c r="P209" i="3"/>
  <c r="P210" i="3"/>
  <c r="BD13" i="3"/>
  <c r="BF13" i="3"/>
  <c r="BH13" i="3"/>
  <c r="BL13" i="3"/>
  <c r="BN13" i="3"/>
  <c r="BP13" i="3"/>
  <c r="P14" i="3"/>
  <c r="BD14" i="3"/>
  <c r="BF14" i="3"/>
  <c r="BH14" i="3"/>
  <c r="BL14" i="3"/>
  <c r="BN14" i="3"/>
  <c r="BP14" i="3"/>
  <c r="P15" i="3"/>
  <c r="BE15" i="3"/>
  <c r="BG15" i="3"/>
  <c r="BI15" i="3"/>
  <c r="BM15" i="3"/>
  <c r="BO15" i="3"/>
  <c r="BQ15" i="3"/>
  <c r="BD16" i="3"/>
  <c r="BF16" i="3"/>
  <c r="BH16" i="3"/>
  <c r="BL16" i="3"/>
  <c r="BO16" i="3"/>
  <c r="BQ16" i="3"/>
  <c r="BE17" i="3"/>
  <c r="BG17" i="3"/>
  <c r="BI17" i="3"/>
  <c r="BM17" i="3"/>
  <c r="BO17" i="3"/>
  <c r="BQ17" i="3"/>
  <c r="BD18" i="3"/>
  <c r="BF18" i="3"/>
  <c r="BG18" i="3"/>
  <c r="BH18" i="3"/>
  <c r="BI18" i="3"/>
  <c r="BL18" i="3"/>
  <c r="BM18" i="3"/>
  <c r="BN18" i="3"/>
  <c r="BO18" i="3"/>
  <c r="BP18" i="3"/>
  <c r="BQ18" i="3"/>
  <c r="P19" i="3"/>
  <c r="BD19" i="3"/>
  <c r="BE19" i="3"/>
  <c r="BF19" i="3"/>
  <c r="BG19" i="3"/>
  <c r="BH19" i="3"/>
  <c r="BI19" i="3"/>
  <c r="BL19" i="3"/>
  <c r="BM19" i="3"/>
  <c r="BN19" i="3"/>
  <c r="BO19" i="3"/>
  <c r="BP19" i="3"/>
  <c r="BQ19" i="3"/>
  <c r="P20" i="3"/>
  <c r="BD20" i="3"/>
  <c r="BE20" i="3"/>
  <c r="BF20" i="3"/>
  <c r="BG20" i="3"/>
  <c r="BH20" i="3"/>
  <c r="BI20" i="3"/>
  <c r="BL20" i="3"/>
  <c r="BM20" i="3"/>
  <c r="BN20" i="3"/>
  <c r="BO20" i="3"/>
  <c r="BP20" i="3"/>
  <c r="BQ20" i="3"/>
  <c r="P21" i="3"/>
  <c r="BD21" i="3"/>
  <c r="BE21" i="3"/>
  <c r="BF21" i="3"/>
  <c r="BG21" i="3"/>
  <c r="BH21" i="3"/>
  <c r="BI21" i="3"/>
  <c r="BL21" i="3"/>
  <c r="BM21" i="3"/>
  <c r="BN21" i="3"/>
  <c r="BO21" i="3"/>
  <c r="BP21" i="3"/>
  <c r="BQ21" i="3"/>
  <c r="P22" i="3"/>
  <c r="BD22" i="3"/>
  <c r="BE22" i="3"/>
  <c r="BF22" i="3"/>
  <c r="BG22" i="3"/>
  <c r="BH22" i="3"/>
  <c r="BI22" i="3"/>
  <c r="BL22" i="3"/>
  <c r="BM22" i="3"/>
  <c r="BN22" i="3"/>
  <c r="BO22" i="3"/>
  <c r="BP22" i="3"/>
  <c r="BQ22" i="3"/>
  <c r="P23" i="3"/>
  <c r="BD23" i="3"/>
  <c r="BE23" i="3"/>
  <c r="BF23" i="3"/>
  <c r="BG23" i="3"/>
  <c r="BH23" i="3"/>
  <c r="BI23" i="3"/>
  <c r="BL23" i="3"/>
  <c r="BM23" i="3"/>
  <c r="BN23" i="3"/>
  <c r="BO23" i="3"/>
  <c r="BP23" i="3"/>
  <c r="BQ23" i="3"/>
  <c r="P24" i="3"/>
  <c r="BD24" i="3"/>
  <c r="BF24" i="3"/>
  <c r="BH24" i="3"/>
  <c r="BL24" i="3"/>
  <c r="BN24" i="3"/>
  <c r="BP24" i="3"/>
  <c r="P25" i="3"/>
  <c r="BE25" i="3"/>
  <c r="BG25" i="3"/>
  <c r="BI25" i="3"/>
  <c r="BM25" i="3"/>
  <c r="BO25" i="3"/>
  <c r="BQ25" i="3"/>
  <c r="BE26" i="3"/>
  <c r="BF26" i="3"/>
  <c r="BI26" i="3"/>
  <c r="BM26" i="3"/>
  <c r="BO26" i="3"/>
  <c r="BQ26" i="3"/>
  <c r="BD27" i="3"/>
  <c r="BE27" i="3"/>
  <c r="BF27" i="3"/>
  <c r="BG27" i="3"/>
  <c r="BH27" i="3"/>
  <c r="BI27" i="3"/>
  <c r="BL27" i="3"/>
  <c r="BM27" i="3"/>
  <c r="BN27" i="3"/>
  <c r="BO27" i="3"/>
  <c r="BP27" i="3"/>
  <c r="BQ27" i="3"/>
  <c r="P28" i="3"/>
  <c r="BD28" i="3"/>
  <c r="BE28" i="3"/>
  <c r="BF28" i="3"/>
  <c r="BG28" i="3"/>
  <c r="BH28" i="3"/>
  <c r="BI28" i="3"/>
  <c r="BL28" i="3"/>
  <c r="BM28" i="3"/>
  <c r="BN28" i="3"/>
  <c r="BO28" i="3"/>
  <c r="BP28" i="3"/>
  <c r="BQ28" i="3"/>
  <c r="P29" i="3"/>
  <c r="BD29" i="3"/>
  <c r="BE29" i="3"/>
  <c r="BF29" i="3"/>
  <c r="BG29" i="3"/>
  <c r="BH29" i="3"/>
  <c r="BI29" i="3"/>
  <c r="BL29" i="3"/>
  <c r="BM29" i="3"/>
  <c r="BN29" i="3"/>
  <c r="BO29" i="3"/>
  <c r="BP29" i="3"/>
  <c r="BQ29" i="3"/>
  <c r="P30" i="3"/>
  <c r="BD30" i="3"/>
  <c r="BE30" i="3"/>
  <c r="BF30" i="3"/>
  <c r="BG30" i="3"/>
  <c r="BH30" i="3"/>
  <c r="BI30" i="3"/>
  <c r="BL30" i="3"/>
  <c r="BM30" i="3"/>
  <c r="BN30" i="3"/>
  <c r="BO30" i="3"/>
  <c r="BP30" i="3"/>
  <c r="BQ30" i="3"/>
  <c r="P31" i="3"/>
  <c r="BD31" i="3"/>
  <c r="BE31" i="3"/>
  <c r="BF31" i="3"/>
  <c r="BG31" i="3"/>
  <c r="BH31" i="3"/>
  <c r="BI31" i="3"/>
  <c r="BL31" i="3"/>
  <c r="BM31" i="3"/>
  <c r="BN31" i="3"/>
  <c r="BO31" i="3"/>
  <c r="BP31" i="3"/>
  <c r="BQ31" i="3"/>
  <c r="P32" i="3"/>
  <c r="BD32" i="3"/>
  <c r="BE32" i="3"/>
  <c r="BF32" i="3"/>
  <c r="BG32" i="3"/>
  <c r="BH32" i="3"/>
  <c r="BI32" i="3"/>
  <c r="BL32" i="3"/>
  <c r="BM32" i="3"/>
  <c r="BN32" i="3"/>
  <c r="BO32" i="3"/>
  <c r="BP32" i="3"/>
  <c r="BQ32" i="3"/>
  <c r="P33" i="3"/>
  <c r="BD33" i="3"/>
  <c r="BE33" i="3"/>
  <c r="BF33" i="3"/>
  <c r="BG33" i="3"/>
  <c r="BH33" i="3"/>
  <c r="BI33" i="3"/>
  <c r="BL33" i="3"/>
  <c r="BM33" i="3"/>
  <c r="BN33" i="3"/>
  <c r="BO33" i="3"/>
  <c r="BP33" i="3"/>
  <c r="BQ33" i="3"/>
  <c r="P34" i="3"/>
  <c r="BD34" i="3"/>
  <c r="BE34" i="3"/>
  <c r="BF34" i="3"/>
  <c r="BG34" i="3"/>
  <c r="BH34" i="3"/>
  <c r="BI34" i="3"/>
  <c r="BL34" i="3"/>
  <c r="BM34" i="3"/>
  <c r="BN34" i="3"/>
  <c r="BO34" i="3"/>
  <c r="BP34" i="3"/>
  <c r="BQ34" i="3"/>
  <c r="P35" i="3"/>
  <c r="BD35" i="3"/>
  <c r="BE35" i="3"/>
  <c r="BF35" i="3"/>
  <c r="BG35" i="3"/>
  <c r="BH35" i="3"/>
  <c r="BI35" i="3"/>
  <c r="BL35" i="3"/>
  <c r="BM35" i="3"/>
  <c r="BN35" i="3"/>
  <c r="BO35" i="3"/>
  <c r="BP35" i="3"/>
  <c r="BQ35" i="3"/>
  <c r="P36" i="3"/>
  <c r="BD36" i="3"/>
  <c r="BE36" i="3"/>
  <c r="BF36" i="3"/>
  <c r="BG36" i="3"/>
  <c r="BH36" i="3"/>
  <c r="BI36" i="3"/>
  <c r="BL36" i="3"/>
  <c r="BM36" i="3"/>
  <c r="BN36" i="3"/>
  <c r="BO36" i="3"/>
  <c r="BP36" i="3"/>
  <c r="BQ36" i="3"/>
  <c r="P37" i="3"/>
  <c r="BD37" i="3"/>
  <c r="BE37" i="3"/>
  <c r="BF37" i="3"/>
  <c r="BG37" i="3"/>
  <c r="BH37" i="3"/>
  <c r="BI37" i="3"/>
  <c r="BL37" i="3"/>
  <c r="BM37" i="3"/>
  <c r="BN37" i="3"/>
  <c r="BO37" i="3"/>
  <c r="BP37" i="3"/>
  <c r="BQ37" i="3"/>
  <c r="P38" i="3"/>
  <c r="BD38" i="3"/>
  <c r="BE38" i="3"/>
  <c r="BF38" i="3"/>
  <c r="BG38" i="3"/>
  <c r="BH38" i="3"/>
  <c r="BI38" i="3"/>
  <c r="BL38" i="3"/>
  <c r="BM38" i="3"/>
  <c r="BN38" i="3"/>
  <c r="BO38" i="3"/>
  <c r="BP38" i="3"/>
  <c r="BQ38" i="3"/>
  <c r="P39" i="3"/>
  <c r="BD39" i="3"/>
  <c r="BE39" i="3"/>
  <c r="BF39" i="3"/>
  <c r="BG39" i="3"/>
  <c r="BH39" i="3"/>
  <c r="BI39" i="3"/>
  <c r="BL39" i="3"/>
  <c r="BM39" i="3"/>
  <c r="BN39" i="3"/>
  <c r="BO39" i="3"/>
  <c r="BP39" i="3"/>
  <c r="BQ39" i="3"/>
  <c r="P40" i="3"/>
  <c r="BD40" i="3"/>
  <c r="BE40" i="3"/>
  <c r="BF40" i="3"/>
  <c r="BG40" i="3"/>
  <c r="BH40" i="3"/>
  <c r="BI40" i="3"/>
  <c r="BL40" i="3"/>
  <c r="BM40" i="3"/>
  <c r="BN40" i="3"/>
  <c r="BO40" i="3"/>
  <c r="BP40" i="3"/>
  <c r="BQ40" i="3"/>
  <c r="P41" i="3"/>
  <c r="BD41" i="3"/>
  <c r="BE41" i="3"/>
  <c r="BF41" i="3"/>
  <c r="BG41" i="3"/>
  <c r="BH41" i="3"/>
  <c r="BI41" i="3"/>
  <c r="BL41" i="3"/>
  <c r="BM41" i="3"/>
  <c r="BN41" i="3"/>
  <c r="BO41" i="3"/>
  <c r="BP41" i="3"/>
  <c r="BQ41" i="3"/>
  <c r="BD42" i="3"/>
  <c r="BF42" i="3"/>
  <c r="BH42" i="3"/>
  <c r="BL42" i="3"/>
  <c r="BN42" i="3"/>
  <c r="BP42" i="3"/>
  <c r="P43" i="3"/>
  <c r="BD43" i="3"/>
  <c r="BF43" i="3"/>
  <c r="BH43" i="3"/>
  <c r="BL43" i="3"/>
  <c r="BN43" i="3"/>
  <c r="BP43" i="3"/>
  <c r="P44" i="3"/>
  <c r="BD44" i="3"/>
  <c r="BF44" i="3"/>
  <c r="BH44" i="3"/>
  <c r="BL44" i="3"/>
  <c r="BN44" i="3"/>
  <c r="BP44" i="3"/>
  <c r="BE45" i="3"/>
  <c r="BG45" i="3"/>
  <c r="BI45" i="3"/>
  <c r="BM45" i="3"/>
  <c r="BO45" i="3"/>
  <c r="BQ45" i="3"/>
  <c r="BD46" i="3"/>
  <c r="BF46" i="3"/>
  <c r="BH46" i="3"/>
  <c r="BL46" i="3"/>
  <c r="BN46" i="3"/>
  <c r="BP46" i="3"/>
  <c r="P47" i="3"/>
  <c r="BE47" i="3"/>
  <c r="BG47" i="3"/>
  <c r="BI47" i="3"/>
  <c r="BM47" i="3"/>
  <c r="BO47" i="3"/>
  <c r="BQ47" i="3"/>
  <c r="BD48" i="3"/>
  <c r="BF48" i="3"/>
  <c r="BH48" i="3"/>
  <c r="BL48" i="3"/>
  <c r="BN48" i="3"/>
  <c r="BP48" i="3"/>
  <c r="P49" i="3"/>
  <c r="BD49" i="3"/>
  <c r="BF49" i="3"/>
  <c r="BH49" i="3"/>
  <c r="BL49" i="3"/>
  <c r="BN49" i="3"/>
  <c r="BP49" i="3"/>
  <c r="BE50" i="3"/>
  <c r="BG50" i="3"/>
  <c r="BI50" i="3"/>
  <c r="BM50" i="3"/>
  <c r="BO50" i="3"/>
  <c r="BQ50" i="3"/>
  <c r="BD51" i="3"/>
  <c r="BF51" i="3"/>
  <c r="BH51" i="3"/>
  <c r="BL51" i="3"/>
  <c r="BN51" i="3"/>
  <c r="BP51" i="3"/>
  <c r="P52" i="3"/>
  <c r="BE52" i="3"/>
  <c r="BG52" i="3"/>
  <c r="BI52" i="3"/>
  <c r="BM52" i="3"/>
  <c r="BO52" i="3"/>
  <c r="BQ52" i="3"/>
  <c r="BD53" i="3"/>
  <c r="BF53" i="3"/>
  <c r="BH53" i="3"/>
  <c r="BL53" i="3"/>
  <c r="BN53" i="3"/>
  <c r="BP53" i="3"/>
  <c r="P54" i="3"/>
  <c r="BE54" i="3"/>
  <c r="BG54" i="3"/>
  <c r="BL54" i="3"/>
  <c r="BN54" i="3"/>
  <c r="BP54" i="3"/>
  <c r="P55" i="3"/>
  <c r="BD55" i="3"/>
  <c r="BF55" i="3"/>
  <c r="BH55" i="3"/>
  <c r="BL55" i="3"/>
  <c r="BN55" i="3"/>
  <c r="BP55" i="3"/>
  <c r="P56" i="3"/>
  <c r="BE56" i="3"/>
  <c r="BG56" i="3"/>
  <c r="BI56" i="3"/>
  <c r="BM56" i="3"/>
  <c r="BO56" i="3"/>
  <c r="BQ56" i="3"/>
  <c r="BD57" i="3"/>
  <c r="BF57" i="3"/>
  <c r="BH57" i="3"/>
  <c r="BL57" i="3"/>
  <c r="BN57" i="3"/>
  <c r="BP57" i="3"/>
  <c r="BE58" i="3"/>
  <c r="BG58" i="3"/>
  <c r="BI58" i="3"/>
  <c r="BM58" i="3"/>
  <c r="BO58" i="3"/>
  <c r="BQ58" i="3"/>
  <c r="BE59" i="3"/>
  <c r="BG59" i="3"/>
  <c r="BI59" i="3"/>
  <c r="BM59" i="3"/>
  <c r="BO59" i="3"/>
  <c r="BQ59" i="3"/>
  <c r="BF60" i="3"/>
  <c r="BH60" i="3"/>
  <c r="BL60" i="3"/>
  <c r="BN60" i="3"/>
  <c r="BP60" i="3"/>
  <c r="P61" i="3"/>
  <c r="BE61" i="3"/>
  <c r="BG61" i="3"/>
  <c r="BI61" i="3"/>
  <c r="BL61" i="3"/>
  <c r="BN61" i="3"/>
  <c r="BP61" i="3"/>
  <c r="P62" i="3"/>
  <c r="BD62" i="3"/>
  <c r="BF62" i="3"/>
  <c r="BH62" i="3"/>
  <c r="BL62" i="3"/>
  <c r="BN62" i="3"/>
  <c r="BP62" i="3"/>
  <c r="P63" i="3"/>
  <c r="BE63" i="3"/>
  <c r="BG63" i="3"/>
  <c r="BI63" i="3"/>
  <c r="BM63" i="3"/>
  <c r="BO63" i="3"/>
  <c r="BQ63" i="3"/>
  <c r="P64" i="3"/>
  <c r="BD64" i="3"/>
  <c r="BF64" i="3"/>
  <c r="BH64" i="3"/>
  <c r="BL64" i="3"/>
  <c r="BM64" i="3"/>
  <c r="BO64" i="3"/>
  <c r="BQ64" i="3"/>
  <c r="BE65" i="3"/>
  <c r="BG65" i="3"/>
  <c r="BI65" i="3"/>
  <c r="BM65" i="3"/>
  <c r="BO65" i="3"/>
  <c r="BQ65" i="3"/>
  <c r="BE66" i="3"/>
  <c r="BF66" i="3"/>
  <c r="BH66" i="3"/>
  <c r="BL66" i="3"/>
  <c r="BN66" i="3"/>
  <c r="BP66" i="3"/>
  <c r="BE67" i="3"/>
  <c r="BF67" i="3"/>
  <c r="BH67" i="3"/>
  <c r="BL67" i="3"/>
  <c r="BN67" i="3"/>
  <c r="BP67" i="3"/>
  <c r="P68" i="3"/>
  <c r="BE68" i="3"/>
  <c r="BF68" i="3"/>
  <c r="BH68" i="3"/>
  <c r="BL68" i="3"/>
  <c r="BN68" i="3"/>
  <c r="BP68" i="3"/>
  <c r="P69" i="3"/>
  <c r="BE69" i="3"/>
  <c r="BG69" i="3"/>
  <c r="BI69" i="3"/>
  <c r="BM69" i="3"/>
  <c r="BN69" i="3"/>
  <c r="BP69" i="3"/>
  <c r="BD70" i="3"/>
  <c r="BF70" i="3"/>
  <c r="BG70" i="3"/>
  <c r="BI70" i="3"/>
  <c r="BM70" i="3"/>
  <c r="BO70" i="3"/>
  <c r="BQ70" i="3"/>
  <c r="BD71" i="3"/>
  <c r="BF71" i="3"/>
  <c r="BH71" i="3"/>
  <c r="BL71" i="3"/>
  <c r="BN71" i="3"/>
  <c r="BP71" i="3"/>
  <c r="BD72" i="3"/>
  <c r="BF72" i="3"/>
  <c r="BH72" i="3"/>
  <c r="BL72" i="3"/>
  <c r="BN72" i="3"/>
  <c r="BP72" i="3"/>
  <c r="P73" i="3"/>
  <c r="P76" i="3"/>
  <c r="P78" i="3"/>
  <c r="P79" i="3"/>
  <c r="P81" i="3"/>
  <c r="P82" i="3"/>
  <c r="P83" i="3"/>
  <c r="P85" i="3"/>
  <c r="P87" i="3"/>
  <c r="P88" i="3"/>
  <c r="P89" i="3"/>
  <c r="P92" i="3"/>
  <c r="P94" i="3"/>
  <c r="P95" i="3"/>
  <c r="P96" i="3"/>
  <c r="P97" i="3"/>
  <c r="P98" i="3"/>
  <c r="P100" i="3"/>
  <c r="P102" i="3"/>
  <c r="P104" i="3"/>
  <c r="P105" i="3"/>
  <c r="P107" i="3"/>
  <c r="P108" i="3"/>
  <c r="P111" i="3"/>
  <c r="P112" i="3"/>
  <c r="P113" i="3"/>
  <c r="P117" i="3"/>
  <c r="P120" i="3"/>
  <c r="P124" i="3"/>
  <c r="P133" i="3"/>
  <c r="P135" i="3"/>
  <c r="P136" i="3"/>
  <c r="P139" i="3"/>
  <c r="P141" i="3"/>
  <c r="P142" i="3"/>
  <c r="P143" i="3"/>
  <c r="P145" i="3"/>
  <c r="P147" i="3"/>
  <c r="P148" i="3"/>
  <c r="P151" i="3"/>
  <c r="P152" i="3"/>
  <c r="P153" i="3"/>
  <c r="P157" i="3"/>
  <c r="P159" i="3"/>
  <c r="P162" i="3"/>
  <c r="P163" i="3"/>
  <c r="P168" i="3"/>
  <c r="P170" i="3"/>
  <c r="P171" i="3"/>
  <c r="P172" i="3"/>
  <c r="P173" i="3"/>
  <c r="P175" i="3"/>
  <c r="P176" i="3"/>
  <c r="P177" i="3"/>
  <c r="P178" i="3"/>
  <c r="P179" i="3"/>
  <c r="P182" i="3"/>
  <c r="P183" i="3"/>
  <c r="P184" i="3"/>
  <c r="P185" i="3"/>
  <c r="P188" i="3"/>
  <c r="P189" i="3"/>
  <c r="P191" i="3"/>
  <c r="P192" i="3"/>
  <c r="P193" i="3"/>
  <c r="P195" i="3"/>
  <c r="P196" i="3"/>
  <c r="P197" i="3"/>
  <c r="P198" i="3"/>
  <c r="P199" i="3"/>
  <c r="P203" i="3"/>
  <c r="P204" i="3"/>
  <c r="P205" i="3"/>
  <c r="P207" i="3"/>
  <c r="P208" i="3"/>
  <c r="P11" i="3"/>
  <c r="X12" i="3"/>
  <c r="X16" i="3"/>
  <c r="X18" i="3"/>
  <c r="X25" i="3"/>
  <c r="X42" i="3"/>
  <c r="X45" i="3"/>
  <c r="X47" i="3"/>
  <c r="X49" i="3"/>
  <c r="X51" i="3"/>
  <c r="X52" i="3"/>
  <c r="X53" i="3"/>
  <c r="X54" i="3"/>
  <c r="X55" i="3"/>
  <c r="X57" i="3"/>
  <c r="X58" i="3"/>
  <c r="X59" i="3"/>
  <c r="X60" i="3"/>
  <c r="X61" i="3"/>
  <c r="X62" i="3"/>
  <c r="X65" i="3"/>
  <c r="X71" i="3"/>
  <c r="X72" i="3"/>
  <c r="X74" i="3"/>
  <c r="X75" i="3"/>
  <c r="X76" i="3"/>
  <c r="X77" i="3"/>
  <c r="X78" i="3"/>
  <c r="X81" i="3"/>
  <c r="X83" i="3"/>
  <c r="X85" i="3"/>
  <c r="X86" i="3"/>
  <c r="X89" i="3"/>
  <c r="X90" i="3"/>
  <c r="X92" i="3"/>
  <c r="X94" i="3"/>
  <c r="X96" i="3"/>
  <c r="X99" i="3"/>
  <c r="X100" i="3"/>
  <c r="X103" i="3"/>
  <c r="X106" i="3"/>
  <c r="X107" i="3"/>
  <c r="X108" i="3"/>
  <c r="X110" i="3"/>
  <c r="X112" i="3"/>
  <c r="X113" i="3"/>
  <c r="X114" i="3"/>
  <c r="X116" i="3"/>
  <c r="X117" i="3"/>
  <c r="X120" i="3"/>
  <c r="X122" i="3"/>
  <c r="X125" i="3"/>
  <c r="X126" i="3"/>
  <c r="X127" i="3"/>
  <c r="X128" i="3"/>
  <c r="X129" i="3"/>
  <c r="X130" i="3"/>
  <c r="X131" i="3"/>
  <c r="X135" i="3"/>
  <c r="X137" i="3"/>
  <c r="X138" i="3"/>
  <c r="X141" i="3"/>
  <c r="X142" i="3"/>
  <c r="X144" i="3"/>
  <c r="X146" i="3"/>
  <c r="X147" i="3"/>
  <c r="X148" i="3"/>
  <c r="X149" i="3"/>
  <c r="X153" i="3"/>
  <c r="X154" i="3"/>
  <c r="X157" i="3"/>
  <c r="X158" i="3"/>
  <c r="X160" i="3"/>
  <c r="X161" i="3"/>
  <c r="X162" i="3"/>
  <c r="X164" i="3"/>
  <c r="X166" i="3"/>
  <c r="X167" i="3"/>
  <c r="X168" i="3"/>
  <c r="X169" i="3"/>
  <c r="X170" i="3"/>
  <c r="X172" i="3"/>
  <c r="X174" i="3"/>
  <c r="X175" i="3"/>
  <c r="X177" i="3"/>
  <c r="X179" i="3"/>
  <c r="X182" i="3"/>
  <c r="X185" i="3"/>
  <c r="X187" i="3"/>
  <c r="X188" i="3"/>
  <c r="X190" i="3"/>
  <c r="X192" i="3"/>
  <c r="X194" i="3"/>
  <c r="X195" i="3"/>
  <c r="X197" i="3"/>
  <c r="X199" i="3"/>
  <c r="X201" i="3"/>
  <c r="X203" i="3"/>
  <c r="X204" i="3"/>
  <c r="X206" i="3"/>
  <c r="X207" i="3"/>
  <c r="X208" i="3"/>
  <c r="X210" i="3"/>
  <c r="X211" i="3"/>
  <c r="X212" i="3"/>
  <c r="X213" i="3"/>
  <c r="X214" i="3"/>
  <c r="X215" i="3"/>
  <c r="X216" i="3"/>
  <c r="X218" i="3"/>
  <c r="X219" i="3"/>
  <c r="X220" i="3"/>
  <c r="X225" i="3"/>
  <c r="X227" i="3"/>
  <c r="X229" i="3"/>
  <c r="X233" i="3"/>
  <c r="X234" i="3"/>
  <c r="X236" i="3"/>
  <c r="X238" i="3"/>
  <c r="X239" i="3"/>
  <c r="X240" i="3"/>
  <c r="X242" i="3"/>
  <c r="X243" i="3"/>
  <c r="X244" i="3"/>
  <c r="X246" i="3"/>
  <c r="X247" i="3"/>
  <c r="X248" i="3"/>
  <c r="X250" i="3"/>
  <c r="X253" i="3"/>
  <c r="X255" i="3"/>
  <c r="X259" i="3"/>
  <c r="X260" i="3"/>
  <c r="X261" i="3"/>
  <c r="X262" i="3"/>
  <c r="X263" i="3"/>
  <c r="X265" i="3"/>
  <c r="X267" i="3"/>
  <c r="X268" i="3"/>
  <c r="X270" i="3"/>
  <c r="X271" i="3"/>
  <c r="X272" i="3"/>
  <c r="X276" i="3"/>
  <c r="X277" i="3"/>
  <c r="X279" i="3"/>
  <c r="X280" i="3"/>
  <c r="X281" i="3"/>
  <c r="X13" i="3"/>
  <c r="X14" i="3"/>
  <c r="X15" i="3"/>
  <c r="X17" i="3"/>
  <c r="X19" i="3"/>
  <c r="X20" i="3"/>
  <c r="X21" i="3"/>
  <c r="X22" i="3"/>
  <c r="X23" i="3"/>
  <c r="X24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3" i="3"/>
  <c r="X44" i="3"/>
  <c r="X46" i="3"/>
  <c r="X48" i="3"/>
  <c r="X50" i="3"/>
  <c r="X56" i="3"/>
  <c r="X63" i="3"/>
  <c r="X64" i="3"/>
  <c r="X66" i="3"/>
  <c r="X67" i="3"/>
  <c r="X68" i="3"/>
  <c r="X69" i="3"/>
  <c r="X70" i="3"/>
  <c r="X73" i="3"/>
  <c r="X79" i="3"/>
  <c r="X80" i="3"/>
  <c r="X82" i="3"/>
  <c r="X84" i="3"/>
  <c r="X87" i="3"/>
  <c r="X88" i="3"/>
  <c r="X91" i="3"/>
  <c r="X93" i="3"/>
  <c r="X95" i="3"/>
  <c r="X97" i="3"/>
  <c r="X98" i="3"/>
  <c r="X101" i="3"/>
  <c r="X102" i="3"/>
  <c r="X104" i="3"/>
  <c r="X105" i="3"/>
  <c r="X109" i="3"/>
  <c r="X111" i="3"/>
  <c r="X115" i="3"/>
  <c r="X118" i="3"/>
  <c r="X119" i="3"/>
  <c r="X121" i="3"/>
  <c r="X123" i="3"/>
  <c r="X124" i="3"/>
  <c r="X132" i="3"/>
  <c r="X133" i="3"/>
  <c r="X134" i="3"/>
  <c r="X136" i="3"/>
  <c r="X139" i="3"/>
  <c r="X140" i="3"/>
  <c r="X143" i="3"/>
  <c r="X145" i="3"/>
  <c r="X150" i="3"/>
  <c r="X151" i="3"/>
  <c r="X152" i="3"/>
  <c r="X155" i="3"/>
  <c r="X156" i="3"/>
  <c r="X159" i="3"/>
  <c r="X163" i="3"/>
  <c r="X165" i="3"/>
  <c r="X171" i="3"/>
  <c r="X173" i="3"/>
  <c r="X176" i="3"/>
  <c r="X178" i="3"/>
  <c r="X180" i="3"/>
  <c r="X181" i="3"/>
  <c r="X183" i="3"/>
  <c r="X184" i="3"/>
  <c r="X186" i="3"/>
  <c r="X189" i="3"/>
  <c r="X191" i="3"/>
  <c r="X193" i="3"/>
  <c r="X196" i="3"/>
  <c r="X198" i="3"/>
  <c r="X200" i="3"/>
  <c r="X202" i="3"/>
  <c r="X205" i="3"/>
  <c r="X209" i="3"/>
  <c r="X217" i="3"/>
  <c r="X221" i="3"/>
  <c r="X222" i="3"/>
  <c r="X223" i="3"/>
  <c r="X224" i="3"/>
  <c r="X226" i="3"/>
  <c r="X228" i="3"/>
  <c r="X230" i="3"/>
  <c r="X231" i="3"/>
  <c r="X232" i="3"/>
  <c r="X235" i="3"/>
  <c r="X237" i="3"/>
  <c r="X241" i="3"/>
  <c r="X245" i="3"/>
  <c r="X249" i="3"/>
  <c r="X251" i="3"/>
  <c r="X252" i="3"/>
  <c r="X254" i="3"/>
  <c r="X256" i="3"/>
  <c r="X257" i="3"/>
  <c r="X258" i="3"/>
  <c r="X264" i="3"/>
  <c r="X266" i="3"/>
  <c r="X269" i="3"/>
  <c r="X273" i="3"/>
  <c r="X274" i="3"/>
  <c r="X275" i="3"/>
  <c r="X278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800" i="3"/>
  <c r="X824" i="3"/>
  <c r="X840" i="3"/>
  <c r="X858" i="3"/>
  <c r="X866" i="3"/>
  <c r="X868" i="3"/>
  <c r="X889" i="3"/>
  <c r="X907" i="3"/>
  <c r="X916" i="3"/>
  <c r="X933" i="3"/>
  <c r="X940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802" i="3"/>
  <c r="X803" i="3"/>
  <c r="X819" i="3"/>
  <c r="X822" i="3"/>
  <c r="X841" i="3"/>
  <c r="X842" i="3"/>
  <c r="X847" i="3"/>
  <c r="X859" i="3"/>
  <c r="X883" i="3"/>
  <c r="X911" i="3"/>
  <c r="X792" i="3"/>
  <c r="X813" i="3"/>
  <c r="X815" i="3"/>
  <c r="X816" i="3"/>
  <c r="X833" i="3"/>
  <c r="X834" i="3"/>
  <c r="X854" i="3"/>
  <c r="X857" i="3"/>
  <c r="X872" i="3"/>
  <c r="X892" i="3"/>
  <c r="X903" i="3"/>
  <c r="X929" i="3"/>
  <c r="X930" i="3"/>
  <c r="X935" i="3"/>
  <c r="X837" i="3"/>
  <c r="X855" i="3"/>
  <c r="X856" i="3"/>
  <c r="X873" i="3"/>
  <c r="X878" i="3"/>
  <c r="X890" i="3"/>
  <c r="X915" i="3"/>
  <c r="X921" i="3"/>
  <c r="X794" i="3"/>
  <c r="X795" i="3"/>
  <c r="X796" i="3"/>
  <c r="X806" i="3"/>
  <c r="X810" i="3"/>
  <c r="X823" i="3"/>
  <c r="X826" i="3"/>
  <c r="X848" i="3"/>
  <c r="X863" i="3"/>
  <c r="X884" i="3"/>
  <c r="X885" i="3"/>
  <c r="X887" i="3"/>
  <c r="X891" i="3"/>
  <c r="X902" i="3"/>
  <c r="X904" i="3"/>
  <c r="X820" i="3"/>
  <c r="X832" i="3"/>
  <c r="X838" i="3"/>
  <c r="X913" i="3"/>
  <c r="X924" i="3"/>
  <c r="X925" i="3"/>
  <c r="X793" i="3"/>
  <c r="X805" i="3"/>
  <c r="X814" i="3"/>
  <c r="X829" i="3"/>
  <c r="X831" i="3"/>
  <c r="X851" i="3"/>
  <c r="X869" i="3"/>
  <c r="X880" i="3"/>
  <c r="X881" i="3"/>
  <c r="X888" i="3"/>
  <c r="X909" i="3"/>
  <c r="X910" i="3"/>
  <c r="X920" i="3"/>
  <c r="X928" i="3"/>
  <c r="X936" i="3"/>
  <c r="X937" i="3"/>
  <c r="X938" i="3"/>
  <c r="X799" i="3"/>
  <c r="X807" i="3"/>
  <c r="X808" i="3"/>
  <c r="X817" i="3"/>
  <c r="X828" i="3"/>
  <c r="X830" i="3"/>
  <c r="X843" i="3"/>
  <c r="X845" i="3"/>
  <c r="X870" i="3"/>
  <c r="X871" i="3"/>
  <c r="X874" i="3"/>
  <c r="X896" i="3"/>
  <c r="X898" i="3"/>
  <c r="X900" i="3"/>
  <c r="X934" i="3"/>
  <c r="X941" i="3"/>
  <c r="X804" i="3"/>
  <c r="X812" i="3"/>
  <c r="X844" i="3"/>
  <c r="X853" i="3"/>
  <c r="X879" i="3"/>
  <c r="X882" i="3"/>
  <c r="X893" i="3"/>
  <c r="X894" i="3"/>
  <c r="X897" i="3"/>
  <c r="X918" i="3"/>
  <c r="X919" i="3"/>
  <c r="X931" i="3"/>
  <c r="X821" i="3"/>
  <c r="X825" i="3"/>
  <c r="X835" i="3"/>
  <c r="X836" i="3"/>
  <c r="X846" i="3"/>
  <c r="X865" i="3"/>
  <c r="X867" i="3"/>
  <c r="X877" i="3"/>
  <c r="X899" i="3"/>
  <c r="X901" i="3"/>
  <c r="X917" i="3"/>
  <c r="X797" i="3"/>
  <c r="X798" i="3"/>
  <c r="X809" i="3"/>
  <c r="X811" i="3"/>
  <c r="X850" i="3"/>
  <c r="X860" i="3"/>
  <c r="X861" i="3"/>
  <c r="X862" i="3"/>
  <c r="X864" i="3"/>
  <c r="X876" i="3"/>
  <c r="X895" i="3"/>
  <c r="X906" i="3"/>
  <c r="X926" i="3"/>
  <c r="X927" i="3"/>
  <c r="X932" i="3"/>
  <c r="X939" i="3"/>
  <c r="X801" i="3"/>
  <c r="X818" i="3"/>
  <c r="X827" i="3"/>
  <c r="X839" i="3"/>
  <c r="X849" i="3"/>
  <c r="X852" i="3"/>
  <c r="X875" i="3"/>
  <c r="X886" i="3"/>
  <c r="X905" i="3"/>
  <c r="X908" i="3"/>
  <c r="X912" i="3"/>
  <c r="X914" i="3"/>
  <c r="X922" i="3"/>
  <c r="X923" i="3"/>
  <c r="X11" i="3"/>
  <c r="P12" i="2"/>
  <c r="P13" i="2"/>
  <c r="BD13" i="2"/>
  <c r="BE13" i="2"/>
  <c r="BF13" i="2"/>
  <c r="BG13" i="2"/>
  <c r="BH13" i="2"/>
  <c r="BI13" i="2"/>
  <c r="BL13" i="2"/>
  <c r="BM13" i="2"/>
  <c r="BN13" i="2"/>
  <c r="BO13" i="2"/>
  <c r="BP13" i="2"/>
  <c r="BQ13" i="2"/>
  <c r="P14" i="2"/>
  <c r="BD14" i="2"/>
  <c r="BE14" i="2"/>
  <c r="BF14" i="2"/>
  <c r="BG14" i="2"/>
  <c r="BH14" i="2"/>
  <c r="BI14" i="2"/>
  <c r="BL14" i="2"/>
  <c r="BM14" i="2"/>
  <c r="BN14" i="2"/>
  <c r="BO14" i="2"/>
  <c r="BP14" i="2"/>
  <c r="BQ14" i="2"/>
  <c r="P15" i="2"/>
  <c r="BD15" i="2"/>
  <c r="BE15" i="2"/>
  <c r="BF15" i="2"/>
  <c r="BG15" i="2"/>
  <c r="BH15" i="2"/>
  <c r="BI15" i="2"/>
  <c r="BL15" i="2"/>
  <c r="BM15" i="2"/>
  <c r="BN15" i="2"/>
  <c r="BO15" i="2"/>
  <c r="BP15" i="2"/>
  <c r="BQ15" i="2"/>
  <c r="P16" i="2"/>
  <c r="BD16" i="2"/>
  <c r="BE16" i="2"/>
  <c r="BF16" i="2"/>
  <c r="BG16" i="2"/>
  <c r="BH16" i="2"/>
  <c r="BI16" i="2"/>
  <c r="BL16" i="2"/>
  <c r="BM16" i="2"/>
  <c r="BN16" i="2"/>
  <c r="BO16" i="2"/>
  <c r="BP16" i="2"/>
  <c r="BQ16" i="2"/>
  <c r="P17" i="2"/>
  <c r="BD17" i="2"/>
  <c r="BE17" i="2"/>
  <c r="BF17" i="2"/>
  <c r="BG17" i="2"/>
  <c r="BH17" i="2"/>
  <c r="BI17" i="2"/>
  <c r="BL17" i="2"/>
  <c r="BM17" i="2"/>
  <c r="BN17" i="2"/>
  <c r="BO17" i="2"/>
  <c r="BP17" i="2"/>
  <c r="BQ17" i="2"/>
  <c r="P18" i="2"/>
  <c r="BD18" i="2"/>
  <c r="BE18" i="2"/>
  <c r="BF18" i="2"/>
  <c r="BG18" i="2"/>
  <c r="BH18" i="2"/>
  <c r="BI18" i="2"/>
  <c r="BL18" i="2"/>
  <c r="BM18" i="2"/>
  <c r="BN18" i="2"/>
  <c r="BO18" i="2"/>
  <c r="BP18" i="2"/>
  <c r="BQ18" i="2"/>
  <c r="P19" i="2"/>
  <c r="BD19" i="2"/>
  <c r="BE19" i="2"/>
  <c r="BF19" i="2"/>
  <c r="BG19" i="2"/>
  <c r="BH19" i="2"/>
  <c r="BI19" i="2"/>
  <c r="BL19" i="2"/>
  <c r="BM19" i="2"/>
  <c r="BN19" i="2"/>
  <c r="BO19" i="2"/>
  <c r="BP19" i="2"/>
  <c r="BQ19" i="2"/>
  <c r="P20" i="2"/>
  <c r="BD20" i="2"/>
  <c r="BE20" i="2"/>
  <c r="BF20" i="2"/>
  <c r="BG20" i="2"/>
  <c r="BH20" i="2"/>
  <c r="BI20" i="2"/>
  <c r="BL20" i="2"/>
  <c r="BM20" i="2"/>
  <c r="BN20" i="2"/>
  <c r="BO20" i="2"/>
  <c r="BP20" i="2"/>
  <c r="BQ20" i="2"/>
  <c r="P21" i="2"/>
  <c r="BD21" i="2"/>
  <c r="BE21" i="2"/>
  <c r="BF21" i="2"/>
  <c r="BG21" i="2"/>
  <c r="BH21" i="2"/>
  <c r="BI21" i="2"/>
  <c r="BL21" i="2"/>
  <c r="BM21" i="2"/>
  <c r="BN21" i="2"/>
  <c r="BO21" i="2"/>
  <c r="BP21" i="2"/>
  <c r="BQ21" i="2"/>
  <c r="P22" i="2"/>
  <c r="BD22" i="2"/>
  <c r="BE22" i="2"/>
  <c r="BF22" i="2"/>
  <c r="BG22" i="2"/>
  <c r="BH22" i="2"/>
  <c r="BI22" i="2"/>
  <c r="BL22" i="2"/>
  <c r="BM22" i="2"/>
  <c r="BN22" i="2"/>
  <c r="BO22" i="2"/>
  <c r="BP22" i="2"/>
  <c r="BQ22" i="2"/>
  <c r="P23" i="2"/>
  <c r="BD23" i="2"/>
  <c r="BE23" i="2"/>
  <c r="BF23" i="2"/>
  <c r="BG23" i="2"/>
  <c r="BH23" i="2"/>
  <c r="BI23" i="2"/>
  <c r="BL23" i="2"/>
  <c r="BM23" i="2"/>
  <c r="BN23" i="2"/>
  <c r="BO23" i="2"/>
  <c r="BP23" i="2"/>
  <c r="BQ23" i="2"/>
  <c r="P24" i="2"/>
  <c r="BD24" i="2"/>
  <c r="BE24" i="2"/>
  <c r="BF24" i="2"/>
  <c r="BG24" i="2"/>
  <c r="BH24" i="2"/>
  <c r="BI24" i="2"/>
  <c r="BL24" i="2"/>
  <c r="BM24" i="2"/>
  <c r="BN24" i="2"/>
  <c r="BO24" i="2"/>
  <c r="BP24" i="2"/>
  <c r="BQ24" i="2"/>
  <c r="P25" i="2"/>
  <c r="BD25" i="2"/>
  <c r="BE25" i="2"/>
  <c r="BF25" i="2"/>
  <c r="BG25" i="2"/>
  <c r="BH25" i="2"/>
  <c r="BI25" i="2"/>
  <c r="BL25" i="2"/>
  <c r="BM25" i="2"/>
  <c r="BN25" i="2"/>
  <c r="BO25" i="2"/>
  <c r="BP25" i="2"/>
  <c r="BQ25" i="2"/>
  <c r="P26" i="2"/>
  <c r="BD26" i="2"/>
  <c r="BE26" i="2"/>
  <c r="BF26" i="2"/>
  <c r="BG26" i="2"/>
  <c r="BH26" i="2"/>
  <c r="BI26" i="2"/>
  <c r="BL26" i="2"/>
  <c r="BM26" i="2"/>
  <c r="BN26" i="2"/>
  <c r="BO26" i="2"/>
  <c r="BP26" i="2"/>
  <c r="BQ26" i="2"/>
  <c r="P27" i="2"/>
  <c r="BD27" i="2"/>
  <c r="BE27" i="2"/>
  <c r="BF27" i="2"/>
  <c r="BG27" i="2"/>
  <c r="BH27" i="2"/>
  <c r="BI27" i="2"/>
  <c r="BL27" i="2"/>
  <c r="BM27" i="2"/>
  <c r="BN27" i="2"/>
  <c r="BO27" i="2"/>
  <c r="BP27" i="2"/>
  <c r="BQ27" i="2"/>
  <c r="P28" i="2"/>
  <c r="BD28" i="2"/>
  <c r="BE28" i="2"/>
  <c r="BF28" i="2"/>
  <c r="BG28" i="2"/>
  <c r="BH28" i="2"/>
  <c r="BI28" i="2"/>
  <c r="BL28" i="2"/>
  <c r="BM28" i="2"/>
  <c r="BN28" i="2"/>
  <c r="BO28" i="2"/>
  <c r="BP28" i="2"/>
  <c r="BQ28" i="2"/>
  <c r="P29" i="2"/>
  <c r="BD29" i="2"/>
  <c r="BE29" i="2"/>
  <c r="BF29" i="2"/>
  <c r="BG29" i="2"/>
  <c r="BH29" i="2"/>
  <c r="BI29" i="2"/>
  <c r="BL29" i="2"/>
  <c r="BM29" i="2"/>
  <c r="BN29" i="2"/>
  <c r="BO29" i="2"/>
  <c r="BP29" i="2"/>
  <c r="BQ29" i="2"/>
  <c r="P30" i="2"/>
  <c r="BD30" i="2"/>
  <c r="BE30" i="2"/>
  <c r="BF30" i="2"/>
  <c r="BG30" i="2"/>
  <c r="BH30" i="2"/>
  <c r="BI30" i="2"/>
  <c r="BL30" i="2"/>
  <c r="BM30" i="2"/>
  <c r="BN30" i="2"/>
  <c r="BO30" i="2"/>
  <c r="BP30" i="2"/>
  <c r="BQ30" i="2"/>
  <c r="P31" i="2"/>
  <c r="BD31" i="2"/>
  <c r="BE31" i="2"/>
  <c r="BF31" i="2"/>
  <c r="BG31" i="2"/>
  <c r="BH31" i="2"/>
  <c r="BI31" i="2"/>
  <c r="BL31" i="2"/>
  <c r="BM31" i="2"/>
  <c r="BN31" i="2"/>
  <c r="BO31" i="2"/>
  <c r="BP31" i="2"/>
  <c r="BQ31" i="2"/>
  <c r="P32" i="2"/>
  <c r="BD32" i="2"/>
  <c r="BE32" i="2"/>
  <c r="BF32" i="2"/>
  <c r="BG32" i="2"/>
  <c r="BH32" i="2"/>
  <c r="BI32" i="2"/>
  <c r="BL32" i="2"/>
  <c r="BM32" i="2"/>
  <c r="BN32" i="2"/>
  <c r="BO32" i="2"/>
  <c r="BP32" i="2"/>
  <c r="BQ32" i="2"/>
  <c r="P33" i="2"/>
  <c r="BD33" i="2"/>
  <c r="BE33" i="2"/>
  <c r="BF33" i="2"/>
  <c r="BG33" i="2"/>
  <c r="BH33" i="2"/>
  <c r="BI33" i="2"/>
  <c r="BL33" i="2"/>
  <c r="BM33" i="2"/>
  <c r="BN33" i="2"/>
  <c r="BO33" i="2"/>
  <c r="BP33" i="2"/>
  <c r="BQ33" i="2"/>
  <c r="P34" i="2"/>
  <c r="BD34" i="2"/>
  <c r="BE34" i="2"/>
  <c r="BF34" i="2"/>
  <c r="BG34" i="2"/>
  <c r="BH34" i="2"/>
  <c r="BI34" i="2"/>
  <c r="BL34" i="2"/>
  <c r="BM34" i="2"/>
  <c r="BN34" i="2"/>
  <c r="BO34" i="2"/>
  <c r="BP34" i="2"/>
  <c r="BQ34" i="2"/>
  <c r="P35" i="2"/>
  <c r="BD35" i="2"/>
  <c r="BE35" i="2"/>
  <c r="BF35" i="2"/>
  <c r="BG35" i="2"/>
  <c r="BH35" i="2"/>
  <c r="BI35" i="2"/>
  <c r="BL35" i="2"/>
  <c r="BM35" i="2"/>
  <c r="BN35" i="2"/>
  <c r="BO35" i="2"/>
  <c r="BP35" i="2"/>
  <c r="BQ35" i="2"/>
  <c r="P36" i="2"/>
  <c r="BD36" i="2"/>
  <c r="BE36" i="2"/>
  <c r="BF36" i="2"/>
  <c r="BG36" i="2"/>
  <c r="BH36" i="2"/>
  <c r="BI36" i="2"/>
  <c r="BL36" i="2"/>
  <c r="BM36" i="2"/>
  <c r="BN36" i="2"/>
  <c r="BO36" i="2"/>
  <c r="BP36" i="2"/>
  <c r="BQ36" i="2"/>
  <c r="P37" i="2"/>
  <c r="BD37" i="2"/>
  <c r="BE37" i="2"/>
  <c r="BF37" i="2"/>
  <c r="BG37" i="2"/>
  <c r="BH37" i="2"/>
  <c r="BI37" i="2"/>
  <c r="BL37" i="2"/>
  <c r="BM37" i="2"/>
  <c r="BN37" i="2"/>
  <c r="BO37" i="2"/>
  <c r="BP37" i="2"/>
  <c r="BQ37" i="2"/>
  <c r="P38" i="2"/>
  <c r="BD38" i="2"/>
  <c r="BE38" i="2"/>
  <c r="BF38" i="2"/>
  <c r="BG38" i="2"/>
  <c r="BH38" i="2"/>
  <c r="BI38" i="2"/>
  <c r="BL38" i="2"/>
  <c r="BM38" i="2"/>
  <c r="BN38" i="2"/>
  <c r="BO38" i="2"/>
  <c r="BP38" i="2"/>
  <c r="BQ38" i="2"/>
  <c r="P39" i="2"/>
  <c r="BD39" i="2"/>
  <c r="BE39" i="2"/>
  <c r="BF39" i="2"/>
  <c r="BG39" i="2"/>
  <c r="BH39" i="2"/>
  <c r="BI39" i="2"/>
  <c r="BL39" i="2"/>
  <c r="BM39" i="2"/>
  <c r="BN39" i="2"/>
  <c r="BO39" i="2"/>
  <c r="BP39" i="2"/>
  <c r="BQ39" i="2"/>
  <c r="P40" i="2"/>
  <c r="BD40" i="2"/>
  <c r="BE40" i="2"/>
  <c r="BF40" i="2"/>
  <c r="BG40" i="2"/>
  <c r="BH40" i="2"/>
  <c r="BI40" i="2"/>
  <c r="BL40" i="2"/>
  <c r="BM40" i="2"/>
  <c r="BN40" i="2"/>
  <c r="BO40" i="2"/>
  <c r="BP40" i="2"/>
  <c r="BQ40" i="2"/>
  <c r="P41" i="2"/>
  <c r="BD41" i="2"/>
  <c r="BE41" i="2"/>
  <c r="BF41" i="2"/>
  <c r="BG41" i="2"/>
  <c r="BH41" i="2"/>
  <c r="BI41" i="2"/>
  <c r="BL41" i="2"/>
  <c r="BM41" i="2"/>
  <c r="BN41" i="2"/>
  <c r="BO41" i="2"/>
  <c r="BP41" i="2"/>
  <c r="BQ41" i="2"/>
  <c r="P42" i="2"/>
  <c r="BD42" i="2"/>
  <c r="BE42" i="2"/>
  <c r="BF42" i="2"/>
  <c r="BG42" i="2"/>
  <c r="BH42" i="2"/>
  <c r="BI42" i="2"/>
  <c r="BL42" i="2"/>
  <c r="BM42" i="2"/>
  <c r="BN42" i="2"/>
  <c r="BO42" i="2"/>
  <c r="BP42" i="2"/>
  <c r="BQ42" i="2"/>
  <c r="P43" i="2"/>
  <c r="BD43" i="2"/>
  <c r="BE43" i="2"/>
  <c r="BF43" i="2"/>
  <c r="BG43" i="2"/>
  <c r="BH43" i="2"/>
  <c r="BI43" i="2"/>
  <c r="BL43" i="2"/>
  <c r="BM43" i="2"/>
  <c r="BN43" i="2"/>
  <c r="BO43" i="2"/>
  <c r="BP43" i="2"/>
  <c r="BQ43" i="2"/>
  <c r="P44" i="2"/>
  <c r="BD44" i="2"/>
  <c r="BE44" i="2"/>
  <c r="BF44" i="2"/>
  <c r="BG44" i="2"/>
  <c r="BH44" i="2"/>
  <c r="BI44" i="2"/>
  <c r="BL44" i="2"/>
  <c r="BM44" i="2"/>
  <c r="BN44" i="2"/>
  <c r="BO44" i="2"/>
  <c r="BP44" i="2"/>
  <c r="BQ44" i="2"/>
  <c r="P45" i="2"/>
  <c r="BD45" i="2"/>
  <c r="BE45" i="2"/>
  <c r="BF45" i="2"/>
  <c r="BG45" i="2"/>
  <c r="BH45" i="2"/>
  <c r="BI45" i="2"/>
  <c r="BL45" i="2"/>
  <c r="BM45" i="2"/>
  <c r="BN45" i="2"/>
  <c r="BO45" i="2"/>
  <c r="BP45" i="2"/>
  <c r="BQ45" i="2"/>
  <c r="P46" i="2"/>
  <c r="BD46" i="2"/>
  <c r="BE46" i="2"/>
  <c r="BF46" i="2"/>
  <c r="BG46" i="2"/>
  <c r="BH46" i="2"/>
  <c r="BI46" i="2"/>
  <c r="BL46" i="2"/>
  <c r="BM46" i="2"/>
  <c r="BN46" i="2"/>
  <c r="BO46" i="2"/>
  <c r="BP46" i="2"/>
  <c r="BQ46" i="2"/>
  <c r="P47" i="2"/>
  <c r="BD47" i="2"/>
  <c r="BE47" i="2"/>
  <c r="BF47" i="2"/>
  <c r="BG47" i="2"/>
  <c r="BH47" i="2"/>
  <c r="BI47" i="2"/>
  <c r="BL47" i="2"/>
  <c r="BM47" i="2"/>
  <c r="BN47" i="2"/>
  <c r="BO47" i="2"/>
  <c r="BP47" i="2"/>
  <c r="BQ47" i="2"/>
  <c r="P48" i="2"/>
  <c r="BD48" i="2"/>
  <c r="BE48" i="2"/>
  <c r="BF48" i="2"/>
  <c r="BG48" i="2"/>
  <c r="BH48" i="2"/>
  <c r="BI48" i="2"/>
  <c r="BL48" i="2"/>
  <c r="BM48" i="2"/>
  <c r="BN48" i="2"/>
  <c r="BO48" i="2"/>
  <c r="BP48" i="2"/>
  <c r="BQ48" i="2"/>
  <c r="P49" i="2"/>
  <c r="BD49" i="2"/>
  <c r="BE49" i="2"/>
  <c r="BF49" i="2"/>
  <c r="BG49" i="2"/>
  <c r="BH49" i="2"/>
  <c r="BI49" i="2"/>
  <c r="BL49" i="2"/>
  <c r="BM49" i="2"/>
  <c r="BN49" i="2"/>
  <c r="BO49" i="2"/>
  <c r="BP49" i="2"/>
  <c r="BQ49" i="2"/>
  <c r="P50" i="2"/>
  <c r="BD50" i="2"/>
  <c r="BE50" i="2"/>
  <c r="BF50" i="2"/>
  <c r="BG50" i="2"/>
  <c r="BH50" i="2"/>
  <c r="BI50" i="2"/>
  <c r="BL50" i="2"/>
  <c r="BM50" i="2"/>
  <c r="BN50" i="2"/>
  <c r="BO50" i="2"/>
  <c r="BP50" i="2"/>
  <c r="BQ50" i="2"/>
  <c r="P51" i="2"/>
  <c r="BD51" i="2"/>
  <c r="BE51" i="2"/>
  <c r="BF51" i="2"/>
  <c r="BG51" i="2"/>
  <c r="BH51" i="2"/>
  <c r="BI51" i="2"/>
  <c r="BL51" i="2"/>
  <c r="BM51" i="2"/>
  <c r="BN51" i="2"/>
  <c r="BO51" i="2"/>
  <c r="BP51" i="2"/>
  <c r="BQ51" i="2"/>
  <c r="P52" i="2"/>
  <c r="BD52" i="2"/>
  <c r="BE52" i="2"/>
  <c r="BF52" i="2"/>
  <c r="BG52" i="2"/>
  <c r="BH52" i="2"/>
  <c r="BI52" i="2"/>
  <c r="BL52" i="2"/>
  <c r="BM52" i="2"/>
  <c r="BN52" i="2"/>
  <c r="BO52" i="2"/>
  <c r="BP52" i="2"/>
  <c r="BQ52" i="2"/>
  <c r="P53" i="2"/>
  <c r="BD53" i="2"/>
  <c r="BE53" i="2"/>
  <c r="BF53" i="2"/>
  <c r="BG53" i="2"/>
  <c r="BH53" i="2"/>
  <c r="BI53" i="2"/>
  <c r="BL53" i="2"/>
  <c r="BM53" i="2"/>
  <c r="BN53" i="2"/>
  <c r="BO53" i="2"/>
  <c r="BP53" i="2"/>
  <c r="BQ53" i="2"/>
  <c r="P54" i="2"/>
  <c r="BD54" i="2"/>
  <c r="BE54" i="2"/>
  <c r="BF54" i="2"/>
  <c r="BG54" i="2"/>
  <c r="BH54" i="2"/>
  <c r="BI54" i="2"/>
  <c r="BL54" i="2"/>
  <c r="BM54" i="2"/>
  <c r="BN54" i="2"/>
  <c r="BO54" i="2"/>
  <c r="BP54" i="2"/>
  <c r="BQ54" i="2"/>
  <c r="P55" i="2"/>
  <c r="BD55" i="2"/>
  <c r="BE55" i="2"/>
  <c r="BF55" i="2"/>
  <c r="BG55" i="2"/>
  <c r="BH55" i="2"/>
  <c r="BI55" i="2"/>
  <c r="BL55" i="2"/>
  <c r="BM55" i="2"/>
  <c r="BN55" i="2"/>
  <c r="BO55" i="2"/>
  <c r="BP55" i="2"/>
  <c r="BQ55" i="2"/>
  <c r="P56" i="2"/>
  <c r="BD56" i="2"/>
  <c r="BE56" i="2"/>
  <c r="BF56" i="2"/>
  <c r="BG56" i="2"/>
  <c r="BH56" i="2"/>
  <c r="BI56" i="2"/>
  <c r="BL56" i="2"/>
  <c r="BM56" i="2"/>
  <c r="BN56" i="2"/>
  <c r="BO56" i="2"/>
  <c r="BP56" i="2"/>
  <c r="BQ56" i="2"/>
  <c r="P57" i="2"/>
  <c r="BD57" i="2"/>
  <c r="BE57" i="2"/>
  <c r="BF57" i="2"/>
  <c r="BG57" i="2"/>
  <c r="BH57" i="2"/>
  <c r="BI57" i="2"/>
  <c r="BL57" i="2"/>
  <c r="BM57" i="2"/>
  <c r="BN57" i="2"/>
  <c r="BO57" i="2"/>
  <c r="BP57" i="2"/>
  <c r="BQ57" i="2"/>
  <c r="P58" i="2"/>
  <c r="BD58" i="2"/>
  <c r="BE58" i="2"/>
  <c r="BF58" i="2"/>
  <c r="BG58" i="2"/>
  <c r="BH58" i="2"/>
  <c r="BI58" i="2"/>
  <c r="BL58" i="2"/>
  <c r="BM58" i="2"/>
  <c r="BN58" i="2"/>
  <c r="BO58" i="2"/>
  <c r="BP58" i="2"/>
  <c r="BQ58" i="2"/>
  <c r="P59" i="2"/>
  <c r="BD59" i="2"/>
  <c r="BE59" i="2"/>
  <c r="BF59" i="2"/>
  <c r="BG59" i="2"/>
  <c r="BH59" i="2"/>
  <c r="BI59" i="2"/>
  <c r="BL59" i="2"/>
  <c r="BM59" i="2"/>
  <c r="BN59" i="2"/>
  <c r="BO59" i="2"/>
  <c r="BP59" i="2"/>
  <c r="BQ59" i="2"/>
  <c r="P60" i="2"/>
  <c r="BD60" i="2"/>
  <c r="BE60" i="2"/>
  <c r="BF60" i="2"/>
  <c r="BG60" i="2"/>
  <c r="BH60" i="2"/>
  <c r="BI60" i="2"/>
  <c r="BL60" i="2"/>
  <c r="BM60" i="2"/>
  <c r="BN60" i="2"/>
  <c r="BO60" i="2"/>
  <c r="BP60" i="2"/>
  <c r="BQ60" i="2"/>
  <c r="P61" i="2"/>
  <c r="BD61" i="2"/>
  <c r="BE61" i="2"/>
  <c r="BF61" i="2"/>
  <c r="BG61" i="2"/>
  <c r="BH61" i="2"/>
  <c r="BI61" i="2"/>
  <c r="BL61" i="2"/>
  <c r="BM61" i="2"/>
  <c r="BN61" i="2"/>
  <c r="BO61" i="2"/>
  <c r="BP61" i="2"/>
  <c r="BQ61" i="2"/>
  <c r="P62" i="2"/>
  <c r="BD62" i="2"/>
  <c r="BE62" i="2"/>
  <c r="BF62" i="2"/>
  <c r="BG62" i="2"/>
  <c r="BH62" i="2"/>
  <c r="BI62" i="2"/>
  <c r="BL62" i="2"/>
  <c r="BM62" i="2"/>
  <c r="BN62" i="2"/>
  <c r="BO62" i="2"/>
  <c r="BP62" i="2"/>
  <c r="BQ62" i="2"/>
  <c r="P63" i="2"/>
  <c r="BD63" i="2"/>
  <c r="BE63" i="2"/>
  <c r="BF63" i="2"/>
  <c r="BG63" i="2"/>
  <c r="BH63" i="2"/>
  <c r="BI63" i="2"/>
  <c r="BL63" i="2"/>
  <c r="BM63" i="2"/>
  <c r="BN63" i="2"/>
  <c r="BO63" i="2"/>
  <c r="BP63" i="2"/>
  <c r="BQ63" i="2"/>
  <c r="P64" i="2"/>
  <c r="BD64" i="2"/>
  <c r="BE64" i="2"/>
  <c r="BF64" i="2"/>
  <c r="BG64" i="2"/>
  <c r="BH64" i="2"/>
  <c r="BI64" i="2"/>
  <c r="BL64" i="2"/>
  <c r="BM64" i="2"/>
  <c r="BN64" i="2"/>
  <c r="BO64" i="2"/>
  <c r="BP64" i="2"/>
  <c r="BQ64" i="2"/>
  <c r="P65" i="2"/>
  <c r="BD65" i="2"/>
  <c r="BE65" i="2"/>
  <c r="BF65" i="2"/>
  <c r="BG65" i="2"/>
  <c r="BH65" i="2"/>
  <c r="BI65" i="2"/>
  <c r="BL65" i="2"/>
  <c r="BM65" i="2"/>
  <c r="BN65" i="2"/>
  <c r="BO65" i="2"/>
  <c r="BP65" i="2"/>
  <c r="BQ65" i="2"/>
  <c r="P66" i="2"/>
  <c r="BD66" i="2"/>
  <c r="BE66" i="2"/>
  <c r="BF66" i="2"/>
  <c r="BG66" i="2"/>
  <c r="BH66" i="2"/>
  <c r="BI66" i="2"/>
  <c r="BL66" i="2"/>
  <c r="BM66" i="2"/>
  <c r="BN66" i="2"/>
  <c r="BO66" i="2"/>
  <c r="BP66" i="2"/>
  <c r="BQ66" i="2"/>
  <c r="P67" i="2"/>
  <c r="BD67" i="2"/>
  <c r="BE67" i="2"/>
  <c r="BF67" i="2"/>
  <c r="BG67" i="2"/>
  <c r="BH67" i="2"/>
  <c r="BI67" i="2"/>
  <c r="BL67" i="2"/>
  <c r="BM67" i="2"/>
  <c r="BN67" i="2"/>
  <c r="BO67" i="2"/>
  <c r="BP67" i="2"/>
  <c r="BQ67" i="2"/>
  <c r="P68" i="2"/>
  <c r="BD68" i="2"/>
  <c r="BE68" i="2"/>
  <c r="BF68" i="2"/>
  <c r="BG68" i="2"/>
  <c r="BH68" i="2"/>
  <c r="BI68" i="2"/>
  <c r="BL68" i="2"/>
  <c r="BM68" i="2"/>
  <c r="BN68" i="2"/>
  <c r="BO68" i="2"/>
  <c r="BP68" i="2"/>
  <c r="BQ68" i="2"/>
  <c r="P69" i="2"/>
  <c r="BD69" i="2"/>
  <c r="BE69" i="2"/>
  <c r="BF69" i="2"/>
  <c r="BG69" i="2"/>
  <c r="BH69" i="2"/>
  <c r="BI69" i="2"/>
  <c r="BL69" i="2"/>
  <c r="BM69" i="2"/>
  <c r="BN69" i="2"/>
  <c r="BO69" i="2"/>
  <c r="BP69" i="2"/>
  <c r="BQ69" i="2"/>
  <c r="P70" i="2"/>
  <c r="BD70" i="2"/>
  <c r="BE70" i="2"/>
  <c r="BF70" i="2"/>
  <c r="BG70" i="2"/>
  <c r="BH70" i="2"/>
  <c r="BI70" i="2"/>
  <c r="BL70" i="2"/>
  <c r="BM70" i="2"/>
  <c r="BN70" i="2"/>
  <c r="BO70" i="2"/>
  <c r="BP70" i="2"/>
  <c r="BQ70" i="2"/>
  <c r="P71" i="2"/>
  <c r="BD71" i="2"/>
  <c r="BE71" i="2"/>
  <c r="BF71" i="2"/>
  <c r="BG71" i="2"/>
  <c r="BH71" i="2"/>
  <c r="BI71" i="2"/>
  <c r="BL71" i="2"/>
  <c r="BM71" i="2"/>
  <c r="BN71" i="2"/>
  <c r="BO71" i="2"/>
  <c r="BP71" i="2"/>
  <c r="BQ71" i="2"/>
  <c r="P72" i="2"/>
  <c r="BD72" i="2"/>
  <c r="BE72" i="2"/>
  <c r="BF72" i="2"/>
  <c r="BG72" i="2"/>
  <c r="BH72" i="2"/>
  <c r="BI72" i="2"/>
  <c r="BL72" i="2"/>
  <c r="BM72" i="2"/>
  <c r="BN72" i="2"/>
  <c r="BO72" i="2"/>
  <c r="BP72" i="2"/>
  <c r="BQ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795" i="2"/>
  <c r="AE796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90" i="2"/>
  <c r="AE791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797" i="2"/>
  <c r="AE798" i="2"/>
  <c r="AE789" i="2"/>
  <c r="AE788" i="2"/>
  <c r="AE792" i="2"/>
  <c r="AE793" i="2"/>
  <c r="AE794" i="2"/>
  <c r="AE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788" i="2"/>
  <c r="X790" i="2"/>
  <c r="X794" i="2"/>
  <c r="X795" i="2"/>
  <c r="X791" i="2"/>
  <c r="X789" i="2"/>
  <c r="X797" i="2"/>
  <c r="X798" i="2"/>
  <c r="X792" i="2"/>
  <c r="X793" i="2"/>
  <c r="X796" i="2"/>
  <c r="X11" i="2"/>
  <c r="AW11" i="2"/>
  <c r="AW12" i="2" s="1"/>
  <c r="AW13" i="2" s="1"/>
  <c r="AW14" i="2" s="1"/>
  <c r="AX11" i="2"/>
  <c r="Q12" i="4" l="1"/>
  <c r="R12" i="4"/>
  <c r="S12" i="4"/>
  <c r="T12" i="4"/>
  <c r="U12" i="4"/>
  <c r="Q13" i="4"/>
  <c r="R13" i="4"/>
  <c r="S13" i="4"/>
  <c r="T13" i="4"/>
  <c r="U13" i="4"/>
  <c r="Q14" i="4"/>
  <c r="R14" i="4"/>
  <c r="S14" i="4"/>
  <c r="T14" i="4"/>
  <c r="U14" i="4"/>
  <c r="Q15" i="4"/>
  <c r="R15" i="4"/>
  <c r="S15" i="4"/>
  <c r="T15" i="4"/>
  <c r="U15" i="4"/>
  <c r="Q16" i="4"/>
  <c r="R16" i="4"/>
  <c r="S16" i="4"/>
  <c r="T16" i="4"/>
  <c r="U16" i="4"/>
  <c r="Q17" i="4"/>
  <c r="R17" i="4"/>
  <c r="S17" i="4"/>
  <c r="T17" i="4"/>
  <c r="U17" i="4"/>
  <c r="Q18" i="4"/>
  <c r="R18" i="4"/>
  <c r="S18" i="4"/>
  <c r="T18" i="4"/>
  <c r="U18" i="4"/>
  <c r="Q19" i="4"/>
  <c r="R19" i="4"/>
  <c r="S19" i="4"/>
  <c r="T19" i="4"/>
  <c r="U19" i="4"/>
  <c r="Q20" i="4"/>
  <c r="R20" i="4"/>
  <c r="S20" i="4"/>
  <c r="T20" i="4"/>
  <c r="U20" i="4"/>
  <c r="Q21" i="4"/>
  <c r="R21" i="4"/>
  <c r="S21" i="4"/>
  <c r="T21" i="4"/>
  <c r="U21" i="4"/>
  <c r="Q22" i="4"/>
  <c r="R22" i="4"/>
  <c r="S22" i="4"/>
  <c r="T22" i="4"/>
  <c r="U22" i="4"/>
  <c r="Q23" i="4"/>
  <c r="R23" i="4"/>
  <c r="S23" i="4"/>
  <c r="T23" i="4"/>
  <c r="U23" i="4"/>
  <c r="Q24" i="4"/>
  <c r="R24" i="4"/>
  <c r="S24" i="4"/>
  <c r="T24" i="4"/>
  <c r="U24" i="4"/>
  <c r="Q25" i="4"/>
  <c r="R25" i="4"/>
  <c r="S25" i="4"/>
  <c r="T25" i="4"/>
  <c r="U25" i="4"/>
  <c r="Q26" i="4"/>
  <c r="R26" i="4"/>
  <c r="S26" i="4"/>
  <c r="T26" i="4"/>
  <c r="U26" i="4"/>
  <c r="Q27" i="4"/>
  <c r="R27" i="4"/>
  <c r="S27" i="4"/>
  <c r="T27" i="4"/>
  <c r="U27" i="4"/>
  <c r="Q28" i="4"/>
  <c r="R28" i="4"/>
  <c r="S28" i="4"/>
  <c r="T28" i="4"/>
  <c r="U28" i="4"/>
  <c r="Q29" i="4"/>
  <c r="R29" i="4"/>
  <c r="S29" i="4"/>
  <c r="T29" i="4"/>
  <c r="U29" i="4"/>
  <c r="Q30" i="4"/>
  <c r="R30" i="4"/>
  <c r="S30" i="4"/>
  <c r="T30" i="4"/>
  <c r="U30" i="4"/>
  <c r="Q31" i="4"/>
  <c r="R31" i="4"/>
  <c r="S31" i="4"/>
  <c r="T31" i="4"/>
  <c r="U31" i="4"/>
  <c r="Q32" i="4"/>
  <c r="R32" i="4"/>
  <c r="S32" i="4"/>
  <c r="T32" i="4"/>
  <c r="U32" i="4"/>
  <c r="Q33" i="4"/>
  <c r="R33" i="4"/>
  <c r="S33" i="4"/>
  <c r="T33" i="4"/>
  <c r="U33" i="4"/>
  <c r="Q34" i="4"/>
  <c r="R34" i="4"/>
  <c r="S34" i="4"/>
  <c r="T34" i="4"/>
  <c r="U34" i="4"/>
  <c r="Q35" i="4"/>
  <c r="R35" i="4"/>
  <c r="S35" i="4"/>
  <c r="T35" i="4"/>
  <c r="U35" i="4"/>
  <c r="Q36" i="4"/>
  <c r="R36" i="4"/>
  <c r="S36" i="4"/>
  <c r="T36" i="4"/>
  <c r="U36" i="4"/>
  <c r="Q37" i="4"/>
  <c r="R37" i="4"/>
  <c r="S37" i="4"/>
  <c r="T37" i="4"/>
  <c r="U37" i="4"/>
  <c r="Q38" i="4"/>
  <c r="R38" i="4"/>
  <c r="S38" i="4"/>
  <c r="T38" i="4"/>
  <c r="U38" i="4"/>
  <c r="Q39" i="4"/>
  <c r="R39" i="4"/>
  <c r="S39" i="4"/>
  <c r="T39" i="4"/>
  <c r="U39" i="4"/>
  <c r="Q40" i="4"/>
  <c r="R40" i="4"/>
  <c r="S40" i="4"/>
  <c r="T40" i="4"/>
  <c r="U40" i="4"/>
  <c r="Q41" i="4"/>
  <c r="R41" i="4"/>
  <c r="S41" i="4"/>
  <c r="T41" i="4"/>
  <c r="U41" i="4"/>
  <c r="Q42" i="4"/>
  <c r="R42" i="4"/>
  <c r="S42" i="4"/>
  <c r="T42" i="4"/>
  <c r="U42" i="4"/>
  <c r="Q43" i="4"/>
  <c r="R43" i="4"/>
  <c r="S43" i="4"/>
  <c r="T43" i="4"/>
  <c r="U43" i="4"/>
  <c r="Q44" i="4"/>
  <c r="R44" i="4"/>
  <c r="S44" i="4"/>
  <c r="T44" i="4"/>
  <c r="U44" i="4"/>
  <c r="Q45" i="4"/>
  <c r="R45" i="4"/>
  <c r="S45" i="4"/>
  <c r="T45" i="4"/>
  <c r="U45" i="4"/>
  <c r="Q46" i="4"/>
  <c r="R46" i="4"/>
  <c r="S46" i="4"/>
  <c r="T46" i="4"/>
  <c r="U46" i="4"/>
  <c r="Q47" i="4"/>
  <c r="R47" i="4"/>
  <c r="S47" i="4"/>
  <c r="T47" i="4"/>
  <c r="U47" i="4"/>
  <c r="Q48" i="4"/>
  <c r="R48" i="4"/>
  <c r="S48" i="4"/>
  <c r="T48" i="4"/>
  <c r="U48" i="4"/>
  <c r="Q49" i="4"/>
  <c r="R49" i="4"/>
  <c r="S49" i="4"/>
  <c r="T49" i="4"/>
  <c r="U49" i="4"/>
  <c r="Q50" i="4"/>
  <c r="R50" i="4"/>
  <c r="S50" i="4"/>
  <c r="T50" i="4"/>
  <c r="U50" i="4"/>
  <c r="Q51" i="4"/>
  <c r="R51" i="4"/>
  <c r="S51" i="4"/>
  <c r="T51" i="4"/>
  <c r="U51" i="4"/>
  <c r="Q52" i="4"/>
  <c r="R52" i="4"/>
  <c r="S52" i="4"/>
  <c r="T52" i="4"/>
  <c r="U52" i="4"/>
  <c r="Q53" i="4"/>
  <c r="R53" i="4"/>
  <c r="S53" i="4"/>
  <c r="T53" i="4"/>
  <c r="U53" i="4"/>
  <c r="Q54" i="4"/>
  <c r="R54" i="4"/>
  <c r="S54" i="4"/>
  <c r="T54" i="4"/>
  <c r="U54" i="4"/>
  <c r="Q55" i="4"/>
  <c r="R55" i="4"/>
  <c r="S55" i="4"/>
  <c r="T55" i="4"/>
  <c r="U55" i="4"/>
  <c r="Q56" i="4"/>
  <c r="R56" i="4"/>
  <c r="S56" i="4"/>
  <c r="T56" i="4"/>
  <c r="U56" i="4"/>
  <c r="Q57" i="4"/>
  <c r="R57" i="4"/>
  <c r="S57" i="4"/>
  <c r="T57" i="4"/>
  <c r="U57" i="4"/>
  <c r="Q58" i="4"/>
  <c r="R58" i="4"/>
  <c r="S58" i="4"/>
  <c r="T58" i="4"/>
  <c r="U58" i="4"/>
  <c r="Q59" i="4"/>
  <c r="R59" i="4"/>
  <c r="S59" i="4"/>
  <c r="T59" i="4"/>
  <c r="U59" i="4"/>
  <c r="Q60" i="4"/>
  <c r="R60" i="4"/>
  <c r="S60" i="4"/>
  <c r="T60" i="4"/>
  <c r="U60" i="4"/>
  <c r="Q61" i="4"/>
  <c r="R61" i="4"/>
  <c r="S61" i="4"/>
  <c r="T61" i="4"/>
  <c r="U61" i="4"/>
  <c r="Q62" i="4"/>
  <c r="R62" i="4"/>
  <c r="S62" i="4"/>
  <c r="T62" i="4"/>
  <c r="U62" i="4"/>
  <c r="Q63" i="4"/>
  <c r="R63" i="4"/>
  <c r="S63" i="4"/>
  <c r="T63" i="4"/>
  <c r="U63" i="4"/>
  <c r="Q64" i="4"/>
  <c r="R64" i="4"/>
  <c r="S64" i="4"/>
  <c r="T64" i="4"/>
  <c r="U64" i="4"/>
  <c r="Q65" i="4"/>
  <c r="R65" i="4"/>
  <c r="S65" i="4"/>
  <c r="T65" i="4"/>
  <c r="U65" i="4"/>
  <c r="Q66" i="4"/>
  <c r="R66" i="4"/>
  <c r="S66" i="4"/>
  <c r="T66" i="4"/>
  <c r="U66" i="4"/>
  <c r="Q67" i="4"/>
  <c r="R67" i="4"/>
  <c r="S67" i="4"/>
  <c r="T67" i="4"/>
  <c r="U67" i="4"/>
  <c r="Q68" i="4"/>
  <c r="R68" i="4"/>
  <c r="S68" i="4"/>
  <c r="T68" i="4"/>
  <c r="U68" i="4"/>
  <c r="Q69" i="4"/>
  <c r="R69" i="4"/>
  <c r="S69" i="4"/>
  <c r="T69" i="4"/>
  <c r="U69" i="4"/>
  <c r="Q70" i="4"/>
  <c r="R70" i="4"/>
  <c r="S70" i="4"/>
  <c r="T70" i="4"/>
  <c r="U70" i="4"/>
  <c r="Q71" i="4"/>
  <c r="R71" i="4"/>
  <c r="S71" i="4"/>
  <c r="T71" i="4"/>
  <c r="U71" i="4"/>
  <c r="Q72" i="4"/>
  <c r="R72" i="4"/>
  <c r="S72" i="4"/>
  <c r="T72" i="4"/>
  <c r="U72" i="4"/>
  <c r="Q73" i="4"/>
  <c r="R73" i="4"/>
  <c r="S73" i="4"/>
  <c r="T73" i="4"/>
  <c r="U73" i="4"/>
  <c r="Q74" i="4"/>
  <c r="R74" i="4"/>
  <c r="S74" i="4"/>
  <c r="T74" i="4"/>
  <c r="U74" i="4"/>
  <c r="Q75" i="4"/>
  <c r="R75" i="4"/>
  <c r="S75" i="4"/>
  <c r="T75" i="4"/>
  <c r="U75" i="4"/>
  <c r="Q76" i="4"/>
  <c r="R76" i="4"/>
  <c r="S76" i="4"/>
  <c r="T76" i="4"/>
  <c r="U76" i="4"/>
  <c r="Q77" i="4"/>
  <c r="R77" i="4"/>
  <c r="S77" i="4"/>
  <c r="T77" i="4"/>
  <c r="U77" i="4"/>
  <c r="Q78" i="4"/>
  <c r="R78" i="4"/>
  <c r="S78" i="4"/>
  <c r="T78" i="4"/>
  <c r="U78" i="4"/>
  <c r="Q79" i="4"/>
  <c r="R79" i="4"/>
  <c r="S79" i="4"/>
  <c r="T79" i="4"/>
  <c r="U79" i="4"/>
  <c r="Q80" i="4"/>
  <c r="R80" i="4"/>
  <c r="S80" i="4"/>
  <c r="T80" i="4"/>
  <c r="U80" i="4"/>
  <c r="Q81" i="4"/>
  <c r="R81" i="4"/>
  <c r="S81" i="4"/>
  <c r="T81" i="4"/>
  <c r="U81" i="4"/>
  <c r="Q82" i="4"/>
  <c r="R82" i="4"/>
  <c r="S82" i="4"/>
  <c r="T82" i="4"/>
  <c r="U82" i="4"/>
  <c r="Q83" i="4"/>
  <c r="R83" i="4"/>
  <c r="S83" i="4"/>
  <c r="T83" i="4"/>
  <c r="U83" i="4"/>
  <c r="Q84" i="4"/>
  <c r="R84" i="4"/>
  <c r="S84" i="4"/>
  <c r="T84" i="4"/>
  <c r="U84" i="4"/>
  <c r="Q85" i="4"/>
  <c r="R85" i="4"/>
  <c r="S85" i="4"/>
  <c r="T85" i="4"/>
  <c r="U85" i="4"/>
  <c r="Q86" i="4"/>
  <c r="R86" i="4"/>
  <c r="S86" i="4"/>
  <c r="T86" i="4"/>
  <c r="U86" i="4"/>
  <c r="Q87" i="4"/>
  <c r="R87" i="4"/>
  <c r="S87" i="4"/>
  <c r="T87" i="4"/>
  <c r="U87" i="4"/>
  <c r="Q88" i="4"/>
  <c r="R88" i="4"/>
  <c r="S88" i="4"/>
  <c r="T88" i="4"/>
  <c r="U88" i="4"/>
  <c r="Q89" i="4"/>
  <c r="R89" i="4"/>
  <c r="S89" i="4"/>
  <c r="T89" i="4"/>
  <c r="U89" i="4"/>
  <c r="Q90" i="4"/>
  <c r="R90" i="4"/>
  <c r="S90" i="4"/>
  <c r="T90" i="4"/>
  <c r="U90" i="4"/>
  <c r="Q91" i="4"/>
  <c r="R91" i="4"/>
  <c r="S91" i="4"/>
  <c r="T91" i="4"/>
  <c r="U91" i="4"/>
  <c r="Q92" i="4"/>
  <c r="R92" i="4"/>
  <c r="S92" i="4"/>
  <c r="T92" i="4"/>
  <c r="U92" i="4"/>
  <c r="Q93" i="4"/>
  <c r="R93" i="4"/>
  <c r="S93" i="4"/>
  <c r="T93" i="4"/>
  <c r="U93" i="4"/>
  <c r="Q94" i="4"/>
  <c r="R94" i="4"/>
  <c r="S94" i="4"/>
  <c r="T94" i="4"/>
  <c r="U94" i="4"/>
  <c r="Q95" i="4"/>
  <c r="R95" i="4"/>
  <c r="S95" i="4"/>
  <c r="T95" i="4"/>
  <c r="U95" i="4"/>
  <c r="Q96" i="4"/>
  <c r="R96" i="4"/>
  <c r="S96" i="4"/>
  <c r="T96" i="4"/>
  <c r="U96" i="4"/>
  <c r="Q97" i="4"/>
  <c r="R97" i="4"/>
  <c r="S97" i="4"/>
  <c r="T97" i="4"/>
  <c r="U97" i="4"/>
  <c r="Q98" i="4"/>
  <c r="R98" i="4"/>
  <c r="S98" i="4"/>
  <c r="T98" i="4"/>
  <c r="U98" i="4"/>
  <c r="Q99" i="4"/>
  <c r="R99" i="4"/>
  <c r="S99" i="4"/>
  <c r="T99" i="4"/>
  <c r="U99" i="4"/>
  <c r="Q100" i="4"/>
  <c r="R100" i="4"/>
  <c r="S100" i="4"/>
  <c r="T100" i="4"/>
  <c r="U100" i="4"/>
  <c r="Q101" i="4"/>
  <c r="R101" i="4"/>
  <c r="S101" i="4"/>
  <c r="T101" i="4"/>
  <c r="U101" i="4"/>
  <c r="Q102" i="4"/>
  <c r="R102" i="4"/>
  <c r="S102" i="4"/>
  <c r="T102" i="4"/>
  <c r="U102" i="4"/>
  <c r="Q103" i="4"/>
  <c r="R103" i="4"/>
  <c r="S103" i="4"/>
  <c r="T103" i="4"/>
  <c r="U103" i="4"/>
  <c r="Q104" i="4"/>
  <c r="R104" i="4"/>
  <c r="S104" i="4"/>
  <c r="T104" i="4"/>
  <c r="U104" i="4"/>
  <c r="Q105" i="4"/>
  <c r="R105" i="4"/>
  <c r="S105" i="4"/>
  <c r="T105" i="4"/>
  <c r="U105" i="4"/>
  <c r="Q106" i="4"/>
  <c r="R106" i="4"/>
  <c r="S106" i="4"/>
  <c r="T106" i="4"/>
  <c r="U106" i="4"/>
  <c r="Q107" i="4"/>
  <c r="R107" i="4"/>
  <c r="S107" i="4"/>
  <c r="T107" i="4"/>
  <c r="U107" i="4"/>
  <c r="Q108" i="4"/>
  <c r="R108" i="4"/>
  <c r="S108" i="4"/>
  <c r="T108" i="4"/>
  <c r="U108" i="4"/>
  <c r="Q109" i="4"/>
  <c r="R109" i="4"/>
  <c r="S109" i="4"/>
  <c r="T109" i="4"/>
  <c r="U109" i="4"/>
  <c r="Q110" i="4"/>
  <c r="R110" i="4"/>
  <c r="S110" i="4"/>
  <c r="T110" i="4"/>
  <c r="U110" i="4"/>
  <c r="Q111" i="4"/>
  <c r="R111" i="4"/>
  <c r="S111" i="4"/>
  <c r="T111" i="4"/>
  <c r="U111" i="4"/>
  <c r="Q112" i="4"/>
  <c r="R112" i="4"/>
  <c r="S112" i="4"/>
  <c r="T112" i="4"/>
  <c r="U112" i="4"/>
  <c r="Q113" i="4"/>
  <c r="R113" i="4"/>
  <c r="S113" i="4"/>
  <c r="T113" i="4"/>
  <c r="U113" i="4"/>
  <c r="Q114" i="4"/>
  <c r="R114" i="4"/>
  <c r="S114" i="4"/>
  <c r="T114" i="4"/>
  <c r="U114" i="4"/>
  <c r="Q115" i="4"/>
  <c r="R115" i="4"/>
  <c r="S115" i="4"/>
  <c r="T115" i="4"/>
  <c r="U115" i="4"/>
  <c r="Q116" i="4"/>
  <c r="R116" i="4"/>
  <c r="S116" i="4"/>
  <c r="T116" i="4"/>
  <c r="U116" i="4"/>
  <c r="Q117" i="4"/>
  <c r="R117" i="4"/>
  <c r="S117" i="4"/>
  <c r="T117" i="4"/>
  <c r="U117" i="4"/>
  <c r="Q118" i="4"/>
  <c r="R118" i="4"/>
  <c r="S118" i="4"/>
  <c r="T118" i="4"/>
  <c r="U118" i="4"/>
  <c r="Q119" i="4"/>
  <c r="R119" i="4"/>
  <c r="S119" i="4"/>
  <c r="T119" i="4"/>
  <c r="U119" i="4"/>
  <c r="Q120" i="4"/>
  <c r="R120" i="4"/>
  <c r="S120" i="4"/>
  <c r="T120" i="4"/>
  <c r="U120" i="4"/>
  <c r="Q121" i="4"/>
  <c r="R121" i="4"/>
  <c r="S121" i="4"/>
  <c r="T121" i="4"/>
  <c r="U121" i="4"/>
  <c r="Q122" i="4"/>
  <c r="R122" i="4"/>
  <c r="S122" i="4"/>
  <c r="T122" i="4"/>
  <c r="U122" i="4"/>
  <c r="Q123" i="4"/>
  <c r="R123" i="4"/>
  <c r="S123" i="4"/>
  <c r="T123" i="4"/>
  <c r="U123" i="4"/>
  <c r="Q124" i="4"/>
  <c r="R124" i="4"/>
  <c r="S124" i="4"/>
  <c r="T124" i="4"/>
  <c r="U124" i="4"/>
  <c r="Q125" i="4"/>
  <c r="R125" i="4"/>
  <c r="S125" i="4"/>
  <c r="T125" i="4"/>
  <c r="U125" i="4"/>
  <c r="Q126" i="4"/>
  <c r="R126" i="4"/>
  <c r="S126" i="4"/>
  <c r="T126" i="4"/>
  <c r="U126" i="4"/>
  <c r="Q127" i="4"/>
  <c r="R127" i="4"/>
  <c r="S127" i="4"/>
  <c r="T127" i="4"/>
  <c r="U127" i="4"/>
  <c r="Q128" i="4"/>
  <c r="R128" i="4"/>
  <c r="S128" i="4"/>
  <c r="T128" i="4"/>
  <c r="U128" i="4"/>
  <c r="Q129" i="4"/>
  <c r="R129" i="4"/>
  <c r="S129" i="4"/>
  <c r="T129" i="4"/>
  <c r="U129" i="4"/>
  <c r="Q130" i="4"/>
  <c r="R130" i="4"/>
  <c r="S130" i="4"/>
  <c r="T130" i="4"/>
  <c r="U130" i="4"/>
  <c r="Q131" i="4"/>
  <c r="R131" i="4"/>
  <c r="S131" i="4"/>
  <c r="T131" i="4"/>
  <c r="U131" i="4"/>
  <c r="Q132" i="4"/>
  <c r="R132" i="4"/>
  <c r="S132" i="4"/>
  <c r="T132" i="4"/>
  <c r="U132" i="4"/>
  <c r="Q133" i="4"/>
  <c r="R133" i="4"/>
  <c r="S133" i="4"/>
  <c r="T133" i="4"/>
  <c r="U133" i="4"/>
  <c r="Q134" i="4"/>
  <c r="R134" i="4"/>
  <c r="S134" i="4"/>
  <c r="T134" i="4"/>
  <c r="U134" i="4"/>
  <c r="Q135" i="4"/>
  <c r="R135" i="4"/>
  <c r="S135" i="4"/>
  <c r="T135" i="4"/>
  <c r="U135" i="4"/>
  <c r="Q136" i="4"/>
  <c r="R136" i="4"/>
  <c r="S136" i="4"/>
  <c r="T136" i="4"/>
  <c r="U136" i="4"/>
  <c r="Q137" i="4"/>
  <c r="R137" i="4"/>
  <c r="S137" i="4"/>
  <c r="T137" i="4"/>
  <c r="U137" i="4"/>
  <c r="Q138" i="4"/>
  <c r="R138" i="4"/>
  <c r="S138" i="4"/>
  <c r="T138" i="4"/>
  <c r="U138" i="4"/>
  <c r="Q139" i="4"/>
  <c r="R139" i="4"/>
  <c r="S139" i="4"/>
  <c r="T139" i="4"/>
  <c r="U139" i="4"/>
  <c r="Q140" i="4"/>
  <c r="R140" i="4"/>
  <c r="S140" i="4"/>
  <c r="T140" i="4"/>
  <c r="U140" i="4"/>
  <c r="Q141" i="4"/>
  <c r="R141" i="4"/>
  <c r="S141" i="4"/>
  <c r="T141" i="4"/>
  <c r="U141" i="4"/>
  <c r="Q142" i="4"/>
  <c r="R142" i="4"/>
  <c r="S142" i="4"/>
  <c r="T142" i="4"/>
  <c r="U142" i="4"/>
  <c r="Q143" i="4"/>
  <c r="R143" i="4"/>
  <c r="S143" i="4"/>
  <c r="T143" i="4"/>
  <c r="U143" i="4"/>
  <c r="Q144" i="4"/>
  <c r="R144" i="4"/>
  <c r="S144" i="4"/>
  <c r="T144" i="4"/>
  <c r="U144" i="4"/>
  <c r="Q145" i="4"/>
  <c r="R145" i="4"/>
  <c r="S145" i="4"/>
  <c r="T145" i="4"/>
  <c r="U145" i="4"/>
  <c r="Q146" i="4"/>
  <c r="R146" i="4"/>
  <c r="S146" i="4"/>
  <c r="T146" i="4"/>
  <c r="U146" i="4"/>
  <c r="Q147" i="4"/>
  <c r="R147" i="4"/>
  <c r="S147" i="4"/>
  <c r="T147" i="4"/>
  <c r="U147" i="4"/>
  <c r="Q148" i="4"/>
  <c r="R148" i="4"/>
  <c r="S148" i="4"/>
  <c r="T148" i="4"/>
  <c r="U148" i="4"/>
  <c r="Q149" i="4"/>
  <c r="R149" i="4"/>
  <c r="S149" i="4"/>
  <c r="T149" i="4"/>
  <c r="U149" i="4"/>
  <c r="Q150" i="4"/>
  <c r="R150" i="4"/>
  <c r="S150" i="4"/>
  <c r="T150" i="4"/>
  <c r="U150" i="4"/>
  <c r="Q151" i="4"/>
  <c r="R151" i="4"/>
  <c r="S151" i="4"/>
  <c r="T151" i="4"/>
  <c r="U151" i="4"/>
  <c r="Q152" i="4"/>
  <c r="R152" i="4"/>
  <c r="S152" i="4"/>
  <c r="T152" i="4"/>
  <c r="U152" i="4"/>
  <c r="Q153" i="4"/>
  <c r="R153" i="4"/>
  <c r="S153" i="4"/>
  <c r="T153" i="4"/>
  <c r="U153" i="4"/>
  <c r="Q154" i="4"/>
  <c r="R154" i="4"/>
  <c r="S154" i="4"/>
  <c r="T154" i="4"/>
  <c r="U154" i="4"/>
  <c r="Q155" i="4"/>
  <c r="R155" i="4"/>
  <c r="S155" i="4"/>
  <c r="T155" i="4"/>
  <c r="U155" i="4"/>
  <c r="Q156" i="4"/>
  <c r="R156" i="4"/>
  <c r="S156" i="4"/>
  <c r="T156" i="4"/>
  <c r="U156" i="4"/>
  <c r="Q157" i="4"/>
  <c r="R157" i="4"/>
  <c r="S157" i="4"/>
  <c r="T157" i="4"/>
  <c r="U157" i="4"/>
  <c r="Q158" i="4"/>
  <c r="R158" i="4"/>
  <c r="S158" i="4"/>
  <c r="T158" i="4"/>
  <c r="U158" i="4"/>
  <c r="Q159" i="4"/>
  <c r="R159" i="4"/>
  <c r="S159" i="4"/>
  <c r="T159" i="4"/>
  <c r="U159" i="4"/>
  <c r="Q160" i="4"/>
  <c r="R160" i="4"/>
  <c r="S160" i="4"/>
  <c r="T160" i="4"/>
  <c r="U160" i="4"/>
  <c r="Q161" i="4"/>
  <c r="R161" i="4"/>
  <c r="S161" i="4"/>
  <c r="T161" i="4"/>
  <c r="U161" i="4"/>
  <c r="Q162" i="4"/>
  <c r="R162" i="4"/>
  <c r="S162" i="4"/>
  <c r="T162" i="4"/>
  <c r="U162" i="4"/>
  <c r="Q163" i="4"/>
  <c r="R163" i="4"/>
  <c r="S163" i="4"/>
  <c r="T163" i="4"/>
  <c r="U163" i="4"/>
  <c r="Q164" i="4"/>
  <c r="R164" i="4"/>
  <c r="S164" i="4"/>
  <c r="T164" i="4"/>
  <c r="U164" i="4"/>
  <c r="Q165" i="4"/>
  <c r="R165" i="4"/>
  <c r="S165" i="4"/>
  <c r="T165" i="4"/>
  <c r="U165" i="4"/>
  <c r="Q166" i="4"/>
  <c r="R166" i="4"/>
  <c r="S166" i="4"/>
  <c r="T166" i="4"/>
  <c r="U166" i="4"/>
  <c r="Q167" i="4"/>
  <c r="R167" i="4"/>
  <c r="S167" i="4"/>
  <c r="T167" i="4"/>
  <c r="U167" i="4"/>
  <c r="Q168" i="4"/>
  <c r="R168" i="4"/>
  <c r="S168" i="4"/>
  <c r="T168" i="4"/>
  <c r="U168" i="4"/>
  <c r="Q169" i="4"/>
  <c r="R169" i="4"/>
  <c r="S169" i="4"/>
  <c r="T169" i="4"/>
  <c r="U169" i="4"/>
  <c r="Q170" i="4"/>
  <c r="R170" i="4"/>
  <c r="S170" i="4"/>
  <c r="T170" i="4"/>
  <c r="U170" i="4"/>
  <c r="Q171" i="4"/>
  <c r="R171" i="4"/>
  <c r="S171" i="4"/>
  <c r="T171" i="4"/>
  <c r="U171" i="4"/>
  <c r="Q172" i="4"/>
  <c r="R172" i="4"/>
  <c r="S172" i="4"/>
  <c r="T172" i="4"/>
  <c r="U172" i="4"/>
  <c r="Q173" i="4"/>
  <c r="R173" i="4"/>
  <c r="S173" i="4"/>
  <c r="T173" i="4"/>
  <c r="U173" i="4"/>
  <c r="Q174" i="4"/>
  <c r="R174" i="4"/>
  <c r="S174" i="4"/>
  <c r="T174" i="4"/>
  <c r="U174" i="4"/>
  <c r="Q175" i="4"/>
  <c r="R175" i="4"/>
  <c r="S175" i="4"/>
  <c r="T175" i="4"/>
  <c r="U175" i="4"/>
  <c r="Q176" i="4"/>
  <c r="R176" i="4"/>
  <c r="S176" i="4"/>
  <c r="T176" i="4"/>
  <c r="U176" i="4"/>
  <c r="Q177" i="4"/>
  <c r="R177" i="4"/>
  <c r="S177" i="4"/>
  <c r="T177" i="4"/>
  <c r="U177" i="4"/>
  <c r="Q178" i="4"/>
  <c r="R178" i="4"/>
  <c r="S178" i="4"/>
  <c r="T178" i="4"/>
  <c r="U178" i="4"/>
  <c r="Q179" i="4"/>
  <c r="R179" i="4"/>
  <c r="S179" i="4"/>
  <c r="T179" i="4"/>
  <c r="U179" i="4"/>
  <c r="Q180" i="4"/>
  <c r="R180" i="4"/>
  <c r="S180" i="4"/>
  <c r="T180" i="4"/>
  <c r="U180" i="4"/>
  <c r="Q181" i="4"/>
  <c r="R181" i="4"/>
  <c r="S181" i="4"/>
  <c r="T181" i="4"/>
  <c r="U181" i="4"/>
  <c r="Q182" i="4"/>
  <c r="R182" i="4"/>
  <c r="S182" i="4"/>
  <c r="T182" i="4"/>
  <c r="U182" i="4"/>
  <c r="Q183" i="4"/>
  <c r="R183" i="4"/>
  <c r="S183" i="4"/>
  <c r="T183" i="4"/>
  <c r="U183" i="4"/>
  <c r="Q184" i="4"/>
  <c r="R184" i="4"/>
  <c r="S184" i="4"/>
  <c r="T184" i="4"/>
  <c r="U184" i="4"/>
  <c r="Q185" i="4"/>
  <c r="R185" i="4"/>
  <c r="S185" i="4"/>
  <c r="T185" i="4"/>
  <c r="U185" i="4"/>
  <c r="Q186" i="4"/>
  <c r="R186" i="4"/>
  <c r="S186" i="4"/>
  <c r="T186" i="4"/>
  <c r="U186" i="4"/>
  <c r="Q187" i="4"/>
  <c r="R187" i="4"/>
  <c r="S187" i="4"/>
  <c r="T187" i="4"/>
  <c r="U187" i="4"/>
  <c r="Q188" i="4"/>
  <c r="R188" i="4"/>
  <c r="S188" i="4"/>
  <c r="T188" i="4"/>
  <c r="U188" i="4"/>
  <c r="Q189" i="4"/>
  <c r="R189" i="4"/>
  <c r="S189" i="4"/>
  <c r="T189" i="4"/>
  <c r="U189" i="4"/>
  <c r="Q190" i="4"/>
  <c r="R190" i="4"/>
  <c r="S190" i="4"/>
  <c r="T190" i="4"/>
  <c r="U190" i="4"/>
  <c r="Q191" i="4"/>
  <c r="R191" i="4"/>
  <c r="S191" i="4"/>
  <c r="T191" i="4"/>
  <c r="U191" i="4"/>
  <c r="Q192" i="4"/>
  <c r="R192" i="4"/>
  <c r="S192" i="4"/>
  <c r="T192" i="4"/>
  <c r="U192" i="4"/>
  <c r="Q193" i="4"/>
  <c r="R193" i="4"/>
  <c r="S193" i="4"/>
  <c r="T193" i="4"/>
  <c r="U193" i="4"/>
  <c r="Q194" i="4"/>
  <c r="R194" i="4"/>
  <c r="S194" i="4"/>
  <c r="T194" i="4"/>
  <c r="U194" i="4"/>
  <c r="Q195" i="4"/>
  <c r="R195" i="4"/>
  <c r="S195" i="4"/>
  <c r="T195" i="4"/>
  <c r="U195" i="4"/>
  <c r="Q196" i="4"/>
  <c r="R196" i="4"/>
  <c r="S196" i="4"/>
  <c r="T196" i="4"/>
  <c r="U196" i="4"/>
  <c r="Q197" i="4"/>
  <c r="R197" i="4"/>
  <c r="S197" i="4"/>
  <c r="T197" i="4"/>
  <c r="U197" i="4"/>
  <c r="Q198" i="4"/>
  <c r="R198" i="4"/>
  <c r="S198" i="4"/>
  <c r="T198" i="4"/>
  <c r="U198" i="4"/>
  <c r="Q199" i="4"/>
  <c r="R199" i="4"/>
  <c r="S199" i="4"/>
  <c r="T199" i="4"/>
  <c r="U199" i="4"/>
  <c r="Q200" i="4"/>
  <c r="R200" i="4"/>
  <c r="S200" i="4"/>
  <c r="T200" i="4"/>
  <c r="U200" i="4"/>
  <c r="Q201" i="4"/>
  <c r="R201" i="4"/>
  <c r="S201" i="4"/>
  <c r="T201" i="4"/>
  <c r="U201" i="4"/>
  <c r="Q202" i="4"/>
  <c r="R202" i="4"/>
  <c r="S202" i="4"/>
  <c r="T202" i="4"/>
  <c r="U202" i="4"/>
  <c r="Q203" i="4"/>
  <c r="R203" i="4"/>
  <c r="S203" i="4"/>
  <c r="T203" i="4"/>
  <c r="U203" i="4"/>
  <c r="Q204" i="4"/>
  <c r="R204" i="4"/>
  <c r="S204" i="4"/>
  <c r="T204" i="4"/>
  <c r="U204" i="4"/>
  <c r="Q205" i="4"/>
  <c r="R205" i="4"/>
  <c r="S205" i="4"/>
  <c r="T205" i="4"/>
  <c r="U205" i="4"/>
  <c r="Q206" i="4"/>
  <c r="R206" i="4"/>
  <c r="S206" i="4"/>
  <c r="T206" i="4"/>
  <c r="U206" i="4"/>
  <c r="Q207" i="4"/>
  <c r="R207" i="4"/>
  <c r="S207" i="4"/>
  <c r="T207" i="4"/>
  <c r="U207" i="4"/>
  <c r="Q208" i="4"/>
  <c r="R208" i="4"/>
  <c r="S208" i="4"/>
  <c r="T208" i="4"/>
  <c r="U208" i="4"/>
  <c r="Q209" i="4"/>
  <c r="R209" i="4"/>
  <c r="S209" i="4"/>
  <c r="T209" i="4"/>
  <c r="U209" i="4"/>
  <c r="Q210" i="4"/>
  <c r="R210" i="4"/>
  <c r="S210" i="4"/>
  <c r="T210" i="4"/>
  <c r="U210" i="4"/>
  <c r="Q11" i="4"/>
  <c r="R11" i="4"/>
  <c r="S11" i="4"/>
  <c r="T11" i="4"/>
  <c r="U11" i="4"/>
  <c r="AF12" i="4"/>
  <c r="AG12" i="4"/>
  <c r="AH12" i="4"/>
  <c r="AI12" i="4"/>
  <c r="AJ12" i="4"/>
  <c r="AD12" i="4"/>
  <c r="AF13" i="4"/>
  <c r="AG13" i="4"/>
  <c r="AH13" i="4"/>
  <c r="AI13" i="4"/>
  <c r="AJ13" i="4"/>
  <c r="AD13" i="4"/>
  <c r="AF14" i="4"/>
  <c r="AG14" i="4"/>
  <c r="AH14" i="4"/>
  <c r="AI14" i="4"/>
  <c r="AJ14" i="4"/>
  <c r="AD14" i="4"/>
  <c r="AF15" i="4"/>
  <c r="AG15" i="4"/>
  <c r="AH15" i="4"/>
  <c r="AI15" i="4"/>
  <c r="AJ15" i="4"/>
  <c r="AD15" i="4"/>
  <c r="AF16" i="4"/>
  <c r="AG16" i="4"/>
  <c r="AH16" i="4"/>
  <c r="AI16" i="4"/>
  <c r="AJ16" i="4"/>
  <c r="AD16" i="4"/>
  <c r="AF17" i="4"/>
  <c r="AG17" i="4"/>
  <c r="AH17" i="4"/>
  <c r="AI17" i="4"/>
  <c r="AJ17" i="4"/>
  <c r="AD17" i="4"/>
  <c r="AF18" i="4"/>
  <c r="AG18" i="4"/>
  <c r="AH18" i="4"/>
  <c r="AI18" i="4"/>
  <c r="AJ18" i="4"/>
  <c r="AD18" i="4"/>
  <c r="AF19" i="4"/>
  <c r="AG19" i="4"/>
  <c r="AH19" i="4"/>
  <c r="AI19" i="4"/>
  <c r="AJ19" i="4"/>
  <c r="AD19" i="4"/>
  <c r="AF20" i="4"/>
  <c r="AG20" i="4"/>
  <c r="AH20" i="4"/>
  <c r="AI20" i="4"/>
  <c r="AJ20" i="4"/>
  <c r="AD20" i="4"/>
  <c r="AF21" i="4"/>
  <c r="AG21" i="4"/>
  <c r="AH21" i="4"/>
  <c r="AI21" i="4"/>
  <c r="AJ21" i="4"/>
  <c r="AD21" i="4"/>
  <c r="AF22" i="4"/>
  <c r="AG22" i="4"/>
  <c r="AH22" i="4"/>
  <c r="AI22" i="4"/>
  <c r="AJ22" i="4"/>
  <c r="AD22" i="4"/>
  <c r="AF23" i="4"/>
  <c r="AG23" i="4"/>
  <c r="AH23" i="4"/>
  <c r="AI23" i="4"/>
  <c r="AJ23" i="4"/>
  <c r="AD23" i="4"/>
  <c r="AF24" i="4"/>
  <c r="AG24" i="4"/>
  <c r="AH24" i="4"/>
  <c r="AI24" i="4"/>
  <c r="AJ24" i="4"/>
  <c r="AD24" i="4"/>
  <c r="AF25" i="4"/>
  <c r="AG25" i="4"/>
  <c r="AH25" i="4"/>
  <c r="AI25" i="4"/>
  <c r="AJ25" i="4"/>
  <c r="AD25" i="4"/>
  <c r="AF26" i="4"/>
  <c r="AG26" i="4"/>
  <c r="AH26" i="4"/>
  <c r="AI26" i="4"/>
  <c r="AJ26" i="4"/>
  <c r="AD26" i="4"/>
  <c r="AF27" i="4"/>
  <c r="AG27" i="4"/>
  <c r="AH27" i="4"/>
  <c r="AI27" i="4"/>
  <c r="AJ27" i="4"/>
  <c r="AD27" i="4"/>
  <c r="AF28" i="4"/>
  <c r="AG28" i="4"/>
  <c r="AH28" i="4"/>
  <c r="AI28" i="4"/>
  <c r="AJ28" i="4"/>
  <c r="AD28" i="4"/>
  <c r="AF29" i="4"/>
  <c r="AG29" i="4"/>
  <c r="AH29" i="4"/>
  <c r="AI29" i="4"/>
  <c r="AJ29" i="4"/>
  <c r="AD29" i="4"/>
  <c r="AF30" i="4"/>
  <c r="AG30" i="4"/>
  <c r="AH30" i="4"/>
  <c r="AI30" i="4"/>
  <c r="AJ30" i="4"/>
  <c r="AD30" i="4"/>
  <c r="AF31" i="4"/>
  <c r="AG31" i="4"/>
  <c r="AH31" i="4"/>
  <c r="AI31" i="4"/>
  <c r="AJ31" i="4"/>
  <c r="AD31" i="4"/>
  <c r="AF32" i="4"/>
  <c r="AG32" i="4"/>
  <c r="AH32" i="4"/>
  <c r="AI32" i="4"/>
  <c r="AJ32" i="4"/>
  <c r="AD32" i="4"/>
  <c r="AF33" i="4"/>
  <c r="AG33" i="4"/>
  <c r="AH33" i="4"/>
  <c r="AI33" i="4"/>
  <c r="AJ33" i="4"/>
  <c r="AD33" i="4"/>
  <c r="AF34" i="4"/>
  <c r="AG34" i="4"/>
  <c r="AH34" i="4"/>
  <c r="AI34" i="4"/>
  <c r="AJ34" i="4"/>
  <c r="AD34" i="4"/>
  <c r="AF35" i="4"/>
  <c r="AG35" i="4"/>
  <c r="AH35" i="4"/>
  <c r="AI35" i="4"/>
  <c r="AJ35" i="4"/>
  <c r="AD35" i="4"/>
  <c r="AF36" i="4"/>
  <c r="AG36" i="4"/>
  <c r="AH36" i="4"/>
  <c r="AI36" i="4"/>
  <c r="AJ36" i="4"/>
  <c r="AD36" i="4"/>
  <c r="AF37" i="4"/>
  <c r="AG37" i="4"/>
  <c r="AH37" i="4"/>
  <c r="AI37" i="4"/>
  <c r="AJ37" i="4"/>
  <c r="AD37" i="4"/>
  <c r="AF38" i="4"/>
  <c r="AG38" i="4"/>
  <c r="AH38" i="4"/>
  <c r="AI38" i="4"/>
  <c r="AJ38" i="4"/>
  <c r="AD38" i="4"/>
  <c r="AF39" i="4"/>
  <c r="AG39" i="4"/>
  <c r="AH39" i="4"/>
  <c r="AI39" i="4"/>
  <c r="AJ39" i="4"/>
  <c r="AD39" i="4"/>
  <c r="AF40" i="4"/>
  <c r="AG40" i="4"/>
  <c r="AH40" i="4"/>
  <c r="AI40" i="4"/>
  <c r="AJ40" i="4"/>
  <c r="AD40" i="4"/>
  <c r="AF41" i="4"/>
  <c r="AG41" i="4"/>
  <c r="AH41" i="4"/>
  <c r="AI41" i="4"/>
  <c r="AJ41" i="4"/>
  <c r="AD41" i="4"/>
  <c r="AF42" i="4"/>
  <c r="AG42" i="4"/>
  <c r="AH42" i="4"/>
  <c r="AI42" i="4"/>
  <c r="AJ42" i="4"/>
  <c r="AD42" i="4"/>
  <c r="AF43" i="4"/>
  <c r="AG43" i="4"/>
  <c r="AH43" i="4"/>
  <c r="AI43" i="4"/>
  <c r="AJ43" i="4"/>
  <c r="AD43" i="4"/>
  <c r="AF44" i="4"/>
  <c r="AG44" i="4"/>
  <c r="AH44" i="4"/>
  <c r="AI44" i="4"/>
  <c r="AJ44" i="4"/>
  <c r="AD44" i="4"/>
  <c r="AF45" i="4"/>
  <c r="AG45" i="4"/>
  <c r="AH45" i="4"/>
  <c r="AI45" i="4"/>
  <c r="AJ45" i="4"/>
  <c r="AD45" i="4"/>
  <c r="AF46" i="4"/>
  <c r="AG46" i="4"/>
  <c r="AH46" i="4"/>
  <c r="AI46" i="4"/>
  <c r="AJ46" i="4"/>
  <c r="AD46" i="4"/>
  <c r="AF47" i="4"/>
  <c r="AG47" i="4"/>
  <c r="AH47" i="4"/>
  <c r="AI47" i="4"/>
  <c r="AJ47" i="4"/>
  <c r="AD47" i="4"/>
  <c r="AF48" i="4"/>
  <c r="AG48" i="4"/>
  <c r="AH48" i="4"/>
  <c r="AI48" i="4"/>
  <c r="AJ48" i="4"/>
  <c r="AD48" i="4"/>
  <c r="AF49" i="4"/>
  <c r="AG49" i="4"/>
  <c r="AH49" i="4"/>
  <c r="AI49" i="4"/>
  <c r="AJ49" i="4"/>
  <c r="AD49" i="4"/>
  <c r="AF50" i="4"/>
  <c r="AG50" i="4"/>
  <c r="AH50" i="4"/>
  <c r="AI50" i="4"/>
  <c r="AJ50" i="4"/>
  <c r="AD50" i="4"/>
  <c r="AF51" i="4"/>
  <c r="AG51" i="4"/>
  <c r="AH51" i="4"/>
  <c r="AI51" i="4"/>
  <c r="AJ51" i="4"/>
  <c r="AD51" i="4"/>
  <c r="AF52" i="4"/>
  <c r="AG52" i="4"/>
  <c r="AH52" i="4"/>
  <c r="AI52" i="4"/>
  <c r="AJ52" i="4"/>
  <c r="AD52" i="4"/>
  <c r="AF53" i="4"/>
  <c r="AG53" i="4"/>
  <c r="AH53" i="4"/>
  <c r="AI53" i="4"/>
  <c r="AJ53" i="4"/>
  <c r="AD53" i="4"/>
  <c r="AF54" i="4"/>
  <c r="AG54" i="4"/>
  <c r="AH54" i="4"/>
  <c r="AI54" i="4"/>
  <c r="AJ54" i="4"/>
  <c r="AD54" i="4"/>
  <c r="AF55" i="4"/>
  <c r="AG55" i="4"/>
  <c r="AH55" i="4"/>
  <c r="AI55" i="4"/>
  <c r="AJ55" i="4"/>
  <c r="AD55" i="4"/>
  <c r="AF56" i="4"/>
  <c r="AG56" i="4"/>
  <c r="AH56" i="4"/>
  <c r="AI56" i="4"/>
  <c r="AJ56" i="4"/>
  <c r="AD56" i="4"/>
  <c r="AF57" i="4"/>
  <c r="AG57" i="4"/>
  <c r="AH57" i="4"/>
  <c r="AI57" i="4"/>
  <c r="AJ57" i="4"/>
  <c r="AD57" i="4"/>
  <c r="AF58" i="4"/>
  <c r="AG58" i="4"/>
  <c r="AH58" i="4"/>
  <c r="AI58" i="4"/>
  <c r="AJ58" i="4"/>
  <c r="AD58" i="4"/>
  <c r="AF59" i="4"/>
  <c r="AG59" i="4"/>
  <c r="AH59" i="4"/>
  <c r="AI59" i="4"/>
  <c r="AJ59" i="4"/>
  <c r="AD59" i="4"/>
  <c r="AF60" i="4"/>
  <c r="AG60" i="4"/>
  <c r="AH60" i="4"/>
  <c r="AI60" i="4"/>
  <c r="AJ60" i="4"/>
  <c r="AD60" i="4"/>
  <c r="AF61" i="4"/>
  <c r="AG61" i="4"/>
  <c r="AH61" i="4"/>
  <c r="AI61" i="4"/>
  <c r="AJ61" i="4"/>
  <c r="AD61" i="4"/>
  <c r="AF62" i="4"/>
  <c r="AG62" i="4"/>
  <c r="AH62" i="4"/>
  <c r="AI62" i="4"/>
  <c r="AJ62" i="4"/>
  <c r="AD62" i="4"/>
  <c r="AF63" i="4"/>
  <c r="AG63" i="4"/>
  <c r="AH63" i="4"/>
  <c r="AI63" i="4"/>
  <c r="AJ63" i="4"/>
  <c r="AD63" i="4"/>
  <c r="AF64" i="4"/>
  <c r="AG64" i="4"/>
  <c r="AH64" i="4"/>
  <c r="AI64" i="4"/>
  <c r="AJ64" i="4"/>
  <c r="AD64" i="4"/>
  <c r="AF65" i="4"/>
  <c r="AG65" i="4"/>
  <c r="AH65" i="4"/>
  <c r="AI65" i="4"/>
  <c r="AJ65" i="4"/>
  <c r="AD65" i="4"/>
  <c r="AF66" i="4"/>
  <c r="AG66" i="4"/>
  <c r="AH66" i="4"/>
  <c r="AI66" i="4"/>
  <c r="AJ66" i="4"/>
  <c r="AD66" i="4"/>
  <c r="AF67" i="4"/>
  <c r="AG67" i="4"/>
  <c r="AH67" i="4"/>
  <c r="AI67" i="4"/>
  <c r="AJ67" i="4"/>
  <c r="AD67" i="4"/>
  <c r="AF68" i="4"/>
  <c r="AG68" i="4"/>
  <c r="AH68" i="4"/>
  <c r="AI68" i="4"/>
  <c r="AJ68" i="4"/>
  <c r="AD68" i="4"/>
  <c r="AF69" i="4"/>
  <c r="AG69" i="4"/>
  <c r="AH69" i="4"/>
  <c r="AI69" i="4"/>
  <c r="AJ69" i="4"/>
  <c r="AD69" i="4"/>
  <c r="AF70" i="4"/>
  <c r="AG70" i="4"/>
  <c r="AH70" i="4"/>
  <c r="AI70" i="4"/>
  <c r="AJ70" i="4"/>
  <c r="AD70" i="4"/>
  <c r="AF71" i="4"/>
  <c r="AG71" i="4"/>
  <c r="AH71" i="4"/>
  <c r="AI71" i="4"/>
  <c r="AJ71" i="4"/>
  <c r="AD71" i="4"/>
  <c r="AF72" i="4"/>
  <c r="AG72" i="4"/>
  <c r="AH72" i="4"/>
  <c r="AI72" i="4"/>
  <c r="AJ72" i="4"/>
  <c r="AD72" i="4"/>
  <c r="AF73" i="4"/>
  <c r="AG73" i="4"/>
  <c r="AH73" i="4"/>
  <c r="AI73" i="4"/>
  <c r="AJ73" i="4"/>
  <c r="AD73" i="4"/>
  <c r="AF74" i="4"/>
  <c r="AG74" i="4"/>
  <c r="AH74" i="4"/>
  <c r="AI74" i="4"/>
  <c r="AJ74" i="4"/>
  <c r="AD74" i="4"/>
  <c r="AF75" i="4"/>
  <c r="AG75" i="4"/>
  <c r="AH75" i="4"/>
  <c r="AI75" i="4"/>
  <c r="AJ75" i="4"/>
  <c r="AD75" i="4"/>
  <c r="AF76" i="4"/>
  <c r="AG76" i="4"/>
  <c r="AH76" i="4"/>
  <c r="AI76" i="4"/>
  <c r="AJ76" i="4"/>
  <c r="AD76" i="4"/>
  <c r="AF77" i="4"/>
  <c r="AG77" i="4"/>
  <c r="AH77" i="4"/>
  <c r="AI77" i="4"/>
  <c r="AJ77" i="4"/>
  <c r="AD77" i="4"/>
  <c r="AF78" i="4"/>
  <c r="AG78" i="4"/>
  <c r="AH78" i="4"/>
  <c r="AI78" i="4"/>
  <c r="AJ78" i="4"/>
  <c r="AD78" i="4"/>
  <c r="AF79" i="4"/>
  <c r="AG79" i="4"/>
  <c r="AH79" i="4"/>
  <c r="AI79" i="4"/>
  <c r="AJ79" i="4"/>
  <c r="AD79" i="4"/>
  <c r="AF80" i="4"/>
  <c r="AG80" i="4"/>
  <c r="AH80" i="4"/>
  <c r="AI80" i="4"/>
  <c r="AJ80" i="4"/>
  <c r="AD80" i="4"/>
  <c r="AF81" i="4"/>
  <c r="AG81" i="4"/>
  <c r="AH81" i="4"/>
  <c r="AI81" i="4"/>
  <c r="AJ81" i="4"/>
  <c r="AD81" i="4"/>
  <c r="AF82" i="4"/>
  <c r="AG82" i="4"/>
  <c r="AH82" i="4"/>
  <c r="AI82" i="4"/>
  <c r="AJ82" i="4"/>
  <c r="AD82" i="4"/>
  <c r="AF83" i="4"/>
  <c r="AG83" i="4"/>
  <c r="AH83" i="4"/>
  <c r="AI83" i="4"/>
  <c r="AJ83" i="4"/>
  <c r="AD83" i="4"/>
  <c r="AF84" i="4"/>
  <c r="AG84" i="4"/>
  <c r="AH84" i="4"/>
  <c r="AI84" i="4"/>
  <c r="AJ84" i="4"/>
  <c r="AD84" i="4"/>
  <c r="AF85" i="4"/>
  <c r="AG85" i="4"/>
  <c r="AH85" i="4"/>
  <c r="AI85" i="4"/>
  <c r="AJ85" i="4"/>
  <c r="AD85" i="4"/>
  <c r="AF86" i="4"/>
  <c r="AG86" i="4"/>
  <c r="AH86" i="4"/>
  <c r="AI86" i="4"/>
  <c r="AJ86" i="4"/>
  <c r="AD86" i="4"/>
  <c r="AF87" i="4"/>
  <c r="AG87" i="4"/>
  <c r="AH87" i="4"/>
  <c r="AI87" i="4"/>
  <c r="AJ87" i="4"/>
  <c r="AD87" i="4"/>
  <c r="AF88" i="4"/>
  <c r="AG88" i="4"/>
  <c r="AH88" i="4"/>
  <c r="AI88" i="4"/>
  <c r="AJ88" i="4"/>
  <c r="AD88" i="4"/>
  <c r="AF89" i="4"/>
  <c r="AG89" i="4"/>
  <c r="AH89" i="4"/>
  <c r="AI89" i="4"/>
  <c r="AJ89" i="4"/>
  <c r="AD89" i="4"/>
  <c r="AF90" i="4"/>
  <c r="AG90" i="4"/>
  <c r="AH90" i="4"/>
  <c r="AI90" i="4"/>
  <c r="AJ90" i="4"/>
  <c r="AD90" i="4"/>
  <c r="AF91" i="4"/>
  <c r="AG91" i="4"/>
  <c r="AH91" i="4"/>
  <c r="AI91" i="4"/>
  <c r="AJ91" i="4"/>
  <c r="AD91" i="4"/>
  <c r="AF92" i="4"/>
  <c r="AG92" i="4"/>
  <c r="AH92" i="4"/>
  <c r="AI92" i="4"/>
  <c r="AJ92" i="4"/>
  <c r="AD92" i="4"/>
  <c r="AF93" i="4"/>
  <c r="AG93" i="4"/>
  <c r="AH93" i="4"/>
  <c r="AI93" i="4"/>
  <c r="AJ93" i="4"/>
  <c r="AD93" i="4"/>
  <c r="AF94" i="4"/>
  <c r="AG94" i="4"/>
  <c r="AH94" i="4"/>
  <c r="AI94" i="4"/>
  <c r="AJ94" i="4"/>
  <c r="AD94" i="4"/>
  <c r="AF95" i="4"/>
  <c r="AG95" i="4"/>
  <c r="AH95" i="4"/>
  <c r="AI95" i="4"/>
  <c r="AJ95" i="4"/>
  <c r="AD95" i="4"/>
  <c r="AF96" i="4"/>
  <c r="AG96" i="4"/>
  <c r="AH96" i="4"/>
  <c r="AI96" i="4"/>
  <c r="AJ96" i="4"/>
  <c r="AD96" i="4"/>
  <c r="AF97" i="4"/>
  <c r="AG97" i="4"/>
  <c r="AH97" i="4"/>
  <c r="AI97" i="4"/>
  <c r="AJ97" i="4"/>
  <c r="AD97" i="4"/>
  <c r="AF98" i="4"/>
  <c r="AG98" i="4"/>
  <c r="AH98" i="4"/>
  <c r="AI98" i="4"/>
  <c r="AJ98" i="4"/>
  <c r="AD98" i="4"/>
  <c r="AF99" i="4"/>
  <c r="AG99" i="4"/>
  <c r="AH99" i="4"/>
  <c r="AI99" i="4"/>
  <c r="AJ99" i="4"/>
  <c r="AD99" i="4"/>
  <c r="AF100" i="4"/>
  <c r="AG100" i="4"/>
  <c r="AH100" i="4"/>
  <c r="AI100" i="4"/>
  <c r="AJ100" i="4"/>
  <c r="AD100" i="4"/>
  <c r="AF101" i="4"/>
  <c r="AG101" i="4"/>
  <c r="AH101" i="4"/>
  <c r="AI101" i="4"/>
  <c r="AJ101" i="4"/>
  <c r="AD101" i="4"/>
  <c r="AF102" i="4"/>
  <c r="AG102" i="4"/>
  <c r="AH102" i="4"/>
  <c r="AI102" i="4"/>
  <c r="AJ102" i="4"/>
  <c r="AD102" i="4"/>
  <c r="AF103" i="4"/>
  <c r="AG103" i="4"/>
  <c r="AH103" i="4"/>
  <c r="AI103" i="4"/>
  <c r="AJ103" i="4"/>
  <c r="AD103" i="4"/>
  <c r="AF104" i="4"/>
  <c r="AG104" i="4"/>
  <c r="AH104" i="4"/>
  <c r="AI104" i="4"/>
  <c r="AJ104" i="4"/>
  <c r="AD104" i="4"/>
  <c r="AF105" i="4"/>
  <c r="AG105" i="4"/>
  <c r="AH105" i="4"/>
  <c r="AI105" i="4"/>
  <c r="AJ105" i="4"/>
  <c r="AD105" i="4"/>
  <c r="AF106" i="4"/>
  <c r="AG106" i="4"/>
  <c r="AH106" i="4"/>
  <c r="AI106" i="4"/>
  <c r="AJ106" i="4"/>
  <c r="AD106" i="4"/>
  <c r="AF107" i="4"/>
  <c r="AG107" i="4"/>
  <c r="AH107" i="4"/>
  <c r="AI107" i="4"/>
  <c r="AJ107" i="4"/>
  <c r="AD107" i="4"/>
  <c r="AF108" i="4"/>
  <c r="AG108" i="4"/>
  <c r="AH108" i="4"/>
  <c r="AI108" i="4"/>
  <c r="AJ108" i="4"/>
  <c r="AD108" i="4"/>
  <c r="AF109" i="4"/>
  <c r="AG109" i="4"/>
  <c r="AH109" i="4"/>
  <c r="AI109" i="4"/>
  <c r="AJ109" i="4"/>
  <c r="AD109" i="4"/>
  <c r="AF110" i="4"/>
  <c r="AG110" i="4"/>
  <c r="AH110" i="4"/>
  <c r="AI110" i="4"/>
  <c r="AJ110" i="4"/>
  <c r="AD110" i="4"/>
  <c r="AF111" i="4"/>
  <c r="AG111" i="4"/>
  <c r="AH111" i="4"/>
  <c r="AI111" i="4"/>
  <c r="AJ111" i="4"/>
  <c r="AD111" i="4"/>
  <c r="AF112" i="4"/>
  <c r="AG112" i="4"/>
  <c r="AH112" i="4"/>
  <c r="AI112" i="4"/>
  <c r="AJ112" i="4"/>
  <c r="AD112" i="4"/>
  <c r="AF113" i="4"/>
  <c r="AG113" i="4"/>
  <c r="AH113" i="4"/>
  <c r="AI113" i="4"/>
  <c r="AJ113" i="4"/>
  <c r="AD113" i="4"/>
  <c r="AF114" i="4"/>
  <c r="AG114" i="4"/>
  <c r="AH114" i="4"/>
  <c r="AI114" i="4"/>
  <c r="AJ114" i="4"/>
  <c r="AD114" i="4"/>
  <c r="AF115" i="4"/>
  <c r="AG115" i="4"/>
  <c r="AH115" i="4"/>
  <c r="AI115" i="4"/>
  <c r="AJ115" i="4"/>
  <c r="AD115" i="4"/>
  <c r="AF116" i="4"/>
  <c r="AG116" i="4"/>
  <c r="AH116" i="4"/>
  <c r="AI116" i="4"/>
  <c r="AJ116" i="4"/>
  <c r="AD116" i="4"/>
  <c r="AF117" i="4"/>
  <c r="AG117" i="4"/>
  <c r="AH117" i="4"/>
  <c r="AI117" i="4"/>
  <c r="AJ117" i="4"/>
  <c r="AD117" i="4"/>
  <c r="AF118" i="4"/>
  <c r="AG118" i="4"/>
  <c r="AH118" i="4"/>
  <c r="AI118" i="4"/>
  <c r="AJ118" i="4"/>
  <c r="AD118" i="4"/>
  <c r="AF119" i="4"/>
  <c r="AG119" i="4"/>
  <c r="AH119" i="4"/>
  <c r="AI119" i="4"/>
  <c r="AJ119" i="4"/>
  <c r="AD119" i="4"/>
  <c r="AF120" i="4"/>
  <c r="AG120" i="4"/>
  <c r="AH120" i="4"/>
  <c r="AI120" i="4"/>
  <c r="AJ120" i="4"/>
  <c r="AD120" i="4"/>
  <c r="AF121" i="4"/>
  <c r="AG121" i="4"/>
  <c r="AH121" i="4"/>
  <c r="AI121" i="4"/>
  <c r="AJ121" i="4"/>
  <c r="AD121" i="4"/>
  <c r="AF122" i="4"/>
  <c r="AG122" i="4"/>
  <c r="AH122" i="4"/>
  <c r="AI122" i="4"/>
  <c r="AJ122" i="4"/>
  <c r="AD122" i="4"/>
  <c r="AF123" i="4"/>
  <c r="AG123" i="4"/>
  <c r="AH123" i="4"/>
  <c r="AI123" i="4"/>
  <c r="AJ123" i="4"/>
  <c r="AD123" i="4"/>
  <c r="AF124" i="4"/>
  <c r="AG124" i="4"/>
  <c r="AH124" i="4"/>
  <c r="AI124" i="4"/>
  <c r="AJ124" i="4"/>
  <c r="AD124" i="4"/>
  <c r="AF125" i="4"/>
  <c r="AG125" i="4"/>
  <c r="AH125" i="4"/>
  <c r="AI125" i="4"/>
  <c r="AJ125" i="4"/>
  <c r="AD125" i="4"/>
  <c r="AF126" i="4"/>
  <c r="AG126" i="4"/>
  <c r="AH126" i="4"/>
  <c r="AI126" i="4"/>
  <c r="AJ126" i="4"/>
  <c r="AD126" i="4"/>
  <c r="AF127" i="4"/>
  <c r="AG127" i="4"/>
  <c r="AH127" i="4"/>
  <c r="AI127" i="4"/>
  <c r="AJ127" i="4"/>
  <c r="AD127" i="4"/>
  <c r="AF128" i="4"/>
  <c r="AG128" i="4"/>
  <c r="AH128" i="4"/>
  <c r="AI128" i="4"/>
  <c r="AJ128" i="4"/>
  <c r="AD128" i="4"/>
  <c r="AF129" i="4"/>
  <c r="AG129" i="4"/>
  <c r="AH129" i="4"/>
  <c r="AI129" i="4"/>
  <c r="AJ129" i="4"/>
  <c r="AD129" i="4"/>
  <c r="AF130" i="4"/>
  <c r="AG130" i="4"/>
  <c r="AH130" i="4"/>
  <c r="AI130" i="4"/>
  <c r="AJ130" i="4"/>
  <c r="AD130" i="4"/>
  <c r="AF131" i="4"/>
  <c r="AG131" i="4"/>
  <c r="AH131" i="4"/>
  <c r="AI131" i="4"/>
  <c r="AJ131" i="4"/>
  <c r="AD131" i="4"/>
  <c r="AF132" i="4"/>
  <c r="AG132" i="4"/>
  <c r="AH132" i="4"/>
  <c r="AI132" i="4"/>
  <c r="AJ132" i="4"/>
  <c r="AD132" i="4"/>
  <c r="AF133" i="4"/>
  <c r="AG133" i="4"/>
  <c r="AH133" i="4"/>
  <c r="AI133" i="4"/>
  <c r="AJ133" i="4"/>
  <c r="AD133" i="4"/>
  <c r="AF134" i="4"/>
  <c r="AG134" i="4"/>
  <c r="AH134" i="4"/>
  <c r="AI134" i="4"/>
  <c r="AJ134" i="4"/>
  <c r="AD134" i="4"/>
  <c r="AF135" i="4"/>
  <c r="AG135" i="4"/>
  <c r="AH135" i="4"/>
  <c r="AI135" i="4"/>
  <c r="AJ135" i="4"/>
  <c r="AD135" i="4"/>
  <c r="AF136" i="4"/>
  <c r="AG136" i="4"/>
  <c r="AH136" i="4"/>
  <c r="AI136" i="4"/>
  <c r="AJ136" i="4"/>
  <c r="AD136" i="4"/>
  <c r="AF137" i="4"/>
  <c r="AG137" i="4"/>
  <c r="AH137" i="4"/>
  <c r="AI137" i="4"/>
  <c r="AJ137" i="4"/>
  <c r="AD137" i="4"/>
  <c r="AF138" i="4"/>
  <c r="AG138" i="4"/>
  <c r="AH138" i="4"/>
  <c r="AI138" i="4"/>
  <c r="AJ138" i="4"/>
  <c r="AD138" i="4"/>
  <c r="AF139" i="4"/>
  <c r="AG139" i="4"/>
  <c r="AH139" i="4"/>
  <c r="AI139" i="4"/>
  <c r="AJ139" i="4"/>
  <c r="AD139" i="4"/>
  <c r="AF140" i="4"/>
  <c r="AG140" i="4"/>
  <c r="AH140" i="4"/>
  <c r="AI140" i="4"/>
  <c r="AJ140" i="4"/>
  <c r="AD140" i="4"/>
  <c r="AF141" i="4"/>
  <c r="AG141" i="4"/>
  <c r="AH141" i="4"/>
  <c r="AI141" i="4"/>
  <c r="AJ141" i="4"/>
  <c r="AD141" i="4"/>
  <c r="AF142" i="4"/>
  <c r="AG142" i="4"/>
  <c r="AH142" i="4"/>
  <c r="AI142" i="4"/>
  <c r="AJ142" i="4"/>
  <c r="AD142" i="4"/>
  <c r="AF143" i="4"/>
  <c r="AG143" i="4"/>
  <c r="AH143" i="4"/>
  <c r="AI143" i="4"/>
  <c r="AJ143" i="4"/>
  <c r="AD143" i="4"/>
  <c r="AF144" i="4"/>
  <c r="AG144" i="4"/>
  <c r="AH144" i="4"/>
  <c r="AI144" i="4"/>
  <c r="AJ144" i="4"/>
  <c r="AD144" i="4"/>
  <c r="AF145" i="4"/>
  <c r="AG145" i="4"/>
  <c r="AH145" i="4"/>
  <c r="AI145" i="4"/>
  <c r="AJ145" i="4"/>
  <c r="AD145" i="4"/>
  <c r="AF146" i="4"/>
  <c r="AG146" i="4"/>
  <c r="AH146" i="4"/>
  <c r="AI146" i="4"/>
  <c r="AJ146" i="4"/>
  <c r="AD146" i="4"/>
  <c r="AF147" i="4"/>
  <c r="AG147" i="4"/>
  <c r="AH147" i="4"/>
  <c r="AI147" i="4"/>
  <c r="AJ147" i="4"/>
  <c r="AD147" i="4"/>
  <c r="AF148" i="4"/>
  <c r="AG148" i="4"/>
  <c r="AH148" i="4"/>
  <c r="AI148" i="4"/>
  <c r="AJ148" i="4"/>
  <c r="AD148" i="4"/>
  <c r="AF149" i="4"/>
  <c r="AG149" i="4"/>
  <c r="AH149" i="4"/>
  <c r="AI149" i="4"/>
  <c r="AJ149" i="4"/>
  <c r="AD149" i="4"/>
  <c r="AF150" i="4"/>
  <c r="AG150" i="4"/>
  <c r="AH150" i="4"/>
  <c r="AI150" i="4"/>
  <c r="AJ150" i="4"/>
  <c r="AD150" i="4"/>
  <c r="AF151" i="4"/>
  <c r="AG151" i="4"/>
  <c r="AH151" i="4"/>
  <c r="AI151" i="4"/>
  <c r="AJ151" i="4"/>
  <c r="AD151" i="4"/>
  <c r="AF152" i="4"/>
  <c r="AG152" i="4"/>
  <c r="AH152" i="4"/>
  <c r="AI152" i="4"/>
  <c r="AJ152" i="4"/>
  <c r="AD152" i="4"/>
  <c r="AF153" i="4"/>
  <c r="AG153" i="4"/>
  <c r="AH153" i="4"/>
  <c r="AI153" i="4"/>
  <c r="AJ153" i="4"/>
  <c r="AD153" i="4"/>
  <c r="AF154" i="4"/>
  <c r="AG154" i="4"/>
  <c r="AH154" i="4"/>
  <c r="AI154" i="4"/>
  <c r="AJ154" i="4"/>
  <c r="AD154" i="4"/>
  <c r="AF155" i="4"/>
  <c r="AG155" i="4"/>
  <c r="AH155" i="4"/>
  <c r="AI155" i="4"/>
  <c r="AJ155" i="4"/>
  <c r="AD155" i="4"/>
  <c r="AF156" i="4"/>
  <c r="AG156" i="4"/>
  <c r="AH156" i="4"/>
  <c r="AI156" i="4"/>
  <c r="AJ156" i="4"/>
  <c r="AD156" i="4"/>
  <c r="AF157" i="4"/>
  <c r="AG157" i="4"/>
  <c r="AH157" i="4"/>
  <c r="AI157" i="4"/>
  <c r="AJ157" i="4"/>
  <c r="AD157" i="4"/>
  <c r="AF158" i="4"/>
  <c r="AG158" i="4"/>
  <c r="AH158" i="4"/>
  <c r="AI158" i="4"/>
  <c r="AJ158" i="4"/>
  <c r="AD158" i="4"/>
  <c r="AF159" i="4"/>
  <c r="AG159" i="4"/>
  <c r="AH159" i="4"/>
  <c r="AI159" i="4"/>
  <c r="AJ159" i="4"/>
  <c r="AD159" i="4"/>
  <c r="AF160" i="4"/>
  <c r="AG160" i="4"/>
  <c r="AH160" i="4"/>
  <c r="AI160" i="4"/>
  <c r="AJ160" i="4"/>
  <c r="AD160" i="4"/>
  <c r="AF161" i="4"/>
  <c r="AG161" i="4"/>
  <c r="AH161" i="4"/>
  <c r="AI161" i="4"/>
  <c r="AJ161" i="4"/>
  <c r="AD161" i="4"/>
  <c r="AF162" i="4"/>
  <c r="AG162" i="4"/>
  <c r="AH162" i="4"/>
  <c r="AI162" i="4"/>
  <c r="AJ162" i="4"/>
  <c r="AD162" i="4"/>
  <c r="AF163" i="4"/>
  <c r="AG163" i="4"/>
  <c r="AH163" i="4"/>
  <c r="AI163" i="4"/>
  <c r="AJ163" i="4"/>
  <c r="AD163" i="4"/>
  <c r="AF164" i="4"/>
  <c r="AG164" i="4"/>
  <c r="AH164" i="4"/>
  <c r="AI164" i="4"/>
  <c r="AJ164" i="4"/>
  <c r="AD164" i="4"/>
  <c r="AF165" i="4"/>
  <c r="AG165" i="4"/>
  <c r="AH165" i="4"/>
  <c r="AI165" i="4"/>
  <c r="AJ165" i="4"/>
  <c r="AD165" i="4"/>
  <c r="AF166" i="4"/>
  <c r="AG166" i="4"/>
  <c r="AH166" i="4"/>
  <c r="AI166" i="4"/>
  <c r="AJ166" i="4"/>
  <c r="AD166" i="4"/>
  <c r="AF167" i="4"/>
  <c r="AG167" i="4"/>
  <c r="AH167" i="4"/>
  <c r="AI167" i="4"/>
  <c r="AJ167" i="4"/>
  <c r="AD167" i="4"/>
  <c r="AF168" i="4"/>
  <c r="AG168" i="4"/>
  <c r="AH168" i="4"/>
  <c r="AI168" i="4"/>
  <c r="AJ168" i="4"/>
  <c r="AD168" i="4"/>
  <c r="AF169" i="4"/>
  <c r="AG169" i="4"/>
  <c r="AH169" i="4"/>
  <c r="AI169" i="4"/>
  <c r="AJ169" i="4"/>
  <c r="AD169" i="4"/>
  <c r="AF170" i="4"/>
  <c r="AG170" i="4"/>
  <c r="AH170" i="4"/>
  <c r="AI170" i="4"/>
  <c r="AJ170" i="4"/>
  <c r="AD170" i="4"/>
  <c r="AF171" i="4"/>
  <c r="AG171" i="4"/>
  <c r="AH171" i="4"/>
  <c r="AI171" i="4"/>
  <c r="AJ171" i="4"/>
  <c r="AD171" i="4"/>
  <c r="AF172" i="4"/>
  <c r="AG172" i="4"/>
  <c r="AH172" i="4"/>
  <c r="AI172" i="4"/>
  <c r="AJ172" i="4"/>
  <c r="AD172" i="4"/>
  <c r="AF173" i="4"/>
  <c r="AG173" i="4"/>
  <c r="AH173" i="4"/>
  <c r="AI173" i="4"/>
  <c r="AJ173" i="4"/>
  <c r="AD173" i="4"/>
  <c r="AF174" i="4"/>
  <c r="AG174" i="4"/>
  <c r="AH174" i="4"/>
  <c r="AI174" i="4"/>
  <c r="AJ174" i="4"/>
  <c r="AD174" i="4"/>
  <c r="AF175" i="4"/>
  <c r="AG175" i="4"/>
  <c r="AH175" i="4"/>
  <c r="AI175" i="4"/>
  <c r="AJ175" i="4"/>
  <c r="AD175" i="4"/>
  <c r="AF176" i="4"/>
  <c r="AG176" i="4"/>
  <c r="AH176" i="4"/>
  <c r="AI176" i="4"/>
  <c r="AJ176" i="4"/>
  <c r="AD176" i="4"/>
  <c r="AF177" i="4"/>
  <c r="AG177" i="4"/>
  <c r="AH177" i="4"/>
  <c r="AI177" i="4"/>
  <c r="AJ177" i="4"/>
  <c r="AD177" i="4"/>
  <c r="AF178" i="4"/>
  <c r="AG178" i="4"/>
  <c r="AH178" i="4"/>
  <c r="AI178" i="4"/>
  <c r="AJ178" i="4"/>
  <c r="AD178" i="4"/>
  <c r="AF179" i="4"/>
  <c r="AG179" i="4"/>
  <c r="AH179" i="4"/>
  <c r="AI179" i="4"/>
  <c r="AJ179" i="4"/>
  <c r="AD179" i="4"/>
  <c r="AF180" i="4"/>
  <c r="AG180" i="4"/>
  <c r="AH180" i="4"/>
  <c r="AI180" i="4"/>
  <c r="AJ180" i="4"/>
  <c r="AD180" i="4"/>
  <c r="AF181" i="4"/>
  <c r="AG181" i="4"/>
  <c r="AH181" i="4"/>
  <c r="AI181" i="4"/>
  <c r="AJ181" i="4"/>
  <c r="AD181" i="4"/>
  <c r="AF182" i="4"/>
  <c r="AG182" i="4"/>
  <c r="AH182" i="4"/>
  <c r="AI182" i="4"/>
  <c r="AJ182" i="4"/>
  <c r="AD182" i="4"/>
  <c r="AF183" i="4"/>
  <c r="AG183" i="4"/>
  <c r="AH183" i="4"/>
  <c r="AI183" i="4"/>
  <c r="AJ183" i="4"/>
  <c r="AD183" i="4"/>
  <c r="AF184" i="4"/>
  <c r="AG184" i="4"/>
  <c r="AH184" i="4"/>
  <c r="AI184" i="4"/>
  <c r="AJ184" i="4"/>
  <c r="AD184" i="4"/>
  <c r="AF185" i="4"/>
  <c r="AG185" i="4"/>
  <c r="AH185" i="4"/>
  <c r="AI185" i="4"/>
  <c r="AJ185" i="4"/>
  <c r="AD185" i="4"/>
  <c r="AF186" i="4"/>
  <c r="AG186" i="4"/>
  <c r="AH186" i="4"/>
  <c r="AI186" i="4"/>
  <c r="AJ186" i="4"/>
  <c r="AD186" i="4"/>
  <c r="AF187" i="4"/>
  <c r="AG187" i="4"/>
  <c r="AH187" i="4"/>
  <c r="AI187" i="4"/>
  <c r="AJ187" i="4"/>
  <c r="AD187" i="4"/>
  <c r="AF188" i="4"/>
  <c r="AG188" i="4"/>
  <c r="AH188" i="4"/>
  <c r="AI188" i="4"/>
  <c r="AJ188" i="4"/>
  <c r="AD188" i="4"/>
  <c r="AF189" i="4"/>
  <c r="AG189" i="4"/>
  <c r="AH189" i="4"/>
  <c r="AI189" i="4"/>
  <c r="AJ189" i="4"/>
  <c r="AD189" i="4"/>
  <c r="AF190" i="4"/>
  <c r="AG190" i="4"/>
  <c r="AH190" i="4"/>
  <c r="AI190" i="4"/>
  <c r="AJ190" i="4"/>
  <c r="AD190" i="4"/>
  <c r="AF191" i="4"/>
  <c r="AG191" i="4"/>
  <c r="AH191" i="4"/>
  <c r="AI191" i="4"/>
  <c r="AJ191" i="4"/>
  <c r="AD191" i="4"/>
  <c r="AF192" i="4"/>
  <c r="AG192" i="4"/>
  <c r="AH192" i="4"/>
  <c r="AI192" i="4"/>
  <c r="AJ192" i="4"/>
  <c r="AD192" i="4"/>
  <c r="AF193" i="4"/>
  <c r="AG193" i="4"/>
  <c r="AH193" i="4"/>
  <c r="AI193" i="4"/>
  <c r="AJ193" i="4"/>
  <c r="AD193" i="4"/>
  <c r="AF194" i="4"/>
  <c r="AG194" i="4"/>
  <c r="AH194" i="4"/>
  <c r="AI194" i="4"/>
  <c r="AJ194" i="4"/>
  <c r="AD194" i="4"/>
  <c r="AF195" i="4"/>
  <c r="AG195" i="4"/>
  <c r="AH195" i="4"/>
  <c r="AI195" i="4"/>
  <c r="AJ195" i="4"/>
  <c r="AD195" i="4"/>
  <c r="AF196" i="4"/>
  <c r="AG196" i="4"/>
  <c r="AH196" i="4"/>
  <c r="AI196" i="4"/>
  <c r="AJ196" i="4"/>
  <c r="AD196" i="4"/>
  <c r="AF197" i="4"/>
  <c r="AG197" i="4"/>
  <c r="AH197" i="4"/>
  <c r="AI197" i="4"/>
  <c r="AJ197" i="4"/>
  <c r="AD197" i="4"/>
  <c r="AF198" i="4"/>
  <c r="AG198" i="4"/>
  <c r="AH198" i="4"/>
  <c r="AI198" i="4"/>
  <c r="AJ198" i="4"/>
  <c r="AD198" i="4"/>
  <c r="AF199" i="4"/>
  <c r="AG199" i="4"/>
  <c r="AH199" i="4"/>
  <c r="AI199" i="4"/>
  <c r="AJ199" i="4"/>
  <c r="AD199" i="4"/>
  <c r="AF200" i="4"/>
  <c r="AG200" i="4"/>
  <c r="AH200" i="4"/>
  <c r="AI200" i="4"/>
  <c r="AJ200" i="4"/>
  <c r="AD200" i="4"/>
  <c r="AF201" i="4"/>
  <c r="AG201" i="4"/>
  <c r="AH201" i="4"/>
  <c r="AI201" i="4"/>
  <c r="AJ201" i="4"/>
  <c r="AD201" i="4"/>
  <c r="AF202" i="4"/>
  <c r="AG202" i="4"/>
  <c r="AH202" i="4"/>
  <c r="AI202" i="4"/>
  <c r="AJ202" i="4"/>
  <c r="AD202" i="4"/>
  <c r="AF203" i="4"/>
  <c r="AG203" i="4"/>
  <c r="AH203" i="4"/>
  <c r="AI203" i="4"/>
  <c r="AJ203" i="4"/>
  <c r="AD203" i="4"/>
  <c r="AF204" i="4"/>
  <c r="AG204" i="4"/>
  <c r="AH204" i="4"/>
  <c r="AI204" i="4"/>
  <c r="AJ204" i="4"/>
  <c r="AD204" i="4"/>
  <c r="AF205" i="4"/>
  <c r="AG205" i="4"/>
  <c r="AH205" i="4"/>
  <c r="AI205" i="4"/>
  <c r="AJ205" i="4"/>
  <c r="AD205" i="4"/>
  <c r="AF206" i="4"/>
  <c r="AG206" i="4"/>
  <c r="AH206" i="4"/>
  <c r="AI206" i="4"/>
  <c r="AJ206" i="4"/>
  <c r="AD206" i="4"/>
  <c r="AF207" i="4"/>
  <c r="AG207" i="4"/>
  <c r="AH207" i="4"/>
  <c r="AI207" i="4"/>
  <c r="AJ207" i="4"/>
  <c r="AD207" i="4"/>
  <c r="AF208" i="4"/>
  <c r="AG208" i="4"/>
  <c r="AH208" i="4"/>
  <c r="AI208" i="4"/>
  <c r="AJ208" i="4"/>
  <c r="AD208" i="4"/>
  <c r="AF209" i="4"/>
  <c r="AG209" i="4"/>
  <c r="AH209" i="4"/>
  <c r="AI209" i="4"/>
  <c r="AJ209" i="4"/>
  <c r="AD209" i="4"/>
  <c r="AF210" i="4"/>
  <c r="AG210" i="4"/>
  <c r="AH210" i="4"/>
  <c r="AI210" i="4"/>
  <c r="AJ210" i="4"/>
  <c r="AD210" i="4"/>
  <c r="AF211" i="4"/>
  <c r="AG211" i="4"/>
  <c r="AH211" i="4"/>
  <c r="AI211" i="4"/>
  <c r="AJ211" i="4"/>
  <c r="AD211" i="4"/>
  <c r="AF212" i="4"/>
  <c r="AG212" i="4"/>
  <c r="AH212" i="4"/>
  <c r="AI212" i="4"/>
  <c r="AJ212" i="4"/>
  <c r="AD212" i="4"/>
  <c r="AF213" i="4"/>
  <c r="AG213" i="4"/>
  <c r="AH213" i="4"/>
  <c r="AI213" i="4"/>
  <c r="AJ213" i="4"/>
  <c r="AD213" i="4"/>
  <c r="AF214" i="4"/>
  <c r="AG214" i="4"/>
  <c r="AH214" i="4"/>
  <c r="AI214" i="4"/>
  <c r="AJ214" i="4"/>
  <c r="AD214" i="4"/>
  <c r="AF215" i="4"/>
  <c r="AG215" i="4"/>
  <c r="AH215" i="4"/>
  <c r="AI215" i="4"/>
  <c r="AJ215" i="4"/>
  <c r="AD215" i="4"/>
  <c r="AF216" i="4"/>
  <c r="AG216" i="4"/>
  <c r="AH216" i="4"/>
  <c r="AI216" i="4"/>
  <c r="AJ216" i="4"/>
  <c r="AD216" i="4"/>
  <c r="AF217" i="4"/>
  <c r="AG217" i="4"/>
  <c r="AH217" i="4"/>
  <c r="AI217" i="4"/>
  <c r="AJ217" i="4"/>
  <c r="AD217" i="4"/>
  <c r="AF218" i="4"/>
  <c r="AG218" i="4"/>
  <c r="AH218" i="4"/>
  <c r="AI218" i="4"/>
  <c r="AJ218" i="4"/>
  <c r="AD218" i="4"/>
  <c r="AF219" i="4"/>
  <c r="AG219" i="4"/>
  <c r="AH219" i="4"/>
  <c r="AI219" i="4"/>
  <c r="AJ219" i="4"/>
  <c r="AD219" i="4"/>
  <c r="AF220" i="4"/>
  <c r="AG220" i="4"/>
  <c r="AH220" i="4"/>
  <c r="AI220" i="4"/>
  <c r="AJ220" i="4"/>
  <c r="AD220" i="4"/>
  <c r="AF221" i="4"/>
  <c r="AG221" i="4"/>
  <c r="AH221" i="4"/>
  <c r="AI221" i="4"/>
  <c r="AJ221" i="4"/>
  <c r="AD221" i="4"/>
  <c r="AF222" i="4"/>
  <c r="AG222" i="4"/>
  <c r="AH222" i="4"/>
  <c r="AI222" i="4"/>
  <c r="AJ222" i="4"/>
  <c r="AD222" i="4"/>
  <c r="AF223" i="4"/>
  <c r="AG223" i="4"/>
  <c r="AH223" i="4"/>
  <c r="AI223" i="4"/>
  <c r="AJ223" i="4"/>
  <c r="AD223" i="4"/>
  <c r="AF224" i="4"/>
  <c r="AG224" i="4"/>
  <c r="AH224" i="4"/>
  <c r="AI224" i="4"/>
  <c r="AJ224" i="4"/>
  <c r="AD224" i="4"/>
  <c r="AF225" i="4"/>
  <c r="AG225" i="4"/>
  <c r="AH225" i="4"/>
  <c r="AI225" i="4"/>
  <c r="AJ225" i="4"/>
  <c r="AD225" i="4"/>
  <c r="AF226" i="4"/>
  <c r="AG226" i="4"/>
  <c r="AH226" i="4"/>
  <c r="AI226" i="4"/>
  <c r="AJ226" i="4"/>
  <c r="AD226" i="4"/>
  <c r="AF227" i="4"/>
  <c r="AG227" i="4"/>
  <c r="AH227" i="4"/>
  <c r="AI227" i="4"/>
  <c r="AJ227" i="4"/>
  <c r="AD227" i="4"/>
  <c r="AF228" i="4"/>
  <c r="AG228" i="4"/>
  <c r="AH228" i="4"/>
  <c r="AI228" i="4"/>
  <c r="AJ228" i="4"/>
  <c r="AD228" i="4"/>
  <c r="AF229" i="4"/>
  <c r="AG229" i="4"/>
  <c r="AH229" i="4"/>
  <c r="AI229" i="4"/>
  <c r="AJ229" i="4"/>
  <c r="AD229" i="4"/>
  <c r="AF230" i="4"/>
  <c r="AG230" i="4"/>
  <c r="AH230" i="4"/>
  <c r="AI230" i="4"/>
  <c r="AJ230" i="4"/>
  <c r="AD230" i="4"/>
  <c r="AF231" i="4"/>
  <c r="AG231" i="4"/>
  <c r="AH231" i="4"/>
  <c r="AI231" i="4"/>
  <c r="AJ231" i="4"/>
  <c r="AD231" i="4"/>
  <c r="AF232" i="4"/>
  <c r="AG232" i="4"/>
  <c r="AH232" i="4"/>
  <c r="AI232" i="4"/>
  <c r="AJ232" i="4"/>
  <c r="AD232" i="4"/>
  <c r="AF233" i="4"/>
  <c r="AG233" i="4"/>
  <c r="AH233" i="4"/>
  <c r="AI233" i="4"/>
  <c r="AJ233" i="4"/>
  <c r="AD233" i="4"/>
  <c r="AF234" i="4"/>
  <c r="AG234" i="4"/>
  <c r="AH234" i="4"/>
  <c r="AI234" i="4"/>
  <c r="AJ234" i="4"/>
  <c r="AD234" i="4"/>
  <c r="AF235" i="4"/>
  <c r="AG235" i="4"/>
  <c r="AH235" i="4"/>
  <c r="AI235" i="4"/>
  <c r="AJ235" i="4"/>
  <c r="AD235" i="4"/>
  <c r="AF236" i="4"/>
  <c r="AG236" i="4"/>
  <c r="AH236" i="4"/>
  <c r="AI236" i="4"/>
  <c r="AJ236" i="4"/>
  <c r="AD236" i="4"/>
  <c r="AF237" i="4"/>
  <c r="AG237" i="4"/>
  <c r="AH237" i="4"/>
  <c r="AI237" i="4"/>
  <c r="AJ237" i="4"/>
  <c r="AD237" i="4"/>
  <c r="AF238" i="4"/>
  <c r="AG238" i="4"/>
  <c r="AH238" i="4"/>
  <c r="AI238" i="4"/>
  <c r="AJ238" i="4"/>
  <c r="AD238" i="4"/>
  <c r="AF239" i="4"/>
  <c r="AG239" i="4"/>
  <c r="AH239" i="4"/>
  <c r="AI239" i="4"/>
  <c r="AJ239" i="4"/>
  <c r="AD239" i="4"/>
  <c r="AF240" i="4"/>
  <c r="AG240" i="4"/>
  <c r="AH240" i="4"/>
  <c r="AI240" i="4"/>
  <c r="AJ240" i="4"/>
  <c r="AD240" i="4"/>
  <c r="AF241" i="4"/>
  <c r="AG241" i="4"/>
  <c r="AH241" i="4"/>
  <c r="AI241" i="4"/>
  <c r="AJ241" i="4"/>
  <c r="AD241" i="4"/>
  <c r="AF242" i="4"/>
  <c r="AG242" i="4"/>
  <c r="AH242" i="4"/>
  <c r="AI242" i="4"/>
  <c r="AJ242" i="4"/>
  <c r="AD242" i="4"/>
  <c r="AF243" i="4"/>
  <c r="AG243" i="4"/>
  <c r="AH243" i="4"/>
  <c r="AI243" i="4"/>
  <c r="AJ243" i="4"/>
  <c r="AD243" i="4"/>
  <c r="AF244" i="4"/>
  <c r="AG244" i="4"/>
  <c r="AH244" i="4"/>
  <c r="AI244" i="4"/>
  <c r="AJ244" i="4"/>
  <c r="AD244" i="4"/>
  <c r="AF245" i="4"/>
  <c r="AG245" i="4"/>
  <c r="AH245" i="4"/>
  <c r="AI245" i="4"/>
  <c r="AJ245" i="4"/>
  <c r="AD245" i="4"/>
  <c r="AF246" i="4"/>
  <c r="AG246" i="4"/>
  <c r="AH246" i="4"/>
  <c r="AI246" i="4"/>
  <c r="AJ246" i="4"/>
  <c r="AD246" i="4"/>
  <c r="AF247" i="4"/>
  <c r="AG247" i="4"/>
  <c r="AH247" i="4"/>
  <c r="AI247" i="4"/>
  <c r="AJ247" i="4"/>
  <c r="AD247" i="4"/>
  <c r="AF248" i="4"/>
  <c r="AG248" i="4"/>
  <c r="AH248" i="4"/>
  <c r="AI248" i="4"/>
  <c r="AJ248" i="4"/>
  <c r="AD248" i="4"/>
  <c r="AF249" i="4"/>
  <c r="AG249" i="4"/>
  <c r="AH249" i="4"/>
  <c r="AI249" i="4"/>
  <c r="AJ249" i="4"/>
  <c r="AD249" i="4"/>
  <c r="AF250" i="4"/>
  <c r="AG250" i="4"/>
  <c r="AH250" i="4"/>
  <c r="AI250" i="4"/>
  <c r="AJ250" i="4"/>
  <c r="AD250" i="4"/>
  <c r="AF251" i="4"/>
  <c r="AG251" i="4"/>
  <c r="AH251" i="4"/>
  <c r="AI251" i="4"/>
  <c r="AJ251" i="4"/>
  <c r="AD251" i="4"/>
  <c r="AF252" i="4"/>
  <c r="AG252" i="4"/>
  <c r="AH252" i="4"/>
  <c r="AI252" i="4"/>
  <c r="AJ252" i="4"/>
  <c r="AD252" i="4"/>
  <c r="AF253" i="4"/>
  <c r="AG253" i="4"/>
  <c r="AH253" i="4"/>
  <c r="AI253" i="4"/>
  <c r="AJ253" i="4"/>
  <c r="AD253" i="4"/>
  <c r="AF254" i="4"/>
  <c r="AG254" i="4"/>
  <c r="AH254" i="4"/>
  <c r="AI254" i="4"/>
  <c r="AJ254" i="4"/>
  <c r="AD254" i="4"/>
  <c r="AF255" i="4"/>
  <c r="AG255" i="4"/>
  <c r="AH255" i="4"/>
  <c r="AI255" i="4"/>
  <c r="AJ255" i="4"/>
  <c r="AD255" i="4"/>
  <c r="AF256" i="4"/>
  <c r="AG256" i="4"/>
  <c r="AH256" i="4"/>
  <c r="AI256" i="4"/>
  <c r="AJ256" i="4"/>
  <c r="AD256" i="4"/>
  <c r="AF257" i="4"/>
  <c r="AG257" i="4"/>
  <c r="AH257" i="4"/>
  <c r="AI257" i="4"/>
  <c r="AJ257" i="4"/>
  <c r="AD257" i="4"/>
  <c r="AF258" i="4"/>
  <c r="AG258" i="4"/>
  <c r="AH258" i="4"/>
  <c r="AI258" i="4"/>
  <c r="AJ258" i="4"/>
  <c r="AD258" i="4"/>
  <c r="AF259" i="4"/>
  <c r="AG259" i="4"/>
  <c r="AH259" i="4"/>
  <c r="AI259" i="4"/>
  <c r="AJ259" i="4"/>
  <c r="AD259" i="4"/>
  <c r="AF260" i="4"/>
  <c r="AG260" i="4"/>
  <c r="AH260" i="4"/>
  <c r="AI260" i="4"/>
  <c r="AJ260" i="4"/>
  <c r="AD260" i="4"/>
  <c r="AF261" i="4"/>
  <c r="AG261" i="4"/>
  <c r="AH261" i="4"/>
  <c r="AI261" i="4"/>
  <c r="AJ261" i="4"/>
  <c r="AD261" i="4"/>
  <c r="AF262" i="4"/>
  <c r="AG262" i="4"/>
  <c r="AH262" i="4"/>
  <c r="AI262" i="4"/>
  <c r="AJ262" i="4"/>
  <c r="AD262" i="4"/>
  <c r="AF263" i="4"/>
  <c r="AG263" i="4"/>
  <c r="AH263" i="4"/>
  <c r="AI263" i="4"/>
  <c r="AJ263" i="4"/>
  <c r="AD263" i="4"/>
  <c r="AF264" i="4"/>
  <c r="AG264" i="4"/>
  <c r="AH264" i="4"/>
  <c r="AI264" i="4"/>
  <c r="AJ264" i="4"/>
  <c r="AD264" i="4"/>
  <c r="AF265" i="4"/>
  <c r="AG265" i="4"/>
  <c r="AH265" i="4"/>
  <c r="AI265" i="4"/>
  <c r="AJ265" i="4"/>
  <c r="AD265" i="4"/>
  <c r="AF266" i="4"/>
  <c r="AG266" i="4"/>
  <c r="AH266" i="4"/>
  <c r="AI266" i="4"/>
  <c r="AJ266" i="4"/>
  <c r="AD266" i="4"/>
  <c r="AF267" i="4"/>
  <c r="AG267" i="4"/>
  <c r="AH267" i="4"/>
  <c r="AI267" i="4"/>
  <c r="AJ267" i="4"/>
  <c r="AD267" i="4"/>
  <c r="AF268" i="4"/>
  <c r="AG268" i="4"/>
  <c r="AH268" i="4"/>
  <c r="AI268" i="4"/>
  <c r="AJ268" i="4"/>
  <c r="AD268" i="4"/>
  <c r="AF269" i="4"/>
  <c r="AG269" i="4"/>
  <c r="AH269" i="4"/>
  <c r="AI269" i="4"/>
  <c r="AJ269" i="4"/>
  <c r="AD269" i="4"/>
  <c r="AF270" i="4"/>
  <c r="AG270" i="4"/>
  <c r="AH270" i="4"/>
  <c r="AI270" i="4"/>
  <c r="AJ270" i="4"/>
  <c r="AD270" i="4"/>
  <c r="AF271" i="4"/>
  <c r="AG271" i="4"/>
  <c r="AH271" i="4"/>
  <c r="AI271" i="4"/>
  <c r="AJ271" i="4"/>
  <c r="AD271" i="4"/>
  <c r="AF272" i="4"/>
  <c r="AG272" i="4"/>
  <c r="AH272" i="4"/>
  <c r="AI272" i="4"/>
  <c r="AJ272" i="4"/>
  <c r="AD272" i="4"/>
  <c r="AF273" i="4"/>
  <c r="AG273" i="4"/>
  <c r="AH273" i="4"/>
  <c r="AI273" i="4"/>
  <c r="AJ273" i="4"/>
  <c r="AD273" i="4"/>
  <c r="AF274" i="4"/>
  <c r="AG274" i="4"/>
  <c r="AH274" i="4"/>
  <c r="AI274" i="4"/>
  <c r="AJ274" i="4"/>
  <c r="AD274" i="4"/>
  <c r="AF275" i="4"/>
  <c r="AG275" i="4"/>
  <c r="AH275" i="4"/>
  <c r="AI275" i="4"/>
  <c r="AJ275" i="4"/>
  <c r="AD275" i="4"/>
  <c r="AF276" i="4"/>
  <c r="AG276" i="4"/>
  <c r="AH276" i="4"/>
  <c r="AI276" i="4"/>
  <c r="AJ276" i="4"/>
  <c r="AD276" i="4"/>
  <c r="AF277" i="4"/>
  <c r="AG277" i="4"/>
  <c r="AH277" i="4"/>
  <c r="AI277" i="4"/>
  <c r="AJ277" i="4"/>
  <c r="AD277" i="4"/>
  <c r="AF278" i="4"/>
  <c r="AG278" i="4"/>
  <c r="AH278" i="4"/>
  <c r="AI278" i="4"/>
  <c r="AJ278" i="4"/>
  <c r="AD278" i="4"/>
  <c r="AF279" i="4"/>
  <c r="AG279" i="4"/>
  <c r="AH279" i="4"/>
  <c r="AI279" i="4"/>
  <c r="AJ279" i="4"/>
  <c r="AD279" i="4"/>
  <c r="AF280" i="4"/>
  <c r="AG280" i="4"/>
  <c r="AH280" i="4"/>
  <c r="AI280" i="4"/>
  <c r="AJ280" i="4"/>
  <c r="AD280" i="4"/>
  <c r="AF281" i="4"/>
  <c r="AG281" i="4"/>
  <c r="AH281" i="4"/>
  <c r="AI281" i="4"/>
  <c r="AJ281" i="4"/>
  <c r="AD281" i="4"/>
  <c r="AF282" i="4"/>
  <c r="AG282" i="4"/>
  <c r="AH282" i="4"/>
  <c r="AI282" i="4"/>
  <c r="AJ282" i="4"/>
  <c r="AD282" i="4"/>
  <c r="AF283" i="4"/>
  <c r="AG283" i="4"/>
  <c r="AH283" i="4"/>
  <c r="AI283" i="4"/>
  <c r="AJ283" i="4"/>
  <c r="AD283" i="4"/>
  <c r="AF284" i="4"/>
  <c r="AG284" i="4"/>
  <c r="AH284" i="4"/>
  <c r="AI284" i="4"/>
  <c r="AJ284" i="4"/>
  <c r="AD284" i="4"/>
  <c r="AF285" i="4"/>
  <c r="AG285" i="4"/>
  <c r="AH285" i="4"/>
  <c r="AI285" i="4"/>
  <c r="AJ285" i="4"/>
  <c r="AD285" i="4"/>
  <c r="AF286" i="4"/>
  <c r="AG286" i="4"/>
  <c r="AH286" i="4"/>
  <c r="AI286" i="4"/>
  <c r="AJ286" i="4"/>
  <c r="AD286" i="4"/>
  <c r="AF287" i="4"/>
  <c r="AG287" i="4"/>
  <c r="AH287" i="4"/>
  <c r="AI287" i="4"/>
  <c r="AJ287" i="4"/>
  <c r="AD287" i="4"/>
  <c r="AF288" i="4"/>
  <c r="AG288" i="4"/>
  <c r="AH288" i="4"/>
  <c r="AI288" i="4"/>
  <c r="AJ288" i="4"/>
  <c r="AD288" i="4"/>
  <c r="AF289" i="4"/>
  <c r="AG289" i="4"/>
  <c r="AH289" i="4"/>
  <c r="AI289" i="4"/>
  <c r="AJ289" i="4"/>
  <c r="AD289" i="4"/>
  <c r="AF290" i="4"/>
  <c r="AG290" i="4"/>
  <c r="AH290" i="4"/>
  <c r="AI290" i="4"/>
  <c r="AJ290" i="4"/>
  <c r="AD290" i="4"/>
  <c r="AF291" i="4"/>
  <c r="AG291" i="4"/>
  <c r="AH291" i="4"/>
  <c r="AI291" i="4"/>
  <c r="AJ291" i="4"/>
  <c r="AD291" i="4"/>
  <c r="AF292" i="4"/>
  <c r="AG292" i="4"/>
  <c r="AH292" i="4"/>
  <c r="AI292" i="4"/>
  <c r="AJ292" i="4"/>
  <c r="AD292" i="4"/>
  <c r="AF293" i="4"/>
  <c r="AG293" i="4"/>
  <c r="AH293" i="4"/>
  <c r="AI293" i="4"/>
  <c r="AJ293" i="4"/>
  <c r="AD293" i="4"/>
  <c r="AF294" i="4"/>
  <c r="AG294" i="4"/>
  <c r="AH294" i="4"/>
  <c r="AI294" i="4"/>
  <c r="AJ294" i="4"/>
  <c r="AD294" i="4"/>
  <c r="AF295" i="4"/>
  <c r="AG295" i="4"/>
  <c r="AH295" i="4"/>
  <c r="AI295" i="4"/>
  <c r="AJ295" i="4"/>
  <c r="AD295" i="4"/>
  <c r="AF296" i="4"/>
  <c r="AG296" i="4"/>
  <c r="AH296" i="4"/>
  <c r="AI296" i="4"/>
  <c r="AJ296" i="4"/>
  <c r="AD296" i="4"/>
  <c r="AF297" i="4"/>
  <c r="AG297" i="4"/>
  <c r="AH297" i="4"/>
  <c r="AI297" i="4"/>
  <c r="AJ297" i="4"/>
  <c r="AD297" i="4"/>
  <c r="AF298" i="4"/>
  <c r="AG298" i="4"/>
  <c r="AH298" i="4"/>
  <c r="AI298" i="4"/>
  <c r="AJ298" i="4"/>
  <c r="AD298" i="4"/>
  <c r="AF299" i="4"/>
  <c r="AG299" i="4"/>
  <c r="AH299" i="4"/>
  <c r="AI299" i="4"/>
  <c r="AJ299" i="4"/>
  <c r="AD299" i="4"/>
  <c r="AF300" i="4"/>
  <c r="AG300" i="4"/>
  <c r="AH300" i="4"/>
  <c r="AI300" i="4"/>
  <c r="AJ300" i="4"/>
  <c r="AD300" i="4"/>
  <c r="AF301" i="4"/>
  <c r="AG301" i="4"/>
  <c r="AH301" i="4"/>
  <c r="AI301" i="4"/>
  <c r="AJ301" i="4"/>
  <c r="AD301" i="4"/>
  <c r="AF302" i="4"/>
  <c r="AG302" i="4"/>
  <c r="AH302" i="4"/>
  <c r="AI302" i="4"/>
  <c r="AJ302" i="4"/>
  <c r="AD302" i="4"/>
  <c r="AF303" i="4"/>
  <c r="AG303" i="4"/>
  <c r="AH303" i="4"/>
  <c r="AI303" i="4"/>
  <c r="AJ303" i="4"/>
  <c r="AD303" i="4"/>
  <c r="AF304" i="4"/>
  <c r="AG304" i="4"/>
  <c r="AH304" i="4"/>
  <c r="AI304" i="4"/>
  <c r="AJ304" i="4"/>
  <c r="AD304" i="4"/>
  <c r="AF305" i="4"/>
  <c r="AG305" i="4"/>
  <c r="AH305" i="4"/>
  <c r="AI305" i="4"/>
  <c r="AJ305" i="4"/>
  <c r="AD305" i="4"/>
  <c r="AF306" i="4"/>
  <c r="AG306" i="4"/>
  <c r="AH306" i="4"/>
  <c r="AI306" i="4"/>
  <c r="AJ306" i="4"/>
  <c r="AD306" i="4"/>
  <c r="AF307" i="4"/>
  <c r="AG307" i="4"/>
  <c r="AH307" i="4"/>
  <c r="AI307" i="4"/>
  <c r="AJ307" i="4"/>
  <c r="AD307" i="4"/>
  <c r="AF308" i="4"/>
  <c r="AG308" i="4"/>
  <c r="AH308" i="4"/>
  <c r="AI308" i="4"/>
  <c r="AJ308" i="4"/>
  <c r="AD308" i="4"/>
  <c r="AF309" i="4"/>
  <c r="AG309" i="4"/>
  <c r="AH309" i="4"/>
  <c r="AI309" i="4"/>
  <c r="AJ309" i="4"/>
  <c r="AD309" i="4"/>
  <c r="AF310" i="4"/>
  <c r="AG310" i="4"/>
  <c r="AH310" i="4"/>
  <c r="AI310" i="4"/>
  <c r="AJ310" i="4"/>
  <c r="AD310" i="4"/>
  <c r="AF311" i="4"/>
  <c r="AG311" i="4"/>
  <c r="AH311" i="4"/>
  <c r="AI311" i="4"/>
  <c r="AJ311" i="4"/>
  <c r="AD311" i="4"/>
  <c r="AF312" i="4"/>
  <c r="AG312" i="4"/>
  <c r="AH312" i="4"/>
  <c r="AI312" i="4"/>
  <c r="AJ312" i="4"/>
  <c r="AD312" i="4"/>
  <c r="AF313" i="4"/>
  <c r="AG313" i="4"/>
  <c r="AH313" i="4"/>
  <c r="AI313" i="4"/>
  <c r="AJ313" i="4"/>
  <c r="AD313" i="4"/>
  <c r="AF314" i="4"/>
  <c r="AG314" i="4"/>
  <c r="AH314" i="4"/>
  <c r="AI314" i="4"/>
  <c r="AJ314" i="4"/>
  <c r="AD314" i="4"/>
  <c r="AF315" i="4"/>
  <c r="AG315" i="4"/>
  <c r="AH315" i="4"/>
  <c r="AI315" i="4"/>
  <c r="AJ315" i="4"/>
  <c r="AD315" i="4"/>
  <c r="AF316" i="4"/>
  <c r="AG316" i="4"/>
  <c r="AH316" i="4"/>
  <c r="AI316" i="4"/>
  <c r="AJ316" i="4"/>
  <c r="AD316" i="4"/>
  <c r="AF317" i="4"/>
  <c r="AG317" i="4"/>
  <c r="AH317" i="4"/>
  <c r="AI317" i="4"/>
  <c r="AJ317" i="4"/>
  <c r="AD317" i="4"/>
  <c r="AF318" i="4"/>
  <c r="AG318" i="4"/>
  <c r="AH318" i="4"/>
  <c r="AI318" i="4"/>
  <c r="AJ318" i="4"/>
  <c r="AD318" i="4"/>
  <c r="AF319" i="4"/>
  <c r="AG319" i="4"/>
  <c r="AH319" i="4"/>
  <c r="AI319" i="4"/>
  <c r="AJ319" i="4"/>
  <c r="AD319" i="4"/>
  <c r="AF320" i="4"/>
  <c r="AG320" i="4"/>
  <c r="AH320" i="4"/>
  <c r="AI320" i="4"/>
  <c r="AJ320" i="4"/>
  <c r="AD320" i="4"/>
  <c r="AF321" i="4"/>
  <c r="AG321" i="4"/>
  <c r="AH321" i="4"/>
  <c r="AI321" i="4"/>
  <c r="AJ321" i="4"/>
  <c r="AD321" i="4"/>
  <c r="AF322" i="4"/>
  <c r="AG322" i="4"/>
  <c r="AH322" i="4"/>
  <c r="AI322" i="4"/>
  <c r="AJ322" i="4"/>
  <c r="AD322" i="4"/>
  <c r="AF323" i="4"/>
  <c r="AG323" i="4"/>
  <c r="AH323" i="4"/>
  <c r="AI323" i="4"/>
  <c r="AJ323" i="4"/>
  <c r="AD323" i="4"/>
  <c r="AF324" i="4"/>
  <c r="AG324" i="4"/>
  <c r="AH324" i="4"/>
  <c r="AI324" i="4"/>
  <c r="AJ324" i="4"/>
  <c r="AD324" i="4"/>
  <c r="AF325" i="4"/>
  <c r="AG325" i="4"/>
  <c r="AH325" i="4"/>
  <c r="AI325" i="4"/>
  <c r="AJ325" i="4"/>
  <c r="AD325" i="4"/>
  <c r="AF326" i="4"/>
  <c r="AG326" i="4"/>
  <c r="AH326" i="4"/>
  <c r="AI326" i="4"/>
  <c r="AJ326" i="4"/>
  <c r="AD326" i="4"/>
  <c r="AF327" i="4"/>
  <c r="AG327" i="4"/>
  <c r="AH327" i="4"/>
  <c r="AI327" i="4"/>
  <c r="AJ327" i="4"/>
  <c r="AD327" i="4"/>
  <c r="AF328" i="4"/>
  <c r="AG328" i="4"/>
  <c r="AH328" i="4"/>
  <c r="AI328" i="4"/>
  <c r="AJ328" i="4"/>
  <c r="AD328" i="4"/>
  <c r="AF329" i="4"/>
  <c r="AG329" i="4"/>
  <c r="AH329" i="4"/>
  <c r="AI329" i="4"/>
  <c r="AJ329" i="4"/>
  <c r="AD329" i="4"/>
  <c r="AF330" i="4"/>
  <c r="AG330" i="4"/>
  <c r="AH330" i="4"/>
  <c r="AI330" i="4"/>
  <c r="AJ330" i="4"/>
  <c r="AD330" i="4"/>
  <c r="AF331" i="4"/>
  <c r="AG331" i="4"/>
  <c r="AH331" i="4"/>
  <c r="AI331" i="4"/>
  <c r="AJ331" i="4"/>
  <c r="AD331" i="4"/>
  <c r="AF332" i="4"/>
  <c r="AG332" i="4"/>
  <c r="AH332" i="4"/>
  <c r="AI332" i="4"/>
  <c r="AJ332" i="4"/>
  <c r="AD332" i="4"/>
  <c r="AF333" i="4"/>
  <c r="AG333" i="4"/>
  <c r="AH333" i="4"/>
  <c r="AI333" i="4"/>
  <c r="AJ333" i="4"/>
  <c r="AD333" i="4"/>
  <c r="AF334" i="4"/>
  <c r="AG334" i="4"/>
  <c r="AH334" i="4"/>
  <c r="AI334" i="4"/>
  <c r="AJ334" i="4"/>
  <c r="AD334" i="4"/>
  <c r="AF335" i="4"/>
  <c r="AG335" i="4"/>
  <c r="AH335" i="4"/>
  <c r="AI335" i="4"/>
  <c r="AJ335" i="4"/>
  <c r="AD335" i="4"/>
  <c r="AF336" i="4"/>
  <c r="AG336" i="4"/>
  <c r="AH336" i="4"/>
  <c r="AI336" i="4"/>
  <c r="AJ336" i="4"/>
  <c r="AD336" i="4"/>
  <c r="AF337" i="4"/>
  <c r="AG337" i="4"/>
  <c r="AH337" i="4"/>
  <c r="AI337" i="4"/>
  <c r="AJ337" i="4"/>
  <c r="AD337" i="4"/>
  <c r="AF338" i="4"/>
  <c r="AG338" i="4"/>
  <c r="AH338" i="4"/>
  <c r="AI338" i="4"/>
  <c r="AJ338" i="4"/>
  <c r="AD338" i="4"/>
  <c r="AF339" i="4"/>
  <c r="AG339" i="4"/>
  <c r="AH339" i="4"/>
  <c r="AI339" i="4"/>
  <c r="AJ339" i="4"/>
  <c r="AD339" i="4"/>
  <c r="AF340" i="4"/>
  <c r="AG340" i="4"/>
  <c r="AH340" i="4"/>
  <c r="AI340" i="4"/>
  <c r="AJ340" i="4"/>
  <c r="AD340" i="4"/>
  <c r="AF341" i="4"/>
  <c r="AG341" i="4"/>
  <c r="AH341" i="4"/>
  <c r="AI341" i="4"/>
  <c r="AJ341" i="4"/>
  <c r="AD341" i="4"/>
  <c r="AF342" i="4"/>
  <c r="AG342" i="4"/>
  <c r="AH342" i="4"/>
  <c r="AI342" i="4"/>
  <c r="AJ342" i="4"/>
  <c r="AD342" i="4"/>
  <c r="AF343" i="4"/>
  <c r="AG343" i="4"/>
  <c r="AH343" i="4"/>
  <c r="AI343" i="4"/>
  <c r="AJ343" i="4"/>
  <c r="AD343" i="4"/>
  <c r="AF344" i="4"/>
  <c r="AG344" i="4"/>
  <c r="AH344" i="4"/>
  <c r="AI344" i="4"/>
  <c r="AJ344" i="4"/>
  <c r="AD344" i="4"/>
  <c r="AF345" i="4"/>
  <c r="AG345" i="4"/>
  <c r="AH345" i="4"/>
  <c r="AI345" i="4"/>
  <c r="AJ345" i="4"/>
  <c r="AD345" i="4"/>
  <c r="AF346" i="4"/>
  <c r="AG346" i="4"/>
  <c r="AH346" i="4"/>
  <c r="AI346" i="4"/>
  <c r="AJ346" i="4"/>
  <c r="AD346" i="4"/>
  <c r="AF347" i="4"/>
  <c r="AG347" i="4"/>
  <c r="AH347" i="4"/>
  <c r="AI347" i="4"/>
  <c r="AJ347" i="4"/>
  <c r="AD347" i="4"/>
  <c r="AF348" i="4"/>
  <c r="AG348" i="4"/>
  <c r="AH348" i="4"/>
  <c r="AI348" i="4"/>
  <c r="AJ348" i="4"/>
  <c r="AD348" i="4"/>
  <c r="AF349" i="4"/>
  <c r="AG349" i="4"/>
  <c r="AH349" i="4"/>
  <c r="AI349" i="4"/>
  <c r="AJ349" i="4"/>
  <c r="AD349" i="4"/>
  <c r="AF350" i="4"/>
  <c r="AG350" i="4"/>
  <c r="AH350" i="4"/>
  <c r="AI350" i="4"/>
  <c r="AJ350" i="4"/>
  <c r="AD350" i="4"/>
  <c r="AF351" i="4"/>
  <c r="AG351" i="4"/>
  <c r="AH351" i="4"/>
  <c r="AI351" i="4"/>
  <c r="AJ351" i="4"/>
  <c r="AD351" i="4"/>
  <c r="AF352" i="4"/>
  <c r="AG352" i="4"/>
  <c r="AH352" i="4"/>
  <c r="AI352" i="4"/>
  <c r="AJ352" i="4"/>
  <c r="AD352" i="4"/>
  <c r="AF353" i="4"/>
  <c r="AG353" i="4"/>
  <c r="AH353" i="4"/>
  <c r="AI353" i="4"/>
  <c r="AJ353" i="4"/>
  <c r="AD353" i="4"/>
  <c r="AF354" i="4"/>
  <c r="AG354" i="4"/>
  <c r="AH354" i="4"/>
  <c r="AI354" i="4"/>
  <c r="AJ354" i="4"/>
  <c r="AD354" i="4"/>
  <c r="AF355" i="4"/>
  <c r="AG355" i="4"/>
  <c r="AH355" i="4"/>
  <c r="AI355" i="4"/>
  <c r="AJ355" i="4"/>
  <c r="AD355" i="4"/>
  <c r="AF356" i="4"/>
  <c r="AG356" i="4"/>
  <c r="AH356" i="4"/>
  <c r="AI356" i="4"/>
  <c r="AJ356" i="4"/>
  <c r="AD356" i="4"/>
  <c r="AF357" i="4"/>
  <c r="AG357" i="4"/>
  <c r="AH357" i="4"/>
  <c r="AI357" i="4"/>
  <c r="AJ357" i="4"/>
  <c r="AD357" i="4"/>
  <c r="AF358" i="4"/>
  <c r="AG358" i="4"/>
  <c r="AH358" i="4"/>
  <c r="AI358" i="4"/>
  <c r="AJ358" i="4"/>
  <c r="AD358" i="4"/>
  <c r="AF359" i="4"/>
  <c r="AG359" i="4"/>
  <c r="AH359" i="4"/>
  <c r="AI359" i="4"/>
  <c r="AJ359" i="4"/>
  <c r="AD359" i="4"/>
  <c r="AF360" i="4"/>
  <c r="AG360" i="4"/>
  <c r="AH360" i="4"/>
  <c r="AI360" i="4"/>
  <c r="AJ360" i="4"/>
  <c r="AD360" i="4"/>
  <c r="AF361" i="4"/>
  <c r="AG361" i="4"/>
  <c r="AH361" i="4"/>
  <c r="AI361" i="4"/>
  <c r="AJ361" i="4"/>
  <c r="AD361" i="4"/>
  <c r="AF362" i="4"/>
  <c r="AG362" i="4"/>
  <c r="AH362" i="4"/>
  <c r="AI362" i="4"/>
  <c r="AJ362" i="4"/>
  <c r="AD362" i="4"/>
  <c r="AF363" i="4"/>
  <c r="AG363" i="4"/>
  <c r="AH363" i="4"/>
  <c r="AI363" i="4"/>
  <c r="AJ363" i="4"/>
  <c r="AD363" i="4"/>
  <c r="AF364" i="4"/>
  <c r="AG364" i="4"/>
  <c r="AH364" i="4"/>
  <c r="AI364" i="4"/>
  <c r="AJ364" i="4"/>
  <c r="AD364" i="4"/>
  <c r="AF365" i="4"/>
  <c r="AG365" i="4"/>
  <c r="AH365" i="4"/>
  <c r="AI365" i="4"/>
  <c r="AJ365" i="4"/>
  <c r="AD365" i="4"/>
  <c r="AF366" i="4"/>
  <c r="AG366" i="4"/>
  <c r="AH366" i="4"/>
  <c r="AI366" i="4"/>
  <c r="AJ366" i="4"/>
  <c r="AD366" i="4"/>
  <c r="AF367" i="4"/>
  <c r="AG367" i="4"/>
  <c r="AH367" i="4"/>
  <c r="AI367" i="4"/>
  <c r="AJ367" i="4"/>
  <c r="AD367" i="4"/>
  <c r="AF368" i="4"/>
  <c r="AG368" i="4"/>
  <c r="AH368" i="4"/>
  <c r="AI368" i="4"/>
  <c r="AJ368" i="4"/>
  <c r="AD368" i="4"/>
  <c r="AF369" i="4"/>
  <c r="AG369" i="4"/>
  <c r="AH369" i="4"/>
  <c r="AI369" i="4"/>
  <c r="AJ369" i="4"/>
  <c r="AD369" i="4"/>
  <c r="AF370" i="4"/>
  <c r="AG370" i="4"/>
  <c r="AH370" i="4"/>
  <c r="AI370" i="4"/>
  <c r="AJ370" i="4"/>
  <c r="AD370" i="4"/>
  <c r="AF371" i="4"/>
  <c r="AG371" i="4"/>
  <c r="AH371" i="4"/>
  <c r="AI371" i="4"/>
  <c r="AJ371" i="4"/>
  <c r="AD371" i="4"/>
  <c r="AF372" i="4"/>
  <c r="AG372" i="4"/>
  <c r="AH372" i="4"/>
  <c r="AI372" i="4"/>
  <c r="AJ372" i="4"/>
  <c r="AD372" i="4"/>
  <c r="AF373" i="4"/>
  <c r="AG373" i="4"/>
  <c r="AH373" i="4"/>
  <c r="AI373" i="4"/>
  <c r="AJ373" i="4"/>
  <c r="AD373" i="4"/>
  <c r="AF374" i="4"/>
  <c r="AG374" i="4"/>
  <c r="AH374" i="4"/>
  <c r="AI374" i="4"/>
  <c r="AJ374" i="4"/>
  <c r="AD374" i="4"/>
  <c r="AF375" i="4"/>
  <c r="AG375" i="4"/>
  <c r="AH375" i="4"/>
  <c r="AI375" i="4"/>
  <c r="AJ375" i="4"/>
  <c r="AD375" i="4"/>
  <c r="AF376" i="4"/>
  <c r="AG376" i="4"/>
  <c r="AH376" i="4"/>
  <c r="AI376" i="4"/>
  <c r="AJ376" i="4"/>
  <c r="AD376" i="4"/>
  <c r="AF377" i="4"/>
  <c r="AG377" i="4"/>
  <c r="AH377" i="4"/>
  <c r="AI377" i="4"/>
  <c r="AJ377" i="4"/>
  <c r="AD377" i="4"/>
  <c r="AF378" i="4"/>
  <c r="AG378" i="4"/>
  <c r="AH378" i="4"/>
  <c r="AI378" i="4"/>
  <c r="AJ378" i="4"/>
  <c r="AD378" i="4"/>
  <c r="AF379" i="4"/>
  <c r="AG379" i="4"/>
  <c r="AH379" i="4"/>
  <c r="AI379" i="4"/>
  <c r="AJ379" i="4"/>
  <c r="AD379" i="4"/>
  <c r="AF380" i="4"/>
  <c r="AG380" i="4"/>
  <c r="AH380" i="4"/>
  <c r="AI380" i="4"/>
  <c r="AJ380" i="4"/>
  <c r="AD380" i="4"/>
  <c r="AF381" i="4"/>
  <c r="AG381" i="4"/>
  <c r="AH381" i="4"/>
  <c r="AI381" i="4"/>
  <c r="AJ381" i="4"/>
  <c r="AD381" i="4"/>
  <c r="AF382" i="4"/>
  <c r="AG382" i="4"/>
  <c r="AH382" i="4"/>
  <c r="AI382" i="4"/>
  <c r="AJ382" i="4"/>
  <c r="AD382" i="4"/>
  <c r="AF383" i="4"/>
  <c r="AG383" i="4"/>
  <c r="AH383" i="4"/>
  <c r="AI383" i="4"/>
  <c r="AJ383" i="4"/>
  <c r="AD383" i="4"/>
  <c r="AF384" i="4"/>
  <c r="AG384" i="4"/>
  <c r="AH384" i="4"/>
  <c r="AI384" i="4"/>
  <c r="AJ384" i="4"/>
  <c r="AD384" i="4"/>
  <c r="AF385" i="4"/>
  <c r="AG385" i="4"/>
  <c r="AH385" i="4"/>
  <c r="AI385" i="4"/>
  <c r="AJ385" i="4"/>
  <c r="AD385" i="4"/>
  <c r="AF386" i="4"/>
  <c r="AG386" i="4"/>
  <c r="AH386" i="4"/>
  <c r="AI386" i="4"/>
  <c r="AJ386" i="4"/>
  <c r="AD386" i="4"/>
  <c r="AF387" i="4"/>
  <c r="AG387" i="4"/>
  <c r="AH387" i="4"/>
  <c r="AI387" i="4"/>
  <c r="AJ387" i="4"/>
  <c r="AD387" i="4"/>
  <c r="AF388" i="4"/>
  <c r="AG388" i="4"/>
  <c r="AH388" i="4"/>
  <c r="AI388" i="4"/>
  <c r="AJ388" i="4"/>
  <c r="AD388" i="4"/>
  <c r="AF389" i="4"/>
  <c r="AG389" i="4"/>
  <c r="AH389" i="4"/>
  <c r="AI389" i="4"/>
  <c r="AJ389" i="4"/>
  <c r="AD389" i="4"/>
  <c r="AF390" i="4"/>
  <c r="AG390" i="4"/>
  <c r="AH390" i="4"/>
  <c r="AI390" i="4"/>
  <c r="AJ390" i="4"/>
  <c r="AD390" i="4"/>
  <c r="AF391" i="4"/>
  <c r="AG391" i="4"/>
  <c r="AH391" i="4"/>
  <c r="AI391" i="4"/>
  <c r="AJ391" i="4"/>
  <c r="AD391" i="4"/>
  <c r="AF392" i="4"/>
  <c r="AG392" i="4"/>
  <c r="AH392" i="4"/>
  <c r="AI392" i="4"/>
  <c r="AJ392" i="4"/>
  <c r="AD392" i="4"/>
  <c r="AF393" i="4"/>
  <c r="AG393" i="4"/>
  <c r="AH393" i="4"/>
  <c r="AI393" i="4"/>
  <c r="AJ393" i="4"/>
  <c r="AD393" i="4"/>
  <c r="AF394" i="4"/>
  <c r="AG394" i="4"/>
  <c r="AH394" i="4"/>
  <c r="AI394" i="4"/>
  <c r="AJ394" i="4"/>
  <c r="AD394" i="4"/>
  <c r="AF395" i="4"/>
  <c r="AG395" i="4"/>
  <c r="AH395" i="4"/>
  <c r="AI395" i="4"/>
  <c r="AJ395" i="4"/>
  <c r="AD395" i="4"/>
  <c r="AF396" i="4"/>
  <c r="AG396" i="4"/>
  <c r="AH396" i="4"/>
  <c r="AI396" i="4"/>
  <c r="AJ396" i="4"/>
  <c r="AD396" i="4"/>
  <c r="AF397" i="4"/>
  <c r="AG397" i="4"/>
  <c r="AH397" i="4"/>
  <c r="AI397" i="4"/>
  <c r="AJ397" i="4"/>
  <c r="AD397" i="4"/>
  <c r="AF398" i="4"/>
  <c r="AG398" i="4"/>
  <c r="AH398" i="4"/>
  <c r="AI398" i="4"/>
  <c r="AJ398" i="4"/>
  <c r="AD398" i="4"/>
  <c r="AF399" i="4"/>
  <c r="AG399" i="4"/>
  <c r="AH399" i="4"/>
  <c r="AI399" i="4"/>
  <c r="AJ399" i="4"/>
  <c r="AD399" i="4"/>
  <c r="AF400" i="4"/>
  <c r="AG400" i="4"/>
  <c r="AH400" i="4"/>
  <c r="AI400" i="4"/>
  <c r="AJ400" i="4"/>
  <c r="AD400" i="4"/>
  <c r="AF401" i="4"/>
  <c r="AG401" i="4"/>
  <c r="AH401" i="4"/>
  <c r="AI401" i="4"/>
  <c r="AJ401" i="4"/>
  <c r="AD401" i="4"/>
  <c r="AF402" i="4"/>
  <c r="AG402" i="4"/>
  <c r="AH402" i="4"/>
  <c r="AI402" i="4"/>
  <c r="AJ402" i="4"/>
  <c r="AD402" i="4"/>
  <c r="AF403" i="4"/>
  <c r="AG403" i="4"/>
  <c r="AH403" i="4"/>
  <c r="AI403" i="4"/>
  <c r="AJ403" i="4"/>
  <c r="AD403" i="4"/>
  <c r="AF404" i="4"/>
  <c r="AG404" i="4"/>
  <c r="AH404" i="4"/>
  <c r="AI404" i="4"/>
  <c r="AJ404" i="4"/>
  <c r="AD404" i="4"/>
  <c r="AF405" i="4"/>
  <c r="AG405" i="4"/>
  <c r="AH405" i="4"/>
  <c r="AI405" i="4"/>
  <c r="AJ405" i="4"/>
  <c r="AD405" i="4"/>
  <c r="AF406" i="4"/>
  <c r="AG406" i="4"/>
  <c r="AH406" i="4"/>
  <c r="AI406" i="4"/>
  <c r="AJ406" i="4"/>
  <c r="AD406" i="4"/>
  <c r="AF407" i="4"/>
  <c r="AG407" i="4"/>
  <c r="AH407" i="4"/>
  <c r="AI407" i="4"/>
  <c r="AJ407" i="4"/>
  <c r="AD407" i="4"/>
  <c r="AF408" i="4"/>
  <c r="AG408" i="4"/>
  <c r="AH408" i="4"/>
  <c r="AI408" i="4"/>
  <c r="AJ408" i="4"/>
  <c r="AD408" i="4"/>
  <c r="AF409" i="4"/>
  <c r="AG409" i="4"/>
  <c r="AH409" i="4"/>
  <c r="AI409" i="4"/>
  <c r="AJ409" i="4"/>
  <c r="AD409" i="4"/>
  <c r="AF410" i="4"/>
  <c r="AG410" i="4"/>
  <c r="AH410" i="4"/>
  <c r="AI410" i="4"/>
  <c r="AJ410" i="4"/>
  <c r="AD410" i="4"/>
  <c r="AF411" i="4"/>
  <c r="AG411" i="4"/>
  <c r="AH411" i="4"/>
  <c r="AI411" i="4"/>
  <c r="AJ411" i="4"/>
  <c r="AD411" i="4"/>
  <c r="AF412" i="4"/>
  <c r="AG412" i="4"/>
  <c r="AH412" i="4"/>
  <c r="AI412" i="4"/>
  <c r="AJ412" i="4"/>
  <c r="AD412" i="4"/>
  <c r="AF413" i="4"/>
  <c r="AG413" i="4"/>
  <c r="AH413" i="4"/>
  <c r="AI413" i="4"/>
  <c r="AJ413" i="4"/>
  <c r="AD413" i="4"/>
  <c r="AF414" i="4"/>
  <c r="AG414" i="4"/>
  <c r="AH414" i="4"/>
  <c r="AI414" i="4"/>
  <c r="AJ414" i="4"/>
  <c r="AD414" i="4"/>
  <c r="AF415" i="4"/>
  <c r="AG415" i="4"/>
  <c r="AH415" i="4"/>
  <c r="AI415" i="4"/>
  <c r="AJ415" i="4"/>
  <c r="AD415" i="4"/>
  <c r="AF416" i="4"/>
  <c r="AG416" i="4"/>
  <c r="AH416" i="4"/>
  <c r="AI416" i="4"/>
  <c r="AJ416" i="4"/>
  <c r="AD416" i="4"/>
  <c r="AF417" i="4"/>
  <c r="AG417" i="4"/>
  <c r="AH417" i="4"/>
  <c r="AI417" i="4"/>
  <c r="AJ417" i="4"/>
  <c r="AD417" i="4"/>
  <c r="AF418" i="4"/>
  <c r="AG418" i="4"/>
  <c r="AH418" i="4"/>
  <c r="AI418" i="4"/>
  <c r="AJ418" i="4"/>
  <c r="AD418" i="4"/>
  <c r="AF419" i="4"/>
  <c r="AG419" i="4"/>
  <c r="AH419" i="4"/>
  <c r="AI419" i="4"/>
  <c r="AJ419" i="4"/>
  <c r="AD419" i="4"/>
  <c r="AF420" i="4"/>
  <c r="AG420" i="4"/>
  <c r="AH420" i="4"/>
  <c r="AI420" i="4"/>
  <c r="AJ420" i="4"/>
  <c r="AD420" i="4"/>
  <c r="AF421" i="4"/>
  <c r="AG421" i="4"/>
  <c r="AH421" i="4"/>
  <c r="AI421" i="4"/>
  <c r="AJ421" i="4"/>
  <c r="AD421" i="4"/>
  <c r="AF422" i="4"/>
  <c r="AG422" i="4"/>
  <c r="AH422" i="4"/>
  <c r="AI422" i="4"/>
  <c r="AJ422" i="4"/>
  <c r="AD422" i="4"/>
  <c r="AF423" i="4"/>
  <c r="AG423" i="4"/>
  <c r="AH423" i="4"/>
  <c r="AI423" i="4"/>
  <c r="AJ423" i="4"/>
  <c r="AD423" i="4"/>
  <c r="AF424" i="4"/>
  <c r="AG424" i="4"/>
  <c r="AH424" i="4"/>
  <c r="AI424" i="4"/>
  <c r="AJ424" i="4"/>
  <c r="AD424" i="4"/>
  <c r="AF425" i="4"/>
  <c r="AG425" i="4"/>
  <c r="AH425" i="4"/>
  <c r="AI425" i="4"/>
  <c r="AJ425" i="4"/>
  <c r="AD425" i="4"/>
  <c r="AF426" i="4"/>
  <c r="AG426" i="4"/>
  <c r="AH426" i="4"/>
  <c r="AI426" i="4"/>
  <c r="AJ426" i="4"/>
  <c r="AD426" i="4"/>
  <c r="AF427" i="4"/>
  <c r="AG427" i="4"/>
  <c r="AH427" i="4"/>
  <c r="AI427" i="4"/>
  <c r="AJ427" i="4"/>
  <c r="AD427" i="4"/>
  <c r="AF428" i="4"/>
  <c r="AG428" i="4"/>
  <c r="AH428" i="4"/>
  <c r="AI428" i="4"/>
  <c r="AJ428" i="4"/>
  <c r="AD428" i="4"/>
  <c r="AF429" i="4"/>
  <c r="AG429" i="4"/>
  <c r="AH429" i="4"/>
  <c r="AI429" i="4"/>
  <c r="AJ429" i="4"/>
  <c r="AD429" i="4"/>
  <c r="AF430" i="4"/>
  <c r="AG430" i="4"/>
  <c r="AH430" i="4"/>
  <c r="AI430" i="4"/>
  <c r="AJ430" i="4"/>
  <c r="AD430" i="4"/>
  <c r="AF431" i="4"/>
  <c r="AG431" i="4"/>
  <c r="AH431" i="4"/>
  <c r="AI431" i="4"/>
  <c r="AJ431" i="4"/>
  <c r="AD431" i="4"/>
  <c r="AF432" i="4"/>
  <c r="AG432" i="4"/>
  <c r="AH432" i="4"/>
  <c r="AI432" i="4"/>
  <c r="AJ432" i="4"/>
  <c r="AD432" i="4"/>
  <c r="AF433" i="4"/>
  <c r="AG433" i="4"/>
  <c r="AH433" i="4"/>
  <c r="AI433" i="4"/>
  <c r="AJ433" i="4"/>
  <c r="AD433" i="4"/>
  <c r="AF434" i="4"/>
  <c r="AG434" i="4"/>
  <c r="AH434" i="4"/>
  <c r="AI434" i="4"/>
  <c r="AJ434" i="4"/>
  <c r="AD434" i="4"/>
  <c r="AF435" i="4"/>
  <c r="AG435" i="4"/>
  <c r="AH435" i="4"/>
  <c r="AI435" i="4"/>
  <c r="AJ435" i="4"/>
  <c r="AD435" i="4"/>
  <c r="AF436" i="4"/>
  <c r="AG436" i="4"/>
  <c r="AH436" i="4"/>
  <c r="AI436" i="4"/>
  <c r="AJ436" i="4"/>
  <c r="AD436" i="4"/>
  <c r="AF437" i="4"/>
  <c r="AG437" i="4"/>
  <c r="AH437" i="4"/>
  <c r="AI437" i="4"/>
  <c r="AJ437" i="4"/>
  <c r="AD437" i="4"/>
  <c r="AF438" i="4"/>
  <c r="AG438" i="4"/>
  <c r="AH438" i="4"/>
  <c r="AI438" i="4"/>
  <c r="AJ438" i="4"/>
  <c r="AD438" i="4"/>
  <c r="AF439" i="4"/>
  <c r="AG439" i="4"/>
  <c r="AH439" i="4"/>
  <c r="AI439" i="4"/>
  <c r="AJ439" i="4"/>
  <c r="AD439" i="4"/>
  <c r="AF440" i="4"/>
  <c r="AG440" i="4"/>
  <c r="AH440" i="4"/>
  <c r="AI440" i="4"/>
  <c r="AJ440" i="4"/>
  <c r="AD440" i="4"/>
  <c r="AF441" i="4"/>
  <c r="AG441" i="4"/>
  <c r="AH441" i="4"/>
  <c r="AI441" i="4"/>
  <c r="AJ441" i="4"/>
  <c r="AD441" i="4"/>
  <c r="AF442" i="4"/>
  <c r="AG442" i="4"/>
  <c r="AH442" i="4"/>
  <c r="AI442" i="4"/>
  <c r="AJ442" i="4"/>
  <c r="AD442" i="4"/>
  <c r="AF443" i="4"/>
  <c r="AG443" i="4"/>
  <c r="AH443" i="4"/>
  <c r="AI443" i="4"/>
  <c r="AJ443" i="4"/>
  <c r="AD443" i="4"/>
  <c r="AF444" i="4"/>
  <c r="AG444" i="4"/>
  <c r="AH444" i="4"/>
  <c r="AI444" i="4"/>
  <c r="AJ444" i="4"/>
  <c r="AD444" i="4"/>
  <c r="AF445" i="4"/>
  <c r="AG445" i="4"/>
  <c r="AH445" i="4"/>
  <c r="AI445" i="4"/>
  <c r="AJ445" i="4"/>
  <c r="AD445" i="4"/>
  <c r="AF446" i="4"/>
  <c r="AG446" i="4"/>
  <c r="AH446" i="4"/>
  <c r="AI446" i="4"/>
  <c r="AJ446" i="4"/>
  <c r="AD446" i="4"/>
  <c r="AF447" i="4"/>
  <c r="AG447" i="4"/>
  <c r="AH447" i="4"/>
  <c r="AI447" i="4"/>
  <c r="AJ447" i="4"/>
  <c r="AD447" i="4"/>
  <c r="AF448" i="4"/>
  <c r="AG448" i="4"/>
  <c r="AH448" i="4"/>
  <c r="AI448" i="4"/>
  <c r="AJ448" i="4"/>
  <c r="AD448" i="4"/>
  <c r="AF449" i="4"/>
  <c r="AG449" i="4"/>
  <c r="AH449" i="4"/>
  <c r="AI449" i="4"/>
  <c r="AJ449" i="4"/>
  <c r="AD449" i="4"/>
  <c r="AF450" i="4"/>
  <c r="AG450" i="4"/>
  <c r="AH450" i="4"/>
  <c r="AI450" i="4"/>
  <c r="AJ450" i="4"/>
  <c r="AD450" i="4"/>
  <c r="AF451" i="4"/>
  <c r="AG451" i="4"/>
  <c r="AH451" i="4"/>
  <c r="AI451" i="4"/>
  <c r="AJ451" i="4"/>
  <c r="AD451" i="4"/>
  <c r="AF452" i="4"/>
  <c r="AG452" i="4"/>
  <c r="AH452" i="4"/>
  <c r="AI452" i="4"/>
  <c r="AJ452" i="4"/>
  <c r="AD452" i="4"/>
  <c r="AF453" i="4"/>
  <c r="AG453" i="4"/>
  <c r="AH453" i="4"/>
  <c r="AI453" i="4"/>
  <c r="AJ453" i="4"/>
  <c r="AD453" i="4"/>
  <c r="AF454" i="4"/>
  <c r="AG454" i="4"/>
  <c r="AH454" i="4"/>
  <c r="AI454" i="4"/>
  <c r="AJ454" i="4"/>
  <c r="AD454" i="4"/>
  <c r="AF455" i="4"/>
  <c r="AG455" i="4"/>
  <c r="AH455" i="4"/>
  <c r="AI455" i="4"/>
  <c r="AJ455" i="4"/>
  <c r="AD455" i="4"/>
  <c r="AF456" i="4"/>
  <c r="AG456" i="4"/>
  <c r="AH456" i="4"/>
  <c r="AI456" i="4"/>
  <c r="AJ456" i="4"/>
  <c r="AD456" i="4"/>
  <c r="AF457" i="4"/>
  <c r="AG457" i="4"/>
  <c r="AH457" i="4"/>
  <c r="AI457" i="4"/>
  <c r="AJ457" i="4"/>
  <c r="AD457" i="4"/>
  <c r="AF458" i="4"/>
  <c r="AG458" i="4"/>
  <c r="AH458" i="4"/>
  <c r="AI458" i="4"/>
  <c r="AJ458" i="4"/>
  <c r="AD458" i="4"/>
  <c r="AF459" i="4"/>
  <c r="AG459" i="4"/>
  <c r="AH459" i="4"/>
  <c r="AI459" i="4"/>
  <c r="AJ459" i="4"/>
  <c r="AD459" i="4"/>
  <c r="AF460" i="4"/>
  <c r="AG460" i="4"/>
  <c r="AH460" i="4"/>
  <c r="AI460" i="4"/>
  <c r="AJ460" i="4"/>
  <c r="AD460" i="4"/>
  <c r="AF461" i="4"/>
  <c r="AG461" i="4"/>
  <c r="AH461" i="4"/>
  <c r="AI461" i="4"/>
  <c r="AJ461" i="4"/>
  <c r="AD461" i="4"/>
  <c r="AF462" i="4"/>
  <c r="AG462" i="4"/>
  <c r="AH462" i="4"/>
  <c r="AI462" i="4"/>
  <c r="AJ462" i="4"/>
  <c r="AD462" i="4"/>
  <c r="AF463" i="4"/>
  <c r="AG463" i="4"/>
  <c r="AH463" i="4"/>
  <c r="AI463" i="4"/>
  <c r="AJ463" i="4"/>
  <c r="AD463" i="4"/>
  <c r="AF464" i="4"/>
  <c r="AG464" i="4"/>
  <c r="AH464" i="4"/>
  <c r="AI464" i="4"/>
  <c r="AJ464" i="4"/>
  <c r="AD464" i="4"/>
  <c r="AF465" i="4"/>
  <c r="AG465" i="4"/>
  <c r="AH465" i="4"/>
  <c r="AI465" i="4"/>
  <c r="AJ465" i="4"/>
  <c r="AD465" i="4"/>
  <c r="AF466" i="4"/>
  <c r="AG466" i="4"/>
  <c r="AH466" i="4"/>
  <c r="AI466" i="4"/>
  <c r="AJ466" i="4"/>
  <c r="AD466" i="4"/>
  <c r="AF467" i="4"/>
  <c r="AG467" i="4"/>
  <c r="AH467" i="4"/>
  <c r="AI467" i="4"/>
  <c r="AJ467" i="4"/>
  <c r="AD467" i="4"/>
  <c r="AF468" i="4"/>
  <c r="AG468" i="4"/>
  <c r="AH468" i="4"/>
  <c r="AI468" i="4"/>
  <c r="AJ468" i="4"/>
  <c r="AD468" i="4"/>
  <c r="AF469" i="4"/>
  <c r="AG469" i="4"/>
  <c r="AH469" i="4"/>
  <c r="AI469" i="4"/>
  <c r="AJ469" i="4"/>
  <c r="AD469" i="4"/>
  <c r="AF470" i="4"/>
  <c r="AG470" i="4"/>
  <c r="AH470" i="4"/>
  <c r="AI470" i="4"/>
  <c r="AJ470" i="4"/>
  <c r="AD470" i="4"/>
  <c r="AF471" i="4"/>
  <c r="AG471" i="4"/>
  <c r="AH471" i="4"/>
  <c r="AI471" i="4"/>
  <c r="AJ471" i="4"/>
  <c r="AD471" i="4"/>
  <c r="AF472" i="4"/>
  <c r="AG472" i="4"/>
  <c r="AH472" i="4"/>
  <c r="AI472" i="4"/>
  <c r="AJ472" i="4"/>
  <c r="AD472" i="4"/>
  <c r="AF473" i="4"/>
  <c r="AG473" i="4"/>
  <c r="AH473" i="4"/>
  <c r="AI473" i="4"/>
  <c r="AJ473" i="4"/>
  <c r="AD473" i="4"/>
  <c r="AF474" i="4"/>
  <c r="AG474" i="4"/>
  <c r="AH474" i="4"/>
  <c r="AI474" i="4"/>
  <c r="AJ474" i="4"/>
  <c r="AD474" i="4"/>
  <c r="AF475" i="4"/>
  <c r="AG475" i="4"/>
  <c r="AH475" i="4"/>
  <c r="AI475" i="4"/>
  <c r="AJ475" i="4"/>
  <c r="AD475" i="4"/>
  <c r="AF476" i="4"/>
  <c r="AG476" i="4"/>
  <c r="AH476" i="4"/>
  <c r="AI476" i="4"/>
  <c r="AJ476" i="4"/>
  <c r="AD476" i="4"/>
  <c r="AF477" i="4"/>
  <c r="AG477" i="4"/>
  <c r="AH477" i="4"/>
  <c r="AI477" i="4"/>
  <c r="AJ477" i="4"/>
  <c r="AD477" i="4"/>
  <c r="AF478" i="4"/>
  <c r="AG478" i="4"/>
  <c r="AH478" i="4"/>
  <c r="AI478" i="4"/>
  <c r="AJ478" i="4"/>
  <c r="AD478" i="4"/>
  <c r="AF479" i="4"/>
  <c r="AG479" i="4"/>
  <c r="AH479" i="4"/>
  <c r="AI479" i="4"/>
  <c r="AJ479" i="4"/>
  <c r="AD479" i="4"/>
  <c r="AF480" i="4"/>
  <c r="AG480" i="4"/>
  <c r="AH480" i="4"/>
  <c r="AI480" i="4"/>
  <c r="AJ480" i="4"/>
  <c r="AD480" i="4"/>
  <c r="AF481" i="4"/>
  <c r="AG481" i="4"/>
  <c r="AH481" i="4"/>
  <c r="AI481" i="4"/>
  <c r="AJ481" i="4"/>
  <c r="AD481" i="4"/>
  <c r="AF482" i="4"/>
  <c r="AG482" i="4"/>
  <c r="AH482" i="4"/>
  <c r="AI482" i="4"/>
  <c r="AJ482" i="4"/>
  <c r="AD482" i="4"/>
  <c r="AF483" i="4"/>
  <c r="AG483" i="4"/>
  <c r="AH483" i="4"/>
  <c r="AI483" i="4"/>
  <c r="AJ483" i="4"/>
  <c r="AD483" i="4"/>
  <c r="AF484" i="4"/>
  <c r="AG484" i="4"/>
  <c r="AH484" i="4"/>
  <c r="AI484" i="4"/>
  <c r="AJ484" i="4"/>
  <c r="AD484" i="4"/>
  <c r="AF485" i="4"/>
  <c r="AG485" i="4"/>
  <c r="AH485" i="4"/>
  <c r="AI485" i="4"/>
  <c r="AJ485" i="4"/>
  <c r="AD485" i="4"/>
  <c r="AF486" i="4"/>
  <c r="AG486" i="4"/>
  <c r="AH486" i="4"/>
  <c r="AI486" i="4"/>
  <c r="AJ486" i="4"/>
  <c r="AD486" i="4"/>
  <c r="AF487" i="4"/>
  <c r="AG487" i="4"/>
  <c r="AH487" i="4"/>
  <c r="AI487" i="4"/>
  <c r="AJ487" i="4"/>
  <c r="AD487" i="4"/>
  <c r="AF488" i="4"/>
  <c r="AG488" i="4"/>
  <c r="AH488" i="4"/>
  <c r="AI488" i="4"/>
  <c r="AJ488" i="4"/>
  <c r="AD488" i="4"/>
  <c r="AF489" i="4"/>
  <c r="AG489" i="4"/>
  <c r="AH489" i="4"/>
  <c r="AI489" i="4"/>
  <c r="AJ489" i="4"/>
  <c r="AD489" i="4"/>
  <c r="AF490" i="4"/>
  <c r="AG490" i="4"/>
  <c r="AH490" i="4"/>
  <c r="AI490" i="4"/>
  <c r="AJ490" i="4"/>
  <c r="AD490" i="4"/>
  <c r="AF491" i="4"/>
  <c r="AG491" i="4"/>
  <c r="AH491" i="4"/>
  <c r="AI491" i="4"/>
  <c r="AJ491" i="4"/>
  <c r="AD491" i="4"/>
  <c r="AF492" i="4"/>
  <c r="AG492" i="4"/>
  <c r="AH492" i="4"/>
  <c r="AI492" i="4"/>
  <c r="AJ492" i="4"/>
  <c r="AD492" i="4"/>
  <c r="AF493" i="4"/>
  <c r="AG493" i="4"/>
  <c r="AH493" i="4"/>
  <c r="AI493" i="4"/>
  <c r="AJ493" i="4"/>
  <c r="AD493" i="4"/>
  <c r="AF494" i="4"/>
  <c r="AG494" i="4"/>
  <c r="AH494" i="4"/>
  <c r="AI494" i="4"/>
  <c r="AJ494" i="4"/>
  <c r="AD494" i="4"/>
  <c r="AF495" i="4"/>
  <c r="AG495" i="4"/>
  <c r="AH495" i="4"/>
  <c r="AI495" i="4"/>
  <c r="AJ495" i="4"/>
  <c r="AD495" i="4"/>
  <c r="AF496" i="4"/>
  <c r="AG496" i="4"/>
  <c r="AH496" i="4"/>
  <c r="AI496" i="4"/>
  <c r="AJ496" i="4"/>
  <c r="AD496" i="4"/>
  <c r="AF497" i="4"/>
  <c r="AG497" i="4"/>
  <c r="AH497" i="4"/>
  <c r="AI497" i="4"/>
  <c r="AJ497" i="4"/>
  <c r="AD497" i="4"/>
  <c r="AF498" i="4"/>
  <c r="AG498" i="4"/>
  <c r="AH498" i="4"/>
  <c r="AI498" i="4"/>
  <c r="AJ498" i="4"/>
  <c r="AD498" i="4"/>
  <c r="AF499" i="4"/>
  <c r="AG499" i="4"/>
  <c r="AH499" i="4"/>
  <c r="AI499" i="4"/>
  <c r="AJ499" i="4"/>
  <c r="AD499" i="4"/>
  <c r="AF500" i="4"/>
  <c r="AG500" i="4"/>
  <c r="AH500" i="4"/>
  <c r="AI500" i="4"/>
  <c r="AJ500" i="4"/>
  <c r="AD500" i="4"/>
  <c r="AF501" i="4"/>
  <c r="AG501" i="4"/>
  <c r="AH501" i="4"/>
  <c r="AI501" i="4"/>
  <c r="AJ501" i="4"/>
  <c r="AD501" i="4"/>
  <c r="AF502" i="4"/>
  <c r="AG502" i="4"/>
  <c r="AH502" i="4"/>
  <c r="AI502" i="4"/>
  <c r="AJ502" i="4"/>
  <c r="AD502" i="4"/>
  <c r="AF503" i="4"/>
  <c r="AG503" i="4"/>
  <c r="AH503" i="4"/>
  <c r="AI503" i="4"/>
  <c r="AJ503" i="4"/>
  <c r="AD503" i="4"/>
  <c r="AF504" i="4"/>
  <c r="AG504" i="4"/>
  <c r="AH504" i="4"/>
  <c r="AI504" i="4"/>
  <c r="AJ504" i="4"/>
  <c r="AD504" i="4"/>
  <c r="AF505" i="4"/>
  <c r="AG505" i="4"/>
  <c r="AH505" i="4"/>
  <c r="AI505" i="4"/>
  <c r="AJ505" i="4"/>
  <c r="AD505" i="4"/>
  <c r="AF506" i="4"/>
  <c r="AG506" i="4"/>
  <c r="AH506" i="4"/>
  <c r="AI506" i="4"/>
  <c r="AJ506" i="4"/>
  <c r="AD506" i="4"/>
  <c r="AF507" i="4"/>
  <c r="AG507" i="4"/>
  <c r="AH507" i="4"/>
  <c r="AI507" i="4"/>
  <c r="AJ507" i="4"/>
  <c r="AD507" i="4"/>
  <c r="AF508" i="4"/>
  <c r="AG508" i="4"/>
  <c r="AH508" i="4"/>
  <c r="AI508" i="4"/>
  <c r="AJ508" i="4"/>
  <c r="AD508" i="4"/>
  <c r="AF509" i="4"/>
  <c r="AG509" i="4"/>
  <c r="AH509" i="4"/>
  <c r="AI509" i="4"/>
  <c r="AJ509" i="4"/>
  <c r="AD509" i="4"/>
  <c r="AF510" i="4"/>
  <c r="AG510" i="4"/>
  <c r="AH510" i="4"/>
  <c r="AI510" i="4"/>
  <c r="AJ510" i="4"/>
  <c r="AD510" i="4"/>
  <c r="AF511" i="4"/>
  <c r="AG511" i="4"/>
  <c r="AH511" i="4"/>
  <c r="AI511" i="4"/>
  <c r="AJ511" i="4"/>
  <c r="AD511" i="4"/>
  <c r="AF512" i="4"/>
  <c r="AG512" i="4"/>
  <c r="AH512" i="4"/>
  <c r="AI512" i="4"/>
  <c r="AJ512" i="4"/>
  <c r="AD512" i="4"/>
  <c r="AF513" i="4"/>
  <c r="AG513" i="4"/>
  <c r="AH513" i="4"/>
  <c r="AI513" i="4"/>
  <c r="AJ513" i="4"/>
  <c r="AD513" i="4"/>
  <c r="AF514" i="4"/>
  <c r="AG514" i="4"/>
  <c r="AH514" i="4"/>
  <c r="AI514" i="4"/>
  <c r="AJ514" i="4"/>
  <c r="AD514" i="4"/>
  <c r="AF515" i="4"/>
  <c r="AG515" i="4"/>
  <c r="AH515" i="4"/>
  <c r="AI515" i="4"/>
  <c r="AJ515" i="4"/>
  <c r="AD515" i="4"/>
  <c r="AF516" i="4"/>
  <c r="AG516" i="4"/>
  <c r="AH516" i="4"/>
  <c r="AI516" i="4"/>
  <c r="AJ516" i="4"/>
  <c r="AD516" i="4"/>
  <c r="AF517" i="4"/>
  <c r="AG517" i="4"/>
  <c r="AH517" i="4"/>
  <c r="AI517" i="4"/>
  <c r="AJ517" i="4"/>
  <c r="AD517" i="4"/>
  <c r="AF518" i="4"/>
  <c r="AG518" i="4"/>
  <c r="AH518" i="4"/>
  <c r="AI518" i="4"/>
  <c r="AJ518" i="4"/>
  <c r="AD518" i="4"/>
  <c r="AF519" i="4"/>
  <c r="AG519" i="4"/>
  <c r="AH519" i="4"/>
  <c r="AI519" i="4"/>
  <c r="AJ519" i="4"/>
  <c r="AD519" i="4"/>
  <c r="AF520" i="4"/>
  <c r="AG520" i="4"/>
  <c r="AH520" i="4"/>
  <c r="AI520" i="4"/>
  <c r="AJ520" i="4"/>
  <c r="AD520" i="4"/>
  <c r="AF521" i="4"/>
  <c r="AG521" i="4"/>
  <c r="AH521" i="4"/>
  <c r="AI521" i="4"/>
  <c r="AJ521" i="4"/>
  <c r="AD521" i="4"/>
  <c r="AF522" i="4"/>
  <c r="AG522" i="4"/>
  <c r="AH522" i="4"/>
  <c r="AI522" i="4"/>
  <c r="AJ522" i="4"/>
  <c r="AD522" i="4"/>
  <c r="AF523" i="4"/>
  <c r="AG523" i="4"/>
  <c r="AH523" i="4"/>
  <c r="AI523" i="4"/>
  <c r="AJ523" i="4"/>
  <c r="AD523" i="4"/>
  <c r="AF524" i="4"/>
  <c r="AG524" i="4"/>
  <c r="AH524" i="4"/>
  <c r="AI524" i="4"/>
  <c r="AJ524" i="4"/>
  <c r="AD524" i="4"/>
  <c r="AF525" i="4"/>
  <c r="AG525" i="4"/>
  <c r="AH525" i="4"/>
  <c r="AI525" i="4"/>
  <c r="AJ525" i="4"/>
  <c r="AD525" i="4"/>
  <c r="AF526" i="4"/>
  <c r="AG526" i="4"/>
  <c r="AH526" i="4"/>
  <c r="AI526" i="4"/>
  <c r="AJ526" i="4"/>
  <c r="AD526" i="4"/>
  <c r="AF527" i="4"/>
  <c r="AG527" i="4"/>
  <c r="AH527" i="4"/>
  <c r="AI527" i="4"/>
  <c r="AJ527" i="4"/>
  <c r="AD527" i="4"/>
  <c r="AF528" i="4"/>
  <c r="AG528" i="4"/>
  <c r="AH528" i="4"/>
  <c r="AI528" i="4"/>
  <c r="AJ528" i="4"/>
  <c r="AD528" i="4"/>
  <c r="AF529" i="4"/>
  <c r="AG529" i="4"/>
  <c r="AH529" i="4"/>
  <c r="AI529" i="4"/>
  <c r="AJ529" i="4"/>
  <c r="AD529" i="4"/>
  <c r="AF530" i="4"/>
  <c r="AG530" i="4"/>
  <c r="AH530" i="4"/>
  <c r="AI530" i="4"/>
  <c r="AJ530" i="4"/>
  <c r="AD530" i="4"/>
  <c r="AF531" i="4"/>
  <c r="AG531" i="4"/>
  <c r="AH531" i="4"/>
  <c r="AI531" i="4"/>
  <c r="AJ531" i="4"/>
  <c r="AD531" i="4"/>
  <c r="AF532" i="4"/>
  <c r="AG532" i="4"/>
  <c r="AH532" i="4"/>
  <c r="AI532" i="4"/>
  <c r="AJ532" i="4"/>
  <c r="AD532" i="4"/>
  <c r="AF533" i="4"/>
  <c r="AG533" i="4"/>
  <c r="AH533" i="4"/>
  <c r="AI533" i="4"/>
  <c r="AJ533" i="4"/>
  <c r="AD533" i="4"/>
  <c r="AF534" i="4"/>
  <c r="AG534" i="4"/>
  <c r="AH534" i="4"/>
  <c r="AI534" i="4"/>
  <c r="AJ534" i="4"/>
  <c r="AD534" i="4"/>
  <c r="AF535" i="4"/>
  <c r="AG535" i="4"/>
  <c r="AH535" i="4"/>
  <c r="AI535" i="4"/>
  <c r="AJ535" i="4"/>
  <c r="AD535" i="4"/>
  <c r="AF536" i="4"/>
  <c r="AG536" i="4"/>
  <c r="AH536" i="4"/>
  <c r="AI536" i="4"/>
  <c r="AJ536" i="4"/>
  <c r="AD536" i="4"/>
  <c r="AF537" i="4"/>
  <c r="AG537" i="4"/>
  <c r="AH537" i="4"/>
  <c r="AI537" i="4"/>
  <c r="AJ537" i="4"/>
  <c r="AD537" i="4"/>
  <c r="AF538" i="4"/>
  <c r="AG538" i="4"/>
  <c r="AH538" i="4"/>
  <c r="AI538" i="4"/>
  <c r="AJ538" i="4"/>
  <c r="AD538" i="4"/>
  <c r="AF539" i="4"/>
  <c r="AG539" i="4"/>
  <c r="AH539" i="4"/>
  <c r="AI539" i="4"/>
  <c r="AJ539" i="4"/>
  <c r="AD539" i="4"/>
  <c r="AF540" i="4"/>
  <c r="AG540" i="4"/>
  <c r="AH540" i="4"/>
  <c r="AI540" i="4"/>
  <c r="AJ540" i="4"/>
  <c r="AD540" i="4"/>
  <c r="AF541" i="4"/>
  <c r="AG541" i="4"/>
  <c r="AH541" i="4"/>
  <c r="AI541" i="4"/>
  <c r="AJ541" i="4"/>
  <c r="AD541" i="4"/>
  <c r="AF542" i="4"/>
  <c r="AG542" i="4"/>
  <c r="AH542" i="4"/>
  <c r="AI542" i="4"/>
  <c r="AJ542" i="4"/>
  <c r="AD542" i="4"/>
  <c r="AF543" i="4"/>
  <c r="AG543" i="4"/>
  <c r="AH543" i="4"/>
  <c r="AI543" i="4"/>
  <c r="AJ543" i="4"/>
  <c r="AD543" i="4"/>
  <c r="AF544" i="4"/>
  <c r="AG544" i="4"/>
  <c r="AH544" i="4"/>
  <c r="AI544" i="4"/>
  <c r="AJ544" i="4"/>
  <c r="AD544" i="4"/>
  <c r="AF545" i="4"/>
  <c r="AG545" i="4"/>
  <c r="AH545" i="4"/>
  <c r="AI545" i="4"/>
  <c r="AJ545" i="4"/>
  <c r="AD545" i="4"/>
  <c r="AF546" i="4"/>
  <c r="AG546" i="4"/>
  <c r="AH546" i="4"/>
  <c r="AI546" i="4"/>
  <c r="AJ546" i="4"/>
  <c r="AD546" i="4"/>
  <c r="AF547" i="4"/>
  <c r="AG547" i="4"/>
  <c r="AH547" i="4"/>
  <c r="AI547" i="4"/>
  <c r="AJ547" i="4"/>
  <c r="AD547" i="4"/>
  <c r="AF548" i="4"/>
  <c r="AG548" i="4"/>
  <c r="AH548" i="4"/>
  <c r="AI548" i="4"/>
  <c r="AJ548" i="4"/>
  <c r="AD548" i="4"/>
  <c r="AF549" i="4"/>
  <c r="AG549" i="4"/>
  <c r="AH549" i="4"/>
  <c r="AI549" i="4"/>
  <c r="AJ549" i="4"/>
  <c r="AD549" i="4"/>
  <c r="AF550" i="4"/>
  <c r="AG550" i="4"/>
  <c r="AH550" i="4"/>
  <c r="AI550" i="4"/>
  <c r="AJ550" i="4"/>
  <c r="AD550" i="4"/>
  <c r="AF551" i="4"/>
  <c r="AG551" i="4"/>
  <c r="AH551" i="4"/>
  <c r="AI551" i="4"/>
  <c r="AJ551" i="4"/>
  <c r="AD551" i="4"/>
  <c r="AF552" i="4"/>
  <c r="AG552" i="4"/>
  <c r="AH552" i="4"/>
  <c r="AI552" i="4"/>
  <c r="AJ552" i="4"/>
  <c r="AD552" i="4"/>
  <c r="AF553" i="4"/>
  <c r="AG553" i="4"/>
  <c r="AH553" i="4"/>
  <c r="AI553" i="4"/>
  <c r="AJ553" i="4"/>
  <c r="AD553" i="4"/>
  <c r="AF554" i="4"/>
  <c r="AG554" i="4"/>
  <c r="AH554" i="4"/>
  <c r="AI554" i="4"/>
  <c r="AJ554" i="4"/>
  <c r="AD554" i="4"/>
  <c r="AF555" i="4"/>
  <c r="AG555" i="4"/>
  <c r="AH555" i="4"/>
  <c r="AI555" i="4"/>
  <c r="AJ555" i="4"/>
  <c r="AD555" i="4"/>
  <c r="AF556" i="4"/>
  <c r="AG556" i="4"/>
  <c r="AH556" i="4"/>
  <c r="AI556" i="4"/>
  <c r="AJ556" i="4"/>
  <c r="AD556" i="4"/>
  <c r="AF557" i="4"/>
  <c r="AG557" i="4"/>
  <c r="AH557" i="4"/>
  <c r="AI557" i="4"/>
  <c r="AJ557" i="4"/>
  <c r="AD557" i="4"/>
  <c r="AF558" i="4"/>
  <c r="AG558" i="4"/>
  <c r="AH558" i="4"/>
  <c r="AI558" i="4"/>
  <c r="AJ558" i="4"/>
  <c r="AD558" i="4"/>
  <c r="AF559" i="4"/>
  <c r="AG559" i="4"/>
  <c r="AH559" i="4"/>
  <c r="AI559" i="4"/>
  <c r="AJ559" i="4"/>
  <c r="AD559" i="4"/>
  <c r="AF560" i="4"/>
  <c r="AG560" i="4"/>
  <c r="AH560" i="4"/>
  <c r="AI560" i="4"/>
  <c r="AJ560" i="4"/>
  <c r="AD560" i="4"/>
  <c r="AF561" i="4"/>
  <c r="AG561" i="4"/>
  <c r="AH561" i="4"/>
  <c r="AI561" i="4"/>
  <c r="AJ561" i="4"/>
  <c r="AD561" i="4"/>
  <c r="AF562" i="4"/>
  <c r="AG562" i="4"/>
  <c r="AH562" i="4"/>
  <c r="AI562" i="4"/>
  <c r="AJ562" i="4"/>
  <c r="AD562" i="4"/>
  <c r="AF563" i="4"/>
  <c r="AG563" i="4"/>
  <c r="AH563" i="4"/>
  <c r="AI563" i="4"/>
  <c r="AJ563" i="4"/>
  <c r="AD563" i="4"/>
  <c r="AF564" i="4"/>
  <c r="AG564" i="4"/>
  <c r="AH564" i="4"/>
  <c r="AI564" i="4"/>
  <c r="AJ564" i="4"/>
  <c r="AD564" i="4"/>
  <c r="AF565" i="4"/>
  <c r="AG565" i="4"/>
  <c r="AH565" i="4"/>
  <c r="AI565" i="4"/>
  <c r="AJ565" i="4"/>
  <c r="AD565" i="4"/>
  <c r="AF566" i="4"/>
  <c r="AG566" i="4"/>
  <c r="AH566" i="4"/>
  <c r="AI566" i="4"/>
  <c r="AJ566" i="4"/>
  <c r="AD566" i="4"/>
  <c r="AF567" i="4"/>
  <c r="AG567" i="4"/>
  <c r="AH567" i="4"/>
  <c r="AI567" i="4"/>
  <c r="AJ567" i="4"/>
  <c r="AD567" i="4"/>
  <c r="AF568" i="4"/>
  <c r="AG568" i="4"/>
  <c r="AH568" i="4"/>
  <c r="AI568" i="4"/>
  <c r="AJ568" i="4"/>
  <c r="AD568" i="4"/>
  <c r="AF569" i="4"/>
  <c r="AG569" i="4"/>
  <c r="AH569" i="4"/>
  <c r="AI569" i="4"/>
  <c r="AJ569" i="4"/>
  <c r="AD569" i="4"/>
  <c r="AF570" i="4"/>
  <c r="AG570" i="4"/>
  <c r="AH570" i="4"/>
  <c r="AI570" i="4"/>
  <c r="AJ570" i="4"/>
  <c r="AD570" i="4"/>
  <c r="AF571" i="4"/>
  <c r="AG571" i="4"/>
  <c r="AH571" i="4"/>
  <c r="AI571" i="4"/>
  <c r="AJ571" i="4"/>
  <c r="AD571" i="4"/>
  <c r="AF572" i="4"/>
  <c r="AG572" i="4"/>
  <c r="AH572" i="4"/>
  <c r="AI572" i="4"/>
  <c r="AJ572" i="4"/>
  <c r="AD572" i="4"/>
  <c r="AF573" i="4"/>
  <c r="AG573" i="4"/>
  <c r="AH573" i="4"/>
  <c r="AI573" i="4"/>
  <c r="AJ573" i="4"/>
  <c r="AD573" i="4"/>
  <c r="AF574" i="4"/>
  <c r="AG574" i="4"/>
  <c r="AH574" i="4"/>
  <c r="AI574" i="4"/>
  <c r="AJ574" i="4"/>
  <c r="AD574" i="4"/>
  <c r="AF575" i="4"/>
  <c r="AG575" i="4"/>
  <c r="AH575" i="4"/>
  <c r="AI575" i="4"/>
  <c r="AJ575" i="4"/>
  <c r="AD575" i="4"/>
  <c r="AF576" i="4"/>
  <c r="AG576" i="4"/>
  <c r="AH576" i="4"/>
  <c r="AI576" i="4"/>
  <c r="AJ576" i="4"/>
  <c r="AD576" i="4"/>
  <c r="AF577" i="4"/>
  <c r="AG577" i="4"/>
  <c r="AH577" i="4"/>
  <c r="AI577" i="4"/>
  <c r="AJ577" i="4"/>
  <c r="AD577" i="4"/>
  <c r="AF578" i="4"/>
  <c r="AG578" i="4"/>
  <c r="AH578" i="4"/>
  <c r="AI578" i="4"/>
  <c r="AJ578" i="4"/>
  <c r="AD578" i="4"/>
  <c r="AF579" i="4"/>
  <c r="AG579" i="4"/>
  <c r="AH579" i="4"/>
  <c r="AI579" i="4"/>
  <c r="AJ579" i="4"/>
  <c r="AD579" i="4"/>
  <c r="AF580" i="4"/>
  <c r="AG580" i="4"/>
  <c r="AH580" i="4"/>
  <c r="AI580" i="4"/>
  <c r="AJ580" i="4"/>
  <c r="AD580" i="4"/>
  <c r="AF581" i="4"/>
  <c r="AG581" i="4"/>
  <c r="AH581" i="4"/>
  <c r="AI581" i="4"/>
  <c r="AJ581" i="4"/>
  <c r="AD581" i="4"/>
  <c r="AF582" i="4"/>
  <c r="AG582" i="4"/>
  <c r="AH582" i="4"/>
  <c r="AI582" i="4"/>
  <c r="AJ582" i="4"/>
  <c r="AD582" i="4"/>
  <c r="AF583" i="4"/>
  <c r="AG583" i="4"/>
  <c r="AH583" i="4"/>
  <c r="AI583" i="4"/>
  <c r="AJ583" i="4"/>
  <c r="AD583" i="4"/>
  <c r="AF584" i="4"/>
  <c r="AG584" i="4"/>
  <c r="AH584" i="4"/>
  <c r="AI584" i="4"/>
  <c r="AJ584" i="4"/>
  <c r="AD584" i="4"/>
  <c r="AF585" i="4"/>
  <c r="AG585" i="4"/>
  <c r="AH585" i="4"/>
  <c r="AI585" i="4"/>
  <c r="AJ585" i="4"/>
  <c r="AD585" i="4"/>
  <c r="AF586" i="4"/>
  <c r="AG586" i="4"/>
  <c r="AH586" i="4"/>
  <c r="AI586" i="4"/>
  <c r="AJ586" i="4"/>
  <c r="AD586" i="4"/>
  <c r="AF587" i="4"/>
  <c r="AG587" i="4"/>
  <c r="AH587" i="4"/>
  <c r="AI587" i="4"/>
  <c r="AJ587" i="4"/>
  <c r="AD587" i="4"/>
  <c r="AF588" i="4"/>
  <c r="AG588" i="4"/>
  <c r="AH588" i="4"/>
  <c r="AI588" i="4"/>
  <c r="AJ588" i="4"/>
  <c r="AD588" i="4"/>
  <c r="AF589" i="4"/>
  <c r="AG589" i="4"/>
  <c r="AH589" i="4"/>
  <c r="AI589" i="4"/>
  <c r="AJ589" i="4"/>
  <c r="AD589" i="4"/>
  <c r="AF590" i="4"/>
  <c r="AG590" i="4"/>
  <c r="AH590" i="4"/>
  <c r="AI590" i="4"/>
  <c r="AJ590" i="4"/>
  <c r="AD590" i="4"/>
  <c r="AF591" i="4"/>
  <c r="AG591" i="4"/>
  <c r="AH591" i="4"/>
  <c r="AI591" i="4"/>
  <c r="AJ591" i="4"/>
  <c r="AD591" i="4"/>
  <c r="AF592" i="4"/>
  <c r="AG592" i="4"/>
  <c r="AH592" i="4"/>
  <c r="AI592" i="4"/>
  <c r="AJ592" i="4"/>
  <c r="AD592" i="4"/>
  <c r="AF593" i="4"/>
  <c r="AG593" i="4"/>
  <c r="AH593" i="4"/>
  <c r="AI593" i="4"/>
  <c r="AJ593" i="4"/>
  <c r="AD593" i="4"/>
  <c r="AF594" i="4"/>
  <c r="AG594" i="4"/>
  <c r="AH594" i="4"/>
  <c r="AI594" i="4"/>
  <c r="AJ594" i="4"/>
  <c r="AD594" i="4"/>
  <c r="AF595" i="4"/>
  <c r="AG595" i="4"/>
  <c r="AH595" i="4"/>
  <c r="AI595" i="4"/>
  <c r="AJ595" i="4"/>
  <c r="AD595" i="4"/>
  <c r="AF596" i="4"/>
  <c r="AG596" i="4"/>
  <c r="AH596" i="4"/>
  <c r="AI596" i="4"/>
  <c r="AJ596" i="4"/>
  <c r="AD596" i="4"/>
  <c r="AF597" i="4"/>
  <c r="AG597" i="4"/>
  <c r="AH597" i="4"/>
  <c r="AI597" i="4"/>
  <c r="AJ597" i="4"/>
  <c r="AD597" i="4"/>
  <c r="AF598" i="4"/>
  <c r="AG598" i="4"/>
  <c r="AH598" i="4"/>
  <c r="AI598" i="4"/>
  <c r="AJ598" i="4"/>
  <c r="AD598" i="4"/>
  <c r="AF599" i="4"/>
  <c r="AG599" i="4"/>
  <c r="AH599" i="4"/>
  <c r="AI599" i="4"/>
  <c r="AJ599" i="4"/>
  <c r="AD599" i="4"/>
  <c r="AF600" i="4"/>
  <c r="AG600" i="4"/>
  <c r="AH600" i="4"/>
  <c r="AI600" i="4"/>
  <c r="AJ600" i="4"/>
  <c r="AD600" i="4"/>
  <c r="AF601" i="4"/>
  <c r="AG601" i="4"/>
  <c r="AH601" i="4"/>
  <c r="AI601" i="4"/>
  <c r="AJ601" i="4"/>
  <c r="AD601" i="4"/>
  <c r="AF602" i="4"/>
  <c r="AG602" i="4"/>
  <c r="AH602" i="4"/>
  <c r="AI602" i="4"/>
  <c r="AJ602" i="4"/>
  <c r="AD602" i="4"/>
  <c r="AF603" i="4"/>
  <c r="AG603" i="4"/>
  <c r="AH603" i="4"/>
  <c r="AI603" i="4"/>
  <c r="AJ603" i="4"/>
  <c r="AD603" i="4"/>
  <c r="AF604" i="4"/>
  <c r="AG604" i="4"/>
  <c r="AH604" i="4"/>
  <c r="AI604" i="4"/>
  <c r="AJ604" i="4"/>
  <c r="AD604" i="4"/>
  <c r="AF605" i="4"/>
  <c r="AG605" i="4"/>
  <c r="AH605" i="4"/>
  <c r="AI605" i="4"/>
  <c r="AJ605" i="4"/>
  <c r="AD605" i="4"/>
  <c r="AF606" i="4"/>
  <c r="AG606" i="4"/>
  <c r="AH606" i="4"/>
  <c r="AI606" i="4"/>
  <c r="AJ606" i="4"/>
  <c r="AD606" i="4"/>
  <c r="AF607" i="4"/>
  <c r="AG607" i="4"/>
  <c r="AH607" i="4"/>
  <c r="AI607" i="4"/>
  <c r="AJ607" i="4"/>
  <c r="AD607" i="4"/>
  <c r="AF608" i="4"/>
  <c r="AG608" i="4"/>
  <c r="AH608" i="4"/>
  <c r="AI608" i="4"/>
  <c r="AJ608" i="4"/>
  <c r="AD608" i="4"/>
  <c r="AF609" i="4"/>
  <c r="AG609" i="4"/>
  <c r="AH609" i="4"/>
  <c r="AI609" i="4"/>
  <c r="AJ609" i="4"/>
  <c r="AD609" i="4"/>
  <c r="AF610" i="4"/>
  <c r="AG610" i="4"/>
  <c r="AH610" i="4"/>
  <c r="AI610" i="4"/>
  <c r="AJ610" i="4"/>
  <c r="AD610" i="4"/>
  <c r="AF611" i="4"/>
  <c r="AG611" i="4"/>
  <c r="AH611" i="4"/>
  <c r="AI611" i="4"/>
  <c r="AJ611" i="4"/>
  <c r="AD611" i="4"/>
  <c r="AF612" i="4"/>
  <c r="AG612" i="4"/>
  <c r="AH612" i="4"/>
  <c r="AI612" i="4"/>
  <c r="AJ612" i="4"/>
  <c r="AD612" i="4"/>
  <c r="AF613" i="4"/>
  <c r="AG613" i="4"/>
  <c r="AH613" i="4"/>
  <c r="AI613" i="4"/>
  <c r="AJ613" i="4"/>
  <c r="AD613" i="4"/>
  <c r="AF614" i="4"/>
  <c r="AG614" i="4"/>
  <c r="AH614" i="4"/>
  <c r="AI614" i="4"/>
  <c r="AJ614" i="4"/>
  <c r="AD614" i="4"/>
  <c r="AF615" i="4"/>
  <c r="AG615" i="4"/>
  <c r="AH615" i="4"/>
  <c r="AI615" i="4"/>
  <c r="AJ615" i="4"/>
  <c r="AD615" i="4"/>
  <c r="AF616" i="4"/>
  <c r="AG616" i="4"/>
  <c r="AH616" i="4"/>
  <c r="AI616" i="4"/>
  <c r="AJ616" i="4"/>
  <c r="AD616" i="4"/>
  <c r="AF617" i="4"/>
  <c r="AG617" i="4"/>
  <c r="AH617" i="4"/>
  <c r="AI617" i="4"/>
  <c r="AJ617" i="4"/>
  <c r="AD617" i="4"/>
  <c r="AF618" i="4"/>
  <c r="AG618" i="4"/>
  <c r="AH618" i="4"/>
  <c r="AI618" i="4"/>
  <c r="AJ618" i="4"/>
  <c r="AD618" i="4"/>
  <c r="AF619" i="4"/>
  <c r="AG619" i="4"/>
  <c r="AH619" i="4"/>
  <c r="AI619" i="4"/>
  <c r="AJ619" i="4"/>
  <c r="AD619" i="4"/>
  <c r="AF620" i="4"/>
  <c r="AG620" i="4"/>
  <c r="AH620" i="4"/>
  <c r="AI620" i="4"/>
  <c r="AJ620" i="4"/>
  <c r="AD620" i="4"/>
  <c r="AF621" i="4"/>
  <c r="AG621" i="4"/>
  <c r="AH621" i="4"/>
  <c r="AI621" i="4"/>
  <c r="AJ621" i="4"/>
  <c r="AD621" i="4"/>
  <c r="AF622" i="4"/>
  <c r="AG622" i="4"/>
  <c r="AH622" i="4"/>
  <c r="AI622" i="4"/>
  <c r="AJ622" i="4"/>
  <c r="AD622" i="4"/>
  <c r="AF623" i="4"/>
  <c r="AG623" i="4"/>
  <c r="AH623" i="4"/>
  <c r="AI623" i="4"/>
  <c r="AJ623" i="4"/>
  <c r="AD623" i="4"/>
  <c r="AF624" i="4"/>
  <c r="AG624" i="4"/>
  <c r="AH624" i="4"/>
  <c r="AI624" i="4"/>
  <c r="AJ624" i="4"/>
  <c r="AD624" i="4"/>
  <c r="AF625" i="4"/>
  <c r="AG625" i="4"/>
  <c r="AH625" i="4"/>
  <c r="AI625" i="4"/>
  <c r="AJ625" i="4"/>
  <c r="AD625" i="4"/>
  <c r="AF626" i="4"/>
  <c r="AG626" i="4"/>
  <c r="AH626" i="4"/>
  <c r="AI626" i="4"/>
  <c r="AJ626" i="4"/>
  <c r="AD626" i="4"/>
  <c r="AF627" i="4"/>
  <c r="AG627" i="4"/>
  <c r="AH627" i="4"/>
  <c r="AI627" i="4"/>
  <c r="AJ627" i="4"/>
  <c r="AD627" i="4"/>
  <c r="AF628" i="4"/>
  <c r="AG628" i="4"/>
  <c r="AH628" i="4"/>
  <c r="AI628" i="4"/>
  <c r="AJ628" i="4"/>
  <c r="AD628" i="4"/>
  <c r="AF629" i="4"/>
  <c r="AG629" i="4"/>
  <c r="AH629" i="4"/>
  <c r="AI629" i="4"/>
  <c r="AJ629" i="4"/>
  <c r="AD629" i="4"/>
  <c r="AF630" i="4"/>
  <c r="AG630" i="4"/>
  <c r="AH630" i="4"/>
  <c r="AI630" i="4"/>
  <c r="AJ630" i="4"/>
  <c r="AD630" i="4"/>
  <c r="AF631" i="4"/>
  <c r="AG631" i="4"/>
  <c r="AH631" i="4"/>
  <c r="AI631" i="4"/>
  <c r="AJ631" i="4"/>
  <c r="AD631" i="4"/>
  <c r="AF632" i="4"/>
  <c r="AG632" i="4"/>
  <c r="AH632" i="4"/>
  <c r="AI632" i="4"/>
  <c r="AJ632" i="4"/>
  <c r="AD632" i="4"/>
  <c r="AF633" i="4"/>
  <c r="AG633" i="4"/>
  <c r="AH633" i="4"/>
  <c r="AI633" i="4"/>
  <c r="AJ633" i="4"/>
  <c r="AD633" i="4"/>
  <c r="AF634" i="4"/>
  <c r="AG634" i="4"/>
  <c r="AH634" i="4"/>
  <c r="AI634" i="4"/>
  <c r="AJ634" i="4"/>
  <c r="AD634" i="4"/>
  <c r="AF635" i="4"/>
  <c r="AG635" i="4"/>
  <c r="AH635" i="4"/>
  <c r="AI635" i="4"/>
  <c r="AJ635" i="4"/>
  <c r="AD635" i="4"/>
  <c r="AF636" i="4"/>
  <c r="AG636" i="4"/>
  <c r="AH636" i="4"/>
  <c r="AI636" i="4"/>
  <c r="AJ636" i="4"/>
  <c r="AD636" i="4"/>
  <c r="AF637" i="4"/>
  <c r="AG637" i="4"/>
  <c r="AH637" i="4"/>
  <c r="AI637" i="4"/>
  <c r="AJ637" i="4"/>
  <c r="AD637" i="4"/>
  <c r="AF638" i="4"/>
  <c r="AG638" i="4"/>
  <c r="AH638" i="4"/>
  <c r="AI638" i="4"/>
  <c r="AJ638" i="4"/>
  <c r="AD638" i="4"/>
  <c r="AF639" i="4"/>
  <c r="AG639" i="4"/>
  <c r="AH639" i="4"/>
  <c r="AI639" i="4"/>
  <c r="AJ639" i="4"/>
  <c r="AD639" i="4"/>
  <c r="AF640" i="4"/>
  <c r="AG640" i="4"/>
  <c r="AH640" i="4"/>
  <c r="AI640" i="4"/>
  <c r="AJ640" i="4"/>
  <c r="AD640" i="4"/>
  <c r="AF641" i="4"/>
  <c r="AG641" i="4"/>
  <c r="AH641" i="4"/>
  <c r="AI641" i="4"/>
  <c r="AJ641" i="4"/>
  <c r="AD641" i="4"/>
  <c r="AF642" i="4"/>
  <c r="AG642" i="4"/>
  <c r="AH642" i="4"/>
  <c r="AI642" i="4"/>
  <c r="AJ642" i="4"/>
  <c r="AD642" i="4"/>
  <c r="AF643" i="4"/>
  <c r="AG643" i="4"/>
  <c r="AH643" i="4"/>
  <c r="AI643" i="4"/>
  <c r="AJ643" i="4"/>
  <c r="AD643" i="4"/>
  <c r="AF644" i="4"/>
  <c r="AG644" i="4"/>
  <c r="AH644" i="4"/>
  <c r="AI644" i="4"/>
  <c r="AJ644" i="4"/>
  <c r="AD644" i="4"/>
  <c r="AF645" i="4"/>
  <c r="AG645" i="4"/>
  <c r="AH645" i="4"/>
  <c r="AI645" i="4"/>
  <c r="AJ645" i="4"/>
  <c r="AD645" i="4"/>
  <c r="AF646" i="4"/>
  <c r="AG646" i="4"/>
  <c r="AH646" i="4"/>
  <c r="AI646" i="4"/>
  <c r="AJ646" i="4"/>
  <c r="AD646" i="4"/>
  <c r="AF647" i="4"/>
  <c r="AG647" i="4"/>
  <c r="AH647" i="4"/>
  <c r="AI647" i="4"/>
  <c r="AJ647" i="4"/>
  <c r="AD647" i="4"/>
  <c r="AF648" i="4"/>
  <c r="AG648" i="4"/>
  <c r="AH648" i="4"/>
  <c r="AI648" i="4"/>
  <c r="AJ648" i="4"/>
  <c r="AD648" i="4"/>
  <c r="AF649" i="4"/>
  <c r="AG649" i="4"/>
  <c r="AH649" i="4"/>
  <c r="AI649" i="4"/>
  <c r="AJ649" i="4"/>
  <c r="AD649" i="4"/>
  <c r="AF650" i="4"/>
  <c r="AG650" i="4"/>
  <c r="AH650" i="4"/>
  <c r="AI650" i="4"/>
  <c r="AJ650" i="4"/>
  <c r="AD650" i="4"/>
  <c r="AF651" i="4"/>
  <c r="AG651" i="4"/>
  <c r="AH651" i="4"/>
  <c r="AI651" i="4"/>
  <c r="AJ651" i="4"/>
  <c r="AD651" i="4"/>
  <c r="AF652" i="4"/>
  <c r="AG652" i="4"/>
  <c r="AH652" i="4"/>
  <c r="AI652" i="4"/>
  <c r="AJ652" i="4"/>
  <c r="AD652" i="4"/>
  <c r="AF653" i="4"/>
  <c r="AG653" i="4"/>
  <c r="AH653" i="4"/>
  <c r="AI653" i="4"/>
  <c r="AJ653" i="4"/>
  <c r="AD653" i="4"/>
  <c r="AF654" i="4"/>
  <c r="AG654" i="4"/>
  <c r="AH654" i="4"/>
  <c r="AI654" i="4"/>
  <c r="AJ654" i="4"/>
  <c r="AD654" i="4"/>
  <c r="AF655" i="4"/>
  <c r="AG655" i="4"/>
  <c r="AH655" i="4"/>
  <c r="AI655" i="4"/>
  <c r="AJ655" i="4"/>
  <c r="AD655" i="4"/>
  <c r="AF656" i="4"/>
  <c r="AG656" i="4"/>
  <c r="AH656" i="4"/>
  <c r="AI656" i="4"/>
  <c r="AJ656" i="4"/>
  <c r="AD656" i="4"/>
  <c r="AF657" i="4"/>
  <c r="AG657" i="4"/>
  <c r="AH657" i="4"/>
  <c r="AI657" i="4"/>
  <c r="AJ657" i="4"/>
  <c r="AD657" i="4"/>
  <c r="AF658" i="4"/>
  <c r="AG658" i="4"/>
  <c r="AH658" i="4"/>
  <c r="AI658" i="4"/>
  <c r="AJ658" i="4"/>
  <c r="AD658" i="4"/>
  <c r="AF659" i="4"/>
  <c r="AG659" i="4"/>
  <c r="AH659" i="4"/>
  <c r="AI659" i="4"/>
  <c r="AJ659" i="4"/>
  <c r="AD659" i="4"/>
  <c r="AF660" i="4"/>
  <c r="AG660" i="4"/>
  <c r="AH660" i="4"/>
  <c r="AI660" i="4"/>
  <c r="AJ660" i="4"/>
  <c r="AD660" i="4"/>
  <c r="AF661" i="4"/>
  <c r="AG661" i="4"/>
  <c r="AH661" i="4"/>
  <c r="AI661" i="4"/>
  <c r="AJ661" i="4"/>
  <c r="AD661" i="4"/>
  <c r="AF662" i="4"/>
  <c r="AG662" i="4"/>
  <c r="AH662" i="4"/>
  <c r="AI662" i="4"/>
  <c r="AJ662" i="4"/>
  <c r="AD662" i="4"/>
  <c r="AF663" i="4"/>
  <c r="AG663" i="4"/>
  <c r="AH663" i="4"/>
  <c r="AI663" i="4"/>
  <c r="AJ663" i="4"/>
  <c r="AD663" i="4"/>
  <c r="AF664" i="4"/>
  <c r="AG664" i="4"/>
  <c r="AH664" i="4"/>
  <c r="AI664" i="4"/>
  <c r="AJ664" i="4"/>
  <c r="AD664" i="4"/>
  <c r="AF665" i="4"/>
  <c r="AG665" i="4"/>
  <c r="AH665" i="4"/>
  <c r="AI665" i="4"/>
  <c r="AJ665" i="4"/>
  <c r="AD665" i="4"/>
  <c r="AF666" i="4"/>
  <c r="AG666" i="4"/>
  <c r="AH666" i="4"/>
  <c r="AI666" i="4"/>
  <c r="AJ666" i="4"/>
  <c r="AD666" i="4"/>
  <c r="AF667" i="4"/>
  <c r="AG667" i="4"/>
  <c r="AH667" i="4"/>
  <c r="AI667" i="4"/>
  <c r="AJ667" i="4"/>
  <c r="AD667" i="4"/>
  <c r="AF668" i="4"/>
  <c r="AG668" i="4"/>
  <c r="AH668" i="4"/>
  <c r="AI668" i="4"/>
  <c r="AJ668" i="4"/>
  <c r="AD668" i="4"/>
  <c r="AF669" i="4"/>
  <c r="AG669" i="4"/>
  <c r="AH669" i="4"/>
  <c r="AI669" i="4"/>
  <c r="AJ669" i="4"/>
  <c r="AD669" i="4"/>
  <c r="AF670" i="4"/>
  <c r="AG670" i="4"/>
  <c r="AH670" i="4"/>
  <c r="AI670" i="4"/>
  <c r="AJ670" i="4"/>
  <c r="AD670" i="4"/>
  <c r="AF671" i="4"/>
  <c r="AG671" i="4"/>
  <c r="AH671" i="4"/>
  <c r="AI671" i="4"/>
  <c r="AJ671" i="4"/>
  <c r="AD671" i="4"/>
  <c r="AF672" i="4"/>
  <c r="AG672" i="4"/>
  <c r="AH672" i="4"/>
  <c r="AI672" i="4"/>
  <c r="AJ672" i="4"/>
  <c r="AD672" i="4"/>
  <c r="AF673" i="4"/>
  <c r="AG673" i="4"/>
  <c r="AH673" i="4"/>
  <c r="AI673" i="4"/>
  <c r="AJ673" i="4"/>
  <c r="AD673" i="4"/>
  <c r="AF674" i="4"/>
  <c r="AG674" i="4"/>
  <c r="AH674" i="4"/>
  <c r="AI674" i="4"/>
  <c r="AJ674" i="4"/>
  <c r="AD674" i="4"/>
  <c r="AF675" i="4"/>
  <c r="AG675" i="4"/>
  <c r="AH675" i="4"/>
  <c r="AI675" i="4"/>
  <c r="AJ675" i="4"/>
  <c r="AD675" i="4"/>
  <c r="AF676" i="4"/>
  <c r="AG676" i="4"/>
  <c r="AH676" i="4"/>
  <c r="AI676" i="4"/>
  <c r="AJ676" i="4"/>
  <c r="AD676" i="4"/>
  <c r="AF677" i="4"/>
  <c r="AG677" i="4"/>
  <c r="AH677" i="4"/>
  <c r="AI677" i="4"/>
  <c r="AJ677" i="4"/>
  <c r="AD677" i="4"/>
  <c r="AF678" i="4"/>
  <c r="AG678" i="4"/>
  <c r="AH678" i="4"/>
  <c r="AI678" i="4"/>
  <c r="AJ678" i="4"/>
  <c r="AD678" i="4"/>
  <c r="AF679" i="4"/>
  <c r="AG679" i="4"/>
  <c r="AH679" i="4"/>
  <c r="AI679" i="4"/>
  <c r="AJ679" i="4"/>
  <c r="AD679" i="4"/>
  <c r="AF680" i="4"/>
  <c r="AG680" i="4"/>
  <c r="AH680" i="4"/>
  <c r="AI680" i="4"/>
  <c r="AJ680" i="4"/>
  <c r="AD680" i="4"/>
  <c r="AF681" i="4"/>
  <c r="AG681" i="4"/>
  <c r="AH681" i="4"/>
  <c r="AI681" i="4"/>
  <c r="AJ681" i="4"/>
  <c r="AD681" i="4"/>
  <c r="AF682" i="4"/>
  <c r="AG682" i="4"/>
  <c r="AH682" i="4"/>
  <c r="AI682" i="4"/>
  <c r="AJ682" i="4"/>
  <c r="AD682" i="4"/>
  <c r="AF683" i="4"/>
  <c r="AG683" i="4"/>
  <c r="AH683" i="4"/>
  <c r="AI683" i="4"/>
  <c r="AJ683" i="4"/>
  <c r="AD683" i="4"/>
  <c r="AF684" i="4"/>
  <c r="AG684" i="4"/>
  <c r="AH684" i="4"/>
  <c r="AI684" i="4"/>
  <c r="AJ684" i="4"/>
  <c r="AD684" i="4"/>
  <c r="AF685" i="4"/>
  <c r="AG685" i="4"/>
  <c r="AH685" i="4"/>
  <c r="AI685" i="4"/>
  <c r="AJ685" i="4"/>
  <c r="AD685" i="4"/>
  <c r="AF686" i="4"/>
  <c r="AG686" i="4"/>
  <c r="AH686" i="4"/>
  <c r="AI686" i="4"/>
  <c r="AJ686" i="4"/>
  <c r="AD686" i="4"/>
  <c r="AF687" i="4"/>
  <c r="AG687" i="4"/>
  <c r="AH687" i="4"/>
  <c r="AI687" i="4"/>
  <c r="AJ687" i="4"/>
  <c r="AD687" i="4"/>
  <c r="AF688" i="4"/>
  <c r="AG688" i="4"/>
  <c r="AH688" i="4"/>
  <c r="AI688" i="4"/>
  <c r="AJ688" i="4"/>
  <c r="AD688" i="4"/>
  <c r="AF689" i="4"/>
  <c r="AG689" i="4"/>
  <c r="AH689" i="4"/>
  <c r="AI689" i="4"/>
  <c r="AJ689" i="4"/>
  <c r="AD689" i="4"/>
  <c r="AF690" i="4"/>
  <c r="AG690" i="4"/>
  <c r="AH690" i="4"/>
  <c r="AI690" i="4"/>
  <c r="AJ690" i="4"/>
  <c r="AD690" i="4"/>
  <c r="AF691" i="4"/>
  <c r="AG691" i="4"/>
  <c r="AH691" i="4"/>
  <c r="AI691" i="4"/>
  <c r="AJ691" i="4"/>
  <c r="AD691" i="4"/>
  <c r="AF692" i="4"/>
  <c r="AG692" i="4"/>
  <c r="AH692" i="4"/>
  <c r="AI692" i="4"/>
  <c r="AJ692" i="4"/>
  <c r="AD692" i="4"/>
  <c r="AF693" i="4"/>
  <c r="AG693" i="4"/>
  <c r="AH693" i="4"/>
  <c r="AI693" i="4"/>
  <c r="AJ693" i="4"/>
  <c r="AD693" i="4"/>
  <c r="AF694" i="4"/>
  <c r="AG694" i="4"/>
  <c r="AH694" i="4"/>
  <c r="AI694" i="4"/>
  <c r="AJ694" i="4"/>
  <c r="AD694" i="4"/>
  <c r="AF695" i="4"/>
  <c r="AG695" i="4"/>
  <c r="AH695" i="4"/>
  <c r="AI695" i="4"/>
  <c r="AJ695" i="4"/>
  <c r="AD695" i="4"/>
  <c r="AF696" i="4"/>
  <c r="AG696" i="4"/>
  <c r="AH696" i="4"/>
  <c r="AI696" i="4"/>
  <c r="AJ696" i="4"/>
  <c r="AD696" i="4"/>
  <c r="AF697" i="4"/>
  <c r="AG697" i="4"/>
  <c r="AH697" i="4"/>
  <c r="AI697" i="4"/>
  <c r="AJ697" i="4"/>
  <c r="AD697" i="4"/>
  <c r="AF698" i="4"/>
  <c r="AG698" i="4"/>
  <c r="AH698" i="4"/>
  <c r="AI698" i="4"/>
  <c r="AJ698" i="4"/>
  <c r="AD698" i="4"/>
  <c r="AF699" i="4"/>
  <c r="AG699" i="4"/>
  <c r="AH699" i="4"/>
  <c r="AI699" i="4"/>
  <c r="AJ699" i="4"/>
  <c r="AD699" i="4"/>
  <c r="AF700" i="4"/>
  <c r="AG700" i="4"/>
  <c r="AH700" i="4"/>
  <c r="AI700" i="4"/>
  <c r="AJ700" i="4"/>
  <c r="AD700" i="4"/>
  <c r="AF701" i="4"/>
  <c r="AG701" i="4"/>
  <c r="AH701" i="4"/>
  <c r="AI701" i="4"/>
  <c r="AJ701" i="4"/>
  <c r="AD701" i="4"/>
  <c r="AF702" i="4"/>
  <c r="AG702" i="4"/>
  <c r="AH702" i="4"/>
  <c r="AI702" i="4"/>
  <c r="AJ702" i="4"/>
  <c r="AD702" i="4"/>
  <c r="AF703" i="4"/>
  <c r="AG703" i="4"/>
  <c r="AH703" i="4"/>
  <c r="AI703" i="4"/>
  <c r="AJ703" i="4"/>
  <c r="AD703" i="4"/>
  <c r="AF704" i="4"/>
  <c r="AG704" i="4"/>
  <c r="AH704" i="4"/>
  <c r="AI704" i="4"/>
  <c r="AJ704" i="4"/>
  <c r="AD704" i="4"/>
  <c r="AF705" i="4"/>
  <c r="AG705" i="4"/>
  <c r="AH705" i="4"/>
  <c r="AI705" i="4"/>
  <c r="AJ705" i="4"/>
  <c r="AD705" i="4"/>
  <c r="AF706" i="4"/>
  <c r="AG706" i="4"/>
  <c r="AH706" i="4"/>
  <c r="AI706" i="4"/>
  <c r="AJ706" i="4"/>
  <c r="AD706" i="4"/>
  <c r="AF707" i="4"/>
  <c r="AG707" i="4"/>
  <c r="AH707" i="4"/>
  <c r="AI707" i="4"/>
  <c r="AJ707" i="4"/>
  <c r="AD707" i="4"/>
  <c r="AF708" i="4"/>
  <c r="AG708" i="4"/>
  <c r="AH708" i="4"/>
  <c r="AI708" i="4"/>
  <c r="AJ708" i="4"/>
  <c r="AD708" i="4"/>
  <c r="AF709" i="4"/>
  <c r="AG709" i="4"/>
  <c r="AH709" i="4"/>
  <c r="AI709" i="4"/>
  <c r="AJ709" i="4"/>
  <c r="AD709" i="4"/>
  <c r="AF710" i="4"/>
  <c r="AG710" i="4"/>
  <c r="AH710" i="4"/>
  <c r="AI710" i="4"/>
  <c r="AJ710" i="4"/>
  <c r="AD710" i="4"/>
  <c r="AF711" i="4"/>
  <c r="AG711" i="4"/>
  <c r="AH711" i="4"/>
  <c r="AI711" i="4"/>
  <c r="AJ711" i="4"/>
  <c r="AD711" i="4"/>
  <c r="AF712" i="4"/>
  <c r="AG712" i="4"/>
  <c r="AH712" i="4"/>
  <c r="AI712" i="4"/>
  <c r="AJ712" i="4"/>
  <c r="AD712" i="4"/>
  <c r="AF713" i="4"/>
  <c r="AG713" i="4"/>
  <c r="AH713" i="4"/>
  <c r="AI713" i="4"/>
  <c r="AJ713" i="4"/>
  <c r="AD713" i="4"/>
  <c r="AF714" i="4"/>
  <c r="AG714" i="4"/>
  <c r="AH714" i="4"/>
  <c r="AI714" i="4"/>
  <c r="AJ714" i="4"/>
  <c r="AD714" i="4"/>
  <c r="AF715" i="4"/>
  <c r="AG715" i="4"/>
  <c r="AH715" i="4"/>
  <c r="AI715" i="4"/>
  <c r="AJ715" i="4"/>
  <c r="AD715" i="4"/>
  <c r="AF716" i="4"/>
  <c r="AG716" i="4"/>
  <c r="AH716" i="4"/>
  <c r="AI716" i="4"/>
  <c r="AJ716" i="4"/>
  <c r="AD716" i="4"/>
  <c r="AF717" i="4"/>
  <c r="AG717" i="4"/>
  <c r="AH717" i="4"/>
  <c r="AI717" i="4"/>
  <c r="AJ717" i="4"/>
  <c r="AD717" i="4"/>
  <c r="AF718" i="4"/>
  <c r="AG718" i="4"/>
  <c r="AH718" i="4"/>
  <c r="AI718" i="4"/>
  <c r="AJ718" i="4"/>
  <c r="AD718" i="4"/>
  <c r="AF719" i="4"/>
  <c r="AG719" i="4"/>
  <c r="AH719" i="4"/>
  <c r="AI719" i="4"/>
  <c r="AJ719" i="4"/>
  <c r="AD719" i="4"/>
  <c r="AF720" i="4"/>
  <c r="AG720" i="4"/>
  <c r="AH720" i="4"/>
  <c r="AI720" i="4"/>
  <c r="AJ720" i="4"/>
  <c r="AD720" i="4"/>
  <c r="AF721" i="4"/>
  <c r="AG721" i="4"/>
  <c r="AH721" i="4"/>
  <c r="AI721" i="4"/>
  <c r="AJ721" i="4"/>
  <c r="AD721" i="4"/>
  <c r="AF722" i="4"/>
  <c r="AG722" i="4"/>
  <c r="AH722" i="4"/>
  <c r="AI722" i="4"/>
  <c r="AJ722" i="4"/>
  <c r="AD722" i="4"/>
  <c r="AF723" i="4"/>
  <c r="AG723" i="4"/>
  <c r="AH723" i="4"/>
  <c r="AI723" i="4"/>
  <c r="AJ723" i="4"/>
  <c r="AD723" i="4"/>
  <c r="AF724" i="4"/>
  <c r="AG724" i="4"/>
  <c r="AH724" i="4"/>
  <c r="AI724" i="4"/>
  <c r="AJ724" i="4"/>
  <c r="AD724" i="4"/>
  <c r="AF725" i="4"/>
  <c r="AG725" i="4"/>
  <c r="AH725" i="4"/>
  <c r="AI725" i="4"/>
  <c r="AJ725" i="4"/>
  <c r="AD725" i="4"/>
  <c r="AF726" i="4"/>
  <c r="AG726" i="4"/>
  <c r="AH726" i="4"/>
  <c r="AI726" i="4"/>
  <c r="AJ726" i="4"/>
  <c r="AD726" i="4"/>
  <c r="AF727" i="4"/>
  <c r="AG727" i="4"/>
  <c r="AH727" i="4"/>
  <c r="AI727" i="4"/>
  <c r="AJ727" i="4"/>
  <c r="AD727" i="4"/>
  <c r="AF728" i="4"/>
  <c r="AG728" i="4"/>
  <c r="AH728" i="4"/>
  <c r="AI728" i="4"/>
  <c r="AJ728" i="4"/>
  <c r="AD728" i="4"/>
  <c r="AF729" i="4"/>
  <c r="AG729" i="4"/>
  <c r="AH729" i="4"/>
  <c r="AI729" i="4"/>
  <c r="AJ729" i="4"/>
  <c r="AD729" i="4"/>
  <c r="AF730" i="4"/>
  <c r="AG730" i="4"/>
  <c r="AH730" i="4"/>
  <c r="AI730" i="4"/>
  <c r="AJ730" i="4"/>
  <c r="AD730" i="4"/>
  <c r="AF731" i="4"/>
  <c r="AG731" i="4"/>
  <c r="AH731" i="4"/>
  <c r="AI731" i="4"/>
  <c r="AJ731" i="4"/>
  <c r="AD731" i="4"/>
  <c r="AF732" i="4"/>
  <c r="AG732" i="4"/>
  <c r="AH732" i="4"/>
  <c r="AI732" i="4"/>
  <c r="AJ732" i="4"/>
  <c r="AD732" i="4"/>
  <c r="AF733" i="4"/>
  <c r="AG733" i="4"/>
  <c r="AH733" i="4"/>
  <c r="AI733" i="4"/>
  <c r="AJ733" i="4"/>
  <c r="AD733" i="4"/>
  <c r="AF734" i="4"/>
  <c r="AG734" i="4"/>
  <c r="AH734" i="4"/>
  <c r="AI734" i="4"/>
  <c r="AJ734" i="4"/>
  <c r="AD734" i="4"/>
  <c r="AF735" i="4"/>
  <c r="AG735" i="4"/>
  <c r="AH735" i="4"/>
  <c r="AI735" i="4"/>
  <c r="AJ735" i="4"/>
  <c r="AD735" i="4"/>
  <c r="AF736" i="4"/>
  <c r="AG736" i="4"/>
  <c r="AH736" i="4"/>
  <c r="AI736" i="4"/>
  <c r="AJ736" i="4"/>
  <c r="AD736" i="4"/>
  <c r="AF737" i="4"/>
  <c r="AG737" i="4"/>
  <c r="AH737" i="4"/>
  <c r="AI737" i="4"/>
  <c r="AJ737" i="4"/>
  <c r="AD737" i="4"/>
  <c r="AF738" i="4"/>
  <c r="AG738" i="4"/>
  <c r="AH738" i="4"/>
  <c r="AI738" i="4"/>
  <c r="AJ738" i="4"/>
  <c r="AD738" i="4"/>
  <c r="AF739" i="4"/>
  <c r="AG739" i="4"/>
  <c r="AH739" i="4"/>
  <c r="AI739" i="4"/>
  <c r="AJ739" i="4"/>
  <c r="AD739" i="4"/>
  <c r="AF740" i="4"/>
  <c r="AG740" i="4"/>
  <c r="AH740" i="4"/>
  <c r="AI740" i="4"/>
  <c r="AJ740" i="4"/>
  <c r="AD740" i="4"/>
  <c r="AF741" i="4"/>
  <c r="AG741" i="4"/>
  <c r="AH741" i="4"/>
  <c r="AI741" i="4"/>
  <c r="AJ741" i="4"/>
  <c r="AD741" i="4"/>
  <c r="AF742" i="4"/>
  <c r="AG742" i="4"/>
  <c r="AH742" i="4"/>
  <c r="AI742" i="4"/>
  <c r="AJ742" i="4"/>
  <c r="AD742" i="4"/>
  <c r="AF743" i="4"/>
  <c r="AG743" i="4"/>
  <c r="AH743" i="4"/>
  <c r="AI743" i="4"/>
  <c r="AJ743" i="4"/>
  <c r="AD743" i="4"/>
  <c r="AF744" i="4"/>
  <c r="AG744" i="4"/>
  <c r="AH744" i="4"/>
  <c r="AI744" i="4"/>
  <c r="AJ744" i="4"/>
  <c r="AD744" i="4"/>
  <c r="AF745" i="4"/>
  <c r="AG745" i="4"/>
  <c r="AH745" i="4"/>
  <c r="AI745" i="4"/>
  <c r="AJ745" i="4"/>
  <c r="AD745" i="4"/>
  <c r="AF746" i="4"/>
  <c r="AG746" i="4"/>
  <c r="AH746" i="4"/>
  <c r="AI746" i="4"/>
  <c r="AJ746" i="4"/>
  <c r="AD746" i="4"/>
  <c r="AF747" i="4"/>
  <c r="AG747" i="4"/>
  <c r="AH747" i="4"/>
  <c r="AI747" i="4"/>
  <c r="AJ747" i="4"/>
  <c r="AD747" i="4"/>
  <c r="AF748" i="4"/>
  <c r="AG748" i="4"/>
  <c r="AH748" i="4"/>
  <c r="AI748" i="4"/>
  <c r="AJ748" i="4"/>
  <c r="AD748" i="4"/>
  <c r="AF749" i="4"/>
  <c r="AG749" i="4"/>
  <c r="AH749" i="4"/>
  <c r="AI749" i="4"/>
  <c r="AJ749" i="4"/>
  <c r="AD749" i="4"/>
  <c r="AF750" i="4"/>
  <c r="AG750" i="4"/>
  <c r="AH750" i="4"/>
  <c r="AI750" i="4"/>
  <c r="AJ750" i="4"/>
  <c r="AD750" i="4"/>
  <c r="AF751" i="4"/>
  <c r="AG751" i="4"/>
  <c r="AH751" i="4"/>
  <c r="AI751" i="4"/>
  <c r="AJ751" i="4"/>
  <c r="AD751" i="4"/>
  <c r="AF752" i="4"/>
  <c r="AG752" i="4"/>
  <c r="AH752" i="4"/>
  <c r="AI752" i="4"/>
  <c r="AJ752" i="4"/>
  <c r="AD752" i="4"/>
  <c r="AF753" i="4"/>
  <c r="AG753" i="4"/>
  <c r="AH753" i="4"/>
  <c r="AI753" i="4"/>
  <c r="AJ753" i="4"/>
  <c r="AD753" i="4"/>
  <c r="AF754" i="4"/>
  <c r="AG754" i="4"/>
  <c r="AH754" i="4"/>
  <c r="AI754" i="4"/>
  <c r="AJ754" i="4"/>
  <c r="AD754" i="4"/>
  <c r="AF755" i="4"/>
  <c r="AG755" i="4"/>
  <c r="AH755" i="4"/>
  <c r="AI755" i="4"/>
  <c r="AJ755" i="4"/>
  <c r="AD755" i="4"/>
  <c r="AF756" i="4"/>
  <c r="AG756" i="4"/>
  <c r="AH756" i="4"/>
  <c r="AI756" i="4"/>
  <c r="AJ756" i="4"/>
  <c r="AD756" i="4"/>
  <c r="AF757" i="4"/>
  <c r="AG757" i="4"/>
  <c r="AH757" i="4"/>
  <c r="AI757" i="4"/>
  <c r="AJ757" i="4"/>
  <c r="AD757" i="4"/>
  <c r="AF758" i="4"/>
  <c r="AG758" i="4"/>
  <c r="AH758" i="4"/>
  <c r="AI758" i="4"/>
  <c r="AJ758" i="4"/>
  <c r="AD758" i="4"/>
  <c r="AF759" i="4"/>
  <c r="AG759" i="4"/>
  <c r="AH759" i="4"/>
  <c r="AI759" i="4"/>
  <c r="AJ759" i="4"/>
  <c r="AD759" i="4"/>
  <c r="AF760" i="4"/>
  <c r="AG760" i="4"/>
  <c r="AH760" i="4"/>
  <c r="AI760" i="4"/>
  <c r="AJ760" i="4"/>
  <c r="AD760" i="4"/>
  <c r="AF761" i="4"/>
  <c r="AG761" i="4"/>
  <c r="AH761" i="4"/>
  <c r="AI761" i="4"/>
  <c r="AJ761" i="4"/>
  <c r="AD761" i="4"/>
  <c r="AF762" i="4"/>
  <c r="AG762" i="4"/>
  <c r="AH762" i="4"/>
  <c r="AI762" i="4"/>
  <c r="AJ762" i="4"/>
  <c r="AD762" i="4"/>
  <c r="AF763" i="4"/>
  <c r="AG763" i="4"/>
  <c r="AH763" i="4"/>
  <c r="AI763" i="4"/>
  <c r="AJ763" i="4"/>
  <c r="AD763" i="4"/>
  <c r="AF764" i="4"/>
  <c r="AG764" i="4"/>
  <c r="AH764" i="4"/>
  <c r="AI764" i="4"/>
  <c r="AJ764" i="4"/>
  <c r="AD764" i="4"/>
  <c r="AF765" i="4"/>
  <c r="AG765" i="4"/>
  <c r="AH765" i="4"/>
  <c r="AI765" i="4"/>
  <c r="AJ765" i="4"/>
  <c r="AD765" i="4"/>
  <c r="AF766" i="4"/>
  <c r="AG766" i="4"/>
  <c r="AH766" i="4"/>
  <c r="AI766" i="4"/>
  <c r="AJ766" i="4"/>
  <c r="AD766" i="4"/>
  <c r="AF767" i="4"/>
  <c r="AG767" i="4"/>
  <c r="AH767" i="4"/>
  <c r="AI767" i="4"/>
  <c r="AJ767" i="4"/>
  <c r="AD767" i="4"/>
  <c r="AF768" i="4"/>
  <c r="AG768" i="4"/>
  <c r="AH768" i="4"/>
  <c r="AI768" i="4"/>
  <c r="AJ768" i="4"/>
  <c r="AD768" i="4"/>
  <c r="AF769" i="4"/>
  <c r="AG769" i="4"/>
  <c r="AH769" i="4"/>
  <c r="AI769" i="4"/>
  <c r="AJ769" i="4"/>
  <c r="AD769" i="4"/>
  <c r="AF770" i="4"/>
  <c r="AG770" i="4"/>
  <c r="AH770" i="4"/>
  <c r="AI770" i="4"/>
  <c r="AJ770" i="4"/>
  <c r="AD770" i="4"/>
  <c r="AF771" i="4"/>
  <c r="AG771" i="4"/>
  <c r="AH771" i="4"/>
  <c r="AI771" i="4"/>
  <c r="AJ771" i="4"/>
  <c r="AD771" i="4"/>
  <c r="AF772" i="4"/>
  <c r="AG772" i="4"/>
  <c r="AH772" i="4"/>
  <c r="AI772" i="4"/>
  <c r="AJ772" i="4"/>
  <c r="AD772" i="4"/>
  <c r="AF773" i="4"/>
  <c r="AG773" i="4"/>
  <c r="AH773" i="4"/>
  <c r="AI773" i="4"/>
  <c r="AJ773" i="4"/>
  <c r="AD773" i="4"/>
  <c r="AF774" i="4"/>
  <c r="AG774" i="4"/>
  <c r="AH774" i="4"/>
  <c r="AI774" i="4"/>
  <c r="AJ774" i="4"/>
  <c r="AD774" i="4"/>
  <c r="AF775" i="4"/>
  <c r="AG775" i="4"/>
  <c r="AH775" i="4"/>
  <c r="AI775" i="4"/>
  <c r="AJ775" i="4"/>
  <c r="AD775" i="4"/>
  <c r="AF776" i="4"/>
  <c r="AG776" i="4"/>
  <c r="AH776" i="4"/>
  <c r="AI776" i="4"/>
  <c r="AJ776" i="4"/>
  <c r="AD776" i="4"/>
  <c r="AF777" i="4"/>
  <c r="AG777" i="4"/>
  <c r="AH777" i="4"/>
  <c r="AI777" i="4"/>
  <c r="AJ777" i="4"/>
  <c r="AD777" i="4"/>
  <c r="AF778" i="4"/>
  <c r="AG778" i="4"/>
  <c r="AH778" i="4"/>
  <c r="AI778" i="4"/>
  <c r="AJ778" i="4"/>
  <c r="AD778" i="4"/>
  <c r="AF779" i="4"/>
  <c r="AG779" i="4"/>
  <c r="AH779" i="4"/>
  <c r="AI779" i="4"/>
  <c r="AJ779" i="4"/>
  <c r="AD779" i="4"/>
  <c r="AF780" i="4"/>
  <c r="AG780" i="4"/>
  <c r="AH780" i="4"/>
  <c r="AI780" i="4"/>
  <c r="AJ780" i="4"/>
  <c r="AD780" i="4"/>
  <c r="AF781" i="4"/>
  <c r="AG781" i="4"/>
  <c r="AH781" i="4"/>
  <c r="AI781" i="4"/>
  <c r="AJ781" i="4"/>
  <c r="AD781" i="4"/>
  <c r="AF782" i="4"/>
  <c r="AG782" i="4"/>
  <c r="AH782" i="4"/>
  <c r="AI782" i="4"/>
  <c r="AJ782" i="4"/>
  <c r="AD782" i="4"/>
  <c r="AF783" i="4"/>
  <c r="AG783" i="4"/>
  <c r="AH783" i="4"/>
  <c r="AI783" i="4"/>
  <c r="AJ783" i="4"/>
  <c r="AD783" i="4"/>
  <c r="AF784" i="4"/>
  <c r="AG784" i="4"/>
  <c r="AH784" i="4"/>
  <c r="AI784" i="4"/>
  <c r="AJ784" i="4"/>
  <c r="AD784" i="4"/>
  <c r="AF785" i="4"/>
  <c r="AG785" i="4"/>
  <c r="AH785" i="4"/>
  <c r="AI785" i="4"/>
  <c r="AJ785" i="4"/>
  <c r="AD785" i="4"/>
  <c r="AF786" i="4"/>
  <c r="AG786" i="4"/>
  <c r="AH786" i="4"/>
  <c r="AI786" i="4"/>
  <c r="AJ786" i="4"/>
  <c r="AD786" i="4"/>
  <c r="AF787" i="4"/>
  <c r="AG787" i="4"/>
  <c r="AH787" i="4"/>
  <c r="AI787" i="4"/>
  <c r="AJ787" i="4"/>
  <c r="AD787" i="4"/>
  <c r="AF788" i="4"/>
  <c r="AG788" i="4"/>
  <c r="AH788" i="4"/>
  <c r="AI788" i="4"/>
  <c r="AJ788" i="4"/>
  <c r="AD788" i="4"/>
  <c r="AF789" i="4"/>
  <c r="AG789" i="4"/>
  <c r="AH789" i="4"/>
  <c r="AI789" i="4"/>
  <c r="AJ789" i="4"/>
  <c r="AD789" i="4"/>
  <c r="AF790" i="4"/>
  <c r="AG790" i="4"/>
  <c r="AH790" i="4"/>
  <c r="AI790" i="4"/>
  <c r="AJ790" i="4"/>
  <c r="AD790" i="4"/>
  <c r="AF791" i="4"/>
  <c r="AG791" i="4"/>
  <c r="AH791" i="4"/>
  <c r="AI791" i="4"/>
  <c r="AJ791" i="4"/>
  <c r="AD791" i="4"/>
  <c r="AF792" i="4"/>
  <c r="AG792" i="4"/>
  <c r="AH792" i="4"/>
  <c r="AI792" i="4"/>
  <c r="AJ792" i="4"/>
  <c r="AD792" i="4"/>
  <c r="AF793" i="4"/>
  <c r="AG793" i="4"/>
  <c r="AH793" i="4"/>
  <c r="AI793" i="4"/>
  <c r="AJ793" i="4"/>
  <c r="AD793" i="4"/>
  <c r="AF794" i="4"/>
  <c r="AG794" i="4"/>
  <c r="AH794" i="4"/>
  <c r="AI794" i="4"/>
  <c r="AJ794" i="4"/>
  <c r="AD794" i="4"/>
  <c r="AG795" i="4"/>
  <c r="AD795" i="4"/>
  <c r="AF795" i="4"/>
  <c r="AI795" i="4"/>
  <c r="AH795" i="4"/>
  <c r="AJ795" i="4"/>
  <c r="AG801" i="4"/>
  <c r="AH801" i="4"/>
  <c r="AJ801" i="4"/>
  <c r="AD801" i="4"/>
  <c r="AF801" i="4"/>
  <c r="AI801" i="4"/>
  <c r="AG802" i="4"/>
  <c r="AI802" i="4"/>
  <c r="AD802" i="4"/>
  <c r="AF802" i="4"/>
  <c r="AH802" i="4"/>
  <c r="AJ802" i="4"/>
  <c r="AH804" i="4"/>
  <c r="AF804" i="4"/>
  <c r="AJ804" i="4"/>
  <c r="AD804" i="4"/>
  <c r="AG804" i="4"/>
  <c r="AI804" i="4"/>
  <c r="AG812" i="4"/>
  <c r="AI812" i="4"/>
  <c r="AD812" i="4"/>
  <c r="AF812" i="4"/>
  <c r="AH812" i="4"/>
  <c r="AJ812" i="4"/>
  <c r="AH813" i="4"/>
  <c r="AJ813" i="4"/>
  <c r="AD813" i="4"/>
  <c r="AG813" i="4"/>
  <c r="AF813" i="4"/>
  <c r="AI813" i="4"/>
  <c r="AG824" i="4"/>
  <c r="AI824" i="4"/>
  <c r="AJ824" i="4"/>
  <c r="AD824" i="4"/>
  <c r="AF824" i="4"/>
  <c r="AH824" i="4"/>
  <c r="AG831" i="4"/>
  <c r="AH831" i="4"/>
  <c r="AJ831" i="4"/>
  <c r="AD831" i="4"/>
  <c r="AF831" i="4"/>
  <c r="AI831" i="4"/>
  <c r="AG832" i="4"/>
  <c r="AI832" i="4"/>
  <c r="AJ832" i="4"/>
  <c r="AD832" i="4"/>
  <c r="AF832" i="4"/>
  <c r="AH832" i="4"/>
  <c r="AG833" i="4"/>
  <c r="AJ833" i="4"/>
  <c r="AH833" i="4"/>
  <c r="AD833" i="4"/>
  <c r="AF833" i="4"/>
  <c r="AI833" i="4"/>
  <c r="AG844" i="4"/>
  <c r="AH844" i="4"/>
  <c r="AJ844" i="4"/>
  <c r="AD844" i="4"/>
  <c r="AF844" i="4"/>
  <c r="AI844" i="4"/>
  <c r="AG863" i="4"/>
  <c r="AI863" i="4"/>
  <c r="AD863" i="4"/>
  <c r="AF863" i="4"/>
  <c r="AH863" i="4"/>
  <c r="AJ863" i="4"/>
  <c r="AH866" i="4"/>
  <c r="AJ866" i="4"/>
  <c r="AF866" i="4"/>
  <c r="AG866" i="4"/>
  <c r="AI866" i="4"/>
  <c r="AD866" i="4"/>
  <c r="AD867" i="4"/>
  <c r="AG867" i="4"/>
  <c r="AF867" i="4"/>
  <c r="AH867" i="4"/>
  <c r="AI867" i="4"/>
  <c r="AJ867" i="4"/>
  <c r="AG884" i="4"/>
  <c r="AD884" i="4"/>
  <c r="AF884" i="4"/>
  <c r="AH884" i="4"/>
  <c r="AI884" i="4"/>
  <c r="AJ884" i="4"/>
  <c r="AI890" i="4"/>
  <c r="AD890" i="4"/>
  <c r="AF890" i="4"/>
  <c r="AH890" i="4"/>
  <c r="AJ890" i="4"/>
  <c r="AG890" i="4"/>
  <c r="AD896" i="4"/>
  <c r="AG896" i="4"/>
  <c r="AI896" i="4"/>
  <c r="AF896" i="4"/>
  <c r="AH896" i="4"/>
  <c r="AJ896" i="4"/>
  <c r="AH907" i="4"/>
  <c r="AF907" i="4"/>
  <c r="AG907" i="4"/>
  <c r="AJ907" i="4"/>
  <c r="AD907" i="4"/>
  <c r="AI907" i="4"/>
  <c r="AG914" i="4"/>
  <c r="AI914" i="4"/>
  <c r="AD914" i="4"/>
  <c r="AF914" i="4"/>
  <c r="AH914" i="4"/>
  <c r="AJ914" i="4"/>
  <c r="AG932" i="4"/>
  <c r="AF932" i="4"/>
  <c r="AI932" i="4"/>
  <c r="AJ932" i="4"/>
  <c r="AD932" i="4"/>
  <c r="AH932" i="4"/>
  <c r="AG939" i="4"/>
  <c r="AH939" i="4"/>
  <c r="AJ939" i="4"/>
  <c r="AD939" i="4"/>
  <c r="AF939" i="4"/>
  <c r="AI939" i="4"/>
  <c r="AG985" i="4"/>
  <c r="AI985" i="4"/>
  <c r="AD985" i="4"/>
  <c r="AF985" i="4"/>
  <c r="AH985" i="4"/>
  <c r="AJ985" i="4"/>
  <c r="AG986" i="4"/>
  <c r="AI986" i="4"/>
  <c r="AD986" i="4"/>
  <c r="AF986" i="4"/>
  <c r="AJ986" i="4"/>
  <c r="AH986" i="4"/>
  <c r="AG992" i="4"/>
  <c r="AI992" i="4"/>
  <c r="AD992" i="4"/>
  <c r="AF992" i="4"/>
  <c r="AH992" i="4"/>
  <c r="AJ992" i="4"/>
  <c r="AG993" i="4"/>
  <c r="AH993" i="4"/>
  <c r="AJ993" i="4"/>
  <c r="AD993" i="4"/>
  <c r="AF993" i="4"/>
  <c r="AI993" i="4"/>
  <c r="AG1004" i="4"/>
  <c r="AI1004" i="4"/>
  <c r="AD1004" i="4"/>
  <c r="AF1004" i="4"/>
  <c r="AH1004" i="4"/>
  <c r="AJ1004" i="4"/>
  <c r="AG1005" i="4"/>
  <c r="AJ1005" i="4"/>
  <c r="AD1005" i="4"/>
  <c r="AI1005" i="4"/>
  <c r="AF1005" i="4"/>
  <c r="AH1005" i="4"/>
  <c r="AG1006" i="4"/>
  <c r="AJ1006" i="4"/>
  <c r="AF1006" i="4"/>
  <c r="AD1006" i="4"/>
  <c r="AH1006" i="4"/>
  <c r="AI1006" i="4"/>
  <c r="AF1009" i="4"/>
  <c r="AI1009" i="4"/>
  <c r="AJ1009" i="4"/>
  <c r="AD1009" i="4"/>
  <c r="AH1009" i="4"/>
  <c r="AG1009" i="4"/>
  <c r="AF822" i="4"/>
  <c r="AG822" i="4"/>
  <c r="AH822" i="4"/>
  <c r="AI822" i="4"/>
  <c r="AJ822" i="4"/>
  <c r="AD822" i="4"/>
  <c r="AF836" i="4"/>
  <c r="AG836" i="4"/>
  <c r="AH836" i="4"/>
  <c r="AI836" i="4"/>
  <c r="AJ836" i="4"/>
  <c r="AD836" i="4"/>
  <c r="AG837" i="4"/>
  <c r="AI837" i="4"/>
  <c r="AD837" i="4"/>
  <c r="AF837" i="4"/>
  <c r="AH837" i="4"/>
  <c r="AJ837" i="4"/>
  <c r="AH838" i="4"/>
  <c r="AJ838" i="4"/>
  <c r="AF838" i="4"/>
  <c r="AI838" i="4"/>
  <c r="AD838" i="4"/>
  <c r="AG838" i="4"/>
  <c r="AF839" i="4"/>
  <c r="AG839" i="4"/>
  <c r="AI839" i="4"/>
  <c r="AJ839" i="4"/>
  <c r="AD839" i="4"/>
  <c r="AH839" i="4"/>
  <c r="AG840" i="4"/>
  <c r="AJ840" i="4"/>
  <c r="AD840" i="4"/>
  <c r="AF840" i="4"/>
  <c r="AH840" i="4"/>
  <c r="AI840" i="4"/>
  <c r="AJ841" i="4"/>
  <c r="AF841" i="4"/>
  <c r="AH841" i="4"/>
  <c r="AD841" i="4"/>
  <c r="AG841" i="4"/>
  <c r="AI841" i="4"/>
  <c r="AH848" i="4"/>
  <c r="AJ848" i="4"/>
  <c r="AD848" i="4"/>
  <c r="AG848" i="4"/>
  <c r="AF848" i="4"/>
  <c r="AI848" i="4"/>
  <c r="AG849" i="4"/>
  <c r="AI849" i="4"/>
  <c r="AD849" i="4"/>
  <c r="AF849" i="4"/>
  <c r="AH849" i="4"/>
  <c r="AJ849" i="4"/>
  <c r="AI851" i="4"/>
  <c r="AF851" i="4"/>
  <c r="AG851" i="4"/>
  <c r="AJ851" i="4"/>
  <c r="AD851" i="4"/>
  <c r="AH851" i="4"/>
  <c r="AD864" i="4"/>
  <c r="AF864" i="4"/>
  <c r="AG864" i="4"/>
  <c r="AH864" i="4"/>
  <c r="AI864" i="4"/>
  <c r="AJ864" i="4"/>
  <c r="AF879" i="4"/>
  <c r="AG879" i="4"/>
  <c r="AH879" i="4"/>
  <c r="AI879" i="4"/>
  <c r="AJ879" i="4"/>
  <c r="AD879" i="4"/>
  <c r="AF880" i="4"/>
  <c r="AG880" i="4"/>
  <c r="AH880" i="4"/>
  <c r="AI880" i="4"/>
  <c r="AJ880" i="4"/>
  <c r="AD880" i="4"/>
  <c r="AF882" i="4"/>
  <c r="AG882" i="4"/>
  <c r="AH882" i="4"/>
  <c r="AI882" i="4"/>
  <c r="AJ882" i="4"/>
  <c r="AD882" i="4"/>
  <c r="AG906" i="4"/>
  <c r="AH906" i="4"/>
  <c r="AI906" i="4"/>
  <c r="AJ906" i="4"/>
  <c r="AD906" i="4"/>
  <c r="AF906" i="4"/>
  <c r="AF908" i="4"/>
  <c r="AH908" i="4"/>
  <c r="AI908" i="4"/>
  <c r="AJ908" i="4"/>
  <c r="AD908" i="4"/>
  <c r="AG908" i="4"/>
  <c r="AF917" i="4"/>
  <c r="AG917" i="4"/>
  <c r="AH917" i="4"/>
  <c r="AI917" i="4"/>
  <c r="AJ917" i="4"/>
  <c r="AD917" i="4"/>
  <c r="AG918" i="4"/>
  <c r="AI918" i="4"/>
  <c r="AD918" i="4"/>
  <c r="AF918" i="4"/>
  <c r="AH918" i="4"/>
  <c r="AJ918" i="4"/>
  <c r="AF919" i="4"/>
  <c r="AG919" i="4"/>
  <c r="AH919" i="4"/>
  <c r="AI919" i="4"/>
  <c r="AJ919" i="4"/>
  <c r="AD919" i="4"/>
  <c r="AG920" i="4"/>
  <c r="AI920" i="4"/>
  <c r="AD920" i="4"/>
  <c r="AF920" i="4"/>
  <c r="AH920" i="4"/>
  <c r="AJ920" i="4"/>
  <c r="AG947" i="4"/>
  <c r="AH947" i="4"/>
  <c r="AJ947" i="4"/>
  <c r="AD947" i="4"/>
  <c r="AF947" i="4"/>
  <c r="AI947" i="4"/>
  <c r="AF952" i="4"/>
  <c r="AG952" i="4"/>
  <c r="AH952" i="4"/>
  <c r="AI952" i="4"/>
  <c r="AJ952" i="4"/>
  <c r="AD952" i="4"/>
  <c r="AF953" i="4"/>
  <c r="AG953" i="4"/>
  <c r="AH953" i="4"/>
  <c r="AI953" i="4"/>
  <c r="AJ953" i="4"/>
  <c r="AD953" i="4"/>
  <c r="AF960" i="4"/>
  <c r="AG960" i="4"/>
  <c r="AH960" i="4"/>
  <c r="AI960" i="4"/>
  <c r="AJ960" i="4"/>
  <c r="AD960" i="4"/>
  <c r="AF994" i="4"/>
  <c r="AG994" i="4"/>
  <c r="AH994" i="4"/>
  <c r="AI994" i="4"/>
  <c r="AJ994" i="4"/>
  <c r="AD994" i="4"/>
  <c r="AF995" i="4"/>
  <c r="AG995" i="4"/>
  <c r="AH995" i="4"/>
  <c r="AI995" i="4"/>
  <c r="AJ995" i="4"/>
  <c r="AD995" i="4"/>
  <c r="AD798" i="4"/>
  <c r="AF798" i="4"/>
  <c r="AG798" i="4"/>
  <c r="AH798" i="4"/>
  <c r="AI798" i="4"/>
  <c r="AJ798" i="4"/>
  <c r="AH805" i="4"/>
  <c r="AJ805" i="4"/>
  <c r="AG805" i="4"/>
  <c r="AD805" i="4"/>
  <c r="AF805" i="4"/>
  <c r="AI805" i="4"/>
  <c r="AH806" i="4"/>
  <c r="AD806" i="4"/>
  <c r="AF806" i="4"/>
  <c r="AG806" i="4"/>
  <c r="AI806" i="4"/>
  <c r="AJ806" i="4"/>
  <c r="AF814" i="4"/>
  <c r="AG814" i="4"/>
  <c r="AH814" i="4"/>
  <c r="AI814" i="4"/>
  <c r="AJ814" i="4"/>
  <c r="AD814" i="4"/>
  <c r="AG815" i="4"/>
  <c r="AD815" i="4"/>
  <c r="AF815" i="4"/>
  <c r="AH815" i="4"/>
  <c r="AI815" i="4"/>
  <c r="AJ815" i="4"/>
  <c r="AF816" i="4"/>
  <c r="AG816" i="4"/>
  <c r="AH816" i="4"/>
  <c r="AI816" i="4"/>
  <c r="AJ816" i="4"/>
  <c r="AD816" i="4"/>
  <c r="AG817" i="4"/>
  <c r="AI817" i="4"/>
  <c r="AJ817" i="4"/>
  <c r="AD817" i="4"/>
  <c r="AF817" i="4"/>
  <c r="AH817" i="4"/>
  <c r="AH818" i="4"/>
  <c r="AD818" i="4"/>
  <c r="AG818" i="4"/>
  <c r="AJ818" i="4"/>
  <c r="AF818" i="4"/>
  <c r="AI818" i="4"/>
  <c r="AH820" i="4"/>
  <c r="AG820" i="4"/>
  <c r="AJ820" i="4"/>
  <c r="AD820" i="4"/>
  <c r="AF820" i="4"/>
  <c r="AI820" i="4"/>
  <c r="AI821" i="4"/>
  <c r="AD821" i="4"/>
  <c r="AG821" i="4"/>
  <c r="AF821" i="4"/>
  <c r="AH821" i="4"/>
  <c r="AJ821" i="4"/>
  <c r="AG835" i="4"/>
  <c r="AI835" i="4"/>
  <c r="AD835" i="4"/>
  <c r="AF835" i="4"/>
  <c r="AH835" i="4"/>
  <c r="AJ835" i="4"/>
  <c r="AG856" i="4"/>
  <c r="AI856" i="4"/>
  <c r="AD856" i="4"/>
  <c r="AF856" i="4"/>
  <c r="AH856" i="4"/>
  <c r="AJ856" i="4"/>
  <c r="AD857" i="4"/>
  <c r="AG857" i="4"/>
  <c r="AI857" i="4"/>
  <c r="AF857" i="4"/>
  <c r="AH857" i="4"/>
  <c r="AJ857" i="4"/>
  <c r="AI858" i="4"/>
  <c r="AD858" i="4"/>
  <c r="AF858" i="4"/>
  <c r="AG858" i="4"/>
  <c r="AH858" i="4"/>
  <c r="AJ858" i="4"/>
  <c r="AG865" i="4"/>
  <c r="AI865" i="4"/>
  <c r="AD865" i="4"/>
  <c r="AF865" i="4"/>
  <c r="AH865" i="4"/>
  <c r="AJ865" i="4"/>
  <c r="AG881" i="4"/>
  <c r="AI881" i="4"/>
  <c r="AD881" i="4"/>
  <c r="AF881" i="4"/>
  <c r="AH881" i="4"/>
  <c r="AJ881" i="4"/>
  <c r="AG889" i="4"/>
  <c r="AD889" i="4"/>
  <c r="AF889" i="4"/>
  <c r="AH889" i="4"/>
  <c r="AI889" i="4"/>
  <c r="AJ889" i="4"/>
  <c r="AG891" i="4"/>
  <c r="AI891" i="4"/>
  <c r="AJ891" i="4"/>
  <c r="AD891" i="4"/>
  <c r="AF891" i="4"/>
  <c r="AH891" i="4"/>
  <c r="AH892" i="4"/>
  <c r="AJ892" i="4"/>
  <c r="AD892" i="4"/>
  <c r="AG892" i="4"/>
  <c r="AI892" i="4"/>
  <c r="AF892" i="4"/>
  <c r="AH925" i="4"/>
  <c r="AD925" i="4"/>
  <c r="AF925" i="4"/>
  <c r="AG925" i="4"/>
  <c r="AI925" i="4"/>
  <c r="AJ925" i="4"/>
  <c r="AG926" i="4"/>
  <c r="AI926" i="4"/>
  <c r="AJ926" i="4"/>
  <c r="AD926" i="4"/>
  <c r="AF926" i="4"/>
  <c r="AH926" i="4"/>
  <c r="AF927" i="4"/>
  <c r="AH927" i="4"/>
  <c r="AI927" i="4"/>
  <c r="AJ927" i="4"/>
  <c r="AD927" i="4"/>
  <c r="AG927" i="4"/>
  <c r="AG941" i="4"/>
  <c r="AD941" i="4"/>
  <c r="AF941" i="4"/>
  <c r="AH941" i="4"/>
  <c r="AI941" i="4"/>
  <c r="AJ941" i="4"/>
  <c r="AF959" i="4"/>
  <c r="AG959" i="4"/>
  <c r="AH959" i="4"/>
  <c r="AI959" i="4"/>
  <c r="AJ959" i="4"/>
  <c r="AD959" i="4"/>
  <c r="AF966" i="4"/>
  <c r="AG966" i="4"/>
  <c r="AH966" i="4"/>
  <c r="AI966" i="4"/>
  <c r="AJ966" i="4"/>
  <c r="AD966" i="4"/>
  <c r="AF967" i="4"/>
  <c r="AG967" i="4"/>
  <c r="AH967" i="4"/>
  <c r="AI967" i="4"/>
  <c r="AJ967" i="4"/>
  <c r="AD967" i="4"/>
  <c r="AH981" i="4"/>
  <c r="AJ981" i="4"/>
  <c r="AD981" i="4"/>
  <c r="AF981" i="4"/>
  <c r="AG981" i="4"/>
  <c r="AI981" i="4"/>
  <c r="AG982" i="4"/>
  <c r="AI982" i="4"/>
  <c r="AD982" i="4"/>
  <c r="AF982" i="4"/>
  <c r="AH982" i="4"/>
  <c r="AJ982" i="4"/>
  <c r="AJ997" i="4"/>
  <c r="AG997" i="4"/>
  <c r="AI997" i="4"/>
  <c r="AD997" i="4"/>
  <c r="AF997" i="4"/>
  <c r="AH997" i="4"/>
  <c r="AD1010" i="4"/>
  <c r="AF1010" i="4"/>
  <c r="AG1010" i="4"/>
  <c r="AH1010" i="4"/>
  <c r="AI1010" i="4"/>
  <c r="AJ1010" i="4"/>
  <c r="AH810" i="4"/>
  <c r="AJ810" i="4"/>
  <c r="AD810" i="4"/>
  <c r="AG810" i="4"/>
  <c r="AI810" i="4"/>
  <c r="AF810" i="4"/>
  <c r="AG811" i="4"/>
  <c r="AI811" i="4"/>
  <c r="AD811" i="4"/>
  <c r="AF811" i="4"/>
  <c r="AH811" i="4"/>
  <c r="AJ811" i="4"/>
  <c r="AG842" i="4"/>
  <c r="AI842" i="4"/>
  <c r="AD842" i="4"/>
  <c r="AF842" i="4"/>
  <c r="AH842" i="4"/>
  <c r="AJ842" i="4"/>
  <c r="AG843" i="4"/>
  <c r="AJ843" i="4"/>
  <c r="AD843" i="4"/>
  <c r="AF843" i="4"/>
  <c r="AH843" i="4"/>
  <c r="AI843" i="4"/>
  <c r="AG850" i="4"/>
  <c r="AI850" i="4"/>
  <c r="AD850" i="4"/>
  <c r="AF850" i="4"/>
  <c r="AH850" i="4"/>
  <c r="AJ850" i="4"/>
  <c r="AG852" i="4"/>
  <c r="AI852" i="4"/>
  <c r="AJ852" i="4"/>
  <c r="AD852" i="4"/>
  <c r="AF852" i="4"/>
  <c r="AH852" i="4"/>
  <c r="AG868" i="4"/>
  <c r="AI868" i="4"/>
  <c r="AD868" i="4"/>
  <c r="AF868" i="4"/>
  <c r="AH868" i="4"/>
  <c r="AJ868" i="4"/>
  <c r="AD869" i="4"/>
  <c r="AF869" i="4"/>
  <c r="AG869" i="4"/>
  <c r="AH869" i="4"/>
  <c r="AI869" i="4"/>
  <c r="AJ869" i="4"/>
  <c r="AI870" i="4"/>
  <c r="AD870" i="4"/>
  <c r="AF870" i="4"/>
  <c r="AG870" i="4"/>
  <c r="AH870" i="4"/>
  <c r="AJ870" i="4"/>
  <c r="AH886" i="4"/>
  <c r="AJ886" i="4"/>
  <c r="AD886" i="4"/>
  <c r="AF886" i="4"/>
  <c r="AG886" i="4"/>
  <c r="AI886" i="4"/>
  <c r="AF887" i="4"/>
  <c r="AG887" i="4"/>
  <c r="AH887" i="4"/>
  <c r="AI887" i="4"/>
  <c r="AJ887" i="4"/>
  <c r="AD887" i="4"/>
  <c r="AG888" i="4"/>
  <c r="AI888" i="4"/>
  <c r="AD888" i="4"/>
  <c r="AF888" i="4"/>
  <c r="AH888" i="4"/>
  <c r="AJ888" i="4"/>
  <c r="AG897" i="4"/>
  <c r="AI897" i="4"/>
  <c r="AJ897" i="4"/>
  <c r="AD897" i="4"/>
  <c r="AF897" i="4"/>
  <c r="AH897" i="4"/>
  <c r="AH898" i="4"/>
  <c r="AJ898" i="4"/>
  <c r="AF898" i="4"/>
  <c r="AG898" i="4"/>
  <c r="AI898" i="4"/>
  <c r="AD898" i="4"/>
  <c r="AF901" i="4"/>
  <c r="AI901" i="4"/>
  <c r="AD901" i="4"/>
  <c r="AG901" i="4"/>
  <c r="AH901" i="4"/>
  <c r="AJ901" i="4"/>
  <c r="AF902" i="4"/>
  <c r="AG902" i="4"/>
  <c r="AH902" i="4"/>
  <c r="AI902" i="4"/>
  <c r="AJ902" i="4"/>
  <c r="AD902" i="4"/>
  <c r="AD903" i="4"/>
  <c r="AF903" i="4"/>
  <c r="AG903" i="4"/>
  <c r="AH903" i="4"/>
  <c r="AI903" i="4"/>
  <c r="AJ903" i="4"/>
  <c r="AF910" i="4"/>
  <c r="AG910" i="4"/>
  <c r="AD910" i="4"/>
  <c r="AH910" i="4"/>
  <c r="AI910" i="4"/>
  <c r="AJ910" i="4"/>
  <c r="AH930" i="4"/>
  <c r="AD930" i="4"/>
  <c r="AF930" i="4"/>
  <c r="AG930" i="4"/>
  <c r="AI930" i="4"/>
  <c r="AJ930" i="4"/>
  <c r="AF937" i="4"/>
  <c r="AI937" i="4"/>
  <c r="AD937" i="4"/>
  <c r="AG937" i="4"/>
  <c r="AH937" i="4"/>
  <c r="AJ937" i="4"/>
  <c r="AG940" i="4"/>
  <c r="AI940" i="4"/>
  <c r="AJ940" i="4"/>
  <c r="AD940" i="4"/>
  <c r="AF940" i="4"/>
  <c r="AH940" i="4"/>
  <c r="AF942" i="4"/>
  <c r="AG942" i="4"/>
  <c r="AH942" i="4"/>
  <c r="AI942" i="4"/>
  <c r="AJ942" i="4"/>
  <c r="AD942" i="4"/>
  <c r="AG945" i="4"/>
  <c r="AI945" i="4"/>
  <c r="AD945" i="4"/>
  <c r="AF945" i="4"/>
  <c r="AH945" i="4"/>
  <c r="AJ945" i="4"/>
  <c r="AG946" i="4"/>
  <c r="AI946" i="4"/>
  <c r="AJ946" i="4"/>
  <c r="AD946" i="4"/>
  <c r="AH946" i="4"/>
  <c r="AF946" i="4"/>
  <c r="AG948" i="4"/>
  <c r="AH948" i="4"/>
  <c r="AJ948" i="4"/>
  <c r="AD948" i="4"/>
  <c r="AF948" i="4"/>
  <c r="AI948" i="4"/>
  <c r="AF949" i="4"/>
  <c r="AG949" i="4"/>
  <c r="AH949" i="4"/>
  <c r="AI949" i="4"/>
  <c r="AJ949" i="4"/>
  <c r="AD949" i="4"/>
  <c r="AF955" i="4"/>
  <c r="AG955" i="4"/>
  <c r="AH955" i="4"/>
  <c r="AI955" i="4"/>
  <c r="AJ955" i="4"/>
  <c r="AD955" i="4"/>
  <c r="AG957" i="4"/>
  <c r="AH957" i="4"/>
  <c r="AI957" i="4"/>
  <c r="AJ957" i="4"/>
  <c r="AD957" i="4"/>
  <c r="AF957" i="4"/>
  <c r="AF958" i="4"/>
  <c r="AG958" i="4"/>
  <c r="AH958" i="4"/>
  <c r="AI958" i="4"/>
  <c r="AJ958" i="4"/>
  <c r="AD958" i="4"/>
  <c r="AG965" i="4"/>
  <c r="AI965" i="4"/>
  <c r="AJ965" i="4"/>
  <c r="AD965" i="4"/>
  <c r="AF965" i="4"/>
  <c r="AH965" i="4"/>
  <c r="AF971" i="4"/>
  <c r="AG971" i="4"/>
  <c r="AH971" i="4"/>
  <c r="AI971" i="4"/>
  <c r="AJ971" i="4"/>
  <c r="AD971" i="4"/>
  <c r="AF987" i="4"/>
  <c r="AG987" i="4"/>
  <c r="AH987" i="4"/>
  <c r="AI987" i="4"/>
  <c r="AJ987" i="4"/>
  <c r="AD987" i="4"/>
  <c r="AG988" i="4"/>
  <c r="AD988" i="4"/>
  <c r="AF988" i="4"/>
  <c r="AH988" i="4"/>
  <c r="AI988" i="4"/>
  <c r="AJ988" i="4"/>
  <c r="AG799" i="4"/>
  <c r="AI799" i="4"/>
  <c r="AD799" i="4"/>
  <c r="AF799" i="4"/>
  <c r="AH799" i="4"/>
  <c r="AJ799" i="4"/>
  <c r="AG800" i="4"/>
  <c r="AD800" i="4"/>
  <c r="AF800" i="4"/>
  <c r="AH800" i="4"/>
  <c r="AI800" i="4"/>
  <c r="AJ800" i="4"/>
  <c r="AH827" i="4"/>
  <c r="AI827" i="4"/>
  <c r="AJ827" i="4"/>
  <c r="AG827" i="4"/>
  <c r="AD827" i="4"/>
  <c r="AF827" i="4"/>
  <c r="AG828" i="4"/>
  <c r="AH828" i="4"/>
  <c r="AI828" i="4"/>
  <c r="AD828" i="4"/>
  <c r="AF828" i="4"/>
  <c r="AJ828" i="4"/>
  <c r="AF829" i="4"/>
  <c r="AG829" i="4"/>
  <c r="AH829" i="4"/>
  <c r="AI829" i="4"/>
  <c r="AJ829" i="4"/>
  <c r="AD829" i="4"/>
  <c r="AF861" i="4"/>
  <c r="AG861" i="4"/>
  <c r="AH861" i="4"/>
  <c r="AI861" i="4"/>
  <c r="AJ861" i="4"/>
  <c r="AD861" i="4"/>
  <c r="AF877" i="4"/>
  <c r="AH877" i="4"/>
  <c r="AD877" i="4"/>
  <c r="AG877" i="4"/>
  <c r="AI877" i="4"/>
  <c r="AJ877" i="4"/>
  <c r="AG878" i="4"/>
  <c r="AI878" i="4"/>
  <c r="AD878" i="4"/>
  <c r="AF878" i="4"/>
  <c r="AH878" i="4"/>
  <c r="AJ878" i="4"/>
  <c r="AF893" i="4"/>
  <c r="AG893" i="4"/>
  <c r="AH893" i="4"/>
  <c r="AI893" i="4"/>
  <c r="AJ893" i="4"/>
  <c r="AD893" i="4"/>
  <c r="AF909" i="4"/>
  <c r="AG909" i="4"/>
  <c r="AH909" i="4"/>
  <c r="AI909" i="4"/>
  <c r="AJ909" i="4"/>
  <c r="AD909" i="4"/>
  <c r="AF928" i="4"/>
  <c r="AH928" i="4"/>
  <c r="AI928" i="4"/>
  <c r="AJ928" i="4"/>
  <c r="AD928" i="4"/>
  <c r="AG928" i="4"/>
  <c r="AI929" i="4"/>
  <c r="AD929" i="4"/>
  <c r="AF929" i="4"/>
  <c r="AG929" i="4"/>
  <c r="AH929" i="4"/>
  <c r="AJ929" i="4"/>
  <c r="AG943" i="4"/>
  <c r="AI943" i="4"/>
  <c r="AD943" i="4"/>
  <c r="AF943" i="4"/>
  <c r="AH943" i="4"/>
  <c r="AJ943" i="4"/>
  <c r="AG944" i="4"/>
  <c r="AJ944" i="4"/>
  <c r="AD944" i="4"/>
  <c r="AF944" i="4"/>
  <c r="AH944" i="4"/>
  <c r="AI944" i="4"/>
  <c r="AF972" i="4"/>
  <c r="AG972" i="4"/>
  <c r="AH972" i="4"/>
  <c r="AI972" i="4"/>
  <c r="AJ972" i="4"/>
  <c r="AD972" i="4"/>
  <c r="AF973" i="4"/>
  <c r="AG973" i="4"/>
  <c r="AH973" i="4"/>
  <c r="AI973" i="4"/>
  <c r="AJ973" i="4"/>
  <c r="AD973" i="4"/>
  <c r="AF974" i="4"/>
  <c r="AI974" i="4"/>
  <c r="AD974" i="4"/>
  <c r="AG974" i="4"/>
  <c r="AH974" i="4"/>
  <c r="AJ974" i="4"/>
  <c r="AG998" i="4"/>
  <c r="AI998" i="4"/>
  <c r="AD998" i="4"/>
  <c r="AF998" i="4"/>
  <c r="AH998" i="4"/>
  <c r="AJ998" i="4"/>
  <c r="AF999" i="4"/>
  <c r="AI999" i="4"/>
  <c r="AD999" i="4"/>
  <c r="AG999" i="4"/>
  <c r="AH999" i="4"/>
  <c r="AJ999" i="4"/>
  <c r="AF1000" i="4"/>
  <c r="AI1000" i="4"/>
  <c r="AD1000" i="4"/>
  <c r="AG1000" i="4"/>
  <c r="AH1000" i="4"/>
  <c r="AJ1000" i="4"/>
  <c r="AH796" i="4"/>
  <c r="AJ796" i="4"/>
  <c r="AF796" i="4"/>
  <c r="AG796" i="4"/>
  <c r="AI796" i="4"/>
  <c r="AD796" i="4"/>
  <c r="AH797" i="4"/>
  <c r="AF797" i="4"/>
  <c r="AJ797" i="4"/>
  <c r="AD797" i="4"/>
  <c r="AG797" i="4"/>
  <c r="AI797" i="4"/>
  <c r="AG823" i="4"/>
  <c r="AI823" i="4"/>
  <c r="AD823" i="4"/>
  <c r="AF823" i="4"/>
  <c r="AH823" i="4"/>
  <c r="AJ823" i="4"/>
  <c r="AG830" i="4"/>
  <c r="AI830" i="4"/>
  <c r="AJ830" i="4"/>
  <c r="AD830" i="4"/>
  <c r="AF830" i="4"/>
  <c r="AH830" i="4"/>
  <c r="AG846" i="4"/>
  <c r="AH846" i="4"/>
  <c r="AJ846" i="4"/>
  <c r="AD846" i="4"/>
  <c r="AF846" i="4"/>
  <c r="AI846" i="4"/>
  <c r="AH847" i="4"/>
  <c r="AJ847" i="4"/>
  <c r="AD847" i="4"/>
  <c r="AF847" i="4"/>
  <c r="AG847" i="4"/>
  <c r="AI847" i="4"/>
  <c r="AG855" i="4"/>
  <c r="AD855" i="4"/>
  <c r="AF855" i="4"/>
  <c r="AH855" i="4"/>
  <c r="AI855" i="4"/>
  <c r="AJ855" i="4"/>
  <c r="AG859" i="4"/>
  <c r="AI859" i="4"/>
  <c r="AJ859" i="4"/>
  <c r="AD859" i="4"/>
  <c r="AF859" i="4"/>
  <c r="AH859" i="4"/>
  <c r="AH873" i="4"/>
  <c r="AD873" i="4"/>
  <c r="AF873" i="4"/>
  <c r="AJ873" i="4"/>
  <c r="AG873" i="4"/>
  <c r="AI873" i="4"/>
  <c r="AG874" i="4"/>
  <c r="AH874" i="4"/>
  <c r="AI874" i="4"/>
  <c r="AJ874" i="4"/>
  <c r="AF874" i="4"/>
  <c r="AD874" i="4"/>
  <c r="AG875" i="4"/>
  <c r="AI875" i="4"/>
  <c r="AD875" i="4"/>
  <c r="AF875" i="4"/>
  <c r="AH875" i="4"/>
  <c r="AJ875" i="4"/>
  <c r="AH876" i="4"/>
  <c r="AJ876" i="4"/>
  <c r="AD876" i="4"/>
  <c r="AF876" i="4"/>
  <c r="AG876" i="4"/>
  <c r="AI876" i="4"/>
  <c r="AG883" i="4"/>
  <c r="AI883" i="4"/>
  <c r="AD883" i="4"/>
  <c r="AF883" i="4"/>
  <c r="AH883" i="4"/>
  <c r="AJ883" i="4"/>
  <c r="AG885" i="4"/>
  <c r="AI885" i="4"/>
  <c r="AD885" i="4"/>
  <c r="AF885" i="4"/>
  <c r="AH885" i="4"/>
  <c r="AJ885" i="4"/>
  <c r="AH894" i="4"/>
  <c r="AJ894" i="4"/>
  <c r="AD894" i="4"/>
  <c r="AF894" i="4"/>
  <c r="AG894" i="4"/>
  <c r="AI894" i="4"/>
  <c r="AG895" i="4"/>
  <c r="AI895" i="4"/>
  <c r="AJ895" i="4"/>
  <c r="AD895" i="4"/>
  <c r="AF895" i="4"/>
  <c r="AH895" i="4"/>
  <c r="AG899" i="4"/>
  <c r="AI899" i="4"/>
  <c r="AD899" i="4"/>
  <c r="AF899" i="4"/>
  <c r="AH899" i="4"/>
  <c r="AJ899" i="4"/>
  <c r="AG900" i="4"/>
  <c r="AH900" i="4"/>
  <c r="AJ900" i="4"/>
  <c r="AD900" i="4"/>
  <c r="AF900" i="4"/>
  <c r="AI900" i="4"/>
  <c r="AG921" i="4"/>
  <c r="AI921" i="4"/>
  <c r="AJ921" i="4"/>
  <c r="AD921" i="4"/>
  <c r="AF921" i="4"/>
  <c r="AH921" i="4"/>
  <c r="AD935" i="4"/>
  <c r="AF935" i="4"/>
  <c r="AG935" i="4"/>
  <c r="AH935" i="4"/>
  <c r="AI935" i="4"/>
  <c r="AJ935" i="4"/>
  <c r="AG954" i="4"/>
  <c r="AH954" i="4"/>
  <c r="AI954" i="4"/>
  <c r="AJ954" i="4"/>
  <c r="AD954" i="4"/>
  <c r="AF954" i="4"/>
  <c r="AF961" i="4"/>
  <c r="AG961" i="4"/>
  <c r="AH961" i="4"/>
  <c r="AI961" i="4"/>
  <c r="AJ961" i="4"/>
  <c r="AD961" i="4"/>
  <c r="AG962" i="4"/>
  <c r="AH962" i="4"/>
  <c r="AJ962" i="4"/>
  <c r="AD962" i="4"/>
  <c r="AF962" i="4"/>
  <c r="AI962" i="4"/>
  <c r="AI963" i="4"/>
  <c r="AJ963" i="4"/>
  <c r="AD963" i="4"/>
  <c r="AF963" i="4"/>
  <c r="AG963" i="4"/>
  <c r="AH963" i="4"/>
  <c r="AG970" i="4"/>
  <c r="AI970" i="4"/>
  <c r="AJ970" i="4"/>
  <c r="AD970" i="4"/>
  <c r="AF970" i="4"/>
  <c r="AH970" i="4"/>
  <c r="AF977" i="4"/>
  <c r="AG977" i="4"/>
  <c r="AH977" i="4"/>
  <c r="AI977" i="4"/>
  <c r="AJ977" i="4"/>
  <c r="AD977" i="4"/>
  <c r="AF978" i="4"/>
  <c r="AG978" i="4"/>
  <c r="AH978" i="4"/>
  <c r="AI978" i="4"/>
  <c r="AJ978" i="4"/>
  <c r="AD978" i="4"/>
  <c r="AG979" i="4"/>
  <c r="AI979" i="4"/>
  <c r="AD979" i="4"/>
  <c r="AF979" i="4"/>
  <c r="AH979" i="4"/>
  <c r="AJ979" i="4"/>
  <c r="AI1001" i="4"/>
  <c r="AF1001" i="4"/>
  <c r="AH1001" i="4"/>
  <c r="AJ1001" i="4"/>
  <c r="AD1001" i="4"/>
  <c r="AG1001" i="4"/>
  <c r="AF1002" i="4"/>
  <c r="AG1002" i="4"/>
  <c r="AH1002" i="4"/>
  <c r="AI1002" i="4"/>
  <c r="AJ1002" i="4"/>
  <c r="AD1002" i="4"/>
  <c r="AG807" i="4"/>
  <c r="AI807" i="4"/>
  <c r="AD807" i="4"/>
  <c r="AF807" i="4"/>
  <c r="AH807" i="4"/>
  <c r="AJ807" i="4"/>
  <c r="AF808" i="4"/>
  <c r="AG808" i="4"/>
  <c r="AH808" i="4"/>
  <c r="AI808" i="4"/>
  <c r="AJ808" i="4"/>
  <c r="AD808" i="4"/>
  <c r="AF809" i="4"/>
  <c r="AH809" i="4"/>
  <c r="AI809" i="4"/>
  <c r="AJ809" i="4"/>
  <c r="AD809" i="4"/>
  <c r="AG809" i="4"/>
  <c r="AG819" i="4"/>
  <c r="AI819" i="4"/>
  <c r="AF819" i="4"/>
  <c r="AH819" i="4"/>
  <c r="AJ819" i="4"/>
  <c r="AD819" i="4"/>
  <c r="AG825" i="4"/>
  <c r="AI825" i="4"/>
  <c r="AD825" i="4"/>
  <c r="AF825" i="4"/>
  <c r="AH825" i="4"/>
  <c r="AJ825" i="4"/>
  <c r="AH826" i="4"/>
  <c r="AI826" i="4"/>
  <c r="AF826" i="4"/>
  <c r="AD826" i="4"/>
  <c r="AG826" i="4"/>
  <c r="AJ826" i="4"/>
  <c r="AF834" i="4"/>
  <c r="AG834" i="4"/>
  <c r="AI834" i="4"/>
  <c r="AJ834" i="4"/>
  <c r="AD834" i="4"/>
  <c r="AH834" i="4"/>
  <c r="AH845" i="4"/>
  <c r="AD845" i="4"/>
  <c r="AF845" i="4"/>
  <c r="AG845" i="4"/>
  <c r="AI845" i="4"/>
  <c r="AJ845" i="4"/>
  <c r="AG853" i="4"/>
  <c r="AI853" i="4"/>
  <c r="AD853" i="4"/>
  <c r="AF853" i="4"/>
  <c r="AH853" i="4"/>
  <c r="AJ853" i="4"/>
  <c r="AG860" i="4"/>
  <c r="AI860" i="4"/>
  <c r="AD860" i="4"/>
  <c r="AF860" i="4"/>
  <c r="AH860" i="4"/>
  <c r="AJ860" i="4"/>
  <c r="AG911" i="4"/>
  <c r="AI911" i="4"/>
  <c r="AD911" i="4"/>
  <c r="AF911" i="4"/>
  <c r="AH911" i="4"/>
  <c r="AJ911" i="4"/>
  <c r="AG912" i="4"/>
  <c r="AI912" i="4"/>
  <c r="AD912" i="4"/>
  <c r="AF912" i="4"/>
  <c r="AH912" i="4"/>
  <c r="AJ912" i="4"/>
  <c r="AG915" i="4"/>
  <c r="AI915" i="4"/>
  <c r="AD915" i="4"/>
  <c r="AF915" i="4"/>
  <c r="AH915" i="4"/>
  <c r="AJ915" i="4"/>
  <c r="AG916" i="4"/>
  <c r="AI916" i="4"/>
  <c r="AD916" i="4"/>
  <c r="AF916" i="4"/>
  <c r="AH916" i="4"/>
  <c r="AJ916" i="4"/>
  <c r="AF922" i="4"/>
  <c r="AG922" i="4"/>
  <c r="AH922" i="4"/>
  <c r="AI922" i="4"/>
  <c r="AJ922" i="4"/>
  <c r="AD922" i="4"/>
  <c r="AF923" i="4"/>
  <c r="AG923" i="4"/>
  <c r="AH923" i="4"/>
  <c r="AI923" i="4"/>
  <c r="AJ923" i="4"/>
  <c r="AD923" i="4"/>
  <c r="AF931" i="4"/>
  <c r="AG931" i="4"/>
  <c r="AH931" i="4"/>
  <c r="AI931" i="4"/>
  <c r="AJ931" i="4"/>
  <c r="AD931" i="4"/>
  <c r="AH933" i="4"/>
  <c r="AJ933" i="4"/>
  <c r="AD933" i="4"/>
  <c r="AG933" i="4"/>
  <c r="AF933" i="4"/>
  <c r="AI933" i="4"/>
  <c r="AH934" i="4"/>
  <c r="AJ934" i="4"/>
  <c r="AD934" i="4"/>
  <c r="AF934" i="4"/>
  <c r="AG934" i="4"/>
  <c r="AI934" i="4"/>
  <c r="AF936" i="4"/>
  <c r="AH936" i="4"/>
  <c r="AI936" i="4"/>
  <c r="AJ936" i="4"/>
  <c r="AD936" i="4"/>
  <c r="AG936" i="4"/>
  <c r="AF956" i="4"/>
  <c r="AH956" i="4"/>
  <c r="AJ956" i="4"/>
  <c r="AD956" i="4"/>
  <c r="AG956" i="4"/>
  <c r="AI956" i="4"/>
  <c r="AF968" i="4"/>
  <c r="AG968" i="4"/>
  <c r="AH968" i="4"/>
  <c r="AI968" i="4"/>
  <c r="AJ968" i="4"/>
  <c r="AD968" i="4"/>
  <c r="AG969" i="4"/>
  <c r="AI969" i="4"/>
  <c r="AD969" i="4"/>
  <c r="AF969" i="4"/>
  <c r="AH969" i="4"/>
  <c r="AJ969" i="4"/>
  <c r="AF976" i="4"/>
  <c r="AG976" i="4"/>
  <c r="AH976" i="4"/>
  <c r="AI976" i="4"/>
  <c r="AJ976" i="4"/>
  <c r="AD976" i="4"/>
  <c r="AF983" i="4"/>
  <c r="AG983" i="4"/>
  <c r="AH983" i="4"/>
  <c r="AI983" i="4"/>
  <c r="AJ983" i="4"/>
  <c r="AD983" i="4"/>
  <c r="AH984" i="4"/>
  <c r="AD984" i="4"/>
  <c r="AF984" i="4"/>
  <c r="AG984" i="4"/>
  <c r="AI984" i="4"/>
  <c r="AJ984" i="4"/>
  <c r="AG991" i="4"/>
  <c r="AH991" i="4"/>
  <c r="AJ991" i="4"/>
  <c r="AD991" i="4"/>
  <c r="AF991" i="4"/>
  <c r="AI991" i="4"/>
  <c r="AG1007" i="4"/>
  <c r="AI1007" i="4"/>
  <c r="AD1007" i="4"/>
  <c r="AF1007" i="4"/>
  <c r="AH1007" i="4"/>
  <c r="AJ1007" i="4"/>
  <c r="AG803" i="4"/>
  <c r="AJ803" i="4"/>
  <c r="AD803" i="4"/>
  <c r="AF803" i="4"/>
  <c r="AH803" i="4"/>
  <c r="AI803" i="4"/>
  <c r="AG854" i="4"/>
  <c r="AH854" i="4"/>
  <c r="AI854" i="4"/>
  <c r="AJ854" i="4"/>
  <c r="AD854" i="4"/>
  <c r="AF854" i="4"/>
  <c r="AF862" i="4"/>
  <c r="AG862" i="4"/>
  <c r="AH862" i="4"/>
  <c r="AI862" i="4"/>
  <c r="AJ862" i="4"/>
  <c r="AD862" i="4"/>
  <c r="AF871" i="4"/>
  <c r="AG871" i="4"/>
  <c r="AH871" i="4"/>
  <c r="AI871" i="4"/>
  <c r="AJ871" i="4"/>
  <c r="AD871" i="4"/>
  <c r="AH872" i="4"/>
  <c r="AD872" i="4"/>
  <c r="AF872" i="4"/>
  <c r="AG872" i="4"/>
  <c r="AI872" i="4"/>
  <c r="AJ872" i="4"/>
  <c r="AF904" i="4"/>
  <c r="AG904" i="4"/>
  <c r="AI904" i="4"/>
  <c r="AJ904" i="4"/>
  <c r="AD904" i="4"/>
  <c r="AH904" i="4"/>
  <c r="AF905" i="4"/>
  <c r="AH905" i="4"/>
  <c r="AI905" i="4"/>
  <c r="AJ905" i="4"/>
  <c r="AD905" i="4"/>
  <c r="AG905" i="4"/>
  <c r="AG913" i="4"/>
  <c r="AI913" i="4"/>
  <c r="AD913" i="4"/>
  <c r="AF913" i="4"/>
  <c r="AH913" i="4"/>
  <c r="AJ913" i="4"/>
  <c r="AF924" i="4"/>
  <c r="AG924" i="4"/>
  <c r="AH924" i="4"/>
  <c r="AI924" i="4"/>
  <c r="AJ924" i="4"/>
  <c r="AD924" i="4"/>
  <c r="AF938" i="4"/>
  <c r="AH938" i="4"/>
  <c r="AI938" i="4"/>
  <c r="AJ938" i="4"/>
  <c r="AD938" i="4"/>
  <c r="AG938" i="4"/>
  <c r="AF950" i="4"/>
  <c r="AG950" i="4"/>
  <c r="AH950" i="4"/>
  <c r="AI950" i="4"/>
  <c r="AJ950" i="4"/>
  <c r="AD950" i="4"/>
  <c r="AG951" i="4"/>
  <c r="AJ951" i="4"/>
  <c r="AD951" i="4"/>
  <c r="AF951" i="4"/>
  <c r="AH951" i="4"/>
  <c r="AI951" i="4"/>
  <c r="AF964" i="4"/>
  <c r="AH964" i="4"/>
  <c r="AI964" i="4"/>
  <c r="AJ964" i="4"/>
  <c r="AD964" i="4"/>
  <c r="AG964" i="4"/>
  <c r="AD975" i="4"/>
  <c r="AF975" i="4"/>
  <c r="AG975" i="4"/>
  <c r="AH975" i="4"/>
  <c r="AI975" i="4"/>
  <c r="AJ975" i="4"/>
  <c r="AG980" i="4"/>
  <c r="AH980" i="4"/>
  <c r="AJ980" i="4"/>
  <c r="AD980" i="4"/>
  <c r="AF980" i="4"/>
  <c r="AI980" i="4"/>
  <c r="AG989" i="4"/>
  <c r="AI989" i="4"/>
  <c r="AF989" i="4"/>
  <c r="AH989" i="4"/>
  <c r="AJ989" i="4"/>
  <c r="AD989" i="4"/>
  <c r="AG990" i="4"/>
  <c r="AH990" i="4"/>
  <c r="AJ990" i="4"/>
  <c r="AD990" i="4"/>
  <c r="AF990" i="4"/>
  <c r="AI990" i="4"/>
  <c r="AG996" i="4"/>
  <c r="AI996" i="4"/>
  <c r="AD996" i="4"/>
  <c r="AF996" i="4"/>
  <c r="AH996" i="4"/>
  <c r="AJ996" i="4"/>
  <c r="AF1003" i="4"/>
  <c r="AG1003" i="4"/>
  <c r="AH1003" i="4"/>
  <c r="AI1003" i="4"/>
  <c r="AJ1003" i="4"/>
  <c r="AD1003" i="4"/>
  <c r="AG1008" i="4"/>
  <c r="AJ1008" i="4"/>
  <c r="AD1008" i="4"/>
  <c r="AF1008" i="4"/>
  <c r="AH1008" i="4"/>
  <c r="AI1008" i="4"/>
  <c r="AF11" i="4"/>
  <c r="AG11" i="4"/>
  <c r="AH11" i="4"/>
  <c r="AI11" i="4"/>
  <c r="AJ11" i="4"/>
  <c r="AD11" i="4"/>
  <c r="Y12" i="4"/>
  <c r="Z12" i="4"/>
  <c r="AA12" i="4"/>
  <c r="AB12" i="4"/>
  <c r="W12" i="4"/>
  <c r="Y13" i="4"/>
  <c r="Z13" i="4"/>
  <c r="AA13" i="4"/>
  <c r="AB13" i="4"/>
  <c r="W13" i="4"/>
  <c r="Y14" i="4"/>
  <c r="Z14" i="4"/>
  <c r="AA14" i="4"/>
  <c r="AB14" i="4"/>
  <c r="W14" i="4"/>
  <c r="Y15" i="4"/>
  <c r="Z15" i="4"/>
  <c r="AA15" i="4"/>
  <c r="AB15" i="4"/>
  <c r="W15" i="4"/>
  <c r="Y16" i="4"/>
  <c r="Z16" i="4"/>
  <c r="AA16" i="4"/>
  <c r="AB16" i="4"/>
  <c r="W16" i="4"/>
  <c r="Y17" i="4"/>
  <c r="Z17" i="4"/>
  <c r="AA17" i="4"/>
  <c r="AB17" i="4"/>
  <c r="W17" i="4"/>
  <c r="Y18" i="4"/>
  <c r="Z18" i="4"/>
  <c r="AA18" i="4"/>
  <c r="AB18" i="4"/>
  <c r="W18" i="4"/>
  <c r="Y19" i="4"/>
  <c r="Z19" i="4"/>
  <c r="AA19" i="4"/>
  <c r="AB19" i="4"/>
  <c r="W19" i="4"/>
  <c r="Y20" i="4"/>
  <c r="Z20" i="4"/>
  <c r="AA20" i="4"/>
  <c r="AB20" i="4"/>
  <c r="W20" i="4"/>
  <c r="Y21" i="4"/>
  <c r="Z21" i="4"/>
  <c r="AA21" i="4"/>
  <c r="AB21" i="4"/>
  <c r="W21" i="4"/>
  <c r="Y22" i="4"/>
  <c r="Z22" i="4"/>
  <c r="AA22" i="4"/>
  <c r="AB22" i="4"/>
  <c r="W22" i="4"/>
  <c r="Y23" i="4"/>
  <c r="Z23" i="4"/>
  <c r="AA23" i="4"/>
  <c r="AB23" i="4"/>
  <c r="W23" i="4"/>
  <c r="Y24" i="4"/>
  <c r="Z24" i="4"/>
  <c r="AA24" i="4"/>
  <c r="AB24" i="4"/>
  <c r="W24" i="4"/>
  <c r="Y25" i="4"/>
  <c r="Z25" i="4"/>
  <c r="AA25" i="4"/>
  <c r="AB25" i="4"/>
  <c r="W25" i="4"/>
  <c r="Y26" i="4"/>
  <c r="Z26" i="4"/>
  <c r="AA26" i="4"/>
  <c r="AB26" i="4"/>
  <c r="W26" i="4"/>
  <c r="Y27" i="4"/>
  <c r="Z27" i="4"/>
  <c r="AA27" i="4"/>
  <c r="AB27" i="4"/>
  <c r="W27" i="4"/>
  <c r="Y28" i="4"/>
  <c r="Z28" i="4"/>
  <c r="AA28" i="4"/>
  <c r="AB28" i="4"/>
  <c r="W28" i="4"/>
  <c r="Y29" i="4"/>
  <c r="Z29" i="4"/>
  <c r="AA29" i="4"/>
  <c r="AB29" i="4"/>
  <c r="W29" i="4"/>
  <c r="Y30" i="4"/>
  <c r="Z30" i="4"/>
  <c r="AA30" i="4"/>
  <c r="AB30" i="4"/>
  <c r="W30" i="4"/>
  <c r="Y31" i="4"/>
  <c r="Z31" i="4"/>
  <c r="AA31" i="4"/>
  <c r="AB31" i="4"/>
  <c r="W31" i="4"/>
  <c r="Y32" i="4"/>
  <c r="Z32" i="4"/>
  <c r="AA32" i="4"/>
  <c r="AB32" i="4"/>
  <c r="W32" i="4"/>
  <c r="Y33" i="4"/>
  <c r="Z33" i="4"/>
  <c r="AA33" i="4"/>
  <c r="AB33" i="4"/>
  <c r="W33" i="4"/>
  <c r="Y34" i="4"/>
  <c r="Z34" i="4"/>
  <c r="AA34" i="4"/>
  <c r="AB34" i="4"/>
  <c r="W34" i="4"/>
  <c r="Y35" i="4"/>
  <c r="Z35" i="4"/>
  <c r="AA35" i="4"/>
  <c r="AB35" i="4"/>
  <c r="W35" i="4"/>
  <c r="Y36" i="4"/>
  <c r="Z36" i="4"/>
  <c r="AA36" i="4"/>
  <c r="AB36" i="4"/>
  <c r="W36" i="4"/>
  <c r="Y37" i="4"/>
  <c r="Z37" i="4"/>
  <c r="AA37" i="4"/>
  <c r="AB37" i="4"/>
  <c r="W37" i="4"/>
  <c r="Y38" i="4"/>
  <c r="Z38" i="4"/>
  <c r="AA38" i="4"/>
  <c r="AB38" i="4"/>
  <c r="W38" i="4"/>
  <c r="Y39" i="4"/>
  <c r="Z39" i="4"/>
  <c r="AA39" i="4"/>
  <c r="AB39" i="4"/>
  <c r="W39" i="4"/>
  <c r="Y40" i="4"/>
  <c r="Z40" i="4"/>
  <c r="AA40" i="4"/>
  <c r="AB40" i="4"/>
  <c r="W40" i="4"/>
  <c r="Y41" i="4"/>
  <c r="Z41" i="4"/>
  <c r="AA41" i="4"/>
  <c r="AB41" i="4"/>
  <c r="W41" i="4"/>
  <c r="Y42" i="4"/>
  <c r="Z42" i="4"/>
  <c r="AA42" i="4"/>
  <c r="AB42" i="4"/>
  <c r="W42" i="4"/>
  <c r="Y43" i="4"/>
  <c r="Z43" i="4"/>
  <c r="AA43" i="4"/>
  <c r="AB43" i="4"/>
  <c r="W43" i="4"/>
  <c r="Y44" i="4"/>
  <c r="Z44" i="4"/>
  <c r="AA44" i="4"/>
  <c r="AB44" i="4"/>
  <c r="W44" i="4"/>
  <c r="Y45" i="4"/>
  <c r="Z45" i="4"/>
  <c r="AA45" i="4"/>
  <c r="AB45" i="4"/>
  <c r="W45" i="4"/>
  <c r="Y46" i="4"/>
  <c r="Z46" i="4"/>
  <c r="AA46" i="4"/>
  <c r="AB46" i="4"/>
  <c r="W46" i="4"/>
  <c r="Y47" i="4"/>
  <c r="Z47" i="4"/>
  <c r="AA47" i="4"/>
  <c r="AB47" i="4"/>
  <c r="W47" i="4"/>
  <c r="Y48" i="4"/>
  <c r="Z48" i="4"/>
  <c r="AA48" i="4"/>
  <c r="AB48" i="4"/>
  <c r="W48" i="4"/>
  <c r="Y49" i="4"/>
  <c r="Z49" i="4"/>
  <c r="AA49" i="4"/>
  <c r="AB49" i="4"/>
  <c r="W49" i="4"/>
  <c r="Y50" i="4"/>
  <c r="Z50" i="4"/>
  <c r="AA50" i="4"/>
  <c r="AB50" i="4"/>
  <c r="W50" i="4"/>
  <c r="Y51" i="4"/>
  <c r="Z51" i="4"/>
  <c r="AA51" i="4"/>
  <c r="AB51" i="4"/>
  <c r="W51" i="4"/>
  <c r="Y52" i="4"/>
  <c r="Z52" i="4"/>
  <c r="AA52" i="4"/>
  <c r="AB52" i="4"/>
  <c r="W52" i="4"/>
  <c r="Y53" i="4"/>
  <c r="Z53" i="4"/>
  <c r="AA53" i="4"/>
  <c r="AB53" i="4"/>
  <c r="W53" i="4"/>
  <c r="Y54" i="4"/>
  <c r="Z54" i="4"/>
  <c r="AA54" i="4"/>
  <c r="AB54" i="4"/>
  <c r="W54" i="4"/>
  <c r="Y55" i="4"/>
  <c r="Z55" i="4"/>
  <c r="AA55" i="4"/>
  <c r="AB55" i="4"/>
  <c r="W55" i="4"/>
  <c r="Y56" i="4"/>
  <c r="Z56" i="4"/>
  <c r="AA56" i="4"/>
  <c r="AB56" i="4"/>
  <c r="W56" i="4"/>
  <c r="Y57" i="4"/>
  <c r="Z57" i="4"/>
  <c r="AA57" i="4"/>
  <c r="AB57" i="4"/>
  <c r="W57" i="4"/>
  <c r="Y58" i="4"/>
  <c r="Z58" i="4"/>
  <c r="AA58" i="4"/>
  <c r="AB58" i="4"/>
  <c r="W58" i="4"/>
  <c r="Y59" i="4"/>
  <c r="Z59" i="4"/>
  <c r="AA59" i="4"/>
  <c r="AB59" i="4"/>
  <c r="W59" i="4"/>
  <c r="Y60" i="4"/>
  <c r="Z60" i="4"/>
  <c r="AA60" i="4"/>
  <c r="AB60" i="4"/>
  <c r="W60" i="4"/>
  <c r="Y61" i="4"/>
  <c r="Z61" i="4"/>
  <c r="AA61" i="4"/>
  <c r="AB61" i="4"/>
  <c r="W61" i="4"/>
  <c r="Y62" i="4"/>
  <c r="Z62" i="4"/>
  <c r="AA62" i="4"/>
  <c r="AB62" i="4"/>
  <c r="W62" i="4"/>
  <c r="Y63" i="4"/>
  <c r="Z63" i="4"/>
  <c r="AA63" i="4"/>
  <c r="AB63" i="4"/>
  <c r="W63" i="4"/>
  <c r="Y64" i="4"/>
  <c r="Z64" i="4"/>
  <c r="AA64" i="4"/>
  <c r="AB64" i="4"/>
  <c r="W64" i="4"/>
  <c r="Y65" i="4"/>
  <c r="Z65" i="4"/>
  <c r="AA65" i="4"/>
  <c r="AB65" i="4"/>
  <c r="W65" i="4"/>
  <c r="Y66" i="4"/>
  <c r="Z66" i="4"/>
  <c r="AA66" i="4"/>
  <c r="AB66" i="4"/>
  <c r="W66" i="4"/>
  <c r="Y67" i="4"/>
  <c r="Z67" i="4"/>
  <c r="AA67" i="4"/>
  <c r="AB67" i="4"/>
  <c r="W67" i="4"/>
  <c r="Y68" i="4"/>
  <c r="Z68" i="4"/>
  <c r="AA68" i="4"/>
  <c r="AB68" i="4"/>
  <c r="W68" i="4"/>
  <c r="Y69" i="4"/>
  <c r="Z69" i="4"/>
  <c r="AA69" i="4"/>
  <c r="AB69" i="4"/>
  <c r="W69" i="4"/>
  <c r="Y70" i="4"/>
  <c r="Z70" i="4"/>
  <c r="AA70" i="4"/>
  <c r="AB70" i="4"/>
  <c r="W70" i="4"/>
  <c r="Y71" i="4"/>
  <c r="Z71" i="4"/>
  <c r="AA71" i="4"/>
  <c r="AB71" i="4"/>
  <c r="W71" i="4"/>
  <c r="Y72" i="4"/>
  <c r="Z72" i="4"/>
  <c r="AA72" i="4"/>
  <c r="AB72" i="4"/>
  <c r="W72" i="4"/>
  <c r="Y73" i="4"/>
  <c r="Z73" i="4"/>
  <c r="AA73" i="4"/>
  <c r="AB73" i="4"/>
  <c r="W73" i="4"/>
  <c r="Y74" i="4"/>
  <c r="Z74" i="4"/>
  <c r="AA74" i="4"/>
  <c r="AB74" i="4"/>
  <c r="W74" i="4"/>
  <c r="Y75" i="4"/>
  <c r="Z75" i="4"/>
  <c r="AA75" i="4"/>
  <c r="AB75" i="4"/>
  <c r="W75" i="4"/>
  <c r="Y76" i="4"/>
  <c r="Z76" i="4"/>
  <c r="AA76" i="4"/>
  <c r="AB76" i="4"/>
  <c r="W76" i="4"/>
  <c r="Y77" i="4"/>
  <c r="Z77" i="4"/>
  <c r="AA77" i="4"/>
  <c r="AB77" i="4"/>
  <c r="W77" i="4"/>
  <c r="Y78" i="4"/>
  <c r="Z78" i="4"/>
  <c r="AA78" i="4"/>
  <c r="AB78" i="4"/>
  <c r="W78" i="4"/>
  <c r="Y79" i="4"/>
  <c r="Z79" i="4"/>
  <c r="AA79" i="4"/>
  <c r="AB79" i="4"/>
  <c r="W79" i="4"/>
  <c r="Y80" i="4"/>
  <c r="Z80" i="4"/>
  <c r="AA80" i="4"/>
  <c r="AB80" i="4"/>
  <c r="W80" i="4"/>
  <c r="Y81" i="4"/>
  <c r="Z81" i="4"/>
  <c r="AA81" i="4"/>
  <c r="AB81" i="4"/>
  <c r="W81" i="4"/>
  <c r="Y82" i="4"/>
  <c r="Z82" i="4"/>
  <c r="AA82" i="4"/>
  <c r="AB82" i="4"/>
  <c r="W82" i="4"/>
  <c r="Y83" i="4"/>
  <c r="Z83" i="4"/>
  <c r="AA83" i="4"/>
  <c r="AB83" i="4"/>
  <c r="W83" i="4"/>
  <c r="Y84" i="4"/>
  <c r="Z84" i="4"/>
  <c r="AA84" i="4"/>
  <c r="AB84" i="4"/>
  <c r="W84" i="4"/>
  <c r="Y85" i="4"/>
  <c r="Z85" i="4"/>
  <c r="AA85" i="4"/>
  <c r="AB85" i="4"/>
  <c r="W85" i="4"/>
  <c r="Y86" i="4"/>
  <c r="Z86" i="4"/>
  <c r="AA86" i="4"/>
  <c r="AB86" i="4"/>
  <c r="W86" i="4"/>
  <c r="Y87" i="4"/>
  <c r="Z87" i="4"/>
  <c r="AA87" i="4"/>
  <c r="AB87" i="4"/>
  <c r="W87" i="4"/>
  <c r="Y88" i="4"/>
  <c r="Z88" i="4"/>
  <c r="AA88" i="4"/>
  <c r="AB88" i="4"/>
  <c r="W88" i="4"/>
  <c r="Y89" i="4"/>
  <c r="Z89" i="4"/>
  <c r="AA89" i="4"/>
  <c r="AB89" i="4"/>
  <c r="W89" i="4"/>
  <c r="Y90" i="4"/>
  <c r="Z90" i="4"/>
  <c r="AA90" i="4"/>
  <c r="AB90" i="4"/>
  <c r="W90" i="4"/>
  <c r="Y91" i="4"/>
  <c r="Z91" i="4"/>
  <c r="AA91" i="4"/>
  <c r="AB91" i="4"/>
  <c r="W91" i="4"/>
  <c r="Y92" i="4"/>
  <c r="Z92" i="4"/>
  <c r="AA92" i="4"/>
  <c r="AB92" i="4"/>
  <c r="W92" i="4"/>
  <c r="Y93" i="4"/>
  <c r="Z93" i="4"/>
  <c r="AA93" i="4"/>
  <c r="AB93" i="4"/>
  <c r="W93" i="4"/>
  <c r="Y94" i="4"/>
  <c r="Z94" i="4"/>
  <c r="AA94" i="4"/>
  <c r="AB94" i="4"/>
  <c r="W94" i="4"/>
  <c r="Y95" i="4"/>
  <c r="Z95" i="4"/>
  <c r="AA95" i="4"/>
  <c r="AB95" i="4"/>
  <c r="W95" i="4"/>
  <c r="Y96" i="4"/>
  <c r="Z96" i="4"/>
  <c r="AA96" i="4"/>
  <c r="AB96" i="4"/>
  <c r="W96" i="4"/>
  <c r="Y97" i="4"/>
  <c r="Z97" i="4"/>
  <c r="AA97" i="4"/>
  <c r="AB97" i="4"/>
  <c r="W97" i="4"/>
  <c r="Y98" i="4"/>
  <c r="Z98" i="4"/>
  <c r="AA98" i="4"/>
  <c r="AB98" i="4"/>
  <c r="W98" i="4"/>
  <c r="Y99" i="4"/>
  <c r="Z99" i="4"/>
  <c r="AA99" i="4"/>
  <c r="AB99" i="4"/>
  <c r="W99" i="4"/>
  <c r="Y100" i="4"/>
  <c r="Z100" i="4"/>
  <c r="AA100" i="4"/>
  <c r="AB100" i="4"/>
  <c r="W100" i="4"/>
  <c r="Y101" i="4"/>
  <c r="Z101" i="4"/>
  <c r="AA101" i="4"/>
  <c r="AB101" i="4"/>
  <c r="W101" i="4"/>
  <c r="Y102" i="4"/>
  <c r="Z102" i="4"/>
  <c r="AA102" i="4"/>
  <c r="AB102" i="4"/>
  <c r="W102" i="4"/>
  <c r="Y103" i="4"/>
  <c r="Z103" i="4"/>
  <c r="AA103" i="4"/>
  <c r="AB103" i="4"/>
  <c r="W103" i="4"/>
  <c r="Y104" i="4"/>
  <c r="Z104" i="4"/>
  <c r="AA104" i="4"/>
  <c r="AB104" i="4"/>
  <c r="W104" i="4"/>
  <c r="Y105" i="4"/>
  <c r="Z105" i="4"/>
  <c r="AA105" i="4"/>
  <c r="AB105" i="4"/>
  <c r="W105" i="4"/>
  <c r="Y106" i="4"/>
  <c r="Z106" i="4"/>
  <c r="AA106" i="4"/>
  <c r="AB106" i="4"/>
  <c r="W106" i="4"/>
  <c r="Y107" i="4"/>
  <c r="Z107" i="4"/>
  <c r="AA107" i="4"/>
  <c r="AB107" i="4"/>
  <c r="W107" i="4"/>
  <c r="Y108" i="4"/>
  <c r="Z108" i="4"/>
  <c r="AA108" i="4"/>
  <c r="AB108" i="4"/>
  <c r="W108" i="4"/>
  <c r="Y109" i="4"/>
  <c r="Z109" i="4"/>
  <c r="AA109" i="4"/>
  <c r="AB109" i="4"/>
  <c r="W109" i="4"/>
  <c r="Y110" i="4"/>
  <c r="Z110" i="4"/>
  <c r="AA110" i="4"/>
  <c r="AB110" i="4"/>
  <c r="W110" i="4"/>
  <c r="Y111" i="4"/>
  <c r="Z111" i="4"/>
  <c r="AA111" i="4"/>
  <c r="AB111" i="4"/>
  <c r="W111" i="4"/>
  <c r="Y112" i="4"/>
  <c r="Z112" i="4"/>
  <c r="AA112" i="4"/>
  <c r="AB112" i="4"/>
  <c r="W112" i="4"/>
  <c r="Y113" i="4"/>
  <c r="Z113" i="4"/>
  <c r="AA113" i="4"/>
  <c r="AB113" i="4"/>
  <c r="W113" i="4"/>
  <c r="Y114" i="4"/>
  <c r="Z114" i="4"/>
  <c r="AA114" i="4"/>
  <c r="AB114" i="4"/>
  <c r="W114" i="4"/>
  <c r="Y115" i="4"/>
  <c r="Z115" i="4"/>
  <c r="AA115" i="4"/>
  <c r="AB115" i="4"/>
  <c r="W115" i="4"/>
  <c r="Y116" i="4"/>
  <c r="Z116" i="4"/>
  <c r="AA116" i="4"/>
  <c r="AB116" i="4"/>
  <c r="W116" i="4"/>
  <c r="Y117" i="4"/>
  <c r="Z117" i="4"/>
  <c r="AA117" i="4"/>
  <c r="AB117" i="4"/>
  <c r="W117" i="4"/>
  <c r="Y118" i="4"/>
  <c r="Z118" i="4"/>
  <c r="AA118" i="4"/>
  <c r="AB118" i="4"/>
  <c r="W118" i="4"/>
  <c r="Y119" i="4"/>
  <c r="Z119" i="4"/>
  <c r="AA119" i="4"/>
  <c r="AB119" i="4"/>
  <c r="W119" i="4"/>
  <c r="Y120" i="4"/>
  <c r="Z120" i="4"/>
  <c r="AA120" i="4"/>
  <c r="AB120" i="4"/>
  <c r="W120" i="4"/>
  <c r="Y121" i="4"/>
  <c r="Z121" i="4"/>
  <c r="AA121" i="4"/>
  <c r="AB121" i="4"/>
  <c r="W121" i="4"/>
  <c r="Y122" i="4"/>
  <c r="Z122" i="4"/>
  <c r="AA122" i="4"/>
  <c r="AB122" i="4"/>
  <c r="W122" i="4"/>
  <c r="Y123" i="4"/>
  <c r="Z123" i="4"/>
  <c r="AA123" i="4"/>
  <c r="AB123" i="4"/>
  <c r="W123" i="4"/>
  <c r="Y124" i="4"/>
  <c r="Z124" i="4"/>
  <c r="AA124" i="4"/>
  <c r="AB124" i="4"/>
  <c r="W124" i="4"/>
  <c r="Y125" i="4"/>
  <c r="Z125" i="4"/>
  <c r="AA125" i="4"/>
  <c r="AB125" i="4"/>
  <c r="W125" i="4"/>
  <c r="Y126" i="4"/>
  <c r="Z126" i="4"/>
  <c r="AA126" i="4"/>
  <c r="AB126" i="4"/>
  <c r="W126" i="4"/>
  <c r="Y127" i="4"/>
  <c r="Z127" i="4"/>
  <c r="AA127" i="4"/>
  <c r="AB127" i="4"/>
  <c r="W127" i="4"/>
  <c r="Y128" i="4"/>
  <c r="Z128" i="4"/>
  <c r="AA128" i="4"/>
  <c r="AB128" i="4"/>
  <c r="W128" i="4"/>
  <c r="Y129" i="4"/>
  <c r="Z129" i="4"/>
  <c r="AA129" i="4"/>
  <c r="AB129" i="4"/>
  <c r="W129" i="4"/>
  <c r="Y130" i="4"/>
  <c r="Z130" i="4"/>
  <c r="AA130" i="4"/>
  <c r="AB130" i="4"/>
  <c r="W130" i="4"/>
  <c r="Y131" i="4"/>
  <c r="Z131" i="4"/>
  <c r="AA131" i="4"/>
  <c r="AB131" i="4"/>
  <c r="W131" i="4"/>
  <c r="Y132" i="4"/>
  <c r="Z132" i="4"/>
  <c r="AA132" i="4"/>
  <c r="AB132" i="4"/>
  <c r="W132" i="4"/>
  <c r="Y133" i="4"/>
  <c r="Z133" i="4"/>
  <c r="AA133" i="4"/>
  <c r="AB133" i="4"/>
  <c r="W133" i="4"/>
  <c r="Y134" i="4"/>
  <c r="Z134" i="4"/>
  <c r="AA134" i="4"/>
  <c r="AB134" i="4"/>
  <c r="W134" i="4"/>
  <c r="Y135" i="4"/>
  <c r="Z135" i="4"/>
  <c r="AA135" i="4"/>
  <c r="AB135" i="4"/>
  <c r="W135" i="4"/>
  <c r="Y136" i="4"/>
  <c r="Z136" i="4"/>
  <c r="AA136" i="4"/>
  <c r="AB136" i="4"/>
  <c r="W136" i="4"/>
  <c r="Y137" i="4"/>
  <c r="Z137" i="4"/>
  <c r="AA137" i="4"/>
  <c r="AB137" i="4"/>
  <c r="W137" i="4"/>
  <c r="Y138" i="4"/>
  <c r="Z138" i="4"/>
  <c r="AA138" i="4"/>
  <c r="AB138" i="4"/>
  <c r="W138" i="4"/>
  <c r="Y139" i="4"/>
  <c r="Z139" i="4"/>
  <c r="AA139" i="4"/>
  <c r="AB139" i="4"/>
  <c r="W139" i="4"/>
  <c r="Y140" i="4"/>
  <c r="Z140" i="4"/>
  <c r="AA140" i="4"/>
  <c r="AB140" i="4"/>
  <c r="W140" i="4"/>
  <c r="Y141" i="4"/>
  <c r="Z141" i="4"/>
  <c r="AA141" i="4"/>
  <c r="AB141" i="4"/>
  <c r="W141" i="4"/>
  <c r="Y142" i="4"/>
  <c r="Z142" i="4"/>
  <c r="AA142" i="4"/>
  <c r="AB142" i="4"/>
  <c r="W142" i="4"/>
  <c r="Y143" i="4"/>
  <c r="Z143" i="4"/>
  <c r="AA143" i="4"/>
  <c r="AB143" i="4"/>
  <c r="W143" i="4"/>
  <c r="Y144" i="4"/>
  <c r="Z144" i="4"/>
  <c r="AA144" i="4"/>
  <c r="AB144" i="4"/>
  <c r="W144" i="4"/>
  <c r="Y145" i="4"/>
  <c r="Z145" i="4"/>
  <c r="AA145" i="4"/>
  <c r="AB145" i="4"/>
  <c r="W145" i="4"/>
  <c r="Y146" i="4"/>
  <c r="Z146" i="4"/>
  <c r="AA146" i="4"/>
  <c r="AB146" i="4"/>
  <c r="W146" i="4"/>
  <c r="Y147" i="4"/>
  <c r="Z147" i="4"/>
  <c r="AA147" i="4"/>
  <c r="AB147" i="4"/>
  <c r="W147" i="4"/>
  <c r="Y148" i="4"/>
  <c r="Z148" i="4"/>
  <c r="AA148" i="4"/>
  <c r="AB148" i="4"/>
  <c r="W148" i="4"/>
  <c r="Y149" i="4"/>
  <c r="Z149" i="4"/>
  <c r="AA149" i="4"/>
  <c r="AB149" i="4"/>
  <c r="W149" i="4"/>
  <c r="Y150" i="4"/>
  <c r="Z150" i="4"/>
  <c r="AA150" i="4"/>
  <c r="AB150" i="4"/>
  <c r="W150" i="4"/>
  <c r="Y151" i="4"/>
  <c r="Z151" i="4"/>
  <c r="AA151" i="4"/>
  <c r="AB151" i="4"/>
  <c r="W151" i="4"/>
  <c r="Y152" i="4"/>
  <c r="Z152" i="4"/>
  <c r="AA152" i="4"/>
  <c r="AB152" i="4"/>
  <c r="W152" i="4"/>
  <c r="Y153" i="4"/>
  <c r="Z153" i="4"/>
  <c r="AA153" i="4"/>
  <c r="AB153" i="4"/>
  <c r="W153" i="4"/>
  <c r="Y154" i="4"/>
  <c r="Z154" i="4"/>
  <c r="AA154" i="4"/>
  <c r="AB154" i="4"/>
  <c r="W154" i="4"/>
  <c r="Y155" i="4"/>
  <c r="Z155" i="4"/>
  <c r="AA155" i="4"/>
  <c r="AB155" i="4"/>
  <c r="W155" i="4"/>
  <c r="Y156" i="4"/>
  <c r="Z156" i="4"/>
  <c r="AA156" i="4"/>
  <c r="AB156" i="4"/>
  <c r="W156" i="4"/>
  <c r="Y157" i="4"/>
  <c r="Z157" i="4"/>
  <c r="AA157" i="4"/>
  <c r="AB157" i="4"/>
  <c r="W157" i="4"/>
  <c r="Y158" i="4"/>
  <c r="Z158" i="4"/>
  <c r="AA158" i="4"/>
  <c r="AB158" i="4"/>
  <c r="W158" i="4"/>
  <c r="Y159" i="4"/>
  <c r="Z159" i="4"/>
  <c r="AA159" i="4"/>
  <c r="AB159" i="4"/>
  <c r="W159" i="4"/>
  <c r="Y160" i="4"/>
  <c r="Z160" i="4"/>
  <c r="AA160" i="4"/>
  <c r="AB160" i="4"/>
  <c r="W160" i="4"/>
  <c r="Y161" i="4"/>
  <c r="Z161" i="4"/>
  <c r="AA161" i="4"/>
  <c r="AB161" i="4"/>
  <c r="W161" i="4"/>
  <c r="Y162" i="4"/>
  <c r="Z162" i="4"/>
  <c r="AA162" i="4"/>
  <c r="AB162" i="4"/>
  <c r="W162" i="4"/>
  <c r="Y163" i="4"/>
  <c r="Z163" i="4"/>
  <c r="AA163" i="4"/>
  <c r="AB163" i="4"/>
  <c r="W163" i="4"/>
  <c r="Y164" i="4"/>
  <c r="Z164" i="4"/>
  <c r="AA164" i="4"/>
  <c r="AB164" i="4"/>
  <c r="W164" i="4"/>
  <c r="Y165" i="4"/>
  <c r="Z165" i="4"/>
  <c r="AA165" i="4"/>
  <c r="AB165" i="4"/>
  <c r="W165" i="4"/>
  <c r="Y166" i="4"/>
  <c r="Z166" i="4"/>
  <c r="AA166" i="4"/>
  <c r="AB166" i="4"/>
  <c r="W166" i="4"/>
  <c r="Y167" i="4"/>
  <c r="Z167" i="4"/>
  <c r="AA167" i="4"/>
  <c r="AB167" i="4"/>
  <c r="W167" i="4"/>
  <c r="Y168" i="4"/>
  <c r="Z168" i="4"/>
  <c r="AA168" i="4"/>
  <c r="AB168" i="4"/>
  <c r="W168" i="4"/>
  <c r="Y169" i="4"/>
  <c r="Z169" i="4"/>
  <c r="AA169" i="4"/>
  <c r="AB169" i="4"/>
  <c r="W169" i="4"/>
  <c r="Y170" i="4"/>
  <c r="Z170" i="4"/>
  <c r="AA170" i="4"/>
  <c r="AB170" i="4"/>
  <c r="W170" i="4"/>
  <c r="Y171" i="4"/>
  <c r="Z171" i="4"/>
  <c r="AA171" i="4"/>
  <c r="AB171" i="4"/>
  <c r="W171" i="4"/>
  <c r="Y172" i="4"/>
  <c r="Z172" i="4"/>
  <c r="AA172" i="4"/>
  <c r="AB172" i="4"/>
  <c r="W172" i="4"/>
  <c r="Y173" i="4"/>
  <c r="Z173" i="4"/>
  <c r="AA173" i="4"/>
  <c r="AB173" i="4"/>
  <c r="W173" i="4"/>
  <c r="Y174" i="4"/>
  <c r="Z174" i="4"/>
  <c r="AA174" i="4"/>
  <c r="AB174" i="4"/>
  <c r="W174" i="4"/>
  <c r="Y175" i="4"/>
  <c r="Z175" i="4"/>
  <c r="AA175" i="4"/>
  <c r="AB175" i="4"/>
  <c r="W175" i="4"/>
  <c r="Y176" i="4"/>
  <c r="Z176" i="4"/>
  <c r="AA176" i="4"/>
  <c r="AB176" i="4"/>
  <c r="W176" i="4"/>
  <c r="Y177" i="4"/>
  <c r="Z177" i="4"/>
  <c r="AA177" i="4"/>
  <c r="AB177" i="4"/>
  <c r="W177" i="4"/>
  <c r="Y178" i="4"/>
  <c r="Z178" i="4"/>
  <c r="AA178" i="4"/>
  <c r="AB178" i="4"/>
  <c r="W178" i="4"/>
  <c r="Y179" i="4"/>
  <c r="Z179" i="4"/>
  <c r="AA179" i="4"/>
  <c r="AB179" i="4"/>
  <c r="W179" i="4"/>
  <c r="Y180" i="4"/>
  <c r="Z180" i="4"/>
  <c r="AA180" i="4"/>
  <c r="AB180" i="4"/>
  <c r="W180" i="4"/>
  <c r="Y181" i="4"/>
  <c r="Z181" i="4"/>
  <c r="AA181" i="4"/>
  <c r="AB181" i="4"/>
  <c r="W181" i="4"/>
  <c r="Y182" i="4"/>
  <c r="Z182" i="4"/>
  <c r="AA182" i="4"/>
  <c r="AB182" i="4"/>
  <c r="W182" i="4"/>
  <c r="Y183" i="4"/>
  <c r="Z183" i="4"/>
  <c r="AA183" i="4"/>
  <c r="AB183" i="4"/>
  <c r="W183" i="4"/>
  <c r="Y184" i="4"/>
  <c r="Z184" i="4"/>
  <c r="AA184" i="4"/>
  <c r="AB184" i="4"/>
  <c r="W184" i="4"/>
  <c r="Y185" i="4"/>
  <c r="Z185" i="4"/>
  <c r="AA185" i="4"/>
  <c r="AB185" i="4"/>
  <c r="W185" i="4"/>
  <c r="Y186" i="4"/>
  <c r="Z186" i="4"/>
  <c r="AA186" i="4"/>
  <c r="AB186" i="4"/>
  <c r="W186" i="4"/>
  <c r="Y187" i="4"/>
  <c r="Z187" i="4"/>
  <c r="AA187" i="4"/>
  <c r="AB187" i="4"/>
  <c r="W187" i="4"/>
  <c r="Y188" i="4"/>
  <c r="Z188" i="4"/>
  <c r="AA188" i="4"/>
  <c r="AB188" i="4"/>
  <c r="W188" i="4"/>
  <c r="Y189" i="4"/>
  <c r="Z189" i="4"/>
  <c r="AA189" i="4"/>
  <c r="AB189" i="4"/>
  <c r="W189" i="4"/>
  <c r="Y190" i="4"/>
  <c r="Z190" i="4"/>
  <c r="AA190" i="4"/>
  <c r="AB190" i="4"/>
  <c r="W190" i="4"/>
  <c r="Y191" i="4"/>
  <c r="Z191" i="4"/>
  <c r="AA191" i="4"/>
  <c r="AB191" i="4"/>
  <c r="W191" i="4"/>
  <c r="Y192" i="4"/>
  <c r="Z192" i="4"/>
  <c r="AA192" i="4"/>
  <c r="AB192" i="4"/>
  <c r="W192" i="4"/>
  <c r="Y193" i="4"/>
  <c r="Z193" i="4"/>
  <c r="AA193" i="4"/>
  <c r="AB193" i="4"/>
  <c r="W193" i="4"/>
  <c r="Y194" i="4"/>
  <c r="Z194" i="4"/>
  <c r="AA194" i="4"/>
  <c r="AB194" i="4"/>
  <c r="W194" i="4"/>
  <c r="Y195" i="4"/>
  <c r="Z195" i="4"/>
  <c r="AA195" i="4"/>
  <c r="AB195" i="4"/>
  <c r="W195" i="4"/>
  <c r="Y196" i="4"/>
  <c r="Z196" i="4"/>
  <c r="AA196" i="4"/>
  <c r="AB196" i="4"/>
  <c r="W196" i="4"/>
  <c r="Y197" i="4"/>
  <c r="Z197" i="4"/>
  <c r="AA197" i="4"/>
  <c r="AB197" i="4"/>
  <c r="W197" i="4"/>
  <c r="Y198" i="4"/>
  <c r="Z198" i="4"/>
  <c r="AA198" i="4"/>
  <c r="AB198" i="4"/>
  <c r="W198" i="4"/>
  <c r="Y199" i="4"/>
  <c r="Z199" i="4"/>
  <c r="AA199" i="4"/>
  <c r="AB199" i="4"/>
  <c r="W199" i="4"/>
  <c r="Y200" i="4"/>
  <c r="Z200" i="4"/>
  <c r="AA200" i="4"/>
  <c r="AB200" i="4"/>
  <c r="W200" i="4"/>
  <c r="Y201" i="4"/>
  <c r="Z201" i="4"/>
  <c r="AA201" i="4"/>
  <c r="AB201" i="4"/>
  <c r="W201" i="4"/>
  <c r="Y202" i="4"/>
  <c r="Z202" i="4"/>
  <c r="AA202" i="4"/>
  <c r="AB202" i="4"/>
  <c r="W202" i="4"/>
  <c r="Y203" i="4"/>
  <c r="Z203" i="4"/>
  <c r="AA203" i="4"/>
  <c r="AB203" i="4"/>
  <c r="W203" i="4"/>
  <c r="Y204" i="4"/>
  <c r="Z204" i="4"/>
  <c r="AA204" i="4"/>
  <c r="AB204" i="4"/>
  <c r="W204" i="4"/>
  <c r="Y205" i="4"/>
  <c r="Z205" i="4"/>
  <c r="AA205" i="4"/>
  <c r="AB205" i="4"/>
  <c r="W205" i="4"/>
  <c r="Y206" i="4"/>
  <c r="Z206" i="4"/>
  <c r="AA206" i="4"/>
  <c r="AB206" i="4"/>
  <c r="W206" i="4"/>
  <c r="Y207" i="4"/>
  <c r="Z207" i="4"/>
  <c r="AA207" i="4"/>
  <c r="AB207" i="4"/>
  <c r="W207" i="4"/>
  <c r="Y208" i="4"/>
  <c r="Z208" i="4"/>
  <c r="AA208" i="4"/>
  <c r="AB208" i="4"/>
  <c r="W208" i="4"/>
  <c r="Y209" i="4"/>
  <c r="Z209" i="4"/>
  <c r="AA209" i="4"/>
  <c r="AB209" i="4"/>
  <c r="W209" i="4"/>
  <c r="Y210" i="4"/>
  <c r="Z210" i="4"/>
  <c r="AA210" i="4"/>
  <c r="AB210" i="4"/>
  <c r="W210" i="4"/>
  <c r="Y211" i="4"/>
  <c r="Z211" i="4"/>
  <c r="AA211" i="4"/>
  <c r="AB211" i="4"/>
  <c r="W211" i="4"/>
  <c r="Y212" i="4"/>
  <c r="Z212" i="4"/>
  <c r="AA212" i="4"/>
  <c r="AB212" i="4"/>
  <c r="W212" i="4"/>
  <c r="Y213" i="4"/>
  <c r="Z213" i="4"/>
  <c r="AA213" i="4"/>
  <c r="AB213" i="4"/>
  <c r="W213" i="4"/>
  <c r="Y214" i="4"/>
  <c r="Z214" i="4"/>
  <c r="AA214" i="4"/>
  <c r="AB214" i="4"/>
  <c r="W214" i="4"/>
  <c r="Y215" i="4"/>
  <c r="Z215" i="4"/>
  <c r="AA215" i="4"/>
  <c r="AB215" i="4"/>
  <c r="W215" i="4"/>
  <c r="Y216" i="4"/>
  <c r="Z216" i="4"/>
  <c r="AA216" i="4"/>
  <c r="AB216" i="4"/>
  <c r="W216" i="4"/>
  <c r="Y217" i="4"/>
  <c r="Z217" i="4"/>
  <c r="AA217" i="4"/>
  <c r="AB217" i="4"/>
  <c r="W217" i="4"/>
  <c r="Y218" i="4"/>
  <c r="Z218" i="4"/>
  <c r="AA218" i="4"/>
  <c r="AB218" i="4"/>
  <c r="W218" i="4"/>
  <c r="Y219" i="4"/>
  <c r="Z219" i="4"/>
  <c r="AA219" i="4"/>
  <c r="AB219" i="4"/>
  <c r="W219" i="4"/>
  <c r="Y220" i="4"/>
  <c r="Z220" i="4"/>
  <c r="AA220" i="4"/>
  <c r="AB220" i="4"/>
  <c r="W220" i="4"/>
  <c r="Y221" i="4"/>
  <c r="Z221" i="4"/>
  <c r="AA221" i="4"/>
  <c r="AB221" i="4"/>
  <c r="W221" i="4"/>
  <c r="Y222" i="4"/>
  <c r="Z222" i="4"/>
  <c r="AA222" i="4"/>
  <c r="AB222" i="4"/>
  <c r="W222" i="4"/>
  <c r="Y223" i="4"/>
  <c r="Z223" i="4"/>
  <c r="AA223" i="4"/>
  <c r="AB223" i="4"/>
  <c r="W223" i="4"/>
  <c r="Y224" i="4"/>
  <c r="Z224" i="4"/>
  <c r="AA224" i="4"/>
  <c r="AB224" i="4"/>
  <c r="W224" i="4"/>
  <c r="Y225" i="4"/>
  <c r="Z225" i="4"/>
  <c r="AA225" i="4"/>
  <c r="AB225" i="4"/>
  <c r="W225" i="4"/>
  <c r="Y226" i="4"/>
  <c r="Z226" i="4"/>
  <c r="AA226" i="4"/>
  <c r="AB226" i="4"/>
  <c r="W226" i="4"/>
  <c r="Y227" i="4"/>
  <c r="Z227" i="4"/>
  <c r="AA227" i="4"/>
  <c r="AB227" i="4"/>
  <c r="W227" i="4"/>
  <c r="Y228" i="4"/>
  <c r="Z228" i="4"/>
  <c r="AA228" i="4"/>
  <c r="AB228" i="4"/>
  <c r="W228" i="4"/>
  <c r="Y229" i="4"/>
  <c r="Z229" i="4"/>
  <c r="AA229" i="4"/>
  <c r="AB229" i="4"/>
  <c r="W229" i="4"/>
  <c r="Y230" i="4"/>
  <c r="Z230" i="4"/>
  <c r="AA230" i="4"/>
  <c r="AB230" i="4"/>
  <c r="W230" i="4"/>
  <c r="Y231" i="4"/>
  <c r="Z231" i="4"/>
  <c r="AA231" i="4"/>
  <c r="AB231" i="4"/>
  <c r="W231" i="4"/>
  <c r="Y232" i="4"/>
  <c r="Z232" i="4"/>
  <c r="AA232" i="4"/>
  <c r="AB232" i="4"/>
  <c r="W232" i="4"/>
  <c r="Y233" i="4"/>
  <c r="Z233" i="4"/>
  <c r="AA233" i="4"/>
  <c r="AB233" i="4"/>
  <c r="W233" i="4"/>
  <c r="Y234" i="4"/>
  <c r="Z234" i="4"/>
  <c r="AA234" i="4"/>
  <c r="AB234" i="4"/>
  <c r="W234" i="4"/>
  <c r="Y235" i="4"/>
  <c r="Z235" i="4"/>
  <c r="AA235" i="4"/>
  <c r="AB235" i="4"/>
  <c r="W235" i="4"/>
  <c r="Y236" i="4"/>
  <c r="Z236" i="4"/>
  <c r="AA236" i="4"/>
  <c r="AB236" i="4"/>
  <c r="W236" i="4"/>
  <c r="Y237" i="4"/>
  <c r="Z237" i="4"/>
  <c r="AA237" i="4"/>
  <c r="AB237" i="4"/>
  <c r="W237" i="4"/>
  <c r="Y238" i="4"/>
  <c r="Z238" i="4"/>
  <c r="AA238" i="4"/>
  <c r="AB238" i="4"/>
  <c r="W238" i="4"/>
  <c r="Y239" i="4"/>
  <c r="Z239" i="4"/>
  <c r="AA239" i="4"/>
  <c r="AB239" i="4"/>
  <c r="W239" i="4"/>
  <c r="Y240" i="4"/>
  <c r="Z240" i="4"/>
  <c r="AA240" i="4"/>
  <c r="AB240" i="4"/>
  <c r="W240" i="4"/>
  <c r="Y241" i="4"/>
  <c r="Z241" i="4"/>
  <c r="AA241" i="4"/>
  <c r="AB241" i="4"/>
  <c r="W241" i="4"/>
  <c r="Y242" i="4"/>
  <c r="Z242" i="4"/>
  <c r="AA242" i="4"/>
  <c r="AB242" i="4"/>
  <c r="W242" i="4"/>
  <c r="Y243" i="4"/>
  <c r="Z243" i="4"/>
  <c r="AA243" i="4"/>
  <c r="AB243" i="4"/>
  <c r="W243" i="4"/>
  <c r="Y244" i="4"/>
  <c r="Z244" i="4"/>
  <c r="AA244" i="4"/>
  <c r="AB244" i="4"/>
  <c r="W244" i="4"/>
  <c r="Y245" i="4"/>
  <c r="Z245" i="4"/>
  <c r="AA245" i="4"/>
  <c r="AB245" i="4"/>
  <c r="W245" i="4"/>
  <c r="Y246" i="4"/>
  <c r="Z246" i="4"/>
  <c r="AA246" i="4"/>
  <c r="AB246" i="4"/>
  <c r="W246" i="4"/>
  <c r="Y247" i="4"/>
  <c r="Z247" i="4"/>
  <c r="AA247" i="4"/>
  <c r="AB247" i="4"/>
  <c r="W247" i="4"/>
  <c r="Y248" i="4"/>
  <c r="Z248" i="4"/>
  <c r="AA248" i="4"/>
  <c r="AB248" i="4"/>
  <c r="W248" i="4"/>
  <c r="Y249" i="4"/>
  <c r="Z249" i="4"/>
  <c r="AA249" i="4"/>
  <c r="AB249" i="4"/>
  <c r="W249" i="4"/>
  <c r="Y250" i="4"/>
  <c r="Z250" i="4"/>
  <c r="AA250" i="4"/>
  <c r="AB250" i="4"/>
  <c r="W250" i="4"/>
  <c r="Y251" i="4"/>
  <c r="Z251" i="4"/>
  <c r="AA251" i="4"/>
  <c r="AB251" i="4"/>
  <c r="W251" i="4"/>
  <c r="Y252" i="4"/>
  <c r="Z252" i="4"/>
  <c r="AA252" i="4"/>
  <c r="AB252" i="4"/>
  <c r="W252" i="4"/>
  <c r="Y253" i="4"/>
  <c r="Z253" i="4"/>
  <c r="AA253" i="4"/>
  <c r="AB253" i="4"/>
  <c r="W253" i="4"/>
  <c r="Y254" i="4"/>
  <c r="Z254" i="4"/>
  <c r="AA254" i="4"/>
  <c r="AB254" i="4"/>
  <c r="W254" i="4"/>
  <c r="Y255" i="4"/>
  <c r="Z255" i="4"/>
  <c r="AA255" i="4"/>
  <c r="AB255" i="4"/>
  <c r="W255" i="4"/>
  <c r="Y256" i="4"/>
  <c r="Z256" i="4"/>
  <c r="AA256" i="4"/>
  <c r="AB256" i="4"/>
  <c r="W256" i="4"/>
  <c r="Y257" i="4"/>
  <c r="Z257" i="4"/>
  <c r="AA257" i="4"/>
  <c r="AB257" i="4"/>
  <c r="W257" i="4"/>
  <c r="Y258" i="4"/>
  <c r="Z258" i="4"/>
  <c r="AA258" i="4"/>
  <c r="AB258" i="4"/>
  <c r="W258" i="4"/>
  <c r="Y259" i="4"/>
  <c r="Z259" i="4"/>
  <c r="AA259" i="4"/>
  <c r="AB259" i="4"/>
  <c r="W259" i="4"/>
  <c r="Y260" i="4"/>
  <c r="Z260" i="4"/>
  <c r="AA260" i="4"/>
  <c r="AB260" i="4"/>
  <c r="W260" i="4"/>
  <c r="Y261" i="4"/>
  <c r="Z261" i="4"/>
  <c r="AA261" i="4"/>
  <c r="AB261" i="4"/>
  <c r="W261" i="4"/>
  <c r="Y262" i="4"/>
  <c r="Z262" i="4"/>
  <c r="AA262" i="4"/>
  <c r="AB262" i="4"/>
  <c r="W262" i="4"/>
  <c r="Y263" i="4"/>
  <c r="Z263" i="4"/>
  <c r="AA263" i="4"/>
  <c r="AB263" i="4"/>
  <c r="W263" i="4"/>
  <c r="Y264" i="4"/>
  <c r="Z264" i="4"/>
  <c r="AA264" i="4"/>
  <c r="AB264" i="4"/>
  <c r="W264" i="4"/>
  <c r="Y265" i="4"/>
  <c r="Z265" i="4"/>
  <c r="AA265" i="4"/>
  <c r="AB265" i="4"/>
  <c r="W265" i="4"/>
  <c r="Y266" i="4"/>
  <c r="Z266" i="4"/>
  <c r="AA266" i="4"/>
  <c r="AB266" i="4"/>
  <c r="W266" i="4"/>
  <c r="Y267" i="4"/>
  <c r="Z267" i="4"/>
  <c r="AA267" i="4"/>
  <c r="AB267" i="4"/>
  <c r="W267" i="4"/>
  <c r="Y268" i="4"/>
  <c r="Z268" i="4"/>
  <c r="AA268" i="4"/>
  <c r="AB268" i="4"/>
  <c r="W268" i="4"/>
  <c r="Y269" i="4"/>
  <c r="Z269" i="4"/>
  <c r="AA269" i="4"/>
  <c r="AB269" i="4"/>
  <c r="W269" i="4"/>
  <c r="Y270" i="4"/>
  <c r="Z270" i="4"/>
  <c r="AA270" i="4"/>
  <c r="AB270" i="4"/>
  <c r="W270" i="4"/>
  <c r="Y271" i="4"/>
  <c r="Z271" i="4"/>
  <c r="AA271" i="4"/>
  <c r="AB271" i="4"/>
  <c r="W271" i="4"/>
  <c r="Y272" i="4"/>
  <c r="Z272" i="4"/>
  <c r="AA272" i="4"/>
  <c r="AB272" i="4"/>
  <c r="W272" i="4"/>
  <c r="Y273" i="4"/>
  <c r="Z273" i="4"/>
  <c r="AA273" i="4"/>
  <c r="AB273" i="4"/>
  <c r="W273" i="4"/>
  <c r="Y274" i="4"/>
  <c r="Z274" i="4"/>
  <c r="AA274" i="4"/>
  <c r="AB274" i="4"/>
  <c r="W274" i="4"/>
  <c r="Y275" i="4"/>
  <c r="Z275" i="4"/>
  <c r="AA275" i="4"/>
  <c r="AB275" i="4"/>
  <c r="W275" i="4"/>
  <c r="Y276" i="4"/>
  <c r="Z276" i="4"/>
  <c r="AA276" i="4"/>
  <c r="AB276" i="4"/>
  <c r="W276" i="4"/>
  <c r="Y277" i="4"/>
  <c r="Z277" i="4"/>
  <c r="AA277" i="4"/>
  <c r="AB277" i="4"/>
  <c r="W277" i="4"/>
  <c r="Y278" i="4"/>
  <c r="Z278" i="4"/>
  <c r="AA278" i="4"/>
  <c r="AB278" i="4"/>
  <c r="W278" i="4"/>
  <c r="Y279" i="4"/>
  <c r="Z279" i="4"/>
  <c r="AA279" i="4"/>
  <c r="AB279" i="4"/>
  <c r="W279" i="4"/>
  <c r="Y280" i="4"/>
  <c r="Z280" i="4"/>
  <c r="AA280" i="4"/>
  <c r="AB280" i="4"/>
  <c r="W280" i="4"/>
  <c r="Y281" i="4"/>
  <c r="Z281" i="4"/>
  <c r="AA281" i="4"/>
  <c r="AB281" i="4"/>
  <c r="W281" i="4"/>
  <c r="Y282" i="4"/>
  <c r="Z282" i="4"/>
  <c r="AA282" i="4"/>
  <c r="AB282" i="4"/>
  <c r="W282" i="4"/>
  <c r="Y283" i="4"/>
  <c r="Z283" i="4"/>
  <c r="AA283" i="4"/>
  <c r="AB283" i="4"/>
  <c r="W283" i="4"/>
  <c r="Y284" i="4"/>
  <c r="Z284" i="4"/>
  <c r="AA284" i="4"/>
  <c r="AB284" i="4"/>
  <c r="W284" i="4"/>
  <c r="Y285" i="4"/>
  <c r="Z285" i="4"/>
  <c r="AA285" i="4"/>
  <c r="AB285" i="4"/>
  <c r="W285" i="4"/>
  <c r="Y286" i="4"/>
  <c r="Z286" i="4"/>
  <c r="AA286" i="4"/>
  <c r="AB286" i="4"/>
  <c r="W286" i="4"/>
  <c r="Y287" i="4"/>
  <c r="Z287" i="4"/>
  <c r="AA287" i="4"/>
  <c r="AB287" i="4"/>
  <c r="W287" i="4"/>
  <c r="Y288" i="4"/>
  <c r="Z288" i="4"/>
  <c r="AA288" i="4"/>
  <c r="AB288" i="4"/>
  <c r="W288" i="4"/>
  <c r="Y289" i="4"/>
  <c r="Z289" i="4"/>
  <c r="AA289" i="4"/>
  <c r="AB289" i="4"/>
  <c r="W289" i="4"/>
  <c r="Y290" i="4"/>
  <c r="Z290" i="4"/>
  <c r="AA290" i="4"/>
  <c r="AB290" i="4"/>
  <c r="W290" i="4"/>
  <c r="Y291" i="4"/>
  <c r="Z291" i="4"/>
  <c r="AA291" i="4"/>
  <c r="AB291" i="4"/>
  <c r="W291" i="4"/>
  <c r="Y292" i="4"/>
  <c r="Z292" i="4"/>
  <c r="AA292" i="4"/>
  <c r="AB292" i="4"/>
  <c r="W292" i="4"/>
  <c r="Y293" i="4"/>
  <c r="Z293" i="4"/>
  <c r="AA293" i="4"/>
  <c r="AB293" i="4"/>
  <c r="W293" i="4"/>
  <c r="Y294" i="4"/>
  <c r="Z294" i="4"/>
  <c r="AA294" i="4"/>
  <c r="AB294" i="4"/>
  <c r="W294" i="4"/>
  <c r="Y295" i="4"/>
  <c r="Z295" i="4"/>
  <c r="AA295" i="4"/>
  <c r="AB295" i="4"/>
  <c r="W295" i="4"/>
  <c r="Y296" i="4"/>
  <c r="Z296" i="4"/>
  <c r="AA296" i="4"/>
  <c r="AB296" i="4"/>
  <c r="W296" i="4"/>
  <c r="Y297" i="4"/>
  <c r="Z297" i="4"/>
  <c r="AA297" i="4"/>
  <c r="AB297" i="4"/>
  <c r="W297" i="4"/>
  <c r="Y298" i="4"/>
  <c r="Z298" i="4"/>
  <c r="AA298" i="4"/>
  <c r="AB298" i="4"/>
  <c r="W298" i="4"/>
  <c r="Y299" i="4"/>
  <c r="Z299" i="4"/>
  <c r="AA299" i="4"/>
  <c r="AB299" i="4"/>
  <c r="W299" i="4"/>
  <c r="Y300" i="4"/>
  <c r="Z300" i="4"/>
  <c r="AA300" i="4"/>
  <c r="AB300" i="4"/>
  <c r="W300" i="4"/>
  <c r="Y301" i="4"/>
  <c r="Z301" i="4"/>
  <c r="AA301" i="4"/>
  <c r="AB301" i="4"/>
  <c r="W301" i="4"/>
  <c r="Y302" i="4"/>
  <c r="Z302" i="4"/>
  <c r="AA302" i="4"/>
  <c r="AB302" i="4"/>
  <c r="W302" i="4"/>
  <c r="Y303" i="4"/>
  <c r="Z303" i="4"/>
  <c r="AA303" i="4"/>
  <c r="AB303" i="4"/>
  <c r="W303" i="4"/>
  <c r="Y304" i="4"/>
  <c r="Z304" i="4"/>
  <c r="AA304" i="4"/>
  <c r="AB304" i="4"/>
  <c r="W304" i="4"/>
  <c r="Y305" i="4"/>
  <c r="Z305" i="4"/>
  <c r="AA305" i="4"/>
  <c r="AB305" i="4"/>
  <c r="W305" i="4"/>
  <c r="Y306" i="4"/>
  <c r="Z306" i="4"/>
  <c r="AA306" i="4"/>
  <c r="AB306" i="4"/>
  <c r="W306" i="4"/>
  <c r="Y307" i="4"/>
  <c r="Z307" i="4"/>
  <c r="AA307" i="4"/>
  <c r="AB307" i="4"/>
  <c r="W307" i="4"/>
  <c r="Y308" i="4"/>
  <c r="Z308" i="4"/>
  <c r="AA308" i="4"/>
  <c r="AB308" i="4"/>
  <c r="W308" i="4"/>
  <c r="Y309" i="4"/>
  <c r="Z309" i="4"/>
  <c r="AA309" i="4"/>
  <c r="AB309" i="4"/>
  <c r="W309" i="4"/>
  <c r="Y310" i="4"/>
  <c r="Z310" i="4"/>
  <c r="AA310" i="4"/>
  <c r="AB310" i="4"/>
  <c r="W310" i="4"/>
  <c r="Y311" i="4"/>
  <c r="Z311" i="4"/>
  <c r="AA311" i="4"/>
  <c r="AB311" i="4"/>
  <c r="W311" i="4"/>
  <c r="Y312" i="4"/>
  <c r="Z312" i="4"/>
  <c r="AA312" i="4"/>
  <c r="AB312" i="4"/>
  <c r="W312" i="4"/>
  <c r="Y313" i="4"/>
  <c r="Z313" i="4"/>
  <c r="AA313" i="4"/>
  <c r="AB313" i="4"/>
  <c r="W313" i="4"/>
  <c r="Y314" i="4"/>
  <c r="Z314" i="4"/>
  <c r="AA314" i="4"/>
  <c r="AB314" i="4"/>
  <c r="W314" i="4"/>
  <c r="Y315" i="4"/>
  <c r="Z315" i="4"/>
  <c r="AA315" i="4"/>
  <c r="AB315" i="4"/>
  <c r="W315" i="4"/>
  <c r="Y316" i="4"/>
  <c r="Z316" i="4"/>
  <c r="AA316" i="4"/>
  <c r="AB316" i="4"/>
  <c r="W316" i="4"/>
  <c r="Y317" i="4"/>
  <c r="Z317" i="4"/>
  <c r="AA317" i="4"/>
  <c r="AB317" i="4"/>
  <c r="W317" i="4"/>
  <c r="Y318" i="4"/>
  <c r="Z318" i="4"/>
  <c r="AA318" i="4"/>
  <c r="AB318" i="4"/>
  <c r="W318" i="4"/>
  <c r="Y319" i="4"/>
  <c r="Z319" i="4"/>
  <c r="AA319" i="4"/>
  <c r="AB319" i="4"/>
  <c r="W319" i="4"/>
  <c r="Y320" i="4"/>
  <c r="Z320" i="4"/>
  <c r="AA320" i="4"/>
  <c r="AB320" i="4"/>
  <c r="W320" i="4"/>
  <c r="Y321" i="4"/>
  <c r="Z321" i="4"/>
  <c r="AA321" i="4"/>
  <c r="AB321" i="4"/>
  <c r="W321" i="4"/>
  <c r="Y322" i="4"/>
  <c r="Z322" i="4"/>
  <c r="AA322" i="4"/>
  <c r="AB322" i="4"/>
  <c r="W322" i="4"/>
  <c r="Y323" i="4"/>
  <c r="Z323" i="4"/>
  <c r="AA323" i="4"/>
  <c r="AB323" i="4"/>
  <c r="W323" i="4"/>
  <c r="Y324" i="4"/>
  <c r="Z324" i="4"/>
  <c r="AA324" i="4"/>
  <c r="AB324" i="4"/>
  <c r="W324" i="4"/>
  <c r="Y325" i="4"/>
  <c r="Z325" i="4"/>
  <c r="AA325" i="4"/>
  <c r="AB325" i="4"/>
  <c r="W325" i="4"/>
  <c r="Y326" i="4"/>
  <c r="Z326" i="4"/>
  <c r="AA326" i="4"/>
  <c r="AB326" i="4"/>
  <c r="W326" i="4"/>
  <c r="Y327" i="4"/>
  <c r="Z327" i="4"/>
  <c r="AA327" i="4"/>
  <c r="AB327" i="4"/>
  <c r="W327" i="4"/>
  <c r="Y328" i="4"/>
  <c r="Z328" i="4"/>
  <c r="AA328" i="4"/>
  <c r="AB328" i="4"/>
  <c r="W328" i="4"/>
  <c r="Y329" i="4"/>
  <c r="Z329" i="4"/>
  <c r="AA329" i="4"/>
  <c r="AB329" i="4"/>
  <c r="W329" i="4"/>
  <c r="Y330" i="4"/>
  <c r="Z330" i="4"/>
  <c r="AA330" i="4"/>
  <c r="AB330" i="4"/>
  <c r="W330" i="4"/>
  <c r="Y331" i="4"/>
  <c r="Z331" i="4"/>
  <c r="AA331" i="4"/>
  <c r="AB331" i="4"/>
  <c r="W331" i="4"/>
  <c r="Y332" i="4"/>
  <c r="Z332" i="4"/>
  <c r="AA332" i="4"/>
  <c r="AB332" i="4"/>
  <c r="W332" i="4"/>
  <c r="Y333" i="4"/>
  <c r="Z333" i="4"/>
  <c r="AA333" i="4"/>
  <c r="AB333" i="4"/>
  <c r="W333" i="4"/>
  <c r="Y334" i="4"/>
  <c r="Z334" i="4"/>
  <c r="AA334" i="4"/>
  <c r="AB334" i="4"/>
  <c r="W334" i="4"/>
  <c r="Y335" i="4"/>
  <c r="Z335" i="4"/>
  <c r="AA335" i="4"/>
  <c r="AB335" i="4"/>
  <c r="W335" i="4"/>
  <c r="Y336" i="4"/>
  <c r="Z336" i="4"/>
  <c r="AA336" i="4"/>
  <c r="AB336" i="4"/>
  <c r="W336" i="4"/>
  <c r="Y337" i="4"/>
  <c r="Z337" i="4"/>
  <c r="AA337" i="4"/>
  <c r="AB337" i="4"/>
  <c r="W337" i="4"/>
  <c r="Y338" i="4"/>
  <c r="Z338" i="4"/>
  <c r="AA338" i="4"/>
  <c r="AB338" i="4"/>
  <c r="W338" i="4"/>
  <c r="Y339" i="4"/>
  <c r="Z339" i="4"/>
  <c r="AA339" i="4"/>
  <c r="AB339" i="4"/>
  <c r="W339" i="4"/>
  <c r="Y340" i="4"/>
  <c r="Z340" i="4"/>
  <c r="AA340" i="4"/>
  <c r="AB340" i="4"/>
  <c r="W340" i="4"/>
  <c r="Y341" i="4"/>
  <c r="Z341" i="4"/>
  <c r="AA341" i="4"/>
  <c r="AB341" i="4"/>
  <c r="W341" i="4"/>
  <c r="Y342" i="4"/>
  <c r="Z342" i="4"/>
  <c r="AA342" i="4"/>
  <c r="AB342" i="4"/>
  <c r="W342" i="4"/>
  <c r="Y343" i="4"/>
  <c r="Z343" i="4"/>
  <c r="AA343" i="4"/>
  <c r="AB343" i="4"/>
  <c r="W343" i="4"/>
  <c r="Y344" i="4"/>
  <c r="Z344" i="4"/>
  <c r="AA344" i="4"/>
  <c r="AB344" i="4"/>
  <c r="W344" i="4"/>
  <c r="Y345" i="4"/>
  <c r="Z345" i="4"/>
  <c r="AA345" i="4"/>
  <c r="AB345" i="4"/>
  <c r="W345" i="4"/>
  <c r="Y346" i="4"/>
  <c r="Z346" i="4"/>
  <c r="AA346" i="4"/>
  <c r="AB346" i="4"/>
  <c r="W346" i="4"/>
  <c r="Y347" i="4"/>
  <c r="Z347" i="4"/>
  <c r="AA347" i="4"/>
  <c r="AB347" i="4"/>
  <c r="W347" i="4"/>
  <c r="Y348" i="4"/>
  <c r="Z348" i="4"/>
  <c r="AA348" i="4"/>
  <c r="AB348" i="4"/>
  <c r="W348" i="4"/>
  <c r="Y349" i="4"/>
  <c r="Z349" i="4"/>
  <c r="AA349" i="4"/>
  <c r="AB349" i="4"/>
  <c r="W349" i="4"/>
  <c r="Y350" i="4"/>
  <c r="Z350" i="4"/>
  <c r="AA350" i="4"/>
  <c r="AB350" i="4"/>
  <c r="W350" i="4"/>
  <c r="Y351" i="4"/>
  <c r="Z351" i="4"/>
  <c r="AA351" i="4"/>
  <c r="AB351" i="4"/>
  <c r="W351" i="4"/>
  <c r="Y352" i="4"/>
  <c r="Z352" i="4"/>
  <c r="AA352" i="4"/>
  <c r="AB352" i="4"/>
  <c r="W352" i="4"/>
  <c r="Y353" i="4"/>
  <c r="Z353" i="4"/>
  <c r="AA353" i="4"/>
  <c r="AB353" i="4"/>
  <c r="W353" i="4"/>
  <c r="Y354" i="4"/>
  <c r="Z354" i="4"/>
  <c r="AA354" i="4"/>
  <c r="AB354" i="4"/>
  <c r="W354" i="4"/>
  <c r="Y355" i="4"/>
  <c r="Z355" i="4"/>
  <c r="AA355" i="4"/>
  <c r="AB355" i="4"/>
  <c r="W355" i="4"/>
  <c r="Y356" i="4"/>
  <c r="Z356" i="4"/>
  <c r="AA356" i="4"/>
  <c r="AB356" i="4"/>
  <c r="W356" i="4"/>
  <c r="Y357" i="4"/>
  <c r="Z357" i="4"/>
  <c r="AA357" i="4"/>
  <c r="AB357" i="4"/>
  <c r="W357" i="4"/>
  <c r="Y358" i="4"/>
  <c r="Z358" i="4"/>
  <c r="AA358" i="4"/>
  <c r="AB358" i="4"/>
  <c r="W358" i="4"/>
  <c r="Y359" i="4"/>
  <c r="Z359" i="4"/>
  <c r="AA359" i="4"/>
  <c r="AB359" i="4"/>
  <c r="W359" i="4"/>
  <c r="Y360" i="4"/>
  <c r="Z360" i="4"/>
  <c r="AA360" i="4"/>
  <c r="AB360" i="4"/>
  <c r="W360" i="4"/>
  <c r="Y361" i="4"/>
  <c r="Z361" i="4"/>
  <c r="AA361" i="4"/>
  <c r="AB361" i="4"/>
  <c r="W361" i="4"/>
  <c r="Y362" i="4"/>
  <c r="Z362" i="4"/>
  <c r="AA362" i="4"/>
  <c r="AB362" i="4"/>
  <c r="W362" i="4"/>
  <c r="Y363" i="4"/>
  <c r="Z363" i="4"/>
  <c r="AA363" i="4"/>
  <c r="AB363" i="4"/>
  <c r="W363" i="4"/>
  <c r="Y364" i="4"/>
  <c r="Z364" i="4"/>
  <c r="AA364" i="4"/>
  <c r="AB364" i="4"/>
  <c r="W364" i="4"/>
  <c r="Y365" i="4"/>
  <c r="Z365" i="4"/>
  <c r="AA365" i="4"/>
  <c r="AB365" i="4"/>
  <c r="W365" i="4"/>
  <c r="Y366" i="4"/>
  <c r="Z366" i="4"/>
  <c r="AA366" i="4"/>
  <c r="AB366" i="4"/>
  <c r="W366" i="4"/>
  <c r="Y367" i="4"/>
  <c r="Z367" i="4"/>
  <c r="AA367" i="4"/>
  <c r="AB367" i="4"/>
  <c r="W367" i="4"/>
  <c r="Y368" i="4"/>
  <c r="Z368" i="4"/>
  <c r="AA368" i="4"/>
  <c r="AB368" i="4"/>
  <c r="W368" i="4"/>
  <c r="Y369" i="4"/>
  <c r="Z369" i="4"/>
  <c r="AA369" i="4"/>
  <c r="AB369" i="4"/>
  <c r="W369" i="4"/>
  <c r="Y370" i="4"/>
  <c r="Z370" i="4"/>
  <c r="AA370" i="4"/>
  <c r="AB370" i="4"/>
  <c r="W370" i="4"/>
  <c r="Y371" i="4"/>
  <c r="Z371" i="4"/>
  <c r="AA371" i="4"/>
  <c r="AB371" i="4"/>
  <c r="W371" i="4"/>
  <c r="Y372" i="4"/>
  <c r="Z372" i="4"/>
  <c r="AA372" i="4"/>
  <c r="AB372" i="4"/>
  <c r="W372" i="4"/>
  <c r="Y373" i="4"/>
  <c r="Z373" i="4"/>
  <c r="AA373" i="4"/>
  <c r="AB373" i="4"/>
  <c r="W373" i="4"/>
  <c r="Y374" i="4"/>
  <c r="Z374" i="4"/>
  <c r="AA374" i="4"/>
  <c r="AB374" i="4"/>
  <c r="W374" i="4"/>
  <c r="Y375" i="4"/>
  <c r="Z375" i="4"/>
  <c r="AA375" i="4"/>
  <c r="AB375" i="4"/>
  <c r="W375" i="4"/>
  <c r="Y376" i="4"/>
  <c r="Z376" i="4"/>
  <c r="AA376" i="4"/>
  <c r="AB376" i="4"/>
  <c r="W376" i="4"/>
  <c r="Y377" i="4"/>
  <c r="Z377" i="4"/>
  <c r="AA377" i="4"/>
  <c r="AB377" i="4"/>
  <c r="W377" i="4"/>
  <c r="Y378" i="4"/>
  <c r="Z378" i="4"/>
  <c r="AA378" i="4"/>
  <c r="AB378" i="4"/>
  <c r="W378" i="4"/>
  <c r="Y379" i="4"/>
  <c r="Z379" i="4"/>
  <c r="AA379" i="4"/>
  <c r="AB379" i="4"/>
  <c r="W379" i="4"/>
  <c r="Y380" i="4"/>
  <c r="Z380" i="4"/>
  <c r="AA380" i="4"/>
  <c r="AB380" i="4"/>
  <c r="W380" i="4"/>
  <c r="Y381" i="4"/>
  <c r="Z381" i="4"/>
  <c r="AA381" i="4"/>
  <c r="AB381" i="4"/>
  <c r="W381" i="4"/>
  <c r="Y382" i="4"/>
  <c r="Z382" i="4"/>
  <c r="AA382" i="4"/>
  <c r="AB382" i="4"/>
  <c r="W382" i="4"/>
  <c r="Y383" i="4"/>
  <c r="Z383" i="4"/>
  <c r="AA383" i="4"/>
  <c r="AB383" i="4"/>
  <c r="W383" i="4"/>
  <c r="Y384" i="4"/>
  <c r="Z384" i="4"/>
  <c r="AA384" i="4"/>
  <c r="AB384" i="4"/>
  <c r="W384" i="4"/>
  <c r="Y385" i="4"/>
  <c r="Z385" i="4"/>
  <c r="AA385" i="4"/>
  <c r="AB385" i="4"/>
  <c r="W385" i="4"/>
  <c r="Y386" i="4"/>
  <c r="Z386" i="4"/>
  <c r="AA386" i="4"/>
  <c r="AB386" i="4"/>
  <c r="W386" i="4"/>
  <c r="Y387" i="4"/>
  <c r="Z387" i="4"/>
  <c r="AA387" i="4"/>
  <c r="AB387" i="4"/>
  <c r="W387" i="4"/>
  <c r="Y388" i="4"/>
  <c r="Z388" i="4"/>
  <c r="AA388" i="4"/>
  <c r="AB388" i="4"/>
  <c r="W388" i="4"/>
  <c r="Y389" i="4"/>
  <c r="Z389" i="4"/>
  <c r="AA389" i="4"/>
  <c r="AB389" i="4"/>
  <c r="W389" i="4"/>
  <c r="Y390" i="4"/>
  <c r="Z390" i="4"/>
  <c r="AA390" i="4"/>
  <c r="AB390" i="4"/>
  <c r="W390" i="4"/>
  <c r="Y391" i="4"/>
  <c r="Z391" i="4"/>
  <c r="AA391" i="4"/>
  <c r="AB391" i="4"/>
  <c r="W391" i="4"/>
  <c r="Y392" i="4"/>
  <c r="Z392" i="4"/>
  <c r="AA392" i="4"/>
  <c r="AB392" i="4"/>
  <c r="W392" i="4"/>
  <c r="Y393" i="4"/>
  <c r="Z393" i="4"/>
  <c r="AA393" i="4"/>
  <c r="AB393" i="4"/>
  <c r="W393" i="4"/>
  <c r="Y394" i="4"/>
  <c r="Z394" i="4"/>
  <c r="AA394" i="4"/>
  <c r="AB394" i="4"/>
  <c r="W394" i="4"/>
  <c r="Y395" i="4"/>
  <c r="Z395" i="4"/>
  <c r="AA395" i="4"/>
  <c r="AB395" i="4"/>
  <c r="W395" i="4"/>
  <c r="Y396" i="4"/>
  <c r="Z396" i="4"/>
  <c r="AA396" i="4"/>
  <c r="AB396" i="4"/>
  <c r="W396" i="4"/>
  <c r="Y397" i="4"/>
  <c r="Z397" i="4"/>
  <c r="AA397" i="4"/>
  <c r="AB397" i="4"/>
  <c r="W397" i="4"/>
  <c r="Y398" i="4"/>
  <c r="Z398" i="4"/>
  <c r="AA398" i="4"/>
  <c r="AB398" i="4"/>
  <c r="W398" i="4"/>
  <c r="Y399" i="4"/>
  <c r="Z399" i="4"/>
  <c r="AA399" i="4"/>
  <c r="AB399" i="4"/>
  <c r="W399" i="4"/>
  <c r="Y400" i="4"/>
  <c r="Z400" i="4"/>
  <c r="AA400" i="4"/>
  <c r="AB400" i="4"/>
  <c r="W400" i="4"/>
  <c r="Y401" i="4"/>
  <c r="Z401" i="4"/>
  <c r="AA401" i="4"/>
  <c r="AB401" i="4"/>
  <c r="W401" i="4"/>
  <c r="Y402" i="4"/>
  <c r="Z402" i="4"/>
  <c r="AA402" i="4"/>
  <c r="AB402" i="4"/>
  <c r="W402" i="4"/>
  <c r="Y403" i="4"/>
  <c r="Z403" i="4"/>
  <c r="AA403" i="4"/>
  <c r="AB403" i="4"/>
  <c r="W403" i="4"/>
  <c r="Y404" i="4"/>
  <c r="Z404" i="4"/>
  <c r="AA404" i="4"/>
  <c r="AB404" i="4"/>
  <c r="W404" i="4"/>
  <c r="Y405" i="4"/>
  <c r="Z405" i="4"/>
  <c r="AA405" i="4"/>
  <c r="AB405" i="4"/>
  <c r="W405" i="4"/>
  <c r="Y406" i="4"/>
  <c r="Z406" i="4"/>
  <c r="AA406" i="4"/>
  <c r="AB406" i="4"/>
  <c r="W406" i="4"/>
  <c r="Y407" i="4"/>
  <c r="Z407" i="4"/>
  <c r="AA407" i="4"/>
  <c r="AB407" i="4"/>
  <c r="W407" i="4"/>
  <c r="Y408" i="4"/>
  <c r="Z408" i="4"/>
  <c r="AA408" i="4"/>
  <c r="AB408" i="4"/>
  <c r="W408" i="4"/>
  <c r="Y409" i="4"/>
  <c r="Z409" i="4"/>
  <c r="AA409" i="4"/>
  <c r="AB409" i="4"/>
  <c r="W409" i="4"/>
  <c r="Y410" i="4"/>
  <c r="Z410" i="4"/>
  <c r="AA410" i="4"/>
  <c r="AB410" i="4"/>
  <c r="W410" i="4"/>
  <c r="Y411" i="4"/>
  <c r="Z411" i="4"/>
  <c r="AA411" i="4"/>
  <c r="AB411" i="4"/>
  <c r="W411" i="4"/>
  <c r="Y412" i="4"/>
  <c r="Z412" i="4"/>
  <c r="AA412" i="4"/>
  <c r="AB412" i="4"/>
  <c r="W412" i="4"/>
  <c r="Y413" i="4"/>
  <c r="Z413" i="4"/>
  <c r="AA413" i="4"/>
  <c r="AB413" i="4"/>
  <c r="W413" i="4"/>
  <c r="Y414" i="4"/>
  <c r="Z414" i="4"/>
  <c r="AA414" i="4"/>
  <c r="AB414" i="4"/>
  <c r="W414" i="4"/>
  <c r="Y415" i="4"/>
  <c r="Z415" i="4"/>
  <c r="AA415" i="4"/>
  <c r="AB415" i="4"/>
  <c r="W415" i="4"/>
  <c r="Y416" i="4"/>
  <c r="Z416" i="4"/>
  <c r="AA416" i="4"/>
  <c r="AB416" i="4"/>
  <c r="W416" i="4"/>
  <c r="Y417" i="4"/>
  <c r="Z417" i="4"/>
  <c r="AA417" i="4"/>
  <c r="AB417" i="4"/>
  <c r="W417" i="4"/>
  <c r="Y418" i="4"/>
  <c r="Z418" i="4"/>
  <c r="AA418" i="4"/>
  <c r="AB418" i="4"/>
  <c r="W418" i="4"/>
  <c r="Y419" i="4"/>
  <c r="Z419" i="4"/>
  <c r="AA419" i="4"/>
  <c r="AB419" i="4"/>
  <c r="W419" i="4"/>
  <c r="Y420" i="4"/>
  <c r="Z420" i="4"/>
  <c r="AA420" i="4"/>
  <c r="AB420" i="4"/>
  <c r="W420" i="4"/>
  <c r="Y421" i="4"/>
  <c r="Z421" i="4"/>
  <c r="AA421" i="4"/>
  <c r="AB421" i="4"/>
  <c r="W421" i="4"/>
  <c r="Y422" i="4"/>
  <c r="Z422" i="4"/>
  <c r="AA422" i="4"/>
  <c r="AB422" i="4"/>
  <c r="W422" i="4"/>
  <c r="Y423" i="4"/>
  <c r="Z423" i="4"/>
  <c r="AA423" i="4"/>
  <c r="AB423" i="4"/>
  <c r="W423" i="4"/>
  <c r="Y424" i="4"/>
  <c r="Z424" i="4"/>
  <c r="AA424" i="4"/>
  <c r="AB424" i="4"/>
  <c r="W424" i="4"/>
  <c r="Y425" i="4"/>
  <c r="Z425" i="4"/>
  <c r="AA425" i="4"/>
  <c r="AB425" i="4"/>
  <c r="W425" i="4"/>
  <c r="Y426" i="4"/>
  <c r="Z426" i="4"/>
  <c r="AA426" i="4"/>
  <c r="AB426" i="4"/>
  <c r="W426" i="4"/>
  <c r="Y427" i="4"/>
  <c r="Z427" i="4"/>
  <c r="AA427" i="4"/>
  <c r="AB427" i="4"/>
  <c r="W427" i="4"/>
  <c r="Y428" i="4"/>
  <c r="Z428" i="4"/>
  <c r="AA428" i="4"/>
  <c r="AB428" i="4"/>
  <c r="W428" i="4"/>
  <c r="Y429" i="4"/>
  <c r="Z429" i="4"/>
  <c r="AA429" i="4"/>
  <c r="AB429" i="4"/>
  <c r="W429" i="4"/>
  <c r="Y430" i="4"/>
  <c r="Z430" i="4"/>
  <c r="AA430" i="4"/>
  <c r="AB430" i="4"/>
  <c r="W430" i="4"/>
  <c r="Y431" i="4"/>
  <c r="Z431" i="4"/>
  <c r="AA431" i="4"/>
  <c r="AB431" i="4"/>
  <c r="W431" i="4"/>
  <c r="Y432" i="4"/>
  <c r="Z432" i="4"/>
  <c r="AA432" i="4"/>
  <c r="AB432" i="4"/>
  <c r="W432" i="4"/>
  <c r="Y433" i="4"/>
  <c r="Z433" i="4"/>
  <c r="AA433" i="4"/>
  <c r="AB433" i="4"/>
  <c r="W433" i="4"/>
  <c r="Y434" i="4"/>
  <c r="Z434" i="4"/>
  <c r="AA434" i="4"/>
  <c r="AB434" i="4"/>
  <c r="W434" i="4"/>
  <c r="Y435" i="4"/>
  <c r="Z435" i="4"/>
  <c r="AA435" i="4"/>
  <c r="AB435" i="4"/>
  <c r="W435" i="4"/>
  <c r="Y436" i="4"/>
  <c r="Z436" i="4"/>
  <c r="AA436" i="4"/>
  <c r="AB436" i="4"/>
  <c r="W436" i="4"/>
  <c r="Y437" i="4"/>
  <c r="Z437" i="4"/>
  <c r="AA437" i="4"/>
  <c r="AB437" i="4"/>
  <c r="W437" i="4"/>
  <c r="Y438" i="4"/>
  <c r="Z438" i="4"/>
  <c r="AA438" i="4"/>
  <c r="AB438" i="4"/>
  <c r="W438" i="4"/>
  <c r="Y439" i="4"/>
  <c r="Z439" i="4"/>
  <c r="AA439" i="4"/>
  <c r="AB439" i="4"/>
  <c r="W439" i="4"/>
  <c r="Y440" i="4"/>
  <c r="Z440" i="4"/>
  <c r="AA440" i="4"/>
  <c r="AB440" i="4"/>
  <c r="W440" i="4"/>
  <c r="Y441" i="4"/>
  <c r="Z441" i="4"/>
  <c r="AA441" i="4"/>
  <c r="AB441" i="4"/>
  <c r="W441" i="4"/>
  <c r="Y442" i="4"/>
  <c r="Z442" i="4"/>
  <c r="AA442" i="4"/>
  <c r="AB442" i="4"/>
  <c r="W442" i="4"/>
  <c r="Y443" i="4"/>
  <c r="Z443" i="4"/>
  <c r="AA443" i="4"/>
  <c r="AB443" i="4"/>
  <c r="W443" i="4"/>
  <c r="Y444" i="4"/>
  <c r="Z444" i="4"/>
  <c r="AA444" i="4"/>
  <c r="AB444" i="4"/>
  <c r="W444" i="4"/>
  <c r="Y445" i="4"/>
  <c r="Z445" i="4"/>
  <c r="AA445" i="4"/>
  <c r="AB445" i="4"/>
  <c r="W445" i="4"/>
  <c r="Y446" i="4"/>
  <c r="Z446" i="4"/>
  <c r="AA446" i="4"/>
  <c r="AB446" i="4"/>
  <c r="W446" i="4"/>
  <c r="Y447" i="4"/>
  <c r="Z447" i="4"/>
  <c r="AA447" i="4"/>
  <c r="AB447" i="4"/>
  <c r="W447" i="4"/>
  <c r="Y448" i="4"/>
  <c r="Z448" i="4"/>
  <c r="AA448" i="4"/>
  <c r="AB448" i="4"/>
  <c r="W448" i="4"/>
  <c r="Y449" i="4"/>
  <c r="Z449" i="4"/>
  <c r="AA449" i="4"/>
  <c r="AB449" i="4"/>
  <c r="W449" i="4"/>
  <c r="Y450" i="4"/>
  <c r="Z450" i="4"/>
  <c r="AA450" i="4"/>
  <c r="AB450" i="4"/>
  <c r="W450" i="4"/>
  <c r="Y451" i="4"/>
  <c r="Z451" i="4"/>
  <c r="AA451" i="4"/>
  <c r="AB451" i="4"/>
  <c r="W451" i="4"/>
  <c r="Y452" i="4"/>
  <c r="Z452" i="4"/>
  <c r="AA452" i="4"/>
  <c r="AB452" i="4"/>
  <c r="W452" i="4"/>
  <c r="Y453" i="4"/>
  <c r="Z453" i="4"/>
  <c r="AA453" i="4"/>
  <c r="AB453" i="4"/>
  <c r="W453" i="4"/>
  <c r="Y454" i="4"/>
  <c r="Z454" i="4"/>
  <c r="AA454" i="4"/>
  <c r="AB454" i="4"/>
  <c r="W454" i="4"/>
  <c r="Y455" i="4"/>
  <c r="Z455" i="4"/>
  <c r="AA455" i="4"/>
  <c r="AB455" i="4"/>
  <c r="W455" i="4"/>
  <c r="Y456" i="4"/>
  <c r="Z456" i="4"/>
  <c r="AA456" i="4"/>
  <c r="AB456" i="4"/>
  <c r="W456" i="4"/>
  <c r="Y457" i="4"/>
  <c r="Z457" i="4"/>
  <c r="AA457" i="4"/>
  <c r="AB457" i="4"/>
  <c r="W457" i="4"/>
  <c r="Y458" i="4"/>
  <c r="Z458" i="4"/>
  <c r="AA458" i="4"/>
  <c r="AB458" i="4"/>
  <c r="W458" i="4"/>
  <c r="Y459" i="4"/>
  <c r="Z459" i="4"/>
  <c r="AA459" i="4"/>
  <c r="AB459" i="4"/>
  <c r="W459" i="4"/>
  <c r="Y460" i="4"/>
  <c r="Z460" i="4"/>
  <c r="AA460" i="4"/>
  <c r="AB460" i="4"/>
  <c r="W460" i="4"/>
  <c r="Y461" i="4"/>
  <c r="Z461" i="4"/>
  <c r="AA461" i="4"/>
  <c r="AB461" i="4"/>
  <c r="W461" i="4"/>
  <c r="Y462" i="4"/>
  <c r="Z462" i="4"/>
  <c r="AA462" i="4"/>
  <c r="AB462" i="4"/>
  <c r="W462" i="4"/>
  <c r="Y463" i="4"/>
  <c r="Z463" i="4"/>
  <c r="AA463" i="4"/>
  <c r="AB463" i="4"/>
  <c r="W463" i="4"/>
  <c r="Y464" i="4"/>
  <c r="Z464" i="4"/>
  <c r="AA464" i="4"/>
  <c r="AB464" i="4"/>
  <c r="W464" i="4"/>
  <c r="Y465" i="4"/>
  <c r="Z465" i="4"/>
  <c r="AA465" i="4"/>
  <c r="AB465" i="4"/>
  <c r="W465" i="4"/>
  <c r="Y466" i="4"/>
  <c r="Z466" i="4"/>
  <c r="AA466" i="4"/>
  <c r="AB466" i="4"/>
  <c r="W466" i="4"/>
  <c r="Y467" i="4"/>
  <c r="Z467" i="4"/>
  <c r="AA467" i="4"/>
  <c r="AB467" i="4"/>
  <c r="W467" i="4"/>
  <c r="Y468" i="4"/>
  <c r="Z468" i="4"/>
  <c r="AA468" i="4"/>
  <c r="AB468" i="4"/>
  <c r="W468" i="4"/>
  <c r="Y469" i="4"/>
  <c r="Z469" i="4"/>
  <c r="AA469" i="4"/>
  <c r="AB469" i="4"/>
  <c r="W469" i="4"/>
  <c r="Y470" i="4"/>
  <c r="Z470" i="4"/>
  <c r="AA470" i="4"/>
  <c r="AB470" i="4"/>
  <c r="W470" i="4"/>
  <c r="Y471" i="4"/>
  <c r="Z471" i="4"/>
  <c r="AA471" i="4"/>
  <c r="AB471" i="4"/>
  <c r="W471" i="4"/>
  <c r="Y472" i="4"/>
  <c r="Z472" i="4"/>
  <c r="AA472" i="4"/>
  <c r="AB472" i="4"/>
  <c r="W472" i="4"/>
  <c r="Y473" i="4"/>
  <c r="Z473" i="4"/>
  <c r="AA473" i="4"/>
  <c r="AB473" i="4"/>
  <c r="W473" i="4"/>
  <c r="Y474" i="4"/>
  <c r="Z474" i="4"/>
  <c r="AA474" i="4"/>
  <c r="AB474" i="4"/>
  <c r="W474" i="4"/>
  <c r="Y475" i="4"/>
  <c r="Z475" i="4"/>
  <c r="AA475" i="4"/>
  <c r="AB475" i="4"/>
  <c r="W475" i="4"/>
  <c r="Y476" i="4"/>
  <c r="Z476" i="4"/>
  <c r="AA476" i="4"/>
  <c r="AB476" i="4"/>
  <c r="W476" i="4"/>
  <c r="Y477" i="4"/>
  <c r="Z477" i="4"/>
  <c r="AA477" i="4"/>
  <c r="AB477" i="4"/>
  <c r="W477" i="4"/>
  <c r="Y478" i="4"/>
  <c r="Z478" i="4"/>
  <c r="AA478" i="4"/>
  <c r="AB478" i="4"/>
  <c r="W478" i="4"/>
  <c r="Y479" i="4"/>
  <c r="Z479" i="4"/>
  <c r="AA479" i="4"/>
  <c r="AB479" i="4"/>
  <c r="W479" i="4"/>
  <c r="Y480" i="4"/>
  <c r="Z480" i="4"/>
  <c r="AA480" i="4"/>
  <c r="AB480" i="4"/>
  <c r="W480" i="4"/>
  <c r="Y481" i="4"/>
  <c r="Z481" i="4"/>
  <c r="AA481" i="4"/>
  <c r="AB481" i="4"/>
  <c r="W481" i="4"/>
  <c r="Y482" i="4"/>
  <c r="Z482" i="4"/>
  <c r="AA482" i="4"/>
  <c r="AB482" i="4"/>
  <c r="W482" i="4"/>
  <c r="Y483" i="4"/>
  <c r="Z483" i="4"/>
  <c r="AA483" i="4"/>
  <c r="AB483" i="4"/>
  <c r="W483" i="4"/>
  <c r="Y484" i="4"/>
  <c r="Z484" i="4"/>
  <c r="AA484" i="4"/>
  <c r="AB484" i="4"/>
  <c r="W484" i="4"/>
  <c r="Y485" i="4"/>
  <c r="Z485" i="4"/>
  <c r="AA485" i="4"/>
  <c r="AB485" i="4"/>
  <c r="W485" i="4"/>
  <c r="Y486" i="4"/>
  <c r="Z486" i="4"/>
  <c r="AA486" i="4"/>
  <c r="AB486" i="4"/>
  <c r="W486" i="4"/>
  <c r="Y487" i="4"/>
  <c r="Z487" i="4"/>
  <c r="AA487" i="4"/>
  <c r="AB487" i="4"/>
  <c r="W487" i="4"/>
  <c r="Y488" i="4"/>
  <c r="Z488" i="4"/>
  <c r="AA488" i="4"/>
  <c r="AB488" i="4"/>
  <c r="W488" i="4"/>
  <c r="Y489" i="4"/>
  <c r="Z489" i="4"/>
  <c r="AA489" i="4"/>
  <c r="AB489" i="4"/>
  <c r="W489" i="4"/>
  <c r="Y490" i="4"/>
  <c r="Z490" i="4"/>
  <c r="AA490" i="4"/>
  <c r="AB490" i="4"/>
  <c r="W490" i="4"/>
  <c r="Y491" i="4"/>
  <c r="Z491" i="4"/>
  <c r="AA491" i="4"/>
  <c r="AB491" i="4"/>
  <c r="W491" i="4"/>
  <c r="Y492" i="4"/>
  <c r="Z492" i="4"/>
  <c r="AA492" i="4"/>
  <c r="AB492" i="4"/>
  <c r="W492" i="4"/>
  <c r="Y493" i="4"/>
  <c r="Z493" i="4"/>
  <c r="AA493" i="4"/>
  <c r="AB493" i="4"/>
  <c r="W493" i="4"/>
  <c r="Y494" i="4"/>
  <c r="Z494" i="4"/>
  <c r="AA494" i="4"/>
  <c r="AB494" i="4"/>
  <c r="W494" i="4"/>
  <c r="Y495" i="4"/>
  <c r="Z495" i="4"/>
  <c r="AA495" i="4"/>
  <c r="AB495" i="4"/>
  <c r="W495" i="4"/>
  <c r="Y496" i="4"/>
  <c r="Z496" i="4"/>
  <c r="AA496" i="4"/>
  <c r="AB496" i="4"/>
  <c r="W496" i="4"/>
  <c r="Y497" i="4"/>
  <c r="Z497" i="4"/>
  <c r="AA497" i="4"/>
  <c r="AB497" i="4"/>
  <c r="W497" i="4"/>
  <c r="Y498" i="4"/>
  <c r="Z498" i="4"/>
  <c r="AA498" i="4"/>
  <c r="AB498" i="4"/>
  <c r="W498" i="4"/>
  <c r="Y499" i="4"/>
  <c r="Z499" i="4"/>
  <c r="AA499" i="4"/>
  <c r="AB499" i="4"/>
  <c r="W499" i="4"/>
  <c r="Y500" i="4"/>
  <c r="Z500" i="4"/>
  <c r="AA500" i="4"/>
  <c r="AB500" i="4"/>
  <c r="W500" i="4"/>
  <c r="Y501" i="4"/>
  <c r="Z501" i="4"/>
  <c r="AA501" i="4"/>
  <c r="AB501" i="4"/>
  <c r="W501" i="4"/>
  <c r="Y502" i="4"/>
  <c r="Z502" i="4"/>
  <c r="AA502" i="4"/>
  <c r="AB502" i="4"/>
  <c r="W502" i="4"/>
  <c r="Y503" i="4"/>
  <c r="Z503" i="4"/>
  <c r="AA503" i="4"/>
  <c r="AB503" i="4"/>
  <c r="W503" i="4"/>
  <c r="Y504" i="4"/>
  <c r="Z504" i="4"/>
  <c r="AA504" i="4"/>
  <c r="AB504" i="4"/>
  <c r="W504" i="4"/>
  <c r="Y505" i="4"/>
  <c r="Z505" i="4"/>
  <c r="AA505" i="4"/>
  <c r="AB505" i="4"/>
  <c r="W505" i="4"/>
  <c r="Y506" i="4"/>
  <c r="Z506" i="4"/>
  <c r="AA506" i="4"/>
  <c r="AB506" i="4"/>
  <c r="W506" i="4"/>
  <c r="Y507" i="4"/>
  <c r="Z507" i="4"/>
  <c r="AA507" i="4"/>
  <c r="AB507" i="4"/>
  <c r="W507" i="4"/>
  <c r="Y508" i="4"/>
  <c r="Z508" i="4"/>
  <c r="AA508" i="4"/>
  <c r="AB508" i="4"/>
  <c r="W508" i="4"/>
  <c r="Y509" i="4"/>
  <c r="Z509" i="4"/>
  <c r="AA509" i="4"/>
  <c r="AB509" i="4"/>
  <c r="W509" i="4"/>
  <c r="Y510" i="4"/>
  <c r="Z510" i="4"/>
  <c r="AA510" i="4"/>
  <c r="AB510" i="4"/>
  <c r="W510" i="4"/>
  <c r="Y511" i="4"/>
  <c r="Z511" i="4"/>
  <c r="AA511" i="4"/>
  <c r="AB511" i="4"/>
  <c r="W511" i="4"/>
  <c r="Y512" i="4"/>
  <c r="Z512" i="4"/>
  <c r="AA512" i="4"/>
  <c r="AB512" i="4"/>
  <c r="W512" i="4"/>
  <c r="Y513" i="4"/>
  <c r="Z513" i="4"/>
  <c r="AA513" i="4"/>
  <c r="AB513" i="4"/>
  <c r="W513" i="4"/>
  <c r="Y514" i="4"/>
  <c r="Z514" i="4"/>
  <c r="AA514" i="4"/>
  <c r="AB514" i="4"/>
  <c r="W514" i="4"/>
  <c r="Y515" i="4"/>
  <c r="Z515" i="4"/>
  <c r="AA515" i="4"/>
  <c r="AB515" i="4"/>
  <c r="W515" i="4"/>
  <c r="Y516" i="4"/>
  <c r="Z516" i="4"/>
  <c r="AA516" i="4"/>
  <c r="AB516" i="4"/>
  <c r="W516" i="4"/>
  <c r="Y517" i="4"/>
  <c r="Z517" i="4"/>
  <c r="AA517" i="4"/>
  <c r="AB517" i="4"/>
  <c r="W517" i="4"/>
  <c r="Y518" i="4"/>
  <c r="Z518" i="4"/>
  <c r="AA518" i="4"/>
  <c r="AB518" i="4"/>
  <c r="W518" i="4"/>
  <c r="Y519" i="4"/>
  <c r="Z519" i="4"/>
  <c r="AA519" i="4"/>
  <c r="AB519" i="4"/>
  <c r="W519" i="4"/>
  <c r="Y520" i="4"/>
  <c r="Z520" i="4"/>
  <c r="AA520" i="4"/>
  <c r="AB520" i="4"/>
  <c r="W520" i="4"/>
  <c r="Y521" i="4"/>
  <c r="Z521" i="4"/>
  <c r="AA521" i="4"/>
  <c r="AB521" i="4"/>
  <c r="W521" i="4"/>
  <c r="Y522" i="4"/>
  <c r="Z522" i="4"/>
  <c r="AA522" i="4"/>
  <c r="AB522" i="4"/>
  <c r="W522" i="4"/>
  <c r="Y523" i="4"/>
  <c r="Z523" i="4"/>
  <c r="AA523" i="4"/>
  <c r="AB523" i="4"/>
  <c r="W523" i="4"/>
  <c r="Y524" i="4"/>
  <c r="Z524" i="4"/>
  <c r="AA524" i="4"/>
  <c r="AB524" i="4"/>
  <c r="W524" i="4"/>
  <c r="Y525" i="4"/>
  <c r="Z525" i="4"/>
  <c r="AA525" i="4"/>
  <c r="AB525" i="4"/>
  <c r="W525" i="4"/>
  <c r="Y526" i="4"/>
  <c r="Z526" i="4"/>
  <c r="AA526" i="4"/>
  <c r="AB526" i="4"/>
  <c r="W526" i="4"/>
  <c r="Y527" i="4"/>
  <c r="Z527" i="4"/>
  <c r="AA527" i="4"/>
  <c r="AB527" i="4"/>
  <c r="W527" i="4"/>
  <c r="Y528" i="4"/>
  <c r="Z528" i="4"/>
  <c r="AA528" i="4"/>
  <c r="AB528" i="4"/>
  <c r="W528" i="4"/>
  <c r="Y529" i="4"/>
  <c r="Z529" i="4"/>
  <c r="AA529" i="4"/>
  <c r="AB529" i="4"/>
  <c r="W529" i="4"/>
  <c r="Y530" i="4"/>
  <c r="Z530" i="4"/>
  <c r="AA530" i="4"/>
  <c r="AB530" i="4"/>
  <c r="W530" i="4"/>
  <c r="Y531" i="4"/>
  <c r="Z531" i="4"/>
  <c r="AA531" i="4"/>
  <c r="AB531" i="4"/>
  <c r="W531" i="4"/>
  <c r="Y532" i="4"/>
  <c r="Z532" i="4"/>
  <c r="AA532" i="4"/>
  <c r="AB532" i="4"/>
  <c r="W532" i="4"/>
  <c r="Y533" i="4"/>
  <c r="Z533" i="4"/>
  <c r="AA533" i="4"/>
  <c r="AB533" i="4"/>
  <c r="W533" i="4"/>
  <c r="Y534" i="4"/>
  <c r="Z534" i="4"/>
  <c r="AA534" i="4"/>
  <c r="AB534" i="4"/>
  <c r="W534" i="4"/>
  <c r="Y535" i="4"/>
  <c r="Z535" i="4"/>
  <c r="AA535" i="4"/>
  <c r="AB535" i="4"/>
  <c r="W535" i="4"/>
  <c r="Y536" i="4"/>
  <c r="Z536" i="4"/>
  <c r="AA536" i="4"/>
  <c r="AB536" i="4"/>
  <c r="W536" i="4"/>
  <c r="Y537" i="4"/>
  <c r="Z537" i="4"/>
  <c r="AA537" i="4"/>
  <c r="AB537" i="4"/>
  <c r="W537" i="4"/>
  <c r="Y538" i="4"/>
  <c r="Z538" i="4"/>
  <c r="AA538" i="4"/>
  <c r="AB538" i="4"/>
  <c r="W538" i="4"/>
  <c r="Y539" i="4"/>
  <c r="Z539" i="4"/>
  <c r="AA539" i="4"/>
  <c r="AB539" i="4"/>
  <c r="W539" i="4"/>
  <c r="Y540" i="4"/>
  <c r="Z540" i="4"/>
  <c r="AA540" i="4"/>
  <c r="AB540" i="4"/>
  <c r="W540" i="4"/>
  <c r="Y541" i="4"/>
  <c r="Z541" i="4"/>
  <c r="AA541" i="4"/>
  <c r="AB541" i="4"/>
  <c r="W541" i="4"/>
  <c r="Y542" i="4"/>
  <c r="Z542" i="4"/>
  <c r="AA542" i="4"/>
  <c r="AB542" i="4"/>
  <c r="W542" i="4"/>
  <c r="Y543" i="4"/>
  <c r="Z543" i="4"/>
  <c r="AA543" i="4"/>
  <c r="AB543" i="4"/>
  <c r="W543" i="4"/>
  <c r="Y544" i="4"/>
  <c r="Z544" i="4"/>
  <c r="AA544" i="4"/>
  <c r="AB544" i="4"/>
  <c r="W544" i="4"/>
  <c r="Y545" i="4"/>
  <c r="Z545" i="4"/>
  <c r="AA545" i="4"/>
  <c r="AB545" i="4"/>
  <c r="W545" i="4"/>
  <c r="Y546" i="4"/>
  <c r="Z546" i="4"/>
  <c r="AA546" i="4"/>
  <c r="AB546" i="4"/>
  <c r="W546" i="4"/>
  <c r="Y547" i="4"/>
  <c r="Z547" i="4"/>
  <c r="AA547" i="4"/>
  <c r="AB547" i="4"/>
  <c r="W547" i="4"/>
  <c r="Y548" i="4"/>
  <c r="Z548" i="4"/>
  <c r="AA548" i="4"/>
  <c r="AB548" i="4"/>
  <c r="W548" i="4"/>
  <c r="Y549" i="4"/>
  <c r="Z549" i="4"/>
  <c r="AA549" i="4"/>
  <c r="AB549" i="4"/>
  <c r="W549" i="4"/>
  <c r="Y550" i="4"/>
  <c r="Z550" i="4"/>
  <c r="AA550" i="4"/>
  <c r="AB550" i="4"/>
  <c r="W550" i="4"/>
  <c r="Y551" i="4"/>
  <c r="Z551" i="4"/>
  <c r="AA551" i="4"/>
  <c r="AB551" i="4"/>
  <c r="W551" i="4"/>
  <c r="Y552" i="4"/>
  <c r="Z552" i="4"/>
  <c r="AA552" i="4"/>
  <c r="AB552" i="4"/>
  <c r="W552" i="4"/>
  <c r="Y553" i="4"/>
  <c r="Z553" i="4"/>
  <c r="AA553" i="4"/>
  <c r="AB553" i="4"/>
  <c r="W553" i="4"/>
  <c r="Y554" i="4"/>
  <c r="Z554" i="4"/>
  <c r="AA554" i="4"/>
  <c r="AB554" i="4"/>
  <c r="W554" i="4"/>
  <c r="Y555" i="4"/>
  <c r="Z555" i="4"/>
  <c r="AA555" i="4"/>
  <c r="AB555" i="4"/>
  <c r="W555" i="4"/>
  <c r="Y556" i="4"/>
  <c r="Z556" i="4"/>
  <c r="AA556" i="4"/>
  <c r="AB556" i="4"/>
  <c r="W556" i="4"/>
  <c r="Y557" i="4"/>
  <c r="Z557" i="4"/>
  <c r="AA557" i="4"/>
  <c r="AB557" i="4"/>
  <c r="W557" i="4"/>
  <c r="Y558" i="4"/>
  <c r="Z558" i="4"/>
  <c r="AA558" i="4"/>
  <c r="AB558" i="4"/>
  <c r="W558" i="4"/>
  <c r="Y559" i="4"/>
  <c r="Z559" i="4"/>
  <c r="AA559" i="4"/>
  <c r="AB559" i="4"/>
  <c r="W559" i="4"/>
  <c r="Y560" i="4"/>
  <c r="Z560" i="4"/>
  <c r="AA560" i="4"/>
  <c r="AB560" i="4"/>
  <c r="W560" i="4"/>
  <c r="Y561" i="4"/>
  <c r="Z561" i="4"/>
  <c r="AA561" i="4"/>
  <c r="AB561" i="4"/>
  <c r="W561" i="4"/>
  <c r="Y562" i="4"/>
  <c r="Z562" i="4"/>
  <c r="AA562" i="4"/>
  <c r="AB562" i="4"/>
  <c r="W562" i="4"/>
  <c r="Y563" i="4"/>
  <c r="Z563" i="4"/>
  <c r="AA563" i="4"/>
  <c r="AB563" i="4"/>
  <c r="W563" i="4"/>
  <c r="Y564" i="4"/>
  <c r="Z564" i="4"/>
  <c r="AA564" i="4"/>
  <c r="AB564" i="4"/>
  <c r="W564" i="4"/>
  <c r="Y565" i="4"/>
  <c r="Z565" i="4"/>
  <c r="AA565" i="4"/>
  <c r="AB565" i="4"/>
  <c r="W565" i="4"/>
  <c r="Y566" i="4"/>
  <c r="Z566" i="4"/>
  <c r="AA566" i="4"/>
  <c r="AB566" i="4"/>
  <c r="W566" i="4"/>
  <c r="Y567" i="4"/>
  <c r="Z567" i="4"/>
  <c r="AA567" i="4"/>
  <c r="AB567" i="4"/>
  <c r="W567" i="4"/>
  <c r="Y568" i="4"/>
  <c r="Z568" i="4"/>
  <c r="AA568" i="4"/>
  <c r="AB568" i="4"/>
  <c r="W568" i="4"/>
  <c r="Y569" i="4"/>
  <c r="Z569" i="4"/>
  <c r="AA569" i="4"/>
  <c r="AB569" i="4"/>
  <c r="W569" i="4"/>
  <c r="Y570" i="4"/>
  <c r="Z570" i="4"/>
  <c r="AA570" i="4"/>
  <c r="AB570" i="4"/>
  <c r="W570" i="4"/>
  <c r="Y571" i="4"/>
  <c r="Z571" i="4"/>
  <c r="AA571" i="4"/>
  <c r="AB571" i="4"/>
  <c r="W571" i="4"/>
  <c r="Y572" i="4"/>
  <c r="Z572" i="4"/>
  <c r="AA572" i="4"/>
  <c r="AB572" i="4"/>
  <c r="W572" i="4"/>
  <c r="Y573" i="4"/>
  <c r="Z573" i="4"/>
  <c r="AA573" i="4"/>
  <c r="AB573" i="4"/>
  <c r="W573" i="4"/>
  <c r="Y574" i="4"/>
  <c r="Z574" i="4"/>
  <c r="AA574" i="4"/>
  <c r="AB574" i="4"/>
  <c r="W574" i="4"/>
  <c r="Y575" i="4"/>
  <c r="Z575" i="4"/>
  <c r="AA575" i="4"/>
  <c r="AB575" i="4"/>
  <c r="W575" i="4"/>
  <c r="Y576" i="4"/>
  <c r="Z576" i="4"/>
  <c r="AA576" i="4"/>
  <c r="AB576" i="4"/>
  <c r="W576" i="4"/>
  <c r="Y577" i="4"/>
  <c r="Z577" i="4"/>
  <c r="AA577" i="4"/>
  <c r="AB577" i="4"/>
  <c r="W577" i="4"/>
  <c r="Y578" i="4"/>
  <c r="Z578" i="4"/>
  <c r="AA578" i="4"/>
  <c r="AB578" i="4"/>
  <c r="W578" i="4"/>
  <c r="Y579" i="4"/>
  <c r="Z579" i="4"/>
  <c r="AA579" i="4"/>
  <c r="AB579" i="4"/>
  <c r="W579" i="4"/>
  <c r="Y580" i="4"/>
  <c r="Z580" i="4"/>
  <c r="AA580" i="4"/>
  <c r="AB580" i="4"/>
  <c r="W580" i="4"/>
  <c r="Y581" i="4"/>
  <c r="Z581" i="4"/>
  <c r="AA581" i="4"/>
  <c r="AB581" i="4"/>
  <c r="W581" i="4"/>
  <c r="Y582" i="4"/>
  <c r="Z582" i="4"/>
  <c r="AA582" i="4"/>
  <c r="AB582" i="4"/>
  <c r="W582" i="4"/>
  <c r="Y583" i="4"/>
  <c r="Z583" i="4"/>
  <c r="AA583" i="4"/>
  <c r="AB583" i="4"/>
  <c r="W583" i="4"/>
  <c r="Y584" i="4"/>
  <c r="Z584" i="4"/>
  <c r="AA584" i="4"/>
  <c r="AB584" i="4"/>
  <c r="W584" i="4"/>
  <c r="Y585" i="4"/>
  <c r="Z585" i="4"/>
  <c r="AA585" i="4"/>
  <c r="AB585" i="4"/>
  <c r="W585" i="4"/>
  <c r="Y586" i="4"/>
  <c r="Z586" i="4"/>
  <c r="AA586" i="4"/>
  <c r="AB586" i="4"/>
  <c r="W586" i="4"/>
  <c r="Y587" i="4"/>
  <c r="Z587" i="4"/>
  <c r="AA587" i="4"/>
  <c r="AB587" i="4"/>
  <c r="W587" i="4"/>
  <c r="Y588" i="4"/>
  <c r="Z588" i="4"/>
  <c r="AA588" i="4"/>
  <c r="AB588" i="4"/>
  <c r="W588" i="4"/>
  <c r="Y589" i="4"/>
  <c r="Z589" i="4"/>
  <c r="AA589" i="4"/>
  <c r="AB589" i="4"/>
  <c r="W589" i="4"/>
  <c r="Y590" i="4"/>
  <c r="Z590" i="4"/>
  <c r="AA590" i="4"/>
  <c r="AB590" i="4"/>
  <c r="W590" i="4"/>
  <c r="Y591" i="4"/>
  <c r="Z591" i="4"/>
  <c r="AA591" i="4"/>
  <c r="AB591" i="4"/>
  <c r="W591" i="4"/>
  <c r="Y592" i="4"/>
  <c r="Z592" i="4"/>
  <c r="AA592" i="4"/>
  <c r="AB592" i="4"/>
  <c r="W592" i="4"/>
  <c r="Y593" i="4"/>
  <c r="Z593" i="4"/>
  <c r="AA593" i="4"/>
  <c r="AB593" i="4"/>
  <c r="W593" i="4"/>
  <c r="Y594" i="4"/>
  <c r="Z594" i="4"/>
  <c r="AA594" i="4"/>
  <c r="AB594" i="4"/>
  <c r="W594" i="4"/>
  <c r="Y595" i="4"/>
  <c r="Z595" i="4"/>
  <c r="AA595" i="4"/>
  <c r="AB595" i="4"/>
  <c r="W595" i="4"/>
  <c r="Y596" i="4"/>
  <c r="Z596" i="4"/>
  <c r="AA596" i="4"/>
  <c r="AB596" i="4"/>
  <c r="W596" i="4"/>
  <c r="Y597" i="4"/>
  <c r="Z597" i="4"/>
  <c r="AA597" i="4"/>
  <c r="AB597" i="4"/>
  <c r="W597" i="4"/>
  <c r="Y598" i="4"/>
  <c r="Z598" i="4"/>
  <c r="AA598" i="4"/>
  <c r="AB598" i="4"/>
  <c r="W598" i="4"/>
  <c r="Y599" i="4"/>
  <c r="Z599" i="4"/>
  <c r="AA599" i="4"/>
  <c r="AB599" i="4"/>
  <c r="W599" i="4"/>
  <c r="Y600" i="4"/>
  <c r="Z600" i="4"/>
  <c r="AA600" i="4"/>
  <c r="AB600" i="4"/>
  <c r="W600" i="4"/>
  <c r="Y601" i="4"/>
  <c r="Z601" i="4"/>
  <c r="AA601" i="4"/>
  <c r="AB601" i="4"/>
  <c r="W601" i="4"/>
  <c r="Y602" i="4"/>
  <c r="Z602" i="4"/>
  <c r="AA602" i="4"/>
  <c r="AB602" i="4"/>
  <c r="W602" i="4"/>
  <c r="Y603" i="4"/>
  <c r="Z603" i="4"/>
  <c r="AA603" i="4"/>
  <c r="AB603" i="4"/>
  <c r="W603" i="4"/>
  <c r="Y604" i="4"/>
  <c r="Z604" i="4"/>
  <c r="AA604" i="4"/>
  <c r="AB604" i="4"/>
  <c r="W604" i="4"/>
  <c r="Y605" i="4"/>
  <c r="Z605" i="4"/>
  <c r="AA605" i="4"/>
  <c r="AB605" i="4"/>
  <c r="W605" i="4"/>
  <c r="Y606" i="4"/>
  <c r="Z606" i="4"/>
  <c r="AA606" i="4"/>
  <c r="AB606" i="4"/>
  <c r="W606" i="4"/>
  <c r="Y607" i="4"/>
  <c r="Z607" i="4"/>
  <c r="AA607" i="4"/>
  <c r="AB607" i="4"/>
  <c r="W607" i="4"/>
  <c r="Y608" i="4"/>
  <c r="Z608" i="4"/>
  <c r="AA608" i="4"/>
  <c r="AB608" i="4"/>
  <c r="W608" i="4"/>
  <c r="Y609" i="4"/>
  <c r="Z609" i="4"/>
  <c r="AA609" i="4"/>
  <c r="AB609" i="4"/>
  <c r="W609" i="4"/>
  <c r="Y610" i="4"/>
  <c r="Z610" i="4"/>
  <c r="AA610" i="4"/>
  <c r="AB610" i="4"/>
  <c r="W610" i="4"/>
  <c r="Y611" i="4"/>
  <c r="Z611" i="4"/>
  <c r="AA611" i="4"/>
  <c r="AB611" i="4"/>
  <c r="W611" i="4"/>
  <c r="Y612" i="4"/>
  <c r="Z612" i="4"/>
  <c r="AA612" i="4"/>
  <c r="AB612" i="4"/>
  <c r="W612" i="4"/>
  <c r="Y613" i="4"/>
  <c r="Z613" i="4"/>
  <c r="AA613" i="4"/>
  <c r="AB613" i="4"/>
  <c r="W613" i="4"/>
  <c r="Y614" i="4"/>
  <c r="Z614" i="4"/>
  <c r="AA614" i="4"/>
  <c r="AB614" i="4"/>
  <c r="W614" i="4"/>
  <c r="Y615" i="4"/>
  <c r="Z615" i="4"/>
  <c r="AA615" i="4"/>
  <c r="AB615" i="4"/>
  <c r="W615" i="4"/>
  <c r="Y616" i="4"/>
  <c r="Z616" i="4"/>
  <c r="AA616" i="4"/>
  <c r="AB616" i="4"/>
  <c r="W616" i="4"/>
  <c r="Y617" i="4"/>
  <c r="Z617" i="4"/>
  <c r="AA617" i="4"/>
  <c r="AB617" i="4"/>
  <c r="W617" i="4"/>
  <c r="Y618" i="4"/>
  <c r="Z618" i="4"/>
  <c r="AA618" i="4"/>
  <c r="AB618" i="4"/>
  <c r="W618" i="4"/>
  <c r="Y619" i="4"/>
  <c r="Z619" i="4"/>
  <c r="AA619" i="4"/>
  <c r="AB619" i="4"/>
  <c r="W619" i="4"/>
  <c r="Y620" i="4"/>
  <c r="Z620" i="4"/>
  <c r="AA620" i="4"/>
  <c r="AB620" i="4"/>
  <c r="W620" i="4"/>
  <c r="Y621" i="4"/>
  <c r="Z621" i="4"/>
  <c r="AA621" i="4"/>
  <c r="AB621" i="4"/>
  <c r="W621" i="4"/>
  <c r="Y622" i="4"/>
  <c r="Z622" i="4"/>
  <c r="AA622" i="4"/>
  <c r="AB622" i="4"/>
  <c r="W622" i="4"/>
  <c r="Y623" i="4"/>
  <c r="Z623" i="4"/>
  <c r="AA623" i="4"/>
  <c r="AB623" i="4"/>
  <c r="W623" i="4"/>
  <c r="Y624" i="4"/>
  <c r="Z624" i="4"/>
  <c r="AA624" i="4"/>
  <c r="AB624" i="4"/>
  <c r="W624" i="4"/>
  <c r="Y625" i="4"/>
  <c r="Z625" i="4"/>
  <c r="AA625" i="4"/>
  <c r="AB625" i="4"/>
  <c r="W625" i="4"/>
  <c r="Y626" i="4"/>
  <c r="Z626" i="4"/>
  <c r="AA626" i="4"/>
  <c r="AB626" i="4"/>
  <c r="W626" i="4"/>
  <c r="Y627" i="4"/>
  <c r="Z627" i="4"/>
  <c r="AA627" i="4"/>
  <c r="AB627" i="4"/>
  <c r="W627" i="4"/>
  <c r="Y628" i="4"/>
  <c r="Z628" i="4"/>
  <c r="AA628" i="4"/>
  <c r="AB628" i="4"/>
  <c r="W628" i="4"/>
  <c r="Y629" i="4"/>
  <c r="Z629" i="4"/>
  <c r="AA629" i="4"/>
  <c r="AB629" i="4"/>
  <c r="W629" i="4"/>
  <c r="Y630" i="4"/>
  <c r="Z630" i="4"/>
  <c r="AA630" i="4"/>
  <c r="AB630" i="4"/>
  <c r="W630" i="4"/>
  <c r="Y631" i="4"/>
  <c r="Z631" i="4"/>
  <c r="AA631" i="4"/>
  <c r="AB631" i="4"/>
  <c r="W631" i="4"/>
  <c r="Y632" i="4"/>
  <c r="Z632" i="4"/>
  <c r="AA632" i="4"/>
  <c r="AB632" i="4"/>
  <c r="W632" i="4"/>
  <c r="Y633" i="4"/>
  <c r="Z633" i="4"/>
  <c r="AA633" i="4"/>
  <c r="AB633" i="4"/>
  <c r="W633" i="4"/>
  <c r="Y634" i="4"/>
  <c r="Z634" i="4"/>
  <c r="AA634" i="4"/>
  <c r="AB634" i="4"/>
  <c r="W634" i="4"/>
  <c r="Y635" i="4"/>
  <c r="Z635" i="4"/>
  <c r="AA635" i="4"/>
  <c r="AB635" i="4"/>
  <c r="W635" i="4"/>
  <c r="Y636" i="4"/>
  <c r="Z636" i="4"/>
  <c r="AA636" i="4"/>
  <c r="AB636" i="4"/>
  <c r="W636" i="4"/>
  <c r="Y637" i="4"/>
  <c r="Z637" i="4"/>
  <c r="AA637" i="4"/>
  <c r="AB637" i="4"/>
  <c r="W637" i="4"/>
  <c r="Y638" i="4"/>
  <c r="Z638" i="4"/>
  <c r="AA638" i="4"/>
  <c r="AB638" i="4"/>
  <c r="W638" i="4"/>
  <c r="Y639" i="4"/>
  <c r="Z639" i="4"/>
  <c r="AA639" i="4"/>
  <c r="AB639" i="4"/>
  <c r="W639" i="4"/>
  <c r="Y640" i="4"/>
  <c r="Z640" i="4"/>
  <c r="AA640" i="4"/>
  <c r="AB640" i="4"/>
  <c r="W640" i="4"/>
  <c r="Y641" i="4"/>
  <c r="Z641" i="4"/>
  <c r="AA641" i="4"/>
  <c r="AB641" i="4"/>
  <c r="W641" i="4"/>
  <c r="Y642" i="4"/>
  <c r="Z642" i="4"/>
  <c r="AA642" i="4"/>
  <c r="AB642" i="4"/>
  <c r="W642" i="4"/>
  <c r="Y643" i="4"/>
  <c r="Z643" i="4"/>
  <c r="AA643" i="4"/>
  <c r="AB643" i="4"/>
  <c r="W643" i="4"/>
  <c r="Y644" i="4"/>
  <c r="Z644" i="4"/>
  <c r="AA644" i="4"/>
  <c r="AB644" i="4"/>
  <c r="W644" i="4"/>
  <c r="Y645" i="4"/>
  <c r="Z645" i="4"/>
  <c r="AA645" i="4"/>
  <c r="AB645" i="4"/>
  <c r="W645" i="4"/>
  <c r="Y646" i="4"/>
  <c r="Z646" i="4"/>
  <c r="AA646" i="4"/>
  <c r="AB646" i="4"/>
  <c r="W646" i="4"/>
  <c r="Y647" i="4"/>
  <c r="Z647" i="4"/>
  <c r="AA647" i="4"/>
  <c r="AB647" i="4"/>
  <c r="W647" i="4"/>
  <c r="Y648" i="4"/>
  <c r="Z648" i="4"/>
  <c r="AA648" i="4"/>
  <c r="AB648" i="4"/>
  <c r="W648" i="4"/>
  <c r="Y649" i="4"/>
  <c r="Z649" i="4"/>
  <c r="AA649" i="4"/>
  <c r="AB649" i="4"/>
  <c r="W649" i="4"/>
  <c r="Y650" i="4"/>
  <c r="Z650" i="4"/>
  <c r="AA650" i="4"/>
  <c r="AB650" i="4"/>
  <c r="W650" i="4"/>
  <c r="Y651" i="4"/>
  <c r="Z651" i="4"/>
  <c r="AA651" i="4"/>
  <c r="AB651" i="4"/>
  <c r="W651" i="4"/>
  <c r="Y652" i="4"/>
  <c r="Z652" i="4"/>
  <c r="AA652" i="4"/>
  <c r="AB652" i="4"/>
  <c r="W652" i="4"/>
  <c r="Y653" i="4"/>
  <c r="Z653" i="4"/>
  <c r="AA653" i="4"/>
  <c r="AB653" i="4"/>
  <c r="W653" i="4"/>
  <c r="Y654" i="4"/>
  <c r="Z654" i="4"/>
  <c r="AA654" i="4"/>
  <c r="AB654" i="4"/>
  <c r="W654" i="4"/>
  <c r="Y655" i="4"/>
  <c r="Z655" i="4"/>
  <c r="AA655" i="4"/>
  <c r="AB655" i="4"/>
  <c r="W655" i="4"/>
  <c r="Y656" i="4"/>
  <c r="Z656" i="4"/>
  <c r="AA656" i="4"/>
  <c r="AB656" i="4"/>
  <c r="W656" i="4"/>
  <c r="Y657" i="4"/>
  <c r="Z657" i="4"/>
  <c r="AA657" i="4"/>
  <c r="AB657" i="4"/>
  <c r="W657" i="4"/>
  <c r="Y658" i="4"/>
  <c r="Z658" i="4"/>
  <c r="AA658" i="4"/>
  <c r="AB658" i="4"/>
  <c r="W658" i="4"/>
  <c r="Y659" i="4"/>
  <c r="Z659" i="4"/>
  <c r="AA659" i="4"/>
  <c r="AB659" i="4"/>
  <c r="W659" i="4"/>
  <c r="Y660" i="4"/>
  <c r="Z660" i="4"/>
  <c r="AA660" i="4"/>
  <c r="AB660" i="4"/>
  <c r="W660" i="4"/>
  <c r="Y661" i="4"/>
  <c r="Z661" i="4"/>
  <c r="AA661" i="4"/>
  <c r="AB661" i="4"/>
  <c r="W661" i="4"/>
  <c r="Y662" i="4"/>
  <c r="Z662" i="4"/>
  <c r="AA662" i="4"/>
  <c r="AB662" i="4"/>
  <c r="W662" i="4"/>
  <c r="Y663" i="4"/>
  <c r="Z663" i="4"/>
  <c r="AA663" i="4"/>
  <c r="AB663" i="4"/>
  <c r="W663" i="4"/>
  <c r="Y664" i="4"/>
  <c r="Z664" i="4"/>
  <c r="AA664" i="4"/>
  <c r="AB664" i="4"/>
  <c r="W664" i="4"/>
  <c r="Y665" i="4"/>
  <c r="Z665" i="4"/>
  <c r="AA665" i="4"/>
  <c r="AB665" i="4"/>
  <c r="W665" i="4"/>
  <c r="Y666" i="4"/>
  <c r="Z666" i="4"/>
  <c r="AA666" i="4"/>
  <c r="AB666" i="4"/>
  <c r="W666" i="4"/>
  <c r="Y667" i="4"/>
  <c r="Z667" i="4"/>
  <c r="AA667" i="4"/>
  <c r="AB667" i="4"/>
  <c r="W667" i="4"/>
  <c r="Y668" i="4"/>
  <c r="Z668" i="4"/>
  <c r="AA668" i="4"/>
  <c r="AB668" i="4"/>
  <c r="W668" i="4"/>
  <c r="Y669" i="4"/>
  <c r="Z669" i="4"/>
  <c r="AA669" i="4"/>
  <c r="AB669" i="4"/>
  <c r="W669" i="4"/>
  <c r="Y670" i="4"/>
  <c r="Z670" i="4"/>
  <c r="AA670" i="4"/>
  <c r="AB670" i="4"/>
  <c r="W670" i="4"/>
  <c r="Y671" i="4"/>
  <c r="Z671" i="4"/>
  <c r="AA671" i="4"/>
  <c r="AB671" i="4"/>
  <c r="W671" i="4"/>
  <c r="Y672" i="4"/>
  <c r="Z672" i="4"/>
  <c r="AA672" i="4"/>
  <c r="AB672" i="4"/>
  <c r="W672" i="4"/>
  <c r="Y673" i="4"/>
  <c r="Z673" i="4"/>
  <c r="AA673" i="4"/>
  <c r="AB673" i="4"/>
  <c r="W673" i="4"/>
  <c r="Y674" i="4"/>
  <c r="Z674" i="4"/>
  <c r="AA674" i="4"/>
  <c r="AB674" i="4"/>
  <c r="W674" i="4"/>
  <c r="Y675" i="4"/>
  <c r="Z675" i="4"/>
  <c r="AA675" i="4"/>
  <c r="AB675" i="4"/>
  <c r="W675" i="4"/>
  <c r="Y676" i="4"/>
  <c r="Z676" i="4"/>
  <c r="AA676" i="4"/>
  <c r="AB676" i="4"/>
  <c r="W676" i="4"/>
  <c r="Y677" i="4"/>
  <c r="Z677" i="4"/>
  <c r="AA677" i="4"/>
  <c r="AB677" i="4"/>
  <c r="W677" i="4"/>
  <c r="Y678" i="4"/>
  <c r="Z678" i="4"/>
  <c r="AA678" i="4"/>
  <c r="AB678" i="4"/>
  <c r="W678" i="4"/>
  <c r="Y679" i="4"/>
  <c r="Z679" i="4"/>
  <c r="AA679" i="4"/>
  <c r="AB679" i="4"/>
  <c r="W679" i="4"/>
  <c r="Y680" i="4"/>
  <c r="Z680" i="4"/>
  <c r="AA680" i="4"/>
  <c r="AB680" i="4"/>
  <c r="W680" i="4"/>
  <c r="Y681" i="4"/>
  <c r="Z681" i="4"/>
  <c r="AA681" i="4"/>
  <c r="AB681" i="4"/>
  <c r="W681" i="4"/>
  <c r="Y682" i="4"/>
  <c r="Z682" i="4"/>
  <c r="AA682" i="4"/>
  <c r="AB682" i="4"/>
  <c r="W682" i="4"/>
  <c r="Y683" i="4"/>
  <c r="Z683" i="4"/>
  <c r="AA683" i="4"/>
  <c r="AB683" i="4"/>
  <c r="W683" i="4"/>
  <c r="Y684" i="4"/>
  <c r="Z684" i="4"/>
  <c r="AA684" i="4"/>
  <c r="AB684" i="4"/>
  <c r="W684" i="4"/>
  <c r="Y685" i="4"/>
  <c r="Z685" i="4"/>
  <c r="AA685" i="4"/>
  <c r="AB685" i="4"/>
  <c r="W685" i="4"/>
  <c r="Y686" i="4"/>
  <c r="Z686" i="4"/>
  <c r="AA686" i="4"/>
  <c r="AB686" i="4"/>
  <c r="W686" i="4"/>
  <c r="Y687" i="4"/>
  <c r="Z687" i="4"/>
  <c r="AA687" i="4"/>
  <c r="AB687" i="4"/>
  <c r="W687" i="4"/>
  <c r="Y688" i="4"/>
  <c r="Z688" i="4"/>
  <c r="AA688" i="4"/>
  <c r="AB688" i="4"/>
  <c r="W688" i="4"/>
  <c r="Y689" i="4"/>
  <c r="Z689" i="4"/>
  <c r="AA689" i="4"/>
  <c r="AB689" i="4"/>
  <c r="W689" i="4"/>
  <c r="Y690" i="4"/>
  <c r="Z690" i="4"/>
  <c r="AA690" i="4"/>
  <c r="AB690" i="4"/>
  <c r="W690" i="4"/>
  <c r="Y691" i="4"/>
  <c r="Z691" i="4"/>
  <c r="AA691" i="4"/>
  <c r="AB691" i="4"/>
  <c r="W691" i="4"/>
  <c r="Y692" i="4"/>
  <c r="Z692" i="4"/>
  <c r="AA692" i="4"/>
  <c r="AB692" i="4"/>
  <c r="W692" i="4"/>
  <c r="Y693" i="4"/>
  <c r="Z693" i="4"/>
  <c r="AA693" i="4"/>
  <c r="AB693" i="4"/>
  <c r="W693" i="4"/>
  <c r="Y694" i="4"/>
  <c r="Z694" i="4"/>
  <c r="AA694" i="4"/>
  <c r="AB694" i="4"/>
  <c r="W694" i="4"/>
  <c r="Y695" i="4"/>
  <c r="Z695" i="4"/>
  <c r="AA695" i="4"/>
  <c r="AB695" i="4"/>
  <c r="W695" i="4"/>
  <c r="Y696" i="4"/>
  <c r="Z696" i="4"/>
  <c r="AA696" i="4"/>
  <c r="AB696" i="4"/>
  <c r="W696" i="4"/>
  <c r="Y697" i="4"/>
  <c r="Z697" i="4"/>
  <c r="AA697" i="4"/>
  <c r="AB697" i="4"/>
  <c r="W697" i="4"/>
  <c r="Y698" i="4"/>
  <c r="Z698" i="4"/>
  <c r="AA698" i="4"/>
  <c r="AB698" i="4"/>
  <c r="W698" i="4"/>
  <c r="Y699" i="4"/>
  <c r="Z699" i="4"/>
  <c r="AA699" i="4"/>
  <c r="AB699" i="4"/>
  <c r="W699" i="4"/>
  <c r="Y700" i="4"/>
  <c r="Z700" i="4"/>
  <c r="AA700" i="4"/>
  <c r="AB700" i="4"/>
  <c r="W700" i="4"/>
  <c r="Y701" i="4"/>
  <c r="Z701" i="4"/>
  <c r="AA701" i="4"/>
  <c r="AB701" i="4"/>
  <c r="W701" i="4"/>
  <c r="Y702" i="4"/>
  <c r="Z702" i="4"/>
  <c r="AA702" i="4"/>
  <c r="AB702" i="4"/>
  <c r="W702" i="4"/>
  <c r="Y703" i="4"/>
  <c r="Z703" i="4"/>
  <c r="AA703" i="4"/>
  <c r="AB703" i="4"/>
  <c r="W703" i="4"/>
  <c r="Y704" i="4"/>
  <c r="Z704" i="4"/>
  <c r="AA704" i="4"/>
  <c r="AB704" i="4"/>
  <c r="W704" i="4"/>
  <c r="Y705" i="4"/>
  <c r="Z705" i="4"/>
  <c r="AA705" i="4"/>
  <c r="AB705" i="4"/>
  <c r="W705" i="4"/>
  <c r="Y706" i="4"/>
  <c r="Z706" i="4"/>
  <c r="AA706" i="4"/>
  <c r="AB706" i="4"/>
  <c r="W706" i="4"/>
  <c r="Y707" i="4"/>
  <c r="Z707" i="4"/>
  <c r="AA707" i="4"/>
  <c r="AB707" i="4"/>
  <c r="W707" i="4"/>
  <c r="Y708" i="4"/>
  <c r="Z708" i="4"/>
  <c r="AA708" i="4"/>
  <c r="AB708" i="4"/>
  <c r="W708" i="4"/>
  <c r="Y709" i="4"/>
  <c r="Z709" i="4"/>
  <c r="AA709" i="4"/>
  <c r="AB709" i="4"/>
  <c r="W709" i="4"/>
  <c r="Y710" i="4"/>
  <c r="Z710" i="4"/>
  <c r="AA710" i="4"/>
  <c r="AB710" i="4"/>
  <c r="W710" i="4"/>
  <c r="Y711" i="4"/>
  <c r="Z711" i="4"/>
  <c r="AA711" i="4"/>
  <c r="AB711" i="4"/>
  <c r="W711" i="4"/>
  <c r="Y712" i="4"/>
  <c r="Z712" i="4"/>
  <c r="AA712" i="4"/>
  <c r="AB712" i="4"/>
  <c r="W712" i="4"/>
  <c r="Y713" i="4"/>
  <c r="Z713" i="4"/>
  <c r="AA713" i="4"/>
  <c r="AB713" i="4"/>
  <c r="W713" i="4"/>
  <c r="Y714" i="4"/>
  <c r="Z714" i="4"/>
  <c r="AA714" i="4"/>
  <c r="AB714" i="4"/>
  <c r="W714" i="4"/>
  <c r="Y715" i="4"/>
  <c r="Z715" i="4"/>
  <c r="AA715" i="4"/>
  <c r="AB715" i="4"/>
  <c r="W715" i="4"/>
  <c r="Y716" i="4"/>
  <c r="Z716" i="4"/>
  <c r="AA716" i="4"/>
  <c r="AB716" i="4"/>
  <c r="W716" i="4"/>
  <c r="Y717" i="4"/>
  <c r="Z717" i="4"/>
  <c r="AA717" i="4"/>
  <c r="AB717" i="4"/>
  <c r="W717" i="4"/>
  <c r="Y718" i="4"/>
  <c r="Z718" i="4"/>
  <c r="AA718" i="4"/>
  <c r="AB718" i="4"/>
  <c r="W718" i="4"/>
  <c r="Y719" i="4"/>
  <c r="Z719" i="4"/>
  <c r="AA719" i="4"/>
  <c r="AB719" i="4"/>
  <c r="W719" i="4"/>
  <c r="Y720" i="4"/>
  <c r="Z720" i="4"/>
  <c r="AA720" i="4"/>
  <c r="AB720" i="4"/>
  <c r="W720" i="4"/>
  <c r="Y721" i="4"/>
  <c r="Z721" i="4"/>
  <c r="AA721" i="4"/>
  <c r="AB721" i="4"/>
  <c r="W721" i="4"/>
  <c r="Y722" i="4"/>
  <c r="Z722" i="4"/>
  <c r="AA722" i="4"/>
  <c r="AB722" i="4"/>
  <c r="W722" i="4"/>
  <c r="Y723" i="4"/>
  <c r="Z723" i="4"/>
  <c r="AA723" i="4"/>
  <c r="AB723" i="4"/>
  <c r="W723" i="4"/>
  <c r="Y724" i="4"/>
  <c r="Z724" i="4"/>
  <c r="AA724" i="4"/>
  <c r="AB724" i="4"/>
  <c r="W724" i="4"/>
  <c r="Y725" i="4"/>
  <c r="Z725" i="4"/>
  <c r="AA725" i="4"/>
  <c r="AB725" i="4"/>
  <c r="W725" i="4"/>
  <c r="Y726" i="4"/>
  <c r="Z726" i="4"/>
  <c r="AA726" i="4"/>
  <c r="AB726" i="4"/>
  <c r="W726" i="4"/>
  <c r="Y727" i="4"/>
  <c r="Z727" i="4"/>
  <c r="AA727" i="4"/>
  <c r="AB727" i="4"/>
  <c r="W727" i="4"/>
  <c r="Y728" i="4"/>
  <c r="Z728" i="4"/>
  <c r="AA728" i="4"/>
  <c r="AB728" i="4"/>
  <c r="W728" i="4"/>
  <c r="Y729" i="4"/>
  <c r="Z729" i="4"/>
  <c r="AA729" i="4"/>
  <c r="AB729" i="4"/>
  <c r="W729" i="4"/>
  <c r="Y730" i="4"/>
  <c r="Z730" i="4"/>
  <c r="AA730" i="4"/>
  <c r="AB730" i="4"/>
  <c r="W730" i="4"/>
  <c r="Y731" i="4"/>
  <c r="Z731" i="4"/>
  <c r="AA731" i="4"/>
  <c r="AB731" i="4"/>
  <c r="W731" i="4"/>
  <c r="Y732" i="4"/>
  <c r="Z732" i="4"/>
  <c r="AA732" i="4"/>
  <c r="AB732" i="4"/>
  <c r="W732" i="4"/>
  <c r="Y733" i="4"/>
  <c r="Z733" i="4"/>
  <c r="AA733" i="4"/>
  <c r="AB733" i="4"/>
  <c r="W733" i="4"/>
  <c r="Y734" i="4"/>
  <c r="Z734" i="4"/>
  <c r="AA734" i="4"/>
  <c r="AB734" i="4"/>
  <c r="W734" i="4"/>
  <c r="Y735" i="4"/>
  <c r="Z735" i="4"/>
  <c r="AA735" i="4"/>
  <c r="AB735" i="4"/>
  <c r="W735" i="4"/>
  <c r="Y736" i="4"/>
  <c r="Z736" i="4"/>
  <c r="AA736" i="4"/>
  <c r="AB736" i="4"/>
  <c r="W736" i="4"/>
  <c r="Y737" i="4"/>
  <c r="Z737" i="4"/>
  <c r="AA737" i="4"/>
  <c r="AB737" i="4"/>
  <c r="W737" i="4"/>
  <c r="Y738" i="4"/>
  <c r="Z738" i="4"/>
  <c r="AA738" i="4"/>
  <c r="AB738" i="4"/>
  <c r="W738" i="4"/>
  <c r="Y739" i="4"/>
  <c r="Z739" i="4"/>
  <c r="AA739" i="4"/>
  <c r="AB739" i="4"/>
  <c r="W739" i="4"/>
  <c r="Y740" i="4"/>
  <c r="Z740" i="4"/>
  <c r="AA740" i="4"/>
  <c r="AB740" i="4"/>
  <c r="W740" i="4"/>
  <c r="Y741" i="4"/>
  <c r="Z741" i="4"/>
  <c r="AA741" i="4"/>
  <c r="AB741" i="4"/>
  <c r="W741" i="4"/>
  <c r="Y742" i="4"/>
  <c r="Z742" i="4"/>
  <c r="AA742" i="4"/>
  <c r="AB742" i="4"/>
  <c r="W742" i="4"/>
  <c r="Y743" i="4"/>
  <c r="Z743" i="4"/>
  <c r="AA743" i="4"/>
  <c r="AB743" i="4"/>
  <c r="W743" i="4"/>
  <c r="Y744" i="4"/>
  <c r="Z744" i="4"/>
  <c r="AA744" i="4"/>
  <c r="AB744" i="4"/>
  <c r="W744" i="4"/>
  <c r="Y745" i="4"/>
  <c r="Z745" i="4"/>
  <c r="AA745" i="4"/>
  <c r="AB745" i="4"/>
  <c r="W745" i="4"/>
  <c r="Y746" i="4"/>
  <c r="Z746" i="4"/>
  <c r="AA746" i="4"/>
  <c r="AB746" i="4"/>
  <c r="W746" i="4"/>
  <c r="Y747" i="4"/>
  <c r="Z747" i="4"/>
  <c r="AA747" i="4"/>
  <c r="AB747" i="4"/>
  <c r="W747" i="4"/>
  <c r="Y748" i="4"/>
  <c r="Z748" i="4"/>
  <c r="AA748" i="4"/>
  <c r="AB748" i="4"/>
  <c r="W748" i="4"/>
  <c r="Y749" i="4"/>
  <c r="Z749" i="4"/>
  <c r="AA749" i="4"/>
  <c r="AB749" i="4"/>
  <c r="W749" i="4"/>
  <c r="Y750" i="4"/>
  <c r="Z750" i="4"/>
  <c r="AA750" i="4"/>
  <c r="AB750" i="4"/>
  <c r="W750" i="4"/>
  <c r="Y751" i="4"/>
  <c r="Z751" i="4"/>
  <c r="AA751" i="4"/>
  <c r="AB751" i="4"/>
  <c r="W751" i="4"/>
  <c r="Y752" i="4"/>
  <c r="Z752" i="4"/>
  <c r="AA752" i="4"/>
  <c r="AB752" i="4"/>
  <c r="W752" i="4"/>
  <c r="Y753" i="4"/>
  <c r="Z753" i="4"/>
  <c r="AA753" i="4"/>
  <c r="AB753" i="4"/>
  <c r="W753" i="4"/>
  <c r="Y754" i="4"/>
  <c r="Z754" i="4"/>
  <c r="AA754" i="4"/>
  <c r="AB754" i="4"/>
  <c r="W754" i="4"/>
  <c r="Y755" i="4"/>
  <c r="Z755" i="4"/>
  <c r="AA755" i="4"/>
  <c r="AB755" i="4"/>
  <c r="W755" i="4"/>
  <c r="Y756" i="4"/>
  <c r="Z756" i="4"/>
  <c r="AA756" i="4"/>
  <c r="AB756" i="4"/>
  <c r="W756" i="4"/>
  <c r="Y757" i="4"/>
  <c r="Z757" i="4"/>
  <c r="AA757" i="4"/>
  <c r="AB757" i="4"/>
  <c r="W757" i="4"/>
  <c r="Y758" i="4"/>
  <c r="Z758" i="4"/>
  <c r="AA758" i="4"/>
  <c r="AB758" i="4"/>
  <c r="W758" i="4"/>
  <c r="Y759" i="4"/>
  <c r="Z759" i="4"/>
  <c r="AA759" i="4"/>
  <c r="AB759" i="4"/>
  <c r="W759" i="4"/>
  <c r="Y760" i="4"/>
  <c r="Z760" i="4"/>
  <c r="AA760" i="4"/>
  <c r="AB760" i="4"/>
  <c r="W760" i="4"/>
  <c r="Y761" i="4"/>
  <c r="Z761" i="4"/>
  <c r="AA761" i="4"/>
  <c r="AB761" i="4"/>
  <c r="W761" i="4"/>
  <c r="Y762" i="4"/>
  <c r="Z762" i="4"/>
  <c r="AA762" i="4"/>
  <c r="AB762" i="4"/>
  <c r="W762" i="4"/>
  <c r="Y763" i="4"/>
  <c r="Z763" i="4"/>
  <c r="AA763" i="4"/>
  <c r="AB763" i="4"/>
  <c r="W763" i="4"/>
  <c r="Y764" i="4"/>
  <c r="Z764" i="4"/>
  <c r="AA764" i="4"/>
  <c r="AB764" i="4"/>
  <c r="W764" i="4"/>
  <c r="Y765" i="4"/>
  <c r="Z765" i="4"/>
  <c r="AA765" i="4"/>
  <c r="AB765" i="4"/>
  <c r="W765" i="4"/>
  <c r="Y766" i="4"/>
  <c r="Z766" i="4"/>
  <c r="AA766" i="4"/>
  <c r="AB766" i="4"/>
  <c r="W766" i="4"/>
  <c r="Y767" i="4"/>
  <c r="Z767" i="4"/>
  <c r="AA767" i="4"/>
  <c r="AB767" i="4"/>
  <c r="W767" i="4"/>
  <c r="Y768" i="4"/>
  <c r="Z768" i="4"/>
  <c r="AA768" i="4"/>
  <c r="AB768" i="4"/>
  <c r="W768" i="4"/>
  <c r="Y769" i="4"/>
  <c r="Z769" i="4"/>
  <c r="AA769" i="4"/>
  <c r="AB769" i="4"/>
  <c r="W769" i="4"/>
  <c r="Y770" i="4"/>
  <c r="Z770" i="4"/>
  <c r="AA770" i="4"/>
  <c r="AB770" i="4"/>
  <c r="W770" i="4"/>
  <c r="Y771" i="4"/>
  <c r="Z771" i="4"/>
  <c r="AA771" i="4"/>
  <c r="AB771" i="4"/>
  <c r="W771" i="4"/>
  <c r="Y772" i="4"/>
  <c r="Z772" i="4"/>
  <c r="AA772" i="4"/>
  <c r="AB772" i="4"/>
  <c r="W772" i="4"/>
  <c r="Y773" i="4"/>
  <c r="Z773" i="4"/>
  <c r="AA773" i="4"/>
  <c r="AB773" i="4"/>
  <c r="W773" i="4"/>
  <c r="Y774" i="4"/>
  <c r="Z774" i="4"/>
  <c r="AA774" i="4"/>
  <c r="AB774" i="4"/>
  <c r="W774" i="4"/>
  <c r="Y775" i="4"/>
  <c r="Z775" i="4"/>
  <c r="AA775" i="4"/>
  <c r="AB775" i="4"/>
  <c r="W775" i="4"/>
  <c r="Y776" i="4"/>
  <c r="Z776" i="4"/>
  <c r="AA776" i="4"/>
  <c r="AB776" i="4"/>
  <c r="W776" i="4"/>
  <c r="Y777" i="4"/>
  <c r="Z777" i="4"/>
  <c r="AA777" i="4"/>
  <c r="AB777" i="4"/>
  <c r="W777" i="4"/>
  <c r="Y778" i="4"/>
  <c r="Z778" i="4"/>
  <c r="AA778" i="4"/>
  <c r="AB778" i="4"/>
  <c r="W778" i="4"/>
  <c r="Y779" i="4"/>
  <c r="Z779" i="4"/>
  <c r="AA779" i="4"/>
  <c r="AB779" i="4"/>
  <c r="W779" i="4"/>
  <c r="Y780" i="4"/>
  <c r="Z780" i="4"/>
  <c r="AA780" i="4"/>
  <c r="AB780" i="4"/>
  <c r="W780" i="4"/>
  <c r="Y781" i="4"/>
  <c r="Z781" i="4"/>
  <c r="AA781" i="4"/>
  <c r="AB781" i="4"/>
  <c r="W781" i="4"/>
  <c r="Y782" i="4"/>
  <c r="Z782" i="4"/>
  <c r="AA782" i="4"/>
  <c r="AB782" i="4"/>
  <c r="W782" i="4"/>
  <c r="Y783" i="4"/>
  <c r="Z783" i="4"/>
  <c r="AA783" i="4"/>
  <c r="AB783" i="4"/>
  <c r="W783" i="4"/>
  <c r="Y784" i="4"/>
  <c r="Z784" i="4"/>
  <c r="AA784" i="4"/>
  <c r="AB784" i="4"/>
  <c r="W784" i="4"/>
  <c r="Y785" i="4"/>
  <c r="Z785" i="4"/>
  <c r="AA785" i="4"/>
  <c r="AB785" i="4"/>
  <c r="W785" i="4"/>
  <c r="Y786" i="4"/>
  <c r="Z786" i="4"/>
  <c r="AA786" i="4"/>
  <c r="AB786" i="4"/>
  <c r="W786" i="4"/>
  <c r="Y787" i="4"/>
  <c r="Z787" i="4"/>
  <c r="AA787" i="4"/>
  <c r="AB787" i="4"/>
  <c r="W787" i="4"/>
  <c r="Y788" i="4"/>
  <c r="Z788" i="4"/>
  <c r="AA788" i="4"/>
  <c r="AB788" i="4"/>
  <c r="W788" i="4"/>
  <c r="Y789" i="4"/>
  <c r="Z789" i="4"/>
  <c r="AA789" i="4"/>
  <c r="AB789" i="4"/>
  <c r="W789" i="4"/>
  <c r="Y790" i="4"/>
  <c r="Z790" i="4"/>
  <c r="AA790" i="4"/>
  <c r="AB790" i="4"/>
  <c r="W790" i="4"/>
  <c r="Y791" i="4"/>
  <c r="Z791" i="4"/>
  <c r="AA791" i="4"/>
  <c r="AB791" i="4"/>
  <c r="W791" i="4"/>
  <c r="Y792" i="4"/>
  <c r="Z792" i="4"/>
  <c r="AA792" i="4"/>
  <c r="AB792" i="4"/>
  <c r="W792" i="4"/>
  <c r="Y793" i="4"/>
  <c r="Z793" i="4"/>
  <c r="AA793" i="4"/>
  <c r="AB793" i="4"/>
  <c r="W793" i="4"/>
  <c r="Y794" i="4"/>
  <c r="Z794" i="4"/>
  <c r="AA794" i="4"/>
  <c r="AB794" i="4"/>
  <c r="W794" i="4"/>
  <c r="Y795" i="4"/>
  <c r="Z795" i="4"/>
  <c r="AA795" i="4"/>
  <c r="AB795" i="4"/>
  <c r="W795" i="4"/>
  <c r="W801" i="4"/>
  <c r="Y801" i="4"/>
  <c r="Z801" i="4"/>
  <c r="AA801" i="4"/>
  <c r="AB801" i="4"/>
  <c r="Z803" i="4"/>
  <c r="AA803" i="4"/>
  <c r="AB803" i="4"/>
  <c r="W803" i="4"/>
  <c r="Y803" i="4"/>
  <c r="Y811" i="4"/>
  <c r="Z811" i="4"/>
  <c r="AB811" i="4"/>
  <c r="W811" i="4"/>
  <c r="AA811" i="4"/>
  <c r="Z812" i="4"/>
  <c r="W812" i="4"/>
  <c r="Y812" i="4"/>
  <c r="AA812" i="4"/>
  <c r="AB812" i="4"/>
  <c r="W819" i="4"/>
  <c r="Z819" i="4"/>
  <c r="AB819" i="4"/>
  <c r="Y819" i="4"/>
  <c r="AA819" i="4"/>
  <c r="W844" i="4"/>
  <c r="Y844" i="4"/>
  <c r="Z844" i="4"/>
  <c r="AA844" i="4"/>
  <c r="AB844" i="4"/>
  <c r="Z857" i="4"/>
  <c r="AB857" i="4"/>
  <c r="W857" i="4"/>
  <c r="Y857" i="4"/>
  <c r="AA857" i="4"/>
  <c r="Z864" i="4"/>
  <c r="W864" i="4"/>
  <c r="Y864" i="4"/>
  <c r="AA864" i="4"/>
  <c r="AB864" i="4"/>
  <c r="Y865" i="4"/>
  <c r="Z865" i="4"/>
  <c r="AA865" i="4"/>
  <c r="AB865" i="4"/>
  <c r="W865" i="4"/>
  <c r="Z873" i="4"/>
  <c r="AB873" i="4"/>
  <c r="W873" i="4"/>
  <c r="Y873" i="4"/>
  <c r="AA873" i="4"/>
  <c r="W992" i="4"/>
  <c r="Y992" i="4"/>
  <c r="Z992" i="4"/>
  <c r="AA992" i="4"/>
  <c r="AB992" i="4"/>
  <c r="W993" i="4"/>
  <c r="Y993" i="4"/>
  <c r="Z993" i="4"/>
  <c r="AA993" i="4"/>
  <c r="AB993" i="4"/>
  <c r="Y1004" i="4"/>
  <c r="AA1004" i="4"/>
  <c r="W1004" i="4"/>
  <c r="Z1004" i="4"/>
  <c r="AB1004" i="4"/>
  <c r="Y1005" i="4"/>
  <c r="AA1005" i="4"/>
  <c r="W1005" i="4"/>
  <c r="Z1005" i="4"/>
  <c r="AB1005" i="4"/>
  <c r="Z1007" i="4"/>
  <c r="AA1007" i="4"/>
  <c r="AB1007" i="4"/>
  <c r="W1007" i="4"/>
  <c r="Y1007" i="4"/>
  <c r="Y822" i="4"/>
  <c r="Z822" i="4"/>
  <c r="AA822" i="4"/>
  <c r="AB822" i="4"/>
  <c r="W822" i="4"/>
  <c r="Z829" i="4"/>
  <c r="AB829" i="4"/>
  <c r="W829" i="4"/>
  <c r="Y829" i="4"/>
  <c r="AA829" i="4"/>
  <c r="AA837" i="4"/>
  <c r="W837" i="4"/>
  <c r="Y837" i="4"/>
  <c r="Z837" i="4"/>
  <c r="AB837" i="4"/>
  <c r="W838" i="4"/>
  <c r="Z838" i="4"/>
  <c r="AB838" i="4"/>
  <c r="Y838" i="4"/>
  <c r="AA838" i="4"/>
  <c r="W839" i="4"/>
  <c r="Y839" i="4"/>
  <c r="Z839" i="4"/>
  <c r="AA839" i="4"/>
  <c r="AB839" i="4"/>
  <c r="AA840" i="4"/>
  <c r="W840" i="4"/>
  <c r="Y840" i="4"/>
  <c r="Z840" i="4"/>
  <c r="AB840" i="4"/>
  <c r="Z852" i="4"/>
  <c r="AB852" i="4"/>
  <c r="Y852" i="4"/>
  <c r="AA852" i="4"/>
  <c r="W852" i="4"/>
  <c r="W858" i="4"/>
  <c r="Y858" i="4"/>
  <c r="Z858" i="4"/>
  <c r="AA858" i="4"/>
  <c r="AB858" i="4"/>
  <c r="Y881" i="4"/>
  <c r="Z881" i="4"/>
  <c r="AA881" i="4"/>
  <c r="AB881" i="4"/>
  <c r="W881" i="4"/>
  <c r="Z882" i="4"/>
  <c r="AB882" i="4"/>
  <c r="Y882" i="4"/>
  <c r="W882" i="4"/>
  <c r="AA882" i="4"/>
  <c r="Z883" i="4"/>
  <c r="AA883" i="4"/>
  <c r="AB883" i="4"/>
  <c r="W883" i="4"/>
  <c r="Y883" i="4"/>
  <c r="Y891" i="4"/>
  <c r="Z891" i="4"/>
  <c r="AA891" i="4"/>
  <c r="AB891" i="4"/>
  <c r="W891" i="4"/>
  <c r="Z892" i="4"/>
  <c r="AB892" i="4"/>
  <c r="W892" i="4"/>
  <c r="Y892" i="4"/>
  <c r="AA892" i="4"/>
  <c r="Z893" i="4"/>
  <c r="AA893" i="4"/>
  <c r="AB893" i="4"/>
  <c r="W893" i="4"/>
  <c r="Y893" i="4"/>
  <c r="W906" i="4"/>
  <c r="Y906" i="4"/>
  <c r="Z906" i="4"/>
  <c r="AA906" i="4"/>
  <c r="AB906" i="4"/>
  <c r="Y916" i="4"/>
  <c r="Z916" i="4"/>
  <c r="AA916" i="4"/>
  <c r="AB916" i="4"/>
  <c r="W916" i="4"/>
  <c r="Y917" i="4"/>
  <c r="Z917" i="4"/>
  <c r="AA917" i="4"/>
  <c r="AB917" i="4"/>
  <c r="W917" i="4"/>
  <c r="Z919" i="4"/>
  <c r="AB919" i="4"/>
  <c r="W919" i="4"/>
  <c r="Y919" i="4"/>
  <c r="AA919" i="4"/>
  <c r="Z933" i="4"/>
  <c r="AB933" i="4"/>
  <c r="W933" i="4"/>
  <c r="Y933" i="4"/>
  <c r="AA933" i="4"/>
  <c r="Y952" i="4"/>
  <c r="Z952" i="4"/>
  <c r="AA952" i="4"/>
  <c r="AB952" i="4"/>
  <c r="W952" i="4"/>
  <c r="Y960" i="4"/>
  <c r="Z960" i="4"/>
  <c r="AA960" i="4"/>
  <c r="AB960" i="4"/>
  <c r="W960" i="4"/>
  <c r="Z973" i="4"/>
  <c r="AB973" i="4"/>
  <c r="W973" i="4"/>
  <c r="Y973" i="4"/>
  <c r="AA973" i="4"/>
  <c r="Y979" i="4"/>
  <c r="Z979" i="4"/>
  <c r="AA979" i="4"/>
  <c r="AB979" i="4"/>
  <c r="W979" i="4"/>
  <c r="Z980" i="4"/>
  <c r="AB980" i="4"/>
  <c r="W980" i="4"/>
  <c r="Y980" i="4"/>
  <c r="AA980" i="4"/>
  <c r="Y994" i="4"/>
  <c r="Z994" i="4"/>
  <c r="AA994" i="4"/>
  <c r="AB994" i="4"/>
  <c r="W994" i="4"/>
  <c r="Y995" i="4"/>
  <c r="Z995" i="4"/>
  <c r="AA995" i="4"/>
  <c r="AB995" i="4"/>
  <c r="W995" i="4"/>
  <c r="Y996" i="4"/>
  <c r="Z996" i="4"/>
  <c r="AA996" i="4"/>
  <c r="AB996" i="4"/>
  <c r="W996" i="4"/>
  <c r="Z998" i="4"/>
  <c r="Y998" i="4"/>
  <c r="AA998" i="4"/>
  <c r="W998" i="4"/>
  <c r="AB998" i="4"/>
  <c r="Z999" i="4"/>
  <c r="AB999" i="4"/>
  <c r="W999" i="4"/>
  <c r="Y999" i="4"/>
  <c r="AA999" i="4"/>
  <c r="Z814" i="4"/>
  <c r="AB814" i="4"/>
  <c r="W814" i="4"/>
  <c r="Y814" i="4"/>
  <c r="AA814" i="4"/>
  <c r="Y816" i="4"/>
  <c r="AA816" i="4"/>
  <c r="AB816" i="4"/>
  <c r="W816" i="4"/>
  <c r="Z816" i="4"/>
  <c r="Z828" i="4"/>
  <c r="AA828" i="4"/>
  <c r="AB828" i="4"/>
  <c r="W828" i="4"/>
  <c r="Y828" i="4"/>
  <c r="W835" i="4"/>
  <c r="Y835" i="4"/>
  <c r="Z835" i="4"/>
  <c r="AA835" i="4"/>
  <c r="AB835" i="4"/>
  <c r="Z836" i="4"/>
  <c r="AB836" i="4"/>
  <c r="W836" i="4"/>
  <c r="Y836" i="4"/>
  <c r="AA836" i="4"/>
  <c r="Y849" i="4"/>
  <c r="AA849" i="4"/>
  <c r="AB849" i="4"/>
  <c r="W849" i="4"/>
  <c r="Z849" i="4"/>
  <c r="Z874" i="4"/>
  <c r="W874" i="4"/>
  <c r="Y874" i="4"/>
  <c r="AA874" i="4"/>
  <c r="AB874" i="4"/>
  <c r="W889" i="4"/>
  <c r="Y889" i="4"/>
  <c r="Z889" i="4"/>
  <c r="AA889" i="4"/>
  <c r="AB889" i="4"/>
  <c r="Z918" i="4"/>
  <c r="AA918" i="4"/>
  <c r="AB918" i="4"/>
  <c r="W918" i="4"/>
  <c r="Y918" i="4"/>
  <c r="W927" i="4"/>
  <c r="Y927" i="4"/>
  <c r="Z927" i="4"/>
  <c r="AA927" i="4"/>
  <c r="AB927" i="4"/>
  <c r="Z928" i="4"/>
  <c r="AA928" i="4"/>
  <c r="AB928" i="4"/>
  <c r="W928" i="4"/>
  <c r="Y928" i="4"/>
  <c r="Z948" i="4"/>
  <c r="AA948" i="4"/>
  <c r="AB948" i="4"/>
  <c r="W948" i="4"/>
  <c r="Y948" i="4"/>
  <c r="Z953" i="4"/>
  <c r="AB953" i="4"/>
  <c r="W953" i="4"/>
  <c r="Y953" i="4"/>
  <c r="AA953" i="4"/>
  <c r="Y966" i="4"/>
  <c r="Z966" i="4"/>
  <c r="AA966" i="4"/>
  <c r="AB966" i="4"/>
  <c r="W966" i="4"/>
  <c r="Z967" i="4"/>
  <c r="AB967" i="4"/>
  <c r="W967" i="4"/>
  <c r="Y967" i="4"/>
  <c r="AA967" i="4"/>
  <c r="AA1002" i="4"/>
  <c r="AB1002" i="4"/>
  <c r="W1002" i="4"/>
  <c r="Y1002" i="4"/>
  <c r="Z1002" i="4"/>
  <c r="Z802" i="4"/>
  <c r="AA802" i="4"/>
  <c r="AB802" i="4"/>
  <c r="W802" i="4"/>
  <c r="Y802" i="4"/>
  <c r="Z820" i="4"/>
  <c r="AB820" i="4"/>
  <c r="W820" i="4"/>
  <c r="Y820" i="4"/>
  <c r="AA820" i="4"/>
  <c r="AB821" i="4"/>
  <c r="Y821" i="4"/>
  <c r="AA821" i="4"/>
  <c r="W821" i="4"/>
  <c r="Z821" i="4"/>
  <c r="AA827" i="4"/>
  <c r="Y827" i="4"/>
  <c r="W827" i="4"/>
  <c r="Z827" i="4"/>
  <c r="AB827" i="4"/>
  <c r="AA834" i="4"/>
  <c r="W834" i="4"/>
  <c r="Y834" i="4"/>
  <c r="Z834" i="4"/>
  <c r="AB834" i="4"/>
  <c r="W850" i="4"/>
  <c r="Y850" i="4"/>
  <c r="Z850" i="4"/>
  <c r="AA850" i="4"/>
  <c r="AB850" i="4"/>
  <c r="Y851" i="4"/>
  <c r="Z851" i="4"/>
  <c r="AB851" i="4"/>
  <c r="AA851" i="4"/>
  <c r="W851" i="4"/>
  <c r="Z854" i="4"/>
  <c r="AA854" i="4"/>
  <c r="AB854" i="4"/>
  <c r="W854" i="4"/>
  <c r="Y854" i="4"/>
  <c r="Y868" i="4"/>
  <c r="Z868" i="4"/>
  <c r="AA868" i="4"/>
  <c r="AB868" i="4"/>
  <c r="W868" i="4"/>
  <c r="Z877" i="4"/>
  <c r="AA877" i="4"/>
  <c r="AB877" i="4"/>
  <c r="W877" i="4"/>
  <c r="Y877" i="4"/>
  <c r="Z878" i="4"/>
  <c r="AB878" i="4"/>
  <c r="W878" i="4"/>
  <c r="Y878" i="4"/>
  <c r="AA878" i="4"/>
  <c r="W888" i="4"/>
  <c r="Y888" i="4"/>
  <c r="Z888" i="4"/>
  <c r="AA888" i="4"/>
  <c r="AB888" i="4"/>
  <c r="Z890" i="4"/>
  <c r="AB890" i="4"/>
  <c r="W890" i="4"/>
  <c r="Y890" i="4"/>
  <c r="AA890" i="4"/>
  <c r="Z897" i="4"/>
  <c r="W897" i="4"/>
  <c r="Y897" i="4"/>
  <c r="AA897" i="4"/>
  <c r="AB897" i="4"/>
  <c r="Z898" i="4"/>
  <c r="W898" i="4"/>
  <c r="Y898" i="4"/>
  <c r="AA898" i="4"/>
  <c r="AB898" i="4"/>
  <c r="Y899" i="4"/>
  <c r="Z899" i="4"/>
  <c r="AA899" i="4"/>
  <c r="AB899" i="4"/>
  <c r="W899" i="4"/>
  <c r="Y900" i="4"/>
  <c r="Z900" i="4"/>
  <c r="AA900" i="4"/>
  <c r="AB900" i="4"/>
  <c r="W900" i="4"/>
  <c r="Y902" i="4"/>
  <c r="AA902" i="4"/>
  <c r="AB902" i="4"/>
  <c r="W902" i="4"/>
  <c r="Z902" i="4"/>
  <c r="AA923" i="4"/>
  <c r="AB923" i="4"/>
  <c r="W923" i="4"/>
  <c r="Y923" i="4"/>
  <c r="Z923" i="4"/>
  <c r="Y929" i="4"/>
  <c r="Z929" i="4"/>
  <c r="AA929" i="4"/>
  <c r="AB929" i="4"/>
  <c r="W929" i="4"/>
  <c r="Z938" i="4"/>
  <c r="AB938" i="4"/>
  <c r="W938" i="4"/>
  <c r="Y938" i="4"/>
  <c r="AA938" i="4"/>
  <c r="Y939" i="4"/>
  <c r="Z939" i="4"/>
  <c r="AA939" i="4"/>
  <c r="AB939" i="4"/>
  <c r="W939" i="4"/>
  <c r="W940" i="4"/>
  <c r="Y940" i="4"/>
  <c r="Z940" i="4"/>
  <c r="AA940" i="4"/>
  <c r="AB940" i="4"/>
  <c r="Y941" i="4"/>
  <c r="Z941" i="4"/>
  <c r="AA941" i="4"/>
  <c r="AB941" i="4"/>
  <c r="W941" i="4"/>
  <c r="Y946" i="4"/>
  <c r="AA946" i="4"/>
  <c r="W946" i="4"/>
  <c r="Z946" i="4"/>
  <c r="AB946" i="4"/>
  <c r="Y947" i="4"/>
  <c r="Z947" i="4"/>
  <c r="AA947" i="4"/>
  <c r="AB947" i="4"/>
  <c r="W947" i="4"/>
  <c r="Z949" i="4"/>
  <c r="AA949" i="4"/>
  <c r="AB949" i="4"/>
  <c r="W949" i="4"/>
  <c r="Y949" i="4"/>
  <c r="Y956" i="4"/>
  <c r="Z956" i="4"/>
  <c r="AA956" i="4"/>
  <c r="AB956" i="4"/>
  <c r="W956" i="4"/>
  <c r="AA958" i="4"/>
  <c r="AB958" i="4"/>
  <c r="Y958" i="4"/>
  <c r="W958" i="4"/>
  <c r="Z958" i="4"/>
  <c r="Z959" i="4"/>
  <c r="AB959" i="4"/>
  <c r="W959" i="4"/>
  <c r="Y959" i="4"/>
  <c r="AA959" i="4"/>
  <c r="W965" i="4"/>
  <c r="Y965" i="4"/>
  <c r="Z965" i="4"/>
  <c r="AA965" i="4"/>
  <c r="AB965" i="4"/>
  <c r="Z971" i="4"/>
  <c r="AB971" i="4"/>
  <c r="W971" i="4"/>
  <c r="Y971" i="4"/>
  <c r="AA971" i="4"/>
  <c r="Z972" i="4"/>
  <c r="W972" i="4"/>
  <c r="Y972" i="4"/>
  <c r="AA972" i="4"/>
  <c r="AB972" i="4"/>
  <c r="Y984" i="4"/>
  <c r="Z984" i="4"/>
  <c r="AA984" i="4"/>
  <c r="AB984" i="4"/>
  <c r="W984" i="4"/>
  <c r="Z985" i="4"/>
  <c r="AA985" i="4"/>
  <c r="AB985" i="4"/>
  <c r="W985" i="4"/>
  <c r="Y985" i="4"/>
  <c r="Z987" i="4"/>
  <c r="AB987" i="4"/>
  <c r="W987" i="4"/>
  <c r="Y987" i="4"/>
  <c r="AA987" i="4"/>
  <c r="AA1008" i="4"/>
  <c r="W1008" i="4"/>
  <c r="Y1008" i="4"/>
  <c r="Z1008" i="4"/>
  <c r="AB1008" i="4"/>
  <c r="Y1010" i="4"/>
  <c r="Z1010" i="4"/>
  <c r="AA1010" i="4"/>
  <c r="AB1010" i="4"/>
  <c r="W1010" i="4"/>
  <c r="Y798" i="4"/>
  <c r="Z798" i="4"/>
  <c r="AA798" i="4"/>
  <c r="AB798" i="4"/>
  <c r="W798" i="4"/>
  <c r="Z799" i="4"/>
  <c r="AB799" i="4"/>
  <c r="W799" i="4"/>
  <c r="Y799" i="4"/>
  <c r="AA799" i="4"/>
  <c r="W800" i="4"/>
  <c r="Y800" i="4"/>
  <c r="Z800" i="4"/>
  <c r="AA800" i="4"/>
  <c r="AB800" i="4"/>
  <c r="Z808" i="4"/>
  <c r="W808" i="4"/>
  <c r="Y808" i="4"/>
  <c r="AA808" i="4"/>
  <c r="AB808" i="4"/>
  <c r="Y815" i="4"/>
  <c r="Z815" i="4"/>
  <c r="AA815" i="4"/>
  <c r="AB815" i="4"/>
  <c r="W815" i="4"/>
  <c r="Y823" i="4"/>
  <c r="Z823" i="4"/>
  <c r="AA823" i="4"/>
  <c r="AB823" i="4"/>
  <c r="W823" i="4"/>
  <c r="Y824" i="4"/>
  <c r="Z824" i="4"/>
  <c r="AA824" i="4"/>
  <c r="AB824" i="4"/>
  <c r="W824" i="4"/>
  <c r="Z826" i="4"/>
  <c r="W826" i="4"/>
  <c r="Y826" i="4"/>
  <c r="AA826" i="4"/>
  <c r="AB826" i="4"/>
  <c r="AB845" i="4"/>
  <c r="W845" i="4"/>
  <c r="Y845" i="4"/>
  <c r="Z845" i="4"/>
  <c r="AA845" i="4"/>
  <c r="Z860" i="4"/>
  <c r="AA860" i="4"/>
  <c r="AB860" i="4"/>
  <c r="Y860" i="4"/>
  <c r="W860" i="4"/>
  <c r="Z861" i="4"/>
  <c r="W861" i="4"/>
  <c r="Y861" i="4"/>
  <c r="AA861" i="4"/>
  <c r="AB861" i="4"/>
  <c r="W862" i="4"/>
  <c r="Y862" i="4"/>
  <c r="Z862" i="4"/>
  <c r="AA862" i="4"/>
  <c r="AB862" i="4"/>
  <c r="Z875" i="4"/>
  <c r="AA875" i="4"/>
  <c r="AB875" i="4"/>
  <c r="W875" i="4"/>
  <c r="Y875" i="4"/>
  <c r="AA879" i="4"/>
  <c r="W879" i="4"/>
  <c r="Y879" i="4"/>
  <c r="AB879" i="4"/>
  <c r="Z879" i="4"/>
  <c r="Z901" i="4"/>
  <c r="AA901" i="4"/>
  <c r="W901" i="4"/>
  <c r="Y901" i="4"/>
  <c r="AB901" i="4"/>
  <c r="AA909" i="4"/>
  <c r="W909" i="4"/>
  <c r="Y909" i="4"/>
  <c r="Z909" i="4"/>
  <c r="AB909" i="4"/>
  <c r="Y910" i="4"/>
  <c r="AA910" i="4"/>
  <c r="AB910" i="4"/>
  <c r="W910" i="4"/>
  <c r="Z910" i="4"/>
  <c r="Z911" i="4"/>
  <c r="AA911" i="4"/>
  <c r="AB911" i="4"/>
  <c r="W911" i="4"/>
  <c r="Y911" i="4"/>
  <c r="Y920" i="4"/>
  <c r="Z920" i="4"/>
  <c r="AA920" i="4"/>
  <c r="AB920" i="4"/>
  <c r="W920" i="4"/>
  <c r="AB922" i="4"/>
  <c r="W922" i="4"/>
  <c r="Y922" i="4"/>
  <c r="Z922" i="4"/>
  <c r="AA922" i="4"/>
  <c r="Z936" i="4"/>
  <c r="AA936" i="4"/>
  <c r="AB936" i="4"/>
  <c r="W936" i="4"/>
  <c r="Y936" i="4"/>
  <c r="W943" i="4"/>
  <c r="Y943" i="4"/>
  <c r="Z943" i="4"/>
  <c r="AA943" i="4"/>
  <c r="AB943" i="4"/>
  <c r="W944" i="4"/>
  <c r="Y944" i="4"/>
  <c r="Z944" i="4"/>
  <c r="AA944" i="4"/>
  <c r="AB944" i="4"/>
  <c r="Z945" i="4"/>
  <c r="AA945" i="4"/>
  <c r="AB945" i="4"/>
  <c r="W945" i="4"/>
  <c r="Y945" i="4"/>
  <c r="W974" i="4"/>
  <c r="Y974" i="4"/>
  <c r="Z974" i="4"/>
  <c r="AA974" i="4"/>
  <c r="AB974" i="4"/>
  <c r="Y975" i="4"/>
  <c r="AA975" i="4"/>
  <c r="AB975" i="4"/>
  <c r="W975" i="4"/>
  <c r="Z975" i="4"/>
  <c r="Y976" i="4"/>
  <c r="AA976" i="4"/>
  <c r="AB976" i="4"/>
  <c r="W976" i="4"/>
  <c r="Z976" i="4"/>
  <c r="Y982" i="4"/>
  <c r="Z982" i="4"/>
  <c r="AA982" i="4"/>
  <c r="W982" i="4"/>
  <c r="AB982" i="4"/>
  <c r="AA983" i="4"/>
  <c r="W983" i="4"/>
  <c r="Y983" i="4"/>
  <c r="Z983" i="4"/>
  <c r="AB983" i="4"/>
  <c r="W796" i="4"/>
  <c r="Z796" i="4"/>
  <c r="AB796" i="4"/>
  <c r="Y796" i="4"/>
  <c r="AA796" i="4"/>
  <c r="Z804" i="4"/>
  <c r="AB804" i="4"/>
  <c r="W804" i="4"/>
  <c r="Y804" i="4"/>
  <c r="AA804" i="4"/>
  <c r="Z813" i="4"/>
  <c r="AB813" i="4"/>
  <c r="W813" i="4"/>
  <c r="Y813" i="4"/>
  <c r="AA813" i="4"/>
  <c r="W830" i="4"/>
  <c r="Y830" i="4"/>
  <c r="Z830" i="4"/>
  <c r="AA830" i="4"/>
  <c r="AB830" i="4"/>
  <c r="Z831" i="4"/>
  <c r="AB831" i="4"/>
  <c r="W831" i="4"/>
  <c r="Y831" i="4"/>
  <c r="AA831" i="4"/>
  <c r="AA848" i="4"/>
  <c r="Y848" i="4"/>
  <c r="Z848" i="4"/>
  <c r="AB848" i="4"/>
  <c r="W848" i="4"/>
  <c r="W859" i="4"/>
  <c r="Y859" i="4"/>
  <c r="Z859" i="4"/>
  <c r="AA859" i="4"/>
  <c r="AB859" i="4"/>
  <c r="Z866" i="4"/>
  <c r="W866" i="4"/>
  <c r="Y866" i="4"/>
  <c r="AA866" i="4"/>
  <c r="AB866" i="4"/>
  <c r="AA884" i="4"/>
  <c r="AB884" i="4"/>
  <c r="Y884" i="4"/>
  <c r="W884" i="4"/>
  <c r="Z884" i="4"/>
  <c r="W885" i="4"/>
  <c r="Y885" i="4"/>
  <c r="Z885" i="4"/>
  <c r="AA885" i="4"/>
  <c r="AB885" i="4"/>
  <c r="AA886" i="4"/>
  <c r="AB886" i="4"/>
  <c r="W886" i="4"/>
  <c r="Y886" i="4"/>
  <c r="Z886" i="4"/>
  <c r="Z887" i="4"/>
  <c r="W887" i="4"/>
  <c r="Y887" i="4"/>
  <c r="AA887" i="4"/>
  <c r="AB887" i="4"/>
  <c r="W894" i="4"/>
  <c r="Y894" i="4"/>
  <c r="Z894" i="4"/>
  <c r="AA894" i="4"/>
  <c r="AB894" i="4"/>
  <c r="AA896" i="4"/>
  <c r="W896" i="4"/>
  <c r="Y896" i="4"/>
  <c r="Z896" i="4"/>
  <c r="AB896" i="4"/>
  <c r="Y908" i="4"/>
  <c r="Z908" i="4"/>
  <c r="AA908" i="4"/>
  <c r="AB908" i="4"/>
  <c r="W908" i="4"/>
  <c r="W921" i="4"/>
  <c r="Y921" i="4"/>
  <c r="Z921" i="4"/>
  <c r="AA921" i="4"/>
  <c r="AB921" i="4"/>
  <c r="Z934" i="4"/>
  <c r="AA934" i="4"/>
  <c r="AB934" i="4"/>
  <c r="W934" i="4"/>
  <c r="Y934" i="4"/>
  <c r="Y935" i="4"/>
  <c r="AA935" i="4"/>
  <c r="AB935" i="4"/>
  <c r="W935" i="4"/>
  <c r="Z935" i="4"/>
  <c r="Y942" i="4"/>
  <c r="Z942" i="4"/>
  <c r="W942" i="4"/>
  <c r="AA942" i="4"/>
  <c r="AB942" i="4"/>
  <c r="Z954" i="4"/>
  <c r="W954" i="4"/>
  <c r="Y954" i="4"/>
  <c r="AA954" i="4"/>
  <c r="AB954" i="4"/>
  <c r="Z955" i="4"/>
  <c r="W955" i="4"/>
  <c r="Y955" i="4"/>
  <c r="AA955" i="4"/>
  <c r="AB955" i="4"/>
  <c r="Z961" i="4"/>
  <c r="AA961" i="4"/>
  <c r="AB961" i="4"/>
  <c r="W961" i="4"/>
  <c r="Y961" i="4"/>
  <c r="W963" i="4"/>
  <c r="Y963" i="4"/>
  <c r="Z963" i="4"/>
  <c r="AA963" i="4"/>
  <c r="AB963" i="4"/>
  <c r="Z964" i="4"/>
  <c r="AA964" i="4"/>
  <c r="W964" i="4"/>
  <c r="Y964" i="4"/>
  <c r="AB964" i="4"/>
  <c r="Z977" i="4"/>
  <c r="AA977" i="4"/>
  <c r="AB977" i="4"/>
  <c r="W977" i="4"/>
  <c r="Y977" i="4"/>
  <c r="Z978" i="4"/>
  <c r="AA978" i="4"/>
  <c r="AB978" i="4"/>
  <c r="W978" i="4"/>
  <c r="Y978" i="4"/>
  <c r="Y986" i="4"/>
  <c r="AB986" i="4"/>
  <c r="W986" i="4"/>
  <c r="Z986" i="4"/>
  <c r="AA986" i="4"/>
  <c r="Y1000" i="4"/>
  <c r="AB1000" i="4"/>
  <c r="W1000" i="4"/>
  <c r="Z1000" i="4"/>
  <c r="AA1000" i="4"/>
  <c r="Y806" i="4"/>
  <c r="Z806" i="4"/>
  <c r="AA806" i="4"/>
  <c r="AB806" i="4"/>
  <c r="W806" i="4"/>
  <c r="W807" i="4"/>
  <c r="Y807" i="4"/>
  <c r="Z807" i="4"/>
  <c r="AA807" i="4"/>
  <c r="AB807" i="4"/>
  <c r="W809" i="4"/>
  <c r="Y809" i="4"/>
  <c r="Z809" i="4"/>
  <c r="AA809" i="4"/>
  <c r="AB809" i="4"/>
  <c r="Z810" i="4"/>
  <c r="AB810" i="4"/>
  <c r="W810" i="4"/>
  <c r="Y810" i="4"/>
  <c r="AA810" i="4"/>
  <c r="Z817" i="4"/>
  <c r="AA817" i="4"/>
  <c r="AB817" i="4"/>
  <c r="W817" i="4"/>
  <c r="Y817" i="4"/>
  <c r="Z818" i="4"/>
  <c r="AB818" i="4"/>
  <c r="W818" i="4"/>
  <c r="Y818" i="4"/>
  <c r="AA818" i="4"/>
  <c r="W825" i="4"/>
  <c r="Y825" i="4"/>
  <c r="Z825" i="4"/>
  <c r="AA825" i="4"/>
  <c r="AB825" i="4"/>
  <c r="Y841" i="4"/>
  <c r="Z841" i="4"/>
  <c r="AB841" i="4"/>
  <c r="W841" i="4"/>
  <c r="AA841" i="4"/>
  <c r="Z842" i="4"/>
  <c r="AA842" i="4"/>
  <c r="AB842" i="4"/>
  <c r="W842" i="4"/>
  <c r="Y842" i="4"/>
  <c r="Z843" i="4"/>
  <c r="AA843" i="4"/>
  <c r="AB843" i="4"/>
  <c r="W843" i="4"/>
  <c r="Y843" i="4"/>
  <c r="Z846" i="4"/>
  <c r="AA846" i="4"/>
  <c r="AB846" i="4"/>
  <c r="W846" i="4"/>
  <c r="Y846" i="4"/>
  <c r="W853" i="4"/>
  <c r="Y853" i="4"/>
  <c r="Z853" i="4"/>
  <c r="AA853" i="4"/>
  <c r="AB853" i="4"/>
  <c r="Z867" i="4"/>
  <c r="AB867" i="4"/>
  <c r="W867" i="4"/>
  <c r="Y867" i="4"/>
  <c r="AA867" i="4"/>
  <c r="Y869" i="4"/>
  <c r="Z869" i="4"/>
  <c r="AA869" i="4"/>
  <c r="AB869" i="4"/>
  <c r="W869" i="4"/>
  <c r="W876" i="4"/>
  <c r="Y876" i="4"/>
  <c r="Z876" i="4"/>
  <c r="AA876" i="4"/>
  <c r="AB876" i="4"/>
  <c r="Z895" i="4"/>
  <c r="AB895" i="4"/>
  <c r="W895" i="4"/>
  <c r="Y895" i="4"/>
  <c r="AA895" i="4"/>
  <c r="Y903" i="4"/>
  <c r="Z903" i="4"/>
  <c r="AA903" i="4"/>
  <c r="AB903" i="4"/>
  <c r="W903" i="4"/>
  <c r="Z904" i="4"/>
  <c r="AA904" i="4"/>
  <c r="AB904" i="4"/>
  <c r="W904" i="4"/>
  <c r="Y904" i="4"/>
  <c r="W912" i="4"/>
  <c r="Z912" i="4"/>
  <c r="Y912" i="4"/>
  <c r="AA912" i="4"/>
  <c r="AB912" i="4"/>
  <c r="Z913" i="4"/>
  <c r="AB913" i="4"/>
  <c r="W913" i="4"/>
  <c r="Y913" i="4"/>
  <c r="AA913" i="4"/>
  <c r="Y914" i="4"/>
  <c r="Z914" i="4"/>
  <c r="AA914" i="4"/>
  <c r="AB914" i="4"/>
  <c r="W914" i="4"/>
  <c r="W915" i="4"/>
  <c r="Y915" i="4"/>
  <c r="Z915" i="4"/>
  <c r="AA915" i="4"/>
  <c r="AB915" i="4"/>
  <c r="Y930" i="4"/>
  <c r="Z930" i="4"/>
  <c r="AA930" i="4"/>
  <c r="AB930" i="4"/>
  <c r="W930" i="4"/>
  <c r="Y931" i="4"/>
  <c r="Z931" i="4"/>
  <c r="AA931" i="4"/>
  <c r="AB931" i="4"/>
  <c r="W931" i="4"/>
  <c r="Z932" i="4"/>
  <c r="AB932" i="4"/>
  <c r="W932" i="4"/>
  <c r="Y932" i="4"/>
  <c r="AA932" i="4"/>
  <c r="Y937" i="4"/>
  <c r="Z937" i="4"/>
  <c r="AA937" i="4"/>
  <c r="AB937" i="4"/>
  <c r="W937" i="4"/>
  <c r="Y962" i="4"/>
  <c r="AA962" i="4"/>
  <c r="AB962" i="4"/>
  <c r="W962" i="4"/>
  <c r="Z962" i="4"/>
  <c r="Y968" i="4"/>
  <c r="Z968" i="4"/>
  <c r="AA968" i="4"/>
  <c r="AB968" i="4"/>
  <c r="W968" i="4"/>
  <c r="AA970" i="4"/>
  <c r="W970" i="4"/>
  <c r="Y970" i="4"/>
  <c r="Z970" i="4"/>
  <c r="AB970" i="4"/>
  <c r="Z1001" i="4"/>
  <c r="AB1001" i="4"/>
  <c r="W1001" i="4"/>
  <c r="Y1001" i="4"/>
  <c r="AA1001" i="4"/>
  <c r="AA1009" i="4"/>
  <c r="Y1009" i="4"/>
  <c r="AB1009" i="4"/>
  <c r="W1009" i="4"/>
  <c r="Z1009" i="4"/>
  <c r="Z797" i="4"/>
  <c r="AB797" i="4"/>
  <c r="W797" i="4"/>
  <c r="Y797" i="4"/>
  <c r="AA797" i="4"/>
  <c r="Y805" i="4"/>
  <c r="AA805" i="4"/>
  <c r="W805" i="4"/>
  <c r="Z805" i="4"/>
  <c r="AB805" i="4"/>
  <c r="Z832" i="4"/>
  <c r="AA832" i="4"/>
  <c r="AB832" i="4"/>
  <c r="W832" i="4"/>
  <c r="Y832" i="4"/>
  <c r="Z833" i="4"/>
  <c r="AA833" i="4"/>
  <c r="W833" i="4"/>
  <c r="Y833" i="4"/>
  <c r="AB833" i="4"/>
  <c r="Y847" i="4"/>
  <c r="Z847" i="4"/>
  <c r="AA847" i="4"/>
  <c r="AB847" i="4"/>
  <c r="W847" i="4"/>
  <c r="Z855" i="4"/>
  <c r="AA855" i="4"/>
  <c r="AB855" i="4"/>
  <c r="W855" i="4"/>
  <c r="Y855" i="4"/>
  <c r="Z856" i="4"/>
  <c r="AB856" i="4"/>
  <c r="W856" i="4"/>
  <c r="Y856" i="4"/>
  <c r="AA856" i="4"/>
  <c r="Y863" i="4"/>
  <c r="Z863" i="4"/>
  <c r="AA863" i="4"/>
  <c r="AB863" i="4"/>
  <c r="W863" i="4"/>
  <c r="Y870" i="4"/>
  <c r="Z870" i="4"/>
  <c r="AA870" i="4"/>
  <c r="AB870" i="4"/>
  <c r="W870" i="4"/>
  <c r="Y871" i="4"/>
  <c r="Z871" i="4"/>
  <c r="AA871" i="4"/>
  <c r="AB871" i="4"/>
  <c r="W871" i="4"/>
  <c r="W872" i="4"/>
  <c r="Y872" i="4"/>
  <c r="Z872" i="4"/>
  <c r="AA872" i="4"/>
  <c r="AB872" i="4"/>
  <c r="Z880" i="4"/>
  <c r="W880" i="4"/>
  <c r="Y880" i="4"/>
  <c r="AA880" i="4"/>
  <c r="AB880" i="4"/>
  <c r="W905" i="4"/>
  <c r="Y905" i="4"/>
  <c r="Z905" i="4"/>
  <c r="AA905" i="4"/>
  <c r="AB905" i="4"/>
  <c r="Z907" i="4"/>
  <c r="AB907" i="4"/>
  <c r="W907" i="4"/>
  <c r="Y907" i="4"/>
  <c r="AA907" i="4"/>
  <c r="Z924" i="4"/>
  <c r="AA924" i="4"/>
  <c r="W924" i="4"/>
  <c r="Y924" i="4"/>
  <c r="AB924" i="4"/>
  <c r="Y925" i="4"/>
  <c r="AA925" i="4"/>
  <c r="AB925" i="4"/>
  <c r="W925" i="4"/>
  <c r="Z925" i="4"/>
  <c r="Z926" i="4"/>
  <c r="AB926" i="4"/>
  <c r="W926" i="4"/>
  <c r="Y926" i="4"/>
  <c r="AA926" i="4"/>
  <c r="Y950" i="4"/>
  <c r="Z950" i="4"/>
  <c r="AA950" i="4"/>
  <c r="AB950" i="4"/>
  <c r="W950" i="4"/>
  <c r="Y951" i="4"/>
  <c r="Z951" i="4"/>
  <c r="AA951" i="4"/>
  <c r="AB951" i="4"/>
  <c r="W951" i="4"/>
  <c r="Y957" i="4"/>
  <c r="AA957" i="4"/>
  <c r="AB957" i="4"/>
  <c r="Z957" i="4"/>
  <c r="W957" i="4"/>
  <c r="Z969" i="4"/>
  <c r="AA969" i="4"/>
  <c r="AB969" i="4"/>
  <c r="W969" i="4"/>
  <c r="Y969" i="4"/>
  <c r="Z981" i="4"/>
  <c r="AA981" i="4"/>
  <c r="AB981" i="4"/>
  <c r="W981" i="4"/>
  <c r="Y981" i="4"/>
  <c r="Y988" i="4"/>
  <c r="Z988" i="4"/>
  <c r="AA988" i="4"/>
  <c r="AB988" i="4"/>
  <c r="W988" i="4"/>
  <c r="W989" i="4"/>
  <c r="Y989" i="4"/>
  <c r="Z989" i="4"/>
  <c r="AA989" i="4"/>
  <c r="AB989" i="4"/>
  <c r="W990" i="4"/>
  <c r="Y990" i="4"/>
  <c r="Z990" i="4"/>
  <c r="AA990" i="4"/>
  <c r="AB990" i="4"/>
  <c r="Z991" i="4"/>
  <c r="AA991" i="4"/>
  <c r="AB991" i="4"/>
  <c r="W991" i="4"/>
  <c r="Y991" i="4"/>
  <c r="Z997" i="4"/>
  <c r="AB997" i="4"/>
  <c r="W997" i="4"/>
  <c r="Y997" i="4"/>
  <c r="AA997" i="4"/>
  <c r="Y1003" i="4"/>
  <c r="Z1003" i="4"/>
  <c r="AA1003" i="4"/>
  <c r="AB1003" i="4"/>
  <c r="W1003" i="4"/>
  <c r="Z1006" i="4"/>
  <c r="AB1006" i="4"/>
  <c r="W1006" i="4"/>
  <c r="Y1006" i="4"/>
  <c r="AA1006" i="4"/>
  <c r="Y11" i="4"/>
  <c r="Z11" i="4"/>
  <c r="AA11" i="4"/>
  <c r="AB11" i="4"/>
  <c r="W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11" i="4"/>
  <c r="AG14" i="3"/>
  <c r="AI14" i="3"/>
  <c r="AJ14" i="3"/>
  <c r="AD14" i="3"/>
  <c r="AF14" i="3"/>
  <c r="AH14" i="3"/>
  <c r="AG15" i="3"/>
  <c r="AI15" i="3"/>
  <c r="AJ15" i="3"/>
  <c r="AD15" i="3"/>
  <c r="AF15" i="3"/>
  <c r="AH15" i="3"/>
  <c r="AG18" i="3"/>
  <c r="AI18" i="3"/>
  <c r="AJ18" i="3"/>
  <c r="AD18" i="3"/>
  <c r="AF18" i="3"/>
  <c r="AH18" i="3"/>
  <c r="AF19" i="3"/>
  <c r="AG19" i="3"/>
  <c r="AH19" i="3"/>
  <c r="AI19" i="3"/>
  <c r="AJ19" i="3"/>
  <c r="AD19" i="3"/>
  <c r="AF20" i="3"/>
  <c r="AG20" i="3"/>
  <c r="AH20" i="3"/>
  <c r="AI20" i="3"/>
  <c r="AJ20" i="3"/>
  <c r="AD20" i="3"/>
  <c r="AF21" i="3"/>
  <c r="AG21" i="3"/>
  <c r="AH21" i="3"/>
  <c r="AI21" i="3"/>
  <c r="AJ21" i="3"/>
  <c r="AD21" i="3"/>
  <c r="AF22" i="3"/>
  <c r="AG22" i="3"/>
  <c r="AH22" i="3"/>
  <c r="AI22" i="3"/>
  <c r="AJ22" i="3"/>
  <c r="AD22" i="3"/>
  <c r="AF23" i="3"/>
  <c r="AG23" i="3"/>
  <c r="AH23" i="3"/>
  <c r="AI23" i="3"/>
  <c r="AJ23" i="3"/>
  <c r="AD23" i="3"/>
  <c r="AF24" i="3"/>
  <c r="AG24" i="3"/>
  <c r="AH24" i="3"/>
  <c r="AI24" i="3"/>
  <c r="AJ24" i="3"/>
  <c r="AD24" i="3"/>
  <c r="AG26" i="3"/>
  <c r="AI26" i="3"/>
  <c r="AD26" i="3"/>
  <c r="AF26" i="3"/>
  <c r="AH26" i="3"/>
  <c r="AJ26" i="3"/>
  <c r="AF28" i="3"/>
  <c r="AG28" i="3"/>
  <c r="AH28" i="3"/>
  <c r="AI28" i="3"/>
  <c r="AJ28" i="3"/>
  <c r="AD28" i="3"/>
  <c r="AF29" i="3"/>
  <c r="AG29" i="3"/>
  <c r="AH29" i="3"/>
  <c r="AI29" i="3"/>
  <c r="AJ29" i="3"/>
  <c r="AD29" i="3"/>
  <c r="AF30" i="3"/>
  <c r="AG30" i="3"/>
  <c r="AH30" i="3"/>
  <c r="AI30" i="3"/>
  <c r="AJ30" i="3"/>
  <c r="AD30" i="3"/>
  <c r="AF31" i="3"/>
  <c r="AG31" i="3"/>
  <c r="AH31" i="3"/>
  <c r="AI31" i="3"/>
  <c r="AJ31" i="3"/>
  <c r="AD31" i="3"/>
  <c r="AF32" i="3"/>
  <c r="AG32" i="3"/>
  <c r="AH32" i="3"/>
  <c r="AI32" i="3"/>
  <c r="AJ32" i="3"/>
  <c r="AD32" i="3"/>
  <c r="AF33" i="3"/>
  <c r="AG33" i="3"/>
  <c r="AH33" i="3"/>
  <c r="AI33" i="3"/>
  <c r="AJ33" i="3"/>
  <c r="AD33" i="3"/>
  <c r="AF34" i="3"/>
  <c r="AG34" i="3"/>
  <c r="AH34" i="3"/>
  <c r="AI34" i="3"/>
  <c r="AJ34" i="3"/>
  <c r="AD34" i="3"/>
  <c r="AF35" i="3"/>
  <c r="AG35" i="3"/>
  <c r="AH35" i="3"/>
  <c r="AI35" i="3"/>
  <c r="AJ35" i="3"/>
  <c r="AD35" i="3"/>
  <c r="AF36" i="3"/>
  <c r="AG36" i="3"/>
  <c r="AH36" i="3"/>
  <c r="AI36" i="3"/>
  <c r="AJ36" i="3"/>
  <c r="AD36" i="3"/>
  <c r="AF37" i="3"/>
  <c r="AG37" i="3"/>
  <c r="AH37" i="3"/>
  <c r="AI37" i="3"/>
  <c r="AJ37" i="3"/>
  <c r="AD37" i="3"/>
  <c r="AF38" i="3"/>
  <c r="AG38" i="3"/>
  <c r="AH38" i="3"/>
  <c r="AI38" i="3"/>
  <c r="AJ38" i="3"/>
  <c r="AD38" i="3"/>
  <c r="AF39" i="3"/>
  <c r="AG39" i="3"/>
  <c r="AH39" i="3"/>
  <c r="AI39" i="3"/>
  <c r="AJ39" i="3"/>
  <c r="AD39" i="3"/>
  <c r="AF40" i="3"/>
  <c r="AG40" i="3"/>
  <c r="AH40" i="3"/>
  <c r="AI40" i="3"/>
  <c r="AJ40" i="3"/>
  <c r="AD40" i="3"/>
  <c r="AF41" i="3"/>
  <c r="AG41" i="3"/>
  <c r="AH41" i="3"/>
  <c r="AI41" i="3"/>
  <c r="AJ41" i="3"/>
  <c r="AD41" i="3"/>
  <c r="AH42" i="3"/>
  <c r="AD42" i="3"/>
  <c r="AF42" i="3"/>
  <c r="AG42" i="3"/>
  <c r="AI42" i="3"/>
  <c r="AJ42" i="3"/>
  <c r="AG43" i="3"/>
  <c r="AI43" i="3"/>
  <c r="AD43" i="3"/>
  <c r="AF43" i="3"/>
  <c r="AH43" i="3"/>
  <c r="AJ43" i="3"/>
  <c r="AG47" i="3"/>
  <c r="AI47" i="3"/>
  <c r="AD47" i="3"/>
  <c r="AF47" i="3"/>
  <c r="AH47" i="3"/>
  <c r="AJ47" i="3"/>
  <c r="AH48" i="3"/>
  <c r="AD48" i="3"/>
  <c r="AF48" i="3"/>
  <c r="AG48" i="3"/>
  <c r="AI48" i="3"/>
  <c r="AJ48" i="3"/>
  <c r="AG49" i="3"/>
  <c r="AJ49" i="3"/>
  <c r="AD49" i="3"/>
  <c r="AF49" i="3"/>
  <c r="AH49" i="3"/>
  <c r="AI49" i="3"/>
  <c r="AG50" i="3"/>
  <c r="AI50" i="3"/>
  <c r="AJ50" i="3"/>
  <c r="AD50" i="3"/>
  <c r="AF50" i="3"/>
  <c r="AH50" i="3"/>
  <c r="AH51" i="3"/>
  <c r="AD51" i="3"/>
  <c r="AF51" i="3"/>
  <c r="AG51" i="3"/>
  <c r="AI51" i="3"/>
  <c r="AJ51" i="3"/>
  <c r="AG53" i="3"/>
  <c r="AI53" i="3"/>
  <c r="AJ53" i="3"/>
  <c r="AD53" i="3"/>
  <c r="AF53" i="3"/>
  <c r="AH53" i="3"/>
  <c r="AH54" i="3"/>
  <c r="AD54" i="3"/>
  <c r="AF54" i="3"/>
  <c r="AG54" i="3"/>
  <c r="AI54" i="3"/>
  <c r="AJ54" i="3"/>
  <c r="AG57" i="3"/>
  <c r="AJ57" i="3"/>
  <c r="AD57" i="3"/>
  <c r="AF57" i="3"/>
  <c r="AH57" i="3"/>
  <c r="AI57" i="3"/>
  <c r="AG59" i="3"/>
  <c r="AH59" i="3"/>
  <c r="AJ59" i="3"/>
  <c r="AD59" i="3"/>
  <c r="AF59" i="3"/>
  <c r="AI59" i="3"/>
  <c r="AH60" i="3"/>
  <c r="AD60" i="3"/>
  <c r="AF60" i="3"/>
  <c r="AG60" i="3"/>
  <c r="AI60" i="3"/>
  <c r="AJ60" i="3"/>
  <c r="AG61" i="3"/>
  <c r="AI61" i="3"/>
  <c r="AD61" i="3"/>
  <c r="AF61" i="3"/>
  <c r="AH61" i="3"/>
  <c r="AJ61" i="3"/>
  <c r="AG62" i="3"/>
  <c r="AI62" i="3"/>
  <c r="AD62" i="3"/>
  <c r="AF62" i="3"/>
  <c r="AH62" i="3"/>
  <c r="AJ62" i="3"/>
  <c r="AH64" i="3"/>
  <c r="AD64" i="3"/>
  <c r="AF64" i="3"/>
  <c r="AG64" i="3"/>
  <c r="AI64" i="3"/>
  <c r="AJ64" i="3"/>
  <c r="AH66" i="3"/>
  <c r="AD66" i="3"/>
  <c r="AF66" i="3"/>
  <c r="AG66" i="3"/>
  <c r="AI66" i="3"/>
  <c r="AJ66" i="3"/>
  <c r="AG69" i="3"/>
  <c r="AI69" i="3"/>
  <c r="AJ69" i="3"/>
  <c r="AD69" i="3"/>
  <c r="AF69" i="3"/>
  <c r="AH69" i="3"/>
  <c r="AG70" i="3"/>
  <c r="AI70" i="3"/>
  <c r="AD70" i="3"/>
  <c r="AF70" i="3"/>
  <c r="AH70" i="3"/>
  <c r="AJ70" i="3"/>
  <c r="AG72" i="3"/>
  <c r="AI72" i="3"/>
  <c r="AJ72" i="3"/>
  <c r="AD72" i="3"/>
  <c r="AF72" i="3"/>
  <c r="AH72" i="3"/>
  <c r="AG73" i="3"/>
  <c r="AI73" i="3"/>
  <c r="AD73" i="3"/>
  <c r="AF73" i="3"/>
  <c r="AH73" i="3"/>
  <c r="AJ73" i="3"/>
  <c r="AG74" i="3"/>
  <c r="AI74" i="3"/>
  <c r="AD74" i="3"/>
  <c r="AF74" i="3"/>
  <c r="AH74" i="3"/>
  <c r="AJ74" i="3"/>
  <c r="AG78" i="3"/>
  <c r="AI78" i="3"/>
  <c r="AD78" i="3"/>
  <c r="AF78" i="3"/>
  <c r="AH78" i="3"/>
  <c r="AJ78" i="3"/>
  <c r="AG81" i="3"/>
  <c r="AI81" i="3"/>
  <c r="AD81" i="3"/>
  <c r="AF81" i="3"/>
  <c r="AH81" i="3"/>
  <c r="AJ81" i="3"/>
  <c r="AF82" i="3"/>
  <c r="AH82" i="3"/>
  <c r="AD82" i="3"/>
  <c r="AG82" i="3"/>
  <c r="AI82" i="3"/>
  <c r="AJ82" i="3"/>
  <c r="AG83" i="3"/>
  <c r="AH83" i="3"/>
  <c r="AJ83" i="3"/>
  <c r="AD83" i="3"/>
  <c r="AF83" i="3"/>
  <c r="AI83" i="3"/>
  <c r="AH86" i="3"/>
  <c r="AD86" i="3"/>
  <c r="AF86" i="3"/>
  <c r="AG86" i="3"/>
  <c r="AI86" i="3"/>
  <c r="AJ86" i="3"/>
  <c r="AF87" i="3"/>
  <c r="AG87" i="3"/>
  <c r="AH87" i="3"/>
  <c r="AI87" i="3"/>
  <c r="AJ87" i="3"/>
  <c r="AD87" i="3"/>
  <c r="AG90" i="3"/>
  <c r="AD90" i="3"/>
  <c r="AF90" i="3"/>
  <c r="AH90" i="3"/>
  <c r="AI90" i="3"/>
  <c r="AJ90" i="3"/>
  <c r="AG91" i="3"/>
  <c r="AH91" i="3"/>
  <c r="AJ91" i="3"/>
  <c r="AD91" i="3"/>
  <c r="AF91" i="3"/>
  <c r="AI91" i="3"/>
  <c r="AH92" i="3"/>
  <c r="AD92" i="3"/>
  <c r="AF92" i="3"/>
  <c r="AG92" i="3"/>
  <c r="AI92" i="3"/>
  <c r="AJ92" i="3"/>
  <c r="AH93" i="3"/>
  <c r="AD93" i="3"/>
  <c r="AF93" i="3"/>
  <c r="AG93" i="3"/>
  <c r="AI93" i="3"/>
  <c r="AJ93" i="3"/>
  <c r="AI96" i="3"/>
  <c r="AD96" i="3"/>
  <c r="AF96" i="3"/>
  <c r="AG96" i="3"/>
  <c r="AH96" i="3"/>
  <c r="AJ96" i="3"/>
  <c r="AH99" i="3"/>
  <c r="AD99" i="3"/>
  <c r="AF99" i="3"/>
  <c r="AG99" i="3"/>
  <c r="AI99" i="3"/>
  <c r="AJ99" i="3"/>
  <c r="AG101" i="3"/>
  <c r="AI101" i="3"/>
  <c r="AD101" i="3"/>
  <c r="AF101" i="3"/>
  <c r="AH101" i="3"/>
  <c r="AJ101" i="3"/>
  <c r="AG102" i="3"/>
  <c r="AI102" i="3"/>
  <c r="AJ102" i="3"/>
  <c r="AD102" i="3"/>
  <c r="AF102" i="3"/>
  <c r="AH102" i="3"/>
  <c r="AG103" i="3"/>
  <c r="AI103" i="3"/>
  <c r="AJ103" i="3"/>
  <c r="AD103" i="3"/>
  <c r="AF103" i="3"/>
  <c r="AH103" i="3"/>
  <c r="AG105" i="3"/>
  <c r="AD105" i="3"/>
  <c r="AF105" i="3"/>
  <c r="AH105" i="3"/>
  <c r="AI105" i="3"/>
  <c r="AJ105" i="3"/>
  <c r="AH107" i="3"/>
  <c r="AD107" i="3"/>
  <c r="AF107" i="3"/>
  <c r="AG107" i="3"/>
  <c r="AI107" i="3"/>
  <c r="AJ107" i="3"/>
  <c r="AH108" i="3"/>
  <c r="AD108" i="3"/>
  <c r="AF108" i="3"/>
  <c r="AG108" i="3"/>
  <c r="AI108" i="3"/>
  <c r="AJ108" i="3"/>
  <c r="AF112" i="3"/>
  <c r="AH112" i="3"/>
  <c r="AI112" i="3"/>
  <c r="AJ112" i="3"/>
  <c r="AD112" i="3"/>
  <c r="AG112" i="3"/>
  <c r="AG115" i="3"/>
  <c r="AI115" i="3"/>
  <c r="AJ115" i="3"/>
  <c r="AD115" i="3"/>
  <c r="AF115" i="3"/>
  <c r="AH115" i="3"/>
  <c r="AG116" i="3"/>
  <c r="AH116" i="3"/>
  <c r="AD116" i="3"/>
  <c r="AF116" i="3"/>
  <c r="AI116" i="3"/>
  <c r="AJ116" i="3"/>
  <c r="AH117" i="3"/>
  <c r="AD117" i="3"/>
  <c r="AF117" i="3"/>
  <c r="AG117" i="3"/>
  <c r="AI117" i="3"/>
  <c r="AJ117" i="3"/>
  <c r="AG118" i="3"/>
  <c r="AH118" i="3"/>
  <c r="AJ118" i="3"/>
  <c r="AD118" i="3"/>
  <c r="AF118" i="3"/>
  <c r="AI118" i="3"/>
  <c r="AH120" i="3"/>
  <c r="AD120" i="3"/>
  <c r="AF120" i="3"/>
  <c r="AG120" i="3"/>
  <c r="AI120" i="3"/>
  <c r="AJ120" i="3"/>
  <c r="AG121" i="3"/>
  <c r="AI121" i="3"/>
  <c r="AD121" i="3"/>
  <c r="AF121" i="3"/>
  <c r="AH121" i="3"/>
  <c r="AJ121" i="3"/>
  <c r="AH122" i="3"/>
  <c r="AD122" i="3"/>
  <c r="AF122" i="3"/>
  <c r="AG122" i="3"/>
  <c r="AI122" i="3"/>
  <c r="AJ122" i="3"/>
  <c r="AG133" i="3"/>
  <c r="AD133" i="3"/>
  <c r="AF133" i="3"/>
  <c r="AH133" i="3"/>
  <c r="AI133" i="3"/>
  <c r="AJ133" i="3"/>
  <c r="AH135" i="3"/>
  <c r="AD135" i="3"/>
  <c r="AF135" i="3"/>
  <c r="AG135" i="3"/>
  <c r="AI135" i="3"/>
  <c r="AJ135" i="3"/>
  <c r="AF136" i="3"/>
  <c r="AH136" i="3"/>
  <c r="AD136" i="3"/>
  <c r="AG136" i="3"/>
  <c r="AI136" i="3"/>
  <c r="AJ136" i="3"/>
  <c r="AF137" i="3"/>
  <c r="AH137" i="3"/>
  <c r="AI137" i="3"/>
  <c r="AJ137" i="3"/>
  <c r="AD137" i="3"/>
  <c r="AG137" i="3"/>
  <c r="AH138" i="3"/>
  <c r="AD138" i="3"/>
  <c r="AF138" i="3"/>
  <c r="AG138" i="3"/>
  <c r="AI138" i="3"/>
  <c r="AJ138" i="3"/>
  <c r="AG140" i="3"/>
  <c r="AI140" i="3"/>
  <c r="AD140" i="3"/>
  <c r="AF140" i="3"/>
  <c r="AH140" i="3"/>
  <c r="AJ140" i="3"/>
  <c r="AH141" i="3"/>
  <c r="AD141" i="3"/>
  <c r="AF141" i="3"/>
  <c r="AG141" i="3"/>
  <c r="AI141" i="3"/>
  <c r="AJ141" i="3"/>
  <c r="AH144" i="3"/>
  <c r="AD144" i="3"/>
  <c r="AF144" i="3"/>
  <c r="AG144" i="3"/>
  <c r="AI144" i="3"/>
  <c r="AJ144" i="3"/>
  <c r="AG145" i="3"/>
  <c r="AI145" i="3"/>
  <c r="AJ145" i="3"/>
  <c r="AD145" i="3"/>
  <c r="AF145" i="3"/>
  <c r="AH145" i="3"/>
  <c r="AG146" i="3"/>
  <c r="AH146" i="3"/>
  <c r="AI146" i="3"/>
  <c r="AJ146" i="3"/>
  <c r="AD146" i="3"/>
  <c r="AF146" i="3"/>
  <c r="AG147" i="3"/>
  <c r="AI147" i="3"/>
  <c r="AJ147" i="3"/>
  <c r="AD147" i="3"/>
  <c r="AF147" i="3"/>
  <c r="AH147" i="3"/>
  <c r="AG149" i="3"/>
  <c r="AI149" i="3"/>
  <c r="AJ149" i="3"/>
  <c r="AD149" i="3"/>
  <c r="AF149" i="3"/>
  <c r="AH149" i="3"/>
  <c r="AG158" i="3"/>
  <c r="AI158" i="3"/>
  <c r="AJ158" i="3"/>
  <c r="AD158" i="3"/>
  <c r="AF158" i="3"/>
  <c r="AH158" i="3"/>
  <c r="AH159" i="3"/>
  <c r="AD159" i="3"/>
  <c r="AF159" i="3"/>
  <c r="AG159" i="3"/>
  <c r="AI159" i="3"/>
  <c r="AJ159" i="3"/>
  <c r="AG160" i="3"/>
  <c r="AI160" i="3"/>
  <c r="AD160" i="3"/>
  <c r="AF160" i="3"/>
  <c r="AH160" i="3"/>
  <c r="AJ160" i="3"/>
  <c r="AG161" i="3"/>
  <c r="AJ161" i="3"/>
  <c r="AD161" i="3"/>
  <c r="AF161" i="3"/>
  <c r="AH161" i="3"/>
  <c r="AI161" i="3"/>
  <c r="AH162" i="3"/>
  <c r="AJ162" i="3"/>
  <c r="AD162" i="3"/>
  <c r="AF162" i="3"/>
  <c r="AG162" i="3"/>
  <c r="AI162" i="3"/>
  <c r="AH165" i="3"/>
  <c r="AD165" i="3"/>
  <c r="AF165" i="3"/>
  <c r="AG165" i="3"/>
  <c r="AI165" i="3"/>
  <c r="AJ165" i="3"/>
  <c r="AG167" i="3"/>
  <c r="AH167" i="3"/>
  <c r="AI167" i="3"/>
  <c r="AJ167" i="3"/>
  <c r="AD167" i="3"/>
  <c r="AF167" i="3"/>
  <c r="AG168" i="3"/>
  <c r="AI168" i="3"/>
  <c r="AJ168" i="3"/>
  <c r="AD168" i="3"/>
  <c r="AF168" i="3"/>
  <c r="AH168" i="3"/>
  <c r="AF169" i="3"/>
  <c r="AH169" i="3"/>
  <c r="AD169" i="3"/>
  <c r="AG169" i="3"/>
  <c r="AI169" i="3"/>
  <c r="AJ169" i="3"/>
  <c r="AF171" i="3"/>
  <c r="AG171" i="3"/>
  <c r="AH171" i="3"/>
  <c r="AI171" i="3"/>
  <c r="AJ171" i="3"/>
  <c r="AD171" i="3"/>
  <c r="AG174" i="3"/>
  <c r="AH174" i="3"/>
  <c r="AJ174" i="3"/>
  <c r="AD174" i="3"/>
  <c r="AF174" i="3"/>
  <c r="AI174" i="3"/>
  <c r="AG175" i="3"/>
  <c r="AI175" i="3"/>
  <c r="AJ175" i="3"/>
  <c r="AD175" i="3"/>
  <c r="AF175" i="3"/>
  <c r="AH175" i="3"/>
  <c r="AH176" i="3"/>
  <c r="AD176" i="3"/>
  <c r="AF176" i="3"/>
  <c r="AG176" i="3"/>
  <c r="AI176" i="3"/>
  <c r="AJ176" i="3"/>
  <c r="AG178" i="3"/>
  <c r="AH178" i="3"/>
  <c r="AJ178" i="3"/>
  <c r="AD178" i="3"/>
  <c r="AF178" i="3"/>
  <c r="AI178" i="3"/>
  <c r="AF183" i="3"/>
  <c r="AG183" i="3"/>
  <c r="AH183" i="3"/>
  <c r="AI183" i="3"/>
  <c r="AD183" i="3"/>
  <c r="AJ183" i="3"/>
  <c r="AG187" i="3"/>
  <c r="AI187" i="3"/>
  <c r="AD187" i="3"/>
  <c r="AF187" i="3"/>
  <c r="AH187" i="3"/>
  <c r="AJ187" i="3"/>
  <c r="AG188" i="3"/>
  <c r="AI188" i="3"/>
  <c r="AD188" i="3"/>
  <c r="AF188" i="3"/>
  <c r="AH188" i="3"/>
  <c r="AJ188" i="3"/>
  <c r="AG190" i="3"/>
  <c r="AI190" i="3"/>
  <c r="AJ190" i="3"/>
  <c r="AD190" i="3"/>
  <c r="AF190" i="3"/>
  <c r="AH190" i="3"/>
  <c r="AF193" i="3"/>
  <c r="AH193" i="3"/>
  <c r="AI193" i="3"/>
  <c r="AJ193" i="3"/>
  <c r="AD193" i="3"/>
  <c r="AG193" i="3"/>
  <c r="AG194" i="3"/>
  <c r="AI194" i="3"/>
  <c r="AD194" i="3"/>
  <c r="AF194" i="3"/>
  <c r="AH194" i="3"/>
  <c r="AJ194" i="3"/>
  <c r="AG195" i="3"/>
  <c r="AI195" i="3"/>
  <c r="AD195" i="3"/>
  <c r="AF195" i="3"/>
  <c r="AH195" i="3"/>
  <c r="AJ195" i="3"/>
  <c r="AH196" i="3"/>
  <c r="AJ196" i="3"/>
  <c r="AD196" i="3"/>
  <c r="AF196" i="3"/>
  <c r="AG196" i="3"/>
  <c r="AI196" i="3"/>
  <c r="AG198" i="3"/>
  <c r="AD198" i="3"/>
  <c r="AF198" i="3"/>
  <c r="AH198" i="3"/>
  <c r="AI198" i="3"/>
  <c r="AJ198" i="3"/>
  <c r="AG199" i="3"/>
  <c r="AI199" i="3"/>
  <c r="AD199" i="3"/>
  <c r="AF199" i="3"/>
  <c r="AH199" i="3"/>
  <c r="AJ199" i="3"/>
  <c r="AG200" i="3"/>
  <c r="AI200" i="3"/>
  <c r="AJ200" i="3"/>
  <c r="AD200" i="3"/>
  <c r="AF200" i="3"/>
  <c r="AH200" i="3"/>
  <c r="AF202" i="3"/>
  <c r="AI202" i="3"/>
  <c r="AD202" i="3"/>
  <c r="AG202" i="3"/>
  <c r="AH202" i="3"/>
  <c r="AJ202" i="3"/>
  <c r="AG205" i="3"/>
  <c r="AH205" i="3"/>
  <c r="AJ205" i="3"/>
  <c r="AD205" i="3"/>
  <c r="AF205" i="3"/>
  <c r="AI205" i="3"/>
  <c r="AH206" i="3"/>
  <c r="AJ206" i="3"/>
  <c r="AD206" i="3"/>
  <c r="AF206" i="3"/>
  <c r="AG206" i="3"/>
  <c r="AI206" i="3"/>
  <c r="AH207" i="3"/>
  <c r="AJ207" i="3"/>
  <c r="AD207" i="3"/>
  <c r="AF207" i="3"/>
  <c r="AG207" i="3"/>
  <c r="AI207" i="3"/>
  <c r="AG212" i="3"/>
  <c r="AI212" i="3"/>
  <c r="AD212" i="3"/>
  <c r="AF212" i="3"/>
  <c r="AH212" i="3"/>
  <c r="AJ212" i="3"/>
  <c r="AH214" i="3"/>
  <c r="AJ214" i="3"/>
  <c r="AD214" i="3"/>
  <c r="AF214" i="3"/>
  <c r="AG214" i="3"/>
  <c r="AI214" i="3"/>
  <c r="AG218" i="3"/>
  <c r="AI218" i="3"/>
  <c r="AD218" i="3"/>
  <c r="AF218" i="3"/>
  <c r="AH218" i="3"/>
  <c r="AJ218" i="3"/>
  <c r="AH219" i="3"/>
  <c r="AD219" i="3"/>
  <c r="AF219" i="3"/>
  <c r="AG219" i="3"/>
  <c r="AI219" i="3"/>
  <c r="AJ219" i="3"/>
  <c r="AG220" i="3"/>
  <c r="AI220" i="3"/>
  <c r="AJ220" i="3"/>
  <c r="AD220" i="3"/>
  <c r="AF220" i="3"/>
  <c r="AH220" i="3"/>
  <c r="AG221" i="3"/>
  <c r="AI221" i="3"/>
  <c r="AD221" i="3"/>
  <c r="AF221" i="3"/>
  <c r="AH221" i="3"/>
  <c r="AJ221" i="3"/>
  <c r="AG222" i="3"/>
  <c r="AH222" i="3"/>
  <c r="AD222" i="3"/>
  <c r="AF222" i="3"/>
  <c r="AI222" i="3"/>
  <c r="AJ222" i="3"/>
  <c r="AH223" i="3"/>
  <c r="AI223" i="3"/>
  <c r="AD223" i="3"/>
  <c r="AF223" i="3"/>
  <c r="AG223" i="3"/>
  <c r="AJ223" i="3"/>
  <c r="AG224" i="3"/>
  <c r="AH224" i="3"/>
  <c r="AJ224" i="3"/>
  <c r="AD224" i="3"/>
  <c r="AF224" i="3"/>
  <c r="AI224" i="3"/>
  <c r="AH225" i="3"/>
  <c r="AD225" i="3"/>
  <c r="AF225" i="3"/>
  <c r="AG225" i="3"/>
  <c r="AI225" i="3"/>
  <c r="AJ225" i="3"/>
  <c r="AG227" i="3"/>
  <c r="AD227" i="3"/>
  <c r="AF227" i="3"/>
  <c r="AH227" i="3"/>
  <c r="AI227" i="3"/>
  <c r="AJ227" i="3"/>
  <c r="AH230" i="3"/>
  <c r="AD230" i="3"/>
  <c r="AF230" i="3"/>
  <c r="AG230" i="3"/>
  <c r="AI230" i="3"/>
  <c r="AJ230" i="3"/>
  <c r="AG231" i="3"/>
  <c r="AD231" i="3"/>
  <c r="AF231" i="3"/>
  <c r="AH231" i="3"/>
  <c r="AI231" i="3"/>
  <c r="AJ231" i="3"/>
  <c r="AG236" i="3"/>
  <c r="AI236" i="3"/>
  <c r="AJ236" i="3"/>
  <c r="AD236" i="3"/>
  <c r="AF236" i="3"/>
  <c r="AH236" i="3"/>
  <c r="AG238" i="3"/>
  <c r="AH238" i="3"/>
  <c r="AI238" i="3"/>
  <c r="AJ238" i="3"/>
  <c r="AD238" i="3"/>
  <c r="AF238" i="3"/>
  <c r="AG239" i="3"/>
  <c r="AI239" i="3"/>
  <c r="AJ239" i="3"/>
  <c r="AD239" i="3"/>
  <c r="AF239" i="3"/>
  <c r="AH239" i="3"/>
  <c r="AG242" i="3"/>
  <c r="AI242" i="3"/>
  <c r="AJ242" i="3"/>
  <c r="AD242" i="3"/>
  <c r="AF242" i="3"/>
  <c r="AH242" i="3"/>
  <c r="AG248" i="3"/>
  <c r="AI248" i="3"/>
  <c r="AD248" i="3"/>
  <c r="AF248" i="3"/>
  <c r="AH248" i="3"/>
  <c r="AJ248" i="3"/>
  <c r="AG250" i="3"/>
  <c r="AD250" i="3"/>
  <c r="AF250" i="3"/>
  <c r="AH250" i="3"/>
  <c r="AI250" i="3"/>
  <c r="AJ250" i="3"/>
  <c r="AH251" i="3"/>
  <c r="AJ251" i="3"/>
  <c r="AD251" i="3"/>
  <c r="AF251" i="3"/>
  <c r="AG251" i="3"/>
  <c r="AI251" i="3"/>
  <c r="AG253" i="3"/>
  <c r="AI253" i="3"/>
  <c r="AD253" i="3"/>
  <c r="AF253" i="3"/>
  <c r="AH253" i="3"/>
  <c r="AJ253" i="3"/>
  <c r="AG254" i="3"/>
  <c r="AI254" i="3"/>
  <c r="AJ254" i="3"/>
  <c r="AD254" i="3"/>
  <c r="AF254" i="3"/>
  <c r="AH254" i="3"/>
  <c r="AH257" i="3"/>
  <c r="AD257" i="3"/>
  <c r="AF257" i="3"/>
  <c r="AG257" i="3"/>
  <c r="AI257" i="3"/>
  <c r="AJ257" i="3"/>
  <c r="AG262" i="3"/>
  <c r="AJ262" i="3"/>
  <c r="AD262" i="3"/>
  <c r="AF262" i="3"/>
  <c r="AH262" i="3"/>
  <c r="AI262" i="3"/>
  <c r="AH263" i="3"/>
  <c r="AD263" i="3"/>
  <c r="AF263" i="3"/>
  <c r="AG263" i="3"/>
  <c r="AI263" i="3"/>
  <c r="AJ263" i="3"/>
  <c r="AG265" i="3"/>
  <c r="AI265" i="3"/>
  <c r="AJ265" i="3"/>
  <c r="AD265" i="3"/>
  <c r="AF265" i="3"/>
  <c r="AH265" i="3"/>
  <c r="AG266" i="3"/>
  <c r="AI266" i="3"/>
  <c r="AJ266" i="3"/>
  <c r="AD266" i="3"/>
  <c r="AF266" i="3"/>
  <c r="AH266" i="3"/>
  <c r="AG267" i="3"/>
  <c r="AI267" i="3"/>
  <c r="AJ267" i="3"/>
  <c r="AD267" i="3"/>
  <c r="AF267" i="3"/>
  <c r="AH267" i="3"/>
  <c r="AG271" i="3"/>
  <c r="AI271" i="3"/>
  <c r="AJ271" i="3"/>
  <c r="AD271" i="3"/>
  <c r="AF271" i="3"/>
  <c r="AH271" i="3"/>
  <c r="AG272" i="3"/>
  <c r="AI272" i="3"/>
  <c r="AD272" i="3"/>
  <c r="AF272" i="3"/>
  <c r="AH272" i="3"/>
  <c r="AJ272" i="3"/>
  <c r="AG276" i="3"/>
  <c r="AI276" i="3"/>
  <c r="AD276" i="3"/>
  <c r="AF276" i="3"/>
  <c r="AH276" i="3"/>
  <c r="AJ276" i="3"/>
  <c r="AH279" i="3"/>
  <c r="AI279" i="3"/>
  <c r="AJ279" i="3"/>
  <c r="AD279" i="3"/>
  <c r="AF279" i="3"/>
  <c r="AG279" i="3"/>
  <c r="AG280" i="3"/>
  <c r="AI280" i="3"/>
  <c r="AD280" i="3"/>
  <c r="AF280" i="3"/>
  <c r="AH280" i="3"/>
  <c r="AJ280" i="3"/>
  <c r="AG281" i="3"/>
  <c r="AI281" i="3"/>
  <c r="AD281" i="3"/>
  <c r="AF281" i="3"/>
  <c r="AH281" i="3"/>
  <c r="AJ281" i="3"/>
  <c r="AF283" i="3"/>
  <c r="AG283" i="3"/>
  <c r="AH283" i="3"/>
  <c r="AI283" i="3"/>
  <c r="AJ283" i="3"/>
  <c r="AD283" i="3"/>
  <c r="AF284" i="3"/>
  <c r="AG284" i="3"/>
  <c r="AH284" i="3"/>
  <c r="AI284" i="3"/>
  <c r="AJ284" i="3"/>
  <c r="AD284" i="3"/>
  <c r="AF285" i="3"/>
  <c r="AG285" i="3"/>
  <c r="AH285" i="3"/>
  <c r="AI285" i="3"/>
  <c r="AJ285" i="3"/>
  <c r="AD285" i="3"/>
  <c r="AF286" i="3"/>
  <c r="AG286" i="3"/>
  <c r="AH286" i="3"/>
  <c r="AI286" i="3"/>
  <c r="AJ286" i="3"/>
  <c r="AD286" i="3"/>
  <c r="AF287" i="3"/>
  <c r="AG287" i="3"/>
  <c r="AH287" i="3"/>
  <c r="AI287" i="3"/>
  <c r="AJ287" i="3"/>
  <c r="AD287" i="3"/>
  <c r="AF288" i="3"/>
  <c r="AG288" i="3"/>
  <c r="AH288" i="3"/>
  <c r="AI288" i="3"/>
  <c r="AJ288" i="3"/>
  <c r="AD288" i="3"/>
  <c r="AF289" i="3"/>
  <c r="AG289" i="3"/>
  <c r="AH289" i="3"/>
  <c r="AI289" i="3"/>
  <c r="AJ289" i="3"/>
  <c r="AD289" i="3"/>
  <c r="AF290" i="3"/>
  <c r="AG290" i="3"/>
  <c r="AH290" i="3"/>
  <c r="AI290" i="3"/>
  <c r="AJ290" i="3"/>
  <c r="AD290" i="3"/>
  <c r="AF291" i="3"/>
  <c r="AG291" i="3"/>
  <c r="AH291" i="3"/>
  <c r="AI291" i="3"/>
  <c r="AJ291" i="3"/>
  <c r="AD291" i="3"/>
  <c r="AF292" i="3"/>
  <c r="AG292" i="3"/>
  <c r="AH292" i="3"/>
  <c r="AI292" i="3"/>
  <c r="AJ292" i="3"/>
  <c r="AD292" i="3"/>
  <c r="AF293" i="3"/>
  <c r="AG293" i="3"/>
  <c r="AH293" i="3"/>
  <c r="AI293" i="3"/>
  <c r="AJ293" i="3"/>
  <c r="AD293" i="3"/>
  <c r="AF294" i="3"/>
  <c r="AG294" i="3"/>
  <c r="AH294" i="3"/>
  <c r="AI294" i="3"/>
  <c r="AJ294" i="3"/>
  <c r="AD294" i="3"/>
  <c r="AF295" i="3"/>
  <c r="AG295" i="3"/>
  <c r="AH295" i="3"/>
  <c r="AI295" i="3"/>
  <c r="AJ295" i="3"/>
  <c r="AD295" i="3"/>
  <c r="AF296" i="3"/>
  <c r="AG296" i="3"/>
  <c r="AH296" i="3"/>
  <c r="AI296" i="3"/>
  <c r="AJ296" i="3"/>
  <c r="AD296" i="3"/>
  <c r="AF297" i="3"/>
  <c r="AG297" i="3"/>
  <c r="AH297" i="3"/>
  <c r="AI297" i="3"/>
  <c r="AJ297" i="3"/>
  <c r="AD297" i="3"/>
  <c r="AF298" i="3"/>
  <c r="AG298" i="3"/>
  <c r="AH298" i="3"/>
  <c r="AI298" i="3"/>
  <c r="AJ298" i="3"/>
  <c r="AD298" i="3"/>
  <c r="AF299" i="3"/>
  <c r="AG299" i="3"/>
  <c r="AH299" i="3"/>
  <c r="AI299" i="3"/>
  <c r="AJ299" i="3"/>
  <c r="AD299" i="3"/>
  <c r="AF300" i="3"/>
  <c r="AG300" i="3"/>
  <c r="AH300" i="3"/>
  <c r="AI300" i="3"/>
  <c r="AJ300" i="3"/>
  <c r="AD300" i="3"/>
  <c r="AF301" i="3"/>
  <c r="AG301" i="3"/>
  <c r="AH301" i="3"/>
  <c r="AI301" i="3"/>
  <c r="AJ301" i="3"/>
  <c r="AD301" i="3"/>
  <c r="AF302" i="3"/>
  <c r="AG302" i="3"/>
  <c r="AH302" i="3"/>
  <c r="AI302" i="3"/>
  <c r="AJ302" i="3"/>
  <c r="AD302" i="3"/>
  <c r="AF303" i="3"/>
  <c r="AG303" i="3"/>
  <c r="AH303" i="3"/>
  <c r="AI303" i="3"/>
  <c r="AJ303" i="3"/>
  <c r="AD303" i="3"/>
  <c r="AF304" i="3"/>
  <c r="AG304" i="3"/>
  <c r="AH304" i="3"/>
  <c r="AI304" i="3"/>
  <c r="AJ304" i="3"/>
  <c r="AD304" i="3"/>
  <c r="AF305" i="3"/>
  <c r="AG305" i="3"/>
  <c r="AH305" i="3"/>
  <c r="AI305" i="3"/>
  <c r="AJ305" i="3"/>
  <c r="AD305" i="3"/>
  <c r="AF306" i="3"/>
  <c r="AG306" i="3"/>
  <c r="AH306" i="3"/>
  <c r="AI306" i="3"/>
  <c r="AJ306" i="3"/>
  <c r="AD306" i="3"/>
  <c r="AF307" i="3"/>
  <c r="AG307" i="3"/>
  <c r="AH307" i="3"/>
  <c r="AI307" i="3"/>
  <c r="AJ307" i="3"/>
  <c r="AD307" i="3"/>
  <c r="AF308" i="3"/>
  <c r="AG308" i="3"/>
  <c r="AH308" i="3"/>
  <c r="AI308" i="3"/>
  <c r="AJ308" i="3"/>
  <c r="AD308" i="3"/>
  <c r="AF309" i="3"/>
  <c r="AG309" i="3"/>
  <c r="AH309" i="3"/>
  <c r="AI309" i="3"/>
  <c r="AJ309" i="3"/>
  <c r="AD309" i="3"/>
  <c r="AF310" i="3"/>
  <c r="AG310" i="3"/>
  <c r="AH310" i="3"/>
  <c r="AI310" i="3"/>
  <c r="AJ310" i="3"/>
  <c r="AD310" i="3"/>
  <c r="AF311" i="3"/>
  <c r="AG311" i="3"/>
  <c r="AH311" i="3"/>
  <c r="AI311" i="3"/>
  <c r="AJ311" i="3"/>
  <c r="AD311" i="3"/>
  <c r="AF312" i="3"/>
  <c r="AG312" i="3"/>
  <c r="AH312" i="3"/>
  <c r="AI312" i="3"/>
  <c r="AJ312" i="3"/>
  <c r="AD312" i="3"/>
  <c r="AF313" i="3"/>
  <c r="AG313" i="3"/>
  <c r="AH313" i="3"/>
  <c r="AI313" i="3"/>
  <c r="AJ313" i="3"/>
  <c r="AD313" i="3"/>
  <c r="AF314" i="3"/>
  <c r="AG314" i="3"/>
  <c r="AH314" i="3"/>
  <c r="AI314" i="3"/>
  <c r="AJ314" i="3"/>
  <c r="AD314" i="3"/>
  <c r="AF315" i="3"/>
  <c r="AG315" i="3"/>
  <c r="AH315" i="3"/>
  <c r="AI315" i="3"/>
  <c r="AJ315" i="3"/>
  <c r="AD315" i="3"/>
  <c r="AF316" i="3"/>
  <c r="AG316" i="3"/>
  <c r="AH316" i="3"/>
  <c r="AI316" i="3"/>
  <c r="AJ316" i="3"/>
  <c r="AD316" i="3"/>
  <c r="AF317" i="3"/>
  <c r="AG317" i="3"/>
  <c r="AH317" i="3"/>
  <c r="AI317" i="3"/>
  <c r="AJ317" i="3"/>
  <c r="AD317" i="3"/>
  <c r="AF318" i="3"/>
  <c r="AG318" i="3"/>
  <c r="AH318" i="3"/>
  <c r="AI318" i="3"/>
  <c r="AJ318" i="3"/>
  <c r="AD318" i="3"/>
  <c r="AF319" i="3"/>
  <c r="AG319" i="3"/>
  <c r="AH319" i="3"/>
  <c r="AI319" i="3"/>
  <c r="AJ319" i="3"/>
  <c r="AD319" i="3"/>
  <c r="AF320" i="3"/>
  <c r="AG320" i="3"/>
  <c r="AH320" i="3"/>
  <c r="AI320" i="3"/>
  <c r="AJ320" i="3"/>
  <c r="AD320" i="3"/>
  <c r="AF321" i="3"/>
  <c r="AG321" i="3"/>
  <c r="AH321" i="3"/>
  <c r="AI321" i="3"/>
  <c r="AJ321" i="3"/>
  <c r="AD321" i="3"/>
  <c r="AF322" i="3"/>
  <c r="AG322" i="3"/>
  <c r="AH322" i="3"/>
  <c r="AI322" i="3"/>
  <c r="AJ322" i="3"/>
  <c r="AD322" i="3"/>
  <c r="AF323" i="3"/>
  <c r="AG323" i="3"/>
  <c r="AH323" i="3"/>
  <c r="AI323" i="3"/>
  <c r="AJ323" i="3"/>
  <c r="AD323" i="3"/>
  <c r="AF324" i="3"/>
  <c r="AG324" i="3"/>
  <c r="AH324" i="3"/>
  <c r="AI324" i="3"/>
  <c r="AJ324" i="3"/>
  <c r="AD324" i="3"/>
  <c r="AF325" i="3"/>
  <c r="AG325" i="3"/>
  <c r="AH325" i="3"/>
  <c r="AI325" i="3"/>
  <c r="AJ325" i="3"/>
  <c r="AD325" i="3"/>
  <c r="AF326" i="3"/>
  <c r="AG326" i="3"/>
  <c r="AH326" i="3"/>
  <c r="AI326" i="3"/>
  <c r="AJ326" i="3"/>
  <c r="AD326" i="3"/>
  <c r="AF327" i="3"/>
  <c r="AG327" i="3"/>
  <c r="AH327" i="3"/>
  <c r="AI327" i="3"/>
  <c r="AJ327" i="3"/>
  <c r="AD327" i="3"/>
  <c r="AF328" i="3"/>
  <c r="AG328" i="3"/>
  <c r="AH328" i="3"/>
  <c r="AI328" i="3"/>
  <c r="AJ328" i="3"/>
  <c r="AD328" i="3"/>
  <c r="AF329" i="3"/>
  <c r="AG329" i="3"/>
  <c r="AH329" i="3"/>
  <c r="AI329" i="3"/>
  <c r="AJ329" i="3"/>
  <c r="AD329" i="3"/>
  <c r="AF330" i="3"/>
  <c r="AG330" i="3"/>
  <c r="AH330" i="3"/>
  <c r="AI330" i="3"/>
  <c r="AJ330" i="3"/>
  <c r="AD330" i="3"/>
  <c r="AF331" i="3"/>
  <c r="AG331" i="3"/>
  <c r="AH331" i="3"/>
  <c r="AI331" i="3"/>
  <c r="AJ331" i="3"/>
  <c r="AD331" i="3"/>
  <c r="AF332" i="3"/>
  <c r="AG332" i="3"/>
  <c r="AH332" i="3"/>
  <c r="AI332" i="3"/>
  <c r="AJ332" i="3"/>
  <c r="AD332" i="3"/>
  <c r="AF333" i="3"/>
  <c r="AG333" i="3"/>
  <c r="AH333" i="3"/>
  <c r="AI333" i="3"/>
  <c r="AJ333" i="3"/>
  <c r="AD333" i="3"/>
  <c r="AF334" i="3"/>
  <c r="AG334" i="3"/>
  <c r="AH334" i="3"/>
  <c r="AI334" i="3"/>
  <c r="AJ334" i="3"/>
  <c r="AD334" i="3"/>
  <c r="AF335" i="3"/>
  <c r="AG335" i="3"/>
  <c r="AH335" i="3"/>
  <c r="AI335" i="3"/>
  <c r="AJ335" i="3"/>
  <c r="AD335" i="3"/>
  <c r="AF336" i="3"/>
  <c r="AG336" i="3"/>
  <c r="AH336" i="3"/>
  <c r="AI336" i="3"/>
  <c r="AJ336" i="3"/>
  <c r="AD336" i="3"/>
  <c r="AF337" i="3"/>
  <c r="AG337" i="3"/>
  <c r="AH337" i="3"/>
  <c r="AI337" i="3"/>
  <c r="AJ337" i="3"/>
  <c r="AD337" i="3"/>
  <c r="AF338" i="3"/>
  <c r="AG338" i="3"/>
  <c r="AH338" i="3"/>
  <c r="AI338" i="3"/>
  <c r="AJ338" i="3"/>
  <c r="AD338" i="3"/>
  <c r="AF339" i="3"/>
  <c r="AG339" i="3"/>
  <c r="AH339" i="3"/>
  <c r="AI339" i="3"/>
  <c r="AJ339" i="3"/>
  <c r="AD339" i="3"/>
  <c r="AF340" i="3"/>
  <c r="AG340" i="3"/>
  <c r="AH340" i="3"/>
  <c r="AI340" i="3"/>
  <c r="AJ340" i="3"/>
  <c r="AD340" i="3"/>
  <c r="AF341" i="3"/>
  <c r="AG341" i="3"/>
  <c r="AH341" i="3"/>
  <c r="AI341" i="3"/>
  <c r="AJ341" i="3"/>
  <c r="AD341" i="3"/>
  <c r="AF342" i="3"/>
  <c r="AG342" i="3"/>
  <c r="AH342" i="3"/>
  <c r="AI342" i="3"/>
  <c r="AJ342" i="3"/>
  <c r="AD342" i="3"/>
  <c r="AF343" i="3"/>
  <c r="AG343" i="3"/>
  <c r="AH343" i="3"/>
  <c r="AI343" i="3"/>
  <c r="AJ343" i="3"/>
  <c r="AD343" i="3"/>
  <c r="AF344" i="3"/>
  <c r="AG344" i="3"/>
  <c r="AH344" i="3"/>
  <c r="AI344" i="3"/>
  <c r="AJ344" i="3"/>
  <c r="AD344" i="3"/>
  <c r="AF345" i="3"/>
  <c r="AG345" i="3"/>
  <c r="AH345" i="3"/>
  <c r="AI345" i="3"/>
  <c r="AJ345" i="3"/>
  <c r="AD345" i="3"/>
  <c r="AF346" i="3"/>
  <c r="AG346" i="3"/>
  <c r="AH346" i="3"/>
  <c r="AI346" i="3"/>
  <c r="AJ346" i="3"/>
  <c r="AD346" i="3"/>
  <c r="AF347" i="3"/>
  <c r="AG347" i="3"/>
  <c r="AH347" i="3"/>
  <c r="AI347" i="3"/>
  <c r="AJ347" i="3"/>
  <c r="AD347" i="3"/>
  <c r="AF348" i="3"/>
  <c r="AG348" i="3"/>
  <c r="AH348" i="3"/>
  <c r="AI348" i="3"/>
  <c r="AJ348" i="3"/>
  <c r="AD348" i="3"/>
  <c r="AF349" i="3"/>
  <c r="AG349" i="3"/>
  <c r="AH349" i="3"/>
  <c r="AI349" i="3"/>
  <c r="AJ349" i="3"/>
  <c r="AD349" i="3"/>
  <c r="AF350" i="3"/>
  <c r="AG350" i="3"/>
  <c r="AH350" i="3"/>
  <c r="AI350" i="3"/>
  <c r="AJ350" i="3"/>
  <c r="AD350" i="3"/>
  <c r="AF351" i="3"/>
  <c r="AG351" i="3"/>
  <c r="AH351" i="3"/>
  <c r="AI351" i="3"/>
  <c r="AJ351" i="3"/>
  <c r="AD351" i="3"/>
  <c r="AF352" i="3"/>
  <c r="AG352" i="3"/>
  <c r="AH352" i="3"/>
  <c r="AI352" i="3"/>
  <c r="AJ352" i="3"/>
  <c r="AD352" i="3"/>
  <c r="AF353" i="3"/>
  <c r="AG353" i="3"/>
  <c r="AH353" i="3"/>
  <c r="AI353" i="3"/>
  <c r="AJ353" i="3"/>
  <c r="AD353" i="3"/>
  <c r="AF354" i="3"/>
  <c r="AG354" i="3"/>
  <c r="AH354" i="3"/>
  <c r="AI354" i="3"/>
  <c r="AJ354" i="3"/>
  <c r="AD354" i="3"/>
  <c r="AF355" i="3"/>
  <c r="AG355" i="3"/>
  <c r="AH355" i="3"/>
  <c r="AI355" i="3"/>
  <c r="AJ355" i="3"/>
  <c r="AD355" i="3"/>
  <c r="AF356" i="3"/>
  <c r="AG356" i="3"/>
  <c r="AH356" i="3"/>
  <c r="AI356" i="3"/>
  <c r="AJ356" i="3"/>
  <c r="AD356" i="3"/>
  <c r="AF357" i="3"/>
  <c r="AG357" i="3"/>
  <c r="AH357" i="3"/>
  <c r="AI357" i="3"/>
  <c r="AJ357" i="3"/>
  <c r="AD357" i="3"/>
  <c r="AF358" i="3"/>
  <c r="AG358" i="3"/>
  <c r="AH358" i="3"/>
  <c r="AI358" i="3"/>
  <c r="AJ358" i="3"/>
  <c r="AD358" i="3"/>
  <c r="AF359" i="3"/>
  <c r="AG359" i="3"/>
  <c r="AH359" i="3"/>
  <c r="AI359" i="3"/>
  <c r="AJ359" i="3"/>
  <c r="AD359" i="3"/>
  <c r="AF360" i="3"/>
  <c r="AG360" i="3"/>
  <c r="AH360" i="3"/>
  <c r="AI360" i="3"/>
  <c r="AJ360" i="3"/>
  <c r="AD360" i="3"/>
  <c r="AF361" i="3"/>
  <c r="AG361" i="3"/>
  <c r="AH361" i="3"/>
  <c r="AI361" i="3"/>
  <c r="AJ361" i="3"/>
  <c r="AD361" i="3"/>
  <c r="AF362" i="3"/>
  <c r="AG362" i="3"/>
  <c r="AH362" i="3"/>
  <c r="AI362" i="3"/>
  <c r="AJ362" i="3"/>
  <c r="AD362" i="3"/>
  <c r="AF363" i="3"/>
  <c r="AG363" i="3"/>
  <c r="AH363" i="3"/>
  <c r="AI363" i="3"/>
  <c r="AJ363" i="3"/>
  <c r="AD363" i="3"/>
  <c r="AF364" i="3"/>
  <c r="AG364" i="3"/>
  <c r="AH364" i="3"/>
  <c r="AI364" i="3"/>
  <c r="AJ364" i="3"/>
  <c r="AD364" i="3"/>
  <c r="AF365" i="3"/>
  <c r="AG365" i="3"/>
  <c r="AH365" i="3"/>
  <c r="AI365" i="3"/>
  <c r="AJ365" i="3"/>
  <c r="AD365" i="3"/>
  <c r="AF366" i="3"/>
  <c r="AG366" i="3"/>
  <c r="AH366" i="3"/>
  <c r="AI366" i="3"/>
  <c r="AJ366" i="3"/>
  <c r="AD366" i="3"/>
  <c r="AF367" i="3"/>
  <c r="AG367" i="3"/>
  <c r="AH367" i="3"/>
  <c r="AI367" i="3"/>
  <c r="AJ367" i="3"/>
  <c r="AD367" i="3"/>
  <c r="AF368" i="3"/>
  <c r="AG368" i="3"/>
  <c r="AH368" i="3"/>
  <c r="AI368" i="3"/>
  <c r="AJ368" i="3"/>
  <c r="AD368" i="3"/>
  <c r="AF369" i="3"/>
  <c r="AG369" i="3"/>
  <c r="AH369" i="3"/>
  <c r="AI369" i="3"/>
  <c r="AJ369" i="3"/>
  <c r="AD369" i="3"/>
  <c r="AF370" i="3"/>
  <c r="AG370" i="3"/>
  <c r="AH370" i="3"/>
  <c r="AI370" i="3"/>
  <c r="AJ370" i="3"/>
  <c r="AD370" i="3"/>
  <c r="AF371" i="3"/>
  <c r="AG371" i="3"/>
  <c r="AH371" i="3"/>
  <c r="AI371" i="3"/>
  <c r="AJ371" i="3"/>
  <c r="AD371" i="3"/>
  <c r="AF372" i="3"/>
  <c r="AG372" i="3"/>
  <c r="AH372" i="3"/>
  <c r="AI372" i="3"/>
  <c r="AJ372" i="3"/>
  <c r="AD372" i="3"/>
  <c r="AF373" i="3"/>
  <c r="AG373" i="3"/>
  <c r="AH373" i="3"/>
  <c r="AI373" i="3"/>
  <c r="AJ373" i="3"/>
  <c r="AD373" i="3"/>
  <c r="AF374" i="3"/>
  <c r="AG374" i="3"/>
  <c r="AH374" i="3"/>
  <c r="AI374" i="3"/>
  <c r="AJ374" i="3"/>
  <c r="AD374" i="3"/>
  <c r="AF375" i="3"/>
  <c r="AG375" i="3"/>
  <c r="AH375" i="3"/>
  <c r="AI375" i="3"/>
  <c r="AJ375" i="3"/>
  <c r="AD375" i="3"/>
  <c r="AF376" i="3"/>
  <c r="AG376" i="3"/>
  <c r="AH376" i="3"/>
  <c r="AI376" i="3"/>
  <c r="AJ376" i="3"/>
  <c r="AD376" i="3"/>
  <c r="AF377" i="3"/>
  <c r="AG377" i="3"/>
  <c r="AH377" i="3"/>
  <c r="AI377" i="3"/>
  <c r="AJ377" i="3"/>
  <c r="AD377" i="3"/>
  <c r="AF378" i="3"/>
  <c r="AG378" i="3"/>
  <c r="AH378" i="3"/>
  <c r="AI378" i="3"/>
  <c r="AJ378" i="3"/>
  <c r="AD378" i="3"/>
  <c r="AF379" i="3"/>
  <c r="AG379" i="3"/>
  <c r="AH379" i="3"/>
  <c r="AI379" i="3"/>
  <c r="AJ379" i="3"/>
  <c r="AD379" i="3"/>
  <c r="AF380" i="3"/>
  <c r="AG380" i="3"/>
  <c r="AH380" i="3"/>
  <c r="AI380" i="3"/>
  <c r="AJ380" i="3"/>
  <c r="AD380" i="3"/>
  <c r="AF381" i="3"/>
  <c r="AG381" i="3"/>
  <c r="AH381" i="3"/>
  <c r="AI381" i="3"/>
  <c r="AJ381" i="3"/>
  <c r="AD381" i="3"/>
  <c r="AF382" i="3"/>
  <c r="AG382" i="3"/>
  <c r="AH382" i="3"/>
  <c r="AI382" i="3"/>
  <c r="AJ382" i="3"/>
  <c r="AD382" i="3"/>
  <c r="AF383" i="3"/>
  <c r="AG383" i="3"/>
  <c r="AH383" i="3"/>
  <c r="AI383" i="3"/>
  <c r="AJ383" i="3"/>
  <c r="AD383" i="3"/>
  <c r="AF384" i="3"/>
  <c r="AG384" i="3"/>
  <c r="AH384" i="3"/>
  <c r="AI384" i="3"/>
  <c r="AJ384" i="3"/>
  <c r="AD384" i="3"/>
  <c r="AF385" i="3"/>
  <c r="AG385" i="3"/>
  <c r="AH385" i="3"/>
  <c r="AI385" i="3"/>
  <c r="AJ385" i="3"/>
  <c r="AD385" i="3"/>
  <c r="AF386" i="3"/>
  <c r="AG386" i="3"/>
  <c r="AH386" i="3"/>
  <c r="AI386" i="3"/>
  <c r="AJ386" i="3"/>
  <c r="AD386" i="3"/>
  <c r="AF387" i="3"/>
  <c r="AG387" i="3"/>
  <c r="AH387" i="3"/>
  <c r="AI387" i="3"/>
  <c r="AJ387" i="3"/>
  <c r="AD387" i="3"/>
  <c r="AF388" i="3"/>
  <c r="AG388" i="3"/>
  <c r="AH388" i="3"/>
  <c r="AI388" i="3"/>
  <c r="AJ388" i="3"/>
  <c r="AD388" i="3"/>
  <c r="AF389" i="3"/>
  <c r="AG389" i="3"/>
  <c r="AH389" i="3"/>
  <c r="AI389" i="3"/>
  <c r="AJ389" i="3"/>
  <c r="AD389" i="3"/>
  <c r="AF390" i="3"/>
  <c r="AG390" i="3"/>
  <c r="AH390" i="3"/>
  <c r="AI390" i="3"/>
  <c r="AJ390" i="3"/>
  <c r="AD390" i="3"/>
  <c r="AF391" i="3"/>
  <c r="AG391" i="3"/>
  <c r="AH391" i="3"/>
  <c r="AI391" i="3"/>
  <c r="AJ391" i="3"/>
  <c r="AD391" i="3"/>
  <c r="AF392" i="3"/>
  <c r="AG392" i="3"/>
  <c r="AH392" i="3"/>
  <c r="AI392" i="3"/>
  <c r="AJ392" i="3"/>
  <c r="AD392" i="3"/>
  <c r="AF393" i="3"/>
  <c r="AG393" i="3"/>
  <c r="AH393" i="3"/>
  <c r="AI393" i="3"/>
  <c r="AJ393" i="3"/>
  <c r="AD393" i="3"/>
  <c r="AF394" i="3"/>
  <c r="AG394" i="3"/>
  <c r="AH394" i="3"/>
  <c r="AI394" i="3"/>
  <c r="AJ394" i="3"/>
  <c r="AD394" i="3"/>
  <c r="AF395" i="3"/>
  <c r="AG395" i="3"/>
  <c r="AH395" i="3"/>
  <c r="AI395" i="3"/>
  <c r="AJ395" i="3"/>
  <c r="AD395" i="3"/>
  <c r="AF396" i="3"/>
  <c r="AG396" i="3"/>
  <c r="AH396" i="3"/>
  <c r="AI396" i="3"/>
  <c r="AJ396" i="3"/>
  <c r="AD396" i="3"/>
  <c r="AF397" i="3"/>
  <c r="AG397" i="3"/>
  <c r="AH397" i="3"/>
  <c r="AI397" i="3"/>
  <c r="AJ397" i="3"/>
  <c r="AD397" i="3"/>
  <c r="AF398" i="3"/>
  <c r="AG398" i="3"/>
  <c r="AH398" i="3"/>
  <c r="AI398" i="3"/>
  <c r="AJ398" i="3"/>
  <c r="AD398" i="3"/>
  <c r="AF399" i="3"/>
  <c r="AG399" i="3"/>
  <c r="AH399" i="3"/>
  <c r="AI399" i="3"/>
  <c r="AJ399" i="3"/>
  <c r="AD399" i="3"/>
  <c r="AF400" i="3"/>
  <c r="AG400" i="3"/>
  <c r="AH400" i="3"/>
  <c r="AI400" i="3"/>
  <c r="AJ400" i="3"/>
  <c r="AD400" i="3"/>
  <c r="AF401" i="3"/>
  <c r="AG401" i="3"/>
  <c r="AH401" i="3"/>
  <c r="AI401" i="3"/>
  <c r="AJ401" i="3"/>
  <c r="AD401" i="3"/>
  <c r="AF402" i="3"/>
  <c r="AG402" i="3"/>
  <c r="AH402" i="3"/>
  <c r="AI402" i="3"/>
  <c r="AJ402" i="3"/>
  <c r="AD402" i="3"/>
  <c r="AF403" i="3"/>
  <c r="AG403" i="3"/>
  <c r="AH403" i="3"/>
  <c r="AI403" i="3"/>
  <c r="AJ403" i="3"/>
  <c r="AD403" i="3"/>
  <c r="AF404" i="3"/>
  <c r="AG404" i="3"/>
  <c r="AH404" i="3"/>
  <c r="AI404" i="3"/>
  <c r="AJ404" i="3"/>
  <c r="AD404" i="3"/>
  <c r="AF405" i="3"/>
  <c r="AG405" i="3"/>
  <c r="AH405" i="3"/>
  <c r="AI405" i="3"/>
  <c r="AJ405" i="3"/>
  <c r="AD405" i="3"/>
  <c r="AF406" i="3"/>
  <c r="AG406" i="3"/>
  <c r="AH406" i="3"/>
  <c r="AI406" i="3"/>
  <c r="AJ406" i="3"/>
  <c r="AD406" i="3"/>
  <c r="AF407" i="3"/>
  <c r="AG407" i="3"/>
  <c r="AH407" i="3"/>
  <c r="AI407" i="3"/>
  <c r="AJ407" i="3"/>
  <c r="AD407" i="3"/>
  <c r="AF408" i="3"/>
  <c r="AG408" i="3"/>
  <c r="AH408" i="3"/>
  <c r="AI408" i="3"/>
  <c r="AJ408" i="3"/>
  <c r="AD408" i="3"/>
  <c r="AF409" i="3"/>
  <c r="AG409" i="3"/>
  <c r="AH409" i="3"/>
  <c r="AI409" i="3"/>
  <c r="AJ409" i="3"/>
  <c r="AD409" i="3"/>
  <c r="AF410" i="3"/>
  <c r="AG410" i="3"/>
  <c r="AH410" i="3"/>
  <c r="AI410" i="3"/>
  <c r="AJ410" i="3"/>
  <c r="AD410" i="3"/>
  <c r="AF411" i="3"/>
  <c r="AG411" i="3"/>
  <c r="AH411" i="3"/>
  <c r="AI411" i="3"/>
  <c r="AJ411" i="3"/>
  <c r="AD411" i="3"/>
  <c r="AF412" i="3"/>
  <c r="AG412" i="3"/>
  <c r="AH412" i="3"/>
  <c r="AI412" i="3"/>
  <c r="AJ412" i="3"/>
  <c r="AD412" i="3"/>
  <c r="AF413" i="3"/>
  <c r="AG413" i="3"/>
  <c r="AH413" i="3"/>
  <c r="AI413" i="3"/>
  <c r="AJ413" i="3"/>
  <c r="AD413" i="3"/>
  <c r="AF414" i="3"/>
  <c r="AG414" i="3"/>
  <c r="AH414" i="3"/>
  <c r="AI414" i="3"/>
  <c r="AJ414" i="3"/>
  <c r="AD414" i="3"/>
  <c r="AF415" i="3"/>
  <c r="AG415" i="3"/>
  <c r="AH415" i="3"/>
  <c r="AI415" i="3"/>
  <c r="AJ415" i="3"/>
  <c r="AD415" i="3"/>
  <c r="AF416" i="3"/>
  <c r="AG416" i="3"/>
  <c r="AH416" i="3"/>
  <c r="AI416" i="3"/>
  <c r="AJ416" i="3"/>
  <c r="AD416" i="3"/>
  <c r="AF417" i="3"/>
  <c r="AG417" i="3"/>
  <c r="AH417" i="3"/>
  <c r="AI417" i="3"/>
  <c r="AJ417" i="3"/>
  <c r="AD417" i="3"/>
  <c r="AF418" i="3"/>
  <c r="AG418" i="3"/>
  <c r="AH418" i="3"/>
  <c r="AI418" i="3"/>
  <c r="AJ418" i="3"/>
  <c r="AD418" i="3"/>
  <c r="AF419" i="3"/>
  <c r="AG419" i="3"/>
  <c r="AH419" i="3"/>
  <c r="AI419" i="3"/>
  <c r="AJ419" i="3"/>
  <c r="AD419" i="3"/>
  <c r="AF420" i="3"/>
  <c r="AG420" i="3"/>
  <c r="AH420" i="3"/>
  <c r="AI420" i="3"/>
  <c r="AJ420" i="3"/>
  <c r="AD420" i="3"/>
  <c r="AF421" i="3"/>
  <c r="AG421" i="3"/>
  <c r="AH421" i="3"/>
  <c r="AI421" i="3"/>
  <c r="AJ421" i="3"/>
  <c r="AD421" i="3"/>
  <c r="AF422" i="3"/>
  <c r="AG422" i="3"/>
  <c r="AH422" i="3"/>
  <c r="AI422" i="3"/>
  <c r="AJ422" i="3"/>
  <c r="AD422" i="3"/>
  <c r="AF423" i="3"/>
  <c r="AG423" i="3"/>
  <c r="AH423" i="3"/>
  <c r="AI423" i="3"/>
  <c r="AJ423" i="3"/>
  <c r="AD423" i="3"/>
  <c r="AF424" i="3"/>
  <c r="AG424" i="3"/>
  <c r="AH424" i="3"/>
  <c r="AI424" i="3"/>
  <c r="AJ424" i="3"/>
  <c r="AD424" i="3"/>
  <c r="AF425" i="3"/>
  <c r="AG425" i="3"/>
  <c r="AH425" i="3"/>
  <c r="AI425" i="3"/>
  <c r="AJ425" i="3"/>
  <c r="AD425" i="3"/>
  <c r="AF426" i="3"/>
  <c r="AG426" i="3"/>
  <c r="AH426" i="3"/>
  <c r="AI426" i="3"/>
  <c r="AJ426" i="3"/>
  <c r="AD426" i="3"/>
  <c r="AF427" i="3"/>
  <c r="AG427" i="3"/>
  <c r="AH427" i="3"/>
  <c r="AI427" i="3"/>
  <c r="AJ427" i="3"/>
  <c r="AD427" i="3"/>
  <c r="AF428" i="3"/>
  <c r="AG428" i="3"/>
  <c r="AH428" i="3"/>
  <c r="AI428" i="3"/>
  <c r="AJ428" i="3"/>
  <c r="AD428" i="3"/>
  <c r="AF429" i="3"/>
  <c r="AG429" i="3"/>
  <c r="AH429" i="3"/>
  <c r="AI429" i="3"/>
  <c r="AJ429" i="3"/>
  <c r="AD429" i="3"/>
  <c r="AF430" i="3"/>
  <c r="AG430" i="3"/>
  <c r="AH430" i="3"/>
  <c r="AI430" i="3"/>
  <c r="AJ430" i="3"/>
  <c r="AD430" i="3"/>
  <c r="AF431" i="3"/>
  <c r="AG431" i="3"/>
  <c r="AH431" i="3"/>
  <c r="AI431" i="3"/>
  <c r="AJ431" i="3"/>
  <c r="AD431" i="3"/>
  <c r="AF432" i="3"/>
  <c r="AG432" i="3"/>
  <c r="AH432" i="3"/>
  <c r="AI432" i="3"/>
  <c r="AJ432" i="3"/>
  <c r="AD432" i="3"/>
  <c r="AF433" i="3"/>
  <c r="AG433" i="3"/>
  <c r="AH433" i="3"/>
  <c r="AI433" i="3"/>
  <c r="AJ433" i="3"/>
  <c r="AD433" i="3"/>
  <c r="AF434" i="3"/>
  <c r="AG434" i="3"/>
  <c r="AH434" i="3"/>
  <c r="AI434" i="3"/>
  <c r="AJ434" i="3"/>
  <c r="AD434" i="3"/>
  <c r="AF435" i="3"/>
  <c r="AG435" i="3"/>
  <c r="AH435" i="3"/>
  <c r="AI435" i="3"/>
  <c r="AJ435" i="3"/>
  <c r="AD435" i="3"/>
  <c r="AF436" i="3"/>
  <c r="AG436" i="3"/>
  <c r="AH436" i="3"/>
  <c r="AI436" i="3"/>
  <c r="AJ436" i="3"/>
  <c r="AD436" i="3"/>
  <c r="AF437" i="3"/>
  <c r="AG437" i="3"/>
  <c r="AH437" i="3"/>
  <c r="AI437" i="3"/>
  <c r="AJ437" i="3"/>
  <c r="AD437" i="3"/>
  <c r="AF438" i="3"/>
  <c r="AG438" i="3"/>
  <c r="AH438" i="3"/>
  <c r="AI438" i="3"/>
  <c r="AJ438" i="3"/>
  <c r="AD438" i="3"/>
  <c r="AF439" i="3"/>
  <c r="AG439" i="3"/>
  <c r="AH439" i="3"/>
  <c r="AI439" i="3"/>
  <c r="AJ439" i="3"/>
  <c r="AD439" i="3"/>
  <c r="AF440" i="3"/>
  <c r="AG440" i="3"/>
  <c r="AH440" i="3"/>
  <c r="AI440" i="3"/>
  <c r="AJ440" i="3"/>
  <c r="AD440" i="3"/>
  <c r="AF441" i="3"/>
  <c r="AG441" i="3"/>
  <c r="AH441" i="3"/>
  <c r="AI441" i="3"/>
  <c r="AJ441" i="3"/>
  <c r="AD441" i="3"/>
  <c r="AF442" i="3"/>
  <c r="AG442" i="3"/>
  <c r="AH442" i="3"/>
  <c r="AI442" i="3"/>
  <c r="AJ442" i="3"/>
  <c r="AD442" i="3"/>
  <c r="AF443" i="3"/>
  <c r="AG443" i="3"/>
  <c r="AH443" i="3"/>
  <c r="AI443" i="3"/>
  <c r="AJ443" i="3"/>
  <c r="AD443" i="3"/>
  <c r="AF444" i="3"/>
  <c r="AG444" i="3"/>
  <c r="AH444" i="3"/>
  <c r="AI444" i="3"/>
  <c r="AJ444" i="3"/>
  <c r="AD444" i="3"/>
  <c r="AF445" i="3"/>
  <c r="AG445" i="3"/>
  <c r="AH445" i="3"/>
  <c r="AI445" i="3"/>
  <c r="AJ445" i="3"/>
  <c r="AD445" i="3"/>
  <c r="AF446" i="3"/>
  <c r="AG446" i="3"/>
  <c r="AH446" i="3"/>
  <c r="AI446" i="3"/>
  <c r="AJ446" i="3"/>
  <c r="AD446" i="3"/>
  <c r="AF447" i="3"/>
  <c r="AG447" i="3"/>
  <c r="AH447" i="3"/>
  <c r="AI447" i="3"/>
  <c r="AJ447" i="3"/>
  <c r="AD447" i="3"/>
  <c r="AF448" i="3"/>
  <c r="AG448" i="3"/>
  <c r="AH448" i="3"/>
  <c r="AI448" i="3"/>
  <c r="AJ448" i="3"/>
  <c r="AD448" i="3"/>
  <c r="AF449" i="3"/>
  <c r="AG449" i="3"/>
  <c r="AH449" i="3"/>
  <c r="AI449" i="3"/>
  <c r="AJ449" i="3"/>
  <c r="AD449" i="3"/>
  <c r="AF450" i="3"/>
  <c r="AG450" i="3"/>
  <c r="AH450" i="3"/>
  <c r="AI450" i="3"/>
  <c r="AJ450" i="3"/>
  <c r="AD450" i="3"/>
  <c r="AF451" i="3"/>
  <c r="AG451" i="3"/>
  <c r="AH451" i="3"/>
  <c r="AI451" i="3"/>
  <c r="AJ451" i="3"/>
  <c r="AD451" i="3"/>
  <c r="AF452" i="3"/>
  <c r="AG452" i="3"/>
  <c r="AH452" i="3"/>
  <c r="AI452" i="3"/>
  <c r="AJ452" i="3"/>
  <c r="AD452" i="3"/>
  <c r="AF453" i="3"/>
  <c r="AG453" i="3"/>
  <c r="AH453" i="3"/>
  <c r="AI453" i="3"/>
  <c r="AJ453" i="3"/>
  <c r="AD453" i="3"/>
  <c r="AF454" i="3"/>
  <c r="AG454" i="3"/>
  <c r="AH454" i="3"/>
  <c r="AI454" i="3"/>
  <c r="AJ454" i="3"/>
  <c r="AD454" i="3"/>
  <c r="AF455" i="3"/>
  <c r="AG455" i="3"/>
  <c r="AH455" i="3"/>
  <c r="AI455" i="3"/>
  <c r="AJ455" i="3"/>
  <c r="AD455" i="3"/>
  <c r="AF456" i="3"/>
  <c r="AG456" i="3"/>
  <c r="AH456" i="3"/>
  <c r="AI456" i="3"/>
  <c r="AJ456" i="3"/>
  <c r="AD456" i="3"/>
  <c r="AF457" i="3"/>
  <c r="AG457" i="3"/>
  <c r="AH457" i="3"/>
  <c r="AI457" i="3"/>
  <c r="AJ457" i="3"/>
  <c r="AD457" i="3"/>
  <c r="AF458" i="3"/>
  <c r="AG458" i="3"/>
  <c r="AH458" i="3"/>
  <c r="AI458" i="3"/>
  <c r="AJ458" i="3"/>
  <c r="AD458" i="3"/>
  <c r="AF459" i="3"/>
  <c r="AG459" i="3"/>
  <c r="AH459" i="3"/>
  <c r="AI459" i="3"/>
  <c r="AJ459" i="3"/>
  <c r="AD459" i="3"/>
  <c r="AF460" i="3"/>
  <c r="AG460" i="3"/>
  <c r="AH460" i="3"/>
  <c r="AI460" i="3"/>
  <c r="AJ460" i="3"/>
  <c r="AD460" i="3"/>
  <c r="AF461" i="3"/>
  <c r="AG461" i="3"/>
  <c r="AH461" i="3"/>
  <c r="AI461" i="3"/>
  <c r="AJ461" i="3"/>
  <c r="AD461" i="3"/>
  <c r="AF462" i="3"/>
  <c r="AG462" i="3"/>
  <c r="AH462" i="3"/>
  <c r="AI462" i="3"/>
  <c r="AJ462" i="3"/>
  <c r="AD462" i="3"/>
  <c r="AF463" i="3"/>
  <c r="AG463" i="3"/>
  <c r="AH463" i="3"/>
  <c r="AI463" i="3"/>
  <c r="AJ463" i="3"/>
  <c r="AD463" i="3"/>
  <c r="AF464" i="3"/>
  <c r="AG464" i="3"/>
  <c r="AH464" i="3"/>
  <c r="AI464" i="3"/>
  <c r="AJ464" i="3"/>
  <c r="AD464" i="3"/>
  <c r="AF465" i="3"/>
  <c r="AG465" i="3"/>
  <c r="AH465" i="3"/>
  <c r="AI465" i="3"/>
  <c r="AJ465" i="3"/>
  <c r="AD465" i="3"/>
  <c r="AF466" i="3"/>
  <c r="AG466" i="3"/>
  <c r="AH466" i="3"/>
  <c r="AI466" i="3"/>
  <c r="AJ466" i="3"/>
  <c r="AD466" i="3"/>
  <c r="AF467" i="3"/>
  <c r="AG467" i="3"/>
  <c r="AH467" i="3"/>
  <c r="AI467" i="3"/>
  <c r="AJ467" i="3"/>
  <c r="AD467" i="3"/>
  <c r="AF468" i="3"/>
  <c r="AG468" i="3"/>
  <c r="AH468" i="3"/>
  <c r="AI468" i="3"/>
  <c r="AJ468" i="3"/>
  <c r="AD468" i="3"/>
  <c r="AF469" i="3"/>
  <c r="AG469" i="3"/>
  <c r="AH469" i="3"/>
  <c r="AI469" i="3"/>
  <c r="AJ469" i="3"/>
  <c r="AD469" i="3"/>
  <c r="AF470" i="3"/>
  <c r="AG470" i="3"/>
  <c r="AH470" i="3"/>
  <c r="AI470" i="3"/>
  <c r="AJ470" i="3"/>
  <c r="AD470" i="3"/>
  <c r="AF471" i="3"/>
  <c r="AG471" i="3"/>
  <c r="AH471" i="3"/>
  <c r="AI471" i="3"/>
  <c r="AJ471" i="3"/>
  <c r="AD471" i="3"/>
  <c r="AF472" i="3"/>
  <c r="AG472" i="3"/>
  <c r="AH472" i="3"/>
  <c r="AI472" i="3"/>
  <c r="AJ472" i="3"/>
  <c r="AD472" i="3"/>
  <c r="AF473" i="3"/>
  <c r="AG473" i="3"/>
  <c r="AH473" i="3"/>
  <c r="AI473" i="3"/>
  <c r="AJ473" i="3"/>
  <c r="AD473" i="3"/>
  <c r="AF474" i="3"/>
  <c r="AG474" i="3"/>
  <c r="AH474" i="3"/>
  <c r="AI474" i="3"/>
  <c r="AJ474" i="3"/>
  <c r="AD474" i="3"/>
  <c r="AF475" i="3"/>
  <c r="AG475" i="3"/>
  <c r="AH475" i="3"/>
  <c r="AI475" i="3"/>
  <c r="AJ475" i="3"/>
  <c r="AD475" i="3"/>
  <c r="AF476" i="3"/>
  <c r="AG476" i="3"/>
  <c r="AH476" i="3"/>
  <c r="AI476" i="3"/>
  <c r="AJ476" i="3"/>
  <c r="AD476" i="3"/>
  <c r="AF477" i="3"/>
  <c r="AG477" i="3"/>
  <c r="AH477" i="3"/>
  <c r="AI477" i="3"/>
  <c r="AJ477" i="3"/>
  <c r="AD477" i="3"/>
  <c r="AF478" i="3"/>
  <c r="AG478" i="3"/>
  <c r="AH478" i="3"/>
  <c r="AI478" i="3"/>
  <c r="AJ478" i="3"/>
  <c r="AD478" i="3"/>
  <c r="AF479" i="3"/>
  <c r="AG479" i="3"/>
  <c r="AH479" i="3"/>
  <c r="AI479" i="3"/>
  <c r="AJ479" i="3"/>
  <c r="AD479" i="3"/>
  <c r="AF480" i="3"/>
  <c r="AG480" i="3"/>
  <c r="AH480" i="3"/>
  <c r="AI480" i="3"/>
  <c r="AJ480" i="3"/>
  <c r="AD480" i="3"/>
  <c r="AF481" i="3"/>
  <c r="AG481" i="3"/>
  <c r="AH481" i="3"/>
  <c r="AI481" i="3"/>
  <c r="AJ481" i="3"/>
  <c r="AD481" i="3"/>
  <c r="AF482" i="3"/>
  <c r="AG482" i="3"/>
  <c r="AH482" i="3"/>
  <c r="AI482" i="3"/>
  <c r="AJ482" i="3"/>
  <c r="AD482" i="3"/>
  <c r="AF483" i="3"/>
  <c r="AG483" i="3"/>
  <c r="AH483" i="3"/>
  <c r="AI483" i="3"/>
  <c r="AJ483" i="3"/>
  <c r="AD483" i="3"/>
  <c r="AF484" i="3"/>
  <c r="AG484" i="3"/>
  <c r="AH484" i="3"/>
  <c r="AI484" i="3"/>
  <c r="AJ484" i="3"/>
  <c r="AD484" i="3"/>
  <c r="AF485" i="3"/>
  <c r="AG485" i="3"/>
  <c r="AH485" i="3"/>
  <c r="AI485" i="3"/>
  <c r="AJ485" i="3"/>
  <c r="AD485" i="3"/>
  <c r="AF486" i="3"/>
  <c r="AG486" i="3"/>
  <c r="AH486" i="3"/>
  <c r="AI486" i="3"/>
  <c r="AJ486" i="3"/>
  <c r="AD486" i="3"/>
  <c r="AF487" i="3"/>
  <c r="AG487" i="3"/>
  <c r="AH487" i="3"/>
  <c r="AI487" i="3"/>
  <c r="AJ487" i="3"/>
  <c r="AD487" i="3"/>
  <c r="AF488" i="3"/>
  <c r="AG488" i="3"/>
  <c r="AH488" i="3"/>
  <c r="AI488" i="3"/>
  <c r="AJ488" i="3"/>
  <c r="AD488" i="3"/>
  <c r="AF489" i="3"/>
  <c r="AG489" i="3"/>
  <c r="AH489" i="3"/>
  <c r="AI489" i="3"/>
  <c r="AJ489" i="3"/>
  <c r="AD489" i="3"/>
  <c r="AF490" i="3"/>
  <c r="AG490" i="3"/>
  <c r="AH490" i="3"/>
  <c r="AI490" i="3"/>
  <c r="AJ490" i="3"/>
  <c r="AD490" i="3"/>
  <c r="AF491" i="3"/>
  <c r="AG491" i="3"/>
  <c r="AH491" i="3"/>
  <c r="AI491" i="3"/>
  <c r="AJ491" i="3"/>
  <c r="AD491" i="3"/>
  <c r="AF492" i="3"/>
  <c r="AG492" i="3"/>
  <c r="AH492" i="3"/>
  <c r="AI492" i="3"/>
  <c r="AJ492" i="3"/>
  <c r="AD492" i="3"/>
  <c r="AF493" i="3"/>
  <c r="AG493" i="3"/>
  <c r="AH493" i="3"/>
  <c r="AI493" i="3"/>
  <c r="AJ493" i="3"/>
  <c r="AD493" i="3"/>
  <c r="AF494" i="3"/>
  <c r="AG494" i="3"/>
  <c r="AH494" i="3"/>
  <c r="AI494" i="3"/>
  <c r="AJ494" i="3"/>
  <c r="AD494" i="3"/>
  <c r="AF495" i="3"/>
  <c r="AG495" i="3"/>
  <c r="AH495" i="3"/>
  <c r="AI495" i="3"/>
  <c r="AJ495" i="3"/>
  <c r="AD495" i="3"/>
  <c r="AF496" i="3"/>
  <c r="AG496" i="3"/>
  <c r="AH496" i="3"/>
  <c r="AI496" i="3"/>
  <c r="AJ496" i="3"/>
  <c r="AD496" i="3"/>
  <c r="AF497" i="3"/>
  <c r="AG497" i="3"/>
  <c r="AH497" i="3"/>
  <c r="AI497" i="3"/>
  <c r="AJ497" i="3"/>
  <c r="AD497" i="3"/>
  <c r="AF498" i="3"/>
  <c r="AG498" i="3"/>
  <c r="AH498" i="3"/>
  <c r="AI498" i="3"/>
  <c r="AJ498" i="3"/>
  <c r="AD498" i="3"/>
  <c r="AF499" i="3"/>
  <c r="AG499" i="3"/>
  <c r="AH499" i="3"/>
  <c r="AI499" i="3"/>
  <c r="AJ499" i="3"/>
  <c r="AD499" i="3"/>
  <c r="AF500" i="3"/>
  <c r="AG500" i="3"/>
  <c r="AH500" i="3"/>
  <c r="AI500" i="3"/>
  <c r="AJ500" i="3"/>
  <c r="AD500" i="3"/>
  <c r="AF501" i="3"/>
  <c r="AG501" i="3"/>
  <c r="AH501" i="3"/>
  <c r="AI501" i="3"/>
  <c r="AJ501" i="3"/>
  <c r="AD501" i="3"/>
  <c r="AF502" i="3"/>
  <c r="AG502" i="3"/>
  <c r="AH502" i="3"/>
  <c r="AI502" i="3"/>
  <c r="AJ502" i="3"/>
  <c r="AD502" i="3"/>
  <c r="AF503" i="3"/>
  <c r="AG503" i="3"/>
  <c r="AH503" i="3"/>
  <c r="AI503" i="3"/>
  <c r="AJ503" i="3"/>
  <c r="AD503" i="3"/>
  <c r="AF504" i="3"/>
  <c r="AG504" i="3"/>
  <c r="AH504" i="3"/>
  <c r="AI504" i="3"/>
  <c r="AJ504" i="3"/>
  <c r="AD504" i="3"/>
  <c r="AF505" i="3"/>
  <c r="AG505" i="3"/>
  <c r="AH505" i="3"/>
  <c r="AI505" i="3"/>
  <c r="AJ505" i="3"/>
  <c r="AD505" i="3"/>
  <c r="AF506" i="3"/>
  <c r="AG506" i="3"/>
  <c r="AH506" i="3"/>
  <c r="AI506" i="3"/>
  <c r="AJ506" i="3"/>
  <c r="AD506" i="3"/>
  <c r="AF507" i="3"/>
  <c r="AG507" i="3"/>
  <c r="AH507" i="3"/>
  <c r="AI507" i="3"/>
  <c r="AJ507" i="3"/>
  <c r="AD507" i="3"/>
  <c r="AF508" i="3"/>
  <c r="AG508" i="3"/>
  <c r="AH508" i="3"/>
  <c r="AI508" i="3"/>
  <c r="AJ508" i="3"/>
  <c r="AD508" i="3"/>
  <c r="AF509" i="3"/>
  <c r="AG509" i="3"/>
  <c r="AH509" i="3"/>
  <c r="AI509" i="3"/>
  <c r="AJ509" i="3"/>
  <c r="AD509" i="3"/>
  <c r="AF510" i="3"/>
  <c r="AG510" i="3"/>
  <c r="AH510" i="3"/>
  <c r="AI510" i="3"/>
  <c r="AJ510" i="3"/>
  <c r="AD510" i="3"/>
  <c r="AF511" i="3"/>
  <c r="AG511" i="3"/>
  <c r="AH511" i="3"/>
  <c r="AI511" i="3"/>
  <c r="AJ511" i="3"/>
  <c r="AD511" i="3"/>
  <c r="AF512" i="3"/>
  <c r="AG512" i="3"/>
  <c r="AH512" i="3"/>
  <c r="AI512" i="3"/>
  <c r="AJ512" i="3"/>
  <c r="AD512" i="3"/>
  <c r="AF513" i="3"/>
  <c r="AG513" i="3"/>
  <c r="AH513" i="3"/>
  <c r="AI513" i="3"/>
  <c r="AJ513" i="3"/>
  <c r="AD513" i="3"/>
  <c r="AF514" i="3"/>
  <c r="AG514" i="3"/>
  <c r="AH514" i="3"/>
  <c r="AI514" i="3"/>
  <c r="AJ514" i="3"/>
  <c r="AD514" i="3"/>
  <c r="AF515" i="3"/>
  <c r="AG515" i="3"/>
  <c r="AH515" i="3"/>
  <c r="AI515" i="3"/>
  <c r="AJ515" i="3"/>
  <c r="AD515" i="3"/>
  <c r="AF516" i="3"/>
  <c r="AG516" i="3"/>
  <c r="AH516" i="3"/>
  <c r="AI516" i="3"/>
  <c r="AJ516" i="3"/>
  <c r="AD516" i="3"/>
  <c r="AF517" i="3"/>
  <c r="AG517" i="3"/>
  <c r="AH517" i="3"/>
  <c r="AI517" i="3"/>
  <c r="AJ517" i="3"/>
  <c r="AD517" i="3"/>
  <c r="AF518" i="3"/>
  <c r="AG518" i="3"/>
  <c r="AH518" i="3"/>
  <c r="AI518" i="3"/>
  <c r="AJ518" i="3"/>
  <c r="AD518" i="3"/>
  <c r="AF519" i="3"/>
  <c r="AG519" i="3"/>
  <c r="AH519" i="3"/>
  <c r="AI519" i="3"/>
  <c r="AJ519" i="3"/>
  <c r="AD519" i="3"/>
  <c r="AF520" i="3"/>
  <c r="AG520" i="3"/>
  <c r="AH520" i="3"/>
  <c r="AI520" i="3"/>
  <c r="AJ520" i="3"/>
  <c r="AD520" i="3"/>
  <c r="AF521" i="3"/>
  <c r="AG521" i="3"/>
  <c r="AH521" i="3"/>
  <c r="AI521" i="3"/>
  <c r="AJ521" i="3"/>
  <c r="AD521" i="3"/>
  <c r="AF522" i="3"/>
  <c r="AG522" i="3"/>
  <c r="AH522" i="3"/>
  <c r="AI522" i="3"/>
  <c r="AJ522" i="3"/>
  <c r="AD522" i="3"/>
  <c r="AF523" i="3"/>
  <c r="AG523" i="3"/>
  <c r="AH523" i="3"/>
  <c r="AI523" i="3"/>
  <c r="AJ523" i="3"/>
  <c r="AD523" i="3"/>
  <c r="AF524" i="3"/>
  <c r="AG524" i="3"/>
  <c r="AH524" i="3"/>
  <c r="AI524" i="3"/>
  <c r="AJ524" i="3"/>
  <c r="AD524" i="3"/>
  <c r="AF525" i="3"/>
  <c r="AG525" i="3"/>
  <c r="AH525" i="3"/>
  <c r="AI525" i="3"/>
  <c r="AJ525" i="3"/>
  <c r="AD525" i="3"/>
  <c r="AF526" i="3"/>
  <c r="AG526" i="3"/>
  <c r="AH526" i="3"/>
  <c r="AI526" i="3"/>
  <c r="AJ526" i="3"/>
  <c r="AD526" i="3"/>
  <c r="AF527" i="3"/>
  <c r="AG527" i="3"/>
  <c r="AH527" i="3"/>
  <c r="AI527" i="3"/>
  <c r="AJ527" i="3"/>
  <c r="AD527" i="3"/>
  <c r="AF528" i="3"/>
  <c r="AG528" i="3"/>
  <c r="AH528" i="3"/>
  <c r="AI528" i="3"/>
  <c r="AJ528" i="3"/>
  <c r="AD528" i="3"/>
  <c r="AF529" i="3"/>
  <c r="AG529" i="3"/>
  <c r="AH529" i="3"/>
  <c r="AI529" i="3"/>
  <c r="AJ529" i="3"/>
  <c r="AD529" i="3"/>
  <c r="AF530" i="3"/>
  <c r="AG530" i="3"/>
  <c r="AH530" i="3"/>
  <c r="AI530" i="3"/>
  <c r="AJ530" i="3"/>
  <c r="AD530" i="3"/>
  <c r="AF531" i="3"/>
  <c r="AG531" i="3"/>
  <c r="AH531" i="3"/>
  <c r="AI531" i="3"/>
  <c r="AJ531" i="3"/>
  <c r="AD531" i="3"/>
  <c r="AF532" i="3"/>
  <c r="AG532" i="3"/>
  <c r="AH532" i="3"/>
  <c r="AI532" i="3"/>
  <c r="AJ532" i="3"/>
  <c r="AD532" i="3"/>
  <c r="AF533" i="3"/>
  <c r="AG533" i="3"/>
  <c r="AH533" i="3"/>
  <c r="AI533" i="3"/>
  <c r="AJ533" i="3"/>
  <c r="AD533" i="3"/>
  <c r="AF534" i="3"/>
  <c r="AG534" i="3"/>
  <c r="AH534" i="3"/>
  <c r="AI534" i="3"/>
  <c r="AJ534" i="3"/>
  <c r="AD534" i="3"/>
  <c r="AF535" i="3"/>
  <c r="AG535" i="3"/>
  <c r="AH535" i="3"/>
  <c r="AI535" i="3"/>
  <c r="AJ535" i="3"/>
  <c r="AD535" i="3"/>
  <c r="AF536" i="3"/>
  <c r="AG536" i="3"/>
  <c r="AH536" i="3"/>
  <c r="AI536" i="3"/>
  <c r="AJ536" i="3"/>
  <c r="AD536" i="3"/>
  <c r="AF537" i="3"/>
  <c r="AG537" i="3"/>
  <c r="AH537" i="3"/>
  <c r="AI537" i="3"/>
  <c r="AJ537" i="3"/>
  <c r="AD537" i="3"/>
  <c r="AF538" i="3"/>
  <c r="AG538" i="3"/>
  <c r="AH538" i="3"/>
  <c r="AI538" i="3"/>
  <c r="AJ538" i="3"/>
  <c r="AD538" i="3"/>
  <c r="AF539" i="3"/>
  <c r="AG539" i="3"/>
  <c r="AH539" i="3"/>
  <c r="AI539" i="3"/>
  <c r="AJ539" i="3"/>
  <c r="AD539" i="3"/>
  <c r="AF540" i="3"/>
  <c r="AG540" i="3"/>
  <c r="AH540" i="3"/>
  <c r="AI540" i="3"/>
  <c r="AJ540" i="3"/>
  <c r="AD540" i="3"/>
  <c r="AF541" i="3"/>
  <c r="AG541" i="3"/>
  <c r="AH541" i="3"/>
  <c r="AI541" i="3"/>
  <c r="AJ541" i="3"/>
  <c r="AD541" i="3"/>
  <c r="AF542" i="3"/>
  <c r="AG542" i="3"/>
  <c r="AH542" i="3"/>
  <c r="AI542" i="3"/>
  <c r="AJ542" i="3"/>
  <c r="AD542" i="3"/>
  <c r="AF543" i="3"/>
  <c r="AG543" i="3"/>
  <c r="AH543" i="3"/>
  <c r="AI543" i="3"/>
  <c r="AJ543" i="3"/>
  <c r="AD543" i="3"/>
  <c r="AF544" i="3"/>
  <c r="AG544" i="3"/>
  <c r="AH544" i="3"/>
  <c r="AI544" i="3"/>
  <c r="AJ544" i="3"/>
  <c r="AD544" i="3"/>
  <c r="AF545" i="3"/>
  <c r="AG545" i="3"/>
  <c r="AH545" i="3"/>
  <c r="AI545" i="3"/>
  <c r="AJ545" i="3"/>
  <c r="AD545" i="3"/>
  <c r="AF546" i="3"/>
  <c r="AG546" i="3"/>
  <c r="AH546" i="3"/>
  <c r="AI546" i="3"/>
  <c r="AJ546" i="3"/>
  <c r="AD546" i="3"/>
  <c r="AF547" i="3"/>
  <c r="AG547" i="3"/>
  <c r="AH547" i="3"/>
  <c r="AI547" i="3"/>
  <c r="AJ547" i="3"/>
  <c r="AD547" i="3"/>
  <c r="AF548" i="3"/>
  <c r="AG548" i="3"/>
  <c r="AH548" i="3"/>
  <c r="AI548" i="3"/>
  <c r="AJ548" i="3"/>
  <c r="AD548" i="3"/>
  <c r="AF549" i="3"/>
  <c r="AG549" i="3"/>
  <c r="AH549" i="3"/>
  <c r="AI549" i="3"/>
  <c r="AJ549" i="3"/>
  <c r="AD549" i="3"/>
  <c r="AF550" i="3"/>
  <c r="AG550" i="3"/>
  <c r="AH550" i="3"/>
  <c r="AI550" i="3"/>
  <c r="AJ550" i="3"/>
  <c r="AD550" i="3"/>
  <c r="AF551" i="3"/>
  <c r="AG551" i="3"/>
  <c r="AH551" i="3"/>
  <c r="AI551" i="3"/>
  <c r="AJ551" i="3"/>
  <c r="AD551" i="3"/>
  <c r="AF552" i="3"/>
  <c r="AG552" i="3"/>
  <c r="AH552" i="3"/>
  <c r="AI552" i="3"/>
  <c r="AJ552" i="3"/>
  <c r="AD552" i="3"/>
  <c r="AF553" i="3"/>
  <c r="AG553" i="3"/>
  <c r="AH553" i="3"/>
  <c r="AI553" i="3"/>
  <c r="AJ553" i="3"/>
  <c r="AD553" i="3"/>
  <c r="AF554" i="3"/>
  <c r="AG554" i="3"/>
  <c r="AH554" i="3"/>
  <c r="AI554" i="3"/>
  <c r="AJ554" i="3"/>
  <c r="AD554" i="3"/>
  <c r="AF555" i="3"/>
  <c r="AG555" i="3"/>
  <c r="AH555" i="3"/>
  <c r="AI555" i="3"/>
  <c r="AJ555" i="3"/>
  <c r="AD555" i="3"/>
  <c r="AF556" i="3"/>
  <c r="AG556" i="3"/>
  <c r="AH556" i="3"/>
  <c r="AI556" i="3"/>
  <c r="AJ556" i="3"/>
  <c r="AD556" i="3"/>
  <c r="AF557" i="3"/>
  <c r="AG557" i="3"/>
  <c r="AH557" i="3"/>
  <c r="AI557" i="3"/>
  <c r="AJ557" i="3"/>
  <c r="AD557" i="3"/>
  <c r="AF558" i="3"/>
  <c r="AG558" i="3"/>
  <c r="AH558" i="3"/>
  <c r="AI558" i="3"/>
  <c r="AJ558" i="3"/>
  <c r="AD558" i="3"/>
  <c r="AF559" i="3"/>
  <c r="AG559" i="3"/>
  <c r="AH559" i="3"/>
  <c r="AI559" i="3"/>
  <c r="AJ559" i="3"/>
  <c r="AD559" i="3"/>
  <c r="AF560" i="3"/>
  <c r="AG560" i="3"/>
  <c r="AH560" i="3"/>
  <c r="AI560" i="3"/>
  <c r="AJ560" i="3"/>
  <c r="AD560" i="3"/>
  <c r="AF561" i="3"/>
  <c r="AG561" i="3"/>
  <c r="AH561" i="3"/>
  <c r="AI561" i="3"/>
  <c r="AJ561" i="3"/>
  <c r="AD561" i="3"/>
  <c r="AF562" i="3"/>
  <c r="AG562" i="3"/>
  <c r="AH562" i="3"/>
  <c r="AI562" i="3"/>
  <c r="AJ562" i="3"/>
  <c r="AD562" i="3"/>
  <c r="AF563" i="3"/>
  <c r="AG563" i="3"/>
  <c r="AH563" i="3"/>
  <c r="AI563" i="3"/>
  <c r="AJ563" i="3"/>
  <c r="AD563" i="3"/>
  <c r="AF564" i="3"/>
  <c r="AG564" i="3"/>
  <c r="AH564" i="3"/>
  <c r="AI564" i="3"/>
  <c r="AJ564" i="3"/>
  <c r="AD564" i="3"/>
  <c r="AF565" i="3"/>
  <c r="AG565" i="3"/>
  <c r="AH565" i="3"/>
  <c r="AI565" i="3"/>
  <c r="AJ565" i="3"/>
  <c r="AD565" i="3"/>
  <c r="AF566" i="3"/>
  <c r="AG566" i="3"/>
  <c r="AH566" i="3"/>
  <c r="AI566" i="3"/>
  <c r="AJ566" i="3"/>
  <c r="AD566" i="3"/>
  <c r="AF567" i="3"/>
  <c r="AG567" i="3"/>
  <c r="AH567" i="3"/>
  <c r="AI567" i="3"/>
  <c r="AJ567" i="3"/>
  <c r="AD567" i="3"/>
  <c r="AF568" i="3"/>
  <c r="AG568" i="3"/>
  <c r="AH568" i="3"/>
  <c r="AI568" i="3"/>
  <c r="AJ568" i="3"/>
  <c r="AD568" i="3"/>
  <c r="AF569" i="3"/>
  <c r="AG569" i="3"/>
  <c r="AH569" i="3"/>
  <c r="AI569" i="3"/>
  <c r="AJ569" i="3"/>
  <c r="AD569" i="3"/>
  <c r="AF570" i="3"/>
  <c r="AG570" i="3"/>
  <c r="AH570" i="3"/>
  <c r="AI570" i="3"/>
  <c r="AJ570" i="3"/>
  <c r="AD570" i="3"/>
  <c r="AF571" i="3"/>
  <c r="AG571" i="3"/>
  <c r="AH571" i="3"/>
  <c r="AI571" i="3"/>
  <c r="AJ571" i="3"/>
  <c r="AD571" i="3"/>
  <c r="AF572" i="3"/>
  <c r="AG572" i="3"/>
  <c r="AH572" i="3"/>
  <c r="AI572" i="3"/>
  <c r="AJ572" i="3"/>
  <c r="AD572" i="3"/>
  <c r="AF573" i="3"/>
  <c r="AG573" i="3"/>
  <c r="AH573" i="3"/>
  <c r="AI573" i="3"/>
  <c r="AJ573" i="3"/>
  <c r="AD573" i="3"/>
  <c r="AF574" i="3"/>
  <c r="AG574" i="3"/>
  <c r="AH574" i="3"/>
  <c r="AI574" i="3"/>
  <c r="AJ574" i="3"/>
  <c r="AD574" i="3"/>
  <c r="AF575" i="3"/>
  <c r="AG575" i="3"/>
  <c r="AH575" i="3"/>
  <c r="AI575" i="3"/>
  <c r="AJ575" i="3"/>
  <c r="AD575" i="3"/>
  <c r="AF576" i="3"/>
  <c r="AG576" i="3"/>
  <c r="AH576" i="3"/>
  <c r="AI576" i="3"/>
  <c r="AJ576" i="3"/>
  <c r="AD576" i="3"/>
  <c r="AF577" i="3"/>
  <c r="AG577" i="3"/>
  <c r="AH577" i="3"/>
  <c r="AI577" i="3"/>
  <c r="AJ577" i="3"/>
  <c r="AD577" i="3"/>
  <c r="AF578" i="3"/>
  <c r="AG578" i="3"/>
  <c r="AH578" i="3"/>
  <c r="AI578" i="3"/>
  <c r="AJ578" i="3"/>
  <c r="AD578" i="3"/>
  <c r="AF579" i="3"/>
  <c r="AG579" i="3"/>
  <c r="AH579" i="3"/>
  <c r="AI579" i="3"/>
  <c r="AJ579" i="3"/>
  <c r="AD579" i="3"/>
  <c r="AF580" i="3"/>
  <c r="AG580" i="3"/>
  <c r="AH580" i="3"/>
  <c r="AI580" i="3"/>
  <c r="AJ580" i="3"/>
  <c r="AD580" i="3"/>
  <c r="AF581" i="3"/>
  <c r="AG581" i="3"/>
  <c r="AH581" i="3"/>
  <c r="AI581" i="3"/>
  <c r="AJ581" i="3"/>
  <c r="AD581" i="3"/>
  <c r="AF582" i="3"/>
  <c r="AG582" i="3"/>
  <c r="AH582" i="3"/>
  <c r="AI582" i="3"/>
  <c r="AJ582" i="3"/>
  <c r="AD582" i="3"/>
  <c r="AF583" i="3"/>
  <c r="AG583" i="3"/>
  <c r="AH583" i="3"/>
  <c r="AI583" i="3"/>
  <c r="AJ583" i="3"/>
  <c r="AD583" i="3"/>
  <c r="AF584" i="3"/>
  <c r="AG584" i="3"/>
  <c r="AH584" i="3"/>
  <c r="AI584" i="3"/>
  <c r="AJ584" i="3"/>
  <c r="AD584" i="3"/>
  <c r="AF585" i="3"/>
  <c r="AG585" i="3"/>
  <c r="AH585" i="3"/>
  <c r="AI585" i="3"/>
  <c r="AJ585" i="3"/>
  <c r="AD585" i="3"/>
  <c r="AF586" i="3"/>
  <c r="AG586" i="3"/>
  <c r="AH586" i="3"/>
  <c r="AI586" i="3"/>
  <c r="AJ586" i="3"/>
  <c r="AD586" i="3"/>
  <c r="AF587" i="3"/>
  <c r="AG587" i="3"/>
  <c r="AH587" i="3"/>
  <c r="AI587" i="3"/>
  <c r="AJ587" i="3"/>
  <c r="AD587" i="3"/>
  <c r="AF588" i="3"/>
  <c r="AG588" i="3"/>
  <c r="AH588" i="3"/>
  <c r="AI588" i="3"/>
  <c r="AJ588" i="3"/>
  <c r="AD588" i="3"/>
  <c r="AF589" i="3"/>
  <c r="AG589" i="3"/>
  <c r="AH589" i="3"/>
  <c r="AI589" i="3"/>
  <c r="AJ589" i="3"/>
  <c r="AD589" i="3"/>
  <c r="AF590" i="3"/>
  <c r="AG590" i="3"/>
  <c r="AH590" i="3"/>
  <c r="AI590" i="3"/>
  <c r="AJ590" i="3"/>
  <c r="AD590" i="3"/>
  <c r="AF591" i="3"/>
  <c r="AG591" i="3"/>
  <c r="AH591" i="3"/>
  <c r="AI591" i="3"/>
  <c r="AJ591" i="3"/>
  <c r="AD591" i="3"/>
  <c r="AF592" i="3"/>
  <c r="AG592" i="3"/>
  <c r="AH592" i="3"/>
  <c r="AI592" i="3"/>
  <c r="AJ592" i="3"/>
  <c r="AD592" i="3"/>
  <c r="AF593" i="3"/>
  <c r="AG593" i="3"/>
  <c r="AH593" i="3"/>
  <c r="AI593" i="3"/>
  <c r="AJ593" i="3"/>
  <c r="AD593" i="3"/>
  <c r="AF594" i="3"/>
  <c r="AG594" i="3"/>
  <c r="AH594" i="3"/>
  <c r="AI594" i="3"/>
  <c r="AJ594" i="3"/>
  <c r="AD594" i="3"/>
  <c r="AF595" i="3"/>
  <c r="AG595" i="3"/>
  <c r="AH595" i="3"/>
  <c r="AI595" i="3"/>
  <c r="AJ595" i="3"/>
  <c r="AD595" i="3"/>
  <c r="AF596" i="3"/>
  <c r="AG596" i="3"/>
  <c r="AH596" i="3"/>
  <c r="AI596" i="3"/>
  <c r="AJ596" i="3"/>
  <c r="AD596" i="3"/>
  <c r="AF597" i="3"/>
  <c r="AG597" i="3"/>
  <c r="AH597" i="3"/>
  <c r="AI597" i="3"/>
  <c r="AJ597" i="3"/>
  <c r="AD597" i="3"/>
  <c r="AF598" i="3"/>
  <c r="AG598" i="3"/>
  <c r="AH598" i="3"/>
  <c r="AI598" i="3"/>
  <c r="AJ598" i="3"/>
  <c r="AD598" i="3"/>
  <c r="AF599" i="3"/>
  <c r="AG599" i="3"/>
  <c r="AH599" i="3"/>
  <c r="AI599" i="3"/>
  <c r="AJ599" i="3"/>
  <c r="AD599" i="3"/>
  <c r="AF600" i="3"/>
  <c r="AG600" i="3"/>
  <c r="AH600" i="3"/>
  <c r="AI600" i="3"/>
  <c r="AJ600" i="3"/>
  <c r="AD600" i="3"/>
  <c r="AF601" i="3"/>
  <c r="AG601" i="3"/>
  <c r="AH601" i="3"/>
  <c r="AI601" i="3"/>
  <c r="AJ601" i="3"/>
  <c r="AD601" i="3"/>
  <c r="AF602" i="3"/>
  <c r="AG602" i="3"/>
  <c r="AH602" i="3"/>
  <c r="AI602" i="3"/>
  <c r="AJ602" i="3"/>
  <c r="AD602" i="3"/>
  <c r="AF603" i="3"/>
  <c r="AG603" i="3"/>
  <c r="AH603" i="3"/>
  <c r="AI603" i="3"/>
  <c r="AJ603" i="3"/>
  <c r="AD603" i="3"/>
  <c r="AF604" i="3"/>
  <c r="AG604" i="3"/>
  <c r="AH604" i="3"/>
  <c r="AI604" i="3"/>
  <c r="AJ604" i="3"/>
  <c r="AD604" i="3"/>
  <c r="AF605" i="3"/>
  <c r="AG605" i="3"/>
  <c r="AH605" i="3"/>
  <c r="AI605" i="3"/>
  <c r="AJ605" i="3"/>
  <c r="AD605" i="3"/>
  <c r="AF606" i="3"/>
  <c r="AG606" i="3"/>
  <c r="AH606" i="3"/>
  <c r="AI606" i="3"/>
  <c r="AJ606" i="3"/>
  <c r="AD606" i="3"/>
  <c r="AF607" i="3"/>
  <c r="AG607" i="3"/>
  <c r="AH607" i="3"/>
  <c r="AI607" i="3"/>
  <c r="AJ607" i="3"/>
  <c r="AD607" i="3"/>
  <c r="AF608" i="3"/>
  <c r="AG608" i="3"/>
  <c r="AH608" i="3"/>
  <c r="AI608" i="3"/>
  <c r="AJ608" i="3"/>
  <c r="AD608" i="3"/>
  <c r="AF609" i="3"/>
  <c r="AG609" i="3"/>
  <c r="AH609" i="3"/>
  <c r="AI609" i="3"/>
  <c r="AJ609" i="3"/>
  <c r="AD609" i="3"/>
  <c r="AF610" i="3"/>
  <c r="AG610" i="3"/>
  <c r="AH610" i="3"/>
  <c r="AI610" i="3"/>
  <c r="AJ610" i="3"/>
  <c r="AD610" i="3"/>
  <c r="AF611" i="3"/>
  <c r="AG611" i="3"/>
  <c r="AH611" i="3"/>
  <c r="AI611" i="3"/>
  <c r="AJ611" i="3"/>
  <c r="AD611" i="3"/>
  <c r="AF612" i="3"/>
  <c r="AG612" i="3"/>
  <c r="AH612" i="3"/>
  <c r="AI612" i="3"/>
  <c r="AJ612" i="3"/>
  <c r="AD612" i="3"/>
  <c r="AF613" i="3"/>
  <c r="AG613" i="3"/>
  <c r="AH613" i="3"/>
  <c r="AI613" i="3"/>
  <c r="AJ613" i="3"/>
  <c r="AD613" i="3"/>
  <c r="AF614" i="3"/>
  <c r="AG614" i="3"/>
  <c r="AH614" i="3"/>
  <c r="AI614" i="3"/>
  <c r="AJ614" i="3"/>
  <c r="AD614" i="3"/>
  <c r="AF615" i="3"/>
  <c r="AG615" i="3"/>
  <c r="AH615" i="3"/>
  <c r="AI615" i="3"/>
  <c r="AJ615" i="3"/>
  <c r="AD615" i="3"/>
  <c r="AF616" i="3"/>
  <c r="AG616" i="3"/>
  <c r="AH616" i="3"/>
  <c r="AI616" i="3"/>
  <c r="AJ616" i="3"/>
  <c r="AD616" i="3"/>
  <c r="AF617" i="3"/>
  <c r="AG617" i="3"/>
  <c r="AH617" i="3"/>
  <c r="AI617" i="3"/>
  <c r="AJ617" i="3"/>
  <c r="AD617" i="3"/>
  <c r="AF618" i="3"/>
  <c r="AG618" i="3"/>
  <c r="AH618" i="3"/>
  <c r="AI618" i="3"/>
  <c r="AJ618" i="3"/>
  <c r="AD618" i="3"/>
  <c r="AF619" i="3"/>
  <c r="AG619" i="3"/>
  <c r="AH619" i="3"/>
  <c r="AI619" i="3"/>
  <c r="AJ619" i="3"/>
  <c r="AD619" i="3"/>
  <c r="AF620" i="3"/>
  <c r="AG620" i="3"/>
  <c r="AH620" i="3"/>
  <c r="AI620" i="3"/>
  <c r="AJ620" i="3"/>
  <c r="AD620" i="3"/>
  <c r="AF621" i="3"/>
  <c r="AG621" i="3"/>
  <c r="AH621" i="3"/>
  <c r="AI621" i="3"/>
  <c r="AJ621" i="3"/>
  <c r="AD621" i="3"/>
  <c r="AF622" i="3"/>
  <c r="AG622" i="3"/>
  <c r="AH622" i="3"/>
  <c r="AI622" i="3"/>
  <c r="AJ622" i="3"/>
  <c r="AD622" i="3"/>
  <c r="AF623" i="3"/>
  <c r="AG623" i="3"/>
  <c r="AH623" i="3"/>
  <c r="AI623" i="3"/>
  <c r="AJ623" i="3"/>
  <c r="AD623" i="3"/>
  <c r="AF624" i="3"/>
  <c r="AG624" i="3"/>
  <c r="AH624" i="3"/>
  <c r="AI624" i="3"/>
  <c r="AJ624" i="3"/>
  <c r="AD624" i="3"/>
  <c r="AF625" i="3"/>
  <c r="AG625" i="3"/>
  <c r="AH625" i="3"/>
  <c r="AI625" i="3"/>
  <c r="AJ625" i="3"/>
  <c r="AD625" i="3"/>
  <c r="AF626" i="3"/>
  <c r="AG626" i="3"/>
  <c r="AH626" i="3"/>
  <c r="AI626" i="3"/>
  <c r="AJ626" i="3"/>
  <c r="AD626" i="3"/>
  <c r="AF627" i="3"/>
  <c r="AG627" i="3"/>
  <c r="AH627" i="3"/>
  <c r="AI627" i="3"/>
  <c r="AJ627" i="3"/>
  <c r="AD627" i="3"/>
  <c r="AF628" i="3"/>
  <c r="AG628" i="3"/>
  <c r="AH628" i="3"/>
  <c r="AI628" i="3"/>
  <c r="AJ628" i="3"/>
  <c r="AD628" i="3"/>
  <c r="AF629" i="3"/>
  <c r="AG629" i="3"/>
  <c r="AH629" i="3"/>
  <c r="AI629" i="3"/>
  <c r="AJ629" i="3"/>
  <c r="AD629" i="3"/>
  <c r="AF630" i="3"/>
  <c r="AG630" i="3"/>
  <c r="AH630" i="3"/>
  <c r="AI630" i="3"/>
  <c r="AJ630" i="3"/>
  <c r="AD630" i="3"/>
  <c r="AF631" i="3"/>
  <c r="AG631" i="3"/>
  <c r="AH631" i="3"/>
  <c r="AI631" i="3"/>
  <c r="AJ631" i="3"/>
  <c r="AD631" i="3"/>
  <c r="AF632" i="3"/>
  <c r="AG632" i="3"/>
  <c r="AH632" i="3"/>
  <c r="AI632" i="3"/>
  <c r="AJ632" i="3"/>
  <c r="AD632" i="3"/>
  <c r="AF633" i="3"/>
  <c r="AG633" i="3"/>
  <c r="AH633" i="3"/>
  <c r="AI633" i="3"/>
  <c r="AJ633" i="3"/>
  <c r="AD633" i="3"/>
  <c r="AF634" i="3"/>
  <c r="AG634" i="3"/>
  <c r="AH634" i="3"/>
  <c r="AI634" i="3"/>
  <c r="AJ634" i="3"/>
  <c r="AD634" i="3"/>
  <c r="AF635" i="3"/>
  <c r="AG635" i="3"/>
  <c r="AH635" i="3"/>
  <c r="AI635" i="3"/>
  <c r="AJ635" i="3"/>
  <c r="AD635" i="3"/>
  <c r="AF636" i="3"/>
  <c r="AG636" i="3"/>
  <c r="AH636" i="3"/>
  <c r="AI636" i="3"/>
  <c r="AJ636" i="3"/>
  <c r="AD636" i="3"/>
  <c r="AF637" i="3"/>
  <c r="AG637" i="3"/>
  <c r="AH637" i="3"/>
  <c r="AI637" i="3"/>
  <c r="AJ637" i="3"/>
  <c r="AD637" i="3"/>
  <c r="AF638" i="3"/>
  <c r="AG638" i="3"/>
  <c r="AH638" i="3"/>
  <c r="AI638" i="3"/>
  <c r="AJ638" i="3"/>
  <c r="AD638" i="3"/>
  <c r="AF639" i="3"/>
  <c r="AG639" i="3"/>
  <c r="AH639" i="3"/>
  <c r="AI639" i="3"/>
  <c r="AJ639" i="3"/>
  <c r="AD639" i="3"/>
  <c r="AF640" i="3"/>
  <c r="AG640" i="3"/>
  <c r="AH640" i="3"/>
  <c r="AI640" i="3"/>
  <c r="AJ640" i="3"/>
  <c r="AD640" i="3"/>
  <c r="AF641" i="3"/>
  <c r="AG641" i="3"/>
  <c r="AH641" i="3"/>
  <c r="AI641" i="3"/>
  <c r="AJ641" i="3"/>
  <c r="AD641" i="3"/>
  <c r="AF642" i="3"/>
  <c r="AG642" i="3"/>
  <c r="AH642" i="3"/>
  <c r="AI642" i="3"/>
  <c r="AJ642" i="3"/>
  <c r="AD642" i="3"/>
  <c r="AF643" i="3"/>
  <c r="AG643" i="3"/>
  <c r="AH643" i="3"/>
  <c r="AI643" i="3"/>
  <c r="AJ643" i="3"/>
  <c r="AD643" i="3"/>
  <c r="AF644" i="3"/>
  <c r="AG644" i="3"/>
  <c r="AH644" i="3"/>
  <c r="AI644" i="3"/>
  <c r="AJ644" i="3"/>
  <c r="AD644" i="3"/>
  <c r="AF645" i="3"/>
  <c r="AG645" i="3"/>
  <c r="AH645" i="3"/>
  <c r="AI645" i="3"/>
  <c r="AJ645" i="3"/>
  <c r="AD645" i="3"/>
  <c r="AF646" i="3"/>
  <c r="AG646" i="3"/>
  <c r="AH646" i="3"/>
  <c r="AI646" i="3"/>
  <c r="AJ646" i="3"/>
  <c r="AD646" i="3"/>
  <c r="AF647" i="3"/>
  <c r="AG647" i="3"/>
  <c r="AH647" i="3"/>
  <c r="AI647" i="3"/>
  <c r="AJ647" i="3"/>
  <c r="AD647" i="3"/>
  <c r="AF648" i="3"/>
  <c r="AG648" i="3"/>
  <c r="AH648" i="3"/>
  <c r="AI648" i="3"/>
  <c r="AJ648" i="3"/>
  <c r="AD648" i="3"/>
  <c r="AF649" i="3"/>
  <c r="AG649" i="3"/>
  <c r="AH649" i="3"/>
  <c r="AI649" i="3"/>
  <c r="AJ649" i="3"/>
  <c r="AD649" i="3"/>
  <c r="AF650" i="3"/>
  <c r="AG650" i="3"/>
  <c r="AH650" i="3"/>
  <c r="AI650" i="3"/>
  <c r="AJ650" i="3"/>
  <c r="AD650" i="3"/>
  <c r="AF651" i="3"/>
  <c r="AG651" i="3"/>
  <c r="AH651" i="3"/>
  <c r="AI651" i="3"/>
  <c r="AJ651" i="3"/>
  <c r="AD651" i="3"/>
  <c r="AF652" i="3"/>
  <c r="AG652" i="3"/>
  <c r="AH652" i="3"/>
  <c r="AI652" i="3"/>
  <c r="AJ652" i="3"/>
  <c r="AD652" i="3"/>
  <c r="AF653" i="3"/>
  <c r="AG653" i="3"/>
  <c r="AH653" i="3"/>
  <c r="AI653" i="3"/>
  <c r="AJ653" i="3"/>
  <c r="AD653" i="3"/>
  <c r="AF654" i="3"/>
  <c r="AG654" i="3"/>
  <c r="AH654" i="3"/>
  <c r="AI654" i="3"/>
  <c r="AJ654" i="3"/>
  <c r="AD654" i="3"/>
  <c r="AF655" i="3"/>
  <c r="AG655" i="3"/>
  <c r="AH655" i="3"/>
  <c r="AI655" i="3"/>
  <c r="AJ655" i="3"/>
  <c r="AD655" i="3"/>
  <c r="AF656" i="3"/>
  <c r="AG656" i="3"/>
  <c r="AH656" i="3"/>
  <c r="AI656" i="3"/>
  <c r="AJ656" i="3"/>
  <c r="AD656" i="3"/>
  <c r="AF657" i="3"/>
  <c r="AG657" i="3"/>
  <c r="AH657" i="3"/>
  <c r="AI657" i="3"/>
  <c r="AJ657" i="3"/>
  <c r="AD657" i="3"/>
  <c r="AF658" i="3"/>
  <c r="AG658" i="3"/>
  <c r="AH658" i="3"/>
  <c r="AI658" i="3"/>
  <c r="AJ658" i="3"/>
  <c r="AD658" i="3"/>
  <c r="AF659" i="3"/>
  <c r="AG659" i="3"/>
  <c r="AH659" i="3"/>
  <c r="AI659" i="3"/>
  <c r="AJ659" i="3"/>
  <c r="AD659" i="3"/>
  <c r="AF660" i="3"/>
  <c r="AG660" i="3"/>
  <c r="AH660" i="3"/>
  <c r="AI660" i="3"/>
  <c r="AJ660" i="3"/>
  <c r="AD660" i="3"/>
  <c r="AF661" i="3"/>
  <c r="AG661" i="3"/>
  <c r="AH661" i="3"/>
  <c r="AI661" i="3"/>
  <c r="AJ661" i="3"/>
  <c r="AD661" i="3"/>
  <c r="AF662" i="3"/>
  <c r="AG662" i="3"/>
  <c r="AH662" i="3"/>
  <c r="AI662" i="3"/>
  <c r="AJ662" i="3"/>
  <c r="AD662" i="3"/>
  <c r="AF663" i="3"/>
  <c r="AG663" i="3"/>
  <c r="AH663" i="3"/>
  <c r="AI663" i="3"/>
  <c r="AJ663" i="3"/>
  <c r="AD663" i="3"/>
  <c r="AF664" i="3"/>
  <c r="AG664" i="3"/>
  <c r="AH664" i="3"/>
  <c r="AI664" i="3"/>
  <c r="AJ664" i="3"/>
  <c r="AD664" i="3"/>
  <c r="AF665" i="3"/>
  <c r="AG665" i="3"/>
  <c r="AH665" i="3"/>
  <c r="AI665" i="3"/>
  <c r="AJ665" i="3"/>
  <c r="AD665" i="3"/>
  <c r="AF666" i="3"/>
  <c r="AG666" i="3"/>
  <c r="AH666" i="3"/>
  <c r="AI666" i="3"/>
  <c r="AJ666" i="3"/>
  <c r="AD666" i="3"/>
  <c r="AF667" i="3"/>
  <c r="AG667" i="3"/>
  <c r="AH667" i="3"/>
  <c r="AI667" i="3"/>
  <c r="AJ667" i="3"/>
  <c r="AD667" i="3"/>
  <c r="AF668" i="3"/>
  <c r="AG668" i="3"/>
  <c r="AH668" i="3"/>
  <c r="AI668" i="3"/>
  <c r="AJ668" i="3"/>
  <c r="AD668" i="3"/>
  <c r="AF669" i="3"/>
  <c r="AG669" i="3"/>
  <c r="AH669" i="3"/>
  <c r="AI669" i="3"/>
  <c r="AJ669" i="3"/>
  <c r="AD669" i="3"/>
  <c r="AF670" i="3"/>
  <c r="AG670" i="3"/>
  <c r="AH670" i="3"/>
  <c r="AI670" i="3"/>
  <c r="AJ670" i="3"/>
  <c r="AD670" i="3"/>
  <c r="AF671" i="3"/>
  <c r="AG671" i="3"/>
  <c r="AH671" i="3"/>
  <c r="AI671" i="3"/>
  <c r="AJ671" i="3"/>
  <c r="AD671" i="3"/>
  <c r="AF672" i="3"/>
  <c r="AG672" i="3"/>
  <c r="AH672" i="3"/>
  <c r="AI672" i="3"/>
  <c r="AJ672" i="3"/>
  <c r="AD672" i="3"/>
  <c r="AF673" i="3"/>
  <c r="AG673" i="3"/>
  <c r="AH673" i="3"/>
  <c r="AI673" i="3"/>
  <c r="AJ673" i="3"/>
  <c r="AD673" i="3"/>
  <c r="AF674" i="3"/>
  <c r="AG674" i="3"/>
  <c r="AH674" i="3"/>
  <c r="AI674" i="3"/>
  <c r="AJ674" i="3"/>
  <c r="AD674" i="3"/>
  <c r="AF675" i="3"/>
  <c r="AG675" i="3"/>
  <c r="AH675" i="3"/>
  <c r="AI675" i="3"/>
  <c r="AJ675" i="3"/>
  <c r="AD675" i="3"/>
  <c r="AF676" i="3"/>
  <c r="AG676" i="3"/>
  <c r="AH676" i="3"/>
  <c r="AI676" i="3"/>
  <c r="AJ676" i="3"/>
  <c r="AD676" i="3"/>
  <c r="AF677" i="3"/>
  <c r="AG677" i="3"/>
  <c r="AH677" i="3"/>
  <c r="AI677" i="3"/>
  <c r="AJ677" i="3"/>
  <c r="AD677" i="3"/>
  <c r="AF678" i="3"/>
  <c r="AG678" i="3"/>
  <c r="AH678" i="3"/>
  <c r="AI678" i="3"/>
  <c r="AJ678" i="3"/>
  <c r="AD678" i="3"/>
  <c r="AF679" i="3"/>
  <c r="AG679" i="3"/>
  <c r="AH679" i="3"/>
  <c r="AI679" i="3"/>
  <c r="AJ679" i="3"/>
  <c r="AD679" i="3"/>
  <c r="AF680" i="3"/>
  <c r="AG680" i="3"/>
  <c r="AH680" i="3"/>
  <c r="AI680" i="3"/>
  <c r="AJ680" i="3"/>
  <c r="AD680" i="3"/>
  <c r="AF681" i="3"/>
  <c r="AG681" i="3"/>
  <c r="AH681" i="3"/>
  <c r="AI681" i="3"/>
  <c r="AJ681" i="3"/>
  <c r="AD681" i="3"/>
  <c r="AF682" i="3"/>
  <c r="AG682" i="3"/>
  <c r="AH682" i="3"/>
  <c r="AI682" i="3"/>
  <c r="AJ682" i="3"/>
  <c r="AD682" i="3"/>
  <c r="AF683" i="3"/>
  <c r="AG683" i="3"/>
  <c r="AH683" i="3"/>
  <c r="AI683" i="3"/>
  <c r="AJ683" i="3"/>
  <c r="AD683" i="3"/>
  <c r="AF684" i="3"/>
  <c r="AG684" i="3"/>
  <c r="AH684" i="3"/>
  <c r="AI684" i="3"/>
  <c r="AJ684" i="3"/>
  <c r="AD684" i="3"/>
  <c r="AF685" i="3"/>
  <c r="AG685" i="3"/>
  <c r="AH685" i="3"/>
  <c r="AI685" i="3"/>
  <c r="AJ685" i="3"/>
  <c r="AD685" i="3"/>
  <c r="AF686" i="3"/>
  <c r="AG686" i="3"/>
  <c r="AH686" i="3"/>
  <c r="AI686" i="3"/>
  <c r="AJ686" i="3"/>
  <c r="AD686" i="3"/>
  <c r="AF687" i="3"/>
  <c r="AG687" i="3"/>
  <c r="AH687" i="3"/>
  <c r="AI687" i="3"/>
  <c r="AJ687" i="3"/>
  <c r="AD687" i="3"/>
  <c r="AF688" i="3"/>
  <c r="AG688" i="3"/>
  <c r="AH688" i="3"/>
  <c r="AI688" i="3"/>
  <c r="AJ688" i="3"/>
  <c r="AD688" i="3"/>
  <c r="AF689" i="3"/>
  <c r="AG689" i="3"/>
  <c r="AH689" i="3"/>
  <c r="AI689" i="3"/>
  <c r="AJ689" i="3"/>
  <c r="AD689" i="3"/>
  <c r="AF690" i="3"/>
  <c r="AG690" i="3"/>
  <c r="AH690" i="3"/>
  <c r="AI690" i="3"/>
  <c r="AJ690" i="3"/>
  <c r="AD690" i="3"/>
  <c r="AF691" i="3"/>
  <c r="AG691" i="3"/>
  <c r="AH691" i="3"/>
  <c r="AI691" i="3"/>
  <c r="AJ691" i="3"/>
  <c r="AD691" i="3"/>
  <c r="AF692" i="3"/>
  <c r="AG692" i="3"/>
  <c r="AH692" i="3"/>
  <c r="AI692" i="3"/>
  <c r="AJ692" i="3"/>
  <c r="AD692" i="3"/>
  <c r="AF693" i="3"/>
  <c r="AG693" i="3"/>
  <c r="AH693" i="3"/>
  <c r="AI693" i="3"/>
  <c r="AJ693" i="3"/>
  <c r="AD693" i="3"/>
  <c r="AF694" i="3"/>
  <c r="AG694" i="3"/>
  <c r="AH694" i="3"/>
  <c r="AI694" i="3"/>
  <c r="AJ694" i="3"/>
  <c r="AD694" i="3"/>
  <c r="AF695" i="3"/>
  <c r="AG695" i="3"/>
  <c r="AH695" i="3"/>
  <c r="AI695" i="3"/>
  <c r="AJ695" i="3"/>
  <c r="AD695" i="3"/>
  <c r="AF696" i="3"/>
  <c r="AG696" i="3"/>
  <c r="AH696" i="3"/>
  <c r="AI696" i="3"/>
  <c r="AJ696" i="3"/>
  <c r="AD696" i="3"/>
  <c r="AF697" i="3"/>
  <c r="AG697" i="3"/>
  <c r="AH697" i="3"/>
  <c r="AI697" i="3"/>
  <c r="AJ697" i="3"/>
  <c r="AD697" i="3"/>
  <c r="AF698" i="3"/>
  <c r="AG698" i="3"/>
  <c r="AH698" i="3"/>
  <c r="AI698" i="3"/>
  <c r="AJ698" i="3"/>
  <c r="AD698" i="3"/>
  <c r="AF699" i="3"/>
  <c r="AG699" i="3"/>
  <c r="AH699" i="3"/>
  <c r="AI699" i="3"/>
  <c r="AJ699" i="3"/>
  <c r="AD699" i="3"/>
  <c r="AF700" i="3"/>
  <c r="AG700" i="3"/>
  <c r="AH700" i="3"/>
  <c r="AI700" i="3"/>
  <c r="AJ700" i="3"/>
  <c r="AD700" i="3"/>
  <c r="AF701" i="3"/>
  <c r="AG701" i="3"/>
  <c r="AH701" i="3"/>
  <c r="AI701" i="3"/>
  <c r="AJ701" i="3"/>
  <c r="AD701" i="3"/>
  <c r="AF702" i="3"/>
  <c r="AG702" i="3"/>
  <c r="AH702" i="3"/>
  <c r="AI702" i="3"/>
  <c r="AJ702" i="3"/>
  <c r="AD702" i="3"/>
  <c r="AF703" i="3"/>
  <c r="AG703" i="3"/>
  <c r="AH703" i="3"/>
  <c r="AI703" i="3"/>
  <c r="AJ703" i="3"/>
  <c r="AD703" i="3"/>
  <c r="AF704" i="3"/>
  <c r="AG704" i="3"/>
  <c r="AH704" i="3"/>
  <c r="AI704" i="3"/>
  <c r="AJ704" i="3"/>
  <c r="AD704" i="3"/>
  <c r="AF705" i="3"/>
  <c r="AG705" i="3"/>
  <c r="AH705" i="3"/>
  <c r="AI705" i="3"/>
  <c r="AJ705" i="3"/>
  <c r="AD705" i="3"/>
  <c r="AF706" i="3"/>
  <c r="AG706" i="3"/>
  <c r="AH706" i="3"/>
  <c r="AI706" i="3"/>
  <c r="AJ706" i="3"/>
  <c r="AD706" i="3"/>
  <c r="AF707" i="3"/>
  <c r="AG707" i="3"/>
  <c r="AH707" i="3"/>
  <c r="AI707" i="3"/>
  <c r="AJ707" i="3"/>
  <c r="AD707" i="3"/>
  <c r="AF708" i="3"/>
  <c r="AG708" i="3"/>
  <c r="AH708" i="3"/>
  <c r="AI708" i="3"/>
  <c r="AJ708" i="3"/>
  <c r="AD708" i="3"/>
  <c r="AF709" i="3"/>
  <c r="AG709" i="3"/>
  <c r="AH709" i="3"/>
  <c r="AI709" i="3"/>
  <c r="AJ709" i="3"/>
  <c r="AD709" i="3"/>
  <c r="AF710" i="3"/>
  <c r="AG710" i="3"/>
  <c r="AH710" i="3"/>
  <c r="AI710" i="3"/>
  <c r="AJ710" i="3"/>
  <c r="AD710" i="3"/>
  <c r="AF711" i="3"/>
  <c r="AG711" i="3"/>
  <c r="AH711" i="3"/>
  <c r="AI711" i="3"/>
  <c r="AJ711" i="3"/>
  <c r="AD711" i="3"/>
  <c r="AF712" i="3"/>
  <c r="AG712" i="3"/>
  <c r="AH712" i="3"/>
  <c r="AI712" i="3"/>
  <c r="AJ712" i="3"/>
  <c r="AD712" i="3"/>
  <c r="AF713" i="3"/>
  <c r="AG713" i="3"/>
  <c r="AH713" i="3"/>
  <c r="AI713" i="3"/>
  <c r="AJ713" i="3"/>
  <c r="AD713" i="3"/>
  <c r="AF714" i="3"/>
  <c r="AG714" i="3"/>
  <c r="AH714" i="3"/>
  <c r="AI714" i="3"/>
  <c r="AJ714" i="3"/>
  <c r="AD714" i="3"/>
  <c r="AF715" i="3"/>
  <c r="AG715" i="3"/>
  <c r="AH715" i="3"/>
  <c r="AI715" i="3"/>
  <c r="AJ715" i="3"/>
  <c r="AD715" i="3"/>
  <c r="AF716" i="3"/>
  <c r="AG716" i="3"/>
  <c r="AH716" i="3"/>
  <c r="AI716" i="3"/>
  <c r="AJ716" i="3"/>
  <c r="AD716" i="3"/>
  <c r="AF717" i="3"/>
  <c r="AG717" i="3"/>
  <c r="AH717" i="3"/>
  <c r="AI717" i="3"/>
  <c r="AJ717" i="3"/>
  <c r="AD717" i="3"/>
  <c r="AF718" i="3"/>
  <c r="AG718" i="3"/>
  <c r="AH718" i="3"/>
  <c r="AI718" i="3"/>
  <c r="AJ718" i="3"/>
  <c r="AD718" i="3"/>
  <c r="AF719" i="3"/>
  <c r="AG719" i="3"/>
  <c r="AH719" i="3"/>
  <c r="AI719" i="3"/>
  <c r="AJ719" i="3"/>
  <c r="AD719" i="3"/>
  <c r="AF720" i="3"/>
  <c r="AG720" i="3"/>
  <c r="AH720" i="3"/>
  <c r="AI720" i="3"/>
  <c r="AJ720" i="3"/>
  <c r="AD720" i="3"/>
  <c r="AF721" i="3"/>
  <c r="AG721" i="3"/>
  <c r="AH721" i="3"/>
  <c r="AI721" i="3"/>
  <c r="AJ721" i="3"/>
  <c r="AD721" i="3"/>
  <c r="AF722" i="3"/>
  <c r="AG722" i="3"/>
  <c r="AH722" i="3"/>
  <c r="AI722" i="3"/>
  <c r="AJ722" i="3"/>
  <c r="AD722" i="3"/>
  <c r="AF723" i="3"/>
  <c r="AG723" i="3"/>
  <c r="AH723" i="3"/>
  <c r="AI723" i="3"/>
  <c r="AJ723" i="3"/>
  <c r="AD723" i="3"/>
  <c r="AF724" i="3"/>
  <c r="AG724" i="3"/>
  <c r="AH724" i="3"/>
  <c r="AI724" i="3"/>
  <c r="AJ724" i="3"/>
  <c r="AD724" i="3"/>
  <c r="AF725" i="3"/>
  <c r="AG725" i="3"/>
  <c r="AH725" i="3"/>
  <c r="AI725" i="3"/>
  <c r="AJ725" i="3"/>
  <c r="AD725" i="3"/>
  <c r="AF726" i="3"/>
  <c r="AG726" i="3"/>
  <c r="AH726" i="3"/>
  <c r="AI726" i="3"/>
  <c r="AJ726" i="3"/>
  <c r="AD726" i="3"/>
  <c r="AF727" i="3"/>
  <c r="AG727" i="3"/>
  <c r="AH727" i="3"/>
  <c r="AI727" i="3"/>
  <c r="AJ727" i="3"/>
  <c r="AD727" i="3"/>
  <c r="AF728" i="3"/>
  <c r="AG728" i="3"/>
  <c r="AH728" i="3"/>
  <c r="AI728" i="3"/>
  <c r="AJ728" i="3"/>
  <c r="AD728" i="3"/>
  <c r="AF729" i="3"/>
  <c r="AG729" i="3"/>
  <c r="AH729" i="3"/>
  <c r="AI729" i="3"/>
  <c r="AJ729" i="3"/>
  <c r="AD729" i="3"/>
  <c r="AF730" i="3"/>
  <c r="AG730" i="3"/>
  <c r="AH730" i="3"/>
  <c r="AI730" i="3"/>
  <c r="AJ730" i="3"/>
  <c r="AD730" i="3"/>
  <c r="AF731" i="3"/>
  <c r="AG731" i="3"/>
  <c r="AH731" i="3"/>
  <c r="AI731" i="3"/>
  <c r="AJ731" i="3"/>
  <c r="AD731" i="3"/>
  <c r="AF732" i="3"/>
  <c r="AG732" i="3"/>
  <c r="AH732" i="3"/>
  <c r="AI732" i="3"/>
  <c r="AJ732" i="3"/>
  <c r="AD732" i="3"/>
  <c r="AF733" i="3"/>
  <c r="AG733" i="3"/>
  <c r="AH733" i="3"/>
  <c r="AI733" i="3"/>
  <c r="AJ733" i="3"/>
  <c r="AD733" i="3"/>
  <c r="AF734" i="3"/>
  <c r="AG734" i="3"/>
  <c r="AH734" i="3"/>
  <c r="AI734" i="3"/>
  <c r="AJ734" i="3"/>
  <c r="AD734" i="3"/>
  <c r="AF735" i="3"/>
  <c r="AG735" i="3"/>
  <c r="AH735" i="3"/>
  <c r="AI735" i="3"/>
  <c r="AJ735" i="3"/>
  <c r="AD735" i="3"/>
  <c r="AF736" i="3"/>
  <c r="AG736" i="3"/>
  <c r="AH736" i="3"/>
  <c r="AI736" i="3"/>
  <c r="AJ736" i="3"/>
  <c r="AD736" i="3"/>
  <c r="AF737" i="3"/>
  <c r="AG737" i="3"/>
  <c r="AH737" i="3"/>
  <c r="AI737" i="3"/>
  <c r="AJ737" i="3"/>
  <c r="AD737" i="3"/>
  <c r="AF738" i="3"/>
  <c r="AG738" i="3"/>
  <c r="AH738" i="3"/>
  <c r="AI738" i="3"/>
  <c r="AJ738" i="3"/>
  <c r="AD738" i="3"/>
  <c r="AF739" i="3"/>
  <c r="AG739" i="3"/>
  <c r="AH739" i="3"/>
  <c r="AI739" i="3"/>
  <c r="AJ739" i="3"/>
  <c r="AD739" i="3"/>
  <c r="AF740" i="3"/>
  <c r="AG740" i="3"/>
  <c r="AH740" i="3"/>
  <c r="AI740" i="3"/>
  <c r="AJ740" i="3"/>
  <c r="AD740" i="3"/>
  <c r="AF741" i="3"/>
  <c r="AG741" i="3"/>
  <c r="AH741" i="3"/>
  <c r="AI741" i="3"/>
  <c r="AJ741" i="3"/>
  <c r="AD741" i="3"/>
  <c r="AF742" i="3"/>
  <c r="AG742" i="3"/>
  <c r="AH742" i="3"/>
  <c r="AI742" i="3"/>
  <c r="AJ742" i="3"/>
  <c r="AD742" i="3"/>
  <c r="AF743" i="3"/>
  <c r="AG743" i="3"/>
  <c r="AH743" i="3"/>
  <c r="AI743" i="3"/>
  <c r="AJ743" i="3"/>
  <c r="AD743" i="3"/>
  <c r="AF744" i="3"/>
  <c r="AG744" i="3"/>
  <c r="AH744" i="3"/>
  <c r="AI744" i="3"/>
  <c r="AJ744" i="3"/>
  <c r="AD744" i="3"/>
  <c r="AF745" i="3"/>
  <c r="AG745" i="3"/>
  <c r="AH745" i="3"/>
  <c r="AI745" i="3"/>
  <c r="AJ745" i="3"/>
  <c r="AD745" i="3"/>
  <c r="AF746" i="3"/>
  <c r="AG746" i="3"/>
  <c r="AH746" i="3"/>
  <c r="AI746" i="3"/>
  <c r="AJ746" i="3"/>
  <c r="AD746" i="3"/>
  <c r="AF747" i="3"/>
  <c r="AG747" i="3"/>
  <c r="AH747" i="3"/>
  <c r="AI747" i="3"/>
  <c r="AJ747" i="3"/>
  <c r="AD747" i="3"/>
  <c r="AF748" i="3"/>
  <c r="AG748" i="3"/>
  <c r="AH748" i="3"/>
  <c r="AI748" i="3"/>
  <c r="AJ748" i="3"/>
  <c r="AD748" i="3"/>
  <c r="AF749" i="3"/>
  <c r="AG749" i="3"/>
  <c r="AH749" i="3"/>
  <c r="AI749" i="3"/>
  <c r="AJ749" i="3"/>
  <c r="AD749" i="3"/>
  <c r="AF750" i="3"/>
  <c r="AG750" i="3"/>
  <c r="AH750" i="3"/>
  <c r="AI750" i="3"/>
  <c r="AJ750" i="3"/>
  <c r="AD750" i="3"/>
  <c r="AF751" i="3"/>
  <c r="AG751" i="3"/>
  <c r="AH751" i="3"/>
  <c r="AI751" i="3"/>
  <c r="AJ751" i="3"/>
  <c r="AD751" i="3"/>
  <c r="AF752" i="3"/>
  <c r="AG752" i="3"/>
  <c r="AH752" i="3"/>
  <c r="AI752" i="3"/>
  <c r="AJ752" i="3"/>
  <c r="AD752" i="3"/>
  <c r="AF753" i="3"/>
  <c r="AG753" i="3"/>
  <c r="AH753" i="3"/>
  <c r="AI753" i="3"/>
  <c r="AJ753" i="3"/>
  <c r="AD753" i="3"/>
  <c r="AF754" i="3"/>
  <c r="AG754" i="3"/>
  <c r="AH754" i="3"/>
  <c r="AI754" i="3"/>
  <c r="AJ754" i="3"/>
  <c r="AD754" i="3"/>
  <c r="AF755" i="3"/>
  <c r="AG755" i="3"/>
  <c r="AH755" i="3"/>
  <c r="AI755" i="3"/>
  <c r="AJ755" i="3"/>
  <c r="AD755" i="3"/>
  <c r="AF756" i="3"/>
  <c r="AG756" i="3"/>
  <c r="AH756" i="3"/>
  <c r="AI756" i="3"/>
  <c r="AJ756" i="3"/>
  <c r="AD756" i="3"/>
  <c r="AF757" i="3"/>
  <c r="AG757" i="3"/>
  <c r="AH757" i="3"/>
  <c r="AI757" i="3"/>
  <c r="AJ757" i="3"/>
  <c r="AD757" i="3"/>
  <c r="AF758" i="3"/>
  <c r="AG758" i="3"/>
  <c r="AH758" i="3"/>
  <c r="AI758" i="3"/>
  <c r="AJ758" i="3"/>
  <c r="AD758" i="3"/>
  <c r="AF759" i="3"/>
  <c r="AG759" i="3"/>
  <c r="AH759" i="3"/>
  <c r="AI759" i="3"/>
  <c r="AJ759" i="3"/>
  <c r="AD759" i="3"/>
  <c r="AF760" i="3"/>
  <c r="AG760" i="3"/>
  <c r="AH760" i="3"/>
  <c r="AI760" i="3"/>
  <c r="AJ760" i="3"/>
  <c r="AD760" i="3"/>
  <c r="AF761" i="3"/>
  <c r="AG761" i="3"/>
  <c r="AH761" i="3"/>
  <c r="AI761" i="3"/>
  <c r="AJ761" i="3"/>
  <c r="AD761" i="3"/>
  <c r="AF762" i="3"/>
  <c r="AG762" i="3"/>
  <c r="AH762" i="3"/>
  <c r="AI762" i="3"/>
  <c r="AJ762" i="3"/>
  <c r="AD762" i="3"/>
  <c r="AF763" i="3"/>
  <c r="AG763" i="3"/>
  <c r="AH763" i="3"/>
  <c r="AI763" i="3"/>
  <c r="AJ763" i="3"/>
  <c r="AD763" i="3"/>
  <c r="AF764" i="3"/>
  <c r="AG764" i="3"/>
  <c r="AH764" i="3"/>
  <c r="AI764" i="3"/>
  <c r="AJ764" i="3"/>
  <c r="AD764" i="3"/>
  <c r="AF765" i="3"/>
  <c r="AG765" i="3"/>
  <c r="AH765" i="3"/>
  <c r="AI765" i="3"/>
  <c r="AJ765" i="3"/>
  <c r="AD765" i="3"/>
  <c r="AF766" i="3"/>
  <c r="AG766" i="3"/>
  <c r="AH766" i="3"/>
  <c r="AI766" i="3"/>
  <c r="AJ766" i="3"/>
  <c r="AD766" i="3"/>
  <c r="AF767" i="3"/>
  <c r="AG767" i="3"/>
  <c r="AH767" i="3"/>
  <c r="AI767" i="3"/>
  <c r="AJ767" i="3"/>
  <c r="AD767" i="3"/>
  <c r="AF768" i="3"/>
  <c r="AG768" i="3"/>
  <c r="AH768" i="3"/>
  <c r="AI768" i="3"/>
  <c r="AJ768" i="3"/>
  <c r="AD768" i="3"/>
  <c r="AF769" i="3"/>
  <c r="AG769" i="3"/>
  <c r="AH769" i="3"/>
  <c r="AI769" i="3"/>
  <c r="AJ769" i="3"/>
  <c r="AD769" i="3"/>
  <c r="AF770" i="3"/>
  <c r="AG770" i="3"/>
  <c r="AH770" i="3"/>
  <c r="AI770" i="3"/>
  <c r="AJ770" i="3"/>
  <c r="AD770" i="3"/>
  <c r="AF771" i="3"/>
  <c r="AG771" i="3"/>
  <c r="AH771" i="3"/>
  <c r="AI771" i="3"/>
  <c r="AJ771" i="3"/>
  <c r="AD771" i="3"/>
  <c r="AF772" i="3"/>
  <c r="AG772" i="3"/>
  <c r="AH772" i="3"/>
  <c r="AI772" i="3"/>
  <c r="AJ772" i="3"/>
  <c r="AD772" i="3"/>
  <c r="AF773" i="3"/>
  <c r="AG773" i="3"/>
  <c r="AH773" i="3"/>
  <c r="AI773" i="3"/>
  <c r="AJ773" i="3"/>
  <c r="AD773" i="3"/>
  <c r="AF774" i="3"/>
  <c r="AG774" i="3"/>
  <c r="AH774" i="3"/>
  <c r="AI774" i="3"/>
  <c r="AJ774" i="3"/>
  <c r="AD774" i="3"/>
  <c r="AF775" i="3"/>
  <c r="AG775" i="3"/>
  <c r="AH775" i="3"/>
  <c r="AI775" i="3"/>
  <c r="AJ775" i="3"/>
  <c r="AD775" i="3"/>
  <c r="AF776" i="3"/>
  <c r="AG776" i="3"/>
  <c r="AH776" i="3"/>
  <c r="AI776" i="3"/>
  <c r="AJ776" i="3"/>
  <c r="AD776" i="3"/>
  <c r="AF777" i="3"/>
  <c r="AG777" i="3"/>
  <c r="AH777" i="3"/>
  <c r="AI777" i="3"/>
  <c r="AJ777" i="3"/>
  <c r="AD777" i="3"/>
  <c r="AF778" i="3"/>
  <c r="AG778" i="3"/>
  <c r="AH778" i="3"/>
  <c r="AI778" i="3"/>
  <c r="AJ778" i="3"/>
  <c r="AD778" i="3"/>
  <c r="AF779" i="3"/>
  <c r="AG779" i="3"/>
  <c r="AH779" i="3"/>
  <c r="AI779" i="3"/>
  <c r="AJ779" i="3"/>
  <c r="AD779" i="3"/>
  <c r="AF780" i="3"/>
  <c r="AG780" i="3"/>
  <c r="AH780" i="3"/>
  <c r="AI780" i="3"/>
  <c r="AJ780" i="3"/>
  <c r="AD780" i="3"/>
  <c r="AF781" i="3"/>
  <c r="AG781" i="3"/>
  <c r="AH781" i="3"/>
  <c r="AI781" i="3"/>
  <c r="AJ781" i="3"/>
  <c r="AD781" i="3"/>
  <c r="AF782" i="3"/>
  <c r="AG782" i="3"/>
  <c r="AH782" i="3"/>
  <c r="AI782" i="3"/>
  <c r="AJ782" i="3"/>
  <c r="AD782" i="3"/>
  <c r="AF783" i="3"/>
  <c r="AG783" i="3"/>
  <c r="AH783" i="3"/>
  <c r="AI783" i="3"/>
  <c r="AJ783" i="3"/>
  <c r="AD783" i="3"/>
  <c r="AF784" i="3"/>
  <c r="AG784" i="3"/>
  <c r="AH784" i="3"/>
  <c r="AI784" i="3"/>
  <c r="AJ784" i="3"/>
  <c r="AD784" i="3"/>
  <c r="AF785" i="3"/>
  <c r="AG785" i="3"/>
  <c r="AH785" i="3"/>
  <c r="AI785" i="3"/>
  <c r="AJ785" i="3"/>
  <c r="AD785" i="3"/>
  <c r="AF786" i="3"/>
  <c r="AG786" i="3"/>
  <c r="AH786" i="3"/>
  <c r="AI786" i="3"/>
  <c r="AJ786" i="3"/>
  <c r="AD786" i="3"/>
  <c r="AF787" i="3"/>
  <c r="AG787" i="3"/>
  <c r="AH787" i="3"/>
  <c r="AI787" i="3"/>
  <c r="AJ787" i="3"/>
  <c r="AD787" i="3"/>
  <c r="AF788" i="3"/>
  <c r="AG788" i="3"/>
  <c r="AH788" i="3"/>
  <c r="AI788" i="3"/>
  <c r="AJ788" i="3"/>
  <c r="AD788" i="3"/>
  <c r="AF789" i="3"/>
  <c r="AG789" i="3"/>
  <c r="AH789" i="3"/>
  <c r="AI789" i="3"/>
  <c r="AJ789" i="3"/>
  <c r="AD789" i="3"/>
  <c r="AF790" i="3"/>
  <c r="AG790" i="3"/>
  <c r="AH790" i="3"/>
  <c r="AI790" i="3"/>
  <c r="AJ790" i="3"/>
  <c r="AD790" i="3"/>
  <c r="AF791" i="3"/>
  <c r="AI791" i="3"/>
  <c r="AJ791" i="3"/>
  <c r="AH791" i="3"/>
  <c r="AG791" i="3"/>
  <c r="AD791" i="3"/>
  <c r="AH826" i="3"/>
  <c r="AD826" i="3"/>
  <c r="AG826" i="3"/>
  <c r="AI826" i="3"/>
  <c r="AF826" i="3"/>
  <c r="AJ826" i="3"/>
  <c r="AG836" i="3"/>
  <c r="AJ836" i="3"/>
  <c r="AF836" i="3"/>
  <c r="AI836" i="3"/>
  <c r="AD836" i="3"/>
  <c r="AH836" i="3"/>
  <c r="AH837" i="3"/>
  <c r="AF837" i="3"/>
  <c r="AI837" i="3"/>
  <c r="AD837" i="3"/>
  <c r="AG837" i="3"/>
  <c r="AJ837" i="3"/>
  <c r="AI838" i="3"/>
  <c r="AG838" i="3"/>
  <c r="AJ838" i="3"/>
  <c r="AD838" i="3"/>
  <c r="AF838" i="3"/>
  <c r="AH838" i="3"/>
  <c r="AG839" i="3"/>
  <c r="AI839" i="3"/>
  <c r="AD839" i="3"/>
  <c r="AF839" i="3"/>
  <c r="AH839" i="3"/>
  <c r="AJ839" i="3"/>
  <c r="AJ841" i="3"/>
  <c r="AH841" i="3"/>
  <c r="AF841" i="3"/>
  <c r="AD841" i="3"/>
  <c r="AG841" i="3"/>
  <c r="AI841" i="3"/>
  <c r="AG853" i="3"/>
  <c r="AJ853" i="3"/>
  <c r="AD853" i="3"/>
  <c r="AH853" i="3"/>
  <c r="AF853" i="3"/>
  <c r="AI853" i="3"/>
  <c r="AH857" i="3"/>
  <c r="AJ857" i="3"/>
  <c r="AG857" i="3"/>
  <c r="AF857" i="3"/>
  <c r="AD857" i="3"/>
  <c r="AI857" i="3"/>
  <c r="AI867" i="3"/>
  <c r="AD867" i="3"/>
  <c r="AH867" i="3"/>
  <c r="AF867" i="3"/>
  <c r="AG867" i="3"/>
  <c r="AJ867" i="3"/>
  <c r="AH887" i="3"/>
  <c r="AF887" i="3"/>
  <c r="AI887" i="3"/>
  <c r="AD887" i="3"/>
  <c r="AG887" i="3"/>
  <c r="AJ887" i="3"/>
  <c r="AH927" i="3"/>
  <c r="AF927" i="3"/>
  <c r="AI927" i="3"/>
  <c r="AD927" i="3"/>
  <c r="AG927" i="3"/>
  <c r="AJ927" i="3"/>
  <c r="AH931" i="3"/>
  <c r="AD931" i="3"/>
  <c r="AJ931" i="3"/>
  <c r="AG931" i="3"/>
  <c r="AF931" i="3"/>
  <c r="AI931" i="3"/>
  <c r="AH939" i="3"/>
  <c r="AD939" i="3"/>
  <c r="AG939" i="3"/>
  <c r="AJ939" i="3"/>
  <c r="AF939" i="3"/>
  <c r="AI939" i="3"/>
  <c r="AF942" i="3"/>
  <c r="AG942" i="3"/>
  <c r="AH942" i="3"/>
  <c r="AI942" i="3"/>
  <c r="AJ942" i="3"/>
  <c r="AD942" i="3"/>
  <c r="AF943" i="3"/>
  <c r="AG943" i="3"/>
  <c r="AH943" i="3"/>
  <c r="AI943" i="3"/>
  <c r="AJ943" i="3"/>
  <c r="AD943" i="3"/>
  <c r="AF944" i="3"/>
  <c r="AG944" i="3"/>
  <c r="AH944" i="3"/>
  <c r="AI944" i="3"/>
  <c r="AJ944" i="3"/>
  <c r="AD944" i="3"/>
  <c r="AF945" i="3"/>
  <c r="AG945" i="3"/>
  <c r="AH945" i="3"/>
  <c r="AI945" i="3"/>
  <c r="AJ945" i="3"/>
  <c r="AD945" i="3"/>
  <c r="AF946" i="3"/>
  <c r="AG946" i="3"/>
  <c r="AH946" i="3"/>
  <c r="AI946" i="3"/>
  <c r="AJ946" i="3"/>
  <c r="AD946" i="3"/>
  <c r="AF947" i="3"/>
  <c r="AG947" i="3"/>
  <c r="AH947" i="3"/>
  <c r="AI947" i="3"/>
  <c r="AJ947" i="3"/>
  <c r="AD947" i="3"/>
  <c r="AF948" i="3"/>
  <c r="AG948" i="3"/>
  <c r="AH948" i="3"/>
  <c r="AI948" i="3"/>
  <c r="AJ948" i="3"/>
  <c r="AD948" i="3"/>
  <c r="AF949" i="3"/>
  <c r="AG949" i="3"/>
  <c r="AH949" i="3"/>
  <c r="AI949" i="3"/>
  <c r="AJ949" i="3"/>
  <c r="AD949" i="3"/>
  <c r="AF950" i="3"/>
  <c r="AG950" i="3"/>
  <c r="AH950" i="3"/>
  <c r="AI950" i="3"/>
  <c r="AJ950" i="3"/>
  <c r="AD950" i="3"/>
  <c r="AF951" i="3"/>
  <c r="AG951" i="3"/>
  <c r="AH951" i="3"/>
  <c r="AI951" i="3"/>
  <c r="AJ951" i="3"/>
  <c r="AD951" i="3"/>
  <c r="AF952" i="3"/>
  <c r="AG952" i="3"/>
  <c r="AH952" i="3"/>
  <c r="AI952" i="3"/>
  <c r="AJ952" i="3"/>
  <c r="AD952" i="3"/>
  <c r="AF953" i="3"/>
  <c r="AG953" i="3"/>
  <c r="AH953" i="3"/>
  <c r="AI953" i="3"/>
  <c r="AJ953" i="3"/>
  <c r="AD953" i="3"/>
  <c r="AF954" i="3"/>
  <c r="AG954" i="3"/>
  <c r="AH954" i="3"/>
  <c r="AI954" i="3"/>
  <c r="AJ954" i="3"/>
  <c r="AD954" i="3"/>
  <c r="AF955" i="3"/>
  <c r="AG955" i="3"/>
  <c r="AH955" i="3"/>
  <c r="AI955" i="3"/>
  <c r="AJ955" i="3"/>
  <c r="AD955" i="3"/>
  <c r="AF956" i="3"/>
  <c r="AG956" i="3"/>
  <c r="AH956" i="3"/>
  <c r="AI956" i="3"/>
  <c r="AJ956" i="3"/>
  <c r="AD956" i="3"/>
  <c r="AF957" i="3"/>
  <c r="AG957" i="3"/>
  <c r="AH957" i="3"/>
  <c r="AI957" i="3"/>
  <c r="AJ957" i="3"/>
  <c r="AD957" i="3"/>
  <c r="AF958" i="3"/>
  <c r="AG958" i="3"/>
  <c r="AH958" i="3"/>
  <c r="AI958" i="3"/>
  <c r="AJ958" i="3"/>
  <c r="AD958" i="3"/>
  <c r="AF959" i="3"/>
  <c r="AG959" i="3"/>
  <c r="AH959" i="3"/>
  <c r="AI959" i="3"/>
  <c r="AJ959" i="3"/>
  <c r="AD959" i="3"/>
  <c r="AF960" i="3"/>
  <c r="AG960" i="3"/>
  <c r="AH960" i="3"/>
  <c r="AI960" i="3"/>
  <c r="AJ960" i="3"/>
  <c r="AD960" i="3"/>
  <c r="AF961" i="3"/>
  <c r="AG961" i="3"/>
  <c r="AH961" i="3"/>
  <c r="AI961" i="3"/>
  <c r="AJ961" i="3"/>
  <c r="AD961" i="3"/>
  <c r="AF962" i="3"/>
  <c r="AG962" i="3"/>
  <c r="AH962" i="3"/>
  <c r="AI962" i="3"/>
  <c r="AJ962" i="3"/>
  <c r="AD962" i="3"/>
  <c r="AF963" i="3"/>
  <c r="AG963" i="3"/>
  <c r="AH963" i="3"/>
  <c r="AI963" i="3"/>
  <c r="AJ963" i="3"/>
  <c r="AD963" i="3"/>
  <c r="AF964" i="3"/>
  <c r="AG964" i="3"/>
  <c r="AH964" i="3"/>
  <c r="AI964" i="3"/>
  <c r="AJ964" i="3"/>
  <c r="AD964" i="3"/>
  <c r="AF965" i="3"/>
  <c r="AG965" i="3"/>
  <c r="AH965" i="3"/>
  <c r="AI965" i="3"/>
  <c r="AJ965" i="3"/>
  <c r="AD965" i="3"/>
  <c r="AF966" i="3"/>
  <c r="AG966" i="3"/>
  <c r="AH966" i="3"/>
  <c r="AI966" i="3"/>
  <c r="AJ966" i="3"/>
  <c r="AD966" i="3"/>
  <c r="AF967" i="3"/>
  <c r="AG967" i="3"/>
  <c r="AH967" i="3"/>
  <c r="AI967" i="3"/>
  <c r="AJ967" i="3"/>
  <c r="AD967" i="3"/>
  <c r="AF968" i="3"/>
  <c r="AG968" i="3"/>
  <c r="AH968" i="3"/>
  <c r="AI968" i="3"/>
  <c r="AJ968" i="3"/>
  <c r="AD968" i="3"/>
  <c r="AF969" i="3"/>
  <c r="AG969" i="3"/>
  <c r="AH969" i="3"/>
  <c r="AI969" i="3"/>
  <c r="AJ969" i="3"/>
  <c r="AD969" i="3"/>
  <c r="AF970" i="3"/>
  <c r="AG970" i="3"/>
  <c r="AH970" i="3"/>
  <c r="AI970" i="3"/>
  <c r="AJ970" i="3"/>
  <c r="AD970" i="3"/>
  <c r="AF971" i="3"/>
  <c r="AG971" i="3"/>
  <c r="AH971" i="3"/>
  <c r="AI971" i="3"/>
  <c r="AJ971" i="3"/>
  <c r="AD971" i="3"/>
  <c r="AF972" i="3"/>
  <c r="AG972" i="3"/>
  <c r="AH972" i="3"/>
  <c r="AI972" i="3"/>
  <c r="AJ972" i="3"/>
  <c r="AD972" i="3"/>
  <c r="AF973" i="3"/>
  <c r="AG973" i="3"/>
  <c r="AH973" i="3"/>
  <c r="AI973" i="3"/>
  <c r="AJ973" i="3"/>
  <c r="AD973" i="3"/>
  <c r="AF974" i="3"/>
  <c r="AG974" i="3"/>
  <c r="AH974" i="3"/>
  <c r="AI974" i="3"/>
  <c r="AJ974" i="3"/>
  <c r="AD974" i="3"/>
  <c r="AF975" i="3"/>
  <c r="AG975" i="3"/>
  <c r="AH975" i="3"/>
  <c r="AI975" i="3"/>
  <c r="AJ975" i="3"/>
  <c r="AD975" i="3"/>
  <c r="AF976" i="3"/>
  <c r="AG976" i="3"/>
  <c r="AH976" i="3"/>
  <c r="AI976" i="3"/>
  <c r="AJ976" i="3"/>
  <c r="AD976" i="3"/>
  <c r="AF977" i="3"/>
  <c r="AG977" i="3"/>
  <c r="AH977" i="3"/>
  <c r="AI977" i="3"/>
  <c r="AJ977" i="3"/>
  <c r="AD977" i="3"/>
  <c r="AF978" i="3"/>
  <c r="AG978" i="3"/>
  <c r="AH978" i="3"/>
  <c r="AI978" i="3"/>
  <c r="AJ978" i="3"/>
  <c r="AD978" i="3"/>
  <c r="AF979" i="3"/>
  <c r="AG979" i="3"/>
  <c r="AH979" i="3"/>
  <c r="AI979" i="3"/>
  <c r="AJ979" i="3"/>
  <c r="AD979" i="3"/>
  <c r="AF980" i="3"/>
  <c r="AG980" i="3"/>
  <c r="AH980" i="3"/>
  <c r="AI980" i="3"/>
  <c r="AJ980" i="3"/>
  <c r="AD980" i="3"/>
  <c r="AF981" i="3"/>
  <c r="AG981" i="3"/>
  <c r="AH981" i="3"/>
  <c r="AI981" i="3"/>
  <c r="AJ981" i="3"/>
  <c r="AD981" i="3"/>
  <c r="AF982" i="3"/>
  <c r="AG982" i="3"/>
  <c r="AH982" i="3"/>
  <c r="AI982" i="3"/>
  <c r="AJ982" i="3"/>
  <c r="AD982" i="3"/>
  <c r="AF983" i="3"/>
  <c r="AG983" i="3"/>
  <c r="AH983" i="3"/>
  <c r="AI983" i="3"/>
  <c r="AJ983" i="3"/>
  <c r="AD983" i="3"/>
  <c r="AF984" i="3"/>
  <c r="AG984" i="3"/>
  <c r="AH984" i="3"/>
  <c r="AI984" i="3"/>
  <c r="AJ984" i="3"/>
  <c r="AD984" i="3"/>
  <c r="AF985" i="3"/>
  <c r="AG985" i="3"/>
  <c r="AH985" i="3"/>
  <c r="AI985" i="3"/>
  <c r="AJ985" i="3"/>
  <c r="AD985" i="3"/>
  <c r="AF986" i="3"/>
  <c r="AG986" i="3"/>
  <c r="AH986" i="3"/>
  <c r="AI986" i="3"/>
  <c r="AJ986" i="3"/>
  <c r="AD986" i="3"/>
  <c r="AF987" i="3"/>
  <c r="AG987" i="3"/>
  <c r="AH987" i="3"/>
  <c r="AI987" i="3"/>
  <c r="AJ987" i="3"/>
  <c r="AD987" i="3"/>
  <c r="AF988" i="3"/>
  <c r="AG988" i="3"/>
  <c r="AH988" i="3"/>
  <c r="AI988" i="3"/>
  <c r="AJ988" i="3"/>
  <c r="AD988" i="3"/>
  <c r="AF989" i="3"/>
  <c r="AG989" i="3"/>
  <c r="AH989" i="3"/>
  <c r="AI989" i="3"/>
  <c r="AJ989" i="3"/>
  <c r="AD989" i="3"/>
  <c r="AF990" i="3"/>
  <c r="AG990" i="3"/>
  <c r="AH990" i="3"/>
  <c r="AI990" i="3"/>
  <c r="AJ990" i="3"/>
  <c r="AD990" i="3"/>
  <c r="AF991" i="3"/>
  <c r="AG991" i="3"/>
  <c r="AH991" i="3"/>
  <c r="AI991" i="3"/>
  <c r="AJ991" i="3"/>
  <c r="AD991" i="3"/>
  <c r="AF992" i="3"/>
  <c r="AG992" i="3"/>
  <c r="AH992" i="3"/>
  <c r="AI992" i="3"/>
  <c r="AJ992" i="3"/>
  <c r="AD992" i="3"/>
  <c r="AF993" i="3"/>
  <c r="AG993" i="3"/>
  <c r="AH993" i="3"/>
  <c r="AI993" i="3"/>
  <c r="AJ993" i="3"/>
  <c r="AD993" i="3"/>
  <c r="AF994" i="3"/>
  <c r="AG994" i="3"/>
  <c r="AH994" i="3"/>
  <c r="AI994" i="3"/>
  <c r="AJ994" i="3"/>
  <c r="AD994" i="3"/>
  <c r="AF995" i="3"/>
  <c r="AG995" i="3"/>
  <c r="AH995" i="3"/>
  <c r="AI995" i="3"/>
  <c r="AJ995" i="3"/>
  <c r="AD995" i="3"/>
  <c r="AF996" i="3"/>
  <c r="AG996" i="3"/>
  <c r="AH996" i="3"/>
  <c r="AI996" i="3"/>
  <c r="AJ996" i="3"/>
  <c r="AD996" i="3"/>
  <c r="AF997" i="3"/>
  <c r="AG997" i="3"/>
  <c r="AH997" i="3"/>
  <c r="AI997" i="3"/>
  <c r="AJ997" i="3"/>
  <c r="AD997" i="3"/>
  <c r="AF998" i="3"/>
  <c r="AG998" i="3"/>
  <c r="AH998" i="3"/>
  <c r="AI998" i="3"/>
  <c r="AJ998" i="3"/>
  <c r="AD998" i="3"/>
  <c r="AF999" i="3"/>
  <c r="AG999" i="3"/>
  <c r="AH999" i="3"/>
  <c r="AI999" i="3"/>
  <c r="AJ999" i="3"/>
  <c r="AD999" i="3"/>
  <c r="AF1000" i="3"/>
  <c r="AG1000" i="3"/>
  <c r="AH1000" i="3"/>
  <c r="AI1000" i="3"/>
  <c r="AJ1000" i="3"/>
  <c r="AD1000" i="3"/>
  <c r="AF1001" i="3"/>
  <c r="AG1001" i="3"/>
  <c r="AH1001" i="3"/>
  <c r="AI1001" i="3"/>
  <c r="AJ1001" i="3"/>
  <c r="AD1001" i="3"/>
  <c r="AF1002" i="3"/>
  <c r="AG1002" i="3"/>
  <c r="AH1002" i="3"/>
  <c r="AI1002" i="3"/>
  <c r="AJ1002" i="3"/>
  <c r="AD1002" i="3"/>
  <c r="AF1003" i="3"/>
  <c r="AG1003" i="3"/>
  <c r="AH1003" i="3"/>
  <c r="AI1003" i="3"/>
  <c r="AJ1003" i="3"/>
  <c r="AD1003" i="3"/>
  <c r="AF1004" i="3"/>
  <c r="AG1004" i="3"/>
  <c r="AH1004" i="3"/>
  <c r="AI1004" i="3"/>
  <c r="AJ1004" i="3"/>
  <c r="AD1004" i="3"/>
  <c r="AF1005" i="3"/>
  <c r="AG1005" i="3"/>
  <c r="AH1005" i="3"/>
  <c r="AI1005" i="3"/>
  <c r="AJ1005" i="3"/>
  <c r="AD1005" i="3"/>
  <c r="AF1006" i="3"/>
  <c r="AG1006" i="3"/>
  <c r="AH1006" i="3"/>
  <c r="AI1006" i="3"/>
  <c r="AJ1006" i="3"/>
  <c r="AD1006" i="3"/>
  <c r="AF1007" i="3"/>
  <c r="AG1007" i="3"/>
  <c r="AH1007" i="3"/>
  <c r="AI1007" i="3"/>
  <c r="AJ1007" i="3"/>
  <c r="AD1007" i="3"/>
  <c r="AF1008" i="3"/>
  <c r="AG1008" i="3"/>
  <c r="AH1008" i="3"/>
  <c r="AI1008" i="3"/>
  <c r="AJ1008" i="3"/>
  <c r="AD1008" i="3"/>
  <c r="AF1009" i="3"/>
  <c r="AG1009" i="3"/>
  <c r="AH1009" i="3"/>
  <c r="AI1009" i="3"/>
  <c r="AJ1009" i="3"/>
  <c r="AD1009" i="3"/>
  <c r="AF1010" i="3"/>
  <c r="AG1010" i="3"/>
  <c r="AH1010" i="3"/>
  <c r="AI1010" i="3"/>
  <c r="AJ1010" i="3"/>
  <c r="AD1010" i="3"/>
  <c r="AG792" i="3"/>
  <c r="AD792" i="3"/>
  <c r="AF792" i="3"/>
  <c r="AH792" i="3"/>
  <c r="AI792" i="3"/>
  <c r="AJ792" i="3"/>
  <c r="AH793" i="3"/>
  <c r="AJ793" i="3"/>
  <c r="AG793" i="3"/>
  <c r="AD793" i="3"/>
  <c r="AF793" i="3"/>
  <c r="AI793" i="3"/>
  <c r="AD794" i="3"/>
  <c r="AH794" i="3"/>
  <c r="AI794" i="3"/>
  <c r="AG794" i="3"/>
  <c r="AJ794" i="3"/>
  <c r="AF794" i="3"/>
  <c r="AF805" i="3"/>
  <c r="AJ805" i="3"/>
  <c r="AI805" i="3"/>
  <c r="AD805" i="3"/>
  <c r="AH805" i="3"/>
  <c r="AG805" i="3"/>
  <c r="AH807" i="3"/>
  <c r="AD807" i="3"/>
  <c r="AG807" i="3"/>
  <c r="AF807" i="3"/>
  <c r="AI807" i="3"/>
  <c r="AJ807" i="3"/>
  <c r="AG815" i="3"/>
  <c r="AJ815" i="3"/>
  <c r="AF815" i="3"/>
  <c r="AH815" i="3"/>
  <c r="AD815" i="3"/>
  <c r="AI815" i="3"/>
  <c r="AH816" i="3"/>
  <c r="AD816" i="3"/>
  <c r="AJ816" i="3"/>
  <c r="AG816" i="3"/>
  <c r="AF816" i="3"/>
  <c r="AI816" i="3"/>
  <c r="AH820" i="3"/>
  <c r="AJ820" i="3"/>
  <c r="AF820" i="3"/>
  <c r="AI820" i="3"/>
  <c r="AD820" i="3"/>
  <c r="AG820" i="3"/>
  <c r="AH821" i="3"/>
  <c r="AJ821" i="3"/>
  <c r="AG821" i="3"/>
  <c r="AI821" i="3"/>
  <c r="AF821" i="3"/>
  <c r="AD821" i="3"/>
  <c r="AI843" i="3"/>
  <c r="AD843" i="3"/>
  <c r="AH843" i="3"/>
  <c r="AF843" i="3"/>
  <c r="AJ843" i="3"/>
  <c r="AG843" i="3"/>
  <c r="AG868" i="3"/>
  <c r="AI868" i="3"/>
  <c r="AD868" i="3"/>
  <c r="AF868" i="3"/>
  <c r="AH868" i="3"/>
  <c r="AJ868" i="3"/>
  <c r="AJ882" i="3"/>
  <c r="AD882" i="3"/>
  <c r="AG882" i="3"/>
  <c r="AI882" i="3"/>
  <c r="AF882" i="3"/>
  <c r="AH882" i="3"/>
  <c r="AH897" i="3"/>
  <c r="AG897" i="3"/>
  <c r="AJ897" i="3"/>
  <c r="AF897" i="3"/>
  <c r="AI897" i="3"/>
  <c r="AD897" i="3"/>
  <c r="AG898" i="3"/>
  <c r="AJ898" i="3"/>
  <c r="AD898" i="3"/>
  <c r="AH898" i="3"/>
  <c r="AF898" i="3"/>
  <c r="AI898" i="3"/>
  <c r="AD909" i="3"/>
  <c r="AG909" i="3"/>
  <c r="AJ909" i="3"/>
  <c r="AF909" i="3"/>
  <c r="AH909" i="3"/>
  <c r="AI909" i="3"/>
  <c r="AF920" i="3"/>
  <c r="AI920" i="3"/>
  <c r="AD920" i="3"/>
  <c r="AG920" i="3"/>
  <c r="AH920" i="3"/>
  <c r="AJ920" i="3"/>
  <c r="AD801" i="3"/>
  <c r="AF801" i="3"/>
  <c r="AG801" i="3"/>
  <c r="AH801" i="3"/>
  <c r="AJ801" i="3"/>
  <c r="AI801" i="3"/>
  <c r="AJ817" i="3"/>
  <c r="AH817" i="3"/>
  <c r="AD817" i="3"/>
  <c r="AF817" i="3"/>
  <c r="AI817" i="3"/>
  <c r="AG817" i="3"/>
  <c r="AI856" i="3"/>
  <c r="AG856" i="3"/>
  <c r="AH856" i="3"/>
  <c r="AF856" i="3"/>
  <c r="AJ856" i="3"/>
  <c r="AD856" i="3"/>
  <c r="AH914" i="3"/>
  <c r="AJ914" i="3"/>
  <c r="AF914" i="3"/>
  <c r="AI914" i="3"/>
  <c r="AD914" i="3"/>
  <c r="AG914" i="3"/>
  <c r="AF917" i="3"/>
  <c r="AJ917" i="3"/>
  <c r="AG917" i="3"/>
  <c r="AI917" i="3"/>
  <c r="AD917" i="3"/>
  <c r="AH917" i="3"/>
  <c r="AH934" i="3"/>
  <c r="AJ934" i="3"/>
  <c r="AF934" i="3"/>
  <c r="AD934" i="3"/>
  <c r="AG934" i="3"/>
  <c r="AI934" i="3"/>
  <c r="AH806" i="3"/>
  <c r="AF806" i="3"/>
  <c r="AI806" i="3"/>
  <c r="AD806" i="3"/>
  <c r="AG806" i="3"/>
  <c r="AJ806" i="3"/>
  <c r="AH874" i="3"/>
  <c r="AF874" i="3"/>
  <c r="AJ874" i="3"/>
  <c r="AD874" i="3"/>
  <c r="AG874" i="3"/>
  <c r="AI874" i="3"/>
  <c r="AH875" i="3"/>
  <c r="AD875" i="3"/>
  <c r="AG875" i="3"/>
  <c r="AJ875" i="3"/>
  <c r="AF875" i="3"/>
  <c r="AI875" i="3"/>
  <c r="AD876" i="3"/>
  <c r="AG876" i="3"/>
  <c r="AI876" i="3"/>
  <c r="AH876" i="3"/>
  <c r="AF876" i="3"/>
  <c r="AJ876" i="3"/>
  <c r="AH877" i="3"/>
  <c r="AJ877" i="3"/>
  <c r="AG877" i="3"/>
  <c r="AD877" i="3"/>
  <c r="AF877" i="3"/>
  <c r="AI877" i="3"/>
  <c r="AH879" i="3"/>
  <c r="AD879" i="3"/>
  <c r="AI879" i="3"/>
  <c r="AG879" i="3"/>
  <c r="AF879" i="3"/>
  <c r="AJ879" i="3"/>
  <c r="AH901" i="3"/>
  <c r="AD901" i="3"/>
  <c r="AG901" i="3"/>
  <c r="AJ901" i="3"/>
  <c r="AF901" i="3"/>
  <c r="AI901" i="3"/>
  <c r="AI902" i="3"/>
  <c r="AD902" i="3"/>
  <c r="AH902" i="3"/>
  <c r="AG902" i="3"/>
  <c r="AF902" i="3"/>
  <c r="AJ902" i="3"/>
  <c r="AH912" i="3"/>
  <c r="AD912" i="3"/>
  <c r="AG912" i="3"/>
  <c r="AI912" i="3"/>
  <c r="AF912" i="3"/>
  <c r="AJ912" i="3"/>
  <c r="AH913" i="3"/>
  <c r="AF913" i="3"/>
  <c r="AJ913" i="3"/>
  <c r="AD913" i="3"/>
  <c r="AG913" i="3"/>
  <c r="AI913" i="3"/>
  <c r="AH916" i="3"/>
  <c r="AD916" i="3"/>
  <c r="AG916" i="3"/>
  <c r="AI916" i="3"/>
  <c r="AF916" i="3"/>
  <c r="AJ916" i="3"/>
  <c r="AI918" i="3"/>
  <c r="AF918" i="3"/>
  <c r="AH918" i="3"/>
  <c r="AJ918" i="3"/>
  <c r="AD918" i="3"/>
  <c r="AG918" i="3"/>
  <c r="AG922" i="3"/>
  <c r="AH922" i="3"/>
  <c r="AJ922" i="3"/>
  <c r="AD922" i="3"/>
  <c r="AF922" i="3"/>
  <c r="AI922" i="3"/>
  <c r="AF923" i="3"/>
  <c r="AI923" i="3"/>
  <c r="AJ923" i="3"/>
  <c r="AH923" i="3"/>
  <c r="AD923" i="3"/>
  <c r="AG923" i="3"/>
  <c r="AG924" i="3"/>
  <c r="AI924" i="3"/>
  <c r="AD924" i="3"/>
  <c r="AF924" i="3"/>
  <c r="AH924" i="3"/>
  <c r="AJ924" i="3"/>
  <c r="AH925" i="3"/>
  <c r="AF925" i="3"/>
  <c r="AJ925" i="3"/>
  <c r="AD925" i="3"/>
  <c r="AG925" i="3"/>
  <c r="AI925" i="3"/>
  <c r="AF935" i="3"/>
  <c r="AG935" i="3"/>
  <c r="AH935" i="3"/>
  <c r="AI935" i="3"/>
  <c r="AJ935" i="3"/>
  <c r="AD935" i="3"/>
  <c r="AH825" i="3"/>
  <c r="AJ825" i="3"/>
  <c r="AF825" i="3"/>
  <c r="AD825" i="3"/>
  <c r="AG825" i="3"/>
  <c r="AI825" i="3"/>
  <c r="AD827" i="3"/>
  <c r="AF827" i="3"/>
  <c r="AI827" i="3"/>
  <c r="AG827" i="3"/>
  <c r="AH827" i="3"/>
  <c r="AJ827" i="3"/>
  <c r="AH845" i="3"/>
  <c r="AD845" i="3"/>
  <c r="AG845" i="3"/>
  <c r="AJ845" i="3"/>
  <c r="AF845" i="3"/>
  <c r="AI845" i="3"/>
  <c r="AG846" i="3"/>
  <c r="AF846" i="3"/>
  <c r="AI846" i="3"/>
  <c r="AD846" i="3"/>
  <c r="AH846" i="3"/>
  <c r="AJ846" i="3"/>
  <c r="AI859" i="3"/>
  <c r="AG859" i="3"/>
  <c r="AD859" i="3"/>
  <c r="AJ859" i="3"/>
  <c r="AF859" i="3"/>
  <c r="AH859" i="3"/>
  <c r="AG861" i="3"/>
  <c r="AI861" i="3"/>
  <c r="AD861" i="3"/>
  <c r="AF861" i="3"/>
  <c r="AH861" i="3"/>
  <c r="AJ861" i="3"/>
  <c r="AH862" i="3"/>
  <c r="AD862" i="3"/>
  <c r="AG862" i="3"/>
  <c r="AJ862" i="3"/>
  <c r="AF862" i="3"/>
  <c r="AI862" i="3"/>
  <c r="AG883" i="3"/>
  <c r="AD883" i="3"/>
  <c r="AF883" i="3"/>
  <c r="AH883" i="3"/>
  <c r="AI883" i="3"/>
  <c r="AJ883" i="3"/>
  <c r="AF888" i="3"/>
  <c r="AG888" i="3"/>
  <c r="AI888" i="3"/>
  <c r="AD888" i="3"/>
  <c r="AH888" i="3"/>
  <c r="AJ888" i="3"/>
  <c r="AG890" i="3"/>
  <c r="AI890" i="3"/>
  <c r="AD890" i="3"/>
  <c r="AH890" i="3"/>
  <c r="AJ890" i="3"/>
  <c r="AF890" i="3"/>
  <c r="AH835" i="3"/>
  <c r="AF835" i="3"/>
  <c r="AI835" i="3"/>
  <c r="AD835" i="3"/>
  <c r="AG835" i="3"/>
  <c r="AJ835" i="3"/>
  <c r="AD858" i="3"/>
  <c r="AH858" i="3"/>
  <c r="AJ858" i="3"/>
  <c r="AF858" i="3"/>
  <c r="AI858" i="3"/>
  <c r="AG858" i="3"/>
  <c r="AI891" i="3"/>
  <c r="AD891" i="3"/>
  <c r="AG891" i="3"/>
  <c r="AH891" i="3"/>
  <c r="AF891" i="3"/>
  <c r="AJ891" i="3"/>
  <c r="AH903" i="3"/>
  <c r="AD903" i="3"/>
  <c r="AG903" i="3"/>
  <c r="AJ903" i="3"/>
  <c r="AF903" i="3"/>
  <c r="AI903" i="3"/>
  <c r="AG932" i="3"/>
  <c r="AD932" i="3"/>
  <c r="AH932" i="3"/>
  <c r="AJ932" i="3"/>
  <c r="AF932" i="3"/>
  <c r="AI932" i="3"/>
  <c r="AI795" i="3"/>
  <c r="AG795" i="3"/>
  <c r="AF795" i="3"/>
  <c r="AJ795" i="3"/>
  <c r="AD795" i="3"/>
  <c r="AH795" i="3"/>
  <c r="AG803" i="3"/>
  <c r="AH803" i="3"/>
  <c r="AD803" i="3"/>
  <c r="AF803" i="3"/>
  <c r="AI803" i="3"/>
  <c r="AJ803" i="3"/>
  <c r="AH811" i="3"/>
  <c r="AF811" i="3"/>
  <c r="AD811" i="3"/>
  <c r="AG811" i="3"/>
  <c r="AI811" i="3"/>
  <c r="AJ811" i="3"/>
  <c r="AH812" i="3"/>
  <c r="AJ812" i="3"/>
  <c r="AD812" i="3"/>
  <c r="AI812" i="3"/>
  <c r="AF812" i="3"/>
  <c r="AG812" i="3"/>
  <c r="AH813" i="3"/>
  <c r="AJ813" i="3"/>
  <c r="AF813" i="3"/>
  <c r="AI813" i="3"/>
  <c r="AD813" i="3"/>
  <c r="AG813" i="3"/>
  <c r="AI818" i="3"/>
  <c r="AD818" i="3"/>
  <c r="AF818" i="3"/>
  <c r="AH818" i="3"/>
  <c r="AG818" i="3"/>
  <c r="AJ818" i="3"/>
  <c r="AH831" i="3"/>
  <c r="AJ831" i="3"/>
  <c r="AD831" i="3"/>
  <c r="AG831" i="3"/>
  <c r="AI831" i="3"/>
  <c r="AF831" i="3"/>
  <c r="AI832" i="3"/>
  <c r="AD832" i="3"/>
  <c r="AG832" i="3"/>
  <c r="AH832" i="3"/>
  <c r="AJ832" i="3"/>
  <c r="AF832" i="3"/>
  <c r="AF833" i="3"/>
  <c r="AI833" i="3"/>
  <c r="AJ833" i="3"/>
  <c r="AD833" i="3"/>
  <c r="AG833" i="3"/>
  <c r="AH833" i="3"/>
  <c r="AD834" i="3"/>
  <c r="AF834" i="3"/>
  <c r="AH834" i="3"/>
  <c r="AI834" i="3"/>
  <c r="AG834" i="3"/>
  <c r="AJ834" i="3"/>
  <c r="AF884" i="3"/>
  <c r="AI884" i="3"/>
  <c r="AG884" i="3"/>
  <c r="AD884" i="3"/>
  <c r="AH884" i="3"/>
  <c r="AJ884" i="3"/>
  <c r="AH885" i="3"/>
  <c r="AJ885" i="3"/>
  <c r="AD885" i="3"/>
  <c r="AG885" i="3"/>
  <c r="AI885" i="3"/>
  <c r="AF885" i="3"/>
  <c r="AD899" i="3"/>
  <c r="AH899" i="3"/>
  <c r="AJ899" i="3"/>
  <c r="AF899" i="3"/>
  <c r="AI899" i="3"/>
  <c r="AG899" i="3"/>
  <c r="AI900" i="3"/>
  <c r="AH900" i="3"/>
  <c r="AF900" i="3"/>
  <c r="AD900" i="3"/>
  <c r="AG900" i="3"/>
  <c r="AJ900" i="3"/>
  <c r="AH919" i="3"/>
  <c r="AJ919" i="3"/>
  <c r="AD919" i="3"/>
  <c r="AF919" i="3"/>
  <c r="AG919" i="3"/>
  <c r="AI919" i="3"/>
  <c r="AF936" i="3"/>
  <c r="AG936" i="3"/>
  <c r="AH936" i="3"/>
  <c r="AI936" i="3"/>
  <c r="AJ936" i="3"/>
  <c r="AD936" i="3"/>
  <c r="AF937" i="3"/>
  <c r="AG937" i="3"/>
  <c r="AH937" i="3"/>
  <c r="AI937" i="3"/>
  <c r="AJ937" i="3"/>
  <c r="AD937" i="3"/>
  <c r="AG940" i="3"/>
  <c r="AI940" i="3"/>
  <c r="AD940" i="3"/>
  <c r="AF940" i="3"/>
  <c r="AH940" i="3"/>
  <c r="AJ940" i="3"/>
  <c r="AG796" i="3"/>
  <c r="AI796" i="3"/>
  <c r="AF796" i="3"/>
  <c r="AD796" i="3"/>
  <c r="AH796" i="3"/>
  <c r="AJ796" i="3"/>
  <c r="AG798" i="3"/>
  <c r="AI798" i="3"/>
  <c r="AF798" i="3"/>
  <c r="AJ798" i="3"/>
  <c r="AD798" i="3"/>
  <c r="AH798" i="3"/>
  <c r="AI842" i="3"/>
  <c r="AG842" i="3"/>
  <c r="AJ842" i="3"/>
  <c r="AD842" i="3"/>
  <c r="AH842" i="3"/>
  <c r="AF842" i="3"/>
  <c r="AH844" i="3"/>
  <c r="AJ844" i="3"/>
  <c r="AF844" i="3"/>
  <c r="AD844" i="3"/>
  <c r="AG844" i="3"/>
  <c r="AI844" i="3"/>
  <c r="AF850" i="3"/>
  <c r="AI850" i="3"/>
  <c r="AD850" i="3"/>
  <c r="AH850" i="3"/>
  <c r="AG850" i="3"/>
  <c r="AJ850" i="3"/>
  <c r="AI860" i="3"/>
  <c r="AG860" i="3"/>
  <c r="AD860" i="3"/>
  <c r="AF860" i="3"/>
  <c r="AJ860" i="3"/>
  <c r="AH860" i="3"/>
  <c r="AG871" i="3"/>
  <c r="AI871" i="3"/>
  <c r="AD871" i="3"/>
  <c r="AF871" i="3"/>
  <c r="AH871" i="3"/>
  <c r="AJ871" i="3"/>
  <c r="AH872" i="3"/>
  <c r="AJ872" i="3"/>
  <c r="AG872" i="3"/>
  <c r="AD872" i="3"/>
  <c r="AF872" i="3"/>
  <c r="AI872" i="3"/>
  <c r="AG873" i="3"/>
  <c r="AH873" i="3"/>
  <c r="AJ873" i="3"/>
  <c r="AD873" i="3"/>
  <c r="AF873" i="3"/>
  <c r="AI873" i="3"/>
  <c r="AG886" i="3"/>
  <c r="AJ886" i="3"/>
  <c r="AF886" i="3"/>
  <c r="AD886" i="3"/>
  <c r="AH886" i="3"/>
  <c r="AI886" i="3"/>
  <c r="AI933" i="3"/>
  <c r="AD933" i="3"/>
  <c r="AH933" i="3"/>
  <c r="AG933" i="3"/>
  <c r="AF933" i="3"/>
  <c r="AJ933" i="3"/>
  <c r="AF941" i="3"/>
  <c r="AG941" i="3"/>
  <c r="AH941" i="3"/>
  <c r="AI941" i="3"/>
  <c r="AJ941" i="3"/>
  <c r="AD941" i="3"/>
  <c r="AI797" i="3"/>
  <c r="AH797" i="3"/>
  <c r="AF797" i="3"/>
  <c r="AD797" i="3"/>
  <c r="AG797" i="3"/>
  <c r="AJ797" i="3"/>
  <c r="AH804" i="3"/>
  <c r="AF804" i="3"/>
  <c r="AI804" i="3"/>
  <c r="AD804" i="3"/>
  <c r="AG804" i="3"/>
  <c r="AJ804" i="3"/>
  <c r="AH808" i="3"/>
  <c r="AF808" i="3"/>
  <c r="AI808" i="3"/>
  <c r="AD808" i="3"/>
  <c r="AG808" i="3"/>
  <c r="AJ808" i="3"/>
  <c r="AH809" i="3"/>
  <c r="AJ809" i="3"/>
  <c r="AG809" i="3"/>
  <c r="AD809" i="3"/>
  <c r="AI809" i="3"/>
  <c r="AF809" i="3"/>
  <c r="AD814" i="3"/>
  <c r="AG814" i="3"/>
  <c r="AI814" i="3"/>
  <c r="AH814" i="3"/>
  <c r="AJ814" i="3"/>
  <c r="AF814" i="3"/>
  <c r="AG823" i="3"/>
  <c r="AJ823" i="3"/>
  <c r="AD823" i="3"/>
  <c r="AH823" i="3"/>
  <c r="AF823" i="3"/>
  <c r="AI823" i="3"/>
  <c r="AI864" i="3"/>
  <c r="AD864" i="3"/>
  <c r="AG864" i="3"/>
  <c r="AH864" i="3"/>
  <c r="AJ864" i="3"/>
  <c r="AF864" i="3"/>
  <c r="AH865" i="3"/>
  <c r="AD865" i="3"/>
  <c r="AF865" i="3"/>
  <c r="AI865" i="3"/>
  <c r="AG865" i="3"/>
  <c r="AJ865" i="3"/>
  <c r="AG869" i="3"/>
  <c r="AJ869" i="3"/>
  <c r="AD869" i="3"/>
  <c r="AH869" i="3"/>
  <c r="AI869" i="3"/>
  <c r="AF869" i="3"/>
  <c r="AD870" i="3"/>
  <c r="AH870" i="3"/>
  <c r="AJ870" i="3"/>
  <c r="AG870" i="3"/>
  <c r="AI870" i="3"/>
  <c r="AF870" i="3"/>
  <c r="AI880" i="3"/>
  <c r="AF880" i="3"/>
  <c r="AH880" i="3"/>
  <c r="AD880" i="3"/>
  <c r="AG880" i="3"/>
  <c r="AJ880" i="3"/>
  <c r="AH881" i="3"/>
  <c r="AJ881" i="3"/>
  <c r="AG881" i="3"/>
  <c r="AD881" i="3"/>
  <c r="AF881" i="3"/>
  <c r="AI881" i="3"/>
  <c r="AH892" i="3"/>
  <c r="AF892" i="3"/>
  <c r="AI892" i="3"/>
  <c r="AD892" i="3"/>
  <c r="AG892" i="3"/>
  <c r="AJ892" i="3"/>
  <c r="AG893" i="3"/>
  <c r="AD893" i="3"/>
  <c r="AF893" i="3"/>
  <c r="AH893" i="3"/>
  <c r="AI893" i="3"/>
  <c r="AJ893" i="3"/>
  <c r="AG895" i="3"/>
  <c r="AJ895" i="3"/>
  <c r="AD895" i="3"/>
  <c r="AF895" i="3"/>
  <c r="AH895" i="3"/>
  <c r="AI895" i="3"/>
  <c r="AG908" i="3"/>
  <c r="AI908" i="3"/>
  <c r="AJ908" i="3"/>
  <c r="AD908" i="3"/>
  <c r="AH908" i="3"/>
  <c r="AF908" i="3"/>
  <c r="AI921" i="3"/>
  <c r="AD921" i="3"/>
  <c r="AF921" i="3"/>
  <c r="AH921" i="3"/>
  <c r="AG921" i="3"/>
  <c r="AJ921" i="3"/>
  <c r="AI799" i="3"/>
  <c r="AD799" i="3"/>
  <c r="AF799" i="3"/>
  <c r="AG799" i="3"/>
  <c r="AJ799" i="3"/>
  <c r="AH799" i="3"/>
  <c r="AG800" i="3"/>
  <c r="AI800" i="3"/>
  <c r="AF800" i="3"/>
  <c r="AH800" i="3"/>
  <c r="AJ800" i="3"/>
  <c r="AD800" i="3"/>
  <c r="AI822" i="3"/>
  <c r="AD822" i="3"/>
  <c r="AF822" i="3"/>
  <c r="AG822" i="3"/>
  <c r="AH822" i="3"/>
  <c r="AJ822" i="3"/>
  <c r="AI824" i="3"/>
  <c r="AD824" i="3"/>
  <c r="AH824" i="3"/>
  <c r="AF824" i="3"/>
  <c r="AG824" i="3"/>
  <c r="AJ824" i="3"/>
  <c r="AH847" i="3"/>
  <c r="AD847" i="3"/>
  <c r="AJ847" i="3"/>
  <c r="AG847" i="3"/>
  <c r="AI847" i="3"/>
  <c r="AF847" i="3"/>
  <c r="AF848" i="3"/>
  <c r="AH848" i="3"/>
  <c r="AJ848" i="3"/>
  <c r="AG848" i="3"/>
  <c r="AI848" i="3"/>
  <c r="AD848" i="3"/>
  <c r="AH849" i="3"/>
  <c r="AJ849" i="3"/>
  <c r="AF849" i="3"/>
  <c r="AI849" i="3"/>
  <c r="AD849" i="3"/>
  <c r="AG849" i="3"/>
  <c r="AJ852" i="3"/>
  <c r="AG852" i="3"/>
  <c r="AH852" i="3"/>
  <c r="AF852" i="3"/>
  <c r="AI852" i="3"/>
  <c r="AD852" i="3"/>
  <c r="AD863" i="3"/>
  <c r="AF863" i="3"/>
  <c r="AH863" i="3"/>
  <c r="AJ863" i="3"/>
  <c r="AG863" i="3"/>
  <c r="AI863" i="3"/>
  <c r="AG866" i="3"/>
  <c r="AD866" i="3"/>
  <c r="AH866" i="3"/>
  <c r="AF866" i="3"/>
  <c r="AI866" i="3"/>
  <c r="AJ866" i="3"/>
  <c r="AH878" i="3"/>
  <c r="AI878" i="3"/>
  <c r="AF878" i="3"/>
  <c r="AD878" i="3"/>
  <c r="AG878" i="3"/>
  <c r="AJ878" i="3"/>
  <c r="AI889" i="3"/>
  <c r="AF889" i="3"/>
  <c r="AG889" i="3"/>
  <c r="AJ889" i="3"/>
  <c r="AD889" i="3"/>
  <c r="AH889" i="3"/>
  <c r="AG904" i="3"/>
  <c r="AJ904" i="3"/>
  <c r="AD904" i="3"/>
  <c r="AF904" i="3"/>
  <c r="AH904" i="3"/>
  <c r="AI904" i="3"/>
  <c r="AH915" i="3"/>
  <c r="AF915" i="3"/>
  <c r="AI915" i="3"/>
  <c r="AD915" i="3"/>
  <c r="AG915" i="3"/>
  <c r="AJ915" i="3"/>
  <c r="AI928" i="3"/>
  <c r="AD928" i="3"/>
  <c r="AH928" i="3"/>
  <c r="AF928" i="3"/>
  <c r="AG928" i="3"/>
  <c r="AJ928" i="3"/>
  <c r="AI810" i="3"/>
  <c r="AF810" i="3"/>
  <c r="AD810" i="3"/>
  <c r="AH810" i="3"/>
  <c r="AG810" i="3"/>
  <c r="AJ810" i="3"/>
  <c r="AH819" i="3"/>
  <c r="AJ819" i="3"/>
  <c r="AF819" i="3"/>
  <c r="AI819" i="3"/>
  <c r="AG819" i="3"/>
  <c r="AD819" i="3"/>
  <c r="AH840" i="3"/>
  <c r="AF840" i="3"/>
  <c r="AI840" i="3"/>
  <c r="AD840" i="3"/>
  <c r="AG840" i="3"/>
  <c r="AJ840" i="3"/>
  <c r="AD896" i="3"/>
  <c r="AH896" i="3"/>
  <c r="AJ896" i="3"/>
  <c r="AG896" i="3"/>
  <c r="AF896" i="3"/>
  <c r="AI896" i="3"/>
  <c r="AJ926" i="3"/>
  <c r="AF926" i="3"/>
  <c r="AH926" i="3"/>
  <c r="AD926" i="3"/>
  <c r="AG926" i="3"/>
  <c r="AI926" i="3"/>
  <c r="AG929" i="3"/>
  <c r="AJ929" i="3"/>
  <c r="AI929" i="3"/>
  <c r="AD929" i="3"/>
  <c r="AH929" i="3"/>
  <c r="AF929" i="3"/>
  <c r="AD930" i="3"/>
  <c r="AH930" i="3"/>
  <c r="AJ930" i="3"/>
  <c r="AF930" i="3"/>
  <c r="AG930" i="3"/>
  <c r="AI930" i="3"/>
  <c r="AG938" i="3"/>
  <c r="AI938" i="3"/>
  <c r="AJ938" i="3"/>
  <c r="AD938" i="3"/>
  <c r="AF938" i="3"/>
  <c r="AH938" i="3"/>
  <c r="AF802" i="3"/>
  <c r="AJ802" i="3"/>
  <c r="AH802" i="3"/>
  <c r="AI802" i="3"/>
  <c r="AD802" i="3"/>
  <c r="AG802" i="3"/>
  <c r="AH828" i="3"/>
  <c r="AD828" i="3"/>
  <c r="AG828" i="3"/>
  <c r="AJ828" i="3"/>
  <c r="AF828" i="3"/>
  <c r="AI828" i="3"/>
  <c r="AD829" i="3"/>
  <c r="AG829" i="3"/>
  <c r="AF829" i="3"/>
  <c r="AI829" i="3"/>
  <c r="AH829" i="3"/>
  <c r="AJ829" i="3"/>
  <c r="AG830" i="3"/>
  <c r="AI830" i="3"/>
  <c r="AD830" i="3"/>
  <c r="AH830" i="3"/>
  <c r="AJ830" i="3"/>
  <c r="AF830" i="3"/>
  <c r="AG851" i="3"/>
  <c r="AI851" i="3"/>
  <c r="AF851" i="3"/>
  <c r="AH851" i="3"/>
  <c r="AJ851" i="3"/>
  <c r="AD851" i="3"/>
  <c r="AF854" i="3"/>
  <c r="AH854" i="3"/>
  <c r="AJ854" i="3"/>
  <c r="AD854" i="3"/>
  <c r="AG854" i="3"/>
  <c r="AI854" i="3"/>
  <c r="AD855" i="3"/>
  <c r="AG855" i="3"/>
  <c r="AI855" i="3"/>
  <c r="AF855" i="3"/>
  <c r="AH855" i="3"/>
  <c r="AJ855" i="3"/>
  <c r="AH894" i="3"/>
  <c r="AD894" i="3"/>
  <c r="AG894" i="3"/>
  <c r="AJ894" i="3"/>
  <c r="AF894" i="3"/>
  <c r="AI894" i="3"/>
  <c r="AG905" i="3"/>
  <c r="AI905" i="3"/>
  <c r="AD905" i="3"/>
  <c r="AF905" i="3"/>
  <c r="AH905" i="3"/>
  <c r="AJ905" i="3"/>
  <c r="AH906" i="3"/>
  <c r="AJ906" i="3"/>
  <c r="AD906" i="3"/>
  <c r="AG906" i="3"/>
  <c r="AI906" i="3"/>
  <c r="AF906" i="3"/>
  <c r="AG907" i="3"/>
  <c r="AI907" i="3"/>
  <c r="AD907" i="3"/>
  <c r="AF907" i="3"/>
  <c r="AH907" i="3"/>
  <c r="AJ907" i="3"/>
  <c r="AH910" i="3"/>
  <c r="AD910" i="3"/>
  <c r="AJ910" i="3"/>
  <c r="AG910" i="3"/>
  <c r="AF910" i="3"/>
  <c r="AI910" i="3"/>
  <c r="AF911" i="3"/>
  <c r="AI911" i="3"/>
  <c r="AG911" i="3"/>
  <c r="AJ911" i="3"/>
  <c r="AD911" i="3"/>
  <c r="AH911" i="3"/>
  <c r="AG11" i="3"/>
  <c r="AI11" i="3"/>
  <c r="AD11" i="3"/>
  <c r="AF11" i="3"/>
  <c r="AH11" i="3"/>
  <c r="AJ11" i="3"/>
  <c r="AH12" i="3"/>
  <c r="AD12" i="3"/>
  <c r="AF12" i="3"/>
  <c r="AG12" i="3"/>
  <c r="AI12" i="3"/>
  <c r="AJ12" i="3"/>
  <c r="AG13" i="3"/>
  <c r="AI13" i="3"/>
  <c r="AJ13" i="3"/>
  <c r="AD13" i="3"/>
  <c r="AF13" i="3"/>
  <c r="AH13" i="3"/>
  <c r="AG16" i="3"/>
  <c r="AH16" i="3"/>
  <c r="AJ16" i="3"/>
  <c r="AD16" i="3"/>
  <c r="AF16" i="3"/>
  <c r="AI16" i="3"/>
  <c r="AG17" i="3"/>
  <c r="AI17" i="3"/>
  <c r="AD17" i="3"/>
  <c r="AF17" i="3"/>
  <c r="AH17" i="3"/>
  <c r="AJ17" i="3"/>
  <c r="AG25" i="3"/>
  <c r="AI25" i="3"/>
  <c r="AJ25" i="3"/>
  <c r="AD25" i="3"/>
  <c r="AF25" i="3"/>
  <c r="AH25" i="3"/>
  <c r="AI27" i="3"/>
  <c r="AD27" i="3"/>
  <c r="AF27" i="3"/>
  <c r="AG27" i="3"/>
  <c r="AH27" i="3"/>
  <c r="AJ27" i="3"/>
  <c r="AH44" i="3"/>
  <c r="AJ44" i="3"/>
  <c r="AD44" i="3"/>
  <c r="AF44" i="3"/>
  <c r="AG44" i="3"/>
  <c r="AI44" i="3"/>
  <c r="AG45" i="3"/>
  <c r="AI45" i="3"/>
  <c r="AJ45" i="3"/>
  <c r="AD45" i="3"/>
  <c r="AF45" i="3"/>
  <c r="AH45" i="3"/>
  <c r="AF46" i="3"/>
  <c r="AH46" i="3"/>
  <c r="AD46" i="3"/>
  <c r="AG46" i="3"/>
  <c r="AI46" i="3"/>
  <c r="AJ46" i="3"/>
  <c r="AG52" i="3"/>
  <c r="AI52" i="3"/>
  <c r="AD52" i="3"/>
  <c r="AF52" i="3"/>
  <c r="AH52" i="3"/>
  <c r="AJ52" i="3"/>
  <c r="AG55" i="3"/>
  <c r="AI55" i="3"/>
  <c r="AD55" i="3"/>
  <c r="AF55" i="3"/>
  <c r="AH55" i="3"/>
  <c r="AJ55" i="3"/>
  <c r="AG56" i="3"/>
  <c r="AH56" i="3"/>
  <c r="AI56" i="3"/>
  <c r="AJ56" i="3"/>
  <c r="AD56" i="3"/>
  <c r="AF56" i="3"/>
  <c r="AF58" i="3"/>
  <c r="AI58" i="3"/>
  <c r="AG58" i="3"/>
  <c r="AH58" i="3"/>
  <c r="AJ58" i="3"/>
  <c r="AD58" i="3"/>
  <c r="AG63" i="3"/>
  <c r="AI63" i="3"/>
  <c r="AD63" i="3"/>
  <c r="AF63" i="3"/>
  <c r="AH63" i="3"/>
  <c r="AJ63" i="3"/>
  <c r="AF65" i="3"/>
  <c r="AG65" i="3"/>
  <c r="AI65" i="3"/>
  <c r="AJ65" i="3"/>
  <c r="AH65" i="3"/>
  <c r="AD65" i="3"/>
  <c r="AH67" i="3"/>
  <c r="AD67" i="3"/>
  <c r="AF67" i="3"/>
  <c r="AG67" i="3"/>
  <c r="AI67" i="3"/>
  <c r="AJ67" i="3"/>
  <c r="AG68" i="3"/>
  <c r="AH68" i="3"/>
  <c r="AJ68" i="3"/>
  <c r="AD68" i="3"/>
  <c r="AF68" i="3"/>
  <c r="AI68" i="3"/>
  <c r="AG71" i="3"/>
  <c r="AI71" i="3"/>
  <c r="AJ71" i="3"/>
  <c r="AD71" i="3"/>
  <c r="AF71" i="3"/>
  <c r="AH71" i="3"/>
  <c r="AF75" i="3"/>
  <c r="AH75" i="3"/>
  <c r="AI75" i="3"/>
  <c r="AJ75" i="3"/>
  <c r="AD75" i="3"/>
  <c r="AG75" i="3"/>
  <c r="AF76" i="3"/>
  <c r="AG76" i="3"/>
  <c r="AH76" i="3"/>
  <c r="AI76" i="3"/>
  <c r="AJ76" i="3"/>
  <c r="AD76" i="3"/>
  <c r="AG77" i="3"/>
  <c r="AD77" i="3"/>
  <c r="AF77" i="3"/>
  <c r="AH77" i="3"/>
  <c r="AI77" i="3"/>
  <c r="AJ77" i="3"/>
  <c r="AH79" i="3"/>
  <c r="AD79" i="3"/>
  <c r="AF79" i="3"/>
  <c r="AG79" i="3"/>
  <c r="AI79" i="3"/>
  <c r="AJ79" i="3"/>
  <c r="AG80" i="3"/>
  <c r="AI80" i="3"/>
  <c r="AJ80" i="3"/>
  <c r="AD80" i="3"/>
  <c r="AF80" i="3"/>
  <c r="AH80" i="3"/>
  <c r="AG84" i="3"/>
  <c r="AH84" i="3"/>
  <c r="AJ84" i="3"/>
  <c r="AD84" i="3"/>
  <c r="AF84" i="3"/>
  <c r="AI84" i="3"/>
  <c r="AG85" i="3"/>
  <c r="AI85" i="3"/>
  <c r="AJ85" i="3"/>
  <c r="AD85" i="3"/>
  <c r="AF85" i="3"/>
  <c r="AH85" i="3"/>
  <c r="AG88" i="3"/>
  <c r="AI88" i="3"/>
  <c r="AJ88" i="3"/>
  <c r="AD88" i="3"/>
  <c r="AF88" i="3"/>
  <c r="AH88" i="3"/>
  <c r="AG89" i="3"/>
  <c r="AI89" i="3"/>
  <c r="AJ89" i="3"/>
  <c r="AD89" i="3"/>
  <c r="AF89" i="3"/>
  <c r="AH89" i="3"/>
  <c r="AG94" i="3"/>
  <c r="AI94" i="3"/>
  <c r="AJ94" i="3"/>
  <c r="AD94" i="3"/>
  <c r="AF94" i="3"/>
  <c r="AH94" i="3"/>
  <c r="AG95" i="3"/>
  <c r="AI95" i="3"/>
  <c r="AJ95" i="3"/>
  <c r="AD95" i="3"/>
  <c r="AF95" i="3"/>
  <c r="AH95" i="3"/>
  <c r="AG97" i="3"/>
  <c r="AD97" i="3"/>
  <c r="AF97" i="3"/>
  <c r="AH97" i="3"/>
  <c r="AI97" i="3"/>
  <c r="AJ97" i="3"/>
  <c r="AG98" i="3"/>
  <c r="AI98" i="3"/>
  <c r="AD98" i="3"/>
  <c r="AF98" i="3"/>
  <c r="AH98" i="3"/>
  <c r="AJ98" i="3"/>
  <c r="AF100" i="3"/>
  <c r="AH100" i="3"/>
  <c r="AJ100" i="3"/>
  <c r="AG100" i="3"/>
  <c r="AI100" i="3"/>
  <c r="AD100" i="3"/>
  <c r="AG104" i="3"/>
  <c r="AH104" i="3"/>
  <c r="AJ104" i="3"/>
  <c r="AD104" i="3"/>
  <c r="AF104" i="3"/>
  <c r="AI104" i="3"/>
  <c r="AG106" i="3"/>
  <c r="AI106" i="3"/>
  <c r="AJ106" i="3"/>
  <c r="AD106" i="3"/>
  <c r="AF106" i="3"/>
  <c r="AH106" i="3"/>
  <c r="AF109" i="3"/>
  <c r="AH109" i="3"/>
  <c r="AI109" i="3"/>
  <c r="AJ109" i="3"/>
  <c r="AD109" i="3"/>
  <c r="AG109" i="3"/>
  <c r="AH110" i="3"/>
  <c r="AD110" i="3"/>
  <c r="AF110" i="3"/>
  <c r="AG110" i="3"/>
  <c r="AI110" i="3"/>
  <c r="AJ110" i="3"/>
  <c r="AF111" i="3"/>
  <c r="AG111" i="3"/>
  <c r="AI111" i="3"/>
  <c r="AJ111" i="3"/>
  <c r="AD111" i="3"/>
  <c r="AH111" i="3"/>
  <c r="AG113" i="3"/>
  <c r="AI113" i="3"/>
  <c r="AD113" i="3"/>
  <c r="AF113" i="3"/>
  <c r="AH113" i="3"/>
  <c r="AJ113" i="3"/>
  <c r="AG114" i="3"/>
  <c r="AI114" i="3"/>
  <c r="AJ114" i="3"/>
  <c r="AD114" i="3"/>
  <c r="AF114" i="3"/>
  <c r="AH114" i="3"/>
  <c r="AG119" i="3"/>
  <c r="AI119" i="3"/>
  <c r="AJ119" i="3"/>
  <c r="AD119" i="3"/>
  <c r="AF119" i="3"/>
  <c r="AH119" i="3"/>
  <c r="AF123" i="3"/>
  <c r="AH123" i="3"/>
  <c r="AD123" i="3"/>
  <c r="AG123" i="3"/>
  <c r="AI123" i="3"/>
  <c r="AJ123" i="3"/>
  <c r="AH124" i="3"/>
  <c r="AD124" i="3"/>
  <c r="AF124" i="3"/>
  <c r="AG124" i="3"/>
  <c r="AI124" i="3"/>
  <c r="AJ124" i="3"/>
  <c r="AF125" i="3"/>
  <c r="AG125" i="3"/>
  <c r="AH125" i="3"/>
  <c r="AI125" i="3"/>
  <c r="AJ125" i="3"/>
  <c r="AD125" i="3"/>
  <c r="AF126" i="3"/>
  <c r="AG126" i="3"/>
  <c r="AH126" i="3"/>
  <c r="AI126" i="3"/>
  <c r="AJ126" i="3"/>
  <c r="AD126" i="3"/>
  <c r="AF127" i="3"/>
  <c r="AG127" i="3"/>
  <c r="AH127" i="3"/>
  <c r="AI127" i="3"/>
  <c r="AJ127" i="3"/>
  <c r="AD127" i="3"/>
  <c r="AF128" i="3"/>
  <c r="AG128" i="3"/>
  <c r="AH128" i="3"/>
  <c r="AI128" i="3"/>
  <c r="AJ128" i="3"/>
  <c r="AD128" i="3"/>
  <c r="AF129" i="3"/>
  <c r="AG129" i="3"/>
  <c r="AH129" i="3"/>
  <c r="AI129" i="3"/>
  <c r="AJ129" i="3"/>
  <c r="AD129" i="3"/>
  <c r="AF130" i="3"/>
  <c r="AG130" i="3"/>
  <c r="AH130" i="3"/>
  <c r="AI130" i="3"/>
  <c r="AJ130" i="3"/>
  <c r="AD130" i="3"/>
  <c r="AF131" i="3"/>
  <c r="AG131" i="3"/>
  <c r="AH131" i="3"/>
  <c r="AI131" i="3"/>
  <c r="AJ131" i="3"/>
  <c r="AD131" i="3"/>
  <c r="AG132" i="3"/>
  <c r="AI132" i="3"/>
  <c r="AJ132" i="3"/>
  <c r="AD132" i="3"/>
  <c r="AF132" i="3"/>
  <c r="AH132" i="3"/>
  <c r="AG134" i="3"/>
  <c r="AI134" i="3"/>
  <c r="AJ134" i="3"/>
  <c r="AD134" i="3"/>
  <c r="AF134" i="3"/>
  <c r="AH134" i="3"/>
  <c r="AG139" i="3"/>
  <c r="AI139" i="3"/>
  <c r="AJ139" i="3"/>
  <c r="AD139" i="3"/>
  <c r="AF139" i="3"/>
  <c r="AH139" i="3"/>
  <c r="AG142" i="3"/>
  <c r="AI142" i="3"/>
  <c r="AJ142" i="3"/>
  <c r="AD142" i="3"/>
  <c r="AF142" i="3"/>
  <c r="AH142" i="3"/>
  <c r="AG143" i="3"/>
  <c r="AI143" i="3"/>
  <c r="AJ143" i="3"/>
  <c r="AD143" i="3"/>
  <c r="AF143" i="3"/>
  <c r="AH143" i="3"/>
  <c r="AG148" i="3"/>
  <c r="AH148" i="3"/>
  <c r="AJ148" i="3"/>
  <c r="AD148" i="3"/>
  <c r="AF148" i="3"/>
  <c r="AI148" i="3"/>
  <c r="AH150" i="3"/>
  <c r="AI150" i="3"/>
  <c r="AJ150" i="3"/>
  <c r="AD150" i="3"/>
  <c r="AF150" i="3"/>
  <c r="AG150" i="3"/>
  <c r="AG151" i="3"/>
  <c r="AI151" i="3"/>
  <c r="AD151" i="3"/>
  <c r="AF151" i="3"/>
  <c r="AH151" i="3"/>
  <c r="AJ151" i="3"/>
  <c r="AG152" i="3"/>
  <c r="AI152" i="3"/>
  <c r="AD152" i="3"/>
  <c r="AF152" i="3"/>
  <c r="AH152" i="3"/>
  <c r="AJ152" i="3"/>
  <c r="AH153" i="3"/>
  <c r="AD153" i="3"/>
  <c r="AF153" i="3"/>
  <c r="AG153" i="3"/>
  <c r="AI153" i="3"/>
  <c r="AJ153" i="3"/>
  <c r="AH154" i="3"/>
  <c r="AJ154" i="3"/>
  <c r="AD154" i="3"/>
  <c r="AF154" i="3"/>
  <c r="AG154" i="3"/>
  <c r="AI154" i="3"/>
  <c r="AG155" i="3"/>
  <c r="AI155" i="3"/>
  <c r="AJ155" i="3"/>
  <c r="AD155" i="3"/>
  <c r="AF155" i="3"/>
  <c r="AH155" i="3"/>
  <c r="AF156" i="3"/>
  <c r="AH156" i="3"/>
  <c r="AD156" i="3"/>
  <c r="AG156" i="3"/>
  <c r="AI156" i="3"/>
  <c r="AJ156" i="3"/>
  <c r="AG157" i="3"/>
  <c r="AI157" i="3"/>
  <c r="AD157" i="3"/>
  <c r="AF157" i="3"/>
  <c r="AH157" i="3"/>
  <c r="AJ157" i="3"/>
  <c r="AG163" i="3"/>
  <c r="AI163" i="3"/>
  <c r="AD163" i="3"/>
  <c r="AF163" i="3"/>
  <c r="AH163" i="3"/>
  <c r="AJ163" i="3"/>
  <c r="AG164" i="3"/>
  <c r="AI164" i="3"/>
  <c r="AJ164" i="3"/>
  <c r="AD164" i="3"/>
  <c r="AF164" i="3"/>
  <c r="AH164" i="3"/>
  <c r="AG166" i="3"/>
  <c r="AI166" i="3"/>
  <c r="AD166" i="3"/>
  <c r="AF166" i="3"/>
  <c r="AH166" i="3"/>
  <c r="AJ166" i="3"/>
  <c r="AG170" i="3"/>
  <c r="AH170" i="3"/>
  <c r="AJ170" i="3"/>
  <c r="AD170" i="3"/>
  <c r="AF170" i="3"/>
  <c r="AI170" i="3"/>
  <c r="AG172" i="3"/>
  <c r="AI172" i="3"/>
  <c r="AJ172" i="3"/>
  <c r="AD172" i="3"/>
  <c r="AF172" i="3"/>
  <c r="AH172" i="3"/>
  <c r="AG173" i="3"/>
  <c r="AD173" i="3"/>
  <c r="AF173" i="3"/>
  <c r="AH173" i="3"/>
  <c r="AI173" i="3"/>
  <c r="AJ173" i="3"/>
  <c r="AG177" i="3"/>
  <c r="AH177" i="3"/>
  <c r="AJ177" i="3"/>
  <c r="AD177" i="3"/>
  <c r="AF177" i="3"/>
  <c r="AI177" i="3"/>
  <c r="AG179" i="3"/>
  <c r="AD179" i="3"/>
  <c r="AF179" i="3"/>
  <c r="AH179" i="3"/>
  <c r="AI179" i="3"/>
  <c r="AJ179" i="3"/>
  <c r="AG180" i="3"/>
  <c r="AI180" i="3"/>
  <c r="AD180" i="3"/>
  <c r="AF180" i="3"/>
  <c r="AH180" i="3"/>
  <c r="AJ180" i="3"/>
  <c r="AG181" i="3"/>
  <c r="AI181" i="3"/>
  <c r="AJ181" i="3"/>
  <c r="AD181" i="3"/>
  <c r="AF181" i="3"/>
  <c r="AH181" i="3"/>
  <c r="AG182" i="3"/>
  <c r="AH182" i="3"/>
  <c r="AJ182" i="3"/>
  <c r="AD182" i="3"/>
  <c r="AF182" i="3"/>
  <c r="AI182" i="3"/>
  <c r="AG184" i="3"/>
  <c r="AH184" i="3"/>
  <c r="AJ184" i="3"/>
  <c r="AD184" i="3"/>
  <c r="AF184" i="3"/>
  <c r="AI184" i="3"/>
  <c r="AH185" i="3"/>
  <c r="AD185" i="3"/>
  <c r="AF185" i="3"/>
  <c r="AG185" i="3"/>
  <c r="AI185" i="3"/>
  <c r="AJ185" i="3"/>
  <c r="AG186" i="3"/>
  <c r="AH186" i="3"/>
  <c r="AJ186" i="3"/>
  <c r="AD186" i="3"/>
  <c r="AF186" i="3"/>
  <c r="AI186" i="3"/>
  <c r="AG189" i="3"/>
  <c r="AI189" i="3"/>
  <c r="AJ189" i="3"/>
  <c r="AD189" i="3"/>
  <c r="AF189" i="3"/>
  <c r="AH189" i="3"/>
  <c r="AF191" i="3"/>
  <c r="AH191" i="3"/>
  <c r="AD191" i="3"/>
  <c r="AG191" i="3"/>
  <c r="AI191" i="3"/>
  <c r="AJ191" i="3"/>
  <c r="AF192" i="3"/>
  <c r="AH192" i="3"/>
  <c r="AI192" i="3"/>
  <c r="AJ192" i="3"/>
  <c r="AD192" i="3"/>
  <c r="AG192" i="3"/>
  <c r="AF197" i="3"/>
  <c r="AH197" i="3"/>
  <c r="AD197" i="3"/>
  <c r="AG197" i="3"/>
  <c r="AI197" i="3"/>
  <c r="AJ197" i="3"/>
  <c r="AG201" i="3"/>
  <c r="AI201" i="3"/>
  <c r="AJ201" i="3"/>
  <c r="AD201" i="3"/>
  <c r="AF201" i="3"/>
  <c r="AH201" i="3"/>
  <c r="AG203" i="3"/>
  <c r="AI203" i="3"/>
  <c r="AD203" i="3"/>
  <c r="AF203" i="3"/>
  <c r="AH203" i="3"/>
  <c r="AJ203" i="3"/>
  <c r="AF204" i="3"/>
  <c r="AG204" i="3"/>
  <c r="AH204" i="3"/>
  <c r="AI204" i="3"/>
  <c r="AD204" i="3"/>
  <c r="AJ204" i="3"/>
  <c r="AG208" i="3"/>
  <c r="AH208" i="3"/>
  <c r="AJ208" i="3"/>
  <c r="AD208" i="3"/>
  <c r="AF208" i="3"/>
  <c r="AI208" i="3"/>
  <c r="AG209" i="3"/>
  <c r="AI209" i="3"/>
  <c r="AJ209" i="3"/>
  <c r="AD209" i="3"/>
  <c r="AF209" i="3"/>
  <c r="AH209" i="3"/>
  <c r="AH210" i="3"/>
  <c r="AJ210" i="3"/>
  <c r="AD210" i="3"/>
  <c r="AF210" i="3"/>
  <c r="AG210" i="3"/>
  <c r="AI210" i="3"/>
  <c r="AH211" i="3"/>
  <c r="AD211" i="3"/>
  <c r="AF211" i="3"/>
  <c r="AG211" i="3"/>
  <c r="AI211" i="3"/>
  <c r="AJ211" i="3"/>
  <c r="AF213" i="3"/>
  <c r="AH213" i="3"/>
  <c r="AI213" i="3"/>
  <c r="AJ213" i="3"/>
  <c r="AD213" i="3"/>
  <c r="AG213" i="3"/>
  <c r="AH215" i="3"/>
  <c r="AJ215" i="3"/>
  <c r="AD215" i="3"/>
  <c r="AF215" i="3"/>
  <c r="AG215" i="3"/>
  <c r="AI215" i="3"/>
  <c r="AF216" i="3"/>
  <c r="AH216" i="3"/>
  <c r="AI216" i="3"/>
  <c r="AJ216" i="3"/>
  <c r="AD216" i="3"/>
  <c r="AG216" i="3"/>
  <c r="AG217" i="3"/>
  <c r="AD217" i="3"/>
  <c r="AF217" i="3"/>
  <c r="AH217" i="3"/>
  <c r="AI217" i="3"/>
  <c r="AJ217" i="3"/>
  <c r="AG226" i="3"/>
  <c r="AI226" i="3"/>
  <c r="AD226" i="3"/>
  <c r="AF226" i="3"/>
  <c r="AH226" i="3"/>
  <c r="AJ226" i="3"/>
  <c r="AG228" i="3"/>
  <c r="AI228" i="3"/>
  <c r="AJ228" i="3"/>
  <c r="AD228" i="3"/>
  <c r="AF228" i="3"/>
  <c r="AH228" i="3"/>
  <c r="AG229" i="3"/>
  <c r="AI229" i="3"/>
  <c r="AJ229" i="3"/>
  <c r="AD229" i="3"/>
  <c r="AF229" i="3"/>
  <c r="AH229" i="3"/>
  <c r="AG232" i="3"/>
  <c r="AI232" i="3"/>
  <c r="AD232" i="3"/>
  <c r="AF232" i="3"/>
  <c r="AH232" i="3"/>
  <c r="AJ232" i="3"/>
  <c r="AH233" i="3"/>
  <c r="AD233" i="3"/>
  <c r="AF233" i="3"/>
  <c r="AG233" i="3"/>
  <c r="AI233" i="3"/>
  <c r="AJ233" i="3"/>
  <c r="AG234" i="3"/>
  <c r="AI234" i="3"/>
  <c r="AJ234" i="3"/>
  <c r="AD234" i="3"/>
  <c r="AF234" i="3"/>
  <c r="AH234" i="3"/>
  <c r="AH235" i="3"/>
  <c r="AD235" i="3"/>
  <c r="AF235" i="3"/>
  <c r="AG235" i="3"/>
  <c r="AI235" i="3"/>
  <c r="AJ235" i="3"/>
  <c r="AG237" i="3"/>
  <c r="AI237" i="3"/>
  <c r="AJ237" i="3"/>
  <c r="AD237" i="3"/>
  <c r="AF237" i="3"/>
  <c r="AH237" i="3"/>
  <c r="AF240" i="3"/>
  <c r="AI240" i="3"/>
  <c r="AJ240" i="3"/>
  <c r="AD240" i="3"/>
  <c r="AG240" i="3"/>
  <c r="AH240" i="3"/>
  <c r="AF241" i="3"/>
  <c r="AH241" i="3"/>
  <c r="AJ241" i="3"/>
  <c r="AD241" i="3"/>
  <c r="AG241" i="3"/>
  <c r="AI241" i="3"/>
  <c r="AG243" i="3"/>
  <c r="AI243" i="3"/>
  <c r="AD243" i="3"/>
  <c r="AF243" i="3"/>
  <c r="AH243" i="3"/>
  <c r="AJ243" i="3"/>
  <c r="AG244" i="3"/>
  <c r="AI244" i="3"/>
  <c r="AJ244" i="3"/>
  <c r="AD244" i="3"/>
  <c r="AF244" i="3"/>
  <c r="AH244" i="3"/>
  <c r="AG245" i="3"/>
  <c r="AI245" i="3"/>
  <c r="AD245" i="3"/>
  <c r="AF245" i="3"/>
  <c r="AH245" i="3"/>
  <c r="AJ245" i="3"/>
  <c r="AG246" i="3"/>
  <c r="AI246" i="3"/>
  <c r="AJ246" i="3"/>
  <c r="AD246" i="3"/>
  <c r="AF246" i="3"/>
  <c r="AH246" i="3"/>
  <c r="AG247" i="3"/>
  <c r="AI247" i="3"/>
  <c r="AD247" i="3"/>
  <c r="AF247" i="3"/>
  <c r="AH247" i="3"/>
  <c r="AJ247" i="3"/>
  <c r="AF249" i="3"/>
  <c r="AH249" i="3"/>
  <c r="AD249" i="3"/>
  <c r="AG249" i="3"/>
  <c r="AI249" i="3"/>
  <c r="AJ249" i="3"/>
  <c r="AH252" i="3"/>
  <c r="AD252" i="3"/>
  <c r="AF252" i="3"/>
  <c r="AG252" i="3"/>
  <c r="AI252" i="3"/>
  <c r="AJ252" i="3"/>
  <c r="AH255" i="3"/>
  <c r="AD255" i="3"/>
  <c r="AF255" i="3"/>
  <c r="AG255" i="3"/>
  <c r="AI255" i="3"/>
  <c r="AJ255" i="3"/>
  <c r="AF256" i="3"/>
  <c r="AH256" i="3"/>
  <c r="AJ256" i="3"/>
  <c r="AD256" i="3"/>
  <c r="AG256" i="3"/>
  <c r="AI256" i="3"/>
  <c r="AF258" i="3"/>
  <c r="AG258" i="3"/>
  <c r="AD258" i="3"/>
  <c r="AH258" i="3"/>
  <c r="AI258" i="3"/>
  <c r="AJ258" i="3"/>
  <c r="AG259" i="3"/>
  <c r="AI259" i="3"/>
  <c r="AD259" i="3"/>
  <c r="AF259" i="3"/>
  <c r="AH259" i="3"/>
  <c r="AJ259" i="3"/>
  <c r="AF260" i="3"/>
  <c r="AG260" i="3"/>
  <c r="AH260" i="3"/>
  <c r="AD260" i="3"/>
  <c r="AI260" i="3"/>
  <c r="AJ260" i="3"/>
  <c r="AH261" i="3"/>
  <c r="AJ261" i="3"/>
  <c r="AD261" i="3"/>
  <c r="AF261" i="3"/>
  <c r="AG261" i="3"/>
  <c r="AI261" i="3"/>
  <c r="AG264" i="3"/>
  <c r="AI264" i="3"/>
  <c r="AJ264" i="3"/>
  <c r="AD264" i="3"/>
  <c r="AF264" i="3"/>
  <c r="AH264" i="3"/>
  <c r="AF268" i="3"/>
  <c r="AI268" i="3"/>
  <c r="AJ268" i="3"/>
  <c r="AD268" i="3"/>
  <c r="AG268" i="3"/>
  <c r="AH268" i="3"/>
  <c r="AH269" i="3"/>
  <c r="AD269" i="3"/>
  <c r="AF269" i="3"/>
  <c r="AG269" i="3"/>
  <c r="AI269" i="3"/>
  <c r="AJ269" i="3"/>
  <c r="AG270" i="3"/>
  <c r="AI270" i="3"/>
  <c r="AJ270" i="3"/>
  <c r="AD270" i="3"/>
  <c r="AF270" i="3"/>
  <c r="AH270" i="3"/>
  <c r="AG273" i="3"/>
  <c r="AI273" i="3"/>
  <c r="AD273" i="3"/>
  <c r="AF273" i="3"/>
  <c r="AH273" i="3"/>
  <c r="AJ273" i="3"/>
  <c r="AF274" i="3"/>
  <c r="AG274" i="3"/>
  <c r="AI274" i="3"/>
  <c r="AH274" i="3"/>
  <c r="AJ274" i="3"/>
  <c r="AD274" i="3"/>
  <c r="AG275" i="3"/>
  <c r="AI275" i="3"/>
  <c r="AD275" i="3"/>
  <c r="AF275" i="3"/>
  <c r="AH275" i="3"/>
  <c r="AJ275" i="3"/>
  <c r="AG277" i="3"/>
  <c r="AI277" i="3"/>
  <c r="AD277" i="3"/>
  <c r="AF277" i="3"/>
  <c r="AH277" i="3"/>
  <c r="AJ277" i="3"/>
  <c r="AG278" i="3"/>
  <c r="AD278" i="3"/>
  <c r="AF278" i="3"/>
  <c r="AH278" i="3"/>
  <c r="AI278" i="3"/>
  <c r="AJ278" i="3"/>
  <c r="AH282" i="3"/>
  <c r="AD282" i="3"/>
  <c r="AF282" i="3"/>
  <c r="AG282" i="3"/>
  <c r="AI282" i="3"/>
  <c r="AJ282" i="3"/>
  <c r="K12" i="3"/>
  <c r="K16" i="3"/>
  <c r="K17" i="3"/>
  <c r="K18" i="3"/>
  <c r="K19" i="3"/>
  <c r="K20" i="3"/>
  <c r="K21" i="3"/>
  <c r="K22" i="3"/>
  <c r="K23" i="3"/>
  <c r="K24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5" i="3"/>
  <c r="K46" i="3"/>
  <c r="K48" i="3"/>
  <c r="K51" i="3"/>
  <c r="K53" i="3"/>
  <c r="K57" i="3"/>
  <c r="K58" i="3"/>
  <c r="K59" i="3"/>
  <c r="K60" i="3"/>
  <c r="K65" i="3"/>
  <c r="K66" i="3"/>
  <c r="K70" i="3"/>
  <c r="K71" i="3"/>
  <c r="K72" i="3"/>
  <c r="K74" i="3"/>
  <c r="K75" i="3"/>
  <c r="K77" i="3"/>
  <c r="K80" i="3"/>
  <c r="K84" i="3"/>
  <c r="K86" i="3"/>
  <c r="K87" i="3"/>
  <c r="K90" i="3"/>
  <c r="K91" i="3"/>
  <c r="K93" i="3"/>
  <c r="K99" i="3"/>
  <c r="K101" i="3"/>
  <c r="K103" i="3"/>
  <c r="K106" i="3"/>
  <c r="K109" i="3"/>
  <c r="K110" i="3"/>
  <c r="K114" i="3"/>
  <c r="K115" i="3"/>
  <c r="K116" i="3"/>
  <c r="K118" i="3"/>
  <c r="K119" i="3"/>
  <c r="K121" i="3"/>
  <c r="K122" i="3"/>
  <c r="K123" i="3"/>
  <c r="K125" i="3"/>
  <c r="K132" i="3"/>
  <c r="K134" i="3"/>
  <c r="K137" i="3"/>
  <c r="K138" i="3"/>
  <c r="K140" i="3"/>
  <c r="K144" i="3"/>
  <c r="K146" i="3"/>
  <c r="K149" i="3"/>
  <c r="K150" i="3"/>
  <c r="K154" i="3"/>
  <c r="K155" i="3"/>
  <c r="K156" i="3"/>
  <c r="K158" i="3"/>
  <c r="K160" i="3"/>
  <c r="K161" i="3"/>
  <c r="K164" i="3"/>
  <c r="K165" i="3"/>
  <c r="K166" i="3"/>
  <c r="K167" i="3"/>
  <c r="K169" i="3"/>
  <c r="K172" i="3"/>
  <c r="K174" i="3"/>
  <c r="K181" i="3"/>
  <c r="K186" i="3"/>
  <c r="K187" i="3"/>
  <c r="K190" i="3"/>
  <c r="K194" i="3"/>
  <c r="K200" i="3"/>
  <c r="K201" i="3"/>
  <c r="K202" i="3"/>
  <c r="K206" i="3"/>
  <c r="K209" i="3"/>
  <c r="K210" i="3"/>
  <c r="K212" i="3"/>
  <c r="K217" i="3"/>
  <c r="K218" i="3"/>
  <c r="K220" i="3"/>
  <c r="K221" i="3"/>
  <c r="K222" i="3"/>
  <c r="K223" i="3"/>
  <c r="K225" i="3"/>
  <c r="K226" i="3"/>
  <c r="K227" i="3"/>
  <c r="K230" i="3"/>
  <c r="K234" i="3"/>
  <c r="K236" i="3"/>
  <c r="K238" i="3"/>
  <c r="K239" i="3"/>
  <c r="K240" i="3"/>
  <c r="K243" i="3"/>
  <c r="K244" i="3"/>
  <c r="K246" i="3"/>
  <c r="K248" i="3"/>
  <c r="K250" i="3"/>
  <c r="K251" i="3"/>
  <c r="K252" i="3"/>
  <c r="K255" i="3"/>
  <c r="K258" i="3"/>
  <c r="K259" i="3"/>
  <c r="K260" i="3"/>
  <c r="K261" i="3"/>
  <c r="K264" i="3"/>
  <c r="K266" i="3"/>
  <c r="K267" i="3"/>
  <c r="K268" i="3"/>
  <c r="K270" i="3"/>
  <c r="K274" i="3"/>
  <c r="K276" i="3"/>
  <c r="K278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13" i="3"/>
  <c r="K14" i="3"/>
  <c r="K15" i="3"/>
  <c r="K25" i="3"/>
  <c r="K43" i="3"/>
  <c r="K44" i="3"/>
  <c r="K47" i="3"/>
  <c r="K49" i="3"/>
  <c r="K50" i="3"/>
  <c r="K52" i="3"/>
  <c r="K54" i="3"/>
  <c r="K55" i="3"/>
  <c r="K56" i="3"/>
  <c r="K61" i="3"/>
  <c r="K62" i="3"/>
  <c r="K63" i="3"/>
  <c r="K64" i="3"/>
  <c r="K67" i="3"/>
  <c r="K68" i="3"/>
  <c r="K69" i="3"/>
  <c r="K73" i="3"/>
  <c r="K76" i="3"/>
  <c r="K78" i="3"/>
  <c r="K79" i="3"/>
  <c r="K81" i="3"/>
  <c r="K82" i="3"/>
  <c r="K83" i="3"/>
  <c r="K85" i="3"/>
  <c r="K88" i="3"/>
  <c r="K89" i="3"/>
  <c r="K92" i="3"/>
  <c r="K94" i="3"/>
  <c r="K95" i="3"/>
  <c r="K96" i="3"/>
  <c r="K97" i="3"/>
  <c r="K98" i="3"/>
  <c r="K100" i="3"/>
  <c r="K102" i="3"/>
  <c r="K104" i="3"/>
  <c r="K105" i="3"/>
  <c r="K107" i="3"/>
  <c r="K108" i="3"/>
  <c r="K111" i="3"/>
  <c r="K112" i="3"/>
  <c r="K113" i="3"/>
  <c r="K117" i="3"/>
  <c r="K120" i="3"/>
  <c r="K124" i="3"/>
  <c r="K126" i="3"/>
  <c r="K127" i="3"/>
  <c r="K128" i="3"/>
  <c r="K129" i="3"/>
  <c r="K130" i="3"/>
  <c r="K131" i="3"/>
  <c r="K133" i="3"/>
  <c r="K135" i="3"/>
  <c r="K136" i="3"/>
  <c r="K139" i="3"/>
  <c r="K141" i="3"/>
  <c r="K142" i="3"/>
  <c r="K143" i="3"/>
  <c r="K145" i="3"/>
  <c r="K147" i="3"/>
  <c r="K148" i="3"/>
  <c r="K151" i="3"/>
  <c r="K152" i="3"/>
  <c r="K153" i="3"/>
  <c r="K157" i="3"/>
  <c r="K159" i="3"/>
  <c r="K162" i="3"/>
  <c r="K163" i="3"/>
  <c r="K168" i="3"/>
  <c r="K170" i="3"/>
  <c r="K171" i="3"/>
  <c r="K173" i="3"/>
  <c r="K175" i="3"/>
  <c r="K176" i="3"/>
  <c r="K177" i="3"/>
  <c r="K178" i="3"/>
  <c r="K179" i="3"/>
  <c r="K180" i="3"/>
  <c r="K182" i="3"/>
  <c r="K183" i="3"/>
  <c r="K184" i="3"/>
  <c r="K185" i="3"/>
  <c r="K188" i="3"/>
  <c r="K189" i="3"/>
  <c r="K191" i="3"/>
  <c r="K192" i="3"/>
  <c r="K193" i="3"/>
  <c r="K195" i="3"/>
  <c r="K196" i="3"/>
  <c r="K197" i="3"/>
  <c r="K198" i="3"/>
  <c r="K199" i="3"/>
  <c r="K203" i="3"/>
  <c r="K204" i="3"/>
  <c r="K205" i="3"/>
  <c r="K207" i="3"/>
  <c r="K208" i="3"/>
  <c r="K211" i="3"/>
  <c r="K213" i="3"/>
  <c r="K214" i="3"/>
  <c r="K215" i="3"/>
  <c r="K216" i="3"/>
  <c r="K219" i="3"/>
  <c r="K224" i="3"/>
  <c r="K228" i="3"/>
  <c r="K229" i="3"/>
  <c r="K231" i="3"/>
  <c r="K232" i="3"/>
  <c r="K233" i="3"/>
  <c r="K235" i="3"/>
  <c r="K237" i="3"/>
  <c r="K241" i="3"/>
  <c r="K242" i="3"/>
  <c r="K245" i="3"/>
  <c r="K247" i="3"/>
  <c r="K249" i="3"/>
  <c r="K253" i="3"/>
  <c r="K254" i="3"/>
  <c r="K256" i="3"/>
  <c r="K257" i="3"/>
  <c r="K262" i="3"/>
  <c r="K263" i="3"/>
  <c r="K265" i="3"/>
  <c r="K269" i="3"/>
  <c r="K271" i="3"/>
  <c r="K272" i="3"/>
  <c r="K273" i="3"/>
  <c r="K275" i="3"/>
  <c r="K277" i="3"/>
  <c r="K279" i="3"/>
  <c r="K11" i="3"/>
  <c r="R12" i="3"/>
  <c r="Q12" i="3"/>
  <c r="S12" i="3"/>
  <c r="T12" i="3"/>
  <c r="U12" i="3"/>
  <c r="R13" i="3"/>
  <c r="S13" i="3"/>
  <c r="T13" i="3"/>
  <c r="U13" i="3"/>
  <c r="Q13" i="3"/>
  <c r="S16" i="3"/>
  <c r="Q16" i="3"/>
  <c r="R16" i="3"/>
  <c r="T16" i="3"/>
  <c r="U16" i="3"/>
  <c r="Q17" i="3"/>
  <c r="S17" i="3"/>
  <c r="T17" i="3"/>
  <c r="U17" i="3"/>
  <c r="R17" i="3"/>
  <c r="R18" i="3"/>
  <c r="Q18" i="3"/>
  <c r="S18" i="3"/>
  <c r="T18" i="3"/>
  <c r="U18" i="3"/>
  <c r="R26" i="3"/>
  <c r="T26" i="3"/>
  <c r="U26" i="3"/>
  <c r="Q26" i="3"/>
  <c r="S26" i="3"/>
  <c r="R27" i="3"/>
  <c r="T27" i="3"/>
  <c r="Q27" i="3"/>
  <c r="S27" i="3"/>
  <c r="U27" i="3"/>
  <c r="R42" i="3"/>
  <c r="T42" i="3"/>
  <c r="U42" i="3"/>
  <c r="Q42" i="3"/>
  <c r="S42" i="3"/>
  <c r="S45" i="3"/>
  <c r="Q45" i="3"/>
  <c r="R45" i="3"/>
  <c r="T45" i="3"/>
  <c r="U45" i="3"/>
  <c r="Q46" i="3"/>
  <c r="R46" i="3"/>
  <c r="T46" i="3"/>
  <c r="U46" i="3"/>
  <c r="S46" i="3"/>
  <c r="R48" i="3"/>
  <c r="S48" i="3"/>
  <c r="T48" i="3"/>
  <c r="U48" i="3"/>
  <c r="Q48" i="3"/>
  <c r="R50" i="3"/>
  <c r="T50" i="3"/>
  <c r="U50" i="3"/>
  <c r="Q50" i="3"/>
  <c r="S50" i="3"/>
  <c r="R51" i="3"/>
  <c r="Q51" i="3"/>
  <c r="S51" i="3"/>
  <c r="T51" i="3"/>
  <c r="U51" i="3"/>
  <c r="R53" i="3"/>
  <c r="Q53" i="3"/>
  <c r="S53" i="3"/>
  <c r="T53" i="3"/>
  <c r="U53" i="3"/>
  <c r="R57" i="3"/>
  <c r="Q57" i="3"/>
  <c r="S57" i="3"/>
  <c r="T57" i="3"/>
  <c r="U57" i="3"/>
  <c r="R58" i="3"/>
  <c r="T58" i="3"/>
  <c r="Q58" i="3"/>
  <c r="S58" i="3"/>
  <c r="U58" i="3"/>
  <c r="R59" i="3"/>
  <c r="Q59" i="3"/>
  <c r="S59" i="3"/>
  <c r="T59" i="3"/>
  <c r="U59" i="3"/>
  <c r="R60" i="3"/>
  <c r="Q60" i="3"/>
  <c r="S60" i="3"/>
  <c r="T60" i="3"/>
  <c r="U60" i="3"/>
  <c r="R65" i="3"/>
  <c r="Q65" i="3"/>
  <c r="S65" i="3"/>
  <c r="T65" i="3"/>
  <c r="U65" i="3"/>
  <c r="R66" i="3"/>
  <c r="S66" i="3"/>
  <c r="T66" i="3"/>
  <c r="U66" i="3"/>
  <c r="Q66" i="3"/>
  <c r="R67" i="3"/>
  <c r="S67" i="3"/>
  <c r="T67" i="3"/>
  <c r="U67" i="3"/>
  <c r="Q67" i="3"/>
  <c r="R70" i="3"/>
  <c r="S70" i="3"/>
  <c r="T70" i="3"/>
  <c r="U70" i="3"/>
  <c r="Q70" i="3"/>
  <c r="Q71" i="3"/>
  <c r="R71" i="3"/>
  <c r="S71" i="3"/>
  <c r="T71" i="3"/>
  <c r="U71" i="3"/>
  <c r="S72" i="3"/>
  <c r="Q72" i="3"/>
  <c r="R72" i="3"/>
  <c r="T72" i="3"/>
  <c r="U72" i="3"/>
  <c r="R74" i="3"/>
  <c r="Q74" i="3"/>
  <c r="S74" i="3"/>
  <c r="T74" i="3"/>
  <c r="U74" i="3"/>
  <c r="R75" i="3"/>
  <c r="T75" i="3"/>
  <c r="Q75" i="3"/>
  <c r="S75" i="3"/>
  <c r="U75" i="3"/>
  <c r="Q77" i="3"/>
  <c r="R77" i="3"/>
  <c r="S77" i="3"/>
  <c r="T77" i="3"/>
  <c r="U77" i="3"/>
  <c r="R80" i="3"/>
  <c r="T80" i="3"/>
  <c r="U80" i="3"/>
  <c r="Q80" i="3"/>
  <c r="S80" i="3"/>
  <c r="Q84" i="3"/>
  <c r="S84" i="3"/>
  <c r="T84" i="3"/>
  <c r="U84" i="3"/>
  <c r="R84" i="3"/>
  <c r="R86" i="3"/>
  <c r="Q86" i="3"/>
  <c r="S86" i="3"/>
  <c r="T86" i="3"/>
  <c r="U86" i="3"/>
  <c r="R90" i="3"/>
  <c r="Q90" i="3"/>
  <c r="S90" i="3"/>
  <c r="T90" i="3"/>
  <c r="U90" i="3"/>
  <c r="R91" i="3"/>
  <c r="S91" i="3"/>
  <c r="T91" i="3"/>
  <c r="U91" i="3"/>
  <c r="Q91" i="3"/>
  <c r="R93" i="3"/>
  <c r="S93" i="3"/>
  <c r="T93" i="3"/>
  <c r="U93" i="3"/>
  <c r="Q93" i="3"/>
  <c r="R99" i="3"/>
  <c r="Q99" i="3"/>
  <c r="S99" i="3"/>
  <c r="T99" i="3"/>
  <c r="U99" i="3"/>
  <c r="R101" i="3"/>
  <c r="S101" i="3"/>
  <c r="T101" i="3"/>
  <c r="U101" i="3"/>
  <c r="Q101" i="3"/>
  <c r="Q103" i="3"/>
  <c r="R103" i="3"/>
  <c r="S103" i="3"/>
  <c r="T103" i="3"/>
  <c r="U103" i="3"/>
  <c r="R106" i="3"/>
  <c r="Q106" i="3"/>
  <c r="S106" i="3"/>
  <c r="T106" i="3"/>
  <c r="U106" i="3"/>
  <c r="R109" i="3"/>
  <c r="S109" i="3"/>
  <c r="T109" i="3"/>
  <c r="U109" i="3"/>
  <c r="Q109" i="3"/>
  <c r="R110" i="3"/>
  <c r="Q110" i="3"/>
  <c r="S110" i="3"/>
  <c r="T110" i="3"/>
  <c r="U110" i="3"/>
  <c r="Q114" i="3"/>
  <c r="R114" i="3"/>
  <c r="S114" i="3"/>
  <c r="T114" i="3"/>
  <c r="U114" i="3"/>
  <c r="R115" i="3"/>
  <c r="S115" i="3"/>
  <c r="T115" i="3"/>
  <c r="U115" i="3"/>
  <c r="Q115" i="3"/>
  <c r="R116" i="3"/>
  <c r="Q116" i="3"/>
  <c r="S116" i="3"/>
  <c r="T116" i="3"/>
  <c r="U116" i="3"/>
  <c r="R118" i="3"/>
  <c r="S118" i="3"/>
  <c r="T118" i="3"/>
  <c r="U118" i="3"/>
  <c r="Q118" i="3"/>
  <c r="R119" i="3"/>
  <c r="S119" i="3"/>
  <c r="T119" i="3"/>
  <c r="U119" i="3"/>
  <c r="Q119" i="3"/>
  <c r="Q121" i="3"/>
  <c r="S121" i="3"/>
  <c r="T121" i="3"/>
  <c r="U121" i="3"/>
  <c r="R121" i="3"/>
  <c r="R122" i="3"/>
  <c r="Q122" i="3"/>
  <c r="S122" i="3"/>
  <c r="T122" i="3"/>
  <c r="U122" i="3"/>
  <c r="R123" i="3"/>
  <c r="T123" i="3"/>
  <c r="U123" i="3"/>
  <c r="Q123" i="3"/>
  <c r="S123" i="3"/>
  <c r="Q125" i="3"/>
  <c r="S125" i="3"/>
  <c r="R125" i="3"/>
  <c r="T125" i="3"/>
  <c r="U125" i="3"/>
  <c r="Q126" i="3"/>
  <c r="R126" i="3"/>
  <c r="S126" i="3"/>
  <c r="T126" i="3"/>
  <c r="U126" i="3"/>
  <c r="Q127" i="3"/>
  <c r="R127" i="3"/>
  <c r="S127" i="3"/>
  <c r="T127" i="3"/>
  <c r="U127" i="3"/>
  <c r="Q128" i="3"/>
  <c r="R128" i="3"/>
  <c r="S128" i="3"/>
  <c r="T128" i="3"/>
  <c r="U128" i="3"/>
  <c r="Q129" i="3"/>
  <c r="R129" i="3"/>
  <c r="S129" i="3"/>
  <c r="T129" i="3"/>
  <c r="U129" i="3"/>
  <c r="Q130" i="3"/>
  <c r="R130" i="3"/>
  <c r="S130" i="3"/>
  <c r="T130" i="3"/>
  <c r="U130" i="3"/>
  <c r="Q131" i="3"/>
  <c r="R131" i="3"/>
  <c r="S131" i="3"/>
  <c r="T131" i="3"/>
  <c r="U131" i="3"/>
  <c r="Q132" i="3"/>
  <c r="R132" i="3"/>
  <c r="S132" i="3"/>
  <c r="T132" i="3"/>
  <c r="U132" i="3"/>
  <c r="R134" i="3"/>
  <c r="S134" i="3"/>
  <c r="T134" i="3"/>
  <c r="U134" i="3"/>
  <c r="Q134" i="3"/>
  <c r="R137" i="3"/>
  <c r="Q137" i="3"/>
  <c r="S137" i="3"/>
  <c r="T137" i="3"/>
  <c r="U137" i="3"/>
  <c r="R138" i="3"/>
  <c r="Q138" i="3"/>
  <c r="S138" i="3"/>
  <c r="T138" i="3"/>
  <c r="U138" i="3"/>
  <c r="R140" i="3"/>
  <c r="S140" i="3"/>
  <c r="T140" i="3"/>
  <c r="U140" i="3"/>
  <c r="Q140" i="3"/>
  <c r="S144" i="3"/>
  <c r="U144" i="3"/>
  <c r="Q144" i="3"/>
  <c r="R144" i="3"/>
  <c r="T144" i="3"/>
  <c r="Q146" i="3"/>
  <c r="R146" i="3"/>
  <c r="S146" i="3"/>
  <c r="T146" i="3"/>
  <c r="U146" i="3"/>
  <c r="R149" i="3"/>
  <c r="Q149" i="3"/>
  <c r="S149" i="3"/>
  <c r="T149" i="3"/>
  <c r="U149" i="3"/>
  <c r="Q150" i="3"/>
  <c r="S150" i="3"/>
  <c r="T150" i="3"/>
  <c r="U150" i="3"/>
  <c r="R150" i="3"/>
  <c r="R154" i="3"/>
  <c r="Q154" i="3"/>
  <c r="S154" i="3"/>
  <c r="T154" i="3"/>
  <c r="U154" i="3"/>
  <c r="R155" i="3"/>
  <c r="S155" i="3"/>
  <c r="T155" i="3"/>
  <c r="U155" i="3"/>
  <c r="Q155" i="3"/>
  <c r="R156" i="3"/>
  <c r="S156" i="3"/>
  <c r="T156" i="3"/>
  <c r="U156" i="3"/>
  <c r="Q156" i="3"/>
  <c r="S158" i="3"/>
  <c r="Q158" i="3"/>
  <c r="R158" i="3"/>
  <c r="T158" i="3"/>
  <c r="U158" i="3"/>
  <c r="R160" i="3"/>
  <c r="Q160" i="3"/>
  <c r="S160" i="3"/>
  <c r="T160" i="3"/>
  <c r="U160" i="3"/>
  <c r="R161" i="3"/>
  <c r="Q161" i="3"/>
  <c r="S161" i="3"/>
  <c r="T161" i="3"/>
  <c r="U161" i="3"/>
  <c r="Q164" i="3"/>
  <c r="R164" i="3"/>
  <c r="S164" i="3"/>
  <c r="T164" i="3"/>
  <c r="U164" i="3"/>
  <c r="R165" i="3"/>
  <c r="T165" i="3"/>
  <c r="U165" i="3"/>
  <c r="Q165" i="3"/>
  <c r="S165" i="3"/>
  <c r="R166" i="3"/>
  <c r="Q166" i="3"/>
  <c r="S166" i="3"/>
  <c r="T166" i="3"/>
  <c r="U166" i="3"/>
  <c r="R167" i="3"/>
  <c r="Q167" i="3"/>
  <c r="S167" i="3"/>
  <c r="T167" i="3"/>
  <c r="U167" i="3"/>
  <c r="S169" i="3"/>
  <c r="Q169" i="3"/>
  <c r="R169" i="3"/>
  <c r="T169" i="3"/>
  <c r="U169" i="3"/>
  <c r="R174" i="3"/>
  <c r="Q174" i="3"/>
  <c r="S174" i="3"/>
  <c r="T174" i="3"/>
  <c r="U174" i="3"/>
  <c r="R180" i="3"/>
  <c r="S180" i="3"/>
  <c r="T180" i="3"/>
  <c r="U180" i="3"/>
  <c r="Q180" i="3"/>
  <c r="R181" i="3"/>
  <c r="S181" i="3"/>
  <c r="T181" i="3"/>
  <c r="U181" i="3"/>
  <c r="Q181" i="3"/>
  <c r="R186" i="3"/>
  <c r="S186" i="3"/>
  <c r="T186" i="3"/>
  <c r="U186" i="3"/>
  <c r="Q186" i="3"/>
  <c r="R187" i="3"/>
  <c r="Q187" i="3"/>
  <c r="S187" i="3"/>
  <c r="T187" i="3"/>
  <c r="U187" i="3"/>
  <c r="R190" i="3"/>
  <c r="Q190" i="3"/>
  <c r="S190" i="3"/>
  <c r="T190" i="3"/>
  <c r="U190" i="3"/>
  <c r="R194" i="3"/>
  <c r="Q194" i="3"/>
  <c r="S194" i="3"/>
  <c r="T194" i="3"/>
  <c r="U194" i="3"/>
  <c r="R200" i="3"/>
  <c r="S200" i="3"/>
  <c r="T200" i="3"/>
  <c r="U200" i="3"/>
  <c r="Q200" i="3"/>
  <c r="R201" i="3"/>
  <c r="Q201" i="3"/>
  <c r="S201" i="3"/>
  <c r="T201" i="3"/>
  <c r="U201" i="3"/>
  <c r="R202" i="3"/>
  <c r="T202" i="3"/>
  <c r="U202" i="3"/>
  <c r="Q202" i="3"/>
  <c r="S202" i="3"/>
  <c r="S206" i="3"/>
  <c r="Q206" i="3"/>
  <c r="R206" i="3"/>
  <c r="T206" i="3"/>
  <c r="U206" i="3"/>
  <c r="S209" i="3"/>
  <c r="T209" i="3"/>
  <c r="U209" i="3"/>
  <c r="Q209" i="3"/>
  <c r="R209" i="3"/>
  <c r="R210" i="3"/>
  <c r="Q210" i="3"/>
  <c r="S210" i="3"/>
  <c r="T210" i="3"/>
  <c r="U210" i="3"/>
  <c r="R14" i="3"/>
  <c r="T14" i="3"/>
  <c r="Q14" i="3"/>
  <c r="S14" i="3"/>
  <c r="U14" i="3"/>
  <c r="R15" i="3"/>
  <c r="T15" i="3"/>
  <c r="Q15" i="3"/>
  <c r="S15" i="3"/>
  <c r="U15" i="3"/>
  <c r="Q19" i="3"/>
  <c r="R19" i="3"/>
  <c r="S19" i="3"/>
  <c r="T19" i="3"/>
  <c r="U19" i="3"/>
  <c r="Q20" i="3"/>
  <c r="R20" i="3"/>
  <c r="S20" i="3"/>
  <c r="T20" i="3"/>
  <c r="U20" i="3"/>
  <c r="Q21" i="3"/>
  <c r="R21" i="3"/>
  <c r="S21" i="3"/>
  <c r="T21" i="3"/>
  <c r="U21" i="3"/>
  <c r="Q22" i="3"/>
  <c r="R22" i="3"/>
  <c r="S22" i="3"/>
  <c r="T22" i="3"/>
  <c r="U22" i="3"/>
  <c r="Q23" i="3"/>
  <c r="R23" i="3"/>
  <c r="S23" i="3"/>
  <c r="T23" i="3"/>
  <c r="U23" i="3"/>
  <c r="Q24" i="3"/>
  <c r="R24" i="3"/>
  <c r="S24" i="3"/>
  <c r="T24" i="3"/>
  <c r="U24" i="3"/>
  <c r="Q25" i="3"/>
  <c r="S25" i="3"/>
  <c r="T25" i="3"/>
  <c r="U25" i="3"/>
  <c r="R25" i="3"/>
  <c r="Q28" i="3"/>
  <c r="R28" i="3"/>
  <c r="S28" i="3"/>
  <c r="T28" i="3"/>
  <c r="U28" i="3"/>
  <c r="Q29" i="3"/>
  <c r="R29" i="3"/>
  <c r="S29" i="3"/>
  <c r="T29" i="3"/>
  <c r="U29" i="3"/>
  <c r="Q30" i="3"/>
  <c r="R30" i="3"/>
  <c r="S30" i="3"/>
  <c r="T30" i="3"/>
  <c r="U30" i="3"/>
  <c r="Q31" i="3"/>
  <c r="R31" i="3"/>
  <c r="S31" i="3"/>
  <c r="T31" i="3"/>
  <c r="U31" i="3"/>
  <c r="Q32" i="3"/>
  <c r="R32" i="3"/>
  <c r="S32" i="3"/>
  <c r="T32" i="3"/>
  <c r="U32" i="3"/>
  <c r="Q33" i="3"/>
  <c r="R33" i="3"/>
  <c r="S33" i="3"/>
  <c r="T33" i="3"/>
  <c r="U33" i="3"/>
  <c r="Q34" i="3"/>
  <c r="R34" i="3"/>
  <c r="S34" i="3"/>
  <c r="T34" i="3"/>
  <c r="U34" i="3"/>
  <c r="Q35" i="3"/>
  <c r="R35" i="3"/>
  <c r="S35" i="3"/>
  <c r="T35" i="3"/>
  <c r="U35" i="3"/>
  <c r="Q36" i="3"/>
  <c r="R36" i="3"/>
  <c r="S36" i="3"/>
  <c r="T36" i="3"/>
  <c r="U36" i="3"/>
  <c r="Q37" i="3"/>
  <c r="R37" i="3"/>
  <c r="S37" i="3"/>
  <c r="T37" i="3"/>
  <c r="U37" i="3"/>
  <c r="Q38" i="3"/>
  <c r="R38" i="3"/>
  <c r="S38" i="3"/>
  <c r="T38" i="3"/>
  <c r="U38" i="3"/>
  <c r="Q39" i="3"/>
  <c r="R39" i="3"/>
  <c r="S39" i="3"/>
  <c r="T39" i="3"/>
  <c r="U39" i="3"/>
  <c r="Q40" i="3"/>
  <c r="R40" i="3"/>
  <c r="S40" i="3"/>
  <c r="T40" i="3"/>
  <c r="U40" i="3"/>
  <c r="Q41" i="3"/>
  <c r="R41" i="3"/>
  <c r="S41" i="3"/>
  <c r="T41" i="3"/>
  <c r="U41" i="3"/>
  <c r="R43" i="3"/>
  <c r="Q43" i="3"/>
  <c r="S43" i="3"/>
  <c r="T43" i="3"/>
  <c r="U43" i="3"/>
  <c r="R44" i="3"/>
  <c r="Q44" i="3"/>
  <c r="S44" i="3"/>
  <c r="T44" i="3"/>
  <c r="U44" i="3"/>
  <c r="R47" i="3"/>
  <c r="T47" i="3"/>
  <c r="U47" i="3"/>
  <c r="Q47" i="3"/>
  <c r="S47" i="3"/>
  <c r="Q49" i="3"/>
  <c r="R49" i="3"/>
  <c r="S49" i="3"/>
  <c r="T49" i="3"/>
  <c r="U49" i="3"/>
  <c r="R52" i="3"/>
  <c r="T52" i="3"/>
  <c r="U52" i="3"/>
  <c r="Q52" i="3"/>
  <c r="S52" i="3"/>
  <c r="Q54" i="3"/>
  <c r="S54" i="3"/>
  <c r="T54" i="3"/>
  <c r="U54" i="3"/>
  <c r="R54" i="3"/>
  <c r="R55" i="3"/>
  <c r="T55" i="3"/>
  <c r="U55" i="3"/>
  <c r="Q55" i="3"/>
  <c r="S55" i="3"/>
  <c r="R56" i="3"/>
  <c r="Q56" i="3"/>
  <c r="S56" i="3"/>
  <c r="T56" i="3"/>
  <c r="U56" i="3"/>
  <c r="R61" i="3"/>
  <c r="S61" i="3"/>
  <c r="T61" i="3"/>
  <c r="U61" i="3"/>
  <c r="Q61" i="3"/>
  <c r="R62" i="3"/>
  <c r="S62" i="3"/>
  <c r="T62" i="3"/>
  <c r="U62" i="3"/>
  <c r="Q62" i="3"/>
  <c r="R63" i="3"/>
  <c r="Q63" i="3"/>
  <c r="S63" i="3"/>
  <c r="T63" i="3"/>
  <c r="U63" i="3"/>
  <c r="Q64" i="3"/>
  <c r="R64" i="3"/>
  <c r="S64" i="3"/>
  <c r="T64" i="3"/>
  <c r="U64" i="3"/>
  <c r="R68" i="3"/>
  <c r="T68" i="3"/>
  <c r="Q68" i="3"/>
  <c r="S68" i="3"/>
  <c r="U68" i="3"/>
  <c r="R69" i="3"/>
  <c r="Q69" i="3"/>
  <c r="S69" i="3"/>
  <c r="T69" i="3"/>
  <c r="U69" i="3"/>
  <c r="R73" i="3"/>
  <c r="T73" i="3"/>
  <c r="Q73" i="3"/>
  <c r="S73" i="3"/>
  <c r="U73" i="3"/>
  <c r="R76" i="3"/>
  <c r="T76" i="3"/>
  <c r="U76" i="3"/>
  <c r="Q76" i="3"/>
  <c r="S76" i="3"/>
  <c r="R78" i="3"/>
  <c r="S78" i="3"/>
  <c r="T78" i="3"/>
  <c r="U78" i="3"/>
  <c r="Q78" i="3"/>
  <c r="R79" i="3"/>
  <c r="Q79" i="3"/>
  <c r="S79" i="3"/>
  <c r="T79" i="3"/>
  <c r="U79" i="3"/>
  <c r="R81" i="3"/>
  <c r="T81" i="3"/>
  <c r="U81" i="3"/>
  <c r="Q81" i="3"/>
  <c r="S81" i="3"/>
  <c r="R82" i="3"/>
  <c r="Q82" i="3"/>
  <c r="S82" i="3"/>
  <c r="T82" i="3"/>
  <c r="U82" i="3"/>
  <c r="R83" i="3"/>
  <c r="S83" i="3"/>
  <c r="T83" i="3"/>
  <c r="U83" i="3"/>
  <c r="Q83" i="3"/>
  <c r="R85" i="3"/>
  <c r="S85" i="3"/>
  <c r="T85" i="3"/>
  <c r="U85" i="3"/>
  <c r="Q85" i="3"/>
  <c r="Q87" i="3"/>
  <c r="R87" i="3"/>
  <c r="S87" i="3"/>
  <c r="T87" i="3"/>
  <c r="U87" i="3"/>
  <c r="R88" i="3"/>
  <c r="Q88" i="3"/>
  <c r="S88" i="3"/>
  <c r="T88" i="3"/>
  <c r="U88" i="3"/>
  <c r="R89" i="3"/>
  <c r="S89" i="3"/>
  <c r="T89" i="3"/>
  <c r="U89" i="3"/>
  <c r="Q89" i="3"/>
  <c r="R92" i="3"/>
  <c r="S92" i="3"/>
  <c r="T92" i="3"/>
  <c r="U92" i="3"/>
  <c r="Q92" i="3"/>
  <c r="R94" i="3"/>
  <c r="S94" i="3"/>
  <c r="T94" i="3"/>
  <c r="U94" i="3"/>
  <c r="Q94" i="3"/>
  <c r="R95" i="3"/>
  <c r="Q95" i="3"/>
  <c r="S95" i="3"/>
  <c r="T95" i="3"/>
  <c r="U95" i="3"/>
  <c r="Q96" i="3"/>
  <c r="S96" i="3"/>
  <c r="T96" i="3"/>
  <c r="U96" i="3"/>
  <c r="R96" i="3"/>
  <c r="R97" i="3"/>
  <c r="T97" i="3"/>
  <c r="Q97" i="3"/>
  <c r="S97" i="3"/>
  <c r="U97" i="3"/>
  <c r="R98" i="3"/>
  <c r="T98" i="3"/>
  <c r="Q98" i="3"/>
  <c r="S98" i="3"/>
  <c r="U98" i="3"/>
  <c r="Q100" i="3"/>
  <c r="S100" i="3"/>
  <c r="T100" i="3"/>
  <c r="U100" i="3"/>
  <c r="R100" i="3"/>
  <c r="R102" i="3"/>
  <c r="Q102" i="3"/>
  <c r="S102" i="3"/>
  <c r="T102" i="3"/>
  <c r="U102" i="3"/>
  <c r="R104" i="3"/>
  <c r="Q104" i="3"/>
  <c r="S104" i="3"/>
  <c r="T104" i="3"/>
  <c r="U104" i="3"/>
  <c r="R105" i="3"/>
  <c r="Q105" i="3"/>
  <c r="S105" i="3"/>
  <c r="T105" i="3"/>
  <c r="U105" i="3"/>
  <c r="R107" i="3"/>
  <c r="S107" i="3"/>
  <c r="T107" i="3"/>
  <c r="U107" i="3"/>
  <c r="Q107" i="3"/>
  <c r="R108" i="3"/>
  <c r="S108" i="3"/>
  <c r="T108" i="3"/>
  <c r="U108" i="3"/>
  <c r="Q108" i="3"/>
  <c r="Q111" i="3"/>
  <c r="R111" i="3"/>
  <c r="S111" i="3"/>
  <c r="T111" i="3"/>
  <c r="U111" i="3"/>
  <c r="Q112" i="3"/>
  <c r="R112" i="3"/>
  <c r="S112" i="3"/>
  <c r="T112" i="3"/>
  <c r="U112" i="3"/>
  <c r="R113" i="3"/>
  <c r="T113" i="3"/>
  <c r="U113" i="3"/>
  <c r="Q113" i="3"/>
  <c r="S113" i="3"/>
  <c r="Q117" i="3"/>
  <c r="S117" i="3"/>
  <c r="T117" i="3"/>
  <c r="U117" i="3"/>
  <c r="R117" i="3"/>
  <c r="R120" i="3"/>
  <c r="S120" i="3"/>
  <c r="U120" i="3"/>
  <c r="Q120" i="3"/>
  <c r="T120" i="3"/>
  <c r="R124" i="3"/>
  <c r="Q124" i="3"/>
  <c r="S124" i="3"/>
  <c r="T124" i="3"/>
  <c r="U124" i="3"/>
  <c r="Q133" i="3"/>
  <c r="R133" i="3"/>
  <c r="S133" i="3"/>
  <c r="T133" i="3"/>
  <c r="U133" i="3"/>
  <c r="R135" i="3"/>
  <c r="S135" i="3"/>
  <c r="T135" i="3"/>
  <c r="U135" i="3"/>
  <c r="Q135" i="3"/>
  <c r="R136" i="3"/>
  <c r="Q136" i="3"/>
  <c r="S136" i="3"/>
  <c r="T136" i="3"/>
  <c r="U136" i="3"/>
  <c r="R139" i="3"/>
  <c r="Q139" i="3"/>
  <c r="S139" i="3"/>
  <c r="T139" i="3"/>
  <c r="U139" i="3"/>
  <c r="R141" i="3"/>
  <c r="U141" i="3"/>
  <c r="Q141" i="3"/>
  <c r="S141" i="3"/>
  <c r="T141" i="3"/>
  <c r="R142" i="3"/>
  <c r="T142" i="3"/>
  <c r="U142" i="3"/>
  <c r="Q142" i="3"/>
  <c r="S142" i="3"/>
  <c r="R143" i="3"/>
  <c r="Q143" i="3"/>
  <c r="S143" i="3"/>
  <c r="T143" i="3"/>
  <c r="U143" i="3"/>
  <c r="Q145" i="3"/>
  <c r="R145" i="3"/>
  <c r="S145" i="3"/>
  <c r="T145" i="3"/>
  <c r="U145" i="3"/>
  <c r="R147" i="3"/>
  <c r="S147" i="3"/>
  <c r="T147" i="3"/>
  <c r="U147" i="3"/>
  <c r="Q147" i="3"/>
  <c r="R148" i="3"/>
  <c r="S148" i="3"/>
  <c r="T148" i="3"/>
  <c r="U148" i="3"/>
  <c r="Q148" i="3"/>
  <c r="R151" i="3"/>
  <c r="Q151" i="3"/>
  <c r="S151" i="3"/>
  <c r="T151" i="3"/>
  <c r="U151" i="3"/>
  <c r="R152" i="3"/>
  <c r="Q152" i="3"/>
  <c r="S152" i="3"/>
  <c r="T152" i="3"/>
  <c r="U152" i="3"/>
  <c r="R153" i="3"/>
  <c r="S153" i="3"/>
  <c r="T153" i="3"/>
  <c r="U153" i="3"/>
  <c r="Q153" i="3"/>
  <c r="Q157" i="3"/>
  <c r="R157" i="3"/>
  <c r="S157" i="3"/>
  <c r="T157" i="3"/>
  <c r="U157" i="3"/>
  <c r="S159" i="3"/>
  <c r="Q159" i="3"/>
  <c r="R159" i="3"/>
  <c r="T159" i="3"/>
  <c r="U159" i="3"/>
  <c r="Q162" i="3"/>
  <c r="S162" i="3"/>
  <c r="T162" i="3"/>
  <c r="U162" i="3"/>
  <c r="R162" i="3"/>
  <c r="Q163" i="3"/>
  <c r="R163" i="3"/>
  <c r="S163" i="3"/>
  <c r="T163" i="3"/>
  <c r="U163" i="3"/>
  <c r="R168" i="3"/>
  <c r="T168" i="3"/>
  <c r="U168" i="3"/>
  <c r="Q168" i="3"/>
  <c r="S168" i="3"/>
  <c r="R170" i="3"/>
  <c r="T170" i="3"/>
  <c r="U170" i="3"/>
  <c r="Q170" i="3"/>
  <c r="S170" i="3"/>
  <c r="R171" i="3"/>
  <c r="T171" i="3"/>
  <c r="U171" i="3"/>
  <c r="Q171" i="3"/>
  <c r="S171" i="3"/>
  <c r="Q172" i="3"/>
  <c r="R172" i="3"/>
  <c r="S172" i="3"/>
  <c r="T172" i="3"/>
  <c r="U172" i="3"/>
  <c r="S173" i="3"/>
  <c r="Q173" i="3"/>
  <c r="R173" i="3"/>
  <c r="T173" i="3"/>
  <c r="U173" i="3"/>
  <c r="R175" i="3"/>
  <c r="T175" i="3"/>
  <c r="U175" i="3"/>
  <c r="Q175" i="3"/>
  <c r="S175" i="3"/>
  <c r="Q176" i="3"/>
  <c r="R176" i="3"/>
  <c r="S176" i="3"/>
  <c r="T176" i="3"/>
  <c r="U176" i="3"/>
  <c r="Q177" i="3"/>
  <c r="S177" i="3"/>
  <c r="T177" i="3"/>
  <c r="U177" i="3"/>
  <c r="R177" i="3"/>
  <c r="R178" i="3"/>
  <c r="Q178" i="3"/>
  <c r="S178" i="3"/>
  <c r="T178" i="3"/>
  <c r="U178" i="3"/>
  <c r="R179" i="3"/>
  <c r="S179" i="3"/>
  <c r="T179" i="3"/>
  <c r="U179" i="3"/>
  <c r="Q179" i="3"/>
  <c r="R182" i="3"/>
  <c r="T182" i="3"/>
  <c r="U182" i="3"/>
  <c r="Q182" i="3"/>
  <c r="S182" i="3"/>
  <c r="R183" i="3"/>
  <c r="Q183" i="3"/>
  <c r="S183" i="3"/>
  <c r="T183" i="3"/>
  <c r="U183" i="3"/>
  <c r="R184" i="3"/>
  <c r="Q184" i="3"/>
  <c r="S184" i="3"/>
  <c r="T184" i="3"/>
  <c r="U184" i="3"/>
  <c r="Q185" i="3"/>
  <c r="S185" i="3"/>
  <c r="T185" i="3"/>
  <c r="U185" i="3"/>
  <c r="R185" i="3"/>
  <c r="R188" i="3"/>
  <c r="S188" i="3"/>
  <c r="T188" i="3"/>
  <c r="U188" i="3"/>
  <c r="Q188" i="3"/>
  <c r="R189" i="3"/>
  <c r="Q189" i="3"/>
  <c r="S189" i="3"/>
  <c r="T189" i="3"/>
  <c r="U189" i="3"/>
  <c r="Q191" i="3"/>
  <c r="R191" i="3"/>
  <c r="S191" i="3"/>
  <c r="T191" i="3"/>
  <c r="U191" i="3"/>
  <c r="Q192" i="3"/>
  <c r="R192" i="3"/>
  <c r="S192" i="3"/>
  <c r="T192" i="3"/>
  <c r="U192" i="3"/>
  <c r="R193" i="3"/>
  <c r="Q193" i="3"/>
  <c r="S193" i="3"/>
  <c r="T193" i="3"/>
  <c r="U193" i="3"/>
  <c r="R195" i="3"/>
  <c r="S195" i="3"/>
  <c r="T195" i="3"/>
  <c r="U195" i="3"/>
  <c r="Q195" i="3"/>
  <c r="R196" i="3"/>
  <c r="Q196" i="3"/>
  <c r="S196" i="3"/>
  <c r="T196" i="3"/>
  <c r="U196" i="3"/>
  <c r="S197" i="3"/>
  <c r="T197" i="3"/>
  <c r="U197" i="3"/>
  <c r="Q197" i="3"/>
  <c r="R197" i="3"/>
  <c r="R198" i="3"/>
  <c r="Q198" i="3"/>
  <c r="S198" i="3"/>
  <c r="T198" i="3"/>
  <c r="U198" i="3"/>
  <c r="R199" i="3"/>
  <c r="T199" i="3"/>
  <c r="U199" i="3"/>
  <c r="Q199" i="3"/>
  <c r="S199" i="3"/>
  <c r="Q203" i="3"/>
  <c r="S203" i="3"/>
  <c r="T203" i="3"/>
  <c r="U203" i="3"/>
  <c r="R203" i="3"/>
  <c r="Q204" i="3"/>
  <c r="S204" i="3"/>
  <c r="T204" i="3"/>
  <c r="U204" i="3"/>
  <c r="R204" i="3"/>
  <c r="Q205" i="3"/>
  <c r="S205" i="3"/>
  <c r="R205" i="3"/>
  <c r="T205" i="3"/>
  <c r="U205" i="3"/>
  <c r="R207" i="3"/>
  <c r="S207" i="3"/>
  <c r="T207" i="3"/>
  <c r="U207" i="3"/>
  <c r="Q207" i="3"/>
  <c r="Q208" i="3"/>
  <c r="S208" i="3"/>
  <c r="T208" i="3"/>
  <c r="U208" i="3"/>
  <c r="R208" i="3"/>
  <c r="R11" i="3"/>
  <c r="T11" i="3"/>
  <c r="Q11" i="3"/>
  <c r="S11" i="3"/>
  <c r="U11" i="3"/>
  <c r="Z12" i="3"/>
  <c r="W12" i="3"/>
  <c r="Y12" i="3"/>
  <c r="AA12" i="3"/>
  <c r="AB12" i="3"/>
  <c r="W16" i="3"/>
  <c r="Y16" i="3"/>
  <c r="Z16" i="3"/>
  <c r="AA16" i="3"/>
  <c r="AB16" i="3"/>
  <c r="Z18" i="3"/>
  <c r="AA18" i="3"/>
  <c r="AB18" i="3"/>
  <c r="W18" i="3"/>
  <c r="Y18" i="3"/>
  <c r="W25" i="3"/>
  <c r="Y25" i="3"/>
  <c r="Z25" i="3"/>
  <c r="AA25" i="3"/>
  <c r="AB25" i="3"/>
  <c r="Z42" i="3"/>
  <c r="AA42" i="3"/>
  <c r="AB42" i="3"/>
  <c r="Y42" i="3"/>
  <c r="W42" i="3"/>
  <c r="Z45" i="3"/>
  <c r="W45" i="3"/>
  <c r="Y45" i="3"/>
  <c r="AA45" i="3"/>
  <c r="AB45" i="3"/>
  <c r="Y47" i="3"/>
  <c r="AA47" i="3"/>
  <c r="AB47" i="3"/>
  <c r="W47" i="3"/>
  <c r="Z47" i="3"/>
  <c r="Y49" i="3"/>
  <c r="AA49" i="3"/>
  <c r="AB49" i="3"/>
  <c r="W49" i="3"/>
  <c r="Z49" i="3"/>
  <c r="Y51" i="3"/>
  <c r="AA51" i="3"/>
  <c r="AB51" i="3"/>
  <c r="W51" i="3"/>
  <c r="Z51" i="3"/>
  <c r="W52" i="3"/>
  <c r="Y52" i="3"/>
  <c r="Z52" i="3"/>
  <c r="AA52" i="3"/>
  <c r="AB52" i="3"/>
  <c r="Z53" i="3"/>
  <c r="AA53" i="3"/>
  <c r="AB53" i="3"/>
  <c r="W53" i="3"/>
  <c r="Y53" i="3"/>
  <c r="Z54" i="3"/>
  <c r="AA54" i="3"/>
  <c r="AB54" i="3"/>
  <c r="W54" i="3"/>
  <c r="Y54" i="3"/>
  <c r="W55" i="3"/>
  <c r="Y55" i="3"/>
  <c r="Z55" i="3"/>
  <c r="AA55" i="3"/>
  <c r="AB55" i="3"/>
  <c r="Z57" i="3"/>
  <c r="AA57" i="3"/>
  <c r="AB57" i="3"/>
  <c r="W57" i="3"/>
  <c r="Y57" i="3"/>
  <c r="Y58" i="3"/>
  <c r="Z58" i="3"/>
  <c r="AA58" i="3"/>
  <c r="AB58" i="3"/>
  <c r="W58" i="3"/>
  <c r="Z59" i="3"/>
  <c r="AA59" i="3"/>
  <c r="AB59" i="3"/>
  <c r="W59" i="3"/>
  <c r="Y59" i="3"/>
  <c r="Y60" i="3"/>
  <c r="Z60" i="3"/>
  <c r="AA60" i="3"/>
  <c r="AB60" i="3"/>
  <c r="W60" i="3"/>
  <c r="Y61" i="3"/>
  <c r="AA61" i="3"/>
  <c r="AB61" i="3"/>
  <c r="W61" i="3"/>
  <c r="Z61" i="3"/>
  <c r="Z62" i="3"/>
  <c r="AA62" i="3"/>
  <c r="AB62" i="3"/>
  <c r="W62" i="3"/>
  <c r="Y62" i="3"/>
  <c r="AA65" i="3"/>
  <c r="AB65" i="3"/>
  <c r="W65" i="3"/>
  <c r="Y65" i="3"/>
  <c r="Z65" i="3"/>
  <c r="W71" i="3"/>
  <c r="Y71" i="3"/>
  <c r="Z71" i="3"/>
  <c r="AA71" i="3"/>
  <c r="AB71" i="3"/>
  <c r="Y72" i="3"/>
  <c r="AA72" i="3"/>
  <c r="AB72" i="3"/>
  <c r="W72" i="3"/>
  <c r="Z72" i="3"/>
  <c r="Z74" i="3"/>
  <c r="AA74" i="3"/>
  <c r="AB74" i="3"/>
  <c r="W74" i="3"/>
  <c r="Y74" i="3"/>
  <c r="W75" i="3"/>
  <c r="Y75" i="3"/>
  <c r="Z75" i="3"/>
  <c r="AA75" i="3"/>
  <c r="AB75" i="3"/>
  <c r="Z76" i="3"/>
  <c r="AA76" i="3"/>
  <c r="W76" i="3"/>
  <c r="Y76" i="3"/>
  <c r="AB76" i="3"/>
  <c r="W77" i="3"/>
  <c r="Y77" i="3"/>
  <c r="Z77" i="3"/>
  <c r="AA77" i="3"/>
  <c r="AB77" i="3"/>
  <c r="Z78" i="3"/>
  <c r="AA78" i="3"/>
  <c r="AB78" i="3"/>
  <c r="W78" i="3"/>
  <c r="Y78" i="3"/>
  <c r="Y81" i="3"/>
  <c r="Z81" i="3"/>
  <c r="AA81" i="3"/>
  <c r="AB81" i="3"/>
  <c r="W81" i="3"/>
  <c r="Z83" i="3"/>
  <c r="AA83" i="3"/>
  <c r="AB83" i="3"/>
  <c r="W83" i="3"/>
  <c r="Y83" i="3"/>
  <c r="Z85" i="3"/>
  <c r="W85" i="3"/>
  <c r="Y85" i="3"/>
  <c r="AA85" i="3"/>
  <c r="AB85" i="3"/>
  <c r="Y86" i="3"/>
  <c r="Z86" i="3"/>
  <c r="AA86" i="3"/>
  <c r="AB86" i="3"/>
  <c r="W86" i="3"/>
  <c r="W89" i="3"/>
  <c r="Y89" i="3"/>
  <c r="Z89" i="3"/>
  <c r="AA89" i="3"/>
  <c r="AB89" i="3"/>
  <c r="Z90" i="3"/>
  <c r="AA90" i="3"/>
  <c r="AB90" i="3"/>
  <c r="W90" i="3"/>
  <c r="Y90" i="3"/>
  <c r="Y92" i="3"/>
  <c r="Z92" i="3"/>
  <c r="AA92" i="3"/>
  <c r="AB92" i="3"/>
  <c r="W92" i="3"/>
  <c r="W94" i="3"/>
  <c r="Y94" i="3"/>
  <c r="Z94" i="3"/>
  <c r="AA94" i="3"/>
  <c r="AB94" i="3"/>
  <c r="Z96" i="3"/>
  <c r="AA96" i="3"/>
  <c r="AB96" i="3"/>
  <c r="W96" i="3"/>
  <c r="Y96" i="3"/>
  <c r="Z99" i="3"/>
  <c r="AA99" i="3"/>
  <c r="AB99" i="3"/>
  <c r="W99" i="3"/>
  <c r="Y99" i="3"/>
  <c r="Z100" i="3"/>
  <c r="AA100" i="3"/>
  <c r="AB100" i="3"/>
  <c r="W100" i="3"/>
  <c r="Y100" i="3"/>
  <c r="Y103" i="3"/>
  <c r="Z103" i="3"/>
  <c r="AA103" i="3"/>
  <c r="AB103" i="3"/>
  <c r="W103" i="3"/>
  <c r="W106" i="3"/>
  <c r="Y106" i="3"/>
  <c r="Z106" i="3"/>
  <c r="AA106" i="3"/>
  <c r="AB106" i="3"/>
  <c r="Z107" i="3"/>
  <c r="AA107" i="3"/>
  <c r="AB107" i="3"/>
  <c r="W107" i="3"/>
  <c r="Y107" i="3"/>
  <c r="Z108" i="3"/>
  <c r="AA108" i="3"/>
  <c r="AB108" i="3"/>
  <c r="W108" i="3"/>
  <c r="Y108" i="3"/>
  <c r="W110" i="3"/>
  <c r="Y110" i="3"/>
  <c r="Z110" i="3"/>
  <c r="AA110" i="3"/>
  <c r="AB110" i="3"/>
  <c r="Z112" i="3"/>
  <c r="AA112" i="3"/>
  <c r="AB112" i="3"/>
  <c r="W112" i="3"/>
  <c r="Y112" i="3"/>
  <c r="Z113" i="3"/>
  <c r="W113" i="3"/>
  <c r="Y113" i="3"/>
  <c r="AA113" i="3"/>
  <c r="AB113" i="3"/>
  <c r="W114" i="3"/>
  <c r="Y114" i="3"/>
  <c r="Z114" i="3"/>
  <c r="AA114" i="3"/>
  <c r="AB114" i="3"/>
  <c r="Y116" i="3"/>
  <c r="Z116" i="3"/>
  <c r="AA116" i="3"/>
  <c r="AB116" i="3"/>
  <c r="W116" i="3"/>
  <c r="Y117" i="3"/>
  <c r="Z117" i="3"/>
  <c r="AA117" i="3"/>
  <c r="AB117" i="3"/>
  <c r="W117" i="3"/>
  <c r="Z120" i="3"/>
  <c r="AA120" i="3"/>
  <c r="AB120" i="3"/>
  <c r="W120" i="3"/>
  <c r="Y120" i="3"/>
  <c r="Y122" i="3"/>
  <c r="Z122" i="3"/>
  <c r="AA122" i="3"/>
  <c r="AB122" i="3"/>
  <c r="W122" i="3"/>
  <c r="Y125" i="3"/>
  <c r="AA125" i="3"/>
  <c r="AB125" i="3"/>
  <c r="W125" i="3"/>
  <c r="Z125" i="3"/>
  <c r="Y126" i="3"/>
  <c r="Z126" i="3"/>
  <c r="AA126" i="3"/>
  <c r="AB126" i="3"/>
  <c r="W126" i="3"/>
  <c r="Y127" i="3"/>
  <c r="Z127" i="3"/>
  <c r="AA127" i="3"/>
  <c r="AB127" i="3"/>
  <c r="W127" i="3"/>
  <c r="Y128" i="3"/>
  <c r="Z128" i="3"/>
  <c r="AA128" i="3"/>
  <c r="AB128" i="3"/>
  <c r="W128" i="3"/>
  <c r="Y129" i="3"/>
  <c r="Z129" i="3"/>
  <c r="AA129" i="3"/>
  <c r="AB129" i="3"/>
  <c r="W129" i="3"/>
  <c r="Y130" i="3"/>
  <c r="Z130" i="3"/>
  <c r="AA130" i="3"/>
  <c r="AB130" i="3"/>
  <c r="W130" i="3"/>
  <c r="Y131" i="3"/>
  <c r="Z131" i="3"/>
  <c r="AA131" i="3"/>
  <c r="AB131" i="3"/>
  <c r="W131" i="3"/>
  <c r="Z135" i="3"/>
  <c r="AA135" i="3"/>
  <c r="AB135" i="3"/>
  <c r="W135" i="3"/>
  <c r="Y135" i="3"/>
  <c r="Z137" i="3"/>
  <c r="AA137" i="3"/>
  <c r="AB137" i="3"/>
  <c r="W137" i="3"/>
  <c r="Y137" i="3"/>
  <c r="Z138" i="3"/>
  <c r="AA138" i="3"/>
  <c r="AB138" i="3"/>
  <c r="W138" i="3"/>
  <c r="Y138" i="3"/>
  <c r="Y141" i="3"/>
  <c r="Z141" i="3"/>
  <c r="AA141" i="3"/>
  <c r="AB141" i="3"/>
  <c r="W141" i="3"/>
  <c r="W142" i="3"/>
  <c r="Y142" i="3"/>
  <c r="Z142" i="3"/>
  <c r="AA142" i="3"/>
  <c r="AB142" i="3"/>
  <c r="Z144" i="3"/>
  <c r="AA144" i="3"/>
  <c r="AB144" i="3"/>
  <c r="W144" i="3"/>
  <c r="Y144" i="3"/>
  <c r="Z146" i="3"/>
  <c r="AA146" i="3"/>
  <c r="AB146" i="3"/>
  <c r="W146" i="3"/>
  <c r="Y146" i="3"/>
  <c r="Z147" i="3"/>
  <c r="AA147" i="3"/>
  <c r="AB147" i="3"/>
  <c r="W147" i="3"/>
  <c r="Y147" i="3"/>
  <c r="W148" i="3"/>
  <c r="Y148" i="3"/>
  <c r="Z148" i="3"/>
  <c r="AA148" i="3"/>
  <c r="AB148" i="3"/>
  <c r="Z149" i="3"/>
  <c r="AA149" i="3"/>
  <c r="AB149" i="3"/>
  <c r="W149" i="3"/>
  <c r="Y149" i="3"/>
  <c r="W153" i="3"/>
  <c r="Y153" i="3"/>
  <c r="Z153" i="3"/>
  <c r="AA153" i="3"/>
  <c r="AB153" i="3"/>
  <c r="Z154" i="3"/>
  <c r="W154" i="3"/>
  <c r="Y154" i="3"/>
  <c r="AA154" i="3"/>
  <c r="AB154" i="3"/>
  <c r="Y157" i="3"/>
  <c r="Z157" i="3"/>
  <c r="AA157" i="3"/>
  <c r="AB157" i="3"/>
  <c r="W157" i="3"/>
  <c r="Z158" i="3"/>
  <c r="AA158" i="3"/>
  <c r="AB158" i="3"/>
  <c r="W158" i="3"/>
  <c r="Y158" i="3"/>
  <c r="Z160" i="3"/>
  <c r="AA160" i="3"/>
  <c r="AB160" i="3"/>
  <c r="W160" i="3"/>
  <c r="Y160" i="3"/>
  <c r="Y161" i="3"/>
  <c r="Z161" i="3"/>
  <c r="AA161" i="3"/>
  <c r="AB161" i="3"/>
  <c r="W161" i="3"/>
  <c r="Y162" i="3"/>
  <c r="Z162" i="3"/>
  <c r="AA162" i="3"/>
  <c r="AB162" i="3"/>
  <c r="W162" i="3"/>
  <c r="W164" i="3"/>
  <c r="Y164" i="3"/>
  <c r="Z164" i="3"/>
  <c r="AA164" i="3"/>
  <c r="AB164" i="3"/>
  <c r="Z166" i="3"/>
  <c r="W166" i="3"/>
  <c r="Y166" i="3"/>
  <c r="AA166" i="3"/>
  <c r="AB166" i="3"/>
  <c r="Z167" i="3"/>
  <c r="AA167" i="3"/>
  <c r="AB167" i="3"/>
  <c r="W167" i="3"/>
  <c r="Y167" i="3"/>
  <c r="Y168" i="3"/>
  <c r="Z168" i="3"/>
  <c r="AA168" i="3"/>
  <c r="AB168" i="3"/>
  <c r="W168" i="3"/>
  <c r="Z169" i="3"/>
  <c r="AA169" i="3"/>
  <c r="AB169" i="3"/>
  <c r="W169" i="3"/>
  <c r="Y169" i="3"/>
  <c r="W170" i="3"/>
  <c r="Y170" i="3"/>
  <c r="Z170" i="3"/>
  <c r="AA170" i="3"/>
  <c r="AB170" i="3"/>
  <c r="Z172" i="3"/>
  <c r="W172" i="3"/>
  <c r="Y172" i="3"/>
  <c r="AA172" i="3"/>
  <c r="AB172" i="3"/>
  <c r="Z174" i="3"/>
  <c r="AA174" i="3"/>
  <c r="AB174" i="3"/>
  <c r="W174" i="3"/>
  <c r="Y174" i="3"/>
  <c r="Y175" i="3"/>
  <c r="Z175" i="3"/>
  <c r="AA175" i="3"/>
  <c r="AB175" i="3"/>
  <c r="W175" i="3"/>
  <c r="W177" i="3"/>
  <c r="Y177" i="3"/>
  <c r="Z177" i="3"/>
  <c r="AA177" i="3"/>
  <c r="AB177" i="3"/>
  <c r="W179" i="3"/>
  <c r="Y179" i="3"/>
  <c r="Z179" i="3"/>
  <c r="AA179" i="3"/>
  <c r="AB179" i="3"/>
  <c r="W182" i="3"/>
  <c r="Y182" i="3"/>
  <c r="Z182" i="3"/>
  <c r="AA182" i="3"/>
  <c r="AB182" i="3"/>
  <c r="Y185" i="3"/>
  <c r="W185" i="3"/>
  <c r="Z185" i="3"/>
  <c r="AA185" i="3"/>
  <c r="AB185" i="3"/>
  <c r="Y187" i="3"/>
  <c r="Z187" i="3"/>
  <c r="AA187" i="3"/>
  <c r="AB187" i="3"/>
  <c r="W187" i="3"/>
  <c r="Z188" i="3"/>
  <c r="AA188" i="3"/>
  <c r="AB188" i="3"/>
  <c r="W188" i="3"/>
  <c r="Y188" i="3"/>
  <c r="Z190" i="3"/>
  <c r="AA190" i="3"/>
  <c r="AB190" i="3"/>
  <c r="W190" i="3"/>
  <c r="Y190" i="3"/>
  <c r="W192" i="3"/>
  <c r="Y192" i="3"/>
  <c r="Z192" i="3"/>
  <c r="AA192" i="3"/>
  <c r="AB192" i="3"/>
  <c r="Z194" i="3"/>
  <c r="AA194" i="3"/>
  <c r="AB194" i="3"/>
  <c r="W194" i="3"/>
  <c r="Y194" i="3"/>
  <c r="W195" i="3"/>
  <c r="Y195" i="3"/>
  <c r="Z195" i="3"/>
  <c r="AA195" i="3"/>
  <c r="AB195" i="3"/>
  <c r="W197" i="3"/>
  <c r="Y197" i="3"/>
  <c r="Z197" i="3"/>
  <c r="AA197" i="3"/>
  <c r="AB197" i="3"/>
  <c r="Z199" i="3"/>
  <c r="AA199" i="3"/>
  <c r="AB199" i="3"/>
  <c r="W199" i="3"/>
  <c r="Y199" i="3"/>
  <c r="Z201" i="3"/>
  <c r="W201" i="3"/>
  <c r="Y201" i="3"/>
  <c r="AA201" i="3"/>
  <c r="AB201" i="3"/>
  <c r="W203" i="3"/>
  <c r="Y203" i="3"/>
  <c r="Z203" i="3"/>
  <c r="AA203" i="3"/>
  <c r="AB203" i="3"/>
  <c r="Z204" i="3"/>
  <c r="AB204" i="3"/>
  <c r="W204" i="3"/>
  <c r="Y204" i="3"/>
  <c r="AA204" i="3"/>
  <c r="Z206" i="3"/>
  <c r="AA206" i="3"/>
  <c r="AB206" i="3"/>
  <c r="W206" i="3"/>
  <c r="Y206" i="3"/>
  <c r="Y207" i="3"/>
  <c r="AA207" i="3"/>
  <c r="AB207" i="3"/>
  <c r="W207" i="3"/>
  <c r="Z207" i="3"/>
  <c r="Z208" i="3"/>
  <c r="W208" i="3"/>
  <c r="Y208" i="3"/>
  <c r="AA208" i="3"/>
  <c r="AB208" i="3"/>
  <c r="W210" i="3"/>
  <c r="Y210" i="3"/>
  <c r="Z210" i="3"/>
  <c r="AA210" i="3"/>
  <c r="AB210" i="3"/>
  <c r="Z211" i="3"/>
  <c r="W211" i="3"/>
  <c r="Y211" i="3"/>
  <c r="AA211" i="3"/>
  <c r="AB211" i="3"/>
  <c r="Y212" i="3"/>
  <c r="Z212" i="3"/>
  <c r="AA212" i="3"/>
  <c r="AB212" i="3"/>
  <c r="W212" i="3"/>
  <c r="W213" i="3"/>
  <c r="Y213" i="3"/>
  <c r="Z213" i="3"/>
  <c r="AA213" i="3"/>
  <c r="AB213" i="3"/>
  <c r="Y214" i="3"/>
  <c r="Z214" i="3"/>
  <c r="AA214" i="3"/>
  <c r="AB214" i="3"/>
  <c r="W214" i="3"/>
  <c r="W215" i="3"/>
  <c r="Y215" i="3"/>
  <c r="Z215" i="3"/>
  <c r="AA215" i="3"/>
  <c r="AB215" i="3"/>
  <c r="W216" i="3"/>
  <c r="Y216" i="3"/>
  <c r="Z216" i="3"/>
  <c r="AA216" i="3"/>
  <c r="AB216" i="3"/>
  <c r="Z218" i="3"/>
  <c r="AA218" i="3"/>
  <c r="AB218" i="3"/>
  <c r="W218" i="3"/>
  <c r="Y218" i="3"/>
  <c r="Z219" i="3"/>
  <c r="AA219" i="3"/>
  <c r="AB219" i="3"/>
  <c r="W219" i="3"/>
  <c r="Y219" i="3"/>
  <c r="Y220" i="3"/>
  <c r="Z220" i="3"/>
  <c r="AA220" i="3"/>
  <c r="AB220" i="3"/>
  <c r="W220" i="3"/>
  <c r="Z225" i="3"/>
  <c r="AA225" i="3"/>
  <c r="AB225" i="3"/>
  <c r="W225" i="3"/>
  <c r="Y225" i="3"/>
  <c r="Y227" i="3"/>
  <c r="Z227" i="3"/>
  <c r="AA227" i="3"/>
  <c r="AB227" i="3"/>
  <c r="W227" i="3"/>
  <c r="W229" i="3"/>
  <c r="Y229" i="3"/>
  <c r="Z229" i="3"/>
  <c r="AA229" i="3"/>
  <c r="AB229" i="3"/>
  <c r="Z233" i="3"/>
  <c r="W233" i="3"/>
  <c r="Y233" i="3"/>
  <c r="AA233" i="3"/>
  <c r="AB233" i="3"/>
  <c r="W234" i="3"/>
  <c r="Y234" i="3"/>
  <c r="Z234" i="3"/>
  <c r="AA234" i="3"/>
  <c r="AB234" i="3"/>
  <c r="Z236" i="3"/>
  <c r="AA236" i="3"/>
  <c r="AB236" i="3"/>
  <c r="W236" i="3"/>
  <c r="Y236" i="3"/>
  <c r="Y238" i="3"/>
  <c r="Z238" i="3"/>
  <c r="AA238" i="3"/>
  <c r="AB238" i="3"/>
  <c r="W238" i="3"/>
  <c r="Y239" i="3"/>
  <c r="Z239" i="3"/>
  <c r="AA239" i="3"/>
  <c r="AB239" i="3"/>
  <c r="W239" i="3"/>
  <c r="W240" i="3"/>
  <c r="Y240" i="3"/>
  <c r="Z240" i="3"/>
  <c r="AA240" i="3"/>
  <c r="AB240" i="3"/>
  <c r="Z242" i="3"/>
  <c r="AA242" i="3"/>
  <c r="AB242" i="3"/>
  <c r="W242" i="3"/>
  <c r="Y242" i="3"/>
  <c r="W243" i="3"/>
  <c r="Y243" i="3"/>
  <c r="Z243" i="3"/>
  <c r="AA243" i="3"/>
  <c r="AB243" i="3"/>
  <c r="Z244" i="3"/>
  <c r="W244" i="3"/>
  <c r="Y244" i="3"/>
  <c r="AA244" i="3"/>
  <c r="AB244" i="3"/>
  <c r="Y246" i="3"/>
  <c r="Z246" i="3"/>
  <c r="AA246" i="3"/>
  <c r="W246" i="3"/>
  <c r="AB246" i="3"/>
  <c r="Z247" i="3"/>
  <c r="W247" i="3"/>
  <c r="Y247" i="3"/>
  <c r="AA247" i="3"/>
  <c r="AB247" i="3"/>
  <c r="Z248" i="3"/>
  <c r="AA248" i="3"/>
  <c r="AB248" i="3"/>
  <c r="W248" i="3"/>
  <c r="Y248" i="3"/>
  <c r="Z250" i="3"/>
  <c r="AA250" i="3"/>
  <c r="AB250" i="3"/>
  <c r="W250" i="3"/>
  <c r="Y250" i="3"/>
  <c r="Z253" i="3"/>
  <c r="AA253" i="3"/>
  <c r="AB253" i="3"/>
  <c r="W253" i="3"/>
  <c r="Y253" i="3"/>
  <c r="W255" i="3"/>
  <c r="Y255" i="3"/>
  <c r="Z255" i="3"/>
  <c r="AA255" i="3"/>
  <c r="AB255" i="3"/>
  <c r="W259" i="3"/>
  <c r="Y259" i="3"/>
  <c r="Z259" i="3"/>
  <c r="AA259" i="3"/>
  <c r="AB259" i="3"/>
  <c r="W260" i="3"/>
  <c r="Y260" i="3"/>
  <c r="Z260" i="3"/>
  <c r="AA260" i="3"/>
  <c r="AB260" i="3"/>
  <c r="W261" i="3"/>
  <c r="Y261" i="3"/>
  <c r="Z261" i="3"/>
  <c r="AA261" i="3"/>
  <c r="AB261" i="3"/>
  <c r="Y262" i="3"/>
  <c r="Z262" i="3"/>
  <c r="AA262" i="3"/>
  <c r="AB262" i="3"/>
  <c r="W262" i="3"/>
  <c r="Y263" i="3"/>
  <c r="AA263" i="3"/>
  <c r="AB263" i="3"/>
  <c r="W263" i="3"/>
  <c r="Z263" i="3"/>
  <c r="Z265" i="3"/>
  <c r="AA265" i="3"/>
  <c r="AB265" i="3"/>
  <c r="W265" i="3"/>
  <c r="Y265" i="3"/>
  <c r="Y267" i="3"/>
  <c r="Z267" i="3"/>
  <c r="AA267" i="3"/>
  <c r="AB267" i="3"/>
  <c r="W267" i="3"/>
  <c r="Z268" i="3"/>
  <c r="W268" i="3"/>
  <c r="Y268" i="3"/>
  <c r="AA268" i="3"/>
  <c r="AB268" i="3"/>
  <c r="Z270" i="3"/>
  <c r="W270" i="3"/>
  <c r="Y270" i="3"/>
  <c r="AA270" i="3"/>
  <c r="AB270" i="3"/>
  <c r="Z271" i="3"/>
  <c r="AB271" i="3"/>
  <c r="W271" i="3"/>
  <c r="Y271" i="3"/>
  <c r="AA271" i="3"/>
  <c r="Y272" i="3"/>
  <c r="Z272" i="3"/>
  <c r="AA272" i="3"/>
  <c r="AB272" i="3"/>
  <c r="W272" i="3"/>
  <c r="Y276" i="3"/>
  <c r="Z276" i="3"/>
  <c r="AA276" i="3"/>
  <c r="AB276" i="3"/>
  <c r="W276" i="3"/>
  <c r="W277" i="3"/>
  <c r="Y277" i="3"/>
  <c r="Z277" i="3"/>
  <c r="AA277" i="3"/>
  <c r="AB277" i="3"/>
  <c r="Y279" i="3"/>
  <c r="Z279" i="3"/>
  <c r="AA279" i="3"/>
  <c r="AB279" i="3"/>
  <c r="W279" i="3"/>
  <c r="Z280" i="3"/>
  <c r="AB280" i="3"/>
  <c r="W280" i="3"/>
  <c r="Y280" i="3"/>
  <c r="AA280" i="3"/>
  <c r="Y281" i="3"/>
  <c r="Z281" i="3"/>
  <c r="AA281" i="3"/>
  <c r="AB281" i="3"/>
  <c r="W281" i="3"/>
  <c r="Z13" i="3"/>
  <c r="AA13" i="3"/>
  <c r="AB13" i="3"/>
  <c r="W13" i="3"/>
  <c r="Y13" i="3"/>
  <c r="Z14" i="3"/>
  <c r="W14" i="3"/>
  <c r="Y14" i="3"/>
  <c r="AA14" i="3"/>
  <c r="AB14" i="3"/>
  <c r="W15" i="3"/>
  <c r="Y15" i="3"/>
  <c r="Z15" i="3"/>
  <c r="AA15" i="3"/>
  <c r="AB15" i="3"/>
  <c r="Y17" i="3"/>
  <c r="AA17" i="3"/>
  <c r="AB17" i="3"/>
  <c r="W17" i="3"/>
  <c r="Z17" i="3"/>
  <c r="Y19" i="3"/>
  <c r="Z19" i="3"/>
  <c r="AA19" i="3"/>
  <c r="AB19" i="3"/>
  <c r="W19" i="3"/>
  <c r="Y20" i="3"/>
  <c r="Z20" i="3"/>
  <c r="AA20" i="3"/>
  <c r="AB20" i="3"/>
  <c r="W20" i="3"/>
  <c r="Y21" i="3"/>
  <c r="Z21" i="3"/>
  <c r="AA21" i="3"/>
  <c r="AB21" i="3"/>
  <c r="W21" i="3"/>
  <c r="Y22" i="3"/>
  <c r="Z22" i="3"/>
  <c r="AA22" i="3"/>
  <c r="AB22" i="3"/>
  <c r="W22" i="3"/>
  <c r="Y23" i="3"/>
  <c r="Z23" i="3"/>
  <c r="AA23" i="3"/>
  <c r="AB23" i="3"/>
  <c r="W23" i="3"/>
  <c r="Y24" i="3"/>
  <c r="Z24" i="3"/>
  <c r="AA24" i="3"/>
  <c r="AB24" i="3"/>
  <c r="W24" i="3"/>
  <c r="Z26" i="3"/>
  <c r="W26" i="3"/>
  <c r="Y26" i="3"/>
  <c r="AA26" i="3"/>
  <c r="AB26" i="3"/>
  <c r="Y27" i="3"/>
  <c r="Z27" i="3"/>
  <c r="AA27" i="3"/>
  <c r="AB27" i="3"/>
  <c r="W27" i="3"/>
  <c r="Y28" i="3"/>
  <c r="Z28" i="3"/>
  <c r="AA28" i="3"/>
  <c r="AB28" i="3"/>
  <c r="W28" i="3"/>
  <c r="Y29" i="3"/>
  <c r="Z29" i="3"/>
  <c r="AA29" i="3"/>
  <c r="AB29" i="3"/>
  <c r="W29" i="3"/>
  <c r="Y30" i="3"/>
  <c r="Z30" i="3"/>
  <c r="AA30" i="3"/>
  <c r="AB30" i="3"/>
  <c r="W30" i="3"/>
  <c r="Y31" i="3"/>
  <c r="Z31" i="3"/>
  <c r="AA31" i="3"/>
  <c r="AB31" i="3"/>
  <c r="W31" i="3"/>
  <c r="Y32" i="3"/>
  <c r="Z32" i="3"/>
  <c r="AA32" i="3"/>
  <c r="AB32" i="3"/>
  <c r="W32" i="3"/>
  <c r="Y33" i="3"/>
  <c r="Z33" i="3"/>
  <c r="AA33" i="3"/>
  <c r="AB33" i="3"/>
  <c r="W33" i="3"/>
  <c r="Y34" i="3"/>
  <c r="Z34" i="3"/>
  <c r="AA34" i="3"/>
  <c r="AB34" i="3"/>
  <c r="W34" i="3"/>
  <c r="Y35" i="3"/>
  <c r="Z35" i="3"/>
  <c r="AA35" i="3"/>
  <c r="AB35" i="3"/>
  <c r="W35" i="3"/>
  <c r="Y36" i="3"/>
  <c r="Z36" i="3"/>
  <c r="AA36" i="3"/>
  <c r="AB36" i="3"/>
  <c r="W36" i="3"/>
  <c r="Y37" i="3"/>
  <c r="Z37" i="3"/>
  <c r="AA37" i="3"/>
  <c r="AB37" i="3"/>
  <c r="W37" i="3"/>
  <c r="Y38" i="3"/>
  <c r="Z38" i="3"/>
  <c r="AA38" i="3"/>
  <c r="AB38" i="3"/>
  <c r="W38" i="3"/>
  <c r="Y39" i="3"/>
  <c r="Z39" i="3"/>
  <c r="AA39" i="3"/>
  <c r="AB39" i="3"/>
  <c r="W39" i="3"/>
  <c r="Y40" i="3"/>
  <c r="Z40" i="3"/>
  <c r="AA40" i="3"/>
  <c r="AB40" i="3"/>
  <c r="W40" i="3"/>
  <c r="Y41" i="3"/>
  <c r="Z41" i="3"/>
  <c r="AA41" i="3"/>
  <c r="AB41" i="3"/>
  <c r="W41" i="3"/>
  <c r="Z43" i="3"/>
  <c r="W43" i="3"/>
  <c r="Y43" i="3"/>
  <c r="AA43" i="3"/>
  <c r="AB43" i="3"/>
  <c r="Z44" i="3"/>
  <c r="AA44" i="3"/>
  <c r="AB44" i="3"/>
  <c r="W44" i="3"/>
  <c r="Y44" i="3"/>
  <c r="Z46" i="3"/>
  <c r="AA46" i="3"/>
  <c r="AB46" i="3"/>
  <c r="W46" i="3"/>
  <c r="Y46" i="3"/>
  <c r="Z48" i="3"/>
  <c r="W48" i="3"/>
  <c r="Y48" i="3"/>
  <c r="AA48" i="3"/>
  <c r="AB48" i="3"/>
  <c r="Z50" i="3"/>
  <c r="W50" i="3"/>
  <c r="Y50" i="3"/>
  <c r="AA50" i="3"/>
  <c r="AB50" i="3"/>
  <c r="Z56" i="3"/>
  <c r="AB56" i="3"/>
  <c r="W56" i="3"/>
  <c r="Y56" i="3"/>
  <c r="AA56" i="3"/>
  <c r="Z63" i="3"/>
  <c r="AB63" i="3"/>
  <c r="W63" i="3"/>
  <c r="Y63" i="3"/>
  <c r="AA63" i="3"/>
  <c r="AA64" i="3"/>
  <c r="W64" i="3"/>
  <c r="Y64" i="3"/>
  <c r="Z64" i="3"/>
  <c r="AB64" i="3"/>
  <c r="W66" i="3"/>
  <c r="Y66" i="3"/>
  <c r="Z66" i="3"/>
  <c r="AA66" i="3"/>
  <c r="AB66" i="3"/>
  <c r="Z67" i="3"/>
  <c r="AB67" i="3"/>
  <c r="W67" i="3"/>
  <c r="Y67" i="3"/>
  <c r="AA67" i="3"/>
  <c r="Z68" i="3"/>
  <c r="AA68" i="3"/>
  <c r="AB68" i="3"/>
  <c r="W68" i="3"/>
  <c r="Y68" i="3"/>
  <c r="W69" i="3"/>
  <c r="Y69" i="3"/>
  <c r="Z69" i="3"/>
  <c r="AA69" i="3"/>
  <c r="AB69" i="3"/>
  <c r="W70" i="3"/>
  <c r="Y70" i="3"/>
  <c r="Z70" i="3"/>
  <c r="AA70" i="3"/>
  <c r="AB70" i="3"/>
  <c r="Y73" i="3"/>
  <c r="W73" i="3"/>
  <c r="Z73" i="3"/>
  <c r="AA73" i="3"/>
  <c r="AB73" i="3"/>
  <c r="Y79" i="3"/>
  <c r="AA79" i="3"/>
  <c r="AB79" i="3"/>
  <c r="W79" i="3"/>
  <c r="Z79" i="3"/>
  <c r="Z80" i="3"/>
  <c r="AA80" i="3"/>
  <c r="AB80" i="3"/>
  <c r="W80" i="3"/>
  <c r="Y80" i="3"/>
  <c r="AA82" i="3"/>
  <c r="W82" i="3"/>
  <c r="Y82" i="3"/>
  <c r="Z82" i="3"/>
  <c r="AB82" i="3"/>
  <c r="Y84" i="3"/>
  <c r="Z84" i="3"/>
  <c r="AA84" i="3"/>
  <c r="AB84" i="3"/>
  <c r="W84" i="3"/>
  <c r="Y87" i="3"/>
  <c r="Z87" i="3"/>
  <c r="AA87" i="3"/>
  <c r="AB87" i="3"/>
  <c r="W87" i="3"/>
  <c r="Y88" i="3"/>
  <c r="Z88" i="3"/>
  <c r="AA88" i="3"/>
  <c r="AB88" i="3"/>
  <c r="W88" i="3"/>
  <c r="W91" i="3"/>
  <c r="Y91" i="3"/>
  <c r="Z91" i="3"/>
  <c r="AA91" i="3"/>
  <c r="AB91" i="3"/>
  <c r="W93" i="3"/>
  <c r="Y93" i="3"/>
  <c r="Z93" i="3"/>
  <c r="AA93" i="3"/>
  <c r="AB93" i="3"/>
  <c r="Z95" i="3"/>
  <c r="AA95" i="3"/>
  <c r="AB95" i="3"/>
  <c r="W95" i="3"/>
  <c r="Y95" i="3"/>
  <c r="Z97" i="3"/>
  <c r="AA97" i="3"/>
  <c r="AB97" i="3"/>
  <c r="W97" i="3"/>
  <c r="Y97" i="3"/>
  <c r="Y98" i="3"/>
  <c r="Z98" i="3"/>
  <c r="AA98" i="3"/>
  <c r="AB98" i="3"/>
  <c r="W98" i="3"/>
  <c r="W101" i="3"/>
  <c r="Y101" i="3"/>
  <c r="Z101" i="3"/>
  <c r="AA101" i="3"/>
  <c r="AB101" i="3"/>
  <c r="W102" i="3"/>
  <c r="Y102" i="3"/>
  <c r="Z102" i="3"/>
  <c r="AA102" i="3"/>
  <c r="AB102" i="3"/>
  <c r="Y104" i="3"/>
  <c r="Z104" i="3"/>
  <c r="AA104" i="3"/>
  <c r="AB104" i="3"/>
  <c r="W104" i="3"/>
  <c r="W105" i="3"/>
  <c r="Y105" i="3"/>
  <c r="Z105" i="3"/>
  <c r="AA105" i="3"/>
  <c r="AB105" i="3"/>
  <c r="Z109" i="3"/>
  <c r="AA109" i="3"/>
  <c r="AB109" i="3"/>
  <c r="W109" i="3"/>
  <c r="Y109" i="3"/>
  <c r="Y111" i="3"/>
  <c r="Z111" i="3"/>
  <c r="AA111" i="3"/>
  <c r="AB111" i="3"/>
  <c r="W111" i="3"/>
  <c r="W115" i="3"/>
  <c r="Y115" i="3"/>
  <c r="Z115" i="3"/>
  <c r="AA115" i="3"/>
  <c r="AB115" i="3"/>
  <c r="W118" i="3"/>
  <c r="Y118" i="3"/>
  <c r="Z118" i="3"/>
  <c r="AA118" i="3"/>
  <c r="AB118" i="3"/>
  <c r="Y119" i="3"/>
  <c r="Z119" i="3"/>
  <c r="AA119" i="3"/>
  <c r="AB119" i="3"/>
  <c r="W119" i="3"/>
  <c r="W121" i="3"/>
  <c r="Y121" i="3"/>
  <c r="Z121" i="3"/>
  <c r="AA121" i="3"/>
  <c r="AB121" i="3"/>
  <c r="Z123" i="3"/>
  <c r="AA123" i="3"/>
  <c r="AB123" i="3"/>
  <c r="W123" i="3"/>
  <c r="Y123" i="3"/>
  <c r="Z124" i="3"/>
  <c r="AA124" i="3"/>
  <c r="AB124" i="3"/>
  <c r="W124" i="3"/>
  <c r="Y124" i="3"/>
  <c r="Z132" i="3"/>
  <c r="AA132" i="3"/>
  <c r="AB132" i="3"/>
  <c r="W132" i="3"/>
  <c r="Y132" i="3"/>
  <c r="W133" i="3"/>
  <c r="Y133" i="3"/>
  <c r="Z133" i="3"/>
  <c r="AA133" i="3"/>
  <c r="AB133" i="3"/>
  <c r="Y134" i="3"/>
  <c r="Z134" i="3"/>
  <c r="AA134" i="3"/>
  <c r="AB134" i="3"/>
  <c r="W134" i="3"/>
  <c r="Z136" i="3"/>
  <c r="W136" i="3"/>
  <c r="Y136" i="3"/>
  <c r="AA136" i="3"/>
  <c r="AB136" i="3"/>
  <c r="Y139" i="3"/>
  <c r="Z139" i="3"/>
  <c r="AA139" i="3"/>
  <c r="AB139" i="3"/>
  <c r="W139" i="3"/>
  <c r="W140" i="3"/>
  <c r="Y140" i="3"/>
  <c r="Z140" i="3"/>
  <c r="AA140" i="3"/>
  <c r="AB140" i="3"/>
  <c r="Z143" i="3"/>
  <c r="AA143" i="3"/>
  <c r="AB143" i="3"/>
  <c r="W143" i="3"/>
  <c r="Y143" i="3"/>
  <c r="W145" i="3"/>
  <c r="Y145" i="3"/>
  <c r="Z145" i="3"/>
  <c r="AA145" i="3"/>
  <c r="AB145" i="3"/>
  <c r="Y150" i="3"/>
  <c r="Z150" i="3"/>
  <c r="AA150" i="3"/>
  <c r="AB150" i="3"/>
  <c r="W150" i="3"/>
  <c r="Y151" i="3"/>
  <c r="Z151" i="3"/>
  <c r="AA151" i="3"/>
  <c r="AB151" i="3"/>
  <c r="W151" i="3"/>
  <c r="Z152" i="3"/>
  <c r="AA152" i="3"/>
  <c r="AB152" i="3"/>
  <c r="W152" i="3"/>
  <c r="Y152" i="3"/>
  <c r="Z155" i="3"/>
  <c r="AB155" i="3"/>
  <c r="W155" i="3"/>
  <c r="Y155" i="3"/>
  <c r="AA155" i="3"/>
  <c r="Y156" i="3"/>
  <c r="Z156" i="3"/>
  <c r="AA156" i="3"/>
  <c r="AB156" i="3"/>
  <c r="W156" i="3"/>
  <c r="W159" i="3"/>
  <c r="Y159" i="3"/>
  <c r="Z159" i="3"/>
  <c r="AA159" i="3"/>
  <c r="AB159" i="3"/>
  <c r="Y163" i="3"/>
  <c r="Z163" i="3"/>
  <c r="AA163" i="3"/>
  <c r="AB163" i="3"/>
  <c r="W163" i="3"/>
  <c r="W165" i="3"/>
  <c r="Y165" i="3"/>
  <c r="Z165" i="3"/>
  <c r="AA165" i="3"/>
  <c r="AB165" i="3"/>
  <c r="Y171" i="3"/>
  <c r="Z171" i="3"/>
  <c r="AA171" i="3"/>
  <c r="AB171" i="3"/>
  <c r="W171" i="3"/>
  <c r="Z173" i="3"/>
  <c r="AA173" i="3"/>
  <c r="AB173" i="3"/>
  <c r="W173" i="3"/>
  <c r="Y173" i="3"/>
  <c r="W176" i="3"/>
  <c r="Y176" i="3"/>
  <c r="Z176" i="3"/>
  <c r="AA176" i="3"/>
  <c r="AB176" i="3"/>
  <c r="W178" i="3"/>
  <c r="Y178" i="3"/>
  <c r="Z178" i="3"/>
  <c r="AA178" i="3"/>
  <c r="AB178" i="3"/>
  <c r="Y180" i="3"/>
  <c r="Z180" i="3"/>
  <c r="AA180" i="3"/>
  <c r="AB180" i="3"/>
  <c r="W180" i="3"/>
  <c r="Y181" i="3"/>
  <c r="Z181" i="3"/>
  <c r="AA181" i="3"/>
  <c r="AB181" i="3"/>
  <c r="W181" i="3"/>
  <c r="Z183" i="3"/>
  <c r="AB183" i="3"/>
  <c r="W183" i="3"/>
  <c r="Y183" i="3"/>
  <c r="AA183" i="3"/>
  <c r="Z184" i="3"/>
  <c r="AA184" i="3"/>
  <c r="AB184" i="3"/>
  <c r="W184" i="3"/>
  <c r="Y184" i="3"/>
  <c r="Y186" i="3"/>
  <c r="AA186" i="3"/>
  <c r="AB186" i="3"/>
  <c r="W186" i="3"/>
  <c r="Z186" i="3"/>
  <c r="Y189" i="3"/>
  <c r="AA189" i="3"/>
  <c r="AB189" i="3"/>
  <c r="W189" i="3"/>
  <c r="Z189" i="3"/>
  <c r="Y191" i="3"/>
  <c r="AA191" i="3"/>
  <c r="AB191" i="3"/>
  <c r="W191" i="3"/>
  <c r="Z191" i="3"/>
  <c r="W193" i="3"/>
  <c r="Y193" i="3"/>
  <c r="Z193" i="3"/>
  <c r="AA193" i="3"/>
  <c r="AB193" i="3"/>
  <c r="Z196" i="3"/>
  <c r="W196" i="3"/>
  <c r="Y196" i="3"/>
  <c r="AA196" i="3"/>
  <c r="AB196" i="3"/>
  <c r="W198" i="3"/>
  <c r="Y198" i="3"/>
  <c r="Z198" i="3"/>
  <c r="AA198" i="3"/>
  <c r="AB198" i="3"/>
  <c r="Z200" i="3"/>
  <c r="W200" i="3"/>
  <c r="Y200" i="3"/>
  <c r="AA200" i="3"/>
  <c r="AB200" i="3"/>
  <c r="W202" i="3"/>
  <c r="Y202" i="3"/>
  <c r="Z202" i="3"/>
  <c r="AA202" i="3"/>
  <c r="AB202" i="3"/>
  <c r="W205" i="3"/>
  <c r="Y205" i="3"/>
  <c r="Z205" i="3"/>
  <c r="AA205" i="3"/>
  <c r="AB205" i="3"/>
  <c r="Y209" i="3"/>
  <c r="Z209" i="3"/>
  <c r="AA209" i="3"/>
  <c r="AB209" i="3"/>
  <c r="W209" i="3"/>
  <c r="Z217" i="3"/>
  <c r="AA217" i="3"/>
  <c r="AB217" i="3"/>
  <c r="W217" i="3"/>
  <c r="Y217" i="3"/>
  <c r="Y221" i="3"/>
  <c r="Z221" i="3"/>
  <c r="AA221" i="3"/>
  <c r="AB221" i="3"/>
  <c r="W221" i="3"/>
  <c r="W222" i="3"/>
  <c r="Y222" i="3"/>
  <c r="Z222" i="3"/>
  <c r="AA222" i="3"/>
  <c r="AB222" i="3"/>
  <c r="Y223" i="3"/>
  <c r="W223" i="3"/>
  <c r="Z223" i="3"/>
  <c r="AA223" i="3"/>
  <c r="AB223" i="3"/>
  <c r="W224" i="3"/>
  <c r="Y224" i="3"/>
  <c r="Z224" i="3"/>
  <c r="AA224" i="3"/>
  <c r="AB224" i="3"/>
  <c r="Y226" i="3"/>
  <c r="Z226" i="3"/>
  <c r="AA226" i="3"/>
  <c r="AB226" i="3"/>
  <c r="W226" i="3"/>
  <c r="Z228" i="3"/>
  <c r="AA228" i="3"/>
  <c r="AB228" i="3"/>
  <c r="W228" i="3"/>
  <c r="Y228" i="3"/>
  <c r="W230" i="3"/>
  <c r="Y230" i="3"/>
  <c r="Z230" i="3"/>
  <c r="AA230" i="3"/>
  <c r="AB230" i="3"/>
  <c r="W231" i="3"/>
  <c r="Y231" i="3"/>
  <c r="Z231" i="3"/>
  <c r="AA231" i="3"/>
  <c r="AB231" i="3"/>
  <c r="Z232" i="3"/>
  <c r="AA232" i="3"/>
  <c r="AB232" i="3"/>
  <c r="W232" i="3"/>
  <c r="Y232" i="3"/>
  <c r="Z235" i="3"/>
  <c r="AB235" i="3"/>
  <c r="W235" i="3"/>
  <c r="Y235" i="3"/>
  <c r="AA235" i="3"/>
  <c r="Y237" i="3"/>
  <c r="Z237" i="3"/>
  <c r="AA237" i="3"/>
  <c r="AB237" i="3"/>
  <c r="W237" i="3"/>
  <c r="Z241" i="3"/>
  <c r="AA241" i="3"/>
  <c r="AB241" i="3"/>
  <c r="W241" i="3"/>
  <c r="Y241" i="3"/>
  <c r="Y245" i="3"/>
  <c r="Z245" i="3"/>
  <c r="AA245" i="3"/>
  <c r="AB245" i="3"/>
  <c r="W245" i="3"/>
  <c r="Y249" i="3"/>
  <c r="Z249" i="3"/>
  <c r="AA249" i="3"/>
  <c r="AB249" i="3"/>
  <c r="W249" i="3"/>
  <c r="W251" i="3"/>
  <c r="Y251" i="3"/>
  <c r="Z251" i="3"/>
  <c r="AA251" i="3"/>
  <c r="AB251" i="3"/>
  <c r="Z252" i="3"/>
  <c r="AB252" i="3"/>
  <c r="W252" i="3"/>
  <c r="Y252" i="3"/>
  <c r="AA252" i="3"/>
  <c r="W254" i="3"/>
  <c r="Y254" i="3"/>
  <c r="Z254" i="3"/>
  <c r="AA254" i="3"/>
  <c r="AB254" i="3"/>
  <c r="Y256" i="3"/>
  <c r="Z256" i="3"/>
  <c r="AA256" i="3"/>
  <c r="AB256" i="3"/>
  <c r="W256" i="3"/>
  <c r="W257" i="3"/>
  <c r="Y257" i="3"/>
  <c r="Z257" i="3"/>
  <c r="AA257" i="3"/>
  <c r="AB257" i="3"/>
  <c r="Y258" i="3"/>
  <c r="Z258" i="3"/>
  <c r="AA258" i="3"/>
  <c r="AB258" i="3"/>
  <c r="W258" i="3"/>
  <c r="Z264" i="3"/>
  <c r="AA264" i="3"/>
  <c r="AB264" i="3"/>
  <c r="W264" i="3"/>
  <c r="Y264" i="3"/>
  <c r="Y266" i="3"/>
  <c r="Z266" i="3"/>
  <c r="W266" i="3"/>
  <c r="AA266" i="3"/>
  <c r="AB266" i="3"/>
  <c r="Y269" i="3"/>
  <c r="Z269" i="3"/>
  <c r="AA269" i="3"/>
  <c r="AB269" i="3"/>
  <c r="W269" i="3"/>
  <c r="Z273" i="3"/>
  <c r="AA273" i="3"/>
  <c r="AB273" i="3"/>
  <c r="W273" i="3"/>
  <c r="Y273" i="3"/>
  <c r="Y274" i="3"/>
  <c r="Z274" i="3"/>
  <c r="AA274" i="3"/>
  <c r="AB274" i="3"/>
  <c r="W274" i="3"/>
  <c r="Y275" i="3"/>
  <c r="Z275" i="3"/>
  <c r="AA275" i="3"/>
  <c r="AB275" i="3"/>
  <c r="W275" i="3"/>
  <c r="Y278" i="3"/>
  <c r="Z278" i="3"/>
  <c r="AA278" i="3"/>
  <c r="AB278" i="3"/>
  <c r="W278" i="3"/>
  <c r="Y282" i="3"/>
  <c r="Z282" i="3"/>
  <c r="AA282" i="3"/>
  <c r="AB282" i="3"/>
  <c r="W282" i="3"/>
  <c r="Y283" i="3"/>
  <c r="Z283" i="3"/>
  <c r="AA283" i="3"/>
  <c r="AB283" i="3"/>
  <c r="W283" i="3"/>
  <c r="Y284" i="3"/>
  <c r="Z284" i="3"/>
  <c r="AA284" i="3"/>
  <c r="AB284" i="3"/>
  <c r="W284" i="3"/>
  <c r="Y285" i="3"/>
  <c r="Z285" i="3"/>
  <c r="AA285" i="3"/>
  <c r="AB285" i="3"/>
  <c r="W285" i="3"/>
  <c r="Y286" i="3"/>
  <c r="Z286" i="3"/>
  <c r="AA286" i="3"/>
  <c r="AB286" i="3"/>
  <c r="W286" i="3"/>
  <c r="Y287" i="3"/>
  <c r="Z287" i="3"/>
  <c r="AA287" i="3"/>
  <c r="AB287" i="3"/>
  <c r="W287" i="3"/>
  <c r="Y288" i="3"/>
  <c r="Z288" i="3"/>
  <c r="AA288" i="3"/>
  <c r="AB288" i="3"/>
  <c r="W288" i="3"/>
  <c r="Y289" i="3"/>
  <c r="Z289" i="3"/>
  <c r="AA289" i="3"/>
  <c r="AB289" i="3"/>
  <c r="W289" i="3"/>
  <c r="Y290" i="3"/>
  <c r="Z290" i="3"/>
  <c r="AA290" i="3"/>
  <c r="AB290" i="3"/>
  <c r="W290" i="3"/>
  <c r="Y291" i="3"/>
  <c r="Z291" i="3"/>
  <c r="AA291" i="3"/>
  <c r="AB291" i="3"/>
  <c r="W291" i="3"/>
  <c r="Y292" i="3"/>
  <c r="Z292" i="3"/>
  <c r="AA292" i="3"/>
  <c r="AB292" i="3"/>
  <c r="W292" i="3"/>
  <c r="Y293" i="3"/>
  <c r="Z293" i="3"/>
  <c r="AA293" i="3"/>
  <c r="AB293" i="3"/>
  <c r="W293" i="3"/>
  <c r="Y294" i="3"/>
  <c r="Z294" i="3"/>
  <c r="AA294" i="3"/>
  <c r="AB294" i="3"/>
  <c r="W294" i="3"/>
  <c r="Y295" i="3"/>
  <c r="Z295" i="3"/>
  <c r="AA295" i="3"/>
  <c r="AB295" i="3"/>
  <c r="W295" i="3"/>
  <c r="Y296" i="3"/>
  <c r="Z296" i="3"/>
  <c r="AA296" i="3"/>
  <c r="AB296" i="3"/>
  <c r="W296" i="3"/>
  <c r="Y297" i="3"/>
  <c r="Z297" i="3"/>
  <c r="AA297" i="3"/>
  <c r="AB297" i="3"/>
  <c r="W297" i="3"/>
  <c r="Y298" i="3"/>
  <c r="Z298" i="3"/>
  <c r="AA298" i="3"/>
  <c r="AB298" i="3"/>
  <c r="W298" i="3"/>
  <c r="Y299" i="3"/>
  <c r="Z299" i="3"/>
  <c r="AA299" i="3"/>
  <c r="AB299" i="3"/>
  <c r="W299" i="3"/>
  <c r="Y300" i="3"/>
  <c r="Z300" i="3"/>
  <c r="AA300" i="3"/>
  <c r="AB300" i="3"/>
  <c r="W300" i="3"/>
  <c r="Y301" i="3"/>
  <c r="Z301" i="3"/>
  <c r="AA301" i="3"/>
  <c r="AB301" i="3"/>
  <c r="W301" i="3"/>
  <c r="Y302" i="3"/>
  <c r="Z302" i="3"/>
  <c r="AA302" i="3"/>
  <c r="AB302" i="3"/>
  <c r="W302" i="3"/>
  <c r="Y303" i="3"/>
  <c r="Z303" i="3"/>
  <c r="AA303" i="3"/>
  <c r="AB303" i="3"/>
  <c r="W303" i="3"/>
  <c r="Y304" i="3"/>
  <c r="Z304" i="3"/>
  <c r="AA304" i="3"/>
  <c r="AB304" i="3"/>
  <c r="W304" i="3"/>
  <c r="Y305" i="3"/>
  <c r="Z305" i="3"/>
  <c r="AA305" i="3"/>
  <c r="AB305" i="3"/>
  <c r="W305" i="3"/>
  <c r="Y306" i="3"/>
  <c r="Z306" i="3"/>
  <c r="AA306" i="3"/>
  <c r="AB306" i="3"/>
  <c r="W306" i="3"/>
  <c r="Y307" i="3"/>
  <c r="Z307" i="3"/>
  <c r="AA307" i="3"/>
  <c r="AB307" i="3"/>
  <c r="W307" i="3"/>
  <c r="Y308" i="3"/>
  <c r="Z308" i="3"/>
  <c r="AA308" i="3"/>
  <c r="AB308" i="3"/>
  <c r="W308" i="3"/>
  <c r="Y309" i="3"/>
  <c r="Z309" i="3"/>
  <c r="AA309" i="3"/>
  <c r="AB309" i="3"/>
  <c r="W309" i="3"/>
  <c r="Y310" i="3"/>
  <c r="Z310" i="3"/>
  <c r="AA310" i="3"/>
  <c r="AB310" i="3"/>
  <c r="W310" i="3"/>
  <c r="Y311" i="3"/>
  <c r="Z311" i="3"/>
  <c r="AA311" i="3"/>
  <c r="AB311" i="3"/>
  <c r="W311" i="3"/>
  <c r="Y312" i="3"/>
  <c r="Z312" i="3"/>
  <c r="AA312" i="3"/>
  <c r="AB312" i="3"/>
  <c r="W312" i="3"/>
  <c r="Y313" i="3"/>
  <c r="Z313" i="3"/>
  <c r="AA313" i="3"/>
  <c r="AB313" i="3"/>
  <c r="W313" i="3"/>
  <c r="Y314" i="3"/>
  <c r="Z314" i="3"/>
  <c r="AA314" i="3"/>
  <c r="AB314" i="3"/>
  <c r="W314" i="3"/>
  <c r="Y315" i="3"/>
  <c r="Z315" i="3"/>
  <c r="AA315" i="3"/>
  <c r="AB315" i="3"/>
  <c r="W315" i="3"/>
  <c r="Y316" i="3"/>
  <c r="Z316" i="3"/>
  <c r="AA316" i="3"/>
  <c r="AB316" i="3"/>
  <c r="W316" i="3"/>
  <c r="Y317" i="3"/>
  <c r="Z317" i="3"/>
  <c r="AA317" i="3"/>
  <c r="AB317" i="3"/>
  <c r="W317" i="3"/>
  <c r="Y318" i="3"/>
  <c r="Z318" i="3"/>
  <c r="AA318" i="3"/>
  <c r="AB318" i="3"/>
  <c r="W318" i="3"/>
  <c r="Y319" i="3"/>
  <c r="Z319" i="3"/>
  <c r="AA319" i="3"/>
  <c r="AB319" i="3"/>
  <c r="W319" i="3"/>
  <c r="Y320" i="3"/>
  <c r="Z320" i="3"/>
  <c r="AA320" i="3"/>
  <c r="AB320" i="3"/>
  <c r="W320" i="3"/>
  <c r="Y321" i="3"/>
  <c r="Z321" i="3"/>
  <c r="AA321" i="3"/>
  <c r="AB321" i="3"/>
  <c r="W321" i="3"/>
  <c r="Y322" i="3"/>
  <c r="Z322" i="3"/>
  <c r="AA322" i="3"/>
  <c r="AB322" i="3"/>
  <c r="W322" i="3"/>
  <c r="Y323" i="3"/>
  <c r="Z323" i="3"/>
  <c r="AA323" i="3"/>
  <c r="AB323" i="3"/>
  <c r="W323" i="3"/>
  <c r="Y324" i="3"/>
  <c r="Z324" i="3"/>
  <c r="AA324" i="3"/>
  <c r="AB324" i="3"/>
  <c r="W324" i="3"/>
  <c r="Y325" i="3"/>
  <c r="Z325" i="3"/>
  <c r="AA325" i="3"/>
  <c r="AB325" i="3"/>
  <c r="W325" i="3"/>
  <c r="Y326" i="3"/>
  <c r="Z326" i="3"/>
  <c r="AA326" i="3"/>
  <c r="AB326" i="3"/>
  <c r="W326" i="3"/>
  <c r="Y327" i="3"/>
  <c r="Z327" i="3"/>
  <c r="AA327" i="3"/>
  <c r="AB327" i="3"/>
  <c r="W327" i="3"/>
  <c r="Y328" i="3"/>
  <c r="Z328" i="3"/>
  <c r="AA328" i="3"/>
  <c r="AB328" i="3"/>
  <c r="W328" i="3"/>
  <c r="Y329" i="3"/>
  <c r="Z329" i="3"/>
  <c r="AA329" i="3"/>
  <c r="AB329" i="3"/>
  <c r="W329" i="3"/>
  <c r="Y330" i="3"/>
  <c r="Z330" i="3"/>
  <c r="AA330" i="3"/>
  <c r="AB330" i="3"/>
  <c r="W330" i="3"/>
  <c r="Y331" i="3"/>
  <c r="Z331" i="3"/>
  <c r="AA331" i="3"/>
  <c r="AB331" i="3"/>
  <c r="W331" i="3"/>
  <c r="Y332" i="3"/>
  <c r="Z332" i="3"/>
  <c r="AA332" i="3"/>
  <c r="AB332" i="3"/>
  <c r="W332" i="3"/>
  <c r="Y333" i="3"/>
  <c r="Z333" i="3"/>
  <c r="AA333" i="3"/>
  <c r="AB333" i="3"/>
  <c r="W333" i="3"/>
  <c r="Y334" i="3"/>
  <c r="Z334" i="3"/>
  <c r="AA334" i="3"/>
  <c r="AB334" i="3"/>
  <c r="W334" i="3"/>
  <c r="Y335" i="3"/>
  <c r="Z335" i="3"/>
  <c r="AA335" i="3"/>
  <c r="AB335" i="3"/>
  <c r="W335" i="3"/>
  <c r="Y336" i="3"/>
  <c r="Z336" i="3"/>
  <c r="AA336" i="3"/>
  <c r="AB336" i="3"/>
  <c r="W336" i="3"/>
  <c r="Y337" i="3"/>
  <c r="Z337" i="3"/>
  <c r="AA337" i="3"/>
  <c r="AB337" i="3"/>
  <c r="W337" i="3"/>
  <c r="Y338" i="3"/>
  <c r="Z338" i="3"/>
  <c r="AA338" i="3"/>
  <c r="AB338" i="3"/>
  <c r="W338" i="3"/>
  <c r="Y339" i="3"/>
  <c r="Z339" i="3"/>
  <c r="AA339" i="3"/>
  <c r="AB339" i="3"/>
  <c r="W339" i="3"/>
  <c r="Y340" i="3"/>
  <c r="Z340" i="3"/>
  <c r="AA340" i="3"/>
  <c r="AB340" i="3"/>
  <c r="W340" i="3"/>
  <c r="Y341" i="3"/>
  <c r="Z341" i="3"/>
  <c r="AA341" i="3"/>
  <c r="AB341" i="3"/>
  <c r="W341" i="3"/>
  <c r="Y342" i="3"/>
  <c r="Z342" i="3"/>
  <c r="AA342" i="3"/>
  <c r="AB342" i="3"/>
  <c r="W342" i="3"/>
  <c r="Y343" i="3"/>
  <c r="Z343" i="3"/>
  <c r="AA343" i="3"/>
  <c r="AB343" i="3"/>
  <c r="W343" i="3"/>
  <c r="Y344" i="3"/>
  <c r="Z344" i="3"/>
  <c r="AA344" i="3"/>
  <c r="AB344" i="3"/>
  <c r="W344" i="3"/>
  <c r="Y345" i="3"/>
  <c r="Z345" i="3"/>
  <c r="AA345" i="3"/>
  <c r="AB345" i="3"/>
  <c r="W345" i="3"/>
  <c r="Y346" i="3"/>
  <c r="Z346" i="3"/>
  <c r="AA346" i="3"/>
  <c r="AB346" i="3"/>
  <c r="W346" i="3"/>
  <c r="Y347" i="3"/>
  <c r="Z347" i="3"/>
  <c r="AA347" i="3"/>
  <c r="AB347" i="3"/>
  <c r="W347" i="3"/>
  <c r="Y348" i="3"/>
  <c r="Z348" i="3"/>
  <c r="AA348" i="3"/>
  <c r="AB348" i="3"/>
  <c r="W348" i="3"/>
  <c r="Y349" i="3"/>
  <c r="Z349" i="3"/>
  <c r="AA349" i="3"/>
  <c r="AB349" i="3"/>
  <c r="W349" i="3"/>
  <c r="Y350" i="3"/>
  <c r="Z350" i="3"/>
  <c r="AA350" i="3"/>
  <c r="AB350" i="3"/>
  <c r="W350" i="3"/>
  <c r="Y351" i="3"/>
  <c r="Z351" i="3"/>
  <c r="AA351" i="3"/>
  <c r="AB351" i="3"/>
  <c r="W351" i="3"/>
  <c r="Y352" i="3"/>
  <c r="Z352" i="3"/>
  <c r="AA352" i="3"/>
  <c r="AB352" i="3"/>
  <c r="W352" i="3"/>
  <c r="Y353" i="3"/>
  <c r="Z353" i="3"/>
  <c r="AA353" i="3"/>
  <c r="AB353" i="3"/>
  <c r="W353" i="3"/>
  <c r="Y354" i="3"/>
  <c r="Z354" i="3"/>
  <c r="AA354" i="3"/>
  <c r="AB354" i="3"/>
  <c r="W354" i="3"/>
  <c r="Y355" i="3"/>
  <c r="Z355" i="3"/>
  <c r="AA355" i="3"/>
  <c r="AB355" i="3"/>
  <c r="W355" i="3"/>
  <c r="Y356" i="3"/>
  <c r="Z356" i="3"/>
  <c r="AA356" i="3"/>
  <c r="AB356" i="3"/>
  <c r="W356" i="3"/>
  <c r="Y357" i="3"/>
  <c r="Z357" i="3"/>
  <c r="AA357" i="3"/>
  <c r="AB357" i="3"/>
  <c r="W357" i="3"/>
  <c r="Y358" i="3"/>
  <c r="Z358" i="3"/>
  <c r="AA358" i="3"/>
  <c r="AB358" i="3"/>
  <c r="W358" i="3"/>
  <c r="Y359" i="3"/>
  <c r="Z359" i="3"/>
  <c r="AA359" i="3"/>
  <c r="AB359" i="3"/>
  <c r="W359" i="3"/>
  <c r="Y360" i="3"/>
  <c r="Z360" i="3"/>
  <c r="AA360" i="3"/>
  <c r="AB360" i="3"/>
  <c r="W360" i="3"/>
  <c r="Y361" i="3"/>
  <c r="Z361" i="3"/>
  <c r="AA361" i="3"/>
  <c r="AB361" i="3"/>
  <c r="W361" i="3"/>
  <c r="Y362" i="3"/>
  <c r="Z362" i="3"/>
  <c r="AA362" i="3"/>
  <c r="AB362" i="3"/>
  <c r="W362" i="3"/>
  <c r="Y363" i="3"/>
  <c r="Z363" i="3"/>
  <c r="AA363" i="3"/>
  <c r="AB363" i="3"/>
  <c r="W363" i="3"/>
  <c r="Y364" i="3"/>
  <c r="Z364" i="3"/>
  <c r="AA364" i="3"/>
  <c r="AB364" i="3"/>
  <c r="W364" i="3"/>
  <c r="Y365" i="3"/>
  <c r="Z365" i="3"/>
  <c r="AA365" i="3"/>
  <c r="AB365" i="3"/>
  <c r="W365" i="3"/>
  <c r="Y366" i="3"/>
  <c r="Z366" i="3"/>
  <c r="AA366" i="3"/>
  <c r="AB366" i="3"/>
  <c r="W366" i="3"/>
  <c r="Y367" i="3"/>
  <c r="Z367" i="3"/>
  <c r="AA367" i="3"/>
  <c r="AB367" i="3"/>
  <c r="W367" i="3"/>
  <c r="Y368" i="3"/>
  <c r="Z368" i="3"/>
  <c r="AA368" i="3"/>
  <c r="AB368" i="3"/>
  <c r="W368" i="3"/>
  <c r="Y369" i="3"/>
  <c r="Z369" i="3"/>
  <c r="AA369" i="3"/>
  <c r="AB369" i="3"/>
  <c r="W369" i="3"/>
  <c r="Y370" i="3"/>
  <c r="Z370" i="3"/>
  <c r="AA370" i="3"/>
  <c r="AB370" i="3"/>
  <c r="W370" i="3"/>
  <c r="Y371" i="3"/>
  <c r="Z371" i="3"/>
  <c r="AA371" i="3"/>
  <c r="AB371" i="3"/>
  <c r="W371" i="3"/>
  <c r="Y372" i="3"/>
  <c r="Z372" i="3"/>
  <c r="AA372" i="3"/>
  <c r="AB372" i="3"/>
  <c r="W372" i="3"/>
  <c r="Y373" i="3"/>
  <c r="Z373" i="3"/>
  <c r="AA373" i="3"/>
  <c r="AB373" i="3"/>
  <c r="W373" i="3"/>
  <c r="Y374" i="3"/>
  <c r="Z374" i="3"/>
  <c r="AA374" i="3"/>
  <c r="AB374" i="3"/>
  <c r="W374" i="3"/>
  <c r="Y375" i="3"/>
  <c r="Z375" i="3"/>
  <c r="AA375" i="3"/>
  <c r="AB375" i="3"/>
  <c r="W375" i="3"/>
  <c r="Y376" i="3"/>
  <c r="Z376" i="3"/>
  <c r="AA376" i="3"/>
  <c r="AB376" i="3"/>
  <c r="W376" i="3"/>
  <c r="Y377" i="3"/>
  <c r="Z377" i="3"/>
  <c r="AA377" i="3"/>
  <c r="AB377" i="3"/>
  <c r="W377" i="3"/>
  <c r="Y378" i="3"/>
  <c r="Z378" i="3"/>
  <c r="AA378" i="3"/>
  <c r="AB378" i="3"/>
  <c r="W378" i="3"/>
  <c r="Y379" i="3"/>
  <c r="Z379" i="3"/>
  <c r="AA379" i="3"/>
  <c r="AB379" i="3"/>
  <c r="W379" i="3"/>
  <c r="Y380" i="3"/>
  <c r="Z380" i="3"/>
  <c r="AA380" i="3"/>
  <c r="AB380" i="3"/>
  <c r="W380" i="3"/>
  <c r="Y381" i="3"/>
  <c r="Z381" i="3"/>
  <c r="AA381" i="3"/>
  <c r="AB381" i="3"/>
  <c r="W381" i="3"/>
  <c r="Y382" i="3"/>
  <c r="Z382" i="3"/>
  <c r="AA382" i="3"/>
  <c r="AB382" i="3"/>
  <c r="W382" i="3"/>
  <c r="Y383" i="3"/>
  <c r="Z383" i="3"/>
  <c r="AA383" i="3"/>
  <c r="AB383" i="3"/>
  <c r="W383" i="3"/>
  <c r="Y384" i="3"/>
  <c r="Z384" i="3"/>
  <c r="AA384" i="3"/>
  <c r="AB384" i="3"/>
  <c r="W384" i="3"/>
  <c r="Y385" i="3"/>
  <c r="Z385" i="3"/>
  <c r="AA385" i="3"/>
  <c r="AB385" i="3"/>
  <c r="W385" i="3"/>
  <c r="Y386" i="3"/>
  <c r="Z386" i="3"/>
  <c r="AA386" i="3"/>
  <c r="AB386" i="3"/>
  <c r="W386" i="3"/>
  <c r="Y387" i="3"/>
  <c r="Z387" i="3"/>
  <c r="AA387" i="3"/>
  <c r="AB387" i="3"/>
  <c r="W387" i="3"/>
  <c r="Y388" i="3"/>
  <c r="Z388" i="3"/>
  <c r="AA388" i="3"/>
  <c r="AB388" i="3"/>
  <c r="W388" i="3"/>
  <c r="Y389" i="3"/>
  <c r="Z389" i="3"/>
  <c r="AA389" i="3"/>
  <c r="AB389" i="3"/>
  <c r="W389" i="3"/>
  <c r="Y390" i="3"/>
  <c r="Z390" i="3"/>
  <c r="AA390" i="3"/>
  <c r="AB390" i="3"/>
  <c r="W390" i="3"/>
  <c r="Y391" i="3"/>
  <c r="Z391" i="3"/>
  <c r="AA391" i="3"/>
  <c r="AB391" i="3"/>
  <c r="W391" i="3"/>
  <c r="Y392" i="3"/>
  <c r="Z392" i="3"/>
  <c r="AA392" i="3"/>
  <c r="AB392" i="3"/>
  <c r="W392" i="3"/>
  <c r="Y393" i="3"/>
  <c r="Z393" i="3"/>
  <c r="AA393" i="3"/>
  <c r="AB393" i="3"/>
  <c r="W393" i="3"/>
  <c r="Y394" i="3"/>
  <c r="Z394" i="3"/>
  <c r="AA394" i="3"/>
  <c r="AB394" i="3"/>
  <c r="W394" i="3"/>
  <c r="Y395" i="3"/>
  <c r="Z395" i="3"/>
  <c r="AA395" i="3"/>
  <c r="AB395" i="3"/>
  <c r="W395" i="3"/>
  <c r="Y396" i="3"/>
  <c r="Z396" i="3"/>
  <c r="AA396" i="3"/>
  <c r="AB396" i="3"/>
  <c r="W396" i="3"/>
  <c r="Y397" i="3"/>
  <c r="Z397" i="3"/>
  <c r="AA397" i="3"/>
  <c r="AB397" i="3"/>
  <c r="W397" i="3"/>
  <c r="Y398" i="3"/>
  <c r="Z398" i="3"/>
  <c r="AA398" i="3"/>
  <c r="AB398" i="3"/>
  <c r="W398" i="3"/>
  <c r="Y399" i="3"/>
  <c r="Z399" i="3"/>
  <c r="AA399" i="3"/>
  <c r="AB399" i="3"/>
  <c r="W399" i="3"/>
  <c r="Y400" i="3"/>
  <c r="Z400" i="3"/>
  <c r="AA400" i="3"/>
  <c r="AB400" i="3"/>
  <c r="W400" i="3"/>
  <c r="Y401" i="3"/>
  <c r="Z401" i="3"/>
  <c r="AA401" i="3"/>
  <c r="AB401" i="3"/>
  <c r="W401" i="3"/>
  <c r="Y402" i="3"/>
  <c r="Z402" i="3"/>
  <c r="AA402" i="3"/>
  <c r="AB402" i="3"/>
  <c r="W402" i="3"/>
  <c r="Y403" i="3"/>
  <c r="Z403" i="3"/>
  <c r="AA403" i="3"/>
  <c r="AB403" i="3"/>
  <c r="W403" i="3"/>
  <c r="Y404" i="3"/>
  <c r="Z404" i="3"/>
  <c r="AA404" i="3"/>
  <c r="AB404" i="3"/>
  <c r="W404" i="3"/>
  <c r="Y405" i="3"/>
  <c r="Z405" i="3"/>
  <c r="AA405" i="3"/>
  <c r="AB405" i="3"/>
  <c r="W405" i="3"/>
  <c r="Y406" i="3"/>
  <c r="Z406" i="3"/>
  <c r="AA406" i="3"/>
  <c r="AB406" i="3"/>
  <c r="W406" i="3"/>
  <c r="Y407" i="3"/>
  <c r="Z407" i="3"/>
  <c r="AA407" i="3"/>
  <c r="AB407" i="3"/>
  <c r="W407" i="3"/>
  <c r="Y408" i="3"/>
  <c r="Z408" i="3"/>
  <c r="AA408" i="3"/>
  <c r="AB408" i="3"/>
  <c r="W408" i="3"/>
  <c r="Y409" i="3"/>
  <c r="Z409" i="3"/>
  <c r="AA409" i="3"/>
  <c r="AB409" i="3"/>
  <c r="W409" i="3"/>
  <c r="Y410" i="3"/>
  <c r="Z410" i="3"/>
  <c r="AA410" i="3"/>
  <c r="AB410" i="3"/>
  <c r="W410" i="3"/>
  <c r="Y411" i="3"/>
  <c r="Z411" i="3"/>
  <c r="AA411" i="3"/>
  <c r="AB411" i="3"/>
  <c r="W411" i="3"/>
  <c r="Y412" i="3"/>
  <c r="Z412" i="3"/>
  <c r="AA412" i="3"/>
  <c r="AB412" i="3"/>
  <c r="W412" i="3"/>
  <c r="Y413" i="3"/>
  <c r="Z413" i="3"/>
  <c r="AA413" i="3"/>
  <c r="AB413" i="3"/>
  <c r="W413" i="3"/>
  <c r="Y414" i="3"/>
  <c r="Z414" i="3"/>
  <c r="AA414" i="3"/>
  <c r="AB414" i="3"/>
  <c r="W414" i="3"/>
  <c r="Y415" i="3"/>
  <c r="Z415" i="3"/>
  <c r="AA415" i="3"/>
  <c r="AB415" i="3"/>
  <c r="W415" i="3"/>
  <c r="Y416" i="3"/>
  <c r="Z416" i="3"/>
  <c r="AA416" i="3"/>
  <c r="AB416" i="3"/>
  <c r="W416" i="3"/>
  <c r="Y417" i="3"/>
  <c r="Z417" i="3"/>
  <c r="AA417" i="3"/>
  <c r="AB417" i="3"/>
  <c r="W417" i="3"/>
  <c r="Y418" i="3"/>
  <c r="Z418" i="3"/>
  <c r="AA418" i="3"/>
  <c r="AB418" i="3"/>
  <c r="W418" i="3"/>
  <c r="Y419" i="3"/>
  <c r="Z419" i="3"/>
  <c r="AA419" i="3"/>
  <c r="AB419" i="3"/>
  <c r="W419" i="3"/>
  <c r="Y420" i="3"/>
  <c r="Z420" i="3"/>
  <c r="AA420" i="3"/>
  <c r="AB420" i="3"/>
  <c r="W420" i="3"/>
  <c r="Y421" i="3"/>
  <c r="Z421" i="3"/>
  <c r="AA421" i="3"/>
  <c r="AB421" i="3"/>
  <c r="W421" i="3"/>
  <c r="Y422" i="3"/>
  <c r="Z422" i="3"/>
  <c r="AA422" i="3"/>
  <c r="AB422" i="3"/>
  <c r="W422" i="3"/>
  <c r="Y423" i="3"/>
  <c r="Z423" i="3"/>
  <c r="AA423" i="3"/>
  <c r="AB423" i="3"/>
  <c r="W423" i="3"/>
  <c r="Y424" i="3"/>
  <c r="Z424" i="3"/>
  <c r="AA424" i="3"/>
  <c r="AB424" i="3"/>
  <c r="W424" i="3"/>
  <c r="Y425" i="3"/>
  <c r="Z425" i="3"/>
  <c r="AA425" i="3"/>
  <c r="AB425" i="3"/>
  <c r="W425" i="3"/>
  <c r="Y426" i="3"/>
  <c r="Z426" i="3"/>
  <c r="AA426" i="3"/>
  <c r="AB426" i="3"/>
  <c r="W426" i="3"/>
  <c r="Y427" i="3"/>
  <c r="Z427" i="3"/>
  <c r="AA427" i="3"/>
  <c r="AB427" i="3"/>
  <c r="W427" i="3"/>
  <c r="Y428" i="3"/>
  <c r="Z428" i="3"/>
  <c r="AA428" i="3"/>
  <c r="AB428" i="3"/>
  <c r="W428" i="3"/>
  <c r="Y429" i="3"/>
  <c r="Z429" i="3"/>
  <c r="AA429" i="3"/>
  <c r="AB429" i="3"/>
  <c r="W429" i="3"/>
  <c r="Y430" i="3"/>
  <c r="Z430" i="3"/>
  <c r="AA430" i="3"/>
  <c r="AB430" i="3"/>
  <c r="W430" i="3"/>
  <c r="Y431" i="3"/>
  <c r="Z431" i="3"/>
  <c r="AA431" i="3"/>
  <c r="AB431" i="3"/>
  <c r="W431" i="3"/>
  <c r="Y432" i="3"/>
  <c r="Z432" i="3"/>
  <c r="AA432" i="3"/>
  <c r="AB432" i="3"/>
  <c r="W432" i="3"/>
  <c r="Y433" i="3"/>
  <c r="Z433" i="3"/>
  <c r="AA433" i="3"/>
  <c r="AB433" i="3"/>
  <c r="W433" i="3"/>
  <c r="Y434" i="3"/>
  <c r="Z434" i="3"/>
  <c r="AA434" i="3"/>
  <c r="AB434" i="3"/>
  <c r="W434" i="3"/>
  <c r="Y435" i="3"/>
  <c r="Z435" i="3"/>
  <c r="AA435" i="3"/>
  <c r="AB435" i="3"/>
  <c r="W435" i="3"/>
  <c r="Y436" i="3"/>
  <c r="Z436" i="3"/>
  <c r="AA436" i="3"/>
  <c r="AB436" i="3"/>
  <c r="W436" i="3"/>
  <c r="Y437" i="3"/>
  <c r="Z437" i="3"/>
  <c r="AA437" i="3"/>
  <c r="AB437" i="3"/>
  <c r="W437" i="3"/>
  <c r="Y438" i="3"/>
  <c r="Z438" i="3"/>
  <c r="AA438" i="3"/>
  <c r="AB438" i="3"/>
  <c r="W438" i="3"/>
  <c r="Y439" i="3"/>
  <c r="Z439" i="3"/>
  <c r="AA439" i="3"/>
  <c r="AB439" i="3"/>
  <c r="W439" i="3"/>
  <c r="Y440" i="3"/>
  <c r="Z440" i="3"/>
  <c r="AA440" i="3"/>
  <c r="AB440" i="3"/>
  <c r="W440" i="3"/>
  <c r="Y441" i="3"/>
  <c r="Z441" i="3"/>
  <c r="AA441" i="3"/>
  <c r="AB441" i="3"/>
  <c r="W441" i="3"/>
  <c r="Y442" i="3"/>
  <c r="Z442" i="3"/>
  <c r="AA442" i="3"/>
  <c r="AB442" i="3"/>
  <c r="W442" i="3"/>
  <c r="Y443" i="3"/>
  <c r="Z443" i="3"/>
  <c r="AA443" i="3"/>
  <c r="AB443" i="3"/>
  <c r="W443" i="3"/>
  <c r="Y444" i="3"/>
  <c r="Z444" i="3"/>
  <c r="AA444" i="3"/>
  <c r="AB444" i="3"/>
  <c r="W444" i="3"/>
  <c r="Y445" i="3"/>
  <c r="Z445" i="3"/>
  <c r="AA445" i="3"/>
  <c r="AB445" i="3"/>
  <c r="W445" i="3"/>
  <c r="Y446" i="3"/>
  <c r="Z446" i="3"/>
  <c r="AA446" i="3"/>
  <c r="AB446" i="3"/>
  <c r="W446" i="3"/>
  <c r="Y447" i="3"/>
  <c r="Z447" i="3"/>
  <c r="AA447" i="3"/>
  <c r="AB447" i="3"/>
  <c r="W447" i="3"/>
  <c r="Y448" i="3"/>
  <c r="Z448" i="3"/>
  <c r="AA448" i="3"/>
  <c r="AB448" i="3"/>
  <c r="W448" i="3"/>
  <c r="Y449" i="3"/>
  <c r="Z449" i="3"/>
  <c r="AA449" i="3"/>
  <c r="AB449" i="3"/>
  <c r="W449" i="3"/>
  <c r="Y450" i="3"/>
  <c r="Z450" i="3"/>
  <c r="AA450" i="3"/>
  <c r="AB450" i="3"/>
  <c r="W450" i="3"/>
  <c r="Y451" i="3"/>
  <c r="Z451" i="3"/>
  <c r="AA451" i="3"/>
  <c r="AB451" i="3"/>
  <c r="W451" i="3"/>
  <c r="Y452" i="3"/>
  <c r="Z452" i="3"/>
  <c r="AA452" i="3"/>
  <c r="AB452" i="3"/>
  <c r="W452" i="3"/>
  <c r="Y453" i="3"/>
  <c r="Z453" i="3"/>
  <c r="AA453" i="3"/>
  <c r="AB453" i="3"/>
  <c r="W453" i="3"/>
  <c r="Y454" i="3"/>
  <c r="Z454" i="3"/>
  <c r="AA454" i="3"/>
  <c r="AB454" i="3"/>
  <c r="W454" i="3"/>
  <c r="Y455" i="3"/>
  <c r="Z455" i="3"/>
  <c r="AA455" i="3"/>
  <c r="AB455" i="3"/>
  <c r="W455" i="3"/>
  <c r="Y456" i="3"/>
  <c r="Z456" i="3"/>
  <c r="AA456" i="3"/>
  <c r="AB456" i="3"/>
  <c r="W456" i="3"/>
  <c r="Y457" i="3"/>
  <c r="Z457" i="3"/>
  <c r="AA457" i="3"/>
  <c r="AB457" i="3"/>
  <c r="W457" i="3"/>
  <c r="Y458" i="3"/>
  <c r="Z458" i="3"/>
  <c r="AA458" i="3"/>
  <c r="AB458" i="3"/>
  <c r="W458" i="3"/>
  <c r="Y459" i="3"/>
  <c r="Z459" i="3"/>
  <c r="AA459" i="3"/>
  <c r="AB459" i="3"/>
  <c r="W459" i="3"/>
  <c r="Y460" i="3"/>
  <c r="Z460" i="3"/>
  <c r="AA460" i="3"/>
  <c r="AB460" i="3"/>
  <c r="W460" i="3"/>
  <c r="Y461" i="3"/>
  <c r="Z461" i="3"/>
  <c r="AA461" i="3"/>
  <c r="AB461" i="3"/>
  <c r="W461" i="3"/>
  <c r="Y462" i="3"/>
  <c r="Z462" i="3"/>
  <c r="AA462" i="3"/>
  <c r="AB462" i="3"/>
  <c r="W462" i="3"/>
  <c r="Y463" i="3"/>
  <c r="Z463" i="3"/>
  <c r="AA463" i="3"/>
  <c r="AB463" i="3"/>
  <c r="W463" i="3"/>
  <c r="Y464" i="3"/>
  <c r="Z464" i="3"/>
  <c r="AA464" i="3"/>
  <c r="AB464" i="3"/>
  <c r="W464" i="3"/>
  <c r="Y465" i="3"/>
  <c r="Z465" i="3"/>
  <c r="AA465" i="3"/>
  <c r="AB465" i="3"/>
  <c r="W465" i="3"/>
  <c r="Y466" i="3"/>
  <c r="Z466" i="3"/>
  <c r="AA466" i="3"/>
  <c r="AB466" i="3"/>
  <c r="W466" i="3"/>
  <c r="Y467" i="3"/>
  <c r="Z467" i="3"/>
  <c r="AA467" i="3"/>
  <c r="AB467" i="3"/>
  <c r="W467" i="3"/>
  <c r="Y468" i="3"/>
  <c r="Z468" i="3"/>
  <c r="AA468" i="3"/>
  <c r="AB468" i="3"/>
  <c r="W468" i="3"/>
  <c r="Y469" i="3"/>
  <c r="Z469" i="3"/>
  <c r="AA469" i="3"/>
  <c r="AB469" i="3"/>
  <c r="W469" i="3"/>
  <c r="Y470" i="3"/>
  <c r="Z470" i="3"/>
  <c r="AA470" i="3"/>
  <c r="AB470" i="3"/>
  <c r="W470" i="3"/>
  <c r="Y471" i="3"/>
  <c r="Z471" i="3"/>
  <c r="AA471" i="3"/>
  <c r="AB471" i="3"/>
  <c r="W471" i="3"/>
  <c r="Y472" i="3"/>
  <c r="Z472" i="3"/>
  <c r="AA472" i="3"/>
  <c r="AB472" i="3"/>
  <c r="W472" i="3"/>
  <c r="Y473" i="3"/>
  <c r="Z473" i="3"/>
  <c r="AA473" i="3"/>
  <c r="AB473" i="3"/>
  <c r="W473" i="3"/>
  <c r="Y474" i="3"/>
  <c r="Z474" i="3"/>
  <c r="AA474" i="3"/>
  <c r="AB474" i="3"/>
  <c r="W474" i="3"/>
  <c r="Y475" i="3"/>
  <c r="Z475" i="3"/>
  <c r="AA475" i="3"/>
  <c r="AB475" i="3"/>
  <c r="W475" i="3"/>
  <c r="Y476" i="3"/>
  <c r="Z476" i="3"/>
  <c r="AA476" i="3"/>
  <c r="AB476" i="3"/>
  <c r="W476" i="3"/>
  <c r="Y477" i="3"/>
  <c r="Z477" i="3"/>
  <c r="AA477" i="3"/>
  <c r="AB477" i="3"/>
  <c r="W477" i="3"/>
  <c r="Y478" i="3"/>
  <c r="Z478" i="3"/>
  <c r="AA478" i="3"/>
  <c r="AB478" i="3"/>
  <c r="W478" i="3"/>
  <c r="Y479" i="3"/>
  <c r="Z479" i="3"/>
  <c r="AA479" i="3"/>
  <c r="AB479" i="3"/>
  <c r="W479" i="3"/>
  <c r="Y480" i="3"/>
  <c r="Z480" i="3"/>
  <c r="AA480" i="3"/>
  <c r="AB480" i="3"/>
  <c r="W480" i="3"/>
  <c r="Y481" i="3"/>
  <c r="Z481" i="3"/>
  <c r="AA481" i="3"/>
  <c r="AB481" i="3"/>
  <c r="W481" i="3"/>
  <c r="Y482" i="3"/>
  <c r="Z482" i="3"/>
  <c r="AA482" i="3"/>
  <c r="AB482" i="3"/>
  <c r="W482" i="3"/>
  <c r="Y483" i="3"/>
  <c r="Z483" i="3"/>
  <c r="AA483" i="3"/>
  <c r="AB483" i="3"/>
  <c r="W483" i="3"/>
  <c r="Y484" i="3"/>
  <c r="Z484" i="3"/>
  <c r="AA484" i="3"/>
  <c r="AB484" i="3"/>
  <c r="W484" i="3"/>
  <c r="Y485" i="3"/>
  <c r="Z485" i="3"/>
  <c r="AA485" i="3"/>
  <c r="AB485" i="3"/>
  <c r="W485" i="3"/>
  <c r="Y486" i="3"/>
  <c r="Z486" i="3"/>
  <c r="AA486" i="3"/>
  <c r="AB486" i="3"/>
  <c r="W486" i="3"/>
  <c r="Y487" i="3"/>
  <c r="Z487" i="3"/>
  <c r="AA487" i="3"/>
  <c r="AB487" i="3"/>
  <c r="W487" i="3"/>
  <c r="Y488" i="3"/>
  <c r="Z488" i="3"/>
  <c r="AA488" i="3"/>
  <c r="AB488" i="3"/>
  <c r="W488" i="3"/>
  <c r="Y489" i="3"/>
  <c r="Z489" i="3"/>
  <c r="AA489" i="3"/>
  <c r="AB489" i="3"/>
  <c r="W489" i="3"/>
  <c r="Y490" i="3"/>
  <c r="Z490" i="3"/>
  <c r="AA490" i="3"/>
  <c r="AB490" i="3"/>
  <c r="W490" i="3"/>
  <c r="Y491" i="3"/>
  <c r="Z491" i="3"/>
  <c r="AA491" i="3"/>
  <c r="AB491" i="3"/>
  <c r="W491" i="3"/>
  <c r="Y492" i="3"/>
  <c r="Z492" i="3"/>
  <c r="AA492" i="3"/>
  <c r="AB492" i="3"/>
  <c r="W492" i="3"/>
  <c r="Y493" i="3"/>
  <c r="Z493" i="3"/>
  <c r="AA493" i="3"/>
  <c r="AB493" i="3"/>
  <c r="W493" i="3"/>
  <c r="Y494" i="3"/>
  <c r="Z494" i="3"/>
  <c r="AA494" i="3"/>
  <c r="AB494" i="3"/>
  <c r="W494" i="3"/>
  <c r="Y495" i="3"/>
  <c r="Z495" i="3"/>
  <c r="AA495" i="3"/>
  <c r="AB495" i="3"/>
  <c r="W495" i="3"/>
  <c r="Y496" i="3"/>
  <c r="Z496" i="3"/>
  <c r="AA496" i="3"/>
  <c r="AB496" i="3"/>
  <c r="W496" i="3"/>
  <c r="Y497" i="3"/>
  <c r="Z497" i="3"/>
  <c r="AA497" i="3"/>
  <c r="AB497" i="3"/>
  <c r="W497" i="3"/>
  <c r="Y498" i="3"/>
  <c r="Z498" i="3"/>
  <c r="AA498" i="3"/>
  <c r="AB498" i="3"/>
  <c r="W498" i="3"/>
  <c r="Y499" i="3"/>
  <c r="Z499" i="3"/>
  <c r="AA499" i="3"/>
  <c r="AB499" i="3"/>
  <c r="W499" i="3"/>
  <c r="Y500" i="3"/>
  <c r="Z500" i="3"/>
  <c r="AA500" i="3"/>
  <c r="AB500" i="3"/>
  <c r="W500" i="3"/>
  <c r="Y501" i="3"/>
  <c r="Z501" i="3"/>
  <c r="AA501" i="3"/>
  <c r="AB501" i="3"/>
  <c r="W501" i="3"/>
  <c r="Y502" i="3"/>
  <c r="Z502" i="3"/>
  <c r="AA502" i="3"/>
  <c r="AB502" i="3"/>
  <c r="W502" i="3"/>
  <c r="Y503" i="3"/>
  <c r="Z503" i="3"/>
  <c r="AA503" i="3"/>
  <c r="AB503" i="3"/>
  <c r="W503" i="3"/>
  <c r="Y504" i="3"/>
  <c r="Z504" i="3"/>
  <c r="AA504" i="3"/>
  <c r="AB504" i="3"/>
  <c r="W504" i="3"/>
  <c r="Y505" i="3"/>
  <c r="Z505" i="3"/>
  <c r="AA505" i="3"/>
  <c r="AB505" i="3"/>
  <c r="W505" i="3"/>
  <c r="Y506" i="3"/>
  <c r="Z506" i="3"/>
  <c r="AA506" i="3"/>
  <c r="AB506" i="3"/>
  <c r="W506" i="3"/>
  <c r="Y507" i="3"/>
  <c r="Z507" i="3"/>
  <c r="AA507" i="3"/>
  <c r="AB507" i="3"/>
  <c r="W507" i="3"/>
  <c r="Y508" i="3"/>
  <c r="Z508" i="3"/>
  <c r="AA508" i="3"/>
  <c r="AB508" i="3"/>
  <c r="W508" i="3"/>
  <c r="Y509" i="3"/>
  <c r="Z509" i="3"/>
  <c r="AA509" i="3"/>
  <c r="AB509" i="3"/>
  <c r="W509" i="3"/>
  <c r="Y510" i="3"/>
  <c r="Z510" i="3"/>
  <c r="AA510" i="3"/>
  <c r="AB510" i="3"/>
  <c r="W510" i="3"/>
  <c r="Y511" i="3"/>
  <c r="Z511" i="3"/>
  <c r="AA511" i="3"/>
  <c r="AB511" i="3"/>
  <c r="W511" i="3"/>
  <c r="Y512" i="3"/>
  <c r="Z512" i="3"/>
  <c r="AA512" i="3"/>
  <c r="AB512" i="3"/>
  <c r="W512" i="3"/>
  <c r="Y513" i="3"/>
  <c r="Z513" i="3"/>
  <c r="AA513" i="3"/>
  <c r="AB513" i="3"/>
  <c r="W513" i="3"/>
  <c r="Y514" i="3"/>
  <c r="Z514" i="3"/>
  <c r="AA514" i="3"/>
  <c r="AB514" i="3"/>
  <c r="W514" i="3"/>
  <c r="Y515" i="3"/>
  <c r="Z515" i="3"/>
  <c r="AA515" i="3"/>
  <c r="AB515" i="3"/>
  <c r="W515" i="3"/>
  <c r="Y516" i="3"/>
  <c r="Z516" i="3"/>
  <c r="AA516" i="3"/>
  <c r="AB516" i="3"/>
  <c r="W516" i="3"/>
  <c r="Y517" i="3"/>
  <c r="Z517" i="3"/>
  <c r="AA517" i="3"/>
  <c r="AB517" i="3"/>
  <c r="W517" i="3"/>
  <c r="Y518" i="3"/>
  <c r="Z518" i="3"/>
  <c r="AA518" i="3"/>
  <c r="AB518" i="3"/>
  <c r="W518" i="3"/>
  <c r="Y519" i="3"/>
  <c r="Z519" i="3"/>
  <c r="AA519" i="3"/>
  <c r="AB519" i="3"/>
  <c r="W519" i="3"/>
  <c r="Y520" i="3"/>
  <c r="Z520" i="3"/>
  <c r="AA520" i="3"/>
  <c r="AB520" i="3"/>
  <c r="W520" i="3"/>
  <c r="Y521" i="3"/>
  <c r="Z521" i="3"/>
  <c r="AA521" i="3"/>
  <c r="AB521" i="3"/>
  <c r="W521" i="3"/>
  <c r="Y522" i="3"/>
  <c r="Z522" i="3"/>
  <c r="AA522" i="3"/>
  <c r="AB522" i="3"/>
  <c r="W522" i="3"/>
  <c r="Y523" i="3"/>
  <c r="Z523" i="3"/>
  <c r="AA523" i="3"/>
  <c r="AB523" i="3"/>
  <c r="W523" i="3"/>
  <c r="Y524" i="3"/>
  <c r="Z524" i="3"/>
  <c r="AA524" i="3"/>
  <c r="AB524" i="3"/>
  <c r="W524" i="3"/>
  <c r="Y525" i="3"/>
  <c r="Z525" i="3"/>
  <c r="AA525" i="3"/>
  <c r="AB525" i="3"/>
  <c r="W525" i="3"/>
  <c r="Y526" i="3"/>
  <c r="Z526" i="3"/>
  <c r="AA526" i="3"/>
  <c r="AB526" i="3"/>
  <c r="W526" i="3"/>
  <c r="Y527" i="3"/>
  <c r="Z527" i="3"/>
  <c r="AA527" i="3"/>
  <c r="AB527" i="3"/>
  <c r="W527" i="3"/>
  <c r="Y528" i="3"/>
  <c r="Z528" i="3"/>
  <c r="AA528" i="3"/>
  <c r="AB528" i="3"/>
  <c r="W528" i="3"/>
  <c r="Y529" i="3"/>
  <c r="Z529" i="3"/>
  <c r="AA529" i="3"/>
  <c r="AB529" i="3"/>
  <c r="W529" i="3"/>
  <c r="Y530" i="3"/>
  <c r="Z530" i="3"/>
  <c r="AA530" i="3"/>
  <c r="AB530" i="3"/>
  <c r="W530" i="3"/>
  <c r="Y531" i="3"/>
  <c r="Z531" i="3"/>
  <c r="AA531" i="3"/>
  <c r="AB531" i="3"/>
  <c r="W531" i="3"/>
  <c r="Y532" i="3"/>
  <c r="Z532" i="3"/>
  <c r="AA532" i="3"/>
  <c r="AB532" i="3"/>
  <c r="W532" i="3"/>
  <c r="Y533" i="3"/>
  <c r="Z533" i="3"/>
  <c r="AA533" i="3"/>
  <c r="AB533" i="3"/>
  <c r="W533" i="3"/>
  <c r="Y534" i="3"/>
  <c r="Z534" i="3"/>
  <c r="AA534" i="3"/>
  <c r="AB534" i="3"/>
  <c r="W534" i="3"/>
  <c r="Y535" i="3"/>
  <c r="Z535" i="3"/>
  <c r="AA535" i="3"/>
  <c r="AB535" i="3"/>
  <c r="W535" i="3"/>
  <c r="Y536" i="3"/>
  <c r="Z536" i="3"/>
  <c r="AA536" i="3"/>
  <c r="AB536" i="3"/>
  <c r="W536" i="3"/>
  <c r="Y537" i="3"/>
  <c r="Z537" i="3"/>
  <c r="AA537" i="3"/>
  <c r="AB537" i="3"/>
  <c r="W537" i="3"/>
  <c r="Y538" i="3"/>
  <c r="Z538" i="3"/>
  <c r="AA538" i="3"/>
  <c r="AB538" i="3"/>
  <c r="W538" i="3"/>
  <c r="Y539" i="3"/>
  <c r="Z539" i="3"/>
  <c r="AA539" i="3"/>
  <c r="AB539" i="3"/>
  <c r="W539" i="3"/>
  <c r="Y540" i="3"/>
  <c r="Z540" i="3"/>
  <c r="AA540" i="3"/>
  <c r="AB540" i="3"/>
  <c r="W540" i="3"/>
  <c r="Y541" i="3"/>
  <c r="Z541" i="3"/>
  <c r="AA541" i="3"/>
  <c r="AB541" i="3"/>
  <c r="W541" i="3"/>
  <c r="Y542" i="3"/>
  <c r="Z542" i="3"/>
  <c r="AA542" i="3"/>
  <c r="AB542" i="3"/>
  <c r="W542" i="3"/>
  <c r="Y543" i="3"/>
  <c r="Z543" i="3"/>
  <c r="AA543" i="3"/>
  <c r="AB543" i="3"/>
  <c r="W543" i="3"/>
  <c r="Y544" i="3"/>
  <c r="Z544" i="3"/>
  <c r="AA544" i="3"/>
  <c r="AB544" i="3"/>
  <c r="W544" i="3"/>
  <c r="Y545" i="3"/>
  <c r="Z545" i="3"/>
  <c r="AA545" i="3"/>
  <c r="AB545" i="3"/>
  <c r="W545" i="3"/>
  <c r="Y546" i="3"/>
  <c r="Z546" i="3"/>
  <c r="AA546" i="3"/>
  <c r="AB546" i="3"/>
  <c r="W546" i="3"/>
  <c r="Y547" i="3"/>
  <c r="Z547" i="3"/>
  <c r="AA547" i="3"/>
  <c r="AB547" i="3"/>
  <c r="W547" i="3"/>
  <c r="Y548" i="3"/>
  <c r="Z548" i="3"/>
  <c r="AA548" i="3"/>
  <c r="AB548" i="3"/>
  <c r="W548" i="3"/>
  <c r="Y549" i="3"/>
  <c r="Z549" i="3"/>
  <c r="AA549" i="3"/>
  <c r="AB549" i="3"/>
  <c r="W549" i="3"/>
  <c r="Y550" i="3"/>
  <c r="Z550" i="3"/>
  <c r="AA550" i="3"/>
  <c r="AB550" i="3"/>
  <c r="W550" i="3"/>
  <c r="Y551" i="3"/>
  <c r="Z551" i="3"/>
  <c r="AA551" i="3"/>
  <c r="AB551" i="3"/>
  <c r="W551" i="3"/>
  <c r="Y552" i="3"/>
  <c r="Z552" i="3"/>
  <c r="AA552" i="3"/>
  <c r="AB552" i="3"/>
  <c r="W552" i="3"/>
  <c r="Y553" i="3"/>
  <c r="Z553" i="3"/>
  <c r="AA553" i="3"/>
  <c r="AB553" i="3"/>
  <c r="W553" i="3"/>
  <c r="Y554" i="3"/>
  <c r="Z554" i="3"/>
  <c r="AA554" i="3"/>
  <c r="AB554" i="3"/>
  <c r="W554" i="3"/>
  <c r="Y555" i="3"/>
  <c r="Z555" i="3"/>
  <c r="AA555" i="3"/>
  <c r="AB555" i="3"/>
  <c r="W555" i="3"/>
  <c r="Y556" i="3"/>
  <c r="Z556" i="3"/>
  <c r="AA556" i="3"/>
  <c r="AB556" i="3"/>
  <c r="W556" i="3"/>
  <c r="Y557" i="3"/>
  <c r="Z557" i="3"/>
  <c r="AA557" i="3"/>
  <c r="AB557" i="3"/>
  <c r="W557" i="3"/>
  <c r="Y558" i="3"/>
  <c r="Z558" i="3"/>
  <c r="AA558" i="3"/>
  <c r="AB558" i="3"/>
  <c r="W558" i="3"/>
  <c r="Y559" i="3"/>
  <c r="Z559" i="3"/>
  <c r="AA559" i="3"/>
  <c r="AB559" i="3"/>
  <c r="W559" i="3"/>
  <c r="Y560" i="3"/>
  <c r="Z560" i="3"/>
  <c r="AA560" i="3"/>
  <c r="AB560" i="3"/>
  <c r="W560" i="3"/>
  <c r="Y561" i="3"/>
  <c r="Z561" i="3"/>
  <c r="AA561" i="3"/>
  <c r="AB561" i="3"/>
  <c r="W561" i="3"/>
  <c r="Y562" i="3"/>
  <c r="Z562" i="3"/>
  <c r="AA562" i="3"/>
  <c r="AB562" i="3"/>
  <c r="W562" i="3"/>
  <c r="Y563" i="3"/>
  <c r="Z563" i="3"/>
  <c r="AA563" i="3"/>
  <c r="AB563" i="3"/>
  <c r="W563" i="3"/>
  <c r="Y564" i="3"/>
  <c r="Z564" i="3"/>
  <c r="AA564" i="3"/>
  <c r="AB564" i="3"/>
  <c r="W564" i="3"/>
  <c r="Y565" i="3"/>
  <c r="Z565" i="3"/>
  <c r="AA565" i="3"/>
  <c r="AB565" i="3"/>
  <c r="W565" i="3"/>
  <c r="Y566" i="3"/>
  <c r="Z566" i="3"/>
  <c r="AA566" i="3"/>
  <c r="AB566" i="3"/>
  <c r="W566" i="3"/>
  <c r="Y567" i="3"/>
  <c r="Z567" i="3"/>
  <c r="AA567" i="3"/>
  <c r="AB567" i="3"/>
  <c r="W567" i="3"/>
  <c r="Y568" i="3"/>
  <c r="Z568" i="3"/>
  <c r="AA568" i="3"/>
  <c r="AB568" i="3"/>
  <c r="W568" i="3"/>
  <c r="Y569" i="3"/>
  <c r="Z569" i="3"/>
  <c r="AA569" i="3"/>
  <c r="AB569" i="3"/>
  <c r="W569" i="3"/>
  <c r="Y570" i="3"/>
  <c r="Z570" i="3"/>
  <c r="AA570" i="3"/>
  <c r="AB570" i="3"/>
  <c r="W570" i="3"/>
  <c r="Y571" i="3"/>
  <c r="Z571" i="3"/>
  <c r="AA571" i="3"/>
  <c r="AB571" i="3"/>
  <c r="W571" i="3"/>
  <c r="Y572" i="3"/>
  <c r="Z572" i="3"/>
  <c r="AA572" i="3"/>
  <c r="AB572" i="3"/>
  <c r="W572" i="3"/>
  <c r="Y573" i="3"/>
  <c r="Z573" i="3"/>
  <c r="AA573" i="3"/>
  <c r="AB573" i="3"/>
  <c r="W573" i="3"/>
  <c r="Y574" i="3"/>
  <c r="Z574" i="3"/>
  <c r="AA574" i="3"/>
  <c r="AB574" i="3"/>
  <c r="W574" i="3"/>
  <c r="Y575" i="3"/>
  <c r="Z575" i="3"/>
  <c r="AA575" i="3"/>
  <c r="AB575" i="3"/>
  <c r="W575" i="3"/>
  <c r="Y576" i="3"/>
  <c r="Z576" i="3"/>
  <c r="AA576" i="3"/>
  <c r="AB576" i="3"/>
  <c r="W576" i="3"/>
  <c r="Y577" i="3"/>
  <c r="Z577" i="3"/>
  <c r="AA577" i="3"/>
  <c r="AB577" i="3"/>
  <c r="W577" i="3"/>
  <c r="Y578" i="3"/>
  <c r="Z578" i="3"/>
  <c r="AA578" i="3"/>
  <c r="AB578" i="3"/>
  <c r="W578" i="3"/>
  <c r="Y579" i="3"/>
  <c r="Z579" i="3"/>
  <c r="AA579" i="3"/>
  <c r="AB579" i="3"/>
  <c r="W579" i="3"/>
  <c r="Y580" i="3"/>
  <c r="Z580" i="3"/>
  <c r="AA580" i="3"/>
  <c r="AB580" i="3"/>
  <c r="W580" i="3"/>
  <c r="Y581" i="3"/>
  <c r="Z581" i="3"/>
  <c r="AA581" i="3"/>
  <c r="AB581" i="3"/>
  <c r="W581" i="3"/>
  <c r="Y582" i="3"/>
  <c r="Z582" i="3"/>
  <c r="AA582" i="3"/>
  <c r="AB582" i="3"/>
  <c r="W582" i="3"/>
  <c r="Y583" i="3"/>
  <c r="Z583" i="3"/>
  <c r="AA583" i="3"/>
  <c r="AB583" i="3"/>
  <c r="W583" i="3"/>
  <c r="Y584" i="3"/>
  <c r="Z584" i="3"/>
  <c r="AA584" i="3"/>
  <c r="AB584" i="3"/>
  <c r="W584" i="3"/>
  <c r="Y585" i="3"/>
  <c r="Z585" i="3"/>
  <c r="AA585" i="3"/>
  <c r="AB585" i="3"/>
  <c r="W585" i="3"/>
  <c r="Y586" i="3"/>
  <c r="Z586" i="3"/>
  <c r="AA586" i="3"/>
  <c r="AB586" i="3"/>
  <c r="W586" i="3"/>
  <c r="Y587" i="3"/>
  <c r="Z587" i="3"/>
  <c r="AA587" i="3"/>
  <c r="AB587" i="3"/>
  <c r="W587" i="3"/>
  <c r="Y588" i="3"/>
  <c r="Z588" i="3"/>
  <c r="AA588" i="3"/>
  <c r="AB588" i="3"/>
  <c r="W588" i="3"/>
  <c r="Y589" i="3"/>
  <c r="Z589" i="3"/>
  <c r="AA589" i="3"/>
  <c r="AB589" i="3"/>
  <c r="W589" i="3"/>
  <c r="Y590" i="3"/>
  <c r="Z590" i="3"/>
  <c r="AA590" i="3"/>
  <c r="AB590" i="3"/>
  <c r="W590" i="3"/>
  <c r="Y591" i="3"/>
  <c r="Z591" i="3"/>
  <c r="AA591" i="3"/>
  <c r="AB591" i="3"/>
  <c r="W591" i="3"/>
  <c r="Y592" i="3"/>
  <c r="Z592" i="3"/>
  <c r="AA592" i="3"/>
  <c r="AB592" i="3"/>
  <c r="W592" i="3"/>
  <c r="Y593" i="3"/>
  <c r="Z593" i="3"/>
  <c r="AA593" i="3"/>
  <c r="AB593" i="3"/>
  <c r="W593" i="3"/>
  <c r="Y594" i="3"/>
  <c r="Z594" i="3"/>
  <c r="AA594" i="3"/>
  <c r="AB594" i="3"/>
  <c r="W594" i="3"/>
  <c r="Y595" i="3"/>
  <c r="Z595" i="3"/>
  <c r="AA595" i="3"/>
  <c r="AB595" i="3"/>
  <c r="W595" i="3"/>
  <c r="Y596" i="3"/>
  <c r="Z596" i="3"/>
  <c r="AA596" i="3"/>
  <c r="AB596" i="3"/>
  <c r="W596" i="3"/>
  <c r="Y597" i="3"/>
  <c r="Z597" i="3"/>
  <c r="AA597" i="3"/>
  <c r="AB597" i="3"/>
  <c r="W597" i="3"/>
  <c r="Y598" i="3"/>
  <c r="Z598" i="3"/>
  <c r="AA598" i="3"/>
  <c r="AB598" i="3"/>
  <c r="W598" i="3"/>
  <c r="Y599" i="3"/>
  <c r="Z599" i="3"/>
  <c r="AA599" i="3"/>
  <c r="AB599" i="3"/>
  <c r="W599" i="3"/>
  <c r="Y600" i="3"/>
  <c r="Z600" i="3"/>
  <c r="AA600" i="3"/>
  <c r="AB600" i="3"/>
  <c r="W600" i="3"/>
  <c r="Y601" i="3"/>
  <c r="Z601" i="3"/>
  <c r="AA601" i="3"/>
  <c r="AB601" i="3"/>
  <c r="W601" i="3"/>
  <c r="Y602" i="3"/>
  <c r="Z602" i="3"/>
  <c r="AA602" i="3"/>
  <c r="AB602" i="3"/>
  <c r="W602" i="3"/>
  <c r="Y603" i="3"/>
  <c r="Z603" i="3"/>
  <c r="AA603" i="3"/>
  <c r="AB603" i="3"/>
  <c r="W603" i="3"/>
  <c r="Y604" i="3"/>
  <c r="Z604" i="3"/>
  <c r="AA604" i="3"/>
  <c r="AB604" i="3"/>
  <c r="W604" i="3"/>
  <c r="Y605" i="3"/>
  <c r="Z605" i="3"/>
  <c r="AA605" i="3"/>
  <c r="AB605" i="3"/>
  <c r="W605" i="3"/>
  <c r="Y606" i="3"/>
  <c r="Z606" i="3"/>
  <c r="AA606" i="3"/>
  <c r="AB606" i="3"/>
  <c r="W606" i="3"/>
  <c r="Y607" i="3"/>
  <c r="Z607" i="3"/>
  <c r="AA607" i="3"/>
  <c r="AB607" i="3"/>
  <c r="W607" i="3"/>
  <c r="Y608" i="3"/>
  <c r="Z608" i="3"/>
  <c r="AA608" i="3"/>
  <c r="AB608" i="3"/>
  <c r="W608" i="3"/>
  <c r="Y609" i="3"/>
  <c r="Z609" i="3"/>
  <c r="AA609" i="3"/>
  <c r="AB609" i="3"/>
  <c r="W609" i="3"/>
  <c r="Y610" i="3"/>
  <c r="Z610" i="3"/>
  <c r="AA610" i="3"/>
  <c r="AB610" i="3"/>
  <c r="W610" i="3"/>
  <c r="Y611" i="3"/>
  <c r="Z611" i="3"/>
  <c r="AA611" i="3"/>
  <c r="AB611" i="3"/>
  <c r="W611" i="3"/>
  <c r="Y612" i="3"/>
  <c r="Z612" i="3"/>
  <c r="AA612" i="3"/>
  <c r="AB612" i="3"/>
  <c r="W612" i="3"/>
  <c r="Y613" i="3"/>
  <c r="Z613" i="3"/>
  <c r="AA613" i="3"/>
  <c r="AB613" i="3"/>
  <c r="W613" i="3"/>
  <c r="Y614" i="3"/>
  <c r="Z614" i="3"/>
  <c r="AA614" i="3"/>
  <c r="AB614" i="3"/>
  <c r="W614" i="3"/>
  <c r="Y615" i="3"/>
  <c r="Z615" i="3"/>
  <c r="AA615" i="3"/>
  <c r="AB615" i="3"/>
  <c r="W615" i="3"/>
  <c r="Y616" i="3"/>
  <c r="Z616" i="3"/>
  <c r="AA616" i="3"/>
  <c r="AB616" i="3"/>
  <c r="W616" i="3"/>
  <c r="Y617" i="3"/>
  <c r="Z617" i="3"/>
  <c r="AA617" i="3"/>
  <c r="AB617" i="3"/>
  <c r="W617" i="3"/>
  <c r="Y618" i="3"/>
  <c r="Z618" i="3"/>
  <c r="AA618" i="3"/>
  <c r="AB618" i="3"/>
  <c r="W618" i="3"/>
  <c r="Y619" i="3"/>
  <c r="Z619" i="3"/>
  <c r="AA619" i="3"/>
  <c r="AB619" i="3"/>
  <c r="W619" i="3"/>
  <c r="Y620" i="3"/>
  <c r="Z620" i="3"/>
  <c r="AA620" i="3"/>
  <c r="AB620" i="3"/>
  <c r="W620" i="3"/>
  <c r="Y621" i="3"/>
  <c r="Z621" i="3"/>
  <c r="AA621" i="3"/>
  <c r="AB621" i="3"/>
  <c r="W621" i="3"/>
  <c r="Y622" i="3"/>
  <c r="Z622" i="3"/>
  <c r="AA622" i="3"/>
  <c r="AB622" i="3"/>
  <c r="W622" i="3"/>
  <c r="Y623" i="3"/>
  <c r="Z623" i="3"/>
  <c r="AA623" i="3"/>
  <c r="AB623" i="3"/>
  <c r="W623" i="3"/>
  <c r="Y624" i="3"/>
  <c r="Z624" i="3"/>
  <c r="AA624" i="3"/>
  <c r="AB624" i="3"/>
  <c r="W624" i="3"/>
  <c r="Y625" i="3"/>
  <c r="Z625" i="3"/>
  <c r="AA625" i="3"/>
  <c r="AB625" i="3"/>
  <c r="W625" i="3"/>
  <c r="Y626" i="3"/>
  <c r="Z626" i="3"/>
  <c r="AA626" i="3"/>
  <c r="AB626" i="3"/>
  <c r="W626" i="3"/>
  <c r="Y627" i="3"/>
  <c r="Z627" i="3"/>
  <c r="AA627" i="3"/>
  <c r="AB627" i="3"/>
  <c r="W627" i="3"/>
  <c r="Y628" i="3"/>
  <c r="Z628" i="3"/>
  <c r="AA628" i="3"/>
  <c r="AB628" i="3"/>
  <c r="W628" i="3"/>
  <c r="Y629" i="3"/>
  <c r="Z629" i="3"/>
  <c r="AA629" i="3"/>
  <c r="AB629" i="3"/>
  <c r="W629" i="3"/>
  <c r="Y630" i="3"/>
  <c r="Z630" i="3"/>
  <c r="AA630" i="3"/>
  <c r="AB630" i="3"/>
  <c r="W630" i="3"/>
  <c r="Y631" i="3"/>
  <c r="Z631" i="3"/>
  <c r="AA631" i="3"/>
  <c r="AB631" i="3"/>
  <c r="W631" i="3"/>
  <c r="Y632" i="3"/>
  <c r="Z632" i="3"/>
  <c r="AA632" i="3"/>
  <c r="AB632" i="3"/>
  <c r="W632" i="3"/>
  <c r="Y633" i="3"/>
  <c r="Z633" i="3"/>
  <c r="AA633" i="3"/>
  <c r="AB633" i="3"/>
  <c r="W633" i="3"/>
  <c r="Y634" i="3"/>
  <c r="Z634" i="3"/>
  <c r="AA634" i="3"/>
  <c r="AB634" i="3"/>
  <c r="W634" i="3"/>
  <c r="Y635" i="3"/>
  <c r="Z635" i="3"/>
  <c r="AA635" i="3"/>
  <c r="AB635" i="3"/>
  <c r="W635" i="3"/>
  <c r="Y636" i="3"/>
  <c r="Z636" i="3"/>
  <c r="AA636" i="3"/>
  <c r="AB636" i="3"/>
  <c r="W636" i="3"/>
  <c r="Y637" i="3"/>
  <c r="Z637" i="3"/>
  <c r="AA637" i="3"/>
  <c r="AB637" i="3"/>
  <c r="W637" i="3"/>
  <c r="Y638" i="3"/>
  <c r="Z638" i="3"/>
  <c r="AA638" i="3"/>
  <c r="AB638" i="3"/>
  <c r="W638" i="3"/>
  <c r="Y639" i="3"/>
  <c r="Z639" i="3"/>
  <c r="AA639" i="3"/>
  <c r="AB639" i="3"/>
  <c r="W639" i="3"/>
  <c r="Y640" i="3"/>
  <c r="Z640" i="3"/>
  <c r="AA640" i="3"/>
  <c r="AB640" i="3"/>
  <c r="W640" i="3"/>
  <c r="Y641" i="3"/>
  <c r="Z641" i="3"/>
  <c r="AA641" i="3"/>
  <c r="AB641" i="3"/>
  <c r="W641" i="3"/>
  <c r="Y642" i="3"/>
  <c r="Z642" i="3"/>
  <c r="AA642" i="3"/>
  <c r="AB642" i="3"/>
  <c r="W642" i="3"/>
  <c r="Y643" i="3"/>
  <c r="Z643" i="3"/>
  <c r="AA643" i="3"/>
  <c r="AB643" i="3"/>
  <c r="W643" i="3"/>
  <c r="Y644" i="3"/>
  <c r="Z644" i="3"/>
  <c r="AA644" i="3"/>
  <c r="AB644" i="3"/>
  <c r="W644" i="3"/>
  <c r="Y645" i="3"/>
  <c r="Z645" i="3"/>
  <c r="AA645" i="3"/>
  <c r="AB645" i="3"/>
  <c r="W645" i="3"/>
  <c r="Y646" i="3"/>
  <c r="Z646" i="3"/>
  <c r="AA646" i="3"/>
  <c r="AB646" i="3"/>
  <c r="W646" i="3"/>
  <c r="Y647" i="3"/>
  <c r="Z647" i="3"/>
  <c r="AA647" i="3"/>
  <c r="AB647" i="3"/>
  <c r="W647" i="3"/>
  <c r="Y648" i="3"/>
  <c r="Z648" i="3"/>
  <c r="AA648" i="3"/>
  <c r="AB648" i="3"/>
  <c r="W648" i="3"/>
  <c r="Y649" i="3"/>
  <c r="Z649" i="3"/>
  <c r="AA649" i="3"/>
  <c r="AB649" i="3"/>
  <c r="W649" i="3"/>
  <c r="Y650" i="3"/>
  <c r="Z650" i="3"/>
  <c r="AA650" i="3"/>
  <c r="AB650" i="3"/>
  <c r="W650" i="3"/>
  <c r="Y651" i="3"/>
  <c r="Z651" i="3"/>
  <c r="AA651" i="3"/>
  <c r="AB651" i="3"/>
  <c r="W651" i="3"/>
  <c r="Y652" i="3"/>
  <c r="Z652" i="3"/>
  <c r="AA652" i="3"/>
  <c r="AB652" i="3"/>
  <c r="W652" i="3"/>
  <c r="Y653" i="3"/>
  <c r="Z653" i="3"/>
  <c r="AA653" i="3"/>
  <c r="AB653" i="3"/>
  <c r="W653" i="3"/>
  <c r="Y654" i="3"/>
  <c r="Z654" i="3"/>
  <c r="AA654" i="3"/>
  <c r="AB654" i="3"/>
  <c r="W654" i="3"/>
  <c r="Y655" i="3"/>
  <c r="Z655" i="3"/>
  <c r="AA655" i="3"/>
  <c r="AB655" i="3"/>
  <c r="W655" i="3"/>
  <c r="Y656" i="3"/>
  <c r="Z656" i="3"/>
  <c r="AA656" i="3"/>
  <c r="AB656" i="3"/>
  <c r="W656" i="3"/>
  <c r="Y657" i="3"/>
  <c r="Z657" i="3"/>
  <c r="AA657" i="3"/>
  <c r="AB657" i="3"/>
  <c r="W657" i="3"/>
  <c r="Y658" i="3"/>
  <c r="Z658" i="3"/>
  <c r="AA658" i="3"/>
  <c r="AB658" i="3"/>
  <c r="W658" i="3"/>
  <c r="Y659" i="3"/>
  <c r="Z659" i="3"/>
  <c r="AA659" i="3"/>
  <c r="AB659" i="3"/>
  <c r="W659" i="3"/>
  <c r="Y660" i="3"/>
  <c r="Z660" i="3"/>
  <c r="AA660" i="3"/>
  <c r="AB660" i="3"/>
  <c r="W660" i="3"/>
  <c r="Y661" i="3"/>
  <c r="Z661" i="3"/>
  <c r="AA661" i="3"/>
  <c r="AB661" i="3"/>
  <c r="W661" i="3"/>
  <c r="Y662" i="3"/>
  <c r="Z662" i="3"/>
  <c r="AA662" i="3"/>
  <c r="AB662" i="3"/>
  <c r="W662" i="3"/>
  <c r="Y663" i="3"/>
  <c r="Z663" i="3"/>
  <c r="AA663" i="3"/>
  <c r="AB663" i="3"/>
  <c r="W663" i="3"/>
  <c r="Y664" i="3"/>
  <c r="Z664" i="3"/>
  <c r="AA664" i="3"/>
  <c r="AB664" i="3"/>
  <c r="W664" i="3"/>
  <c r="Y665" i="3"/>
  <c r="Z665" i="3"/>
  <c r="AA665" i="3"/>
  <c r="AB665" i="3"/>
  <c r="W665" i="3"/>
  <c r="Y666" i="3"/>
  <c r="Z666" i="3"/>
  <c r="AA666" i="3"/>
  <c r="AB666" i="3"/>
  <c r="W666" i="3"/>
  <c r="Y667" i="3"/>
  <c r="Z667" i="3"/>
  <c r="AA667" i="3"/>
  <c r="AB667" i="3"/>
  <c r="W667" i="3"/>
  <c r="Y668" i="3"/>
  <c r="Z668" i="3"/>
  <c r="AA668" i="3"/>
  <c r="AB668" i="3"/>
  <c r="W668" i="3"/>
  <c r="Y669" i="3"/>
  <c r="Z669" i="3"/>
  <c r="AA669" i="3"/>
  <c r="AB669" i="3"/>
  <c r="W669" i="3"/>
  <c r="Y670" i="3"/>
  <c r="Z670" i="3"/>
  <c r="AA670" i="3"/>
  <c r="AB670" i="3"/>
  <c r="W670" i="3"/>
  <c r="Y671" i="3"/>
  <c r="Z671" i="3"/>
  <c r="AA671" i="3"/>
  <c r="AB671" i="3"/>
  <c r="W671" i="3"/>
  <c r="Y672" i="3"/>
  <c r="Z672" i="3"/>
  <c r="AA672" i="3"/>
  <c r="AB672" i="3"/>
  <c r="W672" i="3"/>
  <c r="Y673" i="3"/>
  <c r="Z673" i="3"/>
  <c r="AA673" i="3"/>
  <c r="AB673" i="3"/>
  <c r="W673" i="3"/>
  <c r="Y674" i="3"/>
  <c r="Z674" i="3"/>
  <c r="AA674" i="3"/>
  <c r="AB674" i="3"/>
  <c r="W674" i="3"/>
  <c r="Y675" i="3"/>
  <c r="Z675" i="3"/>
  <c r="AA675" i="3"/>
  <c r="AB675" i="3"/>
  <c r="W675" i="3"/>
  <c r="Y676" i="3"/>
  <c r="Z676" i="3"/>
  <c r="AA676" i="3"/>
  <c r="AB676" i="3"/>
  <c r="W676" i="3"/>
  <c r="Y677" i="3"/>
  <c r="Z677" i="3"/>
  <c r="AA677" i="3"/>
  <c r="AB677" i="3"/>
  <c r="W677" i="3"/>
  <c r="Y678" i="3"/>
  <c r="Z678" i="3"/>
  <c r="AA678" i="3"/>
  <c r="AB678" i="3"/>
  <c r="W678" i="3"/>
  <c r="Y679" i="3"/>
  <c r="Z679" i="3"/>
  <c r="AA679" i="3"/>
  <c r="AB679" i="3"/>
  <c r="W679" i="3"/>
  <c r="Y680" i="3"/>
  <c r="Z680" i="3"/>
  <c r="AA680" i="3"/>
  <c r="AB680" i="3"/>
  <c r="W680" i="3"/>
  <c r="Y681" i="3"/>
  <c r="Z681" i="3"/>
  <c r="AA681" i="3"/>
  <c r="AB681" i="3"/>
  <c r="W681" i="3"/>
  <c r="Y682" i="3"/>
  <c r="Z682" i="3"/>
  <c r="AA682" i="3"/>
  <c r="AB682" i="3"/>
  <c r="W682" i="3"/>
  <c r="Y683" i="3"/>
  <c r="Z683" i="3"/>
  <c r="AA683" i="3"/>
  <c r="AB683" i="3"/>
  <c r="W683" i="3"/>
  <c r="Y684" i="3"/>
  <c r="Z684" i="3"/>
  <c r="AA684" i="3"/>
  <c r="AB684" i="3"/>
  <c r="W684" i="3"/>
  <c r="Y685" i="3"/>
  <c r="Z685" i="3"/>
  <c r="AA685" i="3"/>
  <c r="AB685" i="3"/>
  <c r="W685" i="3"/>
  <c r="Y686" i="3"/>
  <c r="Z686" i="3"/>
  <c r="AA686" i="3"/>
  <c r="AB686" i="3"/>
  <c r="W686" i="3"/>
  <c r="Y687" i="3"/>
  <c r="Z687" i="3"/>
  <c r="AA687" i="3"/>
  <c r="AB687" i="3"/>
  <c r="W687" i="3"/>
  <c r="Y688" i="3"/>
  <c r="Z688" i="3"/>
  <c r="AA688" i="3"/>
  <c r="AB688" i="3"/>
  <c r="W688" i="3"/>
  <c r="Y689" i="3"/>
  <c r="Z689" i="3"/>
  <c r="AA689" i="3"/>
  <c r="AB689" i="3"/>
  <c r="W689" i="3"/>
  <c r="Y690" i="3"/>
  <c r="Z690" i="3"/>
  <c r="AA690" i="3"/>
  <c r="AB690" i="3"/>
  <c r="W690" i="3"/>
  <c r="Y691" i="3"/>
  <c r="Z691" i="3"/>
  <c r="AA691" i="3"/>
  <c r="AB691" i="3"/>
  <c r="W691" i="3"/>
  <c r="Y692" i="3"/>
  <c r="Z692" i="3"/>
  <c r="AA692" i="3"/>
  <c r="AB692" i="3"/>
  <c r="W692" i="3"/>
  <c r="Y693" i="3"/>
  <c r="Z693" i="3"/>
  <c r="AA693" i="3"/>
  <c r="AB693" i="3"/>
  <c r="W693" i="3"/>
  <c r="Y694" i="3"/>
  <c r="Z694" i="3"/>
  <c r="AA694" i="3"/>
  <c r="AB694" i="3"/>
  <c r="W694" i="3"/>
  <c r="Y695" i="3"/>
  <c r="Z695" i="3"/>
  <c r="AA695" i="3"/>
  <c r="AB695" i="3"/>
  <c r="W695" i="3"/>
  <c r="Y696" i="3"/>
  <c r="Z696" i="3"/>
  <c r="AA696" i="3"/>
  <c r="AB696" i="3"/>
  <c r="W696" i="3"/>
  <c r="Y697" i="3"/>
  <c r="Z697" i="3"/>
  <c r="AA697" i="3"/>
  <c r="AB697" i="3"/>
  <c r="W697" i="3"/>
  <c r="Y698" i="3"/>
  <c r="Z698" i="3"/>
  <c r="AA698" i="3"/>
  <c r="AB698" i="3"/>
  <c r="W698" i="3"/>
  <c r="Y699" i="3"/>
  <c r="Z699" i="3"/>
  <c r="AA699" i="3"/>
  <c r="AB699" i="3"/>
  <c r="W699" i="3"/>
  <c r="Y700" i="3"/>
  <c r="Z700" i="3"/>
  <c r="AA700" i="3"/>
  <c r="AB700" i="3"/>
  <c r="W700" i="3"/>
  <c r="Y701" i="3"/>
  <c r="Z701" i="3"/>
  <c r="AA701" i="3"/>
  <c r="AB701" i="3"/>
  <c r="W701" i="3"/>
  <c r="Y702" i="3"/>
  <c r="Z702" i="3"/>
  <c r="AA702" i="3"/>
  <c r="AB702" i="3"/>
  <c r="W702" i="3"/>
  <c r="Y703" i="3"/>
  <c r="Z703" i="3"/>
  <c r="AA703" i="3"/>
  <c r="AB703" i="3"/>
  <c r="W703" i="3"/>
  <c r="Y704" i="3"/>
  <c r="Z704" i="3"/>
  <c r="AA704" i="3"/>
  <c r="AB704" i="3"/>
  <c r="W704" i="3"/>
  <c r="Y705" i="3"/>
  <c r="Z705" i="3"/>
  <c r="AA705" i="3"/>
  <c r="AB705" i="3"/>
  <c r="W705" i="3"/>
  <c r="Y706" i="3"/>
  <c r="Z706" i="3"/>
  <c r="AA706" i="3"/>
  <c r="AB706" i="3"/>
  <c r="W706" i="3"/>
  <c r="Y707" i="3"/>
  <c r="Z707" i="3"/>
  <c r="AA707" i="3"/>
  <c r="AB707" i="3"/>
  <c r="W707" i="3"/>
  <c r="Y708" i="3"/>
  <c r="Z708" i="3"/>
  <c r="AA708" i="3"/>
  <c r="AB708" i="3"/>
  <c r="W708" i="3"/>
  <c r="Y709" i="3"/>
  <c r="Z709" i="3"/>
  <c r="AA709" i="3"/>
  <c r="AB709" i="3"/>
  <c r="W709" i="3"/>
  <c r="Y710" i="3"/>
  <c r="Z710" i="3"/>
  <c r="AA710" i="3"/>
  <c r="AB710" i="3"/>
  <c r="W710" i="3"/>
  <c r="Y711" i="3"/>
  <c r="Z711" i="3"/>
  <c r="AA711" i="3"/>
  <c r="AB711" i="3"/>
  <c r="W711" i="3"/>
  <c r="Y712" i="3"/>
  <c r="Z712" i="3"/>
  <c r="AA712" i="3"/>
  <c r="AB712" i="3"/>
  <c r="W712" i="3"/>
  <c r="Y713" i="3"/>
  <c r="Z713" i="3"/>
  <c r="AA713" i="3"/>
  <c r="AB713" i="3"/>
  <c r="W713" i="3"/>
  <c r="Y714" i="3"/>
  <c r="Z714" i="3"/>
  <c r="AA714" i="3"/>
  <c r="AB714" i="3"/>
  <c r="W714" i="3"/>
  <c r="Y715" i="3"/>
  <c r="Z715" i="3"/>
  <c r="AA715" i="3"/>
  <c r="AB715" i="3"/>
  <c r="W715" i="3"/>
  <c r="Y716" i="3"/>
  <c r="Z716" i="3"/>
  <c r="AA716" i="3"/>
  <c r="AB716" i="3"/>
  <c r="W716" i="3"/>
  <c r="Y717" i="3"/>
  <c r="Z717" i="3"/>
  <c r="AA717" i="3"/>
  <c r="AB717" i="3"/>
  <c r="W717" i="3"/>
  <c r="Y718" i="3"/>
  <c r="Z718" i="3"/>
  <c r="AA718" i="3"/>
  <c r="AB718" i="3"/>
  <c r="W718" i="3"/>
  <c r="Y719" i="3"/>
  <c r="Z719" i="3"/>
  <c r="AA719" i="3"/>
  <c r="AB719" i="3"/>
  <c r="W719" i="3"/>
  <c r="Y720" i="3"/>
  <c r="Z720" i="3"/>
  <c r="AA720" i="3"/>
  <c r="AB720" i="3"/>
  <c r="W720" i="3"/>
  <c r="Y721" i="3"/>
  <c r="Z721" i="3"/>
  <c r="AA721" i="3"/>
  <c r="AB721" i="3"/>
  <c r="W721" i="3"/>
  <c r="Y722" i="3"/>
  <c r="Z722" i="3"/>
  <c r="AA722" i="3"/>
  <c r="AB722" i="3"/>
  <c r="W722" i="3"/>
  <c r="Y723" i="3"/>
  <c r="Z723" i="3"/>
  <c r="AA723" i="3"/>
  <c r="AB723" i="3"/>
  <c r="W723" i="3"/>
  <c r="Y724" i="3"/>
  <c r="Z724" i="3"/>
  <c r="AA724" i="3"/>
  <c r="AB724" i="3"/>
  <c r="W724" i="3"/>
  <c r="Y725" i="3"/>
  <c r="Z725" i="3"/>
  <c r="AA725" i="3"/>
  <c r="AB725" i="3"/>
  <c r="W725" i="3"/>
  <c r="Y726" i="3"/>
  <c r="Z726" i="3"/>
  <c r="AA726" i="3"/>
  <c r="AB726" i="3"/>
  <c r="W726" i="3"/>
  <c r="Y727" i="3"/>
  <c r="Z727" i="3"/>
  <c r="AA727" i="3"/>
  <c r="AB727" i="3"/>
  <c r="W727" i="3"/>
  <c r="Y728" i="3"/>
  <c r="Z728" i="3"/>
  <c r="AA728" i="3"/>
  <c r="AB728" i="3"/>
  <c r="W728" i="3"/>
  <c r="Y729" i="3"/>
  <c r="Z729" i="3"/>
  <c r="AA729" i="3"/>
  <c r="AB729" i="3"/>
  <c r="W729" i="3"/>
  <c r="Y730" i="3"/>
  <c r="Z730" i="3"/>
  <c r="AA730" i="3"/>
  <c r="AB730" i="3"/>
  <c r="W730" i="3"/>
  <c r="Y731" i="3"/>
  <c r="Z731" i="3"/>
  <c r="AA731" i="3"/>
  <c r="AB731" i="3"/>
  <c r="W731" i="3"/>
  <c r="Y732" i="3"/>
  <c r="Z732" i="3"/>
  <c r="AA732" i="3"/>
  <c r="AB732" i="3"/>
  <c r="W732" i="3"/>
  <c r="Y733" i="3"/>
  <c r="Z733" i="3"/>
  <c r="AA733" i="3"/>
  <c r="AB733" i="3"/>
  <c r="W733" i="3"/>
  <c r="Y734" i="3"/>
  <c r="Z734" i="3"/>
  <c r="AA734" i="3"/>
  <c r="AB734" i="3"/>
  <c r="W734" i="3"/>
  <c r="Y735" i="3"/>
  <c r="Z735" i="3"/>
  <c r="AA735" i="3"/>
  <c r="AB735" i="3"/>
  <c r="W735" i="3"/>
  <c r="Y736" i="3"/>
  <c r="Z736" i="3"/>
  <c r="AA736" i="3"/>
  <c r="AB736" i="3"/>
  <c r="W736" i="3"/>
  <c r="Y737" i="3"/>
  <c r="Z737" i="3"/>
  <c r="AA737" i="3"/>
  <c r="AB737" i="3"/>
  <c r="W737" i="3"/>
  <c r="Y738" i="3"/>
  <c r="Z738" i="3"/>
  <c r="AA738" i="3"/>
  <c r="AB738" i="3"/>
  <c r="W738" i="3"/>
  <c r="Y739" i="3"/>
  <c r="Z739" i="3"/>
  <c r="AA739" i="3"/>
  <c r="AB739" i="3"/>
  <c r="W739" i="3"/>
  <c r="Y740" i="3"/>
  <c r="Z740" i="3"/>
  <c r="AA740" i="3"/>
  <c r="AB740" i="3"/>
  <c r="W740" i="3"/>
  <c r="Y741" i="3"/>
  <c r="Z741" i="3"/>
  <c r="AA741" i="3"/>
  <c r="AB741" i="3"/>
  <c r="W741" i="3"/>
  <c r="Y742" i="3"/>
  <c r="Z742" i="3"/>
  <c r="AA742" i="3"/>
  <c r="AB742" i="3"/>
  <c r="W742" i="3"/>
  <c r="Y743" i="3"/>
  <c r="Z743" i="3"/>
  <c r="AA743" i="3"/>
  <c r="AB743" i="3"/>
  <c r="W743" i="3"/>
  <c r="Y744" i="3"/>
  <c r="Z744" i="3"/>
  <c r="AA744" i="3"/>
  <c r="AB744" i="3"/>
  <c r="W744" i="3"/>
  <c r="Y745" i="3"/>
  <c r="Z745" i="3"/>
  <c r="AA745" i="3"/>
  <c r="AB745" i="3"/>
  <c r="W745" i="3"/>
  <c r="Y746" i="3"/>
  <c r="Z746" i="3"/>
  <c r="AA746" i="3"/>
  <c r="AB746" i="3"/>
  <c r="W746" i="3"/>
  <c r="Y747" i="3"/>
  <c r="Z747" i="3"/>
  <c r="AA747" i="3"/>
  <c r="AB747" i="3"/>
  <c r="W747" i="3"/>
  <c r="Y748" i="3"/>
  <c r="Z748" i="3"/>
  <c r="AA748" i="3"/>
  <c r="AB748" i="3"/>
  <c r="W748" i="3"/>
  <c r="Y749" i="3"/>
  <c r="Z749" i="3"/>
  <c r="AA749" i="3"/>
  <c r="AB749" i="3"/>
  <c r="W749" i="3"/>
  <c r="Y750" i="3"/>
  <c r="Z750" i="3"/>
  <c r="AA750" i="3"/>
  <c r="AB750" i="3"/>
  <c r="W750" i="3"/>
  <c r="Y751" i="3"/>
  <c r="Z751" i="3"/>
  <c r="AA751" i="3"/>
  <c r="AB751" i="3"/>
  <c r="W751" i="3"/>
  <c r="Y752" i="3"/>
  <c r="Z752" i="3"/>
  <c r="AA752" i="3"/>
  <c r="AB752" i="3"/>
  <c r="W752" i="3"/>
  <c r="Y753" i="3"/>
  <c r="Z753" i="3"/>
  <c r="AA753" i="3"/>
  <c r="AB753" i="3"/>
  <c r="W753" i="3"/>
  <c r="Y754" i="3"/>
  <c r="Z754" i="3"/>
  <c r="AA754" i="3"/>
  <c r="AB754" i="3"/>
  <c r="W754" i="3"/>
  <c r="Y755" i="3"/>
  <c r="Z755" i="3"/>
  <c r="AA755" i="3"/>
  <c r="AB755" i="3"/>
  <c r="W755" i="3"/>
  <c r="Y756" i="3"/>
  <c r="Z756" i="3"/>
  <c r="AA756" i="3"/>
  <c r="AB756" i="3"/>
  <c r="W756" i="3"/>
  <c r="Y757" i="3"/>
  <c r="Z757" i="3"/>
  <c r="AA757" i="3"/>
  <c r="AB757" i="3"/>
  <c r="W757" i="3"/>
  <c r="Y758" i="3"/>
  <c r="Z758" i="3"/>
  <c r="AA758" i="3"/>
  <c r="AB758" i="3"/>
  <c r="W758" i="3"/>
  <c r="Y759" i="3"/>
  <c r="Z759" i="3"/>
  <c r="AA759" i="3"/>
  <c r="AB759" i="3"/>
  <c r="W759" i="3"/>
  <c r="Y760" i="3"/>
  <c r="Z760" i="3"/>
  <c r="AA760" i="3"/>
  <c r="AB760" i="3"/>
  <c r="W760" i="3"/>
  <c r="Y761" i="3"/>
  <c r="Z761" i="3"/>
  <c r="AA761" i="3"/>
  <c r="AB761" i="3"/>
  <c r="W761" i="3"/>
  <c r="Y762" i="3"/>
  <c r="Z762" i="3"/>
  <c r="AA762" i="3"/>
  <c r="AB762" i="3"/>
  <c r="W762" i="3"/>
  <c r="Y763" i="3"/>
  <c r="Z763" i="3"/>
  <c r="AA763" i="3"/>
  <c r="AB763" i="3"/>
  <c r="W763" i="3"/>
  <c r="Y764" i="3"/>
  <c r="Z764" i="3"/>
  <c r="AA764" i="3"/>
  <c r="AB764" i="3"/>
  <c r="W764" i="3"/>
  <c r="Y765" i="3"/>
  <c r="Z765" i="3"/>
  <c r="AA765" i="3"/>
  <c r="AB765" i="3"/>
  <c r="W765" i="3"/>
  <c r="Y766" i="3"/>
  <c r="Z766" i="3"/>
  <c r="AA766" i="3"/>
  <c r="AB766" i="3"/>
  <c r="W766" i="3"/>
  <c r="Y767" i="3"/>
  <c r="Z767" i="3"/>
  <c r="AA767" i="3"/>
  <c r="AB767" i="3"/>
  <c r="W767" i="3"/>
  <c r="Y768" i="3"/>
  <c r="Z768" i="3"/>
  <c r="AA768" i="3"/>
  <c r="AB768" i="3"/>
  <c r="W768" i="3"/>
  <c r="Y769" i="3"/>
  <c r="Z769" i="3"/>
  <c r="AA769" i="3"/>
  <c r="AB769" i="3"/>
  <c r="W769" i="3"/>
  <c r="Y770" i="3"/>
  <c r="Z770" i="3"/>
  <c r="AA770" i="3"/>
  <c r="AB770" i="3"/>
  <c r="W770" i="3"/>
  <c r="Y771" i="3"/>
  <c r="Z771" i="3"/>
  <c r="AA771" i="3"/>
  <c r="AB771" i="3"/>
  <c r="W771" i="3"/>
  <c r="Y772" i="3"/>
  <c r="Z772" i="3"/>
  <c r="AA772" i="3"/>
  <c r="AB772" i="3"/>
  <c r="W772" i="3"/>
  <c r="Y773" i="3"/>
  <c r="Z773" i="3"/>
  <c r="AA773" i="3"/>
  <c r="AB773" i="3"/>
  <c r="W773" i="3"/>
  <c r="Y774" i="3"/>
  <c r="Z774" i="3"/>
  <c r="AA774" i="3"/>
  <c r="AB774" i="3"/>
  <c r="W774" i="3"/>
  <c r="Y775" i="3"/>
  <c r="Z775" i="3"/>
  <c r="AA775" i="3"/>
  <c r="AB775" i="3"/>
  <c r="W775" i="3"/>
  <c r="Y776" i="3"/>
  <c r="Z776" i="3"/>
  <c r="AA776" i="3"/>
  <c r="AB776" i="3"/>
  <c r="W776" i="3"/>
  <c r="Y777" i="3"/>
  <c r="Z777" i="3"/>
  <c r="AA777" i="3"/>
  <c r="AB777" i="3"/>
  <c r="W777" i="3"/>
  <c r="Y778" i="3"/>
  <c r="Z778" i="3"/>
  <c r="AA778" i="3"/>
  <c r="AB778" i="3"/>
  <c r="W778" i="3"/>
  <c r="Y779" i="3"/>
  <c r="Z779" i="3"/>
  <c r="AA779" i="3"/>
  <c r="AB779" i="3"/>
  <c r="W779" i="3"/>
  <c r="Y780" i="3"/>
  <c r="Z780" i="3"/>
  <c r="AA780" i="3"/>
  <c r="AB780" i="3"/>
  <c r="W780" i="3"/>
  <c r="Y781" i="3"/>
  <c r="Z781" i="3"/>
  <c r="AA781" i="3"/>
  <c r="AB781" i="3"/>
  <c r="W781" i="3"/>
  <c r="Y782" i="3"/>
  <c r="Z782" i="3"/>
  <c r="AA782" i="3"/>
  <c r="AB782" i="3"/>
  <c r="W782" i="3"/>
  <c r="Y783" i="3"/>
  <c r="Z783" i="3"/>
  <c r="AA783" i="3"/>
  <c r="AB783" i="3"/>
  <c r="W783" i="3"/>
  <c r="Y784" i="3"/>
  <c r="Z784" i="3"/>
  <c r="AA784" i="3"/>
  <c r="AB784" i="3"/>
  <c r="W784" i="3"/>
  <c r="Y785" i="3"/>
  <c r="Z785" i="3"/>
  <c r="AA785" i="3"/>
  <c r="AB785" i="3"/>
  <c r="W785" i="3"/>
  <c r="Y786" i="3"/>
  <c r="Z786" i="3"/>
  <c r="AA786" i="3"/>
  <c r="AB786" i="3"/>
  <c r="W786" i="3"/>
  <c r="Y787" i="3"/>
  <c r="Z787" i="3"/>
  <c r="AA787" i="3"/>
  <c r="AB787" i="3"/>
  <c r="W787" i="3"/>
  <c r="Y788" i="3"/>
  <c r="Z788" i="3"/>
  <c r="AA788" i="3"/>
  <c r="AB788" i="3"/>
  <c r="W788" i="3"/>
  <c r="Y789" i="3"/>
  <c r="Z789" i="3"/>
  <c r="AA789" i="3"/>
  <c r="AB789" i="3"/>
  <c r="W789" i="3"/>
  <c r="Y790" i="3"/>
  <c r="Z790" i="3"/>
  <c r="AA790" i="3"/>
  <c r="AB790" i="3"/>
  <c r="W790" i="3"/>
  <c r="Y791" i="3"/>
  <c r="Z791" i="3"/>
  <c r="AA791" i="3"/>
  <c r="AB791" i="3"/>
  <c r="W791" i="3"/>
  <c r="AA800" i="3"/>
  <c r="W800" i="3"/>
  <c r="Y800" i="3"/>
  <c r="Z800" i="3"/>
  <c r="AB800" i="3"/>
  <c r="Z824" i="3"/>
  <c r="W824" i="3"/>
  <c r="AA824" i="3"/>
  <c r="Y824" i="3"/>
  <c r="AB824" i="3"/>
  <c r="Z840" i="3"/>
  <c r="AB840" i="3"/>
  <c r="W840" i="3"/>
  <c r="Y840" i="3"/>
  <c r="AA840" i="3"/>
  <c r="Y858" i="3"/>
  <c r="W858" i="3"/>
  <c r="Z858" i="3"/>
  <c r="AB858" i="3"/>
  <c r="AA858" i="3"/>
  <c r="AA866" i="3"/>
  <c r="Z866" i="3"/>
  <c r="Y866" i="3"/>
  <c r="W866" i="3"/>
  <c r="AB866" i="3"/>
  <c r="Y868" i="3"/>
  <c r="AA868" i="3"/>
  <c r="W868" i="3"/>
  <c r="Z868" i="3"/>
  <c r="AB868" i="3"/>
  <c r="Y889" i="3"/>
  <c r="AB889" i="3"/>
  <c r="AA889" i="3"/>
  <c r="W889" i="3"/>
  <c r="Z889" i="3"/>
  <c r="Z907" i="3"/>
  <c r="Y907" i="3"/>
  <c r="AA907" i="3"/>
  <c r="AB907" i="3"/>
  <c r="W907" i="3"/>
  <c r="AA916" i="3"/>
  <c r="Y916" i="3"/>
  <c r="AB916" i="3"/>
  <c r="W916" i="3"/>
  <c r="Z916" i="3"/>
  <c r="Z933" i="3"/>
  <c r="AB933" i="3"/>
  <c r="W933" i="3"/>
  <c r="AA933" i="3"/>
  <c r="Y933" i="3"/>
  <c r="Z940" i="3"/>
  <c r="AA940" i="3"/>
  <c r="W940" i="3"/>
  <c r="Y940" i="3"/>
  <c r="AB940" i="3"/>
  <c r="Y942" i="3"/>
  <c r="Z942" i="3"/>
  <c r="AA942" i="3"/>
  <c r="AB942" i="3"/>
  <c r="W942" i="3"/>
  <c r="Y943" i="3"/>
  <c r="Z943" i="3"/>
  <c r="AA943" i="3"/>
  <c r="AB943" i="3"/>
  <c r="W943" i="3"/>
  <c r="Y944" i="3"/>
  <c r="Z944" i="3"/>
  <c r="AA944" i="3"/>
  <c r="AB944" i="3"/>
  <c r="W944" i="3"/>
  <c r="Y945" i="3"/>
  <c r="Z945" i="3"/>
  <c r="AA945" i="3"/>
  <c r="AB945" i="3"/>
  <c r="W945" i="3"/>
  <c r="Y946" i="3"/>
  <c r="Z946" i="3"/>
  <c r="AA946" i="3"/>
  <c r="AB946" i="3"/>
  <c r="W946" i="3"/>
  <c r="Y947" i="3"/>
  <c r="Z947" i="3"/>
  <c r="AA947" i="3"/>
  <c r="AB947" i="3"/>
  <c r="W947" i="3"/>
  <c r="Y948" i="3"/>
  <c r="Z948" i="3"/>
  <c r="AA948" i="3"/>
  <c r="AB948" i="3"/>
  <c r="W948" i="3"/>
  <c r="Y949" i="3"/>
  <c r="Z949" i="3"/>
  <c r="AA949" i="3"/>
  <c r="AB949" i="3"/>
  <c r="W949" i="3"/>
  <c r="Y950" i="3"/>
  <c r="Z950" i="3"/>
  <c r="AA950" i="3"/>
  <c r="AB950" i="3"/>
  <c r="W950" i="3"/>
  <c r="Y951" i="3"/>
  <c r="Z951" i="3"/>
  <c r="AA951" i="3"/>
  <c r="AB951" i="3"/>
  <c r="W951" i="3"/>
  <c r="Y952" i="3"/>
  <c r="Z952" i="3"/>
  <c r="AA952" i="3"/>
  <c r="AB952" i="3"/>
  <c r="W952" i="3"/>
  <c r="Y953" i="3"/>
  <c r="Z953" i="3"/>
  <c r="AA953" i="3"/>
  <c r="AB953" i="3"/>
  <c r="W953" i="3"/>
  <c r="Y954" i="3"/>
  <c r="Z954" i="3"/>
  <c r="AA954" i="3"/>
  <c r="AB954" i="3"/>
  <c r="W954" i="3"/>
  <c r="Y955" i="3"/>
  <c r="Z955" i="3"/>
  <c r="AA955" i="3"/>
  <c r="AB955" i="3"/>
  <c r="W955" i="3"/>
  <c r="Y956" i="3"/>
  <c r="Z956" i="3"/>
  <c r="AA956" i="3"/>
  <c r="AB956" i="3"/>
  <c r="W956" i="3"/>
  <c r="Y957" i="3"/>
  <c r="Z957" i="3"/>
  <c r="AA957" i="3"/>
  <c r="AB957" i="3"/>
  <c r="W957" i="3"/>
  <c r="Y958" i="3"/>
  <c r="Z958" i="3"/>
  <c r="AA958" i="3"/>
  <c r="AB958" i="3"/>
  <c r="W958" i="3"/>
  <c r="Y959" i="3"/>
  <c r="Z959" i="3"/>
  <c r="AA959" i="3"/>
  <c r="AB959" i="3"/>
  <c r="W959" i="3"/>
  <c r="Y960" i="3"/>
  <c r="Z960" i="3"/>
  <c r="AA960" i="3"/>
  <c r="AB960" i="3"/>
  <c r="W960" i="3"/>
  <c r="Y961" i="3"/>
  <c r="Z961" i="3"/>
  <c r="AA961" i="3"/>
  <c r="AB961" i="3"/>
  <c r="W961" i="3"/>
  <c r="Y962" i="3"/>
  <c r="Z962" i="3"/>
  <c r="AA962" i="3"/>
  <c r="AB962" i="3"/>
  <c r="W962" i="3"/>
  <c r="Y963" i="3"/>
  <c r="Z963" i="3"/>
  <c r="AA963" i="3"/>
  <c r="AB963" i="3"/>
  <c r="W963" i="3"/>
  <c r="Y964" i="3"/>
  <c r="Z964" i="3"/>
  <c r="AA964" i="3"/>
  <c r="AB964" i="3"/>
  <c r="W964" i="3"/>
  <c r="Y965" i="3"/>
  <c r="Z965" i="3"/>
  <c r="AA965" i="3"/>
  <c r="AB965" i="3"/>
  <c r="W965" i="3"/>
  <c r="Y966" i="3"/>
  <c r="Z966" i="3"/>
  <c r="AA966" i="3"/>
  <c r="AB966" i="3"/>
  <c r="W966" i="3"/>
  <c r="Y967" i="3"/>
  <c r="Z967" i="3"/>
  <c r="AA967" i="3"/>
  <c r="AB967" i="3"/>
  <c r="W967" i="3"/>
  <c r="Y968" i="3"/>
  <c r="Z968" i="3"/>
  <c r="AA968" i="3"/>
  <c r="AB968" i="3"/>
  <c r="W968" i="3"/>
  <c r="Y969" i="3"/>
  <c r="Z969" i="3"/>
  <c r="AA969" i="3"/>
  <c r="AB969" i="3"/>
  <c r="W969" i="3"/>
  <c r="Y970" i="3"/>
  <c r="Z970" i="3"/>
  <c r="AA970" i="3"/>
  <c r="AB970" i="3"/>
  <c r="W970" i="3"/>
  <c r="Y971" i="3"/>
  <c r="Z971" i="3"/>
  <c r="AA971" i="3"/>
  <c r="AB971" i="3"/>
  <c r="W971" i="3"/>
  <c r="Y972" i="3"/>
  <c r="Z972" i="3"/>
  <c r="AA972" i="3"/>
  <c r="AB972" i="3"/>
  <c r="W972" i="3"/>
  <c r="Y973" i="3"/>
  <c r="Z973" i="3"/>
  <c r="AA973" i="3"/>
  <c r="AB973" i="3"/>
  <c r="W973" i="3"/>
  <c r="Y974" i="3"/>
  <c r="Z974" i="3"/>
  <c r="AA974" i="3"/>
  <c r="AB974" i="3"/>
  <c r="W974" i="3"/>
  <c r="Y975" i="3"/>
  <c r="Z975" i="3"/>
  <c r="AA975" i="3"/>
  <c r="AB975" i="3"/>
  <c r="W975" i="3"/>
  <c r="Y976" i="3"/>
  <c r="Z976" i="3"/>
  <c r="AA976" i="3"/>
  <c r="AB976" i="3"/>
  <c r="W976" i="3"/>
  <c r="Y977" i="3"/>
  <c r="Z977" i="3"/>
  <c r="AA977" i="3"/>
  <c r="AB977" i="3"/>
  <c r="W977" i="3"/>
  <c r="Y978" i="3"/>
  <c r="Z978" i="3"/>
  <c r="AA978" i="3"/>
  <c r="AB978" i="3"/>
  <c r="W978" i="3"/>
  <c r="Y979" i="3"/>
  <c r="Z979" i="3"/>
  <c r="AA979" i="3"/>
  <c r="AB979" i="3"/>
  <c r="W979" i="3"/>
  <c r="Y980" i="3"/>
  <c r="Z980" i="3"/>
  <c r="AA980" i="3"/>
  <c r="AB980" i="3"/>
  <c r="W980" i="3"/>
  <c r="Y981" i="3"/>
  <c r="Z981" i="3"/>
  <c r="AA981" i="3"/>
  <c r="AB981" i="3"/>
  <c r="W981" i="3"/>
  <c r="Y982" i="3"/>
  <c r="Z982" i="3"/>
  <c r="AA982" i="3"/>
  <c r="AB982" i="3"/>
  <c r="W982" i="3"/>
  <c r="Y983" i="3"/>
  <c r="Z983" i="3"/>
  <c r="AA983" i="3"/>
  <c r="AB983" i="3"/>
  <c r="W983" i="3"/>
  <c r="Y984" i="3"/>
  <c r="Z984" i="3"/>
  <c r="AA984" i="3"/>
  <c r="AB984" i="3"/>
  <c r="W984" i="3"/>
  <c r="Y985" i="3"/>
  <c r="Z985" i="3"/>
  <c r="AA985" i="3"/>
  <c r="AB985" i="3"/>
  <c r="W985" i="3"/>
  <c r="Y986" i="3"/>
  <c r="Z986" i="3"/>
  <c r="AA986" i="3"/>
  <c r="AB986" i="3"/>
  <c r="W986" i="3"/>
  <c r="Y987" i="3"/>
  <c r="Z987" i="3"/>
  <c r="AA987" i="3"/>
  <c r="AB987" i="3"/>
  <c r="W987" i="3"/>
  <c r="Y988" i="3"/>
  <c r="Z988" i="3"/>
  <c r="AA988" i="3"/>
  <c r="AB988" i="3"/>
  <c r="W988" i="3"/>
  <c r="Y989" i="3"/>
  <c r="Z989" i="3"/>
  <c r="AA989" i="3"/>
  <c r="AB989" i="3"/>
  <c r="W989" i="3"/>
  <c r="Y990" i="3"/>
  <c r="Z990" i="3"/>
  <c r="AA990" i="3"/>
  <c r="AB990" i="3"/>
  <c r="W990" i="3"/>
  <c r="Y991" i="3"/>
  <c r="Z991" i="3"/>
  <c r="AA991" i="3"/>
  <c r="AB991" i="3"/>
  <c r="W991" i="3"/>
  <c r="Y992" i="3"/>
  <c r="Z992" i="3"/>
  <c r="AA992" i="3"/>
  <c r="AB992" i="3"/>
  <c r="W992" i="3"/>
  <c r="Y993" i="3"/>
  <c r="Z993" i="3"/>
  <c r="AA993" i="3"/>
  <c r="AB993" i="3"/>
  <c r="W993" i="3"/>
  <c r="Y994" i="3"/>
  <c r="Z994" i="3"/>
  <c r="AA994" i="3"/>
  <c r="AB994" i="3"/>
  <c r="W994" i="3"/>
  <c r="Y995" i="3"/>
  <c r="Z995" i="3"/>
  <c r="AA995" i="3"/>
  <c r="AB995" i="3"/>
  <c r="W995" i="3"/>
  <c r="Y996" i="3"/>
  <c r="Z996" i="3"/>
  <c r="AA996" i="3"/>
  <c r="AB996" i="3"/>
  <c r="W996" i="3"/>
  <c r="Y997" i="3"/>
  <c r="Z997" i="3"/>
  <c r="AA997" i="3"/>
  <c r="AB997" i="3"/>
  <c r="W997" i="3"/>
  <c r="Y998" i="3"/>
  <c r="Z998" i="3"/>
  <c r="AA998" i="3"/>
  <c r="AB998" i="3"/>
  <c r="W998" i="3"/>
  <c r="Y999" i="3"/>
  <c r="Z999" i="3"/>
  <c r="AA999" i="3"/>
  <c r="AB999" i="3"/>
  <c r="W999" i="3"/>
  <c r="Y1000" i="3"/>
  <c r="Z1000" i="3"/>
  <c r="AA1000" i="3"/>
  <c r="AB1000" i="3"/>
  <c r="W1000" i="3"/>
  <c r="Y1001" i="3"/>
  <c r="Z1001" i="3"/>
  <c r="AA1001" i="3"/>
  <c r="AB1001" i="3"/>
  <c r="W1001" i="3"/>
  <c r="Y1002" i="3"/>
  <c r="Z1002" i="3"/>
  <c r="AA1002" i="3"/>
  <c r="AB1002" i="3"/>
  <c r="W1002" i="3"/>
  <c r="Y1003" i="3"/>
  <c r="Z1003" i="3"/>
  <c r="AA1003" i="3"/>
  <c r="AB1003" i="3"/>
  <c r="W1003" i="3"/>
  <c r="Y1004" i="3"/>
  <c r="Z1004" i="3"/>
  <c r="AA1004" i="3"/>
  <c r="AB1004" i="3"/>
  <c r="W1004" i="3"/>
  <c r="Y1005" i="3"/>
  <c r="Z1005" i="3"/>
  <c r="AA1005" i="3"/>
  <c r="AB1005" i="3"/>
  <c r="W1005" i="3"/>
  <c r="Y1006" i="3"/>
  <c r="Z1006" i="3"/>
  <c r="AA1006" i="3"/>
  <c r="AB1006" i="3"/>
  <c r="W1006" i="3"/>
  <c r="Y1007" i="3"/>
  <c r="Z1007" i="3"/>
  <c r="AA1007" i="3"/>
  <c r="AB1007" i="3"/>
  <c r="W1007" i="3"/>
  <c r="Y1008" i="3"/>
  <c r="Z1008" i="3"/>
  <c r="AA1008" i="3"/>
  <c r="AB1008" i="3"/>
  <c r="W1008" i="3"/>
  <c r="Y1009" i="3"/>
  <c r="Z1009" i="3"/>
  <c r="AA1009" i="3"/>
  <c r="AB1009" i="3"/>
  <c r="W1009" i="3"/>
  <c r="Y1010" i="3"/>
  <c r="Z1010" i="3"/>
  <c r="AA1010" i="3"/>
  <c r="AB1010" i="3"/>
  <c r="W1010" i="3"/>
  <c r="Z802" i="3"/>
  <c r="AB802" i="3"/>
  <c r="W802" i="3"/>
  <c r="Y802" i="3"/>
  <c r="AA802" i="3"/>
  <c r="Z803" i="3"/>
  <c r="AA803" i="3"/>
  <c r="AB803" i="3"/>
  <c r="W803" i="3"/>
  <c r="Y803" i="3"/>
  <c r="AB819" i="3"/>
  <c r="W819" i="3"/>
  <c r="Z819" i="3"/>
  <c r="AA819" i="3"/>
  <c r="Y819" i="3"/>
  <c r="AA822" i="3"/>
  <c r="Y822" i="3"/>
  <c r="AB822" i="3"/>
  <c r="W822" i="3"/>
  <c r="Z822" i="3"/>
  <c r="AB841" i="3"/>
  <c r="Y841" i="3"/>
  <c r="AA841" i="3"/>
  <c r="W841" i="3"/>
  <c r="Z841" i="3"/>
  <c r="AB842" i="3"/>
  <c r="Y842" i="3"/>
  <c r="AA842" i="3"/>
  <c r="W842" i="3"/>
  <c r="Z842" i="3"/>
  <c r="AA847" i="3"/>
  <c r="W847" i="3"/>
  <c r="Z847" i="3"/>
  <c r="AB847" i="3"/>
  <c r="Y847" i="3"/>
  <c r="AA859" i="3"/>
  <c r="Y859" i="3"/>
  <c r="AB859" i="3"/>
  <c r="W859" i="3"/>
  <c r="Z859" i="3"/>
  <c r="Z883" i="3"/>
  <c r="AA883" i="3"/>
  <c r="AB883" i="3"/>
  <c r="W883" i="3"/>
  <c r="Y883" i="3"/>
  <c r="AA911" i="3"/>
  <c r="Y911" i="3"/>
  <c r="AB911" i="3"/>
  <c r="W911" i="3"/>
  <c r="Z911" i="3"/>
  <c r="Z792" i="3"/>
  <c r="AB792" i="3"/>
  <c r="W792" i="3"/>
  <c r="Y792" i="3"/>
  <c r="AA792" i="3"/>
  <c r="AA813" i="3"/>
  <c r="W813" i="3"/>
  <c r="Z813" i="3"/>
  <c r="Y813" i="3"/>
  <c r="AB813" i="3"/>
  <c r="Y815" i="3"/>
  <c r="AB815" i="3"/>
  <c r="Z815" i="3"/>
  <c r="W815" i="3"/>
  <c r="AA815" i="3"/>
  <c r="W816" i="3"/>
  <c r="Z816" i="3"/>
  <c r="AB816" i="3"/>
  <c r="Y816" i="3"/>
  <c r="AA816" i="3"/>
  <c r="Z833" i="3"/>
  <c r="Y833" i="3"/>
  <c r="AB833" i="3"/>
  <c r="W833" i="3"/>
  <c r="AA833" i="3"/>
  <c r="Y834" i="3"/>
  <c r="AA834" i="3"/>
  <c r="W834" i="3"/>
  <c r="Z834" i="3"/>
  <c r="AB834" i="3"/>
  <c r="AB854" i="3"/>
  <c r="W854" i="3"/>
  <c r="Z854" i="3"/>
  <c r="Y854" i="3"/>
  <c r="AA854" i="3"/>
  <c r="AB857" i="3"/>
  <c r="Y857" i="3"/>
  <c r="W857" i="3"/>
  <c r="AA857" i="3"/>
  <c r="Z857" i="3"/>
  <c r="Z872" i="3"/>
  <c r="AB872" i="3"/>
  <c r="W872" i="3"/>
  <c r="Y872" i="3"/>
  <c r="AA872" i="3"/>
  <c r="Z892" i="3"/>
  <c r="AB892" i="3"/>
  <c r="W892" i="3"/>
  <c r="AA892" i="3"/>
  <c r="Y892" i="3"/>
  <c r="AA903" i="3"/>
  <c r="Y903" i="3"/>
  <c r="AB903" i="3"/>
  <c r="W903" i="3"/>
  <c r="Z903" i="3"/>
  <c r="AA929" i="3"/>
  <c r="W929" i="3"/>
  <c r="Z929" i="3"/>
  <c r="Y929" i="3"/>
  <c r="AB929" i="3"/>
  <c r="AA930" i="3"/>
  <c r="W930" i="3"/>
  <c r="Y930" i="3"/>
  <c r="AB930" i="3"/>
  <c r="Z930" i="3"/>
  <c r="Y935" i="3"/>
  <c r="Z935" i="3"/>
  <c r="AA935" i="3"/>
  <c r="AB935" i="3"/>
  <c r="W935" i="3"/>
  <c r="AB837" i="3"/>
  <c r="Y837" i="3"/>
  <c r="Z837" i="3"/>
  <c r="AA837" i="3"/>
  <c r="W837" i="3"/>
  <c r="AA855" i="3"/>
  <c r="W855" i="3"/>
  <c r="Y855" i="3"/>
  <c r="Z855" i="3"/>
  <c r="AB855" i="3"/>
  <c r="AB856" i="3"/>
  <c r="Y856" i="3"/>
  <c r="W856" i="3"/>
  <c r="Z856" i="3"/>
  <c r="AA856" i="3"/>
  <c r="Z873" i="3"/>
  <c r="AA873" i="3"/>
  <c r="W873" i="3"/>
  <c r="Y873" i="3"/>
  <c r="AB873" i="3"/>
  <c r="AA878" i="3"/>
  <c r="Z878" i="3"/>
  <c r="AB878" i="3"/>
  <c r="W878" i="3"/>
  <c r="Y878" i="3"/>
  <c r="Z890" i="3"/>
  <c r="AB890" i="3"/>
  <c r="W890" i="3"/>
  <c r="Y890" i="3"/>
  <c r="AA890" i="3"/>
  <c r="Z915" i="3"/>
  <c r="AB915" i="3"/>
  <c r="W915" i="3"/>
  <c r="Y915" i="3"/>
  <c r="AA915" i="3"/>
  <c r="Z921" i="3"/>
  <c r="AB921" i="3"/>
  <c r="W921" i="3"/>
  <c r="AA921" i="3"/>
  <c r="Y921" i="3"/>
  <c r="Z794" i="3"/>
  <c r="W794" i="3"/>
  <c r="Y794" i="3"/>
  <c r="AB794" i="3"/>
  <c r="AA794" i="3"/>
  <c r="Z795" i="3"/>
  <c r="W795" i="3"/>
  <c r="Y795" i="3"/>
  <c r="AB795" i="3"/>
  <c r="AA795" i="3"/>
  <c r="AB796" i="3"/>
  <c r="W796" i="3"/>
  <c r="Z796" i="3"/>
  <c r="Y796" i="3"/>
  <c r="AA796" i="3"/>
  <c r="AA806" i="3"/>
  <c r="Y806" i="3"/>
  <c r="W806" i="3"/>
  <c r="Z806" i="3"/>
  <c r="AB806" i="3"/>
  <c r="AA810" i="3"/>
  <c r="W810" i="3"/>
  <c r="Z810" i="3"/>
  <c r="Y810" i="3"/>
  <c r="AB810" i="3"/>
  <c r="Z823" i="3"/>
  <c r="AB823" i="3"/>
  <c r="W823" i="3"/>
  <c r="Y823" i="3"/>
  <c r="AA823" i="3"/>
  <c r="Z826" i="3"/>
  <c r="W826" i="3"/>
  <c r="Y826" i="3"/>
  <c r="AA826" i="3"/>
  <c r="AB826" i="3"/>
  <c r="AB848" i="3"/>
  <c r="Z848" i="3"/>
  <c r="Y848" i="3"/>
  <c r="AA848" i="3"/>
  <c r="W848" i="3"/>
  <c r="AB863" i="3"/>
  <c r="W863" i="3"/>
  <c r="Y863" i="3"/>
  <c r="AA863" i="3"/>
  <c r="Z863" i="3"/>
  <c r="AA884" i="3"/>
  <c r="Y884" i="3"/>
  <c r="AB884" i="3"/>
  <c r="W884" i="3"/>
  <c r="Z884" i="3"/>
  <c r="Z885" i="3"/>
  <c r="AA885" i="3"/>
  <c r="Y885" i="3"/>
  <c r="AB885" i="3"/>
  <c r="W885" i="3"/>
  <c r="Z887" i="3"/>
  <c r="AB887" i="3"/>
  <c r="W887" i="3"/>
  <c r="Y887" i="3"/>
  <c r="AA887" i="3"/>
  <c r="AA891" i="3"/>
  <c r="W891" i="3"/>
  <c r="Z891" i="3"/>
  <c r="Y891" i="3"/>
  <c r="AB891" i="3"/>
  <c r="Z902" i="3"/>
  <c r="Y902" i="3"/>
  <c r="AB902" i="3"/>
  <c r="W902" i="3"/>
  <c r="AA902" i="3"/>
  <c r="Z904" i="3"/>
  <c r="W904" i="3"/>
  <c r="Y904" i="3"/>
  <c r="AA904" i="3"/>
  <c r="AB904" i="3"/>
  <c r="AB820" i="3"/>
  <c r="W820" i="3"/>
  <c r="Z820" i="3"/>
  <c r="Y820" i="3"/>
  <c r="AA820" i="3"/>
  <c r="AB832" i="3"/>
  <c r="Z832" i="3"/>
  <c r="W832" i="3"/>
  <c r="Y832" i="3"/>
  <c r="AA832" i="3"/>
  <c r="AA838" i="3"/>
  <c r="W838" i="3"/>
  <c r="Z838" i="3"/>
  <c r="Y838" i="3"/>
  <c r="AB838" i="3"/>
  <c r="AA913" i="3"/>
  <c r="Z913" i="3"/>
  <c r="W913" i="3"/>
  <c r="Y913" i="3"/>
  <c r="AB913" i="3"/>
  <c r="Y924" i="3"/>
  <c r="Z924" i="3"/>
  <c r="AA924" i="3"/>
  <c r="AB924" i="3"/>
  <c r="W924" i="3"/>
  <c r="Z925" i="3"/>
  <c r="AB925" i="3"/>
  <c r="W925" i="3"/>
  <c r="Y925" i="3"/>
  <c r="AA925" i="3"/>
  <c r="Z793" i="3"/>
  <c r="AB793" i="3"/>
  <c r="W793" i="3"/>
  <c r="Y793" i="3"/>
  <c r="AA793" i="3"/>
  <c r="Z805" i="3"/>
  <c r="W805" i="3"/>
  <c r="AA805" i="3"/>
  <c r="Y805" i="3"/>
  <c r="AB805" i="3"/>
  <c r="AA814" i="3"/>
  <c r="W814" i="3"/>
  <c r="Z814" i="3"/>
  <c r="Y814" i="3"/>
  <c r="AB814" i="3"/>
  <c r="AA829" i="3"/>
  <c r="AB829" i="3"/>
  <c r="Y829" i="3"/>
  <c r="W829" i="3"/>
  <c r="Z829" i="3"/>
  <c r="Y831" i="3"/>
  <c r="AB831" i="3"/>
  <c r="W831" i="3"/>
  <c r="Z831" i="3"/>
  <c r="AA831" i="3"/>
  <c r="Z851" i="3"/>
  <c r="AB851" i="3"/>
  <c r="W851" i="3"/>
  <c r="Y851" i="3"/>
  <c r="AA851" i="3"/>
  <c r="AA869" i="3"/>
  <c r="W869" i="3"/>
  <c r="Y869" i="3"/>
  <c r="Z869" i="3"/>
  <c r="AB869" i="3"/>
  <c r="AA880" i="3"/>
  <c r="W880" i="3"/>
  <c r="Z880" i="3"/>
  <c r="Y880" i="3"/>
  <c r="AB880" i="3"/>
  <c r="Z881" i="3"/>
  <c r="Y881" i="3"/>
  <c r="AA881" i="3"/>
  <c r="W881" i="3"/>
  <c r="AB881" i="3"/>
  <c r="Y888" i="3"/>
  <c r="AB888" i="3"/>
  <c r="W888" i="3"/>
  <c r="AA888" i="3"/>
  <c r="Z888" i="3"/>
  <c r="Z909" i="3"/>
  <c r="AB909" i="3"/>
  <c r="W909" i="3"/>
  <c r="Y909" i="3"/>
  <c r="AA909" i="3"/>
  <c r="AB910" i="3"/>
  <c r="Y910" i="3"/>
  <c r="AA910" i="3"/>
  <c r="W910" i="3"/>
  <c r="Z910" i="3"/>
  <c r="Z920" i="3"/>
  <c r="Y920" i="3"/>
  <c r="AA920" i="3"/>
  <c r="AB920" i="3"/>
  <c r="W920" i="3"/>
  <c r="W928" i="3"/>
  <c r="Z928" i="3"/>
  <c r="Y928" i="3"/>
  <c r="AB928" i="3"/>
  <c r="AA928" i="3"/>
  <c r="Y936" i="3"/>
  <c r="Z936" i="3"/>
  <c r="AA936" i="3"/>
  <c r="AB936" i="3"/>
  <c r="W936" i="3"/>
  <c r="Z937" i="3"/>
  <c r="AB937" i="3"/>
  <c r="W937" i="3"/>
  <c r="Y937" i="3"/>
  <c r="AA937" i="3"/>
  <c r="Y938" i="3"/>
  <c r="Z938" i="3"/>
  <c r="AA938" i="3"/>
  <c r="AB938" i="3"/>
  <c r="W938" i="3"/>
  <c r="AB799" i="3"/>
  <c r="W799" i="3"/>
  <c r="Z799" i="3"/>
  <c r="Y799" i="3"/>
  <c r="AA799" i="3"/>
  <c r="AA807" i="3"/>
  <c r="W807" i="3"/>
  <c r="AB807" i="3"/>
  <c r="Z807" i="3"/>
  <c r="Y807" i="3"/>
  <c r="W808" i="3"/>
  <c r="Z808" i="3"/>
  <c r="AB808" i="3"/>
  <c r="Y808" i="3"/>
  <c r="AA808" i="3"/>
  <c r="AA817" i="3"/>
  <c r="W817" i="3"/>
  <c r="Z817" i="3"/>
  <c r="AB817" i="3"/>
  <c r="Y817" i="3"/>
  <c r="AA828" i="3"/>
  <c r="Y828" i="3"/>
  <c r="AB828" i="3"/>
  <c r="W828" i="3"/>
  <c r="Z828" i="3"/>
  <c r="AA830" i="3"/>
  <c r="W830" i="3"/>
  <c r="Z830" i="3"/>
  <c r="Y830" i="3"/>
  <c r="AB830" i="3"/>
  <c r="AA843" i="3"/>
  <c r="W843" i="3"/>
  <c r="Z843" i="3"/>
  <c r="Y843" i="3"/>
  <c r="AB843" i="3"/>
  <c r="AA845" i="3"/>
  <c r="W845" i="3"/>
  <c r="Z845" i="3"/>
  <c r="AB845" i="3"/>
  <c r="Y845" i="3"/>
  <c r="AA870" i="3"/>
  <c r="Z870" i="3"/>
  <c r="W870" i="3"/>
  <c r="Y870" i="3"/>
  <c r="AB870" i="3"/>
  <c r="W871" i="3"/>
  <c r="Y871" i="3"/>
  <c r="Z871" i="3"/>
  <c r="AA871" i="3"/>
  <c r="AB871" i="3"/>
  <c r="Z874" i="3"/>
  <c r="AB874" i="3"/>
  <c r="W874" i="3"/>
  <c r="Y874" i="3"/>
  <c r="AA874" i="3"/>
  <c r="Z896" i="3"/>
  <c r="AB896" i="3"/>
  <c r="Y896" i="3"/>
  <c r="W896" i="3"/>
  <c r="AA896" i="3"/>
  <c r="AA898" i="3"/>
  <c r="W898" i="3"/>
  <c r="Z898" i="3"/>
  <c r="AB898" i="3"/>
  <c r="Y898" i="3"/>
  <c r="AB900" i="3"/>
  <c r="W900" i="3"/>
  <c r="AA900" i="3"/>
  <c r="Y900" i="3"/>
  <c r="Z900" i="3"/>
  <c r="Z934" i="3"/>
  <c r="W934" i="3"/>
  <c r="AA934" i="3"/>
  <c r="Y934" i="3"/>
  <c r="AB934" i="3"/>
  <c r="Z941" i="3"/>
  <c r="AB941" i="3"/>
  <c r="W941" i="3"/>
  <c r="Y941" i="3"/>
  <c r="AA941" i="3"/>
  <c r="Y804" i="3"/>
  <c r="W804" i="3"/>
  <c r="Z804" i="3"/>
  <c r="AB804" i="3"/>
  <c r="AA804" i="3"/>
  <c r="AA812" i="3"/>
  <c r="W812" i="3"/>
  <c r="Y812" i="3"/>
  <c r="Z812" i="3"/>
  <c r="AB812" i="3"/>
  <c r="Z844" i="3"/>
  <c r="W844" i="3"/>
  <c r="AA844" i="3"/>
  <c r="Y844" i="3"/>
  <c r="AB844" i="3"/>
  <c r="Z853" i="3"/>
  <c r="W853" i="3"/>
  <c r="Y853" i="3"/>
  <c r="AA853" i="3"/>
  <c r="AB853" i="3"/>
  <c r="AA879" i="3"/>
  <c r="Y879" i="3"/>
  <c r="AB879" i="3"/>
  <c r="W879" i="3"/>
  <c r="Z879" i="3"/>
  <c r="AA882" i="3"/>
  <c r="Y882" i="3"/>
  <c r="Z882" i="3"/>
  <c r="W882" i="3"/>
  <c r="AB882" i="3"/>
  <c r="W893" i="3"/>
  <c r="Y893" i="3"/>
  <c r="AA893" i="3"/>
  <c r="AB893" i="3"/>
  <c r="Z893" i="3"/>
  <c r="Z894" i="3"/>
  <c r="Y894" i="3"/>
  <c r="AA894" i="3"/>
  <c r="AB894" i="3"/>
  <c r="W894" i="3"/>
  <c r="AA897" i="3"/>
  <c r="Y897" i="3"/>
  <c r="W897" i="3"/>
  <c r="Z897" i="3"/>
  <c r="AB897" i="3"/>
  <c r="Y918" i="3"/>
  <c r="AB918" i="3"/>
  <c r="Z918" i="3"/>
  <c r="AA918" i="3"/>
  <c r="W918" i="3"/>
  <c r="AA919" i="3"/>
  <c r="Y919" i="3"/>
  <c r="Z919" i="3"/>
  <c r="AB919" i="3"/>
  <c r="W919" i="3"/>
  <c r="AB931" i="3"/>
  <c r="AA931" i="3"/>
  <c r="Z931" i="3"/>
  <c r="W931" i="3"/>
  <c r="Y931" i="3"/>
  <c r="AB821" i="3"/>
  <c r="W821" i="3"/>
  <c r="Z821" i="3"/>
  <c r="Y821" i="3"/>
  <c r="AA821" i="3"/>
  <c r="AA825" i="3"/>
  <c r="W825" i="3"/>
  <c r="Z825" i="3"/>
  <c r="Y825" i="3"/>
  <c r="AB825" i="3"/>
  <c r="Z835" i="3"/>
  <c r="AB835" i="3"/>
  <c r="W835" i="3"/>
  <c r="Y835" i="3"/>
  <c r="AA835" i="3"/>
  <c r="AA836" i="3"/>
  <c r="Y836" i="3"/>
  <c r="AB836" i="3"/>
  <c r="W836" i="3"/>
  <c r="Z836" i="3"/>
  <c r="AA846" i="3"/>
  <c r="Y846" i="3"/>
  <c r="W846" i="3"/>
  <c r="Z846" i="3"/>
  <c r="AB846" i="3"/>
  <c r="AA865" i="3"/>
  <c r="W865" i="3"/>
  <c r="Z865" i="3"/>
  <c r="Y865" i="3"/>
  <c r="AB865" i="3"/>
  <c r="AB867" i="3"/>
  <c r="AA867" i="3"/>
  <c r="Y867" i="3"/>
  <c r="W867" i="3"/>
  <c r="Z867" i="3"/>
  <c r="AA877" i="3"/>
  <c r="W877" i="3"/>
  <c r="Z877" i="3"/>
  <c r="Y877" i="3"/>
  <c r="AB877" i="3"/>
  <c r="AA899" i="3"/>
  <c r="AB899" i="3"/>
  <c r="W899" i="3"/>
  <c r="Z899" i="3"/>
  <c r="Y899" i="3"/>
  <c r="AA901" i="3"/>
  <c r="Y901" i="3"/>
  <c r="AB901" i="3"/>
  <c r="W901" i="3"/>
  <c r="Z901" i="3"/>
  <c r="AB917" i="3"/>
  <c r="Z917" i="3"/>
  <c r="Y917" i="3"/>
  <c r="W917" i="3"/>
  <c r="AA917" i="3"/>
  <c r="AB797" i="3"/>
  <c r="W797" i="3"/>
  <c r="Z797" i="3"/>
  <c r="Y797" i="3"/>
  <c r="AA797" i="3"/>
  <c r="Z798" i="3"/>
  <c r="AB798" i="3"/>
  <c r="W798" i="3"/>
  <c r="Y798" i="3"/>
  <c r="AA798" i="3"/>
  <c r="AA809" i="3"/>
  <c r="Y809" i="3"/>
  <c r="W809" i="3"/>
  <c r="Z809" i="3"/>
  <c r="AB809" i="3"/>
  <c r="Z811" i="3"/>
  <c r="AA811" i="3"/>
  <c r="W811" i="3"/>
  <c r="Y811" i="3"/>
  <c r="AB811" i="3"/>
  <c r="Y850" i="3"/>
  <c r="AA850" i="3"/>
  <c r="W850" i="3"/>
  <c r="Z850" i="3"/>
  <c r="AB850" i="3"/>
  <c r="AB860" i="3"/>
  <c r="W860" i="3"/>
  <c r="Z860" i="3"/>
  <c r="Y860" i="3"/>
  <c r="AA860" i="3"/>
  <c r="Z861" i="3"/>
  <c r="AA861" i="3"/>
  <c r="AB861" i="3"/>
  <c r="Y861" i="3"/>
  <c r="W861" i="3"/>
  <c r="Z862" i="3"/>
  <c r="AB862" i="3"/>
  <c r="W862" i="3"/>
  <c r="Y862" i="3"/>
  <c r="AA862" i="3"/>
  <c r="AB864" i="3"/>
  <c r="Y864" i="3"/>
  <c r="AA864" i="3"/>
  <c r="W864" i="3"/>
  <c r="Z864" i="3"/>
  <c r="Z876" i="3"/>
  <c r="W876" i="3"/>
  <c r="AB876" i="3"/>
  <c r="Y876" i="3"/>
  <c r="AA876" i="3"/>
  <c r="AB895" i="3"/>
  <c r="W895" i="3"/>
  <c r="Z895" i="3"/>
  <c r="Y895" i="3"/>
  <c r="AA895" i="3"/>
  <c r="Z906" i="3"/>
  <c r="AB906" i="3"/>
  <c r="W906" i="3"/>
  <c r="Y906" i="3"/>
  <c r="AA906" i="3"/>
  <c r="W926" i="3"/>
  <c r="Y926" i="3"/>
  <c r="Z926" i="3"/>
  <c r="AB926" i="3"/>
  <c r="AA926" i="3"/>
  <c r="AA927" i="3"/>
  <c r="W927" i="3"/>
  <c r="Z927" i="3"/>
  <c r="AB927" i="3"/>
  <c r="Y927" i="3"/>
  <c r="Z932" i="3"/>
  <c r="AB932" i="3"/>
  <c r="Y932" i="3"/>
  <c r="AA932" i="3"/>
  <c r="W932" i="3"/>
  <c r="Z939" i="3"/>
  <c r="AB939" i="3"/>
  <c r="W939" i="3"/>
  <c r="Y939" i="3"/>
  <c r="AA939" i="3"/>
  <c r="Y801" i="3"/>
  <c r="Z801" i="3"/>
  <c r="AA801" i="3"/>
  <c r="AB801" i="3"/>
  <c r="W801" i="3"/>
  <c r="W818" i="3"/>
  <c r="Z818" i="3"/>
  <c r="AB818" i="3"/>
  <c r="Y818" i="3"/>
  <c r="AA818" i="3"/>
  <c r="Z827" i="3"/>
  <c r="W827" i="3"/>
  <c r="AA827" i="3"/>
  <c r="Y827" i="3"/>
  <c r="AB827" i="3"/>
  <c r="Z839" i="3"/>
  <c r="AA839" i="3"/>
  <c r="W839" i="3"/>
  <c r="Y839" i="3"/>
  <c r="AB839" i="3"/>
  <c r="Z849" i="3"/>
  <c r="AB849" i="3"/>
  <c r="W849" i="3"/>
  <c r="Y849" i="3"/>
  <c r="AA849" i="3"/>
  <c r="Y852" i="3"/>
  <c r="Z852" i="3"/>
  <c r="AB852" i="3"/>
  <c r="W852" i="3"/>
  <c r="AA852" i="3"/>
  <c r="Z875" i="3"/>
  <c r="AB875" i="3"/>
  <c r="W875" i="3"/>
  <c r="Y875" i="3"/>
  <c r="AA875" i="3"/>
  <c r="W886" i="3"/>
  <c r="Z886" i="3"/>
  <c r="AA886" i="3"/>
  <c r="Y886" i="3"/>
  <c r="AB886" i="3"/>
  <c r="Z905" i="3"/>
  <c r="W905" i="3"/>
  <c r="AA905" i="3"/>
  <c r="AB905" i="3"/>
  <c r="Y905" i="3"/>
  <c r="AA908" i="3"/>
  <c r="W908" i="3"/>
  <c r="Z908" i="3"/>
  <c r="AB908" i="3"/>
  <c r="Y908" i="3"/>
  <c r="Z912" i="3"/>
  <c r="AB912" i="3"/>
  <c r="W912" i="3"/>
  <c r="Y912" i="3"/>
  <c r="AA912" i="3"/>
  <c r="AB914" i="3"/>
  <c r="Z914" i="3"/>
  <c r="W914" i="3"/>
  <c r="AA914" i="3"/>
  <c r="Y914" i="3"/>
  <c r="AA922" i="3"/>
  <c r="Y922" i="3"/>
  <c r="AB922" i="3"/>
  <c r="W922" i="3"/>
  <c r="Z922" i="3"/>
  <c r="AA923" i="3"/>
  <c r="W923" i="3"/>
  <c r="Y923" i="3"/>
  <c r="Z923" i="3"/>
  <c r="AB923" i="3"/>
  <c r="Y11" i="3"/>
  <c r="Z11" i="3"/>
  <c r="W11" i="3"/>
  <c r="AA11" i="3"/>
  <c r="AB11" i="3"/>
  <c r="Q12" i="2"/>
  <c r="R12" i="2"/>
  <c r="S12" i="2"/>
  <c r="T12" i="2"/>
  <c r="U12" i="2"/>
  <c r="Q13" i="2"/>
  <c r="R13" i="2"/>
  <c r="S13" i="2"/>
  <c r="T13" i="2"/>
  <c r="U13" i="2"/>
  <c r="Q14" i="2"/>
  <c r="R14" i="2"/>
  <c r="S14" i="2"/>
  <c r="T14" i="2"/>
  <c r="U14" i="2"/>
  <c r="Q15" i="2"/>
  <c r="R15" i="2"/>
  <c r="S15" i="2"/>
  <c r="T15" i="2"/>
  <c r="U15" i="2"/>
  <c r="Q16" i="2"/>
  <c r="R16" i="2"/>
  <c r="S16" i="2"/>
  <c r="T16" i="2"/>
  <c r="U16" i="2"/>
  <c r="Q17" i="2"/>
  <c r="R17" i="2"/>
  <c r="S17" i="2"/>
  <c r="T17" i="2"/>
  <c r="U17" i="2"/>
  <c r="Q18" i="2"/>
  <c r="R18" i="2"/>
  <c r="S18" i="2"/>
  <c r="T18" i="2"/>
  <c r="U18" i="2"/>
  <c r="Q19" i="2"/>
  <c r="R19" i="2"/>
  <c r="S19" i="2"/>
  <c r="T19" i="2"/>
  <c r="U19" i="2"/>
  <c r="Q20" i="2"/>
  <c r="R20" i="2"/>
  <c r="S20" i="2"/>
  <c r="T20" i="2"/>
  <c r="U20" i="2"/>
  <c r="Q21" i="2"/>
  <c r="R21" i="2"/>
  <c r="S21" i="2"/>
  <c r="T21" i="2"/>
  <c r="U21" i="2"/>
  <c r="Q22" i="2"/>
  <c r="R22" i="2"/>
  <c r="S22" i="2"/>
  <c r="T22" i="2"/>
  <c r="U22" i="2"/>
  <c r="Q23" i="2"/>
  <c r="R23" i="2"/>
  <c r="S23" i="2"/>
  <c r="T23" i="2"/>
  <c r="U23" i="2"/>
  <c r="Q24" i="2"/>
  <c r="R24" i="2"/>
  <c r="S24" i="2"/>
  <c r="T24" i="2"/>
  <c r="U24" i="2"/>
  <c r="Q25" i="2"/>
  <c r="R25" i="2"/>
  <c r="S25" i="2"/>
  <c r="T25" i="2"/>
  <c r="U25" i="2"/>
  <c r="Q26" i="2"/>
  <c r="R26" i="2"/>
  <c r="S26" i="2"/>
  <c r="T26" i="2"/>
  <c r="U26" i="2"/>
  <c r="Q27" i="2"/>
  <c r="R27" i="2"/>
  <c r="S27" i="2"/>
  <c r="T27" i="2"/>
  <c r="U27" i="2"/>
  <c r="Q28" i="2"/>
  <c r="R28" i="2"/>
  <c r="S28" i="2"/>
  <c r="T28" i="2"/>
  <c r="U28" i="2"/>
  <c r="Q29" i="2"/>
  <c r="R29" i="2"/>
  <c r="S29" i="2"/>
  <c r="T29" i="2"/>
  <c r="U29" i="2"/>
  <c r="Q30" i="2"/>
  <c r="R30" i="2"/>
  <c r="S30" i="2"/>
  <c r="T30" i="2"/>
  <c r="U30" i="2"/>
  <c r="Q31" i="2"/>
  <c r="R31" i="2"/>
  <c r="S31" i="2"/>
  <c r="T31" i="2"/>
  <c r="U31" i="2"/>
  <c r="Q32" i="2"/>
  <c r="R32" i="2"/>
  <c r="S32" i="2"/>
  <c r="T32" i="2"/>
  <c r="U32" i="2"/>
  <c r="Q33" i="2"/>
  <c r="R33" i="2"/>
  <c r="S33" i="2"/>
  <c r="T33" i="2"/>
  <c r="U33" i="2"/>
  <c r="Q34" i="2"/>
  <c r="R34" i="2"/>
  <c r="S34" i="2"/>
  <c r="T34" i="2"/>
  <c r="U34" i="2"/>
  <c r="Q35" i="2"/>
  <c r="R35" i="2"/>
  <c r="S35" i="2"/>
  <c r="T35" i="2"/>
  <c r="U35" i="2"/>
  <c r="Q36" i="2"/>
  <c r="R36" i="2"/>
  <c r="S36" i="2"/>
  <c r="T36" i="2"/>
  <c r="U36" i="2"/>
  <c r="Q37" i="2"/>
  <c r="R37" i="2"/>
  <c r="S37" i="2"/>
  <c r="T37" i="2"/>
  <c r="U37" i="2"/>
  <c r="Q38" i="2"/>
  <c r="R38" i="2"/>
  <c r="S38" i="2"/>
  <c r="T38" i="2"/>
  <c r="U38" i="2"/>
  <c r="Q39" i="2"/>
  <c r="R39" i="2"/>
  <c r="S39" i="2"/>
  <c r="T39" i="2"/>
  <c r="U39" i="2"/>
  <c r="Q40" i="2"/>
  <c r="R40" i="2"/>
  <c r="S40" i="2"/>
  <c r="T40" i="2"/>
  <c r="U40" i="2"/>
  <c r="Q41" i="2"/>
  <c r="R41" i="2"/>
  <c r="S41" i="2"/>
  <c r="T41" i="2"/>
  <c r="U41" i="2"/>
  <c r="Q42" i="2"/>
  <c r="R42" i="2"/>
  <c r="S42" i="2"/>
  <c r="T42" i="2"/>
  <c r="U42" i="2"/>
  <c r="Q43" i="2"/>
  <c r="R43" i="2"/>
  <c r="S43" i="2"/>
  <c r="T43" i="2"/>
  <c r="U43" i="2"/>
  <c r="Q44" i="2"/>
  <c r="R44" i="2"/>
  <c r="S44" i="2"/>
  <c r="T44" i="2"/>
  <c r="U44" i="2"/>
  <c r="Q45" i="2"/>
  <c r="R45" i="2"/>
  <c r="S45" i="2"/>
  <c r="T45" i="2"/>
  <c r="U45" i="2"/>
  <c r="Q46" i="2"/>
  <c r="R46" i="2"/>
  <c r="S46" i="2"/>
  <c r="T46" i="2"/>
  <c r="U46" i="2"/>
  <c r="Q47" i="2"/>
  <c r="R47" i="2"/>
  <c r="S47" i="2"/>
  <c r="T47" i="2"/>
  <c r="U47" i="2"/>
  <c r="Q48" i="2"/>
  <c r="R48" i="2"/>
  <c r="S48" i="2"/>
  <c r="T48" i="2"/>
  <c r="U48" i="2"/>
  <c r="Q49" i="2"/>
  <c r="R49" i="2"/>
  <c r="S49" i="2"/>
  <c r="T49" i="2"/>
  <c r="U49" i="2"/>
  <c r="Q50" i="2"/>
  <c r="R50" i="2"/>
  <c r="S50" i="2"/>
  <c r="T50" i="2"/>
  <c r="U50" i="2"/>
  <c r="Q51" i="2"/>
  <c r="R51" i="2"/>
  <c r="S51" i="2"/>
  <c r="T51" i="2"/>
  <c r="U51" i="2"/>
  <c r="Q52" i="2"/>
  <c r="R52" i="2"/>
  <c r="S52" i="2"/>
  <c r="T52" i="2"/>
  <c r="U52" i="2"/>
  <c r="Q53" i="2"/>
  <c r="R53" i="2"/>
  <c r="S53" i="2"/>
  <c r="T53" i="2"/>
  <c r="U53" i="2"/>
  <c r="Q54" i="2"/>
  <c r="R54" i="2"/>
  <c r="S54" i="2"/>
  <c r="T54" i="2"/>
  <c r="U54" i="2"/>
  <c r="Q55" i="2"/>
  <c r="R55" i="2"/>
  <c r="S55" i="2"/>
  <c r="T55" i="2"/>
  <c r="U55" i="2"/>
  <c r="Q56" i="2"/>
  <c r="R56" i="2"/>
  <c r="S56" i="2"/>
  <c r="T56" i="2"/>
  <c r="U56" i="2"/>
  <c r="Q57" i="2"/>
  <c r="R57" i="2"/>
  <c r="S57" i="2"/>
  <c r="T57" i="2"/>
  <c r="U57" i="2"/>
  <c r="Q58" i="2"/>
  <c r="R58" i="2"/>
  <c r="S58" i="2"/>
  <c r="T58" i="2"/>
  <c r="U58" i="2"/>
  <c r="Q59" i="2"/>
  <c r="R59" i="2"/>
  <c r="S59" i="2"/>
  <c r="T59" i="2"/>
  <c r="U59" i="2"/>
  <c r="Q60" i="2"/>
  <c r="R60" i="2"/>
  <c r="S60" i="2"/>
  <c r="T60" i="2"/>
  <c r="U60" i="2"/>
  <c r="Q61" i="2"/>
  <c r="R61" i="2"/>
  <c r="S61" i="2"/>
  <c r="T61" i="2"/>
  <c r="U61" i="2"/>
  <c r="Q62" i="2"/>
  <c r="R62" i="2"/>
  <c r="S62" i="2"/>
  <c r="T62" i="2"/>
  <c r="U62" i="2"/>
  <c r="Q63" i="2"/>
  <c r="R63" i="2"/>
  <c r="S63" i="2"/>
  <c r="T63" i="2"/>
  <c r="U63" i="2"/>
  <c r="Q64" i="2"/>
  <c r="R64" i="2"/>
  <c r="S64" i="2"/>
  <c r="T64" i="2"/>
  <c r="U64" i="2"/>
  <c r="Q65" i="2"/>
  <c r="R65" i="2"/>
  <c r="S65" i="2"/>
  <c r="T65" i="2"/>
  <c r="U65" i="2"/>
  <c r="Q66" i="2"/>
  <c r="R66" i="2"/>
  <c r="S66" i="2"/>
  <c r="T66" i="2"/>
  <c r="U66" i="2"/>
  <c r="Q67" i="2"/>
  <c r="R67" i="2"/>
  <c r="S67" i="2"/>
  <c r="T67" i="2"/>
  <c r="U67" i="2"/>
  <c r="Q68" i="2"/>
  <c r="R68" i="2"/>
  <c r="S68" i="2"/>
  <c r="T68" i="2"/>
  <c r="U68" i="2"/>
  <c r="Q69" i="2"/>
  <c r="R69" i="2"/>
  <c r="S69" i="2"/>
  <c r="T69" i="2"/>
  <c r="U69" i="2"/>
  <c r="Q70" i="2"/>
  <c r="R70" i="2"/>
  <c r="S70" i="2"/>
  <c r="T70" i="2"/>
  <c r="U70" i="2"/>
  <c r="Q71" i="2"/>
  <c r="R71" i="2"/>
  <c r="S71" i="2"/>
  <c r="T71" i="2"/>
  <c r="U71" i="2"/>
  <c r="Q72" i="2"/>
  <c r="R72" i="2"/>
  <c r="S72" i="2"/>
  <c r="T72" i="2"/>
  <c r="U72" i="2"/>
  <c r="Q73" i="2"/>
  <c r="R73" i="2"/>
  <c r="S73" i="2"/>
  <c r="T73" i="2"/>
  <c r="U73" i="2"/>
  <c r="Q74" i="2"/>
  <c r="R74" i="2"/>
  <c r="S74" i="2"/>
  <c r="T74" i="2"/>
  <c r="U74" i="2"/>
  <c r="Q75" i="2"/>
  <c r="R75" i="2"/>
  <c r="S75" i="2"/>
  <c r="T75" i="2"/>
  <c r="U75" i="2"/>
  <c r="Q76" i="2"/>
  <c r="R76" i="2"/>
  <c r="S76" i="2"/>
  <c r="T76" i="2"/>
  <c r="U76" i="2"/>
  <c r="Q77" i="2"/>
  <c r="R77" i="2"/>
  <c r="S77" i="2"/>
  <c r="T77" i="2"/>
  <c r="U77" i="2"/>
  <c r="Q78" i="2"/>
  <c r="R78" i="2"/>
  <c r="S78" i="2"/>
  <c r="T78" i="2"/>
  <c r="U78" i="2"/>
  <c r="Q79" i="2"/>
  <c r="R79" i="2"/>
  <c r="S79" i="2"/>
  <c r="T79" i="2"/>
  <c r="U79" i="2"/>
  <c r="Q80" i="2"/>
  <c r="R80" i="2"/>
  <c r="S80" i="2"/>
  <c r="T80" i="2"/>
  <c r="U80" i="2"/>
  <c r="Q81" i="2"/>
  <c r="R81" i="2"/>
  <c r="S81" i="2"/>
  <c r="T81" i="2"/>
  <c r="U81" i="2"/>
  <c r="Q82" i="2"/>
  <c r="R82" i="2"/>
  <c r="S82" i="2"/>
  <c r="T82" i="2"/>
  <c r="U82" i="2"/>
  <c r="Q83" i="2"/>
  <c r="R83" i="2"/>
  <c r="S83" i="2"/>
  <c r="T83" i="2"/>
  <c r="U83" i="2"/>
  <c r="Q84" i="2"/>
  <c r="R84" i="2"/>
  <c r="S84" i="2"/>
  <c r="T84" i="2"/>
  <c r="U84" i="2"/>
  <c r="Q85" i="2"/>
  <c r="R85" i="2"/>
  <c r="S85" i="2"/>
  <c r="T85" i="2"/>
  <c r="U85" i="2"/>
  <c r="Q86" i="2"/>
  <c r="R86" i="2"/>
  <c r="S86" i="2"/>
  <c r="T86" i="2"/>
  <c r="U86" i="2"/>
  <c r="Q87" i="2"/>
  <c r="R87" i="2"/>
  <c r="S87" i="2"/>
  <c r="T87" i="2"/>
  <c r="U87" i="2"/>
  <c r="Q88" i="2"/>
  <c r="R88" i="2"/>
  <c r="S88" i="2"/>
  <c r="T88" i="2"/>
  <c r="U88" i="2"/>
  <c r="Q89" i="2"/>
  <c r="R89" i="2"/>
  <c r="S89" i="2"/>
  <c r="T89" i="2"/>
  <c r="U89" i="2"/>
  <c r="Q90" i="2"/>
  <c r="R90" i="2"/>
  <c r="S90" i="2"/>
  <c r="T90" i="2"/>
  <c r="U90" i="2"/>
  <c r="Q91" i="2"/>
  <c r="R91" i="2"/>
  <c r="S91" i="2"/>
  <c r="T91" i="2"/>
  <c r="U91" i="2"/>
  <c r="Q92" i="2"/>
  <c r="R92" i="2"/>
  <c r="S92" i="2"/>
  <c r="T92" i="2"/>
  <c r="U92" i="2"/>
  <c r="Q93" i="2"/>
  <c r="R93" i="2"/>
  <c r="S93" i="2"/>
  <c r="T93" i="2"/>
  <c r="U93" i="2"/>
  <c r="Q94" i="2"/>
  <c r="R94" i="2"/>
  <c r="S94" i="2"/>
  <c r="T94" i="2"/>
  <c r="U94" i="2"/>
  <c r="Q95" i="2"/>
  <c r="R95" i="2"/>
  <c r="S95" i="2"/>
  <c r="T95" i="2"/>
  <c r="U95" i="2"/>
  <c r="Q96" i="2"/>
  <c r="R96" i="2"/>
  <c r="S96" i="2"/>
  <c r="T96" i="2"/>
  <c r="U96" i="2"/>
  <c r="Q97" i="2"/>
  <c r="R97" i="2"/>
  <c r="S97" i="2"/>
  <c r="T97" i="2"/>
  <c r="U97" i="2"/>
  <c r="Q98" i="2"/>
  <c r="R98" i="2"/>
  <c r="S98" i="2"/>
  <c r="T98" i="2"/>
  <c r="U98" i="2"/>
  <c r="Q99" i="2"/>
  <c r="R99" i="2"/>
  <c r="S99" i="2"/>
  <c r="T99" i="2"/>
  <c r="U99" i="2"/>
  <c r="Q100" i="2"/>
  <c r="R100" i="2"/>
  <c r="S100" i="2"/>
  <c r="T100" i="2"/>
  <c r="U100" i="2"/>
  <c r="Q101" i="2"/>
  <c r="R101" i="2"/>
  <c r="S101" i="2"/>
  <c r="T101" i="2"/>
  <c r="U101" i="2"/>
  <c r="Q102" i="2"/>
  <c r="R102" i="2"/>
  <c r="S102" i="2"/>
  <c r="T102" i="2"/>
  <c r="U102" i="2"/>
  <c r="Q103" i="2"/>
  <c r="R103" i="2"/>
  <c r="S103" i="2"/>
  <c r="T103" i="2"/>
  <c r="U103" i="2"/>
  <c r="Q104" i="2"/>
  <c r="R104" i="2"/>
  <c r="S104" i="2"/>
  <c r="T104" i="2"/>
  <c r="U104" i="2"/>
  <c r="Q105" i="2"/>
  <c r="R105" i="2"/>
  <c r="S105" i="2"/>
  <c r="T105" i="2"/>
  <c r="U105" i="2"/>
  <c r="Q106" i="2"/>
  <c r="R106" i="2"/>
  <c r="S106" i="2"/>
  <c r="T106" i="2"/>
  <c r="U106" i="2"/>
  <c r="Q107" i="2"/>
  <c r="R107" i="2"/>
  <c r="S107" i="2"/>
  <c r="T107" i="2"/>
  <c r="U107" i="2"/>
  <c r="Q108" i="2"/>
  <c r="R108" i="2"/>
  <c r="S108" i="2"/>
  <c r="T108" i="2"/>
  <c r="U108" i="2"/>
  <c r="Q109" i="2"/>
  <c r="R109" i="2"/>
  <c r="S109" i="2"/>
  <c r="T109" i="2"/>
  <c r="U109" i="2"/>
  <c r="Q110" i="2"/>
  <c r="R110" i="2"/>
  <c r="S110" i="2"/>
  <c r="T110" i="2"/>
  <c r="U110" i="2"/>
  <c r="Q111" i="2"/>
  <c r="R111" i="2"/>
  <c r="S111" i="2"/>
  <c r="T111" i="2"/>
  <c r="U111" i="2"/>
  <c r="Q112" i="2"/>
  <c r="R112" i="2"/>
  <c r="S112" i="2"/>
  <c r="T112" i="2"/>
  <c r="U112" i="2"/>
  <c r="Q113" i="2"/>
  <c r="R113" i="2"/>
  <c r="S113" i="2"/>
  <c r="T113" i="2"/>
  <c r="U113" i="2"/>
  <c r="Q114" i="2"/>
  <c r="R114" i="2"/>
  <c r="S114" i="2"/>
  <c r="T114" i="2"/>
  <c r="U114" i="2"/>
  <c r="Q115" i="2"/>
  <c r="R115" i="2"/>
  <c r="S115" i="2"/>
  <c r="T115" i="2"/>
  <c r="U115" i="2"/>
  <c r="Q116" i="2"/>
  <c r="R116" i="2"/>
  <c r="S116" i="2"/>
  <c r="T116" i="2"/>
  <c r="U116" i="2"/>
  <c r="Q117" i="2"/>
  <c r="R117" i="2"/>
  <c r="S117" i="2"/>
  <c r="T117" i="2"/>
  <c r="U117" i="2"/>
  <c r="Q118" i="2"/>
  <c r="R118" i="2"/>
  <c r="S118" i="2"/>
  <c r="T118" i="2"/>
  <c r="U118" i="2"/>
  <c r="Q119" i="2"/>
  <c r="R119" i="2"/>
  <c r="S119" i="2"/>
  <c r="T119" i="2"/>
  <c r="U119" i="2"/>
  <c r="Q120" i="2"/>
  <c r="R120" i="2"/>
  <c r="S120" i="2"/>
  <c r="T120" i="2"/>
  <c r="U120" i="2"/>
  <c r="Q121" i="2"/>
  <c r="R121" i="2"/>
  <c r="S121" i="2"/>
  <c r="T121" i="2"/>
  <c r="U121" i="2"/>
  <c r="Q122" i="2"/>
  <c r="R122" i="2"/>
  <c r="S122" i="2"/>
  <c r="T122" i="2"/>
  <c r="U122" i="2"/>
  <c r="Q123" i="2"/>
  <c r="R123" i="2"/>
  <c r="S123" i="2"/>
  <c r="T123" i="2"/>
  <c r="U123" i="2"/>
  <c r="Q124" i="2"/>
  <c r="R124" i="2"/>
  <c r="S124" i="2"/>
  <c r="T124" i="2"/>
  <c r="U124" i="2"/>
  <c r="Q125" i="2"/>
  <c r="R125" i="2"/>
  <c r="S125" i="2"/>
  <c r="T125" i="2"/>
  <c r="U125" i="2"/>
  <c r="Q126" i="2"/>
  <c r="R126" i="2"/>
  <c r="S126" i="2"/>
  <c r="T126" i="2"/>
  <c r="U126" i="2"/>
  <c r="Q127" i="2"/>
  <c r="R127" i="2"/>
  <c r="S127" i="2"/>
  <c r="T127" i="2"/>
  <c r="U127" i="2"/>
  <c r="Q128" i="2"/>
  <c r="R128" i="2"/>
  <c r="S128" i="2"/>
  <c r="T128" i="2"/>
  <c r="U128" i="2"/>
  <c r="Q129" i="2"/>
  <c r="R129" i="2"/>
  <c r="S129" i="2"/>
  <c r="T129" i="2"/>
  <c r="U129" i="2"/>
  <c r="Q130" i="2"/>
  <c r="R130" i="2"/>
  <c r="S130" i="2"/>
  <c r="T130" i="2"/>
  <c r="U130" i="2"/>
  <c r="Q131" i="2"/>
  <c r="R131" i="2"/>
  <c r="S131" i="2"/>
  <c r="T131" i="2"/>
  <c r="U131" i="2"/>
  <c r="Q132" i="2"/>
  <c r="R132" i="2"/>
  <c r="S132" i="2"/>
  <c r="T132" i="2"/>
  <c r="U132" i="2"/>
  <c r="Q133" i="2"/>
  <c r="R133" i="2"/>
  <c r="S133" i="2"/>
  <c r="T133" i="2"/>
  <c r="U133" i="2"/>
  <c r="Q134" i="2"/>
  <c r="R134" i="2"/>
  <c r="S134" i="2"/>
  <c r="T134" i="2"/>
  <c r="U134" i="2"/>
  <c r="Q135" i="2"/>
  <c r="R135" i="2"/>
  <c r="S135" i="2"/>
  <c r="T135" i="2"/>
  <c r="U135" i="2"/>
  <c r="Q136" i="2"/>
  <c r="R136" i="2"/>
  <c r="S136" i="2"/>
  <c r="T136" i="2"/>
  <c r="U136" i="2"/>
  <c r="Q137" i="2"/>
  <c r="R137" i="2"/>
  <c r="S137" i="2"/>
  <c r="T137" i="2"/>
  <c r="U137" i="2"/>
  <c r="Q138" i="2"/>
  <c r="R138" i="2"/>
  <c r="S138" i="2"/>
  <c r="T138" i="2"/>
  <c r="U138" i="2"/>
  <c r="Q139" i="2"/>
  <c r="R139" i="2"/>
  <c r="S139" i="2"/>
  <c r="T139" i="2"/>
  <c r="U139" i="2"/>
  <c r="Q140" i="2"/>
  <c r="R140" i="2"/>
  <c r="S140" i="2"/>
  <c r="T140" i="2"/>
  <c r="U140" i="2"/>
  <c r="Q141" i="2"/>
  <c r="R141" i="2"/>
  <c r="S141" i="2"/>
  <c r="T141" i="2"/>
  <c r="U141" i="2"/>
  <c r="Q142" i="2"/>
  <c r="R142" i="2"/>
  <c r="S142" i="2"/>
  <c r="T142" i="2"/>
  <c r="U142" i="2"/>
  <c r="Q143" i="2"/>
  <c r="R143" i="2"/>
  <c r="S143" i="2"/>
  <c r="T143" i="2"/>
  <c r="U143" i="2"/>
  <c r="Q144" i="2"/>
  <c r="R144" i="2"/>
  <c r="S144" i="2"/>
  <c r="T144" i="2"/>
  <c r="U144" i="2"/>
  <c r="Q145" i="2"/>
  <c r="R145" i="2"/>
  <c r="S145" i="2"/>
  <c r="T145" i="2"/>
  <c r="U145" i="2"/>
  <c r="Q146" i="2"/>
  <c r="R146" i="2"/>
  <c r="S146" i="2"/>
  <c r="T146" i="2"/>
  <c r="U146" i="2"/>
  <c r="Q147" i="2"/>
  <c r="R147" i="2"/>
  <c r="S147" i="2"/>
  <c r="T147" i="2"/>
  <c r="U147" i="2"/>
  <c r="Q148" i="2"/>
  <c r="R148" i="2"/>
  <c r="S148" i="2"/>
  <c r="T148" i="2"/>
  <c r="U148" i="2"/>
  <c r="Q149" i="2"/>
  <c r="R149" i="2"/>
  <c r="S149" i="2"/>
  <c r="T149" i="2"/>
  <c r="U149" i="2"/>
  <c r="Q150" i="2"/>
  <c r="R150" i="2"/>
  <c r="S150" i="2"/>
  <c r="T150" i="2"/>
  <c r="U150" i="2"/>
  <c r="Q151" i="2"/>
  <c r="R151" i="2"/>
  <c r="S151" i="2"/>
  <c r="T151" i="2"/>
  <c r="U151" i="2"/>
  <c r="Q152" i="2"/>
  <c r="R152" i="2"/>
  <c r="S152" i="2"/>
  <c r="T152" i="2"/>
  <c r="U152" i="2"/>
  <c r="Q153" i="2"/>
  <c r="R153" i="2"/>
  <c r="S153" i="2"/>
  <c r="T153" i="2"/>
  <c r="U153" i="2"/>
  <c r="Q154" i="2"/>
  <c r="R154" i="2"/>
  <c r="S154" i="2"/>
  <c r="T154" i="2"/>
  <c r="U154" i="2"/>
  <c r="Q155" i="2"/>
  <c r="R155" i="2"/>
  <c r="S155" i="2"/>
  <c r="T155" i="2"/>
  <c r="U155" i="2"/>
  <c r="Q156" i="2"/>
  <c r="R156" i="2"/>
  <c r="S156" i="2"/>
  <c r="T156" i="2"/>
  <c r="U156" i="2"/>
  <c r="Q157" i="2"/>
  <c r="R157" i="2"/>
  <c r="S157" i="2"/>
  <c r="T157" i="2"/>
  <c r="U157" i="2"/>
  <c r="Q158" i="2"/>
  <c r="R158" i="2"/>
  <c r="S158" i="2"/>
  <c r="T158" i="2"/>
  <c r="U158" i="2"/>
  <c r="Q159" i="2"/>
  <c r="R159" i="2"/>
  <c r="S159" i="2"/>
  <c r="T159" i="2"/>
  <c r="U159" i="2"/>
  <c r="Q160" i="2"/>
  <c r="R160" i="2"/>
  <c r="S160" i="2"/>
  <c r="T160" i="2"/>
  <c r="U160" i="2"/>
  <c r="Q161" i="2"/>
  <c r="R161" i="2"/>
  <c r="S161" i="2"/>
  <c r="T161" i="2"/>
  <c r="U161" i="2"/>
  <c r="Q162" i="2"/>
  <c r="R162" i="2"/>
  <c r="S162" i="2"/>
  <c r="T162" i="2"/>
  <c r="U162" i="2"/>
  <c r="Q163" i="2"/>
  <c r="R163" i="2"/>
  <c r="S163" i="2"/>
  <c r="T163" i="2"/>
  <c r="U163" i="2"/>
  <c r="Q164" i="2"/>
  <c r="R164" i="2"/>
  <c r="S164" i="2"/>
  <c r="T164" i="2"/>
  <c r="U164" i="2"/>
  <c r="Q165" i="2"/>
  <c r="R165" i="2"/>
  <c r="S165" i="2"/>
  <c r="T165" i="2"/>
  <c r="U165" i="2"/>
  <c r="Q166" i="2"/>
  <c r="R166" i="2"/>
  <c r="S166" i="2"/>
  <c r="T166" i="2"/>
  <c r="U166" i="2"/>
  <c r="Q167" i="2"/>
  <c r="R167" i="2"/>
  <c r="S167" i="2"/>
  <c r="T167" i="2"/>
  <c r="U167" i="2"/>
  <c r="Q168" i="2"/>
  <c r="R168" i="2"/>
  <c r="S168" i="2"/>
  <c r="T168" i="2"/>
  <c r="U168" i="2"/>
  <c r="Q169" i="2"/>
  <c r="R169" i="2"/>
  <c r="S169" i="2"/>
  <c r="T169" i="2"/>
  <c r="U169" i="2"/>
  <c r="Q170" i="2"/>
  <c r="R170" i="2"/>
  <c r="S170" i="2"/>
  <c r="T170" i="2"/>
  <c r="U170" i="2"/>
  <c r="Q171" i="2"/>
  <c r="R171" i="2"/>
  <c r="S171" i="2"/>
  <c r="T171" i="2"/>
  <c r="U171" i="2"/>
  <c r="Q172" i="2"/>
  <c r="R172" i="2"/>
  <c r="S172" i="2"/>
  <c r="T172" i="2"/>
  <c r="U172" i="2"/>
  <c r="Q173" i="2"/>
  <c r="R173" i="2"/>
  <c r="S173" i="2"/>
  <c r="T173" i="2"/>
  <c r="U173" i="2"/>
  <c r="Q174" i="2"/>
  <c r="R174" i="2"/>
  <c r="S174" i="2"/>
  <c r="T174" i="2"/>
  <c r="U174" i="2"/>
  <c r="Q175" i="2"/>
  <c r="R175" i="2"/>
  <c r="S175" i="2"/>
  <c r="T175" i="2"/>
  <c r="U175" i="2"/>
  <c r="Q176" i="2"/>
  <c r="R176" i="2"/>
  <c r="S176" i="2"/>
  <c r="T176" i="2"/>
  <c r="U176" i="2"/>
  <c r="Q177" i="2"/>
  <c r="R177" i="2"/>
  <c r="S177" i="2"/>
  <c r="T177" i="2"/>
  <c r="U177" i="2"/>
  <c r="Q178" i="2"/>
  <c r="R178" i="2"/>
  <c r="S178" i="2"/>
  <c r="T178" i="2"/>
  <c r="U178" i="2"/>
  <c r="Q179" i="2"/>
  <c r="R179" i="2"/>
  <c r="S179" i="2"/>
  <c r="T179" i="2"/>
  <c r="U179" i="2"/>
  <c r="Q180" i="2"/>
  <c r="R180" i="2"/>
  <c r="S180" i="2"/>
  <c r="T180" i="2"/>
  <c r="U180" i="2"/>
  <c r="Q181" i="2"/>
  <c r="R181" i="2"/>
  <c r="S181" i="2"/>
  <c r="T181" i="2"/>
  <c r="U181" i="2"/>
  <c r="Q182" i="2"/>
  <c r="R182" i="2"/>
  <c r="S182" i="2"/>
  <c r="T182" i="2"/>
  <c r="U182" i="2"/>
  <c r="Q183" i="2"/>
  <c r="R183" i="2"/>
  <c r="S183" i="2"/>
  <c r="T183" i="2"/>
  <c r="U183" i="2"/>
  <c r="Q184" i="2"/>
  <c r="R184" i="2"/>
  <c r="S184" i="2"/>
  <c r="T184" i="2"/>
  <c r="U184" i="2"/>
  <c r="Q185" i="2"/>
  <c r="R185" i="2"/>
  <c r="S185" i="2"/>
  <c r="T185" i="2"/>
  <c r="U185" i="2"/>
  <c r="Q186" i="2"/>
  <c r="R186" i="2"/>
  <c r="S186" i="2"/>
  <c r="T186" i="2"/>
  <c r="U186" i="2"/>
  <c r="Q187" i="2"/>
  <c r="R187" i="2"/>
  <c r="S187" i="2"/>
  <c r="T187" i="2"/>
  <c r="U187" i="2"/>
  <c r="Q188" i="2"/>
  <c r="R188" i="2"/>
  <c r="S188" i="2"/>
  <c r="T188" i="2"/>
  <c r="U188" i="2"/>
  <c r="Q189" i="2"/>
  <c r="R189" i="2"/>
  <c r="S189" i="2"/>
  <c r="T189" i="2"/>
  <c r="U189" i="2"/>
  <c r="Q190" i="2"/>
  <c r="R190" i="2"/>
  <c r="S190" i="2"/>
  <c r="T190" i="2"/>
  <c r="U190" i="2"/>
  <c r="Q191" i="2"/>
  <c r="R191" i="2"/>
  <c r="S191" i="2"/>
  <c r="T191" i="2"/>
  <c r="U191" i="2"/>
  <c r="Q192" i="2"/>
  <c r="R192" i="2"/>
  <c r="S192" i="2"/>
  <c r="T192" i="2"/>
  <c r="U192" i="2"/>
  <c r="Q193" i="2"/>
  <c r="R193" i="2"/>
  <c r="S193" i="2"/>
  <c r="T193" i="2"/>
  <c r="U193" i="2"/>
  <c r="Q194" i="2"/>
  <c r="R194" i="2"/>
  <c r="S194" i="2"/>
  <c r="T194" i="2"/>
  <c r="U194" i="2"/>
  <c r="Q195" i="2"/>
  <c r="R195" i="2"/>
  <c r="S195" i="2"/>
  <c r="T195" i="2"/>
  <c r="U195" i="2"/>
  <c r="Q196" i="2"/>
  <c r="R196" i="2"/>
  <c r="S196" i="2"/>
  <c r="T196" i="2"/>
  <c r="U196" i="2"/>
  <c r="Q197" i="2"/>
  <c r="R197" i="2"/>
  <c r="S197" i="2"/>
  <c r="T197" i="2"/>
  <c r="U197" i="2"/>
  <c r="Q198" i="2"/>
  <c r="R198" i="2"/>
  <c r="S198" i="2"/>
  <c r="T198" i="2"/>
  <c r="U198" i="2"/>
  <c r="Q199" i="2"/>
  <c r="R199" i="2"/>
  <c r="S199" i="2"/>
  <c r="T199" i="2"/>
  <c r="U199" i="2"/>
  <c r="Q200" i="2"/>
  <c r="R200" i="2"/>
  <c r="S200" i="2"/>
  <c r="T200" i="2"/>
  <c r="U200" i="2"/>
  <c r="Q201" i="2"/>
  <c r="R201" i="2"/>
  <c r="S201" i="2"/>
  <c r="T201" i="2"/>
  <c r="U201" i="2"/>
  <c r="Q202" i="2"/>
  <c r="R202" i="2"/>
  <c r="S202" i="2"/>
  <c r="T202" i="2"/>
  <c r="U202" i="2"/>
  <c r="Q203" i="2"/>
  <c r="R203" i="2"/>
  <c r="S203" i="2"/>
  <c r="T203" i="2"/>
  <c r="U203" i="2"/>
  <c r="Q204" i="2"/>
  <c r="R204" i="2"/>
  <c r="S204" i="2"/>
  <c r="T204" i="2"/>
  <c r="U204" i="2"/>
  <c r="Q205" i="2"/>
  <c r="R205" i="2"/>
  <c r="S205" i="2"/>
  <c r="T205" i="2"/>
  <c r="U205" i="2"/>
  <c r="Q206" i="2"/>
  <c r="R206" i="2"/>
  <c r="S206" i="2"/>
  <c r="T206" i="2"/>
  <c r="U206" i="2"/>
  <c r="Q207" i="2"/>
  <c r="R207" i="2"/>
  <c r="S207" i="2"/>
  <c r="T207" i="2"/>
  <c r="U207" i="2"/>
  <c r="Q208" i="2"/>
  <c r="R208" i="2"/>
  <c r="S208" i="2"/>
  <c r="T208" i="2"/>
  <c r="U208" i="2"/>
  <c r="Q209" i="2"/>
  <c r="R209" i="2"/>
  <c r="S209" i="2"/>
  <c r="T209" i="2"/>
  <c r="U209" i="2"/>
  <c r="Q210" i="2"/>
  <c r="R210" i="2"/>
  <c r="S210" i="2"/>
  <c r="T210" i="2"/>
  <c r="U210" i="2"/>
  <c r="Q11" i="2"/>
  <c r="R11" i="2"/>
  <c r="S11" i="2"/>
  <c r="T11" i="2"/>
  <c r="U11" i="2"/>
  <c r="AF12" i="2"/>
  <c r="AG12" i="2"/>
  <c r="AH12" i="2"/>
  <c r="AI12" i="2"/>
  <c r="AJ12" i="2"/>
  <c r="AD12" i="2"/>
  <c r="AF13" i="2"/>
  <c r="AG13" i="2"/>
  <c r="AH13" i="2"/>
  <c r="AI13" i="2"/>
  <c r="AJ13" i="2"/>
  <c r="AD13" i="2"/>
  <c r="AF14" i="2"/>
  <c r="AG14" i="2"/>
  <c r="AH14" i="2"/>
  <c r="AI14" i="2"/>
  <c r="AJ14" i="2"/>
  <c r="AD14" i="2"/>
  <c r="AF15" i="2"/>
  <c r="AG15" i="2"/>
  <c r="AH15" i="2"/>
  <c r="AI15" i="2"/>
  <c r="AJ15" i="2"/>
  <c r="AD15" i="2"/>
  <c r="AF16" i="2"/>
  <c r="AG16" i="2"/>
  <c r="AH16" i="2"/>
  <c r="AI16" i="2"/>
  <c r="AJ16" i="2"/>
  <c r="AD16" i="2"/>
  <c r="AF17" i="2"/>
  <c r="AG17" i="2"/>
  <c r="AH17" i="2"/>
  <c r="AI17" i="2"/>
  <c r="AJ17" i="2"/>
  <c r="AD17" i="2"/>
  <c r="AF18" i="2"/>
  <c r="AG18" i="2"/>
  <c r="AH18" i="2"/>
  <c r="AI18" i="2"/>
  <c r="AJ18" i="2"/>
  <c r="AD18" i="2"/>
  <c r="AF19" i="2"/>
  <c r="AG19" i="2"/>
  <c r="AH19" i="2"/>
  <c r="AI19" i="2"/>
  <c r="AJ19" i="2"/>
  <c r="AD19" i="2"/>
  <c r="AF20" i="2"/>
  <c r="AG20" i="2"/>
  <c r="AH20" i="2"/>
  <c r="AI20" i="2"/>
  <c r="AJ20" i="2"/>
  <c r="AD20" i="2"/>
  <c r="AF21" i="2"/>
  <c r="AG21" i="2"/>
  <c r="AH21" i="2"/>
  <c r="AI21" i="2"/>
  <c r="AJ21" i="2"/>
  <c r="AD21" i="2"/>
  <c r="AF22" i="2"/>
  <c r="AG22" i="2"/>
  <c r="AH22" i="2"/>
  <c r="AI22" i="2"/>
  <c r="AJ22" i="2"/>
  <c r="AD22" i="2"/>
  <c r="AF23" i="2"/>
  <c r="AG23" i="2"/>
  <c r="AH23" i="2"/>
  <c r="AI23" i="2"/>
  <c r="AJ23" i="2"/>
  <c r="AD23" i="2"/>
  <c r="AF24" i="2"/>
  <c r="AG24" i="2"/>
  <c r="AH24" i="2"/>
  <c r="AI24" i="2"/>
  <c r="AJ24" i="2"/>
  <c r="AD24" i="2"/>
  <c r="AF25" i="2"/>
  <c r="AG25" i="2"/>
  <c r="AH25" i="2"/>
  <c r="AI25" i="2"/>
  <c r="AJ25" i="2"/>
  <c r="AD25" i="2"/>
  <c r="AF26" i="2"/>
  <c r="AG26" i="2"/>
  <c r="AH26" i="2"/>
  <c r="AI26" i="2"/>
  <c r="AJ26" i="2"/>
  <c r="AD26" i="2"/>
  <c r="AF27" i="2"/>
  <c r="AG27" i="2"/>
  <c r="AH27" i="2"/>
  <c r="AI27" i="2"/>
  <c r="AJ27" i="2"/>
  <c r="AD27" i="2"/>
  <c r="AF28" i="2"/>
  <c r="AG28" i="2"/>
  <c r="AH28" i="2"/>
  <c r="AI28" i="2"/>
  <c r="AJ28" i="2"/>
  <c r="AD28" i="2"/>
  <c r="AF29" i="2"/>
  <c r="AG29" i="2"/>
  <c r="AH29" i="2"/>
  <c r="AI29" i="2"/>
  <c r="AJ29" i="2"/>
  <c r="AD29" i="2"/>
  <c r="AF30" i="2"/>
  <c r="AG30" i="2"/>
  <c r="AH30" i="2"/>
  <c r="AI30" i="2"/>
  <c r="AJ30" i="2"/>
  <c r="AD30" i="2"/>
  <c r="AF31" i="2"/>
  <c r="AG31" i="2"/>
  <c r="AH31" i="2"/>
  <c r="AI31" i="2"/>
  <c r="AJ31" i="2"/>
  <c r="AD31" i="2"/>
  <c r="AF32" i="2"/>
  <c r="AG32" i="2"/>
  <c r="AH32" i="2"/>
  <c r="AI32" i="2"/>
  <c r="AJ32" i="2"/>
  <c r="AD32" i="2"/>
  <c r="AF33" i="2"/>
  <c r="AG33" i="2"/>
  <c r="AH33" i="2"/>
  <c r="AI33" i="2"/>
  <c r="AJ33" i="2"/>
  <c r="AD33" i="2"/>
  <c r="AF34" i="2"/>
  <c r="AG34" i="2"/>
  <c r="AH34" i="2"/>
  <c r="AI34" i="2"/>
  <c r="AJ34" i="2"/>
  <c r="AD34" i="2"/>
  <c r="AF35" i="2"/>
  <c r="AG35" i="2"/>
  <c r="AH35" i="2"/>
  <c r="AI35" i="2"/>
  <c r="AJ35" i="2"/>
  <c r="AD35" i="2"/>
  <c r="AF36" i="2"/>
  <c r="AG36" i="2"/>
  <c r="AH36" i="2"/>
  <c r="AI36" i="2"/>
  <c r="AJ36" i="2"/>
  <c r="AD36" i="2"/>
  <c r="AF37" i="2"/>
  <c r="AG37" i="2"/>
  <c r="AH37" i="2"/>
  <c r="AI37" i="2"/>
  <c r="AJ37" i="2"/>
  <c r="AD37" i="2"/>
  <c r="AF38" i="2"/>
  <c r="AG38" i="2"/>
  <c r="AH38" i="2"/>
  <c r="AI38" i="2"/>
  <c r="AJ38" i="2"/>
  <c r="AD38" i="2"/>
  <c r="AF39" i="2"/>
  <c r="AG39" i="2"/>
  <c r="AH39" i="2"/>
  <c r="AI39" i="2"/>
  <c r="AJ39" i="2"/>
  <c r="AD39" i="2"/>
  <c r="AF40" i="2"/>
  <c r="AG40" i="2"/>
  <c r="AH40" i="2"/>
  <c r="AI40" i="2"/>
  <c r="AJ40" i="2"/>
  <c r="AD40" i="2"/>
  <c r="AF41" i="2"/>
  <c r="AG41" i="2"/>
  <c r="AH41" i="2"/>
  <c r="AI41" i="2"/>
  <c r="AJ41" i="2"/>
  <c r="AD41" i="2"/>
  <c r="AF42" i="2"/>
  <c r="AG42" i="2"/>
  <c r="AH42" i="2"/>
  <c r="AI42" i="2"/>
  <c r="AJ42" i="2"/>
  <c r="AD42" i="2"/>
  <c r="AF43" i="2"/>
  <c r="AG43" i="2"/>
  <c r="AH43" i="2"/>
  <c r="AI43" i="2"/>
  <c r="AJ43" i="2"/>
  <c r="AD43" i="2"/>
  <c r="AF44" i="2"/>
  <c r="AG44" i="2"/>
  <c r="AH44" i="2"/>
  <c r="AI44" i="2"/>
  <c r="AJ44" i="2"/>
  <c r="AD44" i="2"/>
  <c r="AF45" i="2"/>
  <c r="AG45" i="2"/>
  <c r="AH45" i="2"/>
  <c r="AI45" i="2"/>
  <c r="AJ45" i="2"/>
  <c r="AD45" i="2"/>
  <c r="AF46" i="2"/>
  <c r="AG46" i="2"/>
  <c r="AH46" i="2"/>
  <c r="AI46" i="2"/>
  <c r="AJ46" i="2"/>
  <c r="AD46" i="2"/>
  <c r="AF47" i="2"/>
  <c r="AG47" i="2"/>
  <c r="AH47" i="2"/>
  <c r="AI47" i="2"/>
  <c r="AJ47" i="2"/>
  <c r="AD47" i="2"/>
  <c r="AF48" i="2"/>
  <c r="AG48" i="2"/>
  <c r="AH48" i="2"/>
  <c r="AI48" i="2"/>
  <c r="AJ48" i="2"/>
  <c r="AD48" i="2"/>
  <c r="AF49" i="2"/>
  <c r="AG49" i="2"/>
  <c r="AH49" i="2"/>
  <c r="AI49" i="2"/>
  <c r="AJ49" i="2"/>
  <c r="AD49" i="2"/>
  <c r="AF50" i="2"/>
  <c r="AG50" i="2"/>
  <c r="AH50" i="2"/>
  <c r="AI50" i="2"/>
  <c r="AJ50" i="2"/>
  <c r="AD50" i="2"/>
  <c r="AF51" i="2"/>
  <c r="AG51" i="2"/>
  <c r="AH51" i="2"/>
  <c r="AI51" i="2"/>
  <c r="AJ51" i="2"/>
  <c r="AD51" i="2"/>
  <c r="AF52" i="2"/>
  <c r="AG52" i="2"/>
  <c r="AH52" i="2"/>
  <c r="AI52" i="2"/>
  <c r="AJ52" i="2"/>
  <c r="AD52" i="2"/>
  <c r="AF53" i="2"/>
  <c r="AG53" i="2"/>
  <c r="AH53" i="2"/>
  <c r="AI53" i="2"/>
  <c r="AJ53" i="2"/>
  <c r="AD53" i="2"/>
  <c r="AF54" i="2"/>
  <c r="AG54" i="2"/>
  <c r="AH54" i="2"/>
  <c r="AI54" i="2"/>
  <c r="AJ54" i="2"/>
  <c r="AD54" i="2"/>
  <c r="AF55" i="2"/>
  <c r="AG55" i="2"/>
  <c r="AH55" i="2"/>
  <c r="AI55" i="2"/>
  <c r="AJ55" i="2"/>
  <c r="AD55" i="2"/>
  <c r="AF56" i="2"/>
  <c r="AG56" i="2"/>
  <c r="AH56" i="2"/>
  <c r="AI56" i="2"/>
  <c r="AJ56" i="2"/>
  <c r="AD56" i="2"/>
  <c r="AF57" i="2"/>
  <c r="AG57" i="2"/>
  <c r="AH57" i="2"/>
  <c r="AI57" i="2"/>
  <c r="AJ57" i="2"/>
  <c r="AD57" i="2"/>
  <c r="AF58" i="2"/>
  <c r="AG58" i="2"/>
  <c r="AH58" i="2"/>
  <c r="AI58" i="2"/>
  <c r="AJ58" i="2"/>
  <c r="AD58" i="2"/>
  <c r="AF59" i="2"/>
  <c r="AG59" i="2"/>
  <c r="AH59" i="2"/>
  <c r="AI59" i="2"/>
  <c r="AJ59" i="2"/>
  <c r="AD59" i="2"/>
  <c r="AF60" i="2"/>
  <c r="AG60" i="2"/>
  <c r="AH60" i="2"/>
  <c r="AI60" i="2"/>
  <c r="AJ60" i="2"/>
  <c r="AD60" i="2"/>
  <c r="AF61" i="2"/>
  <c r="AG61" i="2"/>
  <c r="AH61" i="2"/>
  <c r="AI61" i="2"/>
  <c r="AJ61" i="2"/>
  <c r="AD61" i="2"/>
  <c r="AF62" i="2"/>
  <c r="AG62" i="2"/>
  <c r="AH62" i="2"/>
  <c r="AI62" i="2"/>
  <c r="AJ62" i="2"/>
  <c r="AD62" i="2"/>
  <c r="AF63" i="2"/>
  <c r="AG63" i="2"/>
  <c r="AH63" i="2"/>
  <c r="AI63" i="2"/>
  <c r="AJ63" i="2"/>
  <c r="AD63" i="2"/>
  <c r="AF64" i="2"/>
  <c r="AG64" i="2"/>
  <c r="AH64" i="2"/>
  <c r="AI64" i="2"/>
  <c r="AJ64" i="2"/>
  <c r="AD64" i="2"/>
  <c r="AF65" i="2"/>
  <c r="AG65" i="2"/>
  <c r="AH65" i="2"/>
  <c r="AI65" i="2"/>
  <c r="AJ65" i="2"/>
  <c r="AD65" i="2"/>
  <c r="AF66" i="2"/>
  <c r="AG66" i="2"/>
  <c r="AH66" i="2"/>
  <c r="AI66" i="2"/>
  <c r="AJ66" i="2"/>
  <c r="AD66" i="2"/>
  <c r="AF67" i="2"/>
  <c r="AG67" i="2"/>
  <c r="AH67" i="2"/>
  <c r="AI67" i="2"/>
  <c r="AJ67" i="2"/>
  <c r="AD67" i="2"/>
  <c r="AF68" i="2"/>
  <c r="AG68" i="2"/>
  <c r="AH68" i="2"/>
  <c r="AI68" i="2"/>
  <c r="AJ68" i="2"/>
  <c r="AD68" i="2"/>
  <c r="AF69" i="2"/>
  <c r="AG69" i="2"/>
  <c r="AH69" i="2"/>
  <c r="AI69" i="2"/>
  <c r="AJ69" i="2"/>
  <c r="AD69" i="2"/>
  <c r="AF70" i="2"/>
  <c r="AG70" i="2"/>
  <c r="AH70" i="2"/>
  <c r="AI70" i="2"/>
  <c r="AJ70" i="2"/>
  <c r="AD70" i="2"/>
  <c r="AF71" i="2"/>
  <c r="AG71" i="2"/>
  <c r="AH71" i="2"/>
  <c r="AI71" i="2"/>
  <c r="AJ71" i="2"/>
  <c r="AD71" i="2"/>
  <c r="AF72" i="2"/>
  <c r="AG72" i="2"/>
  <c r="AH72" i="2"/>
  <c r="AI72" i="2"/>
  <c r="AJ72" i="2"/>
  <c r="AD72" i="2"/>
  <c r="AF73" i="2"/>
  <c r="AG73" i="2"/>
  <c r="AH73" i="2"/>
  <c r="AI73" i="2"/>
  <c r="AJ73" i="2"/>
  <c r="AD73" i="2"/>
  <c r="AF74" i="2"/>
  <c r="AG74" i="2"/>
  <c r="AH74" i="2"/>
  <c r="AI74" i="2"/>
  <c r="AJ74" i="2"/>
  <c r="AD74" i="2"/>
  <c r="AF75" i="2"/>
  <c r="AG75" i="2"/>
  <c r="AH75" i="2"/>
  <c r="AI75" i="2"/>
  <c r="AJ75" i="2"/>
  <c r="AD75" i="2"/>
  <c r="AF76" i="2"/>
  <c r="AG76" i="2"/>
  <c r="AH76" i="2"/>
  <c r="AI76" i="2"/>
  <c r="AJ76" i="2"/>
  <c r="AD76" i="2"/>
  <c r="AF77" i="2"/>
  <c r="AG77" i="2"/>
  <c r="AH77" i="2"/>
  <c r="AI77" i="2"/>
  <c r="AJ77" i="2"/>
  <c r="AD77" i="2"/>
  <c r="AF78" i="2"/>
  <c r="AG78" i="2"/>
  <c r="AH78" i="2"/>
  <c r="AI78" i="2"/>
  <c r="AJ78" i="2"/>
  <c r="AD78" i="2"/>
  <c r="AF79" i="2"/>
  <c r="AG79" i="2"/>
  <c r="AH79" i="2"/>
  <c r="AI79" i="2"/>
  <c r="AJ79" i="2"/>
  <c r="AD79" i="2"/>
  <c r="AF80" i="2"/>
  <c r="AG80" i="2"/>
  <c r="AH80" i="2"/>
  <c r="AI80" i="2"/>
  <c r="AJ80" i="2"/>
  <c r="AD80" i="2"/>
  <c r="AF81" i="2"/>
  <c r="AG81" i="2"/>
  <c r="AH81" i="2"/>
  <c r="AI81" i="2"/>
  <c r="AJ81" i="2"/>
  <c r="AD81" i="2"/>
  <c r="AF82" i="2"/>
  <c r="AG82" i="2"/>
  <c r="AH82" i="2"/>
  <c r="AI82" i="2"/>
  <c r="AJ82" i="2"/>
  <c r="AD82" i="2"/>
  <c r="AF83" i="2"/>
  <c r="AG83" i="2"/>
  <c r="AH83" i="2"/>
  <c r="AI83" i="2"/>
  <c r="AJ83" i="2"/>
  <c r="AD83" i="2"/>
  <c r="AF84" i="2"/>
  <c r="AG84" i="2"/>
  <c r="AH84" i="2"/>
  <c r="AI84" i="2"/>
  <c r="AJ84" i="2"/>
  <c r="AD84" i="2"/>
  <c r="AF85" i="2"/>
  <c r="AG85" i="2"/>
  <c r="AH85" i="2"/>
  <c r="AI85" i="2"/>
  <c r="AJ85" i="2"/>
  <c r="AD85" i="2"/>
  <c r="AF86" i="2"/>
  <c r="AG86" i="2"/>
  <c r="AH86" i="2"/>
  <c r="AI86" i="2"/>
  <c r="AJ86" i="2"/>
  <c r="AD86" i="2"/>
  <c r="AF87" i="2"/>
  <c r="AG87" i="2"/>
  <c r="AH87" i="2"/>
  <c r="AI87" i="2"/>
  <c r="AJ87" i="2"/>
  <c r="AD87" i="2"/>
  <c r="AF88" i="2"/>
  <c r="AG88" i="2"/>
  <c r="AH88" i="2"/>
  <c r="AI88" i="2"/>
  <c r="AJ88" i="2"/>
  <c r="AD88" i="2"/>
  <c r="AF89" i="2"/>
  <c r="AG89" i="2"/>
  <c r="AH89" i="2"/>
  <c r="AI89" i="2"/>
  <c r="AJ89" i="2"/>
  <c r="AD89" i="2"/>
  <c r="AF90" i="2"/>
  <c r="AG90" i="2"/>
  <c r="AH90" i="2"/>
  <c r="AI90" i="2"/>
  <c r="AJ90" i="2"/>
  <c r="AD90" i="2"/>
  <c r="AF91" i="2"/>
  <c r="AG91" i="2"/>
  <c r="AH91" i="2"/>
  <c r="AI91" i="2"/>
  <c r="AJ91" i="2"/>
  <c r="AD91" i="2"/>
  <c r="AF92" i="2"/>
  <c r="AG92" i="2"/>
  <c r="AH92" i="2"/>
  <c r="AI92" i="2"/>
  <c r="AJ92" i="2"/>
  <c r="AD92" i="2"/>
  <c r="AF93" i="2"/>
  <c r="AG93" i="2"/>
  <c r="AH93" i="2"/>
  <c r="AI93" i="2"/>
  <c r="AJ93" i="2"/>
  <c r="AD93" i="2"/>
  <c r="AF94" i="2"/>
  <c r="AG94" i="2"/>
  <c r="AH94" i="2"/>
  <c r="AI94" i="2"/>
  <c r="AJ94" i="2"/>
  <c r="AD94" i="2"/>
  <c r="AF95" i="2"/>
  <c r="AG95" i="2"/>
  <c r="AH95" i="2"/>
  <c r="AI95" i="2"/>
  <c r="AJ95" i="2"/>
  <c r="AD95" i="2"/>
  <c r="AF96" i="2"/>
  <c r="AG96" i="2"/>
  <c r="AH96" i="2"/>
  <c r="AI96" i="2"/>
  <c r="AJ96" i="2"/>
  <c r="AD96" i="2"/>
  <c r="AF97" i="2"/>
  <c r="AG97" i="2"/>
  <c r="AH97" i="2"/>
  <c r="AI97" i="2"/>
  <c r="AJ97" i="2"/>
  <c r="AD97" i="2"/>
  <c r="AF98" i="2"/>
  <c r="AG98" i="2"/>
  <c r="AH98" i="2"/>
  <c r="AI98" i="2"/>
  <c r="AJ98" i="2"/>
  <c r="AD98" i="2"/>
  <c r="AF99" i="2"/>
  <c r="AG99" i="2"/>
  <c r="AH99" i="2"/>
  <c r="AI99" i="2"/>
  <c r="AJ99" i="2"/>
  <c r="AD99" i="2"/>
  <c r="AF100" i="2"/>
  <c r="AG100" i="2"/>
  <c r="AH100" i="2"/>
  <c r="AI100" i="2"/>
  <c r="AJ100" i="2"/>
  <c r="AD100" i="2"/>
  <c r="AF101" i="2"/>
  <c r="AG101" i="2"/>
  <c r="AH101" i="2"/>
  <c r="AI101" i="2"/>
  <c r="AJ101" i="2"/>
  <c r="AD101" i="2"/>
  <c r="AF102" i="2"/>
  <c r="AG102" i="2"/>
  <c r="AH102" i="2"/>
  <c r="AI102" i="2"/>
  <c r="AJ102" i="2"/>
  <c r="AD102" i="2"/>
  <c r="AF103" i="2"/>
  <c r="AG103" i="2"/>
  <c r="AH103" i="2"/>
  <c r="AI103" i="2"/>
  <c r="AJ103" i="2"/>
  <c r="AD103" i="2"/>
  <c r="AF104" i="2"/>
  <c r="AG104" i="2"/>
  <c r="AH104" i="2"/>
  <c r="AI104" i="2"/>
  <c r="AJ104" i="2"/>
  <c r="AD104" i="2"/>
  <c r="AF105" i="2"/>
  <c r="AG105" i="2"/>
  <c r="AH105" i="2"/>
  <c r="AI105" i="2"/>
  <c r="AJ105" i="2"/>
  <c r="AD105" i="2"/>
  <c r="AF106" i="2"/>
  <c r="AG106" i="2"/>
  <c r="AH106" i="2"/>
  <c r="AI106" i="2"/>
  <c r="AJ106" i="2"/>
  <c r="AD106" i="2"/>
  <c r="AF107" i="2"/>
  <c r="AG107" i="2"/>
  <c r="AH107" i="2"/>
  <c r="AI107" i="2"/>
  <c r="AJ107" i="2"/>
  <c r="AD107" i="2"/>
  <c r="AF108" i="2"/>
  <c r="AG108" i="2"/>
  <c r="AH108" i="2"/>
  <c r="AI108" i="2"/>
  <c r="AJ108" i="2"/>
  <c r="AD108" i="2"/>
  <c r="AF109" i="2"/>
  <c r="AG109" i="2"/>
  <c r="AH109" i="2"/>
  <c r="AI109" i="2"/>
  <c r="AJ109" i="2"/>
  <c r="AD109" i="2"/>
  <c r="AF110" i="2"/>
  <c r="AG110" i="2"/>
  <c r="AH110" i="2"/>
  <c r="AI110" i="2"/>
  <c r="AJ110" i="2"/>
  <c r="AD110" i="2"/>
  <c r="AF111" i="2"/>
  <c r="AG111" i="2"/>
  <c r="AH111" i="2"/>
  <c r="AI111" i="2"/>
  <c r="AJ111" i="2"/>
  <c r="AD111" i="2"/>
  <c r="AF112" i="2"/>
  <c r="AG112" i="2"/>
  <c r="AH112" i="2"/>
  <c r="AI112" i="2"/>
  <c r="AJ112" i="2"/>
  <c r="AD112" i="2"/>
  <c r="AF113" i="2"/>
  <c r="AG113" i="2"/>
  <c r="AH113" i="2"/>
  <c r="AI113" i="2"/>
  <c r="AJ113" i="2"/>
  <c r="AD113" i="2"/>
  <c r="AF114" i="2"/>
  <c r="AG114" i="2"/>
  <c r="AH114" i="2"/>
  <c r="AI114" i="2"/>
  <c r="AJ114" i="2"/>
  <c r="AD114" i="2"/>
  <c r="AF115" i="2"/>
  <c r="AG115" i="2"/>
  <c r="AH115" i="2"/>
  <c r="AI115" i="2"/>
  <c r="AJ115" i="2"/>
  <c r="AD115" i="2"/>
  <c r="AF116" i="2"/>
  <c r="AG116" i="2"/>
  <c r="AH116" i="2"/>
  <c r="AI116" i="2"/>
  <c r="AJ116" i="2"/>
  <c r="AD116" i="2"/>
  <c r="AF117" i="2"/>
  <c r="AG117" i="2"/>
  <c r="AH117" i="2"/>
  <c r="AI117" i="2"/>
  <c r="AJ117" i="2"/>
  <c r="AD117" i="2"/>
  <c r="AF118" i="2"/>
  <c r="AG118" i="2"/>
  <c r="AH118" i="2"/>
  <c r="AI118" i="2"/>
  <c r="AJ118" i="2"/>
  <c r="AD118" i="2"/>
  <c r="AF119" i="2"/>
  <c r="AG119" i="2"/>
  <c r="AH119" i="2"/>
  <c r="AI119" i="2"/>
  <c r="AJ119" i="2"/>
  <c r="AD119" i="2"/>
  <c r="AF120" i="2"/>
  <c r="AG120" i="2"/>
  <c r="AH120" i="2"/>
  <c r="AI120" i="2"/>
  <c r="AJ120" i="2"/>
  <c r="AD120" i="2"/>
  <c r="AF121" i="2"/>
  <c r="AG121" i="2"/>
  <c r="AH121" i="2"/>
  <c r="AI121" i="2"/>
  <c r="AJ121" i="2"/>
  <c r="AD121" i="2"/>
  <c r="AF122" i="2"/>
  <c r="AG122" i="2"/>
  <c r="AH122" i="2"/>
  <c r="AI122" i="2"/>
  <c r="AJ122" i="2"/>
  <c r="AD122" i="2"/>
  <c r="AF123" i="2"/>
  <c r="AG123" i="2"/>
  <c r="AH123" i="2"/>
  <c r="AI123" i="2"/>
  <c r="AJ123" i="2"/>
  <c r="AD123" i="2"/>
  <c r="AF124" i="2"/>
  <c r="AG124" i="2"/>
  <c r="AH124" i="2"/>
  <c r="AI124" i="2"/>
  <c r="AJ124" i="2"/>
  <c r="AD124" i="2"/>
  <c r="AF125" i="2"/>
  <c r="AG125" i="2"/>
  <c r="AH125" i="2"/>
  <c r="AI125" i="2"/>
  <c r="AJ125" i="2"/>
  <c r="AD125" i="2"/>
  <c r="AF126" i="2"/>
  <c r="AG126" i="2"/>
  <c r="AH126" i="2"/>
  <c r="AI126" i="2"/>
  <c r="AJ126" i="2"/>
  <c r="AD126" i="2"/>
  <c r="AF127" i="2"/>
  <c r="AG127" i="2"/>
  <c r="AH127" i="2"/>
  <c r="AI127" i="2"/>
  <c r="AJ127" i="2"/>
  <c r="AD127" i="2"/>
  <c r="AF128" i="2"/>
  <c r="AG128" i="2"/>
  <c r="AH128" i="2"/>
  <c r="AI128" i="2"/>
  <c r="AJ128" i="2"/>
  <c r="AD128" i="2"/>
  <c r="AF129" i="2"/>
  <c r="AG129" i="2"/>
  <c r="AH129" i="2"/>
  <c r="AI129" i="2"/>
  <c r="AJ129" i="2"/>
  <c r="AD129" i="2"/>
  <c r="AF130" i="2"/>
  <c r="AG130" i="2"/>
  <c r="AH130" i="2"/>
  <c r="AI130" i="2"/>
  <c r="AJ130" i="2"/>
  <c r="AD130" i="2"/>
  <c r="AF131" i="2"/>
  <c r="AG131" i="2"/>
  <c r="AH131" i="2"/>
  <c r="AI131" i="2"/>
  <c r="AJ131" i="2"/>
  <c r="AD131" i="2"/>
  <c r="AF132" i="2"/>
  <c r="AG132" i="2"/>
  <c r="AH132" i="2"/>
  <c r="AI132" i="2"/>
  <c r="AJ132" i="2"/>
  <c r="AD132" i="2"/>
  <c r="AF133" i="2"/>
  <c r="AG133" i="2"/>
  <c r="AH133" i="2"/>
  <c r="AI133" i="2"/>
  <c r="AJ133" i="2"/>
  <c r="AD133" i="2"/>
  <c r="AF134" i="2"/>
  <c r="AG134" i="2"/>
  <c r="AH134" i="2"/>
  <c r="AI134" i="2"/>
  <c r="AJ134" i="2"/>
  <c r="AD134" i="2"/>
  <c r="AF135" i="2"/>
  <c r="AG135" i="2"/>
  <c r="AH135" i="2"/>
  <c r="AI135" i="2"/>
  <c r="AJ135" i="2"/>
  <c r="AD135" i="2"/>
  <c r="AF136" i="2"/>
  <c r="AG136" i="2"/>
  <c r="AH136" i="2"/>
  <c r="AI136" i="2"/>
  <c r="AJ136" i="2"/>
  <c r="AD136" i="2"/>
  <c r="AF137" i="2"/>
  <c r="AG137" i="2"/>
  <c r="AH137" i="2"/>
  <c r="AI137" i="2"/>
  <c r="AJ137" i="2"/>
  <c r="AD137" i="2"/>
  <c r="AF138" i="2"/>
  <c r="AG138" i="2"/>
  <c r="AH138" i="2"/>
  <c r="AI138" i="2"/>
  <c r="AJ138" i="2"/>
  <c r="AD138" i="2"/>
  <c r="AF139" i="2"/>
  <c r="AG139" i="2"/>
  <c r="AH139" i="2"/>
  <c r="AI139" i="2"/>
  <c r="AJ139" i="2"/>
  <c r="AD139" i="2"/>
  <c r="AF140" i="2"/>
  <c r="AG140" i="2"/>
  <c r="AH140" i="2"/>
  <c r="AI140" i="2"/>
  <c r="AJ140" i="2"/>
  <c r="AD140" i="2"/>
  <c r="AF141" i="2"/>
  <c r="AG141" i="2"/>
  <c r="AH141" i="2"/>
  <c r="AI141" i="2"/>
  <c r="AJ141" i="2"/>
  <c r="AD141" i="2"/>
  <c r="AF142" i="2"/>
  <c r="AG142" i="2"/>
  <c r="AH142" i="2"/>
  <c r="AI142" i="2"/>
  <c r="AJ142" i="2"/>
  <c r="AD142" i="2"/>
  <c r="AF143" i="2"/>
  <c r="AG143" i="2"/>
  <c r="AH143" i="2"/>
  <c r="AI143" i="2"/>
  <c r="AJ143" i="2"/>
  <c r="AD143" i="2"/>
  <c r="AF144" i="2"/>
  <c r="AG144" i="2"/>
  <c r="AH144" i="2"/>
  <c r="AI144" i="2"/>
  <c r="AJ144" i="2"/>
  <c r="AD144" i="2"/>
  <c r="AF145" i="2"/>
  <c r="AG145" i="2"/>
  <c r="AH145" i="2"/>
  <c r="AI145" i="2"/>
  <c r="AJ145" i="2"/>
  <c r="AD145" i="2"/>
  <c r="AF146" i="2"/>
  <c r="AG146" i="2"/>
  <c r="AH146" i="2"/>
  <c r="AI146" i="2"/>
  <c r="AJ146" i="2"/>
  <c r="AD146" i="2"/>
  <c r="AF147" i="2"/>
  <c r="AG147" i="2"/>
  <c r="AH147" i="2"/>
  <c r="AI147" i="2"/>
  <c r="AJ147" i="2"/>
  <c r="AD147" i="2"/>
  <c r="AF148" i="2"/>
  <c r="AG148" i="2"/>
  <c r="AH148" i="2"/>
  <c r="AI148" i="2"/>
  <c r="AJ148" i="2"/>
  <c r="AD148" i="2"/>
  <c r="AF149" i="2"/>
  <c r="AG149" i="2"/>
  <c r="AH149" i="2"/>
  <c r="AI149" i="2"/>
  <c r="AJ149" i="2"/>
  <c r="AD149" i="2"/>
  <c r="AF150" i="2"/>
  <c r="AG150" i="2"/>
  <c r="AH150" i="2"/>
  <c r="AI150" i="2"/>
  <c r="AJ150" i="2"/>
  <c r="AD150" i="2"/>
  <c r="AF151" i="2"/>
  <c r="AG151" i="2"/>
  <c r="AH151" i="2"/>
  <c r="AI151" i="2"/>
  <c r="AJ151" i="2"/>
  <c r="AD151" i="2"/>
  <c r="AF152" i="2"/>
  <c r="AG152" i="2"/>
  <c r="AH152" i="2"/>
  <c r="AI152" i="2"/>
  <c r="AJ152" i="2"/>
  <c r="AD152" i="2"/>
  <c r="AF153" i="2"/>
  <c r="AG153" i="2"/>
  <c r="AH153" i="2"/>
  <c r="AI153" i="2"/>
  <c r="AJ153" i="2"/>
  <c r="AD153" i="2"/>
  <c r="AF154" i="2"/>
  <c r="AG154" i="2"/>
  <c r="AH154" i="2"/>
  <c r="AI154" i="2"/>
  <c r="AJ154" i="2"/>
  <c r="AD154" i="2"/>
  <c r="AF155" i="2"/>
  <c r="AG155" i="2"/>
  <c r="AH155" i="2"/>
  <c r="AI155" i="2"/>
  <c r="AJ155" i="2"/>
  <c r="AD155" i="2"/>
  <c r="AF156" i="2"/>
  <c r="AG156" i="2"/>
  <c r="AH156" i="2"/>
  <c r="AI156" i="2"/>
  <c r="AJ156" i="2"/>
  <c r="AD156" i="2"/>
  <c r="AF157" i="2"/>
  <c r="AG157" i="2"/>
  <c r="AH157" i="2"/>
  <c r="AI157" i="2"/>
  <c r="AJ157" i="2"/>
  <c r="AD157" i="2"/>
  <c r="AF158" i="2"/>
  <c r="AG158" i="2"/>
  <c r="AH158" i="2"/>
  <c r="AI158" i="2"/>
  <c r="AJ158" i="2"/>
  <c r="AD158" i="2"/>
  <c r="AF159" i="2"/>
  <c r="AG159" i="2"/>
  <c r="AH159" i="2"/>
  <c r="AI159" i="2"/>
  <c r="AJ159" i="2"/>
  <c r="AD159" i="2"/>
  <c r="AF160" i="2"/>
  <c r="AG160" i="2"/>
  <c r="AH160" i="2"/>
  <c r="AI160" i="2"/>
  <c r="AJ160" i="2"/>
  <c r="AD160" i="2"/>
  <c r="AF161" i="2"/>
  <c r="AG161" i="2"/>
  <c r="AH161" i="2"/>
  <c r="AI161" i="2"/>
  <c r="AJ161" i="2"/>
  <c r="AD161" i="2"/>
  <c r="AF162" i="2"/>
  <c r="AG162" i="2"/>
  <c r="AH162" i="2"/>
  <c r="AI162" i="2"/>
  <c r="AJ162" i="2"/>
  <c r="AD162" i="2"/>
  <c r="AF163" i="2"/>
  <c r="AG163" i="2"/>
  <c r="AH163" i="2"/>
  <c r="AI163" i="2"/>
  <c r="AJ163" i="2"/>
  <c r="AD163" i="2"/>
  <c r="AF164" i="2"/>
  <c r="AG164" i="2"/>
  <c r="AH164" i="2"/>
  <c r="AI164" i="2"/>
  <c r="AJ164" i="2"/>
  <c r="AD164" i="2"/>
  <c r="AF165" i="2"/>
  <c r="AG165" i="2"/>
  <c r="AH165" i="2"/>
  <c r="AI165" i="2"/>
  <c r="AJ165" i="2"/>
  <c r="AD165" i="2"/>
  <c r="AF166" i="2"/>
  <c r="AG166" i="2"/>
  <c r="AH166" i="2"/>
  <c r="AI166" i="2"/>
  <c r="AJ166" i="2"/>
  <c r="AD166" i="2"/>
  <c r="AF167" i="2"/>
  <c r="AG167" i="2"/>
  <c r="AH167" i="2"/>
  <c r="AI167" i="2"/>
  <c r="AJ167" i="2"/>
  <c r="AD167" i="2"/>
  <c r="AF168" i="2"/>
  <c r="AG168" i="2"/>
  <c r="AH168" i="2"/>
  <c r="AI168" i="2"/>
  <c r="AJ168" i="2"/>
  <c r="AD168" i="2"/>
  <c r="AF169" i="2"/>
  <c r="AG169" i="2"/>
  <c r="AH169" i="2"/>
  <c r="AI169" i="2"/>
  <c r="AJ169" i="2"/>
  <c r="AD169" i="2"/>
  <c r="AF170" i="2"/>
  <c r="AG170" i="2"/>
  <c r="AH170" i="2"/>
  <c r="AI170" i="2"/>
  <c r="AJ170" i="2"/>
  <c r="AD170" i="2"/>
  <c r="AF171" i="2"/>
  <c r="AG171" i="2"/>
  <c r="AH171" i="2"/>
  <c r="AI171" i="2"/>
  <c r="AJ171" i="2"/>
  <c r="AD171" i="2"/>
  <c r="AF172" i="2"/>
  <c r="AG172" i="2"/>
  <c r="AH172" i="2"/>
  <c r="AI172" i="2"/>
  <c r="AJ172" i="2"/>
  <c r="AD172" i="2"/>
  <c r="AF173" i="2"/>
  <c r="AG173" i="2"/>
  <c r="AH173" i="2"/>
  <c r="AI173" i="2"/>
  <c r="AJ173" i="2"/>
  <c r="AD173" i="2"/>
  <c r="AF174" i="2"/>
  <c r="AG174" i="2"/>
  <c r="AH174" i="2"/>
  <c r="AI174" i="2"/>
  <c r="AJ174" i="2"/>
  <c r="AD174" i="2"/>
  <c r="AF175" i="2"/>
  <c r="AG175" i="2"/>
  <c r="AH175" i="2"/>
  <c r="AI175" i="2"/>
  <c r="AJ175" i="2"/>
  <c r="AD175" i="2"/>
  <c r="AF176" i="2"/>
  <c r="AG176" i="2"/>
  <c r="AH176" i="2"/>
  <c r="AI176" i="2"/>
  <c r="AJ176" i="2"/>
  <c r="AD176" i="2"/>
  <c r="AF177" i="2"/>
  <c r="AG177" i="2"/>
  <c r="AH177" i="2"/>
  <c r="AI177" i="2"/>
  <c r="AJ177" i="2"/>
  <c r="AD177" i="2"/>
  <c r="AF178" i="2"/>
  <c r="AG178" i="2"/>
  <c r="AH178" i="2"/>
  <c r="AI178" i="2"/>
  <c r="AJ178" i="2"/>
  <c r="AD178" i="2"/>
  <c r="AF179" i="2"/>
  <c r="AG179" i="2"/>
  <c r="AH179" i="2"/>
  <c r="AI179" i="2"/>
  <c r="AJ179" i="2"/>
  <c r="AD179" i="2"/>
  <c r="AF180" i="2"/>
  <c r="AG180" i="2"/>
  <c r="AH180" i="2"/>
  <c r="AI180" i="2"/>
  <c r="AJ180" i="2"/>
  <c r="AD180" i="2"/>
  <c r="AF181" i="2"/>
  <c r="AG181" i="2"/>
  <c r="AH181" i="2"/>
  <c r="AI181" i="2"/>
  <c r="AJ181" i="2"/>
  <c r="AD181" i="2"/>
  <c r="AF182" i="2"/>
  <c r="AG182" i="2"/>
  <c r="AH182" i="2"/>
  <c r="AI182" i="2"/>
  <c r="AJ182" i="2"/>
  <c r="AD182" i="2"/>
  <c r="AF183" i="2"/>
  <c r="AG183" i="2"/>
  <c r="AH183" i="2"/>
  <c r="AI183" i="2"/>
  <c r="AJ183" i="2"/>
  <c r="AD183" i="2"/>
  <c r="AF184" i="2"/>
  <c r="AG184" i="2"/>
  <c r="AH184" i="2"/>
  <c r="AI184" i="2"/>
  <c r="AJ184" i="2"/>
  <c r="AD184" i="2"/>
  <c r="AF185" i="2"/>
  <c r="AG185" i="2"/>
  <c r="AH185" i="2"/>
  <c r="AI185" i="2"/>
  <c r="AJ185" i="2"/>
  <c r="AD185" i="2"/>
  <c r="AF186" i="2"/>
  <c r="AG186" i="2"/>
  <c r="AH186" i="2"/>
  <c r="AI186" i="2"/>
  <c r="AJ186" i="2"/>
  <c r="AD186" i="2"/>
  <c r="AF187" i="2"/>
  <c r="AG187" i="2"/>
  <c r="AH187" i="2"/>
  <c r="AI187" i="2"/>
  <c r="AJ187" i="2"/>
  <c r="AD187" i="2"/>
  <c r="AF188" i="2"/>
  <c r="AG188" i="2"/>
  <c r="AH188" i="2"/>
  <c r="AI188" i="2"/>
  <c r="AJ188" i="2"/>
  <c r="AD188" i="2"/>
  <c r="AF189" i="2"/>
  <c r="AG189" i="2"/>
  <c r="AH189" i="2"/>
  <c r="AI189" i="2"/>
  <c r="AJ189" i="2"/>
  <c r="AD189" i="2"/>
  <c r="AF190" i="2"/>
  <c r="AG190" i="2"/>
  <c r="AH190" i="2"/>
  <c r="AI190" i="2"/>
  <c r="AJ190" i="2"/>
  <c r="AD190" i="2"/>
  <c r="AF191" i="2"/>
  <c r="AG191" i="2"/>
  <c r="AH191" i="2"/>
  <c r="AI191" i="2"/>
  <c r="AJ191" i="2"/>
  <c r="AD191" i="2"/>
  <c r="AF192" i="2"/>
  <c r="AG192" i="2"/>
  <c r="AH192" i="2"/>
  <c r="AI192" i="2"/>
  <c r="AJ192" i="2"/>
  <c r="AD192" i="2"/>
  <c r="AF193" i="2"/>
  <c r="AG193" i="2"/>
  <c r="AH193" i="2"/>
  <c r="AI193" i="2"/>
  <c r="AJ193" i="2"/>
  <c r="AD193" i="2"/>
  <c r="AF194" i="2"/>
  <c r="AG194" i="2"/>
  <c r="AH194" i="2"/>
  <c r="AI194" i="2"/>
  <c r="AJ194" i="2"/>
  <c r="AD194" i="2"/>
  <c r="AF195" i="2"/>
  <c r="AG195" i="2"/>
  <c r="AH195" i="2"/>
  <c r="AI195" i="2"/>
  <c r="AJ195" i="2"/>
  <c r="AD195" i="2"/>
  <c r="AF196" i="2"/>
  <c r="AG196" i="2"/>
  <c r="AH196" i="2"/>
  <c r="AI196" i="2"/>
  <c r="AJ196" i="2"/>
  <c r="AD196" i="2"/>
  <c r="AF197" i="2"/>
  <c r="AG197" i="2"/>
  <c r="AH197" i="2"/>
  <c r="AI197" i="2"/>
  <c r="AJ197" i="2"/>
  <c r="AD197" i="2"/>
  <c r="AF198" i="2"/>
  <c r="AG198" i="2"/>
  <c r="AH198" i="2"/>
  <c r="AI198" i="2"/>
  <c r="AJ198" i="2"/>
  <c r="AD198" i="2"/>
  <c r="AF199" i="2"/>
  <c r="AG199" i="2"/>
  <c r="AH199" i="2"/>
  <c r="AI199" i="2"/>
  <c r="AJ199" i="2"/>
  <c r="AD199" i="2"/>
  <c r="AF200" i="2"/>
  <c r="AG200" i="2"/>
  <c r="AH200" i="2"/>
  <c r="AI200" i="2"/>
  <c r="AJ200" i="2"/>
  <c r="AD200" i="2"/>
  <c r="AF201" i="2"/>
  <c r="AG201" i="2"/>
  <c r="AH201" i="2"/>
  <c r="AI201" i="2"/>
  <c r="AJ201" i="2"/>
  <c r="AD201" i="2"/>
  <c r="AF202" i="2"/>
  <c r="AG202" i="2"/>
  <c r="AH202" i="2"/>
  <c r="AI202" i="2"/>
  <c r="AJ202" i="2"/>
  <c r="AD202" i="2"/>
  <c r="AF203" i="2"/>
  <c r="AG203" i="2"/>
  <c r="AH203" i="2"/>
  <c r="AI203" i="2"/>
  <c r="AJ203" i="2"/>
  <c r="AD203" i="2"/>
  <c r="AF204" i="2"/>
  <c r="AG204" i="2"/>
  <c r="AH204" i="2"/>
  <c r="AI204" i="2"/>
  <c r="AJ204" i="2"/>
  <c r="AD204" i="2"/>
  <c r="AF205" i="2"/>
  <c r="AG205" i="2"/>
  <c r="AH205" i="2"/>
  <c r="AI205" i="2"/>
  <c r="AJ205" i="2"/>
  <c r="AD205" i="2"/>
  <c r="AF206" i="2"/>
  <c r="AG206" i="2"/>
  <c r="AH206" i="2"/>
  <c r="AI206" i="2"/>
  <c r="AJ206" i="2"/>
  <c r="AD206" i="2"/>
  <c r="AF207" i="2"/>
  <c r="AG207" i="2"/>
  <c r="AH207" i="2"/>
  <c r="AI207" i="2"/>
  <c r="AJ207" i="2"/>
  <c r="AD207" i="2"/>
  <c r="AF208" i="2"/>
  <c r="AG208" i="2"/>
  <c r="AH208" i="2"/>
  <c r="AI208" i="2"/>
  <c r="AJ208" i="2"/>
  <c r="AD208" i="2"/>
  <c r="AF209" i="2"/>
  <c r="AG209" i="2"/>
  <c r="AH209" i="2"/>
  <c r="AI209" i="2"/>
  <c r="AJ209" i="2"/>
  <c r="AD209" i="2"/>
  <c r="AF210" i="2"/>
  <c r="AG210" i="2"/>
  <c r="AH210" i="2"/>
  <c r="AI210" i="2"/>
  <c r="AJ210" i="2"/>
  <c r="AD210" i="2"/>
  <c r="AF211" i="2"/>
  <c r="AG211" i="2"/>
  <c r="AH211" i="2"/>
  <c r="AI211" i="2"/>
  <c r="AJ211" i="2"/>
  <c r="AD211" i="2"/>
  <c r="AF212" i="2"/>
  <c r="AG212" i="2"/>
  <c r="AH212" i="2"/>
  <c r="AI212" i="2"/>
  <c r="AJ212" i="2"/>
  <c r="AD212" i="2"/>
  <c r="AF213" i="2"/>
  <c r="AG213" i="2"/>
  <c r="AH213" i="2"/>
  <c r="AI213" i="2"/>
  <c r="AJ213" i="2"/>
  <c r="AD213" i="2"/>
  <c r="AF214" i="2"/>
  <c r="AG214" i="2"/>
  <c r="AH214" i="2"/>
  <c r="AI214" i="2"/>
  <c r="AJ214" i="2"/>
  <c r="AD214" i="2"/>
  <c r="AF215" i="2"/>
  <c r="AG215" i="2"/>
  <c r="AH215" i="2"/>
  <c r="AI215" i="2"/>
  <c r="AJ215" i="2"/>
  <c r="AD215" i="2"/>
  <c r="AF216" i="2"/>
  <c r="AG216" i="2"/>
  <c r="AH216" i="2"/>
  <c r="AI216" i="2"/>
  <c r="AJ216" i="2"/>
  <c r="AD216" i="2"/>
  <c r="AF217" i="2"/>
  <c r="AG217" i="2"/>
  <c r="AH217" i="2"/>
  <c r="AI217" i="2"/>
  <c r="AJ217" i="2"/>
  <c r="AD217" i="2"/>
  <c r="AF218" i="2"/>
  <c r="AG218" i="2"/>
  <c r="AH218" i="2"/>
  <c r="AI218" i="2"/>
  <c r="AJ218" i="2"/>
  <c r="AD218" i="2"/>
  <c r="AF219" i="2"/>
  <c r="AG219" i="2"/>
  <c r="AH219" i="2"/>
  <c r="AI219" i="2"/>
  <c r="AJ219" i="2"/>
  <c r="AD219" i="2"/>
  <c r="AF220" i="2"/>
  <c r="AG220" i="2"/>
  <c r="AH220" i="2"/>
  <c r="AI220" i="2"/>
  <c r="AJ220" i="2"/>
  <c r="AD220" i="2"/>
  <c r="AF221" i="2"/>
  <c r="AG221" i="2"/>
  <c r="AH221" i="2"/>
  <c r="AI221" i="2"/>
  <c r="AJ221" i="2"/>
  <c r="AD221" i="2"/>
  <c r="AF222" i="2"/>
  <c r="AG222" i="2"/>
  <c r="AH222" i="2"/>
  <c r="AI222" i="2"/>
  <c r="AJ222" i="2"/>
  <c r="AD222" i="2"/>
  <c r="AF223" i="2"/>
  <c r="AG223" i="2"/>
  <c r="AH223" i="2"/>
  <c r="AI223" i="2"/>
  <c r="AJ223" i="2"/>
  <c r="AD223" i="2"/>
  <c r="AF224" i="2"/>
  <c r="AG224" i="2"/>
  <c r="AH224" i="2"/>
  <c r="AI224" i="2"/>
  <c r="AJ224" i="2"/>
  <c r="AD224" i="2"/>
  <c r="AF225" i="2"/>
  <c r="AG225" i="2"/>
  <c r="AH225" i="2"/>
  <c r="AI225" i="2"/>
  <c r="AJ225" i="2"/>
  <c r="AD225" i="2"/>
  <c r="AF226" i="2"/>
  <c r="AG226" i="2"/>
  <c r="AH226" i="2"/>
  <c r="AI226" i="2"/>
  <c r="AJ226" i="2"/>
  <c r="AD226" i="2"/>
  <c r="AF227" i="2"/>
  <c r="AG227" i="2"/>
  <c r="AH227" i="2"/>
  <c r="AI227" i="2"/>
  <c r="AJ227" i="2"/>
  <c r="AD227" i="2"/>
  <c r="AF228" i="2"/>
  <c r="AG228" i="2"/>
  <c r="AH228" i="2"/>
  <c r="AI228" i="2"/>
  <c r="AJ228" i="2"/>
  <c r="AD228" i="2"/>
  <c r="AF229" i="2"/>
  <c r="AG229" i="2"/>
  <c r="AH229" i="2"/>
  <c r="AI229" i="2"/>
  <c r="AJ229" i="2"/>
  <c r="AD229" i="2"/>
  <c r="AF230" i="2"/>
  <c r="AG230" i="2"/>
  <c r="AH230" i="2"/>
  <c r="AI230" i="2"/>
  <c r="AJ230" i="2"/>
  <c r="AD230" i="2"/>
  <c r="AF231" i="2"/>
  <c r="AG231" i="2"/>
  <c r="AH231" i="2"/>
  <c r="AI231" i="2"/>
  <c r="AJ231" i="2"/>
  <c r="AD231" i="2"/>
  <c r="AF232" i="2"/>
  <c r="AG232" i="2"/>
  <c r="AH232" i="2"/>
  <c r="AI232" i="2"/>
  <c r="AJ232" i="2"/>
  <c r="AD232" i="2"/>
  <c r="AF233" i="2"/>
  <c r="AG233" i="2"/>
  <c r="AH233" i="2"/>
  <c r="AI233" i="2"/>
  <c r="AJ233" i="2"/>
  <c r="AD233" i="2"/>
  <c r="AF234" i="2"/>
  <c r="AG234" i="2"/>
  <c r="AH234" i="2"/>
  <c r="AI234" i="2"/>
  <c r="AJ234" i="2"/>
  <c r="AD234" i="2"/>
  <c r="AF235" i="2"/>
  <c r="AG235" i="2"/>
  <c r="AH235" i="2"/>
  <c r="AI235" i="2"/>
  <c r="AJ235" i="2"/>
  <c r="AD235" i="2"/>
  <c r="AF236" i="2"/>
  <c r="AG236" i="2"/>
  <c r="AH236" i="2"/>
  <c r="AI236" i="2"/>
  <c r="AJ236" i="2"/>
  <c r="AD236" i="2"/>
  <c r="AF237" i="2"/>
  <c r="AG237" i="2"/>
  <c r="AH237" i="2"/>
  <c r="AI237" i="2"/>
  <c r="AJ237" i="2"/>
  <c r="AD237" i="2"/>
  <c r="AF238" i="2"/>
  <c r="AG238" i="2"/>
  <c r="AH238" i="2"/>
  <c r="AI238" i="2"/>
  <c r="AJ238" i="2"/>
  <c r="AD238" i="2"/>
  <c r="AF239" i="2"/>
  <c r="AG239" i="2"/>
  <c r="AH239" i="2"/>
  <c r="AI239" i="2"/>
  <c r="AJ239" i="2"/>
  <c r="AD239" i="2"/>
  <c r="AF240" i="2"/>
  <c r="AG240" i="2"/>
  <c r="AH240" i="2"/>
  <c r="AI240" i="2"/>
  <c r="AJ240" i="2"/>
  <c r="AD240" i="2"/>
  <c r="AF241" i="2"/>
  <c r="AG241" i="2"/>
  <c r="AH241" i="2"/>
  <c r="AI241" i="2"/>
  <c r="AJ241" i="2"/>
  <c r="AD241" i="2"/>
  <c r="AF242" i="2"/>
  <c r="AG242" i="2"/>
  <c r="AH242" i="2"/>
  <c r="AI242" i="2"/>
  <c r="AJ242" i="2"/>
  <c r="AD242" i="2"/>
  <c r="AF243" i="2"/>
  <c r="AG243" i="2"/>
  <c r="AH243" i="2"/>
  <c r="AI243" i="2"/>
  <c r="AJ243" i="2"/>
  <c r="AD243" i="2"/>
  <c r="AF244" i="2"/>
  <c r="AG244" i="2"/>
  <c r="AH244" i="2"/>
  <c r="AI244" i="2"/>
  <c r="AJ244" i="2"/>
  <c r="AD244" i="2"/>
  <c r="AF245" i="2"/>
  <c r="AG245" i="2"/>
  <c r="AH245" i="2"/>
  <c r="AI245" i="2"/>
  <c r="AJ245" i="2"/>
  <c r="AD245" i="2"/>
  <c r="AF246" i="2"/>
  <c r="AG246" i="2"/>
  <c r="AH246" i="2"/>
  <c r="AI246" i="2"/>
  <c r="AJ246" i="2"/>
  <c r="AD246" i="2"/>
  <c r="AF247" i="2"/>
  <c r="AG247" i="2"/>
  <c r="AH247" i="2"/>
  <c r="AI247" i="2"/>
  <c r="AJ247" i="2"/>
  <c r="AD247" i="2"/>
  <c r="AF248" i="2"/>
  <c r="AG248" i="2"/>
  <c r="AH248" i="2"/>
  <c r="AI248" i="2"/>
  <c r="AJ248" i="2"/>
  <c r="AD248" i="2"/>
  <c r="AF249" i="2"/>
  <c r="AG249" i="2"/>
  <c r="AH249" i="2"/>
  <c r="AI249" i="2"/>
  <c r="AJ249" i="2"/>
  <c r="AD249" i="2"/>
  <c r="AF250" i="2"/>
  <c r="AG250" i="2"/>
  <c r="AH250" i="2"/>
  <c r="AI250" i="2"/>
  <c r="AJ250" i="2"/>
  <c r="AD250" i="2"/>
  <c r="AF251" i="2"/>
  <c r="AG251" i="2"/>
  <c r="AH251" i="2"/>
  <c r="AI251" i="2"/>
  <c r="AJ251" i="2"/>
  <c r="AD251" i="2"/>
  <c r="AF252" i="2"/>
  <c r="AG252" i="2"/>
  <c r="AH252" i="2"/>
  <c r="AI252" i="2"/>
  <c r="AJ252" i="2"/>
  <c r="AD252" i="2"/>
  <c r="AF253" i="2"/>
  <c r="AG253" i="2"/>
  <c r="AH253" i="2"/>
  <c r="AI253" i="2"/>
  <c r="AJ253" i="2"/>
  <c r="AD253" i="2"/>
  <c r="AF254" i="2"/>
  <c r="AG254" i="2"/>
  <c r="AH254" i="2"/>
  <c r="AI254" i="2"/>
  <c r="AJ254" i="2"/>
  <c r="AD254" i="2"/>
  <c r="AF255" i="2"/>
  <c r="AG255" i="2"/>
  <c r="AH255" i="2"/>
  <c r="AI255" i="2"/>
  <c r="AJ255" i="2"/>
  <c r="AD255" i="2"/>
  <c r="AF256" i="2"/>
  <c r="AG256" i="2"/>
  <c r="AH256" i="2"/>
  <c r="AI256" i="2"/>
  <c r="AJ256" i="2"/>
  <c r="AD256" i="2"/>
  <c r="AF257" i="2"/>
  <c r="AG257" i="2"/>
  <c r="AH257" i="2"/>
  <c r="AI257" i="2"/>
  <c r="AJ257" i="2"/>
  <c r="AD257" i="2"/>
  <c r="AF258" i="2"/>
  <c r="AG258" i="2"/>
  <c r="AH258" i="2"/>
  <c r="AI258" i="2"/>
  <c r="AJ258" i="2"/>
  <c r="AD258" i="2"/>
  <c r="AF259" i="2"/>
  <c r="AG259" i="2"/>
  <c r="AH259" i="2"/>
  <c r="AI259" i="2"/>
  <c r="AJ259" i="2"/>
  <c r="AD259" i="2"/>
  <c r="AF260" i="2"/>
  <c r="AG260" i="2"/>
  <c r="AH260" i="2"/>
  <c r="AI260" i="2"/>
  <c r="AJ260" i="2"/>
  <c r="AD260" i="2"/>
  <c r="AF261" i="2"/>
  <c r="AG261" i="2"/>
  <c r="AH261" i="2"/>
  <c r="AI261" i="2"/>
  <c r="AJ261" i="2"/>
  <c r="AD261" i="2"/>
  <c r="AF262" i="2"/>
  <c r="AG262" i="2"/>
  <c r="AH262" i="2"/>
  <c r="AI262" i="2"/>
  <c r="AJ262" i="2"/>
  <c r="AD262" i="2"/>
  <c r="AF263" i="2"/>
  <c r="AG263" i="2"/>
  <c r="AH263" i="2"/>
  <c r="AI263" i="2"/>
  <c r="AJ263" i="2"/>
  <c r="AD263" i="2"/>
  <c r="AF264" i="2"/>
  <c r="AG264" i="2"/>
  <c r="AH264" i="2"/>
  <c r="AI264" i="2"/>
  <c r="AJ264" i="2"/>
  <c r="AD264" i="2"/>
  <c r="AF265" i="2"/>
  <c r="AG265" i="2"/>
  <c r="AH265" i="2"/>
  <c r="AI265" i="2"/>
  <c r="AJ265" i="2"/>
  <c r="AD265" i="2"/>
  <c r="AF266" i="2"/>
  <c r="AG266" i="2"/>
  <c r="AH266" i="2"/>
  <c r="AI266" i="2"/>
  <c r="AJ266" i="2"/>
  <c r="AD266" i="2"/>
  <c r="AF267" i="2"/>
  <c r="AG267" i="2"/>
  <c r="AH267" i="2"/>
  <c r="AI267" i="2"/>
  <c r="AJ267" i="2"/>
  <c r="AD267" i="2"/>
  <c r="AF268" i="2"/>
  <c r="AG268" i="2"/>
  <c r="AH268" i="2"/>
  <c r="AI268" i="2"/>
  <c r="AJ268" i="2"/>
  <c r="AD268" i="2"/>
  <c r="AF269" i="2"/>
  <c r="AG269" i="2"/>
  <c r="AH269" i="2"/>
  <c r="AI269" i="2"/>
  <c r="AJ269" i="2"/>
  <c r="AD269" i="2"/>
  <c r="AF270" i="2"/>
  <c r="AG270" i="2"/>
  <c r="AH270" i="2"/>
  <c r="AI270" i="2"/>
  <c r="AJ270" i="2"/>
  <c r="AD270" i="2"/>
  <c r="AF271" i="2"/>
  <c r="AG271" i="2"/>
  <c r="AH271" i="2"/>
  <c r="AI271" i="2"/>
  <c r="AJ271" i="2"/>
  <c r="AD271" i="2"/>
  <c r="AF272" i="2"/>
  <c r="AG272" i="2"/>
  <c r="AH272" i="2"/>
  <c r="AI272" i="2"/>
  <c r="AJ272" i="2"/>
  <c r="AD272" i="2"/>
  <c r="AF273" i="2"/>
  <c r="AG273" i="2"/>
  <c r="AH273" i="2"/>
  <c r="AI273" i="2"/>
  <c r="AJ273" i="2"/>
  <c r="AD273" i="2"/>
  <c r="AF274" i="2"/>
  <c r="AG274" i="2"/>
  <c r="AH274" i="2"/>
  <c r="AI274" i="2"/>
  <c r="AJ274" i="2"/>
  <c r="AD274" i="2"/>
  <c r="AF275" i="2"/>
  <c r="AG275" i="2"/>
  <c r="AH275" i="2"/>
  <c r="AI275" i="2"/>
  <c r="AJ275" i="2"/>
  <c r="AD275" i="2"/>
  <c r="AF276" i="2"/>
  <c r="AG276" i="2"/>
  <c r="AH276" i="2"/>
  <c r="AI276" i="2"/>
  <c r="AJ276" i="2"/>
  <c r="AD276" i="2"/>
  <c r="AF277" i="2"/>
  <c r="AG277" i="2"/>
  <c r="AH277" i="2"/>
  <c r="AI277" i="2"/>
  <c r="AJ277" i="2"/>
  <c r="AD277" i="2"/>
  <c r="AF278" i="2"/>
  <c r="AG278" i="2"/>
  <c r="AH278" i="2"/>
  <c r="AI278" i="2"/>
  <c r="AJ278" i="2"/>
  <c r="AD278" i="2"/>
  <c r="AF279" i="2"/>
  <c r="AG279" i="2"/>
  <c r="AH279" i="2"/>
  <c r="AI279" i="2"/>
  <c r="AJ279" i="2"/>
  <c r="AD279" i="2"/>
  <c r="AF280" i="2"/>
  <c r="AG280" i="2"/>
  <c r="AH280" i="2"/>
  <c r="AI280" i="2"/>
  <c r="AJ280" i="2"/>
  <c r="AD280" i="2"/>
  <c r="AF281" i="2"/>
  <c r="AG281" i="2"/>
  <c r="AH281" i="2"/>
  <c r="AI281" i="2"/>
  <c r="AJ281" i="2"/>
  <c r="AD281" i="2"/>
  <c r="AF282" i="2"/>
  <c r="AG282" i="2"/>
  <c r="AH282" i="2"/>
  <c r="AI282" i="2"/>
  <c r="AJ282" i="2"/>
  <c r="AD282" i="2"/>
  <c r="AF283" i="2"/>
  <c r="AG283" i="2"/>
  <c r="AH283" i="2"/>
  <c r="AI283" i="2"/>
  <c r="AJ283" i="2"/>
  <c r="AD283" i="2"/>
  <c r="AF284" i="2"/>
  <c r="AG284" i="2"/>
  <c r="AH284" i="2"/>
  <c r="AI284" i="2"/>
  <c r="AJ284" i="2"/>
  <c r="AD284" i="2"/>
  <c r="AF285" i="2"/>
  <c r="AG285" i="2"/>
  <c r="AH285" i="2"/>
  <c r="AI285" i="2"/>
  <c r="AJ285" i="2"/>
  <c r="AD285" i="2"/>
  <c r="AF286" i="2"/>
  <c r="AG286" i="2"/>
  <c r="AH286" i="2"/>
  <c r="AI286" i="2"/>
  <c r="AJ286" i="2"/>
  <c r="AD286" i="2"/>
  <c r="AF287" i="2"/>
  <c r="AG287" i="2"/>
  <c r="AH287" i="2"/>
  <c r="AI287" i="2"/>
  <c r="AJ287" i="2"/>
  <c r="AD287" i="2"/>
  <c r="AF288" i="2"/>
  <c r="AG288" i="2"/>
  <c r="AH288" i="2"/>
  <c r="AI288" i="2"/>
  <c r="AJ288" i="2"/>
  <c r="AD288" i="2"/>
  <c r="AF289" i="2"/>
  <c r="AG289" i="2"/>
  <c r="AH289" i="2"/>
  <c r="AI289" i="2"/>
  <c r="AJ289" i="2"/>
  <c r="AD289" i="2"/>
  <c r="AF290" i="2"/>
  <c r="AG290" i="2"/>
  <c r="AH290" i="2"/>
  <c r="AI290" i="2"/>
  <c r="AJ290" i="2"/>
  <c r="AD290" i="2"/>
  <c r="AF291" i="2"/>
  <c r="AG291" i="2"/>
  <c r="AH291" i="2"/>
  <c r="AI291" i="2"/>
  <c r="AJ291" i="2"/>
  <c r="AD291" i="2"/>
  <c r="AF292" i="2"/>
  <c r="AG292" i="2"/>
  <c r="AH292" i="2"/>
  <c r="AI292" i="2"/>
  <c r="AJ292" i="2"/>
  <c r="AD292" i="2"/>
  <c r="AF293" i="2"/>
  <c r="AG293" i="2"/>
  <c r="AH293" i="2"/>
  <c r="AI293" i="2"/>
  <c r="AJ293" i="2"/>
  <c r="AD293" i="2"/>
  <c r="AF294" i="2"/>
  <c r="AG294" i="2"/>
  <c r="AH294" i="2"/>
  <c r="AI294" i="2"/>
  <c r="AJ294" i="2"/>
  <c r="AD294" i="2"/>
  <c r="AF295" i="2"/>
  <c r="AG295" i="2"/>
  <c r="AH295" i="2"/>
  <c r="AI295" i="2"/>
  <c r="AJ295" i="2"/>
  <c r="AD295" i="2"/>
  <c r="AF296" i="2"/>
  <c r="AG296" i="2"/>
  <c r="AH296" i="2"/>
  <c r="AI296" i="2"/>
  <c r="AJ296" i="2"/>
  <c r="AD296" i="2"/>
  <c r="AF297" i="2"/>
  <c r="AG297" i="2"/>
  <c r="AH297" i="2"/>
  <c r="AI297" i="2"/>
  <c r="AJ297" i="2"/>
  <c r="AD297" i="2"/>
  <c r="AG795" i="2"/>
  <c r="AJ795" i="2"/>
  <c r="AF795" i="2"/>
  <c r="AI795" i="2"/>
  <c r="AD795" i="2"/>
  <c r="AH795" i="2"/>
  <c r="AJ796" i="2"/>
  <c r="AH796" i="2"/>
  <c r="AD796" i="2"/>
  <c r="AG796" i="2"/>
  <c r="AF796" i="2"/>
  <c r="AI796" i="2"/>
  <c r="AF298" i="2"/>
  <c r="AG298" i="2"/>
  <c r="AH298" i="2"/>
  <c r="AI298" i="2"/>
  <c r="AJ298" i="2"/>
  <c r="AD298" i="2"/>
  <c r="AF299" i="2"/>
  <c r="AG299" i="2"/>
  <c r="AH299" i="2"/>
  <c r="AI299" i="2"/>
  <c r="AJ299" i="2"/>
  <c r="AD299" i="2"/>
  <c r="AF300" i="2"/>
  <c r="AG300" i="2"/>
  <c r="AH300" i="2"/>
  <c r="AI300" i="2"/>
  <c r="AJ300" i="2"/>
  <c r="AD300" i="2"/>
  <c r="AF301" i="2"/>
  <c r="AG301" i="2"/>
  <c r="AH301" i="2"/>
  <c r="AI301" i="2"/>
  <c r="AJ301" i="2"/>
  <c r="AD301" i="2"/>
  <c r="AF302" i="2"/>
  <c r="AG302" i="2"/>
  <c r="AH302" i="2"/>
  <c r="AI302" i="2"/>
  <c r="AJ302" i="2"/>
  <c r="AD302" i="2"/>
  <c r="AF303" i="2"/>
  <c r="AG303" i="2"/>
  <c r="AH303" i="2"/>
  <c r="AI303" i="2"/>
  <c r="AJ303" i="2"/>
  <c r="AD303" i="2"/>
  <c r="AF304" i="2"/>
  <c r="AG304" i="2"/>
  <c r="AH304" i="2"/>
  <c r="AI304" i="2"/>
  <c r="AJ304" i="2"/>
  <c r="AD304" i="2"/>
  <c r="AF305" i="2"/>
  <c r="AG305" i="2"/>
  <c r="AH305" i="2"/>
  <c r="AI305" i="2"/>
  <c r="AJ305" i="2"/>
  <c r="AD305" i="2"/>
  <c r="AF306" i="2"/>
  <c r="AG306" i="2"/>
  <c r="AH306" i="2"/>
  <c r="AI306" i="2"/>
  <c r="AJ306" i="2"/>
  <c r="AD306" i="2"/>
  <c r="AF307" i="2"/>
  <c r="AG307" i="2"/>
  <c r="AH307" i="2"/>
  <c r="AI307" i="2"/>
  <c r="AJ307" i="2"/>
  <c r="AD307" i="2"/>
  <c r="AF308" i="2"/>
  <c r="AG308" i="2"/>
  <c r="AH308" i="2"/>
  <c r="AI308" i="2"/>
  <c r="AJ308" i="2"/>
  <c r="AD308" i="2"/>
  <c r="AF309" i="2"/>
  <c r="AG309" i="2"/>
  <c r="AH309" i="2"/>
  <c r="AI309" i="2"/>
  <c r="AJ309" i="2"/>
  <c r="AD309" i="2"/>
  <c r="AF310" i="2"/>
  <c r="AG310" i="2"/>
  <c r="AH310" i="2"/>
  <c r="AI310" i="2"/>
  <c r="AJ310" i="2"/>
  <c r="AD310" i="2"/>
  <c r="AF311" i="2"/>
  <c r="AG311" i="2"/>
  <c r="AH311" i="2"/>
  <c r="AI311" i="2"/>
  <c r="AJ311" i="2"/>
  <c r="AD311" i="2"/>
  <c r="AF312" i="2"/>
  <c r="AG312" i="2"/>
  <c r="AH312" i="2"/>
  <c r="AI312" i="2"/>
  <c r="AJ312" i="2"/>
  <c r="AD312" i="2"/>
  <c r="AF313" i="2"/>
  <c r="AG313" i="2"/>
  <c r="AH313" i="2"/>
  <c r="AI313" i="2"/>
  <c r="AJ313" i="2"/>
  <c r="AD313" i="2"/>
  <c r="AF314" i="2"/>
  <c r="AG314" i="2"/>
  <c r="AH314" i="2"/>
  <c r="AI314" i="2"/>
  <c r="AJ314" i="2"/>
  <c r="AD314" i="2"/>
  <c r="AF315" i="2"/>
  <c r="AG315" i="2"/>
  <c r="AH315" i="2"/>
  <c r="AI315" i="2"/>
  <c r="AJ315" i="2"/>
  <c r="AD315" i="2"/>
  <c r="AF316" i="2"/>
  <c r="AG316" i="2"/>
  <c r="AH316" i="2"/>
  <c r="AI316" i="2"/>
  <c r="AJ316" i="2"/>
  <c r="AD316" i="2"/>
  <c r="AF317" i="2"/>
  <c r="AG317" i="2"/>
  <c r="AH317" i="2"/>
  <c r="AI317" i="2"/>
  <c r="AJ317" i="2"/>
  <c r="AD317" i="2"/>
  <c r="AF318" i="2"/>
  <c r="AG318" i="2"/>
  <c r="AH318" i="2"/>
  <c r="AI318" i="2"/>
  <c r="AJ318" i="2"/>
  <c r="AD318" i="2"/>
  <c r="AF319" i="2"/>
  <c r="AG319" i="2"/>
  <c r="AH319" i="2"/>
  <c r="AI319" i="2"/>
  <c r="AJ319" i="2"/>
  <c r="AD319" i="2"/>
  <c r="AF320" i="2"/>
  <c r="AG320" i="2"/>
  <c r="AH320" i="2"/>
  <c r="AI320" i="2"/>
  <c r="AJ320" i="2"/>
  <c r="AD320" i="2"/>
  <c r="AF321" i="2"/>
  <c r="AG321" i="2"/>
  <c r="AH321" i="2"/>
  <c r="AI321" i="2"/>
  <c r="AJ321" i="2"/>
  <c r="AD321" i="2"/>
  <c r="AF322" i="2"/>
  <c r="AG322" i="2"/>
  <c r="AH322" i="2"/>
  <c r="AI322" i="2"/>
  <c r="AJ322" i="2"/>
  <c r="AD322" i="2"/>
  <c r="AF323" i="2"/>
  <c r="AG323" i="2"/>
  <c r="AH323" i="2"/>
  <c r="AI323" i="2"/>
  <c r="AJ323" i="2"/>
  <c r="AD323" i="2"/>
  <c r="AF324" i="2"/>
  <c r="AG324" i="2"/>
  <c r="AH324" i="2"/>
  <c r="AI324" i="2"/>
  <c r="AJ324" i="2"/>
  <c r="AD324" i="2"/>
  <c r="AF325" i="2"/>
  <c r="AG325" i="2"/>
  <c r="AH325" i="2"/>
  <c r="AI325" i="2"/>
  <c r="AJ325" i="2"/>
  <c r="AD325" i="2"/>
  <c r="AF326" i="2"/>
  <c r="AG326" i="2"/>
  <c r="AH326" i="2"/>
  <c r="AI326" i="2"/>
  <c r="AJ326" i="2"/>
  <c r="AD326" i="2"/>
  <c r="AF327" i="2"/>
  <c r="AG327" i="2"/>
  <c r="AH327" i="2"/>
  <c r="AI327" i="2"/>
  <c r="AJ327" i="2"/>
  <c r="AD327" i="2"/>
  <c r="AF328" i="2"/>
  <c r="AG328" i="2"/>
  <c r="AH328" i="2"/>
  <c r="AI328" i="2"/>
  <c r="AJ328" i="2"/>
  <c r="AD328" i="2"/>
  <c r="AF329" i="2"/>
  <c r="AG329" i="2"/>
  <c r="AH329" i="2"/>
  <c r="AI329" i="2"/>
  <c r="AJ329" i="2"/>
  <c r="AD329" i="2"/>
  <c r="AF330" i="2"/>
  <c r="AG330" i="2"/>
  <c r="AH330" i="2"/>
  <c r="AI330" i="2"/>
  <c r="AJ330" i="2"/>
  <c r="AD330" i="2"/>
  <c r="AF331" i="2"/>
  <c r="AG331" i="2"/>
  <c r="AH331" i="2"/>
  <c r="AI331" i="2"/>
  <c r="AJ331" i="2"/>
  <c r="AD331" i="2"/>
  <c r="AF332" i="2"/>
  <c r="AG332" i="2"/>
  <c r="AH332" i="2"/>
  <c r="AI332" i="2"/>
  <c r="AJ332" i="2"/>
  <c r="AD332" i="2"/>
  <c r="AF333" i="2"/>
  <c r="AG333" i="2"/>
  <c r="AH333" i="2"/>
  <c r="AI333" i="2"/>
  <c r="AJ333" i="2"/>
  <c r="AD333" i="2"/>
  <c r="AF334" i="2"/>
  <c r="AG334" i="2"/>
  <c r="AH334" i="2"/>
  <c r="AI334" i="2"/>
  <c r="AJ334" i="2"/>
  <c r="AD334" i="2"/>
  <c r="AF335" i="2"/>
  <c r="AG335" i="2"/>
  <c r="AH335" i="2"/>
  <c r="AI335" i="2"/>
  <c r="AJ335" i="2"/>
  <c r="AD335" i="2"/>
  <c r="AF336" i="2"/>
  <c r="AG336" i="2"/>
  <c r="AH336" i="2"/>
  <c r="AI336" i="2"/>
  <c r="AJ336" i="2"/>
  <c r="AD336" i="2"/>
  <c r="AF337" i="2"/>
  <c r="AG337" i="2"/>
  <c r="AH337" i="2"/>
  <c r="AI337" i="2"/>
  <c r="AJ337" i="2"/>
  <c r="AD337" i="2"/>
  <c r="AF338" i="2"/>
  <c r="AG338" i="2"/>
  <c r="AH338" i="2"/>
  <c r="AI338" i="2"/>
  <c r="AJ338" i="2"/>
  <c r="AD338" i="2"/>
  <c r="AF339" i="2"/>
  <c r="AG339" i="2"/>
  <c r="AH339" i="2"/>
  <c r="AI339" i="2"/>
  <c r="AJ339" i="2"/>
  <c r="AD339" i="2"/>
  <c r="AF340" i="2"/>
  <c r="AG340" i="2"/>
  <c r="AH340" i="2"/>
  <c r="AI340" i="2"/>
  <c r="AJ340" i="2"/>
  <c r="AD340" i="2"/>
  <c r="AF341" i="2"/>
  <c r="AG341" i="2"/>
  <c r="AH341" i="2"/>
  <c r="AI341" i="2"/>
  <c r="AJ341" i="2"/>
  <c r="AD341" i="2"/>
  <c r="AF342" i="2"/>
  <c r="AG342" i="2"/>
  <c r="AH342" i="2"/>
  <c r="AI342" i="2"/>
  <c r="AJ342" i="2"/>
  <c r="AD342" i="2"/>
  <c r="AF343" i="2"/>
  <c r="AG343" i="2"/>
  <c r="AH343" i="2"/>
  <c r="AI343" i="2"/>
  <c r="AJ343" i="2"/>
  <c r="AD343" i="2"/>
  <c r="AF344" i="2"/>
  <c r="AG344" i="2"/>
  <c r="AH344" i="2"/>
  <c r="AI344" i="2"/>
  <c r="AJ344" i="2"/>
  <c r="AD344" i="2"/>
  <c r="AF345" i="2"/>
  <c r="AG345" i="2"/>
  <c r="AH345" i="2"/>
  <c r="AI345" i="2"/>
  <c r="AJ345" i="2"/>
  <c r="AD345" i="2"/>
  <c r="AF346" i="2"/>
  <c r="AG346" i="2"/>
  <c r="AH346" i="2"/>
  <c r="AI346" i="2"/>
  <c r="AJ346" i="2"/>
  <c r="AD346" i="2"/>
  <c r="AF347" i="2"/>
  <c r="AG347" i="2"/>
  <c r="AH347" i="2"/>
  <c r="AI347" i="2"/>
  <c r="AJ347" i="2"/>
  <c r="AD347" i="2"/>
  <c r="AF348" i="2"/>
  <c r="AG348" i="2"/>
  <c r="AH348" i="2"/>
  <c r="AI348" i="2"/>
  <c r="AJ348" i="2"/>
  <c r="AD348" i="2"/>
  <c r="AF349" i="2"/>
  <c r="AG349" i="2"/>
  <c r="AH349" i="2"/>
  <c r="AI349" i="2"/>
  <c r="AJ349" i="2"/>
  <c r="AD349" i="2"/>
  <c r="AF350" i="2"/>
  <c r="AG350" i="2"/>
  <c r="AH350" i="2"/>
  <c r="AI350" i="2"/>
  <c r="AJ350" i="2"/>
  <c r="AD350" i="2"/>
  <c r="AF351" i="2"/>
  <c r="AG351" i="2"/>
  <c r="AH351" i="2"/>
  <c r="AI351" i="2"/>
  <c r="AJ351" i="2"/>
  <c r="AD351" i="2"/>
  <c r="AF352" i="2"/>
  <c r="AG352" i="2"/>
  <c r="AH352" i="2"/>
  <c r="AI352" i="2"/>
  <c r="AJ352" i="2"/>
  <c r="AD352" i="2"/>
  <c r="AF353" i="2"/>
  <c r="AG353" i="2"/>
  <c r="AH353" i="2"/>
  <c r="AI353" i="2"/>
  <c r="AJ353" i="2"/>
  <c r="AD353" i="2"/>
  <c r="AF354" i="2"/>
  <c r="AG354" i="2"/>
  <c r="AH354" i="2"/>
  <c r="AI354" i="2"/>
  <c r="AJ354" i="2"/>
  <c r="AD354" i="2"/>
  <c r="AF355" i="2"/>
  <c r="AG355" i="2"/>
  <c r="AH355" i="2"/>
  <c r="AI355" i="2"/>
  <c r="AJ355" i="2"/>
  <c r="AD355" i="2"/>
  <c r="AF356" i="2"/>
  <c r="AG356" i="2"/>
  <c r="AH356" i="2"/>
  <c r="AI356" i="2"/>
  <c r="AJ356" i="2"/>
  <c r="AD356" i="2"/>
  <c r="AF357" i="2"/>
  <c r="AG357" i="2"/>
  <c r="AH357" i="2"/>
  <c r="AI357" i="2"/>
  <c r="AJ357" i="2"/>
  <c r="AD357" i="2"/>
  <c r="AF358" i="2"/>
  <c r="AG358" i="2"/>
  <c r="AH358" i="2"/>
  <c r="AI358" i="2"/>
  <c r="AJ358" i="2"/>
  <c r="AD358" i="2"/>
  <c r="AF359" i="2"/>
  <c r="AG359" i="2"/>
  <c r="AH359" i="2"/>
  <c r="AI359" i="2"/>
  <c r="AJ359" i="2"/>
  <c r="AD359" i="2"/>
  <c r="AF360" i="2"/>
  <c r="AG360" i="2"/>
  <c r="AH360" i="2"/>
  <c r="AI360" i="2"/>
  <c r="AJ360" i="2"/>
  <c r="AD360" i="2"/>
  <c r="AF361" i="2"/>
  <c r="AG361" i="2"/>
  <c r="AH361" i="2"/>
  <c r="AI361" i="2"/>
  <c r="AJ361" i="2"/>
  <c r="AD361" i="2"/>
  <c r="AF362" i="2"/>
  <c r="AG362" i="2"/>
  <c r="AH362" i="2"/>
  <c r="AI362" i="2"/>
  <c r="AJ362" i="2"/>
  <c r="AD362" i="2"/>
  <c r="AF363" i="2"/>
  <c r="AG363" i="2"/>
  <c r="AH363" i="2"/>
  <c r="AI363" i="2"/>
  <c r="AJ363" i="2"/>
  <c r="AD363" i="2"/>
  <c r="AF364" i="2"/>
  <c r="AG364" i="2"/>
  <c r="AH364" i="2"/>
  <c r="AI364" i="2"/>
  <c r="AJ364" i="2"/>
  <c r="AD364" i="2"/>
  <c r="AF365" i="2"/>
  <c r="AG365" i="2"/>
  <c r="AH365" i="2"/>
  <c r="AI365" i="2"/>
  <c r="AJ365" i="2"/>
  <c r="AD365" i="2"/>
  <c r="AF366" i="2"/>
  <c r="AG366" i="2"/>
  <c r="AH366" i="2"/>
  <c r="AI366" i="2"/>
  <c r="AJ366" i="2"/>
  <c r="AD366" i="2"/>
  <c r="AF367" i="2"/>
  <c r="AG367" i="2"/>
  <c r="AH367" i="2"/>
  <c r="AI367" i="2"/>
  <c r="AJ367" i="2"/>
  <c r="AD367" i="2"/>
  <c r="AF368" i="2"/>
  <c r="AG368" i="2"/>
  <c r="AH368" i="2"/>
  <c r="AI368" i="2"/>
  <c r="AJ368" i="2"/>
  <c r="AD368" i="2"/>
  <c r="AF369" i="2"/>
  <c r="AG369" i="2"/>
  <c r="AH369" i="2"/>
  <c r="AI369" i="2"/>
  <c r="AJ369" i="2"/>
  <c r="AD369" i="2"/>
  <c r="AF370" i="2"/>
  <c r="AG370" i="2"/>
  <c r="AH370" i="2"/>
  <c r="AI370" i="2"/>
  <c r="AJ370" i="2"/>
  <c r="AD370" i="2"/>
  <c r="AF371" i="2"/>
  <c r="AG371" i="2"/>
  <c r="AH371" i="2"/>
  <c r="AI371" i="2"/>
  <c r="AJ371" i="2"/>
  <c r="AD371" i="2"/>
  <c r="AF372" i="2"/>
  <c r="AG372" i="2"/>
  <c r="AH372" i="2"/>
  <c r="AI372" i="2"/>
  <c r="AJ372" i="2"/>
  <c r="AD372" i="2"/>
  <c r="AF373" i="2"/>
  <c r="AG373" i="2"/>
  <c r="AH373" i="2"/>
  <c r="AI373" i="2"/>
  <c r="AJ373" i="2"/>
  <c r="AD373" i="2"/>
  <c r="AF374" i="2"/>
  <c r="AG374" i="2"/>
  <c r="AH374" i="2"/>
  <c r="AI374" i="2"/>
  <c r="AJ374" i="2"/>
  <c r="AD374" i="2"/>
  <c r="AF375" i="2"/>
  <c r="AG375" i="2"/>
  <c r="AH375" i="2"/>
  <c r="AI375" i="2"/>
  <c r="AJ375" i="2"/>
  <c r="AD375" i="2"/>
  <c r="AF376" i="2"/>
  <c r="AG376" i="2"/>
  <c r="AH376" i="2"/>
  <c r="AI376" i="2"/>
  <c r="AJ376" i="2"/>
  <c r="AD376" i="2"/>
  <c r="AF377" i="2"/>
  <c r="AG377" i="2"/>
  <c r="AH377" i="2"/>
  <c r="AI377" i="2"/>
  <c r="AJ377" i="2"/>
  <c r="AD377" i="2"/>
  <c r="AF378" i="2"/>
  <c r="AG378" i="2"/>
  <c r="AH378" i="2"/>
  <c r="AI378" i="2"/>
  <c r="AJ378" i="2"/>
  <c r="AD378" i="2"/>
  <c r="AF379" i="2"/>
  <c r="AG379" i="2"/>
  <c r="AH379" i="2"/>
  <c r="AI379" i="2"/>
  <c r="AJ379" i="2"/>
  <c r="AD379" i="2"/>
  <c r="AF380" i="2"/>
  <c r="AG380" i="2"/>
  <c r="AH380" i="2"/>
  <c r="AI380" i="2"/>
  <c r="AJ380" i="2"/>
  <c r="AD380" i="2"/>
  <c r="AF381" i="2"/>
  <c r="AG381" i="2"/>
  <c r="AH381" i="2"/>
  <c r="AI381" i="2"/>
  <c r="AJ381" i="2"/>
  <c r="AD381" i="2"/>
  <c r="AF382" i="2"/>
  <c r="AG382" i="2"/>
  <c r="AH382" i="2"/>
  <c r="AI382" i="2"/>
  <c r="AJ382" i="2"/>
  <c r="AD382" i="2"/>
  <c r="AF383" i="2"/>
  <c r="AG383" i="2"/>
  <c r="AH383" i="2"/>
  <c r="AI383" i="2"/>
  <c r="AJ383" i="2"/>
  <c r="AD383" i="2"/>
  <c r="AF384" i="2"/>
  <c r="AG384" i="2"/>
  <c r="AH384" i="2"/>
  <c r="AI384" i="2"/>
  <c r="AJ384" i="2"/>
  <c r="AD384" i="2"/>
  <c r="AF385" i="2"/>
  <c r="AG385" i="2"/>
  <c r="AH385" i="2"/>
  <c r="AI385" i="2"/>
  <c r="AJ385" i="2"/>
  <c r="AD385" i="2"/>
  <c r="AF386" i="2"/>
  <c r="AG386" i="2"/>
  <c r="AH386" i="2"/>
  <c r="AI386" i="2"/>
  <c r="AJ386" i="2"/>
  <c r="AD386" i="2"/>
  <c r="AF387" i="2"/>
  <c r="AG387" i="2"/>
  <c r="AH387" i="2"/>
  <c r="AI387" i="2"/>
  <c r="AJ387" i="2"/>
  <c r="AD387" i="2"/>
  <c r="AF388" i="2"/>
  <c r="AG388" i="2"/>
  <c r="AH388" i="2"/>
  <c r="AI388" i="2"/>
  <c r="AJ388" i="2"/>
  <c r="AD388" i="2"/>
  <c r="AF389" i="2"/>
  <c r="AG389" i="2"/>
  <c r="AH389" i="2"/>
  <c r="AI389" i="2"/>
  <c r="AJ389" i="2"/>
  <c r="AD389" i="2"/>
  <c r="AF390" i="2"/>
  <c r="AG390" i="2"/>
  <c r="AH390" i="2"/>
  <c r="AI390" i="2"/>
  <c r="AJ390" i="2"/>
  <c r="AD390" i="2"/>
  <c r="AF391" i="2"/>
  <c r="AG391" i="2"/>
  <c r="AH391" i="2"/>
  <c r="AI391" i="2"/>
  <c r="AJ391" i="2"/>
  <c r="AD391" i="2"/>
  <c r="AF392" i="2"/>
  <c r="AG392" i="2"/>
  <c r="AH392" i="2"/>
  <c r="AI392" i="2"/>
  <c r="AJ392" i="2"/>
  <c r="AD392" i="2"/>
  <c r="AF393" i="2"/>
  <c r="AG393" i="2"/>
  <c r="AH393" i="2"/>
  <c r="AI393" i="2"/>
  <c r="AJ393" i="2"/>
  <c r="AD393" i="2"/>
  <c r="AF394" i="2"/>
  <c r="AG394" i="2"/>
  <c r="AH394" i="2"/>
  <c r="AI394" i="2"/>
  <c r="AJ394" i="2"/>
  <c r="AD394" i="2"/>
  <c r="AF395" i="2"/>
  <c r="AG395" i="2"/>
  <c r="AH395" i="2"/>
  <c r="AI395" i="2"/>
  <c r="AJ395" i="2"/>
  <c r="AD395" i="2"/>
  <c r="AF396" i="2"/>
  <c r="AG396" i="2"/>
  <c r="AH396" i="2"/>
  <c r="AI396" i="2"/>
  <c r="AJ396" i="2"/>
  <c r="AD396" i="2"/>
  <c r="AF397" i="2"/>
  <c r="AG397" i="2"/>
  <c r="AH397" i="2"/>
  <c r="AI397" i="2"/>
  <c r="AJ397" i="2"/>
  <c r="AD397" i="2"/>
  <c r="AF398" i="2"/>
  <c r="AG398" i="2"/>
  <c r="AH398" i="2"/>
  <c r="AI398" i="2"/>
  <c r="AJ398" i="2"/>
  <c r="AD398" i="2"/>
  <c r="AF399" i="2"/>
  <c r="AG399" i="2"/>
  <c r="AH399" i="2"/>
  <c r="AI399" i="2"/>
  <c r="AJ399" i="2"/>
  <c r="AD399" i="2"/>
  <c r="AF400" i="2"/>
  <c r="AG400" i="2"/>
  <c r="AH400" i="2"/>
  <c r="AI400" i="2"/>
  <c r="AJ400" i="2"/>
  <c r="AD400" i="2"/>
  <c r="AF401" i="2"/>
  <c r="AG401" i="2"/>
  <c r="AH401" i="2"/>
  <c r="AI401" i="2"/>
  <c r="AJ401" i="2"/>
  <c r="AD401" i="2"/>
  <c r="AF402" i="2"/>
  <c r="AG402" i="2"/>
  <c r="AH402" i="2"/>
  <c r="AI402" i="2"/>
  <c r="AJ402" i="2"/>
  <c r="AD402" i="2"/>
  <c r="AF403" i="2"/>
  <c r="AG403" i="2"/>
  <c r="AH403" i="2"/>
  <c r="AI403" i="2"/>
  <c r="AJ403" i="2"/>
  <c r="AD403" i="2"/>
  <c r="AF404" i="2"/>
  <c r="AG404" i="2"/>
  <c r="AH404" i="2"/>
  <c r="AI404" i="2"/>
  <c r="AJ404" i="2"/>
  <c r="AD404" i="2"/>
  <c r="AF405" i="2"/>
  <c r="AG405" i="2"/>
  <c r="AH405" i="2"/>
  <c r="AI405" i="2"/>
  <c r="AJ405" i="2"/>
  <c r="AD405" i="2"/>
  <c r="AF406" i="2"/>
  <c r="AG406" i="2"/>
  <c r="AH406" i="2"/>
  <c r="AI406" i="2"/>
  <c r="AJ406" i="2"/>
  <c r="AD406" i="2"/>
  <c r="AF407" i="2"/>
  <c r="AG407" i="2"/>
  <c r="AH407" i="2"/>
  <c r="AI407" i="2"/>
  <c r="AJ407" i="2"/>
  <c r="AD407" i="2"/>
  <c r="AF408" i="2"/>
  <c r="AG408" i="2"/>
  <c r="AH408" i="2"/>
  <c r="AI408" i="2"/>
  <c r="AJ408" i="2"/>
  <c r="AD408" i="2"/>
  <c r="AF409" i="2"/>
  <c r="AG409" i="2"/>
  <c r="AH409" i="2"/>
  <c r="AI409" i="2"/>
  <c r="AJ409" i="2"/>
  <c r="AD409" i="2"/>
  <c r="AF410" i="2"/>
  <c r="AG410" i="2"/>
  <c r="AH410" i="2"/>
  <c r="AI410" i="2"/>
  <c r="AJ410" i="2"/>
  <c r="AD410" i="2"/>
  <c r="AF411" i="2"/>
  <c r="AG411" i="2"/>
  <c r="AH411" i="2"/>
  <c r="AI411" i="2"/>
  <c r="AJ411" i="2"/>
  <c r="AD411" i="2"/>
  <c r="AF412" i="2"/>
  <c r="AG412" i="2"/>
  <c r="AH412" i="2"/>
  <c r="AI412" i="2"/>
  <c r="AJ412" i="2"/>
  <c r="AD412" i="2"/>
  <c r="AF413" i="2"/>
  <c r="AG413" i="2"/>
  <c r="AH413" i="2"/>
  <c r="AI413" i="2"/>
  <c r="AJ413" i="2"/>
  <c r="AD413" i="2"/>
  <c r="AF414" i="2"/>
  <c r="AG414" i="2"/>
  <c r="AH414" i="2"/>
  <c r="AI414" i="2"/>
  <c r="AJ414" i="2"/>
  <c r="AD414" i="2"/>
  <c r="AF415" i="2"/>
  <c r="AG415" i="2"/>
  <c r="AH415" i="2"/>
  <c r="AI415" i="2"/>
  <c r="AJ415" i="2"/>
  <c r="AD415" i="2"/>
  <c r="AF416" i="2"/>
  <c r="AG416" i="2"/>
  <c r="AH416" i="2"/>
  <c r="AI416" i="2"/>
  <c r="AJ416" i="2"/>
  <c r="AD416" i="2"/>
  <c r="AF417" i="2"/>
  <c r="AG417" i="2"/>
  <c r="AH417" i="2"/>
  <c r="AI417" i="2"/>
  <c r="AJ417" i="2"/>
  <c r="AD417" i="2"/>
  <c r="AF418" i="2"/>
  <c r="AG418" i="2"/>
  <c r="AH418" i="2"/>
  <c r="AI418" i="2"/>
  <c r="AJ418" i="2"/>
  <c r="AD418" i="2"/>
  <c r="AF419" i="2"/>
  <c r="AG419" i="2"/>
  <c r="AH419" i="2"/>
  <c r="AI419" i="2"/>
  <c r="AJ419" i="2"/>
  <c r="AD419" i="2"/>
  <c r="AF420" i="2"/>
  <c r="AG420" i="2"/>
  <c r="AH420" i="2"/>
  <c r="AI420" i="2"/>
  <c r="AJ420" i="2"/>
  <c r="AD420" i="2"/>
  <c r="AF421" i="2"/>
  <c r="AG421" i="2"/>
  <c r="AH421" i="2"/>
  <c r="AI421" i="2"/>
  <c r="AJ421" i="2"/>
  <c r="AD421" i="2"/>
  <c r="AF422" i="2"/>
  <c r="AG422" i="2"/>
  <c r="AH422" i="2"/>
  <c r="AI422" i="2"/>
  <c r="AJ422" i="2"/>
  <c r="AD422" i="2"/>
  <c r="AF423" i="2"/>
  <c r="AG423" i="2"/>
  <c r="AH423" i="2"/>
  <c r="AI423" i="2"/>
  <c r="AJ423" i="2"/>
  <c r="AD423" i="2"/>
  <c r="AF424" i="2"/>
  <c r="AG424" i="2"/>
  <c r="AH424" i="2"/>
  <c r="AI424" i="2"/>
  <c r="AJ424" i="2"/>
  <c r="AD424" i="2"/>
  <c r="AF425" i="2"/>
  <c r="AG425" i="2"/>
  <c r="AH425" i="2"/>
  <c r="AI425" i="2"/>
  <c r="AJ425" i="2"/>
  <c r="AD425" i="2"/>
  <c r="AF426" i="2"/>
  <c r="AG426" i="2"/>
  <c r="AH426" i="2"/>
  <c r="AI426" i="2"/>
  <c r="AJ426" i="2"/>
  <c r="AD426" i="2"/>
  <c r="AF427" i="2"/>
  <c r="AG427" i="2"/>
  <c r="AH427" i="2"/>
  <c r="AI427" i="2"/>
  <c r="AJ427" i="2"/>
  <c r="AD427" i="2"/>
  <c r="AF428" i="2"/>
  <c r="AG428" i="2"/>
  <c r="AH428" i="2"/>
  <c r="AI428" i="2"/>
  <c r="AJ428" i="2"/>
  <c r="AD428" i="2"/>
  <c r="AF429" i="2"/>
  <c r="AG429" i="2"/>
  <c r="AH429" i="2"/>
  <c r="AI429" i="2"/>
  <c r="AJ429" i="2"/>
  <c r="AD429" i="2"/>
  <c r="AF430" i="2"/>
  <c r="AG430" i="2"/>
  <c r="AH430" i="2"/>
  <c r="AI430" i="2"/>
  <c r="AJ430" i="2"/>
  <c r="AD430" i="2"/>
  <c r="AF431" i="2"/>
  <c r="AG431" i="2"/>
  <c r="AH431" i="2"/>
  <c r="AI431" i="2"/>
  <c r="AJ431" i="2"/>
  <c r="AD431" i="2"/>
  <c r="AF432" i="2"/>
  <c r="AG432" i="2"/>
  <c r="AH432" i="2"/>
  <c r="AI432" i="2"/>
  <c r="AJ432" i="2"/>
  <c r="AD432" i="2"/>
  <c r="AF433" i="2"/>
  <c r="AG433" i="2"/>
  <c r="AH433" i="2"/>
  <c r="AI433" i="2"/>
  <c r="AJ433" i="2"/>
  <c r="AD433" i="2"/>
  <c r="AF434" i="2"/>
  <c r="AG434" i="2"/>
  <c r="AH434" i="2"/>
  <c r="AI434" i="2"/>
  <c r="AJ434" i="2"/>
  <c r="AD434" i="2"/>
  <c r="AF435" i="2"/>
  <c r="AG435" i="2"/>
  <c r="AH435" i="2"/>
  <c r="AI435" i="2"/>
  <c r="AJ435" i="2"/>
  <c r="AD435" i="2"/>
  <c r="AF436" i="2"/>
  <c r="AG436" i="2"/>
  <c r="AH436" i="2"/>
  <c r="AI436" i="2"/>
  <c r="AJ436" i="2"/>
  <c r="AD436" i="2"/>
  <c r="AF437" i="2"/>
  <c r="AG437" i="2"/>
  <c r="AH437" i="2"/>
  <c r="AI437" i="2"/>
  <c r="AJ437" i="2"/>
  <c r="AD437" i="2"/>
  <c r="AF438" i="2"/>
  <c r="AG438" i="2"/>
  <c r="AH438" i="2"/>
  <c r="AI438" i="2"/>
  <c r="AJ438" i="2"/>
  <c r="AD438" i="2"/>
  <c r="AF439" i="2"/>
  <c r="AG439" i="2"/>
  <c r="AH439" i="2"/>
  <c r="AI439" i="2"/>
  <c r="AJ439" i="2"/>
  <c r="AD439" i="2"/>
  <c r="AF440" i="2"/>
  <c r="AG440" i="2"/>
  <c r="AH440" i="2"/>
  <c r="AI440" i="2"/>
  <c r="AJ440" i="2"/>
  <c r="AD440" i="2"/>
  <c r="AF441" i="2"/>
  <c r="AG441" i="2"/>
  <c r="AH441" i="2"/>
  <c r="AI441" i="2"/>
  <c r="AJ441" i="2"/>
  <c r="AD441" i="2"/>
  <c r="AF442" i="2"/>
  <c r="AG442" i="2"/>
  <c r="AH442" i="2"/>
  <c r="AI442" i="2"/>
  <c r="AJ442" i="2"/>
  <c r="AD442" i="2"/>
  <c r="AF443" i="2"/>
  <c r="AG443" i="2"/>
  <c r="AH443" i="2"/>
  <c r="AI443" i="2"/>
  <c r="AJ443" i="2"/>
  <c r="AD443" i="2"/>
  <c r="AF444" i="2"/>
  <c r="AG444" i="2"/>
  <c r="AH444" i="2"/>
  <c r="AI444" i="2"/>
  <c r="AJ444" i="2"/>
  <c r="AD444" i="2"/>
  <c r="AF445" i="2"/>
  <c r="AG445" i="2"/>
  <c r="AH445" i="2"/>
  <c r="AI445" i="2"/>
  <c r="AJ445" i="2"/>
  <c r="AD445" i="2"/>
  <c r="AF446" i="2"/>
  <c r="AG446" i="2"/>
  <c r="AH446" i="2"/>
  <c r="AI446" i="2"/>
  <c r="AJ446" i="2"/>
  <c r="AD446" i="2"/>
  <c r="AF447" i="2"/>
  <c r="AG447" i="2"/>
  <c r="AH447" i="2"/>
  <c r="AI447" i="2"/>
  <c r="AJ447" i="2"/>
  <c r="AD447" i="2"/>
  <c r="AF448" i="2"/>
  <c r="AG448" i="2"/>
  <c r="AH448" i="2"/>
  <c r="AI448" i="2"/>
  <c r="AJ448" i="2"/>
  <c r="AD448" i="2"/>
  <c r="AF449" i="2"/>
  <c r="AG449" i="2"/>
  <c r="AH449" i="2"/>
  <c r="AI449" i="2"/>
  <c r="AJ449" i="2"/>
  <c r="AD449" i="2"/>
  <c r="AF450" i="2"/>
  <c r="AG450" i="2"/>
  <c r="AH450" i="2"/>
  <c r="AI450" i="2"/>
  <c r="AJ450" i="2"/>
  <c r="AD450" i="2"/>
  <c r="AF451" i="2"/>
  <c r="AG451" i="2"/>
  <c r="AH451" i="2"/>
  <c r="AI451" i="2"/>
  <c r="AJ451" i="2"/>
  <c r="AD451" i="2"/>
  <c r="AF452" i="2"/>
  <c r="AG452" i="2"/>
  <c r="AH452" i="2"/>
  <c r="AI452" i="2"/>
  <c r="AJ452" i="2"/>
  <c r="AD452" i="2"/>
  <c r="AF453" i="2"/>
  <c r="AG453" i="2"/>
  <c r="AH453" i="2"/>
  <c r="AI453" i="2"/>
  <c r="AJ453" i="2"/>
  <c r="AD453" i="2"/>
  <c r="AF454" i="2"/>
  <c r="AG454" i="2"/>
  <c r="AH454" i="2"/>
  <c r="AI454" i="2"/>
  <c r="AJ454" i="2"/>
  <c r="AD454" i="2"/>
  <c r="AF455" i="2"/>
  <c r="AG455" i="2"/>
  <c r="AH455" i="2"/>
  <c r="AI455" i="2"/>
  <c r="AJ455" i="2"/>
  <c r="AD455" i="2"/>
  <c r="AF456" i="2"/>
  <c r="AG456" i="2"/>
  <c r="AH456" i="2"/>
  <c r="AI456" i="2"/>
  <c r="AJ456" i="2"/>
  <c r="AD456" i="2"/>
  <c r="AF457" i="2"/>
  <c r="AG457" i="2"/>
  <c r="AH457" i="2"/>
  <c r="AI457" i="2"/>
  <c r="AJ457" i="2"/>
  <c r="AD457" i="2"/>
  <c r="AF458" i="2"/>
  <c r="AG458" i="2"/>
  <c r="AH458" i="2"/>
  <c r="AI458" i="2"/>
  <c r="AJ458" i="2"/>
  <c r="AD458" i="2"/>
  <c r="AF459" i="2"/>
  <c r="AG459" i="2"/>
  <c r="AH459" i="2"/>
  <c r="AI459" i="2"/>
  <c r="AJ459" i="2"/>
  <c r="AD459" i="2"/>
  <c r="AF460" i="2"/>
  <c r="AG460" i="2"/>
  <c r="AH460" i="2"/>
  <c r="AI460" i="2"/>
  <c r="AJ460" i="2"/>
  <c r="AD460" i="2"/>
  <c r="AF461" i="2"/>
  <c r="AG461" i="2"/>
  <c r="AH461" i="2"/>
  <c r="AI461" i="2"/>
  <c r="AJ461" i="2"/>
  <c r="AD461" i="2"/>
  <c r="AF462" i="2"/>
  <c r="AG462" i="2"/>
  <c r="AH462" i="2"/>
  <c r="AI462" i="2"/>
  <c r="AJ462" i="2"/>
  <c r="AD462" i="2"/>
  <c r="AF463" i="2"/>
  <c r="AG463" i="2"/>
  <c r="AH463" i="2"/>
  <c r="AI463" i="2"/>
  <c r="AJ463" i="2"/>
  <c r="AD463" i="2"/>
  <c r="AF464" i="2"/>
  <c r="AG464" i="2"/>
  <c r="AH464" i="2"/>
  <c r="AI464" i="2"/>
  <c r="AJ464" i="2"/>
  <c r="AD464" i="2"/>
  <c r="AF465" i="2"/>
  <c r="AG465" i="2"/>
  <c r="AH465" i="2"/>
  <c r="AI465" i="2"/>
  <c r="AJ465" i="2"/>
  <c r="AD465" i="2"/>
  <c r="AF466" i="2"/>
  <c r="AG466" i="2"/>
  <c r="AH466" i="2"/>
  <c r="AI466" i="2"/>
  <c r="AJ466" i="2"/>
  <c r="AD466" i="2"/>
  <c r="AF467" i="2"/>
  <c r="AG467" i="2"/>
  <c r="AH467" i="2"/>
  <c r="AI467" i="2"/>
  <c r="AJ467" i="2"/>
  <c r="AD467" i="2"/>
  <c r="AF468" i="2"/>
  <c r="AG468" i="2"/>
  <c r="AH468" i="2"/>
  <c r="AI468" i="2"/>
  <c r="AJ468" i="2"/>
  <c r="AD468" i="2"/>
  <c r="AF469" i="2"/>
  <c r="AG469" i="2"/>
  <c r="AH469" i="2"/>
  <c r="AI469" i="2"/>
  <c r="AJ469" i="2"/>
  <c r="AD469" i="2"/>
  <c r="AF470" i="2"/>
  <c r="AG470" i="2"/>
  <c r="AH470" i="2"/>
  <c r="AI470" i="2"/>
  <c r="AJ470" i="2"/>
  <c r="AD470" i="2"/>
  <c r="AF471" i="2"/>
  <c r="AG471" i="2"/>
  <c r="AH471" i="2"/>
  <c r="AI471" i="2"/>
  <c r="AJ471" i="2"/>
  <c r="AD471" i="2"/>
  <c r="AF472" i="2"/>
  <c r="AG472" i="2"/>
  <c r="AH472" i="2"/>
  <c r="AI472" i="2"/>
  <c r="AJ472" i="2"/>
  <c r="AD472" i="2"/>
  <c r="AF473" i="2"/>
  <c r="AG473" i="2"/>
  <c r="AH473" i="2"/>
  <c r="AI473" i="2"/>
  <c r="AJ473" i="2"/>
  <c r="AD473" i="2"/>
  <c r="AF474" i="2"/>
  <c r="AG474" i="2"/>
  <c r="AH474" i="2"/>
  <c r="AI474" i="2"/>
  <c r="AJ474" i="2"/>
  <c r="AD474" i="2"/>
  <c r="AF475" i="2"/>
  <c r="AG475" i="2"/>
  <c r="AH475" i="2"/>
  <c r="AI475" i="2"/>
  <c r="AJ475" i="2"/>
  <c r="AD475" i="2"/>
  <c r="AF476" i="2"/>
  <c r="AG476" i="2"/>
  <c r="AH476" i="2"/>
  <c r="AI476" i="2"/>
  <c r="AJ476" i="2"/>
  <c r="AD476" i="2"/>
  <c r="AF477" i="2"/>
  <c r="AG477" i="2"/>
  <c r="AH477" i="2"/>
  <c r="AI477" i="2"/>
  <c r="AJ477" i="2"/>
  <c r="AD477" i="2"/>
  <c r="AF478" i="2"/>
  <c r="AG478" i="2"/>
  <c r="AH478" i="2"/>
  <c r="AI478" i="2"/>
  <c r="AJ478" i="2"/>
  <c r="AD478" i="2"/>
  <c r="AF479" i="2"/>
  <c r="AG479" i="2"/>
  <c r="AH479" i="2"/>
  <c r="AI479" i="2"/>
  <c r="AJ479" i="2"/>
  <c r="AD479" i="2"/>
  <c r="AF480" i="2"/>
  <c r="AG480" i="2"/>
  <c r="AH480" i="2"/>
  <c r="AI480" i="2"/>
  <c r="AJ480" i="2"/>
  <c r="AD480" i="2"/>
  <c r="AF481" i="2"/>
  <c r="AG481" i="2"/>
  <c r="AH481" i="2"/>
  <c r="AI481" i="2"/>
  <c r="AJ481" i="2"/>
  <c r="AD481" i="2"/>
  <c r="AF482" i="2"/>
  <c r="AG482" i="2"/>
  <c r="AH482" i="2"/>
  <c r="AI482" i="2"/>
  <c r="AJ482" i="2"/>
  <c r="AD482" i="2"/>
  <c r="AF483" i="2"/>
  <c r="AG483" i="2"/>
  <c r="AH483" i="2"/>
  <c r="AI483" i="2"/>
  <c r="AJ483" i="2"/>
  <c r="AD483" i="2"/>
  <c r="AF484" i="2"/>
  <c r="AG484" i="2"/>
  <c r="AH484" i="2"/>
  <c r="AI484" i="2"/>
  <c r="AJ484" i="2"/>
  <c r="AD484" i="2"/>
  <c r="AF485" i="2"/>
  <c r="AG485" i="2"/>
  <c r="AH485" i="2"/>
  <c r="AI485" i="2"/>
  <c r="AJ485" i="2"/>
  <c r="AD485" i="2"/>
  <c r="AF486" i="2"/>
  <c r="AG486" i="2"/>
  <c r="AH486" i="2"/>
  <c r="AI486" i="2"/>
  <c r="AJ486" i="2"/>
  <c r="AD486" i="2"/>
  <c r="AF487" i="2"/>
  <c r="AG487" i="2"/>
  <c r="AH487" i="2"/>
  <c r="AI487" i="2"/>
  <c r="AJ487" i="2"/>
  <c r="AD487" i="2"/>
  <c r="AF488" i="2"/>
  <c r="AG488" i="2"/>
  <c r="AH488" i="2"/>
  <c r="AI488" i="2"/>
  <c r="AJ488" i="2"/>
  <c r="AD488" i="2"/>
  <c r="AF489" i="2"/>
  <c r="AG489" i="2"/>
  <c r="AH489" i="2"/>
  <c r="AI489" i="2"/>
  <c r="AJ489" i="2"/>
  <c r="AD489" i="2"/>
  <c r="AF490" i="2"/>
  <c r="AG490" i="2"/>
  <c r="AH490" i="2"/>
  <c r="AI490" i="2"/>
  <c r="AJ490" i="2"/>
  <c r="AD490" i="2"/>
  <c r="AF491" i="2"/>
  <c r="AG491" i="2"/>
  <c r="AH491" i="2"/>
  <c r="AI491" i="2"/>
  <c r="AJ491" i="2"/>
  <c r="AD491" i="2"/>
  <c r="AF492" i="2"/>
  <c r="AG492" i="2"/>
  <c r="AH492" i="2"/>
  <c r="AI492" i="2"/>
  <c r="AJ492" i="2"/>
  <c r="AD492" i="2"/>
  <c r="AF493" i="2"/>
  <c r="AG493" i="2"/>
  <c r="AH493" i="2"/>
  <c r="AI493" i="2"/>
  <c r="AJ493" i="2"/>
  <c r="AD493" i="2"/>
  <c r="AF494" i="2"/>
  <c r="AG494" i="2"/>
  <c r="AH494" i="2"/>
  <c r="AI494" i="2"/>
  <c r="AJ494" i="2"/>
  <c r="AD494" i="2"/>
  <c r="AF495" i="2"/>
  <c r="AG495" i="2"/>
  <c r="AH495" i="2"/>
  <c r="AI495" i="2"/>
  <c r="AJ495" i="2"/>
  <c r="AD495" i="2"/>
  <c r="AF496" i="2"/>
  <c r="AG496" i="2"/>
  <c r="AH496" i="2"/>
  <c r="AI496" i="2"/>
  <c r="AJ496" i="2"/>
  <c r="AD496" i="2"/>
  <c r="AF497" i="2"/>
  <c r="AG497" i="2"/>
  <c r="AH497" i="2"/>
  <c r="AI497" i="2"/>
  <c r="AJ497" i="2"/>
  <c r="AD497" i="2"/>
  <c r="AF498" i="2"/>
  <c r="AG498" i="2"/>
  <c r="AH498" i="2"/>
  <c r="AI498" i="2"/>
  <c r="AJ498" i="2"/>
  <c r="AD498" i="2"/>
  <c r="AF499" i="2"/>
  <c r="AG499" i="2"/>
  <c r="AH499" i="2"/>
  <c r="AI499" i="2"/>
  <c r="AJ499" i="2"/>
  <c r="AD499" i="2"/>
  <c r="AF500" i="2"/>
  <c r="AG500" i="2"/>
  <c r="AH500" i="2"/>
  <c r="AI500" i="2"/>
  <c r="AJ500" i="2"/>
  <c r="AD500" i="2"/>
  <c r="AF501" i="2"/>
  <c r="AG501" i="2"/>
  <c r="AH501" i="2"/>
  <c r="AI501" i="2"/>
  <c r="AJ501" i="2"/>
  <c r="AD501" i="2"/>
  <c r="AF502" i="2"/>
  <c r="AG502" i="2"/>
  <c r="AH502" i="2"/>
  <c r="AI502" i="2"/>
  <c r="AJ502" i="2"/>
  <c r="AD502" i="2"/>
  <c r="AF503" i="2"/>
  <c r="AG503" i="2"/>
  <c r="AH503" i="2"/>
  <c r="AI503" i="2"/>
  <c r="AJ503" i="2"/>
  <c r="AD503" i="2"/>
  <c r="AF504" i="2"/>
  <c r="AG504" i="2"/>
  <c r="AH504" i="2"/>
  <c r="AI504" i="2"/>
  <c r="AJ504" i="2"/>
  <c r="AD504" i="2"/>
  <c r="AF505" i="2"/>
  <c r="AG505" i="2"/>
  <c r="AH505" i="2"/>
  <c r="AI505" i="2"/>
  <c r="AJ505" i="2"/>
  <c r="AD505" i="2"/>
  <c r="AF506" i="2"/>
  <c r="AG506" i="2"/>
  <c r="AH506" i="2"/>
  <c r="AI506" i="2"/>
  <c r="AJ506" i="2"/>
  <c r="AD506" i="2"/>
  <c r="AF507" i="2"/>
  <c r="AG507" i="2"/>
  <c r="AH507" i="2"/>
  <c r="AI507" i="2"/>
  <c r="AJ507" i="2"/>
  <c r="AD507" i="2"/>
  <c r="AF508" i="2"/>
  <c r="AG508" i="2"/>
  <c r="AH508" i="2"/>
  <c r="AI508" i="2"/>
  <c r="AJ508" i="2"/>
  <c r="AD508" i="2"/>
  <c r="AF509" i="2"/>
  <c r="AG509" i="2"/>
  <c r="AH509" i="2"/>
  <c r="AI509" i="2"/>
  <c r="AJ509" i="2"/>
  <c r="AD509" i="2"/>
  <c r="AF510" i="2"/>
  <c r="AG510" i="2"/>
  <c r="AH510" i="2"/>
  <c r="AI510" i="2"/>
  <c r="AJ510" i="2"/>
  <c r="AD510" i="2"/>
  <c r="AF511" i="2"/>
  <c r="AG511" i="2"/>
  <c r="AH511" i="2"/>
  <c r="AI511" i="2"/>
  <c r="AJ511" i="2"/>
  <c r="AD511" i="2"/>
  <c r="AF512" i="2"/>
  <c r="AG512" i="2"/>
  <c r="AH512" i="2"/>
  <c r="AI512" i="2"/>
  <c r="AJ512" i="2"/>
  <c r="AD512" i="2"/>
  <c r="AF513" i="2"/>
  <c r="AG513" i="2"/>
  <c r="AH513" i="2"/>
  <c r="AI513" i="2"/>
  <c r="AJ513" i="2"/>
  <c r="AD513" i="2"/>
  <c r="AF514" i="2"/>
  <c r="AG514" i="2"/>
  <c r="AH514" i="2"/>
  <c r="AI514" i="2"/>
  <c r="AJ514" i="2"/>
  <c r="AD514" i="2"/>
  <c r="AF515" i="2"/>
  <c r="AG515" i="2"/>
  <c r="AH515" i="2"/>
  <c r="AI515" i="2"/>
  <c r="AJ515" i="2"/>
  <c r="AD515" i="2"/>
  <c r="AF516" i="2"/>
  <c r="AG516" i="2"/>
  <c r="AH516" i="2"/>
  <c r="AI516" i="2"/>
  <c r="AJ516" i="2"/>
  <c r="AD516" i="2"/>
  <c r="AF517" i="2"/>
  <c r="AG517" i="2"/>
  <c r="AH517" i="2"/>
  <c r="AI517" i="2"/>
  <c r="AJ517" i="2"/>
  <c r="AD517" i="2"/>
  <c r="AF518" i="2"/>
  <c r="AG518" i="2"/>
  <c r="AH518" i="2"/>
  <c r="AI518" i="2"/>
  <c r="AJ518" i="2"/>
  <c r="AD518" i="2"/>
  <c r="AF519" i="2"/>
  <c r="AG519" i="2"/>
  <c r="AH519" i="2"/>
  <c r="AI519" i="2"/>
  <c r="AJ519" i="2"/>
  <c r="AD519" i="2"/>
  <c r="AF520" i="2"/>
  <c r="AG520" i="2"/>
  <c r="AH520" i="2"/>
  <c r="AI520" i="2"/>
  <c r="AJ520" i="2"/>
  <c r="AD520" i="2"/>
  <c r="AF521" i="2"/>
  <c r="AG521" i="2"/>
  <c r="AH521" i="2"/>
  <c r="AI521" i="2"/>
  <c r="AJ521" i="2"/>
  <c r="AD521" i="2"/>
  <c r="AF522" i="2"/>
  <c r="AG522" i="2"/>
  <c r="AH522" i="2"/>
  <c r="AI522" i="2"/>
  <c r="AJ522" i="2"/>
  <c r="AD522" i="2"/>
  <c r="AF523" i="2"/>
  <c r="AG523" i="2"/>
  <c r="AH523" i="2"/>
  <c r="AI523" i="2"/>
  <c r="AJ523" i="2"/>
  <c r="AD523" i="2"/>
  <c r="AF524" i="2"/>
  <c r="AG524" i="2"/>
  <c r="AH524" i="2"/>
  <c r="AI524" i="2"/>
  <c r="AJ524" i="2"/>
  <c r="AD524" i="2"/>
  <c r="AF525" i="2"/>
  <c r="AG525" i="2"/>
  <c r="AH525" i="2"/>
  <c r="AI525" i="2"/>
  <c r="AJ525" i="2"/>
  <c r="AD525" i="2"/>
  <c r="AF526" i="2"/>
  <c r="AG526" i="2"/>
  <c r="AH526" i="2"/>
  <c r="AI526" i="2"/>
  <c r="AJ526" i="2"/>
  <c r="AD526" i="2"/>
  <c r="AF527" i="2"/>
  <c r="AG527" i="2"/>
  <c r="AH527" i="2"/>
  <c r="AI527" i="2"/>
  <c r="AJ527" i="2"/>
  <c r="AD527" i="2"/>
  <c r="AF528" i="2"/>
  <c r="AG528" i="2"/>
  <c r="AH528" i="2"/>
  <c r="AI528" i="2"/>
  <c r="AJ528" i="2"/>
  <c r="AD528" i="2"/>
  <c r="AF529" i="2"/>
  <c r="AG529" i="2"/>
  <c r="AH529" i="2"/>
  <c r="AI529" i="2"/>
  <c r="AJ529" i="2"/>
  <c r="AD529" i="2"/>
  <c r="AF530" i="2"/>
  <c r="AG530" i="2"/>
  <c r="AH530" i="2"/>
  <c r="AI530" i="2"/>
  <c r="AJ530" i="2"/>
  <c r="AD530" i="2"/>
  <c r="AF531" i="2"/>
  <c r="AG531" i="2"/>
  <c r="AH531" i="2"/>
  <c r="AI531" i="2"/>
  <c r="AJ531" i="2"/>
  <c r="AD531" i="2"/>
  <c r="AF532" i="2"/>
  <c r="AG532" i="2"/>
  <c r="AH532" i="2"/>
  <c r="AI532" i="2"/>
  <c r="AJ532" i="2"/>
  <c r="AD532" i="2"/>
  <c r="AF533" i="2"/>
  <c r="AG533" i="2"/>
  <c r="AH533" i="2"/>
  <c r="AI533" i="2"/>
  <c r="AJ533" i="2"/>
  <c r="AD533" i="2"/>
  <c r="AF534" i="2"/>
  <c r="AG534" i="2"/>
  <c r="AH534" i="2"/>
  <c r="AI534" i="2"/>
  <c r="AJ534" i="2"/>
  <c r="AD534" i="2"/>
  <c r="AF535" i="2"/>
  <c r="AG535" i="2"/>
  <c r="AH535" i="2"/>
  <c r="AI535" i="2"/>
  <c r="AJ535" i="2"/>
  <c r="AD535" i="2"/>
  <c r="AF536" i="2"/>
  <c r="AG536" i="2"/>
  <c r="AH536" i="2"/>
  <c r="AI536" i="2"/>
  <c r="AJ536" i="2"/>
  <c r="AD536" i="2"/>
  <c r="AF537" i="2"/>
  <c r="AG537" i="2"/>
  <c r="AH537" i="2"/>
  <c r="AI537" i="2"/>
  <c r="AJ537" i="2"/>
  <c r="AD537" i="2"/>
  <c r="AF538" i="2"/>
  <c r="AG538" i="2"/>
  <c r="AH538" i="2"/>
  <c r="AI538" i="2"/>
  <c r="AJ538" i="2"/>
  <c r="AD538" i="2"/>
  <c r="AF539" i="2"/>
  <c r="AG539" i="2"/>
  <c r="AH539" i="2"/>
  <c r="AI539" i="2"/>
  <c r="AJ539" i="2"/>
  <c r="AD539" i="2"/>
  <c r="AF540" i="2"/>
  <c r="AG540" i="2"/>
  <c r="AH540" i="2"/>
  <c r="AI540" i="2"/>
  <c r="AJ540" i="2"/>
  <c r="AD540" i="2"/>
  <c r="AF541" i="2"/>
  <c r="AG541" i="2"/>
  <c r="AH541" i="2"/>
  <c r="AI541" i="2"/>
  <c r="AJ541" i="2"/>
  <c r="AD541" i="2"/>
  <c r="AF542" i="2"/>
  <c r="AG542" i="2"/>
  <c r="AH542" i="2"/>
  <c r="AI542" i="2"/>
  <c r="AJ542" i="2"/>
  <c r="AD542" i="2"/>
  <c r="AF543" i="2"/>
  <c r="AG543" i="2"/>
  <c r="AH543" i="2"/>
  <c r="AI543" i="2"/>
  <c r="AJ543" i="2"/>
  <c r="AD543" i="2"/>
  <c r="AF544" i="2"/>
  <c r="AG544" i="2"/>
  <c r="AH544" i="2"/>
  <c r="AI544" i="2"/>
  <c r="AJ544" i="2"/>
  <c r="AD544" i="2"/>
  <c r="AF545" i="2"/>
  <c r="AG545" i="2"/>
  <c r="AH545" i="2"/>
  <c r="AI545" i="2"/>
  <c r="AJ545" i="2"/>
  <c r="AD545" i="2"/>
  <c r="AF546" i="2"/>
  <c r="AG546" i="2"/>
  <c r="AH546" i="2"/>
  <c r="AI546" i="2"/>
  <c r="AJ546" i="2"/>
  <c r="AD546" i="2"/>
  <c r="AF547" i="2"/>
  <c r="AG547" i="2"/>
  <c r="AH547" i="2"/>
  <c r="AI547" i="2"/>
  <c r="AJ547" i="2"/>
  <c r="AD547" i="2"/>
  <c r="AF548" i="2"/>
  <c r="AG548" i="2"/>
  <c r="AH548" i="2"/>
  <c r="AI548" i="2"/>
  <c r="AJ548" i="2"/>
  <c r="AD548" i="2"/>
  <c r="AF549" i="2"/>
  <c r="AG549" i="2"/>
  <c r="AH549" i="2"/>
  <c r="AI549" i="2"/>
  <c r="AJ549" i="2"/>
  <c r="AD549" i="2"/>
  <c r="AF550" i="2"/>
  <c r="AG550" i="2"/>
  <c r="AH550" i="2"/>
  <c r="AI550" i="2"/>
  <c r="AJ550" i="2"/>
  <c r="AD550" i="2"/>
  <c r="AF551" i="2"/>
  <c r="AG551" i="2"/>
  <c r="AH551" i="2"/>
  <c r="AI551" i="2"/>
  <c r="AJ551" i="2"/>
  <c r="AD551" i="2"/>
  <c r="AF552" i="2"/>
  <c r="AG552" i="2"/>
  <c r="AH552" i="2"/>
  <c r="AI552" i="2"/>
  <c r="AJ552" i="2"/>
  <c r="AD552" i="2"/>
  <c r="AF553" i="2"/>
  <c r="AG553" i="2"/>
  <c r="AH553" i="2"/>
  <c r="AI553" i="2"/>
  <c r="AJ553" i="2"/>
  <c r="AD553" i="2"/>
  <c r="AF554" i="2"/>
  <c r="AG554" i="2"/>
  <c r="AH554" i="2"/>
  <c r="AI554" i="2"/>
  <c r="AJ554" i="2"/>
  <c r="AD554" i="2"/>
  <c r="AF555" i="2"/>
  <c r="AG555" i="2"/>
  <c r="AH555" i="2"/>
  <c r="AI555" i="2"/>
  <c r="AJ555" i="2"/>
  <c r="AD555" i="2"/>
  <c r="AF556" i="2"/>
  <c r="AG556" i="2"/>
  <c r="AH556" i="2"/>
  <c r="AI556" i="2"/>
  <c r="AJ556" i="2"/>
  <c r="AD556" i="2"/>
  <c r="AF557" i="2"/>
  <c r="AG557" i="2"/>
  <c r="AH557" i="2"/>
  <c r="AI557" i="2"/>
  <c r="AJ557" i="2"/>
  <c r="AD557" i="2"/>
  <c r="AF558" i="2"/>
  <c r="AG558" i="2"/>
  <c r="AH558" i="2"/>
  <c r="AI558" i="2"/>
  <c r="AJ558" i="2"/>
  <c r="AD558" i="2"/>
  <c r="AF559" i="2"/>
  <c r="AG559" i="2"/>
  <c r="AH559" i="2"/>
  <c r="AI559" i="2"/>
  <c r="AJ559" i="2"/>
  <c r="AD559" i="2"/>
  <c r="AF560" i="2"/>
  <c r="AG560" i="2"/>
  <c r="AH560" i="2"/>
  <c r="AI560" i="2"/>
  <c r="AJ560" i="2"/>
  <c r="AD560" i="2"/>
  <c r="AF561" i="2"/>
  <c r="AG561" i="2"/>
  <c r="AH561" i="2"/>
  <c r="AI561" i="2"/>
  <c r="AJ561" i="2"/>
  <c r="AD561" i="2"/>
  <c r="AF562" i="2"/>
  <c r="AG562" i="2"/>
  <c r="AH562" i="2"/>
  <c r="AI562" i="2"/>
  <c r="AJ562" i="2"/>
  <c r="AD562" i="2"/>
  <c r="AF563" i="2"/>
  <c r="AG563" i="2"/>
  <c r="AH563" i="2"/>
  <c r="AI563" i="2"/>
  <c r="AJ563" i="2"/>
  <c r="AD563" i="2"/>
  <c r="AF564" i="2"/>
  <c r="AG564" i="2"/>
  <c r="AH564" i="2"/>
  <c r="AI564" i="2"/>
  <c r="AJ564" i="2"/>
  <c r="AD564" i="2"/>
  <c r="AF565" i="2"/>
  <c r="AG565" i="2"/>
  <c r="AH565" i="2"/>
  <c r="AI565" i="2"/>
  <c r="AJ565" i="2"/>
  <c r="AD565" i="2"/>
  <c r="AF566" i="2"/>
  <c r="AG566" i="2"/>
  <c r="AH566" i="2"/>
  <c r="AI566" i="2"/>
  <c r="AJ566" i="2"/>
  <c r="AD566" i="2"/>
  <c r="AF567" i="2"/>
  <c r="AG567" i="2"/>
  <c r="AH567" i="2"/>
  <c r="AI567" i="2"/>
  <c r="AJ567" i="2"/>
  <c r="AD567" i="2"/>
  <c r="AF568" i="2"/>
  <c r="AG568" i="2"/>
  <c r="AH568" i="2"/>
  <c r="AI568" i="2"/>
  <c r="AJ568" i="2"/>
  <c r="AD568" i="2"/>
  <c r="AF569" i="2"/>
  <c r="AG569" i="2"/>
  <c r="AH569" i="2"/>
  <c r="AI569" i="2"/>
  <c r="AJ569" i="2"/>
  <c r="AD569" i="2"/>
  <c r="AF570" i="2"/>
  <c r="AG570" i="2"/>
  <c r="AH570" i="2"/>
  <c r="AI570" i="2"/>
  <c r="AJ570" i="2"/>
  <c r="AD570" i="2"/>
  <c r="AF571" i="2"/>
  <c r="AG571" i="2"/>
  <c r="AH571" i="2"/>
  <c r="AI571" i="2"/>
  <c r="AJ571" i="2"/>
  <c r="AD571" i="2"/>
  <c r="AF572" i="2"/>
  <c r="AG572" i="2"/>
  <c r="AH572" i="2"/>
  <c r="AI572" i="2"/>
  <c r="AJ572" i="2"/>
  <c r="AD572" i="2"/>
  <c r="AF573" i="2"/>
  <c r="AG573" i="2"/>
  <c r="AH573" i="2"/>
  <c r="AI573" i="2"/>
  <c r="AJ573" i="2"/>
  <c r="AD573" i="2"/>
  <c r="AF574" i="2"/>
  <c r="AG574" i="2"/>
  <c r="AH574" i="2"/>
  <c r="AI574" i="2"/>
  <c r="AJ574" i="2"/>
  <c r="AD574" i="2"/>
  <c r="AF575" i="2"/>
  <c r="AG575" i="2"/>
  <c r="AH575" i="2"/>
  <c r="AI575" i="2"/>
  <c r="AJ575" i="2"/>
  <c r="AD575" i="2"/>
  <c r="AF576" i="2"/>
  <c r="AG576" i="2"/>
  <c r="AH576" i="2"/>
  <c r="AI576" i="2"/>
  <c r="AJ576" i="2"/>
  <c r="AD576" i="2"/>
  <c r="AF577" i="2"/>
  <c r="AG577" i="2"/>
  <c r="AH577" i="2"/>
  <c r="AI577" i="2"/>
  <c r="AJ577" i="2"/>
  <c r="AD577" i="2"/>
  <c r="AF578" i="2"/>
  <c r="AG578" i="2"/>
  <c r="AH578" i="2"/>
  <c r="AI578" i="2"/>
  <c r="AJ578" i="2"/>
  <c r="AD578" i="2"/>
  <c r="AF579" i="2"/>
  <c r="AG579" i="2"/>
  <c r="AH579" i="2"/>
  <c r="AI579" i="2"/>
  <c r="AJ579" i="2"/>
  <c r="AD579" i="2"/>
  <c r="AF580" i="2"/>
  <c r="AG580" i="2"/>
  <c r="AH580" i="2"/>
  <c r="AI580" i="2"/>
  <c r="AJ580" i="2"/>
  <c r="AD580" i="2"/>
  <c r="AF581" i="2"/>
  <c r="AG581" i="2"/>
  <c r="AH581" i="2"/>
  <c r="AI581" i="2"/>
  <c r="AJ581" i="2"/>
  <c r="AD581" i="2"/>
  <c r="AF582" i="2"/>
  <c r="AG582" i="2"/>
  <c r="AH582" i="2"/>
  <c r="AI582" i="2"/>
  <c r="AJ582" i="2"/>
  <c r="AD582" i="2"/>
  <c r="AF583" i="2"/>
  <c r="AG583" i="2"/>
  <c r="AH583" i="2"/>
  <c r="AI583" i="2"/>
  <c r="AJ583" i="2"/>
  <c r="AD583" i="2"/>
  <c r="AF584" i="2"/>
  <c r="AG584" i="2"/>
  <c r="AH584" i="2"/>
  <c r="AI584" i="2"/>
  <c r="AJ584" i="2"/>
  <c r="AD584" i="2"/>
  <c r="AF585" i="2"/>
  <c r="AG585" i="2"/>
  <c r="AH585" i="2"/>
  <c r="AI585" i="2"/>
  <c r="AJ585" i="2"/>
  <c r="AD585" i="2"/>
  <c r="AF586" i="2"/>
  <c r="AG586" i="2"/>
  <c r="AH586" i="2"/>
  <c r="AI586" i="2"/>
  <c r="AJ586" i="2"/>
  <c r="AD586" i="2"/>
  <c r="AF587" i="2"/>
  <c r="AG587" i="2"/>
  <c r="AH587" i="2"/>
  <c r="AI587" i="2"/>
  <c r="AJ587" i="2"/>
  <c r="AD587" i="2"/>
  <c r="AF588" i="2"/>
  <c r="AG588" i="2"/>
  <c r="AH588" i="2"/>
  <c r="AI588" i="2"/>
  <c r="AJ588" i="2"/>
  <c r="AD588" i="2"/>
  <c r="AF589" i="2"/>
  <c r="AG589" i="2"/>
  <c r="AH589" i="2"/>
  <c r="AI589" i="2"/>
  <c r="AJ589" i="2"/>
  <c r="AD589" i="2"/>
  <c r="AF590" i="2"/>
  <c r="AG590" i="2"/>
  <c r="AH590" i="2"/>
  <c r="AI590" i="2"/>
  <c r="AJ590" i="2"/>
  <c r="AD590" i="2"/>
  <c r="AF591" i="2"/>
  <c r="AG591" i="2"/>
  <c r="AH591" i="2"/>
  <c r="AI591" i="2"/>
  <c r="AJ591" i="2"/>
  <c r="AD591" i="2"/>
  <c r="AF592" i="2"/>
  <c r="AG592" i="2"/>
  <c r="AH592" i="2"/>
  <c r="AI592" i="2"/>
  <c r="AJ592" i="2"/>
  <c r="AD592" i="2"/>
  <c r="AF593" i="2"/>
  <c r="AG593" i="2"/>
  <c r="AH593" i="2"/>
  <c r="AI593" i="2"/>
  <c r="AJ593" i="2"/>
  <c r="AD593" i="2"/>
  <c r="AF594" i="2"/>
  <c r="AG594" i="2"/>
  <c r="AH594" i="2"/>
  <c r="AI594" i="2"/>
  <c r="AJ594" i="2"/>
  <c r="AD594" i="2"/>
  <c r="AF595" i="2"/>
  <c r="AG595" i="2"/>
  <c r="AH595" i="2"/>
  <c r="AI595" i="2"/>
  <c r="AJ595" i="2"/>
  <c r="AD595" i="2"/>
  <c r="AF596" i="2"/>
  <c r="AG596" i="2"/>
  <c r="AH596" i="2"/>
  <c r="AI596" i="2"/>
  <c r="AJ596" i="2"/>
  <c r="AD596" i="2"/>
  <c r="AF597" i="2"/>
  <c r="AG597" i="2"/>
  <c r="AH597" i="2"/>
  <c r="AI597" i="2"/>
  <c r="AJ597" i="2"/>
  <c r="AD597" i="2"/>
  <c r="AF598" i="2"/>
  <c r="AG598" i="2"/>
  <c r="AH598" i="2"/>
  <c r="AI598" i="2"/>
  <c r="AJ598" i="2"/>
  <c r="AD598" i="2"/>
  <c r="AF599" i="2"/>
  <c r="AG599" i="2"/>
  <c r="AH599" i="2"/>
  <c r="AI599" i="2"/>
  <c r="AJ599" i="2"/>
  <c r="AD599" i="2"/>
  <c r="AF600" i="2"/>
  <c r="AG600" i="2"/>
  <c r="AH600" i="2"/>
  <c r="AI600" i="2"/>
  <c r="AJ600" i="2"/>
  <c r="AD600" i="2"/>
  <c r="AF601" i="2"/>
  <c r="AG601" i="2"/>
  <c r="AH601" i="2"/>
  <c r="AI601" i="2"/>
  <c r="AJ601" i="2"/>
  <c r="AD601" i="2"/>
  <c r="AF602" i="2"/>
  <c r="AG602" i="2"/>
  <c r="AH602" i="2"/>
  <c r="AI602" i="2"/>
  <c r="AJ602" i="2"/>
  <c r="AD602" i="2"/>
  <c r="AF603" i="2"/>
  <c r="AG603" i="2"/>
  <c r="AH603" i="2"/>
  <c r="AI603" i="2"/>
  <c r="AJ603" i="2"/>
  <c r="AD603" i="2"/>
  <c r="AF604" i="2"/>
  <c r="AG604" i="2"/>
  <c r="AH604" i="2"/>
  <c r="AI604" i="2"/>
  <c r="AJ604" i="2"/>
  <c r="AD604" i="2"/>
  <c r="AF605" i="2"/>
  <c r="AG605" i="2"/>
  <c r="AH605" i="2"/>
  <c r="AI605" i="2"/>
  <c r="AJ605" i="2"/>
  <c r="AD605" i="2"/>
  <c r="AF606" i="2"/>
  <c r="AG606" i="2"/>
  <c r="AH606" i="2"/>
  <c r="AI606" i="2"/>
  <c r="AJ606" i="2"/>
  <c r="AD606" i="2"/>
  <c r="AF607" i="2"/>
  <c r="AG607" i="2"/>
  <c r="AH607" i="2"/>
  <c r="AI607" i="2"/>
  <c r="AJ607" i="2"/>
  <c r="AD607" i="2"/>
  <c r="AF608" i="2"/>
  <c r="AG608" i="2"/>
  <c r="AH608" i="2"/>
  <c r="AI608" i="2"/>
  <c r="AJ608" i="2"/>
  <c r="AD608" i="2"/>
  <c r="AF609" i="2"/>
  <c r="AG609" i="2"/>
  <c r="AH609" i="2"/>
  <c r="AI609" i="2"/>
  <c r="AJ609" i="2"/>
  <c r="AD609" i="2"/>
  <c r="AF610" i="2"/>
  <c r="AG610" i="2"/>
  <c r="AH610" i="2"/>
  <c r="AI610" i="2"/>
  <c r="AJ610" i="2"/>
  <c r="AD610" i="2"/>
  <c r="AF611" i="2"/>
  <c r="AG611" i="2"/>
  <c r="AH611" i="2"/>
  <c r="AI611" i="2"/>
  <c r="AJ611" i="2"/>
  <c r="AD611" i="2"/>
  <c r="AF612" i="2"/>
  <c r="AG612" i="2"/>
  <c r="AH612" i="2"/>
  <c r="AI612" i="2"/>
  <c r="AJ612" i="2"/>
  <c r="AD612" i="2"/>
  <c r="AF613" i="2"/>
  <c r="AG613" i="2"/>
  <c r="AH613" i="2"/>
  <c r="AI613" i="2"/>
  <c r="AJ613" i="2"/>
  <c r="AD613" i="2"/>
  <c r="AF614" i="2"/>
  <c r="AG614" i="2"/>
  <c r="AH614" i="2"/>
  <c r="AI614" i="2"/>
  <c r="AJ614" i="2"/>
  <c r="AD614" i="2"/>
  <c r="AF615" i="2"/>
  <c r="AG615" i="2"/>
  <c r="AH615" i="2"/>
  <c r="AI615" i="2"/>
  <c r="AJ615" i="2"/>
  <c r="AD615" i="2"/>
  <c r="AF616" i="2"/>
  <c r="AG616" i="2"/>
  <c r="AH616" i="2"/>
  <c r="AI616" i="2"/>
  <c r="AJ616" i="2"/>
  <c r="AD616" i="2"/>
  <c r="AF617" i="2"/>
  <c r="AG617" i="2"/>
  <c r="AH617" i="2"/>
  <c r="AI617" i="2"/>
  <c r="AJ617" i="2"/>
  <c r="AD617" i="2"/>
  <c r="AF618" i="2"/>
  <c r="AG618" i="2"/>
  <c r="AH618" i="2"/>
  <c r="AI618" i="2"/>
  <c r="AJ618" i="2"/>
  <c r="AD618" i="2"/>
  <c r="AF619" i="2"/>
  <c r="AG619" i="2"/>
  <c r="AH619" i="2"/>
  <c r="AI619" i="2"/>
  <c r="AJ619" i="2"/>
  <c r="AD619" i="2"/>
  <c r="AF620" i="2"/>
  <c r="AG620" i="2"/>
  <c r="AH620" i="2"/>
  <c r="AI620" i="2"/>
  <c r="AJ620" i="2"/>
  <c r="AD620" i="2"/>
  <c r="AF621" i="2"/>
  <c r="AG621" i="2"/>
  <c r="AH621" i="2"/>
  <c r="AI621" i="2"/>
  <c r="AJ621" i="2"/>
  <c r="AD621" i="2"/>
  <c r="AF622" i="2"/>
  <c r="AG622" i="2"/>
  <c r="AH622" i="2"/>
  <c r="AI622" i="2"/>
  <c r="AJ622" i="2"/>
  <c r="AD622" i="2"/>
  <c r="AF623" i="2"/>
  <c r="AG623" i="2"/>
  <c r="AH623" i="2"/>
  <c r="AI623" i="2"/>
  <c r="AJ623" i="2"/>
  <c r="AD623" i="2"/>
  <c r="AF624" i="2"/>
  <c r="AG624" i="2"/>
  <c r="AH624" i="2"/>
  <c r="AI624" i="2"/>
  <c r="AJ624" i="2"/>
  <c r="AD624" i="2"/>
  <c r="AF625" i="2"/>
  <c r="AG625" i="2"/>
  <c r="AH625" i="2"/>
  <c r="AI625" i="2"/>
  <c r="AJ625" i="2"/>
  <c r="AD625" i="2"/>
  <c r="AF626" i="2"/>
  <c r="AG626" i="2"/>
  <c r="AH626" i="2"/>
  <c r="AI626" i="2"/>
  <c r="AJ626" i="2"/>
  <c r="AD626" i="2"/>
  <c r="AF627" i="2"/>
  <c r="AG627" i="2"/>
  <c r="AH627" i="2"/>
  <c r="AI627" i="2"/>
  <c r="AJ627" i="2"/>
  <c r="AD627" i="2"/>
  <c r="AF628" i="2"/>
  <c r="AG628" i="2"/>
  <c r="AH628" i="2"/>
  <c r="AI628" i="2"/>
  <c r="AJ628" i="2"/>
  <c r="AD628" i="2"/>
  <c r="AF629" i="2"/>
  <c r="AG629" i="2"/>
  <c r="AH629" i="2"/>
  <c r="AI629" i="2"/>
  <c r="AJ629" i="2"/>
  <c r="AD629" i="2"/>
  <c r="AF630" i="2"/>
  <c r="AG630" i="2"/>
  <c r="AH630" i="2"/>
  <c r="AI630" i="2"/>
  <c r="AJ630" i="2"/>
  <c r="AD630" i="2"/>
  <c r="AF631" i="2"/>
  <c r="AG631" i="2"/>
  <c r="AH631" i="2"/>
  <c r="AI631" i="2"/>
  <c r="AJ631" i="2"/>
  <c r="AD631" i="2"/>
  <c r="AF632" i="2"/>
  <c r="AG632" i="2"/>
  <c r="AH632" i="2"/>
  <c r="AI632" i="2"/>
  <c r="AJ632" i="2"/>
  <c r="AD632" i="2"/>
  <c r="AF633" i="2"/>
  <c r="AG633" i="2"/>
  <c r="AH633" i="2"/>
  <c r="AI633" i="2"/>
  <c r="AJ633" i="2"/>
  <c r="AD633" i="2"/>
  <c r="AF634" i="2"/>
  <c r="AG634" i="2"/>
  <c r="AH634" i="2"/>
  <c r="AI634" i="2"/>
  <c r="AJ634" i="2"/>
  <c r="AD634" i="2"/>
  <c r="AF635" i="2"/>
  <c r="AG635" i="2"/>
  <c r="AH635" i="2"/>
  <c r="AI635" i="2"/>
  <c r="AJ635" i="2"/>
  <c r="AD635" i="2"/>
  <c r="AF636" i="2"/>
  <c r="AG636" i="2"/>
  <c r="AH636" i="2"/>
  <c r="AI636" i="2"/>
  <c r="AJ636" i="2"/>
  <c r="AD636" i="2"/>
  <c r="AF637" i="2"/>
  <c r="AG637" i="2"/>
  <c r="AH637" i="2"/>
  <c r="AI637" i="2"/>
  <c r="AJ637" i="2"/>
  <c r="AD637" i="2"/>
  <c r="AF638" i="2"/>
  <c r="AG638" i="2"/>
  <c r="AH638" i="2"/>
  <c r="AI638" i="2"/>
  <c r="AJ638" i="2"/>
  <c r="AD638" i="2"/>
  <c r="AF639" i="2"/>
  <c r="AG639" i="2"/>
  <c r="AH639" i="2"/>
  <c r="AI639" i="2"/>
  <c r="AJ639" i="2"/>
  <c r="AD639" i="2"/>
  <c r="AF640" i="2"/>
  <c r="AG640" i="2"/>
  <c r="AH640" i="2"/>
  <c r="AI640" i="2"/>
  <c r="AJ640" i="2"/>
  <c r="AD640" i="2"/>
  <c r="AF641" i="2"/>
  <c r="AG641" i="2"/>
  <c r="AH641" i="2"/>
  <c r="AI641" i="2"/>
  <c r="AJ641" i="2"/>
  <c r="AD641" i="2"/>
  <c r="AF642" i="2"/>
  <c r="AG642" i="2"/>
  <c r="AH642" i="2"/>
  <c r="AI642" i="2"/>
  <c r="AJ642" i="2"/>
  <c r="AD642" i="2"/>
  <c r="AF643" i="2"/>
  <c r="AG643" i="2"/>
  <c r="AH643" i="2"/>
  <c r="AI643" i="2"/>
  <c r="AJ643" i="2"/>
  <c r="AD643" i="2"/>
  <c r="AF644" i="2"/>
  <c r="AG644" i="2"/>
  <c r="AH644" i="2"/>
  <c r="AI644" i="2"/>
  <c r="AJ644" i="2"/>
  <c r="AD644" i="2"/>
  <c r="AF645" i="2"/>
  <c r="AG645" i="2"/>
  <c r="AH645" i="2"/>
  <c r="AI645" i="2"/>
  <c r="AJ645" i="2"/>
  <c r="AD645" i="2"/>
  <c r="AF646" i="2"/>
  <c r="AG646" i="2"/>
  <c r="AH646" i="2"/>
  <c r="AI646" i="2"/>
  <c r="AJ646" i="2"/>
  <c r="AD646" i="2"/>
  <c r="AF647" i="2"/>
  <c r="AG647" i="2"/>
  <c r="AH647" i="2"/>
  <c r="AI647" i="2"/>
  <c r="AJ647" i="2"/>
  <c r="AD647" i="2"/>
  <c r="AF648" i="2"/>
  <c r="AG648" i="2"/>
  <c r="AH648" i="2"/>
  <c r="AI648" i="2"/>
  <c r="AJ648" i="2"/>
  <c r="AD648" i="2"/>
  <c r="AF649" i="2"/>
  <c r="AG649" i="2"/>
  <c r="AH649" i="2"/>
  <c r="AI649" i="2"/>
  <c r="AJ649" i="2"/>
  <c r="AD649" i="2"/>
  <c r="AF650" i="2"/>
  <c r="AG650" i="2"/>
  <c r="AH650" i="2"/>
  <c r="AI650" i="2"/>
  <c r="AJ650" i="2"/>
  <c r="AD650" i="2"/>
  <c r="AF651" i="2"/>
  <c r="AG651" i="2"/>
  <c r="AH651" i="2"/>
  <c r="AI651" i="2"/>
  <c r="AJ651" i="2"/>
  <c r="AD651" i="2"/>
  <c r="AF652" i="2"/>
  <c r="AG652" i="2"/>
  <c r="AH652" i="2"/>
  <c r="AI652" i="2"/>
  <c r="AJ652" i="2"/>
  <c r="AD652" i="2"/>
  <c r="AF653" i="2"/>
  <c r="AG653" i="2"/>
  <c r="AH653" i="2"/>
  <c r="AI653" i="2"/>
  <c r="AJ653" i="2"/>
  <c r="AD653" i="2"/>
  <c r="AF654" i="2"/>
  <c r="AG654" i="2"/>
  <c r="AH654" i="2"/>
  <c r="AI654" i="2"/>
  <c r="AJ654" i="2"/>
  <c r="AD654" i="2"/>
  <c r="AF655" i="2"/>
  <c r="AG655" i="2"/>
  <c r="AH655" i="2"/>
  <c r="AI655" i="2"/>
  <c r="AJ655" i="2"/>
  <c r="AD655" i="2"/>
  <c r="AF656" i="2"/>
  <c r="AG656" i="2"/>
  <c r="AH656" i="2"/>
  <c r="AI656" i="2"/>
  <c r="AJ656" i="2"/>
  <c r="AD656" i="2"/>
  <c r="AF657" i="2"/>
  <c r="AG657" i="2"/>
  <c r="AH657" i="2"/>
  <c r="AI657" i="2"/>
  <c r="AJ657" i="2"/>
  <c r="AD657" i="2"/>
  <c r="AF658" i="2"/>
  <c r="AG658" i="2"/>
  <c r="AH658" i="2"/>
  <c r="AI658" i="2"/>
  <c r="AJ658" i="2"/>
  <c r="AD658" i="2"/>
  <c r="AF659" i="2"/>
  <c r="AG659" i="2"/>
  <c r="AH659" i="2"/>
  <c r="AI659" i="2"/>
  <c r="AJ659" i="2"/>
  <c r="AD659" i="2"/>
  <c r="AF660" i="2"/>
  <c r="AG660" i="2"/>
  <c r="AH660" i="2"/>
  <c r="AI660" i="2"/>
  <c r="AJ660" i="2"/>
  <c r="AD660" i="2"/>
  <c r="AF661" i="2"/>
  <c r="AG661" i="2"/>
  <c r="AH661" i="2"/>
  <c r="AI661" i="2"/>
  <c r="AJ661" i="2"/>
  <c r="AD661" i="2"/>
  <c r="AF662" i="2"/>
  <c r="AG662" i="2"/>
  <c r="AH662" i="2"/>
  <c r="AI662" i="2"/>
  <c r="AJ662" i="2"/>
  <c r="AD662" i="2"/>
  <c r="AF663" i="2"/>
  <c r="AG663" i="2"/>
  <c r="AH663" i="2"/>
  <c r="AI663" i="2"/>
  <c r="AJ663" i="2"/>
  <c r="AD663" i="2"/>
  <c r="AF664" i="2"/>
  <c r="AG664" i="2"/>
  <c r="AH664" i="2"/>
  <c r="AI664" i="2"/>
  <c r="AJ664" i="2"/>
  <c r="AD664" i="2"/>
  <c r="AF665" i="2"/>
  <c r="AG665" i="2"/>
  <c r="AH665" i="2"/>
  <c r="AI665" i="2"/>
  <c r="AJ665" i="2"/>
  <c r="AD665" i="2"/>
  <c r="AF666" i="2"/>
  <c r="AG666" i="2"/>
  <c r="AH666" i="2"/>
  <c r="AI666" i="2"/>
  <c r="AJ666" i="2"/>
  <c r="AD666" i="2"/>
  <c r="AF667" i="2"/>
  <c r="AG667" i="2"/>
  <c r="AH667" i="2"/>
  <c r="AI667" i="2"/>
  <c r="AJ667" i="2"/>
  <c r="AD667" i="2"/>
  <c r="AF668" i="2"/>
  <c r="AG668" i="2"/>
  <c r="AH668" i="2"/>
  <c r="AI668" i="2"/>
  <c r="AJ668" i="2"/>
  <c r="AD668" i="2"/>
  <c r="AF669" i="2"/>
  <c r="AG669" i="2"/>
  <c r="AH669" i="2"/>
  <c r="AI669" i="2"/>
  <c r="AJ669" i="2"/>
  <c r="AD669" i="2"/>
  <c r="AF670" i="2"/>
  <c r="AG670" i="2"/>
  <c r="AH670" i="2"/>
  <c r="AI670" i="2"/>
  <c r="AJ670" i="2"/>
  <c r="AD670" i="2"/>
  <c r="AF671" i="2"/>
  <c r="AG671" i="2"/>
  <c r="AH671" i="2"/>
  <c r="AI671" i="2"/>
  <c r="AJ671" i="2"/>
  <c r="AD671" i="2"/>
  <c r="AF672" i="2"/>
  <c r="AG672" i="2"/>
  <c r="AH672" i="2"/>
  <c r="AI672" i="2"/>
  <c r="AJ672" i="2"/>
  <c r="AD672" i="2"/>
  <c r="AF673" i="2"/>
  <c r="AG673" i="2"/>
  <c r="AH673" i="2"/>
  <c r="AI673" i="2"/>
  <c r="AJ673" i="2"/>
  <c r="AD673" i="2"/>
  <c r="AF674" i="2"/>
  <c r="AG674" i="2"/>
  <c r="AH674" i="2"/>
  <c r="AI674" i="2"/>
  <c r="AJ674" i="2"/>
  <c r="AD674" i="2"/>
  <c r="AF675" i="2"/>
  <c r="AG675" i="2"/>
  <c r="AH675" i="2"/>
  <c r="AI675" i="2"/>
  <c r="AJ675" i="2"/>
  <c r="AD675" i="2"/>
  <c r="AF676" i="2"/>
  <c r="AG676" i="2"/>
  <c r="AH676" i="2"/>
  <c r="AI676" i="2"/>
  <c r="AJ676" i="2"/>
  <c r="AD676" i="2"/>
  <c r="AF677" i="2"/>
  <c r="AG677" i="2"/>
  <c r="AH677" i="2"/>
  <c r="AI677" i="2"/>
  <c r="AJ677" i="2"/>
  <c r="AD677" i="2"/>
  <c r="AF678" i="2"/>
  <c r="AG678" i="2"/>
  <c r="AH678" i="2"/>
  <c r="AI678" i="2"/>
  <c r="AJ678" i="2"/>
  <c r="AD678" i="2"/>
  <c r="AF679" i="2"/>
  <c r="AG679" i="2"/>
  <c r="AH679" i="2"/>
  <c r="AI679" i="2"/>
  <c r="AJ679" i="2"/>
  <c r="AD679" i="2"/>
  <c r="AF680" i="2"/>
  <c r="AG680" i="2"/>
  <c r="AH680" i="2"/>
  <c r="AI680" i="2"/>
  <c r="AJ680" i="2"/>
  <c r="AD680" i="2"/>
  <c r="AF681" i="2"/>
  <c r="AG681" i="2"/>
  <c r="AH681" i="2"/>
  <c r="AI681" i="2"/>
  <c r="AJ681" i="2"/>
  <c r="AD681" i="2"/>
  <c r="AF682" i="2"/>
  <c r="AG682" i="2"/>
  <c r="AH682" i="2"/>
  <c r="AI682" i="2"/>
  <c r="AJ682" i="2"/>
  <c r="AD682" i="2"/>
  <c r="AF683" i="2"/>
  <c r="AG683" i="2"/>
  <c r="AH683" i="2"/>
  <c r="AI683" i="2"/>
  <c r="AJ683" i="2"/>
  <c r="AD683" i="2"/>
  <c r="AF684" i="2"/>
  <c r="AG684" i="2"/>
  <c r="AH684" i="2"/>
  <c r="AI684" i="2"/>
  <c r="AJ684" i="2"/>
  <c r="AD684" i="2"/>
  <c r="AF685" i="2"/>
  <c r="AG685" i="2"/>
  <c r="AH685" i="2"/>
  <c r="AI685" i="2"/>
  <c r="AJ685" i="2"/>
  <c r="AD685" i="2"/>
  <c r="AF686" i="2"/>
  <c r="AG686" i="2"/>
  <c r="AH686" i="2"/>
  <c r="AI686" i="2"/>
  <c r="AJ686" i="2"/>
  <c r="AD686" i="2"/>
  <c r="AF687" i="2"/>
  <c r="AG687" i="2"/>
  <c r="AH687" i="2"/>
  <c r="AI687" i="2"/>
  <c r="AJ687" i="2"/>
  <c r="AD687" i="2"/>
  <c r="AF688" i="2"/>
  <c r="AG688" i="2"/>
  <c r="AH688" i="2"/>
  <c r="AI688" i="2"/>
  <c r="AJ688" i="2"/>
  <c r="AD688" i="2"/>
  <c r="AF689" i="2"/>
  <c r="AG689" i="2"/>
  <c r="AH689" i="2"/>
  <c r="AI689" i="2"/>
  <c r="AJ689" i="2"/>
  <c r="AD689" i="2"/>
  <c r="AF690" i="2"/>
  <c r="AG690" i="2"/>
  <c r="AH690" i="2"/>
  <c r="AI690" i="2"/>
  <c r="AJ690" i="2"/>
  <c r="AD690" i="2"/>
  <c r="AF691" i="2"/>
  <c r="AG691" i="2"/>
  <c r="AH691" i="2"/>
  <c r="AI691" i="2"/>
  <c r="AJ691" i="2"/>
  <c r="AD691" i="2"/>
  <c r="AF692" i="2"/>
  <c r="AG692" i="2"/>
  <c r="AH692" i="2"/>
  <c r="AI692" i="2"/>
  <c r="AJ692" i="2"/>
  <c r="AD692" i="2"/>
  <c r="AF693" i="2"/>
  <c r="AG693" i="2"/>
  <c r="AH693" i="2"/>
  <c r="AI693" i="2"/>
  <c r="AJ693" i="2"/>
  <c r="AD693" i="2"/>
  <c r="AF694" i="2"/>
  <c r="AG694" i="2"/>
  <c r="AH694" i="2"/>
  <c r="AI694" i="2"/>
  <c r="AJ694" i="2"/>
  <c r="AD694" i="2"/>
  <c r="AF695" i="2"/>
  <c r="AG695" i="2"/>
  <c r="AH695" i="2"/>
  <c r="AI695" i="2"/>
  <c r="AJ695" i="2"/>
  <c r="AD695" i="2"/>
  <c r="AF696" i="2"/>
  <c r="AG696" i="2"/>
  <c r="AH696" i="2"/>
  <c r="AI696" i="2"/>
  <c r="AJ696" i="2"/>
  <c r="AD696" i="2"/>
  <c r="AF697" i="2"/>
  <c r="AG697" i="2"/>
  <c r="AH697" i="2"/>
  <c r="AI697" i="2"/>
  <c r="AJ697" i="2"/>
  <c r="AD697" i="2"/>
  <c r="AF698" i="2"/>
  <c r="AG698" i="2"/>
  <c r="AH698" i="2"/>
  <c r="AI698" i="2"/>
  <c r="AJ698" i="2"/>
  <c r="AD698" i="2"/>
  <c r="AF699" i="2"/>
  <c r="AG699" i="2"/>
  <c r="AH699" i="2"/>
  <c r="AI699" i="2"/>
  <c r="AJ699" i="2"/>
  <c r="AD699" i="2"/>
  <c r="AF700" i="2"/>
  <c r="AG700" i="2"/>
  <c r="AH700" i="2"/>
  <c r="AI700" i="2"/>
  <c r="AJ700" i="2"/>
  <c r="AD700" i="2"/>
  <c r="AF701" i="2"/>
  <c r="AG701" i="2"/>
  <c r="AH701" i="2"/>
  <c r="AI701" i="2"/>
  <c r="AJ701" i="2"/>
  <c r="AD701" i="2"/>
  <c r="AF702" i="2"/>
  <c r="AG702" i="2"/>
  <c r="AH702" i="2"/>
  <c r="AI702" i="2"/>
  <c r="AJ702" i="2"/>
  <c r="AD702" i="2"/>
  <c r="AF703" i="2"/>
  <c r="AG703" i="2"/>
  <c r="AH703" i="2"/>
  <c r="AI703" i="2"/>
  <c r="AJ703" i="2"/>
  <c r="AD703" i="2"/>
  <c r="AF704" i="2"/>
  <c r="AG704" i="2"/>
  <c r="AH704" i="2"/>
  <c r="AI704" i="2"/>
  <c r="AJ704" i="2"/>
  <c r="AD704" i="2"/>
  <c r="AF705" i="2"/>
  <c r="AG705" i="2"/>
  <c r="AH705" i="2"/>
  <c r="AI705" i="2"/>
  <c r="AJ705" i="2"/>
  <c r="AD705" i="2"/>
  <c r="AF706" i="2"/>
  <c r="AG706" i="2"/>
  <c r="AH706" i="2"/>
  <c r="AI706" i="2"/>
  <c r="AJ706" i="2"/>
  <c r="AD706" i="2"/>
  <c r="AF707" i="2"/>
  <c r="AG707" i="2"/>
  <c r="AH707" i="2"/>
  <c r="AI707" i="2"/>
  <c r="AJ707" i="2"/>
  <c r="AD707" i="2"/>
  <c r="AF708" i="2"/>
  <c r="AG708" i="2"/>
  <c r="AH708" i="2"/>
  <c r="AI708" i="2"/>
  <c r="AJ708" i="2"/>
  <c r="AD708" i="2"/>
  <c r="AF709" i="2"/>
  <c r="AG709" i="2"/>
  <c r="AH709" i="2"/>
  <c r="AI709" i="2"/>
  <c r="AJ709" i="2"/>
  <c r="AD709" i="2"/>
  <c r="AF710" i="2"/>
  <c r="AG710" i="2"/>
  <c r="AH710" i="2"/>
  <c r="AI710" i="2"/>
  <c r="AJ710" i="2"/>
  <c r="AD710" i="2"/>
  <c r="AF711" i="2"/>
  <c r="AG711" i="2"/>
  <c r="AH711" i="2"/>
  <c r="AI711" i="2"/>
  <c r="AJ711" i="2"/>
  <c r="AD711" i="2"/>
  <c r="AF712" i="2"/>
  <c r="AG712" i="2"/>
  <c r="AH712" i="2"/>
  <c r="AI712" i="2"/>
  <c r="AJ712" i="2"/>
  <c r="AD712" i="2"/>
  <c r="AF713" i="2"/>
  <c r="AG713" i="2"/>
  <c r="AH713" i="2"/>
  <c r="AI713" i="2"/>
  <c r="AJ713" i="2"/>
  <c r="AD713" i="2"/>
  <c r="AF714" i="2"/>
  <c r="AG714" i="2"/>
  <c r="AH714" i="2"/>
  <c r="AI714" i="2"/>
  <c r="AJ714" i="2"/>
  <c r="AD714" i="2"/>
  <c r="AF715" i="2"/>
  <c r="AG715" i="2"/>
  <c r="AH715" i="2"/>
  <c r="AI715" i="2"/>
  <c r="AJ715" i="2"/>
  <c r="AD715" i="2"/>
  <c r="AF716" i="2"/>
  <c r="AG716" i="2"/>
  <c r="AH716" i="2"/>
  <c r="AI716" i="2"/>
  <c r="AJ716" i="2"/>
  <c r="AD716" i="2"/>
  <c r="AF717" i="2"/>
  <c r="AG717" i="2"/>
  <c r="AH717" i="2"/>
  <c r="AI717" i="2"/>
  <c r="AJ717" i="2"/>
  <c r="AD717" i="2"/>
  <c r="AF718" i="2"/>
  <c r="AG718" i="2"/>
  <c r="AH718" i="2"/>
  <c r="AI718" i="2"/>
  <c r="AJ718" i="2"/>
  <c r="AD718" i="2"/>
  <c r="AF719" i="2"/>
  <c r="AG719" i="2"/>
  <c r="AH719" i="2"/>
  <c r="AI719" i="2"/>
  <c r="AJ719" i="2"/>
  <c r="AD719" i="2"/>
  <c r="AF720" i="2"/>
  <c r="AG720" i="2"/>
  <c r="AH720" i="2"/>
  <c r="AI720" i="2"/>
  <c r="AJ720" i="2"/>
  <c r="AD720" i="2"/>
  <c r="AF721" i="2"/>
  <c r="AG721" i="2"/>
  <c r="AH721" i="2"/>
  <c r="AI721" i="2"/>
  <c r="AJ721" i="2"/>
  <c r="AD721" i="2"/>
  <c r="AF722" i="2"/>
  <c r="AG722" i="2"/>
  <c r="AH722" i="2"/>
  <c r="AI722" i="2"/>
  <c r="AJ722" i="2"/>
  <c r="AD722" i="2"/>
  <c r="AF723" i="2"/>
  <c r="AG723" i="2"/>
  <c r="AH723" i="2"/>
  <c r="AI723" i="2"/>
  <c r="AJ723" i="2"/>
  <c r="AD723" i="2"/>
  <c r="AF724" i="2"/>
  <c r="AG724" i="2"/>
  <c r="AH724" i="2"/>
  <c r="AI724" i="2"/>
  <c r="AJ724" i="2"/>
  <c r="AD724" i="2"/>
  <c r="AF725" i="2"/>
  <c r="AG725" i="2"/>
  <c r="AH725" i="2"/>
  <c r="AI725" i="2"/>
  <c r="AJ725" i="2"/>
  <c r="AD725" i="2"/>
  <c r="AF726" i="2"/>
  <c r="AG726" i="2"/>
  <c r="AH726" i="2"/>
  <c r="AI726" i="2"/>
  <c r="AJ726" i="2"/>
  <c r="AD726" i="2"/>
  <c r="AF727" i="2"/>
  <c r="AG727" i="2"/>
  <c r="AH727" i="2"/>
  <c r="AI727" i="2"/>
  <c r="AJ727" i="2"/>
  <c r="AD727" i="2"/>
  <c r="AF728" i="2"/>
  <c r="AG728" i="2"/>
  <c r="AH728" i="2"/>
  <c r="AI728" i="2"/>
  <c r="AJ728" i="2"/>
  <c r="AD728" i="2"/>
  <c r="AF729" i="2"/>
  <c r="AG729" i="2"/>
  <c r="AH729" i="2"/>
  <c r="AI729" i="2"/>
  <c r="AJ729" i="2"/>
  <c r="AD729" i="2"/>
  <c r="AF730" i="2"/>
  <c r="AG730" i="2"/>
  <c r="AH730" i="2"/>
  <c r="AI730" i="2"/>
  <c r="AJ730" i="2"/>
  <c r="AD730" i="2"/>
  <c r="AF731" i="2"/>
  <c r="AG731" i="2"/>
  <c r="AH731" i="2"/>
  <c r="AI731" i="2"/>
  <c r="AJ731" i="2"/>
  <c r="AD731" i="2"/>
  <c r="AF732" i="2"/>
  <c r="AG732" i="2"/>
  <c r="AH732" i="2"/>
  <c r="AI732" i="2"/>
  <c r="AJ732" i="2"/>
  <c r="AD732" i="2"/>
  <c r="AF733" i="2"/>
  <c r="AG733" i="2"/>
  <c r="AH733" i="2"/>
  <c r="AI733" i="2"/>
  <c r="AJ733" i="2"/>
  <c r="AD733" i="2"/>
  <c r="AF734" i="2"/>
  <c r="AG734" i="2"/>
  <c r="AH734" i="2"/>
  <c r="AI734" i="2"/>
  <c r="AJ734" i="2"/>
  <c r="AD734" i="2"/>
  <c r="AF735" i="2"/>
  <c r="AG735" i="2"/>
  <c r="AH735" i="2"/>
  <c r="AI735" i="2"/>
  <c r="AJ735" i="2"/>
  <c r="AD735" i="2"/>
  <c r="AF736" i="2"/>
  <c r="AG736" i="2"/>
  <c r="AH736" i="2"/>
  <c r="AI736" i="2"/>
  <c r="AJ736" i="2"/>
  <c r="AD736" i="2"/>
  <c r="AF737" i="2"/>
  <c r="AG737" i="2"/>
  <c r="AH737" i="2"/>
  <c r="AI737" i="2"/>
  <c r="AJ737" i="2"/>
  <c r="AD737" i="2"/>
  <c r="AF738" i="2"/>
  <c r="AG738" i="2"/>
  <c r="AH738" i="2"/>
  <c r="AI738" i="2"/>
  <c r="AJ738" i="2"/>
  <c r="AD738" i="2"/>
  <c r="AF739" i="2"/>
  <c r="AG739" i="2"/>
  <c r="AH739" i="2"/>
  <c r="AI739" i="2"/>
  <c r="AJ739" i="2"/>
  <c r="AD739" i="2"/>
  <c r="AF740" i="2"/>
  <c r="AG740" i="2"/>
  <c r="AH740" i="2"/>
  <c r="AI740" i="2"/>
  <c r="AJ740" i="2"/>
  <c r="AD740" i="2"/>
  <c r="AF741" i="2"/>
  <c r="AG741" i="2"/>
  <c r="AH741" i="2"/>
  <c r="AI741" i="2"/>
  <c r="AJ741" i="2"/>
  <c r="AD741" i="2"/>
  <c r="AF742" i="2"/>
  <c r="AG742" i="2"/>
  <c r="AH742" i="2"/>
  <c r="AI742" i="2"/>
  <c r="AJ742" i="2"/>
  <c r="AD742" i="2"/>
  <c r="AF743" i="2"/>
  <c r="AG743" i="2"/>
  <c r="AH743" i="2"/>
  <c r="AI743" i="2"/>
  <c r="AJ743" i="2"/>
  <c r="AD743" i="2"/>
  <c r="AF744" i="2"/>
  <c r="AG744" i="2"/>
  <c r="AH744" i="2"/>
  <c r="AI744" i="2"/>
  <c r="AJ744" i="2"/>
  <c r="AD744" i="2"/>
  <c r="AF745" i="2"/>
  <c r="AG745" i="2"/>
  <c r="AH745" i="2"/>
  <c r="AI745" i="2"/>
  <c r="AJ745" i="2"/>
  <c r="AD745" i="2"/>
  <c r="AF746" i="2"/>
  <c r="AG746" i="2"/>
  <c r="AH746" i="2"/>
  <c r="AI746" i="2"/>
  <c r="AJ746" i="2"/>
  <c r="AD746" i="2"/>
  <c r="AF747" i="2"/>
  <c r="AG747" i="2"/>
  <c r="AH747" i="2"/>
  <c r="AI747" i="2"/>
  <c r="AJ747" i="2"/>
  <c r="AD747" i="2"/>
  <c r="AF748" i="2"/>
  <c r="AG748" i="2"/>
  <c r="AH748" i="2"/>
  <c r="AI748" i="2"/>
  <c r="AJ748" i="2"/>
  <c r="AD748" i="2"/>
  <c r="AF749" i="2"/>
  <c r="AG749" i="2"/>
  <c r="AH749" i="2"/>
  <c r="AI749" i="2"/>
  <c r="AJ749" i="2"/>
  <c r="AD749" i="2"/>
  <c r="AF750" i="2"/>
  <c r="AG750" i="2"/>
  <c r="AH750" i="2"/>
  <c r="AI750" i="2"/>
  <c r="AJ750" i="2"/>
  <c r="AD750" i="2"/>
  <c r="AF751" i="2"/>
  <c r="AG751" i="2"/>
  <c r="AH751" i="2"/>
  <c r="AI751" i="2"/>
  <c r="AJ751" i="2"/>
  <c r="AD751" i="2"/>
  <c r="AF752" i="2"/>
  <c r="AG752" i="2"/>
  <c r="AH752" i="2"/>
  <c r="AI752" i="2"/>
  <c r="AJ752" i="2"/>
  <c r="AD752" i="2"/>
  <c r="AF753" i="2"/>
  <c r="AG753" i="2"/>
  <c r="AH753" i="2"/>
  <c r="AI753" i="2"/>
  <c r="AJ753" i="2"/>
  <c r="AD753" i="2"/>
  <c r="AF754" i="2"/>
  <c r="AG754" i="2"/>
  <c r="AH754" i="2"/>
  <c r="AI754" i="2"/>
  <c r="AJ754" i="2"/>
  <c r="AD754" i="2"/>
  <c r="AF755" i="2"/>
  <c r="AG755" i="2"/>
  <c r="AH755" i="2"/>
  <c r="AI755" i="2"/>
  <c r="AJ755" i="2"/>
  <c r="AD755" i="2"/>
  <c r="AF756" i="2"/>
  <c r="AG756" i="2"/>
  <c r="AH756" i="2"/>
  <c r="AI756" i="2"/>
  <c r="AJ756" i="2"/>
  <c r="AD756" i="2"/>
  <c r="AF757" i="2"/>
  <c r="AG757" i="2"/>
  <c r="AH757" i="2"/>
  <c r="AI757" i="2"/>
  <c r="AJ757" i="2"/>
  <c r="AD757" i="2"/>
  <c r="AF758" i="2"/>
  <c r="AG758" i="2"/>
  <c r="AH758" i="2"/>
  <c r="AI758" i="2"/>
  <c r="AJ758" i="2"/>
  <c r="AD758" i="2"/>
  <c r="AF759" i="2"/>
  <c r="AG759" i="2"/>
  <c r="AH759" i="2"/>
  <c r="AI759" i="2"/>
  <c r="AJ759" i="2"/>
  <c r="AD759" i="2"/>
  <c r="AF760" i="2"/>
  <c r="AG760" i="2"/>
  <c r="AH760" i="2"/>
  <c r="AI760" i="2"/>
  <c r="AJ760" i="2"/>
  <c r="AD760" i="2"/>
  <c r="AF761" i="2"/>
  <c r="AG761" i="2"/>
  <c r="AH761" i="2"/>
  <c r="AI761" i="2"/>
  <c r="AJ761" i="2"/>
  <c r="AD761" i="2"/>
  <c r="AF762" i="2"/>
  <c r="AG762" i="2"/>
  <c r="AH762" i="2"/>
  <c r="AI762" i="2"/>
  <c r="AJ762" i="2"/>
  <c r="AD762" i="2"/>
  <c r="AF763" i="2"/>
  <c r="AG763" i="2"/>
  <c r="AH763" i="2"/>
  <c r="AI763" i="2"/>
  <c r="AJ763" i="2"/>
  <c r="AD763" i="2"/>
  <c r="AF764" i="2"/>
  <c r="AG764" i="2"/>
  <c r="AH764" i="2"/>
  <c r="AI764" i="2"/>
  <c r="AJ764" i="2"/>
  <c r="AD764" i="2"/>
  <c r="AF765" i="2"/>
  <c r="AG765" i="2"/>
  <c r="AH765" i="2"/>
  <c r="AI765" i="2"/>
  <c r="AJ765" i="2"/>
  <c r="AD765" i="2"/>
  <c r="AF766" i="2"/>
  <c r="AG766" i="2"/>
  <c r="AH766" i="2"/>
  <c r="AI766" i="2"/>
  <c r="AJ766" i="2"/>
  <c r="AD766" i="2"/>
  <c r="AF767" i="2"/>
  <c r="AG767" i="2"/>
  <c r="AH767" i="2"/>
  <c r="AI767" i="2"/>
  <c r="AJ767" i="2"/>
  <c r="AD767" i="2"/>
  <c r="AF768" i="2"/>
  <c r="AG768" i="2"/>
  <c r="AH768" i="2"/>
  <c r="AI768" i="2"/>
  <c r="AJ768" i="2"/>
  <c r="AD768" i="2"/>
  <c r="AF769" i="2"/>
  <c r="AG769" i="2"/>
  <c r="AH769" i="2"/>
  <c r="AI769" i="2"/>
  <c r="AJ769" i="2"/>
  <c r="AD769" i="2"/>
  <c r="AF770" i="2"/>
  <c r="AG770" i="2"/>
  <c r="AH770" i="2"/>
  <c r="AI770" i="2"/>
  <c r="AJ770" i="2"/>
  <c r="AD770" i="2"/>
  <c r="AF771" i="2"/>
  <c r="AG771" i="2"/>
  <c r="AH771" i="2"/>
  <c r="AI771" i="2"/>
  <c r="AJ771" i="2"/>
  <c r="AD771" i="2"/>
  <c r="AF772" i="2"/>
  <c r="AG772" i="2"/>
  <c r="AH772" i="2"/>
  <c r="AI772" i="2"/>
  <c r="AJ772" i="2"/>
  <c r="AD772" i="2"/>
  <c r="AF773" i="2"/>
  <c r="AG773" i="2"/>
  <c r="AH773" i="2"/>
  <c r="AI773" i="2"/>
  <c r="AJ773" i="2"/>
  <c r="AD773" i="2"/>
  <c r="AF774" i="2"/>
  <c r="AG774" i="2"/>
  <c r="AH774" i="2"/>
  <c r="AI774" i="2"/>
  <c r="AJ774" i="2"/>
  <c r="AD774" i="2"/>
  <c r="AF775" i="2"/>
  <c r="AG775" i="2"/>
  <c r="AH775" i="2"/>
  <c r="AI775" i="2"/>
  <c r="AJ775" i="2"/>
  <c r="AD775" i="2"/>
  <c r="AF776" i="2"/>
  <c r="AG776" i="2"/>
  <c r="AH776" i="2"/>
  <c r="AI776" i="2"/>
  <c r="AJ776" i="2"/>
  <c r="AD776" i="2"/>
  <c r="AF777" i="2"/>
  <c r="AG777" i="2"/>
  <c r="AH777" i="2"/>
  <c r="AI777" i="2"/>
  <c r="AJ777" i="2"/>
  <c r="AD777" i="2"/>
  <c r="AF778" i="2"/>
  <c r="AG778" i="2"/>
  <c r="AH778" i="2"/>
  <c r="AI778" i="2"/>
  <c r="AJ778" i="2"/>
  <c r="AD778" i="2"/>
  <c r="AF779" i="2"/>
  <c r="AG779" i="2"/>
  <c r="AH779" i="2"/>
  <c r="AI779" i="2"/>
  <c r="AJ779" i="2"/>
  <c r="AD779" i="2"/>
  <c r="AF780" i="2"/>
  <c r="AG780" i="2"/>
  <c r="AH780" i="2"/>
  <c r="AI780" i="2"/>
  <c r="AJ780" i="2"/>
  <c r="AD780" i="2"/>
  <c r="AF781" i="2"/>
  <c r="AG781" i="2"/>
  <c r="AH781" i="2"/>
  <c r="AI781" i="2"/>
  <c r="AJ781" i="2"/>
  <c r="AD781" i="2"/>
  <c r="AF782" i="2"/>
  <c r="AG782" i="2"/>
  <c r="AH782" i="2"/>
  <c r="AI782" i="2"/>
  <c r="AJ782" i="2"/>
  <c r="AD782" i="2"/>
  <c r="AF783" i="2"/>
  <c r="AG783" i="2"/>
  <c r="AH783" i="2"/>
  <c r="AI783" i="2"/>
  <c r="AJ783" i="2"/>
  <c r="AD783" i="2"/>
  <c r="AF784" i="2"/>
  <c r="AG784" i="2"/>
  <c r="AH784" i="2"/>
  <c r="AI784" i="2"/>
  <c r="AJ784" i="2"/>
  <c r="AD784" i="2"/>
  <c r="AF785" i="2"/>
  <c r="AG785" i="2"/>
  <c r="AH785" i="2"/>
  <c r="AI785" i="2"/>
  <c r="AJ785" i="2"/>
  <c r="AD785" i="2"/>
  <c r="AF786" i="2"/>
  <c r="AG786" i="2"/>
  <c r="AH786" i="2"/>
  <c r="AI786" i="2"/>
  <c r="AJ786" i="2"/>
  <c r="AD786" i="2"/>
  <c r="AF787" i="2"/>
  <c r="AG787" i="2"/>
  <c r="AH787" i="2"/>
  <c r="AI787" i="2"/>
  <c r="AJ787" i="2"/>
  <c r="AD787" i="2"/>
  <c r="AG790" i="2"/>
  <c r="AH790" i="2"/>
  <c r="AJ790" i="2"/>
  <c r="AD790" i="2"/>
  <c r="AF790" i="2"/>
  <c r="AI790" i="2"/>
  <c r="AH791" i="2"/>
  <c r="AF791" i="2"/>
  <c r="AI791" i="2"/>
  <c r="AD791" i="2"/>
  <c r="AG791" i="2"/>
  <c r="AJ791" i="2"/>
  <c r="AF799" i="2"/>
  <c r="AG799" i="2"/>
  <c r="AH799" i="2"/>
  <c r="AI799" i="2"/>
  <c r="AJ799" i="2"/>
  <c r="AD799" i="2"/>
  <c r="AF800" i="2"/>
  <c r="AG800" i="2"/>
  <c r="AH800" i="2"/>
  <c r="AI800" i="2"/>
  <c r="AJ800" i="2"/>
  <c r="AD800" i="2"/>
  <c r="AF801" i="2"/>
  <c r="AG801" i="2"/>
  <c r="AH801" i="2"/>
  <c r="AI801" i="2"/>
  <c r="AJ801" i="2"/>
  <c r="AD801" i="2"/>
  <c r="AF802" i="2"/>
  <c r="AG802" i="2"/>
  <c r="AH802" i="2"/>
  <c r="AI802" i="2"/>
  <c r="AJ802" i="2"/>
  <c r="AD802" i="2"/>
  <c r="AF803" i="2"/>
  <c r="AG803" i="2"/>
  <c r="AH803" i="2"/>
  <c r="AI803" i="2"/>
  <c r="AJ803" i="2"/>
  <c r="AD803" i="2"/>
  <c r="AF804" i="2"/>
  <c r="AG804" i="2"/>
  <c r="AH804" i="2"/>
  <c r="AI804" i="2"/>
  <c r="AJ804" i="2"/>
  <c r="AD804" i="2"/>
  <c r="AF805" i="2"/>
  <c r="AG805" i="2"/>
  <c r="AH805" i="2"/>
  <c r="AI805" i="2"/>
  <c r="AJ805" i="2"/>
  <c r="AD805" i="2"/>
  <c r="AF806" i="2"/>
  <c r="AG806" i="2"/>
  <c r="AH806" i="2"/>
  <c r="AI806" i="2"/>
  <c r="AJ806" i="2"/>
  <c r="AD806" i="2"/>
  <c r="AF807" i="2"/>
  <c r="AG807" i="2"/>
  <c r="AH807" i="2"/>
  <c r="AI807" i="2"/>
  <c r="AJ807" i="2"/>
  <c r="AD807" i="2"/>
  <c r="AF808" i="2"/>
  <c r="AG808" i="2"/>
  <c r="AH808" i="2"/>
  <c r="AI808" i="2"/>
  <c r="AJ808" i="2"/>
  <c r="AD808" i="2"/>
  <c r="AF809" i="2"/>
  <c r="AG809" i="2"/>
  <c r="AH809" i="2"/>
  <c r="AI809" i="2"/>
  <c r="AJ809" i="2"/>
  <c r="AD809" i="2"/>
  <c r="AF810" i="2"/>
  <c r="AG810" i="2"/>
  <c r="AH810" i="2"/>
  <c r="AI810" i="2"/>
  <c r="AJ810" i="2"/>
  <c r="AD810" i="2"/>
  <c r="AF811" i="2"/>
  <c r="AG811" i="2"/>
  <c r="AH811" i="2"/>
  <c r="AI811" i="2"/>
  <c r="AJ811" i="2"/>
  <c r="AD811" i="2"/>
  <c r="AF812" i="2"/>
  <c r="AG812" i="2"/>
  <c r="AH812" i="2"/>
  <c r="AI812" i="2"/>
  <c r="AJ812" i="2"/>
  <c r="AD812" i="2"/>
  <c r="AF813" i="2"/>
  <c r="AG813" i="2"/>
  <c r="AH813" i="2"/>
  <c r="AI813" i="2"/>
  <c r="AJ813" i="2"/>
  <c r="AD813" i="2"/>
  <c r="AF814" i="2"/>
  <c r="AG814" i="2"/>
  <c r="AH814" i="2"/>
  <c r="AI814" i="2"/>
  <c r="AJ814" i="2"/>
  <c r="AD814" i="2"/>
  <c r="AF815" i="2"/>
  <c r="AG815" i="2"/>
  <c r="AH815" i="2"/>
  <c r="AI815" i="2"/>
  <c r="AJ815" i="2"/>
  <c r="AD815" i="2"/>
  <c r="AF816" i="2"/>
  <c r="AG816" i="2"/>
  <c r="AH816" i="2"/>
  <c r="AI816" i="2"/>
  <c r="AJ816" i="2"/>
  <c r="AD816" i="2"/>
  <c r="AF817" i="2"/>
  <c r="AG817" i="2"/>
  <c r="AH817" i="2"/>
  <c r="AI817" i="2"/>
  <c r="AJ817" i="2"/>
  <c r="AD817" i="2"/>
  <c r="AF818" i="2"/>
  <c r="AG818" i="2"/>
  <c r="AH818" i="2"/>
  <c r="AI818" i="2"/>
  <c r="AJ818" i="2"/>
  <c r="AD818" i="2"/>
  <c r="AF819" i="2"/>
  <c r="AG819" i="2"/>
  <c r="AH819" i="2"/>
  <c r="AI819" i="2"/>
  <c r="AJ819" i="2"/>
  <c r="AD819" i="2"/>
  <c r="AF820" i="2"/>
  <c r="AG820" i="2"/>
  <c r="AH820" i="2"/>
  <c r="AI820" i="2"/>
  <c r="AJ820" i="2"/>
  <c r="AD820" i="2"/>
  <c r="AF821" i="2"/>
  <c r="AG821" i="2"/>
  <c r="AH821" i="2"/>
  <c r="AI821" i="2"/>
  <c r="AJ821" i="2"/>
  <c r="AD821" i="2"/>
  <c r="AF822" i="2"/>
  <c r="AG822" i="2"/>
  <c r="AH822" i="2"/>
  <c r="AI822" i="2"/>
  <c r="AJ822" i="2"/>
  <c r="AD822" i="2"/>
  <c r="AF823" i="2"/>
  <c r="AG823" i="2"/>
  <c r="AH823" i="2"/>
  <c r="AI823" i="2"/>
  <c r="AJ823" i="2"/>
  <c r="AD823" i="2"/>
  <c r="AF824" i="2"/>
  <c r="AG824" i="2"/>
  <c r="AH824" i="2"/>
  <c r="AI824" i="2"/>
  <c r="AJ824" i="2"/>
  <c r="AD824" i="2"/>
  <c r="AF825" i="2"/>
  <c r="AG825" i="2"/>
  <c r="AH825" i="2"/>
  <c r="AI825" i="2"/>
  <c r="AJ825" i="2"/>
  <c r="AD825" i="2"/>
  <c r="AF826" i="2"/>
  <c r="AG826" i="2"/>
  <c r="AH826" i="2"/>
  <c r="AI826" i="2"/>
  <c r="AJ826" i="2"/>
  <c r="AD826" i="2"/>
  <c r="AF827" i="2"/>
  <c r="AG827" i="2"/>
  <c r="AH827" i="2"/>
  <c r="AI827" i="2"/>
  <c r="AJ827" i="2"/>
  <c r="AD827" i="2"/>
  <c r="AF828" i="2"/>
  <c r="AG828" i="2"/>
  <c r="AH828" i="2"/>
  <c r="AI828" i="2"/>
  <c r="AJ828" i="2"/>
  <c r="AD828" i="2"/>
  <c r="AF829" i="2"/>
  <c r="AG829" i="2"/>
  <c r="AH829" i="2"/>
  <c r="AI829" i="2"/>
  <c r="AJ829" i="2"/>
  <c r="AD829" i="2"/>
  <c r="AF830" i="2"/>
  <c r="AG830" i="2"/>
  <c r="AH830" i="2"/>
  <c r="AI830" i="2"/>
  <c r="AJ830" i="2"/>
  <c r="AD830" i="2"/>
  <c r="AF831" i="2"/>
  <c r="AG831" i="2"/>
  <c r="AH831" i="2"/>
  <c r="AI831" i="2"/>
  <c r="AJ831" i="2"/>
  <c r="AD831" i="2"/>
  <c r="AF832" i="2"/>
  <c r="AG832" i="2"/>
  <c r="AH832" i="2"/>
  <c r="AI832" i="2"/>
  <c r="AJ832" i="2"/>
  <c r="AD832" i="2"/>
  <c r="AF833" i="2"/>
  <c r="AG833" i="2"/>
  <c r="AH833" i="2"/>
  <c r="AI833" i="2"/>
  <c r="AJ833" i="2"/>
  <c r="AD833" i="2"/>
  <c r="AF834" i="2"/>
  <c r="AG834" i="2"/>
  <c r="AH834" i="2"/>
  <c r="AI834" i="2"/>
  <c r="AJ834" i="2"/>
  <c r="AD834" i="2"/>
  <c r="AF835" i="2"/>
  <c r="AG835" i="2"/>
  <c r="AH835" i="2"/>
  <c r="AI835" i="2"/>
  <c r="AJ835" i="2"/>
  <c r="AD835" i="2"/>
  <c r="AF836" i="2"/>
  <c r="AG836" i="2"/>
  <c r="AH836" i="2"/>
  <c r="AI836" i="2"/>
  <c r="AJ836" i="2"/>
  <c r="AD836" i="2"/>
  <c r="AF837" i="2"/>
  <c r="AG837" i="2"/>
  <c r="AH837" i="2"/>
  <c r="AI837" i="2"/>
  <c r="AJ837" i="2"/>
  <c r="AD837" i="2"/>
  <c r="AF838" i="2"/>
  <c r="AG838" i="2"/>
  <c r="AH838" i="2"/>
  <c r="AI838" i="2"/>
  <c r="AJ838" i="2"/>
  <c r="AD838" i="2"/>
  <c r="AF839" i="2"/>
  <c r="AG839" i="2"/>
  <c r="AH839" i="2"/>
  <c r="AI839" i="2"/>
  <c r="AJ839" i="2"/>
  <c r="AD839" i="2"/>
  <c r="AF840" i="2"/>
  <c r="AG840" i="2"/>
  <c r="AH840" i="2"/>
  <c r="AI840" i="2"/>
  <c r="AJ840" i="2"/>
  <c r="AD840" i="2"/>
  <c r="AF841" i="2"/>
  <c r="AG841" i="2"/>
  <c r="AH841" i="2"/>
  <c r="AI841" i="2"/>
  <c r="AJ841" i="2"/>
  <c r="AD841" i="2"/>
  <c r="AF842" i="2"/>
  <c r="AG842" i="2"/>
  <c r="AH842" i="2"/>
  <c r="AI842" i="2"/>
  <c r="AJ842" i="2"/>
  <c r="AD842" i="2"/>
  <c r="AF843" i="2"/>
  <c r="AG843" i="2"/>
  <c r="AH843" i="2"/>
  <c r="AI843" i="2"/>
  <c r="AJ843" i="2"/>
  <c r="AD843" i="2"/>
  <c r="AF844" i="2"/>
  <c r="AG844" i="2"/>
  <c r="AH844" i="2"/>
  <c r="AI844" i="2"/>
  <c r="AJ844" i="2"/>
  <c r="AD844" i="2"/>
  <c r="AF845" i="2"/>
  <c r="AG845" i="2"/>
  <c r="AH845" i="2"/>
  <c r="AI845" i="2"/>
  <c r="AJ845" i="2"/>
  <c r="AD845" i="2"/>
  <c r="AF846" i="2"/>
  <c r="AG846" i="2"/>
  <c r="AH846" i="2"/>
  <c r="AI846" i="2"/>
  <c r="AJ846" i="2"/>
  <c r="AD846" i="2"/>
  <c r="AF847" i="2"/>
  <c r="AG847" i="2"/>
  <c r="AH847" i="2"/>
  <c r="AI847" i="2"/>
  <c r="AJ847" i="2"/>
  <c r="AD847" i="2"/>
  <c r="AF848" i="2"/>
  <c r="AG848" i="2"/>
  <c r="AH848" i="2"/>
  <c r="AI848" i="2"/>
  <c r="AJ848" i="2"/>
  <c r="AD848" i="2"/>
  <c r="AF849" i="2"/>
  <c r="AG849" i="2"/>
  <c r="AH849" i="2"/>
  <c r="AI849" i="2"/>
  <c r="AJ849" i="2"/>
  <c r="AD849" i="2"/>
  <c r="AF850" i="2"/>
  <c r="AG850" i="2"/>
  <c r="AH850" i="2"/>
  <c r="AI850" i="2"/>
  <c r="AJ850" i="2"/>
  <c r="AD850" i="2"/>
  <c r="AF851" i="2"/>
  <c r="AG851" i="2"/>
  <c r="AH851" i="2"/>
  <c r="AI851" i="2"/>
  <c r="AJ851" i="2"/>
  <c r="AD851" i="2"/>
  <c r="AF852" i="2"/>
  <c r="AG852" i="2"/>
  <c r="AH852" i="2"/>
  <c r="AI852" i="2"/>
  <c r="AJ852" i="2"/>
  <c r="AD852" i="2"/>
  <c r="AF853" i="2"/>
  <c r="AG853" i="2"/>
  <c r="AH853" i="2"/>
  <c r="AI853" i="2"/>
  <c r="AJ853" i="2"/>
  <c r="AD853" i="2"/>
  <c r="AF854" i="2"/>
  <c r="AG854" i="2"/>
  <c r="AH854" i="2"/>
  <c r="AI854" i="2"/>
  <c r="AJ854" i="2"/>
  <c r="AD854" i="2"/>
  <c r="AF855" i="2"/>
  <c r="AG855" i="2"/>
  <c r="AH855" i="2"/>
  <c r="AI855" i="2"/>
  <c r="AJ855" i="2"/>
  <c r="AD855" i="2"/>
  <c r="AF856" i="2"/>
  <c r="AG856" i="2"/>
  <c r="AH856" i="2"/>
  <c r="AI856" i="2"/>
  <c r="AJ856" i="2"/>
  <c r="AD856" i="2"/>
  <c r="AF857" i="2"/>
  <c r="AG857" i="2"/>
  <c r="AH857" i="2"/>
  <c r="AI857" i="2"/>
  <c r="AJ857" i="2"/>
  <c r="AD857" i="2"/>
  <c r="AF858" i="2"/>
  <c r="AG858" i="2"/>
  <c r="AH858" i="2"/>
  <c r="AI858" i="2"/>
  <c r="AJ858" i="2"/>
  <c r="AD858" i="2"/>
  <c r="AF859" i="2"/>
  <c r="AG859" i="2"/>
  <c r="AH859" i="2"/>
  <c r="AI859" i="2"/>
  <c r="AJ859" i="2"/>
  <c r="AD859" i="2"/>
  <c r="AF860" i="2"/>
  <c r="AG860" i="2"/>
  <c r="AH860" i="2"/>
  <c r="AI860" i="2"/>
  <c r="AJ860" i="2"/>
  <c r="AD860" i="2"/>
  <c r="AF861" i="2"/>
  <c r="AG861" i="2"/>
  <c r="AH861" i="2"/>
  <c r="AI861" i="2"/>
  <c r="AJ861" i="2"/>
  <c r="AD861" i="2"/>
  <c r="AF862" i="2"/>
  <c r="AG862" i="2"/>
  <c r="AH862" i="2"/>
  <c r="AI862" i="2"/>
  <c r="AJ862" i="2"/>
  <c r="AD862" i="2"/>
  <c r="AF863" i="2"/>
  <c r="AG863" i="2"/>
  <c r="AH863" i="2"/>
  <c r="AI863" i="2"/>
  <c r="AJ863" i="2"/>
  <c r="AD863" i="2"/>
  <c r="AF864" i="2"/>
  <c r="AG864" i="2"/>
  <c r="AH864" i="2"/>
  <c r="AI864" i="2"/>
  <c r="AJ864" i="2"/>
  <c r="AD864" i="2"/>
  <c r="AF865" i="2"/>
  <c r="AG865" i="2"/>
  <c r="AH865" i="2"/>
  <c r="AI865" i="2"/>
  <c r="AJ865" i="2"/>
  <c r="AD865" i="2"/>
  <c r="AF866" i="2"/>
  <c r="AG866" i="2"/>
  <c r="AH866" i="2"/>
  <c r="AI866" i="2"/>
  <c r="AJ866" i="2"/>
  <c r="AD866" i="2"/>
  <c r="AF867" i="2"/>
  <c r="AG867" i="2"/>
  <c r="AH867" i="2"/>
  <c r="AI867" i="2"/>
  <c r="AJ867" i="2"/>
  <c r="AD867" i="2"/>
  <c r="AF868" i="2"/>
  <c r="AG868" i="2"/>
  <c r="AH868" i="2"/>
  <c r="AI868" i="2"/>
  <c r="AJ868" i="2"/>
  <c r="AD868" i="2"/>
  <c r="AF869" i="2"/>
  <c r="AG869" i="2"/>
  <c r="AH869" i="2"/>
  <c r="AI869" i="2"/>
  <c r="AJ869" i="2"/>
  <c r="AD869" i="2"/>
  <c r="AF870" i="2"/>
  <c r="AG870" i="2"/>
  <c r="AH870" i="2"/>
  <c r="AI870" i="2"/>
  <c r="AJ870" i="2"/>
  <c r="AD870" i="2"/>
  <c r="AF871" i="2"/>
  <c r="AG871" i="2"/>
  <c r="AH871" i="2"/>
  <c r="AI871" i="2"/>
  <c r="AJ871" i="2"/>
  <c r="AD871" i="2"/>
  <c r="AF872" i="2"/>
  <c r="AG872" i="2"/>
  <c r="AH872" i="2"/>
  <c r="AI872" i="2"/>
  <c r="AJ872" i="2"/>
  <c r="AD872" i="2"/>
  <c r="AF873" i="2"/>
  <c r="AG873" i="2"/>
  <c r="AH873" i="2"/>
  <c r="AI873" i="2"/>
  <c r="AJ873" i="2"/>
  <c r="AD873" i="2"/>
  <c r="AF874" i="2"/>
  <c r="AG874" i="2"/>
  <c r="AH874" i="2"/>
  <c r="AI874" i="2"/>
  <c r="AJ874" i="2"/>
  <c r="AD874" i="2"/>
  <c r="AF875" i="2"/>
  <c r="AG875" i="2"/>
  <c r="AH875" i="2"/>
  <c r="AI875" i="2"/>
  <c r="AJ875" i="2"/>
  <c r="AD875" i="2"/>
  <c r="AF876" i="2"/>
  <c r="AG876" i="2"/>
  <c r="AH876" i="2"/>
  <c r="AI876" i="2"/>
  <c r="AJ876" i="2"/>
  <c r="AD876" i="2"/>
  <c r="AF877" i="2"/>
  <c r="AG877" i="2"/>
  <c r="AH877" i="2"/>
  <c r="AI877" i="2"/>
  <c r="AJ877" i="2"/>
  <c r="AD877" i="2"/>
  <c r="AF878" i="2"/>
  <c r="AG878" i="2"/>
  <c r="AH878" i="2"/>
  <c r="AI878" i="2"/>
  <c r="AJ878" i="2"/>
  <c r="AD878" i="2"/>
  <c r="AF879" i="2"/>
  <c r="AG879" i="2"/>
  <c r="AH879" i="2"/>
  <c r="AI879" i="2"/>
  <c r="AJ879" i="2"/>
  <c r="AD879" i="2"/>
  <c r="AF880" i="2"/>
  <c r="AG880" i="2"/>
  <c r="AH880" i="2"/>
  <c r="AI880" i="2"/>
  <c r="AJ880" i="2"/>
  <c r="AD880" i="2"/>
  <c r="AF881" i="2"/>
  <c r="AG881" i="2"/>
  <c r="AH881" i="2"/>
  <c r="AI881" i="2"/>
  <c r="AJ881" i="2"/>
  <c r="AD881" i="2"/>
  <c r="AF882" i="2"/>
  <c r="AG882" i="2"/>
  <c r="AH882" i="2"/>
  <c r="AI882" i="2"/>
  <c r="AJ882" i="2"/>
  <c r="AD882" i="2"/>
  <c r="AF883" i="2"/>
  <c r="AG883" i="2"/>
  <c r="AH883" i="2"/>
  <c r="AI883" i="2"/>
  <c r="AJ883" i="2"/>
  <c r="AD883" i="2"/>
  <c r="AF884" i="2"/>
  <c r="AG884" i="2"/>
  <c r="AH884" i="2"/>
  <c r="AI884" i="2"/>
  <c r="AJ884" i="2"/>
  <c r="AD884" i="2"/>
  <c r="AF885" i="2"/>
  <c r="AG885" i="2"/>
  <c r="AH885" i="2"/>
  <c r="AI885" i="2"/>
  <c r="AJ885" i="2"/>
  <c r="AD885" i="2"/>
  <c r="AF886" i="2"/>
  <c r="AG886" i="2"/>
  <c r="AH886" i="2"/>
  <c r="AI886" i="2"/>
  <c r="AJ886" i="2"/>
  <c r="AD886" i="2"/>
  <c r="AF887" i="2"/>
  <c r="AG887" i="2"/>
  <c r="AH887" i="2"/>
  <c r="AI887" i="2"/>
  <c r="AJ887" i="2"/>
  <c r="AD887" i="2"/>
  <c r="AF888" i="2"/>
  <c r="AG888" i="2"/>
  <c r="AH888" i="2"/>
  <c r="AI888" i="2"/>
  <c r="AJ888" i="2"/>
  <c r="AD888" i="2"/>
  <c r="AF889" i="2"/>
  <c r="AG889" i="2"/>
  <c r="AH889" i="2"/>
  <c r="AI889" i="2"/>
  <c r="AJ889" i="2"/>
  <c r="AD889" i="2"/>
  <c r="AF890" i="2"/>
  <c r="AG890" i="2"/>
  <c r="AH890" i="2"/>
  <c r="AI890" i="2"/>
  <c r="AJ890" i="2"/>
  <c r="AD890" i="2"/>
  <c r="AF891" i="2"/>
  <c r="AG891" i="2"/>
  <c r="AH891" i="2"/>
  <c r="AI891" i="2"/>
  <c r="AJ891" i="2"/>
  <c r="AD891" i="2"/>
  <c r="AF892" i="2"/>
  <c r="AG892" i="2"/>
  <c r="AH892" i="2"/>
  <c r="AI892" i="2"/>
  <c r="AJ892" i="2"/>
  <c r="AD892" i="2"/>
  <c r="AF893" i="2"/>
  <c r="AG893" i="2"/>
  <c r="AH893" i="2"/>
  <c r="AI893" i="2"/>
  <c r="AJ893" i="2"/>
  <c r="AD893" i="2"/>
  <c r="AF894" i="2"/>
  <c r="AG894" i="2"/>
  <c r="AH894" i="2"/>
  <c r="AI894" i="2"/>
  <c r="AJ894" i="2"/>
  <c r="AD894" i="2"/>
  <c r="AF895" i="2"/>
  <c r="AG895" i="2"/>
  <c r="AH895" i="2"/>
  <c r="AI895" i="2"/>
  <c r="AJ895" i="2"/>
  <c r="AD895" i="2"/>
  <c r="AF896" i="2"/>
  <c r="AG896" i="2"/>
  <c r="AH896" i="2"/>
  <c r="AI896" i="2"/>
  <c r="AJ896" i="2"/>
  <c r="AD896" i="2"/>
  <c r="AF897" i="2"/>
  <c r="AG897" i="2"/>
  <c r="AH897" i="2"/>
  <c r="AI897" i="2"/>
  <c r="AJ897" i="2"/>
  <c r="AD897" i="2"/>
  <c r="AF898" i="2"/>
  <c r="AG898" i="2"/>
  <c r="AH898" i="2"/>
  <c r="AI898" i="2"/>
  <c r="AJ898" i="2"/>
  <c r="AD898" i="2"/>
  <c r="AF899" i="2"/>
  <c r="AG899" i="2"/>
  <c r="AH899" i="2"/>
  <c r="AI899" i="2"/>
  <c r="AJ899" i="2"/>
  <c r="AD899" i="2"/>
  <c r="AF900" i="2"/>
  <c r="AG900" i="2"/>
  <c r="AH900" i="2"/>
  <c r="AI900" i="2"/>
  <c r="AJ900" i="2"/>
  <c r="AD900" i="2"/>
  <c r="AF901" i="2"/>
  <c r="AG901" i="2"/>
  <c r="AH901" i="2"/>
  <c r="AI901" i="2"/>
  <c r="AJ901" i="2"/>
  <c r="AD901" i="2"/>
  <c r="AF902" i="2"/>
  <c r="AG902" i="2"/>
  <c r="AH902" i="2"/>
  <c r="AI902" i="2"/>
  <c r="AJ902" i="2"/>
  <c r="AD902" i="2"/>
  <c r="AF903" i="2"/>
  <c r="AG903" i="2"/>
  <c r="AH903" i="2"/>
  <c r="AI903" i="2"/>
  <c r="AJ903" i="2"/>
  <c r="AD903" i="2"/>
  <c r="AF904" i="2"/>
  <c r="AG904" i="2"/>
  <c r="AH904" i="2"/>
  <c r="AI904" i="2"/>
  <c r="AJ904" i="2"/>
  <c r="AD904" i="2"/>
  <c r="AF905" i="2"/>
  <c r="AG905" i="2"/>
  <c r="AH905" i="2"/>
  <c r="AI905" i="2"/>
  <c r="AJ905" i="2"/>
  <c r="AD905" i="2"/>
  <c r="AF906" i="2"/>
  <c r="AG906" i="2"/>
  <c r="AH906" i="2"/>
  <c r="AI906" i="2"/>
  <c r="AJ906" i="2"/>
  <c r="AD906" i="2"/>
  <c r="AF907" i="2"/>
  <c r="AG907" i="2"/>
  <c r="AH907" i="2"/>
  <c r="AI907" i="2"/>
  <c r="AJ907" i="2"/>
  <c r="AD907" i="2"/>
  <c r="AF908" i="2"/>
  <c r="AG908" i="2"/>
  <c r="AH908" i="2"/>
  <c r="AI908" i="2"/>
  <c r="AJ908" i="2"/>
  <c r="AD908" i="2"/>
  <c r="AF909" i="2"/>
  <c r="AG909" i="2"/>
  <c r="AH909" i="2"/>
  <c r="AI909" i="2"/>
  <c r="AJ909" i="2"/>
  <c r="AD909" i="2"/>
  <c r="AF910" i="2"/>
  <c r="AG910" i="2"/>
  <c r="AH910" i="2"/>
  <c r="AI910" i="2"/>
  <c r="AJ910" i="2"/>
  <c r="AD910" i="2"/>
  <c r="AF911" i="2"/>
  <c r="AG911" i="2"/>
  <c r="AH911" i="2"/>
  <c r="AI911" i="2"/>
  <c r="AJ911" i="2"/>
  <c r="AD911" i="2"/>
  <c r="AF912" i="2"/>
  <c r="AG912" i="2"/>
  <c r="AH912" i="2"/>
  <c r="AI912" i="2"/>
  <c r="AJ912" i="2"/>
  <c r="AD912" i="2"/>
  <c r="AF913" i="2"/>
  <c r="AG913" i="2"/>
  <c r="AH913" i="2"/>
  <c r="AI913" i="2"/>
  <c r="AJ913" i="2"/>
  <c r="AD913" i="2"/>
  <c r="AF914" i="2"/>
  <c r="AG914" i="2"/>
  <c r="AH914" i="2"/>
  <c r="AI914" i="2"/>
  <c r="AJ914" i="2"/>
  <c r="AD914" i="2"/>
  <c r="AF915" i="2"/>
  <c r="AG915" i="2"/>
  <c r="AH915" i="2"/>
  <c r="AI915" i="2"/>
  <c r="AJ915" i="2"/>
  <c r="AD915" i="2"/>
  <c r="AF916" i="2"/>
  <c r="AG916" i="2"/>
  <c r="AH916" i="2"/>
  <c r="AI916" i="2"/>
  <c r="AJ916" i="2"/>
  <c r="AD916" i="2"/>
  <c r="AF917" i="2"/>
  <c r="AG917" i="2"/>
  <c r="AH917" i="2"/>
  <c r="AI917" i="2"/>
  <c r="AJ917" i="2"/>
  <c r="AD917" i="2"/>
  <c r="AF918" i="2"/>
  <c r="AG918" i="2"/>
  <c r="AH918" i="2"/>
  <c r="AI918" i="2"/>
  <c r="AJ918" i="2"/>
  <c r="AD918" i="2"/>
  <c r="AF919" i="2"/>
  <c r="AG919" i="2"/>
  <c r="AH919" i="2"/>
  <c r="AI919" i="2"/>
  <c r="AJ919" i="2"/>
  <c r="AD919" i="2"/>
  <c r="AF920" i="2"/>
  <c r="AG920" i="2"/>
  <c r="AH920" i="2"/>
  <c r="AI920" i="2"/>
  <c r="AJ920" i="2"/>
  <c r="AD920" i="2"/>
  <c r="AF921" i="2"/>
  <c r="AG921" i="2"/>
  <c r="AH921" i="2"/>
  <c r="AI921" i="2"/>
  <c r="AJ921" i="2"/>
  <c r="AD921" i="2"/>
  <c r="AF922" i="2"/>
  <c r="AG922" i="2"/>
  <c r="AH922" i="2"/>
  <c r="AI922" i="2"/>
  <c r="AJ922" i="2"/>
  <c r="AD922" i="2"/>
  <c r="AF923" i="2"/>
  <c r="AG923" i="2"/>
  <c r="AH923" i="2"/>
  <c r="AI923" i="2"/>
  <c r="AJ923" i="2"/>
  <c r="AD923" i="2"/>
  <c r="AF924" i="2"/>
  <c r="AG924" i="2"/>
  <c r="AH924" i="2"/>
  <c r="AI924" i="2"/>
  <c r="AJ924" i="2"/>
  <c r="AD924" i="2"/>
  <c r="AF925" i="2"/>
  <c r="AG925" i="2"/>
  <c r="AH925" i="2"/>
  <c r="AI925" i="2"/>
  <c r="AJ925" i="2"/>
  <c r="AD925" i="2"/>
  <c r="AF926" i="2"/>
  <c r="AG926" i="2"/>
  <c r="AH926" i="2"/>
  <c r="AI926" i="2"/>
  <c r="AJ926" i="2"/>
  <c r="AD926" i="2"/>
  <c r="AF927" i="2"/>
  <c r="AG927" i="2"/>
  <c r="AH927" i="2"/>
  <c r="AI927" i="2"/>
  <c r="AJ927" i="2"/>
  <c r="AD927" i="2"/>
  <c r="AF928" i="2"/>
  <c r="AG928" i="2"/>
  <c r="AH928" i="2"/>
  <c r="AI928" i="2"/>
  <c r="AJ928" i="2"/>
  <c r="AD928" i="2"/>
  <c r="AF929" i="2"/>
  <c r="AG929" i="2"/>
  <c r="AH929" i="2"/>
  <c r="AI929" i="2"/>
  <c r="AJ929" i="2"/>
  <c r="AD929" i="2"/>
  <c r="AF930" i="2"/>
  <c r="AG930" i="2"/>
  <c r="AH930" i="2"/>
  <c r="AI930" i="2"/>
  <c r="AJ930" i="2"/>
  <c r="AD930" i="2"/>
  <c r="AF931" i="2"/>
  <c r="AG931" i="2"/>
  <c r="AH931" i="2"/>
  <c r="AI931" i="2"/>
  <c r="AJ931" i="2"/>
  <c r="AD931" i="2"/>
  <c r="AF932" i="2"/>
  <c r="AG932" i="2"/>
  <c r="AH932" i="2"/>
  <c r="AI932" i="2"/>
  <c r="AJ932" i="2"/>
  <c r="AD932" i="2"/>
  <c r="AF933" i="2"/>
  <c r="AG933" i="2"/>
  <c r="AH933" i="2"/>
  <c r="AI933" i="2"/>
  <c r="AJ933" i="2"/>
  <c r="AD933" i="2"/>
  <c r="AF934" i="2"/>
  <c r="AG934" i="2"/>
  <c r="AH934" i="2"/>
  <c r="AI934" i="2"/>
  <c r="AJ934" i="2"/>
  <c r="AD934" i="2"/>
  <c r="AF935" i="2"/>
  <c r="AG935" i="2"/>
  <c r="AH935" i="2"/>
  <c r="AI935" i="2"/>
  <c r="AJ935" i="2"/>
  <c r="AD935" i="2"/>
  <c r="AF936" i="2"/>
  <c r="AG936" i="2"/>
  <c r="AH936" i="2"/>
  <c r="AI936" i="2"/>
  <c r="AJ936" i="2"/>
  <c r="AD936" i="2"/>
  <c r="AF937" i="2"/>
  <c r="AG937" i="2"/>
  <c r="AH937" i="2"/>
  <c r="AI937" i="2"/>
  <c r="AJ937" i="2"/>
  <c r="AD937" i="2"/>
  <c r="AF938" i="2"/>
  <c r="AG938" i="2"/>
  <c r="AH938" i="2"/>
  <c r="AI938" i="2"/>
  <c r="AJ938" i="2"/>
  <c r="AD938" i="2"/>
  <c r="AF939" i="2"/>
  <c r="AG939" i="2"/>
  <c r="AH939" i="2"/>
  <c r="AI939" i="2"/>
  <c r="AJ939" i="2"/>
  <c r="AD939" i="2"/>
  <c r="AF940" i="2"/>
  <c r="AG940" i="2"/>
  <c r="AH940" i="2"/>
  <c r="AI940" i="2"/>
  <c r="AJ940" i="2"/>
  <c r="AD940" i="2"/>
  <c r="AF941" i="2"/>
  <c r="AG941" i="2"/>
  <c r="AH941" i="2"/>
  <c r="AI941" i="2"/>
  <c r="AJ941" i="2"/>
  <c r="AD941" i="2"/>
  <c r="AF942" i="2"/>
  <c r="AG942" i="2"/>
  <c r="AH942" i="2"/>
  <c r="AI942" i="2"/>
  <c r="AJ942" i="2"/>
  <c r="AD942" i="2"/>
  <c r="AF943" i="2"/>
  <c r="AG943" i="2"/>
  <c r="AH943" i="2"/>
  <c r="AI943" i="2"/>
  <c r="AJ943" i="2"/>
  <c r="AD943" i="2"/>
  <c r="AF944" i="2"/>
  <c r="AG944" i="2"/>
  <c r="AH944" i="2"/>
  <c r="AI944" i="2"/>
  <c r="AJ944" i="2"/>
  <c r="AD944" i="2"/>
  <c r="AF945" i="2"/>
  <c r="AG945" i="2"/>
  <c r="AH945" i="2"/>
  <c r="AI945" i="2"/>
  <c r="AJ945" i="2"/>
  <c r="AD945" i="2"/>
  <c r="AF946" i="2"/>
  <c r="AG946" i="2"/>
  <c r="AH946" i="2"/>
  <c r="AI946" i="2"/>
  <c r="AJ946" i="2"/>
  <c r="AD946" i="2"/>
  <c r="AF947" i="2"/>
  <c r="AG947" i="2"/>
  <c r="AH947" i="2"/>
  <c r="AI947" i="2"/>
  <c r="AJ947" i="2"/>
  <c r="AD947" i="2"/>
  <c r="AF948" i="2"/>
  <c r="AG948" i="2"/>
  <c r="AH948" i="2"/>
  <c r="AI948" i="2"/>
  <c r="AJ948" i="2"/>
  <c r="AD948" i="2"/>
  <c r="AF949" i="2"/>
  <c r="AG949" i="2"/>
  <c r="AH949" i="2"/>
  <c r="AI949" i="2"/>
  <c r="AJ949" i="2"/>
  <c r="AD949" i="2"/>
  <c r="AF950" i="2"/>
  <c r="AG950" i="2"/>
  <c r="AH950" i="2"/>
  <c r="AI950" i="2"/>
  <c r="AJ950" i="2"/>
  <c r="AD950" i="2"/>
  <c r="AF951" i="2"/>
  <c r="AG951" i="2"/>
  <c r="AH951" i="2"/>
  <c r="AI951" i="2"/>
  <c r="AJ951" i="2"/>
  <c r="AD951" i="2"/>
  <c r="AF952" i="2"/>
  <c r="AG952" i="2"/>
  <c r="AH952" i="2"/>
  <c r="AI952" i="2"/>
  <c r="AJ952" i="2"/>
  <c r="AD952" i="2"/>
  <c r="AF953" i="2"/>
  <c r="AG953" i="2"/>
  <c r="AH953" i="2"/>
  <c r="AI953" i="2"/>
  <c r="AJ953" i="2"/>
  <c r="AD953" i="2"/>
  <c r="AF954" i="2"/>
  <c r="AG954" i="2"/>
  <c r="AH954" i="2"/>
  <c r="AI954" i="2"/>
  <c r="AJ954" i="2"/>
  <c r="AD954" i="2"/>
  <c r="AF955" i="2"/>
  <c r="AG955" i="2"/>
  <c r="AH955" i="2"/>
  <c r="AI955" i="2"/>
  <c r="AJ955" i="2"/>
  <c r="AD955" i="2"/>
  <c r="AF956" i="2"/>
  <c r="AG956" i="2"/>
  <c r="AH956" i="2"/>
  <c r="AI956" i="2"/>
  <c r="AJ956" i="2"/>
  <c r="AD956" i="2"/>
  <c r="AF957" i="2"/>
  <c r="AG957" i="2"/>
  <c r="AH957" i="2"/>
  <c r="AI957" i="2"/>
  <c r="AJ957" i="2"/>
  <c r="AD957" i="2"/>
  <c r="AF958" i="2"/>
  <c r="AG958" i="2"/>
  <c r="AH958" i="2"/>
  <c r="AI958" i="2"/>
  <c r="AJ958" i="2"/>
  <c r="AD958" i="2"/>
  <c r="AF959" i="2"/>
  <c r="AG959" i="2"/>
  <c r="AH959" i="2"/>
  <c r="AI959" i="2"/>
  <c r="AJ959" i="2"/>
  <c r="AD959" i="2"/>
  <c r="AF960" i="2"/>
  <c r="AG960" i="2"/>
  <c r="AH960" i="2"/>
  <c r="AI960" i="2"/>
  <c r="AJ960" i="2"/>
  <c r="AD960" i="2"/>
  <c r="AF961" i="2"/>
  <c r="AG961" i="2"/>
  <c r="AH961" i="2"/>
  <c r="AI961" i="2"/>
  <c r="AJ961" i="2"/>
  <c r="AD961" i="2"/>
  <c r="AF962" i="2"/>
  <c r="AG962" i="2"/>
  <c r="AH962" i="2"/>
  <c r="AI962" i="2"/>
  <c r="AJ962" i="2"/>
  <c r="AD962" i="2"/>
  <c r="AF963" i="2"/>
  <c r="AG963" i="2"/>
  <c r="AH963" i="2"/>
  <c r="AI963" i="2"/>
  <c r="AJ963" i="2"/>
  <c r="AD963" i="2"/>
  <c r="AF964" i="2"/>
  <c r="AG964" i="2"/>
  <c r="AH964" i="2"/>
  <c r="AI964" i="2"/>
  <c r="AJ964" i="2"/>
  <c r="AD964" i="2"/>
  <c r="AF965" i="2"/>
  <c r="AG965" i="2"/>
  <c r="AH965" i="2"/>
  <c r="AI965" i="2"/>
  <c r="AJ965" i="2"/>
  <c r="AD965" i="2"/>
  <c r="AF966" i="2"/>
  <c r="AG966" i="2"/>
  <c r="AH966" i="2"/>
  <c r="AI966" i="2"/>
  <c r="AJ966" i="2"/>
  <c r="AD966" i="2"/>
  <c r="AF967" i="2"/>
  <c r="AG967" i="2"/>
  <c r="AH967" i="2"/>
  <c r="AI967" i="2"/>
  <c r="AJ967" i="2"/>
  <c r="AD967" i="2"/>
  <c r="AF968" i="2"/>
  <c r="AG968" i="2"/>
  <c r="AH968" i="2"/>
  <c r="AI968" i="2"/>
  <c r="AJ968" i="2"/>
  <c r="AD968" i="2"/>
  <c r="AF969" i="2"/>
  <c r="AG969" i="2"/>
  <c r="AH969" i="2"/>
  <c r="AI969" i="2"/>
  <c r="AJ969" i="2"/>
  <c r="AD969" i="2"/>
  <c r="AF970" i="2"/>
  <c r="AG970" i="2"/>
  <c r="AH970" i="2"/>
  <c r="AI970" i="2"/>
  <c r="AJ970" i="2"/>
  <c r="AD970" i="2"/>
  <c r="AF971" i="2"/>
  <c r="AG971" i="2"/>
  <c r="AH971" i="2"/>
  <c r="AI971" i="2"/>
  <c r="AJ971" i="2"/>
  <c r="AD971" i="2"/>
  <c r="AF972" i="2"/>
  <c r="AG972" i="2"/>
  <c r="AH972" i="2"/>
  <c r="AI972" i="2"/>
  <c r="AJ972" i="2"/>
  <c r="AD972" i="2"/>
  <c r="AF973" i="2"/>
  <c r="AG973" i="2"/>
  <c r="AH973" i="2"/>
  <c r="AI973" i="2"/>
  <c r="AJ973" i="2"/>
  <c r="AD973" i="2"/>
  <c r="AF974" i="2"/>
  <c r="AG974" i="2"/>
  <c r="AH974" i="2"/>
  <c r="AI974" i="2"/>
  <c r="AJ974" i="2"/>
  <c r="AD974" i="2"/>
  <c r="AF975" i="2"/>
  <c r="AG975" i="2"/>
  <c r="AH975" i="2"/>
  <c r="AI975" i="2"/>
  <c r="AJ975" i="2"/>
  <c r="AD975" i="2"/>
  <c r="AF976" i="2"/>
  <c r="AG976" i="2"/>
  <c r="AH976" i="2"/>
  <c r="AI976" i="2"/>
  <c r="AJ976" i="2"/>
  <c r="AD976" i="2"/>
  <c r="AF977" i="2"/>
  <c r="AG977" i="2"/>
  <c r="AH977" i="2"/>
  <c r="AI977" i="2"/>
  <c r="AJ977" i="2"/>
  <c r="AD977" i="2"/>
  <c r="AF978" i="2"/>
  <c r="AG978" i="2"/>
  <c r="AH978" i="2"/>
  <c r="AI978" i="2"/>
  <c r="AJ978" i="2"/>
  <c r="AD978" i="2"/>
  <c r="AF979" i="2"/>
  <c r="AG979" i="2"/>
  <c r="AH979" i="2"/>
  <c r="AI979" i="2"/>
  <c r="AJ979" i="2"/>
  <c r="AD979" i="2"/>
  <c r="AF980" i="2"/>
  <c r="AG980" i="2"/>
  <c r="AH980" i="2"/>
  <c r="AI980" i="2"/>
  <c r="AJ980" i="2"/>
  <c r="AD980" i="2"/>
  <c r="AF981" i="2"/>
  <c r="AG981" i="2"/>
  <c r="AH981" i="2"/>
  <c r="AI981" i="2"/>
  <c r="AJ981" i="2"/>
  <c r="AD981" i="2"/>
  <c r="AF982" i="2"/>
  <c r="AG982" i="2"/>
  <c r="AH982" i="2"/>
  <c r="AI982" i="2"/>
  <c r="AJ982" i="2"/>
  <c r="AD982" i="2"/>
  <c r="AF983" i="2"/>
  <c r="AG983" i="2"/>
  <c r="AH983" i="2"/>
  <c r="AI983" i="2"/>
  <c r="AJ983" i="2"/>
  <c r="AD983" i="2"/>
  <c r="AF984" i="2"/>
  <c r="AG984" i="2"/>
  <c r="AH984" i="2"/>
  <c r="AI984" i="2"/>
  <c r="AJ984" i="2"/>
  <c r="AD984" i="2"/>
  <c r="AF985" i="2"/>
  <c r="AG985" i="2"/>
  <c r="AH985" i="2"/>
  <c r="AI985" i="2"/>
  <c r="AJ985" i="2"/>
  <c r="AD985" i="2"/>
  <c r="AF986" i="2"/>
  <c r="AG986" i="2"/>
  <c r="AH986" i="2"/>
  <c r="AI986" i="2"/>
  <c r="AJ986" i="2"/>
  <c r="AD986" i="2"/>
  <c r="AF987" i="2"/>
  <c r="AG987" i="2"/>
  <c r="AH987" i="2"/>
  <c r="AI987" i="2"/>
  <c r="AJ987" i="2"/>
  <c r="AD987" i="2"/>
  <c r="AF988" i="2"/>
  <c r="AG988" i="2"/>
  <c r="AH988" i="2"/>
  <c r="AI988" i="2"/>
  <c r="AJ988" i="2"/>
  <c r="AD988" i="2"/>
  <c r="AF989" i="2"/>
  <c r="AG989" i="2"/>
  <c r="AH989" i="2"/>
  <c r="AI989" i="2"/>
  <c r="AJ989" i="2"/>
  <c r="AD989" i="2"/>
  <c r="AF990" i="2"/>
  <c r="AG990" i="2"/>
  <c r="AH990" i="2"/>
  <c r="AI990" i="2"/>
  <c r="AJ990" i="2"/>
  <c r="AD990" i="2"/>
  <c r="AF991" i="2"/>
  <c r="AG991" i="2"/>
  <c r="AH991" i="2"/>
  <c r="AI991" i="2"/>
  <c r="AJ991" i="2"/>
  <c r="AD991" i="2"/>
  <c r="AF992" i="2"/>
  <c r="AG992" i="2"/>
  <c r="AH992" i="2"/>
  <c r="AI992" i="2"/>
  <c r="AJ992" i="2"/>
  <c r="AD992" i="2"/>
  <c r="AF993" i="2"/>
  <c r="AG993" i="2"/>
  <c r="AH993" i="2"/>
  <c r="AI993" i="2"/>
  <c r="AJ993" i="2"/>
  <c r="AD993" i="2"/>
  <c r="AF994" i="2"/>
  <c r="AG994" i="2"/>
  <c r="AH994" i="2"/>
  <c r="AI994" i="2"/>
  <c r="AJ994" i="2"/>
  <c r="AD994" i="2"/>
  <c r="AF995" i="2"/>
  <c r="AG995" i="2"/>
  <c r="AH995" i="2"/>
  <c r="AI995" i="2"/>
  <c r="AJ995" i="2"/>
  <c r="AD995" i="2"/>
  <c r="AF996" i="2"/>
  <c r="AG996" i="2"/>
  <c r="AH996" i="2"/>
  <c r="AI996" i="2"/>
  <c r="AJ996" i="2"/>
  <c r="AD996" i="2"/>
  <c r="AF997" i="2"/>
  <c r="AG997" i="2"/>
  <c r="AH997" i="2"/>
  <c r="AI997" i="2"/>
  <c r="AJ997" i="2"/>
  <c r="AD997" i="2"/>
  <c r="AF998" i="2"/>
  <c r="AG998" i="2"/>
  <c r="AH998" i="2"/>
  <c r="AI998" i="2"/>
  <c r="AJ998" i="2"/>
  <c r="AD998" i="2"/>
  <c r="AF999" i="2"/>
  <c r="AG999" i="2"/>
  <c r="AH999" i="2"/>
  <c r="AI999" i="2"/>
  <c r="AJ999" i="2"/>
  <c r="AD999" i="2"/>
  <c r="AF1000" i="2"/>
  <c r="AG1000" i="2"/>
  <c r="AH1000" i="2"/>
  <c r="AI1000" i="2"/>
  <c r="AJ1000" i="2"/>
  <c r="AD1000" i="2"/>
  <c r="AF1001" i="2"/>
  <c r="AG1001" i="2"/>
  <c r="AH1001" i="2"/>
  <c r="AI1001" i="2"/>
  <c r="AJ1001" i="2"/>
  <c r="AD1001" i="2"/>
  <c r="AF1002" i="2"/>
  <c r="AG1002" i="2"/>
  <c r="AH1002" i="2"/>
  <c r="AI1002" i="2"/>
  <c r="AJ1002" i="2"/>
  <c r="AD1002" i="2"/>
  <c r="AF1003" i="2"/>
  <c r="AG1003" i="2"/>
  <c r="AH1003" i="2"/>
  <c r="AI1003" i="2"/>
  <c r="AJ1003" i="2"/>
  <c r="AD1003" i="2"/>
  <c r="AF1004" i="2"/>
  <c r="AG1004" i="2"/>
  <c r="AH1004" i="2"/>
  <c r="AI1004" i="2"/>
  <c r="AJ1004" i="2"/>
  <c r="AD1004" i="2"/>
  <c r="AF1005" i="2"/>
  <c r="AG1005" i="2"/>
  <c r="AH1005" i="2"/>
  <c r="AI1005" i="2"/>
  <c r="AJ1005" i="2"/>
  <c r="AD1005" i="2"/>
  <c r="AF1006" i="2"/>
  <c r="AG1006" i="2"/>
  <c r="AH1006" i="2"/>
  <c r="AI1006" i="2"/>
  <c r="AJ1006" i="2"/>
  <c r="AD1006" i="2"/>
  <c r="AF1007" i="2"/>
  <c r="AG1007" i="2"/>
  <c r="AH1007" i="2"/>
  <c r="AI1007" i="2"/>
  <c r="AJ1007" i="2"/>
  <c r="AD1007" i="2"/>
  <c r="AF1008" i="2"/>
  <c r="AG1008" i="2"/>
  <c r="AH1008" i="2"/>
  <c r="AI1008" i="2"/>
  <c r="AJ1008" i="2"/>
  <c r="AD1008" i="2"/>
  <c r="AF1009" i="2"/>
  <c r="AG1009" i="2"/>
  <c r="AH1009" i="2"/>
  <c r="AI1009" i="2"/>
  <c r="AJ1009" i="2"/>
  <c r="AD1009" i="2"/>
  <c r="AF1010" i="2"/>
  <c r="AG1010" i="2"/>
  <c r="AH1010" i="2"/>
  <c r="AI1010" i="2"/>
  <c r="AJ1010" i="2"/>
  <c r="AD1010" i="2"/>
  <c r="AF797" i="2"/>
  <c r="AH797" i="2"/>
  <c r="AD797" i="2"/>
  <c r="AG797" i="2"/>
  <c r="AI797" i="2"/>
  <c r="AJ797" i="2"/>
  <c r="AH798" i="2"/>
  <c r="AJ798" i="2"/>
  <c r="AD798" i="2"/>
  <c r="AF798" i="2"/>
  <c r="AI798" i="2"/>
  <c r="AG798" i="2"/>
  <c r="AD789" i="2"/>
  <c r="AI789" i="2"/>
  <c r="AH789" i="2"/>
  <c r="AG789" i="2"/>
  <c r="AJ789" i="2"/>
  <c r="AF789" i="2"/>
  <c r="AD788" i="2"/>
  <c r="AF788" i="2"/>
  <c r="AJ788" i="2"/>
  <c r="AG788" i="2"/>
  <c r="AI788" i="2"/>
  <c r="AH788" i="2"/>
  <c r="AH792" i="2"/>
  <c r="AI792" i="2"/>
  <c r="AF792" i="2"/>
  <c r="AG792" i="2"/>
  <c r="AJ792" i="2"/>
  <c r="AD792" i="2"/>
  <c r="AG793" i="2"/>
  <c r="AH793" i="2"/>
  <c r="AJ793" i="2"/>
  <c r="AF793" i="2"/>
  <c r="AI793" i="2"/>
  <c r="AD793" i="2"/>
  <c r="AJ794" i="2"/>
  <c r="AD794" i="2"/>
  <c r="AG794" i="2"/>
  <c r="AI794" i="2"/>
  <c r="AF794" i="2"/>
  <c r="AH794" i="2"/>
  <c r="AF11" i="2"/>
  <c r="AG11" i="2"/>
  <c r="AH11" i="2"/>
  <c r="AI11" i="2"/>
  <c r="AD11" i="2"/>
  <c r="Y12" i="2"/>
  <c r="Z12" i="2"/>
  <c r="AA12" i="2"/>
  <c r="AB12" i="2"/>
  <c r="W12" i="2"/>
  <c r="Y13" i="2"/>
  <c r="Z13" i="2"/>
  <c r="AA13" i="2"/>
  <c r="AB13" i="2"/>
  <c r="W13" i="2"/>
  <c r="Y14" i="2"/>
  <c r="Z14" i="2"/>
  <c r="AA14" i="2"/>
  <c r="AB14" i="2"/>
  <c r="W14" i="2"/>
  <c r="Y15" i="2"/>
  <c r="Z15" i="2"/>
  <c r="AA15" i="2"/>
  <c r="AB15" i="2"/>
  <c r="W15" i="2"/>
  <c r="Y16" i="2"/>
  <c r="Z16" i="2"/>
  <c r="AA16" i="2"/>
  <c r="AB16" i="2"/>
  <c r="W16" i="2"/>
  <c r="Y17" i="2"/>
  <c r="Z17" i="2"/>
  <c r="AA17" i="2"/>
  <c r="AB17" i="2"/>
  <c r="W17" i="2"/>
  <c r="Y18" i="2"/>
  <c r="Z18" i="2"/>
  <c r="AA18" i="2"/>
  <c r="AB18" i="2"/>
  <c r="W18" i="2"/>
  <c r="Y19" i="2"/>
  <c r="Z19" i="2"/>
  <c r="AA19" i="2"/>
  <c r="AB19" i="2"/>
  <c r="W19" i="2"/>
  <c r="Y20" i="2"/>
  <c r="Z20" i="2"/>
  <c r="AA20" i="2"/>
  <c r="AB20" i="2"/>
  <c r="W20" i="2"/>
  <c r="Y21" i="2"/>
  <c r="Z21" i="2"/>
  <c r="AA21" i="2"/>
  <c r="AB21" i="2"/>
  <c r="W21" i="2"/>
  <c r="Y22" i="2"/>
  <c r="Z22" i="2"/>
  <c r="AA22" i="2"/>
  <c r="AB22" i="2"/>
  <c r="W22" i="2"/>
  <c r="Y23" i="2"/>
  <c r="Z23" i="2"/>
  <c r="AA23" i="2"/>
  <c r="AB23" i="2"/>
  <c r="W23" i="2"/>
  <c r="Y24" i="2"/>
  <c r="Z24" i="2"/>
  <c r="AA24" i="2"/>
  <c r="AB24" i="2"/>
  <c r="W24" i="2"/>
  <c r="Y25" i="2"/>
  <c r="Z25" i="2"/>
  <c r="AA25" i="2"/>
  <c r="AB25" i="2"/>
  <c r="W25" i="2"/>
  <c r="Y26" i="2"/>
  <c r="Z26" i="2"/>
  <c r="AA26" i="2"/>
  <c r="AB26" i="2"/>
  <c r="W26" i="2"/>
  <c r="Y27" i="2"/>
  <c r="Z27" i="2"/>
  <c r="AA27" i="2"/>
  <c r="AB27" i="2"/>
  <c r="W27" i="2"/>
  <c r="Y28" i="2"/>
  <c r="Z28" i="2"/>
  <c r="AA28" i="2"/>
  <c r="AB28" i="2"/>
  <c r="W28" i="2"/>
  <c r="Y29" i="2"/>
  <c r="Z29" i="2"/>
  <c r="AA29" i="2"/>
  <c r="AB29" i="2"/>
  <c r="W29" i="2"/>
  <c r="Y30" i="2"/>
  <c r="Z30" i="2"/>
  <c r="AA30" i="2"/>
  <c r="AB30" i="2"/>
  <c r="W30" i="2"/>
  <c r="Y31" i="2"/>
  <c r="Z31" i="2"/>
  <c r="AA31" i="2"/>
  <c r="AB31" i="2"/>
  <c r="W31" i="2"/>
  <c r="Y32" i="2"/>
  <c r="Z32" i="2"/>
  <c r="AA32" i="2"/>
  <c r="AB32" i="2"/>
  <c r="W32" i="2"/>
  <c r="Y33" i="2"/>
  <c r="Z33" i="2"/>
  <c r="AA33" i="2"/>
  <c r="AB33" i="2"/>
  <c r="W33" i="2"/>
  <c r="Y34" i="2"/>
  <c r="Z34" i="2"/>
  <c r="AA34" i="2"/>
  <c r="AB34" i="2"/>
  <c r="W34" i="2"/>
  <c r="Y35" i="2"/>
  <c r="Z35" i="2"/>
  <c r="AA35" i="2"/>
  <c r="AB35" i="2"/>
  <c r="W35" i="2"/>
  <c r="Y36" i="2"/>
  <c r="Z36" i="2"/>
  <c r="AA36" i="2"/>
  <c r="AB36" i="2"/>
  <c r="W36" i="2"/>
  <c r="Y37" i="2"/>
  <c r="Z37" i="2"/>
  <c r="AA37" i="2"/>
  <c r="AB37" i="2"/>
  <c r="W37" i="2"/>
  <c r="Y38" i="2"/>
  <c r="Z38" i="2"/>
  <c r="AA38" i="2"/>
  <c r="AB38" i="2"/>
  <c r="W38" i="2"/>
  <c r="Y39" i="2"/>
  <c r="Z39" i="2"/>
  <c r="AA39" i="2"/>
  <c r="AB39" i="2"/>
  <c r="W39" i="2"/>
  <c r="Y40" i="2"/>
  <c r="Z40" i="2"/>
  <c r="AA40" i="2"/>
  <c r="AB40" i="2"/>
  <c r="W40" i="2"/>
  <c r="Y41" i="2"/>
  <c r="Z41" i="2"/>
  <c r="AA41" i="2"/>
  <c r="AB41" i="2"/>
  <c r="W41" i="2"/>
  <c r="Y42" i="2"/>
  <c r="Z42" i="2"/>
  <c r="AA42" i="2"/>
  <c r="AB42" i="2"/>
  <c r="W42" i="2"/>
  <c r="Y43" i="2"/>
  <c r="Z43" i="2"/>
  <c r="AA43" i="2"/>
  <c r="AB43" i="2"/>
  <c r="W43" i="2"/>
  <c r="Y44" i="2"/>
  <c r="Z44" i="2"/>
  <c r="AA44" i="2"/>
  <c r="AB44" i="2"/>
  <c r="W44" i="2"/>
  <c r="Y45" i="2"/>
  <c r="Z45" i="2"/>
  <c r="AA45" i="2"/>
  <c r="AB45" i="2"/>
  <c r="W45" i="2"/>
  <c r="Y46" i="2"/>
  <c r="Z46" i="2"/>
  <c r="AA46" i="2"/>
  <c r="AB46" i="2"/>
  <c r="W46" i="2"/>
  <c r="Y47" i="2"/>
  <c r="Z47" i="2"/>
  <c r="AA47" i="2"/>
  <c r="AB47" i="2"/>
  <c r="W47" i="2"/>
  <c r="Y48" i="2"/>
  <c r="Z48" i="2"/>
  <c r="AA48" i="2"/>
  <c r="AB48" i="2"/>
  <c r="W48" i="2"/>
  <c r="Y49" i="2"/>
  <c r="Z49" i="2"/>
  <c r="AA49" i="2"/>
  <c r="AB49" i="2"/>
  <c r="W49" i="2"/>
  <c r="Y50" i="2"/>
  <c r="Z50" i="2"/>
  <c r="AA50" i="2"/>
  <c r="AB50" i="2"/>
  <c r="W50" i="2"/>
  <c r="Y51" i="2"/>
  <c r="Z51" i="2"/>
  <c r="AA51" i="2"/>
  <c r="AB51" i="2"/>
  <c r="W51" i="2"/>
  <c r="Y52" i="2"/>
  <c r="Z52" i="2"/>
  <c r="AA52" i="2"/>
  <c r="AB52" i="2"/>
  <c r="W52" i="2"/>
  <c r="Y53" i="2"/>
  <c r="Z53" i="2"/>
  <c r="AA53" i="2"/>
  <c r="AB53" i="2"/>
  <c r="W53" i="2"/>
  <c r="Y54" i="2"/>
  <c r="Z54" i="2"/>
  <c r="AA54" i="2"/>
  <c r="AB54" i="2"/>
  <c r="W54" i="2"/>
  <c r="Y55" i="2"/>
  <c r="Z55" i="2"/>
  <c r="AA55" i="2"/>
  <c r="AB55" i="2"/>
  <c r="W55" i="2"/>
  <c r="Y56" i="2"/>
  <c r="Z56" i="2"/>
  <c r="AA56" i="2"/>
  <c r="AB56" i="2"/>
  <c r="W56" i="2"/>
  <c r="Y57" i="2"/>
  <c r="Z57" i="2"/>
  <c r="AA57" i="2"/>
  <c r="AB57" i="2"/>
  <c r="W57" i="2"/>
  <c r="Y58" i="2"/>
  <c r="Z58" i="2"/>
  <c r="AA58" i="2"/>
  <c r="AB58" i="2"/>
  <c r="W58" i="2"/>
  <c r="Y59" i="2"/>
  <c r="Z59" i="2"/>
  <c r="AA59" i="2"/>
  <c r="AB59" i="2"/>
  <c r="W59" i="2"/>
  <c r="Y60" i="2"/>
  <c r="Z60" i="2"/>
  <c r="AA60" i="2"/>
  <c r="AB60" i="2"/>
  <c r="W60" i="2"/>
  <c r="Y61" i="2"/>
  <c r="Z61" i="2"/>
  <c r="AA61" i="2"/>
  <c r="AB61" i="2"/>
  <c r="W61" i="2"/>
  <c r="Y62" i="2"/>
  <c r="Z62" i="2"/>
  <c r="AA62" i="2"/>
  <c r="AB62" i="2"/>
  <c r="W62" i="2"/>
  <c r="Y63" i="2"/>
  <c r="Z63" i="2"/>
  <c r="AA63" i="2"/>
  <c r="AB63" i="2"/>
  <c r="W63" i="2"/>
  <c r="Y64" i="2"/>
  <c r="Z64" i="2"/>
  <c r="AA64" i="2"/>
  <c r="AB64" i="2"/>
  <c r="W64" i="2"/>
  <c r="Y65" i="2"/>
  <c r="Z65" i="2"/>
  <c r="AA65" i="2"/>
  <c r="AB65" i="2"/>
  <c r="W65" i="2"/>
  <c r="Y66" i="2"/>
  <c r="Z66" i="2"/>
  <c r="AA66" i="2"/>
  <c r="AB66" i="2"/>
  <c r="W66" i="2"/>
  <c r="Y67" i="2"/>
  <c r="Z67" i="2"/>
  <c r="AA67" i="2"/>
  <c r="AB67" i="2"/>
  <c r="W67" i="2"/>
  <c r="Y68" i="2"/>
  <c r="Z68" i="2"/>
  <c r="AA68" i="2"/>
  <c r="AB68" i="2"/>
  <c r="W68" i="2"/>
  <c r="Y69" i="2"/>
  <c r="Z69" i="2"/>
  <c r="AA69" i="2"/>
  <c r="AB69" i="2"/>
  <c r="W69" i="2"/>
  <c r="Y70" i="2"/>
  <c r="Z70" i="2"/>
  <c r="AA70" i="2"/>
  <c r="AB70" i="2"/>
  <c r="W70" i="2"/>
  <c r="Y71" i="2"/>
  <c r="Z71" i="2"/>
  <c r="AA71" i="2"/>
  <c r="AB71" i="2"/>
  <c r="W71" i="2"/>
  <c r="Y72" i="2"/>
  <c r="Z72" i="2"/>
  <c r="AA72" i="2"/>
  <c r="AB72" i="2"/>
  <c r="W72" i="2"/>
  <c r="Y73" i="2"/>
  <c r="Z73" i="2"/>
  <c r="AA73" i="2"/>
  <c r="AB73" i="2"/>
  <c r="W73" i="2"/>
  <c r="Y74" i="2"/>
  <c r="Z74" i="2"/>
  <c r="AA74" i="2"/>
  <c r="AB74" i="2"/>
  <c r="W74" i="2"/>
  <c r="Y75" i="2"/>
  <c r="Z75" i="2"/>
  <c r="AA75" i="2"/>
  <c r="AB75" i="2"/>
  <c r="W75" i="2"/>
  <c r="Y76" i="2"/>
  <c r="Z76" i="2"/>
  <c r="AA76" i="2"/>
  <c r="AB76" i="2"/>
  <c r="W76" i="2"/>
  <c r="Y77" i="2"/>
  <c r="Z77" i="2"/>
  <c r="AA77" i="2"/>
  <c r="AB77" i="2"/>
  <c r="W77" i="2"/>
  <c r="Y78" i="2"/>
  <c r="Z78" i="2"/>
  <c r="AA78" i="2"/>
  <c r="AB78" i="2"/>
  <c r="W78" i="2"/>
  <c r="Y79" i="2"/>
  <c r="Z79" i="2"/>
  <c r="AA79" i="2"/>
  <c r="AB79" i="2"/>
  <c r="W79" i="2"/>
  <c r="Y80" i="2"/>
  <c r="Z80" i="2"/>
  <c r="AA80" i="2"/>
  <c r="AB80" i="2"/>
  <c r="W80" i="2"/>
  <c r="Y81" i="2"/>
  <c r="Z81" i="2"/>
  <c r="AA81" i="2"/>
  <c r="AB81" i="2"/>
  <c r="W81" i="2"/>
  <c r="Y82" i="2"/>
  <c r="Z82" i="2"/>
  <c r="AA82" i="2"/>
  <c r="AB82" i="2"/>
  <c r="W82" i="2"/>
  <c r="Y83" i="2"/>
  <c r="Z83" i="2"/>
  <c r="AA83" i="2"/>
  <c r="AB83" i="2"/>
  <c r="W83" i="2"/>
  <c r="Y84" i="2"/>
  <c r="Z84" i="2"/>
  <c r="AA84" i="2"/>
  <c r="AB84" i="2"/>
  <c r="W84" i="2"/>
  <c r="Y85" i="2"/>
  <c r="Z85" i="2"/>
  <c r="AA85" i="2"/>
  <c r="AB85" i="2"/>
  <c r="W85" i="2"/>
  <c r="Y86" i="2"/>
  <c r="Z86" i="2"/>
  <c r="AA86" i="2"/>
  <c r="AB86" i="2"/>
  <c r="W86" i="2"/>
  <c r="Y87" i="2"/>
  <c r="Z87" i="2"/>
  <c r="AA87" i="2"/>
  <c r="AB87" i="2"/>
  <c r="W87" i="2"/>
  <c r="Y88" i="2"/>
  <c r="Z88" i="2"/>
  <c r="AA88" i="2"/>
  <c r="AB88" i="2"/>
  <c r="W88" i="2"/>
  <c r="Y89" i="2"/>
  <c r="Z89" i="2"/>
  <c r="AA89" i="2"/>
  <c r="AB89" i="2"/>
  <c r="W89" i="2"/>
  <c r="Y90" i="2"/>
  <c r="Z90" i="2"/>
  <c r="AA90" i="2"/>
  <c r="AB90" i="2"/>
  <c r="W90" i="2"/>
  <c r="Y91" i="2"/>
  <c r="Z91" i="2"/>
  <c r="AA91" i="2"/>
  <c r="AB91" i="2"/>
  <c r="W91" i="2"/>
  <c r="Y92" i="2"/>
  <c r="Z92" i="2"/>
  <c r="AA92" i="2"/>
  <c r="AB92" i="2"/>
  <c r="W92" i="2"/>
  <c r="Y93" i="2"/>
  <c r="Z93" i="2"/>
  <c r="AA93" i="2"/>
  <c r="AB93" i="2"/>
  <c r="W93" i="2"/>
  <c r="Y94" i="2"/>
  <c r="Z94" i="2"/>
  <c r="AA94" i="2"/>
  <c r="AB94" i="2"/>
  <c r="W94" i="2"/>
  <c r="Y95" i="2"/>
  <c r="Z95" i="2"/>
  <c r="AA95" i="2"/>
  <c r="AB95" i="2"/>
  <c r="W95" i="2"/>
  <c r="Y96" i="2"/>
  <c r="Z96" i="2"/>
  <c r="AA96" i="2"/>
  <c r="AB96" i="2"/>
  <c r="W96" i="2"/>
  <c r="Y97" i="2"/>
  <c r="Z97" i="2"/>
  <c r="AA97" i="2"/>
  <c r="AB97" i="2"/>
  <c r="W97" i="2"/>
  <c r="Y98" i="2"/>
  <c r="Z98" i="2"/>
  <c r="AA98" i="2"/>
  <c r="AB98" i="2"/>
  <c r="W98" i="2"/>
  <c r="Y99" i="2"/>
  <c r="Z99" i="2"/>
  <c r="AA99" i="2"/>
  <c r="AB99" i="2"/>
  <c r="W99" i="2"/>
  <c r="Y100" i="2"/>
  <c r="Z100" i="2"/>
  <c r="AA100" i="2"/>
  <c r="AB100" i="2"/>
  <c r="W100" i="2"/>
  <c r="Y101" i="2"/>
  <c r="Z101" i="2"/>
  <c r="AA101" i="2"/>
  <c r="AB101" i="2"/>
  <c r="W101" i="2"/>
  <c r="Y102" i="2"/>
  <c r="Z102" i="2"/>
  <c r="AA102" i="2"/>
  <c r="AB102" i="2"/>
  <c r="W102" i="2"/>
  <c r="Y103" i="2"/>
  <c r="Z103" i="2"/>
  <c r="AA103" i="2"/>
  <c r="AB103" i="2"/>
  <c r="W103" i="2"/>
  <c r="Y104" i="2"/>
  <c r="Z104" i="2"/>
  <c r="AA104" i="2"/>
  <c r="AB104" i="2"/>
  <c r="W104" i="2"/>
  <c r="Y105" i="2"/>
  <c r="Z105" i="2"/>
  <c r="AA105" i="2"/>
  <c r="AB105" i="2"/>
  <c r="W105" i="2"/>
  <c r="Y106" i="2"/>
  <c r="Z106" i="2"/>
  <c r="AA106" i="2"/>
  <c r="AB106" i="2"/>
  <c r="W106" i="2"/>
  <c r="Y107" i="2"/>
  <c r="Z107" i="2"/>
  <c r="AA107" i="2"/>
  <c r="AB107" i="2"/>
  <c r="W107" i="2"/>
  <c r="Y108" i="2"/>
  <c r="Z108" i="2"/>
  <c r="AA108" i="2"/>
  <c r="AB108" i="2"/>
  <c r="W108" i="2"/>
  <c r="Y109" i="2"/>
  <c r="Z109" i="2"/>
  <c r="AA109" i="2"/>
  <c r="AB109" i="2"/>
  <c r="W109" i="2"/>
  <c r="Y110" i="2"/>
  <c r="Z110" i="2"/>
  <c r="AA110" i="2"/>
  <c r="AB110" i="2"/>
  <c r="W110" i="2"/>
  <c r="Y111" i="2"/>
  <c r="Z111" i="2"/>
  <c r="AA111" i="2"/>
  <c r="AB111" i="2"/>
  <c r="W111" i="2"/>
  <c r="Y112" i="2"/>
  <c r="Z112" i="2"/>
  <c r="AA112" i="2"/>
  <c r="AB112" i="2"/>
  <c r="W112" i="2"/>
  <c r="Y113" i="2"/>
  <c r="Z113" i="2"/>
  <c r="AA113" i="2"/>
  <c r="AB113" i="2"/>
  <c r="W113" i="2"/>
  <c r="Y114" i="2"/>
  <c r="Z114" i="2"/>
  <c r="AA114" i="2"/>
  <c r="AB114" i="2"/>
  <c r="W114" i="2"/>
  <c r="Y115" i="2"/>
  <c r="Z115" i="2"/>
  <c r="AA115" i="2"/>
  <c r="AB115" i="2"/>
  <c r="W115" i="2"/>
  <c r="Y116" i="2"/>
  <c r="Z116" i="2"/>
  <c r="AA116" i="2"/>
  <c r="AB116" i="2"/>
  <c r="W116" i="2"/>
  <c r="Y117" i="2"/>
  <c r="Z117" i="2"/>
  <c r="AA117" i="2"/>
  <c r="AB117" i="2"/>
  <c r="W117" i="2"/>
  <c r="Y118" i="2"/>
  <c r="Z118" i="2"/>
  <c r="AA118" i="2"/>
  <c r="AB118" i="2"/>
  <c r="W118" i="2"/>
  <c r="Y119" i="2"/>
  <c r="Z119" i="2"/>
  <c r="AA119" i="2"/>
  <c r="AB119" i="2"/>
  <c r="W119" i="2"/>
  <c r="Y120" i="2"/>
  <c r="Z120" i="2"/>
  <c r="AA120" i="2"/>
  <c r="AB120" i="2"/>
  <c r="W120" i="2"/>
  <c r="Y121" i="2"/>
  <c r="Z121" i="2"/>
  <c r="AA121" i="2"/>
  <c r="AB121" i="2"/>
  <c r="W121" i="2"/>
  <c r="Y122" i="2"/>
  <c r="Z122" i="2"/>
  <c r="AA122" i="2"/>
  <c r="AB122" i="2"/>
  <c r="W122" i="2"/>
  <c r="Y123" i="2"/>
  <c r="Z123" i="2"/>
  <c r="AA123" i="2"/>
  <c r="AB123" i="2"/>
  <c r="W123" i="2"/>
  <c r="Y124" i="2"/>
  <c r="Z124" i="2"/>
  <c r="AA124" i="2"/>
  <c r="AB124" i="2"/>
  <c r="W124" i="2"/>
  <c r="Y125" i="2"/>
  <c r="Z125" i="2"/>
  <c r="AA125" i="2"/>
  <c r="AB125" i="2"/>
  <c r="W125" i="2"/>
  <c r="Y126" i="2"/>
  <c r="Z126" i="2"/>
  <c r="AA126" i="2"/>
  <c r="AB126" i="2"/>
  <c r="W126" i="2"/>
  <c r="Y127" i="2"/>
  <c r="Z127" i="2"/>
  <c r="AA127" i="2"/>
  <c r="AB127" i="2"/>
  <c r="W127" i="2"/>
  <c r="Y128" i="2"/>
  <c r="Z128" i="2"/>
  <c r="AA128" i="2"/>
  <c r="AB128" i="2"/>
  <c r="W128" i="2"/>
  <c r="Y129" i="2"/>
  <c r="Z129" i="2"/>
  <c r="AA129" i="2"/>
  <c r="AB129" i="2"/>
  <c r="W129" i="2"/>
  <c r="Y130" i="2"/>
  <c r="Z130" i="2"/>
  <c r="AA130" i="2"/>
  <c r="AB130" i="2"/>
  <c r="W130" i="2"/>
  <c r="Y131" i="2"/>
  <c r="Z131" i="2"/>
  <c r="AA131" i="2"/>
  <c r="AB131" i="2"/>
  <c r="W131" i="2"/>
  <c r="Y132" i="2"/>
  <c r="Z132" i="2"/>
  <c r="AA132" i="2"/>
  <c r="AB132" i="2"/>
  <c r="W132" i="2"/>
  <c r="Y133" i="2"/>
  <c r="Z133" i="2"/>
  <c r="AA133" i="2"/>
  <c r="AB133" i="2"/>
  <c r="W133" i="2"/>
  <c r="Y134" i="2"/>
  <c r="Z134" i="2"/>
  <c r="AA134" i="2"/>
  <c r="AB134" i="2"/>
  <c r="W134" i="2"/>
  <c r="Y135" i="2"/>
  <c r="Z135" i="2"/>
  <c r="AA135" i="2"/>
  <c r="AB135" i="2"/>
  <c r="W135" i="2"/>
  <c r="Y136" i="2"/>
  <c r="Z136" i="2"/>
  <c r="AA136" i="2"/>
  <c r="AB136" i="2"/>
  <c r="W136" i="2"/>
  <c r="Y137" i="2"/>
  <c r="Z137" i="2"/>
  <c r="AA137" i="2"/>
  <c r="AB137" i="2"/>
  <c r="W137" i="2"/>
  <c r="Y138" i="2"/>
  <c r="Z138" i="2"/>
  <c r="AA138" i="2"/>
  <c r="AB138" i="2"/>
  <c r="W138" i="2"/>
  <c r="Y139" i="2"/>
  <c r="Z139" i="2"/>
  <c r="AA139" i="2"/>
  <c r="AB139" i="2"/>
  <c r="W139" i="2"/>
  <c r="Y140" i="2"/>
  <c r="Z140" i="2"/>
  <c r="AA140" i="2"/>
  <c r="AB140" i="2"/>
  <c r="W140" i="2"/>
  <c r="Y141" i="2"/>
  <c r="Z141" i="2"/>
  <c r="AA141" i="2"/>
  <c r="AB141" i="2"/>
  <c r="W141" i="2"/>
  <c r="Y142" i="2"/>
  <c r="Z142" i="2"/>
  <c r="AA142" i="2"/>
  <c r="AB142" i="2"/>
  <c r="W142" i="2"/>
  <c r="Y143" i="2"/>
  <c r="Z143" i="2"/>
  <c r="AA143" i="2"/>
  <c r="AB143" i="2"/>
  <c r="W143" i="2"/>
  <c r="Y144" i="2"/>
  <c r="Z144" i="2"/>
  <c r="AA144" i="2"/>
  <c r="AB144" i="2"/>
  <c r="W144" i="2"/>
  <c r="Y145" i="2"/>
  <c r="Z145" i="2"/>
  <c r="AA145" i="2"/>
  <c r="AB145" i="2"/>
  <c r="W145" i="2"/>
  <c r="Y146" i="2"/>
  <c r="Z146" i="2"/>
  <c r="AA146" i="2"/>
  <c r="AB146" i="2"/>
  <c r="W146" i="2"/>
  <c r="Y147" i="2"/>
  <c r="Z147" i="2"/>
  <c r="AA147" i="2"/>
  <c r="AB147" i="2"/>
  <c r="W147" i="2"/>
  <c r="Y148" i="2"/>
  <c r="Z148" i="2"/>
  <c r="AA148" i="2"/>
  <c r="AB148" i="2"/>
  <c r="W148" i="2"/>
  <c r="Y149" i="2"/>
  <c r="Z149" i="2"/>
  <c r="AA149" i="2"/>
  <c r="AB149" i="2"/>
  <c r="W149" i="2"/>
  <c r="Y150" i="2"/>
  <c r="Z150" i="2"/>
  <c r="AA150" i="2"/>
  <c r="AB150" i="2"/>
  <c r="W150" i="2"/>
  <c r="Y151" i="2"/>
  <c r="Z151" i="2"/>
  <c r="AA151" i="2"/>
  <c r="AB151" i="2"/>
  <c r="W151" i="2"/>
  <c r="Y152" i="2"/>
  <c r="Z152" i="2"/>
  <c r="AA152" i="2"/>
  <c r="AB152" i="2"/>
  <c r="W152" i="2"/>
  <c r="Y153" i="2"/>
  <c r="Z153" i="2"/>
  <c r="AA153" i="2"/>
  <c r="AB153" i="2"/>
  <c r="W153" i="2"/>
  <c r="Y154" i="2"/>
  <c r="Z154" i="2"/>
  <c r="AA154" i="2"/>
  <c r="AB154" i="2"/>
  <c r="W154" i="2"/>
  <c r="Y155" i="2"/>
  <c r="Z155" i="2"/>
  <c r="AA155" i="2"/>
  <c r="AB155" i="2"/>
  <c r="W155" i="2"/>
  <c r="Y156" i="2"/>
  <c r="Z156" i="2"/>
  <c r="AA156" i="2"/>
  <c r="AB156" i="2"/>
  <c r="W156" i="2"/>
  <c r="Y157" i="2"/>
  <c r="Z157" i="2"/>
  <c r="AA157" i="2"/>
  <c r="AB157" i="2"/>
  <c r="W157" i="2"/>
  <c r="Y158" i="2"/>
  <c r="Z158" i="2"/>
  <c r="AA158" i="2"/>
  <c r="AB158" i="2"/>
  <c r="W158" i="2"/>
  <c r="Y159" i="2"/>
  <c r="Z159" i="2"/>
  <c r="AA159" i="2"/>
  <c r="AB159" i="2"/>
  <c r="W159" i="2"/>
  <c r="Y160" i="2"/>
  <c r="Z160" i="2"/>
  <c r="AA160" i="2"/>
  <c r="AB160" i="2"/>
  <c r="W160" i="2"/>
  <c r="Y161" i="2"/>
  <c r="Z161" i="2"/>
  <c r="AA161" i="2"/>
  <c r="AB161" i="2"/>
  <c r="W161" i="2"/>
  <c r="Y162" i="2"/>
  <c r="Z162" i="2"/>
  <c r="AA162" i="2"/>
  <c r="AB162" i="2"/>
  <c r="W162" i="2"/>
  <c r="Y163" i="2"/>
  <c r="Z163" i="2"/>
  <c r="AA163" i="2"/>
  <c r="AB163" i="2"/>
  <c r="W163" i="2"/>
  <c r="Y164" i="2"/>
  <c r="Z164" i="2"/>
  <c r="AA164" i="2"/>
  <c r="AB164" i="2"/>
  <c r="W164" i="2"/>
  <c r="Y165" i="2"/>
  <c r="Z165" i="2"/>
  <c r="AA165" i="2"/>
  <c r="AB165" i="2"/>
  <c r="W165" i="2"/>
  <c r="Y166" i="2"/>
  <c r="Z166" i="2"/>
  <c r="AA166" i="2"/>
  <c r="AB166" i="2"/>
  <c r="W166" i="2"/>
  <c r="Y167" i="2"/>
  <c r="Z167" i="2"/>
  <c r="AA167" i="2"/>
  <c r="AB167" i="2"/>
  <c r="W167" i="2"/>
  <c r="Y168" i="2"/>
  <c r="Z168" i="2"/>
  <c r="AA168" i="2"/>
  <c r="AB168" i="2"/>
  <c r="W168" i="2"/>
  <c r="Y169" i="2"/>
  <c r="Z169" i="2"/>
  <c r="AA169" i="2"/>
  <c r="AB169" i="2"/>
  <c r="W169" i="2"/>
  <c r="Y170" i="2"/>
  <c r="Z170" i="2"/>
  <c r="AA170" i="2"/>
  <c r="AB170" i="2"/>
  <c r="W170" i="2"/>
  <c r="Y171" i="2"/>
  <c r="Z171" i="2"/>
  <c r="AA171" i="2"/>
  <c r="AB171" i="2"/>
  <c r="W171" i="2"/>
  <c r="Y172" i="2"/>
  <c r="Z172" i="2"/>
  <c r="AA172" i="2"/>
  <c r="AB172" i="2"/>
  <c r="W172" i="2"/>
  <c r="Y173" i="2"/>
  <c r="Z173" i="2"/>
  <c r="AA173" i="2"/>
  <c r="AB173" i="2"/>
  <c r="W173" i="2"/>
  <c r="Y174" i="2"/>
  <c r="Z174" i="2"/>
  <c r="AA174" i="2"/>
  <c r="AB174" i="2"/>
  <c r="W174" i="2"/>
  <c r="Y175" i="2"/>
  <c r="Z175" i="2"/>
  <c r="AA175" i="2"/>
  <c r="AB175" i="2"/>
  <c r="W175" i="2"/>
  <c r="Y176" i="2"/>
  <c r="Z176" i="2"/>
  <c r="AA176" i="2"/>
  <c r="AB176" i="2"/>
  <c r="W176" i="2"/>
  <c r="Y177" i="2"/>
  <c r="Z177" i="2"/>
  <c r="AA177" i="2"/>
  <c r="AB177" i="2"/>
  <c r="W177" i="2"/>
  <c r="Y178" i="2"/>
  <c r="Z178" i="2"/>
  <c r="AA178" i="2"/>
  <c r="AB178" i="2"/>
  <c r="W178" i="2"/>
  <c r="Y179" i="2"/>
  <c r="Z179" i="2"/>
  <c r="AA179" i="2"/>
  <c r="AB179" i="2"/>
  <c r="W179" i="2"/>
  <c r="Y180" i="2"/>
  <c r="Z180" i="2"/>
  <c r="AA180" i="2"/>
  <c r="AB180" i="2"/>
  <c r="W180" i="2"/>
  <c r="Y181" i="2"/>
  <c r="Z181" i="2"/>
  <c r="AA181" i="2"/>
  <c r="AB181" i="2"/>
  <c r="W181" i="2"/>
  <c r="Y182" i="2"/>
  <c r="Z182" i="2"/>
  <c r="AA182" i="2"/>
  <c r="AB182" i="2"/>
  <c r="W182" i="2"/>
  <c r="Y183" i="2"/>
  <c r="Z183" i="2"/>
  <c r="AA183" i="2"/>
  <c r="AB183" i="2"/>
  <c r="W183" i="2"/>
  <c r="Y184" i="2"/>
  <c r="Z184" i="2"/>
  <c r="AA184" i="2"/>
  <c r="AB184" i="2"/>
  <c r="W184" i="2"/>
  <c r="Y185" i="2"/>
  <c r="Z185" i="2"/>
  <c r="AA185" i="2"/>
  <c r="AB185" i="2"/>
  <c r="W185" i="2"/>
  <c r="Y186" i="2"/>
  <c r="Z186" i="2"/>
  <c r="AA186" i="2"/>
  <c r="AB186" i="2"/>
  <c r="W186" i="2"/>
  <c r="Y187" i="2"/>
  <c r="Z187" i="2"/>
  <c r="AA187" i="2"/>
  <c r="AB187" i="2"/>
  <c r="W187" i="2"/>
  <c r="Y188" i="2"/>
  <c r="Z188" i="2"/>
  <c r="AA188" i="2"/>
  <c r="AB188" i="2"/>
  <c r="W188" i="2"/>
  <c r="Y189" i="2"/>
  <c r="Z189" i="2"/>
  <c r="AA189" i="2"/>
  <c r="AB189" i="2"/>
  <c r="W189" i="2"/>
  <c r="Y190" i="2"/>
  <c r="Z190" i="2"/>
  <c r="AA190" i="2"/>
  <c r="AB190" i="2"/>
  <c r="W190" i="2"/>
  <c r="Y191" i="2"/>
  <c r="Z191" i="2"/>
  <c r="AA191" i="2"/>
  <c r="AB191" i="2"/>
  <c r="W191" i="2"/>
  <c r="Y192" i="2"/>
  <c r="Z192" i="2"/>
  <c r="AA192" i="2"/>
  <c r="AB192" i="2"/>
  <c r="W192" i="2"/>
  <c r="Y193" i="2"/>
  <c r="Z193" i="2"/>
  <c r="AA193" i="2"/>
  <c r="AB193" i="2"/>
  <c r="W193" i="2"/>
  <c r="Y194" i="2"/>
  <c r="Z194" i="2"/>
  <c r="AA194" i="2"/>
  <c r="AB194" i="2"/>
  <c r="W194" i="2"/>
  <c r="Y195" i="2"/>
  <c r="Z195" i="2"/>
  <c r="AA195" i="2"/>
  <c r="AB195" i="2"/>
  <c r="W195" i="2"/>
  <c r="Y196" i="2"/>
  <c r="Z196" i="2"/>
  <c r="AA196" i="2"/>
  <c r="AB196" i="2"/>
  <c r="W196" i="2"/>
  <c r="Y197" i="2"/>
  <c r="Z197" i="2"/>
  <c r="AA197" i="2"/>
  <c r="AB197" i="2"/>
  <c r="W197" i="2"/>
  <c r="Y198" i="2"/>
  <c r="Z198" i="2"/>
  <c r="AA198" i="2"/>
  <c r="AB198" i="2"/>
  <c r="W198" i="2"/>
  <c r="Y199" i="2"/>
  <c r="Z199" i="2"/>
  <c r="AA199" i="2"/>
  <c r="AB199" i="2"/>
  <c r="W199" i="2"/>
  <c r="Y200" i="2"/>
  <c r="Z200" i="2"/>
  <c r="AA200" i="2"/>
  <c r="AB200" i="2"/>
  <c r="W200" i="2"/>
  <c r="Y201" i="2"/>
  <c r="Z201" i="2"/>
  <c r="AA201" i="2"/>
  <c r="AB201" i="2"/>
  <c r="W201" i="2"/>
  <c r="Y202" i="2"/>
  <c r="Z202" i="2"/>
  <c r="AA202" i="2"/>
  <c r="AB202" i="2"/>
  <c r="W202" i="2"/>
  <c r="Y203" i="2"/>
  <c r="Z203" i="2"/>
  <c r="AA203" i="2"/>
  <c r="AB203" i="2"/>
  <c r="W203" i="2"/>
  <c r="Y204" i="2"/>
  <c r="Z204" i="2"/>
  <c r="AA204" i="2"/>
  <c r="AB204" i="2"/>
  <c r="W204" i="2"/>
  <c r="Y205" i="2"/>
  <c r="Z205" i="2"/>
  <c r="AA205" i="2"/>
  <c r="AB205" i="2"/>
  <c r="W205" i="2"/>
  <c r="Y206" i="2"/>
  <c r="Z206" i="2"/>
  <c r="AA206" i="2"/>
  <c r="AB206" i="2"/>
  <c r="W206" i="2"/>
  <c r="Y207" i="2"/>
  <c r="Z207" i="2"/>
  <c r="AA207" i="2"/>
  <c r="AB207" i="2"/>
  <c r="W207" i="2"/>
  <c r="Y208" i="2"/>
  <c r="Z208" i="2"/>
  <c r="AA208" i="2"/>
  <c r="AB208" i="2"/>
  <c r="W208" i="2"/>
  <c r="Y209" i="2"/>
  <c r="Z209" i="2"/>
  <c r="AA209" i="2"/>
  <c r="AB209" i="2"/>
  <c r="W209" i="2"/>
  <c r="Y210" i="2"/>
  <c r="Z210" i="2"/>
  <c r="AA210" i="2"/>
  <c r="AB210" i="2"/>
  <c r="W210" i="2"/>
  <c r="Y211" i="2"/>
  <c r="Z211" i="2"/>
  <c r="AA211" i="2"/>
  <c r="AB211" i="2"/>
  <c r="W211" i="2"/>
  <c r="Y212" i="2"/>
  <c r="Z212" i="2"/>
  <c r="AA212" i="2"/>
  <c r="AB212" i="2"/>
  <c r="W212" i="2"/>
  <c r="Y213" i="2"/>
  <c r="Z213" i="2"/>
  <c r="AA213" i="2"/>
  <c r="AB213" i="2"/>
  <c r="W213" i="2"/>
  <c r="Y214" i="2"/>
  <c r="Z214" i="2"/>
  <c r="AA214" i="2"/>
  <c r="AB214" i="2"/>
  <c r="W214" i="2"/>
  <c r="Y215" i="2"/>
  <c r="Z215" i="2"/>
  <c r="AA215" i="2"/>
  <c r="AB215" i="2"/>
  <c r="W215" i="2"/>
  <c r="Y216" i="2"/>
  <c r="Z216" i="2"/>
  <c r="AA216" i="2"/>
  <c r="AB216" i="2"/>
  <c r="W216" i="2"/>
  <c r="Y217" i="2"/>
  <c r="Z217" i="2"/>
  <c r="AA217" i="2"/>
  <c r="AB217" i="2"/>
  <c r="W217" i="2"/>
  <c r="Y218" i="2"/>
  <c r="Z218" i="2"/>
  <c r="AA218" i="2"/>
  <c r="AB218" i="2"/>
  <c r="W218" i="2"/>
  <c r="Y219" i="2"/>
  <c r="Z219" i="2"/>
  <c r="AA219" i="2"/>
  <c r="AB219" i="2"/>
  <c r="W219" i="2"/>
  <c r="Y220" i="2"/>
  <c r="Z220" i="2"/>
  <c r="AA220" i="2"/>
  <c r="AB220" i="2"/>
  <c r="W220" i="2"/>
  <c r="Y221" i="2"/>
  <c r="Z221" i="2"/>
  <c r="AA221" i="2"/>
  <c r="AB221" i="2"/>
  <c r="W221" i="2"/>
  <c r="Y222" i="2"/>
  <c r="Z222" i="2"/>
  <c r="AA222" i="2"/>
  <c r="AB222" i="2"/>
  <c r="W222" i="2"/>
  <c r="Y223" i="2"/>
  <c r="Z223" i="2"/>
  <c r="AA223" i="2"/>
  <c r="AB223" i="2"/>
  <c r="W223" i="2"/>
  <c r="Y224" i="2"/>
  <c r="Z224" i="2"/>
  <c r="AA224" i="2"/>
  <c r="AB224" i="2"/>
  <c r="W224" i="2"/>
  <c r="Y225" i="2"/>
  <c r="Z225" i="2"/>
  <c r="AA225" i="2"/>
  <c r="AB225" i="2"/>
  <c r="W225" i="2"/>
  <c r="Y226" i="2"/>
  <c r="Z226" i="2"/>
  <c r="AA226" i="2"/>
  <c r="AB226" i="2"/>
  <c r="W226" i="2"/>
  <c r="Y227" i="2"/>
  <c r="Z227" i="2"/>
  <c r="AA227" i="2"/>
  <c r="AB227" i="2"/>
  <c r="W227" i="2"/>
  <c r="Y228" i="2"/>
  <c r="Z228" i="2"/>
  <c r="AA228" i="2"/>
  <c r="AB228" i="2"/>
  <c r="W228" i="2"/>
  <c r="Y229" i="2"/>
  <c r="Z229" i="2"/>
  <c r="AA229" i="2"/>
  <c r="AB229" i="2"/>
  <c r="W229" i="2"/>
  <c r="Y230" i="2"/>
  <c r="Z230" i="2"/>
  <c r="AA230" i="2"/>
  <c r="AB230" i="2"/>
  <c r="W230" i="2"/>
  <c r="Y231" i="2"/>
  <c r="Z231" i="2"/>
  <c r="AA231" i="2"/>
  <c r="AB231" i="2"/>
  <c r="W231" i="2"/>
  <c r="Y232" i="2"/>
  <c r="Z232" i="2"/>
  <c r="AA232" i="2"/>
  <c r="AB232" i="2"/>
  <c r="W232" i="2"/>
  <c r="Y233" i="2"/>
  <c r="Z233" i="2"/>
  <c r="AA233" i="2"/>
  <c r="AB233" i="2"/>
  <c r="W233" i="2"/>
  <c r="Y234" i="2"/>
  <c r="Z234" i="2"/>
  <c r="AA234" i="2"/>
  <c r="AB234" i="2"/>
  <c r="W234" i="2"/>
  <c r="Y235" i="2"/>
  <c r="Z235" i="2"/>
  <c r="AA235" i="2"/>
  <c r="AB235" i="2"/>
  <c r="W235" i="2"/>
  <c r="Y236" i="2"/>
  <c r="Z236" i="2"/>
  <c r="AA236" i="2"/>
  <c r="AB236" i="2"/>
  <c r="W236" i="2"/>
  <c r="Y237" i="2"/>
  <c r="Z237" i="2"/>
  <c r="AA237" i="2"/>
  <c r="AB237" i="2"/>
  <c r="W237" i="2"/>
  <c r="Y238" i="2"/>
  <c r="Z238" i="2"/>
  <c r="AA238" i="2"/>
  <c r="AB238" i="2"/>
  <c r="W238" i="2"/>
  <c r="Y239" i="2"/>
  <c r="Z239" i="2"/>
  <c r="AA239" i="2"/>
  <c r="AB239" i="2"/>
  <c r="W239" i="2"/>
  <c r="Y240" i="2"/>
  <c r="Z240" i="2"/>
  <c r="AA240" i="2"/>
  <c r="AB240" i="2"/>
  <c r="W240" i="2"/>
  <c r="Y241" i="2"/>
  <c r="Z241" i="2"/>
  <c r="AA241" i="2"/>
  <c r="AB241" i="2"/>
  <c r="W241" i="2"/>
  <c r="Y242" i="2"/>
  <c r="Z242" i="2"/>
  <c r="AA242" i="2"/>
  <c r="AB242" i="2"/>
  <c r="W242" i="2"/>
  <c r="Y243" i="2"/>
  <c r="Z243" i="2"/>
  <c r="AA243" i="2"/>
  <c r="AB243" i="2"/>
  <c r="W243" i="2"/>
  <c r="Y244" i="2"/>
  <c r="Z244" i="2"/>
  <c r="AA244" i="2"/>
  <c r="AB244" i="2"/>
  <c r="W244" i="2"/>
  <c r="Y245" i="2"/>
  <c r="Z245" i="2"/>
  <c r="AA245" i="2"/>
  <c r="AB245" i="2"/>
  <c r="W245" i="2"/>
  <c r="Y246" i="2"/>
  <c r="Z246" i="2"/>
  <c r="AA246" i="2"/>
  <c r="AB246" i="2"/>
  <c r="W246" i="2"/>
  <c r="Y247" i="2"/>
  <c r="Z247" i="2"/>
  <c r="AA247" i="2"/>
  <c r="AB247" i="2"/>
  <c r="W247" i="2"/>
  <c r="Y248" i="2"/>
  <c r="Z248" i="2"/>
  <c r="AA248" i="2"/>
  <c r="AB248" i="2"/>
  <c r="W248" i="2"/>
  <c r="Y249" i="2"/>
  <c r="Z249" i="2"/>
  <c r="AA249" i="2"/>
  <c r="AB249" i="2"/>
  <c r="W249" i="2"/>
  <c r="Y250" i="2"/>
  <c r="Z250" i="2"/>
  <c r="AA250" i="2"/>
  <c r="AB250" i="2"/>
  <c r="W250" i="2"/>
  <c r="Y251" i="2"/>
  <c r="Z251" i="2"/>
  <c r="AA251" i="2"/>
  <c r="AB251" i="2"/>
  <c r="W251" i="2"/>
  <c r="Y252" i="2"/>
  <c r="Z252" i="2"/>
  <c r="AA252" i="2"/>
  <c r="AB252" i="2"/>
  <c r="W252" i="2"/>
  <c r="Y253" i="2"/>
  <c r="Z253" i="2"/>
  <c r="AA253" i="2"/>
  <c r="AB253" i="2"/>
  <c r="W253" i="2"/>
  <c r="Y254" i="2"/>
  <c r="Z254" i="2"/>
  <c r="AA254" i="2"/>
  <c r="AB254" i="2"/>
  <c r="W254" i="2"/>
  <c r="Y255" i="2"/>
  <c r="Z255" i="2"/>
  <c r="AA255" i="2"/>
  <c r="AB255" i="2"/>
  <c r="W255" i="2"/>
  <c r="Y256" i="2"/>
  <c r="Z256" i="2"/>
  <c r="AA256" i="2"/>
  <c r="AB256" i="2"/>
  <c r="W256" i="2"/>
  <c r="Y257" i="2"/>
  <c r="Z257" i="2"/>
  <c r="AA257" i="2"/>
  <c r="AB257" i="2"/>
  <c r="W257" i="2"/>
  <c r="Y258" i="2"/>
  <c r="Z258" i="2"/>
  <c r="AA258" i="2"/>
  <c r="AB258" i="2"/>
  <c r="W258" i="2"/>
  <c r="Y259" i="2"/>
  <c r="Z259" i="2"/>
  <c r="AA259" i="2"/>
  <c r="AB259" i="2"/>
  <c r="W259" i="2"/>
  <c r="Y260" i="2"/>
  <c r="Z260" i="2"/>
  <c r="AA260" i="2"/>
  <c r="AB260" i="2"/>
  <c r="W260" i="2"/>
  <c r="Y261" i="2"/>
  <c r="Z261" i="2"/>
  <c r="AA261" i="2"/>
  <c r="AB261" i="2"/>
  <c r="W261" i="2"/>
  <c r="Y262" i="2"/>
  <c r="Z262" i="2"/>
  <c r="AA262" i="2"/>
  <c r="AB262" i="2"/>
  <c r="W262" i="2"/>
  <c r="Y263" i="2"/>
  <c r="Z263" i="2"/>
  <c r="AA263" i="2"/>
  <c r="AB263" i="2"/>
  <c r="W263" i="2"/>
  <c r="Y264" i="2"/>
  <c r="Z264" i="2"/>
  <c r="AA264" i="2"/>
  <c r="AB264" i="2"/>
  <c r="W264" i="2"/>
  <c r="Y265" i="2"/>
  <c r="Z265" i="2"/>
  <c r="AA265" i="2"/>
  <c r="AB265" i="2"/>
  <c r="W265" i="2"/>
  <c r="Y266" i="2"/>
  <c r="Z266" i="2"/>
  <c r="AA266" i="2"/>
  <c r="AB266" i="2"/>
  <c r="W266" i="2"/>
  <c r="Y267" i="2"/>
  <c r="Z267" i="2"/>
  <c r="AA267" i="2"/>
  <c r="AB267" i="2"/>
  <c r="W267" i="2"/>
  <c r="Y268" i="2"/>
  <c r="Z268" i="2"/>
  <c r="AA268" i="2"/>
  <c r="AB268" i="2"/>
  <c r="W268" i="2"/>
  <c r="Y269" i="2"/>
  <c r="Z269" i="2"/>
  <c r="AA269" i="2"/>
  <c r="AB269" i="2"/>
  <c r="W269" i="2"/>
  <c r="Y270" i="2"/>
  <c r="Z270" i="2"/>
  <c r="AA270" i="2"/>
  <c r="AB270" i="2"/>
  <c r="W270" i="2"/>
  <c r="Y271" i="2"/>
  <c r="Z271" i="2"/>
  <c r="AA271" i="2"/>
  <c r="AB271" i="2"/>
  <c r="W271" i="2"/>
  <c r="Y272" i="2"/>
  <c r="Z272" i="2"/>
  <c r="AA272" i="2"/>
  <c r="AB272" i="2"/>
  <c r="W272" i="2"/>
  <c r="Y273" i="2"/>
  <c r="Z273" i="2"/>
  <c r="AA273" i="2"/>
  <c r="AB273" i="2"/>
  <c r="W273" i="2"/>
  <c r="Y274" i="2"/>
  <c r="Z274" i="2"/>
  <c r="AA274" i="2"/>
  <c r="AB274" i="2"/>
  <c r="W274" i="2"/>
  <c r="Y275" i="2"/>
  <c r="Z275" i="2"/>
  <c r="AA275" i="2"/>
  <c r="AB275" i="2"/>
  <c r="W275" i="2"/>
  <c r="Y276" i="2"/>
  <c r="Z276" i="2"/>
  <c r="AA276" i="2"/>
  <c r="AB276" i="2"/>
  <c r="W276" i="2"/>
  <c r="Y277" i="2"/>
  <c r="Z277" i="2"/>
  <c r="AA277" i="2"/>
  <c r="AB277" i="2"/>
  <c r="W277" i="2"/>
  <c r="Y278" i="2"/>
  <c r="Z278" i="2"/>
  <c r="AA278" i="2"/>
  <c r="AB278" i="2"/>
  <c r="W278" i="2"/>
  <c r="Y279" i="2"/>
  <c r="Z279" i="2"/>
  <c r="AA279" i="2"/>
  <c r="AB279" i="2"/>
  <c r="W279" i="2"/>
  <c r="Y280" i="2"/>
  <c r="Z280" i="2"/>
  <c r="AA280" i="2"/>
  <c r="AB280" i="2"/>
  <c r="W280" i="2"/>
  <c r="Y281" i="2"/>
  <c r="Z281" i="2"/>
  <c r="AA281" i="2"/>
  <c r="AB281" i="2"/>
  <c r="W281" i="2"/>
  <c r="Y282" i="2"/>
  <c r="Z282" i="2"/>
  <c r="AA282" i="2"/>
  <c r="AB282" i="2"/>
  <c r="W282" i="2"/>
  <c r="Y283" i="2"/>
  <c r="Z283" i="2"/>
  <c r="AA283" i="2"/>
  <c r="AB283" i="2"/>
  <c r="W283" i="2"/>
  <c r="Y284" i="2"/>
  <c r="Z284" i="2"/>
  <c r="AA284" i="2"/>
  <c r="AB284" i="2"/>
  <c r="W284" i="2"/>
  <c r="Y285" i="2"/>
  <c r="Z285" i="2"/>
  <c r="AA285" i="2"/>
  <c r="AB285" i="2"/>
  <c r="W285" i="2"/>
  <c r="Y286" i="2"/>
  <c r="Z286" i="2"/>
  <c r="AA286" i="2"/>
  <c r="AB286" i="2"/>
  <c r="W286" i="2"/>
  <c r="Y287" i="2"/>
  <c r="Z287" i="2"/>
  <c r="AA287" i="2"/>
  <c r="AB287" i="2"/>
  <c r="W287" i="2"/>
  <c r="Y288" i="2"/>
  <c r="Z288" i="2"/>
  <c r="AA288" i="2"/>
  <c r="AB288" i="2"/>
  <c r="W288" i="2"/>
  <c r="Y289" i="2"/>
  <c r="Z289" i="2"/>
  <c r="AA289" i="2"/>
  <c r="AB289" i="2"/>
  <c r="W289" i="2"/>
  <c r="Y290" i="2"/>
  <c r="Z290" i="2"/>
  <c r="AA290" i="2"/>
  <c r="AB290" i="2"/>
  <c r="W290" i="2"/>
  <c r="Y291" i="2"/>
  <c r="Z291" i="2"/>
  <c r="AA291" i="2"/>
  <c r="AB291" i="2"/>
  <c r="W291" i="2"/>
  <c r="Y292" i="2"/>
  <c r="Z292" i="2"/>
  <c r="AA292" i="2"/>
  <c r="AB292" i="2"/>
  <c r="W292" i="2"/>
  <c r="Y293" i="2"/>
  <c r="Z293" i="2"/>
  <c r="AA293" i="2"/>
  <c r="AB293" i="2"/>
  <c r="W293" i="2"/>
  <c r="Y294" i="2"/>
  <c r="Z294" i="2"/>
  <c r="AA294" i="2"/>
  <c r="AB294" i="2"/>
  <c r="W294" i="2"/>
  <c r="Y295" i="2"/>
  <c r="Z295" i="2"/>
  <c r="AA295" i="2"/>
  <c r="AB295" i="2"/>
  <c r="W295" i="2"/>
  <c r="Y296" i="2"/>
  <c r="Z296" i="2"/>
  <c r="AA296" i="2"/>
  <c r="AB296" i="2"/>
  <c r="W296" i="2"/>
  <c r="Y297" i="2"/>
  <c r="Z297" i="2"/>
  <c r="AA297" i="2"/>
  <c r="AB297" i="2"/>
  <c r="W297" i="2"/>
  <c r="Y298" i="2"/>
  <c r="Z298" i="2"/>
  <c r="AA298" i="2"/>
  <c r="AB298" i="2"/>
  <c r="W298" i="2"/>
  <c r="Y299" i="2"/>
  <c r="Z299" i="2"/>
  <c r="AA299" i="2"/>
  <c r="AB299" i="2"/>
  <c r="W299" i="2"/>
  <c r="Y300" i="2"/>
  <c r="Z300" i="2"/>
  <c r="AA300" i="2"/>
  <c r="AB300" i="2"/>
  <c r="W300" i="2"/>
  <c r="Y301" i="2"/>
  <c r="Z301" i="2"/>
  <c r="AA301" i="2"/>
  <c r="AB301" i="2"/>
  <c r="W301" i="2"/>
  <c r="Y302" i="2"/>
  <c r="Z302" i="2"/>
  <c r="AA302" i="2"/>
  <c r="AB302" i="2"/>
  <c r="W302" i="2"/>
  <c r="Y303" i="2"/>
  <c r="Z303" i="2"/>
  <c r="AA303" i="2"/>
  <c r="AB303" i="2"/>
  <c r="W303" i="2"/>
  <c r="Y304" i="2"/>
  <c r="Z304" i="2"/>
  <c r="AA304" i="2"/>
  <c r="AB304" i="2"/>
  <c r="W304" i="2"/>
  <c r="Y305" i="2"/>
  <c r="Z305" i="2"/>
  <c r="AA305" i="2"/>
  <c r="AB305" i="2"/>
  <c r="W305" i="2"/>
  <c r="Y306" i="2"/>
  <c r="Z306" i="2"/>
  <c r="AA306" i="2"/>
  <c r="AB306" i="2"/>
  <c r="W306" i="2"/>
  <c r="Y307" i="2"/>
  <c r="Z307" i="2"/>
  <c r="AA307" i="2"/>
  <c r="AB307" i="2"/>
  <c r="W307" i="2"/>
  <c r="Y308" i="2"/>
  <c r="Z308" i="2"/>
  <c r="AA308" i="2"/>
  <c r="AB308" i="2"/>
  <c r="W308" i="2"/>
  <c r="Y309" i="2"/>
  <c r="Z309" i="2"/>
  <c r="AA309" i="2"/>
  <c r="AB309" i="2"/>
  <c r="W309" i="2"/>
  <c r="Y310" i="2"/>
  <c r="Z310" i="2"/>
  <c r="AA310" i="2"/>
  <c r="AB310" i="2"/>
  <c r="W310" i="2"/>
  <c r="Y311" i="2"/>
  <c r="Z311" i="2"/>
  <c r="AA311" i="2"/>
  <c r="AB311" i="2"/>
  <c r="W311" i="2"/>
  <c r="Y312" i="2"/>
  <c r="Z312" i="2"/>
  <c r="AA312" i="2"/>
  <c r="AB312" i="2"/>
  <c r="W312" i="2"/>
  <c r="Y313" i="2"/>
  <c r="Z313" i="2"/>
  <c r="AA313" i="2"/>
  <c r="AB313" i="2"/>
  <c r="W313" i="2"/>
  <c r="Y314" i="2"/>
  <c r="Z314" i="2"/>
  <c r="AA314" i="2"/>
  <c r="AB314" i="2"/>
  <c r="W314" i="2"/>
  <c r="Y315" i="2"/>
  <c r="Z315" i="2"/>
  <c r="AA315" i="2"/>
  <c r="AB315" i="2"/>
  <c r="W315" i="2"/>
  <c r="Y316" i="2"/>
  <c r="Z316" i="2"/>
  <c r="AA316" i="2"/>
  <c r="AB316" i="2"/>
  <c r="W316" i="2"/>
  <c r="Y317" i="2"/>
  <c r="Z317" i="2"/>
  <c r="AA317" i="2"/>
  <c r="AB317" i="2"/>
  <c r="W317" i="2"/>
  <c r="Y318" i="2"/>
  <c r="Z318" i="2"/>
  <c r="AA318" i="2"/>
  <c r="AB318" i="2"/>
  <c r="W318" i="2"/>
  <c r="Y319" i="2"/>
  <c r="Z319" i="2"/>
  <c r="AA319" i="2"/>
  <c r="AB319" i="2"/>
  <c r="W319" i="2"/>
  <c r="Y320" i="2"/>
  <c r="Z320" i="2"/>
  <c r="AA320" i="2"/>
  <c r="AB320" i="2"/>
  <c r="W320" i="2"/>
  <c r="Y321" i="2"/>
  <c r="Z321" i="2"/>
  <c r="AA321" i="2"/>
  <c r="AB321" i="2"/>
  <c r="W321" i="2"/>
  <c r="Y322" i="2"/>
  <c r="Z322" i="2"/>
  <c r="AA322" i="2"/>
  <c r="AB322" i="2"/>
  <c r="W322" i="2"/>
  <c r="Y323" i="2"/>
  <c r="Z323" i="2"/>
  <c r="AA323" i="2"/>
  <c r="AB323" i="2"/>
  <c r="W323" i="2"/>
  <c r="Y324" i="2"/>
  <c r="Z324" i="2"/>
  <c r="AA324" i="2"/>
  <c r="AB324" i="2"/>
  <c r="W324" i="2"/>
  <c r="Y325" i="2"/>
  <c r="Z325" i="2"/>
  <c r="AA325" i="2"/>
  <c r="AB325" i="2"/>
  <c r="W325" i="2"/>
  <c r="Y326" i="2"/>
  <c r="Z326" i="2"/>
  <c r="AA326" i="2"/>
  <c r="AB326" i="2"/>
  <c r="W326" i="2"/>
  <c r="Y327" i="2"/>
  <c r="Z327" i="2"/>
  <c r="AA327" i="2"/>
  <c r="AB327" i="2"/>
  <c r="W327" i="2"/>
  <c r="Y328" i="2"/>
  <c r="Z328" i="2"/>
  <c r="AA328" i="2"/>
  <c r="AB328" i="2"/>
  <c r="W328" i="2"/>
  <c r="Y329" i="2"/>
  <c r="Z329" i="2"/>
  <c r="AA329" i="2"/>
  <c r="AB329" i="2"/>
  <c r="W329" i="2"/>
  <c r="Y330" i="2"/>
  <c r="Z330" i="2"/>
  <c r="AA330" i="2"/>
  <c r="AB330" i="2"/>
  <c r="W330" i="2"/>
  <c r="Y331" i="2"/>
  <c r="Z331" i="2"/>
  <c r="AA331" i="2"/>
  <c r="AB331" i="2"/>
  <c r="W331" i="2"/>
  <c r="Y332" i="2"/>
  <c r="Z332" i="2"/>
  <c r="AA332" i="2"/>
  <c r="AB332" i="2"/>
  <c r="W332" i="2"/>
  <c r="Y333" i="2"/>
  <c r="Z333" i="2"/>
  <c r="AA333" i="2"/>
  <c r="AB333" i="2"/>
  <c r="W333" i="2"/>
  <c r="Y334" i="2"/>
  <c r="Z334" i="2"/>
  <c r="AA334" i="2"/>
  <c r="AB334" i="2"/>
  <c r="W334" i="2"/>
  <c r="Y335" i="2"/>
  <c r="Z335" i="2"/>
  <c r="AA335" i="2"/>
  <c r="AB335" i="2"/>
  <c r="W335" i="2"/>
  <c r="Y336" i="2"/>
  <c r="Z336" i="2"/>
  <c r="AA336" i="2"/>
  <c r="AB336" i="2"/>
  <c r="W336" i="2"/>
  <c r="Y337" i="2"/>
  <c r="Z337" i="2"/>
  <c r="AA337" i="2"/>
  <c r="AB337" i="2"/>
  <c r="W337" i="2"/>
  <c r="Y338" i="2"/>
  <c r="Z338" i="2"/>
  <c r="AA338" i="2"/>
  <c r="AB338" i="2"/>
  <c r="W338" i="2"/>
  <c r="Y339" i="2"/>
  <c r="Z339" i="2"/>
  <c r="AA339" i="2"/>
  <c r="AB339" i="2"/>
  <c r="W339" i="2"/>
  <c r="Y340" i="2"/>
  <c r="Z340" i="2"/>
  <c r="AA340" i="2"/>
  <c r="AB340" i="2"/>
  <c r="W340" i="2"/>
  <c r="Y341" i="2"/>
  <c r="Z341" i="2"/>
  <c r="AA341" i="2"/>
  <c r="AB341" i="2"/>
  <c r="W341" i="2"/>
  <c r="Y342" i="2"/>
  <c r="Z342" i="2"/>
  <c r="AA342" i="2"/>
  <c r="AB342" i="2"/>
  <c r="W342" i="2"/>
  <c r="Y343" i="2"/>
  <c r="Z343" i="2"/>
  <c r="AA343" i="2"/>
  <c r="AB343" i="2"/>
  <c r="W343" i="2"/>
  <c r="Y344" i="2"/>
  <c r="Z344" i="2"/>
  <c r="AA344" i="2"/>
  <c r="AB344" i="2"/>
  <c r="W344" i="2"/>
  <c r="Y345" i="2"/>
  <c r="Z345" i="2"/>
  <c r="AA345" i="2"/>
  <c r="AB345" i="2"/>
  <c r="W345" i="2"/>
  <c r="Y346" i="2"/>
  <c r="Z346" i="2"/>
  <c r="AA346" i="2"/>
  <c r="AB346" i="2"/>
  <c r="W346" i="2"/>
  <c r="Y347" i="2"/>
  <c r="Z347" i="2"/>
  <c r="AA347" i="2"/>
  <c r="AB347" i="2"/>
  <c r="W347" i="2"/>
  <c r="Y348" i="2"/>
  <c r="Z348" i="2"/>
  <c r="AA348" i="2"/>
  <c r="AB348" i="2"/>
  <c r="W348" i="2"/>
  <c r="Y349" i="2"/>
  <c r="Z349" i="2"/>
  <c r="AA349" i="2"/>
  <c r="AB349" i="2"/>
  <c r="W349" i="2"/>
  <c r="Y350" i="2"/>
  <c r="Z350" i="2"/>
  <c r="AA350" i="2"/>
  <c r="AB350" i="2"/>
  <c r="W350" i="2"/>
  <c r="Y351" i="2"/>
  <c r="Z351" i="2"/>
  <c r="AA351" i="2"/>
  <c r="AB351" i="2"/>
  <c r="W351" i="2"/>
  <c r="Y352" i="2"/>
  <c r="Z352" i="2"/>
  <c r="AA352" i="2"/>
  <c r="AB352" i="2"/>
  <c r="W352" i="2"/>
  <c r="Y353" i="2"/>
  <c r="Z353" i="2"/>
  <c r="AA353" i="2"/>
  <c r="AB353" i="2"/>
  <c r="W353" i="2"/>
  <c r="Y354" i="2"/>
  <c r="Z354" i="2"/>
  <c r="AA354" i="2"/>
  <c r="AB354" i="2"/>
  <c r="W354" i="2"/>
  <c r="Y355" i="2"/>
  <c r="Z355" i="2"/>
  <c r="AA355" i="2"/>
  <c r="AB355" i="2"/>
  <c r="W355" i="2"/>
  <c r="Y356" i="2"/>
  <c r="Z356" i="2"/>
  <c r="AA356" i="2"/>
  <c r="AB356" i="2"/>
  <c r="W356" i="2"/>
  <c r="Y357" i="2"/>
  <c r="Z357" i="2"/>
  <c r="AA357" i="2"/>
  <c r="AB357" i="2"/>
  <c r="W357" i="2"/>
  <c r="Y358" i="2"/>
  <c r="Z358" i="2"/>
  <c r="AA358" i="2"/>
  <c r="AB358" i="2"/>
  <c r="W358" i="2"/>
  <c r="Y359" i="2"/>
  <c r="Z359" i="2"/>
  <c r="AA359" i="2"/>
  <c r="AB359" i="2"/>
  <c r="W359" i="2"/>
  <c r="Y360" i="2"/>
  <c r="Z360" i="2"/>
  <c r="AA360" i="2"/>
  <c r="AB360" i="2"/>
  <c r="W360" i="2"/>
  <c r="Y361" i="2"/>
  <c r="Z361" i="2"/>
  <c r="AA361" i="2"/>
  <c r="AB361" i="2"/>
  <c r="W361" i="2"/>
  <c r="Y362" i="2"/>
  <c r="Z362" i="2"/>
  <c r="AA362" i="2"/>
  <c r="AB362" i="2"/>
  <c r="W362" i="2"/>
  <c r="Y363" i="2"/>
  <c r="Z363" i="2"/>
  <c r="AA363" i="2"/>
  <c r="AB363" i="2"/>
  <c r="W363" i="2"/>
  <c r="Y364" i="2"/>
  <c r="Z364" i="2"/>
  <c r="AA364" i="2"/>
  <c r="AB364" i="2"/>
  <c r="W364" i="2"/>
  <c r="Y365" i="2"/>
  <c r="Z365" i="2"/>
  <c r="AA365" i="2"/>
  <c r="AB365" i="2"/>
  <c r="W365" i="2"/>
  <c r="Y366" i="2"/>
  <c r="Z366" i="2"/>
  <c r="AA366" i="2"/>
  <c r="AB366" i="2"/>
  <c r="W366" i="2"/>
  <c r="Y367" i="2"/>
  <c r="Z367" i="2"/>
  <c r="AA367" i="2"/>
  <c r="AB367" i="2"/>
  <c r="W367" i="2"/>
  <c r="Y368" i="2"/>
  <c r="Z368" i="2"/>
  <c r="AA368" i="2"/>
  <c r="AB368" i="2"/>
  <c r="W368" i="2"/>
  <c r="Y369" i="2"/>
  <c r="Z369" i="2"/>
  <c r="AA369" i="2"/>
  <c r="AB369" i="2"/>
  <c r="W369" i="2"/>
  <c r="Y370" i="2"/>
  <c r="Z370" i="2"/>
  <c r="AA370" i="2"/>
  <c r="AB370" i="2"/>
  <c r="W370" i="2"/>
  <c r="Y371" i="2"/>
  <c r="Z371" i="2"/>
  <c r="AA371" i="2"/>
  <c r="AB371" i="2"/>
  <c r="W371" i="2"/>
  <c r="Y372" i="2"/>
  <c r="Z372" i="2"/>
  <c r="AA372" i="2"/>
  <c r="AB372" i="2"/>
  <c r="W372" i="2"/>
  <c r="Y373" i="2"/>
  <c r="Z373" i="2"/>
  <c r="AA373" i="2"/>
  <c r="AB373" i="2"/>
  <c r="W373" i="2"/>
  <c r="Y374" i="2"/>
  <c r="Z374" i="2"/>
  <c r="AA374" i="2"/>
  <c r="AB374" i="2"/>
  <c r="W374" i="2"/>
  <c r="Y375" i="2"/>
  <c r="Z375" i="2"/>
  <c r="AA375" i="2"/>
  <c r="AB375" i="2"/>
  <c r="W375" i="2"/>
  <c r="Y376" i="2"/>
  <c r="Z376" i="2"/>
  <c r="AA376" i="2"/>
  <c r="AB376" i="2"/>
  <c r="W376" i="2"/>
  <c r="Y377" i="2"/>
  <c r="Z377" i="2"/>
  <c r="AA377" i="2"/>
  <c r="AB377" i="2"/>
  <c r="W377" i="2"/>
  <c r="Y378" i="2"/>
  <c r="Z378" i="2"/>
  <c r="AA378" i="2"/>
  <c r="AB378" i="2"/>
  <c r="W378" i="2"/>
  <c r="Y379" i="2"/>
  <c r="Z379" i="2"/>
  <c r="AA379" i="2"/>
  <c r="AB379" i="2"/>
  <c r="W379" i="2"/>
  <c r="Y380" i="2"/>
  <c r="Z380" i="2"/>
  <c r="AA380" i="2"/>
  <c r="AB380" i="2"/>
  <c r="W380" i="2"/>
  <c r="Y381" i="2"/>
  <c r="Z381" i="2"/>
  <c r="AA381" i="2"/>
  <c r="AB381" i="2"/>
  <c r="W381" i="2"/>
  <c r="Y382" i="2"/>
  <c r="Z382" i="2"/>
  <c r="AA382" i="2"/>
  <c r="AB382" i="2"/>
  <c r="W382" i="2"/>
  <c r="Y383" i="2"/>
  <c r="Z383" i="2"/>
  <c r="AA383" i="2"/>
  <c r="AB383" i="2"/>
  <c r="W383" i="2"/>
  <c r="Y384" i="2"/>
  <c r="Z384" i="2"/>
  <c r="AA384" i="2"/>
  <c r="AB384" i="2"/>
  <c r="W384" i="2"/>
  <c r="Y385" i="2"/>
  <c r="Z385" i="2"/>
  <c r="AA385" i="2"/>
  <c r="AB385" i="2"/>
  <c r="W385" i="2"/>
  <c r="Y386" i="2"/>
  <c r="Z386" i="2"/>
  <c r="AA386" i="2"/>
  <c r="AB386" i="2"/>
  <c r="W386" i="2"/>
  <c r="Y387" i="2"/>
  <c r="Z387" i="2"/>
  <c r="AA387" i="2"/>
  <c r="AB387" i="2"/>
  <c r="W387" i="2"/>
  <c r="Y388" i="2"/>
  <c r="Z388" i="2"/>
  <c r="AA388" i="2"/>
  <c r="AB388" i="2"/>
  <c r="W388" i="2"/>
  <c r="Y389" i="2"/>
  <c r="Z389" i="2"/>
  <c r="AA389" i="2"/>
  <c r="AB389" i="2"/>
  <c r="W389" i="2"/>
  <c r="Y390" i="2"/>
  <c r="Z390" i="2"/>
  <c r="AA390" i="2"/>
  <c r="AB390" i="2"/>
  <c r="W390" i="2"/>
  <c r="Y391" i="2"/>
  <c r="Z391" i="2"/>
  <c r="AA391" i="2"/>
  <c r="AB391" i="2"/>
  <c r="W391" i="2"/>
  <c r="Y392" i="2"/>
  <c r="Z392" i="2"/>
  <c r="AA392" i="2"/>
  <c r="AB392" i="2"/>
  <c r="W392" i="2"/>
  <c r="Y393" i="2"/>
  <c r="Z393" i="2"/>
  <c r="AA393" i="2"/>
  <c r="AB393" i="2"/>
  <c r="W393" i="2"/>
  <c r="Y394" i="2"/>
  <c r="Z394" i="2"/>
  <c r="AA394" i="2"/>
  <c r="AB394" i="2"/>
  <c r="W394" i="2"/>
  <c r="Y395" i="2"/>
  <c r="Z395" i="2"/>
  <c r="AA395" i="2"/>
  <c r="AB395" i="2"/>
  <c r="W395" i="2"/>
  <c r="Y396" i="2"/>
  <c r="Z396" i="2"/>
  <c r="AA396" i="2"/>
  <c r="AB396" i="2"/>
  <c r="W396" i="2"/>
  <c r="Y397" i="2"/>
  <c r="Z397" i="2"/>
  <c r="AA397" i="2"/>
  <c r="AB397" i="2"/>
  <c r="W397" i="2"/>
  <c r="Y398" i="2"/>
  <c r="Z398" i="2"/>
  <c r="AA398" i="2"/>
  <c r="AB398" i="2"/>
  <c r="W398" i="2"/>
  <c r="Y399" i="2"/>
  <c r="Z399" i="2"/>
  <c r="AA399" i="2"/>
  <c r="AB399" i="2"/>
  <c r="W399" i="2"/>
  <c r="Y400" i="2"/>
  <c r="Z400" i="2"/>
  <c r="AA400" i="2"/>
  <c r="AB400" i="2"/>
  <c r="W400" i="2"/>
  <c r="Y401" i="2"/>
  <c r="Z401" i="2"/>
  <c r="AA401" i="2"/>
  <c r="AB401" i="2"/>
  <c r="W401" i="2"/>
  <c r="Y402" i="2"/>
  <c r="Z402" i="2"/>
  <c r="AA402" i="2"/>
  <c r="AB402" i="2"/>
  <c r="W402" i="2"/>
  <c r="Y403" i="2"/>
  <c r="Z403" i="2"/>
  <c r="AA403" i="2"/>
  <c r="AB403" i="2"/>
  <c r="W403" i="2"/>
  <c r="Y404" i="2"/>
  <c r="Z404" i="2"/>
  <c r="AA404" i="2"/>
  <c r="AB404" i="2"/>
  <c r="W404" i="2"/>
  <c r="Y405" i="2"/>
  <c r="Z405" i="2"/>
  <c r="AA405" i="2"/>
  <c r="AB405" i="2"/>
  <c r="W405" i="2"/>
  <c r="Y406" i="2"/>
  <c r="Z406" i="2"/>
  <c r="AA406" i="2"/>
  <c r="AB406" i="2"/>
  <c r="W406" i="2"/>
  <c r="Y407" i="2"/>
  <c r="Z407" i="2"/>
  <c r="AA407" i="2"/>
  <c r="AB407" i="2"/>
  <c r="W407" i="2"/>
  <c r="Y408" i="2"/>
  <c r="Z408" i="2"/>
  <c r="AA408" i="2"/>
  <c r="AB408" i="2"/>
  <c r="W408" i="2"/>
  <c r="Y409" i="2"/>
  <c r="Z409" i="2"/>
  <c r="AA409" i="2"/>
  <c r="AB409" i="2"/>
  <c r="W409" i="2"/>
  <c r="Y410" i="2"/>
  <c r="Z410" i="2"/>
  <c r="AA410" i="2"/>
  <c r="AB410" i="2"/>
  <c r="W410" i="2"/>
  <c r="Y411" i="2"/>
  <c r="Z411" i="2"/>
  <c r="AA411" i="2"/>
  <c r="AB411" i="2"/>
  <c r="W411" i="2"/>
  <c r="Y412" i="2"/>
  <c r="Z412" i="2"/>
  <c r="AA412" i="2"/>
  <c r="AB412" i="2"/>
  <c r="W412" i="2"/>
  <c r="Y413" i="2"/>
  <c r="Z413" i="2"/>
  <c r="AA413" i="2"/>
  <c r="AB413" i="2"/>
  <c r="W413" i="2"/>
  <c r="Y414" i="2"/>
  <c r="Z414" i="2"/>
  <c r="AA414" i="2"/>
  <c r="AB414" i="2"/>
  <c r="W414" i="2"/>
  <c r="Y415" i="2"/>
  <c r="Z415" i="2"/>
  <c r="AA415" i="2"/>
  <c r="AB415" i="2"/>
  <c r="W415" i="2"/>
  <c r="Y416" i="2"/>
  <c r="Z416" i="2"/>
  <c r="AA416" i="2"/>
  <c r="AB416" i="2"/>
  <c r="W416" i="2"/>
  <c r="Y417" i="2"/>
  <c r="Z417" i="2"/>
  <c r="AA417" i="2"/>
  <c r="AB417" i="2"/>
  <c r="W417" i="2"/>
  <c r="Y418" i="2"/>
  <c r="Z418" i="2"/>
  <c r="AA418" i="2"/>
  <c r="AB418" i="2"/>
  <c r="W418" i="2"/>
  <c r="Y419" i="2"/>
  <c r="Z419" i="2"/>
  <c r="AA419" i="2"/>
  <c r="AB419" i="2"/>
  <c r="W419" i="2"/>
  <c r="Y420" i="2"/>
  <c r="Z420" i="2"/>
  <c r="AA420" i="2"/>
  <c r="AB420" i="2"/>
  <c r="W420" i="2"/>
  <c r="Y421" i="2"/>
  <c r="Z421" i="2"/>
  <c r="AA421" i="2"/>
  <c r="AB421" i="2"/>
  <c r="W421" i="2"/>
  <c r="Y422" i="2"/>
  <c r="Z422" i="2"/>
  <c r="AA422" i="2"/>
  <c r="AB422" i="2"/>
  <c r="W422" i="2"/>
  <c r="Y423" i="2"/>
  <c r="Z423" i="2"/>
  <c r="AA423" i="2"/>
  <c r="AB423" i="2"/>
  <c r="W423" i="2"/>
  <c r="Y424" i="2"/>
  <c r="Z424" i="2"/>
  <c r="AA424" i="2"/>
  <c r="AB424" i="2"/>
  <c r="W424" i="2"/>
  <c r="Y425" i="2"/>
  <c r="Z425" i="2"/>
  <c r="AA425" i="2"/>
  <c r="AB425" i="2"/>
  <c r="W425" i="2"/>
  <c r="Y426" i="2"/>
  <c r="Z426" i="2"/>
  <c r="AA426" i="2"/>
  <c r="AB426" i="2"/>
  <c r="W426" i="2"/>
  <c r="Y427" i="2"/>
  <c r="Z427" i="2"/>
  <c r="AA427" i="2"/>
  <c r="AB427" i="2"/>
  <c r="W427" i="2"/>
  <c r="Y428" i="2"/>
  <c r="Z428" i="2"/>
  <c r="AA428" i="2"/>
  <c r="AB428" i="2"/>
  <c r="W428" i="2"/>
  <c r="Y429" i="2"/>
  <c r="Z429" i="2"/>
  <c r="AA429" i="2"/>
  <c r="AB429" i="2"/>
  <c r="W429" i="2"/>
  <c r="Y430" i="2"/>
  <c r="Z430" i="2"/>
  <c r="AA430" i="2"/>
  <c r="AB430" i="2"/>
  <c r="W430" i="2"/>
  <c r="Y431" i="2"/>
  <c r="Z431" i="2"/>
  <c r="AA431" i="2"/>
  <c r="AB431" i="2"/>
  <c r="W431" i="2"/>
  <c r="Y432" i="2"/>
  <c r="Z432" i="2"/>
  <c r="AA432" i="2"/>
  <c r="AB432" i="2"/>
  <c r="W432" i="2"/>
  <c r="Y433" i="2"/>
  <c r="Z433" i="2"/>
  <c r="AA433" i="2"/>
  <c r="AB433" i="2"/>
  <c r="W433" i="2"/>
  <c r="Y434" i="2"/>
  <c r="Z434" i="2"/>
  <c r="AA434" i="2"/>
  <c r="AB434" i="2"/>
  <c r="W434" i="2"/>
  <c r="Y435" i="2"/>
  <c r="Z435" i="2"/>
  <c r="AA435" i="2"/>
  <c r="AB435" i="2"/>
  <c r="W435" i="2"/>
  <c r="Y436" i="2"/>
  <c r="Z436" i="2"/>
  <c r="AA436" i="2"/>
  <c r="AB436" i="2"/>
  <c r="W436" i="2"/>
  <c r="Y437" i="2"/>
  <c r="Z437" i="2"/>
  <c r="AA437" i="2"/>
  <c r="AB437" i="2"/>
  <c r="W437" i="2"/>
  <c r="Y438" i="2"/>
  <c r="Z438" i="2"/>
  <c r="AA438" i="2"/>
  <c r="AB438" i="2"/>
  <c r="W438" i="2"/>
  <c r="Y439" i="2"/>
  <c r="Z439" i="2"/>
  <c r="AA439" i="2"/>
  <c r="AB439" i="2"/>
  <c r="W439" i="2"/>
  <c r="Y440" i="2"/>
  <c r="Z440" i="2"/>
  <c r="AA440" i="2"/>
  <c r="AB440" i="2"/>
  <c r="W440" i="2"/>
  <c r="Y441" i="2"/>
  <c r="Z441" i="2"/>
  <c r="AA441" i="2"/>
  <c r="AB441" i="2"/>
  <c r="W441" i="2"/>
  <c r="Y442" i="2"/>
  <c r="Z442" i="2"/>
  <c r="AA442" i="2"/>
  <c r="AB442" i="2"/>
  <c r="W442" i="2"/>
  <c r="Y443" i="2"/>
  <c r="Z443" i="2"/>
  <c r="AA443" i="2"/>
  <c r="AB443" i="2"/>
  <c r="W443" i="2"/>
  <c r="Y444" i="2"/>
  <c r="Z444" i="2"/>
  <c r="AA444" i="2"/>
  <c r="AB444" i="2"/>
  <c r="W444" i="2"/>
  <c r="Y445" i="2"/>
  <c r="Z445" i="2"/>
  <c r="AA445" i="2"/>
  <c r="AB445" i="2"/>
  <c r="W445" i="2"/>
  <c r="Y446" i="2"/>
  <c r="Z446" i="2"/>
  <c r="AA446" i="2"/>
  <c r="AB446" i="2"/>
  <c r="W446" i="2"/>
  <c r="Y447" i="2"/>
  <c r="Z447" i="2"/>
  <c r="AA447" i="2"/>
  <c r="AB447" i="2"/>
  <c r="W447" i="2"/>
  <c r="Y448" i="2"/>
  <c r="Z448" i="2"/>
  <c r="AA448" i="2"/>
  <c r="AB448" i="2"/>
  <c r="W448" i="2"/>
  <c r="Y449" i="2"/>
  <c r="Z449" i="2"/>
  <c r="AA449" i="2"/>
  <c r="AB449" i="2"/>
  <c r="W449" i="2"/>
  <c r="Y450" i="2"/>
  <c r="Z450" i="2"/>
  <c r="AA450" i="2"/>
  <c r="AB450" i="2"/>
  <c r="W450" i="2"/>
  <c r="Y451" i="2"/>
  <c r="Z451" i="2"/>
  <c r="AA451" i="2"/>
  <c r="AB451" i="2"/>
  <c r="W451" i="2"/>
  <c r="Y452" i="2"/>
  <c r="Z452" i="2"/>
  <c r="AA452" i="2"/>
  <c r="AB452" i="2"/>
  <c r="W452" i="2"/>
  <c r="Y453" i="2"/>
  <c r="Z453" i="2"/>
  <c r="AA453" i="2"/>
  <c r="AB453" i="2"/>
  <c r="W453" i="2"/>
  <c r="Y454" i="2"/>
  <c r="Z454" i="2"/>
  <c r="AA454" i="2"/>
  <c r="AB454" i="2"/>
  <c r="W454" i="2"/>
  <c r="Y455" i="2"/>
  <c r="Z455" i="2"/>
  <c r="AA455" i="2"/>
  <c r="AB455" i="2"/>
  <c r="W455" i="2"/>
  <c r="Y456" i="2"/>
  <c r="Z456" i="2"/>
  <c r="AA456" i="2"/>
  <c r="AB456" i="2"/>
  <c r="W456" i="2"/>
  <c r="Y457" i="2"/>
  <c r="Z457" i="2"/>
  <c r="AA457" i="2"/>
  <c r="AB457" i="2"/>
  <c r="W457" i="2"/>
  <c r="Y458" i="2"/>
  <c r="Z458" i="2"/>
  <c r="AA458" i="2"/>
  <c r="AB458" i="2"/>
  <c r="W458" i="2"/>
  <c r="Y459" i="2"/>
  <c r="Z459" i="2"/>
  <c r="AA459" i="2"/>
  <c r="AB459" i="2"/>
  <c r="W459" i="2"/>
  <c r="Y460" i="2"/>
  <c r="Z460" i="2"/>
  <c r="AA460" i="2"/>
  <c r="AB460" i="2"/>
  <c r="W460" i="2"/>
  <c r="Y461" i="2"/>
  <c r="Z461" i="2"/>
  <c r="AA461" i="2"/>
  <c r="AB461" i="2"/>
  <c r="W461" i="2"/>
  <c r="Y462" i="2"/>
  <c r="Z462" i="2"/>
  <c r="AA462" i="2"/>
  <c r="AB462" i="2"/>
  <c r="W462" i="2"/>
  <c r="Y463" i="2"/>
  <c r="Z463" i="2"/>
  <c r="AA463" i="2"/>
  <c r="AB463" i="2"/>
  <c r="W463" i="2"/>
  <c r="Y464" i="2"/>
  <c r="Z464" i="2"/>
  <c r="AA464" i="2"/>
  <c r="AB464" i="2"/>
  <c r="W464" i="2"/>
  <c r="Y465" i="2"/>
  <c r="Z465" i="2"/>
  <c r="AA465" i="2"/>
  <c r="AB465" i="2"/>
  <c r="W465" i="2"/>
  <c r="Y466" i="2"/>
  <c r="Z466" i="2"/>
  <c r="AA466" i="2"/>
  <c r="AB466" i="2"/>
  <c r="W466" i="2"/>
  <c r="Y467" i="2"/>
  <c r="Z467" i="2"/>
  <c r="AA467" i="2"/>
  <c r="AB467" i="2"/>
  <c r="W467" i="2"/>
  <c r="Y468" i="2"/>
  <c r="Z468" i="2"/>
  <c r="AA468" i="2"/>
  <c r="AB468" i="2"/>
  <c r="W468" i="2"/>
  <c r="Y469" i="2"/>
  <c r="Z469" i="2"/>
  <c r="AA469" i="2"/>
  <c r="AB469" i="2"/>
  <c r="W469" i="2"/>
  <c r="Y470" i="2"/>
  <c r="Z470" i="2"/>
  <c r="AA470" i="2"/>
  <c r="AB470" i="2"/>
  <c r="W470" i="2"/>
  <c r="Y471" i="2"/>
  <c r="Z471" i="2"/>
  <c r="AA471" i="2"/>
  <c r="AB471" i="2"/>
  <c r="W471" i="2"/>
  <c r="Y472" i="2"/>
  <c r="Z472" i="2"/>
  <c r="AA472" i="2"/>
  <c r="AB472" i="2"/>
  <c r="W472" i="2"/>
  <c r="Y473" i="2"/>
  <c r="Z473" i="2"/>
  <c r="AA473" i="2"/>
  <c r="AB473" i="2"/>
  <c r="W473" i="2"/>
  <c r="Y474" i="2"/>
  <c r="Z474" i="2"/>
  <c r="AA474" i="2"/>
  <c r="AB474" i="2"/>
  <c r="W474" i="2"/>
  <c r="Y475" i="2"/>
  <c r="Z475" i="2"/>
  <c r="AA475" i="2"/>
  <c r="AB475" i="2"/>
  <c r="W475" i="2"/>
  <c r="Y476" i="2"/>
  <c r="Z476" i="2"/>
  <c r="AA476" i="2"/>
  <c r="AB476" i="2"/>
  <c r="W476" i="2"/>
  <c r="Y477" i="2"/>
  <c r="Z477" i="2"/>
  <c r="AA477" i="2"/>
  <c r="AB477" i="2"/>
  <c r="W477" i="2"/>
  <c r="Y478" i="2"/>
  <c r="Z478" i="2"/>
  <c r="AA478" i="2"/>
  <c r="AB478" i="2"/>
  <c r="W478" i="2"/>
  <c r="Y479" i="2"/>
  <c r="Z479" i="2"/>
  <c r="AA479" i="2"/>
  <c r="AB479" i="2"/>
  <c r="W479" i="2"/>
  <c r="Y480" i="2"/>
  <c r="Z480" i="2"/>
  <c r="AA480" i="2"/>
  <c r="AB480" i="2"/>
  <c r="W480" i="2"/>
  <c r="Y481" i="2"/>
  <c r="Z481" i="2"/>
  <c r="AA481" i="2"/>
  <c r="AB481" i="2"/>
  <c r="W481" i="2"/>
  <c r="Y482" i="2"/>
  <c r="Z482" i="2"/>
  <c r="AA482" i="2"/>
  <c r="AB482" i="2"/>
  <c r="W482" i="2"/>
  <c r="Y483" i="2"/>
  <c r="Z483" i="2"/>
  <c r="AA483" i="2"/>
  <c r="AB483" i="2"/>
  <c r="W483" i="2"/>
  <c r="Y484" i="2"/>
  <c r="Z484" i="2"/>
  <c r="AA484" i="2"/>
  <c r="AB484" i="2"/>
  <c r="W484" i="2"/>
  <c r="Y485" i="2"/>
  <c r="Z485" i="2"/>
  <c r="AA485" i="2"/>
  <c r="AB485" i="2"/>
  <c r="W485" i="2"/>
  <c r="Y486" i="2"/>
  <c r="Z486" i="2"/>
  <c r="AA486" i="2"/>
  <c r="AB486" i="2"/>
  <c r="W486" i="2"/>
  <c r="Y487" i="2"/>
  <c r="Z487" i="2"/>
  <c r="AA487" i="2"/>
  <c r="AB487" i="2"/>
  <c r="W487" i="2"/>
  <c r="Y488" i="2"/>
  <c r="Z488" i="2"/>
  <c r="AA488" i="2"/>
  <c r="AB488" i="2"/>
  <c r="W488" i="2"/>
  <c r="Y489" i="2"/>
  <c r="Z489" i="2"/>
  <c r="AA489" i="2"/>
  <c r="AB489" i="2"/>
  <c r="W489" i="2"/>
  <c r="Y490" i="2"/>
  <c r="Z490" i="2"/>
  <c r="AA490" i="2"/>
  <c r="AB490" i="2"/>
  <c r="W490" i="2"/>
  <c r="Y491" i="2"/>
  <c r="Z491" i="2"/>
  <c r="AA491" i="2"/>
  <c r="AB491" i="2"/>
  <c r="W491" i="2"/>
  <c r="Y492" i="2"/>
  <c r="Z492" i="2"/>
  <c r="AA492" i="2"/>
  <c r="AB492" i="2"/>
  <c r="W492" i="2"/>
  <c r="Y493" i="2"/>
  <c r="Z493" i="2"/>
  <c r="AA493" i="2"/>
  <c r="AB493" i="2"/>
  <c r="W493" i="2"/>
  <c r="Y494" i="2"/>
  <c r="Z494" i="2"/>
  <c r="AA494" i="2"/>
  <c r="AB494" i="2"/>
  <c r="W494" i="2"/>
  <c r="Y495" i="2"/>
  <c r="Z495" i="2"/>
  <c r="AA495" i="2"/>
  <c r="AB495" i="2"/>
  <c r="W495" i="2"/>
  <c r="Y496" i="2"/>
  <c r="Z496" i="2"/>
  <c r="AA496" i="2"/>
  <c r="AB496" i="2"/>
  <c r="W496" i="2"/>
  <c r="Y497" i="2"/>
  <c r="Z497" i="2"/>
  <c r="AA497" i="2"/>
  <c r="AB497" i="2"/>
  <c r="W497" i="2"/>
  <c r="Y498" i="2"/>
  <c r="Z498" i="2"/>
  <c r="AA498" i="2"/>
  <c r="AB498" i="2"/>
  <c r="W498" i="2"/>
  <c r="Y499" i="2"/>
  <c r="Z499" i="2"/>
  <c r="AA499" i="2"/>
  <c r="AB499" i="2"/>
  <c r="W499" i="2"/>
  <c r="Y500" i="2"/>
  <c r="Z500" i="2"/>
  <c r="AA500" i="2"/>
  <c r="AB500" i="2"/>
  <c r="W500" i="2"/>
  <c r="Y501" i="2"/>
  <c r="Z501" i="2"/>
  <c r="AA501" i="2"/>
  <c r="AB501" i="2"/>
  <c r="W501" i="2"/>
  <c r="Y502" i="2"/>
  <c r="Z502" i="2"/>
  <c r="AA502" i="2"/>
  <c r="AB502" i="2"/>
  <c r="W502" i="2"/>
  <c r="Y503" i="2"/>
  <c r="Z503" i="2"/>
  <c r="AA503" i="2"/>
  <c r="AB503" i="2"/>
  <c r="W503" i="2"/>
  <c r="Y504" i="2"/>
  <c r="Z504" i="2"/>
  <c r="AA504" i="2"/>
  <c r="AB504" i="2"/>
  <c r="W504" i="2"/>
  <c r="Y505" i="2"/>
  <c r="Z505" i="2"/>
  <c r="AA505" i="2"/>
  <c r="AB505" i="2"/>
  <c r="W505" i="2"/>
  <c r="Y506" i="2"/>
  <c r="Z506" i="2"/>
  <c r="AA506" i="2"/>
  <c r="AB506" i="2"/>
  <c r="W506" i="2"/>
  <c r="Y507" i="2"/>
  <c r="Z507" i="2"/>
  <c r="AA507" i="2"/>
  <c r="AB507" i="2"/>
  <c r="W507" i="2"/>
  <c r="Y508" i="2"/>
  <c r="Z508" i="2"/>
  <c r="AA508" i="2"/>
  <c r="AB508" i="2"/>
  <c r="W508" i="2"/>
  <c r="Y509" i="2"/>
  <c r="Z509" i="2"/>
  <c r="AA509" i="2"/>
  <c r="AB509" i="2"/>
  <c r="W509" i="2"/>
  <c r="Y510" i="2"/>
  <c r="Z510" i="2"/>
  <c r="AA510" i="2"/>
  <c r="AB510" i="2"/>
  <c r="W510" i="2"/>
  <c r="Y511" i="2"/>
  <c r="Z511" i="2"/>
  <c r="AA511" i="2"/>
  <c r="AB511" i="2"/>
  <c r="W511" i="2"/>
  <c r="Y512" i="2"/>
  <c r="Z512" i="2"/>
  <c r="AA512" i="2"/>
  <c r="AB512" i="2"/>
  <c r="W512" i="2"/>
  <c r="Y513" i="2"/>
  <c r="Z513" i="2"/>
  <c r="AA513" i="2"/>
  <c r="AB513" i="2"/>
  <c r="W513" i="2"/>
  <c r="Y514" i="2"/>
  <c r="Z514" i="2"/>
  <c r="AA514" i="2"/>
  <c r="AB514" i="2"/>
  <c r="W514" i="2"/>
  <c r="Y515" i="2"/>
  <c r="Z515" i="2"/>
  <c r="AA515" i="2"/>
  <c r="AB515" i="2"/>
  <c r="W515" i="2"/>
  <c r="Y516" i="2"/>
  <c r="Z516" i="2"/>
  <c r="AA516" i="2"/>
  <c r="AB516" i="2"/>
  <c r="W516" i="2"/>
  <c r="Y517" i="2"/>
  <c r="Z517" i="2"/>
  <c r="AA517" i="2"/>
  <c r="AB517" i="2"/>
  <c r="W517" i="2"/>
  <c r="Y518" i="2"/>
  <c r="Z518" i="2"/>
  <c r="AA518" i="2"/>
  <c r="AB518" i="2"/>
  <c r="W518" i="2"/>
  <c r="Y519" i="2"/>
  <c r="Z519" i="2"/>
  <c r="AA519" i="2"/>
  <c r="AB519" i="2"/>
  <c r="W519" i="2"/>
  <c r="Y520" i="2"/>
  <c r="Z520" i="2"/>
  <c r="AA520" i="2"/>
  <c r="AB520" i="2"/>
  <c r="W520" i="2"/>
  <c r="Y521" i="2"/>
  <c r="Z521" i="2"/>
  <c r="AA521" i="2"/>
  <c r="AB521" i="2"/>
  <c r="W521" i="2"/>
  <c r="Y522" i="2"/>
  <c r="Z522" i="2"/>
  <c r="AA522" i="2"/>
  <c r="AB522" i="2"/>
  <c r="W522" i="2"/>
  <c r="Y523" i="2"/>
  <c r="Z523" i="2"/>
  <c r="AA523" i="2"/>
  <c r="AB523" i="2"/>
  <c r="W523" i="2"/>
  <c r="Y524" i="2"/>
  <c r="Z524" i="2"/>
  <c r="AA524" i="2"/>
  <c r="AB524" i="2"/>
  <c r="W524" i="2"/>
  <c r="Y525" i="2"/>
  <c r="Z525" i="2"/>
  <c r="AA525" i="2"/>
  <c r="AB525" i="2"/>
  <c r="W525" i="2"/>
  <c r="Y526" i="2"/>
  <c r="Z526" i="2"/>
  <c r="AA526" i="2"/>
  <c r="AB526" i="2"/>
  <c r="W526" i="2"/>
  <c r="Y527" i="2"/>
  <c r="Z527" i="2"/>
  <c r="AA527" i="2"/>
  <c r="AB527" i="2"/>
  <c r="W527" i="2"/>
  <c r="Y528" i="2"/>
  <c r="Z528" i="2"/>
  <c r="AA528" i="2"/>
  <c r="AB528" i="2"/>
  <c r="W528" i="2"/>
  <c r="Y529" i="2"/>
  <c r="Z529" i="2"/>
  <c r="AA529" i="2"/>
  <c r="AB529" i="2"/>
  <c r="W529" i="2"/>
  <c r="Y530" i="2"/>
  <c r="Z530" i="2"/>
  <c r="AA530" i="2"/>
  <c r="AB530" i="2"/>
  <c r="W530" i="2"/>
  <c r="Y531" i="2"/>
  <c r="Z531" i="2"/>
  <c r="AA531" i="2"/>
  <c r="AB531" i="2"/>
  <c r="W531" i="2"/>
  <c r="Y532" i="2"/>
  <c r="Z532" i="2"/>
  <c r="AA532" i="2"/>
  <c r="AB532" i="2"/>
  <c r="W532" i="2"/>
  <c r="Y533" i="2"/>
  <c r="Z533" i="2"/>
  <c r="AA533" i="2"/>
  <c r="AB533" i="2"/>
  <c r="W533" i="2"/>
  <c r="Y534" i="2"/>
  <c r="Z534" i="2"/>
  <c r="AA534" i="2"/>
  <c r="AB534" i="2"/>
  <c r="W534" i="2"/>
  <c r="Y535" i="2"/>
  <c r="Z535" i="2"/>
  <c r="AA535" i="2"/>
  <c r="AB535" i="2"/>
  <c r="W535" i="2"/>
  <c r="Y536" i="2"/>
  <c r="Z536" i="2"/>
  <c r="AA536" i="2"/>
  <c r="AB536" i="2"/>
  <c r="W536" i="2"/>
  <c r="Y537" i="2"/>
  <c r="Z537" i="2"/>
  <c r="AA537" i="2"/>
  <c r="AB537" i="2"/>
  <c r="W537" i="2"/>
  <c r="Y538" i="2"/>
  <c r="Z538" i="2"/>
  <c r="AA538" i="2"/>
  <c r="AB538" i="2"/>
  <c r="W538" i="2"/>
  <c r="Y539" i="2"/>
  <c r="Z539" i="2"/>
  <c r="AA539" i="2"/>
  <c r="AB539" i="2"/>
  <c r="W539" i="2"/>
  <c r="Y540" i="2"/>
  <c r="Z540" i="2"/>
  <c r="AA540" i="2"/>
  <c r="AB540" i="2"/>
  <c r="W540" i="2"/>
  <c r="Y541" i="2"/>
  <c r="Z541" i="2"/>
  <c r="AA541" i="2"/>
  <c r="AB541" i="2"/>
  <c r="W541" i="2"/>
  <c r="Y542" i="2"/>
  <c r="Z542" i="2"/>
  <c r="AA542" i="2"/>
  <c r="AB542" i="2"/>
  <c r="W542" i="2"/>
  <c r="Y543" i="2"/>
  <c r="Z543" i="2"/>
  <c r="AA543" i="2"/>
  <c r="AB543" i="2"/>
  <c r="W543" i="2"/>
  <c r="Y544" i="2"/>
  <c r="Z544" i="2"/>
  <c r="AA544" i="2"/>
  <c r="AB544" i="2"/>
  <c r="W544" i="2"/>
  <c r="Y545" i="2"/>
  <c r="Z545" i="2"/>
  <c r="AA545" i="2"/>
  <c r="AB545" i="2"/>
  <c r="W545" i="2"/>
  <c r="Y546" i="2"/>
  <c r="Z546" i="2"/>
  <c r="AA546" i="2"/>
  <c r="AB546" i="2"/>
  <c r="W546" i="2"/>
  <c r="Y547" i="2"/>
  <c r="Z547" i="2"/>
  <c r="AA547" i="2"/>
  <c r="AB547" i="2"/>
  <c r="W547" i="2"/>
  <c r="Y548" i="2"/>
  <c r="Z548" i="2"/>
  <c r="AA548" i="2"/>
  <c r="AB548" i="2"/>
  <c r="W548" i="2"/>
  <c r="Y549" i="2"/>
  <c r="Z549" i="2"/>
  <c r="AA549" i="2"/>
  <c r="AB549" i="2"/>
  <c r="W549" i="2"/>
  <c r="Y550" i="2"/>
  <c r="Z550" i="2"/>
  <c r="AA550" i="2"/>
  <c r="AB550" i="2"/>
  <c r="W550" i="2"/>
  <c r="Y551" i="2"/>
  <c r="Z551" i="2"/>
  <c r="AA551" i="2"/>
  <c r="AB551" i="2"/>
  <c r="W551" i="2"/>
  <c r="Y552" i="2"/>
  <c r="Z552" i="2"/>
  <c r="AA552" i="2"/>
  <c r="AB552" i="2"/>
  <c r="W552" i="2"/>
  <c r="Y553" i="2"/>
  <c r="Z553" i="2"/>
  <c r="AA553" i="2"/>
  <c r="AB553" i="2"/>
  <c r="W553" i="2"/>
  <c r="Y554" i="2"/>
  <c r="Z554" i="2"/>
  <c r="AA554" i="2"/>
  <c r="AB554" i="2"/>
  <c r="W554" i="2"/>
  <c r="Y555" i="2"/>
  <c r="Z555" i="2"/>
  <c r="AA555" i="2"/>
  <c r="AB555" i="2"/>
  <c r="W555" i="2"/>
  <c r="Y556" i="2"/>
  <c r="Z556" i="2"/>
  <c r="AA556" i="2"/>
  <c r="AB556" i="2"/>
  <c r="W556" i="2"/>
  <c r="Y557" i="2"/>
  <c r="Z557" i="2"/>
  <c r="AA557" i="2"/>
  <c r="AB557" i="2"/>
  <c r="W557" i="2"/>
  <c r="Y558" i="2"/>
  <c r="Z558" i="2"/>
  <c r="AA558" i="2"/>
  <c r="AB558" i="2"/>
  <c r="W558" i="2"/>
  <c r="Y559" i="2"/>
  <c r="Z559" i="2"/>
  <c r="AA559" i="2"/>
  <c r="AB559" i="2"/>
  <c r="W559" i="2"/>
  <c r="Y560" i="2"/>
  <c r="Z560" i="2"/>
  <c r="AA560" i="2"/>
  <c r="AB560" i="2"/>
  <c r="W560" i="2"/>
  <c r="Y561" i="2"/>
  <c r="Z561" i="2"/>
  <c r="AA561" i="2"/>
  <c r="AB561" i="2"/>
  <c r="W561" i="2"/>
  <c r="Y562" i="2"/>
  <c r="Z562" i="2"/>
  <c r="AA562" i="2"/>
  <c r="AB562" i="2"/>
  <c r="W562" i="2"/>
  <c r="Y563" i="2"/>
  <c r="Z563" i="2"/>
  <c r="AA563" i="2"/>
  <c r="AB563" i="2"/>
  <c r="W563" i="2"/>
  <c r="Y564" i="2"/>
  <c r="Z564" i="2"/>
  <c r="AA564" i="2"/>
  <c r="AB564" i="2"/>
  <c r="W564" i="2"/>
  <c r="Y565" i="2"/>
  <c r="Z565" i="2"/>
  <c r="AA565" i="2"/>
  <c r="AB565" i="2"/>
  <c r="W565" i="2"/>
  <c r="Y566" i="2"/>
  <c r="Z566" i="2"/>
  <c r="AA566" i="2"/>
  <c r="AB566" i="2"/>
  <c r="W566" i="2"/>
  <c r="Y567" i="2"/>
  <c r="Z567" i="2"/>
  <c r="AA567" i="2"/>
  <c r="AB567" i="2"/>
  <c r="W567" i="2"/>
  <c r="Y568" i="2"/>
  <c r="Z568" i="2"/>
  <c r="AA568" i="2"/>
  <c r="AB568" i="2"/>
  <c r="W568" i="2"/>
  <c r="Y569" i="2"/>
  <c r="Z569" i="2"/>
  <c r="AA569" i="2"/>
  <c r="AB569" i="2"/>
  <c r="W569" i="2"/>
  <c r="Y570" i="2"/>
  <c r="Z570" i="2"/>
  <c r="AA570" i="2"/>
  <c r="AB570" i="2"/>
  <c r="W570" i="2"/>
  <c r="Y571" i="2"/>
  <c r="Z571" i="2"/>
  <c r="AA571" i="2"/>
  <c r="AB571" i="2"/>
  <c r="W571" i="2"/>
  <c r="Y572" i="2"/>
  <c r="Z572" i="2"/>
  <c r="AA572" i="2"/>
  <c r="AB572" i="2"/>
  <c r="W572" i="2"/>
  <c r="Y573" i="2"/>
  <c r="Z573" i="2"/>
  <c r="AA573" i="2"/>
  <c r="AB573" i="2"/>
  <c r="W573" i="2"/>
  <c r="Y574" i="2"/>
  <c r="Z574" i="2"/>
  <c r="AA574" i="2"/>
  <c r="AB574" i="2"/>
  <c r="W574" i="2"/>
  <c r="Y575" i="2"/>
  <c r="Z575" i="2"/>
  <c r="AA575" i="2"/>
  <c r="AB575" i="2"/>
  <c r="W575" i="2"/>
  <c r="Y576" i="2"/>
  <c r="Z576" i="2"/>
  <c r="AA576" i="2"/>
  <c r="AB576" i="2"/>
  <c r="W576" i="2"/>
  <c r="Y577" i="2"/>
  <c r="Z577" i="2"/>
  <c r="AA577" i="2"/>
  <c r="AB577" i="2"/>
  <c r="W577" i="2"/>
  <c r="Y578" i="2"/>
  <c r="Z578" i="2"/>
  <c r="AA578" i="2"/>
  <c r="AB578" i="2"/>
  <c r="W578" i="2"/>
  <c r="Y579" i="2"/>
  <c r="Z579" i="2"/>
  <c r="AA579" i="2"/>
  <c r="AB579" i="2"/>
  <c r="W579" i="2"/>
  <c r="Y580" i="2"/>
  <c r="Z580" i="2"/>
  <c r="AA580" i="2"/>
  <c r="AB580" i="2"/>
  <c r="W580" i="2"/>
  <c r="Y581" i="2"/>
  <c r="Z581" i="2"/>
  <c r="AA581" i="2"/>
  <c r="AB581" i="2"/>
  <c r="W581" i="2"/>
  <c r="Y582" i="2"/>
  <c r="Z582" i="2"/>
  <c r="AA582" i="2"/>
  <c r="AB582" i="2"/>
  <c r="W582" i="2"/>
  <c r="Y583" i="2"/>
  <c r="Z583" i="2"/>
  <c r="AA583" i="2"/>
  <c r="AB583" i="2"/>
  <c r="W583" i="2"/>
  <c r="Y584" i="2"/>
  <c r="Z584" i="2"/>
  <c r="AA584" i="2"/>
  <c r="AB584" i="2"/>
  <c r="W584" i="2"/>
  <c r="Y585" i="2"/>
  <c r="Z585" i="2"/>
  <c r="AA585" i="2"/>
  <c r="AB585" i="2"/>
  <c r="W585" i="2"/>
  <c r="Y586" i="2"/>
  <c r="Z586" i="2"/>
  <c r="AA586" i="2"/>
  <c r="AB586" i="2"/>
  <c r="W586" i="2"/>
  <c r="Y587" i="2"/>
  <c r="Z587" i="2"/>
  <c r="AA587" i="2"/>
  <c r="AB587" i="2"/>
  <c r="W587" i="2"/>
  <c r="Y588" i="2"/>
  <c r="Z588" i="2"/>
  <c r="AA588" i="2"/>
  <c r="AB588" i="2"/>
  <c r="W588" i="2"/>
  <c r="Y589" i="2"/>
  <c r="Z589" i="2"/>
  <c r="AA589" i="2"/>
  <c r="AB589" i="2"/>
  <c r="W589" i="2"/>
  <c r="Y590" i="2"/>
  <c r="Z590" i="2"/>
  <c r="AA590" i="2"/>
  <c r="AB590" i="2"/>
  <c r="W590" i="2"/>
  <c r="Y591" i="2"/>
  <c r="Z591" i="2"/>
  <c r="AA591" i="2"/>
  <c r="AB591" i="2"/>
  <c r="W591" i="2"/>
  <c r="Y592" i="2"/>
  <c r="Z592" i="2"/>
  <c r="AA592" i="2"/>
  <c r="AB592" i="2"/>
  <c r="W592" i="2"/>
  <c r="Y593" i="2"/>
  <c r="Z593" i="2"/>
  <c r="AA593" i="2"/>
  <c r="AB593" i="2"/>
  <c r="W593" i="2"/>
  <c r="Y594" i="2"/>
  <c r="Z594" i="2"/>
  <c r="AA594" i="2"/>
  <c r="AB594" i="2"/>
  <c r="W594" i="2"/>
  <c r="Y595" i="2"/>
  <c r="Z595" i="2"/>
  <c r="AA595" i="2"/>
  <c r="AB595" i="2"/>
  <c r="W595" i="2"/>
  <c r="Y596" i="2"/>
  <c r="Z596" i="2"/>
  <c r="AA596" i="2"/>
  <c r="AB596" i="2"/>
  <c r="W596" i="2"/>
  <c r="Y597" i="2"/>
  <c r="Z597" i="2"/>
  <c r="AA597" i="2"/>
  <c r="AB597" i="2"/>
  <c r="W597" i="2"/>
  <c r="Y598" i="2"/>
  <c r="Z598" i="2"/>
  <c r="AA598" i="2"/>
  <c r="AB598" i="2"/>
  <c r="W598" i="2"/>
  <c r="Y599" i="2"/>
  <c r="Z599" i="2"/>
  <c r="AA599" i="2"/>
  <c r="AB599" i="2"/>
  <c r="W599" i="2"/>
  <c r="Y600" i="2"/>
  <c r="Z600" i="2"/>
  <c r="AA600" i="2"/>
  <c r="AB600" i="2"/>
  <c r="W600" i="2"/>
  <c r="Y601" i="2"/>
  <c r="Z601" i="2"/>
  <c r="AA601" i="2"/>
  <c r="AB601" i="2"/>
  <c r="W601" i="2"/>
  <c r="Y602" i="2"/>
  <c r="Z602" i="2"/>
  <c r="AA602" i="2"/>
  <c r="AB602" i="2"/>
  <c r="W602" i="2"/>
  <c r="Y603" i="2"/>
  <c r="Z603" i="2"/>
  <c r="AA603" i="2"/>
  <c r="AB603" i="2"/>
  <c r="W603" i="2"/>
  <c r="Y604" i="2"/>
  <c r="Z604" i="2"/>
  <c r="AA604" i="2"/>
  <c r="AB604" i="2"/>
  <c r="W604" i="2"/>
  <c r="Y605" i="2"/>
  <c r="Z605" i="2"/>
  <c r="AA605" i="2"/>
  <c r="AB605" i="2"/>
  <c r="W605" i="2"/>
  <c r="Y606" i="2"/>
  <c r="Z606" i="2"/>
  <c r="AA606" i="2"/>
  <c r="AB606" i="2"/>
  <c r="W606" i="2"/>
  <c r="Y607" i="2"/>
  <c r="Z607" i="2"/>
  <c r="AA607" i="2"/>
  <c r="AB607" i="2"/>
  <c r="W607" i="2"/>
  <c r="Y608" i="2"/>
  <c r="Z608" i="2"/>
  <c r="AA608" i="2"/>
  <c r="AB608" i="2"/>
  <c r="W608" i="2"/>
  <c r="Y609" i="2"/>
  <c r="Z609" i="2"/>
  <c r="AA609" i="2"/>
  <c r="AB609" i="2"/>
  <c r="W609" i="2"/>
  <c r="Y610" i="2"/>
  <c r="Z610" i="2"/>
  <c r="AA610" i="2"/>
  <c r="AB610" i="2"/>
  <c r="W610" i="2"/>
  <c r="Y611" i="2"/>
  <c r="Z611" i="2"/>
  <c r="AA611" i="2"/>
  <c r="AB611" i="2"/>
  <c r="W611" i="2"/>
  <c r="Y612" i="2"/>
  <c r="Z612" i="2"/>
  <c r="AA612" i="2"/>
  <c r="AB612" i="2"/>
  <c r="W612" i="2"/>
  <c r="Y613" i="2"/>
  <c r="Z613" i="2"/>
  <c r="AA613" i="2"/>
  <c r="AB613" i="2"/>
  <c r="W613" i="2"/>
  <c r="Y614" i="2"/>
  <c r="Z614" i="2"/>
  <c r="AA614" i="2"/>
  <c r="AB614" i="2"/>
  <c r="W614" i="2"/>
  <c r="Y615" i="2"/>
  <c r="Z615" i="2"/>
  <c r="AA615" i="2"/>
  <c r="AB615" i="2"/>
  <c r="W615" i="2"/>
  <c r="Y616" i="2"/>
  <c r="Z616" i="2"/>
  <c r="AA616" i="2"/>
  <c r="AB616" i="2"/>
  <c r="W616" i="2"/>
  <c r="Y617" i="2"/>
  <c r="Z617" i="2"/>
  <c r="AA617" i="2"/>
  <c r="AB617" i="2"/>
  <c r="W617" i="2"/>
  <c r="Y618" i="2"/>
  <c r="Z618" i="2"/>
  <c r="AA618" i="2"/>
  <c r="AB618" i="2"/>
  <c r="W618" i="2"/>
  <c r="Y619" i="2"/>
  <c r="Z619" i="2"/>
  <c r="AA619" i="2"/>
  <c r="AB619" i="2"/>
  <c r="W619" i="2"/>
  <c r="Y620" i="2"/>
  <c r="Z620" i="2"/>
  <c r="AA620" i="2"/>
  <c r="AB620" i="2"/>
  <c r="W620" i="2"/>
  <c r="Y621" i="2"/>
  <c r="Z621" i="2"/>
  <c r="AA621" i="2"/>
  <c r="AB621" i="2"/>
  <c r="W621" i="2"/>
  <c r="Y622" i="2"/>
  <c r="Z622" i="2"/>
  <c r="AA622" i="2"/>
  <c r="AB622" i="2"/>
  <c r="W622" i="2"/>
  <c r="Y623" i="2"/>
  <c r="Z623" i="2"/>
  <c r="AA623" i="2"/>
  <c r="AB623" i="2"/>
  <c r="W623" i="2"/>
  <c r="Y624" i="2"/>
  <c r="Z624" i="2"/>
  <c r="AA624" i="2"/>
  <c r="AB624" i="2"/>
  <c r="W624" i="2"/>
  <c r="Y625" i="2"/>
  <c r="Z625" i="2"/>
  <c r="AA625" i="2"/>
  <c r="AB625" i="2"/>
  <c r="W625" i="2"/>
  <c r="Y626" i="2"/>
  <c r="Z626" i="2"/>
  <c r="AA626" i="2"/>
  <c r="AB626" i="2"/>
  <c r="W626" i="2"/>
  <c r="Y627" i="2"/>
  <c r="Z627" i="2"/>
  <c r="AA627" i="2"/>
  <c r="AB627" i="2"/>
  <c r="W627" i="2"/>
  <c r="Y628" i="2"/>
  <c r="Z628" i="2"/>
  <c r="AA628" i="2"/>
  <c r="AB628" i="2"/>
  <c r="W628" i="2"/>
  <c r="Y629" i="2"/>
  <c r="Z629" i="2"/>
  <c r="AA629" i="2"/>
  <c r="AB629" i="2"/>
  <c r="W629" i="2"/>
  <c r="Y630" i="2"/>
  <c r="Z630" i="2"/>
  <c r="AA630" i="2"/>
  <c r="AB630" i="2"/>
  <c r="W630" i="2"/>
  <c r="Y631" i="2"/>
  <c r="Z631" i="2"/>
  <c r="AA631" i="2"/>
  <c r="AB631" i="2"/>
  <c r="W631" i="2"/>
  <c r="Y632" i="2"/>
  <c r="Z632" i="2"/>
  <c r="AA632" i="2"/>
  <c r="AB632" i="2"/>
  <c r="W632" i="2"/>
  <c r="Y633" i="2"/>
  <c r="Z633" i="2"/>
  <c r="AA633" i="2"/>
  <c r="AB633" i="2"/>
  <c r="W633" i="2"/>
  <c r="Y634" i="2"/>
  <c r="Z634" i="2"/>
  <c r="AA634" i="2"/>
  <c r="AB634" i="2"/>
  <c r="W634" i="2"/>
  <c r="Y635" i="2"/>
  <c r="Z635" i="2"/>
  <c r="AA635" i="2"/>
  <c r="AB635" i="2"/>
  <c r="W635" i="2"/>
  <c r="Y636" i="2"/>
  <c r="Z636" i="2"/>
  <c r="AA636" i="2"/>
  <c r="AB636" i="2"/>
  <c r="W636" i="2"/>
  <c r="Y637" i="2"/>
  <c r="Z637" i="2"/>
  <c r="AA637" i="2"/>
  <c r="AB637" i="2"/>
  <c r="W637" i="2"/>
  <c r="Y638" i="2"/>
  <c r="Z638" i="2"/>
  <c r="AA638" i="2"/>
  <c r="AB638" i="2"/>
  <c r="W638" i="2"/>
  <c r="Y639" i="2"/>
  <c r="Z639" i="2"/>
  <c r="AA639" i="2"/>
  <c r="AB639" i="2"/>
  <c r="W639" i="2"/>
  <c r="Y640" i="2"/>
  <c r="Z640" i="2"/>
  <c r="AA640" i="2"/>
  <c r="AB640" i="2"/>
  <c r="W640" i="2"/>
  <c r="Y641" i="2"/>
  <c r="Z641" i="2"/>
  <c r="AA641" i="2"/>
  <c r="AB641" i="2"/>
  <c r="W641" i="2"/>
  <c r="Y642" i="2"/>
  <c r="Z642" i="2"/>
  <c r="AA642" i="2"/>
  <c r="AB642" i="2"/>
  <c r="W642" i="2"/>
  <c r="Y643" i="2"/>
  <c r="Z643" i="2"/>
  <c r="AA643" i="2"/>
  <c r="AB643" i="2"/>
  <c r="W643" i="2"/>
  <c r="Y644" i="2"/>
  <c r="Z644" i="2"/>
  <c r="AA644" i="2"/>
  <c r="AB644" i="2"/>
  <c r="W644" i="2"/>
  <c r="Y645" i="2"/>
  <c r="Z645" i="2"/>
  <c r="AA645" i="2"/>
  <c r="AB645" i="2"/>
  <c r="W645" i="2"/>
  <c r="Y646" i="2"/>
  <c r="Z646" i="2"/>
  <c r="AA646" i="2"/>
  <c r="AB646" i="2"/>
  <c r="W646" i="2"/>
  <c r="Y647" i="2"/>
  <c r="Z647" i="2"/>
  <c r="AA647" i="2"/>
  <c r="AB647" i="2"/>
  <c r="W647" i="2"/>
  <c r="Y648" i="2"/>
  <c r="Z648" i="2"/>
  <c r="AA648" i="2"/>
  <c r="AB648" i="2"/>
  <c r="W648" i="2"/>
  <c r="Y649" i="2"/>
  <c r="Z649" i="2"/>
  <c r="AA649" i="2"/>
  <c r="AB649" i="2"/>
  <c r="W649" i="2"/>
  <c r="Y650" i="2"/>
  <c r="Z650" i="2"/>
  <c r="AA650" i="2"/>
  <c r="AB650" i="2"/>
  <c r="W650" i="2"/>
  <c r="Y651" i="2"/>
  <c r="Z651" i="2"/>
  <c r="AA651" i="2"/>
  <c r="AB651" i="2"/>
  <c r="W651" i="2"/>
  <c r="Y652" i="2"/>
  <c r="Z652" i="2"/>
  <c r="AA652" i="2"/>
  <c r="AB652" i="2"/>
  <c r="W652" i="2"/>
  <c r="Y653" i="2"/>
  <c r="Z653" i="2"/>
  <c r="AA653" i="2"/>
  <c r="AB653" i="2"/>
  <c r="W653" i="2"/>
  <c r="Y654" i="2"/>
  <c r="Z654" i="2"/>
  <c r="AA654" i="2"/>
  <c r="AB654" i="2"/>
  <c r="W654" i="2"/>
  <c r="Y655" i="2"/>
  <c r="Z655" i="2"/>
  <c r="AA655" i="2"/>
  <c r="AB655" i="2"/>
  <c r="W655" i="2"/>
  <c r="Y656" i="2"/>
  <c r="Z656" i="2"/>
  <c r="AA656" i="2"/>
  <c r="AB656" i="2"/>
  <c r="W656" i="2"/>
  <c r="Y657" i="2"/>
  <c r="Z657" i="2"/>
  <c r="AA657" i="2"/>
  <c r="AB657" i="2"/>
  <c r="W657" i="2"/>
  <c r="Y658" i="2"/>
  <c r="Z658" i="2"/>
  <c r="AA658" i="2"/>
  <c r="AB658" i="2"/>
  <c r="W658" i="2"/>
  <c r="Y659" i="2"/>
  <c r="Z659" i="2"/>
  <c r="AA659" i="2"/>
  <c r="AB659" i="2"/>
  <c r="W659" i="2"/>
  <c r="Y660" i="2"/>
  <c r="Z660" i="2"/>
  <c r="AA660" i="2"/>
  <c r="AB660" i="2"/>
  <c r="W660" i="2"/>
  <c r="Y661" i="2"/>
  <c r="Z661" i="2"/>
  <c r="AA661" i="2"/>
  <c r="AB661" i="2"/>
  <c r="W661" i="2"/>
  <c r="Y662" i="2"/>
  <c r="Z662" i="2"/>
  <c r="AA662" i="2"/>
  <c r="AB662" i="2"/>
  <c r="W662" i="2"/>
  <c r="Y663" i="2"/>
  <c r="Z663" i="2"/>
  <c r="AA663" i="2"/>
  <c r="AB663" i="2"/>
  <c r="W663" i="2"/>
  <c r="Y664" i="2"/>
  <c r="Z664" i="2"/>
  <c r="AA664" i="2"/>
  <c r="AB664" i="2"/>
  <c r="W664" i="2"/>
  <c r="Y665" i="2"/>
  <c r="Z665" i="2"/>
  <c r="AA665" i="2"/>
  <c r="AB665" i="2"/>
  <c r="W665" i="2"/>
  <c r="Y666" i="2"/>
  <c r="Z666" i="2"/>
  <c r="AA666" i="2"/>
  <c r="AB666" i="2"/>
  <c r="W666" i="2"/>
  <c r="Y667" i="2"/>
  <c r="Z667" i="2"/>
  <c r="AA667" i="2"/>
  <c r="AB667" i="2"/>
  <c r="W667" i="2"/>
  <c r="Y668" i="2"/>
  <c r="Z668" i="2"/>
  <c r="AA668" i="2"/>
  <c r="AB668" i="2"/>
  <c r="W668" i="2"/>
  <c r="Y669" i="2"/>
  <c r="Z669" i="2"/>
  <c r="AA669" i="2"/>
  <c r="AB669" i="2"/>
  <c r="W669" i="2"/>
  <c r="Y670" i="2"/>
  <c r="Z670" i="2"/>
  <c r="AA670" i="2"/>
  <c r="AB670" i="2"/>
  <c r="W670" i="2"/>
  <c r="Y671" i="2"/>
  <c r="Z671" i="2"/>
  <c r="AA671" i="2"/>
  <c r="AB671" i="2"/>
  <c r="W671" i="2"/>
  <c r="Y672" i="2"/>
  <c r="Z672" i="2"/>
  <c r="AA672" i="2"/>
  <c r="AB672" i="2"/>
  <c r="W672" i="2"/>
  <c r="Y673" i="2"/>
  <c r="Z673" i="2"/>
  <c r="AA673" i="2"/>
  <c r="AB673" i="2"/>
  <c r="W673" i="2"/>
  <c r="Y674" i="2"/>
  <c r="Z674" i="2"/>
  <c r="AA674" i="2"/>
  <c r="AB674" i="2"/>
  <c r="W674" i="2"/>
  <c r="Y675" i="2"/>
  <c r="Z675" i="2"/>
  <c r="AA675" i="2"/>
  <c r="AB675" i="2"/>
  <c r="W675" i="2"/>
  <c r="Y676" i="2"/>
  <c r="Z676" i="2"/>
  <c r="AA676" i="2"/>
  <c r="AB676" i="2"/>
  <c r="W676" i="2"/>
  <c r="Y677" i="2"/>
  <c r="Z677" i="2"/>
  <c r="AA677" i="2"/>
  <c r="AB677" i="2"/>
  <c r="W677" i="2"/>
  <c r="Y678" i="2"/>
  <c r="Z678" i="2"/>
  <c r="AA678" i="2"/>
  <c r="AB678" i="2"/>
  <c r="W678" i="2"/>
  <c r="Y679" i="2"/>
  <c r="Z679" i="2"/>
  <c r="AA679" i="2"/>
  <c r="AB679" i="2"/>
  <c r="W679" i="2"/>
  <c r="Y680" i="2"/>
  <c r="Z680" i="2"/>
  <c r="AA680" i="2"/>
  <c r="AB680" i="2"/>
  <c r="W680" i="2"/>
  <c r="Y681" i="2"/>
  <c r="Z681" i="2"/>
  <c r="AA681" i="2"/>
  <c r="AB681" i="2"/>
  <c r="W681" i="2"/>
  <c r="Y682" i="2"/>
  <c r="Z682" i="2"/>
  <c r="AA682" i="2"/>
  <c r="AB682" i="2"/>
  <c r="W682" i="2"/>
  <c r="Y683" i="2"/>
  <c r="Z683" i="2"/>
  <c r="AA683" i="2"/>
  <c r="AB683" i="2"/>
  <c r="W683" i="2"/>
  <c r="Y684" i="2"/>
  <c r="Z684" i="2"/>
  <c r="AA684" i="2"/>
  <c r="AB684" i="2"/>
  <c r="W684" i="2"/>
  <c r="Y685" i="2"/>
  <c r="Z685" i="2"/>
  <c r="AA685" i="2"/>
  <c r="AB685" i="2"/>
  <c r="W685" i="2"/>
  <c r="Y686" i="2"/>
  <c r="Z686" i="2"/>
  <c r="AA686" i="2"/>
  <c r="AB686" i="2"/>
  <c r="W686" i="2"/>
  <c r="Y687" i="2"/>
  <c r="Z687" i="2"/>
  <c r="AA687" i="2"/>
  <c r="AB687" i="2"/>
  <c r="W687" i="2"/>
  <c r="Y688" i="2"/>
  <c r="Z688" i="2"/>
  <c r="AA688" i="2"/>
  <c r="AB688" i="2"/>
  <c r="W688" i="2"/>
  <c r="Y689" i="2"/>
  <c r="Z689" i="2"/>
  <c r="AA689" i="2"/>
  <c r="AB689" i="2"/>
  <c r="W689" i="2"/>
  <c r="Y690" i="2"/>
  <c r="Z690" i="2"/>
  <c r="AA690" i="2"/>
  <c r="AB690" i="2"/>
  <c r="W690" i="2"/>
  <c r="Y691" i="2"/>
  <c r="Z691" i="2"/>
  <c r="AA691" i="2"/>
  <c r="AB691" i="2"/>
  <c r="W691" i="2"/>
  <c r="Y692" i="2"/>
  <c r="Z692" i="2"/>
  <c r="AA692" i="2"/>
  <c r="AB692" i="2"/>
  <c r="W692" i="2"/>
  <c r="Y693" i="2"/>
  <c r="Z693" i="2"/>
  <c r="AA693" i="2"/>
  <c r="AB693" i="2"/>
  <c r="W693" i="2"/>
  <c r="Y694" i="2"/>
  <c r="Z694" i="2"/>
  <c r="AA694" i="2"/>
  <c r="AB694" i="2"/>
  <c r="W694" i="2"/>
  <c r="Y695" i="2"/>
  <c r="Z695" i="2"/>
  <c r="AA695" i="2"/>
  <c r="AB695" i="2"/>
  <c r="W695" i="2"/>
  <c r="Y696" i="2"/>
  <c r="Z696" i="2"/>
  <c r="AA696" i="2"/>
  <c r="AB696" i="2"/>
  <c r="W696" i="2"/>
  <c r="Y697" i="2"/>
  <c r="Z697" i="2"/>
  <c r="AA697" i="2"/>
  <c r="AB697" i="2"/>
  <c r="W697" i="2"/>
  <c r="Y698" i="2"/>
  <c r="Z698" i="2"/>
  <c r="AA698" i="2"/>
  <c r="AB698" i="2"/>
  <c r="W698" i="2"/>
  <c r="Y699" i="2"/>
  <c r="Z699" i="2"/>
  <c r="AA699" i="2"/>
  <c r="AB699" i="2"/>
  <c r="W699" i="2"/>
  <c r="Y700" i="2"/>
  <c r="Z700" i="2"/>
  <c r="AA700" i="2"/>
  <c r="AB700" i="2"/>
  <c r="W700" i="2"/>
  <c r="Y701" i="2"/>
  <c r="Z701" i="2"/>
  <c r="AA701" i="2"/>
  <c r="AB701" i="2"/>
  <c r="W701" i="2"/>
  <c r="Y702" i="2"/>
  <c r="Z702" i="2"/>
  <c r="AA702" i="2"/>
  <c r="AB702" i="2"/>
  <c r="W702" i="2"/>
  <c r="Y703" i="2"/>
  <c r="Z703" i="2"/>
  <c r="AA703" i="2"/>
  <c r="AB703" i="2"/>
  <c r="W703" i="2"/>
  <c r="Y704" i="2"/>
  <c r="Z704" i="2"/>
  <c r="AA704" i="2"/>
  <c r="AB704" i="2"/>
  <c r="W704" i="2"/>
  <c r="Y705" i="2"/>
  <c r="Z705" i="2"/>
  <c r="AA705" i="2"/>
  <c r="AB705" i="2"/>
  <c r="W705" i="2"/>
  <c r="Y706" i="2"/>
  <c r="Z706" i="2"/>
  <c r="AA706" i="2"/>
  <c r="AB706" i="2"/>
  <c r="W706" i="2"/>
  <c r="Y707" i="2"/>
  <c r="Z707" i="2"/>
  <c r="AA707" i="2"/>
  <c r="AB707" i="2"/>
  <c r="W707" i="2"/>
  <c r="Y708" i="2"/>
  <c r="Z708" i="2"/>
  <c r="AA708" i="2"/>
  <c r="AB708" i="2"/>
  <c r="W708" i="2"/>
  <c r="Y709" i="2"/>
  <c r="Z709" i="2"/>
  <c r="AA709" i="2"/>
  <c r="AB709" i="2"/>
  <c r="W709" i="2"/>
  <c r="Y710" i="2"/>
  <c r="Z710" i="2"/>
  <c r="AA710" i="2"/>
  <c r="AB710" i="2"/>
  <c r="W710" i="2"/>
  <c r="Y711" i="2"/>
  <c r="Z711" i="2"/>
  <c r="AA711" i="2"/>
  <c r="AB711" i="2"/>
  <c r="W711" i="2"/>
  <c r="Y712" i="2"/>
  <c r="Z712" i="2"/>
  <c r="AA712" i="2"/>
  <c r="AB712" i="2"/>
  <c r="W712" i="2"/>
  <c r="Y713" i="2"/>
  <c r="Z713" i="2"/>
  <c r="AA713" i="2"/>
  <c r="AB713" i="2"/>
  <c r="W713" i="2"/>
  <c r="Y714" i="2"/>
  <c r="Z714" i="2"/>
  <c r="AA714" i="2"/>
  <c r="AB714" i="2"/>
  <c r="W714" i="2"/>
  <c r="Y715" i="2"/>
  <c r="Z715" i="2"/>
  <c r="AA715" i="2"/>
  <c r="AB715" i="2"/>
  <c r="W715" i="2"/>
  <c r="Y716" i="2"/>
  <c r="Z716" i="2"/>
  <c r="AA716" i="2"/>
  <c r="AB716" i="2"/>
  <c r="W716" i="2"/>
  <c r="Y717" i="2"/>
  <c r="Z717" i="2"/>
  <c r="AA717" i="2"/>
  <c r="AB717" i="2"/>
  <c r="W717" i="2"/>
  <c r="Y718" i="2"/>
  <c r="Z718" i="2"/>
  <c r="AA718" i="2"/>
  <c r="AB718" i="2"/>
  <c r="W718" i="2"/>
  <c r="Y719" i="2"/>
  <c r="Z719" i="2"/>
  <c r="AA719" i="2"/>
  <c r="AB719" i="2"/>
  <c r="W719" i="2"/>
  <c r="Y720" i="2"/>
  <c r="Z720" i="2"/>
  <c r="AA720" i="2"/>
  <c r="AB720" i="2"/>
  <c r="W720" i="2"/>
  <c r="Y721" i="2"/>
  <c r="Z721" i="2"/>
  <c r="AA721" i="2"/>
  <c r="AB721" i="2"/>
  <c r="W721" i="2"/>
  <c r="Y722" i="2"/>
  <c r="Z722" i="2"/>
  <c r="AA722" i="2"/>
  <c r="AB722" i="2"/>
  <c r="W722" i="2"/>
  <c r="Y723" i="2"/>
  <c r="Z723" i="2"/>
  <c r="AA723" i="2"/>
  <c r="AB723" i="2"/>
  <c r="W723" i="2"/>
  <c r="Y724" i="2"/>
  <c r="Z724" i="2"/>
  <c r="AA724" i="2"/>
  <c r="AB724" i="2"/>
  <c r="W724" i="2"/>
  <c r="Y725" i="2"/>
  <c r="Z725" i="2"/>
  <c r="AA725" i="2"/>
  <c r="AB725" i="2"/>
  <c r="W725" i="2"/>
  <c r="Y726" i="2"/>
  <c r="Z726" i="2"/>
  <c r="AA726" i="2"/>
  <c r="AB726" i="2"/>
  <c r="W726" i="2"/>
  <c r="Y727" i="2"/>
  <c r="Z727" i="2"/>
  <c r="AA727" i="2"/>
  <c r="AB727" i="2"/>
  <c r="W727" i="2"/>
  <c r="Y728" i="2"/>
  <c r="Z728" i="2"/>
  <c r="AA728" i="2"/>
  <c r="AB728" i="2"/>
  <c r="W728" i="2"/>
  <c r="Y729" i="2"/>
  <c r="Z729" i="2"/>
  <c r="AA729" i="2"/>
  <c r="AB729" i="2"/>
  <c r="W729" i="2"/>
  <c r="Y730" i="2"/>
  <c r="Z730" i="2"/>
  <c r="AA730" i="2"/>
  <c r="AB730" i="2"/>
  <c r="W730" i="2"/>
  <c r="Y731" i="2"/>
  <c r="Z731" i="2"/>
  <c r="AA731" i="2"/>
  <c r="AB731" i="2"/>
  <c r="W731" i="2"/>
  <c r="Y732" i="2"/>
  <c r="Z732" i="2"/>
  <c r="AA732" i="2"/>
  <c r="AB732" i="2"/>
  <c r="W732" i="2"/>
  <c r="Y733" i="2"/>
  <c r="Z733" i="2"/>
  <c r="AA733" i="2"/>
  <c r="AB733" i="2"/>
  <c r="W733" i="2"/>
  <c r="Y734" i="2"/>
  <c r="Z734" i="2"/>
  <c r="AA734" i="2"/>
  <c r="AB734" i="2"/>
  <c r="W734" i="2"/>
  <c r="Y735" i="2"/>
  <c r="Z735" i="2"/>
  <c r="AA735" i="2"/>
  <c r="AB735" i="2"/>
  <c r="W735" i="2"/>
  <c r="Y736" i="2"/>
  <c r="Z736" i="2"/>
  <c r="AA736" i="2"/>
  <c r="AB736" i="2"/>
  <c r="W736" i="2"/>
  <c r="Y737" i="2"/>
  <c r="Z737" i="2"/>
  <c r="AA737" i="2"/>
  <c r="AB737" i="2"/>
  <c r="W737" i="2"/>
  <c r="Y738" i="2"/>
  <c r="Z738" i="2"/>
  <c r="AA738" i="2"/>
  <c r="AB738" i="2"/>
  <c r="W738" i="2"/>
  <c r="Y739" i="2"/>
  <c r="Z739" i="2"/>
  <c r="AA739" i="2"/>
  <c r="AB739" i="2"/>
  <c r="W739" i="2"/>
  <c r="Y740" i="2"/>
  <c r="Z740" i="2"/>
  <c r="AA740" i="2"/>
  <c r="AB740" i="2"/>
  <c r="W740" i="2"/>
  <c r="Y741" i="2"/>
  <c r="Z741" i="2"/>
  <c r="AA741" i="2"/>
  <c r="AB741" i="2"/>
  <c r="W741" i="2"/>
  <c r="Y742" i="2"/>
  <c r="Z742" i="2"/>
  <c r="AA742" i="2"/>
  <c r="AB742" i="2"/>
  <c r="W742" i="2"/>
  <c r="Y743" i="2"/>
  <c r="Z743" i="2"/>
  <c r="AA743" i="2"/>
  <c r="AB743" i="2"/>
  <c r="W743" i="2"/>
  <c r="Y744" i="2"/>
  <c r="Z744" i="2"/>
  <c r="AA744" i="2"/>
  <c r="AB744" i="2"/>
  <c r="W744" i="2"/>
  <c r="Y745" i="2"/>
  <c r="Z745" i="2"/>
  <c r="AA745" i="2"/>
  <c r="AB745" i="2"/>
  <c r="W745" i="2"/>
  <c r="Y746" i="2"/>
  <c r="Z746" i="2"/>
  <c r="AA746" i="2"/>
  <c r="AB746" i="2"/>
  <c r="W746" i="2"/>
  <c r="Y747" i="2"/>
  <c r="Z747" i="2"/>
  <c r="AA747" i="2"/>
  <c r="AB747" i="2"/>
  <c r="W747" i="2"/>
  <c r="Y748" i="2"/>
  <c r="Z748" i="2"/>
  <c r="AA748" i="2"/>
  <c r="AB748" i="2"/>
  <c r="W748" i="2"/>
  <c r="Y749" i="2"/>
  <c r="Z749" i="2"/>
  <c r="AA749" i="2"/>
  <c r="AB749" i="2"/>
  <c r="W749" i="2"/>
  <c r="Y750" i="2"/>
  <c r="Z750" i="2"/>
  <c r="AA750" i="2"/>
  <c r="AB750" i="2"/>
  <c r="W750" i="2"/>
  <c r="Y751" i="2"/>
  <c r="Z751" i="2"/>
  <c r="AA751" i="2"/>
  <c r="AB751" i="2"/>
  <c r="W751" i="2"/>
  <c r="Y752" i="2"/>
  <c r="Z752" i="2"/>
  <c r="AA752" i="2"/>
  <c r="AB752" i="2"/>
  <c r="W752" i="2"/>
  <c r="Y753" i="2"/>
  <c r="Z753" i="2"/>
  <c r="AA753" i="2"/>
  <c r="AB753" i="2"/>
  <c r="W753" i="2"/>
  <c r="Y754" i="2"/>
  <c r="Z754" i="2"/>
  <c r="AA754" i="2"/>
  <c r="AB754" i="2"/>
  <c r="W754" i="2"/>
  <c r="Y755" i="2"/>
  <c r="Z755" i="2"/>
  <c r="AA755" i="2"/>
  <c r="AB755" i="2"/>
  <c r="W755" i="2"/>
  <c r="Y756" i="2"/>
  <c r="Z756" i="2"/>
  <c r="AA756" i="2"/>
  <c r="AB756" i="2"/>
  <c r="W756" i="2"/>
  <c r="Y757" i="2"/>
  <c r="Z757" i="2"/>
  <c r="AA757" i="2"/>
  <c r="AB757" i="2"/>
  <c r="W757" i="2"/>
  <c r="Y758" i="2"/>
  <c r="Z758" i="2"/>
  <c r="AA758" i="2"/>
  <c r="AB758" i="2"/>
  <c r="W758" i="2"/>
  <c r="Y759" i="2"/>
  <c r="Z759" i="2"/>
  <c r="AA759" i="2"/>
  <c r="AB759" i="2"/>
  <c r="W759" i="2"/>
  <c r="Y760" i="2"/>
  <c r="Z760" i="2"/>
  <c r="AA760" i="2"/>
  <c r="AB760" i="2"/>
  <c r="W760" i="2"/>
  <c r="Y761" i="2"/>
  <c r="Z761" i="2"/>
  <c r="AA761" i="2"/>
  <c r="AB761" i="2"/>
  <c r="W761" i="2"/>
  <c r="Y762" i="2"/>
  <c r="Z762" i="2"/>
  <c r="AA762" i="2"/>
  <c r="AB762" i="2"/>
  <c r="W762" i="2"/>
  <c r="Y763" i="2"/>
  <c r="Z763" i="2"/>
  <c r="AA763" i="2"/>
  <c r="AB763" i="2"/>
  <c r="W763" i="2"/>
  <c r="Y764" i="2"/>
  <c r="Z764" i="2"/>
  <c r="AA764" i="2"/>
  <c r="AB764" i="2"/>
  <c r="W764" i="2"/>
  <c r="Y765" i="2"/>
  <c r="Z765" i="2"/>
  <c r="AA765" i="2"/>
  <c r="AB765" i="2"/>
  <c r="W765" i="2"/>
  <c r="Y766" i="2"/>
  <c r="Z766" i="2"/>
  <c r="AA766" i="2"/>
  <c r="AB766" i="2"/>
  <c r="W766" i="2"/>
  <c r="Y767" i="2"/>
  <c r="Z767" i="2"/>
  <c r="AA767" i="2"/>
  <c r="AB767" i="2"/>
  <c r="W767" i="2"/>
  <c r="Y768" i="2"/>
  <c r="Z768" i="2"/>
  <c r="AA768" i="2"/>
  <c r="AB768" i="2"/>
  <c r="W768" i="2"/>
  <c r="Y769" i="2"/>
  <c r="Z769" i="2"/>
  <c r="AA769" i="2"/>
  <c r="AB769" i="2"/>
  <c r="W769" i="2"/>
  <c r="Y770" i="2"/>
  <c r="Z770" i="2"/>
  <c r="AA770" i="2"/>
  <c r="AB770" i="2"/>
  <c r="W770" i="2"/>
  <c r="Y771" i="2"/>
  <c r="Z771" i="2"/>
  <c r="AA771" i="2"/>
  <c r="AB771" i="2"/>
  <c r="W771" i="2"/>
  <c r="Y772" i="2"/>
  <c r="Z772" i="2"/>
  <c r="AA772" i="2"/>
  <c r="AB772" i="2"/>
  <c r="W772" i="2"/>
  <c r="Y773" i="2"/>
  <c r="Z773" i="2"/>
  <c r="AA773" i="2"/>
  <c r="AB773" i="2"/>
  <c r="W773" i="2"/>
  <c r="Y774" i="2"/>
  <c r="Z774" i="2"/>
  <c r="AA774" i="2"/>
  <c r="AB774" i="2"/>
  <c r="W774" i="2"/>
  <c r="Y775" i="2"/>
  <c r="Z775" i="2"/>
  <c r="AA775" i="2"/>
  <c r="AB775" i="2"/>
  <c r="W775" i="2"/>
  <c r="Y776" i="2"/>
  <c r="Z776" i="2"/>
  <c r="AA776" i="2"/>
  <c r="AB776" i="2"/>
  <c r="W776" i="2"/>
  <c r="Y777" i="2"/>
  <c r="Z777" i="2"/>
  <c r="AA777" i="2"/>
  <c r="AB777" i="2"/>
  <c r="W777" i="2"/>
  <c r="Y778" i="2"/>
  <c r="Z778" i="2"/>
  <c r="AA778" i="2"/>
  <c r="AB778" i="2"/>
  <c r="W778" i="2"/>
  <c r="Y779" i="2"/>
  <c r="Z779" i="2"/>
  <c r="AA779" i="2"/>
  <c r="AB779" i="2"/>
  <c r="W779" i="2"/>
  <c r="Y780" i="2"/>
  <c r="Z780" i="2"/>
  <c r="AA780" i="2"/>
  <c r="AB780" i="2"/>
  <c r="W780" i="2"/>
  <c r="Y781" i="2"/>
  <c r="Z781" i="2"/>
  <c r="AA781" i="2"/>
  <c r="AB781" i="2"/>
  <c r="W781" i="2"/>
  <c r="Y782" i="2"/>
  <c r="Z782" i="2"/>
  <c r="AA782" i="2"/>
  <c r="AB782" i="2"/>
  <c r="W782" i="2"/>
  <c r="Y783" i="2"/>
  <c r="Z783" i="2"/>
  <c r="AA783" i="2"/>
  <c r="AB783" i="2"/>
  <c r="W783" i="2"/>
  <c r="Y784" i="2"/>
  <c r="Z784" i="2"/>
  <c r="AA784" i="2"/>
  <c r="AB784" i="2"/>
  <c r="W784" i="2"/>
  <c r="Y785" i="2"/>
  <c r="Z785" i="2"/>
  <c r="AA785" i="2"/>
  <c r="AB785" i="2"/>
  <c r="W785" i="2"/>
  <c r="Y786" i="2"/>
  <c r="Z786" i="2"/>
  <c r="AA786" i="2"/>
  <c r="AB786" i="2"/>
  <c r="W786" i="2"/>
  <c r="Y787" i="2"/>
  <c r="Z787" i="2"/>
  <c r="AA787" i="2"/>
  <c r="AB787" i="2"/>
  <c r="W787" i="2"/>
  <c r="Y799" i="2"/>
  <c r="Z799" i="2"/>
  <c r="AA799" i="2"/>
  <c r="AB799" i="2"/>
  <c r="W799" i="2"/>
  <c r="Y800" i="2"/>
  <c r="Z800" i="2"/>
  <c r="AA800" i="2"/>
  <c r="AB800" i="2"/>
  <c r="W800" i="2"/>
  <c r="Y801" i="2"/>
  <c r="Z801" i="2"/>
  <c r="AA801" i="2"/>
  <c r="AB801" i="2"/>
  <c r="W801" i="2"/>
  <c r="Y802" i="2"/>
  <c r="Z802" i="2"/>
  <c r="AA802" i="2"/>
  <c r="AB802" i="2"/>
  <c r="W802" i="2"/>
  <c r="Y803" i="2"/>
  <c r="Z803" i="2"/>
  <c r="AA803" i="2"/>
  <c r="AB803" i="2"/>
  <c r="W803" i="2"/>
  <c r="Y804" i="2"/>
  <c r="Z804" i="2"/>
  <c r="AA804" i="2"/>
  <c r="AB804" i="2"/>
  <c r="W804" i="2"/>
  <c r="Y805" i="2"/>
  <c r="Z805" i="2"/>
  <c r="AA805" i="2"/>
  <c r="AB805" i="2"/>
  <c r="W805" i="2"/>
  <c r="Y806" i="2"/>
  <c r="Z806" i="2"/>
  <c r="AA806" i="2"/>
  <c r="AB806" i="2"/>
  <c r="W806" i="2"/>
  <c r="Y807" i="2"/>
  <c r="Z807" i="2"/>
  <c r="AA807" i="2"/>
  <c r="AB807" i="2"/>
  <c r="W807" i="2"/>
  <c r="Y808" i="2"/>
  <c r="Z808" i="2"/>
  <c r="AA808" i="2"/>
  <c r="AB808" i="2"/>
  <c r="W808" i="2"/>
  <c r="Y809" i="2"/>
  <c r="Z809" i="2"/>
  <c r="AA809" i="2"/>
  <c r="AB809" i="2"/>
  <c r="W809" i="2"/>
  <c r="Y810" i="2"/>
  <c r="Z810" i="2"/>
  <c r="AA810" i="2"/>
  <c r="AB810" i="2"/>
  <c r="W810" i="2"/>
  <c r="Y811" i="2"/>
  <c r="Z811" i="2"/>
  <c r="AA811" i="2"/>
  <c r="AB811" i="2"/>
  <c r="W811" i="2"/>
  <c r="Y812" i="2"/>
  <c r="Z812" i="2"/>
  <c r="AA812" i="2"/>
  <c r="AB812" i="2"/>
  <c r="W812" i="2"/>
  <c r="Y813" i="2"/>
  <c r="Z813" i="2"/>
  <c r="AA813" i="2"/>
  <c r="AB813" i="2"/>
  <c r="W813" i="2"/>
  <c r="Y814" i="2"/>
  <c r="Z814" i="2"/>
  <c r="AA814" i="2"/>
  <c r="AB814" i="2"/>
  <c r="W814" i="2"/>
  <c r="Y815" i="2"/>
  <c r="Z815" i="2"/>
  <c r="AA815" i="2"/>
  <c r="AB815" i="2"/>
  <c r="W815" i="2"/>
  <c r="Y816" i="2"/>
  <c r="Z816" i="2"/>
  <c r="AA816" i="2"/>
  <c r="AB816" i="2"/>
  <c r="W816" i="2"/>
  <c r="Y817" i="2"/>
  <c r="Z817" i="2"/>
  <c r="AA817" i="2"/>
  <c r="AB817" i="2"/>
  <c r="W817" i="2"/>
  <c r="Y818" i="2"/>
  <c r="Z818" i="2"/>
  <c r="AA818" i="2"/>
  <c r="AB818" i="2"/>
  <c r="W818" i="2"/>
  <c r="Y819" i="2"/>
  <c r="Z819" i="2"/>
  <c r="AA819" i="2"/>
  <c r="AB819" i="2"/>
  <c r="W819" i="2"/>
  <c r="Y820" i="2"/>
  <c r="Z820" i="2"/>
  <c r="AA820" i="2"/>
  <c r="AB820" i="2"/>
  <c r="W820" i="2"/>
  <c r="Y821" i="2"/>
  <c r="Z821" i="2"/>
  <c r="AA821" i="2"/>
  <c r="AB821" i="2"/>
  <c r="W821" i="2"/>
  <c r="Y822" i="2"/>
  <c r="Z822" i="2"/>
  <c r="AA822" i="2"/>
  <c r="AB822" i="2"/>
  <c r="W822" i="2"/>
  <c r="Y823" i="2"/>
  <c r="Z823" i="2"/>
  <c r="AA823" i="2"/>
  <c r="AB823" i="2"/>
  <c r="W823" i="2"/>
  <c r="Y824" i="2"/>
  <c r="Z824" i="2"/>
  <c r="AA824" i="2"/>
  <c r="AB824" i="2"/>
  <c r="W824" i="2"/>
  <c r="Y825" i="2"/>
  <c r="Z825" i="2"/>
  <c r="AA825" i="2"/>
  <c r="AB825" i="2"/>
  <c r="W825" i="2"/>
  <c r="Y826" i="2"/>
  <c r="Z826" i="2"/>
  <c r="AA826" i="2"/>
  <c r="AB826" i="2"/>
  <c r="W826" i="2"/>
  <c r="Y827" i="2"/>
  <c r="Z827" i="2"/>
  <c r="AA827" i="2"/>
  <c r="AB827" i="2"/>
  <c r="W827" i="2"/>
  <c r="Y828" i="2"/>
  <c r="Z828" i="2"/>
  <c r="AA828" i="2"/>
  <c r="AB828" i="2"/>
  <c r="W828" i="2"/>
  <c r="Y829" i="2"/>
  <c r="Z829" i="2"/>
  <c r="AA829" i="2"/>
  <c r="AB829" i="2"/>
  <c r="W829" i="2"/>
  <c r="Y830" i="2"/>
  <c r="Z830" i="2"/>
  <c r="AA830" i="2"/>
  <c r="AB830" i="2"/>
  <c r="W830" i="2"/>
  <c r="Y831" i="2"/>
  <c r="Z831" i="2"/>
  <c r="AA831" i="2"/>
  <c r="AB831" i="2"/>
  <c r="W831" i="2"/>
  <c r="Y832" i="2"/>
  <c r="Z832" i="2"/>
  <c r="AA832" i="2"/>
  <c r="AB832" i="2"/>
  <c r="W832" i="2"/>
  <c r="Y833" i="2"/>
  <c r="Z833" i="2"/>
  <c r="AA833" i="2"/>
  <c r="AB833" i="2"/>
  <c r="W833" i="2"/>
  <c r="Y834" i="2"/>
  <c r="Z834" i="2"/>
  <c r="AA834" i="2"/>
  <c r="AB834" i="2"/>
  <c r="W834" i="2"/>
  <c r="Y835" i="2"/>
  <c r="Z835" i="2"/>
  <c r="AA835" i="2"/>
  <c r="AB835" i="2"/>
  <c r="W835" i="2"/>
  <c r="Y836" i="2"/>
  <c r="Z836" i="2"/>
  <c r="AA836" i="2"/>
  <c r="AB836" i="2"/>
  <c r="W836" i="2"/>
  <c r="Y837" i="2"/>
  <c r="Z837" i="2"/>
  <c r="AA837" i="2"/>
  <c r="AB837" i="2"/>
  <c r="W837" i="2"/>
  <c r="Y838" i="2"/>
  <c r="Z838" i="2"/>
  <c r="AA838" i="2"/>
  <c r="AB838" i="2"/>
  <c r="W838" i="2"/>
  <c r="Y839" i="2"/>
  <c r="Z839" i="2"/>
  <c r="AA839" i="2"/>
  <c r="AB839" i="2"/>
  <c r="W839" i="2"/>
  <c r="Y840" i="2"/>
  <c r="Z840" i="2"/>
  <c r="AA840" i="2"/>
  <c r="AB840" i="2"/>
  <c r="W840" i="2"/>
  <c r="Y841" i="2"/>
  <c r="Z841" i="2"/>
  <c r="AA841" i="2"/>
  <c r="AB841" i="2"/>
  <c r="W841" i="2"/>
  <c r="Y842" i="2"/>
  <c r="Z842" i="2"/>
  <c r="AA842" i="2"/>
  <c r="AB842" i="2"/>
  <c r="W842" i="2"/>
  <c r="Y843" i="2"/>
  <c r="Z843" i="2"/>
  <c r="AA843" i="2"/>
  <c r="AB843" i="2"/>
  <c r="W843" i="2"/>
  <c r="Y844" i="2"/>
  <c r="Z844" i="2"/>
  <c r="AA844" i="2"/>
  <c r="AB844" i="2"/>
  <c r="W844" i="2"/>
  <c r="Y845" i="2"/>
  <c r="Z845" i="2"/>
  <c r="AA845" i="2"/>
  <c r="AB845" i="2"/>
  <c r="W845" i="2"/>
  <c r="Y846" i="2"/>
  <c r="Z846" i="2"/>
  <c r="AA846" i="2"/>
  <c r="AB846" i="2"/>
  <c r="W846" i="2"/>
  <c r="Y847" i="2"/>
  <c r="Z847" i="2"/>
  <c r="AA847" i="2"/>
  <c r="AB847" i="2"/>
  <c r="W847" i="2"/>
  <c r="Y848" i="2"/>
  <c r="Z848" i="2"/>
  <c r="AA848" i="2"/>
  <c r="AB848" i="2"/>
  <c r="W848" i="2"/>
  <c r="Y849" i="2"/>
  <c r="Z849" i="2"/>
  <c r="AA849" i="2"/>
  <c r="AB849" i="2"/>
  <c r="W849" i="2"/>
  <c r="Y850" i="2"/>
  <c r="Z850" i="2"/>
  <c r="AA850" i="2"/>
  <c r="AB850" i="2"/>
  <c r="W850" i="2"/>
  <c r="Y851" i="2"/>
  <c r="Z851" i="2"/>
  <c r="AA851" i="2"/>
  <c r="AB851" i="2"/>
  <c r="W851" i="2"/>
  <c r="Y852" i="2"/>
  <c r="Z852" i="2"/>
  <c r="AA852" i="2"/>
  <c r="AB852" i="2"/>
  <c r="W852" i="2"/>
  <c r="Y853" i="2"/>
  <c r="Z853" i="2"/>
  <c r="AA853" i="2"/>
  <c r="AB853" i="2"/>
  <c r="W853" i="2"/>
  <c r="Y854" i="2"/>
  <c r="Z854" i="2"/>
  <c r="AA854" i="2"/>
  <c r="AB854" i="2"/>
  <c r="W854" i="2"/>
  <c r="Y855" i="2"/>
  <c r="Z855" i="2"/>
  <c r="AA855" i="2"/>
  <c r="AB855" i="2"/>
  <c r="W855" i="2"/>
  <c r="Y856" i="2"/>
  <c r="Z856" i="2"/>
  <c r="AA856" i="2"/>
  <c r="AB856" i="2"/>
  <c r="W856" i="2"/>
  <c r="Y857" i="2"/>
  <c r="Z857" i="2"/>
  <c r="AA857" i="2"/>
  <c r="AB857" i="2"/>
  <c r="W857" i="2"/>
  <c r="Y858" i="2"/>
  <c r="Z858" i="2"/>
  <c r="AA858" i="2"/>
  <c r="AB858" i="2"/>
  <c r="W858" i="2"/>
  <c r="Y859" i="2"/>
  <c r="Z859" i="2"/>
  <c r="AA859" i="2"/>
  <c r="AB859" i="2"/>
  <c r="W859" i="2"/>
  <c r="Y860" i="2"/>
  <c r="Z860" i="2"/>
  <c r="AA860" i="2"/>
  <c r="AB860" i="2"/>
  <c r="W860" i="2"/>
  <c r="Y861" i="2"/>
  <c r="Z861" i="2"/>
  <c r="AA861" i="2"/>
  <c r="AB861" i="2"/>
  <c r="W861" i="2"/>
  <c r="Y862" i="2"/>
  <c r="Z862" i="2"/>
  <c r="AA862" i="2"/>
  <c r="AB862" i="2"/>
  <c r="W862" i="2"/>
  <c r="Y863" i="2"/>
  <c r="Z863" i="2"/>
  <c r="AA863" i="2"/>
  <c r="AB863" i="2"/>
  <c r="W863" i="2"/>
  <c r="Y864" i="2"/>
  <c r="Z864" i="2"/>
  <c r="AA864" i="2"/>
  <c r="AB864" i="2"/>
  <c r="W864" i="2"/>
  <c r="Y865" i="2"/>
  <c r="Z865" i="2"/>
  <c r="AA865" i="2"/>
  <c r="AB865" i="2"/>
  <c r="W865" i="2"/>
  <c r="Y866" i="2"/>
  <c r="Z866" i="2"/>
  <c r="AA866" i="2"/>
  <c r="AB866" i="2"/>
  <c r="W866" i="2"/>
  <c r="Y867" i="2"/>
  <c r="Z867" i="2"/>
  <c r="AA867" i="2"/>
  <c r="AB867" i="2"/>
  <c r="W867" i="2"/>
  <c r="Y868" i="2"/>
  <c r="Z868" i="2"/>
  <c r="AA868" i="2"/>
  <c r="AB868" i="2"/>
  <c r="W868" i="2"/>
  <c r="Y869" i="2"/>
  <c r="Z869" i="2"/>
  <c r="AA869" i="2"/>
  <c r="AB869" i="2"/>
  <c r="W869" i="2"/>
  <c r="Y870" i="2"/>
  <c r="Z870" i="2"/>
  <c r="AA870" i="2"/>
  <c r="AB870" i="2"/>
  <c r="W870" i="2"/>
  <c r="Y871" i="2"/>
  <c r="Z871" i="2"/>
  <c r="AA871" i="2"/>
  <c r="AB871" i="2"/>
  <c r="W871" i="2"/>
  <c r="Y872" i="2"/>
  <c r="Z872" i="2"/>
  <c r="AA872" i="2"/>
  <c r="AB872" i="2"/>
  <c r="W872" i="2"/>
  <c r="Y873" i="2"/>
  <c r="Z873" i="2"/>
  <c r="AA873" i="2"/>
  <c r="AB873" i="2"/>
  <c r="W873" i="2"/>
  <c r="Y874" i="2"/>
  <c r="Z874" i="2"/>
  <c r="AA874" i="2"/>
  <c r="AB874" i="2"/>
  <c r="W874" i="2"/>
  <c r="Y875" i="2"/>
  <c r="Z875" i="2"/>
  <c r="AA875" i="2"/>
  <c r="AB875" i="2"/>
  <c r="W875" i="2"/>
  <c r="Y876" i="2"/>
  <c r="Z876" i="2"/>
  <c r="AA876" i="2"/>
  <c r="AB876" i="2"/>
  <c r="W876" i="2"/>
  <c r="Y877" i="2"/>
  <c r="Z877" i="2"/>
  <c r="AA877" i="2"/>
  <c r="AB877" i="2"/>
  <c r="W877" i="2"/>
  <c r="Y878" i="2"/>
  <c r="Z878" i="2"/>
  <c r="AA878" i="2"/>
  <c r="AB878" i="2"/>
  <c r="W878" i="2"/>
  <c r="Y879" i="2"/>
  <c r="Z879" i="2"/>
  <c r="AA879" i="2"/>
  <c r="AB879" i="2"/>
  <c r="W879" i="2"/>
  <c r="Y880" i="2"/>
  <c r="Z880" i="2"/>
  <c r="AA880" i="2"/>
  <c r="AB880" i="2"/>
  <c r="W880" i="2"/>
  <c r="Y881" i="2"/>
  <c r="Z881" i="2"/>
  <c r="AA881" i="2"/>
  <c r="AB881" i="2"/>
  <c r="W881" i="2"/>
  <c r="Y882" i="2"/>
  <c r="Z882" i="2"/>
  <c r="AA882" i="2"/>
  <c r="AB882" i="2"/>
  <c r="W882" i="2"/>
  <c r="Y883" i="2"/>
  <c r="Z883" i="2"/>
  <c r="AA883" i="2"/>
  <c r="AB883" i="2"/>
  <c r="W883" i="2"/>
  <c r="Y884" i="2"/>
  <c r="Z884" i="2"/>
  <c r="AA884" i="2"/>
  <c r="AB884" i="2"/>
  <c r="W884" i="2"/>
  <c r="Y885" i="2"/>
  <c r="Z885" i="2"/>
  <c r="AA885" i="2"/>
  <c r="AB885" i="2"/>
  <c r="W885" i="2"/>
  <c r="Y886" i="2"/>
  <c r="Z886" i="2"/>
  <c r="AA886" i="2"/>
  <c r="AB886" i="2"/>
  <c r="W886" i="2"/>
  <c r="Y887" i="2"/>
  <c r="Z887" i="2"/>
  <c r="AA887" i="2"/>
  <c r="AB887" i="2"/>
  <c r="W887" i="2"/>
  <c r="Y888" i="2"/>
  <c r="Z888" i="2"/>
  <c r="AA888" i="2"/>
  <c r="AB888" i="2"/>
  <c r="W888" i="2"/>
  <c r="Y889" i="2"/>
  <c r="Z889" i="2"/>
  <c r="AA889" i="2"/>
  <c r="AB889" i="2"/>
  <c r="W889" i="2"/>
  <c r="Y890" i="2"/>
  <c r="Z890" i="2"/>
  <c r="AA890" i="2"/>
  <c r="AB890" i="2"/>
  <c r="W890" i="2"/>
  <c r="Y891" i="2"/>
  <c r="Z891" i="2"/>
  <c r="AA891" i="2"/>
  <c r="AB891" i="2"/>
  <c r="W891" i="2"/>
  <c r="Y892" i="2"/>
  <c r="Z892" i="2"/>
  <c r="AA892" i="2"/>
  <c r="AB892" i="2"/>
  <c r="W892" i="2"/>
  <c r="Y893" i="2"/>
  <c r="Z893" i="2"/>
  <c r="AA893" i="2"/>
  <c r="AB893" i="2"/>
  <c r="W893" i="2"/>
  <c r="Y894" i="2"/>
  <c r="Z894" i="2"/>
  <c r="AA894" i="2"/>
  <c r="AB894" i="2"/>
  <c r="W894" i="2"/>
  <c r="Y895" i="2"/>
  <c r="Z895" i="2"/>
  <c r="AA895" i="2"/>
  <c r="AB895" i="2"/>
  <c r="W895" i="2"/>
  <c r="Y896" i="2"/>
  <c r="Z896" i="2"/>
  <c r="AA896" i="2"/>
  <c r="AB896" i="2"/>
  <c r="W896" i="2"/>
  <c r="Y897" i="2"/>
  <c r="Z897" i="2"/>
  <c r="AA897" i="2"/>
  <c r="AB897" i="2"/>
  <c r="W897" i="2"/>
  <c r="Y898" i="2"/>
  <c r="Z898" i="2"/>
  <c r="AA898" i="2"/>
  <c r="AB898" i="2"/>
  <c r="W898" i="2"/>
  <c r="Y899" i="2"/>
  <c r="Z899" i="2"/>
  <c r="AA899" i="2"/>
  <c r="AB899" i="2"/>
  <c r="W899" i="2"/>
  <c r="Y900" i="2"/>
  <c r="Z900" i="2"/>
  <c r="AA900" i="2"/>
  <c r="AB900" i="2"/>
  <c r="W900" i="2"/>
  <c r="Y901" i="2"/>
  <c r="Z901" i="2"/>
  <c r="AA901" i="2"/>
  <c r="AB901" i="2"/>
  <c r="W901" i="2"/>
  <c r="Y902" i="2"/>
  <c r="Z902" i="2"/>
  <c r="AA902" i="2"/>
  <c r="AB902" i="2"/>
  <c r="W902" i="2"/>
  <c r="Y903" i="2"/>
  <c r="Z903" i="2"/>
  <c r="AA903" i="2"/>
  <c r="AB903" i="2"/>
  <c r="W903" i="2"/>
  <c r="Y904" i="2"/>
  <c r="Z904" i="2"/>
  <c r="AA904" i="2"/>
  <c r="AB904" i="2"/>
  <c r="W904" i="2"/>
  <c r="Y905" i="2"/>
  <c r="Z905" i="2"/>
  <c r="AA905" i="2"/>
  <c r="AB905" i="2"/>
  <c r="W905" i="2"/>
  <c r="Y906" i="2"/>
  <c r="Z906" i="2"/>
  <c r="AA906" i="2"/>
  <c r="AB906" i="2"/>
  <c r="W906" i="2"/>
  <c r="Y907" i="2"/>
  <c r="Z907" i="2"/>
  <c r="AA907" i="2"/>
  <c r="AB907" i="2"/>
  <c r="W907" i="2"/>
  <c r="Y908" i="2"/>
  <c r="Z908" i="2"/>
  <c r="AA908" i="2"/>
  <c r="AB908" i="2"/>
  <c r="W908" i="2"/>
  <c r="Y909" i="2"/>
  <c r="Z909" i="2"/>
  <c r="AA909" i="2"/>
  <c r="AB909" i="2"/>
  <c r="W909" i="2"/>
  <c r="Y910" i="2"/>
  <c r="Z910" i="2"/>
  <c r="AA910" i="2"/>
  <c r="AB910" i="2"/>
  <c r="W910" i="2"/>
  <c r="Y911" i="2"/>
  <c r="Z911" i="2"/>
  <c r="AA911" i="2"/>
  <c r="AB911" i="2"/>
  <c r="W911" i="2"/>
  <c r="Y912" i="2"/>
  <c r="Z912" i="2"/>
  <c r="AA912" i="2"/>
  <c r="AB912" i="2"/>
  <c r="W912" i="2"/>
  <c r="Y913" i="2"/>
  <c r="Z913" i="2"/>
  <c r="AA913" i="2"/>
  <c r="AB913" i="2"/>
  <c r="W913" i="2"/>
  <c r="Y914" i="2"/>
  <c r="Z914" i="2"/>
  <c r="AA914" i="2"/>
  <c r="AB914" i="2"/>
  <c r="W914" i="2"/>
  <c r="Y915" i="2"/>
  <c r="Z915" i="2"/>
  <c r="AA915" i="2"/>
  <c r="AB915" i="2"/>
  <c r="W915" i="2"/>
  <c r="Y916" i="2"/>
  <c r="Z916" i="2"/>
  <c r="AA916" i="2"/>
  <c r="AB916" i="2"/>
  <c r="W916" i="2"/>
  <c r="Y917" i="2"/>
  <c r="Z917" i="2"/>
  <c r="AA917" i="2"/>
  <c r="AB917" i="2"/>
  <c r="W917" i="2"/>
  <c r="Y918" i="2"/>
  <c r="Z918" i="2"/>
  <c r="AA918" i="2"/>
  <c r="AB918" i="2"/>
  <c r="W918" i="2"/>
  <c r="Y919" i="2"/>
  <c r="Z919" i="2"/>
  <c r="AA919" i="2"/>
  <c r="AB919" i="2"/>
  <c r="W919" i="2"/>
  <c r="Y920" i="2"/>
  <c r="Z920" i="2"/>
  <c r="AA920" i="2"/>
  <c r="AB920" i="2"/>
  <c r="W920" i="2"/>
  <c r="Y921" i="2"/>
  <c r="Z921" i="2"/>
  <c r="AA921" i="2"/>
  <c r="AB921" i="2"/>
  <c r="W921" i="2"/>
  <c r="Y922" i="2"/>
  <c r="Z922" i="2"/>
  <c r="AA922" i="2"/>
  <c r="AB922" i="2"/>
  <c r="W922" i="2"/>
  <c r="Y923" i="2"/>
  <c r="Z923" i="2"/>
  <c r="AA923" i="2"/>
  <c r="AB923" i="2"/>
  <c r="W923" i="2"/>
  <c r="Y924" i="2"/>
  <c r="Z924" i="2"/>
  <c r="AA924" i="2"/>
  <c r="AB924" i="2"/>
  <c r="W924" i="2"/>
  <c r="Y925" i="2"/>
  <c r="Z925" i="2"/>
  <c r="AA925" i="2"/>
  <c r="AB925" i="2"/>
  <c r="W925" i="2"/>
  <c r="Y926" i="2"/>
  <c r="Z926" i="2"/>
  <c r="AA926" i="2"/>
  <c r="AB926" i="2"/>
  <c r="W926" i="2"/>
  <c r="Y927" i="2"/>
  <c r="Z927" i="2"/>
  <c r="AA927" i="2"/>
  <c r="AB927" i="2"/>
  <c r="W927" i="2"/>
  <c r="Y928" i="2"/>
  <c r="Z928" i="2"/>
  <c r="AA928" i="2"/>
  <c r="AB928" i="2"/>
  <c r="W928" i="2"/>
  <c r="Y929" i="2"/>
  <c r="Z929" i="2"/>
  <c r="AA929" i="2"/>
  <c r="AB929" i="2"/>
  <c r="W929" i="2"/>
  <c r="Y930" i="2"/>
  <c r="Z930" i="2"/>
  <c r="AA930" i="2"/>
  <c r="AB930" i="2"/>
  <c r="W930" i="2"/>
  <c r="Y931" i="2"/>
  <c r="Z931" i="2"/>
  <c r="AA931" i="2"/>
  <c r="AB931" i="2"/>
  <c r="W931" i="2"/>
  <c r="Y932" i="2"/>
  <c r="Z932" i="2"/>
  <c r="AA932" i="2"/>
  <c r="AB932" i="2"/>
  <c r="W932" i="2"/>
  <c r="Y933" i="2"/>
  <c r="Z933" i="2"/>
  <c r="AA933" i="2"/>
  <c r="AB933" i="2"/>
  <c r="W933" i="2"/>
  <c r="Y934" i="2"/>
  <c r="Z934" i="2"/>
  <c r="AA934" i="2"/>
  <c r="AB934" i="2"/>
  <c r="W934" i="2"/>
  <c r="Y935" i="2"/>
  <c r="Z935" i="2"/>
  <c r="AA935" i="2"/>
  <c r="AB935" i="2"/>
  <c r="W935" i="2"/>
  <c r="Y936" i="2"/>
  <c r="Z936" i="2"/>
  <c r="AA936" i="2"/>
  <c r="AB936" i="2"/>
  <c r="W936" i="2"/>
  <c r="Y937" i="2"/>
  <c r="Z937" i="2"/>
  <c r="AA937" i="2"/>
  <c r="AB937" i="2"/>
  <c r="W937" i="2"/>
  <c r="Y938" i="2"/>
  <c r="Z938" i="2"/>
  <c r="AA938" i="2"/>
  <c r="AB938" i="2"/>
  <c r="W938" i="2"/>
  <c r="Y939" i="2"/>
  <c r="Z939" i="2"/>
  <c r="AA939" i="2"/>
  <c r="AB939" i="2"/>
  <c r="W939" i="2"/>
  <c r="Y940" i="2"/>
  <c r="Z940" i="2"/>
  <c r="AA940" i="2"/>
  <c r="AB940" i="2"/>
  <c r="W940" i="2"/>
  <c r="Y941" i="2"/>
  <c r="Z941" i="2"/>
  <c r="AA941" i="2"/>
  <c r="AB941" i="2"/>
  <c r="W941" i="2"/>
  <c r="Y942" i="2"/>
  <c r="Z942" i="2"/>
  <c r="AA942" i="2"/>
  <c r="AB942" i="2"/>
  <c r="W942" i="2"/>
  <c r="Y943" i="2"/>
  <c r="Z943" i="2"/>
  <c r="AA943" i="2"/>
  <c r="AB943" i="2"/>
  <c r="W943" i="2"/>
  <c r="Y944" i="2"/>
  <c r="Z944" i="2"/>
  <c r="AA944" i="2"/>
  <c r="AB944" i="2"/>
  <c r="W944" i="2"/>
  <c r="Y945" i="2"/>
  <c r="Z945" i="2"/>
  <c r="AA945" i="2"/>
  <c r="AB945" i="2"/>
  <c r="W945" i="2"/>
  <c r="Y946" i="2"/>
  <c r="Z946" i="2"/>
  <c r="AA946" i="2"/>
  <c r="AB946" i="2"/>
  <c r="W946" i="2"/>
  <c r="Y947" i="2"/>
  <c r="Z947" i="2"/>
  <c r="AA947" i="2"/>
  <c r="AB947" i="2"/>
  <c r="W947" i="2"/>
  <c r="Y948" i="2"/>
  <c r="Z948" i="2"/>
  <c r="AA948" i="2"/>
  <c r="AB948" i="2"/>
  <c r="W948" i="2"/>
  <c r="Y949" i="2"/>
  <c r="Z949" i="2"/>
  <c r="AA949" i="2"/>
  <c r="AB949" i="2"/>
  <c r="W949" i="2"/>
  <c r="Y950" i="2"/>
  <c r="Z950" i="2"/>
  <c r="AA950" i="2"/>
  <c r="AB950" i="2"/>
  <c r="W950" i="2"/>
  <c r="Y951" i="2"/>
  <c r="Z951" i="2"/>
  <c r="AA951" i="2"/>
  <c r="AB951" i="2"/>
  <c r="W951" i="2"/>
  <c r="Y952" i="2"/>
  <c r="Z952" i="2"/>
  <c r="AA952" i="2"/>
  <c r="AB952" i="2"/>
  <c r="W952" i="2"/>
  <c r="Y953" i="2"/>
  <c r="Z953" i="2"/>
  <c r="AA953" i="2"/>
  <c r="AB953" i="2"/>
  <c r="W953" i="2"/>
  <c r="Y954" i="2"/>
  <c r="Z954" i="2"/>
  <c r="AA954" i="2"/>
  <c r="AB954" i="2"/>
  <c r="W954" i="2"/>
  <c r="Y955" i="2"/>
  <c r="Z955" i="2"/>
  <c r="AA955" i="2"/>
  <c r="AB955" i="2"/>
  <c r="W955" i="2"/>
  <c r="Y956" i="2"/>
  <c r="Z956" i="2"/>
  <c r="AA956" i="2"/>
  <c r="AB956" i="2"/>
  <c r="W956" i="2"/>
  <c r="Y957" i="2"/>
  <c r="Z957" i="2"/>
  <c r="AA957" i="2"/>
  <c r="AB957" i="2"/>
  <c r="W957" i="2"/>
  <c r="Y958" i="2"/>
  <c r="Z958" i="2"/>
  <c r="AA958" i="2"/>
  <c r="AB958" i="2"/>
  <c r="W958" i="2"/>
  <c r="Y959" i="2"/>
  <c r="Z959" i="2"/>
  <c r="AA959" i="2"/>
  <c r="AB959" i="2"/>
  <c r="W959" i="2"/>
  <c r="Y960" i="2"/>
  <c r="Z960" i="2"/>
  <c r="AA960" i="2"/>
  <c r="AB960" i="2"/>
  <c r="W960" i="2"/>
  <c r="Y961" i="2"/>
  <c r="Z961" i="2"/>
  <c r="AA961" i="2"/>
  <c r="AB961" i="2"/>
  <c r="W961" i="2"/>
  <c r="Y962" i="2"/>
  <c r="Z962" i="2"/>
  <c r="AA962" i="2"/>
  <c r="AB962" i="2"/>
  <c r="W962" i="2"/>
  <c r="Y963" i="2"/>
  <c r="Z963" i="2"/>
  <c r="AA963" i="2"/>
  <c r="AB963" i="2"/>
  <c r="W963" i="2"/>
  <c r="Y964" i="2"/>
  <c r="Z964" i="2"/>
  <c r="AA964" i="2"/>
  <c r="AB964" i="2"/>
  <c r="W964" i="2"/>
  <c r="Y965" i="2"/>
  <c r="Z965" i="2"/>
  <c r="AA965" i="2"/>
  <c r="AB965" i="2"/>
  <c r="W965" i="2"/>
  <c r="Y966" i="2"/>
  <c r="Z966" i="2"/>
  <c r="AA966" i="2"/>
  <c r="AB966" i="2"/>
  <c r="W966" i="2"/>
  <c r="Y967" i="2"/>
  <c r="Z967" i="2"/>
  <c r="AA967" i="2"/>
  <c r="AB967" i="2"/>
  <c r="W967" i="2"/>
  <c r="Y968" i="2"/>
  <c r="Z968" i="2"/>
  <c r="AA968" i="2"/>
  <c r="AB968" i="2"/>
  <c r="W968" i="2"/>
  <c r="Y969" i="2"/>
  <c r="Z969" i="2"/>
  <c r="AA969" i="2"/>
  <c r="AB969" i="2"/>
  <c r="W969" i="2"/>
  <c r="Y970" i="2"/>
  <c r="Z970" i="2"/>
  <c r="AA970" i="2"/>
  <c r="AB970" i="2"/>
  <c r="W970" i="2"/>
  <c r="Y971" i="2"/>
  <c r="Z971" i="2"/>
  <c r="AA971" i="2"/>
  <c r="AB971" i="2"/>
  <c r="W971" i="2"/>
  <c r="Y972" i="2"/>
  <c r="Z972" i="2"/>
  <c r="AA972" i="2"/>
  <c r="AB972" i="2"/>
  <c r="W972" i="2"/>
  <c r="Y973" i="2"/>
  <c r="Z973" i="2"/>
  <c r="AA973" i="2"/>
  <c r="AB973" i="2"/>
  <c r="W973" i="2"/>
  <c r="Y974" i="2"/>
  <c r="Z974" i="2"/>
  <c r="AA974" i="2"/>
  <c r="AB974" i="2"/>
  <c r="W974" i="2"/>
  <c r="Y975" i="2"/>
  <c r="Z975" i="2"/>
  <c r="AA975" i="2"/>
  <c r="AB975" i="2"/>
  <c r="W975" i="2"/>
  <c r="Y976" i="2"/>
  <c r="Z976" i="2"/>
  <c r="AA976" i="2"/>
  <c r="AB976" i="2"/>
  <c r="W976" i="2"/>
  <c r="Y977" i="2"/>
  <c r="Z977" i="2"/>
  <c r="AA977" i="2"/>
  <c r="AB977" i="2"/>
  <c r="W977" i="2"/>
  <c r="Y978" i="2"/>
  <c r="Z978" i="2"/>
  <c r="AA978" i="2"/>
  <c r="AB978" i="2"/>
  <c r="W978" i="2"/>
  <c r="Y979" i="2"/>
  <c r="Z979" i="2"/>
  <c r="AA979" i="2"/>
  <c r="AB979" i="2"/>
  <c r="W979" i="2"/>
  <c r="Y980" i="2"/>
  <c r="Z980" i="2"/>
  <c r="AA980" i="2"/>
  <c r="AB980" i="2"/>
  <c r="W980" i="2"/>
  <c r="Y981" i="2"/>
  <c r="Z981" i="2"/>
  <c r="AA981" i="2"/>
  <c r="AB981" i="2"/>
  <c r="W981" i="2"/>
  <c r="Y982" i="2"/>
  <c r="Z982" i="2"/>
  <c r="AA982" i="2"/>
  <c r="AB982" i="2"/>
  <c r="W982" i="2"/>
  <c r="Y983" i="2"/>
  <c r="Z983" i="2"/>
  <c r="AA983" i="2"/>
  <c r="AB983" i="2"/>
  <c r="W983" i="2"/>
  <c r="Y984" i="2"/>
  <c r="Z984" i="2"/>
  <c r="AA984" i="2"/>
  <c r="AB984" i="2"/>
  <c r="W984" i="2"/>
  <c r="Y985" i="2"/>
  <c r="Z985" i="2"/>
  <c r="AA985" i="2"/>
  <c r="AB985" i="2"/>
  <c r="W985" i="2"/>
  <c r="Y986" i="2"/>
  <c r="Z986" i="2"/>
  <c r="AA986" i="2"/>
  <c r="AB986" i="2"/>
  <c r="W986" i="2"/>
  <c r="Y987" i="2"/>
  <c r="Z987" i="2"/>
  <c r="AA987" i="2"/>
  <c r="AB987" i="2"/>
  <c r="W987" i="2"/>
  <c r="Y988" i="2"/>
  <c r="Z988" i="2"/>
  <c r="AA988" i="2"/>
  <c r="AB988" i="2"/>
  <c r="W988" i="2"/>
  <c r="Y989" i="2"/>
  <c r="Z989" i="2"/>
  <c r="AA989" i="2"/>
  <c r="AB989" i="2"/>
  <c r="W989" i="2"/>
  <c r="Y990" i="2"/>
  <c r="Z990" i="2"/>
  <c r="AA990" i="2"/>
  <c r="AB990" i="2"/>
  <c r="W990" i="2"/>
  <c r="Y991" i="2"/>
  <c r="Z991" i="2"/>
  <c r="AA991" i="2"/>
  <c r="AB991" i="2"/>
  <c r="W991" i="2"/>
  <c r="Y992" i="2"/>
  <c r="Z992" i="2"/>
  <c r="AA992" i="2"/>
  <c r="AB992" i="2"/>
  <c r="W992" i="2"/>
  <c r="Y993" i="2"/>
  <c r="Z993" i="2"/>
  <c r="AA993" i="2"/>
  <c r="AB993" i="2"/>
  <c r="W993" i="2"/>
  <c r="Y994" i="2"/>
  <c r="Z994" i="2"/>
  <c r="AA994" i="2"/>
  <c r="AB994" i="2"/>
  <c r="W994" i="2"/>
  <c r="Y995" i="2"/>
  <c r="Z995" i="2"/>
  <c r="AA995" i="2"/>
  <c r="AB995" i="2"/>
  <c r="W995" i="2"/>
  <c r="Y996" i="2"/>
  <c r="Z996" i="2"/>
  <c r="AA996" i="2"/>
  <c r="AB996" i="2"/>
  <c r="W996" i="2"/>
  <c r="Y997" i="2"/>
  <c r="Z997" i="2"/>
  <c r="AA997" i="2"/>
  <c r="AB997" i="2"/>
  <c r="W997" i="2"/>
  <c r="Y998" i="2"/>
  <c r="Z998" i="2"/>
  <c r="AA998" i="2"/>
  <c r="AB998" i="2"/>
  <c r="W998" i="2"/>
  <c r="Y999" i="2"/>
  <c r="Z999" i="2"/>
  <c r="AA999" i="2"/>
  <c r="AB999" i="2"/>
  <c r="W999" i="2"/>
  <c r="Y1000" i="2"/>
  <c r="Z1000" i="2"/>
  <c r="AA1000" i="2"/>
  <c r="AB1000" i="2"/>
  <c r="W1000" i="2"/>
  <c r="Y1001" i="2"/>
  <c r="Z1001" i="2"/>
  <c r="AA1001" i="2"/>
  <c r="AB1001" i="2"/>
  <c r="W1001" i="2"/>
  <c r="Y1002" i="2"/>
  <c r="Z1002" i="2"/>
  <c r="AA1002" i="2"/>
  <c r="AB1002" i="2"/>
  <c r="W1002" i="2"/>
  <c r="Y1003" i="2"/>
  <c r="Z1003" i="2"/>
  <c r="AA1003" i="2"/>
  <c r="AB1003" i="2"/>
  <c r="W1003" i="2"/>
  <c r="Y1004" i="2"/>
  <c r="Z1004" i="2"/>
  <c r="AA1004" i="2"/>
  <c r="AB1004" i="2"/>
  <c r="W1004" i="2"/>
  <c r="Y1005" i="2"/>
  <c r="Z1005" i="2"/>
  <c r="AA1005" i="2"/>
  <c r="AB1005" i="2"/>
  <c r="W1005" i="2"/>
  <c r="Y1006" i="2"/>
  <c r="Z1006" i="2"/>
  <c r="AA1006" i="2"/>
  <c r="AB1006" i="2"/>
  <c r="W1006" i="2"/>
  <c r="Y1007" i="2"/>
  <c r="Z1007" i="2"/>
  <c r="AA1007" i="2"/>
  <c r="AB1007" i="2"/>
  <c r="W1007" i="2"/>
  <c r="Y1008" i="2"/>
  <c r="Z1008" i="2"/>
  <c r="AA1008" i="2"/>
  <c r="AB1008" i="2"/>
  <c r="W1008" i="2"/>
  <c r="Y1009" i="2"/>
  <c r="Z1009" i="2"/>
  <c r="AA1009" i="2"/>
  <c r="AB1009" i="2"/>
  <c r="W1009" i="2"/>
  <c r="Y1010" i="2"/>
  <c r="Z1010" i="2"/>
  <c r="AA1010" i="2"/>
  <c r="AB1010" i="2"/>
  <c r="W1010" i="2"/>
  <c r="AB788" i="2"/>
  <c r="Y788" i="2"/>
  <c r="Z788" i="2"/>
  <c r="W788" i="2"/>
  <c r="AA788" i="2"/>
  <c r="AA790" i="2"/>
  <c r="Y790" i="2"/>
  <c r="AB790" i="2"/>
  <c r="W790" i="2"/>
  <c r="Z790" i="2"/>
  <c r="Z794" i="2"/>
  <c r="AB794" i="2"/>
  <c r="W794" i="2"/>
  <c r="Y794" i="2"/>
  <c r="AA794" i="2"/>
  <c r="AA795" i="2"/>
  <c r="Y795" i="2"/>
  <c r="W795" i="2"/>
  <c r="Z795" i="2"/>
  <c r="AB795" i="2"/>
  <c r="Z791" i="2"/>
  <c r="AB791" i="2"/>
  <c r="W791" i="2"/>
  <c r="Y791" i="2"/>
  <c r="AA791" i="2"/>
  <c r="AB789" i="2"/>
  <c r="W789" i="2"/>
  <c r="AA789" i="2"/>
  <c r="Z789" i="2"/>
  <c r="Y789" i="2"/>
  <c r="Z797" i="2"/>
  <c r="AA797" i="2"/>
  <c r="AB797" i="2"/>
  <c r="W797" i="2"/>
  <c r="Y797" i="2"/>
  <c r="Z798" i="2"/>
  <c r="AB798" i="2"/>
  <c r="W798" i="2"/>
  <c r="Y798" i="2"/>
  <c r="AA798" i="2"/>
  <c r="Y792" i="2"/>
  <c r="AB792" i="2"/>
  <c r="AA792" i="2"/>
  <c r="W792" i="2"/>
  <c r="Z792" i="2"/>
  <c r="Z793" i="2"/>
  <c r="W793" i="2"/>
  <c r="Y793" i="2"/>
  <c r="AA793" i="2"/>
  <c r="AB793" i="2"/>
  <c r="AB796" i="2"/>
  <c r="AA796" i="2"/>
  <c r="W796" i="2"/>
  <c r="Y796" i="2"/>
  <c r="Z796" i="2"/>
  <c r="Y11" i="2"/>
  <c r="Z11" i="2"/>
  <c r="AA11" i="2"/>
  <c r="AB11" i="2"/>
  <c r="W11" i="2"/>
  <c r="AX14" i="2"/>
  <c r="AW15" i="2"/>
  <c r="AW16" i="2" s="1"/>
  <c r="AW17" i="2" s="1"/>
  <c r="AW18" i="2" s="1"/>
  <c r="AW19" i="2" s="1"/>
  <c r="AW20" i="2" s="1"/>
  <c r="AW21" i="2" s="1"/>
  <c r="AW22" i="2" s="1"/>
  <c r="AW23" i="2" s="1"/>
  <c r="AW24" i="2" s="1"/>
  <c r="AW25" i="2" s="1"/>
  <c r="AW26" i="2" s="1"/>
  <c r="AW27" i="2" s="1"/>
  <c r="AW28" i="2" s="1"/>
  <c r="AW29" i="2" s="1"/>
  <c r="AW30" i="2" s="1"/>
  <c r="AW31" i="2" s="1"/>
  <c r="AW32" i="2" s="1"/>
  <c r="AW33" i="2" s="1"/>
  <c r="AW34" i="2" s="1"/>
  <c r="AW35" i="2" s="1"/>
  <c r="AW36" i="2" s="1"/>
  <c r="AW37" i="2" s="1"/>
  <c r="AW38" i="2" s="1"/>
  <c r="AW39" i="2" s="1"/>
  <c r="AW40" i="2" s="1"/>
  <c r="AW41" i="2" s="1"/>
  <c r="AW42" i="2" s="1"/>
  <c r="AW43" i="2" s="1"/>
  <c r="AW44" i="2" s="1"/>
  <c r="AW45" i="2" s="1"/>
  <c r="AW46" i="2" s="1"/>
  <c r="AW47" i="2" s="1"/>
  <c r="AW48" i="2" s="1"/>
  <c r="AW49" i="2" s="1"/>
  <c r="AW50" i="2" s="1"/>
  <c r="AW51" i="2" s="1"/>
  <c r="AW52" i="2" s="1"/>
  <c r="AW53" i="2" s="1"/>
  <c r="AW54" i="2" s="1"/>
  <c r="AW55" i="2" s="1"/>
  <c r="AW56" i="2" s="1"/>
  <c r="AW57" i="2" s="1"/>
  <c r="AW58" i="2" s="1"/>
  <c r="AW59" i="2" s="1"/>
  <c r="AW60" i="2" s="1"/>
  <c r="AW61" i="2" s="1"/>
  <c r="AW62" i="2" s="1"/>
  <c r="AW63" i="2" s="1"/>
  <c r="AW64" i="2" s="1"/>
  <c r="AW65" i="2" s="1"/>
  <c r="AW66" i="2" s="1"/>
  <c r="AW67" i="2" s="1"/>
  <c r="AW68" i="2" s="1"/>
  <c r="AW69" i="2" s="1"/>
  <c r="AW70" i="2" s="1"/>
  <c r="AW71" i="2" s="1"/>
  <c r="AW72" i="2" s="1"/>
  <c r="AW73" i="2" s="1"/>
  <c r="AW74" i="2" s="1"/>
  <c r="AW75" i="2" s="1"/>
  <c r="AW76" i="2" s="1"/>
  <c r="AW77" i="2" s="1"/>
  <c r="AW78" i="2" s="1"/>
  <c r="AW79" i="2" s="1"/>
  <c r="AW80" i="2" s="1"/>
  <c r="AW81" i="2" s="1"/>
  <c r="AW82" i="2" s="1"/>
  <c r="AW83" i="2" s="1"/>
  <c r="AW84" i="2" s="1"/>
  <c r="AW85" i="2" s="1"/>
  <c r="AW86" i="2" s="1"/>
  <c r="AW87" i="2" s="1"/>
  <c r="AW88" i="2" s="1"/>
  <c r="AW89" i="2" s="1"/>
  <c r="AW90" i="2" s="1"/>
  <c r="AW91" i="2" s="1"/>
  <c r="AW92" i="2" s="1"/>
  <c r="AW93" i="2" s="1"/>
  <c r="AW94" i="2" s="1"/>
  <c r="AW95" i="2" s="1"/>
  <c r="AW96" i="2" s="1"/>
  <c r="AW97" i="2" s="1"/>
  <c r="AW98" i="2" s="1"/>
  <c r="AW99" i="2" s="1"/>
  <c r="AW100" i="2" s="1"/>
  <c r="AW101" i="2" s="1"/>
  <c r="AW102" i="2" s="1"/>
  <c r="AW103" i="2" s="1"/>
  <c r="AW104" i="2" s="1"/>
  <c r="AW105" i="2" s="1"/>
  <c r="AW106" i="2" s="1"/>
  <c r="AW107" i="2" s="1"/>
  <c r="AW108" i="2" s="1"/>
  <c r="AW109" i="2" s="1"/>
  <c r="AW110" i="2" s="1"/>
  <c r="AW111" i="2" s="1"/>
  <c r="AW112" i="2" s="1"/>
  <c r="AW113" i="2" s="1"/>
  <c r="AW114" i="2" s="1"/>
  <c r="AW115" i="2" s="1"/>
  <c r="AW116" i="2" s="1"/>
  <c r="AW117" i="2" s="1"/>
  <c r="AW118" i="2" s="1"/>
  <c r="AW119" i="2" s="1"/>
  <c r="AW120" i="2" s="1"/>
  <c r="AW121" i="2" s="1"/>
  <c r="AW122" i="2" s="1"/>
  <c r="AW123" i="2" s="1"/>
  <c r="AW124" i="2" s="1"/>
  <c r="AW125" i="2" s="1"/>
  <c r="AW126" i="2" s="1"/>
  <c r="AW127" i="2" s="1"/>
  <c r="AW128" i="2" s="1"/>
  <c r="AW129" i="2" s="1"/>
  <c r="AW130" i="2" s="1"/>
  <c r="AW131" i="2" s="1"/>
  <c r="AW132" i="2" s="1"/>
  <c r="AW133" i="2" s="1"/>
  <c r="AW134" i="2" s="1"/>
  <c r="AW135" i="2" s="1"/>
  <c r="AW136" i="2" s="1"/>
  <c r="AW137" i="2" s="1"/>
  <c r="AW138" i="2" s="1"/>
  <c r="AW139" i="2" s="1"/>
  <c r="AW140" i="2" s="1"/>
  <c r="AW141" i="2" s="1"/>
  <c r="AW142" i="2" s="1"/>
  <c r="AW143" i="2" s="1"/>
  <c r="AW144" i="2" s="1"/>
  <c r="AW145" i="2" s="1"/>
  <c r="AW146" i="2" s="1"/>
  <c r="AW147" i="2" s="1"/>
  <c r="AW148" i="2" s="1"/>
  <c r="AW149" i="2" s="1"/>
  <c r="AW150" i="2" s="1"/>
  <c r="AW151" i="2" s="1"/>
  <c r="AW152" i="2" s="1"/>
  <c r="AW153" i="2" s="1"/>
  <c r="AW154" i="2" s="1"/>
  <c r="AW155" i="2" s="1"/>
  <c r="AW156" i="2" s="1"/>
  <c r="AW157" i="2" s="1"/>
  <c r="AW158" i="2" s="1"/>
  <c r="AW159" i="2" s="1"/>
  <c r="AW160" i="2" s="1"/>
  <c r="AW161" i="2" s="1"/>
  <c r="AW162" i="2" s="1"/>
  <c r="AW163" i="2" s="1"/>
  <c r="AW164" i="2" s="1"/>
  <c r="AW165" i="2" s="1"/>
  <c r="AW166" i="2" s="1"/>
  <c r="AW167" i="2" s="1"/>
  <c r="AW168" i="2" s="1"/>
  <c r="AW169" i="2" s="1"/>
  <c r="AW170" i="2" s="1"/>
  <c r="AW171" i="2" s="1"/>
  <c r="AW172" i="2" s="1"/>
  <c r="AW173" i="2" s="1"/>
  <c r="AW174" i="2" s="1"/>
  <c r="AW175" i="2" s="1"/>
  <c r="AW176" i="2" s="1"/>
  <c r="AW177" i="2" s="1"/>
  <c r="AW178" i="2" s="1"/>
  <c r="AW179" i="2" s="1"/>
  <c r="AW180" i="2" s="1"/>
  <c r="AW181" i="2" s="1"/>
  <c r="AW182" i="2" s="1"/>
  <c r="AW183" i="2" s="1"/>
  <c r="AW184" i="2" s="1"/>
  <c r="AW185" i="2" s="1"/>
  <c r="AW186" i="2" s="1"/>
  <c r="AW187" i="2" s="1"/>
  <c r="AW188" i="2" s="1"/>
  <c r="AW189" i="2" s="1"/>
  <c r="AW190" i="2" s="1"/>
  <c r="AW191" i="2" s="1"/>
  <c r="AW192" i="2" s="1"/>
  <c r="AW193" i="2" s="1"/>
  <c r="AW194" i="2" s="1"/>
  <c r="AW195" i="2" s="1"/>
  <c r="AW196" i="2" s="1"/>
  <c r="AW197" i="2" s="1"/>
  <c r="AW198" i="2" s="1"/>
  <c r="AW199" i="2" s="1"/>
  <c r="AW200" i="2" s="1"/>
  <c r="AW201" i="2" s="1"/>
  <c r="AW202" i="2" s="1"/>
  <c r="AW203" i="2" s="1"/>
  <c r="AW204" i="2" s="1"/>
  <c r="AW205" i="2" s="1"/>
  <c r="AW206" i="2" s="1"/>
  <c r="AW207" i="2" s="1"/>
  <c r="AW208" i="2" s="1"/>
  <c r="AW209" i="2" s="1"/>
  <c r="AW210" i="2" s="1"/>
  <c r="AW211" i="2" s="1"/>
  <c r="AW212" i="2" s="1"/>
  <c r="AW213" i="2" s="1"/>
  <c r="AW214" i="2" s="1"/>
  <c r="AW215" i="2" s="1"/>
  <c r="AW216" i="2" s="1"/>
  <c r="AW217" i="2" s="1"/>
  <c r="AW218" i="2" s="1"/>
  <c r="AW219" i="2" s="1"/>
  <c r="AW220" i="2" s="1"/>
  <c r="AW221" i="2" s="1"/>
  <c r="AW222" i="2" s="1"/>
  <c r="AW223" i="2" s="1"/>
  <c r="AW224" i="2" s="1"/>
  <c r="AW225" i="2" s="1"/>
  <c r="AW226" i="2" s="1"/>
  <c r="AW227" i="2" s="1"/>
  <c r="AW228" i="2" s="1"/>
  <c r="AW229" i="2" s="1"/>
  <c r="AW230" i="2" s="1"/>
  <c r="AW231" i="2" s="1"/>
  <c r="AW232" i="2" s="1"/>
  <c r="AW233" i="2" s="1"/>
  <c r="AW234" i="2" s="1"/>
  <c r="AW235" i="2" s="1"/>
  <c r="AW236" i="2" s="1"/>
  <c r="AW237" i="2" s="1"/>
  <c r="AW238" i="2" s="1"/>
  <c r="AW239" i="2" s="1"/>
  <c r="AW240" i="2" s="1"/>
  <c r="AW241" i="2" s="1"/>
  <c r="AW242" i="2" s="1"/>
  <c r="AW243" i="2" s="1"/>
  <c r="AW244" i="2" s="1"/>
  <c r="AW245" i="2" s="1"/>
  <c r="AW246" i="2" s="1"/>
  <c r="AW247" i="2" s="1"/>
  <c r="AW248" i="2" s="1"/>
  <c r="AW249" i="2" s="1"/>
  <c r="AW250" i="2" s="1"/>
  <c r="AW251" i="2" s="1"/>
  <c r="AW252" i="2" s="1"/>
  <c r="AW253" i="2" s="1"/>
  <c r="AW254" i="2" s="1"/>
  <c r="AW255" i="2" s="1"/>
  <c r="AW256" i="2" s="1"/>
  <c r="AW257" i="2" s="1"/>
  <c r="AW258" i="2" s="1"/>
  <c r="AW259" i="2" s="1"/>
  <c r="AW260" i="2" s="1"/>
  <c r="AW261" i="2" s="1"/>
  <c r="AW262" i="2" s="1"/>
  <c r="AW263" i="2" s="1"/>
  <c r="AW264" i="2" s="1"/>
  <c r="AW265" i="2" s="1"/>
  <c r="AW266" i="2" s="1"/>
  <c r="AW267" i="2" s="1"/>
  <c r="AW268" i="2" s="1"/>
  <c r="AW269" i="2" s="1"/>
  <c r="AW270" i="2" s="1"/>
  <c r="AW271" i="2" s="1"/>
  <c r="AW272" i="2" s="1"/>
  <c r="AW273" i="2" s="1"/>
  <c r="AW274" i="2" s="1"/>
  <c r="AW275" i="2" s="1"/>
  <c r="AW276" i="2" s="1"/>
  <c r="AW277" i="2" s="1"/>
  <c r="AW278" i="2" s="1"/>
  <c r="AW279" i="2" s="1"/>
  <c r="AW280" i="2" s="1"/>
  <c r="AW281" i="2" s="1"/>
  <c r="AW282" i="2" s="1"/>
  <c r="AW283" i="2" s="1"/>
  <c r="AW284" i="2" s="1"/>
  <c r="AW285" i="2" s="1"/>
  <c r="AW286" i="2" s="1"/>
  <c r="AW287" i="2" s="1"/>
  <c r="AW288" i="2" s="1"/>
  <c r="AW289" i="2" s="1"/>
  <c r="AW290" i="2" s="1"/>
  <c r="AW291" i="2" s="1"/>
  <c r="AW292" i="2" s="1"/>
  <c r="AW293" i="2" s="1"/>
  <c r="AW294" i="2" s="1"/>
  <c r="AW295" i="2" s="1"/>
  <c r="AW296" i="2" s="1"/>
  <c r="AW297" i="2" s="1"/>
  <c r="AW298" i="2" s="1"/>
  <c r="AW299" i="2" s="1"/>
  <c r="AW300" i="2" s="1"/>
  <c r="AW301" i="2" s="1"/>
  <c r="AW302" i="2" s="1"/>
  <c r="AW303" i="2" s="1"/>
  <c r="AW304" i="2" s="1"/>
  <c r="AW305" i="2" s="1"/>
  <c r="AW306" i="2" s="1"/>
  <c r="AW307" i="2" s="1"/>
  <c r="AW308" i="2" s="1"/>
  <c r="AW309" i="2" s="1"/>
  <c r="AW310" i="2" s="1"/>
  <c r="AW311" i="2" s="1"/>
  <c r="AW312" i="2" s="1"/>
  <c r="AW313" i="2" s="1"/>
  <c r="AW314" i="2" s="1"/>
  <c r="AW315" i="2" s="1"/>
  <c r="AW316" i="2" s="1"/>
  <c r="AW317" i="2" s="1"/>
  <c r="AW318" i="2" s="1"/>
  <c r="AW319" i="2" s="1"/>
  <c r="AW320" i="2" s="1"/>
  <c r="AW321" i="2" s="1"/>
  <c r="AW322" i="2" s="1"/>
  <c r="AW323" i="2" s="1"/>
  <c r="AW324" i="2" s="1"/>
  <c r="AW325" i="2" s="1"/>
  <c r="AW326" i="2" s="1"/>
  <c r="AW327" i="2" s="1"/>
  <c r="AW328" i="2" s="1"/>
  <c r="AW329" i="2" s="1"/>
  <c r="AW330" i="2" s="1"/>
  <c r="AW331" i="2" s="1"/>
  <c r="AW332" i="2" s="1"/>
  <c r="AW333" i="2" s="1"/>
  <c r="AW334" i="2" s="1"/>
  <c r="AW335" i="2" s="1"/>
  <c r="AW336" i="2" s="1"/>
  <c r="AW337" i="2" s="1"/>
  <c r="AW338" i="2" s="1"/>
  <c r="AW339" i="2" s="1"/>
  <c r="AW340" i="2" s="1"/>
  <c r="AW341" i="2" s="1"/>
  <c r="AW342" i="2" s="1"/>
  <c r="AW343" i="2" s="1"/>
  <c r="AW344" i="2" s="1"/>
  <c r="AW345" i="2" s="1"/>
  <c r="AW346" i="2" s="1"/>
  <c r="AW347" i="2" s="1"/>
  <c r="AW348" i="2" s="1"/>
  <c r="AW349" i="2" s="1"/>
  <c r="AW350" i="2" s="1"/>
  <c r="AW351" i="2" s="1"/>
  <c r="AW352" i="2" s="1"/>
  <c r="AW353" i="2" s="1"/>
  <c r="AW354" i="2" s="1"/>
  <c r="AW355" i="2" s="1"/>
  <c r="AW356" i="2" s="1"/>
  <c r="AW357" i="2" s="1"/>
  <c r="AW358" i="2" s="1"/>
  <c r="AW359" i="2" s="1"/>
  <c r="AW360" i="2" s="1"/>
  <c r="AW361" i="2" s="1"/>
  <c r="AW362" i="2" s="1"/>
  <c r="AW363" i="2" s="1"/>
  <c r="AW364" i="2" s="1"/>
  <c r="AW365" i="2" s="1"/>
  <c r="AW366" i="2" s="1"/>
  <c r="AW367" i="2" s="1"/>
  <c r="AW368" i="2" s="1"/>
  <c r="AW369" i="2" s="1"/>
  <c r="AW370" i="2" s="1"/>
  <c r="AW371" i="2" s="1"/>
  <c r="AW372" i="2" s="1"/>
  <c r="AW373" i="2" s="1"/>
  <c r="AW374" i="2" s="1"/>
  <c r="AW375" i="2" s="1"/>
  <c r="AW376" i="2" s="1"/>
  <c r="AW377" i="2" s="1"/>
  <c r="AW378" i="2" s="1"/>
  <c r="AW379" i="2" s="1"/>
  <c r="AW380" i="2" s="1"/>
  <c r="AW381" i="2" s="1"/>
  <c r="AW382" i="2" s="1"/>
  <c r="AW383" i="2" s="1"/>
  <c r="AW384" i="2" s="1"/>
  <c r="AW385" i="2" s="1"/>
  <c r="AW386" i="2" s="1"/>
  <c r="AW387" i="2" s="1"/>
  <c r="AW388" i="2" s="1"/>
  <c r="AW389" i="2" s="1"/>
  <c r="AW390" i="2" s="1"/>
  <c r="AW391" i="2" s="1"/>
  <c r="AW392" i="2" s="1"/>
  <c r="AW393" i="2" s="1"/>
  <c r="AW394" i="2" s="1"/>
  <c r="AW395" i="2" s="1"/>
  <c r="AW396" i="2" s="1"/>
  <c r="AW397" i="2" s="1"/>
  <c r="AW398" i="2" s="1"/>
  <c r="AW399" i="2" s="1"/>
  <c r="AW400" i="2" s="1"/>
  <c r="AW401" i="2" s="1"/>
  <c r="AW402" i="2" s="1"/>
  <c r="AW403" i="2" s="1"/>
  <c r="AW404" i="2" s="1"/>
  <c r="AW405" i="2" s="1"/>
  <c r="AW406" i="2" s="1"/>
  <c r="AW407" i="2" s="1"/>
  <c r="AW408" i="2" s="1"/>
  <c r="AW409" i="2" s="1"/>
  <c r="AW410" i="2" s="1"/>
  <c r="AW411" i="2" s="1"/>
  <c r="AW412" i="2" s="1"/>
  <c r="AW413" i="2" s="1"/>
  <c r="AW414" i="2" s="1"/>
  <c r="AW415" i="2" s="1"/>
  <c r="AW416" i="2" s="1"/>
  <c r="AW417" i="2" s="1"/>
  <c r="AW418" i="2" s="1"/>
  <c r="AW419" i="2" s="1"/>
  <c r="AW420" i="2" s="1"/>
  <c r="AW421" i="2" s="1"/>
  <c r="AW422" i="2" s="1"/>
  <c r="AW423" i="2" s="1"/>
  <c r="AW424" i="2" s="1"/>
  <c r="AW425" i="2" s="1"/>
  <c r="AW426" i="2" s="1"/>
  <c r="AW427" i="2" s="1"/>
  <c r="AW428" i="2" s="1"/>
  <c r="AW429" i="2" s="1"/>
  <c r="AW430" i="2" s="1"/>
  <c r="AW431" i="2" s="1"/>
  <c r="AW432" i="2" s="1"/>
  <c r="AW433" i="2" s="1"/>
  <c r="AW434" i="2" s="1"/>
  <c r="AW435" i="2" s="1"/>
  <c r="AW436" i="2" s="1"/>
  <c r="AW437" i="2" s="1"/>
  <c r="AW438" i="2" s="1"/>
  <c r="AW439" i="2" s="1"/>
  <c r="AW440" i="2" s="1"/>
  <c r="AW441" i="2" s="1"/>
  <c r="AW442" i="2" s="1"/>
  <c r="AW443" i="2" s="1"/>
  <c r="AW444" i="2" s="1"/>
  <c r="AW445" i="2" s="1"/>
  <c r="AW446" i="2" s="1"/>
  <c r="AW447" i="2" s="1"/>
  <c r="AW448" i="2" s="1"/>
  <c r="AW449" i="2" s="1"/>
  <c r="AW450" i="2" s="1"/>
  <c r="AW451" i="2" s="1"/>
  <c r="AW452" i="2" s="1"/>
  <c r="AW453" i="2" s="1"/>
  <c r="AW454" i="2" s="1"/>
  <c r="AW455" i="2" s="1"/>
  <c r="AW456" i="2" s="1"/>
  <c r="AW457" i="2" s="1"/>
  <c r="AW458" i="2" s="1"/>
  <c r="AW459" i="2" s="1"/>
  <c r="AW460" i="2" s="1"/>
  <c r="AW461" i="2" s="1"/>
  <c r="AW462" i="2" s="1"/>
  <c r="AW463" i="2" s="1"/>
  <c r="AW464" i="2" s="1"/>
  <c r="AW465" i="2" s="1"/>
  <c r="AW466" i="2" s="1"/>
  <c r="AW467" i="2" s="1"/>
  <c r="AW468" i="2" s="1"/>
  <c r="AW469" i="2" s="1"/>
  <c r="AW470" i="2" s="1"/>
  <c r="AW471" i="2" s="1"/>
  <c r="AW472" i="2" s="1"/>
  <c r="AW473" i="2" s="1"/>
  <c r="AW474" i="2" s="1"/>
  <c r="AW475" i="2" s="1"/>
  <c r="AW476" i="2" s="1"/>
  <c r="AW477" i="2" s="1"/>
  <c r="AW478" i="2" s="1"/>
  <c r="AW479" i="2" s="1"/>
  <c r="AW480" i="2" s="1"/>
  <c r="AW481" i="2" s="1"/>
  <c r="AW482" i="2" s="1"/>
  <c r="AW483" i="2" s="1"/>
  <c r="AW484" i="2" s="1"/>
  <c r="AW485" i="2" s="1"/>
  <c r="AW486" i="2" s="1"/>
  <c r="AW487" i="2" s="1"/>
  <c r="AW488" i="2" s="1"/>
  <c r="AW489" i="2" s="1"/>
  <c r="AW490" i="2" s="1"/>
  <c r="AW491" i="2" s="1"/>
  <c r="AW492" i="2" s="1"/>
  <c r="AW493" i="2" s="1"/>
  <c r="AW494" i="2" s="1"/>
  <c r="AW495" i="2" s="1"/>
  <c r="AW496" i="2" s="1"/>
  <c r="AW497" i="2" s="1"/>
  <c r="AW498" i="2" s="1"/>
  <c r="AW499" i="2" s="1"/>
  <c r="AW500" i="2" s="1"/>
  <c r="AW501" i="2" s="1"/>
  <c r="AW502" i="2" s="1"/>
  <c r="AW503" i="2" s="1"/>
  <c r="AW504" i="2" s="1"/>
  <c r="AW505" i="2" s="1"/>
  <c r="AW506" i="2" s="1"/>
  <c r="AW507" i="2" s="1"/>
  <c r="AW508" i="2" s="1"/>
  <c r="AW509" i="2" s="1"/>
  <c r="AW510" i="2" s="1"/>
  <c r="AW511" i="2" s="1"/>
  <c r="AW512" i="2" s="1"/>
  <c r="AW513" i="2" s="1"/>
  <c r="AW514" i="2" s="1"/>
  <c r="AW515" i="2" s="1"/>
  <c r="AW516" i="2" s="1"/>
  <c r="AW517" i="2" s="1"/>
  <c r="AW518" i="2" s="1"/>
  <c r="AW519" i="2" s="1"/>
  <c r="AW520" i="2" s="1"/>
  <c r="AW521" i="2" s="1"/>
  <c r="AW522" i="2" s="1"/>
  <c r="AW523" i="2" s="1"/>
  <c r="AW524" i="2" s="1"/>
  <c r="AW525" i="2" s="1"/>
  <c r="AW526" i="2" s="1"/>
  <c r="AW527" i="2" s="1"/>
  <c r="AW528" i="2" s="1"/>
  <c r="AW529" i="2" s="1"/>
  <c r="AW530" i="2" s="1"/>
  <c r="AW531" i="2" s="1"/>
  <c r="AW532" i="2" s="1"/>
  <c r="AW533" i="2" s="1"/>
  <c r="AW534" i="2" s="1"/>
  <c r="AW535" i="2" s="1"/>
  <c r="AW536" i="2" s="1"/>
  <c r="AW537" i="2" s="1"/>
  <c r="AW538" i="2" s="1"/>
  <c r="AW539" i="2" s="1"/>
  <c r="AW540" i="2" s="1"/>
  <c r="AW541" i="2" s="1"/>
  <c r="AW542" i="2" s="1"/>
  <c r="AW543" i="2" s="1"/>
  <c r="AW544" i="2" s="1"/>
  <c r="AW545" i="2" s="1"/>
  <c r="AW546" i="2" s="1"/>
  <c r="AW547" i="2" s="1"/>
  <c r="AW548" i="2" s="1"/>
  <c r="AW549" i="2" s="1"/>
  <c r="AW550" i="2" s="1"/>
  <c r="AW551" i="2" s="1"/>
  <c r="AW552" i="2" s="1"/>
  <c r="AW553" i="2" s="1"/>
  <c r="AW554" i="2" s="1"/>
  <c r="AW555" i="2" s="1"/>
  <c r="AW556" i="2" s="1"/>
  <c r="AW557" i="2" s="1"/>
  <c r="AW558" i="2" s="1"/>
  <c r="AW559" i="2" s="1"/>
  <c r="AW560" i="2" s="1"/>
  <c r="AW561" i="2" s="1"/>
  <c r="AW562" i="2" s="1"/>
  <c r="AW563" i="2" s="1"/>
  <c r="AW564" i="2" s="1"/>
  <c r="AW565" i="2" s="1"/>
  <c r="AW566" i="2" s="1"/>
  <c r="AW567" i="2" s="1"/>
  <c r="AW568" i="2" s="1"/>
  <c r="AW569" i="2" s="1"/>
  <c r="AW570" i="2" s="1"/>
  <c r="AW571" i="2" s="1"/>
  <c r="AW572" i="2" s="1"/>
  <c r="AW573" i="2" s="1"/>
  <c r="AW574" i="2" s="1"/>
  <c r="AW575" i="2" s="1"/>
  <c r="AW576" i="2" s="1"/>
  <c r="AW577" i="2" s="1"/>
  <c r="AW578" i="2" s="1"/>
  <c r="AW579" i="2" s="1"/>
  <c r="AW580" i="2" s="1"/>
  <c r="AW581" i="2" s="1"/>
  <c r="AW582" i="2" s="1"/>
  <c r="AW583" i="2" s="1"/>
  <c r="AW584" i="2" s="1"/>
  <c r="AW585" i="2" s="1"/>
  <c r="AW586" i="2" s="1"/>
  <c r="AW587" i="2" s="1"/>
  <c r="AW588" i="2" s="1"/>
  <c r="AW589" i="2" s="1"/>
  <c r="AW590" i="2" s="1"/>
  <c r="AW591" i="2" s="1"/>
  <c r="AW592" i="2" s="1"/>
  <c r="AW593" i="2" s="1"/>
  <c r="AW594" i="2" s="1"/>
  <c r="AW595" i="2" s="1"/>
  <c r="AW596" i="2" s="1"/>
  <c r="AW597" i="2" s="1"/>
  <c r="AW598" i="2" s="1"/>
  <c r="AW599" i="2" s="1"/>
  <c r="AW600" i="2" s="1"/>
  <c r="AW601" i="2" s="1"/>
  <c r="AW602" i="2" s="1"/>
  <c r="AW603" i="2" s="1"/>
  <c r="AW604" i="2" s="1"/>
  <c r="AW605" i="2" s="1"/>
  <c r="AW606" i="2" s="1"/>
  <c r="AW607" i="2" s="1"/>
  <c r="AW608" i="2" s="1"/>
  <c r="AW609" i="2" s="1"/>
  <c r="AW610" i="2" s="1"/>
  <c r="AW611" i="2" s="1"/>
  <c r="AW612" i="2" s="1"/>
  <c r="AW613" i="2" s="1"/>
  <c r="AW614" i="2" s="1"/>
  <c r="AW615" i="2" s="1"/>
  <c r="AW616" i="2" s="1"/>
  <c r="AW617" i="2" s="1"/>
  <c r="AW618" i="2" s="1"/>
  <c r="AW619" i="2" s="1"/>
  <c r="AW620" i="2" s="1"/>
  <c r="AW621" i="2" s="1"/>
  <c r="AW622" i="2" s="1"/>
  <c r="AW623" i="2" s="1"/>
  <c r="AW624" i="2" s="1"/>
  <c r="AW625" i="2" s="1"/>
  <c r="AW626" i="2" s="1"/>
  <c r="AW627" i="2" s="1"/>
  <c r="AW628" i="2" s="1"/>
  <c r="AW629" i="2" s="1"/>
  <c r="AW630" i="2" s="1"/>
  <c r="AW631" i="2" s="1"/>
  <c r="AW632" i="2" s="1"/>
  <c r="AW633" i="2" s="1"/>
  <c r="AW634" i="2" s="1"/>
  <c r="AW635" i="2" s="1"/>
  <c r="AW636" i="2" s="1"/>
  <c r="AW637" i="2" s="1"/>
  <c r="AW638" i="2" s="1"/>
  <c r="AW639" i="2" s="1"/>
  <c r="AW640" i="2" s="1"/>
  <c r="AW641" i="2" s="1"/>
  <c r="AW642" i="2" s="1"/>
  <c r="AW643" i="2" s="1"/>
  <c r="AW644" i="2" s="1"/>
  <c r="AW645" i="2" s="1"/>
  <c r="AW646" i="2" s="1"/>
  <c r="AW647" i="2" s="1"/>
  <c r="AW648" i="2" s="1"/>
  <c r="AW649" i="2" s="1"/>
  <c r="AW650" i="2" s="1"/>
  <c r="AW651" i="2" s="1"/>
  <c r="AW652" i="2" s="1"/>
  <c r="AW653" i="2" s="1"/>
  <c r="AW654" i="2" s="1"/>
  <c r="AW655" i="2" s="1"/>
  <c r="AW656" i="2" s="1"/>
  <c r="AW657" i="2" s="1"/>
  <c r="AW658" i="2" s="1"/>
  <c r="AW659" i="2" s="1"/>
  <c r="AW660" i="2" s="1"/>
  <c r="AW661" i="2" s="1"/>
  <c r="AW662" i="2" s="1"/>
  <c r="AW663" i="2" s="1"/>
  <c r="AW664" i="2" s="1"/>
  <c r="AW665" i="2" s="1"/>
  <c r="AW666" i="2" s="1"/>
  <c r="AW667" i="2" s="1"/>
  <c r="AW668" i="2" s="1"/>
  <c r="AW669" i="2" s="1"/>
  <c r="AW670" i="2" s="1"/>
  <c r="AW671" i="2" s="1"/>
  <c r="AW672" i="2" s="1"/>
  <c r="AW673" i="2" s="1"/>
  <c r="AW674" i="2" s="1"/>
  <c r="AW675" i="2" s="1"/>
  <c r="AW676" i="2" s="1"/>
  <c r="AW677" i="2" s="1"/>
  <c r="AW678" i="2" s="1"/>
  <c r="AW679" i="2" s="1"/>
  <c r="AW680" i="2" s="1"/>
  <c r="AW681" i="2" s="1"/>
  <c r="AW682" i="2" s="1"/>
  <c r="AW683" i="2" s="1"/>
  <c r="AW684" i="2" s="1"/>
  <c r="AW685" i="2" s="1"/>
  <c r="AW686" i="2" s="1"/>
  <c r="AW687" i="2" s="1"/>
  <c r="AW688" i="2" s="1"/>
  <c r="AW689" i="2" s="1"/>
  <c r="AW690" i="2" s="1"/>
  <c r="AW691" i="2" s="1"/>
  <c r="AW692" i="2" s="1"/>
  <c r="AW693" i="2" s="1"/>
  <c r="AW694" i="2" s="1"/>
  <c r="AW695" i="2" s="1"/>
  <c r="AW696" i="2" s="1"/>
  <c r="AW697" i="2" s="1"/>
  <c r="AW698" i="2" s="1"/>
  <c r="AW699" i="2" s="1"/>
  <c r="AW700" i="2" s="1"/>
  <c r="AW701" i="2" s="1"/>
  <c r="AW702" i="2" s="1"/>
  <c r="AW703" i="2" s="1"/>
  <c r="AW704" i="2" s="1"/>
  <c r="AW705" i="2" s="1"/>
  <c r="AW706" i="2" s="1"/>
  <c r="AW707" i="2" s="1"/>
  <c r="AW708" i="2" s="1"/>
  <c r="AW709" i="2" s="1"/>
  <c r="AW710" i="2" s="1"/>
  <c r="AW711" i="2" s="1"/>
  <c r="AW712" i="2" s="1"/>
  <c r="AW713" i="2" s="1"/>
  <c r="AW714" i="2" s="1"/>
  <c r="AW715" i="2" s="1"/>
  <c r="AW716" i="2" s="1"/>
  <c r="AW717" i="2" s="1"/>
  <c r="AW718" i="2" s="1"/>
  <c r="AW719" i="2" s="1"/>
  <c r="AW720" i="2" s="1"/>
  <c r="AW721" i="2" s="1"/>
  <c r="AW722" i="2" s="1"/>
  <c r="AW723" i="2" s="1"/>
  <c r="AW724" i="2" s="1"/>
  <c r="AW725" i="2" s="1"/>
  <c r="AW726" i="2" s="1"/>
  <c r="AW727" i="2" s="1"/>
  <c r="AW728" i="2" s="1"/>
  <c r="AW729" i="2" s="1"/>
  <c r="AW730" i="2" s="1"/>
  <c r="AW731" i="2" s="1"/>
  <c r="AW732" i="2" s="1"/>
  <c r="AW733" i="2" s="1"/>
  <c r="AW734" i="2" s="1"/>
  <c r="AW735" i="2" s="1"/>
  <c r="AW736" i="2" s="1"/>
  <c r="AW737" i="2" s="1"/>
  <c r="AW738" i="2" s="1"/>
  <c r="AW739" i="2" s="1"/>
  <c r="AW740" i="2" s="1"/>
  <c r="AW741" i="2" s="1"/>
  <c r="AW742" i="2" s="1"/>
  <c r="AW743" i="2" s="1"/>
  <c r="AW744" i="2" s="1"/>
  <c r="AW745" i="2" s="1"/>
  <c r="AW746" i="2" s="1"/>
  <c r="AW747" i="2" s="1"/>
  <c r="AW748" i="2" s="1"/>
  <c r="AW749" i="2" s="1"/>
  <c r="AW750" i="2" s="1"/>
  <c r="AW751" i="2" s="1"/>
  <c r="AW752" i="2" s="1"/>
  <c r="AW753" i="2" s="1"/>
  <c r="AW754" i="2" s="1"/>
  <c r="AW755" i="2" s="1"/>
  <c r="AW756" i="2" s="1"/>
  <c r="AW757" i="2" s="1"/>
  <c r="AW758" i="2" s="1"/>
  <c r="AW759" i="2" s="1"/>
  <c r="AW760" i="2" s="1"/>
  <c r="AW761" i="2" s="1"/>
  <c r="AW762" i="2" s="1"/>
  <c r="AW763" i="2" s="1"/>
  <c r="AW764" i="2" s="1"/>
  <c r="AW765" i="2" s="1"/>
  <c r="AW766" i="2" s="1"/>
  <c r="AW767" i="2" s="1"/>
  <c r="AW768" i="2" s="1"/>
  <c r="AW769" i="2" s="1"/>
  <c r="AW770" i="2" s="1"/>
  <c r="AW771" i="2" s="1"/>
  <c r="AW772" i="2" s="1"/>
  <c r="AW773" i="2" s="1"/>
  <c r="AW774" i="2" s="1"/>
  <c r="AW775" i="2" s="1"/>
  <c r="AW776" i="2" s="1"/>
  <c r="AW777" i="2" s="1"/>
  <c r="AW778" i="2" s="1"/>
  <c r="AW779" i="2" s="1"/>
  <c r="AW780" i="2" s="1"/>
  <c r="AW781" i="2" s="1"/>
  <c r="AW782" i="2" s="1"/>
  <c r="AW783" i="2" s="1"/>
  <c r="AW784" i="2" s="1"/>
  <c r="AW785" i="2" s="1"/>
  <c r="AW786" i="2" s="1"/>
  <c r="AW787" i="2" s="1"/>
  <c r="AW788" i="2" s="1"/>
  <c r="AW789" i="2" s="1"/>
  <c r="AW790" i="2" s="1"/>
  <c r="AW791" i="2" s="1"/>
  <c r="AW792" i="2" s="1"/>
  <c r="AW793" i="2" s="1"/>
  <c r="AW794" i="2" s="1"/>
  <c r="AW795" i="2" s="1"/>
  <c r="AW796" i="2" s="1"/>
  <c r="AW797" i="2" s="1"/>
  <c r="AW798" i="2" s="1"/>
  <c r="AW799" i="2" s="1"/>
  <c r="AW800" i="2" s="1"/>
  <c r="AW801" i="2" s="1"/>
  <c r="AW802" i="2" s="1"/>
  <c r="AW803" i="2" s="1"/>
  <c r="AW804" i="2" s="1"/>
  <c r="AW805" i="2" s="1"/>
  <c r="AW806" i="2" s="1"/>
  <c r="AW807" i="2" s="1"/>
  <c r="AW808" i="2" s="1"/>
  <c r="AW809" i="2" s="1"/>
  <c r="AW810" i="2" s="1"/>
  <c r="AW811" i="2" s="1"/>
  <c r="AW812" i="2" s="1"/>
  <c r="AW813" i="2" s="1"/>
  <c r="AW814" i="2" s="1"/>
  <c r="AW815" i="2" s="1"/>
  <c r="AW816" i="2" s="1"/>
  <c r="AW817" i="2" s="1"/>
  <c r="AW818" i="2" s="1"/>
  <c r="AW819" i="2" s="1"/>
  <c r="AW820" i="2" s="1"/>
  <c r="AW821" i="2" s="1"/>
  <c r="AW822" i="2" s="1"/>
  <c r="AW823" i="2" s="1"/>
  <c r="AW824" i="2" s="1"/>
  <c r="AW825" i="2" s="1"/>
  <c r="AW826" i="2" s="1"/>
  <c r="AW827" i="2" s="1"/>
  <c r="AW828" i="2" s="1"/>
  <c r="AW829" i="2" s="1"/>
  <c r="AW830" i="2" s="1"/>
  <c r="AW831" i="2" s="1"/>
  <c r="AW832" i="2" s="1"/>
  <c r="AW833" i="2" s="1"/>
  <c r="AW834" i="2" s="1"/>
  <c r="AW835" i="2" s="1"/>
  <c r="AW836" i="2" s="1"/>
  <c r="AW837" i="2" s="1"/>
  <c r="AW838" i="2" s="1"/>
  <c r="AW839" i="2" s="1"/>
  <c r="AW840" i="2" s="1"/>
  <c r="AW841" i="2" s="1"/>
  <c r="AW842" i="2" s="1"/>
  <c r="AW843" i="2" s="1"/>
  <c r="AW844" i="2" s="1"/>
  <c r="AW845" i="2" s="1"/>
  <c r="AW846" i="2" s="1"/>
  <c r="AW847" i="2" s="1"/>
  <c r="AW848" i="2" s="1"/>
  <c r="AW849" i="2" s="1"/>
  <c r="AW850" i="2" s="1"/>
  <c r="AW851" i="2" s="1"/>
  <c r="AW852" i="2" s="1"/>
  <c r="AW853" i="2" s="1"/>
  <c r="AW854" i="2" s="1"/>
  <c r="AW855" i="2" s="1"/>
  <c r="AW856" i="2" s="1"/>
  <c r="AW857" i="2" s="1"/>
  <c r="AW858" i="2" s="1"/>
  <c r="AW859" i="2" s="1"/>
  <c r="AW860" i="2" s="1"/>
  <c r="AW861" i="2" s="1"/>
  <c r="AW862" i="2" s="1"/>
  <c r="AW863" i="2" s="1"/>
  <c r="AW864" i="2" s="1"/>
  <c r="AW865" i="2" s="1"/>
  <c r="AW866" i="2" s="1"/>
  <c r="AW867" i="2" s="1"/>
  <c r="AW868" i="2" s="1"/>
  <c r="AW869" i="2" s="1"/>
  <c r="AW870" i="2" s="1"/>
  <c r="AW871" i="2" s="1"/>
  <c r="AW872" i="2" s="1"/>
  <c r="AW873" i="2" s="1"/>
  <c r="AW874" i="2" s="1"/>
  <c r="AW875" i="2" s="1"/>
  <c r="AW876" i="2" s="1"/>
  <c r="AW877" i="2" s="1"/>
  <c r="AW878" i="2" s="1"/>
  <c r="AW879" i="2" s="1"/>
  <c r="AW880" i="2" s="1"/>
  <c r="AW881" i="2" s="1"/>
  <c r="AW882" i="2" s="1"/>
  <c r="AW883" i="2" s="1"/>
  <c r="AW884" i="2" s="1"/>
  <c r="AW885" i="2" s="1"/>
  <c r="AW886" i="2" s="1"/>
  <c r="AW887" i="2" s="1"/>
  <c r="AW888" i="2" s="1"/>
  <c r="AW889" i="2" s="1"/>
  <c r="AW890" i="2" s="1"/>
  <c r="AW891" i="2" s="1"/>
  <c r="AW892" i="2" s="1"/>
  <c r="AW893" i="2" s="1"/>
  <c r="AW894" i="2" s="1"/>
  <c r="AW895" i="2" s="1"/>
  <c r="AW896" i="2" s="1"/>
  <c r="AW897" i="2" s="1"/>
  <c r="AW898" i="2" s="1"/>
  <c r="AW899" i="2" s="1"/>
  <c r="AW900" i="2" s="1"/>
  <c r="AW901" i="2" s="1"/>
  <c r="AW902" i="2" s="1"/>
  <c r="AW903" i="2" s="1"/>
  <c r="AW904" i="2" s="1"/>
  <c r="AW905" i="2" s="1"/>
  <c r="AW906" i="2" s="1"/>
  <c r="AW907" i="2" s="1"/>
  <c r="AW908" i="2" s="1"/>
  <c r="AW909" i="2" s="1"/>
  <c r="AW910" i="2" s="1"/>
  <c r="AW911" i="2" s="1"/>
  <c r="AW912" i="2" s="1"/>
  <c r="AW913" i="2" s="1"/>
  <c r="AW914" i="2" s="1"/>
  <c r="AW915" i="2" s="1"/>
  <c r="AW916" i="2" s="1"/>
  <c r="AW917" i="2" s="1"/>
  <c r="AW918" i="2" s="1"/>
  <c r="AW919" i="2" s="1"/>
  <c r="AW920" i="2" s="1"/>
  <c r="AW921" i="2" s="1"/>
  <c r="AW922" i="2" s="1"/>
  <c r="AW923" i="2" s="1"/>
  <c r="AW924" i="2" s="1"/>
  <c r="AW925" i="2" s="1"/>
  <c r="AW926" i="2" s="1"/>
  <c r="AW927" i="2" s="1"/>
  <c r="AW928" i="2" s="1"/>
  <c r="AW929" i="2" s="1"/>
  <c r="AW930" i="2" s="1"/>
  <c r="AW931" i="2" s="1"/>
  <c r="AW932" i="2" s="1"/>
  <c r="AW933" i="2" s="1"/>
  <c r="AW934" i="2" s="1"/>
  <c r="AW935" i="2" s="1"/>
  <c r="AW936" i="2" s="1"/>
  <c r="AW937" i="2" s="1"/>
  <c r="AW938" i="2" s="1"/>
  <c r="AW939" i="2" s="1"/>
  <c r="AW940" i="2" s="1"/>
  <c r="AW941" i="2" s="1"/>
  <c r="AW942" i="2" s="1"/>
  <c r="AW943" i="2" s="1"/>
  <c r="AW944" i="2" s="1"/>
  <c r="AW945" i="2" s="1"/>
  <c r="AW946" i="2" s="1"/>
  <c r="AW947" i="2" s="1"/>
  <c r="AW948" i="2" s="1"/>
  <c r="AW949" i="2" s="1"/>
  <c r="AW950" i="2" s="1"/>
  <c r="AW951" i="2" s="1"/>
  <c r="AW952" i="2" s="1"/>
  <c r="AW953" i="2" s="1"/>
  <c r="AW954" i="2" s="1"/>
  <c r="AW955" i="2" s="1"/>
  <c r="AW956" i="2" s="1"/>
  <c r="AW957" i="2" s="1"/>
  <c r="AW958" i="2" s="1"/>
  <c r="AW959" i="2" s="1"/>
  <c r="AW960" i="2" s="1"/>
  <c r="AW961" i="2" s="1"/>
  <c r="AW962" i="2" s="1"/>
  <c r="AW963" i="2" s="1"/>
  <c r="AW964" i="2" s="1"/>
  <c r="AW965" i="2" s="1"/>
  <c r="AW966" i="2" s="1"/>
  <c r="AW967" i="2" s="1"/>
  <c r="AW968" i="2" s="1"/>
  <c r="AW969" i="2" s="1"/>
  <c r="AW970" i="2" s="1"/>
  <c r="AW971" i="2" s="1"/>
  <c r="AW972" i="2" s="1"/>
  <c r="AW973" i="2" s="1"/>
  <c r="AW974" i="2" s="1"/>
  <c r="AW975" i="2" s="1"/>
  <c r="AW976" i="2" s="1"/>
  <c r="AW977" i="2" s="1"/>
  <c r="AW978" i="2" s="1"/>
  <c r="AW979" i="2" s="1"/>
  <c r="AW980" i="2" s="1"/>
  <c r="AW981" i="2" s="1"/>
  <c r="AW982" i="2" s="1"/>
  <c r="AW983" i="2" s="1"/>
  <c r="AW984" i="2" s="1"/>
  <c r="AW985" i="2" s="1"/>
  <c r="AW986" i="2" s="1"/>
  <c r="AW987" i="2" s="1"/>
  <c r="AW988" i="2" s="1"/>
  <c r="AW989" i="2" s="1"/>
  <c r="AW990" i="2" s="1"/>
  <c r="AW991" i="2" s="1"/>
  <c r="AW992" i="2" s="1"/>
  <c r="AW993" i="2" s="1"/>
  <c r="AW994" i="2" s="1"/>
  <c r="AW995" i="2" s="1"/>
  <c r="AW996" i="2" s="1"/>
  <c r="AW997" i="2" s="1"/>
  <c r="AW998" i="2" s="1"/>
  <c r="AW999" i="2" s="1"/>
  <c r="AW1000" i="2" s="1"/>
  <c r="AW1001" i="2" s="1"/>
  <c r="AW1002" i="2" s="1"/>
  <c r="AW1003" i="2" s="1"/>
  <c r="AW1004" i="2" s="1"/>
  <c r="AW1005" i="2" s="1"/>
  <c r="AW1006" i="2" s="1"/>
  <c r="AW1007" i="2" s="1"/>
  <c r="AW1008" i="2" s="1"/>
  <c r="AW1009" i="2" s="1"/>
  <c r="AW1010" i="2" s="1"/>
  <c r="AW1011" i="2" s="1"/>
  <c r="AW1012" i="2" s="1"/>
  <c r="AW1013" i="2" s="1"/>
  <c r="AW1014" i="2" s="1"/>
  <c r="AW1015" i="2" s="1"/>
  <c r="AW1016" i="2" s="1"/>
  <c r="AW1017" i="2" s="1"/>
  <c r="AW1018" i="2" s="1"/>
  <c r="AW1019" i="2" s="1"/>
  <c r="AW1020" i="2" s="1"/>
  <c r="AW1021" i="2" s="1"/>
  <c r="AW1022" i="2" s="1"/>
  <c r="AW1023" i="2" s="1"/>
  <c r="AW1024" i="2" s="1"/>
  <c r="AW1025" i="2" s="1"/>
  <c r="AW1026" i="2" s="1"/>
  <c r="AW1027" i="2" s="1"/>
  <c r="AW1028" i="2" s="1"/>
  <c r="AW1029" i="2" s="1"/>
  <c r="AW1030" i="2" s="1"/>
  <c r="AW1031" i="2" s="1"/>
  <c r="AW1032" i="2" s="1"/>
  <c r="AW1033" i="2" s="1"/>
  <c r="AW1034" i="2" s="1"/>
  <c r="AW1035" i="2" s="1"/>
  <c r="AW1036" i="2" s="1"/>
  <c r="AW1037" i="2" s="1"/>
  <c r="AW1038" i="2" s="1"/>
  <c r="AW1039" i="2" s="1"/>
  <c r="AW1040" i="2" s="1"/>
  <c r="AW1041" i="2" s="1"/>
  <c r="AW1042" i="2" s="1"/>
  <c r="AW1043" i="2" s="1"/>
  <c r="AW1044" i="2" s="1"/>
  <c r="AW1045" i="2" s="1"/>
  <c r="AW1046" i="2" s="1"/>
  <c r="AW1047" i="2" s="1"/>
  <c r="AW1048" i="2" s="1"/>
  <c r="AW1049" i="2" s="1"/>
  <c r="AW1050" i="2" s="1"/>
  <c r="AW1051" i="2" s="1"/>
  <c r="AW1052" i="2" s="1"/>
  <c r="AW1053" i="2" s="1"/>
  <c r="AW1054" i="2" s="1"/>
  <c r="AW1055" i="2" s="1"/>
  <c r="AW1056" i="2" s="1"/>
  <c r="AW1057" i="2" s="1"/>
  <c r="AW1058" i="2" s="1"/>
  <c r="AW1059" i="2" s="1"/>
  <c r="AW1060" i="2" s="1"/>
  <c r="AW1061" i="2" s="1"/>
  <c r="AW1062" i="2" s="1"/>
  <c r="AW1063" i="2" s="1"/>
  <c r="AW1064" i="2" s="1"/>
  <c r="AW1065" i="2" s="1"/>
  <c r="AW1066" i="2" s="1"/>
  <c r="AW1067" i="2" s="1"/>
  <c r="AW1068" i="2" s="1"/>
  <c r="AW1069" i="2" s="1"/>
  <c r="AW1070" i="2" s="1"/>
  <c r="AW1071" i="2" s="1"/>
  <c r="AW1072" i="2" s="1"/>
  <c r="AW1073" i="2" s="1"/>
  <c r="AW1074" i="2" s="1"/>
  <c r="AW1075" i="2" s="1"/>
  <c r="AW1076" i="2" s="1"/>
  <c r="AW1077" i="2" s="1"/>
  <c r="AW1078" i="2" s="1"/>
  <c r="AW1079" i="2" s="1"/>
  <c r="AW1080" i="2" s="1"/>
  <c r="AW1081" i="2" s="1"/>
  <c r="AW1082" i="2" s="1"/>
  <c r="AW1083" i="2" s="1"/>
  <c r="AW1084" i="2" s="1"/>
  <c r="AW1085" i="2" s="1"/>
  <c r="AW1086" i="2" s="1"/>
  <c r="AW1087" i="2" s="1"/>
  <c r="AW1088" i="2" s="1"/>
  <c r="AW1089" i="2" s="1"/>
  <c r="AW1090" i="2" s="1"/>
  <c r="AW1091" i="2" s="1"/>
  <c r="AW1092" i="2" s="1"/>
  <c r="AW1093" i="2" s="1"/>
  <c r="AW1094" i="2" s="1"/>
  <c r="AW1095" i="2" s="1"/>
  <c r="AW1096" i="2" s="1"/>
  <c r="AW1097" i="2" s="1"/>
  <c r="AW1098" i="2" s="1"/>
  <c r="AW1099" i="2" s="1"/>
  <c r="AW1100" i="2" s="1"/>
  <c r="AW1101" i="2" s="1"/>
  <c r="AW1102" i="2" s="1"/>
  <c r="AW1103" i="2" s="1"/>
  <c r="AW1104" i="2" s="1"/>
  <c r="AW1105" i="2" s="1"/>
  <c r="AW1106" i="2" s="1"/>
  <c r="AW1107" i="2" s="1"/>
  <c r="AW1108" i="2" s="1"/>
  <c r="AW1109" i="2" s="1"/>
  <c r="AW1110" i="2" s="1"/>
  <c r="AW1111" i="2" s="1"/>
  <c r="AW1112" i="2" s="1"/>
  <c r="AW1113" i="2" s="1"/>
  <c r="AW1114" i="2" s="1"/>
  <c r="AW1115" i="2" s="1"/>
  <c r="AW1116" i="2" s="1"/>
  <c r="AW1117" i="2" s="1"/>
  <c r="AW1118" i="2" s="1"/>
  <c r="AW1119" i="2" s="1"/>
  <c r="AW1120" i="2" s="1"/>
  <c r="AW1121" i="2" s="1"/>
  <c r="AW1122" i="2" s="1"/>
  <c r="AW1123" i="2" s="1"/>
  <c r="AW1124" i="2" s="1"/>
  <c r="AW1125" i="2" s="1"/>
  <c r="AW1126" i="2" s="1"/>
  <c r="AW1127" i="2" s="1"/>
  <c r="AW1128" i="2" s="1"/>
  <c r="AW1129" i="2" s="1"/>
  <c r="AW1130" i="2" s="1"/>
  <c r="AW1131" i="2" s="1"/>
  <c r="AW1132" i="2" s="1"/>
  <c r="AW1133" i="2" s="1"/>
  <c r="AW1134" i="2" s="1"/>
  <c r="AW1135" i="2" s="1"/>
  <c r="AW1136" i="2" s="1"/>
  <c r="AW1137" i="2" s="1"/>
  <c r="AW1138" i="2" s="1"/>
  <c r="AW1139" i="2" s="1"/>
  <c r="AW1140" i="2" s="1"/>
  <c r="AW1141" i="2" s="1"/>
  <c r="AW1142" i="2" s="1"/>
  <c r="AW1143" i="2" s="1"/>
  <c r="AW1144" i="2" s="1"/>
  <c r="AW1145" i="2" s="1"/>
  <c r="AW1146" i="2" s="1"/>
  <c r="AW1147" i="2" s="1"/>
  <c r="AW1148" i="2" s="1"/>
  <c r="AW1149" i="2" s="1"/>
  <c r="AW1150" i="2" s="1"/>
  <c r="AW1151" i="2" s="1"/>
  <c r="AW1152" i="2" s="1"/>
  <c r="AW1153" i="2" s="1"/>
  <c r="AW1154" i="2" s="1"/>
  <c r="AW1155" i="2" s="1"/>
  <c r="AW1156" i="2" s="1"/>
  <c r="AW1157" i="2" s="1"/>
  <c r="AW1158" i="2" s="1"/>
  <c r="AW1159" i="2" s="1"/>
  <c r="AW1160" i="2" s="1"/>
  <c r="AW1161" i="2" s="1"/>
  <c r="AW1162" i="2" s="1"/>
  <c r="AW1163" i="2" s="1"/>
  <c r="AW1164" i="2" s="1"/>
  <c r="AW1165" i="2" s="1"/>
  <c r="AW1166" i="2" s="1"/>
  <c r="AW1167" i="2" s="1"/>
  <c r="AW1168" i="2" s="1"/>
  <c r="AW1169" i="2" s="1"/>
  <c r="AW1170" i="2" s="1"/>
  <c r="AW1171" i="2" s="1"/>
  <c r="AW1172" i="2" s="1"/>
  <c r="AW1173" i="2" s="1"/>
  <c r="AW1174" i="2" s="1"/>
  <c r="AW1175" i="2" s="1"/>
  <c r="AW1176" i="2" s="1"/>
  <c r="AW1177" i="2" s="1"/>
  <c r="AW1178" i="2" s="1"/>
  <c r="AW1179" i="2" s="1"/>
  <c r="AW1180" i="2" s="1"/>
  <c r="AW1181" i="2" s="1"/>
  <c r="AW1182" i="2" s="1"/>
  <c r="AW1183" i="2" s="1"/>
  <c r="AW1184" i="2" s="1"/>
  <c r="AW1185" i="2" s="1"/>
  <c r="AW1186" i="2" s="1"/>
  <c r="AW1187" i="2" s="1"/>
  <c r="AW1188" i="2" s="1"/>
  <c r="AW1189" i="2" s="1"/>
  <c r="AW1190" i="2" s="1"/>
  <c r="AW1191" i="2" s="1"/>
  <c r="AW1192" i="2" s="1"/>
  <c r="AW1193" i="2" s="1"/>
  <c r="AW1194" i="2" s="1"/>
  <c r="AW1195" i="2" s="1"/>
  <c r="AW1196" i="2" s="1"/>
  <c r="AW1197" i="2" s="1"/>
  <c r="AW1198" i="2" s="1"/>
  <c r="AW1199" i="2" s="1"/>
  <c r="AW1200" i="2" s="1"/>
  <c r="AW1201" i="2" s="1"/>
  <c r="AW1202" i="2" s="1"/>
  <c r="AW1203" i="2" s="1"/>
  <c r="AW1204" i="2" s="1"/>
  <c r="AW1205" i="2" s="1"/>
  <c r="AW1206" i="2" s="1"/>
  <c r="AW1207" i="2" s="1"/>
  <c r="AW1208" i="2" s="1"/>
  <c r="AW1209" i="2" s="1"/>
  <c r="AW1210" i="2" s="1"/>
  <c r="AW1211" i="2" s="1"/>
  <c r="AW1212" i="2" s="1"/>
  <c r="AW1213" i="2" s="1"/>
  <c r="AW1214" i="2" s="1"/>
  <c r="AW1215" i="2" s="1"/>
  <c r="AW1216" i="2" s="1"/>
  <c r="AW1217" i="2" s="1"/>
  <c r="AW1218" i="2" s="1"/>
  <c r="AW1219" i="2" s="1"/>
  <c r="AW1220" i="2" s="1"/>
  <c r="AW1221" i="2" s="1"/>
  <c r="AW1222" i="2" s="1"/>
  <c r="AW1223" i="2" s="1"/>
  <c r="AW1224" i="2" s="1"/>
  <c r="AW1225" i="2" s="1"/>
  <c r="AW1226" i="2" s="1"/>
  <c r="AW1227" i="2" s="1"/>
  <c r="AW1228" i="2" s="1"/>
  <c r="AW1229" i="2" s="1"/>
  <c r="AW1230" i="2" s="1"/>
  <c r="AW1231" i="2" s="1"/>
  <c r="AW1232" i="2" s="1"/>
  <c r="AW1233" i="2" s="1"/>
  <c r="AW1234" i="2" s="1"/>
  <c r="AW1235" i="2" s="1"/>
  <c r="AW1236" i="2" s="1"/>
  <c r="AW1237" i="2" s="1"/>
  <c r="AW1238" i="2" s="1"/>
  <c r="AW1239" i="2" s="1"/>
  <c r="AW1240" i="2" s="1"/>
  <c r="AW1241" i="2" s="1"/>
  <c r="AW1242" i="2" s="1"/>
  <c r="AW1243" i="2" s="1"/>
  <c r="AW1244" i="2" s="1"/>
  <c r="AW1245" i="2" s="1"/>
  <c r="AW1246" i="2" s="1"/>
  <c r="AW1247" i="2" s="1"/>
  <c r="AW1248" i="2" s="1"/>
  <c r="AW1249" i="2" s="1"/>
  <c r="AW1250" i="2" s="1"/>
  <c r="AW1251" i="2" s="1"/>
  <c r="AW1252" i="2" s="1"/>
  <c r="AW1253" i="2" s="1"/>
  <c r="AW1254" i="2" s="1"/>
  <c r="AW1255" i="2" s="1"/>
  <c r="AW1256" i="2" s="1"/>
  <c r="AW1257" i="2" s="1"/>
  <c r="AW1258" i="2" s="1"/>
  <c r="AW1259" i="2" s="1"/>
  <c r="AW1260" i="2" s="1"/>
  <c r="AW1261" i="2" s="1"/>
  <c r="AW1262" i="2" s="1"/>
  <c r="AW1263" i="2" s="1"/>
  <c r="AW1264" i="2" s="1"/>
  <c r="AW1265" i="2" s="1"/>
  <c r="AW1266" i="2" s="1"/>
  <c r="AW1267" i="2" s="1"/>
  <c r="AW1268" i="2" s="1"/>
  <c r="AW1269" i="2" s="1"/>
  <c r="AW1270" i="2" s="1"/>
  <c r="AW1271" i="2" s="1"/>
  <c r="AW1272" i="2" s="1"/>
  <c r="AW1273" i="2" s="1"/>
  <c r="AW1274" i="2" s="1"/>
  <c r="AW1275" i="2" s="1"/>
  <c r="AW1276" i="2" s="1"/>
  <c r="AW1277" i="2" s="1"/>
  <c r="AW1278" i="2" s="1"/>
  <c r="AW1279" i="2" s="1"/>
  <c r="AW1280" i="2" s="1"/>
  <c r="AW1281" i="2" s="1"/>
  <c r="AW1282" i="2" s="1"/>
  <c r="AW1283" i="2" s="1"/>
  <c r="AW1284" i="2" s="1"/>
  <c r="AW1285" i="2" s="1"/>
  <c r="AW1286" i="2" s="1"/>
  <c r="AW1287" i="2" s="1"/>
  <c r="AW1288" i="2" s="1"/>
  <c r="AW1289" i="2" s="1"/>
  <c r="AW1290" i="2" s="1"/>
  <c r="AW1291" i="2" s="1"/>
  <c r="AW1292" i="2" s="1"/>
  <c r="AW1293" i="2" s="1"/>
  <c r="AW1294" i="2" s="1"/>
  <c r="AW1295" i="2" s="1"/>
  <c r="AW1296" i="2" s="1"/>
  <c r="AW1297" i="2" s="1"/>
  <c r="AW1298" i="2" s="1"/>
  <c r="AW1299" i="2" s="1"/>
  <c r="AW1300" i="2" s="1"/>
  <c r="AW1301" i="2" s="1"/>
  <c r="AW1302" i="2" s="1"/>
  <c r="AW1303" i="2" s="1"/>
  <c r="AW1304" i="2" s="1"/>
  <c r="AW1305" i="2" s="1"/>
  <c r="AW1306" i="2" s="1"/>
  <c r="AW1307" i="2" s="1"/>
  <c r="AW1308" i="2" s="1"/>
  <c r="AW1309" i="2" s="1"/>
  <c r="AW1310" i="2" s="1"/>
  <c r="AW1311" i="2" s="1"/>
  <c r="AW1312" i="2" s="1"/>
  <c r="AW1313" i="2" s="1"/>
  <c r="AW1314" i="2" s="1"/>
  <c r="AW1315" i="2" s="1"/>
  <c r="AW1316" i="2" s="1"/>
  <c r="AW1317" i="2" s="1"/>
  <c r="AW1318" i="2" s="1"/>
  <c r="AW1319" i="2" s="1"/>
  <c r="AW1320" i="2" s="1"/>
  <c r="AW1321" i="2" s="1"/>
  <c r="AW1322" i="2" s="1"/>
  <c r="AW1323" i="2" s="1"/>
  <c r="AW1324" i="2" s="1"/>
  <c r="AW1325" i="2" s="1"/>
  <c r="AW1326" i="2" s="1"/>
  <c r="AW1327" i="2" s="1"/>
  <c r="AW1328" i="2" s="1"/>
  <c r="AW1329" i="2" s="1"/>
  <c r="AW1330" i="2" s="1"/>
  <c r="AW1331" i="2" s="1"/>
  <c r="AW1332" i="2" s="1"/>
  <c r="AW1333" i="2" s="1"/>
  <c r="AW1334" i="2" s="1"/>
  <c r="AW1335" i="2" s="1"/>
  <c r="AW1336" i="2" s="1"/>
  <c r="AW1337" i="2" s="1"/>
  <c r="AW1338" i="2" s="1"/>
  <c r="AW1339" i="2" s="1"/>
  <c r="AW1340" i="2" s="1"/>
  <c r="AW1341" i="2" s="1"/>
  <c r="AW1342" i="2" s="1"/>
  <c r="AW1343" i="2" s="1"/>
  <c r="AW1344" i="2" s="1"/>
  <c r="AW1345" i="2" s="1"/>
  <c r="AW1346" i="2" s="1"/>
  <c r="AW1347" i="2" s="1"/>
  <c r="AW1348" i="2" s="1"/>
  <c r="AW1349" i="2" s="1"/>
  <c r="AW1350" i="2" s="1"/>
  <c r="AW1351" i="2" s="1"/>
  <c r="AW1352" i="2" s="1"/>
  <c r="AW1353" i="2" s="1"/>
  <c r="AW1354" i="2" s="1"/>
  <c r="AW1355" i="2" s="1"/>
  <c r="AW1356" i="2" s="1"/>
  <c r="AW1357" i="2" s="1"/>
  <c r="AW1358" i="2" s="1"/>
  <c r="AW1359" i="2" s="1"/>
  <c r="AW1360" i="2" s="1"/>
  <c r="AW1361" i="2" s="1"/>
  <c r="AW1362" i="2" s="1"/>
  <c r="AW1363" i="2" s="1"/>
  <c r="AW1364" i="2" s="1"/>
  <c r="AW1365" i="2" s="1"/>
  <c r="AW1366" i="2" s="1"/>
  <c r="AW1367" i="2" s="1"/>
  <c r="AW1368" i="2" s="1"/>
  <c r="AW1369" i="2" s="1"/>
  <c r="AW1370" i="2" s="1"/>
  <c r="AW1371" i="2" s="1"/>
  <c r="AW1372" i="2" s="1"/>
  <c r="AW1373" i="2" s="1"/>
  <c r="AW1374" i="2" s="1"/>
  <c r="AW1375" i="2" s="1"/>
  <c r="AW1376" i="2" s="1"/>
  <c r="AW1377" i="2" s="1"/>
  <c r="AW1378" i="2" s="1"/>
  <c r="AW1379" i="2" s="1"/>
  <c r="AW1380" i="2" s="1"/>
  <c r="AW1381" i="2" s="1"/>
  <c r="AW1382" i="2" s="1"/>
  <c r="AW1383" i="2" s="1"/>
  <c r="AW1384" i="2" s="1"/>
  <c r="AW1385" i="2" s="1"/>
  <c r="AW1386" i="2" s="1"/>
  <c r="AW1387" i="2" s="1"/>
  <c r="AW1388" i="2" s="1"/>
  <c r="AW1389" i="2" s="1"/>
  <c r="AW1390" i="2" s="1"/>
  <c r="AW1391" i="2" s="1"/>
  <c r="AW1392" i="2" s="1"/>
  <c r="AW1393" i="2" s="1"/>
  <c r="AW1394" i="2" s="1"/>
  <c r="AW1395" i="2" s="1"/>
  <c r="AW1396" i="2" s="1"/>
  <c r="AW1397" i="2" s="1"/>
  <c r="AW1398" i="2" s="1"/>
  <c r="AW1399" i="2" s="1"/>
  <c r="AW1400" i="2" s="1"/>
  <c r="AW1401" i="2" s="1"/>
  <c r="AW1402" i="2" s="1"/>
  <c r="AW1403" i="2" s="1"/>
  <c r="AW1404" i="2" s="1"/>
  <c r="AW1405" i="2" s="1"/>
  <c r="AW1406" i="2" s="1"/>
  <c r="AW1407" i="2" s="1"/>
  <c r="AW1408" i="2" s="1"/>
  <c r="AW1409" i="2" s="1"/>
  <c r="AW1410" i="2" s="1"/>
  <c r="AW1411" i="2" s="1"/>
  <c r="AW1412" i="2" s="1"/>
  <c r="AW1413" i="2" s="1"/>
  <c r="AW1414" i="2" s="1"/>
  <c r="AW1415" i="2" s="1"/>
  <c r="AW1416" i="2" s="1"/>
  <c r="AW1417" i="2" s="1"/>
  <c r="AW1418" i="2" s="1"/>
  <c r="AW1419" i="2" s="1"/>
  <c r="AW1420" i="2" s="1"/>
  <c r="AW1421" i="2" s="1"/>
  <c r="AW1422" i="2" s="1"/>
  <c r="AW1423" i="2" s="1"/>
  <c r="AW1424" i="2" s="1"/>
  <c r="AW1425" i="2" s="1"/>
  <c r="AW1426" i="2" s="1"/>
  <c r="AW1427" i="2" s="1"/>
  <c r="AW1428" i="2" s="1"/>
  <c r="AW1429" i="2" s="1"/>
  <c r="AW1430" i="2" s="1"/>
  <c r="AW1431" i="2" s="1"/>
  <c r="AW1432" i="2" s="1"/>
  <c r="AW1433" i="2" s="1"/>
  <c r="AW1434" i="2" s="1"/>
  <c r="AW1435" i="2" s="1"/>
  <c r="AW1436" i="2" s="1"/>
  <c r="AW1437" i="2" s="1"/>
  <c r="AW1438" i="2" s="1"/>
  <c r="AW1439" i="2" s="1"/>
  <c r="AW1440" i="2" s="1"/>
  <c r="AW1441" i="2" s="1"/>
  <c r="AW1442" i="2" s="1"/>
  <c r="AW1443" i="2" s="1"/>
  <c r="AW1444" i="2" s="1"/>
  <c r="AW1445" i="2" s="1"/>
  <c r="AW1446" i="2" s="1"/>
  <c r="AW1447" i="2" s="1"/>
  <c r="AW1448" i="2" s="1"/>
  <c r="AW1449" i="2" s="1"/>
  <c r="AW1450" i="2" s="1"/>
  <c r="AW1451" i="2" s="1"/>
  <c r="AW1452" i="2" s="1"/>
  <c r="AW1453" i="2" s="1"/>
  <c r="AW1454" i="2" s="1"/>
  <c r="AW1455" i="2" s="1"/>
  <c r="AW1456" i="2" s="1"/>
  <c r="AW1457" i="2" s="1"/>
  <c r="AW1458" i="2" s="1"/>
  <c r="AW1459" i="2" s="1"/>
  <c r="AW1460" i="2" s="1"/>
  <c r="AW1461" i="2" s="1"/>
  <c r="AW1462" i="2" s="1"/>
  <c r="AW1463" i="2" s="1"/>
  <c r="AW1464" i="2" s="1"/>
  <c r="AW1465" i="2" s="1"/>
  <c r="AW1466" i="2" s="1"/>
  <c r="AW1467" i="2" s="1"/>
  <c r="AW1468" i="2" s="1"/>
  <c r="AW1469" i="2" s="1"/>
  <c r="AW1470" i="2" s="1"/>
  <c r="AW1471" i="2" s="1"/>
  <c r="AW1472" i="2" s="1"/>
  <c r="AW1473" i="2" s="1"/>
  <c r="AW1474" i="2" s="1"/>
  <c r="AW1475" i="2" s="1"/>
  <c r="AW1476" i="2" s="1"/>
  <c r="AW1477" i="2" s="1"/>
  <c r="AW1478" i="2" s="1"/>
  <c r="AW1479" i="2" s="1"/>
  <c r="AW1480" i="2" s="1"/>
  <c r="AW1481" i="2" s="1"/>
  <c r="AW1482" i="2" s="1"/>
  <c r="AW1483" i="2" s="1"/>
  <c r="AW1484" i="2" s="1"/>
  <c r="AW1485" i="2" s="1"/>
  <c r="AW1486" i="2" s="1"/>
  <c r="AW1487" i="2" s="1"/>
  <c r="AW1488" i="2" s="1"/>
  <c r="AW1489" i="2" s="1"/>
  <c r="AW1490" i="2" s="1"/>
  <c r="AW1491" i="2" s="1"/>
  <c r="AW1492" i="2" s="1"/>
  <c r="AW1493" i="2" s="1"/>
  <c r="AW1494" i="2" s="1"/>
  <c r="AW1495" i="2" s="1"/>
  <c r="AW1496" i="2" s="1"/>
  <c r="AW1497" i="2" s="1"/>
  <c r="AW1498" i="2" s="1"/>
  <c r="AW1499" i="2" s="1"/>
  <c r="AW1500" i="2" s="1"/>
  <c r="AW1501" i="2" s="1"/>
  <c r="AW1502" i="2" s="1"/>
  <c r="AW1503" i="2" s="1"/>
  <c r="AW1504" i="2" s="1"/>
  <c r="AW1505" i="2" s="1"/>
  <c r="AW1506" i="2" s="1"/>
  <c r="AW1507" i="2" s="1"/>
  <c r="AW1508" i="2" s="1"/>
  <c r="AW1509" i="2" s="1"/>
  <c r="AW1510" i="2" s="1"/>
  <c r="AW1511" i="2" s="1"/>
  <c r="AW1512" i="2" s="1"/>
  <c r="AW1513" i="2" s="1"/>
  <c r="AW1514" i="2" s="1"/>
  <c r="AW1515" i="2" s="1"/>
  <c r="AW1516" i="2" s="1"/>
  <c r="AW1517" i="2" s="1"/>
  <c r="AW1518" i="2" s="1"/>
  <c r="AW1519" i="2" s="1"/>
  <c r="AW1520" i="2" s="1"/>
  <c r="AW1521" i="2" s="1"/>
  <c r="AW1522" i="2" s="1"/>
  <c r="AW1523" i="2" s="1"/>
  <c r="AW1524" i="2" s="1"/>
  <c r="AW1525" i="2" s="1"/>
  <c r="AW1526" i="2" s="1"/>
  <c r="AW1527" i="2" s="1"/>
  <c r="AW1528" i="2" s="1"/>
  <c r="AW1529" i="2" s="1"/>
  <c r="AW1530" i="2" s="1"/>
  <c r="AW1531" i="2" s="1"/>
  <c r="AW1532" i="2" s="1"/>
  <c r="AW1533" i="2" s="1"/>
  <c r="AW1534" i="2" s="1"/>
  <c r="AW1535" i="2" s="1"/>
  <c r="AW1536" i="2" s="1"/>
  <c r="AW1537" i="2" s="1"/>
  <c r="AW1538" i="2" s="1"/>
  <c r="AW1539" i="2" s="1"/>
  <c r="AW1540" i="2" s="1"/>
  <c r="AW1541" i="2" s="1"/>
  <c r="AW1542" i="2" s="1"/>
  <c r="AW1543" i="2" s="1"/>
  <c r="AW1544" i="2" s="1"/>
  <c r="AW1545" i="2" s="1"/>
  <c r="AW1546" i="2" s="1"/>
  <c r="AW1547" i="2" s="1"/>
  <c r="AW1548" i="2" s="1"/>
  <c r="AW1549" i="2" s="1"/>
  <c r="AW1550" i="2" s="1"/>
  <c r="AW1551" i="2" s="1"/>
  <c r="AW1552" i="2" s="1"/>
  <c r="AW1553" i="2" s="1"/>
  <c r="AW1554" i="2" s="1"/>
  <c r="AW1555" i="2" s="1"/>
  <c r="AW1556" i="2" s="1"/>
  <c r="AW1557" i="2" s="1"/>
  <c r="AW1558" i="2" s="1"/>
  <c r="AW1559" i="2" s="1"/>
  <c r="AW1560" i="2" s="1"/>
  <c r="AW1561" i="2" s="1"/>
  <c r="AW1562" i="2" s="1"/>
  <c r="AW1563" i="2" s="1"/>
  <c r="AW1564" i="2" s="1"/>
  <c r="AW1565" i="2" s="1"/>
  <c r="AW1566" i="2" s="1"/>
  <c r="AW1567" i="2" s="1"/>
  <c r="AW1568" i="2" s="1"/>
  <c r="AW1569" i="2" s="1"/>
  <c r="AW1570" i="2" s="1"/>
  <c r="AW1571" i="2" s="1"/>
  <c r="AW1572" i="2" s="1"/>
  <c r="AW1573" i="2" s="1"/>
  <c r="AW1574" i="2" s="1"/>
  <c r="AW1575" i="2" s="1"/>
  <c r="AW1576" i="2" s="1"/>
  <c r="AW1577" i="2" s="1"/>
  <c r="AW1578" i="2" s="1"/>
  <c r="AW1579" i="2" s="1"/>
  <c r="AW1580" i="2" s="1"/>
  <c r="AW1581" i="2" s="1"/>
  <c r="AW1582" i="2" s="1"/>
  <c r="AW1583" i="2" s="1"/>
  <c r="AW1584" i="2" s="1"/>
  <c r="AW1585" i="2" s="1"/>
  <c r="AW1586" i="2" s="1"/>
  <c r="AW1587" i="2" s="1"/>
  <c r="AW1588" i="2" s="1"/>
  <c r="AW1589" i="2" s="1"/>
  <c r="AW1590" i="2" s="1"/>
  <c r="AW1591" i="2" s="1"/>
  <c r="AW1592" i="2" s="1"/>
  <c r="AW1593" i="2" s="1"/>
  <c r="AW1594" i="2" s="1"/>
  <c r="AW1595" i="2" s="1"/>
  <c r="AW1596" i="2" s="1"/>
  <c r="AW1597" i="2" s="1"/>
  <c r="AW1598" i="2" s="1"/>
  <c r="AW1599" i="2" s="1"/>
  <c r="AW1600" i="2" s="1"/>
  <c r="AW1601" i="2" s="1"/>
  <c r="AW1602" i="2" s="1"/>
  <c r="AW1603" i="2" s="1"/>
  <c r="AW1604" i="2" s="1"/>
  <c r="AW1605" i="2" s="1"/>
  <c r="AW1606" i="2" s="1"/>
  <c r="AW1607" i="2" s="1"/>
  <c r="AW1608" i="2" s="1"/>
  <c r="AW1609" i="2" s="1"/>
  <c r="AW1610" i="2" s="1"/>
  <c r="AW1611" i="2" s="1"/>
  <c r="AW1612" i="2" s="1"/>
  <c r="AW1613" i="2" s="1"/>
  <c r="AW1614" i="2" s="1"/>
  <c r="AW1615" i="2" s="1"/>
  <c r="AW1616" i="2" s="1"/>
  <c r="AW1617" i="2" s="1"/>
  <c r="AW1618" i="2" s="1"/>
  <c r="AW1619" i="2" s="1"/>
  <c r="AW1620" i="2" s="1"/>
  <c r="AW1621" i="2" s="1"/>
  <c r="AW1622" i="2" s="1"/>
  <c r="AW1623" i="2" s="1"/>
  <c r="AW1624" i="2" s="1"/>
  <c r="AW1625" i="2" s="1"/>
  <c r="AW1626" i="2" s="1"/>
  <c r="AW1627" i="2" s="1"/>
  <c r="AW1628" i="2" s="1"/>
  <c r="AW1629" i="2" s="1"/>
  <c r="AW1630" i="2" s="1"/>
  <c r="AW1631" i="2" s="1"/>
  <c r="AW1632" i="2" s="1"/>
  <c r="AW1633" i="2" s="1"/>
  <c r="AW1634" i="2" s="1"/>
  <c r="AW1635" i="2" s="1"/>
  <c r="AW1636" i="2" s="1"/>
  <c r="AW1637" i="2" s="1"/>
  <c r="AW1638" i="2" s="1"/>
  <c r="AW1639" i="2" s="1"/>
  <c r="AW1640" i="2" s="1"/>
  <c r="AW1641" i="2" s="1"/>
  <c r="AW1642" i="2" s="1"/>
  <c r="AW1643" i="2" s="1"/>
  <c r="AW1644" i="2" s="1"/>
  <c r="AW1645" i="2" s="1"/>
  <c r="AW1646" i="2" s="1"/>
  <c r="AW1647" i="2" s="1"/>
  <c r="AW1648" i="2" s="1"/>
  <c r="AW1649" i="2" s="1"/>
  <c r="AW1650" i="2" s="1"/>
  <c r="AW1651" i="2" s="1"/>
  <c r="AW1652" i="2" s="1"/>
  <c r="AW1653" i="2" s="1"/>
  <c r="AW1654" i="2" s="1"/>
  <c r="AW1655" i="2" s="1"/>
  <c r="AW1656" i="2" s="1"/>
  <c r="AW1657" i="2" s="1"/>
  <c r="AW1658" i="2" s="1"/>
  <c r="AW1659" i="2" s="1"/>
  <c r="AW1660" i="2" s="1"/>
  <c r="AW1661" i="2" s="1"/>
  <c r="AW1662" i="2" s="1"/>
  <c r="AW1663" i="2" s="1"/>
  <c r="AW1664" i="2" s="1"/>
  <c r="AW1665" i="2" s="1"/>
  <c r="AW1666" i="2" s="1"/>
  <c r="AW1667" i="2" s="1"/>
  <c r="AW1668" i="2" s="1"/>
  <c r="AW1669" i="2" s="1"/>
  <c r="AW1670" i="2" s="1"/>
  <c r="AW1671" i="2" s="1"/>
  <c r="AW1672" i="2" s="1"/>
  <c r="AW1673" i="2" s="1"/>
  <c r="AW1674" i="2" s="1"/>
  <c r="AW1675" i="2" s="1"/>
  <c r="AW1676" i="2" s="1"/>
  <c r="AW1677" i="2" s="1"/>
  <c r="AW1678" i="2" s="1"/>
  <c r="AW1679" i="2" s="1"/>
  <c r="AW1680" i="2" s="1"/>
  <c r="AW1681" i="2" s="1"/>
  <c r="AW1682" i="2" s="1"/>
  <c r="AW1683" i="2" s="1"/>
  <c r="AW1684" i="2" s="1"/>
  <c r="AW1685" i="2" s="1"/>
  <c r="AW1686" i="2" s="1"/>
  <c r="AW1687" i="2" s="1"/>
  <c r="AW1688" i="2" s="1"/>
  <c r="AW1689" i="2" s="1"/>
  <c r="AW1690" i="2" s="1"/>
  <c r="AW1691" i="2" s="1"/>
  <c r="AW1692" i="2" s="1"/>
  <c r="AW1693" i="2" s="1"/>
  <c r="AW1694" i="2" s="1"/>
  <c r="AW1695" i="2" s="1"/>
  <c r="AW1696" i="2" s="1"/>
  <c r="AW1697" i="2" s="1"/>
  <c r="AW1698" i="2" s="1"/>
  <c r="AW1699" i="2" s="1"/>
  <c r="AW1700" i="2" s="1"/>
  <c r="AW1701" i="2" s="1"/>
  <c r="AW1702" i="2" s="1"/>
  <c r="AW1703" i="2" s="1"/>
  <c r="AW1704" i="2" s="1"/>
  <c r="AW1705" i="2" s="1"/>
  <c r="AW1706" i="2" s="1"/>
  <c r="AW1707" i="2" s="1"/>
  <c r="AW1708" i="2" s="1"/>
  <c r="AW1709" i="2" s="1"/>
  <c r="AW1710" i="2" s="1"/>
  <c r="AW1711" i="2" s="1"/>
  <c r="AW1712" i="2" s="1"/>
  <c r="AW1713" i="2" s="1"/>
  <c r="AW1714" i="2" s="1"/>
  <c r="AW1715" i="2" s="1"/>
  <c r="AW1716" i="2" s="1"/>
  <c r="AW1717" i="2" s="1"/>
  <c r="AW1718" i="2" s="1"/>
  <c r="AW1719" i="2" s="1"/>
  <c r="AW1720" i="2" s="1"/>
  <c r="AW1721" i="2" s="1"/>
  <c r="AW1722" i="2" s="1"/>
  <c r="AW1723" i="2" s="1"/>
  <c r="AW1724" i="2" s="1"/>
  <c r="AW1725" i="2" s="1"/>
  <c r="AW1726" i="2" s="1"/>
  <c r="AW1727" i="2" s="1"/>
  <c r="AW1728" i="2" s="1"/>
  <c r="AW1729" i="2" s="1"/>
  <c r="AW1730" i="2" s="1"/>
  <c r="AW1731" i="2" s="1"/>
  <c r="AW1732" i="2" s="1"/>
  <c r="AW1733" i="2" s="1"/>
  <c r="AW1734" i="2" s="1"/>
  <c r="AW1735" i="2" s="1"/>
  <c r="AW1736" i="2" s="1"/>
  <c r="AW1737" i="2" s="1"/>
  <c r="AW1738" i="2" s="1"/>
  <c r="AW1739" i="2" s="1"/>
  <c r="AW1740" i="2" s="1"/>
  <c r="AW1741" i="2" s="1"/>
  <c r="AW1742" i="2" s="1"/>
  <c r="AW1743" i="2" s="1"/>
  <c r="AW1744" i="2" s="1"/>
  <c r="AW1745" i="2" s="1"/>
  <c r="AW1746" i="2" s="1"/>
  <c r="AW1747" i="2" s="1"/>
  <c r="AW1748" i="2" s="1"/>
  <c r="AW1749" i="2" s="1"/>
  <c r="AW1750" i="2" s="1"/>
  <c r="AW1751" i="2" s="1"/>
  <c r="AW1752" i="2" s="1"/>
  <c r="AW1753" i="2" s="1"/>
  <c r="AW1754" i="2" s="1"/>
  <c r="AW1755" i="2" s="1"/>
  <c r="AW1756" i="2" s="1"/>
  <c r="AW1757" i="2" s="1"/>
  <c r="AW1758" i="2" s="1"/>
  <c r="AW1759" i="2" s="1"/>
  <c r="AW1760" i="2" s="1"/>
  <c r="AW1761" i="2" s="1"/>
  <c r="AW1762" i="2" s="1"/>
  <c r="AW1763" i="2" s="1"/>
  <c r="AW1764" i="2" s="1"/>
  <c r="AW1765" i="2" s="1"/>
  <c r="AW1766" i="2" s="1"/>
  <c r="AW1767" i="2" s="1"/>
  <c r="AW1768" i="2" s="1"/>
  <c r="AW1769" i="2" s="1"/>
  <c r="AW1770" i="2" s="1"/>
  <c r="AW1771" i="2" s="1"/>
  <c r="AW1772" i="2" s="1"/>
  <c r="AW1773" i="2" s="1"/>
  <c r="AW1774" i="2" s="1"/>
  <c r="AW1775" i="2" s="1"/>
  <c r="AW1776" i="2" s="1"/>
  <c r="AW1777" i="2" s="1"/>
  <c r="AW1778" i="2" s="1"/>
  <c r="AW1779" i="2" s="1"/>
  <c r="AW1780" i="2" s="1"/>
  <c r="AW1781" i="2" s="1"/>
  <c r="AW1782" i="2" s="1"/>
  <c r="AW1783" i="2" s="1"/>
  <c r="AW1784" i="2" s="1"/>
  <c r="AW1785" i="2" s="1"/>
  <c r="AW1786" i="2" s="1"/>
  <c r="AW1787" i="2" s="1"/>
  <c r="AW1788" i="2" s="1"/>
  <c r="AW1789" i="2" s="1"/>
  <c r="AW1790" i="2" s="1"/>
  <c r="AW1791" i="2" s="1"/>
  <c r="AW1792" i="2" s="1"/>
  <c r="AW1793" i="2" s="1"/>
  <c r="AW1794" i="2" s="1"/>
  <c r="AW1795" i="2" s="1"/>
  <c r="AW1796" i="2" s="1"/>
  <c r="AW1797" i="2" s="1"/>
  <c r="AW1798" i="2" s="1"/>
  <c r="AW1799" i="2" s="1"/>
  <c r="AW1800" i="2" s="1"/>
  <c r="AW1801" i="2" s="1"/>
  <c r="AW1802" i="2" s="1"/>
  <c r="AW1803" i="2" s="1"/>
  <c r="AW1804" i="2" s="1"/>
  <c r="AW1805" i="2" s="1"/>
  <c r="AW1806" i="2" s="1"/>
  <c r="AW1807" i="2" s="1"/>
  <c r="AW1808" i="2" s="1"/>
  <c r="AW1809" i="2" s="1"/>
  <c r="AW1810" i="2" s="1"/>
  <c r="AW1811" i="2" s="1"/>
  <c r="AW1812" i="2" s="1"/>
  <c r="AW1813" i="2" s="1"/>
  <c r="AW1814" i="2" s="1"/>
  <c r="AW1815" i="2" s="1"/>
  <c r="AW1816" i="2" s="1"/>
  <c r="AW1817" i="2" s="1"/>
  <c r="AW1818" i="2" s="1"/>
  <c r="AW1819" i="2" s="1"/>
  <c r="AW1820" i="2" s="1"/>
  <c r="AW1821" i="2" s="1"/>
  <c r="AW1822" i="2" s="1"/>
  <c r="AW1823" i="2" s="1"/>
  <c r="AW1824" i="2" s="1"/>
  <c r="AW1825" i="2" s="1"/>
  <c r="AW1826" i="2" s="1"/>
  <c r="AW1827" i="2" s="1"/>
  <c r="AW1828" i="2" s="1"/>
  <c r="AW1829" i="2" s="1"/>
  <c r="AW1830" i="2" s="1"/>
  <c r="AW1831" i="2" s="1"/>
  <c r="AW1832" i="2" s="1"/>
  <c r="AW1833" i="2" s="1"/>
  <c r="AW1834" i="2" s="1"/>
  <c r="AW1835" i="2" s="1"/>
  <c r="AW1836" i="2" s="1"/>
  <c r="AW1837" i="2" s="1"/>
  <c r="AW1838" i="2" s="1"/>
  <c r="AW1839" i="2" s="1"/>
  <c r="AW1840" i="2" s="1"/>
  <c r="AW1841" i="2" s="1"/>
  <c r="AW1842" i="2" s="1"/>
  <c r="AW1843" i="2" s="1"/>
  <c r="AW1844" i="2" s="1"/>
  <c r="AW1845" i="2" s="1"/>
  <c r="AW1846" i="2" s="1"/>
  <c r="AW1847" i="2" s="1"/>
  <c r="AW1848" i="2" s="1"/>
  <c r="AW1849" i="2" s="1"/>
  <c r="AW1850" i="2" s="1"/>
  <c r="AW1851" i="2" s="1"/>
  <c r="AW1852" i="2" s="1"/>
  <c r="AW1853" i="2" s="1"/>
  <c r="AW1854" i="2" s="1"/>
  <c r="AW1855" i="2" s="1"/>
  <c r="AW1856" i="2" s="1"/>
  <c r="AW1857" i="2" s="1"/>
  <c r="AW1858" i="2" s="1"/>
  <c r="AW1859" i="2" s="1"/>
  <c r="AW1860" i="2" s="1"/>
  <c r="AW1861" i="2" s="1"/>
  <c r="AW1862" i="2" s="1"/>
  <c r="AW1863" i="2" s="1"/>
  <c r="AW1864" i="2" s="1"/>
  <c r="AW1865" i="2" s="1"/>
  <c r="AW1866" i="2" s="1"/>
  <c r="AW1867" i="2" s="1"/>
  <c r="AW1868" i="2" s="1"/>
  <c r="AW1869" i="2" s="1"/>
  <c r="AW1870" i="2" s="1"/>
  <c r="AW1871" i="2" s="1"/>
  <c r="AW1872" i="2" s="1"/>
  <c r="AW1873" i="2" s="1"/>
  <c r="AW1874" i="2" s="1"/>
  <c r="AW1875" i="2" s="1"/>
  <c r="AW1876" i="2" s="1"/>
  <c r="AW1877" i="2" s="1"/>
  <c r="AW1878" i="2" s="1"/>
  <c r="AW1879" i="2" s="1"/>
  <c r="AW1880" i="2" s="1"/>
  <c r="AW1881" i="2" s="1"/>
  <c r="AW1882" i="2" s="1"/>
  <c r="AW1883" i="2" s="1"/>
  <c r="AW1884" i="2" s="1"/>
  <c r="AW1885" i="2" s="1"/>
  <c r="AW1886" i="2" s="1"/>
  <c r="AW1887" i="2" s="1"/>
  <c r="AW1888" i="2" s="1"/>
  <c r="AW1889" i="2" s="1"/>
  <c r="AW1890" i="2" s="1"/>
  <c r="AW1891" i="2" s="1"/>
  <c r="AW1892" i="2" s="1"/>
  <c r="AW1893" i="2" s="1"/>
  <c r="AW1894" i="2" s="1"/>
  <c r="AW1895" i="2" s="1"/>
  <c r="AW1896" i="2" s="1"/>
  <c r="AW1897" i="2" s="1"/>
  <c r="AW1898" i="2" s="1"/>
  <c r="AW1899" i="2" s="1"/>
  <c r="AW1900" i="2" s="1"/>
  <c r="AW1901" i="2" s="1"/>
  <c r="AW1902" i="2" s="1"/>
  <c r="AW1903" i="2" s="1"/>
  <c r="AW1904" i="2" s="1"/>
  <c r="AW1905" i="2" s="1"/>
  <c r="AW1906" i="2" s="1"/>
  <c r="AW1907" i="2" s="1"/>
  <c r="AW1908" i="2" s="1"/>
  <c r="AW1909" i="2" s="1"/>
  <c r="AW1910" i="2" s="1"/>
  <c r="AW1911" i="2" s="1"/>
  <c r="AW1912" i="2" s="1"/>
  <c r="AW1913" i="2" s="1"/>
  <c r="AW1914" i="2" s="1"/>
  <c r="AW1915" i="2" s="1"/>
  <c r="AW1916" i="2" s="1"/>
  <c r="AW1917" i="2" s="1"/>
  <c r="AW1918" i="2" s="1"/>
  <c r="AW1919" i="2" s="1"/>
  <c r="AW1920" i="2" s="1"/>
  <c r="AW1921" i="2" s="1"/>
  <c r="AW1922" i="2" s="1"/>
  <c r="AW1923" i="2" s="1"/>
  <c r="AW1924" i="2" s="1"/>
  <c r="AW1925" i="2" s="1"/>
  <c r="AW1926" i="2" s="1"/>
  <c r="AW1927" i="2" s="1"/>
  <c r="AW1928" i="2" s="1"/>
  <c r="AW1929" i="2" s="1"/>
  <c r="AW1930" i="2" s="1"/>
  <c r="AW1931" i="2" s="1"/>
  <c r="AW1932" i="2" s="1"/>
  <c r="AW1933" i="2" s="1"/>
  <c r="AW1934" i="2" s="1"/>
  <c r="AW1935" i="2" s="1"/>
  <c r="AW1936" i="2" s="1"/>
  <c r="AW1937" i="2" s="1"/>
  <c r="AW1938" i="2" s="1"/>
  <c r="AW1939" i="2" s="1"/>
  <c r="AW1940" i="2" s="1"/>
  <c r="AW1941" i="2" s="1"/>
  <c r="AW1942" i="2" s="1"/>
  <c r="AW1943" i="2" s="1"/>
  <c r="AW1944" i="2" s="1"/>
  <c r="AW1945" i="2" s="1"/>
  <c r="AW1946" i="2" s="1"/>
  <c r="AW1947" i="2" s="1"/>
  <c r="AW1948" i="2" s="1"/>
  <c r="AW1949" i="2" s="1"/>
  <c r="AW1950" i="2" s="1"/>
  <c r="AW1951" i="2" s="1"/>
  <c r="AW1952" i="2" s="1"/>
  <c r="AW1953" i="2" s="1"/>
  <c r="AW1954" i="2" s="1"/>
  <c r="AW1955" i="2" s="1"/>
  <c r="AW1956" i="2" s="1"/>
  <c r="AW1957" i="2" s="1"/>
  <c r="AW1958" i="2" s="1"/>
  <c r="AW1959" i="2" s="1"/>
  <c r="AW1960" i="2" s="1"/>
  <c r="AW1961" i="2" s="1"/>
  <c r="AW1962" i="2" s="1"/>
  <c r="AW1963" i="2" s="1"/>
  <c r="AW1964" i="2" s="1"/>
  <c r="AW1965" i="2" s="1"/>
  <c r="AW1966" i="2" s="1"/>
  <c r="AW1967" i="2" s="1"/>
  <c r="AW1968" i="2" s="1"/>
  <c r="AW1969" i="2" s="1"/>
  <c r="AW1970" i="2" s="1"/>
  <c r="AW1971" i="2" s="1"/>
  <c r="AW1972" i="2" s="1"/>
  <c r="AW1973" i="2" s="1"/>
  <c r="AW1974" i="2" s="1"/>
  <c r="AW1975" i="2" s="1"/>
  <c r="AW1976" i="2" s="1"/>
  <c r="AW1977" i="2" s="1"/>
  <c r="AW1978" i="2" s="1"/>
  <c r="AW1979" i="2" s="1"/>
  <c r="AW1980" i="2" s="1"/>
  <c r="AW1981" i="2" s="1"/>
  <c r="AW1982" i="2" s="1"/>
  <c r="AW1983" i="2" s="1"/>
  <c r="AW1984" i="2" s="1"/>
  <c r="AW1985" i="2" s="1"/>
  <c r="AW1986" i="2" s="1"/>
  <c r="AW1987" i="2" s="1"/>
  <c r="AW1988" i="2" s="1"/>
  <c r="AW1989" i="2" s="1"/>
  <c r="AW1990" i="2" s="1"/>
  <c r="AW1991" i="2" s="1"/>
  <c r="AW1992" i="2" s="1"/>
  <c r="AW1993" i="2" s="1"/>
  <c r="AW1994" i="2" s="1"/>
  <c r="AW1995" i="2" s="1"/>
  <c r="AW1996" i="2" s="1"/>
  <c r="AW1997" i="2" s="1"/>
  <c r="AW1998" i="2" s="1"/>
  <c r="AW1999" i="2" s="1"/>
  <c r="AW2000" i="2" s="1"/>
  <c r="AW2001" i="2" s="1"/>
  <c r="AW2002" i="2" s="1"/>
  <c r="AW2003" i="2" s="1"/>
  <c r="AW2004" i="2" s="1"/>
  <c r="AW2005" i="2" s="1"/>
  <c r="AW2006" i="2" s="1"/>
  <c r="AW2007" i="2" s="1"/>
  <c r="AW2008" i="2" s="1"/>
  <c r="AW2009" i="2" s="1"/>
  <c r="AW2010" i="2" s="1"/>
  <c r="AW2011" i="2" s="1"/>
  <c r="AW2012" i="2" s="1"/>
  <c r="AW2013" i="2" s="1"/>
  <c r="AW2014" i="2" s="1"/>
  <c r="AW2015" i="2" s="1"/>
  <c r="AW2016" i="2" s="1"/>
  <c r="AW2017" i="2" s="1"/>
  <c r="AW2018" i="2" s="1"/>
  <c r="AW2019" i="2" s="1"/>
  <c r="AW2020" i="2" s="1"/>
  <c r="AW2021" i="2" s="1"/>
  <c r="AW2022" i="2" s="1"/>
  <c r="AW2023" i="2" s="1"/>
  <c r="AW2024" i="2" s="1"/>
  <c r="AW2025" i="2" s="1"/>
  <c r="AW2026" i="2" s="1"/>
  <c r="AW2027" i="2" s="1"/>
  <c r="AW2028" i="2" s="1"/>
  <c r="AW2029" i="2" s="1"/>
  <c r="AW2030" i="2" s="1"/>
  <c r="AW2031" i="2" s="1"/>
  <c r="AW2032" i="2" s="1"/>
  <c r="AW2033" i="2" s="1"/>
  <c r="AW2034" i="2" s="1"/>
  <c r="AW2035" i="2" s="1"/>
  <c r="AW2036" i="2" s="1"/>
  <c r="AW2037" i="2" s="1"/>
  <c r="AW2038" i="2" s="1"/>
  <c r="AW2039" i="2" s="1"/>
  <c r="AW2040" i="2" s="1"/>
  <c r="AW2041" i="2" s="1"/>
  <c r="AW2042" i="2" s="1"/>
  <c r="AW2043" i="2" s="1"/>
  <c r="AW2044" i="2" s="1"/>
  <c r="AW2045" i="2" s="1"/>
  <c r="AW2046" i="2" s="1"/>
  <c r="AW2047" i="2" s="1"/>
  <c r="AW2048" i="2" s="1"/>
  <c r="AW2049" i="2" s="1"/>
  <c r="AW2050" i="2" s="1"/>
  <c r="AW2051" i="2" s="1"/>
  <c r="AW2052" i="2" s="1"/>
  <c r="AW2053" i="2" s="1"/>
  <c r="AW2054" i="2" s="1"/>
  <c r="AW2055" i="2" s="1"/>
  <c r="AW2056" i="2" s="1"/>
  <c r="AW2057" i="2" s="1"/>
  <c r="AW2058" i="2" s="1"/>
  <c r="AW2059" i="2" s="1"/>
  <c r="AW2060" i="2" s="1"/>
  <c r="AW2061" i="2" s="1"/>
  <c r="AW2062" i="2" s="1"/>
  <c r="AW2063" i="2" s="1"/>
  <c r="AW2064" i="2" s="1"/>
  <c r="AW2065" i="2" s="1"/>
  <c r="AW2066" i="2" s="1"/>
  <c r="AW2067" i="2" s="1"/>
  <c r="AW2068" i="2" s="1"/>
  <c r="AW2069" i="2" s="1"/>
  <c r="AW2070" i="2" s="1"/>
  <c r="AW2071" i="2" s="1"/>
  <c r="AW2072" i="2" s="1"/>
  <c r="AW2073" i="2" s="1"/>
  <c r="AW2074" i="2" s="1"/>
  <c r="AW2075" i="2" s="1"/>
  <c r="AW2076" i="2" s="1"/>
  <c r="AW2077" i="2" s="1"/>
  <c r="AW2078" i="2" s="1"/>
  <c r="AW2079" i="2" s="1"/>
  <c r="AW2080" i="2" s="1"/>
  <c r="AW2081" i="2" s="1"/>
  <c r="AW2082" i="2" s="1"/>
  <c r="AW2083" i="2" s="1"/>
  <c r="AW2084" i="2" s="1"/>
  <c r="AW2085" i="2" s="1"/>
  <c r="AW2086" i="2" s="1"/>
  <c r="AW2087" i="2" s="1"/>
  <c r="AW2088" i="2" s="1"/>
  <c r="AW2089" i="2" s="1"/>
  <c r="AW2090" i="2" s="1"/>
  <c r="AW2091" i="2" s="1"/>
  <c r="AW2092" i="2" s="1"/>
  <c r="AW2093" i="2" s="1"/>
  <c r="AW2094" i="2" s="1"/>
  <c r="AW2095" i="2" s="1"/>
  <c r="AW2096" i="2" s="1"/>
  <c r="AW2097" i="2" s="1"/>
  <c r="AW2098" i="2" s="1"/>
  <c r="AW2099" i="2" s="1"/>
  <c r="AW2100" i="2" s="1"/>
  <c r="AW2101" i="2" s="1"/>
  <c r="AW2102" i="2" s="1"/>
  <c r="AW2103" i="2" s="1"/>
  <c r="AW2104" i="2" s="1"/>
  <c r="AW2105" i="2" s="1"/>
  <c r="AW2106" i="2" s="1"/>
  <c r="AW2107" i="2" s="1"/>
  <c r="AW2108" i="2" s="1"/>
  <c r="AW2109" i="2" s="1"/>
  <c r="AW2110" i="2" s="1"/>
  <c r="AW2111" i="2" s="1"/>
  <c r="AW2112" i="2" s="1"/>
  <c r="AW2113" i="2" s="1"/>
  <c r="AW2114" i="2" s="1"/>
  <c r="AW2115" i="2" s="1"/>
  <c r="AW2116" i="2" s="1"/>
  <c r="AW2117" i="2" s="1"/>
  <c r="AW2118" i="2" s="1"/>
  <c r="AW2119" i="2" s="1"/>
  <c r="AW2120" i="2" s="1"/>
  <c r="AW2121" i="2" s="1"/>
  <c r="AW2122" i="2" s="1"/>
  <c r="AW2123" i="2" s="1"/>
  <c r="AW2124" i="2" s="1"/>
  <c r="AW2125" i="2" s="1"/>
  <c r="AW2126" i="2" s="1"/>
  <c r="AW2127" i="2" s="1"/>
  <c r="AW2128" i="2" s="1"/>
  <c r="AW2129" i="2" s="1"/>
  <c r="AW2130" i="2" s="1"/>
  <c r="AW2131" i="2" s="1"/>
  <c r="AW2132" i="2" s="1"/>
  <c r="AW2133" i="2" s="1"/>
  <c r="AW2134" i="2" s="1"/>
  <c r="AW2135" i="2" s="1"/>
  <c r="AW2136" i="2" s="1"/>
  <c r="AW2137" i="2" s="1"/>
  <c r="AW2138" i="2" s="1"/>
  <c r="AW2139" i="2" s="1"/>
  <c r="AW2140" i="2" s="1"/>
  <c r="AW2141" i="2" s="1"/>
  <c r="AW2142" i="2" s="1"/>
  <c r="AW2143" i="2" s="1"/>
  <c r="AW2144" i="2" s="1"/>
  <c r="AW2145" i="2" s="1"/>
  <c r="AW2146" i="2" s="1"/>
  <c r="AW2147" i="2" s="1"/>
  <c r="AW2148" i="2" s="1"/>
  <c r="AW2149" i="2" s="1"/>
  <c r="AW2150" i="2" s="1"/>
  <c r="AW2151" i="2" s="1"/>
  <c r="AW2152" i="2" s="1"/>
  <c r="AW2153" i="2" s="1"/>
  <c r="AW2154" i="2" s="1"/>
  <c r="AW2155" i="2" s="1"/>
  <c r="AW2156" i="2" s="1"/>
  <c r="AW2157" i="2" s="1"/>
  <c r="AW2158" i="2" s="1"/>
  <c r="AW2159" i="2" s="1"/>
  <c r="AW2160" i="2" s="1"/>
  <c r="AW2161" i="2" s="1"/>
  <c r="AW2162" i="2" s="1"/>
  <c r="AW2163" i="2" s="1"/>
  <c r="AW2164" i="2" s="1"/>
  <c r="AW2165" i="2" s="1"/>
  <c r="AW2166" i="2" s="1"/>
  <c r="AW2167" i="2" s="1"/>
  <c r="AW2168" i="2" s="1"/>
  <c r="AW2169" i="2" s="1"/>
  <c r="AW2170" i="2" s="1"/>
  <c r="AW2171" i="2" s="1"/>
  <c r="AW2172" i="2" s="1"/>
  <c r="AW2173" i="2" s="1"/>
  <c r="AW2174" i="2" s="1"/>
  <c r="AW2175" i="2" s="1"/>
  <c r="AW2176" i="2" s="1"/>
  <c r="AW2177" i="2" s="1"/>
  <c r="AW2178" i="2" s="1"/>
  <c r="AW2179" i="2" s="1"/>
  <c r="AW2180" i="2" s="1"/>
  <c r="AW2181" i="2" s="1"/>
  <c r="AW2182" i="2" s="1"/>
  <c r="AW2183" i="2" s="1"/>
  <c r="AW2184" i="2" s="1"/>
  <c r="AW2185" i="2" s="1"/>
  <c r="AW2186" i="2" s="1"/>
  <c r="AW2187" i="2" s="1"/>
  <c r="AW2188" i="2" s="1"/>
  <c r="AW2189" i="2" s="1"/>
  <c r="AW2190" i="2" s="1"/>
  <c r="AW2191" i="2" s="1"/>
  <c r="AW2192" i="2" s="1"/>
  <c r="AW2193" i="2" s="1"/>
  <c r="AW2194" i="2" s="1"/>
  <c r="AW2195" i="2" s="1"/>
  <c r="AW2196" i="2" s="1"/>
  <c r="AW2197" i="2" s="1"/>
  <c r="AW2198" i="2" s="1"/>
  <c r="AW2199" i="2" s="1"/>
  <c r="AW2200" i="2" s="1"/>
  <c r="AW2201" i="2" s="1"/>
  <c r="AW2202" i="2" s="1"/>
  <c r="AW2203" i="2" s="1"/>
  <c r="AW2204" i="2" s="1"/>
  <c r="AW2205" i="2" s="1"/>
  <c r="AW2206" i="2" s="1"/>
  <c r="AW2207" i="2" s="1"/>
  <c r="AW2208" i="2" s="1"/>
  <c r="AW2209" i="2" s="1"/>
  <c r="AW2210" i="2" s="1"/>
  <c r="AW2211" i="2" s="1"/>
  <c r="AW2212" i="2" s="1"/>
  <c r="AW2213" i="2" s="1"/>
  <c r="AW2214" i="2" s="1"/>
  <c r="AW2215" i="2" s="1"/>
  <c r="AW2216" i="2" s="1"/>
  <c r="AW2217" i="2" s="1"/>
  <c r="AW2218" i="2" s="1"/>
  <c r="AW2219" i="2" s="1"/>
  <c r="AW2220" i="2" s="1"/>
  <c r="AW2221" i="2" s="1"/>
  <c r="AW2222" i="2" s="1"/>
  <c r="AW2223" i="2" s="1"/>
  <c r="AW2224" i="2" s="1"/>
  <c r="AW2225" i="2" s="1"/>
  <c r="AW2226" i="2" s="1"/>
  <c r="AW2227" i="2" s="1"/>
  <c r="AW2228" i="2" s="1"/>
  <c r="AW2229" i="2" s="1"/>
  <c r="AW2230" i="2" s="1"/>
  <c r="AW2231" i="2" s="1"/>
  <c r="AW2232" i="2" s="1"/>
  <c r="AW2233" i="2" s="1"/>
  <c r="AW2234" i="2" s="1"/>
  <c r="AW2235" i="2" s="1"/>
  <c r="AW2236" i="2" s="1"/>
  <c r="AW2237" i="2" s="1"/>
  <c r="AW2238" i="2" s="1"/>
  <c r="AW2239" i="2" s="1"/>
  <c r="AW2240" i="2" s="1"/>
  <c r="AW2241" i="2" s="1"/>
  <c r="AW2242" i="2" s="1"/>
  <c r="AW2243" i="2" s="1"/>
  <c r="AW2244" i="2" s="1"/>
  <c r="AW2245" i="2" s="1"/>
  <c r="AW2246" i="2" s="1"/>
  <c r="AW2247" i="2" s="1"/>
  <c r="AW2248" i="2" s="1"/>
  <c r="AW2249" i="2" s="1"/>
  <c r="AW2250" i="2" s="1"/>
  <c r="AW2251" i="2" s="1"/>
  <c r="AW2252" i="2" s="1"/>
  <c r="AW2253" i="2" s="1"/>
  <c r="AW2254" i="2" s="1"/>
  <c r="AW2255" i="2" s="1"/>
  <c r="AW2256" i="2" s="1"/>
  <c r="AW2257" i="2" s="1"/>
  <c r="AW2258" i="2" s="1"/>
  <c r="AW2259" i="2" s="1"/>
  <c r="AW2260" i="2" s="1"/>
  <c r="AW2261" i="2" s="1"/>
  <c r="AW2262" i="2" s="1"/>
  <c r="AW2263" i="2" s="1"/>
  <c r="AW2264" i="2" s="1"/>
  <c r="AW2265" i="2" s="1"/>
  <c r="AW2266" i="2" s="1"/>
  <c r="AW2267" i="2" s="1"/>
  <c r="AW2268" i="2" s="1"/>
  <c r="AW2269" i="2" s="1"/>
  <c r="AW2270" i="2" s="1"/>
  <c r="AW2271" i="2" s="1"/>
  <c r="AW2272" i="2" s="1"/>
  <c r="AW2273" i="2" s="1"/>
  <c r="AW2274" i="2" s="1"/>
  <c r="AW2275" i="2" s="1"/>
  <c r="AW2276" i="2" s="1"/>
  <c r="AW2277" i="2" s="1"/>
  <c r="AW2278" i="2" s="1"/>
  <c r="AW2279" i="2" s="1"/>
  <c r="AW2280" i="2" s="1"/>
  <c r="AW2281" i="2" s="1"/>
  <c r="AW2282" i="2" s="1"/>
  <c r="AW2283" i="2" s="1"/>
  <c r="AW2284" i="2" s="1"/>
  <c r="AW2285" i="2" s="1"/>
  <c r="AW2286" i="2" s="1"/>
  <c r="AW2287" i="2" s="1"/>
  <c r="AW2288" i="2" s="1"/>
  <c r="AW2289" i="2" s="1"/>
  <c r="AW2290" i="2" s="1"/>
  <c r="AW2291" i="2" s="1"/>
  <c r="AW2292" i="2" s="1"/>
  <c r="AW2293" i="2" s="1"/>
  <c r="AW2294" i="2" s="1"/>
  <c r="AW2295" i="2" s="1"/>
  <c r="AW2296" i="2" s="1"/>
  <c r="AW2297" i="2" s="1"/>
  <c r="AW2298" i="2" s="1"/>
  <c r="AW2299" i="2" s="1"/>
  <c r="AW2300" i="2" s="1"/>
  <c r="AW2301" i="2" s="1"/>
  <c r="AW2302" i="2" s="1"/>
  <c r="AW2303" i="2" s="1"/>
  <c r="AW2304" i="2" s="1"/>
  <c r="AW2305" i="2" s="1"/>
  <c r="AW2306" i="2" s="1"/>
  <c r="AW2307" i="2" s="1"/>
  <c r="AW2308" i="2" s="1"/>
  <c r="AW2309" i="2" s="1"/>
  <c r="AW2310" i="2" s="1"/>
  <c r="AW2311" i="2" s="1"/>
  <c r="AW2312" i="2" s="1"/>
  <c r="AW2313" i="2" s="1"/>
  <c r="AW2314" i="2" s="1"/>
  <c r="AW2315" i="2" s="1"/>
  <c r="AW2316" i="2" s="1"/>
  <c r="AW2317" i="2" s="1"/>
  <c r="AW2318" i="2" s="1"/>
  <c r="AW2319" i="2" s="1"/>
  <c r="AW2320" i="2" s="1"/>
  <c r="AW2321" i="2" s="1"/>
  <c r="AW2322" i="2" s="1"/>
  <c r="AW2323" i="2" s="1"/>
  <c r="AW2324" i="2" s="1"/>
  <c r="AW2325" i="2" s="1"/>
  <c r="AW2326" i="2" s="1"/>
  <c r="AW2327" i="2" s="1"/>
  <c r="AW2328" i="2" s="1"/>
  <c r="AW2329" i="2" s="1"/>
  <c r="AW2330" i="2" s="1"/>
  <c r="AW2331" i="2" s="1"/>
  <c r="AW2332" i="2" s="1"/>
  <c r="AW2333" i="2" s="1"/>
  <c r="AW2334" i="2" s="1"/>
  <c r="AW2335" i="2" s="1"/>
  <c r="AW2336" i="2" s="1"/>
  <c r="AW2337" i="2" s="1"/>
  <c r="AW2338" i="2" s="1"/>
  <c r="AW2339" i="2" s="1"/>
  <c r="AW2340" i="2" s="1"/>
  <c r="AW2341" i="2" s="1"/>
  <c r="AW2342" i="2" s="1"/>
  <c r="AW2343" i="2" s="1"/>
  <c r="AW2344" i="2" s="1"/>
  <c r="AW2345" i="2" s="1"/>
  <c r="AW2346" i="2" s="1"/>
  <c r="AW2347" i="2" s="1"/>
  <c r="AW2348" i="2" s="1"/>
  <c r="AW2349" i="2" s="1"/>
  <c r="AW2350" i="2" s="1"/>
  <c r="AW2351" i="2" s="1"/>
  <c r="AW2352" i="2" s="1"/>
  <c r="AW2353" i="2" s="1"/>
  <c r="AW2354" i="2" s="1"/>
  <c r="AW2355" i="2" s="1"/>
  <c r="AW2356" i="2" s="1"/>
  <c r="AW2357" i="2" s="1"/>
  <c r="AW2358" i="2" s="1"/>
  <c r="AW2359" i="2" s="1"/>
  <c r="AW2360" i="2" s="1"/>
  <c r="AW2361" i="2" s="1"/>
  <c r="AW2362" i="2" s="1"/>
  <c r="AW2363" i="2" s="1"/>
  <c r="AW2364" i="2" s="1"/>
  <c r="AW2365" i="2" s="1"/>
  <c r="AW2366" i="2" s="1"/>
  <c r="AW2367" i="2" s="1"/>
  <c r="AW2368" i="2" s="1"/>
  <c r="AW2369" i="2" s="1"/>
  <c r="AW2370" i="2" s="1"/>
  <c r="AW2371" i="2" s="1"/>
  <c r="AW2372" i="2" s="1"/>
  <c r="AW2373" i="2" s="1"/>
  <c r="AW2374" i="2" s="1"/>
  <c r="AW2375" i="2" s="1"/>
  <c r="AW2376" i="2" s="1"/>
  <c r="AW2377" i="2" s="1"/>
  <c r="AW2378" i="2" s="1"/>
  <c r="AW2379" i="2" s="1"/>
  <c r="AW2380" i="2" s="1"/>
  <c r="AW2381" i="2" s="1"/>
  <c r="AW2382" i="2" s="1"/>
  <c r="AW2383" i="2" s="1"/>
  <c r="AW2384" i="2" s="1"/>
  <c r="AW2385" i="2" s="1"/>
  <c r="AW2386" i="2" s="1"/>
  <c r="AW2387" i="2" s="1"/>
  <c r="AW2388" i="2" s="1"/>
  <c r="AW2389" i="2" s="1"/>
  <c r="AW2390" i="2" s="1"/>
  <c r="AW2391" i="2" s="1"/>
  <c r="AW2392" i="2" s="1"/>
  <c r="AW2393" i="2" s="1"/>
  <c r="AW2394" i="2" s="1"/>
  <c r="AW2395" i="2" s="1"/>
  <c r="AW2396" i="2" s="1"/>
  <c r="AW2397" i="2" s="1"/>
  <c r="AW2398" i="2" s="1"/>
  <c r="AW2399" i="2" s="1"/>
  <c r="AW2400" i="2" s="1"/>
  <c r="AW2401" i="2" s="1"/>
  <c r="AW2402" i="2" s="1"/>
  <c r="AW2403" i="2" s="1"/>
  <c r="AW2404" i="2" s="1"/>
  <c r="AW2405" i="2" s="1"/>
  <c r="AW2406" i="2" s="1"/>
  <c r="AW2407" i="2" s="1"/>
  <c r="AW2408" i="2" s="1"/>
  <c r="AW2409" i="2" s="1"/>
  <c r="AW2410" i="2" s="1"/>
  <c r="AW2411" i="2" s="1"/>
  <c r="AW2412" i="2" s="1"/>
  <c r="AW2413" i="2" s="1"/>
  <c r="AW2414" i="2" s="1"/>
  <c r="AW2415" i="2" s="1"/>
  <c r="AW2416" i="2" s="1"/>
  <c r="AW2417" i="2" s="1"/>
  <c r="AW2418" i="2" s="1"/>
  <c r="AW2419" i="2" s="1"/>
  <c r="AW2420" i="2" s="1"/>
  <c r="AW2421" i="2" s="1"/>
  <c r="AW2422" i="2" s="1"/>
  <c r="AW2423" i="2" s="1"/>
  <c r="AW2424" i="2" s="1"/>
  <c r="AW2425" i="2" s="1"/>
  <c r="AW2426" i="2" s="1"/>
  <c r="AW2427" i="2" s="1"/>
  <c r="AW2428" i="2" s="1"/>
  <c r="AW2429" i="2" s="1"/>
  <c r="AW2430" i="2" s="1"/>
  <c r="AW2431" i="2" s="1"/>
  <c r="AW2432" i="2" s="1"/>
  <c r="AW2433" i="2" s="1"/>
  <c r="AW2434" i="2" s="1"/>
  <c r="AW2435" i="2" s="1"/>
  <c r="AW2436" i="2" s="1"/>
  <c r="AW2437" i="2" s="1"/>
  <c r="AW2438" i="2" s="1"/>
  <c r="AW2439" i="2" s="1"/>
  <c r="AW2440" i="2" s="1"/>
  <c r="AW2441" i="2" s="1"/>
  <c r="AW2442" i="2" s="1"/>
  <c r="AW2443" i="2" s="1"/>
  <c r="AW2444" i="2" s="1"/>
  <c r="AW2445" i="2" s="1"/>
  <c r="AW2446" i="2" s="1"/>
  <c r="AW2447" i="2" s="1"/>
  <c r="AW2448" i="2" s="1"/>
  <c r="AW2449" i="2" s="1"/>
  <c r="AW2450" i="2" s="1"/>
  <c r="AW2451" i="2" s="1"/>
  <c r="AW2452" i="2" s="1"/>
  <c r="AW2453" i="2" s="1"/>
  <c r="AW2454" i="2" s="1"/>
  <c r="AW2455" i="2" s="1"/>
  <c r="AW2456" i="2" s="1"/>
  <c r="AW2457" i="2" s="1"/>
  <c r="AW2458" i="2" s="1"/>
  <c r="AW2459" i="2" s="1"/>
  <c r="AW2460" i="2" s="1"/>
  <c r="AW2461" i="2" s="1"/>
  <c r="AW2462" i="2" s="1"/>
  <c r="AW2463" i="2" s="1"/>
  <c r="AW2464" i="2" s="1"/>
  <c r="AW2465" i="2" s="1"/>
  <c r="AW2466" i="2" s="1"/>
  <c r="AW2467" i="2" s="1"/>
  <c r="AW2468" i="2" s="1"/>
  <c r="AW2469" i="2" s="1"/>
  <c r="AW2470" i="2" s="1"/>
  <c r="AW2471" i="2" s="1"/>
  <c r="AW2472" i="2" s="1"/>
  <c r="AW2473" i="2" s="1"/>
  <c r="AW2474" i="2" s="1"/>
  <c r="AW2475" i="2" s="1"/>
  <c r="AW2476" i="2" s="1"/>
  <c r="AW2477" i="2" s="1"/>
  <c r="AW2478" i="2" s="1"/>
  <c r="AW2479" i="2" s="1"/>
  <c r="AW2480" i="2" s="1"/>
  <c r="AW2481" i="2" s="1"/>
  <c r="AW2482" i="2" s="1"/>
  <c r="AW2483" i="2" s="1"/>
  <c r="AW2484" i="2" s="1"/>
  <c r="AW2485" i="2" s="1"/>
  <c r="AW2486" i="2" s="1"/>
  <c r="AW2487" i="2" s="1"/>
  <c r="AW2488" i="2" s="1"/>
  <c r="AW2489" i="2" s="1"/>
  <c r="AW2490" i="2" s="1"/>
  <c r="AW2491" i="2" s="1"/>
  <c r="AW2492" i="2" s="1"/>
  <c r="AW2493" i="2" s="1"/>
  <c r="AW2494" i="2" s="1"/>
  <c r="AW2495" i="2" s="1"/>
  <c r="AW2496" i="2" s="1"/>
  <c r="AW2497" i="2" s="1"/>
  <c r="AW2498" i="2" s="1"/>
  <c r="AW2499" i="2" s="1"/>
  <c r="AW2500" i="2" s="1"/>
  <c r="AW2501" i="2" s="1"/>
  <c r="AW2502" i="2" s="1"/>
  <c r="AW2503" i="2" s="1"/>
  <c r="AW2504" i="2" s="1"/>
  <c r="AW2505" i="2" s="1"/>
  <c r="AW2506" i="2" s="1"/>
  <c r="AW2507" i="2" s="1"/>
  <c r="AW2508" i="2" s="1"/>
  <c r="AW2509" i="2" s="1"/>
  <c r="AW2510" i="2" s="1"/>
  <c r="AW2511" i="2" s="1"/>
  <c r="AW2512" i="2" s="1"/>
  <c r="AW2513" i="2" s="1"/>
  <c r="AW2514" i="2" s="1"/>
  <c r="AW2515" i="2" s="1"/>
  <c r="AW2516" i="2" s="1"/>
  <c r="AW2517" i="2" s="1"/>
  <c r="AW2518" i="2" s="1"/>
  <c r="AW2519" i="2" s="1"/>
  <c r="AW2520" i="2" s="1"/>
  <c r="AW2521" i="2" s="1"/>
  <c r="AW2522" i="2" s="1"/>
  <c r="AW2523" i="2" s="1"/>
  <c r="AW2524" i="2" s="1"/>
  <c r="AW2525" i="2" s="1"/>
  <c r="AW2526" i="2" s="1"/>
  <c r="AW2527" i="2" s="1"/>
  <c r="AW2528" i="2" s="1"/>
  <c r="AW2529" i="2" s="1"/>
  <c r="AW2530" i="2" s="1"/>
  <c r="AW2531" i="2" s="1"/>
  <c r="AW2532" i="2" s="1"/>
  <c r="AW2533" i="2" s="1"/>
  <c r="AW2534" i="2" s="1"/>
  <c r="AW2535" i="2" s="1"/>
  <c r="AW2536" i="2" s="1"/>
  <c r="AW2537" i="2" s="1"/>
  <c r="AW2538" i="2" s="1"/>
  <c r="AW2539" i="2" s="1"/>
  <c r="AW2540" i="2" s="1"/>
  <c r="AW2541" i="2" s="1"/>
  <c r="AW2542" i="2" s="1"/>
  <c r="AW2543" i="2" s="1"/>
  <c r="AW2544" i="2" s="1"/>
  <c r="AW2545" i="2" s="1"/>
  <c r="AW2546" i="2" s="1"/>
  <c r="AW2547" i="2" s="1"/>
  <c r="AW2548" i="2" s="1"/>
  <c r="AW2549" i="2" s="1"/>
  <c r="AW2550" i="2" s="1"/>
  <c r="AW2551" i="2" s="1"/>
  <c r="AW2552" i="2" s="1"/>
  <c r="AW2553" i="2" s="1"/>
  <c r="AW2554" i="2" s="1"/>
  <c r="AW2555" i="2" s="1"/>
  <c r="AW2556" i="2" s="1"/>
  <c r="AW2557" i="2" s="1"/>
  <c r="AW2558" i="2" s="1"/>
  <c r="AW2559" i="2" s="1"/>
  <c r="AW2560" i="2" s="1"/>
  <c r="AW2561" i="2" s="1"/>
  <c r="AW2562" i="2" s="1"/>
  <c r="AW2563" i="2" s="1"/>
  <c r="AW2564" i="2" s="1"/>
  <c r="AW2565" i="2" s="1"/>
  <c r="AW2566" i="2" s="1"/>
  <c r="AW2567" i="2" s="1"/>
  <c r="AW2568" i="2" s="1"/>
  <c r="AW2569" i="2" s="1"/>
  <c r="AW2570" i="2" s="1"/>
  <c r="AW2571" i="2" s="1"/>
  <c r="AW2572" i="2" s="1"/>
  <c r="AW2573" i="2" s="1"/>
  <c r="AW2574" i="2" s="1"/>
  <c r="AW2575" i="2" s="1"/>
  <c r="AW2576" i="2" s="1"/>
  <c r="AW2577" i="2" s="1"/>
  <c r="AW2578" i="2" s="1"/>
  <c r="AW2579" i="2" s="1"/>
  <c r="AW2580" i="2" s="1"/>
  <c r="AW2581" i="2" s="1"/>
  <c r="AW2582" i="2" s="1"/>
  <c r="AW2583" i="2" s="1"/>
  <c r="AW2584" i="2" s="1"/>
  <c r="AW2585" i="2" s="1"/>
  <c r="AW2586" i="2" s="1"/>
  <c r="AW2587" i="2" s="1"/>
  <c r="AW2588" i="2" s="1"/>
  <c r="AW2589" i="2" s="1"/>
  <c r="AW2590" i="2" s="1"/>
  <c r="AW2591" i="2" s="1"/>
  <c r="AW2592" i="2" s="1"/>
  <c r="AW2593" i="2" s="1"/>
  <c r="AW2594" i="2" s="1"/>
  <c r="AW2595" i="2" s="1"/>
  <c r="AW2596" i="2" s="1"/>
  <c r="AW2597" i="2" s="1"/>
  <c r="AW2598" i="2" s="1"/>
  <c r="AW2599" i="2" s="1"/>
  <c r="AW2600" i="2" s="1"/>
  <c r="AW2601" i="2" s="1"/>
  <c r="AW2602" i="2" s="1"/>
  <c r="AW2603" i="2" s="1"/>
  <c r="AW2604" i="2" s="1"/>
  <c r="AW2605" i="2" s="1"/>
  <c r="AW2606" i="2" s="1"/>
  <c r="AW2607" i="2" s="1"/>
  <c r="AW2608" i="2" s="1"/>
  <c r="AW2609" i="2" s="1"/>
  <c r="AW2610" i="2" s="1"/>
  <c r="AW2611" i="2" s="1"/>
  <c r="AW2612" i="2" s="1"/>
  <c r="AW2613" i="2" s="1"/>
  <c r="AW2614" i="2" s="1"/>
  <c r="AW2615" i="2" s="1"/>
  <c r="AW2616" i="2" s="1"/>
  <c r="AW2617" i="2" s="1"/>
  <c r="AW2618" i="2" s="1"/>
  <c r="AW2619" i="2" s="1"/>
  <c r="AW2620" i="2" s="1"/>
  <c r="AW2621" i="2" s="1"/>
  <c r="AW2622" i="2" s="1"/>
  <c r="AW2623" i="2" s="1"/>
  <c r="AW2624" i="2" s="1"/>
  <c r="AW2625" i="2" s="1"/>
  <c r="AW2626" i="2" s="1"/>
  <c r="AW2627" i="2" s="1"/>
  <c r="AW2628" i="2" s="1"/>
  <c r="AW2629" i="2" s="1"/>
  <c r="AW2630" i="2" s="1"/>
  <c r="AW2631" i="2" s="1"/>
  <c r="AW2632" i="2" s="1"/>
  <c r="AW2633" i="2" s="1"/>
  <c r="AW2634" i="2" s="1"/>
  <c r="AW2635" i="2" s="1"/>
  <c r="AW2636" i="2" s="1"/>
  <c r="AW2637" i="2" s="1"/>
  <c r="AW2638" i="2" s="1"/>
  <c r="AW2639" i="2" s="1"/>
  <c r="AW2640" i="2" s="1"/>
  <c r="AW2641" i="2" s="1"/>
  <c r="AW2642" i="2" s="1"/>
  <c r="AW2643" i="2" s="1"/>
  <c r="AW2644" i="2" s="1"/>
  <c r="AW2645" i="2" s="1"/>
  <c r="AW2646" i="2" s="1"/>
  <c r="AW2647" i="2" s="1"/>
  <c r="AW2648" i="2" s="1"/>
  <c r="AW2649" i="2" s="1"/>
  <c r="AW2650" i="2" s="1"/>
  <c r="AW2651" i="2" s="1"/>
  <c r="AW2652" i="2" s="1"/>
  <c r="AW2653" i="2" s="1"/>
  <c r="AW2654" i="2" s="1"/>
  <c r="AW2655" i="2" s="1"/>
  <c r="AW2656" i="2" s="1"/>
  <c r="AW2657" i="2" s="1"/>
  <c r="AW2658" i="2" s="1"/>
  <c r="AW2659" i="2" s="1"/>
  <c r="AW2660" i="2" s="1"/>
  <c r="AW2661" i="2" s="1"/>
  <c r="AW2662" i="2" s="1"/>
  <c r="AW2663" i="2" s="1"/>
  <c r="AW2664" i="2" s="1"/>
  <c r="AW2665" i="2" s="1"/>
  <c r="AW2666" i="2" s="1"/>
  <c r="AW2667" i="2" s="1"/>
  <c r="AW2668" i="2" s="1"/>
  <c r="AW2669" i="2" s="1"/>
  <c r="AW2670" i="2" s="1"/>
  <c r="AW2671" i="2" s="1"/>
  <c r="AW2672" i="2" s="1"/>
  <c r="AW2673" i="2" s="1"/>
  <c r="AW2674" i="2" s="1"/>
  <c r="AW2675" i="2" s="1"/>
  <c r="AW2676" i="2" s="1"/>
  <c r="AW2677" i="2" s="1"/>
  <c r="AW2678" i="2" s="1"/>
  <c r="AW2679" i="2" s="1"/>
  <c r="AW2680" i="2" s="1"/>
  <c r="AW2681" i="2" s="1"/>
  <c r="AW2682" i="2" s="1"/>
  <c r="AW2683" i="2" s="1"/>
  <c r="AW2684" i="2" s="1"/>
  <c r="AW2685" i="2" s="1"/>
  <c r="AW2686" i="2" s="1"/>
  <c r="AW2687" i="2" s="1"/>
  <c r="AW2688" i="2" s="1"/>
  <c r="AW2689" i="2" s="1"/>
  <c r="AW2690" i="2" s="1"/>
  <c r="AW2691" i="2" s="1"/>
  <c r="AW2692" i="2" s="1"/>
  <c r="AW2693" i="2" s="1"/>
  <c r="AW2694" i="2" s="1"/>
  <c r="AW2695" i="2" s="1"/>
  <c r="AW2696" i="2" s="1"/>
  <c r="AW2697" i="2" s="1"/>
  <c r="AW2698" i="2" s="1"/>
  <c r="AW2699" i="2" s="1"/>
  <c r="AW2700" i="2" s="1"/>
  <c r="AW2701" i="2" s="1"/>
  <c r="AW2702" i="2" s="1"/>
  <c r="AW2703" i="2" s="1"/>
  <c r="AW2704" i="2" s="1"/>
  <c r="AW2705" i="2" s="1"/>
  <c r="AW2706" i="2" s="1"/>
  <c r="AW2707" i="2" s="1"/>
  <c r="AW2708" i="2" s="1"/>
  <c r="AW2709" i="2" s="1"/>
  <c r="AW2710" i="2" s="1"/>
  <c r="AW2711" i="2" s="1"/>
  <c r="AW2712" i="2" s="1"/>
  <c r="AW2713" i="2" s="1"/>
  <c r="AW2714" i="2" s="1"/>
  <c r="AW2715" i="2" s="1"/>
  <c r="AW2716" i="2" s="1"/>
  <c r="AW2717" i="2" s="1"/>
  <c r="AW2718" i="2" s="1"/>
  <c r="AW2719" i="2" s="1"/>
  <c r="AW2720" i="2" s="1"/>
  <c r="AW2721" i="2" s="1"/>
  <c r="AW2722" i="2" s="1"/>
  <c r="AW2723" i="2" s="1"/>
  <c r="AW2724" i="2" s="1"/>
  <c r="AW2725" i="2" s="1"/>
  <c r="AW2726" i="2" s="1"/>
  <c r="AW2727" i="2" s="1"/>
  <c r="AW2728" i="2" s="1"/>
  <c r="AW2729" i="2" s="1"/>
  <c r="AW2730" i="2" s="1"/>
  <c r="AW2731" i="2" s="1"/>
  <c r="AW2732" i="2" s="1"/>
  <c r="AW2733" i="2" s="1"/>
  <c r="AW2734" i="2" s="1"/>
  <c r="AW2735" i="2" s="1"/>
  <c r="AW2736" i="2" s="1"/>
  <c r="AW2737" i="2" s="1"/>
  <c r="AW2738" i="2" s="1"/>
  <c r="AW2739" i="2" s="1"/>
  <c r="AW2740" i="2" s="1"/>
  <c r="AW2741" i="2" s="1"/>
  <c r="AW2742" i="2" s="1"/>
  <c r="AW2743" i="2" s="1"/>
  <c r="AW2744" i="2" s="1"/>
  <c r="AW2745" i="2" s="1"/>
  <c r="AW2746" i="2" s="1"/>
  <c r="AW2747" i="2" s="1"/>
  <c r="AW2748" i="2" s="1"/>
  <c r="AW2749" i="2" s="1"/>
  <c r="AW2750" i="2" s="1"/>
  <c r="AW2751" i="2" s="1"/>
  <c r="AW2752" i="2" s="1"/>
  <c r="AW2753" i="2" s="1"/>
  <c r="AW2754" i="2" s="1"/>
  <c r="AW2755" i="2" s="1"/>
  <c r="AW2756" i="2" s="1"/>
  <c r="AW2757" i="2" s="1"/>
  <c r="AW2758" i="2" s="1"/>
  <c r="AW2759" i="2" s="1"/>
  <c r="AW2760" i="2" s="1"/>
  <c r="AW2761" i="2" s="1"/>
  <c r="AW2762" i="2" s="1"/>
  <c r="AW2763" i="2" s="1"/>
  <c r="AW2764" i="2" s="1"/>
  <c r="AW2765" i="2" s="1"/>
  <c r="AW2766" i="2" s="1"/>
  <c r="AW2767" i="2" s="1"/>
  <c r="AW2768" i="2" s="1"/>
  <c r="AW2769" i="2" s="1"/>
  <c r="AW2770" i="2" s="1"/>
  <c r="AW2771" i="2" s="1"/>
  <c r="AW2772" i="2" s="1"/>
  <c r="AW2773" i="2" s="1"/>
  <c r="AW2774" i="2" s="1"/>
  <c r="AW2775" i="2" s="1"/>
  <c r="AW2776" i="2" s="1"/>
  <c r="AW2777" i="2" s="1"/>
  <c r="AW2778" i="2" s="1"/>
  <c r="AW2779" i="2" s="1"/>
  <c r="AW2780" i="2" s="1"/>
  <c r="AW2781" i="2" s="1"/>
  <c r="AW2782" i="2" s="1"/>
  <c r="AW2783" i="2" s="1"/>
  <c r="AW2784" i="2" s="1"/>
  <c r="AW2785" i="2" s="1"/>
  <c r="AW2786" i="2" s="1"/>
  <c r="AW2787" i="2" s="1"/>
  <c r="AW2788" i="2" s="1"/>
  <c r="AW2789" i="2" s="1"/>
  <c r="AW2790" i="2" s="1"/>
  <c r="AW2791" i="2" s="1"/>
  <c r="AW2792" i="2" s="1"/>
  <c r="AW2793" i="2" s="1"/>
  <c r="AW2794" i="2" s="1"/>
  <c r="AW2795" i="2" s="1"/>
  <c r="AW2796" i="2" s="1"/>
  <c r="AW2797" i="2" s="1"/>
  <c r="AW2798" i="2" s="1"/>
  <c r="AW2799" i="2" s="1"/>
  <c r="AW2800" i="2" s="1"/>
  <c r="AW2801" i="2" s="1"/>
  <c r="AW2802" i="2" s="1"/>
  <c r="AW2803" i="2" s="1"/>
  <c r="AW2804" i="2" s="1"/>
  <c r="AW2805" i="2" s="1"/>
  <c r="AW2806" i="2" s="1"/>
  <c r="AW2807" i="2" s="1"/>
  <c r="AW2808" i="2" s="1"/>
  <c r="AW2809" i="2" s="1"/>
  <c r="AW2810" i="2" s="1"/>
  <c r="AW2811" i="2" s="1"/>
  <c r="AW2812" i="2" s="1"/>
  <c r="AW2813" i="2" s="1"/>
  <c r="AW2814" i="2" s="1"/>
  <c r="AW2815" i="2" s="1"/>
  <c r="AW2816" i="2" s="1"/>
  <c r="AW2817" i="2" s="1"/>
  <c r="AW2818" i="2" s="1"/>
  <c r="AW2819" i="2" s="1"/>
  <c r="AW2820" i="2" s="1"/>
  <c r="AW2821" i="2" s="1"/>
  <c r="AW2822" i="2" s="1"/>
  <c r="AW2823" i="2" s="1"/>
  <c r="AW2824" i="2" s="1"/>
  <c r="AW2825" i="2" s="1"/>
  <c r="AW2826" i="2" s="1"/>
  <c r="AW2827" i="2" s="1"/>
  <c r="AW2828" i="2" s="1"/>
  <c r="AW2829" i="2" s="1"/>
  <c r="AW2830" i="2" s="1"/>
  <c r="AW2831" i="2" s="1"/>
  <c r="AW2832" i="2" s="1"/>
  <c r="AW2833" i="2" s="1"/>
  <c r="AW2834" i="2" s="1"/>
  <c r="AW2835" i="2" s="1"/>
  <c r="AW2836" i="2" s="1"/>
  <c r="AW2837" i="2" s="1"/>
  <c r="AW2838" i="2" s="1"/>
  <c r="AW2839" i="2" s="1"/>
  <c r="AW2840" i="2" s="1"/>
  <c r="AW2841" i="2" s="1"/>
  <c r="AW2842" i="2" s="1"/>
  <c r="AW2843" i="2" s="1"/>
  <c r="AW2844" i="2" s="1"/>
  <c r="AW2845" i="2" s="1"/>
  <c r="AW2846" i="2" s="1"/>
  <c r="AW2847" i="2" s="1"/>
  <c r="AW2848" i="2" s="1"/>
  <c r="AW2849" i="2" s="1"/>
  <c r="AW2850" i="2" s="1"/>
  <c r="AW2851" i="2" s="1"/>
  <c r="AW2852" i="2" s="1"/>
  <c r="AW2853" i="2" s="1"/>
  <c r="AW2854" i="2" s="1"/>
  <c r="AW2855" i="2" s="1"/>
  <c r="AW2856" i="2" s="1"/>
  <c r="AW2857" i="2" s="1"/>
  <c r="AW2858" i="2" s="1"/>
  <c r="AW2859" i="2" s="1"/>
  <c r="AW2860" i="2" s="1"/>
  <c r="AW2861" i="2" s="1"/>
  <c r="AW2862" i="2" s="1"/>
  <c r="AW2863" i="2" s="1"/>
  <c r="AW2864" i="2" s="1"/>
  <c r="AW2865" i="2" s="1"/>
  <c r="AW2866" i="2" s="1"/>
  <c r="AW2867" i="2" s="1"/>
  <c r="AW2868" i="2" s="1"/>
  <c r="AW2869" i="2" s="1"/>
  <c r="AW2870" i="2" s="1"/>
  <c r="AW2871" i="2" s="1"/>
  <c r="AW2872" i="2" s="1"/>
  <c r="AW2873" i="2" s="1"/>
  <c r="AW2874" i="2" s="1"/>
  <c r="AW2875" i="2" s="1"/>
  <c r="AW2876" i="2" s="1"/>
  <c r="AW2877" i="2" s="1"/>
  <c r="AW2878" i="2" s="1"/>
  <c r="AW2879" i="2" s="1"/>
  <c r="AW2880" i="2" s="1"/>
  <c r="AW2881" i="2" s="1"/>
  <c r="AW2882" i="2" s="1"/>
  <c r="AW2883" i="2" s="1"/>
  <c r="AW2884" i="2" s="1"/>
  <c r="AW2885" i="2" s="1"/>
  <c r="AW2886" i="2" s="1"/>
  <c r="AW2887" i="2" s="1"/>
  <c r="AW2888" i="2" s="1"/>
  <c r="AW2889" i="2" s="1"/>
  <c r="AW2890" i="2" s="1"/>
  <c r="AW2891" i="2" s="1"/>
  <c r="AW2892" i="2" s="1"/>
  <c r="AW2893" i="2" s="1"/>
  <c r="AW2894" i="2" s="1"/>
  <c r="AW2895" i="2" s="1"/>
  <c r="AW2896" i="2" s="1"/>
  <c r="AW2897" i="2" s="1"/>
  <c r="AW2898" i="2" s="1"/>
  <c r="AW2899" i="2" s="1"/>
  <c r="AW2900" i="2" s="1"/>
  <c r="AW2901" i="2" s="1"/>
  <c r="AW2902" i="2" s="1"/>
  <c r="AW2903" i="2" s="1"/>
  <c r="AW2904" i="2" s="1"/>
  <c r="AW2905" i="2" s="1"/>
  <c r="AW2906" i="2" s="1"/>
  <c r="AW2907" i="2" s="1"/>
  <c r="AW2908" i="2" s="1"/>
  <c r="AW2909" i="2" s="1"/>
  <c r="AW2910" i="2" s="1"/>
  <c r="AW2911" i="2" s="1"/>
  <c r="AW2912" i="2" s="1"/>
  <c r="AW2913" i="2" s="1"/>
  <c r="AW2914" i="2" s="1"/>
  <c r="AW2915" i="2" s="1"/>
  <c r="AW2916" i="2" s="1"/>
  <c r="AW2917" i="2" s="1"/>
  <c r="AW2918" i="2" s="1"/>
  <c r="AW2919" i="2" s="1"/>
  <c r="AW2920" i="2" s="1"/>
  <c r="AW2921" i="2" s="1"/>
  <c r="AW2922" i="2" s="1"/>
  <c r="AW2923" i="2" s="1"/>
  <c r="AW2924" i="2" s="1"/>
  <c r="AW2925" i="2" s="1"/>
  <c r="AW2926" i="2" s="1"/>
  <c r="AW2927" i="2" s="1"/>
  <c r="AW2928" i="2" s="1"/>
  <c r="AW2929" i="2" s="1"/>
  <c r="AW2930" i="2" s="1"/>
  <c r="AW2931" i="2" s="1"/>
  <c r="AW2932" i="2" s="1"/>
  <c r="AW2933" i="2" s="1"/>
  <c r="AW2934" i="2" s="1"/>
  <c r="AW2935" i="2" s="1"/>
  <c r="AW2936" i="2" s="1"/>
  <c r="AW2937" i="2" s="1"/>
  <c r="AW2938" i="2" s="1"/>
  <c r="AW2939" i="2" s="1"/>
  <c r="AW2940" i="2" s="1"/>
  <c r="AW2941" i="2" s="1"/>
  <c r="AW2942" i="2" s="1"/>
  <c r="AW2943" i="2" s="1"/>
  <c r="AW2944" i="2" s="1"/>
  <c r="AW2945" i="2" s="1"/>
  <c r="AW2946" i="2" s="1"/>
  <c r="AW2947" i="2" s="1"/>
  <c r="AW2948" i="2" s="1"/>
  <c r="AW2949" i="2" s="1"/>
  <c r="AW2950" i="2" s="1"/>
  <c r="AW2951" i="2" s="1"/>
  <c r="AW2952" i="2" s="1"/>
  <c r="AW2953" i="2" s="1"/>
  <c r="AW2954" i="2" s="1"/>
  <c r="AW2955" i="2" s="1"/>
  <c r="AW2956" i="2" s="1"/>
  <c r="AW2957" i="2" s="1"/>
  <c r="AW2958" i="2" s="1"/>
  <c r="AW2959" i="2" s="1"/>
  <c r="AW2960" i="2" s="1"/>
  <c r="AW2961" i="2" s="1"/>
  <c r="AW2962" i="2" s="1"/>
  <c r="AW2963" i="2" s="1"/>
  <c r="AW2964" i="2" s="1"/>
  <c r="AW2965" i="2" s="1"/>
  <c r="AW2966" i="2" s="1"/>
  <c r="AW2967" i="2" s="1"/>
  <c r="AW2968" i="2" s="1"/>
  <c r="AW2969" i="2" s="1"/>
  <c r="AW2970" i="2" s="1"/>
  <c r="AW2971" i="2" s="1"/>
  <c r="AW2972" i="2" s="1"/>
  <c r="AW2973" i="2" s="1"/>
  <c r="AW2974" i="2" s="1"/>
  <c r="AW2975" i="2" s="1"/>
  <c r="AW2976" i="2" s="1"/>
  <c r="AW2977" i="2" s="1"/>
  <c r="AW2978" i="2" s="1"/>
  <c r="AW2979" i="2" s="1"/>
  <c r="AW2980" i="2" s="1"/>
  <c r="AW2981" i="2" s="1"/>
  <c r="AW2982" i="2" s="1"/>
  <c r="AW2983" i="2" s="1"/>
  <c r="AW2984" i="2" s="1"/>
  <c r="AW2985" i="2" s="1"/>
  <c r="AW2986" i="2" s="1"/>
  <c r="AW2987" i="2" s="1"/>
  <c r="AW2988" i="2" s="1"/>
  <c r="AW2989" i="2" s="1"/>
  <c r="AW2990" i="2" s="1"/>
  <c r="AW2991" i="2" s="1"/>
  <c r="AW2992" i="2" s="1"/>
  <c r="AW2993" i="2" s="1"/>
  <c r="AW2994" i="2" s="1"/>
  <c r="AW2995" i="2" s="1"/>
  <c r="AW2996" i="2" s="1"/>
  <c r="AW2997" i="2" s="1"/>
  <c r="AW2998" i="2" s="1"/>
  <c r="AW2999" i="2" s="1"/>
  <c r="AW3000" i="2" s="1"/>
  <c r="AW3001" i="2" s="1"/>
  <c r="AW3002" i="2" s="1"/>
  <c r="AW3003" i="2" s="1"/>
  <c r="AW3004" i="2" s="1"/>
  <c r="AW3005" i="2" s="1"/>
  <c r="AW3006" i="2" s="1"/>
  <c r="AW3007" i="2" s="1"/>
  <c r="AW3008" i="2" s="1"/>
  <c r="AW3009" i="2" s="1"/>
  <c r="AW3010" i="2" s="1"/>
  <c r="AW3011" i="2" s="1"/>
  <c r="AW3012" i="2" s="1"/>
  <c r="AW3013" i="2" s="1"/>
  <c r="AW3014" i="2" s="1"/>
  <c r="AW3015" i="2" s="1"/>
  <c r="AW3016" i="2" s="1"/>
  <c r="AW3017" i="2" s="1"/>
  <c r="AW3018" i="2" s="1"/>
  <c r="AW3019" i="2" s="1"/>
  <c r="AW3020" i="2" s="1"/>
  <c r="AW3021" i="2" s="1"/>
  <c r="AW3022" i="2" s="1"/>
  <c r="AW3023" i="2" s="1"/>
  <c r="AW3024" i="2" s="1"/>
  <c r="AW3025" i="2" s="1"/>
  <c r="AW3026" i="2" s="1"/>
  <c r="AW3027" i="2" s="1"/>
  <c r="AW3028" i="2" s="1"/>
  <c r="AW3029" i="2" s="1"/>
  <c r="AW3030" i="2" s="1"/>
  <c r="AW3031" i="2" s="1"/>
  <c r="AW3032" i="2" s="1"/>
  <c r="AW3033" i="2" s="1"/>
  <c r="AW3034" i="2" s="1"/>
  <c r="AW3035" i="2" s="1"/>
  <c r="AW3036" i="2" s="1"/>
  <c r="AW3037" i="2" s="1"/>
  <c r="AW3038" i="2" s="1"/>
  <c r="AW3039" i="2" s="1"/>
  <c r="AW3040" i="2" s="1"/>
  <c r="AW3041" i="2" s="1"/>
  <c r="AW3042" i="2" s="1"/>
  <c r="AW3043" i="2" s="1"/>
  <c r="AW3044" i="2" s="1"/>
  <c r="AW3045" i="2" s="1"/>
  <c r="AW3046" i="2" s="1"/>
  <c r="AW3047" i="2" s="1"/>
  <c r="AW3048" i="2" s="1"/>
  <c r="AW3049" i="2" s="1"/>
  <c r="AW3050" i="2" s="1"/>
  <c r="AW3051" i="2" s="1"/>
  <c r="AW3052" i="2" s="1"/>
  <c r="AW3053" i="2" s="1"/>
  <c r="AW3054" i="2" s="1"/>
  <c r="AW3055" i="2" s="1"/>
  <c r="AW3056" i="2" s="1"/>
  <c r="AW3057" i="2" s="1"/>
  <c r="AW3058" i="2" s="1"/>
  <c r="AW3059" i="2" s="1"/>
  <c r="AW3060" i="2" s="1"/>
  <c r="AW3061" i="2" s="1"/>
  <c r="AW3062" i="2" s="1"/>
  <c r="AW3063" i="2" s="1"/>
  <c r="AW3064" i="2" s="1"/>
  <c r="AW3065" i="2" s="1"/>
  <c r="AW3066" i="2" s="1"/>
  <c r="AW3067" i="2" s="1"/>
  <c r="AW3068" i="2" s="1"/>
  <c r="AW3069" i="2" s="1"/>
  <c r="AW3070" i="2" s="1"/>
  <c r="AW3071" i="2" s="1"/>
  <c r="AW3072" i="2" s="1"/>
  <c r="AW3073" i="2" s="1"/>
  <c r="AW3074" i="2" s="1"/>
  <c r="AW3075" i="2" s="1"/>
  <c r="AW3076" i="2" s="1"/>
  <c r="AW3077" i="2" s="1"/>
  <c r="AW3078" i="2" s="1"/>
  <c r="AW3079" i="2" s="1"/>
  <c r="AW3080" i="2" s="1"/>
  <c r="AW3081" i="2" s="1"/>
  <c r="AW3082" i="2" s="1"/>
  <c r="AW3083" i="2" s="1"/>
  <c r="AW3084" i="2" s="1"/>
  <c r="AW3085" i="2" s="1"/>
  <c r="AW3086" i="2" s="1"/>
  <c r="AW3087" i="2" s="1"/>
  <c r="AW3088" i="2" s="1"/>
  <c r="AW3089" i="2" s="1"/>
  <c r="AW3090" i="2" s="1"/>
  <c r="AW3091" i="2" s="1"/>
  <c r="AW3092" i="2" s="1"/>
  <c r="AW3093" i="2" s="1"/>
  <c r="AW3094" i="2" s="1"/>
  <c r="AW3095" i="2" s="1"/>
  <c r="AW3096" i="2" s="1"/>
  <c r="AW3097" i="2" s="1"/>
  <c r="AW3098" i="2" s="1"/>
  <c r="AW3099" i="2" s="1"/>
  <c r="AW3100" i="2" s="1"/>
  <c r="AW3101" i="2" s="1"/>
  <c r="AW3102" i="2" s="1"/>
  <c r="AW3103" i="2" s="1"/>
  <c r="AW3104" i="2" s="1"/>
  <c r="AW3105" i="2" s="1"/>
  <c r="AW3106" i="2" s="1"/>
  <c r="AW3107" i="2" s="1"/>
  <c r="AW3108" i="2" s="1"/>
  <c r="AW3109" i="2" s="1"/>
  <c r="AW3110" i="2" s="1"/>
  <c r="AW3111" i="2" s="1"/>
  <c r="AW3112" i="2" s="1"/>
  <c r="AW3113" i="2" s="1"/>
  <c r="AW3114" i="2" s="1"/>
  <c r="AW3115" i="2" s="1"/>
  <c r="AW3116" i="2" s="1"/>
  <c r="AW3117" i="2" s="1"/>
  <c r="AW3118" i="2" s="1"/>
  <c r="AW3119" i="2" s="1"/>
  <c r="AW3120" i="2" s="1"/>
  <c r="AW3121" i="2" s="1"/>
  <c r="AW3122" i="2" s="1"/>
  <c r="AW3123" i="2" s="1"/>
  <c r="AW3124" i="2" s="1"/>
  <c r="AW3125" i="2" s="1"/>
  <c r="AW3126" i="2" s="1"/>
  <c r="AW3127" i="2" s="1"/>
  <c r="AW3128" i="2" s="1"/>
  <c r="AW3129" i="2" s="1"/>
  <c r="AW3130" i="2" s="1"/>
  <c r="AW3131" i="2" s="1"/>
  <c r="AW3132" i="2" s="1"/>
  <c r="AW3133" i="2" s="1"/>
  <c r="AW3134" i="2" s="1"/>
  <c r="AW3135" i="2" s="1"/>
  <c r="AW3136" i="2" s="1"/>
  <c r="AW3137" i="2" s="1"/>
  <c r="AW3138" i="2" s="1"/>
  <c r="AW3139" i="2" s="1"/>
  <c r="AW3140" i="2" s="1"/>
  <c r="AW3141" i="2" s="1"/>
  <c r="AW3142" i="2" s="1"/>
  <c r="AW3143" i="2" s="1"/>
  <c r="AW3144" i="2" s="1"/>
  <c r="AW3145" i="2" s="1"/>
  <c r="AW3146" i="2" s="1"/>
  <c r="AW3147" i="2" s="1"/>
  <c r="AW3148" i="2" s="1"/>
  <c r="AW3149" i="2" s="1"/>
  <c r="AW3150" i="2" s="1"/>
  <c r="AW3151" i="2" s="1"/>
  <c r="AW3152" i="2" s="1"/>
  <c r="AW3153" i="2" s="1"/>
  <c r="AW3154" i="2" s="1"/>
  <c r="AW3155" i="2" s="1"/>
  <c r="AW3156" i="2" s="1"/>
  <c r="AW3157" i="2" s="1"/>
  <c r="AW3158" i="2" s="1"/>
  <c r="AW3159" i="2" s="1"/>
  <c r="AW3160" i="2" s="1"/>
  <c r="AW3161" i="2" s="1"/>
  <c r="AW3162" i="2" s="1"/>
  <c r="AW3163" i="2" s="1"/>
  <c r="AW3164" i="2" s="1"/>
  <c r="AW3165" i="2" s="1"/>
  <c r="AW3166" i="2" s="1"/>
  <c r="AW3167" i="2" s="1"/>
  <c r="AW3168" i="2" s="1"/>
  <c r="AW3169" i="2" s="1"/>
  <c r="AW3170" i="2" s="1"/>
  <c r="AW3171" i="2" s="1"/>
  <c r="AW3172" i="2" s="1"/>
  <c r="AW3173" i="2" s="1"/>
  <c r="AW3174" i="2" s="1"/>
  <c r="AW3175" i="2" s="1"/>
  <c r="AW3176" i="2" s="1"/>
  <c r="AW3177" i="2" s="1"/>
  <c r="AW3178" i="2" s="1"/>
  <c r="AW3179" i="2" s="1"/>
  <c r="AW3180" i="2" s="1"/>
  <c r="AW3181" i="2" s="1"/>
  <c r="AW3182" i="2" s="1"/>
  <c r="AW3183" i="2" s="1"/>
  <c r="AW3184" i="2" s="1"/>
  <c r="AW3185" i="2" s="1"/>
  <c r="AW3186" i="2" s="1"/>
  <c r="AW3187" i="2" s="1"/>
  <c r="AW3188" i="2" s="1"/>
  <c r="AW3189" i="2" s="1"/>
  <c r="AW3190" i="2" s="1"/>
  <c r="AW3191" i="2" s="1"/>
  <c r="AW3192" i="2" s="1"/>
  <c r="AW3193" i="2" s="1"/>
  <c r="AW3194" i="2" s="1"/>
  <c r="AW3195" i="2" s="1"/>
  <c r="AW3196" i="2" s="1"/>
  <c r="AW3197" i="2" s="1"/>
  <c r="AW3198" i="2" s="1"/>
  <c r="AW3199" i="2" s="1"/>
  <c r="AW3200" i="2" s="1"/>
  <c r="AW3201" i="2" s="1"/>
  <c r="AW3202" i="2" s="1"/>
  <c r="AW3203" i="2" s="1"/>
  <c r="AW3204" i="2" s="1"/>
  <c r="AW3205" i="2" s="1"/>
  <c r="AW3206" i="2" s="1"/>
  <c r="AW3207" i="2" s="1"/>
  <c r="AW3208" i="2" s="1"/>
  <c r="AW3209" i="2" s="1"/>
  <c r="AW3210" i="2" s="1"/>
  <c r="AW3211" i="2" s="1"/>
  <c r="AW3212" i="2" s="1"/>
  <c r="AW3213" i="2" s="1"/>
  <c r="AW3214" i="2" s="1"/>
  <c r="AW3215" i="2" s="1"/>
  <c r="AW3216" i="2" s="1"/>
  <c r="AW3217" i="2" s="1"/>
  <c r="AW3218" i="2" s="1"/>
  <c r="AW3219" i="2" s="1"/>
  <c r="AW3220" i="2" s="1"/>
  <c r="AW3221" i="2" s="1"/>
  <c r="AW3222" i="2" s="1"/>
  <c r="AW3223" i="2" s="1"/>
  <c r="AW3224" i="2" s="1"/>
  <c r="AW3225" i="2" s="1"/>
  <c r="AW3226" i="2" s="1"/>
  <c r="AW3227" i="2" s="1"/>
  <c r="AW3228" i="2" s="1"/>
  <c r="AW3229" i="2" s="1"/>
  <c r="AW3230" i="2" s="1"/>
  <c r="AW3231" i="2" s="1"/>
  <c r="AW3232" i="2" s="1"/>
  <c r="AW3233" i="2" s="1"/>
  <c r="AW3234" i="2" s="1"/>
  <c r="AW3235" i="2" s="1"/>
  <c r="AW3236" i="2" s="1"/>
  <c r="AW3237" i="2" s="1"/>
  <c r="AW3238" i="2" s="1"/>
  <c r="AW3239" i="2" s="1"/>
  <c r="AW3240" i="2" s="1"/>
  <c r="AW3241" i="2" s="1"/>
  <c r="AW3242" i="2" s="1"/>
  <c r="AW3243" i="2" s="1"/>
  <c r="AW3244" i="2" s="1"/>
  <c r="AW3245" i="2" s="1"/>
  <c r="AW3246" i="2" s="1"/>
  <c r="AW3247" i="2" s="1"/>
  <c r="AW3248" i="2" s="1"/>
  <c r="AW3249" i="2" s="1"/>
  <c r="AW3250" i="2" s="1"/>
  <c r="AW3251" i="2" s="1"/>
  <c r="AW3252" i="2" s="1"/>
  <c r="AW3253" i="2" s="1"/>
  <c r="AW3254" i="2" s="1"/>
  <c r="AW3255" i="2" s="1"/>
  <c r="AW3256" i="2" s="1"/>
  <c r="AW3257" i="2" s="1"/>
  <c r="AW3258" i="2" s="1"/>
  <c r="AW3259" i="2" s="1"/>
  <c r="AW3260" i="2" s="1"/>
  <c r="AW3261" i="2" s="1"/>
  <c r="AW3262" i="2" s="1"/>
  <c r="AW3263" i="2" s="1"/>
  <c r="AW3264" i="2" s="1"/>
  <c r="AW3265" i="2" s="1"/>
  <c r="AW3266" i="2" s="1"/>
  <c r="AW3267" i="2" s="1"/>
  <c r="AW3268" i="2" s="1"/>
  <c r="AW3269" i="2" s="1"/>
  <c r="AW3270" i="2" s="1"/>
  <c r="AW3271" i="2" s="1"/>
  <c r="AW3272" i="2" s="1"/>
  <c r="AW3273" i="2" s="1"/>
  <c r="AW3274" i="2" s="1"/>
  <c r="AW3275" i="2" s="1"/>
  <c r="AW3276" i="2" s="1"/>
  <c r="AW3277" i="2" s="1"/>
  <c r="AW3278" i="2" s="1"/>
  <c r="AW3279" i="2" s="1"/>
  <c r="AW3280" i="2" s="1"/>
  <c r="AW3281" i="2" s="1"/>
  <c r="AW3282" i="2" s="1"/>
  <c r="AW3283" i="2" s="1"/>
  <c r="AW3284" i="2" s="1"/>
  <c r="AW3285" i="2" s="1"/>
  <c r="AW3286" i="2" s="1"/>
  <c r="AW3287" i="2" s="1"/>
  <c r="AW3288" i="2" s="1"/>
  <c r="AW3289" i="2" s="1"/>
  <c r="AW3290" i="2" s="1"/>
  <c r="AW3291" i="2" s="1"/>
  <c r="AW3292" i="2" s="1"/>
  <c r="AW3293" i="2" s="1"/>
  <c r="AW3294" i="2" s="1"/>
  <c r="AW3295" i="2" s="1"/>
  <c r="AW3296" i="2" s="1"/>
  <c r="AW3297" i="2" s="1"/>
  <c r="AW3298" i="2" s="1"/>
  <c r="AW3299" i="2" s="1"/>
  <c r="AW3300" i="2" s="1"/>
  <c r="AW3301" i="2" s="1"/>
  <c r="AW3302" i="2" s="1"/>
  <c r="AW3303" i="2" s="1"/>
  <c r="AW3304" i="2" s="1"/>
  <c r="AW3305" i="2" s="1"/>
  <c r="AW3306" i="2" s="1"/>
  <c r="AW3307" i="2" s="1"/>
  <c r="AW3308" i="2" s="1"/>
  <c r="AW3309" i="2" s="1"/>
  <c r="AW3310" i="2" s="1"/>
  <c r="AW3311" i="2" s="1"/>
  <c r="AW3312" i="2" s="1"/>
  <c r="AW3313" i="2" s="1"/>
  <c r="AW3314" i="2" s="1"/>
  <c r="AW3315" i="2" s="1"/>
  <c r="AW3316" i="2" s="1"/>
  <c r="AW3317" i="2" s="1"/>
  <c r="AW3318" i="2" s="1"/>
  <c r="AW3319" i="2" s="1"/>
  <c r="AW3320" i="2" s="1"/>
  <c r="AW3321" i="2" s="1"/>
  <c r="AW3322" i="2" s="1"/>
  <c r="AW3323" i="2" s="1"/>
  <c r="AW3324" i="2" s="1"/>
  <c r="AW3325" i="2" s="1"/>
  <c r="AW3326" i="2" s="1"/>
  <c r="AW3327" i="2" s="1"/>
  <c r="AW3328" i="2" s="1"/>
  <c r="AW3329" i="2" s="1"/>
  <c r="AW3330" i="2" s="1"/>
  <c r="AW3331" i="2" s="1"/>
  <c r="AW3332" i="2" s="1"/>
  <c r="AW3333" i="2" s="1"/>
  <c r="AW3334" i="2" s="1"/>
  <c r="AW3335" i="2" s="1"/>
  <c r="AW3336" i="2" s="1"/>
  <c r="AW3337" i="2" s="1"/>
  <c r="AW3338" i="2" s="1"/>
  <c r="AW3339" i="2" s="1"/>
  <c r="AW3340" i="2" s="1"/>
  <c r="AW3341" i="2" s="1"/>
  <c r="AW3342" i="2" s="1"/>
  <c r="AW3343" i="2" s="1"/>
  <c r="AW3344" i="2" s="1"/>
  <c r="AW3345" i="2" s="1"/>
  <c r="AW3346" i="2" s="1"/>
  <c r="AW3347" i="2" s="1"/>
  <c r="AW3348" i="2" s="1"/>
  <c r="AW3349" i="2" s="1"/>
  <c r="AW3350" i="2" s="1"/>
  <c r="AW3351" i="2" s="1"/>
  <c r="AW3352" i="2" s="1"/>
  <c r="AW3353" i="2" s="1"/>
  <c r="AW3354" i="2" s="1"/>
  <c r="AW3355" i="2" s="1"/>
  <c r="AW3356" i="2" s="1"/>
  <c r="AW3357" i="2" s="1"/>
  <c r="AW3358" i="2" s="1"/>
  <c r="AW3359" i="2" s="1"/>
  <c r="AW3360" i="2" s="1"/>
  <c r="AW3361" i="2" s="1"/>
  <c r="AW3362" i="2" s="1"/>
  <c r="AW3363" i="2" s="1"/>
  <c r="AW3364" i="2" s="1"/>
  <c r="AW3365" i="2" s="1"/>
  <c r="AW3366" i="2" s="1"/>
  <c r="AW3367" i="2" s="1"/>
  <c r="AW3368" i="2" s="1"/>
  <c r="AW3369" i="2" s="1"/>
  <c r="AW3370" i="2" s="1"/>
  <c r="AW3371" i="2" s="1"/>
  <c r="AW3372" i="2" s="1"/>
  <c r="AW3373" i="2" s="1"/>
  <c r="AW3374" i="2" s="1"/>
  <c r="AW3375" i="2" s="1"/>
  <c r="AW3376" i="2" s="1"/>
  <c r="AW3377" i="2" s="1"/>
  <c r="AW3378" i="2" s="1"/>
  <c r="AW3379" i="2" s="1"/>
  <c r="AW3380" i="2" s="1"/>
  <c r="AW3381" i="2" s="1"/>
  <c r="AW3382" i="2" s="1"/>
  <c r="AW3383" i="2" s="1"/>
  <c r="AW3384" i="2" s="1"/>
  <c r="AW3385" i="2" s="1"/>
  <c r="AW3386" i="2" s="1"/>
  <c r="AW3387" i="2" s="1"/>
  <c r="AW3388" i="2" s="1"/>
  <c r="AW3389" i="2" s="1"/>
  <c r="AW3390" i="2" s="1"/>
  <c r="AW3391" i="2" s="1"/>
  <c r="AW3392" i="2" s="1"/>
  <c r="AW3393" i="2" s="1"/>
  <c r="AW3394" i="2" s="1"/>
  <c r="AW3395" i="2" s="1"/>
  <c r="AW3396" i="2" s="1"/>
  <c r="AW3397" i="2" s="1"/>
  <c r="AW3398" i="2" s="1"/>
  <c r="AW3399" i="2" s="1"/>
  <c r="AW3400" i="2" s="1"/>
  <c r="AW3401" i="2" s="1"/>
  <c r="AW3402" i="2" s="1"/>
  <c r="AW3403" i="2" s="1"/>
  <c r="AW3404" i="2" s="1"/>
  <c r="AW3405" i="2" s="1"/>
  <c r="AW3406" i="2" s="1"/>
  <c r="AW3407" i="2" s="1"/>
  <c r="AW3408" i="2" s="1"/>
  <c r="AW3409" i="2" s="1"/>
  <c r="AW3410" i="2" s="1"/>
  <c r="AW3411" i="2" s="1"/>
  <c r="AW3412" i="2" s="1"/>
  <c r="AW3413" i="2" s="1"/>
  <c r="AW3414" i="2" s="1"/>
  <c r="AW3415" i="2" s="1"/>
  <c r="AW3416" i="2" s="1"/>
  <c r="AW3417" i="2" s="1"/>
  <c r="AW3418" i="2" s="1"/>
  <c r="AW3419" i="2" s="1"/>
  <c r="AW3420" i="2" s="1"/>
  <c r="AW3421" i="2" s="1"/>
  <c r="AW3422" i="2" s="1"/>
  <c r="AW3423" i="2" s="1"/>
  <c r="AW3424" i="2" s="1"/>
  <c r="AW3425" i="2" s="1"/>
  <c r="AW3426" i="2" s="1"/>
  <c r="AW3427" i="2" s="1"/>
  <c r="AW3428" i="2" s="1"/>
  <c r="AW3429" i="2" s="1"/>
  <c r="AW3430" i="2" s="1"/>
  <c r="AW3431" i="2" s="1"/>
  <c r="AW3432" i="2" s="1"/>
  <c r="AW3433" i="2" s="1"/>
  <c r="AW3434" i="2" s="1"/>
  <c r="AW3435" i="2" s="1"/>
  <c r="AW3436" i="2" s="1"/>
  <c r="AW3437" i="2" s="1"/>
  <c r="AW3438" i="2" s="1"/>
  <c r="AW3439" i="2" s="1"/>
  <c r="AW3440" i="2" s="1"/>
  <c r="AW3441" i="2" s="1"/>
  <c r="AW3442" i="2" s="1"/>
  <c r="AW3443" i="2" s="1"/>
  <c r="AW3444" i="2" s="1"/>
  <c r="AW3445" i="2" s="1"/>
  <c r="AW3446" i="2" s="1"/>
  <c r="AW3447" i="2" s="1"/>
  <c r="AW3448" i="2" s="1"/>
  <c r="AW3449" i="2" s="1"/>
  <c r="AW3450" i="2" s="1"/>
  <c r="AW3451" i="2" s="1"/>
  <c r="AW3452" i="2" s="1"/>
  <c r="AW3453" i="2" s="1"/>
  <c r="AW3454" i="2" s="1"/>
  <c r="AW3455" i="2" s="1"/>
  <c r="AW3456" i="2" s="1"/>
  <c r="AW3457" i="2" s="1"/>
  <c r="AW3458" i="2" s="1"/>
  <c r="AW3459" i="2" s="1"/>
  <c r="AW3460" i="2" s="1"/>
  <c r="AW3461" i="2" s="1"/>
  <c r="AW3462" i="2" s="1"/>
  <c r="AW3463" i="2" s="1"/>
  <c r="AW3464" i="2" s="1"/>
  <c r="AW3465" i="2" s="1"/>
  <c r="AW3466" i="2" s="1"/>
  <c r="AW3467" i="2" s="1"/>
  <c r="AW3468" i="2" s="1"/>
  <c r="AW3469" i="2" s="1"/>
  <c r="AW3470" i="2" s="1"/>
  <c r="AW3471" i="2" s="1"/>
  <c r="AW3472" i="2" s="1"/>
  <c r="AW3473" i="2" s="1"/>
  <c r="AW3474" i="2" s="1"/>
  <c r="AW3475" i="2" s="1"/>
  <c r="AW3476" i="2" s="1"/>
  <c r="AW3477" i="2" s="1"/>
  <c r="AW3478" i="2" s="1"/>
  <c r="AW3479" i="2" s="1"/>
  <c r="AW3480" i="2" s="1"/>
  <c r="AW3481" i="2" s="1"/>
  <c r="AW3482" i="2" s="1"/>
  <c r="AW3483" i="2" s="1"/>
  <c r="AW3484" i="2" s="1"/>
  <c r="AW3485" i="2" s="1"/>
  <c r="AW3486" i="2" s="1"/>
  <c r="AW3487" i="2" s="1"/>
  <c r="AW3488" i="2" s="1"/>
  <c r="AW3489" i="2" s="1"/>
  <c r="AW3490" i="2" s="1"/>
  <c r="AW3491" i="2" s="1"/>
  <c r="AW3492" i="2" s="1"/>
  <c r="AW3493" i="2" s="1"/>
  <c r="AW3494" i="2" s="1"/>
  <c r="AW3495" i="2" s="1"/>
  <c r="AW3496" i="2" s="1"/>
  <c r="AW3497" i="2" s="1"/>
  <c r="AW3498" i="2" s="1"/>
  <c r="AW3499" i="2" s="1"/>
  <c r="AW3500" i="2" s="1"/>
  <c r="AW3501" i="2" s="1"/>
  <c r="AW3502" i="2" s="1"/>
  <c r="AW3503" i="2" s="1"/>
  <c r="AW3504" i="2" s="1"/>
  <c r="AW3505" i="2" s="1"/>
  <c r="AW3506" i="2" s="1"/>
  <c r="AW3507" i="2" s="1"/>
  <c r="AW3508" i="2" s="1"/>
  <c r="AW3509" i="2" s="1"/>
  <c r="AW3510" i="2" s="1"/>
  <c r="AW3511" i="2" s="1"/>
  <c r="AW3512" i="2" s="1"/>
  <c r="AW3513" i="2" s="1"/>
  <c r="AW3514" i="2" s="1"/>
  <c r="AW3515" i="2" s="1"/>
  <c r="AW3516" i="2" s="1"/>
  <c r="AW3517" i="2" s="1"/>
  <c r="AW3518" i="2" s="1"/>
  <c r="AW3519" i="2" s="1"/>
  <c r="AW3520" i="2" s="1"/>
  <c r="AW3521" i="2" s="1"/>
  <c r="AW3522" i="2" s="1"/>
  <c r="AW3523" i="2" s="1"/>
  <c r="AW3524" i="2" s="1"/>
  <c r="AW3525" i="2" s="1"/>
  <c r="AW3526" i="2" s="1"/>
  <c r="AW3527" i="2" s="1"/>
  <c r="AW3528" i="2" s="1"/>
  <c r="AW3529" i="2" s="1"/>
  <c r="AW3530" i="2" s="1"/>
  <c r="AW3531" i="2" s="1"/>
  <c r="AW3532" i="2" s="1"/>
  <c r="AW3533" i="2" s="1"/>
  <c r="AW3534" i="2" s="1"/>
  <c r="AW3535" i="2" s="1"/>
  <c r="AW3536" i="2" s="1"/>
  <c r="AW3537" i="2" s="1"/>
  <c r="AW3538" i="2" s="1"/>
  <c r="AW3539" i="2" s="1"/>
  <c r="AW3540" i="2" s="1"/>
  <c r="AW3541" i="2" s="1"/>
  <c r="AW3542" i="2" s="1"/>
  <c r="AW3543" i="2" s="1"/>
  <c r="AW3544" i="2" s="1"/>
  <c r="AW3545" i="2" s="1"/>
  <c r="AW3546" i="2" s="1"/>
  <c r="AW3547" i="2" s="1"/>
  <c r="AW3548" i="2" s="1"/>
  <c r="AW3549" i="2" s="1"/>
  <c r="AW3550" i="2" s="1"/>
  <c r="AW3551" i="2" s="1"/>
  <c r="AW3552" i="2" s="1"/>
  <c r="AW3553" i="2" s="1"/>
  <c r="AW3554" i="2" s="1"/>
  <c r="AW3555" i="2" s="1"/>
  <c r="AW3556" i="2" s="1"/>
  <c r="AW3557" i="2" s="1"/>
  <c r="AW3558" i="2" s="1"/>
  <c r="AW3559" i="2" s="1"/>
  <c r="AW3560" i="2" s="1"/>
  <c r="AW3561" i="2" s="1"/>
  <c r="AW3562" i="2" s="1"/>
  <c r="AW3563" i="2" s="1"/>
  <c r="AW3564" i="2" s="1"/>
  <c r="AW3565" i="2" s="1"/>
  <c r="AW3566" i="2" s="1"/>
  <c r="AW3567" i="2" s="1"/>
  <c r="AW3568" i="2" s="1"/>
  <c r="AW3569" i="2" s="1"/>
  <c r="AW3570" i="2" s="1"/>
  <c r="AW3571" i="2" s="1"/>
  <c r="AW3572" i="2" s="1"/>
  <c r="AW3573" i="2" s="1"/>
  <c r="AW3574" i="2" s="1"/>
  <c r="AW3575" i="2" s="1"/>
  <c r="AW3576" i="2" s="1"/>
  <c r="AW3577" i="2" s="1"/>
  <c r="AW3578" i="2" s="1"/>
  <c r="AW3579" i="2" s="1"/>
  <c r="AW3580" i="2" s="1"/>
  <c r="AW3581" i="2" s="1"/>
  <c r="AW3582" i="2" s="1"/>
  <c r="AW3583" i="2" s="1"/>
  <c r="AW3584" i="2" s="1"/>
  <c r="AW3585" i="2" s="1"/>
  <c r="AW3586" i="2" s="1"/>
  <c r="AW3587" i="2" s="1"/>
  <c r="AW3588" i="2" s="1"/>
  <c r="AW3589" i="2" s="1"/>
  <c r="AW3590" i="2" s="1"/>
  <c r="AW3591" i="2" s="1"/>
  <c r="AW3592" i="2" s="1"/>
  <c r="AW3593" i="2" s="1"/>
  <c r="AW3594" i="2" s="1"/>
  <c r="AW3595" i="2" s="1"/>
  <c r="AW3596" i="2" s="1"/>
  <c r="AW3597" i="2" s="1"/>
  <c r="AW3598" i="2" s="1"/>
  <c r="AW3599" i="2" s="1"/>
  <c r="AW3600" i="2" s="1"/>
  <c r="AW3601" i="2" s="1"/>
  <c r="AW3602" i="2" s="1"/>
  <c r="AW3603" i="2" s="1"/>
  <c r="AW3604" i="2" s="1"/>
  <c r="AW3605" i="2" s="1"/>
  <c r="AW3606" i="2" s="1"/>
  <c r="AW3607" i="2" s="1"/>
  <c r="AW3608" i="2" s="1"/>
  <c r="AW3609" i="2" s="1"/>
  <c r="AW3610" i="2" s="1"/>
  <c r="AW3611" i="2" s="1"/>
  <c r="AW3612" i="2" s="1"/>
  <c r="AW3613" i="2" s="1"/>
  <c r="AW3614" i="2" s="1"/>
  <c r="AW3615" i="2" s="1"/>
  <c r="AW3616" i="2" s="1"/>
  <c r="AW3617" i="2" s="1"/>
  <c r="AW3618" i="2" s="1"/>
  <c r="AW3619" i="2" s="1"/>
  <c r="AW3620" i="2" s="1"/>
  <c r="AW3621" i="2" s="1"/>
  <c r="AW3622" i="2" s="1"/>
  <c r="AW3623" i="2" s="1"/>
  <c r="AW3624" i="2" s="1"/>
  <c r="AW3625" i="2" s="1"/>
  <c r="AW3626" i="2" s="1"/>
  <c r="AW3627" i="2" s="1"/>
  <c r="AW3628" i="2" s="1"/>
  <c r="AW3629" i="2" s="1"/>
  <c r="AW3630" i="2" s="1"/>
  <c r="AW3631" i="2" s="1"/>
  <c r="AW3632" i="2" s="1"/>
  <c r="AW3633" i="2" s="1"/>
  <c r="AW3634" i="2" s="1"/>
  <c r="AW3635" i="2" s="1"/>
  <c r="AW3636" i="2" s="1"/>
  <c r="AW3637" i="2" s="1"/>
  <c r="AW3638" i="2" s="1"/>
  <c r="AW3639" i="2" s="1"/>
  <c r="AW3640" i="2" s="1"/>
  <c r="AW3641" i="2" s="1"/>
  <c r="AW3642" i="2" s="1"/>
  <c r="AW3643" i="2" s="1"/>
  <c r="AW3644" i="2" s="1"/>
  <c r="AW3645" i="2" s="1"/>
  <c r="AW3646" i="2" s="1"/>
  <c r="AW3647" i="2" s="1"/>
  <c r="AW3648" i="2" s="1"/>
  <c r="AW3649" i="2" s="1"/>
  <c r="AW3650" i="2" s="1"/>
  <c r="AW3651" i="2" s="1"/>
  <c r="AW3652" i="2" s="1"/>
  <c r="AW3653" i="2" s="1"/>
  <c r="AW3654" i="2" s="1"/>
  <c r="AW3655" i="2" s="1"/>
  <c r="AW3656" i="2" s="1"/>
  <c r="AW3657" i="2" s="1"/>
  <c r="AW3658" i="2" s="1"/>
  <c r="AW3659" i="2" s="1"/>
  <c r="AW3660" i="2" s="1"/>
  <c r="AW3661" i="2" s="1"/>
  <c r="AW3662" i="2" s="1"/>
  <c r="AW3663" i="2" s="1"/>
  <c r="AW3664" i="2" s="1"/>
  <c r="AW3665" i="2" s="1"/>
  <c r="AW3666" i="2" s="1"/>
  <c r="AW3667" i="2" s="1"/>
  <c r="AW3668" i="2" s="1"/>
  <c r="AW3669" i="2" s="1"/>
  <c r="AW3670" i="2" s="1"/>
  <c r="AW3671" i="2" s="1"/>
  <c r="AW3672" i="2" s="1"/>
  <c r="AW3673" i="2" s="1"/>
  <c r="AW3674" i="2" s="1"/>
  <c r="AW3675" i="2" s="1"/>
  <c r="AW3676" i="2" s="1"/>
  <c r="AW3677" i="2" s="1"/>
  <c r="AW3678" i="2" s="1"/>
  <c r="AW3679" i="2" s="1"/>
  <c r="AW3680" i="2" s="1"/>
  <c r="AW3681" i="2" s="1"/>
  <c r="AW3682" i="2" s="1"/>
  <c r="AW3683" i="2" s="1"/>
  <c r="AW3684" i="2" s="1"/>
  <c r="AW3685" i="2" s="1"/>
  <c r="AW3686" i="2" s="1"/>
  <c r="AW3687" i="2" s="1"/>
  <c r="AW3688" i="2" s="1"/>
  <c r="AW3689" i="2" s="1"/>
  <c r="AW3690" i="2" s="1"/>
  <c r="AW3691" i="2" s="1"/>
  <c r="AW3692" i="2" s="1"/>
  <c r="AW3693" i="2" s="1"/>
  <c r="AW3694" i="2" s="1"/>
  <c r="AW3695" i="2" s="1"/>
  <c r="AW3696" i="2" s="1"/>
  <c r="AW3697" i="2" s="1"/>
  <c r="AW3698" i="2" s="1"/>
  <c r="AW3699" i="2" s="1"/>
  <c r="AW3700" i="2" s="1"/>
  <c r="AW3701" i="2" s="1"/>
  <c r="AW3702" i="2" s="1"/>
  <c r="AW3703" i="2" s="1"/>
  <c r="AW3704" i="2" s="1"/>
  <c r="AW3705" i="2" s="1"/>
  <c r="AW3706" i="2" s="1"/>
  <c r="AW3707" i="2" s="1"/>
  <c r="AW3708" i="2" s="1"/>
  <c r="AW3709" i="2" s="1"/>
  <c r="AW3710" i="2" s="1"/>
  <c r="AW3711" i="2" s="1"/>
  <c r="AW3712" i="2" s="1"/>
  <c r="AW3713" i="2" s="1"/>
  <c r="AW3714" i="2" s="1"/>
  <c r="AW3715" i="2" s="1"/>
  <c r="AW3716" i="2" s="1"/>
  <c r="AW3717" i="2" s="1"/>
  <c r="AW3718" i="2" s="1"/>
  <c r="AW3719" i="2" s="1"/>
  <c r="AW3720" i="2" s="1"/>
  <c r="AW3721" i="2" s="1"/>
  <c r="AW3722" i="2" s="1"/>
  <c r="AW3723" i="2" s="1"/>
  <c r="AW3724" i="2" s="1"/>
  <c r="AW3725" i="2" s="1"/>
  <c r="AW3726" i="2" s="1"/>
  <c r="AW3727" i="2" s="1"/>
  <c r="AW3728" i="2" s="1"/>
  <c r="AW3729" i="2" s="1"/>
  <c r="AW3730" i="2" s="1"/>
  <c r="AW3731" i="2" s="1"/>
  <c r="AW3732" i="2" s="1"/>
  <c r="AW3733" i="2" s="1"/>
  <c r="AW3734" i="2" s="1"/>
  <c r="AW3735" i="2" s="1"/>
  <c r="AW3736" i="2" s="1"/>
  <c r="AW3737" i="2" s="1"/>
  <c r="AW3738" i="2" s="1"/>
  <c r="AW3739" i="2" s="1"/>
  <c r="AW3740" i="2" s="1"/>
  <c r="AW3741" i="2" s="1"/>
  <c r="AW3742" i="2" s="1"/>
  <c r="AW3743" i="2" s="1"/>
  <c r="AW3744" i="2" s="1"/>
  <c r="AW3745" i="2" s="1"/>
  <c r="AW3746" i="2" s="1"/>
  <c r="AW3747" i="2" s="1"/>
  <c r="AW3748" i="2" s="1"/>
  <c r="AW3749" i="2" s="1"/>
  <c r="AW3750" i="2" s="1"/>
  <c r="AW3751" i="2" s="1"/>
  <c r="AW3752" i="2" s="1"/>
  <c r="AW3753" i="2" s="1"/>
  <c r="AW3754" i="2" s="1"/>
  <c r="AW3755" i="2" s="1"/>
  <c r="AW3756" i="2" s="1"/>
  <c r="AW3757" i="2" s="1"/>
  <c r="AW3758" i="2" s="1"/>
  <c r="AW3759" i="2" s="1"/>
  <c r="AW3760" i="2" s="1"/>
  <c r="AW3761" i="2" s="1"/>
  <c r="AW3762" i="2" s="1"/>
  <c r="AW3763" i="2" s="1"/>
  <c r="AW3764" i="2" s="1"/>
  <c r="AW3765" i="2" s="1"/>
  <c r="AW3766" i="2" s="1"/>
  <c r="AW3767" i="2" s="1"/>
  <c r="AW3768" i="2" s="1"/>
  <c r="AW3769" i="2" s="1"/>
  <c r="AW3770" i="2" s="1"/>
  <c r="AW3771" i="2" s="1"/>
  <c r="AW3772" i="2" s="1"/>
  <c r="AW3773" i="2" s="1"/>
  <c r="AW3774" i="2" s="1"/>
  <c r="AW3775" i="2" s="1"/>
  <c r="AW3776" i="2" s="1"/>
  <c r="AW3777" i="2" s="1"/>
  <c r="AW3778" i="2" s="1"/>
  <c r="AW3779" i="2" s="1"/>
  <c r="AW3780" i="2" s="1"/>
  <c r="AW3781" i="2" s="1"/>
  <c r="AW3782" i="2" s="1"/>
  <c r="AW3783" i="2" s="1"/>
  <c r="AW3784" i="2" s="1"/>
  <c r="AW3785" i="2" s="1"/>
  <c r="AW3786" i="2" s="1"/>
  <c r="AW3787" i="2" s="1"/>
  <c r="AW3788" i="2" s="1"/>
  <c r="AW3789" i="2" s="1"/>
  <c r="AW3790" i="2" s="1"/>
  <c r="AW3791" i="2" s="1"/>
  <c r="AW3792" i="2" s="1"/>
  <c r="AW3793" i="2" s="1"/>
  <c r="AW3794" i="2" s="1"/>
  <c r="AW3795" i="2" s="1"/>
  <c r="AW3796" i="2" s="1"/>
  <c r="AW3797" i="2" s="1"/>
  <c r="AW3798" i="2" s="1"/>
  <c r="AW3799" i="2" s="1"/>
  <c r="AW3800" i="2" s="1"/>
  <c r="AW3801" i="2" s="1"/>
  <c r="AW3802" i="2" s="1"/>
  <c r="AW3803" i="2" s="1"/>
  <c r="AW3804" i="2" s="1"/>
  <c r="AW3805" i="2" s="1"/>
  <c r="AW3806" i="2" s="1"/>
  <c r="AW3807" i="2" s="1"/>
  <c r="AW3808" i="2" s="1"/>
  <c r="AW3809" i="2" s="1"/>
  <c r="AW3810" i="2" s="1"/>
  <c r="AW3811" i="2" s="1"/>
  <c r="AW3812" i="2" s="1"/>
  <c r="AW3813" i="2" s="1"/>
  <c r="AW3814" i="2" s="1"/>
  <c r="AW3815" i="2" s="1"/>
  <c r="AW3816" i="2" s="1"/>
  <c r="AW3817" i="2" s="1"/>
  <c r="AW3818" i="2" s="1"/>
  <c r="AW3819" i="2" s="1"/>
  <c r="AW3820" i="2" s="1"/>
  <c r="AW3821" i="2" s="1"/>
  <c r="AW3822" i="2" s="1"/>
  <c r="AW3823" i="2" s="1"/>
  <c r="AW3824" i="2" s="1"/>
  <c r="AW3825" i="2" s="1"/>
  <c r="AW3826" i="2" s="1"/>
  <c r="AW3827" i="2" s="1"/>
  <c r="AW3828" i="2" s="1"/>
  <c r="AW3829" i="2" s="1"/>
  <c r="AW3830" i="2" s="1"/>
  <c r="AW3831" i="2" s="1"/>
  <c r="AW3832" i="2" s="1"/>
  <c r="AW3833" i="2" s="1"/>
  <c r="AW3834" i="2" s="1"/>
  <c r="AW3835" i="2" s="1"/>
  <c r="AW3836" i="2" s="1"/>
  <c r="AW3837" i="2" s="1"/>
  <c r="AW3838" i="2" s="1"/>
  <c r="AW3839" i="2" s="1"/>
  <c r="AW3840" i="2" s="1"/>
  <c r="AW3841" i="2" s="1"/>
  <c r="AW3842" i="2" s="1"/>
  <c r="AW3843" i="2" s="1"/>
  <c r="AW3844" i="2" s="1"/>
  <c r="AW3845" i="2" s="1"/>
  <c r="AW3846" i="2" s="1"/>
  <c r="AW3847" i="2" s="1"/>
  <c r="AW3848" i="2" s="1"/>
  <c r="AW3849" i="2" s="1"/>
  <c r="AW3850" i="2" s="1"/>
  <c r="AW3851" i="2" s="1"/>
  <c r="AW3852" i="2" s="1"/>
  <c r="AW3853" i="2" s="1"/>
  <c r="AW3854" i="2" s="1"/>
  <c r="AW3855" i="2" s="1"/>
  <c r="AW3856" i="2" s="1"/>
  <c r="AW3857" i="2" s="1"/>
  <c r="AW3858" i="2" s="1"/>
  <c r="AW3859" i="2" s="1"/>
  <c r="AW3860" i="2" s="1"/>
  <c r="AW3861" i="2" s="1"/>
  <c r="AW3862" i="2" s="1"/>
  <c r="AW3863" i="2" s="1"/>
  <c r="AW3864" i="2" s="1"/>
  <c r="AW3865" i="2" s="1"/>
  <c r="AW3866" i="2" s="1"/>
  <c r="AW3867" i="2" s="1"/>
  <c r="AW3868" i="2" s="1"/>
  <c r="AW3869" i="2" s="1"/>
  <c r="AW3870" i="2" s="1"/>
  <c r="AW3871" i="2" s="1"/>
  <c r="AW3872" i="2" s="1"/>
  <c r="AW3873" i="2" s="1"/>
  <c r="AW3874" i="2" s="1"/>
  <c r="AW3875" i="2" s="1"/>
  <c r="AW3876" i="2" s="1"/>
  <c r="AW3877" i="2" s="1"/>
  <c r="AW3878" i="2" s="1"/>
  <c r="AW3879" i="2" s="1"/>
  <c r="AW3880" i="2" s="1"/>
  <c r="AW3881" i="2" s="1"/>
  <c r="AW3882" i="2" s="1"/>
  <c r="AW3883" i="2" s="1"/>
  <c r="AW3884" i="2" s="1"/>
  <c r="AW3885" i="2" s="1"/>
  <c r="AW3886" i="2" s="1"/>
  <c r="AW3887" i="2" s="1"/>
  <c r="AW3888" i="2" s="1"/>
  <c r="AW3889" i="2" s="1"/>
  <c r="AW3890" i="2" s="1"/>
  <c r="AW3891" i="2" s="1"/>
  <c r="AW3892" i="2" s="1"/>
  <c r="AW3893" i="2" s="1"/>
  <c r="AW3894" i="2" s="1"/>
  <c r="AW3895" i="2" s="1"/>
  <c r="AW3896" i="2" s="1"/>
  <c r="AW3897" i="2" s="1"/>
  <c r="AW3898" i="2" s="1"/>
  <c r="AW3899" i="2" s="1"/>
  <c r="AW3900" i="2" s="1"/>
  <c r="AW3901" i="2" s="1"/>
  <c r="AW3902" i="2" s="1"/>
  <c r="AW3903" i="2" s="1"/>
  <c r="AW3904" i="2" s="1"/>
  <c r="AW3905" i="2" s="1"/>
  <c r="AW3906" i="2" s="1"/>
  <c r="AW3907" i="2" s="1"/>
  <c r="AW3908" i="2" s="1"/>
  <c r="AW3909" i="2" s="1"/>
  <c r="AW3910" i="2" s="1"/>
  <c r="AW3911" i="2" s="1"/>
  <c r="AW3912" i="2" s="1"/>
  <c r="AW3913" i="2" s="1"/>
  <c r="AW3914" i="2" s="1"/>
  <c r="AW3915" i="2" s="1"/>
  <c r="AW3916" i="2" s="1"/>
  <c r="AW3917" i="2" s="1"/>
  <c r="AW3918" i="2" s="1"/>
  <c r="AW3919" i="2" s="1"/>
  <c r="AW3920" i="2" s="1"/>
  <c r="AW3921" i="2" s="1"/>
  <c r="AW3922" i="2" s="1"/>
  <c r="AW3923" i="2" s="1"/>
  <c r="AW3924" i="2" s="1"/>
  <c r="AW3925" i="2" s="1"/>
  <c r="AW3926" i="2" s="1"/>
  <c r="AW3927" i="2" s="1"/>
  <c r="AW3928" i="2" s="1"/>
  <c r="AW3929" i="2" s="1"/>
  <c r="AW3930" i="2" s="1"/>
  <c r="AW3931" i="2" s="1"/>
  <c r="AW3932" i="2" s="1"/>
  <c r="AW3933" i="2" s="1"/>
  <c r="AW3934" i="2" s="1"/>
  <c r="AW3935" i="2" s="1"/>
  <c r="AW3936" i="2" s="1"/>
  <c r="AW3937" i="2" s="1"/>
  <c r="AW3938" i="2" s="1"/>
  <c r="AW3939" i="2" s="1"/>
  <c r="AW3940" i="2" s="1"/>
  <c r="AW3941" i="2" s="1"/>
  <c r="AW3942" i="2" s="1"/>
  <c r="AW3943" i="2" s="1"/>
  <c r="AW3944" i="2" s="1"/>
  <c r="AW3945" i="2" s="1"/>
  <c r="AW3946" i="2" s="1"/>
  <c r="AW3947" i="2" s="1"/>
  <c r="AW3948" i="2" s="1"/>
  <c r="AW3949" i="2" s="1"/>
  <c r="AW3950" i="2" s="1"/>
  <c r="AW3951" i="2" s="1"/>
  <c r="AW3952" i="2" s="1"/>
  <c r="AW3953" i="2" s="1"/>
  <c r="AW3954" i="2" s="1"/>
  <c r="AW3955" i="2" s="1"/>
  <c r="AW3956" i="2" s="1"/>
  <c r="AW3957" i="2" s="1"/>
  <c r="AW3958" i="2" s="1"/>
  <c r="AW3959" i="2" s="1"/>
  <c r="AW3960" i="2" s="1"/>
  <c r="AW3961" i="2" s="1"/>
  <c r="AW3962" i="2" s="1"/>
  <c r="AW3963" i="2" s="1"/>
  <c r="AW3964" i="2" s="1"/>
  <c r="AW3965" i="2" s="1"/>
  <c r="AW3966" i="2" s="1"/>
  <c r="AW3967" i="2" s="1"/>
  <c r="AW3968" i="2" s="1"/>
  <c r="AW3969" i="2" s="1"/>
  <c r="AW3970" i="2" s="1"/>
  <c r="AW3971" i="2" s="1"/>
  <c r="AW3972" i="2" s="1"/>
  <c r="AW3973" i="2" s="1"/>
  <c r="AW3974" i="2" s="1"/>
  <c r="AW3975" i="2" s="1"/>
  <c r="AW3976" i="2" s="1"/>
  <c r="AW3977" i="2" s="1"/>
  <c r="AW3978" i="2" s="1"/>
  <c r="AW3979" i="2" s="1"/>
  <c r="AW3980" i="2" s="1"/>
  <c r="AW3981" i="2" s="1"/>
  <c r="AW3982" i="2" s="1"/>
  <c r="AW3983" i="2" s="1"/>
  <c r="AW3984" i="2" s="1"/>
  <c r="AW3985" i="2" s="1"/>
  <c r="AW3986" i="2" s="1"/>
  <c r="AW3987" i="2" s="1"/>
  <c r="AW3988" i="2" s="1"/>
  <c r="AW3989" i="2" s="1"/>
  <c r="AW3990" i="2" s="1"/>
  <c r="AW3991" i="2" s="1"/>
  <c r="AW3992" i="2" s="1"/>
  <c r="AW3993" i="2" s="1"/>
  <c r="AW3994" i="2" s="1"/>
  <c r="AW3995" i="2" s="1"/>
  <c r="AW3996" i="2" s="1"/>
  <c r="AW3997" i="2" s="1"/>
  <c r="AW3998" i="2" s="1"/>
  <c r="AW3999" i="2" s="1"/>
  <c r="AW4000" i="2" s="1"/>
  <c r="AW4001" i="2" s="1"/>
  <c r="AW4002" i="2" s="1"/>
  <c r="AW4003" i="2" s="1"/>
  <c r="AW4004" i="2" s="1"/>
  <c r="AW4005" i="2" s="1"/>
  <c r="AW4006" i="2" s="1"/>
  <c r="AW4007" i="2" s="1"/>
  <c r="AW4008" i="2" s="1"/>
  <c r="AW4009" i="2" s="1"/>
  <c r="AW4010" i="2" s="1"/>
  <c r="K11" i="2"/>
  <c r="L12" i="4" l="1"/>
  <c r="M12" i="4"/>
  <c r="N12" i="4"/>
  <c r="L13" i="4"/>
  <c r="M13" i="4"/>
  <c r="N13" i="4"/>
  <c r="L14" i="4"/>
  <c r="M14" i="4"/>
  <c r="N14" i="4"/>
  <c r="L15" i="4"/>
  <c r="M15" i="4"/>
  <c r="N15" i="4"/>
  <c r="L16" i="4"/>
  <c r="M16" i="4"/>
  <c r="N16" i="4"/>
  <c r="L17" i="4"/>
  <c r="M17" i="4"/>
  <c r="N17" i="4"/>
  <c r="L18" i="4"/>
  <c r="M18" i="4"/>
  <c r="N18" i="4"/>
  <c r="L19" i="4"/>
  <c r="M19" i="4"/>
  <c r="N19" i="4"/>
  <c r="L20" i="4"/>
  <c r="M20" i="4"/>
  <c r="N20" i="4"/>
  <c r="L21" i="4"/>
  <c r="M21" i="4"/>
  <c r="N21" i="4"/>
  <c r="L22" i="4"/>
  <c r="M22" i="4"/>
  <c r="N22" i="4"/>
  <c r="L23" i="4"/>
  <c r="M23" i="4"/>
  <c r="N23" i="4"/>
  <c r="L24" i="4"/>
  <c r="M24" i="4"/>
  <c r="N24" i="4"/>
  <c r="L25" i="4"/>
  <c r="M25" i="4"/>
  <c r="N25" i="4"/>
  <c r="L26" i="4"/>
  <c r="M26" i="4"/>
  <c r="N26" i="4"/>
  <c r="L27" i="4"/>
  <c r="M27" i="4"/>
  <c r="N27" i="4"/>
  <c r="L28" i="4"/>
  <c r="M28" i="4"/>
  <c r="N28" i="4"/>
  <c r="L29" i="4"/>
  <c r="M29" i="4"/>
  <c r="N29" i="4"/>
  <c r="L30" i="4"/>
  <c r="M30" i="4"/>
  <c r="N30" i="4"/>
  <c r="L31" i="4"/>
  <c r="M31" i="4"/>
  <c r="N31" i="4"/>
  <c r="L32" i="4"/>
  <c r="M32" i="4"/>
  <c r="N32" i="4"/>
  <c r="L33" i="4"/>
  <c r="M33" i="4"/>
  <c r="N33" i="4"/>
  <c r="L34" i="4"/>
  <c r="M34" i="4"/>
  <c r="N34" i="4"/>
  <c r="L35" i="4"/>
  <c r="M35" i="4"/>
  <c r="N35" i="4"/>
  <c r="L36" i="4"/>
  <c r="M36" i="4"/>
  <c r="N36" i="4"/>
  <c r="L37" i="4"/>
  <c r="M37" i="4"/>
  <c r="N37" i="4"/>
  <c r="L38" i="4"/>
  <c r="M38" i="4"/>
  <c r="N38" i="4"/>
  <c r="L39" i="4"/>
  <c r="M39" i="4"/>
  <c r="N39" i="4"/>
  <c r="L40" i="4"/>
  <c r="M40" i="4"/>
  <c r="N40" i="4"/>
  <c r="L41" i="4"/>
  <c r="M41" i="4"/>
  <c r="N41" i="4"/>
  <c r="L42" i="4"/>
  <c r="M42" i="4"/>
  <c r="N42" i="4"/>
  <c r="L43" i="4"/>
  <c r="M43" i="4"/>
  <c r="N43" i="4"/>
  <c r="L44" i="4"/>
  <c r="M44" i="4"/>
  <c r="N44" i="4"/>
  <c r="L45" i="4"/>
  <c r="M45" i="4"/>
  <c r="N45" i="4"/>
  <c r="L46" i="4"/>
  <c r="M46" i="4"/>
  <c r="N46" i="4"/>
  <c r="L47" i="4"/>
  <c r="M47" i="4"/>
  <c r="N47" i="4"/>
  <c r="L48" i="4"/>
  <c r="M48" i="4"/>
  <c r="N48" i="4"/>
  <c r="L49" i="4"/>
  <c r="M49" i="4"/>
  <c r="N49" i="4"/>
  <c r="L50" i="4"/>
  <c r="M50" i="4"/>
  <c r="N50" i="4"/>
  <c r="L51" i="4"/>
  <c r="M51" i="4"/>
  <c r="N51" i="4"/>
  <c r="L52" i="4"/>
  <c r="M52" i="4"/>
  <c r="N52" i="4"/>
  <c r="L53" i="4"/>
  <c r="M53" i="4"/>
  <c r="N53" i="4"/>
  <c r="L54" i="4"/>
  <c r="M54" i="4"/>
  <c r="N54" i="4"/>
  <c r="L55" i="4"/>
  <c r="M55" i="4"/>
  <c r="N55" i="4"/>
  <c r="L56" i="4"/>
  <c r="M56" i="4"/>
  <c r="N56" i="4"/>
  <c r="L57" i="4"/>
  <c r="M57" i="4"/>
  <c r="N57" i="4"/>
  <c r="L58" i="4"/>
  <c r="M58" i="4"/>
  <c r="N58" i="4"/>
  <c r="L59" i="4"/>
  <c r="M59" i="4"/>
  <c r="N59" i="4"/>
  <c r="L60" i="4"/>
  <c r="M60" i="4"/>
  <c r="N60" i="4"/>
  <c r="L61" i="4"/>
  <c r="M61" i="4"/>
  <c r="N61" i="4"/>
  <c r="L62" i="4"/>
  <c r="M62" i="4"/>
  <c r="N62" i="4"/>
  <c r="L63" i="4"/>
  <c r="M63" i="4"/>
  <c r="N63" i="4"/>
  <c r="L64" i="4"/>
  <c r="M64" i="4"/>
  <c r="N64" i="4"/>
  <c r="L65" i="4"/>
  <c r="M65" i="4"/>
  <c r="N65" i="4"/>
  <c r="L66" i="4"/>
  <c r="M66" i="4"/>
  <c r="N66" i="4"/>
  <c r="L67" i="4"/>
  <c r="M67" i="4"/>
  <c r="N67" i="4"/>
  <c r="L68" i="4"/>
  <c r="M68" i="4"/>
  <c r="N68" i="4"/>
  <c r="L69" i="4"/>
  <c r="M69" i="4"/>
  <c r="N69" i="4"/>
  <c r="L70" i="4"/>
  <c r="M70" i="4"/>
  <c r="N70" i="4"/>
  <c r="L71" i="4"/>
  <c r="M71" i="4"/>
  <c r="N71" i="4"/>
  <c r="L72" i="4"/>
  <c r="M72" i="4"/>
  <c r="N72" i="4"/>
  <c r="L73" i="4"/>
  <c r="M73" i="4"/>
  <c r="N73" i="4"/>
  <c r="L74" i="4"/>
  <c r="M74" i="4"/>
  <c r="N74" i="4"/>
  <c r="L75" i="4"/>
  <c r="M75" i="4"/>
  <c r="N75" i="4"/>
  <c r="L76" i="4"/>
  <c r="M76" i="4"/>
  <c r="N76" i="4"/>
  <c r="L77" i="4"/>
  <c r="M77" i="4"/>
  <c r="N77" i="4"/>
  <c r="L78" i="4"/>
  <c r="M78" i="4"/>
  <c r="N78" i="4"/>
  <c r="L79" i="4"/>
  <c r="M79" i="4"/>
  <c r="N79" i="4"/>
  <c r="L80" i="4"/>
  <c r="M80" i="4"/>
  <c r="N80" i="4"/>
  <c r="L81" i="4"/>
  <c r="M81" i="4"/>
  <c r="N81" i="4"/>
  <c r="L82" i="4"/>
  <c r="M82" i="4"/>
  <c r="N82" i="4"/>
  <c r="L83" i="4"/>
  <c r="M83" i="4"/>
  <c r="N83" i="4"/>
  <c r="L84" i="4"/>
  <c r="M84" i="4"/>
  <c r="N84" i="4"/>
  <c r="L85" i="4"/>
  <c r="M85" i="4"/>
  <c r="N85" i="4"/>
  <c r="L86" i="4"/>
  <c r="M86" i="4"/>
  <c r="N86" i="4"/>
  <c r="L87" i="4"/>
  <c r="M87" i="4"/>
  <c r="N87" i="4"/>
  <c r="L88" i="4"/>
  <c r="M88" i="4"/>
  <c r="N88" i="4"/>
  <c r="L89" i="4"/>
  <c r="M89" i="4"/>
  <c r="N89" i="4"/>
  <c r="L90" i="4"/>
  <c r="M90" i="4"/>
  <c r="N90" i="4"/>
  <c r="L91" i="4"/>
  <c r="M91" i="4"/>
  <c r="N91" i="4"/>
  <c r="L92" i="4"/>
  <c r="M92" i="4"/>
  <c r="N92" i="4"/>
  <c r="L93" i="4"/>
  <c r="M93" i="4"/>
  <c r="N93" i="4"/>
  <c r="L94" i="4"/>
  <c r="M94" i="4"/>
  <c r="N94" i="4"/>
  <c r="L95" i="4"/>
  <c r="M95" i="4"/>
  <c r="N95" i="4"/>
  <c r="L96" i="4"/>
  <c r="M96" i="4"/>
  <c r="N96" i="4"/>
  <c r="L97" i="4"/>
  <c r="M97" i="4"/>
  <c r="N97" i="4"/>
  <c r="L98" i="4"/>
  <c r="M98" i="4"/>
  <c r="N98" i="4"/>
  <c r="L99" i="4"/>
  <c r="M99" i="4"/>
  <c r="N99" i="4"/>
  <c r="L100" i="4"/>
  <c r="M100" i="4"/>
  <c r="N100" i="4"/>
  <c r="L101" i="4"/>
  <c r="M101" i="4"/>
  <c r="N101" i="4"/>
  <c r="L102" i="4"/>
  <c r="M102" i="4"/>
  <c r="N102" i="4"/>
  <c r="L103" i="4"/>
  <c r="M103" i="4"/>
  <c r="N103" i="4"/>
  <c r="L104" i="4"/>
  <c r="M104" i="4"/>
  <c r="N104" i="4"/>
  <c r="L105" i="4"/>
  <c r="M105" i="4"/>
  <c r="N105" i="4"/>
  <c r="L106" i="4"/>
  <c r="M106" i="4"/>
  <c r="N106" i="4"/>
  <c r="L107" i="4"/>
  <c r="M107" i="4"/>
  <c r="N107" i="4"/>
  <c r="L108" i="4"/>
  <c r="M108" i="4"/>
  <c r="N108" i="4"/>
  <c r="L109" i="4"/>
  <c r="M109" i="4"/>
  <c r="N109" i="4"/>
  <c r="L110" i="4"/>
  <c r="M110" i="4"/>
  <c r="N110" i="4"/>
  <c r="L111" i="4"/>
  <c r="M111" i="4"/>
  <c r="N111" i="4"/>
  <c r="L112" i="4"/>
  <c r="M112" i="4"/>
  <c r="N112" i="4"/>
  <c r="L113" i="4"/>
  <c r="M113" i="4"/>
  <c r="N113" i="4"/>
  <c r="L114" i="4"/>
  <c r="M114" i="4"/>
  <c r="N114" i="4"/>
  <c r="L115" i="4"/>
  <c r="M115" i="4"/>
  <c r="N115" i="4"/>
  <c r="L116" i="4"/>
  <c r="M116" i="4"/>
  <c r="N116" i="4"/>
  <c r="L117" i="4"/>
  <c r="M117" i="4"/>
  <c r="N117" i="4"/>
  <c r="L118" i="4"/>
  <c r="M118" i="4"/>
  <c r="N118" i="4"/>
  <c r="L119" i="4"/>
  <c r="M119" i="4"/>
  <c r="N119" i="4"/>
  <c r="L120" i="4"/>
  <c r="M120" i="4"/>
  <c r="N120" i="4"/>
  <c r="L121" i="4"/>
  <c r="M121" i="4"/>
  <c r="N121" i="4"/>
  <c r="L122" i="4"/>
  <c r="M122" i="4"/>
  <c r="N122" i="4"/>
  <c r="L123" i="4"/>
  <c r="M123" i="4"/>
  <c r="N123" i="4"/>
  <c r="L124" i="4"/>
  <c r="M124" i="4"/>
  <c r="N124" i="4"/>
  <c r="L125" i="4"/>
  <c r="M125" i="4"/>
  <c r="N125" i="4"/>
  <c r="L126" i="4"/>
  <c r="M126" i="4"/>
  <c r="N126" i="4"/>
  <c r="L127" i="4"/>
  <c r="M127" i="4"/>
  <c r="N127" i="4"/>
  <c r="L128" i="4"/>
  <c r="M128" i="4"/>
  <c r="N128" i="4"/>
  <c r="L129" i="4"/>
  <c r="M129" i="4"/>
  <c r="N129" i="4"/>
  <c r="L130" i="4"/>
  <c r="M130" i="4"/>
  <c r="N130" i="4"/>
  <c r="L131" i="4"/>
  <c r="M131" i="4"/>
  <c r="N131" i="4"/>
  <c r="L132" i="4"/>
  <c r="M132" i="4"/>
  <c r="N132" i="4"/>
  <c r="L133" i="4"/>
  <c r="M133" i="4"/>
  <c r="N133" i="4"/>
  <c r="L134" i="4"/>
  <c r="M134" i="4"/>
  <c r="N134" i="4"/>
  <c r="L135" i="4"/>
  <c r="M135" i="4"/>
  <c r="N135" i="4"/>
  <c r="L136" i="4"/>
  <c r="M136" i="4"/>
  <c r="N136" i="4"/>
  <c r="L137" i="4"/>
  <c r="M137" i="4"/>
  <c r="N137" i="4"/>
  <c r="L138" i="4"/>
  <c r="M138" i="4"/>
  <c r="N138" i="4"/>
  <c r="L139" i="4"/>
  <c r="M139" i="4"/>
  <c r="N139" i="4"/>
  <c r="L140" i="4"/>
  <c r="M140" i="4"/>
  <c r="N140" i="4"/>
  <c r="L141" i="4"/>
  <c r="M141" i="4"/>
  <c r="N141" i="4"/>
  <c r="L142" i="4"/>
  <c r="M142" i="4"/>
  <c r="N142" i="4"/>
  <c r="L143" i="4"/>
  <c r="M143" i="4"/>
  <c r="N143" i="4"/>
  <c r="L144" i="4"/>
  <c r="M144" i="4"/>
  <c r="N144" i="4"/>
  <c r="L145" i="4"/>
  <c r="M145" i="4"/>
  <c r="N145" i="4"/>
  <c r="L146" i="4"/>
  <c r="M146" i="4"/>
  <c r="N146" i="4"/>
  <c r="L147" i="4"/>
  <c r="M147" i="4"/>
  <c r="N147" i="4"/>
  <c r="L148" i="4"/>
  <c r="M148" i="4"/>
  <c r="N148" i="4"/>
  <c r="L149" i="4"/>
  <c r="M149" i="4"/>
  <c r="N149" i="4"/>
  <c r="L150" i="4"/>
  <c r="M150" i="4"/>
  <c r="N150" i="4"/>
  <c r="L151" i="4"/>
  <c r="M151" i="4"/>
  <c r="N151" i="4"/>
  <c r="L152" i="4"/>
  <c r="M152" i="4"/>
  <c r="N152" i="4"/>
  <c r="L153" i="4"/>
  <c r="M153" i="4"/>
  <c r="N153" i="4"/>
  <c r="L154" i="4"/>
  <c r="M154" i="4"/>
  <c r="N154" i="4"/>
  <c r="L155" i="4"/>
  <c r="M155" i="4"/>
  <c r="N155" i="4"/>
  <c r="L156" i="4"/>
  <c r="M156" i="4"/>
  <c r="N156" i="4"/>
  <c r="L157" i="4"/>
  <c r="M157" i="4"/>
  <c r="N157" i="4"/>
  <c r="L158" i="4"/>
  <c r="M158" i="4"/>
  <c r="N158" i="4"/>
  <c r="L159" i="4"/>
  <c r="M159" i="4"/>
  <c r="N159" i="4"/>
  <c r="L160" i="4"/>
  <c r="M160" i="4"/>
  <c r="N160" i="4"/>
  <c r="L161" i="4"/>
  <c r="M161" i="4"/>
  <c r="N161" i="4"/>
  <c r="L162" i="4"/>
  <c r="M162" i="4"/>
  <c r="N162" i="4"/>
  <c r="L163" i="4"/>
  <c r="M163" i="4"/>
  <c r="N163" i="4"/>
  <c r="L164" i="4"/>
  <c r="M164" i="4"/>
  <c r="N164" i="4"/>
  <c r="L165" i="4"/>
  <c r="M165" i="4"/>
  <c r="N165" i="4"/>
  <c r="L166" i="4"/>
  <c r="M166" i="4"/>
  <c r="N166" i="4"/>
  <c r="L167" i="4"/>
  <c r="M167" i="4"/>
  <c r="N167" i="4"/>
  <c r="L168" i="4"/>
  <c r="M168" i="4"/>
  <c r="N168" i="4"/>
  <c r="L169" i="4"/>
  <c r="M169" i="4"/>
  <c r="N169" i="4"/>
  <c r="L170" i="4"/>
  <c r="M170" i="4"/>
  <c r="N170" i="4"/>
  <c r="L171" i="4"/>
  <c r="M171" i="4"/>
  <c r="N171" i="4"/>
  <c r="L172" i="4"/>
  <c r="M172" i="4"/>
  <c r="N172" i="4"/>
  <c r="L173" i="4"/>
  <c r="M173" i="4"/>
  <c r="N173" i="4"/>
  <c r="L174" i="4"/>
  <c r="M174" i="4"/>
  <c r="N174" i="4"/>
  <c r="L175" i="4"/>
  <c r="M175" i="4"/>
  <c r="N175" i="4"/>
  <c r="L176" i="4"/>
  <c r="M176" i="4"/>
  <c r="N176" i="4"/>
  <c r="L177" i="4"/>
  <c r="M177" i="4"/>
  <c r="N177" i="4"/>
  <c r="L178" i="4"/>
  <c r="M178" i="4"/>
  <c r="N178" i="4"/>
  <c r="L179" i="4"/>
  <c r="M179" i="4"/>
  <c r="N179" i="4"/>
  <c r="L180" i="4"/>
  <c r="M180" i="4"/>
  <c r="N180" i="4"/>
  <c r="L181" i="4"/>
  <c r="M181" i="4"/>
  <c r="N181" i="4"/>
  <c r="L182" i="4"/>
  <c r="M182" i="4"/>
  <c r="N182" i="4"/>
  <c r="L183" i="4"/>
  <c r="M183" i="4"/>
  <c r="N183" i="4"/>
  <c r="L184" i="4"/>
  <c r="M184" i="4"/>
  <c r="N184" i="4"/>
  <c r="L185" i="4"/>
  <c r="M185" i="4"/>
  <c r="N185" i="4"/>
  <c r="L186" i="4"/>
  <c r="M186" i="4"/>
  <c r="N186" i="4"/>
  <c r="L187" i="4"/>
  <c r="M187" i="4"/>
  <c r="N187" i="4"/>
  <c r="L188" i="4"/>
  <c r="M188" i="4"/>
  <c r="N188" i="4"/>
  <c r="L189" i="4"/>
  <c r="M189" i="4"/>
  <c r="N189" i="4"/>
  <c r="L190" i="4"/>
  <c r="M190" i="4"/>
  <c r="N190" i="4"/>
  <c r="L191" i="4"/>
  <c r="M191" i="4"/>
  <c r="N191" i="4"/>
  <c r="L192" i="4"/>
  <c r="M192" i="4"/>
  <c r="N192" i="4"/>
  <c r="L193" i="4"/>
  <c r="M193" i="4"/>
  <c r="N193" i="4"/>
  <c r="L194" i="4"/>
  <c r="M194" i="4"/>
  <c r="N194" i="4"/>
  <c r="L195" i="4"/>
  <c r="M195" i="4"/>
  <c r="N195" i="4"/>
  <c r="L196" i="4"/>
  <c r="M196" i="4"/>
  <c r="N196" i="4"/>
  <c r="L197" i="4"/>
  <c r="M197" i="4"/>
  <c r="N197" i="4"/>
  <c r="L198" i="4"/>
  <c r="M198" i="4"/>
  <c r="N198" i="4"/>
  <c r="L199" i="4"/>
  <c r="M199" i="4"/>
  <c r="N199" i="4"/>
  <c r="L200" i="4"/>
  <c r="M200" i="4"/>
  <c r="N200" i="4"/>
  <c r="L201" i="4"/>
  <c r="M201" i="4"/>
  <c r="N201" i="4"/>
  <c r="L202" i="4"/>
  <c r="M202" i="4"/>
  <c r="N202" i="4"/>
  <c r="L203" i="4"/>
  <c r="M203" i="4"/>
  <c r="N203" i="4"/>
  <c r="L204" i="4"/>
  <c r="M204" i="4"/>
  <c r="N204" i="4"/>
  <c r="L205" i="4"/>
  <c r="M205" i="4"/>
  <c r="N205" i="4"/>
  <c r="L206" i="4"/>
  <c r="M206" i="4"/>
  <c r="N206" i="4"/>
  <c r="L207" i="4"/>
  <c r="M207" i="4"/>
  <c r="N207" i="4"/>
  <c r="L208" i="4"/>
  <c r="M208" i="4"/>
  <c r="N208" i="4"/>
  <c r="L209" i="4"/>
  <c r="M209" i="4"/>
  <c r="N209" i="4"/>
  <c r="L210" i="4"/>
  <c r="M210" i="4"/>
  <c r="N210" i="4"/>
  <c r="L211" i="4"/>
  <c r="M211" i="4"/>
  <c r="N211" i="4"/>
  <c r="L212" i="4"/>
  <c r="M212" i="4"/>
  <c r="N212" i="4"/>
  <c r="L213" i="4"/>
  <c r="M213" i="4"/>
  <c r="N213" i="4"/>
  <c r="L214" i="4"/>
  <c r="M214" i="4"/>
  <c r="N214" i="4"/>
  <c r="L215" i="4"/>
  <c r="M215" i="4"/>
  <c r="N215" i="4"/>
  <c r="L216" i="4"/>
  <c r="M216" i="4"/>
  <c r="N216" i="4"/>
  <c r="L217" i="4"/>
  <c r="M217" i="4"/>
  <c r="N217" i="4"/>
  <c r="L218" i="4"/>
  <c r="M218" i="4"/>
  <c r="N218" i="4"/>
  <c r="L219" i="4"/>
  <c r="M219" i="4"/>
  <c r="N219" i="4"/>
  <c r="L220" i="4"/>
  <c r="M220" i="4"/>
  <c r="N220" i="4"/>
  <c r="L221" i="4"/>
  <c r="M221" i="4"/>
  <c r="N221" i="4"/>
  <c r="L222" i="4"/>
  <c r="M222" i="4"/>
  <c r="N222" i="4"/>
  <c r="L223" i="4"/>
  <c r="M223" i="4"/>
  <c r="N223" i="4"/>
  <c r="L224" i="4"/>
  <c r="M224" i="4"/>
  <c r="N224" i="4"/>
  <c r="L225" i="4"/>
  <c r="M225" i="4"/>
  <c r="N225" i="4"/>
  <c r="L226" i="4"/>
  <c r="M226" i="4"/>
  <c r="N226" i="4"/>
  <c r="L227" i="4"/>
  <c r="M227" i="4"/>
  <c r="N227" i="4"/>
  <c r="L228" i="4"/>
  <c r="M228" i="4"/>
  <c r="N228" i="4"/>
  <c r="L229" i="4"/>
  <c r="M229" i="4"/>
  <c r="N229" i="4"/>
  <c r="L230" i="4"/>
  <c r="M230" i="4"/>
  <c r="N230" i="4"/>
  <c r="L231" i="4"/>
  <c r="M231" i="4"/>
  <c r="N231" i="4"/>
  <c r="L232" i="4"/>
  <c r="M232" i="4"/>
  <c r="N232" i="4"/>
  <c r="L233" i="4"/>
  <c r="M233" i="4"/>
  <c r="N233" i="4"/>
  <c r="L234" i="4"/>
  <c r="M234" i="4"/>
  <c r="N234" i="4"/>
  <c r="L235" i="4"/>
  <c r="M235" i="4"/>
  <c r="N235" i="4"/>
  <c r="L236" i="4"/>
  <c r="M236" i="4"/>
  <c r="N236" i="4"/>
  <c r="L237" i="4"/>
  <c r="M237" i="4"/>
  <c r="N237" i="4"/>
  <c r="L238" i="4"/>
  <c r="M238" i="4"/>
  <c r="N238" i="4"/>
  <c r="L239" i="4"/>
  <c r="M239" i="4"/>
  <c r="N239" i="4"/>
  <c r="L240" i="4"/>
  <c r="M240" i="4"/>
  <c r="N240" i="4"/>
  <c r="L241" i="4"/>
  <c r="M241" i="4"/>
  <c r="N241" i="4"/>
  <c r="L242" i="4"/>
  <c r="M242" i="4"/>
  <c r="N242" i="4"/>
  <c r="L243" i="4"/>
  <c r="M243" i="4"/>
  <c r="N243" i="4"/>
  <c r="L244" i="4"/>
  <c r="M244" i="4"/>
  <c r="N244" i="4"/>
  <c r="L245" i="4"/>
  <c r="M245" i="4"/>
  <c r="N245" i="4"/>
  <c r="L246" i="4"/>
  <c r="M246" i="4"/>
  <c r="N246" i="4"/>
  <c r="L247" i="4"/>
  <c r="M247" i="4"/>
  <c r="N247" i="4"/>
  <c r="L248" i="4"/>
  <c r="M248" i="4"/>
  <c r="N248" i="4"/>
  <c r="L249" i="4"/>
  <c r="M249" i="4"/>
  <c r="N249" i="4"/>
  <c r="L250" i="4"/>
  <c r="M250" i="4"/>
  <c r="N250" i="4"/>
  <c r="L251" i="4"/>
  <c r="M251" i="4"/>
  <c r="N251" i="4"/>
  <c r="L252" i="4"/>
  <c r="M252" i="4"/>
  <c r="N252" i="4"/>
  <c r="L253" i="4"/>
  <c r="M253" i="4"/>
  <c r="N253" i="4"/>
  <c r="L254" i="4"/>
  <c r="M254" i="4"/>
  <c r="N254" i="4"/>
  <c r="L255" i="4"/>
  <c r="M255" i="4"/>
  <c r="N255" i="4"/>
  <c r="L256" i="4"/>
  <c r="M256" i="4"/>
  <c r="N256" i="4"/>
  <c r="L257" i="4"/>
  <c r="M257" i="4"/>
  <c r="N257" i="4"/>
  <c r="L258" i="4"/>
  <c r="M258" i="4"/>
  <c r="N258" i="4"/>
  <c r="L259" i="4"/>
  <c r="M259" i="4"/>
  <c r="N259" i="4"/>
  <c r="L260" i="4"/>
  <c r="M260" i="4"/>
  <c r="N260" i="4"/>
  <c r="L261" i="4"/>
  <c r="M261" i="4"/>
  <c r="N261" i="4"/>
  <c r="L262" i="4"/>
  <c r="M262" i="4"/>
  <c r="N262" i="4"/>
  <c r="L263" i="4"/>
  <c r="M263" i="4"/>
  <c r="N263" i="4"/>
  <c r="L264" i="4"/>
  <c r="M264" i="4"/>
  <c r="N264" i="4"/>
  <c r="L265" i="4"/>
  <c r="M265" i="4"/>
  <c r="N265" i="4"/>
  <c r="L266" i="4"/>
  <c r="M266" i="4"/>
  <c r="N266" i="4"/>
  <c r="L267" i="4"/>
  <c r="M267" i="4"/>
  <c r="N267" i="4"/>
  <c r="L268" i="4"/>
  <c r="M268" i="4"/>
  <c r="N268" i="4"/>
  <c r="L269" i="4"/>
  <c r="M269" i="4"/>
  <c r="N269" i="4"/>
  <c r="L270" i="4"/>
  <c r="M270" i="4"/>
  <c r="N270" i="4"/>
  <c r="L271" i="4"/>
  <c r="M271" i="4"/>
  <c r="N271" i="4"/>
  <c r="L272" i="4"/>
  <c r="M272" i="4"/>
  <c r="N272" i="4"/>
  <c r="L273" i="4"/>
  <c r="M273" i="4"/>
  <c r="N273" i="4"/>
  <c r="L274" i="4"/>
  <c r="M274" i="4"/>
  <c r="N274" i="4"/>
  <c r="L275" i="4"/>
  <c r="M275" i="4"/>
  <c r="N275" i="4"/>
  <c r="L276" i="4"/>
  <c r="M276" i="4"/>
  <c r="N276" i="4"/>
  <c r="L277" i="4"/>
  <c r="M277" i="4"/>
  <c r="N277" i="4"/>
  <c r="L278" i="4"/>
  <c r="M278" i="4"/>
  <c r="N278" i="4"/>
  <c r="L279" i="4"/>
  <c r="M279" i="4"/>
  <c r="N279" i="4"/>
  <c r="L280" i="4"/>
  <c r="M280" i="4"/>
  <c r="N280" i="4"/>
  <c r="L281" i="4"/>
  <c r="M281" i="4"/>
  <c r="N281" i="4"/>
  <c r="L282" i="4"/>
  <c r="M282" i="4"/>
  <c r="N282" i="4"/>
  <c r="L283" i="4"/>
  <c r="M283" i="4"/>
  <c r="N283" i="4"/>
  <c r="L284" i="4"/>
  <c r="M284" i="4"/>
  <c r="N284" i="4"/>
  <c r="L285" i="4"/>
  <c r="M285" i="4"/>
  <c r="N285" i="4"/>
  <c r="L286" i="4"/>
  <c r="M286" i="4"/>
  <c r="N286" i="4"/>
  <c r="L287" i="4"/>
  <c r="M287" i="4"/>
  <c r="N287" i="4"/>
  <c r="L288" i="4"/>
  <c r="M288" i="4"/>
  <c r="N288" i="4"/>
  <c r="L289" i="4"/>
  <c r="M289" i="4"/>
  <c r="N289" i="4"/>
  <c r="L290" i="4"/>
  <c r="M290" i="4"/>
  <c r="N290" i="4"/>
  <c r="L291" i="4"/>
  <c r="M291" i="4"/>
  <c r="N291" i="4"/>
  <c r="L292" i="4"/>
  <c r="M292" i="4"/>
  <c r="N292" i="4"/>
  <c r="L293" i="4"/>
  <c r="M293" i="4"/>
  <c r="N293" i="4"/>
  <c r="L294" i="4"/>
  <c r="M294" i="4"/>
  <c r="N294" i="4"/>
  <c r="L295" i="4"/>
  <c r="M295" i="4"/>
  <c r="N295" i="4"/>
  <c r="L296" i="4"/>
  <c r="M296" i="4"/>
  <c r="N296" i="4"/>
  <c r="L297" i="4"/>
  <c r="M297" i="4"/>
  <c r="N297" i="4"/>
  <c r="L298" i="4"/>
  <c r="M298" i="4"/>
  <c r="N298" i="4"/>
  <c r="L299" i="4"/>
  <c r="M299" i="4"/>
  <c r="N299" i="4"/>
  <c r="L300" i="4"/>
  <c r="M300" i="4"/>
  <c r="N300" i="4"/>
  <c r="L301" i="4"/>
  <c r="M301" i="4"/>
  <c r="N301" i="4"/>
  <c r="L302" i="4"/>
  <c r="M302" i="4"/>
  <c r="N302" i="4"/>
  <c r="L303" i="4"/>
  <c r="M303" i="4"/>
  <c r="N303" i="4"/>
  <c r="L304" i="4"/>
  <c r="M304" i="4"/>
  <c r="N304" i="4"/>
  <c r="L305" i="4"/>
  <c r="M305" i="4"/>
  <c r="N305" i="4"/>
  <c r="L306" i="4"/>
  <c r="M306" i="4"/>
  <c r="N306" i="4"/>
  <c r="L307" i="4"/>
  <c r="M307" i="4"/>
  <c r="N307" i="4"/>
  <c r="L308" i="4"/>
  <c r="M308" i="4"/>
  <c r="N308" i="4"/>
  <c r="L309" i="4"/>
  <c r="M309" i="4"/>
  <c r="N309" i="4"/>
  <c r="L310" i="4"/>
  <c r="M310" i="4"/>
  <c r="N310" i="4"/>
  <c r="L11" i="4"/>
  <c r="M11" i="4"/>
  <c r="N11" i="4"/>
  <c r="L12" i="3"/>
  <c r="M12" i="3"/>
  <c r="N12" i="3"/>
  <c r="L16" i="3"/>
  <c r="M16" i="3"/>
  <c r="N16" i="3"/>
  <c r="L17" i="3"/>
  <c r="M17" i="3"/>
  <c r="N17" i="3"/>
  <c r="L18" i="3"/>
  <c r="M18" i="3"/>
  <c r="N18" i="3"/>
  <c r="L19" i="3"/>
  <c r="M19" i="3"/>
  <c r="N19" i="3"/>
  <c r="L20" i="3"/>
  <c r="M20" i="3"/>
  <c r="N20" i="3"/>
  <c r="L21" i="3"/>
  <c r="M21" i="3"/>
  <c r="N21" i="3"/>
  <c r="L22" i="3"/>
  <c r="M22" i="3"/>
  <c r="N22" i="3"/>
  <c r="L23" i="3"/>
  <c r="M23" i="3"/>
  <c r="N23" i="3"/>
  <c r="L24" i="3"/>
  <c r="M24" i="3"/>
  <c r="N24" i="3"/>
  <c r="L26" i="3"/>
  <c r="M26" i="3"/>
  <c r="N26" i="3"/>
  <c r="L27" i="3"/>
  <c r="M27" i="3"/>
  <c r="N27" i="3"/>
  <c r="L28" i="3"/>
  <c r="M28" i="3"/>
  <c r="N28" i="3"/>
  <c r="L29" i="3"/>
  <c r="M29" i="3"/>
  <c r="N29" i="3"/>
  <c r="L30" i="3"/>
  <c r="M30" i="3"/>
  <c r="N30" i="3"/>
  <c r="L31" i="3"/>
  <c r="M31" i="3"/>
  <c r="N31" i="3"/>
  <c r="L32" i="3"/>
  <c r="M32" i="3"/>
  <c r="N32" i="3"/>
  <c r="L33" i="3"/>
  <c r="M33" i="3"/>
  <c r="N33" i="3"/>
  <c r="L34" i="3"/>
  <c r="M34" i="3"/>
  <c r="N34" i="3"/>
  <c r="L35" i="3"/>
  <c r="M35" i="3"/>
  <c r="N35" i="3"/>
  <c r="L36" i="3"/>
  <c r="M36" i="3"/>
  <c r="N36" i="3"/>
  <c r="L37" i="3"/>
  <c r="M37" i="3"/>
  <c r="N37" i="3"/>
  <c r="L38" i="3"/>
  <c r="M38" i="3"/>
  <c r="N38" i="3"/>
  <c r="L39" i="3"/>
  <c r="M39" i="3"/>
  <c r="N39" i="3"/>
  <c r="L40" i="3"/>
  <c r="M40" i="3"/>
  <c r="N40" i="3"/>
  <c r="L41" i="3"/>
  <c r="M41" i="3"/>
  <c r="N41" i="3"/>
  <c r="L42" i="3"/>
  <c r="M42" i="3"/>
  <c r="N42" i="3"/>
  <c r="L45" i="3"/>
  <c r="M45" i="3"/>
  <c r="N45" i="3"/>
  <c r="L46" i="3"/>
  <c r="M46" i="3"/>
  <c r="N46" i="3"/>
  <c r="L48" i="3"/>
  <c r="M48" i="3"/>
  <c r="N48" i="3"/>
  <c r="L51" i="3"/>
  <c r="M51" i="3"/>
  <c r="N51" i="3"/>
  <c r="L53" i="3"/>
  <c r="M53" i="3"/>
  <c r="N53" i="3"/>
  <c r="L57" i="3"/>
  <c r="M57" i="3"/>
  <c r="N57" i="3"/>
  <c r="L58" i="3"/>
  <c r="M58" i="3"/>
  <c r="N58" i="3"/>
  <c r="L59" i="3"/>
  <c r="M59" i="3"/>
  <c r="N59" i="3"/>
  <c r="L60" i="3"/>
  <c r="M60" i="3"/>
  <c r="N60" i="3"/>
  <c r="L65" i="3"/>
  <c r="M65" i="3"/>
  <c r="N65" i="3"/>
  <c r="L66" i="3"/>
  <c r="M66" i="3"/>
  <c r="N66" i="3"/>
  <c r="L70" i="3"/>
  <c r="M70" i="3"/>
  <c r="N70" i="3"/>
  <c r="L71" i="3"/>
  <c r="M71" i="3"/>
  <c r="N71" i="3"/>
  <c r="L72" i="3"/>
  <c r="M72" i="3"/>
  <c r="N72" i="3"/>
  <c r="L74" i="3"/>
  <c r="M74" i="3"/>
  <c r="N74" i="3"/>
  <c r="L75" i="3"/>
  <c r="M75" i="3"/>
  <c r="N75" i="3"/>
  <c r="L77" i="3"/>
  <c r="M77" i="3"/>
  <c r="N77" i="3"/>
  <c r="L80" i="3"/>
  <c r="M80" i="3"/>
  <c r="N80" i="3"/>
  <c r="L84" i="3"/>
  <c r="M84" i="3"/>
  <c r="N84" i="3"/>
  <c r="L86" i="3"/>
  <c r="M86" i="3"/>
  <c r="N86" i="3"/>
  <c r="L87" i="3"/>
  <c r="M87" i="3"/>
  <c r="N87" i="3"/>
  <c r="L90" i="3"/>
  <c r="M90" i="3"/>
  <c r="N90" i="3"/>
  <c r="L91" i="3"/>
  <c r="M91" i="3"/>
  <c r="N91" i="3"/>
  <c r="L93" i="3"/>
  <c r="M93" i="3"/>
  <c r="N93" i="3"/>
  <c r="L99" i="3"/>
  <c r="M99" i="3"/>
  <c r="N99" i="3"/>
  <c r="L101" i="3"/>
  <c r="M101" i="3"/>
  <c r="N101" i="3"/>
  <c r="M103" i="3"/>
  <c r="L103" i="3"/>
  <c r="N103" i="3"/>
  <c r="L106" i="3"/>
  <c r="M106" i="3"/>
  <c r="N106" i="3"/>
  <c r="L109" i="3"/>
  <c r="M109" i="3"/>
  <c r="N109" i="3"/>
  <c r="L110" i="3"/>
  <c r="M110" i="3"/>
  <c r="N110" i="3"/>
  <c r="L114" i="3"/>
  <c r="M114" i="3"/>
  <c r="N114" i="3"/>
  <c r="L115" i="3"/>
  <c r="M115" i="3"/>
  <c r="N115" i="3"/>
  <c r="L116" i="3"/>
  <c r="M116" i="3"/>
  <c r="N116" i="3"/>
  <c r="L118" i="3"/>
  <c r="M118" i="3"/>
  <c r="N118" i="3"/>
  <c r="L119" i="3"/>
  <c r="M119" i="3"/>
  <c r="N119" i="3"/>
  <c r="L121" i="3"/>
  <c r="M121" i="3"/>
  <c r="N121" i="3"/>
  <c r="L122" i="3"/>
  <c r="M122" i="3"/>
  <c r="N122" i="3"/>
  <c r="L123" i="3"/>
  <c r="M123" i="3"/>
  <c r="N123" i="3"/>
  <c r="L125" i="3"/>
  <c r="M125" i="3"/>
  <c r="N125" i="3"/>
  <c r="L132" i="3"/>
  <c r="M132" i="3"/>
  <c r="N132" i="3"/>
  <c r="L134" i="3"/>
  <c r="M134" i="3"/>
  <c r="N134" i="3"/>
  <c r="L137" i="3"/>
  <c r="M137" i="3"/>
  <c r="N137" i="3"/>
  <c r="L138" i="3"/>
  <c r="M138" i="3"/>
  <c r="N138" i="3"/>
  <c r="L140" i="3"/>
  <c r="M140" i="3"/>
  <c r="N140" i="3"/>
  <c r="L144" i="3"/>
  <c r="M144" i="3"/>
  <c r="N144" i="3"/>
  <c r="N146" i="3"/>
  <c r="L146" i="3"/>
  <c r="M146" i="3"/>
  <c r="L149" i="3"/>
  <c r="M149" i="3"/>
  <c r="N149" i="3"/>
  <c r="L150" i="3"/>
  <c r="M150" i="3"/>
  <c r="N150" i="3"/>
  <c r="L154" i="3"/>
  <c r="M154" i="3"/>
  <c r="N154" i="3"/>
  <c r="L155" i="3"/>
  <c r="M155" i="3"/>
  <c r="N155" i="3"/>
  <c r="L156" i="3"/>
  <c r="M156" i="3"/>
  <c r="N156" i="3"/>
  <c r="L158" i="3"/>
  <c r="M158" i="3"/>
  <c r="N158" i="3"/>
  <c r="L160" i="3"/>
  <c r="M160" i="3"/>
  <c r="N160" i="3"/>
  <c r="L161" i="3"/>
  <c r="M161" i="3"/>
  <c r="N161" i="3"/>
  <c r="L164" i="3"/>
  <c r="M164" i="3"/>
  <c r="N164" i="3"/>
  <c r="L165" i="3"/>
  <c r="M165" i="3"/>
  <c r="N165" i="3"/>
  <c r="L166" i="3"/>
  <c r="M166" i="3"/>
  <c r="N166" i="3"/>
  <c r="L167" i="3"/>
  <c r="M167" i="3"/>
  <c r="N167" i="3"/>
  <c r="L169" i="3"/>
  <c r="M169" i="3"/>
  <c r="N169" i="3"/>
  <c r="L172" i="3"/>
  <c r="M172" i="3"/>
  <c r="N172" i="3"/>
  <c r="L174" i="3"/>
  <c r="M174" i="3"/>
  <c r="N174" i="3"/>
  <c r="L181" i="3"/>
  <c r="M181" i="3"/>
  <c r="N181" i="3"/>
  <c r="L186" i="3"/>
  <c r="M186" i="3"/>
  <c r="N186" i="3"/>
  <c r="L187" i="3"/>
  <c r="M187" i="3"/>
  <c r="N187" i="3"/>
  <c r="L190" i="3"/>
  <c r="M190" i="3"/>
  <c r="N190" i="3"/>
  <c r="L194" i="3"/>
  <c r="M194" i="3"/>
  <c r="N194" i="3"/>
  <c r="L200" i="3"/>
  <c r="M200" i="3"/>
  <c r="N200" i="3"/>
  <c r="L201" i="3"/>
  <c r="M201" i="3"/>
  <c r="N201" i="3"/>
  <c r="L202" i="3"/>
  <c r="M202" i="3"/>
  <c r="N202" i="3"/>
  <c r="L206" i="3"/>
  <c r="M206" i="3"/>
  <c r="N206" i="3"/>
  <c r="L209" i="3"/>
  <c r="M209" i="3"/>
  <c r="N209" i="3"/>
  <c r="L210" i="3"/>
  <c r="M210" i="3"/>
  <c r="N210" i="3"/>
  <c r="L212" i="3"/>
  <c r="M212" i="3"/>
  <c r="N212" i="3"/>
  <c r="L217" i="3"/>
  <c r="M217" i="3"/>
  <c r="N217" i="3"/>
  <c r="L218" i="3"/>
  <c r="M218" i="3"/>
  <c r="N218" i="3"/>
  <c r="L220" i="3"/>
  <c r="M220" i="3"/>
  <c r="N220" i="3"/>
  <c r="L221" i="3"/>
  <c r="M221" i="3"/>
  <c r="N221" i="3"/>
  <c r="L222" i="3"/>
  <c r="M222" i="3"/>
  <c r="N222" i="3"/>
  <c r="M223" i="3"/>
  <c r="L223" i="3"/>
  <c r="N223" i="3"/>
  <c r="M225" i="3"/>
  <c r="N225" i="3"/>
  <c r="L225" i="3"/>
  <c r="L226" i="3"/>
  <c r="M226" i="3"/>
  <c r="N226" i="3"/>
  <c r="L227" i="3"/>
  <c r="M227" i="3"/>
  <c r="N227" i="3"/>
  <c r="L230" i="3"/>
  <c r="M230" i="3"/>
  <c r="N230" i="3"/>
  <c r="M234" i="3"/>
  <c r="N234" i="3"/>
  <c r="L234" i="3"/>
  <c r="L236" i="3"/>
  <c r="M236" i="3"/>
  <c r="N236" i="3"/>
  <c r="L238" i="3"/>
  <c r="M238" i="3"/>
  <c r="N238" i="3"/>
  <c r="L239" i="3"/>
  <c r="M239" i="3"/>
  <c r="N239" i="3"/>
  <c r="M240" i="3"/>
  <c r="N240" i="3"/>
  <c r="L240" i="3"/>
  <c r="L243" i="3"/>
  <c r="M243" i="3"/>
  <c r="N243" i="3"/>
  <c r="N244" i="3"/>
  <c r="L244" i="3"/>
  <c r="M244" i="3"/>
  <c r="M246" i="3"/>
  <c r="L246" i="3"/>
  <c r="N246" i="3"/>
  <c r="M248" i="3"/>
  <c r="N248" i="3"/>
  <c r="L248" i="3"/>
  <c r="L250" i="3"/>
  <c r="M250" i="3"/>
  <c r="N250" i="3"/>
  <c r="L251" i="3"/>
  <c r="M251" i="3"/>
  <c r="N251" i="3"/>
  <c r="L252" i="3"/>
  <c r="M252" i="3"/>
  <c r="N252" i="3"/>
  <c r="L255" i="3"/>
  <c r="M255" i="3"/>
  <c r="N255" i="3"/>
  <c r="L258" i="3"/>
  <c r="M258" i="3"/>
  <c r="N258" i="3"/>
  <c r="L259" i="3"/>
  <c r="M259" i="3"/>
  <c r="N259" i="3"/>
  <c r="M260" i="3"/>
  <c r="N260" i="3"/>
  <c r="L260" i="3"/>
  <c r="L261" i="3"/>
  <c r="M261" i="3"/>
  <c r="N261" i="3"/>
  <c r="L264" i="3"/>
  <c r="M264" i="3"/>
  <c r="N264" i="3"/>
  <c r="L266" i="3"/>
  <c r="M266" i="3"/>
  <c r="N266" i="3"/>
  <c r="L267" i="3"/>
  <c r="M267" i="3"/>
  <c r="N267" i="3"/>
  <c r="L268" i="3"/>
  <c r="M268" i="3"/>
  <c r="N268" i="3"/>
  <c r="L270" i="3"/>
  <c r="M270" i="3"/>
  <c r="N270" i="3"/>
  <c r="L274" i="3"/>
  <c r="M274" i="3"/>
  <c r="N274" i="3"/>
  <c r="L276" i="3"/>
  <c r="M276" i="3"/>
  <c r="N276" i="3"/>
  <c r="L278" i="3"/>
  <c r="M278" i="3"/>
  <c r="N278" i="3"/>
  <c r="L280" i="3"/>
  <c r="M280" i="3"/>
  <c r="N280" i="3"/>
  <c r="L281" i="3"/>
  <c r="M281" i="3"/>
  <c r="N281" i="3"/>
  <c r="L282" i="3"/>
  <c r="M282" i="3"/>
  <c r="N282" i="3"/>
  <c r="L283" i="3"/>
  <c r="M283" i="3"/>
  <c r="N283" i="3"/>
  <c r="L284" i="3"/>
  <c r="M284" i="3"/>
  <c r="N284" i="3"/>
  <c r="L285" i="3"/>
  <c r="M285" i="3"/>
  <c r="N285" i="3"/>
  <c r="L286" i="3"/>
  <c r="M286" i="3"/>
  <c r="N286" i="3"/>
  <c r="L287" i="3"/>
  <c r="M287" i="3"/>
  <c r="N287" i="3"/>
  <c r="L288" i="3"/>
  <c r="M288" i="3"/>
  <c r="N288" i="3"/>
  <c r="L289" i="3"/>
  <c r="M289" i="3"/>
  <c r="N289" i="3"/>
  <c r="L290" i="3"/>
  <c r="M290" i="3"/>
  <c r="N290" i="3"/>
  <c r="L291" i="3"/>
  <c r="M291" i="3"/>
  <c r="N291" i="3"/>
  <c r="L292" i="3"/>
  <c r="M292" i="3"/>
  <c r="N292" i="3"/>
  <c r="L293" i="3"/>
  <c r="M293" i="3"/>
  <c r="N293" i="3"/>
  <c r="L294" i="3"/>
  <c r="M294" i="3"/>
  <c r="N294" i="3"/>
  <c r="L295" i="3"/>
  <c r="M295" i="3"/>
  <c r="N295" i="3"/>
  <c r="L296" i="3"/>
  <c r="M296" i="3"/>
  <c r="N296" i="3"/>
  <c r="L297" i="3"/>
  <c r="M297" i="3"/>
  <c r="N297" i="3"/>
  <c r="L298" i="3"/>
  <c r="M298" i="3"/>
  <c r="N298" i="3"/>
  <c r="L299" i="3"/>
  <c r="M299" i="3"/>
  <c r="N299" i="3"/>
  <c r="L300" i="3"/>
  <c r="M300" i="3"/>
  <c r="N300" i="3"/>
  <c r="L301" i="3"/>
  <c r="M301" i="3"/>
  <c r="N301" i="3"/>
  <c r="L302" i="3"/>
  <c r="M302" i="3"/>
  <c r="N302" i="3"/>
  <c r="L303" i="3"/>
  <c r="M303" i="3"/>
  <c r="N303" i="3"/>
  <c r="L304" i="3"/>
  <c r="M304" i="3"/>
  <c r="N304" i="3"/>
  <c r="L305" i="3"/>
  <c r="M305" i="3"/>
  <c r="N305" i="3"/>
  <c r="L306" i="3"/>
  <c r="M306" i="3"/>
  <c r="N306" i="3"/>
  <c r="L307" i="3"/>
  <c r="M307" i="3"/>
  <c r="N307" i="3"/>
  <c r="L308" i="3"/>
  <c r="M308" i="3"/>
  <c r="N308" i="3"/>
  <c r="L309" i="3"/>
  <c r="M309" i="3"/>
  <c r="N309" i="3"/>
  <c r="L310" i="3"/>
  <c r="M310" i="3"/>
  <c r="N310" i="3"/>
  <c r="L13" i="3"/>
  <c r="M13" i="3"/>
  <c r="N13" i="3"/>
  <c r="L14" i="3"/>
  <c r="M14" i="3"/>
  <c r="N14" i="3"/>
  <c r="L15" i="3"/>
  <c r="M15" i="3"/>
  <c r="N15" i="3"/>
  <c r="L25" i="3"/>
  <c r="M25" i="3"/>
  <c r="N25" i="3"/>
  <c r="L43" i="3"/>
  <c r="M43" i="3"/>
  <c r="N43" i="3"/>
  <c r="L44" i="3"/>
  <c r="M44" i="3"/>
  <c r="N44" i="3"/>
  <c r="L47" i="3"/>
  <c r="M47" i="3"/>
  <c r="N47" i="3"/>
  <c r="L49" i="3"/>
  <c r="M49" i="3"/>
  <c r="N49" i="3"/>
  <c r="L50" i="3"/>
  <c r="M50" i="3"/>
  <c r="N50" i="3"/>
  <c r="L52" i="3"/>
  <c r="M52" i="3"/>
  <c r="N52" i="3"/>
  <c r="L54" i="3"/>
  <c r="M54" i="3"/>
  <c r="N54" i="3"/>
  <c r="L55" i="3"/>
  <c r="M55" i="3"/>
  <c r="N55" i="3"/>
  <c r="L56" i="3"/>
  <c r="M56" i="3"/>
  <c r="N56" i="3"/>
  <c r="L61" i="3"/>
  <c r="M61" i="3"/>
  <c r="N61" i="3"/>
  <c r="L62" i="3"/>
  <c r="M62" i="3"/>
  <c r="N62" i="3"/>
  <c r="L63" i="3"/>
  <c r="M63" i="3"/>
  <c r="N63" i="3"/>
  <c r="L64" i="3"/>
  <c r="M64" i="3"/>
  <c r="N64" i="3"/>
  <c r="L67" i="3"/>
  <c r="M67" i="3"/>
  <c r="N67" i="3"/>
  <c r="L68" i="3"/>
  <c r="M68" i="3"/>
  <c r="N68" i="3"/>
  <c r="L69" i="3"/>
  <c r="M69" i="3"/>
  <c r="N69" i="3"/>
  <c r="L73" i="3"/>
  <c r="M73" i="3"/>
  <c r="N73" i="3"/>
  <c r="L76" i="3"/>
  <c r="M76" i="3"/>
  <c r="N76" i="3"/>
  <c r="L78" i="3"/>
  <c r="M78" i="3"/>
  <c r="N78" i="3"/>
  <c r="L79" i="3"/>
  <c r="M79" i="3"/>
  <c r="N79" i="3"/>
  <c r="L81" i="3"/>
  <c r="M81" i="3"/>
  <c r="N81" i="3"/>
  <c r="L82" i="3"/>
  <c r="M82" i="3"/>
  <c r="N82" i="3"/>
  <c r="L83" i="3"/>
  <c r="M83" i="3"/>
  <c r="N83" i="3"/>
  <c r="L85" i="3"/>
  <c r="M85" i="3"/>
  <c r="N85" i="3"/>
  <c r="L88" i="3"/>
  <c r="M88" i="3"/>
  <c r="N88" i="3"/>
  <c r="L89" i="3"/>
  <c r="M89" i="3"/>
  <c r="N89" i="3"/>
  <c r="L92" i="3"/>
  <c r="M92" i="3"/>
  <c r="N92" i="3"/>
  <c r="L94" i="3"/>
  <c r="M94" i="3"/>
  <c r="N94" i="3"/>
  <c r="L95" i="3"/>
  <c r="M95" i="3"/>
  <c r="N95" i="3"/>
  <c r="L96" i="3"/>
  <c r="M96" i="3"/>
  <c r="N96" i="3"/>
  <c r="L97" i="3"/>
  <c r="M97" i="3"/>
  <c r="N97" i="3"/>
  <c r="L98" i="3"/>
  <c r="M98" i="3"/>
  <c r="N98" i="3"/>
  <c r="L100" i="3"/>
  <c r="M100" i="3"/>
  <c r="N100" i="3"/>
  <c r="L102" i="3"/>
  <c r="M102" i="3"/>
  <c r="N102" i="3"/>
  <c r="L104" i="3"/>
  <c r="M104" i="3"/>
  <c r="N104" i="3"/>
  <c r="L105" i="3"/>
  <c r="M105" i="3"/>
  <c r="N105" i="3"/>
  <c r="L107" i="3"/>
  <c r="M107" i="3"/>
  <c r="N107" i="3"/>
  <c r="L108" i="3"/>
  <c r="M108" i="3"/>
  <c r="N108" i="3"/>
  <c r="L111" i="3"/>
  <c r="M111" i="3"/>
  <c r="N111" i="3"/>
  <c r="L112" i="3"/>
  <c r="M112" i="3"/>
  <c r="N112" i="3"/>
  <c r="L113" i="3"/>
  <c r="M113" i="3"/>
  <c r="N113" i="3"/>
  <c r="L117" i="3"/>
  <c r="M117" i="3"/>
  <c r="N117" i="3"/>
  <c r="L120" i="3"/>
  <c r="M120" i="3"/>
  <c r="N120" i="3"/>
  <c r="L124" i="3"/>
  <c r="M124" i="3"/>
  <c r="N124" i="3"/>
  <c r="L126" i="3"/>
  <c r="M126" i="3"/>
  <c r="N126" i="3"/>
  <c r="L127" i="3"/>
  <c r="M127" i="3"/>
  <c r="N127" i="3"/>
  <c r="L128" i="3"/>
  <c r="M128" i="3"/>
  <c r="N128" i="3"/>
  <c r="L129" i="3"/>
  <c r="M129" i="3"/>
  <c r="N129" i="3"/>
  <c r="L130" i="3"/>
  <c r="M130" i="3"/>
  <c r="N130" i="3"/>
  <c r="L131" i="3"/>
  <c r="M131" i="3"/>
  <c r="N131" i="3"/>
  <c r="L133" i="3"/>
  <c r="M133" i="3"/>
  <c r="N133" i="3"/>
  <c r="L135" i="3"/>
  <c r="M135" i="3"/>
  <c r="N135" i="3"/>
  <c r="L136" i="3"/>
  <c r="M136" i="3"/>
  <c r="N136" i="3"/>
  <c r="L139" i="3"/>
  <c r="M139" i="3"/>
  <c r="N139" i="3"/>
  <c r="L141" i="3"/>
  <c r="M141" i="3"/>
  <c r="N141" i="3"/>
  <c r="L142" i="3"/>
  <c r="M142" i="3"/>
  <c r="N142" i="3"/>
  <c r="L143" i="3"/>
  <c r="M143" i="3"/>
  <c r="N143" i="3"/>
  <c r="L145" i="3"/>
  <c r="M145" i="3"/>
  <c r="N145" i="3"/>
  <c r="L147" i="3"/>
  <c r="M147" i="3"/>
  <c r="N147" i="3"/>
  <c r="L148" i="3"/>
  <c r="M148" i="3"/>
  <c r="N148" i="3"/>
  <c r="L151" i="3"/>
  <c r="M151" i="3"/>
  <c r="N151" i="3"/>
  <c r="L152" i="3"/>
  <c r="M152" i="3"/>
  <c r="N152" i="3"/>
  <c r="L153" i="3"/>
  <c r="M153" i="3"/>
  <c r="N153" i="3"/>
  <c r="L157" i="3"/>
  <c r="M157" i="3"/>
  <c r="N157" i="3"/>
  <c r="L159" i="3"/>
  <c r="M159" i="3"/>
  <c r="N159" i="3"/>
  <c r="L162" i="3"/>
  <c r="M162" i="3"/>
  <c r="N162" i="3"/>
  <c r="L163" i="3"/>
  <c r="M163" i="3"/>
  <c r="N163" i="3"/>
  <c r="L168" i="3"/>
  <c r="M168" i="3"/>
  <c r="N168" i="3"/>
  <c r="L170" i="3"/>
  <c r="M170" i="3"/>
  <c r="N170" i="3"/>
  <c r="L171" i="3"/>
  <c r="M171" i="3"/>
  <c r="N171" i="3"/>
  <c r="L173" i="3"/>
  <c r="M173" i="3"/>
  <c r="N173" i="3"/>
  <c r="L175" i="3"/>
  <c r="M175" i="3"/>
  <c r="N175" i="3"/>
  <c r="L176" i="3"/>
  <c r="M176" i="3"/>
  <c r="N176" i="3"/>
  <c r="L177" i="3"/>
  <c r="M177" i="3"/>
  <c r="N177" i="3"/>
  <c r="L178" i="3"/>
  <c r="M178" i="3"/>
  <c r="N178" i="3"/>
  <c r="L179" i="3"/>
  <c r="M179" i="3"/>
  <c r="N179" i="3"/>
  <c r="L180" i="3"/>
  <c r="M180" i="3"/>
  <c r="N180" i="3"/>
  <c r="L182" i="3"/>
  <c r="M182" i="3"/>
  <c r="N182" i="3"/>
  <c r="L183" i="3"/>
  <c r="M183" i="3"/>
  <c r="N183" i="3"/>
  <c r="L184" i="3"/>
  <c r="M184" i="3"/>
  <c r="N184" i="3"/>
  <c r="L185" i="3"/>
  <c r="M185" i="3"/>
  <c r="N185" i="3"/>
  <c r="L188" i="3"/>
  <c r="M188" i="3"/>
  <c r="N188" i="3"/>
  <c r="L189" i="3"/>
  <c r="M189" i="3"/>
  <c r="N189" i="3"/>
  <c r="L191" i="3"/>
  <c r="M191" i="3"/>
  <c r="N191" i="3"/>
  <c r="L192" i="3"/>
  <c r="M192" i="3"/>
  <c r="N192" i="3"/>
  <c r="L193" i="3"/>
  <c r="M193" i="3"/>
  <c r="N193" i="3"/>
  <c r="L195" i="3"/>
  <c r="M195" i="3"/>
  <c r="N195" i="3"/>
  <c r="L196" i="3"/>
  <c r="M196" i="3"/>
  <c r="N196" i="3"/>
  <c r="L197" i="3"/>
  <c r="M197" i="3"/>
  <c r="N197" i="3"/>
  <c r="L198" i="3"/>
  <c r="M198" i="3"/>
  <c r="N198" i="3"/>
  <c r="L199" i="3"/>
  <c r="M199" i="3"/>
  <c r="N199" i="3"/>
  <c r="L203" i="3"/>
  <c r="M203" i="3"/>
  <c r="N203" i="3"/>
  <c r="L204" i="3"/>
  <c r="M204" i="3"/>
  <c r="N204" i="3"/>
  <c r="L205" i="3"/>
  <c r="M205" i="3"/>
  <c r="N205" i="3"/>
  <c r="L207" i="3"/>
  <c r="M207" i="3"/>
  <c r="N207" i="3"/>
  <c r="L208" i="3"/>
  <c r="M208" i="3"/>
  <c r="N208" i="3"/>
  <c r="L211" i="3"/>
  <c r="M211" i="3"/>
  <c r="N211" i="3"/>
  <c r="L213" i="3"/>
  <c r="M213" i="3"/>
  <c r="N213" i="3"/>
  <c r="M214" i="3"/>
  <c r="L214" i="3"/>
  <c r="N214" i="3"/>
  <c r="L215" i="3"/>
  <c r="M215" i="3"/>
  <c r="N215" i="3"/>
  <c r="L216" i="3"/>
  <c r="M216" i="3"/>
  <c r="N216" i="3"/>
  <c r="L219" i="3"/>
  <c r="M219" i="3"/>
  <c r="N219" i="3"/>
  <c r="L224" i="3"/>
  <c r="M224" i="3"/>
  <c r="N224" i="3"/>
  <c r="L228" i="3"/>
  <c r="M228" i="3"/>
  <c r="N228" i="3"/>
  <c r="L229" i="3"/>
  <c r="M229" i="3"/>
  <c r="N229" i="3"/>
  <c r="L231" i="3"/>
  <c r="M231" i="3"/>
  <c r="N231" i="3"/>
  <c r="L232" i="3"/>
  <c r="M232" i="3"/>
  <c r="N232" i="3"/>
  <c r="L233" i="3"/>
  <c r="M233" i="3"/>
  <c r="N233" i="3"/>
  <c r="L235" i="3"/>
  <c r="M235" i="3"/>
  <c r="N235" i="3"/>
  <c r="L237" i="3"/>
  <c r="M237" i="3"/>
  <c r="N237" i="3"/>
  <c r="L241" i="3"/>
  <c r="M241" i="3"/>
  <c r="N241" i="3"/>
  <c r="L242" i="3"/>
  <c r="M242" i="3"/>
  <c r="N242" i="3"/>
  <c r="L245" i="3"/>
  <c r="M245" i="3"/>
  <c r="N245" i="3"/>
  <c r="L247" i="3"/>
  <c r="M247" i="3"/>
  <c r="N247" i="3"/>
  <c r="L249" i="3"/>
  <c r="M249" i="3"/>
  <c r="N249" i="3"/>
  <c r="L253" i="3"/>
  <c r="M253" i="3"/>
  <c r="N253" i="3"/>
  <c r="M254" i="3"/>
  <c r="N254" i="3"/>
  <c r="L254" i="3"/>
  <c r="L256" i="3"/>
  <c r="M256" i="3"/>
  <c r="N256" i="3"/>
  <c r="L257" i="3"/>
  <c r="M257" i="3"/>
  <c r="N257" i="3"/>
  <c r="L262" i="3"/>
  <c r="M262" i="3"/>
  <c r="N262" i="3"/>
  <c r="L263" i="3"/>
  <c r="M263" i="3"/>
  <c r="N263" i="3"/>
  <c r="L265" i="3"/>
  <c r="M265" i="3"/>
  <c r="N265" i="3"/>
  <c r="M269" i="3"/>
  <c r="N269" i="3"/>
  <c r="L269" i="3"/>
  <c r="L271" i="3"/>
  <c r="M271" i="3"/>
  <c r="N271" i="3"/>
  <c r="L272" i="3"/>
  <c r="M272" i="3"/>
  <c r="N272" i="3"/>
  <c r="L273" i="3"/>
  <c r="M273" i="3"/>
  <c r="N273" i="3"/>
  <c r="L275" i="3"/>
  <c r="M275" i="3"/>
  <c r="N275" i="3"/>
  <c r="M277" i="3"/>
  <c r="L277" i="3"/>
  <c r="N277" i="3"/>
  <c r="L279" i="3"/>
  <c r="M279" i="3"/>
  <c r="N279" i="3"/>
  <c r="L11" i="3"/>
  <c r="M11" i="3"/>
  <c r="N11" i="3"/>
  <c r="L11" i="2"/>
  <c r="M11" i="2"/>
  <c r="N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N12" i="2" l="1"/>
  <c r="M12" i="2"/>
  <c r="L12" i="2"/>
  <c r="N13" i="2"/>
  <c r="M13" i="2"/>
  <c r="L13" i="2"/>
  <c r="N14" i="2"/>
  <c r="M14" i="2"/>
  <c r="L14" i="2"/>
  <c r="N15" i="2"/>
  <c r="M15" i="2"/>
  <c r="L15" i="2"/>
  <c r="N16" i="2"/>
  <c r="M16" i="2"/>
  <c r="L16" i="2"/>
  <c r="N17" i="2"/>
  <c r="M17" i="2"/>
  <c r="L17" i="2"/>
  <c r="N18" i="2"/>
  <c r="M18" i="2"/>
  <c r="L18" i="2"/>
  <c r="N19" i="2"/>
  <c r="M19" i="2"/>
  <c r="L19" i="2"/>
  <c r="N20" i="2"/>
  <c r="M20" i="2"/>
  <c r="L20" i="2"/>
  <c r="N21" i="2"/>
  <c r="M21" i="2"/>
  <c r="L21" i="2"/>
  <c r="N22" i="2"/>
  <c r="M22" i="2"/>
  <c r="L22" i="2"/>
  <c r="N23" i="2"/>
  <c r="M23" i="2"/>
  <c r="L23" i="2"/>
  <c r="N24" i="2"/>
  <c r="M24" i="2"/>
  <c r="L24" i="2"/>
  <c r="N25" i="2"/>
  <c r="M25" i="2"/>
  <c r="L25" i="2"/>
  <c r="N26" i="2"/>
  <c r="M26" i="2"/>
  <c r="L26" i="2"/>
  <c r="N27" i="2"/>
  <c r="M27" i="2"/>
  <c r="L27" i="2"/>
  <c r="N28" i="2"/>
  <c r="M28" i="2"/>
  <c r="L28" i="2"/>
  <c r="N29" i="2"/>
  <c r="M29" i="2"/>
  <c r="L29" i="2"/>
  <c r="N30" i="2"/>
  <c r="M30" i="2"/>
  <c r="L30" i="2"/>
  <c r="N31" i="2"/>
  <c r="M31" i="2"/>
  <c r="L31" i="2"/>
  <c r="N32" i="2"/>
  <c r="M32" i="2"/>
  <c r="L32" i="2"/>
  <c r="N33" i="2"/>
  <c r="M33" i="2"/>
  <c r="L33" i="2"/>
  <c r="N34" i="2"/>
  <c r="M34" i="2"/>
  <c r="L34" i="2"/>
  <c r="N35" i="2"/>
  <c r="M35" i="2"/>
  <c r="L35" i="2"/>
  <c r="N36" i="2"/>
  <c r="M36" i="2"/>
  <c r="L36" i="2"/>
  <c r="N37" i="2"/>
  <c r="M37" i="2"/>
  <c r="L37" i="2"/>
  <c r="N38" i="2"/>
  <c r="M38" i="2"/>
  <c r="L38" i="2"/>
  <c r="N39" i="2"/>
  <c r="M39" i="2"/>
  <c r="L39" i="2"/>
  <c r="N40" i="2"/>
  <c r="M40" i="2"/>
  <c r="L40" i="2"/>
  <c r="N41" i="2"/>
  <c r="M41" i="2"/>
  <c r="L41" i="2"/>
  <c r="N42" i="2"/>
  <c r="M42" i="2"/>
  <c r="L42" i="2"/>
  <c r="N43" i="2"/>
  <c r="M43" i="2"/>
  <c r="L43" i="2"/>
  <c r="N44" i="2"/>
  <c r="M44" i="2"/>
  <c r="L44" i="2"/>
  <c r="N45" i="2"/>
  <c r="M45" i="2"/>
  <c r="L45" i="2"/>
  <c r="N46" i="2"/>
  <c r="M46" i="2"/>
  <c r="L46" i="2"/>
  <c r="N47" i="2"/>
  <c r="M47" i="2"/>
  <c r="L47" i="2"/>
  <c r="N48" i="2"/>
  <c r="M48" i="2"/>
  <c r="L48" i="2"/>
  <c r="N49" i="2"/>
  <c r="M49" i="2"/>
  <c r="L49" i="2"/>
  <c r="N50" i="2"/>
  <c r="M50" i="2"/>
  <c r="L50" i="2"/>
  <c r="N51" i="2"/>
  <c r="M51" i="2"/>
  <c r="L51" i="2"/>
  <c r="N52" i="2"/>
  <c r="M52" i="2"/>
  <c r="L52" i="2"/>
  <c r="N53" i="2"/>
  <c r="M53" i="2"/>
  <c r="L53" i="2"/>
  <c r="N54" i="2"/>
  <c r="M54" i="2"/>
  <c r="L54" i="2"/>
  <c r="N55" i="2"/>
  <c r="M55" i="2"/>
  <c r="L55" i="2"/>
  <c r="N56" i="2"/>
  <c r="M56" i="2"/>
  <c r="L56" i="2"/>
  <c r="N57" i="2"/>
  <c r="M57" i="2"/>
  <c r="L57" i="2"/>
  <c r="N58" i="2"/>
  <c r="M58" i="2"/>
  <c r="L58" i="2"/>
  <c r="N59" i="2"/>
  <c r="M59" i="2"/>
  <c r="L59" i="2"/>
  <c r="N60" i="2"/>
  <c r="M60" i="2"/>
  <c r="L60" i="2"/>
  <c r="N61" i="2"/>
  <c r="M61" i="2"/>
  <c r="L61" i="2"/>
  <c r="N62" i="2"/>
  <c r="M62" i="2"/>
  <c r="L62" i="2"/>
  <c r="N63" i="2"/>
  <c r="M63" i="2"/>
  <c r="L63" i="2"/>
  <c r="N64" i="2"/>
  <c r="M64" i="2"/>
  <c r="L64" i="2"/>
  <c r="N65" i="2"/>
  <c r="M65" i="2"/>
  <c r="L65" i="2"/>
  <c r="N66" i="2"/>
  <c r="M66" i="2"/>
  <c r="L66" i="2"/>
  <c r="N67" i="2"/>
  <c r="M67" i="2"/>
  <c r="L67" i="2"/>
  <c r="N68" i="2"/>
  <c r="M68" i="2"/>
  <c r="L68" i="2"/>
  <c r="N69" i="2"/>
  <c r="M69" i="2"/>
  <c r="L69" i="2"/>
  <c r="N70" i="2"/>
  <c r="M70" i="2"/>
  <c r="L70" i="2"/>
  <c r="N71" i="2"/>
  <c r="M71" i="2"/>
  <c r="L71" i="2"/>
  <c r="N72" i="2"/>
  <c r="M72" i="2"/>
  <c r="L72" i="2"/>
  <c r="N73" i="2"/>
  <c r="M73" i="2"/>
  <c r="L73" i="2"/>
  <c r="N74" i="2"/>
  <c r="M74" i="2"/>
  <c r="L74" i="2"/>
  <c r="N75" i="2"/>
  <c r="M75" i="2"/>
  <c r="L75" i="2"/>
  <c r="N76" i="2"/>
  <c r="M76" i="2"/>
  <c r="L76" i="2"/>
  <c r="N77" i="2"/>
  <c r="M77" i="2"/>
  <c r="L77" i="2"/>
  <c r="N78" i="2"/>
  <c r="M78" i="2"/>
  <c r="L78" i="2"/>
  <c r="N79" i="2"/>
  <c r="M79" i="2"/>
  <c r="L79" i="2"/>
  <c r="N80" i="2"/>
  <c r="M80" i="2"/>
  <c r="L80" i="2"/>
  <c r="N81" i="2"/>
  <c r="M81" i="2"/>
  <c r="L81" i="2"/>
  <c r="N82" i="2"/>
  <c r="M82" i="2"/>
  <c r="L82" i="2"/>
  <c r="N83" i="2"/>
  <c r="M83" i="2"/>
  <c r="L83" i="2"/>
  <c r="N84" i="2"/>
  <c r="M84" i="2"/>
  <c r="L84" i="2"/>
  <c r="N85" i="2"/>
  <c r="M85" i="2"/>
  <c r="L85" i="2"/>
  <c r="N86" i="2"/>
  <c r="M86" i="2"/>
  <c r="L86" i="2"/>
  <c r="N87" i="2"/>
  <c r="M87" i="2"/>
  <c r="L87" i="2"/>
  <c r="N88" i="2"/>
  <c r="M88" i="2"/>
  <c r="L88" i="2"/>
  <c r="N89" i="2"/>
  <c r="M89" i="2"/>
  <c r="L89" i="2"/>
  <c r="N90" i="2"/>
  <c r="M90" i="2"/>
  <c r="L90" i="2"/>
  <c r="N91" i="2"/>
  <c r="M91" i="2"/>
  <c r="L91" i="2"/>
  <c r="N92" i="2"/>
  <c r="M92" i="2"/>
  <c r="L92" i="2"/>
  <c r="N93" i="2"/>
  <c r="M93" i="2"/>
  <c r="L93" i="2"/>
  <c r="N94" i="2"/>
  <c r="M94" i="2"/>
  <c r="L94" i="2"/>
  <c r="N95" i="2"/>
  <c r="M95" i="2"/>
  <c r="L95" i="2"/>
  <c r="N96" i="2"/>
  <c r="M96" i="2"/>
  <c r="L96" i="2"/>
  <c r="N97" i="2"/>
  <c r="M97" i="2"/>
  <c r="L97" i="2"/>
  <c r="N98" i="2"/>
  <c r="M98" i="2"/>
  <c r="L98" i="2"/>
  <c r="N99" i="2"/>
  <c r="M99" i="2"/>
  <c r="L99" i="2"/>
  <c r="N100" i="2"/>
  <c r="M100" i="2"/>
  <c r="L100" i="2"/>
  <c r="N101" i="2"/>
  <c r="M101" i="2"/>
  <c r="L101" i="2"/>
  <c r="N102" i="2"/>
  <c r="M102" i="2"/>
  <c r="L102" i="2"/>
  <c r="N103" i="2"/>
  <c r="M103" i="2"/>
  <c r="L103" i="2"/>
  <c r="N104" i="2"/>
  <c r="M104" i="2"/>
  <c r="L104" i="2"/>
  <c r="N105" i="2"/>
  <c r="M105" i="2"/>
  <c r="L105" i="2"/>
  <c r="N106" i="2"/>
  <c r="M106" i="2"/>
  <c r="L106" i="2"/>
  <c r="N107" i="2"/>
  <c r="M107" i="2"/>
  <c r="L107" i="2"/>
  <c r="N108" i="2"/>
  <c r="M108" i="2"/>
  <c r="L108" i="2"/>
  <c r="N109" i="2"/>
  <c r="M109" i="2"/>
  <c r="L109" i="2"/>
  <c r="N110" i="2"/>
  <c r="M110" i="2"/>
  <c r="L110" i="2"/>
  <c r="N111" i="2"/>
  <c r="M111" i="2"/>
  <c r="L111" i="2"/>
  <c r="N112" i="2"/>
  <c r="M112" i="2"/>
  <c r="L112" i="2"/>
  <c r="N113" i="2"/>
  <c r="M113" i="2"/>
  <c r="L113" i="2"/>
  <c r="N114" i="2"/>
  <c r="M114" i="2"/>
  <c r="L114" i="2"/>
  <c r="N115" i="2"/>
  <c r="M115" i="2"/>
  <c r="L115" i="2"/>
  <c r="N116" i="2"/>
  <c r="M116" i="2"/>
  <c r="L116" i="2"/>
  <c r="N117" i="2"/>
  <c r="M117" i="2"/>
  <c r="L117" i="2"/>
  <c r="N118" i="2"/>
  <c r="M118" i="2"/>
  <c r="L118" i="2"/>
  <c r="N119" i="2"/>
  <c r="M119" i="2"/>
  <c r="L119" i="2"/>
  <c r="N120" i="2"/>
  <c r="M120" i="2"/>
  <c r="L120" i="2"/>
  <c r="N121" i="2"/>
  <c r="M121" i="2"/>
  <c r="L121" i="2"/>
  <c r="N122" i="2"/>
  <c r="M122" i="2"/>
  <c r="L122" i="2"/>
  <c r="N123" i="2"/>
  <c r="M123" i="2"/>
  <c r="L123" i="2"/>
  <c r="N124" i="2"/>
  <c r="M124" i="2"/>
  <c r="L124" i="2"/>
  <c r="N125" i="2"/>
  <c r="M125" i="2"/>
  <c r="L125" i="2"/>
  <c r="N126" i="2"/>
  <c r="M126" i="2"/>
  <c r="L126" i="2"/>
  <c r="N127" i="2"/>
  <c r="M127" i="2"/>
  <c r="L127" i="2"/>
  <c r="N128" i="2"/>
  <c r="M128" i="2"/>
  <c r="L128" i="2"/>
  <c r="N129" i="2"/>
  <c r="M129" i="2"/>
  <c r="L129" i="2"/>
  <c r="N130" i="2"/>
  <c r="M130" i="2"/>
  <c r="L130" i="2"/>
  <c r="N131" i="2"/>
  <c r="M131" i="2"/>
  <c r="L131" i="2"/>
  <c r="N132" i="2"/>
  <c r="M132" i="2"/>
  <c r="L132" i="2"/>
  <c r="N133" i="2"/>
  <c r="M133" i="2"/>
  <c r="L133" i="2"/>
  <c r="N134" i="2"/>
  <c r="M134" i="2"/>
  <c r="L134" i="2"/>
  <c r="N135" i="2"/>
  <c r="M135" i="2"/>
  <c r="L135" i="2"/>
  <c r="N136" i="2"/>
  <c r="M136" i="2"/>
  <c r="L136" i="2"/>
  <c r="N137" i="2"/>
  <c r="M137" i="2"/>
  <c r="L137" i="2"/>
  <c r="N138" i="2"/>
  <c r="M138" i="2"/>
  <c r="L138" i="2"/>
  <c r="N139" i="2"/>
  <c r="M139" i="2"/>
  <c r="L139" i="2"/>
  <c r="N140" i="2"/>
  <c r="M140" i="2"/>
  <c r="L140" i="2"/>
  <c r="N141" i="2"/>
  <c r="M141" i="2"/>
  <c r="L141" i="2"/>
  <c r="N142" i="2"/>
  <c r="M142" i="2"/>
  <c r="L142" i="2"/>
  <c r="N143" i="2"/>
  <c r="M143" i="2"/>
  <c r="L143" i="2"/>
  <c r="N144" i="2"/>
  <c r="M144" i="2"/>
  <c r="L144" i="2"/>
  <c r="N145" i="2"/>
  <c r="M145" i="2"/>
  <c r="L145" i="2"/>
  <c r="N146" i="2"/>
  <c r="M146" i="2"/>
  <c r="L146" i="2"/>
  <c r="N147" i="2"/>
  <c r="M147" i="2"/>
  <c r="L147" i="2"/>
  <c r="N148" i="2"/>
  <c r="M148" i="2"/>
  <c r="L148" i="2"/>
  <c r="N149" i="2"/>
  <c r="M149" i="2"/>
  <c r="L149" i="2"/>
  <c r="N150" i="2"/>
  <c r="M150" i="2"/>
  <c r="L150" i="2"/>
  <c r="N151" i="2"/>
  <c r="M151" i="2"/>
  <c r="L151" i="2"/>
  <c r="N152" i="2"/>
  <c r="M152" i="2"/>
  <c r="L152" i="2"/>
  <c r="N153" i="2"/>
  <c r="M153" i="2"/>
  <c r="L153" i="2"/>
  <c r="N154" i="2"/>
  <c r="M154" i="2"/>
  <c r="L154" i="2"/>
  <c r="N155" i="2"/>
  <c r="M155" i="2"/>
  <c r="L155" i="2"/>
  <c r="N156" i="2"/>
  <c r="M156" i="2"/>
  <c r="L156" i="2"/>
  <c r="N157" i="2"/>
  <c r="M157" i="2"/>
  <c r="L157" i="2"/>
  <c r="N158" i="2"/>
  <c r="M158" i="2"/>
  <c r="L158" i="2"/>
  <c r="N159" i="2"/>
  <c r="M159" i="2"/>
  <c r="L159" i="2"/>
  <c r="N160" i="2"/>
  <c r="M160" i="2"/>
  <c r="L160" i="2"/>
  <c r="N161" i="2"/>
  <c r="M161" i="2"/>
  <c r="L161" i="2"/>
  <c r="N162" i="2"/>
  <c r="M162" i="2"/>
  <c r="L162" i="2"/>
  <c r="N163" i="2"/>
  <c r="M163" i="2"/>
  <c r="L163" i="2"/>
  <c r="N164" i="2"/>
  <c r="M164" i="2"/>
  <c r="L164" i="2"/>
  <c r="N165" i="2"/>
  <c r="M165" i="2"/>
  <c r="L165" i="2"/>
  <c r="N166" i="2"/>
  <c r="M166" i="2"/>
  <c r="L166" i="2"/>
  <c r="N167" i="2"/>
  <c r="M167" i="2"/>
  <c r="L167" i="2"/>
  <c r="N168" i="2"/>
  <c r="M168" i="2"/>
  <c r="L168" i="2"/>
  <c r="N169" i="2"/>
  <c r="M169" i="2"/>
  <c r="L169" i="2"/>
  <c r="N170" i="2"/>
  <c r="M170" i="2"/>
  <c r="L170" i="2"/>
  <c r="N171" i="2"/>
  <c r="M171" i="2"/>
  <c r="L171" i="2"/>
  <c r="N172" i="2"/>
  <c r="M172" i="2"/>
  <c r="L172" i="2"/>
  <c r="N173" i="2"/>
  <c r="M173" i="2"/>
  <c r="L173" i="2"/>
  <c r="N174" i="2"/>
  <c r="M174" i="2"/>
  <c r="L174" i="2"/>
  <c r="N175" i="2"/>
  <c r="M175" i="2"/>
  <c r="L175" i="2"/>
  <c r="N176" i="2"/>
  <c r="M176" i="2"/>
  <c r="L176" i="2"/>
  <c r="N177" i="2"/>
  <c r="M177" i="2"/>
  <c r="L177" i="2"/>
  <c r="N178" i="2"/>
  <c r="M178" i="2"/>
  <c r="L178" i="2"/>
  <c r="N179" i="2"/>
  <c r="M179" i="2"/>
  <c r="L179" i="2"/>
  <c r="N180" i="2"/>
  <c r="M180" i="2"/>
  <c r="L180" i="2"/>
  <c r="N181" i="2"/>
  <c r="M181" i="2"/>
  <c r="L181" i="2"/>
  <c r="N182" i="2"/>
  <c r="M182" i="2"/>
  <c r="L182" i="2"/>
  <c r="N183" i="2"/>
  <c r="M183" i="2"/>
  <c r="L183" i="2"/>
  <c r="N184" i="2"/>
  <c r="M184" i="2"/>
  <c r="L184" i="2"/>
  <c r="N185" i="2"/>
  <c r="M185" i="2"/>
  <c r="L185" i="2"/>
  <c r="N186" i="2"/>
  <c r="M186" i="2"/>
  <c r="L186" i="2"/>
  <c r="N187" i="2"/>
  <c r="M187" i="2"/>
  <c r="L187" i="2"/>
  <c r="N188" i="2"/>
  <c r="M188" i="2"/>
  <c r="L188" i="2"/>
  <c r="N189" i="2"/>
  <c r="M189" i="2"/>
  <c r="L189" i="2"/>
  <c r="N190" i="2"/>
  <c r="M190" i="2"/>
  <c r="L190" i="2"/>
  <c r="N191" i="2"/>
  <c r="M191" i="2"/>
  <c r="L191" i="2"/>
  <c r="N192" i="2"/>
  <c r="M192" i="2"/>
  <c r="L192" i="2"/>
  <c r="N193" i="2"/>
  <c r="M193" i="2"/>
  <c r="L193" i="2"/>
  <c r="N194" i="2"/>
  <c r="M194" i="2"/>
  <c r="L194" i="2"/>
  <c r="N195" i="2"/>
  <c r="M195" i="2"/>
  <c r="L195" i="2"/>
  <c r="N196" i="2"/>
  <c r="M196" i="2"/>
  <c r="L196" i="2"/>
  <c r="N197" i="2"/>
  <c r="M197" i="2"/>
  <c r="L197" i="2"/>
  <c r="N198" i="2"/>
  <c r="M198" i="2"/>
  <c r="L198" i="2"/>
  <c r="N199" i="2"/>
  <c r="M199" i="2"/>
  <c r="L199" i="2"/>
  <c r="N200" i="2"/>
  <c r="M200" i="2"/>
  <c r="L200" i="2"/>
  <c r="N201" i="2"/>
  <c r="M201" i="2"/>
  <c r="L201" i="2"/>
  <c r="N202" i="2"/>
  <c r="M202" i="2"/>
  <c r="L202" i="2"/>
  <c r="N203" i="2"/>
  <c r="M203" i="2"/>
  <c r="L203" i="2"/>
  <c r="N204" i="2"/>
  <c r="M204" i="2"/>
  <c r="L204" i="2"/>
  <c r="N205" i="2"/>
  <c r="M205" i="2"/>
  <c r="L205" i="2"/>
  <c r="N206" i="2"/>
  <c r="M206" i="2"/>
  <c r="L206" i="2"/>
  <c r="N207" i="2"/>
  <c r="M207" i="2"/>
  <c r="L207" i="2"/>
  <c r="N208" i="2"/>
  <c r="M208" i="2"/>
  <c r="L208" i="2"/>
  <c r="N209" i="2"/>
  <c r="M209" i="2"/>
  <c r="L209" i="2"/>
  <c r="N210" i="2"/>
  <c r="M210" i="2"/>
  <c r="L210" i="2"/>
  <c r="N211" i="2"/>
  <c r="M211" i="2"/>
  <c r="L211" i="2"/>
  <c r="N212" i="2"/>
  <c r="M212" i="2"/>
  <c r="L212" i="2"/>
  <c r="N213" i="2"/>
  <c r="M213" i="2"/>
  <c r="L213" i="2"/>
  <c r="N214" i="2"/>
  <c r="M214" i="2"/>
  <c r="L214" i="2"/>
  <c r="N215" i="2"/>
  <c r="M215" i="2"/>
  <c r="L215" i="2"/>
  <c r="N216" i="2"/>
  <c r="M216" i="2"/>
  <c r="L216" i="2"/>
  <c r="N217" i="2"/>
  <c r="M217" i="2"/>
  <c r="L217" i="2"/>
  <c r="N218" i="2"/>
  <c r="M218" i="2"/>
  <c r="L218" i="2"/>
  <c r="N219" i="2"/>
  <c r="M219" i="2"/>
  <c r="L219" i="2"/>
  <c r="N220" i="2"/>
  <c r="M220" i="2"/>
  <c r="L220" i="2"/>
  <c r="N221" i="2"/>
  <c r="M221" i="2"/>
  <c r="L221" i="2"/>
  <c r="N222" i="2"/>
  <c r="M222" i="2"/>
  <c r="L222" i="2"/>
  <c r="N223" i="2"/>
  <c r="M223" i="2"/>
  <c r="L223" i="2"/>
  <c r="N224" i="2"/>
  <c r="M224" i="2"/>
  <c r="L224" i="2"/>
  <c r="N225" i="2"/>
  <c r="M225" i="2"/>
  <c r="L225" i="2"/>
  <c r="N226" i="2"/>
  <c r="M226" i="2"/>
  <c r="L226" i="2"/>
  <c r="N227" i="2"/>
  <c r="M227" i="2"/>
  <c r="L227" i="2"/>
  <c r="N228" i="2"/>
  <c r="M228" i="2"/>
  <c r="L228" i="2"/>
  <c r="N229" i="2"/>
  <c r="M229" i="2"/>
  <c r="L229" i="2"/>
  <c r="N230" i="2"/>
  <c r="M230" i="2"/>
  <c r="L230" i="2"/>
  <c r="N231" i="2"/>
  <c r="M231" i="2"/>
  <c r="L231" i="2"/>
  <c r="N232" i="2"/>
  <c r="M232" i="2"/>
  <c r="L232" i="2"/>
  <c r="N233" i="2"/>
  <c r="M233" i="2"/>
  <c r="L233" i="2"/>
  <c r="N234" i="2"/>
  <c r="M234" i="2"/>
  <c r="L234" i="2"/>
  <c r="N235" i="2"/>
  <c r="M235" i="2"/>
  <c r="L235" i="2"/>
  <c r="N236" i="2"/>
  <c r="M236" i="2"/>
  <c r="L236" i="2"/>
  <c r="N237" i="2"/>
  <c r="M237" i="2"/>
  <c r="L237" i="2"/>
  <c r="N238" i="2"/>
  <c r="M238" i="2"/>
  <c r="L238" i="2"/>
  <c r="N239" i="2"/>
  <c r="M239" i="2"/>
  <c r="L239" i="2"/>
  <c r="N240" i="2"/>
  <c r="M240" i="2"/>
  <c r="L240" i="2"/>
  <c r="N241" i="2"/>
  <c r="M241" i="2"/>
  <c r="L241" i="2"/>
  <c r="N242" i="2"/>
  <c r="M242" i="2"/>
  <c r="L242" i="2"/>
  <c r="N243" i="2"/>
  <c r="M243" i="2"/>
  <c r="L243" i="2"/>
  <c r="N244" i="2"/>
  <c r="M244" i="2"/>
  <c r="L244" i="2"/>
  <c r="N245" i="2"/>
  <c r="M245" i="2"/>
  <c r="L245" i="2"/>
  <c r="N246" i="2"/>
  <c r="M246" i="2"/>
  <c r="L246" i="2"/>
  <c r="N247" i="2"/>
  <c r="M247" i="2"/>
  <c r="L247" i="2"/>
  <c r="N248" i="2"/>
  <c r="M248" i="2"/>
  <c r="L248" i="2"/>
  <c r="N249" i="2"/>
  <c r="M249" i="2"/>
  <c r="L249" i="2"/>
  <c r="N250" i="2"/>
  <c r="M250" i="2"/>
  <c r="L250" i="2"/>
  <c r="N251" i="2"/>
  <c r="M251" i="2"/>
  <c r="L251" i="2"/>
  <c r="N252" i="2"/>
  <c r="M252" i="2"/>
  <c r="L252" i="2"/>
  <c r="N253" i="2"/>
  <c r="M253" i="2"/>
  <c r="L253" i="2"/>
  <c r="N254" i="2"/>
  <c r="M254" i="2"/>
  <c r="L254" i="2"/>
  <c r="N255" i="2"/>
  <c r="M255" i="2"/>
  <c r="L255" i="2"/>
  <c r="N256" i="2"/>
  <c r="M256" i="2"/>
  <c r="L256" i="2"/>
  <c r="N257" i="2"/>
  <c r="M257" i="2"/>
  <c r="L257" i="2"/>
  <c r="N258" i="2"/>
  <c r="M258" i="2"/>
  <c r="L258" i="2"/>
  <c r="N259" i="2"/>
  <c r="M259" i="2"/>
  <c r="L259" i="2"/>
  <c r="N260" i="2"/>
  <c r="M260" i="2"/>
  <c r="L260" i="2"/>
  <c r="N261" i="2"/>
  <c r="M261" i="2"/>
  <c r="L261" i="2"/>
  <c r="N262" i="2"/>
  <c r="M262" i="2"/>
  <c r="L262" i="2"/>
  <c r="N263" i="2"/>
  <c r="M263" i="2"/>
  <c r="L263" i="2"/>
  <c r="N264" i="2"/>
  <c r="M264" i="2"/>
  <c r="L264" i="2"/>
  <c r="N265" i="2"/>
  <c r="M265" i="2"/>
  <c r="L265" i="2"/>
  <c r="N266" i="2"/>
  <c r="M266" i="2"/>
  <c r="L266" i="2"/>
  <c r="N267" i="2"/>
  <c r="M267" i="2"/>
  <c r="L267" i="2"/>
  <c r="N268" i="2"/>
  <c r="M268" i="2"/>
  <c r="L268" i="2"/>
  <c r="N269" i="2"/>
  <c r="M269" i="2"/>
  <c r="L269" i="2"/>
  <c r="N270" i="2"/>
  <c r="M270" i="2"/>
  <c r="L270" i="2"/>
  <c r="N271" i="2"/>
  <c r="M271" i="2"/>
  <c r="L271" i="2"/>
  <c r="N272" i="2"/>
  <c r="M272" i="2"/>
  <c r="L272" i="2"/>
  <c r="N273" i="2"/>
  <c r="M273" i="2"/>
  <c r="L273" i="2"/>
  <c r="N274" i="2"/>
  <c r="M274" i="2"/>
  <c r="L274" i="2"/>
  <c r="N275" i="2"/>
  <c r="M275" i="2"/>
  <c r="L275" i="2"/>
  <c r="N276" i="2"/>
  <c r="M276" i="2"/>
  <c r="L276" i="2"/>
  <c r="N277" i="2"/>
  <c r="M277" i="2"/>
  <c r="L277" i="2"/>
  <c r="N278" i="2"/>
  <c r="M278" i="2"/>
  <c r="L278" i="2"/>
  <c r="N279" i="2"/>
  <c r="M279" i="2"/>
  <c r="L279" i="2"/>
  <c r="N280" i="2"/>
  <c r="M280" i="2"/>
  <c r="L280" i="2"/>
  <c r="N281" i="2"/>
  <c r="M281" i="2"/>
  <c r="L281" i="2"/>
  <c r="N282" i="2"/>
  <c r="M282" i="2"/>
  <c r="L282" i="2"/>
  <c r="N283" i="2"/>
  <c r="M283" i="2"/>
  <c r="L283" i="2"/>
  <c r="N284" i="2"/>
  <c r="M284" i="2"/>
  <c r="L284" i="2"/>
  <c r="N285" i="2"/>
  <c r="M285" i="2"/>
  <c r="L285" i="2"/>
  <c r="N286" i="2"/>
  <c r="M286" i="2"/>
  <c r="L286" i="2"/>
  <c r="N287" i="2"/>
  <c r="M287" i="2"/>
  <c r="L287" i="2"/>
  <c r="N288" i="2"/>
  <c r="M288" i="2"/>
  <c r="L288" i="2"/>
  <c r="N289" i="2"/>
  <c r="M289" i="2"/>
  <c r="L289" i="2"/>
  <c r="N290" i="2"/>
  <c r="M290" i="2"/>
  <c r="L290" i="2"/>
  <c r="N291" i="2"/>
  <c r="M291" i="2"/>
  <c r="L291" i="2"/>
  <c r="N292" i="2"/>
  <c r="M292" i="2"/>
  <c r="L292" i="2"/>
  <c r="N293" i="2"/>
  <c r="M293" i="2"/>
  <c r="L293" i="2"/>
  <c r="N294" i="2"/>
  <c r="M294" i="2"/>
  <c r="L294" i="2"/>
  <c r="N295" i="2"/>
  <c r="M295" i="2"/>
  <c r="L295" i="2"/>
  <c r="N296" i="2"/>
  <c r="M296" i="2"/>
  <c r="L296" i="2"/>
  <c r="N297" i="2"/>
  <c r="M297" i="2"/>
  <c r="L297" i="2"/>
  <c r="N298" i="2"/>
  <c r="M298" i="2"/>
  <c r="L298" i="2"/>
  <c r="N299" i="2"/>
  <c r="M299" i="2"/>
  <c r="L299" i="2"/>
  <c r="N300" i="2"/>
  <c r="M300" i="2"/>
  <c r="L300" i="2"/>
  <c r="N301" i="2"/>
  <c r="M301" i="2"/>
  <c r="L301" i="2"/>
  <c r="N302" i="2"/>
  <c r="M302" i="2"/>
  <c r="L302" i="2"/>
  <c r="N303" i="2"/>
  <c r="M303" i="2"/>
  <c r="L303" i="2"/>
  <c r="N304" i="2"/>
  <c r="M304" i="2"/>
  <c r="L304" i="2"/>
  <c r="N305" i="2"/>
  <c r="M305" i="2"/>
  <c r="L305" i="2"/>
  <c r="N306" i="2"/>
  <c r="M306" i="2"/>
  <c r="L306" i="2"/>
  <c r="N307" i="2"/>
  <c r="M307" i="2"/>
  <c r="L307" i="2"/>
  <c r="N308" i="2"/>
  <c r="M308" i="2"/>
  <c r="L308" i="2"/>
  <c r="N309" i="2"/>
  <c r="M309" i="2"/>
  <c r="L309" i="2"/>
  <c r="N310" i="2"/>
  <c r="M310" i="2"/>
  <c r="L310" i="2"/>
</calcChain>
</file>

<file path=xl/sharedStrings.xml><?xml version="1.0" encoding="utf-8"?>
<sst xmlns="http://schemas.openxmlformats.org/spreadsheetml/2006/main" count="250" uniqueCount="49">
  <si>
    <t>STONES IN MAKING  ·  by worker</t>
  </si>
  <si>
    <t>Live count of stones each worker is holding right now</t>
  </si>
  <si>
    <t>RAMESH</t>
  </si>
  <si>
    <t>stones in making</t>
  </si>
  <si>
    <t>SURESH</t>
  </si>
  <si>
    <t>MAHESH</t>
  </si>
  <si>
    <t>TOTAL</t>
  </si>
  <si>
    <t>IN MAKING</t>
  </si>
  <si>
    <t>RECEIVED</t>
  </si>
  <si>
    <t>TOTAL MEMOS</t>
  </si>
  <si>
    <t>①  MEMO ENTRY  —  type here; flows to all boxes. New memo = next rows. NEVER clear.</t>
  </si>
  <si>
    <t>②  MEMO RECORD</t>
  </si>
  <si>
    <t>③  MEMO VIEWER  —  type a memo no.</t>
  </si>
  <si>
    <t>④  IN MAKING  (stones still out)</t>
  </si>
  <si>
    <t>⑤  RECEIVED  (billing — both dates)</t>
  </si>
  <si>
    <t>DATA (auto from ①). Tick ✓ to receive — macro stamps Date Recv; stone leaves ④, enters ⑤.</t>
  </si>
  <si>
    <t>Type the Memo No. on each row (col I). Date Given defaults blank — type or use Ctrl+; for today.</t>
  </si>
  <si>
    <t>Next memo #:</t>
  </si>
  <si>
    <t>One line per memo: total pieces, total row wt, total pol wt.</t>
  </si>
  <si>
    <t>Show Memo No. →</t>
  </si>
  <si>
    <t>Still with the worker, with Date Given. To receive, tick ✓ in DATA (far right) — it disappears here.</t>
  </si>
  <si>
    <t>Empty until you receive. Shows Date Given + Date Received per stone — your billing record.</t>
  </si>
  <si>
    <t>Mirrors ① automatically (incl. Date Given). Tick ✓ in Received → it disappears from ④, shows in ⑤ with both dates.</t>
  </si>
  <si>
    <t>Columns: NO · Piece ID · Col · Pur · Row Wt · Pol Wt · Date Given · Memo No.</t>
  </si>
  <si>
    <t>Type memo # → see stones here. Print slip is far right (two copies).</t>
  </si>
  <si>
    <t>NO</t>
  </si>
  <si>
    <t>Piece ID</t>
  </si>
  <si>
    <t>Col</t>
  </si>
  <si>
    <t>Pur</t>
  </si>
  <si>
    <t>Row</t>
  </si>
  <si>
    <t>Pol</t>
  </si>
  <si>
    <t>Date Given</t>
  </si>
  <si>
    <t>Memo</t>
  </si>
  <si>
    <t>Pieces</t>
  </si>
  <si>
    <t>Date Recv</t>
  </si>
  <si>
    <t>Recv</t>
  </si>
  <si>
    <t>PRINT SLIP — set memo # in box ③; print this (left=your copy, right=worker copy)</t>
  </si>
  <si>
    <t>292.1C</t>
  </si>
  <si>
    <t>J</t>
  </si>
  <si>
    <t>SI1</t>
  </si>
  <si>
    <t>MUKESHBHAI XXX</t>
  </si>
  <si>
    <t>3X</t>
  </si>
  <si>
    <t>I</t>
  </si>
  <si>
    <t>SI2</t>
  </si>
  <si>
    <t>✓</t>
  </si>
  <si>
    <t>292.1A</t>
  </si>
  <si>
    <t>H</t>
  </si>
  <si>
    <t>VS2</t>
  </si>
  <si>
    <t>259.1C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</si>
</sst>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;&quot;&quot;"/>
    <numFmt numFmtId="165" formatCode="dd/mm/yyyy;;&quot;&quot;"/>
  </numFmts>
  <fonts count="33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sz val="10.5"/>
      <color rgb="FFD7DCEA"/>
      <name val="Calibri"/>
      <charset val="1"/>
    </font>
    <font>
      <b/>
      <sz val="11"/>
      <color rgb="FFFFFFFF"/>
      <name val="Calibri"/>
      <charset val="1"/>
    </font>
    <font>
      <b/>
      <sz val="34"/>
      <color rgb="FFFFFFFF"/>
      <name val="Calibri"/>
      <charset val="1"/>
    </font>
    <font>
      <sz val="11"/>
      <color rgb="FFFFFFFF"/>
      <name val="Calibri"/>
      <charset val="1"/>
    </font>
    <font>
      <b/>
      <sz val="12"/>
      <color rgb="FFFFFFFF"/>
      <name val="Calibri"/>
      <charset val="1"/>
    </font>
    <font>
      <b/>
      <sz val="16"/>
      <color rgb="FFFFFFFF"/>
      <name val="Calibri"/>
      <charset val="1"/>
    </font>
    <font>
      <b/>
      <sz val="17"/>
      <color rgb="FFFFFFFF"/>
      <name val="Calibri"/>
      <charset val="1"/>
    </font>
    <font>
      <b/>
      <sz val="9.5"/>
      <color rgb="FFFFFFFF"/>
      <name val="Calibri"/>
      <charset val="1"/>
    </font>
    <font>
      <b/>
      <sz val="24"/>
      <color rgb="FFFFFFFF"/>
      <name val="Calibri"/>
      <charset val="1"/>
    </font>
    <font>
      <sz val="9"/>
      <color rgb="FFB23A3A"/>
      <name val="Calibri"/>
      <charset val="1"/>
    </font>
    <font>
      <b/>
      <sz val="8.5"/>
      <color rgb="FF14233A"/>
      <name val="Calibri"/>
      <charset val="1"/>
    </font>
    <font>
      <b/>
      <sz val="12"/>
      <color rgb="FFC75D45"/>
      <name val="Calibri"/>
      <charset val="1"/>
    </font>
    <font>
      <sz val="9"/>
      <color rgb="FF6B7280"/>
      <name val="Calibri"/>
      <charset val="1"/>
    </font>
    <font>
      <b/>
      <sz val="10"/>
      <color rgb="FF14233A"/>
      <name val="Calibri"/>
      <charset val="1"/>
    </font>
    <font>
      <b/>
      <sz val="13"/>
      <color rgb="FF5B4B8A"/>
      <name val="Calibri"/>
      <charset val="1"/>
    </font>
    <font>
      <sz val="8.5"/>
      <color rgb="FF6B7280"/>
      <name val="Calibri"/>
      <charset val="1"/>
    </font>
    <font>
      <b/>
      <sz val="10"/>
      <color rgb="FF1E3A1E"/>
      <name val="Calibri"/>
      <charset val="1"/>
    </font>
    <font>
      <b/>
      <sz val="10"/>
      <color rgb="FF5B4B8A"/>
      <name val="Calibri"/>
      <charset val="1"/>
    </font>
    <font>
      <sz val="10"/>
      <color rgb="FF1E3A1E"/>
      <name val="Calibri"/>
      <charset val="1"/>
    </font>
    <font>
      <b/>
      <sz val="10"/>
      <color rgb="FFC75D45"/>
      <name val="Calibri"/>
      <charset val="1"/>
    </font>
    <font>
      <b/>
      <sz val="10"/>
      <color rgb="FF27406B"/>
      <name val="Calibri"/>
      <charset val="1"/>
    </font>
    <font>
      <sz val="10"/>
      <color rgb="FF14233A"/>
      <name val="Calibri"/>
      <charset val="1"/>
    </font>
    <font>
      <b/>
      <sz val="10"/>
      <color rgb="FFC8862B"/>
      <name val="Calibri"/>
      <charset val="1"/>
    </font>
    <font>
      <b/>
      <sz val="10"/>
      <color rgb="FF1B5E40"/>
      <name val="Calibri"/>
      <charset val="1"/>
    </font>
    <font>
      <b/>
      <sz val="10"/>
      <color rgb="FF40556E"/>
      <name val="Calibri"/>
      <charset val="1"/>
    </font>
    <font>
      <b/>
      <sz val="12"/>
      <color rgb="FF1B5E40"/>
      <name val="Calibri"/>
      <charset val="1"/>
    </font>
    <font>
      <sz val="9"/>
      <color rgb="FF14233A"/>
      <name val="Calibri"/>
      <charset val="1"/>
    </font>
    <font>
      <b/>
      <sz val="12"/>
      <color rgb="FF1E3A1E"/>
      <name val="Calibri"/>
      <charset val="1"/>
    </font>
    <font>
      <b/>
      <sz val="11"/>
      <color rgb="FF1E3A1E"/>
      <name val="Calibri"/>
      <charset val="1"/>
    </font>
    <font>
      <b/>
      <sz val="9"/>
      <color rgb="FF1E3A1E"/>
      <name val="Calibri"/>
      <charset val="1"/>
    </font>
    <font>
      <sz val="9"/>
      <color rgb="FF1E3A1E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27406B"/>
        <bgColor rgb="FF40556E"/>
      </patternFill>
    </fill>
    <fill>
      <patternFill patternType="solid">
        <fgColor rgb="FF2E7D5B"/>
        <bgColor rgb="FF1B5E40"/>
      </patternFill>
    </fill>
    <fill>
      <patternFill patternType="solid">
        <fgColor rgb="FF5B4B8A"/>
        <bgColor rgb="FF40556E"/>
      </patternFill>
    </fill>
    <fill>
      <patternFill patternType="solid">
        <fgColor rgb="FF14233A"/>
        <bgColor rgb="FF1E3A1E"/>
      </patternFill>
    </fill>
    <fill>
      <patternFill patternType="solid">
        <fgColor rgb="FFC75D45"/>
        <bgColor rgb="FFA8794F"/>
      </patternFill>
    </fill>
    <fill>
      <patternFill patternType="solid">
        <fgColor rgb="FFC8862B"/>
        <bgColor rgb="FFA8794F"/>
      </patternFill>
    </fill>
    <fill>
      <patternFill patternType="solid">
        <fgColor rgb="FF40556E"/>
        <bgColor rgb="FF5B4B8A"/>
      </patternFill>
    </fill>
    <fill>
      <patternFill patternType="solid">
        <fgColor rgb="FFF8F6F2"/>
        <bgColor rgb="FFF4F2ED"/>
      </patternFill>
    </fill>
    <fill>
      <patternFill patternType="solid">
        <fgColor rgb="FFFBEDE8"/>
        <bgColor rgb="FFF4F2ED"/>
      </patternFill>
    </fill>
    <fill>
      <patternFill patternType="solid">
        <fgColor rgb="FFECE8F4"/>
        <bgColor rgb="FFEAF1E4"/>
      </patternFill>
    </fill>
    <fill>
      <patternFill patternType="solid">
        <fgColor rgb="FFC9D9C2"/>
        <bgColor rgb="FFDDD9D0"/>
      </patternFill>
    </fill>
    <fill>
      <patternFill patternType="solid">
        <fgColor rgb="FFEAF1E4"/>
        <bgColor rgb="FFF4F2ED"/>
      </patternFill>
    </fill>
    <fill>
      <patternFill patternType="solid">
        <fgColor rgb="FFFFFFFF"/>
        <bgColor rgb="FFF8F6F2"/>
      </patternFill>
    </fill>
    <fill>
      <patternFill patternType="solid">
        <fgColor rgb="FFF4F2ED"/>
        <bgColor rgb="FFF8F6F2"/>
      </patternFill>
    </fill>
  </fills>
  <borders count="34">
    <border>
      <left/>
      <right/>
      <top/>
      <bottom/>
      <diagonal/>
    </border>
    <border>
      <left style="thin">
        <color rgb="FF27406B"/>
      </left>
      <right style="thin">
        <color rgb="FF27406B"/>
      </right>
      <top style="thin">
        <color rgb="FF27406B"/>
      </top>
      <bottom style="thin">
        <color rgb="FF27406B"/>
      </bottom>
      <diagonal/>
    </border>
    <border>
      <left style="thin">
        <color rgb="FF2E7D5B"/>
      </left>
      <right style="thin">
        <color rgb="FF2E7D5B"/>
      </right>
      <top style="thin">
        <color rgb="FF2E7D5B"/>
      </top>
      <bottom style="thin">
        <color rgb="FF2E7D5B"/>
      </bottom>
      <diagonal/>
    </border>
    <border>
      <left style="thin">
        <color rgb="FF5B4B8A"/>
      </left>
      <right style="thin">
        <color rgb="FF5B4B8A"/>
      </right>
      <top style="thin">
        <color rgb="FF5B4B8A"/>
      </top>
      <bottom style="thin">
        <color rgb="FF5B4B8A"/>
      </bottom>
      <diagonal/>
    </border>
    <border>
      <left style="thin">
        <color rgb="FF14233A"/>
      </left>
      <right style="thin">
        <color rgb="FF14233A"/>
      </right>
      <top style="thin">
        <color rgb="FF14233A"/>
      </top>
      <bottom style="thin">
        <color rgb="FF14233A"/>
      </bottom>
      <diagonal/>
    </border>
    <border>
      <left style="thin">
        <color rgb="FFC75D45"/>
      </left>
      <right style="thin">
        <color rgb="FFC75D45"/>
      </right>
      <top style="thin">
        <color rgb="FFC75D45"/>
      </top>
      <bottom style="thin">
        <color rgb="FFC75D45"/>
      </bottom>
      <diagonal/>
    </border>
    <border>
      <left style="thin">
        <color rgb="FFC8862B"/>
      </left>
      <right style="thin">
        <color rgb="FFC8862B"/>
      </right>
      <top style="thin">
        <color rgb="FFC8862B"/>
      </top>
      <bottom style="thin">
        <color rgb="FFC8862B"/>
      </bottom>
      <diagonal/>
    </border>
    <border>
      <left style="thin">
        <color rgb="FF40556E"/>
      </left>
      <right style="thin">
        <color rgb="FF40556E"/>
      </right>
      <top style="thin">
        <color rgb="FF40556E"/>
      </top>
      <bottom style="thin">
        <color rgb="FF40556E"/>
      </bottom>
      <diagonal/>
    </border>
    <border>
      <left style="thin">
        <color rgb="FFF8F6F2"/>
      </left>
      <right style="thin">
        <color rgb="FFF8F6F2"/>
      </right>
      <top style="thin">
        <color rgb="FFF8F6F2"/>
      </top>
      <bottom style="thin">
        <color rgb="FFF8F6F2"/>
      </bottom>
      <diagonal/>
    </border>
    <border>
      <left style="thin">
        <color rgb="FF9FB48C"/>
      </left>
      <right style="thin">
        <color rgb="FF9FB48C"/>
      </right>
      <top style="thin">
        <color rgb="FF9FB48C"/>
      </top>
      <bottom style="thin">
        <color rgb="FF9FB48C"/>
      </bottom>
      <diagonal/>
    </border>
    <border>
      <left style="thin">
        <color rgb="FFDDD9D0"/>
      </left>
      <right style="thin">
        <color rgb="FFDDD9D0"/>
      </right>
      <top style="thin">
        <color rgb="FFDDD9D0"/>
      </top>
      <bottom style="thin">
        <color rgb="FFDDD9D0"/>
      </bottom>
      <diagonal/>
    </border>
    <border>
      <left/>
      <right/>
      <top style="thin">
        <color rgb="FF27406B"/>
      </top>
      <bottom style="thin">
        <color rgb="FF27406B"/>
      </bottom>
      <diagonal/>
    </border>
    <border>
      <left/>
      <right style="thin">
        <color rgb="FF27406B"/>
      </right>
      <top style="thin">
        <color rgb="FF27406B"/>
      </top>
      <bottom style="thin">
        <color rgb="FF27406B"/>
      </bottom>
      <diagonal/>
    </border>
    <border>
      <left/>
      <right/>
      <top style="thin">
        <color rgb="FF2E7D5B"/>
      </top>
      <bottom style="thin">
        <color rgb="FF2E7D5B"/>
      </bottom>
      <diagonal/>
    </border>
    <border>
      <left/>
      <right style="thin">
        <color rgb="FF2E7D5B"/>
      </right>
      <top style="thin">
        <color rgb="FF2E7D5B"/>
      </top>
      <bottom style="thin">
        <color rgb="FF2E7D5B"/>
      </bottom>
      <diagonal/>
    </border>
    <border>
      <left/>
      <right/>
      <top style="thin">
        <color rgb="FF5B4B8A"/>
      </top>
      <bottom style="thin">
        <color rgb="FF5B4B8A"/>
      </bottom>
      <diagonal/>
    </border>
    <border>
      <left/>
      <right style="thin">
        <color rgb="FF5B4B8A"/>
      </right>
      <top style="thin">
        <color rgb="FF5B4B8A"/>
      </top>
      <bottom style="thin">
        <color rgb="FF5B4B8A"/>
      </bottom>
      <diagonal/>
    </border>
    <border>
      <left/>
      <right style="thin">
        <color rgb="FF14233A"/>
      </right>
      <top style="thin">
        <color rgb="FF14233A"/>
      </top>
      <bottom style="thin">
        <color rgb="FF14233A"/>
      </bottom>
      <diagonal/>
    </border>
    <border>
      <left/>
      <right/>
      <top style="thin">
        <color rgb="FF14233A"/>
      </top>
      <bottom style="thin">
        <color rgb="FF14233A"/>
      </bottom>
      <diagonal/>
    </border>
    <border>
      <left/>
      <right/>
      <top style="thin">
        <color rgb="FFC75D45"/>
      </top>
      <bottom style="thin">
        <color rgb="FFC75D45"/>
      </bottom>
      <diagonal/>
    </border>
    <border>
      <left/>
      <right style="thin">
        <color rgb="FFC75D45"/>
      </right>
      <top style="thin">
        <color rgb="FFC75D45"/>
      </top>
      <bottom style="thin">
        <color rgb="FFC75D45"/>
      </bottom>
      <diagonal/>
    </border>
    <border>
      <left/>
      <right/>
      <top style="thin">
        <color rgb="FFC8862B"/>
      </top>
      <bottom style="thin">
        <color rgb="FFC8862B"/>
      </bottom>
      <diagonal/>
    </border>
    <border>
      <left/>
      <right style="thin">
        <color rgb="FFC8862B"/>
      </right>
      <top style="thin">
        <color rgb="FFC8862B"/>
      </top>
      <bottom style="thin">
        <color rgb="FFC8862B"/>
      </bottom>
      <diagonal/>
    </border>
    <border>
      <left/>
      <right/>
      <top style="thin">
        <color rgb="FF40556E"/>
      </top>
      <bottom style="thin">
        <color rgb="FF40556E"/>
      </bottom>
      <diagonal/>
    </border>
    <border>
      <left/>
      <right style="thin">
        <color rgb="FF40556E"/>
      </right>
      <top style="thin">
        <color rgb="FF40556E"/>
      </top>
      <bottom style="thin">
        <color rgb="FF40556E"/>
      </bottom>
      <diagonal/>
    </border>
    <border>
      <left/>
      <right/>
      <top style="thin">
        <color rgb="FFF8F6F2"/>
      </top>
      <bottom/>
      <diagonal/>
    </border>
    <border>
      <left/>
      <right style="thin">
        <color rgb="FFF8F6F2"/>
      </right>
      <top style="thin">
        <color rgb="FFF8F6F2"/>
      </top>
      <bottom/>
      <diagonal/>
    </border>
    <border>
      <left style="thin">
        <color rgb="FFF8F6F2"/>
      </left>
      <right/>
      <top/>
      <bottom style="thin">
        <color rgb="FFF8F6F2"/>
      </bottom>
      <diagonal/>
    </border>
    <border>
      <left/>
      <right/>
      <top/>
      <bottom style="thin">
        <color rgb="FFF8F6F2"/>
      </bottom>
      <diagonal/>
    </border>
    <border>
      <left/>
      <right style="thin">
        <color rgb="FFF8F6F2"/>
      </right>
      <top/>
      <bottom style="thin">
        <color rgb="FFF8F6F2"/>
      </bottom>
      <diagonal/>
    </border>
    <border>
      <left/>
      <right/>
      <top style="thin">
        <color rgb="FFF8F6F2"/>
      </top>
      <bottom style="thin">
        <color rgb="FFF8F6F2"/>
      </bottom>
      <diagonal/>
    </border>
    <border>
      <left/>
      <right style="thin">
        <color rgb="FFF8F6F2"/>
      </right>
      <top style="thin">
        <color rgb="FFF8F6F2"/>
      </top>
      <bottom style="thin">
        <color rgb="FFF8F6F2"/>
      </bottom>
      <diagonal/>
    </border>
    <border>
      <left/>
      <right/>
      <top style="thin">
        <color rgb="FF9FB48C"/>
      </top>
      <bottom style="thin">
        <color rgb="FF9FB48C"/>
      </bottom>
      <diagonal/>
    </border>
    <border>
      <left/>
      <right style="thin">
        <color rgb="FF9FB48C"/>
      </right>
      <top style="thin">
        <color rgb="FF9FB48C"/>
      </top>
      <bottom style="thin">
        <color rgb="FF9FB48C"/>
      </bottom>
      <diagonal/>
    </border>
  </borders>
  <cellStyleXfs count="1">
    <xf numFmtId="0" fontId="0" fillId="0" borderId="0"/>
  </cellStyleXfs>
  <cellXfs count="96">
    <xf numFmtId="0" fontId="0" fillId="0" borderId="0" xfId="0"/>
    <xf numFmtId="3" fontId="13" fillId="10" borderId="5" xfId="0" applyNumberFormat="1" applyFont="1" applyFill="1" applyBorder="1" applyAlignment="1">
      <alignment horizontal="center" vertical="center"/>
    </xf>
    <xf numFmtId="0" fontId="18" fillId="12" borderId="9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9" fillId="0" borderId="0" xfId="0" applyFont="1"/>
    <xf numFmtId="0" fontId="20" fillId="13" borderId="9" xfId="0" applyFont="1" applyFill="1" applyBorder="1" applyAlignment="1">
      <alignment horizontal="center" vertical="center"/>
    </xf>
    <xf numFmtId="2" fontId="20" fillId="13" borderId="9" xfId="0" applyNumberFormat="1" applyFont="1" applyFill="1" applyBorder="1" applyAlignment="1">
      <alignment horizontal="center" vertical="center"/>
    </xf>
    <xf numFmtId="14" fontId="20" fillId="13" borderId="9" xfId="0" applyNumberFormat="1" applyFont="1" applyFill="1" applyBorder="1" applyAlignment="1">
      <alignment horizontal="center" vertical="center"/>
    </xf>
    <xf numFmtId="0" fontId="21" fillId="13" borderId="9" xfId="0" applyFont="1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 vertical="center"/>
    </xf>
    <xf numFmtId="0" fontId="23" fillId="14" borderId="10" xfId="0" applyFont="1" applyFill="1" applyBorder="1" applyAlignment="1">
      <alignment horizontal="center" vertical="center"/>
    </xf>
    <xf numFmtId="164" fontId="23" fillId="14" borderId="10" xfId="0" applyNumberFormat="1" applyFont="1" applyFill="1" applyBorder="1" applyAlignment="1">
      <alignment horizontal="center" vertical="center"/>
    </xf>
    <xf numFmtId="0" fontId="23" fillId="14" borderId="10" xfId="0" applyFont="1" applyFill="1" applyBorder="1" applyAlignment="1">
      <alignment horizontal="left" vertical="center" indent="1"/>
    </xf>
    <xf numFmtId="3" fontId="19" fillId="14" borderId="10" xfId="0" applyNumberFormat="1" applyFont="1" applyFill="1" applyBorder="1" applyAlignment="1">
      <alignment horizontal="center" vertical="center"/>
    </xf>
    <xf numFmtId="0" fontId="24" fillId="14" borderId="10" xfId="0" applyFont="1" applyFill="1" applyBorder="1" applyAlignment="1">
      <alignment horizontal="center" vertical="center"/>
    </xf>
    <xf numFmtId="165" fontId="23" fillId="14" borderId="10" xfId="0" applyNumberFormat="1" applyFont="1" applyFill="1" applyBorder="1" applyAlignment="1">
      <alignment horizontal="center" vertical="center"/>
    </xf>
    <xf numFmtId="0" fontId="25" fillId="14" borderId="10" xfId="0" applyFont="1" applyFill="1" applyBorder="1" applyAlignment="1">
      <alignment horizontal="center" vertical="center"/>
    </xf>
    <xf numFmtId="0" fontId="26" fillId="14" borderId="10" xfId="0" applyFont="1" applyFill="1" applyBorder="1" applyAlignment="1">
      <alignment horizontal="center" vertical="center"/>
    </xf>
    <xf numFmtId="2" fontId="23" fillId="14" borderId="10" xfId="0" applyNumberFormat="1" applyFont="1" applyFill="1" applyBorder="1" applyAlignment="1">
      <alignment horizontal="center" vertical="center"/>
    </xf>
    <xf numFmtId="14" fontId="23" fillId="14" borderId="10" xfId="0" applyNumberFormat="1" applyFont="1" applyFill="1" applyBorder="1" applyAlignment="1">
      <alignment horizontal="center" vertical="center"/>
    </xf>
    <xf numFmtId="0" fontId="27" fillId="14" borderId="10" xfId="0" applyFont="1" applyFill="1" applyBorder="1" applyAlignment="1">
      <alignment horizontal="center" vertical="center"/>
    </xf>
    <xf numFmtId="0" fontId="28" fillId="0" borderId="0" xfId="0" applyFont="1"/>
    <xf numFmtId="0" fontId="30" fillId="12" borderId="9" xfId="0" applyFont="1" applyFill="1" applyBorder="1" applyAlignment="1">
      <alignment horizontal="center" vertical="center"/>
    </xf>
    <xf numFmtId="0" fontId="22" fillId="15" borderId="10" xfId="0" applyFont="1" applyFill="1" applyBorder="1" applyAlignment="1">
      <alignment horizontal="center" vertical="center"/>
    </xf>
    <xf numFmtId="0" fontId="23" fillId="15" borderId="10" xfId="0" applyFont="1" applyFill="1" applyBorder="1" applyAlignment="1">
      <alignment horizontal="center" vertical="center"/>
    </xf>
    <xf numFmtId="164" fontId="23" fillId="15" borderId="10" xfId="0" applyNumberFormat="1" applyFont="1" applyFill="1" applyBorder="1" applyAlignment="1">
      <alignment horizontal="center" vertical="center"/>
    </xf>
    <xf numFmtId="0" fontId="23" fillId="15" borderId="10" xfId="0" applyFont="1" applyFill="1" applyBorder="1" applyAlignment="1">
      <alignment horizontal="left" vertical="center" indent="1"/>
    </xf>
    <xf numFmtId="3" fontId="19" fillId="15" borderId="10" xfId="0" applyNumberFormat="1" applyFont="1" applyFill="1" applyBorder="1" applyAlignment="1">
      <alignment horizontal="center" vertical="center"/>
    </xf>
    <xf numFmtId="0" fontId="24" fillId="15" borderId="10" xfId="0" applyFont="1" applyFill="1" applyBorder="1" applyAlignment="1">
      <alignment horizontal="center" vertical="center"/>
    </xf>
    <xf numFmtId="165" fontId="23" fillId="15" borderId="10" xfId="0" applyNumberFormat="1" applyFont="1" applyFill="1" applyBorder="1" applyAlignment="1">
      <alignment horizontal="center" vertical="center"/>
    </xf>
    <xf numFmtId="0" fontId="25" fillId="15" borderId="10" xfId="0" applyFont="1" applyFill="1" applyBorder="1" applyAlignment="1">
      <alignment horizontal="center" vertical="center"/>
    </xf>
    <xf numFmtId="0" fontId="26" fillId="15" borderId="10" xfId="0" applyFont="1" applyFill="1" applyBorder="1" applyAlignment="1">
      <alignment horizontal="center" vertical="center"/>
    </xf>
    <xf numFmtId="2" fontId="23" fillId="15" borderId="10" xfId="0" applyNumberFormat="1" applyFont="1" applyFill="1" applyBorder="1" applyAlignment="1">
      <alignment horizontal="center" vertical="center"/>
    </xf>
    <xf numFmtId="14" fontId="23" fillId="15" borderId="10" xfId="0" applyNumberFormat="1" applyFont="1" applyFill="1" applyBorder="1" applyAlignment="1">
      <alignment horizontal="center" vertical="center"/>
    </xf>
    <xf numFmtId="0" fontId="27" fillId="15" borderId="10" xfId="0" applyFont="1" applyFill="1" applyBorder="1" applyAlignment="1">
      <alignment horizontal="center" vertical="center"/>
    </xf>
    <xf numFmtId="0" fontId="31" fillId="12" borderId="9" xfId="0" applyFont="1" applyFill="1" applyBorder="1" applyAlignment="1">
      <alignment horizontal="center" vertical="center"/>
    </xf>
    <xf numFmtId="0" fontId="32" fillId="13" borderId="9" xfId="0" applyFont="1" applyFill="1" applyBorder="1" applyAlignment="1">
      <alignment horizontal="center" vertical="center"/>
    </xf>
    <xf numFmtId="164" fontId="32" fillId="13" borderId="9" xfId="0" applyNumberFormat="1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19" fillId="14" borderId="10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left" vertical="center" indent="1"/>
    </xf>
    <xf numFmtId="0" fontId="0" fillId="0" borderId="12" xfId="0" applyBorder="1"/>
    <xf numFmtId="3" fontId="7" fillId="5" borderId="4" xfId="0" applyNumberFormat="1" applyFont="1" applyFill="1" applyBorder="1" applyAlignment="1">
      <alignment horizontal="right" vertical="center" indent="1"/>
    </xf>
    <xf numFmtId="0" fontId="0" fillId="0" borderId="18" xfId="0" applyBorder="1"/>
    <xf numFmtId="0" fontId="0" fillId="0" borderId="17" xfId="0" applyBorder="1"/>
    <xf numFmtId="0" fontId="1" fillId="2" borderId="1" xfId="0" applyFont="1" applyFill="1" applyBorder="1" applyAlignment="1">
      <alignment horizontal="left" vertical="center" indent="1"/>
    </xf>
    <xf numFmtId="0" fontId="0" fillId="0" borderId="11" xfId="0" applyBorder="1"/>
    <xf numFmtId="0" fontId="3" fillId="4" borderId="3" xfId="0" applyFont="1" applyFill="1" applyBorder="1" applyAlignment="1">
      <alignment horizontal="left" vertical="center" indent="1"/>
    </xf>
    <xf numFmtId="0" fontId="0" fillId="0" borderId="15" xfId="0" applyBorder="1"/>
    <xf numFmtId="0" fontId="0" fillId="0" borderId="16" xfId="0" applyBorder="1"/>
    <xf numFmtId="0" fontId="2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0" fillId="0" borderId="13" xfId="0" applyBorder="1"/>
    <xf numFmtId="0" fontId="0" fillId="0" borderId="14" xfId="0" applyBorder="1"/>
    <xf numFmtId="0" fontId="6" fillId="5" borderId="4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3" fontId="4" fillId="3" borderId="2" xfId="0" applyNumberFormat="1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indent="1"/>
    </xf>
    <xf numFmtId="3" fontId="4" fillId="4" borderId="3" xfId="0" applyNumberFormat="1" applyFont="1" applyFill="1" applyBorder="1" applyAlignment="1">
      <alignment horizontal="left" vertical="center" indent="1"/>
    </xf>
    <xf numFmtId="0" fontId="15" fillId="9" borderId="8" xfId="0" applyFont="1" applyFill="1" applyBorder="1" applyAlignment="1">
      <alignment horizontal="left" vertical="center" indent="1"/>
    </xf>
    <xf numFmtId="0" fontId="0" fillId="0" borderId="30" xfId="0" applyBorder="1"/>
    <xf numFmtId="0" fontId="0" fillId="0" borderId="31" xfId="0" applyBorder="1"/>
    <xf numFmtId="0" fontId="3" fillId="6" borderId="5" xfId="0" applyFont="1" applyFill="1" applyBorder="1" applyAlignment="1">
      <alignment horizontal="left" vertical="center" indent="1"/>
    </xf>
    <xf numFmtId="0" fontId="0" fillId="0" borderId="19" xfId="0" applyBorder="1"/>
    <xf numFmtId="0" fontId="0" fillId="0" borderId="20" xfId="0" applyBorder="1"/>
    <xf numFmtId="0" fontId="9" fillId="8" borderId="7" xfId="0" applyFont="1" applyFill="1" applyBorder="1" applyAlignment="1">
      <alignment horizontal="left" vertical="center" indent="1"/>
    </xf>
    <xf numFmtId="0" fontId="0" fillId="0" borderId="23" xfId="0" applyBorder="1"/>
    <xf numFmtId="0" fontId="0" fillId="0" borderId="24" xfId="0" applyBorder="1"/>
    <xf numFmtId="3" fontId="10" fillId="3" borderId="2" xfId="0" applyNumberFormat="1" applyFont="1" applyFill="1" applyBorder="1" applyAlignment="1">
      <alignment horizontal="left" vertical="center" indent="1"/>
    </xf>
    <xf numFmtId="0" fontId="29" fillId="12" borderId="9" xfId="0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12" fillId="9" borderId="0" xfId="0" applyFont="1" applyFill="1" applyAlignment="1">
      <alignment horizontal="right" vertical="center"/>
    </xf>
    <xf numFmtId="0" fontId="0" fillId="0" borderId="0" xfId="0"/>
    <xf numFmtId="0" fontId="3" fillId="7" borderId="6" xfId="0" applyFont="1" applyFill="1" applyBorder="1" applyAlignment="1">
      <alignment horizontal="left" vertical="center" indent="1"/>
    </xf>
    <xf numFmtId="0" fontId="0" fillId="0" borderId="21" xfId="0" applyBorder="1"/>
    <xf numFmtId="0" fontId="0" fillId="0" borderId="22" xfId="0" applyBorder="1"/>
    <xf numFmtId="0" fontId="9" fillId="3" borderId="2" xfId="0" applyFont="1" applyFill="1" applyBorder="1" applyAlignment="1">
      <alignment horizontal="left" vertical="center" indent="1"/>
    </xf>
    <xf numFmtId="3" fontId="10" fillId="2" borderId="1" xfId="0" applyNumberFormat="1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9" fillId="2" borderId="1" xfId="0" applyFont="1" applyFill="1" applyBorder="1" applyAlignment="1">
      <alignment horizontal="left" vertical="center" indent="1"/>
    </xf>
    <xf numFmtId="0" fontId="11" fillId="9" borderId="0" xfId="0" applyFont="1" applyFill="1" applyAlignment="1">
      <alignment horizontal="left" vertical="center" wrapText="1" indent="1"/>
    </xf>
    <xf numFmtId="3" fontId="10" fillId="4" borderId="3" xfId="0" applyNumberFormat="1" applyFont="1" applyFill="1" applyBorder="1" applyAlignment="1">
      <alignment horizontal="left" vertical="center" indent="1"/>
    </xf>
    <xf numFmtId="0" fontId="14" fillId="9" borderId="8" xfId="0" applyFont="1" applyFill="1" applyBorder="1" applyAlignment="1">
      <alignment horizontal="left" vertical="top" wrapText="1" inden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9" fillId="4" borderId="3" xfId="0" applyFont="1" applyFill="1" applyBorder="1" applyAlignment="1">
      <alignment horizontal="left" vertical="center" indent="1"/>
    </xf>
    <xf numFmtId="0" fontId="17" fillId="9" borderId="0" xfId="0" applyFont="1" applyFill="1" applyAlignment="1">
      <alignment horizontal="left" vertical="center" indent="1"/>
    </xf>
    <xf numFmtId="0" fontId="14" fillId="9" borderId="0" xfId="0" applyFont="1" applyFill="1" applyAlignment="1">
      <alignment horizontal="left" vertical="center" indent="1"/>
    </xf>
    <xf numFmtId="14" fontId="18" fillId="12" borderId="9" xfId="0" applyNumberFormat="1" applyFont="1" applyFill="1" applyBorder="1" applyAlignment="1">
      <alignment horizontal="center" vertical="center"/>
    </xf>
    <xf numFmtId="3" fontId="16" fillId="11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sz val="10"/>
        <color rgb="FF1B5E40"/>
        <name val="Calibri"/>
        <charset val="1"/>
      </font>
      <fill>
        <patternFill>
          <bgColor rgb="FFD4EEDF"/>
        </patternFill>
      </fill>
    </dxf>
    <dxf>
      <font>
        <sz val="10"/>
        <color rgb="FF1B5E40"/>
        <name val="Calibri"/>
        <charset val="1"/>
      </font>
      <fill>
        <patternFill>
          <bgColor rgb="FFD4EEDF"/>
        </patternFill>
      </fill>
    </dxf>
    <dxf>
      <font>
        <sz val="10"/>
        <color rgb="FF1B5E40"/>
        <name val="Calibri"/>
        <charset val="1"/>
      </font>
      <fill>
        <patternFill>
          <bgColor rgb="FFD4EEDF"/>
        </patternFill>
      </fill>
    </dxf>
    <dxf>
      <font>
        <sz val="10"/>
        <color rgb="FF1B5E40"/>
        <name val="Calibri"/>
        <charset val="1"/>
      </font>
      <fill>
        <patternFill>
          <bgColor rgb="FFD4EEDF"/>
        </patternFill>
      </fill>
    </dxf>
    <dxf>
      <font>
        <sz val="10"/>
        <color rgb="FF1B5E40"/>
        <name val="Calibri"/>
        <charset val="1"/>
      </font>
      <fill>
        <patternFill>
          <bgColor rgb="FFD4EEDF"/>
        </patternFill>
      </fill>
    </dxf>
    <dxf>
      <font>
        <sz val="10"/>
        <color rgb="FF1B5E40"/>
        <name val="Calibri"/>
        <charset val="1"/>
      </font>
      <fill>
        <patternFill>
          <bgColor rgb="FFD4EED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40"/>
      <rgbColor rgb="FF000080"/>
      <rgbColor rgb="FFA8794F"/>
      <rgbColor rgb="FF800080"/>
      <rgbColor rgb="FF008080"/>
      <rgbColor rgb="FFC9D9C2"/>
      <rgbColor rgb="FF6F9268"/>
      <rgbColor rgb="FF9999FF"/>
      <rgbColor rgb="FFB23A3A"/>
      <rgbColor rgb="FFF8F6F2"/>
      <rgbColor rgb="FFEAF1E4"/>
      <rgbColor rgb="FF660066"/>
      <rgbColor rgb="FFFF8080"/>
      <rgbColor rgb="FF0066CC"/>
      <rgbColor rgb="FFD7DC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2ED"/>
      <rgbColor rgb="FFD4EEDF"/>
      <rgbColor rgb="FFFBEDE8"/>
      <rgbColor rgb="FFECE8F4"/>
      <rgbColor rgb="FFFF99CC"/>
      <rgbColor rgb="FFCC99FF"/>
      <rgbColor rgb="FFDDD9D0"/>
      <rgbColor rgb="FF4F7396"/>
      <rgbColor rgb="FF33CCCC"/>
      <rgbColor rgb="FF99CC00"/>
      <rgbColor rgb="FFFFCC00"/>
      <rgbColor rgb="FFC8862B"/>
      <rgbColor rgb="FFC75D45"/>
      <rgbColor rgb="FF6B7280"/>
      <rgbColor rgb="FF9FB48C"/>
      <rgbColor rgb="FF14233A"/>
      <rgbColor rgb="FF2E7D5B"/>
      <rgbColor rgb="FF003300"/>
      <rgbColor rgb="FF40556E"/>
      <rgbColor rgb="FF993300"/>
      <rgbColor rgb="FF5B4B8A"/>
      <rgbColor rgb="FF27406B"/>
      <rgbColor rgb="FF1E3A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75D45"/>
  </sheetPr>
  <dimension ref="B2:F1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2" customWidth="1"/>
    <col min="3" max="3" width="20" customWidth="1"/>
    <col min="4" max="4" width="3" customWidth="1"/>
    <col min="5" max="5" width="22" customWidth="1"/>
    <col min="6" max="6" width="20" customWidth="1"/>
    <col min="7" max="7" width="3" customWidth="1"/>
  </cols>
  <sheetData>
    <row r="2" spans="2:6" ht="31.5" customHeight="1" x14ac:dyDescent="0.25">
      <c r="B2" s="45" t="s">
        <v>0</v>
      </c>
      <c r="C2" s="46"/>
      <c r="D2" s="46"/>
      <c r="E2" s="46"/>
      <c r="F2" s="41"/>
    </row>
    <row r="3" spans="2:6" ht="19.5" customHeight="1" x14ac:dyDescent="0.25">
      <c r="B3" s="50" t="s">
        <v>1</v>
      </c>
      <c r="C3" s="46"/>
      <c r="D3" s="46"/>
      <c r="E3" s="46"/>
      <c r="F3" s="41"/>
    </row>
    <row r="4" spans="2:6" ht="9.75" customHeight="1" x14ac:dyDescent="0.25"/>
    <row r="5" spans="2:6" ht="19.5" customHeight="1" x14ac:dyDescent="0.25">
      <c r="B5" s="51" t="s">
        <v>2</v>
      </c>
      <c r="C5" s="46"/>
      <c r="D5" s="46"/>
      <c r="E5" s="46"/>
      <c r="F5" s="41"/>
    </row>
    <row r="6" spans="2:6" ht="43.5" customHeight="1" x14ac:dyDescent="0.25">
      <c r="B6" s="40">
        <f>Ramesh!$B$5</f>
        <v>3</v>
      </c>
      <c r="C6" s="41"/>
      <c r="D6" s="59" t="s">
        <v>3</v>
      </c>
      <c r="E6" s="46"/>
      <c r="F6" s="41"/>
    </row>
    <row r="7" spans="2:6" ht="7.5" customHeight="1" x14ac:dyDescent="0.25"/>
    <row r="8" spans="2:6" ht="19.5" customHeight="1" x14ac:dyDescent="0.25">
      <c r="B8" s="57" t="s">
        <v>4</v>
      </c>
      <c r="C8" s="54"/>
      <c r="D8" s="54"/>
      <c r="E8" s="54"/>
      <c r="F8" s="55"/>
    </row>
    <row r="9" spans="2:6" ht="43.5" customHeight="1" x14ac:dyDescent="0.25">
      <c r="B9" s="58">
        <f>Suresh!$B$5</f>
        <v>0</v>
      </c>
      <c r="C9" s="55"/>
      <c r="D9" s="53" t="s">
        <v>3</v>
      </c>
      <c r="E9" s="54"/>
      <c r="F9" s="55"/>
    </row>
    <row r="10" spans="2:6" ht="7.5" customHeight="1" x14ac:dyDescent="0.25"/>
    <row r="11" spans="2:6" ht="19.5" customHeight="1" x14ac:dyDescent="0.25">
      <c r="B11" s="47" t="s">
        <v>5</v>
      </c>
      <c r="C11" s="48"/>
      <c r="D11" s="48"/>
      <c r="E11" s="48"/>
      <c r="F11" s="49"/>
    </row>
    <row r="12" spans="2:6" ht="43.5" customHeight="1" x14ac:dyDescent="0.25">
      <c r="B12" s="60">
        <f>Mahesh!$B$5</f>
        <v>0</v>
      </c>
      <c r="C12" s="49"/>
      <c r="D12" s="52" t="s">
        <v>3</v>
      </c>
      <c r="E12" s="48"/>
      <c r="F12" s="49"/>
    </row>
    <row r="13" spans="2:6" ht="7.5" customHeight="1" x14ac:dyDescent="0.25"/>
    <row r="14" spans="2:6" ht="30" customHeight="1" x14ac:dyDescent="0.25">
      <c r="B14" s="56" t="s">
        <v>6</v>
      </c>
      <c r="C14" s="44"/>
      <c r="D14" s="42">
        <f>Ramesh!$B$5+Suresh!$B$5+Mahesh!$B$5</f>
        <v>3</v>
      </c>
      <c r="E14" s="43"/>
      <c r="F14" s="44"/>
    </row>
  </sheetData>
  <mergeCells count="13">
    <mergeCell ref="B6:C6"/>
    <mergeCell ref="D14:F14"/>
    <mergeCell ref="B2:F2"/>
    <mergeCell ref="B11:F11"/>
    <mergeCell ref="B3:F3"/>
    <mergeCell ref="B5:F5"/>
    <mergeCell ref="D12:F12"/>
    <mergeCell ref="D9:F9"/>
    <mergeCell ref="B14:C14"/>
    <mergeCell ref="B8:F8"/>
    <mergeCell ref="B9:C9"/>
    <mergeCell ref="D6:F6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7396"/>
  </sheetPr>
  <dimension ref="B2:BQ4010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1" sqref="F1:F1048576"/>
    </sheetView>
  </sheetViews>
  <sheetFormatPr defaultColWidth="8.7109375" defaultRowHeight="15" x14ac:dyDescent="0.25"/>
  <cols>
    <col min="1" max="1" width="2.42578125" customWidth="1"/>
    <col min="2" max="2" width="5" customWidth="1"/>
    <col min="3" max="3" width="12" customWidth="1"/>
    <col min="4" max="5" width="6" customWidth="1"/>
    <col min="6" max="7" width="7" customWidth="1"/>
    <col min="8" max="8" width="11" customWidth="1"/>
    <col min="9" max="9" width="7" customWidth="1"/>
    <col min="10" max="10" width="2.42578125" customWidth="1"/>
    <col min="11" max="11" width="7" customWidth="1"/>
    <col min="12" max="12" width="8" customWidth="1"/>
    <col min="13" max="14" width="9" customWidth="1"/>
    <col min="15" max="15" width="2.42578125" customWidth="1"/>
    <col min="16" max="16" width="12" customWidth="1"/>
    <col min="17" max="18" width="8" customWidth="1"/>
    <col min="19" max="20" width="6" customWidth="1"/>
    <col min="21" max="21" width="7" customWidth="1"/>
    <col min="22" max="22" width="2.42578125" customWidth="1"/>
    <col min="23" max="23" width="7" customWidth="1"/>
    <col min="24" max="24" width="12" customWidth="1"/>
    <col min="25" max="26" width="8" customWidth="1"/>
    <col min="27" max="27" width="6" customWidth="1"/>
    <col min="28" max="28" width="11" customWidth="1"/>
    <col min="29" max="29" width="2.42578125" customWidth="1"/>
    <col min="30" max="30" width="7" customWidth="1"/>
    <col min="31" max="31" width="12" customWidth="1"/>
    <col min="32" max="33" width="8" customWidth="1"/>
    <col min="34" max="34" width="6" customWidth="1"/>
    <col min="35" max="36" width="11" customWidth="1"/>
    <col min="37" max="37" width="2.42578125" customWidth="1"/>
    <col min="38" max="38" width="7" customWidth="1"/>
    <col min="39" max="39" width="12" customWidth="1"/>
    <col min="40" max="41" width="8" customWidth="1"/>
    <col min="42" max="43" width="6" customWidth="1"/>
    <col min="44" max="44" width="11" customWidth="1"/>
    <col min="45" max="45" width="10" customWidth="1"/>
    <col min="46" max="46" width="11" customWidth="1"/>
    <col min="47" max="47" width="2.42578125" customWidth="1"/>
    <col min="48" max="53" width="13" hidden="1" customWidth="1"/>
    <col min="56" max="56" width="5" customWidth="1"/>
    <col min="57" max="57" width="11" customWidth="1"/>
    <col min="58" max="59" width="6" customWidth="1"/>
    <col min="60" max="61" width="7" customWidth="1"/>
    <col min="64" max="64" width="5" customWidth="1"/>
    <col min="65" max="65" width="11" customWidth="1"/>
    <col min="66" max="67" width="6" customWidth="1"/>
    <col min="68" max="69" width="7" customWidth="1"/>
  </cols>
  <sheetData>
    <row r="2" spans="2:69" ht="25.5" customHeight="1" x14ac:dyDescent="0.25">
      <c r="B2" s="81" t="s">
        <v>2</v>
      </c>
      <c r="C2" s="46"/>
      <c r="D2" s="46"/>
      <c r="E2" s="46"/>
      <c r="F2" s="46"/>
      <c r="G2" s="46"/>
      <c r="H2" s="46"/>
      <c r="I2" s="41"/>
    </row>
    <row r="4" spans="2:69" ht="15.75" customHeight="1" x14ac:dyDescent="0.25">
      <c r="B4" s="91" t="s">
        <v>7</v>
      </c>
      <c r="C4" s="48"/>
      <c r="D4" s="49"/>
      <c r="E4" s="79" t="s">
        <v>8</v>
      </c>
      <c r="F4" s="55"/>
      <c r="G4" s="82" t="s">
        <v>9</v>
      </c>
      <c r="H4" s="46"/>
      <c r="I4" s="41"/>
    </row>
    <row r="5" spans="2:69" ht="30" customHeight="1" x14ac:dyDescent="0.25">
      <c r="B5" s="84">
        <f>SUMPRODUCT(($AM$11:$AM$4010&lt;&gt;"")*($AS$11:$AS$4010&lt;&gt;"✓"))</f>
        <v>3</v>
      </c>
      <c r="C5" s="48"/>
      <c r="D5" s="49"/>
      <c r="E5" s="70">
        <f>SUMPRODUCT(($AM$11:$AM$4010&lt;&gt;"")*($AS$11:$AS$4010="✓"))</f>
        <v>1</v>
      </c>
      <c r="F5" s="55"/>
      <c r="G5" s="80">
        <f>IFERROR(MAX($AL$11:$AL$4010),0)</f>
        <v>2</v>
      </c>
      <c r="H5" s="46"/>
      <c r="I5" s="41"/>
    </row>
    <row r="6" spans="2:69" ht="9.75" customHeight="1" x14ac:dyDescent="0.25"/>
    <row r="7" spans="2:69" ht="19.5" customHeight="1" x14ac:dyDescent="0.25">
      <c r="B7" s="64" t="s">
        <v>10</v>
      </c>
      <c r="C7" s="65"/>
      <c r="D7" s="65"/>
      <c r="E7" s="65"/>
      <c r="F7" s="65"/>
      <c r="G7" s="65"/>
      <c r="H7" s="65"/>
      <c r="I7" s="66"/>
      <c r="K7" s="51" t="s">
        <v>11</v>
      </c>
      <c r="L7" s="46"/>
      <c r="M7" s="46"/>
      <c r="N7" s="41"/>
      <c r="P7" s="47" t="s">
        <v>12</v>
      </c>
      <c r="Q7" s="48"/>
      <c r="R7" s="48"/>
      <c r="S7" s="48"/>
      <c r="T7" s="48"/>
      <c r="U7" s="49"/>
      <c r="W7" s="76" t="s">
        <v>13</v>
      </c>
      <c r="X7" s="77"/>
      <c r="Y7" s="77"/>
      <c r="Z7" s="77"/>
      <c r="AA7" s="77"/>
      <c r="AB7" s="78"/>
      <c r="AD7" s="57" t="s">
        <v>14</v>
      </c>
      <c r="AE7" s="54"/>
      <c r="AF7" s="54"/>
      <c r="AG7" s="54"/>
      <c r="AH7" s="54"/>
      <c r="AI7" s="54"/>
      <c r="AJ7" s="55"/>
      <c r="AL7" s="67" t="s">
        <v>15</v>
      </c>
      <c r="AM7" s="68"/>
      <c r="AN7" s="68"/>
      <c r="AO7" s="68"/>
      <c r="AP7" s="68"/>
      <c r="AQ7" s="68"/>
      <c r="AR7" s="68"/>
      <c r="AS7" s="68"/>
      <c r="AT7" s="69"/>
    </row>
    <row r="8" spans="2:69" ht="21.75" customHeight="1" x14ac:dyDescent="0.25">
      <c r="B8" s="83" t="s">
        <v>16</v>
      </c>
      <c r="C8" s="75"/>
      <c r="D8" s="75"/>
      <c r="E8" s="75"/>
      <c r="F8" s="75"/>
      <c r="G8" s="74" t="s">
        <v>17</v>
      </c>
      <c r="H8" s="75"/>
      <c r="I8" s="1">
        <f>IFERROR(MAX($I$11:$I$510),0)+1</f>
        <v>3</v>
      </c>
      <c r="K8" s="85" t="s">
        <v>18</v>
      </c>
      <c r="L8" s="86"/>
      <c r="M8" s="86"/>
      <c r="N8" s="87"/>
      <c r="P8" s="61" t="s">
        <v>19</v>
      </c>
      <c r="Q8" s="62"/>
      <c r="R8" s="63"/>
      <c r="S8" s="95">
        <v>1</v>
      </c>
      <c r="T8" s="48"/>
      <c r="U8" s="49"/>
      <c r="W8" s="85" t="s">
        <v>20</v>
      </c>
      <c r="X8" s="86"/>
      <c r="Y8" s="86"/>
      <c r="Z8" s="86"/>
      <c r="AA8" s="86"/>
      <c r="AB8" s="87"/>
      <c r="AD8" s="85" t="s">
        <v>21</v>
      </c>
      <c r="AE8" s="86"/>
      <c r="AF8" s="86"/>
      <c r="AG8" s="86"/>
      <c r="AH8" s="86"/>
      <c r="AI8" s="86"/>
      <c r="AJ8" s="87"/>
      <c r="AL8" s="85" t="s">
        <v>22</v>
      </c>
      <c r="AM8" s="86"/>
      <c r="AN8" s="86"/>
      <c r="AO8" s="86"/>
      <c r="AP8" s="86"/>
      <c r="AQ8" s="86"/>
      <c r="AR8" s="86"/>
      <c r="AS8" s="86"/>
      <c r="AT8" s="87"/>
    </row>
    <row r="9" spans="2:69" ht="13.5" customHeight="1" x14ac:dyDescent="0.25">
      <c r="B9" s="92" t="s">
        <v>23</v>
      </c>
      <c r="C9" s="75"/>
      <c r="D9" s="75"/>
      <c r="E9" s="75"/>
      <c r="F9" s="75"/>
      <c r="G9" s="75"/>
      <c r="H9" s="75"/>
      <c r="I9" s="75"/>
      <c r="K9" s="88"/>
      <c r="L9" s="89"/>
      <c r="M9" s="89"/>
      <c r="N9" s="90"/>
      <c r="P9" s="93" t="s">
        <v>24</v>
      </c>
      <c r="Q9" s="75"/>
      <c r="R9" s="75"/>
      <c r="S9" s="75"/>
      <c r="T9" s="75"/>
      <c r="U9" s="75"/>
      <c r="W9" s="88"/>
      <c r="X9" s="89"/>
      <c r="Y9" s="89"/>
      <c r="Z9" s="89"/>
      <c r="AA9" s="89"/>
      <c r="AB9" s="90"/>
      <c r="AD9" s="88"/>
      <c r="AE9" s="89"/>
      <c r="AF9" s="89"/>
      <c r="AG9" s="89"/>
      <c r="AH9" s="89"/>
      <c r="AI9" s="89"/>
      <c r="AJ9" s="90"/>
      <c r="AL9" s="88"/>
      <c r="AM9" s="89"/>
      <c r="AN9" s="89"/>
      <c r="AO9" s="89"/>
      <c r="AP9" s="89"/>
      <c r="AQ9" s="89"/>
      <c r="AR9" s="89"/>
      <c r="AS9" s="89"/>
      <c r="AT9" s="90"/>
    </row>
    <row r="10" spans="2:69" ht="19.5" customHeight="1" x14ac:dyDescent="0.25"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  <c r="I10" s="2" t="s">
        <v>32</v>
      </c>
      <c r="K10" s="3" t="s">
        <v>32</v>
      </c>
      <c r="L10" s="3" t="s">
        <v>33</v>
      </c>
      <c r="M10" s="3" t="s">
        <v>29</v>
      </c>
      <c r="N10" s="3" t="s">
        <v>30</v>
      </c>
      <c r="P10" s="3" t="s">
        <v>26</v>
      </c>
      <c r="Q10" s="3" t="s">
        <v>29</v>
      </c>
      <c r="R10" s="3" t="s">
        <v>30</v>
      </c>
      <c r="S10" s="3" t="s">
        <v>27</v>
      </c>
      <c r="T10" s="3" t="s">
        <v>28</v>
      </c>
      <c r="U10" s="3" t="s">
        <v>32</v>
      </c>
      <c r="W10" s="3" t="s">
        <v>32</v>
      </c>
      <c r="X10" s="3" t="s">
        <v>26</v>
      </c>
      <c r="Y10" s="3" t="s">
        <v>29</v>
      </c>
      <c r="Z10" s="3" t="s">
        <v>30</v>
      </c>
      <c r="AA10" s="3" t="s">
        <v>28</v>
      </c>
      <c r="AB10" s="3" t="s">
        <v>31</v>
      </c>
      <c r="AD10" s="3" t="s">
        <v>32</v>
      </c>
      <c r="AE10" s="3" t="s">
        <v>26</v>
      </c>
      <c r="AF10" s="3" t="s">
        <v>29</v>
      </c>
      <c r="AG10" s="3" t="s">
        <v>30</v>
      </c>
      <c r="AH10" s="3" t="s">
        <v>28</v>
      </c>
      <c r="AI10" s="3" t="s">
        <v>31</v>
      </c>
      <c r="AJ10" s="3" t="s">
        <v>34</v>
      </c>
      <c r="AL10" s="3" t="s">
        <v>32</v>
      </c>
      <c r="AM10" s="3" t="s">
        <v>26</v>
      </c>
      <c r="AN10" s="3" t="s">
        <v>29</v>
      </c>
      <c r="AO10" s="3" t="s">
        <v>30</v>
      </c>
      <c r="AP10" s="3" t="s">
        <v>27</v>
      </c>
      <c r="AQ10" s="3" t="s">
        <v>28</v>
      </c>
      <c r="AR10" s="3" t="s">
        <v>31</v>
      </c>
      <c r="AS10" s="3" t="s">
        <v>35</v>
      </c>
      <c r="AT10" s="3" t="s">
        <v>34</v>
      </c>
      <c r="BD10" s="4" t="s">
        <v>36</v>
      </c>
    </row>
    <row r="11" spans="2:69" ht="15" customHeight="1" x14ac:dyDescent="0.25">
      <c r="B11" s="5">
        <f t="shared" ref="B11:B74" si="0">IF($C11="","",ROW()-10)</f>
        <v>1</v>
      </c>
      <c r="C11" s="5" t="s">
        <v>37</v>
      </c>
      <c r="D11" s="5" t="s">
        <v>38</v>
      </c>
      <c r="E11" s="5" t="s">
        <v>39</v>
      </c>
      <c r="F11" s="6">
        <v>0.61</v>
      </c>
      <c r="G11" s="6">
        <v>0.51</v>
      </c>
      <c r="H11" s="7">
        <v>46174</v>
      </c>
      <c r="I11" s="8">
        <v>1</v>
      </c>
      <c r="K11" s="9">
        <f>IFERROR(INDEX($AL$11:$AL$4010,MATCH(1,$AX$11:$AX$4010,0)),"")</f>
        <v>1</v>
      </c>
      <c r="L11" s="10">
        <f t="shared" ref="L11:L74" si="1">IF(K11="","",COUNTIF($AL$11:$AL$4010,K11))</f>
        <v>3</v>
      </c>
      <c r="M11" s="11">
        <f t="shared" ref="M11:M74" si="2">IF(K11="","",SUMIF($AL$11:$AL$4010,K11,$AN$11:$AN$4010))</f>
        <v>2.17</v>
      </c>
      <c r="N11" s="11">
        <f t="shared" ref="N11:N74" si="3">IF(K11="","",SUMIF($AL$11:$AL$4010,K11,$AO$11:$AO$4010))</f>
        <v>1.7199999999999998</v>
      </c>
      <c r="P11" s="12" t="str">
        <f>IFERROR(INDEX($AM$11:$AM$4010,MATCH($S$8&amp;"|"&amp;1,$BA$11:$BA$4010,0)),"")</f>
        <v>292.1C</v>
      </c>
      <c r="Q11" s="11">
        <f>IF(P11="","",IFERROR(INDEX($AN$11:$AN$4010,MATCH($S$8&amp;"|"&amp;1,$BA$11:$BA$4010,0)),""))</f>
        <v>0.61</v>
      </c>
      <c r="R11" s="11">
        <f>IF(P11="","",IFERROR(INDEX($AO$11:$AO$4010,MATCH($S$8&amp;"|"&amp;1,$BA$11:$BA$4010,0)),""))</f>
        <v>0.51</v>
      </c>
      <c r="S11" s="10" t="str">
        <f>IF(P11="","",IFERROR(INDEX($AP$11:$AP$4010,MATCH($S$8&amp;"|"&amp;1,$BA$11:$BA$4010,0)),""))</f>
        <v>J</v>
      </c>
      <c r="T11" s="10" t="str">
        <f>IF(P11="","",IFERROR(INDEX($AQ$11:$AQ$4010,MATCH($S$8&amp;"|"&amp;1,$BA$11:$BA$4010,0)),""))</f>
        <v>SI1</v>
      </c>
      <c r="U11" s="13">
        <f t="shared" ref="U11:U42" si="4">IF(P11="","",$S$8)</f>
        <v>1</v>
      </c>
      <c r="W11" s="14">
        <f>IF(X11="","",IFERROR(INDEX($AL$11:$AL$4010,MATCH(1,$AY$11:$AY$4010,0)),""))</f>
        <v>1</v>
      </c>
      <c r="X11" s="12" t="str">
        <f>IFERROR(INDEX($AM$11:$AM$4010,MATCH(1,$AY$11:$AY$4010,0)),"")</f>
        <v>292.1C</v>
      </c>
      <c r="Y11" s="11">
        <f>IF(X11="","",IFERROR(INDEX($AN$11:$AN$4010,MATCH(1,$AY$11:$AY$4010,0)),""))</f>
        <v>0.61</v>
      </c>
      <c r="Z11" s="11">
        <f>IF(X11="","",IFERROR(INDEX($AO$11:$AO$4010,MATCH(1,$AY$11:$AY$4010,0)),""))</f>
        <v>0.51</v>
      </c>
      <c r="AA11" s="10" t="str">
        <f>IF(X11="","",IFERROR(INDEX($AQ$11:$AQ$4010,MATCH(1,$AY$11:$AY$4010,0)),""))</f>
        <v>SI1</v>
      </c>
      <c r="AB11" s="15">
        <f>IF(X11="","",IFERROR(INDEX($AR$11:$AR$4010,MATCH(1,$AY$11:$AY$4010,0)),""))</f>
        <v>46174</v>
      </c>
      <c r="AD11" s="16">
        <f>IF(AE11="","",IFERROR(INDEX($AL$11:$AL$4010,MATCH(1,$AZ$11:$AZ$4010,0)),""))</f>
        <v>1</v>
      </c>
      <c r="AE11" s="12" t="str">
        <f>IFERROR(INDEX($AM$11:$AM$4010,MATCH(1,$AZ$11:$AZ$4010,0)),"")</f>
        <v>292.1C</v>
      </c>
      <c r="AF11" s="11">
        <f>IF(AE11="","",IFERROR(INDEX($AN$11:$AN$4010,MATCH(1,$AZ$11:$AZ$4010,0)),""))</f>
        <v>0.76</v>
      </c>
      <c r="AG11" s="11">
        <f>IF(AE11="","",IFERROR(INDEX($AO$11:$AO$4010,MATCH(1,$AZ$11:$AZ$4010,0)),""))</f>
        <v>0.6</v>
      </c>
      <c r="AH11" s="10" t="str">
        <f>IF(AE11="","",IFERROR(INDEX($AQ$11:$AQ$4010,MATCH(1,$AZ$11:$AZ$4010,0)),""))</f>
        <v>SI2</v>
      </c>
      <c r="AI11" s="15">
        <f>IF(AE11="","",IFERROR(INDEX($AR$11:$AR$4010,MATCH(1,$AZ$11:$AZ$4010,0)),""))</f>
        <v>46174</v>
      </c>
      <c r="AJ11" s="15">
        <v>46203</v>
      </c>
      <c r="AL11" s="17">
        <f t="shared" ref="AL11:AL74" si="5">IF($C11="","",$I11)</f>
        <v>1</v>
      </c>
      <c r="AM11" s="12" t="str">
        <f t="shared" ref="AM11:AM74" si="6">IF($C11="","",$C11)</f>
        <v>292.1C</v>
      </c>
      <c r="AN11" s="18">
        <f t="shared" ref="AN11:AN74" si="7">IF($C11="","",$F11)</f>
        <v>0.61</v>
      </c>
      <c r="AO11" s="18">
        <f t="shared" ref="AO11:AO74" si="8">IF($C11="","",$G11)</f>
        <v>0.51</v>
      </c>
      <c r="AP11" s="10" t="str">
        <f t="shared" ref="AP11:AP74" si="9">IF($C11="","",$D11)</f>
        <v>J</v>
      </c>
      <c r="AQ11" s="10" t="str">
        <f t="shared" ref="AQ11:AQ74" si="10">IF($C11="","",$E11)</f>
        <v>SI1</v>
      </c>
      <c r="AR11" s="19">
        <f t="shared" ref="AR11:AR74" si="11">IF($C11="","",$H11)</f>
        <v>46174</v>
      </c>
      <c r="AS11" s="20"/>
      <c r="AT11" s="19"/>
      <c r="AV11" s="21">
        <f>IF(AND($AL11&lt;&gt;"",COUNTIF($AL$11:$AL11,$AL11)=1),1,0)</f>
        <v>1</v>
      </c>
      <c r="AW11" s="21">
        <f>AV11</f>
        <v>1</v>
      </c>
      <c r="AX11" s="21">
        <f t="shared" ref="AX11:AX74" si="12">IF(AV11=1,AW11,"")</f>
        <v>1</v>
      </c>
      <c r="AY11" s="21">
        <f>IF(AND($AM11&lt;&gt;"",$AS11&lt;&gt;"✓"),SUMPRODUCT(($AM$11:$AM11&lt;&gt;"")*($AS$11:$AS11&lt;&gt;"✓")),"")</f>
        <v>1</v>
      </c>
      <c r="AZ11" s="21" t="str">
        <f>IF(AND($AM11&lt;&gt;"",$AS11="✓"),SUMPRODUCT(($AM$11:$AM11&lt;&gt;"")*($AS$11:$AS11="✓")),"")</f>
        <v/>
      </c>
      <c r="BA11" s="21" t="str">
        <f>IF($AL11="","",$AL11&amp;"|"&amp;COUNTIF($AL$11:$AL11,$AL11))</f>
        <v>1|1</v>
      </c>
      <c r="BD11" s="71" t="s">
        <v>40</v>
      </c>
      <c r="BE11" s="72"/>
      <c r="BF11" s="73"/>
      <c r="BG11" s="22" t="s">
        <v>41</v>
      </c>
      <c r="BH11" s="94">
        <f ca="1">TODAY()</f>
        <v>46203</v>
      </c>
      <c r="BI11" s="73"/>
      <c r="BL11" s="71" t="s">
        <v>40</v>
      </c>
      <c r="BM11" s="72"/>
      <c r="BN11" s="73"/>
      <c r="BO11" s="22" t="s">
        <v>41</v>
      </c>
      <c r="BP11" s="94">
        <f ca="1">TODAY()</f>
        <v>46203</v>
      </c>
      <c r="BQ11" s="73"/>
    </row>
    <row r="12" spans="2:69" ht="15" customHeight="1" x14ac:dyDescent="0.25">
      <c r="B12" s="5">
        <f t="shared" si="0"/>
        <v>2</v>
      </c>
      <c r="C12" s="5" t="s">
        <v>37</v>
      </c>
      <c r="D12" s="5" t="s">
        <v>42</v>
      </c>
      <c r="E12" s="5" t="s">
        <v>43</v>
      </c>
      <c r="F12" s="6">
        <v>0.76</v>
      </c>
      <c r="G12" s="6">
        <v>0.6</v>
      </c>
      <c r="H12" s="7">
        <v>46174</v>
      </c>
      <c r="I12" s="8">
        <v>1</v>
      </c>
      <c r="K12" s="23">
        <f>IFERROR(INDEX($AL$11:$AL$4010,MATCH(2,$AX$11:$AX$4010,0)),"")</f>
        <v>2</v>
      </c>
      <c r="L12" s="24">
        <f t="shared" si="1"/>
        <v>1</v>
      </c>
      <c r="M12" s="25">
        <f t="shared" si="2"/>
        <v>0.41</v>
      </c>
      <c r="N12" s="25">
        <f t="shared" si="3"/>
        <v>0.31</v>
      </c>
      <c r="P12" s="26" t="str">
        <f>IFERROR(INDEX($AM$11:$AM$4010,MATCH($S$8&amp;"|"&amp;2,$BA$11:$BA$4010,0)),"")</f>
        <v>292.1C</v>
      </c>
      <c r="Q12" s="25">
        <f>IF(P12="","",IFERROR(INDEX($AN$11:$AN$4010,MATCH($S$8&amp;"|"&amp;2,$BA$11:$BA$4010,0)),""))</f>
        <v>0.76</v>
      </c>
      <c r="R12" s="25">
        <f>IF(P12="","",IFERROR(INDEX($AO$11:$AO$4010,MATCH($S$8&amp;"|"&amp;2,$BA$11:$BA$4010,0)),""))</f>
        <v>0.6</v>
      </c>
      <c r="S12" s="24" t="str">
        <f>IF(P12="","",IFERROR(INDEX($AP$11:$AP$4010,MATCH($S$8&amp;"|"&amp;2,$BA$11:$BA$4010,0)),""))</f>
        <v>I</v>
      </c>
      <c r="T12" s="24" t="str">
        <f>IF(P12="","",IFERROR(INDEX($AQ$11:$AQ$4010,MATCH($S$8&amp;"|"&amp;2,$BA$11:$BA$4010,0)),""))</f>
        <v>SI2</v>
      </c>
      <c r="U12" s="27">
        <f t="shared" si="4"/>
        <v>1</v>
      </c>
      <c r="W12" s="28">
        <f>IF(X12="","",IFERROR(INDEX($AL$11:$AL$4010,MATCH(2,$AY$11:$AY$4010,0)),""))</f>
        <v>1</v>
      </c>
      <c r="X12" s="26" t="str">
        <f>IFERROR(INDEX($AM$11:$AM$4010,MATCH(2,$AY$11:$AY$4010,0)),"")</f>
        <v>292.1A</v>
      </c>
      <c r="Y12" s="25">
        <f>IF(X12="","",IFERROR(INDEX($AN$11:$AN$4010,MATCH(2,$AY$11:$AY$4010,0)),""))</f>
        <v>0.8</v>
      </c>
      <c r="Z12" s="25">
        <f>IF(X12="","",IFERROR(INDEX($AO$11:$AO$4010,MATCH(2,$AY$11:$AY$4010,0)),""))</f>
        <v>0.61</v>
      </c>
      <c r="AA12" s="24" t="str">
        <f>IF(X12="","",IFERROR(INDEX($AQ$11:$AQ$4010,MATCH(2,$AY$11:$AY$4010,0)),""))</f>
        <v>VS2</v>
      </c>
      <c r="AB12" s="29">
        <f>IF(X12="","",IFERROR(INDEX($AR$11:$AR$4010,MATCH(2,$AY$11:$AY$4010,0)),""))</f>
        <v>46174</v>
      </c>
      <c r="AD12" s="30" t="str">
        <f>IF(AE12="","",IFERROR(INDEX($AL$11:$AL$4010,MATCH(2,$AZ$11:$AZ$4010,0)),""))</f>
        <v/>
      </c>
      <c r="AE12" s="26" t="str">
        <f>IFERROR(INDEX($AM$11:$AM$4010,MATCH(2,$AZ$11:$AZ$4010,0)),"")</f>
        <v/>
      </c>
      <c r="AF12" s="25" t="str">
        <f>IF(AE12="","",IFERROR(INDEX($AN$11:$AN$4010,MATCH(2,$AZ$11:$AZ$4010,0)),""))</f>
        <v/>
      </c>
      <c r="AG12" s="25" t="str">
        <f>IF(AE12="","",IFERROR(INDEX($AO$11:$AO$4010,MATCH(2,$AZ$11:$AZ$4010,0)),""))</f>
        <v/>
      </c>
      <c r="AH12" s="24" t="str">
        <f>IF(AE12="","",IFERROR(INDEX($AQ$11:$AQ$4010,MATCH(2,$AZ$11:$AZ$4010,0)),""))</f>
        <v/>
      </c>
      <c r="AI12" s="29" t="str">
        <f>IF(AE12="","",IFERROR(INDEX($AR$11:$AR$4010,MATCH(2,$AZ$11:$AZ$4010,0)),""))</f>
        <v/>
      </c>
      <c r="AJ12" s="29" t="str">
        <f>IF(AE12="","",IFERROR(INDEX($AT$11:$AT$4010,MATCH(2,$AZ$11:$AZ$4010,0)),""))</f>
        <v/>
      </c>
      <c r="AL12" s="31">
        <f t="shared" si="5"/>
        <v>1</v>
      </c>
      <c r="AM12" s="26" t="str">
        <f t="shared" si="6"/>
        <v>292.1C</v>
      </c>
      <c r="AN12" s="32">
        <f t="shared" si="7"/>
        <v>0.76</v>
      </c>
      <c r="AO12" s="32">
        <f t="shared" si="8"/>
        <v>0.6</v>
      </c>
      <c r="AP12" s="24" t="str">
        <f t="shared" si="9"/>
        <v>I</v>
      </c>
      <c r="AQ12" s="24" t="str">
        <f t="shared" si="10"/>
        <v>SI2</v>
      </c>
      <c r="AR12" s="33">
        <f t="shared" si="11"/>
        <v>46174</v>
      </c>
      <c r="AS12" s="34" t="s">
        <v>44</v>
      </c>
      <c r="AT12" s="33">
        <v>46181</v>
      </c>
      <c r="AV12" s="21">
        <f>IF(AND($AL12&lt;&gt;"",COUNTIF($AL$11:$AL12,$AL12)=1),1,0)</f>
        <v>0</v>
      </c>
      <c r="AW12" s="21">
        <f t="shared" ref="AW12:AW75" si="13">AW11+AV12</f>
        <v>1</v>
      </c>
      <c r="AX12" s="21" t="str">
        <f t="shared" si="12"/>
        <v/>
      </c>
      <c r="AY12" s="21" t="str">
        <f>IF(AND($AM12&lt;&gt;"",$AS12&lt;&gt;"✓"),SUMPRODUCT(($AM$11:$AM12&lt;&gt;"")*($AS$11:$AS12&lt;&gt;"✓")),"")</f>
        <v/>
      </c>
      <c r="AZ12" s="21">
        <f>IF(AND($AM12&lt;&gt;"",$AS12="✓"),SUMPRODUCT(($AM$11:$AM12&lt;&gt;"")*($AS$11:$AS12="✓")),"")</f>
        <v>1</v>
      </c>
      <c r="BA12" s="21" t="str">
        <f>IF($AL12="","",$AL12&amp;"|"&amp;COUNTIF($AL$11:$AL12,$AL12))</f>
        <v>1|2</v>
      </c>
      <c r="BD12" s="35" t="s">
        <v>25</v>
      </c>
      <c r="BE12" s="35" t="s">
        <v>26</v>
      </c>
      <c r="BF12" s="35" t="s">
        <v>27</v>
      </c>
      <c r="BG12" s="35" t="s">
        <v>28</v>
      </c>
      <c r="BH12" s="35" t="s">
        <v>29</v>
      </c>
      <c r="BI12" s="35" t="s">
        <v>30</v>
      </c>
      <c r="BL12" s="35" t="s">
        <v>25</v>
      </c>
      <c r="BM12" s="35" t="s">
        <v>26</v>
      </c>
      <c r="BN12" s="35" t="s">
        <v>27</v>
      </c>
      <c r="BO12" s="35" t="s">
        <v>28</v>
      </c>
      <c r="BP12" s="35" t="s">
        <v>29</v>
      </c>
      <c r="BQ12" s="35" t="s">
        <v>30</v>
      </c>
    </row>
    <row r="13" spans="2:69" ht="13.5" customHeight="1" x14ac:dyDescent="0.25">
      <c r="B13" s="5">
        <f t="shared" si="0"/>
        <v>3</v>
      </c>
      <c r="C13" s="5" t="s">
        <v>45</v>
      </c>
      <c r="D13" s="5" t="s">
        <v>46</v>
      </c>
      <c r="E13" s="5" t="s">
        <v>47</v>
      </c>
      <c r="F13" s="6">
        <v>0.8</v>
      </c>
      <c r="G13" s="6">
        <v>0.61</v>
      </c>
      <c r="H13" s="7">
        <v>46174</v>
      </c>
      <c r="I13" s="8">
        <v>1</v>
      </c>
      <c r="K13" s="9" t="str">
        <f>IFERROR(INDEX($AL$11:$AL$4010,MATCH(3,$AX$11:$AX$4010,0)),"")</f>
        <v/>
      </c>
      <c r="L13" s="10" t="str">
        <f t="shared" si="1"/>
        <v/>
      </c>
      <c r="M13" s="11" t="str">
        <f t="shared" si="2"/>
        <v/>
      </c>
      <c r="N13" s="11" t="str">
        <f t="shared" si="3"/>
        <v/>
      </c>
      <c r="P13" s="12" t="str">
        <f>IFERROR(INDEX($AM$11:$AM$4010,MATCH($S$8&amp;"|"&amp;3,$BA$11:$BA$4010,0)),"")</f>
        <v>292.1A</v>
      </c>
      <c r="Q13" s="11">
        <f>IF(P13="","",IFERROR(INDEX($AN$11:$AN$4010,MATCH($S$8&amp;"|"&amp;3,$BA$11:$BA$4010,0)),""))</f>
        <v>0.8</v>
      </c>
      <c r="R13" s="11">
        <f>IF(P13="","",IFERROR(INDEX($AO$11:$AO$4010,MATCH($S$8&amp;"|"&amp;3,$BA$11:$BA$4010,0)),""))</f>
        <v>0.61</v>
      </c>
      <c r="S13" s="10" t="str">
        <f>IF(P13="","",IFERROR(INDEX($AP$11:$AP$4010,MATCH($S$8&amp;"|"&amp;3,$BA$11:$BA$4010,0)),""))</f>
        <v>H</v>
      </c>
      <c r="T13" s="10" t="str">
        <f>IF(P13="","",IFERROR(INDEX($AQ$11:$AQ$4010,MATCH($S$8&amp;"|"&amp;3,$BA$11:$BA$4010,0)),""))</f>
        <v>VS2</v>
      </c>
      <c r="U13" s="13">
        <f t="shared" si="4"/>
        <v>1</v>
      </c>
      <c r="W13" s="14">
        <f>IF(X13="","",IFERROR(INDEX($AL$11:$AL$4010,MATCH(3,$AY$11:$AY$4010,0)),""))</f>
        <v>2</v>
      </c>
      <c r="X13" s="12" t="str">
        <f>IFERROR(INDEX($AM$11:$AM$4010,MATCH(3,$AY$11:$AY$4010,0)),"")</f>
        <v>259.1C</v>
      </c>
      <c r="Y13" s="11">
        <f>IF(X13="","",IFERROR(INDEX($AN$11:$AN$4010,MATCH(3,$AY$11:$AY$4010,0)),""))</f>
        <v>0.41</v>
      </c>
      <c r="Z13" s="11">
        <f>IF(X13="","",IFERROR(INDEX($AO$11:$AO$4010,MATCH(3,$AY$11:$AY$4010,0)),""))</f>
        <v>0.31</v>
      </c>
      <c r="AA13" s="10" t="str">
        <f>IF(X13="","",IFERROR(INDEX($AQ$11:$AQ$4010,MATCH(3,$AY$11:$AY$4010,0)),""))</f>
        <v>SI1</v>
      </c>
      <c r="AB13" s="15">
        <f>IF(X13="","",IFERROR(INDEX($AR$11:$AR$4010,MATCH(3,$AY$11:$AY$4010,0)),""))</f>
        <v>46176</v>
      </c>
      <c r="AD13" s="16" t="str">
        <f>IF(AE13="","",IFERROR(INDEX($AL$11:$AL$4010,MATCH(3,$AZ$11:$AZ$4010,0)),""))</f>
        <v/>
      </c>
      <c r="AE13" s="12" t="str">
        <f>IFERROR(INDEX($AM$11:$AM$4010,MATCH(3,$AZ$11:$AZ$4010,0)),"")</f>
        <v/>
      </c>
      <c r="AF13" s="11" t="str">
        <f>IF(AE13="","",IFERROR(INDEX($AN$11:$AN$4010,MATCH(3,$AZ$11:$AZ$4010,0)),""))</f>
        <v/>
      </c>
      <c r="AG13" s="11" t="str">
        <f>IF(AE13="","",IFERROR(INDEX($AO$11:$AO$4010,MATCH(3,$AZ$11:$AZ$4010,0)),""))</f>
        <v/>
      </c>
      <c r="AH13" s="10" t="str">
        <f>IF(AE13="","",IFERROR(INDEX($AQ$11:$AQ$4010,MATCH(3,$AZ$11:$AZ$4010,0)),""))</f>
        <v/>
      </c>
      <c r="AI13" s="15" t="str">
        <f>IF(AE13="","",IFERROR(INDEX($AR$11:$AR$4010,MATCH(3,$AZ$11:$AZ$4010,0)),""))</f>
        <v/>
      </c>
      <c r="AJ13" s="15" t="str">
        <f>IF(AE13="","",IFERROR(INDEX($AT$11:$AT$4010,MATCH(3,$AZ$11:$AZ$4010,0)),""))</f>
        <v/>
      </c>
      <c r="AL13" s="17">
        <f t="shared" si="5"/>
        <v>1</v>
      </c>
      <c r="AM13" s="12" t="str">
        <f t="shared" si="6"/>
        <v>292.1A</v>
      </c>
      <c r="AN13" s="18">
        <f t="shared" si="7"/>
        <v>0.8</v>
      </c>
      <c r="AO13" s="18">
        <f t="shared" si="8"/>
        <v>0.61</v>
      </c>
      <c r="AP13" s="10" t="str">
        <f t="shared" si="9"/>
        <v>H</v>
      </c>
      <c r="AQ13" s="10" t="str">
        <f t="shared" si="10"/>
        <v>VS2</v>
      </c>
      <c r="AR13" s="19">
        <f t="shared" si="11"/>
        <v>46174</v>
      </c>
      <c r="AS13" s="20"/>
      <c r="AT13" s="19"/>
      <c r="AV13" s="21">
        <f>IF(AND($AL13&lt;&gt;"",COUNTIF($AL$11:$AL13,$AL13)=1),1,0)</f>
        <v>0</v>
      </c>
      <c r="AW13" s="21">
        <f t="shared" si="13"/>
        <v>1</v>
      </c>
      <c r="AX13" s="21" t="str">
        <f t="shared" si="12"/>
        <v/>
      </c>
      <c r="AY13" s="21">
        <f>IF(AND($AM13&lt;&gt;"",$AS13&lt;&gt;"✓"),SUMPRODUCT(($AM$11:$AM13&lt;&gt;"")*($AS$11:$AS13&lt;&gt;"✓")),"")</f>
        <v>2</v>
      </c>
      <c r="AZ13" s="21" t="str">
        <f>IF(AND($AM13&lt;&gt;"",$AS13="✓"),SUMPRODUCT(($AM$11:$AM13&lt;&gt;"")*($AS$11:$AS13="✓")),"")</f>
        <v/>
      </c>
      <c r="BA13" s="21" t="str">
        <f>IF($AL13="","",$AL13&amp;"|"&amp;COUNTIF($AL$11:$AL13,$AL13))</f>
        <v>1|3</v>
      </c>
      <c r="BD13" s="36">
        <f>IF(IFERROR(INDEX($AM$11:$AM$4010,MATCH($S$8&amp;"|"&amp;1,$BA$11:$BA$4010,0)),"")="","",1)</f>
        <v>1</v>
      </c>
      <c r="BE13" s="36" t="str">
        <f>IFERROR(INDEX($AM$11:$AM$4010,MATCH($S$8&amp;"|"&amp;1,$BA$11:$BA$4010,0)),"")</f>
        <v>292.1C</v>
      </c>
      <c r="BF13" s="36" t="str">
        <f>IFERROR(INDEX($AP$11:$AP$4010,MATCH($S$8&amp;"|"&amp;1,$BA$11:$BA$4010,0)),"")</f>
        <v>J</v>
      </c>
      <c r="BG13" s="36" t="str">
        <f>IFERROR(INDEX($AQ$11:$AQ$4010,MATCH($S$8&amp;"|"&amp;1,$BA$11:$BA$4010,0)),"")</f>
        <v>SI1</v>
      </c>
      <c r="BH13" s="37">
        <f>IFERROR(INDEX($AN$11:$AN$4010,MATCH($S$8&amp;"|"&amp;1,$BA$11:$BA$4010,0)),"")</f>
        <v>0.61</v>
      </c>
      <c r="BI13" s="37">
        <f>IFERROR(INDEX($AO$11:$AO$4010,MATCH($S$8&amp;"|"&amp;1,$BA$11:$BA$4010,0)),"")</f>
        <v>0.51</v>
      </c>
      <c r="BL13" s="36">
        <f>IF(IFERROR(INDEX($AM$11:$AM$4010,MATCH($S$8&amp;"|"&amp;1,$BA$11:$BA$4010,0)),"")="","",1)</f>
        <v>1</v>
      </c>
      <c r="BM13" s="36" t="str">
        <f>IFERROR(INDEX($AM$11:$AM$4010,MATCH($S$8&amp;"|"&amp;1,$BA$11:$BA$4010,0)),"")</f>
        <v>292.1C</v>
      </c>
      <c r="BN13" s="36" t="str">
        <f>IFERROR(INDEX($AP$11:$AP$4010,MATCH($S$8&amp;"|"&amp;1,$BA$11:$BA$4010,0)),"")</f>
        <v>J</v>
      </c>
      <c r="BO13" s="36" t="str">
        <f>IFERROR(INDEX($AQ$11:$AQ$4010,MATCH($S$8&amp;"|"&amp;1,$BA$11:$BA$4010,0)),"")</f>
        <v>SI1</v>
      </c>
      <c r="BP13" s="37">
        <f>IFERROR(INDEX($AN$11:$AN$4010,MATCH($S$8&amp;"|"&amp;1,$BA$11:$BA$4010,0)),"")</f>
        <v>0.61</v>
      </c>
      <c r="BQ13" s="37">
        <f>IFERROR(INDEX($AO$11:$AO$4010,MATCH($S$8&amp;"|"&amp;1,$BA$11:$BA$4010,0)),"")</f>
        <v>0.51</v>
      </c>
    </row>
    <row r="14" spans="2:69" ht="13.5" customHeight="1" x14ac:dyDescent="0.25">
      <c r="B14" s="5">
        <f t="shared" si="0"/>
        <v>4</v>
      </c>
      <c r="C14" s="5" t="s">
        <v>48</v>
      </c>
      <c r="D14" s="5" t="s">
        <v>42</v>
      </c>
      <c r="E14" s="5" t="s">
        <v>39</v>
      </c>
      <c r="F14" s="6">
        <v>0.41</v>
      </c>
      <c r="G14" s="6">
        <v>0.31</v>
      </c>
      <c r="H14" s="7">
        <v>46176</v>
      </c>
      <c r="I14" s="8">
        <v>2</v>
      </c>
      <c r="K14" s="23" t="str">
        <f>IFERROR(INDEX($AL$11:$AL$4010,MATCH(4,$AX$11:$AX$4010,0)),"")</f>
        <v/>
      </c>
      <c r="L14" s="24" t="str">
        <f t="shared" si="1"/>
        <v/>
      </c>
      <c r="M14" s="25" t="str">
        <f t="shared" si="2"/>
        <v/>
      </c>
      <c r="N14" s="25" t="str">
        <f t="shared" si="3"/>
        <v/>
      </c>
      <c r="P14" s="26" t="str">
        <f>IFERROR(INDEX($AM$11:$AM$4010,MATCH($S$8&amp;"|"&amp;4,$BA$11:$BA$4010,0)),"")</f>
        <v/>
      </c>
      <c r="Q14" s="25" t="str">
        <f>IF(P14="","",IFERROR(INDEX($AN$11:$AN$4010,MATCH($S$8&amp;"|"&amp;4,$BA$11:$BA$4010,0)),""))</f>
        <v/>
      </c>
      <c r="R14" s="25" t="str">
        <f>IF(P14="","",IFERROR(INDEX($AO$11:$AO$4010,MATCH($S$8&amp;"|"&amp;4,$BA$11:$BA$4010,0)),""))</f>
        <v/>
      </c>
      <c r="S14" s="24" t="str">
        <f>IF(P14="","",IFERROR(INDEX($AP$11:$AP$4010,MATCH($S$8&amp;"|"&amp;4,$BA$11:$BA$4010,0)),""))</f>
        <v/>
      </c>
      <c r="T14" s="24" t="str">
        <f>IF(P14="","",IFERROR(INDEX($AQ$11:$AQ$4010,MATCH($S$8&amp;"|"&amp;4,$BA$11:$BA$4010,0)),""))</f>
        <v/>
      </c>
      <c r="U14" s="38" t="str">
        <f t="shared" si="4"/>
        <v/>
      </c>
      <c r="W14" s="28" t="str">
        <f>IF(X14="","",IFERROR(INDEX($AL$11:$AL$4010,MATCH(4,$AY$11:$AY$4010,0)),""))</f>
        <v/>
      </c>
      <c r="X14" s="26" t="str">
        <f>IFERROR(INDEX($AM$11:$AM$4010,MATCH(4,$AY$11:$AY$4010,0)),"")</f>
        <v/>
      </c>
      <c r="Y14" s="25" t="str">
        <f>IF(X14="","",IFERROR(INDEX($AN$11:$AN$4010,MATCH(4,$AY$11:$AY$4010,0)),""))</f>
        <v/>
      </c>
      <c r="Z14" s="25" t="str">
        <f>IF(X14="","",IFERROR(INDEX($AO$11:$AO$4010,MATCH(4,$AY$11:$AY$4010,0)),""))</f>
        <v/>
      </c>
      <c r="AA14" s="24" t="str">
        <f>IF(X14="","",IFERROR(INDEX($AQ$11:$AQ$4010,MATCH(4,$AY$11:$AY$4010,0)),""))</f>
        <v/>
      </c>
      <c r="AB14" s="29" t="str">
        <f>IF(X14="","",IFERROR(INDEX($AR$11:$AR$4010,MATCH(4,$AY$11:$AY$4010,0)),""))</f>
        <v/>
      </c>
      <c r="AD14" s="30" t="str">
        <f>IF(AE14="","",IFERROR(INDEX($AL$11:$AL$4010,MATCH(4,$AZ$11:$AZ$4010,0)),""))</f>
        <v/>
      </c>
      <c r="AE14" s="26" t="str">
        <f>IFERROR(INDEX($AM$11:$AM$4010,MATCH(4,$AZ$11:$AZ$4010,0)),"")</f>
        <v/>
      </c>
      <c r="AF14" s="25" t="str">
        <f>IF(AE14="","",IFERROR(INDEX($AN$11:$AN$4010,MATCH(4,$AZ$11:$AZ$4010,0)),""))</f>
        <v/>
      </c>
      <c r="AG14" s="25" t="str">
        <f>IF(AE14="","",IFERROR(INDEX($AO$11:$AO$4010,MATCH(4,$AZ$11:$AZ$4010,0)),""))</f>
        <v/>
      </c>
      <c r="AH14" s="24" t="str">
        <f>IF(AE14="","",IFERROR(INDEX($AQ$11:$AQ$4010,MATCH(4,$AZ$11:$AZ$4010,0)),""))</f>
        <v/>
      </c>
      <c r="AI14" s="29" t="str">
        <f>IF(AE14="","",IFERROR(INDEX($AR$11:$AR$4010,MATCH(4,$AZ$11:$AZ$4010,0)),""))</f>
        <v/>
      </c>
      <c r="AJ14" s="29" t="str">
        <f>IF(AE14="","",IFERROR(INDEX($AT$11:$AT$4010,MATCH(4,$AZ$11:$AZ$4010,0)),""))</f>
        <v/>
      </c>
      <c r="AL14" s="31">
        <f t="shared" si="5"/>
        <v>2</v>
      </c>
      <c r="AM14" s="26" t="str">
        <f t="shared" si="6"/>
        <v>259.1C</v>
      </c>
      <c r="AN14" s="32">
        <f t="shared" si="7"/>
        <v>0.41</v>
      </c>
      <c r="AO14" s="32">
        <f t="shared" si="8"/>
        <v>0.31</v>
      </c>
      <c r="AP14" s="24" t="str">
        <f t="shared" si="9"/>
        <v>I</v>
      </c>
      <c r="AQ14" s="24" t="str">
        <f t="shared" si="10"/>
        <v>SI1</v>
      </c>
      <c r="AR14" s="33">
        <f t="shared" si="11"/>
        <v>46176</v>
      </c>
      <c r="AS14" s="34"/>
      <c r="AT14" s="33"/>
      <c r="AV14" s="21">
        <f>IF(AND($AL14&lt;&gt;"",COUNTIF($AL$11:$AL14,$AL14)=1),1,0)</f>
        <v>1</v>
      </c>
      <c r="AW14" s="21">
        <f t="shared" si="13"/>
        <v>2</v>
      </c>
      <c r="AX14" s="21">
        <f t="shared" si="12"/>
        <v>2</v>
      </c>
      <c r="AY14" s="21">
        <f>IF(AND($AM14&lt;&gt;"",$AS14&lt;&gt;"✓"),SUMPRODUCT(($AM$11:$AM14&lt;&gt;"")*($AS$11:$AS14&lt;&gt;"✓")),"")</f>
        <v>3</v>
      </c>
      <c r="AZ14" s="21" t="str">
        <f>IF(AND($AM14&lt;&gt;"",$AS14="✓"),SUMPRODUCT(($AM$11:$AM14&lt;&gt;"")*($AS$11:$AS14="✓")),"")</f>
        <v/>
      </c>
      <c r="BA14" s="21" t="str">
        <f>IF($AL14="","",$AL14&amp;"|"&amp;COUNTIF($AL$11:$AL14,$AL14))</f>
        <v>2|1</v>
      </c>
      <c r="BD14" s="36">
        <f>IF(IFERROR(INDEX($AM$11:$AM$4010,MATCH($S$8&amp;"|"&amp;2,$BA$11:$BA$4010,0)),"")="","",2)</f>
        <v>2</v>
      </c>
      <c r="BE14" s="36" t="str">
        <f>IFERROR(INDEX($AM$11:$AM$4010,MATCH($S$8&amp;"|"&amp;2,$BA$11:$BA$4010,0)),"")</f>
        <v>292.1C</v>
      </c>
      <c r="BF14" s="36" t="str">
        <f>IFERROR(INDEX($AP$11:$AP$4010,MATCH($S$8&amp;"|"&amp;2,$BA$11:$BA$4010,0)),"")</f>
        <v>I</v>
      </c>
      <c r="BG14" s="36" t="str">
        <f>IFERROR(INDEX($AQ$11:$AQ$4010,MATCH($S$8&amp;"|"&amp;2,$BA$11:$BA$4010,0)),"")</f>
        <v>SI2</v>
      </c>
      <c r="BH14" s="37">
        <f>IFERROR(INDEX($AN$11:$AN$4010,MATCH($S$8&amp;"|"&amp;2,$BA$11:$BA$4010,0)),"")</f>
        <v>0.76</v>
      </c>
      <c r="BI14" s="37">
        <f>IFERROR(INDEX($AO$11:$AO$4010,MATCH($S$8&amp;"|"&amp;2,$BA$11:$BA$4010,0)),"")</f>
        <v>0.6</v>
      </c>
      <c r="BL14" s="36">
        <f>IF(IFERROR(INDEX($AM$11:$AM$4010,MATCH($S$8&amp;"|"&amp;2,$BA$11:$BA$4010,0)),"")="","",2)</f>
        <v>2</v>
      </c>
      <c r="BM14" s="36" t="str">
        <f>IFERROR(INDEX($AM$11:$AM$4010,MATCH($S$8&amp;"|"&amp;2,$BA$11:$BA$4010,0)),"")</f>
        <v>292.1C</v>
      </c>
      <c r="BN14" s="36" t="str">
        <f>IFERROR(INDEX($AP$11:$AP$4010,MATCH($S$8&amp;"|"&amp;2,$BA$11:$BA$4010,0)),"")</f>
        <v>I</v>
      </c>
      <c r="BO14" s="36" t="str">
        <f>IFERROR(INDEX($AQ$11:$AQ$4010,MATCH($S$8&amp;"|"&amp;2,$BA$11:$BA$4010,0)),"")</f>
        <v>SI2</v>
      </c>
      <c r="BP14" s="37">
        <f>IFERROR(INDEX($AN$11:$AN$4010,MATCH($S$8&amp;"|"&amp;2,$BA$11:$BA$4010,0)),"")</f>
        <v>0.76</v>
      </c>
      <c r="BQ14" s="37">
        <f>IFERROR(INDEX($AO$11:$AO$4010,MATCH($S$8&amp;"|"&amp;2,$BA$11:$BA$4010,0)),"")</f>
        <v>0.6</v>
      </c>
    </row>
    <row r="15" spans="2:69" ht="13.5" customHeight="1" x14ac:dyDescent="0.25">
      <c r="B15" s="5" t="str">
        <f t="shared" si="0"/>
        <v/>
      </c>
      <c r="C15" s="5"/>
      <c r="D15" s="5"/>
      <c r="E15" s="5"/>
      <c r="F15" s="6"/>
      <c r="G15" s="6"/>
      <c r="H15" s="7"/>
      <c r="I15" s="8"/>
      <c r="K15" s="9" t="str">
        <f>IFERROR(INDEX($AL$11:$AL$4010,MATCH(5,$AX$11:$AX$4010,0)),"")</f>
        <v/>
      </c>
      <c r="L15" s="10" t="str">
        <f t="shared" si="1"/>
        <v/>
      </c>
      <c r="M15" s="11" t="str">
        <f t="shared" si="2"/>
        <v/>
      </c>
      <c r="N15" s="11" t="str">
        <f t="shared" si="3"/>
        <v/>
      </c>
      <c r="P15" s="12" t="str">
        <f>IFERROR(INDEX($AM$11:$AM$4010,MATCH($S$8&amp;"|"&amp;5,$BA$11:$BA$4010,0)),"")</f>
        <v/>
      </c>
      <c r="Q15" s="11" t="str">
        <f>IF(P15="","",IFERROR(INDEX($AN$11:$AN$4010,MATCH($S$8&amp;"|"&amp;5,$BA$11:$BA$4010,0)),""))</f>
        <v/>
      </c>
      <c r="R15" s="11" t="str">
        <f>IF(P15="","",IFERROR(INDEX($AO$11:$AO$4010,MATCH($S$8&amp;"|"&amp;5,$BA$11:$BA$4010,0)),""))</f>
        <v/>
      </c>
      <c r="S15" s="10" t="str">
        <f>IF(P15="","",IFERROR(INDEX($AP$11:$AP$4010,MATCH($S$8&amp;"|"&amp;5,$BA$11:$BA$4010,0)),""))</f>
        <v/>
      </c>
      <c r="T15" s="10" t="str">
        <f>IF(P15="","",IFERROR(INDEX($AQ$11:$AQ$4010,MATCH($S$8&amp;"|"&amp;5,$BA$11:$BA$4010,0)),""))</f>
        <v/>
      </c>
      <c r="U15" s="39" t="str">
        <f t="shared" si="4"/>
        <v/>
      </c>
      <c r="W15" s="14" t="str">
        <f>IF(X15="","",IFERROR(INDEX($AL$11:$AL$4010,MATCH(5,$AY$11:$AY$4010,0)),""))</f>
        <v/>
      </c>
      <c r="X15" s="12" t="str">
        <f>IFERROR(INDEX($AM$11:$AM$4010,MATCH(5,$AY$11:$AY$4010,0)),"")</f>
        <v/>
      </c>
      <c r="Y15" s="11" t="str">
        <f>IF(X15="","",IFERROR(INDEX($AN$11:$AN$4010,MATCH(5,$AY$11:$AY$4010,0)),""))</f>
        <v/>
      </c>
      <c r="Z15" s="11" t="str">
        <f>IF(X15="","",IFERROR(INDEX($AO$11:$AO$4010,MATCH(5,$AY$11:$AY$4010,0)),""))</f>
        <v/>
      </c>
      <c r="AA15" s="10" t="str">
        <f>IF(X15="","",IFERROR(INDEX($AQ$11:$AQ$4010,MATCH(5,$AY$11:$AY$4010,0)),""))</f>
        <v/>
      </c>
      <c r="AB15" s="15" t="str">
        <f>IF(X15="","",IFERROR(INDEX($AR$11:$AR$4010,MATCH(5,$AY$11:$AY$4010,0)),""))</f>
        <v/>
      </c>
      <c r="AD15" s="16" t="str">
        <f>IF(AE15="","",IFERROR(INDEX($AL$11:$AL$4010,MATCH(5,$AZ$11:$AZ$4010,0)),""))</f>
        <v/>
      </c>
      <c r="AE15" s="12" t="str">
        <f>IFERROR(INDEX($AM$11:$AM$4010,MATCH(5,$AZ$11:$AZ$4010,0)),"")</f>
        <v/>
      </c>
      <c r="AF15" s="11" t="str">
        <f>IF(AE15="","",IFERROR(INDEX($AN$11:$AN$4010,MATCH(5,$AZ$11:$AZ$4010,0)),""))</f>
        <v/>
      </c>
      <c r="AG15" s="11" t="str">
        <f>IF(AE15="","",IFERROR(INDEX($AO$11:$AO$4010,MATCH(5,$AZ$11:$AZ$4010,0)),""))</f>
        <v/>
      </c>
      <c r="AH15" s="10" t="str">
        <f>IF(AE15="","",IFERROR(INDEX($AQ$11:$AQ$4010,MATCH(5,$AZ$11:$AZ$4010,0)),""))</f>
        <v/>
      </c>
      <c r="AI15" s="15" t="str">
        <f>IF(AE15="","",IFERROR(INDEX($AR$11:$AR$4010,MATCH(5,$AZ$11:$AZ$4010,0)),""))</f>
        <v/>
      </c>
      <c r="AJ15" s="15" t="str">
        <f>IF(AE15="","",IFERROR(INDEX($AT$11:$AT$4010,MATCH(5,$AZ$11:$AZ$4010,0)),""))</f>
        <v/>
      </c>
      <c r="AL15" s="17" t="str">
        <f t="shared" si="5"/>
        <v/>
      </c>
      <c r="AM15" s="12" t="str">
        <f t="shared" si="6"/>
        <v/>
      </c>
      <c r="AN15" s="18" t="str">
        <f t="shared" si="7"/>
        <v/>
      </c>
      <c r="AO15" s="18" t="str">
        <f t="shared" si="8"/>
        <v/>
      </c>
      <c r="AP15" s="10" t="str">
        <f t="shared" si="9"/>
        <v/>
      </c>
      <c r="AQ15" s="10" t="str">
        <f t="shared" si="10"/>
        <v/>
      </c>
      <c r="AR15" s="19" t="str">
        <f t="shared" si="11"/>
        <v/>
      </c>
      <c r="AS15" s="20"/>
      <c r="AT15" s="19"/>
      <c r="AV15" s="21">
        <f>IF(AND($AL15&lt;&gt;"",COUNTIF($AL$11:$AL15,$AL15)=1),1,0)</f>
        <v>0</v>
      </c>
      <c r="AW15" s="21">
        <f t="shared" si="13"/>
        <v>2</v>
      </c>
      <c r="AX15" s="21" t="str">
        <f t="shared" si="12"/>
        <v/>
      </c>
      <c r="AY15" s="21" t="str">
        <f>IF(AND($AM15&lt;&gt;"",$AS15&lt;&gt;"✓"),SUMPRODUCT(($AM$11:$AM15&lt;&gt;"")*($AS$11:$AS15&lt;&gt;"✓")),"")</f>
        <v/>
      </c>
      <c r="AZ15" s="21" t="str">
        <f>IF(AND($AM15&lt;&gt;"",$AS15="✓"),SUMPRODUCT(($AM$11:$AM15&lt;&gt;"")*($AS$11:$AS15="✓")),"")</f>
        <v/>
      </c>
      <c r="BA15" s="21" t="str">
        <f>IF($AL15="","",$AL15&amp;"|"&amp;COUNTIF($AL$11:$AL15,$AL15))</f>
        <v/>
      </c>
      <c r="BD15" s="36">
        <f>IF(IFERROR(INDEX($AM$11:$AM$4010,MATCH($S$8&amp;"|"&amp;3,$BA$11:$BA$4010,0)),"")="","",3)</f>
        <v>3</v>
      </c>
      <c r="BE15" s="36" t="str">
        <f>IFERROR(INDEX($AM$11:$AM$4010,MATCH($S$8&amp;"|"&amp;3,$BA$11:$BA$4010,0)),"")</f>
        <v>292.1A</v>
      </c>
      <c r="BF15" s="36" t="str">
        <f>IFERROR(INDEX($AP$11:$AP$4010,MATCH($S$8&amp;"|"&amp;3,$BA$11:$BA$4010,0)),"")</f>
        <v>H</v>
      </c>
      <c r="BG15" s="36" t="str">
        <f>IFERROR(INDEX($AQ$11:$AQ$4010,MATCH($S$8&amp;"|"&amp;3,$BA$11:$BA$4010,0)),"")</f>
        <v>VS2</v>
      </c>
      <c r="BH15" s="37">
        <f>IFERROR(INDEX($AN$11:$AN$4010,MATCH($S$8&amp;"|"&amp;3,$BA$11:$BA$4010,0)),"")</f>
        <v>0.8</v>
      </c>
      <c r="BI15" s="37">
        <f>IFERROR(INDEX($AO$11:$AO$4010,MATCH($S$8&amp;"|"&amp;3,$BA$11:$BA$4010,0)),"")</f>
        <v>0.61</v>
      </c>
      <c r="BL15" s="36">
        <f>IF(IFERROR(INDEX($AM$11:$AM$4010,MATCH($S$8&amp;"|"&amp;3,$BA$11:$BA$4010,0)),"")="","",3)</f>
        <v>3</v>
      </c>
      <c r="BM15" s="36" t="str">
        <f>IFERROR(INDEX($AM$11:$AM$4010,MATCH($S$8&amp;"|"&amp;3,$BA$11:$BA$4010,0)),"")</f>
        <v>292.1A</v>
      </c>
      <c r="BN15" s="36" t="str">
        <f>IFERROR(INDEX($AP$11:$AP$4010,MATCH($S$8&amp;"|"&amp;3,$BA$11:$BA$4010,0)),"")</f>
        <v>H</v>
      </c>
      <c r="BO15" s="36" t="str">
        <f>IFERROR(INDEX($AQ$11:$AQ$4010,MATCH($S$8&amp;"|"&amp;3,$BA$11:$BA$4010,0)),"")</f>
        <v>VS2</v>
      </c>
      <c r="BP15" s="37">
        <f>IFERROR(INDEX($AN$11:$AN$4010,MATCH($S$8&amp;"|"&amp;3,$BA$11:$BA$4010,0)),"")</f>
        <v>0.8</v>
      </c>
      <c r="BQ15" s="37">
        <f>IFERROR(INDEX($AO$11:$AO$4010,MATCH($S$8&amp;"|"&amp;3,$BA$11:$BA$4010,0)),"")</f>
        <v>0.61</v>
      </c>
    </row>
    <row r="16" spans="2:69" ht="13.5" customHeight="1" x14ac:dyDescent="0.25">
      <c r="B16" s="5" t="str">
        <f t="shared" si="0"/>
        <v/>
      </c>
      <c r="C16" s="5"/>
      <c r="D16" s="5"/>
      <c r="E16" s="5"/>
      <c r="F16" s="6"/>
      <c r="G16" s="6"/>
      <c r="H16" s="7"/>
      <c r="I16" s="8"/>
      <c r="K16" s="23" t="str">
        <f>IFERROR(INDEX($AL$11:$AL$4010,MATCH(6,$AX$11:$AX$4010,0)),"")</f>
        <v/>
      </c>
      <c r="L16" s="24" t="str">
        <f t="shared" si="1"/>
        <v/>
      </c>
      <c r="M16" s="25" t="str">
        <f t="shared" si="2"/>
        <v/>
      </c>
      <c r="N16" s="25" t="str">
        <f t="shared" si="3"/>
        <v/>
      </c>
      <c r="P16" s="26" t="str">
        <f>IFERROR(INDEX($AM$11:$AM$4010,MATCH($S$8&amp;"|"&amp;6,$BA$11:$BA$4010,0)),"")</f>
        <v/>
      </c>
      <c r="Q16" s="25" t="str">
        <f>IF(P16="","",IFERROR(INDEX($AN$11:$AN$4010,MATCH($S$8&amp;"|"&amp;6,$BA$11:$BA$4010,0)),""))</f>
        <v/>
      </c>
      <c r="R16" s="25" t="str">
        <f>IF(P16="","",IFERROR(INDEX($AO$11:$AO$4010,MATCH($S$8&amp;"|"&amp;6,$BA$11:$BA$4010,0)),""))</f>
        <v/>
      </c>
      <c r="S16" s="24" t="str">
        <f>IF(P16="","",IFERROR(INDEX($AP$11:$AP$4010,MATCH($S$8&amp;"|"&amp;6,$BA$11:$BA$4010,0)),""))</f>
        <v/>
      </c>
      <c r="T16" s="24" t="str">
        <f>IF(P16="","",IFERROR(INDEX($AQ$11:$AQ$4010,MATCH($S$8&amp;"|"&amp;6,$BA$11:$BA$4010,0)),""))</f>
        <v/>
      </c>
      <c r="U16" s="38" t="str">
        <f t="shared" si="4"/>
        <v/>
      </c>
      <c r="W16" s="28" t="str">
        <f>IF(X16="","",IFERROR(INDEX($AL$11:$AL$4010,MATCH(6,$AY$11:$AY$4010,0)),""))</f>
        <v/>
      </c>
      <c r="X16" s="26" t="str">
        <f>IFERROR(INDEX($AM$11:$AM$4010,MATCH(6,$AY$11:$AY$4010,0)),"")</f>
        <v/>
      </c>
      <c r="Y16" s="25" t="str">
        <f>IF(X16="","",IFERROR(INDEX($AN$11:$AN$4010,MATCH(6,$AY$11:$AY$4010,0)),""))</f>
        <v/>
      </c>
      <c r="Z16" s="25" t="str">
        <f>IF(X16="","",IFERROR(INDEX($AO$11:$AO$4010,MATCH(6,$AY$11:$AY$4010,0)),""))</f>
        <v/>
      </c>
      <c r="AA16" s="24" t="str">
        <f>IF(X16="","",IFERROR(INDEX($AQ$11:$AQ$4010,MATCH(6,$AY$11:$AY$4010,0)),""))</f>
        <v/>
      </c>
      <c r="AB16" s="29" t="str">
        <f>IF(X16="","",IFERROR(INDEX($AR$11:$AR$4010,MATCH(6,$AY$11:$AY$4010,0)),""))</f>
        <v/>
      </c>
      <c r="AD16" s="30" t="str">
        <f>IF(AE16="","",IFERROR(INDEX($AL$11:$AL$4010,MATCH(6,$AZ$11:$AZ$4010,0)),""))</f>
        <v/>
      </c>
      <c r="AE16" s="26" t="str">
        <f>IFERROR(INDEX($AM$11:$AM$4010,MATCH(6,$AZ$11:$AZ$4010,0)),"")</f>
        <v/>
      </c>
      <c r="AF16" s="25" t="str">
        <f>IF(AE16="","",IFERROR(INDEX($AN$11:$AN$4010,MATCH(6,$AZ$11:$AZ$4010,0)),""))</f>
        <v/>
      </c>
      <c r="AG16" s="25" t="str">
        <f>IF(AE16="","",IFERROR(INDEX($AO$11:$AO$4010,MATCH(6,$AZ$11:$AZ$4010,0)),""))</f>
        <v/>
      </c>
      <c r="AH16" s="24" t="str">
        <f>IF(AE16="","",IFERROR(INDEX($AQ$11:$AQ$4010,MATCH(6,$AZ$11:$AZ$4010,0)),""))</f>
        <v/>
      </c>
      <c r="AI16" s="29" t="str">
        <f>IF(AE16="","",IFERROR(INDEX($AR$11:$AR$4010,MATCH(6,$AZ$11:$AZ$4010,0)),""))</f>
        <v/>
      </c>
      <c r="AJ16" s="29" t="str">
        <f>IF(AE16="","",IFERROR(INDEX($AT$11:$AT$4010,MATCH(6,$AZ$11:$AZ$4010,0)),""))</f>
        <v/>
      </c>
      <c r="AL16" s="31" t="str">
        <f t="shared" si="5"/>
        <v/>
      </c>
      <c r="AM16" s="26" t="str">
        <f t="shared" si="6"/>
        <v/>
      </c>
      <c r="AN16" s="32" t="str">
        <f t="shared" si="7"/>
        <v/>
      </c>
      <c r="AO16" s="32" t="str">
        <f t="shared" si="8"/>
        <v/>
      </c>
      <c r="AP16" s="24" t="str">
        <f t="shared" si="9"/>
        <v/>
      </c>
      <c r="AQ16" s="24" t="str">
        <f t="shared" si="10"/>
        <v/>
      </c>
      <c r="AR16" s="33" t="str">
        <f t="shared" si="11"/>
        <v/>
      </c>
      <c r="AS16" s="34"/>
      <c r="AT16" s="33"/>
      <c r="AV16" s="21">
        <f>IF(AND($AL16&lt;&gt;"",COUNTIF($AL$11:$AL16,$AL16)=1),1,0)</f>
        <v>0</v>
      </c>
      <c r="AW16" s="21">
        <f t="shared" si="13"/>
        <v>2</v>
      </c>
      <c r="AX16" s="21" t="str">
        <f t="shared" si="12"/>
        <v/>
      </c>
      <c r="AY16" s="21" t="str">
        <f>IF(AND($AM16&lt;&gt;"",$AS16&lt;&gt;"✓"),SUMPRODUCT(($AM$11:$AM16&lt;&gt;"")*($AS$11:$AS16&lt;&gt;"✓")),"")</f>
        <v/>
      </c>
      <c r="AZ16" s="21" t="str">
        <f>IF(AND($AM16&lt;&gt;"",$AS16="✓"),SUMPRODUCT(($AM$11:$AM16&lt;&gt;"")*($AS$11:$AS16="✓")),"")</f>
        <v/>
      </c>
      <c r="BA16" s="21" t="str">
        <f>IF($AL16="","",$AL16&amp;"|"&amp;COUNTIF($AL$11:$AL16,$AL16))</f>
        <v/>
      </c>
      <c r="BD16" s="36" t="str">
        <f>IF(IFERROR(INDEX($AM$11:$AM$4010,MATCH($S$8&amp;"|"&amp;4,$BA$11:$BA$4010,0)),"")="","",4)</f>
        <v/>
      </c>
      <c r="BE16" s="36" t="str">
        <f>IFERROR(INDEX($AM$11:$AM$4010,MATCH($S$8&amp;"|"&amp;4,$BA$11:$BA$4010,0)),"")</f>
        <v/>
      </c>
      <c r="BF16" s="36" t="str">
        <f>IFERROR(INDEX($AP$11:$AP$4010,MATCH($S$8&amp;"|"&amp;4,$BA$11:$BA$4010,0)),"")</f>
        <v/>
      </c>
      <c r="BG16" s="36" t="str">
        <f>IFERROR(INDEX($AQ$11:$AQ$4010,MATCH($S$8&amp;"|"&amp;4,$BA$11:$BA$4010,0)),"")</f>
        <v/>
      </c>
      <c r="BH16" s="37" t="str">
        <f>IFERROR(INDEX($AN$11:$AN$4010,MATCH($S$8&amp;"|"&amp;4,$BA$11:$BA$4010,0)),"")</f>
        <v/>
      </c>
      <c r="BI16" s="37" t="str">
        <f>IFERROR(INDEX($AO$11:$AO$4010,MATCH($S$8&amp;"|"&amp;4,$BA$11:$BA$4010,0)),"")</f>
        <v/>
      </c>
      <c r="BL16" s="36" t="str">
        <f>IF(IFERROR(INDEX($AM$11:$AM$4010,MATCH($S$8&amp;"|"&amp;4,$BA$11:$BA$4010,0)),"")="","",4)</f>
        <v/>
      </c>
      <c r="BM16" s="36" t="str">
        <f>IFERROR(INDEX($AM$11:$AM$4010,MATCH($S$8&amp;"|"&amp;4,$BA$11:$BA$4010,0)),"")</f>
        <v/>
      </c>
      <c r="BN16" s="36" t="str">
        <f>IFERROR(INDEX($AP$11:$AP$4010,MATCH($S$8&amp;"|"&amp;4,$BA$11:$BA$4010,0)),"")</f>
        <v/>
      </c>
      <c r="BO16" s="36" t="str">
        <f>IFERROR(INDEX($AQ$11:$AQ$4010,MATCH($S$8&amp;"|"&amp;4,$BA$11:$BA$4010,0)),"")</f>
        <v/>
      </c>
      <c r="BP16" s="37" t="str">
        <f>IFERROR(INDEX($AN$11:$AN$4010,MATCH($S$8&amp;"|"&amp;4,$BA$11:$BA$4010,0)),"")</f>
        <v/>
      </c>
      <c r="BQ16" s="37" t="str">
        <f>IFERROR(INDEX($AO$11:$AO$4010,MATCH($S$8&amp;"|"&amp;4,$BA$11:$BA$4010,0)),"")</f>
        <v/>
      </c>
    </row>
    <row r="17" spans="2:69" ht="13.5" customHeight="1" x14ac:dyDescent="0.25">
      <c r="B17" s="5" t="str">
        <f t="shared" si="0"/>
        <v/>
      </c>
      <c r="C17" s="5"/>
      <c r="D17" s="5"/>
      <c r="E17" s="5"/>
      <c r="F17" s="6"/>
      <c r="G17" s="6"/>
      <c r="H17" s="7"/>
      <c r="I17" s="8"/>
      <c r="K17" s="9" t="str">
        <f>IFERROR(INDEX($AL$11:$AL$4010,MATCH(7,$AX$11:$AX$4010,0)),"")</f>
        <v/>
      </c>
      <c r="L17" s="10" t="str">
        <f t="shared" si="1"/>
        <v/>
      </c>
      <c r="M17" s="11" t="str">
        <f t="shared" si="2"/>
        <v/>
      </c>
      <c r="N17" s="11" t="str">
        <f t="shared" si="3"/>
        <v/>
      </c>
      <c r="P17" s="12" t="str">
        <f>IFERROR(INDEX($AM$11:$AM$4010,MATCH($S$8&amp;"|"&amp;7,$BA$11:$BA$4010,0)),"")</f>
        <v/>
      </c>
      <c r="Q17" s="11" t="str">
        <f>IF(P17="","",IFERROR(INDEX($AN$11:$AN$4010,MATCH($S$8&amp;"|"&amp;7,$BA$11:$BA$4010,0)),""))</f>
        <v/>
      </c>
      <c r="R17" s="11" t="str">
        <f>IF(P17="","",IFERROR(INDEX($AO$11:$AO$4010,MATCH($S$8&amp;"|"&amp;7,$BA$11:$BA$4010,0)),""))</f>
        <v/>
      </c>
      <c r="S17" s="10" t="str">
        <f>IF(P17="","",IFERROR(INDEX($AP$11:$AP$4010,MATCH($S$8&amp;"|"&amp;7,$BA$11:$BA$4010,0)),""))</f>
        <v/>
      </c>
      <c r="T17" s="10" t="str">
        <f>IF(P17="","",IFERROR(INDEX($AQ$11:$AQ$4010,MATCH($S$8&amp;"|"&amp;7,$BA$11:$BA$4010,0)),""))</f>
        <v/>
      </c>
      <c r="U17" s="39" t="str">
        <f t="shared" si="4"/>
        <v/>
      </c>
      <c r="W17" s="14" t="str">
        <f>IF(X17="","",IFERROR(INDEX($AL$11:$AL$4010,MATCH(7,$AY$11:$AY$4010,0)),""))</f>
        <v/>
      </c>
      <c r="X17" s="12" t="str">
        <f>IFERROR(INDEX($AM$11:$AM$4010,MATCH(7,$AY$11:$AY$4010,0)),"")</f>
        <v/>
      </c>
      <c r="Y17" s="11" t="str">
        <f>IF(X17="","",IFERROR(INDEX($AN$11:$AN$4010,MATCH(7,$AY$11:$AY$4010,0)),""))</f>
        <v/>
      </c>
      <c r="Z17" s="11" t="str">
        <f>IF(X17="","",IFERROR(INDEX($AO$11:$AO$4010,MATCH(7,$AY$11:$AY$4010,0)),""))</f>
        <v/>
      </c>
      <c r="AA17" s="10" t="str">
        <f>IF(X17="","",IFERROR(INDEX($AQ$11:$AQ$4010,MATCH(7,$AY$11:$AY$4010,0)),""))</f>
        <v/>
      </c>
      <c r="AB17" s="15" t="str">
        <f>IF(X17="","",IFERROR(INDEX($AR$11:$AR$4010,MATCH(7,$AY$11:$AY$4010,0)),""))</f>
        <v/>
      </c>
      <c r="AD17" s="16" t="str">
        <f>IF(AE17="","",IFERROR(INDEX($AL$11:$AL$4010,MATCH(7,$AZ$11:$AZ$4010,0)),""))</f>
        <v/>
      </c>
      <c r="AE17" s="12" t="str">
        <f>IFERROR(INDEX($AM$11:$AM$4010,MATCH(7,$AZ$11:$AZ$4010,0)),"")</f>
        <v/>
      </c>
      <c r="AF17" s="11" t="str">
        <f>IF(AE17="","",IFERROR(INDEX($AN$11:$AN$4010,MATCH(7,$AZ$11:$AZ$4010,0)),""))</f>
        <v/>
      </c>
      <c r="AG17" s="11" t="str">
        <f>IF(AE17="","",IFERROR(INDEX($AO$11:$AO$4010,MATCH(7,$AZ$11:$AZ$4010,0)),""))</f>
        <v/>
      </c>
      <c r="AH17" s="10" t="str">
        <f>IF(AE17="","",IFERROR(INDEX($AQ$11:$AQ$4010,MATCH(7,$AZ$11:$AZ$4010,0)),""))</f>
        <v/>
      </c>
      <c r="AI17" s="15" t="str">
        <f>IF(AE17="","",IFERROR(INDEX($AR$11:$AR$4010,MATCH(7,$AZ$11:$AZ$4010,0)),""))</f>
        <v/>
      </c>
      <c r="AJ17" s="15" t="str">
        <f>IF(AE17="","",IFERROR(INDEX($AT$11:$AT$4010,MATCH(7,$AZ$11:$AZ$4010,0)),""))</f>
        <v/>
      </c>
      <c r="AL17" s="17" t="str">
        <f t="shared" si="5"/>
        <v/>
      </c>
      <c r="AM17" s="12" t="str">
        <f t="shared" si="6"/>
        <v/>
      </c>
      <c r="AN17" s="18" t="str">
        <f t="shared" si="7"/>
        <v/>
      </c>
      <c r="AO17" s="18" t="str">
        <f t="shared" si="8"/>
        <v/>
      </c>
      <c r="AP17" s="10" t="str">
        <f t="shared" si="9"/>
        <v/>
      </c>
      <c r="AQ17" s="10" t="str">
        <f t="shared" si="10"/>
        <v/>
      </c>
      <c r="AR17" s="19" t="str">
        <f t="shared" si="11"/>
        <v/>
      </c>
      <c r="AS17" s="20"/>
      <c r="AT17" s="19"/>
      <c r="AV17" s="21">
        <f>IF(AND($AL17&lt;&gt;"",COUNTIF($AL$11:$AL17,$AL17)=1),1,0)</f>
        <v>0</v>
      </c>
      <c r="AW17" s="21">
        <f t="shared" si="13"/>
        <v>2</v>
      </c>
      <c r="AX17" s="21" t="str">
        <f t="shared" si="12"/>
        <v/>
      </c>
      <c r="AY17" s="21" t="str">
        <f>IF(AND($AM17&lt;&gt;"",$AS17&lt;&gt;"✓"),SUMPRODUCT(($AM$11:$AM17&lt;&gt;"")*($AS$11:$AS17&lt;&gt;"✓")),"")</f>
        <v/>
      </c>
      <c r="AZ17" s="21" t="str">
        <f>IF(AND($AM17&lt;&gt;"",$AS17="✓"),SUMPRODUCT(($AM$11:$AM17&lt;&gt;"")*($AS$11:$AS17="✓")),"")</f>
        <v/>
      </c>
      <c r="BA17" s="21" t="str">
        <f>IF($AL17="","",$AL17&amp;"|"&amp;COUNTIF($AL$11:$AL17,$AL17))</f>
        <v/>
      </c>
      <c r="BD17" s="36" t="str">
        <f>IF(IFERROR(INDEX($AM$11:$AM$4010,MATCH($S$8&amp;"|"&amp;5,$BA$11:$BA$4010,0)),"")="","",5)</f>
        <v/>
      </c>
      <c r="BE17" s="36" t="str">
        <f>IFERROR(INDEX($AM$11:$AM$4010,MATCH($S$8&amp;"|"&amp;5,$BA$11:$BA$4010,0)),"")</f>
        <v/>
      </c>
      <c r="BF17" s="36" t="str">
        <f>IFERROR(INDEX($AP$11:$AP$4010,MATCH($S$8&amp;"|"&amp;5,$BA$11:$BA$4010,0)),"")</f>
        <v/>
      </c>
      <c r="BG17" s="36" t="str">
        <f>IFERROR(INDEX($AQ$11:$AQ$4010,MATCH($S$8&amp;"|"&amp;5,$BA$11:$BA$4010,0)),"")</f>
        <v/>
      </c>
      <c r="BH17" s="37" t="str">
        <f>IFERROR(INDEX($AN$11:$AN$4010,MATCH($S$8&amp;"|"&amp;5,$BA$11:$BA$4010,0)),"")</f>
        <v/>
      </c>
      <c r="BI17" s="37" t="str">
        <f>IFERROR(INDEX($AO$11:$AO$4010,MATCH($S$8&amp;"|"&amp;5,$BA$11:$BA$4010,0)),"")</f>
        <v/>
      </c>
      <c r="BL17" s="36" t="str">
        <f>IF(IFERROR(INDEX($AM$11:$AM$4010,MATCH($S$8&amp;"|"&amp;5,$BA$11:$BA$4010,0)),"")="","",5)</f>
        <v/>
      </c>
      <c r="BM17" s="36" t="str">
        <f>IFERROR(INDEX($AM$11:$AM$4010,MATCH($S$8&amp;"|"&amp;5,$BA$11:$BA$4010,0)),"")</f>
        <v/>
      </c>
      <c r="BN17" s="36" t="str">
        <f>IFERROR(INDEX($AP$11:$AP$4010,MATCH($S$8&amp;"|"&amp;5,$BA$11:$BA$4010,0)),"")</f>
        <v/>
      </c>
      <c r="BO17" s="36" t="str">
        <f>IFERROR(INDEX($AQ$11:$AQ$4010,MATCH($S$8&amp;"|"&amp;5,$BA$11:$BA$4010,0)),"")</f>
        <v/>
      </c>
      <c r="BP17" s="37" t="str">
        <f>IFERROR(INDEX($AN$11:$AN$4010,MATCH($S$8&amp;"|"&amp;5,$BA$11:$BA$4010,0)),"")</f>
        <v/>
      </c>
      <c r="BQ17" s="37" t="str">
        <f>IFERROR(INDEX($AO$11:$AO$4010,MATCH($S$8&amp;"|"&amp;5,$BA$11:$BA$4010,0)),"")</f>
        <v/>
      </c>
    </row>
    <row r="18" spans="2:69" ht="13.5" customHeight="1" x14ac:dyDescent="0.25">
      <c r="B18" s="5" t="str">
        <f t="shared" si="0"/>
        <v/>
      </c>
      <c r="C18" s="5"/>
      <c r="D18" s="5"/>
      <c r="E18" s="5"/>
      <c r="F18" s="6"/>
      <c r="G18" s="6"/>
      <c r="H18" s="7"/>
      <c r="I18" s="8"/>
      <c r="K18" s="23" t="str">
        <f>IFERROR(INDEX($AL$11:$AL$4010,MATCH(8,$AX$11:$AX$4010,0)),"")</f>
        <v/>
      </c>
      <c r="L18" s="24" t="str">
        <f t="shared" si="1"/>
        <v/>
      </c>
      <c r="M18" s="25" t="str">
        <f t="shared" si="2"/>
        <v/>
      </c>
      <c r="N18" s="25" t="str">
        <f t="shared" si="3"/>
        <v/>
      </c>
      <c r="P18" s="26" t="str">
        <f>IFERROR(INDEX($AM$11:$AM$4010,MATCH($S$8&amp;"|"&amp;8,$BA$11:$BA$4010,0)),"")</f>
        <v/>
      </c>
      <c r="Q18" s="25" t="str">
        <f>IF(P18="","",IFERROR(INDEX($AN$11:$AN$4010,MATCH($S$8&amp;"|"&amp;8,$BA$11:$BA$4010,0)),""))</f>
        <v/>
      </c>
      <c r="R18" s="25" t="str">
        <f>IF(P18="","",IFERROR(INDEX($AO$11:$AO$4010,MATCH($S$8&amp;"|"&amp;8,$BA$11:$BA$4010,0)),""))</f>
        <v/>
      </c>
      <c r="S18" s="24" t="str">
        <f>IF(P18="","",IFERROR(INDEX($AP$11:$AP$4010,MATCH($S$8&amp;"|"&amp;8,$BA$11:$BA$4010,0)),""))</f>
        <v/>
      </c>
      <c r="T18" s="24" t="str">
        <f>IF(P18="","",IFERROR(INDEX($AQ$11:$AQ$4010,MATCH($S$8&amp;"|"&amp;8,$BA$11:$BA$4010,0)),""))</f>
        <v/>
      </c>
      <c r="U18" s="38" t="str">
        <f t="shared" si="4"/>
        <v/>
      </c>
      <c r="W18" s="28" t="str">
        <f>IF(X18="","",IFERROR(INDEX($AL$11:$AL$4010,MATCH(8,$AY$11:$AY$4010,0)),""))</f>
        <v/>
      </c>
      <c r="X18" s="26" t="str">
        <f>IFERROR(INDEX($AM$11:$AM$4010,MATCH(8,$AY$11:$AY$4010,0)),"")</f>
        <v/>
      </c>
      <c r="Y18" s="25" t="str">
        <f>IF(X18="","",IFERROR(INDEX($AN$11:$AN$4010,MATCH(8,$AY$11:$AY$4010,0)),""))</f>
        <v/>
      </c>
      <c r="Z18" s="25" t="str">
        <f>IF(X18="","",IFERROR(INDEX($AO$11:$AO$4010,MATCH(8,$AY$11:$AY$4010,0)),""))</f>
        <v/>
      </c>
      <c r="AA18" s="24" t="str">
        <f>IF(X18="","",IFERROR(INDEX($AQ$11:$AQ$4010,MATCH(8,$AY$11:$AY$4010,0)),""))</f>
        <v/>
      </c>
      <c r="AB18" s="29" t="str">
        <f>IF(X18="","",IFERROR(INDEX($AR$11:$AR$4010,MATCH(8,$AY$11:$AY$4010,0)),""))</f>
        <v/>
      </c>
      <c r="AD18" s="30" t="str">
        <f>IF(AE18="","",IFERROR(INDEX($AL$11:$AL$4010,MATCH(8,$AZ$11:$AZ$4010,0)),""))</f>
        <v/>
      </c>
      <c r="AE18" s="26" t="str">
        <f>IFERROR(INDEX($AM$11:$AM$4010,MATCH(8,$AZ$11:$AZ$4010,0)),"")</f>
        <v/>
      </c>
      <c r="AF18" s="25" t="str">
        <f>IF(AE18="","",IFERROR(INDEX($AN$11:$AN$4010,MATCH(8,$AZ$11:$AZ$4010,0)),""))</f>
        <v/>
      </c>
      <c r="AG18" s="25" t="str">
        <f>IF(AE18="","",IFERROR(INDEX($AO$11:$AO$4010,MATCH(8,$AZ$11:$AZ$4010,0)),""))</f>
        <v/>
      </c>
      <c r="AH18" s="24" t="str">
        <f>IF(AE18="","",IFERROR(INDEX($AQ$11:$AQ$4010,MATCH(8,$AZ$11:$AZ$4010,0)),""))</f>
        <v/>
      </c>
      <c r="AI18" s="29" t="str">
        <f>IF(AE18="","",IFERROR(INDEX($AR$11:$AR$4010,MATCH(8,$AZ$11:$AZ$4010,0)),""))</f>
        <v/>
      </c>
      <c r="AJ18" s="29" t="str">
        <f>IF(AE18="","",IFERROR(INDEX($AT$11:$AT$4010,MATCH(8,$AZ$11:$AZ$4010,0)),""))</f>
        <v/>
      </c>
      <c r="AL18" s="31" t="str">
        <f t="shared" si="5"/>
        <v/>
      </c>
      <c r="AM18" s="26" t="str">
        <f t="shared" si="6"/>
        <v/>
      </c>
      <c r="AN18" s="32" t="str">
        <f t="shared" si="7"/>
        <v/>
      </c>
      <c r="AO18" s="32" t="str">
        <f t="shared" si="8"/>
        <v/>
      </c>
      <c r="AP18" s="24" t="str">
        <f t="shared" si="9"/>
        <v/>
      </c>
      <c r="AQ18" s="24" t="str">
        <f t="shared" si="10"/>
        <v/>
      </c>
      <c r="AR18" s="33" t="str">
        <f t="shared" si="11"/>
        <v/>
      </c>
      <c r="AS18" s="34"/>
      <c r="AT18" s="33"/>
      <c r="AV18" s="21">
        <f>IF(AND($AL18&lt;&gt;"",COUNTIF($AL$11:$AL18,$AL18)=1),1,0)</f>
        <v>0</v>
      </c>
      <c r="AW18" s="21">
        <f t="shared" si="13"/>
        <v>2</v>
      </c>
      <c r="AX18" s="21" t="str">
        <f t="shared" si="12"/>
        <v/>
      </c>
      <c r="AY18" s="21" t="str">
        <f>IF(AND($AM18&lt;&gt;"",$AS18&lt;&gt;"✓"),SUMPRODUCT(($AM$11:$AM18&lt;&gt;"")*($AS$11:$AS18&lt;&gt;"✓")),"")</f>
        <v/>
      </c>
      <c r="AZ18" s="21" t="str">
        <f>IF(AND($AM18&lt;&gt;"",$AS18="✓"),SUMPRODUCT(($AM$11:$AM18&lt;&gt;"")*($AS$11:$AS18="✓")),"")</f>
        <v/>
      </c>
      <c r="BA18" s="21" t="str">
        <f>IF($AL18="","",$AL18&amp;"|"&amp;COUNTIF($AL$11:$AL18,$AL18))</f>
        <v/>
      </c>
      <c r="BD18" s="36" t="str">
        <f>IF(IFERROR(INDEX($AM$11:$AM$4010,MATCH($S$8&amp;"|"&amp;6,$BA$11:$BA$4010,0)),"")="","",6)</f>
        <v/>
      </c>
      <c r="BE18" s="36" t="str">
        <f>IFERROR(INDEX($AM$11:$AM$4010,MATCH($S$8&amp;"|"&amp;6,$BA$11:$BA$4010,0)),"")</f>
        <v/>
      </c>
      <c r="BF18" s="36" t="str">
        <f>IFERROR(INDEX($AP$11:$AP$4010,MATCH($S$8&amp;"|"&amp;6,$BA$11:$BA$4010,0)),"")</f>
        <v/>
      </c>
      <c r="BG18" s="36" t="str">
        <f>IFERROR(INDEX($AQ$11:$AQ$4010,MATCH($S$8&amp;"|"&amp;6,$BA$11:$BA$4010,0)),"")</f>
        <v/>
      </c>
      <c r="BH18" s="37" t="str">
        <f>IFERROR(INDEX($AN$11:$AN$4010,MATCH($S$8&amp;"|"&amp;6,$BA$11:$BA$4010,0)),"")</f>
        <v/>
      </c>
      <c r="BI18" s="37" t="str">
        <f>IFERROR(INDEX($AO$11:$AO$4010,MATCH($S$8&amp;"|"&amp;6,$BA$11:$BA$4010,0)),"")</f>
        <v/>
      </c>
      <c r="BL18" s="36" t="str">
        <f>IF(IFERROR(INDEX($AM$11:$AM$4010,MATCH($S$8&amp;"|"&amp;6,$BA$11:$BA$4010,0)),"")="","",6)</f>
        <v/>
      </c>
      <c r="BM18" s="36" t="str">
        <f>IFERROR(INDEX($AM$11:$AM$4010,MATCH($S$8&amp;"|"&amp;6,$BA$11:$BA$4010,0)),"")</f>
        <v/>
      </c>
      <c r="BN18" s="36" t="str">
        <f>IFERROR(INDEX($AP$11:$AP$4010,MATCH($S$8&amp;"|"&amp;6,$BA$11:$BA$4010,0)),"")</f>
        <v/>
      </c>
      <c r="BO18" s="36" t="str">
        <f>IFERROR(INDEX($AQ$11:$AQ$4010,MATCH($S$8&amp;"|"&amp;6,$BA$11:$BA$4010,0)),"")</f>
        <v/>
      </c>
      <c r="BP18" s="37" t="str">
        <f>IFERROR(INDEX($AN$11:$AN$4010,MATCH($S$8&amp;"|"&amp;6,$BA$11:$BA$4010,0)),"")</f>
        <v/>
      </c>
      <c r="BQ18" s="37" t="str">
        <f>IFERROR(INDEX($AO$11:$AO$4010,MATCH($S$8&amp;"|"&amp;6,$BA$11:$BA$4010,0)),"")</f>
        <v/>
      </c>
    </row>
    <row r="19" spans="2:69" ht="13.5" customHeight="1" x14ac:dyDescent="0.25">
      <c r="B19" s="5" t="str">
        <f t="shared" si="0"/>
        <v/>
      </c>
      <c r="C19" s="5"/>
      <c r="D19" s="5"/>
      <c r="E19" s="5"/>
      <c r="F19" s="6"/>
      <c r="G19" s="6"/>
      <c r="H19" s="7"/>
      <c r="I19" s="8"/>
      <c r="K19" s="9" t="str">
        <f>IFERROR(INDEX($AL$11:$AL$4010,MATCH(9,$AX$11:$AX$4010,0)),"")</f>
        <v/>
      </c>
      <c r="L19" s="10" t="str">
        <f t="shared" si="1"/>
        <v/>
      </c>
      <c r="M19" s="11" t="str">
        <f t="shared" si="2"/>
        <v/>
      </c>
      <c r="N19" s="11" t="str">
        <f t="shared" si="3"/>
        <v/>
      </c>
      <c r="P19" s="12" t="str">
        <f>IFERROR(INDEX($AM$11:$AM$4010,MATCH($S$8&amp;"|"&amp;9,$BA$11:$BA$4010,0)),"")</f>
        <v/>
      </c>
      <c r="Q19" s="11" t="str">
        <f>IF(P19="","",IFERROR(INDEX($AN$11:$AN$4010,MATCH($S$8&amp;"|"&amp;9,$BA$11:$BA$4010,0)),""))</f>
        <v/>
      </c>
      <c r="R19" s="11" t="str">
        <f>IF(P19="","",IFERROR(INDEX($AO$11:$AO$4010,MATCH($S$8&amp;"|"&amp;9,$BA$11:$BA$4010,0)),""))</f>
        <v/>
      </c>
      <c r="S19" s="10" t="str">
        <f>IF(P19="","",IFERROR(INDEX($AP$11:$AP$4010,MATCH($S$8&amp;"|"&amp;9,$BA$11:$BA$4010,0)),""))</f>
        <v/>
      </c>
      <c r="T19" s="10" t="str">
        <f>IF(P19="","",IFERROR(INDEX($AQ$11:$AQ$4010,MATCH($S$8&amp;"|"&amp;9,$BA$11:$BA$4010,0)),""))</f>
        <v/>
      </c>
      <c r="U19" s="39" t="str">
        <f t="shared" si="4"/>
        <v/>
      </c>
      <c r="W19" s="14" t="str">
        <f>IF(X19="","",IFERROR(INDEX($AL$11:$AL$4010,MATCH(9,$AY$11:$AY$4010,0)),""))</f>
        <v/>
      </c>
      <c r="X19" s="12" t="str">
        <f>IFERROR(INDEX($AM$11:$AM$4010,MATCH(9,$AY$11:$AY$4010,0)),"")</f>
        <v/>
      </c>
      <c r="Y19" s="11" t="str">
        <f>IF(X19="","",IFERROR(INDEX($AN$11:$AN$4010,MATCH(9,$AY$11:$AY$4010,0)),""))</f>
        <v/>
      </c>
      <c r="Z19" s="11" t="str">
        <f>IF(X19="","",IFERROR(INDEX($AO$11:$AO$4010,MATCH(9,$AY$11:$AY$4010,0)),""))</f>
        <v/>
      </c>
      <c r="AA19" s="10" t="str">
        <f>IF(X19="","",IFERROR(INDEX($AQ$11:$AQ$4010,MATCH(9,$AY$11:$AY$4010,0)),""))</f>
        <v/>
      </c>
      <c r="AB19" s="15" t="str">
        <f>IF(X19="","",IFERROR(INDEX($AR$11:$AR$4010,MATCH(9,$AY$11:$AY$4010,0)),""))</f>
        <v/>
      </c>
      <c r="AD19" s="16" t="str">
        <f>IF(AE19="","",IFERROR(INDEX($AL$11:$AL$4010,MATCH(9,$AZ$11:$AZ$4010,0)),""))</f>
        <v/>
      </c>
      <c r="AE19" s="12" t="str">
        <f>IFERROR(INDEX($AM$11:$AM$4010,MATCH(9,$AZ$11:$AZ$4010,0)),"")</f>
        <v/>
      </c>
      <c r="AF19" s="11" t="str">
        <f>IF(AE19="","",IFERROR(INDEX($AN$11:$AN$4010,MATCH(9,$AZ$11:$AZ$4010,0)),""))</f>
        <v/>
      </c>
      <c r="AG19" s="11" t="str">
        <f>IF(AE19="","",IFERROR(INDEX($AO$11:$AO$4010,MATCH(9,$AZ$11:$AZ$4010,0)),""))</f>
        <v/>
      </c>
      <c r="AH19" s="10" t="str">
        <f>IF(AE19="","",IFERROR(INDEX($AQ$11:$AQ$4010,MATCH(9,$AZ$11:$AZ$4010,0)),""))</f>
        <v/>
      </c>
      <c r="AI19" s="15" t="str">
        <f>IF(AE19="","",IFERROR(INDEX($AR$11:$AR$4010,MATCH(9,$AZ$11:$AZ$4010,0)),""))</f>
        <v/>
      </c>
      <c r="AJ19" s="15" t="str">
        <f>IF(AE19="","",IFERROR(INDEX($AT$11:$AT$4010,MATCH(9,$AZ$11:$AZ$4010,0)),""))</f>
        <v/>
      </c>
      <c r="AL19" s="17" t="str">
        <f t="shared" si="5"/>
        <v/>
      </c>
      <c r="AM19" s="12" t="str">
        <f t="shared" si="6"/>
        <v/>
      </c>
      <c r="AN19" s="18" t="str">
        <f t="shared" si="7"/>
        <v/>
      </c>
      <c r="AO19" s="18" t="str">
        <f t="shared" si="8"/>
        <v/>
      </c>
      <c r="AP19" s="10" t="str">
        <f t="shared" si="9"/>
        <v/>
      </c>
      <c r="AQ19" s="10" t="str">
        <f t="shared" si="10"/>
        <v/>
      </c>
      <c r="AR19" s="19" t="str">
        <f t="shared" si="11"/>
        <v/>
      </c>
      <c r="AS19" s="20"/>
      <c r="AT19" s="19"/>
      <c r="AV19" s="21">
        <f>IF(AND($AL19&lt;&gt;"",COUNTIF($AL$11:$AL19,$AL19)=1),1,0)</f>
        <v>0</v>
      </c>
      <c r="AW19" s="21">
        <f t="shared" si="13"/>
        <v>2</v>
      </c>
      <c r="AX19" s="21" t="str">
        <f t="shared" si="12"/>
        <v/>
      </c>
      <c r="AY19" s="21" t="str">
        <f>IF(AND($AM19&lt;&gt;"",$AS19&lt;&gt;"✓"),SUMPRODUCT(($AM$11:$AM19&lt;&gt;"")*($AS$11:$AS19&lt;&gt;"✓")),"")</f>
        <v/>
      </c>
      <c r="AZ19" s="21" t="str">
        <f>IF(AND($AM19&lt;&gt;"",$AS19="✓"),SUMPRODUCT(($AM$11:$AM19&lt;&gt;"")*($AS$11:$AS19="✓")),"")</f>
        <v/>
      </c>
      <c r="BA19" s="21" t="str">
        <f>IF($AL19="","",$AL19&amp;"|"&amp;COUNTIF($AL$11:$AL19,$AL19))</f>
        <v/>
      </c>
      <c r="BD19" s="36" t="str">
        <f>IF(IFERROR(INDEX($AM$11:$AM$4010,MATCH($S$8&amp;"|"&amp;7,$BA$11:$BA$4010,0)),"")="","",7)</f>
        <v/>
      </c>
      <c r="BE19" s="36" t="str">
        <f>IFERROR(INDEX($AM$11:$AM$4010,MATCH($S$8&amp;"|"&amp;7,$BA$11:$BA$4010,0)),"")</f>
        <v/>
      </c>
      <c r="BF19" s="36" t="str">
        <f>IFERROR(INDEX($AP$11:$AP$4010,MATCH($S$8&amp;"|"&amp;7,$BA$11:$BA$4010,0)),"")</f>
        <v/>
      </c>
      <c r="BG19" s="36" t="str">
        <f>IFERROR(INDEX($AQ$11:$AQ$4010,MATCH($S$8&amp;"|"&amp;7,$BA$11:$BA$4010,0)),"")</f>
        <v/>
      </c>
      <c r="BH19" s="37" t="str">
        <f>IFERROR(INDEX($AN$11:$AN$4010,MATCH($S$8&amp;"|"&amp;7,$BA$11:$BA$4010,0)),"")</f>
        <v/>
      </c>
      <c r="BI19" s="37" t="str">
        <f>IFERROR(INDEX($AO$11:$AO$4010,MATCH($S$8&amp;"|"&amp;7,$BA$11:$BA$4010,0)),"")</f>
        <v/>
      </c>
      <c r="BL19" s="36" t="str">
        <f>IF(IFERROR(INDEX($AM$11:$AM$4010,MATCH($S$8&amp;"|"&amp;7,$BA$11:$BA$4010,0)),"")="","",7)</f>
        <v/>
      </c>
      <c r="BM19" s="36" t="str">
        <f>IFERROR(INDEX($AM$11:$AM$4010,MATCH($S$8&amp;"|"&amp;7,$BA$11:$BA$4010,0)),"")</f>
        <v/>
      </c>
      <c r="BN19" s="36" t="str">
        <f>IFERROR(INDEX($AP$11:$AP$4010,MATCH($S$8&amp;"|"&amp;7,$BA$11:$BA$4010,0)),"")</f>
        <v/>
      </c>
      <c r="BO19" s="36" t="str">
        <f>IFERROR(INDEX($AQ$11:$AQ$4010,MATCH($S$8&amp;"|"&amp;7,$BA$11:$BA$4010,0)),"")</f>
        <v/>
      </c>
      <c r="BP19" s="37" t="str">
        <f>IFERROR(INDEX($AN$11:$AN$4010,MATCH($S$8&amp;"|"&amp;7,$BA$11:$BA$4010,0)),"")</f>
        <v/>
      </c>
      <c r="BQ19" s="37" t="str">
        <f>IFERROR(INDEX($AO$11:$AO$4010,MATCH($S$8&amp;"|"&amp;7,$BA$11:$BA$4010,0)),"")</f>
        <v/>
      </c>
    </row>
    <row r="20" spans="2:69" ht="13.5" customHeight="1" x14ac:dyDescent="0.25">
      <c r="B20" s="5" t="str">
        <f t="shared" si="0"/>
        <v/>
      </c>
      <c r="C20" s="5"/>
      <c r="D20" s="5"/>
      <c r="E20" s="5"/>
      <c r="F20" s="6"/>
      <c r="G20" s="6"/>
      <c r="H20" s="7"/>
      <c r="I20" s="8"/>
      <c r="K20" s="23" t="str">
        <f>IFERROR(INDEX($AL$11:$AL$4010,MATCH(10,$AX$11:$AX$4010,0)),"")</f>
        <v/>
      </c>
      <c r="L20" s="24" t="str">
        <f t="shared" si="1"/>
        <v/>
      </c>
      <c r="M20" s="25" t="str">
        <f t="shared" si="2"/>
        <v/>
      </c>
      <c r="N20" s="25" t="str">
        <f t="shared" si="3"/>
        <v/>
      </c>
      <c r="P20" s="26" t="str">
        <f>IFERROR(INDEX($AM$11:$AM$4010,MATCH($S$8&amp;"|"&amp;10,$BA$11:$BA$4010,0)),"")</f>
        <v/>
      </c>
      <c r="Q20" s="25" t="str">
        <f>IF(P20="","",IFERROR(INDEX($AN$11:$AN$4010,MATCH($S$8&amp;"|"&amp;10,$BA$11:$BA$4010,0)),""))</f>
        <v/>
      </c>
      <c r="R20" s="25" t="str">
        <f>IF(P20="","",IFERROR(INDEX($AO$11:$AO$4010,MATCH($S$8&amp;"|"&amp;10,$BA$11:$BA$4010,0)),""))</f>
        <v/>
      </c>
      <c r="S20" s="24" t="str">
        <f>IF(P20="","",IFERROR(INDEX($AP$11:$AP$4010,MATCH($S$8&amp;"|"&amp;10,$BA$11:$BA$4010,0)),""))</f>
        <v/>
      </c>
      <c r="T20" s="24" t="str">
        <f>IF(P20="","",IFERROR(INDEX($AQ$11:$AQ$4010,MATCH($S$8&amp;"|"&amp;10,$BA$11:$BA$4010,0)),""))</f>
        <v/>
      </c>
      <c r="U20" s="38" t="str">
        <f t="shared" si="4"/>
        <v/>
      </c>
      <c r="W20" s="28" t="str">
        <f>IF(X20="","",IFERROR(INDEX($AL$11:$AL$4010,MATCH(10,$AY$11:$AY$4010,0)),""))</f>
        <v/>
      </c>
      <c r="X20" s="26" t="str">
        <f>IFERROR(INDEX($AM$11:$AM$4010,MATCH(10,$AY$11:$AY$4010,0)),"")</f>
        <v/>
      </c>
      <c r="Y20" s="25" t="str">
        <f>IF(X20="","",IFERROR(INDEX($AN$11:$AN$4010,MATCH(10,$AY$11:$AY$4010,0)),""))</f>
        <v/>
      </c>
      <c r="Z20" s="25" t="str">
        <f>IF(X20="","",IFERROR(INDEX($AO$11:$AO$4010,MATCH(10,$AY$11:$AY$4010,0)),""))</f>
        <v/>
      </c>
      <c r="AA20" s="24" t="str">
        <f>IF(X20="","",IFERROR(INDEX($AQ$11:$AQ$4010,MATCH(10,$AY$11:$AY$4010,0)),""))</f>
        <v/>
      </c>
      <c r="AB20" s="29" t="str">
        <f>IF(X20="","",IFERROR(INDEX($AR$11:$AR$4010,MATCH(10,$AY$11:$AY$4010,0)),""))</f>
        <v/>
      </c>
      <c r="AD20" s="30" t="str">
        <f>IF(AE20="","",IFERROR(INDEX($AL$11:$AL$4010,MATCH(10,$AZ$11:$AZ$4010,0)),""))</f>
        <v/>
      </c>
      <c r="AE20" s="26" t="str">
        <f>IFERROR(INDEX($AM$11:$AM$4010,MATCH(10,$AZ$11:$AZ$4010,0)),"")</f>
        <v/>
      </c>
      <c r="AF20" s="25" t="str">
        <f>IF(AE20="","",IFERROR(INDEX($AN$11:$AN$4010,MATCH(10,$AZ$11:$AZ$4010,0)),""))</f>
        <v/>
      </c>
      <c r="AG20" s="25" t="str">
        <f>IF(AE20="","",IFERROR(INDEX($AO$11:$AO$4010,MATCH(10,$AZ$11:$AZ$4010,0)),""))</f>
        <v/>
      </c>
      <c r="AH20" s="24" t="str">
        <f>IF(AE20="","",IFERROR(INDEX($AQ$11:$AQ$4010,MATCH(10,$AZ$11:$AZ$4010,0)),""))</f>
        <v/>
      </c>
      <c r="AI20" s="29" t="str">
        <f>IF(AE20="","",IFERROR(INDEX($AR$11:$AR$4010,MATCH(10,$AZ$11:$AZ$4010,0)),""))</f>
        <v/>
      </c>
      <c r="AJ20" s="29" t="str">
        <f>IF(AE20="","",IFERROR(INDEX($AT$11:$AT$4010,MATCH(10,$AZ$11:$AZ$4010,0)),""))</f>
        <v/>
      </c>
      <c r="AL20" s="31" t="str">
        <f t="shared" si="5"/>
        <v/>
      </c>
      <c r="AM20" s="26" t="str">
        <f t="shared" si="6"/>
        <v/>
      </c>
      <c r="AN20" s="32" t="str">
        <f t="shared" si="7"/>
        <v/>
      </c>
      <c r="AO20" s="32" t="str">
        <f t="shared" si="8"/>
        <v/>
      </c>
      <c r="AP20" s="24" t="str">
        <f t="shared" si="9"/>
        <v/>
      </c>
      <c r="AQ20" s="24" t="str">
        <f t="shared" si="10"/>
        <v/>
      </c>
      <c r="AR20" s="33" t="str">
        <f t="shared" si="11"/>
        <v/>
      </c>
      <c r="AS20" s="34"/>
      <c r="AT20" s="33"/>
      <c r="AV20" s="21">
        <f>IF(AND($AL20&lt;&gt;"",COUNTIF($AL$11:$AL20,$AL20)=1),1,0)</f>
        <v>0</v>
      </c>
      <c r="AW20" s="21">
        <f t="shared" si="13"/>
        <v>2</v>
      </c>
      <c r="AX20" s="21" t="str">
        <f t="shared" si="12"/>
        <v/>
      </c>
      <c r="AY20" s="21" t="str">
        <f>IF(AND($AM20&lt;&gt;"",$AS20&lt;&gt;"✓"),SUMPRODUCT(($AM$11:$AM20&lt;&gt;"")*($AS$11:$AS20&lt;&gt;"✓")),"")</f>
        <v/>
      </c>
      <c r="AZ20" s="21" t="str">
        <f>IF(AND($AM20&lt;&gt;"",$AS20="✓"),SUMPRODUCT(($AM$11:$AM20&lt;&gt;"")*($AS$11:$AS20="✓")),"")</f>
        <v/>
      </c>
      <c r="BA20" s="21" t="str">
        <f>IF($AL20="","",$AL20&amp;"|"&amp;COUNTIF($AL$11:$AL20,$AL20))</f>
        <v/>
      </c>
      <c r="BD20" s="36" t="str">
        <f>IF(IFERROR(INDEX($AM$11:$AM$4010,MATCH($S$8&amp;"|"&amp;8,$BA$11:$BA$4010,0)),"")="","",8)</f>
        <v/>
      </c>
      <c r="BE20" s="36" t="str">
        <f>IFERROR(INDEX($AM$11:$AM$4010,MATCH($S$8&amp;"|"&amp;8,$BA$11:$BA$4010,0)),"")</f>
        <v/>
      </c>
      <c r="BF20" s="36" t="str">
        <f>IFERROR(INDEX($AP$11:$AP$4010,MATCH($S$8&amp;"|"&amp;8,$BA$11:$BA$4010,0)),"")</f>
        <v/>
      </c>
      <c r="BG20" s="36" t="str">
        <f>IFERROR(INDEX($AQ$11:$AQ$4010,MATCH($S$8&amp;"|"&amp;8,$BA$11:$BA$4010,0)),"")</f>
        <v/>
      </c>
      <c r="BH20" s="37" t="str">
        <f>IFERROR(INDEX($AN$11:$AN$4010,MATCH($S$8&amp;"|"&amp;8,$BA$11:$BA$4010,0)),"")</f>
        <v/>
      </c>
      <c r="BI20" s="37" t="str">
        <f>IFERROR(INDEX($AO$11:$AO$4010,MATCH($S$8&amp;"|"&amp;8,$BA$11:$BA$4010,0)),"")</f>
        <v/>
      </c>
      <c r="BL20" s="36" t="str">
        <f>IF(IFERROR(INDEX($AM$11:$AM$4010,MATCH($S$8&amp;"|"&amp;8,$BA$11:$BA$4010,0)),"")="","",8)</f>
        <v/>
      </c>
      <c r="BM20" s="36" t="str">
        <f>IFERROR(INDEX($AM$11:$AM$4010,MATCH($S$8&amp;"|"&amp;8,$BA$11:$BA$4010,0)),"")</f>
        <v/>
      </c>
      <c r="BN20" s="36" t="str">
        <f>IFERROR(INDEX($AP$11:$AP$4010,MATCH($S$8&amp;"|"&amp;8,$BA$11:$BA$4010,0)),"")</f>
        <v/>
      </c>
      <c r="BO20" s="36" t="str">
        <f>IFERROR(INDEX($AQ$11:$AQ$4010,MATCH($S$8&amp;"|"&amp;8,$BA$11:$BA$4010,0)),"")</f>
        <v/>
      </c>
      <c r="BP20" s="37" t="str">
        <f>IFERROR(INDEX($AN$11:$AN$4010,MATCH($S$8&amp;"|"&amp;8,$BA$11:$BA$4010,0)),"")</f>
        <v/>
      </c>
      <c r="BQ20" s="37" t="str">
        <f>IFERROR(INDEX($AO$11:$AO$4010,MATCH($S$8&amp;"|"&amp;8,$BA$11:$BA$4010,0)),"")</f>
        <v/>
      </c>
    </row>
    <row r="21" spans="2:69" ht="13.5" customHeight="1" x14ac:dyDescent="0.25">
      <c r="B21" s="5" t="str">
        <f t="shared" si="0"/>
        <v/>
      </c>
      <c r="C21" s="5"/>
      <c r="D21" s="5"/>
      <c r="E21" s="5"/>
      <c r="F21" s="6"/>
      <c r="G21" s="6"/>
      <c r="H21" s="7"/>
      <c r="I21" s="8"/>
      <c r="K21" s="9" t="str">
        <f>IFERROR(INDEX($AL$11:$AL$4010,MATCH(11,$AX$11:$AX$4010,0)),"")</f>
        <v/>
      </c>
      <c r="L21" s="10" t="str">
        <f t="shared" si="1"/>
        <v/>
      </c>
      <c r="M21" s="11" t="str">
        <f t="shared" si="2"/>
        <v/>
      </c>
      <c r="N21" s="11" t="str">
        <f t="shared" si="3"/>
        <v/>
      </c>
      <c r="P21" s="12" t="str">
        <f>IFERROR(INDEX($AM$11:$AM$4010,MATCH($S$8&amp;"|"&amp;11,$BA$11:$BA$4010,0)),"")</f>
        <v/>
      </c>
      <c r="Q21" s="11" t="str">
        <f>IF(P21="","",IFERROR(INDEX($AN$11:$AN$4010,MATCH($S$8&amp;"|"&amp;11,$BA$11:$BA$4010,0)),""))</f>
        <v/>
      </c>
      <c r="R21" s="11" t="str">
        <f>IF(P21="","",IFERROR(INDEX($AO$11:$AO$4010,MATCH($S$8&amp;"|"&amp;11,$BA$11:$BA$4010,0)),""))</f>
        <v/>
      </c>
      <c r="S21" s="10" t="str">
        <f>IF(P21="","",IFERROR(INDEX($AP$11:$AP$4010,MATCH($S$8&amp;"|"&amp;11,$BA$11:$BA$4010,0)),""))</f>
        <v/>
      </c>
      <c r="T21" s="10" t="str">
        <f>IF(P21="","",IFERROR(INDEX($AQ$11:$AQ$4010,MATCH($S$8&amp;"|"&amp;11,$BA$11:$BA$4010,0)),""))</f>
        <v/>
      </c>
      <c r="U21" s="39" t="str">
        <f t="shared" si="4"/>
        <v/>
      </c>
      <c r="W21" s="14" t="str">
        <f>IF(X21="","",IFERROR(INDEX($AL$11:$AL$4010,MATCH(11,$AY$11:$AY$4010,0)),""))</f>
        <v/>
      </c>
      <c r="X21" s="12" t="str">
        <f>IFERROR(INDEX($AM$11:$AM$4010,MATCH(11,$AY$11:$AY$4010,0)),"")</f>
        <v/>
      </c>
      <c r="Y21" s="11" t="str">
        <f>IF(X21="","",IFERROR(INDEX($AN$11:$AN$4010,MATCH(11,$AY$11:$AY$4010,0)),""))</f>
        <v/>
      </c>
      <c r="Z21" s="11" t="str">
        <f>IF(X21="","",IFERROR(INDEX($AO$11:$AO$4010,MATCH(11,$AY$11:$AY$4010,0)),""))</f>
        <v/>
      </c>
      <c r="AA21" s="10" t="str">
        <f>IF(X21="","",IFERROR(INDEX($AQ$11:$AQ$4010,MATCH(11,$AY$11:$AY$4010,0)),""))</f>
        <v/>
      </c>
      <c r="AB21" s="15" t="str">
        <f>IF(X21="","",IFERROR(INDEX($AR$11:$AR$4010,MATCH(11,$AY$11:$AY$4010,0)),""))</f>
        <v/>
      </c>
      <c r="AD21" s="16" t="str">
        <f>IF(AE21="","",IFERROR(INDEX($AL$11:$AL$4010,MATCH(11,$AZ$11:$AZ$4010,0)),""))</f>
        <v/>
      </c>
      <c r="AE21" s="12" t="str">
        <f>IFERROR(INDEX($AM$11:$AM$4010,MATCH(11,$AZ$11:$AZ$4010,0)),"")</f>
        <v/>
      </c>
      <c r="AF21" s="11" t="str">
        <f>IF(AE21="","",IFERROR(INDEX($AN$11:$AN$4010,MATCH(11,$AZ$11:$AZ$4010,0)),""))</f>
        <v/>
      </c>
      <c r="AG21" s="11" t="str">
        <f>IF(AE21="","",IFERROR(INDEX($AO$11:$AO$4010,MATCH(11,$AZ$11:$AZ$4010,0)),""))</f>
        <v/>
      </c>
      <c r="AH21" s="10" t="str">
        <f>IF(AE21="","",IFERROR(INDEX($AQ$11:$AQ$4010,MATCH(11,$AZ$11:$AZ$4010,0)),""))</f>
        <v/>
      </c>
      <c r="AI21" s="15" t="str">
        <f>IF(AE21="","",IFERROR(INDEX($AR$11:$AR$4010,MATCH(11,$AZ$11:$AZ$4010,0)),""))</f>
        <v/>
      </c>
      <c r="AJ21" s="15" t="str">
        <f>IF(AE21="","",IFERROR(INDEX($AT$11:$AT$4010,MATCH(11,$AZ$11:$AZ$4010,0)),""))</f>
        <v/>
      </c>
      <c r="AL21" s="17" t="str">
        <f t="shared" si="5"/>
        <v/>
      </c>
      <c r="AM21" s="12" t="str">
        <f t="shared" si="6"/>
        <v/>
      </c>
      <c r="AN21" s="18" t="str">
        <f t="shared" si="7"/>
        <v/>
      </c>
      <c r="AO21" s="18" t="str">
        <f t="shared" si="8"/>
        <v/>
      </c>
      <c r="AP21" s="10" t="str">
        <f t="shared" si="9"/>
        <v/>
      </c>
      <c r="AQ21" s="10" t="str">
        <f t="shared" si="10"/>
        <v/>
      </c>
      <c r="AR21" s="19" t="str">
        <f t="shared" si="11"/>
        <v/>
      </c>
      <c r="AS21" s="20"/>
      <c r="AT21" s="19"/>
      <c r="AV21" s="21">
        <f>IF(AND($AL21&lt;&gt;"",COUNTIF($AL$11:$AL21,$AL21)=1),1,0)</f>
        <v>0</v>
      </c>
      <c r="AW21" s="21">
        <f t="shared" si="13"/>
        <v>2</v>
      </c>
      <c r="AX21" s="21" t="str">
        <f t="shared" si="12"/>
        <v/>
      </c>
      <c r="AY21" s="21" t="str">
        <f>IF(AND($AM21&lt;&gt;"",$AS21&lt;&gt;"✓"),SUMPRODUCT(($AM$11:$AM21&lt;&gt;"")*($AS$11:$AS21&lt;&gt;"✓")),"")</f>
        <v/>
      </c>
      <c r="AZ21" s="21" t="str">
        <f>IF(AND($AM21&lt;&gt;"",$AS21="✓"),SUMPRODUCT(($AM$11:$AM21&lt;&gt;"")*($AS$11:$AS21="✓")),"")</f>
        <v/>
      </c>
      <c r="BA21" s="21" t="str">
        <f>IF($AL21="","",$AL21&amp;"|"&amp;COUNTIF($AL$11:$AL21,$AL21))</f>
        <v/>
      </c>
      <c r="BD21" s="36" t="str">
        <f>IF(IFERROR(INDEX($AM$11:$AM$4010,MATCH($S$8&amp;"|"&amp;9,$BA$11:$BA$4010,0)),"")="","",9)</f>
        <v/>
      </c>
      <c r="BE21" s="36" t="str">
        <f>IFERROR(INDEX($AM$11:$AM$4010,MATCH($S$8&amp;"|"&amp;9,$BA$11:$BA$4010,0)),"")</f>
        <v/>
      </c>
      <c r="BF21" s="36" t="str">
        <f>IFERROR(INDEX($AP$11:$AP$4010,MATCH($S$8&amp;"|"&amp;9,$BA$11:$BA$4010,0)),"")</f>
        <v/>
      </c>
      <c r="BG21" s="36" t="str">
        <f>IFERROR(INDEX($AQ$11:$AQ$4010,MATCH($S$8&amp;"|"&amp;9,$BA$11:$BA$4010,0)),"")</f>
        <v/>
      </c>
      <c r="BH21" s="37" t="str">
        <f>IFERROR(INDEX($AN$11:$AN$4010,MATCH($S$8&amp;"|"&amp;9,$BA$11:$BA$4010,0)),"")</f>
        <v/>
      </c>
      <c r="BI21" s="37" t="str">
        <f>IFERROR(INDEX($AO$11:$AO$4010,MATCH($S$8&amp;"|"&amp;9,$BA$11:$BA$4010,0)),"")</f>
        <v/>
      </c>
      <c r="BL21" s="36" t="str">
        <f>IF(IFERROR(INDEX($AM$11:$AM$4010,MATCH($S$8&amp;"|"&amp;9,$BA$11:$BA$4010,0)),"")="","",9)</f>
        <v/>
      </c>
      <c r="BM21" s="36" t="str">
        <f>IFERROR(INDEX($AM$11:$AM$4010,MATCH($S$8&amp;"|"&amp;9,$BA$11:$BA$4010,0)),"")</f>
        <v/>
      </c>
      <c r="BN21" s="36" t="str">
        <f>IFERROR(INDEX($AP$11:$AP$4010,MATCH($S$8&amp;"|"&amp;9,$BA$11:$BA$4010,0)),"")</f>
        <v/>
      </c>
      <c r="BO21" s="36" t="str">
        <f>IFERROR(INDEX($AQ$11:$AQ$4010,MATCH($S$8&amp;"|"&amp;9,$BA$11:$BA$4010,0)),"")</f>
        <v/>
      </c>
      <c r="BP21" s="37" t="str">
        <f>IFERROR(INDEX($AN$11:$AN$4010,MATCH($S$8&amp;"|"&amp;9,$BA$11:$BA$4010,0)),"")</f>
        <v/>
      </c>
      <c r="BQ21" s="37" t="str">
        <f>IFERROR(INDEX($AO$11:$AO$4010,MATCH($S$8&amp;"|"&amp;9,$BA$11:$BA$4010,0)),"")</f>
        <v/>
      </c>
    </row>
    <row r="22" spans="2:69" ht="13.5" customHeight="1" x14ac:dyDescent="0.25">
      <c r="B22" s="5" t="str">
        <f t="shared" si="0"/>
        <v/>
      </c>
      <c r="C22" s="5"/>
      <c r="D22" s="5"/>
      <c r="E22" s="5"/>
      <c r="F22" s="6"/>
      <c r="G22" s="6"/>
      <c r="H22" s="7"/>
      <c r="I22" s="8"/>
      <c r="K22" s="23" t="str">
        <f>IFERROR(INDEX($AL$11:$AL$4010,MATCH(12,$AX$11:$AX$4010,0)),"")</f>
        <v/>
      </c>
      <c r="L22" s="24" t="str">
        <f t="shared" si="1"/>
        <v/>
      </c>
      <c r="M22" s="25" t="str">
        <f t="shared" si="2"/>
        <v/>
      </c>
      <c r="N22" s="25" t="str">
        <f t="shared" si="3"/>
        <v/>
      </c>
      <c r="P22" s="26" t="str">
        <f>IFERROR(INDEX($AM$11:$AM$4010,MATCH($S$8&amp;"|"&amp;12,$BA$11:$BA$4010,0)),"")</f>
        <v/>
      </c>
      <c r="Q22" s="25" t="str">
        <f>IF(P22="","",IFERROR(INDEX($AN$11:$AN$4010,MATCH($S$8&amp;"|"&amp;12,$BA$11:$BA$4010,0)),""))</f>
        <v/>
      </c>
      <c r="R22" s="25" t="str">
        <f>IF(P22="","",IFERROR(INDEX($AO$11:$AO$4010,MATCH($S$8&amp;"|"&amp;12,$BA$11:$BA$4010,0)),""))</f>
        <v/>
      </c>
      <c r="S22" s="24" t="str">
        <f>IF(P22="","",IFERROR(INDEX($AP$11:$AP$4010,MATCH($S$8&amp;"|"&amp;12,$BA$11:$BA$4010,0)),""))</f>
        <v/>
      </c>
      <c r="T22" s="24" t="str">
        <f>IF(P22="","",IFERROR(INDEX($AQ$11:$AQ$4010,MATCH($S$8&amp;"|"&amp;12,$BA$11:$BA$4010,0)),""))</f>
        <v/>
      </c>
      <c r="U22" s="38" t="str">
        <f t="shared" si="4"/>
        <v/>
      </c>
      <c r="W22" s="28" t="str">
        <f>IF(X22="","",IFERROR(INDEX($AL$11:$AL$4010,MATCH(12,$AY$11:$AY$4010,0)),""))</f>
        <v/>
      </c>
      <c r="X22" s="26" t="str">
        <f>IFERROR(INDEX($AM$11:$AM$4010,MATCH(12,$AY$11:$AY$4010,0)),"")</f>
        <v/>
      </c>
      <c r="Y22" s="25" t="str">
        <f>IF(X22="","",IFERROR(INDEX($AN$11:$AN$4010,MATCH(12,$AY$11:$AY$4010,0)),""))</f>
        <v/>
      </c>
      <c r="Z22" s="25" t="str">
        <f>IF(X22="","",IFERROR(INDEX($AO$11:$AO$4010,MATCH(12,$AY$11:$AY$4010,0)),""))</f>
        <v/>
      </c>
      <c r="AA22" s="24" t="str">
        <f>IF(X22="","",IFERROR(INDEX($AQ$11:$AQ$4010,MATCH(12,$AY$11:$AY$4010,0)),""))</f>
        <v/>
      </c>
      <c r="AB22" s="29" t="str">
        <f>IF(X22="","",IFERROR(INDEX($AR$11:$AR$4010,MATCH(12,$AY$11:$AY$4010,0)),""))</f>
        <v/>
      </c>
      <c r="AD22" s="30" t="str">
        <f>IF(AE22="","",IFERROR(INDEX($AL$11:$AL$4010,MATCH(12,$AZ$11:$AZ$4010,0)),""))</f>
        <v/>
      </c>
      <c r="AE22" s="26" t="str">
        <f>IFERROR(INDEX($AM$11:$AM$4010,MATCH(12,$AZ$11:$AZ$4010,0)),"")</f>
        <v/>
      </c>
      <c r="AF22" s="25" t="str">
        <f>IF(AE22="","",IFERROR(INDEX($AN$11:$AN$4010,MATCH(12,$AZ$11:$AZ$4010,0)),""))</f>
        <v/>
      </c>
      <c r="AG22" s="25" t="str">
        <f>IF(AE22="","",IFERROR(INDEX($AO$11:$AO$4010,MATCH(12,$AZ$11:$AZ$4010,0)),""))</f>
        <v/>
      </c>
      <c r="AH22" s="24" t="str">
        <f>IF(AE22="","",IFERROR(INDEX($AQ$11:$AQ$4010,MATCH(12,$AZ$11:$AZ$4010,0)),""))</f>
        <v/>
      </c>
      <c r="AI22" s="29" t="str">
        <f>IF(AE22="","",IFERROR(INDEX($AR$11:$AR$4010,MATCH(12,$AZ$11:$AZ$4010,0)),""))</f>
        <v/>
      </c>
      <c r="AJ22" s="29" t="str">
        <f>IF(AE22="","",IFERROR(INDEX($AT$11:$AT$4010,MATCH(12,$AZ$11:$AZ$4010,0)),""))</f>
        <v/>
      </c>
      <c r="AL22" s="31" t="str">
        <f t="shared" si="5"/>
        <v/>
      </c>
      <c r="AM22" s="26" t="str">
        <f t="shared" si="6"/>
        <v/>
      </c>
      <c r="AN22" s="32" t="str">
        <f t="shared" si="7"/>
        <v/>
      </c>
      <c r="AO22" s="32" t="str">
        <f t="shared" si="8"/>
        <v/>
      </c>
      <c r="AP22" s="24" t="str">
        <f t="shared" si="9"/>
        <v/>
      </c>
      <c r="AQ22" s="24" t="str">
        <f t="shared" si="10"/>
        <v/>
      </c>
      <c r="AR22" s="33" t="str">
        <f t="shared" si="11"/>
        <v/>
      </c>
      <c r="AS22" s="34"/>
      <c r="AT22" s="33"/>
      <c r="AV22" s="21">
        <f>IF(AND($AL22&lt;&gt;"",COUNTIF($AL$11:$AL22,$AL22)=1),1,0)</f>
        <v>0</v>
      </c>
      <c r="AW22" s="21">
        <f t="shared" si="13"/>
        <v>2</v>
      </c>
      <c r="AX22" s="21" t="str">
        <f t="shared" si="12"/>
        <v/>
      </c>
      <c r="AY22" s="21" t="str">
        <f>IF(AND($AM22&lt;&gt;"",$AS22&lt;&gt;"✓"),SUMPRODUCT(($AM$11:$AM22&lt;&gt;"")*($AS$11:$AS22&lt;&gt;"✓")),"")</f>
        <v/>
      </c>
      <c r="AZ22" s="21" t="str">
        <f>IF(AND($AM22&lt;&gt;"",$AS22="✓"),SUMPRODUCT(($AM$11:$AM22&lt;&gt;"")*($AS$11:$AS22="✓")),"")</f>
        <v/>
      </c>
      <c r="BA22" s="21" t="str">
        <f>IF($AL22="","",$AL22&amp;"|"&amp;COUNTIF($AL$11:$AL22,$AL22))</f>
        <v/>
      </c>
      <c r="BD22" s="36" t="str">
        <f>IF(IFERROR(INDEX($AM$11:$AM$4010,MATCH($S$8&amp;"|"&amp;10,$BA$11:$BA$4010,0)),"")="","",10)</f>
        <v/>
      </c>
      <c r="BE22" s="36" t="str">
        <f>IFERROR(INDEX($AM$11:$AM$4010,MATCH($S$8&amp;"|"&amp;10,$BA$11:$BA$4010,0)),"")</f>
        <v/>
      </c>
      <c r="BF22" s="36" t="str">
        <f>IFERROR(INDEX($AP$11:$AP$4010,MATCH($S$8&amp;"|"&amp;10,$BA$11:$BA$4010,0)),"")</f>
        <v/>
      </c>
      <c r="BG22" s="36" t="str">
        <f>IFERROR(INDEX($AQ$11:$AQ$4010,MATCH($S$8&amp;"|"&amp;10,$BA$11:$BA$4010,0)),"")</f>
        <v/>
      </c>
      <c r="BH22" s="37" t="str">
        <f>IFERROR(INDEX($AN$11:$AN$4010,MATCH($S$8&amp;"|"&amp;10,$BA$11:$BA$4010,0)),"")</f>
        <v/>
      </c>
      <c r="BI22" s="37" t="str">
        <f>IFERROR(INDEX($AO$11:$AO$4010,MATCH($S$8&amp;"|"&amp;10,$BA$11:$BA$4010,0)),"")</f>
        <v/>
      </c>
      <c r="BL22" s="36" t="str">
        <f>IF(IFERROR(INDEX($AM$11:$AM$4010,MATCH($S$8&amp;"|"&amp;10,$BA$11:$BA$4010,0)),"")="","",10)</f>
        <v/>
      </c>
      <c r="BM22" s="36" t="str">
        <f>IFERROR(INDEX($AM$11:$AM$4010,MATCH($S$8&amp;"|"&amp;10,$BA$11:$BA$4010,0)),"")</f>
        <v/>
      </c>
      <c r="BN22" s="36" t="str">
        <f>IFERROR(INDEX($AP$11:$AP$4010,MATCH($S$8&amp;"|"&amp;10,$BA$11:$BA$4010,0)),"")</f>
        <v/>
      </c>
      <c r="BO22" s="36" t="str">
        <f>IFERROR(INDEX($AQ$11:$AQ$4010,MATCH($S$8&amp;"|"&amp;10,$BA$11:$BA$4010,0)),"")</f>
        <v/>
      </c>
      <c r="BP22" s="37" t="str">
        <f>IFERROR(INDEX($AN$11:$AN$4010,MATCH($S$8&amp;"|"&amp;10,$BA$11:$BA$4010,0)),"")</f>
        <v/>
      </c>
      <c r="BQ22" s="37" t="str">
        <f>IFERROR(INDEX($AO$11:$AO$4010,MATCH($S$8&amp;"|"&amp;10,$BA$11:$BA$4010,0)),"")</f>
        <v/>
      </c>
    </row>
    <row r="23" spans="2:69" ht="13.5" customHeight="1" x14ac:dyDescent="0.25">
      <c r="B23" s="5" t="str">
        <f t="shared" si="0"/>
        <v/>
      </c>
      <c r="C23" s="5"/>
      <c r="D23" s="5"/>
      <c r="E23" s="5"/>
      <c r="F23" s="6"/>
      <c r="G23" s="6"/>
      <c r="H23" s="7"/>
      <c r="I23" s="8"/>
      <c r="K23" s="9" t="str">
        <f>IFERROR(INDEX($AL$11:$AL$4010,MATCH(13,$AX$11:$AX$4010,0)),"")</f>
        <v/>
      </c>
      <c r="L23" s="10" t="str">
        <f t="shared" si="1"/>
        <v/>
      </c>
      <c r="M23" s="11" t="str">
        <f t="shared" si="2"/>
        <v/>
      </c>
      <c r="N23" s="11" t="str">
        <f t="shared" si="3"/>
        <v/>
      </c>
      <c r="P23" s="12" t="str">
        <f>IFERROR(INDEX($AM$11:$AM$4010,MATCH($S$8&amp;"|"&amp;13,$BA$11:$BA$4010,0)),"")</f>
        <v/>
      </c>
      <c r="Q23" s="11" t="str">
        <f>IF(P23="","",IFERROR(INDEX($AN$11:$AN$4010,MATCH($S$8&amp;"|"&amp;13,$BA$11:$BA$4010,0)),""))</f>
        <v/>
      </c>
      <c r="R23" s="11" t="str">
        <f>IF(P23="","",IFERROR(INDEX($AO$11:$AO$4010,MATCH($S$8&amp;"|"&amp;13,$BA$11:$BA$4010,0)),""))</f>
        <v/>
      </c>
      <c r="S23" s="10" t="str">
        <f>IF(P23="","",IFERROR(INDEX($AP$11:$AP$4010,MATCH($S$8&amp;"|"&amp;13,$BA$11:$BA$4010,0)),""))</f>
        <v/>
      </c>
      <c r="T23" s="10" t="str">
        <f>IF(P23="","",IFERROR(INDEX($AQ$11:$AQ$4010,MATCH($S$8&amp;"|"&amp;13,$BA$11:$BA$4010,0)),""))</f>
        <v/>
      </c>
      <c r="U23" s="39" t="str">
        <f t="shared" si="4"/>
        <v/>
      </c>
      <c r="W23" s="14" t="str">
        <f>IF(X23="","",IFERROR(INDEX($AL$11:$AL$4010,MATCH(13,$AY$11:$AY$4010,0)),""))</f>
        <v/>
      </c>
      <c r="X23" s="12" t="str">
        <f>IFERROR(INDEX($AM$11:$AM$4010,MATCH(13,$AY$11:$AY$4010,0)),"")</f>
        <v/>
      </c>
      <c r="Y23" s="11" t="str">
        <f>IF(X23="","",IFERROR(INDEX($AN$11:$AN$4010,MATCH(13,$AY$11:$AY$4010,0)),""))</f>
        <v/>
      </c>
      <c r="Z23" s="11" t="str">
        <f>IF(X23="","",IFERROR(INDEX($AO$11:$AO$4010,MATCH(13,$AY$11:$AY$4010,0)),""))</f>
        <v/>
      </c>
      <c r="AA23" s="10" t="str">
        <f>IF(X23="","",IFERROR(INDEX($AQ$11:$AQ$4010,MATCH(13,$AY$11:$AY$4010,0)),""))</f>
        <v/>
      </c>
      <c r="AB23" s="15" t="str">
        <f>IF(X23="","",IFERROR(INDEX($AR$11:$AR$4010,MATCH(13,$AY$11:$AY$4010,0)),""))</f>
        <v/>
      </c>
      <c r="AD23" s="16" t="str">
        <f>IF(AE23="","",IFERROR(INDEX($AL$11:$AL$4010,MATCH(13,$AZ$11:$AZ$4010,0)),""))</f>
        <v/>
      </c>
      <c r="AE23" s="12" t="str">
        <f>IFERROR(INDEX($AM$11:$AM$4010,MATCH(13,$AZ$11:$AZ$4010,0)),"")</f>
        <v/>
      </c>
      <c r="AF23" s="11" t="str">
        <f>IF(AE23="","",IFERROR(INDEX($AN$11:$AN$4010,MATCH(13,$AZ$11:$AZ$4010,0)),""))</f>
        <v/>
      </c>
      <c r="AG23" s="11" t="str">
        <f>IF(AE23="","",IFERROR(INDEX($AO$11:$AO$4010,MATCH(13,$AZ$11:$AZ$4010,0)),""))</f>
        <v/>
      </c>
      <c r="AH23" s="10" t="str">
        <f>IF(AE23="","",IFERROR(INDEX($AQ$11:$AQ$4010,MATCH(13,$AZ$11:$AZ$4010,0)),""))</f>
        <v/>
      </c>
      <c r="AI23" s="15" t="str">
        <f>IF(AE23="","",IFERROR(INDEX($AR$11:$AR$4010,MATCH(13,$AZ$11:$AZ$4010,0)),""))</f>
        <v/>
      </c>
      <c r="AJ23" s="15" t="str">
        <f>IF(AE23="","",IFERROR(INDEX($AT$11:$AT$4010,MATCH(13,$AZ$11:$AZ$4010,0)),""))</f>
        <v/>
      </c>
      <c r="AL23" s="17" t="str">
        <f t="shared" si="5"/>
        <v/>
      </c>
      <c r="AM23" s="12" t="str">
        <f t="shared" si="6"/>
        <v/>
      </c>
      <c r="AN23" s="18" t="str">
        <f t="shared" si="7"/>
        <v/>
      </c>
      <c r="AO23" s="18" t="str">
        <f t="shared" si="8"/>
        <v/>
      </c>
      <c r="AP23" s="10" t="str">
        <f t="shared" si="9"/>
        <v/>
      </c>
      <c r="AQ23" s="10" t="str">
        <f t="shared" si="10"/>
        <v/>
      </c>
      <c r="AR23" s="19" t="str">
        <f t="shared" si="11"/>
        <v/>
      </c>
      <c r="AS23" s="20"/>
      <c r="AT23" s="19"/>
      <c r="AV23" s="21">
        <f>IF(AND($AL23&lt;&gt;"",COUNTIF($AL$11:$AL23,$AL23)=1),1,0)</f>
        <v>0</v>
      </c>
      <c r="AW23" s="21">
        <f t="shared" si="13"/>
        <v>2</v>
      </c>
      <c r="AX23" s="21" t="str">
        <f t="shared" si="12"/>
        <v/>
      </c>
      <c r="AY23" s="21" t="str">
        <f>IF(AND($AM23&lt;&gt;"",$AS23&lt;&gt;"✓"),SUMPRODUCT(($AM$11:$AM23&lt;&gt;"")*($AS$11:$AS23&lt;&gt;"✓")),"")</f>
        <v/>
      </c>
      <c r="AZ23" s="21" t="str">
        <f>IF(AND($AM23&lt;&gt;"",$AS23="✓"),SUMPRODUCT(($AM$11:$AM23&lt;&gt;"")*($AS$11:$AS23="✓")),"")</f>
        <v/>
      </c>
      <c r="BA23" s="21" t="str">
        <f>IF($AL23="","",$AL23&amp;"|"&amp;COUNTIF($AL$11:$AL23,$AL23))</f>
        <v/>
      </c>
      <c r="BD23" s="36" t="str">
        <f>IF(IFERROR(INDEX($AM$11:$AM$4010,MATCH($S$8&amp;"|"&amp;11,$BA$11:$BA$4010,0)),"")="","",11)</f>
        <v/>
      </c>
      <c r="BE23" s="36" t="str">
        <f>IFERROR(INDEX($AM$11:$AM$4010,MATCH($S$8&amp;"|"&amp;11,$BA$11:$BA$4010,0)),"")</f>
        <v/>
      </c>
      <c r="BF23" s="36" t="str">
        <f>IFERROR(INDEX($AP$11:$AP$4010,MATCH($S$8&amp;"|"&amp;11,$BA$11:$BA$4010,0)),"")</f>
        <v/>
      </c>
      <c r="BG23" s="36" t="str">
        <f>IFERROR(INDEX($AQ$11:$AQ$4010,MATCH($S$8&amp;"|"&amp;11,$BA$11:$BA$4010,0)),"")</f>
        <v/>
      </c>
      <c r="BH23" s="37" t="str">
        <f>IFERROR(INDEX($AN$11:$AN$4010,MATCH($S$8&amp;"|"&amp;11,$BA$11:$BA$4010,0)),"")</f>
        <v/>
      </c>
      <c r="BI23" s="37" t="str">
        <f>IFERROR(INDEX($AO$11:$AO$4010,MATCH($S$8&amp;"|"&amp;11,$BA$11:$BA$4010,0)),"")</f>
        <v/>
      </c>
      <c r="BL23" s="36" t="str">
        <f>IF(IFERROR(INDEX($AM$11:$AM$4010,MATCH($S$8&amp;"|"&amp;11,$BA$11:$BA$4010,0)),"")="","",11)</f>
        <v/>
      </c>
      <c r="BM23" s="36" t="str">
        <f>IFERROR(INDEX($AM$11:$AM$4010,MATCH($S$8&amp;"|"&amp;11,$BA$11:$BA$4010,0)),"")</f>
        <v/>
      </c>
      <c r="BN23" s="36" t="str">
        <f>IFERROR(INDEX($AP$11:$AP$4010,MATCH($S$8&amp;"|"&amp;11,$BA$11:$BA$4010,0)),"")</f>
        <v/>
      </c>
      <c r="BO23" s="36" t="str">
        <f>IFERROR(INDEX($AQ$11:$AQ$4010,MATCH($S$8&amp;"|"&amp;11,$BA$11:$BA$4010,0)),"")</f>
        <v/>
      </c>
      <c r="BP23" s="37" t="str">
        <f>IFERROR(INDEX($AN$11:$AN$4010,MATCH($S$8&amp;"|"&amp;11,$BA$11:$BA$4010,0)),"")</f>
        <v/>
      </c>
      <c r="BQ23" s="37" t="str">
        <f>IFERROR(INDEX($AO$11:$AO$4010,MATCH($S$8&amp;"|"&amp;11,$BA$11:$BA$4010,0)),"")</f>
        <v/>
      </c>
    </row>
    <row r="24" spans="2:69" ht="13.5" customHeight="1" x14ac:dyDescent="0.25">
      <c r="B24" s="5" t="str">
        <f t="shared" si="0"/>
        <v/>
      </c>
      <c r="C24" s="5"/>
      <c r="D24" s="5"/>
      <c r="E24" s="5"/>
      <c r="F24" s="6"/>
      <c r="G24" s="6"/>
      <c r="H24" s="7"/>
      <c r="I24" s="8"/>
      <c r="K24" s="23" t="str">
        <f>IFERROR(INDEX($AL$11:$AL$4010,MATCH(14,$AX$11:$AX$4010,0)),"")</f>
        <v/>
      </c>
      <c r="L24" s="24" t="str">
        <f t="shared" si="1"/>
        <v/>
      </c>
      <c r="M24" s="25" t="str">
        <f t="shared" si="2"/>
        <v/>
      </c>
      <c r="N24" s="25" t="str">
        <f t="shared" si="3"/>
        <v/>
      </c>
      <c r="P24" s="26" t="str">
        <f>IFERROR(INDEX($AM$11:$AM$4010,MATCH($S$8&amp;"|"&amp;14,$BA$11:$BA$4010,0)),"")</f>
        <v/>
      </c>
      <c r="Q24" s="25" t="str">
        <f>IF(P24="","",IFERROR(INDEX($AN$11:$AN$4010,MATCH($S$8&amp;"|"&amp;14,$BA$11:$BA$4010,0)),""))</f>
        <v/>
      </c>
      <c r="R24" s="25" t="str">
        <f>IF(P24="","",IFERROR(INDEX($AO$11:$AO$4010,MATCH($S$8&amp;"|"&amp;14,$BA$11:$BA$4010,0)),""))</f>
        <v/>
      </c>
      <c r="S24" s="24" t="str">
        <f>IF(P24="","",IFERROR(INDEX($AP$11:$AP$4010,MATCH($S$8&amp;"|"&amp;14,$BA$11:$BA$4010,0)),""))</f>
        <v/>
      </c>
      <c r="T24" s="24" t="str">
        <f>IF(P24="","",IFERROR(INDEX($AQ$11:$AQ$4010,MATCH($S$8&amp;"|"&amp;14,$BA$11:$BA$4010,0)),""))</f>
        <v/>
      </c>
      <c r="U24" s="38" t="str">
        <f t="shared" si="4"/>
        <v/>
      </c>
      <c r="W24" s="28" t="str">
        <f>IF(X24="","",IFERROR(INDEX($AL$11:$AL$4010,MATCH(14,$AY$11:$AY$4010,0)),""))</f>
        <v/>
      </c>
      <c r="X24" s="26" t="str">
        <f>IFERROR(INDEX($AM$11:$AM$4010,MATCH(14,$AY$11:$AY$4010,0)),"")</f>
        <v/>
      </c>
      <c r="Y24" s="25" t="str">
        <f>IF(X24="","",IFERROR(INDEX($AN$11:$AN$4010,MATCH(14,$AY$11:$AY$4010,0)),""))</f>
        <v/>
      </c>
      <c r="Z24" s="25" t="str">
        <f>IF(X24="","",IFERROR(INDEX($AO$11:$AO$4010,MATCH(14,$AY$11:$AY$4010,0)),""))</f>
        <v/>
      </c>
      <c r="AA24" s="24" t="str">
        <f>IF(X24="","",IFERROR(INDEX($AQ$11:$AQ$4010,MATCH(14,$AY$11:$AY$4010,0)),""))</f>
        <v/>
      </c>
      <c r="AB24" s="29" t="str">
        <f>IF(X24="","",IFERROR(INDEX($AR$11:$AR$4010,MATCH(14,$AY$11:$AY$4010,0)),""))</f>
        <v/>
      </c>
      <c r="AD24" s="30" t="str">
        <f>IF(AE24="","",IFERROR(INDEX($AL$11:$AL$4010,MATCH(14,$AZ$11:$AZ$4010,0)),""))</f>
        <v/>
      </c>
      <c r="AE24" s="26" t="str">
        <f>IFERROR(INDEX($AM$11:$AM$4010,MATCH(14,$AZ$11:$AZ$4010,0)),"")</f>
        <v/>
      </c>
      <c r="AF24" s="25" t="str">
        <f>IF(AE24="","",IFERROR(INDEX($AN$11:$AN$4010,MATCH(14,$AZ$11:$AZ$4010,0)),""))</f>
        <v/>
      </c>
      <c r="AG24" s="25" t="str">
        <f>IF(AE24="","",IFERROR(INDEX($AO$11:$AO$4010,MATCH(14,$AZ$11:$AZ$4010,0)),""))</f>
        <v/>
      </c>
      <c r="AH24" s="24" t="str">
        <f>IF(AE24="","",IFERROR(INDEX($AQ$11:$AQ$4010,MATCH(14,$AZ$11:$AZ$4010,0)),""))</f>
        <v/>
      </c>
      <c r="AI24" s="29" t="str">
        <f>IF(AE24="","",IFERROR(INDEX($AR$11:$AR$4010,MATCH(14,$AZ$11:$AZ$4010,0)),""))</f>
        <v/>
      </c>
      <c r="AJ24" s="29" t="str">
        <f>IF(AE24="","",IFERROR(INDEX($AT$11:$AT$4010,MATCH(14,$AZ$11:$AZ$4010,0)),""))</f>
        <v/>
      </c>
      <c r="AL24" s="31" t="str">
        <f t="shared" si="5"/>
        <v/>
      </c>
      <c r="AM24" s="26" t="str">
        <f t="shared" si="6"/>
        <v/>
      </c>
      <c r="AN24" s="32" t="str">
        <f t="shared" si="7"/>
        <v/>
      </c>
      <c r="AO24" s="32" t="str">
        <f t="shared" si="8"/>
        <v/>
      </c>
      <c r="AP24" s="24" t="str">
        <f t="shared" si="9"/>
        <v/>
      </c>
      <c r="AQ24" s="24" t="str">
        <f t="shared" si="10"/>
        <v/>
      </c>
      <c r="AR24" s="33" t="str">
        <f t="shared" si="11"/>
        <v/>
      </c>
      <c r="AS24" s="34"/>
      <c r="AT24" s="33"/>
      <c r="AV24" s="21">
        <f>IF(AND($AL24&lt;&gt;"",COUNTIF($AL$11:$AL24,$AL24)=1),1,0)</f>
        <v>0</v>
      </c>
      <c r="AW24" s="21">
        <f t="shared" si="13"/>
        <v>2</v>
      </c>
      <c r="AX24" s="21" t="str">
        <f t="shared" si="12"/>
        <v/>
      </c>
      <c r="AY24" s="21" t="str">
        <f>IF(AND($AM24&lt;&gt;"",$AS24&lt;&gt;"✓"),SUMPRODUCT(($AM$11:$AM24&lt;&gt;"")*($AS$11:$AS24&lt;&gt;"✓")),"")</f>
        <v/>
      </c>
      <c r="AZ24" s="21" t="str">
        <f>IF(AND($AM24&lt;&gt;"",$AS24="✓"),SUMPRODUCT(($AM$11:$AM24&lt;&gt;"")*($AS$11:$AS24="✓")),"")</f>
        <v/>
      </c>
      <c r="BA24" s="21" t="str">
        <f>IF($AL24="","",$AL24&amp;"|"&amp;COUNTIF($AL$11:$AL24,$AL24))</f>
        <v/>
      </c>
      <c r="BD24" s="36" t="str">
        <f>IF(IFERROR(INDEX($AM$11:$AM$4010,MATCH($S$8&amp;"|"&amp;12,$BA$11:$BA$4010,0)),"")="","",12)</f>
        <v/>
      </c>
      <c r="BE24" s="36" t="str">
        <f>IFERROR(INDEX($AM$11:$AM$4010,MATCH($S$8&amp;"|"&amp;12,$BA$11:$BA$4010,0)),"")</f>
        <v/>
      </c>
      <c r="BF24" s="36" t="str">
        <f>IFERROR(INDEX($AP$11:$AP$4010,MATCH($S$8&amp;"|"&amp;12,$BA$11:$BA$4010,0)),"")</f>
        <v/>
      </c>
      <c r="BG24" s="36" t="str">
        <f>IFERROR(INDEX($AQ$11:$AQ$4010,MATCH($S$8&amp;"|"&amp;12,$BA$11:$BA$4010,0)),"")</f>
        <v/>
      </c>
      <c r="BH24" s="37" t="str">
        <f>IFERROR(INDEX($AN$11:$AN$4010,MATCH($S$8&amp;"|"&amp;12,$BA$11:$BA$4010,0)),"")</f>
        <v/>
      </c>
      <c r="BI24" s="37" t="str">
        <f>IFERROR(INDEX($AO$11:$AO$4010,MATCH($S$8&amp;"|"&amp;12,$BA$11:$BA$4010,0)),"")</f>
        <v/>
      </c>
      <c r="BL24" s="36" t="str">
        <f>IF(IFERROR(INDEX($AM$11:$AM$4010,MATCH($S$8&amp;"|"&amp;12,$BA$11:$BA$4010,0)),"")="","",12)</f>
        <v/>
      </c>
      <c r="BM24" s="36" t="str">
        <f>IFERROR(INDEX($AM$11:$AM$4010,MATCH($S$8&amp;"|"&amp;12,$BA$11:$BA$4010,0)),"")</f>
        <v/>
      </c>
      <c r="BN24" s="36" t="str">
        <f>IFERROR(INDEX($AP$11:$AP$4010,MATCH($S$8&amp;"|"&amp;12,$BA$11:$BA$4010,0)),"")</f>
        <v/>
      </c>
      <c r="BO24" s="36" t="str">
        <f>IFERROR(INDEX($AQ$11:$AQ$4010,MATCH($S$8&amp;"|"&amp;12,$BA$11:$BA$4010,0)),"")</f>
        <v/>
      </c>
      <c r="BP24" s="37" t="str">
        <f>IFERROR(INDEX($AN$11:$AN$4010,MATCH($S$8&amp;"|"&amp;12,$BA$11:$BA$4010,0)),"")</f>
        <v/>
      </c>
      <c r="BQ24" s="37" t="str">
        <f>IFERROR(INDEX($AO$11:$AO$4010,MATCH($S$8&amp;"|"&amp;12,$BA$11:$BA$4010,0)),"")</f>
        <v/>
      </c>
    </row>
    <row r="25" spans="2:69" ht="13.5" customHeight="1" x14ac:dyDescent="0.25">
      <c r="B25" s="5" t="str">
        <f t="shared" si="0"/>
        <v/>
      </c>
      <c r="C25" s="5"/>
      <c r="D25" s="5"/>
      <c r="E25" s="5"/>
      <c r="F25" s="6"/>
      <c r="G25" s="6"/>
      <c r="H25" s="7"/>
      <c r="I25" s="8"/>
      <c r="K25" s="9" t="str">
        <f>IFERROR(INDEX($AL$11:$AL$4010,MATCH(15,$AX$11:$AX$4010,0)),"")</f>
        <v/>
      </c>
      <c r="L25" s="10" t="str">
        <f t="shared" si="1"/>
        <v/>
      </c>
      <c r="M25" s="11" t="str">
        <f t="shared" si="2"/>
        <v/>
      </c>
      <c r="N25" s="11" t="str">
        <f t="shared" si="3"/>
        <v/>
      </c>
      <c r="P25" s="12" t="str">
        <f>IFERROR(INDEX($AM$11:$AM$4010,MATCH($S$8&amp;"|"&amp;15,$BA$11:$BA$4010,0)),"")</f>
        <v/>
      </c>
      <c r="Q25" s="11" t="str">
        <f>IF(P25="","",IFERROR(INDEX($AN$11:$AN$4010,MATCH($S$8&amp;"|"&amp;15,$BA$11:$BA$4010,0)),""))</f>
        <v/>
      </c>
      <c r="R25" s="11" t="str">
        <f>IF(P25="","",IFERROR(INDEX($AO$11:$AO$4010,MATCH($S$8&amp;"|"&amp;15,$BA$11:$BA$4010,0)),""))</f>
        <v/>
      </c>
      <c r="S25" s="10" t="str">
        <f>IF(P25="","",IFERROR(INDEX($AP$11:$AP$4010,MATCH($S$8&amp;"|"&amp;15,$BA$11:$BA$4010,0)),""))</f>
        <v/>
      </c>
      <c r="T25" s="10" t="str">
        <f>IF(P25="","",IFERROR(INDEX($AQ$11:$AQ$4010,MATCH($S$8&amp;"|"&amp;15,$BA$11:$BA$4010,0)),""))</f>
        <v/>
      </c>
      <c r="U25" s="39" t="str">
        <f t="shared" si="4"/>
        <v/>
      </c>
      <c r="W25" s="14" t="str">
        <f>IF(X25="","",IFERROR(INDEX($AL$11:$AL$4010,MATCH(15,$AY$11:$AY$4010,0)),""))</f>
        <v/>
      </c>
      <c r="X25" s="12" t="str">
        <f>IFERROR(INDEX($AM$11:$AM$4010,MATCH(15,$AY$11:$AY$4010,0)),"")</f>
        <v/>
      </c>
      <c r="Y25" s="11" t="str">
        <f>IF(X25="","",IFERROR(INDEX($AN$11:$AN$4010,MATCH(15,$AY$11:$AY$4010,0)),""))</f>
        <v/>
      </c>
      <c r="Z25" s="11" t="str">
        <f>IF(X25="","",IFERROR(INDEX($AO$11:$AO$4010,MATCH(15,$AY$11:$AY$4010,0)),""))</f>
        <v/>
      </c>
      <c r="AA25" s="10" t="str">
        <f>IF(X25="","",IFERROR(INDEX($AQ$11:$AQ$4010,MATCH(15,$AY$11:$AY$4010,0)),""))</f>
        <v/>
      </c>
      <c r="AB25" s="15" t="str">
        <f>IF(X25="","",IFERROR(INDEX($AR$11:$AR$4010,MATCH(15,$AY$11:$AY$4010,0)),""))</f>
        <v/>
      </c>
      <c r="AD25" s="16" t="str">
        <f>IF(AE25="","",IFERROR(INDEX($AL$11:$AL$4010,MATCH(15,$AZ$11:$AZ$4010,0)),""))</f>
        <v/>
      </c>
      <c r="AE25" s="12" t="str">
        <f>IFERROR(INDEX($AM$11:$AM$4010,MATCH(15,$AZ$11:$AZ$4010,0)),"")</f>
        <v/>
      </c>
      <c r="AF25" s="11" t="str">
        <f>IF(AE25="","",IFERROR(INDEX($AN$11:$AN$4010,MATCH(15,$AZ$11:$AZ$4010,0)),""))</f>
        <v/>
      </c>
      <c r="AG25" s="11" t="str">
        <f>IF(AE25="","",IFERROR(INDEX($AO$11:$AO$4010,MATCH(15,$AZ$11:$AZ$4010,0)),""))</f>
        <v/>
      </c>
      <c r="AH25" s="10" t="str">
        <f>IF(AE25="","",IFERROR(INDEX($AQ$11:$AQ$4010,MATCH(15,$AZ$11:$AZ$4010,0)),""))</f>
        <v/>
      </c>
      <c r="AI25" s="15" t="str">
        <f>IF(AE25="","",IFERROR(INDEX($AR$11:$AR$4010,MATCH(15,$AZ$11:$AZ$4010,0)),""))</f>
        <v/>
      </c>
      <c r="AJ25" s="15" t="str">
        <f>IF(AE25="","",IFERROR(INDEX($AT$11:$AT$4010,MATCH(15,$AZ$11:$AZ$4010,0)),""))</f>
        <v/>
      </c>
      <c r="AL25" s="17" t="str">
        <f t="shared" si="5"/>
        <v/>
      </c>
      <c r="AM25" s="12" t="str">
        <f t="shared" si="6"/>
        <v/>
      </c>
      <c r="AN25" s="18" t="str">
        <f t="shared" si="7"/>
        <v/>
      </c>
      <c r="AO25" s="18" t="str">
        <f t="shared" si="8"/>
        <v/>
      </c>
      <c r="AP25" s="10" t="str">
        <f t="shared" si="9"/>
        <v/>
      </c>
      <c r="AQ25" s="10" t="str">
        <f t="shared" si="10"/>
        <v/>
      </c>
      <c r="AR25" s="19" t="str">
        <f t="shared" si="11"/>
        <v/>
      </c>
      <c r="AS25" s="20"/>
      <c r="AT25" s="19"/>
      <c r="AV25" s="21">
        <f>IF(AND($AL25&lt;&gt;"",COUNTIF($AL$11:$AL25,$AL25)=1),1,0)</f>
        <v>0</v>
      </c>
      <c r="AW25" s="21">
        <f t="shared" si="13"/>
        <v>2</v>
      </c>
      <c r="AX25" s="21" t="str">
        <f t="shared" si="12"/>
        <v/>
      </c>
      <c r="AY25" s="21" t="str">
        <f>IF(AND($AM25&lt;&gt;"",$AS25&lt;&gt;"✓"),SUMPRODUCT(($AM$11:$AM25&lt;&gt;"")*($AS$11:$AS25&lt;&gt;"✓")),"")</f>
        <v/>
      </c>
      <c r="AZ25" s="21" t="str">
        <f>IF(AND($AM25&lt;&gt;"",$AS25="✓"),SUMPRODUCT(($AM$11:$AM25&lt;&gt;"")*($AS$11:$AS25="✓")),"")</f>
        <v/>
      </c>
      <c r="BA25" s="21" t="str">
        <f>IF($AL25="","",$AL25&amp;"|"&amp;COUNTIF($AL$11:$AL25,$AL25))</f>
        <v/>
      </c>
      <c r="BD25" s="36" t="str">
        <f>IF(IFERROR(INDEX($AM$11:$AM$4010,MATCH($S$8&amp;"|"&amp;13,$BA$11:$BA$4010,0)),"")="","",13)</f>
        <v/>
      </c>
      <c r="BE25" s="36" t="str">
        <f>IFERROR(INDEX($AM$11:$AM$4010,MATCH($S$8&amp;"|"&amp;13,$BA$11:$BA$4010,0)),"")</f>
        <v/>
      </c>
      <c r="BF25" s="36" t="str">
        <f>IFERROR(INDEX($AP$11:$AP$4010,MATCH($S$8&amp;"|"&amp;13,$BA$11:$BA$4010,0)),"")</f>
        <v/>
      </c>
      <c r="BG25" s="36" t="str">
        <f>IFERROR(INDEX($AQ$11:$AQ$4010,MATCH($S$8&amp;"|"&amp;13,$BA$11:$BA$4010,0)),"")</f>
        <v/>
      </c>
      <c r="BH25" s="37" t="str">
        <f>IFERROR(INDEX($AN$11:$AN$4010,MATCH($S$8&amp;"|"&amp;13,$BA$11:$BA$4010,0)),"")</f>
        <v/>
      </c>
      <c r="BI25" s="37" t="str">
        <f>IFERROR(INDEX($AO$11:$AO$4010,MATCH($S$8&amp;"|"&amp;13,$BA$11:$BA$4010,0)),"")</f>
        <v/>
      </c>
      <c r="BL25" s="36" t="str">
        <f>IF(IFERROR(INDEX($AM$11:$AM$4010,MATCH($S$8&amp;"|"&amp;13,$BA$11:$BA$4010,0)),"")="","",13)</f>
        <v/>
      </c>
      <c r="BM25" s="36" t="str">
        <f>IFERROR(INDEX($AM$11:$AM$4010,MATCH($S$8&amp;"|"&amp;13,$BA$11:$BA$4010,0)),"")</f>
        <v/>
      </c>
      <c r="BN25" s="36" t="str">
        <f>IFERROR(INDEX($AP$11:$AP$4010,MATCH($S$8&amp;"|"&amp;13,$BA$11:$BA$4010,0)),"")</f>
        <v/>
      </c>
      <c r="BO25" s="36" t="str">
        <f>IFERROR(INDEX($AQ$11:$AQ$4010,MATCH($S$8&amp;"|"&amp;13,$BA$11:$BA$4010,0)),"")</f>
        <v/>
      </c>
      <c r="BP25" s="37" t="str">
        <f>IFERROR(INDEX($AN$11:$AN$4010,MATCH($S$8&amp;"|"&amp;13,$BA$11:$BA$4010,0)),"")</f>
        <v/>
      </c>
      <c r="BQ25" s="37" t="str">
        <f>IFERROR(INDEX($AO$11:$AO$4010,MATCH($S$8&amp;"|"&amp;13,$BA$11:$BA$4010,0)),"")</f>
        <v/>
      </c>
    </row>
    <row r="26" spans="2:69" ht="13.5" customHeight="1" x14ac:dyDescent="0.25">
      <c r="B26" s="5" t="str">
        <f t="shared" si="0"/>
        <v/>
      </c>
      <c r="C26" s="5"/>
      <c r="D26" s="5"/>
      <c r="E26" s="5"/>
      <c r="F26" s="6"/>
      <c r="G26" s="6"/>
      <c r="H26" s="7"/>
      <c r="I26" s="8"/>
      <c r="K26" s="23" t="str">
        <f>IFERROR(INDEX($AL$11:$AL$4010,MATCH(16,$AX$11:$AX$4010,0)),"")</f>
        <v/>
      </c>
      <c r="L26" s="24" t="str">
        <f t="shared" si="1"/>
        <v/>
      </c>
      <c r="M26" s="25" t="str">
        <f t="shared" si="2"/>
        <v/>
      </c>
      <c r="N26" s="25" t="str">
        <f t="shared" si="3"/>
        <v/>
      </c>
      <c r="P26" s="26" t="str">
        <f>IFERROR(INDEX($AM$11:$AM$4010,MATCH($S$8&amp;"|"&amp;16,$BA$11:$BA$4010,0)),"")</f>
        <v/>
      </c>
      <c r="Q26" s="25" t="str">
        <f>IF(P26="","",IFERROR(INDEX($AN$11:$AN$4010,MATCH($S$8&amp;"|"&amp;16,$BA$11:$BA$4010,0)),""))</f>
        <v/>
      </c>
      <c r="R26" s="25" t="str">
        <f>IF(P26="","",IFERROR(INDEX($AO$11:$AO$4010,MATCH($S$8&amp;"|"&amp;16,$BA$11:$BA$4010,0)),""))</f>
        <v/>
      </c>
      <c r="S26" s="24" t="str">
        <f>IF(P26="","",IFERROR(INDEX($AP$11:$AP$4010,MATCH($S$8&amp;"|"&amp;16,$BA$11:$BA$4010,0)),""))</f>
        <v/>
      </c>
      <c r="T26" s="24" t="str">
        <f>IF(P26="","",IFERROR(INDEX($AQ$11:$AQ$4010,MATCH($S$8&amp;"|"&amp;16,$BA$11:$BA$4010,0)),""))</f>
        <v/>
      </c>
      <c r="U26" s="38" t="str">
        <f t="shared" si="4"/>
        <v/>
      </c>
      <c r="W26" s="28" t="str">
        <f>IF(X26="","",IFERROR(INDEX($AL$11:$AL$4010,MATCH(16,$AY$11:$AY$4010,0)),""))</f>
        <v/>
      </c>
      <c r="X26" s="26" t="str">
        <f>IFERROR(INDEX($AM$11:$AM$4010,MATCH(16,$AY$11:$AY$4010,0)),"")</f>
        <v/>
      </c>
      <c r="Y26" s="25" t="str">
        <f>IF(X26="","",IFERROR(INDEX($AN$11:$AN$4010,MATCH(16,$AY$11:$AY$4010,0)),""))</f>
        <v/>
      </c>
      <c r="Z26" s="25" t="str">
        <f>IF(X26="","",IFERROR(INDEX($AO$11:$AO$4010,MATCH(16,$AY$11:$AY$4010,0)),""))</f>
        <v/>
      </c>
      <c r="AA26" s="24" t="str">
        <f>IF(X26="","",IFERROR(INDEX($AQ$11:$AQ$4010,MATCH(16,$AY$11:$AY$4010,0)),""))</f>
        <v/>
      </c>
      <c r="AB26" s="29" t="str">
        <f>IF(X26="","",IFERROR(INDEX($AR$11:$AR$4010,MATCH(16,$AY$11:$AY$4010,0)),""))</f>
        <v/>
      </c>
      <c r="AD26" s="30" t="str">
        <f>IF(AE26="","",IFERROR(INDEX($AL$11:$AL$4010,MATCH(16,$AZ$11:$AZ$4010,0)),""))</f>
        <v/>
      </c>
      <c r="AE26" s="26" t="str">
        <f>IFERROR(INDEX($AM$11:$AM$4010,MATCH(16,$AZ$11:$AZ$4010,0)),"")</f>
        <v/>
      </c>
      <c r="AF26" s="25" t="str">
        <f>IF(AE26="","",IFERROR(INDEX($AN$11:$AN$4010,MATCH(16,$AZ$11:$AZ$4010,0)),""))</f>
        <v/>
      </c>
      <c r="AG26" s="25" t="str">
        <f>IF(AE26="","",IFERROR(INDEX($AO$11:$AO$4010,MATCH(16,$AZ$11:$AZ$4010,0)),""))</f>
        <v/>
      </c>
      <c r="AH26" s="24" t="str">
        <f>IF(AE26="","",IFERROR(INDEX($AQ$11:$AQ$4010,MATCH(16,$AZ$11:$AZ$4010,0)),""))</f>
        <v/>
      </c>
      <c r="AI26" s="29" t="str">
        <f>IF(AE26="","",IFERROR(INDEX($AR$11:$AR$4010,MATCH(16,$AZ$11:$AZ$4010,0)),""))</f>
        <v/>
      </c>
      <c r="AJ26" s="29" t="str">
        <f>IF(AE26="","",IFERROR(INDEX($AT$11:$AT$4010,MATCH(16,$AZ$11:$AZ$4010,0)),""))</f>
        <v/>
      </c>
      <c r="AL26" s="31" t="str">
        <f t="shared" si="5"/>
        <v/>
      </c>
      <c r="AM26" s="26" t="str">
        <f t="shared" si="6"/>
        <v/>
      </c>
      <c r="AN26" s="32" t="str">
        <f t="shared" si="7"/>
        <v/>
      </c>
      <c r="AO26" s="32" t="str">
        <f t="shared" si="8"/>
        <v/>
      </c>
      <c r="AP26" s="24" t="str">
        <f t="shared" si="9"/>
        <v/>
      </c>
      <c r="AQ26" s="24" t="str">
        <f t="shared" si="10"/>
        <v/>
      </c>
      <c r="AR26" s="33" t="str">
        <f t="shared" si="11"/>
        <v/>
      </c>
      <c r="AS26" s="34"/>
      <c r="AT26" s="33"/>
      <c r="AV26" s="21">
        <f>IF(AND($AL26&lt;&gt;"",COUNTIF($AL$11:$AL26,$AL26)=1),1,0)</f>
        <v>0</v>
      </c>
      <c r="AW26" s="21">
        <f t="shared" si="13"/>
        <v>2</v>
      </c>
      <c r="AX26" s="21" t="str">
        <f t="shared" si="12"/>
        <v/>
      </c>
      <c r="AY26" s="21" t="str">
        <f>IF(AND($AM26&lt;&gt;"",$AS26&lt;&gt;"✓"),SUMPRODUCT(($AM$11:$AM26&lt;&gt;"")*($AS$11:$AS26&lt;&gt;"✓")),"")</f>
        <v/>
      </c>
      <c r="AZ26" s="21" t="str">
        <f>IF(AND($AM26&lt;&gt;"",$AS26="✓"),SUMPRODUCT(($AM$11:$AM26&lt;&gt;"")*($AS$11:$AS26="✓")),"")</f>
        <v/>
      </c>
      <c r="BA26" s="21" t="str">
        <f>IF($AL26="","",$AL26&amp;"|"&amp;COUNTIF($AL$11:$AL26,$AL26))</f>
        <v/>
      </c>
      <c r="BD26" s="36" t="str">
        <f>IF(IFERROR(INDEX($AM$11:$AM$4010,MATCH($S$8&amp;"|"&amp;14,$BA$11:$BA$4010,0)),"")="","",14)</f>
        <v/>
      </c>
      <c r="BE26" s="36" t="str">
        <f>IFERROR(INDEX($AM$11:$AM$4010,MATCH($S$8&amp;"|"&amp;14,$BA$11:$BA$4010,0)),"")</f>
        <v/>
      </c>
      <c r="BF26" s="36" t="str">
        <f>IFERROR(INDEX($AP$11:$AP$4010,MATCH($S$8&amp;"|"&amp;14,$BA$11:$BA$4010,0)),"")</f>
        <v/>
      </c>
      <c r="BG26" s="36" t="str">
        <f>IFERROR(INDEX($AQ$11:$AQ$4010,MATCH($S$8&amp;"|"&amp;14,$BA$11:$BA$4010,0)),"")</f>
        <v/>
      </c>
      <c r="BH26" s="37" t="str">
        <f>IFERROR(INDEX($AN$11:$AN$4010,MATCH($S$8&amp;"|"&amp;14,$BA$11:$BA$4010,0)),"")</f>
        <v/>
      </c>
      <c r="BI26" s="37" t="str">
        <f>IFERROR(INDEX($AO$11:$AO$4010,MATCH($S$8&amp;"|"&amp;14,$BA$11:$BA$4010,0)),"")</f>
        <v/>
      </c>
      <c r="BL26" s="36" t="str">
        <f>IF(IFERROR(INDEX($AM$11:$AM$4010,MATCH($S$8&amp;"|"&amp;14,$BA$11:$BA$4010,0)),"")="","",14)</f>
        <v/>
      </c>
      <c r="BM26" s="36" t="str">
        <f>IFERROR(INDEX($AM$11:$AM$4010,MATCH($S$8&amp;"|"&amp;14,$BA$11:$BA$4010,0)),"")</f>
        <v/>
      </c>
      <c r="BN26" s="36" t="str">
        <f>IFERROR(INDEX($AP$11:$AP$4010,MATCH($S$8&amp;"|"&amp;14,$BA$11:$BA$4010,0)),"")</f>
        <v/>
      </c>
      <c r="BO26" s="36" t="str">
        <f>IFERROR(INDEX($AQ$11:$AQ$4010,MATCH($S$8&amp;"|"&amp;14,$BA$11:$BA$4010,0)),"")</f>
        <v/>
      </c>
      <c r="BP26" s="37" t="str">
        <f>IFERROR(INDEX($AN$11:$AN$4010,MATCH($S$8&amp;"|"&amp;14,$BA$11:$BA$4010,0)),"")</f>
        <v/>
      </c>
      <c r="BQ26" s="37" t="str">
        <f>IFERROR(INDEX($AO$11:$AO$4010,MATCH($S$8&amp;"|"&amp;14,$BA$11:$BA$4010,0)),"")</f>
        <v/>
      </c>
    </row>
    <row r="27" spans="2:69" ht="13.5" customHeight="1" x14ac:dyDescent="0.25">
      <c r="B27" s="5" t="str">
        <f t="shared" si="0"/>
        <v/>
      </c>
      <c r="C27" s="5"/>
      <c r="D27" s="5"/>
      <c r="E27" s="5"/>
      <c r="F27" s="6"/>
      <c r="G27" s="6"/>
      <c r="H27" s="7"/>
      <c r="I27" s="8"/>
      <c r="K27" s="9" t="str">
        <f>IFERROR(INDEX($AL$11:$AL$4010,MATCH(17,$AX$11:$AX$4010,0)),"")</f>
        <v/>
      </c>
      <c r="L27" s="10" t="str">
        <f t="shared" si="1"/>
        <v/>
      </c>
      <c r="M27" s="11" t="str">
        <f t="shared" si="2"/>
        <v/>
      </c>
      <c r="N27" s="11" t="str">
        <f t="shared" si="3"/>
        <v/>
      </c>
      <c r="P27" s="12" t="str">
        <f>IFERROR(INDEX($AM$11:$AM$4010,MATCH($S$8&amp;"|"&amp;17,$BA$11:$BA$4010,0)),"")</f>
        <v/>
      </c>
      <c r="Q27" s="11" t="str">
        <f>IF(P27="","",IFERROR(INDEX($AN$11:$AN$4010,MATCH($S$8&amp;"|"&amp;17,$BA$11:$BA$4010,0)),""))</f>
        <v/>
      </c>
      <c r="R27" s="11" t="str">
        <f>IF(P27="","",IFERROR(INDEX($AO$11:$AO$4010,MATCH($S$8&amp;"|"&amp;17,$BA$11:$BA$4010,0)),""))</f>
        <v/>
      </c>
      <c r="S27" s="10" t="str">
        <f>IF(P27="","",IFERROR(INDEX($AP$11:$AP$4010,MATCH($S$8&amp;"|"&amp;17,$BA$11:$BA$4010,0)),""))</f>
        <v/>
      </c>
      <c r="T27" s="10" t="str">
        <f>IF(P27="","",IFERROR(INDEX($AQ$11:$AQ$4010,MATCH($S$8&amp;"|"&amp;17,$BA$11:$BA$4010,0)),""))</f>
        <v/>
      </c>
      <c r="U27" s="39" t="str">
        <f t="shared" si="4"/>
        <v/>
      </c>
      <c r="W27" s="14" t="str">
        <f>IF(X27="","",IFERROR(INDEX($AL$11:$AL$4010,MATCH(17,$AY$11:$AY$4010,0)),""))</f>
        <v/>
      </c>
      <c r="X27" s="12" t="str">
        <f>IFERROR(INDEX($AM$11:$AM$4010,MATCH(17,$AY$11:$AY$4010,0)),"")</f>
        <v/>
      </c>
      <c r="Y27" s="11" t="str">
        <f>IF(X27="","",IFERROR(INDEX($AN$11:$AN$4010,MATCH(17,$AY$11:$AY$4010,0)),""))</f>
        <v/>
      </c>
      <c r="Z27" s="11" t="str">
        <f>IF(X27="","",IFERROR(INDEX($AO$11:$AO$4010,MATCH(17,$AY$11:$AY$4010,0)),""))</f>
        <v/>
      </c>
      <c r="AA27" s="10" t="str">
        <f>IF(X27="","",IFERROR(INDEX($AQ$11:$AQ$4010,MATCH(17,$AY$11:$AY$4010,0)),""))</f>
        <v/>
      </c>
      <c r="AB27" s="15" t="str">
        <f>IF(X27="","",IFERROR(INDEX($AR$11:$AR$4010,MATCH(17,$AY$11:$AY$4010,0)),""))</f>
        <v/>
      </c>
      <c r="AD27" s="16" t="str">
        <f>IF(AE27="","",IFERROR(INDEX($AL$11:$AL$4010,MATCH(17,$AZ$11:$AZ$4010,0)),""))</f>
        <v/>
      </c>
      <c r="AE27" s="12" t="str">
        <f>IFERROR(INDEX($AM$11:$AM$4010,MATCH(17,$AZ$11:$AZ$4010,0)),"")</f>
        <v/>
      </c>
      <c r="AF27" s="11" t="str">
        <f>IF(AE27="","",IFERROR(INDEX($AN$11:$AN$4010,MATCH(17,$AZ$11:$AZ$4010,0)),""))</f>
        <v/>
      </c>
      <c r="AG27" s="11" t="str">
        <f>IF(AE27="","",IFERROR(INDEX($AO$11:$AO$4010,MATCH(17,$AZ$11:$AZ$4010,0)),""))</f>
        <v/>
      </c>
      <c r="AH27" s="10" t="str">
        <f>IF(AE27="","",IFERROR(INDEX($AQ$11:$AQ$4010,MATCH(17,$AZ$11:$AZ$4010,0)),""))</f>
        <v/>
      </c>
      <c r="AI27" s="15" t="str">
        <f>IF(AE27="","",IFERROR(INDEX($AR$11:$AR$4010,MATCH(17,$AZ$11:$AZ$4010,0)),""))</f>
        <v/>
      </c>
      <c r="AJ27" s="15" t="str">
        <f>IF(AE27="","",IFERROR(INDEX($AT$11:$AT$4010,MATCH(17,$AZ$11:$AZ$4010,0)),""))</f>
        <v/>
      </c>
      <c r="AL27" s="17" t="str">
        <f t="shared" si="5"/>
        <v/>
      </c>
      <c r="AM27" s="12" t="str">
        <f t="shared" si="6"/>
        <v/>
      </c>
      <c r="AN27" s="18" t="str">
        <f t="shared" si="7"/>
        <v/>
      </c>
      <c r="AO27" s="18" t="str">
        <f t="shared" si="8"/>
        <v/>
      </c>
      <c r="AP27" s="10" t="str">
        <f t="shared" si="9"/>
        <v/>
      </c>
      <c r="AQ27" s="10" t="str">
        <f t="shared" si="10"/>
        <v/>
      </c>
      <c r="AR27" s="19" t="str">
        <f t="shared" si="11"/>
        <v/>
      </c>
      <c r="AS27" s="20"/>
      <c r="AT27" s="19"/>
      <c r="AV27" s="21">
        <f>IF(AND($AL27&lt;&gt;"",COUNTIF($AL$11:$AL27,$AL27)=1),1,0)</f>
        <v>0</v>
      </c>
      <c r="AW27" s="21">
        <f t="shared" si="13"/>
        <v>2</v>
      </c>
      <c r="AX27" s="21" t="str">
        <f t="shared" si="12"/>
        <v/>
      </c>
      <c r="AY27" s="21" t="str">
        <f>IF(AND($AM27&lt;&gt;"",$AS27&lt;&gt;"✓"),SUMPRODUCT(($AM$11:$AM27&lt;&gt;"")*($AS$11:$AS27&lt;&gt;"✓")),"")</f>
        <v/>
      </c>
      <c r="AZ27" s="21" t="str">
        <f>IF(AND($AM27&lt;&gt;"",$AS27="✓"),SUMPRODUCT(($AM$11:$AM27&lt;&gt;"")*($AS$11:$AS27="✓")),"")</f>
        <v/>
      </c>
      <c r="BA27" s="21" t="str">
        <f>IF($AL27="","",$AL27&amp;"|"&amp;COUNTIF($AL$11:$AL27,$AL27))</f>
        <v/>
      </c>
      <c r="BD27" s="36" t="str">
        <f>IF(IFERROR(INDEX($AM$11:$AM$4010,MATCH($S$8&amp;"|"&amp;15,$BA$11:$BA$4010,0)),"")="","",15)</f>
        <v/>
      </c>
      <c r="BE27" s="36" t="str">
        <f>IFERROR(INDEX($AM$11:$AM$4010,MATCH($S$8&amp;"|"&amp;15,$BA$11:$BA$4010,0)),"")</f>
        <v/>
      </c>
      <c r="BF27" s="36" t="str">
        <f>IFERROR(INDEX($AP$11:$AP$4010,MATCH($S$8&amp;"|"&amp;15,$BA$11:$BA$4010,0)),"")</f>
        <v/>
      </c>
      <c r="BG27" s="36" t="str">
        <f>IFERROR(INDEX($AQ$11:$AQ$4010,MATCH($S$8&amp;"|"&amp;15,$BA$11:$BA$4010,0)),"")</f>
        <v/>
      </c>
      <c r="BH27" s="37" t="str">
        <f>IFERROR(INDEX($AN$11:$AN$4010,MATCH($S$8&amp;"|"&amp;15,$BA$11:$BA$4010,0)),"")</f>
        <v/>
      </c>
      <c r="BI27" s="37" t="str">
        <f>IFERROR(INDEX($AO$11:$AO$4010,MATCH($S$8&amp;"|"&amp;15,$BA$11:$BA$4010,0)),"")</f>
        <v/>
      </c>
      <c r="BL27" s="36" t="str">
        <f>IF(IFERROR(INDEX($AM$11:$AM$4010,MATCH($S$8&amp;"|"&amp;15,$BA$11:$BA$4010,0)),"")="","",15)</f>
        <v/>
      </c>
      <c r="BM27" s="36" t="str">
        <f>IFERROR(INDEX($AM$11:$AM$4010,MATCH($S$8&amp;"|"&amp;15,$BA$11:$BA$4010,0)),"")</f>
        <v/>
      </c>
      <c r="BN27" s="36" t="str">
        <f>IFERROR(INDEX($AP$11:$AP$4010,MATCH($S$8&amp;"|"&amp;15,$BA$11:$BA$4010,0)),"")</f>
        <v/>
      </c>
      <c r="BO27" s="36" t="str">
        <f>IFERROR(INDEX($AQ$11:$AQ$4010,MATCH($S$8&amp;"|"&amp;15,$BA$11:$BA$4010,0)),"")</f>
        <v/>
      </c>
      <c r="BP27" s="37" t="str">
        <f>IFERROR(INDEX($AN$11:$AN$4010,MATCH($S$8&amp;"|"&amp;15,$BA$11:$BA$4010,0)),"")</f>
        <v/>
      </c>
      <c r="BQ27" s="37" t="str">
        <f>IFERROR(INDEX($AO$11:$AO$4010,MATCH($S$8&amp;"|"&amp;15,$BA$11:$BA$4010,0)),"")</f>
        <v/>
      </c>
    </row>
    <row r="28" spans="2:69" ht="13.5" customHeight="1" x14ac:dyDescent="0.25">
      <c r="B28" s="5" t="str">
        <f t="shared" si="0"/>
        <v/>
      </c>
      <c r="C28" s="5"/>
      <c r="D28" s="5"/>
      <c r="E28" s="5"/>
      <c r="F28" s="6"/>
      <c r="G28" s="6"/>
      <c r="H28" s="7"/>
      <c r="I28" s="8"/>
      <c r="K28" s="23" t="str">
        <f>IFERROR(INDEX($AL$11:$AL$4010,MATCH(18,$AX$11:$AX$4010,0)),"")</f>
        <v/>
      </c>
      <c r="L28" s="24" t="str">
        <f t="shared" si="1"/>
        <v/>
      </c>
      <c r="M28" s="25" t="str">
        <f t="shared" si="2"/>
        <v/>
      </c>
      <c r="N28" s="25" t="str">
        <f t="shared" si="3"/>
        <v/>
      </c>
      <c r="P28" s="26" t="str">
        <f>IFERROR(INDEX($AM$11:$AM$4010,MATCH($S$8&amp;"|"&amp;18,$BA$11:$BA$4010,0)),"")</f>
        <v/>
      </c>
      <c r="Q28" s="25" t="str">
        <f>IF(P28="","",IFERROR(INDEX($AN$11:$AN$4010,MATCH($S$8&amp;"|"&amp;18,$BA$11:$BA$4010,0)),""))</f>
        <v/>
      </c>
      <c r="R28" s="25" t="str">
        <f>IF(P28="","",IFERROR(INDEX($AO$11:$AO$4010,MATCH($S$8&amp;"|"&amp;18,$BA$11:$BA$4010,0)),""))</f>
        <v/>
      </c>
      <c r="S28" s="24" t="str">
        <f>IF(P28="","",IFERROR(INDEX($AP$11:$AP$4010,MATCH($S$8&amp;"|"&amp;18,$BA$11:$BA$4010,0)),""))</f>
        <v/>
      </c>
      <c r="T28" s="24" t="str">
        <f>IF(P28="","",IFERROR(INDEX($AQ$11:$AQ$4010,MATCH($S$8&amp;"|"&amp;18,$BA$11:$BA$4010,0)),""))</f>
        <v/>
      </c>
      <c r="U28" s="38" t="str">
        <f t="shared" si="4"/>
        <v/>
      </c>
      <c r="W28" s="28" t="str">
        <f>IF(X28="","",IFERROR(INDEX($AL$11:$AL$4010,MATCH(18,$AY$11:$AY$4010,0)),""))</f>
        <v/>
      </c>
      <c r="X28" s="26" t="str">
        <f>IFERROR(INDEX($AM$11:$AM$4010,MATCH(18,$AY$11:$AY$4010,0)),"")</f>
        <v/>
      </c>
      <c r="Y28" s="25" t="str">
        <f>IF(X28="","",IFERROR(INDEX($AN$11:$AN$4010,MATCH(18,$AY$11:$AY$4010,0)),""))</f>
        <v/>
      </c>
      <c r="Z28" s="25" t="str">
        <f>IF(X28="","",IFERROR(INDEX($AO$11:$AO$4010,MATCH(18,$AY$11:$AY$4010,0)),""))</f>
        <v/>
      </c>
      <c r="AA28" s="24" t="str">
        <f>IF(X28="","",IFERROR(INDEX($AQ$11:$AQ$4010,MATCH(18,$AY$11:$AY$4010,0)),""))</f>
        <v/>
      </c>
      <c r="AB28" s="29" t="str">
        <f>IF(X28="","",IFERROR(INDEX($AR$11:$AR$4010,MATCH(18,$AY$11:$AY$4010,0)),""))</f>
        <v/>
      </c>
      <c r="AD28" s="30" t="str">
        <f>IF(AE28="","",IFERROR(INDEX($AL$11:$AL$4010,MATCH(18,$AZ$11:$AZ$4010,0)),""))</f>
        <v/>
      </c>
      <c r="AE28" s="26" t="str">
        <f>IFERROR(INDEX($AM$11:$AM$4010,MATCH(18,$AZ$11:$AZ$4010,0)),"")</f>
        <v/>
      </c>
      <c r="AF28" s="25" t="str">
        <f>IF(AE28="","",IFERROR(INDEX($AN$11:$AN$4010,MATCH(18,$AZ$11:$AZ$4010,0)),""))</f>
        <v/>
      </c>
      <c r="AG28" s="25" t="str">
        <f>IF(AE28="","",IFERROR(INDEX($AO$11:$AO$4010,MATCH(18,$AZ$11:$AZ$4010,0)),""))</f>
        <v/>
      </c>
      <c r="AH28" s="24" t="str">
        <f>IF(AE28="","",IFERROR(INDEX($AQ$11:$AQ$4010,MATCH(18,$AZ$11:$AZ$4010,0)),""))</f>
        <v/>
      </c>
      <c r="AI28" s="29" t="str">
        <f>IF(AE28="","",IFERROR(INDEX($AR$11:$AR$4010,MATCH(18,$AZ$11:$AZ$4010,0)),""))</f>
        <v/>
      </c>
      <c r="AJ28" s="29" t="str">
        <f>IF(AE28="","",IFERROR(INDEX($AT$11:$AT$4010,MATCH(18,$AZ$11:$AZ$4010,0)),""))</f>
        <v/>
      </c>
      <c r="AL28" s="31" t="str">
        <f t="shared" si="5"/>
        <v/>
      </c>
      <c r="AM28" s="26" t="str">
        <f t="shared" si="6"/>
        <v/>
      </c>
      <c r="AN28" s="32" t="str">
        <f t="shared" si="7"/>
        <v/>
      </c>
      <c r="AO28" s="32" t="str">
        <f t="shared" si="8"/>
        <v/>
      </c>
      <c r="AP28" s="24" t="str">
        <f t="shared" si="9"/>
        <v/>
      </c>
      <c r="AQ28" s="24" t="str">
        <f t="shared" si="10"/>
        <v/>
      </c>
      <c r="AR28" s="33" t="str">
        <f t="shared" si="11"/>
        <v/>
      </c>
      <c r="AS28" s="34"/>
      <c r="AT28" s="33"/>
      <c r="AV28" s="21">
        <f>IF(AND($AL28&lt;&gt;"",COUNTIF($AL$11:$AL28,$AL28)=1),1,0)</f>
        <v>0</v>
      </c>
      <c r="AW28" s="21">
        <f t="shared" si="13"/>
        <v>2</v>
      </c>
      <c r="AX28" s="21" t="str">
        <f t="shared" si="12"/>
        <v/>
      </c>
      <c r="AY28" s="21" t="str">
        <f>IF(AND($AM28&lt;&gt;"",$AS28&lt;&gt;"✓"),SUMPRODUCT(($AM$11:$AM28&lt;&gt;"")*($AS$11:$AS28&lt;&gt;"✓")),"")</f>
        <v/>
      </c>
      <c r="AZ28" s="21" t="str">
        <f>IF(AND($AM28&lt;&gt;"",$AS28="✓"),SUMPRODUCT(($AM$11:$AM28&lt;&gt;"")*($AS$11:$AS28="✓")),"")</f>
        <v/>
      </c>
      <c r="BA28" s="21" t="str">
        <f>IF($AL28="","",$AL28&amp;"|"&amp;COUNTIF($AL$11:$AL28,$AL28))</f>
        <v/>
      </c>
      <c r="BD28" s="36" t="str">
        <f>IF(IFERROR(INDEX($AM$11:$AM$4010,MATCH($S$8&amp;"|"&amp;16,$BA$11:$BA$4010,0)),"")="","",16)</f>
        <v/>
      </c>
      <c r="BE28" s="36" t="str">
        <f>IFERROR(INDEX($AM$11:$AM$4010,MATCH($S$8&amp;"|"&amp;16,$BA$11:$BA$4010,0)),"")</f>
        <v/>
      </c>
      <c r="BF28" s="36" t="str">
        <f>IFERROR(INDEX($AP$11:$AP$4010,MATCH($S$8&amp;"|"&amp;16,$BA$11:$BA$4010,0)),"")</f>
        <v/>
      </c>
      <c r="BG28" s="36" t="str">
        <f>IFERROR(INDEX($AQ$11:$AQ$4010,MATCH($S$8&amp;"|"&amp;16,$BA$11:$BA$4010,0)),"")</f>
        <v/>
      </c>
      <c r="BH28" s="37" t="str">
        <f>IFERROR(INDEX($AN$11:$AN$4010,MATCH($S$8&amp;"|"&amp;16,$BA$11:$BA$4010,0)),"")</f>
        <v/>
      </c>
      <c r="BI28" s="37" t="str">
        <f>IFERROR(INDEX($AO$11:$AO$4010,MATCH($S$8&amp;"|"&amp;16,$BA$11:$BA$4010,0)),"")</f>
        <v/>
      </c>
      <c r="BL28" s="36" t="str">
        <f>IF(IFERROR(INDEX($AM$11:$AM$4010,MATCH($S$8&amp;"|"&amp;16,$BA$11:$BA$4010,0)),"")="","",16)</f>
        <v/>
      </c>
      <c r="BM28" s="36" t="str">
        <f>IFERROR(INDEX($AM$11:$AM$4010,MATCH($S$8&amp;"|"&amp;16,$BA$11:$BA$4010,0)),"")</f>
        <v/>
      </c>
      <c r="BN28" s="36" t="str">
        <f>IFERROR(INDEX($AP$11:$AP$4010,MATCH($S$8&amp;"|"&amp;16,$BA$11:$BA$4010,0)),"")</f>
        <v/>
      </c>
      <c r="BO28" s="36" t="str">
        <f>IFERROR(INDEX($AQ$11:$AQ$4010,MATCH($S$8&amp;"|"&amp;16,$BA$11:$BA$4010,0)),"")</f>
        <v/>
      </c>
      <c r="BP28" s="37" t="str">
        <f>IFERROR(INDEX($AN$11:$AN$4010,MATCH($S$8&amp;"|"&amp;16,$BA$11:$BA$4010,0)),"")</f>
        <v/>
      </c>
      <c r="BQ28" s="37" t="str">
        <f>IFERROR(INDEX($AO$11:$AO$4010,MATCH($S$8&amp;"|"&amp;16,$BA$11:$BA$4010,0)),"")</f>
        <v/>
      </c>
    </row>
    <row r="29" spans="2:69" ht="13.5" customHeight="1" x14ac:dyDescent="0.25">
      <c r="B29" s="5" t="str">
        <f t="shared" si="0"/>
        <v/>
      </c>
      <c r="C29" s="5"/>
      <c r="D29" s="5"/>
      <c r="E29" s="5"/>
      <c r="F29" s="6"/>
      <c r="G29" s="6"/>
      <c r="H29" s="7"/>
      <c r="I29" s="8"/>
      <c r="K29" s="9" t="str">
        <f>IFERROR(INDEX($AL$11:$AL$4010,MATCH(19,$AX$11:$AX$4010,0)),"")</f>
        <v/>
      </c>
      <c r="L29" s="10" t="str">
        <f t="shared" si="1"/>
        <v/>
      </c>
      <c r="M29" s="11" t="str">
        <f t="shared" si="2"/>
        <v/>
      </c>
      <c r="N29" s="11" t="str">
        <f t="shared" si="3"/>
        <v/>
      </c>
      <c r="P29" s="12" t="str">
        <f>IFERROR(INDEX($AM$11:$AM$4010,MATCH($S$8&amp;"|"&amp;19,$BA$11:$BA$4010,0)),"")</f>
        <v/>
      </c>
      <c r="Q29" s="11" t="str">
        <f>IF(P29="","",IFERROR(INDEX($AN$11:$AN$4010,MATCH($S$8&amp;"|"&amp;19,$BA$11:$BA$4010,0)),""))</f>
        <v/>
      </c>
      <c r="R29" s="11" t="str">
        <f>IF(P29="","",IFERROR(INDEX($AO$11:$AO$4010,MATCH($S$8&amp;"|"&amp;19,$BA$11:$BA$4010,0)),""))</f>
        <v/>
      </c>
      <c r="S29" s="10" t="str">
        <f>IF(P29="","",IFERROR(INDEX($AP$11:$AP$4010,MATCH($S$8&amp;"|"&amp;19,$BA$11:$BA$4010,0)),""))</f>
        <v/>
      </c>
      <c r="T29" s="10" t="str">
        <f>IF(P29="","",IFERROR(INDEX($AQ$11:$AQ$4010,MATCH($S$8&amp;"|"&amp;19,$BA$11:$BA$4010,0)),""))</f>
        <v/>
      </c>
      <c r="U29" s="39" t="str">
        <f t="shared" si="4"/>
        <v/>
      </c>
      <c r="W29" s="14" t="str">
        <f>IF(X29="","",IFERROR(INDEX($AL$11:$AL$4010,MATCH(19,$AY$11:$AY$4010,0)),""))</f>
        <v/>
      </c>
      <c r="X29" s="12" t="str">
        <f>IFERROR(INDEX($AM$11:$AM$4010,MATCH(19,$AY$11:$AY$4010,0)),"")</f>
        <v/>
      </c>
      <c r="Y29" s="11" t="str">
        <f>IF(X29="","",IFERROR(INDEX($AN$11:$AN$4010,MATCH(19,$AY$11:$AY$4010,0)),""))</f>
        <v/>
      </c>
      <c r="Z29" s="11" t="str">
        <f>IF(X29="","",IFERROR(INDEX($AO$11:$AO$4010,MATCH(19,$AY$11:$AY$4010,0)),""))</f>
        <v/>
      </c>
      <c r="AA29" s="10" t="str">
        <f>IF(X29="","",IFERROR(INDEX($AQ$11:$AQ$4010,MATCH(19,$AY$11:$AY$4010,0)),""))</f>
        <v/>
      </c>
      <c r="AB29" s="15" t="str">
        <f>IF(X29="","",IFERROR(INDEX($AR$11:$AR$4010,MATCH(19,$AY$11:$AY$4010,0)),""))</f>
        <v/>
      </c>
      <c r="AD29" s="16" t="str">
        <f>IF(AE29="","",IFERROR(INDEX($AL$11:$AL$4010,MATCH(19,$AZ$11:$AZ$4010,0)),""))</f>
        <v/>
      </c>
      <c r="AE29" s="12" t="str">
        <f>IFERROR(INDEX($AM$11:$AM$4010,MATCH(19,$AZ$11:$AZ$4010,0)),"")</f>
        <v/>
      </c>
      <c r="AF29" s="11" t="str">
        <f>IF(AE29="","",IFERROR(INDEX($AN$11:$AN$4010,MATCH(19,$AZ$11:$AZ$4010,0)),""))</f>
        <v/>
      </c>
      <c r="AG29" s="11" t="str">
        <f>IF(AE29="","",IFERROR(INDEX($AO$11:$AO$4010,MATCH(19,$AZ$11:$AZ$4010,0)),""))</f>
        <v/>
      </c>
      <c r="AH29" s="10" t="str">
        <f>IF(AE29="","",IFERROR(INDEX($AQ$11:$AQ$4010,MATCH(19,$AZ$11:$AZ$4010,0)),""))</f>
        <v/>
      </c>
      <c r="AI29" s="15" t="str">
        <f>IF(AE29="","",IFERROR(INDEX($AR$11:$AR$4010,MATCH(19,$AZ$11:$AZ$4010,0)),""))</f>
        <v/>
      </c>
      <c r="AJ29" s="15" t="str">
        <f>IF(AE29="","",IFERROR(INDEX($AT$11:$AT$4010,MATCH(19,$AZ$11:$AZ$4010,0)),""))</f>
        <v/>
      </c>
      <c r="AL29" s="17" t="str">
        <f t="shared" si="5"/>
        <v/>
      </c>
      <c r="AM29" s="12" t="str">
        <f t="shared" si="6"/>
        <v/>
      </c>
      <c r="AN29" s="18" t="str">
        <f t="shared" si="7"/>
        <v/>
      </c>
      <c r="AO29" s="18" t="str">
        <f t="shared" si="8"/>
        <v/>
      </c>
      <c r="AP29" s="10" t="str">
        <f t="shared" si="9"/>
        <v/>
      </c>
      <c r="AQ29" s="10" t="str">
        <f t="shared" si="10"/>
        <v/>
      </c>
      <c r="AR29" s="19" t="str">
        <f t="shared" si="11"/>
        <v/>
      </c>
      <c r="AS29" s="20"/>
      <c r="AT29" s="19"/>
      <c r="AV29" s="21">
        <f>IF(AND($AL29&lt;&gt;"",COUNTIF($AL$11:$AL29,$AL29)=1),1,0)</f>
        <v>0</v>
      </c>
      <c r="AW29" s="21">
        <f t="shared" si="13"/>
        <v>2</v>
      </c>
      <c r="AX29" s="21" t="str">
        <f t="shared" si="12"/>
        <v/>
      </c>
      <c r="AY29" s="21" t="str">
        <f>IF(AND($AM29&lt;&gt;"",$AS29&lt;&gt;"✓"),SUMPRODUCT(($AM$11:$AM29&lt;&gt;"")*($AS$11:$AS29&lt;&gt;"✓")),"")</f>
        <v/>
      </c>
      <c r="AZ29" s="21" t="str">
        <f>IF(AND($AM29&lt;&gt;"",$AS29="✓"),SUMPRODUCT(($AM$11:$AM29&lt;&gt;"")*($AS$11:$AS29="✓")),"")</f>
        <v/>
      </c>
      <c r="BA29" s="21" t="str">
        <f>IF($AL29="","",$AL29&amp;"|"&amp;COUNTIF($AL$11:$AL29,$AL29))</f>
        <v/>
      </c>
      <c r="BD29" s="36" t="str">
        <f>IF(IFERROR(INDEX($AM$11:$AM$4010,MATCH($S$8&amp;"|"&amp;17,$BA$11:$BA$4010,0)),"")="","",17)</f>
        <v/>
      </c>
      <c r="BE29" s="36" t="str">
        <f>IFERROR(INDEX($AM$11:$AM$4010,MATCH($S$8&amp;"|"&amp;17,$BA$11:$BA$4010,0)),"")</f>
        <v/>
      </c>
      <c r="BF29" s="36" t="str">
        <f>IFERROR(INDEX($AP$11:$AP$4010,MATCH($S$8&amp;"|"&amp;17,$BA$11:$BA$4010,0)),"")</f>
        <v/>
      </c>
      <c r="BG29" s="36" t="str">
        <f>IFERROR(INDEX($AQ$11:$AQ$4010,MATCH($S$8&amp;"|"&amp;17,$BA$11:$BA$4010,0)),"")</f>
        <v/>
      </c>
      <c r="BH29" s="37" t="str">
        <f>IFERROR(INDEX($AN$11:$AN$4010,MATCH($S$8&amp;"|"&amp;17,$BA$11:$BA$4010,0)),"")</f>
        <v/>
      </c>
      <c r="BI29" s="37" t="str">
        <f>IFERROR(INDEX($AO$11:$AO$4010,MATCH($S$8&amp;"|"&amp;17,$BA$11:$BA$4010,0)),"")</f>
        <v/>
      </c>
      <c r="BL29" s="36" t="str">
        <f>IF(IFERROR(INDEX($AM$11:$AM$4010,MATCH($S$8&amp;"|"&amp;17,$BA$11:$BA$4010,0)),"")="","",17)</f>
        <v/>
      </c>
      <c r="BM29" s="36" t="str">
        <f>IFERROR(INDEX($AM$11:$AM$4010,MATCH($S$8&amp;"|"&amp;17,$BA$11:$BA$4010,0)),"")</f>
        <v/>
      </c>
      <c r="BN29" s="36" t="str">
        <f>IFERROR(INDEX($AP$11:$AP$4010,MATCH($S$8&amp;"|"&amp;17,$BA$11:$BA$4010,0)),"")</f>
        <v/>
      </c>
      <c r="BO29" s="36" t="str">
        <f>IFERROR(INDEX($AQ$11:$AQ$4010,MATCH($S$8&amp;"|"&amp;17,$BA$11:$BA$4010,0)),"")</f>
        <v/>
      </c>
      <c r="BP29" s="37" t="str">
        <f>IFERROR(INDEX($AN$11:$AN$4010,MATCH($S$8&amp;"|"&amp;17,$BA$11:$BA$4010,0)),"")</f>
        <v/>
      </c>
      <c r="BQ29" s="37" t="str">
        <f>IFERROR(INDEX($AO$11:$AO$4010,MATCH($S$8&amp;"|"&amp;17,$BA$11:$BA$4010,0)),"")</f>
        <v/>
      </c>
    </row>
    <row r="30" spans="2:69" ht="13.5" customHeight="1" x14ac:dyDescent="0.25">
      <c r="B30" s="5" t="str">
        <f t="shared" si="0"/>
        <v/>
      </c>
      <c r="C30" s="5"/>
      <c r="D30" s="5"/>
      <c r="E30" s="5"/>
      <c r="F30" s="6"/>
      <c r="G30" s="6"/>
      <c r="H30" s="7"/>
      <c r="I30" s="8"/>
      <c r="K30" s="23" t="str">
        <f>IFERROR(INDEX($AL$11:$AL$4010,MATCH(20,$AX$11:$AX$4010,0)),"")</f>
        <v/>
      </c>
      <c r="L30" s="24" t="str">
        <f t="shared" si="1"/>
        <v/>
      </c>
      <c r="M30" s="25" t="str">
        <f t="shared" si="2"/>
        <v/>
      </c>
      <c r="N30" s="25" t="str">
        <f t="shared" si="3"/>
        <v/>
      </c>
      <c r="P30" s="26" t="str">
        <f>IFERROR(INDEX($AM$11:$AM$4010,MATCH($S$8&amp;"|"&amp;20,$BA$11:$BA$4010,0)),"")</f>
        <v/>
      </c>
      <c r="Q30" s="25" t="str">
        <f>IF(P30="","",IFERROR(INDEX($AN$11:$AN$4010,MATCH($S$8&amp;"|"&amp;20,$BA$11:$BA$4010,0)),""))</f>
        <v/>
      </c>
      <c r="R30" s="25" t="str">
        <f>IF(P30="","",IFERROR(INDEX($AO$11:$AO$4010,MATCH($S$8&amp;"|"&amp;20,$BA$11:$BA$4010,0)),""))</f>
        <v/>
      </c>
      <c r="S30" s="24" t="str">
        <f>IF(P30="","",IFERROR(INDEX($AP$11:$AP$4010,MATCH($S$8&amp;"|"&amp;20,$BA$11:$BA$4010,0)),""))</f>
        <v/>
      </c>
      <c r="T30" s="24" t="str">
        <f>IF(P30="","",IFERROR(INDEX($AQ$11:$AQ$4010,MATCH($S$8&amp;"|"&amp;20,$BA$11:$BA$4010,0)),""))</f>
        <v/>
      </c>
      <c r="U30" s="38" t="str">
        <f t="shared" si="4"/>
        <v/>
      </c>
      <c r="W30" s="28" t="str">
        <f>IF(X30="","",IFERROR(INDEX($AL$11:$AL$4010,MATCH(20,$AY$11:$AY$4010,0)),""))</f>
        <v/>
      </c>
      <c r="X30" s="26" t="str">
        <f>IFERROR(INDEX($AM$11:$AM$4010,MATCH(20,$AY$11:$AY$4010,0)),"")</f>
        <v/>
      </c>
      <c r="Y30" s="25" t="str">
        <f>IF(X30="","",IFERROR(INDEX($AN$11:$AN$4010,MATCH(20,$AY$11:$AY$4010,0)),""))</f>
        <v/>
      </c>
      <c r="Z30" s="25" t="str">
        <f>IF(X30="","",IFERROR(INDEX($AO$11:$AO$4010,MATCH(20,$AY$11:$AY$4010,0)),""))</f>
        <v/>
      </c>
      <c r="AA30" s="24" t="str">
        <f>IF(X30="","",IFERROR(INDEX($AQ$11:$AQ$4010,MATCH(20,$AY$11:$AY$4010,0)),""))</f>
        <v/>
      </c>
      <c r="AB30" s="29" t="str">
        <f>IF(X30="","",IFERROR(INDEX($AR$11:$AR$4010,MATCH(20,$AY$11:$AY$4010,0)),""))</f>
        <v/>
      </c>
      <c r="AD30" s="30" t="str">
        <f>IF(AE30="","",IFERROR(INDEX($AL$11:$AL$4010,MATCH(20,$AZ$11:$AZ$4010,0)),""))</f>
        <v/>
      </c>
      <c r="AE30" s="26" t="str">
        <f>IFERROR(INDEX($AM$11:$AM$4010,MATCH(20,$AZ$11:$AZ$4010,0)),"")</f>
        <v/>
      </c>
      <c r="AF30" s="25" t="str">
        <f>IF(AE30="","",IFERROR(INDEX($AN$11:$AN$4010,MATCH(20,$AZ$11:$AZ$4010,0)),""))</f>
        <v/>
      </c>
      <c r="AG30" s="25" t="str">
        <f>IF(AE30="","",IFERROR(INDEX($AO$11:$AO$4010,MATCH(20,$AZ$11:$AZ$4010,0)),""))</f>
        <v/>
      </c>
      <c r="AH30" s="24" t="str">
        <f>IF(AE30="","",IFERROR(INDEX($AQ$11:$AQ$4010,MATCH(20,$AZ$11:$AZ$4010,0)),""))</f>
        <v/>
      </c>
      <c r="AI30" s="29" t="str">
        <f>IF(AE30="","",IFERROR(INDEX($AR$11:$AR$4010,MATCH(20,$AZ$11:$AZ$4010,0)),""))</f>
        <v/>
      </c>
      <c r="AJ30" s="29" t="str">
        <f>IF(AE30="","",IFERROR(INDEX($AT$11:$AT$4010,MATCH(20,$AZ$11:$AZ$4010,0)),""))</f>
        <v/>
      </c>
      <c r="AL30" s="31" t="str">
        <f t="shared" si="5"/>
        <v/>
      </c>
      <c r="AM30" s="26" t="str">
        <f t="shared" si="6"/>
        <v/>
      </c>
      <c r="AN30" s="32" t="str">
        <f t="shared" si="7"/>
        <v/>
      </c>
      <c r="AO30" s="32" t="str">
        <f t="shared" si="8"/>
        <v/>
      </c>
      <c r="AP30" s="24" t="str">
        <f t="shared" si="9"/>
        <v/>
      </c>
      <c r="AQ30" s="24" t="str">
        <f t="shared" si="10"/>
        <v/>
      </c>
      <c r="AR30" s="33" t="str">
        <f t="shared" si="11"/>
        <v/>
      </c>
      <c r="AS30" s="34"/>
      <c r="AT30" s="33"/>
      <c r="AV30" s="21">
        <f>IF(AND($AL30&lt;&gt;"",COUNTIF($AL$11:$AL30,$AL30)=1),1,0)</f>
        <v>0</v>
      </c>
      <c r="AW30" s="21">
        <f t="shared" si="13"/>
        <v>2</v>
      </c>
      <c r="AX30" s="21" t="str">
        <f t="shared" si="12"/>
        <v/>
      </c>
      <c r="AY30" s="21" t="str">
        <f>IF(AND($AM30&lt;&gt;"",$AS30&lt;&gt;"✓"),SUMPRODUCT(($AM$11:$AM30&lt;&gt;"")*($AS$11:$AS30&lt;&gt;"✓")),"")</f>
        <v/>
      </c>
      <c r="AZ30" s="21" t="str">
        <f>IF(AND($AM30&lt;&gt;"",$AS30="✓"),SUMPRODUCT(($AM$11:$AM30&lt;&gt;"")*($AS$11:$AS30="✓")),"")</f>
        <v/>
      </c>
      <c r="BA30" s="21" t="str">
        <f>IF($AL30="","",$AL30&amp;"|"&amp;COUNTIF($AL$11:$AL30,$AL30))</f>
        <v/>
      </c>
      <c r="BD30" s="36" t="str">
        <f>IF(IFERROR(INDEX($AM$11:$AM$4010,MATCH($S$8&amp;"|"&amp;18,$BA$11:$BA$4010,0)),"")="","",18)</f>
        <v/>
      </c>
      <c r="BE30" s="36" t="str">
        <f>IFERROR(INDEX($AM$11:$AM$4010,MATCH($S$8&amp;"|"&amp;18,$BA$11:$BA$4010,0)),"")</f>
        <v/>
      </c>
      <c r="BF30" s="36" t="str">
        <f>IFERROR(INDEX($AP$11:$AP$4010,MATCH($S$8&amp;"|"&amp;18,$BA$11:$BA$4010,0)),"")</f>
        <v/>
      </c>
      <c r="BG30" s="36" t="str">
        <f>IFERROR(INDEX($AQ$11:$AQ$4010,MATCH($S$8&amp;"|"&amp;18,$BA$11:$BA$4010,0)),"")</f>
        <v/>
      </c>
      <c r="BH30" s="37" t="str">
        <f>IFERROR(INDEX($AN$11:$AN$4010,MATCH($S$8&amp;"|"&amp;18,$BA$11:$BA$4010,0)),"")</f>
        <v/>
      </c>
      <c r="BI30" s="37" t="str">
        <f>IFERROR(INDEX($AO$11:$AO$4010,MATCH($S$8&amp;"|"&amp;18,$BA$11:$BA$4010,0)),"")</f>
        <v/>
      </c>
      <c r="BL30" s="36" t="str">
        <f>IF(IFERROR(INDEX($AM$11:$AM$4010,MATCH($S$8&amp;"|"&amp;18,$BA$11:$BA$4010,0)),"")="","",18)</f>
        <v/>
      </c>
      <c r="BM30" s="36" t="str">
        <f>IFERROR(INDEX($AM$11:$AM$4010,MATCH($S$8&amp;"|"&amp;18,$BA$11:$BA$4010,0)),"")</f>
        <v/>
      </c>
      <c r="BN30" s="36" t="str">
        <f>IFERROR(INDEX($AP$11:$AP$4010,MATCH($S$8&amp;"|"&amp;18,$BA$11:$BA$4010,0)),"")</f>
        <v/>
      </c>
      <c r="BO30" s="36" t="str">
        <f>IFERROR(INDEX($AQ$11:$AQ$4010,MATCH($S$8&amp;"|"&amp;18,$BA$11:$BA$4010,0)),"")</f>
        <v/>
      </c>
      <c r="BP30" s="37" t="str">
        <f>IFERROR(INDEX($AN$11:$AN$4010,MATCH($S$8&amp;"|"&amp;18,$BA$11:$BA$4010,0)),"")</f>
        <v/>
      </c>
      <c r="BQ30" s="37" t="str">
        <f>IFERROR(INDEX($AO$11:$AO$4010,MATCH($S$8&amp;"|"&amp;18,$BA$11:$BA$4010,0)),"")</f>
        <v/>
      </c>
    </row>
    <row r="31" spans="2:69" ht="13.5" customHeight="1" x14ac:dyDescent="0.25">
      <c r="B31" s="5" t="str">
        <f t="shared" si="0"/>
        <v/>
      </c>
      <c r="C31" s="5"/>
      <c r="D31" s="5"/>
      <c r="E31" s="5"/>
      <c r="F31" s="6"/>
      <c r="G31" s="6"/>
      <c r="H31" s="7"/>
      <c r="I31" s="8"/>
      <c r="K31" s="9" t="str">
        <f>IFERROR(INDEX($AL$11:$AL$4010,MATCH(21,$AX$11:$AX$4010,0)),"")</f>
        <v/>
      </c>
      <c r="L31" s="10" t="str">
        <f t="shared" si="1"/>
        <v/>
      </c>
      <c r="M31" s="11" t="str">
        <f t="shared" si="2"/>
        <v/>
      </c>
      <c r="N31" s="11" t="str">
        <f t="shared" si="3"/>
        <v/>
      </c>
      <c r="P31" s="12" t="str">
        <f>IFERROR(INDEX($AM$11:$AM$4010,MATCH($S$8&amp;"|"&amp;21,$BA$11:$BA$4010,0)),"")</f>
        <v/>
      </c>
      <c r="Q31" s="11" t="str">
        <f>IF(P31="","",IFERROR(INDEX($AN$11:$AN$4010,MATCH($S$8&amp;"|"&amp;21,$BA$11:$BA$4010,0)),""))</f>
        <v/>
      </c>
      <c r="R31" s="11" t="str">
        <f>IF(P31="","",IFERROR(INDEX($AO$11:$AO$4010,MATCH($S$8&amp;"|"&amp;21,$BA$11:$BA$4010,0)),""))</f>
        <v/>
      </c>
      <c r="S31" s="10" t="str">
        <f>IF(P31="","",IFERROR(INDEX($AP$11:$AP$4010,MATCH($S$8&amp;"|"&amp;21,$BA$11:$BA$4010,0)),""))</f>
        <v/>
      </c>
      <c r="T31" s="10" t="str">
        <f>IF(P31="","",IFERROR(INDEX($AQ$11:$AQ$4010,MATCH($S$8&amp;"|"&amp;21,$BA$11:$BA$4010,0)),""))</f>
        <v/>
      </c>
      <c r="U31" s="39" t="str">
        <f t="shared" si="4"/>
        <v/>
      </c>
      <c r="W31" s="14" t="str">
        <f>IF(X31="","",IFERROR(INDEX($AL$11:$AL$4010,MATCH(21,$AY$11:$AY$4010,0)),""))</f>
        <v/>
      </c>
      <c r="X31" s="12" t="str">
        <f>IFERROR(INDEX($AM$11:$AM$4010,MATCH(21,$AY$11:$AY$4010,0)),"")</f>
        <v/>
      </c>
      <c r="Y31" s="11" t="str">
        <f>IF(X31="","",IFERROR(INDEX($AN$11:$AN$4010,MATCH(21,$AY$11:$AY$4010,0)),""))</f>
        <v/>
      </c>
      <c r="Z31" s="11" t="str">
        <f>IF(X31="","",IFERROR(INDEX($AO$11:$AO$4010,MATCH(21,$AY$11:$AY$4010,0)),""))</f>
        <v/>
      </c>
      <c r="AA31" s="10" t="str">
        <f>IF(X31="","",IFERROR(INDEX($AQ$11:$AQ$4010,MATCH(21,$AY$11:$AY$4010,0)),""))</f>
        <v/>
      </c>
      <c r="AB31" s="15" t="str">
        <f>IF(X31="","",IFERROR(INDEX($AR$11:$AR$4010,MATCH(21,$AY$11:$AY$4010,0)),""))</f>
        <v/>
      </c>
      <c r="AD31" s="16" t="str">
        <f>IF(AE31="","",IFERROR(INDEX($AL$11:$AL$4010,MATCH(21,$AZ$11:$AZ$4010,0)),""))</f>
        <v/>
      </c>
      <c r="AE31" s="12" t="str">
        <f>IFERROR(INDEX($AM$11:$AM$4010,MATCH(21,$AZ$11:$AZ$4010,0)),"")</f>
        <v/>
      </c>
      <c r="AF31" s="11" t="str">
        <f>IF(AE31="","",IFERROR(INDEX($AN$11:$AN$4010,MATCH(21,$AZ$11:$AZ$4010,0)),""))</f>
        <v/>
      </c>
      <c r="AG31" s="11" t="str">
        <f>IF(AE31="","",IFERROR(INDEX($AO$11:$AO$4010,MATCH(21,$AZ$11:$AZ$4010,0)),""))</f>
        <v/>
      </c>
      <c r="AH31" s="10" t="str">
        <f>IF(AE31="","",IFERROR(INDEX($AQ$11:$AQ$4010,MATCH(21,$AZ$11:$AZ$4010,0)),""))</f>
        <v/>
      </c>
      <c r="AI31" s="15" t="str">
        <f>IF(AE31="","",IFERROR(INDEX($AR$11:$AR$4010,MATCH(21,$AZ$11:$AZ$4010,0)),""))</f>
        <v/>
      </c>
      <c r="AJ31" s="15" t="str">
        <f>IF(AE31="","",IFERROR(INDEX($AT$11:$AT$4010,MATCH(21,$AZ$11:$AZ$4010,0)),""))</f>
        <v/>
      </c>
      <c r="AL31" s="17" t="str">
        <f t="shared" si="5"/>
        <v/>
      </c>
      <c r="AM31" s="12" t="str">
        <f t="shared" si="6"/>
        <v/>
      </c>
      <c r="AN31" s="18" t="str">
        <f t="shared" si="7"/>
        <v/>
      </c>
      <c r="AO31" s="18" t="str">
        <f t="shared" si="8"/>
        <v/>
      </c>
      <c r="AP31" s="10" t="str">
        <f t="shared" si="9"/>
        <v/>
      </c>
      <c r="AQ31" s="10" t="str">
        <f t="shared" si="10"/>
        <v/>
      </c>
      <c r="AR31" s="19" t="str">
        <f t="shared" si="11"/>
        <v/>
      </c>
      <c r="AS31" s="20"/>
      <c r="AT31" s="19"/>
      <c r="AV31" s="21">
        <f>IF(AND($AL31&lt;&gt;"",COUNTIF($AL$11:$AL31,$AL31)=1),1,0)</f>
        <v>0</v>
      </c>
      <c r="AW31" s="21">
        <f t="shared" si="13"/>
        <v>2</v>
      </c>
      <c r="AX31" s="21" t="str">
        <f t="shared" si="12"/>
        <v/>
      </c>
      <c r="AY31" s="21" t="str">
        <f>IF(AND($AM31&lt;&gt;"",$AS31&lt;&gt;"✓"),SUMPRODUCT(($AM$11:$AM31&lt;&gt;"")*($AS$11:$AS31&lt;&gt;"✓")),"")</f>
        <v/>
      </c>
      <c r="AZ31" s="21" t="str">
        <f>IF(AND($AM31&lt;&gt;"",$AS31="✓"),SUMPRODUCT(($AM$11:$AM31&lt;&gt;"")*($AS$11:$AS31="✓")),"")</f>
        <v/>
      </c>
      <c r="BA31" s="21" t="str">
        <f>IF($AL31="","",$AL31&amp;"|"&amp;COUNTIF($AL$11:$AL31,$AL31))</f>
        <v/>
      </c>
      <c r="BD31" s="36" t="str">
        <f>IF(IFERROR(INDEX($AM$11:$AM$4010,MATCH($S$8&amp;"|"&amp;19,$BA$11:$BA$4010,0)),"")="","",19)</f>
        <v/>
      </c>
      <c r="BE31" s="36" t="str">
        <f>IFERROR(INDEX($AM$11:$AM$4010,MATCH($S$8&amp;"|"&amp;19,$BA$11:$BA$4010,0)),"")</f>
        <v/>
      </c>
      <c r="BF31" s="36" t="str">
        <f>IFERROR(INDEX($AP$11:$AP$4010,MATCH($S$8&amp;"|"&amp;19,$BA$11:$BA$4010,0)),"")</f>
        <v/>
      </c>
      <c r="BG31" s="36" t="str">
        <f>IFERROR(INDEX($AQ$11:$AQ$4010,MATCH($S$8&amp;"|"&amp;19,$BA$11:$BA$4010,0)),"")</f>
        <v/>
      </c>
      <c r="BH31" s="37" t="str">
        <f>IFERROR(INDEX($AN$11:$AN$4010,MATCH($S$8&amp;"|"&amp;19,$BA$11:$BA$4010,0)),"")</f>
        <v/>
      </c>
      <c r="BI31" s="37" t="str">
        <f>IFERROR(INDEX($AO$11:$AO$4010,MATCH($S$8&amp;"|"&amp;19,$BA$11:$BA$4010,0)),"")</f>
        <v/>
      </c>
      <c r="BL31" s="36" t="str">
        <f>IF(IFERROR(INDEX($AM$11:$AM$4010,MATCH($S$8&amp;"|"&amp;19,$BA$11:$BA$4010,0)),"")="","",19)</f>
        <v/>
      </c>
      <c r="BM31" s="36" t="str">
        <f>IFERROR(INDEX($AM$11:$AM$4010,MATCH($S$8&amp;"|"&amp;19,$BA$11:$BA$4010,0)),"")</f>
        <v/>
      </c>
      <c r="BN31" s="36" t="str">
        <f>IFERROR(INDEX($AP$11:$AP$4010,MATCH($S$8&amp;"|"&amp;19,$BA$11:$BA$4010,0)),"")</f>
        <v/>
      </c>
      <c r="BO31" s="36" t="str">
        <f>IFERROR(INDEX($AQ$11:$AQ$4010,MATCH($S$8&amp;"|"&amp;19,$BA$11:$BA$4010,0)),"")</f>
        <v/>
      </c>
      <c r="BP31" s="37" t="str">
        <f>IFERROR(INDEX($AN$11:$AN$4010,MATCH($S$8&amp;"|"&amp;19,$BA$11:$BA$4010,0)),"")</f>
        <v/>
      </c>
      <c r="BQ31" s="37" t="str">
        <f>IFERROR(INDEX($AO$11:$AO$4010,MATCH($S$8&amp;"|"&amp;19,$BA$11:$BA$4010,0)),"")</f>
        <v/>
      </c>
    </row>
    <row r="32" spans="2:69" ht="13.5" customHeight="1" x14ac:dyDescent="0.25">
      <c r="B32" s="5" t="str">
        <f t="shared" si="0"/>
        <v/>
      </c>
      <c r="C32" s="5"/>
      <c r="D32" s="5"/>
      <c r="E32" s="5"/>
      <c r="F32" s="6"/>
      <c r="G32" s="6"/>
      <c r="H32" s="7"/>
      <c r="I32" s="8"/>
      <c r="K32" s="23" t="str">
        <f>IFERROR(INDEX($AL$11:$AL$4010,MATCH(22,$AX$11:$AX$4010,0)),"")</f>
        <v/>
      </c>
      <c r="L32" s="24" t="str">
        <f t="shared" si="1"/>
        <v/>
      </c>
      <c r="M32" s="25" t="str">
        <f t="shared" si="2"/>
        <v/>
      </c>
      <c r="N32" s="25" t="str">
        <f t="shared" si="3"/>
        <v/>
      </c>
      <c r="P32" s="26" t="str">
        <f>IFERROR(INDEX($AM$11:$AM$4010,MATCH($S$8&amp;"|"&amp;22,$BA$11:$BA$4010,0)),"")</f>
        <v/>
      </c>
      <c r="Q32" s="25" t="str">
        <f>IF(P32="","",IFERROR(INDEX($AN$11:$AN$4010,MATCH($S$8&amp;"|"&amp;22,$BA$11:$BA$4010,0)),""))</f>
        <v/>
      </c>
      <c r="R32" s="25" t="str">
        <f>IF(P32="","",IFERROR(INDEX($AO$11:$AO$4010,MATCH($S$8&amp;"|"&amp;22,$BA$11:$BA$4010,0)),""))</f>
        <v/>
      </c>
      <c r="S32" s="24" t="str">
        <f>IF(P32="","",IFERROR(INDEX($AP$11:$AP$4010,MATCH($S$8&amp;"|"&amp;22,$BA$11:$BA$4010,0)),""))</f>
        <v/>
      </c>
      <c r="T32" s="24" t="str">
        <f>IF(P32="","",IFERROR(INDEX($AQ$11:$AQ$4010,MATCH($S$8&amp;"|"&amp;22,$BA$11:$BA$4010,0)),""))</f>
        <v/>
      </c>
      <c r="U32" s="38" t="str">
        <f t="shared" si="4"/>
        <v/>
      </c>
      <c r="W32" s="28" t="str">
        <f>IF(X32="","",IFERROR(INDEX($AL$11:$AL$4010,MATCH(22,$AY$11:$AY$4010,0)),""))</f>
        <v/>
      </c>
      <c r="X32" s="26" t="str">
        <f>IFERROR(INDEX($AM$11:$AM$4010,MATCH(22,$AY$11:$AY$4010,0)),"")</f>
        <v/>
      </c>
      <c r="Y32" s="25" t="str">
        <f>IF(X32="","",IFERROR(INDEX($AN$11:$AN$4010,MATCH(22,$AY$11:$AY$4010,0)),""))</f>
        <v/>
      </c>
      <c r="Z32" s="25" t="str">
        <f>IF(X32="","",IFERROR(INDEX($AO$11:$AO$4010,MATCH(22,$AY$11:$AY$4010,0)),""))</f>
        <v/>
      </c>
      <c r="AA32" s="24" t="str">
        <f>IF(X32="","",IFERROR(INDEX($AQ$11:$AQ$4010,MATCH(22,$AY$11:$AY$4010,0)),""))</f>
        <v/>
      </c>
      <c r="AB32" s="29" t="str">
        <f>IF(X32="","",IFERROR(INDEX($AR$11:$AR$4010,MATCH(22,$AY$11:$AY$4010,0)),""))</f>
        <v/>
      </c>
      <c r="AD32" s="30" t="str">
        <f>IF(AE32="","",IFERROR(INDEX($AL$11:$AL$4010,MATCH(22,$AZ$11:$AZ$4010,0)),""))</f>
        <v/>
      </c>
      <c r="AE32" s="26" t="str">
        <f>IFERROR(INDEX($AM$11:$AM$4010,MATCH(22,$AZ$11:$AZ$4010,0)),"")</f>
        <v/>
      </c>
      <c r="AF32" s="25" t="str">
        <f>IF(AE32="","",IFERROR(INDEX($AN$11:$AN$4010,MATCH(22,$AZ$11:$AZ$4010,0)),""))</f>
        <v/>
      </c>
      <c r="AG32" s="25" t="str">
        <f>IF(AE32="","",IFERROR(INDEX($AO$11:$AO$4010,MATCH(22,$AZ$11:$AZ$4010,0)),""))</f>
        <v/>
      </c>
      <c r="AH32" s="24" t="str">
        <f>IF(AE32="","",IFERROR(INDEX($AQ$11:$AQ$4010,MATCH(22,$AZ$11:$AZ$4010,0)),""))</f>
        <v/>
      </c>
      <c r="AI32" s="29" t="str">
        <f>IF(AE32="","",IFERROR(INDEX($AR$11:$AR$4010,MATCH(22,$AZ$11:$AZ$4010,0)),""))</f>
        <v/>
      </c>
      <c r="AJ32" s="29" t="str">
        <f>IF(AE32="","",IFERROR(INDEX($AT$11:$AT$4010,MATCH(22,$AZ$11:$AZ$4010,0)),""))</f>
        <v/>
      </c>
      <c r="AL32" s="31" t="str">
        <f t="shared" si="5"/>
        <v/>
      </c>
      <c r="AM32" s="26" t="str">
        <f t="shared" si="6"/>
        <v/>
      </c>
      <c r="AN32" s="32" t="str">
        <f t="shared" si="7"/>
        <v/>
      </c>
      <c r="AO32" s="32" t="str">
        <f t="shared" si="8"/>
        <v/>
      </c>
      <c r="AP32" s="24" t="str">
        <f t="shared" si="9"/>
        <v/>
      </c>
      <c r="AQ32" s="24" t="str">
        <f t="shared" si="10"/>
        <v/>
      </c>
      <c r="AR32" s="33" t="str">
        <f t="shared" si="11"/>
        <v/>
      </c>
      <c r="AS32" s="34"/>
      <c r="AT32" s="33"/>
      <c r="AV32" s="21">
        <f>IF(AND($AL32&lt;&gt;"",COUNTIF($AL$11:$AL32,$AL32)=1),1,0)</f>
        <v>0</v>
      </c>
      <c r="AW32" s="21">
        <f t="shared" si="13"/>
        <v>2</v>
      </c>
      <c r="AX32" s="21" t="str">
        <f t="shared" si="12"/>
        <v/>
      </c>
      <c r="AY32" s="21" t="str">
        <f>IF(AND($AM32&lt;&gt;"",$AS32&lt;&gt;"✓"),SUMPRODUCT(($AM$11:$AM32&lt;&gt;"")*($AS$11:$AS32&lt;&gt;"✓")),"")</f>
        <v/>
      </c>
      <c r="AZ32" s="21" t="str">
        <f>IF(AND($AM32&lt;&gt;"",$AS32="✓"),SUMPRODUCT(($AM$11:$AM32&lt;&gt;"")*($AS$11:$AS32="✓")),"")</f>
        <v/>
      </c>
      <c r="BA32" s="21" t="str">
        <f>IF($AL32="","",$AL32&amp;"|"&amp;COUNTIF($AL$11:$AL32,$AL32))</f>
        <v/>
      </c>
      <c r="BD32" s="36" t="str">
        <f>IF(IFERROR(INDEX($AM$11:$AM$4010,MATCH($S$8&amp;"|"&amp;20,$BA$11:$BA$4010,0)),"")="","",20)</f>
        <v/>
      </c>
      <c r="BE32" s="36" t="str">
        <f>IFERROR(INDEX($AM$11:$AM$4010,MATCH($S$8&amp;"|"&amp;20,$BA$11:$BA$4010,0)),"")</f>
        <v/>
      </c>
      <c r="BF32" s="36" t="str">
        <f>IFERROR(INDEX($AP$11:$AP$4010,MATCH($S$8&amp;"|"&amp;20,$BA$11:$BA$4010,0)),"")</f>
        <v/>
      </c>
      <c r="BG32" s="36" t="str">
        <f>IFERROR(INDEX($AQ$11:$AQ$4010,MATCH($S$8&amp;"|"&amp;20,$BA$11:$BA$4010,0)),"")</f>
        <v/>
      </c>
      <c r="BH32" s="37" t="str">
        <f>IFERROR(INDEX($AN$11:$AN$4010,MATCH($S$8&amp;"|"&amp;20,$BA$11:$BA$4010,0)),"")</f>
        <v/>
      </c>
      <c r="BI32" s="37" t="str">
        <f>IFERROR(INDEX($AO$11:$AO$4010,MATCH($S$8&amp;"|"&amp;20,$BA$11:$BA$4010,0)),"")</f>
        <v/>
      </c>
      <c r="BL32" s="36" t="str">
        <f>IF(IFERROR(INDEX($AM$11:$AM$4010,MATCH($S$8&amp;"|"&amp;20,$BA$11:$BA$4010,0)),"")="","",20)</f>
        <v/>
      </c>
      <c r="BM32" s="36" t="str">
        <f>IFERROR(INDEX($AM$11:$AM$4010,MATCH($S$8&amp;"|"&amp;20,$BA$11:$BA$4010,0)),"")</f>
        <v/>
      </c>
      <c r="BN32" s="36" t="str">
        <f>IFERROR(INDEX($AP$11:$AP$4010,MATCH($S$8&amp;"|"&amp;20,$BA$11:$BA$4010,0)),"")</f>
        <v/>
      </c>
      <c r="BO32" s="36" t="str">
        <f>IFERROR(INDEX($AQ$11:$AQ$4010,MATCH($S$8&amp;"|"&amp;20,$BA$11:$BA$4010,0)),"")</f>
        <v/>
      </c>
      <c r="BP32" s="37" t="str">
        <f>IFERROR(INDEX($AN$11:$AN$4010,MATCH($S$8&amp;"|"&amp;20,$BA$11:$BA$4010,0)),"")</f>
        <v/>
      </c>
      <c r="BQ32" s="37" t="str">
        <f>IFERROR(INDEX($AO$11:$AO$4010,MATCH($S$8&amp;"|"&amp;20,$BA$11:$BA$4010,0)),"")</f>
        <v/>
      </c>
    </row>
    <row r="33" spans="2:69" ht="13.5" customHeight="1" x14ac:dyDescent="0.25">
      <c r="B33" s="5" t="str">
        <f t="shared" si="0"/>
        <v/>
      </c>
      <c r="C33" s="5"/>
      <c r="D33" s="5"/>
      <c r="E33" s="5"/>
      <c r="F33" s="6"/>
      <c r="G33" s="6"/>
      <c r="H33" s="7"/>
      <c r="I33" s="8"/>
      <c r="K33" s="9" t="str">
        <f>IFERROR(INDEX($AL$11:$AL$4010,MATCH(23,$AX$11:$AX$4010,0)),"")</f>
        <v/>
      </c>
      <c r="L33" s="10" t="str">
        <f t="shared" si="1"/>
        <v/>
      </c>
      <c r="M33" s="11" t="str">
        <f t="shared" si="2"/>
        <v/>
      </c>
      <c r="N33" s="11" t="str">
        <f t="shared" si="3"/>
        <v/>
      </c>
      <c r="P33" s="12" t="str">
        <f>IFERROR(INDEX($AM$11:$AM$4010,MATCH($S$8&amp;"|"&amp;23,$BA$11:$BA$4010,0)),"")</f>
        <v/>
      </c>
      <c r="Q33" s="11" t="str">
        <f>IF(P33="","",IFERROR(INDEX($AN$11:$AN$4010,MATCH($S$8&amp;"|"&amp;23,$BA$11:$BA$4010,0)),""))</f>
        <v/>
      </c>
      <c r="R33" s="11" t="str">
        <f>IF(P33="","",IFERROR(INDEX($AO$11:$AO$4010,MATCH($S$8&amp;"|"&amp;23,$BA$11:$BA$4010,0)),""))</f>
        <v/>
      </c>
      <c r="S33" s="10" t="str">
        <f>IF(P33="","",IFERROR(INDEX($AP$11:$AP$4010,MATCH($S$8&amp;"|"&amp;23,$BA$11:$BA$4010,0)),""))</f>
        <v/>
      </c>
      <c r="T33" s="10" t="str">
        <f>IF(P33="","",IFERROR(INDEX($AQ$11:$AQ$4010,MATCH($S$8&amp;"|"&amp;23,$BA$11:$BA$4010,0)),""))</f>
        <v/>
      </c>
      <c r="U33" s="39" t="str">
        <f t="shared" si="4"/>
        <v/>
      </c>
      <c r="W33" s="14" t="str">
        <f>IF(X33="","",IFERROR(INDEX($AL$11:$AL$4010,MATCH(23,$AY$11:$AY$4010,0)),""))</f>
        <v/>
      </c>
      <c r="X33" s="12" t="str">
        <f>IFERROR(INDEX($AM$11:$AM$4010,MATCH(23,$AY$11:$AY$4010,0)),"")</f>
        <v/>
      </c>
      <c r="Y33" s="11" t="str">
        <f>IF(X33="","",IFERROR(INDEX($AN$11:$AN$4010,MATCH(23,$AY$11:$AY$4010,0)),""))</f>
        <v/>
      </c>
      <c r="Z33" s="11" t="str">
        <f>IF(X33="","",IFERROR(INDEX($AO$11:$AO$4010,MATCH(23,$AY$11:$AY$4010,0)),""))</f>
        <v/>
      </c>
      <c r="AA33" s="10" t="str">
        <f>IF(X33="","",IFERROR(INDEX($AQ$11:$AQ$4010,MATCH(23,$AY$11:$AY$4010,0)),""))</f>
        <v/>
      </c>
      <c r="AB33" s="15" t="str">
        <f>IF(X33="","",IFERROR(INDEX($AR$11:$AR$4010,MATCH(23,$AY$11:$AY$4010,0)),""))</f>
        <v/>
      </c>
      <c r="AD33" s="16" t="str">
        <f>IF(AE33="","",IFERROR(INDEX($AL$11:$AL$4010,MATCH(23,$AZ$11:$AZ$4010,0)),""))</f>
        <v/>
      </c>
      <c r="AE33" s="12" t="str">
        <f>IFERROR(INDEX($AM$11:$AM$4010,MATCH(23,$AZ$11:$AZ$4010,0)),"")</f>
        <v/>
      </c>
      <c r="AF33" s="11" t="str">
        <f>IF(AE33="","",IFERROR(INDEX($AN$11:$AN$4010,MATCH(23,$AZ$11:$AZ$4010,0)),""))</f>
        <v/>
      </c>
      <c r="AG33" s="11" t="str">
        <f>IF(AE33="","",IFERROR(INDEX($AO$11:$AO$4010,MATCH(23,$AZ$11:$AZ$4010,0)),""))</f>
        <v/>
      </c>
      <c r="AH33" s="10" t="str">
        <f>IF(AE33="","",IFERROR(INDEX($AQ$11:$AQ$4010,MATCH(23,$AZ$11:$AZ$4010,0)),""))</f>
        <v/>
      </c>
      <c r="AI33" s="15" t="str">
        <f>IF(AE33="","",IFERROR(INDEX($AR$11:$AR$4010,MATCH(23,$AZ$11:$AZ$4010,0)),""))</f>
        <v/>
      </c>
      <c r="AJ33" s="15" t="str">
        <f>IF(AE33="","",IFERROR(INDEX($AT$11:$AT$4010,MATCH(23,$AZ$11:$AZ$4010,0)),""))</f>
        <v/>
      </c>
      <c r="AL33" s="17" t="str">
        <f t="shared" si="5"/>
        <v/>
      </c>
      <c r="AM33" s="12" t="str">
        <f t="shared" si="6"/>
        <v/>
      </c>
      <c r="AN33" s="18" t="str">
        <f t="shared" si="7"/>
        <v/>
      </c>
      <c r="AO33" s="18" t="str">
        <f t="shared" si="8"/>
        <v/>
      </c>
      <c r="AP33" s="10" t="str">
        <f t="shared" si="9"/>
        <v/>
      </c>
      <c r="AQ33" s="10" t="str">
        <f t="shared" si="10"/>
        <v/>
      </c>
      <c r="AR33" s="19" t="str">
        <f t="shared" si="11"/>
        <v/>
      </c>
      <c r="AS33" s="20"/>
      <c r="AT33" s="19"/>
      <c r="AV33" s="21">
        <f>IF(AND($AL33&lt;&gt;"",COUNTIF($AL$11:$AL33,$AL33)=1),1,0)</f>
        <v>0</v>
      </c>
      <c r="AW33" s="21">
        <f t="shared" si="13"/>
        <v>2</v>
      </c>
      <c r="AX33" s="21" t="str">
        <f t="shared" si="12"/>
        <v/>
      </c>
      <c r="AY33" s="21" t="str">
        <f>IF(AND($AM33&lt;&gt;"",$AS33&lt;&gt;"✓"),SUMPRODUCT(($AM$11:$AM33&lt;&gt;"")*($AS$11:$AS33&lt;&gt;"✓")),"")</f>
        <v/>
      </c>
      <c r="AZ33" s="21" t="str">
        <f>IF(AND($AM33&lt;&gt;"",$AS33="✓"),SUMPRODUCT(($AM$11:$AM33&lt;&gt;"")*($AS$11:$AS33="✓")),"")</f>
        <v/>
      </c>
      <c r="BA33" s="21" t="str">
        <f>IF($AL33="","",$AL33&amp;"|"&amp;COUNTIF($AL$11:$AL33,$AL33))</f>
        <v/>
      </c>
      <c r="BD33" s="36" t="str">
        <f>IF(IFERROR(INDEX($AM$11:$AM$4010,MATCH($S$8&amp;"|"&amp;21,$BA$11:$BA$4010,0)),"")="","",21)</f>
        <v/>
      </c>
      <c r="BE33" s="36" t="str">
        <f>IFERROR(INDEX($AM$11:$AM$4010,MATCH($S$8&amp;"|"&amp;21,$BA$11:$BA$4010,0)),"")</f>
        <v/>
      </c>
      <c r="BF33" s="36" t="str">
        <f>IFERROR(INDEX($AP$11:$AP$4010,MATCH($S$8&amp;"|"&amp;21,$BA$11:$BA$4010,0)),"")</f>
        <v/>
      </c>
      <c r="BG33" s="36" t="str">
        <f>IFERROR(INDEX($AQ$11:$AQ$4010,MATCH($S$8&amp;"|"&amp;21,$BA$11:$BA$4010,0)),"")</f>
        <v/>
      </c>
      <c r="BH33" s="37" t="str">
        <f>IFERROR(INDEX($AN$11:$AN$4010,MATCH($S$8&amp;"|"&amp;21,$BA$11:$BA$4010,0)),"")</f>
        <v/>
      </c>
      <c r="BI33" s="37" t="str">
        <f>IFERROR(INDEX($AO$11:$AO$4010,MATCH($S$8&amp;"|"&amp;21,$BA$11:$BA$4010,0)),"")</f>
        <v/>
      </c>
      <c r="BL33" s="36" t="str">
        <f>IF(IFERROR(INDEX($AM$11:$AM$4010,MATCH($S$8&amp;"|"&amp;21,$BA$11:$BA$4010,0)),"")="","",21)</f>
        <v/>
      </c>
      <c r="BM33" s="36" t="str">
        <f>IFERROR(INDEX($AM$11:$AM$4010,MATCH($S$8&amp;"|"&amp;21,$BA$11:$BA$4010,0)),"")</f>
        <v/>
      </c>
      <c r="BN33" s="36" t="str">
        <f>IFERROR(INDEX($AP$11:$AP$4010,MATCH($S$8&amp;"|"&amp;21,$BA$11:$BA$4010,0)),"")</f>
        <v/>
      </c>
      <c r="BO33" s="36" t="str">
        <f>IFERROR(INDEX($AQ$11:$AQ$4010,MATCH($S$8&amp;"|"&amp;21,$BA$11:$BA$4010,0)),"")</f>
        <v/>
      </c>
      <c r="BP33" s="37" t="str">
        <f>IFERROR(INDEX($AN$11:$AN$4010,MATCH($S$8&amp;"|"&amp;21,$BA$11:$BA$4010,0)),"")</f>
        <v/>
      </c>
      <c r="BQ33" s="37" t="str">
        <f>IFERROR(INDEX($AO$11:$AO$4010,MATCH($S$8&amp;"|"&amp;21,$BA$11:$BA$4010,0)),"")</f>
        <v/>
      </c>
    </row>
    <row r="34" spans="2:69" ht="13.5" customHeight="1" x14ac:dyDescent="0.25">
      <c r="B34" s="5" t="str">
        <f t="shared" si="0"/>
        <v/>
      </c>
      <c r="C34" s="5"/>
      <c r="D34" s="5"/>
      <c r="E34" s="5"/>
      <c r="F34" s="6"/>
      <c r="G34" s="6"/>
      <c r="H34" s="7"/>
      <c r="I34" s="8"/>
      <c r="K34" s="23" t="str">
        <f>IFERROR(INDEX($AL$11:$AL$4010,MATCH(24,$AX$11:$AX$4010,0)),"")</f>
        <v/>
      </c>
      <c r="L34" s="24" t="str">
        <f t="shared" si="1"/>
        <v/>
      </c>
      <c r="M34" s="25" t="str">
        <f t="shared" si="2"/>
        <v/>
      </c>
      <c r="N34" s="25" t="str">
        <f t="shared" si="3"/>
        <v/>
      </c>
      <c r="P34" s="26" t="str">
        <f>IFERROR(INDEX($AM$11:$AM$4010,MATCH($S$8&amp;"|"&amp;24,$BA$11:$BA$4010,0)),"")</f>
        <v/>
      </c>
      <c r="Q34" s="25" t="str">
        <f>IF(P34="","",IFERROR(INDEX($AN$11:$AN$4010,MATCH($S$8&amp;"|"&amp;24,$BA$11:$BA$4010,0)),""))</f>
        <v/>
      </c>
      <c r="R34" s="25" t="str">
        <f>IF(P34="","",IFERROR(INDEX($AO$11:$AO$4010,MATCH($S$8&amp;"|"&amp;24,$BA$11:$BA$4010,0)),""))</f>
        <v/>
      </c>
      <c r="S34" s="24" t="str">
        <f>IF(P34="","",IFERROR(INDEX($AP$11:$AP$4010,MATCH($S$8&amp;"|"&amp;24,$BA$11:$BA$4010,0)),""))</f>
        <v/>
      </c>
      <c r="T34" s="24" t="str">
        <f>IF(P34="","",IFERROR(INDEX($AQ$11:$AQ$4010,MATCH($S$8&amp;"|"&amp;24,$BA$11:$BA$4010,0)),""))</f>
        <v/>
      </c>
      <c r="U34" s="38" t="str">
        <f t="shared" si="4"/>
        <v/>
      </c>
      <c r="W34" s="28" t="str">
        <f>IF(X34="","",IFERROR(INDEX($AL$11:$AL$4010,MATCH(24,$AY$11:$AY$4010,0)),""))</f>
        <v/>
      </c>
      <c r="X34" s="26" t="str">
        <f>IFERROR(INDEX($AM$11:$AM$4010,MATCH(24,$AY$11:$AY$4010,0)),"")</f>
        <v/>
      </c>
      <c r="Y34" s="25" t="str">
        <f>IF(X34="","",IFERROR(INDEX($AN$11:$AN$4010,MATCH(24,$AY$11:$AY$4010,0)),""))</f>
        <v/>
      </c>
      <c r="Z34" s="25" t="str">
        <f>IF(X34="","",IFERROR(INDEX($AO$11:$AO$4010,MATCH(24,$AY$11:$AY$4010,0)),""))</f>
        <v/>
      </c>
      <c r="AA34" s="24" t="str">
        <f>IF(X34="","",IFERROR(INDEX($AQ$11:$AQ$4010,MATCH(24,$AY$11:$AY$4010,0)),""))</f>
        <v/>
      </c>
      <c r="AB34" s="29" t="str">
        <f>IF(X34="","",IFERROR(INDEX($AR$11:$AR$4010,MATCH(24,$AY$11:$AY$4010,0)),""))</f>
        <v/>
      </c>
      <c r="AD34" s="30" t="str">
        <f>IF(AE34="","",IFERROR(INDEX($AL$11:$AL$4010,MATCH(24,$AZ$11:$AZ$4010,0)),""))</f>
        <v/>
      </c>
      <c r="AE34" s="26" t="str">
        <f>IFERROR(INDEX($AM$11:$AM$4010,MATCH(24,$AZ$11:$AZ$4010,0)),"")</f>
        <v/>
      </c>
      <c r="AF34" s="25" t="str">
        <f>IF(AE34="","",IFERROR(INDEX($AN$11:$AN$4010,MATCH(24,$AZ$11:$AZ$4010,0)),""))</f>
        <v/>
      </c>
      <c r="AG34" s="25" t="str">
        <f>IF(AE34="","",IFERROR(INDEX($AO$11:$AO$4010,MATCH(24,$AZ$11:$AZ$4010,0)),""))</f>
        <v/>
      </c>
      <c r="AH34" s="24" t="str">
        <f>IF(AE34="","",IFERROR(INDEX($AQ$11:$AQ$4010,MATCH(24,$AZ$11:$AZ$4010,0)),""))</f>
        <v/>
      </c>
      <c r="AI34" s="29" t="str">
        <f>IF(AE34="","",IFERROR(INDEX($AR$11:$AR$4010,MATCH(24,$AZ$11:$AZ$4010,0)),""))</f>
        <v/>
      </c>
      <c r="AJ34" s="29" t="str">
        <f>IF(AE34="","",IFERROR(INDEX($AT$11:$AT$4010,MATCH(24,$AZ$11:$AZ$4010,0)),""))</f>
        <v/>
      </c>
      <c r="AL34" s="31" t="str">
        <f t="shared" si="5"/>
        <v/>
      </c>
      <c r="AM34" s="26" t="str">
        <f t="shared" si="6"/>
        <v/>
      </c>
      <c r="AN34" s="32" t="str">
        <f t="shared" si="7"/>
        <v/>
      </c>
      <c r="AO34" s="32" t="str">
        <f t="shared" si="8"/>
        <v/>
      </c>
      <c r="AP34" s="24" t="str">
        <f t="shared" si="9"/>
        <v/>
      </c>
      <c r="AQ34" s="24" t="str">
        <f t="shared" si="10"/>
        <v/>
      </c>
      <c r="AR34" s="33" t="str">
        <f t="shared" si="11"/>
        <v/>
      </c>
      <c r="AS34" s="34"/>
      <c r="AT34" s="33"/>
      <c r="AV34" s="21">
        <f>IF(AND($AL34&lt;&gt;"",COUNTIF($AL$11:$AL34,$AL34)=1),1,0)</f>
        <v>0</v>
      </c>
      <c r="AW34" s="21">
        <f t="shared" si="13"/>
        <v>2</v>
      </c>
      <c r="AX34" s="21" t="str">
        <f t="shared" si="12"/>
        <v/>
      </c>
      <c r="AY34" s="21" t="str">
        <f>IF(AND($AM34&lt;&gt;"",$AS34&lt;&gt;"✓"),SUMPRODUCT(($AM$11:$AM34&lt;&gt;"")*($AS$11:$AS34&lt;&gt;"✓")),"")</f>
        <v/>
      </c>
      <c r="AZ34" s="21" t="str">
        <f>IF(AND($AM34&lt;&gt;"",$AS34="✓"),SUMPRODUCT(($AM$11:$AM34&lt;&gt;"")*($AS$11:$AS34="✓")),"")</f>
        <v/>
      </c>
      <c r="BA34" s="21" t="str">
        <f>IF($AL34="","",$AL34&amp;"|"&amp;COUNTIF($AL$11:$AL34,$AL34))</f>
        <v/>
      </c>
      <c r="BD34" s="36" t="str">
        <f>IF(IFERROR(INDEX($AM$11:$AM$4010,MATCH($S$8&amp;"|"&amp;22,$BA$11:$BA$4010,0)),"")="","",22)</f>
        <v/>
      </c>
      <c r="BE34" s="36" t="str">
        <f>IFERROR(INDEX($AM$11:$AM$4010,MATCH($S$8&amp;"|"&amp;22,$BA$11:$BA$4010,0)),"")</f>
        <v/>
      </c>
      <c r="BF34" s="36" t="str">
        <f>IFERROR(INDEX($AP$11:$AP$4010,MATCH($S$8&amp;"|"&amp;22,$BA$11:$BA$4010,0)),"")</f>
        <v/>
      </c>
      <c r="BG34" s="36" t="str">
        <f>IFERROR(INDEX($AQ$11:$AQ$4010,MATCH($S$8&amp;"|"&amp;22,$BA$11:$BA$4010,0)),"")</f>
        <v/>
      </c>
      <c r="BH34" s="37" t="str">
        <f>IFERROR(INDEX($AN$11:$AN$4010,MATCH($S$8&amp;"|"&amp;22,$BA$11:$BA$4010,0)),"")</f>
        <v/>
      </c>
      <c r="BI34" s="37" t="str">
        <f>IFERROR(INDEX($AO$11:$AO$4010,MATCH($S$8&amp;"|"&amp;22,$BA$11:$BA$4010,0)),"")</f>
        <v/>
      </c>
      <c r="BL34" s="36" t="str">
        <f>IF(IFERROR(INDEX($AM$11:$AM$4010,MATCH($S$8&amp;"|"&amp;22,$BA$11:$BA$4010,0)),"")="","",22)</f>
        <v/>
      </c>
      <c r="BM34" s="36" t="str">
        <f>IFERROR(INDEX($AM$11:$AM$4010,MATCH($S$8&amp;"|"&amp;22,$BA$11:$BA$4010,0)),"")</f>
        <v/>
      </c>
      <c r="BN34" s="36" t="str">
        <f>IFERROR(INDEX($AP$11:$AP$4010,MATCH($S$8&amp;"|"&amp;22,$BA$11:$BA$4010,0)),"")</f>
        <v/>
      </c>
      <c r="BO34" s="36" t="str">
        <f>IFERROR(INDEX($AQ$11:$AQ$4010,MATCH($S$8&amp;"|"&amp;22,$BA$11:$BA$4010,0)),"")</f>
        <v/>
      </c>
      <c r="BP34" s="37" t="str">
        <f>IFERROR(INDEX($AN$11:$AN$4010,MATCH($S$8&amp;"|"&amp;22,$BA$11:$BA$4010,0)),"")</f>
        <v/>
      </c>
      <c r="BQ34" s="37" t="str">
        <f>IFERROR(INDEX($AO$11:$AO$4010,MATCH($S$8&amp;"|"&amp;22,$BA$11:$BA$4010,0)),"")</f>
        <v/>
      </c>
    </row>
    <row r="35" spans="2:69" ht="13.5" customHeight="1" x14ac:dyDescent="0.25">
      <c r="B35" s="5" t="str">
        <f t="shared" si="0"/>
        <v/>
      </c>
      <c r="C35" s="5"/>
      <c r="D35" s="5"/>
      <c r="E35" s="5"/>
      <c r="F35" s="6"/>
      <c r="G35" s="6"/>
      <c r="H35" s="7"/>
      <c r="I35" s="8"/>
      <c r="K35" s="9" t="str">
        <f>IFERROR(INDEX($AL$11:$AL$4010,MATCH(25,$AX$11:$AX$4010,0)),"")</f>
        <v/>
      </c>
      <c r="L35" s="10" t="str">
        <f t="shared" si="1"/>
        <v/>
      </c>
      <c r="M35" s="11" t="str">
        <f t="shared" si="2"/>
        <v/>
      </c>
      <c r="N35" s="11" t="str">
        <f t="shared" si="3"/>
        <v/>
      </c>
      <c r="P35" s="12" t="str">
        <f>IFERROR(INDEX($AM$11:$AM$4010,MATCH($S$8&amp;"|"&amp;25,$BA$11:$BA$4010,0)),"")</f>
        <v/>
      </c>
      <c r="Q35" s="11" t="str">
        <f>IF(P35="","",IFERROR(INDEX($AN$11:$AN$4010,MATCH($S$8&amp;"|"&amp;25,$BA$11:$BA$4010,0)),""))</f>
        <v/>
      </c>
      <c r="R35" s="11" t="str">
        <f>IF(P35="","",IFERROR(INDEX($AO$11:$AO$4010,MATCH($S$8&amp;"|"&amp;25,$BA$11:$BA$4010,0)),""))</f>
        <v/>
      </c>
      <c r="S35" s="10" t="str">
        <f>IF(P35="","",IFERROR(INDEX($AP$11:$AP$4010,MATCH($S$8&amp;"|"&amp;25,$BA$11:$BA$4010,0)),""))</f>
        <v/>
      </c>
      <c r="T35" s="10" t="str">
        <f>IF(P35="","",IFERROR(INDEX($AQ$11:$AQ$4010,MATCH($S$8&amp;"|"&amp;25,$BA$11:$BA$4010,0)),""))</f>
        <v/>
      </c>
      <c r="U35" s="39" t="str">
        <f t="shared" si="4"/>
        <v/>
      </c>
      <c r="W35" s="14" t="str">
        <f>IF(X35="","",IFERROR(INDEX($AL$11:$AL$4010,MATCH(25,$AY$11:$AY$4010,0)),""))</f>
        <v/>
      </c>
      <c r="X35" s="12" t="str">
        <f>IFERROR(INDEX($AM$11:$AM$4010,MATCH(25,$AY$11:$AY$4010,0)),"")</f>
        <v/>
      </c>
      <c r="Y35" s="11" t="str">
        <f>IF(X35="","",IFERROR(INDEX($AN$11:$AN$4010,MATCH(25,$AY$11:$AY$4010,0)),""))</f>
        <v/>
      </c>
      <c r="Z35" s="11" t="str">
        <f>IF(X35="","",IFERROR(INDEX($AO$11:$AO$4010,MATCH(25,$AY$11:$AY$4010,0)),""))</f>
        <v/>
      </c>
      <c r="AA35" s="10" t="str">
        <f>IF(X35="","",IFERROR(INDEX($AQ$11:$AQ$4010,MATCH(25,$AY$11:$AY$4010,0)),""))</f>
        <v/>
      </c>
      <c r="AB35" s="15" t="str">
        <f>IF(X35="","",IFERROR(INDEX($AR$11:$AR$4010,MATCH(25,$AY$11:$AY$4010,0)),""))</f>
        <v/>
      </c>
      <c r="AD35" s="16" t="str">
        <f>IF(AE35="","",IFERROR(INDEX($AL$11:$AL$4010,MATCH(25,$AZ$11:$AZ$4010,0)),""))</f>
        <v/>
      </c>
      <c r="AE35" s="12" t="str">
        <f>IFERROR(INDEX($AM$11:$AM$4010,MATCH(25,$AZ$11:$AZ$4010,0)),"")</f>
        <v/>
      </c>
      <c r="AF35" s="11" t="str">
        <f>IF(AE35="","",IFERROR(INDEX($AN$11:$AN$4010,MATCH(25,$AZ$11:$AZ$4010,0)),""))</f>
        <v/>
      </c>
      <c r="AG35" s="11" t="str">
        <f>IF(AE35="","",IFERROR(INDEX($AO$11:$AO$4010,MATCH(25,$AZ$11:$AZ$4010,0)),""))</f>
        <v/>
      </c>
      <c r="AH35" s="10" t="str">
        <f>IF(AE35="","",IFERROR(INDEX($AQ$11:$AQ$4010,MATCH(25,$AZ$11:$AZ$4010,0)),""))</f>
        <v/>
      </c>
      <c r="AI35" s="15" t="str">
        <f>IF(AE35="","",IFERROR(INDEX($AR$11:$AR$4010,MATCH(25,$AZ$11:$AZ$4010,0)),""))</f>
        <v/>
      </c>
      <c r="AJ35" s="15" t="str">
        <f>IF(AE35="","",IFERROR(INDEX($AT$11:$AT$4010,MATCH(25,$AZ$11:$AZ$4010,0)),""))</f>
        <v/>
      </c>
      <c r="AL35" s="17" t="str">
        <f t="shared" si="5"/>
        <v/>
      </c>
      <c r="AM35" s="12" t="str">
        <f t="shared" si="6"/>
        <v/>
      </c>
      <c r="AN35" s="18" t="str">
        <f t="shared" si="7"/>
        <v/>
      </c>
      <c r="AO35" s="18" t="str">
        <f t="shared" si="8"/>
        <v/>
      </c>
      <c r="AP35" s="10" t="str">
        <f t="shared" si="9"/>
        <v/>
      </c>
      <c r="AQ35" s="10" t="str">
        <f t="shared" si="10"/>
        <v/>
      </c>
      <c r="AR35" s="19" t="str">
        <f t="shared" si="11"/>
        <v/>
      </c>
      <c r="AS35" s="20"/>
      <c r="AT35" s="19"/>
      <c r="AV35" s="21">
        <f>IF(AND($AL35&lt;&gt;"",COUNTIF($AL$11:$AL35,$AL35)=1),1,0)</f>
        <v>0</v>
      </c>
      <c r="AW35" s="21">
        <f t="shared" si="13"/>
        <v>2</v>
      </c>
      <c r="AX35" s="21" t="str">
        <f t="shared" si="12"/>
        <v/>
      </c>
      <c r="AY35" s="21" t="str">
        <f>IF(AND($AM35&lt;&gt;"",$AS35&lt;&gt;"✓"),SUMPRODUCT(($AM$11:$AM35&lt;&gt;"")*($AS$11:$AS35&lt;&gt;"✓")),"")</f>
        <v/>
      </c>
      <c r="AZ35" s="21" t="str">
        <f>IF(AND($AM35&lt;&gt;"",$AS35="✓"),SUMPRODUCT(($AM$11:$AM35&lt;&gt;"")*($AS$11:$AS35="✓")),"")</f>
        <v/>
      </c>
      <c r="BA35" s="21" t="str">
        <f>IF($AL35="","",$AL35&amp;"|"&amp;COUNTIF($AL$11:$AL35,$AL35))</f>
        <v/>
      </c>
      <c r="BD35" s="36" t="str">
        <f>IF(IFERROR(INDEX($AM$11:$AM$4010,MATCH($S$8&amp;"|"&amp;23,$BA$11:$BA$4010,0)),"")="","",23)</f>
        <v/>
      </c>
      <c r="BE35" s="36" t="str">
        <f>IFERROR(INDEX($AM$11:$AM$4010,MATCH($S$8&amp;"|"&amp;23,$BA$11:$BA$4010,0)),"")</f>
        <v/>
      </c>
      <c r="BF35" s="36" t="str">
        <f>IFERROR(INDEX($AP$11:$AP$4010,MATCH($S$8&amp;"|"&amp;23,$BA$11:$BA$4010,0)),"")</f>
        <v/>
      </c>
      <c r="BG35" s="36" t="str">
        <f>IFERROR(INDEX($AQ$11:$AQ$4010,MATCH($S$8&amp;"|"&amp;23,$BA$11:$BA$4010,0)),"")</f>
        <v/>
      </c>
      <c r="BH35" s="37" t="str">
        <f>IFERROR(INDEX($AN$11:$AN$4010,MATCH($S$8&amp;"|"&amp;23,$BA$11:$BA$4010,0)),"")</f>
        <v/>
      </c>
      <c r="BI35" s="37" t="str">
        <f>IFERROR(INDEX($AO$11:$AO$4010,MATCH($S$8&amp;"|"&amp;23,$BA$11:$BA$4010,0)),"")</f>
        <v/>
      </c>
      <c r="BL35" s="36" t="str">
        <f>IF(IFERROR(INDEX($AM$11:$AM$4010,MATCH($S$8&amp;"|"&amp;23,$BA$11:$BA$4010,0)),"")="","",23)</f>
        <v/>
      </c>
      <c r="BM35" s="36" t="str">
        <f>IFERROR(INDEX($AM$11:$AM$4010,MATCH($S$8&amp;"|"&amp;23,$BA$11:$BA$4010,0)),"")</f>
        <v/>
      </c>
      <c r="BN35" s="36" t="str">
        <f>IFERROR(INDEX($AP$11:$AP$4010,MATCH($S$8&amp;"|"&amp;23,$BA$11:$BA$4010,0)),"")</f>
        <v/>
      </c>
      <c r="BO35" s="36" t="str">
        <f>IFERROR(INDEX($AQ$11:$AQ$4010,MATCH($S$8&amp;"|"&amp;23,$BA$11:$BA$4010,0)),"")</f>
        <v/>
      </c>
      <c r="BP35" s="37" t="str">
        <f>IFERROR(INDEX($AN$11:$AN$4010,MATCH($S$8&amp;"|"&amp;23,$BA$11:$BA$4010,0)),"")</f>
        <v/>
      </c>
      <c r="BQ35" s="37" t="str">
        <f>IFERROR(INDEX($AO$11:$AO$4010,MATCH($S$8&amp;"|"&amp;23,$BA$11:$BA$4010,0)),"")</f>
        <v/>
      </c>
    </row>
    <row r="36" spans="2:69" ht="13.5" customHeight="1" x14ac:dyDescent="0.25">
      <c r="B36" s="5" t="str">
        <f t="shared" si="0"/>
        <v/>
      </c>
      <c r="C36" s="5"/>
      <c r="D36" s="5"/>
      <c r="E36" s="5"/>
      <c r="F36" s="6"/>
      <c r="G36" s="6"/>
      <c r="H36" s="7"/>
      <c r="I36" s="8"/>
      <c r="K36" s="23" t="str">
        <f>IFERROR(INDEX($AL$11:$AL$4010,MATCH(26,$AX$11:$AX$4010,0)),"")</f>
        <v/>
      </c>
      <c r="L36" s="24" t="str">
        <f t="shared" si="1"/>
        <v/>
      </c>
      <c r="M36" s="25" t="str">
        <f t="shared" si="2"/>
        <v/>
      </c>
      <c r="N36" s="25" t="str">
        <f t="shared" si="3"/>
        <v/>
      </c>
      <c r="P36" s="26" t="str">
        <f>IFERROR(INDEX($AM$11:$AM$4010,MATCH($S$8&amp;"|"&amp;26,$BA$11:$BA$4010,0)),"")</f>
        <v/>
      </c>
      <c r="Q36" s="25" t="str">
        <f>IF(P36="","",IFERROR(INDEX($AN$11:$AN$4010,MATCH($S$8&amp;"|"&amp;26,$BA$11:$BA$4010,0)),""))</f>
        <v/>
      </c>
      <c r="R36" s="25" t="str">
        <f>IF(P36="","",IFERROR(INDEX($AO$11:$AO$4010,MATCH($S$8&amp;"|"&amp;26,$BA$11:$BA$4010,0)),""))</f>
        <v/>
      </c>
      <c r="S36" s="24" t="str">
        <f>IF(P36="","",IFERROR(INDEX($AP$11:$AP$4010,MATCH($S$8&amp;"|"&amp;26,$BA$11:$BA$4010,0)),""))</f>
        <v/>
      </c>
      <c r="T36" s="24" t="str">
        <f>IF(P36="","",IFERROR(INDEX($AQ$11:$AQ$4010,MATCH($S$8&amp;"|"&amp;26,$BA$11:$BA$4010,0)),""))</f>
        <v/>
      </c>
      <c r="U36" s="38" t="str">
        <f t="shared" si="4"/>
        <v/>
      </c>
      <c r="W36" s="28" t="str">
        <f>IF(X36="","",IFERROR(INDEX($AL$11:$AL$4010,MATCH(26,$AY$11:$AY$4010,0)),""))</f>
        <v/>
      </c>
      <c r="X36" s="26" t="str">
        <f>IFERROR(INDEX($AM$11:$AM$4010,MATCH(26,$AY$11:$AY$4010,0)),"")</f>
        <v/>
      </c>
      <c r="Y36" s="25" t="str">
        <f>IF(X36="","",IFERROR(INDEX($AN$11:$AN$4010,MATCH(26,$AY$11:$AY$4010,0)),""))</f>
        <v/>
      </c>
      <c r="Z36" s="25" t="str">
        <f>IF(X36="","",IFERROR(INDEX($AO$11:$AO$4010,MATCH(26,$AY$11:$AY$4010,0)),""))</f>
        <v/>
      </c>
      <c r="AA36" s="24" t="str">
        <f>IF(X36="","",IFERROR(INDEX($AQ$11:$AQ$4010,MATCH(26,$AY$11:$AY$4010,0)),""))</f>
        <v/>
      </c>
      <c r="AB36" s="29" t="str">
        <f>IF(X36="","",IFERROR(INDEX($AR$11:$AR$4010,MATCH(26,$AY$11:$AY$4010,0)),""))</f>
        <v/>
      </c>
      <c r="AD36" s="30" t="str">
        <f>IF(AE36="","",IFERROR(INDEX($AL$11:$AL$4010,MATCH(26,$AZ$11:$AZ$4010,0)),""))</f>
        <v/>
      </c>
      <c r="AE36" s="26" t="str">
        <f>IFERROR(INDEX($AM$11:$AM$4010,MATCH(26,$AZ$11:$AZ$4010,0)),"")</f>
        <v/>
      </c>
      <c r="AF36" s="25" t="str">
        <f>IF(AE36="","",IFERROR(INDEX($AN$11:$AN$4010,MATCH(26,$AZ$11:$AZ$4010,0)),""))</f>
        <v/>
      </c>
      <c r="AG36" s="25" t="str">
        <f>IF(AE36="","",IFERROR(INDEX($AO$11:$AO$4010,MATCH(26,$AZ$11:$AZ$4010,0)),""))</f>
        <v/>
      </c>
      <c r="AH36" s="24" t="str">
        <f>IF(AE36="","",IFERROR(INDEX($AQ$11:$AQ$4010,MATCH(26,$AZ$11:$AZ$4010,0)),""))</f>
        <v/>
      </c>
      <c r="AI36" s="29" t="str">
        <f>IF(AE36="","",IFERROR(INDEX($AR$11:$AR$4010,MATCH(26,$AZ$11:$AZ$4010,0)),""))</f>
        <v/>
      </c>
      <c r="AJ36" s="29" t="str">
        <f>IF(AE36="","",IFERROR(INDEX($AT$11:$AT$4010,MATCH(26,$AZ$11:$AZ$4010,0)),""))</f>
        <v/>
      </c>
      <c r="AL36" s="31" t="str">
        <f t="shared" si="5"/>
        <v/>
      </c>
      <c r="AM36" s="26" t="str">
        <f t="shared" si="6"/>
        <v/>
      </c>
      <c r="AN36" s="32" t="str">
        <f t="shared" si="7"/>
        <v/>
      </c>
      <c r="AO36" s="32" t="str">
        <f t="shared" si="8"/>
        <v/>
      </c>
      <c r="AP36" s="24" t="str">
        <f t="shared" si="9"/>
        <v/>
      </c>
      <c r="AQ36" s="24" t="str">
        <f t="shared" si="10"/>
        <v/>
      </c>
      <c r="AR36" s="33" t="str">
        <f t="shared" si="11"/>
        <v/>
      </c>
      <c r="AS36" s="34"/>
      <c r="AT36" s="33"/>
      <c r="AV36" s="21">
        <f>IF(AND($AL36&lt;&gt;"",COUNTIF($AL$11:$AL36,$AL36)=1),1,0)</f>
        <v>0</v>
      </c>
      <c r="AW36" s="21">
        <f t="shared" si="13"/>
        <v>2</v>
      </c>
      <c r="AX36" s="21" t="str">
        <f t="shared" si="12"/>
        <v/>
      </c>
      <c r="AY36" s="21" t="str">
        <f>IF(AND($AM36&lt;&gt;"",$AS36&lt;&gt;"✓"),SUMPRODUCT(($AM$11:$AM36&lt;&gt;"")*($AS$11:$AS36&lt;&gt;"✓")),"")</f>
        <v/>
      </c>
      <c r="AZ36" s="21" t="str">
        <f>IF(AND($AM36&lt;&gt;"",$AS36="✓"),SUMPRODUCT(($AM$11:$AM36&lt;&gt;"")*($AS$11:$AS36="✓")),"")</f>
        <v/>
      </c>
      <c r="BA36" s="21" t="str">
        <f>IF($AL36="","",$AL36&amp;"|"&amp;COUNTIF($AL$11:$AL36,$AL36))</f>
        <v/>
      </c>
      <c r="BD36" s="36" t="str">
        <f>IF(IFERROR(INDEX($AM$11:$AM$4010,MATCH($S$8&amp;"|"&amp;24,$BA$11:$BA$4010,0)),"")="","",24)</f>
        <v/>
      </c>
      <c r="BE36" s="36" t="str">
        <f>IFERROR(INDEX($AM$11:$AM$4010,MATCH($S$8&amp;"|"&amp;24,$BA$11:$BA$4010,0)),"")</f>
        <v/>
      </c>
      <c r="BF36" s="36" t="str">
        <f>IFERROR(INDEX($AP$11:$AP$4010,MATCH($S$8&amp;"|"&amp;24,$BA$11:$BA$4010,0)),"")</f>
        <v/>
      </c>
      <c r="BG36" s="36" t="str">
        <f>IFERROR(INDEX($AQ$11:$AQ$4010,MATCH($S$8&amp;"|"&amp;24,$BA$11:$BA$4010,0)),"")</f>
        <v/>
      </c>
      <c r="BH36" s="37" t="str">
        <f>IFERROR(INDEX($AN$11:$AN$4010,MATCH($S$8&amp;"|"&amp;24,$BA$11:$BA$4010,0)),"")</f>
        <v/>
      </c>
      <c r="BI36" s="37" t="str">
        <f>IFERROR(INDEX($AO$11:$AO$4010,MATCH($S$8&amp;"|"&amp;24,$BA$11:$BA$4010,0)),"")</f>
        <v/>
      </c>
      <c r="BL36" s="36" t="str">
        <f>IF(IFERROR(INDEX($AM$11:$AM$4010,MATCH($S$8&amp;"|"&amp;24,$BA$11:$BA$4010,0)),"")="","",24)</f>
        <v/>
      </c>
      <c r="BM36" s="36" t="str">
        <f>IFERROR(INDEX($AM$11:$AM$4010,MATCH($S$8&amp;"|"&amp;24,$BA$11:$BA$4010,0)),"")</f>
        <v/>
      </c>
      <c r="BN36" s="36" t="str">
        <f>IFERROR(INDEX($AP$11:$AP$4010,MATCH($S$8&amp;"|"&amp;24,$BA$11:$BA$4010,0)),"")</f>
        <v/>
      </c>
      <c r="BO36" s="36" t="str">
        <f>IFERROR(INDEX($AQ$11:$AQ$4010,MATCH($S$8&amp;"|"&amp;24,$BA$11:$BA$4010,0)),"")</f>
        <v/>
      </c>
      <c r="BP36" s="37" t="str">
        <f>IFERROR(INDEX($AN$11:$AN$4010,MATCH($S$8&amp;"|"&amp;24,$BA$11:$BA$4010,0)),"")</f>
        <v/>
      </c>
      <c r="BQ36" s="37" t="str">
        <f>IFERROR(INDEX($AO$11:$AO$4010,MATCH($S$8&amp;"|"&amp;24,$BA$11:$BA$4010,0)),"")</f>
        <v/>
      </c>
    </row>
    <row r="37" spans="2:69" ht="13.5" customHeight="1" x14ac:dyDescent="0.25">
      <c r="B37" s="5" t="str">
        <f t="shared" si="0"/>
        <v/>
      </c>
      <c r="C37" s="5"/>
      <c r="D37" s="5"/>
      <c r="E37" s="5"/>
      <c r="F37" s="6"/>
      <c r="G37" s="6"/>
      <c r="H37" s="7"/>
      <c r="I37" s="8"/>
      <c r="K37" s="9" t="str">
        <f>IFERROR(INDEX($AL$11:$AL$4010,MATCH(27,$AX$11:$AX$4010,0)),"")</f>
        <v/>
      </c>
      <c r="L37" s="10" t="str">
        <f t="shared" si="1"/>
        <v/>
      </c>
      <c r="M37" s="11" t="str">
        <f t="shared" si="2"/>
        <v/>
      </c>
      <c r="N37" s="11" t="str">
        <f t="shared" si="3"/>
        <v/>
      </c>
      <c r="P37" s="12" t="str">
        <f>IFERROR(INDEX($AM$11:$AM$4010,MATCH($S$8&amp;"|"&amp;27,$BA$11:$BA$4010,0)),"")</f>
        <v/>
      </c>
      <c r="Q37" s="11" t="str">
        <f>IF(P37="","",IFERROR(INDEX($AN$11:$AN$4010,MATCH($S$8&amp;"|"&amp;27,$BA$11:$BA$4010,0)),""))</f>
        <v/>
      </c>
      <c r="R37" s="11" t="str">
        <f>IF(P37="","",IFERROR(INDEX($AO$11:$AO$4010,MATCH($S$8&amp;"|"&amp;27,$BA$11:$BA$4010,0)),""))</f>
        <v/>
      </c>
      <c r="S37" s="10" t="str">
        <f>IF(P37="","",IFERROR(INDEX($AP$11:$AP$4010,MATCH($S$8&amp;"|"&amp;27,$BA$11:$BA$4010,0)),""))</f>
        <v/>
      </c>
      <c r="T37" s="10" t="str">
        <f>IF(P37="","",IFERROR(INDEX($AQ$11:$AQ$4010,MATCH($S$8&amp;"|"&amp;27,$BA$11:$BA$4010,0)),""))</f>
        <v/>
      </c>
      <c r="U37" s="39" t="str">
        <f t="shared" si="4"/>
        <v/>
      </c>
      <c r="W37" s="14" t="str">
        <f>IF(X37="","",IFERROR(INDEX($AL$11:$AL$4010,MATCH(27,$AY$11:$AY$4010,0)),""))</f>
        <v/>
      </c>
      <c r="X37" s="12" t="str">
        <f>IFERROR(INDEX($AM$11:$AM$4010,MATCH(27,$AY$11:$AY$4010,0)),"")</f>
        <v/>
      </c>
      <c r="Y37" s="11" t="str">
        <f>IF(X37="","",IFERROR(INDEX($AN$11:$AN$4010,MATCH(27,$AY$11:$AY$4010,0)),""))</f>
        <v/>
      </c>
      <c r="Z37" s="11" t="str">
        <f>IF(X37="","",IFERROR(INDEX($AO$11:$AO$4010,MATCH(27,$AY$11:$AY$4010,0)),""))</f>
        <v/>
      </c>
      <c r="AA37" s="10" t="str">
        <f>IF(X37="","",IFERROR(INDEX($AQ$11:$AQ$4010,MATCH(27,$AY$11:$AY$4010,0)),""))</f>
        <v/>
      </c>
      <c r="AB37" s="15" t="str">
        <f>IF(X37="","",IFERROR(INDEX($AR$11:$AR$4010,MATCH(27,$AY$11:$AY$4010,0)),""))</f>
        <v/>
      </c>
      <c r="AD37" s="16" t="str">
        <f>IF(AE37="","",IFERROR(INDEX($AL$11:$AL$4010,MATCH(27,$AZ$11:$AZ$4010,0)),""))</f>
        <v/>
      </c>
      <c r="AE37" s="12" t="str">
        <f>IFERROR(INDEX($AM$11:$AM$4010,MATCH(27,$AZ$11:$AZ$4010,0)),"")</f>
        <v/>
      </c>
      <c r="AF37" s="11" t="str">
        <f>IF(AE37="","",IFERROR(INDEX($AN$11:$AN$4010,MATCH(27,$AZ$11:$AZ$4010,0)),""))</f>
        <v/>
      </c>
      <c r="AG37" s="11" t="str">
        <f>IF(AE37="","",IFERROR(INDEX($AO$11:$AO$4010,MATCH(27,$AZ$11:$AZ$4010,0)),""))</f>
        <v/>
      </c>
      <c r="AH37" s="10" t="str">
        <f>IF(AE37="","",IFERROR(INDEX($AQ$11:$AQ$4010,MATCH(27,$AZ$11:$AZ$4010,0)),""))</f>
        <v/>
      </c>
      <c r="AI37" s="15" t="str">
        <f>IF(AE37="","",IFERROR(INDEX($AR$11:$AR$4010,MATCH(27,$AZ$11:$AZ$4010,0)),""))</f>
        <v/>
      </c>
      <c r="AJ37" s="15" t="str">
        <f>IF(AE37="","",IFERROR(INDEX($AT$11:$AT$4010,MATCH(27,$AZ$11:$AZ$4010,0)),""))</f>
        <v/>
      </c>
      <c r="AL37" s="17" t="str">
        <f t="shared" si="5"/>
        <v/>
      </c>
      <c r="AM37" s="12" t="str">
        <f t="shared" si="6"/>
        <v/>
      </c>
      <c r="AN37" s="18" t="str">
        <f t="shared" si="7"/>
        <v/>
      </c>
      <c r="AO37" s="18" t="str">
        <f t="shared" si="8"/>
        <v/>
      </c>
      <c r="AP37" s="10" t="str">
        <f t="shared" si="9"/>
        <v/>
      </c>
      <c r="AQ37" s="10" t="str">
        <f t="shared" si="10"/>
        <v/>
      </c>
      <c r="AR37" s="19" t="str">
        <f t="shared" si="11"/>
        <v/>
      </c>
      <c r="AS37" s="20"/>
      <c r="AT37" s="19"/>
      <c r="AV37" s="21">
        <f>IF(AND($AL37&lt;&gt;"",COUNTIF($AL$11:$AL37,$AL37)=1),1,0)</f>
        <v>0</v>
      </c>
      <c r="AW37" s="21">
        <f t="shared" si="13"/>
        <v>2</v>
      </c>
      <c r="AX37" s="21" t="str">
        <f t="shared" si="12"/>
        <v/>
      </c>
      <c r="AY37" s="21" t="str">
        <f>IF(AND($AM37&lt;&gt;"",$AS37&lt;&gt;"✓"),SUMPRODUCT(($AM$11:$AM37&lt;&gt;"")*($AS$11:$AS37&lt;&gt;"✓")),"")</f>
        <v/>
      </c>
      <c r="AZ37" s="21" t="str">
        <f>IF(AND($AM37&lt;&gt;"",$AS37="✓"),SUMPRODUCT(($AM$11:$AM37&lt;&gt;"")*($AS$11:$AS37="✓")),"")</f>
        <v/>
      </c>
      <c r="BA37" s="21" t="str">
        <f>IF($AL37="","",$AL37&amp;"|"&amp;COUNTIF($AL$11:$AL37,$AL37))</f>
        <v/>
      </c>
      <c r="BD37" s="36" t="str">
        <f>IF(IFERROR(INDEX($AM$11:$AM$4010,MATCH($S$8&amp;"|"&amp;25,$BA$11:$BA$4010,0)),"")="","",25)</f>
        <v/>
      </c>
      <c r="BE37" s="36" t="str">
        <f>IFERROR(INDEX($AM$11:$AM$4010,MATCH($S$8&amp;"|"&amp;25,$BA$11:$BA$4010,0)),"")</f>
        <v/>
      </c>
      <c r="BF37" s="36" t="str">
        <f>IFERROR(INDEX($AP$11:$AP$4010,MATCH($S$8&amp;"|"&amp;25,$BA$11:$BA$4010,0)),"")</f>
        <v/>
      </c>
      <c r="BG37" s="36" t="str">
        <f>IFERROR(INDEX($AQ$11:$AQ$4010,MATCH($S$8&amp;"|"&amp;25,$BA$11:$BA$4010,0)),"")</f>
        <v/>
      </c>
      <c r="BH37" s="37" t="str">
        <f>IFERROR(INDEX($AN$11:$AN$4010,MATCH($S$8&amp;"|"&amp;25,$BA$11:$BA$4010,0)),"")</f>
        <v/>
      </c>
      <c r="BI37" s="37" t="str">
        <f>IFERROR(INDEX($AO$11:$AO$4010,MATCH($S$8&amp;"|"&amp;25,$BA$11:$BA$4010,0)),"")</f>
        <v/>
      </c>
      <c r="BL37" s="36" t="str">
        <f>IF(IFERROR(INDEX($AM$11:$AM$4010,MATCH($S$8&amp;"|"&amp;25,$BA$11:$BA$4010,0)),"")="","",25)</f>
        <v/>
      </c>
      <c r="BM37" s="36" t="str">
        <f>IFERROR(INDEX($AM$11:$AM$4010,MATCH($S$8&amp;"|"&amp;25,$BA$11:$BA$4010,0)),"")</f>
        <v/>
      </c>
      <c r="BN37" s="36" t="str">
        <f>IFERROR(INDEX($AP$11:$AP$4010,MATCH($S$8&amp;"|"&amp;25,$BA$11:$BA$4010,0)),"")</f>
        <v/>
      </c>
      <c r="BO37" s="36" t="str">
        <f>IFERROR(INDEX($AQ$11:$AQ$4010,MATCH($S$8&amp;"|"&amp;25,$BA$11:$BA$4010,0)),"")</f>
        <v/>
      </c>
      <c r="BP37" s="37" t="str">
        <f>IFERROR(INDEX($AN$11:$AN$4010,MATCH($S$8&amp;"|"&amp;25,$BA$11:$BA$4010,0)),"")</f>
        <v/>
      </c>
      <c r="BQ37" s="37" t="str">
        <f>IFERROR(INDEX($AO$11:$AO$4010,MATCH($S$8&amp;"|"&amp;25,$BA$11:$BA$4010,0)),"")</f>
        <v/>
      </c>
    </row>
    <row r="38" spans="2:69" ht="13.5" customHeight="1" x14ac:dyDescent="0.25">
      <c r="B38" s="5" t="str">
        <f t="shared" si="0"/>
        <v/>
      </c>
      <c r="C38" s="5"/>
      <c r="D38" s="5"/>
      <c r="E38" s="5"/>
      <c r="F38" s="6"/>
      <c r="G38" s="6"/>
      <c r="H38" s="7"/>
      <c r="I38" s="8"/>
      <c r="K38" s="23" t="str">
        <f>IFERROR(INDEX($AL$11:$AL$4010,MATCH(28,$AX$11:$AX$4010,0)),"")</f>
        <v/>
      </c>
      <c r="L38" s="24" t="str">
        <f t="shared" si="1"/>
        <v/>
      </c>
      <c r="M38" s="25" t="str">
        <f t="shared" si="2"/>
        <v/>
      </c>
      <c r="N38" s="25" t="str">
        <f t="shared" si="3"/>
        <v/>
      </c>
      <c r="P38" s="26" t="str">
        <f>IFERROR(INDEX($AM$11:$AM$4010,MATCH($S$8&amp;"|"&amp;28,$BA$11:$BA$4010,0)),"")</f>
        <v/>
      </c>
      <c r="Q38" s="25" t="str">
        <f>IF(P38="","",IFERROR(INDEX($AN$11:$AN$4010,MATCH($S$8&amp;"|"&amp;28,$BA$11:$BA$4010,0)),""))</f>
        <v/>
      </c>
      <c r="R38" s="25" t="str">
        <f>IF(P38="","",IFERROR(INDEX($AO$11:$AO$4010,MATCH($S$8&amp;"|"&amp;28,$BA$11:$BA$4010,0)),""))</f>
        <v/>
      </c>
      <c r="S38" s="24" t="str">
        <f>IF(P38="","",IFERROR(INDEX($AP$11:$AP$4010,MATCH($S$8&amp;"|"&amp;28,$BA$11:$BA$4010,0)),""))</f>
        <v/>
      </c>
      <c r="T38" s="24" t="str">
        <f>IF(P38="","",IFERROR(INDEX($AQ$11:$AQ$4010,MATCH($S$8&amp;"|"&amp;28,$BA$11:$BA$4010,0)),""))</f>
        <v/>
      </c>
      <c r="U38" s="38" t="str">
        <f t="shared" si="4"/>
        <v/>
      </c>
      <c r="W38" s="28" t="str">
        <f>IF(X38="","",IFERROR(INDEX($AL$11:$AL$4010,MATCH(28,$AY$11:$AY$4010,0)),""))</f>
        <v/>
      </c>
      <c r="X38" s="26" t="str">
        <f>IFERROR(INDEX($AM$11:$AM$4010,MATCH(28,$AY$11:$AY$4010,0)),"")</f>
        <v/>
      </c>
      <c r="Y38" s="25" t="str">
        <f>IF(X38="","",IFERROR(INDEX($AN$11:$AN$4010,MATCH(28,$AY$11:$AY$4010,0)),""))</f>
        <v/>
      </c>
      <c r="Z38" s="25" t="str">
        <f>IF(X38="","",IFERROR(INDEX($AO$11:$AO$4010,MATCH(28,$AY$11:$AY$4010,0)),""))</f>
        <v/>
      </c>
      <c r="AA38" s="24" t="str">
        <f>IF(X38="","",IFERROR(INDEX($AQ$11:$AQ$4010,MATCH(28,$AY$11:$AY$4010,0)),""))</f>
        <v/>
      </c>
      <c r="AB38" s="29" t="str">
        <f>IF(X38="","",IFERROR(INDEX($AR$11:$AR$4010,MATCH(28,$AY$11:$AY$4010,0)),""))</f>
        <v/>
      </c>
      <c r="AD38" s="30" t="str">
        <f>IF(AE38="","",IFERROR(INDEX($AL$11:$AL$4010,MATCH(28,$AZ$11:$AZ$4010,0)),""))</f>
        <v/>
      </c>
      <c r="AE38" s="26" t="str">
        <f>IFERROR(INDEX($AM$11:$AM$4010,MATCH(28,$AZ$11:$AZ$4010,0)),"")</f>
        <v/>
      </c>
      <c r="AF38" s="25" t="str">
        <f>IF(AE38="","",IFERROR(INDEX($AN$11:$AN$4010,MATCH(28,$AZ$11:$AZ$4010,0)),""))</f>
        <v/>
      </c>
      <c r="AG38" s="25" t="str">
        <f>IF(AE38="","",IFERROR(INDEX($AO$11:$AO$4010,MATCH(28,$AZ$11:$AZ$4010,0)),""))</f>
        <v/>
      </c>
      <c r="AH38" s="24" t="str">
        <f>IF(AE38="","",IFERROR(INDEX($AQ$11:$AQ$4010,MATCH(28,$AZ$11:$AZ$4010,0)),""))</f>
        <v/>
      </c>
      <c r="AI38" s="29" t="str">
        <f>IF(AE38="","",IFERROR(INDEX($AR$11:$AR$4010,MATCH(28,$AZ$11:$AZ$4010,0)),""))</f>
        <v/>
      </c>
      <c r="AJ38" s="29" t="str">
        <f>IF(AE38="","",IFERROR(INDEX($AT$11:$AT$4010,MATCH(28,$AZ$11:$AZ$4010,0)),""))</f>
        <v/>
      </c>
      <c r="AL38" s="31" t="str">
        <f t="shared" si="5"/>
        <v/>
      </c>
      <c r="AM38" s="26" t="str">
        <f t="shared" si="6"/>
        <v/>
      </c>
      <c r="AN38" s="32" t="str">
        <f t="shared" si="7"/>
        <v/>
      </c>
      <c r="AO38" s="32" t="str">
        <f t="shared" si="8"/>
        <v/>
      </c>
      <c r="AP38" s="24" t="str">
        <f t="shared" si="9"/>
        <v/>
      </c>
      <c r="AQ38" s="24" t="str">
        <f t="shared" si="10"/>
        <v/>
      </c>
      <c r="AR38" s="33" t="str">
        <f t="shared" si="11"/>
        <v/>
      </c>
      <c r="AS38" s="34"/>
      <c r="AT38" s="33"/>
      <c r="AV38" s="21">
        <f>IF(AND($AL38&lt;&gt;"",COUNTIF($AL$11:$AL38,$AL38)=1),1,0)</f>
        <v>0</v>
      </c>
      <c r="AW38" s="21">
        <f t="shared" si="13"/>
        <v>2</v>
      </c>
      <c r="AX38" s="21" t="str">
        <f t="shared" si="12"/>
        <v/>
      </c>
      <c r="AY38" s="21" t="str">
        <f>IF(AND($AM38&lt;&gt;"",$AS38&lt;&gt;"✓"),SUMPRODUCT(($AM$11:$AM38&lt;&gt;"")*($AS$11:$AS38&lt;&gt;"✓")),"")</f>
        <v/>
      </c>
      <c r="AZ38" s="21" t="str">
        <f>IF(AND($AM38&lt;&gt;"",$AS38="✓"),SUMPRODUCT(($AM$11:$AM38&lt;&gt;"")*($AS$11:$AS38="✓")),"")</f>
        <v/>
      </c>
      <c r="BA38" s="21" t="str">
        <f>IF($AL38="","",$AL38&amp;"|"&amp;COUNTIF($AL$11:$AL38,$AL38))</f>
        <v/>
      </c>
      <c r="BD38" s="36" t="str">
        <f>IF(IFERROR(INDEX($AM$11:$AM$4010,MATCH($S$8&amp;"|"&amp;26,$BA$11:$BA$4010,0)),"")="","",26)</f>
        <v/>
      </c>
      <c r="BE38" s="36" t="str">
        <f>IFERROR(INDEX($AM$11:$AM$4010,MATCH($S$8&amp;"|"&amp;26,$BA$11:$BA$4010,0)),"")</f>
        <v/>
      </c>
      <c r="BF38" s="36" t="str">
        <f>IFERROR(INDEX($AP$11:$AP$4010,MATCH($S$8&amp;"|"&amp;26,$BA$11:$BA$4010,0)),"")</f>
        <v/>
      </c>
      <c r="BG38" s="36" t="str">
        <f>IFERROR(INDEX($AQ$11:$AQ$4010,MATCH($S$8&amp;"|"&amp;26,$BA$11:$BA$4010,0)),"")</f>
        <v/>
      </c>
      <c r="BH38" s="37" t="str">
        <f>IFERROR(INDEX($AN$11:$AN$4010,MATCH($S$8&amp;"|"&amp;26,$BA$11:$BA$4010,0)),"")</f>
        <v/>
      </c>
      <c r="BI38" s="37" t="str">
        <f>IFERROR(INDEX($AO$11:$AO$4010,MATCH($S$8&amp;"|"&amp;26,$BA$11:$BA$4010,0)),"")</f>
        <v/>
      </c>
      <c r="BL38" s="36" t="str">
        <f>IF(IFERROR(INDEX($AM$11:$AM$4010,MATCH($S$8&amp;"|"&amp;26,$BA$11:$BA$4010,0)),"")="","",26)</f>
        <v/>
      </c>
      <c r="BM38" s="36" t="str">
        <f>IFERROR(INDEX($AM$11:$AM$4010,MATCH($S$8&amp;"|"&amp;26,$BA$11:$BA$4010,0)),"")</f>
        <v/>
      </c>
      <c r="BN38" s="36" t="str">
        <f>IFERROR(INDEX($AP$11:$AP$4010,MATCH($S$8&amp;"|"&amp;26,$BA$11:$BA$4010,0)),"")</f>
        <v/>
      </c>
      <c r="BO38" s="36" t="str">
        <f>IFERROR(INDEX($AQ$11:$AQ$4010,MATCH($S$8&amp;"|"&amp;26,$BA$11:$BA$4010,0)),"")</f>
        <v/>
      </c>
      <c r="BP38" s="37" t="str">
        <f>IFERROR(INDEX($AN$11:$AN$4010,MATCH($S$8&amp;"|"&amp;26,$BA$11:$BA$4010,0)),"")</f>
        <v/>
      </c>
      <c r="BQ38" s="37" t="str">
        <f>IFERROR(INDEX($AO$11:$AO$4010,MATCH($S$8&amp;"|"&amp;26,$BA$11:$BA$4010,0)),"")</f>
        <v/>
      </c>
    </row>
    <row r="39" spans="2:69" ht="13.5" customHeight="1" x14ac:dyDescent="0.25">
      <c r="B39" s="5" t="str">
        <f t="shared" si="0"/>
        <v/>
      </c>
      <c r="C39" s="5"/>
      <c r="D39" s="5"/>
      <c r="E39" s="5"/>
      <c r="F39" s="6"/>
      <c r="G39" s="6"/>
      <c r="H39" s="7"/>
      <c r="I39" s="8"/>
      <c r="K39" s="9" t="str">
        <f>IFERROR(INDEX($AL$11:$AL$4010,MATCH(29,$AX$11:$AX$4010,0)),"")</f>
        <v/>
      </c>
      <c r="L39" s="10" t="str">
        <f t="shared" si="1"/>
        <v/>
      </c>
      <c r="M39" s="11" t="str">
        <f t="shared" si="2"/>
        <v/>
      </c>
      <c r="N39" s="11" t="str">
        <f t="shared" si="3"/>
        <v/>
      </c>
      <c r="P39" s="12" t="str">
        <f>IFERROR(INDEX($AM$11:$AM$4010,MATCH($S$8&amp;"|"&amp;29,$BA$11:$BA$4010,0)),"")</f>
        <v/>
      </c>
      <c r="Q39" s="11" t="str">
        <f>IF(P39="","",IFERROR(INDEX($AN$11:$AN$4010,MATCH($S$8&amp;"|"&amp;29,$BA$11:$BA$4010,0)),""))</f>
        <v/>
      </c>
      <c r="R39" s="11" t="str">
        <f>IF(P39="","",IFERROR(INDEX($AO$11:$AO$4010,MATCH($S$8&amp;"|"&amp;29,$BA$11:$BA$4010,0)),""))</f>
        <v/>
      </c>
      <c r="S39" s="10" t="str">
        <f>IF(P39="","",IFERROR(INDEX($AP$11:$AP$4010,MATCH($S$8&amp;"|"&amp;29,$BA$11:$BA$4010,0)),""))</f>
        <v/>
      </c>
      <c r="T39" s="10" t="str">
        <f>IF(P39="","",IFERROR(INDEX($AQ$11:$AQ$4010,MATCH($S$8&amp;"|"&amp;29,$BA$11:$BA$4010,0)),""))</f>
        <v/>
      </c>
      <c r="U39" s="39" t="str">
        <f t="shared" si="4"/>
        <v/>
      </c>
      <c r="W39" s="14" t="str">
        <f>IF(X39="","",IFERROR(INDEX($AL$11:$AL$4010,MATCH(29,$AY$11:$AY$4010,0)),""))</f>
        <v/>
      </c>
      <c r="X39" s="12" t="str">
        <f>IFERROR(INDEX($AM$11:$AM$4010,MATCH(29,$AY$11:$AY$4010,0)),"")</f>
        <v/>
      </c>
      <c r="Y39" s="11" t="str">
        <f>IF(X39="","",IFERROR(INDEX($AN$11:$AN$4010,MATCH(29,$AY$11:$AY$4010,0)),""))</f>
        <v/>
      </c>
      <c r="Z39" s="11" t="str">
        <f>IF(X39="","",IFERROR(INDEX($AO$11:$AO$4010,MATCH(29,$AY$11:$AY$4010,0)),""))</f>
        <v/>
      </c>
      <c r="AA39" s="10" t="str">
        <f>IF(X39="","",IFERROR(INDEX($AQ$11:$AQ$4010,MATCH(29,$AY$11:$AY$4010,0)),""))</f>
        <v/>
      </c>
      <c r="AB39" s="15" t="str">
        <f>IF(X39="","",IFERROR(INDEX($AR$11:$AR$4010,MATCH(29,$AY$11:$AY$4010,0)),""))</f>
        <v/>
      </c>
      <c r="AD39" s="16" t="str">
        <f>IF(AE39="","",IFERROR(INDEX($AL$11:$AL$4010,MATCH(29,$AZ$11:$AZ$4010,0)),""))</f>
        <v/>
      </c>
      <c r="AE39" s="12" t="str">
        <f>IFERROR(INDEX($AM$11:$AM$4010,MATCH(29,$AZ$11:$AZ$4010,0)),"")</f>
        <v/>
      </c>
      <c r="AF39" s="11" t="str">
        <f>IF(AE39="","",IFERROR(INDEX($AN$11:$AN$4010,MATCH(29,$AZ$11:$AZ$4010,0)),""))</f>
        <v/>
      </c>
      <c r="AG39" s="11" t="str">
        <f>IF(AE39="","",IFERROR(INDEX($AO$11:$AO$4010,MATCH(29,$AZ$11:$AZ$4010,0)),""))</f>
        <v/>
      </c>
      <c r="AH39" s="10" t="str">
        <f>IF(AE39="","",IFERROR(INDEX($AQ$11:$AQ$4010,MATCH(29,$AZ$11:$AZ$4010,0)),""))</f>
        <v/>
      </c>
      <c r="AI39" s="15" t="str">
        <f>IF(AE39="","",IFERROR(INDEX($AR$11:$AR$4010,MATCH(29,$AZ$11:$AZ$4010,0)),""))</f>
        <v/>
      </c>
      <c r="AJ39" s="15" t="str">
        <f>IF(AE39="","",IFERROR(INDEX($AT$11:$AT$4010,MATCH(29,$AZ$11:$AZ$4010,0)),""))</f>
        <v/>
      </c>
      <c r="AL39" s="17" t="str">
        <f t="shared" si="5"/>
        <v/>
      </c>
      <c r="AM39" s="12" t="str">
        <f t="shared" si="6"/>
        <v/>
      </c>
      <c r="AN39" s="18" t="str">
        <f t="shared" si="7"/>
        <v/>
      </c>
      <c r="AO39" s="18" t="str">
        <f t="shared" si="8"/>
        <v/>
      </c>
      <c r="AP39" s="10" t="str">
        <f t="shared" si="9"/>
        <v/>
      </c>
      <c r="AQ39" s="10" t="str">
        <f t="shared" si="10"/>
        <v/>
      </c>
      <c r="AR39" s="19" t="str">
        <f t="shared" si="11"/>
        <v/>
      </c>
      <c r="AS39" s="20"/>
      <c r="AT39" s="19"/>
      <c r="AV39" s="21">
        <f>IF(AND($AL39&lt;&gt;"",COUNTIF($AL$11:$AL39,$AL39)=1),1,0)</f>
        <v>0</v>
      </c>
      <c r="AW39" s="21">
        <f t="shared" si="13"/>
        <v>2</v>
      </c>
      <c r="AX39" s="21" t="str">
        <f t="shared" si="12"/>
        <v/>
      </c>
      <c r="AY39" s="21" t="str">
        <f>IF(AND($AM39&lt;&gt;"",$AS39&lt;&gt;"✓"),SUMPRODUCT(($AM$11:$AM39&lt;&gt;"")*($AS$11:$AS39&lt;&gt;"✓")),"")</f>
        <v/>
      </c>
      <c r="AZ39" s="21" t="str">
        <f>IF(AND($AM39&lt;&gt;"",$AS39="✓"),SUMPRODUCT(($AM$11:$AM39&lt;&gt;"")*($AS$11:$AS39="✓")),"")</f>
        <v/>
      </c>
      <c r="BA39" s="21" t="str">
        <f>IF($AL39="","",$AL39&amp;"|"&amp;COUNTIF($AL$11:$AL39,$AL39))</f>
        <v/>
      </c>
      <c r="BD39" s="36" t="str">
        <f>IF(IFERROR(INDEX($AM$11:$AM$4010,MATCH($S$8&amp;"|"&amp;27,$BA$11:$BA$4010,0)),"")="","",27)</f>
        <v/>
      </c>
      <c r="BE39" s="36" t="str">
        <f>IFERROR(INDEX($AM$11:$AM$4010,MATCH($S$8&amp;"|"&amp;27,$BA$11:$BA$4010,0)),"")</f>
        <v/>
      </c>
      <c r="BF39" s="36" t="str">
        <f>IFERROR(INDEX($AP$11:$AP$4010,MATCH($S$8&amp;"|"&amp;27,$BA$11:$BA$4010,0)),"")</f>
        <v/>
      </c>
      <c r="BG39" s="36" t="str">
        <f>IFERROR(INDEX($AQ$11:$AQ$4010,MATCH($S$8&amp;"|"&amp;27,$BA$11:$BA$4010,0)),"")</f>
        <v/>
      </c>
      <c r="BH39" s="37" t="str">
        <f>IFERROR(INDEX($AN$11:$AN$4010,MATCH($S$8&amp;"|"&amp;27,$BA$11:$BA$4010,0)),"")</f>
        <v/>
      </c>
      <c r="BI39" s="37" t="str">
        <f>IFERROR(INDEX($AO$11:$AO$4010,MATCH($S$8&amp;"|"&amp;27,$BA$11:$BA$4010,0)),"")</f>
        <v/>
      </c>
      <c r="BL39" s="36" t="str">
        <f>IF(IFERROR(INDEX($AM$11:$AM$4010,MATCH($S$8&amp;"|"&amp;27,$BA$11:$BA$4010,0)),"")="","",27)</f>
        <v/>
      </c>
      <c r="BM39" s="36" t="str">
        <f>IFERROR(INDEX($AM$11:$AM$4010,MATCH($S$8&amp;"|"&amp;27,$BA$11:$BA$4010,0)),"")</f>
        <v/>
      </c>
      <c r="BN39" s="36" t="str">
        <f>IFERROR(INDEX($AP$11:$AP$4010,MATCH($S$8&amp;"|"&amp;27,$BA$11:$BA$4010,0)),"")</f>
        <v/>
      </c>
      <c r="BO39" s="36" t="str">
        <f>IFERROR(INDEX($AQ$11:$AQ$4010,MATCH($S$8&amp;"|"&amp;27,$BA$11:$BA$4010,0)),"")</f>
        <v/>
      </c>
      <c r="BP39" s="37" t="str">
        <f>IFERROR(INDEX($AN$11:$AN$4010,MATCH($S$8&amp;"|"&amp;27,$BA$11:$BA$4010,0)),"")</f>
        <v/>
      </c>
      <c r="BQ39" s="37" t="str">
        <f>IFERROR(INDEX($AO$11:$AO$4010,MATCH($S$8&amp;"|"&amp;27,$BA$11:$BA$4010,0)),"")</f>
        <v/>
      </c>
    </row>
    <row r="40" spans="2:69" ht="13.5" customHeight="1" x14ac:dyDescent="0.25">
      <c r="B40" s="5" t="str">
        <f t="shared" si="0"/>
        <v/>
      </c>
      <c r="C40" s="5"/>
      <c r="D40" s="5"/>
      <c r="E40" s="5"/>
      <c r="F40" s="6"/>
      <c r="G40" s="6"/>
      <c r="H40" s="7"/>
      <c r="I40" s="8"/>
      <c r="K40" s="23" t="str">
        <f>IFERROR(INDEX($AL$11:$AL$4010,MATCH(30,$AX$11:$AX$4010,0)),"")</f>
        <v/>
      </c>
      <c r="L40" s="24" t="str">
        <f t="shared" si="1"/>
        <v/>
      </c>
      <c r="M40" s="25" t="str">
        <f t="shared" si="2"/>
        <v/>
      </c>
      <c r="N40" s="25" t="str">
        <f t="shared" si="3"/>
        <v/>
      </c>
      <c r="P40" s="26" t="str">
        <f>IFERROR(INDEX($AM$11:$AM$4010,MATCH($S$8&amp;"|"&amp;30,$BA$11:$BA$4010,0)),"")</f>
        <v/>
      </c>
      <c r="Q40" s="25" t="str">
        <f>IF(P40="","",IFERROR(INDEX($AN$11:$AN$4010,MATCH($S$8&amp;"|"&amp;30,$BA$11:$BA$4010,0)),""))</f>
        <v/>
      </c>
      <c r="R40" s="25" t="str">
        <f>IF(P40="","",IFERROR(INDEX($AO$11:$AO$4010,MATCH($S$8&amp;"|"&amp;30,$BA$11:$BA$4010,0)),""))</f>
        <v/>
      </c>
      <c r="S40" s="24" t="str">
        <f>IF(P40="","",IFERROR(INDEX($AP$11:$AP$4010,MATCH($S$8&amp;"|"&amp;30,$BA$11:$BA$4010,0)),""))</f>
        <v/>
      </c>
      <c r="T40" s="24" t="str">
        <f>IF(P40="","",IFERROR(INDEX($AQ$11:$AQ$4010,MATCH($S$8&amp;"|"&amp;30,$BA$11:$BA$4010,0)),""))</f>
        <v/>
      </c>
      <c r="U40" s="38" t="str">
        <f t="shared" si="4"/>
        <v/>
      </c>
      <c r="W40" s="28" t="str">
        <f>IF(X40="","",IFERROR(INDEX($AL$11:$AL$4010,MATCH(30,$AY$11:$AY$4010,0)),""))</f>
        <v/>
      </c>
      <c r="X40" s="26" t="str">
        <f>IFERROR(INDEX($AM$11:$AM$4010,MATCH(30,$AY$11:$AY$4010,0)),"")</f>
        <v/>
      </c>
      <c r="Y40" s="25" t="str">
        <f>IF(X40="","",IFERROR(INDEX($AN$11:$AN$4010,MATCH(30,$AY$11:$AY$4010,0)),""))</f>
        <v/>
      </c>
      <c r="Z40" s="25" t="str">
        <f>IF(X40="","",IFERROR(INDEX($AO$11:$AO$4010,MATCH(30,$AY$11:$AY$4010,0)),""))</f>
        <v/>
      </c>
      <c r="AA40" s="24" t="str">
        <f>IF(X40="","",IFERROR(INDEX($AQ$11:$AQ$4010,MATCH(30,$AY$11:$AY$4010,0)),""))</f>
        <v/>
      </c>
      <c r="AB40" s="29" t="str">
        <f>IF(X40="","",IFERROR(INDEX($AR$11:$AR$4010,MATCH(30,$AY$11:$AY$4010,0)),""))</f>
        <v/>
      </c>
      <c r="AD40" s="30" t="str">
        <f>IF(AE40="","",IFERROR(INDEX($AL$11:$AL$4010,MATCH(30,$AZ$11:$AZ$4010,0)),""))</f>
        <v/>
      </c>
      <c r="AE40" s="26" t="str">
        <f>IFERROR(INDEX($AM$11:$AM$4010,MATCH(30,$AZ$11:$AZ$4010,0)),"")</f>
        <v/>
      </c>
      <c r="AF40" s="25" t="str">
        <f>IF(AE40="","",IFERROR(INDEX($AN$11:$AN$4010,MATCH(30,$AZ$11:$AZ$4010,0)),""))</f>
        <v/>
      </c>
      <c r="AG40" s="25" t="str">
        <f>IF(AE40="","",IFERROR(INDEX($AO$11:$AO$4010,MATCH(30,$AZ$11:$AZ$4010,0)),""))</f>
        <v/>
      </c>
      <c r="AH40" s="24" t="str">
        <f>IF(AE40="","",IFERROR(INDEX($AQ$11:$AQ$4010,MATCH(30,$AZ$11:$AZ$4010,0)),""))</f>
        <v/>
      </c>
      <c r="AI40" s="29" t="str">
        <f>IF(AE40="","",IFERROR(INDEX($AR$11:$AR$4010,MATCH(30,$AZ$11:$AZ$4010,0)),""))</f>
        <v/>
      </c>
      <c r="AJ40" s="29" t="str">
        <f>IF(AE40="","",IFERROR(INDEX($AT$11:$AT$4010,MATCH(30,$AZ$11:$AZ$4010,0)),""))</f>
        <v/>
      </c>
      <c r="AL40" s="31" t="str">
        <f t="shared" si="5"/>
        <v/>
      </c>
      <c r="AM40" s="26" t="str">
        <f t="shared" si="6"/>
        <v/>
      </c>
      <c r="AN40" s="32" t="str">
        <f t="shared" si="7"/>
        <v/>
      </c>
      <c r="AO40" s="32" t="str">
        <f t="shared" si="8"/>
        <v/>
      </c>
      <c r="AP40" s="24" t="str">
        <f t="shared" si="9"/>
        <v/>
      </c>
      <c r="AQ40" s="24" t="str">
        <f t="shared" si="10"/>
        <v/>
      </c>
      <c r="AR40" s="33" t="str">
        <f t="shared" si="11"/>
        <v/>
      </c>
      <c r="AS40" s="34"/>
      <c r="AT40" s="33"/>
      <c r="AV40" s="21">
        <f>IF(AND($AL40&lt;&gt;"",COUNTIF($AL$11:$AL40,$AL40)=1),1,0)</f>
        <v>0</v>
      </c>
      <c r="AW40" s="21">
        <f t="shared" si="13"/>
        <v>2</v>
      </c>
      <c r="AX40" s="21" t="str">
        <f t="shared" si="12"/>
        <v/>
      </c>
      <c r="AY40" s="21" t="str">
        <f>IF(AND($AM40&lt;&gt;"",$AS40&lt;&gt;"✓"),SUMPRODUCT(($AM$11:$AM40&lt;&gt;"")*($AS$11:$AS40&lt;&gt;"✓")),"")</f>
        <v/>
      </c>
      <c r="AZ40" s="21" t="str">
        <f>IF(AND($AM40&lt;&gt;"",$AS40="✓"),SUMPRODUCT(($AM$11:$AM40&lt;&gt;"")*($AS$11:$AS40="✓")),"")</f>
        <v/>
      </c>
      <c r="BA40" s="21" t="str">
        <f>IF($AL40="","",$AL40&amp;"|"&amp;COUNTIF($AL$11:$AL40,$AL40))</f>
        <v/>
      </c>
      <c r="BD40" s="36" t="str">
        <f>IF(IFERROR(INDEX($AM$11:$AM$4010,MATCH($S$8&amp;"|"&amp;28,$BA$11:$BA$4010,0)),"")="","",28)</f>
        <v/>
      </c>
      <c r="BE40" s="36" t="str">
        <f>IFERROR(INDEX($AM$11:$AM$4010,MATCH($S$8&amp;"|"&amp;28,$BA$11:$BA$4010,0)),"")</f>
        <v/>
      </c>
      <c r="BF40" s="36" t="str">
        <f>IFERROR(INDEX($AP$11:$AP$4010,MATCH($S$8&amp;"|"&amp;28,$BA$11:$BA$4010,0)),"")</f>
        <v/>
      </c>
      <c r="BG40" s="36" t="str">
        <f>IFERROR(INDEX($AQ$11:$AQ$4010,MATCH($S$8&amp;"|"&amp;28,$BA$11:$BA$4010,0)),"")</f>
        <v/>
      </c>
      <c r="BH40" s="37" t="str">
        <f>IFERROR(INDEX($AN$11:$AN$4010,MATCH($S$8&amp;"|"&amp;28,$BA$11:$BA$4010,0)),"")</f>
        <v/>
      </c>
      <c r="BI40" s="37" t="str">
        <f>IFERROR(INDEX($AO$11:$AO$4010,MATCH($S$8&amp;"|"&amp;28,$BA$11:$BA$4010,0)),"")</f>
        <v/>
      </c>
      <c r="BL40" s="36" t="str">
        <f>IF(IFERROR(INDEX($AM$11:$AM$4010,MATCH($S$8&amp;"|"&amp;28,$BA$11:$BA$4010,0)),"")="","",28)</f>
        <v/>
      </c>
      <c r="BM40" s="36" t="str">
        <f>IFERROR(INDEX($AM$11:$AM$4010,MATCH($S$8&amp;"|"&amp;28,$BA$11:$BA$4010,0)),"")</f>
        <v/>
      </c>
      <c r="BN40" s="36" t="str">
        <f>IFERROR(INDEX($AP$11:$AP$4010,MATCH($S$8&amp;"|"&amp;28,$BA$11:$BA$4010,0)),"")</f>
        <v/>
      </c>
      <c r="BO40" s="36" t="str">
        <f>IFERROR(INDEX($AQ$11:$AQ$4010,MATCH($S$8&amp;"|"&amp;28,$BA$11:$BA$4010,0)),"")</f>
        <v/>
      </c>
      <c r="BP40" s="37" t="str">
        <f>IFERROR(INDEX($AN$11:$AN$4010,MATCH($S$8&amp;"|"&amp;28,$BA$11:$BA$4010,0)),"")</f>
        <v/>
      </c>
      <c r="BQ40" s="37" t="str">
        <f>IFERROR(INDEX($AO$11:$AO$4010,MATCH($S$8&amp;"|"&amp;28,$BA$11:$BA$4010,0)),"")</f>
        <v/>
      </c>
    </row>
    <row r="41" spans="2:69" ht="13.5" customHeight="1" x14ac:dyDescent="0.25">
      <c r="B41" s="5" t="str">
        <f t="shared" si="0"/>
        <v/>
      </c>
      <c r="C41" s="5"/>
      <c r="D41" s="5"/>
      <c r="E41" s="5"/>
      <c r="F41" s="6"/>
      <c r="G41" s="6"/>
      <c r="H41" s="7"/>
      <c r="I41" s="8"/>
      <c r="K41" s="9" t="str">
        <f>IFERROR(INDEX($AL$11:$AL$4010,MATCH(31,$AX$11:$AX$4010,0)),"")</f>
        <v/>
      </c>
      <c r="L41" s="10" t="str">
        <f t="shared" si="1"/>
        <v/>
      </c>
      <c r="M41" s="11" t="str">
        <f t="shared" si="2"/>
        <v/>
      </c>
      <c r="N41" s="11" t="str">
        <f t="shared" si="3"/>
        <v/>
      </c>
      <c r="P41" s="12" t="str">
        <f>IFERROR(INDEX($AM$11:$AM$4010,MATCH($S$8&amp;"|"&amp;31,$BA$11:$BA$4010,0)),"")</f>
        <v/>
      </c>
      <c r="Q41" s="11" t="str">
        <f>IF(P41="","",IFERROR(INDEX($AN$11:$AN$4010,MATCH($S$8&amp;"|"&amp;31,$BA$11:$BA$4010,0)),""))</f>
        <v/>
      </c>
      <c r="R41" s="11" t="str">
        <f>IF(P41="","",IFERROR(INDEX($AO$11:$AO$4010,MATCH($S$8&amp;"|"&amp;31,$BA$11:$BA$4010,0)),""))</f>
        <v/>
      </c>
      <c r="S41" s="10" t="str">
        <f>IF(P41="","",IFERROR(INDEX($AP$11:$AP$4010,MATCH($S$8&amp;"|"&amp;31,$BA$11:$BA$4010,0)),""))</f>
        <v/>
      </c>
      <c r="T41" s="10" t="str">
        <f>IF(P41="","",IFERROR(INDEX($AQ$11:$AQ$4010,MATCH($S$8&amp;"|"&amp;31,$BA$11:$BA$4010,0)),""))</f>
        <v/>
      </c>
      <c r="U41" s="39" t="str">
        <f t="shared" si="4"/>
        <v/>
      </c>
      <c r="W41" s="14" t="str">
        <f>IF(X41="","",IFERROR(INDEX($AL$11:$AL$4010,MATCH(31,$AY$11:$AY$4010,0)),""))</f>
        <v/>
      </c>
      <c r="X41" s="12" t="str">
        <f>IFERROR(INDEX($AM$11:$AM$4010,MATCH(31,$AY$11:$AY$4010,0)),"")</f>
        <v/>
      </c>
      <c r="Y41" s="11" t="str">
        <f>IF(X41="","",IFERROR(INDEX($AN$11:$AN$4010,MATCH(31,$AY$11:$AY$4010,0)),""))</f>
        <v/>
      </c>
      <c r="Z41" s="11" t="str">
        <f>IF(X41="","",IFERROR(INDEX($AO$11:$AO$4010,MATCH(31,$AY$11:$AY$4010,0)),""))</f>
        <v/>
      </c>
      <c r="AA41" s="10" t="str">
        <f>IF(X41="","",IFERROR(INDEX($AQ$11:$AQ$4010,MATCH(31,$AY$11:$AY$4010,0)),""))</f>
        <v/>
      </c>
      <c r="AB41" s="15" t="str">
        <f>IF(X41="","",IFERROR(INDEX($AR$11:$AR$4010,MATCH(31,$AY$11:$AY$4010,0)),""))</f>
        <v/>
      </c>
      <c r="AD41" s="16" t="str">
        <f>IF(AE41="","",IFERROR(INDEX($AL$11:$AL$4010,MATCH(31,$AZ$11:$AZ$4010,0)),""))</f>
        <v/>
      </c>
      <c r="AE41" s="12" t="str">
        <f>IFERROR(INDEX($AM$11:$AM$4010,MATCH(31,$AZ$11:$AZ$4010,0)),"")</f>
        <v/>
      </c>
      <c r="AF41" s="11" t="str">
        <f>IF(AE41="","",IFERROR(INDEX($AN$11:$AN$4010,MATCH(31,$AZ$11:$AZ$4010,0)),""))</f>
        <v/>
      </c>
      <c r="AG41" s="11" t="str">
        <f>IF(AE41="","",IFERROR(INDEX($AO$11:$AO$4010,MATCH(31,$AZ$11:$AZ$4010,0)),""))</f>
        <v/>
      </c>
      <c r="AH41" s="10" t="str">
        <f>IF(AE41="","",IFERROR(INDEX($AQ$11:$AQ$4010,MATCH(31,$AZ$11:$AZ$4010,0)),""))</f>
        <v/>
      </c>
      <c r="AI41" s="15" t="str">
        <f>IF(AE41="","",IFERROR(INDEX($AR$11:$AR$4010,MATCH(31,$AZ$11:$AZ$4010,0)),""))</f>
        <v/>
      </c>
      <c r="AJ41" s="15" t="str">
        <f>IF(AE41="","",IFERROR(INDEX($AT$11:$AT$4010,MATCH(31,$AZ$11:$AZ$4010,0)),""))</f>
        <v/>
      </c>
      <c r="AL41" s="17" t="str">
        <f t="shared" si="5"/>
        <v/>
      </c>
      <c r="AM41" s="12" t="str">
        <f t="shared" si="6"/>
        <v/>
      </c>
      <c r="AN41" s="18" t="str">
        <f t="shared" si="7"/>
        <v/>
      </c>
      <c r="AO41" s="18" t="str">
        <f t="shared" si="8"/>
        <v/>
      </c>
      <c r="AP41" s="10" t="str">
        <f t="shared" si="9"/>
        <v/>
      </c>
      <c r="AQ41" s="10" t="str">
        <f t="shared" si="10"/>
        <v/>
      </c>
      <c r="AR41" s="19" t="str">
        <f t="shared" si="11"/>
        <v/>
      </c>
      <c r="AS41" s="20"/>
      <c r="AT41" s="19"/>
      <c r="AV41" s="21">
        <f>IF(AND($AL41&lt;&gt;"",COUNTIF($AL$11:$AL41,$AL41)=1),1,0)</f>
        <v>0</v>
      </c>
      <c r="AW41" s="21">
        <f t="shared" si="13"/>
        <v>2</v>
      </c>
      <c r="AX41" s="21" t="str">
        <f t="shared" si="12"/>
        <v/>
      </c>
      <c r="AY41" s="21" t="str">
        <f>IF(AND($AM41&lt;&gt;"",$AS41&lt;&gt;"✓"),SUMPRODUCT(($AM$11:$AM41&lt;&gt;"")*($AS$11:$AS41&lt;&gt;"✓")),"")</f>
        <v/>
      </c>
      <c r="AZ41" s="21" t="str">
        <f>IF(AND($AM41&lt;&gt;"",$AS41="✓"),SUMPRODUCT(($AM$11:$AM41&lt;&gt;"")*($AS$11:$AS41="✓")),"")</f>
        <v/>
      </c>
      <c r="BA41" s="21" t="str">
        <f>IF($AL41="","",$AL41&amp;"|"&amp;COUNTIF($AL$11:$AL41,$AL41))</f>
        <v/>
      </c>
      <c r="BD41" s="36" t="str">
        <f>IF(IFERROR(INDEX($AM$11:$AM$4010,MATCH($S$8&amp;"|"&amp;29,$BA$11:$BA$4010,0)),"")="","",29)</f>
        <v/>
      </c>
      <c r="BE41" s="36" t="str">
        <f>IFERROR(INDEX($AM$11:$AM$4010,MATCH($S$8&amp;"|"&amp;29,$BA$11:$BA$4010,0)),"")</f>
        <v/>
      </c>
      <c r="BF41" s="36" t="str">
        <f>IFERROR(INDEX($AP$11:$AP$4010,MATCH($S$8&amp;"|"&amp;29,$BA$11:$BA$4010,0)),"")</f>
        <v/>
      </c>
      <c r="BG41" s="36" t="str">
        <f>IFERROR(INDEX($AQ$11:$AQ$4010,MATCH($S$8&amp;"|"&amp;29,$BA$11:$BA$4010,0)),"")</f>
        <v/>
      </c>
      <c r="BH41" s="37" t="str">
        <f>IFERROR(INDEX($AN$11:$AN$4010,MATCH($S$8&amp;"|"&amp;29,$BA$11:$BA$4010,0)),"")</f>
        <v/>
      </c>
      <c r="BI41" s="37" t="str">
        <f>IFERROR(INDEX($AO$11:$AO$4010,MATCH($S$8&amp;"|"&amp;29,$BA$11:$BA$4010,0)),"")</f>
        <v/>
      </c>
      <c r="BL41" s="36" t="str">
        <f>IF(IFERROR(INDEX($AM$11:$AM$4010,MATCH($S$8&amp;"|"&amp;29,$BA$11:$BA$4010,0)),"")="","",29)</f>
        <v/>
      </c>
      <c r="BM41" s="36" t="str">
        <f>IFERROR(INDEX($AM$11:$AM$4010,MATCH($S$8&amp;"|"&amp;29,$BA$11:$BA$4010,0)),"")</f>
        <v/>
      </c>
      <c r="BN41" s="36" t="str">
        <f>IFERROR(INDEX($AP$11:$AP$4010,MATCH($S$8&amp;"|"&amp;29,$BA$11:$BA$4010,0)),"")</f>
        <v/>
      </c>
      <c r="BO41" s="36" t="str">
        <f>IFERROR(INDEX($AQ$11:$AQ$4010,MATCH($S$8&amp;"|"&amp;29,$BA$11:$BA$4010,0)),"")</f>
        <v/>
      </c>
      <c r="BP41" s="37" t="str">
        <f>IFERROR(INDEX($AN$11:$AN$4010,MATCH($S$8&amp;"|"&amp;29,$BA$11:$BA$4010,0)),"")</f>
        <v/>
      </c>
      <c r="BQ41" s="37" t="str">
        <f>IFERROR(INDEX($AO$11:$AO$4010,MATCH($S$8&amp;"|"&amp;29,$BA$11:$BA$4010,0)),"")</f>
        <v/>
      </c>
    </row>
    <row r="42" spans="2:69" ht="13.5" customHeight="1" x14ac:dyDescent="0.25">
      <c r="B42" s="5" t="str">
        <f t="shared" si="0"/>
        <v/>
      </c>
      <c r="C42" s="5"/>
      <c r="D42" s="5"/>
      <c r="E42" s="5"/>
      <c r="F42" s="6"/>
      <c r="G42" s="6"/>
      <c r="H42" s="7"/>
      <c r="I42" s="8"/>
      <c r="K42" s="23" t="str">
        <f>IFERROR(INDEX($AL$11:$AL$4010,MATCH(32,$AX$11:$AX$4010,0)),"")</f>
        <v/>
      </c>
      <c r="L42" s="24" t="str">
        <f t="shared" si="1"/>
        <v/>
      </c>
      <c r="M42" s="25" t="str">
        <f t="shared" si="2"/>
        <v/>
      </c>
      <c r="N42" s="25" t="str">
        <f t="shared" si="3"/>
        <v/>
      </c>
      <c r="P42" s="26" t="str">
        <f>IFERROR(INDEX($AM$11:$AM$4010,MATCH($S$8&amp;"|"&amp;32,$BA$11:$BA$4010,0)),"")</f>
        <v/>
      </c>
      <c r="Q42" s="25" t="str">
        <f>IF(P42="","",IFERROR(INDEX($AN$11:$AN$4010,MATCH($S$8&amp;"|"&amp;32,$BA$11:$BA$4010,0)),""))</f>
        <v/>
      </c>
      <c r="R42" s="25" t="str">
        <f>IF(P42="","",IFERROR(INDEX($AO$11:$AO$4010,MATCH($S$8&amp;"|"&amp;32,$BA$11:$BA$4010,0)),""))</f>
        <v/>
      </c>
      <c r="S42" s="24" t="str">
        <f>IF(P42="","",IFERROR(INDEX($AP$11:$AP$4010,MATCH($S$8&amp;"|"&amp;32,$BA$11:$BA$4010,0)),""))</f>
        <v/>
      </c>
      <c r="T42" s="24" t="str">
        <f>IF(P42="","",IFERROR(INDEX($AQ$11:$AQ$4010,MATCH($S$8&amp;"|"&amp;32,$BA$11:$BA$4010,0)),""))</f>
        <v/>
      </c>
      <c r="U42" s="38" t="str">
        <f t="shared" si="4"/>
        <v/>
      </c>
      <c r="W42" s="28" t="str">
        <f>IF(X42="","",IFERROR(INDEX($AL$11:$AL$4010,MATCH(32,$AY$11:$AY$4010,0)),""))</f>
        <v/>
      </c>
      <c r="X42" s="26" t="str">
        <f>IFERROR(INDEX($AM$11:$AM$4010,MATCH(32,$AY$11:$AY$4010,0)),"")</f>
        <v/>
      </c>
      <c r="Y42" s="25" t="str">
        <f>IF(X42="","",IFERROR(INDEX($AN$11:$AN$4010,MATCH(32,$AY$11:$AY$4010,0)),""))</f>
        <v/>
      </c>
      <c r="Z42" s="25" t="str">
        <f>IF(X42="","",IFERROR(INDEX($AO$11:$AO$4010,MATCH(32,$AY$11:$AY$4010,0)),""))</f>
        <v/>
      </c>
      <c r="AA42" s="24" t="str">
        <f>IF(X42="","",IFERROR(INDEX($AQ$11:$AQ$4010,MATCH(32,$AY$11:$AY$4010,0)),""))</f>
        <v/>
      </c>
      <c r="AB42" s="29" t="str">
        <f>IF(X42="","",IFERROR(INDEX($AR$11:$AR$4010,MATCH(32,$AY$11:$AY$4010,0)),""))</f>
        <v/>
      </c>
      <c r="AD42" s="30" t="str">
        <f>IF(AE42="","",IFERROR(INDEX($AL$11:$AL$4010,MATCH(32,$AZ$11:$AZ$4010,0)),""))</f>
        <v/>
      </c>
      <c r="AE42" s="26" t="str">
        <f>IFERROR(INDEX($AM$11:$AM$4010,MATCH(32,$AZ$11:$AZ$4010,0)),"")</f>
        <v/>
      </c>
      <c r="AF42" s="25" t="str">
        <f>IF(AE42="","",IFERROR(INDEX($AN$11:$AN$4010,MATCH(32,$AZ$11:$AZ$4010,0)),""))</f>
        <v/>
      </c>
      <c r="AG42" s="25" t="str">
        <f>IF(AE42="","",IFERROR(INDEX($AO$11:$AO$4010,MATCH(32,$AZ$11:$AZ$4010,0)),""))</f>
        <v/>
      </c>
      <c r="AH42" s="24" t="str">
        <f>IF(AE42="","",IFERROR(INDEX($AQ$11:$AQ$4010,MATCH(32,$AZ$11:$AZ$4010,0)),""))</f>
        <v/>
      </c>
      <c r="AI42" s="29" t="str">
        <f>IF(AE42="","",IFERROR(INDEX($AR$11:$AR$4010,MATCH(32,$AZ$11:$AZ$4010,0)),""))</f>
        <v/>
      </c>
      <c r="AJ42" s="29" t="str">
        <f>IF(AE42="","",IFERROR(INDEX($AT$11:$AT$4010,MATCH(32,$AZ$11:$AZ$4010,0)),""))</f>
        <v/>
      </c>
      <c r="AL42" s="31" t="str">
        <f t="shared" si="5"/>
        <v/>
      </c>
      <c r="AM42" s="26" t="str">
        <f t="shared" si="6"/>
        <v/>
      </c>
      <c r="AN42" s="32" t="str">
        <f t="shared" si="7"/>
        <v/>
      </c>
      <c r="AO42" s="32" t="str">
        <f t="shared" si="8"/>
        <v/>
      </c>
      <c r="AP42" s="24" t="str">
        <f t="shared" si="9"/>
        <v/>
      </c>
      <c r="AQ42" s="24" t="str">
        <f t="shared" si="10"/>
        <v/>
      </c>
      <c r="AR42" s="33" t="str">
        <f t="shared" si="11"/>
        <v/>
      </c>
      <c r="AS42" s="34"/>
      <c r="AT42" s="33"/>
      <c r="AV42" s="21">
        <f>IF(AND($AL42&lt;&gt;"",COUNTIF($AL$11:$AL42,$AL42)=1),1,0)</f>
        <v>0</v>
      </c>
      <c r="AW42" s="21">
        <f t="shared" si="13"/>
        <v>2</v>
      </c>
      <c r="AX42" s="21" t="str">
        <f t="shared" si="12"/>
        <v/>
      </c>
      <c r="AY42" s="21" t="str">
        <f>IF(AND($AM42&lt;&gt;"",$AS42&lt;&gt;"✓"),SUMPRODUCT(($AM$11:$AM42&lt;&gt;"")*($AS$11:$AS42&lt;&gt;"✓")),"")</f>
        <v/>
      </c>
      <c r="AZ42" s="21" t="str">
        <f>IF(AND($AM42&lt;&gt;"",$AS42="✓"),SUMPRODUCT(($AM$11:$AM42&lt;&gt;"")*($AS$11:$AS42="✓")),"")</f>
        <v/>
      </c>
      <c r="BA42" s="21" t="str">
        <f>IF($AL42="","",$AL42&amp;"|"&amp;COUNTIF($AL$11:$AL42,$AL42))</f>
        <v/>
      </c>
      <c r="BD42" s="36" t="str">
        <f>IF(IFERROR(INDEX($AM$11:$AM$4010,MATCH($S$8&amp;"|"&amp;30,$BA$11:$BA$4010,0)),"")="","",30)</f>
        <v/>
      </c>
      <c r="BE42" s="36" t="str">
        <f>IFERROR(INDEX($AM$11:$AM$4010,MATCH($S$8&amp;"|"&amp;30,$BA$11:$BA$4010,0)),"")</f>
        <v/>
      </c>
      <c r="BF42" s="36" t="str">
        <f>IFERROR(INDEX($AP$11:$AP$4010,MATCH($S$8&amp;"|"&amp;30,$BA$11:$BA$4010,0)),"")</f>
        <v/>
      </c>
      <c r="BG42" s="36" t="str">
        <f>IFERROR(INDEX($AQ$11:$AQ$4010,MATCH($S$8&amp;"|"&amp;30,$BA$11:$BA$4010,0)),"")</f>
        <v/>
      </c>
      <c r="BH42" s="37" t="str">
        <f>IFERROR(INDEX($AN$11:$AN$4010,MATCH($S$8&amp;"|"&amp;30,$BA$11:$BA$4010,0)),"")</f>
        <v/>
      </c>
      <c r="BI42" s="37" t="str">
        <f>IFERROR(INDEX($AO$11:$AO$4010,MATCH($S$8&amp;"|"&amp;30,$BA$11:$BA$4010,0)),"")</f>
        <v/>
      </c>
      <c r="BL42" s="36" t="str">
        <f>IF(IFERROR(INDEX($AM$11:$AM$4010,MATCH($S$8&amp;"|"&amp;30,$BA$11:$BA$4010,0)),"")="","",30)</f>
        <v/>
      </c>
      <c r="BM42" s="36" t="str">
        <f>IFERROR(INDEX($AM$11:$AM$4010,MATCH($S$8&amp;"|"&amp;30,$BA$11:$BA$4010,0)),"")</f>
        <v/>
      </c>
      <c r="BN42" s="36" t="str">
        <f>IFERROR(INDEX($AP$11:$AP$4010,MATCH($S$8&amp;"|"&amp;30,$BA$11:$BA$4010,0)),"")</f>
        <v/>
      </c>
      <c r="BO42" s="36" t="str">
        <f>IFERROR(INDEX($AQ$11:$AQ$4010,MATCH($S$8&amp;"|"&amp;30,$BA$11:$BA$4010,0)),"")</f>
        <v/>
      </c>
      <c r="BP42" s="37" t="str">
        <f>IFERROR(INDEX($AN$11:$AN$4010,MATCH($S$8&amp;"|"&amp;30,$BA$11:$BA$4010,0)),"")</f>
        <v/>
      </c>
      <c r="BQ42" s="37" t="str">
        <f>IFERROR(INDEX($AO$11:$AO$4010,MATCH($S$8&amp;"|"&amp;30,$BA$11:$BA$4010,0)),"")</f>
        <v/>
      </c>
    </row>
    <row r="43" spans="2:69" ht="13.5" customHeight="1" x14ac:dyDescent="0.25">
      <c r="B43" s="5" t="str">
        <f t="shared" si="0"/>
        <v/>
      </c>
      <c r="C43" s="5"/>
      <c r="D43" s="5"/>
      <c r="E43" s="5"/>
      <c r="F43" s="6"/>
      <c r="G43" s="6"/>
      <c r="H43" s="7"/>
      <c r="I43" s="8"/>
      <c r="K43" s="9" t="str">
        <f>IFERROR(INDEX($AL$11:$AL$4010,MATCH(33,$AX$11:$AX$4010,0)),"")</f>
        <v/>
      </c>
      <c r="L43" s="10" t="str">
        <f t="shared" si="1"/>
        <v/>
      </c>
      <c r="M43" s="11" t="str">
        <f t="shared" si="2"/>
        <v/>
      </c>
      <c r="N43" s="11" t="str">
        <f t="shared" si="3"/>
        <v/>
      </c>
      <c r="P43" s="12" t="str">
        <f>IFERROR(INDEX($AM$11:$AM$4010,MATCH($S$8&amp;"|"&amp;33,$BA$11:$BA$4010,0)),"")</f>
        <v/>
      </c>
      <c r="Q43" s="11" t="str">
        <f>IF(P43="","",IFERROR(INDEX($AN$11:$AN$4010,MATCH($S$8&amp;"|"&amp;33,$BA$11:$BA$4010,0)),""))</f>
        <v/>
      </c>
      <c r="R43" s="11" t="str">
        <f>IF(P43="","",IFERROR(INDEX($AO$11:$AO$4010,MATCH($S$8&amp;"|"&amp;33,$BA$11:$BA$4010,0)),""))</f>
        <v/>
      </c>
      <c r="S43" s="10" t="str">
        <f>IF(P43="","",IFERROR(INDEX($AP$11:$AP$4010,MATCH($S$8&amp;"|"&amp;33,$BA$11:$BA$4010,0)),""))</f>
        <v/>
      </c>
      <c r="T43" s="10" t="str">
        <f>IF(P43="","",IFERROR(INDEX($AQ$11:$AQ$4010,MATCH($S$8&amp;"|"&amp;33,$BA$11:$BA$4010,0)),""))</f>
        <v/>
      </c>
      <c r="U43" s="39" t="str">
        <f t="shared" ref="U43:U74" si="14">IF(P43="","",$S$8)</f>
        <v/>
      </c>
      <c r="W43" s="14" t="str">
        <f>IF(X43="","",IFERROR(INDEX($AL$11:$AL$4010,MATCH(33,$AY$11:$AY$4010,0)),""))</f>
        <v/>
      </c>
      <c r="X43" s="12" t="str">
        <f>IFERROR(INDEX($AM$11:$AM$4010,MATCH(33,$AY$11:$AY$4010,0)),"")</f>
        <v/>
      </c>
      <c r="Y43" s="11" t="str">
        <f>IF(X43="","",IFERROR(INDEX($AN$11:$AN$4010,MATCH(33,$AY$11:$AY$4010,0)),""))</f>
        <v/>
      </c>
      <c r="Z43" s="11" t="str">
        <f>IF(X43="","",IFERROR(INDEX($AO$11:$AO$4010,MATCH(33,$AY$11:$AY$4010,0)),""))</f>
        <v/>
      </c>
      <c r="AA43" s="10" t="str">
        <f>IF(X43="","",IFERROR(INDEX($AQ$11:$AQ$4010,MATCH(33,$AY$11:$AY$4010,0)),""))</f>
        <v/>
      </c>
      <c r="AB43" s="15" t="str">
        <f>IF(X43="","",IFERROR(INDEX($AR$11:$AR$4010,MATCH(33,$AY$11:$AY$4010,0)),""))</f>
        <v/>
      </c>
      <c r="AD43" s="16" t="str">
        <f>IF(AE43="","",IFERROR(INDEX($AL$11:$AL$4010,MATCH(33,$AZ$11:$AZ$4010,0)),""))</f>
        <v/>
      </c>
      <c r="AE43" s="12" t="str">
        <f>IFERROR(INDEX($AM$11:$AM$4010,MATCH(33,$AZ$11:$AZ$4010,0)),"")</f>
        <v/>
      </c>
      <c r="AF43" s="11" t="str">
        <f>IF(AE43="","",IFERROR(INDEX($AN$11:$AN$4010,MATCH(33,$AZ$11:$AZ$4010,0)),""))</f>
        <v/>
      </c>
      <c r="AG43" s="11" t="str">
        <f>IF(AE43="","",IFERROR(INDEX($AO$11:$AO$4010,MATCH(33,$AZ$11:$AZ$4010,0)),""))</f>
        <v/>
      </c>
      <c r="AH43" s="10" t="str">
        <f>IF(AE43="","",IFERROR(INDEX($AQ$11:$AQ$4010,MATCH(33,$AZ$11:$AZ$4010,0)),""))</f>
        <v/>
      </c>
      <c r="AI43" s="15" t="str">
        <f>IF(AE43="","",IFERROR(INDEX($AR$11:$AR$4010,MATCH(33,$AZ$11:$AZ$4010,0)),""))</f>
        <v/>
      </c>
      <c r="AJ43" s="15" t="str">
        <f>IF(AE43="","",IFERROR(INDEX($AT$11:$AT$4010,MATCH(33,$AZ$11:$AZ$4010,0)),""))</f>
        <v/>
      </c>
      <c r="AL43" s="17" t="str">
        <f t="shared" si="5"/>
        <v/>
      </c>
      <c r="AM43" s="12" t="str">
        <f t="shared" si="6"/>
        <v/>
      </c>
      <c r="AN43" s="18" t="str">
        <f t="shared" si="7"/>
        <v/>
      </c>
      <c r="AO43" s="18" t="str">
        <f t="shared" si="8"/>
        <v/>
      </c>
      <c r="AP43" s="10" t="str">
        <f t="shared" si="9"/>
        <v/>
      </c>
      <c r="AQ43" s="10" t="str">
        <f t="shared" si="10"/>
        <v/>
      </c>
      <c r="AR43" s="19" t="str">
        <f t="shared" si="11"/>
        <v/>
      </c>
      <c r="AS43" s="20"/>
      <c r="AT43" s="19"/>
      <c r="AV43" s="21">
        <f>IF(AND($AL43&lt;&gt;"",COUNTIF($AL$11:$AL43,$AL43)=1),1,0)</f>
        <v>0</v>
      </c>
      <c r="AW43" s="21">
        <f t="shared" si="13"/>
        <v>2</v>
      </c>
      <c r="AX43" s="21" t="str">
        <f t="shared" si="12"/>
        <v/>
      </c>
      <c r="AY43" s="21" t="str">
        <f>IF(AND($AM43&lt;&gt;"",$AS43&lt;&gt;"✓"),SUMPRODUCT(($AM$11:$AM43&lt;&gt;"")*($AS$11:$AS43&lt;&gt;"✓")),"")</f>
        <v/>
      </c>
      <c r="AZ43" s="21" t="str">
        <f>IF(AND($AM43&lt;&gt;"",$AS43="✓"),SUMPRODUCT(($AM$11:$AM43&lt;&gt;"")*($AS$11:$AS43="✓")),"")</f>
        <v/>
      </c>
      <c r="BA43" s="21" t="str">
        <f>IF($AL43="","",$AL43&amp;"|"&amp;COUNTIF($AL$11:$AL43,$AL43))</f>
        <v/>
      </c>
      <c r="BD43" s="36" t="str">
        <f>IF(IFERROR(INDEX($AM$11:$AM$4010,MATCH($S$8&amp;"|"&amp;31,$BA$11:$BA$4010,0)),"")="","",31)</f>
        <v/>
      </c>
      <c r="BE43" s="36" t="str">
        <f>IFERROR(INDEX($AM$11:$AM$4010,MATCH($S$8&amp;"|"&amp;31,$BA$11:$BA$4010,0)),"")</f>
        <v/>
      </c>
      <c r="BF43" s="36" t="str">
        <f>IFERROR(INDEX($AP$11:$AP$4010,MATCH($S$8&amp;"|"&amp;31,$BA$11:$BA$4010,0)),"")</f>
        <v/>
      </c>
      <c r="BG43" s="36" t="str">
        <f>IFERROR(INDEX($AQ$11:$AQ$4010,MATCH($S$8&amp;"|"&amp;31,$BA$11:$BA$4010,0)),"")</f>
        <v/>
      </c>
      <c r="BH43" s="37" t="str">
        <f>IFERROR(INDEX($AN$11:$AN$4010,MATCH($S$8&amp;"|"&amp;31,$BA$11:$BA$4010,0)),"")</f>
        <v/>
      </c>
      <c r="BI43" s="37" t="str">
        <f>IFERROR(INDEX($AO$11:$AO$4010,MATCH($S$8&amp;"|"&amp;31,$BA$11:$BA$4010,0)),"")</f>
        <v/>
      </c>
      <c r="BL43" s="36" t="str">
        <f>IF(IFERROR(INDEX($AM$11:$AM$4010,MATCH($S$8&amp;"|"&amp;31,$BA$11:$BA$4010,0)),"")="","",31)</f>
        <v/>
      </c>
      <c r="BM43" s="36" t="str">
        <f>IFERROR(INDEX($AM$11:$AM$4010,MATCH($S$8&amp;"|"&amp;31,$BA$11:$BA$4010,0)),"")</f>
        <v/>
      </c>
      <c r="BN43" s="36" t="str">
        <f>IFERROR(INDEX($AP$11:$AP$4010,MATCH($S$8&amp;"|"&amp;31,$BA$11:$BA$4010,0)),"")</f>
        <v/>
      </c>
      <c r="BO43" s="36" t="str">
        <f>IFERROR(INDEX($AQ$11:$AQ$4010,MATCH($S$8&amp;"|"&amp;31,$BA$11:$BA$4010,0)),"")</f>
        <v/>
      </c>
      <c r="BP43" s="37" t="str">
        <f>IFERROR(INDEX($AN$11:$AN$4010,MATCH($S$8&amp;"|"&amp;31,$BA$11:$BA$4010,0)),"")</f>
        <v/>
      </c>
      <c r="BQ43" s="37" t="str">
        <f>IFERROR(INDEX($AO$11:$AO$4010,MATCH($S$8&amp;"|"&amp;31,$BA$11:$BA$4010,0)),"")</f>
        <v/>
      </c>
    </row>
    <row r="44" spans="2:69" ht="13.5" customHeight="1" x14ac:dyDescent="0.25">
      <c r="B44" s="5" t="str">
        <f t="shared" si="0"/>
        <v/>
      </c>
      <c r="C44" s="5"/>
      <c r="D44" s="5"/>
      <c r="E44" s="5"/>
      <c r="F44" s="6"/>
      <c r="G44" s="6"/>
      <c r="H44" s="7"/>
      <c r="I44" s="8"/>
      <c r="K44" s="23" t="str">
        <f>IFERROR(INDEX($AL$11:$AL$4010,MATCH(34,$AX$11:$AX$4010,0)),"")</f>
        <v/>
      </c>
      <c r="L44" s="24" t="str">
        <f t="shared" si="1"/>
        <v/>
      </c>
      <c r="M44" s="25" t="str">
        <f t="shared" si="2"/>
        <v/>
      </c>
      <c r="N44" s="25" t="str">
        <f t="shared" si="3"/>
        <v/>
      </c>
      <c r="P44" s="26" t="str">
        <f>IFERROR(INDEX($AM$11:$AM$4010,MATCH($S$8&amp;"|"&amp;34,$BA$11:$BA$4010,0)),"")</f>
        <v/>
      </c>
      <c r="Q44" s="25" t="str">
        <f>IF(P44="","",IFERROR(INDEX($AN$11:$AN$4010,MATCH($S$8&amp;"|"&amp;34,$BA$11:$BA$4010,0)),""))</f>
        <v/>
      </c>
      <c r="R44" s="25" t="str">
        <f>IF(P44="","",IFERROR(INDEX($AO$11:$AO$4010,MATCH($S$8&amp;"|"&amp;34,$BA$11:$BA$4010,0)),""))</f>
        <v/>
      </c>
      <c r="S44" s="24" t="str">
        <f>IF(P44="","",IFERROR(INDEX($AP$11:$AP$4010,MATCH($S$8&amp;"|"&amp;34,$BA$11:$BA$4010,0)),""))</f>
        <v/>
      </c>
      <c r="T44" s="24" t="str">
        <f>IF(P44="","",IFERROR(INDEX($AQ$11:$AQ$4010,MATCH($S$8&amp;"|"&amp;34,$BA$11:$BA$4010,0)),""))</f>
        <v/>
      </c>
      <c r="U44" s="38" t="str">
        <f t="shared" si="14"/>
        <v/>
      </c>
      <c r="W44" s="28" t="str">
        <f>IF(X44="","",IFERROR(INDEX($AL$11:$AL$4010,MATCH(34,$AY$11:$AY$4010,0)),""))</f>
        <v/>
      </c>
      <c r="X44" s="26" t="str">
        <f>IFERROR(INDEX($AM$11:$AM$4010,MATCH(34,$AY$11:$AY$4010,0)),"")</f>
        <v/>
      </c>
      <c r="Y44" s="25" t="str">
        <f>IF(X44="","",IFERROR(INDEX($AN$11:$AN$4010,MATCH(34,$AY$11:$AY$4010,0)),""))</f>
        <v/>
      </c>
      <c r="Z44" s="25" t="str">
        <f>IF(X44="","",IFERROR(INDEX($AO$11:$AO$4010,MATCH(34,$AY$11:$AY$4010,0)),""))</f>
        <v/>
      </c>
      <c r="AA44" s="24" t="str">
        <f>IF(X44="","",IFERROR(INDEX($AQ$11:$AQ$4010,MATCH(34,$AY$11:$AY$4010,0)),""))</f>
        <v/>
      </c>
      <c r="AB44" s="29" t="str">
        <f>IF(X44="","",IFERROR(INDEX($AR$11:$AR$4010,MATCH(34,$AY$11:$AY$4010,0)),""))</f>
        <v/>
      </c>
      <c r="AD44" s="30" t="str">
        <f>IF(AE44="","",IFERROR(INDEX($AL$11:$AL$4010,MATCH(34,$AZ$11:$AZ$4010,0)),""))</f>
        <v/>
      </c>
      <c r="AE44" s="26" t="str">
        <f>IFERROR(INDEX($AM$11:$AM$4010,MATCH(34,$AZ$11:$AZ$4010,0)),"")</f>
        <v/>
      </c>
      <c r="AF44" s="25" t="str">
        <f>IF(AE44="","",IFERROR(INDEX($AN$11:$AN$4010,MATCH(34,$AZ$11:$AZ$4010,0)),""))</f>
        <v/>
      </c>
      <c r="AG44" s="25" t="str">
        <f>IF(AE44="","",IFERROR(INDEX($AO$11:$AO$4010,MATCH(34,$AZ$11:$AZ$4010,0)),""))</f>
        <v/>
      </c>
      <c r="AH44" s="24" t="str">
        <f>IF(AE44="","",IFERROR(INDEX($AQ$11:$AQ$4010,MATCH(34,$AZ$11:$AZ$4010,0)),""))</f>
        <v/>
      </c>
      <c r="AI44" s="29" t="str">
        <f>IF(AE44="","",IFERROR(INDEX($AR$11:$AR$4010,MATCH(34,$AZ$11:$AZ$4010,0)),""))</f>
        <v/>
      </c>
      <c r="AJ44" s="29" t="str">
        <f>IF(AE44="","",IFERROR(INDEX($AT$11:$AT$4010,MATCH(34,$AZ$11:$AZ$4010,0)),""))</f>
        <v/>
      </c>
      <c r="AL44" s="31" t="str">
        <f t="shared" si="5"/>
        <v/>
      </c>
      <c r="AM44" s="26" t="str">
        <f t="shared" si="6"/>
        <v/>
      </c>
      <c r="AN44" s="32" t="str">
        <f t="shared" si="7"/>
        <v/>
      </c>
      <c r="AO44" s="32" t="str">
        <f t="shared" si="8"/>
        <v/>
      </c>
      <c r="AP44" s="24" t="str">
        <f t="shared" si="9"/>
        <v/>
      </c>
      <c r="AQ44" s="24" t="str">
        <f t="shared" si="10"/>
        <v/>
      </c>
      <c r="AR44" s="33" t="str">
        <f t="shared" si="11"/>
        <v/>
      </c>
      <c r="AS44" s="34"/>
      <c r="AT44" s="33"/>
      <c r="AV44" s="21">
        <f>IF(AND($AL44&lt;&gt;"",COUNTIF($AL$11:$AL44,$AL44)=1),1,0)</f>
        <v>0</v>
      </c>
      <c r="AW44" s="21">
        <f t="shared" si="13"/>
        <v>2</v>
      </c>
      <c r="AX44" s="21" t="str">
        <f t="shared" si="12"/>
        <v/>
      </c>
      <c r="AY44" s="21" t="str">
        <f>IF(AND($AM44&lt;&gt;"",$AS44&lt;&gt;"✓"),SUMPRODUCT(($AM$11:$AM44&lt;&gt;"")*($AS$11:$AS44&lt;&gt;"✓")),"")</f>
        <v/>
      </c>
      <c r="AZ44" s="21" t="str">
        <f>IF(AND($AM44&lt;&gt;"",$AS44="✓"),SUMPRODUCT(($AM$11:$AM44&lt;&gt;"")*($AS$11:$AS44="✓")),"")</f>
        <v/>
      </c>
      <c r="BA44" s="21" t="str">
        <f>IF($AL44="","",$AL44&amp;"|"&amp;COUNTIF($AL$11:$AL44,$AL44))</f>
        <v/>
      </c>
      <c r="BD44" s="36" t="str">
        <f>IF(IFERROR(INDEX($AM$11:$AM$4010,MATCH($S$8&amp;"|"&amp;32,$BA$11:$BA$4010,0)),"")="","",32)</f>
        <v/>
      </c>
      <c r="BE44" s="36" t="str">
        <f>IFERROR(INDEX($AM$11:$AM$4010,MATCH($S$8&amp;"|"&amp;32,$BA$11:$BA$4010,0)),"")</f>
        <v/>
      </c>
      <c r="BF44" s="36" t="str">
        <f>IFERROR(INDEX($AP$11:$AP$4010,MATCH($S$8&amp;"|"&amp;32,$BA$11:$BA$4010,0)),"")</f>
        <v/>
      </c>
      <c r="BG44" s="36" t="str">
        <f>IFERROR(INDEX($AQ$11:$AQ$4010,MATCH($S$8&amp;"|"&amp;32,$BA$11:$BA$4010,0)),"")</f>
        <v/>
      </c>
      <c r="BH44" s="37" t="str">
        <f>IFERROR(INDEX($AN$11:$AN$4010,MATCH($S$8&amp;"|"&amp;32,$BA$11:$BA$4010,0)),"")</f>
        <v/>
      </c>
      <c r="BI44" s="37" t="str">
        <f>IFERROR(INDEX($AO$11:$AO$4010,MATCH($S$8&amp;"|"&amp;32,$BA$11:$BA$4010,0)),"")</f>
        <v/>
      </c>
      <c r="BL44" s="36" t="str">
        <f>IF(IFERROR(INDEX($AM$11:$AM$4010,MATCH($S$8&amp;"|"&amp;32,$BA$11:$BA$4010,0)),"")="","",32)</f>
        <v/>
      </c>
      <c r="BM44" s="36" t="str">
        <f>IFERROR(INDEX($AM$11:$AM$4010,MATCH($S$8&amp;"|"&amp;32,$BA$11:$BA$4010,0)),"")</f>
        <v/>
      </c>
      <c r="BN44" s="36" t="str">
        <f>IFERROR(INDEX($AP$11:$AP$4010,MATCH($S$8&amp;"|"&amp;32,$BA$11:$BA$4010,0)),"")</f>
        <v/>
      </c>
      <c r="BO44" s="36" t="str">
        <f>IFERROR(INDEX($AQ$11:$AQ$4010,MATCH($S$8&amp;"|"&amp;32,$BA$11:$BA$4010,0)),"")</f>
        <v/>
      </c>
      <c r="BP44" s="37" t="str">
        <f>IFERROR(INDEX($AN$11:$AN$4010,MATCH($S$8&amp;"|"&amp;32,$BA$11:$BA$4010,0)),"")</f>
        <v/>
      </c>
      <c r="BQ44" s="37" t="str">
        <f>IFERROR(INDEX($AO$11:$AO$4010,MATCH($S$8&amp;"|"&amp;32,$BA$11:$BA$4010,0)),"")</f>
        <v/>
      </c>
    </row>
    <row r="45" spans="2:69" ht="13.5" customHeight="1" x14ac:dyDescent="0.25">
      <c r="B45" s="5" t="str">
        <f t="shared" si="0"/>
        <v/>
      </c>
      <c r="C45" s="5"/>
      <c r="D45" s="5"/>
      <c r="E45" s="5"/>
      <c r="F45" s="6"/>
      <c r="G45" s="6"/>
      <c r="H45" s="7"/>
      <c r="I45" s="8"/>
      <c r="K45" s="9" t="str">
        <f>IFERROR(INDEX($AL$11:$AL$4010,MATCH(35,$AX$11:$AX$4010,0)),"")</f>
        <v/>
      </c>
      <c r="L45" s="10" t="str">
        <f t="shared" si="1"/>
        <v/>
      </c>
      <c r="M45" s="11" t="str">
        <f t="shared" si="2"/>
        <v/>
      </c>
      <c r="N45" s="11" t="str">
        <f t="shared" si="3"/>
        <v/>
      </c>
      <c r="P45" s="12" t="str">
        <f>IFERROR(INDEX($AM$11:$AM$4010,MATCH($S$8&amp;"|"&amp;35,$BA$11:$BA$4010,0)),"")</f>
        <v/>
      </c>
      <c r="Q45" s="11" t="str">
        <f>IF(P45="","",IFERROR(INDEX($AN$11:$AN$4010,MATCH($S$8&amp;"|"&amp;35,$BA$11:$BA$4010,0)),""))</f>
        <v/>
      </c>
      <c r="R45" s="11" t="str">
        <f>IF(P45="","",IFERROR(INDEX($AO$11:$AO$4010,MATCH($S$8&amp;"|"&amp;35,$BA$11:$BA$4010,0)),""))</f>
        <v/>
      </c>
      <c r="S45" s="10" t="str">
        <f>IF(P45="","",IFERROR(INDEX($AP$11:$AP$4010,MATCH($S$8&amp;"|"&amp;35,$BA$11:$BA$4010,0)),""))</f>
        <v/>
      </c>
      <c r="T45" s="10" t="str">
        <f>IF(P45="","",IFERROR(INDEX($AQ$11:$AQ$4010,MATCH($S$8&amp;"|"&amp;35,$BA$11:$BA$4010,0)),""))</f>
        <v/>
      </c>
      <c r="U45" s="39" t="str">
        <f t="shared" si="14"/>
        <v/>
      </c>
      <c r="W45" s="14" t="str">
        <f>IF(X45="","",IFERROR(INDEX($AL$11:$AL$4010,MATCH(35,$AY$11:$AY$4010,0)),""))</f>
        <v/>
      </c>
      <c r="X45" s="12" t="str">
        <f>IFERROR(INDEX($AM$11:$AM$4010,MATCH(35,$AY$11:$AY$4010,0)),"")</f>
        <v/>
      </c>
      <c r="Y45" s="11" t="str">
        <f>IF(X45="","",IFERROR(INDEX($AN$11:$AN$4010,MATCH(35,$AY$11:$AY$4010,0)),""))</f>
        <v/>
      </c>
      <c r="Z45" s="11" t="str">
        <f>IF(X45="","",IFERROR(INDEX($AO$11:$AO$4010,MATCH(35,$AY$11:$AY$4010,0)),""))</f>
        <v/>
      </c>
      <c r="AA45" s="10" t="str">
        <f>IF(X45="","",IFERROR(INDEX($AQ$11:$AQ$4010,MATCH(35,$AY$11:$AY$4010,0)),""))</f>
        <v/>
      </c>
      <c r="AB45" s="15" t="str">
        <f>IF(X45="","",IFERROR(INDEX($AR$11:$AR$4010,MATCH(35,$AY$11:$AY$4010,0)),""))</f>
        <v/>
      </c>
      <c r="AD45" s="16" t="str">
        <f>IF(AE45="","",IFERROR(INDEX($AL$11:$AL$4010,MATCH(35,$AZ$11:$AZ$4010,0)),""))</f>
        <v/>
      </c>
      <c r="AE45" s="12" t="str">
        <f>IFERROR(INDEX($AM$11:$AM$4010,MATCH(35,$AZ$11:$AZ$4010,0)),"")</f>
        <v/>
      </c>
      <c r="AF45" s="11" t="str">
        <f>IF(AE45="","",IFERROR(INDEX($AN$11:$AN$4010,MATCH(35,$AZ$11:$AZ$4010,0)),""))</f>
        <v/>
      </c>
      <c r="AG45" s="11" t="str">
        <f>IF(AE45="","",IFERROR(INDEX($AO$11:$AO$4010,MATCH(35,$AZ$11:$AZ$4010,0)),""))</f>
        <v/>
      </c>
      <c r="AH45" s="10" t="str">
        <f>IF(AE45="","",IFERROR(INDEX($AQ$11:$AQ$4010,MATCH(35,$AZ$11:$AZ$4010,0)),""))</f>
        <v/>
      </c>
      <c r="AI45" s="15" t="str">
        <f>IF(AE45="","",IFERROR(INDEX($AR$11:$AR$4010,MATCH(35,$AZ$11:$AZ$4010,0)),""))</f>
        <v/>
      </c>
      <c r="AJ45" s="15" t="str">
        <f>IF(AE45="","",IFERROR(INDEX($AT$11:$AT$4010,MATCH(35,$AZ$11:$AZ$4010,0)),""))</f>
        <v/>
      </c>
      <c r="AL45" s="17" t="str">
        <f t="shared" si="5"/>
        <v/>
      </c>
      <c r="AM45" s="12" t="str">
        <f t="shared" si="6"/>
        <v/>
      </c>
      <c r="AN45" s="18" t="str">
        <f t="shared" si="7"/>
        <v/>
      </c>
      <c r="AO45" s="18" t="str">
        <f t="shared" si="8"/>
        <v/>
      </c>
      <c r="AP45" s="10" t="str">
        <f t="shared" si="9"/>
        <v/>
      </c>
      <c r="AQ45" s="10" t="str">
        <f t="shared" si="10"/>
        <v/>
      </c>
      <c r="AR45" s="19" t="str">
        <f t="shared" si="11"/>
        <v/>
      </c>
      <c r="AS45" s="20"/>
      <c r="AT45" s="19"/>
      <c r="AV45" s="21">
        <f>IF(AND($AL45&lt;&gt;"",COUNTIF($AL$11:$AL45,$AL45)=1),1,0)</f>
        <v>0</v>
      </c>
      <c r="AW45" s="21">
        <f t="shared" si="13"/>
        <v>2</v>
      </c>
      <c r="AX45" s="21" t="str">
        <f t="shared" si="12"/>
        <v/>
      </c>
      <c r="AY45" s="21" t="str">
        <f>IF(AND($AM45&lt;&gt;"",$AS45&lt;&gt;"✓"),SUMPRODUCT(($AM$11:$AM45&lt;&gt;"")*($AS$11:$AS45&lt;&gt;"✓")),"")</f>
        <v/>
      </c>
      <c r="AZ45" s="21" t="str">
        <f>IF(AND($AM45&lt;&gt;"",$AS45="✓"),SUMPRODUCT(($AM$11:$AM45&lt;&gt;"")*($AS$11:$AS45="✓")),"")</f>
        <v/>
      </c>
      <c r="BA45" s="21" t="str">
        <f>IF($AL45="","",$AL45&amp;"|"&amp;COUNTIF($AL$11:$AL45,$AL45))</f>
        <v/>
      </c>
      <c r="BD45" s="36" t="str">
        <f>IF(IFERROR(INDEX($AM$11:$AM$4010,MATCH($S$8&amp;"|"&amp;33,$BA$11:$BA$4010,0)),"")="","",33)</f>
        <v/>
      </c>
      <c r="BE45" s="36" t="str">
        <f>IFERROR(INDEX($AM$11:$AM$4010,MATCH($S$8&amp;"|"&amp;33,$BA$11:$BA$4010,0)),"")</f>
        <v/>
      </c>
      <c r="BF45" s="36" t="str">
        <f>IFERROR(INDEX($AP$11:$AP$4010,MATCH($S$8&amp;"|"&amp;33,$BA$11:$BA$4010,0)),"")</f>
        <v/>
      </c>
      <c r="BG45" s="36" t="str">
        <f>IFERROR(INDEX($AQ$11:$AQ$4010,MATCH($S$8&amp;"|"&amp;33,$BA$11:$BA$4010,0)),"")</f>
        <v/>
      </c>
      <c r="BH45" s="37" t="str">
        <f>IFERROR(INDEX($AN$11:$AN$4010,MATCH($S$8&amp;"|"&amp;33,$BA$11:$BA$4010,0)),"")</f>
        <v/>
      </c>
      <c r="BI45" s="37" t="str">
        <f>IFERROR(INDEX($AO$11:$AO$4010,MATCH($S$8&amp;"|"&amp;33,$BA$11:$BA$4010,0)),"")</f>
        <v/>
      </c>
      <c r="BL45" s="36" t="str">
        <f>IF(IFERROR(INDEX($AM$11:$AM$4010,MATCH($S$8&amp;"|"&amp;33,$BA$11:$BA$4010,0)),"")="","",33)</f>
        <v/>
      </c>
      <c r="BM45" s="36" t="str">
        <f>IFERROR(INDEX($AM$11:$AM$4010,MATCH($S$8&amp;"|"&amp;33,$BA$11:$BA$4010,0)),"")</f>
        <v/>
      </c>
      <c r="BN45" s="36" t="str">
        <f>IFERROR(INDEX($AP$11:$AP$4010,MATCH($S$8&amp;"|"&amp;33,$BA$11:$BA$4010,0)),"")</f>
        <v/>
      </c>
      <c r="BO45" s="36" t="str">
        <f>IFERROR(INDEX($AQ$11:$AQ$4010,MATCH($S$8&amp;"|"&amp;33,$BA$11:$BA$4010,0)),"")</f>
        <v/>
      </c>
      <c r="BP45" s="37" t="str">
        <f>IFERROR(INDEX($AN$11:$AN$4010,MATCH($S$8&amp;"|"&amp;33,$BA$11:$BA$4010,0)),"")</f>
        <v/>
      </c>
      <c r="BQ45" s="37" t="str">
        <f>IFERROR(INDEX($AO$11:$AO$4010,MATCH($S$8&amp;"|"&amp;33,$BA$11:$BA$4010,0)),"")</f>
        <v/>
      </c>
    </row>
    <row r="46" spans="2:69" ht="13.5" customHeight="1" x14ac:dyDescent="0.25">
      <c r="B46" s="5" t="str">
        <f t="shared" si="0"/>
        <v/>
      </c>
      <c r="C46" s="5"/>
      <c r="D46" s="5"/>
      <c r="E46" s="5"/>
      <c r="F46" s="6"/>
      <c r="G46" s="6"/>
      <c r="H46" s="7"/>
      <c r="I46" s="8"/>
      <c r="K46" s="23" t="str">
        <f>IFERROR(INDEX($AL$11:$AL$4010,MATCH(36,$AX$11:$AX$4010,0)),"")</f>
        <v/>
      </c>
      <c r="L46" s="24" t="str">
        <f t="shared" si="1"/>
        <v/>
      </c>
      <c r="M46" s="25" t="str">
        <f t="shared" si="2"/>
        <v/>
      </c>
      <c r="N46" s="25" t="str">
        <f t="shared" si="3"/>
        <v/>
      </c>
      <c r="P46" s="26" t="str">
        <f>IFERROR(INDEX($AM$11:$AM$4010,MATCH($S$8&amp;"|"&amp;36,$BA$11:$BA$4010,0)),"")</f>
        <v/>
      </c>
      <c r="Q46" s="25" t="str">
        <f>IF(P46="","",IFERROR(INDEX($AN$11:$AN$4010,MATCH($S$8&amp;"|"&amp;36,$BA$11:$BA$4010,0)),""))</f>
        <v/>
      </c>
      <c r="R46" s="25" t="str">
        <f>IF(P46="","",IFERROR(INDEX($AO$11:$AO$4010,MATCH($S$8&amp;"|"&amp;36,$BA$11:$BA$4010,0)),""))</f>
        <v/>
      </c>
      <c r="S46" s="24" t="str">
        <f>IF(P46="","",IFERROR(INDEX($AP$11:$AP$4010,MATCH($S$8&amp;"|"&amp;36,$BA$11:$BA$4010,0)),""))</f>
        <v/>
      </c>
      <c r="T46" s="24" t="str">
        <f>IF(P46="","",IFERROR(INDEX($AQ$11:$AQ$4010,MATCH($S$8&amp;"|"&amp;36,$BA$11:$BA$4010,0)),""))</f>
        <v/>
      </c>
      <c r="U46" s="38" t="str">
        <f t="shared" si="14"/>
        <v/>
      </c>
      <c r="W46" s="28" t="str">
        <f>IF(X46="","",IFERROR(INDEX($AL$11:$AL$4010,MATCH(36,$AY$11:$AY$4010,0)),""))</f>
        <v/>
      </c>
      <c r="X46" s="26" t="str">
        <f>IFERROR(INDEX($AM$11:$AM$4010,MATCH(36,$AY$11:$AY$4010,0)),"")</f>
        <v/>
      </c>
      <c r="Y46" s="25" t="str">
        <f>IF(X46="","",IFERROR(INDEX($AN$11:$AN$4010,MATCH(36,$AY$11:$AY$4010,0)),""))</f>
        <v/>
      </c>
      <c r="Z46" s="25" t="str">
        <f>IF(X46="","",IFERROR(INDEX($AO$11:$AO$4010,MATCH(36,$AY$11:$AY$4010,0)),""))</f>
        <v/>
      </c>
      <c r="AA46" s="24" t="str">
        <f>IF(X46="","",IFERROR(INDEX($AQ$11:$AQ$4010,MATCH(36,$AY$11:$AY$4010,0)),""))</f>
        <v/>
      </c>
      <c r="AB46" s="29" t="str">
        <f>IF(X46="","",IFERROR(INDEX($AR$11:$AR$4010,MATCH(36,$AY$11:$AY$4010,0)),""))</f>
        <v/>
      </c>
      <c r="AD46" s="30" t="str">
        <f>IF(AE46="","",IFERROR(INDEX($AL$11:$AL$4010,MATCH(36,$AZ$11:$AZ$4010,0)),""))</f>
        <v/>
      </c>
      <c r="AE46" s="26" t="str">
        <f>IFERROR(INDEX($AM$11:$AM$4010,MATCH(36,$AZ$11:$AZ$4010,0)),"")</f>
        <v/>
      </c>
      <c r="AF46" s="25" t="str">
        <f>IF(AE46="","",IFERROR(INDEX($AN$11:$AN$4010,MATCH(36,$AZ$11:$AZ$4010,0)),""))</f>
        <v/>
      </c>
      <c r="AG46" s="25" t="str">
        <f>IF(AE46="","",IFERROR(INDEX($AO$11:$AO$4010,MATCH(36,$AZ$11:$AZ$4010,0)),""))</f>
        <v/>
      </c>
      <c r="AH46" s="24" t="str">
        <f>IF(AE46="","",IFERROR(INDEX($AQ$11:$AQ$4010,MATCH(36,$AZ$11:$AZ$4010,0)),""))</f>
        <v/>
      </c>
      <c r="AI46" s="29" t="str">
        <f>IF(AE46="","",IFERROR(INDEX($AR$11:$AR$4010,MATCH(36,$AZ$11:$AZ$4010,0)),""))</f>
        <v/>
      </c>
      <c r="AJ46" s="29" t="str">
        <f>IF(AE46="","",IFERROR(INDEX($AT$11:$AT$4010,MATCH(36,$AZ$11:$AZ$4010,0)),""))</f>
        <v/>
      </c>
      <c r="AL46" s="31" t="str">
        <f t="shared" si="5"/>
        <v/>
      </c>
      <c r="AM46" s="26" t="str">
        <f t="shared" si="6"/>
        <v/>
      </c>
      <c r="AN46" s="32" t="str">
        <f t="shared" si="7"/>
        <v/>
      </c>
      <c r="AO46" s="32" t="str">
        <f t="shared" si="8"/>
        <v/>
      </c>
      <c r="AP46" s="24" t="str">
        <f t="shared" si="9"/>
        <v/>
      </c>
      <c r="AQ46" s="24" t="str">
        <f t="shared" si="10"/>
        <v/>
      </c>
      <c r="AR46" s="33" t="str">
        <f t="shared" si="11"/>
        <v/>
      </c>
      <c r="AS46" s="34"/>
      <c r="AT46" s="33"/>
      <c r="AV46" s="21">
        <f>IF(AND($AL46&lt;&gt;"",COUNTIF($AL$11:$AL46,$AL46)=1),1,0)</f>
        <v>0</v>
      </c>
      <c r="AW46" s="21">
        <f t="shared" si="13"/>
        <v>2</v>
      </c>
      <c r="AX46" s="21" t="str">
        <f t="shared" si="12"/>
        <v/>
      </c>
      <c r="AY46" s="21" t="str">
        <f>IF(AND($AM46&lt;&gt;"",$AS46&lt;&gt;"✓"),SUMPRODUCT(($AM$11:$AM46&lt;&gt;"")*($AS$11:$AS46&lt;&gt;"✓")),"")</f>
        <v/>
      </c>
      <c r="AZ46" s="21" t="str">
        <f>IF(AND($AM46&lt;&gt;"",$AS46="✓"),SUMPRODUCT(($AM$11:$AM46&lt;&gt;"")*($AS$11:$AS46="✓")),"")</f>
        <v/>
      </c>
      <c r="BA46" s="21" t="str">
        <f>IF($AL46="","",$AL46&amp;"|"&amp;COUNTIF($AL$11:$AL46,$AL46))</f>
        <v/>
      </c>
      <c r="BD46" s="36" t="str">
        <f>IF(IFERROR(INDEX($AM$11:$AM$4010,MATCH($S$8&amp;"|"&amp;34,$BA$11:$BA$4010,0)),"")="","",34)</f>
        <v/>
      </c>
      <c r="BE46" s="36" t="str">
        <f>IFERROR(INDEX($AM$11:$AM$4010,MATCH($S$8&amp;"|"&amp;34,$BA$11:$BA$4010,0)),"")</f>
        <v/>
      </c>
      <c r="BF46" s="36" t="str">
        <f>IFERROR(INDEX($AP$11:$AP$4010,MATCH($S$8&amp;"|"&amp;34,$BA$11:$BA$4010,0)),"")</f>
        <v/>
      </c>
      <c r="BG46" s="36" t="str">
        <f>IFERROR(INDEX($AQ$11:$AQ$4010,MATCH($S$8&amp;"|"&amp;34,$BA$11:$BA$4010,0)),"")</f>
        <v/>
      </c>
      <c r="BH46" s="37" t="str">
        <f>IFERROR(INDEX($AN$11:$AN$4010,MATCH($S$8&amp;"|"&amp;34,$BA$11:$BA$4010,0)),"")</f>
        <v/>
      </c>
      <c r="BI46" s="37" t="str">
        <f>IFERROR(INDEX($AO$11:$AO$4010,MATCH($S$8&amp;"|"&amp;34,$BA$11:$BA$4010,0)),"")</f>
        <v/>
      </c>
      <c r="BL46" s="36" t="str">
        <f>IF(IFERROR(INDEX($AM$11:$AM$4010,MATCH($S$8&amp;"|"&amp;34,$BA$11:$BA$4010,0)),"")="","",34)</f>
        <v/>
      </c>
      <c r="BM46" s="36" t="str">
        <f>IFERROR(INDEX($AM$11:$AM$4010,MATCH($S$8&amp;"|"&amp;34,$BA$11:$BA$4010,0)),"")</f>
        <v/>
      </c>
      <c r="BN46" s="36" t="str">
        <f>IFERROR(INDEX($AP$11:$AP$4010,MATCH($S$8&amp;"|"&amp;34,$BA$11:$BA$4010,0)),"")</f>
        <v/>
      </c>
      <c r="BO46" s="36" t="str">
        <f>IFERROR(INDEX($AQ$11:$AQ$4010,MATCH($S$8&amp;"|"&amp;34,$BA$11:$BA$4010,0)),"")</f>
        <v/>
      </c>
      <c r="BP46" s="37" t="str">
        <f>IFERROR(INDEX($AN$11:$AN$4010,MATCH($S$8&amp;"|"&amp;34,$BA$11:$BA$4010,0)),"")</f>
        <v/>
      </c>
      <c r="BQ46" s="37" t="str">
        <f>IFERROR(INDEX($AO$11:$AO$4010,MATCH($S$8&amp;"|"&amp;34,$BA$11:$BA$4010,0)),"")</f>
        <v/>
      </c>
    </row>
    <row r="47" spans="2:69" ht="13.5" customHeight="1" x14ac:dyDescent="0.25">
      <c r="B47" s="5" t="str">
        <f t="shared" si="0"/>
        <v/>
      </c>
      <c r="C47" s="5"/>
      <c r="D47" s="5"/>
      <c r="E47" s="5"/>
      <c r="F47" s="6"/>
      <c r="G47" s="6"/>
      <c r="H47" s="7"/>
      <c r="I47" s="8"/>
      <c r="K47" s="9" t="str">
        <f>IFERROR(INDEX($AL$11:$AL$4010,MATCH(37,$AX$11:$AX$4010,0)),"")</f>
        <v/>
      </c>
      <c r="L47" s="10" t="str">
        <f t="shared" si="1"/>
        <v/>
      </c>
      <c r="M47" s="11" t="str">
        <f t="shared" si="2"/>
        <v/>
      </c>
      <c r="N47" s="11" t="str">
        <f t="shared" si="3"/>
        <v/>
      </c>
      <c r="P47" s="12" t="str">
        <f>IFERROR(INDEX($AM$11:$AM$4010,MATCH($S$8&amp;"|"&amp;37,$BA$11:$BA$4010,0)),"")</f>
        <v/>
      </c>
      <c r="Q47" s="11" t="str">
        <f>IF(P47="","",IFERROR(INDEX($AN$11:$AN$4010,MATCH($S$8&amp;"|"&amp;37,$BA$11:$BA$4010,0)),""))</f>
        <v/>
      </c>
      <c r="R47" s="11" t="str">
        <f>IF(P47="","",IFERROR(INDEX($AO$11:$AO$4010,MATCH($S$8&amp;"|"&amp;37,$BA$11:$BA$4010,0)),""))</f>
        <v/>
      </c>
      <c r="S47" s="10" t="str">
        <f>IF(P47="","",IFERROR(INDEX($AP$11:$AP$4010,MATCH($S$8&amp;"|"&amp;37,$BA$11:$BA$4010,0)),""))</f>
        <v/>
      </c>
      <c r="T47" s="10" t="str">
        <f>IF(P47="","",IFERROR(INDEX($AQ$11:$AQ$4010,MATCH($S$8&amp;"|"&amp;37,$BA$11:$BA$4010,0)),""))</f>
        <v/>
      </c>
      <c r="U47" s="39" t="str">
        <f t="shared" si="14"/>
        <v/>
      </c>
      <c r="W47" s="14" t="str">
        <f>IF(X47="","",IFERROR(INDEX($AL$11:$AL$4010,MATCH(37,$AY$11:$AY$4010,0)),""))</f>
        <v/>
      </c>
      <c r="X47" s="12" t="str">
        <f>IFERROR(INDEX($AM$11:$AM$4010,MATCH(37,$AY$11:$AY$4010,0)),"")</f>
        <v/>
      </c>
      <c r="Y47" s="11" t="str">
        <f>IF(X47="","",IFERROR(INDEX($AN$11:$AN$4010,MATCH(37,$AY$11:$AY$4010,0)),""))</f>
        <v/>
      </c>
      <c r="Z47" s="11" t="str">
        <f>IF(X47="","",IFERROR(INDEX($AO$11:$AO$4010,MATCH(37,$AY$11:$AY$4010,0)),""))</f>
        <v/>
      </c>
      <c r="AA47" s="10" t="str">
        <f>IF(X47="","",IFERROR(INDEX($AQ$11:$AQ$4010,MATCH(37,$AY$11:$AY$4010,0)),""))</f>
        <v/>
      </c>
      <c r="AB47" s="15" t="str">
        <f>IF(X47="","",IFERROR(INDEX($AR$11:$AR$4010,MATCH(37,$AY$11:$AY$4010,0)),""))</f>
        <v/>
      </c>
      <c r="AD47" s="16" t="str">
        <f>IF(AE47="","",IFERROR(INDEX($AL$11:$AL$4010,MATCH(37,$AZ$11:$AZ$4010,0)),""))</f>
        <v/>
      </c>
      <c r="AE47" s="12" t="str">
        <f>IFERROR(INDEX($AM$11:$AM$4010,MATCH(37,$AZ$11:$AZ$4010,0)),"")</f>
        <v/>
      </c>
      <c r="AF47" s="11" t="str">
        <f>IF(AE47="","",IFERROR(INDEX($AN$11:$AN$4010,MATCH(37,$AZ$11:$AZ$4010,0)),""))</f>
        <v/>
      </c>
      <c r="AG47" s="11" t="str">
        <f>IF(AE47="","",IFERROR(INDEX($AO$11:$AO$4010,MATCH(37,$AZ$11:$AZ$4010,0)),""))</f>
        <v/>
      </c>
      <c r="AH47" s="10" t="str">
        <f>IF(AE47="","",IFERROR(INDEX($AQ$11:$AQ$4010,MATCH(37,$AZ$11:$AZ$4010,0)),""))</f>
        <v/>
      </c>
      <c r="AI47" s="15" t="str">
        <f>IF(AE47="","",IFERROR(INDEX($AR$11:$AR$4010,MATCH(37,$AZ$11:$AZ$4010,0)),""))</f>
        <v/>
      </c>
      <c r="AJ47" s="15" t="str">
        <f>IF(AE47="","",IFERROR(INDEX($AT$11:$AT$4010,MATCH(37,$AZ$11:$AZ$4010,0)),""))</f>
        <v/>
      </c>
      <c r="AL47" s="17" t="str">
        <f t="shared" si="5"/>
        <v/>
      </c>
      <c r="AM47" s="12" t="str">
        <f t="shared" si="6"/>
        <v/>
      </c>
      <c r="AN47" s="18" t="str">
        <f t="shared" si="7"/>
        <v/>
      </c>
      <c r="AO47" s="18" t="str">
        <f t="shared" si="8"/>
        <v/>
      </c>
      <c r="AP47" s="10" t="str">
        <f t="shared" si="9"/>
        <v/>
      </c>
      <c r="AQ47" s="10" t="str">
        <f t="shared" si="10"/>
        <v/>
      </c>
      <c r="AR47" s="19" t="str">
        <f t="shared" si="11"/>
        <v/>
      </c>
      <c r="AS47" s="20"/>
      <c r="AT47" s="19"/>
      <c r="AV47" s="21">
        <f>IF(AND($AL47&lt;&gt;"",COUNTIF($AL$11:$AL47,$AL47)=1),1,0)</f>
        <v>0</v>
      </c>
      <c r="AW47" s="21">
        <f t="shared" si="13"/>
        <v>2</v>
      </c>
      <c r="AX47" s="21" t="str">
        <f t="shared" si="12"/>
        <v/>
      </c>
      <c r="AY47" s="21" t="str">
        <f>IF(AND($AM47&lt;&gt;"",$AS47&lt;&gt;"✓"),SUMPRODUCT(($AM$11:$AM47&lt;&gt;"")*($AS$11:$AS47&lt;&gt;"✓")),"")</f>
        <v/>
      </c>
      <c r="AZ47" s="21" t="str">
        <f>IF(AND($AM47&lt;&gt;"",$AS47="✓"),SUMPRODUCT(($AM$11:$AM47&lt;&gt;"")*($AS$11:$AS47="✓")),"")</f>
        <v/>
      </c>
      <c r="BA47" s="21" t="str">
        <f>IF($AL47="","",$AL47&amp;"|"&amp;COUNTIF($AL$11:$AL47,$AL47))</f>
        <v/>
      </c>
      <c r="BD47" s="36" t="str">
        <f>IF(IFERROR(INDEX($AM$11:$AM$4010,MATCH($S$8&amp;"|"&amp;35,$BA$11:$BA$4010,0)),"")="","",35)</f>
        <v/>
      </c>
      <c r="BE47" s="36" t="str">
        <f>IFERROR(INDEX($AM$11:$AM$4010,MATCH($S$8&amp;"|"&amp;35,$BA$11:$BA$4010,0)),"")</f>
        <v/>
      </c>
      <c r="BF47" s="36" t="str">
        <f>IFERROR(INDEX($AP$11:$AP$4010,MATCH($S$8&amp;"|"&amp;35,$BA$11:$BA$4010,0)),"")</f>
        <v/>
      </c>
      <c r="BG47" s="36" t="str">
        <f>IFERROR(INDEX($AQ$11:$AQ$4010,MATCH($S$8&amp;"|"&amp;35,$BA$11:$BA$4010,0)),"")</f>
        <v/>
      </c>
      <c r="BH47" s="37" t="str">
        <f>IFERROR(INDEX($AN$11:$AN$4010,MATCH($S$8&amp;"|"&amp;35,$BA$11:$BA$4010,0)),"")</f>
        <v/>
      </c>
      <c r="BI47" s="37" t="str">
        <f>IFERROR(INDEX($AO$11:$AO$4010,MATCH($S$8&amp;"|"&amp;35,$BA$11:$BA$4010,0)),"")</f>
        <v/>
      </c>
      <c r="BL47" s="36" t="str">
        <f>IF(IFERROR(INDEX($AM$11:$AM$4010,MATCH($S$8&amp;"|"&amp;35,$BA$11:$BA$4010,0)),"")="","",35)</f>
        <v/>
      </c>
      <c r="BM47" s="36" t="str">
        <f>IFERROR(INDEX($AM$11:$AM$4010,MATCH($S$8&amp;"|"&amp;35,$BA$11:$BA$4010,0)),"")</f>
        <v/>
      </c>
      <c r="BN47" s="36" t="str">
        <f>IFERROR(INDEX($AP$11:$AP$4010,MATCH($S$8&amp;"|"&amp;35,$BA$11:$BA$4010,0)),"")</f>
        <v/>
      </c>
      <c r="BO47" s="36" t="str">
        <f>IFERROR(INDEX($AQ$11:$AQ$4010,MATCH($S$8&amp;"|"&amp;35,$BA$11:$BA$4010,0)),"")</f>
        <v/>
      </c>
      <c r="BP47" s="37" t="str">
        <f>IFERROR(INDEX($AN$11:$AN$4010,MATCH($S$8&amp;"|"&amp;35,$BA$11:$BA$4010,0)),"")</f>
        <v/>
      </c>
      <c r="BQ47" s="37" t="str">
        <f>IFERROR(INDEX($AO$11:$AO$4010,MATCH($S$8&amp;"|"&amp;35,$BA$11:$BA$4010,0)),"")</f>
        <v/>
      </c>
    </row>
    <row r="48" spans="2:69" ht="13.5" customHeight="1" x14ac:dyDescent="0.25">
      <c r="B48" s="5" t="str">
        <f t="shared" si="0"/>
        <v/>
      </c>
      <c r="C48" s="5"/>
      <c r="D48" s="5"/>
      <c r="E48" s="5"/>
      <c r="F48" s="6"/>
      <c r="G48" s="6"/>
      <c r="H48" s="7"/>
      <c r="I48" s="8"/>
      <c r="K48" s="23" t="str">
        <f>IFERROR(INDEX($AL$11:$AL$4010,MATCH(38,$AX$11:$AX$4010,0)),"")</f>
        <v/>
      </c>
      <c r="L48" s="24" t="str">
        <f t="shared" si="1"/>
        <v/>
      </c>
      <c r="M48" s="25" t="str">
        <f t="shared" si="2"/>
        <v/>
      </c>
      <c r="N48" s="25" t="str">
        <f t="shared" si="3"/>
        <v/>
      </c>
      <c r="P48" s="26" t="str">
        <f>IFERROR(INDEX($AM$11:$AM$4010,MATCH($S$8&amp;"|"&amp;38,$BA$11:$BA$4010,0)),"")</f>
        <v/>
      </c>
      <c r="Q48" s="25" t="str">
        <f>IF(P48="","",IFERROR(INDEX($AN$11:$AN$4010,MATCH($S$8&amp;"|"&amp;38,$BA$11:$BA$4010,0)),""))</f>
        <v/>
      </c>
      <c r="R48" s="25" t="str">
        <f>IF(P48="","",IFERROR(INDEX($AO$11:$AO$4010,MATCH($S$8&amp;"|"&amp;38,$BA$11:$BA$4010,0)),""))</f>
        <v/>
      </c>
      <c r="S48" s="24" t="str">
        <f>IF(P48="","",IFERROR(INDEX($AP$11:$AP$4010,MATCH($S$8&amp;"|"&amp;38,$BA$11:$BA$4010,0)),""))</f>
        <v/>
      </c>
      <c r="T48" s="24" t="str">
        <f>IF(P48="","",IFERROR(INDEX($AQ$11:$AQ$4010,MATCH($S$8&amp;"|"&amp;38,$BA$11:$BA$4010,0)),""))</f>
        <v/>
      </c>
      <c r="U48" s="38" t="str">
        <f t="shared" si="14"/>
        <v/>
      </c>
      <c r="W48" s="28" t="str">
        <f>IF(X48="","",IFERROR(INDEX($AL$11:$AL$4010,MATCH(38,$AY$11:$AY$4010,0)),""))</f>
        <v/>
      </c>
      <c r="X48" s="26" t="str">
        <f>IFERROR(INDEX($AM$11:$AM$4010,MATCH(38,$AY$11:$AY$4010,0)),"")</f>
        <v/>
      </c>
      <c r="Y48" s="25" t="str">
        <f>IF(X48="","",IFERROR(INDEX($AN$11:$AN$4010,MATCH(38,$AY$11:$AY$4010,0)),""))</f>
        <v/>
      </c>
      <c r="Z48" s="25" t="str">
        <f>IF(X48="","",IFERROR(INDEX($AO$11:$AO$4010,MATCH(38,$AY$11:$AY$4010,0)),""))</f>
        <v/>
      </c>
      <c r="AA48" s="24" t="str">
        <f>IF(X48="","",IFERROR(INDEX($AQ$11:$AQ$4010,MATCH(38,$AY$11:$AY$4010,0)),""))</f>
        <v/>
      </c>
      <c r="AB48" s="29" t="str">
        <f>IF(X48="","",IFERROR(INDEX($AR$11:$AR$4010,MATCH(38,$AY$11:$AY$4010,0)),""))</f>
        <v/>
      </c>
      <c r="AD48" s="30" t="str">
        <f>IF(AE48="","",IFERROR(INDEX($AL$11:$AL$4010,MATCH(38,$AZ$11:$AZ$4010,0)),""))</f>
        <v/>
      </c>
      <c r="AE48" s="26" t="str">
        <f>IFERROR(INDEX($AM$11:$AM$4010,MATCH(38,$AZ$11:$AZ$4010,0)),"")</f>
        <v/>
      </c>
      <c r="AF48" s="25" t="str">
        <f>IF(AE48="","",IFERROR(INDEX($AN$11:$AN$4010,MATCH(38,$AZ$11:$AZ$4010,0)),""))</f>
        <v/>
      </c>
      <c r="AG48" s="25" t="str">
        <f>IF(AE48="","",IFERROR(INDEX($AO$11:$AO$4010,MATCH(38,$AZ$11:$AZ$4010,0)),""))</f>
        <v/>
      </c>
      <c r="AH48" s="24" t="str">
        <f>IF(AE48="","",IFERROR(INDEX($AQ$11:$AQ$4010,MATCH(38,$AZ$11:$AZ$4010,0)),""))</f>
        <v/>
      </c>
      <c r="AI48" s="29" t="str">
        <f>IF(AE48="","",IFERROR(INDEX($AR$11:$AR$4010,MATCH(38,$AZ$11:$AZ$4010,0)),""))</f>
        <v/>
      </c>
      <c r="AJ48" s="29" t="str">
        <f>IF(AE48="","",IFERROR(INDEX($AT$11:$AT$4010,MATCH(38,$AZ$11:$AZ$4010,0)),""))</f>
        <v/>
      </c>
      <c r="AL48" s="31" t="str">
        <f t="shared" si="5"/>
        <v/>
      </c>
      <c r="AM48" s="26" t="str">
        <f t="shared" si="6"/>
        <v/>
      </c>
      <c r="AN48" s="32" t="str">
        <f t="shared" si="7"/>
        <v/>
      </c>
      <c r="AO48" s="32" t="str">
        <f t="shared" si="8"/>
        <v/>
      </c>
      <c r="AP48" s="24" t="str">
        <f t="shared" si="9"/>
        <v/>
      </c>
      <c r="AQ48" s="24" t="str">
        <f t="shared" si="10"/>
        <v/>
      </c>
      <c r="AR48" s="33" t="str">
        <f t="shared" si="11"/>
        <v/>
      </c>
      <c r="AS48" s="34"/>
      <c r="AT48" s="33"/>
      <c r="AV48" s="21">
        <f>IF(AND($AL48&lt;&gt;"",COUNTIF($AL$11:$AL48,$AL48)=1),1,0)</f>
        <v>0</v>
      </c>
      <c r="AW48" s="21">
        <f t="shared" si="13"/>
        <v>2</v>
      </c>
      <c r="AX48" s="21" t="str">
        <f t="shared" si="12"/>
        <v/>
      </c>
      <c r="AY48" s="21" t="str">
        <f>IF(AND($AM48&lt;&gt;"",$AS48&lt;&gt;"✓"),SUMPRODUCT(($AM$11:$AM48&lt;&gt;"")*($AS$11:$AS48&lt;&gt;"✓")),"")</f>
        <v/>
      </c>
      <c r="AZ48" s="21" t="str">
        <f>IF(AND($AM48&lt;&gt;"",$AS48="✓"),SUMPRODUCT(($AM$11:$AM48&lt;&gt;"")*($AS$11:$AS48="✓")),"")</f>
        <v/>
      </c>
      <c r="BA48" s="21" t="str">
        <f>IF($AL48="","",$AL48&amp;"|"&amp;COUNTIF($AL$11:$AL48,$AL48))</f>
        <v/>
      </c>
      <c r="BD48" s="36" t="str">
        <f>IF(IFERROR(INDEX($AM$11:$AM$4010,MATCH($S$8&amp;"|"&amp;36,$BA$11:$BA$4010,0)),"")="","",36)</f>
        <v/>
      </c>
      <c r="BE48" s="36" t="str">
        <f>IFERROR(INDEX($AM$11:$AM$4010,MATCH($S$8&amp;"|"&amp;36,$BA$11:$BA$4010,0)),"")</f>
        <v/>
      </c>
      <c r="BF48" s="36" t="str">
        <f>IFERROR(INDEX($AP$11:$AP$4010,MATCH($S$8&amp;"|"&amp;36,$BA$11:$BA$4010,0)),"")</f>
        <v/>
      </c>
      <c r="BG48" s="36" t="str">
        <f>IFERROR(INDEX($AQ$11:$AQ$4010,MATCH($S$8&amp;"|"&amp;36,$BA$11:$BA$4010,0)),"")</f>
        <v/>
      </c>
      <c r="BH48" s="37" t="str">
        <f>IFERROR(INDEX($AN$11:$AN$4010,MATCH($S$8&amp;"|"&amp;36,$BA$11:$BA$4010,0)),"")</f>
        <v/>
      </c>
      <c r="BI48" s="37" t="str">
        <f>IFERROR(INDEX($AO$11:$AO$4010,MATCH($S$8&amp;"|"&amp;36,$BA$11:$BA$4010,0)),"")</f>
        <v/>
      </c>
      <c r="BL48" s="36" t="str">
        <f>IF(IFERROR(INDEX($AM$11:$AM$4010,MATCH($S$8&amp;"|"&amp;36,$BA$11:$BA$4010,0)),"")="","",36)</f>
        <v/>
      </c>
      <c r="BM48" s="36" t="str">
        <f>IFERROR(INDEX($AM$11:$AM$4010,MATCH($S$8&amp;"|"&amp;36,$BA$11:$BA$4010,0)),"")</f>
        <v/>
      </c>
      <c r="BN48" s="36" t="str">
        <f>IFERROR(INDEX($AP$11:$AP$4010,MATCH($S$8&amp;"|"&amp;36,$BA$11:$BA$4010,0)),"")</f>
        <v/>
      </c>
      <c r="BO48" s="36" t="str">
        <f>IFERROR(INDEX($AQ$11:$AQ$4010,MATCH($S$8&amp;"|"&amp;36,$BA$11:$BA$4010,0)),"")</f>
        <v/>
      </c>
      <c r="BP48" s="37" t="str">
        <f>IFERROR(INDEX($AN$11:$AN$4010,MATCH($S$8&amp;"|"&amp;36,$BA$11:$BA$4010,0)),"")</f>
        <v/>
      </c>
      <c r="BQ48" s="37" t="str">
        <f>IFERROR(INDEX($AO$11:$AO$4010,MATCH($S$8&amp;"|"&amp;36,$BA$11:$BA$4010,0)),"")</f>
        <v/>
      </c>
    </row>
    <row r="49" spans="2:69" ht="13.5" customHeight="1" x14ac:dyDescent="0.25">
      <c r="B49" s="5" t="str">
        <f t="shared" si="0"/>
        <v/>
      </c>
      <c r="C49" s="5"/>
      <c r="D49" s="5"/>
      <c r="E49" s="5"/>
      <c r="F49" s="6"/>
      <c r="G49" s="6"/>
      <c r="H49" s="7"/>
      <c r="I49" s="8"/>
      <c r="K49" s="9" t="str">
        <f>IFERROR(INDEX($AL$11:$AL$4010,MATCH(39,$AX$11:$AX$4010,0)),"")</f>
        <v/>
      </c>
      <c r="L49" s="10" t="str">
        <f t="shared" si="1"/>
        <v/>
      </c>
      <c r="M49" s="11" t="str">
        <f t="shared" si="2"/>
        <v/>
      </c>
      <c r="N49" s="11" t="str">
        <f t="shared" si="3"/>
        <v/>
      </c>
      <c r="P49" s="12" t="str">
        <f>IFERROR(INDEX($AM$11:$AM$4010,MATCH($S$8&amp;"|"&amp;39,$BA$11:$BA$4010,0)),"")</f>
        <v/>
      </c>
      <c r="Q49" s="11" t="str">
        <f>IF(P49="","",IFERROR(INDEX($AN$11:$AN$4010,MATCH($S$8&amp;"|"&amp;39,$BA$11:$BA$4010,0)),""))</f>
        <v/>
      </c>
      <c r="R49" s="11" t="str">
        <f>IF(P49="","",IFERROR(INDEX($AO$11:$AO$4010,MATCH($S$8&amp;"|"&amp;39,$BA$11:$BA$4010,0)),""))</f>
        <v/>
      </c>
      <c r="S49" s="10" t="str">
        <f>IF(P49="","",IFERROR(INDEX($AP$11:$AP$4010,MATCH($S$8&amp;"|"&amp;39,$BA$11:$BA$4010,0)),""))</f>
        <v/>
      </c>
      <c r="T49" s="10" t="str">
        <f>IF(P49="","",IFERROR(INDEX($AQ$11:$AQ$4010,MATCH($S$8&amp;"|"&amp;39,$BA$11:$BA$4010,0)),""))</f>
        <v/>
      </c>
      <c r="U49" s="39" t="str">
        <f t="shared" si="14"/>
        <v/>
      </c>
      <c r="W49" s="14" t="str">
        <f>IF(X49="","",IFERROR(INDEX($AL$11:$AL$4010,MATCH(39,$AY$11:$AY$4010,0)),""))</f>
        <v/>
      </c>
      <c r="X49" s="12" t="str">
        <f>IFERROR(INDEX($AM$11:$AM$4010,MATCH(39,$AY$11:$AY$4010,0)),"")</f>
        <v/>
      </c>
      <c r="Y49" s="11" t="str">
        <f>IF(X49="","",IFERROR(INDEX($AN$11:$AN$4010,MATCH(39,$AY$11:$AY$4010,0)),""))</f>
        <v/>
      </c>
      <c r="Z49" s="11" t="str">
        <f>IF(X49="","",IFERROR(INDEX($AO$11:$AO$4010,MATCH(39,$AY$11:$AY$4010,0)),""))</f>
        <v/>
      </c>
      <c r="AA49" s="10" t="str">
        <f>IF(X49="","",IFERROR(INDEX($AQ$11:$AQ$4010,MATCH(39,$AY$11:$AY$4010,0)),""))</f>
        <v/>
      </c>
      <c r="AB49" s="15" t="str">
        <f>IF(X49="","",IFERROR(INDEX($AR$11:$AR$4010,MATCH(39,$AY$11:$AY$4010,0)),""))</f>
        <v/>
      </c>
      <c r="AD49" s="16" t="str">
        <f>IF(AE49="","",IFERROR(INDEX($AL$11:$AL$4010,MATCH(39,$AZ$11:$AZ$4010,0)),""))</f>
        <v/>
      </c>
      <c r="AE49" s="12" t="str">
        <f>IFERROR(INDEX($AM$11:$AM$4010,MATCH(39,$AZ$11:$AZ$4010,0)),"")</f>
        <v/>
      </c>
      <c r="AF49" s="11" t="str">
        <f>IF(AE49="","",IFERROR(INDEX($AN$11:$AN$4010,MATCH(39,$AZ$11:$AZ$4010,0)),""))</f>
        <v/>
      </c>
      <c r="AG49" s="11" t="str">
        <f>IF(AE49="","",IFERROR(INDEX($AO$11:$AO$4010,MATCH(39,$AZ$11:$AZ$4010,0)),""))</f>
        <v/>
      </c>
      <c r="AH49" s="10" t="str">
        <f>IF(AE49="","",IFERROR(INDEX($AQ$11:$AQ$4010,MATCH(39,$AZ$11:$AZ$4010,0)),""))</f>
        <v/>
      </c>
      <c r="AI49" s="15" t="str">
        <f>IF(AE49="","",IFERROR(INDEX($AR$11:$AR$4010,MATCH(39,$AZ$11:$AZ$4010,0)),""))</f>
        <v/>
      </c>
      <c r="AJ49" s="15" t="str">
        <f>IF(AE49="","",IFERROR(INDEX($AT$11:$AT$4010,MATCH(39,$AZ$11:$AZ$4010,0)),""))</f>
        <v/>
      </c>
      <c r="AL49" s="17" t="str">
        <f t="shared" si="5"/>
        <v/>
      </c>
      <c r="AM49" s="12" t="str">
        <f t="shared" si="6"/>
        <v/>
      </c>
      <c r="AN49" s="18" t="str">
        <f t="shared" si="7"/>
        <v/>
      </c>
      <c r="AO49" s="18" t="str">
        <f t="shared" si="8"/>
        <v/>
      </c>
      <c r="AP49" s="10" t="str">
        <f t="shared" si="9"/>
        <v/>
      </c>
      <c r="AQ49" s="10" t="str">
        <f t="shared" si="10"/>
        <v/>
      </c>
      <c r="AR49" s="19" t="str">
        <f t="shared" si="11"/>
        <v/>
      </c>
      <c r="AS49" s="20"/>
      <c r="AT49" s="19"/>
      <c r="AV49" s="21">
        <f>IF(AND($AL49&lt;&gt;"",COUNTIF($AL$11:$AL49,$AL49)=1),1,0)</f>
        <v>0</v>
      </c>
      <c r="AW49" s="21">
        <f t="shared" si="13"/>
        <v>2</v>
      </c>
      <c r="AX49" s="21" t="str">
        <f t="shared" si="12"/>
        <v/>
      </c>
      <c r="AY49" s="21" t="str">
        <f>IF(AND($AM49&lt;&gt;"",$AS49&lt;&gt;"✓"),SUMPRODUCT(($AM$11:$AM49&lt;&gt;"")*($AS$11:$AS49&lt;&gt;"✓")),"")</f>
        <v/>
      </c>
      <c r="AZ49" s="21" t="str">
        <f>IF(AND($AM49&lt;&gt;"",$AS49="✓"),SUMPRODUCT(($AM$11:$AM49&lt;&gt;"")*($AS$11:$AS49="✓")),"")</f>
        <v/>
      </c>
      <c r="BA49" s="21" t="str">
        <f>IF($AL49="","",$AL49&amp;"|"&amp;COUNTIF($AL$11:$AL49,$AL49))</f>
        <v/>
      </c>
      <c r="BD49" s="36" t="str">
        <f>IF(IFERROR(INDEX($AM$11:$AM$4010,MATCH($S$8&amp;"|"&amp;37,$BA$11:$BA$4010,0)),"")="","",37)</f>
        <v/>
      </c>
      <c r="BE49" s="36" t="str">
        <f>IFERROR(INDEX($AM$11:$AM$4010,MATCH($S$8&amp;"|"&amp;37,$BA$11:$BA$4010,0)),"")</f>
        <v/>
      </c>
      <c r="BF49" s="36" t="str">
        <f>IFERROR(INDEX($AP$11:$AP$4010,MATCH($S$8&amp;"|"&amp;37,$BA$11:$BA$4010,0)),"")</f>
        <v/>
      </c>
      <c r="BG49" s="36" t="str">
        <f>IFERROR(INDEX($AQ$11:$AQ$4010,MATCH($S$8&amp;"|"&amp;37,$BA$11:$BA$4010,0)),"")</f>
        <v/>
      </c>
      <c r="BH49" s="37" t="str">
        <f>IFERROR(INDEX($AN$11:$AN$4010,MATCH($S$8&amp;"|"&amp;37,$BA$11:$BA$4010,0)),"")</f>
        <v/>
      </c>
      <c r="BI49" s="37" t="str">
        <f>IFERROR(INDEX($AO$11:$AO$4010,MATCH($S$8&amp;"|"&amp;37,$BA$11:$BA$4010,0)),"")</f>
        <v/>
      </c>
      <c r="BL49" s="36" t="str">
        <f>IF(IFERROR(INDEX($AM$11:$AM$4010,MATCH($S$8&amp;"|"&amp;37,$BA$11:$BA$4010,0)),"")="","",37)</f>
        <v/>
      </c>
      <c r="BM49" s="36" t="str">
        <f>IFERROR(INDEX($AM$11:$AM$4010,MATCH($S$8&amp;"|"&amp;37,$BA$11:$BA$4010,0)),"")</f>
        <v/>
      </c>
      <c r="BN49" s="36" t="str">
        <f>IFERROR(INDEX($AP$11:$AP$4010,MATCH($S$8&amp;"|"&amp;37,$BA$11:$BA$4010,0)),"")</f>
        <v/>
      </c>
      <c r="BO49" s="36" t="str">
        <f>IFERROR(INDEX($AQ$11:$AQ$4010,MATCH($S$8&amp;"|"&amp;37,$BA$11:$BA$4010,0)),"")</f>
        <v/>
      </c>
      <c r="BP49" s="37" t="str">
        <f>IFERROR(INDEX($AN$11:$AN$4010,MATCH($S$8&amp;"|"&amp;37,$BA$11:$BA$4010,0)),"")</f>
        <v/>
      </c>
      <c r="BQ49" s="37" t="str">
        <f>IFERROR(INDEX($AO$11:$AO$4010,MATCH($S$8&amp;"|"&amp;37,$BA$11:$BA$4010,0)),"")</f>
        <v/>
      </c>
    </row>
    <row r="50" spans="2:69" ht="13.5" customHeight="1" x14ac:dyDescent="0.25">
      <c r="B50" s="5" t="str">
        <f t="shared" si="0"/>
        <v/>
      </c>
      <c r="C50" s="5"/>
      <c r="D50" s="5"/>
      <c r="E50" s="5"/>
      <c r="F50" s="6"/>
      <c r="G50" s="6"/>
      <c r="H50" s="7"/>
      <c r="I50" s="8"/>
      <c r="K50" s="23" t="str">
        <f>IFERROR(INDEX($AL$11:$AL$4010,MATCH(40,$AX$11:$AX$4010,0)),"")</f>
        <v/>
      </c>
      <c r="L50" s="24" t="str">
        <f t="shared" si="1"/>
        <v/>
      </c>
      <c r="M50" s="25" t="str">
        <f t="shared" si="2"/>
        <v/>
      </c>
      <c r="N50" s="25" t="str">
        <f t="shared" si="3"/>
        <v/>
      </c>
      <c r="P50" s="26" t="str">
        <f>IFERROR(INDEX($AM$11:$AM$4010,MATCH($S$8&amp;"|"&amp;40,$BA$11:$BA$4010,0)),"")</f>
        <v/>
      </c>
      <c r="Q50" s="25" t="str">
        <f>IF(P50="","",IFERROR(INDEX($AN$11:$AN$4010,MATCH($S$8&amp;"|"&amp;40,$BA$11:$BA$4010,0)),""))</f>
        <v/>
      </c>
      <c r="R50" s="25" t="str">
        <f>IF(P50="","",IFERROR(INDEX($AO$11:$AO$4010,MATCH($S$8&amp;"|"&amp;40,$BA$11:$BA$4010,0)),""))</f>
        <v/>
      </c>
      <c r="S50" s="24" t="str">
        <f>IF(P50="","",IFERROR(INDEX($AP$11:$AP$4010,MATCH($S$8&amp;"|"&amp;40,$BA$11:$BA$4010,0)),""))</f>
        <v/>
      </c>
      <c r="T50" s="24" t="str">
        <f>IF(P50="","",IFERROR(INDEX($AQ$11:$AQ$4010,MATCH($S$8&amp;"|"&amp;40,$BA$11:$BA$4010,0)),""))</f>
        <v/>
      </c>
      <c r="U50" s="38" t="str">
        <f t="shared" si="14"/>
        <v/>
      </c>
      <c r="W50" s="28" t="str">
        <f>IF(X50="","",IFERROR(INDEX($AL$11:$AL$4010,MATCH(40,$AY$11:$AY$4010,0)),""))</f>
        <v/>
      </c>
      <c r="X50" s="26" t="str">
        <f>IFERROR(INDEX($AM$11:$AM$4010,MATCH(40,$AY$11:$AY$4010,0)),"")</f>
        <v/>
      </c>
      <c r="Y50" s="25" t="str">
        <f>IF(X50="","",IFERROR(INDEX($AN$11:$AN$4010,MATCH(40,$AY$11:$AY$4010,0)),""))</f>
        <v/>
      </c>
      <c r="Z50" s="25" t="str">
        <f>IF(X50="","",IFERROR(INDEX($AO$11:$AO$4010,MATCH(40,$AY$11:$AY$4010,0)),""))</f>
        <v/>
      </c>
      <c r="AA50" s="24" t="str">
        <f>IF(X50="","",IFERROR(INDEX($AQ$11:$AQ$4010,MATCH(40,$AY$11:$AY$4010,0)),""))</f>
        <v/>
      </c>
      <c r="AB50" s="29" t="str">
        <f>IF(X50="","",IFERROR(INDEX($AR$11:$AR$4010,MATCH(40,$AY$11:$AY$4010,0)),""))</f>
        <v/>
      </c>
      <c r="AD50" s="30" t="str">
        <f>IF(AE50="","",IFERROR(INDEX($AL$11:$AL$4010,MATCH(40,$AZ$11:$AZ$4010,0)),""))</f>
        <v/>
      </c>
      <c r="AE50" s="26" t="str">
        <f>IFERROR(INDEX($AM$11:$AM$4010,MATCH(40,$AZ$11:$AZ$4010,0)),"")</f>
        <v/>
      </c>
      <c r="AF50" s="25" t="str">
        <f>IF(AE50="","",IFERROR(INDEX($AN$11:$AN$4010,MATCH(40,$AZ$11:$AZ$4010,0)),""))</f>
        <v/>
      </c>
      <c r="AG50" s="25" t="str">
        <f>IF(AE50="","",IFERROR(INDEX($AO$11:$AO$4010,MATCH(40,$AZ$11:$AZ$4010,0)),""))</f>
        <v/>
      </c>
      <c r="AH50" s="24" t="str">
        <f>IF(AE50="","",IFERROR(INDEX($AQ$11:$AQ$4010,MATCH(40,$AZ$11:$AZ$4010,0)),""))</f>
        <v/>
      </c>
      <c r="AI50" s="29" t="str">
        <f>IF(AE50="","",IFERROR(INDEX($AR$11:$AR$4010,MATCH(40,$AZ$11:$AZ$4010,0)),""))</f>
        <v/>
      </c>
      <c r="AJ50" s="29" t="str">
        <f>IF(AE50="","",IFERROR(INDEX($AT$11:$AT$4010,MATCH(40,$AZ$11:$AZ$4010,0)),""))</f>
        <v/>
      </c>
      <c r="AL50" s="31" t="str">
        <f t="shared" si="5"/>
        <v/>
      </c>
      <c r="AM50" s="26" t="str">
        <f t="shared" si="6"/>
        <v/>
      </c>
      <c r="AN50" s="32" t="str">
        <f t="shared" si="7"/>
        <v/>
      </c>
      <c r="AO50" s="32" t="str">
        <f t="shared" si="8"/>
        <v/>
      </c>
      <c r="AP50" s="24" t="str">
        <f t="shared" si="9"/>
        <v/>
      </c>
      <c r="AQ50" s="24" t="str">
        <f t="shared" si="10"/>
        <v/>
      </c>
      <c r="AR50" s="33" t="str">
        <f t="shared" si="11"/>
        <v/>
      </c>
      <c r="AS50" s="34"/>
      <c r="AT50" s="33"/>
      <c r="AV50" s="21">
        <f>IF(AND($AL50&lt;&gt;"",COUNTIF($AL$11:$AL50,$AL50)=1),1,0)</f>
        <v>0</v>
      </c>
      <c r="AW50" s="21">
        <f t="shared" si="13"/>
        <v>2</v>
      </c>
      <c r="AX50" s="21" t="str">
        <f t="shared" si="12"/>
        <v/>
      </c>
      <c r="AY50" s="21" t="str">
        <f>IF(AND($AM50&lt;&gt;"",$AS50&lt;&gt;"✓"),SUMPRODUCT(($AM$11:$AM50&lt;&gt;"")*($AS$11:$AS50&lt;&gt;"✓")),"")</f>
        <v/>
      </c>
      <c r="AZ50" s="21" t="str">
        <f>IF(AND($AM50&lt;&gt;"",$AS50="✓"),SUMPRODUCT(($AM$11:$AM50&lt;&gt;"")*($AS$11:$AS50="✓")),"")</f>
        <v/>
      </c>
      <c r="BA50" s="21" t="str">
        <f>IF($AL50="","",$AL50&amp;"|"&amp;COUNTIF($AL$11:$AL50,$AL50))</f>
        <v/>
      </c>
      <c r="BD50" s="36" t="str">
        <f>IF(IFERROR(INDEX($AM$11:$AM$4010,MATCH($S$8&amp;"|"&amp;38,$BA$11:$BA$4010,0)),"")="","",38)</f>
        <v/>
      </c>
      <c r="BE50" s="36" t="str">
        <f>IFERROR(INDEX($AM$11:$AM$4010,MATCH($S$8&amp;"|"&amp;38,$BA$11:$BA$4010,0)),"")</f>
        <v/>
      </c>
      <c r="BF50" s="36" t="str">
        <f>IFERROR(INDEX($AP$11:$AP$4010,MATCH($S$8&amp;"|"&amp;38,$BA$11:$BA$4010,0)),"")</f>
        <v/>
      </c>
      <c r="BG50" s="36" t="str">
        <f>IFERROR(INDEX($AQ$11:$AQ$4010,MATCH($S$8&amp;"|"&amp;38,$BA$11:$BA$4010,0)),"")</f>
        <v/>
      </c>
      <c r="BH50" s="37" t="str">
        <f>IFERROR(INDEX($AN$11:$AN$4010,MATCH($S$8&amp;"|"&amp;38,$BA$11:$BA$4010,0)),"")</f>
        <v/>
      </c>
      <c r="BI50" s="37" t="str">
        <f>IFERROR(INDEX($AO$11:$AO$4010,MATCH($S$8&amp;"|"&amp;38,$BA$11:$BA$4010,0)),"")</f>
        <v/>
      </c>
      <c r="BL50" s="36" t="str">
        <f>IF(IFERROR(INDEX($AM$11:$AM$4010,MATCH($S$8&amp;"|"&amp;38,$BA$11:$BA$4010,0)),"")="","",38)</f>
        <v/>
      </c>
      <c r="BM50" s="36" t="str">
        <f>IFERROR(INDEX($AM$11:$AM$4010,MATCH($S$8&amp;"|"&amp;38,$BA$11:$BA$4010,0)),"")</f>
        <v/>
      </c>
      <c r="BN50" s="36" t="str">
        <f>IFERROR(INDEX($AP$11:$AP$4010,MATCH($S$8&amp;"|"&amp;38,$BA$11:$BA$4010,0)),"")</f>
        <v/>
      </c>
      <c r="BO50" s="36" t="str">
        <f>IFERROR(INDEX($AQ$11:$AQ$4010,MATCH($S$8&amp;"|"&amp;38,$BA$11:$BA$4010,0)),"")</f>
        <v/>
      </c>
      <c r="BP50" s="37" t="str">
        <f>IFERROR(INDEX($AN$11:$AN$4010,MATCH($S$8&amp;"|"&amp;38,$BA$11:$BA$4010,0)),"")</f>
        <v/>
      </c>
      <c r="BQ50" s="37" t="str">
        <f>IFERROR(INDEX($AO$11:$AO$4010,MATCH($S$8&amp;"|"&amp;38,$BA$11:$BA$4010,0)),"")</f>
        <v/>
      </c>
    </row>
    <row r="51" spans="2:69" ht="13.5" customHeight="1" x14ac:dyDescent="0.25">
      <c r="B51" s="5" t="str">
        <f t="shared" si="0"/>
        <v/>
      </c>
      <c r="C51" s="5"/>
      <c r="D51" s="5"/>
      <c r="E51" s="5"/>
      <c r="F51" s="6"/>
      <c r="G51" s="6"/>
      <c r="H51" s="7"/>
      <c r="I51" s="8"/>
      <c r="K51" s="9" t="str">
        <f>IFERROR(INDEX($AL$11:$AL$4010,MATCH(41,$AX$11:$AX$4010,0)),"")</f>
        <v/>
      </c>
      <c r="L51" s="10" t="str">
        <f t="shared" si="1"/>
        <v/>
      </c>
      <c r="M51" s="11" t="str">
        <f t="shared" si="2"/>
        <v/>
      </c>
      <c r="N51" s="11" t="str">
        <f t="shared" si="3"/>
        <v/>
      </c>
      <c r="P51" s="12" t="str">
        <f>IFERROR(INDEX($AM$11:$AM$4010,MATCH($S$8&amp;"|"&amp;41,$BA$11:$BA$4010,0)),"")</f>
        <v/>
      </c>
      <c r="Q51" s="11" t="str">
        <f>IF(P51="","",IFERROR(INDEX($AN$11:$AN$4010,MATCH($S$8&amp;"|"&amp;41,$BA$11:$BA$4010,0)),""))</f>
        <v/>
      </c>
      <c r="R51" s="11" t="str">
        <f>IF(P51="","",IFERROR(INDEX($AO$11:$AO$4010,MATCH($S$8&amp;"|"&amp;41,$BA$11:$BA$4010,0)),""))</f>
        <v/>
      </c>
      <c r="S51" s="10" t="str">
        <f>IF(P51="","",IFERROR(INDEX($AP$11:$AP$4010,MATCH($S$8&amp;"|"&amp;41,$BA$11:$BA$4010,0)),""))</f>
        <v/>
      </c>
      <c r="T51" s="10" t="str">
        <f>IF(P51="","",IFERROR(INDEX($AQ$11:$AQ$4010,MATCH($S$8&amp;"|"&amp;41,$BA$11:$BA$4010,0)),""))</f>
        <v/>
      </c>
      <c r="U51" s="39" t="str">
        <f t="shared" si="14"/>
        <v/>
      </c>
      <c r="W51" s="14" t="str">
        <f>IF(X51="","",IFERROR(INDEX($AL$11:$AL$4010,MATCH(41,$AY$11:$AY$4010,0)),""))</f>
        <v/>
      </c>
      <c r="X51" s="12" t="str">
        <f>IFERROR(INDEX($AM$11:$AM$4010,MATCH(41,$AY$11:$AY$4010,0)),"")</f>
        <v/>
      </c>
      <c r="Y51" s="11" t="str">
        <f>IF(X51="","",IFERROR(INDEX($AN$11:$AN$4010,MATCH(41,$AY$11:$AY$4010,0)),""))</f>
        <v/>
      </c>
      <c r="Z51" s="11" t="str">
        <f>IF(X51="","",IFERROR(INDEX($AO$11:$AO$4010,MATCH(41,$AY$11:$AY$4010,0)),""))</f>
        <v/>
      </c>
      <c r="AA51" s="10" t="str">
        <f>IF(X51="","",IFERROR(INDEX($AQ$11:$AQ$4010,MATCH(41,$AY$11:$AY$4010,0)),""))</f>
        <v/>
      </c>
      <c r="AB51" s="15" t="str">
        <f>IF(X51="","",IFERROR(INDEX($AR$11:$AR$4010,MATCH(41,$AY$11:$AY$4010,0)),""))</f>
        <v/>
      </c>
      <c r="AD51" s="16" t="str">
        <f>IF(AE51="","",IFERROR(INDEX($AL$11:$AL$4010,MATCH(41,$AZ$11:$AZ$4010,0)),""))</f>
        <v/>
      </c>
      <c r="AE51" s="12" t="str">
        <f>IFERROR(INDEX($AM$11:$AM$4010,MATCH(41,$AZ$11:$AZ$4010,0)),"")</f>
        <v/>
      </c>
      <c r="AF51" s="11" t="str">
        <f>IF(AE51="","",IFERROR(INDEX($AN$11:$AN$4010,MATCH(41,$AZ$11:$AZ$4010,0)),""))</f>
        <v/>
      </c>
      <c r="AG51" s="11" t="str">
        <f>IF(AE51="","",IFERROR(INDEX($AO$11:$AO$4010,MATCH(41,$AZ$11:$AZ$4010,0)),""))</f>
        <v/>
      </c>
      <c r="AH51" s="10" t="str">
        <f>IF(AE51="","",IFERROR(INDEX($AQ$11:$AQ$4010,MATCH(41,$AZ$11:$AZ$4010,0)),""))</f>
        <v/>
      </c>
      <c r="AI51" s="15" t="str">
        <f>IF(AE51="","",IFERROR(INDEX($AR$11:$AR$4010,MATCH(41,$AZ$11:$AZ$4010,0)),""))</f>
        <v/>
      </c>
      <c r="AJ51" s="15" t="str">
        <f>IF(AE51="","",IFERROR(INDEX($AT$11:$AT$4010,MATCH(41,$AZ$11:$AZ$4010,0)),""))</f>
        <v/>
      </c>
      <c r="AL51" s="17" t="str">
        <f t="shared" si="5"/>
        <v/>
      </c>
      <c r="AM51" s="12" t="str">
        <f t="shared" si="6"/>
        <v/>
      </c>
      <c r="AN51" s="18" t="str">
        <f t="shared" si="7"/>
        <v/>
      </c>
      <c r="AO51" s="18" t="str">
        <f t="shared" si="8"/>
        <v/>
      </c>
      <c r="AP51" s="10" t="str">
        <f t="shared" si="9"/>
        <v/>
      </c>
      <c r="AQ51" s="10" t="str">
        <f t="shared" si="10"/>
        <v/>
      </c>
      <c r="AR51" s="19" t="str">
        <f t="shared" si="11"/>
        <v/>
      </c>
      <c r="AS51" s="20"/>
      <c r="AT51" s="19"/>
      <c r="AV51" s="21">
        <f>IF(AND($AL51&lt;&gt;"",COUNTIF($AL$11:$AL51,$AL51)=1),1,0)</f>
        <v>0</v>
      </c>
      <c r="AW51" s="21">
        <f t="shared" si="13"/>
        <v>2</v>
      </c>
      <c r="AX51" s="21" t="str">
        <f t="shared" si="12"/>
        <v/>
      </c>
      <c r="AY51" s="21" t="str">
        <f>IF(AND($AM51&lt;&gt;"",$AS51&lt;&gt;"✓"),SUMPRODUCT(($AM$11:$AM51&lt;&gt;"")*($AS$11:$AS51&lt;&gt;"✓")),"")</f>
        <v/>
      </c>
      <c r="AZ51" s="21" t="str">
        <f>IF(AND($AM51&lt;&gt;"",$AS51="✓"),SUMPRODUCT(($AM$11:$AM51&lt;&gt;"")*($AS$11:$AS51="✓")),"")</f>
        <v/>
      </c>
      <c r="BA51" s="21" t="str">
        <f>IF($AL51="","",$AL51&amp;"|"&amp;COUNTIF($AL$11:$AL51,$AL51))</f>
        <v/>
      </c>
      <c r="BD51" s="36" t="str">
        <f>IF(IFERROR(INDEX($AM$11:$AM$4010,MATCH($S$8&amp;"|"&amp;39,$BA$11:$BA$4010,0)),"")="","",39)</f>
        <v/>
      </c>
      <c r="BE51" s="36" t="str">
        <f>IFERROR(INDEX($AM$11:$AM$4010,MATCH($S$8&amp;"|"&amp;39,$BA$11:$BA$4010,0)),"")</f>
        <v/>
      </c>
      <c r="BF51" s="36" t="str">
        <f>IFERROR(INDEX($AP$11:$AP$4010,MATCH($S$8&amp;"|"&amp;39,$BA$11:$BA$4010,0)),"")</f>
        <v/>
      </c>
      <c r="BG51" s="36" t="str">
        <f>IFERROR(INDEX($AQ$11:$AQ$4010,MATCH($S$8&amp;"|"&amp;39,$BA$11:$BA$4010,0)),"")</f>
        <v/>
      </c>
      <c r="BH51" s="37" t="str">
        <f>IFERROR(INDEX($AN$11:$AN$4010,MATCH($S$8&amp;"|"&amp;39,$BA$11:$BA$4010,0)),"")</f>
        <v/>
      </c>
      <c r="BI51" s="37" t="str">
        <f>IFERROR(INDEX($AO$11:$AO$4010,MATCH($S$8&amp;"|"&amp;39,$BA$11:$BA$4010,0)),"")</f>
        <v/>
      </c>
      <c r="BL51" s="36" t="str">
        <f>IF(IFERROR(INDEX($AM$11:$AM$4010,MATCH($S$8&amp;"|"&amp;39,$BA$11:$BA$4010,0)),"")="","",39)</f>
        <v/>
      </c>
      <c r="BM51" s="36" t="str">
        <f>IFERROR(INDEX($AM$11:$AM$4010,MATCH($S$8&amp;"|"&amp;39,$BA$11:$BA$4010,0)),"")</f>
        <v/>
      </c>
      <c r="BN51" s="36" t="str">
        <f>IFERROR(INDEX($AP$11:$AP$4010,MATCH($S$8&amp;"|"&amp;39,$BA$11:$BA$4010,0)),"")</f>
        <v/>
      </c>
      <c r="BO51" s="36" t="str">
        <f>IFERROR(INDEX($AQ$11:$AQ$4010,MATCH($S$8&amp;"|"&amp;39,$BA$11:$BA$4010,0)),"")</f>
        <v/>
      </c>
      <c r="BP51" s="37" t="str">
        <f>IFERROR(INDEX($AN$11:$AN$4010,MATCH($S$8&amp;"|"&amp;39,$BA$11:$BA$4010,0)),"")</f>
        <v/>
      </c>
      <c r="BQ51" s="37" t="str">
        <f>IFERROR(INDEX($AO$11:$AO$4010,MATCH($S$8&amp;"|"&amp;39,$BA$11:$BA$4010,0)),"")</f>
        <v/>
      </c>
    </row>
    <row r="52" spans="2:69" ht="13.5" customHeight="1" x14ac:dyDescent="0.25">
      <c r="B52" s="5" t="str">
        <f t="shared" si="0"/>
        <v/>
      </c>
      <c r="C52" s="5"/>
      <c r="D52" s="5"/>
      <c r="E52" s="5"/>
      <c r="F52" s="6"/>
      <c r="G52" s="6"/>
      <c r="H52" s="7"/>
      <c r="I52" s="8"/>
      <c r="K52" s="23" t="str">
        <f>IFERROR(INDEX($AL$11:$AL$4010,MATCH(42,$AX$11:$AX$4010,0)),"")</f>
        <v/>
      </c>
      <c r="L52" s="24" t="str">
        <f t="shared" si="1"/>
        <v/>
      </c>
      <c r="M52" s="25" t="str">
        <f t="shared" si="2"/>
        <v/>
      </c>
      <c r="N52" s="25" t="str">
        <f t="shared" si="3"/>
        <v/>
      </c>
      <c r="P52" s="26" t="str">
        <f>IFERROR(INDEX($AM$11:$AM$4010,MATCH($S$8&amp;"|"&amp;42,$BA$11:$BA$4010,0)),"")</f>
        <v/>
      </c>
      <c r="Q52" s="25" t="str">
        <f>IF(P52="","",IFERROR(INDEX($AN$11:$AN$4010,MATCH($S$8&amp;"|"&amp;42,$BA$11:$BA$4010,0)),""))</f>
        <v/>
      </c>
      <c r="R52" s="25" t="str">
        <f>IF(P52="","",IFERROR(INDEX($AO$11:$AO$4010,MATCH($S$8&amp;"|"&amp;42,$BA$11:$BA$4010,0)),""))</f>
        <v/>
      </c>
      <c r="S52" s="24" t="str">
        <f>IF(P52="","",IFERROR(INDEX($AP$11:$AP$4010,MATCH($S$8&amp;"|"&amp;42,$BA$11:$BA$4010,0)),""))</f>
        <v/>
      </c>
      <c r="T52" s="24" t="str">
        <f>IF(P52="","",IFERROR(INDEX($AQ$11:$AQ$4010,MATCH($S$8&amp;"|"&amp;42,$BA$11:$BA$4010,0)),""))</f>
        <v/>
      </c>
      <c r="U52" s="38" t="str">
        <f t="shared" si="14"/>
        <v/>
      </c>
      <c r="W52" s="28" t="str">
        <f>IF(X52="","",IFERROR(INDEX($AL$11:$AL$4010,MATCH(42,$AY$11:$AY$4010,0)),""))</f>
        <v/>
      </c>
      <c r="X52" s="26" t="str">
        <f>IFERROR(INDEX($AM$11:$AM$4010,MATCH(42,$AY$11:$AY$4010,0)),"")</f>
        <v/>
      </c>
      <c r="Y52" s="25" t="str">
        <f>IF(X52="","",IFERROR(INDEX($AN$11:$AN$4010,MATCH(42,$AY$11:$AY$4010,0)),""))</f>
        <v/>
      </c>
      <c r="Z52" s="25" t="str">
        <f>IF(X52="","",IFERROR(INDEX($AO$11:$AO$4010,MATCH(42,$AY$11:$AY$4010,0)),""))</f>
        <v/>
      </c>
      <c r="AA52" s="24" t="str">
        <f>IF(X52="","",IFERROR(INDEX($AQ$11:$AQ$4010,MATCH(42,$AY$11:$AY$4010,0)),""))</f>
        <v/>
      </c>
      <c r="AB52" s="29" t="str">
        <f>IF(X52="","",IFERROR(INDEX($AR$11:$AR$4010,MATCH(42,$AY$11:$AY$4010,0)),""))</f>
        <v/>
      </c>
      <c r="AD52" s="30" t="str">
        <f>IF(AE52="","",IFERROR(INDEX($AL$11:$AL$4010,MATCH(42,$AZ$11:$AZ$4010,0)),""))</f>
        <v/>
      </c>
      <c r="AE52" s="26" t="str">
        <f>IFERROR(INDEX($AM$11:$AM$4010,MATCH(42,$AZ$11:$AZ$4010,0)),"")</f>
        <v/>
      </c>
      <c r="AF52" s="25" t="str">
        <f>IF(AE52="","",IFERROR(INDEX($AN$11:$AN$4010,MATCH(42,$AZ$11:$AZ$4010,0)),""))</f>
        <v/>
      </c>
      <c r="AG52" s="25" t="str">
        <f>IF(AE52="","",IFERROR(INDEX($AO$11:$AO$4010,MATCH(42,$AZ$11:$AZ$4010,0)),""))</f>
        <v/>
      </c>
      <c r="AH52" s="24" t="str">
        <f>IF(AE52="","",IFERROR(INDEX($AQ$11:$AQ$4010,MATCH(42,$AZ$11:$AZ$4010,0)),""))</f>
        <v/>
      </c>
      <c r="AI52" s="29" t="str">
        <f>IF(AE52="","",IFERROR(INDEX($AR$11:$AR$4010,MATCH(42,$AZ$11:$AZ$4010,0)),""))</f>
        <v/>
      </c>
      <c r="AJ52" s="29" t="str">
        <f>IF(AE52="","",IFERROR(INDEX($AT$11:$AT$4010,MATCH(42,$AZ$11:$AZ$4010,0)),""))</f>
        <v/>
      </c>
      <c r="AL52" s="31" t="str">
        <f t="shared" si="5"/>
        <v/>
      </c>
      <c r="AM52" s="26" t="str">
        <f t="shared" si="6"/>
        <v/>
      </c>
      <c r="AN52" s="32" t="str">
        <f t="shared" si="7"/>
        <v/>
      </c>
      <c r="AO52" s="32" t="str">
        <f t="shared" si="8"/>
        <v/>
      </c>
      <c r="AP52" s="24" t="str">
        <f t="shared" si="9"/>
        <v/>
      </c>
      <c r="AQ52" s="24" t="str">
        <f t="shared" si="10"/>
        <v/>
      </c>
      <c r="AR52" s="33" t="str">
        <f t="shared" si="11"/>
        <v/>
      </c>
      <c r="AS52" s="34"/>
      <c r="AT52" s="33"/>
      <c r="AV52" s="21">
        <f>IF(AND($AL52&lt;&gt;"",COUNTIF($AL$11:$AL52,$AL52)=1),1,0)</f>
        <v>0</v>
      </c>
      <c r="AW52" s="21">
        <f t="shared" si="13"/>
        <v>2</v>
      </c>
      <c r="AX52" s="21" t="str">
        <f t="shared" si="12"/>
        <v/>
      </c>
      <c r="AY52" s="21" t="str">
        <f>IF(AND($AM52&lt;&gt;"",$AS52&lt;&gt;"✓"),SUMPRODUCT(($AM$11:$AM52&lt;&gt;"")*($AS$11:$AS52&lt;&gt;"✓")),"")</f>
        <v/>
      </c>
      <c r="AZ52" s="21" t="str">
        <f>IF(AND($AM52&lt;&gt;"",$AS52="✓"),SUMPRODUCT(($AM$11:$AM52&lt;&gt;"")*($AS$11:$AS52="✓")),"")</f>
        <v/>
      </c>
      <c r="BA52" s="21" t="str">
        <f>IF($AL52="","",$AL52&amp;"|"&amp;COUNTIF($AL$11:$AL52,$AL52))</f>
        <v/>
      </c>
      <c r="BD52" s="36" t="str">
        <f>IF(IFERROR(INDEX($AM$11:$AM$4010,MATCH($S$8&amp;"|"&amp;40,$BA$11:$BA$4010,0)),"")="","",40)</f>
        <v/>
      </c>
      <c r="BE52" s="36" t="str">
        <f>IFERROR(INDEX($AM$11:$AM$4010,MATCH($S$8&amp;"|"&amp;40,$BA$11:$BA$4010,0)),"")</f>
        <v/>
      </c>
      <c r="BF52" s="36" t="str">
        <f>IFERROR(INDEX($AP$11:$AP$4010,MATCH($S$8&amp;"|"&amp;40,$BA$11:$BA$4010,0)),"")</f>
        <v/>
      </c>
      <c r="BG52" s="36" t="str">
        <f>IFERROR(INDEX($AQ$11:$AQ$4010,MATCH($S$8&amp;"|"&amp;40,$BA$11:$BA$4010,0)),"")</f>
        <v/>
      </c>
      <c r="BH52" s="37" t="str">
        <f>IFERROR(INDEX($AN$11:$AN$4010,MATCH($S$8&amp;"|"&amp;40,$BA$11:$BA$4010,0)),"")</f>
        <v/>
      </c>
      <c r="BI52" s="37" t="str">
        <f>IFERROR(INDEX($AO$11:$AO$4010,MATCH($S$8&amp;"|"&amp;40,$BA$11:$BA$4010,0)),"")</f>
        <v/>
      </c>
      <c r="BL52" s="36" t="str">
        <f>IF(IFERROR(INDEX($AM$11:$AM$4010,MATCH($S$8&amp;"|"&amp;40,$BA$11:$BA$4010,0)),"")="","",40)</f>
        <v/>
      </c>
      <c r="BM52" s="36" t="str">
        <f>IFERROR(INDEX($AM$11:$AM$4010,MATCH($S$8&amp;"|"&amp;40,$BA$11:$BA$4010,0)),"")</f>
        <v/>
      </c>
      <c r="BN52" s="36" t="str">
        <f>IFERROR(INDEX($AP$11:$AP$4010,MATCH($S$8&amp;"|"&amp;40,$BA$11:$BA$4010,0)),"")</f>
        <v/>
      </c>
      <c r="BO52" s="36" t="str">
        <f>IFERROR(INDEX($AQ$11:$AQ$4010,MATCH($S$8&amp;"|"&amp;40,$BA$11:$BA$4010,0)),"")</f>
        <v/>
      </c>
      <c r="BP52" s="37" t="str">
        <f>IFERROR(INDEX($AN$11:$AN$4010,MATCH($S$8&amp;"|"&amp;40,$BA$11:$BA$4010,0)),"")</f>
        <v/>
      </c>
      <c r="BQ52" s="37" t="str">
        <f>IFERROR(INDEX($AO$11:$AO$4010,MATCH($S$8&amp;"|"&amp;40,$BA$11:$BA$4010,0)),"")</f>
        <v/>
      </c>
    </row>
    <row r="53" spans="2:69" ht="13.5" customHeight="1" x14ac:dyDescent="0.25">
      <c r="B53" s="5" t="str">
        <f t="shared" si="0"/>
        <v/>
      </c>
      <c r="C53" s="5"/>
      <c r="D53" s="5"/>
      <c r="E53" s="5"/>
      <c r="F53" s="6"/>
      <c r="G53" s="6"/>
      <c r="H53" s="7"/>
      <c r="I53" s="8"/>
      <c r="K53" s="9" t="str">
        <f>IFERROR(INDEX($AL$11:$AL$4010,MATCH(43,$AX$11:$AX$4010,0)),"")</f>
        <v/>
      </c>
      <c r="L53" s="10" t="str">
        <f t="shared" si="1"/>
        <v/>
      </c>
      <c r="M53" s="11" t="str">
        <f t="shared" si="2"/>
        <v/>
      </c>
      <c r="N53" s="11" t="str">
        <f t="shared" si="3"/>
        <v/>
      </c>
      <c r="P53" s="12" t="str">
        <f>IFERROR(INDEX($AM$11:$AM$4010,MATCH($S$8&amp;"|"&amp;43,$BA$11:$BA$4010,0)),"")</f>
        <v/>
      </c>
      <c r="Q53" s="11" t="str">
        <f>IF(P53="","",IFERROR(INDEX($AN$11:$AN$4010,MATCH($S$8&amp;"|"&amp;43,$BA$11:$BA$4010,0)),""))</f>
        <v/>
      </c>
      <c r="R53" s="11" t="str">
        <f>IF(P53="","",IFERROR(INDEX($AO$11:$AO$4010,MATCH($S$8&amp;"|"&amp;43,$BA$11:$BA$4010,0)),""))</f>
        <v/>
      </c>
      <c r="S53" s="10" t="str">
        <f>IF(P53="","",IFERROR(INDEX($AP$11:$AP$4010,MATCH($S$8&amp;"|"&amp;43,$BA$11:$BA$4010,0)),""))</f>
        <v/>
      </c>
      <c r="T53" s="10" t="str">
        <f>IF(P53="","",IFERROR(INDEX($AQ$11:$AQ$4010,MATCH($S$8&amp;"|"&amp;43,$BA$11:$BA$4010,0)),""))</f>
        <v/>
      </c>
      <c r="U53" s="39" t="str">
        <f t="shared" si="14"/>
        <v/>
      </c>
      <c r="W53" s="14" t="str">
        <f>IF(X53="","",IFERROR(INDEX($AL$11:$AL$4010,MATCH(43,$AY$11:$AY$4010,0)),""))</f>
        <v/>
      </c>
      <c r="X53" s="12" t="str">
        <f>IFERROR(INDEX($AM$11:$AM$4010,MATCH(43,$AY$11:$AY$4010,0)),"")</f>
        <v/>
      </c>
      <c r="Y53" s="11" t="str">
        <f>IF(X53="","",IFERROR(INDEX($AN$11:$AN$4010,MATCH(43,$AY$11:$AY$4010,0)),""))</f>
        <v/>
      </c>
      <c r="Z53" s="11" t="str">
        <f>IF(X53="","",IFERROR(INDEX($AO$11:$AO$4010,MATCH(43,$AY$11:$AY$4010,0)),""))</f>
        <v/>
      </c>
      <c r="AA53" s="10" t="str">
        <f>IF(X53="","",IFERROR(INDEX($AQ$11:$AQ$4010,MATCH(43,$AY$11:$AY$4010,0)),""))</f>
        <v/>
      </c>
      <c r="AB53" s="15" t="str">
        <f>IF(X53="","",IFERROR(INDEX($AR$11:$AR$4010,MATCH(43,$AY$11:$AY$4010,0)),""))</f>
        <v/>
      </c>
      <c r="AD53" s="16" t="str">
        <f>IF(AE53="","",IFERROR(INDEX($AL$11:$AL$4010,MATCH(43,$AZ$11:$AZ$4010,0)),""))</f>
        <v/>
      </c>
      <c r="AE53" s="12" t="str">
        <f>IFERROR(INDEX($AM$11:$AM$4010,MATCH(43,$AZ$11:$AZ$4010,0)),"")</f>
        <v/>
      </c>
      <c r="AF53" s="11" t="str">
        <f>IF(AE53="","",IFERROR(INDEX($AN$11:$AN$4010,MATCH(43,$AZ$11:$AZ$4010,0)),""))</f>
        <v/>
      </c>
      <c r="AG53" s="11" t="str">
        <f>IF(AE53="","",IFERROR(INDEX($AO$11:$AO$4010,MATCH(43,$AZ$11:$AZ$4010,0)),""))</f>
        <v/>
      </c>
      <c r="AH53" s="10" t="str">
        <f>IF(AE53="","",IFERROR(INDEX($AQ$11:$AQ$4010,MATCH(43,$AZ$11:$AZ$4010,0)),""))</f>
        <v/>
      </c>
      <c r="AI53" s="15" t="str">
        <f>IF(AE53="","",IFERROR(INDEX($AR$11:$AR$4010,MATCH(43,$AZ$11:$AZ$4010,0)),""))</f>
        <v/>
      </c>
      <c r="AJ53" s="15" t="str">
        <f>IF(AE53="","",IFERROR(INDEX($AT$11:$AT$4010,MATCH(43,$AZ$11:$AZ$4010,0)),""))</f>
        <v/>
      </c>
      <c r="AL53" s="17" t="str">
        <f t="shared" si="5"/>
        <v/>
      </c>
      <c r="AM53" s="12" t="str">
        <f t="shared" si="6"/>
        <v/>
      </c>
      <c r="AN53" s="18" t="str">
        <f t="shared" si="7"/>
        <v/>
      </c>
      <c r="AO53" s="18" t="str">
        <f t="shared" si="8"/>
        <v/>
      </c>
      <c r="AP53" s="10" t="str">
        <f t="shared" si="9"/>
        <v/>
      </c>
      <c r="AQ53" s="10" t="str">
        <f t="shared" si="10"/>
        <v/>
      </c>
      <c r="AR53" s="19" t="str">
        <f t="shared" si="11"/>
        <v/>
      </c>
      <c r="AS53" s="20"/>
      <c r="AT53" s="19"/>
      <c r="AV53" s="21">
        <f>IF(AND($AL53&lt;&gt;"",COUNTIF($AL$11:$AL53,$AL53)=1),1,0)</f>
        <v>0</v>
      </c>
      <c r="AW53" s="21">
        <f t="shared" si="13"/>
        <v>2</v>
      </c>
      <c r="AX53" s="21" t="str">
        <f t="shared" si="12"/>
        <v/>
      </c>
      <c r="AY53" s="21" t="str">
        <f>IF(AND($AM53&lt;&gt;"",$AS53&lt;&gt;"✓"),SUMPRODUCT(($AM$11:$AM53&lt;&gt;"")*($AS$11:$AS53&lt;&gt;"✓")),"")</f>
        <v/>
      </c>
      <c r="AZ53" s="21" t="str">
        <f>IF(AND($AM53&lt;&gt;"",$AS53="✓"),SUMPRODUCT(($AM$11:$AM53&lt;&gt;"")*($AS$11:$AS53="✓")),"")</f>
        <v/>
      </c>
      <c r="BA53" s="21" t="str">
        <f>IF($AL53="","",$AL53&amp;"|"&amp;COUNTIF($AL$11:$AL53,$AL53))</f>
        <v/>
      </c>
      <c r="BD53" s="36" t="str">
        <f>IF(IFERROR(INDEX($AM$11:$AM$4010,MATCH($S$8&amp;"|"&amp;41,$BA$11:$BA$4010,0)),"")="","",41)</f>
        <v/>
      </c>
      <c r="BE53" s="36" t="str">
        <f>IFERROR(INDEX($AM$11:$AM$4010,MATCH($S$8&amp;"|"&amp;41,$BA$11:$BA$4010,0)),"")</f>
        <v/>
      </c>
      <c r="BF53" s="36" t="str">
        <f>IFERROR(INDEX($AP$11:$AP$4010,MATCH($S$8&amp;"|"&amp;41,$BA$11:$BA$4010,0)),"")</f>
        <v/>
      </c>
      <c r="BG53" s="36" t="str">
        <f>IFERROR(INDEX($AQ$11:$AQ$4010,MATCH($S$8&amp;"|"&amp;41,$BA$11:$BA$4010,0)),"")</f>
        <v/>
      </c>
      <c r="BH53" s="37" t="str">
        <f>IFERROR(INDEX($AN$11:$AN$4010,MATCH($S$8&amp;"|"&amp;41,$BA$11:$BA$4010,0)),"")</f>
        <v/>
      </c>
      <c r="BI53" s="37" t="str">
        <f>IFERROR(INDEX($AO$11:$AO$4010,MATCH($S$8&amp;"|"&amp;41,$BA$11:$BA$4010,0)),"")</f>
        <v/>
      </c>
      <c r="BL53" s="36" t="str">
        <f>IF(IFERROR(INDEX($AM$11:$AM$4010,MATCH($S$8&amp;"|"&amp;41,$BA$11:$BA$4010,0)),"")="","",41)</f>
        <v/>
      </c>
      <c r="BM53" s="36" t="str">
        <f>IFERROR(INDEX($AM$11:$AM$4010,MATCH($S$8&amp;"|"&amp;41,$BA$11:$BA$4010,0)),"")</f>
        <v/>
      </c>
      <c r="BN53" s="36" t="str">
        <f>IFERROR(INDEX($AP$11:$AP$4010,MATCH($S$8&amp;"|"&amp;41,$BA$11:$BA$4010,0)),"")</f>
        <v/>
      </c>
      <c r="BO53" s="36" t="str">
        <f>IFERROR(INDEX($AQ$11:$AQ$4010,MATCH($S$8&amp;"|"&amp;41,$BA$11:$BA$4010,0)),"")</f>
        <v/>
      </c>
      <c r="BP53" s="37" t="str">
        <f>IFERROR(INDEX($AN$11:$AN$4010,MATCH($S$8&amp;"|"&amp;41,$BA$11:$BA$4010,0)),"")</f>
        <v/>
      </c>
      <c r="BQ53" s="37" t="str">
        <f>IFERROR(INDEX($AO$11:$AO$4010,MATCH($S$8&amp;"|"&amp;41,$BA$11:$BA$4010,0)),"")</f>
        <v/>
      </c>
    </row>
    <row r="54" spans="2:69" ht="13.5" customHeight="1" x14ac:dyDescent="0.25">
      <c r="B54" s="5" t="str">
        <f t="shared" si="0"/>
        <v/>
      </c>
      <c r="C54" s="5"/>
      <c r="D54" s="5"/>
      <c r="E54" s="5"/>
      <c r="F54" s="6"/>
      <c r="G54" s="6"/>
      <c r="H54" s="7"/>
      <c r="I54" s="8"/>
      <c r="K54" s="23" t="str">
        <f>IFERROR(INDEX($AL$11:$AL$4010,MATCH(44,$AX$11:$AX$4010,0)),"")</f>
        <v/>
      </c>
      <c r="L54" s="24" t="str">
        <f t="shared" si="1"/>
        <v/>
      </c>
      <c r="M54" s="25" t="str">
        <f t="shared" si="2"/>
        <v/>
      </c>
      <c r="N54" s="25" t="str">
        <f t="shared" si="3"/>
        <v/>
      </c>
      <c r="P54" s="26" t="str">
        <f>IFERROR(INDEX($AM$11:$AM$4010,MATCH($S$8&amp;"|"&amp;44,$BA$11:$BA$4010,0)),"")</f>
        <v/>
      </c>
      <c r="Q54" s="25" t="str">
        <f>IF(P54="","",IFERROR(INDEX($AN$11:$AN$4010,MATCH($S$8&amp;"|"&amp;44,$BA$11:$BA$4010,0)),""))</f>
        <v/>
      </c>
      <c r="R54" s="25" t="str">
        <f>IF(P54="","",IFERROR(INDEX($AO$11:$AO$4010,MATCH($S$8&amp;"|"&amp;44,$BA$11:$BA$4010,0)),""))</f>
        <v/>
      </c>
      <c r="S54" s="24" t="str">
        <f>IF(P54="","",IFERROR(INDEX($AP$11:$AP$4010,MATCH($S$8&amp;"|"&amp;44,$BA$11:$BA$4010,0)),""))</f>
        <v/>
      </c>
      <c r="T54" s="24" t="str">
        <f>IF(P54="","",IFERROR(INDEX($AQ$11:$AQ$4010,MATCH($S$8&amp;"|"&amp;44,$BA$11:$BA$4010,0)),""))</f>
        <v/>
      </c>
      <c r="U54" s="38" t="str">
        <f t="shared" si="14"/>
        <v/>
      </c>
      <c r="W54" s="28" t="str">
        <f>IF(X54="","",IFERROR(INDEX($AL$11:$AL$4010,MATCH(44,$AY$11:$AY$4010,0)),""))</f>
        <v/>
      </c>
      <c r="X54" s="26" t="str">
        <f>IFERROR(INDEX($AM$11:$AM$4010,MATCH(44,$AY$11:$AY$4010,0)),"")</f>
        <v/>
      </c>
      <c r="Y54" s="25" t="str">
        <f>IF(X54="","",IFERROR(INDEX($AN$11:$AN$4010,MATCH(44,$AY$11:$AY$4010,0)),""))</f>
        <v/>
      </c>
      <c r="Z54" s="25" t="str">
        <f>IF(X54="","",IFERROR(INDEX($AO$11:$AO$4010,MATCH(44,$AY$11:$AY$4010,0)),""))</f>
        <v/>
      </c>
      <c r="AA54" s="24" t="str">
        <f>IF(X54="","",IFERROR(INDEX($AQ$11:$AQ$4010,MATCH(44,$AY$11:$AY$4010,0)),""))</f>
        <v/>
      </c>
      <c r="AB54" s="29" t="str">
        <f>IF(X54="","",IFERROR(INDEX($AR$11:$AR$4010,MATCH(44,$AY$11:$AY$4010,0)),""))</f>
        <v/>
      </c>
      <c r="AD54" s="30" t="str">
        <f>IF(AE54="","",IFERROR(INDEX($AL$11:$AL$4010,MATCH(44,$AZ$11:$AZ$4010,0)),""))</f>
        <v/>
      </c>
      <c r="AE54" s="26" t="str">
        <f>IFERROR(INDEX($AM$11:$AM$4010,MATCH(44,$AZ$11:$AZ$4010,0)),"")</f>
        <v/>
      </c>
      <c r="AF54" s="25" t="str">
        <f>IF(AE54="","",IFERROR(INDEX($AN$11:$AN$4010,MATCH(44,$AZ$11:$AZ$4010,0)),""))</f>
        <v/>
      </c>
      <c r="AG54" s="25" t="str">
        <f>IF(AE54="","",IFERROR(INDEX($AO$11:$AO$4010,MATCH(44,$AZ$11:$AZ$4010,0)),""))</f>
        <v/>
      </c>
      <c r="AH54" s="24" t="str">
        <f>IF(AE54="","",IFERROR(INDEX($AQ$11:$AQ$4010,MATCH(44,$AZ$11:$AZ$4010,0)),""))</f>
        <v/>
      </c>
      <c r="AI54" s="29" t="str">
        <f>IF(AE54="","",IFERROR(INDEX($AR$11:$AR$4010,MATCH(44,$AZ$11:$AZ$4010,0)),""))</f>
        <v/>
      </c>
      <c r="AJ54" s="29" t="str">
        <f>IF(AE54="","",IFERROR(INDEX($AT$11:$AT$4010,MATCH(44,$AZ$11:$AZ$4010,0)),""))</f>
        <v/>
      </c>
      <c r="AL54" s="31" t="str">
        <f t="shared" si="5"/>
        <v/>
      </c>
      <c r="AM54" s="26" t="str">
        <f t="shared" si="6"/>
        <v/>
      </c>
      <c r="AN54" s="32" t="str">
        <f t="shared" si="7"/>
        <v/>
      </c>
      <c r="AO54" s="32" t="str">
        <f t="shared" si="8"/>
        <v/>
      </c>
      <c r="AP54" s="24" t="str">
        <f t="shared" si="9"/>
        <v/>
      </c>
      <c r="AQ54" s="24" t="str">
        <f t="shared" si="10"/>
        <v/>
      </c>
      <c r="AR54" s="33" t="str">
        <f t="shared" si="11"/>
        <v/>
      </c>
      <c r="AS54" s="34"/>
      <c r="AT54" s="33"/>
      <c r="AV54" s="21">
        <f>IF(AND($AL54&lt;&gt;"",COUNTIF($AL$11:$AL54,$AL54)=1),1,0)</f>
        <v>0</v>
      </c>
      <c r="AW54" s="21">
        <f t="shared" si="13"/>
        <v>2</v>
      </c>
      <c r="AX54" s="21" t="str">
        <f t="shared" si="12"/>
        <v/>
      </c>
      <c r="AY54" s="21" t="str">
        <f>IF(AND($AM54&lt;&gt;"",$AS54&lt;&gt;"✓"),SUMPRODUCT(($AM$11:$AM54&lt;&gt;"")*($AS$11:$AS54&lt;&gt;"✓")),"")</f>
        <v/>
      </c>
      <c r="AZ54" s="21" t="str">
        <f>IF(AND($AM54&lt;&gt;"",$AS54="✓"),SUMPRODUCT(($AM$11:$AM54&lt;&gt;"")*($AS$11:$AS54="✓")),"")</f>
        <v/>
      </c>
      <c r="BA54" s="21" t="str">
        <f>IF($AL54="","",$AL54&amp;"|"&amp;COUNTIF($AL$11:$AL54,$AL54))</f>
        <v/>
      </c>
      <c r="BD54" s="36" t="str">
        <f>IF(IFERROR(INDEX($AM$11:$AM$4010,MATCH($S$8&amp;"|"&amp;42,$BA$11:$BA$4010,0)),"")="","",42)</f>
        <v/>
      </c>
      <c r="BE54" s="36" t="str">
        <f>IFERROR(INDEX($AM$11:$AM$4010,MATCH($S$8&amp;"|"&amp;42,$BA$11:$BA$4010,0)),"")</f>
        <v/>
      </c>
      <c r="BF54" s="36" t="str">
        <f>IFERROR(INDEX($AP$11:$AP$4010,MATCH($S$8&amp;"|"&amp;42,$BA$11:$BA$4010,0)),"")</f>
        <v/>
      </c>
      <c r="BG54" s="36" t="str">
        <f>IFERROR(INDEX($AQ$11:$AQ$4010,MATCH($S$8&amp;"|"&amp;42,$BA$11:$BA$4010,0)),"")</f>
        <v/>
      </c>
      <c r="BH54" s="37" t="str">
        <f>IFERROR(INDEX($AN$11:$AN$4010,MATCH($S$8&amp;"|"&amp;42,$BA$11:$BA$4010,0)),"")</f>
        <v/>
      </c>
      <c r="BI54" s="37" t="str">
        <f>IFERROR(INDEX($AO$11:$AO$4010,MATCH($S$8&amp;"|"&amp;42,$BA$11:$BA$4010,0)),"")</f>
        <v/>
      </c>
      <c r="BL54" s="36" t="str">
        <f>IF(IFERROR(INDEX($AM$11:$AM$4010,MATCH($S$8&amp;"|"&amp;42,$BA$11:$BA$4010,0)),"")="","",42)</f>
        <v/>
      </c>
      <c r="BM54" s="36" t="str">
        <f>IFERROR(INDEX($AM$11:$AM$4010,MATCH($S$8&amp;"|"&amp;42,$BA$11:$BA$4010,0)),"")</f>
        <v/>
      </c>
      <c r="BN54" s="36" t="str">
        <f>IFERROR(INDEX($AP$11:$AP$4010,MATCH($S$8&amp;"|"&amp;42,$BA$11:$BA$4010,0)),"")</f>
        <v/>
      </c>
      <c r="BO54" s="36" t="str">
        <f>IFERROR(INDEX($AQ$11:$AQ$4010,MATCH($S$8&amp;"|"&amp;42,$BA$11:$BA$4010,0)),"")</f>
        <v/>
      </c>
      <c r="BP54" s="37" t="str">
        <f>IFERROR(INDEX($AN$11:$AN$4010,MATCH($S$8&amp;"|"&amp;42,$BA$11:$BA$4010,0)),"")</f>
        <v/>
      </c>
      <c r="BQ54" s="37" t="str">
        <f>IFERROR(INDEX($AO$11:$AO$4010,MATCH($S$8&amp;"|"&amp;42,$BA$11:$BA$4010,0)),"")</f>
        <v/>
      </c>
    </row>
    <row r="55" spans="2:69" ht="13.5" customHeight="1" x14ac:dyDescent="0.25">
      <c r="B55" s="5" t="str">
        <f t="shared" si="0"/>
        <v/>
      </c>
      <c r="C55" s="5"/>
      <c r="D55" s="5"/>
      <c r="E55" s="5"/>
      <c r="F55" s="6"/>
      <c r="G55" s="6"/>
      <c r="H55" s="7"/>
      <c r="I55" s="8"/>
      <c r="K55" s="9" t="str">
        <f>IFERROR(INDEX($AL$11:$AL$4010,MATCH(45,$AX$11:$AX$4010,0)),"")</f>
        <v/>
      </c>
      <c r="L55" s="10" t="str">
        <f t="shared" si="1"/>
        <v/>
      </c>
      <c r="M55" s="11" t="str">
        <f t="shared" si="2"/>
        <v/>
      </c>
      <c r="N55" s="11" t="str">
        <f t="shared" si="3"/>
        <v/>
      </c>
      <c r="P55" s="12" t="str">
        <f>IFERROR(INDEX($AM$11:$AM$4010,MATCH($S$8&amp;"|"&amp;45,$BA$11:$BA$4010,0)),"")</f>
        <v/>
      </c>
      <c r="Q55" s="11" t="str">
        <f>IF(P55="","",IFERROR(INDEX($AN$11:$AN$4010,MATCH($S$8&amp;"|"&amp;45,$BA$11:$BA$4010,0)),""))</f>
        <v/>
      </c>
      <c r="R55" s="11" t="str">
        <f>IF(P55="","",IFERROR(INDEX($AO$11:$AO$4010,MATCH($S$8&amp;"|"&amp;45,$BA$11:$BA$4010,0)),""))</f>
        <v/>
      </c>
      <c r="S55" s="10" t="str">
        <f>IF(P55="","",IFERROR(INDEX($AP$11:$AP$4010,MATCH($S$8&amp;"|"&amp;45,$BA$11:$BA$4010,0)),""))</f>
        <v/>
      </c>
      <c r="T55" s="10" t="str">
        <f>IF(P55="","",IFERROR(INDEX($AQ$11:$AQ$4010,MATCH($S$8&amp;"|"&amp;45,$BA$11:$BA$4010,0)),""))</f>
        <v/>
      </c>
      <c r="U55" s="39" t="str">
        <f t="shared" si="14"/>
        <v/>
      </c>
      <c r="W55" s="14" t="str">
        <f>IF(X55="","",IFERROR(INDEX($AL$11:$AL$4010,MATCH(45,$AY$11:$AY$4010,0)),""))</f>
        <v/>
      </c>
      <c r="X55" s="12" t="str">
        <f>IFERROR(INDEX($AM$11:$AM$4010,MATCH(45,$AY$11:$AY$4010,0)),"")</f>
        <v/>
      </c>
      <c r="Y55" s="11" t="str">
        <f>IF(X55="","",IFERROR(INDEX($AN$11:$AN$4010,MATCH(45,$AY$11:$AY$4010,0)),""))</f>
        <v/>
      </c>
      <c r="Z55" s="11" t="str">
        <f>IF(X55="","",IFERROR(INDEX($AO$11:$AO$4010,MATCH(45,$AY$11:$AY$4010,0)),""))</f>
        <v/>
      </c>
      <c r="AA55" s="10" t="str">
        <f>IF(X55="","",IFERROR(INDEX($AQ$11:$AQ$4010,MATCH(45,$AY$11:$AY$4010,0)),""))</f>
        <v/>
      </c>
      <c r="AB55" s="15" t="str">
        <f>IF(X55="","",IFERROR(INDEX($AR$11:$AR$4010,MATCH(45,$AY$11:$AY$4010,0)),""))</f>
        <v/>
      </c>
      <c r="AD55" s="16" t="str">
        <f>IF(AE55="","",IFERROR(INDEX($AL$11:$AL$4010,MATCH(45,$AZ$11:$AZ$4010,0)),""))</f>
        <v/>
      </c>
      <c r="AE55" s="12" t="str">
        <f>IFERROR(INDEX($AM$11:$AM$4010,MATCH(45,$AZ$11:$AZ$4010,0)),"")</f>
        <v/>
      </c>
      <c r="AF55" s="11" t="str">
        <f>IF(AE55="","",IFERROR(INDEX($AN$11:$AN$4010,MATCH(45,$AZ$11:$AZ$4010,0)),""))</f>
        <v/>
      </c>
      <c r="AG55" s="11" t="str">
        <f>IF(AE55="","",IFERROR(INDEX($AO$11:$AO$4010,MATCH(45,$AZ$11:$AZ$4010,0)),""))</f>
        <v/>
      </c>
      <c r="AH55" s="10" t="str">
        <f>IF(AE55="","",IFERROR(INDEX($AQ$11:$AQ$4010,MATCH(45,$AZ$11:$AZ$4010,0)),""))</f>
        <v/>
      </c>
      <c r="AI55" s="15" t="str">
        <f>IF(AE55="","",IFERROR(INDEX($AR$11:$AR$4010,MATCH(45,$AZ$11:$AZ$4010,0)),""))</f>
        <v/>
      </c>
      <c r="AJ55" s="15" t="str">
        <f>IF(AE55="","",IFERROR(INDEX($AT$11:$AT$4010,MATCH(45,$AZ$11:$AZ$4010,0)),""))</f>
        <v/>
      </c>
      <c r="AL55" s="17" t="str">
        <f t="shared" si="5"/>
        <v/>
      </c>
      <c r="AM55" s="12" t="str">
        <f t="shared" si="6"/>
        <v/>
      </c>
      <c r="AN55" s="18" t="str">
        <f t="shared" si="7"/>
        <v/>
      </c>
      <c r="AO55" s="18" t="str">
        <f t="shared" si="8"/>
        <v/>
      </c>
      <c r="AP55" s="10" t="str">
        <f t="shared" si="9"/>
        <v/>
      </c>
      <c r="AQ55" s="10" t="str">
        <f t="shared" si="10"/>
        <v/>
      </c>
      <c r="AR55" s="19" t="str">
        <f t="shared" si="11"/>
        <v/>
      </c>
      <c r="AS55" s="20"/>
      <c r="AT55" s="19"/>
      <c r="AV55" s="21">
        <f>IF(AND($AL55&lt;&gt;"",COUNTIF($AL$11:$AL55,$AL55)=1),1,0)</f>
        <v>0</v>
      </c>
      <c r="AW55" s="21">
        <f t="shared" si="13"/>
        <v>2</v>
      </c>
      <c r="AX55" s="21" t="str">
        <f t="shared" si="12"/>
        <v/>
      </c>
      <c r="AY55" s="21" t="str">
        <f>IF(AND($AM55&lt;&gt;"",$AS55&lt;&gt;"✓"),SUMPRODUCT(($AM$11:$AM55&lt;&gt;"")*($AS$11:$AS55&lt;&gt;"✓")),"")</f>
        <v/>
      </c>
      <c r="AZ55" s="21" t="str">
        <f>IF(AND($AM55&lt;&gt;"",$AS55="✓"),SUMPRODUCT(($AM$11:$AM55&lt;&gt;"")*($AS$11:$AS55="✓")),"")</f>
        <v/>
      </c>
      <c r="BA55" s="21" t="str">
        <f>IF($AL55="","",$AL55&amp;"|"&amp;COUNTIF($AL$11:$AL55,$AL55))</f>
        <v/>
      </c>
      <c r="BD55" s="36" t="str">
        <f>IF(IFERROR(INDEX($AM$11:$AM$4010,MATCH($S$8&amp;"|"&amp;43,$BA$11:$BA$4010,0)),"")="","",43)</f>
        <v/>
      </c>
      <c r="BE55" s="36" t="str">
        <f>IFERROR(INDEX($AM$11:$AM$4010,MATCH($S$8&amp;"|"&amp;43,$BA$11:$BA$4010,0)),"")</f>
        <v/>
      </c>
      <c r="BF55" s="36" t="str">
        <f>IFERROR(INDEX($AP$11:$AP$4010,MATCH($S$8&amp;"|"&amp;43,$BA$11:$BA$4010,0)),"")</f>
        <v/>
      </c>
      <c r="BG55" s="36" t="str">
        <f>IFERROR(INDEX($AQ$11:$AQ$4010,MATCH($S$8&amp;"|"&amp;43,$BA$11:$BA$4010,0)),"")</f>
        <v/>
      </c>
      <c r="BH55" s="37" t="str">
        <f>IFERROR(INDEX($AN$11:$AN$4010,MATCH($S$8&amp;"|"&amp;43,$BA$11:$BA$4010,0)),"")</f>
        <v/>
      </c>
      <c r="BI55" s="37" t="str">
        <f>IFERROR(INDEX($AO$11:$AO$4010,MATCH($S$8&amp;"|"&amp;43,$BA$11:$BA$4010,0)),"")</f>
        <v/>
      </c>
      <c r="BL55" s="36" t="str">
        <f>IF(IFERROR(INDEX($AM$11:$AM$4010,MATCH($S$8&amp;"|"&amp;43,$BA$11:$BA$4010,0)),"")="","",43)</f>
        <v/>
      </c>
      <c r="BM55" s="36" t="str">
        <f>IFERROR(INDEX($AM$11:$AM$4010,MATCH($S$8&amp;"|"&amp;43,$BA$11:$BA$4010,0)),"")</f>
        <v/>
      </c>
      <c r="BN55" s="36" t="str">
        <f>IFERROR(INDEX($AP$11:$AP$4010,MATCH($S$8&amp;"|"&amp;43,$BA$11:$BA$4010,0)),"")</f>
        <v/>
      </c>
      <c r="BO55" s="36" t="str">
        <f>IFERROR(INDEX($AQ$11:$AQ$4010,MATCH($S$8&amp;"|"&amp;43,$BA$11:$BA$4010,0)),"")</f>
        <v/>
      </c>
      <c r="BP55" s="37" t="str">
        <f>IFERROR(INDEX($AN$11:$AN$4010,MATCH($S$8&amp;"|"&amp;43,$BA$11:$BA$4010,0)),"")</f>
        <v/>
      </c>
      <c r="BQ55" s="37" t="str">
        <f>IFERROR(INDEX($AO$11:$AO$4010,MATCH($S$8&amp;"|"&amp;43,$BA$11:$BA$4010,0)),"")</f>
        <v/>
      </c>
    </row>
    <row r="56" spans="2:69" ht="13.5" customHeight="1" x14ac:dyDescent="0.25">
      <c r="B56" s="5" t="str">
        <f t="shared" si="0"/>
        <v/>
      </c>
      <c r="C56" s="5"/>
      <c r="D56" s="5"/>
      <c r="E56" s="5"/>
      <c r="F56" s="6"/>
      <c r="G56" s="6"/>
      <c r="H56" s="7"/>
      <c r="I56" s="8"/>
      <c r="K56" s="23" t="str">
        <f>IFERROR(INDEX($AL$11:$AL$4010,MATCH(46,$AX$11:$AX$4010,0)),"")</f>
        <v/>
      </c>
      <c r="L56" s="24" t="str">
        <f t="shared" si="1"/>
        <v/>
      </c>
      <c r="M56" s="25" t="str">
        <f t="shared" si="2"/>
        <v/>
      </c>
      <c r="N56" s="25" t="str">
        <f t="shared" si="3"/>
        <v/>
      </c>
      <c r="P56" s="26" t="str">
        <f>IFERROR(INDEX($AM$11:$AM$4010,MATCH($S$8&amp;"|"&amp;46,$BA$11:$BA$4010,0)),"")</f>
        <v/>
      </c>
      <c r="Q56" s="25" t="str">
        <f>IF(P56="","",IFERROR(INDEX($AN$11:$AN$4010,MATCH($S$8&amp;"|"&amp;46,$BA$11:$BA$4010,0)),""))</f>
        <v/>
      </c>
      <c r="R56" s="25" t="str">
        <f>IF(P56="","",IFERROR(INDEX($AO$11:$AO$4010,MATCH($S$8&amp;"|"&amp;46,$BA$11:$BA$4010,0)),""))</f>
        <v/>
      </c>
      <c r="S56" s="24" t="str">
        <f>IF(P56="","",IFERROR(INDEX($AP$11:$AP$4010,MATCH($S$8&amp;"|"&amp;46,$BA$11:$BA$4010,0)),""))</f>
        <v/>
      </c>
      <c r="T56" s="24" t="str">
        <f>IF(P56="","",IFERROR(INDEX($AQ$11:$AQ$4010,MATCH($S$8&amp;"|"&amp;46,$BA$11:$BA$4010,0)),""))</f>
        <v/>
      </c>
      <c r="U56" s="38" t="str">
        <f t="shared" si="14"/>
        <v/>
      </c>
      <c r="W56" s="28" t="str">
        <f>IF(X56="","",IFERROR(INDEX($AL$11:$AL$4010,MATCH(46,$AY$11:$AY$4010,0)),""))</f>
        <v/>
      </c>
      <c r="X56" s="26" t="str">
        <f>IFERROR(INDEX($AM$11:$AM$4010,MATCH(46,$AY$11:$AY$4010,0)),"")</f>
        <v/>
      </c>
      <c r="Y56" s="25" t="str">
        <f>IF(X56="","",IFERROR(INDEX($AN$11:$AN$4010,MATCH(46,$AY$11:$AY$4010,0)),""))</f>
        <v/>
      </c>
      <c r="Z56" s="25" t="str">
        <f>IF(X56="","",IFERROR(INDEX($AO$11:$AO$4010,MATCH(46,$AY$11:$AY$4010,0)),""))</f>
        <v/>
      </c>
      <c r="AA56" s="24" t="str">
        <f>IF(X56="","",IFERROR(INDEX($AQ$11:$AQ$4010,MATCH(46,$AY$11:$AY$4010,0)),""))</f>
        <v/>
      </c>
      <c r="AB56" s="29" t="str">
        <f>IF(X56="","",IFERROR(INDEX($AR$11:$AR$4010,MATCH(46,$AY$11:$AY$4010,0)),""))</f>
        <v/>
      </c>
      <c r="AD56" s="30" t="str">
        <f>IF(AE56="","",IFERROR(INDEX($AL$11:$AL$4010,MATCH(46,$AZ$11:$AZ$4010,0)),""))</f>
        <v/>
      </c>
      <c r="AE56" s="26" t="str">
        <f>IFERROR(INDEX($AM$11:$AM$4010,MATCH(46,$AZ$11:$AZ$4010,0)),"")</f>
        <v/>
      </c>
      <c r="AF56" s="25" t="str">
        <f>IF(AE56="","",IFERROR(INDEX($AN$11:$AN$4010,MATCH(46,$AZ$11:$AZ$4010,0)),""))</f>
        <v/>
      </c>
      <c r="AG56" s="25" t="str">
        <f>IF(AE56="","",IFERROR(INDEX($AO$11:$AO$4010,MATCH(46,$AZ$11:$AZ$4010,0)),""))</f>
        <v/>
      </c>
      <c r="AH56" s="24" t="str">
        <f>IF(AE56="","",IFERROR(INDEX($AQ$11:$AQ$4010,MATCH(46,$AZ$11:$AZ$4010,0)),""))</f>
        <v/>
      </c>
      <c r="AI56" s="29" t="str">
        <f>IF(AE56="","",IFERROR(INDEX($AR$11:$AR$4010,MATCH(46,$AZ$11:$AZ$4010,0)),""))</f>
        <v/>
      </c>
      <c r="AJ56" s="29" t="str">
        <f>IF(AE56="","",IFERROR(INDEX($AT$11:$AT$4010,MATCH(46,$AZ$11:$AZ$4010,0)),""))</f>
        <v/>
      </c>
      <c r="AL56" s="31" t="str">
        <f t="shared" si="5"/>
        <v/>
      </c>
      <c r="AM56" s="26" t="str">
        <f t="shared" si="6"/>
        <v/>
      </c>
      <c r="AN56" s="32" t="str">
        <f t="shared" si="7"/>
        <v/>
      </c>
      <c r="AO56" s="32" t="str">
        <f t="shared" si="8"/>
        <v/>
      </c>
      <c r="AP56" s="24" t="str">
        <f t="shared" si="9"/>
        <v/>
      </c>
      <c r="AQ56" s="24" t="str">
        <f t="shared" si="10"/>
        <v/>
      </c>
      <c r="AR56" s="33" t="str">
        <f t="shared" si="11"/>
        <v/>
      </c>
      <c r="AS56" s="34"/>
      <c r="AT56" s="33"/>
      <c r="AV56" s="21">
        <f>IF(AND($AL56&lt;&gt;"",COUNTIF($AL$11:$AL56,$AL56)=1),1,0)</f>
        <v>0</v>
      </c>
      <c r="AW56" s="21">
        <f t="shared" si="13"/>
        <v>2</v>
      </c>
      <c r="AX56" s="21" t="str">
        <f t="shared" si="12"/>
        <v/>
      </c>
      <c r="AY56" s="21" t="str">
        <f>IF(AND($AM56&lt;&gt;"",$AS56&lt;&gt;"✓"),SUMPRODUCT(($AM$11:$AM56&lt;&gt;"")*($AS$11:$AS56&lt;&gt;"✓")),"")</f>
        <v/>
      </c>
      <c r="AZ56" s="21" t="str">
        <f>IF(AND($AM56&lt;&gt;"",$AS56="✓"),SUMPRODUCT(($AM$11:$AM56&lt;&gt;"")*($AS$11:$AS56="✓")),"")</f>
        <v/>
      </c>
      <c r="BA56" s="21" t="str">
        <f>IF($AL56="","",$AL56&amp;"|"&amp;COUNTIF($AL$11:$AL56,$AL56))</f>
        <v/>
      </c>
      <c r="BD56" s="36" t="str">
        <f>IF(IFERROR(INDEX($AM$11:$AM$4010,MATCH($S$8&amp;"|"&amp;44,$BA$11:$BA$4010,0)),"")="","",44)</f>
        <v/>
      </c>
      <c r="BE56" s="36" t="str">
        <f>IFERROR(INDEX($AM$11:$AM$4010,MATCH($S$8&amp;"|"&amp;44,$BA$11:$BA$4010,0)),"")</f>
        <v/>
      </c>
      <c r="BF56" s="36" t="str">
        <f>IFERROR(INDEX($AP$11:$AP$4010,MATCH($S$8&amp;"|"&amp;44,$BA$11:$BA$4010,0)),"")</f>
        <v/>
      </c>
      <c r="BG56" s="36" t="str">
        <f>IFERROR(INDEX($AQ$11:$AQ$4010,MATCH($S$8&amp;"|"&amp;44,$BA$11:$BA$4010,0)),"")</f>
        <v/>
      </c>
      <c r="BH56" s="37" t="str">
        <f>IFERROR(INDEX($AN$11:$AN$4010,MATCH($S$8&amp;"|"&amp;44,$BA$11:$BA$4010,0)),"")</f>
        <v/>
      </c>
      <c r="BI56" s="37" t="str">
        <f>IFERROR(INDEX($AO$11:$AO$4010,MATCH($S$8&amp;"|"&amp;44,$BA$11:$BA$4010,0)),"")</f>
        <v/>
      </c>
      <c r="BL56" s="36" t="str">
        <f>IF(IFERROR(INDEX($AM$11:$AM$4010,MATCH($S$8&amp;"|"&amp;44,$BA$11:$BA$4010,0)),"")="","",44)</f>
        <v/>
      </c>
      <c r="BM56" s="36" t="str">
        <f>IFERROR(INDEX($AM$11:$AM$4010,MATCH($S$8&amp;"|"&amp;44,$BA$11:$BA$4010,0)),"")</f>
        <v/>
      </c>
      <c r="BN56" s="36" t="str">
        <f>IFERROR(INDEX($AP$11:$AP$4010,MATCH($S$8&amp;"|"&amp;44,$BA$11:$BA$4010,0)),"")</f>
        <v/>
      </c>
      <c r="BO56" s="36" t="str">
        <f>IFERROR(INDEX($AQ$11:$AQ$4010,MATCH($S$8&amp;"|"&amp;44,$BA$11:$BA$4010,0)),"")</f>
        <v/>
      </c>
      <c r="BP56" s="37" t="str">
        <f>IFERROR(INDEX($AN$11:$AN$4010,MATCH($S$8&amp;"|"&amp;44,$BA$11:$BA$4010,0)),"")</f>
        <v/>
      </c>
      <c r="BQ56" s="37" t="str">
        <f>IFERROR(INDEX($AO$11:$AO$4010,MATCH($S$8&amp;"|"&amp;44,$BA$11:$BA$4010,0)),"")</f>
        <v/>
      </c>
    </row>
    <row r="57" spans="2:69" ht="13.5" customHeight="1" x14ac:dyDescent="0.25">
      <c r="B57" s="5" t="str">
        <f t="shared" si="0"/>
        <v/>
      </c>
      <c r="C57" s="5"/>
      <c r="D57" s="5"/>
      <c r="E57" s="5"/>
      <c r="F57" s="6"/>
      <c r="G57" s="6"/>
      <c r="H57" s="7"/>
      <c r="I57" s="8"/>
      <c r="K57" s="9" t="str">
        <f>IFERROR(INDEX($AL$11:$AL$4010,MATCH(47,$AX$11:$AX$4010,0)),"")</f>
        <v/>
      </c>
      <c r="L57" s="10" t="str">
        <f t="shared" si="1"/>
        <v/>
      </c>
      <c r="M57" s="11" t="str">
        <f t="shared" si="2"/>
        <v/>
      </c>
      <c r="N57" s="11" t="str">
        <f t="shared" si="3"/>
        <v/>
      </c>
      <c r="P57" s="12" t="str">
        <f>IFERROR(INDEX($AM$11:$AM$4010,MATCH($S$8&amp;"|"&amp;47,$BA$11:$BA$4010,0)),"")</f>
        <v/>
      </c>
      <c r="Q57" s="11" t="str">
        <f>IF(P57="","",IFERROR(INDEX($AN$11:$AN$4010,MATCH($S$8&amp;"|"&amp;47,$BA$11:$BA$4010,0)),""))</f>
        <v/>
      </c>
      <c r="R57" s="11" t="str">
        <f>IF(P57="","",IFERROR(INDEX($AO$11:$AO$4010,MATCH($S$8&amp;"|"&amp;47,$BA$11:$BA$4010,0)),""))</f>
        <v/>
      </c>
      <c r="S57" s="10" t="str">
        <f>IF(P57="","",IFERROR(INDEX($AP$11:$AP$4010,MATCH($S$8&amp;"|"&amp;47,$BA$11:$BA$4010,0)),""))</f>
        <v/>
      </c>
      <c r="T57" s="10" t="str">
        <f>IF(P57="","",IFERROR(INDEX($AQ$11:$AQ$4010,MATCH($S$8&amp;"|"&amp;47,$BA$11:$BA$4010,0)),""))</f>
        <v/>
      </c>
      <c r="U57" s="39" t="str">
        <f t="shared" si="14"/>
        <v/>
      </c>
      <c r="W57" s="14" t="str">
        <f>IF(X57="","",IFERROR(INDEX($AL$11:$AL$4010,MATCH(47,$AY$11:$AY$4010,0)),""))</f>
        <v/>
      </c>
      <c r="X57" s="12" t="str">
        <f>IFERROR(INDEX($AM$11:$AM$4010,MATCH(47,$AY$11:$AY$4010,0)),"")</f>
        <v/>
      </c>
      <c r="Y57" s="11" t="str">
        <f>IF(X57="","",IFERROR(INDEX($AN$11:$AN$4010,MATCH(47,$AY$11:$AY$4010,0)),""))</f>
        <v/>
      </c>
      <c r="Z57" s="11" t="str">
        <f>IF(X57="","",IFERROR(INDEX($AO$11:$AO$4010,MATCH(47,$AY$11:$AY$4010,0)),""))</f>
        <v/>
      </c>
      <c r="AA57" s="10" t="str">
        <f>IF(X57="","",IFERROR(INDEX($AQ$11:$AQ$4010,MATCH(47,$AY$11:$AY$4010,0)),""))</f>
        <v/>
      </c>
      <c r="AB57" s="15" t="str">
        <f>IF(X57="","",IFERROR(INDEX($AR$11:$AR$4010,MATCH(47,$AY$11:$AY$4010,0)),""))</f>
        <v/>
      </c>
      <c r="AD57" s="16" t="str">
        <f>IF(AE57="","",IFERROR(INDEX($AL$11:$AL$4010,MATCH(47,$AZ$11:$AZ$4010,0)),""))</f>
        <v/>
      </c>
      <c r="AE57" s="12" t="str">
        <f>IFERROR(INDEX($AM$11:$AM$4010,MATCH(47,$AZ$11:$AZ$4010,0)),"")</f>
        <v/>
      </c>
      <c r="AF57" s="11" t="str">
        <f>IF(AE57="","",IFERROR(INDEX($AN$11:$AN$4010,MATCH(47,$AZ$11:$AZ$4010,0)),""))</f>
        <v/>
      </c>
      <c r="AG57" s="11" t="str">
        <f>IF(AE57="","",IFERROR(INDEX($AO$11:$AO$4010,MATCH(47,$AZ$11:$AZ$4010,0)),""))</f>
        <v/>
      </c>
      <c r="AH57" s="10" t="str">
        <f>IF(AE57="","",IFERROR(INDEX($AQ$11:$AQ$4010,MATCH(47,$AZ$11:$AZ$4010,0)),""))</f>
        <v/>
      </c>
      <c r="AI57" s="15" t="str">
        <f>IF(AE57="","",IFERROR(INDEX($AR$11:$AR$4010,MATCH(47,$AZ$11:$AZ$4010,0)),""))</f>
        <v/>
      </c>
      <c r="AJ57" s="15" t="str">
        <f>IF(AE57="","",IFERROR(INDEX($AT$11:$AT$4010,MATCH(47,$AZ$11:$AZ$4010,0)),""))</f>
        <v/>
      </c>
      <c r="AL57" s="17" t="str">
        <f t="shared" si="5"/>
        <v/>
      </c>
      <c r="AM57" s="12" t="str">
        <f t="shared" si="6"/>
        <v/>
      </c>
      <c r="AN57" s="18" t="str">
        <f t="shared" si="7"/>
        <v/>
      </c>
      <c r="AO57" s="18" t="str">
        <f t="shared" si="8"/>
        <v/>
      </c>
      <c r="AP57" s="10" t="str">
        <f t="shared" si="9"/>
        <v/>
      </c>
      <c r="AQ57" s="10" t="str">
        <f t="shared" si="10"/>
        <v/>
      </c>
      <c r="AR57" s="19" t="str">
        <f t="shared" si="11"/>
        <v/>
      </c>
      <c r="AS57" s="20"/>
      <c r="AT57" s="19"/>
      <c r="AV57" s="21">
        <f>IF(AND($AL57&lt;&gt;"",COUNTIF($AL$11:$AL57,$AL57)=1),1,0)</f>
        <v>0</v>
      </c>
      <c r="AW57" s="21">
        <f t="shared" si="13"/>
        <v>2</v>
      </c>
      <c r="AX57" s="21" t="str">
        <f t="shared" si="12"/>
        <v/>
      </c>
      <c r="AY57" s="21" t="str">
        <f>IF(AND($AM57&lt;&gt;"",$AS57&lt;&gt;"✓"),SUMPRODUCT(($AM$11:$AM57&lt;&gt;"")*($AS$11:$AS57&lt;&gt;"✓")),"")</f>
        <v/>
      </c>
      <c r="AZ57" s="21" t="str">
        <f>IF(AND($AM57&lt;&gt;"",$AS57="✓"),SUMPRODUCT(($AM$11:$AM57&lt;&gt;"")*($AS$11:$AS57="✓")),"")</f>
        <v/>
      </c>
      <c r="BA57" s="21" t="str">
        <f>IF($AL57="","",$AL57&amp;"|"&amp;COUNTIF($AL$11:$AL57,$AL57))</f>
        <v/>
      </c>
      <c r="BD57" s="36" t="str">
        <f>IF(IFERROR(INDEX($AM$11:$AM$4010,MATCH($S$8&amp;"|"&amp;45,$BA$11:$BA$4010,0)),"")="","",45)</f>
        <v/>
      </c>
      <c r="BE57" s="36" t="str">
        <f>IFERROR(INDEX($AM$11:$AM$4010,MATCH($S$8&amp;"|"&amp;45,$BA$11:$BA$4010,0)),"")</f>
        <v/>
      </c>
      <c r="BF57" s="36" t="str">
        <f>IFERROR(INDEX($AP$11:$AP$4010,MATCH($S$8&amp;"|"&amp;45,$BA$11:$BA$4010,0)),"")</f>
        <v/>
      </c>
      <c r="BG57" s="36" t="str">
        <f>IFERROR(INDEX($AQ$11:$AQ$4010,MATCH($S$8&amp;"|"&amp;45,$BA$11:$BA$4010,0)),"")</f>
        <v/>
      </c>
      <c r="BH57" s="37" t="str">
        <f>IFERROR(INDEX($AN$11:$AN$4010,MATCH($S$8&amp;"|"&amp;45,$BA$11:$BA$4010,0)),"")</f>
        <v/>
      </c>
      <c r="BI57" s="37" t="str">
        <f>IFERROR(INDEX($AO$11:$AO$4010,MATCH($S$8&amp;"|"&amp;45,$BA$11:$BA$4010,0)),"")</f>
        <v/>
      </c>
      <c r="BL57" s="36" t="str">
        <f>IF(IFERROR(INDEX($AM$11:$AM$4010,MATCH($S$8&amp;"|"&amp;45,$BA$11:$BA$4010,0)),"")="","",45)</f>
        <v/>
      </c>
      <c r="BM57" s="36" t="str">
        <f>IFERROR(INDEX($AM$11:$AM$4010,MATCH($S$8&amp;"|"&amp;45,$BA$11:$BA$4010,0)),"")</f>
        <v/>
      </c>
      <c r="BN57" s="36" t="str">
        <f>IFERROR(INDEX($AP$11:$AP$4010,MATCH($S$8&amp;"|"&amp;45,$BA$11:$BA$4010,0)),"")</f>
        <v/>
      </c>
      <c r="BO57" s="36" t="str">
        <f>IFERROR(INDEX($AQ$11:$AQ$4010,MATCH($S$8&amp;"|"&amp;45,$BA$11:$BA$4010,0)),"")</f>
        <v/>
      </c>
      <c r="BP57" s="37" t="str">
        <f>IFERROR(INDEX($AN$11:$AN$4010,MATCH($S$8&amp;"|"&amp;45,$BA$11:$BA$4010,0)),"")</f>
        <v/>
      </c>
      <c r="BQ57" s="37" t="str">
        <f>IFERROR(INDEX($AO$11:$AO$4010,MATCH($S$8&amp;"|"&amp;45,$BA$11:$BA$4010,0)),"")</f>
        <v/>
      </c>
    </row>
    <row r="58" spans="2:69" ht="13.5" customHeight="1" x14ac:dyDescent="0.25">
      <c r="B58" s="5" t="str">
        <f t="shared" si="0"/>
        <v/>
      </c>
      <c r="C58" s="5"/>
      <c r="D58" s="5"/>
      <c r="E58" s="5"/>
      <c r="F58" s="6"/>
      <c r="G58" s="6"/>
      <c r="H58" s="7"/>
      <c r="I58" s="8"/>
      <c r="K58" s="23" t="str">
        <f>IFERROR(INDEX($AL$11:$AL$4010,MATCH(48,$AX$11:$AX$4010,0)),"")</f>
        <v/>
      </c>
      <c r="L58" s="24" t="str">
        <f t="shared" si="1"/>
        <v/>
      </c>
      <c r="M58" s="25" t="str">
        <f t="shared" si="2"/>
        <v/>
      </c>
      <c r="N58" s="25" t="str">
        <f t="shared" si="3"/>
        <v/>
      </c>
      <c r="P58" s="26" t="str">
        <f>IFERROR(INDEX($AM$11:$AM$4010,MATCH($S$8&amp;"|"&amp;48,$BA$11:$BA$4010,0)),"")</f>
        <v/>
      </c>
      <c r="Q58" s="25" t="str">
        <f>IF(P58="","",IFERROR(INDEX($AN$11:$AN$4010,MATCH($S$8&amp;"|"&amp;48,$BA$11:$BA$4010,0)),""))</f>
        <v/>
      </c>
      <c r="R58" s="25" t="str">
        <f>IF(P58="","",IFERROR(INDEX($AO$11:$AO$4010,MATCH($S$8&amp;"|"&amp;48,$BA$11:$BA$4010,0)),""))</f>
        <v/>
      </c>
      <c r="S58" s="24" t="str">
        <f>IF(P58="","",IFERROR(INDEX($AP$11:$AP$4010,MATCH($S$8&amp;"|"&amp;48,$BA$11:$BA$4010,0)),""))</f>
        <v/>
      </c>
      <c r="T58" s="24" t="str">
        <f>IF(P58="","",IFERROR(INDEX($AQ$11:$AQ$4010,MATCH($S$8&amp;"|"&amp;48,$BA$11:$BA$4010,0)),""))</f>
        <v/>
      </c>
      <c r="U58" s="38" t="str">
        <f t="shared" si="14"/>
        <v/>
      </c>
      <c r="W58" s="28" t="str">
        <f>IF(X58="","",IFERROR(INDEX($AL$11:$AL$4010,MATCH(48,$AY$11:$AY$4010,0)),""))</f>
        <v/>
      </c>
      <c r="X58" s="26" t="str">
        <f>IFERROR(INDEX($AM$11:$AM$4010,MATCH(48,$AY$11:$AY$4010,0)),"")</f>
        <v/>
      </c>
      <c r="Y58" s="25" t="str">
        <f>IF(X58="","",IFERROR(INDEX($AN$11:$AN$4010,MATCH(48,$AY$11:$AY$4010,0)),""))</f>
        <v/>
      </c>
      <c r="Z58" s="25" t="str">
        <f>IF(X58="","",IFERROR(INDEX($AO$11:$AO$4010,MATCH(48,$AY$11:$AY$4010,0)),""))</f>
        <v/>
      </c>
      <c r="AA58" s="24" t="str">
        <f>IF(X58="","",IFERROR(INDEX($AQ$11:$AQ$4010,MATCH(48,$AY$11:$AY$4010,0)),""))</f>
        <v/>
      </c>
      <c r="AB58" s="29" t="str">
        <f>IF(X58="","",IFERROR(INDEX($AR$11:$AR$4010,MATCH(48,$AY$11:$AY$4010,0)),""))</f>
        <v/>
      </c>
      <c r="AD58" s="30" t="str">
        <f>IF(AE58="","",IFERROR(INDEX($AL$11:$AL$4010,MATCH(48,$AZ$11:$AZ$4010,0)),""))</f>
        <v/>
      </c>
      <c r="AE58" s="26" t="str">
        <f>IFERROR(INDEX($AM$11:$AM$4010,MATCH(48,$AZ$11:$AZ$4010,0)),"")</f>
        <v/>
      </c>
      <c r="AF58" s="25" t="str">
        <f>IF(AE58="","",IFERROR(INDEX($AN$11:$AN$4010,MATCH(48,$AZ$11:$AZ$4010,0)),""))</f>
        <v/>
      </c>
      <c r="AG58" s="25" t="str">
        <f>IF(AE58="","",IFERROR(INDEX($AO$11:$AO$4010,MATCH(48,$AZ$11:$AZ$4010,0)),""))</f>
        <v/>
      </c>
      <c r="AH58" s="24" t="str">
        <f>IF(AE58="","",IFERROR(INDEX($AQ$11:$AQ$4010,MATCH(48,$AZ$11:$AZ$4010,0)),""))</f>
        <v/>
      </c>
      <c r="AI58" s="29" t="str">
        <f>IF(AE58="","",IFERROR(INDEX($AR$11:$AR$4010,MATCH(48,$AZ$11:$AZ$4010,0)),""))</f>
        <v/>
      </c>
      <c r="AJ58" s="29" t="str">
        <f>IF(AE58="","",IFERROR(INDEX($AT$11:$AT$4010,MATCH(48,$AZ$11:$AZ$4010,0)),""))</f>
        <v/>
      </c>
      <c r="AL58" s="31" t="str">
        <f t="shared" si="5"/>
        <v/>
      </c>
      <c r="AM58" s="26" t="str">
        <f t="shared" si="6"/>
        <v/>
      </c>
      <c r="AN58" s="32" t="str">
        <f t="shared" si="7"/>
        <v/>
      </c>
      <c r="AO58" s="32" t="str">
        <f t="shared" si="8"/>
        <v/>
      </c>
      <c r="AP58" s="24" t="str">
        <f t="shared" si="9"/>
        <v/>
      </c>
      <c r="AQ58" s="24" t="str">
        <f t="shared" si="10"/>
        <v/>
      </c>
      <c r="AR58" s="33" t="str">
        <f t="shared" si="11"/>
        <v/>
      </c>
      <c r="AS58" s="34"/>
      <c r="AT58" s="33"/>
      <c r="AV58" s="21">
        <f>IF(AND($AL58&lt;&gt;"",COUNTIF($AL$11:$AL58,$AL58)=1),1,0)</f>
        <v>0</v>
      </c>
      <c r="AW58" s="21">
        <f t="shared" si="13"/>
        <v>2</v>
      </c>
      <c r="AX58" s="21" t="str">
        <f t="shared" si="12"/>
        <v/>
      </c>
      <c r="AY58" s="21" t="str">
        <f>IF(AND($AM58&lt;&gt;"",$AS58&lt;&gt;"✓"),SUMPRODUCT(($AM$11:$AM58&lt;&gt;"")*($AS$11:$AS58&lt;&gt;"✓")),"")</f>
        <v/>
      </c>
      <c r="AZ58" s="21" t="str">
        <f>IF(AND($AM58&lt;&gt;"",$AS58="✓"),SUMPRODUCT(($AM$11:$AM58&lt;&gt;"")*($AS$11:$AS58="✓")),"")</f>
        <v/>
      </c>
      <c r="BA58" s="21" t="str">
        <f>IF($AL58="","",$AL58&amp;"|"&amp;COUNTIF($AL$11:$AL58,$AL58))</f>
        <v/>
      </c>
      <c r="BD58" s="36" t="str">
        <f>IF(IFERROR(INDEX($AM$11:$AM$4010,MATCH($S$8&amp;"|"&amp;46,$BA$11:$BA$4010,0)),"")="","",46)</f>
        <v/>
      </c>
      <c r="BE58" s="36" t="str">
        <f>IFERROR(INDEX($AM$11:$AM$4010,MATCH($S$8&amp;"|"&amp;46,$BA$11:$BA$4010,0)),"")</f>
        <v/>
      </c>
      <c r="BF58" s="36" t="str">
        <f>IFERROR(INDEX($AP$11:$AP$4010,MATCH($S$8&amp;"|"&amp;46,$BA$11:$BA$4010,0)),"")</f>
        <v/>
      </c>
      <c r="BG58" s="36" t="str">
        <f>IFERROR(INDEX($AQ$11:$AQ$4010,MATCH($S$8&amp;"|"&amp;46,$BA$11:$BA$4010,0)),"")</f>
        <v/>
      </c>
      <c r="BH58" s="37" t="str">
        <f>IFERROR(INDEX($AN$11:$AN$4010,MATCH($S$8&amp;"|"&amp;46,$BA$11:$BA$4010,0)),"")</f>
        <v/>
      </c>
      <c r="BI58" s="37" t="str">
        <f>IFERROR(INDEX($AO$11:$AO$4010,MATCH($S$8&amp;"|"&amp;46,$BA$11:$BA$4010,0)),"")</f>
        <v/>
      </c>
      <c r="BL58" s="36" t="str">
        <f>IF(IFERROR(INDEX($AM$11:$AM$4010,MATCH($S$8&amp;"|"&amp;46,$BA$11:$BA$4010,0)),"")="","",46)</f>
        <v/>
      </c>
      <c r="BM58" s="36" t="str">
        <f>IFERROR(INDEX($AM$11:$AM$4010,MATCH($S$8&amp;"|"&amp;46,$BA$11:$BA$4010,0)),"")</f>
        <v/>
      </c>
      <c r="BN58" s="36" t="str">
        <f>IFERROR(INDEX($AP$11:$AP$4010,MATCH($S$8&amp;"|"&amp;46,$BA$11:$BA$4010,0)),"")</f>
        <v/>
      </c>
      <c r="BO58" s="36" t="str">
        <f>IFERROR(INDEX($AQ$11:$AQ$4010,MATCH($S$8&amp;"|"&amp;46,$BA$11:$BA$4010,0)),"")</f>
        <v/>
      </c>
      <c r="BP58" s="37" t="str">
        <f>IFERROR(INDEX($AN$11:$AN$4010,MATCH($S$8&amp;"|"&amp;46,$BA$11:$BA$4010,0)),"")</f>
        <v/>
      </c>
      <c r="BQ58" s="37" t="str">
        <f>IFERROR(INDEX($AO$11:$AO$4010,MATCH($S$8&amp;"|"&amp;46,$BA$11:$BA$4010,0)),"")</f>
        <v/>
      </c>
    </row>
    <row r="59" spans="2:69" ht="13.5" customHeight="1" x14ac:dyDescent="0.25">
      <c r="B59" s="5" t="str">
        <f t="shared" si="0"/>
        <v/>
      </c>
      <c r="C59" s="5"/>
      <c r="D59" s="5"/>
      <c r="E59" s="5"/>
      <c r="F59" s="6"/>
      <c r="G59" s="6"/>
      <c r="H59" s="7"/>
      <c r="I59" s="8"/>
      <c r="K59" s="9" t="str">
        <f>IFERROR(INDEX($AL$11:$AL$4010,MATCH(49,$AX$11:$AX$4010,0)),"")</f>
        <v/>
      </c>
      <c r="L59" s="10" t="str">
        <f t="shared" si="1"/>
        <v/>
      </c>
      <c r="M59" s="11" t="str">
        <f t="shared" si="2"/>
        <v/>
      </c>
      <c r="N59" s="11" t="str">
        <f t="shared" si="3"/>
        <v/>
      </c>
      <c r="P59" s="12" t="str">
        <f>IFERROR(INDEX($AM$11:$AM$4010,MATCH($S$8&amp;"|"&amp;49,$BA$11:$BA$4010,0)),"")</f>
        <v/>
      </c>
      <c r="Q59" s="11" t="str">
        <f>IF(P59="","",IFERROR(INDEX($AN$11:$AN$4010,MATCH($S$8&amp;"|"&amp;49,$BA$11:$BA$4010,0)),""))</f>
        <v/>
      </c>
      <c r="R59" s="11" t="str">
        <f>IF(P59="","",IFERROR(INDEX($AO$11:$AO$4010,MATCH($S$8&amp;"|"&amp;49,$BA$11:$BA$4010,0)),""))</f>
        <v/>
      </c>
      <c r="S59" s="10" t="str">
        <f>IF(P59="","",IFERROR(INDEX($AP$11:$AP$4010,MATCH($S$8&amp;"|"&amp;49,$BA$11:$BA$4010,0)),""))</f>
        <v/>
      </c>
      <c r="T59" s="10" t="str">
        <f>IF(P59="","",IFERROR(INDEX($AQ$11:$AQ$4010,MATCH($S$8&amp;"|"&amp;49,$BA$11:$BA$4010,0)),""))</f>
        <v/>
      </c>
      <c r="U59" s="39" t="str">
        <f t="shared" si="14"/>
        <v/>
      </c>
      <c r="W59" s="14" t="str">
        <f>IF(X59="","",IFERROR(INDEX($AL$11:$AL$4010,MATCH(49,$AY$11:$AY$4010,0)),""))</f>
        <v/>
      </c>
      <c r="X59" s="12" t="str">
        <f>IFERROR(INDEX($AM$11:$AM$4010,MATCH(49,$AY$11:$AY$4010,0)),"")</f>
        <v/>
      </c>
      <c r="Y59" s="11" t="str">
        <f>IF(X59="","",IFERROR(INDEX($AN$11:$AN$4010,MATCH(49,$AY$11:$AY$4010,0)),""))</f>
        <v/>
      </c>
      <c r="Z59" s="11" t="str">
        <f>IF(X59="","",IFERROR(INDEX($AO$11:$AO$4010,MATCH(49,$AY$11:$AY$4010,0)),""))</f>
        <v/>
      </c>
      <c r="AA59" s="10" t="str">
        <f>IF(X59="","",IFERROR(INDEX($AQ$11:$AQ$4010,MATCH(49,$AY$11:$AY$4010,0)),""))</f>
        <v/>
      </c>
      <c r="AB59" s="15" t="str">
        <f>IF(X59="","",IFERROR(INDEX($AR$11:$AR$4010,MATCH(49,$AY$11:$AY$4010,0)),""))</f>
        <v/>
      </c>
      <c r="AD59" s="16" t="str">
        <f>IF(AE59="","",IFERROR(INDEX($AL$11:$AL$4010,MATCH(49,$AZ$11:$AZ$4010,0)),""))</f>
        <v/>
      </c>
      <c r="AE59" s="12" t="str">
        <f>IFERROR(INDEX($AM$11:$AM$4010,MATCH(49,$AZ$11:$AZ$4010,0)),"")</f>
        <v/>
      </c>
      <c r="AF59" s="11" t="str">
        <f>IF(AE59="","",IFERROR(INDEX($AN$11:$AN$4010,MATCH(49,$AZ$11:$AZ$4010,0)),""))</f>
        <v/>
      </c>
      <c r="AG59" s="11" t="str">
        <f>IF(AE59="","",IFERROR(INDEX($AO$11:$AO$4010,MATCH(49,$AZ$11:$AZ$4010,0)),""))</f>
        <v/>
      </c>
      <c r="AH59" s="10" t="str">
        <f>IF(AE59="","",IFERROR(INDEX($AQ$11:$AQ$4010,MATCH(49,$AZ$11:$AZ$4010,0)),""))</f>
        <v/>
      </c>
      <c r="AI59" s="15" t="str">
        <f>IF(AE59="","",IFERROR(INDEX($AR$11:$AR$4010,MATCH(49,$AZ$11:$AZ$4010,0)),""))</f>
        <v/>
      </c>
      <c r="AJ59" s="15" t="str">
        <f>IF(AE59="","",IFERROR(INDEX($AT$11:$AT$4010,MATCH(49,$AZ$11:$AZ$4010,0)),""))</f>
        <v/>
      </c>
      <c r="AL59" s="17" t="str">
        <f t="shared" si="5"/>
        <v/>
      </c>
      <c r="AM59" s="12" t="str">
        <f t="shared" si="6"/>
        <v/>
      </c>
      <c r="AN59" s="18" t="str">
        <f t="shared" si="7"/>
        <v/>
      </c>
      <c r="AO59" s="18" t="str">
        <f t="shared" si="8"/>
        <v/>
      </c>
      <c r="AP59" s="10" t="str">
        <f t="shared" si="9"/>
        <v/>
      </c>
      <c r="AQ59" s="10" t="str">
        <f t="shared" si="10"/>
        <v/>
      </c>
      <c r="AR59" s="19" t="str">
        <f t="shared" si="11"/>
        <v/>
      </c>
      <c r="AS59" s="20"/>
      <c r="AT59" s="19"/>
      <c r="AV59" s="21">
        <f>IF(AND($AL59&lt;&gt;"",COUNTIF($AL$11:$AL59,$AL59)=1),1,0)</f>
        <v>0</v>
      </c>
      <c r="AW59" s="21">
        <f t="shared" si="13"/>
        <v>2</v>
      </c>
      <c r="AX59" s="21" t="str">
        <f t="shared" si="12"/>
        <v/>
      </c>
      <c r="AY59" s="21" t="str">
        <f>IF(AND($AM59&lt;&gt;"",$AS59&lt;&gt;"✓"),SUMPRODUCT(($AM$11:$AM59&lt;&gt;"")*($AS$11:$AS59&lt;&gt;"✓")),"")</f>
        <v/>
      </c>
      <c r="AZ59" s="21" t="str">
        <f>IF(AND($AM59&lt;&gt;"",$AS59="✓"),SUMPRODUCT(($AM$11:$AM59&lt;&gt;"")*($AS$11:$AS59="✓")),"")</f>
        <v/>
      </c>
      <c r="BA59" s="21" t="str">
        <f>IF($AL59="","",$AL59&amp;"|"&amp;COUNTIF($AL$11:$AL59,$AL59))</f>
        <v/>
      </c>
      <c r="BD59" s="36" t="str">
        <f>IF(IFERROR(INDEX($AM$11:$AM$4010,MATCH($S$8&amp;"|"&amp;47,$BA$11:$BA$4010,0)),"")="","",47)</f>
        <v/>
      </c>
      <c r="BE59" s="36" t="str">
        <f>IFERROR(INDEX($AM$11:$AM$4010,MATCH($S$8&amp;"|"&amp;47,$BA$11:$BA$4010,0)),"")</f>
        <v/>
      </c>
      <c r="BF59" s="36" t="str">
        <f>IFERROR(INDEX($AP$11:$AP$4010,MATCH($S$8&amp;"|"&amp;47,$BA$11:$BA$4010,0)),"")</f>
        <v/>
      </c>
      <c r="BG59" s="36" t="str">
        <f>IFERROR(INDEX($AQ$11:$AQ$4010,MATCH($S$8&amp;"|"&amp;47,$BA$11:$BA$4010,0)),"")</f>
        <v/>
      </c>
      <c r="BH59" s="37" t="str">
        <f>IFERROR(INDEX($AN$11:$AN$4010,MATCH($S$8&amp;"|"&amp;47,$BA$11:$BA$4010,0)),"")</f>
        <v/>
      </c>
      <c r="BI59" s="37" t="str">
        <f>IFERROR(INDEX($AO$11:$AO$4010,MATCH($S$8&amp;"|"&amp;47,$BA$11:$BA$4010,0)),"")</f>
        <v/>
      </c>
      <c r="BL59" s="36" t="str">
        <f>IF(IFERROR(INDEX($AM$11:$AM$4010,MATCH($S$8&amp;"|"&amp;47,$BA$11:$BA$4010,0)),"")="","",47)</f>
        <v/>
      </c>
      <c r="BM59" s="36" t="str">
        <f>IFERROR(INDEX($AM$11:$AM$4010,MATCH($S$8&amp;"|"&amp;47,$BA$11:$BA$4010,0)),"")</f>
        <v/>
      </c>
      <c r="BN59" s="36" t="str">
        <f>IFERROR(INDEX($AP$11:$AP$4010,MATCH($S$8&amp;"|"&amp;47,$BA$11:$BA$4010,0)),"")</f>
        <v/>
      </c>
      <c r="BO59" s="36" t="str">
        <f>IFERROR(INDEX($AQ$11:$AQ$4010,MATCH($S$8&amp;"|"&amp;47,$BA$11:$BA$4010,0)),"")</f>
        <v/>
      </c>
      <c r="BP59" s="37" t="str">
        <f>IFERROR(INDEX($AN$11:$AN$4010,MATCH($S$8&amp;"|"&amp;47,$BA$11:$BA$4010,0)),"")</f>
        <v/>
      </c>
      <c r="BQ59" s="37" t="str">
        <f>IFERROR(INDEX($AO$11:$AO$4010,MATCH($S$8&amp;"|"&amp;47,$BA$11:$BA$4010,0)),"")</f>
        <v/>
      </c>
    </row>
    <row r="60" spans="2:69" ht="13.5" customHeight="1" x14ac:dyDescent="0.25">
      <c r="B60" s="5" t="str">
        <f t="shared" si="0"/>
        <v/>
      </c>
      <c r="C60" s="5"/>
      <c r="D60" s="5"/>
      <c r="E60" s="5"/>
      <c r="F60" s="6"/>
      <c r="G60" s="6"/>
      <c r="H60" s="7"/>
      <c r="I60" s="8"/>
      <c r="K60" s="23" t="str">
        <f>IFERROR(INDEX($AL$11:$AL$4010,MATCH(50,$AX$11:$AX$4010,0)),"")</f>
        <v/>
      </c>
      <c r="L60" s="24" t="str">
        <f t="shared" si="1"/>
        <v/>
      </c>
      <c r="M60" s="25" t="str">
        <f t="shared" si="2"/>
        <v/>
      </c>
      <c r="N60" s="25" t="str">
        <f t="shared" si="3"/>
        <v/>
      </c>
      <c r="P60" s="26" t="str">
        <f>IFERROR(INDEX($AM$11:$AM$4010,MATCH($S$8&amp;"|"&amp;50,$BA$11:$BA$4010,0)),"")</f>
        <v/>
      </c>
      <c r="Q60" s="25" t="str">
        <f>IF(P60="","",IFERROR(INDEX($AN$11:$AN$4010,MATCH($S$8&amp;"|"&amp;50,$BA$11:$BA$4010,0)),""))</f>
        <v/>
      </c>
      <c r="R60" s="25" t="str">
        <f>IF(P60="","",IFERROR(INDEX($AO$11:$AO$4010,MATCH($S$8&amp;"|"&amp;50,$BA$11:$BA$4010,0)),""))</f>
        <v/>
      </c>
      <c r="S60" s="24" t="str">
        <f>IF(P60="","",IFERROR(INDEX($AP$11:$AP$4010,MATCH($S$8&amp;"|"&amp;50,$BA$11:$BA$4010,0)),""))</f>
        <v/>
      </c>
      <c r="T60" s="24" t="str">
        <f>IF(P60="","",IFERROR(INDEX($AQ$11:$AQ$4010,MATCH($S$8&amp;"|"&amp;50,$BA$11:$BA$4010,0)),""))</f>
        <v/>
      </c>
      <c r="U60" s="38" t="str">
        <f t="shared" si="14"/>
        <v/>
      </c>
      <c r="W60" s="28" t="str">
        <f>IF(X60="","",IFERROR(INDEX($AL$11:$AL$4010,MATCH(50,$AY$11:$AY$4010,0)),""))</f>
        <v/>
      </c>
      <c r="X60" s="26" t="str">
        <f>IFERROR(INDEX($AM$11:$AM$4010,MATCH(50,$AY$11:$AY$4010,0)),"")</f>
        <v/>
      </c>
      <c r="Y60" s="25" t="str">
        <f>IF(X60="","",IFERROR(INDEX($AN$11:$AN$4010,MATCH(50,$AY$11:$AY$4010,0)),""))</f>
        <v/>
      </c>
      <c r="Z60" s="25" t="str">
        <f>IF(X60="","",IFERROR(INDEX($AO$11:$AO$4010,MATCH(50,$AY$11:$AY$4010,0)),""))</f>
        <v/>
      </c>
      <c r="AA60" s="24" t="str">
        <f>IF(X60="","",IFERROR(INDEX($AQ$11:$AQ$4010,MATCH(50,$AY$11:$AY$4010,0)),""))</f>
        <v/>
      </c>
      <c r="AB60" s="29" t="str">
        <f>IF(X60="","",IFERROR(INDEX($AR$11:$AR$4010,MATCH(50,$AY$11:$AY$4010,0)),""))</f>
        <v/>
      </c>
      <c r="AD60" s="30" t="str">
        <f>IF(AE60="","",IFERROR(INDEX($AL$11:$AL$4010,MATCH(50,$AZ$11:$AZ$4010,0)),""))</f>
        <v/>
      </c>
      <c r="AE60" s="26" t="str">
        <f>IFERROR(INDEX($AM$11:$AM$4010,MATCH(50,$AZ$11:$AZ$4010,0)),"")</f>
        <v/>
      </c>
      <c r="AF60" s="25" t="str">
        <f>IF(AE60="","",IFERROR(INDEX($AN$11:$AN$4010,MATCH(50,$AZ$11:$AZ$4010,0)),""))</f>
        <v/>
      </c>
      <c r="AG60" s="25" t="str">
        <f>IF(AE60="","",IFERROR(INDEX($AO$11:$AO$4010,MATCH(50,$AZ$11:$AZ$4010,0)),""))</f>
        <v/>
      </c>
      <c r="AH60" s="24" t="str">
        <f>IF(AE60="","",IFERROR(INDEX($AQ$11:$AQ$4010,MATCH(50,$AZ$11:$AZ$4010,0)),""))</f>
        <v/>
      </c>
      <c r="AI60" s="29" t="str">
        <f>IF(AE60="","",IFERROR(INDEX($AR$11:$AR$4010,MATCH(50,$AZ$11:$AZ$4010,0)),""))</f>
        <v/>
      </c>
      <c r="AJ60" s="29" t="str">
        <f>IF(AE60="","",IFERROR(INDEX($AT$11:$AT$4010,MATCH(50,$AZ$11:$AZ$4010,0)),""))</f>
        <v/>
      </c>
      <c r="AL60" s="31" t="str">
        <f t="shared" si="5"/>
        <v/>
      </c>
      <c r="AM60" s="26" t="str">
        <f t="shared" si="6"/>
        <v/>
      </c>
      <c r="AN60" s="32" t="str">
        <f t="shared" si="7"/>
        <v/>
      </c>
      <c r="AO60" s="32" t="str">
        <f t="shared" si="8"/>
        <v/>
      </c>
      <c r="AP60" s="24" t="str">
        <f t="shared" si="9"/>
        <v/>
      </c>
      <c r="AQ60" s="24" t="str">
        <f t="shared" si="10"/>
        <v/>
      </c>
      <c r="AR60" s="33" t="str">
        <f t="shared" si="11"/>
        <v/>
      </c>
      <c r="AS60" s="34"/>
      <c r="AT60" s="33"/>
      <c r="AV60" s="21">
        <f>IF(AND($AL60&lt;&gt;"",COUNTIF($AL$11:$AL60,$AL60)=1),1,0)</f>
        <v>0</v>
      </c>
      <c r="AW60" s="21">
        <f t="shared" si="13"/>
        <v>2</v>
      </c>
      <c r="AX60" s="21" t="str">
        <f t="shared" si="12"/>
        <v/>
      </c>
      <c r="AY60" s="21" t="str">
        <f>IF(AND($AM60&lt;&gt;"",$AS60&lt;&gt;"✓"),SUMPRODUCT(($AM$11:$AM60&lt;&gt;"")*($AS$11:$AS60&lt;&gt;"✓")),"")</f>
        <v/>
      </c>
      <c r="AZ60" s="21" t="str">
        <f>IF(AND($AM60&lt;&gt;"",$AS60="✓"),SUMPRODUCT(($AM$11:$AM60&lt;&gt;"")*($AS$11:$AS60="✓")),"")</f>
        <v/>
      </c>
      <c r="BA60" s="21" t="str">
        <f>IF($AL60="","",$AL60&amp;"|"&amp;COUNTIF($AL$11:$AL60,$AL60))</f>
        <v/>
      </c>
      <c r="BD60" s="36" t="str">
        <f>IF(IFERROR(INDEX($AM$11:$AM$4010,MATCH($S$8&amp;"|"&amp;48,$BA$11:$BA$4010,0)),"")="","",48)</f>
        <v/>
      </c>
      <c r="BE60" s="36" t="str">
        <f>IFERROR(INDEX($AM$11:$AM$4010,MATCH($S$8&amp;"|"&amp;48,$BA$11:$BA$4010,0)),"")</f>
        <v/>
      </c>
      <c r="BF60" s="36" t="str">
        <f>IFERROR(INDEX($AP$11:$AP$4010,MATCH($S$8&amp;"|"&amp;48,$BA$11:$BA$4010,0)),"")</f>
        <v/>
      </c>
      <c r="BG60" s="36" t="str">
        <f>IFERROR(INDEX($AQ$11:$AQ$4010,MATCH($S$8&amp;"|"&amp;48,$BA$11:$BA$4010,0)),"")</f>
        <v/>
      </c>
      <c r="BH60" s="37" t="str">
        <f>IFERROR(INDEX($AN$11:$AN$4010,MATCH($S$8&amp;"|"&amp;48,$BA$11:$BA$4010,0)),"")</f>
        <v/>
      </c>
      <c r="BI60" s="37" t="str">
        <f>IFERROR(INDEX($AO$11:$AO$4010,MATCH($S$8&amp;"|"&amp;48,$BA$11:$BA$4010,0)),"")</f>
        <v/>
      </c>
      <c r="BL60" s="36" t="str">
        <f>IF(IFERROR(INDEX($AM$11:$AM$4010,MATCH($S$8&amp;"|"&amp;48,$BA$11:$BA$4010,0)),"")="","",48)</f>
        <v/>
      </c>
      <c r="BM60" s="36" t="str">
        <f>IFERROR(INDEX($AM$11:$AM$4010,MATCH($S$8&amp;"|"&amp;48,$BA$11:$BA$4010,0)),"")</f>
        <v/>
      </c>
      <c r="BN60" s="36" t="str">
        <f>IFERROR(INDEX($AP$11:$AP$4010,MATCH($S$8&amp;"|"&amp;48,$BA$11:$BA$4010,0)),"")</f>
        <v/>
      </c>
      <c r="BO60" s="36" t="str">
        <f>IFERROR(INDEX($AQ$11:$AQ$4010,MATCH($S$8&amp;"|"&amp;48,$BA$11:$BA$4010,0)),"")</f>
        <v/>
      </c>
      <c r="BP60" s="37" t="str">
        <f>IFERROR(INDEX($AN$11:$AN$4010,MATCH($S$8&amp;"|"&amp;48,$BA$11:$BA$4010,0)),"")</f>
        <v/>
      </c>
      <c r="BQ60" s="37" t="str">
        <f>IFERROR(INDEX($AO$11:$AO$4010,MATCH($S$8&amp;"|"&amp;48,$BA$11:$BA$4010,0)),"")</f>
        <v/>
      </c>
    </row>
    <row r="61" spans="2:69" ht="13.5" customHeight="1" x14ac:dyDescent="0.25">
      <c r="B61" s="5" t="str">
        <f t="shared" si="0"/>
        <v/>
      </c>
      <c r="C61" s="5"/>
      <c r="D61" s="5"/>
      <c r="E61" s="5"/>
      <c r="F61" s="6"/>
      <c r="G61" s="6"/>
      <c r="H61" s="7"/>
      <c r="I61" s="8"/>
      <c r="K61" s="9" t="str">
        <f>IFERROR(INDEX($AL$11:$AL$4010,MATCH(51,$AX$11:$AX$4010,0)),"")</f>
        <v/>
      </c>
      <c r="L61" s="10" t="str">
        <f t="shared" si="1"/>
        <v/>
      </c>
      <c r="M61" s="11" t="str">
        <f t="shared" si="2"/>
        <v/>
      </c>
      <c r="N61" s="11" t="str">
        <f t="shared" si="3"/>
        <v/>
      </c>
      <c r="P61" s="12" t="str">
        <f>IFERROR(INDEX($AM$11:$AM$4010,MATCH($S$8&amp;"|"&amp;51,$BA$11:$BA$4010,0)),"")</f>
        <v/>
      </c>
      <c r="Q61" s="11" t="str">
        <f>IF(P61="","",IFERROR(INDEX($AN$11:$AN$4010,MATCH($S$8&amp;"|"&amp;51,$BA$11:$BA$4010,0)),""))</f>
        <v/>
      </c>
      <c r="R61" s="11" t="str">
        <f>IF(P61="","",IFERROR(INDEX($AO$11:$AO$4010,MATCH($S$8&amp;"|"&amp;51,$BA$11:$BA$4010,0)),""))</f>
        <v/>
      </c>
      <c r="S61" s="10" t="str">
        <f>IF(P61="","",IFERROR(INDEX($AP$11:$AP$4010,MATCH($S$8&amp;"|"&amp;51,$BA$11:$BA$4010,0)),""))</f>
        <v/>
      </c>
      <c r="T61" s="10" t="str">
        <f>IF(P61="","",IFERROR(INDEX($AQ$11:$AQ$4010,MATCH($S$8&amp;"|"&amp;51,$BA$11:$BA$4010,0)),""))</f>
        <v/>
      </c>
      <c r="U61" s="39" t="str">
        <f t="shared" si="14"/>
        <v/>
      </c>
      <c r="W61" s="14" t="str">
        <f>IF(X61="","",IFERROR(INDEX($AL$11:$AL$4010,MATCH(51,$AY$11:$AY$4010,0)),""))</f>
        <v/>
      </c>
      <c r="X61" s="12" t="str">
        <f>IFERROR(INDEX($AM$11:$AM$4010,MATCH(51,$AY$11:$AY$4010,0)),"")</f>
        <v/>
      </c>
      <c r="Y61" s="11" t="str">
        <f>IF(X61="","",IFERROR(INDEX($AN$11:$AN$4010,MATCH(51,$AY$11:$AY$4010,0)),""))</f>
        <v/>
      </c>
      <c r="Z61" s="11" t="str">
        <f>IF(X61="","",IFERROR(INDEX($AO$11:$AO$4010,MATCH(51,$AY$11:$AY$4010,0)),""))</f>
        <v/>
      </c>
      <c r="AA61" s="10" t="str">
        <f>IF(X61="","",IFERROR(INDEX($AQ$11:$AQ$4010,MATCH(51,$AY$11:$AY$4010,0)),""))</f>
        <v/>
      </c>
      <c r="AB61" s="15" t="str">
        <f>IF(X61="","",IFERROR(INDEX($AR$11:$AR$4010,MATCH(51,$AY$11:$AY$4010,0)),""))</f>
        <v/>
      </c>
      <c r="AD61" s="16" t="str">
        <f>IF(AE61="","",IFERROR(INDEX($AL$11:$AL$4010,MATCH(51,$AZ$11:$AZ$4010,0)),""))</f>
        <v/>
      </c>
      <c r="AE61" s="12" t="str">
        <f>IFERROR(INDEX($AM$11:$AM$4010,MATCH(51,$AZ$11:$AZ$4010,0)),"")</f>
        <v/>
      </c>
      <c r="AF61" s="11" t="str">
        <f>IF(AE61="","",IFERROR(INDEX($AN$11:$AN$4010,MATCH(51,$AZ$11:$AZ$4010,0)),""))</f>
        <v/>
      </c>
      <c r="AG61" s="11" t="str">
        <f>IF(AE61="","",IFERROR(INDEX($AO$11:$AO$4010,MATCH(51,$AZ$11:$AZ$4010,0)),""))</f>
        <v/>
      </c>
      <c r="AH61" s="10" t="str">
        <f>IF(AE61="","",IFERROR(INDEX($AQ$11:$AQ$4010,MATCH(51,$AZ$11:$AZ$4010,0)),""))</f>
        <v/>
      </c>
      <c r="AI61" s="15" t="str">
        <f>IF(AE61="","",IFERROR(INDEX($AR$11:$AR$4010,MATCH(51,$AZ$11:$AZ$4010,0)),""))</f>
        <v/>
      </c>
      <c r="AJ61" s="15" t="str">
        <f>IF(AE61="","",IFERROR(INDEX($AT$11:$AT$4010,MATCH(51,$AZ$11:$AZ$4010,0)),""))</f>
        <v/>
      </c>
      <c r="AL61" s="17" t="str">
        <f t="shared" si="5"/>
        <v/>
      </c>
      <c r="AM61" s="12" t="str">
        <f t="shared" si="6"/>
        <v/>
      </c>
      <c r="AN61" s="18" t="str">
        <f t="shared" si="7"/>
        <v/>
      </c>
      <c r="AO61" s="18" t="str">
        <f t="shared" si="8"/>
        <v/>
      </c>
      <c r="AP61" s="10" t="str">
        <f t="shared" si="9"/>
        <v/>
      </c>
      <c r="AQ61" s="10" t="str">
        <f t="shared" si="10"/>
        <v/>
      </c>
      <c r="AR61" s="19" t="str">
        <f t="shared" si="11"/>
        <v/>
      </c>
      <c r="AS61" s="20"/>
      <c r="AT61" s="19"/>
      <c r="AV61" s="21">
        <f>IF(AND($AL61&lt;&gt;"",COUNTIF($AL$11:$AL61,$AL61)=1),1,0)</f>
        <v>0</v>
      </c>
      <c r="AW61" s="21">
        <f t="shared" si="13"/>
        <v>2</v>
      </c>
      <c r="AX61" s="21" t="str">
        <f t="shared" si="12"/>
        <v/>
      </c>
      <c r="AY61" s="21" t="str">
        <f>IF(AND($AM61&lt;&gt;"",$AS61&lt;&gt;"✓"),SUMPRODUCT(($AM$11:$AM61&lt;&gt;"")*($AS$11:$AS61&lt;&gt;"✓")),"")</f>
        <v/>
      </c>
      <c r="AZ61" s="21" t="str">
        <f>IF(AND($AM61&lt;&gt;"",$AS61="✓"),SUMPRODUCT(($AM$11:$AM61&lt;&gt;"")*($AS$11:$AS61="✓")),"")</f>
        <v/>
      </c>
      <c r="BA61" s="21" t="str">
        <f>IF($AL61="","",$AL61&amp;"|"&amp;COUNTIF($AL$11:$AL61,$AL61))</f>
        <v/>
      </c>
      <c r="BD61" s="36" t="str">
        <f>IF(IFERROR(INDEX($AM$11:$AM$4010,MATCH($S$8&amp;"|"&amp;49,$BA$11:$BA$4010,0)),"")="","",49)</f>
        <v/>
      </c>
      <c r="BE61" s="36" t="str">
        <f>IFERROR(INDEX($AM$11:$AM$4010,MATCH($S$8&amp;"|"&amp;49,$BA$11:$BA$4010,0)),"")</f>
        <v/>
      </c>
      <c r="BF61" s="36" t="str">
        <f>IFERROR(INDEX($AP$11:$AP$4010,MATCH($S$8&amp;"|"&amp;49,$BA$11:$BA$4010,0)),"")</f>
        <v/>
      </c>
      <c r="BG61" s="36" t="str">
        <f>IFERROR(INDEX($AQ$11:$AQ$4010,MATCH($S$8&amp;"|"&amp;49,$BA$11:$BA$4010,0)),"")</f>
        <v/>
      </c>
      <c r="BH61" s="37" t="str">
        <f>IFERROR(INDEX($AN$11:$AN$4010,MATCH($S$8&amp;"|"&amp;49,$BA$11:$BA$4010,0)),"")</f>
        <v/>
      </c>
      <c r="BI61" s="37" t="str">
        <f>IFERROR(INDEX($AO$11:$AO$4010,MATCH($S$8&amp;"|"&amp;49,$BA$11:$BA$4010,0)),"")</f>
        <v/>
      </c>
      <c r="BL61" s="36" t="str">
        <f>IF(IFERROR(INDEX($AM$11:$AM$4010,MATCH($S$8&amp;"|"&amp;49,$BA$11:$BA$4010,0)),"")="","",49)</f>
        <v/>
      </c>
      <c r="BM61" s="36" t="str">
        <f>IFERROR(INDEX($AM$11:$AM$4010,MATCH($S$8&amp;"|"&amp;49,$BA$11:$BA$4010,0)),"")</f>
        <v/>
      </c>
      <c r="BN61" s="36" t="str">
        <f>IFERROR(INDEX($AP$11:$AP$4010,MATCH($S$8&amp;"|"&amp;49,$BA$11:$BA$4010,0)),"")</f>
        <v/>
      </c>
      <c r="BO61" s="36" t="str">
        <f>IFERROR(INDEX($AQ$11:$AQ$4010,MATCH($S$8&amp;"|"&amp;49,$BA$11:$BA$4010,0)),"")</f>
        <v/>
      </c>
      <c r="BP61" s="37" t="str">
        <f>IFERROR(INDEX($AN$11:$AN$4010,MATCH($S$8&amp;"|"&amp;49,$BA$11:$BA$4010,0)),"")</f>
        <v/>
      </c>
      <c r="BQ61" s="37" t="str">
        <f>IFERROR(INDEX($AO$11:$AO$4010,MATCH($S$8&amp;"|"&amp;49,$BA$11:$BA$4010,0)),"")</f>
        <v/>
      </c>
    </row>
    <row r="62" spans="2:69" ht="13.5" customHeight="1" x14ac:dyDescent="0.25">
      <c r="B62" s="5" t="str">
        <f t="shared" si="0"/>
        <v/>
      </c>
      <c r="C62" s="5"/>
      <c r="D62" s="5"/>
      <c r="E62" s="5"/>
      <c r="F62" s="6"/>
      <c r="G62" s="6"/>
      <c r="H62" s="7"/>
      <c r="I62" s="8"/>
      <c r="K62" s="23" t="str">
        <f>IFERROR(INDEX($AL$11:$AL$4010,MATCH(52,$AX$11:$AX$4010,0)),"")</f>
        <v/>
      </c>
      <c r="L62" s="24" t="str">
        <f t="shared" si="1"/>
        <v/>
      </c>
      <c r="M62" s="25" t="str">
        <f t="shared" si="2"/>
        <v/>
      </c>
      <c r="N62" s="25" t="str">
        <f t="shared" si="3"/>
        <v/>
      </c>
      <c r="P62" s="26" t="str">
        <f>IFERROR(INDEX($AM$11:$AM$4010,MATCH($S$8&amp;"|"&amp;52,$BA$11:$BA$4010,0)),"")</f>
        <v/>
      </c>
      <c r="Q62" s="25" t="str">
        <f>IF(P62="","",IFERROR(INDEX($AN$11:$AN$4010,MATCH($S$8&amp;"|"&amp;52,$BA$11:$BA$4010,0)),""))</f>
        <v/>
      </c>
      <c r="R62" s="25" t="str">
        <f>IF(P62="","",IFERROR(INDEX($AO$11:$AO$4010,MATCH($S$8&amp;"|"&amp;52,$BA$11:$BA$4010,0)),""))</f>
        <v/>
      </c>
      <c r="S62" s="24" t="str">
        <f>IF(P62="","",IFERROR(INDEX($AP$11:$AP$4010,MATCH($S$8&amp;"|"&amp;52,$BA$11:$BA$4010,0)),""))</f>
        <v/>
      </c>
      <c r="T62" s="24" t="str">
        <f>IF(P62="","",IFERROR(INDEX($AQ$11:$AQ$4010,MATCH($S$8&amp;"|"&amp;52,$BA$11:$BA$4010,0)),""))</f>
        <v/>
      </c>
      <c r="U62" s="38" t="str">
        <f t="shared" si="14"/>
        <v/>
      </c>
      <c r="W62" s="28" t="str">
        <f>IF(X62="","",IFERROR(INDEX($AL$11:$AL$4010,MATCH(52,$AY$11:$AY$4010,0)),""))</f>
        <v/>
      </c>
      <c r="X62" s="26" t="str">
        <f>IFERROR(INDEX($AM$11:$AM$4010,MATCH(52,$AY$11:$AY$4010,0)),"")</f>
        <v/>
      </c>
      <c r="Y62" s="25" t="str">
        <f>IF(X62="","",IFERROR(INDEX($AN$11:$AN$4010,MATCH(52,$AY$11:$AY$4010,0)),""))</f>
        <v/>
      </c>
      <c r="Z62" s="25" t="str">
        <f>IF(X62="","",IFERROR(INDEX($AO$11:$AO$4010,MATCH(52,$AY$11:$AY$4010,0)),""))</f>
        <v/>
      </c>
      <c r="AA62" s="24" t="str">
        <f>IF(X62="","",IFERROR(INDEX($AQ$11:$AQ$4010,MATCH(52,$AY$11:$AY$4010,0)),""))</f>
        <v/>
      </c>
      <c r="AB62" s="29" t="str">
        <f>IF(X62="","",IFERROR(INDEX($AR$11:$AR$4010,MATCH(52,$AY$11:$AY$4010,0)),""))</f>
        <v/>
      </c>
      <c r="AD62" s="30" t="str">
        <f>IF(AE62="","",IFERROR(INDEX($AL$11:$AL$4010,MATCH(52,$AZ$11:$AZ$4010,0)),""))</f>
        <v/>
      </c>
      <c r="AE62" s="26" t="str">
        <f>IFERROR(INDEX($AM$11:$AM$4010,MATCH(52,$AZ$11:$AZ$4010,0)),"")</f>
        <v/>
      </c>
      <c r="AF62" s="25" t="str">
        <f>IF(AE62="","",IFERROR(INDEX($AN$11:$AN$4010,MATCH(52,$AZ$11:$AZ$4010,0)),""))</f>
        <v/>
      </c>
      <c r="AG62" s="25" t="str">
        <f>IF(AE62="","",IFERROR(INDEX($AO$11:$AO$4010,MATCH(52,$AZ$11:$AZ$4010,0)),""))</f>
        <v/>
      </c>
      <c r="AH62" s="24" t="str">
        <f>IF(AE62="","",IFERROR(INDEX($AQ$11:$AQ$4010,MATCH(52,$AZ$11:$AZ$4010,0)),""))</f>
        <v/>
      </c>
      <c r="AI62" s="29" t="str">
        <f>IF(AE62="","",IFERROR(INDEX($AR$11:$AR$4010,MATCH(52,$AZ$11:$AZ$4010,0)),""))</f>
        <v/>
      </c>
      <c r="AJ62" s="29" t="str">
        <f>IF(AE62="","",IFERROR(INDEX($AT$11:$AT$4010,MATCH(52,$AZ$11:$AZ$4010,0)),""))</f>
        <v/>
      </c>
      <c r="AL62" s="31" t="str">
        <f t="shared" si="5"/>
        <v/>
      </c>
      <c r="AM62" s="26" t="str">
        <f t="shared" si="6"/>
        <v/>
      </c>
      <c r="AN62" s="32" t="str">
        <f t="shared" si="7"/>
        <v/>
      </c>
      <c r="AO62" s="32" t="str">
        <f t="shared" si="8"/>
        <v/>
      </c>
      <c r="AP62" s="24" t="str">
        <f t="shared" si="9"/>
        <v/>
      </c>
      <c r="AQ62" s="24" t="str">
        <f t="shared" si="10"/>
        <v/>
      </c>
      <c r="AR62" s="33" t="str">
        <f t="shared" si="11"/>
        <v/>
      </c>
      <c r="AS62" s="34"/>
      <c r="AT62" s="33"/>
      <c r="AV62" s="21">
        <f>IF(AND($AL62&lt;&gt;"",COUNTIF($AL$11:$AL62,$AL62)=1),1,0)</f>
        <v>0</v>
      </c>
      <c r="AW62" s="21">
        <f t="shared" si="13"/>
        <v>2</v>
      </c>
      <c r="AX62" s="21" t="str">
        <f t="shared" si="12"/>
        <v/>
      </c>
      <c r="AY62" s="21" t="str">
        <f>IF(AND($AM62&lt;&gt;"",$AS62&lt;&gt;"✓"),SUMPRODUCT(($AM$11:$AM62&lt;&gt;"")*($AS$11:$AS62&lt;&gt;"✓")),"")</f>
        <v/>
      </c>
      <c r="AZ62" s="21" t="str">
        <f>IF(AND($AM62&lt;&gt;"",$AS62="✓"),SUMPRODUCT(($AM$11:$AM62&lt;&gt;"")*($AS$11:$AS62="✓")),"")</f>
        <v/>
      </c>
      <c r="BA62" s="21" t="str">
        <f>IF($AL62="","",$AL62&amp;"|"&amp;COUNTIF($AL$11:$AL62,$AL62))</f>
        <v/>
      </c>
      <c r="BD62" s="36" t="str">
        <f>IF(IFERROR(INDEX($AM$11:$AM$4010,MATCH($S$8&amp;"|"&amp;50,$BA$11:$BA$4010,0)),"")="","",50)</f>
        <v/>
      </c>
      <c r="BE62" s="36" t="str">
        <f>IFERROR(INDEX($AM$11:$AM$4010,MATCH($S$8&amp;"|"&amp;50,$BA$11:$BA$4010,0)),"")</f>
        <v/>
      </c>
      <c r="BF62" s="36" t="str">
        <f>IFERROR(INDEX($AP$11:$AP$4010,MATCH($S$8&amp;"|"&amp;50,$BA$11:$BA$4010,0)),"")</f>
        <v/>
      </c>
      <c r="BG62" s="36" t="str">
        <f>IFERROR(INDEX($AQ$11:$AQ$4010,MATCH($S$8&amp;"|"&amp;50,$BA$11:$BA$4010,0)),"")</f>
        <v/>
      </c>
      <c r="BH62" s="37" t="str">
        <f>IFERROR(INDEX($AN$11:$AN$4010,MATCH($S$8&amp;"|"&amp;50,$BA$11:$BA$4010,0)),"")</f>
        <v/>
      </c>
      <c r="BI62" s="37" t="str">
        <f>IFERROR(INDEX($AO$11:$AO$4010,MATCH($S$8&amp;"|"&amp;50,$BA$11:$BA$4010,0)),"")</f>
        <v/>
      </c>
      <c r="BL62" s="36" t="str">
        <f>IF(IFERROR(INDEX($AM$11:$AM$4010,MATCH($S$8&amp;"|"&amp;50,$BA$11:$BA$4010,0)),"")="","",50)</f>
        <v/>
      </c>
      <c r="BM62" s="36" t="str">
        <f>IFERROR(INDEX($AM$11:$AM$4010,MATCH($S$8&amp;"|"&amp;50,$BA$11:$BA$4010,0)),"")</f>
        <v/>
      </c>
      <c r="BN62" s="36" t="str">
        <f>IFERROR(INDEX($AP$11:$AP$4010,MATCH($S$8&amp;"|"&amp;50,$BA$11:$BA$4010,0)),"")</f>
        <v/>
      </c>
      <c r="BO62" s="36" t="str">
        <f>IFERROR(INDEX($AQ$11:$AQ$4010,MATCH($S$8&amp;"|"&amp;50,$BA$11:$BA$4010,0)),"")</f>
        <v/>
      </c>
      <c r="BP62" s="37" t="str">
        <f>IFERROR(INDEX($AN$11:$AN$4010,MATCH($S$8&amp;"|"&amp;50,$BA$11:$BA$4010,0)),"")</f>
        <v/>
      </c>
      <c r="BQ62" s="37" t="str">
        <f>IFERROR(INDEX($AO$11:$AO$4010,MATCH($S$8&amp;"|"&amp;50,$BA$11:$BA$4010,0)),"")</f>
        <v/>
      </c>
    </row>
    <row r="63" spans="2:69" ht="13.5" customHeight="1" x14ac:dyDescent="0.25">
      <c r="B63" s="5" t="str">
        <f t="shared" si="0"/>
        <v/>
      </c>
      <c r="C63" s="5"/>
      <c r="D63" s="5"/>
      <c r="E63" s="5"/>
      <c r="F63" s="6"/>
      <c r="G63" s="6"/>
      <c r="H63" s="7"/>
      <c r="I63" s="8"/>
      <c r="K63" s="9" t="str">
        <f>IFERROR(INDEX($AL$11:$AL$4010,MATCH(53,$AX$11:$AX$4010,0)),"")</f>
        <v/>
      </c>
      <c r="L63" s="10" t="str">
        <f t="shared" si="1"/>
        <v/>
      </c>
      <c r="M63" s="11" t="str">
        <f t="shared" si="2"/>
        <v/>
      </c>
      <c r="N63" s="11" t="str">
        <f t="shared" si="3"/>
        <v/>
      </c>
      <c r="P63" s="12" t="str">
        <f>IFERROR(INDEX($AM$11:$AM$4010,MATCH($S$8&amp;"|"&amp;53,$BA$11:$BA$4010,0)),"")</f>
        <v/>
      </c>
      <c r="Q63" s="11" t="str">
        <f>IF(P63="","",IFERROR(INDEX($AN$11:$AN$4010,MATCH($S$8&amp;"|"&amp;53,$BA$11:$BA$4010,0)),""))</f>
        <v/>
      </c>
      <c r="R63" s="11" t="str">
        <f>IF(P63="","",IFERROR(INDEX($AO$11:$AO$4010,MATCH($S$8&amp;"|"&amp;53,$BA$11:$BA$4010,0)),""))</f>
        <v/>
      </c>
      <c r="S63" s="10" t="str">
        <f>IF(P63="","",IFERROR(INDEX($AP$11:$AP$4010,MATCH($S$8&amp;"|"&amp;53,$BA$11:$BA$4010,0)),""))</f>
        <v/>
      </c>
      <c r="T63" s="10" t="str">
        <f>IF(P63="","",IFERROR(INDEX($AQ$11:$AQ$4010,MATCH($S$8&amp;"|"&amp;53,$BA$11:$BA$4010,0)),""))</f>
        <v/>
      </c>
      <c r="U63" s="39" t="str">
        <f t="shared" si="14"/>
        <v/>
      </c>
      <c r="W63" s="14" t="str">
        <f>IF(X63="","",IFERROR(INDEX($AL$11:$AL$4010,MATCH(53,$AY$11:$AY$4010,0)),""))</f>
        <v/>
      </c>
      <c r="X63" s="12" t="str">
        <f>IFERROR(INDEX($AM$11:$AM$4010,MATCH(53,$AY$11:$AY$4010,0)),"")</f>
        <v/>
      </c>
      <c r="Y63" s="11" t="str">
        <f>IF(X63="","",IFERROR(INDEX($AN$11:$AN$4010,MATCH(53,$AY$11:$AY$4010,0)),""))</f>
        <v/>
      </c>
      <c r="Z63" s="11" t="str">
        <f>IF(X63="","",IFERROR(INDEX($AO$11:$AO$4010,MATCH(53,$AY$11:$AY$4010,0)),""))</f>
        <v/>
      </c>
      <c r="AA63" s="10" t="str">
        <f>IF(X63="","",IFERROR(INDEX($AQ$11:$AQ$4010,MATCH(53,$AY$11:$AY$4010,0)),""))</f>
        <v/>
      </c>
      <c r="AB63" s="15" t="str">
        <f>IF(X63="","",IFERROR(INDEX($AR$11:$AR$4010,MATCH(53,$AY$11:$AY$4010,0)),""))</f>
        <v/>
      </c>
      <c r="AD63" s="16" t="str">
        <f>IF(AE63="","",IFERROR(INDEX($AL$11:$AL$4010,MATCH(53,$AZ$11:$AZ$4010,0)),""))</f>
        <v/>
      </c>
      <c r="AE63" s="12" t="str">
        <f>IFERROR(INDEX($AM$11:$AM$4010,MATCH(53,$AZ$11:$AZ$4010,0)),"")</f>
        <v/>
      </c>
      <c r="AF63" s="11" t="str">
        <f>IF(AE63="","",IFERROR(INDEX($AN$11:$AN$4010,MATCH(53,$AZ$11:$AZ$4010,0)),""))</f>
        <v/>
      </c>
      <c r="AG63" s="11" t="str">
        <f>IF(AE63="","",IFERROR(INDEX($AO$11:$AO$4010,MATCH(53,$AZ$11:$AZ$4010,0)),""))</f>
        <v/>
      </c>
      <c r="AH63" s="10" t="str">
        <f>IF(AE63="","",IFERROR(INDEX($AQ$11:$AQ$4010,MATCH(53,$AZ$11:$AZ$4010,0)),""))</f>
        <v/>
      </c>
      <c r="AI63" s="15" t="str">
        <f>IF(AE63="","",IFERROR(INDEX($AR$11:$AR$4010,MATCH(53,$AZ$11:$AZ$4010,0)),""))</f>
        <v/>
      </c>
      <c r="AJ63" s="15" t="str">
        <f>IF(AE63="","",IFERROR(INDEX($AT$11:$AT$4010,MATCH(53,$AZ$11:$AZ$4010,0)),""))</f>
        <v/>
      </c>
      <c r="AL63" s="17" t="str">
        <f t="shared" si="5"/>
        <v/>
      </c>
      <c r="AM63" s="12" t="str">
        <f t="shared" si="6"/>
        <v/>
      </c>
      <c r="AN63" s="18" t="str">
        <f t="shared" si="7"/>
        <v/>
      </c>
      <c r="AO63" s="18" t="str">
        <f t="shared" si="8"/>
        <v/>
      </c>
      <c r="AP63" s="10" t="str">
        <f t="shared" si="9"/>
        <v/>
      </c>
      <c r="AQ63" s="10" t="str">
        <f t="shared" si="10"/>
        <v/>
      </c>
      <c r="AR63" s="19" t="str">
        <f t="shared" si="11"/>
        <v/>
      </c>
      <c r="AS63" s="20"/>
      <c r="AT63" s="19"/>
      <c r="AV63" s="21">
        <f>IF(AND($AL63&lt;&gt;"",COUNTIF($AL$11:$AL63,$AL63)=1),1,0)</f>
        <v>0</v>
      </c>
      <c r="AW63" s="21">
        <f t="shared" si="13"/>
        <v>2</v>
      </c>
      <c r="AX63" s="21" t="str">
        <f t="shared" si="12"/>
        <v/>
      </c>
      <c r="AY63" s="21" t="str">
        <f>IF(AND($AM63&lt;&gt;"",$AS63&lt;&gt;"✓"),SUMPRODUCT(($AM$11:$AM63&lt;&gt;"")*($AS$11:$AS63&lt;&gt;"✓")),"")</f>
        <v/>
      </c>
      <c r="AZ63" s="21" t="str">
        <f>IF(AND($AM63&lt;&gt;"",$AS63="✓"),SUMPRODUCT(($AM$11:$AM63&lt;&gt;"")*($AS$11:$AS63="✓")),"")</f>
        <v/>
      </c>
      <c r="BA63" s="21" t="str">
        <f>IF($AL63="","",$AL63&amp;"|"&amp;COUNTIF($AL$11:$AL63,$AL63))</f>
        <v/>
      </c>
      <c r="BD63" s="36" t="str">
        <f>IF(IFERROR(INDEX($AM$11:$AM$4010,MATCH($S$8&amp;"|"&amp;51,$BA$11:$BA$4010,0)),"")="","",51)</f>
        <v/>
      </c>
      <c r="BE63" s="36" t="str">
        <f>IFERROR(INDEX($AM$11:$AM$4010,MATCH($S$8&amp;"|"&amp;51,$BA$11:$BA$4010,0)),"")</f>
        <v/>
      </c>
      <c r="BF63" s="36" t="str">
        <f>IFERROR(INDEX($AP$11:$AP$4010,MATCH($S$8&amp;"|"&amp;51,$BA$11:$BA$4010,0)),"")</f>
        <v/>
      </c>
      <c r="BG63" s="36" t="str">
        <f>IFERROR(INDEX($AQ$11:$AQ$4010,MATCH($S$8&amp;"|"&amp;51,$BA$11:$BA$4010,0)),"")</f>
        <v/>
      </c>
      <c r="BH63" s="37" t="str">
        <f>IFERROR(INDEX($AN$11:$AN$4010,MATCH($S$8&amp;"|"&amp;51,$BA$11:$BA$4010,0)),"")</f>
        <v/>
      </c>
      <c r="BI63" s="37" t="str">
        <f>IFERROR(INDEX($AO$11:$AO$4010,MATCH($S$8&amp;"|"&amp;51,$BA$11:$BA$4010,0)),"")</f>
        <v/>
      </c>
      <c r="BL63" s="36" t="str">
        <f>IF(IFERROR(INDEX($AM$11:$AM$4010,MATCH($S$8&amp;"|"&amp;51,$BA$11:$BA$4010,0)),"")="","",51)</f>
        <v/>
      </c>
      <c r="BM63" s="36" t="str">
        <f>IFERROR(INDEX($AM$11:$AM$4010,MATCH($S$8&amp;"|"&amp;51,$BA$11:$BA$4010,0)),"")</f>
        <v/>
      </c>
      <c r="BN63" s="36" t="str">
        <f>IFERROR(INDEX($AP$11:$AP$4010,MATCH($S$8&amp;"|"&amp;51,$BA$11:$BA$4010,0)),"")</f>
        <v/>
      </c>
      <c r="BO63" s="36" t="str">
        <f>IFERROR(INDEX($AQ$11:$AQ$4010,MATCH($S$8&amp;"|"&amp;51,$BA$11:$BA$4010,0)),"")</f>
        <v/>
      </c>
      <c r="BP63" s="37" t="str">
        <f>IFERROR(INDEX($AN$11:$AN$4010,MATCH($S$8&amp;"|"&amp;51,$BA$11:$BA$4010,0)),"")</f>
        <v/>
      </c>
      <c r="BQ63" s="37" t="str">
        <f>IFERROR(INDEX($AO$11:$AO$4010,MATCH($S$8&amp;"|"&amp;51,$BA$11:$BA$4010,0)),"")</f>
        <v/>
      </c>
    </row>
    <row r="64" spans="2:69" ht="13.5" customHeight="1" x14ac:dyDescent="0.25">
      <c r="B64" s="5" t="str">
        <f t="shared" si="0"/>
        <v/>
      </c>
      <c r="C64" s="5"/>
      <c r="D64" s="5"/>
      <c r="E64" s="5"/>
      <c r="F64" s="6"/>
      <c r="G64" s="6"/>
      <c r="H64" s="7"/>
      <c r="I64" s="8"/>
      <c r="K64" s="23" t="str">
        <f>IFERROR(INDEX($AL$11:$AL$4010,MATCH(54,$AX$11:$AX$4010,0)),"")</f>
        <v/>
      </c>
      <c r="L64" s="24" t="str">
        <f t="shared" si="1"/>
        <v/>
      </c>
      <c r="M64" s="25" t="str">
        <f t="shared" si="2"/>
        <v/>
      </c>
      <c r="N64" s="25" t="str">
        <f t="shared" si="3"/>
        <v/>
      </c>
      <c r="P64" s="26" t="str">
        <f>IFERROR(INDEX($AM$11:$AM$4010,MATCH($S$8&amp;"|"&amp;54,$BA$11:$BA$4010,0)),"")</f>
        <v/>
      </c>
      <c r="Q64" s="25" t="str">
        <f>IF(P64="","",IFERROR(INDEX($AN$11:$AN$4010,MATCH($S$8&amp;"|"&amp;54,$BA$11:$BA$4010,0)),""))</f>
        <v/>
      </c>
      <c r="R64" s="25" t="str">
        <f>IF(P64="","",IFERROR(INDEX($AO$11:$AO$4010,MATCH($S$8&amp;"|"&amp;54,$BA$11:$BA$4010,0)),""))</f>
        <v/>
      </c>
      <c r="S64" s="24" t="str">
        <f>IF(P64="","",IFERROR(INDEX($AP$11:$AP$4010,MATCH($S$8&amp;"|"&amp;54,$BA$11:$BA$4010,0)),""))</f>
        <v/>
      </c>
      <c r="T64" s="24" t="str">
        <f>IF(P64="","",IFERROR(INDEX($AQ$11:$AQ$4010,MATCH($S$8&amp;"|"&amp;54,$BA$11:$BA$4010,0)),""))</f>
        <v/>
      </c>
      <c r="U64" s="38" t="str">
        <f t="shared" si="14"/>
        <v/>
      </c>
      <c r="W64" s="28" t="str">
        <f>IF(X64="","",IFERROR(INDEX($AL$11:$AL$4010,MATCH(54,$AY$11:$AY$4010,0)),""))</f>
        <v/>
      </c>
      <c r="X64" s="26" t="str">
        <f>IFERROR(INDEX($AM$11:$AM$4010,MATCH(54,$AY$11:$AY$4010,0)),"")</f>
        <v/>
      </c>
      <c r="Y64" s="25" t="str">
        <f>IF(X64="","",IFERROR(INDEX($AN$11:$AN$4010,MATCH(54,$AY$11:$AY$4010,0)),""))</f>
        <v/>
      </c>
      <c r="Z64" s="25" t="str">
        <f>IF(X64="","",IFERROR(INDEX($AO$11:$AO$4010,MATCH(54,$AY$11:$AY$4010,0)),""))</f>
        <v/>
      </c>
      <c r="AA64" s="24" t="str">
        <f>IF(X64="","",IFERROR(INDEX($AQ$11:$AQ$4010,MATCH(54,$AY$11:$AY$4010,0)),""))</f>
        <v/>
      </c>
      <c r="AB64" s="29" t="str">
        <f>IF(X64="","",IFERROR(INDEX($AR$11:$AR$4010,MATCH(54,$AY$11:$AY$4010,0)),""))</f>
        <v/>
      </c>
      <c r="AD64" s="30" t="str">
        <f>IF(AE64="","",IFERROR(INDEX($AL$11:$AL$4010,MATCH(54,$AZ$11:$AZ$4010,0)),""))</f>
        <v/>
      </c>
      <c r="AE64" s="26" t="str">
        <f>IFERROR(INDEX($AM$11:$AM$4010,MATCH(54,$AZ$11:$AZ$4010,0)),"")</f>
        <v/>
      </c>
      <c r="AF64" s="25" t="str">
        <f>IF(AE64="","",IFERROR(INDEX($AN$11:$AN$4010,MATCH(54,$AZ$11:$AZ$4010,0)),""))</f>
        <v/>
      </c>
      <c r="AG64" s="25" t="str">
        <f>IF(AE64="","",IFERROR(INDEX($AO$11:$AO$4010,MATCH(54,$AZ$11:$AZ$4010,0)),""))</f>
        <v/>
      </c>
      <c r="AH64" s="24" t="str">
        <f>IF(AE64="","",IFERROR(INDEX($AQ$11:$AQ$4010,MATCH(54,$AZ$11:$AZ$4010,0)),""))</f>
        <v/>
      </c>
      <c r="AI64" s="29" t="str">
        <f>IF(AE64="","",IFERROR(INDEX($AR$11:$AR$4010,MATCH(54,$AZ$11:$AZ$4010,0)),""))</f>
        <v/>
      </c>
      <c r="AJ64" s="29" t="str">
        <f>IF(AE64="","",IFERROR(INDEX($AT$11:$AT$4010,MATCH(54,$AZ$11:$AZ$4010,0)),""))</f>
        <v/>
      </c>
      <c r="AL64" s="31" t="str">
        <f t="shared" si="5"/>
        <v/>
      </c>
      <c r="AM64" s="26" t="str">
        <f t="shared" si="6"/>
        <v/>
      </c>
      <c r="AN64" s="32" t="str">
        <f t="shared" si="7"/>
        <v/>
      </c>
      <c r="AO64" s="32" t="str">
        <f t="shared" si="8"/>
        <v/>
      </c>
      <c r="AP64" s="24" t="str">
        <f t="shared" si="9"/>
        <v/>
      </c>
      <c r="AQ64" s="24" t="str">
        <f t="shared" si="10"/>
        <v/>
      </c>
      <c r="AR64" s="33" t="str">
        <f t="shared" si="11"/>
        <v/>
      </c>
      <c r="AS64" s="34"/>
      <c r="AT64" s="33"/>
      <c r="AV64" s="21">
        <f>IF(AND($AL64&lt;&gt;"",COUNTIF($AL$11:$AL64,$AL64)=1),1,0)</f>
        <v>0</v>
      </c>
      <c r="AW64" s="21">
        <f t="shared" si="13"/>
        <v>2</v>
      </c>
      <c r="AX64" s="21" t="str">
        <f t="shared" si="12"/>
        <v/>
      </c>
      <c r="AY64" s="21" t="str">
        <f>IF(AND($AM64&lt;&gt;"",$AS64&lt;&gt;"✓"),SUMPRODUCT(($AM$11:$AM64&lt;&gt;"")*($AS$11:$AS64&lt;&gt;"✓")),"")</f>
        <v/>
      </c>
      <c r="AZ64" s="21" t="str">
        <f>IF(AND($AM64&lt;&gt;"",$AS64="✓"),SUMPRODUCT(($AM$11:$AM64&lt;&gt;"")*($AS$11:$AS64="✓")),"")</f>
        <v/>
      </c>
      <c r="BA64" s="21" t="str">
        <f>IF($AL64="","",$AL64&amp;"|"&amp;COUNTIF($AL$11:$AL64,$AL64))</f>
        <v/>
      </c>
      <c r="BD64" s="36" t="str">
        <f>IF(IFERROR(INDEX($AM$11:$AM$4010,MATCH($S$8&amp;"|"&amp;52,$BA$11:$BA$4010,0)),"")="","",52)</f>
        <v/>
      </c>
      <c r="BE64" s="36" t="str">
        <f>IFERROR(INDEX($AM$11:$AM$4010,MATCH($S$8&amp;"|"&amp;52,$BA$11:$BA$4010,0)),"")</f>
        <v/>
      </c>
      <c r="BF64" s="36" t="str">
        <f>IFERROR(INDEX($AP$11:$AP$4010,MATCH($S$8&amp;"|"&amp;52,$BA$11:$BA$4010,0)),"")</f>
        <v/>
      </c>
      <c r="BG64" s="36" t="str">
        <f>IFERROR(INDEX($AQ$11:$AQ$4010,MATCH($S$8&amp;"|"&amp;52,$BA$11:$BA$4010,0)),"")</f>
        <v/>
      </c>
      <c r="BH64" s="37" t="str">
        <f>IFERROR(INDEX($AN$11:$AN$4010,MATCH($S$8&amp;"|"&amp;52,$BA$11:$BA$4010,0)),"")</f>
        <v/>
      </c>
      <c r="BI64" s="37" t="str">
        <f>IFERROR(INDEX($AO$11:$AO$4010,MATCH($S$8&amp;"|"&amp;52,$BA$11:$BA$4010,0)),"")</f>
        <v/>
      </c>
      <c r="BL64" s="36" t="str">
        <f>IF(IFERROR(INDEX($AM$11:$AM$4010,MATCH($S$8&amp;"|"&amp;52,$BA$11:$BA$4010,0)),"")="","",52)</f>
        <v/>
      </c>
      <c r="BM64" s="36" t="str">
        <f>IFERROR(INDEX($AM$11:$AM$4010,MATCH($S$8&amp;"|"&amp;52,$BA$11:$BA$4010,0)),"")</f>
        <v/>
      </c>
      <c r="BN64" s="36" t="str">
        <f>IFERROR(INDEX($AP$11:$AP$4010,MATCH($S$8&amp;"|"&amp;52,$BA$11:$BA$4010,0)),"")</f>
        <v/>
      </c>
      <c r="BO64" s="36" t="str">
        <f>IFERROR(INDEX($AQ$11:$AQ$4010,MATCH($S$8&amp;"|"&amp;52,$BA$11:$BA$4010,0)),"")</f>
        <v/>
      </c>
      <c r="BP64" s="37" t="str">
        <f>IFERROR(INDEX($AN$11:$AN$4010,MATCH($S$8&amp;"|"&amp;52,$BA$11:$BA$4010,0)),"")</f>
        <v/>
      </c>
      <c r="BQ64" s="37" t="str">
        <f>IFERROR(INDEX($AO$11:$AO$4010,MATCH($S$8&amp;"|"&amp;52,$BA$11:$BA$4010,0)),"")</f>
        <v/>
      </c>
    </row>
    <row r="65" spans="2:69" ht="13.5" customHeight="1" x14ac:dyDescent="0.25">
      <c r="B65" s="5" t="str">
        <f t="shared" si="0"/>
        <v/>
      </c>
      <c r="C65" s="5"/>
      <c r="D65" s="5"/>
      <c r="E65" s="5"/>
      <c r="F65" s="6"/>
      <c r="G65" s="6"/>
      <c r="H65" s="7"/>
      <c r="I65" s="8"/>
      <c r="K65" s="9" t="str">
        <f>IFERROR(INDEX($AL$11:$AL$4010,MATCH(55,$AX$11:$AX$4010,0)),"")</f>
        <v/>
      </c>
      <c r="L65" s="10" t="str">
        <f t="shared" si="1"/>
        <v/>
      </c>
      <c r="M65" s="11" t="str">
        <f t="shared" si="2"/>
        <v/>
      </c>
      <c r="N65" s="11" t="str">
        <f t="shared" si="3"/>
        <v/>
      </c>
      <c r="P65" s="12" t="str">
        <f>IFERROR(INDEX($AM$11:$AM$4010,MATCH($S$8&amp;"|"&amp;55,$BA$11:$BA$4010,0)),"")</f>
        <v/>
      </c>
      <c r="Q65" s="11" t="str">
        <f>IF(P65="","",IFERROR(INDEX($AN$11:$AN$4010,MATCH($S$8&amp;"|"&amp;55,$BA$11:$BA$4010,0)),""))</f>
        <v/>
      </c>
      <c r="R65" s="11" t="str">
        <f>IF(P65="","",IFERROR(INDEX($AO$11:$AO$4010,MATCH($S$8&amp;"|"&amp;55,$BA$11:$BA$4010,0)),""))</f>
        <v/>
      </c>
      <c r="S65" s="10" t="str">
        <f>IF(P65="","",IFERROR(INDEX($AP$11:$AP$4010,MATCH($S$8&amp;"|"&amp;55,$BA$11:$BA$4010,0)),""))</f>
        <v/>
      </c>
      <c r="T65" s="10" t="str">
        <f>IF(P65="","",IFERROR(INDEX($AQ$11:$AQ$4010,MATCH($S$8&amp;"|"&amp;55,$BA$11:$BA$4010,0)),""))</f>
        <v/>
      </c>
      <c r="U65" s="39" t="str">
        <f t="shared" si="14"/>
        <v/>
      </c>
      <c r="W65" s="14" t="str">
        <f>IF(X65="","",IFERROR(INDEX($AL$11:$AL$4010,MATCH(55,$AY$11:$AY$4010,0)),""))</f>
        <v/>
      </c>
      <c r="X65" s="12" t="str">
        <f>IFERROR(INDEX($AM$11:$AM$4010,MATCH(55,$AY$11:$AY$4010,0)),"")</f>
        <v/>
      </c>
      <c r="Y65" s="11" t="str">
        <f>IF(X65="","",IFERROR(INDEX($AN$11:$AN$4010,MATCH(55,$AY$11:$AY$4010,0)),""))</f>
        <v/>
      </c>
      <c r="Z65" s="11" t="str">
        <f>IF(X65="","",IFERROR(INDEX($AO$11:$AO$4010,MATCH(55,$AY$11:$AY$4010,0)),""))</f>
        <v/>
      </c>
      <c r="AA65" s="10" t="str">
        <f>IF(X65="","",IFERROR(INDEX($AQ$11:$AQ$4010,MATCH(55,$AY$11:$AY$4010,0)),""))</f>
        <v/>
      </c>
      <c r="AB65" s="15" t="str">
        <f>IF(X65="","",IFERROR(INDEX($AR$11:$AR$4010,MATCH(55,$AY$11:$AY$4010,0)),""))</f>
        <v/>
      </c>
      <c r="AD65" s="16" t="str">
        <f>IF(AE65="","",IFERROR(INDEX($AL$11:$AL$4010,MATCH(55,$AZ$11:$AZ$4010,0)),""))</f>
        <v/>
      </c>
      <c r="AE65" s="12" t="str">
        <f>IFERROR(INDEX($AM$11:$AM$4010,MATCH(55,$AZ$11:$AZ$4010,0)),"")</f>
        <v/>
      </c>
      <c r="AF65" s="11" t="str">
        <f>IF(AE65="","",IFERROR(INDEX($AN$11:$AN$4010,MATCH(55,$AZ$11:$AZ$4010,0)),""))</f>
        <v/>
      </c>
      <c r="AG65" s="11" t="str">
        <f>IF(AE65="","",IFERROR(INDEX($AO$11:$AO$4010,MATCH(55,$AZ$11:$AZ$4010,0)),""))</f>
        <v/>
      </c>
      <c r="AH65" s="10" t="str">
        <f>IF(AE65="","",IFERROR(INDEX($AQ$11:$AQ$4010,MATCH(55,$AZ$11:$AZ$4010,0)),""))</f>
        <v/>
      </c>
      <c r="AI65" s="15" t="str">
        <f>IF(AE65="","",IFERROR(INDEX($AR$11:$AR$4010,MATCH(55,$AZ$11:$AZ$4010,0)),""))</f>
        <v/>
      </c>
      <c r="AJ65" s="15" t="str">
        <f>IF(AE65="","",IFERROR(INDEX($AT$11:$AT$4010,MATCH(55,$AZ$11:$AZ$4010,0)),""))</f>
        <v/>
      </c>
      <c r="AL65" s="17" t="str">
        <f t="shared" si="5"/>
        <v/>
      </c>
      <c r="AM65" s="12" t="str">
        <f t="shared" si="6"/>
        <v/>
      </c>
      <c r="AN65" s="18" t="str">
        <f t="shared" si="7"/>
        <v/>
      </c>
      <c r="AO65" s="18" t="str">
        <f t="shared" si="8"/>
        <v/>
      </c>
      <c r="AP65" s="10" t="str">
        <f t="shared" si="9"/>
        <v/>
      </c>
      <c r="AQ65" s="10" t="str">
        <f t="shared" si="10"/>
        <v/>
      </c>
      <c r="AR65" s="19" t="str">
        <f t="shared" si="11"/>
        <v/>
      </c>
      <c r="AS65" s="20"/>
      <c r="AT65" s="19"/>
      <c r="AV65" s="21">
        <f>IF(AND($AL65&lt;&gt;"",COUNTIF($AL$11:$AL65,$AL65)=1),1,0)</f>
        <v>0</v>
      </c>
      <c r="AW65" s="21">
        <f t="shared" si="13"/>
        <v>2</v>
      </c>
      <c r="AX65" s="21" t="str">
        <f t="shared" si="12"/>
        <v/>
      </c>
      <c r="AY65" s="21" t="str">
        <f>IF(AND($AM65&lt;&gt;"",$AS65&lt;&gt;"✓"),SUMPRODUCT(($AM$11:$AM65&lt;&gt;"")*($AS$11:$AS65&lt;&gt;"✓")),"")</f>
        <v/>
      </c>
      <c r="AZ65" s="21" t="str">
        <f>IF(AND($AM65&lt;&gt;"",$AS65="✓"),SUMPRODUCT(($AM$11:$AM65&lt;&gt;"")*($AS$11:$AS65="✓")),"")</f>
        <v/>
      </c>
      <c r="BA65" s="21" t="str">
        <f>IF($AL65="","",$AL65&amp;"|"&amp;COUNTIF($AL$11:$AL65,$AL65))</f>
        <v/>
      </c>
      <c r="BD65" s="36" t="str">
        <f>IF(IFERROR(INDEX($AM$11:$AM$4010,MATCH($S$8&amp;"|"&amp;53,$BA$11:$BA$4010,0)),"")="","",53)</f>
        <v/>
      </c>
      <c r="BE65" s="36" t="str">
        <f>IFERROR(INDEX($AM$11:$AM$4010,MATCH($S$8&amp;"|"&amp;53,$BA$11:$BA$4010,0)),"")</f>
        <v/>
      </c>
      <c r="BF65" s="36" t="str">
        <f>IFERROR(INDEX($AP$11:$AP$4010,MATCH($S$8&amp;"|"&amp;53,$BA$11:$BA$4010,0)),"")</f>
        <v/>
      </c>
      <c r="BG65" s="36" t="str">
        <f>IFERROR(INDEX($AQ$11:$AQ$4010,MATCH($S$8&amp;"|"&amp;53,$BA$11:$BA$4010,0)),"")</f>
        <v/>
      </c>
      <c r="BH65" s="37" t="str">
        <f>IFERROR(INDEX($AN$11:$AN$4010,MATCH($S$8&amp;"|"&amp;53,$BA$11:$BA$4010,0)),"")</f>
        <v/>
      </c>
      <c r="BI65" s="37" t="str">
        <f>IFERROR(INDEX($AO$11:$AO$4010,MATCH($S$8&amp;"|"&amp;53,$BA$11:$BA$4010,0)),"")</f>
        <v/>
      </c>
      <c r="BL65" s="36" t="str">
        <f>IF(IFERROR(INDEX($AM$11:$AM$4010,MATCH($S$8&amp;"|"&amp;53,$BA$11:$BA$4010,0)),"")="","",53)</f>
        <v/>
      </c>
      <c r="BM65" s="36" t="str">
        <f>IFERROR(INDEX($AM$11:$AM$4010,MATCH($S$8&amp;"|"&amp;53,$BA$11:$BA$4010,0)),"")</f>
        <v/>
      </c>
      <c r="BN65" s="36" t="str">
        <f>IFERROR(INDEX($AP$11:$AP$4010,MATCH($S$8&amp;"|"&amp;53,$BA$11:$BA$4010,0)),"")</f>
        <v/>
      </c>
      <c r="BO65" s="36" t="str">
        <f>IFERROR(INDEX($AQ$11:$AQ$4010,MATCH($S$8&amp;"|"&amp;53,$BA$11:$BA$4010,0)),"")</f>
        <v/>
      </c>
      <c r="BP65" s="37" t="str">
        <f>IFERROR(INDEX($AN$11:$AN$4010,MATCH($S$8&amp;"|"&amp;53,$BA$11:$BA$4010,0)),"")</f>
        <v/>
      </c>
      <c r="BQ65" s="37" t="str">
        <f>IFERROR(INDEX($AO$11:$AO$4010,MATCH($S$8&amp;"|"&amp;53,$BA$11:$BA$4010,0)),"")</f>
        <v/>
      </c>
    </row>
    <row r="66" spans="2:69" ht="13.5" customHeight="1" x14ac:dyDescent="0.25">
      <c r="B66" s="5" t="str">
        <f t="shared" si="0"/>
        <v/>
      </c>
      <c r="C66" s="5"/>
      <c r="D66" s="5"/>
      <c r="E66" s="5"/>
      <c r="F66" s="6"/>
      <c r="G66" s="6"/>
      <c r="H66" s="7"/>
      <c r="I66" s="8"/>
      <c r="K66" s="23" t="str">
        <f>IFERROR(INDEX($AL$11:$AL$4010,MATCH(56,$AX$11:$AX$4010,0)),"")</f>
        <v/>
      </c>
      <c r="L66" s="24" t="str">
        <f t="shared" si="1"/>
        <v/>
      </c>
      <c r="M66" s="25" t="str">
        <f t="shared" si="2"/>
        <v/>
      </c>
      <c r="N66" s="25" t="str">
        <f t="shared" si="3"/>
        <v/>
      </c>
      <c r="P66" s="26" t="str">
        <f>IFERROR(INDEX($AM$11:$AM$4010,MATCH($S$8&amp;"|"&amp;56,$BA$11:$BA$4010,0)),"")</f>
        <v/>
      </c>
      <c r="Q66" s="25" t="str">
        <f>IF(P66="","",IFERROR(INDEX($AN$11:$AN$4010,MATCH($S$8&amp;"|"&amp;56,$BA$11:$BA$4010,0)),""))</f>
        <v/>
      </c>
      <c r="R66" s="25" t="str">
        <f>IF(P66="","",IFERROR(INDEX($AO$11:$AO$4010,MATCH($S$8&amp;"|"&amp;56,$BA$11:$BA$4010,0)),""))</f>
        <v/>
      </c>
      <c r="S66" s="24" t="str">
        <f>IF(P66="","",IFERROR(INDEX($AP$11:$AP$4010,MATCH($S$8&amp;"|"&amp;56,$BA$11:$BA$4010,0)),""))</f>
        <v/>
      </c>
      <c r="T66" s="24" t="str">
        <f>IF(P66="","",IFERROR(INDEX($AQ$11:$AQ$4010,MATCH($S$8&amp;"|"&amp;56,$BA$11:$BA$4010,0)),""))</f>
        <v/>
      </c>
      <c r="U66" s="38" t="str">
        <f t="shared" si="14"/>
        <v/>
      </c>
      <c r="W66" s="28" t="str">
        <f>IF(X66="","",IFERROR(INDEX($AL$11:$AL$4010,MATCH(56,$AY$11:$AY$4010,0)),""))</f>
        <v/>
      </c>
      <c r="X66" s="26" t="str">
        <f>IFERROR(INDEX($AM$11:$AM$4010,MATCH(56,$AY$11:$AY$4010,0)),"")</f>
        <v/>
      </c>
      <c r="Y66" s="25" t="str">
        <f>IF(X66="","",IFERROR(INDEX($AN$11:$AN$4010,MATCH(56,$AY$11:$AY$4010,0)),""))</f>
        <v/>
      </c>
      <c r="Z66" s="25" t="str">
        <f>IF(X66="","",IFERROR(INDEX($AO$11:$AO$4010,MATCH(56,$AY$11:$AY$4010,0)),""))</f>
        <v/>
      </c>
      <c r="AA66" s="24" t="str">
        <f>IF(X66="","",IFERROR(INDEX($AQ$11:$AQ$4010,MATCH(56,$AY$11:$AY$4010,0)),""))</f>
        <v/>
      </c>
      <c r="AB66" s="29" t="str">
        <f>IF(X66="","",IFERROR(INDEX($AR$11:$AR$4010,MATCH(56,$AY$11:$AY$4010,0)),""))</f>
        <v/>
      </c>
      <c r="AD66" s="30" t="str">
        <f>IF(AE66="","",IFERROR(INDEX($AL$11:$AL$4010,MATCH(56,$AZ$11:$AZ$4010,0)),""))</f>
        <v/>
      </c>
      <c r="AE66" s="26" t="str">
        <f>IFERROR(INDEX($AM$11:$AM$4010,MATCH(56,$AZ$11:$AZ$4010,0)),"")</f>
        <v/>
      </c>
      <c r="AF66" s="25" t="str">
        <f>IF(AE66="","",IFERROR(INDEX($AN$11:$AN$4010,MATCH(56,$AZ$11:$AZ$4010,0)),""))</f>
        <v/>
      </c>
      <c r="AG66" s="25" t="str">
        <f>IF(AE66="","",IFERROR(INDEX($AO$11:$AO$4010,MATCH(56,$AZ$11:$AZ$4010,0)),""))</f>
        <v/>
      </c>
      <c r="AH66" s="24" t="str">
        <f>IF(AE66="","",IFERROR(INDEX($AQ$11:$AQ$4010,MATCH(56,$AZ$11:$AZ$4010,0)),""))</f>
        <v/>
      </c>
      <c r="AI66" s="29" t="str">
        <f>IF(AE66="","",IFERROR(INDEX($AR$11:$AR$4010,MATCH(56,$AZ$11:$AZ$4010,0)),""))</f>
        <v/>
      </c>
      <c r="AJ66" s="29" t="str">
        <f>IF(AE66="","",IFERROR(INDEX($AT$11:$AT$4010,MATCH(56,$AZ$11:$AZ$4010,0)),""))</f>
        <v/>
      </c>
      <c r="AL66" s="31" t="str">
        <f t="shared" si="5"/>
        <v/>
      </c>
      <c r="AM66" s="26" t="str">
        <f t="shared" si="6"/>
        <v/>
      </c>
      <c r="AN66" s="32" t="str">
        <f t="shared" si="7"/>
        <v/>
      </c>
      <c r="AO66" s="32" t="str">
        <f t="shared" si="8"/>
        <v/>
      </c>
      <c r="AP66" s="24" t="str">
        <f t="shared" si="9"/>
        <v/>
      </c>
      <c r="AQ66" s="24" t="str">
        <f t="shared" si="10"/>
        <v/>
      </c>
      <c r="AR66" s="33" t="str">
        <f t="shared" si="11"/>
        <v/>
      </c>
      <c r="AS66" s="34"/>
      <c r="AT66" s="33"/>
      <c r="AV66" s="21">
        <f>IF(AND($AL66&lt;&gt;"",COUNTIF($AL$11:$AL66,$AL66)=1),1,0)</f>
        <v>0</v>
      </c>
      <c r="AW66" s="21">
        <f t="shared" si="13"/>
        <v>2</v>
      </c>
      <c r="AX66" s="21" t="str">
        <f t="shared" si="12"/>
        <v/>
      </c>
      <c r="AY66" s="21" t="str">
        <f>IF(AND($AM66&lt;&gt;"",$AS66&lt;&gt;"✓"),SUMPRODUCT(($AM$11:$AM66&lt;&gt;"")*($AS$11:$AS66&lt;&gt;"✓")),"")</f>
        <v/>
      </c>
      <c r="AZ66" s="21" t="str">
        <f>IF(AND($AM66&lt;&gt;"",$AS66="✓"),SUMPRODUCT(($AM$11:$AM66&lt;&gt;"")*($AS$11:$AS66="✓")),"")</f>
        <v/>
      </c>
      <c r="BA66" s="21" t="str">
        <f>IF($AL66="","",$AL66&amp;"|"&amp;COUNTIF($AL$11:$AL66,$AL66))</f>
        <v/>
      </c>
      <c r="BD66" s="36" t="str">
        <f>IF(IFERROR(INDEX($AM$11:$AM$4010,MATCH($S$8&amp;"|"&amp;54,$BA$11:$BA$4010,0)),"")="","",54)</f>
        <v/>
      </c>
      <c r="BE66" s="36" t="str">
        <f>IFERROR(INDEX($AM$11:$AM$4010,MATCH($S$8&amp;"|"&amp;54,$BA$11:$BA$4010,0)),"")</f>
        <v/>
      </c>
      <c r="BF66" s="36" t="str">
        <f>IFERROR(INDEX($AP$11:$AP$4010,MATCH($S$8&amp;"|"&amp;54,$BA$11:$BA$4010,0)),"")</f>
        <v/>
      </c>
      <c r="BG66" s="36" t="str">
        <f>IFERROR(INDEX($AQ$11:$AQ$4010,MATCH($S$8&amp;"|"&amp;54,$BA$11:$BA$4010,0)),"")</f>
        <v/>
      </c>
      <c r="BH66" s="37" t="str">
        <f>IFERROR(INDEX($AN$11:$AN$4010,MATCH($S$8&amp;"|"&amp;54,$BA$11:$BA$4010,0)),"")</f>
        <v/>
      </c>
      <c r="BI66" s="37" t="str">
        <f>IFERROR(INDEX($AO$11:$AO$4010,MATCH($S$8&amp;"|"&amp;54,$BA$11:$BA$4010,0)),"")</f>
        <v/>
      </c>
      <c r="BL66" s="36" t="str">
        <f>IF(IFERROR(INDEX($AM$11:$AM$4010,MATCH($S$8&amp;"|"&amp;54,$BA$11:$BA$4010,0)),"")="","",54)</f>
        <v/>
      </c>
      <c r="BM66" s="36" t="str">
        <f>IFERROR(INDEX($AM$11:$AM$4010,MATCH($S$8&amp;"|"&amp;54,$BA$11:$BA$4010,0)),"")</f>
        <v/>
      </c>
      <c r="BN66" s="36" t="str">
        <f>IFERROR(INDEX($AP$11:$AP$4010,MATCH($S$8&amp;"|"&amp;54,$BA$11:$BA$4010,0)),"")</f>
        <v/>
      </c>
      <c r="BO66" s="36" t="str">
        <f>IFERROR(INDEX($AQ$11:$AQ$4010,MATCH($S$8&amp;"|"&amp;54,$BA$11:$BA$4010,0)),"")</f>
        <v/>
      </c>
      <c r="BP66" s="37" t="str">
        <f>IFERROR(INDEX($AN$11:$AN$4010,MATCH($S$8&amp;"|"&amp;54,$BA$11:$BA$4010,0)),"")</f>
        <v/>
      </c>
      <c r="BQ66" s="37" t="str">
        <f>IFERROR(INDEX($AO$11:$AO$4010,MATCH($S$8&amp;"|"&amp;54,$BA$11:$BA$4010,0)),"")</f>
        <v/>
      </c>
    </row>
    <row r="67" spans="2:69" ht="13.5" customHeight="1" x14ac:dyDescent="0.25">
      <c r="B67" s="5" t="str">
        <f t="shared" si="0"/>
        <v/>
      </c>
      <c r="C67" s="5"/>
      <c r="D67" s="5"/>
      <c r="E67" s="5"/>
      <c r="F67" s="6"/>
      <c r="G67" s="6"/>
      <c r="H67" s="7"/>
      <c r="I67" s="8"/>
      <c r="K67" s="9" t="str">
        <f>IFERROR(INDEX($AL$11:$AL$4010,MATCH(57,$AX$11:$AX$4010,0)),"")</f>
        <v/>
      </c>
      <c r="L67" s="10" t="str">
        <f t="shared" si="1"/>
        <v/>
      </c>
      <c r="M67" s="11" t="str">
        <f t="shared" si="2"/>
        <v/>
      </c>
      <c r="N67" s="11" t="str">
        <f t="shared" si="3"/>
        <v/>
      </c>
      <c r="P67" s="12" t="str">
        <f>IFERROR(INDEX($AM$11:$AM$4010,MATCH($S$8&amp;"|"&amp;57,$BA$11:$BA$4010,0)),"")</f>
        <v/>
      </c>
      <c r="Q67" s="11" t="str">
        <f>IF(P67="","",IFERROR(INDEX($AN$11:$AN$4010,MATCH($S$8&amp;"|"&amp;57,$BA$11:$BA$4010,0)),""))</f>
        <v/>
      </c>
      <c r="R67" s="11" t="str">
        <f>IF(P67="","",IFERROR(INDEX($AO$11:$AO$4010,MATCH($S$8&amp;"|"&amp;57,$BA$11:$BA$4010,0)),""))</f>
        <v/>
      </c>
      <c r="S67" s="10" t="str">
        <f>IF(P67="","",IFERROR(INDEX($AP$11:$AP$4010,MATCH($S$8&amp;"|"&amp;57,$BA$11:$BA$4010,0)),""))</f>
        <v/>
      </c>
      <c r="T67" s="10" t="str">
        <f>IF(P67="","",IFERROR(INDEX($AQ$11:$AQ$4010,MATCH($S$8&amp;"|"&amp;57,$BA$11:$BA$4010,0)),""))</f>
        <v/>
      </c>
      <c r="U67" s="39" t="str">
        <f t="shared" si="14"/>
        <v/>
      </c>
      <c r="W67" s="14" t="str">
        <f>IF(X67="","",IFERROR(INDEX($AL$11:$AL$4010,MATCH(57,$AY$11:$AY$4010,0)),""))</f>
        <v/>
      </c>
      <c r="X67" s="12" t="str">
        <f>IFERROR(INDEX($AM$11:$AM$4010,MATCH(57,$AY$11:$AY$4010,0)),"")</f>
        <v/>
      </c>
      <c r="Y67" s="11" t="str">
        <f>IF(X67="","",IFERROR(INDEX($AN$11:$AN$4010,MATCH(57,$AY$11:$AY$4010,0)),""))</f>
        <v/>
      </c>
      <c r="Z67" s="11" t="str">
        <f>IF(X67="","",IFERROR(INDEX($AO$11:$AO$4010,MATCH(57,$AY$11:$AY$4010,0)),""))</f>
        <v/>
      </c>
      <c r="AA67" s="10" t="str">
        <f>IF(X67="","",IFERROR(INDEX($AQ$11:$AQ$4010,MATCH(57,$AY$11:$AY$4010,0)),""))</f>
        <v/>
      </c>
      <c r="AB67" s="15" t="str">
        <f>IF(X67="","",IFERROR(INDEX($AR$11:$AR$4010,MATCH(57,$AY$11:$AY$4010,0)),""))</f>
        <v/>
      </c>
      <c r="AD67" s="16" t="str">
        <f>IF(AE67="","",IFERROR(INDEX($AL$11:$AL$4010,MATCH(57,$AZ$11:$AZ$4010,0)),""))</f>
        <v/>
      </c>
      <c r="AE67" s="12" t="str">
        <f>IFERROR(INDEX($AM$11:$AM$4010,MATCH(57,$AZ$11:$AZ$4010,0)),"")</f>
        <v/>
      </c>
      <c r="AF67" s="11" t="str">
        <f>IF(AE67="","",IFERROR(INDEX($AN$11:$AN$4010,MATCH(57,$AZ$11:$AZ$4010,0)),""))</f>
        <v/>
      </c>
      <c r="AG67" s="11" t="str">
        <f>IF(AE67="","",IFERROR(INDEX($AO$11:$AO$4010,MATCH(57,$AZ$11:$AZ$4010,0)),""))</f>
        <v/>
      </c>
      <c r="AH67" s="10" t="str">
        <f>IF(AE67="","",IFERROR(INDEX($AQ$11:$AQ$4010,MATCH(57,$AZ$11:$AZ$4010,0)),""))</f>
        <v/>
      </c>
      <c r="AI67" s="15" t="str">
        <f>IF(AE67="","",IFERROR(INDEX($AR$11:$AR$4010,MATCH(57,$AZ$11:$AZ$4010,0)),""))</f>
        <v/>
      </c>
      <c r="AJ67" s="15" t="str">
        <f>IF(AE67="","",IFERROR(INDEX($AT$11:$AT$4010,MATCH(57,$AZ$11:$AZ$4010,0)),""))</f>
        <v/>
      </c>
      <c r="AL67" s="17" t="str">
        <f t="shared" si="5"/>
        <v/>
      </c>
      <c r="AM67" s="12" t="str">
        <f t="shared" si="6"/>
        <v/>
      </c>
      <c r="AN67" s="18" t="str">
        <f t="shared" si="7"/>
        <v/>
      </c>
      <c r="AO67" s="18" t="str">
        <f t="shared" si="8"/>
        <v/>
      </c>
      <c r="AP67" s="10" t="str">
        <f t="shared" si="9"/>
        <v/>
      </c>
      <c r="AQ67" s="10" t="str">
        <f t="shared" si="10"/>
        <v/>
      </c>
      <c r="AR67" s="19" t="str">
        <f t="shared" si="11"/>
        <v/>
      </c>
      <c r="AS67" s="20"/>
      <c r="AT67" s="19"/>
      <c r="AV67" s="21">
        <f>IF(AND($AL67&lt;&gt;"",COUNTIF($AL$11:$AL67,$AL67)=1),1,0)</f>
        <v>0</v>
      </c>
      <c r="AW67" s="21">
        <f t="shared" si="13"/>
        <v>2</v>
      </c>
      <c r="AX67" s="21" t="str">
        <f t="shared" si="12"/>
        <v/>
      </c>
      <c r="AY67" s="21" t="str">
        <f>IF(AND($AM67&lt;&gt;"",$AS67&lt;&gt;"✓"),SUMPRODUCT(($AM$11:$AM67&lt;&gt;"")*($AS$11:$AS67&lt;&gt;"✓")),"")</f>
        <v/>
      </c>
      <c r="AZ67" s="21" t="str">
        <f>IF(AND($AM67&lt;&gt;"",$AS67="✓"),SUMPRODUCT(($AM$11:$AM67&lt;&gt;"")*($AS$11:$AS67="✓")),"")</f>
        <v/>
      </c>
      <c r="BA67" s="21" t="str">
        <f>IF($AL67="","",$AL67&amp;"|"&amp;COUNTIF($AL$11:$AL67,$AL67))</f>
        <v/>
      </c>
      <c r="BD67" s="36" t="str">
        <f>IF(IFERROR(INDEX($AM$11:$AM$4010,MATCH($S$8&amp;"|"&amp;55,$BA$11:$BA$4010,0)),"")="","",55)</f>
        <v/>
      </c>
      <c r="BE67" s="36" t="str">
        <f>IFERROR(INDEX($AM$11:$AM$4010,MATCH($S$8&amp;"|"&amp;55,$BA$11:$BA$4010,0)),"")</f>
        <v/>
      </c>
      <c r="BF67" s="36" t="str">
        <f>IFERROR(INDEX($AP$11:$AP$4010,MATCH($S$8&amp;"|"&amp;55,$BA$11:$BA$4010,0)),"")</f>
        <v/>
      </c>
      <c r="BG67" s="36" t="str">
        <f>IFERROR(INDEX($AQ$11:$AQ$4010,MATCH($S$8&amp;"|"&amp;55,$BA$11:$BA$4010,0)),"")</f>
        <v/>
      </c>
      <c r="BH67" s="37" t="str">
        <f>IFERROR(INDEX($AN$11:$AN$4010,MATCH($S$8&amp;"|"&amp;55,$BA$11:$BA$4010,0)),"")</f>
        <v/>
      </c>
      <c r="BI67" s="37" t="str">
        <f>IFERROR(INDEX($AO$11:$AO$4010,MATCH($S$8&amp;"|"&amp;55,$BA$11:$BA$4010,0)),"")</f>
        <v/>
      </c>
      <c r="BL67" s="36" t="str">
        <f>IF(IFERROR(INDEX($AM$11:$AM$4010,MATCH($S$8&amp;"|"&amp;55,$BA$11:$BA$4010,0)),"")="","",55)</f>
        <v/>
      </c>
      <c r="BM67" s="36" t="str">
        <f>IFERROR(INDEX($AM$11:$AM$4010,MATCH($S$8&amp;"|"&amp;55,$BA$11:$BA$4010,0)),"")</f>
        <v/>
      </c>
      <c r="BN67" s="36" t="str">
        <f>IFERROR(INDEX($AP$11:$AP$4010,MATCH($S$8&amp;"|"&amp;55,$BA$11:$BA$4010,0)),"")</f>
        <v/>
      </c>
      <c r="BO67" s="36" t="str">
        <f>IFERROR(INDEX($AQ$11:$AQ$4010,MATCH($S$8&amp;"|"&amp;55,$BA$11:$BA$4010,0)),"")</f>
        <v/>
      </c>
      <c r="BP67" s="37" t="str">
        <f>IFERROR(INDEX($AN$11:$AN$4010,MATCH($S$8&amp;"|"&amp;55,$BA$11:$BA$4010,0)),"")</f>
        <v/>
      </c>
      <c r="BQ67" s="37" t="str">
        <f>IFERROR(INDEX($AO$11:$AO$4010,MATCH($S$8&amp;"|"&amp;55,$BA$11:$BA$4010,0)),"")</f>
        <v/>
      </c>
    </row>
    <row r="68" spans="2:69" ht="13.5" customHeight="1" x14ac:dyDescent="0.25">
      <c r="B68" s="5" t="str">
        <f t="shared" si="0"/>
        <v/>
      </c>
      <c r="C68" s="5"/>
      <c r="D68" s="5"/>
      <c r="E68" s="5"/>
      <c r="F68" s="6"/>
      <c r="G68" s="6"/>
      <c r="H68" s="7"/>
      <c r="I68" s="8"/>
      <c r="K68" s="23" t="str">
        <f>IFERROR(INDEX($AL$11:$AL$4010,MATCH(58,$AX$11:$AX$4010,0)),"")</f>
        <v/>
      </c>
      <c r="L68" s="24" t="str">
        <f t="shared" si="1"/>
        <v/>
      </c>
      <c r="M68" s="25" t="str">
        <f t="shared" si="2"/>
        <v/>
      </c>
      <c r="N68" s="25" t="str">
        <f t="shared" si="3"/>
        <v/>
      </c>
      <c r="P68" s="26" t="str">
        <f>IFERROR(INDEX($AM$11:$AM$4010,MATCH($S$8&amp;"|"&amp;58,$BA$11:$BA$4010,0)),"")</f>
        <v/>
      </c>
      <c r="Q68" s="25" t="str">
        <f>IF(P68="","",IFERROR(INDEX($AN$11:$AN$4010,MATCH($S$8&amp;"|"&amp;58,$BA$11:$BA$4010,0)),""))</f>
        <v/>
      </c>
      <c r="R68" s="25" t="str">
        <f>IF(P68="","",IFERROR(INDEX($AO$11:$AO$4010,MATCH($S$8&amp;"|"&amp;58,$BA$11:$BA$4010,0)),""))</f>
        <v/>
      </c>
      <c r="S68" s="24" t="str">
        <f>IF(P68="","",IFERROR(INDEX($AP$11:$AP$4010,MATCH($S$8&amp;"|"&amp;58,$BA$11:$BA$4010,0)),""))</f>
        <v/>
      </c>
      <c r="T68" s="24" t="str">
        <f>IF(P68="","",IFERROR(INDEX($AQ$11:$AQ$4010,MATCH($S$8&amp;"|"&amp;58,$BA$11:$BA$4010,0)),""))</f>
        <v/>
      </c>
      <c r="U68" s="38" t="str">
        <f t="shared" si="14"/>
        <v/>
      </c>
      <c r="W68" s="28" t="str">
        <f>IF(X68="","",IFERROR(INDEX($AL$11:$AL$4010,MATCH(58,$AY$11:$AY$4010,0)),""))</f>
        <v/>
      </c>
      <c r="X68" s="26" t="str">
        <f>IFERROR(INDEX($AM$11:$AM$4010,MATCH(58,$AY$11:$AY$4010,0)),"")</f>
        <v/>
      </c>
      <c r="Y68" s="25" t="str">
        <f>IF(X68="","",IFERROR(INDEX($AN$11:$AN$4010,MATCH(58,$AY$11:$AY$4010,0)),""))</f>
        <v/>
      </c>
      <c r="Z68" s="25" t="str">
        <f>IF(X68="","",IFERROR(INDEX($AO$11:$AO$4010,MATCH(58,$AY$11:$AY$4010,0)),""))</f>
        <v/>
      </c>
      <c r="AA68" s="24" t="str">
        <f>IF(X68="","",IFERROR(INDEX($AQ$11:$AQ$4010,MATCH(58,$AY$11:$AY$4010,0)),""))</f>
        <v/>
      </c>
      <c r="AB68" s="29" t="str">
        <f>IF(X68="","",IFERROR(INDEX($AR$11:$AR$4010,MATCH(58,$AY$11:$AY$4010,0)),""))</f>
        <v/>
      </c>
      <c r="AD68" s="30" t="str">
        <f>IF(AE68="","",IFERROR(INDEX($AL$11:$AL$4010,MATCH(58,$AZ$11:$AZ$4010,0)),""))</f>
        <v/>
      </c>
      <c r="AE68" s="26" t="str">
        <f>IFERROR(INDEX($AM$11:$AM$4010,MATCH(58,$AZ$11:$AZ$4010,0)),"")</f>
        <v/>
      </c>
      <c r="AF68" s="25" t="str">
        <f>IF(AE68="","",IFERROR(INDEX($AN$11:$AN$4010,MATCH(58,$AZ$11:$AZ$4010,0)),""))</f>
        <v/>
      </c>
      <c r="AG68" s="25" t="str">
        <f>IF(AE68="","",IFERROR(INDEX($AO$11:$AO$4010,MATCH(58,$AZ$11:$AZ$4010,0)),""))</f>
        <v/>
      </c>
      <c r="AH68" s="24" t="str">
        <f>IF(AE68="","",IFERROR(INDEX($AQ$11:$AQ$4010,MATCH(58,$AZ$11:$AZ$4010,0)),""))</f>
        <v/>
      </c>
      <c r="AI68" s="29" t="str">
        <f>IF(AE68="","",IFERROR(INDEX($AR$11:$AR$4010,MATCH(58,$AZ$11:$AZ$4010,0)),""))</f>
        <v/>
      </c>
      <c r="AJ68" s="29" t="str">
        <f>IF(AE68="","",IFERROR(INDEX($AT$11:$AT$4010,MATCH(58,$AZ$11:$AZ$4010,0)),""))</f>
        <v/>
      </c>
      <c r="AL68" s="31" t="str">
        <f t="shared" si="5"/>
        <v/>
      </c>
      <c r="AM68" s="26" t="str">
        <f t="shared" si="6"/>
        <v/>
      </c>
      <c r="AN68" s="32" t="str">
        <f t="shared" si="7"/>
        <v/>
      </c>
      <c r="AO68" s="32" t="str">
        <f t="shared" si="8"/>
        <v/>
      </c>
      <c r="AP68" s="24" t="str">
        <f t="shared" si="9"/>
        <v/>
      </c>
      <c r="AQ68" s="24" t="str">
        <f t="shared" si="10"/>
        <v/>
      </c>
      <c r="AR68" s="33" t="str">
        <f t="shared" si="11"/>
        <v/>
      </c>
      <c r="AS68" s="34"/>
      <c r="AT68" s="33"/>
      <c r="AV68" s="21">
        <f>IF(AND($AL68&lt;&gt;"",COUNTIF($AL$11:$AL68,$AL68)=1),1,0)</f>
        <v>0</v>
      </c>
      <c r="AW68" s="21">
        <f t="shared" si="13"/>
        <v>2</v>
      </c>
      <c r="AX68" s="21" t="str">
        <f t="shared" si="12"/>
        <v/>
      </c>
      <c r="AY68" s="21" t="str">
        <f>IF(AND($AM68&lt;&gt;"",$AS68&lt;&gt;"✓"),SUMPRODUCT(($AM$11:$AM68&lt;&gt;"")*($AS$11:$AS68&lt;&gt;"✓")),"")</f>
        <v/>
      </c>
      <c r="AZ68" s="21" t="str">
        <f>IF(AND($AM68&lt;&gt;"",$AS68="✓"),SUMPRODUCT(($AM$11:$AM68&lt;&gt;"")*($AS$11:$AS68="✓")),"")</f>
        <v/>
      </c>
      <c r="BA68" s="21" t="str">
        <f>IF($AL68="","",$AL68&amp;"|"&amp;COUNTIF($AL$11:$AL68,$AL68))</f>
        <v/>
      </c>
      <c r="BD68" s="36" t="str">
        <f>IF(IFERROR(INDEX($AM$11:$AM$4010,MATCH($S$8&amp;"|"&amp;56,$BA$11:$BA$4010,0)),"")="","",56)</f>
        <v/>
      </c>
      <c r="BE68" s="36" t="str">
        <f>IFERROR(INDEX($AM$11:$AM$4010,MATCH($S$8&amp;"|"&amp;56,$BA$11:$BA$4010,0)),"")</f>
        <v/>
      </c>
      <c r="BF68" s="36" t="str">
        <f>IFERROR(INDEX($AP$11:$AP$4010,MATCH($S$8&amp;"|"&amp;56,$BA$11:$BA$4010,0)),"")</f>
        <v/>
      </c>
      <c r="BG68" s="36" t="str">
        <f>IFERROR(INDEX($AQ$11:$AQ$4010,MATCH($S$8&amp;"|"&amp;56,$BA$11:$BA$4010,0)),"")</f>
        <v/>
      </c>
      <c r="BH68" s="37" t="str">
        <f>IFERROR(INDEX($AN$11:$AN$4010,MATCH($S$8&amp;"|"&amp;56,$BA$11:$BA$4010,0)),"")</f>
        <v/>
      </c>
      <c r="BI68" s="37" t="str">
        <f>IFERROR(INDEX($AO$11:$AO$4010,MATCH($S$8&amp;"|"&amp;56,$BA$11:$BA$4010,0)),"")</f>
        <v/>
      </c>
      <c r="BL68" s="36" t="str">
        <f>IF(IFERROR(INDEX($AM$11:$AM$4010,MATCH($S$8&amp;"|"&amp;56,$BA$11:$BA$4010,0)),"")="","",56)</f>
        <v/>
      </c>
      <c r="BM68" s="36" t="str">
        <f>IFERROR(INDEX($AM$11:$AM$4010,MATCH($S$8&amp;"|"&amp;56,$BA$11:$BA$4010,0)),"")</f>
        <v/>
      </c>
      <c r="BN68" s="36" t="str">
        <f>IFERROR(INDEX($AP$11:$AP$4010,MATCH($S$8&amp;"|"&amp;56,$BA$11:$BA$4010,0)),"")</f>
        <v/>
      </c>
      <c r="BO68" s="36" t="str">
        <f>IFERROR(INDEX($AQ$11:$AQ$4010,MATCH($S$8&amp;"|"&amp;56,$BA$11:$BA$4010,0)),"")</f>
        <v/>
      </c>
      <c r="BP68" s="37" t="str">
        <f>IFERROR(INDEX($AN$11:$AN$4010,MATCH($S$8&amp;"|"&amp;56,$BA$11:$BA$4010,0)),"")</f>
        <v/>
      </c>
      <c r="BQ68" s="37" t="str">
        <f>IFERROR(INDEX($AO$11:$AO$4010,MATCH($S$8&amp;"|"&amp;56,$BA$11:$BA$4010,0)),"")</f>
        <v/>
      </c>
    </row>
    <row r="69" spans="2:69" ht="13.5" customHeight="1" x14ac:dyDescent="0.25">
      <c r="B69" s="5" t="str">
        <f t="shared" si="0"/>
        <v/>
      </c>
      <c r="C69" s="5"/>
      <c r="D69" s="5"/>
      <c r="E69" s="5"/>
      <c r="F69" s="6"/>
      <c r="G69" s="6"/>
      <c r="H69" s="7"/>
      <c r="I69" s="8"/>
      <c r="K69" s="9" t="str">
        <f>IFERROR(INDEX($AL$11:$AL$4010,MATCH(59,$AX$11:$AX$4010,0)),"")</f>
        <v/>
      </c>
      <c r="L69" s="10" t="str">
        <f t="shared" si="1"/>
        <v/>
      </c>
      <c r="M69" s="11" t="str">
        <f t="shared" si="2"/>
        <v/>
      </c>
      <c r="N69" s="11" t="str">
        <f t="shared" si="3"/>
        <v/>
      </c>
      <c r="P69" s="12" t="str">
        <f>IFERROR(INDEX($AM$11:$AM$4010,MATCH($S$8&amp;"|"&amp;59,$BA$11:$BA$4010,0)),"")</f>
        <v/>
      </c>
      <c r="Q69" s="11" t="str">
        <f>IF(P69="","",IFERROR(INDEX($AN$11:$AN$4010,MATCH($S$8&amp;"|"&amp;59,$BA$11:$BA$4010,0)),""))</f>
        <v/>
      </c>
      <c r="R69" s="11" t="str">
        <f>IF(P69="","",IFERROR(INDEX($AO$11:$AO$4010,MATCH($S$8&amp;"|"&amp;59,$BA$11:$BA$4010,0)),""))</f>
        <v/>
      </c>
      <c r="S69" s="10" t="str">
        <f>IF(P69="","",IFERROR(INDEX($AP$11:$AP$4010,MATCH($S$8&amp;"|"&amp;59,$BA$11:$BA$4010,0)),""))</f>
        <v/>
      </c>
      <c r="T69" s="10" t="str">
        <f>IF(P69="","",IFERROR(INDEX($AQ$11:$AQ$4010,MATCH($S$8&amp;"|"&amp;59,$BA$11:$BA$4010,0)),""))</f>
        <v/>
      </c>
      <c r="U69" s="39" t="str">
        <f t="shared" si="14"/>
        <v/>
      </c>
      <c r="W69" s="14" t="str">
        <f>IF(X69="","",IFERROR(INDEX($AL$11:$AL$4010,MATCH(59,$AY$11:$AY$4010,0)),""))</f>
        <v/>
      </c>
      <c r="X69" s="12" t="str">
        <f>IFERROR(INDEX($AM$11:$AM$4010,MATCH(59,$AY$11:$AY$4010,0)),"")</f>
        <v/>
      </c>
      <c r="Y69" s="11" t="str">
        <f>IF(X69="","",IFERROR(INDEX($AN$11:$AN$4010,MATCH(59,$AY$11:$AY$4010,0)),""))</f>
        <v/>
      </c>
      <c r="Z69" s="11" t="str">
        <f>IF(X69="","",IFERROR(INDEX($AO$11:$AO$4010,MATCH(59,$AY$11:$AY$4010,0)),""))</f>
        <v/>
      </c>
      <c r="AA69" s="10" t="str">
        <f>IF(X69="","",IFERROR(INDEX($AQ$11:$AQ$4010,MATCH(59,$AY$11:$AY$4010,0)),""))</f>
        <v/>
      </c>
      <c r="AB69" s="15" t="str">
        <f>IF(X69="","",IFERROR(INDEX($AR$11:$AR$4010,MATCH(59,$AY$11:$AY$4010,0)),""))</f>
        <v/>
      </c>
      <c r="AD69" s="16" t="str">
        <f>IF(AE69="","",IFERROR(INDEX($AL$11:$AL$4010,MATCH(59,$AZ$11:$AZ$4010,0)),""))</f>
        <v/>
      </c>
      <c r="AE69" s="12" t="str">
        <f>IFERROR(INDEX($AM$11:$AM$4010,MATCH(59,$AZ$11:$AZ$4010,0)),"")</f>
        <v/>
      </c>
      <c r="AF69" s="11" t="str">
        <f>IF(AE69="","",IFERROR(INDEX($AN$11:$AN$4010,MATCH(59,$AZ$11:$AZ$4010,0)),""))</f>
        <v/>
      </c>
      <c r="AG69" s="11" t="str">
        <f>IF(AE69="","",IFERROR(INDEX($AO$11:$AO$4010,MATCH(59,$AZ$11:$AZ$4010,0)),""))</f>
        <v/>
      </c>
      <c r="AH69" s="10" t="str">
        <f>IF(AE69="","",IFERROR(INDEX($AQ$11:$AQ$4010,MATCH(59,$AZ$11:$AZ$4010,0)),""))</f>
        <v/>
      </c>
      <c r="AI69" s="15" t="str">
        <f>IF(AE69="","",IFERROR(INDEX($AR$11:$AR$4010,MATCH(59,$AZ$11:$AZ$4010,0)),""))</f>
        <v/>
      </c>
      <c r="AJ69" s="15" t="str">
        <f>IF(AE69="","",IFERROR(INDEX($AT$11:$AT$4010,MATCH(59,$AZ$11:$AZ$4010,0)),""))</f>
        <v/>
      </c>
      <c r="AL69" s="17" t="str">
        <f t="shared" si="5"/>
        <v/>
      </c>
      <c r="AM69" s="12" t="str">
        <f t="shared" si="6"/>
        <v/>
      </c>
      <c r="AN69" s="18" t="str">
        <f t="shared" si="7"/>
        <v/>
      </c>
      <c r="AO69" s="18" t="str">
        <f t="shared" si="8"/>
        <v/>
      </c>
      <c r="AP69" s="10" t="str">
        <f t="shared" si="9"/>
        <v/>
      </c>
      <c r="AQ69" s="10" t="str">
        <f t="shared" si="10"/>
        <v/>
      </c>
      <c r="AR69" s="19" t="str">
        <f t="shared" si="11"/>
        <v/>
      </c>
      <c r="AS69" s="20"/>
      <c r="AT69" s="19"/>
      <c r="AV69" s="21">
        <f>IF(AND($AL69&lt;&gt;"",COUNTIF($AL$11:$AL69,$AL69)=1),1,0)</f>
        <v>0</v>
      </c>
      <c r="AW69" s="21">
        <f t="shared" si="13"/>
        <v>2</v>
      </c>
      <c r="AX69" s="21" t="str">
        <f t="shared" si="12"/>
        <v/>
      </c>
      <c r="AY69" s="21" t="str">
        <f>IF(AND($AM69&lt;&gt;"",$AS69&lt;&gt;"✓"),SUMPRODUCT(($AM$11:$AM69&lt;&gt;"")*($AS$11:$AS69&lt;&gt;"✓")),"")</f>
        <v/>
      </c>
      <c r="AZ69" s="21" t="str">
        <f>IF(AND($AM69&lt;&gt;"",$AS69="✓"),SUMPRODUCT(($AM$11:$AM69&lt;&gt;"")*($AS$11:$AS69="✓")),"")</f>
        <v/>
      </c>
      <c r="BA69" s="21" t="str">
        <f>IF($AL69="","",$AL69&amp;"|"&amp;COUNTIF($AL$11:$AL69,$AL69))</f>
        <v/>
      </c>
      <c r="BD69" s="36" t="str">
        <f>IF(IFERROR(INDEX($AM$11:$AM$4010,MATCH($S$8&amp;"|"&amp;57,$BA$11:$BA$4010,0)),"")="","",57)</f>
        <v/>
      </c>
      <c r="BE69" s="36" t="str">
        <f>IFERROR(INDEX($AM$11:$AM$4010,MATCH($S$8&amp;"|"&amp;57,$BA$11:$BA$4010,0)),"")</f>
        <v/>
      </c>
      <c r="BF69" s="36" t="str">
        <f>IFERROR(INDEX($AP$11:$AP$4010,MATCH($S$8&amp;"|"&amp;57,$BA$11:$BA$4010,0)),"")</f>
        <v/>
      </c>
      <c r="BG69" s="36" t="str">
        <f>IFERROR(INDEX($AQ$11:$AQ$4010,MATCH($S$8&amp;"|"&amp;57,$BA$11:$BA$4010,0)),"")</f>
        <v/>
      </c>
      <c r="BH69" s="37" t="str">
        <f>IFERROR(INDEX($AN$11:$AN$4010,MATCH($S$8&amp;"|"&amp;57,$BA$11:$BA$4010,0)),"")</f>
        <v/>
      </c>
      <c r="BI69" s="37" t="str">
        <f>IFERROR(INDEX($AO$11:$AO$4010,MATCH($S$8&amp;"|"&amp;57,$BA$11:$BA$4010,0)),"")</f>
        <v/>
      </c>
      <c r="BL69" s="36" t="str">
        <f>IF(IFERROR(INDEX($AM$11:$AM$4010,MATCH($S$8&amp;"|"&amp;57,$BA$11:$BA$4010,0)),"")="","",57)</f>
        <v/>
      </c>
      <c r="BM69" s="36" t="str">
        <f>IFERROR(INDEX($AM$11:$AM$4010,MATCH($S$8&amp;"|"&amp;57,$BA$11:$BA$4010,0)),"")</f>
        <v/>
      </c>
      <c r="BN69" s="36" t="str">
        <f>IFERROR(INDEX($AP$11:$AP$4010,MATCH($S$8&amp;"|"&amp;57,$BA$11:$BA$4010,0)),"")</f>
        <v/>
      </c>
      <c r="BO69" s="36" t="str">
        <f>IFERROR(INDEX($AQ$11:$AQ$4010,MATCH($S$8&amp;"|"&amp;57,$BA$11:$BA$4010,0)),"")</f>
        <v/>
      </c>
      <c r="BP69" s="37" t="str">
        <f>IFERROR(INDEX($AN$11:$AN$4010,MATCH($S$8&amp;"|"&amp;57,$BA$11:$BA$4010,0)),"")</f>
        <v/>
      </c>
      <c r="BQ69" s="37" t="str">
        <f>IFERROR(INDEX($AO$11:$AO$4010,MATCH($S$8&amp;"|"&amp;57,$BA$11:$BA$4010,0)),"")</f>
        <v/>
      </c>
    </row>
    <row r="70" spans="2:69" ht="13.5" customHeight="1" x14ac:dyDescent="0.25">
      <c r="B70" s="5" t="str">
        <f t="shared" si="0"/>
        <v/>
      </c>
      <c r="C70" s="5"/>
      <c r="D70" s="5"/>
      <c r="E70" s="5"/>
      <c r="F70" s="6"/>
      <c r="G70" s="6"/>
      <c r="H70" s="7"/>
      <c r="I70" s="8"/>
      <c r="K70" s="23" t="str">
        <f>IFERROR(INDEX($AL$11:$AL$4010,MATCH(60,$AX$11:$AX$4010,0)),"")</f>
        <v/>
      </c>
      <c r="L70" s="24" t="str">
        <f t="shared" si="1"/>
        <v/>
      </c>
      <c r="M70" s="25" t="str">
        <f t="shared" si="2"/>
        <v/>
      </c>
      <c r="N70" s="25" t="str">
        <f t="shared" si="3"/>
        <v/>
      </c>
      <c r="P70" s="26" t="str">
        <f>IFERROR(INDEX($AM$11:$AM$4010,MATCH($S$8&amp;"|"&amp;60,$BA$11:$BA$4010,0)),"")</f>
        <v/>
      </c>
      <c r="Q70" s="25" t="str">
        <f>IF(P70="","",IFERROR(INDEX($AN$11:$AN$4010,MATCH($S$8&amp;"|"&amp;60,$BA$11:$BA$4010,0)),""))</f>
        <v/>
      </c>
      <c r="R70" s="25" t="str">
        <f>IF(P70="","",IFERROR(INDEX($AO$11:$AO$4010,MATCH($S$8&amp;"|"&amp;60,$BA$11:$BA$4010,0)),""))</f>
        <v/>
      </c>
      <c r="S70" s="24" t="str">
        <f>IF(P70="","",IFERROR(INDEX($AP$11:$AP$4010,MATCH($S$8&amp;"|"&amp;60,$BA$11:$BA$4010,0)),""))</f>
        <v/>
      </c>
      <c r="T70" s="24" t="str">
        <f>IF(P70="","",IFERROR(INDEX($AQ$11:$AQ$4010,MATCH($S$8&amp;"|"&amp;60,$BA$11:$BA$4010,0)),""))</f>
        <v/>
      </c>
      <c r="U70" s="38" t="str">
        <f t="shared" si="14"/>
        <v/>
      </c>
      <c r="W70" s="28" t="str">
        <f>IF(X70="","",IFERROR(INDEX($AL$11:$AL$4010,MATCH(60,$AY$11:$AY$4010,0)),""))</f>
        <v/>
      </c>
      <c r="X70" s="26" t="str">
        <f>IFERROR(INDEX($AM$11:$AM$4010,MATCH(60,$AY$11:$AY$4010,0)),"")</f>
        <v/>
      </c>
      <c r="Y70" s="25" t="str">
        <f>IF(X70="","",IFERROR(INDEX($AN$11:$AN$4010,MATCH(60,$AY$11:$AY$4010,0)),""))</f>
        <v/>
      </c>
      <c r="Z70" s="25" t="str">
        <f>IF(X70="","",IFERROR(INDEX($AO$11:$AO$4010,MATCH(60,$AY$11:$AY$4010,0)),""))</f>
        <v/>
      </c>
      <c r="AA70" s="24" t="str">
        <f>IF(X70="","",IFERROR(INDEX($AQ$11:$AQ$4010,MATCH(60,$AY$11:$AY$4010,0)),""))</f>
        <v/>
      </c>
      <c r="AB70" s="29" t="str">
        <f>IF(X70="","",IFERROR(INDEX($AR$11:$AR$4010,MATCH(60,$AY$11:$AY$4010,0)),""))</f>
        <v/>
      </c>
      <c r="AD70" s="30" t="str">
        <f>IF(AE70="","",IFERROR(INDEX($AL$11:$AL$4010,MATCH(60,$AZ$11:$AZ$4010,0)),""))</f>
        <v/>
      </c>
      <c r="AE70" s="26" t="str">
        <f>IFERROR(INDEX($AM$11:$AM$4010,MATCH(60,$AZ$11:$AZ$4010,0)),"")</f>
        <v/>
      </c>
      <c r="AF70" s="25" t="str">
        <f>IF(AE70="","",IFERROR(INDEX($AN$11:$AN$4010,MATCH(60,$AZ$11:$AZ$4010,0)),""))</f>
        <v/>
      </c>
      <c r="AG70" s="25" t="str">
        <f>IF(AE70="","",IFERROR(INDEX($AO$11:$AO$4010,MATCH(60,$AZ$11:$AZ$4010,0)),""))</f>
        <v/>
      </c>
      <c r="AH70" s="24" t="str">
        <f>IF(AE70="","",IFERROR(INDEX($AQ$11:$AQ$4010,MATCH(60,$AZ$11:$AZ$4010,0)),""))</f>
        <v/>
      </c>
      <c r="AI70" s="29" t="str">
        <f>IF(AE70="","",IFERROR(INDEX($AR$11:$AR$4010,MATCH(60,$AZ$11:$AZ$4010,0)),""))</f>
        <v/>
      </c>
      <c r="AJ70" s="29" t="str">
        <f>IF(AE70="","",IFERROR(INDEX($AT$11:$AT$4010,MATCH(60,$AZ$11:$AZ$4010,0)),""))</f>
        <v/>
      </c>
      <c r="AL70" s="31" t="str">
        <f t="shared" si="5"/>
        <v/>
      </c>
      <c r="AM70" s="26" t="str">
        <f t="shared" si="6"/>
        <v/>
      </c>
      <c r="AN70" s="32" t="str">
        <f t="shared" si="7"/>
        <v/>
      </c>
      <c r="AO70" s="32" t="str">
        <f t="shared" si="8"/>
        <v/>
      </c>
      <c r="AP70" s="24" t="str">
        <f t="shared" si="9"/>
        <v/>
      </c>
      <c r="AQ70" s="24" t="str">
        <f t="shared" si="10"/>
        <v/>
      </c>
      <c r="AR70" s="33" t="str">
        <f t="shared" si="11"/>
        <v/>
      </c>
      <c r="AS70" s="34"/>
      <c r="AT70" s="33"/>
      <c r="AV70" s="21">
        <f>IF(AND($AL70&lt;&gt;"",COUNTIF($AL$11:$AL70,$AL70)=1),1,0)</f>
        <v>0</v>
      </c>
      <c r="AW70" s="21">
        <f t="shared" si="13"/>
        <v>2</v>
      </c>
      <c r="AX70" s="21" t="str">
        <f t="shared" si="12"/>
        <v/>
      </c>
      <c r="AY70" s="21" t="str">
        <f>IF(AND($AM70&lt;&gt;"",$AS70&lt;&gt;"✓"),SUMPRODUCT(($AM$11:$AM70&lt;&gt;"")*($AS$11:$AS70&lt;&gt;"✓")),"")</f>
        <v/>
      </c>
      <c r="AZ70" s="21" t="str">
        <f>IF(AND($AM70&lt;&gt;"",$AS70="✓"),SUMPRODUCT(($AM$11:$AM70&lt;&gt;"")*($AS$11:$AS70="✓")),"")</f>
        <v/>
      </c>
      <c r="BA70" s="21" t="str">
        <f>IF($AL70="","",$AL70&amp;"|"&amp;COUNTIF($AL$11:$AL70,$AL70))</f>
        <v/>
      </c>
      <c r="BD70" s="36" t="str">
        <f>IF(IFERROR(INDEX($AM$11:$AM$4010,MATCH($S$8&amp;"|"&amp;58,$BA$11:$BA$4010,0)),"")="","",58)</f>
        <v/>
      </c>
      <c r="BE70" s="36" t="str">
        <f>IFERROR(INDEX($AM$11:$AM$4010,MATCH($S$8&amp;"|"&amp;58,$BA$11:$BA$4010,0)),"")</f>
        <v/>
      </c>
      <c r="BF70" s="36" t="str">
        <f>IFERROR(INDEX($AP$11:$AP$4010,MATCH($S$8&amp;"|"&amp;58,$BA$11:$BA$4010,0)),"")</f>
        <v/>
      </c>
      <c r="BG70" s="36" t="str">
        <f>IFERROR(INDEX($AQ$11:$AQ$4010,MATCH($S$8&amp;"|"&amp;58,$BA$11:$BA$4010,0)),"")</f>
        <v/>
      </c>
      <c r="BH70" s="37" t="str">
        <f>IFERROR(INDEX($AN$11:$AN$4010,MATCH($S$8&amp;"|"&amp;58,$BA$11:$BA$4010,0)),"")</f>
        <v/>
      </c>
      <c r="BI70" s="37" t="str">
        <f>IFERROR(INDEX($AO$11:$AO$4010,MATCH($S$8&amp;"|"&amp;58,$BA$11:$BA$4010,0)),"")</f>
        <v/>
      </c>
      <c r="BL70" s="36" t="str">
        <f>IF(IFERROR(INDEX($AM$11:$AM$4010,MATCH($S$8&amp;"|"&amp;58,$BA$11:$BA$4010,0)),"")="","",58)</f>
        <v/>
      </c>
      <c r="BM70" s="36" t="str">
        <f>IFERROR(INDEX($AM$11:$AM$4010,MATCH($S$8&amp;"|"&amp;58,$BA$11:$BA$4010,0)),"")</f>
        <v/>
      </c>
      <c r="BN70" s="36" t="str">
        <f>IFERROR(INDEX($AP$11:$AP$4010,MATCH($S$8&amp;"|"&amp;58,$BA$11:$BA$4010,0)),"")</f>
        <v/>
      </c>
      <c r="BO70" s="36" t="str">
        <f>IFERROR(INDEX($AQ$11:$AQ$4010,MATCH($S$8&amp;"|"&amp;58,$BA$11:$BA$4010,0)),"")</f>
        <v/>
      </c>
      <c r="BP70" s="37" t="str">
        <f>IFERROR(INDEX($AN$11:$AN$4010,MATCH($S$8&amp;"|"&amp;58,$BA$11:$BA$4010,0)),"")</f>
        <v/>
      </c>
      <c r="BQ70" s="37" t="str">
        <f>IFERROR(INDEX($AO$11:$AO$4010,MATCH($S$8&amp;"|"&amp;58,$BA$11:$BA$4010,0)),"")</f>
        <v/>
      </c>
    </row>
    <row r="71" spans="2:69" ht="13.5" customHeight="1" x14ac:dyDescent="0.25">
      <c r="B71" s="5" t="str">
        <f t="shared" si="0"/>
        <v/>
      </c>
      <c r="C71" s="5"/>
      <c r="D71" s="5"/>
      <c r="E71" s="5"/>
      <c r="F71" s="6"/>
      <c r="G71" s="6"/>
      <c r="H71" s="7"/>
      <c r="I71" s="8"/>
      <c r="K71" s="9" t="str">
        <f>IFERROR(INDEX($AL$11:$AL$4010,MATCH(61,$AX$11:$AX$4010,0)),"")</f>
        <v/>
      </c>
      <c r="L71" s="10" t="str">
        <f t="shared" si="1"/>
        <v/>
      </c>
      <c r="M71" s="11" t="str">
        <f t="shared" si="2"/>
        <v/>
      </c>
      <c r="N71" s="11" t="str">
        <f t="shared" si="3"/>
        <v/>
      </c>
      <c r="P71" s="12" t="str">
        <f>IFERROR(INDEX($AM$11:$AM$4010,MATCH($S$8&amp;"|"&amp;61,$BA$11:$BA$4010,0)),"")</f>
        <v/>
      </c>
      <c r="Q71" s="11" t="str">
        <f>IF(P71="","",IFERROR(INDEX($AN$11:$AN$4010,MATCH($S$8&amp;"|"&amp;61,$BA$11:$BA$4010,0)),""))</f>
        <v/>
      </c>
      <c r="R71" s="11" t="str">
        <f>IF(P71="","",IFERROR(INDEX($AO$11:$AO$4010,MATCH($S$8&amp;"|"&amp;61,$BA$11:$BA$4010,0)),""))</f>
        <v/>
      </c>
      <c r="S71" s="10" t="str">
        <f>IF(P71="","",IFERROR(INDEX($AP$11:$AP$4010,MATCH($S$8&amp;"|"&amp;61,$BA$11:$BA$4010,0)),""))</f>
        <v/>
      </c>
      <c r="T71" s="10" t="str">
        <f>IF(P71="","",IFERROR(INDEX($AQ$11:$AQ$4010,MATCH($S$8&amp;"|"&amp;61,$BA$11:$BA$4010,0)),""))</f>
        <v/>
      </c>
      <c r="U71" s="39" t="str">
        <f t="shared" si="14"/>
        <v/>
      </c>
      <c r="W71" s="14" t="str">
        <f>IF(X71="","",IFERROR(INDEX($AL$11:$AL$4010,MATCH(61,$AY$11:$AY$4010,0)),""))</f>
        <v/>
      </c>
      <c r="X71" s="12" t="str">
        <f>IFERROR(INDEX($AM$11:$AM$4010,MATCH(61,$AY$11:$AY$4010,0)),"")</f>
        <v/>
      </c>
      <c r="Y71" s="11" t="str">
        <f>IF(X71="","",IFERROR(INDEX($AN$11:$AN$4010,MATCH(61,$AY$11:$AY$4010,0)),""))</f>
        <v/>
      </c>
      <c r="Z71" s="11" t="str">
        <f>IF(X71="","",IFERROR(INDEX($AO$11:$AO$4010,MATCH(61,$AY$11:$AY$4010,0)),""))</f>
        <v/>
      </c>
      <c r="AA71" s="10" t="str">
        <f>IF(X71="","",IFERROR(INDEX($AQ$11:$AQ$4010,MATCH(61,$AY$11:$AY$4010,0)),""))</f>
        <v/>
      </c>
      <c r="AB71" s="15" t="str">
        <f>IF(X71="","",IFERROR(INDEX($AR$11:$AR$4010,MATCH(61,$AY$11:$AY$4010,0)),""))</f>
        <v/>
      </c>
      <c r="AD71" s="16" t="str">
        <f>IF(AE71="","",IFERROR(INDEX($AL$11:$AL$4010,MATCH(61,$AZ$11:$AZ$4010,0)),""))</f>
        <v/>
      </c>
      <c r="AE71" s="12" t="str">
        <f>IFERROR(INDEX($AM$11:$AM$4010,MATCH(61,$AZ$11:$AZ$4010,0)),"")</f>
        <v/>
      </c>
      <c r="AF71" s="11" t="str">
        <f>IF(AE71="","",IFERROR(INDEX($AN$11:$AN$4010,MATCH(61,$AZ$11:$AZ$4010,0)),""))</f>
        <v/>
      </c>
      <c r="AG71" s="11" t="str">
        <f>IF(AE71="","",IFERROR(INDEX($AO$11:$AO$4010,MATCH(61,$AZ$11:$AZ$4010,0)),""))</f>
        <v/>
      </c>
      <c r="AH71" s="10" t="str">
        <f>IF(AE71="","",IFERROR(INDEX($AQ$11:$AQ$4010,MATCH(61,$AZ$11:$AZ$4010,0)),""))</f>
        <v/>
      </c>
      <c r="AI71" s="15" t="str">
        <f>IF(AE71="","",IFERROR(INDEX($AR$11:$AR$4010,MATCH(61,$AZ$11:$AZ$4010,0)),""))</f>
        <v/>
      </c>
      <c r="AJ71" s="15" t="str">
        <f>IF(AE71="","",IFERROR(INDEX($AT$11:$AT$4010,MATCH(61,$AZ$11:$AZ$4010,0)),""))</f>
        <v/>
      </c>
      <c r="AL71" s="17" t="str">
        <f t="shared" si="5"/>
        <v/>
      </c>
      <c r="AM71" s="12" t="str">
        <f t="shared" si="6"/>
        <v/>
      </c>
      <c r="AN71" s="18" t="str">
        <f t="shared" si="7"/>
        <v/>
      </c>
      <c r="AO71" s="18" t="str">
        <f t="shared" si="8"/>
        <v/>
      </c>
      <c r="AP71" s="10" t="str">
        <f t="shared" si="9"/>
        <v/>
      </c>
      <c r="AQ71" s="10" t="str">
        <f t="shared" si="10"/>
        <v/>
      </c>
      <c r="AR71" s="19" t="str">
        <f t="shared" si="11"/>
        <v/>
      </c>
      <c r="AS71" s="20"/>
      <c r="AT71" s="19"/>
      <c r="AV71" s="21">
        <f>IF(AND($AL71&lt;&gt;"",COUNTIF($AL$11:$AL71,$AL71)=1),1,0)</f>
        <v>0</v>
      </c>
      <c r="AW71" s="21">
        <f t="shared" si="13"/>
        <v>2</v>
      </c>
      <c r="AX71" s="21" t="str">
        <f t="shared" si="12"/>
        <v/>
      </c>
      <c r="AY71" s="21" t="str">
        <f>IF(AND($AM71&lt;&gt;"",$AS71&lt;&gt;"✓"),SUMPRODUCT(($AM$11:$AM71&lt;&gt;"")*($AS$11:$AS71&lt;&gt;"✓")),"")</f>
        <v/>
      </c>
      <c r="AZ71" s="21" t="str">
        <f>IF(AND($AM71&lt;&gt;"",$AS71="✓"),SUMPRODUCT(($AM$11:$AM71&lt;&gt;"")*($AS$11:$AS71="✓")),"")</f>
        <v/>
      </c>
      <c r="BA71" s="21" t="str">
        <f>IF($AL71="","",$AL71&amp;"|"&amp;COUNTIF($AL$11:$AL71,$AL71))</f>
        <v/>
      </c>
      <c r="BD71" s="36" t="str">
        <f>IF(IFERROR(INDEX($AM$11:$AM$4010,MATCH($S$8&amp;"|"&amp;59,$BA$11:$BA$4010,0)),"")="","",59)</f>
        <v/>
      </c>
      <c r="BE71" s="36" t="str">
        <f>IFERROR(INDEX($AM$11:$AM$4010,MATCH($S$8&amp;"|"&amp;59,$BA$11:$BA$4010,0)),"")</f>
        <v/>
      </c>
      <c r="BF71" s="36" t="str">
        <f>IFERROR(INDEX($AP$11:$AP$4010,MATCH($S$8&amp;"|"&amp;59,$BA$11:$BA$4010,0)),"")</f>
        <v/>
      </c>
      <c r="BG71" s="36" t="str">
        <f>IFERROR(INDEX($AQ$11:$AQ$4010,MATCH($S$8&amp;"|"&amp;59,$BA$11:$BA$4010,0)),"")</f>
        <v/>
      </c>
      <c r="BH71" s="37" t="str">
        <f>IFERROR(INDEX($AN$11:$AN$4010,MATCH($S$8&amp;"|"&amp;59,$BA$11:$BA$4010,0)),"")</f>
        <v/>
      </c>
      <c r="BI71" s="37" t="str">
        <f>IFERROR(INDEX($AO$11:$AO$4010,MATCH($S$8&amp;"|"&amp;59,$BA$11:$BA$4010,0)),"")</f>
        <v/>
      </c>
      <c r="BL71" s="36" t="str">
        <f>IF(IFERROR(INDEX($AM$11:$AM$4010,MATCH($S$8&amp;"|"&amp;59,$BA$11:$BA$4010,0)),"")="","",59)</f>
        <v/>
      </c>
      <c r="BM71" s="36" t="str">
        <f>IFERROR(INDEX($AM$11:$AM$4010,MATCH($S$8&amp;"|"&amp;59,$BA$11:$BA$4010,0)),"")</f>
        <v/>
      </c>
      <c r="BN71" s="36" t="str">
        <f>IFERROR(INDEX($AP$11:$AP$4010,MATCH($S$8&amp;"|"&amp;59,$BA$11:$BA$4010,0)),"")</f>
        <v/>
      </c>
      <c r="BO71" s="36" t="str">
        <f>IFERROR(INDEX($AQ$11:$AQ$4010,MATCH($S$8&amp;"|"&amp;59,$BA$11:$BA$4010,0)),"")</f>
        <v/>
      </c>
      <c r="BP71" s="37" t="str">
        <f>IFERROR(INDEX($AN$11:$AN$4010,MATCH($S$8&amp;"|"&amp;59,$BA$11:$BA$4010,0)),"")</f>
        <v/>
      </c>
      <c r="BQ71" s="37" t="str">
        <f>IFERROR(INDEX($AO$11:$AO$4010,MATCH($S$8&amp;"|"&amp;59,$BA$11:$BA$4010,0)),"")</f>
        <v/>
      </c>
    </row>
    <row r="72" spans="2:69" ht="13.5" customHeight="1" x14ac:dyDescent="0.25">
      <c r="B72" s="5" t="str">
        <f t="shared" si="0"/>
        <v/>
      </c>
      <c r="C72" s="5"/>
      <c r="D72" s="5"/>
      <c r="E72" s="5"/>
      <c r="F72" s="6"/>
      <c r="G72" s="6"/>
      <c r="H72" s="7"/>
      <c r="I72" s="8"/>
      <c r="K72" s="23" t="str">
        <f>IFERROR(INDEX($AL$11:$AL$4010,MATCH(62,$AX$11:$AX$4010,0)),"")</f>
        <v/>
      </c>
      <c r="L72" s="24" t="str">
        <f t="shared" si="1"/>
        <v/>
      </c>
      <c r="M72" s="25" t="str">
        <f t="shared" si="2"/>
        <v/>
      </c>
      <c r="N72" s="25" t="str">
        <f t="shared" si="3"/>
        <v/>
      </c>
      <c r="P72" s="26" t="str">
        <f>IFERROR(INDEX($AM$11:$AM$4010,MATCH($S$8&amp;"|"&amp;62,$BA$11:$BA$4010,0)),"")</f>
        <v/>
      </c>
      <c r="Q72" s="25" t="str">
        <f>IF(P72="","",IFERROR(INDEX($AN$11:$AN$4010,MATCH($S$8&amp;"|"&amp;62,$BA$11:$BA$4010,0)),""))</f>
        <v/>
      </c>
      <c r="R72" s="25" t="str">
        <f>IF(P72="","",IFERROR(INDEX($AO$11:$AO$4010,MATCH($S$8&amp;"|"&amp;62,$BA$11:$BA$4010,0)),""))</f>
        <v/>
      </c>
      <c r="S72" s="24" t="str">
        <f>IF(P72="","",IFERROR(INDEX($AP$11:$AP$4010,MATCH($S$8&amp;"|"&amp;62,$BA$11:$BA$4010,0)),""))</f>
        <v/>
      </c>
      <c r="T72" s="24" t="str">
        <f>IF(P72="","",IFERROR(INDEX($AQ$11:$AQ$4010,MATCH($S$8&amp;"|"&amp;62,$BA$11:$BA$4010,0)),""))</f>
        <v/>
      </c>
      <c r="U72" s="38" t="str">
        <f t="shared" si="14"/>
        <v/>
      </c>
      <c r="W72" s="28" t="str">
        <f>IF(X72="","",IFERROR(INDEX($AL$11:$AL$4010,MATCH(62,$AY$11:$AY$4010,0)),""))</f>
        <v/>
      </c>
      <c r="X72" s="26" t="str">
        <f>IFERROR(INDEX($AM$11:$AM$4010,MATCH(62,$AY$11:$AY$4010,0)),"")</f>
        <v/>
      </c>
      <c r="Y72" s="25" t="str">
        <f>IF(X72="","",IFERROR(INDEX($AN$11:$AN$4010,MATCH(62,$AY$11:$AY$4010,0)),""))</f>
        <v/>
      </c>
      <c r="Z72" s="25" t="str">
        <f>IF(X72="","",IFERROR(INDEX($AO$11:$AO$4010,MATCH(62,$AY$11:$AY$4010,0)),""))</f>
        <v/>
      </c>
      <c r="AA72" s="24" t="str">
        <f>IF(X72="","",IFERROR(INDEX($AQ$11:$AQ$4010,MATCH(62,$AY$11:$AY$4010,0)),""))</f>
        <v/>
      </c>
      <c r="AB72" s="29" t="str">
        <f>IF(X72="","",IFERROR(INDEX($AR$11:$AR$4010,MATCH(62,$AY$11:$AY$4010,0)),""))</f>
        <v/>
      </c>
      <c r="AD72" s="30" t="str">
        <f>IF(AE72="","",IFERROR(INDEX($AL$11:$AL$4010,MATCH(62,$AZ$11:$AZ$4010,0)),""))</f>
        <v/>
      </c>
      <c r="AE72" s="26" t="str">
        <f>IFERROR(INDEX($AM$11:$AM$4010,MATCH(62,$AZ$11:$AZ$4010,0)),"")</f>
        <v/>
      </c>
      <c r="AF72" s="25" t="str">
        <f>IF(AE72="","",IFERROR(INDEX($AN$11:$AN$4010,MATCH(62,$AZ$11:$AZ$4010,0)),""))</f>
        <v/>
      </c>
      <c r="AG72" s="25" t="str">
        <f>IF(AE72="","",IFERROR(INDEX($AO$11:$AO$4010,MATCH(62,$AZ$11:$AZ$4010,0)),""))</f>
        <v/>
      </c>
      <c r="AH72" s="24" t="str">
        <f>IF(AE72="","",IFERROR(INDEX($AQ$11:$AQ$4010,MATCH(62,$AZ$11:$AZ$4010,0)),""))</f>
        <v/>
      </c>
      <c r="AI72" s="29" t="str">
        <f>IF(AE72="","",IFERROR(INDEX($AR$11:$AR$4010,MATCH(62,$AZ$11:$AZ$4010,0)),""))</f>
        <v/>
      </c>
      <c r="AJ72" s="29" t="str">
        <f>IF(AE72="","",IFERROR(INDEX($AT$11:$AT$4010,MATCH(62,$AZ$11:$AZ$4010,0)),""))</f>
        <v/>
      </c>
      <c r="AL72" s="31" t="str">
        <f t="shared" si="5"/>
        <v/>
      </c>
      <c r="AM72" s="26" t="str">
        <f t="shared" si="6"/>
        <v/>
      </c>
      <c r="AN72" s="32" t="str">
        <f t="shared" si="7"/>
        <v/>
      </c>
      <c r="AO72" s="32" t="str">
        <f t="shared" si="8"/>
        <v/>
      </c>
      <c r="AP72" s="24" t="str">
        <f t="shared" si="9"/>
        <v/>
      </c>
      <c r="AQ72" s="24" t="str">
        <f t="shared" si="10"/>
        <v/>
      </c>
      <c r="AR72" s="33" t="str">
        <f t="shared" si="11"/>
        <v/>
      </c>
      <c r="AS72" s="34"/>
      <c r="AT72" s="33"/>
      <c r="AV72" s="21">
        <f>IF(AND($AL72&lt;&gt;"",COUNTIF($AL$11:$AL72,$AL72)=1),1,0)</f>
        <v>0</v>
      </c>
      <c r="AW72" s="21">
        <f t="shared" si="13"/>
        <v>2</v>
      </c>
      <c r="AX72" s="21" t="str">
        <f t="shared" si="12"/>
        <v/>
      </c>
      <c r="AY72" s="21" t="str">
        <f>IF(AND($AM72&lt;&gt;"",$AS72&lt;&gt;"✓"),SUMPRODUCT(($AM$11:$AM72&lt;&gt;"")*($AS$11:$AS72&lt;&gt;"✓")),"")</f>
        <v/>
      </c>
      <c r="AZ72" s="21" t="str">
        <f>IF(AND($AM72&lt;&gt;"",$AS72="✓"),SUMPRODUCT(($AM$11:$AM72&lt;&gt;"")*($AS$11:$AS72="✓")),"")</f>
        <v/>
      </c>
      <c r="BA72" s="21" t="str">
        <f>IF($AL72="","",$AL72&amp;"|"&amp;COUNTIF($AL$11:$AL72,$AL72))</f>
        <v/>
      </c>
      <c r="BD72" s="36" t="str">
        <f>IF(IFERROR(INDEX($AM$11:$AM$4010,MATCH($S$8&amp;"|"&amp;60,$BA$11:$BA$4010,0)),"")="","",60)</f>
        <v/>
      </c>
      <c r="BE72" s="36" t="str">
        <f>IFERROR(INDEX($AM$11:$AM$4010,MATCH($S$8&amp;"|"&amp;60,$BA$11:$BA$4010,0)),"")</f>
        <v/>
      </c>
      <c r="BF72" s="36" t="str">
        <f>IFERROR(INDEX($AP$11:$AP$4010,MATCH($S$8&amp;"|"&amp;60,$BA$11:$BA$4010,0)),"")</f>
        <v/>
      </c>
      <c r="BG72" s="36" t="str">
        <f>IFERROR(INDEX($AQ$11:$AQ$4010,MATCH($S$8&amp;"|"&amp;60,$BA$11:$BA$4010,0)),"")</f>
        <v/>
      </c>
      <c r="BH72" s="37" t="str">
        <f>IFERROR(INDEX($AN$11:$AN$4010,MATCH($S$8&amp;"|"&amp;60,$BA$11:$BA$4010,0)),"")</f>
        <v/>
      </c>
      <c r="BI72" s="37" t="str">
        <f>IFERROR(INDEX($AO$11:$AO$4010,MATCH($S$8&amp;"|"&amp;60,$BA$11:$BA$4010,0)),"")</f>
        <v/>
      </c>
      <c r="BL72" s="36" t="str">
        <f>IF(IFERROR(INDEX($AM$11:$AM$4010,MATCH($S$8&amp;"|"&amp;60,$BA$11:$BA$4010,0)),"")="","",60)</f>
        <v/>
      </c>
      <c r="BM72" s="36" t="str">
        <f>IFERROR(INDEX($AM$11:$AM$4010,MATCH($S$8&amp;"|"&amp;60,$BA$11:$BA$4010,0)),"")</f>
        <v/>
      </c>
      <c r="BN72" s="36" t="str">
        <f>IFERROR(INDEX($AP$11:$AP$4010,MATCH($S$8&amp;"|"&amp;60,$BA$11:$BA$4010,0)),"")</f>
        <v/>
      </c>
      <c r="BO72" s="36" t="str">
        <f>IFERROR(INDEX($AQ$11:$AQ$4010,MATCH($S$8&amp;"|"&amp;60,$BA$11:$BA$4010,0)),"")</f>
        <v/>
      </c>
      <c r="BP72" s="37" t="str">
        <f>IFERROR(INDEX($AN$11:$AN$4010,MATCH($S$8&amp;"|"&amp;60,$BA$11:$BA$4010,0)),"")</f>
        <v/>
      </c>
      <c r="BQ72" s="37" t="str">
        <f>IFERROR(INDEX($AO$11:$AO$4010,MATCH($S$8&amp;"|"&amp;60,$BA$11:$BA$4010,0)),"")</f>
        <v/>
      </c>
    </row>
    <row r="73" spans="2:69" ht="15" customHeight="1" x14ac:dyDescent="0.25">
      <c r="B73" s="5" t="str">
        <f t="shared" si="0"/>
        <v/>
      </c>
      <c r="C73" s="5"/>
      <c r="D73" s="5"/>
      <c r="E73" s="5"/>
      <c r="F73" s="6"/>
      <c r="G73" s="6"/>
      <c r="H73" s="7"/>
      <c r="I73" s="8"/>
      <c r="K73" s="9" t="str">
        <f>IFERROR(INDEX($AL$11:$AL$4010,MATCH(63,$AX$11:$AX$4010,0)),"")</f>
        <v/>
      </c>
      <c r="L73" s="10" t="str">
        <f t="shared" si="1"/>
        <v/>
      </c>
      <c r="M73" s="11" t="str">
        <f t="shared" si="2"/>
        <v/>
      </c>
      <c r="N73" s="11" t="str">
        <f t="shared" si="3"/>
        <v/>
      </c>
      <c r="P73" s="12" t="str">
        <f>IFERROR(INDEX($AM$11:$AM$4010,MATCH($S$8&amp;"|"&amp;63,$BA$11:$BA$4010,0)),"")</f>
        <v/>
      </c>
      <c r="Q73" s="11" t="str">
        <f>IF(P73="","",IFERROR(INDEX($AN$11:$AN$4010,MATCH($S$8&amp;"|"&amp;63,$BA$11:$BA$4010,0)),""))</f>
        <v/>
      </c>
      <c r="R73" s="11" t="str">
        <f>IF(P73="","",IFERROR(INDEX($AO$11:$AO$4010,MATCH($S$8&amp;"|"&amp;63,$BA$11:$BA$4010,0)),""))</f>
        <v/>
      </c>
      <c r="S73" s="10" t="str">
        <f>IF(P73="","",IFERROR(INDEX($AP$11:$AP$4010,MATCH($S$8&amp;"|"&amp;63,$BA$11:$BA$4010,0)),""))</f>
        <v/>
      </c>
      <c r="T73" s="10" t="str">
        <f>IF(P73="","",IFERROR(INDEX($AQ$11:$AQ$4010,MATCH($S$8&amp;"|"&amp;63,$BA$11:$BA$4010,0)),""))</f>
        <v/>
      </c>
      <c r="U73" s="39" t="str">
        <f t="shared" si="14"/>
        <v/>
      </c>
      <c r="W73" s="14" t="str">
        <f>IF(X73="","",IFERROR(INDEX($AL$11:$AL$4010,MATCH(63,$AY$11:$AY$4010,0)),""))</f>
        <v/>
      </c>
      <c r="X73" s="12" t="str">
        <f>IFERROR(INDEX($AM$11:$AM$4010,MATCH(63,$AY$11:$AY$4010,0)),"")</f>
        <v/>
      </c>
      <c r="Y73" s="11" t="str">
        <f>IF(X73="","",IFERROR(INDEX($AN$11:$AN$4010,MATCH(63,$AY$11:$AY$4010,0)),""))</f>
        <v/>
      </c>
      <c r="Z73" s="11" t="str">
        <f>IF(X73="","",IFERROR(INDEX($AO$11:$AO$4010,MATCH(63,$AY$11:$AY$4010,0)),""))</f>
        <v/>
      </c>
      <c r="AA73" s="10" t="str">
        <f>IF(X73="","",IFERROR(INDEX($AQ$11:$AQ$4010,MATCH(63,$AY$11:$AY$4010,0)),""))</f>
        <v/>
      </c>
      <c r="AB73" s="15" t="str">
        <f>IF(X73="","",IFERROR(INDEX($AR$11:$AR$4010,MATCH(63,$AY$11:$AY$4010,0)),""))</f>
        <v/>
      </c>
      <c r="AD73" s="16" t="str">
        <f>IF(AE73="","",IFERROR(INDEX($AL$11:$AL$4010,MATCH(63,$AZ$11:$AZ$4010,0)),""))</f>
        <v/>
      </c>
      <c r="AE73" s="12" t="str">
        <f>IFERROR(INDEX($AM$11:$AM$4010,MATCH(63,$AZ$11:$AZ$4010,0)),"")</f>
        <v/>
      </c>
      <c r="AF73" s="11" t="str">
        <f>IF(AE73="","",IFERROR(INDEX($AN$11:$AN$4010,MATCH(63,$AZ$11:$AZ$4010,0)),""))</f>
        <v/>
      </c>
      <c r="AG73" s="11" t="str">
        <f>IF(AE73="","",IFERROR(INDEX($AO$11:$AO$4010,MATCH(63,$AZ$11:$AZ$4010,0)),""))</f>
        <v/>
      </c>
      <c r="AH73" s="10" t="str">
        <f>IF(AE73="","",IFERROR(INDEX($AQ$11:$AQ$4010,MATCH(63,$AZ$11:$AZ$4010,0)),""))</f>
        <v/>
      </c>
      <c r="AI73" s="15" t="str">
        <f>IF(AE73="","",IFERROR(INDEX($AR$11:$AR$4010,MATCH(63,$AZ$11:$AZ$4010,0)),""))</f>
        <v/>
      </c>
      <c r="AJ73" s="15" t="str">
        <f>IF(AE73="","",IFERROR(INDEX($AT$11:$AT$4010,MATCH(63,$AZ$11:$AZ$4010,0)),""))</f>
        <v/>
      </c>
      <c r="AL73" s="17" t="str">
        <f t="shared" si="5"/>
        <v/>
      </c>
      <c r="AM73" s="12" t="str">
        <f t="shared" si="6"/>
        <v/>
      </c>
      <c r="AN73" s="18" t="str">
        <f t="shared" si="7"/>
        <v/>
      </c>
      <c r="AO73" s="18" t="str">
        <f t="shared" si="8"/>
        <v/>
      </c>
      <c r="AP73" s="10" t="str">
        <f t="shared" si="9"/>
        <v/>
      </c>
      <c r="AQ73" s="10" t="str">
        <f t="shared" si="10"/>
        <v/>
      </c>
      <c r="AR73" s="19" t="str">
        <f t="shared" si="11"/>
        <v/>
      </c>
      <c r="AS73" s="20"/>
      <c r="AT73" s="19"/>
      <c r="AV73" s="21">
        <f>IF(AND($AL73&lt;&gt;"",COUNTIF($AL$11:$AL73,$AL73)=1),1,0)</f>
        <v>0</v>
      </c>
      <c r="AW73" s="21">
        <f t="shared" si="13"/>
        <v>2</v>
      </c>
      <c r="AX73" s="21" t="str">
        <f t="shared" si="12"/>
        <v/>
      </c>
      <c r="AY73" s="21" t="str">
        <f>IF(AND($AM73&lt;&gt;"",$AS73&lt;&gt;"✓"),SUMPRODUCT(($AM$11:$AM73&lt;&gt;"")*($AS$11:$AS73&lt;&gt;"✓")),"")</f>
        <v/>
      </c>
      <c r="AZ73" s="21" t="str">
        <f>IF(AND($AM73&lt;&gt;"",$AS73="✓"),SUMPRODUCT(($AM$11:$AM73&lt;&gt;"")*($AS$11:$AS73="✓")),"")</f>
        <v/>
      </c>
      <c r="BA73" s="21" t="str">
        <f>IF($AL73="","",$AL73&amp;"|"&amp;COUNTIF($AL$11:$AL73,$AL73))</f>
        <v/>
      </c>
    </row>
    <row r="74" spans="2:69" ht="15" customHeight="1" x14ac:dyDescent="0.25">
      <c r="B74" s="5" t="str">
        <f t="shared" si="0"/>
        <v/>
      </c>
      <c r="C74" s="5"/>
      <c r="D74" s="5"/>
      <c r="E74" s="5"/>
      <c r="F74" s="6"/>
      <c r="G74" s="6"/>
      <c r="H74" s="7"/>
      <c r="I74" s="8"/>
      <c r="K74" s="23" t="str">
        <f>IFERROR(INDEX($AL$11:$AL$4010,MATCH(64,$AX$11:$AX$4010,0)),"")</f>
        <v/>
      </c>
      <c r="L74" s="24" t="str">
        <f t="shared" si="1"/>
        <v/>
      </c>
      <c r="M74" s="25" t="str">
        <f t="shared" si="2"/>
        <v/>
      </c>
      <c r="N74" s="25" t="str">
        <f t="shared" si="3"/>
        <v/>
      </c>
      <c r="P74" s="26" t="str">
        <f>IFERROR(INDEX($AM$11:$AM$4010,MATCH($S$8&amp;"|"&amp;64,$BA$11:$BA$4010,0)),"")</f>
        <v/>
      </c>
      <c r="Q74" s="25" t="str">
        <f>IF(P74="","",IFERROR(INDEX($AN$11:$AN$4010,MATCH($S$8&amp;"|"&amp;64,$BA$11:$BA$4010,0)),""))</f>
        <v/>
      </c>
      <c r="R74" s="25" t="str">
        <f>IF(P74="","",IFERROR(INDEX($AO$11:$AO$4010,MATCH($S$8&amp;"|"&amp;64,$BA$11:$BA$4010,0)),""))</f>
        <v/>
      </c>
      <c r="S74" s="24" t="str">
        <f>IF(P74="","",IFERROR(INDEX($AP$11:$AP$4010,MATCH($S$8&amp;"|"&amp;64,$BA$11:$BA$4010,0)),""))</f>
        <v/>
      </c>
      <c r="T74" s="24" t="str">
        <f>IF(P74="","",IFERROR(INDEX($AQ$11:$AQ$4010,MATCH($S$8&amp;"|"&amp;64,$BA$11:$BA$4010,0)),""))</f>
        <v/>
      </c>
      <c r="U74" s="38" t="str">
        <f t="shared" si="14"/>
        <v/>
      </c>
      <c r="W74" s="28" t="str">
        <f>IF(X74="","",IFERROR(INDEX($AL$11:$AL$4010,MATCH(64,$AY$11:$AY$4010,0)),""))</f>
        <v/>
      </c>
      <c r="X74" s="26" t="str">
        <f>IFERROR(INDEX($AM$11:$AM$4010,MATCH(64,$AY$11:$AY$4010,0)),"")</f>
        <v/>
      </c>
      <c r="Y74" s="25" t="str">
        <f>IF(X74="","",IFERROR(INDEX($AN$11:$AN$4010,MATCH(64,$AY$11:$AY$4010,0)),""))</f>
        <v/>
      </c>
      <c r="Z74" s="25" t="str">
        <f>IF(X74="","",IFERROR(INDEX($AO$11:$AO$4010,MATCH(64,$AY$11:$AY$4010,0)),""))</f>
        <v/>
      </c>
      <c r="AA74" s="24" t="str">
        <f>IF(X74="","",IFERROR(INDEX($AQ$11:$AQ$4010,MATCH(64,$AY$11:$AY$4010,0)),""))</f>
        <v/>
      </c>
      <c r="AB74" s="29" t="str">
        <f>IF(X74="","",IFERROR(INDEX($AR$11:$AR$4010,MATCH(64,$AY$11:$AY$4010,0)),""))</f>
        <v/>
      </c>
      <c r="AD74" s="30" t="str">
        <f>IF(AE74="","",IFERROR(INDEX($AL$11:$AL$4010,MATCH(64,$AZ$11:$AZ$4010,0)),""))</f>
        <v/>
      </c>
      <c r="AE74" s="26" t="str">
        <f>IFERROR(INDEX($AM$11:$AM$4010,MATCH(64,$AZ$11:$AZ$4010,0)),"")</f>
        <v/>
      </c>
      <c r="AF74" s="25" t="str">
        <f>IF(AE74="","",IFERROR(INDEX($AN$11:$AN$4010,MATCH(64,$AZ$11:$AZ$4010,0)),""))</f>
        <v/>
      </c>
      <c r="AG74" s="25" t="str">
        <f>IF(AE74="","",IFERROR(INDEX($AO$11:$AO$4010,MATCH(64,$AZ$11:$AZ$4010,0)),""))</f>
        <v/>
      </c>
      <c r="AH74" s="24" t="str">
        <f>IF(AE74="","",IFERROR(INDEX($AQ$11:$AQ$4010,MATCH(64,$AZ$11:$AZ$4010,0)),""))</f>
        <v/>
      </c>
      <c r="AI74" s="29" t="str">
        <f>IF(AE74="","",IFERROR(INDEX($AR$11:$AR$4010,MATCH(64,$AZ$11:$AZ$4010,0)),""))</f>
        <v/>
      </c>
      <c r="AJ74" s="29" t="str">
        <f>IF(AE74="","",IFERROR(INDEX($AT$11:$AT$4010,MATCH(64,$AZ$11:$AZ$4010,0)),""))</f>
        <v/>
      </c>
      <c r="AL74" s="31" t="str">
        <f t="shared" si="5"/>
        <v/>
      </c>
      <c r="AM74" s="26" t="str">
        <f t="shared" si="6"/>
        <v/>
      </c>
      <c r="AN74" s="32" t="str">
        <f t="shared" si="7"/>
        <v/>
      </c>
      <c r="AO74" s="32" t="str">
        <f t="shared" si="8"/>
        <v/>
      </c>
      <c r="AP74" s="24" t="str">
        <f t="shared" si="9"/>
        <v/>
      </c>
      <c r="AQ74" s="24" t="str">
        <f t="shared" si="10"/>
        <v/>
      </c>
      <c r="AR74" s="33" t="str">
        <f t="shared" si="11"/>
        <v/>
      </c>
      <c r="AS74" s="34"/>
      <c r="AT74" s="33"/>
      <c r="AV74" s="21">
        <f>IF(AND($AL74&lt;&gt;"",COUNTIF($AL$11:$AL74,$AL74)=1),1,0)</f>
        <v>0</v>
      </c>
      <c r="AW74" s="21">
        <f t="shared" si="13"/>
        <v>2</v>
      </c>
      <c r="AX74" s="21" t="str">
        <f t="shared" si="12"/>
        <v/>
      </c>
      <c r="AY74" s="21" t="str">
        <f>IF(AND($AM74&lt;&gt;"",$AS74&lt;&gt;"✓"),SUMPRODUCT(($AM$11:$AM74&lt;&gt;"")*($AS$11:$AS74&lt;&gt;"✓")),"")</f>
        <v/>
      </c>
      <c r="AZ74" s="21" t="str">
        <f>IF(AND($AM74&lt;&gt;"",$AS74="✓"),SUMPRODUCT(($AM$11:$AM74&lt;&gt;"")*($AS$11:$AS74="✓")),"")</f>
        <v/>
      </c>
      <c r="BA74" s="21" t="str">
        <f>IF($AL74="","",$AL74&amp;"|"&amp;COUNTIF($AL$11:$AL74,$AL74))</f>
        <v/>
      </c>
    </row>
    <row r="75" spans="2:69" ht="15" customHeight="1" x14ac:dyDescent="0.25">
      <c r="B75" s="5" t="str">
        <f t="shared" ref="B75:B138" si="15">IF($C75="","",ROW()-10)</f>
        <v/>
      </c>
      <c r="C75" s="5"/>
      <c r="D75" s="5"/>
      <c r="E75" s="5"/>
      <c r="F75" s="6"/>
      <c r="G75" s="6"/>
      <c r="H75" s="7"/>
      <c r="I75" s="8"/>
      <c r="K75" s="9" t="str">
        <f>IFERROR(INDEX($AL$11:$AL$4010,MATCH(65,$AX$11:$AX$4010,0)),"")</f>
        <v/>
      </c>
      <c r="L75" s="10" t="str">
        <f t="shared" ref="L75:L138" si="16">IF(K75="","",COUNTIF($AL$11:$AL$4010,K75))</f>
        <v/>
      </c>
      <c r="M75" s="11" t="str">
        <f t="shared" ref="M75:M138" si="17">IF(K75="","",SUMIF($AL$11:$AL$4010,K75,$AN$11:$AN$4010))</f>
        <v/>
      </c>
      <c r="N75" s="11" t="str">
        <f t="shared" ref="N75:N138" si="18">IF(K75="","",SUMIF($AL$11:$AL$4010,K75,$AO$11:$AO$4010))</f>
        <v/>
      </c>
      <c r="P75" s="12" t="str">
        <f>IFERROR(INDEX($AM$11:$AM$4010,MATCH($S$8&amp;"|"&amp;65,$BA$11:$BA$4010,0)),"")</f>
        <v/>
      </c>
      <c r="Q75" s="11" t="str">
        <f>IF(P75="","",IFERROR(INDEX($AN$11:$AN$4010,MATCH($S$8&amp;"|"&amp;65,$BA$11:$BA$4010,0)),""))</f>
        <v/>
      </c>
      <c r="R75" s="11" t="str">
        <f>IF(P75="","",IFERROR(INDEX($AO$11:$AO$4010,MATCH($S$8&amp;"|"&amp;65,$BA$11:$BA$4010,0)),""))</f>
        <v/>
      </c>
      <c r="S75" s="10" t="str">
        <f>IF(P75="","",IFERROR(INDEX($AP$11:$AP$4010,MATCH($S$8&amp;"|"&amp;65,$BA$11:$BA$4010,0)),""))</f>
        <v/>
      </c>
      <c r="T75" s="10" t="str">
        <f>IF(P75="","",IFERROR(INDEX($AQ$11:$AQ$4010,MATCH($S$8&amp;"|"&amp;65,$BA$11:$BA$4010,0)),""))</f>
        <v/>
      </c>
      <c r="U75" s="39" t="str">
        <f t="shared" ref="U75:U106" si="19">IF(P75="","",$S$8)</f>
        <v/>
      </c>
      <c r="W75" s="14" t="str">
        <f>IF(X75="","",IFERROR(INDEX($AL$11:$AL$4010,MATCH(65,$AY$11:$AY$4010,0)),""))</f>
        <v/>
      </c>
      <c r="X75" s="12" t="str">
        <f>IFERROR(INDEX($AM$11:$AM$4010,MATCH(65,$AY$11:$AY$4010,0)),"")</f>
        <v/>
      </c>
      <c r="Y75" s="11" t="str">
        <f>IF(X75="","",IFERROR(INDEX($AN$11:$AN$4010,MATCH(65,$AY$11:$AY$4010,0)),""))</f>
        <v/>
      </c>
      <c r="Z75" s="11" t="str">
        <f>IF(X75="","",IFERROR(INDEX($AO$11:$AO$4010,MATCH(65,$AY$11:$AY$4010,0)),""))</f>
        <v/>
      </c>
      <c r="AA75" s="10" t="str">
        <f>IF(X75="","",IFERROR(INDEX($AQ$11:$AQ$4010,MATCH(65,$AY$11:$AY$4010,0)),""))</f>
        <v/>
      </c>
      <c r="AB75" s="15" t="str">
        <f>IF(X75="","",IFERROR(INDEX($AR$11:$AR$4010,MATCH(65,$AY$11:$AY$4010,0)),""))</f>
        <v/>
      </c>
      <c r="AD75" s="16" t="str">
        <f>IF(AE75="","",IFERROR(INDEX($AL$11:$AL$4010,MATCH(65,$AZ$11:$AZ$4010,0)),""))</f>
        <v/>
      </c>
      <c r="AE75" s="12" t="str">
        <f>IFERROR(INDEX($AM$11:$AM$4010,MATCH(65,$AZ$11:$AZ$4010,0)),"")</f>
        <v/>
      </c>
      <c r="AF75" s="11" t="str">
        <f>IF(AE75="","",IFERROR(INDEX($AN$11:$AN$4010,MATCH(65,$AZ$11:$AZ$4010,0)),""))</f>
        <v/>
      </c>
      <c r="AG75" s="11" t="str">
        <f>IF(AE75="","",IFERROR(INDEX($AO$11:$AO$4010,MATCH(65,$AZ$11:$AZ$4010,0)),""))</f>
        <v/>
      </c>
      <c r="AH75" s="10" t="str">
        <f>IF(AE75="","",IFERROR(INDEX($AQ$11:$AQ$4010,MATCH(65,$AZ$11:$AZ$4010,0)),""))</f>
        <v/>
      </c>
      <c r="AI75" s="15" t="str">
        <f>IF(AE75="","",IFERROR(INDEX($AR$11:$AR$4010,MATCH(65,$AZ$11:$AZ$4010,0)),""))</f>
        <v/>
      </c>
      <c r="AJ75" s="15" t="str">
        <f>IF(AE75="","",IFERROR(INDEX($AT$11:$AT$4010,MATCH(65,$AZ$11:$AZ$4010,0)),""))</f>
        <v/>
      </c>
      <c r="AL75" s="17" t="str">
        <f t="shared" ref="AL75:AL138" si="20">IF($C75="","",$I75)</f>
        <v/>
      </c>
      <c r="AM75" s="12" t="str">
        <f t="shared" ref="AM75:AM138" si="21">IF($C75="","",$C75)</f>
        <v/>
      </c>
      <c r="AN75" s="18" t="str">
        <f t="shared" ref="AN75:AN138" si="22">IF($C75="","",$F75)</f>
        <v/>
      </c>
      <c r="AO75" s="18" t="str">
        <f t="shared" ref="AO75:AO138" si="23">IF($C75="","",$G75)</f>
        <v/>
      </c>
      <c r="AP75" s="10" t="str">
        <f t="shared" ref="AP75:AP138" si="24">IF($C75="","",$D75)</f>
        <v/>
      </c>
      <c r="AQ75" s="10" t="str">
        <f t="shared" ref="AQ75:AQ138" si="25">IF($C75="","",$E75)</f>
        <v/>
      </c>
      <c r="AR75" s="19" t="str">
        <f t="shared" ref="AR75:AR138" si="26">IF($C75="","",$H75)</f>
        <v/>
      </c>
      <c r="AS75" s="20"/>
      <c r="AT75" s="19"/>
      <c r="AV75" s="21">
        <f>IF(AND($AL75&lt;&gt;"",COUNTIF($AL$11:$AL75,$AL75)=1),1,0)</f>
        <v>0</v>
      </c>
      <c r="AW75" s="21">
        <f t="shared" si="13"/>
        <v>2</v>
      </c>
      <c r="AX75" s="21" t="str">
        <f t="shared" ref="AX75:AX138" si="27">IF(AV75=1,AW75,"")</f>
        <v/>
      </c>
      <c r="AY75" s="21" t="str">
        <f>IF(AND($AM75&lt;&gt;"",$AS75&lt;&gt;"✓"),SUMPRODUCT(($AM$11:$AM75&lt;&gt;"")*($AS$11:$AS75&lt;&gt;"✓")),"")</f>
        <v/>
      </c>
      <c r="AZ75" s="21" t="str">
        <f>IF(AND($AM75&lt;&gt;"",$AS75="✓"),SUMPRODUCT(($AM$11:$AM75&lt;&gt;"")*($AS$11:$AS75="✓")),"")</f>
        <v/>
      </c>
      <c r="BA75" s="21" t="str">
        <f>IF($AL75="","",$AL75&amp;"|"&amp;COUNTIF($AL$11:$AL75,$AL75))</f>
        <v/>
      </c>
    </row>
    <row r="76" spans="2:69" ht="15" customHeight="1" x14ac:dyDescent="0.25">
      <c r="B76" s="5" t="str">
        <f t="shared" si="15"/>
        <v/>
      </c>
      <c r="C76" s="5"/>
      <c r="D76" s="5"/>
      <c r="E76" s="5"/>
      <c r="F76" s="6"/>
      <c r="G76" s="6"/>
      <c r="H76" s="7"/>
      <c r="I76" s="8"/>
      <c r="K76" s="23" t="str">
        <f>IFERROR(INDEX($AL$11:$AL$4010,MATCH(66,$AX$11:$AX$4010,0)),"")</f>
        <v/>
      </c>
      <c r="L76" s="24" t="str">
        <f t="shared" si="16"/>
        <v/>
      </c>
      <c r="M76" s="25" t="str">
        <f t="shared" si="17"/>
        <v/>
      </c>
      <c r="N76" s="25" t="str">
        <f t="shared" si="18"/>
        <v/>
      </c>
      <c r="P76" s="26" t="str">
        <f>IFERROR(INDEX($AM$11:$AM$4010,MATCH($S$8&amp;"|"&amp;66,$BA$11:$BA$4010,0)),"")</f>
        <v/>
      </c>
      <c r="Q76" s="25" t="str">
        <f>IF(P76="","",IFERROR(INDEX($AN$11:$AN$4010,MATCH($S$8&amp;"|"&amp;66,$BA$11:$BA$4010,0)),""))</f>
        <v/>
      </c>
      <c r="R76" s="25" t="str">
        <f>IF(P76="","",IFERROR(INDEX($AO$11:$AO$4010,MATCH($S$8&amp;"|"&amp;66,$BA$11:$BA$4010,0)),""))</f>
        <v/>
      </c>
      <c r="S76" s="24" t="str">
        <f>IF(P76="","",IFERROR(INDEX($AP$11:$AP$4010,MATCH($S$8&amp;"|"&amp;66,$BA$11:$BA$4010,0)),""))</f>
        <v/>
      </c>
      <c r="T76" s="24" t="str">
        <f>IF(P76="","",IFERROR(INDEX($AQ$11:$AQ$4010,MATCH($S$8&amp;"|"&amp;66,$BA$11:$BA$4010,0)),""))</f>
        <v/>
      </c>
      <c r="U76" s="38" t="str">
        <f t="shared" si="19"/>
        <v/>
      </c>
      <c r="W76" s="28" t="str">
        <f>IF(X76="","",IFERROR(INDEX($AL$11:$AL$4010,MATCH(66,$AY$11:$AY$4010,0)),""))</f>
        <v/>
      </c>
      <c r="X76" s="26" t="str">
        <f>IFERROR(INDEX($AM$11:$AM$4010,MATCH(66,$AY$11:$AY$4010,0)),"")</f>
        <v/>
      </c>
      <c r="Y76" s="25" t="str">
        <f>IF(X76="","",IFERROR(INDEX($AN$11:$AN$4010,MATCH(66,$AY$11:$AY$4010,0)),""))</f>
        <v/>
      </c>
      <c r="Z76" s="25" t="str">
        <f>IF(X76="","",IFERROR(INDEX($AO$11:$AO$4010,MATCH(66,$AY$11:$AY$4010,0)),""))</f>
        <v/>
      </c>
      <c r="AA76" s="24" t="str">
        <f>IF(X76="","",IFERROR(INDEX($AQ$11:$AQ$4010,MATCH(66,$AY$11:$AY$4010,0)),""))</f>
        <v/>
      </c>
      <c r="AB76" s="29" t="str">
        <f>IF(X76="","",IFERROR(INDEX($AR$11:$AR$4010,MATCH(66,$AY$11:$AY$4010,0)),""))</f>
        <v/>
      </c>
      <c r="AD76" s="30" t="str">
        <f>IF(AE76="","",IFERROR(INDEX($AL$11:$AL$4010,MATCH(66,$AZ$11:$AZ$4010,0)),""))</f>
        <v/>
      </c>
      <c r="AE76" s="26" t="str">
        <f>IFERROR(INDEX($AM$11:$AM$4010,MATCH(66,$AZ$11:$AZ$4010,0)),"")</f>
        <v/>
      </c>
      <c r="AF76" s="25" t="str">
        <f>IF(AE76="","",IFERROR(INDEX($AN$11:$AN$4010,MATCH(66,$AZ$11:$AZ$4010,0)),""))</f>
        <v/>
      </c>
      <c r="AG76" s="25" t="str">
        <f>IF(AE76="","",IFERROR(INDEX($AO$11:$AO$4010,MATCH(66,$AZ$11:$AZ$4010,0)),""))</f>
        <v/>
      </c>
      <c r="AH76" s="24" t="str">
        <f>IF(AE76="","",IFERROR(INDEX($AQ$11:$AQ$4010,MATCH(66,$AZ$11:$AZ$4010,0)),""))</f>
        <v/>
      </c>
      <c r="AI76" s="29" t="str">
        <f>IF(AE76="","",IFERROR(INDEX($AR$11:$AR$4010,MATCH(66,$AZ$11:$AZ$4010,0)),""))</f>
        <v/>
      </c>
      <c r="AJ76" s="29" t="str">
        <f>IF(AE76="","",IFERROR(INDEX($AT$11:$AT$4010,MATCH(66,$AZ$11:$AZ$4010,0)),""))</f>
        <v/>
      </c>
      <c r="AL76" s="31" t="str">
        <f t="shared" si="20"/>
        <v/>
      </c>
      <c r="AM76" s="26" t="str">
        <f t="shared" si="21"/>
        <v/>
      </c>
      <c r="AN76" s="32" t="str">
        <f t="shared" si="22"/>
        <v/>
      </c>
      <c r="AO76" s="32" t="str">
        <f t="shared" si="23"/>
        <v/>
      </c>
      <c r="AP76" s="24" t="str">
        <f t="shared" si="24"/>
        <v/>
      </c>
      <c r="AQ76" s="24" t="str">
        <f t="shared" si="25"/>
        <v/>
      </c>
      <c r="AR76" s="33" t="str">
        <f t="shared" si="26"/>
        <v/>
      </c>
      <c r="AS76" s="34"/>
      <c r="AT76" s="33"/>
      <c r="AV76" s="21">
        <f>IF(AND($AL76&lt;&gt;"",COUNTIF($AL$11:$AL76,$AL76)=1),1,0)</f>
        <v>0</v>
      </c>
      <c r="AW76" s="21">
        <f t="shared" ref="AW76:AW139" si="28">AW75+AV76</f>
        <v>2</v>
      </c>
      <c r="AX76" s="21" t="str">
        <f t="shared" si="27"/>
        <v/>
      </c>
      <c r="AY76" s="21" t="str">
        <f>IF(AND($AM76&lt;&gt;"",$AS76&lt;&gt;"✓"),SUMPRODUCT(($AM$11:$AM76&lt;&gt;"")*($AS$11:$AS76&lt;&gt;"✓")),"")</f>
        <v/>
      </c>
      <c r="AZ76" s="21" t="str">
        <f>IF(AND($AM76&lt;&gt;"",$AS76="✓"),SUMPRODUCT(($AM$11:$AM76&lt;&gt;"")*($AS$11:$AS76="✓")),"")</f>
        <v/>
      </c>
      <c r="BA76" s="21" t="str">
        <f>IF($AL76="","",$AL76&amp;"|"&amp;COUNTIF($AL$11:$AL76,$AL76))</f>
        <v/>
      </c>
    </row>
    <row r="77" spans="2:69" ht="15" customHeight="1" x14ac:dyDescent="0.25">
      <c r="B77" s="5" t="str">
        <f t="shared" si="15"/>
        <v/>
      </c>
      <c r="C77" s="5"/>
      <c r="D77" s="5"/>
      <c r="E77" s="5"/>
      <c r="F77" s="6"/>
      <c r="G77" s="6"/>
      <c r="H77" s="7"/>
      <c r="I77" s="8"/>
      <c r="K77" s="9" t="str">
        <f>IFERROR(INDEX($AL$11:$AL$4010,MATCH(67,$AX$11:$AX$4010,0)),"")</f>
        <v/>
      </c>
      <c r="L77" s="10" t="str">
        <f t="shared" si="16"/>
        <v/>
      </c>
      <c r="M77" s="11" t="str">
        <f t="shared" si="17"/>
        <v/>
      </c>
      <c r="N77" s="11" t="str">
        <f t="shared" si="18"/>
        <v/>
      </c>
      <c r="P77" s="12" t="str">
        <f>IFERROR(INDEX($AM$11:$AM$4010,MATCH($S$8&amp;"|"&amp;67,$BA$11:$BA$4010,0)),"")</f>
        <v/>
      </c>
      <c r="Q77" s="11" t="str">
        <f>IF(P77="","",IFERROR(INDEX($AN$11:$AN$4010,MATCH($S$8&amp;"|"&amp;67,$BA$11:$BA$4010,0)),""))</f>
        <v/>
      </c>
      <c r="R77" s="11" t="str">
        <f>IF(P77="","",IFERROR(INDEX($AO$11:$AO$4010,MATCH($S$8&amp;"|"&amp;67,$BA$11:$BA$4010,0)),""))</f>
        <v/>
      </c>
      <c r="S77" s="10" t="str">
        <f>IF(P77="","",IFERROR(INDEX($AP$11:$AP$4010,MATCH($S$8&amp;"|"&amp;67,$BA$11:$BA$4010,0)),""))</f>
        <v/>
      </c>
      <c r="T77" s="10" t="str">
        <f>IF(P77="","",IFERROR(INDEX($AQ$11:$AQ$4010,MATCH($S$8&amp;"|"&amp;67,$BA$11:$BA$4010,0)),""))</f>
        <v/>
      </c>
      <c r="U77" s="39" t="str">
        <f t="shared" si="19"/>
        <v/>
      </c>
      <c r="W77" s="14" t="str">
        <f>IF(X77="","",IFERROR(INDEX($AL$11:$AL$4010,MATCH(67,$AY$11:$AY$4010,0)),""))</f>
        <v/>
      </c>
      <c r="X77" s="12" t="str">
        <f>IFERROR(INDEX($AM$11:$AM$4010,MATCH(67,$AY$11:$AY$4010,0)),"")</f>
        <v/>
      </c>
      <c r="Y77" s="11" t="str">
        <f>IF(X77="","",IFERROR(INDEX($AN$11:$AN$4010,MATCH(67,$AY$11:$AY$4010,0)),""))</f>
        <v/>
      </c>
      <c r="Z77" s="11" t="str">
        <f>IF(X77="","",IFERROR(INDEX($AO$11:$AO$4010,MATCH(67,$AY$11:$AY$4010,0)),""))</f>
        <v/>
      </c>
      <c r="AA77" s="10" t="str">
        <f>IF(X77="","",IFERROR(INDEX($AQ$11:$AQ$4010,MATCH(67,$AY$11:$AY$4010,0)),""))</f>
        <v/>
      </c>
      <c r="AB77" s="15" t="str">
        <f>IF(X77="","",IFERROR(INDEX($AR$11:$AR$4010,MATCH(67,$AY$11:$AY$4010,0)),""))</f>
        <v/>
      </c>
      <c r="AD77" s="16" t="str">
        <f>IF(AE77="","",IFERROR(INDEX($AL$11:$AL$4010,MATCH(67,$AZ$11:$AZ$4010,0)),""))</f>
        <v/>
      </c>
      <c r="AE77" s="12" t="str">
        <f>IFERROR(INDEX($AM$11:$AM$4010,MATCH(67,$AZ$11:$AZ$4010,0)),"")</f>
        <v/>
      </c>
      <c r="AF77" s="11" t="str">
        <f>IF(AE77="","",IFERROR(INDEX($AN$11:$AN$4010,MATCH(67,$AZ$11:$AZ$4010,0)),""))</f>
        <v/>
      </c>
      <c r="AG77" s="11" t="str">
        <f>IF(AE77="","",IFERROR(INDEX($AO$11:$AO$4010,MATCH(67,$AZ$11:$AZ$4010,0)),""))</f>
        <v/>
      </c>
      <c r="AH77" s="10" t="str">
        <f>IF(AE77="","",IFERROR(INDEX($AQ$11:$AQ$4010,MATCH(67,$AZ$11:$AZ$4010,0)),""))</f>
        <v/>
      </c>
      <c r="AI77" s="15" t="str">
        <f>IF(AE77="","",IFERROR(INDEX($AR$11:$AR$4010,MATCH(67,$AZ$11:$AZ$4010,0)),""))</f>
        <v/>
      </c>
      <c r="AJ77" s="15" t="str">
        <f>IF(AE77="","",IFERROR(INDEX($AT$11:$AT$4010,MATCH(67,$AZ$11:$AZ$4010,0)),""))</f>
        <v/>
      </c>
      <c r="AL77" s="17" t="str">
        <f t="shared" si="20"/>
        <v/>
      </c>
      <c r="AM77" s="12" t="str">
        <f t="shared" si="21"/>
        <v/>
      </c>
      <c r="AN77" s="18" t="str">
        <f t="shared" si="22"/>
        <v/>
      </c>
      <c r="AO77" s="18" t="str">
        <f t="shared" si="23"/>
        <v/>
      </c>
      <c r="AP77" s="10" t="str">
        <f t="shared" si="24"/>
        <v/>
      </c>
      <c r="AQ77" s="10" t="str">
        <f t="shared" si="25"/>
        <v/>
      </c>
      <c r="AR77" s="19" t="str">
        <f t="shared" si="26"/>
        <v/>
      </c>
      <c r="AS77" s="20"/>
      <c r="AT77" s="19"/>
      <c r="AV77" s="21">
        <f>IF(AND($AL77&lt;&gt;"",COUNTIF($AL$11:$AL77,$AL77)=1),1,0)</f>
        <v>0</v>
      </c>
      <c r="AW77" s="21">
        <f t="shared" si="28"/>
        <v>2</v>
      </c>
      <c r="AX77" s="21" t="str">
        <f t="shared" si="27"/>
        <v/>
      </c>
      <c r="AY77" s="21" t="str">
        <f>IF(AND($AM77&lt;&gt;"",$AS77&lt;&gt;"✓"),SUMPRODUCT(($AM$11:$AM77&lt;&gt;"")*($AS$11:$AS77&lt;&gt;"✓")),"")</f>
        <v/>
      </c>
      <c r="AZ77" s="21" t="str">
        <f>IF(AND($AM77&lt;&gt;"",$AS77="✓"),SUMPRODUCT(($AM$11:$AM77&lt;&gt;"")*($AS$11:$AS77="✓")),"")</f>
        <v/>
      </c>
      <c r="BA77" s="21" t="str">
        <f>IF($AL77="","",$AL77&amp;"|"&amp;COUNTIF($AL$11:$AL77,$AL77))</f>
        <v/>
      </c>
    </row>
    <row r="78" spans="2:69" ht="15" customHeight="1" x14ac:dyDescent="0.25">
      <c r="B78" s="5" t="str">
        <f t="shared" si="15"/>
        <v/>
      </c>
      <c r="C78" s="5"/>
      <c r="D78" s="5"/>
      <c r="E78" s="5"/>
      <c r="F78" s="6"/>
      <c r="G78" s="6"/>
      <c r="H78" s="7"/>
      <c r="I78" s="8"/>
      <c r="K78" s="23" t="str">
        <f>IFERROR(INDEX($AL$11:$AL$4010,MATCH(68,$AX$11:$AX$4010,0)),"")</f>
        <v/>
      </c>
      <c r="L78" s="24" t="str">
        <f t="shared" si="16"/>
        <v/>
      </c>
      <c r="M78" s="25" t="str">
        <f t="shared" si="17"/>
        <v/>
      </c>
      <c r="N78" s="25" t="str">
        <f t="shared" si="18"/>
        <v/>
      </c>
      <c r="P78" s="26" t="str">
        <f>IFERROR(INDEX($AM$11:$AM$4010,MATCH($S$8&amp;"|"&amp;68,$BA$11:$BA$4010,0)),"")</f>
        <v/>
      </c>
      <c r="Q78" s="25" t="str">
        <f>IF(P78="","",IFERROR(INDEX($AN$11:$AN$4010,MATCH($S$8&amp;"|"&amp;68,$BA$11:$BA$4010,0)),""))</f>
        <v/>
      </c>
      <c r="R78" s="25" t="str">
        <f>IF(P78="","",IFERROR(INDEX($AO$11:$AO$4010,MATCH($S$8&amp;"|"&amp;68,$BA$11:$BA$4010,0)),""))</f>
        <v/>
      </c>
      <c r="S78" s="24" t="str">
        <f>IF(P78="","",IFERROR(INDEX($AP$11:$AP$4010,MATCH($S$8&amp;"|"&amp;68,$BA$11:$BA$4010,0)),""))</f>
        <v/>
      </c>
      <c r="T78" s="24" t="str">
        <f>IF(P78="","",IFERROR(INDEX($AQ$11:$AQ$4010,MATCH($S$8&amp;"|"&amp;68,$BA$11:$BA$4010,0)),""))</f>
        <v/>
      </c>
      <c r="U78" s="38" t="str">
        <f t="shared" si="19"/>
        <v/>
      </c>
      <c r="W78" s="28" t="str">
        <f>IF(X78="","",IFERROR(INDEX($AL$11:$AL$4010,MATCH(68,$AY$11:$AY$4010,0)),""))</f>
        <v/>
      </c>
      <c r="X78" s="26" t="str">
        <f>IFERROR(INDEX($AM$11:$AM$4010,MATCH(68,$AY$11:$AY$4010,0)),"")</f>
        <v/>
      </c>
      <c r="Y78" s="25" t="str">
        <f>IF(X78="","",IFERROR(INDEX($AN$11:$AN$4010,MATCH(68,$AY$11:$AY$4010,0)),""))</f>
        <v/>
      </c>
      <c r="Z78" s="25" t="str">
        <f>IF(X78="","",IFERROR(INDEX($AO$11:$AO$4010,MATCH(68,$AY$11:$AY$4010,0)),""))</f>
        <v/>
      </c>
      <c r="AA78" s="24" t="str">
        <f>IF(X78="","",IFERROR(INDEX($AQ$11:$AQ$4010,MATCH(68,$AY$11:$AY$4010,0)),""))</f>
        <v/>
      </c>
      <c r="AB78" s="29" t="str">
        <f>IF(X78="","",IFERROR(INDEX($AR$11:$AR$4010,MATCH(68,$AY$11:$AY$4010,0)),""))</f>
        <v/>
      </c>
      <c r="AD78" s="30" t="str">
        <f>IF(AE78="","",IFERROR(INDEX($AL$11:$AL$4010,MATCH(68,$AZ$11:$AZ$4010,0)),""))</f>
        <v/>
      </c>
      <c r="AE78" s="26" t="str">
        <f>IFERROR(INDEX($AM$11:$AM$4010,MATCH(68,$AZ$11:$AZ$4010,0)),"")</f>
        <v/>
      </c>
      <c r="AF78" s="25" t="str">
        <f>IF(AE78="","",IFERROR(INDEX($AN$11:$AN$4010,MATCH(68,$AZ$11:$AZ$4010,0)),""))</f>
        <v/>
      </c>
      <c r="AG78" s="25" t="str">
        <f>IF(AE78="","",IFERROR(INDEX($AO$11:$AO$4010,MATCH(68,$AZ$11:$AZ$4010,0)),""))</f>
        <v/>
      </c>
      <c r="AH78" s="24" t="str">
        <f>IF(AE78="","",IFERROR(INDEX($AQ$11:$AQ$4010,MATCH(68,$AZ$11:$AZ$4010,0)),""))</f>
        <v/>
      </c>
      <c r="AI78" s="29" t="str">
        <f>IF(AE78="","",IFERROR(INDEX($AR$11:$AR$4010,MATCH(68,$AZ$11:$AZ$4010,0)),""))</f>
        <v/>
      </c>
      <c r="AJ78" s="29" t="str">
        <f>IF(AE78="","",IFERROR(INDEX($AT$11:$AT$4010,MATCH(68,$AZ$11:$AZ$4010,0)),""))</f>
        <v/>
      </c>
      <c r="AL78" s="31" t="str">
        <f t="shared" si="20"/>
        <v/>
      </c>
      <c r="AM78" s="26" t="str">
        <f t="shared" si="21"/>
        <v/>
      </c>
      <c r="AN78" s="32" t="str">
        <f t="shared" si="22"/>
        <v/>
      </c>
      <c r="AO78" s="32" t="str">
        <f t="shared" si="23"/>
        <v/>
      </c>
      <c r="AP78" s="24" t="str">
        <f t="shared" si="24"/>
        <v/>
      </c>
      <c r="AQ78" s="24" t="str">
        <f t="shared" si="25"/>
        <v/>
      </c>
      <c r="AR78" s="33" t="str">
        <f t="shared" si="26"/>
        <v/>
      </c>
      <c r="AS78" s="34"/>
      <c r="AT78" s="33"/>
      <c r="AV78" s="21">
        <f>IF(AND($AL78&lt;&gt;"",COUNTIF($AL$11:$AL78,$AL78)=1),1,0)</f>
        <v>0</v>
      </c>
      <c r="AW78" s="21">
        <f t="shared" si="28"/>
        <v>2</v>
      </c>
      <c r="AX78" s="21" t="str">
        <f t="shared" si="27"/>
        <v/>
      </c>
      <c r="AY78" s="21" t="str">
        <f>IF(AND($AM78&lt;&gt;"",$AS78&lt;&gt;"✓"),SUMPRODUCT(($AM$11:$AM78&lt;&gt;"")*($AS$11:$AS78&lt;&gt;"✓")),"")</f>
        <v/>
      </c>
      <c r="AZ78" s="21" t="str">
        <f>IF(AND($AM78&lt;&gt;"",$AS78="✓"),SUMPRODUCT(($AM$11:$AM78&lt;&gt;"")*($AS$11:$AS78="✓")),"")</f>
        <v/>
      </c>
      <c r="BA78" s="21" t="str">
        <f>IF($AL78="","",$AL78&amp;"|"&amp;COUNTIF($AL$11:$AL78,$AL78))</f>
        <v/>
      </c>
    </row>
    <row r="79" spans="2:69" ht="15" customHeight="1" x14ac:dyDescent="0.25">
      <c r="B79" s="5" t="str">
        <f t="shared" si="15"/>
        <v/>
      </c>
      <c r="C79" s="5"/>
      <c r="D79" s="5"/>
      <c r="E79" s="5"/>
      <c r="F79" s="6"/>
      <c r="G79" s="6"/>
      <c r="H79" s="7"/>
      <c r="I79" s="8"/>
      <c r="K79" s="9" t="str">
        <f>IFERROR(INDEX($AL$11:$AL$4010,MATCH(69,$AX$11:$AX$4010,0)),"")</f>
        <v/>
      </c>
      <c r="L79" s="10" t="str">
        <f t="shared" si="16"/>
        <v/>
      </c>
      <c r="M79" s="11" t="str">
        <f t="shared" si="17"/>
        <v/>
      </c>
      <c r="N79" s="11" t="str">
        <f t="shared" si="18"/>
        <v/>
      </c>
      <c r="P79" s="12" t="str">
        <f>IFERROR(INDEX($AM$11:$AM$4010,MATCH($S$8&amp;"|"&amp;69,$BA$11:$BA$4010,0)),"")</f>
        <v/>
      </c>
      <c r="Q79" s="11" t="str">
        <f>IF(P79="","",IFERROR(INDEX($AN$11:$AN$4010,MATCH($S$8&amp;"|"&amp;69,$BA$11:$BA$4010,0)),""))</f>
        <v/>
      </c>
      <c r="R79" s="11" t="str">
        <f>IF(P79="","",IFERROR(INDEX($AO$11:$AO$4010,MATCH($S$8&amp;"|"&amp;69,$BA$11:$BA$4010,0)),""))</f>
        <v/>
      </c>
      <c r="S79" s="10" t="str">
        <f>IF(P79="","",IFERROR(INDEX($AP$11:$AP$4010,MATCH($S$8&amp;"|"&amp;69,$BA$11:$BA$4010,0)),""))</f>
        <v/>
      </c>
      <c r="T79" s="10" t="str">
        <f>IF(P79="","",IFERROR(INDEX($AQ$11:$AQ$4010,MATCH($S$8&amp;"|"&amp;69,$BA$11:$BA$4010,0)),""))</f>
        <v/>
      </c>
      <c r="U79" s="39" t="str">
        <f t="shared" si="19"/>
        <v/>
      </c>
      <c r="W79" s="14" t="str">
        <f>IF(X79="","",IFERROR(INDEX($AL$11:$AL$4010,MATCH(69,$AY$11:$AY$4010,0)),""))</f>
        <v/>
      </c>
      <c r="X79" s="12" t="str">
        <f>IFERROR(INDEX($AM$11:$AM$4010,MATCH(69,$AY$11:$AY$4010,0)),"")</f>
        <v/>
      </c>
      <c r="Y79" s="11" t="str">
        <f>IF(X79="","",IFERROR(INDEX($AN$11:$AN$4010,MATCH(69,$AY$11:$AY$4010,0)),""))</f>
        <v/>
      </c>
      <c r="Z79" s="11" t="str">
        <f>IF(X79="","",IFERROR(INDEX($AO$11:$AO$4010,MATCH(69,$AY$11:$AY$4010,0)),""))</f>
        <v/>
      </c>
      <c r="AA79" s="10" t="str">
        <f>IF(X79="","",IFERROR(INDEX($AQ$11:$AQ$4010,MATCH(69,$AY$11:$AY$4010,0)),""))</f>
        <v/>
      </c>
      <c r="AB79" s="15" t="str">
        <f>IF(X79="","",IFERROR(INDEX($AR$11:$AR$4010,MATCH(69,$AY$11:$AY$4010,0)),""))</f>
        <v/>
      </c>
      <c r="AD79" s="16" t="str">
        <f>IF(AE79="","",IFERROR(INDEX($AL$11:$AL$4010,MATCH(69,$AZ$11:$AZ$4010,0)),""))</f>
        <v/>
      </c>
      <c r="AE79" s="12" t="str">
        <f>IFERROR(INDEX($AM$11:$AM$4010,MATCH(69,$AZ$11:$AZ$4010,0)),"")</f>
        <v/>
      </c>
      <c r="AF79" s="11" t="str">
        <f>IF(AE79="","",IFERROR(INDEX($AN$11:$AN$4010,MATCH(69,$AZ$11:$AZ$4010,0)),""))</f>
        <v/>
      </c>
      <c r="AG79" s="11" t="str">
        <f>IF(AE79="","",IFERROR(INDEX($AO$11:$AO$4010,MATCH(69,$AZ$11:$AZ$4010,0)),""))</f>
        <v/>
      </c>
      <c r="AH79" s="10" t="str">
        <f>IF(AE79="","",IFERROR(INDEX($AQ$11:$AQ$4010,MATCH(69,$AZ$11:$AZ$4010,0)),""))</f>
        <v/>
      </c>
      <c r="AI79" s="15" t="str">
        <f>IF(AE79="","",IFERROR(INDEX($AR$11:$AR$4010,MATCH(69,$AZ$11:$AZ$4010,0)),""))</f>
        <v/>
      </c>
      <c r="AJ79" s="15" t="str">
        <f>IF(AE79="","",IFERROR(INDEX($AT$11:$AT$4010,MATCH(69,$AZ$11:$AZ$4010,0)),""))</f>
        <v/>
      </c>
      <c r="AL79" s="17" t="str">
        <f t="shared" si="20"/>
        <v/>
      </c>
      <c r="AM79" s="12" t="str">
        <f t="shared" si="21"/>
        <v/>
      </c>
      <c r="AN79" s="18" t="str">
        <f t="shared" si="22"/>
        <v/>
      </c>
      <c r="AO79" s="18" t="str">
        <f t="shared" si="23"/>
        <v/>
      </c>
      <c r="AP79" s="10" t="str">
        <f t="shared" si="24"/>
        <v/>
      </c>
      <c r="AQ79" s="10" t="str">
        <f t="shared" si="25"/>
        <v/>
      </c>
      <c r="AR79" s="19" t="str">
        <f t="shared" si="26"/>
        <v/>
      </c>
      <c r="AS79" s="20"/>
      <c r="AT79" s="19"/>
      <c r="AV79" s="21">
        <f>IF(AND($AL79&lt;&gt;"",COUNTIF($AL$11:$AL79,$AL79)=1),1,0)</f>
        <v>0</v>
      </c>
      <c r="AW79" s="21">
        <f t="shared" si="28"/>
        <v>2</v>
      </c>
      <c r="AX79" s="21" t="str">
        <f t="shared" si="27"/>
        <v/>
      </c>
      <c r="AY79" s="21" t="str">
        <f>IF(AND($AM79&lt;&gt;"",$AS79&lt;&gt;"✓"),SUMPRODUCT(($AM$11:$AM79&lt;&gt;"")*($AS$11:$AS79&lt;&gt;"✓")),"")</f>
        <v/>
      </c>
      <c r="AZ79" s="21" t="str">
        <f>IF(AND($AM79&lt;&gt;"",$AS79="✓"),SUMPRODUCT(($AM$11:$AM79&lt;&gt;"")*($AS$11:$AS79="✓")),"")</f>
        <v/>
      </c>
      <c r="BA79" s="21" t="str">
        <f>IF($AL79="","",$AL79&amp;"|"&amp;COUNTIF($AL$11:$AL79,$AL79))</f>
        <v/>
      </c>
    </row>
    <row r="80" spans="2:69" ht="15" customHeight="1" x14ac:dyDescent="0.25">
      <c r="B80" s="5" t="str">
        <f t="shared" si="15"/>
        <v/>
      </c>
      <c r="C80" s="5"/>
      <c r="D80" s="5"/>
      <c r="E80" s="5"/>
      <c r="F80" s="6"/>
      <c r="G80" s="6"/>
      <c r="H80" s="7"/>
      <c r="I80" s="8"/>
      <c r="K80" s="23" t="str">
        <f>IFERROR(INDEX($AL$11:$AL$4010,MATCH(70,$AX$11:$AX$4010,0)),"")</f>
        <v/>
      </c>
      <c r="L80" s="24" t="str">
        <f t="shared" si="16"/>
        <v/>
      </c>
      <c r="M80" s="25" t="str">
        <f t="shared" si="17"/>
        <v/>
      </c>
      <c r="N80" s="25" t="str">
        <f t="shared" si="18"/>
        <v/>
      </c>
      <c r="P80" s="26" t="str">
        <f>IFERROR(INDEX($AM$11:$AM$4010,MATCH($S$8&amp;"|"&amp;70,$BA$11:$BA$4010,0)),"")</f>
        <v/>
      </c>
      <c r="Q80" s="25" t="str">
        <f>IF(P80="","",IFERROR(INDEX($AN$11:$AN$4010,MATCH($S$8&amp;"|"&amp;70,$BA$11:$BA$4010,0)),""))</f>
        <v/>
      </c>
      <c r="R80" s="25" t="str">
        <f>IF(P80="","",IFERROR(INDEX($AO$11:$AO$4010,MATCH($S$8&amp;"|"&amp;70,$BA$11:$BA$4010,0)),""))</f>
        <v/>
      </c>
      <c r="S80" s="24" t="str">
        <f>IF(P80="","",IFERROR(INDEX($AP$11:$AP$4010,MATCH($S$8&amp;"|"&amp;70,$BA$11:$BA$4010,0)),""))</f>
        <v/>
      </c>
      <c r="T80" s="24" t="str">
        <f>IF(P80="","",IFERROR(INDEX($AQ$11:$AQ$4010,MATCH($S$8&amp;"|"&amp;70,$BA$11:$BA$4010,0)),""))</f>
        <v/>
      </c>
      <c r="U80" s="38" t="str">
        <f t="shared" si="19"/>
        <v/>
      </c>
      <c r="W80" s="28" t="str">
        <f>IF(X80="","",IFERROR(INDEX($AL$11:$AL$4010,MATCH(70,$AY$11:$AY$4010,0)),""))</f>
        <v/>
      </c>
      <c r="X80" s="26" t="str">
        <f>IFERROR(INDEX($AM$11:$AM$4010,MATCH(70,$AY$11:$AY$4010,0)),"")</f>
        <v/>
      </c>
      <c r="Y80" s="25" t="str">
        <f>IF(X80="","",IFERROR(INDEX($AN$11:$AN$4010,MATCH(70,$AY$11:$AY$4010,0)),""))</f>
        <v/>
      </c>
      <c r="Z80" s="25" t="str">
        <f>IF(X80="","",IFERROR(INDEX($AO$11:$AO$4010,MATCH(70,$AY$11:$AY$4010,0)),""))</f>
        <v/>
      </c>
      <c r="AA80" s="24" t="str">
        <f>IF(X80="","",IFERROR(INDEX($AQ$11:$AQ$4010,MATCH(70,$AY$11:$AY$4010,0)),""))</f>
        <v/>
      </c>
      <c r="AB80" s="29" t="str">
        <f>IF(X80="","",IFERROR(INDEX($AR$11:$AR$4010,MATCH(70,$AY$11:$AY$4010,0)),""))</f>
        <v/>
      </c>
      <c r="AD80" s="30" t="str">
        <f>IF(AE80="","",IFERROR(INDEX($AL$11:$AL$4010,MATCH(70,$AZ$11:$AZ$4010,0)),""))</f>
        <v/>
      </c>
      <c r="AE80" s="26" t="str">
        <f>IFERROR(INDEX($AM$11:$AM$4010,MATCH(70,$AZ$11:$AZ$4010,0)),"")</f>
        <v/>
      </c>
      <c r="AF80" s="25" t="str">
        <f>IF(AE80="","",IFERROR(INDEX($AN$11:$AN$4010,MATCH(70,$AZ$11:$AZ$4010,0)),""))</f>
        <v/>
      </c>
      <c r="AG80" s="25" t="str">
        <f>IF(AE80="","",IFERROR(INDEX($AO$11:$AO$4010,MATCH(70,$AZ$11:$AZ$4010,0)),""))</f>
        <v/>
      </c>
      <c r="AH80" s="24" t="str">
        <f>IF(AE80="","",IFERROR(INDEX($AQ$11:$AQ$4010,MATCH(70,$AZ$11:$AZ$4010,0)),""))</f>
        <v/>
      </c>
      <c r="AI80" s="29" t="str">
        <f>IF(AE80="","",IFERROR(INDEX($AR$11:$AR$4010,MATCH(70,$AZ$11:$AZ$4010,0)),""))</f>
        <v/>
      </c>
      <c r="AJ80" s="29" t="str">
        <f>IF(AE80="","",IFERROR(INDEX($AT$11:$AT$4010,MATCH(70,$AZ$11:$AZ$4010,0)),""))</f>
        <v/>
      </c>
      <c r="AL80" s="31" t="str">
        <f t="shared" si="20"/>
        <v/>
      </c>
      <c r="AM80" s="26" t="str">
        <f t="shared" si="21"/>
        <v/>
      </c>
      <c r="AN80" s="32" t="str">
        <f t="shared" si="22"/>
        <v/>
      </c>
      <c r="AO80" s="32" t="str">
        <f t="shared" si="23"/>
        <v/>
      </c>
      <c r="AP80" s="24" t="str">
        <f t="shared" si="24"/>
        <v/>
      </c>
      <c r="AQ80" s="24" t="str">
        <f t="shared" si="25"/>
        <v/>
      </c>
      <c r="AR80" s="33" t="str">
        <f t="shared" si="26"/>
        <v/>
      </c>
      <c r="AS80" s="34"/>
      <c r="AT80" s="33"/>
      <c r="AV80" s="21">
        <f>IF(AND($AL80&lt;&gt;"",COUNTIF($AL$11:$AL80,$AL80)=1),1,0)</f>
        <v>0</v>
      </c>
      <c r="AW80" s="21">
        <f t="shared" si="28"/>
        <v>2</v>
      </c>
      <c r="AX80" s="21" t="str">
        <f t="shared" si="27"/>
        <v/>
      </c>
      <c r="AY80" s="21" t="str">
        <f>IF(AND($AM80&lt;&gt;"",$AS80&lt;&gt;"✓"),SUMPRODUCT(($AM$11:$AM80&lt;&gt;"")*($AS$11:$AS80&lt;&gt;"✓")),"")</f>
        <v/>
      </c>
      <c r="AZ80" s="21" t="str">
        <f>IF(AND($AM80&lt;&gt;"",$AS80="✓"),SUMPRODUCT(($AM$11:$AM80&lt;&gt;"")*($AS$11:$AS80="✓")),"")</f>
        <v/>
      </c>
      <c r="BA80" s="21" t="str">
        <f>IF($AL80="","",$AL80&amp;"|"&amp;COUNTIF($AL$11:$AL80,$AL80))</f>
        <v/>
      </c>
    </row>
    <row r="81" spans="2:53" ht="15" customHeight="1" x14ac:dyDescent="0.25">
      <c r="B81" s="5" t="str">
        <f t="shared" si="15"/>
        <v/>
      </c>
      <c r="C81" s="5"/>
      <c r="D81" s="5"/>
      <c r="E81" s="5"/>
      <c r="F81" s="6"/>
      <c r="G81" s="6"/>
      <c r="H81" s="7"/>
      <c r="I81" s="8"/>
      <c r="K81" s="9" t="str">
        <f>IFERROR(INDEX($AL$11:$AL$4010,MATCH(71,$AX$11:$AX$4010,0)),"")</f>
        <v/>
      </c>
      <c r="L81" s="10" t="str">
        <f t="shared" si="16"/>
        <v/>
      </c>
      <c r="M81" s="11" t="str">
        <f t="shared" si="17"/>
        <v/>
      </c>
      <c r="N81" s="11" t="str">
        <f t="shared" si="18"/>
        <v/>
      </c>
      <c r="P81" s="12" t="str">
        <f>IFERROR(INDEX($AM$11:$AM$4010,MATCH($S$8&amp;"|"&amp;71,$BA$11:$BA$4010,0)),"")</f>
        <v/>
      </c>
      <c r="Q81" s="11" t="str">
        <f>IF(P81="","",IFERROR(INDEX($AN$11:$AN$4010,MATCH($S$8&amp;"|"&amp;71,$BA$11:$BA$4010,0)),""))</f>
        <v/>
      </c>
      <c r="R81" s="11" t="str">
        <f>IF(P81="","",IFERROR(INDEX($AO$11:$AO$4010,MATCH($S$8&amp;"|"&amp;71,$BA$11:$BA$4010,0)),""))</f>
        <v/>
      </c>
      <c r="S81" s="10" t="str">
        <f>IF(P81="","",IFERROR(INDEX($AP$11:$AP$4010,MATCH($S$8&amp;"|"&amp;71,$BA$11:$BA$4010,0)),""))</f>
        <v/>
      </c>
      <c r="T81" s="10" t="str">
        <f>IF(P81="","",IFERROR(INDEX($AQ$11:$AQ$4010,MATCH($S$8&amp;"|"&amp;71,$BA$11:$BA$4010,0)),""))</f>
        <v/>
      </c>
      <c r="U81" s="39" t="str">
        <f t="shared" si="19"/>
        <v/>
      </c>
      <c r="W81" s="14" t="str">
        <f>IF(X81="","",IFERROR(INDEX($AL$11:$AL$4010,MATCH(71,$AY$11:$AY$4010,0)),""))</f>
        <v/>
      </c>
      <c r="X81" s="12" t="str">
        <f>IFERROR(INDEX($AM$11:$AM$4010,MATCH(71,$AY$11:$AY$4010,0)),"")</f>
        <v/>
      </c>
      <c r="Y81" s="11" t="str">
        <f>IF(X81="","",IFERROR(INDEX($AN$11:$AN$4010,MATCH(71,$AY$11:$AY$4010,0)),""))</f>
        <v/>
      </c>
      <c r="Z81" s="11" t="str">
        <f>IF(X81="","",IFERROR(INDEX($AO$11:$AO$4010,MATCH(71,$AY$11:$AY$4010,0)),""))</f>
        <v/>
      </c>
      <c r="AA81" s="10" t="str">
        <f>IF(X81="","",IFERROR(INDEX($AQ$11:$AQ$4010,MATCH(71,$AY$11:$AY$4010,0)),""))</f>
        <v/>
      </c>
      <c r="AB81" s="15" t="str">
        <f>IF(X81="","",IFERROR(INDEX($AR$11:$AR$4010,MATCH(71,$AY$11:$AY$4010,0)),""))</f>
        <v/>
      </c>
      <c r="AD81" s="16" t="str">
        <f>IF(AE81="","",IFERROR(INDEX($AL$11:$AL$4010,MATCH(71,$AZ$11:$AZ$4010,0)),""))</f>
        <v/>
      </c>
      <c r="AE81" s="12" t="str">
        <f>IFERROR(INDEX($AM$11:$AM$4010,MATCH(71,$AZ$11:$AZ$4010,0)),"")</f>
        <v/>
      </c>
      <c r="AF81" s="11" t="str">
        <f>IF(AE81="","",IFERROR(INDEX($AN$11:$AN$4010,MATCH(71,$AZ$11:$AZ$4010,0)),""))</f>
        <v/>
      </c>
      <c r="AG81" s="11" t="str">
        <f>IF(AE81="","",IFERROR(INDEX($AO$11:$AO$4010,MATCH(71,$AZ$11:$AZ$4010,0)),""))</f>
        <v/>
      </c>
      <c r="AH81" s="10" t="str">
        <f>IF(AE81="","",IFERROR(INDEX($AQ$11:$AQ$4010,MATCH(71,$AZ$11:$AZ$4010,0)),""))</f>
        <v/>
      </c>
      <c r="AI81" s="15" t="str">
        <f>IF(AE81="","",IFERROR(INDEX($AR$11:$AR$4010,MATCH(71,$AZ$11:$AZ$4010,0)),""))</f>
        <v/>
      </c>
      <c r="AJ81" s="15" t="str">
        <f>IF(AE81="","",IFERROR(INDEX($AT$11:$AT$4010,MATCH(71,$AZ$11:$AZ$4010,0)),""))</f>
        <v/>
      </c>
      <c r="AL81" s="17" t="str">
        <f t="shared" si="20"/>
        <v/>
      </c>
      <c r="AM81" s="12" t="str">
        <f t="shared" si="21"/>
        <v/>
      </c>
      <c r="AN81" s="18" t="str">
        <f t="shared" si="22"/>
        <v/>
      </c>
      <c r="AO81" s="18" t="str">
        <f t="shared" si="23"/>
        <v/>
      </c>
      <c r="AP81" s="10" t="str">
        <f t="shared" si="24"/>
        <v/>
      </c>
      <c r="AQ81" s="10" t="str">
        <f t="shared" si="25"/>
        <v/>
      </c>
      <c r="AR81" s="19" t="str">
        <f t="shared" si="26"/>
        <v/>
      </c>
      <c r="AS81" s="20"/>
      <c r="AT81" s="19"/>
      <c r="AV81" s="21">
        <f>IF(AND($AL81&lt;&gt;"",COUNTIF($AL$11:$AL81,$AL81)=1),1,0)</f>
        <v>0</v>
      </c>
      <c r="AW81" s="21">
        <f t="shared" si="28"/>
        <v>2</v>
      </c>
      <c r="AX81" s="21" t="str">
        <f t="shared" si="27"/>
        <v/>
      </c>
      <c r="AY81" s="21" t="str">
        <f>IF(AND($AM81&lt;&gt;"",$AS81&lt;&gt;"✓"),SUMPRODUCT(($AM$11:$AM81&lt;&gt;"")*($AS$11:$AS81&lt;&gt;"✓")),"")</f>
        <v/>
      </c>
      <c r="AZ81" s="21" t="str">
        <f>IF(AND($AM81&lt;&gt;"",$AS81="✓"),SUMPRODUCT(($AM$11:$AM81&lt;&gt;"")*($AS$11:$AS81="✓")),"")</f>
        <v/>
      </c>
      <c r="BA81" s="21" t="str">
        <f>IF($AL81="","",$AL81&amp;"|"&amp;COUNTIF($AL$11:$AL81,$AL81))</f>
        <v/>
      </c>
    </row>
    <row r="82" spans="2:53" ht="15" customHeight="1" x14ac:dyDescent="0.25">
      <c r="B82" s="5" t="str">
        <f t="shared" si="15"/>
        <v/>
      </c>
      <c r="C82" s="5"/>
      <c r="D82" s="5"/>
      <c r="E82" s="5"/>
      <c r="F82" s="6"/>
      <c r="G82" s="6"/>
      <c r="H82" s="7"/>
      <c r="I82" s="8"/>
      <c r="K82" s="23" t="str">
        <f>IFERROR(INDEX($AL$11:$AL$4010,MATCH(72,$AX$11:$AX$4010,0)),"")</f>
        <v/>
      </c>
      <c r="L82" s="24" t="str">
        <f t="shared" si="16"/>
        <v/>
      </c>
      <c r="M82" s="25" t="str">
        <f t="shared" si="17"/>
        <v/>
      </c>
      <c r="N82" s="25" t="str">
        <f t="shared" si="18"/>
        <v/>
      </c>
      <c r="P82" s="26" t="str">
        <f>IFERROR(INDEX($AM$11:$AM$4010,MATCH($S$8&amp;"|"&amp;72,$BA$11:$BA$4010,0)),"")</f>
        <v/>
      </c>
      <c r="Q82" s="25" t="str">
        <f>IF(P82="","",IFERROR(INDEX($AN$11:$AN$4010,MATCH($S$8&amp;"|"&amp;72,$BA$11:$BA$4010,0)),""))</f>
        <v/>
      </c>
      <c r="R82" s="25" t="str">
        <f>IF(P82="","",IFERROR(INDEX($AO$11:$AO$4010,MATCH($S$8&amp;"|"&amp;72,$BA$11:$BA$4010,0)),""))</f>
        <v/>
      </c>
      <c r="S82" s="24" t="str">
        <f>IF(P82="","",IFERROR(INDEX($AP$11:$AP$4010,MATCH($S$8&amp;"|"&amp;72,$BA$11:$BA$4010,0)),""))</f>
        <v/>
      </c>
      <c r="T82" s="24" t="str">
        <f>IF(P82="","",IFERROR(INDEX($AQ$11:$AQ$4010,MATCH($S$8&amp;"|"&amp;72,$BA$11:$BA$4010,0)),""))</f>
        <v/>
      </c>
      <c r="U82" s="38" t="str">
        <f t="shared" si="19"/>
        <v/>
      </c>
      <c r="W82" s="28" t="str">
        <f>IF(X82="","",IFERROR(INDEX($AL$11:$AL$4010,MATCH(72,$AY$11:$AY$4010,0)),""))</f>
        <v/>
      </c>
      <c r="X82" s="26" t="str">
        <f>IFERROR(INDEX($AM$11:$AM$4010,MATCH(72,$AY$11:$AY$4010,0)),"")</f>
        <v/>
      </c>
      <c r="Y82" s="25" t="str">
        <f>IF(X82="","",IFERROR(INDEX($AN$11:$AN$4010,MATCH(72,$AY$11:$AY$4010,0)),""))</f>
        <v/>
      </c>
      <c r="Z82" s="25" t="str">
        <f>IF(X82="","",IFERROR(INDEX($AO$11:$AO$4010,MATCH(72,$AY$11:$AY$4010,0)),""))</f>
        <v/>
      </c>
      <c r="AA82" s="24" t="str">
        <f>IF(X82="","",IFERROR(INDEX($AQ$11:$AQ$4010,MATCH(72,$AY$11:$AY$4010,0)),""))</f>
        <v/>
      </c>
      <c r="AB82" s="29" t="str">
        <f>IF(X82="","",IFERROR(INDEX($AR$11:$AR$4010,MATCH(72,$AY$11:$AY$4010,0)),""))</f>
        <v/>
      </c>
      <c r="AD82" s="30" t="str">
        <f>IF(AE82="","",IFERROR(INDEX($AL$11:$AL$4010,MATCH(72,$AZ$11:$AZ$4010,0)),""))</f>
        <v/>
      </c>
      <c r="AE82" s="26" t="str">
        <f>IFERROR(INDEX($AM$11:$AM$4010,MATCH(72,$AZ$11:$AZ$4010,0)),"")</f>
        <v/>
      </c>
      <c r="AF82" s="25" t="str">
        <f>IF(AE82="","",IFERROR(INDEX($AN$11:$AN$4010,MATCH(72,$AZ$11:$AZ$4010,0)),""))</f>
        <v/>
      </c>
      <c r="AG82" s="25" t="str">
        <f>IF(AE82="","",IFERROR(INDEX($AO$11:$AO$4010,MATCH(72,$AZ$11:$AZ$4010,0)),""))</f>
        <v/>
      </c>
      <c r="AH82" s="24" t="str">
        <f>IF(AE82="","",IFERROR(INDEX($AQ$11:$AQ$4010,MATCH(72,$AZ$11:$AZ$4010,0)),""))</f>
        <v/>
      </c>
      <c r="AI82" s="29" t="str">
        <f>IF(AE82="","",IFERROR(INDEX($AR$11:$AR$4010,MATCH(72,$AZ$11:$AZ$4010,0)),""))</f>
        <v/>
      </c>
      <c r="AJ82" s="29" t="str">
        <f>IF(AE82="","",IFERROR(INDEX($AT$11:$AT$4010,MATCH(72,$AZ$11:$AZ$4010,0)),""))</f>
        <v/>
      </c>
      <c r="AL82" s="31" t="str">
        <f t="shared" si="20"/>
        <v/>
      </c>
      <c r="AM82" s="26" t="str">
        <f t="shared" si="21"/>
        <v/>
      </c>
      <c r="AN82" s="32" t="str">
        <f t="shared" si="22"/>
        <v/>
      </c>
      <c r="AO82" s="32" t="str">
        <f t="shared" si="23"/>
        <v/>
      </c>
      <c r="AP82" s="24" t="str">
        <f t="shared" si="24"/>
        <v/>
      </c>
      <c r="AQ82" s="24" t="str">
        <f t="shared" si="25"/>
        <v/>
      </c>
      <c r="AR82" s="33" t="str">
        <f t="shared" si="26"/>
        <v/>
      </c>
      <c r="AS82" s="34"/>
      <c r="AT82" s="33"/>
      <c r="AV82" s="21">
        <f>IF(AND($AL82&lt;&gt;"",COUNTIF($AL$11:$AL82,$AL82)=1),1,0)</f>
        <v>0</v>
      </c>
      <c r="AW82" s="21">
        <f t="shared" si="28"/>
        <v>2</v>
      </c>
      <c r="AX82" s="21" t="str">
        <f t="shared" si="27"/>
        <v/>
      </c>
      <c r="AY82" s="21" t="str">
        <f>IF(AND($AM82&lt;&gt;"",$AS82&lt;&gt;"✓"),SUMPRODUCT(($AM$11:$AM82&lt;&gt;"")*($AS$11:$AS82&lt;&gt;"✓")),"")</f>
        <v/>
      </c>
      <c r="AZ82" s="21" t="str">
        <f>IF(AND($AM82&lt;&gt;"",$AS82="✓"),SUMPRODUCT(($AM$11:$AM82&lt;&gt;"")*($AS$11:$AS82="✓")),"")</f>
        <v/>
      </c>
      <c r="BA82" s="21" t="str">
        <f>IF($AL82="","",$AL82&amp;"|"&amp;COUNTIF($AL$11:$AL82,$AL82))</f>
        <v/>
      </c>
    </row>
    <row r="83" spans="2:53" ht="15" customHeight="1" x14ac:dyDescent="0.25">
      <c r="B83" s="5" t="str">
        <f t="shared" si="15"/>
        <v/>
      </c>
      <c r="C83" s="5"/>
      <c r="D83" s="5"/>
      <c r="E83" s="5"/>
      <c r="F83" s="6"/>
      <c r="G83" s="6"/>
      <c r="H83" s="7"/>
      <c r="I83" s="8"/>
      <c r="K83" s="9" t="str">
        <f>IFERROR(INDEX($AL$11:$AL$4010,MATCH(73,$AX$11:$AX$4010,0)),"")</f>
        <v/>
      </c>
      <c r="L83" s="10" t="str">
        <f t="shared" si="16"/>
        <v/>
      </c>
      <c r="M83" s="11" t="str">
        <f t="shared" si="17"/>
        <v/>
      </c>
      <c r="N83" s="11" t="str">
        <f t="shared" si="18"/>
        <v/>
      </c>
      <c r="P83" s="12" t="str">
        <f>IFERROR(INDEX($AM$11:$AM$4010,MATCH($S$8&amp;"|"&amp;73,$BA$11:$BA$4010,0)),"")</f>
        <v/>
      </c>
      <c r="Q83" s="11" t="str">
        <f>IF(P83="","",IFERROR(INDEX($AN$11:$AN$4010,MATCH($S$8&amp;"|"&amp;73,$BA$11:$BA$4010,0)),""))</f>
        <v/>
      </c>
      <c r="R83" s="11" t="str">
        <f>IF(P83="","",IFERROR(INDEX($AO$11:$AO$4010,MATCH($S$8&amp;"|"&amp;73,$BA$11:$BA$4010,0)),""))</f>
        <v/>
      </c>
      <c r="S83" s="10" t="str">
        <f>IF(P83="","",IFERROR(INDEX($AP$11:$AP$4010,MATCH($S$8&amp;"|"&amp;73,$BA$11:$BA$4010,0)),""))</f>
        <v/>
      </c>
      <c r="T83" s="10" t="str">
        <f>IF(P83="","",IFERROR(INDEX($AQ$11:$AQ$4010,MATCH($S$8&amp;"|"&amp;73,$BA$11:$BA$4010,0)),""))</f>
        <v/>
      </c>
      <c r="U83" s="39" t="str">
        <f t="shared" si="19"/>
        <v/>
      </c>
      <c r="W83" s="14" t="str">
        <f>IF(X83="","",IFERROR(INDEX($AL$11:$AL$4010,MATCH(73,$AY$11:$AY$4010,0)),""))</f>
        <v/>
      </c>
      <c r="X83" s="12" t="str">
        <f>IFERROR(INDEX($AM$11:$AM$4010,MATCH(73,$AY$11:$AY$4010,0)),"")</f>
        <v/>
      </c>
      <c r="Y83" s="11" t="str">
        <f>IF(X83="","",IFERROR(INDEX($AN$11:$AN$4010,MATCH(73,$AY$11:$AY$4010,0)),""))</f>
        <v/>
      </c>
      <c r="Z83" s="11" t="str">
        <f>IF(X83="","",IFERROR(INDEX($AO$11:$AO$4010,MATCH(73,$AY$11:$AY$4010,0)),""))</f>
        <v/>
      </c>
      <c r="AA83" s="10" t="str">
        <f>IF(X83="","",IFERROR(INDEX($AQ$11:$AQ$4010,MATCH(73,$AY$11:$AY$4010,0)),""))</f>
        <v/>
      </c>
      <c r="AB83" s="15" t="str">
        <f>IF(X83="","",IFERROR(INDEX($AR$11:$AR$4010,MATCH(73,$AY$11:$AY$4010,0)),""))</f>
        <v/>
      </c>
      <c r="AD83" s="16" t="str">
        <f>IF(AE83="","",IFERROR(INDEX($AL$11:$AL$4010,MATCH(73,$AZ$11:$AZ$4010,0)),""))</f>
        <v/>
      </c>
      <c r="AE83" s="12" t="str">
        <f>IFERROR(INDEX($AM$11:$AM$4010,MATCH(73,$AZ$11:$AZ$4010,0)),"")</f>
        <v/>
      </c>
      <c r="AF83" s="11" t="str">
        <f>IF(AE83="","",IFERROR(INDEX($AN$11:$AN$4010,MATCH(73,$AZ$11:$AZ$4010,0)),""))</f>
        <v/>
      </c>
      <c r="AG83" s="11" t="str">
        <f>IF(AE83="","",IFERROR(INDEX($AO$11:$AO$4010,MATCH(73,$AZ$11:$AZ$4010,0)),""))</f>
        <v/>
      </c>
      <c r="AH83" s="10" t="str">
        <f>IF(AE83="","",IFERROR(INDEX($AQ$11:$AQ$4010,MATCH(73,$AZ$11:$AZ$4010,0)),""))</f>
        <v/>
      </c>
      <c r="AI83" s="15" t="str">
        <f>IF(AE83="","",IFERROR(INDEX($AR$11:$AR$4010,MATCH(73,$AZ$11:$AZ$4010,0)),""))</f>
        <v/>
      </c>
      <c r="AJ83" s="15" t="str">
        <f>IF(AE83="","",IFERROR(INDEX($AT$11:$AT$4010,MATCH(73,$AZ$11:$AZ$4010,0)),""))</f>
        <v/>
      </c>
      <c r="AL83" s="17" t="str">
        <f t="shared" si="20"/>
        <v/>
      </c>
      <c r="AM83" s="12" t="str">
        <f t="shared" si="21"/>
        <v/>
      </c>
      <c r="AN83" s="18" t="str">
        <f t="shared" si="22"/>
        <v/>
      </c>
      <c r="AO83" s="18" t="str">
        <f t="shared" si="23"/>
        <v/>
      </c>
      <c r="AP83" s="10" t="str">
        <f t="shared" si="24"/>
        <v/>
      </c>
      <c r="AQ83" s="10" t="str">
        <f t="shared" si="25"/>
        <v/>
      </c>
      <c r="AR83" s="19" t="str">
        <f t="shared" si="26"/>
        <v/>
      </c>
      <c r="AS83" s="20"/>
      <c r="AT83" s="19"/>
      <c r="AV83" s="21">
        <f>IF(AND($AL83&lt;&gt;"",COUNTIF($AL$11:$AL83,$AL83)=1),1,0)</f>
        <v>0</v>
      </c>
      <c r="AW83" s="21">
        <f t="shared" si="28"/>
        <v>2</v>
      </c>
      <c r="AX83" s="21" t="str">
        <f t="shared" si="27"/>
        <v/>
      </c>
      <c r="AY83" s="21" t="str">
        <f>IF(AND($AM83&lt;&gt;"",$AS83&lt;&gt;"✓"),SUMPRODUCT(($AM$11:$AM83&lt;&gt;"")*($AS$11:$AS83&lt;&gt;"✓")),"")</f>
        <v/>
      </c>
      <c r="AZ83" s="21" t="str">
        <f>IF(AND($AM83&lt;&gt;"",$AS83="✓"),SUMPRODUCT(($AM$11:$AM83&lt;&gt;"")*($AS$11:$AS83="✓")),"")</f>
        <v/>
      </c>
      <c r="BA83" s="21" t="str">
        <f>IF($AL83="","",$AL83&amp;"|"&amp;COUNTIF($AL$11:$AL83,$AL83))</f>
        <v/>
      </c>
    </row>
    <row r="84" spans="2:53" ht="15" customHeight="1" x14ac:dyDescent="0.25">
      <c r="B84" s="5" t="str">
        <f t="shared" si="15"/>
        <v/>
      </c>
      <c r="C84" s="5"/>
      <c r="D84" s="5"/>
      <c r="E84" s="5"/>
      <c r="F84" s="6"/>
      <c r="G84" s="6"/>
      <c r="H84" s="7"/>
      <c r="I84" s="8"/>
      <c r="K84" s="23" t="str">
        <f>IFERROR(INDEX($AL$11:$AL$4010,MATCH(74,$AX$11:$AX$4010,0)),"")</f>
        <v/>
      </c>
      <c r="L84" s="24" t="str">
        <f t="shared" si="16"/>
        <v/>
      </c>
      <c r="M84" s="25" t="str">
        <f t="shared" si="17"/>
        <v/>
      </c>
      <c r="N84" s="25" t="str">
        <f t="shared" si="18"/>
        <v/>
      </c>
      <c r="P84" s="26" t="str">
        <f>IFERROR(INDEX($AM$11:$AM$4010,MATCH($S$8&amp;"|"&amp;74,$BA$11:$BA$4010,0)),"")</f>
        <v/>
      </c>
      <c r="Q84" s="25" t="str">
        <f>IF(P84="","",IFERROR(INDEX($AN$11:$AN$4010,MATCH($S$8&amp;"|"&amp;74,$BA$11:$BA$4010,0)),""))</f>
        <v/>
      </c>
      <c r="R84" s="25" t="str">
        <f>IF(P84="","",IFERROR(INDEX($AO$11:$AO$4010,MATCH($S$8&amp;"|"&amp;74,$BA$11:$BA$4010,0)),""))</f>
        <v/>
      </c>
      <c r="S84" s="24" t="str">
        <f>IF(P84="","",IFERROR(INDEX($AP$11:$AP$4010,MATCH($S$8&amp;"|"&amp;74,$BA$11:$BA$4010,0)),""))</f>
        <v/>
      </c>
      <c r="T84" s="24" t="str">
        <f>IF(P84="","",IFERROR(INDEX($AQ$11:$AQ$4010,MATCH($S$8&amp;"|"&amp;74,$BA$11:$BA$4010,0)),""))</f>
        <v/>
      </c>
      <c r="U84" s="38" t="str">
        <f t="shared" si="19"/>
        <v/>
      </c>
      <c r="W84" s="28" t="str">
        <f>IF(X84="","",IFERROR(INDEX($AL$11:$AL$4010,MATCH(74,$AY$11:$AY$4010,0)),""))</f>
        <v/>
      </c>
      <c r="X84" s="26" t="str">
        <f>IFERROR(INDEX($AM$11:$AM$4010,MATCH(74,$AY$11:$AY$4010,0)),"")</f>
        <v/>
      </c>
      <c r="Y84" s="25" t="str">
        <f>IF(X84="","",IFERROR(INDEX($AN$11:$AN$4010,MATCH(74,$AY$11:$AY$4010,0)),""))</f>
        <v/>
      </c>
      <c r="Z84" s="25" t="str">
        <f>IF(X84="","",IFERROR(INDEX($AO$11:$AO$4010,MATCH(74,$AY$11:$AY$4010,0)),""))</f>
        <v/>
      </c>
      <c r="AA84" s="24" t="str">
        <f>IF(X84="","",IFERROR(INDEX($AQ$11:$AQ$4010,MATCH(74,$AY$11:$AY$4010,0)),""))</f>
        <v/>
      </c>
      <c r="AB84" s="29" t="str">
        <f>IF(X84="","",IFERROR(INDEX($AR$11:$AR$4010,MATCH(74,$AY$11:$AY$4010,0)),""))</f>
        <v/>
      </c>
      <c r="AD84" s="30" t="str">
        <f>IF(AE84="","",IFERROR(INDEX($AL$11:$AL$4010,MATCH(74,$AZ$11:$AZ$4010,0)),""))</f>
        <v/>
      </c>
      <c r="AE84" s="26" t="str">
        <f>IFERROR(INDEX($AM$11:$AM$4010,MATCH(74,$AZ$11:$AZ$4010,0)),"")</f>
        <v/>
      </c>
      <c r="AF84" s="25" t="str">
        <f>IF(AE84="","",IFERROR(INDEX($AN$11:$AN$4010,MATCH(74,$AZ$11:$AZ$4010,0)),""))</f>
        <v/>
      </c>
      <c r="AG84" s="25" t="str">
        <f>IF(AE84="","",IFERROR(INDEX($AO$11:$AO$4010,MATCH(74,$AZ$11:$AZ$4010,0)),""))</f>
        <v/>
      </c>
      <c r="AH84" s="24" t="str">
        <f>IF(AE84="","",IFERROR(INDEX($AQ$11:$AQ$4010,MATCH(74,$AZ$11:$AZ$4010,0)),""))</f>
        <v/>
      </c>
      <c r="AI84" s="29" t="str">
        <f>IF(AE84="","",IFERROR(INDEX($AR$11:$AR$4010,MATCH(74,$AZ$11:$AZ$4010,0)),""))</f>
        <v/>
      </c>
      <c r="AJ84" s="29" t="str">
        <f>IF(AE84="","",IFERROR(INDEX($AT$11:$AT$4010,MATCH(74,$AZ$11:$AZ$4010,0)),""))</f>
        <v/>
      </c>
      <c r="AL84" s="31" t="str">
        <f t="shared" si="20"/>
        <v/>
      </c>
      <c r="AM84" s="26" t="str">
        <f t="shared" si="21"/>
        <v/>
      </c>
      <c r="AN84" s="32" t="str">
        <f t="shared" si="22"/>
        <v/>
      </c>
      <c r="AO84" s="32" t="str">
        <f t="shared" si="23"/>
        <v/>
      </c>
      <c r="AP84" s="24" t="str">
        <f t="shared" si="24"/>
        <v/>
      </c>
      <c r="AQ84" s="24" t="str">
        <f t="shared" si="25"/>
        <v/>
      </c>
      <c r="AR84" s="33" t="str">
        <f t="shared" si="26"/>
        <v/>
      </c>
      <c r="AS84" s="34"/>
      <c r="AT84" s="33"/>
      <c r="AV84" s="21">
        <f>IF(AND($AL84&lt;&gt;"",COUNTIF($AL$11:$AL84,$AL84)=1),1,0)</f>
        <v>0</v>
      </c>
      <c r="AW84" s="21">
        <f t="shared" si="28"/>
        <v>2</v>
      </c>
      <c r="AX84" s="21" t="str">
        <f t="shared" si="27"/>
        <v/>
      </c>
      <c r="AY84" s="21" t="str">
        <f>IF(AND($AM84&lt;&gt;"",$AS84&lt;&gt;"✓"),SUMPRODUCT(($AM$11:$AM84&lt;&gt;"")*($AS$11:$AS84&lt;&gt;"✓")),"")</f>
        <v/>
      </c>
      <c r="AZ84" s="21" t="str">
        <f>IF(AND($AM84&lt;&gt;"",$AS84="✓"),SUMPRODUCT(($AM$11:$AM84&lt;&gt;"")*($AS$11:$AS84="✓")),"")</f>
        <v/>
      </c>
      <c r="BA84" s="21" t="str">
        <f>IF($AL84="","",$AL84&amp;"|"&amp;COUNTIF($AL$11:$AL84,$AL84))</f>
        <v/>
      </c>
    </row>
    <row r="85" spans="2:53" ht="15" customHeight="1" x14ac:dyDescent="0.25">
      <c r="B85" s="5" t="str">
        <f t="shared" si="15"/>
        <v/>
      </c>
      <c r="C85" s="5"/>
      <c r="D85" s="5"/>
      <c r="E85" s="5"/>
      <c r="F85" s="6"/>
      <c r="G85" s="6"/>
      <c r="H85" s="7"/>
      <c r="I85" s="8"/>
      <c r="K85" s="9" t="str">
        <f>IFERROR(INDEX($AL$11:$AL$4010,MATCH(75,$AX$11:$AX$4010,0)),"")</f>
        <v/>
      </c>
      <c r="L85" s="10" t="str">
        <f t="shared" si="16"/>
        <v/>
      </c>
      <c r="M85" s="11" t="str">
        <f t="shared" si="17"/>
        <v/>
      </c>
      <c r="N85" s="11" t="str">
        <f t="shared" si="18"/>
        <v/>
      </c>
      <c r="P85" s="12" t="str">
        <f>IFERROR(INDEX($AM$11:$AM$4010,MATCH($S$8&amp;"|"&amp;75,$BA$11:$BA$4010,0)),"")</f>
        <v/>
      </c>
      <c r="Q85" s="11" t="str">
        <f>IF(P85="","",IFERROR(INDEX($AN$11:$AN$4010,MATCH($S$8&amp;"|"&amp;75,$BA$11:$BA$4010,0)),""))</f>
        <v/>
      </c>
      <c r="R85" s="11" t="str">
        <f>IF(P85="","",IFERROR(INDEX($AO$11:$AO$4010,MATCH($S$8&amp;"|"&amp;75,$BA$11:$BA$4010,0)),""))</f>
        <v/>
      </c>
      <c r="S85" s="10" t="str">
        <f>IF(P85="","",IFERROR(INDEX($AP$11:$AP$4010,MATCH($S$8&amp;"|"&amp;75,$BA$11:$BA$4010,0)),""))</f>
        <v/>
      </c>
      <c r="T85" s="10" t="str">
        <f>IF(P85="","",IFERROR(INDEX($AQ$11:$AQ$4010,MATCH($S$8&amp;"|"&amp;75,$BA$11:$BA$4010,0)),""))</f>
        <v/>
      </c>
      <c r="U85" s="39" t="str">
        <f t="shared" si="19"/>
        <v/>
      </c>
      <c r="W85" s="14" t="str">
        <f>IF(X85="","",IFERROR(INDEX($AL$11:$AL$4010,MATCH(75,$AY$11:$AY$4010,0)),""))</f>
        <v/>
      </c>
      <c r="X85" s="12" t="str">
        <f>IFERROR(INDEX($AM$11:$AM$4010,MATCH(75,$AY$11:$AY$4010,0)),"")</f>
        <v/>
      </c>
      <c r="Y85" s="11" t="str">
        <f>IF(X85="","",IFERROR(INDEX($AN$11:$AN$4010,MATCH(75,$AY$11:$AY$4010,0)),""))</f>
        <v/>
      </c>
      <c r="Z85" s="11" t="str">
        <f>IF(X85="","",IFERROR(INDEX($AO$11:$AO$4010,MATCH(75,$AY$11:$AY$4010,0)),""))</f>
        <v/>
      </c>
      <c r="AA85" s="10" t="str">
        <f>IF(X85="","",IFERROR(INDEX($AQ$11:$AQ$4010,MATCH(75,$AY$11:$AY$4010,0)),""))</f>
        <v/>
      </c>
      <c r="AB85" s="15" t="str">
        <f>IF(X85="","",IFERROR(INDEX($AR$11:$AR$4010,MATCH(75,$AY$11:$AY$4010,0)),""))</f>
        <v/>
      </c>
      <c r="AD85" s="16" t="str">
        <f>IF(AE85="","",IFERROR(INDEX($AL$11:$AL$4010,MATCH(75,$AZ$11:$AZ$4010,0)),""))</f>
        <v/>
      </c>
      <c r="AE85" s="12" t="str">
        <f>IFERROR(INDEX($AM$11:$AM$4010,MATCH(75,$AZ$11:$AZ$4010,0)),"")</f>
        <v/>
      </c>
      <c r="AF85" s="11" t="str">
        <f>IF(AE85="","",IFERROR(INDEX($AN$11:$AN$4010,MATCH(75,$AZ$11:$AZ$4010,0)),""))</f>
        <v/>
      </c>
      <c r="AG85" s="11" t="str">
        <f>IF(AE85="","",IFERROR(INDEX($AO$11:$AO$4010,MATCH(75,$AZ$11:$AZ$4010,0)),""))</f>
        <v/>
      </c>
      <c r="AH85" s="10" t="str">
        <f>IF(AE85="","",IFERROR(INDEX($AQ$11:$AQ$4010,MATCH(75,$AZ$11:$AZ$4010,0)),""))</f>
        <v/>
      </c>
      <c r="AI85" s="15" t="str">
        <f>IF(AE85="","",IFERROR(INDEX($AR$11:$AR$4010,MATCH(75,$AZ$11:$AZ$4010,0)),""))</f>
        <v/>
      </c>
      <c r="AJ85" s="15" t="str">
        <f>IF(AE85="","",IFERROR(INDEX($AT$11:$AT$4010,MATCH(75,$AZ$11:$AZ$4010,0)),""))</f>
        <v/>
      </c>
      <c r="AL85" s="17" t="str">
        <f t="shared" si="20"/>
        <v/>
      </c>
      <c r="AM85" s="12" t="str">
        <f t="shared" si="21"/>
        <v/>
      </c>
      <c r="AN85" s="18" t="str">
        <f t="shared" si="22"/>
        <v/>
      </c>
      <c r="AO85" s="18" t="str">
        <f t="shared" si="23"/>
        <v/>
      </c>
      <c r="AP85" s="10" t="str">
        <f t="shared" si="24"/>
        <v/>
      </c>
      <c r="AQ85" s="10" t="str">
        <f t="shared" si="25"/>
        <v/>
      </c>
      <c r="AR85" s="19" t="str">
        <f t="shared" si="26"/>
        <v/>
      </c>
      <c r="AS85" s="20"/>
      <c r="AT85" s="19"/>
      <c r="AV85" s="21">
        <f>IF(AND($AL85&lt;&gt;"",COUNTIF($AL$11:$AL85,$AL85)=1),1,0)</f>
        <v>0</v>
      </c>
      <c r="AW85" s="21">
        <f t="shared" si="28"/>
        <v>2</v>
      </c>
      <c r="AX85" s="21" t="str">
        <f t="shared" si="27"/>
        <v/>
      </c>
      <c r="AY85" s="21" t="str">
        <f>IF(AND($AM85&lt;&gt;"",$AS85&lt;&gt;"✓"),SUMPRODUCT(($AM$11:$AM85&lt;&gt;"")*($AS$11:$AS85&lt;&gt;"✓")),"")</f>
        <v/>
      </c>
      <c r="AZ85" s="21" t="str">
        <f>IF(AND($AM85&lt;&gt;"",$AS85="✓"),SUMPRODUCT(($AM$11:$AM85&lt;&gt;"")*($AS$11:$AS85="✓")),"")</f>
        <v/>
      </c>
      <c r="BA85" s="21" t="str">
        <f>IF($AL85="","",$AL85&amp;"|"&amp;COUNTIF($AL$11:$AL85,$AL85))</f>
        <v/>
      </c>
    </row>
    <row r="86" spans="2:53" ht="15" customHeight="1" x14ac:dyDescent="0.25">
      <c r="B86" s="5" t="str">
        <f t="shared" si="15"/>
        <v/>
      </c>
      <c r="C86" s="5"/>
      <c r="D86" s="5"/>
      <c r="E86" s="5"/>
      <c r="F86" s="6"/>
      <c r="G86" s="6"/>
      <c r="H86" s="7"/>
      <c r="I86" s="8"/>
      <c r="K86" s="23" t="str">
        <f>IFERROR(INDEX($AL$11:$AL$4010,MATCH(76,$AX$11:$AX$4010,0)),"")</f>
        <v/>
      </c>
      <c r="L86" s="24" t="str">
        <f t="shared" si="16"/>
        <v/>
      </c>
      <c r="M86" s="25" t="str">
        <f t="shared" si="17"/>
        <v/>
      </c>
      <c r="N86" s="25" t="str">
        <f t="shared" si="18"/>
        <v/>
      </c>
      <c r="P86" s="26" t="str">
        <f>IFERROR(INDEX($AM$11:$AM$4010,MATCH($S$8&amp;"|"&amp;76,$BA$11:$BA$4010,0)),"")</f>
        <v/>
      </c>
      <c r="Q86" s="25" t="str">
        <f>IF(P86="","",IFERROR(INDEX($AN$11:$AN$4010,MATCH($S$8&amp;"|"&amp;76,$BA$11:$BA$4010,0)),""))</f>
        <v/>
      </c>
      <c r="R86" s="25" t="str">
        <f>IF(P86="","",IFERROR(INDEX($AO$11:$AO$4010,MATCH($S$8&amp;"|"&amp;76,$BA$11:$BA$4010,0)),""))</f>
        <v/>
      </c>
      <c r="S86" s="24" t="str">
        <f>IF(P86="","",IFERROR(INDEX($AP$11:$AP$4010,MATCH($S$8&amp;"|"&amp;76,$BA$11:$BA$4010,0)),""))</f>
        <v/>
      </c>
      <c r="T86" s="24" t="str">
        <f>IF(P86="","",IFERROR(INDEX($AQ$11:$AQ$4010,MATCH($S$8&amp;"|"&amp;76,$BA$11:$BA$4010,0)),""))</f>
        <v/>
      </c>
      <c r="U86" s="38" t="str">
        <f t="shared" si="19"/>
        <v/>
      </c>
      <c r="W86" s="28" t="str">
        <f>IF(X86="","",IFERROR(INDEX($AL$11:$AL$4010,MATCH(76,$AY$11:$AY$4010,0)),""))</f>
        <v/>
      </c>
      <c r="X86" s="26" t="str">
        <f>IFERROR(INDEX($AM$11:$AM$4010,MATCH(76,$AY$11:$AY$4010,0)),"")</f>
        <v/>
      </c>
      <c r="Y86" s="25" t="str">
        <f>IF(X86="","",IFERROR(INDEX($AN$11:$AN$4010,MATCH(76,$AY$11:$AY$4010,0)),""))</f>
        <v/>
      </c>
      <c r="Z86" s="25" t="str">
        <f>IF(X86="","",IFERROR(INDEX($AO$11:$AO$4010,MATCH(76,$AY$11:$AY$4010,0)),""))</f>
        <v/>
      </c>
      <c r="AA86" s="24" t="str">
        <f>IF(X86="","",IFERROR(INDEX($AQ$11:$AQ$4010,MATCH(76,$AY$11:$AY$4010,0)),""))</f>
        <v/>
      </c>
      <c r="AB86" s="29" t="str">
        <f>IF(X86="","",IFERROR(INDEX($AR$11:$AR$4010,MATCH(76,$AY$11:$AY$4010,0)),""))</f>
        <v/>
      </c>
      <c r="AD86" s="30" t="str">
        <f>IF(AE86="","",IFERROR(INDEX($AL$11:$AL$4010,MATCH(76,$AZ$11:$AZ$4010,0)),""))</f>
        <v/>
      </c>
      <c r="AE86" s="26" t="str">
        <f>IFERROR(INDEX($AM$11:$AM$4010,MATCH(76,$AZ$11:$AZ$4010,0)),"")</f>
        <v/>
      </c>
      <c r="AF86" s="25" t="str">
        <f>IF(AE86="","",IFERROR(INDEX($AN$11:$AN$4010,MATCH(76,$AZ$11:$AZ$4010,0)),""))</f>
        <v/>
      </c>
      <c r="AG86" s="25" t="str">
        <f>IF(AE86="","",IFERROR(INDEX($AO$11:$AO$4010,MATCH(76,$AZ$11:$AZ$4010,0)),""))</f>
        <v/>
      </c>
      <c r="AH86" s="24" t="str">
        <f>IF(AE86="","",IFERROR(INDEX($AQ$11:$AQ$4010,MATCH(76,$AZ$11:$AZ$4010,0)),""))</f>
        <v/>
      </c>
      <c r="AI86" s="29" t="str">
        <f>IF(AE86="","",IFERROR(INDEX($AR$11:$AR$4010,MATCH(76,$AZ$11:$AZ$4010,0)),""))</f>
        <v/>
      </c>
      <c r="AJ86" s="29" t="str">
        <f>IF(AE86="","",IFERROR(INDEX($AT$11:$AT$4010,MATCH(76,$AZ$11:$AZ$4010,0)),""))</f>
        <v/>
      </c>
      <c r="AL86" s="31" t="str">
        <f t="shared" si="20"/>
        <v/>
      </c>
      <c r="AM86" s="26" t="str">
        <f t="shared" si="21"/>
        <v/>
      </c>
      <c r="AN86" s="32" t="str">
        <f t="shared" si="22"/>
        <v/>
      </c>
      <c r="AO86" s="32" t="str">
        <f t="shared" si="23"/>
        <v/>
      </c>
      <c r="AP86" s="24" t="str">
        <f t="shared" si="24"/>
        <v/>
      </c>
      <c r="AQ86" s="24" t="str">
        <f t="shared" si="25"/>
        <v/>
      </c>
      <c r="AR86" s="33" t="str">
        <f t="shared" si="26"/>
        <v/>
      </c>
      <c r="AS86" s="34"/>
      <c r="AT86" s="33"/>
      <c r="AV86" s="21">
        <f>IF(AND($AL86&lt;&gt;"",COUNTIF($AL$11:$AL86,$AL86)=1),1,0)</f>
        <v>0</v>
      </c>
      <c r="AW86" s="21">
        <f t="shared" si="28"/>
        <v>2</v>
      </c>
      <c r="AX86" s="21" t="str">
        <f t="shared" si="27"/>
        <v/>
      </c>
      <c r="AY86" s="21" t="str">
        <f>IF(AND($AM86&lt;&gt;"",$AS86&lt;&gt;"✓"),SUMPRODUCT(($AM$11:$AM86&lt;&gt;"")*($AS$11:$AS86&lt;&gt;"✓")),"")</f>
        <v/>
      </c>
      <c r="AZ86" s="21" t="str">
        <f>IF(AND($AM86&lt;&gt;"",$AS86="✓"),SUMPRODUCT(($AM$11:$AM86&lt;&gt;"")*($AS$11:$AS86="✓")),"")</f>
        <v/>
      </c>
      <c r="BA86" s="21" t="str">
        <f>IF($AL86="","",$AL86&amp;"|"&amp;COUNTIF($AL$11:$AL86,$AL86))</f>
        <v/>
      </c>
    </row>
    <row r="87" spans="2:53" ht="15" customHeight="1" x14ac:dyDescent="0.25">
      <c r="B87" s="5" t="str">
        <f t="shared" si="15"/>
        <v/>
      </c>
      <c r="C87" s="5"/>
      <c r="D87" s="5"/>
      <c r="E87" s="5"/>
      <c r="F87" s="6"/>
      <c r="G87" s="6"/>
      <c r="H87" s="7"/>
      <c r="I87" s="8"/>
      <c r="K87" s="9" t="str">
        <f>IFERROR(INDEX($AL$11:$AL$4010,MATCH(77,$AX$11:$AX$4010,0)),"")</f>
        <v/>
      </c>
      <c r="L87" s="10" t="str">
        <f t="shared" si="16"/>
        <v/>
      </c>
      <c r="M87" s="11" t="str">
        <f t="shared" si="17"/>
        <v/>
      </c>
      <c r="N87" s="11" t="str">
        <f t="shared" si="18"/>
        <v/>
      </c>
      <c r="P87" s="12" t="str">
        <f>IFERROR(INDEX($AM$11:$AM$4010,MATCH($S$8&amp;"|"&amp;77,$BA$11:$BA$4010,0)),"")</f>
        <v/>
      </c>
      <c r="Q87" s="11" t="str">
        <f>IF(P87="","",IFERROR(INDEX($AN$11:$AN$4010,MATCH($S$8&amp;"|"&amp;77,$BA$11:$BA$4010,0)),""))</f>
        <v/>
      </c>
      <c r="R87" s="11" t="str">
        <f>IF(P87="","",IFERROR(INDEX($AO$11:$AO$4010,MATCH($S$8&amp;"|"&amp;77,$BA$11:$BA$4010,0)),""))</f>
        <v/>
      </c>
      <c r="S87" s="10" t="str">
        <f>IF(P87="","",IFERROR(INDEX($AP$11:$AP$4010,MATCH($S$8&amp;"|"&amp;77,$BA$11:$BA$4010,0)),""))</f>
        <v/>
      </c>
      <c r="T87" s="10" t="str">
        <f>IF(P87="","",IFERROR(INDEX($AQ$11:$AQ$4010,MATCH($S$8&amp;"|"&amp;77,$BA$11:$BA$4010,0)),""))</f>
        <v/>
      </c>
      <c r="U87" s="39" t="str">
        <f t="shared" si="19"/>
        <v/>
      </c>
      <c r="W87" s="14" t="str">
        <f>IF(X87="","",IFERROR(INDEX($AL$11:$AL$4010,MATCH(77,$AY$11:$AY$4010,0)),""))</f>
        <v/>
      </c>
      <c r="X87" s="12" t="str">
        <f>IFERROR(INDEX($AM$11:$AM$4010,MATCH(77,$AY$11:$AY$4010,0)),"")</f>
        <v/>
      </c>
      <c r="Y87" s="11" t="str">
        <f>IF(X87="","",IFERROR(INDEX($AN$11:$AN$4010,MATCH(77,$AY$11:$AY$4010,0)),""))</f>
        <v/>
      </c>
      <c r="Z87" s="11" t="str">
        <f>IF(X87="","",IFERROR(INDEX($AO$11:$AO$4010,MATCH(77,$AY$11:$AY$4010,0)),""))</f>
        <v/>
      </c>
      <c r="AA87" s="10" t="str">
        <f>IF(X87="","",IFERROR(INDEX($AQ$11:$AQ$4010,MATCH(77,$AY$11:$AY$4010,0)),""))</f>
        <v/>
      </c>
      <c r="AB87" s="15" t="str">
        <f>IF(X87="","",IFERROR(INDEX($AR$11:$AR$4010,MATCH(77,$AY$11:$AY$4010,0)),""))</f>
        <v/>
      </c>
      <c r="AD87" s="16" t="str">
        <f>IF(AE87="","",IFERROR(INDEX($AL$11:$AL$4010,MATCH(77,$AZ$11:$AZ$4010,0)),""))</f>
        <v/>
      </c>
      <c r="AE87" s="12" t="str">
        <f>IFERROR(INDEX($AM$11:$AM$4010,MATCH(77,$AZ$11:$AZ$4010,0)),"")</f>
        <v/>
      </c>
      <c r="AF87" s="11" t="str">
        <f>IF(AE87="","",IFERROR(INDEX($AN$11:$AN$4010,MATCH(77,$AZ$11:$AZ$4010,0)),""))</f>
        <v/>
      </c>
      <c r="AG87" s="11" t="str">
        <f>IF(AE87="","",IFERROR(INDEX($AO$11:$AO$4010,MATCH(77,$AZ$11:$AZ$4010,0)),""))</f>
        <v/>
      </c>
      <c r="AH87" s="10" t="str">
        <f>IF(AE87="","",IFERROR(INDEX($AQ$11:$AQ$4010,MATCH(77,$AZ$11:$AZ$4010,0)),""))</f>
        <v/>
      </c>
      <c r="AI87" s="15" t="str">
        <f>IF(AE87="","",IFERROR(INDEX($AR$11:$AR$4010,MATCH(77,$AZ$11:$AZ$4010,0)),""))</f>
        <v/>
      </c>
      <c r="AJ87" s="15" t="str">
        <f>IF(AE87="","",IFERROR(INDEX($AT$11:$AT$4010,MATCH(77,$AZ$11:$AZ$4010,0)),""))</f>
        <v/>
      </c>
      <c r="AL87" s="17" t="str">
        <f t="shared" si="20"/>
        <v/>
      </c>
      <c r="AM87" s="12" t="str">
        <f t="shared" si="21"/>
        <v/>
      </c>
      <c r="AN87" s="18" t="str">
        <f t="shared" si="22"/>
        <v/>
      </c>
      <c r="AO87" s="18" t="str">
        <f t="shared" si="23"/>
        <v/>
      </c>
      <c r="AP87" s="10" t="str">
        <f t="shared" si="24"/>
        <v/>
      </c>
      <c r="AQ87" s="10" t="str">
        <f t="shared" si="25"/>
        <v/>
      </c>
      <c r="AR87" s="19" t="str">
        <f t="shared" si="26"/>
        <v/>
      </c>
      <c r="AS87" s="20"/>
      <c r="AT87" s="19"/>
      <c r="AV87" s="21">
        <f>IF(AND($AL87&lt;&gt;"",COUNTIF($AL$11:$AL87,$AL87)=1),1,0)</f>
        <v>0</v>
      </c>
      <c r="AW87" s="21">
        <f t="shared" si="28"/>
        <v>2</v>
      </c>
      <c r="AX87" s="21" t="str">
        <f t="shared" si="27"/>
        <v/>
      </c>
      <c r="AY87" s="21" t="str">
        <f>IF(AND($AM87&lt;&gt;"",$AS87&lt;&gt;"✓"),SUMPRODUCT(($AM$11:$AM87&lt;&gt;"")*($AS$11:$AS87&lt;&gt;"✓")),"")</f>
        <v/>
      </c>
      <c r="AZ87" s="21" t="str">
        <f>IF(AND($AM87&lt;&gt;"",$AS87="✓"),SUMPRODUCT(($AM$11:$AM87&lt;&gt;"")*($AS$11:$AS87="✓")),"")</f>
        <v/>
      </c>
      <c r="BA87" s="21" t="str">
        <f>IF($AL87="","",$AL87&amp;"|"&amp;COUNTIF($AL$11:$AL87,$AL87))</f>
        <v/>
      </c>
    </row>
    <row r="88" spans="2:53" ht="15" customHeight="1" x14ac:dyDescent="0.25">
      <c r="B88" s="5" t="str">
        <f t="shared" si="15"/>
        <v/>
      </c>
      <c r="C88" s="5"/>
      <c r="D88" s="5"/>
      <c r="E88" s="5"/>
      <c r="F88" s="6"/>
      <c r="G88" s="6"/>
      <c r="H88" s="7"/>
      <c r="I88" s="8"/>
      <c r="K88" s="23" t="str">
        <f>IFERROR(INDEX($AL$11:$AL$4010,MATCH(78,$AX$11:$AX$4010,0)),"")</f>
        <v/>
      </c>
      <c r="L88" s="24" t="str">
        <f t="shared" si="16"/>
        <v/>
      </c>
      <c r="M88" s="25" t="str">
        <f t="shared" si="17"/>
        <v/>
      </c>
      <c r="N88" s="25" t="str">
        <f t="shared" si="18"/>
        <v/>
      </c>
      <c r="P88" s="26" t="str">
        <f>IFERROR(INDEX($AM$11:$AM$4010,MATCH($S$8&amp;"|"&amp;78,$BA$11:$BA$4010,0)),"")</f>
        <v/>
      </c>
      <c r="Q88" s="25" t="str">
        <f>IF(P88="","",IFERROR(INDEX($AN$11:$AN$4010,MATCH($S$8&amp;"|"&amp;78,$BA$11:$BA$4010,0)),""))</f>
        <v/>
      </c>
      <c r="R88" s="25" t="str">
        <f>IF(P88="","",IFERROR(INDEX($AO$11:$AO$4010,MATCH($S$8&amp;"|"&amp;78,$BA$11:$BA$4010,0)),""))</f>
        <v/>
      </c>
      <c r="S88" s="24" t="str">
        <f>IF(P88="","",IFERROR(INDEX($AP$11:$AP$4010,MATCH($S$8&amp;"|"&amp;78,$BA$11:$BA$4010,0)),""))</f>
        <v/>
      </c>
      <c r="T88" s="24" t="str">
        <f>IF(P88="","",IFERROR(INDEX($AQ$11:$AQ$4010,MATCH($S$8&amp;"|"&amp;78,$BA$11:$BA$4010,0)),""))</f>
        <v/>
      </c>
      <c r="U88" s="38" t="str">
        <f t="shared" si="19"/>
        <v/>
      </c>
      <c r="W88" s="28" t="str">
        <f>IF(X88="","",IFERROR(INDEX($AL$11:$AL$4010,MATCH(78,$AY$11:$AY$4010,0)),""))</f>
        <v/>
      </c>
      <c r="X88" s="26" t="str">
        <f>IFERROR(INDEX($AM$11:$AM$4010,MATCH(78,$AY$11:$AY$4010,0)),"")</f>
        <v/>
      </c>
      <c r="Y88" s="25" t="str">
        <f>IF(X88="","",IFERROR(INDEX($AN$11:$AN$4010,MATCH(78,$AY$11:$AY$4010,0)),""))</f>
        <v/>
      </c>
      <c r="Z88" s="25" t="str">
        <f>IF(X88="","",IFERROR(INDEX($AO$11:$AO$4010,MATCH(78,$AY$11:$AY$4010,0)),""))</f>
        <v/>
      </c>
      <c r="AA88" s="24" t="str">
        <f>IF(X88="","",IFERROR(INDEX($AQ$11:$AQ$4010,MATCH(78,$AY$11:$AY$4010,0)),""))</f>
        <v/>
      </c>
      <c r="AB88" s="29" t="str">
        <f>IF(X88="","",IFERROR(INDEX($AR$11:$AR$4010,MATCH(78,$AY$11:$AY$4010,0)),""))</f>
        <v/>
      </c>
      <c r="AD88" s="30" t="str">
        <f>IF(AE88="","",IFERROR(INDEX($AL$11:$AL$4010,MATCH(78,$AZ$11:$AZ$4010,0)),""))</f>
        <v/>
      </c>
      <c r="AE88" s="26" t="str">
        <f>IFERROR(INDEX($AM$11:$AM$4010,MATCH(78,$AZ$11:$AZ$4010,0)),"")</f>
        <v/>
      </c>
      <c r="AF88" s="25" t="str">
        <f>IF(AE88="","",IFERROR(INDEX($AN$11:$AN$4010,MATCH(78,$AZ$11:$AZ$4010,0)),""))</f>
        <v/>
      </c>
      <c r="AG88" s="25" t="str">
        <f>IF(AE88="","",IFERROR(INDEX($AO$11:$AO$4010,MATCH(78,$AZ$11:$AZ$4010,0)),""))</f>
        <v/>
      </c>
      <c r="AH88" s="24" t="str">
        <f>IF(AE88="","",IFERROR(INDEX($AQ$11:$AQ$4010,MATCH(78,$AZ$11:$AZ$4010,0)),""))</f>
        <v/>
      </c>
      <c r="AI88" s="29" t="str">
        <f>IF(AE88="","",IFERROR(INDEX($AR$11:$AR$4010,MATCH(78,$AZ$11:$AZ$4010,0)),""))</f>
        <v/>
      </c>
      <c r="AJ88" s="29" t="str">
        <f>IF(AE88="","",IFERROR(INDEX($AT$11:$AT$4010,MATCH(78,$AZ$11:$AZ$4010,0)),""))</f>
        <v/>
      </c>
      <c r="AL88" s="31" t="str">
        <f t="shared" si="20"/>
        <v/>
      </c>
      <c r="AM88" s="26" t="str">
        <f t="shared" si="21"/>
        <v/>
      </c>
      <c r="AN88" s="32" t="str">
        <f t="shared" si="22"/>
        <v/>
      </c>
      <c r="AO88" s="32" t="str">
        <f t="shared" si="23"/>
        <v/>
      </c>
      <c r="AP88" s="24" t="str">
        <f t="shared" si="24"/>
        <v/>
      </c>
      <c r="AQ88" s="24" t="str">
        <f t="shared" si="25"/>
        <v/>
      </c>
      <c r="AR88" s="33" t="str">
        <f t="shared" si="26"/>
        <v/>
      </c>
      <c r="AS88" s="34"/>
      <c r="AT88" s="33"/>
      <c r="AV88" s="21">
        <f>IF(AND($AL88&lt;&gt;"",COUNTIF($AL$11:$AL88,$AL88)=1),1,0)</f>
        <v>0</v>
      </c>
      <c r="AW88" s="21">
        <f t="shared" si="28"/>
        <v>2</v>
      </c>
      <c r="AX88" s="21" t="str">
        <f t="shared" si="27"/>
        <v/>
      </c>
      <c r="AY88" s="21" t="str">
        <f>IF(AND($AM88&lt;&gt;"",$AS88&lt;&gt;"✓"),SUMPRODUCT(($AM$11:$AM88&lt;&gt;"")*($AS$11:$AS88&lt;&gt;"✓")),"")</f>
        <v/>
      </c>
      <c r="AZ88" s="21" t="str">
        <f>IF(AND($AM88&lt;&gt;"",$AS88="✓"),SUMPRODUCT(($AM$11:$AM88&lt;&gt;"")*($AS$11:$AS88="✓")),"")</f>
        <v/>
      </c>
      <c r="BA88" s="21" t="str">
        <f>IF($AL88="","",$AL88&amp;"|"&amp;COUNTIF($AL$11:$AL88,$AL88))</f>
        <v/>
      </c>
    </row>
    <row r="89" spans="2:53" ht="15" customHeight="1" x14ac:dyDescent="0.25">
      <c r="B89" s="5" t="str">
        <f t="shared" si="15"/>
        <v/>
      </c>
      <c r="C89" s="5"/>
      <c r="D89" s="5"/>
      <c r="E89" s="5"/>
      <c r="F89" s="6"/>
      <c r="G89" s="6"/>
      <c r="H89" s="7"/>
      <c r="I89" s="8"/>
      <c r="K89" s="9" t="str">
        <f>IFERROR(INDEX($AL$11:$AL$4010,MATCH(79,$AX$11:$AX$4010,0)),"")</f>
        <v/>
      </c>
      <c r="L89" s="10" t="str">
        <f t="shared" si="16"/>
        <v/>
      </c>
      <c r="M89" s="11" t="str">
        <f t="shared" si="17"/>
        <v/>
      </c>
      <c r="N89" s="11" t="str">
        <f t="shared" si="18"/>
        <v/>
      </c>
      <c r="P89" s="12" t="str">
        <f>IFERROR(INDEX($AM$11:$AM$4010,MATCH($S$8&amp;"|"&amp;79,$BA$11:$BA$4010,0)),"")</f>
        <v/>
      </c>
      <c r="Q89" s="11" t="str">
        <f>IF(P89="","",IFERROR(INDEX($AN$11:$AN$4010,MATCH($S$8&amp;"|"&amp;79,$BA$11:$BA$4010,0)),""))</f>
        <v/>
      </c>
      <c r="R89" s="11" t="str">
        <f>IF(P89="","",IFERROR(INDEX($AO$11:$AO$4010,MATCH($S$8&amp;"|"&amp;79,$BA$11:$BA$4010,0)),""))</f>
        <v/>
      </c>
      <c r="S89" s="10" t="str">
        <f>IF(P89="","",IFERROR(INDEX($AP$11:$AP$4010,MATCH($S$8&amp;"|"&amp;79,$BA$11:$BA$4010,0)),""))</f>
        <v/>
      </c>
      <c r="T89" s="10" t="str">
        <f>IF(P89="","",IFERROR(INDEX($AQ$11:$AQ$4010,MATCH($S$8&amp;"|"&amp;79,$BA$11:$BA$4010,0)),""))</f>
        <v/>
      </c>
      <c r="U89" s="39" t="str">
        <f t="shared" si="19"/>
        <v/>
      </c>
      <c r="W89" s="14" t="str">
        <f>IF(X89="","",IFERROR(INDEX($AL$11:$AL$4010,MATCH(79,$AY$11:$AY$4010,0)),""))</f>
        <v/>
      </c>
      <c r="X89" s="12" t="str">
        <f>IFERROR(INDEX($AM$11:$AM$4010,MATCH(79,$AY$11:$AY$4010,0)),"")</f>
        <v/>
      </c>
      <c r="Y89" s="11" t="str">
        <f>IF(X89="","",IFERROR(INDEX($AN$11:$AN$4010,MATCH(79,$AY$11:$AY$4010,0)),""))</f>
        <v/>
      </c>
      <c r="Z89" s="11" t="str">
        <f>IF(X89="","",IFERROR(INDEX($AO$11:$AO$4010,MATCH(79,$AY$11:$AY$4010,0)),""))</f>
        <v/>
      </c>
      <c r="AA89" s="10" t="str">
        <f>IF(X89="","",IFERROR(INDEX($AQ$11:$AQ$4010,MATCH(79,$AY$11:$AY$4010,0)),""))</f>
        <v/>
      </c>
      <c r="AB89" s="15" t="str">
        <f>IF(X89="","",IFERROR(INDEX($AR$11:$AR$4010,MATCH(79,$AY$11:$AY$4010,0)),""))</f>
        <v/>
      </c>
      <c r="AD89" s="16" t="str">
        <f>IF(AE89="","",IFERROR(INDEX($AL$11:$AL$4010,MATCH(79,$AZ$11:$AZ$4010,0)),""))</f>
        <v/>
      </c>
      <c r="AE89" s="12" t="str">
        <f>IFERROR(INDEX($AM$11:$AM$4010,MATCH(79,$AZ$11:$AZ$4010,0)),"")</f>
        <v/>
      </c>
      <c r="AF89" s="11" t="str">
        <f>IF(AE89="","",IFERROR(INDEX($AN$11:$AN$4010,MATCH(79,$AZ$11:$AZ$4010,0)),""))</f>
        <v/>
      </c>
      <c r="AG89" s="11" t="str">
        <f>IF(AE89="","",IFERROR(INDEX($AO$11:$AO$4010,MATCH(79,$AZ$11:$AZ$4010,0)),""))</f>
        <v/>
      </c>
      <c r="AH89" s="10" t="str">
        <f>IF(AE89="","",IFERROR(INDEX($AQ$11:$AQ$4010,MATCH(79,$AZ$11:$AZ$4010,0)),""))</f>
        <v/>
      </c>
      <c r="AI89" s="15" t="str">
        <f>IF(AE89="","",IFERROR(INDEX($AR$11:$AR$4010,MATCH(79,$AZ$11:$AZ$4010,0)),""))</f>
        <v/>
      </c>
      <c r="AJ89" s="15" t="str">
        <f>IF(AE89="","",IFERROR(INDEX($AT$11:$AT$4010,MATCH(79,$AZ$11:$AZ$4010,0)),""))</f>
        <v/>
      </c>
      <c r="AL89" s="17" t="str">
        <f t="shared" si="20"/>
        <v/>
      </c>
      <c r="AM89" s="12" t="str">
        <f t="shared" si="21"/>
        <v/>
      </c>
      <c r="AN89" s="18" t="str">
        <f t="shared" si="22"/>
        <v/>
      </c>
      <c r="AO89" s="18" t="str">
        <f t="shared" si="23"/>
        <v/>
      </c>
      <c r="AP89" s="10" t="str">
        <f t="shared" si="24"/>
        <v/>
      </c>
      <c r="AQ89" s="10" t="str">
        <f t="shared" si="25"/>
        <v/>
      </c>
      <c r="AR89" s="19" t="str">
        <f t="shared" si="26"/>
        <v/>
      </c>
      <c r="AS89" s="20"/>
      <c r="AT89" s="19"/>
      <c r="AV89" s="21">
        <f>IF(AND($AL89&lt;&gt;"",COUNTIF($AL$11:$AL89,$AL89)=1),1,0)</f>
        <v>0</v>
      </c>
      <c r="AW89" s="21">
        <f t="shared" si="28"/>
        <v>2</v>
      </c>
      <c r="AX89" s="21" t="str">
        <f t="shared" si="27"/>
        <v/>
      </c>
      <c r="AY89" s="21" t="str">
        <f>IF(AND($AM89&lt;&gt;"",$AS89&lt;&gt;"✓"),SUMPRODUCT(($AM$11:$AM89&lt;&gt;"")*($AS$11:$AS89&lt;&gt;"✓")),"")</f>
        <v/>
      </c>
      <c r="AZ89" s="21" t="str">
        <f>IF(AND($AM89&lt;&gt;"",$AS89="✓"),SUMPRODUCT(($AM$11:$AM89&lt;&gt;"")*($AS$11:$AS89="✓")),"")</f>
        <v/>
      </c>
      <c r="BA89" s="21" t="str">
        <f>IF($AL89="","",$AL89&amp;"|"&amp;COUNTIF($AL$11:$AL89,$AL89))</f>
        <v/>
      </c>
    </row>
    <row r="90" spans="2:53" ht="15" customHeight="1" x14ac:dyDescent="0.25">
      <c r="B90" s="5" t="str">
        <f t="shared" si="15"/>
        <v/>
      </c>
      <c r="C90" s="5"/>
      <c r="D90" s="5"/>
      <c r="E90" s="5"/>
      <c r="F90" s="6"/>
      <c r="G90" s="6"/>
      <c r="H90" s="7"/>
      <c r="I90" s="8"/>
      <c r="K90" s="23" t="str">
        <f>IFERROR(INDEX($AL$11:$AL$4010,MATCH(80,$AX$11:$AX$4010,0)),"")</f>
        <v/>
      </c>
      <c r="L90" s="24" t="str">
        <f t="shared" si="16"/>
        <v/>
      </c>
      <c r="M90" s="25" t="str">
        <f t="shared" si="17"/>
        <v/>
      </c>
      <c r="N90" s="25" t="str">
        <f t="shared" si="18"/>
        <v/>
      </c>
      <c r="P90" s="26" t="str">
        <f>IFERROR(INDEX($AM$11:$AM$4010,MATCH($S$8&amp;"|"&amp;80,$BA$11:$BA$4010,0)),"")</f>
        <v/>
      </c>
      <c r="Q90" s="25" t="str">
        <f>IF(P90="","",IFERROR(INDEX($AN$11:$AN$4010,MATCH($S$8&amp;"|"&amp;80,$BA$11:$BA$4010,0)),""))</f>
        <v/>
      </c>
      <c r="R90" s="25" t="str">
        <f>IF(P90="","",IFERROR(INDEX($AO$11:$AO$4010,MATCH($S$8&amp;"|"&amp;80,$BA$11:$BA$4010,0)),""))</f>
        <v/>
      </c>
      <c r="S90" s="24" t="str">
        <f>IF(P90="","",IFERROR(INDEX($AP$11:$AP$4010,MATCH($S$8&amp;"|"&amp;80,$BA$11:$BA$4010,0)),""))</f>
        <v/>
      </c>
      <c r="T90" s="24" t="str">
        <f>IF(P90="","",IFERROR(INDEX($AQ$11:$AQ$4010,MATCH($S$8&amp;"|"&amp;80,$BA$11:$BA$4010,0)),""))</f>
        <v/>
      </c>
      <c r="U90" s="38" t="str">
        <f t="shared" si="19"/>
        <v/>
      </c>
      <c r="W90" s="28" t="str">
        <f>IF(X90="","",IFERROR(INDEX($AL$11:$AL$4010,MATCH(80,$AY$11:$AY$4010,0)),""))</f>
        <v/>
      </c>
      <c r="X90" s="26" t="str">
        <f>IFERROR(INDEX($AM$11:$AM$4010,MATCH(80,$AY$11:$AY$4010,0)),"")</f>
        <v/>
      </c>
      <c r="Y90" s="25" t="str">
        <f>IF(X90="","",IFERROR(INDEX($AN$11:$AN$4010,MATCH(80,$AY$11:$AY$4010,0)),""))</f>
        <v/>
      </c>
      <c r="Z90" s="25" t="str">
        <f>IF(X90="","",IFERROR(INDEX($AO$11:$AO$4010,MATCH(80,$AY$11:$AY$4010,0)),""))</f>
        <v/>
      </c>
      <c r="AA90" s="24" t="str">
        <f>IF(X90="","",IFERROR(INDEX($AQ$11:$AQ$4010,MATCH(80,$AY$11:$AY$4010,0)),""))</f>
        <v/>
      </c>
      <c r="AB90" s="29" t="str">
        <f>IF(X90="","",IFERROR(INDEX($AR$11:$AR$4010,MATCH(80,$AY$11:$AY$4010,0)),""))</f>
        <v/>
      </c>
      <c r="AD90" s="30" t="str">
        <f>IF(AE90="","",IFERROR(INDEX($AL$11:$AL$4010,MATCH(80,$AZ$11:$AZ$4010,0)),""))</f>
        <v/>
      </c>
      <c r="AE90" s="26" t="str">
        <f>IFERROR(INDEX($AM$11:$AM$4010,MATCH(80,$AZ$11:$AZ$4010,0)),"")</f>
        <v/>
      </c>
      <c r="AF90" s="25" t="str">
        <f>IF(AE90="","",IFERROR(INDEX($AN$11:$AN$4010,MATCH(80,$AZ$11:$AZ$4010,0)),""))</f>
        <v/>
      </c>
      <c r="AG90" s="25" t="str">
        <f>IF(AE90="","",IFERROR(INDEX($AO$11:$AO$4010,MATCH(80,$AZ$11:$AZ$4010,0)),""))</f>
        <v/>
      </c>
      <c r="AH90" s="24" t="str">
        <f>IF(AE90="","",IFERROR(INDEX($AQ$11:$AQ$4010,MATCH(80,$AZ$11:$AZ$4010,0)),""))</f>
        <v/>
      </c>
      <c r="AI90" s="29" t="str">
        <f>IF(AE90="","",IFERROR(INDEX($AR$11:$AR$4010,MATCH(80,$AZ$11:$AZ$4010,0)),""))</f>
        <v/>
      </c>
      <c r="AJ90" s="29" t="str">
        <f>IF(AE90="","",IFERROR(INDEX($AT$11:$AT$4010,MATCH(80,$AZ$11:$AZ$4010,0)),""))</f>
        <v/>
      </c>
      <c r="AL90" s="31" t="str">
        <f t="shared" si="20"/>
        <v/>
      </c>
      <c r="AM90" s="26" t="str">
        <f t="shared" si="21"/>
        <v/>
      </c>
      <c r="AN90" s="32" t="str">
        <f t="shared" si="22"/>
        <v/>
      </c>
      <c r="AO90" s="32" t="str">
        <f t="shared" si="23"/>
        <v/>
      </c>
      <c r="AP90" s="24" t="str">
        <f t="shared" si="24"/>
        <v/>
      </c>
      <c r="AQ90" s="24" t="str">
        <f t="shared" si="25"/>
        <v/>
      </c>
      <c r="AR90" s="33" t="str">
        <f t="shared" si="26"/>
        <v/>
      </c>
      <c r="AS90" s="34"/>
      <c r="AT90" s="33"/>
      <c r="AV90" s="21">
        <f>IF(AND($AL90&lt;&gt;"",COUNTIF($AL$11:$AL90,$AL90)=1),1,0)</f>
        <v>0</v>
      </c>
      <c r="AW90" s="21">
        <f t="shared" si="28"/>
        <v>2</v>
      </c>
      <c r="AX90" s="21" t="str">
        <f t="shared" si="27"/>
        <v/>
      </c>
      <c r="AY90" s="21" t="str">
        <f>IF(AND($AM90&lt;&gt;"",$AS90&lt;&gt;"✓"),SUMPRODUCT(($AM$11:$AM90&lt;&gt;"")*($AS$11:$AS90&lt;&gt;"✓")),"")</f>
        <v/>
      </c>
      <c r="AZ90" s="21" t="str">
        <f>IF(AND($AM90&lt;&gt;"",$AS90="✓"),SUMPRODUCT(($AM$11:$AM90&lt;&gt;"")*($AS$11:$AS90="✓")),"")</f>
        <v/>
      </c>
      <c r="BA90" s="21" t="str">
        <f>IF($AL90="","",$AL90&amp;"|"&amp;COUNTIF($AL$11:$AL90,$AL90))</f>
        <v/>
      </c>
    </row>
    <row r="91" spans="2:53" ht="15" customHeight="1" x14ac:dyDescent="0.25">
      <c r="B91" s="5" t="str">
        <f t="shared" si="15"/>
        <v/>
      </c>
      <c r="C91" s="5"/>
      <c r="D91" s="5"/>
      <c r="E91" s="5"/>
      <c r="F91" s="6"/>
      <c r="G91" s="6"/>
      <c r="H91" s="7"/>
      <c r="I91" s="8"/>
      <c r="K91" s="9" t="str">
        <f>IFERROR(INDEX($AL$11:$AL$4010,MATCH(81,$AX$11:$AX$4010,0)),"")</f>
        <v/>
      </c>
      <c r="L91" s="10" t="str">
        <f t="shared" si="16"/>
        <v/>
      </c>
      <c r="M91" s="11" t="str">
        <f t="shared" si="17"/>
        <v/>
      </c>
      <c r="N91" s="11" t="str">
        <f t="shared" si="18"/>
        <v/>
      </c>
      <c r="P91" s="12" t="str">
        <f>IFERROR(INDEX($AM$11:$AM$4010,MATCH($S$8&amp;"|"&amp;81,$BA$11:$BA$4010,0)),"")</f>
        <v/>
      </c>
      <c r="Q91" s="11" t="str">
        <f>IF(P91="","",IFERROR(INDEX($AN$11:$AN$4010,MATCH($S$8&amp;"|"&amp;81,$BA$11:$BA$4010,0)),""))</f>
        <v/>
      </c>
      <c r="R91" s="11" t="str">
        <f>IF(P91="","",IFERROR(INDEX($AO$11:$AO$4010,MATCH($S$8&amp;"|"&amp;81,$BA$11:$BA$4010,0)),""))</f>
        <v/>
      </c>
      <c r="S91" s="10" t="str">
        <f>IF(P91="","",IFERROR(INDEX($AP$11:$AP$4010,MATCH($S$8&amp;"|"&amp;81,$BA$11:$BA$4010,0)),""))</f>
        <v/>
      </c>
      <c r="T91" s="10" t="str">
        <f>IF(P91="","",IFERROR(INDEX($AQ$11:$AQ$4010,MATCH($S$8&amp;"|"&amp;81,$BA$11:$BA$4010,0)),""))</f>
        <v/>
      </c>
      <c r="U91" s="39" t="str">
        <f t="shared" si="19"/>
        <v/>
      </c>
      <c r="W91" s="14" t="str">
        <f>IF(X91="","",IFERROR(INDEX($AL$11:$AL$4010,MATCH(81,$AY$11:$AY$4010,0)),""))</f>
        <v/>
      </c>
      <c r="X91" s="12" t="str">
        <f>IFERROR(INDEX($AM$11:$AM$4010,MATCH(81,$AY$11:$AY$4010,0)),"")</f>
        <v/>
      </c>
      <c r="Y91" s="11" t="str">
        <f>IF(X91="","",IFERROR(INDEX($AN$11:$AN$4010,MATCH(81,$AY$11:$AY$4010,0)),""))</f>
        <v/>
      </c>
      <c r="Z91" s="11" t="str">
        <f>IF(X91="","",IFERROR(INDEX($AO$11:$AO$4010,MATCH(81,$AY$11:$AY$4010,0)),""))</f>
        <v/>
      </c>
      <c r="AA91" s="10" t="str">
        <f>IF(X91="","",IFERROR(INDEX($AQ$11:$AQ$4010,MATCH(81,$AY$11:$AY$4010,0)),""))</f>
        <v/>
      </c>
      <c r="AB91" s="15" t="str">
        <f>IF(X91="","",IFERROR(INDEX($AR$11:$AR$4010,MATCH(81,$AY$11:$AY$4010,0)),""))</f>
        <v/>
      </c>
      <c r="AD91" s="16" t="str">
        <f>IF(AE91="","",IFERROR(INDEX($AL$11:$AL$4010,MATCH(81,$AZ$11:$AZ$4010,0)),""))</f>
        <v/>
      </c>
      <c r="AE91" s="12" t="str">
        <f>IFERROR(INDEX($AM$11:$AM$4010,MATCH(81,$AZ$11:$AZ$4010,0)),"")</f>
        <v/>
      </c>
      <c r="AF91" s="11" t="str">
        <f>IF(AE91="","",IFERROR(INDEX($AN$11:$AN$4010,MATCH(81,$AZ$11:$AZ$4010,0)),""))</f>
        <v/>
      </c>
      <c r="AG91" s="11" t="str">
        <f>IF(AE91="","",IFERROR(INDEX($AO$11:$AO$4010,MATCH(81,$AZ$11:$AZ$4010,0)),""))</f>
        <v/>
      </c>
      <c r="AH91" s="10" t="str">
        <f>IF(AE91="","",IFERROR(INDEX($AQ$11:$AQ$4010,MATCH(81,$AZ$11:$AZ$4010,0)),""))</f>
        <v/>
      </c>
      <c r="AI91" s="15" t="str">
        <f>IF(AE91="","",IFERROR(INDEX($AR$11:$AR$4010,MATCH(81,$AZ$11:$AZ$4010,0)),""))</f>
        <v/>
      </c>
      <c r="AJ91" s="15" t="str">
        <f>IF(AE91="","",IFERROR(INDEX($AT$11:$AT$4010,MATCH(81,$AZ$11:$AZ$4010,0)),""))</f>
        <v/>
      </c>
      <c r="AL91" s="17" t="str">
        <f t="shared" si="20"/>
        <v/>
      </c>
      <c r="AM91" s="12" t="str">
        <f t="shared" si="21"/>
        <v/>
      </c>
      <c r="AN91" s="18" t="str">
        <f t="shared" si="22"/>
        <v/>
      </c>
      <c r="AO91" s="18" t="str">
        <f t="shared" si="23"/>
        <v/>
      </c>
      <c r="AP91" s="10" t="str">
        <f t="shared" si="24"/>
        <v/>
      </c>
      <c r="AQ91" s="10" t="str">
        <f t="shared" si="25"/>
        <v/>
      </c>
      <c r="AR91" s="19" t="str">
        <f t="shared" si="26"/>
        <v/>
      </c>
      <c r="AS91" s="20"/>
      <c r="AT91" s="19"/>
      <c r="AV91" s="21">
        <f>IF(AND($AL91&lt;&gt;"",COUNTIF($AL$11:$AL91,$AL91)=1),1,0)</f>
        <v>0</v>
      </c>
      <c r="AW91" s="21">
        <f t="shared" si="28"/>
        <v>2</v>
      </c>
      <c r="AX91" s="21" t="str">
        <f t="shared" si="27"/>
        <v/>
      </c>
      <c r="AY91" s="21" t="str">
        <f>IF(AND($AM91&lt;&gt;"",$AS91&lt;&gt;"✓"),SUMPRODUCT(($AM$11:$AM91&lt;&gt;"")*($AS$11:$AS91&lt;&gt;"✓")),"")</f>
        <v/>
      </c>
      <c r="AZ91" s="21" t="str">
        <f>IF(AND($AM91&lt;&gt;"",$AS91="✓"),SUMPRODUCT(($AM$11:$AM91&lt;&gt;"")*($AS$11:$AS91="✓")),"")</f>
        <v/>
      </c>
      <c r="BA91" s="21" t="str">
        <f>IF($AL91="","",$AL91&amp;"|"&amp;COUNTIF($AL$11:$AL91,$AL91))</f>
        <v/>
      </c>
    </row>
    <row r="92" spans="2:53" ht="15" customHeight="1" x14ac:dyDescent="0.25">
      <c r="B92" s="5" t="str">
        <f t="shared" si="15"/>
        <v/>
      </c>
      <c r="C92" s="5"/>
      <c r="D92" s="5"/>
      <c r="E92" s="5"/>
      <c r="F92" s="6"/>
      <c r="G92" s="6"/>
      <c r="H92" s="7"/>
      <c r="I92" s="8"/>
      <c r="K92" s="23" t="str">
        <f>IFERROR(INDEX($AL$11:$AL$4010,MATCH(82,$AX$11:$AX$4010,0)),"")</f>
        <v/>
      </c>
      <c r="L92" s="24" t="str">
        <f t="shared" si="16"/>
        <v/>
      </c>
      <c r="M92" s="25" t="str">
        <f t="shared" si="17"/>
        <v/>
      </c>
      <c r="N92" s="25" t="str">
        <f t="shared" si="18"/>
        <v/>
      </c>
      <c r="P92" s="26" t="str">
        <f>IFERROR(INDEX($AM$11:$AM$4010,MATCH($S$8&amp;"|"&amp;82,$BA$11:$BA$4010,0)),"")</f>
        <v/>
      </c>
      <c r="Q92" s="25" t="str">
        <f>IF(P92="","",IFERROR(INDEX($AN$11:$AN$4010,MATCH($S$8&amp;"|"&amp;82,$BA$11:$BA$4010,0)),""))</f>
        <v/>
      </c>
      <c r="R92" s="25" t="str">
        <f>IF(P92="","",IFERROR(INDEX($AO$11:$AO$4010,MATCH($S$8&amp;"|"&amp;82,$BA$11:$BA$4010,0)),""))</f>
        <v/>
      </c>
      <c r="S92" s="24" t="str">
        <f>IF(P92="","",IFERROR(INDEX($AP$11:$AP$4010,MATCH($S$8&amp;"|"&amp;82,$BA$11:$BA$4010,0)),""))</f>
        <v/>
      </c>
      <c r="T92" s="24" t="str">
        <f>IF(P92="","",IFERROR(INDEX($AQ$11:$AQ$4010,MATCH($S$8&amp;"|"&amp;82,$BA$11:$BA$4010,0)),""))</f>
        <v/>
      </c>
      <c r="U92" s="38" t="str">
        <f t="shared" si="19"/>
        <v/>
      </c>
      <c r="W92" s="28" t="str">
        <f>IF(X92="","",IFERROR(INDEX($AL$11:$AL$4010,MATCH(82,$AY$11:$AY$4010,0)),""))</f>
        <v/>
      </c>
      <c r="X92" s="26" t="str">
        <f>IFERROR(INDEX($AM$11:$AM$4010,MATCH(82,$AY$11:$AY$4010,0)),"")</f>
        <v/>
      </c>
      <c r="Y92" s="25" t="str">
        <f>IF(X92="","",IFERROR(INDEX($AN$11:$AN$4010,MATCH(82,$AY$11:$AY$4010,0)),""))</f>
        <v/>
      </c>
      <c r="Z92" s="25" t="str">
        <f>IF(X92="","",IFERROR(INDEX($AO$11:$AO$4010,MATCH(82,$AY$11:$AY$4010,0)),""))</f>
        <v/>
      </c>
      <c r="AA92" s="24" t="str">
        <f>IF(X92="","",IFERROR(INDEX($AQ$11:$AQ$4010,MATCH(82,$AY$11:$AY$4010,0)),""))</f>
        <v/>
      </c>
      <c r="AB92" s="29" t="str">
        <f>IF(X92="","",IFERROR(INDEX($AR$11:$AR$4010,MATCH(82,$AY$11:$AY$4010,0)),""))</f>
        <v/>
      </c>
      <c r="AD92" s="30" t="str">
        <f>IF(AE92="","",IFERROR(INDEX($AL$11:$AL$4010,MATCH(82,$AZ$11:$AZ$4010,0)),""))</f>
        <v/>
      </c>
      <c r="AE92" s="26" t="str">
        <f>IFERROR(INDEX($AM$11:$AM$4010,MATCH(82,$AZ$11:$AZ$4010,0)),"")</f>
        <v/>
      </c>
      <c r="AF92" s="25" t="str">
        <f>IF(AE92="","",IFERROR(INDEX($AN$11:$AN$4010,MATCH(82,$AZ$11:$AZ$4010,0)),""))</f>
        <v/>
      </c>
      <c r="AG92" s="25" t="str">
        <f>IF(AE92="","",IFERROR(INDEX($AO$11:$AO$4010,MATCH(82,$AZ$11:$AZ$4010,0)),""))</f>
        <v/>
      </c>
      <c r="AH92" s="24" t="str">
        <f>IF(AE92="","",IFERROR(INDEX($AQ$11:$AQ$4010,MATCH(82,$AZ$11:$AZ$4010,0)),""))</f>
        <v/>
      </c>
      <c r="AI92" s="29" t="str">
        <f>IF(AE92="","",IFERROR(INDEX($AR$11:$AR$4010,MATCH(82,$AZ$11:$AZ$4010,0)),""))</f>
        <v/>
      </c>
      <c r="AJ92" s="29" t="str">
        <f>IF(AE92="","",IFERROR(INDEX($AT$11:$AT$4010,MATCH(82,$AZ$11:$AZ$4010,0)),""))</f>
        <v/>
      </c>
      <c r="AL92" s="31" t="str">
        <f t="shared" si="20"/>
        <v/>
      </c>
      <c r="AM92" s="26" t="str">
        <f t="shared" si="21"/>
        <v/>
      </c>
      <c r="AN92" s="32" t="str">
        <f t="shared" si="22"/>
        <v/>
      </c>
      <c r="AO92" s="32" t="str">
        <f t="shared" si="23"/>
        <v/>
      </c>
      <c r="AP92" s="24" t="str">
        <f t="shared" si="24"/>
        <v/>
      </c>
      <c r="AQ92" s="24" t="str">
        <f t="shared" si="25"/>
        <v/>
      </c>
      <c r="AR92" s="33" t="str">
        <f t="shared" si="26"/>
        <v/>
      </c>
      <c r="AS92" s="34"/>
      <c r="AT92" s="33"/>
      <c r="AV92" s="21">
        <f>IF(AND($AL92&lt;&gt;"",COUNTIF($AL$11:$AL92,$AL92)=1),1,0)</f>
        <v>0</v>
      </c>
      <c r="AW92" s="21">
        <f t="shared" si="28"/>
        <v>2</v>
      </c>
      <c r="AX92" s="21" t="str">
        <f t="shared" si="27"/>
        <v/>
      </c>
      <c r="AY92" s="21" t="str">
        <f>IF(AND($AM92&lt;&gt;"",$AS92&lt;&gt;"✓"),SUMPRODUCT(($AM$11:$AM92&lt;&gt;"")*($AS$11:$AS92&lt;&gt;"✓")),"")</f>
        <v/>
      </c>
      <c r="AZ92" s="21" t="str">
        <f>IF(AND($AM92&lt;&gt;"",$AS92="✓"),SUMPRODUCT(($AM$11:$AM92&lt;&gt;"")*($AS$11:$AS92="✓")),"")</f>
        <v/>
      </c>
      <c r="BA92" s="21" t="str">
        <f>IF($AL92="","",$AL92&amp;"|"&amp;COUNTIF($AL$11:$AL92,$AL92))</f>
        <v/>
      </c>
    </row>
    <row r="93" spans="2:53" ht="15" customHeight="1" x14ac:dyDescent="0.25">
      <c r="B93" s="5" t="str">
        <f t="shared" si="15"/>
        <v/>
      </c>
      <c r="C93" s="5"/>
      <c r="D93" s="5"/>
      <c r="E93" s="5"/>
      <c r="F93" s="6"/>
      <c r="G93" s="6"/>
      <c r="H93" s="7"/>
      <c r="I93" s="8"/>
      <c r="K93" s="9" t="str">
        <f>IFERROR(INDEX($AL$11:$AL$4010,MATCH(83,$AX$11:$AX$4010,0)),"")</f>
        <v/>
      </c>
      <c r="L93" s="10" t="str">
        <f t="shared" si="16"/>
        <v/>
      </c>
      <c r="M93" s="11" t="str">
        <f t="shared" si="17"/>
        <v/>
      </c>
      <c r="N93" s="11" t="str">
        <f t="shared" si="18"/>
        <v/>
      </c>
      <c r="P93" s="12" t="str">
        <f>IFERROR(INDEX($AM$11:$AM$4010,MATCH($S$8&amp;"|"&amp;83,$BA$11:$BA$4010,0)),"")</f>
        <v/>
      </c>
      <c r="Q93" s="11" t="str">
        <f>IF(P93="","",IFERROR(INDEX($AN$11:$AN$4010,MATCH($S$8&amp;"|"&amp;83,$BA$11:$BA$4010,0)),""))</f>
        <v/>
      </c>
      <c r="R93" s="11" t="str">
        <f>IF(P93="","",IFERROR(INDEX($AO$11:$AO$4010,MATCH($S$8&amp;"|"&amp;83,$BA$11:$BA$4010,0)),""))</f>
        <v/>
      </c>
      <c r="S93" s="10" t="str">
        <f>IF(P93="","",IFERROR(INDEX($AP$11:$AP$4010,MATCH($S$8&amp;"|"&amp;83,$BA$11:$BA$4010,0)),""))</f>
        <v/>
      </c>
      <c r="T93" s="10" t="str">
        <f>IF(P93="","",IFERROR(INDEX($AQ$11:$AQ$4010,MATCH($S$8&amp;"|"&amp;83,$BA$11:$BA$4010,0)),""))</f>
        <v/>
      </c>
      <c r="U93" s="39" t="str">
        <f t="shared" si="19"/>
        <v/>
      </c>
      <c r="W93" s="14" t="str">
        <f>IF(X93="","",IFERROR(INDEX($AL$11:$AL$4010,MATCH(83,$AY$11:$AY$4010,0)),""))</f>
        <v/>
      </c>
      <c r="X93" s="12" t="str">
        <f>IFERROR(INDEX($AM$11:$AM$4010,MATCH(83,$AY$11:$AY$4010,0)),"")</f>
        <v/>
      </c>
      <c r="Y93" s="11" t="str">
        <f>IF(X93="","",IFERROR(INDEX($AN$11:$AN$4010,MATCH(83,$AY$11:$AY$4010,0)),""))</f>
        <v/>
      </c>
      <c r="Z93" s="11" t="str">
        <f>IF(X93="","",IFERROR(INDEX($AO$11:$AO$4010,MATCH(83,$AY$11:$AY$4010,0)),""))</f>
        <v/>
      </c>
      <c r="AA93" s="10" t="str">
        <f>IF(X93="","",IFERROR(INDEX($AQ$11:$AQ$4010,MATCH(83,$AY$11:$AY$4010,0)),""))</f>
        <v/>
      </c>
      <c r="AB93" s="15" t="str">
        <f>IF(X93="","",IFERROR(INDEX($AR$11:$AR$4010,MATCH(83,$AY$11:$AY$4010,0)),""))</f>
        <v/>
      </c>
      <c r="AD93" s="16" t="str">
        <f>IF(AE93="","",IFERROR(INDEX($AL$11:$AL$4010,MATCH(83,$AZ$11:$AZ$4010,0)),""))</f>
        <v/>
      </c>
      <c r="AE93" s="12" t="str">
        <f>IFERROR(INDEX($AM$11:$AM$4010,MATCH(83,$AZ$11:$AZ$4010,0)),"")</f>
        <v/>
      </c>
      <c r="AF93" s="11" t="str">
        <f>IF(AE93="","",IFERROR(INDEX($AN$11:$AN$4010,MATCH(83,$AZ$11:$AZ$4010,0)),""))</f>
        <v/>
      </c>
      <c r="AG93" s="11" t="str">
        <f>IF(AE93="","",IFERROR(INDEX($AO$11:$AO$4010,MATCH(83,$AZ$11:$AZ$4010,0)),""))</f>
        <v/>
      </c>
      <c r="AH93" s="10" t="str">
        <f>IF(AE93="","",IFERROR(INDEX($AQ$11:$AQ$4010,MATCH(83,$AZ$11:$AZ$4010,0)),""))</f>
        <v/>
      </c>
      <c r="AI93" s="15" t="str">
        <f>IF(AE93="","",IFERROR(INDEX($AR$11:$AR$4010,MATCH(83,$AZ$11:$AZ$4010,0)),""))</f>
        <v/>
      </c>
      <c r="AJ93" s="15" t="str">
        <f>IF(AE93="","",IFERROR(INDEX($AT$11:$AT$4010,MATCH(83,$AZ$11:$AZ$4010,0)),""))</f>
        <v/>
      </c>
      <c r="AL93" s="17" t="str">
        <f t="shared" si="20"/>
        <v/>
      </c>
      <c r="AM93" s="12" t="str">
        <f t="shared" si="21"/>
        <v/>
      </c>
      <c r="AN93" s="18" t="str">
        <f t="shared" si="22"/>
        <v/>
      </c>
      <c r="AO93" s="18" t="str">
        <f t="shared" si="23"/>
        <v/>
      </c>
      <c r="AP93" s="10" t="str">
        <f t="shared" si="24"/>
        <v/>
      </c>
      <c r="AQ93" s="10" t="str">
        <f t="shared" si="25"/>
        <v/>
      </c>
      <c r="AR93" s="19" t="str">
        <f t="shared" si="26"/>
        <v/>
      </c>
      <c r="AS93" s="20"/>
      <c r="AT93" s="19"/>
      <c r="AV93" s="21">
        <f>IF(AND($AL93&lt;&gt;"",COUNTIF($AL$11:$AL93,$AL93)=1),1,0)</f>
        <v>0</v>
      </c>
      <c r="AW93" s="21">
        <f t="shared" si="28"/>
        <v>2</v>
      </c>
      <c r="AX93" s="21" t="str">
        <f t="shared" si="27"/>
        <v/>
      </c>
      <c r="AY93" s="21" t="str">
        <f>IF(AND($AM93&lt;&gt;"",$AS93&lt;&gt;"✓"),SUMPRODUCT(($AM$11:$AM93&lt;&gt;"")*($AS$11:$AS93&lt;&gt;"✓")),"")</f>
        <v/>
      </c>
      <c r="AZ93" s="21" t="str">
        <f>IF(AND($AM93&lt;&gt;"",$AS93="✓"),SUMPRODUCT(($AM$11:$AM93&lt;&gt;"")*($AS$11:$AS93="✓")),"")</f>
        <v/>
      </c>
      <c r="BA93" s="21" t="str">
        <f>IF($AL93="","",$AL93&amp;"|"&amp;COUNTIF($AL$11:$AL93,$AL93))</f>
        <v/>
      </c>
    </row>
    <row r="94" spans="2:53" ht="15" customHeight="1" x14ac:dyDescent="0.25">
      <c r="B94" s="5" t="str">
        <f t="shared" si="15"/>
        <v/>
      </c>
      <c r="C94" s="5"/>
      <c r="D94" s="5"/>
      <c r="E94" s="5"/>
      <c r="F94" s="6"/>
      <c r="G94" s="6"/>
      <c r="H94" s="7"/>
      <c r="I94" s="8"/>
      <c r="K94" s="23" t="str">
        <f>IFERROR(INDEX($AL$11:$AL$4010,MATCH(84,$AX$11:$AX$4010,0)),"")</f>
        <v/>
      </c>
      <c r="L94" s="24" t="str">
        <f t="shared" si="16"/>
        <v/>
      </c>
      <c r="M94" s="25" t="str">
        <f t="shared" si="17"/>
        <v/>
      </c>
      <c r="N94" s="25" t="str">
        <f t="shared" si="18"/>
        <v/>
      </c>
      <c r="P94" s="26" t="str">
        <f>IFERROR(INDEX($AM$11:$AM$4010,MATCH($S$8&amp;"|"&amp;84,$BA$11:$BA$4010,0)),"")</f>
        <v/>
      </c>
      <c r="Q94" s="25" t="str">
        <f>IF(P94="","",IFERROR(INDEX($AN$11:$AN$4010,MATCH($S$8&amp;"|"&amp;84,$BA$11:$BA$4010,0)),""))</f>
        <v/>
      </c>
      <c r="R94" s="25" t="str">
        <f>IF(P94="","",IFERROR(INDEX($AO$11:$AO$4010,MATCH($S$8&amp;"|"&amp;84,$BA$11:$BA$4010,0)),""))</f>
        <v/>
      </c>
      <c r="S94" s="24" t="str">
        <f>IF(P94="","",IFERROR(INDEX($AP$11:$AP$4010,MATCH($S$8&amp;"|"&amp;84,$BA$11:$BA$4010,0)),""))</f>
        <v/>
      </c>
      <c r="T94" s="24" t="str">
        <f>IF(P94="","",IFERROR(INDEX($AQ$11:$AQ$4010,MATCH($S$8&amp;"|"&amp;84,$BA$11:$BA$4010,0)),""))</f>
        <v/>
      </c>
      <c r="U94" s="38" t="str">
        <f t="shared" si="19"/>
        <v/>
      </c>
      <c r="W94" s="28" t="str">
        <f>IF(X94="","",IFERROR(INDEX($AL$11:$AL$4010,MATCH(84,$AY$11:$AY$4010,0)),""))</f>
        <v/>
      </c>
      <c r="X94" s="26" t="str">
        <f>IFERROR(INDEX($AM$11:$AM$4010,MATCH(84,$AY$11:$AY$4010,0)),"")</f>
        <v/>
      </c>
      <c r="Y94" s="25" t="str">
        <f>IF(X94="","",IFERROR(INDEX($AN$11:$AN$4010,MATCH(84,$AY$11:$AY$4010,0)),""))</f>
        <v/>
      </c>
      <c r="Z94" s="25" t="str">
        <f>IF(X94="","",IFERROR(INDEX($AO$11:$AO$4010,MATCH(84,$AY$11:$AY$4010,0)),""))</f>
        <v/>
      </c>
      <c r="AA94" s="24" t="str">
        <f>IF(X94="","",IFERROR(INDEX($AQ$11:$AQ$4010,MATCH(84,$AY$11:$AY$4010,0)),""))</f>
        <v/>
      </c>
      <c r="AB94" s="29" t="str">
        <f>IF(X94="","",IFERROR(INDEX($AR$11:$AR$4010,MATCH(84,$AY$11:$AY$4010,0)),""))</f>
        <v/>
      </c>
      <c r="AD94" s="30" t="str">
        <f>IF(AE94="","",IFERROR(INDEX($AL$11:$AL$4010,MATCH(84,$AZ$11:$AZ$4010,0)),""))</f>
        <v/>
      </c>
      <c r="AE94" s="26" t="str">
        <f>IFERROR(INDEX($AM$11:$AM$4010,MATCH(84,$AZ$11:$AZ$4010,0)),"")</f>
        <v/>
      </c>
      <c r="AF94" s="25" t="str">
        <f>IF(AE94="","",IFERROR(INDEX($AN$11:$AN$4010,MATCH(84,$AZ$11:$AZ$4010,0)),""))</f>
        <v/>
      </c>
      <c r="AG94" s="25" t="str">
        <f>IF(AE94="","",IFERROR(INDEX($AO$11:$AO$4010,MATCH(84,$AZ$11:$AZ$4010,0)),""))</f>
        <v/>
      </c>
      <c r="AH94" s="24" t="str">
        <f>IF(AE94="","",IFERROR(INDEX($AQ$11:$AQ$4010,MATCH(84,$AZ$11:$AZ$4010,0)),""))</f>
        <v/>
      </c>
      <c r="AI94" s="29" t="str">
        <f>IF(AE94="","",IFERROR(INDEX($AR$11:$AR$4010,MATCH(84,$AZ$11:$AZ$4010,0)),""))</f>
        <v/>
      </c>
      <c r="AJ94" s="29" t="str">
        <f>IF(AE94="","",IFERROR(INDEX($AT$11:$AT$4010,MATCH(84,$AZ$11:$AZ$4010,0)),""))</f>
        <v/>
      </c>
      <c r="AL94" s="31" t="str">
        <f t="shared" si="20"/>
        <v/>
      </c>
      <c r="AM94" s="26" t="str">
        <f t="shared" si="21"/>
        <v/>
      </c>
      <c r="AN94" s="32" t="str">
        <f t="shared" si="22"/>
        <v/>
      </c>
      <c r="AO94" s="32" t="str">
        <f t="shared" si="23"/>
        <v/>
      </c>
      <c r="AP94" s="24" t="str">
        <f t="shared" si="24"/>
        <v/>
      </c>
      <c r="AQ94" s="24" t="str">
        <f t="shared" si="25"/>
        <v/>
      </c>
      <c r="AR94" s="33" t="str">
        <f t="shared" si="26"/>
        <v/>
      </c>
      <c r="AS94" s="34"/>
      <c r="AT94" s="33"/>
      <c r="AV94" s="21">
        <f>IF(AND($AL94&lt;&gt;"",COUNTIF($AL$11:$AL94,$AL94)=1),1,0)</f>
        <v>0</v>
      </c>
      <c r="AW94" s="21">
        <f t="shared" si="28"/>
        <v>2</v>
      </c>
      <c r="AX94" s="21" t="str">
        <f t="shared" si="27"/>
        <v/>
      </c>
      <c r="AY94" s="21" t="str">
        <f>IF(AND($AM94&lt;&gt;"",$AS94&lt;&gt;"✓"),SUMPRODUCT(($AM$11:$AM94&lt;&gt;"")*($AS$11:$AS94&lt;&gt;"✓")),"")</f>
        <v/>
      </c>
      <c r="AZ94" s="21" t="str">
        <f>IF(AND($AM94&lt;&gt;"",$AS94="✓"),SUMPRODUCT(($AM$11:$AM94&lt;&gt;"")*($AS$11:$AS94="✓")),"")</f>
        <v/>
      </c>
      <c r="BA94" s="21" t="str">
        <f>IF($AL94="","",$AL94&amp;"|"&amp;COUNTIF($AL$11:$AL94,$AL94))</f>
        <v/>
      </c>
    </row>
    <row r="95" spans="2:53" ht="15" customHeight="1" x14ac:dyDescent="0.25">
      <c r="B95" s="5" t="str">
        <f t="shared" si="15"/>
        <v/>
      </c>
      <c r="C95" s="5"/>
      <c r="D95" s="5"/>
      <c r="E95" s="5"/>
      <c r="F95" s="6"/>
      <c r="G95" s="6"/>
      <c r="H95" s="7"/>
      <c r="I95" s="8"/>
      <c r="K95" s="9" t="str">
        <f>IFERROR(INDEX($AL$11:$AL$4010,MATCH(85,$AX$11:$AX$4010,0)),"")</f>
        <v/>
      </c>
      <c r="L95" s="10" t="str">
        <f t="shared" si="16"/>
        <v/>
      </c>
      <c r="M95" s="11" t="str">
        <f t="shared" si="17"/>
        <v/>
      </c>
      <c r="N95" s="11" t="str">
        <f t="shared" si="18"/>
        <v/>
      </c>
      <c r="P95" s="12" t="str">
        <f>IFERROR(INDEX($AM$11:$AM$4010,MATCH($S$8&amp;"|"&amp;85,$BA$11:$BA$4010,0)),"")</f>
        <v/>
      </c>
      <c r="Q95" s="11" t="str">
        <f>IF(P95="","",IFERROR(INDEX($AN$11:$AN$4010,MATCH($S$8&amp;"|"&amp;85,$BA$11:$BA$4010,0)),""))</f>
        <v/>
      </c>
      <c r="R95" s="11" t="str">
        <f>IF(P95="","",IFERROR(INDEX($AO$11:$AO$4010,MATCH($S$8&amp;"|"&amp;85,$BA$11:$BA$4010,0)),""))</f>
        <v/>
      </c>
      <c r="S95" s="10" t="str">
        <f>IF(P95="","",IFERROR(INDEX($AP$11:$AP$4010,MATCH($S$8&amp;"|"&amp;85,$BA$11:$BA$4010,0)),""))</f>
        <v/>
      </c>
      <c r="T95" s="10" t="str">
        <f>IF(P95="","",IFERROR(INDEX($AQ$11:$AQ$4010,MATCH($S$8&amp;"|"&amp;85,$BA$11:$BA$4010,0)),""))</f>
        <v/>
      </c>
      <c r="U95" s="39" t="str">
        <f t="shared" si="19"/>
        <v/>
      </c>
      <c r="W95" s="14" t="str">
        <f>IF(X95="","",IFERROR(INDEX($AL$11:$AL$4010,MATCH(85,$AY$11:$AY$4010,0)),""))</f>
        <v/>
      </c>
      <c r="X95" s="12" t="str">
        <f>IFERROR(INDEX($AM$11:$AM$4010,MATCH(85,$AY$11:$AY$4010,0)),"")</f>
        <v/>
      </c>
      <c r="Y95" s="11" t="str">
        <f>IF(X95="","",IFERROR(INDEX($AN$11:$AN$4010,MATCH(85,$AY$11:$AY$4010,0)),""))</f>
        <v/>
      </c>
      <c r="Z95" s="11" t="str">
        <f>IF(X95="","",IFERROR(INDEX($AO$11:$AO$4010,MATCH(85,$AY$11:$AY$4010,0)),""))</f>
        <v/>
      </c>
      <c r="AA95" s="10" t="str">
        <f>IF(X95="","",IFERROR(INDEX($AQ$11:$AQ$4010,MATCH(85,$AY$11:$AY$4010,0)),""))</f>
        <v/>
      </c>
      <c r="AB95" s="15" t="str">
        <f>IF(X95="","",IFERROR(INDEX($AR$11:$AR$4010,MATCH(85,$AY$11:$AY$4010,0)),""))</f>
        <v/>
      </c>
      <c r="AD95" s="16" t="str">
        <f>IF(AE95="","",IFERROR(INDEX($AL$11:$AL$4010,MATCH(85,$AZ$11:$AZ$4010,0)),""))</f>
        <v/>
      </c>
      <c r="AE95" s="12" t="str">
        <f>IFERROR(INDEX($AM$11:$AM$4010,MATCH(85,$AZ$11:$AZ$4010,0)),"")</f>
        <v/>
      </c>
      <c r="AF95" s="11" t="str">
        <f>IF(AE95="","",IFERROR(INDEX($AN$11:$AN$4010,MATCH(85,$AZ$11:$AZ$4010,0)),""))</f>
        <v/>
      </c>
      <c r="AG95" s="11" t="str">
        <f>IF(AE95="","",IFERROR(INDEX($AO$11:$AO$4010,MATCH(85,$AZ$11:$AZ$4010,0)),""))</f>
        <v/>
      </c>
      <c r="AH95" s="10" t="str">
        <f>IF(AE95="","",IFERROR(INDEX($AQ$11:$AQ$4010,MATCH(85,$AZ$11:$AZ$4010,0)),""))</f>
        <v/>
      </c>
      <c r="AI95" s="15" t="str">
        <f>IF(AE95="","",IFERROR(INDEX($AR$11:$AR$4010,MATCH(85,$AZ$11:$AZ$4010,0)),""))</f>
        <v/>
      </c>
      <c r="AJ95" s="15" t="str">
        <f>IF(AE95="","",IFERROR(INDEX($AT$11:$AT$4010,MATCH(85,$AZ$11:$AZ$4010,0)),""))</f>
        <v/>
      </c>
      <c r="AL95" s="17" t="str">
        <f t="shared" si="20"/>
        <v/>
      </c>
      <c r="AM95" s="12" t="str">
        <f t="shared" si="21"/>
        <v/>
      </c>
      <c r="AN95" s="18" t="str">
        <f t="shared" si="22"/>
        <v/>
      </c>
      <c r="AO95" s="18" t="str">
        <f t="shared" si="23"/>
        <v/>
      </c>
      <c r="AP95" s="10" t="str">
        <f t="shared" si="24"/>
        <v/>
      </c>
      <c r="AQ95" s="10" t="str">
        <f t="shared" si="25"/>
        <v/>
      </c>
      <c r="AR95" s="19" t="str">
        <f t="shared" si="26"/>
        <v/>
      </c>
      <c r="AS95" s="20"/>
      <c r="AT95" s="19"/>
      <c r="AV95" s="21">
        <f>IF(AND($AL95&lt;&gt;"",COUNTIF($AL$11:$AL95,$AL95)=1),1,0)</f>
        <v>0</v>
      </c>
      <c r="AW95" s="21">
        <f t="shared" si="28"/>
        <v>2</v>
      </c>
      <c r="AX95" s="21" t="str">
        <f t="shared" si="27"/>
        <v/>
      </c>
      <c r="AY95" s="21" t="str">
        <f>IF(AND($AM95&lt;&gt;"",$AS95&lt;&gt;"✓"),SUMPRODUCT(($AM$11:$AM95&lt;&gt;"")*($AS$11:$AS95&lt;&gt;"✓")),"")</f>
        <v/>
      </c>
      <c r="AZ95" s="21" t="str">
        <f>IF(AND($AM95&lt;&gt;"",$AS95="✓"),SUMPRODUCT(($AM$11:$AM95&lt;&gt;"")*($AS$11:$AS95="✓")),"")</f>
        <v/>
      </c>
      <c r="BA95" s="21" t="str">
        <f>IF($AL95="","",$AL95&amp;"|"&amp;COUNTIF($AL$11:$AL95,$AL95))</f>
        <v/>
      </c>
    </row>
    <row r="96" spans="2:53" ht="15" customHeight="1" x14ac:dyDescent="0.25">
      <c r="B96" s="5" t="str">
        <f t="shared" si="15"/>
        <v/>
      </c>
      <c r="C96" s="5"/>
      <c r="D96" s="5"/>
      <c r="E96" s="5"/>
      <c r="F96" s="6"/>
      <c r="G96" s="6"/>
      <c r="H96" s="7"/>
      <c r="I96" s="8"/>
      <c r="K96" s="23" t="str">
        <f>IFERROR(INDEX($AL$11:$AL$4010,MATCH(86,$AX$11:$AX$4010,0)),"")</f>
        <v/>
      </c>
      <c r="L96" s="24" t="str">
        <f t="shared" si="16"/>
        <v/>
      </c>
      <c r="M96" s="25" t="str">
        <f t="shared" si="17"/>
        <v/>
      </c>
      <c r="N96" s="25" t="str">
        <f t="shared" si="18"/>
        <v/>
      </c>
      <c r="P96" s="26" t="str">
        <f>IFERROR(INDEX($AM$11:$AM$4010,MATCH($S$8&amp;"|"&amp;86,$BA$11:$BA$4010,0)),"")</f>
        <v/>
      </c>
      <c r="Q96" s="25" t="str">
        <f>IF(P96="","",IFERROR(INDEX($AN$11:$AN$4010,MATCH($S$8&amp;"|"&amp;86,$BA$11:$BA$4010,0)),""))</f>
        <v/>
      </c>
      <c r="R96" s="25" t="str">
        <f>IF(P96="","",IFERROR(INDEX($AO$11:$AO$4010,MATCH($S$8&amp;"|"&amp;86,$BA$11:$BA$4010,0)),""))</f>
        <v/>
      </c>
      <c r="S96" s="24" t="str">
        <f>IF(P96="","",IFERROR(INDEX($AP$11:$AP$4010,MATCH($S$8&amp;"|"&amp;86,$BA$11:$BA$4010,0)),""))</f>
        <v/>
      </c>
      <c r="T96" s="24" t="str">
        <f>IF(P96="","",IFERROR(INDEX($AQ$11:$AQ$4010,MATCH($S$8&amp;"|"&amp;86,$BA$11:$BA$4010,0)),""))</f>
        <v/>
      </c>
      <c r="U96" s="38" t="str">
        <f t="shared" si="19"/>
        <v/>
      </c>
      <c r="W96" s="28" t="str">
        <f>IF(X96="","",IFERROR(INDEX($AL$11:$AL$4010,MATCH(86,$AY$11:$AY$4010,0)),""))</f>
        <v/>
      </c>
      <c r="X96" s="26" t="str">
        <f>IFERROR(INDEX($AM$11:$AM$4010,MATCH(86,$AY$11:$AY$4010,0)),"")</f>
        <v/>
      </c>
      <c r="Y96" s="25" t="str">
        <f>IF(X96="","",IFERROR(INDEX($AN$11:$AN$4010,MATCH(86,$AY$11:$AY$4010,0)),""))</f>
        <v/>
      </c>
      <c r="Z96" s="25" t="str">
        <f>IF(X96="","",IFERROR(INDEX($AO$11:$AO$4010,MATCH(86,$AY$11:$AY$4010,0)),""))</f>
        <v/>
      </c>
      <c r="AA96" s="24" t="str">
        <f>IF(X96="","",IFERROR(INDEX($AQ$11:$AQ$4010,MATCH(86,$AY$11:$AY$4010,0)),""))</f>
        <v/>
      </c>
      <c r="AB96" s="29" t="str">
        <f>IF(X96="","",IFERROR(INDEX($AR$11:$AR$4010,MATCH(86,$AY$11:$AY$4010,0)),""))</f>
        <v/>
      </c>
      <c r="AD96" s="30" t="str">
        <f>IF(AE96="","",IFERROR(INDEX($AL$11:$AL$4010,MATCH(86,$AZ$11:$AZ$4010,0)),""))</f>
        <v/>
      </c>
      <c r="AE96" s="26" t="str">
        <f>IFERROR(INDEX($AM$11:$AM$4010,MATCH(86,$AZ$11:$AZ$4010,0)),"")</f>
        <v/>
      </c>
      <c r="AF96" s="25" t="str">
        <f>IF(AE96="","",IFERROR(INDEX($AN$11:$AN$4010,MATCH(86,$AZ$11:$AZ$4010,0)),""))</f>
        <v/>
      </c>
      <c r="AG96" s="25" t="str">
        <f>IF(AE96="","",IFERROR(INDEX($AO$11:$AO$4010,MATCH(86,$AZ$11:$AZ$4010,0)),""))</f>
        <v/>
      </c>
      <c r="AH96" s="24" t="str">
        <f>IF(AE96="","",IFERROR(INDEX($AQ$11:$AQ$4010,MATCH(86,$AZ$11:$AZ$4010,0)),""))</f>
        <v/>
      </c>
      <c r="AI96" s="29" t="str">
        <f>IF(AE96="","",IFERROR(INDEX($AR$11:$AR$4010,MATCH(86,$AZ$11:$AZ$4010,0)),""))</f>
        <v/>
      </c>
      <c r="AJ96" s="29" t="str">
        <f>IF(AE96="","",IFERROR(INDEX($AT$11:$AT$4010,MATCH(86,$AZ$11:$AZ$4010,0)),""))</f>
        <v/>
      </c>
      <c r="AL96" s="31" t="str">
        <f t="shared" si="20"/>
        <v/>
      </c>
      <c r="AM96" s="26" t="str">
        <f t="shared" si="21"/>
        <v/>
      </c>
      <c r="AN96" s="32" t="str">
        <f t="shared" si="22"/>
        <v/>
      </c>
      <c r="AO96" s="32" t="str">
        <f t="shared" si="23"/>
        <v/>
      </c>
      <c r="AP96" s="24" t="str">
        <f t="shared" si="24"/>
        <v/>
      </c>
      <c r="AQ96" s="24" t="str">
        <f t="shared" si="25"/>
        <v/>
      </c>
      <c r="AR96" s="33" t="str">
        <f t="shared" si="26"/>
        <v/>
      </c>
      <c r="AS96" s="34"/>
      <c r="AT96" s="33"/>
      <c r="AV96" s="21">
        <f>IF(AND($AL96&lt;&gt;"",COUNTIF($AL$11:$AL96,$AL96)=1),1,0)</f>
        <v>0</v>
      </c>
      <c r="AW96" s="21">
        <f t="shared" si="28"/>
        <v>2</v>
      </c>
      <c r="AX96" s="21" t="str">
        <f t="shared" si="27"/>
        <v/>
      </c>
      <c r="AY96" s="21" t="str">
        <f>IF(AND($AM96&lt;&gt;"",$AS96&lt;&gt;"✓"),SUMPRODUCT(($AM$11:$AM96&lt;&gt;"")*($AS$11:$AS96&lt;&gt;"✓")),"")</f>
        <v/>
      </c>
      <c r="AZ96" s="21" t="str">
        <f>IF(AND($AM96&lt;&gt;"",$AS96="✓"),SUMPRODUCT(($AM$11:$AM96&lt;&gt;"")*($AS$11:$AS96="✓")),"")</f>
        <v/>
      </c>
      <c r="BA96" s="21" t="str">
        <f>IF($AL96="","",$AL96&amp;"|"&amp;COUNTIF($AL$11:$AL96,$AL96))</f>
        <v/>
      </c>
    </row>
    <row r="97" spans="2:53" ht="15" customHeight="1" x14ac:dyDescent="0.25">
      <c r="B97" s="5" t="str">
        <f t="shared" si="15"/>
        <v/>
      </c>
      <c r="C97" s="5"/>
      <c r="D97" s="5"/>
      <c r="E97" s="5"/>
      <c r="F97" s="6"/>
      <c r="G97" s="6"/>
      <c r="H97" s="7"/>
      <c r="I97" s="8"/>
      <c r="K97" s="9" t="str">
        <f>IFERROR(INDEX($AL$11:$AL$4010,MATCH(87,$AX$11:$AX$4010,0)),"")</f>
        <v/>
      </c>
      <c r="L97" s="10" t="str">
        <f t="shared" si="16"/>
        <v/>
      </c>
      <c r="M97" s="11" t="str">
        <f t="shared" si="17"/>
        <v/>
      </c>
      <c r="N97" s="11" t="str">
        <f t="shared" si="18"/>
        <v/>
      </c>
      <c r="P97" s="12" t="str">
        <f>IFERROR(INDEX($AM$11:$AM$4010,MATCH($S$8&amp;"|"&amp;87,$BA$11:$BA$4010,0)),"")</f>
        <v/>
      </c>
      <c r="Q97" s="11" t="str">
        <f>IF(P97="","",IFERROR(INDEX($AN$11:$AN$4010,MATCH($S$8&amp;"|"&amp;87,$BA$11:$BA$4010,0)),""))</f>
        <v/>
      </c>
      <c r="R97" s="11" t="str">
        <f>IF(P97="","",IFERROR(INDEX($AO$11:$AO$4010,MATCH($S$8&amp;"|"&amp;87,$BA$11:$BA$4010,0)),""))</f>
        <v/>
      </c>
      <c r="S97" s="10" t="str">
        <f>IF(P97="","",IFERROR(INDEX($AP$11:$AP$4010,MATCH($S$8&amp;"|"&amp;87,$BA$11:$BA$4010,0)),""))</f>
        <v/>
      </c>
      <c r="T97" s="10" t="str">
        <f>IF(P97="","",IFERROR(INDEX($AQ$11:$AQ$4010,MATCH($S$8&amp;"|"&amp;87,$BA$11:$BA$4010,0)),""))</f>
        <v/>
      </c>
      <c r="U97" s="39" t="str">
        <f t="shared" si="19"/>
        <v/>
      </c>
      <c r="W97" s="14" t="str">
        <f>IF(X97="","",IFERROR(INDEX($AL$11:$AL$4010,MATCH(87,$AY$11:$AY$4010,0)),""))</f>
        <v/>
      </c>
      <c r="X97" s="12" t="str">
        <f>IFERROR(INDEX($AM$11:$AM$4010,MATCH(87,$AY$11:$AY$4010,0)),"")</f>
        <v/>
      </c>
      <c r="Y97" s="11" t="str">
        <f>IF(X97="","",IFERROR(INDEX($AN$11:$AN$4010,MATCH(87,$AY$11:$AY$4010,0)),""))</f>
        <v/>
      </c>
      <c r="Z97" s="11" t="str">
        <f>IF(X97="","",IFERROR(INDEX($AO$11:$AO$4010,MATCH(87,$AY$11:$AY$4010,0)),""))</f>
        <v/>
      </c>
      <c r="AA97" s="10" t="str">
        <f>IF(X97="","",IFERROR(INDEX($AQ$11:$AQ$4010,MATCH(87,$AY$11:$AY$4010,0)),""))</f>
        <v/>
      </c>
      <c r="AB97" s="15" t="str">
        <f>IF(X97="","",IFERROR(INDEX($AR$11:$AR$4010,MATCH(87,$AY$11:$AY$4010,0)),""))</f>
        <v/>
      </c>
      <c r="AD97" s="16" t="str">
        <f>IF(AE97="","",IFERROR(INDEX($AL$11:$AL$4010,MATCH(87,$AZ$11:$AZ$4010,0)),""))</f>
        <v/>
      </c>
      <c r="AE97" s="12" t="str">
        <f>IFERROR(INDEX($AM$11:$AM$4010,MATCH(87,$AZ$11:$AZ$4010,0)),"")</f>
        <v/>
      </c>
      <c r="AF97" s="11" t="str">
        <f>IF(AE97="","",IFERROR(INDEX($AN$11:$AN$4010,MATCH(87,$AZ$11:$AZ$4010,0)),""))</f>
        <v/>
      </c>
      <c r="AG97" s="11" t="str">
        <f>IF(AE97="","",IFERROR(INDEX($AO$11:$AO$4010,MATCH(87,$AZ$11:$AZ$4010,0)),""))</f>
        <v/>
      </c>
      <c r="AH97" s="10" t="str">
        <f>IF(AE97="","",IFERROR(INDEX($AQ$11:$AQ$4010,MATCH(87,$AZ$11:$AZ$4010,0)),""))</f>
        <v/>
      </c>
      <c r="AI97" s="15" t="str">
        <f>IF(AE97="","",IFERROR(INDEX($AR$11:$AR$4010,MATCH(87,$AZ$11:$AZ$4010,0)),""))</f>
        <v/>
      </c>
      <c r="AJ97" s="15" t="str">
        <f>IF(AE97="","",IFERROR(INDEX($AT$11:$AT$4010,MATCH(87,$AZ$11:$AZ$4010,0)),""))</f>
        <v/>
      </c>
      <c r="AL97" s="17" t="str">
        <f t="shared" si="20"/>
        <v/>
      </c>
      <c r="AM97" s="12" t="str">
        <f t="shared" si="21"/>
        <v/>
      </c>
      <c r="AN97" s="18" t="str">
        <f t="shared" si="22"/>
        <v/>
      </c>
      <c r="AO97" s="18" t="str">
        <f t="shared" si="23"/>
        <v/>
      </c>
      <c r="AP97" s="10" t="str">
        <f t="shared" si="24"/>
        <v/>
      </c>
      <c r="AQ97" s="10" t="str">
        <f t="shared" si="25"/>
        <v/>
      </c>
      <c r="AR97" s="19" t="str">
        <f t="shared" si="26"/>
        <v/>
      </c>
      <c r="AS97" s="20"/>
      <c r="AT97" s="19"/>
      <c r="AV97" s="21">
        <f>IF(AND($AL97&lt;&gt;"",COUNTIF($AL$11:$AL97,$AL97)=1),1,0)</f>
        <v>0</v>
      </c>
      <c r="AW97" s="21">
        <f t="shared" si="28"/>
        <v>2</v>
      </c>
      <c r="AX97" s="21" t="str">
        <f t="shared" si="27"/>
        <v/>
      </c>
      <c r="AY97" s="21" t="str">
        <f>IF(AND($AM97&lt;&gt;"",$AS97&lt;&gt;"✓"),SUMPRODUCT(($AM$11:$AM97&lt;&gt;"")*($AS$11:$AS97&lt;&gt;"✓")),"")</f>
        <v/>
      </c>
      <c r="AZ97" s="21" t="str">
        <f>IF(AND($AM97&lt;&gt;"",$AS97="✓"),SUMPRODUCT(($AM$11:$AM97&lt;&gt;"")*($AS$11:$AS97="✓")),"")</f>
        <v/>
      </c>
      <c r="BA97" s="21" t="str">
        <f>IF($AL97="","",$AL97&amp;"|"&amp;COUNTIF($AL$11:$AL97,$AL97))</f>
        <v/>
      </c>
    </row>
    <row r="98" spans="2:53" ht="15" customHeight="1" x14ac:dyDescent="0.25">
      <c r="B98" s="5" t="str">
        <f t="shared" si="15"/>
        <v/>
      </c>
      <c r="C98" s="5"/>
      <c r="D98" s="5"/>
      <c r="E98" s="5"/>
      <c r="F98" s="6"/>
      <c r="G98" s="6"/>
      <c r="H98" s="7"/>
      <c r="I98" s="8"/>
      <c r="K98" s="23" t="str">
        <f>IFERROR(INDEX($AL$11:$AL$4010,MATCH(88,$AX$11:$AX$4010,0)),"")</f>
        <v/>
      </c>
      <c r="L98" s="24" t="str">
        <f t="shared" si="16"/>
        <v/>
      </c>
      <c r="M98" s="25" t="str">
        <f t="shared" si="17"/>
        <v/>
      </c>
      <c r="N98" s="25" t="str">
        <f t="shared" si="18"/>
        <v/>
      </c>
      <c r="P98" s="26" t="str">
        <f>IFERROR(INDEX($AM$11:$AM$4010,MATCH($S$8&amp;"|"&amp;88,$BA$11:$BA$4010,0)),"")</f>
        <v/>
      </c>
      <c r="Q98" s="25" t="str">
        <f>IF(P98="","",IFERROR(INDEX($AN$11:$AN$4010,MATCH($S$8&amp;"|"&amp;88,$BA$11:$BA$4010,0)),""))</f>
        <v/>
      </c>
      <c r="R98" s="25" t="str">
        <f>IF(P98="","",IFERROR(INDEX($AO$11:$AO$4010,MATCH($S$8&amp;"|"&amp;88,$BA$11:$BA$4010,0)),""))</f>
        <v/>
      </c>
      <c r="S98" s="24" t="str">
        <f>IF(P98="","",IFERROR(INDEX($AP$11:$AP$4010,MATCH($S$8&amp;"|"&amp;88,$BA$11:$BA$4010,0)),""))</f>
        <v/>
      </c>
      <c r="T98" s="24" t="str">
        <f>IF(P98="","",IFERROR(INDEX($AQ$11:$AQ$4010,MATCH($S$8&amp;"|"&amp;88,$BA$11:$BA$4010,0)),""))</f>
        <v/>
      </c>
      <c r="U98" s="38" t="str">
        <f t="shared" si="19"/>
        <v/>
      </c>
      <c r="W98" s="28" t="str">
        <f>IF(X98="","",IFERROR(INDEX($AL$11:$AL$4010,MATCH(88,$AY$11:$AY$4010,0)),""))</f>
        <v/>
      </c>
      <c r="X98" s="26" t="str">
        <f>IFERROR(INDEX($AM$11:$AM$4010,MATCH(88,$AY$11:$AY$4010,0)),"")</f>
        <v/>
      </c>
      <c r="Y98" s="25" t="str">
        <f>IF(X98="","",IFERROR(INDEX($AN$11:$AN$4010,MATCH(88,$AY$11:$AY$4010,0)),""))</f>
        <v/>
      </c>
      <c r="Z98" s="25" t="str">
        <f>IF(X98="","",IFERROR(INDEX($AO$11:$AO$4010,MATCH(88,$AY$11:$AY$4010,0)),""))</f>
        <v/>
      </c>
      <c r="AA98" s="24" t="str">
        <f>IF(X98="","",IFERROR(INDEX($AQ$11:$AQ$4010,MATCH(88,$AY$11:$AY$4010,0)),""))</f>
        <v/>
      </c>
      <c r="AB98" s="29" t="str">
        <f>IF(X98="","",IFERROR(INDEX($AR$11:$AR$4010,MATCH(88,$AY$11:$AY$4010,0)),""))</f>
        <v/>
      </c>
      <c r="AD98" s="30" t="str">
        <f>IF(AE98="","",IFERROR(INDEX($AL$11:$AL$4010,MATCH(88,$AZ$11:$AZ$4010,0)),""))</f>
        <v/>
      </c>
      <c r="AE98" s="26" t="str">
        <f>IFERROR(INDEX($AM$11:$AM$4010,MATCH(88,$AZ$11:$AZ$4010,0)),"")</f>
        <v/>
      </c>
      <c r="AF98" s="25" t="str">
        <f>IF(AE98="","",IFERROR(INDEX($AN$11:$AN$4010,MATCH(88,$AZ$11:$AZ$4010,0)),""))</f>
        <v/>
      </c>
      <c r="AG98" s="25" t="str">
        <f>IF(AE98="","",IFERROR(INDEX($AO$11:$AO$4010,MATCH(88,$AZ$11:$AZ$4010,0)),""))</f>
        <v/>
      </c>
      <c r="AH98" s="24" t="str">
        <f>IF(AE98="","",IFERROR(INDEX($AQ$11:$AQ$4010,MATCH(88,$AZ$11:$AZ$4010,0)),""))</f>
        <v/>
      </c>
      <c r="AI98" s="29" t="str">
        <f>IF(AE98="","",IFERROR(INDEX($AR$11:$AR$4010,MATCH(88,$AZ$11:$AZ$4010,0)),""))</f>
        <v/>
      </c>
      <c r="AJ98" s="29" t="str">
        <f>IF(AE98="","",IFERROR(INDEX($AT$11:$AT$4010,MATCH(88,$AZ$11:$AZ$4010,0)),""))</f>
        <v/>
      </c>
      <c r="AL98" s="31" t="str">
        <f t="shared" si="20"/>
        <v/>
      </c>
      <c r="AM98" s="26" t="str">
        <f t="shared" si="21"/>
        <v/>
      </c>
      <c r="AN98" s="32" t="str">
        <f t="shared" si="22"/>
        <v/>
      </c>
      <c r="AO98" s="32" t="str">
        <f t="shared" si="23"/>
        <v/>
      </c>
      <c r="AP98" s="24" t="str">
        <f t="shared" si="24"/>
        <v/>
      </c>
      <c r="AQ98" s="24" t="str">
        <f t="shared" si="25"/>
        <v/>
      </c>
      <c r="AR98" s="33" t="str">
        <f t="shared" si="26"/>
        <v/>
      </c>
      <c r="AS98" s="34"/>
      <c r="AT98" s="33"/>
      <c r="AV98" s="21">
        <f>IF(AND($AL98&lt;&gt;"",COUNTIF($AL$11:$AL98,$AL98)=1),1,0)</f>
        <v>0</v>
      </c>
      <c r="AW98" s="21">
        <f t="shared" si="28"/>
        <v>2</v>
      </c>
      <c r="AX98" s="21" t="str">
        <f t="shared" si="27"/>
        <v/>
      </c>
      <c r="AY98" s="21" t="str">
        <f>IF(AND($AM98&lt;&gt;"",$AS98&lt;&gt;"✓"),SUMPRODUCT(($AM$11:$AM98&lt;&gt;"")*($AS$11:$AS98&lt;&gt;"✓")),"")</f>
        <v/>
      </c>
      <c r="AZ98" s="21" t="str">
        <f>IF(AND($AM98&lt;&gt;"",$AS98="✓"),SUMPRODUCT(($AM$11:$AM98&lt;&gt;"")*($AS$11:$AS98="✓")),"")</f>
        <v/>
      </c>
      <c r="BA98" s="21" t="str">
        <f>IF($AL98="","",$AL98&amp;"|"&amp;COUNTIF($AL$11:$AL98,$AL98))</f>
        <v/>
      </c>
    </row>
    <row r="99" spans="2:53" ht="15" customHeight="1" x14ac:dyDescent="0.25">
      <c r="B99" s="5" t="str">
        <f t="shared" si="15"/>
        <v/>
      </c>
      <c r="C99" s="5"/>
      <c r="D99" s="5"/>
      <c r="E99" s="5"/>
      <c r="F99" s="6"/>
      <c r="G99" s="6"/>
      <c r="H99" s="7"/>
      <c r="I99" s="8"/>
      <c r="K99" s="9" t="str">
        <f>IFERROR(INDEX($AL$11:$AL$4010,MATCH(89,$AX$11:$AX$4010,0)),"")</f>
        <v/>
      </c>
      <c r="L99" s="10" t="str">
        <f t="shared" si="16"/>
        <v/>
      </c>
      <c r="M99" s="11" t="str">
        <f t="shared" si="17"/>
        <v/>
      </c>
      <c r="N99" s="11" t="str">
        <f t="shared" si="18"/>
        <v/>
      </c>
      <c r="P99" s="12" t="str">
        <f>IFERROR(INDEX($AM$11:$AM$4010,MATCH($S$8&amp;"|"&amp;89,$BA$11:$BA$4010,0)),"")</f>
        <v/>
      </c>
      <c r="Q99" s="11" t="str">
        <f>IF(P99="","",IFERROR(INDEX($AN$11:$AN$4010,MATCH($S$8&amp;"|"&amp;89,$BA$11:$BA$4010,0)),""))</f>
        <v/>
      </c>
      <c r="R99" s="11" t="str">
        <f>IF(P99="","",IFERROR(INDEX($AO$11:$AO$4010,MATCH($S$8&amp;"|"&amp;89,$BA$11:$BA$4010,0)),""))</f>
        <v/>
      </c>
      <c r="S99" s="10" t="str">
        <f>IF(P99="","",IFERROR(INDEX($AP$11:$AP$4010,MATCH($S$8&amp;"|"&amp;89,$BA$11:$BA$4010,0)),""))</f>
        <v/>
      </c>
      <c r="T99" s="10" t="str">
        <f>IF(P99="","",IFERROR(INDEX($AQ$11:$AQ$4010,MATCH($S$8&amp;"|"&amp;89,$BA$11:$BA$4010,0)),""))</f>
        <v/>
      </c>
      <c r="U99" s="39" t="str">
        <f t="shared" si="19"/>
        <v/>
      </c>
      <c r="W99" s="14" t="str">
        <f>IF(X99="","",IFERROR(INDEX($AL$11:$AL$4010,MATCH(89,$AY$11:$AY$4010,0)),""))</f>
        <v/>
      </c>
      <c r="X99" s="12" t="str">
        <f>IFERROR(INDEX($AM$11:$AM$4010,MATCH(89,$AY$11:$AY$4010,0)),"")</f>
        <v/>
      </c>
      <c r="Y99" s="11" t="str">
        <f>IF(X99="","",IFERROR(INDEX($AN$11:$AN$4010,MATCH(89,$AY$11:$AY$4010,0)),""))</f>
        <v/>
      </c>
      <c r="Z99" s="11" t="str">
        <f>IF(X99="","",IFERROR(INDEX($AO$11:$AO$4010,MATCH(89,$AY$11:$AY$4010,0)),""))</f>
        <v/>
      </c>
      <c r="AA99" s="10" t="str">
        <f>IF(X99="","",IFERROR(INDEX($AQ$11:$AQ$4010,MATCH(89,$AY$11:$AY$4010,0)),""))</f>
        <v/>
      </c>
      <c r="AB99" s="15" t="str">
        <f>IF(X99="","",IFERROR(INDEX($AR$11:$AR$4010,MATCH(89,$AY$11:$AY$4010,0)),""))</f>
        <v/>
      </c>
      <c r="AD99" s="16" t="str">
        <f>IF(AE99="","",IFERROR(INDEX($AL$11:$AL$4010,MATCH(89,$AZ$11:$AZ$4010,0)),""))</f>
        <v/>
      </c>
      <c r="AE99" s="12" t="str">
        <f>IFERROR(INDEX($AM$11:$AM$4010,MATCH(89,$AZ$11:$AZ$4010,0)),"")</f>
        <v/>
      </c>
      <c r="AF99" s="11" t="str">
        <f>IF(AE99="","",IFERROR(INDEX($AN$11:$AN$4010,MATCH(89,$AZ$11:$AZ$4010,0)),""))</f>
        <v/>
      </c>
      <c r="AG99" s="11" t="str">
        <f>IF(AE99="","",IFERROR(INDEX($AO$11:$AO$4010,MATCH(89,$AZ$11:$AZ$4010,0)),""))</f>
        <v/>
      </c>
      <c r="AH99" s="10" t="str">
        <f>IF(AE99="","",IFERROR(INDEX($AQ$11:$AQ$4010,MATCH(89,$AZ$11:$AZ$4010,0)),""))</f>
        <v/>
      </c>
      <c r="AI99" s="15" t="str">
        <f>IF(AE99="","",IFERROR(INDEX($AR$11:$AR$4010,MATCH(89,$AZ$11:$AZ$4010,0)),""))</f>
        <v/>
      </c>
      <c r="AJ99" s="15" t="str">
        <f>IF(AE99="","",IFERROR(INDEX($AT$11:$AT$4010,MATCH(89,$AZ$11:$AZ$4010,0)),""))</f>
        <v/>
      </c>
      <c r="AL99" s="17" t="str">
        <f t="shared" si="20"/>
        <v/>
      </c>
      <c r="AM99" s="12" t="str">
        <f t="shared" si="21"/>
        <v/>
      </c>
      <c r="AN99" s="18" t="str">
        <f t="shared" si="22"/>
        <v/>
      </c>
      <c r="AO99" s="18" t="str">
        <f t="shared" si="23"/>
        <v/>
      </c>
      <c r="AP99" s="10" t="str">
        <f t="shared" si="24"/>
        <v/>
      </c>
      <c r="AQ99" s="10" t="str">
        <f t="shared" si="25"/>
        <v/>
      </c>
      <c r="AR99" s="19" t="str">
        <f t="shared" si="26"/>
        <v/>
      </c>
      <c r="AS99" s="20"/>
      <c r="AT99" s="19"/>
      <c r="AV99" s="21">
        <f>IF(AND($AL99&lt;&gt;"",COUNTIF($AL$11:$AL99,$AL99)=1),1,0)</f>
        <v>0</v>
      </c>
      <c r="AW99" s="21">
        <f t="shared" si="28"/>
        <v>2</v>
      </c>
      <c r="AX99" s="21" t="str">
        <f t="shared" si="27"/>
        <v/>
      </c>
      <c r="AY99" s="21" t="str">
        <f>IF(AND($AM99&lt;&gt;"",$AS99&lt;&gt;"✓"),SUMPRODUCT(($AM$11:$AM99&lt;&gt;"")*($AS$11:$AS99&lt;&gt;"✓")),"")</f>
        <v/>
      </c>
      <c r="AZ99" s="21" t="str">
        <f>IF(AND($AM99&lt;&gt;"",$AS99="✓"),SUMPRODUCT(($AM$11:$AM99&lt;&gt;"")*($AS$11:$AS99="✓")),"")</f>
        <v/>
      </c>
      <c r="BA99" s="21" t="str">
        <f>IF($AL99="","",$AL99&amp;"|"&amp;COUNTIF($AL$11:$AL99,$AL99))</f>
        <v/>
      </c>
    </row>
    <row r="100" spans="2:53" ht="15" customHeight="1" x14ac:dyDescent="0.25">
      <c r="B100" s="5" t="str">
        <f t="shared" si="15"/>
        <v/>
      </c>
      <c r="C100" s="5"/>
      <c r="D100" s="5"/>
      <c r="E100" s="5"/>
      <c r="F100" s="6"/>
      <c r="G100" s="6"/>
      <c r="H100" s="7"/>
      <c r="I100" s="8"/>
      <c r="K100" s="23" t="str">
        <f>IFERROR(INDEX($AL$11:$AL$4010,MATCH(90,$AX$11:$AX$4010,0)),"")</f>
        <v/>
      </c>
      <c r="L100" s="24" t="str">
        <f t="shared" si="16"/>
        <v/>
      </c>
      <c r="M100" s="25" t="str">
        <f t="shared" si="17"/>
        <v/>
      </c>
      <c r="N100" s="25" t="str">
        <f t="shared" si="18"/>
        <v/>
      </c>
      <c r="P100" s="26" t="str">
        <f>IFERROR(INDEX($AM$11:$AM$4010,MATCH($S$8&amp;"|"&amp;90,$BA$11:$BA$4010,0)),"")</f>
        <v/>
      </c>
      <c r="Q100" s="25" t="str">
        <f>IF(P100="","",IFERROR(INDEX($AN$11:$AN$4010,MATCH($S$8&amp;"|"&amp;90,$BA$11:$BA$4010,0)),""))</f>
        <v/>
      </c>
      <c r="R100" s="25" t="str">
        <f>IF(P100="","",IFERROR(INDEX($AO$11:$AO$4010,MATCH($S$8&amp;"|"&amp;90,$BA$11:$BA$4010,0)),""))</f>
        <v/>
      </c>
      <c r="S100" s="24" t="str">
        <f>IF(P100="","",IFERROR(INDEX($AP$11:$AP$4010,MATCH($S$8&amp;"|"&amp;90,$BA$11:$BA$4010,0)),""))</f>
        <v/>
      </c>
      <c r="T100" s="24" t="str">
        <f>IF(P100="","",IFERROR(INDEX($AQ$11:$AQ$4010,MATCH($S$8&amp;"|"&amp;90,$BA$11:$BA$4010,0)),""))</f>
        <v/>
      </c>
      <c r="U100" s="38" t="str">
        <f t="shared" si="19"/>
        <v/>
      </c>
      <c r="W100" s="28" t="str">
        <f>IF(X100="","",IFERROR(INDEX($AL$11:$AL$4010,MATCH(90,$AY$11:$AY$4010,0)),""))</f>
        <v/>
      </c>
      <c r="X100" s="26" t="str">
        <f>IFERROR(INDEX($AM$11:$AM$4010,MATCH(90,$AY$11:$AY$4010,0)),"")</f>
        <v/>
      </c>
      <c r="Y100" s="25" t="str">
        <f>IF(X100="","",IFERROR(INDEX($AN$11:$AN$4010,MATCH(90,$AY$11:$AY$4010,0)),""))</f>
        <v/>
      </c>
      <c r="Z100" s="25" t="str">
        <f>IF(X100="","",IFERROR(INDEX($AO$11:$AO$4010,MATCH(90,$AY$11:$AY$4010,0)),""))</f>
        <v/>
      </c>
      <c r="AA100" s="24" t="str">
        <f>IF(X100="","",IFERROR(INDEX($AQ$11:$AQ$4010,MATCH(90,$AY$11:$AY$4010,0)),""))</f>
        <v/>
      </c>
      <c r="AB100" s="29" t="str">
        <f>IF(X100="","",IFERROR(INDEX($AR$11:$AR$4010,MATCH(90,$AY$11:$AY$4010,0)),""))</f>
        <v/>
      </c>
      <c r="AD100" s="30" t="str">
        <f>IF(AE100="","",IFERROR(INDEX($AL$11:$AL$4010,MATCH(90,$AZ$11:$AZ$4010,0)),""))</f>
        <v/>
      </c>
      <c r="AE100" s="26" t="str">
        <f>IFERROR(INDEX($AM$11:$AM$4010,MATCH(90,$AZ$11:$AZ$4010,0)),"")</f>
        <v/>
      </c>
      <c r="AF100" s="25" t="str">
        <f>IF(AE100="","",IFERROR(INDEX($AN$11:$AN$4010,MATCH(90,$AZ$11:$AZ$4010,0)),""))</f>
        <v/>
      </c>
      <c r="AG100" s="25" t="str">
        <f>IF(AE100="","",IFERROR(INDEX($AO$11:$AO$4010,MATCH(90,$AZ$11:$AZ$4010,0)),""))</f>
        <v/>
      </c>
      <c r="AH100" s="24" t="str">
        <f>IF(AE100="","",IFERROR(INDEX($AQ$11:$AQ$4010,MATCH(90,$AZ$11:$AZ$4010,0)),""))</f>
        <v/>
      </c>
      <c r="AI100" s="29" t="str">
        <f>IF(AE100="","",IFERROR(INDEX($AR$11:$AR$4010,MATCH(90,$AZ$11:$AZ$4010,0)),""))</f>
        <v/>
      </c>
      <c r="AJ100" s="29" t="str">
        <f>IF(AE100="","",IFERROR(INDEX($AT$11:$AT$4010,MATCH(90,$AZ$11:$AZ$4010,0)),""))</f>
        <v/>
      </c>
      <c r="AL100" s="31" t="str">
        <f t="shared" si="20"/>
        <v/>
      </c>
      <c r="AM100" s="26" t="str">
        <f t="shared" si="21"/>
        <v/>
      </c>
      <c r="AN100" s="32" t="str">
        <f t="shared" si="22"/>
        <v/>
      </c>
      <c r="AO100" s="32" t="str">
        <f t="shared" si="23"/>
        <v/>
      </c>
      <c r="AP100" s="24" t="str">
        <f t="shared" si="24"/>
        <v/>
      </c>
      <c r="AQ100" s="24" t="str">
        <f t="shared" si="25"/>
        <v/>
      </c>
      <c r="AR100" s="33" t="str">
        <f t="shared" si="26"/>
        <v/>
      </c>
      <c r="AS100" s="34"/>
      <c r="AT100" s="33"/>
      <c r="AV100" s="21">
        <f>IF(AND($AL100&lt;&gt;"",COUNTIF($AL$11:$AL100,$AL100)=1),1,0)</f>
        <v>0</v>
      </c>
      <c r="AW100" s="21">
        <f t="shared" si="28"/>
        <v>2</v>
      </c>
      <c r="AX100" s="21" t="str">
        <f t="shared" si="27"/>
        <v/>
      </c>
      <c r="AY100" s="21" t="str">
        <f>IF(AND($AM100&lt;&gt;"",$AS100&lt;&gt;"✓"),SUMPRODUCT(($AM$11:$AM100&lt;&gt;"")*($AS$11:$AS100&lt;&gt;"✓")),"")</f>
        <v/>
      </c>
      <c r="AZ100" s="21" t="str">
        <f>IF(AND($AM100&lt;&gt;"",$AS100="✓"),SUMPRODUCT(($AM$11:$AM100&lt;&gt;"")*($AS$11:$AS100="✓")),"")</f>
        <v/>
      </c>
      <c r="BA100" s="21" t="str">
        <f>IF($AL100="","",$AL100&amp;"|"&amp;COUNTIF($AL$11:$AL100,$AL100))</f>
        <v/>
      </c>
    </row>
    <row r="101" spans="2:53" ht="15" customHeight="1" x14ac:dyDescent="0.25">
      <c r="B101" s="5" t="str">
        <f t="shared" si="15"/>
        <v/>
      </c>
      <c r="C101" s="5"/>
      <c r="D101" s="5"/>
      <c r="E101" s="5"/>
      <c r="F101" s="6"/>
      <c r="G101" s="6"/>
      <c r="H101" s="7"/>
      <c r="I101" s="8"/>
      <c r="K101" s="9" t="str">
        <f>IFERROR(INDEX($AL$11:$AL$4010,MATCH(91,$AX$11:$AX$4010,0)),"")</f>
        <v/>
      </c>
      <c r="L101" s="10" t="str">
        <f t="shared" si="16"/>
        <v/>
      </c>
      <c r="M101" s="11" t="str">
        <f t="shared" si="17"/>
        <v/>
      </c>
      <c r="N101" s="11" t="str">
        <f t="shared" si="18"/>
        <v/>
      </c>
      <c r="P101" s="12" t="str">
        <f>IFERROR(INDEX($AM$11:$AM$4010,MATCH($S$8&amp;"|"&amp;91,$BA$11:$BA$4010,0)),"")</f>
        <v/>
      </c>
      <c r="Q101" s="11" t="str">
        <f>IF(P101="","",IFERROR(INDEX($AN$11:$AN$4010,MATCH($S$8&amp;"|"&amp;91,$BA$11:$BA$4010,0)),""))</f>
        <v/>
      </c>
      <c r="R101" s="11" t="str">
        <f>IF(P101="","",IFERROR(INDEX($AO$11:$AO$4010,MATCH($S$8&amp;"|"&amp;91,$BA$11:$BA$4010,0)),""))</f>
        <v/>
      </c>
      <c r="S101" s="10" t="str">
        <f>IF(P101="","",IFERROR(INDEX($AP$11:$AP$4010,MATCH($S$8&amp;"|"&amp;91,$BA$11:$BA$4010,0)),""))</f>
        <v/>
      </c>
      <c r="T101" s="10" t="str">
        <f>IF(P101="","",IFERROR(INDEX($AQ$11:$AQ$4010,MATCH($S$8&amp;"|"&amp;91,$BA$11:$BA$4010,0)),""))</f>
        <v/>
      </c>
      <c r="U101" s="39" t="str">
        <f t="shared" si="19"/>
        <v/>
      </c>
      <c r="W101" s="14" t="str">
        <f>IF(X101="","",IFERROR(INDEX($AL$11:$AL$4010,MATCH(91,$AY$11:$AY$4010,0)),""))</f>
        <v/>
      </c>
      <c r="X101" s="12" t="str">
        <f>IFERROR(INDEX($AM$11:$AM$4010,MATCH(91,$AY$11:$AY$4010,0)),"")</f>
        <v/>
      </c>
      <c r="Y101" s="11" t="str">
        <f>IF(X101="","",IFERROR(INDEX($AN$11:$AN$4010,MATCH(91,$AY$11:$AY$4010,0)),""))</f>
        <v/>
      </c>
      <c r="Z101" s="11" t="str">
        <f>IF(X101="","",IFERROR(INDEX($AO$11:$AO$4010,MATCH(91,$AY$11:$AY$4010,0)),""))</f>
        <v/>
      </c>
      <c r="AA101" s="10" t="str">
        <f>IF(X101="","",IFERROR(INDEX($AQ$11:$AQ$4010,MATCH(91,$AY$11:$AY$4010,0)),""))</f>
        <v/>
      </c>
      <c r="AB101" s="15" t="str">
        <f>IF(X101="","",IFERROR(INDEX($AR$11:$AR$4010,MATCH(91,$AY$11:$AY$4010,0)),""))</f>
        <v/>
      </c>
      <c r="AD101" s="16" t="str">
        <f>IF(AE101="","",IFERROR(INDEX($AL$11:$AL$4010,MATCH(91,$AZ$11:$AZ$4010,0)),""))</f>
        <v/>
      </c>
      <c r="AE101" s="12" t="str">
        <f>IFERROR(INDEX($AM$11:$AM$4010,MATCH(91,$AZ$11:$AZ$4010,0)),"")</f>
        <v/>
      </c>
      <c r="AF101" s="11" t="str">
        <f>IF(AE101="","",IFERROR(INDEX($AN$11:$AN$4010,MATCH(91,$AZ$11:$AZ$4010,0)),""))</f>
        <v/>
      </c>
      <c r="AG101" s="11" t="str">
        <f>IF(AE101="","",IFERROR(INDEX($AO$11:$AO$4010,MATCH(91,$AZ$11:$AZ$4010,0)),""))</f>
        <v/>
      </c>
      <c r="AH101" s="10" t="str">
        <f>IF(AE101="","",IFERROR(INDEX($AQ$11:$AQ$4010,MATCH(91,$AZ$11:$AZ$4010,0)),""))</f>
        <v/>
      </c>
      <c r="AI101" s="15" t="str">
        <f>IF(AE101="","",IFERROR(INDEX($AR$11:$AR$4010,MATCH(91,$AZ$11:$AZ$4010,0)),""))</f>
        <v/>
      </c>
      <c r="AJ101" s="15" t="str">
        <f>IF(AE101="","",IFERROR(INDEX($AT$11:$AT$4010,MATCH(91,$AZ$11:$AZ$4010,0)),""))</f>
        <v/>
      </c>
      <c r="AL101" s="17" t="str">
        <f t="shared" si="20"/>
        <v/>
      </c>
      <c r="AM101" s="12" t="str">
        <f t="shared" si="21"/>
        <v/>
      </c>
      <c r="AN101" s="18" t="str">
        <f t="shared" si="22"/>
        <v/>
      </c>
      <c r="AO101" s="18" t="str">
        <f t="shared" si="23"/>
        <v/>
      </c>
      <c r="AP101" s="10" t="str">
        <f t="shared" si="24"/>
        <v/>
      </c>
      <c r="AQ101" s="10" t="str">
        <f t="shared" si="25"/>
        <v/>
      </c>
      <c r="AR101" s="19" t="str">
        <f t="shared" si="26"/>
        <v/>
      </c>
      <c r="AS101" s="20"/>
      <c r="AT101" s="19"/>
      <c r="AV101" s="21">
        <f>IF(AND($AL101&lt;&gt;"",COUNTIF($AL$11:$AL101,$AL101)=1),1,0)</f>
        <v>0</v>
      </c>
      <c r="AW101" s="21">
        <f t="shared" si="28"/>
        <v>2</v>
      </c>
      <c r="AX101" s="21" t="str">
        <f t="shared" si="27"/>
        <v/>
      </c>
      <c r="AY101" s="21" t="str">
        <f>IF(AND($AM101&lt;&gt;"",$AS101&lt;&gt;"✓"),SUMPRODUCT(($AM$11:$AM101&lt;&gt;"")*($AS$11:$AS101&lt;&gt;"✓")),"")</f>
        <v/>
      </c>
      <c r="AZ101" s="21" t="str">
        <f>IF(AND($AM101&lt;&gt;"",$AS101="✓"),SUMPRODUCT(($AM$11:$AM101&lt;&gt;"")*($AS$11:$AS101="✓")),"")</f>
        <v/>
      </c>
      <c r="BA101" s="21" t="str">
        <f>IF($AL101="","",$AL101&amp;"|"&amp;COUNTIF($AL$11:$AL101,$AL101))</f>
        <v/>
      </c>
    </row>
    <row r="102" spans="2:53" ht="15" customHeight="1" x14ac:dyDescent="0.25">
      <c r="B102" s="5" t="str">
        <f t="shared" si="15"/>
        <v/>
      </c>
      <c r="C102" s="5"/>
      <c r="D102" s="5"/>
      <c r="E102" s="5"/>
      <c r="F102" s="6"/>
      <c r="G102" s="6"/>
      <c r="H102" s="7"/>
      <c r="I102" s="8"/>
      <c r="K102" s="23" t="str">
        <f>IFERROR(INDEX($AL$11:$AL$4010,MATCH(92,$AX$11:$AX$4010,0)),"")</f>
        <v/>
      </c>
      <c r="L102" s="24" t="str">
        <f t="shared" si="16"/>
        <v/>
      </c>
      <c r="M102" s="25" t="str">
        <f t="shared" si="17"/>
        <v/>
      </c>
      <c r="N102" s="25" t="str">
        <f t="shared" si="18"/>
        <v/>
      </c>
      <c r="P102" s="26" t="str">
        <f>IFERROR(INDEX($AM$11:$AM$4010,MATCH($S$8&amp;"|"&amp;92,$BA$11:$BA$4010,0)),"")</f>
        <v/>
      </c>
      <c r="Q102" s="25" t="str">
        <f>IF(P102="","",IFERROR(INDEX($AN$11:$AN$4010,MATCH($S$8&amp;"|"&amp;92,$BA$11:$BA$4010,0)),""))</f>
        <v/>
      </c>
      <c r="R102" s="25" t="str">
        <f>IF(P102="","",IFERROR(INDEX($AO$11:$AO$4010,MATCH($S$8&amp;"|"&amp;92,$BA$11:$BA$4010,0)),""))</f>
        <v/>
      </c>
      <c r="S102" s="24" t="str">
        <f>IF(P102="","",IFERROR(INDEX($AP$11:$AP$4010,MATCH($S$8&amp;"|"&amp;92,$BA$11:$BA$4010,0)),""))</f>
        <v/>
      </c>
      <c r="T102" s="24" t="str">
        <f>IF(P102="","",IFERROR(INDEX($AQ$11:$AQ$4010,MATCH($S$8&amp;"|"&amp;92,$BA$11:$BA$4010,0)),""))</f>
        <v/>
      </c>
      <c r="U102" s="38" t="str">
        <f t="shared" si="19"/>
        <v/>
      </c>
      <c r="W102" s="28" t="str">
        <f>IF(X102="","",IFERROR(INDEX($AL$11:$AL$4010,MATCH(92,$AY$11:$AY$4010,0)),""))</f>
        <v/>
      </c>
      <c r="X102" s="26" t="str">
        <f>IFERROR(INDEX($AM$11:$AM$4010,MATCH(92,$AY$11:$AY$4010,0)),"")</f>
        <v/>
      </c>
      <c r="Y102" s="25" t="str">
        <f>IF(X102="","",IFERROR(INDEX($AN$11:$AN$4010,MATCH(92,$AY$11:$AY$4010,0)),""))</f>
        <v/>
      </c>
      <c r="Z102" s="25" t="str">
        <f>IF(X102="","",IFERROR(INDEX($AO$11:$AO$4010,MATCH(92,$AY$11:$AY$4010,0)),""))</f>
        <v/>
      </c>
      <c r="AA102" s="24" t="str">
        <f>IF(X102="","",IFERROR(INDEX($AQ$11:$AQ$4010,MATCH(92,$AY$11:$AY$4010,0)),""))</f>
        <v/>
      </c>
      <c r="AB102" s="29" t="str">
        <f>IF(X102="","",IFERROR(INDEX($AR$11:$AR$4010,MATCH(92,$AY$11:$AY$4010,0)),""))</f>
        <v/>
      </c>
      <c r="AD102" s="30" t="str">
        <f>IF(AE102="","",IFERROR(INDEX($AL$11:$AL$4010,MATCH(92,$AZ$11:$AZ$4010,0)),""))</f>
        <v/>
      </c>
      <c r="AE102" s="26" t="str">
        <f>IFERROR(INDEX($AM$11:$AM$4010,MATCH(92,$AZ$11:$AZ$4010,0)),"")</f>
        <v/>
      </c>
      <c r="AF102" s="25" t="str">
        <f>IF(AE102="","",IFERROR(INDEX($AN$11:$AN$4010,MATCH(92,$AZ$11:$AZ$4010,0)),""))</f>
        <v/>
      </c>
      <c r="AG102" s="25" t="str">
        <f>IF(AE102="","",IFERROR(INDEX($AO$11:$AO$4010,MATCH(92,$AZ$11:$AZ$4010,0)),""))</f>
        <v/>
      </c>
      <c r="AH102" s="24" t="str">
        <f>IF(AE102="","",IFERROR(INDEX($AQ$11:$AQ$4010,MATCH(92,$AZ$11:$AZ$4010,0)),""))</f>
        <v/>
      </c>
      <c r="AI102" s="29" t="str">
        <f>IF(AE102="","",IFERROR(INDEX($AR$11:$AR$4010,MATCH(92,$AZ$11:$AZ$4010,0)),""))</f>
        <v/>
      </c>
      <c r="AJ102" s="29" t="str">
        <f>IF(AE102="","",IFERROR(INDEX($AT$11:$AT$4010,MATCH(92,$AZ$11:$AZ$4010,0)),""))</f>
        <v/>
      </c>
      <c r="AL102" s="31" t="str">
        <f t="shared" si="20"/>
        <v/>
      </c>
      <c r="AM102" s="26" t="str">
        <f t="shared" si="21"/>
        <v/>
      </c>
      <c r="AN102" s="32" t="str">
        <f t="shared" si="22"/>
        <v/>
      </c>
      <c r="AO102" s="32" t="str">
        <f t="shared" si="23"/>
        <v/>
      </c>
      <c r="AP102" s="24" t="str">
        <f t="shared" si="24"/>
        <v/>
      </c>
      <c r="AQ102" s="24" t="str">
        <f t="shared" si="25"/>
        <v/>
      </c>
      <c r="AR102" s="33" t="str">
        <f t="shared" si="26"/>
        <v/>
      </c>
      <c r="AS102" s="34"/>
      <c r="AT102" s="33"/>
      <c r="AV102" s="21">
        <f>IF(AND($AL102&lt;&gt;"",COUNTIF($AL$11:$AL102,$AL102)=1),1,0)</f>
        <v>0</v>
      </c>
      <c r="AW102" s="21">
        <f t="shared" si="28"/>
        <v>2</v>
      </c>
      <c r="AX102" s="21" t="str">
        <f t="shared" si="27"/>
        <v/>
      </c>
      <c r="AY102" s="21" t="str">
        <f>IF(AND($AM102&lt;&gt;"",$AS102&lt;&gt;"✓"),SUMPRODUCT(($AM$11:$AM102&lt;&gt;"")*($AS$11:$AS102&lt;&gt;"✓")),"")</f>
        <v/>
      </c>
      <c r="AZ102" s="21" t="str">
        <f>IF(AND($AM102&lt;&gt;"",$AS102="✓"),SUMPRODUCT(($AM$11:$AM102&lt;&gt;"")*($AS$11:$AS102="✓")),"")</f>
        <v/>
      </c>
      <c r="BA102" s="21" t="str">
        <f>IF($AL102="","",$AL102&amp;"|"&amp;COUNTIF($AL$11:$AL102,$AL102))</f>
        <v/>
      </c>
    </row>
    <row r="103" spans="2:53" ht="15" customHeight="1" x14ac:dyDescent="0.25">
      <c r="B103" s="5" t="str">
        <f t="shared" si="15"/>
        <v/>
      </c>
      <c r="C103" s="5"/>
      <c r="D103" s="5"/>
      <c r="E103" s="5"/>
      <c r="F103" s="6"/>
      <c r="G103" s="6"/>
      <c r="H103" s="7"/>
      <c r="I103" s="8"/>
      <c r="K103" s="9" t="str">
        <f>IFERROR(INDEX($AL$11:$AL$4010,MATCH(93,$AX$11:$AX$4010,0)),"")</f>
        <v/>
      </c>
      <c r="L103" s="10" t="str">
        <f t="shared" si="16"/>
        <v/>
      </c>
      <c r="M103" s="11" t="str">
        <f t="shared" si="17"/>
        <v/>
      </c>
      <c r="N103" s="11" t="str">
        <f t="shared" si="18"/>
        <v/>
      </c>
      <c r="P103" s="12" t="str">
        <f>IFERROR(INDEX($AM$11:$AM$4010,MATCH($S$8&amp;"|"&amp;93,$BA$11:$BA$4010,0)),"")</f>
        <v/>
      </c>
      <c r="Q103" s="11" t="str">
        <f>IF(P103="","",IFERROR(INDEX($AN$11:$AN$4010,MATCH($S$8&amp;"|"&amp;93,$BA$11:$BA$4010,0)),""))</f>
        <v/>
      </c>
      <c r="R103" s="11" t="str">
        <f>IF(P103="","",IFERROR(INDEX($AO$11:$AO$4010,MATCH($S$8&amp;"|"&amp;93,$BA$11:$BA$4010,0)),""))</f>
        <v/>
      </c>
      <c r="S103" s="10" t="str">
        <f>IF(P103="","",IFERROR(INDEX($AP$11:$AP$4010,MATCH($S$8&amp;"|"&amp;93,$BA$11:$BA$4010,0)),""))</f>
        <v/>
      </c>
      <c r="T103" s="10" t="str">
        <f>IF(P103="","",IFERROR(INDEX($AQ$11:$AQ$4010,MATCH($S$8&amp;"|"&amp;93,$BA$11:$BA$4010,0)),""))</f>
        <v/>
      </c>
      <c r="U103" s="39" t="str">
        <f t="shared" si="19"/>
        <v/>
      </c>
      <c r="W103" s="14" t="str">
        <f>IF(X103="","",IFERROR(INDEX($AL$11:$AL$4010,MATCH(93,$AY$11:$AY$4010,0)),""))</f>
        <v/>
      </c>
      <c r="X103" s="12" t="str">
        <f>IFERROR(INDEX($AM$11:$AM$4010,MATCH(93,$AY$11:$AY$4010,0)),"")</f>
        <v/>
      </c>
      <c r="Y103" s="11" t="str">
        <f>IF(X103="","",IFERROR(INDEX($AN$11:$AN$4010,MATCH(93,$AY$11:$AY$4010,0)),""))</f>
        <v/>
      </c>
      <c r="Z103" s="11" t="str">
        <f>IF(X103="","",IFERROR(INDEX($AO$11:$AO$4010,MATCH(93,$AY$11:$AY$4010,0)),""))</f>
        <v/>
      </c>
      <c r="AA103" s="10" t="str">
        <f>IF(X103="","",IFERROR(INDEX($AQ$11:$AQ$4010,MATCH(93,$AY$11:$AY$4010,0)),""))</f>
        <v/>
      </c>
      <c r="AB103" s="15" t="str">
        <f>IF(X103="","",IFERROR(INDEX($AR$11:$AR$4010,MATCH(93,$AY$11:$AY$4010,0)),""))</f>
        <v/>
      </c>
      <c r="AD103" s="16" t="str">
        <f>IF(AE103="","",IFERROR(INDEX($AL$11:$AL$4010,MATCH(93,$AZ$11:$AZ$4010,0)),""))</f>
        <v/>
      </c>
      <c r="AE103" s="12" t="str">
        <f>IFERROR(INDEX($AM$11:$AM$4010,MATCH(93,$AZ$11:$AZ$4010,0)),"")</f>
        <v/>
      </c>
      <c r="AF103" s="11" t="str">
        <f>IF(AE103="","",IFERROR(INDEX($AN$11:$AN$4010,MATCH(93,$AZ$11:$AZ$4010,0)),""))</f>
        <v/>
      </c>
      <c r="AG103" s="11" t="str">
        <f>IF(AE103="","",IFERROR(INDEX($AO$11:$AO$4010,MATCH(93,$AZ$11:$AZ$4010,0)),""))</f>
        <v/>
      </c>
      <c r="AH103" s="10" t="str">
        <f>IF(AE103="","",IFERROR(INDEX($AQ$11:$AQ$4010,MATCH(93,$AZ$11:$AZ$4010,0)),""))</f>
        <v/>
      </c>
      <c r="AI103" s="15" t="str">
        <f>IF(AE103="","",IFERROR(INDEX($AR$11:$AR$4010,MATCH(93,$AZ$11:$AZ$4010,0)),""))</f>
        <v/>
      </c>
      <c r="AJ103" s="15" t="str">
        <f>IF(AE103="","",IFERROR(INDEX($AT$11:$AT$4010,MATCH(93,$AZ$11:$AZ$4010,0)),""))</f>
        <v/>
      </c>
      <c r="AL103" s="17" t="str">
        <f t="shared" si="20"/>
        <v/>
      </c>
      <c r="AM103" s="12" t="str">
        <f t="shared" si="21"/>
        <v/>
      </c>
      <c r="AN103" s="18" t="str">
        <f t="shared" si="22"/>
        <v/>
      </c>
      <c r="AO103" s="18" t="str">
        <f t="shared" si="23"/>
        <v/>
      </c>
      <c r="AP103" s="10" t="str">
        <f t="shared" si="24"/>
        <v/>
      </c>
      <c r="AQ103" s="10" t="str">
        <f t="shared" si="25"/>
        <v/>
      </c>
      <c r="AR103" s="19" t="str">
        <f t="shared" si="26"/>
        <v/>
      </c>
      <c r="AS103" s="20"/>
      <c r="AT103" s="19"/>
      <c r="AV103" s="21">
        <f>IF(AND($AL103&lt;&gt;"",COUNTIF($AL$11:$AL103,$AL103)=1),1,0)</f>
        <v>0</v>
      </c>
      <c r="AW103" s="21">
        <f t="shared" si="28"/>
        <v>2</v>
      </c>
      <c r="AX103" s="21" t="str">
        <f t="shared" si="27"/>
        <v/>
      </c>
      <c r="AY103" s="21" t="str">
        <f>IF(AND($AM103&lt;&gt;"",$AS103&lt;&gt;"✓"),SUMPRODUCT(($AM$11:$AM103&lt;&gt;"")*($AS$11:$AS103&lt;&gt;"✓")),"")</f>
        <v/>
      </c>
      <c r="AZ103" s="21" t="str">
        <f>IF(AND($AM103&lt;&gt;"",$AS103="✓"),SUMPRODUCT(($AM$11:$AM103&lt;&gt;"")*($AS$11:$AS103="✓")),"")</f>
        <v/>
      </c>
      <c r="BA103" s="21" t="str">
        <f>IF($AL103="","",$AL103&amp;"|"&amp;COUNTIF($AL$11:$AL103,$AL103))</f>
        <v/>
      </c>
    </row>
    <row r="104" spans="2:53" ht="15" customHeight="1" x14ac:dyDescent="0.25">
      <c r="B104" s="5" t="str">
        <f t="shared" si="15"/>
        <v/>
      </c>
      <c r="C104" s="5"/>
      <c r="D104" s="5"/>
      <c r="E104" s="5"/>
      <c r="F104" s="6"/>
      <c r="G104" s="6"/>
      <c r="H104" s="7"/>
      <c r="I104" s="8"/>
      <c r="K104" s="23" t="str">
        <f>IFERROR(INDEX($AL$11:$AL$4010,MATCH(94,$AX$11:$AX$4010,0)),"")</f>
        <v/>
      </c>
      <c r="L104" s="24" t="str">
        <f t="shared" si="16"/>
        <v/>
      </c>
      <c r="M104" s="25" t="str">
        <f t="shared" si="17"/>
        <v/>
      </c>
      <c r="N104" s="25" t="str">
        <f t="shared" si="18"/>
        <v/>
      </c>
      <c r="P104" s="26" t="str">
        <f>IFERROR(INDEX($AM$11:$AM$4010,MATCH($S$8&amp;"|"&amp;94,$BA$11:$BA$4010,0)),"")</f>
        <v/>
      </c>
      <c r="Q104" s="25" t="str">
        <f>IF(P104="","",IFERROR(INDEX($AN$11:$AN$4010,MATCH($S$8&amp;"|"&amp;94,$BA$11:$BA$4010,0)),""))</f>
        <v/>
      </c>
      <c r="R104" s="25" t="str">
        <f>IF(P104="","",IFERROR(INDEX($AO$11:$AO$4010,MATCH($S$8&amp;"|"&amp;94,$BA$11:$BA$4010,0)),""))</f>
        <v/>
      </c>
      <c r="S104" s="24" t="str">
        <f>IF(P104="","",IFERROR(INDEX($AP$11:$AP$4010,MATCH($S$8&amp;"|"&amp;94,$BA$11:$BA$4010,0)),""))</f>
        <v/>
      </c>
      <c r="T104" s="24" t="str">
        <f>IF(P104="","",IFERROR(INDEX($AQ$11:$AQ$4010,MATCH($S$8&amp;"|"&amp;94,$BA$11:$BA$4010,0)),""))</f>
        <v/>
      </c>
      <c r="U104" s="38" t="str">
        <f t="shared" si="19"/>
        <v/>
      </c>
      <c r="W104" s="28" t="str">
        <f>IF(X104="","",IFERROR(INDEX($AL$11:$AL$4010,MATCH(94,$AY$11:$AY$4010,0)),""))</f>
        <v/>
      </c>
      <c r="X104" s="26" t="str">
        <f>IFERROR(INDEX($AM$11:$AM$4010,MATCH(94,$AY$11:$AY$4010,0)),"")</f>
        <v/>
      </c>
      <c r="Y104" s="25" t="str">
        <f>IF(X104="","",IFERROR(INDEX($AN$11:$AN$4010,MATCH(94,$AY$11:$AY$4010,0)),""))</f>
        <v/>
      </c>
      <c r="Z104" s="25" t="str">
        <f>IF(X104="","",IFERROR(INDEX($AO$11:$AO$4010,MATCH(94,$AY$11:$AY$4010,0)),""))</f>
        <v/>
      </c>
      <c r="AA104" s="24" t="str">
        <f>IF(X104="","",IFERROR(INDEX($AQ$11:$AQ$4010,MATCH(94,$AY$11:$AY$4010,0)),""))</f>
        <v/>
      </c>
      <c r="AB104" s="29" t="str">
        <f>IF(X104="","",IFERROR(INDEX($AR$11:$AR$4010,MATCH(94,$AY$11:$AY$4010,0)),""))</f>
        <v/>
      </c>
      <c r="AD104" s="30" t="str">
        <f>IF(AE104="","",IFERROR(INDEX($AL$11:$AL$4010,MATCH(94,$AZ$11:$AZ$4010,0)),""))</f>
        <v/>
      </c>
      <c r="AE104" s="26" t="str">
        <f>IFERROR(INDEX($AM$11:$AM$4010,MATCH(94,$AZ$11:$AZ$4010,0)),"")</f>
        <v/>
      </c>
      <c r="AF104" s="25" t="str">
        <f>IF(AE104="","",IFERROR(INDEX($AN$11:$AN$4010,MATCH(94,$AZ$11:$AZ$4010,0)),""))</f>
        <v/>
      </c>
      <c r="AG104" s="25" t="str">
        <f>IF(AE104="","",IFERROR(INDEX($AO$11:$AO$4010,MATCH(94,$AZ$11:$AZ$4010,0)),""))</f>
        <v/>
      </c>
      <c r="AH104" s="24" t="str">
        <f>IF(AE104="","",IFERROR(INDEX($AQ$11:$AQ$4010,MATCH(94,$AZ$11:$AZ$4010,0)),""))</f>
        <v/>
      </c>
      <c r="AI104" s="29" t="str">
        <f>IF(AE104="","",IFERROR(INDEX($AR$11:$AR$4010,MATCH(94,$AZ$11:$AZ$4010,0)),""))</f>
        <v/>
      </c>
      <c r="AJ104" s="29" t="str">
        <f>IF(AE104="","",IFERROR(INDEX($AT$11:$AT$4010,MATCH(94,$AZ$11:$AZ$4010,0)),""))</f>
        <v/>
      </c>
      <c r="AL104" s="31" t="str">
        <f t="shared" si="20"/>
        <v/>
      </c>
      <c r="AM104" s="26" t="str">
        <f t="shared" si="21"/>
        <v/>
      </c>
      <c r="AN104" s="32" t="str">
        <f t="shared" si="22"/>
        <v/>
      </c>
      <c r="AO104" s="32" t="str">
        <f t="shared" si="23"/>
        <v/>
      </c>
      <c r="AP104" s="24" t="str">
        <f t="shared" si="24"/>
        <v/>
      </c>
      <c r="AQ104" s="24" t="str">
        <f t="shared" si="25"/>
        <v/>
      </c>
      <c r="AR104" s="33" t="str">
        <f t="shared" si="26"/>
        <v/>
      </c>
      <c r="AS104" s="34"/>
      <c r="AT104" s="33"/>
      <c r="AV104" s="21">
        <f>IF(AND($AL104&lt;&gt;"",COUNTIF($AL$11:$AL104,$AL104)=1),1,0)</f>
        <v>0</v>
      </c>
      <c r="AW104" s="21">
        <f t="shared" si="28"/>
        <v>2</v>
      </c>
      <c r="AX104" s="21" t="str">
        <f t="shared" si="27"/>
        <v/>
      </c>
      <c r="AY104" s="21" t="str">
        <f>IF(AND($AM104&lt;&gt;"",$AS104&lt;&gt;"✓"),SUMPRODUCT(($AM$11:$AM104&lt;&gt;"")*($AS$11:$AS104&lt;&gt;"✓")),"")</f>
        <v/>
      </c>
      <c r="AZ104" s="21" t="str">
        <f>IF(AND($AM104&lt;&gt;"",$AS104="✓"),SUMPRODUCT(($AM$11:$AM104&lt;&gt;"")*($AS$11:$AS104="✓")),"")</f>
        <v/>
      </c>
      <c r="BA104" s="21" t="str">
        <f>IF($AL104="","",$AL104&amp;"|"&amp;COUNTIF($AL$11:$AL104,$AL104))</f>
        <v/>
      </c>
    </row>
    <row r="105" spans="2:53" ht="15" customHeight="1" x14ac:dyDescent="0.25">
      <c r="B105" s="5" t="str">
        <f t="shared" si="15"/>
        <v/>
      </c>
      <c r="C105" s="5"/>
      <c r="D105" s="5"/>
      <c r="E105" s="5"/>
      <c r="F105" s="6"/>
      <c r="G105" s="6"/>
      <c r="H105" s="7"/>
      <c r="I105" s="8"/>
      <c r="K105" s="9" t="str">
        <f>IFERROR(INDEX($AL$11:$AL$4010,MATCH(95,$AX$11:$AX$4010,0)),"")</f>
        <v/>
      </c>
      <c r="L105" s="10" t="str">
        <f t="shared" si="16"/>
        <v/>
      </c>
      <c r="M105" s="11" t="str">
        <f t="shared" si="17"/>
        <v/>
      </c>
      <c r="N105" s="11" t="str">
        <f t="shared" si="18"/>
        <v/>
      </c>
      <c r="P105" s="12" t="str">
        <f>IFERROR(INDEX($AM$11:$AM$4010,MATCH($S$8&amp;"|"&amp;95,$BA$11:$BA$4010,0)),"")</f>
        <v/>
      </c>
      <c r="Q105" s="11" t="str">
        <f>IF(P105="","",IFERROR(INDEX($AN$11:$AN$4010,MATCH($S$8&amp;"|"&amp;95,$BA$11:$BA$4010,0)),""))</f>
        <v/>
      </c>
      <c r="R105" s="11" t="str">
        <f>IF(P105="","",IFERROR(INDEX($AO$11:$AO$4010,MATCH($S$8&amp;"|"&amp;95,$BA$11:$BA$4010,0)),""))</f>
        <v/>
      </c>
      <c r="S105" s="10" t="str">
        <f>IF(P105="","",IFERROR(INDEX($AP$11:$AP$4010,MATCH($S$8&amp;"|"&amp;95,$BA$11:$BA$4010,0)),""))</f>
        <v/>
      </c>
      <c r="T105" s="10" t="str">
        <f>IF(P105="","",IFERROR(INDEX($AQ$11:$AQ$4010,MATCH($S$8&amp;"|"&amp;95,$BA$11:$BA$4010,0)),""))</f>
        <v/>
      </c>
      <c r="U105" s="39" t="str">
        <f t="shared" si="19"/>
        <v/>
      </c>
      <c r="W105" s="14" t="str">
        <f>IF(X105="","",IFERROR(INDEX($AL$11:$AL$4010,MATCH(95,$AY$11:$AY$4010,0)),""))</f>
        <v/>
      </c>
      <c r="X105" s="12" t="str">
        <f>IFERROR(INDEX($AM$11:$AM$4010,MATCH(95,$AY$11:$AY$4010,0)),"")</f>
        <v/>
      </c>
      <c r="Y105" s="11" t="str">
        <f>IF(X105="","",IFERROR(INDEX($AN$11:$AN$4010,MATCH(95,$AY$11:$AY$4010,0)),""))</f>
        <v/>
      </c>
      <c r="Z105" s="11" t="str">
        <f>IF(X105="","",IFERROR(INDEX($AO$11:$AO$4010,MATCH(95,$AY$11:$AY$4010,0)),""))</f>
        <v/>
      </c>
      <c r="AA105" s="10" t="str">
        <f>IF(X105="","",IFERROR(INDEX($AQ$11:$AQ$4010,MATCH(95,$AY$11:$AY$4010,0)),""))</f>
        <v/>
      </c>
      <c r="AB105" s="15" t="str">
        <f>IF(X105="","",IFERROR(INDEX($AR$11:$AR$4010,MATCH(95,$AY$11:$AY$4010,0)),""))</f>
        <v/>
      </c>
      <c r="AD105" s="16" t="str">
        <f>IF(AE105="","",IFERROR(INDEX($AL$11:$AL$4010,MATCH(95,$AZ$11:$AZ$4010,0)),""))</f>
        <v/>
      </c>
      <c r="AE105" s="12" t="str">
        <f>IFERROR(INDEX($AM$11:$AM$4010,MATCH(95,$AZ$11:$AZ$4010,0)),"")</f>
        <v/>
      </c>
      <c r="AF105" s="11" t="str">
        <f>IF(AE105="","",IFERROR(INDEX($AN$11:$AN$4010,MATCH(95,$AZ$11:$AZ$4010,0)),""))</f>
        <v/>
      </c>
      <c r="AG105" s="11" t="str">
        <f>IF(AE105="","",IFERROR(INDEX($AO$11:$AO$4010,MATCH(95,$AZ$11:$AZ$4010,0)),""))</f>
        <v/>
      </c>
      <c r="AH105" s="10" t="str">
        <f>IF(AE105="","",IFERROR(INDEX($AQ$11:$AQ$4010,MATCH(95,$AZ$11:$AZ$4010,0)),""))</f>
        <v/>
      </c>
      <c r="AI105" s="15" t="str">
        <f>IF(AE105="","",IFERROR(INDEX($AR$11:$AR$4010,MATCH(95,$AZ$11:$AZ$4010,0)),""))</f>
        <v/>
      </c>
      <c r="AJ105" s="15" t="str">
        <f>IF(AE105="","",IFERROR(INDEX($AT$11:$AT$4010,MATCH(95,$AZ$11:$AZ$4010,0)),""))</f>
        <v/>
      </c>
      <c r="AL105" s="17" t="str">
        <f t="shared" si="20"/>
        <v/>
      </c>
      <c r="AM105" s="12" t="str">
        <f t="shared" si="21"/>
        <v/>
      </c>
      <c r="AN105" s="18" t="str">
        <f t="shared" si="22"/>
        <v/>
      </c>
      <c r="AO105" s="18" t="str">
        <f t="shared" si="23"/>
        <v/>
      </c>
      <c r="AP105" s="10" t="str">
        <f t="shared" si="24"/>
        <v/>
      </c>
      <c r="AQ105" s="10" t="str">
        <f t="shared" si="25"/>
        <v/>
      </c>
      <c r="AR105" s="19" t="str">
        <f t="shared" si="26"/>
        <v/>
      </c>
      <c r="AS105" s="20"/>
      <c r="AT105" s="19"/>
      <c r="AV105" s="21">
        <f>IF(AND($AL105&lt;&gt;"",COUNTIF($AL$11:$AL105,$AL105)=1),1,0)</f>
        <v>0</v>
      </c>
      <c r="AW105" s="21">
        <f t="shared" si="28"/>
        <v>2</v>
      </c>
      <c r="AX105" s="21" t="str">
        <f t="shared" si="27"/>
        <v/>
      </c>
      <c r="AY105" s="21" t="str">
        <f>IF(AND($AM105&lt;&gt;"",$AS105&lt;&gt;"✓"),SUMPRODUCT(($AM$11:$AM105&lt;&gt;"")*($AS$11:$AS105&lt;&gt;"✓")),"")</f>
        <v/>
      </c>
      <c r="AZ105" s="21" t="str">
        <f>IF(AND($AM105&lt;&gt;"",$AS105="✓"),SUMPRODUCT(($AM$11:$AM105&lt;&gt;"")*($AS$11:$AS105="✓")),"")</f>
        <v/>
      </c>
      <c r="BA105" s="21" t="str">
        <f>IF($AL105="","",$AL105&amp;"|"&amp;COUNTIF($AL$11:$AL105,$AL105))</f>
        <v/>
      </c>
    </row>
    <row r="106" spans="2:53" ht="15" customHeight="1" x14ac:dyDescent="0.25">
      <c r="B106" s="5" t="str">
        <f t="shared" si="15"/>
        <v/>
      </c>
      <c r="C106" s="5"/>
      <c r="D106" s="5"/>
      <c r="E106" s="5"/>
      <c r="F106" s="6"/>
      <c r="G106" s="6"/>
      <c r="H106" s="7"/>
      <c r="I106" s="8"/>
      <c r="K106" s="23" t="str">
        <f>IFERROR(INDEX($AL$11:$AL$4010,MATCH(96,$AX$11:$AX$4010,0)),"")</f>
        <v/>
      </c>
      <c r="L106" s="24" t="str">
        <f t="shared" si="16"/>
        <v/>
      </c>
      <c r="M106" s="25" t="str">
        <f t="shared" si="17"/>
        <v/>
      </c>
      <c r="N106" s="25" t="str">
        <f t="shared" si="18"/>
        <v/>
      </c>
      <c r="P106" s="26" t="str">
        <f>IFERROR(INDEX($AM$11:$AM$4010,MATCH($S$8&amp;"|"&amp;96,$BA$11:$BA$4010,0)),"")</f>
        <v/>
      </c>
      <c r="Q106" s="25" t="str">
        <f>IF(P106="","",IFERROR(INDEX($AN$11:$AN$4010,MATCH($S$8&amp;"|"&amp;96,$BA$11:$BA$4010,0)),""))</f>
        <v/>
      </c>
      <c r="R106" s="25" t="str">
        <f>IF(P106="","",IFERROR(INDEX($AO$11:$AO$4010,MATCH($S$8&amp;"|"&amp;96,$BA$11:$BA$4010,0)),""))</f>
        <v/>
      </c>
      <c r="S106" s="24" t="str">
        <f>IF(P106="","",IFERROR(INDEX($AP$11:$AP$4010,MATCH($S$8&amp;"|"&amp;96,$BA$11:$BA$4010,0)),""))</f>
        <v/>
      </c>
      <c r="T106" s="24" t="str">
        <f>IF(P106="","",IFERROR(INDEX($AQ$11:$AQ$4010,MATCH($S$8&amp;"|"&amp;96,$BA$11:$BA$4010,0)),""))</f>
        <v/>
      </c>
      <c r="U106" s="38" t="str">
        <f t="shared" si="19"/>
        <v/>
      </c>
      <c r="W106" s="28" t="str">
        <f>IF(X106="","",IFERROR(INDEX($AL$11:$AL$4010,MATCH(96,$AY$11:$AY$4010,0)),""))</f>
        <v/>
      </c>
      <c r="X106" s="26" t="str">
        <f>IFERROR(INDEX($AM$11:$AM$4010,MATCH(96,$AY$11:$AY$4010,0)),"")</f>
        <v/>
      </c>
      <c r="Y106" s="25" t="str">
        <f>IF(X106="","",IFERROR(INDEX($AN$11:$AN$4010,MATCH(96,$AY$11:$AY$4010,0)),""))</f>
        <v/>
      </c>
      <c r="Z106" s="25" t="str">
        <f>IF(X106="","",IFERROR(INDEX($AO$11:$AO$4010,MATCH(96,$AY$11:$AY$4010,0)),""))</f>
        <v/>
      </c>
      <c r="AA106" s="24" t="str">
        <f>IF(X106="","",IFERROR(INDEX($AQ$11:$AQ$4010,MATCH(96,$AY$11:$AY$4010,0)),""))</f>
        <v/>
      </c>
      <c r="AB106" s="29" t="str">
        <f>IF(X106="","",IFERROR(INDEX($AR$11:$AR$4010,MATCH(96,$AY$11:$AY$4010,0)),""))</f>
        <v/>
      </c>
      <c r="AD106" s="30" t="str">
        <f>IF(AE106="","",IFERROR(INDEX($AL$11:$AL$4010,MATCH(96,$AZ$11:$AZ$4010,0)),""))</f>
        <v/>
      </c>
      <c r="AE106" s="26" t="str">
        <f>IFERROR(INDEX($AM$11:$AM$4010,MATCH(96,$AZ$11:$AZ$4010,0)),"")</f>
        <v/>
      </c>
      <c r="AF106" s="25" t="str">
        <f>IF(AE106="","",IFERROR(INDEX($AN$11:$AN$4010,MATCH(96,$AZ$11:$AZ$4010,0)),""))</f>
        <v/>
      </c>
      <c r="AG106" s="25" t="str">
        <f>IF(AE106="","",IFERROR(INDEX($AO$11:$AO$4010,MATCH(96,$AZ$11:$AZ$4010,0)),""))</f>
        <v/>
      </c>
      <c r="AH106" s="24" t="str">
        <f>IF(AE106="","",IFERROR(INDEX($AQ$11:$AQ$4010,MATCH(96,$AZ$11:$AZ$4010,0)),""))</f>
        <v/>
      </c>
      <c r="AI106" s="29" t="str">
        <f>IF(AE106="","",IFERROR(INDEX($AR$11:$AR$4010,MATCH(96,$AZ$11:$AZ$4010,0)),""))</f>
        <v/>
      </c>
      <c r="AJ106" s="29" t="str">
        <f>IF(AE106="","",IFERROR(INDEX($AT$11:$AT$4010,MATCH(96,$AZ$11:$AZ$4010,0)),""))</f>
        <v/>
      </c>
      <c r="AL106" s="31" t="str">
        <f t="shared" si="20"/>
        <v/>
      </c>
      <c r="AM106" s="26" t="str">
        <f t="shared" si="21"/>
        <v/>
      </c>
      <c r="AN106" s="32" t="str">
        <f t="shared" si="22"/>
        <v/>
      </c>
      <c r="AO106" s="32" t="str">
        <f t="shared" si="23"/>
        <v/>
      </c>
      <c r="AP106" s="24" t="str">
        <f t="shared" si="24"/>
        <v/>
      </c>
      <c r="AQ106" s="24" t="str">
        <f t="shared" si="25"/>
        <v/>
      </c>
      <c r="AR106" s="33" t="str">
        <f t="shared" si="26"/>
        <v/>
      </c>
      <c r="AS106" s="34"/>
      <c r="AT106" s="33"/>
      <c r="AV106" s="21">
        <f>IF(AND($AL106&lt;&gt;"",COUNTIF($AL$11:$AL106,$AL106)=1),1,0)</f>
        <v>0</v>
      </c>
      <c r="AW106" s="21">
        <f t="shared" si="28"/>
        <v>2</v>
      </c>
      <c r="AX106" s="21" t="str">
        <f t="shared" si="27"/>
        <v/>
      </c>
      <c r="AY106" s="21" t="str">
        <f>IF(AND($AM106&lt;&gt;"",$AS106&lt;&gt;"✓"),SUMPRODUCT(($AM$11:$AM106&lt;&gt;"")*($AS$11:$AS106&lt;&gt;"✓")),"")</f>
        <v/>
      </c>
      <c r="AZ106" s="21" t="str">
        <f>IF(AND($AM106&lt;&gt;"",$AS106="✓"),SUMPRODUCT(($AM$11:$AM106&lt;&gt;"")*($AS$11:$AS106="✓")),"")</f>
        <v/>
      </c>
      <c r="BA106" s="21" t="str">
        <f>IF($AL106="","",$AL106&amp;"|"&amp;COUNTIF($AL$11:$AL106,$AL106))</f>
        <v/>
      </c>
    </row>
    <row r="107" spans="2:53" ht="15" customHeight="1" x14ac:dyDescent="0.25">
      <c r="B107" s="5" t="str">
        <f t="shared" si="15"/>
        <v/>
      </c>
      <c r="C107" s="5"/>
      <c r="D107" s="5"/>
      <c r="E107" s="5"/>
      <c r="F107" s="6"/>
      <c r="G107" s="6"/>
      <c r="H107" s="7"/>
      <c r="I107" s="8"/>
      <c r="K107" s="9" t="str">
        <f>IFERROR(INDEX($AL$11:$AL$4010,MATCH(97,$AX$11:$AX$4010,0)),"")</f>
        <v/>
      </c>
      <c r="L107" s="10" t="str">
        <f t="shared" si="16"/>
        <v/>
      </c>
      <c r="M107" s="11" t="str">
        <f t="shared" si="17"/>
        <v/>
      </c>
      <c r="N107" s="11" t="str">
        <f t="shared" si="18"/>
        <v/>
      </c>
      <c r="P107" s="12" t="str">
        <f>IFERROR(INDEX($AM$11:$AM$4010,MATCH($S$8&amp;"|"&amp;97,$BA$11:$BA$4010,0)),"")</f>
        <v/>
      </c>
      <c r="Q107" s="11" t="str">
        <f>IF(P107="","",IFERROR(INDEX($AN$11:$AN$4010,MATCH($S$8&amp;"|"&amp;97,$BA$11:$BA$4010,0)),""))</f>
        <v/>
      </c>
      <c r="R107" s="11" t="str">
        <f>IF(P107="","",IFERROR(INDEX($AO$11:$AO$4010,MATCH($S$8&amp;"|"&amp;97,$BA$11:$BA$4010,0)),""))</f>
        <v/>
      </c>
      <c r="S107" s="10" t="str">
        <f>IF(P107="","",IFERROR(INDEX($AP$11:$AP$4010,MATCH($S$8&amp;"|"&amp;97,$BA$11:$BA$4010,0)),""))</f>
        <v/>
      </c>
      <c r="T107" s="10" t="str">
        <f>IF(P107="","",IFERROR(INDEX($AQ$11:$AQ$4010,MATCH($S$8&amp;"|"&amp;97,$BA$11:$BA$4010,0)),""))</f>
        <v/>
      </c>
      <c r="U107" s="39" t="str">
        <f t="shared" ref="U107:U138" si="29">IF(P107="","",$S$8)</f>
        <v/>
      </c>
      <c r="W107" s="14" t="str">
        <f>IF(X107="","",IFERROR(INDEX($AL$11:$AL$4010,MATCH(97,$AY$11:$AY$4010,0)),""))</f>
        <v/>
      </c>
      <c r="X107" s="12" t="str">
        <f>IFERROR(INDEX($AM$11:$AM$4010,MATCH(97,$AY$11:$AY$4010,0)),"")</f>
        <v/>
      </c>
      <c r="Y107" s="11" t="str">
        <f>IF(X107="","",IFERROR(INDEX($AN$11:$AN$4010,MATCH(97,$AY$11:$AY$4010,0)),""))</f>
        <v/>
      </c>
      <c r="Z107" s="11" t="str">
        <f>IF(X107="","",IFERROR(INDEX($AO$11:$AO$4010,MATCH(97,$AY$11:$AY$4010,0)),""))</f>
        <v/>
      </c>
      <c r="AA107" s="10" t="str">
        <f>IF(X107="","",IFERROR(INDEX($AQ$11:$AQ$4010,MATCH(97,$AY$11:$AY$4010,0)),""))</f>
        <v/>
      </c>
      <c r="AB107" s="15" t="str">
        <f>IF(X107="","",IFERROR(INDEX($AR$11:$AR$4010,MATCH(97,$AY$11:$AY$4010,0)),""))</f>
        <v/>
      </c>
      <c r="AD107" s="16" t="str">
        <f>IF(AE107="","",IFERROR(INDEX($AL$11:$AL$4010,MATCH(97,$AZ$11:$AZ$4010,0)),""))</f>
        <v/>
      </c>
      <c r="AE107" s="12" t="str">
        <f>IFERROR(INDEX($AM$11:$AM$4010,MATCH(97,$AZ$11:$AZ$4010,0)),"")</f>
        <v/>
      </c>
      <c r="AF107" s="11" t="str">
        <f>IF(AE107="","",IFERROR(INDEX($AN$11:$AN$4010,MATCH(97,$AZ$11:$AZ$4010,0)),""))</f>
        <v/>
      </c>
      <c r="AG107" s="11" t="str">
        <f>IF(AE107="","",IFERROR(INDEX($AO$11:$AO$4010,MATCH(97,$AZ$11:$AZ$4010,0)),""))</f>
        <v/>
      </c>
      <c r="AH107" s="10" t="str">
        <f>IF(AE107="","",IFERROR(INDEX($AQ$11:$AQ$4010,MATCH(97,$AZ$11:$AZ$4010,0)),""))</f>
        <v/>
      </c>
      <c r="AI107" s="15" t="str">
        <f>IF(AE107="","",IFERROR(INDEX($AR$11:$AR$4010,MATCH(97,$AZ$11:$AZ$4010,0)),""))</f>
        <v/>
      </c>
      <c r="AJ107" s="15" t="str">
        <f>IF(AE107="","",IFERROR(INDEX($AT$11:$AT$4010,MATCH(97,$AZ$11:$AZ$4010,0)),""))</f>
        <v/>
      </c>
      <c r="AL107" s="17" t="str">
        <f t="shared" si="20"/>
        <v/>
      </c>
      <c r="AM107" s="12" t="str">
        <f t="shared" si="21"/>
        <v/>
      </c>
      <c r="AN107" s="18" t="str">
        <f t="shared" si="22"/>
        <v/>
      </c>
      <c r="AO107" s="18" t="str">
        <f t="shared" si="23"/>
        <v/>
      </c>
      <c r="AP107" s="10" t="str">
        <f t="shared" si="24"/>
        <v/>
      </c>
      <c r="AQ107" s="10" t="str">
        <f t="shared" si="25"/>
        <v/>
      </c>
      <c r="AR107" s="19" t="str">
        <f t="shared" si="26"/>
        <v/>
      </c>
      <c r="AS107" s="20"/>
      <c r="AT107" s="19"/>
      <c r="AV107" s="21">
        <f>IF(AND($AL107&lt;&gt;"",COUNTIF($AL$11:$AL107,$AL107)=1),1,0)</f>
        <v>0</v>
      </c>
      <c r="AW107" s="21">
        <f t="shared" si="28"/>
        <v>2</v>
      </c>
      <c r="AX107" s="21" t="str">
        <f t="shared" si="27"/>
        <v/>
      </c>
      <c r="AY107" s="21" t="str">
        <f>IF(AND($AM107&lt;&gt;"",$AS107&lt;&gt;"✓"),SUMPRODUCT(($AM$11:$AM107&lt;&gt;"")*($AS$11:$AS107&lt;&gt;"✓")),"")</f>
        <v/>
      </c>
      <c r="AZ107" s="21" t="str">
        <f>IF(AND($AM107&lt;&gt;"",$AS107="✓"),SUMPRODUCT(($AM$11:$AM107&lt;&gt;"")*($AS$11:$AS107="✓")),"")</f>
        <v/>
      </c>
      <c r="BA107" s="21" t="str">
        <f>IF($AL107="","",$AL107&amp;"|"&amp;COUNTIF($AL$11:$AL107,$AL107))</f>
        <v/>
      </c>
    </row>
    <row r="108" spans="2:53" ht="15" customHeight="1" x14ac:dyDescent="0.25">
      <c r="B108" s="5" t="str">
        <f t="shared" si="15"/>
        <v/>
      </c>
      <c r="C108" s="5"/>
      <c r="D108" s="5"/>
      <c r="E108" s="5"/>
      <c r="F108" s="6"/>
      <c r="G108" s="6"/>
      <c r="H108" s="7"/>
      <c r="I108" s="8"/>
      <c r="K108" s="23" t="str">
        <f>IFERROR(INDEX($AL$11:$AL$4010,MATCH(98,$AX$11:$AX$4010,0)),"")</f>
        <v/>
      </c>
      <c r="L108" s="24" t="str">
        <f t="shared" si="16"/>
        <v/>
      </c>
      <c r="M108" s="25" t="str">
        <f t="shared" si="17"/>
        <v/>
      </c>
      <c r="N108" s="25" t="str">
        <f t="shared" si="18"/>
        <v/>
      </c>
      <c r="P108" s="26" t="str">
        <f>IFERROR(INDEX($AM$11:$AM$4010,MATCH($S$8&amp;"|"&amp;98,$BA$11:$BA$4010,0)),"")</f>
        <v/>
      </c>
      <c r="Q108" s="25" t="str">
        <f>IF(P108="","",IFERROR(INDEX($AN$11:$AN$4010,MATCH($S$8&amp;"|"&amp;98,$BA$11:$BA$4010,0)),""))</f>
        <v/>
      </c>
      <c r="R108" s="25" t="str">
        <f>IF(P108="","",IFERROR(INDEX($AO$11:$AO$4010,MATCH($S$8&amp;"|"&amp;98,$BA$11:$BA$4010,0)),""))</f>
        <v/>
      </c>
      <c r="S108" s="24" t="str">
        <f>IF(P108="","",IFERROR(INDEX($AP$11:$AP$4010,MATCH($S$8&amp;"|"&amp;98,$BA$11:$BA$4010,0)),""))</f>
        <v/>
      </c>
      <c r="T108" s="24" t="str">
        <f>IF(P108="","",IFERROR(INDEX($AQ$11:$AQ$4010,MATCH($S$8&amp;"|"&amp;98,$BA$11:$BA$4010,0)),""))</f>
        <v/>
      </c>
      <c r="U108" s="38" t="str">
        <f t="shared" si="29"/>
        <v/>
      </c>
      <c r="W108" s="28" t="str">
        <f>IF(X108="","",IFERROR(INDEX($AL$11:$AL$4010,MATCH(98,$AY$11:$AY$4010,0)),""))</f>
        <v/>
      </c>
      <c r="X108" s="26" t="str">
        <f>IFERROR(INDEX($AM$11:$AM$4010,MATCH(98,$AY$11:$AY$4010,0)),"")</f>
        <v/>
      </c>
      <c r="Y108" s="25" t="str">
        <f>IF(X108="","",IFERROR(INDEX($AN$11:$AN$4010,MATCH(98,$AY$11:$AY$4010,0)),""))</f>
        <v/>
      </c>
      <c r="Z108" s="25" t="str">
        <f>IF(X108="","",IFERROR(INDEX($AO$11:$AO$4010,MATCH(98,$AY$11:$AY$4010,0)),""))</f>
        <v/>
      </c>
      <c r="AA108" s="24" t="str">
        <f>IF(X108="","",IFERROR(INDEX($AQ$11:$AQ$4010,MATCH(98,$AY$11:$AY$4010,0)),""))</f>
        <v/>
      </c>
      <c r="AB108" s="29" t="str">
        <f>IF(X108="","",IFERROR(INDEX($AR$11:$AR$4010,MATCH(98,$AY$11:$AY$4010,0)),""))</f>
        <v/>
      </c>
      <c r="AD108" s="30" t="str">
        <f>IF(AE108="","",IFERROR(INDEX($AL$11:$AL$4010,MATCH(98,$AZ$11:$AZ$4010,0)),""))</f>
        <v/>
      </c>
      <c r="AE108" s="26" t="str">
        <f>IFERROR(INDEX($AM$11:$AM$4010,MATCH(98,$AZ$11:$AZ$4010,0)),"")</f>
        <v/>
      </c>
      <c r="AF108" s="25" t="str">
        <f>IF(AE108="","",IFERROR(INDEX($AN$11:$AN$4010,MATCH(98,$AZ$11:$AZ$4010,0)),""))</f>
        <v/>
      </c>
      <c r="AG108" s="25" t="str">
        <f>IF(AE108="","",IFERROR(INDEX($AO$11:$AO$4010,MATCH(98,$AZ$11:$AZ$4010,0)),""))</f>
        <v/>
      </c>
      <c r="AH108" s="24" t="str">
        <f>IF(AE108="","",IFERROR(INDEX($AQ$11:$AQ$4010,MATCH(98,$AZ$11:$AZ$4010,0)),""))</f>
        <v/>
      </c>
      <c r="AI108" s="29" t="str">
        <f>IF(AE108="","",IFERROR(INDEX($AR$11:$AR$4010,MATCH(98,$AZ$11:$AZ$4010,0)),""))</f>
        <v/>
      </c>
      <c r="AJ108" s="29" t="str">
        <f>IF(AE108="","",IFERROR(INDEX($AT$11:$AT$4010,MATCH(98,$AZ$11:$AZ$4010,0)),""))</f>
        <v/>
      </c>
      <c r="AL108" s="31" t="str">
        <f t="shared" si="20"/>
        <v/>
      </c>
      <c r="AM108" s="26" t="str">
        <f t="shared" si="21"/>
        <v/>
      </c>
      <c r="AN108" s="32" t="str">
        <f t="shared" si="22"/>
        <v/>
      </c>
      <c r="AO108" s="32" t="str">
        <f t="shared" si="23"/>
        <v/>
      </c>
      <c r="AP108" s="24" t="str">
        <f t="shared" si="24"/>
        <v/>
      </c>
      <c r="AQ108" s="24" t="str">
        <f t="shared" si="25"/>
        <v/>
      </c>
      <c r="AR108" s="33" t="str">
        <f t="shared" si="26"/>
        <v/>
      </c>
      <c r="AS108" s="34"/>
      <c r="AT108" s="33"/>
      <c r="AV108" s="21">
        <f>IF(AND($AL108&lt;&gt;"",COUNTIF($AL$11:$AL108,$AL108)=1),1,0)</f>
        <v>0</v>
      </c>
      <c r="AW108" s="21">
        <f t="shared" si="28"/>
        <v>2</v>
      </c>
      <c r="AX108" s="21" t="str">
        <f t="shared" si="27"/>
        <v/>
      </c>
      <c r="AY108" s="21" t="str">
        <f>IF(AND($AM108&lt;&gt;"",$AS108&lt;&gt;"✓"),SUMPRODUCT(($AM$11:$AM108&lt;&gt;"")*($AS$11:$AS108&lt;&gt;"✓")),"")</f>
        <v/>
      </c>
      <c r="AZ108" s="21" t="str">
        <f>IF(AND($AM108&lt;&gt;"",$AS108="✓"),SUMPRODUCT(($AM$11:$AM108&lt;&gt;"")*($AS$11:$AS108="✓")),"")</f>
        <v/>
      </c>
      <c r="BA108" s="21" t="str">
        <f>IF($AL108="","",$AL108&amp;"|"&amp;COUNTIF($AL$11:$AL108,$AL108))</f>
        <v/>
      </c>
    </row>
    <row r="109" spans="2:53" ht="15" customHeight="1" x14ac:dyDescent="0.25">
      <c r="B109" s="5" t="str">
        <f t="shared" si="15"/>
        <v/>
      </c>
      <c r="C109" s="5"/>
      <c r="D109" s="5"/>
      <c r="E109" s="5"/>
      <c r="F109" s="6"/>
      <c r="G109" s="6"/>
      <c r="H109" s="7"/>
      <c r="I109" s="8"/>
      <c r="K109" s="9" t="str">
        <f>IFERROR(INDEX($AL$11:$AL$4010,MATCH(99,$AX$11:$AX$4010,0)),"")</f>
        <v/>
      </c>
      <c r="L109" s="10" t="str">
        <f t="shared" si="16"/>
        <v/>
      </c>
      <c r="M109" s="11" t="str">
        <f t="shared" si="17"/>
        <v/>
      </c>
      <c r="N109" s="11" t="str">
        <f t="shared" si="18"/>
        <v/>
      </c>
      <c r="P109" s="12" t="str">
        <f>IFERROR(INDEX($AM$11:$AM$4010,MATCH($S$8&amp;"|"&amp;99,$BA$11:$BA$4010,0)),"")</f>
        <v/>
      </c>
      <c r="Q109" s="11" t="str">
        <f>IF(P109="","",IFERROR(INDEX($AN$11:$AN$4010,MATCH($S$8&amp;"|"&amp;99,$BA$11:$BA$4010,0)),""))</f>
        <v/>
      </c>
      <c r="R109" s="11" t="str">
        <f>IF(P109="","",IFERROR(INDEX($AO$11:$AO$4010,MATCH($S$8&amp;"|"&amp;99,$BA$11:$BA$4010,0)),""))</f>
        <v/>
      </c>
      <c r="S109" s="10" t="str">
        <f>IF(P109="","",IFERROR(INDEX($AP$11:$AP$4010,MATCH($S$8&amp;"|"&amp;99,$BA$11:$BA$4010,0)),""))</f>
        <v/>
      </c>
      <c r="T109" s="10" t="str">
        <f>IF(P109="","",IFERROR(INDEX($AQ$11:$AQ$4010,MATCH($S$8&amp;"|"&amp;99,$BA$11:$BA$4010,0)),""))</f>
        <v/>
      </c>
      <c r="U109" s="39" t="str">
        <f t="shared" si="29"/>
        <v/>
      </c>
      <c r="W109" s="14" t="str">
        <f>IF(X109="","",IFERROR(INDEX($AL$11:$AL$4010,MATCH(99,$AY$11:$AY$4010,0)),""))</f>
        <v/>
      </c>
      <c r="X109" s="12" t="str">
        <f>IFERROR(INDEX($AM$11:$AM$4010,MATCH(99,$AY$11:$AY$4010,0)),"")</f>
        <v/>
      </c>
      <c r="Y109" s="11" t="str">
        <f>IF(X109="","",IFERROR(INDEX($AN$11:$AN$4010,MATCH(99,$AY$11:$AY$4010,0)),""))</f>
        <v/>
      </c>
      <c r="Z109" s="11" t="str">
        <f>IF(X109="","",IFERROR(INDEX($AO$11:$AO$4010,MATCH(99,$AY$11:$AY$4010,0)),""))</f>
        <v/>
      </c>
      <c r="AA109" s="10" t="str">
        <f>IF(X109="","",IFERROR(INDEX($AQ$11:$AQ$4010,MATCH(99,$AY$11:$AY$4010,0)),""))</f>
        <v/>
      </c>
      <c r="AB109" s="15" t="str">
        <f>IF(X109="","",IFERROR(INDEX($AR$11:$AR$4010,MATCH(99,$AY$11:$AY$4010,0)),""))</f>
        <v/>
      </c>
      <c r="AD109" s="16" t="str">
        <f>IF(AE109="","",IFERROR(INDEX($AL$11:$AL$4010,MATCH(99,$AZ$11:$AZ$4010,0)),""))</f>
        <v/>
      </c>
      <c r="AE109" s="12" t="str">
        <f>IFERROR(INDEX($AM$11:$AM$4010,MATCH(99,$AZ$11:$AZ$4010,0)),"")</f>
        <v/>
      </c>
      <c r="AF109" s="11" t="str">
        <f>IF(AE109="","",IFERROR(INDEX($AN$11:$AN$4010,MATCH(99,$AZ$11:$AZ$4010,0)),""))</f>
        <v/>
      </c>
      <c r="AG109" s="11" t="str">
        <f>IF(AE109="","",IFERROR(INDEX($AO$11:$AO$4010,MATCH(99,$AZ$11:$AZ$4010,0)),""))</f>
        <v/>
      </c>
      <c r="AH109" s="10" t="str">
        <f>IF(AE109="","",IFERROR(INDEX($AQ$11:$AQ$4010,MATCH(99,$AZ$11:$AZ$4010,0)),""))</f>
        <v/>
      </c>
      <c r="AI109" s="15" t="str">
        <f>IF(AE109="","",IFERROR(INDEX($AR$11:$AR$4010,MATCH(99,$AZ$11:$AZ$4010,0)),""))</f>
        <v/>
      </c>
      <c r="AJ109" s="15" t="str">
        <f>IF(AE109="","",IFERROR(INDEX($AT$11:$AT$4010,MATCH(99,$AZ$11:$AZ$4010,0)),""))</f>
        <v/>
      </c>
      <c r="AL109" s="17" t="str">
        <f t="shared" si="20"/>
        <v/>
      </c>
      <c r="AM109" s="12" t="str">
        <f t="shared" si="21"/>
        <v/>
      </c>
      <c r="AN109" s="18" t="str">
        <f t="shared" si="22"/>
        <v/>
      </c>
      <c r="AO109" s="18" t="str">
        <f t="shared" si="23"/>
        <v/>
      </c>
      <c r="AP109" s="10" t="str">
        <f t="shared" si="24"/>
        <v/>
      </c>
      <c r="AQ109" s="10" t="str">
        <f t="shared" si="25"/>
        <v/>
      </c>
      <c r="AR109" s="19" t="str">
        <f t="shared" si="26"/>
        <v/>
      </c>
      <c r="AS109" s="20"/>
      <c r="AT109" s="19"/>
      <c r="AV109" s="21">
        <f>IF(AND($AL109&lt;&gt;"",COUNTIF($AL$11:$AL109,$AL109)=1),1,0)</f>
        <v>0</v>
      </c>
      <c r="AW109" s="21">
        <f t="shared" si="28"/>
        <v>2</v>
      </c>
      <c r="AX109" s="21" t="str">
        <f t="shared" si="27"/>
        <v/>
      </c>
      <c r="AY109" s="21" t="str">
        <f>IF(AND($AM109&lt;&gt;"",$AS109&lt;&gt;"✓"),SUMPRODUCT(($AM$11:$AM109&lt;&gt;"")*($AS$11:$AS109&lt;&gt;"✓")),"")</f>
        <v/>
      </c>
      <c r="AZ109" s="21" t="str">
        <f>IF(AND($AM109&lt;&gt;"",$AS109="✓"),SUMPRODUCT(($AM$11:$AM109&lt;&gt;"")*($AS$11:$AS109="✓")),"")</f>
        <v/>
      </c>
      <c r="BA109" s="21" t="str">
        <f>IF($AL109="","",$AL109&amp;"|"&amp;COUNTIF($AL$11:$AL109,$AL109))</f>
        <v/>
      </c>
    </row>
    <row r="110" spans="2:53" ht="15" customHeight="1" x14ac:dyDescent="0.25">
      <c r="B110" s="5" t="str">
        <f t="shared" si="15"/>
        <v/>
      </c>
      <c r="C110" s="5"/>
      <c r="D110" s="5"/>
      <c r="E110" s="5"/>
      <c r="F110" s="6"/>
      <c r="G110" s="6"/>
      <c r="H110" s="7"/>
      <c r="I110" s="8"/>
      <c r="K110" s="23" t="str">
        <f>IFERROR(INDEX($AL$11:$AL$4010,MATCH(100,$AX$11:$AX$4010,0)),"")</f>
        <v/>
      </c>
      <c r="L110" s="24" t="str">
        <f t="shared" si="16"/>
        <v/>
      </c>
      <c r="M110" s="25" t="str">
        <f t="shared" si="17"/>
        <v/>
      </c>
      <c r="N110" s="25" t="str">
        <f t="shared" si="18"/>
        <v/>
      </c>
      <c r="P110" s="26" t="str">
        <f>IFERROR(INDEX($AM$11:$AM$4010,MATCH($S$8&amp;"|"&amp;100,$BA$11:$BA$4010,0)),"")</f>
        <v/>
      </c>
      <c r="Q110" s="25" t="str">
        <f>IF(P110="","",IFERROR(INDEX($AN$11:$AN$4010,MATCH($S$8&amp;"|"&amp;100,$BA$11:$BA$4010,0)),""))</f>
        <v/>
      </c>
      <c r="R110" s="25" t="str">
        <f>IF(P110="","",IFERROR(INDEX($AO$11:$AO$4010,MATCH($S$8&amp;"|"&amp;100,$BA$11:$BA$4010,0)),""))</f>
        <v/>
      </c>
      <c r="S110" s="24" t="str">
        <f>IF(P110="","",IFERROR(INDEX($AP$11:$AP$4010,MATCH($S$8&amp;"|"&amp;100,$BA$11:$BA$4010,0)),""))</f>
        <v/>
      </c>
      <c r="T110" s="24" t="str">
        <f>IF(P110="","",IFERROR(INDEX($AQ$11:$AQ$4010,MATCH($S$8&amp;"|"&amp;100,$BA$11:$BA$4010,0)),""))</f>
        <v/>
      </c>
      <c r="U110" s="38" t="str">
        <f t="shared" si="29"/>
        <v/>
      </c>
      <c r="W110" s="28" t="str">
        <f>IF(X110="","",IFERROR(INDEX($AL$11:$AL$4010,MATCH(100,$AY$11:$AY$4010,0)),""))</f>
        <v/>
      </c>
      <c r="X110" s="26" t="str">
        <f>IFERROR(INDEX($AM$11:$AM$4010,MATCH(100,$AY$11:$AY$4010,0)),"")</f>
        <v/>
      </c>
      <c r="Y110" s="25" t="str">
        <f>IF(X110="","",IFERROR(INDEX($AN$11:$AN$4010,MATCH(100,$AY$11:$AY$4010,0)),""))</f>
        <v/>
      </c>
      <c r="Z110" s="25" t="str">
        <f>IF(X110="","",IFERROR(INDEX($AO$11:$AO$4010,MATCH(100,$AY$11:$AY$4010,0)),""))</f>
        <v/>
      </c>
      <c r="AA110" s="24" t="str">
        <f>IF(X110="","",IFERROR(INDEX($AQ$11:$AQ$4010,MATCH(100,$AY$11:$AY$4010,0)),""))</f>
        <v/>
      </c>
      <c r="AB110" s="29" t="str">
        <f>IF(X110="","",IFERROR(INDEX($AR$11:$AR$4010,MATCH(100,$AY$11:$AY$4010,0)),""))</f>
        <v/>
      </c>
      <c r="AD110" s="30" t="str">
        <f>IF(AE110="","",IFERROR(INDEX($AL$11:$AL$4010,MATCH(100,$AZ$11:$AZ$4010,0)),""))</f>
        <v/>
      </c>
      <c r="AE110" s="26" t="str">
        <f>IFERROR(INDEX($AM$11:$AM$4010,MATCH(100,$AZ$11:$AZ$4010,0)),"")</f>
        <v/>
      </c>
      <c r="AF110" s="25" t="str">
        <f>IF(AE110="","",IFERROR(INDEX($AN$11:$AN$4010,MATCH(100,$AZ$11:$AZ$4010,0)),""))</f>
        <v/>
      </c>
      <c r="AG110" s="25" t="str">
        <f>IF(AE110="","",IFERROR(INDEX($AO$11:$AO$4010,MATCH(100,$AZ$11:$AZ$4010,0)),""))</f>
        <v/>
      </c>
      <c r="AH110" s="24" t="str">
        <f>IF(AE110="","",IFERROR(INDEX($AQ$11:$AQ$4010,MATCH(100,$AZ$11:$AZ$4010,0)),""))</f>
        <v/>
      </c>
      <c r="AI110" s="29" t="str">
        <f>IF(AE110="","",IFERROR(INDEX($AR$11:$AR$4010,MATCH(100,$AZ$11:$AZ$4010,0)),""))</f>
        <v/>
      </c>
      <c r="AJ110" s="29" t="str">
        <f>IF(AE110="","",IFERROR(INDEX($AT$11:$AT$4010,MATCH(100,$AZ$11:$AZ$4010,0)),""))</f>
        <v/>
      </c>
      <c r="AL110" s="31" t="str">
        <f t="shared" si="20"/>
        <v/>
      </c>
      <c r="AM110" s="26" t="str">
        <f t="shared" si="21"/>
        <v/>
      </c>
      <c r="AN110" s="32" t="str">
        <f t="shared" si="22"/>
        <v/>
      </c>
      <c r="AO110" s="32" t="str">
        <f t="shared" si="23"/>
        <v/>
      </c>
      <c r="AP110" s="24" t="str">
        <f t="shared" si="24"/>
        <v/>
      </c>
      <c r="AQ110" s="24" t="str">
        <f t="shared" si="25"/>
        <v/>
      </c>
      <c r="AR110" s="33" t="str">
        <f t="shared" si="26"/>
        <v/>
      </c>
      <c r="AS110" s="34"/>
      <c r="AT110" s="33"/>
      <c r="AV110" s="21">
        <f>IF(AND($AL110&lt;&gt;"",COUNTIF($AL$11:$AL110,$AL110)=1),1,0)</f>
        <v>0</v>
      </c>
      <c r="AW110" s="21">
        <f t="shared" si="28"/>
        <v>2</v>
      </c>
      <c r="AX110" s="21" t="str">
        <f t="shared" si="27"/>
        <v/>
      </c>
      <c r="AY110" s="21" t="str">
        <f>IF(AND($AM110&lt;&gt;"",$AS110&lt;&gt;"✓"),SUMPRODUCT(($AM$11:$AM110&lt;&gt;"")*($AS$11:$AS110&lt;&gt;"✓")),"")</f>
        <v/>
      </c>
      <c r="AZ110" s="21" t="str">
        <f>IF(AND($AM110&lt;&gt;"",$AS110="✓"),SUMPRODUCT(($AM$11:$AM110&lt;&gt;"")*($AS$11:$AS110="✓")),"")</f>
        <v/>
      </c>
      <c r="BA110" s="21" t="str">
        <f>IF($AL110="","",$AL110&amp;"|"&amp;COUNTIF($AL$11:$AL110,$AL110))</f>
        <v/>
      </c>
    </row>
    <row r="111" spans="2:53" ht="15" customHeight="1" x14ac:dyDescent="0.25">
      <c r="B111" s="5" t="str">
        <f t="shared" si="15"/>
        <v/>
      </c>
      <c r="C111" s="5"/>
      <c r="D111" s="5"/>
      <c r="E111" s="5"/>
      <c r="F111" s="6"/>
      <c r="G111" s="6"/>
      <c r="H111" s="7"/>
      <c r="I111" s="8"/>
      <c r="K111" s="9" t="str">
        <f>IFERROR(INDEX($AL$11:$AL$4010,MATCH(101,$AX$11:$AX$4010,0)),"")</f>
        <v/>
      </c>
      <c r="L111" s="10" t="str">
        <f t="shared" si="16"/>
        <v/>
      </c>
      <c r="M111" s="11" t="str">
        <f t="shared" si="17"/>
        <v/>
      </c>
      <c r="N111" s="11" t="str">
        <f t="shared" si="18"/>
        <v/>
      </c>
      <c r="P111" s="12" t="str">
        <f>IFERROR(INDEX($AM$11:$AM$4010,MATCH($S$8&amp;"|"&amp;101,$BA$11:$BA$4010,0)),"")</f>
        <v/>
      </c>
      <c r="Q111" s="11" t="str">
        <f>IF(P111="","",IFERROR(INDEX($AN$11:$AN$4010,MATCH($S$8&amp;"|"&amp;101,$BA$11:$BA$4010,0)),""))</f>
        <v/>
      </c>
      <c r="R111" s="11" t="str">
        <f>IF(P111="","",IFERROR(INDEX($AO$11:$AO$4010,MATCH($S$8&amp;"|"&amp;101,$BA$11:$BA$4010,0)),""))</f>
        <v/>
      </c>
      <c r="S111" s="10" t="str">
        <f>IF(P111="","",IFERROR(INDEX($AP$11:$AP$4010,MATCH($S$8&amp;"|"&amp;101,$BA$11:$BA$4010,0)),""))</f>
        <v/>
      </c>
      <c r="T111" s="10" t="str">
        <f>IF(P111="","",IFERROR(INDEX($AQ$11:$AQ$4010,MATCH($S$8&amp;"|"&amp;101,$BA$11:$BA$4010,0)),""))</f>
        <v/>
      </c>
      <c r="U111" s="39" t="str">
        <f t="shared" si="29"/>
        <v/>
      </c>
      <c r="W111" s="14" t="str">
        <f>IF(X111="","",IFERROR(INDEX($AL$11:$AL$4010,MATCH(101,$AY$11:$AY$4010,0)),""))</f>
        <v/>
      </c>
      <c r="X111" s="12" t="str">
        <f>IFERROR(INDEX($AM$11:$AM$4010,MATCH(101,$AY$11:$AY$4010,0)),"")</f>
        <v/>
      </c>
      <c r="Y111" s="11" t="str">
        <f>IF(X111="","",IFERROR(INDEX($AN$11:$AN$4010,MATCH(101,$AY$11:$AY$4010,0)),""))</f>
        <v/>
      </c>
      <c r="Z111" s="11" t="str">
        <f>IF(X111="","",IFERROR(INDEX($AO$11:$AO$4010,MATCH(101,$AY$11:$AY$4010,0)),""))</f>
        <v/>
      </c>
      <c r="AA111" s="10" t="str">
        <f>IF(X111="","",IFERROR(INDEX($AQ$11:$AQ$4010,MATCH(101,$AY$11:$AY$4010,0)),""))</f>
        <v/>
      </c>
      <c r="AB111" s="15" t="str">
        <f>IF(X111="","",IFERROR(INDEX($AR$11:$AR$4010,MATCH(101,$AY$11:$AY$4010,0)),""))</f>
        <v/>
      </c>
      <c r="AD111" s="16" t="str">
        <f>IF(AE111="","",IFERROR(INDEX($AL$11:$AL$4010,MATCH(101,$AZ$11:$AZ$4010,0)),""))</f>
        <v/>
      </c>
      <c r="AE111" s="12" t="str">
        <f>IFERROR(INDEX($AM$11:$AM$4010,MATCH(101,$AZ$11:$AZ$4010,0)),"")</f>
        <v/>
      </c>
      <c r="AF111" s="11" t="str">
        <f>IF(AE111="","",IFERROR(INDEX($AN$11:$AN$4010,MATCH(101,$AZ$11:$AZ$4010,0)),""))</f>
        <v/>
      </c>
      <c r="AG111" s="11" t="str">
        <f>IF(AE111="","",IFERROR(INDEX($AO$11:$AO$4010,MATCH(101,$AZ$11:$AZ$4010,0)),""))</f>
        <v/>
      </c>
      <c r="AH111" s="10" t="str">
        <f>IF(AE111="","",IFERROR(INDEX($AQ$11:$AQ$4010,MATCH(101,$AZ$11:$AZ$4010,0)),""))</f>
        <v/>
      </c>
      <c r="AI111" s="15" t="str">
        <f>IF(AE111="","",IFERROR(INDEX($AR$11:$AR$4010,MATCH(101,$AZ$11:$AZ$4010,0)),""))</f>
        <v/>
      </c>
      <c r="AJ111" s="15" t="str">
        <f>IF(AE111="","",IFERROR(INDEX($AT$11:$AT$4010,MATCH(101,$AZ$11:$AZ$4010,0)),""))</f>
        <v/>
      </c>
      <c r="AL111" s="17" t="str">
        <f t="shared" si="20"/>
        <v/>
      </c>
      <c r="AM111" s="12" t="str">
        <f t="shared" si="21"/>
        <v/>
      </c>
      <c r="AN111" s="18" t="str">
        <f t="shared" si="22"/>
        <v/>
      </c>
      <c r="AO111" s="18" t="str">
        <f t="shared" si="23"/>
        <v/>
      </c>
      <c r="AP111" s="10" t="str">
        <f t="shared" si="24"/>
        <v/>
      </c>
      <c r="AQ111" s="10" t="str">
        <f t="shared" si="25"/>
        <v/>
      </c>
      <c r="AR111" s="19" t="str">
        <f t="shared" si="26"/>
        <v/>
      </c>
      <c r="AS111" s="20"/>
      <c r="AT111" s="19"/>
      <c r="AV111" s="21">
        <f>IF(AND($AL111&lt;&gt;"",COUNTIF($AL$11:$AL111,$AL111)=1),1,0)</f>
        <v>0</v>
      </c>
      <c r="AW111" s="21">
        <f t="shared" si="28"/>
        <v>2</v>
      </c>
      <c r="AX111" s="21" t="str">
        <f t="shared" si="27"/>
        <v/>
      </c>
      <c r="AY111" s="21" t="str">
        <f>IF(AND($AM111&lt;&gt;"",$AS111&lt;&gt;"✓"),SUMPRODUCT(($AM$11:$AM111&lt;&gt;"")*($AS$11:$AS111&lt;&gt;"✓")),"")</f>
        <v/>
      </c>
      <c r="AZ111" s="21" t="str">
        <f>IF(AND($AM111&lt;&gt;"",$AS111="✓"),SUMPRODUCT(($AM$11:$AM111&lt;&gt;"")*($AS$11:$AS111="✓")),"")</f>
        <v/>
      </c>
      <c r="BA111" s="21" t="str">
        <f>IF($AL111="","",$AL111&amp;"|"&amp;COUNTIF($AL$11:$AL111,$AL111))</f>
        <v/>
      </c>
    </row>
    <row r="112" spans="2:53" ht="15" customHeight="1" x14ac:dyDescent="0.25">
      <c r="B112" s="5" t="str">
        <f t="shared" si="15"/>
        <v/>
      </c>
      <c r="C112" s="5"/>
      <c r="D112" s="5"/>
      <c r="E112" s="5"/>
      <c r="F112" s="6"/>
      <c r="G112" s="6"/>
      <c r="H112" s="7"/>
      <c r="I112" s="8"/>
      <c r="K112" s="23" t="str">
        <f>IFERROR(INDEX($AL$11:$AL$4010,MATCH(102,$AX$11:$AX$4010,0)),"")</f>
        <v/>
      </c>
      <c r="L112" s="24" t="str">
        <f t="shared" si="16"/>
        <v/>
      </c>
      <c r="M112" s="25" t="str">
        <f t="shared" si="17"/>
        <v/>
      </c>
      <c r="N112" s="25" t="str">
        <f t="shared" si="18"/>
        <v/>
      </c>
      <c r="P112" s="26" t="str">
        <f>IFERROR(INDEX($AM$11:$AM$4010,MATCH($S$8&amp;"|"&amp;102,$BA$11:$BA$4010,0)),"")</f>
        <v/>
      </c>
      <c r="Q112" s="25" t="str">
        <f>IF(P112="","",IFERROR(INDEX($AN$11:$AN$4010,MATCH($S$8&amp;"|"&amp;102,$BA$11:$BA$4010,0)),""))</f>
        <v/>
      </c>
      <c r="R112" s="25" t="str">
        <f>IF(P112="","",IFERROR(INDEX($AO$11:$AO$4010,MATCH($S$8&amp;"|"&amp;102,$BA$11:$BA$4010,0)),""))</f>
        <v/>
      </c>
      <c r="S112" s="24" t="str">
        <f>IF(P112="","",IFERROR(INDEX($AP$11:$AP$4010,MATCH($S$8&amp;"|"&amp;102,$BA$11:$BA$4010,0)),""))</f>
        <v/>
      </c>
      <c r="T112" s="24" t="str">
        <f>IF(P112="","",IFERROR(INDEX($AQ$11:$AQ$4010,MATCH($S$8&amp;"|"&amp;102,$BA$11:$BA$4010,0)),""))</f>
        <v/>
      </c>
      <c r="U112" s="38" t="str">
        <f t="shared" si="29"/>
        <v/>
      </c>
      <c r="W112" s="28" t="str">
        <f>IF(X112="","",IFERROR(INDEX($AL$11:$AL$4010,MATCH(102,$AY$11:$AY$4010,0)),""))</f>
        <v/>
      </c>
      <c r="X112" s="26" t="str">
        <f>IFERROR(INDEX($AM$11:$AM$4010,MATCH(102,$AY$11:$AY$4010,0)),"")</f>
        <v/>
      </c>
      <c r="Y112" s="25" t="str">
        <f>IF(X112="","",IFERROR(INDEX($AN$11:$AN$4010,MATCH(102,$AY$11:$AY$4010,0)),""))</f>
        <v/>
      </c>
      <c r="Z112" s="25" t="str">
        <f>IF(X112="","",IFERROR(INDEX($AO$11:$AO$4010,MATCH(102,$AY$11:$AY$4010,0)),""))</f>
        <v/>
      </c>
      <c r="AA112" s="24" t="str">
        <f>IF(X112="","",IFERROR(INDEX($AQ$11:$AQ$4010,MATCH(102,$AY$11:$AY$4010,0)),""))</f>
        <v/>
      </c>
      <c r="AB112" s="29" t="str">
        <f>IF(X112="","",IFERROR(INDEX($AR$11:$AR$4010,MATCH(102,$AY$11:$AY$4010,0)),""))</f>
        <v/>
      </c>
      <c r="AD112" s="30" t="str">
        <f>IF(AE112="","",IFERROR(INDEX($AL$11:$AL$4010,MATCH(102,$AZ$11:$AZ$4010,0)),""))</f>
        <v/>
      </c>
      <c r="AE112" s="26" t="str">
        <f>IFERROR(INDEX($AM$11:$AM$4010,MATCH(102,$AZ$11:$AZ$4010,0)),"")</f>
        <v/>
      </c>
      <c r="AF112" s="25" t="str">
        <f>IF(AE112="","",IFERROR(INDEX($AN$11:$AN$4010,MATCH(102,$AZ$11:$AZ$4010,0)),""))</f>
        <v/>
      </c>
      <c r="AG112" s="25" t="str">
        <f>IF(AE112="","",IFERROR(INDEX($AO$11:$AO$4010,MATCH(102,$AZ$11:$AZ$4010,0)),""))</f>
        <v/>
      </c>
      <c r="AH112" s="24" t="str">
        <f>IF(AE112="","",IFERROR(INDEX($AQ$11:$AQ$4010,MATCH(102,$AZ$11:$AZ$4010,0)),""))</f>
        <v/>
      </c>
      <c r="AI112" s="29" t="str">
        <f>IF(AE112="","",IFERROR(INDEX($AR$11:$AR$4010,MATCH(102,$AZ$11:$AZ$4010,0)),""))</f>
        <v/>
      </c>
      <c r="AJ112" s="29" t="str">
        <f>IF(AE112="","",IFERROR(INDEX($AT$11:$AT$4010,MATCH(102,$AZ$11:$AZ$4010,0)),""))</f>
        <v/>
      </c>
      <c r="AL112" s="31" t="str">
        <f t="shared" si="20"/>
        <v/>
      </c>
      <c r="AM112" s="26" t="str">
        <f t="shared" si="21"/>
        <v/>
      </c>
      <c r="AN112" s="32" t="str">
        <f t="shared" si="22"/>
        <v/>
      </c>
      <c r="AO112" s="32" t="str">
        <f t="shared" si="23"/>
        <v/>
      </c>
      <c r="AP112" s="24" t="str">
        <f t="shared" si="24"/>
        <v/>
      </c>
      <c r="AQ112" s="24" t="str">
        <f t="shared" si="25"/>
        <v/>
      </c>
      <c r="AR112" s="33" t="str">
        <f t="shared" si="26"/>
        <v/>
      </c>
      <c r="AS112" s="34"/>
      <c r="AT112" s="33"/>
      <c r="AV112" s="21">
        <f>IF(AND($AL112&lt;&gt;"",COUNTIF($AL$11:$AL112,$AL112)=1),1,0)</f>
        <v>0</v>
      </c>
      <c r="AW112" s="21">
        <f t="shared" si="28"/>
        <v>2</v>
      </c>
      <c r="AX112" s="21" t="str">
        <f t="shared" si="27"/>
        <v/>
      </c>
      <c r="AY112" s="21" t="str">
        <f>IF(AND($AM112&lt;&gt;"",$AS112&lt;&gt;"✓"),SUMPRODUCT(($AM$11:$AM112&lt;&gt;"")*($AS$11:$AS112&lt;&gt;"✓")),"")</f>
        <v/>
      </c>
      <c r="AZ112" s="21" t="str">
        <f>IF(AND($AM112&lt;&gt;"",$AS112="✓"),SUMPRODUCT(($AM$11:$AM112&lt;&gt;"")*($AS$11:$AS112="✓")),"")</f>
        <v/>
      </c>
      <c r="BA112" s="21" t="str">
        <f>IF($AL112="","",$AL112&amp;"|"&amp;COUNTIF($AL$11:$AL112,$AL112))</f>
        <v/>
      </c>
    </row>
    <row r="113" spans="2:53" ht="15" customHeight="1" x14ac:dyDescent="0.25">
      <c r="B113" s="5" t="str">
        <f t="shared" si="15"/>
        <v/>
      </c>
      <c r="C113" s="5"/>
      <c r="D113" s="5"/>
      <c r="E113" s="5"/>
      <c r="F113" s="6"/>
      <c r="G113" s="6"/>
      <c r="H113" s="7"/>
      <c r="I113" s="8"/>
      <c r="K113" s="9" t="str">
        <f>IFERROR(INDEX($AL$11:$AL$4010,MATCH(103,$AX$11:$AX$4010,0)),"")</f>
        <v/>
      </c>
      <c r="L113" s="10" t="str">
        <f t="shared" si="16"/>
        <v/>
      </c>
      <c r="M113" s="11" t="str">
        <f t="shared" si="17"/>
        <v/>
      </c>
      <c r="N113" s="11" t="str">
        <f t="shared" si="18"/>
        <v/>
      </c>
      <c r="P113" s="12" t="str">
        <f>IFERROR(INDEX($AM$11:$AM$4010,MATCH($S$8&amp;"|"&amp;103,$BA$11:$BA$4010,0)),"")</f>
        <v/>
      </c>
      <c r="Q113" s="11" t="str">
        <f>IF(P113="","",IFERROR(INDEX($AN$11:$AN$4010,MATCH($S$8&amp;"|"&amp;103,$BA$11:$BA$4010,0)),""))</f>
        <v/>
      </c>
      <c r="R113" s="11" t="str">
        <f>IF(P113="","",IFERROR(INDEX($AO$11:$AO$4010,MATCH($S$8&amp;"|"&amp;103,$BA$11:$BA$4010,0)),""))</f>
        <v/>
      </c>
      <c r="S113" s="10" t="str">
        <f>IF(P113="","",IFERROR(INDEX($AP$11:$AP$4010,MATCH($S$8&amp;"|"&amp;103,$BA$11:$BA$4010,0)),""))</f>
        <v/>
      </c>
      <c r="T113" s="10" t="str">
        <f>IF(P113="","",IFERROR(INDEX($AQ$11:$AQ$4010,MATCH($S$8&amp;"|"&amp;103,$BA$11:$BA$4010,0)),""))</f>
        <v/>
      </c>
      <c r="U113" s="39" t="str">
        <f t="shared" si="29"/>
        <v/>
      </c>
      <c r="W113" s="14" t="str">
        <f>IF(X113="","",IFERROR(INDEX($AL$11:$AL$4010,MATCH(103,$AY$11:$AY$4010,0)),""))</f>
        <v/>
      </c>
      <c r="X113" s="12" t="str">
        <f>IFERROR(INDEX($AM$11:$AM$4010,MATCH(103,$AY$11:$AY$4010,0)),"")</f>
        <v/>
      </c>
      <c r="Y113" s="11" t="str">
        <f>IF(X113="","",IFERROR(INDEX($AN$11:$AN$4010,MATCH(103,$AY$11:$AY$4010,0)),""))</f>
        <v/>
      </c>
      <c r="Z113" s="11" t="str">
        <f>IF(X113="","",IFERROR(INDEX($AO$11:$AO$4010,MATCH(103,$AY$11:$AY$4010,0)),""))</f>
        <v/>
      </c>
      <c r="AA113" s="10" t="str">
        <f>IF(X113="","",IFERROR(INDEX($AQ$11:$AQ$4010,MATCH(103,$AY$11:$AY$4010,0)),""))</f>
        <v/>
      </c>
      <c r="AB113" s="15" t="str">
        <f>IF(X113="","",IFERROR(INDEX($AR$11:$AR$4010,MATCH(103,$AY$11:$AY$4010,0)),""))</f>
        <v/>
      </c>
      <c r="AD113" s="16" t="str">
        <f>IF(AE113="","",IFERROR(INDEX($AL$11:$AL$4010,MATCH(103,$AZ$11:$AZ$4010,0)),""))</f>
        <v/>
      </c>
      <c r="AE113" s="12" t="str">
        <f>IFERROR(INDEX($AM$11:$AM$4010,MATCH(103,$AZ$11:$AZ$4010,0)),"")</f>
        <v/>
      </c>
      <c r="AF113" s="11" t="str">
        <f>IF(AE113="","",IFERROR(INDEX($AN$11:$AN$4010,MATCH(103,$AZ$11:$AZ$4010,0)),""))</f>
        <v/>
      </c>
      <c r="AG113" s="11" t="str">
        <f>IF(AE113="","",IFERROR(INDEX($AO$11:$AO$4010,MATCH(103,$AZ$11:$AZ$4010,0)),""))</f>
        <v/>
      </c>
      <c r="AH113" s="10" t="str">
        <f>IF(AE113="","",IFERROR(INDEX($AQ$11:$AQ$4010,MATCH(103,$AZ$11:$AZ$4010,0)),""))</f>
        <v/>
      </c>
      <c r="AI113" s="15" t="str">
        <f>IF(AE113="","",IFERROR(INDEX($AR$11:$AR$4010,MATCH(103,$AZ$11:$AZ$4010,0)),""))</f>
        <v/>
      </c>
      <c r="AJ113" s="15" t="str">
        <f>IF(AE113="","",IFERROR(INDEX($AT$11:$AT$4010,MATCH(103,$AZ$11:$AZ$4010,0)),""))</f>
        <v/>
      </c>
      <c r="AL113" s="17" t="str">
        <f t="shared" si="20"/>
        <v/>
      </c>
      <c r="AM113" s="12" t="str">
        <f t="shared" si="21"/>
        <v/>
      </c>
      <c r="AN113" s="18" t="str">
        <f t="shared" si="22"/>
        <v/>
      </c>
      <c r="AO113" s="18" t="str">
        <f t="shared" si="23"/>
        <v/>
      </c>
      <c r="AP113" s="10" t="str">
        <f t="shared" si="24"/>
        <v/>
      </c>
      <c r="AQ113" s="10" t="str">
        <f t="shared" si="25"/>
        <v/>
      </c>
      <c r="AR113" s="19" t="str">
        <f t="shared" si="26"/>
        <v/>
      </c>
      <c r="AS113" s="20"/>
      <c r="AT113" s="19"/>
      <c r="AV113" s="21">
        <f>IF(AND($AL113&lt;&gt;"",COUNTIF($AL$11:$AL113,$AL113)=1),1,0)</f>
        <v>0</v>
      </c>
      <c r="AW113" s="21">
        <f t="shared" si="28"/>
        <v>2</v>
      </c>
      <c r="AX113" s="21" t="str">
        <f t="shared" si="27"/>
        <v/>
      </c>
      <c r="AY113" s="21" t="str">
        <f>IF(AND($AM113&lt;&gt;"",$AS113&lt;&gt;"✓"),SUMPRODUCT(($AM$11:$AM113&lt;&gt;"")*($AS$11:$AS113&lt;&gt;"✓")),"")</f>
        <v/>
      </c>
      <c r="AZ113" s="21" t="str">
        <f>IF(AND($AM113&lt;&gt;"",$AS113="✓"),SUMPRODUCT(($AM$11:$AM113&lt;&gt;"")*($AS$11:$AS113="✓")),"")</f>
        <v/>
      </c>
      <c r="BA113" s="21" t="str">
        <f>IF($AL113="","",$AL113&amp;"|"&amp;COUNTIF($AL$11:$AL113,$AL113))</f>
        <v/>
      </c>
    </row>
    <row r="114" spans="2:53" ht="15" customHeight="1" x14ac:dyDescent="0.25">
      <c r="B114" s="5" t="str">
        <f t="shared" si="15"/>
        <v/>
      </c>
      <c r="C114" s="5"/>
      <c r="D114" s="5"/>
      <c r="E114" s="5"/>
      <c r="F114" s="6"/>
      <c r="G114" s="6"/>
      <c r="H114" s="7"/>
      <c r="I114" s="8"/>
      <c r="K114" s="23" t="str">
        <f>IFERROR(INDEX($AL$11:$AL$4010,MATCH(104,$AX$11:$AX$4010,0)),"")</f>
        <v/>
      </c>
      <c r="L114" s="24" t="str">
        <f t="shared" si="16"/>
        <v/>
      </c>
      <c r="M114" s="25" t="str">
        <f t="shared" si="17"/>
        <v/>
      </c>
      <c r="N114" s="25" t="str">
        <f t="shared" si="18"/>
        <v/>
      </c>
      <c r="P114" s="26" t="str">
        <f>IFERROR(INDEX($AM$11:$AM$4010,MATCH($S$8&amp;"|"&amp;104,$BA$11:$BA$4010,0)),"")</f>
        <v/>
      </c>
      <c r="Q114" s="25" t="str">
        <f>IF(P114="","",IFERROR(INDEX($AN$11:$AN$4010,MATCH($S$8&amp;"|"&amp;104,$BA$11:$BA$4010,0)),""))</f>
        <v/>
      </c>
      <c r="R114" s="25" t="str">
        <f>IF(P114="","",IFERROR(INDEX($AO$11:$AO$4010,MATCH($S$8&amp;"|"&amp;104,$BA$11:$BA$4010,0)),""))</f>
        <v/>
      </c>
      <c r="S114" s="24" t="str">
        <f>IF(P114="","",IFERROR(INDEX($AP$11:$AP$4010,MATCH($S$8&amp;"|"&amp;104,$BA$11:$BA$4010,0)),""))</f>
        <v/>
      </c>
      <c r="T114" s="24" t="str">
        <f>IF(P114="","",IFERROR(INDEX($AQ$11:$AQ$4010,MATCH($S$8&amp;"|"&amp;104,$BA$11:$BA$4010,0)),""))</f>
        <v/>
      </c>
      <c r="U114" s="38" t="str">
        <f t="shared" si="29"/>
        <v/>
      </c>
      <c r="W114" s="28" t="str">
        <f>IF(X114="","",IFERROR(INDEX($AL$11:$AL$4010,MATCH(104,$AY$11:$AY$4010,0)),""))</f>
        <v/>
      </c>
      <c r="X114" s="26" t="str">
        <f>IFERROR(INDEX($AM$11:$AM$4010,MATCH(104,$AY$11:$AY$4010,0)),"")</f>
        <v/>
      </c>
      <c r="Y114" s="25" t="str">
        <f>IF(X114="","",IFERROR(INDEX($AN$11:$AN$4010,MATCH(104,$AY$11:$AY$4010,0)),""))</f>
        <v/>
      </c>
      <c r="Z114" s="25" t="str">
        <f>IF(X114="","",IFERROR(INDEX($AO$11:$AO$4010,MATCH(104,$AY$11:$AY$4010,0)),""))</f>
        <v/>
      </c>
      <c r="AA114" s="24" t="str">
        <f>IF(X114="","",IFERROR(INDEX($AQ$11:$AQ$4010,MATCH(104,$AY$11:$AY$4010,0)),""))</f>
        <v/>
      </c>
      <c r="AB114" s="29" t="str">
        <f>IF(X114="","",IFERROR(INDEX($AR$11:$AR$4010,MATCH(104,$AY$11:$AY$4010,0)),""))</f>
        <v/>
      </c>
      <c r="AD114" s="30" t="str">
        <f>IF(AE114="","",IFERROR(INDEX($AL$11:$AL$4010,MATCH(104,$AZ$11:$AZ$4010,0)),""))</f>
        <v/>
      </c>
      <c r="AE114" s="26" t="str">
        <f>IFERROR(INDEX($AM$11:$AM$4010,MATCH(104,$AZ$11:$AZ$4010,0)),"")</f>
        <v/>
      </c>
      <c r="AF114" s="25" t="str">
        <f>IF(AE114="","",IFERROR(INDEX($AN$11:$AN$4010,MATCH(104,$AZ$11:$AZ$4010,0)),""))</f>
        <v/>
      </c>
      <c r="AG114" s="25" t="str">
        <f>IF(AE114="","",IFERROR(INDEX($AO$11:$AO$4010,MATCH(104,$AZ$11:$AZ$4010,0)),""))</f>
        <v/>
      </c>
      <c r="AH114" s="24" t="str">
        <f>IF(AE114="","",IFERROR(INDEX($AQ$11:$AQ$4010,MATCH(104,$AZ$11:$AZ$4010,0)),""))</f>
        <v/>
      </c>
      <c r="AI114" s="29" t="str">
        <f>IF(AE114="","",IFERROR(INDEX($AR$11:$AR$4010,MATCH(104,$AZ$11:$AZ$4010,0)),""))</f>
        <v/>
      </c>
      <c r="AJ114" s="29" t="str">
        <f>IF(AE114="","",IFERROR(INDEX($AT$11:$AT$4010,MATCH(104,$AZ$11:$AZ$4010,0)),""))</f>
        <v/>
      </c>
      <c r="AL114" s="31" t="str">
        <f t="shared" si="20"/>
        <v/>
      </c>
      <c r="AM114" s="26" t="str">
        <f t="shared" si="21"/>
        <v/>
      </c>
      <c r="AN114" s="32" t="str">
        <f t="shared" si="22"/>
        <v/>
      </c>
      <c r="AO114" s="32" t="str">
        <f t="shared" si="23"/>
        <v/>
      </c>
      <c r="AP114" s="24" t="str">
        <f t="shared" si="24"/>
        <v/>
      </c>
      <c r="AQ114" s="24" t="str">
        <f t="shared" si="25"/>
        <v/>
      </c>
      <c r="AR114" s="33" t="str">
        <f t="shared" si="26"/>
        <v/>
      </c>
      <c r="AS114" s="34"/>
      <c r="AT114" s="33"/>
      <c r="AV114" s="21">
        <f>IF(AND($AL114&lt;&gt;"",COUNTIF($AL$11:$AL114,$AL114)=1),1,0)</f>
        <v>0</v>
      </c>
      <c r="AW114" s="21">
        <f t="shared" si="28"/>
        <v>2</v>
      </c>
      <c r="AX114" s="21" t="str">
        <f t="shared" si="27"/>
        <v/>
      </c>
      <c r="AY114" s="21" t="str">
        <f>IF(AND($AM114&lt;&gt;"",$AS114&lt;&gt;"✓"),SUMPRODUCT(($AM$11:$AM114&lt;&gt;"")*($AS$11:$AS114&lt;&gt;"✓")),"")</f>
        <v/>
      </c>
      <c r="AZ114" s="21" t="str">
        <f>IF(AND($AM114&lt;&gt;"",$AS114="✓"),SUMPRODUCT(($AM$11:$AM114&lt;&gt;"")*($AS$11:$AS114="✓")),"")</f>
        <v/>
      </c>
      <c r="BA114" s="21" t="str">
        <f>IF($AL114="","",$AL114&amp;"|"&amp;COUNTIF($AL$11:$AL114,$AL114))</f>
        <v/>
      </c>
    </row>
    <row r="115" spans="2:53" ht="15" customHeight="1" x14ac:dyDescent="0.25">
      <c r="B115" s="5" t="str">
        <f t="shared" si="15"/>
        <v/>
      </c>
      <c r="C115" s="5"/>
      <c r="D115" s="5"/>
      <c r="E115" s="5"/>
      <c r="F115" s="6"/>
      <c r="G115" s="6"/>
      <c r="H115" s="7"/>
      <c r="I115" s="8"/>
      <c r="K115" s="9" t="str">
        <f>IFERROR(INDEX($AL$11:$AL$4010,MATCH(105,$AX$11:$AX$4010,0)),"")</f>
        <v/>
      </c>
      <c r="L115" s="10" t="str">
        <f t="shared" si="16"/>
        <v/>
      </c>
      <c r="M115" s="11" t="str">
        <f t="shared" si="17"/>
        <v/>
      </c>
      <c r="N115" s="11" t="str">
        <f t="shared" si="18"/>
        <v/>
      </c>
      <c r="P115" s="12" t="str">
        <f>IFERROR(INDEX($AM$11:$AM$4010,MATCH($S$8&amp;"|"&amp;105,$BA$11:$BA$4010,0)),"")</f>
        <v/>
      </c>
      <c r="Q115" s="11" t="str">
        <f>IF(P115="","",IFERROR(INDEX($AN$11:$AN$4010,MATCH($S$8&amp;"|"&amp;105,$BA$11:$BA$4010,0)),""))</f>
        <v/>
      </c>
      <c r="R115" s="11" t="str">
        <f>IF(P115="","",IFERROR(INDEX($AO$11:$AO$4010,MATCH($S$8&amp;"|"&amp;105,$BA$11:$BA$4010,0)),""))</f>
        <v/>
      </c>
      <c r="S115" s="10" t="str">
        <f>IF(P115="","",IFERROR(INDEX($AP$11:$AP$4010,MATCH($S$8&amp;"|"&amp;105,$BA$11:$BA$4010,0)),""))</f>
        <v/>
      </c>
      <c r="T115" s="10" t="str">
        <f>IF(P115="","",IFERROR(INDEX($AQ$11:$AQ$4010,MATCH($S$8&amp;"|"&amp;105,$BA$11:$BA$4010,0)),""))</f>
        <v/>
      </c>
      <c r="U115" s="39" t="str">
        <f t="shared" si="29"/>
        <v/>
      </c>
      <c r="W115" s="14" t="str">
        <f>IF(X115="","",IFERROR(INDEX($AL$11:$AL$4010,MATCH(105,$AY$11:$AY$4010,0)),""))</f>
        <v/>
      </c>
      <c r="X115" s="12" t="str">
        <f>IFERROR(INDEX($AM$11:$AM$4010,MATCH(105,$AY$11:$AY$4010,0)),"")</f>
        <v/>
      </c>
      <c r="Y115" s="11" t="str">
        <f>IF(X115="","",IFERROR(INDEX($AN$11:$AN$4010,MATCH(105,$AY$11:$AY$4010,0)),""))</f>
        <v/>
      </c>
      <c r="Z115" s="11" t="str">
        <f>IF(X115="","",IFERROR(INDEX($AO$11:$AO$4010,MATCH(105,$AY$11:$AY$4010,0)),""))</f>
        <v/>
      </c>
      <c r="AA115" s="10" t="str">
        <f>IF(X115="","",IFERROR(INDEX($AQ$11:$AQ$4010,MATCH(105,$AY$11:$AY$4010,0)),""))</f>
        <v/>
      </c>
      <c r="AB115" s="15" t="str">
        <f>IF(X115="","",IFERROR(INDEX($AR$11:$AR$4010,MATCH(105,$AY$11:$AY$4010,0)),""))</f>
        <v/>
      </c>
      <c r="AD115" s="16" t="str">
        <f>IF(AE115="","",IFERROR(INDEX($AL$11:$AL$4010,MATCH(105,$AZ$11:$AZ$4010,0)),""))</f>
        <v/>
      </c>
      <c r="AE115" s="12" t="str">
        <f>IFERROR(INDEX($AM$11:$AM$4010,MATCH(105,$AZ$11:$AZ$4010,0)),"")</f>
        <v/>
      </c>
      <c r="AF115" s="11" t="str">
        <f>IF(AE115="","",IFERROR(INDEX($AN$11:$AN$4010,MATCH(105,$AZ$11:$AZ$4010,0)),""))</f>
        <v/>
      </c>
      <c r="AG115" s="11" t="str">
        <f>IF(AE115="","",IFERROR(INDEX($AO$11:$AO$4010,MATCH(105,$AZ$11:$AZ$4010,0)),""))</f>
        <v/>
      </c>
      <c r="AH115" s="10" t="str">
        <f>IF(AE115="","",IFERROR(INDEX($AQ$11:$AQ$4010,MATCH(105,$AZ$11:$AZ$4010,0)),""))</f>
        <v/>
      </c>
      <c r="AI115" s="15" t="str">
        <f>IF(AE115="","",IFERROR(INDEX($AR$11:$AR$4010,MATCH(105,$AZ$11:$AZ$4010,0)),""))</f>
        <v/>
      </c>
      <c r="AJ115" s="15" t="str">
        <f>IF(AE115="","",IFERROR(INDEX($AT$11:$AT$4010,MATCH(105,$AZ$11:$AZ$4010,0)),""))</f>
        <v/>
      </c>
      <c r="AL115" s="17" t="str">
        <f t="shared" si="20"/>
        <v/>
      </c>
      <c r="AM115" s="12" t="str">
        <f t="shared" si="21"/>
        <v/>
      </c>
      <c r="AN115" s="18" t="str">
        <f t="shared" si="22"/>
        <v/>
      </c>
      <c r="AO115" s="18" t="str">
        <f t="shared" si="23"/>
        <v/>
      </c>
      <c r="AP115" s="10" t="str">
        <f t="shared" si="24"/>
        <v/>
      </c>
      <c r="AQ115" s="10" t="str">
        <f t="shared" si="25"/>
        <v/>
      </c>
      <c r="AR115" s="19" t="str">
        <f t="shared" si="26"/>
        <v/>
      </c>
      <c r="AS115" s="20"/>
      <c r="AT115" s="19"/>
      <c r="AV115" s="21">
        <f>IF(AND($AL115&lt;&gt;"",COUNTIF($AL$11:$AL115,$AL115)=1),1,0)</f>
        <v>0</v>
      </c>
      <c r="AW115" s="21">
        <f t="shared" si="28"/>
        <v>2</v>
      </c>
      <c r="AX115" s="21" t="str">
        <f t="shared" si="27"/>
        <v/>
      </c>
      <c r="AY115" s="21" t="str">
        <f>IF(AND($AM115&lt;&gt;"",$AS115&lt;&gt;"✓"),SUMPRODUCT(($AM$11:$AM115&lt;&gt;"")*($AS$11:$AS115&lt;&gt;"✓")),"")</f>
        <v/>
      </c>
      <c r="AZ115" s="21" t="str">
        <f>IF(AND($AM115&lt;&gt;"",$AS115="✓"),SUMPRODUCT(($AM$11:$AM115&lt;&gt;"")*($AS$11:$AS115="✓")),"")</f>
        <v/>
      </c>
      <c r="BA115" s="21" t="str">
        <f>IF($AL115="","",$AL115&amp;"|"&amp;COUNTIF($AL$11:$AL115,$AL115))</f>
        <v/>
      </c>
    </row>
    <row r="116" spans="2:53" ht="15" customHeight="1" x14ac:dyDescent="0.25">
      <c r="B116" s="5" t="str">
        <f t="shared" si="15"/>
        <v/>
      </c>
      <c r="C116" s="5"/>
      <c r="D116" s="5"/>
      <c r="E116" s="5"/>
      <c r="F116" s="6"/>
      <c r="G116" s="6"/>
      <c r="H116" s="7"/>
      <c r="I116" s="8"/>
      <c r="K116" s="23" t="str">
        <f>IFERROR(INDEX($AL$11:$AL$4010,MATCH(106,$AX$11:$AX$4010,0)),"")</f>
        <v/>
      </c>
      <c r="L116" s="24" t="str">
        <f t="shared" si="16"/>
        <v/>
      </c>
      <c r="M116" s="25" t="str">
        <f t="shared" si="17"/>
        <v/>
      </c>
      <c r="N116" s="25" t="str">
        <f t="shared" si="18"/>
        <v/>
      </c>
      <c r="P116" s="26" t="str">
        <f>IFERROR(INDEX($AM$11:$AM$4010,MATCH($S$8&amp;"|"&amp;106,$BA$11:$BA$4010,0)),"")</f>
        <v/>
      </c>
      <c r="Q116" s="25" t="str">
        <f>IF(P116="","",IFERROR(INDEX($AN$11:$AN$4010,MATCH($S$8&amp;"|"&amp;106,$BA$11:$BA$4010,0)),""))</f>
        <v/>
      </c>
      <c r="R116" s="25" t="str">
        <f>IF(P116="","",IFERROR(INDEX($AO$11:$AO$4010,MATCH($S$8&amp;"|"&amp;106,$BA$11:$BA$4010,0)),""))</f>
        <v/>
      </c>
      <c r="S116" s="24" t="str">
        <f>IF(P116="","",IFERROR(INDEX($AP$11:$AP$4010,MATCH($S$8&amp;"|"&amp;106,$BA$11:$BA$4010,0)),""))</f>
        <v/>
      </c>
      <c r="T116" s="24" t="str">
        <f>IF(P116="","",IFERROR(INDEX($AQ$11:$AQ$4010,MATCH($S$8&amp;"|"&amp;106,$BA$11:$BA$4010,0)),""))</f>
        <v/>
      </c>
      <c r="U116" s="38" t="str">
        <f t="shared" si="29"/>
        <v/>
      </c>
      <c r="W116" s="28" t="str">
        <f>IF(X116="","",IFERROR(INDEX($AL$11:$AL$4010,MATCH(106,$AY$11:$AY$4010,0)),""))</f>
        <v/>
      </c>
      <c r="X116" s="26" t="str">
        <f>IFERROR(INDEX($AM$11:$AM$4010,MATCH(106,$AY$11:$AY$4010,0)),"")</f>
        <v/>
      </c>
      <c r="Y116" s="25" t="str">
        <f>IF(X116="","",IFERROR(INDEX($AN$11:$AN$4010,MATCH(106,$AY$11:$AY$4010,0)),""))</f>
        <v/>
      </c>
      <c r="Z116" s="25" t="str">
        <f>IF(X116="","",IFERROR(INDEX($AO$11:$AO$4010,MATCH(106,$AY$11:$AY$4010,0)),""))</f>
        <v/>
      </c>
      <c r="AA116" s="24" t="str">
        <f>IF(X116="","",IFERROR(INDEX($AQ$11:$AQ$4010,MATCH(106,$AY$11:$AY$4010,0)),""))</f>
        <v/>
      </c>
      <c r="AB116" s="29" t="str">
        <f>IF(X116="","",IFERROR(INDEX($AR$11:$AR$4010,MATCH(106,$AY$11:$AY$4010,0)),""))</f>
        <v/>
      </c>
      <c r="AD116" s="30" t="str">
        <f>IF(AE116="","",IFERROR(INDEX($AL$11:$AL$4010,MATCH(106,$AZ$11:$AZ$4010,0)),""))</f>
        <v/>
      </c>
      <c r="AE116" s="26" t="str">
        <f>IFERROR(INDEX($AM$11:$AM$4010,MATCH(106,$AZ$11:$AZ$4010,0)),"")</f>
        <v/>
      </c>
      <c r="AF116" s="25" t="str">
        <f>IF(AE116="","",IFERROR(INDEX($AN$11:$AN$4010,MATCH(106,$AZ$11:$AZ$4010,0)),""))</f>
        <v/>
      </c>
      <c r="AG116" s="25" t="str">
        <f>IF(AE116="","",IFERROR(INDEX($AO$11:$AO$4010,MATCH(106,$AZ$11:$AZ$4010,0)),""))</f>
        <v/>
      </c>
      <c r="AH116" s="24" t="str">
        <f>IF(AE116="","",IFERROR(INDEX($AQ$11:$AQ$4010,MATCH(106,$AZ$11:$AZ$4010,0)),""))</f>
        <v/>
      </c>
      <c r="AI116" s="29" t="str">
        <f>IF(AE116="","",IFERROR(INDEX($AR$11:$AR$4010,MATCH(106,$AZ$11:$AZ$4010,0)),""))</f>
        <v/>
      </c>
      <c r="AJ116" s="29" t="str">
        <f>IF(AE116="","",IFERROR(INDEX($AT$11:$AT$4010,MATCH(106,$AZ$11:$AZ$4010,0)),""))</f>
        <v/>
      </c>
      <c r="AL116" s="31" t="str">
        <f t="shared" si="20"/>
        <v/>
      </c>
      <c r="AM116" s="26" t="str">
        <f t="shared" si="21"/>
        <v/>
      </c>
      <c r="AN116" s="32" t="str">
        <f t="shared" si="22"/>
        <v/>
      </c>
      <c r="AO116" s="32" t="str">
        <f t="shared" si="23"/>
        <v/>
      </c>
      <c r="AP116" s="24" t="str">
        <f t="shared" si="24"/>
        <v/>
      </c>
      <c r="AQ116" s="24" t="str">
        <f t="shared" si="25"/>
        <v/>
      </c>
      <c r="AR116" s="33" t="str">
        <f t="shared" si="26"/>
        <v/>
      </c>
      <c r="AS116" s="34"/>
      <c r="AT116" s="33"/>
      <c r="AV116" s="21">
        <f>IF(AND($AL116&lt;&gt;"",COUNTIF($AL$11:$AL116,$AL116)=1),1,0)</f>
        <v>0</v>
      </c>
      <c r="AW116" s="21">
        <f t="shared" si="28"/>
        <v>2</v>
      </c>
      <c r="AX116" s="21" t="str">
        <f t="shared" si="27"/>
        <v/>
      </c>
      <c r="AY116" s="21" t="str">
        <f>IF(AND($AM116&lt;&gt;"",$AS116&lt;&gt;"✓"),SUMPRODUCT(($AM$11:$AM116&lt;&gt;"")*($AS$11:$AS116&lt;&gt;"✓")),"")</f>
        <v/>
      </c>
      <c r="AZ116" s="21" t="str">
        <f>IF(AND($AM116&lt;&gt;"",$AS116="✓"),SUMPRODUCT(($AM$11:$AM116&lt;&gt;"")*($AS$11:$AS116="✓")),"")</f>
        <v/>
      </c>
      <c r="BA116" s="21" t="str">
        <f>IF($AL116="","",$AL116&amp;"|"&amp;COUNTIF($AL$11:$AL116,$AL116))</f>
        <v/>
      </c>
    </row>
    <row r="117" spans="2:53" ht="15" customHeight="1" x14ac:dyDescent="0.25">
      <c r="B117" s="5" t="str">
        <f t="shared" si="15"/>
        <v/>
      </c>
      <c r="C117" s="5"/>
      <c r="D117" s="5"/>
      <c r="E117" s="5"/>
      <c r="F117" s="6"/>
      <c r="G117" s="6"/>
      <c r="H117" s="7"/>
      <c r="I117" s="8"/>
      <c r="K117" s="9" t="str">
        <f>IFERROR(INDEX($AL$11:$AL$4010,MATCH(107,$AX$11:$AX$4010,0)),"")</f>
        <v/>
      </c>
      <c r="L117" s="10" t="str">
        <f t="shared" si="16"/>
        <v/>
      </c>
      <c r="M117" s="11" t="str">
        <f t="shared" si="17"/>
        <v/>
      </c>
      <c r="N117" s="11" t="str">
        <f t="shared" si="18"/>
        <v/>
      </c>
      <c r="P117" s="12" t="str">
        <f>IFERROR(INDEX($AM$11:$AM$4010,MATCH($S$8&amp;"|"&amp;107,$BA$11:$BA$4010,0)),"")</f>
        <v/>
      </c>
      <c r="Q117" s="11" t="str">
        <f>IF(P117="","",IFERROR(INDEX($AN$11:$AN$4010,MATCH($S$8&amp;"|"&amp;107,$BA$11:$BA$4010,0)),""))</f>
        <v/>
      </c>
      <c r="R117" s="11" t="str">
        <f>IF(P117="","",IFERROR(INDEX($AO$11:$AO$4010,MATCH($S$8&amp;"|"&amp;107,$BA$11:$BA$4010,0)),""))</f>
        <v/>
      </c>
      <c r="S117" s="10" t="str">
        <f>IF(P117="","",IFERROR(INDEX($AP$11:$AP$4010,MATCH($S$8&amp;"|"&amp;107,$BA$11:$BA$4010,0)),""))</f>
        <v/>
      </c>
      <c r="T117" s="10" t="str">
        <f>IF(P117="","",IFERROR(INDEX($AQ$11:$AQ$4010,MATCH($S$8&amp;"|"&amp;107,$BA$11:$BA$4010,0)),""))</f>
        <v/>
      </c>
      <c r="U117" s="39" t="str">
        <f t="shared" si="29"/>
        <v/>
      </c>
      <c r="W117" s="14" t="str">
        <f>IF(X117="","",IFERROR(INDEX($AL$11:$AL$4010,MATCH(107,$AY$11:$AY$4010,0)),""))</f>
        <v/>
      </c>
      <c r="X117" s="12" t="str">
        <f>IFERROR(INDEX($AM$11:$AM$4010,MATCH(107,$AY$11:$AY$4010,0)),"")</f>
        <v/>
      </c>
      <c r="Y117" s="11" t="str">
        <f>IF(X117="","",IFERROR(INDEX($AN$11:$AN$4010,MATCH(107,$AY$11:$AY$4010,0)),""))</f>
        <v/>
      </c>
      <c r="Z117" s="11" t="str">
        <f>IF(X117="","",IFERROR(INDEX($AO$11:$AO$4010,MATCH(107,$AY$11:$AY$4010,0)),""))</f>
        <v/>
      </c>
      <c r="AA117" s="10" t="str">
        <f>IF(X117="","",IFERROR(INDEX($AQ$11:$AQ$4010,MATCH(107,$AY$11:$AY$4010,0)),""))</f>
        <v/>
      </c>
      <c r="AB117" s="15" t="str">
        <f>IF(X117="","",IFERROR(INDEX($AR$11:$AR$4010,MATCH(107,$AY$11:$AY$4010,0)),""))</f>
        <v/>
      </c>
      <c r="AD117" s="16" t="str">
        <f>IF(AE117="","",IFERROR(INDEX($AL$11:$AL$4010,MATCH(107,$AZ$11:$AZ$4010,0)),""))</f>
        <v/>
      </c>
      <c r="AE117" s="12" t="str">
        <f>IFERROR(INDEX($AM$11:$AM$4010,MATCH(107,$AZ$11:$AZ$4010,0)),"")</f>
        <v/>
      </c>
      <c r="AF117" s="11" t="str">
        <f>IF(AE117="","",IFERROR(INDEX($AN$11:$AN$4010,MATCH(107,$AZ$11:$AZ$4010,0)),""))</f>
        <v/>
      </c>
      <c r="AG117" s="11" t="str">
        <f>IF(AE117="","",IFERROR(INDEX($AO$11:$AO$4010,MATCH(107,$AZ$11:$AZ$4010,0)),""))</f>
        <v/>
      </c>
      <c r="AH117" s="10" t="str">
        <f>IF(AE117="","",IFERROR(INDEX($AQ$11:$AQ$4010,MATCH(107,$AZ$11:$AZ$4010,0)),""))</f>
        <v/>
      </c>
      <c r="AI117" s="15" t="str">
        <f>IF(AE117="","",IFERROR(INDEX($AR$11:$AR$4010,MATCH(107,$AZ$11:$AZ$4010,0)),""))</f>
        <v/>
      </c>
      <c r="AJ117" s="15" t="str">
        <f>IF(AE117="","",IFERROR(INDEX($AT$11:$AT$4010,MATCH(107,$AZ$11:$AZ$4010,0)),""))</f>
        <v/>
      </c>
      <c r="AL117" s="17" t="str">
        <f t="shared" si="20"/>
        <v/>
      </c>
      <c r="AM117" s="12" t="str">
        <f t="shared" si="21"/>
        <v/>
      </c>
      <c r="AN117" s="18" t="str">
        <f t="shared" si="22"/>
        <v/>
      </c>
      <c r="AO117" s="18" t="str">
        <f t="shared" si="23"/>
        <v/>
      </c>
      <c r="AP117" s="10" t="str">
        <f t="shared" si="24"/>
        <v/>
      </c>
      <c r="AQ117" s="10" t="str">
        <f t="shared" si="25"/>
        <v/>
      </c>
      <c r="AR117" s="19" t="str">
        <f t="shared" si="26"/>
        <v/>
      </c>
      <c r="AS117" s="20"/>
      <c r="AT117" s="19"/>
      <c r="AV117" s="21">
        <f>IF(AND($AL117&lt;&gt;"",COUNTIF($AL$11:$AL117,$AL117)=1),1,0)</f>
        <v>0</v>
      </c>
      <c r="AW117" s="21">
        <f t="shared" si="28"/>
        <v>2</v>
      </c>
      <c r="AX117" s="21" t="str">
        <f t="shared" si="27"/>
        <v/>
      </c>
      <c r="AY117" s="21" t="str">
        <f>IF(AND($AM117&lt;&gt;"",$AS117&lt;&gt;"✓"),SUMPRODUCT(($AM$11:$AM117&lt;&gt;"")*($AS$11:$AS117&lt;&gt;"✓")),"")</f>
        <v/>
      </c>
      <c r="AZ117" s="21" t="str">
        <f>IF(AND($AM117&lt;&gt;"",$AS117="✓"),SUMPRODUCT(($AM$11:$AM117&lt;&gt;"")*($AS$11:$AS117="✓")),"")</f>
        <v/>
      </c>
      <c r="BA117" s="21" t="str">
        <f>IF($AL117="","",$AL117&amp;"|"&amp;COUNTIF($AL$11:$AL117,$AL117))</f>
        <v/>
      </c>
    </row>
    <row r="118" spans="2:53" ht="15" customHeight="1" x14ac:dyDescent="0.25">
      <c r="B118" s="5" t="str">
        <f t="shared" si="15"/>
        <v/>
      </c>
      <c r="C118" s="5"/>
      <c r="D118" s="5"/>
      <c r="E118" s="5"/>
      <c r="F118" s="6"/>
      <c r="G118" s="6"/>
      <c r="H118" s="7"/>
      <c r="I118" s="8"/>
      <c r="K118" s="23" t="str">
        <f>IFERROR(INDEX($AL$11:$AL$4010,MATCH(108,$AX$11:$AX$4010,0)),"")</f>
        <v/>
      </c>
      <c r="L118" s="24" t="str">
        <f t="shared" si="16"/>
        <v/>
      </c>
      <c r="M118" s="25" t="str">
        <f t="shared" si="17"/>
        <v/>
      </c>
      <c r="N118" s="25" t="str">
        <f t="shared" si="18"/>
        <v/>
      </c>
      <c r="P118" s="26" t="str">
        <f>IFERROR(INDEX($AM$11:$AM$4010,MATCH($S$8&amp;"|"&amp;108,$BA$11:$BA$4010,0)),"")</f>
        <v/>
      </c>
      <c r="Q118" s="25" t="str">
        <f>IF(P118="","",IFERROR(INDEX($AN$11:$AN$4010,MATCH($S$8&amp;"|"&amp;108,$BA$11:$BA$4010,0)),""))</f>
        <v/>
      </c>
      <c r="R118" s="25" t="str">
        <f>IF(P118="","",IFERROR(INDEX($AO$11:$AO$4010,MATCH($S$8&amp;"|"&amp;108,$BA$11:$BA$4010,0)),""))</f>
        <v/>
      </c>
      <c r="S118" s="24" t="str">
        <f>IF(P118="","",IFERROR(INDEX($AP$11:$AP$4010,MATCH($S$8&amp;"|"&amp;108,$BA$11:$BA$4010,0)),""))</f>
        <v/>
      </c>
      <c r="T118" s="24" t="str">
        <f>IF(P118="","",IFERROR(INDEX($AQ$11:$AQ$4010,MATCH($S$8&amp;"|"&amp;108,$BA$11:$BA$4010,0)),""))</f>
        <v/>
      </c>
      <c r="U118" s="38" t="str">
        <f t="shared" si="29"/>
        <v/>
      </c>
      <c r="W118" s="28" t="str">
        <f>IF(X118="","",IFERROR(INDEX($AL$11:$AL$4010,MATCH(108,$AY$11:$AY$4010,0)),""))</f>
        <v/>
      </c>
      <c r="X118" s="26" t="str">
        <f>IFERROR(INDEX($AM$11:$AM$4010,MATCH(108,$AY$11:$AY$4010,0)),"")</f>
        <v/>
      </c>
      <c r="Y118" s="25" t="str">
        <f>IF(X118="","",IFERROR(INDEX($AN$11:$AN$4010,MATCH(108,$AY$11:$AY$4010,0)),""))</f>
        <v/>
      </c>
      <c r="Z118" s="25" t="str">
        <f>IF(X118="","",IFERROR(INDEX($AO$11:$AO$4010,MATCH(108,$AY$11:$AY$4010,0)),""))</f>
        <v/>
      </c>
      <c r="AA118" s="24" t="str">
        <f>IF(X118="","",IFERROR(INDEX($AQ$11:$AQ$4010,MATCH(108,$AY$11:$AY$4010,0)),""))</f>
        <v/>
      </c>
      <c r="AB118" s="29" t="str">
        <f>IF(X118="","",IFERROR(INDEX($AR$11:$AR$4010,MATCH(108,$AY$11:$AY$4010,0)),""))</f>
        <v/>
      </c>
      <c r="AD118" s="30" t="str">
        <f>IF(AE118="","",IFERROR(INDEX($AL$11:$AL$4010,MATCH(108,$AZ$11:$AZ$4010,0)),""))</f>
        <v/>
      </c>
      <c r="AE118" s="26" t="str">
        <f>IFERROR(INDEX($AM$11:$AM$4010,MATCH(108,$AZ$11:$AZ$4010,0)),"")</f>
        <v/>
      </c>
      <c r="AF118" s="25" t="str">
        <f>IF(AE118="","",IFERROR(INDEX($AN$11:$AN$4010,MATCH(108,$AZ$11:$AZ$4010,0)),""))</f>
        <v/>
      </c>
      <c r="AG118" s="25" t="str">
        <f>IF(AE118="","",IFERROR(INDEX($AO$11:$AO$4010,MATCH(108,$AZ$11:$AZ$4010,0)),""))</f>
        <v/>
      </c>
      <c r="AH118" s="24" t="str">
        <f>IF(AE118="","",IFERROR(INDEX($AQ$11:$AQ$4010,MATCH(108,$AZ$11:$AZ$4010,0)),""))</f>
        <v/>
      </c>
      <c r="AI118" s="29" t="str">
        <f>IF(AE118="","",IFERROR(INDEX($AR$11:$AR$4010,MATCH(108,$AZ$11:$AZ$4010,0)),""))</f>
        <v/>
      </c>
      <c r="AJ118" s="29" t="str">
        <f>IF(AE118="","",IFERROR(INDEX($AT$11:$AT$4010,MATCH(108,$AZ$11:$AZ$4010,0)),""))</f>
        <v/>
      </c>
      <c r="AL118" s="31" t="str">
        <f t="shared" si="20"/>
        <v/>
      </c>
      <c r="AM118" s="26" t="str">
        <f t="shared" si="21"/>
        <v/>
      </c>
      <c r="AN118" s="32" t="str">
        <f t="shared" si="22"/>
        <v/>
      </c>
      <c r="AO118" s="32" t="str">
        <f t="shared" si="23"/>
        <v/>
      </c>
      <c r="AP118" s="24" t="str">
        <f t="shared" si="24"/>
        <v/>
      </c>
      <c r="AQ118" s="24" t="str">
        <f t="shared" si="25"/>
        <v/>
      </c>
      <c r="AR118" s="33" t="str">
        <f t="shared" si="26"/>
        <v/>
      </c>
      <c r="AS118" s="34"/>
      <c r="AT118" s="33"/>
      <c r="AV118" s="21">
        <f>IF(AND($AL118&lt;&gt;"",COUNTIF($AL$11:$AL118,$AL118)=1),1,0)</f>
        <v>0</v>
      </c>
      <c r="AW118" s="21">
        <f t="shared" si="28"/>
        <v>2</v>
      </c>
      <c r="AX118" s="21" t="str">
        <f t="shared" si="27"/>
        <v/>
      </c>
      <c r="AY118" s="21" t="str">
        <f>IF(AND($AM118&lt;&gt;"",$AS118&lt;&gt;"✓"),SUMPRODUCT(($AM$11:$AM118&lt;&gt;"")*($AS$11:$AS118&lt;&gt;"✓")),"")</f>
        <v/>
      </c>
      <c r="AZ118" s="21" t="str">
        <f>IF(AND($AM118&lt;&gt;"",$AS118="✓"),SUMPRODUCT(($AM$11:$AM118&lt;&gt;"")*($AS$11:$AS118="✓")),"")</f>
        <v/>
      </c>
      <c r="BA118" s="21" t="str">
        <f>IF($AL118="","",$AL118&amp;"|"&amp;COUNTIF($AL$11:$AL118,$AL118))</f>
        <v/>
      </c>
    </row>
    <row r="119" spans="2:53" ht="15" customHeight="1" x14ac:dyDescent="0.25">
      <c r="B119" s="5" t="str">
        <f t="shared" si="15"/>
        <v/>
      </c>
      <c r="C119" s="5"/>
      <c r="D119" s="5"/>
      <c r="E119" s="5"/>
      <c r="F119" s="6"/>
      <c r="G119" s="6"/>
      <c r="H119" s="7"/>
      <c r="I119" s="8"/>
      <c r="K119" s="9" t="str">
        <f>IFERROR(INDEX($AL$11:$AL$4010,MATCH(109,$AX$11:$AX$4010,0)),"")</f>
        <v/>
      </c>
      <c r="L119" s="10" t="str">
        <f t="shared" si="16"/>
        <v/>
      </c>
      <c r="M119" s="11" t="str">
        <f t="shared" si="17"/>
        <v/>
      </c>
      <c r="N119" s="11" t="str">
        <f t="shared" si="18"/>
        <v/>
      </c>
      <c r="P119" s="12" t="str">
        <f>IFERROR(INDEX($AM$11:$AM$4010,MATCH($S$8&amp;"|"&amp;109,$BA$11:$BA$4010,0)),"")</f>
        <v/>
      </c>
      <c r="Q119" s="11" t="str">
        <f>IF(P119="","",IFERROR(INDEX($AN$11:$AN$4010,MATCH($S$8&amp;"|"&amp;109,$BA$11:$BA$4010,0)),""))</f>
        <v/>
      </c>
      <c r="R119" s="11" t="str">
        <f>IF(P119="","",IFERROR(INDEX($AO$11:$AO$4010,MATCH($S$8&amp;"|"&amp;109,$BA$11:$BA$4010,0)),""))</f>
        <v/>
      </c>
      <c r="S119" s="10" t="str">
        <f>IF(P119="","",IFERROR(INDEX($AP$11:$AP$4010,MATCH($S$8&amp;"|"&amp;109,$BA$11:$BA$4010,0)),""))</f>
        <v/>
      </c>
      <c r="T119" s="10" t="str">
        <f>IF(P119="","",IFERROR(INDEX($AQ$11:$AQ$4010,MATCH($S$8&amp;"|"&amp;109,$BA$11:$BA$4010,0)),""))</f>
        <v/>
      </c>
      <c r="U119" s="39" t="str">
        <f t="shared" si="29"/>
        <v/>
      </c>
      <c r="W119" s="14" t="str">
        <f>IF(X119="","",IFERROR(INDEX($AL$11:$AL$4010,MATCH(109,$AY$11:$AY$4010,0)),""))</f>
        <v/>
      </c>
      <c r="X119" s="12" t="str">
        <f>IFERROR(INDEX($AM$11:$AM$4010,MATCH(109,$AY$11:$AY$4010,0)),"")</f>
        <v/>
      </c>
      <c r="Y119" s="11" t="str">
        <f>IF(X119="","",IFERROR(INDEX($AN$11:$AN$4010,MATCH(109,$AY$11:$AY$4010,0)),""))</f>
        <v/>
      </c>
      <c r="Z119" s="11" t="str">
        <f>IF(X119="","",IFERROR(INDEX($AO$11:$AO$4010,MATCH(109,$AY$11:$AY$4010,0)),""))</f>
        <v/>
      </c>
      <c r="AA119" s="10" t="str">
        <f>IF(X119="","",IFERROR(INDEX($AQ$11:$AQ$4010,MATCH(109,$AY$11:$AY$4010,0)),""))</f>
        <v/>
      </c>
      <c r="AB119" s="15" t="str">
        <f>IF(X119="","",IFERROR(INDEX($AR$11:$AR$4010,MATCH(109,$AY$11:$AY$4010,0)),""))</f>
        <v/>
      </c>
      <c r="AD119" s="16" t="str">
        <f>IF(AE119="","",IFERROR(INDEX($AL$11:$AL$4010,MATCH(109,$AZ$11:$AZ$4010,0)),""))</f>
        <v/>
      </c>
      <c r="AE119" s="12" t="str">
        <f>IFERROR(INDEX($AM$11:$AM$4010,MATCH(109,$AZ$11:$AZ$4010,0)),"")</f>
        <v/>
      </c>
      <c r="AF119" s="11" t="str">
        <f>IF(AE119="","",IFERROR(INDEX($AN$11:$AN$4010,MATCH(109,$AZ$11:$AZ$4010,0)),""))</f>
        <v/>
      </c>
      <c r="AG119" s="11" t="str">
        <f>IF(AE119="","",IFERROR(INDEX($AO$11:$AO$4010,MATCH(109,$AZ$11:$AZ$4010,0)),""))</f>
        <v/>
      </c>
      <c r="AH119" s="10" t="str">
        <f>IF(AE119="","",IFERROR(INDEX($AQ$11:$AQ$4010,MATCH(109,$AZ$11:$AZ$4010,0)),""))</f>
        <v/>
      </c>
      <c r="AI119" s="15" t="str">
        <f>IF(AE119="","",IFERROR(INDEX($AR$11:$AR$4010,MATCH(109,$AZ$11:$AZ$4010,0)),""))</f>
        <v/>
      </c>
      <c r="AJ119" s="15" t="str">
        <f>IF(AE119="","",IFERROR(INDEX($AT$11:$AT$4010,MATCH(109,$AZ$11:$AZ$4010,0)),""))</f>
        <v/>
      </c>
      <c r="AL119" s="17" t="str">
        <f t="shared" si="20"/>
        <v/>
      </c>
      <c r="AM119" s="12" t="str">
        <f t="shared" si="21"/>
        <v/>
      </c>
      <c r="AN119" s="18" t="str">
        <f t="shared" si="22"/>
        <v/>
      </c>
      <c r="AO119" s="18" t="str">
        <f t="shared" si="23"/>
        <v/>
      </c>
      <c r="AP119" s="10" t="str">
        <f t="shared" si="24"/>
        <v/>
      </c>
      <c r="AQ119" s="10" t="str">
        <f t="shared" si="25"/>
        <v/>
      </c>
      <c r="AR119" s="19" t="str">
        <f t="shared" si="26"/>
        <v/>
      </c>
      <c r="AS119" s="20"/>
      <c r="AT119" s="19"/>
      <c r="AV119" s="21">
        <f>IF(AND($AL119&lt;&gt;"",COUNTIF($AL$11:$AL119,$AL119)=1),1,0)</f>
        <v>0</v>
      </c>
      <c r="AW119" s="21">
        <f t="shared" si="28"/>
        <v>2</v>
      </c>
      <c r="AX119" s="21" t="str">
        <f t="shared" si="27"/>
        <v/>
      </c>
      <c r="AY119" s="21" t="str">
        <f>IF(AND($AM119&lt;&gt;"",$AS119&lt;&gt;"✓"),SUMPRODUCT(($AM$11:$AM119&lt;&gt;"")*($AS$11:$AS119&lt;&gt;"✓")),"")</f>
        <v/>
      </c>
      <c r="AZ119" s="21" t="str">
        <f>IF(AND($AM119&lt;&gt;"",$AS119="✓"),SUMPRODUCT(($AM$11:$AM119&lt;&gt;"")*($AS$11:$AS119="✓")),"")</f>
        <v/>
      </c>
      <c r="BA119" s="21" t="str">
        <f>IF($AL119="","",$AL119&amp;"|"&amp;COUNTIF($AL$11:$AL119,$AL119))</f>
        <v/>
      </c>
    </row>
    <row r="120" spans="2:53" ht="15" customHeight="1" x14ac:dyDescent="0.25">
      <c r="B120" s="5" t="str">
        <f t="shared" si="15"/>
        <v/>
      </c>
      <c r="C120" s="5"/>
      <c r="D120" s="5"/>
      <c r="E120" s="5"/>
      <c r="F120" s="6"/>
      <c r="G120" s="6"/>
      <c r="H120" s="7"/>
      <c r="I120" s="8"/>
      <c r="K120" s="23" t="str">
        <f>IFERROR(INDEX($AL$11:$AL$4010,MATCH(110,$AX$11:$AX$4010,0)),"")</f>
        <v/>
      </c>
      <c r="L120" s="24" t="str">
        <f t="shared" si="16"/>
        <v/>
      </c>
      <c r="M120" s="25" t="str">
        <f t="shared" si="17"/>
        <v/>
      </c>
      <c r="N120" s="25" t="str">
        <f t="shared" si="18"/>
        <v/>
      </c>
      <c r="P120" s="26" t="str">
        <f>IFERROR(INDEX($AM$11:$AM$4010,MATCH($S$8&amp;"|"&amp;110,$BA$11:$BA$4010,0)),"")</f>
        <v/>
      </c>
      <c r="Q120" s="25" t="str">
        <f>IF(P120="","",IFERROR(INDEX($AN$11:$AN$4010,MATCH($S$8&amp;"|"&amp;110,$BA$11:$BA$4010,0)),""))</f>
        <v/>
      </c>
      <c r="R120" s="25" t="str">
        <f>IF(P120="","",IFERROR(INDEX($AO$11:$AO$4010,MATCH($S$8&amp;"|"&amp;110,$BA$11:$BA$4010,0)),""))</f>
        <v/>
      </c>
      <c r="S120" s="24" t="str">
        <f>IF(P120="","",IFERROR(INDEX($AP$11:$AP$4010,MATCH($S$8&amp;"|"&amp;110,$BA$11:$BA$4010,0)),""))</f>
        <v/>
      </c>
      <c r="T120" s="24" t="str">
        <f>IF(P120="","",IFERROR(INDEX($AQ$11:$AQ$4010,MATCH($S$8&amp;"|"&amp;110,$BA$11:$BA$4010,0)),""))</f>
        <v/>
      </c>
      <c r="U120" s="38" t="str">
        <f t="shared" si="29"/>
        <v/>
      </c>
      <c r="W120" s="28" t="str">
        <f>IF(X120="","",IFERROR(INDEX($AL$11:$AL$4010,MATCH(110,$AY$11:$AY$4010,0)),""))</f>
        <v/>
      </c>
      <c r="X120" s="26" t="str">
        <f>IFERROR(INDEX($AM$11:$AM$4010,MATCH(110,$AY$11:$AY$4010,0)),"")</f>
        <v/>
      </c>
      <c r="Y120" s="25" t="str">
        <f>IF(X120="","",IFERROR(INDEX($AN$11:$AN$4010,MATCH(110,$AY$11:$AY$4010,0)),""))</f>
        <v/>
      </c>
      <c r="Z120" s="25" t="str">
        <f>IF(X120="","",IFERROR(INDEX($AO$11:$AO$4010,MATCH(110,$AY$11:$AY$4010,0)),""))</f>
        <v/>
      </c>
      <c r="AA120" s="24" t="str">
        <f>IF(X120="","",IFERROR(INDEX($AQ$11:$AQ$4010,MATCH(110,$AY$11:$AY$4010,0)),""))</f>
        <v/>
      </c>
      <c r="AB120" s="29" t="str">
        <f>IF(X120="","",IFERROR(INDEX($AR$11:$AR$4010,MATCH(110,$AY$11:$AY$4010,0)),""))</f>
        <v/>
      </c>
      <c r="AD120" s="30" t="str">
        <f>IF(AE120="","",IFERROR(INDEX($AL$11:$AL$4010,MATCH(110,$AZ$11:$AZ$4010,0)),""))</f>
        <v/>
      </c>
      <c r="AE120" s="26" t="str">
        <f>IFERROR(INDEX($AM$11:$AM$4010,MATCH(110,$AZ$11:$AZ$4010,0)),"")</f>
        <v/>
      </c>
      <c r="AF120" s="25" t="str">
        <f>IF(AE120="","",IFERROR(INDEX($AN$11:$AN$4010,MATCH(110,$AZ$11:$AZ$4010,0)),""))</f>
        <v/>
      </c>
      <c r="AG120" s="25" t="str">
        <f>IF(AE120="","",IFERROR(INDEX($AO$11:$AO$4010,MATCH(110,$AZ$11:$AZ$4010,0)),""))</f>
        <v/>
      </c>
      <c r="AH120" s="24" t="str">
        <f>IF(AE120="","",IFERROR(INDEX($AQ$11:$AQ$4010,MATCH(110,$AZ$11:$AZ$4010,0)),""))</f>
        <v/>
      </c>
      <c r="AI120" s="29" t="str">
        <f>IF(AE120="","",IFERROR(INDEX($AR$11:$AR$4010,MATCH(110,$AZ$11:$AZ$4010,0)),""))</f>
        <v/>
      </c>
      <c r="AJ120" s="29" t="str">
        <f>IF(AE120="","",IFERROR(INDEX($AT$11:$AT$4010,MATCH(110,$AZ$11:$AZ$4010,0)),""))</f>
        <v/>
      </c>
      <c r="AL120" s="31" t="str">
        <f t="shared" si="20"/>
        <v/>
      </c>
      <c r="AM120" s="26" t="str">
        <f t="shared" si="21"/>
        <v/>
      </c>
      <c r="AN120" s="32" t="str">
        <f t="shared" si="22"/>
        <v/>
      </c>
      <c r="AO120" s="32" t="str">
        <f t="shared" si="23"/>
        <v/>
      </c>
      <c r="AP120" s="24" t="str">
        <f t="shared" si="24"/>
        <v/>
      </c>
      <c r="AQ120" s="24" t="str">
        <f t="shared" si="25"/>
        <v/>
      </c>
      <c r="AR120" s="33" t="str">
        <f t="shared" si="26"/>
        <v/>
      </c>
      <c r="AS120" s="34"/>
      <c r="AT120" s="33"/>
      <c r="AV120" s="21">
        <f>IF(AND($AL120&lt;&gt;"",COUNTIF($AL$11:$AL120,$AL120)=1),1,0)</f>
        <v>0</v>
      </c>
      <c r="AW120" s="21">
        <f t="shared" si="28"/>
        <v>2</v>
      </c>
      <c r="AX120" s="21" t="str">
        <f t="shared" si="27"/>
        <v/>
      </c>
      <c r="AY120" s="21" t="str">
        <f>IF(AND($AM120&lt;&gt;"",$AS120&lt;&gt;"✓"),SUMPRODUCT(($AM$11:$AM120&lt;&gt;"")*($AS$11:$AS120&lt;&gt;"✓")),"")</f>
        <v/>
      </c>
      <c r="AZ120" s="21" t="str">
        <f>IF(AND($AM120&lt;&gt;"",$AS120="✓"),SUMPRODUCT(($AM$11:$AM120&lt;&gt;"")*($AS$11:$AS120="✓")),"")</f>
        <v/>
      </c>
      <c r="BA120" s="21" t="str">
        <f>IF($AL120="","",$AL120&amp;"|"&amp;COUNTIF($AL$11:$AL120,$AL120))</f>
        <v/>
      </c>
    </row>
    <row r="121" spans="2:53" ht="15" customHeight="1" x14ac:dyDescent="0.25">
      <c r="B121" s="5" t="str">
        <f t="shared" si="15"/>
        <v/>
      </c>
      <c r="C121" s="5"/>
      <c r="D121" s="5"/>
      <c r="E121" s="5"/>
      <c r="F121" s="6"/>
      <c r="G121" s="6"/>
      <c r="H121" s="7"/>
      <c r="I121" s="8"/>
      <c r="K121" s="9" t="str">
        <f>IFERROR(INDEX($AL$11:$AL$4010,MATCH(111,$AX$11:$AX$4010,0)),"")</f>
        <v/>
      </c>
      <c r="L121" s="10" t="str">
        <f t="shared" si="16"/>
        <v/>
      </c>
      <c r="M121" s="11" t="str">
        <f t="shared" si="17"/>
        <v/>
      </c>
      <c r="N121" s="11" t="str">
        <f t="shared" si="18"/>
        <v/>
      </c>
      <c r="P121" s="12" t="str">
        <f>IFERROR(INDEX($AM$11:$AM$4010,MATCH($S$8&amp;"|"&amp;111,$BA$11:$BA$4010,0)),"")</f>
        <v/>
      </c>
      <c r="Q121" s="11" t="str">
        <f>IF(P121="","",IFERROR(INDEX($AN$11:$AN$4010,MATCH($S$8&amp;"|"&amp;111,$BA$11:$BA$4010,0)),""))</f>
        <v/>
      </c>
      <c r="R121" s="11" t="str">
        <f>IF(P121="","",IFERROR(INDEX($AO$11:$AO$4010,MATCH($S$8&amp;"|"&amp;111,$BA$11:$BA$4010,0)),""))</f>
        <v/>
      </c>
      <c r="S121" s="10" t="str">
        <f>IF(P121="","",IFERROR(INDEX($AP$11:$AP$4010,MATCH($S$8&amp;"|"&amp;111,$BA$11:$BA$4010,0)),""))</f>
        <v/>
      </c>
      <c r="T121" s="10" t="str">
        <f>IF(P121="","",IFERROR(INDEX($AQ$11:$AQ$4010,MATCH($S$8&amp;"|"&amp;111,$BA$11:$BA$4010,0)),""))</f>
        <v/>
      </c>
      <c r="U121" s="39" t="str">
        <f t="shared" si="29"/>
        <v/>
      </c>
      <c r="W121" s="14" t="str">
        <f>IF(X121="","",IFERROR(INDEX($AL$11:$AL$4010,MATCH(111,$AY$11:$AY$4010,0)),""))</f>
        <v/>
      </c>
      <c r="X121" s="12" t="str">
        <f>IFERROR(INDEX($AM$11:$AM$4010,MATCH(111,$AY$11:$AY$4010,0)),"")</f>
        <v/>
      </c>
      <c r="Y121" s="11" t="str">
        <f>IF(X121="","",IFERROR(INDEX($AN$11:$AN$4010,MATCH(111,$AY$11:$AY$4010,0)),""))</f>
        <v/>
      </c>
      <c r="Z121" s="11" t="str">
        <f>IF(X121="","",IFERROR(INDEX($AO$11:$AO$4010,MATCH(111,$AY$11:$AY$4010,0)),""))</f>
        <v/>
      </c>
      <c r="AA121" s="10" t="str">
        <f>IF(X121="","",IFERROR(INDEX($AQ$11:$AQ$4010,MATCH(111,$AY$11:$AY$4010,0)),""))</f>
        <v/>
      </c>
      <c r="AB121" s="15" t="str">
        <f>IF(X121="","",IFERROR(INDEX($AR$11:$AR$4010,MATCH(111,$AY$11:$AY$4010,0)),""))</f>
        <v/>
      </c>
      <c r="AD121" s="16" t="str">
        <f>IF(AE121="","",IFERROR(INDEX($AL$11:$AL$4010,MATCH(111,$AZ$11:$AZ$4010,0)),""))</f>
        <v/>
      </c>
      <c r="AE121" s="12" t="str">
        <f>IFERROR(INDEX($AM$11:$AM$4010,MATCH(111,$AZ$11:$AZ$4010,0)),"")</f>
        <v/>
      </c>
      <c r="AF121" s="11" t="str">
        <f>IF(AE121="","",IFERROR(INDEX($AN$11:$AN$4010,MATCH(111,$AZ$11:$AZ$4010,0)),""))</f>
        <v/>
      </c>
      <c r="AG121" s="11" t="str">
        <f>IF(AE121="","",IFERROR(INDEX($AO$11:$AO$4010,MATCH(111,$AZ$11:$AZ$4010,0)),""))</f>
        <v/>
      </c>
      <c r="AH121" s="10" t="str">
        <f>IF(AE121="","",IFERROR(INDEX($AQ$11:$AQ$4010,MATCH(111,$AZ$11:$AZ$4010,0)),""))</f>
        <v/>
      </c>
      <c r="AI121" s="15" t="str">
        <f>IF(AE121="","",IFERROR(INDEX($AR$11:$AR$4010,MATCH(111,$AZ$11:$AZ$4010,0)),""))</f>
        <v/>
      </c>
      <c r="AJ121" s="15" t="str">
        <f>IF(AE121="","",IFERROR(INDEX($AT$11:$AT$4010,MATCH(111,$AZ$11:$AZ$4010,0)),""))</f>
        <v/>
      </c>
      <c r="AL121" s="17" t="str">
        <f t="shared" si="20"/>
        <v/>
      </c>
      <c r="AM121" s="12" t="str">
        <f t="shared" si="21"/>
        <v/>
      </c>
      <c r="AN121" s="18" t="str">
        <f t="shared" si="22"/>
        <v/>
      </c>
      <c r="AO121" s="18" t="str">
        <f t="shared" si="23"/>
        <v/>
      </c>
      <c r="AP121" s="10" t="str">
        <f t="shared" si="24"/>
        <v/>
      </c>
      <c r="AQ121" s="10" t="str">
        <f t="shared" si="25"/>
        <v/>
      </c>
      <c r="AR121" s="19" t="str">
        <f t="shared" si="26"/>
        <v/>
      </c>
      <c r="AS121" s="20"/>
      <c r="AT121" s="19"/>
      <c r="AV121" s="21">
        <f>IF(AND($AL121&lt;&gt;"",COUNTIF($AL$11:$AL121,$AL121)=1),1,0)</f>
        <v>0</v>
      </c>
      <c r="AW121" s="21">
        <f t="shared" si="28"/>
        <v>2</v>
      </c>
      <c r="AX121" s="21" t="str">
        <f t="shared" si="27"/>
        <v/>
      </c>
      <c r="AY121" s="21" t="str">
        <f>IF(AND($AM121&lt;&gt;"",$AS121&lt;&gt;"✓"),SUMPRODUCT(($AM$11:$AM121&lt;&gt;"")*($AS$11:$AS121&lt;&gt;"✓")),"")</f>
        <v/>
      </c>
      <c r="AZ121" s="21" t="str">
        <f>IF(AND($AM121&lt;&gt;"",$AS121="✓"),SUMPRODUCT(($AM$11:$AM121&lt;&gt;"")*($AS$11:$AS121="✓")),"")</f>
        <v/>
      </c>
      <c r="BA121" s="21" t="str">
        <f>IF($AL121="","",$AL121&amp;"|"&amp;COUNTIF($AL$11:$AL121,$AL121))</f>
        <v/>
      </c>
    </row>
    <row r="122" spans="2:53" ht="15" customHeight="1" x14ac:dyDescent="0.25">
      <c r="B122" s="5" t="str">
        <f t="shared" si="15"/>
        <v/>
      </c>
      <c r="C122" s="5"/>
      <c r="D122" s="5"/>
      <c r="E122" s="5"/>
      <c r="F122" s="6"/>
      <c r="G122" s="6"/>
      <c r="H122" s="7"/>
      <c r="I122" s="8"/>
      <c r="K122" s="23" t="str">
        <f>IFERROR(INDEX($AL$11:$AL$4010,MATCH(112,$AX$11:$AX$4010,0)),"")</f>
        <v/>
      </c>
      <c r="L122" s="24" t="str">
        <f t="shared" si="16"/>
        <v/>
      </c>
      <c r="M122" s="25" t="str">
        <f t="shared" si="17"/>
        <v/>
      </c>
      <c r="N122" s="25" t="str">
        <f t="shared" si="18"/>
        <v/>
      </c>
      <c r="P122" s="26" t="str">
        <f>IFERROR(INDEX($AM$11:$AM$4010,MATCH($S$8&amp;"|"&amp;112,$BA$11:$BA$4010,0)),"")</f>
        <v/>
      </c>
      <c r="Q122" s="25" t="str">
        <f>IF(P122="","",IFERROR(INDEX($AN$11:$AN$4010,MATCH($S$8&amp;"|"&amp;112,$BA$11:$BA$4010,0)),""))</f>
        <v/>
      </c>
      <c r="R122" s="25" t="str">
        <f>IF(P122="","",IFERROR(INDEX($AO$11:$AO$4010,MATCH($S$8&amp;"|"&amp;112,$BA$11:$BA$4010,0)),""))</f>
        <v/>
      </c>
      <c r="S122" s="24" t="str">
        <f>IF(P122="","",IFERROR(INDEX($AP$11:$AP$4010,MATCH($S$8&amp;"|"&amp;112,$BA$11:$BA$4010,0)),""))</f>
        <v/>
      </c>
      <c r="T122" s="24" t="str">
        <f>IF(P122="","",IFERROR(INDEX($AQ$11:$AQ$4010,MATCH($S$8&amp;"|"&amp;112,$BA$11:$BA$4010,0)),""))</f>
        <v/>
      </c>
      <c r="U122" s="38" t="str">
        <f t="shared" si="29"/>
        <v/>
      </c>
      <c r="W122" s="28" t="str">
        <f>IF(X122="","",IFERROR(INDEX($AL$11:$AL$4010,MATCH(112,$AY$11:$AY$4010,0)),""))</f>
        <v/>
      </c>
      <c r="X122" s="26" t="str">
        <f>IFERROR(INDEX($AM$11:$AM$4010,MATCH(112,$AY$11:$AY$4010,0)),"")</f>
        <v/>
      </c>
      <c r="Y122" s="25" t="str">
        <f>IF(X122="","",IFERROR(INDEX($AN$11:$AN$4010,MATCH(112,$AY$11:$AY$4010,0)),""))</f>
        <v/>
      </c>
      <c r="Z122" s="25" t="str">
        <f>IF(X122="","",IFERROR(INDEX($AO$11:$AO$4010,MATCH(112,$AY$11:$AY$4010,0)),""))</f>
        <v/>
      </c>
      <c r="AA122" s="24" t="str">
        <f>IF(X122="","",IFERROR(INDEX($AQ$11:$AQ$4010,MATCH(112,$AY$11:$AY$4010,0)),""))</f>
        <v/>
      </c>
      <c r="AB122" s="29" t="str">
        <f>IF(X122="","",IFERROR(INDEX($AR$11:$AR$4010,MATCH(112,$AY$11:$AY$4010,0)),""))</f>
        <v/>
      </c>
      <c r="AD122" s="30" t="str">
        <f>IF(AE122="","",IFERROR(INDEX($AL$11:$AL$4010,MATCH(112,$AZ$11:$AZ$4010,0)),""))</f>
        <v/>
      </c>
      <c r="AE122" s="26" t="str">
        <f>IFERROR(INDEX($AM$11:$AM$4010,MATCH(112,$AZ$11:$AZ$4010,0)),"")</f>
        <v/>
      </c>
      <c r="AF122" s="25" t="str">
        <f>IF(AE122="","",IFERROR(INDEX($AN$11:$AN$4010,MATCH(112,$AZ$11:$AZ$4010,0)),""))</f>
        <v/>
      </c>
      <c r="AG122" s="25" t="str">
        <f>IF(AE122="","",IFERROR(INDEX($AO$11:$AO$4010,MATCH(112,$AZ$11:$AZ$4010,0)),""))</f>
        <v/>
      </c>
      <c r="AH122" s="24" t="str">
        <f>IF(AE122="","",IFERROR(INDEX($AQ$11:$AQ$4010,MATCH(112,$AZ$11:$AZ$4010,0)),""))</f>
        <v/>
      </c>
      <c r="AI122" s="29" t="str">
        <f>IF(AE122="","",IFERROR(INDEX($AR$11:$AR$4010,MATCH(112,$AZ$11:$AZ$4010,0)),""))</f>
        <v/>
      </c>
      <c r="AJ122" s="29" t="str">
        <f>IF(AE122="","",IFERROR(INDEX($AT$11:$AT$4010,MATCH(112,$AZ$11:$AZ$4010,0)),""))</f>
        <v/>
      </c>
      <c r="AL122" s="31" t="str">
        <f t="shared" si="20"/>
        <v/>
      </c>
      <c r="AM122" s="26" t="str">
        <f t="shared" si="21"/>
        <v/>
      </c>
      <c r="AN122" s="32" t="str">
        <f t="shared" si="22"/>
        <v/>
      </c>
      <c r="AO122" s="32" t="str">
        <f t="shared" si="23"/>
        <v/>
      </c>
      <c r="AP122" s="24" t="str">
        <f t="shared" si="24"/>
        <v/>
      </c>
      <c r="AQ122" s="24" t="str">
        <f t="shared" si="25"/>
        <v/>
      </c>
      <c r="AR122" s="33" t="str">
        <f t="shared" si="26"/>
        <v/>
      </c>
      <c r="AS122" s="34"/>
      <c r="AT122" s="33"/>
      <c r="AV122" s="21">
        <f>IF(AND($AL122&lt;&gt;"",COUNTIF($AL$11:$AL122,$AL122)=1),1,0)</f>
        <v>0</v>
      </c>
      <c r="AW122" s="21">
        <f t="shared" si="28"/>
        <v>2</v>
      </c>
      <c r="AX122" s="21" t="str">
        <f t="shared" si="27"/>
        <v/>
      </c>
      <c r="AY122" s="21" t="str">
        <f>IF(AND($AM122&lt;&gt;"",$AS122&lt;&gt;"✓"),SUMPRODUCT(($AM$11:$AM122&lt;&gt;"")*($AS$11:$AS122&lt;&gt;"✓")),"")</f>
        <v/>
      </c>
      <c r="AZ122" s="21" t="str">
        <f>IF(AND($AM122&lt;&gt;"",$AS122="✓"),SUMPRODUCT(($AM$11:$AM122&lt;&gt;"")*($AS$11:$AS122="✓")),"")</f>
        <v/>
      </c>
      <c r="BA122" s="21" t="str">
        <f>IF($AL122="","",$AL122&amp;"|"&amp;COUNTIF($AL$11:$AL122,$AL122))</f>
        <v/>
      </c>
    </row>
    <row r="123" spans="2:53" ht="15" customHeight="1" x14ac:dyDescent="0.25">
      <c r="B123" s="5" t="str">
        <f t="shared" si="15"/>
        <v/>
      </c>
      <c r="C123" s="5"/>
      <c r="D123" s="5"/>
      <c r="E123" s="5"/>
      <c r="F123" s="6"/>
      <c r="G123" s="6"/>
      <c r="H123" s="7"/>
      <c r="I123" s="8"/>
      <c r="K123" s="9" t="str">
        <f>IFERROR(INDEX($AL$11:$AL$4010,MATCH(113,$AX$11:$AX$4010,0)),"")</f>
        <v/>
      </c>
      <c r="L123" s="10" t="str">
        <f t="shared" si="16"/>
        <v/>
      </c>
      <c r="M123" s="11" t="str">
        <f t="shared" si="17"/>
        <v/>
      </c>
      <c r="N123" s="11" t="str">
        <f t="shared" si="18"/>
        <v/>
      </c>
      <c r="P123" s="12" t="str">
        <f>IFERROR(INDEX($AM$11:$AM$4010,MATCH($S$8&amp;"|"&amp;113,$BA$11:$BA$4010,0)),"")</f>
        <v/>
      </c>
      <c r="Q123" s="11" t="str">
        <f>IF(P123="","",IFERROR(INDEX($AN$11:$AN$4010,MATCH($S$8&amp;"|"&amp;113,$BA$11:$BA$4010,0)),""))</f>
        <v/>
      </c>
      <c r="R123" s="11" t="str">
        <f>IF(P123="","",IFERROR(INDEX($AO$11:$AO$4010,MATCH($S$8&amp;"|"&amp;113,$BA$11:$BA$4010,0)),""))</f>
        <v/>
      </c>
      <c r="S123" s="10" t="str">
        <f>IF(P123="","",IFERROR(INDEX($AP$11:$AP$4010,MATCH($S$8&amp;"|"&amp;113,$BA$11:$BA$4010,0)),""))</f>
        <v/>
      </c>
      <c r="T123" s="10" t="str">
        <f>IF(P123="","",IFERROR(INDEX($AQ$11:$AQ$4010,MATCH($S$8&amp;"|"&amp;113,$BA$11:$BA$4010,0)),""))</f>
        <v/>
      </c>
      <c r="U123" s="39" t="str">
        <f t="shared" si="29"/>
        <v/>
      </c>
      <c r="W123" s="14" t="str">
        <f>IF(X123="","",IFERROR(INDEX($AL$11:$AL$4010,MATCH(113,$AY$11:$AY$4010,0)),""))</f>
        <v/>
      </c>
      <c r="X123" s="12" t="str">
        <f>IFERROR(INDEX($AM$11:$AM$4010,MATCH(113,$AY$11:$AY$4010,0)),"")</f>
        <v/>
      </c>
      <c r="Y123" s="11" t="str">
        <f>IF(X123="","",IFERROR(INDEX($AN$11:$AN$4010,MATCH(113,$AY$11:$AY$4010,0)),""))</f>
        <v/>
      </c>
      <c r="Z123" s="11" t="str">
        <f>IF(X123="","",IFERROR(INDEX($AO$11:$AO$4010,MATCH(113,$AY$11:$AY$4010,0)),""))</f>
        <v/>
      </c>
      <c r="AA123" s="10" t="str">
        <f>IF(X123="","",IFERROR(INDEX($AQ$11:$AQ$4010,MATCH(113,$AY$11:$AY$4010,0)),""))</f>
        <v/>
      </c>
      <c r="AB123" s="15" t="str">
        <f>IF(X123="","",IFERROR(INDEX($AR$11:$AR$4010,MATCH(113,$AY$11:$AY$4010,0)),""))</f>
        <v/>
      </c>
      <c r="AD123" s="16" t="str">
        <f>IF(AE123="","",IFERROR(INDEX($AL$11:$AL$4010,MATCH(113,$AZ$11:$AZ$4010,0)),""))</f>
        <v/>
      </c>
      <c r="AE123" s="12" t="str">
        <f>IFERROR(INDEX($AM$11:$AM$4010,MATCH(113,$AZ$11:$AZ$4010,0)),"")</f>
        <v/>
      </c>
      <c r="AF123" s="11" t="str">
        <f>IF(AE123="","",IFERROR(INDEX($AN$11:$AN$4010,MATCH(113,$AZ$11:$AZ$4010,0)),""))</f>
        <v/>
      </c>
      <c r="AG123" s="11" t="str">
        <f>IF(AE123="","",IFERROR(INDEX($AO$11:$AO$4010,MATCH(113,$AZ$11:$AZ$4010,0)),""))</f>
        <v/>
      </c>
      <c r="AH123" s="10" t="str">
        <f>IF(AE123="","",IFERROR(INDEX($AQ$11:$AQ$4010,MATCH(113,$AZ$11:$AZ$4010,0)),""))</f>
        <v/>
      </c>
      <c r="AI123" s="15" t="str">
        <f>IF(AE123="","",IFERROR(INDEX($AR$11:$AR$4010,MATCH(113,$AZ$11:$AZ$4010,0)),""))</f>
        <v/>
      </c>
      <c r="AJ123" s="15" t="str">
        <f>IF(AE123="","",IFERROR(INDEX($AT$11:$AT$4010,MATCH(113,$AZ$11:$AZ$4010,0)),""))</f>
        <v/>
      </c>
      <c r="AL123" s="17" t="str">
        <f t="shared" si="20"/>
        <v/>
      </c>
      <c r="AM123" s="12" t="str">
        <f t="shared" si="21"/>
        <v/>
      </c>
      <c r="AN123" s="18" t="str">
        <f t="shared" si="22"/>
        <v/>
      </c>
      <c r="AO123" s="18" t="str">
        <f t="shared" si="23"/>
        <v/>
      </c>
      <c r="AP123" s="10" t="str">
        <f t="shared" si="24"/>
        <v/>
      </c>
      <c r="AQ123" s="10" t="str">
        <f t="shared" si="25"/>
        <v/>
      </c>
      <c r="AR123" s="19" t="str">
        <f t="shared" si="26"/>
        <v/>
      </c>
      <c r="AS123" s="20"/>
      <c r="AT123" s="19"/>
      <c r="AV123" s="21">
        <f>IF(AND($AL123&lt;&gt;"",COUNTIF($AL$11:$AL123,$AL123)=1),1,0)</f>
        <v>0</v>
      </c>
      <c r="AW123" s="21">
        <f t="shared" si="28"/>
        <v>2</v>
      </c>
      <c r="AX123" s="21" t="str">
        <f t="shared" si="27"/>
        <v/>
      </c>
      <c r="AY123" s="21" t="str">
        <f>IF(AND($AM123&lt;&gt;"",$AS123&lt;&gt;"✓"),SUMPRODUCT(($AM$11:$AM123&lt;&gt;"")*($AS$11:$AS123&lt;&gt;"✓")),"")</f>
        <v/>
      </c>
      <c r="AZ123" s="21" t="str">
        <f>IF(AND($AM123&lt;&gt;"",$AS123="✓"),SUMPRODUCT(($AM$11:$AM123&lt;&gt;"")*($AS$11:$AS123="✓")),"")</f>
        <v/>
      </c>
      <c r="BA123" s="21" t="str">
        <f>IF($AL123="","",$AL123&amp;"|"&amp;COUNTIF($AL$11:$AL123,$AL123))</f>
        <v/>
      </c>
    </row>
    <row r="124" spans="2:53" ht="15" customHeight="1" x14ac:dyDescent="0.25">
      <c r="B124" s="5" t="str">
        <f t="shared" si="15"/>
        <v/>
      </c>
      <c r="C124" s="5"/>
      <c r="D124" s="5"/>
      <c r="E124" s="5"/>
      <c r="F124" s="6"/>
      <c r="G124" s="6"/>
      <c r="H124" s="7"/>
      <c r="I124" s="8"/>
      <c r="K124" s="23" t="str">
        <f>IFERROR(INDEX($AL$11:$AL$4010,MATCH(114,$AX$11:$AX$4010,0)),"")</f>
        <v/>
      </c>
      <c r="L124" s="24" t="str">
        <f t="shared" si="16"/>
        <v/>
      </c>
      <c r="M124" s="25" t="str">
        <f t="shared" si="17"/>
        <v/>
      </c>
      <c r="N124" s="25" t="str">
        <f t="shared" si="18"/>
        <v/>
      </c>
      <c r="P124" s="26" t="str">
        <f>IFERROR(INDEX($AM$11:$AM$4010,MATCH($S$8&amp;"|"&amp;114,$BA$11:$BA$4010,0)),"")</f>
        <v/>
      </c>
      <c r="Q124" s="25" t="str">
        <f>IF(P124="","",IFERROR(INDEX($AN$11:$AN$4010,MATCH($S$8&amp;"|"&amp;114,$BA$11:$BA$4010,0)),""))</f>
        <v/>
      </c>
      <c r="R124" s="25" t="str">
        <f>IF(P124="","",IFERROR(INDEX($AO$11:$AO$4010,MATCH($S$8&amp;"|"&amp;114,$BA$11:$BA$4010,0)),""))</f>
        <v/>
      </c>
      <c r="S124" s="24" t="str">
        <f>IF(P124="","",IFERROR(INDEX($AP$11:$AP$4010,MATCH($S$8&amp;"|"&amp;114,$BA$11:$BA$4010,0)),""))</f>
        <v/>
      </c>
      <c r="T124" s="24" t="str">
        <f>IF(P124="","",IFERROR(INDEX($AQ$11:$AQ$4010,MATCH($S$8&amp;"|"&amp;114,$BA$11:$BA$4010,0)),""))</f>
        <v/>
      </c>
      <c r="U124" s="38" t="str">
        <f t="shared" si="29"/>
        <v/>
      </c>
      <c r="W124" s="28" t="str">
        <f>IF(X124="","",IFERROR(INDEX($AL$11:$AL$4010,MATCH(114,$AY$11:$AY$4010,0)),""))</f>
        <v/>
      </c>
      <c r="X124" s="26" t="str">
        <f>IFERROR(INDEX($AM$11:$AM$4010,MATCH(114,$AY$11:$AY$4010,0)),"")</f>
        <v/>
      </c>
      <c r="Y124" s="25" t="str">
        <f>IF(X124="","",IFERROR(INDEX($AN$11:$AN$4010,MATCH(114,$AY$11:$AY$4010,0)),""))</f>
        <v/>
      </c>
      <c r="Z124" s="25" t="str">
        <f>IF(X124="","",IFERROR(INDEX($AO$11:$AO$4010,MATCH(114,$AY$11:$AY$4010,0)),""))</f>
        <v/>
      </c>
      <c r="AA124" s="24" t="str">
        <f>IF(X124="","",IFERROR(INDEX($AQ$11:$AQ$4010,MATCH(114,$AY$11:$AY$4010,0)),""))</f>
        <v/>
      </c>
      <c r="AB124" s="29" t="str">
        <f>IF(X124="","",IFERROR(INDEX($AR$11:$AR$4010,MATCH(114,$AY$11:$AY$4010,0)),""))</f>
        <v/>
      </c>
      <c r="AD124" s="30" t="str">
        <f>IF(AE124="","",IFERROR(INDEX($AL$11:$AL$4010,MATCH(114,$AZ$11:$AZ$4010,0)),""))</f>
        <v/>
      </c>
      <c r="AE124" s="26" t="str">
        <f>IFERROR(INDEX($AM$11:$AM$4010,MATCH(114,$AZ$11:$AZ$4010,0)),"")</f>
        <v/>
      </c>
      <c r="AF124" s="25" t="str">
        <f>IF(AE124="","",IFERROR(INDEX($AN$11:$AN$4010,MATCH(114,$AZ$11:$AZ$4010,0)),""))</f>
        <v/>
      </c>
      <c r="AG124" s="25" t="str">
        <f>IF(AE124="","",IFERROR(INDEX($AO$11:$AO$4010,MATCH(114,$AZ$11:$AZ$4010,0)),""))</f>
        <v/>
      </c>
      <c r="AH124" s="24" t="str">
        <f>IF(AE124="","",IFERROR(INDEX($AQ$11:$AQ$4010,MATCH(114,$AZ$11:$AZ$4010,0)),""))</f>
        <v/>
      </c>
      <c r="AI124" s="29" t="str">
        <f>IF(AE124="","",IFERROR(INDEX($AR$11:$AR$4010,MATCH(114,$AZ$11:$AZ$4010,0)),""))</f>
        <v/>
      </c>
      <c r="AJ124" s="29" t="str">
        <f>IF(AE124="","",IFERROR(INDEX($AT$11:$AT$4010,MATCH(114,$AZ$11:$AZ$4010,0)),""))</f>
        <v/>
      </c>
      <c r="AL124" s="31" t="str">
        <f t="shared" si="20"/>
        <v/>
      </c>
      <c r="AM124" s="26" t="str">
        <f t="shared" si="21"/>
        <v/>
      </c>
      <c r="AN124" s="32" t="str">
        <f t="shared" si="22"/>
        <v/>
      </c>
      <c r="AO124" s="32" t="str">
        <f t="shared" si="23"/>
        <v/>
      </c>
      <c r="AP124" s="24" t="str">
        <f t="shared" si="24"/>
        <v/>
      </c>
      <c r="AQ124" s="24" t="str">
        <f t="shared" si="25"/>
        <v/>
      </c>
      <c r="AR124" s="33" t="str">
        <f t="shared" si="26"/>
        <v/>
      </c>
      <c r="AS124" s="34"/>
      <c r="AT124" s="33"/>
      <c r="AV124" s="21">
        <f>IF(AND($AL124&lt;&gt;"",COUNTIF($AL$11:$AL124,$AL124)=1),1,0)</f>
        <v>0</v>
      </c>
      <c r="AW124" s="21">
        <f t="shared" si="28"/>
        <v>2</v>
      </c>
      <c r="AX124" s="21" t="str">
        <f t="shared" si="27"/>
        <v/>
      </c>
      <c r="AY124" s="21" t="str">
        <f>IF(AND($AM124&lt;&gt;"",$AS124&lt;&gt;"✓"),SUMPRODUCT(($AM$11:$AM124&lt;&gt;"")*($AS$11:$AS124&lt;&gt;"✓")),"")</f>
        <v/>
      </c>
      <c r="AZ124" s="21" t="str">
        <f>IF(AND($AM124&lt;&gt;"",$AS124="✓"),SUMPRODUCT(($AM$11:$AM124&lt;&gt;"")*($AS$11:$AS124="✓")),"")</f>
        <v/>
      </c>
      <c r="BA124" s="21" t="str">
        <f>IF($AL124="","",$AL124&amp;"|"&amp;COUNTIF($AL$11:$AL124,$AL124))</f>
        <v/>
      </c>
    </row>
    <row r="125" spans="2:53" ht="15" customHeight="1" x14ac:dyDescent="0.25">
      <c r="B125" s="5" t="str">
        <f t="shared" si="15"/>
        <v/>
      </c>
      <c r="C125" s="5"/>
      <c r="D125" s="5"/>
      <c r="E125" s="5"/>
      <c r="F125" s="6"/>
      <c r="G125" s="6"/>
      <c r="H125" s="7"/>
      <c r="I125" s="8"/>
      <c r="K125" s="9" t="str">
        <f>IFERROR(INDEX($AL$11:$AL$4010,MATCH(115,$AX$11:$AX$4010,0)),"")</f>
        <v/>
      </c>
      <c r="L125" s="10" t="str">
        <f t="shared" si="16"/>
        <v/>
      </c>
      <c r="M125" s="11" t="str">
        <f t="shared" si="17"/>
        <v/>
      </c>
      <c r="N125" s="11" t="str">
        <f t="shared" si="18"/>
        <v/>
      </c>
      <c r="P125" s="12" t="str">
        <f>IFERROR(INDEX($AM$11:$AM$4010,MATCH($S$8&amp;"|"&amp;115,$BA$11:$BA$4010,0)),"")</f>
        <v/>
      </c>
      <c r="Q125" s="11" t="str">
        <f>IF(P125="","",IFERROR(INDEX($AN$11:$AN$4010,MATCH($S$8&amp;"|"&amp;115,$BA$11:$BA$4010,0)),""))</f>
        <v/>
      </c>
      <c r="R125" s="11" t="str">
        <f>IF(P125="","",IFERROR(INDEX($AO$11:$AO$4010,MATCH($S$8&amp;"|"&amp;115,$BA$11:$BA$4010,0)),""))</f>
        <v/>
      </c>
      <c r="S125" s="10" t="str">
        <f>IF(P125="","",IFERROR(INDEX($AP$11:$AP$4010,MATCH($S$8&amp;"|"&amp;115,$BA$11:$BA$4010,0)),""))</f>
        <v/>
      </c>
      <c r="T125" s="10" t="str">
        <f>IF(P125="","",IFERROR(INDEX($AQ$11:$AQ$4010,MATCH($S$8&amp;"|"&amp;115,$BA$11:$BA$4010,0)),""))</f>
        <v/>
      </c>
      <c r="U125" s="39" t="str">
        <f t="shared" si="29"/>
        <v/>
      </c>
      <c r="W125" s="14" t="str">
        <f>IF(X125="","",IFERROR(INDEX($AL$11:$AL$4010,MATCH(115,$AY$11:$AY$4010,0)),""))</f>
        <v/>
      </c>
      <c r="X125" s="12" t="str">
        <f>IFERROR(INDEX($AM$11:$AM$4010,MATCH(115,$AY$11:$AY$4010,0)),"")</f>
        <v/>
      </c>
      <c r="Y125" s="11" t="str">
        <f>IF(X125="","",IFERROR(INDEX($AN$11:$AN$4010,MATCH(115,$AY$11:$AY$4010,0)),""))</f>
        <v/>
      </c>
      <c r="Z125" s="11" t="str">
        <f>IF(X125="","",IFERROR(INDEX($AO$11:$AO$4010,MATCH(115,$AY$11:$AY$4010,0)),""))</f>
        <v/>
      </c>
      <c r="AA125" s="10" t="str">
        <f>IF(X125="","",IFERROR(INDEX($AQ$11:$AQ$4010,MATCH(115,$AY$11:$AY$4010,0)),""))</f>
        <v/>
      </c>
      <c r="AB125" s="15" t="str">
        <f>IF(X125="","",IFERROR(INDEX($AR$11:$AR$4010,MATCH(115,$AY$11:$AY$4010,0)),""))</f>
        <v/>
      </c>
      <c r="AD125" s="16" t="str">
        <f>IF(AE125="","",IFERROR(INDEX($AL$11:$AL$4010,MATCH(115,$AZ$11:$AZ$4010,0)),""))</f>
        <v/>
      </c>
      <c r="AE125" s="12" t="str">
        <f>IFERROR(INDEX($AM$11:$AM$4010,MATCH(115,$AZ$11:$AZ$4010,0)),"")</f>
        <v/>
      </c>
      <c r="AF125" s="11" t="str">
        <f>IF(AE125="","",IFERROR(INDEX($AN$11:$AN$4010,MATCH(115,$AZ$11:$AZ$4010,0)),""))</f>
        <v/>
      </c>
      <c r="AG125" s="11" t="str">
        <f>IF(AE125="","",IFERROR(INDEX($AO$11:$AO$4010,MATCH(115,$AZ$11:$AZ$4010,0)),""))</f>
        <v/>
      </c>
      <c r="AH125" s="10" t="str">
        <f>IF(AE125="","",IFERROR(INDEX($AQ$11:$AQ$4010,MATCH(115,$AZ$11:$AZ$4010,0)),""))</f>
        <v/>
      </c>
      <c r="AI125" s="15" t="str">
        <f>IF(AE125="","",IFERROR(INDEX($AR$11:$AR$4010,MATCH(115,$AZ$11:$AZ$4010,0)),""))</f>
        <v/>
      </c>
      <c r="AJ125" s="15" t="str">
        <f>IF(AE125="","",IFERROR(INDEX($AT$11:$AT$4010,MATCH(115,$AZ$11:$AZ$4010,0)),""))</f>
        <v/>
      </c>
      <c r="AL125" s="17" t="str">
        <f t="shared" si="20"/>
        <v/>
      </c>
      <c r="AM125" s="12" t="str">
        <f t="shared" si="21"/>
        <v/>
      </c>
      <c r="AN125" s="18" t="str">
        <f t="shared" si="22"/>
        <v/>
      </c>
      <c r="AO125" s="18" t="str">
        <f t="shared" si="23"/>
        <v/>
      </c>
      <c r="AP125" s="10" t="str">
        <f t="shared" si="24"/>
        <v/>
      </c>
      <c r="AQ125" s="10" t="str">
        <f t="shared" si="25"/>
        <v/>
      </c>
      <c r="AR125" s="19" t="str">
        <f t="shared" si="26"/>
        <v/>
      </c>
      <c r="AS125" s="20"/>
      <c r="AT125" s="19"/>
      <c r="AV125" s="21">
        <f>IF(AND($AL125&lt;&gt;"",COUNTIF($AL$11:$AL125,$AL125)=1),1,0)</f>
        <v>0</v>
      </c>
      <c r="AW125" s="21">
        <f t="shared" si="28"/>
        <v>2</v>
      </c>
      <c r="AX125" s="21" t="str">
        <f t="shared" si="27"/>
        <v/>
      </c>
      <c r="AY125" s="21" t="str">
        <f>IF(AND($AM125&lt;&gt;"",$AS125&lt;&gt;"✓"),SUMPRODUCT(($AM$11:$AM125&lt;&gt;"")*($AS$11:$AS125&lt;&gt;"✓")),"")</f>
        <v/>
      </c>
      <c r="AZ125" s="21" t="str">
        <f>IF(AND($AM125&lt;&gt;"",$AS125="✓"),SUMPRODUCT(($AM$11:$AM125&lt;&gt;"")*($AS$11:$AS125="✓")),"")</f>
        <v/>
      </c>
      <c r="BA125" s="21" t="str">
        <f>IF($AL125="","",$AL125&amp;"|"&amp;COUNTIF($AL$11:$AL125,$AL125))</f>
        <v/>
      </c>
    </row>
    <row r="126" spans="2:53" ht="15" customHeight="1" x14ac:dyDescent="0.25">
      <c r="B126" s="5" t="str">
        <f t="shared" si="15"/>
        <v/>
      </c>
      <c r="C126" s="5"/>
      <c r="D126" s="5"/>
      <c r="E126" s="5"/>
      <c r="F126" s="6"/>
      <c r="G126" s="6"/>
      <c r="H126" s="7"/>
      <c r="I126" s="8"/>
      <c r="K126" s="23" t="str">
        <f>IFERROR(INDEX($AL$11:$AL$4010,MATCH(116,$AX$11:$AX$4010,0)),"")</f>
        <v/>
      </c>
      <c r="L126" s="24" t="str">
        <f t="shared" si="16"/>
        <v/>
      </c>
      <c r="M126" s="25" t="str">
        <f t="shared" si="17"/>
        <v/>
      </c>
      <c r="N126" s="25" t="str">
        <f t="shared" si="18"/>
        <v/>
      </c>
      <c r="P126" s="26" t="str">
        <f>IFERROR(INDEX($AM$11:$AM$4010,MATCH($S$8&amp;"|"&amp;116,$BA$11:$BA$4010,0)),"")</f>
        <v/>
      </c>
      <c r="Q126" s="25" t="str">
        <f>IF(P126="","",IFERROR(INDEX($AN$11:$AN$4010,MATCH($S$8&amp;"|"&amp;116,$BA$11:$BA$4010,0)),""))</f>
        <v/>
      </c>
      <c r="R126" s="25" t="str">
        <f>IF(P126="","",IFERROR(INDEX($AO$11:$AO$4010,MATCH($S$8&amp;"|"&amp;116,$BA$11:$BA$4010,0)),""))</f>
        <v/>
      </c>
      <c r="S126" s="24" t="str">
        <f>IF(P126="","",IFERROR(INDEX($AP$11:$AP$4010,MATCH($S$8&amp;"|"&amp;116,$BA$11:$BA$4010,0)),""))</f>
        <v/>
      </c>
      <c r="T126" s="24" t="str">
        <f>IF(P126="","",IFERROR(INDEX($AQ$11:$AQ$4010,MATCH($S$8&amp;"|"&amp;116,$BA$11:$BA$4010,0)),""))</f>
        <v/>
      </c>
      <c r="U126" s="38" t="str">
        <f t="shared" si="29"/>
        <v/>
      </c>
      <c r="W126" s="28" t="str">
        <f>IF(X126="","",IFERROR(INDEX($AL$11:$AL$4010,MATCH(116,$AY$11:$AY$4010,0)),""))</f>
        <v/>
      </c>
      <c r="X126" s="26" t="str">
        <f>IFERROR(INDEX($AM$11:$AM$4010,MATCH(116,$AY$11:$AY$4010,0)),"")</f>
        <v/>
      </c>
      <c r="Y126" s="25" t="str">
        <f>IF(X126="","",IFERROR(INDEX($AN$11:$AN$4010,MATCH(116,$AY$11:$AY$4010,0)),""))</f>
        <v/>
      </c>
      <c r="Z126" s="25" t="str">
        <f>IF(X126="","",IFERROR(INDEX($AO$11:$AO$4010,MATCH(116,$AY$11:$AY$4010,0)),""))</f>
        <v/>
      </c>
      <c r="AA126" s="24" t="str">
        <f>IF(X126="","",IFERROR(INDEX($AQ$11:$AQ$4010,MATCH(116,$AY$11:$AY$4010,0)),""))</f>
        <v/>
      </c>
      <c r="AB126" s="29" t="str">
        <f>IF(X126="","",IFERROR(INDEX($AR$11:$AR$4010,MATCH(116,$AY$11:$AY$4010,0)),""))</f>
        <v/>
      </c>
      <c r="AD126" s="30" t="str">
        <f>IF(AE126="","",IFERROR(INDEX($AL$11:$AL$4010,MATCH(116,$AZ$11:$AZ$4010,0)),""))</f>
        <v/>
      </c>
      <c r="AE126" s="26" t="str">
        <f>IFERROR(INDEX($AM$11:$AM$4010,MATCH(116,$AZ$11:$AZ$4010,0)),"")</f>
        <v/>
      </c>
      <c r="AF126" s="25" t="str">
        <f>IF(AE126="","",IFERROR(INDEX($AN$11:$AN$4010,MATCH(116,$AZ$11:$AZ$4010,0)),""))</f>
        <v/>
      </c>
      <c r="AG126" s="25" t="str">
        <f>IF(AE126="","",IFERROR(INDEX($AO$11:$AO$4010,MATCH(116,$AZ$11:$AZ$4010,0)),""))</f>
        <v/>
      </c>
      <c r="AH126" s="24" t="str">
        <f>IF(AE126="","",IFERROR(INDEX($AQ$11:$AQ$4010,MATCH(116,$AZ$11:$AZ$4010,0)),""))</f>
        <v/>
      </c>
      <c r="AI126" s="29" t="str">
        <f>IF(AE126="","",IFERROR(INDEX($AR$11:$AR$4010,MATCH(116,$AZ$11:$AZ$4010,0)),""))</f>
        <v/>
      </c>
      <c r="AJ126" s="29" t="str">
        <f>IF(AE126="","",IFERROR(INDEX($AT$11:$AT$4010,MATCH(116,$AZ$11:$AZ$4010,0)),""))</f>
        <v/>
      </c>
      <c r="AL126" s="31" t="str">
        <f t="shared" si="20"/>
        <v/>
      </c>
      <c r="AM126" s="26" t="str">
        <f t="shared" si="21"/>
        <v/>
      </c>
      <c r="AN126" s="32" t="str">
        <f t="shared" si="22"/>
        <v/>
      </c>
      <c r="AO126" s="32" t="str">
        <f t="shared" si="23"/>
        <v/>
      </c>
      <c r="AP126" s="24" t="str">
        <f t="shared" si="24"/>
        <v/>
      </c>
      <c r="AQ126" s="24" t="str">
        <f t="shared" si="25"/>
        <v/>
      </c>
      <c r="AR126" s="33" t="str">
        <f t="shared" si="26"/>
        <v/>
      </c>
      <c r="AS126" s="34"/>
      <c r="AT126" s="33"/>
      <c r="AV126" s="21">
        <f>IF(AND($AL126&lt;&gt;"",COUNTIF($AL$11:$AL126,$AL126)=1),1,0)</f>
        <v>0</v>
      </c>
      <c r="AW126" s="21">
        <f t="shared" si="28"/>
        <v>2</v>
      </c>
      <c r="AX126" s="21" t="str">
        <f t="shared" si="27"/>
        <v/>
      </c>
      <c r="AY126" s="21" t="str">
        <f>IF(AND($AM126&lt;&gt;"",$AS126&lt;&gt;"✓"),SUMPRODUCT(($AM$11:$AM126&lt;&gt;"")*($AS$11:$AS126&lt;&gt;"✓")),"")</f>
        <v/>
      </c>
      <c r="AZ126" s="21" t="str">
        <f>IF(AND($AM126&lt;&gt;"",$AS126="✓"),SUMPRODUCT(($AM$11:$AM126&lt;&gt;"")*($AS$11:$AS126="✓")),"")</f>
        <v/>
      </c>
      <c r="BA126" s="21" t="str">
        <f>IF($AL126="","",$AL126&amp;"|"&amp;COUNTIF($AL$11:$AL126,$AL126))</f>
        <v/>
      </c>
    </row>
    <row r="127" spans="2:53" ht="15" customHeight="1" x14ac:dyDescent="0.25">
      <c r="B127" s="5" t="str">
        <f t="shared" si="15"/>
        <v/>
      </c>
      <c r="C127" s="5"/>
      <c r="D127" s="5"/>
      <c r="E127" s="5"/>
      <c r="F127" s="6"/>
      <c r="G127" s="6"/>
      <c r="H127" s="7"/>
      <c r="I127" s="8"/>
      <c r="K127" s="9" t="str">
        <f>IFERROR(INDEX($AL$11:$AL$4010,MATCH(117,$AX$11:$AX$4010,0)),"")</f>
        <v/>
      </c>
      <c r="L127" s="10" t="str">
        <f t="shared" si="16"/>
        <v/>
      </c>
      <c r="M127" s="11" t="str">
        <f t="shared" si="17"/>
        <v/>
      </c>
      <c r="N127" s="11" t="str">
        <f t="shared" si="18"/>
        <v/>
      </c>
      <c r="P127" s="12" t="str">
        <f>IFERROR(INDEX($AM$11:$AM$4010,MATCH($S$8&amp;"|"&amp;117,$BA$11:$BA$4010,0)),"")</f>
        <v/>
      </c>
      <c r="Q127" s="11" t="str">
        <f>IF(P127="","",IFERROR(INDEX($AN$11:$AN$4010,MATCH($S$8&amp;"|"&amp;117,$BA$11:$BA$4010,0)),""))</f>
        <v/>
      </c>
      <c r="R127" s="11" t="str">
        <f>IF(P127="","",IFERROR(INDEX($AO$11:$AO$4010,MATCH($S$8&amp;"|"&amp;117,$BA$11:$BA$4010,0)),""))</f>
        <v/>
      </c>
      <c r="S127" s="10" t="str">
        <f>IF(P127="","",IFERROR(INDEX($AP$11:$AP$4010,MATCH($S$8&amp;"|"&amp;117,$BA$11:$BA$4010,0)),""))</f>
        <v/>
      </c>
      <c r="T127" s="10" t="str">
        <f>IF(P127="","",IFERROR(INDEX($AQ$11:$AQ$4010,MATCH($S$8&amp;"|"&amp;117,$BA$11:$BA$4010,0)),""))</f>
        <v/>
      </c>
      <c r="U127" s="39" t="str">
        <f t="shared" si="29"/>
        <v/>
      </c>
      <c r="W127" s="14" t="str">
        <f>IF(X127="","",IFERROR(INDEX($AL$11:$AL$4010,MATCH(117,$AY$11:$AY$4010,0)),""))</f>
        <v/>
      </c>
      <c r="X127" s="12" t="str">
        <f>IFERROR(INDEX($AM$11:$AM$4010,MATCH(117,$AY$11:$AY$4010,0)),"")</f>
        <v/>
      </c>
      <c r="Y127" s="11" t="str">
        <f>IF(X127="","",IFERROR(INDEX($AN$11:$AN$4010,MATCH(117,$AY$11:$AY$4010,0)),""))</f>
        <v/>
      </c>
      <c r="Z127" s="11" t="str">
        <f>IF(X127="","",IFERROR(INDEX($AO$11:$AO$4010,MATCH(117,$AY$11:$AY$4010,0)),""))</f>
        <v/>
      </c>
      <c r="AA127" s="10" t="str">
        <f>IF(X127="","",IFERROR(INDEX($AQ$11:$AQ$4010,MATCH(117,$AY$11:$AY$4010,0)),""))</f>
        <v/>
      </c>
      <c r="AB127" s="15" t="str">
        <f>IF(X127="","",IFERROR(INDEX($AR$11:$AR$4010,MATCH(117,$AY$11:$AY$4010,0)),""))</f>
        <v/>
      </c>
      <c r="AD127" s="16" t="str">
        <f>IF(AE127="","",IFERROR(INDEX($AL$11:$AL$4010,MATCH(117,$AZ$11:$AZ$4010,0)),""))</f>
        <v/>
      </c>
      <c r="AE127" s="12" t="str">
        <f>IFERROR(INDEX($AM$11:$AM$4010,MATCH(117,$AZ$11:$AZ$4010,0)),"")</f>
        <v/>
      </c>
      <c r="AF127" s="11" t="str">
        <f>IF(AE127="","",IFERROR(INDEX($AN$11:$AN$4010,MATCH(117,$AZ$11:$AZ$4010,0)),""))</f>
        <v/>
      </c>
      <c r="AG127" s="11" t="str">
        <f>IF(AE127="","",IFERROR(INDEX($AO$11:$AO$4010,MATCH(117,$AZ$11:$AZ$4010,0)),""))</f>
        <v/>
      </c>
      <c r="AH127" s="10" t="str">
        <f>IF(AE127="","",IFERROR(INDEX($AQ$11:$AQ$4010,MATCH(117,$AZ$11:$AZ$4010,0)),""))</f>
        <v/>
      </c>
      <c r="AI127" s="15" t="str">
        <f>IF(AE127="","",IFERROR(INDEX($AR$11:$AR$4010,MATCH(117,$AZ$11:$AZ$4010,0)),""))</f>
        <v/>
      </c>
      <c r="AJ127" s="15" t="str">
        <f>IF(AE127="","",IFERROR(INDEX($AT$11:$AT$4010,MATCH(117,$AZ$11:$AZ$4010,0)),""))</f>
        <v/>
      </c>
      <c r="AL127" s="17" t="str">
        <f t="shared" si="20"/>
        <v/>
      </c>
      <c r="AM127" s="12" t="str">
        <f t="shared" si="21"/>
        <v/>
      </c>
      <c r="AN127" s="18" t="str">
        <f t="shared" si="22"/>
        <v/>
      </c>
      <c r="AO127" s="18" t="str">
        <f t="shared" si="23"/>
        <v/>
      </c>
      <c r="AP127" s="10" t="str">
        <f t="shared" si="24"/>
        <v/>
      </c>
      <c r="AQ127" s="10" t="str">
        <f t="shared" si="25"/>
        <v/>
      </c>
      <c r="AR127" s="19" t="str">
        <f t="shared" si="26"/>
        <v/>
      </c>
      <c r="AS127" s="20"/>
      <c r="AT127" s="19"/>
      <c r="AV127" s="21">
        <f>IF(AND($AL127&lt;&gt;"",COUNTIF($AL$11:$AL127,$AL127)=1),1,0)</f>
        <v>0</v>
      </c>
      <c r="AW127" s="21">
        <f t="shared" si="28"/>
        <v>2</v>
      </c>
      <c r="AX127" s="21" t="str">
        <f t="shared" si="27"/>
        <v/>
      </c>
      <c r="AY127" s="21" t="str">
        <f>IF(AND($AM127&lt;&gt;"",$AS127&lt;&gt;"✓"),SUMPRODUCT(($AM$11:$AM127&lt;&gt;"")*($AS$11:$AS127&lt;&gt;"✓")),"")</f>
        <v/>
      </c>
      <c r="AZ127" s="21" t="str">
        <f>IF(AND($AM127&lt;&gt;"",$AS127="✓"),SUMPRODUCT(($AM$11:$AM127&lt;&gt;"")*($AS$11:$AS127="✓")),"")</f>
        <v/>
      </c>
      <c r="BA127" s="21" t="str">
        <f>IF($AL127="","",$AL127&amp;"|"&amp;COUNTIF($AL$11:$AL127,$AL127))</f>
        <v/>
      </c>
    </row>
    <row r="128" spans="2:53" ht="15" customHeight="1" x14ac:dyDescent="0.25">
      <c r="B128" s="5" t="str">
        <f t="shared" si="15"/>
        <v/>
      </c>
      <c r="C128" s="5"/>
      <c r="D128" s="5"/>
      <c r="E128" s="5"/>
      <c r="F128" s="6"/>
      <c r="G128" s="6"/>
      <c r="H128" s="7"/>
      <c r="I128" s="8"/>
      <c r="K128" s="23" t="str">
        <f>IFERROR(INDEX($AL$11:$AL$4010,MATCH(118,$AX$11:$AX$4010,0)),"")</f>
        <v/>
      </c>
      <c r="L128" s="24" t="str">
        <f t="shared" si="16"/>
        <v/>
      </c>
      <c r="M128" s="25" t="str">
        <f t="shared" si="17"/>
        <v/>
      </c>
      <c r="N128" s="25" t="str">
        <f t="shared" si="18"/>
        <v/>
      </c>
      <c r="P128" s="26" t="str">
        <f>IFERROR(INDEX($AM$11:$AM$4010,MATCH($S$8&amp;"|"&amp;118,$BA$11:$BA$4010,0)),"")</f>
        <v/>
      </c>
      <c r="Q128" s="25" t="str">
        <f>IF(P128="","",IFERROR(INDEX($AN$11:$AN$4010,MATCH($S$8&amp;"|"&amp;118,$BA$11:$BA$4010,0)),""))</f>
        <v/>
      </c>
      <c r="R128" s="25" t="str">
        <f>IF(P128="","",IFERROR(INDEX($AO$11:$AO$4010,MATCH($S$8&amp;"|"&amp;118,$BA$11:$BA$4010,0)),""))</f>
        <v/>
      </c>
      <c r="S128" s="24" t="str">
        <f>IF(P128="","",IFERROR(INDEX($AP$11:$AP$4010,MATCH($S$8&amp;"|"&amp;118,$BA$11:$BA$4010,0)),""))</f>
        <v/>
      </c>
      <c r="T128" s="24" t="str">
        <f>IF(P128="","",IFERROR(INDEX($AQ$11:$AQ$4010,MATCH($S$8&amp;"|"&amp;118,$BA$11:$BA$4010,0)),""))</f>
        <v/>
      </c>
      <c r="U128" s="38" t="str">
        <f t="shared" si="29"/>
        <v/>
      </c>
      <c r="W128" s="28" t="str">
        <f>IF(X128="","",IFERROR(INDEX($AL$11:$AL$4010,MATCH(118,$AY$11:$AY$4010,0)),""))</f>
        <v/>
      </c>
      <c r="X128" s="26" t="str">
        <f>IFERROR(INDEX($AM$11:$AM$4010,MATCH(118,$AY$11:$AY$4010,0)),"")</f>
        <v/>
      </c>
      <c r="Y128" s="25" t="str">
        <f>IF(X128="","",IFERROR(INDEX($AN$11:$AN$4010,MATCH(118,$AY$11:$AY$4010,0)),""))</f>
        <v/>
      </c>
      <c r="Z128" s="25" t="str">
        <f>IF(X128="","",IFERROR(INDEX($AO$11:$AO$4010,MATCH(118,$AY$11:$AY$4010,0)),""))</f>
        <v/>
      </c>
      <c r="AA128" s="24" t="str">
        <f>IF(X128="","",IFERROR(INDEX($AQ$11:$AQ$4010,MATCH(118,$AY$11:$AY$4010,0)),""))</f>
        <v/>
      </c>
      <c r="AB128" s="29" t="str">
        <f>IF(X128="","",IFERROR(INDEX($AR$11:$AR$4010,MATCH(118,$AY$11:$AY$4010,0)),""))</f>
        <v/>
      </c>
      <c r="AD128" s="30" t="str">
        <f>IF(AE128="","",IFERROR(INDEX($AL$11:$AL$4010,MATCH(118,$AZ$11:$AZ$4010,0)),""))</f>
        <v/>
      </c>
      <c r="AE128" s="26" t="str">
        <f>IFERROR(INDEX($AM$11:$AM$4010,MATCH(118,$AZ$11:$AZ$4010,0)),"")</f>
        <v/>
      </c>
      <c r="AF128" s="25" t="str">
        <f>IF(AE128="","",IFERROR(INDEX($AN$11:$AN$4010,MATCH(118,$AZ$11:$AZ$4010,0)),""))</f>
        <v/>
      </c>
      <c r="AG128" s="25" t="str">
        <f>IF(AE128="","",IFERROR(INDEX($AO$11:$AO$4010,MATCH(118,$AZ$11:$AZ$4010,0)),""))</f>
        <v/>
      </c>
      <c r="AH128" s="24" t="str">
        <f>IF(AE128="","",IFERROR(INDEX($AQ$11:$AQ$4010,MATCH(118,$AZ$11:$AZ$4010,0)),""))</f>
        <v/>
      </c>
      <c r="AI128" s="29" t="str">
        <f>IF(AE128="","",IFERROR(INDEX($AR$11:$AR$4010,MATCH(118,$AZ$11:$AZ$4010,0)),""))</f>
        <v/>
      </c>
      <c r="AJ128" s="29" t="str">
        <f>IF(AE128="","",IFERROR(INDEX($AT$11:$AT$4010,MATCH(118,$AZ$11:$AZ$4010,0)),""))</f>
        <v/>
      </c>
      <c r="AL128" s="31" t="str">
        <f t="shared" si="20"/>
        <v/>
      </c>
      <c r="AM128" s="26" t="str">
        <f t="shared" si="21"/>
        <v/>
      </c>
      <c r="AN128" s="32" t="str">
        <f t="shared" si="22"/>
        <v/>
      </c>
      <c r="AO128" s="32" t="str">
        <f t="shared" si="23"/>
        <v/>
      </c>
      <c r="AP128" s="24" t="str">
        <f t="shared" si="24"/>
        <v/>
      </c>
      <c r="AQ128" s="24" t="str">
        <f t="shared" si="25"/>
        <v/>
      </c>
      <c r="AR128" s="33" t="str">
        <f t="shared" si="26"/>
        <v/>
      </c>
      <c r="AS128" s="34"/>
      <c r="AT128" s="33"/>
      <c r="AV128" s="21">
        <f>IF(AND($AL128&lt;&gt;"",COUNTIF($AL$11:$AL128,$AL128)=1),1,0)</f>
        <v>0</v>
      </c>
      <c r="AW128" s="21">
        <f t="shared" si="28"/>
        <v>2</v>
      </c>
      <c r="AX128" s="21" t="str">
        <f t="shared" si="27"/>
        <v/>
      </c>
      <c r="AY128" s="21" t="str">
        <f>IF(AND($AM128&lt;&gt;"",$AS128&lt;&gt;"✓"),SUMPRODUCT(($AM$11:$AM128&lt;&gt;"")*($AS$11:$AS128&lt;&gt;"✓")),"")</f>
        <v/>
      </c>
      <c r="AZ128" s="21" t="str">
        <f>IF(AND($AM128&lt;&gt;"",$AS128="✓"),SUMPRODUCT(($AM$11:$AM128&lt;&gt;"")*($AS$11:$AS128="✓")),"")</f>
        <v/>
      </c>
      <c r="BA128" s="21" t="str">
        <f>IF($AL128="","",$AL128&amp;"|"&amp;COUNTIF($AL$11:$AL128,$AL128))</f>
        <v/>
      </c>
    </row>
    <row r="129" spans="2:53" ht="15" customHeight="1" x14ac:dyDescent="0.25">
      <c r="B129" s="5" t="str">
        <f t="shared" si="15"/>
        <v/>
      </c>
      <c r="C129" s="5"/>
      <c r="D129" s="5"/>
      <c r="E129" s="5"/>
      <c r="F129" s="6"/>
      <c r="G129" s="6"/>
      <c r="H129" s="7"/>
      <c r="I129" s="8"/>
      <c r="K129" s="9" t="str">
        <f>IFERROR(INDEX($AL$11:$AL$4010,MATCH(119,$AX$11:$AX$4010,0)),"")</f>
        <v/>
      </c>
      <c r="L129" s="10" t="str">
        <f t="shared" si="16"/>
        <v/>
      </c>
      <c r="M129" s="11" t="str">
        <f t="shared" si="17"/>
        <v/>
      </c>
      <c r="N129" s="11" t="str">
        <f t="shared" si="18"/>
        <v/>
      </c>
      <c r="P129" s="12" t="str">
        <f>IFERROR(INDEX($AM$11:$AM$4010,MATCH($S$8&amp;"|"&amp;119,$BA$11:$BA$4010,0)),"")</f>
        <v/>
      </c>
      <c r="Q129" s="11" t="str">
        <f>IF(P129="","",IFERROR(INDEX($AN$11:$AN$4010,MATCH($S$8&amp;"|"&amp;119,$BA$11:$BA$4010,0)),""))</f>
        <v/>
      </c>
      <c r="R129" s="11" t="str">
        <f>IF(P129="","",IFERROR(INDEX($AO$11:$AO$4010,MATCH($S$8&amp;"|"&amp;119,$BA$11:$BA$4010,0)),""))</f>
        <v/>
      </c>
      <c r="S129" s="10" t="str">
        <f>IF(P129="","",IFERROR(INDEX($AP$11:$AP$4010,MATCH($S$8&amp;"|"&amp;119,$BA$11:$BA$4010,0)),""))</f>
        <v/>
      </c>
      <c r="T129" s="10" t="str">
        <f>IF(P129="","",IFERROR(INDEX($AQ$11:$AQ$4010,MATCH($S$8&amp;"|"&amp;119,$BA$11:$BA$4010,0)),""))</f>
        <v/>
      </c>
      <c r="U129" s="39" t="str">
        <f t="shared" si="29"/>
        <v/>
      </c>
      <c r="W129" s="14" t="str">
        <f>IF(X129="","",IFERROR(INDEX($AL$11:$AL$4010,MATCH(119,$AY$11:$AY$4010,0)),""))</f>
        <v/>
      </c>
      <c r="X129" s="12" t="str">
        <f>IFERROR(INDEX($AM$11:$AM$4010,MATCH(119,$AY$11:$AY$4010,0)),"")</f>
        <v/>
      </c>
      <c r="Y129" s="11" t="str">
        <f>IF(X129="","",IFERROR(INDEX($AN$11:$AN$4010,MATCH(119,$AY$11:$AY$4010,0)),""))</f>
        <v/>
      </c>
      <c r="Z129" s="11" t="str">
        <f>IF(X129="","",IFERROR(INDEX($AO$11:$AO$4010,MATCH(119,$AY$11:$AY$4010,0)),""))</f>
        <v/>
      </c>
      <c r="AA129" s="10" t="str">
        <f>IF(X129="","",IFERROR(INDEX($AQ$11:$AQ$4010,MATCH(119,$AY$11:$AY$4010,0)),""))</f>
        <v/>
      </c>
      <c r="AB129" s="15" t="str">
        <f>IF(X129="","",IFERROR(INDEX($AR$11:$AR$4010,MATCH(119,$AY$11:$AY$4010,0)),""))</f>
        <v/>
      </c>
      <c r="AD129" s="16" t="str">
        <f>IF(AE129="","",IFERROR(INDEX($AL$11:$AL$4010,MATCH(119,$AZ$11:$AZ$4010,0)),""))</f>
        <v/>
      </c>
      <c r="AE129" s="12" t="str">
        <f>IFERROR(INDEX($AM$11:$AM$4010,MATCH(119,$AZ$11:$AZ$4010,0)),"")</f>
        <v/>
      </c>
      <c r="AF129" s="11" t="str">
        <f>IF(AE129="","",IFERROR(INDEX($AN$11:$AN$4010,MATCH(119,$AZ$11:$AZ$4010,0)),""))</f>
        <v/>
      </c>
      <c r="AG129" s="11" t="str">
        <f>IF(AE129="","",IFERROR(INDEX($AO$11:$AO$4010,MATCH(119,$AZ$11:$AZ$4010,0)),""))</f>
        <v/>
      </c>
      <c r="AH129" s="10" t="str">
        <f>IF(AE129="","",IFERROR(INDEX($AQ$11:$AQ$4010,MATCH(119,$AZ$11:$AZ$4010,0)),""))</f>
        <v/>
      </c>
      <c r="AI129" s="15" t="str">
        <f>IF(AE129="","",IFERROR(INDEX($AR$11:$AR$4010,MATCH(119,$AZ$11:$AZ$4010,0)),""))</f>
        <v/>
      </c>
      <c r="AJ129" s="15" t="str">
        <f>IF(AE129="","",IFERROR(INDEX($AT$11:$AT$4010,MATCH(119,$AZ$11:$AZ$4010,0)),""))</f>
        <v/>
      </c>
      <c r="AL129" s="17" t="str">
        <f t="shared" si="20"/>
        <v/>
      </c>
      <c r="AM129" s="12" t="str">
        <f t="shared" si="21"/>
        <v/>
      </c>
      <c r="AN129" s="18" t="str">
        <f t="shared" si="22"/>
        <v/>
      </c>
      <c r="AO129" s="18" t="str">
        <f t="shared" si="23"/>
        <v/>
      </c>
      <c r="AP129" s="10" t="str">
        <f t="shared" si="24"/>
        <v/>
      </c>
      <c r="AQ129" s="10" t="str">
        <f t="shared" si="25"/>
        <v/>
      </c>
      <c r="AR129" s="19" t="str">
        <f t="shared" si="26"/>
        <v/>
      </c>
      <c r="AS129" s="20"/>
      <c r="AT129" s="19"/>
      <c r="AV129" s="21">
        <f>IF(AND($AL129&lt;&gt;"",COUNTIF($AL$11:$AL129,$AL129)=1),1,0)</f>
        <v>0</v>
      </c>
      <c r="AW129" s="21">
        <f t="shared" si="28"/>
        <v>2</v>
      </c>
      <c r="AX129" s="21" t="str">
        <f t="shared" si="27"/>
        <v/>
      </c>
      <c r="AY129" s="21" t="str">
        <f>IF(AND($AM129&lt;&gt;"",$AS129&lt;&gt;"✓"),SUMPRODUCT(($AM$11:$AM129&lt;&gt;"")*($AS$11:$AS129&lt;&gt;"✓")),"")</f>
        <v/>
      </c>
      <c r="AZ129" s="21" t="str">
        <f>IF(AND($AM129&lt;&gt;"",$AS129="✓"),SUMPRODUCT(($AM$11:$AM129&lt;&gt;"")*($AS$11:$AS129="✓")),"")</f>
        <v/>
      </c>
      <c r="BA129" s="21" t="str">
        <f>IF($AL129="","",$AL129&amp;"|"&amp;COUNTIF($AL$11:$AL129,$AL129))</f>
        <v/>
      </c>
    </row>
    <row r="130" spans="2:53" ht="15" customHeight="1" x14ac:dyDescent="0.25">
      <c r="B130" s="5" t="str">
        <f t="shared" si="15"/>
        <v/>
      </c>
      <c r="C130" s="5"/>
      <c r="D130" s="5"/>
      <c r="E130" s="5"/>
      <c r="F130" s="6"/>
      <c r="G130" s="6"/>
      <c r="H130" s="7"/>
      <c r="I130" s="8"/>
      <c r="K130" s="23" t="str">
        <f>IFERROR(INDEX($AL$11:$AL$4010,MATCH(120,$AX$11:$AX$4010,0)),"")</f>
        <v/>
      </c>
      <c r="L130" s="24" t="str">
        <f t="shared" si="16"/>
        <v/>
      </c>
      <c r="M130" s="25" t="str">
        <f t="shared" si="17"/>
        <v/>
      </c>
      <c r="N130" s="25" t="str">
        <f t="shared" si="18"/>
        <v/>
      </c>
      <c r="P130" s="26" t="str">
        <f>IFERROR(INDEX($AM$11:$AM$4010,MATCH($S$8&amp;"|"&amp;120,$BA$11:$BA$4010,0)),"")</f>
        <v/>
      </c>
      <c r="Q130" s="25" t="str">
        <f>IF(P130="","",IFERROR(INDEX($AN$11:$AN$4010,MATCH($S$8&amp;"|"&amp;120,$BA$11:$BA$4010,0)),""))</f>
        <v/>
      </c>
      <c r="R130" s="25" t="str">
        <f>IF(P130="","",IFERROR(INDEX($AO$11:$AO$4010,MATCH($S$8&amp;"|"&amp;120,$BA$11:$BA$4010,0)),""))</f>
        <v/>
      </c>
      <c r="S130" s="24" t="str">
        <f>IF(P130="","",IFERROR(INDEX($AP$11:$AP$4010,MATCH($S$8&amp;"|"&amp;120,$BA$11:$BA$4010,0)),""))</f>
        <v/>
      </c>
      <c r="T130" s="24" t="str">
        <f>IF(P130="","",IFERROR(INDEX($AQ$11:$AQ$4010,MATCH($S$8&amp;"|"&amp;120,$BA$11:$BA$4010,0)),""))</f>
        <v/>
      </c>
      <c r="U130" s="38" t="str">
        <f t="shared" si="29"/>
        <v/>
      </c>
      <c r="W130" s="28" t="str">
        <f>IF(X130="","",IFERROR(INDEX($AL$11:$AL$4010,MATCH(120,$AY$11:$AY$4010,0)),""))</f>
        <v/>
      </c>
      <c r="X130" s="26" t="str">
        <f>IFERROR(INDEX($AM$11:$AM$4010,MATCH(120,$AY$11:$AY$4010,0)),"")</f>
        <v/>
      </c>
      <c r="Y130" s="25" t="str">
        <f>IF(X130="","",IFERROR(INDEX($AN$11:$AN$4010,MATCH(120,$AY$11:$AY$4010,0)),""))</f>
        <v/>
      </c>
      <c r="Z130" s="25" t="str">
        <f>IF(X130="","",IFERROR(INDEX($AO$11:$AO$4010,MATCH(120,$AY$11:$AY$4010,0)),""))</f>
        <v/>
      </c>
      <c r="AA130" s="24" t="str">
        <f>IF(X130="","",IFERROR(INDEX($AQ$11:$AQ$4010,MATCH(120,$AY$11:$AY$4010,0)),""))</f>
        <v/>
      </c>
      <c r="AB130" s="29" t="str">
        <f>IF(X130="","",IFERROR(INDEX($AR$11:$AR$4010,MATCH(120,$AY$11:$AY$4010,0)),""))</f>
        <v/>
      </c>
      <c r="AD130" s="30" t="str">
        <f>IF(AE130="","",IFERROR(INDEX($AL$11:$AL$4010,MATCH(120,$AZ$11:$AZ$4010,0)),""))</f>
        <v/>
      </c>
      <c r="AE130" s="26" t="str">
        <f>IFERROR(INDEX($AM$11:$AM$4010,MATCH(120,$AZ$11:$AZ$4010,0)),"")</f>
        <v/>
      </c>
      <c r="AF130" s="25" t="str">
        <f>IF(AE130="","",IFERROR(INDEX($AN$11:$AN$4010,MATCH(120,$AZ$11:$AZ$4010,0)),""))</f>
        <v/>
      </c>
      <c r="AG130" s="25" t="str">
        <f>IF(AE130="","",IFERROR(INDEX($AO$11:$AO$4010,MATCH(120,$AZ$11:$AZ$4010,0)),""))</f>
        <v/>
      </c>
      <c r="AH130" s="24" t="str">
        <f>IF(AE130="","",IFERROR(INDEX($AQ$11:$AQ$4010,MATCH(120,$AZ$11:$AZ$4010,0)),""))</f>
        <v/>
      </c>
      <c r="AI130" s="29" t="str">
        <f>IF(AE130="","",IFERROR(INDEX($AR$11:$AR$4010,MATCH(120,$AZ$11:$AZ$4010,0)),""))</f>
        <v/>
      </c>
      <c r="AJ130" s="29" t="str">
        <f>IF(AE130="","",IFERROR(INDEX($AT$11:$AT$4010,MATCH(120,$AZ$11:$AZ$4010,0)),""))</f>
        <v/>
      </c>
      <c r="AL130" s="31" t="str">
        <f t="shared" si="20"/>
        <v/>
      </c>
      <c r="AM130" s="26" t="str">
        <f t="shared" si="21"/>
        <v/>
      </c>
      <c r="AN130" s="32" t="str">
        <f t="shared" si="22"/>
        <v/>
      </c>
      <c r="AO130" s="32" t="str">
        <f t="shared" si="23"/>
        <v/>
      </c>
      <c r="AP130" s="24" t="str">
        <f t="shared" si="24"/>
        <v/>
      </c>
      <c r="AQ130" s="24" t="str">
        <f t="shared" si="25"/>
        <v/>
      </c>
      <c r="AR130" s="33" t="str">
        <f t="shared" si="26"/>
        <v/>
      </c>
      <c r="AS130" s="34"/>
      <c r="AT130" s="33"/>
      <c r="AV130" s="21">
        <f>IF(AND($AL130&lt;&gt;"",COUNTIF($AL$11:$AL130,$AL130)=1),1,0)</f>
        <v>0</v>
      </c>
      <c r="AW130" s="21">
        <f t="shared" si="28"/>
        <v>2</v>
      </c>
      <c r="AX130" s="21" t="str">
        <f t="shared" si="27"/>
        <v/>
      </c>
      <c r="AY130" s="21" t="str">
        <f>IF(AND($AM130&lt;&gt;"",$AS130&lt;&gt;"✓"),SUMPRODUCT(($AM$11:$AM130&lt;&gt;"")*($AS$11:$AS130&lt;&gt;"✓")),"")</f>
        <v/>
      </c>
      <c r="AZ130" s="21" t="str">
        <f>IF(AND($AM130&lt;&gt;"",$AS130="✓"),SUMPRODUCT(($AM$11:$AM130&lt;&gt;"")*($AS$11:$AS130="✓")),"")</f>
        <v/>
      </c>
      <c r="BA130" s="21" t="str">
        <f>IF($AL130="","",$AL130&amp;"|"&amp;COUNTIF($AL$11:$AL130,$AL130))</f>
        <v/>
      </c>
    </row>
    <row r="131" spans="2:53" ht="15" customHeight="1" x14ac:dyDescent="0.25">
      <c r="B131" s="5" t="str">
        <f t="shared" si="15"/>
        <v/>
      </c>
      <c r="C131" s="5"/>
      <c r="D131" s="5"/>
      <c r="E131" s="5"/>
      <c r="F131" s="6"/>
      <c r="G131" s="6"/>
      <c r="H131" s="7"/>
      <c r="I131" s="8"/>
      <c r="K131" s="9" t="str">
        <f>IFERROR(INDEX($AL$11:$AL$4010,MATCH(121,$AX$11:$AX$4010,0)),"")</f>
        <v/>
      </c>
      <c r="L131" s="10" t="str">
        <f t="shared" si="16"/>
        <v/>
      </c>
      <c r="M131" s="11" t="str">
        <f t="shared" si="17"/>
        <v/>
      </c>
      <c r="N131" s="11" t="str">
        <f t="shared" si="18"/>
        <v/>
      </c>
      <c r="P131" s="12" t="str">
        <f>IFERROR(INDEX($AM$11:$AM$4010,MATCH($S$8&amp;"|"&amp;121,$BA$11:$BA$4010,0)),"")</f>
        <v/>
      </c>
      <c r="Q131" s="11" t="str">
        <f>IF(P131="","",IFERROR(INDEX($AN$11:$AN$4010,MATCH($S$8&amp;"|"&amp;121,$BA$11:$BA$4010,0)),""))</f>
        <v/>
      </c>
      <c r="R131" s="11" t="str">
        <f>IF(P131="","",IFERROR(INDEX($AO$11:$AO$4010,MATCH($S$8&amp;"|"&amp;121,$BA$11:$BA$4010,0)),""))</f>
        <v/>
      </c>
      <c r="S131" s="10" t="str">
        <f>IF(P131="","",IFERROR(INDEX($AP$11:$AP$4010,MATCH($S$8&amp;"|"&amp;121,$BA$11:$BA$4010,0)),""))</f>
        <v/>
      </c>
      <c r="T131" s="10" t="str">
        <f>IF(P131="","",IFERROR(INDEX($AQ$11:$AQ$4010,MATCH($S$8&amp;"|"&amp;121,$BA$11:$BA$4010,0)),""))</f>
        <v/>
      </c>
      <c r="U131" s="39" t="str">
        <f t="shared" si="29"/>
        <v/>
      </c>
      <c r="W131" s="14" t="str">
        <f>IF(X131="","",IFERROR(INDEX($AL$11:$AL$4010,MATCH(121,$AY$11:$AY$4010,0)),""))</f>
        <v/>
      </c>
      <c r="X131" s="12" t="str">
        <f>IFERROR(INDEX($AM$11:$AM$4010,MATCH(121,$AY$11:$AY$4010,0)),"")</f>
        <v/>
      </c>
      <c r="Y131" s="11" t="str">
        <f>IF(X131="","",IFERROR(INDEX($AN$11:$AN$4010,MATCH(121,$AY$11:$AY$4010,0)),""))</f>
        <v/>
      </c>
      <c r="Z131" s="11" t="str">
        <f>IF(X131="","",IFERROR(INDEX($AO$11:$AO$4010,MATCH(121,$AY$11:$AY$4010,0)),""))</f>
        <v/>
      </c>
      <c r="AA131" s="10" t="str">
        <f>IF(X131="","",IFERROR(INDEX($AQ$11:$AQ$4010,MATCH(121,$AY$11:$AY$4010,0)),""))</f>
        <v/>
      </c>
      <c r="AB131" s="15" t="str">
        <f>IF(X131="","",IFERROR(INDEX($AR$11:$AR$4010,MATCH(121,$AY$11:$AY$4010,0)),""))</f>
        <v/>
      </c>
      <c r="AD131" s="16" t="str">
        <f>IF(AE131="","",IFERROR(INDEX($AL$11:$AL$4010,MATCH(121,$AZ$11:$AZ$4010,0)),""))</f>
        <v/>
      </c>
      <c r="AE131" s="12" t="str">
        <f>IFERROR(INDEX($AM$11:$AM$4010,MATCH(121,$AZ$11:$AZ$4010,0)),"")</f>
        <v/>
      </c>
      <c r="AF131" s="11" t="str">
        <f>IF(AE131="","",IFERROR(INDEX($AN$11:$AN$4010,MATCH(121,$AZ$11:$AZ$4010,0)),""))</f>
        <v/>
      </c>
      <c r="AG131" s="11" t="str">
        <f>IF(AE131="","",IFERROR(INDEX($AO$11:$AO$4010,MATCH(121,$AZ$11:$AZ$4010,0)),""))</f>
        <v/>
      </c>
      <c r="AH131" s="10" t="str">
        <f>IF(AE131="","",IFERROR(INDEX($AQ$11:$AQ$4010,MATCH(121,$AZ$11:$AZ$4010,0)),""))</f>
        <v/>
      </c>
      <c r="AI131" s="15" t="str">
        <f>IF(AE131="","",IFERROR(INDEX($AR$11:$AR$4010,MATCH(121,$AZ$11:$AZ$4010,0)),""))</f>
        <v/>
      </c>
      <c r="AJ131" s="15" t="str">
        <f>IF(AE131="","",IFERROR(INDEX($AT$11:$AT$4010,MATCH(121,$AZ$11:$AZ$4010,0)),""))</f>
        <v/>
      </c>
      <c r="AL131" s="17" t="str">
        <f t="shared" si="20"/>
        <v/>
      </c>
      <c r="AM131" s="12" t="str">
        <f t="shared" si="21"/>
        <v/>
      </c>
      <c r="AN131" s="18" t="str">
        <f t="shared" si="22"/>
        <v/>
      </c>
      <c r="AO131" s="18" t="str">
        <f t="shared" si="23"/>
        <v/>
      </c>
      <c r="AP131" s="10" t="str">
        <f t="shared" si="24"/>
        <v/>
      </c>
      <c r="AQ131" s="10" t="str">
        <f t="shared" si="25"/>
        <v/>
      </c>
      <c r="AR131" s="19" t="str">
        <f t="shared" si="26"/>
        <v/>
      </c>
      <c r="AS131" s="20"/>
      <c r="AT131" s="19"/>
      <c r="AV131" s="21">
        <f>IF(AND($AL131&lt;&gt;"",COUNTIF($AL$11:$AL131,$AL131)=1),1,0)</f>
        <v>0</v>
      </c>
      <c r="AW131" s="21">
        <f t="shared" si="28"/>
        <v>2</v>
      </c>
      <c r="AX131" s="21" t="str">
        <f t="shared" si="27"/>
        <v/>
      </c>
      <c r="AY131" s="21" t="str">
        <f>IF(AND($AM131&lt;&gt;"",$AS131&lt;&gt;"✓"),SUMPRODUCT(($AM$11:$AM131&lt;&gt;"")*($AS$11:$AS131&lt;&gt;"✓")),"")</f>
        <v/>
      </c>
      <c r="AZ131" s="21" t="str">
        <f>IF(AND($AM131&lt;&gt;"",$AS131="✓"),SUMPRODUCT(($AM$11:$AM131&lt;&gt;"")*($AS$11:$AS131="✓")),"")</f>
        <v/>
      </c>
      <c r="BA131" s="21" t="str">
        <f>IF($AL131="","",$AL131&amp;"|"&amp;COUNTIF($AL$11:$AL131,$AL131))</f>
        <v/>
      </c>
    </row>
    <row r="132" spans="2:53" ht="15" customHeight="1" x14ac:dyDescent="0.25">
      <c r="B132" s="5" t="str">
        <f t="shared" si="15"/>
        <v/>
      </c>
      <c r="C132" s="5"/>
      <c r="D132" s="5"/>
      <c r="E132" s="5"/>
      <c r="F132" s="6"/>
      <c r="G132" s="6"/>
      <c r="H132" s="7"/>
      <c r="I132" s="8"/>
      <c r="K132" s="23" t="str">
        <f>IFERROR(INDEX($AL$11:$AL$4010,MATCH(122,$AX$11:$AX$4010,0)),"")</f>
        <v/>
      </c>
      <c r="L132" s="24" t="str">
        <f t="shared" si="16"/>
        <v/>
      </c>
      <c r="M132" s="25" t="str">
        <f t="shared" si="17"/>
        <v/>
      </c>
      <c r="N132" s="25" t="str">
        <f t="shared" si="18"/>
        <v/>
      </c>
      <c r="P132" s="26" t="str">
        <f>IFERROR(INDEX($AM$11:$AM$4010,MATCH($S$8&amp;"|"&amp;122,$BA$11:$BA$4010,0)),"")</f>
        <v/>
      </c>
      <c r="Q132" s="25" t="str">
        <f>IF(P132="","",IFERROR(INDEX($AN$11:$AN$4010,MATCH($S$8&amp;"|"&amp;122,$BA$11:$BA$4010,0)),""))</f>
        <v/>
      </c>
      <c r="R132" s="25" t="str">
        <f>IF(P132="","",IFERROR(INDEX($AO$11:$AO$4010,MATCH($S$8&amp;"|"&amp;122,$BA$11:$BA$4010,0)),""))</f>
        <v/>
      </c>
      <c r="S132" s="24" t="str">
        <f>IF(P132="","",IFERROR(INDEX($AP$11:$AP$4010,MATCH($S$8&amp;"|"&amp;122,$BA$11:$BA$4010,0)),""))</f>
        <v/>
      </c>
      <c r="T132" s="24" t="str">
        <f>IF(P132="","",IFERROR(INDEX($AQ$11:$AQ$4010,MATCH($S$8&amp;"|"&amp;122,$BA$11:$BA$4010,0)),""))</f>
        <v/>
      </c>
      <c r="U132" s="38" t="str">
        <f t="shared" si="29"/>
        <v/>
      </c>
      <c r="W132" s="28" t="str">
        <f>IF(X132="","",IFERROR(INDEX($AL$11:$AL$4010,MATCH(122,$AY$11:$AY$4010,0)),""))</f>
        <v/>
      </c>
      <c r="X132" s="26" t="str">
        <f>IFERROR(INDEX($AM$11:$AM$4010,MATCH(122,$AY$11:$AY$4010,0)),"")</f>
        <v/>
      </c>
      <c r="Y132" s="25" t="str">
        <f>IF(X132="","",IFERROR(INDEX($AN$11:$AN$4010,MATCH(122,$AY$11:$AY$4010,0)),""))</f>
        <v/>
      </c>
      <c r="Z132" s="25" t="str">
        <f>IF(X132="","",IFERROR(INDEX($AO$11:$AO$4010,MATCH(122,$AY$11:$AY$4010,0)),""))</f>
        <v/>
      </c>
      <c r="AA132" s="24" t="str">
        <f>IF(X132="","",IFERROR(INDEX($AQ$11:$AQ$4010,MATCH(122,$AY$11:$AY$4010,0)),""))</f>
        <v/>
      </c>
      <c r="AB132" s="29" t="str">
        <f>IF(X132="","",IFERROR(INDEX($AR$11:$AR$4010,MATCH(122,$AY$11:$AY$4010,0)),""))</f>
        <v/>
      </c>
      <c r="AD132" s="30" t="str">
        <f>IF(AE132="","",IFERROR(INDEX($AL$11:$AL$4010,MATCH(122,$AZ$11:$AZ$4010,0)),""))</f>
        <v/>
      </c>
      <c r="AE132" s="26" t="str">
        <f>IFERROR(INDEX($AM$11:$AM$4010,MATCH(122,$AZ$11:$AZ$4010,0)),"")</f>
        <v/>
      </c>
      <c r="AF132" s="25" t="str">
        <f>IF(AE132="","",IFERROR(INDEX($AN$11:$AN$4010,MATCH(122,$AZ$11:$AZ$4010,0)),""))</f>
        <v/>
      </c>
      <c r="AG132" s="25" t="str">
        <f>IF(AE132="","",IFERROR(INDEX($AO$11:$AO$4010,MATCH(122,$AZ$11:$AZ$4010,0)),""))</f>
        <v/>
      </c>
      <c r="AH132" s="24" t="str">
        <f>IF(AE132="","",IFERROR(INDEX($AQ$11:$AQ$4010,MATCH(122,$AZ$11:$AZ$4010,0)),""))</f>
        <v/>
      </c>
      <c r="AI132" s="29" t="str">
        <f>IF(AE132="","",IFERROR(INDEX($AR$11:$AR$4010,MATCH(122,$AZ$11:$AZ$4010,0)),""))</f>
        <v/>
      </c>
      <c r="AJ132" s="29" t="str">
        <f>IF(AE132="","",IFERROR(INDEX($AT$11:$AT$4010,MATCH(122,$AZ$11:$AZ$4010,0)),""))</f>
        <v/>
      </c>
      <c r="AL132" s="31" t="str">
        <f t="shared" si="20"/>
        <v/>
      </c>
      <c r="AM132" s="26" t="str">
        <f t="shared" si="21"/>
        <v/>
      </c>
      <c r="AN132" s="32" t="str">
        <f t="shared" si="22"/>
        <v/>
      </c>
      <c r="AO132" s="32" t="str">
        <f t="shared" si="23"/>
        <v/>
      </c>
      <c r="AP132" s="24" t="str">
        <f t="shared" si="24"/>
        <v/>
      </c>
      <c r="AQ132" s="24" t="str">
        <f t="shared" si="25"/>
        <v/>
      </c>
      <c r="AR132" s="33" t="str">
        <f t="shared" si="26"/>
        <v/>
      </c>
      <c r="AS132" s="34"/>
      <c r="AT132" s="33"/>
      <c r="AV132" s="21">
        <f>IF(AND($AL132&lt;&gt;"",COUNTIF($AL$11:$AL132,$AL132)=1),1,0)</f>
        <v>0</v>
      </c>
      <c r="AW132" s="21">
        <f t="shared" si="28"/>
        <v>2</v>
      </c>
      <c r="AX132" s="21" t="str">
        <f t="shared" si="27"/>
        <v/>
      </c>
      <c r="AY132" s="21" t="str">
        <f>IF(AND($AM132&lt;&gt;"",$AS132&lt;&gt;"✓"),SUMPRODUCT(($AM$11:$AM132&lt;&gt;"")*($AS$11:$AS132&lt;&gt;"✓")),"")</f>
        <v/>
      </c>
      <c r="AZ132" s="21" t="str">
        <f>IF(AND($AM132&lt;&gt;"",$AS132="✓"),SUMPRODUCT(($AM$11:$AM132&lt;&gt;"")*($AS$11:$AS132="✓")),"")</f>
        <v/>
      </c>
      <c r="BA132" s="21" t="str">
        <f>IF($AL132="","",$AL132&amp;"|"&amp;COUNTIF($AL$11:$AL132,$AL132))</f>
        <v/>
      </c>
    </row>
    <row r="133" spans="2:53" ht="15" customHeight="1" x14ac:dyDescent="0.25">
      <c r="B133" s="5" t="str">
        <f t="shared" si="15"/>
        <v/>
      </c>
      <c r="C133" s="5"/>
      <c r="D133" s="5"/>
      <c r="E133" s="5"/>
      <c r="F133" s="6"/>
      <c r="G133" s="6"/>
      <c r="H133" s="7"/>
      <c r="I133" s="8"/>
      <c r="K133" s="9" t="str">
        <f>IFERROR(INDEX($AL$11:$AL$4010,MATCH(123,$AX$11:$AX$4010,0)),"")</f>
        <v/>
      </c>
      <c r="L133" s="10" t="str">
        <f t="shared" si="16"/>
        <v/>
      </c>
      <c r="M133" s="11" t="str">
        <f t="shared" si="17"/>
        <v/>
      </c>
      <c r="N133" s="11" t="str">
        <f t="shared" si="18"/>
        <v/>
      </c>
      <c r="P133" s="12" t="str">
        <f>IFERROR(INDEX($AM$11:$AM$4010,MATCH($S$8&amp;"|"&amp;123,$BA$11:$BA$4010,0)),"")</f>
        <v/>
      </c>
      <c r="Q133" s="11" t="str">
        <f>IF(P133="","",IFERROR(INDEX($AN$11:$AN$4010,MATCH($S$8&amp;"|"&amp;123,$BA$11:$BA$4010,0)),""))</f>
        <v/>
      </c>
      <c r="R133" s="11" t="str">
        <f>IF(P133="","",IFERROR(INDEX($AO$11:$AO$4010,MATCH($S$8&amp;"|"&amp;123,$BA$11:$BA$4010,0)),""))</f>
        <v/>
      </c>
      <c r="S133" s="10" t="str">
        <f>IF(P133="","",IFERROR(INDEX($AP$11:$AP$4010,MATCH($S$8&amp;"|"&amp;123,$BA$11:$BA$4010,0)),""))</f>
        <v/>
      </c>
      <c r="T133" s="10" t="str">
        <f>IF(P133="","",IFERROR(INDEX($AQ$11:$AQ$4010,MATCH($S$8&amp;"|"&amp;123,$BA$11:$BA$4010,0)),""))</f>
        <v/>
      </c>
      <c r="U133" s="39" t="str">
        <f t="shared" si="29"/>
        <v/>
      </c>
      <c r="W133" s="14" t="str">
        <f>IF(X133="","",IFERROR(INDEX($AL$11:$AL$4010,MATCH(123,$AY$11:$AY$4010,0)),""))</f>
        <v/>
      </c>
      <c r="X133" s="12" t="str">
        <f>IFERROR(INDEX($AM$11:$AM$4010,MATCH(123,$AY$11:$AY$4010,0)),"")</f>
        <v/>
      </c>
      <c r="Y133" s="11" t="str">
        <f>IF(X133="","",IFERROR(INDEX($AN$11:$AN$4010,MATCH(123,$AY$11:$AY$4010,0)),""))</f>
        <v/>
      </c>
      <c r="Z133" s="11" t="str">
        <f>IF(X133="","",IFERROR(INDEX($AO$11:$AO$4010,MATCH(123,$AY$11:$AY$4010,0)),""))</f>
        <v/>
      </c>
      <c r="AA133" s="10" t="str">
        <f>IF(X133="","",IFERROR(INDEX($AQ$11:$AQ$4010,MATCH(123,$AY$11:$AY$4010,0)),""))</f>
        <v/>
      </c>
      <c r="AB133" s="15" t="str">
        <f>IF(X133="","",IFERROR(INDEX($AR$11:$AR$4010,MATCH(123,$AY$11:$AY$4010,0)),""))</f>
        <v/>
      </c>
      <c r="AD133" s="16" t="str">
        <f>IF(AE133="","",IFERROR(INDEX($AL$11:$AL$4010,MATCH(123,$AZ$11:$AZ$4010,0)),""))</f>
        <v/>
      </c>
      <c r="AE133" s="12" t="str">
        <f>IFERROR(INDEX($AM$11:$AM$4010,MATCH(123,$AZ$11:$AZ$4010,0)),"")</f>
        <v/>
      </c>
      <c r="AF133" s="11" t="str">
        <f>IF(AE133="","",IFERROR(INDEX($AN$11:$AN$4010,MATCH(123,$AZ$11:$AZ$4010,0)),""))</f>
        <v/>
      </c>
      <c r="AG133" s="11" t="str">
        <f>IF(AE133="","",IFERROR(INDEX($AO$11:$AO$4010,MATCH(123,$AZ$11:$AZ$4010,0)),""))</f>
        <v/>
      </c>
      <c r="AH133" s="10" t="str">
        <f>IF(AE133="","",IFERROR(INDEX($AQ$11:$AQ$4010,MATCH(123,$AZ$11:$AZ$4010,0)),""))</f>
        <v/>
      </c>
      <c r="AI133" s="15" t="str">
        <f>IF(AE133="","",IFERROR(INDEX($AR$11:$AR$4010,MATCH(123,$AZ$11:$AZ$4010,0)),""))</f>
        <v/>
      </c>
      <c r="AJ133" s="15" t="str">
        <f>IF(AE133="","",IFERROR(INDEX($AT$11:$AT$4010,MATCH(123,$AZ$11:$AZ$4010,0)),""))</f>
        <v/>
      </c>
      <c r="AL133" s="17" t="str">
        <f t="shared" si="20"/>
        <v/>
      </c>
      <c r="AM133" s="12" t="str">
        <f t="shared" si="21"/>
        <v/>
      </c>
      <c r="AN133" s="18" t="str">
        <f t="shared" si="22"/>
        <v/>
      </c>
      <c r="AO133" s="18" t="str">
        <f t="shared" si="23"/>
        <v/>
      </c>
      <c r="AP133" s="10" t="str">
        <f t="shared" si="24"/>
        <v/>
      </c>
      <c r="AQ133" s="10" t="str">
        <f t="shared" si="25"/>
        <v/>
      </c>
      <c r="AR133" s="19" t="str">
        <f t="shared" si="26"/>
        <v/>
      </c>
      <c r="AS133" s="20"/>
      <c r="AT133" s="19"/>
      <c r="AV133" s="21">
        <f>IF(AND($AL133&lt;&gt;"",COUNTIF($AL$11:$AL133,$AL133)=1),1,0)</f>
        <v>0</v>
      </c>
      <c r="AW133" s="21">
        <f t="shared" si="28"/>
        <v>2</v>
      </c>
      <c r="AX133" s="21" t="str">
        <f t="shared" si="27"/>
        <v/>
      </c>
      <c r="AY133" s="21" t="str">
        <f>IF(AND($AM133&lt;&gt;"",$AS133&lt;&gt;"✓"),SUMPRODUCT(($AM$11:$AM133&lt;&gt;"")*($AS$11:$AS133&lt;&gt;"✓")),"")</f>
        <v/>
      </c>
      <c r="AZ133" s="21" t="str">
        <f>IF(AND($AM133&lt;&gt;"",$AS133="✓"),SUMPRODUCT(($AM$11:$AM133&lt;&gt;"")*($AS$11:$AS133="✓")),"")</f>
        <v/>
      </c>
      <c r="BA133" s="21" t="str">
        <f>IF($AL133="","",$AL133&amp;"|"&amp;COUNTIF($AL$11:$AL133,$AL133))</f>
        <v/>
      </c>
    </row>
    <row r="134" spans="2:53" ht="15" customHeight="1" x14ac:dyDescent="0.25">
      <c r="B134" s="5" t="str">
        <f t="shared" si="15"/>
        <v/>
      </c>
      <c r="C134" s="5"/>
      <c r="D134" s="5"/>
      <c r="E134" s="5"/>
      <c r="F134" s="6"/>
      <c r="G134" s="6"/>
      <c r="H134" s="7"/>
      <c r="I134" s="8"/>
      <c r="K134" s="23" t="str">
        <f>IFERROR(INDEX($AL$11:$AL$4010,MATCH(124,$AX$11:$AX$4010,0)),"")</f>
        <v/>
      </c>
      <c r="L134" s="24" t="str">
        <f t="shared" si="16"/>
        <v/>
      </c>
      <c r="M134" s="25" t="str">
        <f t="shared" si="17"/>
        <v/>
      </c>
      <c r="N134" s="25" t="str">
        <f t="shared" si="18"/>
        <v/>
      </c>
      <c r="P134" s="26" t="str">
        <f>IFERROR(INDEX($AM$11:$AM$4010,MATCH($S$8&amp;"|"&amp;124,$BA$11:$BA$4010,0)),"")</f>
        <v/>
      </c>
      <c r="Q134" s="25" t="str">
        <f>IF(P134="","",IFERROR(INDEX($AN$11:$AN$4010,MATCH($S$8&amp;"|"&amp;124,$BA$11:$BA$4010,0)),""))</f>
        <v/>
      </c>
      <c r="R134" s="25" t="str">
        <f>IF(P134="","",IFERROR(INDEX($AO$11:$AO$4010,MATCH($S$8&amp;"|"&amp;124,$BA$11:$BA$4010,0)),""))</f>
        <v/>
      </c>
      <c r="S134" s="24" t="str">
        <f>IF(P134="","",IFERROR(INDEX($AP$11:$AP$4010,MATCH($S$8&amp;"|"&amp;124,$BA$11:$BA$4010,0)),""))</f>
        <v/>
      </c>
      <c r="T134" s="24" t="str">
        <f>IF(P134="","",IFERROR(INDEX($AQ$11:$AQ$4010,MATCH($S$8&amp;"|"&amp;124,$BA$11:$BA$4010,0)),""))</f>
        <v/>
      </c>
      <c r="U134" s="38" t="str">
        <f t="shared" si="29"/>
        <v/>
      </c>
      <c r="W134" s="28" t="str">
        <f>IF(X134="","",IFERROR(INDEX($AL$11:$AL$4010,MATCH(124,$AY$11:$AY$4010,0)),""))</f>
        <v/>
      </c>
      <c r="X134" s="26" t="str">
        <f>IFERROR(INDEX($AM$11:$AM$4010,MATCH(124,$AY$11:$AY$4010,0)),"")</f>
        <v/>
      </c>
      <c r="Y134" s="25" t="str">
        <f>IF(X134="","",IFERROR(INDEX($AN$11:$AN$4010,MATCH(124,$AY$11:$AY$4010,0)),""))</f>
        <v/>
      </c>
      <c r="Z134" s="25" t="str">
        <f>IF(X134="","",IFERROR(INDEX($AO$11:$AO$4010,MATCH(124,$AY$11:$AY$4010,0)),""))</f>
        <v/>
      </c>
      <c r="AA134" s="24" t="str">
        <f>IF(X134="","",IFERROR(INDEX($AQ$11:$AQ$4010,MATCH(124,$AY$11:$AY$4010,0)),""))</f>
        <v/>
      </c>
      <c r="AB134" s="29" t="str">
        <f>IF(X134="","",IFERROR(INDEX($AR$11:$AR$4010,MATCH(124,$AY$11:$AY$4010,0)),""))</f>
        <v/>
      </c>
      <c r="AD134" s="30" t="str">
        <f>IF(AE134="","",IFERROR(INDEX($AL$11:$AL$4010,MATCH(124,$AZ$11:$AZ$4010,0)),""))</f>
        <v/>
      </c>
      <c r="AE134" s="26" t="str">
        <f>IFERROR(INDEX($AM$11:$AM$4010,MATCH(124,$AZ$11:$AZ$4010,0)),"")</f>
        <v/>
      </c>
      <c r="AF134" s="25" t="str">
        <f>IF(AE134="","",IFERROR(INDEX($AN$11:$AN$4010,MATCH(124,$AZ$11:$AZ$4010,0)),""))</f>
        <v/>
      </c>
      <c r="AG134" s="25" t="str">
        <f>IF(AE134="","",IFERROR(INDEX($AO$11:$AO$4010,MATCH(124,$AZ$11:$AZ$4010,0)),""))</f>
        <v/>
      </c>
      <c r="AH134" s="24" t="str">
        <f>IF(AE134="","",IFERROR(INDEX($AQ$11:$AQ$4010,MATCH(124,$AZ$11:$AZ$4010,0)),""))</f>
        <v/>
      </c>
      <c r="AI134" s="29" t="str">
        <f>IF(AE134="","",IFERROR(INDEX($AR$11:$AR$4010,MATCH(124,$AZ$11:$AZ$4010,0)),""))</f>
        <v/>
      </c>
      <c r="AJ134" s="29" t="str">
        <f>IF(AE134="","",IFERROR(INDEX($AT$11:$AT$4010,MATCH(124,$AZ$11:$AZ$4010,0)),""))</f>
        <v/>
      </c>
      <c r="AL134" s="31" t="str">
        <f t="shared" si="20"/>
        <v/>
      </c>
      <c r="AM134" s="26" t="str">
        <f t="shared" si="21"/>
        <v/>
      </c>
      <c r="AN134" s="32" t="str">
        <f t="shared" si="22"/>
        <v/>
      </c>
      <c r="AO134" s="32" t="str">
        <f t="shared" si="23"/>
        <v/>
      </c>
      <c r="AP134" s="24" t="str">
        <f t="shared" si="24"/>
        <v/>
      </c>
      <c r="AQ134" s="24" t="str">
        <f t="shared" si="25"/>
        <v/>
      </c>
      <c r="AR134" s="33" t="str">
        <f t="shared" si="26"/>
        <v/>
      </c>
      <c r="AS134" s="34"/>
      <c r="AT134" s="33"/>
      <c r="AV134" s="21">
        <f>IF(AND($AL134&lt;&gt;"",COUNTIF($AL$11:$AL134,$AL134)=1),1,0)</f>
        <v>0</v>
      </c>
      <c r="AW134" s="21">
        <f t="shared" si="28"/>
        <v>2</v>
      </c>
      <c r="AX134" s="21" t="str">
        <f t="shared" si="27"/>
        <v/>
      </c>
      <c r="AY134" s="21" t="str">
        <f>IF(AND($AM134&lt;&gt;"",$AS134&lt;&gt;"✓"),SUMPRODUCT(($AM$11:$AM134&lt;&gt;"")*($AS$11:$AS134&lt;&gt;"✓")),"")</f>
        <v/>
      </c>
      <c r="AZ134" s="21" t="str">
        <f>IF(AND($AM134&lt;&gt;"",$AS134="✓"),SUMPRODUCT(($AM$11:$AM134&lt;&gt;"")*($AS$11:$AS134="✓")),"")</f>
        <v/>
      </c>
      <c r="BA134" s="21" t="str">
        <f>IF($AL134="","",$AL134&amp;"|"&amp;COUNTIF($AL$11:$AL134,$AL134))</f>
        <v/>
      </c>
    </row>
    <row r="135" spans="2:53" ht="15" customHeight="1" x14ac:dyDescent="0.25">
      <c r="B135" s="5" t="str">
        <f t="shared" si="15"/>
        <v/>
      </c>
      <c r="C135" s="5"/>
      <c r="D135" s="5"/>
      <c r="E135" s="5"/>
      <c r="F135" s="6"/>
      <c r="G135" s="6"/>
      <c r="H135" s="7"/>
      <c r="I135" s="8"/>
      <c r="K135" s="9" t="str">
        <f>IFERROR(INDEX($AL$11:$AL$4010,MATCH(125,$AX$11:$AX$4010,0)),"")</f>
        <v/>
      </c>
      <c r="L135" s="10" t="str">
        <f t="shared" si="16"/>
        <v/>
      </c>
      <c r="M135" s="11" t="str">
        <f t="shared" si="17"/>
        <v/>
      </c>
      <c r="N135" s="11" t="str">
        <f t="shared" si="18"/>
        <v/>
      </c>
      <c r="P135" s="12" t="str">
        <f>IFERROR(INDEX($AM$11:$AM$4010,MATCH($S$8&amp;"|"&amp;125,$BA$11:$BA$4010,0)),"")</f>
        <v/>
      </c>
      <c r="Q135" s="11" t="str">
        <f>IF(P135="","",IFERROR(INDEX($AN$11:$AN$4010,MATCH($S$8&amp;"|"&amp;125,$BA$11:$BA$4010,0)),""))</f>
        <v/>
      </c>
      <c r="R135" s="11" t="str">
        <f>IF(P135="","",IFERROR(INDEX($AO$11:$AO$4010,MATCH($S$8&amp;"|"&amp;125,$BA$11:$BA$4010,0)),""))</f>
        <v/>
      </c>
      <c r="S135" s="10" t="str">
        <f>IF(P135="","",IFERROR(INDEX($AP$11:$AP$4010,MATCH($S$8&amp;"|"&amp;125,$BA$11:$BA$4010,0)),""))</f>
        <v/>
      </c>
      <c r="T135" s="10" t="str">
        <f>IF(P135="","",IFERROR(INDEX($AQ$11:$AQ$4010,MATCH($S$8&amp;"|"&amp;125,$BA$11:$BA$4010,0)),""))</f>
        <v/>
      </c>
      <c r="U135" s="39" t="str">
        <f t="shared" si="29"/>
        <v/>
      </c>
      <c r="W135" s="14" t="str">
        <f>IF(X135="","",IFERROR(INDEX($AL$11:$AL$4010,MATCH(125,$AY$11:$AY$4010,0)),""))</f>
        <v/>
      </c>
      <c r="X135" s="12" t="str">
        <f>IFERROR(INDEX($AM$11:$AM$4010,MATCH(125,$AY$11:$AY$4010,0)),"")</f>
        <v/>
      </c>
      <c r="Y135" s="11" t="str">
        <f>IF(X135="","",IFERROR(INDEX($AN$11:$AN$4010,MATCH(125,$AY$11:$AY$4010,0)),""))</f>
        <v/>
      </c>
      <c r="Z135" s="11" t="str">
        <f>IF(X135="","",IFERROR(INDEX($AO$11:$AO$4010,MATCH(125,$AY$11:$AY$4010,0)),""))</f>
        <v/>
      </c>
      <c r="AA135" s="10" t="str">
        <f>IF(X135="","",IFERROR(INDEX($AQ$11:$AQ$4010,MATCH(125,$AY$11:$AY$4010,0)),""))</f>
        <v/>
      </c>
      <c r="AB135" s="15" t="str">
        <f>IF(X135="","",IFERROR(INDEX($AR$11:$AR$4010,MATCH(125,$AY$11:$AY$4010,0)),""))</f>
        <v/>
      </c>
      <c r="AD135" s="16" t="str">
        <f>IF(AE135="","",IFERROR(INDEX($AL$11:$AL$4010,MATCH(125,$AZ$11:$AZ$4010,0)),""))</f>
        <v/>
      </c>
      <c r="AE135" s="12" t="str">
        <f>IFERROR(INDEX($AM$11:$AM$4010,MATCH(125,$AZ$11:$AZ$4010,0)),"")</f>
        <v/>
      </c>
      <c r="AF135" s="11" t="str">
        <f>IF(AE135="","",IFERROR(INDEX($AN$11:$AN$4010,MATCH(125,$AZ$11:$AZ$4010,0)),""))</f>
        <v/>
      </c>
      <c r="AG135" s="11" t="str">
        <f>IF(AE135="","",IFERROR(INDEX($AO$11:$AO$4010,MATCH(125,$AZ$11:$AZ$4010,0)),""))</f>
        <v/>
      </c>
      <c r="AH135" s="10" t="str">
        <f>IF(AE135="","",IFERROR(INDEX($AQ$11:$AQ$4010,MATCH(125,$AZ$11:$AZ$4010,0)),""))</f>
        <v/>
      </c>
      <c r="AI135" s="15" t="str">
        <f>IF(AE135="","",IFERROR(INDEX($AR$11:$AR$4010,MATCH(125,$AZ$11:$AZ$4010,0)),""))</f>
        <v/>
      </c>
      <c r="AJ135" s="15" t="str">
        <f>IF(AE135="","",IFERROR(INDEX($AT$11:$AT$4010,MATCH(125,$AZ$11:$AZ$4010,0)),""))</f>
        <v/>
      </c>
      <c r="AL135" s="17" t="str">
        <f t="shared" si="20"/>
        <v/>
      </c>
      <c r="AM135" s="12" t="str">
        <f t="shared" si="21"/>
        <v/>
      </c>
      <c r="AN135" s="18" t="str">
        <f t="shared" si="22"/>
        <v/>
      </c>
      <c r="AO135" s="18" t="str">
        <f t="shared" si="23"/>
        <v/>
      </c>
      <c r="AP135" s="10" t="str">
        <f t="shared" si="24"/>
        <v/>
      </c>
      <c r="AQ135" s="10" t="str">
        <f t="shared" si="25"/>
        <v/>
      </c>
      <c r="AR135" s="19" t="str">
        <f t="shared" si="26"/>
        <v/>
      </c>
      <c r="AS135" s="20"/>
      <c r="AT135" s="19"/>
      <c r="AV135" s="21">
        <f>IF(AND($AL135&lt;&gt;"",COUNTIF($AL$11:$AL135,$AL135)=1),1,0)</f>
        <v>0</v>
      </c>
      <c r="AW135" s="21">
        <f t="shared" si="28"/>
        <v>2</v>
      </c>
      <c r="AX135" s="21" t="str">
        <f t="shared" si="27"/>
        <v/>
      </c>
      <c r="AY135" s="21" t="str">
        <f>IF(AND($AM135&lt;&gt;"",$AS135&lt;&gt;"✓"),SUMPRODUCT(($AM$11:$AM135&lt;&gt;"")*($AS$11:$AS135&lt;&gt;"✓")),"")</f>
        <v/>
      </c>
      <c r="AZ135" s="21" t="str">
        <f>IF(AND($AM135&lt;&gt;"",$AS135="✓"),SUMPRODUCT(($AM$11:$AM135&lt;&gt;"")*($AS$11:$AS135="✓")),"")</f>
        <v/>
      </c>
      <c r="BA135" s="21" t="str">
        <f>IF($AL135="","",$AL135&amp;"|"&amp;COUNTIF($AL$11:$AL135,$AL135))</f>
        <v/>
      </c>
    </row>
    <row r="136" spans="2:53" ht="15" customHeight="1" x14ac:dyDescent="0.25">
      <c r="B136" s="5" t="str">
        <f t="shared" si="15"/>
        <v/>
      </c>
      <c r="C136" s="5"/>
      <c r="D136" s="5"/>
      <c r="E136" s="5"/>
      <c r="F136" s="6"/>
      <c r="G136" s="6"/>
      <c r="H136" s="7"/>
      <c r="I136" s="8"/>
      <c r="K136" s="23" t="str">
        <f>IFERROR(INDEX($AL$11:$AL$4010,MATCH(126,$AX$11:$AX$4010,0)),"")</f>
        <v/>
      </c>
      <c r="L136" s="24" t="str">
        <f t="shared" si="16"/>
        <v/>
      </c>
      <c r="M136" s="25" t="str">
        <f t="shared" si="17"/>
        <v/>
      </c>
      <c r="N136" s="25" t="str">
        <f t="shared" si="18"/>
        <v/>
      </c>
      <c r="P136" s="26" t="str">
        <f>IFERROR(INDEX($AM$11:$AM$4010,MATCH($S$8&amp;"|"&amp;126,$BA$11:$BA$4010,0)),"")</f>
        <v/>
      </c>
      <c r="Q136" s="25" t="str">
        <f>IF(P136="","",IFERROR(INDEX($AN$11:$AN$4010,MATCH($S$8&amp;"|"&amp;126,$BA$11:$BA$4010,0)),""))</f>
        <v/>
      </c>
      <c r="R136" s="25" t="str">
        <f>IF(P136="","",IFERROR(INDEX($AO$11:$AO$4010,MATCH($S$8&amp;"|"&amp;126,$BA$11:$BA$4010,0)),""))</f>
        <v/>
      </c>
      <c r="S136" s="24" t="str">
        <f>IF(P136="","",IFERROR(INDEX($AP$11:$AP$4010,MATCH($S$8&amp;"|"&amp;126,$BA$11:$BA$4010,0)),""))</f>
        <v/>
      </c>
      <c r="T136" s="24" t="str">
        <f>IF(P136="","",IFERROR(INDEX($AQ$11:$AQ$4010,MATCH($S$8&amp;"|"&amp;126,$BA$11:$BA$4010,0)),""))</f>
        <v/>
      </c>
      <c r="U136" s="38" t="str">
        <f t="shared" si="29"/>
        <v/>
      </c>
      <c r="W136" s="28" t="str">
        <f>IF(X136="","",IFERROR(INDEX($AL$11:$AL$4010,MATCH(126,$AY$11:$AY$4010,0)),""))</f>
        <v/>
      </c>
      <c r="X136" s="26" t="str">
        <f>IFERROR(INDEX($AM$11:$AM$4010,MATCH(126,$AY$11:$AY$4010,0)),"")</f>
        <v/>
      </c>
      <c r="Y136" s="25" t="str">
        <f>IF(X136="","",IFERROR(INDEX($AN$11:$AN$4010,MATCH(126,$AY$11:$AY$4010,0)),""))</f>
        <v/>
      </c>
      <c r="Z136" s="25" t="str">
        <f>IF(X136="","",IFERROR(INDEX($AO$11:$AO$4010,MATCH(126,$AY$11:$AY$4010,0)),""))</f>
        <v/>
      </c>
      <c r="AA136" s="24" t="str">
        <f>IF(X136="","",IFERROR(INDEX($AQ$11:$AQ$4010,MATCH(126,$AY$11:$AY$4010,0)),""))</f>
        <v/>
      </c>
      <c r="AB136" s="29" t="str">
        <f>IF(X136="","",IFERROR(INDEX($AR$11:$AR$4010,MATCH(126,$AY$11:$AY$4010,0)),""))</f>
        <v/>
      </c>
      <c r="AD136" s="30" t="str">
        <f>IF(AE136="","",IFERROR(INDEX($AL$11:$AL$4010,MATCH(126,$AZ$11:$AZ$4010,0)),""))</f>
        <v/>
      </c>
      <c r="AE136" s="26" t="str">
        <f>IFERROR(INDEX($AM$11:$AM$4010,MATCH(126,$AZ$11:$AZ$4010,0)),"")</f>
        <v/>
      </c>
      <c r="AF136" s="25" t="str">
        <f>IF(AE136="","",IFERROR(INDEX($AN$11:$AN$4010,MATCH(126,$AZ$11:$AZ$4010,0)),""))</f>
        <v/>
      </c>
      <c r="AG136" s="25" t="str">
        <f>IF(AE136="","",IFERROR(INDEX($AO$11:$AO$4010,MATCH(126,$AZ$11:$AZ$4010,0)),""))</f>
        <v/>
      </c>
      <c r="AH136" s="24" t="str">
        <f>IF(AE136="","",IFERROR(INDEX($AQ$11:$AQ$4010,MATCH(126,$AZ$11:$AZ$4010,0)),""))</f>
        <v/>
      </c>
      <c r="AI136" s="29" t="str">
        <f>IF(AE136="","",IFERROR(INDEX($AR$11:$AR$4010,MATCH(126,$AZ$11:$AZ$4010,0)),""))</f>
        <v/>
      </c>
      <c r="AJ136" s="29" t="str">
        <f>IF(AE136="","",IFERROR(INDEX($AT$11:$AT$4010,MATCH(126,$AZ$11:$AZ$4010,0)),""))</f>
        <v/>
      </c>
      <c r="AL136" s="31" t="str">
        <f t="shared" si="20"/>
        <v/>
      </c>
      <c r="AM136" s="26" t="str">
        <f t="shared" si="21"/>
        <v/>
      </c>
      <c r="AN136" s="32" t="str">
        <f t="shared" si="22"/>
        <v/>
      </c>
      <c r="AO136" s="32" t="str">
        <f t="shared" si="23"/>
        <v/>
      </c>
      <c r="AP136" s="24" t="str">
        <f t="shared" si="24"/>
        <v/>
      </c>
      <c r="AQ136" s="24" t="str">
        <f t="shared" si="25"/>
        <v/>
      </c>
      <c r="AR136" s="33" t="str">
        <f t="shared" si="26"/>
        <v/>
      </c>
      <c r="AS136" s="34"/>
      <c r="AT136" s="33"/>
      <c r="AV136" s="21">
        <f>IF(AND($AL136&lt;&gt;"",COUNTIF($AL$11:$AL136,$AL136)=1),1,0)</f>
        <v>0</v>
      </c>
      <c r="AW136" s="21">
        <f t="shared" si="28"/>
        <v>2</v>
      </c>
      <c r="AX136" s="21" t="str">
        <f t="shared" si="27"/>
        <v/>
      </c>
      <c r="AY136" s="21" t="str">
        <f>IF(AND($AM136&lt;&gt;"",$AS136&lt;&gt;"✓"),SUMPRODUCT(($AM$11:$AM136&lt;&gt;"")*($AS$11:$AS136&lt;&gt;"✓")),"")</f>
        <v/>
      </c>
      <c r="AZ136" s="21" t="str">
        <f>IF(AND($AM136&lt;&gt;"",$AS136="✓"),SUMPRODUCT(($AM$11:$AM136&lt;&gt;"")*($AS$11:$AS136="✓")),"")</f>
        <v/>
      </c>
      <c r="BA136" s="21" t="str">
        <f>IF($AL136="","",$AL136&amp;"|"&amp;COUNTIF($AL$11:$AL136,$AL136))</f>
        <v/>
      </c>
    </row>
    <row r="137" spans="2:53" ht="15" customHeight="1" x14ac:dyDescent="0.25">
      <c r="B137" s="5" t="str">
        <f t="shared" si="15"/>
        <v/>
      </c>
      <c r="C137" s="5"/>
      <c r="D137" s="5"/>
      <c r="E137" s="5"/>
      <c r="F137" s="6"/>
      <c r="G137" s="6"/>
      <c r="H137" s="7"/>
      <c r="I137" s="8"/>
      <c r="K137" s="9" t="str">
        <f>IFERROR(INDEX($AL$11:$AL$4010,MATCH(127,$AX$11:$AX$4010,0)),"")</f>
        <v/>
      </c>
      <c r="L137" s="10" t="str">
        <f t="shared" si="16"/>
        <v/>
      </c>
      <c r="M137" s="11" t="str">
        <f t="shared" si="17"/>
        <v/>
      </c>
      <c r="N137" s="11" t="str">
        <f t="shared" si="18"/>
        <v/>
      </c>
      <c r="P137" s="12" t="str">
        <f>IFERROR(INDEX($AM$11:$AM$4010,MATCH($S$8&amp;"|"&amp;127,$BA$11:$BA$4010,0)),"")</f>
        <v/>
      </c>
      <c r="Q137" s="11" t="str">
        <f>IF(P137="","",IFERROR(INDEX($AN$11:$AN$4010,MATCH($S$8&amp;"|"&amp;127,$BA$11:$BA$4010,0)),""))</f>
        <v/>
      </c>
      <c r="R137" s="11" t="str">
        <f>IF(P137="","",IFERROR(INDEX($AO$11:$AO$4010,MATCH($S$8&amp;"|"&amp;127,$BA$11:$BA$4010,0)),""))</f>
        <v/>
      </c>
      <c r="S137" s="10" t="str">
        <f>IF(P137="","",IFERROR(INDEX($AP$11:$AP$4010,MATCH($S$8&amp;"|"&amp;127,$BA$11:$BA$4010,0)),""))</f>
        <v/>
      </c>
      <c r="T137" s="10" t="str">
        <f>IF(P137="","",IFERROR(INDEX($AQ$11:$AQ$4010,MATCH($S$8&amp;"|"&amp;127,$BA$11:$BA$4010,0)),""))</f>
        <v/>
      </c>
      <c r="U137" s="39" t="str">
        <f t="shared" si="29"/>
        <v/>
      </c>
      <c r="W137" s="14" t="str">
        <f>IF(X137="","",IFERROR(INDEX($AL$11:$AL$4010,MATCH(127,$AY$11:$AY$4010,0)),""))</f>
        <v/>
      </c>
      <c r="X137" s="12" t="str">
        <f>IFERROR(INDEX($AM$11:$AM$4010,MATCH(127,$AY$11:$AY$4010,0)),"")</f>
        <v/>
      </c>
      <c r="Y137" s="11" t="str">
        <f>IF(X137="","",IFERROR(INDEX($AN$11:$AN$4010,MATCH(127,$AY$11:$AY$4010,0)),""))</f>
        <v/>
      </c>
      <c r="Z137" s="11" t="str">
        <f>IF(X137="","",IFERROR(INDEX($AO$11:$AO$4010,MATCH(127,$AY$11:$AY$4010,0)),""))</f>
        <v/>
      </c>
      <c r="AA137" s="10" t="str">
        <f>IF(X137="","",IFERROR(INDEX($AQ$11:$AQ$4010,MATCH(127,$AY$11:$AY$4010,0)),""))</f>
        <v/>
      </c>
      <c r="AB137" s="15" t="str">
        <f>IF(X137="","",IFERROR(INDEX($AR$11:$AR$4010,MATCH(127,$AY$11:$AY$4010,0)),""))</f>
        <v/>
      </c>
      <c r="AD137" s="16" t="str">
        <f>IF(AE137="","",IFERROR(INDEX($AL$11:$AL$4010,MATCH(127,$AZ$11:$AZ$4010,0)),""))</f>
        <v/>
      </c>
      <c r="AE137" s="12" t="str">
        <f>IFERROR(INDEX($AM$11:$AM$4010,MATCH(127,$AZ$11:$AZ$4010,0)),"")</f>
        <v/>
      </c>
      <c r="AF137" s="11" t="str">
        <f>IF(AE137="","",IFERROR(INDEX($AN$11:$AN$4010,MATCH(127,$AZ$11:$AZ$4010,0)),""))</f>
        <v/>
      </c>
      <c r="AG137" s="11" t="str">
        <f>IF(AE137="","",IFERROR(INDEX($AO$11:$AO$4010,MATCH(127,$AZ$11:$AZ$4010,0)),""))</f>
        <v/>
      </c>
      <c r="AH137" s="10" t="str">
        <f>IF(AE137="","",IFERROR(INDEX($AQ$11:$AQ$4010,MATCH(127,$AZ$11:$AZ$4010,0)),""))</f>
        <v/>
      </c>
      <c r="AI137" s="15" t="str">
        <f>IF(AE137="","",IFERROR(INDEX($AR$11:$AR$4010,MATCH(127,$AZ$11:$AZ$4010,0)),""))</f>
        <v/>
      </c>
      <c r="AJ137" s="15" t="str">
        <f>IF(AE137="","",IFERROR(INDEX($AT$11:$AT$4010,MATCH(127,$AZ$11:$AZ$4010,0)),""))</f>
        <v/>
      </c>
      <c r="AL137" s="17" t="str">
        <f t="shared" si="20"/>
        <v/>
      </c>
      <c r="AM137" s="12" t="str">
        <f t="shared" si="21"/>
        <v/>
      </c>
      <c r="AN137" s="18" t="str">
        <f t="shared" si="22"/>
        <v/>
      </c>
      <c r="AO137" s="18" t="str">
        <f t="shared" si="23"/>
        <v/>
      </c>
      <c r="AP137" s="10" t="str">
        <f t="shared" si="24"/>
        <v/>
      </c>
      <c r="AQ137" s="10" t="str">
        <f t="shared" si="25"/>
        <v/>
      </c>
      <c r="AR137" s="19" t="str">
        <f t="shared" si="26"/>
        <v/>
      </c>
      <c r="AS137" s="20"/>
      <c r="AT137" s="19"/>
      <c r="AV137" s="21">
        <f>IF(AND($AL137&lt;&gt;"",COUNTIF($AL$11:$AL137,$AL137)=1),1,0)</f>
        <v>0</v>
      </c>
      <c r="AW137" s="21">
        <f t="shared" si="28"/>
        <v>2</v>
      </c>
      <c r="AX137" s="21" t="str">
        <f t="shared" si="27"/>
        <v/>
      </c>
      <c r="AY137" s="21" t="str">
        <f>IF(AND($AM137&lt;&gt;"",$AS137&lt;&gt;"✓"),SUMPRODUCT(($AM$11:$AM137&lt;&gt;"")*($AS$11:$AS137&lt;&gt;"✓")),"")</f>
        <v/>
      </c>
      <c r="AZ137" s="21" t="str">
        <f>IF(AND($AM137&lt;&gt;"",$AS137="✓"),SUMPRODUCT(($AM$11:$AM137&lt;&gt;"")*($AS$11:$AS137="✓")),"")</f>
        <v/>
      </c>
      <c r="BA137" s="21" t="str">
        <f>IF($AL137="","",$AL137&amp;"|"&amp;COUNTIF($AL$11:$AL137,$AL137))</f>
        <v/>
      </c>
    </row>
    <row r="138" spans="2:53" ht="15" customHeight="1" x14ac:dyDescent="0.25">
      <c r="B138" s="5" t="str">
        <f t="shared" si="15"/>
        <v/>
      </c>
      <c r="C138" s="5"/>
      <c r="D138" s="5"/>
      <c r="E138" s="5"/>
      <c r="F138" s="6"/>
      <c r="G138" s="6"/>
      <c r="H138" s="7"/>
      <c r="I138" s="8"/>
      <c r="K138" s="23" t="str">
        <f>IFERROR(INDEX($AL$11:$AL$4010,MATCH(128,$AX$11:$AX$4010,0)),"")</f>
        <v/>
      </c>
      <c r="L138" s="24" t="str">
        <f t="shared" si="16"/>
        <v/>
      </c>
      <c r="M138" s="25" t="str">
        <f t="shared" si="17"/>
        <v/>
      </c>
      <c r="N138" s="25" t="str">
        <f t="shared" si="18"/>
        <v/>
      </c>
      <c r="P138" s="26" t="str">
        <f>IFERROR(INDEX($AM$11:$AM$4010,MATCH($S$8&amp;"|"&amp;128,$BA$11:$BA$4010,0)),"")</f>
        <v/>
      </c>
      <c r="Q138" s="25" t="str">
        <f>IF(P138="","",IFERROR(INDEX($AN$11:$AN$4010,MATCH($S$8&amp;"|"&amp;128,$BA$11:$BA$4010,0)),""))</f>
        <v/>
      </c>
      <c r="R138" s="25" t="str">
        <f>IF(P138="","",IFERROR(INDEX($AO$11:$AO$4010,MATCH($S$8&amp;"|"&amp;128,$BA$11:$BA$4010,0)),""))</f>
        <v/>
      </c>
      <c r="S138" s="24" t="str">
        <f>IF(P138="","",IFERROR(INDEX($AP$11:$AP$4010,MATCH($S$8&amp;"|"&amp;128,$BA$11:$BA$4010,0)),""))</f>
        <v/>
      </c>
      <c r="T138" s="24" t="str">
        <f>IF(P138="","",IFERROR(INDEX($AQ$11:$AQ$4010,MATCH($S$8&amp;"|"&amp;128,$BA$11:$BA$4010,0)),""))</f>
        <v/>
      </c>
      <c r="U138" s="38" t="str">
        <f t="shared" si="29"/>
        <v/>
      </c>
      <c r="W138" s="28" t="str">
        <f>IF(X138="","",IFERROR(INDEX($AL$11:$AL$4010,MATCH(128,$AY$11:$AY$4010,0)),""))</f>
        <v/>
      </c>
      <c r="X138" s="26" t="str">
        <f>IFERROR(INDEX($AM$11:$AM$4010,MATCH(128,$AY$11:$AY$4010,0)),"")</f>
        <v/>
      </c>
      <c r="Y138" s="25" t="str">
        <f>IF(X138="","",IFERROR(INDEX($AN$11:$AN$4010,MATCH(128,$AY$11:$AY$4010,0)),""))</f>
        <v/>
      </c>
      <c r="Z138" s="25" t="str">
        <f>IF(X138="","",IFERROR(INDEX($AO$11:$AO$4010,MATCH(128,$AY$11:$AY$4010,0)),""))</f>
        <v/>
      </c>
      <c r="AA138" s="24" t="str">
        <f>IF(X138="","",IFERROR(INDEX($AQ$11:$AQ$4010,MATCH(128,$AY$11:$AY$4010,0)),""))</f>
        <v/>
      </c>
      <c r="AB138" s="29" t="str">
        <f>IF(X138="","",IFERROR(INDEX($AR$11:$AR$4010,MATCH(128,$AY$11:$AY$4010,0)),""))</f>
        <v/>
      </c>
      <c r="AD138" s="30" t="str">
        <f>IF(AE138="","",IFERROR(INDEX($AL$11:$AL$4010,MATCH(128,$AZ$11:$AZ$4010,0)),""))</f>
        <v/>
      </c>
      <c r="AE138" s="26" t="str">
        <f>IFERROR(INDEX($AM$11:$AM$4010,MATCH(128,$AZ$11:$AZ$4010,0)),"")</f>
        <v/>
      </c>
      <c r="AF138" s="25" t="str">
        <f>IF(AE138="","",IFERROR(INDEX($AN$11:$AN$4010,MATCH(128,$AZ$11:$AZ$4010,0)),""))</f>
        <v/>
      </c>
      <c r="AG138" s="25" t="str">
        <f>IF(AE138="","",IFERROR(INDEX($AO$11:$AO$4010,MATCH(128,$AZ$11:$AZ$4010,0)),""))</f>
        <v/>
      </c>
      <c r="AH138" s="24" t="str">
        <f>IF(AE138="","",IFERROR(INDEX($AQ$11:$AQ$4010,MATCH(128,$AZ$11:$AZ$4010,0)),""))</f>
        <v/>
      </c>
      <c r="AI138" s="29" t="str">
        <f>IF(AE138="","",IFERROR(INDEX($AR$11:$AR$4010,MATCH(128,$AZ$11:$AZ$4010,0)),""))</f>
        <v/>
      </c>
      <c r="AJ138" s="29" t="str">
        <f>IF(AE138="","",IFERROR(INDEX($AT$11:$AT$4010,MATCH(128,$AZ$11:$AZ$4010,0)),""))</f>
        <v/>
      </c>
      <c r="AL138" s="31" t="str">
        <f t="shared" si="20"/>
        <v/>
      </c>
      <c r="AM138" s="26" t="str">
        <f t="shared" si="21"/>
        <v/>
      </c>
      <c r="AN138" s="32" t="str">
        <f t="shared" si="22"/>
        <v/>
      </c>
      <c r="AO138" s="32" t="str">
        <f t="shared" si="23"/>
        <v/>
      </c>
      <c r="AP138" s="24" t="str">
        <f t="shared" si="24"/>
        <v/>
      </c>
      <c r="AQ138" s="24" t="str">
        <f t="shared" si="25"/>
        <v/>
      </c>
      <c r="AR138" s="33" t="str">
        <f t="shared" si="26"/>
        <v/>
      </c>
      <c r="AS138" s="34"/>
      <c r="AT138" s="33"/>
      <c r="AV138" s="21">
        <f>IF(AND($AL138&lt;&gt;"",COUNTIF($AL$11:$AL138,$AL138)=1),1,0)</f>
        <v>0</v>
      </c>
      <c r="AW138" s="21">
        <f t="shared" si="28"/>
        <v>2</v>
      </c>
      <c r="AX138" s="21" t="str">
        <f t="shared" si="27"/>
        <v/>
      </c>
      <c r="AY138" s="21" t="str">
        <f>IF(AND($AM138&lt;&gt;"",$AS138&lt;&gt;"✓"),SUMPRODUCT(($AM$11:$AM138&lt;&gt;"")*($AS$11:$AS138&lt;&gt;"✓")),"")</f>
        <v/>
      </c>
      <c r="AZ138" s="21" t="str">
        <f>IF(AND($AM138&lt;&gt;"",$AS138="✓"),SUMPRODUCT(($AM$11:$AM138&lt;&gt;"")*($AS$11:$AS138="✓")),"")</f>
        <v/>
      </c>
      <c r="BA138" s="21" t="str">
        <f>IF($AL138="","",$AL138&amp;"|"&amp;COUNTIF($AL$11:$AL138,$AL138))</f>
        <v/>
      </c>
    </row>
    <row r="139" spans="2:53" ht="15" customHeight="1" x14ac:dyDescent="0.25">
      <c r="B139" s="5" t="str">
        <f t="shared" ref="B139:B202" si="30">IF($C139="","",ROW()-10)</f>
        <v/>
      </c>
      <c r="C139" s="5"/>
      <c r="D139" s="5"/>
      <c r="E139" s="5"/>
      <c r="F139" s="6"/>
      <c r="G139" s="6"/>
      <c r="H139" s="7"/>
      <c r="I139" s="8"/>
      <c r="K139" s="9" t="str">
        <f>IFERROR(INDEX($AL$11:$AL$4010,MATCH(129,$AX$11:$AX$4010,0)),"")</f>
        <v/>
      </c>
      <c r="L139" s="10" t="str">
        <f t="shared" ref="L139:L202" si="31">IF(K139="","",COUNTIF($AL$11:$AL$4010,K139))</f>
        <v/>
      </c>
      <c r="M139" s="11" t="str">
        <f t="shared" ref="M139:M202" si="32">IF(K139="","",SUMIF($AL$11:$AL$4010,K139,$AN$11:$AN$4010))</f>
        <v/>
      </c>
      <c r="N139" s="11" t="str">
        <f t="shared" ref="N139:N202" si="33">IF(K139="","",SUMIF($AL$11:$AL$4010,K139,$AO$11:$AO$4010))</f>
        <v/>
      </c>
      <c r="P139" s="12" t="str">
        <f>IFERROR(INDEX($AM$11:$AM$4010,MATCH($S$8&amp;"|"&amp;129,$BA$11:$BA$4010,0)),"")</f>
        <v/>
      </c>
      <c r="Q139" s="11" t="str">
        <f>IF(P139="","",IFERROR(INDEX($AN$11:$AN$4010,MATCH($S$8&amp;"|"&amp;129,$BA$11:$BA$4010,0)),""))</f>
        <v/>
      </c>
      <c r="R139" s="11" t="str">
        <f>IF(P139="","",IFERROR(INDEX($AO$11:$AO$4010,MATCH($S$8&amp;"|"&amp;129,$BA$11:$BA$4010,0)),""))</f>
        <v/>
      </c>
      <c r="S139" s="10" t="str">
        <f>IF(P139="","",IFERROR(INDEX($AP$11:$AP$4010,MATCH($S$8&amp;"|"&amp;129,$BA$11:$BA$4010,0)),""))</f>
        <v/>
      </c>
      <c r="T139" s="10" t="str">
        <f>IF(P139="","",IFERROR(INDEX($AQ$11:$AQ$4010,MATCH($S$8&amp;"|"&amp;129,$BA$11:$BA$4010,0)),""))</f>
        <v/>
      </c>
      <c r="U139" s="39" t="str">
        <f t="shared" ref="U139:U170" si="34">IF(P139="","",$S$8)</f>
        <v/>
      </c>
      <c r="W139" s="14" t="str">
        <f>IF(X139="","",IFERROR(INDEX($AL$11:$AL$4010,MATCH(129,$AY$11:$AY$4010,0)),""))</f>
        <v/>
      </c>
      <c r="X139" s="12" t="str">
        <f>IFERROR(INDEX($AM$11:$AM$4010,MATCH(129,$AY$11:$AY$4010,0)),"")</f>
        <v/>
      </c>
      <c r="Y139" s="11" t="str">
        <f>IF(X139="","",IFERROR(INDEX($AN$11:$AN$4010,MATCH(129,$AY$11:$AY$4010,0)),""))</f>
        <v/>
      </c>
      <c r="Z139" s="11" t="str">
        <f>IF(X139="","",IFERROR(INDEX($AO$11:$AO$4010,MATCH(129,$AY$11:$AY$4010,0)),""))</f>
        <v/>
      </c>
      <c r="AA139" s="10" t="str">
        <f>IF(X139="","",IFERROR(INDEX($AQ$11:$AQ$4010,MATCH(129,$AY$11:$AY$4010,0)),""))</f>
        <v/>
      </c>
      <c r="AB139" s="15" t="str">
        <f>IF(X139="","",IFERROR(INDEX($AR$11:$AR$4010,MATCH(129,$AY$11:$AY$4010,0)),""))</f>
        <v/>
      </c>
      <c r="AD139" s="16" t="str">
        <f>IF(AE139="","",IFERROR(INDEX($AL$11:$AL$4010,MATCH(129,$AZ$11:$AZ$4010,0)),""))</f>
        <v/>
      </c>
      <c r="AE139" s="12" t="str">
        <f>IFERROR(INDEX($AM$11:$AM$4010,MATCH(129,$AZ$11:$AZ$4010,0)),"")</f>
        <v/>
      </c>
      <c r="AF139" s="11" t="str">
        <f>IF(AE139="","",IFERROR(INDEX($AN$11:$AN$4010,MATCH(129,$AZ$11:$AZ$4010,0)),""))</f>
        <v/>
      </c>
      <c r="AG139" s="11" t="str">
        <f>IF(AE139="","",IFERROR(INDEX($AO$11:$AO$4010,MATCH(129,$AZ$11:$AZ$4010,0)),""))</f>
        <v/>
      </c>
      <c r="AH139" s="10" t="str">
        <f>IF(AE139="","",IFERROR(INDEX($AQ$11:$AQ$4010,MATCH(129,$AZ$11:$AZ$4010,0)),""))</f>
        <v/>
      </c>
      <c r="AI139" s="15" t="str">
        <f>IF(AE139="","",IFERROR(INDEX($AR$11:$AR$4010,MATCH(129,$AZ$11:$AZ$4010,0)),""))</f>
        <v/>
      </c>
      <c r="AJ139" s="15" t="str">
        <f>IF(AE139="","",IFERROR(INDEX($AT$11:$AT$4010,MATCH(129,$AZ$11:$AZ$4010,0)),""))</f>
        <v/>
      </c>
      <c r="AL139" s="17" t="str">
        <f t="shared" ref="AL139:AL202" si="35">IF($C139="","",$I139)</f>
        <v/>
      </c>
      <c r="AM139" s="12" t="str">
        <f t="shared" ref="AM139:AM202" si="36">IF($C139="","",$C139)</f>
        <v/>
      </c>
      <c r="AN139" s="18" t="str">
        <f t="shared" ref="AN139:AN202" si="37">IF($C139="","",$F139)</f>
        <v/>
      </c>
      <c r="AO139" s="18" t="str">
        <f t="shared" ref="AO139:AO202" si="38">IF($C139="","",$G139)</f>
        <v/>
      </c>
      <c r="AP139" s="10" t="str">
        <f t="shared" ref="AP139:AP202" si="39">IF($C139="","",$D139)</f>
        <v/>
      </c>
      <c r="AQ139" s="10" t="str">
        <f t="shared" ref="AQ139:AQ202" si="40">IF($C139="","",$E139)</f>
        <v/>
      </c>
      <c r="AR139" s="19" t="str">
        <f t="shared" ref="AR139:AR202" si="41">IF($C139="","",$H139)</f>
        <v/>
      </c>
      <c r="AS139" s="20"/>
      <c r="AT139" s="19"/>
      <c r="AV139" s="21">
        <f>IF(AND($AL139&lt;&gt;"",COUNTIF($AL$11:$AL139,$AL139)=1),1,0)</f>
        <v>0</v>
      </c>
      <c r="AW139" s="21">
        <f t="shared" si="28"/>
        <v>2</v>
      </c>
      <c r="AX139" s="21" t="str">
        <f t="shared" ref="AX139:AX202" si="42">IF(AV139=1,AW139,"")</f>
        <v/>
      </c>
      <c r="AY139" s="21" t="str">
        <f>IF(AND($AM139&lt;&gt;"",$AS139&lt;&gt;"✓"),SUMPRODUCT(($AM$11:$AM139&lt;&gt;"")*($AS$11:$AS139&lt;&gt;"✓")),"")</f>
        <v/>
      </c>
      <c r="AZ139" s="21" t="str">
        <f>IF(AND($AM139&lt;&gt;"",$AS139="✓"),SUMPRODUCT(($AM$11:$AM139&lt;&gt;"")*($AS$11:$AS139="✓")),"")</f>
        <v/>
      </c>
      <c r="BA139" s="21" t="str">
        <f>IF($AL139="","",$AL139&amp;"|"&amp;COUNTIF($AL$11:$AL139,$AL139))</f>
        <v/>
      </c>
    </row>
    <row r="140" spans="2:53" ht="15" customHeight="1" x14ac:dyDescent="0.25">
      <c r="B140" s="5" t="str">
        <f t="shared" si="30"/>
        <v/>
      </c>
      <c r="C140" s="5"/>
      <c r="D140" s="5"/>
      <c r="E140" s="5"/>
      <c r="F140" s="6"/>
      <c r="G140" s="6"/>
      <c r="H140" s="7"/>
      <c r="I140" s="8"/>
      <c r="K140" s="23" t="str">
        <f>IFERROR(INDEX($AL$11:$AL$4010,MATCH(130,$AX$11:$AX$4010,0)),"")</f>
        <v/>
      </c>
      <c r="L140" s="24" t="str">
        <f t="shared" si="31"/>
        <v/>
      </c>
      <c r="M140" s="25" t="str">
        <f t="shared" si="32"/>
        <v/>
      </c>
      <c r="N140" s="25" t="str">
        <f t="shared" si="33"/>
        <v/>
      </c>
      <c r="P140" s="26" t="str">
        <f>IFERROR(INDEX($AM$11:$AM$4010,MATCH($S$8&amp;"|"&amp;130,$BA$11:$BA$4010,0)),"")</f>
        <v/>
      </c>
      <c r="Q140" s="25" t="str">
        <f>IF(P140="","",IFERROR(INDEX($AN$11:$AN$4010,MATCH($S$8&amp;"|"&amp;130,$BA$11:$BA$4010,0)),""))</f>
        <v/>
      </c>
      <c r="R140" s="25" t="str">
        <f>IF(P140="","",IFERROR(INDEX($AO$11:$AO$4010,MATCH($S$8&amp;"|"&amp;130,$BA$11:$BA$4010,0)),""))</f>
        <v/>
      </c>
      <c r="S140" s="24" t="str">
        <f>IF(P140="","",IFERROR(INDEX($AP$11:$AP$4010,MATCH($S$8&amp;"|"&amp;130,$BA$11:$BA$4010,0)),""))</f>
        <v/>
      </c>
      <c r="T140" s="24" t="str">
        <f>IF(P140="","",IFERROR(INDEX($AQ$11:$AQ$4010,MATCH($S$8&amp;"|"&amp;130,$BA$11:$BA$4010,0)),""))</f>
        <v/>
      </c>
      <c r="U140" s="38" t="str">
        <f t="shared" si="34"/>
        <v/>
      </c>
      <c r="W140" s="28" t="str">
        <f>IF(X140="","",IFERROR(INDEX($AL$11:$AL$4010,MATCH(130,$AY$11:$AY$4010,0)),""))</f>
        <v/>
      </c>
      <c r="X140" s="26" t="str">
        <f>IFERROR(INDEX($AM$11:$AM$4010,MATCH(130,$AY$11:$AY$4010,0)),"")</f>
        <v/>
      </c>
      <c r="Y140" s="25" t="str">
        <f>IF(X140="","",IFERROR(INDEX($AN$11:$AN$4010,MATCH(130,$AY$11:$AY$4010,0)),""))</f>
        <v/>
      </c>
      <c r="Z140" s="25" t="str">
        <f>IF(X140="","",IFERROR(INDEX($AO$11:$AO$4010,MATCH(130,$AY$11:$AY$4010,0)),""))</f>
        <v/>
      </c>
      <c r="AA140" s="24" t="str">
        <f>IF(X140="","",IFERROR(INDEX($AQ$11:$AQ$4010,MATCH(130,$AY$11:$AY$4010,0)),""))</f>
        <v/>
      </c>
      <c r="AB140" s="29" t="str">
        <f>IF(X140="","",IFERROR(INDEX($AR$11:$AR$4010,MATCH(130,$AY$11:$AY$4010,0)),""))</f>
        <v/>
      </c>
      <c r="AD140" s="30" t="str">
        <f>IF(AE140="","",IFERROR(INDEX($AL$11:$AL$4010,MATCH(130,$AZ$11:$AZ$4010,0)),""))</f>
        <v/>
      </c>
      <c r="AE140" s="26" t="str">
        <f>IFERROR(INDEX($AM$11:$AM$4010,MATCH(130,$AZ$11:$AZ$4010,0)),"")</f>
        <v/>
      </c>
      <c r="AF140" s="25" t="str">
        <f>IF(AE140="","",IFERROR(INDEX($AN$11:$AN$4010,MATCH(130,$AZ$11:$AZ$4010,0)),""))</f>
        <v/>
      </c>
      <c r="AG140" s="25" t="str">
        <f>IF(AE140="","",IFERROR(INDEX($AO$11:$AO$4010,MATCH(130,$AZ$11:$AZ$4010,0)),""))</f>
        <v/>
      </c>
      <c r="AH140" s="24" t="str">
        <f>IF(AE140="","",IFERROR(INDEX($AQ$11:$AQ$4010,MATCH(130,$AZ$11:$AZ$4010,0)),""))</f>
        <v/>
      </c>
      <c r="AI140" s="29" t="str">
        <f>IF(AE140="","",IFERROR(INDEX($AR$11:$AR$4010,MATCH(130,$AZ$11:$AZ$4010,0)),""))</f>
        <v/>
      </c>
      <c r="AJ140" s="29" t="str">
        <f>IF(AE140="","",IFERROR(INDEX($AT$11:$AT$4010,MATCH(130,$AZ$11:$AZ$4010,0)),""))</f>
        <v/>
      </c>
      <c r="AL140" s="31" t="str">
        <f t="shared" si="35"/>
        <v/>
      </c>
      <c r="AM140" s="26" t="str">
        <f t="shared" si="36"/>
        <v/>
      </c>
      <c r="AN140" s="32" t="str">
        <f t="shared" si="37"/>
        <v/>
      </c>
      <c r="AO140" s="32" t="str">
        <f t="shared" si="38"/>
        <v/>
      </c>
      <c r="AP140" s="24" t="str">
        <f t="shared" si="39"/>
        <v/>
      </c>
      <c r="AQ140" s="24" t="str">
        <f t="shared" si="40"/>
        <v/>
      </c>
      <c r="AR140" s="33" t="str">
        <f t="shared" si="41"/>
        <v/>
      </c>
      <c r="AS140" s="34"/>
      <c r="AT140" s="33"/>
      <c r="AV140" s="21">
        <f>IF(AND($AL140&lt;&gt;"",COUNTIF($AL$11:$AL140,$AL140)=1),1,0)</f>
        <v>0</v>
      </c>
      <c r="AW140" s="21">
        <f t="shared" ref="AW140:AW203" si="43">AW139+AV140</f>
        <v>2</v>
      </c>
      <c r="AX140" s="21" t="str">
        <f t="shared" si="42"/>
        <v/>
      </c>
      <c r="AY140" s="21" t="str">
        <f>IF(AND($AM140&lt;&gt;"",$AS140&lt;&gt;"✓"),SUMPRODUCT(($AM$11:$AM140&lt;&gt;"")*($AS$11:$AS140&lt;&gt;"✓")),"")</f>
        <v/>
      </c>
      <c r="AZ140" s="21" t="str">
        <f>IF(AND($AM140&lt;&gt;"",$AS140="✓"),SUMPRODUCT(($AM$11:$AM140&lt;&gt;"")*($AS$11:$AS140="✓")),"")</f>
        <v/>
      </c>
      <c r="BA140" s="21" t="str">
        <f>IF($AL140="","",$AL140&amp;"|"&amp;COUNTIF($AL$11:$AL140,$AL140))</f>
        <v/>
      </c>
    </row>
    <row r="141" spans="2:53" ht="15" customHeight="1" x14ac:dyDescent="0.25">
      <c r="B141" s="5" t="str">
        <f t="shared" si="30"/>
        <v/>
      </c>
      <c r="C141" s="5"/>
      <c r="D141" s="5"/>
      <c r="E141" s="5"/>
      <c r="F141" s="6"/>
      <c r="G141" s="6"/>
      <c r="H141" s="7"/>
      <c r="I141" s="8"/>
      <c r="K141" s="9" t="str">
        <f>IFERROR(INDEX($AL$11:$AL$4010,MATCH(131,$AX$11:$AX$4010,0)),"")</f>
        <v/>
      </c>
      <c r="L141" s="10" t="str">
        <f t="shared" si="31"/>
        <v/>
      </c>
      <c r="M141" s="11" t="str">
        <f t="shared" si="32"/>
        <v/>
      </c>
      <c r="N141" s="11" t="str">
        <f t="shared" si="33"/>
        <v/>
      </c>
      <c r="P141" s="12" t="str">
        <f>IFERROR(INDEX($AM$11:$AM$4010,MATCH($S$8&amp;"|"&amp;131,$BA$11:$BA$4010,0)),"")</f>
        <v/>
      </c>
      <c r="Q141" s="11" t="str">
        <f>IF(P141="","",IFERROR(INDEX($AN$11:$AN$4010,MATCH($S$8&amp;"|"&amp;131,$BA$11:$BA$4010,0)),""))</f>
        <v/>
      </c>
      <c r="R141" s="11" t="str">
        <f>IF(P141="","",IFERROR(INDEX($AO$11:$AO$4010,MATCH($S$8&amp;"|"&amp;131,$BA$11:$BA$4010,0)),""))</f>
        <v/>
      </c>
      <c r="S141" s="10" t="str">
        <f>IF(P141="","",IFERROR(INDEX($AP$11:$AP$4010,MATCH($S$8&amp;"|"&amp;131,$BA$11:$BA$4010,0)),""))</f>
        <v/>
      </c>
      <c r="T141" s="10" t="str">
        <f>IF(P141="","",IFERROR(INDEX($AQ$11:$AQ$4010,MATCH($S$8&amp;"|"&amp;131,$BA$11:$BA$4010,0)),""))</f>
        <v/>
      </c>
      <c r="U141" s="39" t="str">
        <f t="shared" si="34"/>
        <v/>
      </c>
      <c r="W141" s="14" t="str">
        <f>IF(X141="","",IFERROR(INDEX($AL$11:$AL$4010,MATCH(131,$AY$11:$AY$4010,0)),""))</f>
        <v/>
      </c>
      <c r="X141" s="12" t="str">
        <f>IFERROR(INDEX($AM$11:$AM$4010,MATCH(131,$AY$11:$AY$4010,0)),"")</f>
        <v/>
      </c>
      <c r="Y141" s="11" t="str">
        <f>IF(X141="","",IFERROR(INDEX($AN$11:$AN$4010,MATCH(131,$AY$11:$AY$4010,0)),""))</f>
        <v/>
      </c>
      <c r="Z141" s="11" t="str">
        <f>IF(X141="","",IFERROR(INDEX($AO$11:$AO$4010,MATCH(131,$AY$11:$AY$4010,0)),""))</f>
        <v/>
      </c>
      <c r="AA141" s="10" t="str">
        <f>IF(X141="","",IFERROR(INDEX($AQ$11:$AQ$4010,MATCH(131,$AY$11:$AY$4010,0)),""))</f>
        <v/>
      </c>
      <c r="AB141" s="15" t="str">
        <f>IF(X141="","",IFERROR(INDEX($AR$11:$AR$4010,MATCH(131,$AY$11:$AY$4010,0)),""))</f>
        <v/>
      </c>
      <c r="AD141" s="16" t="str">
        <f>IF(AE141="","",IFERROR(INDEX($AL$11:$AL$4010,MATCH(131,$AZ$11:$AZ$4010,0)),""))</f>
        <v/>
      </c>
      <c r="AE141" s="12" t="str">
        <f>IFERROR(INDEX($AM$11:$AM$4010,MATCH(131,$AZ$11:$AZ$4010,0)),"")</f>
        <v/>
      </c>
      <c r="AF141" s="11" t="str">
        <f>IF(AE141="","",IFERROR(INDEX($AN$11:$AN$4010,MATCH(131,$AZ$11:$AZ$4010,0)),""))</f>
        <v/>
      </c>
      <c r="AG141" s="11" t="str">
        <f>IF(AE141="","",IFERROR(INDEX($AO$11:$AO$4010,MATCH(131,$AZ$11:$AZ$4010,0)),""))</f>
        <v/>
      </c>
      <c r="AH141" s="10" t="str">
        <f>IF(AE141="","",IFERROR(INDEX($AQ$11:$AQ$4010,MATCH(131,$AZ$11:$AZ$4010,0)),""))</f>
        <v/>
      </c>
      <c r="AI141" s="15" t="str">
        <f>IF(AE141="","",IFERROR(INDEX($AR$11:$AR$4010,MATCH(131,$AZ$11:$AZ$4010,0)),""))</f>
        <v/>
      </c>
      <c r="AJ141" s="15" t="str">
        <f>IF(AE141="","",IFERROR(INDEX($AT$11:$AT$4010,MATCH(131,$AZ$11:$AZ$4010,0)),""))</f>
        <v/>
      </c>
      <c r="AL141" s="17" t="str">
        <f t="shared" si="35"/>
        <v/>
      </c>
      <c r="AM141" s="12" t="str">
        <f t="shared" si="36"/>
        <v/>
      </c>
      <c r="AN141" s="18" t="str">
        <f t="shared" si="37"/>
        <v/>
      </c>
      <c r="AO141" s="18" t="str">
        <f t="shared" si="38"/>
        <v/>
      </c>
      <c r="AP141" s="10" t="str">
        <f t="shared" si="39"/>
        <v/>
      </c>
      <c r="AQ141" s="10" t="str">
        <f t="shared" si="40"/>
        <v/>
      </c>
      <c r="AR141" s="19" t="str">
        <f t="shared" si="41"/>
        <v/>
      </c>
      <c r="AS141" s="20"/>
      <c r="AT141" s="19"/>
      <c r="AV141" s="21">
        <f>IF(AND($AL141&lt;&gt;"",COUNTIF($AL$11:$AL141,$AL141)=1),1,0)</f>
        <v>0</v>
      </c>
      <c r="AW141" s="21">
        <f t="shared" si="43"/>
        <v>2</v>
      </c>
      <c r="AX141" s="21" t="str">
        <f t="shared" si="42"/>
        <v/>
      </c>
      <c r="AY141" s="21" t="str">
        <f>IF(AND($AM141&lt;&gt;"",$AS141&lt;&gt;"✓"),SUMPRODUCT(($AM$11:$AM141&lt;&gt;"")*($AS$11:$AS141&lt;&gt;"✓")),"")</f>
        <v/>
      </c>
      <c r="AZ141" s="21" t="str">
        <f>IF(AND($AM141&lt;&gt;"",$AS141="✓"),SUMPRODUCT(($AM$11:$AM141&lt;&gt;"")*($AS$11:$AS141="✓")),"")</f>
        <v/>
      </c>
      <c r="BA141" s="21" t="str">
        <f>IF($AL141="","",$AL141&amp;"|"&amp;COUNTIF($AL$11:$AL141,$AL141))</f>
        <v/>
      </c>
    </row>
    <row r="142" spans="2:53" ht="15" customHeight="1" x14ac:dyDescent="0.25">
      <c r="B142" s="5" t="str">
        <f t="shared" si="30"/>
        <v/>
      </c>
      <c r="C142" s="5"/>
      <c r="D142" s="5"/>
      <c r="E142" s="5"/>
      <c r="F142" s="6"/>
      <c r="G142" s="6"/>
      <c r="H142" s="7"/>
      <c r="I142" s="8"/>
      <c r="K142" s="23" t="str">
        <f>IFERROR(INDEX($AL$11:$AL$4010,MATCH(132,$AX$11:$AX$4010,0)),"")</f>
        <v/>
      </c>
      <c r="L142" s="24" t="str">
        <f t="shared" si="31"/>
        <v/>
      </c>
      <c r="M142" s="25" t="str">
        <f t="shared" si="32"/>
        <v/>
      </c>
      <c r="N142" s="25" t="str">
        <f t="shared" si="33"/>
        <v/>
      </c>
      <c r="P142" s="26" t="str">
        <f>IFERROR(INDEX($AM$11:$AM$4010,MATCH($S$8&amp;"|"&amp;132,$BA$11:$BA$4010,0)),"")</f>
        <v/>
      </c>
      <c r="Q142" s="25" t="str">
        <f>IF(P142="","",IFERROR(INDEX($AN$11:$AN$4010,MATCH($S$8&amp;"|"&amp;132,$BA$11:$BA$4010,0)),""))</f>
        <v/>
      </c>
      <c r="R142" s="25" t="str">
        <f>IF(P142="","",IFERROR(INDEX($AO$11:$AO$4010,MATCH($S$8&amp;"|"&amp;132,$BA$11:$BA$4010,0)),""))</f>
        <v/>
      </c>
      <c r="S142" s="24" t="str">
        <f>IF(P142="","",IFERROR(INDEX($AP$11:$AP$4010,MATCH($S$8&amp;"|"&amp;132,$BA$11:$BA$4010,0)),""))</f>
        <v/>
      </c>
      <c r="T142" s="24" t="str">
        <f>IF(P142="","",IFERROR(INDEX($AQ$11:$AQ$4010,MATCH($S$8&amp;"|"&amp;132,$BA$11:$BA$4010,0)),""))</f>
        <v/>
      </c>
      <c r="U142" s="38" t="str">
        <f t="shared" si="34"/>
        <v/>
      </c>
      <c r="W142" s="28" t="str">
        <f>IF(X142="","",IFERROR(INDEX($AL$11:$AL$4010,MATCH(132,$AY$11:$AY$4010,0)),""))</f>
        <v/>
      </c>
      <c r="X142" s="26" t="str">
        <f>IFERROR(INDEX($AM$11:$AM$4010,MATCH(132,$AY$11:$AY$4010,0)),"")</f>
        <v/>
      </c>
      <c r="Y142" s="25" t="str">
        <f>IF(X142="","",IFERROR(INDEX($AN$11:$AN$4010,MATCH(132,$AY$11:$AY$4010,0)),""))</f>
        <v/>
      </c>
      <c r="Z142" s="25" t="str">
        <f>IF(X142="","",IFERROR(INDEX($AO$11:$AO$4010,MATCH(132,$AY$11:$AY$4010,0)),""))</f>
        <v/>
      </c>
      <c r="AA142" s="24" t="str">
        <f>IF(X142="","",IFERROR(INDEX($AQ$11:$AQ$4010,MATCH(132,$AY$11:$AY$4010,0)),""))</f>
        <v/>
      </c>
      <c r="AB142" s="29" t="str">
        <f>IF(X142="","",IFERROR(INDEX($AR$11:$AR$4010,MATCH(132,$AY$11:$AY$4010,0)),""))</f>
        <v/>
      </c>
      <c r="AD142" s="30" t="str">
        <f>IF(AE142="","",IFERROR(INDEX($AL$11:$AL$4010,MATCH(132,$AZ$11:$AZ$4010,0)),""))</f>
        <v/>
      </c>
      <c r="AE142" s="26" t="str">
        <f>IFERROR(INDEX($AM$11:$AM$4010,MATCH(132,$AZ$11:$AZ$4010,0)),"")</f>
        <v/>
      </c>
      <c r="AF142" s="25" t="str">
        <f>IF(AE142="","",IFERROR(INDEX($AN$11:$AN$4010,MATCH(132,$AZ$11:$AZ$4010,0)),""))</f>
        <v/>
      </c>
      <c r="AG142" s="25" t="str">
        <f>IF(AE142="","",IFERROR(INDEX($AO$11:$AO$4010,MATCH(132,$AZ$11:$AZ$4010,0)),""))</f>
        <v/>
      </c>
      <c r="AH142" s="24" t="str">
        <f>IF(AE142="","",IFERROR(INDEX($AQ$11:$AQ$4010,MATCH(132,$AZ$11:$AZ$4010,0)),""))</f>
        <v/>
      </c>
      <c r="AI142" s="29" t="str">
        <f>IF(AE142="","",IFERROR(INDEX($AR$11:$AR$4010,MATCH(132,$AZ$11:$AZ$4010,0)),""))</f>
        <v/>
      </c>
      <c r="AJ142" s="29" t="str">
        <f>IF(AE142="","",IFERROR(INDEX($AT$11:$AT$4010,MATCH(132,$AZ$11:$AZ$4010,0)),""))</f>
        <v/>
      </c>
      <c r="AL142" s="31" t="str">
        <f t="shared" si="35"/>
        <v/>
      </c>
      <c r="AM142" s="26" t="str">
        <f t="shared" si="36"/>
        <v/>
      </c>
      <c r="AN142" s="32" t="str">
        <f t="shared" si="37"/>
        <v/>
      </c>
      <c r="AO142" s="32" t="str">
        <f t="shared" si="38"/>
        <v/>
      </c>
      <c r="AP142" s="24" t="str">
        <f t="shared" si="39"/>
        <v/>
      </c>
      <c r="AQ142" s="24" t="str">
        <f t="shared" si="40"/>
        <v/>
      </c>
      <c r="AR142" s="33" t="str">
        <f t="shared" si="41"/>
        <v/>
      </c>
      <c r="AS142" s="34"/>
      <c r="AT142" s="33"/>
      <c r="AV142" s="21">
        <f>IF(AND($AL142&lt;&gt;"",COUNTIF($AL$11:$AL142,$AL142)=1),1,0)</f>
        <v>0</v>
      </c>
      <c r="AW142" s="21">
        <f t="shared" si="43"/>
        <v>2</v>
      </c>
      <c r="AX142" s="21" t="str">
        <f t="shared" si="42"/>
        <v/>
      </c>
      <c r="AY142" s="21" t="str">
        <f>IF(AND($AM142&lt;&gt;"",$AS142&lt;&gt;"✓"),SUMPRODUCT(($AM$11:$AM142&lt;&gt;"")*($AS$11:$AS142&lt;&gt;"✓")),"")</f>
        <v/>
      </c>
      <c r="AZ142" s="21" t="str">
        <f>IF(AND($AM142&lt;&gt;"",$AS142="✓"),SUMPRODUCT(($AM$11:$AM142&lt;&gt;"")*($AS$11:$AS142="✓")),"")</f>
        <v/>
      </c>
      <c r="BA142" s="21" t="str">
        <f>IF($AL142="","",$AL142&amp;"|"&amp;COUNTIF($AL$11:$AL142,$AL142))</f>
        <v/>
      </c>
    </row>
    <row r="143" spans="2:53" ht="15" customHeight="1" x14ac:dyDescent="0.25">
      <c r="B143" s="5" t="str">
        <f t="shared" si="30"/>
        <v/>
      </c>
      <c r="C143" s="5"/>
      <c r="D143" s="5"/>
      <c r="E143" s="5"/>
      <c r="F143" s="6"/>
      <c r="G143" s="6"/>
      <c r="H143" s="7"/>
      <c r="I143" s="8"/>
      <c r="K143" s="9" t="str">
        <f>IFERROR(INDEX($AL$11:$AL$4010,MATCH(133,$AX$11:$AX$4010,0)),"")</f>
        <v/>
      </c>
      <c r="L143" s="10" t="str">
        <f t="shared" si="31"/>
        <v/>
      </c>
      <c r="M143" s="11" t="str">
        <f t="shared" si="32"/>
        <v/>
      </c>
      <c r="N143" s="11" t="str">
        <f t="shared" si="33"/>
        <v/>
      </c>
      <c r="P143" s="12" t="str">
        <f>IFERROR(INDEX($AM$11:$AM$4010,MATCH($S$8&amp;"|"&amp;133,$BA$11:$BA$4010,0)),"")</f>
        <v/>
      </c>
      <c r="Q143" s="11" t="str">
        <f>IF(P143="","",IFERROR(INDEX($AN$11:$AN$4010,MATCH($S$8&amp;"|"&amp;133,$BA$11:$BA$4010,0)),""))</f>
        <v/>
      </c>
      <c r="R143" s="11" t="str">
        <f>IF(P143="","",IFERROR(INDEX($AO$11:$AO$4010,MATCH($S$8&amp;"|"&amp;133,$BA$11:$BA$4010,0)),""))</f>
        <v/>
      </c>
      <c r="S143" s="10" t="str">
        <f>IF(P143="","",IFERROR(INDEX($AP$11:$AP$4010,MATCH($S$8&amp;"|"&amp;133,$BA$11:$BA$4010,0)),""))</f>
        <v/>
      </c>
      <c r="T143" s="10" t="str">
        <f>IF(P143="","",IFERROR(INDEX($AQ$11:$AQ$4010,MATCH($S$8&amp;"|"&amp;133,$BA$11:$BA$4010,0)),""))</f>
        <v/>
      </c>
      <c r="U143" s="39" t="str">
        <f t="shared" si="34"/>
        <v/>
      </c>
      <c r="W143" s="14" t="str">
        <f>IF(X143="","",IFERROR(INDEX($AL$11:$AL$4010,MATCH(133,$AY$11:$AY$4010,0)),""))</f>
        <v/>
      </c>
      <c r="X143" s="12" t="str">
        <f>IFERROR(INDEX($AM$11:$AM$4010,MATCH(133,$AY$11:$AY$4010,0)),"")</f>
        <v/>
      </c>
      <c r="Y143" s="11" t="str">
        <f>IF(X143="","",IFERROR(INDEX($AN$11:$AN$4010,MATCH(133,$AY$11:$AY$4010,0)),""))</f>
        <v/>
      </c>
      <c r="Z143" s="11" t="str">
        <f>IF(X143="","",IFERROR(INDEX($AO$11:$AO$4010,MATCH(133,$AY$11:$AY$4010,0)),""))</f>
        <v/>
      </c>
      <c r="AA143" s="10" t="str">
        <f>IF(X143="","",IFERROR(INDEX($AQ$11:$AQ$4010,MATCH(133,$AY$11:$AY$4010,0)),""))</f>
        <v/>
      </c>
      <c r="AB143" s="15" t="str">
        <f>IF(X143="","",IFERROR(INDEX($AR$11:$AR$4010,MATCH(133,$AY$11:$AY$4010,0)),""))</f>
        <v/>
      </c>
      <c r="AD143" s="16" t="str">
        <f>IF(AE143="","",IFERROR(INDEX($AL$11:$AL$4010,MATCH(133,$AZ$11:$AZ$4010,0)),""))</f>
        <v/>
      </c>
      <c r="AE143" s="12" t="str">
        <f>IFERROR(INDEX($AM$11:$AM$4010,MATCH(133,$AZ$11:$AZ$4010,0)),"")</f>
        <v/>
      </c>
      <c r="AF143" s="11" t="str">
        <f>IF(AE143="","",IFERROR(INDEX($AN$11:$AN$4010,MATCH(133,$AZ$11:$AZ$4010,0)),""))</f>
        <v/>
      </c>
      <c r="AG143" s="11" t="str">
        <f>IF(AE143="","",IFERROR(INDEX($AO$11:$AO$4010,MATCH(133,$AZ$11:$AZ$4010,0)),""))</f>
        <v/>
      </c>
      <c r="AH143" s="10" t="str">
        <f>IF(AE143="","",IFERROR(INDEX($AQ$11:$AQ$4010,MATCH(133,$AZ$11:$AZ$4010,0)),""))</f>
        <v/>
      </c>
      <c r="AI143" s="15" t="str">
        <f>IF(AE143="","",IFERROR(INDEX($AR$11:$AR$4010,MATCH(133,$AZ$11:$AZ$4010,0)),""))</f>
        <v/>
      </c>
      <c r="AJ143" s="15" t="str">
        <f>IF(AE143="","",IFERROR(INDEX($AT$11:$AT$4010,MATCH(133,$AZ$11:$AZ$4010,0)),""))</f>
        <v/>
      </c>
      <c r="AL143" s="17" t="str">
        <f t="shared" si="35"/>
        <v/>
      </c>
      <c r="AM143" s="12" t="str">
        <f t="shared" si="36"/>
        <v/>
      </c>
      <c r="AN143" s="18" t="str">
        <f t="shared" si="37"/>
        <v/>
      </c>
      <c r="AO143" s="18" t="str">
        <f t="shared" si="38"/>
        <v/>
      </c>
      <c r="AP143" s="10" t="str">
        <f t="shared" si="39"/>
        <v/>
      </c>
      <c r="AQ143" s="10" t="str">
        <f t="shared" si="40"/>
        <v/>
      </c>
      <c r="AR143" s="19" t="str">
        <f t="shared" si="41"/>
        <v/>
      </c>
      <c r="AS143" s="20"/>
      <c r="AT143" s="19"/>
      <c r="AV143" s="21">
        <f>IF(AND($AL143&lt;&gt;"",COUNTIF($AL$11:$AL143,$AL143)=1),1,0)</f>
        <v>0</v>
      </c>
      <c r="AW143" s="21">
        <f t="shared" si="43"/>
        <v>2</v>
      </c>
      <c r="AX143" s="21" t="str">
        <f t="shared" si="42"/>
        <v/>
      </c>
      <c r="AY143" s="21" t="str">
        <f>IF(AND($AM143&lt;&gt;"",$AS143&lt;&gt;"✓"),SUMPRODUCT(($AM$11:$AM143&lt;&gt;"")*($AS$11:$AS143&lt;&gt;"✓")),"")</f>
        <v/>
      </c>
      <c r="AZ143" s="21" t="str">
        <f>IF(AND($AM143&lt;&gt;"",$AS143="✓"),SUMPRODUCT(($AM$11:$AM143&lt;&gt;"")*($AS$11:$AS143="✓")),"")</f>
        <v/>
      </c>
      <c r="BA143" s="21" t="str">
        <f>IF($AL143="","",$AL143&amp;"|"&amp;COUNTIF($AL$11:$AL143,$AL143))</f>
        <v/>
      </c>
    </row>
    <row r="144" spans="2:53" ht="15" customHeight="1" x14ac:dyDescent="0.25">
      <c r="B144" s="5" t="str">
        <f t="shared" si="30"/>
        <v/>
      </c>
      <c r="C144" s="5"/>
      <c r="D144" s="5"/>
      <c r="E144" s="5"/>
      <c r="F144" s="6"/>
      <c r="G144" s="6"/>
      <c r="H144" s="7"/>
      <c r="I144" s="8"/>
      <c r="K144" s="23" t="str">
        <f>IFERROR(INDEX($AL$11:$AL$4010,MATCH(134,$AX$11:$AX$4010,0)),"")</f>
        <v/>
      </c>
      <c r="L144" s="24" t="str">
        <f t="shared" si="31"/>
        <v/>
      </c>
      <c r="M144" s="25" t="str">
        <f t="shared" si="32"/>
        <v/>
      </c>
      <c r="N144" s="25" t="str">
        <f t="shared" si="33"/>
        <v/>
      </c>
      <c r="P144" s="26" t="str">
        <f>IFERROR(INDEX($AM$11:$AM$4010,MATCH($S$8&amp;"|"&amp;134,$BA$11:$BA$4010,0)),"")</f>
        <v/>
      </c>
      <c r="Q144" s="25" t="str">
        <f>IF(P144="","",IFERROR(INDEX($AN$11:$AN$4010,MATCH($S$8&amp;"|"&amp;134,$BA$11:$BA$4010,0)),""))</f>
        <v/>
      </c>
      <c r="R144" s="25" t="str">
        <f>IF(P144="","",IFERROR(INDEX($AO$11:$AO$4010,MATCH($S$8&amp;"|"&amp;134,$BA$11:$BA$4010,0)),""))</f>
        <v/>
      </c>
      <c r="S144" s="24" t="str">
        <f>IF(P144="","",IFERROR(INDEX($AP$11:$AP$4010,MATCH($S$8&amp;"|"&amp;134,$BA$11:$BA$4010,0)),""))</f>
        <v/>
      </c>
      <c r="T144" s="24" t="str">
        <f>IF(P144="","",IFERROR(INDEX($AQ$11:$AQ$4010,MATCH($S$8&amp;"|"&amp;134,$BA$11:$BA$4010,0)),""))</f>
        <v/>
      </c>
      <c r="U144" s="38" t="str">
        <f t="shared" si="34"/>
        <v/>
      </c>
      <c r="W144" s="28" t="str">
        <f>IF(X144="","",IFERROR(INDEX($AL$11:$AL$4010,MATCH(134,$AY$11:$AY$4010,0)),""))</f>
        <v/>
      </c>
      <c r="X144" s="26" t="str">
        <f>IFERROR(INDEX($AM$11:$AM$4010,MATCH(134,$AY$11:$AY$4010,0)),"")</f>
        <v/>
      </c>
      <c r="Y144" s="25" t="str">
        <f>IF(X144="","",IFERROR(INDEX($AN$11:$AN$4010,MATCH(134,$AY$11:$AY$4010,0)),""))</f>
        <v/>
      </c>
      <c r="Z144" s="25" t="str">
        <f>IF(X144="","",IFERROR(INDEX($AO$11:$AO$4010,MATCH(134,$AY$11:$AY$4010,0)),""))</f>
        <v/>
      </c>
      <c r="AA144" s="24" t="str">
        <f>IF(X144="","",IFERROR(INDEX($AQ$11:$AQ$4010,MATCH(134,$AY$11:$AY$4010,0)),""))</f>
        <v/>
      </c>
      <c r="AB144" s="29" t="str">
        <f>IF(X144="","",IFERROR(INDEX($AR$11:$AR$4010,MATCH(134,$AY$11:$AY$4010,0)),""))</f>
        <v/>
      </c>
      <c r="AD144" s="30" t="str">
        <f>IF(AE144="","",IFERROR(INDEX($AL$11:$AL$4010,MATCH(134,$AZ$11:$AZ$4010,0)),""))</f>
        <v/>
      </c>
      <c r="AE144" s="26" t="str">
        <f>IFERROR(INDEX($AM$11:$AM$4010,MATCH(134,$AZ$11:$AZ$4010,0)),"")</f>
        <v/>
      </c>
      <c r="AF144" s="25" t="str">
        <f>IF(AE144="","",IFERROR(INDEX($AN$11:$AN$4010,MATCH(134,$AZ$11:$AZ$4010,0)),""))</f>
        <v/>
      </c>
      <c r="AG144" s="25" t="str">
        <f>IF(AE144="","",IFERROR(INDEX($AO$11:$AO$4010,MATCH(134,$AZ$11:$AZ$4010,0)),""))</f>
        <v/>
      </c>
      <c r="AH144" s="24" t="str">
        <f>IF(AE144="","",IFERROR(INDEX($AQ$11:$AQ$4010,MATCH(134,$AZ$11:$AZ$4010,0)),""))</f>
        <v/>
      </c>
      <c r="AI144" s="29" t="str">
        <f>IF(AE144="","",IFERROR(INDEX($AR$11:$AR$4010,MATCH(134,$AZ$11:$AZ$4010,0)),""))</f>
        <v/>
      </c>
      <c r="AJ144" s="29" t="str">
        <f>IF(AE144="","",IFERROR(INDEX($AT$11:$AT$4010,MATCH(134,$AZ$11:$AZ$4010,0)),""))</f>
        <v/>
      </c>
      <c r="AL144" s="31" t="str">
        <f t="shared" si="35"/>
        <v/>
      </c>
      <c r="AM144" s="26" t="str">
        <f t="shared" si="36"/>
        <v/>
      </c>
      <c r="AN144" s="32" t="str">
        <f t="shared" si="37"/>
        <v/>
      </c>
      <c r="AO144" s="32" t="str">
        <f t="shared" si="38"/>
        <v/>
      </c>
      <c r="AP144" s="24" t="str">
        <f t="shared" si="39"/>
        <v/>
      </c>
      <c r="AQ144" s="24" t="str">
        <f t="shared" si="40"/>
        <v/>
      </c>
      <c r="AR144" s="33" t="str">
        <f t="shared" si="41"/>
        <v/>
      </c>
      <c r="AS144" s="34"/>
      <c r="AT144" s="33"/>
      <c r="AV144" s="21">
        <f>IF(AND($AL144&lt;&gt;"",COUNTIF($AL$11:$AL144,$AL144)=1),1,0)</f>
        <v>0</v>
      </c>
      <c r="AW144" s="21">
        <f t="shared" si="43"/>
        <v>2</v>
      </c>
      <c r="AX144" s="21" t="str">
        <f t="shared" si="42"/>
        <v/>
      </c>
      <c r="AY144" s="21" t="str">
        <f>IF(AND($AM144&lt;&gt;"",$AS144&lt;&gt;"✓"),SUMPRODUCT(($AM$11:$AM144&lt;&gt;"")*($AS$11:$AS144&lt;&gt;"✓")),"")</f>
        <v/>
      </c>
      <c r="AZ144" s="21" t="str">
        <f>IF(AND($AM144&lt;&gt;"",$AS144="✓"),SUMPRODUCT(($AM$11:$AM144&lt;&gt;"")*($AS$11:$AS144="✓")),"")</f>
        <v/>
      </c>
      <c r="BA144" s="21" t="str">
        <f>IF($AL144="","",$AL144&amp;"|"&amp;COUNTIF($AL$11:$AL144,$AL144))</f>
        <v/>
      </c>
    </row>
    <row r="145" spans="2:53" ht="15" customHeight="1" x14ac:dyDescent="0.25">
      <c r="B145" s="5" t="str">
        <f t="shared" si="30"/>
        <v/>
      </c>
      <c r="C145" s="5"/>
      <c r="D145" s="5"/>
      <c r="E145" s="5"/>
      <c r="F145" s="6"/>
      <c r="G145" s="6"/>
      <c r="H145" s="7"/>
      <c r="I145" s="8"/>
      <c r="K145" s="9" t="str">
        <f>IFERROR(INDEX($AL$11:$AL$4010,MATCH(135,$AX$11:$AX$4010,0)),"")</f>
        <v/>
      </c>
      <c r="L145" s="10" t="str">
        <f t="shared" si="31"/>
        <v/>
      </c>
      <c r="M145" s="11" t="str">
        <f t="shared" si="32"/>
        <v/>
      </c>
      <c r="N145" s="11" t="str">
        <f t="shared" si="33"/>
        <v/>
      </c>
      <c r="P145" s="12" t="str">
        <f>IFERROR(INDEX($AM$11:$AM$4010,MATCH($S$8&amp;"|"&amp;135,$BA$11:$BA$4010,0)),"")</f>
        <v/>
      </c>
      <c r="Q145" s="11" t="str">
        <f>IF(P145="","",IFERROR(INDEX($AN$11:$AN$4010,MATCH($S$8&amp;"|"&amp;135,$BA$11:$BA$4010,0)),""))</f>
        <v/>
      </c>
      <c r="R145" s="11" t="str">
        <f>IF(P145="","",IFERROR(INDEX($AO$11:$AO$4010,MATCH($S$8&amp;"|"&amp;135,$BA$11:$BA$4010,0)),""))</f>
        <v/>
      </c>
      <c r="S145" s="10" t="str">
        <f>IF(P145="","",IFERROR(INDEX($AP$11:$AP$4010,MATCH($S$8&amp;"|"&amp;135,$BA$11:$BA$4010,0)),""))</f>
        <v/>
      </c>
      <c r="T145" s="10" t="str">
        <f>IF(P145="","",IFERROR(INDEX($AQ$11:$AQ$4010,MATCH($S$8&amp;"|"&amp;135,$BA$11:$BA$4010,0)),""))</f>
        <v/>
      </c>
      <c r="U145" s="39" t="str">
        <f t="shared" si="34"/>
        <v/>
      </c>
      <c r="W145" s="14" t="str">
        <f>IF(X145="","",IFERROR(INDEX($AL$11:$AL$4010,MATCH(135,$AY$11:$AY$4010,0)),""))</f>
        <v/>
      </c>
      <c r="X145" s="12" t="str">
        <f>IFERROR(INDEX($AM$11:$AM$4010,MATCH(135,$AY$11:$AY$4010,0)),"")</f>
        <v/>
      </c>
      <c r="Y145" s="11" t="str">
        <f>IF(X145="","",IFERROR(INDEX($AN$11:$AN$4010,MATCH(135,$AY$11:$AY$4010,0)),""))</f>
        <v/>
      </c>
      <c r="Z145" s="11" t="str">
        <f>IF(X145="","",IFERROR(INDEX($AO$11:$AO$4010,MATCH(135,$AY$11:$AY$4010,0)),""))</f>
        <v/>
      </c>
      <c r="AA145" s="10" t="str">
        <f>IF(X145="","",IFERROR(INDEX($AQ$11:$AQ$4010,MATCH(135,$AY$11:$AY$4010,0)),""))</f>
        <v/>
      </c>
      <c r="AB145" s="15" t="str">
        <f>IF(X145="","",IFERROR(INDEX($AR$11:$AR$4010,MATCH(135,$AY$11:$AY$4010,0)),""))</f>
        <v/>
      </c>
      <c r="AD145" s="16" t="str">
        <f>IF(AE145="","",IFERROR(INDEX($AL$11:$AL$4010,MATCH(135,$AZ$11:$AZ$4010,0)),""))</f>
        <v/>
      </c>
      <c r="AE145" s="12" t="str">
        <f>IFERROR(INDEX($AM$11:$AM$4010,MATCH(135,$AZ$11:$AZ$4010,0)),"")</f>
        <v/>
      </c>
      <c r="AF145" s="11" t="str">
        <f>IF(AE145="","",IFERROR(INDEX($AN$11:$AN$4010,MATCH(135,$AZ$11:$AZ$4010,0)),""))</f>
        <v/>
      </c>
      <c r="AG145" s="11" t="str">
        <f>IF(AE145="","",IFERROR(INDEX($AO$11:$AO$4010,MATCH(135,$AZ$11:$AZ$4010,0)),""))</f>
        <v/>
      </c>
      <c r="AH145" s="10" t="str">
        <f>IF(AE145="","",IFERROR(INDEX($AQ$11:$AQ$4010,MATCH(135,$AZ$11:$AZ$4010,0)),""))</f>
        <v/>
      </c>
      <c r="AI145" s="15" t="str">
        <f>IF(AE145="","",IFERROR(INDEX($AR$11:$AR$4010,MATCH(135,$AZ$11:$AZ$4010,0)),""))</f>
        <v/>
      </c>
      <c r="AJ145" s="15" t="str">
        <f>IF(AE145="","",IFERROR(INDEX($AT$11:$AT$4010,MATCH(135,$AZ$11:$AZ$4010,0)),""))</f>
        <v/>
      </c>
      <c r="AL145" s="17" t="str">
        <f t="shared" si="35"/>
        <v/>
      </c>
      <c r="AM145" s="12" t="str">
        <f t="shared" si="36"/>
        <v/>
      </c>
      <c r="AN145" s="18" t="str">
        <f t="shared" si="37"/>
        <v/>
      </c>
      <c r="AO145" s="18" t="str">
        <f t="shared" si="38"/>
        <v/>
      </c>
      <c r="AP145" s="10" t="str">
        <f t="shared" si="39"/>
        <v/>
      </c>
      <c r="AQ145" s="10" t="str">
        <f t="shared" si="40"/>
        <v/>
      </c>
      <c r="AR145" s="19" t="str">
        <f t="shared" si="41"/>
        <v/>
      </c>
      <c r="AS145" s="20"/>
      <c r="AT145" s="19"/>
      <c r="AV145" s="21">
        <f>IF(AND($AL145&lt;&gt;"",COUNTIF($AL$11:$AL145,$AL145)=1),1,0)</f>
        <v>0</v>
      </c>
      <c r="AW145" s="21">
        <f t="shared" si="43"/>
        <v>2</v>
      </c>
      <c r="AX145" s="21" t="str">
        <f t="shared" si="42"/>
        <v/>
      </c>
      <c r="AY145" s="21" t="str">
        <f>IF(AND($AM145&lt;&gt;"",$AS145&lt;&gt;"✓"),SUMPRODUCT(($AM$11:$AM145&lt;&gt;"")*($AS$11:$AS145&lt;&gt;"✓")),"")</f>
        <v/>
      </c>
      <c r="AZ145" s="21" t="str">
        <f>IF(AND($AM145&lt;&gt;"",$AS145="✓"),SUMPRODUCT(($AM$11:$AM145&lt;&gt;"")*($AS$11:$AS145="✓")),"")</f>
        <v/>
      </c>
      <c r="BA145" s="21" t="str">
        <f>IF($AL145="","",$AL145&amp;"|"&amp;COUNTIF($AL$11:$AL145,$AL145))</f>
        <v/>
      </c>
    </row>
    <row r="146" spans="2:53" ht="15" customHeight="1" x14ac:dyDescent="0.25">
      <c r="B146" s="5" t="str">
        <f t="shared" si="30"/>
        <v/>
      </c>
      <c r="C146" s="5"/>
      <c r="D146" s="5"/>
      <c r="E146" s="5"/>
      <c r="F146" s="6"/>
      <c r="G146" s="6"/>
      <c r="H146" s="7"/>
      <c r="I146" s="8"/>
      <c r="K146" s="23" t="str">
        <f>IFERROR(INDEX($AL$11:$AL$4010,MATCH(136,$AX$11:$AX$4010,0)),"")</f>
        <v/>
      </c>
      <c r="L146" s="24" t="str">
        <f t="shared" si="31"/>
        <v/>
      </c>
      <c r="M146" s="25" t="str">
        <f t="shared" si="32"/>
        <v/>
      </c>
      <c r="N146" s="25" t="str">
        <f t="shared" si="33"/>
        <v/>
      </c>
      <c r="P146" s="26" t="str">
        <f>IFERROR(INDEX($AM$11:$AM$4010,MATCH($S$8&amp;"|"&amp;136,$BA$11:$BA$4010,0)),"")</f>
        <v/>
      </c>
      <c r="Q146" s="25" t="str">
        <f>IF(P146="","",IFERROR(INDEX($AN$11:$AN$4010,MATCH($S$8&amp;"|"&amp;136,$BA$11:$BA$4010,0)),""))</f>
        <v/>
      </c>
      <c r="R146" s="25" t="str">
        <f>IF(P146="","",IFERROR(INDEX($AO$11:$AO$4010,MATCH($S$8&amp;"|"&amp;136,$BA$11:$BA$4010,0)),""))</f>
        <v/>
      </c>
      <c r="S146" s="24" t="str">
        <f>IF(P146="","",IFERROR(INDEX($AP$11:$AP$4010,MATCH($S$8&amp;"|"&amp;136,$BA$11:$BA$4010,0)),""))</f>
        <v/>
      </c>
      <c r="T146" s="24" t="str">
        <f>IF(P146="","",IFERROR(INDEX($AQ$11:$AQ$4010,MATCH($S$8&amp;"|"&amp;136,$BA$11:$BA$4010,0)),""))</f>
        <v/>
      </c>
      <c r="U146" s="38" t="str">
        <f t="shared" si="34"/>
        <v/>
      </c>
      <c r="W146" s="28" t="str">
        <f>IF(X146="","",IFERROR(INDEX($AL$11:$AL$4010,MATCH(136,$AY$11:$AY$4010,0)),""))</f>
        <v/>
      </c>
      <c r="X146" s="26" t="str">
        <f>IFERROR(INDEX($AM$11:$AM$4010,MATCH(136,$AY$11:$AY$4010,0)),"")</f>
        <v/>
      </c>
      <c r="Y146" s="25" t="str">
        <f>IF(X146="","",IFERROR(INDEX($AN$11:$AN$4010,MATCH(136,$AY$11:$AY$4010,0)),""))</f>
        <v/>
      </c>
      <c r="Z146" s="25" t="str">
        <f>IF(X146="","",IFERROR(INDEX($AO$11:$AO$4010,MATCH(136,$AY$11:$AY$4010,0)),""))</f>
        <v/>
      </c>
      <c r="AA146" s="24" t="str">
        <f>IF(X146="","",IFERROR(INDEX($AQ$11:$AQ$4010,MATCH(136,$AY$11:$AY$4010,0)),""))</f>
        <v/>
      </c>
      <c r="AB146" s="29" t="str">
        <f>IF(X146="","",IFERROR(INDEX($AR$11:$AR$4010,MATCH(136,$AY$11:$AY$4010,0)),""))</f>
        <v/>
      </c>
      <c r="AD146" s="30" t="str">
        <f>IF(AE146="","",IFERROR(INDEX($AL$11:$AL$4010,MATCH(136,$AZ$11:$AZ$4010,0)),""))</f>
        <v/>
      </c>
      <c r="AE146" s="26" t="str">
        <f>IFERROR(INDEX($AM$11:$AM$4010,MATCH(136,$AZ$11:$AZ$4010,0)),"")</f>
        <v/>
      </c>
      <c r="AF146" s="25" t="str">
        <f>IF(AE146="","",IFERROR(INDEX($AN$11:$AN$4010,MATCH(136,$AZ$11:$AZ$4010,0)),""))</f>
        <v/>
      </c>
      <c r="AG146" s="25" t="str">
        <f>IF(AE146="","",IFERROR(INDEX($AO$11:$AO$4010,MATCH(136,$AZ$11:$AZ$4010,0)),""))</f>
        <v/>
      </c>
      <c r="AH146" s="24" t="str">
        <f>IF(AE146="","",IFERROR(INDEX($AQ$11:$AQ$4010,MATCH(136,$AZ$11:$AZ$4010,0)),""))</f>
        <v/>
      </c>
      <c r="AI146" s="29" t="str">
        <f>IF(AE146="","",IFERROR(INDEX($AR$11:$AR$4010,MATCH(136,$AZ$11:$AZ$4010,0)),""))</f>
        <v/>
      </c>
      <c r="AJ146" s="29" t="str">
        <f>IF(AE146="","",IFERROR(INDEX($AT$11:$AT$4010,MATCH(136,$AZ$11:$AZ$4010,0)),""))</f>
        <v/>
      </c>
      <c r="AL146" s="31" t="str">
        <f t="shared" si="35"/>
        <v/>
      </c>
      <c r="AM146" s="26" t="str">
        <f t="shared" si="36"/>
        <v/>
      </c>
      <c r="AN146" s="32" t="str">
        <f t="shared" si="37"/>
        <v/>
      </c>
      <c r="AO146" s="32" t="str">
        <f t="shared" si="38"/>
        <v/>
      </c>
      <c r="AP146" s="24" t="str">
        <f t="shared" si="39"/>
        <v/>
      </c>
      <c r="AQ146" s="24" t="str">
        <f t="shared" si="40"/>
        <v/>
      </c>
      <c r="AR146" s="33" t="str">
        <f t="shared" si="41"/>
        <v/>
      </c>
      <c r="AS146" s="34"/>
      <c r="AT146" s="33"/>
      <c r="AV146" s="21">
        <f>IF(AND($AL146&lt;&gt;"",COUNTIF($AL$11:$AL146,$AL146)=1),1,0)</f>
        <v>0</v>
      </c>
      <c r="AW146" s="21">
        <f t="shared" si="43"/>
        <v>2</v>
      </c>
      <c r="AX146" s="21" t="str">
        <f t="shared" si="42"/>
        <v/>
      </c>
      <c r="AY146" s="21" t="str">
        <f>IF(AND($AM146&lt;&gt;"",$AS146&lt;&gt;"✓"),SUMPRODUCT(($AM$11:$AM146&lt;&gt;"")*($AS$11:$AS146&lt;&gt;"✓")),"")</f>
        <v/>
      </c>
      <c r="AZ146" s="21" t="str">
        <f>IF(AND($AM146&lt;&gt;"",$AS146="✓"),SUMPRODUCT(($AM$11:$AM146&lt;&gt;"")*($AS$11:$AS146="✓")),"")</f>
        <v/>
      </c>
      <c r="BA146" s="21" t="str">
        <f>IF($AL146="","",$AL146&amp;"|"&amp;COUNTIF($AL$11:$AL146,$AL146))</f>
        <v/>
      </c>
    </row>
    <row r="147" spans="2:53" ht="15" customHeight="1" x14ac:dyDescent="0.25">
      <c r="B147" s="5" t="str">
        <f t="shared" si="30"/>
        <v/>
      </c>
      <c r="C147" s="5"/>
      <c r="D147" s="5"/>
      <c r="E147" s="5"/>
      <c r="F147" s="6"/>
      <c r="G147" s="6"/>
      <c r="H147" s="7"/>
      <c r="I147" s="8"/>
      <c r="K147" s="9" t="str">
        <f>IFERROR(INDEX($AL$11:$AL$4010,MATCH(137,$AX$11:$AX$4010,0)),"")</f>
        <v/>
      </c>
      <c r="L147" s="10" t="str">
        <f t="shared" si="31"/>
        <v/>
      </c>
      <c r="M147" s="11" t="str">
        <f t="shared" si="32"/>
        <v/>
      </c>
      <c r="N147" s="11" t="str">
        <f t="shared" si="33"/>
        <v/>
      </c>
      <c r="P147" s="12" t="str">
        <f>IFERROR(INDEX($AM$11:$AM$4010,MATCH($S$8&amp;"|"&amp;137,$BA$11:$BA$4010,0)),"")</f>
        <v/>
      </c>
      <c r="Q147" s="11" t="str">
        <f>IF(P147="","",IFERROR(INDEX($AN$11:$AN$4010,MATCH($S$8&amp;"|"&amp;137,$BA$11:$BA$4010,0)),""))</f>
        <v/>
      </c>
      <c r="R147" s="11" t="str">
        <f>IF(P147="","",IFERROR(INDEX($AO$11:$AO$4010,MATCH($S$8&amp;"|"&amp;137,$BA$11:$BA$4010,0)),""))</f>
        <v/>
      </c>
      <c r="S147" s="10" t="str">
        <f>IF(P147="","",IFERROR(INDEX($AP$11:$AP$4010,MATCH($S$8&amp;"|"&amp;137,$BA$11:$BA$4010,0)),""))</f>
        <v/>
      </c>
      <c r="T147" s="10" t="str">
        <f>IF(P147="","",IFERROR(INDEX($AQ$11:$AQ$4010,MATCH($S$8&amp;"|"&amp;137,$BA$11:$BA$4010,0)),""))</f>
        <v/>
      </c>
      <c r="U147" s="39" t="str">
        <f t="shared" si="34"/>
        <v/>
      </c>
      <c r="W147" s="14" t="str">
        <f>IF(X147="","",IFERROR(INDEX($AL$11:$AL$4010,MATCH(137,$AY$11:$AY$4010,0)),""))</f>
        <v/>
      </c>
      <c r="X147" s="12" t="str">
        <f>IFERROR(INDEX($AM$11:$AM$4010,MATCH(137,$AY$11:$AY$4010,0)),"")</f>
        <v/>
      </c>
      <c r="Y147" s="11" t="str">
        <f>IF(X147="","",IFERROR(INDEX($AN$11:$AN$4010,MATCH(137,$AY$11:$AY$4010,0)),""))</f>
        <v/>
      </c>
      <c r="Z147" s="11" t="str">
        <f>IF(X147="","",IFERROR(INDEX($AO$11:$AO$4010,MATCH(137,$AY$11:$AY$4010,0)),""))</f>
        <v/>
      </c>
      <c r="AA147" s="10" t="str">
        <f>IF(X147="","",IFERROR(INDEX($AQ$11:$AQ$4010,MATCH(137,$AY$11:$AY$4010,0)),""))</f>
        <v/>
      </c>
      <c r="AB147" s="15" t="str">
        <f>IF(X147="","",IFERROR(INDEX($AR$11:$AR$4010,MATCH(137,$AY$11:$AY$4010,0)),""))</f>
        <v/>
      </c>
      <c r="AD147" s="16" t="str">
        <f>IF(AE147="","",IFERROR(INDEX($AL$11:$AL$4010,MATCH(137,$AZ$11:$AZ$4010,0)),""))</f>
        <v/>
      </c>
      <c r="AE147" s="12" t="str">
        <f>IFERROR(INDEX($AM$11:$AM$4010,MATCH(137,$AZ$11:$AZ$4010,0)),"")</f>
        <v/>
      </c>
      <c r="AF147" s="11" t="str">
        <f>IF(AE147="","",IFERROR(INDEX($AN$11:$AN$4010,MATCH(137,$AZ$11:$AZ$4010,0)),""))</f>
        <v/>
      </c>
      <c r="AG147" s="11" t="str">
        <f>IF(AE147="","",IFERROR(INDEX($AO$11:$AO$4010,MATCH(137,$AZ$11:$AZ$4010,0)),""))</f>
        <v/>
      </c>
      <c r="AH147" s="10" t="str">
        <f>IF(AE147="","",IFERROR(INDEX($AQ$11:$AQ$4010,MATCH(137,$AZ$11:$AZ$4010,0)),""))</f>
        <v/>
      </c>
      <c r="AI147" s="15" t="str">
        <f>IF(AE147="","",IFERROR(INDEX($AR$11:$AR$4010,MATCH(137,$AZ$11:$AZ$4010,0)),""))</f>
        <v/>
      </c>
      <c r="AJ147" s="15" t="str">
        <f>IF(AE147="","",IFERROR(INDEX($AT$11:$AT$4010,MATCH(137,$AZ$11:$AZ$4010,0)),""))</f>
        <v/>
      </c>
      <c r="AL147" s="17" t="str">
        <f t="shared" si="35"/>
        <v/>
      </c>
      <c r="AM147" s="12" t="str">
        <f t="shared" si="36"/>
        <v/>
      </c>
      <c r="AN147" s="18" t="str">
        <f t="shared" si="37"/>
        <v/>
      </c>
      <c r="AO147" s="18" t="str">
        <f t="shared" si="38"/>
        <v/>
      </c>
      <c r="AP147" s="10" t="str">
        <f t="shared" si="39"/>
        <v/>
      </c>
      <c r="AQ147" s="10" t="str">
        <f t="shared" si="40"/>
        <v/>
      </c>
      <c r="AR147" s="19" t="str">
        <f t="shared" si="41"/>
        <v/>
      </c>
      <c r="AS147" s="20"/>
      <c r="AT147" s="19"/>
      <c r="AV147" s="21">
        <f>IF(AND($AL147&lt;&gt;"",COUNTIF($AL$11:$AL147,$AL147)=1),1,0)</f>
        <v>0</v>
      </c>
      <c r="AW147" s="21">
        <f t="shared" si="43"/>
        <v>2</v>
      </c>
      <c r="AX147" s="21" t="str">
        <f t="shared" si="42"/>
        <v/>
      </c>
      <c r="AY147" s="21" t="str">
        <f>IF(AND($AM147&lt;&gt;"",$AS147&lt;&gt;"✓"),SUMPRODUCT(($AM$11:$AM147&lt;&gt;"")*($AS$11:$AS147&lt;&gt;"✓")),"")</f>
        <v/>
      </c>
      <c r="AZ147" s="21" t="str">
        <f>IF(AND($AM147&lt;&gt;"",$AS147="✓"),SUMPRODUCT(($AM$11:$AM147&lt;&gt;"")*($AS$11:$AS147="✓")),"")</f>
        <v/>
      </c>
      <c r="BA147" s="21" t="str">
        <f>IF($AL147="","",$AL147&amp;"|"&amp;COUNTIF($AL$11:$AL147,$AL147))</f>
        <v/>
      </c>
    </row>
    <row r="148" spans="2:53" ht="15" customHeight="1" x14ac:dyDescent="0.25">
      <c r="B148" s="5" t="str">
        <f t="shared" si="30"/>
        <v/>
      </c>
      <c r="C148" s="5"/>
      <c r="D148" s="5"/>
      <c r="E148" s="5"/>
      <c r="F148" s="6"/>
      <c r="G148" s="6"/>
      <c r="H148" s="7"/>
      <c r="I148" s="8"/>
      <c r="K148" s="23" t="str">
        <f>IFERROR(INDEX($AL$11:$AL$4010,MATCH(138,$AX$11:$AX$4010,0)),"")</f>
        <v/>
      </c>
      <c r="L148" s="24" t="str">
        <f t="shared" si="31"/>
        <v/>
      </c>
      <c r="M148" s="25" t="str">
        <f t="shared" si="32"/>
        <v/>
      </c>
      <c r="N148" s="25" t="str">
        <f t="shared" si="33"/>
        <v/>
      </c>
      <c r="P148" s="26" t="str">
        <f>IFERROR(INDEX($AM$11:$AM$4010,MATCH($S$8&amp;"|"&amp;138,$BA$11:$BA$4010,0)),"")</f>
        <v/>
      </c>
      <c r="Q148" s="25" t="str">
        <f>IF(P148="","",IFERROR(INDEX($AN$11:$AN$4010,MATCH($S$8&amp;"|"&amp;138,$BA$11:$BA$4010,0)),""))</f>
        <v/>
      </c>
      <c r="R148" s="25" t="str">
        <f>IF(P148="","",IFERROR(INDEX($AO$11:$AO$4010,MATCH($S$8&amp;"|"&amp;138,$BA$11:$BA$4010,0)),""))</f>
        <v/>
      </c>
      <c r="S148" s="24" t="str">
        <f>IF(P148="","",IFERROR(INDEX($AP$11:$AP$4010,MATCH($S$8&amp;"|"&amp;138,$BA$11:$BA$4010,0)),""))</f>
        <v/>
      </c>
      <c r="T148" s="24" t="str">
        <f>IF(P148="","",IFERROR(INDEX($AQ$11:$AQ$4010,MATCH($S$8&amp;"|"&amp;138,$BA$11:$BA$4010,0)),""))</f>
        <v/>
      </c>
      <c r="U148" s="38" t="str">
        <f t="shared" si="34"/>
        <v/>
      </c>
      <c r="W148" s="28" t="str">
        <f>IF(X148="","",IFERROR(INDEX($AL$11:$AL$4010,MATCH(138,$AY$11:$AY$4010,0)),""))</f>
        <v/>
      </c>
      <c r="X148" s="26" t="str">
        <f>IFERROR(INDEX($AM$11:$AM$4010,MATCH(138,$AY$11:$AY$4010,0)),"")</f>
        <v/>
      </c>
      <c r="Y148" s="25" t="str">
        <f>IF(X148="","",IFERROR(INDEX($AN$11:$AN$4010,MATCH(138,$AY$11:$AY$4010,0)),""))</f>
        <v/>
      </c>
      <c r="Z148" s="25" t="str">
        <f>IF(X148="","",IFERROR(INDEX($AO$11:$AO$4010,MATCH(138,$AY$11:$AY$4010,0)),""))</f>
        <v/>
      </c>
      <c r="AA148" s="24" t="str">
        <f>IF(X148="","",IFERROR(INDEX($AQ$11:$AQ$4010,MATCH(138,$AY$11:$AY$4010,0)),""))</f>
        <v/>
      </c>
      <c r="AB148" s="29" t="str">
        <f>IF(X148="","",IFERROR(INDEX($AR$11:$AR$4010,MATCH(138,$AY$11:$AY$4010,0)),""))</f>
        <v/>
      </c>
      <c r="AD148" s="30" t="str">
        <f>IF(AE148="","",IFERROR(INDEX($AL$11:$AL$4010,MATCH(138,$AZ$11:$AZ$4010,0)),""))</f>
        <v/>
      </c>
      <c r="AE148" s="26" t="str">
        <f>IFERROR(INDEX($AM$11:$AM$4010,MATCH(138,$AZ$11:$AZ$4010,0)),"")</f>
        <v/>
      </c>
      <c r="AF148" s="25" t="str">
        <f>IF(AE148="","",IFERROR(INDEX($AN$11:$AN$4010,MATCH(138,$AZ$11:$AZ$4010,0)),""))</f>
        <v/>
      </c>
      <c r="AG148" s="25" t="str">
        <f>IF(AE148="","",IFERROR(INDEX($AO$11:$AO$4010,MATCH(138,$AZ$11:$AZ$4010,0)),""))</f>
        <v/>
      </c>
      <c r="AH148" s="24" t="str">
        <f>IF(AE148="","",IFERROR(INDEX($AQ$11:$AQ$4010,MATCH(138,$AZ$11:$AZ$4010,0)),""))</f>
        <v/>
      </c>
      <c r="AI148" s="29" t="str">
        <f>IF(AE148="","",IFERROR(INDEX($AR$11:$AR$4010,MATCH(138,$AZ$11:$AZ$4010,0)),""))</f>
        <v/>
      </c>
      <c r="AJ148" s="29" t="str">
        <f>IF(AE148="","",IFERROR(INDEX($AT$11:$AT$4010,MATCH(138,$AZ$11:$AZ$4010,0)),""))</f>
        <v/>
      </c>
      <c r="AL148" s="31" t="str">
        <f t="shared" si="35"/>
        <v/>
      </c>
      <c r="AM148" s="26" t="str">
        <f t="shared" si="36"/>
        <v/>
      </c>
      <c r="AN148" s="32" t="str">
        <f t="shared" si="37"/>
        <v/>
      </c>
      <c r="AO148" s="32" t="str">
        <f t="shared" si="38"/>
        <v/>
      </c>
      <c r="AP148" s="24" t="str">
        <f t="shared" si="39"/>
        <v/>
      </c>
      <c r="AQ148" s="24" t="str">
        <f t="shared" si="40"/>
        <v/>
      </c>
      <c r="AR148" s="33" t="str">
        <f t="shared" si="41"/>
        <v/>
      </c>
      <c r="AS148" s="34"/>
      <c r="AT148" s="33"/>
      <c r="AV148" s="21">
        <f>IF(AND($AL148&lt;&gt;"",COUNTIF($AL$11:$AL148,$AL148)=1),1,0)</f>
        <v>0</v>
      </c>
      <c r="AW148" s="21">
        <f t="shared" si="43"/>
        <v>2</v>
      </c>
      <c r="AX148" s="21" t="str">
        <f t="shared" si="42"/>
        <v/>
      </c>
      <c r="AY148" s="21" t="str">
        <f>IF(AND($AM148&lt;&gt;"",$AS148&lt;&gt;"✓"),SUMPRODUCT(($AM$11:$AM148&lt;&gt;"")*($AS$11:$AS148&lt;&gt;"✓")),"")</f>
        <v/>
      </c>
      <c r="AZ148" s="21" t="str">
        <f>IF(AND($AM148&lt;&gt;"",$AS148="✓"),SUMPRODUCT(($AM$11:$AM148&lt;&gt;"")*($AS$11:$AS148="✓")),"")</f>
        <v/>
      </c>
      <c r="BA148" s="21" t="str">
        <f>IF($AL148="","",$AL148&amp;"|"&amp;COUNTIF($AL$11:$AL148,$AL148))</f>
        <v/>
      </c>
    </row>
    <row r="149" spans="2:53" ht="15" customHeight="1" x14ac:dyDescent="0.25">
      <c r="B149" s="5" t="str">
        <f t="shared" si="30"/>
        <v/>
      </c>
      <c r="C149" s="5"/>
      <c r="D149" s="5"/>
      <c r="E149" s="5"/>
      <c r="F149" s="6"/>
      <c r="G149" s="6"/>
      <c r="H149" s="7"/>
      <c r="I149" s="8"/>
      <c r="K149" s="9" t="str">
        <f>IFERROR(INDEX($AL$11:$AL$4010,MATCH(139,$AX$11:$AX$4010,0)),"")</f>
        <v/>
      </c>
      <c r="L149" s="10" t="str">
        <f t="shared" si="31"/>
        <v/>
      </c>
      <c r="M149" s="11" t="str">
        <f t="shared" si="32"/>
        <v/>
      </c>
      <c r="N149" s="11" t="str">
        <f t="shared" si="33"/>
        <v/>
      </c>
      <c r="P149" s="12" t="str">
        <f>IFERROR(INDEX($AM$11:$AM$4010,MATCH($S$8&amp;"|"&amp;139,$BA$11:$BA$4010,0)),"")</f>
        <v/>
      </c>
      <c r="Q149" s="11" t="str">
        <f>IF(P149="","",IFERROR(INDEX($AN$11:$AN$4010,MATCH($S$8&amp;"|"&amp;139,$BA$11:$BA$4010,0)),""))</f>
        <v/>
      </c>
      <c r="R149" s="11" t="str">
        <f>IF(P149="","",IFERROR(INDEX($AO$11:$AO$4010,MATCH($S$8&amp;"|"&amp;139,$BA$11:$BA$4010,0)),""))</f>
        <v/>
      </c>
      <c r="S149" s="10" t="str">
        <f>IF(P149="","",IFERROR(INDEX($AP$11:$AP$4010,MATCH($S$8&amp;"|"&amp;139,$BA$11:$BA$4010,0)),""))</f>
        <v/>
      </c>
      <c r="T149" s="10" t="str">
        <f>IF(P149="","",IFERROR(INDEX($AQ$11:$AQ$4010,MATCH($S$8&amp;"|"&amp;139,$BA$11:$BA$4010,0)),""))</f>
        <v/>
      </c>
      <c r="U149" s="39" t="str">
        <f t="shared" si="34"/>
        <v/>
      </c>
      <c r="W149" s="14" t="str">
        <f>IF(X149="","",IFERROR(INDEX($AL$11:$AL$4010,MATCH(139,$AY$11:$AY$4010,0)),""))</f>
        <v/>
      </c>
      <c r="X149" s="12" t="str">
        <f>IFERROR(INDEX($AM$11:$AM$4010,MATCH(139,$AY$11:$AY$4010,0)),"")</f>
        <v/>
      </c>
      <c r="Y149" s="11" t="str">
        <f>IF(X149="","",IFERROR(INDEX($AN$11:$AN$4010,MATCH(139,$AY$11:$AY$4010,0)),""))</f>
        <v/>
      </c>
      <c r="Z149" s="11" t="str">
        <f>IF(X149="","",IFERROR(INDEX($AO$11:$AO$4010,MATCH(139,$AY$11:$AY$4010,0)),""))</f>
        <v/>
      </c>
      <c r="AA149" s="10" t="str">
        <f>IF(X149="","",IFERROR(INDEX($AQ$11:$AQ$4010,MATCH(139,$AY$11:$AY$4010,0)),""))</f>
        <v/>
      </c>
      <c r="AB149" s="15" t="str">
        <f>IF(X149="","",IFERROR(INDEX($AR$11:$AR$4010,MATCH(139,$AY$11:$AY$4010,0)),""))</f>
        <v/>
      </c>
      <c r="AD149" s="16" t="str">
        <f>IF(AE149="","",IFERROR(INDEX($AL$11:$AL$4010,MATCH(139,$AZ$11:$AZ$4010,0)),""))</f>
        <v/>
      </c>
      <c r="AE149" s="12" t="str">
        <f>IFERROR(INDEX($AM$11:$AM$4010,MATCH(139,$AZ$11:$AZ$4010,0)),"")</f>
        <v/>
      </c>
      <c r="AF149" s="11" t="str">
        <f>IF(AE149="","",IFERROR(INDEX($AN$11:$AN$4010,MATCH(139,$AZ$11:$AZ$4010,0)),""))</f>
        <v/>
      </c>
      <c r="AG149" s="11" t="str">
        <f>IF(AE149="","",IFERROR(INDEX($AO$11:$AO$4010,MATCH(139,$AZ$11:$AZ$4010,0)),""))</f>
        <v/>
      </c>
      <c r="AH149" s="10" t="str">
        <f>IF(AE149="","",IFERROR(INDEX($AQ$11:$AQ$4010,MATCH(139,$AZ$11:$AZ$4010,0)),""))</f>
        <v/>
      </c>
      <c r="AI149" s="15" t="str">
        <f>IF(AE149="","",IFERROR(INDEX($AR$11:$AR$4010,MATCH(139,$AZ$11:$AZ$4010,0)),""))</f>
        <v/>
      </c>
      <c r="AJ149" s="15" t="str">
        <f>IF(AE149="","",IFERROR(INDEX($AT$11:$AT$4010,MATCH(139,$AZ$11:$AZ$4010,0)),""))</f>
        <v/>
      </c>
      <c r="AL149" s="17" t="str">
        <f t="shared" si="35"/>
        <v/>
      </c>
      <c r="AM149" s="12" t="str">
        <f t="shared" si="36"/>
        <v/>
      </c>
      <c r="AN149" s="18" t="str">
        <f t="shared" si="37"/>
        <v/>
      </c>
      <c r="AO149" s="18" t="str">
        <f t="shared" si="38"/>
        <v/>
      </c>
      <c r="AP149" s="10" t="str">
        <f t="shared" si="39"/>
        <v/>
      </c>
      <c r="AQ149" s="10" t="str">
        <f t="shared" si="40"/>
        <v/>
      </c>
      <c r="AR149" s="19" t="str">
        <f t="shared" si="41"/>
        <v/>
      </c>
      <c r="AS149" s="20"/>
      <c r="AT149" s="19"/>
      <c r="AV149" s="21">
        <f>IF(AND($AL149&lt;&gt;"",COUNTIF($AL$11:$AL149,$AL149)=1),1,0)</f>
        <v>0</v>
      </c>
      <c r="AW149" s="21">
        <f t="shared" si="43"/>
        <v>2</v>
      </c>
      <c r="AX149" s="21" t="str">
        <f t="shared" si="42"/>
        <v/>
      </c>
      <c r="AY149" s="21" t="str">
        <f>IF(AND($AM149&lt;&gt;"",$AS149&lt;&gt;"✓"),SUMPRODUCT(($AM$11:$AM149&lt;&gt;"")*($AS$11:$AS149&lt;&gt;"✓")),"")</f>
        <v/>
      </c>
      <c r="AZ149" s="21" t="str">
        <f>IF(AND($AM149&lt;&gt;"",$AS149="✓"),SUMPRODUCT(($AM$11:$AM149&lt;&gt;"")*($AS$11:$AS149="✓")),"")</f>
        <v/>
      </c>
      <c r="BA149" s="21" t="str">
        <f>IF($AL149="","",$AL149&amp;"|"&amp;COUNTIF($AL$11:$AL149,$AL149))</f>
        <v/>
      </c>
    </row>
    <row r="150" spans="2:53" ht="15" customHeight="1" x14ac:dyDescent="0.25">
      <c r="B150" s="5" t="str">
        <f t="shared" si="30"/>
        <v/>
      </c>
      <c r="C150" s="5"/>
      <c r="D150" s="5"/>
      <c r="E150" s="5"/>
      <c r="F150" s="6"/>
      <c r="G150" s="6"/>
      <c r="H150" s="7"/>
      <c r="I150" s="8"/>
      <c r="K150" s="23" t="str">
        <f>IFERROR(INDEX($AL$11:$AL$4010,MATCH(140,$AX$11:$AX$4010,0)),"")</f>
        <v/>
      </c>
      <c r="L150" s="24" t="str">
        <f t="shared" si="31"/>
        <v/>
      </c>
      <c r="M150" s="25" t="str">
        <f t="shared" si="32"/>
        <v/>
      </c>
      <c r="N150" s="25" t="str">
        <f t="shared" si="33"/>
        <v/>
      </c>
      <c r="P150" s="26" t="str">
        <f>IFERROR(INDEX($AM$11:$AM$4010,MATCH($S$8&amp;"|"&amp;140,$BA$11:$BA$4010,0)),"")</f>
        <v/>
      </c>
      <c r="Q150" s="25" t="str">
        <f>IF(P150="","",IFERROR(INDEX($AN$11:$AN$4010,MATCH($S$8&amp;"|"&amp;140,$BA$11:$BA$4010,0)),""))</f>
        <v/>
      </c>
      <c r="R150" s="25" t="str">
        <f>IF(P150="","",IFERROR(INDEX($AO$11:$AO$4010,MATCH($S$8&amp;"|"&amp;140,$BA$11:$BA$4010,0)),""))</f>
        <v/>
      </c>
      <c r="S150" s="24" t="str">
        <f>IF(P150="","",IFERROR(INDEX($AP$11:$AP$4010,MATCH($S$8&amp;"|"&amp;140,$BA$11:$BA$4010,0)),""))</f>
        <v/>
      </c>
      <c r="T150" s="24" t="str">
        <f>IF(P150="","",IFERROR(INDEX($AQ$11:$AQ$4010,MATCH($S$8&amp;"|"&amp;140,$BA$11:$BA$4010,0)),""))</f>
        <v/>
      </c>
      <c r="U150" s="38" t="str">
        <f t="shared" si="34"/>
        <v/>
      </c>
      <c r="W150" s="28" t="str">
        <f>IF(X150="","",IFERROR(INDEX($AL$11:$AL$4010,MATCH(140,$AY$11:$AY$4010,0)),""))</f>
        <v/>
      </c>
      <c r="X150" s="26" t="str">
        <f>IFERROR(INDEX($AM$11:$AM$4010,MATCH(140,$AY$11:$AY$4010,0)),"")</f>
        <v/>
      </c>
      <c r="Y150" s="25" t="str">
        <f>IF(X150="","",IFERROR(INDEX($AN$11:$AN$4010,MATCH(140,$AY$11:$AY$4010,0)),""))</f>
        <v/>
      </c>
      <c r="Z150" s="25" t="str">
        <f>IF(X150="","",IFERROR(INDEX($AO$11:$AO$4010,MATCH(140,$AY$11:$AY$4010,0)),""))</f>
        <v/>
      </c>
      <c r="AA150" s="24" t="str">
        <f>IF(X150="","",IFERROR(INDEX($AQ$11:$AQ$4010,MATCH(140,$AY$11:$AY$4010,0)),""))</f>
        <v/>
      </c>
      <c r="AB150" s="29" t="str">
        <f>IF(X150="","",IFERROR(INDEX($AR$11:$AR$4010,MATCH(140,$AY$11:$AY$4010,0)),""))</f>
        <v/>
      </c>
      <c r="AD150" s="30" t="str">
        <f>IF(AE150="","",IFERROR(INDEX($AL$11:$AL$4010,MATCH(140,$AZ$11:$AZ$4010,0)),""))</f>
        <v/>
      </c>
      <c r="AE150" s="26" t="str">
        <f>IFERROR(INDEX($AM$11:$AM$4010,MATCH(140,$AZ$11:$AZ$4010,0)),"")</f>
        <v/>
      </c>
      <c r="AF150" s="25" t="str">
        <f>IF(AE150="","",IFERROR(INDEX($AN$11:$AN$4010,MATCH(140,$AZ$11:$AZ$4010,0)),""))</f>
        <v/>
      </c>
      <c r="AG150" s="25" t="str">
        <f>IF(AE150="","",IFERROR(INDEX($AO$11:$AO$4010,MATCH(140,$AZ$11:$AZ$4010,0)),""))</f>
        <v/>
      </c>
      <c r="AH150" s="24" t="str">
        <f>IF(AE150="","",IFERROR(INDEX($AQ$11:$AQ$4010,MATCH(140,$AZ$11:$AZ$4010,0)),""))</f>
        <v/>
      </c>
      <c r="AI150" s="29" t="str">
        <f>IF(AE150="","",IFERROR(INDEX($AR$11:$AR$4010,MATCH(140,$AZ$11:$AZ$4010,0)),""))</f>
        <v/>
      </c>
      <c r="AJ150" s="29" t="str">
        <f>IF(AE150="","",IFERROR(INDEX($AT$11:$AT$4010,MATCH(140,$AZ$11:$AZ$4010,0)),""))</f>
        <v/>
      </c>
      <c r="AL150" s="31" t="str">
        <f t="shared" si="35"/>
        <v/>
      </c>
      <c r="AM150" s="26" t="str">
        <f t="shared" si="36"/>
        <v/>
      </c>
      <c r="AN150" s="32" t="str">
        <f t="shared" si="37"/>
        <v/>
      </c>
      <c r="AO150" s="32" t="str">
        <f t="shared" si="38"/>
        <v/>
      </c>
      <c r="AP150" s="24" t="str">
        <f t="shared" si="39"/>
        <v/>
      </c>
      <c r="AQ150" s="24" t="str">
        <f t="shared" si="40"/>
        <v/>
      </c>
      <c r="AR150" s="33" t="str">
        <f t="shared" si="41"/>
        <v/>
      </c>
      <c r="AS150" s="34"/>
      <c r="AT150" s="33"/>
      <c r="AV150" s="21">
        <f>IF(AND($AL150&lt;&gt;"",COUNTIF($AL$11:$AL150,$AL150)=1),1,0)</f>
        <v>0</v>
      </c>
      <c r="AW150" s="21">
        <f t="shared" si="43"/>
        <v>2</v>
      </c>
      <c r="AX150" s="21" t="str">
        <f t="shared" si="42"/>
        <v/>
      </c>
      <c r="AY150" s="21" t="str">
        <f>IF(AND($AM150&lt;&gt;"",$AS150&lt;&gt;"✓"),SUMPRODUCT(($AM$11:$AM150&lt;&gt;"")*($AS$11:$AS150&lt;&gt;"✓")),"")</f>
        <v/>
      </c>
      <c r="AZ150" s="21" t="str">
        <f>IF(AND($AM150&lt;&gt;"",$AS150="✓"),SUMPRODUCT(($AM$11:$AM150&lt;&gt;"")*($AS$11:$AS150="✓")),"")</f>
        <v/>
      </c>
      <c r="BA150" s="21" t="str">
        <f>IF($AL150="","",$AL150&amp;"|"&amp;COUNTIF($AL$11:$AL150,$AL150))</f>
        <v/>
      </c>
    </row>
    <row r="151" spans="2:53" ht="15" customHeight="1" x14ac:dyDescent="0.25">
      <c r="B151" s="5" t="str">
        <f t="shared" si="30"/>
        <v/>
      </c>
      <c r="C151" s="5"/>
      <c r="D151" s="5"/>
      <c r="E151" s="5"/>
      <c r="F151" s="6"/>
      <c r="G151" s="6"/>
      <c r="H151" s="7"/>
      <c r="I151" s="8"/>
      <c r="K151" s="9" t="str">
        <f>IFERROR(INDEX($AL$11:$AL$4010,MATCH(141,$AX$11:$AX$4010,0)),"")</f>
        <v/>
      </c>
      <c r="L151" s="10" t="str">
        <f t="shared" si="31"/>
        <v/>
      </c>
      <c r="M151" s="11" t="str">
        <f t="shared" si="32"/>
        <v/>
      </c>
      <c r="N151" s="11" t="str">
        <f t="shared" si="33"/>
        <v/>
      </c>
      <c r="P151" s="12" t="str">
        <f>IFERROR(INDEX($AM$11:$AM$4010,MATCH($S$8&amp;"|"&amp;141,$BA$11:$BA$4010,0)),"")</f>
        <v/>
      </c>
      <c r="Q151" s="11" t="str">
        <f>IF(P151="","",IFERROR(INDEX($AN$11:$AN$4010,MATCH($S$8&amp;"|"&amp;141,$BA$11:$BA$4010,0)),""))</f>
        <v/>
      </c>
      <c r="R151" s="11" t="str">
        <f>IF(P151="","",IFERROR(INDEX($AO$11:$AO$4010,MATCH($S$8&amp;"|"&amp;141,$BA$11:$BA$4010,0)),""))</f>
        <v/>
      </c>
      <c r="S151" s="10" t="str">
        <f>IF(P151="","",IFERROR(INDEX($AP$11:$AP$4010,MATCH($S$8&amp;"|"&amp;141,$BA$11:$BA$4010,0)),""))</f>
        <v/>
      </c>
      <c r="T151" s="10" t="str">
        <f>IF(P151="","",IFERROR(INDEX($AQ$11:$AQ$4010,MATCH($S$8&amp;"|"&amp;141,$BA$11:$BA$4010,0)),""))</f>
        <v/>
      </c>
      <c r="U151" s="39" t="str">
        <f t="shared" si="34"/>
        <v/>
      </c>
      <c r="W151" s="14" t="str">
        <f>IF(X151="","",IFERROR(INDEX($AL$11:$AL$4010,MATCH(141,$AY$11:$AY$4010,0)),""))</f>
        <v/>
      </c>
      <c r="X151" s="12" t="str">
        <f>IFERROR(INDEX($AM$11:$AM$4010,MATCH(141,$AY$11:$AY$4010,0)),"")</f>
        <v/>
      </c>
      <c r="Y151" s="11" t="str">
        <f>IF(X151="","",IFERROR(INDEX($AN$11:$AN$4010,MATCH(141,$AY$11:$AY$4010,0)),""))</f>
        <v/>
      </c>
      <c r="Z151" s="11" t="str">
        <f>IF(X151="","",IFERROR(INDEX($AO$11:$AO$4010,MATCH(141,$AY$11:$AY$4010,0)),""))</f>
        <v/>
      </c>
      <c r="AA151" s="10" t="str">
        <f>IF(X151="","",IFERROR(INDEX($AQ$11:$AQ$4010,MATCH(141,$AY$11:$AY$4010,0)),""))</f>
        <v/>
      </c>
      <c r="AB151" s="15" t="str">
        <f>IF(X151="","",IFERROR(INDEX($AR$11:$AR$4010,MATCH(141,$AY$11:$AY$4010,0)),""))</f>
        <v/>
      </c>
      <c r="AD151" s="16" t="str">
        <f>IF(AE151="","",IFERROR(INDEX($AL$11:$AL$4010,MATCH(141,$AZ$11:$AZ$4010,0)),""))</f>
        <v/>
      </c>
      <c r="AE151" s="12" t="str">
        <f>IFERROR(INDEX($AM$11:$AM$4010,MATCH(141,$AZ$11:$AZ$4010,0)),"")</f>
        <v/>
      </c>
      <c r="AF151" s="11" t="str">
        <f>IF(AE151="","",IFERROR(INDEX($AN$11:$AN$4010,MATCH(141,$AZ$11:$AZ$4010,0)),""))</f>
        <v/>
      </c>
      <c r="AG151" s="11" t="str">
        <f>IF(AE151="","",IFERROR(INDEX($AO$11:$AO$4010,MATCH(141,$AZ$11:$AZ$4010,0)),""))</f>
        <v/>
      </c>
      <c r="AH151" s="10" t="str">
        <f>IF(AE151="","",IFERROR(INDEX($AQ$11:$AQ$4010,MATCH(141,$AZ$11:$AZ$4010,0)),""))</f>
        <v/>
      </c>
      <c r="AI151" s="15" t="str">
        <f>IF(AE151="","",IFERROR(INDEX($AR$11:$AR$4010,MATCH(141,$AZ$11:$AZ$4010,0)),""))</f>
        <v/>
      </c>
      <c r="AJ151" s="15" t="str">
        <f>IF(AE151="","",IFERROR(INDEX($AT$11:$AT$4010,MATCH(141,$AZ$11:$AZ$4010,0)),""))</f>
        <v/>
      </c>
      <c r="AL151" s="17" t="str">
        <f t="shared" si="35"/>
        <v/>
      </c>
      <c r="AM151" s="12" t="str">
        <f t="shared" si="36"/>
        <v/>
      </c>
      <c r="AN151" s="18" t="str">
        <f t="shared" si="37"/>
        <v/>
      </c>
      <c r="AO151" s="18" t="str">
        <f t="shared" si="38"/>
        <v/>
      </c>
      <c r="AP151" s="10" t="str">
        <f t="shared" si="39"/>
        <v/>
      </c>
      <c r="AQ151" s="10" t="str">
        <f t="shared" si="40"/>
        <v/>
      </c>
      <c r="AR151" s="19" t="str">
        <f t="shared" si="41"/>
        <v/>
      </c>
      <c r="AS151" s="20"/>
      <c r="AT151" s="19"/>
      <c r="AV151" s="21">
        <f>IF(AND($AL151&lt;&gt;"",COUNTIF($AL$11:$AL151,$AL151)=1),1,0)</f>
        <v>0</v>
      </c>
      <c r="AW151" s="21">
        <f t="shared" si="43"/>
        <v>2</v>
      </c>
      <c r="AX151" s="21" t="str">
        <f t="shared" si="42"/>
        <v/>
      </c>
      <c r="AY151" s="21" t="str">
        <f>IF(AND($AM151&lt;&gt;"",$AS151&lt;&gt;"✓"),SUMPRODUCT(($AM$11:$AM151&lt;&gt;"")*($AS$11:$AS151&lt;&gt;"✓")),"")</f>
        <v/>
      </c>
      <c r="AZ151" s="21" t="str">
        <f>IF(AND($AM151&lt;&gt;"",$AS151="✓"),SUMPRODUCT(($AM$11:$AM151&lt;&gt;"")*($AS$11:$AS151="✓")),"")</f>
        <v/>
      </c>
      <c r="BA151" s="21" t="str">
        <f>IF($AL151="","",$AL151&amp;"|"&amp;COUNTIF($AL$11:$AL151,$AL151))</f>
        <v/>
      </c>
    </row>
    <row r="152" spans="2:53" ht="15" customHeight="1" x14ac:dyDescent="0.25">
      <c r="B152" s="5" t="str">
        <f t="shared" si="30"/>
        <v/>
      </c>
      <c r="C152" s="5"/>
      <c r="D152" s="5"/>
      <c r="E152" s="5"/>
      <c r="F152" s="6"/>
      <c r="G152" s="6"/>
      <c r="H152" s="7"/>
      <c r="I152" s="8"/>
      <c r="K152" s="23" t="str">
        <f>IFERROR(INDEX($AL$11:$AL$4010,MATCH(142,$AX$11:$AX$4010,0)),"")</f>
        <v/>
      </c>
      <c r="L152" s="24" t="str">
        <f t="shared" si="31"/>
        <v/>
      </c>
      <c r="M152" s="25" t="str">
        <f t="shared" si="32"/>
        <v/>
      </c>
      <c r="N152" s="25" t="str">
        <f t="shared" si="33"/>
        <v/>
      </c>
      <c r="P152" s="26" t="str">
        <f>IFERROR(INDEX($AM$11:$AM$4010,MATCH($S$8&amp;"|"&amp;142,$BA$11:$BA$4010,0)),"")</f>
        <v/>
      </c>
      <c r="Q152" s="25" t="str">
        <f>IF(P152="","",IFERROR(INDEX($AN$11:$AN$4010,MATCH($S$8&amp;"|"&amp;142,$BA$11:$BA$4010,0)),""))</f>
        <v/>
      </c>
      <c r="R152" s="25" t="str">
        <f>IF(P152="","",IFERROR(INDEX($AO$11:$AO$4010,MATCH($S$8&amp;"|"&amp;142,$BA$11:$BA$4010,0)),""))</f>
        <v/>
      </c>
      <c r="S152" s="24" t="str">
        <f>IF(P152="","",IFERROR(INDEX($AP$11:$AP$4010,MATCH($S$8&amp;"|"&amp;142,$BA$11:$BA$4010,0)),""))</f>
        <v/>
      </c>
      <c r="T152" s="24" t="str">
        <f>IF(P152="","",IFERROR(INDEX($AQ$11:$AQ$4010,MATCH($S$8&amp;"|"&amp;142,$BA$11:$BA$4010,0)),""))</f>
        <v/>
      </c>
      <c r="U152" s="38" t="str">
        <f t="shared" si="34"/>
        <v/>
      </c>
      <c r="W152" s="28" t="str">
        <f>IF(X152="","",IFERROR(INDEX($AL$11:$AL$4010,MATCH(142,$AY$11:$AY$4010,0)),""))</f>
        <v/>
      </c>
      <c r="X152" s="26" t="str">
        <f>IFERROR(INDEX($AM$11:$AM$4010,MATCH(142,$AY$11:$AY$4010,0)),"")</f>
        <v/>
      </c>
      <c r="Y152" s="25" t="str">
        <f>IF(X152="","",IFERROR(INDEX($AN$11:$AN$4010,MATCH(142,$AY$11:$AY$4010,0)),""))</f>
        <v/>
      </c>
      <c r="Z152" s="25" t="str">
        <f>IF(X152="","",IFERROR(INDEX($AO$11:$AO$4010,MATCH(142,$AY$11:$AY$4010,0)),""))</f>
        <v/>
      </c>
      <c r="AA152" s="24" t="str">
        <f>IF(X152="","",IFERROR(INDEX($AQ$11:$AQ$4010,MATCH(142,$AY$11:$AY$4010,0)),""))</f>
        <v/>
      </c>
      <c r="AB152" s="29" t="str">
        <f>IF(X152="","",IFERROR(INDEX($AR$11:$AR$4010,MATCH(142,$AY$11:$AY$4010,0)),""))</f>
        <v/>
      </c>
      <c r="AD152" s="30" t="str">
        <f>IF(AE152="","",IFERROR(INDEX($AL$11:$AL$4010,MATCH(142,$AZ$11:$AZ$4010,0)),""))</f>
        <v/>
      </c>
      <c r="AE152" s="26" t="str">
        <f>IFERROR(INDEX($AM$11:$AM$4010,MATCH(142,$AZ$11:$AZ$4010,0)),"")</f>
        <v/>
      </c>
      <c r="AF152" s="25" t="str">
        <f>IF(AE152="","",IFERROR(INDEX($AN$11:$AN$4010,MATCH(142,$AZ$11:$AZ$4010,0)),""))</f>
        <v/>
      </c>
      <c r="AG152" s="25" t="str">
        <f>IF(AE152="","",IFERROR(INDEX($AO$11:$AO$4010,MATCH(142,$AZ$11:$AZ$4010,0)),""))</f>
        <v/>
      </c>
      <c r="AH152" s="24" t="str">
        <f>IF(AE152="","",IFERROR(INDEX($AQ$11:$AQ$4010,MATCH(142,$AZ$11:$AZ$4010,0)),""))</f>
        <v/>
      </c>
      <c r="AI152" s="29" t="str">
        <f>IF(AE152="","",IFERROR(INDEX($AR$11:$AR$4010,MATCH(142,$AZ$11:$AZ$4010,0)),""))</f>
        <v/>
      </c>
      <c r="AJ152" s="29" t="str">
        <f>IF(AE152="","",IFERROR(INDEX($AT$11:$AT$4010,MATCH(142,$AZ$11:$AZ$4010,0)),""))</f>
        <v/>
      </c>
      <c r="AL152" s="31" t="str">
        <f t="shared" si="35"/>
        <v/>
      </c>
      <c r="AM152" s="26" t="str">
        <f t="shared" si="36"/>
        <v/>
      </c>
      <c r="AN152" s="32" t="str">
        <f t="shared" si="37"/>
        <v/>
      </c>
      <c r="AO152" s="32" t="str">
        <f t="shared" si="38"/>
        <v/>
      </c>
      <c r="AP152" s="24" t="str">
        <f t="shared" si="39"/>
        <v/>
      </c>
      <c r="AQ152" s="24" t="str">
        <f t="shared" si="40"/>
        <v/>
      </c>
      <c r="AR152" s="33" t="str">
        <f t="shared" si="41"/>
        <v/>
      </c>
      <c r="AS152" s="34"/>
      <c r="AT152" s="33"/>
      <c r="AV152" s="21">
        <f>IF(AND($AL152&lt;&gt;"",COUNTIF($AL$11:$AL152,$AL152)=1),1,0)</f>
        <v>0</v>
      </c>
      <c r="AW152" s="21">
        <f t="shared" si="43"/>
        <v>2</v>
      </c>
      <c r="AX152" s="21" t="str">
        <f t="shared" si="42"/>
        <v/>
      </c>
      <c r="AY152" s="21" t="str">
        <f>IF(AND($AM152&lt;&gt;"",$AS152&lt;&gt;"✓"),SUMPRODUCT(($AM$11:$AM152&lt;&gt;"")*($AS$11:$AS152&lt;&gt;"✓")),"")</f>
        <v/>
      </c>
      <c r="AZ152" s="21" t="str">
        <f>IF(AND($AM152&lt;&gt;"",$AS152="✓"),SUMPRODUCT(($AM$11:$AM152&lt;&gt;"")*($AS$11:$AS152="✓")),"")</f>
        <v/>
      </c>
      <c r="BA152" s="21" t="str">
        <f>IF($AL152="","",$AL152&amp;"|"&amp;COUNTIF($AL$11:$AL152,$AL152))</f>
        <v/>
      </c>
    </row>
    <row r="153" spans="2:53" ht="15" customHeight="1" x14ac:dyDescent="0.25">
      <c r="B153" s="5" t="str">
        <f t="shared" si="30"/>
        <v/>
      </c>
      <c r="C153" s="5"/>
      <c r="D153" s="5"/>
      <c r="E153" s="5"/>
      <c r="F153" s="6"/>
      <c r="G153" s="6"/>
      <c r="H153" s="7"/>
      <c r="I153" s="8"/>
      <c r="K153" s="9" t="str">
        <f>IFERROR(INDEX($AL$11:$AL$4010,MATCH(143,$AX$11:$AX$4010,0)),"")</f>
        <v/>
      </c>
      <c r="L153" s="10" t="str">
        <f t="shared" si="31"/>
        <v/>
      </c>
      <c r="M153" s="11" t="str">
        <f t="shared" si="32"/>
        <v/>
      </c>
      <c r="N153" s="11" t="str">
        <f t="shared" si="33"/>
        <v/>
      </c>
      <c r="P153" s="12" t="str">
        <f>IFERROR(INDEX($AM$11:$AM$4010,MATCH($S$8&amp;"|"&amp;143,$BA$11:$BA$4010,0)),"")</f>
        <v/>
      </c>
      <c r="Q153" s="11" t="str">
        <f>IF(P153="","",IFERROR(INDEX($AN$11:$AN$4010,MATCH($S$8&amp;"|"&amp;143,$BA$11:$BA$4010,0)),""))</f>
        <v/>
      </c>
      <c r="R153" s="11" t="str">
        <f>IF(P153="","",IFERROR(INDEX($AO$11:$AO$4010,MATCH($S$8&amp;"|"&amp;143,$BA$11:$BA$4010,0)),""))</f>
        <v/>
      </c>
      <c r="S153" s="10" t="str">
        <f>IF(P153="","",IFERROR(INDEX($AP$11:$AP$4010,MATCH($S$8&amp;"|"&amp;143,$BA$11:$BA$4010,0)),""))</f>
        <v/>
      </c>
      <c r="T153" s="10" t="str">
        <f>IF(P153="","",IFERROR(INDEX($AQ$11:$AQ$4010,MATCH($S$8&amp;"|"&amp;143,$BA$11:$BA$4010,0)),""))</f>
        <v/>
      </c>
      <c r="U153" s="39" t="str">
        <f t="shared" si="34"/>
        <v/>
      </c>
      <c r="W153" s="14" t="str">
        <f>IF(X153="","",IFERROR(INDEX($AL$11:$AL$4010,MATCH(143,$AY$11:$AY$4010,0)),""))</f>
        <v/>
      </c>
      <c r="X153" s="12" t="str">
        <f>IFERROR(INDEX($AM$11:$AM$4010,MATCH(143,$AY$11:$AY$4010,0)),"")</f>
        <v/>
      </c>
      <c r="Y153" s="11" t="str">
        <f>IF(X153="","",IFERROR(INDEX($AN$11:$AN$4010,MATCH(143,$AY$11:$AY$4010,0)),""))</f>
        <v/>
      </c>
      <c r="Z153" s="11" t="str">
        <f>IF(X153="","",IFERROR(INDEX($AO$11:$AO$4010,MATCH(143,$AY$11:$AY$4010,0)),""))</f>
        <v/>
      </c>
      <c r="AA153" s="10" t="str">
        <f>IF(X153="","",IFERROR(INDEX($AQ$11:$AQ$4010,MATCH(143,$AY$11:$AY$4010,0)),""))</f>
        <v/>
      </c>
      <c r="AB153" s="15" t="str">
        <f>IF(X153="","",IFERROR(INDEX($AR$11:$AR$4010,MATCH(143,$AY$11:$AY$4010,0)),""))</f>
        <v/>
      </c>
      <c r="AD153" s="16" t="str">
        <f>IF(AE153="","",IFERROR(INDEX($AL$11:$AL$4010,MATCH(143,$AZ$11:$AZ$4010,0)),""))</f>
        <v/>
      </c>
      <c r="AE153" s="12" t="str">
        <f>IFERROR(INDEX($AM$11:$AM$4010,MATCH(143,$AZ$11:$AZ$4010,0)),"")</f>
        <v/>
      </c>
      <c r="AF153" s="11" t="str">
        <f>IF(AE153="","",IFERROR(INDEX($AN$11:$AN$4010,MATCH(143,$AZ$11:$AZ$4010,0)),""))</f>
        <v/>
      </c>
      <c r="AG153" s="11" t="str">
        <f>IF(AE153="","",IFERROR(INDEX($AO$11:$AO$4010,MATCH(143,$AZ$11:$AZ$4010,0)),""))</f>
        <v/>
      </c>
      <c r="AH153" s="10" t="str">
        <f>IF(AE153="","",IFERROR(INDEX($AQ$11:$AQ$4010,MATCH(143,$AZ$11:$AZ$4010,0)),""))</f>
        <v/>
      </c>
      <c r="AI153" s="15" t="str">
        <f>IF(AE153="","",IFERROR(INDEX($AR$11:$AR$4010,MATCH(143,$AZ$11:$AZ$4010,0)),""))</f>
        <v/>
      </c>
      <c r="AJ153" s="15" t="str">
        <f>IF(AE153="","",IFERROR(INDEX($AT$11:$AT$4010,MATCH(143,$AZ$11:$AZ$4010,0)),""))</f>
        <v/>
      </c>
      <c r="AL153" s="17" t="str">
        <f t="shared" si="35"/>
        <v/>
      </c>
      <c r="AM153" s="12" t="str">
        <f t="shared" si="36"/>
        <v/>
      </c>
      <c r="AN153" s="18" t="str">
        <f t="shared" si="37"/>
        <v/>
      </c>
      <c r="AO153" s="18" t="str">
        <f t="shared" si="38"/>
        <v/>
      </c>
      <c r="AP153" s="10" t="str">
        <f t="shared" si="39"/>
        <v/>
      </c>
      <c r="AQ153" s="10" t="str">
        <f t="shared" si="40"/>
        <v/>
      </c>
      <c r="AR153" s="19" t="str">
        <f t="shared" si="41"/>
        <v/>
      </c>
      <c r="AS153" s="20"/>
      <c r="AT153" s="19"/>
      <c r="AV153" s="21">
        <f>IF(AND($AL153&lt;&gt;"",COUNTIF($AL$11:$AL153,$AL153)=1),1,0)</f>
        <v>0</v>
      </c>
      <c r="AW153" s="21">
        <f t="shared" si="43"/>
        <v>2</v>
      </c>
      <c r="AX153" s="21" t="str">
        <f t="shared" si="42"/>
        <v/>
      </c>
      <c r="AY153" s="21" t="str">
        <f>IF(AND($AM153&lt;&gt;"",$AS153&lt;&gt;"✓"),SUMPRODUCT(($AM$11:$AM153&lt;&gt;"")*($AS$11:$AS153&lt;&gt;"✓")),"")</f>
        <v/>
      </c>
      <c r="AZ153" s="21" t="str">
        <f>IF(AND($AM153&lt;&gt;"",$AS153="✓"),SUMPRODUCT(($AM$11:$AM153&lt;&gt;"")*($AS$11:$AS153="✓")),"")</f>
        <v/>
      </c>
      <c r="BA153" s="21" t="str">
        <f>IF($AL153="","",$AL153&amp;"|"&amp;COUNTIF($AL$11:$AL153,$AL153))</f>
        <v/>
      </c>
    </row>
    <row r="154" spans="2:53" ht="15" customHeight="1" x14ac:dyDescent="0.25">
      <c r="B154" s="5" t="str">
        <f t="shared" si="30"/>
        <v/>
      </c>
      <c r="C154" s="5"/>
      <c r="D154" s="5"/>
      <c r="E154" s="5"/>
      <c r="F154" s="6"/>
      <c r="G154" s="6"/>
      <c r="H154" s="7"/>
      <c r="I154" s="8"/>
      <c r="K154" s="23" t="str">
        <f>IFERROR(INDEX($AL$11:$AL$4010,MATCH(144,$AX$11:$AX$4010,0)),"")</f>
        <v/>
      </c>
      <c r="L154" s="24" t="str">
        <f t="shared" si="31"/>
        <v/>
      </c>
      <c r="M154" s="25" t="str">
        <f t="shared" si="32"/>
        <v/>
      </c>
      <c r="N154" s="25" t="str">
        <f t="shared" si="33"/>
        <v/>
      </c>
      <c r="P154" s="26" t="str">
        <f>IFERROR(INDEX($AM$11:$AM$4010,MATCH($S$8&amp;"|"&amp;144,$BA$11:$BA$4010,0)),"")</f>
        <v/>
      </c>
      <c r="Q154" s="25" t="str">
        <f>IF(P154="","",IFERROR(INDEX($AN$11:$AN$4010,MATCH($S$8&amp;"|"&amp;144,$BA$11:$BA$4010,0)),""))</f>
        <v/>
      </c>
      <c r="R154" s="25" t="str">
        <f>IF(P154="","",IFERROR(INDEX($AO$11:$AO$4010,MATCH($S$8&amp;"|"&amp;144,$BA$11:$BA$4010,0)),""))</f>
        <v/>
      </c>
      <c r="S154" s="24" t="str">
        <f>IF(P154="","",IFERROR(INDEX($AP$11:$AP$4010,MATCH($S$8&amp;"|"&amp;144,$BA$11:$BA$4010,0)),""))</f>
        <v/>
      </c>
      <c r="T154" s="24" t="str">
        <f>IF(P154="","",IFERROR(INDEX($AQ$11:$AQ$4010,MATCH($S$8&amp;"|"&amp;144,$BA$11:$BA$4010,0)),""))</f>
        <v/>
      </c>
      <c r="U154" s="38" t="str">
        <f t="shared" si="34"/>
        <v/>
      </c>
      <c r="W154" s="28" t="str">
        <f>IF(X154="","",IFERROR(INDEX($AL$11:$AL$4010,MATCH(144,$AY$11:$AY$4010,0)),""))</f>
        <v/>
      </c>
      <c r="X154" s="26" t="str">
        <f>IFERROR(INDEX($AM$11:$AM$4010,MATCH(144,$AY$11:$AY$4010,0)),"")</f>
        <v/>
      </c>
      <c r="Y154" s="25" t="str">
        <f>IF(X154="","",IFERROR(INDEX($AN$11:$AN$4010,MATCH(144,$AY$11:$AY$4010,0)),""))</f>
        <v/>
      </c>
      <c r="Z154" s="25" t="str">
        <f>IF(X154="","",IFERROR(INDEX($AO$11:$AO$4010,MATCH(144,$AY$11:$AY$4010,0)),""))</f>
        <v/>
      </c>
      <c r="AA154" s="24" t="str">
        <f>IF(X154="","",IFERROR(INDEX($AQ$11:$AQ$4010,MATCH(144,$AY$11:$AY$4010,0)),""))</f>
        <v/>
      </c>
      <c r="AB154" s="29" t="str">
        <f>IF(X154="","",IFERROR(INDEX($AR$11:$AR$4010,MATCH(144,$AY$11:$AY$4010,0)),""))</f>
        <v/>
      </c>
      <c r="AD154" s="30" t="str">
        <f>IF(AE154="","",IFERROR(INDEX($AL$11:$AL$4010,MATCH(144,$AZ$11:$AZ$4010,0)),""))</f>
        <v/>
      </c>
      <c r="AE154" s="26" t="str">
        <f>IFERROR(INDEX($AM$11:$AM$4010,MATCH(144,$AZ$11:$AZ$4010,0)),"")</f>
        <v/>
      </c>
      <c r="AF154" s="25" t="str">
        <f>IF(AE154="","",IFERROR(INDEX($AN$11:$AN$4010,MATCH(144,$AZ$11:$AZ$4010,0)),""))</f>
        <v/>
      </c>
      <c r="AG154" s="25" t="str">
        <f>IF(AE154="","",IFERROR(INDEX($AO$11:$AO$4010,MATCH(144,$AZ$11:$AZ$4010,0)),""))</f>
        <v/>
      </c>
      <c r="AH154" s="24" t="str">
        <f>IF(AE154="","",IFERROR(INDEX($AQ$11:$AQ$4010,MATCH(144,$AZ$11:$AZ$4010,0)),""))</f>
        <v/>
      </c>
      <c r="AI154" s="29" t="str">
        <f>IF(AE154="","",IFERROR(INDEX($AR$11:$AR$4010,MATCH(144,$AZ$11:$AZ$4010,0)),""))</f>
        <v/>
      </c>
      <c r="AJ154" s="29" t="str">
        <f>IF(AE154="","",IFERROR(INDEX($AT$11:$AT$4010,MATCH(144,$AZ$11:$AZ$4010,0)),""))</f>
        <v/>
      </c>
      <c r="AL154" s="31" t="str">
        <f t="shared" si="35"/>
        <v/>
      </c>
      <c r="AM154" s="26" t="str">
        <f t="shared" si="36"/>
        <v/>
      </c>
      <c r="AN154" s="32" t="str">
        <f t="shared" si="37"/>
        <v/>
      </c>
      <c r="AO154" s="32" t="str">
        <f t="shared" si="38"/>
        <v/>
      </c>
      <c r="AP154" s="24" t="str">
        <f t="shared" si="39"/>
        <v/>
      </c>
      <c r="AQ154" s="24" t="str">
        <f t="shared" si="40"/>
        <v/>
      </c>
      <c r="AR154" s="33" t="str">
        <f t="shared" si="41"/>
        <v/>
      </c>
      <c r="AS154" s="34"/>
      <c r="AT154" s="33"/>
      <c r="AV154" s="21">
        <f>IF(AND($AL154&lt;&gt;"",COUNTIF($AL$11:$AL154,$AL154)=1),1,0)</f>
        <v>0</v>
      </c>
      <c r="AW154" s="21">
        <f t="shared" si="43"/>
        <v>2</v>
      </c>
      <c r="AX154" s="21" t="str">
        <f t="shared" si="42"/>
        <v/>
      </c>
      <c r="AY154" s="21" t="str">
        <f>IF(AND($AM154&lt;&gt;"",$AS154&lt;&gt;"✓"),SUMPRODUCT(($AM$11:$AM154&lt;&gt;"")*($AS$11:$AS154&lt;&gt;"✓")),"")</f>
        <v/>
      </c>
      <c r="AZ154" s="21" t="str">
        <f>IF(AND($AM154&lt;&gt;"",$AS154="✓"),SUMPRODUCT(($AM$11:$AM154&lt;&gt;"")*($AS$11:$AS154="✓")),"")</f>
        <v/>
      </c>
      <c r="BA154" s="21" t="str">
        <f>IF($AL154="","",$AL154&amp;"|"&amp;COUNTIF($AL$11:$AL154,$AL154))</f>
        <v/>
      </c>
    </row>
    <row r="155" spans="2:53" ht="15" customHeight="1" x14ac:dyDescent="0.25">
      <c r="B155" s="5" t="str">
        <f t="shared" si="30"/>
        <v/>
      </c>
      <c r="C155" s="5"/>
      <c r="D155" s="5"/>
      <c r="E155" s="5"/>
      <c r="F155" s="6"/>
      <c r="G155" s="6"/>
      <c r="H155" s="7"/>
      <c r="I155" s="8"/>
      <c r="K155" s="9" t="str">
        <f>IFERROR(INDEX($AL$11:$AL$4010,MATCH(145,$AX$11:$AX$4010,0)),"")</f>
        <v/>
      </c>
      <c r="L155" s="10" t="str">
        <f t="shared" si="31"/>
        <v/>
      </c>
      <c r="M155" s="11" t="str">
        <f t="shared" si="32"/>
        <v/>
      </c>
      <c r="N155" s="11" t="str">
        <f t="shared" si="33"/>
        <v/>
      </c>
      <c r="P155" s="12" t="str">
        <f>IFERROR(INDEX($AM$11:$AM$4010,MATCH($S$8&amp;"|"&amp;145,$BA$11:$BA$4010,0)),"")</f>
        <v/>
      </c>
      <c r="Q155" s="11" t="str">
        <f>IF(P155="","",IFERROR(INDEX($AN$11:$AN$4010,MATCH($S$8&amp;"|"&amp;145,$BA$11:$BA$4010,0)),""))</f>
        <v/>
      </c>
      <c r="R155" s="11" t="str">
        <f>IF(P155="","",IFERROR(INDEX($AO$11:$AO$4010,MATCH($S$8&amp;"|"&amp;145,$BA$11:$BA$4010,0)),""))</f>
        <v/>
      </c>
      <c r="S155" s="10" t="str">
        <f>IF(P155="","",IFERROR(INDEX($AP$11:$AP$4010,MATCH($S$8&amp;"|"&amp;145,$BA$11:$BA$4010,0)),""))</f>
        <v/>
      </c>
      <c r="T155" s="10" t="str">
        <f>IF(P155="","",IFERROR(INDEX($AQ$11:$AQ$4010,MATCH($S$8&amp;"|"&amp;145,$BA$11:$BA$4010,0)),""))</f>
        <v/>
      </c>
      <c r="U155" s="39" t="str">
        <f t="shared" si="34"/>
        <v/>
      </c>
      <c r="W155" s="14" t="str">
        <f>IF(X155="","",IFERROR(INDEX($AL$11:$AL$4010,MATCH(145,$AY$11:$AY$4010,0)),""))</f>
        <v/>
      </c>
      <c r="X155" s="12" t="str">
        <f>IFERROR(INDEX($AM$11:$AM$4010,MATCH(145,$AY$11:$AY$4010,0)),"")</f>
        <v/>
      </c>
      <c r="Y155" s="11" t="str">
        <f>IF(X155="","",IFERROR(INDEX($AN$11:$AN$4010,MATCH(145,$AY$11:$AY$4010,0)),""))</f>
        <v/>
      </c>
      <c r="Z155" s="11" t="str">
        <f>IF(X155="","",IFERROR(INDEX($AO$11:$AO$4010,MATCH(145,$AY$11:$AY$4010,0)),""))</f>
        <v/>
      </c>
      <c r="AA155" s="10" t="str">
        <f>IF(X155="","",IFERROR(INDEX($AQ$11:$AQ$4010,MATCH(145,$AY$11:$AY$4010,0)),""))</f>
        <v/>
      </c>
      <c r="AB155" s="15" t="str">
        <f>IF(X155="","",IFERROR(INDEX($AR$11:$AR$4010,MATCH(145,$AY$11:$AY$4010,0)),""))</f>
        <v/>
      </c>
      <c r="AD155" s="16" t="str">
        <f>IF(AE155="","",IFERROR(INDEX($AL$11:$AL$4010,MATCH(145,$AZ$11:$AZ$4010,0)),""))</f>
        <v/>
      </c>
      <c r="AE155" s="12" t="str">
        <f>IFERROR(INDEX($AM$11:$AM$4010,MATCH(145,$AZ$11:$AZ$4010,0)),"")</f>
        <v/>
      </c>
      <c r="AF155" s="11" t="str">
        <f>IF(AE155="","",IFERROR(INDEX($AN$11:$AN$4010,MATCH(145,$AZ$11:$AZ$4010,0)),""))</f>
        <v/>
      </c>
      <c r="AG155" s="11" t="str">
        <f>IF(AE155="","",IFERROR(INDEX($AO$11:$AO$4010,MATCH(145,$AZ$11:$AZ$4010,0)),""))</f>
        <v/>
      </c>
      <c r="AH155" s="10" t="str">
        <f>IF(AE155="","",IFERROR(INDEX($AQ$11:$AQ$4010,MATCH(145,$AZ$11:$AZ$4010,0)),""))</f>
        <v/>
      </c>
      <c r="AI155" s="15" t="str">
        <f>IF(AE155="","",IFERROR(INDEX($AR$11:$AR$4010,MATCH(145,$AZ$11:$AZ$4010,0)),""))</f>
        <v/>
      </c>
      <c r="AJ155" s="15" t="str">
        <f>IF(AE155="","",IFERROR(INDEX($AT$11:$AT$4010,MATCH(145,$AZ$11:$AZ$4010,0)),""))</f>
        <v/>
      </c>
      <c r="AL155" s="17" t="str">
        <f t="shared" si="35"/>
        <v/>
      </c>
      <c r="AM155" s="12" t="str">
        <f t="shared" si="36"/>
        <v/>
      </c>
      <c r="AN155" s="18" t="str">
        <f t="shared" si="37"/>
        <v/>
      </c>
      <c r="AO155" s="18" t="str">
        <f t="shared" si="38"/>
        <v/>
      </c>
      <c r="AP155" s="10" t="str">
        <f t="shared" si="39"/>
        <v/>
      </c>
      <c r="AQ155" s="10" t="str">
        <f t="shared" si="40"/>
        <v/>
      </c>
      <c r="AR155" s="19" t="str">
        <f t="shared" si="41"/>
        <v/>
      </c>
      <c r="AS155" s="20"/>
      <c r="AT155" s="19"/>
      <c r="AV155" s="21">
        <f>IF(AND($AL155&lt;&gt;"",COUNTIF($AL$11:$AL155,$AL155)=1),1,0)</f>
        <v>0</v>
      </c>
      <c r="AW155" s="21">
        <f t="shared" si="43"/>
        <v>2</v>
      </c>
      <c r="AX155" s="21" t="str">
        <f t="shared" si="42"/>
        <v/>
      </c>
      <c r="AY155" s="21" t="str">
        <f>IF(AND($AM155&lt;&gt;"",$AS155&lt;&gt;"✓"),SUMPRODUCT(($AM$11:$AM155&lt;&gt;"")*($AS$11:$AS155&lt;&gt;"✓")),"")</f>
        <v/>
      </c>
      <c r="AZ155" s="21" t="str">
        <f>IF(AND($AM155&lt;&gt;"",$AS155="✓"),SUMPRODUCT(($AM$11:$AM155&lt;&gt;"")*($AS$11:$AS155="✓")),"")</f>
        <v/>
      </c>
      <c r="BA155" s="21" t="str">
        <f>IF($AL155="","",$AL155&amp;"|"&amp;COUNTIF($AL$11:$AL155,$AL155))</f>
        <v/>
      </c>
    </row>
    <row r="156" spans="2:53" ht="15" customHeight="1" x14ac:dyDescent="0.25">
      <c r="B156" s="5" t="str">
        <f t="shared" si="30"/>
        <v/>
      </c>
      <c r="C156" s="5"/>
      <c r="D156" s="5"/>
      <c r="E156" s="5"/>
      <c r="F156" s="6"/>
      <c r="G156" s="6"/>
      <c r="H156" s="7"/>
      <c r="I156" s="8"/>
      <c r="K156" s="23" t="str">
        <f>IFERROR(INDEX($AL$11:$AL$4010,MATCH(146,$AX$11:$AX$4010,0)),"")</f>
        <v/>
      </c>
      <c r="L156" s="24" t="str">
        <f t="shared" si="31"/>
        <v/>
      </c>
      <c r="M156" s="25" t="str">
        <f t="shared" si="32"/>
        <v/>
      </c>
      <c r="N156" s="25" t="str">
        <f t="shared" si="33"/>
        <v/>
      </c>
      <c r="P156" s="26" t="str">
        <f>IFERROR(INDEX($AM$11:$AM$4010,MATCH($S$8&amp;"|"&amp;146,$BA$11:$BA$4010,0)),"")</f>
        <v/>
      </c>
      <c r="Q156" s="25" t="str">
        <f>IF(P156="","",IFERROR(INDEX($AN$11:$AN$4010,MATCH($S$8&amp;"|"&amp;146,$BA$11:$BA$4010,0)),""))</f>
        <v/>
      </c>
      <c r="R156" s="25" t="str">
        <f>IF(P156="","",IFERROR(INDEX($AO$11:$AO$4010,MATCH($S$8&amp;"|"&amp;146,$BA$11:$BA$4010,0)),""))</f>
        <v/>
      </c>
      <c r="S156" s="24" t="str">
        <f>IF(P156="","",IFERROR(INDEX($AP$11:$AP$4010,MATCH($S$8&amp;"|"&amp;146,$BA$11:$BA$4010,0)),""))</f>
        <v/>
      </c>
      <c r="T156" s="24" t="str">
        <f>IF(P156="","",IFERROR(INDEX($AQ$11:$AQ$4010,MATCH($S$8&amp;"|"&amp;146,$BA$11:$BA$4010,0)),""))</f>
        <v/>
      </c>
      <c r="U156" s="38" t="str">
        <f t="shared" si="34"/>
        <v/>
      </c>
      <c r="W156" s="28" t="str">
        <f>IF(X156="","",IFERROR(INDEX($AL$11:$AL$4010,MATCH(146,$AY$11:$AY$4010,0)),""))</f>
        <v/>
      </c>
      <c r="X156" s="26" t="str">
        <f>IFERROR(INDEX($AM$11:$AM$4010,MATCH(146,$AY$11:$AY$4010,0)),"")</f>
        <v/>
      </c>
      <c r="Y156" s="25" t="str">
        <f>IF(X156="","",IFERROR(INDEX($AN$11:$AN$4010,MATCH(146,$AY$11:$AY$4010,0)),""))</f>
        <v/>
      </c>
      <c r="Z156" s="25" t="str">
        <f>IF(X156="","",IFERROR(INDEX($AO$11:$AO$4010,MATCH(146,$AY$11:$AY$4010,0)),""))</f>
        <v/>
      </c>
      <c r="AA156" s="24" t="str">
        <f>IF(X156="","",IFERROR(INDEX($AQ$11:$AQ$4010,MATCH(146,$AY$11:$AY$4010,0)),""))</f>
        <v/>
      </c>
      <c r="AB156" s="29" t="str">
        <f>IF(X156="","",IFERROR(INDEX($AR$11:$AR$4010,MATCH(146,$AY$11:$AY$4010,0)),""))</f>
        <v/>
      </c>
      <c r="AD156" s="30" t="str">
        <f>IF(AE156="","",IFERROR(INDEX($AL$11:$AL$4010,MATCH(146,$AZ$11:$AZ$4010,0)),""))</f>
        <v/>
      </c>
      <c r="AE156" s="26" t="str">
        <f>IFERROR(INDEX($AM$11:$AM$4010,MATCH(146,$AZ$11:$AZ$4010,0)),"")</f>
        <v/>
      </c>
      <c r="AF156" s="25" t="str">
        <f>IF(AE156="","",IFERROR(INDEX($AN$11:$AN$4010,MATCH(146,$AZ$11:$AZ$4010,0)),""))</f>
        <v/>
      </c>
      <c r="AG156" s="25" t="str">
        <f>IF(AE156="","",IFERROR(INDEX($AO$11:$AO$4010,MATCH(146,$AZ$11:$AZ$4010,0)),""))</f>
        <v/>
      </c>
      <c r="AH156" s="24" t="str">
        <f>IF(AE156="","",IFERROR(INDEX($AQ$11:$AQ$4010,MATCH(146,$AZ$11:$AZ$4010,0)),""))</f>
        <v/>
      </c>
      <c r="AI156" s="29" t="str">
        <f>IF(AE156="","",IFERROR(INDEX($AR$11:$AR$4010,MATCH(146,$AZ$11:$AZ$4010,0)),""))</f>
        <v/>
      </c>
      <c r="AJ156" s="29" t="str">
        <f>IF(AE156="","",IFERROR(INDEX($AT$11:$AT$4010,MATCH(146,$AZ$11:$AZ$4010,0)),""))</f>
        <v/>
      </c>
      <c r="AL156" s="31" t="str">
        <f t="shared" si="35"/>
        <v/>
      </c>
      <c r="AM156" s="26" t="str">
        <f t="shared" si="36"/>
        <v/>
      </c>
      <c r="AN156" s="32" t="str">
        <f t="shared" si="37"/>
        <v/>
      </c>
      <c r="AO156" s="32" t="str">
        <f t="shared" si="38"/>
        <v/>
      </c>
      <c r="AP156" s="24" t="str">
        <f t="shared" si="39"/>
        <v/>
      </c>
      <c r="AQ156" s="24" t="str">
        <f t="shared" si="40"/>
        <v/>
      </c>
      <c r="AR156" s="33" t="str">
        <f t="shared" si="41"/>
        <v/>
      </c>
      <c r="AS156" s="34"/>
      <c r="AT156" s="33"/>
      <c r="AV156" s="21">
        <f>IF(AND($AL156&lt;&gt;"",COUNTIF($AL$11:$AL156,$AL156)=1),1,0)</f>
        <v>0</v>
      </c>
      <c r="AW156" s="21">
        <f t="shared" si="43"/>
        <v>2</v>
      </c>
      <c r="AX156" s="21" t="str">
        <f t="shared" si="42"/>
        <v/>
      </c>
      <c r="AY156" s="21" t="str">
        <f>IF(AND($AM156&lt;&gt;"",$AS156&lt;&gt;"✓"),SUMPRODUCT(($AM$11:$AM156&lt;&gt;"")*($AS$11:$AS156&lt;&gt;"✓")),"")</f>
        <v/>
      </c>
      <c r="AZ156" s="21" t="str">
        <f>IF(AND($AM156&lt;&gt;"",$AS156="✓"),SUMPRODUCT(($AM$11:$AM156&lt;&gt;"")*($AS$11:$AS156="✓")),"")</f>
        <v/>
      </c>
      <c r="BA156" s="21" t="str">
        <f>IF($AL156="","",$AL156&amp;"|"&amp;COUNTIF($AL$11:$AL156,$AL156))</f>
        <v/>
      </c>
    </row>
    <row r="157" spans="2:53" ht="15" customHeight="1" x14ac:dyDescent="0.25">
      <c r="B157" s="5" t="str">
        <f t="shared" si="30"/>
        <v/>
      </c>
      <c r="C157" s="5"/>
      <c r="D157" s="5"/>
      <c r="E157" s="5"/>
      <c r="F157" s="6"/>
      <c r="G157" s="6"/>
      <c r="H157" s="7"/>
      <c r="I157" s="8"/>
      <c r="K157" s="9" t="str">
        <f>IFERROR(INDEX($AL$11:$AL$4010,MATCH(147,$AX$11:$AX$4010,0)),"")</f>
        <v/>
      </c>
      <c r="L157" s="10" t="str">
        <f t="shared" si="31"/>
        <v/>
      </c>
      <c r="M157" s="11" t="str">
        <f t="shared" si="32"/>
        <v/>
      </c>
      <c r="N157" s="11" t="str">
        <f t="shared" si="33"/>
        <v/>
      </c>
      <c r="P157" s="12" t="str">
        <f>IFERROR(INDEX($AM$11:$AM$4010,MATCH($S$8&amp;"|"&amp;147,$BA$11:$BA$4010,0)),"")</f>
        <v/>
      </c>
      <c r="Q157" s="11" t="str">
        <f>IF(P157="","",IFERROR(INDEX($AN$11:$AN$4010,MATCH($S$8&amp;"|"&amp;147,$BA$11:$BA$4010,0)),""))</f>
        <v/>
      </c>
      <c r="R157" s="11" t="str">
        <f>IF(P157="","",IFERROR(INDEX($AO$11:$AO$4010,MATCH($S$8&amp;"|"&amp;147,$BA$11:$BA$4010,0)),""))</f>
        <v/>
      </c>
      <c r="S157" s="10" t="str">
        <f>IF(P157="","",IFERROR(INDEX($AP$11:$AP$4010,MATCH($S$8&amp;"|"&amp;147,$BA$11:$BA$4010,0)),""))</f>
        <v/>
      </c>
      <c r="T157" s="10" t="str">
        <f>IF(P157="","",IFERROR(INDEX($AQ$11:$AQ$4010,MATCH($S$8&amp;"|"&amp;147,$BA$11:$BA$4010,0)),""))</f>
        <v/>
      </c>
      <c r="U157" s="39" t="str">
        <f t="shared" si="34"/>
        <v/>
      </c>
      <c r="W157" s="14" t="str">
        <f>IF(X157="","",IFERROR(INDEX($AL$11:$AL$4010,MATCH(147,$AY$11:$AY$4010,0)),""))</f>
        <v/>
      </c>
      <c r="X157" s="12" t="str">
        <f>IFERROR(INDEX($AM$11:$AM$4010,MATCH(147,$AY$11:$AY$4010,0)),"")</f>
        <v/>
      </c>
      <c r="Y157" s="11" t="str">
        <f>IF(X157="","",IFERROR(INDEX($AN$11:$AN$4010,MATCH(147,$AY$11:$AY$4010,0)),""))</f>
        <v/>
      </c>
      <c r="Z157" s="11" t="str">
        <f>IF(X157="","",IFERROR(INDEX($AO$11:$AO$4010,MATCH(147,$AY$11:$AY$4010,0)),""))</f>
        <v/>
      </c>
      <c r="AA157" s="10" t="str">
        <f>IF(X157="","",IFERROR(INDEX($AQ$11:$AQ$4010,MATCH(147,$AY$11:$AY$4010,0)),""))</f>
        <v/>
      </c>
      <c r="AB157" s="15" t="str">
        <f>IF(X157="","",IFERROR(INDEX($AR$11:$AR$4010,MATCH(147,$AY$11:$AY$4010,0)),""))</f>
        <v/>
      </c>
      <c r="AD157" s="16" t="str">
        <f>IF(AE157="","",IFERROR(INDEX($AL$11:$AL$4010,MATCH(147,$AZ$11:$AZ$4010,0)),""))</f>
        <v/>
      </c>
      <c r="AE157" s="12" t="str">
        <f>IFERROR(INDEX($AM$11:$AM$4010,MATCH(147,$AZ$11:$AZ$4010,0)),"")</f>
        <v/>
      </c>
      <c r="AF157" s="11" t="str">
        <f>IF(AE157="","",IFERROR(INDEX($AN$11:$AN$4010,MATCH(147,$AZ$11:$AZ$4010,0)),""))</f>
        <v/>
      </c>
      <c r="AG157" s="11" t="str">
        <f>IF(AE157="","",IFERROR(INDEX($AO$11:$AO$4010,MATCH(147,$AZ$11:$AZ$4010,0)),""))</f>
        <v/>
      </c>
      <c r="AH157" s="10" t="str">
        <f>IF(AE157="","",IFERROR(INDEX($AQ$11:$AQ$4010,MATCH(147,$AZ$11:$AZ$4010,0)),""))</f>
        <v/>
      </c>
      <c r="AI157" s="15" t="str">
        <f>IF(AE157="","",IFERROR(INDEX($AR$11:$AR$4010,MATCH(147,$AZ$11:$AZ$4010,0)),""))</f>
        <v/>
      </c>
      <c r="AJ157" s="15" t="str">
        <f>IF(AE157="","",IFERROR(INDEX($AT$11:$AT$4010,MATCH(147,$AZ$11:$AZ$4010,0)),""))</f>
        <v/>
      </c>
      <c r="AL157" s="17" t="str">
        <f t="shared" si="35"/>
        <v/>
      </c>
      <c r="AM157" s="12" t="str">
        <f t="shared" si="36"/>
        <v/>
      </c>
      <c r="AN157" s="18" t="str">
        <f t="shared" si="37"/>
        <v/>
      </c>
      <c r="AO157" s="18" t="str">
        <f t="shared" si="38"/>
        <v/>
      </c>
      <c r="AP157" s="10" t="str">
        <f t="shared" si="39"/>
        <v/>
      </c>
      <c r="AQ157" s="10" t="str">
        <f t="shared" si="40"/>
        <v/>
      </c>
      <c r="AR157" s="19" t="str">
        <f t="shared" si="41"/>
        <v/>
      </c>
      <c r="AS157" s="20"/>
      <c r="AT157" s="19"/>
      <c r="AV157" s="21">
        <f>IF(AND($AL157&lt;&gt;"",COUNTIF($AL$11:$AL157,$AL157)=1),1,0)</f>
        <v>0</v>
      </c>
      <c r="AW157" s="21">
        <f t="shared" si="43"/>
        <v>2</v>
      </c>
      <c r="AX157" s="21" t="str">
        <f t="shared" si="42"/>
        <v/>
      </c>
      <c r="AY157" s="21" t="str">
        <f>IF(AND($AM157&lt;&gt;"",$AS157&lt;&gt;"✓"),SUMPRODUCT(($AM$11:$AM157&lt;&gt;"")*($AS$11:$AS157&lt;&gt;"✓")),"")</f>
        <v/>
      </c>
      <c r="AZ157" s="21" t="str">
        <f>IF(AND($AM157&lt;&gt;"",$AS157="✓"),SUMPRODUCT(($AM$11:$AM157&lt;&gt;"")*($AS$11:$AS157="✓")),"")</f>
        <v/>
      </c>
      <c r="BA157" s="21" t="str">
        <f>IF($AL157="","",$AL157&amp;"|"&amp;COUNTIF($AL$11:$AL157,$AL157))</f>
        <v/>
      </c>
    </row>
    <row r="158" spans="2:53" ht="15" customHeight="1" x14ac:dyDescent="0.25">
      <c r="B158" s="5" t="str">
        <f t="shared" si="30"/>
        <v/>
      </c>
      <c r="C158" s="5"/>
      <c r="D158" s="5"/>
      <c r="E158" s="5"/>
      <c r="F158" s="6"/>
      <c r="G158" s="6"/>
      <c r="H158" s="7"/>
      <c r="I158" s="8"/>
      <c r="K158" s="23" t="str">
        <f>IFERROR(INDEX($AL$11:$AL$4010,MATCH(148,$AX$11:$AX$4010,0)),"")</f>
        <v/>
      </c>
      <c r="L158" s="24" t="str">
        <f t="shared" si="31"/>
        <v/>
      </c>
      <c r="M158" s="25" t="str">
        <f t="shared" si="32"/>
        <v/>
      </c>
      <c r="N158" s="25" t="str">
        <f t="shared" si="33"/>
        <v/>
      </c>
      <c r="P158" s="26" t="str">
        <f>IFERROR(INDEX($AM$11:$AM$4010,MATCH($S$8&amp;"|"&amp;148,$BA$11:$BA$4010,0)),"")</f>
        <v/>
      </c>
      <c r="Q158" s="25" t="str">
        <f>IF(P158="","",IFERROR(INDEX($AN$11:$AN$4010,MATCH($S$8&amp;"|"&amp;148,$BA$11:$BA$4010,0)),""))</f>
        <v/>
      </c>
      <c r="R158" s="25" t="str">
        <f>IF(P158="","",IFERROR(INDEX($AO$11:$AO$4010,MATCH($S$8&amp;"|"&amp;148,$BA$11:$BA$4010,0)),""))</f>
        <v/>
      </c>
      <c r="S158" s="24" t="str">
        <f>IF(P158="","",IFERROR(INDEX($AP$11:$AP$4010,MATCH($S$8&amp;"|"&amp;148,$BA$11:$BA$4010,0)),""))</f>
        <v/>
      </c>
      <c r="T158" s="24" t="str">
        <f>IF(P158="","",IFERROR(INDEX($AQ$11:$AQ$4010,MATCH($S$8&amp;"|"&amp;148,$BA$11:$BA$4010,0)),""))</f>
        <v/>
      </c>
      <c r="U158" s="38" t="str">
        <f t="shared" si="34"/>
        <v/>
      </c>
      <c r="W158" s="28" t="str">
        <f>IF(X158="","",IFERROR(INDEX($AL$11:$AL$4010,MATCH(148,$AY$11:$AY$4010,0)),""))</f>
        <v/>
      </c>
      <c r="X158" s="26" t="str">
        <f>IFERROR(INDEX($AM$11:$AM$4010,MATCH(148,$AY$11:$AY$4010,0)),"")</f>
        <v/>
      </c>
      <c r="Y158" s="25" t="str">
        <f>IF(X158="","",IFERROR(INDEX($AN$11:$AN$4010,MATCH(148,$AY$11:$AY$4010,0)),""))</f>
        <v/>
      </c>
      <c r="Z158" s="25" t="str">
        <f>IF(X158="","",IFERROR(INDEX($AO$11:$AO$4010,MATCH(148,$AY$11:$AY$4010,0)),""))</f>
        <v/>
      </c>
      <c r="AA158" s="24" t="str">
        <f>IF(X158="","",IFERROR(INDEX($AQ$11:$AQ$4010,MATCH(148,$AY$11:$AY$4010,0)),""))</f>
        <v/>
      </c>
      <c r="AB158" s="29" t="str">
        <f>IF(X158="","",IFERROR(INDEX($AR$11:$AR$4010,MATCH(148,$AY$11:$AY$4010,0)),""))</f>
        <v/>
      </c>
      <c r="AD158" s="30" t="str">
        <f>IF(AE158="","",IFERROR(INDEX($AL$11:$AL$4010,MATCH(148,$AZ$11:$AZ$4010,0)),""))</f>
        <v/>
      </c>
      <c r="AE158" s="26" t="str">
        <f>IFERROR(INDEX($AM$11:$AM$4010,MATCH(148,$AZ$11:$AZ$4010,0)),"")</f>
        <v/>
      </c>
      <c r="AF158" s="25" t="str">
        <f>IF(AE158="","",IFERROR(INDEX($AN$11:$AN$4010,MATCH(148,$AZ$11:$AZ$4010,0)),""))</f>
        <v/>
      </c>
      <c r="AG158" s="25" t="str">
        <f>IF(AE158="","",IFERROR(INDEX($AO$11:$AO$4010,MATCH(148,$AZ$11:$AZ$4010,0)),""))</f>
        <v/>
      </c>
      <c r="AH158" s="24" t="str">
        <f>IF(AE158="","",IFERROR(INDEX($AQ$11:$AQ$4010,MATCH(148,$AZ$11:$AZ$4010,0)),""))</f>
        <v/>
      </c>
      <c r="AI158" s="29" t="str">
        <f>IF(AE158="","",IFERROR(INDEX($AR$11:$AR$4010,MATCH(148,$AZ$11:$AZ$4010,0)),""))</f>
        <v/>
      </c>
      <c r="AJ158" s="29" t="str">
        <f>IF(AE158="","",IFERROR(INDEX($AT$11:$AT$4010,MATCH(148,$AZ$11:$AZ$4010,0)),""))</f>
        <v/>
      </c>
      <c r="AL158" s="31" t="str">
        <f t="shared" si="35"/>
        <v/>
      </c>
      <c r="AM158" s="26" t="str">
        <f t="shared" si="36"/>
        <v/>
      </c>
      <c r="AN158" s="32" t="str">
        <f t="shared" si="37"/>
        <v/>
      </c>
      <c r="AO158" s="32" t="str">
        <f t="shared" si="38"/>
        <v/>
      </c>
      <c r="AP158" s="24" t="str">
        <f t="shared" si="39"/>
        <v/>
      </c>
      <c r="AQ158" s="24" t="str">
        <f t="shared" si="40"/>
        <v/>
      </c>
      <c r="AR158" s="33" t="str">
        <f t="shared" si="41"/>
        <v/>
      </c>
      <c r="AS158" s="34"/>
      <c r="AT158" s="33"/>
      <c r="AV158" s="21">
        <f>IF(AND($AL158&lt;&gt;"",COUNTIF($AL$11:$AL158,$AL158)=1),1,0)</f>
        <v>0</v>
      </c>
      <c r="AW158" s="21">
        <f t="shared" si="43"/>
        <v>2</v>
      </c>
      <c r="AX158" s="21" t="str">
        <f t="shared" si="42"/>
        <v/>
      </c>
      <c r="AY158" s="21" t="str">
        <f>IF(AND($AM158&lt;&gt;"",$AS158&lt;&gt;"✓"),SUMPRODUCT(($AM$11:$AM158&lt;&gt;"")*($AS$11:$AS158&lt;&gt;"✓")),"")</f>
        <v/>
      </c>
      <c r="AZ158" s="21" t="str">
        <f>IF(AND($AM158&lt;&gt;"",$AS158="✓"),SUMPRODUCT(($AM$11:$AM158&lt;&gt;"")*($AS$11:$AS158="✓")),"")</f>
        <v/>
      </c>
      <c r="BA158" s="21" t="str">
        <f>IF($AL158="","",$AL158&amp;"|"&amp;COUNTIF($AL$11:$AL158,$AL158))</f>
        <v/>
      </c>
    </row>
    <row r="159" spans="2:53" ht="15" customHeight="1" x14ac:dyDescent="0.25">
      <c r="B159" s="5" t="str">
        <f t="shared" si="30"/>
        <v/>
      </c>
      <c r="C159" s="5"/>
      <c r="D159" s="5"/>
      <c r="E159" s="5"/>
      <c r="F159" s="6"/>
      <c r="G159" s="6"/>
      <c r="H159" s="7"/>
      <c r="I159" s="8"/>
      <c r="K159" s="9" t="str">
        <f>IFERROR(INDEX($AL$11:$AL$4010,MATCH(149,$AX$11:$AX$4010,0)),"")</f>
        <v/>
      </c>
      <c r="L159" s="10" t="str">
        <f t="shared" si="31"/>
        <v/>
      </c>
      <c r="M159" s="11" t="str">
        <f t="shared" si="32"/>
        <v/>
      </c>
      <c r="N159" s="11" t="str">
        <f t="shared" si="33"/>
        <v/>
      </c>
      <c r="P159" s="12" t="str">
        <f>IFERROR(INDEX($AM$11:$AM$4010,MATCH($S$8&amp;"|"&amp;149,$BA$11:$BA$4010,0)),"")</f>
        <v/>
      </c>
      <c r="Q159" s="11" t="str">
        <f>IF(P159="","",IFERROR(INDEX($AN$11:$AN$4010,MATCH($S$8&amp;"|"&amp;149,$BA$11:$BA$4010,0)),""))</f>
        <v/>
      </c>
      <c r="R159" s="11" t="str">
        <f>IF(P159="","",IFERROR(INDEX($AO$11:$AO$4010,MATCH($S$8&amp;"|"&amp;149,$BA$11:$BA$4010,0)),""))</f>
        <v/>
      </c>
      <c r="S159" s="10" t="str">
        <f>IF(P159="","",IFERROR(INDEX($AP$11:$AP$4010,MATCH($S$8&amp;"|"&amp;149,$BA$11:$BA$4010,0)),""))</f>
        <v/>
      </c>
      <c r="T159" s="10" t="str">
        <f>IF(P159="","",IFERROR(INDEX($AQ$11:$AQ$4010,MATCH($S$8&amp;"|"&amp;149,$BA$11:$BA$4010,0)),""))</f>
        <v/>
      </c>
      <c r="U159" s="39" t="str">
        <f t="shared" si="34"/>
        <v/>
      </c>
      <c r="W159" s="14" t="str">
        <f>IF(X159="","",IFERROR(INDEX($AL$11:$AL$4010,MATCH(149,$AY$11:$AY$4010,0)),""))</f>
        <v/>
      </c>
      <c r="X159" s="12" t="str">
        <f>IFERROR(INDEX($AM$11:$AM$4010,MATCH(149,$AY$11:$AY$4010,0)),"")</f>
        <v/>
      </c>
      <c r="Y159" s="11" t="str">
        <f>IF(X159="","",IFERROR(INDEX($AN$11:$AN$4010,MATCH(149,$AY$11:$AY$4010,0)),""))</f>
        <v/>
      </c>
      <c r="Z159" s="11" t="str">
        <f>IF(X159="","",IFERROR(INDEX($AO$11:$AO$4010,MATCH(149,$AY$11:$AY$4010,0)),""))</f>
        <v/>
      </c>
      <c r="AA159" s="10" t="str">
        <f>IF(X159="","",IFERROR(INDEX($AQ$11:$AQ$4010,MATCH(149,$AY$11:$AY$4010,0)),""))</f>
        <v/>
      </c>
      <c r="AB159" s="15" t="str">
        <f>IF(X159="","",IFERROR(INDEX($AR$11:$AR$4010,MATCH(149,$AY$11:$AY$4010,0)),""))</f>
        <v/>
      </c>
      <c r="AD159" s="16" t="str">
        <f>IF(AE159="","",IFERROR(INDEX($AL$11:$AL$4010,MATCH(149,$AZ$11:$AZ$4010,0)),""))</f>
        <v/>
      </c>
      <c r="AE159" s="12" t="str">
        <f>IFERROR(INDEX($AM$11:$AM$4010,MATCH(149,$AZ$11:$AZ$4010,0)),"")</f>
        <v/>
      </c>
      <c r="AF159" s="11" t="str">
        <f>IF(AE159="","",IFERROR(INDEX($AN$11:$AN$4010,MATCH(149,$AZ$11:$AZ$4010,0)),""))</f>
        <v/>
      </c>
      <c r="AG159" s="11" t="str">
        <f>IF(AE159="","",IFERROR(INDEX($AO$11:$AO$4010,MATCH(149,$AZ$11:$AZ$4010,0)),""))</f>
        <v/>
      </c>
      <c r="AH159" s="10" t="str">
        <f>IF(AE159="","",IFERROR(INDEX($AQ$11:$AQ$4010,MATCH(149,$AZ$11:$AZ$4010,0)),""))</f>
        <v/>
      </c>
      <c r="AI159" s="15" t="str">
        <f>IF(AE159="","",IFERROR(INDEX($AR$11:$AR$4010,MATCH(149,$AZ$11:$AZ$4010,0)),""))</f>
        <v/>
      </c>
      <c r="AJ159" s="15" t="str">
        <f>IF(AE159="","",IFERROR(INDEX($AT$11:$AT$4010,MATCH(149,$AZ$11:$AZ$4010,0)),""))</f>
        <v/>
      </c>
      <c r="AL159" s="17" t="str">
        <f t="shared" si="35"/>
        <v/>
      </c>
      <c r="AM159" s="12" t="str">
        <f t="shared" si="36"/>
        <v/>
      </c>
      <c r="AN159" s="18" t="str">
        <f t="shared" si="37"/>
        <v/>
      </c>
      <c r="AO159" s="18" t="str">
        <f t="shared" si="38"/>
        <v/>
      </c>
      <c r="AP159" s="10" t="str">
        <f t="shared" si="39"/>
        <v/>
      </c>
      <c r="AQ159" s="10" t="str">
        <f t="shared" si="40"/>
        <v/>
      </c>
      <c r="AR159" s="19" t="str">
        <f t="shared" si="41"/>
        <v/>
      </c>
      <c r="AS159" s="20"/>
      <c r="AT159" s="19"/>
      <c r="AV159" s="21">
        <f>IF(AND($AL159&lt;&gt;"",COUNTIF($AL$11:$AL159,$AL159)=1),1,0)</f>
        <v>0</v>
      </c>
      <c r="AW159" s="21">
        <f t="shared" si="43"/>
        <v>2</v>
      </c>
      <c r="AX159" s="21" t="str">
        <f t="shared" si="42"/>
        <v/>
      </c>
      <c r="AY159" s="21" t="str">
        <f>IF(AND($AM159&lt;&gt;"",$AS159&lt;&gt;"✓"),SUMPRODUCT(($AM$11:$AM159&lt;&gt;"")*($AS$11:$AS159&lt;&gt;"✓")),"")</f>
        <v/>
      </c>
      <c r="AZ159" s="21" t="str">
        <f>IF(AND($AM159&lt;&gt;"",$AS159="✓"),SUMPRODUCT(($AM$11:$AM159&lt;&gt;"")*($AS$11:$AS159="✓")),"")</f>
        <v/>
      </c>
      <c r="BA159" s="21" t="str">
        <f>IF($AL159="","",$AL159&amp;"|"&amp;COUNTIF($AL$11:$AL159,$AL159))</f>
        <v/>
      </c>
    </row>
    <row r="160" spans="2:53" ht="15" customHeight="1" x14ac:dyDescent="0.25">
      <c r="B160" s="5" t="str">
        <f t="shared" si="30"/>
        <v/>
      </c>
      <c r="C160" s="5"/>
      <c r="D160" s="5"/>
      <c r="E160" s="5"/>
      <c r="F160" s="6"/>
      <c r="G160" s="6"/>
      <c r="H160" s="7"/>
      <c r="I160" s="8"/>
      <c r="K160" s="23" t="str">
        <f>IFERROR(INDEX($AL$11:$AL$4010,MATCH(150,$AX$11:$AX$4010,0)),"")</f>
        <v/>
      </c>
      <c r="L160" s="24" t="str">
        <f t="shared" si="31"/>
        <v/>
      </c>
      <c r="M160" s="25" t="str">
        <f t="shared" si="32"/>
        <v/>
      </c>
      <c r="N160" s="25" t="str">
        <f t="shared" si="33"/>
        <v/>
      </c>
      <c r="P160" s="26" t="str">
        <f>IFERROR(INDEX($AM$11:$AM$4010,MATCH($S$8&amp;"|"&amp;150,$BA$11:$BA$4010,0)),"")</f>
        <v/>
      </c>
      <c r="Q160" s="25" t="str">
        <f>IF(P160="","",IFERROR(INDEX($AN$11:$AN$4010,MATCH($S$8&amp;"|"&amp;150,$BA$11:$BA$4010,0)),""))</f>
        <v/>
      </c>
      <c r="R160" s="25" t="str">
        <f>IF(P160="","",IFERROR(INDEX($AO$11:$AO$4010,MATCH($S$8&amp;"|"&amp;150,$BA$11:$BA$4010,0)),""))</f>
        <v/>
      </c>
      <c r="S160" s="24" t="str">
        <f>IF(P160="","",IFERROR(INDEX($AP$11:$AP$4010,MATCH($S$8&amp;"|"&amp;150,$BA$11:$BA$4010,0)),""))</f>
        <v/>
      </c>
      <c r="T160" s="24" t="str">
        <f>IF(P160="","",IFERROR(INDEX($AQ$11:$AQ$4010,MATCH($S$8&amp;"|"&amp;150,$BA$11:$BA$4010,0)),""))</f>
        <v/>
      </c>
      <c r="U160" s="38" t="str">
        <f t="shared" si="34"/>
        <v/>
      </c>
      <c r="W160" s="28" t="str">
        <f>IF(X160="","",IFERROR(INDEX($AL$11:$AL$4010,MATCH(150,$AY$11:$AY$4010,0)),""))</f>
        <v/>
      </c>
      <c r="X160" s="26" t="str">
        <f>IFERROR(INDEX($AM$11:$AM$4010,MATCH(150,$AY$11:$AY$4010,0)),"")</f>
        <v/>
      </c>
      <c r="Y160" s="25" t="str">
        <f>IF(X160="","",IFERROR(INDEX($AN$11:$AN$4010,MATCH(150,$AY$11:$AY$4010,0)),""))</f>
        <v/>
      </c>
      <c r="Z160" s="25" t="str">
        <f>IF(X160="","",IFERROR(INDEX($AO$11:$AO$4010,MATCH(150,$AY$11:$AY$4010,0)),""))</f>
        <v/>
      </c>
      <c r="AA160" s="24" t="str">
        <f>IF(X160="","",IFERROR(INDEX($AQ$11:$AQ$4010,MATCH(150,$AY$11:$AY$4010,0)),""))</f>
        <v/>
      </c>
      <c r="AB160" s="29" t="str">
        <f>IF(X160="","",IFERROR(INDEX($AR$11:$AR$4010,MATCH(150,$AY$11:$AY$4010,0)),""))</f>
        <v/>
      </c>
      <c r="AD160" s="30" t="str">
        <f>IF(AE160="","",IFERROR(INDEX($AL$11:$AL$4010,MATCH(150,$AZ$11:$AZ$4010,0)),""))</f>
        <v/>
      </c>
      <c r="AE160" s="26" t="str">
        <f>IFERROR(INDEX($AM$11:$AM$4010,MATCH(150,$AZ$11:$AZ$4010,0)),"")</f>
        <v/>
      </c>
      <c r="AF160" s="25" t="str">
        <f>IF(AE160="","",IFERROR(INDEX($AN$11:$AN$4010,MATCH(150,$AZ$11:$AZ$4010,0)),""))</f>
        <v/>
      </c>
      <c r="AG160" s="25" t="str">
        <f>IF(AE160="","",IFERROR(INDEX($AO$11:$AO$4010,MATCH(150,$AZ$11:$AZ$4010,0)),""))</f>
        <v/>
      </c>
      <c r="AH160" s="24" t="str">
        <f>IF(AE160="","",IFERROR(INDEX($AQ$11:$AQ$4010,MATCH(150,$AZ$11:$AZ$4010,0)),""))</f>
        <v/>
      </c>
      <c r="AI160" s="29" t="str">
        <f>IF(AE160="","",IFERROR(INDEX($AR$11:$AR$4010,MATCH(150,$AZ$11:$AZ$4010,0)),""))</f>
        <v/>
      </c>
      <c r="AJ160" s="29" t="str">
        <f>IF(AE160="","",IFERROR(INDEX($AT$11:$AT$4010,MATCH(150,$AZ$11:$AZ$4010,0)),""))</f>
        <v/>
      </c>
      <c r="AL160" s="31" t="str">
        <f t="shared" si="35"/>
        <v/>
      </c>
      <c r="AM160" s="26" t="str">
        <f t="shared" si="36"/>
        <v/>
      </c>
      <c r="AN160" s="32" t="str">
        <f t="shared" si="37"/>
        <v/>
      </c>
      <c r="AO160" s="32" t="str">
        <f t="shared" si="38"/>
        <v/>
      </c>
      <c r="AP160" s="24" t="str">
        <f t="shared" si="39"/>
        <v/>
      </c>
      <c r="AQ160" s="24" t="str">
        <f t="shared" si="40"/>
        <v/>
      </c>
      <c r="AR160" s="33" t="str">
        <f t="shared" si="41"/>
        <v/>
      </c>
      <c r="AS160" s="34"/>
      <c r="AT160" s="33"/>
      <c r="AV160" s="21">
        <f>IF(AND($AL160&lt;&gt;"",COUNTIF($AL$11:$AL160,$AL160)=1),1,0)</f>
        <v>0</v>
      </c>
      <c r="AW160" s="21">
        <f t="shared" si="43"/>
        <v>2</v>
      </c>
      <c r="AX160" s="21" t="str">
        <f t="shared" si="42"/>
        <v/>
      </c>
      <c r="AY160" s="21" t="str">
        <f>IF(AND($AM160&lt;&gt;"",$AS160&lt;&gt;"✓"),SUMPRODUCT(($AM$11:$AM160&lt;&gt;"")*($AS$11:$AS160&lt;&gt;"✓")),"")</f>
        <v/>
      </c>
      <c r="AZ160" s="21" t="str">
        <f>IF(AND($AM160&lt;&gt;"",$AS160="✓"),SUMPRODUCT(($AM$11:$AM160&lt;&gt;"")*($AS$11:$AS160="✓")),"")</f>
        <v/>
      </c>
      <c r="BA160" s="21" t="str">
        <f>IF($AL160="","",$AL160&amp;"|"&amp;COUNTIF($AL$11:$AL160,$AL160))</f>
        <v/>
      </c>
    </row>
    <row r="161" spans="2:53" ht="15" customHeight="1" x14ac:dyDescent="0.25">
      <c r="B161" s="5" t="str">
        <f t="shared" si="30"/>
        <v/>
      </c>
      <c r="C161" s="5"/>
      <c r="D161" s="5"/>
      <c r="E161" s="5"/>
      <c r="F161" s="6"/>
      <c r="G161" s="6"/>
      <c r="H161" s="7"/>
      <c r="I161" s="8"/>
      <c r="K161" s="9" t="str">
        <f>IFERROR(INDEX($AL$11:$AL$4010,MATCH(151,$AX$11:$AX$4010,0)),"")</f>
        <v/>
      </c>
      <c r="L161" s="10" t="str">
        <f t="shared" si="31"/>
        <v/>
      </c>
      <c r="M161" s="11" t="str">
        <f t="shared" si="32"/>
        <v/>
      </c>
      <c r="N161" s="11" t="str">
        <f t="shared" si="33"/>
        <v/>
      </c>
      <c r="P161" s="12" t="str">
        <f>IFERROR(INDEX($AM$11:$AM$4010,MATCH($S$8&amp;"|"&amp;151,$BA$11:$BA$4010,0)),"")</f>
        <v/>
      </c>
      <c r="Q161" s="11" t="str">
        <f>IF(P161="","",IFERROR(INDEX($AN$11:$AN$4010,MATCH($S$8&amp;"|"&amp;151,$BA$11:$BA$4010,0)),""))</f>
        <v/>
      </c>
      <c r="R161" s="11" t="str">
        <f>IF(P161="","",IFERROR(INDEX($AO$11:$AO$4010,MATCH($S$8&amp;"|"&amp;151,$BA$11:$BA$4010,0)),""))</f>
        <v/>
      </c>
      <c r="S161" s="10" t="str">
        <f>IF(P161="","",IFERROR(INDEX($AP$11:$AP$4010,MATCH($S$8&amp;"|"&amp;151,$BA$11:$BA$4010,0)),""))</f>
        <v/>
      </c>
      <c r="T161" s="10" t="str">
        <f>IF(P161="","",IFERROR(INDEX($AQ$11:$AQ$4010,MATCH($S$8&amp;"|"&amp;151,$BA$11:$BA$4010,0)),""))</f>
        <v/>
      </c>
      <c r="U161" s="39" t="str">
        <f t="shared" si="34"/>
        <v/>
      </c>
      <c r="W161" s="14" t="str">
        <f>IF(X161="","",IFERROR(INDEX($AL$11:$AL$4010,MATCH(151,$AY$11:$AY$4010,0)),""))</f>
        <v/>
      </c>
      <c r="X161" s="12" t="str">
        <f>IFERROR(INDEX($AM$11:$AM$4010,MATCH(151,$AY$11:$AY$4010,0)),"")</f>
        <v/>
      </c>
      <c r="Y161" s="11" t="str">
        <f>IF(X161="","",IFERROR(INDEX($AN$11:$AN$4010,MATCH(151,$AY$11:$AY$4010,0)),""))</f>
        <v/>
      </c>
      <c r="Z161" s="11" t="str">
        <f>IF(X161="","",IFERROR(INDEX($AO$11:$AO$4010,MATCH(151,$AY$11:$AY$4010,0)),""))</f>
        <v/>
      </c>
      <c r="AA161" s="10" t="str">
        <f>IF(X161="","",IFERROR(INDEX($AQ$11:$AQ$4010,MATCH(151,$AY$11:$AY$4010,0)),""))</f>
        <v/>
      </c>
      <c r="AB161" s="15" t="str">
        <f>IF(X161="","",IFERROR(INDEX($AR$11:$AR$4010,MATCH(151,$AY$11:$AY$4010,0)),""))</f>
        <v/>
      </c>
      <c r="AD161" s="16" t="str">
        <f>IF(AE161="","",IFERROR(INDEX($AL$11:$AL$4010,MATCH(151,$AZ$11:$AZ$4010,0)),""))</f>
        <v/>
      </c>
      <c r="AE161" s="12" t="str">
        <f>IFERROR(INDEX($AM$11:$AM$4010,MATCH(151,$AZ$11:$AZ$4010,0)),"")</f>
        <v/>
      </c>
      <c r="AF161" s="11" t="str">
        <f>IF(AE161="","",IFERROR(INDEX($AN$11:$AN$4010,MATCH(151,$AZ$11:$AZ$4010,0)),""))</f>
        <v/>
      </c>
      <c r="AG161" s="11" t="str">
        <f>IF(AE161="","",IFERROR(INDEX($AO$11:$AO$4010,MATCH(151,$AZ$11:$AZ$4010,0)),""))</f>
        <v/>
      </c>
      <c r="AH161" s="10" t="str">
        <f>IF(AE161="","",IFERROR(INDEX($AQ$11:$AQ$4010,MATCH(151,$AZ$11:$AZ$4010,0)),""))</f>
        <v/>
      </c>
      <c r="AI161" s="15" t="str">
        <f>IF(AE161="","",IFERROR(INDEX($AR$11:$AR$4010,MATCH(151,$AZ$11:$AZ$4010,0)),""))</f>
        <v/>
      </c>
      <c r="AJ161" s="15" t="str">
        <f>IF(AE161="","",IFERROR(INDEX($AT$11:$AT$4010,MATCH(151,$AZ$11:$AZ$4010,0)),""))</f>
        <v/>
      </c>
      <c r="AL161" s="17" t="str">
        <f t="shared" si="35"/>
        <v/>
      </c>
      <c r="AM161" s="12" t="str">
        <f t="shared" si="36"/>
        <v/>
      </c>
      <c r="AN161" s="18" t="str">
        <f t="shared" si="37"/>
        <v/>
      </c>
      <c r="AO161" s="18" t="str">
        <f t="shared" si="38"/>
        <v/>
      </c>
      <c r="AP161" s="10" t="str">
        <f t="shared" si="39"/>
        <v/>
      </c>
      <c r="AQ161" s="10" t="str">
        <f t="shared" si="40"/>
        <v/>
      </c>
      <c r="AR161" s="19" t="str">
        <f t="shared" si="41"/>
        <v/>
      </c>
      <c r="AS161" s="20"/>
      <c r="AT161" s="19"/>
      <c r="AV161" s="21">
        <f>IF(AND($AL161&lt;&gt;"",COUNTIF($AL$11:$AL161,$AL161)=1),1,0)</f>
        <v>0</v>
      </c>
      <c r="AW161" s="21">
        <f t="shared" si="43"/>
        <v>2</v>
      </c>
      <c r="AX161" s="21" t="str">
        <f t="shared" si="42"/>
        <v/>
      </c>
      <c r="AY161" s="21" t="str">
        <f>IF(AND($AM161&lt;&gt;"",$AS161&lt;&gt;"✓"),SUMPRODUCT(($AM$11:$AM161&lt;&gt;"")*($AS$11:$AS161&lt;&gt;"✓")),"")</f>
        <v/>
      </c>
      <c r="AZ161" s="21" t="str">
        <f>IF(AND($AM161&lt;&gt;"",$AS161="✓"),SUMPRODUCT(($AM$11:$AM161&lt;&gt;"")*($AS$11:$AS161="✓")),"")</f>
        <v/>
      </c>
      <c r="BA161" s="21" t="str">
        <f>IF($AL161="","",$AL161&amp;"|"&amp;COUNTIF($AL$11:$AL161,$AL161))</f>
        <v/>
      </c>
    </row>
    <row r="162" spans="2:53" ht="15" customHeight="1" x14ac:dyDescent="0.25">
      <c r="B162" s="5" t="str">
        <f t="shared" si="30"/>
        <v/>
      </c>
      <c r="C162" s="5"/>
      <c r="D162" s="5"/>
      <c r="E162" s="5"/>
      <c r="F162" s="6"/>
      <c r="G162" s="6"/>
      <c r="H162" s="7"/>
      <c r="I162" s="8"/>
      <c r="K162" s="23" t="str">
        <f>IFERROR(INDEX($AL$11:$AL$4010,MATCH(152,$AX$11:$AX$4010,0)),"")</f>
        <v/>
      </c>
      <c r="L162" s="24" t="str">
        <f t="shared" si="31"/>
        <v/>
      </c>
      <c r="M162" s="25" t="str">
        <f t="shared" si="32"/>
        <v/>
      </c>
      <c r="N162" s="25" t="str">
        <f t="shared" si="33"/>
        <v/>
      </c>
      <c r="P162" s="26" t="str">
        <f>IFERROR(INDEX($AM$11:$AM$4010,MATCH($S$8&amp;"|"&amp;152,$BA$11:$BA$4010,0)),"")</f>
        <v/>
      </c>
      <c r="Q162" s="25" t="str">
        <f>IF(P162="","",IFERROR(INDEX($AN$11:$AN$4010,MATCH($S$8&amp;"|"&amp;152,$BA$11:$BA$4010,0)),""))</f>
        <v/>
      </c>
      <c r="R162" s="25" t="str">
        <f>IF(P162="","",IFERROR(INDEX($AO$11:$AO$4010,MATCH($S$8&amp;"|"&amp;152,$BA$11:$BA$4010,0)),""))</f>
        <v/>
      </c>
      <c r="S162" s="24" t="str">
        <f>IF(P162="","",IFERROR(INDEX($AP$11:$AP$4010,MATCH($S$8&amp;"|"&amp;152,$BA$11:$BA$4010,0)),""))</f>
        <v/>
      </c>
      <c r="T162" s="24" t="str">
        <f>IF(P162="","",IFERROR(INDEX($AQ$11:$AQ$4010,MATCH($S$8&amp;"|"&amp;152,$BA$11:$BA$4010,0)),""))</f>
        <v/>
      </c>
      <c r="U162" s="38" t="str">
        <f t="shared" si="34"/>
        <v/>
      </c>
      <c r="W162" s="28" t="str">
        <f>IF(X162="","",IFERROR(INDEX($AL$11:$AL$4010,MATCH(152,$AY$11:$AY$4010,0)),""))</f>
        <v/>
      </c>
      <c r="X162" s="26" t="str">
        <f>IFERROR(INDEX($AM$11:$AM$4010,MATCH(152,$AY$11:$AY$4010,0)),"")</f>
        <v/>
      </c>
      <c r="Y162" s="25" t="str">
        <f>IF(X162="","",IFERROR(INDEX($AN$11:$AN$4010,MATCH(152,$AY$11:$AY$4010,0)),""))</f>
        <v/>
      </c>
      <c r="Z162" s="25" t="str">
        <f>IF(X162="","",IFERROR(INDEX($AO$11:$AO$4010,MATCH(152,$AY$11:$AY$4010,0)),""))</f>
        <v/>
      </c>
      <c r="AA162" s="24" t="str">
        <f>IF(X162="","",IFERROR(INDEX($AQ$11:$AQ$4010,MATCH(152,$AY$11:$AY$4010,0)),""))</f>
        <v/>
      </c>
      <c r="AB162" s="29" t="str">
        <f>IF(X162="","",IFERROR(INDEX($AR$11:$AR$4010,MATCH(152,$AY$11:$AY$4010,0)),""))</f>
        <v/>
      </c>
      <c r="AD162" s="30" t="str">
        <f>IF(AE162="","",IFERROR(INDEX($AL$11:$AL$4010,MATCH(152,$AZ$11:$AZ$4010,0)),""))</f>
        <v/>
      </c>
      <c r="AE162" s="26" t="str">
        <f>IFERROR(INDEX($AM$11:$AM$4010,MATCH(152,$AZ$11:$AZ$4010,0)),"")</f>
        <v/>
      </c>
      <c r="AF162" s="25" t="str">
        <f>IF(AE162="","",IFERROR(INDEX($AN$11:$AN$4010,MATCH(152,$AZ$11:$AZ$4010,0)),""))</f>
        <v/>
      </c>
      <c r="AG162" s="25" t="str">
        <f>IF(AE162="","",IFERROR(INDEX($AO$11:$AO$4010,MATCH(152,$AZ$11:$AZ$4010,0)),""))</f>
        <v/>
      </c>
      <c r="AH162" s="24" t="str">
        <f>IF(AE162="","",IFERROR(INDEX($AQ$11:$AQ$4010,MATCH(152,$AZ$11:$AZ$4010,0)),""))</f>
        <v/>
      </c>
      <c r="AI162" s="29" t="str">
        <f>IF(AE162="","",IFERROR(INDEX($AR$11:$AR$4010,MATCH(152,$AZ$11:$AZ$4010,0)),""))</f>
        <v/>
      </c>
      <c r="AJ162" s="29" t="str">
        <f>IF(AE162="","",IFERROR(INDEX($AT$11:$AT$4010,MATCH(152,$AZ$11:$AZ$4010,0)),""))</f>
        <v/>
      </c>
      <c r="AL162" s="31" t="str">
        <f t="shared" si="35"/>
        <v/>
      </c>
      <c r="AM162" s="26" t="str">
        <f t="shared" si="36"/>
        <v/>
      </c>
      <c r="AN162" s="32" t="str">
        <f t="shared" si="37"/>
        <v/>
      </c>
      <c r="AO162" s="32" t="str">
        <f t="shared" si="38"/>
        <v/>
      </c>
      <c r="AP162" s="24" t="str">
        <f t="shared" si="39"/>
        <v/>
      </c>
      <c r="AQ162" s="24" t="str">
        <f t="shared" si="40"/>
        <v/>
      </c>
      <c r="AR162" s="33" t="str">
        <f t="shared" si="41"/>
        <v/>
      </c>
      <c r="AS162" s="34"/>
      <c r="AT162" s="33"/>
      <c r="AV162" s="21">
        <f>IF(AND($AL162&lt;&gt;"",COUNTIF($AL$11:$AL162,$AL162)=1),1,0)</f>
        <v>0</v>
      </c>
      <c r="AW162" s="21">
        <f t="shared" si="43"/>
        <v>2</v>
      </c>
      <c r="AX162" s="21" t="str">
        <f t="shared" si="42"/>
        <v/>
      </c>
      <c r="AY162" s="21" t="str">
        <f>IF(AND($AM162&lt;&gt;"",$AS162&lt;&gt;"✓"),SUMPRODUCT(($AM$11:$AM162&lt;&gt;"")*($AS$11:$AS162&lt;&gt;"✓")),"")</f>
        <v/>
      </c>
      <c r="AZ162" s="21" t="str">
        <f>IF(AND($AM162&lt;&gt;"",$AS162="✓"),SUMPRODUCT(($AM$11:$AM162&lt;&gt;"")*($AS$11:$AS162="✓")),"")</f>
        <v/>
      </c>
      <c r="BA162" s="21" t="str">
        <f>IF($AL162="","",$AL162&amp;"|"&amp;COUNTIF($AL$11:$AL162,$AL162))</f>
        <v/>
      </c>
    </row>
    <row r="163" spans="2:53" ht="15" customHeight="1" x14ac:dyDescent="0.25">
      <c r="B163" s="5" t="str">
        <f t="shared" si="30"/>
        <v/>
      </c>
      <c r="C163" s="5"/>
      <c r="D163" s="5"/>
      <c r="E163" s="5"/>
      <c r="F163" s="6"/>
      <c r="G163" s="6"/>
      <c r="H163" s="7"/>
      <c r="I163" s="8"/>
      <c r="K163" s="9" t="str">
        <f>IFERROR(INDEX($AL$11:$AL$4010,MATCH(153,$AX$11:$AX$4010,0)),"")</f>
        <v/>
      </c>
      <c r="L163" s="10" t="str">
        <f t="shared" si="31"/>
        <v/>
      </c>
      <c r="M163" s="11" t="str">
        <f t="shared" si="32"/>
        <v/>
      </c>
      <c r="N163" s="11" t="str">
        <f t="shared" si="33"/>
        <v/>
      </c>
      <c r="P163" s="12" t="str">
        <f>IFERROR(INDEX($AM$11:$AM$4010,MATCH($S$8&amp;"|"&amp;153,$BA$11:$BA$4010,0)),"")</f>
        <v/>
      </c>
      <c r="Q163" s="11" t="str">
        <f>IF(P163="","",IFERROR(INDEX($AN$11:$AN$4010,MATCH($S$8&amp;"|"&amp;153,$BA$11:$BA$4010,0)),""))</f>
        <v/>
      </c>
      <c r="R163" s="11" t="str">
        <f>IF(P163="","",IFERROR(INDEX($AO$11:$AO$4010,MATCH($S$8&amp;"|"&amp;153,$BA$11:$BA$4010,0)),""))</f>
        <v/>
      </c>
      <c r="S163" s="10" t="str">
        <f>IF(P163="","",IFERROR(INDEX($AP$11:$AP$4010,MATCH($S$8&amp;"|"&amp;153,$BA$11:$BA$4010,0)),""))</f>
        <v/>
      </c>
      <c r="T163" s="10" t="str">
        <f>IF(P163="","",IFERROR(INDEX($AQ$11:$AQ$4010,MATCH($S$8&amp;"|"&amp;153,$BA$11:$BA$4010,0)),""))</f>
        <v/>
      </c>
      <c r="U163" s="39" t="str">
        <f t="shared" si="34"/>
        <v/>
      </c>
      <c r="W163" s="14" t="str">
        <f>IF(X163="","",IFERROR(INDEX($AL$11:$AL$4010,MATCH(153,$AY$11:$AY$4010,0)),""))</f>
        <v/>
      </c>
      <c r="X163" s="12" t="str">
        <f>IFERROR(INDEX($AM$11:$AM$4010,MATCH(153,$AY$11:$AY$4010,0)),"")</f>
        <v/>
      </c>
      <c r="Y163" s="11" t="str">
        <f>IF(X163="","",IFERROR(INDEX($AN$11:$AN$4010,MATCH(153,$AY$11:$AY$4010,0)),""))</f>
        <v/>
      </c>
      <c r="Z163" s="11" t="str">
        <f>IF(X163="","",IFERROR(INDEX($AO$11:$AO$4010,MATCH(153,$AY$11:$AY$4010,0)),""))</f>
        <v/>
      </c>
      <c r="AA163" s="10" t="str">
        <f>IF(X163="","",IFERROR(INDEX($AQ$11:$AQ$4010,MATCH(153,$AY$11:$AY$4010,0)),""))</f>
        <v/>
      </c>
      <c r="AB163" s="15" t="str">
        <f>IF(X163="","",IFERROR(INDEX($AR$11:$AR$4010,MATCH(153,$AY$11:$AY$4010,0)),""))</f>
        <v/>
      </c>
      <c r="AD163" s="16" t="str">
        <f>IF(AE163="","",IFERROR(INDEX($AL$11:$AL$4010,MATCH(153,$AZ$11:$AZ$4010,0)),""))</f>
        <v/>
      </c>
      <c r="AE163" s="12" t="str">
        <f>IFERROR(INDEX($AM$11:$AM$4010,MATCH(153,$AZ$11:$AZ$4010,0)),"")</f>
        <v/>
      </c>
      <c r="AF163" s="11" t="str">
        <f>IF(AE163="","",IFERROR(INDEX($AN$11:$AN$4010,MATCH(153,$AZ$11:$AZ$4010,0)),""))</f>
        <v/>
      </c>
      <c r="AG163" s="11" t="str">
        <f>IF(AE163="","",IFERROR(INDEX($AO$11:$AO$4010,MATCH(153,$AZ$11:$AZ$4010,0)),""))</f>
        <v/>
      </c>
      <c r="AH163" s="10" t="str">
        <f>IF(AE163="","",IFERROR(INDEX($AQ$11:$AQ$4010,MATCH(153,$AZ$11:$AZ$4010,0)),""))</f>
        <v/>
      </c>
      <c r="AI163" s="15" t="str">
        <f>IF(AE163="","",IFERROR(INDEX($AR$11:$AR$4010,MATCH(153,$AZ$11:$AZ$4010,0)),""))</f>
        <v/>
      </c>
      <c r="AJ163" s="15" t="str">
        <f>IF(AE163="","",IFERROR(INDEX($AT$11:$AT$4010,MATCH(153,$AZ$11:$AZ$4010,0)),""))</f>
        <v/>
      </c>
      <c r="AL163" s="17" t="str">
        <f t="shared" si="35"/>
        <v/>
      </c>
      <c r="AM163" s="12" t="str">
        <f t="shared" si="36"/>
        <v/>
      </c>
      <c r="AN163" s="18" t="str">
        <f t="shared" si="37"/>
        <v/>
      </c>
      <c r="AO163" s="18" t="str">
        <f t="shared" si="38"/>
        <v/>
      </c>
      <c r="AP163" s="10" t="str">
        <f t="shared" si="39"/>
        <v/>
      </c>
      <c r="AQ163" s="10" t="str">
        <f t="shared" si="40"/>
        <v/>
      </c>
      <c r="AR163" s="19" t="str">
        <f t="shared" si="41"/>
        <v/>
      </c>
      <c r="AS163" s="20"/>
      <c r="AT163" s="19"/>
      <c r="AV163" s="21">
        <f>IF(AND($AL163&lt;&gt;"",COUNTIF($AL$11:$AL163,$AL163)=1),1,0)</f>
        <v>0</v>
      </c>
      <c r="AW163" s="21">
        <f t="shared" si="43"/>
        <v>2</v>
      </c>
      <c r="AX163" s="21" t="str">
        <f t="shared" si="42"/>
        <v/>
      </c>
      <c r="AY163" s="21" t="str">
        <f>IF(AND($AM163&lt;&gt;"",$AS163&lt;&gt;"✓"),SUMPRODUCT(($AM$11:$AM163&lt;&gt;"")*($AS$11:$AS163&lt;&gt;"✓")),"")</f>
        <v/>
      </c>
      <c r="AZ163" s="21" t="str">
        <f>IF(AND($AM163&lt;&gt;"",$AS163="✓"),SUMPRODUCT(($AM$11:$AM163&lt;&gt;"")*($AS$11:$AS163="✓")),"")</f>
        <v/>
      </c>
      <c r="BA163" s="21" t="str">
        <f>IF($AL163="","",$AL163&amp;"|"&amp;COUNTIF($AL$11:$AL163,$AL163))</f>
        <v/>
      </c>
    </row>
    <row r="164" spans="2:53" ht="15" customHeight="1" x14ac:dyDescent="0.25">
      <c r="B164" s="5" t="str">
        <f t="shared" si="30"/>
        <v/>
      </c>
      <c r="C164" s="5"/>
      <c r="D164" s="5"/>
      <c r="E164" s="5"/>
      <c r="F164" s="6"/>
      <c r="G164" s="6"/>
      <c r="H164" s="7"/>
      <c r="I164" s="8"/>
      <c r="K164" s="23" t="str">
        <f>IFERROR(INDEX($AL$11:$AL$4010,MATCH(154,$AX$11:$AX$4010,0)),"")</f>
        <v/>
      </c>
      <c r="L164" s="24" t="str">
        <f t="shared" si="31"/>
        <v/>
      </c>
      <c r="M164" s="25" t="str">
        <f t="shared" si="32"/>
        <v/>
      </c>
      <c r="N164" s="25" t="str">
        <f t="shared" si="33"/>
        <v/>
      </c>
      <c r="P164" s="26" t="str">
        <f>IFERROR(INDEX($AM$11:$AM$4010,MATCH($S$8&amp;"|"&amp;154,$BA$11:$BA$4010,0)),"")</f>
        <v/>
      </c>
      <c r="Q164" s="25" t="str">
        <f>IF(P164="","",IFERROR(INDEX($AN$11:$AN$4010,MATCH($S$8&amp;"|"&amp;154,$BA$11:$BA$4010,0)),""))</f>
        <v/>
      </c>
      <c r="R164" s="25" t="str">
        <f>IF(P164="","",IFERROR(INDEX($AO$11:$AO$4010,MATCH($S$8&amp;"|"&amp;154,$BA$11:$BA$4010,0)),""))</f>
        <v/>
      </c>
      <c r="S164" s="24" t="str">
        <f>IF(P164="","",IFERROR(INDEX($AP$11:$AP$4010,MATCH($S$8&amp;"|"&amp;154,$BA$11:$BA$4010,0)),""))</f>
        <v/>
      </c>
      <c r="T164" s="24" t="str">
        <f>IF(P164="","",IFERROR(INDEX($AQ$11:$AQ$4010,MATCH($S$8&amp;"|"&amp;154,$BA$11:$BA$4010,0)),""))</f>
        <v/>
      </c>
      <c r="U164" s="38" t="str">
        <f t="shared" si="34"/>
        <v/>
      </c>
      <c r="W164" s="28" t="str">
        <f>IF(X164="","",IFERROR(INDEX($AL$11:$AL$4010,MATCH(154,$AY$11:$AY$4010,0)),""))</f>
        <v/>
      </c>
      <c r="X164" s="26" t="str">
        <f>IFERROR(INDEX($AM$11:$AM$4010,MATCH(154,$AY$11:$AY$4010,0)),"")</f>
        <v/>
      </c>
      <c r="Y164" s="25" t="str">
        <f>IF(X164="","",IFERROR(INDEX($AN$11:$AN$4010,MATCH(154,$AY$11:$AY$4010,0)),""))</f>
        <v/>
      </c>
      <c r="Z164" s="25" t="str">
        <f>IF(X164="","",IFERROR(INDEX($AO$11:$AO$4010,MATCH(154,$AY$11:$AY$4010,0)),""))</f>
        <v/>
      </c>
      <c r="AA164" s="24" t="str">
        <f>IF(X164="","",IFERROR(INDEX($AQ$11:$AQ$4010,MATCH(154,$AY$11:$AY$4010,0)),""))</f>
        <v/>
      </c>
      <c r="AB164" s="29" t="str">
        <f>IF(X164="","",IFERROR(INDEX($AR$11:$AR$4010,MATCH(154,$AY$11:$AY$4010,0)),""))</f>
        <v/>
      </c>
      <c r="AD164" s="30" t="str">
        <f>IF(AE164="","",IFERROR(INDEX($AL$11:$AL$4010,MATCH(154,$AZ$11:$AZ$4010,0)),""))</f>
        <v/>
      </c>
      <c r="AE164" s="26" t="str">
        <f>IFERROR(INDEX($AM$11:$AM$4010,MATCH(154,$AZ$11:$AZ$4010,0)),"")</f>
        <v/>
      </c>
      <c r="AF164" s="25" t="str">
        <f>IF(AE164="","",IFERROR(INDEX($AN$11:$AN$4010,MATCH(154,$AZ$11:$AZ$4010,0)),""))</f>
        <v/>
      </c>
      <c r="AG164" s="25" t="str">
        <f>IF(AE164="","",IFERROR(INDEX($AO$11:$AO$4010,MATCH(154,$AZ$11:$AZ$4010,0)),""))</f>
        <v/>
      </c>
      <c r="AH164" s="24" t="str">
        <f>IF(AE164="","",IFERROR(INDEX($AQ$11:$AQ$4010,MATCH(154,$AZ$11:$AZ$4010,0)),""))</f>
        <v/>
      </c>
      <c r="AI164" s="29" t="str">
        <f>IF(AE164="","",IFERROR(INDEX($AR$11:$AR$4010,MATCH(154,$AZ$11:$AZ$4010,0)),""))</f>
        <v/>
      </c>
      <c r="AJ164" s="29" t="str">
        <f>IF(AE164="","",IFERROR(INDEX($AT$11:$AT$4010,MATCH(154,$AZ$11:$AZ$4010,0)),""))</f>
        <v/>
      </c>
      <c r="AL164" s="31" t="str">
        <f t="shared" si="35"/>
        <v/>
      </c>
      <c r="AM164" s="26" t="str">
        <f t="shared" si="36"/>
        <v/>
      </c>
      <c r="AN164" s="32" t="str">
        <f t="shared" si="37"/>
        <v/>
      </c>
      <c r="AO164" s="32" t="str">
        <f t="shared" si="38"/>
        <v/>
      </c>
      <c r="AP164" s="24" t="str">
        <f t="shared" si="39"/>
        <v/>
      </c>
      <c r="AQ164" s="24" t="str">
        <f t="shared" si="40"/>
        <v/>
      </c>
      <c r="AR164" s="33" t="str">
        <f t="shared" si="41"/>
        <v/>
      </c>
      <c r="AS164" s="34"/>
      <c r="AT164" s="33"/>
      <c r="AV164" s="21">
        <f>IF(AND($AL164&lt;&gt;"",COUNTIF($AL$11:$AL164,$AL164)=1),1,0)</f>
        <v>0</v>
      </c>
      <c r="AW164" s="21">
        <f t="shared" si="43"/>
        <v>2</v>
      </c>
      <c r="AX164" s="21" t="str">
        <f t="shared" si="42"/>
        <v/>
      </c>
      <c r="AY164" s="21" t="str">
        <f>IF(AND($AM164&lt;&gt;"",$AS164&lt;&gt;"✓"),SUMPRODUCT(($AM$11:$AM164&lt;&gt;"")*($AS$11:$AS164&lt;&gt;"✓")),"")</f>
        <v/>
      </c>
      <c r="AZ164" s="21" t="str">
        <f>IF(AND($AM164&lt;&gt;"",$AS164="✓"),SUMPRODUCT(($AM$11:$AM164&lt;&gt;"")*($AS$11:$AS164="✓")),"")</f>
        <v/>
      </c>
      <c r="BA164" s="21" t="str">
        <f>IF($AL164="","",$AL164&amp;"|"&amp;COUNTIF($AL$11:$AL164,$AL164))</f>
        <v/>
      </c>
    </row>
    <row r="165" spans="2:53" ht="15" customHeight="1" x14ac:dyDescent="0.25">
      <c r="B165" s="5" t="str">
        <f t="shared" si="30"/>
        <v/>
      </c>
      <c r="C165" s="5"/>
      <c r="D165" s="5"/>
      <c r="E165" s="5"/>
      <c r="F165" s="6"/>
      <c r="G165" s="6"/>
      <c r="H165" s="7"/>
      <c r="I165" s="8"/>
      <c r="K165" s="9" t="str">
        <f>IFERROR(INDEX($AL$11:$AL$4010,MATCH(155,$AX$11:$AX$4010,0)),"")</f>
        <v/>
      </c>
      <c r="L165" s="10" t="str">
        <f t="shared" si="31"/>
        <v/>
      </c>
      <c r="M165" s="11" t="str">
        <f t="shared" si="32"/>
        <v/>
      </c>
      <c r="N165" s="11" t="str">
        <f t="shared" si="33"/>
        <v/>
      </c>
      <c r="P165" s="12" t="str">
        <f>IFERROR(INDEX($AM$11:$AM$4010,MATCH($S$8&amp;"|"&amp;155,$BA$11:$BA$4010,0)),"")</f>
        <v/>
      </c>
      <c r="Q165" s="11" t="str">
        <f>IF(P165="","",IFERROR(INDEX($AN$11:$AN$4010,MATCH($S$8&amp;"|"&amp;155,$BA$11:$BA$4010,0)),""))</f>
        <v/>
      </c>
      <c r="R165" s="11" t="str">
        <f>IF(P165="","",IFERROR(INDEX($AO$11:$AO$4010,MATCH($S$8&amp;"|"&amp;155,$BA$11:$BA$4010,0)),""))</f>
        <v/>
      </c>
      <c r="S165" s="10" t="str">
        <f>IF(P165="","",IFERROR(INDEX($AP$11:$AP$4010,MATCH($S$8&amp;"|"&amp;155,$BA$11:$BA$4010,0)),""))</f>
        <v/>
      </c>
      <c r="T165" s="10" t="str">
        <f>IF(P165="","",IFERROR(INDEX($AQ$11:$AQ$4010,MATCH($S$8&amp;"|"&amp;155,$BA$11:$BA$4010,0)),""))</f>
        <v/>
      </c>
      <c r="U165" s="39" t="str">
        <f t="shared" si="34"/>
        <v/>
      </c>
      <c r="W165" s="14" t="str">
        <f>IF(X165="","",IFERROR(INDEX($AL$11:$AL$4010,MATCH(155,$AY$11:$AY$4010,0)),""))</f>
        <v/>
      </c>
      <c r="X165" s="12" t="str">
        <f>IFERROR(INDEX($AM$11:$AM$4010,MATCH(155,$AY$11:$AY$4010,0)),"")</f>
        <v/>
      </c>
      <c r="Y165" s="11" t="str">
        <f>IF(X165="","",IFERROR(INDEX($AN$11:$AN$4010,MATCH(155,$AY$11:$AY$4010,0)),""))</f>
        <v/>
      </c>
      <c r="Z165" s="11" t="str">
        <f>IF(X165="","",IFERROR(INDEX($AO$11:$AO$4010,MATCH(155,$AY$11:$AY$4010,0)),""))</f>
        <v/>
      </c>
      <c r="AA165" s="10" t="str">
        <f>IF(X165="","",IFERROR(INDEX($AQ$11:$AQ$4010,MATCH(155,$AY$11:$AY$4010,0)),""))</f>
        <v/>
      </c>
      <c r="AB165" s="15" t="str">
        <f>IF(X165="","",IFERROR(INDEX($AR$11:$AR$4010,MATCH(155,$AY$11:$AY$4010,0)),""))</f>
        <v/>
      </c>
      <c r="AD165" s="16" t="str">
        <f>IF(AE165="","",IFERROR(INDEX($AL$11:$AL$4010,MATCH(155,$AZ$11:$AZ$4010,0)),""))</f>
        <v/>
      </c>
      <c r="AE165" s="12" t="str">
        <f>IFERROR(INDEX($AM$11:$AM$4010,MATCH(155,$AZ$11:$AZ$4010,0)),"")</f>
        <v/>
      </c>
      <c r="AF165" s="11" t="str">
        <f>IF(AE165="","",IFERROR(INDEX($AN$11:$AN$4010,MATCH(155,$AZ$11:$AZ$4010,0)),""))</f>
        <v/>
      </c>
      <c r="AG165" s="11" t="str">
        <f>IF(AE165="","",IFERROR(INDEX($AO$11:$AO$4010,MATCH(155,$AZ$11:$AZ$4010,0)),""))</f>
        <v/>
      </c>
      <c r="AH165" s="10" t="str">
        <f>IF(AE165="","",IFERROR(INDEX($AQ$11:$AQ$4010,MATCH(155,$AZ$11:$AZ$4010,0)),""))</f>
        <v/>
      </c>
      <c r="AI165" s="15" t="str">
        <f>IF(AE165="","",IFERROR(INDEX($AR$11:$AR$4010,MATCH(155,$AZ$11:$AZ$4010,0)),""))</f>
        <v/>
      </c>
      <c r="AJ165" s="15" t="str">
        <f>IF(AE165="","",IFERROR(INDEX($AT$11:$AT$4010,MATCH(155,$AZ$11:$AZ$4010,0)),""))</f>
        <v/>
      </c>
      <c r="AL165" s="17" t="str">
        <f t="shared" si="35"/>
        <v/>
      </c>
      <c r="AM165" s="12" t="str">
        <f t="shared" si="36"/>
        <v/>
      </c>
      <c r="AN165" s="18" t="str">
        <f t="shared" si="37"/>
        <v/>
      </c>
      <c r="AO165" s="18" t="str">
        <f t="shared" si="38"/>
        <v/>
      </c>
      <c r="AP165" s="10" t="str">
        <f t="shared" si="39"/>
        <v/>
      </c>
      <c r="AQ165" s="10" t="str">
        <f t="shared" si="40"/>
        <v/>
      </c>
      <c r="AR165" s="19" t="str">
        <f t="shared" si="41"/>
        <v/>
      </c>
      <c r="AS165" s="20"/>
      <c r="AT165" s="19"/>
      <c r="AV165" s="21">
        <f>IF(AND($AL165&lt;&gt;"",COUNTIF($AL$11:$AL165,$AL165)=1),1,0)</f>
        <v>0</v>
      </c>
      <c r="AW165" s="21">
        <f t="shared" si="43"/>
        <v>2</v>
      </c>
      <c r="AX165" s="21" t="str">
        <f t="shared" si="42"/>
        <v/>
      </c>
      <c r="AY165" s="21" t="str">
        <f>IF(AND($AM165&lt;&gt;"",$AS165&lt;&gt;"✓"),SUMPRODUCT(($AM$11:$AM165&lt;&gt;"")*($AS$11:$AS165&lt;&gt;"✓")),"")</f>
        <v/>
      </c>
      <c r="AZ165" s="21" t="str">
        <f>IF(AND($AM165&lt;&gt;"",$AS165="✓"),SUMPRODUCT(($AM$11:$AM165&lt;&gt;"")*($AS$11:$AS165="✓")),"")</f>
        <v/>
      </c>
      <c r="BA165" s="21" t="str">
        <f>IF($AL165="","",$AL165&amp;"|"&amp;COUNTIF($AL$11:$AL165,$AL165))</f>
        <v/>
      </c>
    </row>
    <row r="166" spans="2:53" ht="15" customHeight="1" x14ac:dyDescent="0.25">
      <c r="B166" s="5" t="str">
        <f t="shared" si="30"/>
        <v/>
      </c>
      <c r="C166" s="5"/>
      <c r="D166" s="5"/>
      <c r="E166" s="5"/>
      <c r="F166" s="6"/>
      <c r="G166" s="6"/>
      <c r="H166" s="7"/>
      <c r="I166" s="8"/>
      <c r="K166" s="23" t="str">
        <f>IFERROR(INDEX($AL$11:$AL$4010,MATCH(156,$AX$11:$AX$4010,0)),"")</f>
        <v/>
      </c>
      <c r="L166" s="24" t="str">
        <f t="shared" si="31"/>
        <v/>
      </c>
      <c r="M166" s="25" t="str">
        <f t="shared" si="32"/>
        <v/>
      </c>
      <c r="N166" s="25" t="str">
        <f t="shared" si="33"/>
        <v/>
      </c>
      <c r="P166" s="26" t="str">
        <f>IFERROR(INDEX($AM$11:$AM$4010,MATCH($S$8&amp;"|"&amp;156,$BA$11:$BA$4010,0)),"")</f>
        <v/>
      </c>
      <c r="Q166" s="25" t="str">
        <f>IF(P166="","",IFERROR(INDEX($AN$11:$AN$4010,MATCH($S$8&amp;"|"&amp;156,$BA$11:$BA$4010,0)),""))</f>
        <v/>
      </c>
      <c r="R166" s="25" t="str">
        <f>IF(P166="","",IFERROR(INDEX($AO$11:$AO$4010,MATCH($S$8&amp;"|"&amp;156,$BA$11:$BA$4010,0)),""))</f>
        <v/>
      </c>
      <c r="S166" s="24" t="str">
        <f>IF(P166="","",IFERROR(INDEX($AP$11:$AP$4010,MATCH($S$8&amp;"|"&amp;156,$BA$11:$BA$4010,0)),""))</f>
        <v/>
      </c>
      <c r="T166" s="24" t="str">
        <f>IF(P166="","",IFERROR(INDEX($AQ$11:$AQ$4010,MATCH($S$8&amp;"|"&amp;156,$BA$11:$BA$4010,0)),""))</f>
        <v/>
      </c>
      <c r="U166" s="38" t="str">
        <f t="shared" si="34"/>
        <v/>
      </c>
      <c r="W166" s="28" t="str">
        <f>IF(X166="","",IFERROR(INDEX($AL$11:$AL$4010,MATCH(156,$AY$11:$AY$4010,0)),""))</f>
        <v/>
      </c>
      <c r="X166" s="26" t="str">
        <f>IFERROR(INDEX($AM$11:$AM$4010,MATCH(156,$AY$11:$AY$4010,0)),"")</f>
        <v/>
      </c>
      <c r="Y166" s="25" t="str">
        <f>IF(X166="","",IFERROR(INDEX($AN$11:$AN$4010,MATCH(156,$AY$11:$AY$4010,0)),""))</f>
        <v/>
      </c>
      <c r="Z166" s="25" t="str">
        <f>IF(X166="","",IFERROR(INDEX($AO$11:$AO$4010,MATCH(156,$AY$11:$AY$4010,0)),""))</f>
        <v/>
      </c>
      <c r="AA166" s="24" t="str">
        <f>IF(X166="","",IFERROR(INDEX($AQ$11:$AQ$4010,MATCH(156,$AY$11:$AY$4010,0)),""))</f>
        <v/>
      </c>
      <c r="AB166" s="29" t="str">
        <f>IF(X166="","",IFERROR(INDEX($AR$11:$AR$4010,MATCH(156,$AY$11:$AY$4010,0)),""))</f>
        <v/>
      </c>
      <c r="AD166" s="30" t="str">
        <f>IF(AE166="","",IFERROR(INDEX($AL$11:$AL$4010,MATCH(156,$AZ$11:$AZ$4010,0)),""))</f>
        <v/>
      </c>
      <c r="AE166" s="26" t="str">
        <f>IFERROR(INDEX($AM$11:$AM$4010,MATCH(156,$AZ$11:$AZ$4010,0)),"")</f>
        <v/>
      </c>
      <c r="AF166" s="25" t="str">
        <f>IF(AE166="","",IFERROR(INDEX($AN$11:$AN$4010,MATCH(156,$AZ$11:$AZ$4010,0)),""))</f>
        <v/>
      </c>
      <c r="AG166" s="25" t="str">
        <f>IF(AE166="","",IFERROR(INDEX($AO$11:$AO$4010,MATCH(156,$AZ$11:$AZ$4010,0)),""))</f>
        <v/>
      </c>
      <c r="AH166" s="24" t="str">
        <f>IF(AE166="","",IFERROR(INDEX($AQ$11:$AQ$4010,MATCH(156,$AZ$11:$AZ$4010,0)),""))</f>
        <v/>
      </c>
      <c r="AI166" s="29" t="str">
        <f>IF(AE166="","",IFERROR(INDEX($AR$11:$AR$4010,MATCH(156,$AZ$11:$AZ$4010,0)),""))</f>
        <v/>
      </c>
      <c r="AJ166" s="29" t="str">
        <f>IF(AE166="","",IFERROR(INDEX($AT$11:$AT$4010,MATCH(156,$AZ$11:$AZ$4010,0)),""))</f>
        <v/>
      </c>
      <c r="AL166" s="31" t="str">
        <f t="shared" si="35"/>
        <v/>
      </c>
      <c r="AM166" s="26" t="str">
        <f t="shared" si="36"/>
        <v/>
      </c>
      <c r="AN166" s="32" t="str">
        <f t="shared" si="37"/>
        <v/>
      </c>
      <c r="AO166" s="32" t="str">
        <f t="shared" si="38"/>
        <v/>
      </c>
      <c r="AP166" s="24" t="str">
        <f t="shared" si="39"/>
        <v/>
      </c>
      <c r="AQ166" s="24" t="str">
        <f t="shared" si="40"/>
        <v/>
      </c>
      <c r="AR166" s="33" t="str">
        <f t="shared" si="41"/>
        <v/>
      </c>
      <c r="AS166" s="34"/>
      <c r="AT166" s="33"/>
      <c r="AV166" s="21">
        <f>IF(AND($AL166&lt;&gt;"",COUNTIF($AL$11:$AL166,$AL166)=1),1,0)</f>
        <v>0</v>
      </c>
      <c r="AW166" s="21">
        <f t="shared" si="43"/>
        <v>2</v>
      </c>
      <c r="AX166" s="21" t="str">
        <f t="shared" si="42"/>
        <v/>
      </c>
      <c r="AY166" s="21" t="str">
        <f>IF(AND($AM166&lt;&gt;"",$AS166&lt;&gt;"✓"),SUMPRODUCT(($AM$11:$AM166&lt;&gt;"")*($AS$11:$AS166&lt;&gt;"✓")),"")</f>
        <v/>
      </c>
      <c r="AZ166" s="21" t="str">
        <f>IF(AND($AM166&lt;&gt;"",$AS166="✓"),SUMPRODUCT(($AM$11:$AM166&lt;&gt;"")*($AS$11:$AS166="✓")),"")</f>
        <v/>
      </c>
      <c r="BA166" s="21" t="str">
        <f>IF($AL166="","",$AL166&amp;"|"&amp;COUNTIF($AL$11:$AL166,$AL166))</f>
        <v/>
      </c>
    </row>
    <row r="167" spans="2:53" ht="15" customHeight="1" x14ac:dyDescent="0.25">
      <c r="B167" s="5" t="str">
        <f t="shared" si="30"/>
        <v/>
      </c>
      <c r="C167" s="5"/>
      <c r="D167" s="5"/>
      <c r="E167" s="5"/>
      <c r="F167" s="6"/>
      <c r="G167" s="6"/>
      <c r="H167" s="7"/>
      <c r="I167" s="8"/>
      <c r="K167" s="9" t="str">
        <f>IFERROR(INDEX($AL$11:$AL$4010,MATCH(157,$AX$11:$AX$4010,0)),"")</f>
        <v/>
      </c>
      <c r="L167" s="10" t="str">
        <f t="shared" si="31"/>
        <v/>
      </c>
      <c r="M167" s="11" t="str">
        <f t="shared" si="32"/>
        <v/>
      </c>
      <c r="N167" s="11" t="str">
        <f t="shared" si="33"/>
        <v/>
      </c>
      <c r="P167" s="12" t="str">
        <f>IFERROR(INDEX($AM$11:$AM$4010,MATCH($S$8&amp;"|"&amp;157,$BA$11:$BA$4010,0)),"")</f>
        <v/>
      </c>
      <c r="Q167" s="11" t="str">
        <f>IF(P167="","",IFERROR(INDEX($AN$11:$AN$4010,MATCH($S$8&amp;"|"&amp;157,$BA$11:$BA$4010,0)),""))</f>
        <v/>
      </c>
      <c r="R167" s="11" t="str">
        <f>IF(P167="","",IFERROR(INDEX($AO$11:$AO$4010,MATCH($S$8&amp;"|"&amp;157,$BA$11:$BA$4010,0)),""))</f>
        <v/>
      </c>
      <c r="S167" s="10" t="str">
        <f>IF(P167="","",IFERROR(INDEX($AP$11:$AP$4010,MATCH($S$8&amp;"|"&amp;157,$BA$11:$BA$4010,0)),""))</f>
        <v/>
      </c>
      <c r="T167" s="10" t="str">
        <f>IF(P167="","",IFERROR(INDEX($AQ$11:$AQ$4010,MATCH($S$8&amp;"|"&amp;157,$BA$11:$BA$4010,0)),""))</f>
        <v/>
      </c>
      <c r="U167" s="39" t="str">
        <f t="shared" si="34"/>
        <v/>
      </c>
      <c r="W167" s="14" t="str">
        <f>IF(X167="","",IFERROR(INDEX($AL$11:$AL$4010,MATCH(157,$AY$11:$AY$4010,0)),""))</f>
        <v/>
      </c>
      <c r="X167" s="12" t="str">
        <f>IFERROR(INDEX($AM$11:$AM$4010,MATCH(157,$AY$11:$AY$4010,0)),"")</f>
        <v/>
      </c>
      <c r="Y167" s="11" t="str">
        <f>IF(X167="","",IFERROR(INDEX($AN$11:$AN$4010,MATCH(157,$AY$11:$AY$4010,0)),""))</f>
        <v/>
      </c>
      <c r="Z167" s="11" t="str">
        <f>IF(X167="","",IFERROR(INDEX($AO$11:$AO$4010,MATCH(157,$AY$11:$AY$4010,0)),""))</f>
        <v/>
      </c>
      <c r="AA167" s="10" t="str">
        <f>IF(X167="","",IFERROR(INDEX($AQ$11:$AQ$4010,MATCH(157,$AY$11:$AY$4010,0)),""))</f>
        <v/>
      </c>
      <c r="AB167" s="15" t="str">
        <f>IF(X167="","",IFERROR(INDEX($AR$11:$AR$4010,MATCH(157,$AY$11:$AY$4010,0)),""))</f>
        <v/>
      </c>
      <c r="AD167" s="16" t="str">
        <f>IF(AE167="","",IFERROR(INDEX($AL$11:$AL$4010,MATCH(157,$AZ$11:$AZ$4010,0)),""))</f>
        <v/>
      </c>
      <c r="AE167" s="12" t="str">
        <f>IFERROR(INDEX($AM$11:$AM$4010,MATCH(157,$AZ$11:$AZ$4010,0)),"")</f>
        <v/>
      </c>
      <c r="AF167" s="11" t="str">
        <f>IF(AE167="","",IFERROR(INDEX($AN$11:$AN$4010,MATCH(157,$AZ$11:$AZ$4010,0)),""))</f>
        <v/>
      </c>
      <c r="AG167" s="11" t="str">
        <f>IF(AE167="","",IFERROR(INDEX($AO$11:$AO$4010,MATCH(157,$AZ$11:$AZ$4010,0)),""))</f>
        <v/>
      </c>
      <c r="AH167" s="10" t="str">
        <f>IF(AE167="","",IFERROR(INDEX($AQ$11:$AQ$4010,MATCH(157,$AZ$11:$AZ$4010,0)),""))</f>
        <v/>
      </c>
      <c r="AI167" s="15" t="str">
        <f>IF(AE167="","",IFERROR(INDEX($AR$11:$AR$4010,MATCH(157,$AZ$11:$AZ$4010,0)),""))</f>
        <v/>
      </c>
      <c r="AJ167" s="15" t="str">
        <f>IF(AE167="","",IFERROR(INDEX($AT$11:$AT$4010,MATCH(157,$AZ$11:$AZ$4010,0)),""))</f>
        <v/>
      </c>
      <c r="AL167" s="17" t="str">
        <f t="shared" si="35"/>
        <v/>
      </c>
      <c r="AM167" s="12" t="str">
        <f t="shared" si="36"/>
        <v/>
      </c>
      <c r="AN167" s="18" t="str">
        <f t="shared" si="37"/>
        <v/>
      </c>
      <c r="AO167" s="18" t="str">
        <f t="shared" si="38"/>
        <v/>
      </c>
      <c r="AP167" s="10" t="str">
        <f t="shared" si="39"/>
        <v/>
      </c>
      <c r="AQ167" s="10" t="str">
        <f t="shared" si="40"/>
        <v/>
      </c>
      <c r="AR167" s="19" t="str">
        <f t="shared" si="41"/>
        <v/>
      </c>
      <c r="AS167" s="20"/>
      <c r="AT167" s="19"/>
      <c r="AV167" s="21">
        <f>IF(AND($AL167&lt;&gt;"",COUNTIF($AL$11:$AL167,$AL167)=1),1,0)</f>
        <v>0</v>
      </c>
      <c r="AW167" s="21">
        <f t="shared" si="43"/>
        <v>2</v>
      </c>
      <c r="AX167" s="21" t="str">
        <f t="shared" si="42"/>
        <v/>
      </c>
      <c r="AY167" s="21" t="str">
        <f>IF(AND($AM167&lt;&gt;"",$AS167&lt;&gt;"✓"),SUMPRODUCT(($AM$11:$AM167&lt;&gt;"")*($AS$11:$AS167&lt;&gt;"✓")),"")</f>
        <v/>
      </c>
      <c r="AZ167" s="21" t="str">
        <f>IF(AND($AM167&lt;&gt;"",$AS167="✓"),SUMPRODUCT(($AM$11:$AM167&lt;&gt;"")*($AS$11:$AS167="✓")),"")</f>
        <v/>
      </c>
      <c r="BA167" s="21" t="str">
        <f>IF($AL167="","",$AL167&amp;"|"&amp;COUNTIF($AL$11:$AL167,$AL167))</f>
        <v/>
      </c>
    </row>
    <row r="168" spans="2:53" ht="15" customHeight="1" x14ac:dyDescent="0.25">
      <c r="B168" s="5" t="str">
        <f t="shared" si="30"/>
        <v/>
      </c>
      <c r="C168" s="5"/>
      <c r="D168" s="5"/>
      <c r="E168" s="5"/>
      <c r="F168" s="6"/>
      <c r="G168" s="6"/>
      <c r="H168" s="7"/>
      <c r="I168" s="8"/>
      <c r="K168" s="23" t="str">
        <f>IFERROR(INDEX($AL$11:$AL$4010,MATCH(158,$AX$11:$AX$4010,0)),"")</f>
        <v/>
      </c>
      <c r="L168" s="24" t="str">
        <f t="shared" si="31"/>
        <v/>
      </c>
      <c r="M168" s="25" t="str">
        <f t="shared" si="32"/>
        <v/>
      </c>
      <c r="N168" s="25" t="str">
        <f t="shared" si="33"/>
        <v/>
      </c>
      <c r="P168" s="26" t="str">
        <f>IFERROR(INDEX($AM$11:$AM$4010,MATCH($S$8&amp;"|"&amp;158,$BA$11:$BA$4010,0)),"")</f>
        <v/>
      </c>
      <c r="Q168" s="25" t="str">
        <f>IF(P168="","",IFERROR(INDEX($AN$11:$AN$4010,MATCH($S$8&amp;"|"&amp;158,$BA$11:$BA$4010,0)),""))</f>
        <v/>
      </c>
      <c r="R168" s="25" t="str">
        <f>IF(P168="","",IFERROR(INDEX($AO$11:$AO$4010,MATCH($S$8&amp;"|"&amp;158,$BA$11:$BA$4010,0)),""))</f>
        <v/>
      </c>
      <c r="S168" s="24" t="str">
        <f>IF(P168="","",IFERROR(INDEX($AP$11:$AP$4010,MATCH($S$8&amp;"|"&amp;158,$BA$11:$BA$4010,0)),""))</f>
        <v/>
      </c>
      <c r="T168" s="24" t="str">
        <f>IF(P168="","",IFERROR(INDEX($AQ$11:$AQ$4010,MATCH($S$8&amp;"|"&amp;158,$BA$11:$BA$4010,0)),""))</f>
        <v/>
      </c>
      <c r="U168" s="38" t="str">
        <f t="shared" si="34"/>
        <v/>
      </c>
      <c r="W168" s="28" t="str">
        <f>IF(X168="","",IFERROR(INDEX($AL$11:$AL$4010,MATCH(158,$AY$11:$AY$4010,0)),""))</f>
        <v/>
      </c>
      <c r="X168" s="26" t="str">
        <f>IFERROR(INDEX($AM$11:$AM$4010,MATCH(158,$AY$11:$AY$4010,0)),"")</f>
        <v/>
      </c>
      <c r="Y168" s="25" t="str">
        <f>IF(X168="","",IFERROR(INDEX($AN$11:$AN$4010,MATCH(158,$AY$11:$AY$4010,0)),""))</f>
        <v/>
      </c>
      <c r="Z168" s="25" t="str">
        <f>IF(X168="","",IFERROR(INDEX($AO$11:$AO$4010,MATCH(158,$AY$11:$AY$4010,0)),""))</f>
        <v/>
      </c>
      <c r="AA168" s="24" t="str">
        <f>IF(X168="","",IFERROR(INDEX($AQ$11:$AQ$4010,MATCH(158,$AY$11:$AY$4010,0)),""))</f>
        <v/>
      </c>
      <c r="AB168" s="29" t="str">
        <f>IF(X168="","",IFERROR(INDEX($AR$11:$AR$4010,MATCH(158,$AY$11:$AY$4010,0)),""))</f>
        <v/>
      </c>
      <c r="AD168" s="30" t="str">
        <f>IF(AE168="","",IFERROR(INDEX($AL$11:$AL$4010,MATCH(158,$AZ$11:$AZ$4010,0)),""))</f>
        <v/>
      </c>
      <c r="AE168" s="26" t="str">
        <f>IFERROR(INDEX($AM$11:$AM$4010,MATCH(158,$AZ$11:$AZ$4010,0)),"")</f>
        <v/>
      </c>
      <c r="AF168" s="25" t="str">
        <f>IF(AE168="","",IFERROR(INDEX($AN$11:$AN$4010,MATCH(158,$AZ$11:$AZ$4010,0)),""))</f>
        <v/>
      </c>
      <c r="AG168" s="25" t="str">
        <f>IF(AE168="","",IFERROR(INDEX($AO$11:$AO$4010,MATCH(158,$AZ$11:$AZ$4010,0)),""))</f>
        <v/>
      </c>
      <c r="AH168" s="24" t="str">
        <f>IF(AE168="","",IFERROR(INDEX($AQ$11:$AQ$4010,MATCH(158,$AZ$11:$AZ$4010,0)),""))</f>
        <v/>
      </c>
      <c r="AI168" s="29" t="str">
        <f>IF(AE168="","",IFERROR(INDEX($AR$11:$AR$4010,MATCH(158,$AZ$11:$AZ$4010,0)),""))</f>
        <v/>
      </c>
      <c r="AJ168" s="29" t="str">
        <f>IF(AE168="","",IFERROR(INDEX($AT$11:$AT$4010,MATCH(158,$AZ$11:$AZ$4010,0)),""))</f>
        <v/>
      </c>
      <c r="AL168" s="31" t="str">
        <f t="shared" si="35"/>
        <v/>
      </c>
      <c r="AM168" s="26" t="str">
        <f t="shared" si="36"/>
        <v/>
      </c>
      <c r="AN168" s="32" t="str">
        <f t="shared" si="37"/>
        <v/>
      </c>
      <c r="AO168" s="32" t="str">
        <f t="shared" si="38"/>
        <v/>
      </c>
      <c r="AP168" s="24" t="str">
        <f t="shared" si="39"/>
        <v/>
      </c>
      <c r="AQ168" s="24" t="str">
        <f t="shared" si="40"/>
        <v/>
      </c>
      <c r="AR168" s="33" t="str">
        <f t="shared" si="41"/>
        <v/>
      </c>
      <c r="AS168" s="34"/>
      <c r="AT168" s="33"/>
      <c r="AV168" s="21">
        <f>IF(AND($AL168&lt;&gt;"",COUNTIF($AL$11:$AL168,$AL168)=1),1,0)</f>
        <v>0</v>
      </c>
      <c r="AW168" s="21">
        <f t="shared" si="43"/>
        <v>2</v>
      </c>
      <c r="AX168" s="21" t="str">
        <f t="shared" si="42"/>
        <v/>
      </c>
      <c r="AY168" s="21" t="str">
        <f>IF(AND($AM168&lt;&gt;"",$AS168&lt;&gt;"✓"),SUMPRODUCT(($AM$11:$AM168&lt;&gt;"")*($AS$11:$AS168&lt;&gt;"✓")),"")</f>
        <v/>
      </c>
      <c r="AZ168" s="21" t="str">
        <f>IF(AND($AM168&lt;&gt;"",$AS168="✓"),SUMPRODUCT(($AM$11:$AM168&lt;&gt;"")*($AS$11:$AS168="✓")),"")</f>
        <v/>
      </c>
      <c r="BA168" s="21" t="str">
        <f>IF($AL168="","",$AL168&amp;"|"&amp;COUNTIF($AL$11:$AL168,$AL168))</f>
        <v/>
      </c>
    </row>
    <row r="169" spans="2:53" ht="15" customHeight="1" x14ac:dyDescent="0.25">
      <c r="B169" s="5" t="str">
        <f t="shared" si="30"/>
        <v/>
      </c>
      <c r="C169" s="5"/>
      <c r="D169" s="5"/>
      <c r="E169" s="5"/>
      <c r="F169" s="6"/>
      <c r="G169" s="6"/>
      <c r="H169" s="7"/>
      <c r="I169" s="8"/>
      <c r="K169" s="9" t="str">
        <f>IFERROR(INDEX($AL$11:$AL$4010,MATCH(159,$AX$11:$AX$4010,0)),"")</f>
        <v/>
      </c>
      <c r="L169" s="10" t="str">
        <f t="shared" si="31"/>
        <v/>
      </c>
      <c r="M169" s="11" t="str">
        <f t="shared" si="32"/>
        <v/>
      </c>
      <c r="N169" s="11" t="str">
        <f t="shared" si="33"/>
        <v/>
      </c>
      <c r="P169" s="12" t="str">
        <f>IFERROR(INDEX($AM$11:$AM$4010,MATCH($S$8&amp;"|"&amp;159,$BA$11:$BA$4010,0)),"")</f>
        <v/>
      </c>
      <c r="Q169" s="11" t="str">
        <f>IF(P169="","",IFERROR(INDEX($AN$11:$AN$4010,MATCH($S$8&amp;"|"&amp;159,$BA$11:$BA$4010,0)),""))</f>
        <v/>
      </c>
      <c r="R169" s="11" t="str">
        <f>IF(P169="","",IFERROR(INDEX($AO$11:$AO$4010,MATCH($S$8&amp;"|"&amp;159,$BA$11:$BA$4010,0)),""))</f>
        <v/>
      </c>
      <c r="S169" s="10" t="str">
        <f>IF(P169="","",IFERROR(INDEX($AP$11:$AP$4010,MATCH($S$8&amp;"|"&amp;159,$BA$11:$BA$4010,0)),""))</f>
        <v/>
      </c>
      <c r="T169" s="10" t="str">
        <f>IF(P169="","",IFERROR(INDEX($AQ$11:$AQ$4010,MATCH($S$8&amp;"|"&amp;159,$BA$11:$BA$4010,0)),""))</f>
        <v/>
      </c>
      <c r="U169" s="39" t="str">
        <f t="shared" si="34"/>
        <v/>
      </c>
      <c r="W169" s="14" t="str">
        <f>IF(X169="","",IFERROR(INDEX($AL$11:$AL$4010,MATCH(159,$AY$11:$AY$4010,0)),""))</f>
        <v/>
      </c>
      <c r="X169" s="12" t="str">
        <f>IFERROR(INDEX($AM$11:$AM$4010,MATCH(159,$AY$11:$AY$4010,0)),"")</f>
        <v/>
      </c>
      <c r="Y169" s="11" t="str">
        <f>IF(X169="","",IFERROR(INDEX($AN$11:$AN$4010,MATCH(159,$AY$11:$AY$4010,0)),""))</f>
        <v/>
      </c>
      <c r="Z169" s="11" t="str">
        <f>IF(X169="","",IFERROR(INDEX($AO$11:$AO$4010,MATCH(159,$AY$11:$AY$4010,0)),""))</f>
        <v/>
      </c>
      <c r="AA169" s="10" t="str">
        <f>IF(X169="","",IFERROR(INDEX($AQ$11:$AQ$4010,MATCH(159,$AY$11:$AY$4010,0)),""))</f>
        <v/>
      </c>
      <c r="AB169" s="15" t="str">
        <f>IF(X169="","",IFERROR(INDEX($AR$11:$AR$4010,MATCH(159,$AY$11:$AY$4010,0)),""))</f>
        <v/>
      </c>
      <c r="AD169" s="16" t="str">
        <f>IF(AE169="","",IFERROR(INDEX($AL$11:$AL$4010,MATCH(159,$AZ$11:$AZ$4010,0)),""))</f>
        <v/>
      </c>
      <c r="AE169" s="12" t="str">
        <f>IFERROR(INDEX($AM$11:$AM$4010,MATCH(159,$AZ$11:$AZ$4010,0)),"")</f>
        <v/>
      </c>
      <c r="AF169" s="11" t="str">
        <f>IF(AE169="","",IFERROR(INDEX($AN$11:$AN$4010,MATCH(159,$AZ$11:$AZ$4010,0)),""))</f>
        <v/>
      </c>
      <c r="AG169" s="11" t="str">
        <f>IF(AE169="","",IFERROR(INDEX($AO$11:$AO$4010,MATCH(159,$AZ$11:$AZ$4010,0)),""))</f>
        <v/>
      </c>
      <c r="AH169" s="10" t="str">
        <f>IF(AE169="","",IFERROR(INDEX($AQ$11:$AQ$4010,MATCH(159,$AZ$11:$AZ$4010,0)),""))</f>
        <v/>
      </c>
      <c r="AI169" s="15" t="str">
        <f>IF(AE169="","",IFERROR(INDEX($AR$11:$AR$4010,MATCH(159,$AZ$11:$AZ$4010,0)),""))</f>
        <v/>
      </c>
      <c r="AJ169" s="15" t="str">
        <f>IF(AE169="","",IFERROR(INDEX($AT$11:$AT$4010,MATCH(159,$AZ$11:$AZ$4010,0)),""))</f>
        <v/>
      </c>
      <c r="AL169" s="17" t="str">
        <f t="shared" si="35"/>
        <v/>
      </c>
      <c r="AM169" s="12" t="str">
        <f t="shared" si="36"/>
        <v/>
      </c>
      <c r="AN169" s="18" t="str">
        <f t="shared" si="37"/>
        <v/>
      </c>
      <c r="AO169" s="18" t="str">
        <f t="shared" si="38"/>
        <v/>
      </c>
      <c r="AP169" s="10" t="str">
        <f t="shared" si="39"/>
        <v/>
      </c>
      <c r="AQ169" s="10" t="str">
        <f t="shared" si="40"/>
        <v/>
      </c>
      <c r="AR169" s="19" t="str">
        <f t="shared" si="41"/>
        <v/>
      </c>
      <c r="AS169" s="20"/>
      <c r="AT169" s="19"/>
      <c r="AV169" s="21">
        <f>IF(AND($AL169&lt;&gt;"",COUNTIF($AL$11:$AL169,$AL169)=1),1,0)</f>
        <v>0</v>
      </c>
      <c r="AW169" s="21">
        <f t="shared" si="43"/>
        <v>2</v>
      </c>
      <c r="AX169" s="21" t="str">
        <f t="shared" si="42"/>
        <v/>
      </c>
      <c r="AY169" s="21" t="str">
        <f>IF(AND($AM169&lt;&gt;"",$AS169&lt;&gt;"✓"),SUMPRODUCT(($AM$11:$AM169&lt;&gt;"")*($AS$11:$AS169&lt;&gt;"✓")),"")</f>
        <v/>
      </c>
      <c r="AZ169" s="21" t="str">
        <f>IF(AND($AM169&lt;&gt;"",$AS169="✓"),SUMPRODUCT(($AM$11:$AM169&lt;&gt;"")*($AS$11:$AS169="✓")),"")</f>
        <v/>
      </c>
      <c r="BA169" s="21" t="str">
        <f>IF($AL169="","",$AL169&amp;"|"&amp;COUNTIF($AL$11:$AL169,$AL169))</f>
        <v/>
      </c>
    </row>
    <row r="170" spans="2:53" ht="15" customHeight="1" x14ac:dyDescent="0.25">
      <c r="B170" s="5" t="str">
        <f t="shared" si="30"/>
        <v/>
      </c>
      <c r="C170" s="5"/>
      <c r="D170" s="5"/>
      <c r="E170" s="5"/>
      <c r="F170" s="6"/>
      <c r="G170" s="6"/>
      <c r="H170" s="7"/>
      <c r="I170" s="8"/>
      <c r="K170" s="23" t="str">
        <f>IFERROR(INDEX($AL$11:$AL$4010,MATCH(160,$AX$11:$AX$4010,0)),"")</f>
        <v/>
      </c>
      <c r="L170" s="24" t="str">
        <f t="shared" si="31"/>
        <v/>
      </c>
      <c r="M170" s="25" t="str">
        <f t="shared" si="32"/>
        <v/>
      </c>
      <c r="N170" s="25" t="str">
        <f t="shared" si="33"/>
        <v/>
      </c>
      <c r="P170" s="26" t="str">
        <f>IFERROR(INDEX($AM$11:$AM$4010,MATCH($S$8&amp;"|"&amp;160,$BA$11:$BA$4010,0)),"")</f>
        <v/>
      </c>
      <c r="Q170" s="25" t="str">
        <f>IF(P170="","",IFERROR(INDEX($AN$11:$AN$4010,MATCH($S$8&amp;"|"&amp;160,$BA$11:$BA$4010,0)),""))</f>
        <v/>
      </c>
      <c r="R170" s="25" t="str">
        <f>IF(P170="","",IFERROR(INDEX($AO$11:$AO$4010,MATCH($S$8&amp;"|"&amp;160,$BA$11:$BA$4010,0)),""))</f>
        <v/>
      </c>
      <c r="S170" s="24" t="str">
        <f>IF(P170="","",IFERROR(INDEX($AP$11:$AP$4010,MATCH($S$8&amp;"|"&amp;160,$BA$11:$BA$4010,0)),""))</f>
        <v/>
      </c>
      <c r="T170" s="24" t="str">
        <f>IF(P170="","",IFERROR(INDEX($AQ$11:$AQ$4010,MATCH($S$8&amp;"|"&amp;160,$BA$11:$BA$4010,0)),""))</f>
        <v/>
      </c>
      <c r="U170" s="38" t="str">
        <f t="shared" si="34"/>
        <v/>
      </c>
      <c r="W170" s="28" t="str">
        <f>IF(X170="","",IFERROR(INDEX($AL$11:$AL$4010,MATCH(160,$AY$11:$AY$4010,0)),""))</f>
        <v/>
      </c>
      <c r="X170" s="26" t="str">
        <f>IFERROR(INDEX($AM$11:$AM$4010,MATCH(160,$AY$11:$AY$4010,0)),"")</f>
        <v/>
      </c>
      <c r="Y170" s="25" t="str">
        <f>IF(X170="","",IFERROR(INDEX($AN$11:$AN$4010,MATCH(160,$AY$11:$AY$4010,0)),""))</f>
        <v/>
      </c>
      <c r="Z170" s="25" t="str">
        <f>IF(X170="","",IFERROR(INDEX($AO$11:$AO$4010,MATCH(160,$AY$11:$AY$4010,0)),""))</f>
        <v/>
      </c>
      <c r="AA170" s="24" t="str">
        <f>IF(X170="","",IFERROR(INDEX($AQ$11:$AQ$4010,MATCH(160,$AY$11:$AY$4010,0)),""))</f>
        <v/>
      </c>
      <c r="AB170" s="29" t="str">
        <f>IF(X170="","",IFERROR(INDEX($AR$11:$AR$4010,MATCH(160,$AY$11:$AY$4010,0)),""))</f>
        <v/>
      </c>
      <c r="AD170" s="30" t="str">
        <f>IF(AE170="","",IFERROR(INDEX($AL$11:$AL$4010,MATCH(160,$AZ$11:$AZ$4010,0)),""))</f>
        <v/>
      </c>
      <c r="AE170" s="26" t="str">
        <f>IFERROR(INDEX($AM$11:$AM$4010,MATCH(160,$AZ$11:$AZ$4010,0)),"")</f>
        <v/>
      </c>
      <c r="AF170" s="25" t="str">
        <f>IF(AE170="","",IFERROR(INDEX($AN$11:$AN$4010,MATCH(160,$AZ$11:$AZ$4010,0)),""))</f>
        <v/>
      </c>
      <c r="AG170" s="25" t="str">
        <f>IF(AE170="","",IFERROR(INDEX($AO$11:$AO$4010,MATCH(160,$AZ$11:$AZ$4010,0)),""))</f>
        <v/>
      </c>
      <c r="AH170" s="24" t="str">
        <f>IF(AE170="","",IFERROR(INDEX($AQ$11:$AQ$4010,MATCH(160,$AZ$11:$AZ$4010,0)),""))</f>
        <v/>
      </c>
      <c r="AI170" s="29" t="str">
        <f>IF(AE170="","",IFERROR(INDEX($AR$11:$AR$4010,MATCH(160,$AZ$11:$AZ$4010,0)),""))</f>
        <v/>
      </c>
      <c r="AJ170" s="29" t="str">
        <f>IF(AE170="","",IFERROR(INDEX($AT$11:$AT$4010,MATCH(160,$AZ$11:$AZ$4010,0)),""))</f>
        <v/>
      </c>
      <c r="AL170" s="31" t="str">
        <f t="shared" si="35"/>
        <v/>
      </c>
      <c r="AM170" s="26" t="str">
        <f t="shared" si="36"/>
        <v/>
      </c>
      <c r="AN170" s="32" t="str">
        <f t="shared" si="37"/>
        <v/>
      </c>
      <c r="AO170" s="32" t="str">
        <f t="shared" si="38"/>
        <v/>
      </c>
      <c r="AP170" s="24" t="str">
        <f t="shared" si="39"/>
        <v/>
      </c>
      <c r="AQ170" s="24" t="str">
        <f t="shared" si="40"/>
        <v/>
      </c>
      <c r="AR170" s="33" t="str">
        <f t="shared" si="41"/>
        <v/>
      </c>
      <c r="AS170" s="34"/>
      <c r="AT170" s="33"/>
      <c r="AV170" s="21">
        <f>IF(AND($AL170&lt;&gt;"",COUNTIF($AL$11:$AL170,$AL170)=1),1,0)</f>
        <v>0</v>
      </c>
      <c r="AW170" s="21">
        <f t="shared" si="43"/>
        <v>2</v>
      </c>
      <c r="AX170" s="21" t="str">
        <f t="shared" si="42"/>
        <v/>
      </c>
      <c r="AY170" s="21" t="str">
        <f>IF(AND($AM170&lt;&gt;"",$AS170&lt;&gt;"✓"),SUMPRODUCT(($AM$11:$AM170&lt;&gt;"")*($AS$11:$AS170&lt;&gt;"✓")),"")</f>
        <v/>
      </c>
      <c r="AZ170" s="21" t="str">
        <f>IF(AND($AM170&lt;&gt;"",$AS170="✓"),SUMPRODUCT(($AM$11:$AM170&lt;&gt;"")*($AS$11:$AS170="✓")),"")</f>
        <v/>
      </c>
      <c r="BA170" s="21" t="str">
        <f>IF($AL170="","",$AL170&amp;"|"&amp;COUNTIF($AL$11:$AL170,$AL170))</f>
        <v/>
      </c>
    </row>
    <row r="171" spans="2:53" ht="15" customHeight="1" x14ac:dyDescent="0.25">
      <c r="B171" s="5" t="str">
        <f t="shared" si="30"/>
        <v/>
      </c>
      <c r="C171" s="5"/>
      <c r="D171" s="5"/>
      <c r="E171" s="5"/>
      <c r="F171" s="6"/>
      <c r="G171" s="6"/>
      <c r="H171" s="7"/>
      <c r="I171" s="8"/>
      <c r="K171" s="9" t="str">
        <f>IFERROR(INDEX($AL$11:$AL$4010,MATCH(161,$AX$11:$AX$4010,0)),"")</f>
        <v/>
      </c>
      <c r="L171" s="10" t="str">
        <f t="shared" si="31"/>
        <v/>
      </c>
      <c r="M171" s="11" t="str">
        <f t="shared" si="32"/>
        <v/>
      </c>
      <c r="N171" s="11" t="str">
        <f t="shared" si="33"/>
        <v/>
      </c>
      <c r="P171" s="12" t="str">
        <f>IFERROR(INDEX($AM$11:$AM$4010,MATCH($S$8&amp;"|"&amp;161,$BA$11:$BA$4010,0)),"")</f>
        <v/>
      </c>
      <c r="Q171" s="11" t="str">
        <f>IF(P171="","",IFERROR(INDEX($AN$11:$AN$4010,MATCH($S$8&amp;"|"&amp;161,$BA$11:$BA$4010,0)),""))</f>
        <v/>
      </c>
      <c r="R171" s="11" t="str">
        <f>IF(P171="","",IFERROR(INDEX($AO$11:$AO$4010,MATCH($S$8&amp;"|"&amp;161,$BA$11:$BA$4010,0)),""))</f>
        <v/>
      </c>
      <c r="S171" s="10" t="str">
        <f>IF(P171="","",IFERROR(INDEX($AP$11:$AP$4010,MATCH($S$8&amp;"|"&amp;161,$BA$11:$BA$4010,0)),""))</f>
        <v/>
      </c>
      <c r="T171" s="10" t="str">
        <f>IF(P171="","",IFERROR(INDEX($AQ$11:$AQ$4010,MATCH($S$8&amp;"|"&amp;161,$BA$11:$BA$4010,0)),""))</f>
        <v/>
      </c>
      <c r="U171" s="39" t="str">
        <f t="shared" ref="U171:U202" si="44">IF(P171="","",$S$8)</f>
        <v/>
      </c>
      <c r="W171" s="14" t="str">
        <f>IF(X171="","",IFERROR(INDEX($AL$11:$AL$4010,MATCH(161,$AY$11:$AY$4010,0)),""))</f>
        <v/>
      </c>
      <c r="X171" s="12" t="str">
        <f>IFERROR(INDEX($AM$11:$AM$4010,MATCH(161,$AY$11:$AY$4010,0)),"")</f>
        <v/>
      </c>
      <c r="Y171" s="11" t="str">
        <f>IF(X171="","",IFERROR(INDEX($AN$11:$AN$4010,MATCH(161,$AY$11:$AY$4010,0)),""))</f>
        <v/>
      </c>
      <c r="Z171" s="11" t="str">
        <f>IF(X171="","",IFERROR(INDEX($AO$11:$AO$4010,MATCH(161,$AY$11:$AY$4010,0)),""))</f>
        <v/>
      </c>
      <c r="AA171" s="10" t="str">
        <f>IF(X171="","",IFERROR(INDEX($AQ$11:$AQ$4010,MATCH(161,$AY$11:$AY$4010,0)),""))</f>
        <v/>
      </c>
      <c r="AB171" s="15" t="str">
        <f>IF(X171="","",IFERROR(INDEX($AR$11:$AR$4010,MATCH(161,$AY$11:$AY$4010,0)),""))</f>
        <v/>
      </c>
      <c r="AD171" s="16" t="str">
        <f>IF(AE171="","",IFERROR(INDEX($AL$11:$AL$4010,MATCH(161,$AZ$11:$AZ$4010,0)),""))</f>
        <v/>
      </c>
      <c r="AE171" s="12" t="str">
        <f>IFERROR(INDEX($AM$11:$AM$4010,MATCH(161,$AZ$11:$AZ$4010,0)),"")</f>
        <v/>
      </c>
      <c r="AF171" s="11" t="str">
        <f>IF(AE171="","",IFERROR(INDEX($AN$11:$AN$4010,MATCH(161,$AZ$11:$AZ$4010,0)),""))</f>
        <v/>
      </c>
      <c r="AG171" s="11" t="str">
        <f>IF(AE171="","",IFERROR(INDEX($AO$11:$AO$4010,MATCH(161,$AZ$11:$AZ$4010,0)),""))</f>
        <v/>
      </c>
      <c r="AH171" s="10" t="str">
        <f>IF(AE171="","",IFERROR(INDEX($AQ$11:$AQ$4010,MATCH(161,$AZ$11:$AZ$4010,0)),""))</f>
        <v/>
      </c>
      <c r="AI171" s="15" t="str">
        <f>IF(AE171="","",IFERROR(INDEX($AR$11:$AR$4010,MATCH(161,$AZ$11:$AZ$4010,0)),""))</f>
        <v/>
      </c>
      <c r="AJ171" s="15" t="str">
        <f>IF(AE171="","",IFERROR(INDEX($AT$11:$AT$4010,MATCH(161,$AZ$11:$AZ$4010,0)),""))</f>
        <v/>
      </c>
      <c r="AL171" s="17" t="str">
        <f t="shared" si="35"/>
        <v/>
      </c>
      <c r="AM171" s="12" t="str">
        <f t="shared" si="36"/>
        <v/>
      </c>
      <c r="AN171" s="18" t="str">
        <f t="shared" si="37"/>
        <v/>
      </c>
      <c r="AO171" s="18" t="str">
        <f t="shared" si="38"/>
        <v/>
      </c>
      <c r="AP171" s="10" t="str">
        <f t="shared" si="39"/>
        <v/>
      </c>
      <c r="AQ171" s="10" t="str">
        <f t="shared" si="40"/>
        <v/>
      </c>
      <c r="AR171" s="19" t="str">
        <f t="shared" si="41"/>
        <v/>
      </c>
      <c r="AS171" s="20"/>
      <c r="AT171" s="19"/>
      <c r="AV171" s="21">
        <f>IF(AND($AL171&lt;&gt;"",COUNTIF($AL$11:$AL171,$AL171)=1),1,0)</f>
        <v>0</v>
      </c>
      <c r="AW171" s="21">
        <f t="shared" si="43"/>
        <v>2</v>
      </c>
      <c r="AX171" s="21" t="str">
        <f t="shared" si="42"/>
        <v/>
      </c>
      <c r="AY171" s="21" t="str">
        <f>IF(AND($AM171&lt;&gt;"",$AS171&lt;&gt;"✓"),SUMPRODUCT(($AM$11:$AM171&lt;&gt;"")*($AS$11:$AS171&lt;&gt;"✓")),"")</f>
        <v/>
      </c>
      <c r="AZ171" s="21" t="str">
        <f>IF(AND($AM171&lt;&gt;"",$AS171="✓"),SUMPRODUCT(($AM$11:$AM171&lt;&gt;"")*($AS$11:$AS171="✓")),"")</f>
        <v/>
      </c>
      <c r="BA171" s="21" t="str">
        <f>IF($AL171="","",$AL171&amp;"|"&amp;COUNTIF($AL$11:$AL171,$AL171))</f>
        <v/>
      </c>
    </row>
    <row r="172" spans="2:53" ht="15" customHeight="1" x14ac:dyDescent="0.25">
      <c r="B172" s="5" t="str">
        <f t="shared" si="30"/>
        <v/>
      </c>
      <c r="C172" s="5"/>
      <c r="D172" s="5"/>
      <c r="E172" s="5"/>
      <c r="F172" s="6"/>
      <c r="G172" s="6"/>
      <c r="H172" s="7"/>
      <c r="I172" s="8"/>
      <c r="K172" s="23" t="str">
        <f>IFERROR(INDEX($AL$11:$AL$4010,MATCH(162,$AX$11:$AX$4010,0)),"")</f>
        <v/>
      </c>
      <c r="L172" s="24" t="str">
        <f t="shared" si="31"/>
        <v/>
      </c>
      <c r="M172" s="25" t="str">
        <f t="shared" si="32"/>
        <v/>
      </c>
      <c r="N172" s="25" t="str">
        <f t="shared" si="33"/>
        <v/>
      </c>
      <c r="P172" s="26" t="str">
        <f>IFERROR(INDEX($AM$11:$AM$4010,MATCH($S$8&amp;"|"&amp;162,$BA$11:$BA$4010,0)),"")</f>
        <v/>
      </c>
      <c r="Q172" s="25" t="str">
        <f>IF(P172="","",IFERROR(INDEX($AN$11:$AN$4010,MATCH($S$8&amp;"|"&amp;162,$BA$11:$BA$4010,0)),""))</f>
        <v/>
      </c>
      <c r="R172" s="25" t="str">
        <f>IF(P172="","",IFERROR(INDEX($AO$11:$AO$4010,MATCH($S$8&amp;"|"&amp;162,$BA$11:$BA$4010,0)),""))</f>
        <v/>
      </c>
      <c r="S172" s="24" t="str">
        <f>IF(P172="","",IFERROR(INDEX($AP$11:$AP$4010,MATCH($S$8&amp;"|"&amp;162,$BA$11:$BA$4010,0)),""))</f>
        <v/>
      </c>
      <c r="T172" s="24" t="str">
        <f>IF(P172="","",IFERROR(INDEX($AQ$11:$AQ$4010,MATCH($S$8&amp;"|"&amp;162,$BA$11:$BA$4010,0)),""))</f>
        <v/>
      </c>
      <c r="U172" s="38" t="str">
        <f t="shared" si="44"/>
        <v/>
      </c>
      <c r="W172" s="28" t="str">
        <f>IF(X172="","",IFERROR(INDEX($AL$11:$AL$4010,MATCH(162,$AY$11:$AY$4010,0)),""))</f>
        <v/>
      </c>
      <c r="X172" s="26" t="str">
        <f>IFERROR(INDEX($AM$11:$AM$4010,MATCH(162,$AY$11:$AY$4010,0)),"")</f>
        <v/>
      </c>
      <c r="Y172" s="25" t="str">
        <f>IF(X172="","",IFERROR(INDEX($AN$11:$AN$4010,MATCH(162,$AY$11:$AY$4010,0)),""))</f>
        <v/>
      </c>
      <c r="Z172" s="25" t="str">
        <f>IF(X172="","",IFERROR(INDEX($AO$11:$AO$4010,MATCH(162,$AY$11:$AY$4010,0)),""))</f>
        <v/>
      </c>
      <c r="AA172" s="24" t="str">
        <f>IF(X172="","",IFERROR(INDEX($AQ$11:$AQ$4010,MATCH(162,$AY$11:$AY$4010,0)),""))</f>
        <v/>
      </c>
      <c r="AB172" s="29" t="str">
        <f>IF(X172="","",IFERROR(INDEX($AR$11:$AR$4010,MATCH(162,$AY$11:$AY$4010,0)),""))</f>
        <v/>
      </c>
      <c r="AD172" s="30" t="str">
        <f>IF(AE172="","",IFERROR(INDEX($AL$11:$AL$4010,MATCH(162,$AZ$11:$AZ$4010,0)),""))</f>
        <v/>
      </c>
      <c r="AE172" s="26" t="str">
        <f>IFERROR(INDEX($AM$11:$AM$4010,MATCH(162,$AZ$11:$AZ$4010,0)),"")</f>
        <v/>
      </c>
      <c r="AF172" s="25" t="str">
        <f>IF(AE172="","",IFERROR(INDEX($AN$11:$AN$4010,MATCH(162,$AZ$11:$AZ$4010,0)),""))</f>
        <v/>
      </c>
      <c r="AG172" s="25" t="str">
        <f>IF(AE172="","",IFERROR(INDEX($AO$11:$AO$4010,MATCH(162,$AZ$11:$AZ$4010,0)),""))</f>
        <v/>
      </c>
      <c r="AH172" s="24" t="str">
        <f>IF(AE172="","",IFERROR(INDEX($AQ$11:$AQ$4010,MATCH(162,$AZ$11:$AZ$4010,0)),""))</f>
        <v/>
      </c>
      <c r="AI172" s="29" t="str">
        <f>IF(AE172="","",IFERROR(INDEX($AR$11:$AR$4010,MATCH(162,$AZ$11:$AZ$4010,0)),""))</f>
        <v/>
      </c>
      <c r="AJ172" s="29" t="str">
        <f>IF(AE172="","",IFERROR(INDEX($AT$11:$AT$4010,MATCH(162,$AZ$11:$AZ$4010,0)),""))</f>
        <v/>
      </c>
      <c r="AL172" s="31" t="str">
        <f t="shared" si="35"/>
        <v/>
      </c>
      <c r="AM172" s="26" t="str">
        <f t="shared" si="36"/>
        <v/>
      </c>
      <c r="AN172" s="32" t="str">
        <f t="shared" si="37"/>
        <v/>
      </c>
      <c r="AO172" s="32" t="str">
        <f t="shared" si="38"/>
        <v/>
      </c>
      <c r="AP172" s="24" t="str">
        <f t="shared" si="39"/>
        <v/>
      </c>
      <c r="AQ172" s="24" t="str">
        <f t="shared" si="40"/>
        <v/>
      </c>
      <c r="AR172" s="33" t="str">
        <f t="shared" si="41"/>
        <v/>
      </c>
      <c r="AS172" s="34"/>
      <c r="AT172" s="33"/>
      <c r="AV172" s="21">
        <f>IF(AND($AL172&lt;&gt;"",COUNTIF($AL$11:$AL172,$AL172)=1),1,0)</f>
        <v>0</v>
      </c>
      <c r="AW172" s="21">
        <f t="shared" si="43"/>
        <v>2</v>
      </c>
      <c r="AX172" s="21" t="str">
        <f t="shared" si="42"/>
        <v/>
      </c>
      <c r="AY172" s="21" t="str">
        <f>IF(AND($AM172&lt;&gt;"",$AS172&lt;&gt;"✓"),SUMPRODUCT(($AM$11:$AM172&lt;&gt;"")*($AS$11:$AS172&lt;&gt;"✓")),"")</f>
        <v/>
      </c>
      <c r="AZ172" s="21" t="str">
        <f>IF(AND($AM172&lt;&gt;"",$AS172="✓"),SUMPRODUCT(($AM$11:$AM172&lt;&gt;"")*($AS$11:$AS172="✓")),"")</f>
        <v/>
      </c>
      <c r="BA172" s="21" t="str">
        <f>IF($AL172="","",$AL172&amp;"|"&amp;COUNTIF($AL$11:$AL172,$AL172))</f>
        <v/>
      </c>
    </row>
    <row r="173" spans="2:53" ht="15" customHeight="1" x14ac:dyDescent="0.25">
      <c r="B173" s="5" t="str">
        <f t="shared" si="30"/>
        <v/>
      </c>
      <c r="C173" s="5"/>
      <c r="D173" s="5"/>
      <c r="E173" s="5"/>
      <c r="F173" s="6"/>
      <c r="G173" s="6"/>
      <c r="H173" s="7"/>
      <c r="I173" s="8"/>
      <c r="K173" s="9" t="str">
        <f>IFERROR(INDEX($AL$11:$AL$4010,MATCH(163,$AX$11:$AX$4010,0)),"")</f>
        <v/>
      </c>
      <c r="L173" s="10" t="str">
        <f t="shared" si="31"/>
        <v/>
      </c>
      <c r="M173" s="11" t="str">
        <f t="shared" si="32"/>
        <v/>
      </c>
      <c r="N173" s="11" t="str">
        <f t="shared" si="33"/>
        <v/>
      </c>
      <c r="P173" s="12" t="str">
        <f>IFERROR(INDEX($AM$11:$AM$4010,MATCH($S$8&amp;"|"&amp;163,$BA$11:$BA$4010,0)),"")</f>
        <v/>
      </c>
      <c r="Q173" s="11" t="str">
        <f>IF(P173="","",IFERROR(INDEX($AN$11:$AN$4010,MATCH($S$8&amp;"|"&amp;163,$BA$11:$BA$4010,0)),""))</f>
        <v/>
      </c>
      <c r="R173" s="11" t="str">
        <f>IF(P173="","",IFERROR(INDEX($AO$11:$AO$4010,MATCH($S$8&amp;"|"&amp;163,$BA$11:$BA$4010,0)),""))</f>
        <v/>
      </c>
      <c r="S173" s="10" t="str">
        <f>IF(P173="","",IFERROR(INDEX($AP$11:$AP$4010,MATCH($S$8&amp;"|"&amp;163,$BA$11:$BA$4010,0)),""))</f>
        <v/>
      </c>
      <c r="T173" s="10" t="str">
        <f>IF(P173="","",IFERROR(INDEX($AQ$11:$AQ$4010,MATCH($S$8&amp;"|"&amp;163,$BA$11:$BA$4010,0)),""))</f>
        <v/>
      </c>
      <c r="U173" s="39" t="str">
        <f t="shared" si="44"/>
        <v/>
      </c>
      <c r="W173" s="14" t="str">
        <f>IF(X173="","",IFERROR(INDEX($AL$11:$AL$4010,MATCH(163,$AY$11:$AY$4010,0)),""))</f>
        <v/>
      </c>
      <c r="X173" s="12" t="str">
        <f>IFERROR(INDEX($AM$11:$AM$4010,MATCH(163,$AY$11:$AY$4010,0)),"")</f>
        <v/>
      </c>
      <c r="Y173" s="11" t="str">
        <f>IF(X173="","",IFERROR(INDEX($AN$11:$AN$4010,MATCH(163,$AY$11:$AY$4010,0)),""))</f>
        <v/>
      </c>
      <c r="Z173" s="11" t="str">
        <f>IF(X173="","",IFERROR(INDEX($AO$11:$AO$4010,MATCH(163,$AY$11:$AY$4010,0)),""))</f>
        <v/>
      </c>
      <c r="AA173" s="10" t="str">
        <f>IF(X173="","",IFERROR(INDEX($AQ$11:$AQ$4010,MATCH(163,$AY$11:$AY$4010,0)),""))</f>
        <v/>
      </c>
      <c r="AB173" s="15" t="str">
        <f>IF(X173="","",IFERROR(INDEX($AR$11:$AR$4010,MATCH(163,$AY$11:$AY$4010,0)),""))</f>
        <v/>
      </c>
      <c r="AD173" s="16" t="str">
        <f>IF(AE173="","",IFERROR(INDEX($AL$11:$AL$4010,MATCH(163,$AZ$11:$AZ$4010,0)),""))</f>
        <v/>
      </c>
      <c r="AE173" s="12" t="str">
        <f>IFERROR(INDEX($AM$11:$AM$4010,MATCH(163,$AZ$11:$AZ$4010,0)),"")</f>
        <v/>
      </c>
      <c r="AF173" s="11" t="str">
        <f>IF(AE173="","",IFERROR(INDEX($AN$11:$AN$4010,MATCH(163,$AZ$11:$AZ$4010,0)),""))</f>
        <v/>
      </c>
      <c r="AG173" s="11" t="str">
        <f>IF(AE173="","",IFERROR(INDEX($AO$11:$AO$4010,MATCH(163,$AZ$11:$AZ$4010,0)),""))</f>
        <v/>
      </c>
      <c r="AH173" s="10" t="str">
        <f>IF(AE173="","",IFERROR(INDEX($AQ$11:$AQ$4010,MATCH(163,$AZ$11:$AZ$4010,0)),""))</f>
        <v/>
      </c>
      <c r="AI173" s="15" t="str">
        <f>IF(AE173="","",IFERROR(INDEX($AR$11:$AR$4010,MATCH(163,$AZ$11:$AZ$4010,0)),""))</f>
        <v/>
      </c>
      <c r="AJ173" s="15" t="str">
        <f>IF(AE173="","",IFERROR(INDEX($AT$11:$AT$4010,MATCH(163,$AZ$11:$AZ$4010,0)),""))</f>
        <v/>
      </c>
      <c r="AL173" s="17" t="str">
        <f t="shared" si="35"/>
        <v/>
      </c>
      <c r="AM173" s="12" t="str">
        <f t="shared" si="36"/>
        <v/>
      </c>
      <c r="AN173" s="18" t="str">
        <f t="shared" si="37"/>
        <v/>
      </c>
      <c r="AO173" s="18" t="str">
        <f t="shared" si="38"/>
        <v/>
      </c>
      <c r="AP173" s="10" t="str">
        <f t="shared" si="39"/>
        <v/>
      </c>
      <c r="AQ173" s="10" t="str">
        <f t="shared" si="40"/>
        <v/>
      </c>
      <c r="AR173" s="19" t="str">
        <f t="shared" si="41"/>
        <v/>
      </c>
      <c r="AS173" s="20"/>
      <c r="AT173" s="19"/>
      <c r="AV173" s="21">
        <f>IF(AND($AL173&lt;&gt;"",COUNTIF($AL$11:$AL173,$AL173)=1),1,0)</f>
        <v>0</v>
      </c>
      <c r="AW173" s="21">
        <f t="shared" si="43"/>
        <v>2</v>
      </c>
      <c r="AX173" s="21" t="str">
        <f t="shared" si="42"/>
        <v/>
      </c>
      <c r="AY173" s="21" t="str">
        <f>IF(AND($AM173&lt;&gt;"",$AS173&lt;&gt;"✓"),SUMPRODUCT(($AM$11:$AM173&lt;&gt;"")*($AS$11:$AS173&lt;&gt;"✓")),"")</f>
        <v/>
      </c>
      <c r="AZ173" s="21" t="str">
        <f>IF(AND($AM173&lt;&gt;"",$AS173="✓"),SUMPRODUCT(($AM$11:$AM173&lt;&gt;"")*($AS$11:$AS173="✓")),"")</f>
        <v/>
      </c>
      <c r="BA173" s="21" t="str">
        <f>IF($AL173="","",$AL173&amp;"|"&amp;COUNTIF($AL$11:$AL173,$AL173))</f>
        <v/>
      </c>
    </row>
    <row r="174" spans="2:53" ht="15" customHeight="1" x14ac:dyDescent="0.25">
      <c r="B174" s="5" t="str">
        <f t="shared" si="30"/>
        <v/>
      </c>
      <c r="C174" s="5"/>
      <c r="D174" s="5"/>
      <c r="E174" s="5"/>
      <c r="F174" s="6"/>
      <c r="G174" s="6"/>
      <c r="H174" s="7"/>
      <c r="I174" s="8"/>
      <c r="K174" s="23" t="str">
        <f>IFERROR(INDEX($AL$11:$AL$4010,MATCH(164,$AX$11:$AX$4010,0)),"")</f>
        <v/>
      </c>
      <c r="L174" s="24" t="str">
        <f t="shared" si="31"/>
        <v/>
      </c>
      <c r="M174" s="25" t="str">
        <f t="shared" si="32"/>
        <v/>
      </c>
      <c r="N174" s="25" t="str">
        <f t="shared" si="33"/>
        <v/>
      </c>
      <c r="P174" s="26" t="str">
        <f>IFERROR(INDEX($AM$11:$AM$4010,MATCH($S$8&amp;"|"&amp;164,$BA$11:$BA$4010,0)),"")</f>
        <v/>
      </c>
      <c r="Q174" s="25" t="str">
        <f>IF(P174="","",IFERROR(INDEX($AN$11:$AN$4010,MATCH($S$8&amp;"|"&amp;164,$BA$11:$BA$4010,0)),""))</f>
        <v/>
      </c>
      <c r="R174" s="25" t="str">
        <f>IF(P174="","",IFERROR(INDEX($AO$11:$AO$4010,MATCH($S$8&amp;"|"&amp;164,$BA$11:$BA$4010,0)),""))</f>
        <v/>
      </c>
      <c r="S174" s="24" t="str">
        <f>IF(P174="","",IFERROR(INDEX($AP$11:$AP$4010,MATCH($S$8&amp;"|"&amp;164,$BA$11:$BA$4010,0)),""))</f>
        <v/>
      </c>
      <c r="T174" s="24" t="str">
        <f>IF(P174="","",IFERROR(INDEX($AQ$11:$AQ$4010,MATCH($S$8&amp;"|"&amp;164,$BA$11:$BA$4010,0)),""))</f>
        <v/>
      </c>
      <c r="U174" s="38" t="str">
        <f t="shared" si="44"/>
        <v/>
      </c>
      <c r="W174" s="28" t="str">
        <f>IF(X174="","",IFERROR(INDEX($AL$11:$AL$4010,MATCH(164,$AY$11:$AY$4010,0)),""))</f>
        <v/>
      </c>
      <c r="X174" s="26" t="str">
        <f>IFERROR(INDEX($AM$11:$AM$4010,MATCH(164,$AY$11:$AY$4010,0)),"")</f>
        <v/>
      </c>
      <c r="Y174" s="25" t="str">
        <f>IF(X174="","",IFERROR(INDEX($AN$11:$AN$4010,MATCH(164,$AY$11:$AY$4010,0)),""))</f>
        <v/>
      </c>
      <c r="Z174" s="25" t="str">
        <f>IF(X174="","",IFERROR(INDEX($AO$11:$AO$4010,MATCH(164,$AY$11:$AY$4010,0)),""))</f>
        <v/>
      </c>
      <c r="AA174" s="24" t="str">
        <f>IF(X174="","",IFERROR(INDEX($AQ$11:$AQ$4010,MATCH(164,$AY$11:$AY$4010,0)),""))</f>
        <v/>
      </c>
      <c r="AB174" s="29" t="str">
        <f>IF(X174="","",IFERROR(INDEX($AR$11:$AR$4010,MATCH(164,$AY$11:$AY$4010,0)),""))</f>
        <v/>
      </c>
      <c r="AD174" s="30" t="str">
        <f>IF(AE174="","",IFERROR(INDEX($AL$11:$AL$4010,MATCH(164,$AZ$11:$AZ$4010,0)),""))</f>
        <v/>
      </c>
      <c r="AE174" s="26" t="str">
        <f>IFERROR(INDEX($AM$11:$AM$4010,MATCH(164,$AZ$11:$AZ$4010,0)),"")</f>
        <v/>
      </c>
      <c r="AF174" s="25" t="str">
        <f>IF(AE174="","",IFERROR(INDEX($AN$11:$AN$4010,MATCH(164,$AZ$11:$AZ$4010,0)),""))</f>
        <v/>
      </c>
      <c r="AG174" s="25" t="str">
        <f>IF(AE174="","",IFERROR(INDEX($AO$11:$AO$4010,MATCH(164,$AZ$11:$AZ$4010,0)),""))</f>
        <v/>
      </c>
      <c r="AH174" s="24" t="str">
        <f>IF(AE174="","",IFERROR(INDEX($AQ$11:$AQ$4010,MATCH(164,$AZ$11:$AZ$4010,0)),""))</f>
        <v/>
      </c>
      <c r="AI174" s="29" t="str">
        <f>IF(AE174="","",IFERROR(INDEX($AR$11:$AR$4010,MATCH(164,$AZ$11:$AZ$4010,0)),""))</f>
        <v/>
      </c>
      <c r="AJ174" s="29" t="str">
        <f>IF(AE174="","",IFERROR(INDEX($AT$11:$AT$4010,MATCH(164,$AZ$11:$AZ$4010,0)),""))</f>
        <v/>
      </c>
      <c r="AL174" s="31" t="str">
        <f t="shared" si="35"/>
        <v/>
      </c>
      <c r="AM174" s="26" t="str">
        <f t="shared" si="36"/>
        <v/>
      </c>
      <c r="AN174" s="32" t="str">
        <f t="shared" si="37"/>
        <v/>
      </c>
      <c r="AO174" s="32" t="str">
        <f t="shared" si="38"/>
        <v/>
      </c>
      <c r="AP174" s="24" t="str">
        <f t="shared" si="39"/>
        <v/>
      </c>
      <c r="AQ174" s="24" t="str">
        <f t="shared" si="40"/>
        <v/>
      </c>
      <c r="AR174" s="33" t="str">
        <f t="shared" si="41"/>
        <v/>
      </c>
      <c r="AS174" s="34"/>
      <c r="AT174" s="33"/>
      <c r="AV174" s="21">
        <f>IF(AND($AL174&lt;&gt;"",COUNTIF($AL$11:$AL174,$AL174)=1),1,0)</f>
        <v>0</v>
      </c>
      <c r="AW174" s="21">
        <f t="shared" si="43"/>
        <v>2</v>
      </c>
      <c r="AX174" s="21" t="str">
        <f t="shared" si="42"/>
        <v/>
      </c>
      <c r="AY174" s="21" t="str">
        <f>IF(AND($AM174&lt;&gt;"",$AS174&lt;&gt;"✓"),SUMPRODUCT(($AM$11:$AM174&lt;&gt;"")*($AS$11:$AS174&lt;&gt;"✓")),"")</f>
        <v/>
      </c>
      <c r="AZ174" s="21" t="str">
        <f>IF(AND($AM174&lt;&gt;"",$AS174="✓"),SUMPRODUCT(($AM$11:$AM174&lt;&gt;"")*($AS$11:$AS174="✓")),"")</f>
        <v/>
      </c>
      <c r="BA174" s="21" t="str">
        <f>IF($AL174="","",$AL174&amp;"|"&amp;COUNTIF($AL$11:$AL174,$AL174))</f>
        <v/>
      </c>
    </row>
    <row r="175" spans="2:53" ht="15" customHeight="1" x14ac:dyDescent="0.25">
      <c r="B175" s="5" t="str">
        <f t="shared" si="30"/>
        <v/>
      </c>
      <c r="C175" s="5"/>
      <c r="D175" s="5"/>
      <c r="E175" s="5"/>
      <c r="F175" s="6"/>
      <c r="G175" s="6"/>
      <c r="H175" s="7"/>
      <c r="I175" s="8"/>
      <c r="K175" s="9" t="str">
        <f>IFERROR(INDEX($AL$11:$AL$4010,MATCH(165,$AX$11:$AX$4010,0)),"")</f>
        <v/>
      </c>
      <c r="L175" s="10" t="str">
        <f t="shared" si="31"/>
        <v/>
      </c>
      <c r="M175" s="11" t="str">
        <f t="shared" si="32"/>
        <v/>
      </c>
      <c r="N175" s="11" t="str">
        <f t="shared" si="33"/>
        <v/>
      </c>
      <c r="P175" s="12" t="str">
        <f>IFERROR(INDEX($AM$11:$AM$4010,MATCH($S$8&amp;"|"&amp;165,$BA$11:$BA$4010,0)),"")</f>
        <v/>
      </c>
      <c r="Q175" s="11" t="str">
        <f>IF(P175="","",IFERROR(INDEX($AN$11:$AN$4010,MATCH($S$8&amp;"|"&amp;165,$BA$11:$BA$4010,0)),""))</f>
        <v/>
      </c>
      <c r="R175" s="11" t="str">
        <f>IF(P175="","",IFERROR(INDEX($AO$11:$AO$4010,MATCH($S$8&amp;"|"&amp;165,$BA$11:$BA$4010,0)),""))</f>
        <v/>
      </c>
      <c r="S175" s="10" t="str">
        <f>IF(P175="","",IFERROR(INDEX($AP$11:$AP$4010,MATCH($S$8&amp;"|"&amp;165,$BA$11:$BA$4010,0)),""))</f>
        <v/>
      </c>
      <c r="T175" s="10" t="str">
        <f>IF(P175="","",IFERROR(INDEX($AQ$11:$AQ$4010,MATCH($S$8&amp;"|"&amp;165,$BA$11:$BA$4010,0)),""))</f>
        <v/>
      </c>
      <c r="U175" s="39" t="str">
        <f t="shared" si="44"/>
        <v/>
      </c>
      <c r="W175" s="14" t="str">
        <f>IF(X175="","",IFERROR(INDEX($AL$11:$AL$4010,MATCH(165,$AY$11:$AY$4010,0)),""))</f>
        <v/>
      </c>
      <c r="X175" s="12" t="str">
        <f>IFERROR(INDEX($AM$11:$AM$4010,MATCH(165,$AY$11:$AY$4010,0)),"")</f>
        <v/>
      </c>
      <c r="Y175" s="11" t="str">
        <f>IF(X175="","",IFERROR(INDEX($AN$11:$AN$4010,MATCH(165,$AY$11:$AY$4010,0)),""))</f>
        <v/>
      </c>
      <c r="Z175" s="11" t="str">
        <f>IF(X175="","",IFERROR(INDEX($AO$11:$AO$4010,MATCH(165,$AY$11:$AY$4010,0)),""))</f>
        <v/>
      </c>
      <c r="AA175" s="10" t="str">
        <f>IF(X175="","",IFERROR(INDEX($AQ$11:$AQ$4010,MATCH(165,$AY$11:$AY$4010,0)),""))</f>
        <v/>
      </c>
      <c r="AB175" s="15" t="str">
        <f>IF(X175="","",IFERROR(INDEX($AR$11:$AR$4010,MATCH(165,$AY$11:$AY$4010,0)),""))</f>
        <v/>
      </c>
      <c r="AD175" s="16" t="str">
        <f>IF(AE175="","",IFERROR(INDEX($AL$11:$AL$4010,MATCH(165,$AZ$11:$AZ$4010,0)),""))</f>
        <v/>
      </c>
      <c r="AE175" s="12" t="str">
        <f>IFERROR(INDEX($AM$11:$AM$4010,MATCH(165,$AZ$11:$AZ$4010,0)),"")</f>
        <v/>
      </c>
      <c r="AF175" s="11" t="str">
        <f>IF(AE175="","",IFERROR(INDEX($AN$11:$AN$4010,MATCH(165,$AZ$11:$AZ$4010,0)),""))</f>
        <v/>
      </c>
      <c r="AG175" s="11" t="str">
        <f>IF(AE175="","",IFERROR(INDEX($AO$11:$AO$4010,MATCH(165,$AZ$11:$AZ$4010,0)),""))</f>
        <v/>
      </c>
      <c r="AH175" s="10" t="str">
        <f>IF(AE175="","",IFERROR(INDEX($AQ$11:$AQ$4010,MATCH(165,$AZ$11:$AZ$4010,0)),""))</f>
        <v/>
      </c>
      <c r="AI175" s="15" t="str">
        <f>IF(AE175="","",IFERROR(INDEX($AR$11:$AR$4010,MATCH(165,$AZ$11:$AZ$4010,0)),""))</f>
        <v/>
      </c>
      <c r="AJ175" s="15" t="str">
        <f>IF(AE175="","",IFERROR(INDEX($AT$11:$AT$4010,MATCH(165,$AZ$11:$AZ$4010,0)),""))</f>
        <v/>
      </c>
      <c r="AL175" s="17" t="str">
        <f t="shared" si="35"/>
        <v/>
      </c>
      <c r="AM175" s="12" t="str">
        <f t="shared" si="36"/>
        <v/>
      </c>
      <c r="AN175" s="18" t="str">
        <f t="shared" si="37"/>
        <v/>
      </c>
      <c r="AO175" s="18" t="str">
        <f t="shared" si="38"/>
        <v/>
      </c>
      <c r="AP175" s="10" t="str">
        <f t="shared" si="39"/>
        <v/>
      </c>
      <c r="AQ175" s="10" t="str">
        <f t="shared" si="40"/>
        <v/>
      </c>
      <c r="AR175" s="19" t="str">
        <f t="shared" si="41"/>
        <v/>
      </c>
      <c r="AS175" s="20"/>
      <c r="AT175" s="19"/>
      <c r="AV175" s="21">
        <f>IF(AND($AL175&lt;&gt;"",COUNTIF($AL$11:$AL175,$AL175)=1),1,0)</f>
        <v>0</v>
      </c>
      <c r="AW175" s="21">
        <f t="shared" si="43"/>
        <v>2</v>
      </c>
      <c r="AX175" s="21" t="str">
        <f t="shared" si="42"/>
        <v/>
      </c>
      <c r="AY175" s="21" t="str">
        <f>IF(AND($AM175&lt;&gt;"",$AS175&lt;&gt;"✓"),SUMPRODUCT(($AM$11:$AM175&lt;&gt;"")*($AS$11:$AS175&lt;&gt;"✓")),"")</f>
        <v/>
      </c>
      <c r="AZ175" s="21" t="str">
        <f>IF(AND($AM175&lt;&gt;"",$AS175="✓"),SUMPRODUCT(($AM$11:$AM175&lt;&gt;"")*($AS$11:$AS175="✓")),"")</f>
        <v/>
      </c>
      <c r="BA175" s="21" t="str">
        <f>IF($AL175="","",$AL175&amp;"|"&amp;COUNTIF($AL$11:$AL175,$AL175))</f>
        <v/>
      </c>
    </row>
    <row r="176" spans="2:53" ht="15" customHeight="1" x14ac:dyDescent="0.25">
      <c r="B176" s="5" t="str">
        <f t="shared" si="30"/>
        <v/>
      </c>
      <c r="C176" s="5"/>
      <c r="D176" s="5"/>
      <c r="E176" s="5"/>
      <c r="F176" s="6"/>
      <c r="G176" s="6"/>
      <c r="H176" s="7"/>
      <c r="I176" s="8"/>
      <c r="K176" s="23" t="str">
        <f>IFERROR(INDEX($AL$11:$AL$4010,MATCH(166,$AX$11:$AX$4010,0)),"")</f>
        <v/>
      </c>
      <c r="L176" s="24" t="str">
        <f t="shared" si="31"/>
        <v/>
      </c>
      <c r="M176" s="25" t="str">
        <f t="shared" si="32"/>
        <v/>
      </c>
      <c r="N176" s="25" t="str">
        <f t="shared" si="33"/>
        <v/>
      </c>
      <c r="P176" s="26" t="str">
        <f>IFERROR(INDEX($AM$11:$AM$4010,MATCH($S$8&amp;"|"&amp;166,$BA$11:$BA$4010,0)),"")</f>
        <v/>
      </c>
      <c r="Q176" s="25" t="str">
        <f>IF(P176="","",IFERROR(INDEX($AN$11:$AN$4010,MATCH($S$8&amp;"|"&amp;166,$BA$11:$BA$4010,0)),""))</f>
        <v/>
      </c>
      <c r="R176" s="25" t="str">
        <f>IF(P176="","",IFERROR(INDEX($AO$11:$AO$4010,MATCH($S$8&amp;"|"&amp;166,$BA$11:$BA$4010,0)),""))</f>
        <v/>
      </c>
      <c r="S176" s="24" t="str">
        <f>IF(P176="","",IFERROR(INDEX($AP$11:$AP$4010,MATCH($S$8&amp;"|"&amp;166,$BA$11:$BA$4010,0)),""))</f>
        <v/>
      </c>
      <c r="T176" s="24" t="str">
        <f>IF(P176="","",IFERROR(INDEX($AQ$11:$AQ$4010,MATCH($S$8&amp;"|"&amp;166,$BA$11:$BA$4010,0)),""))</f>
        <v/>
      </c>
      <c r="U176" s="38" t="str">
        <f t="shared" si="44"/>
        <v/>
      </c>
      <c r="W176" s="28" t="str">
        <f>IF(X176="","",IFERROR(INDEX($AL$11:$AL$4010,MATCH(166,$AY$11:$AY$4010,0)),""))</f>
        <v/>
      </c>
      <c r="X176" s="26" t="str">
        <f>IFERROR(INDEX($AM$11:$AM$4010,MATCH(166,$AY$11:$AY$4010,0)),"")</f>
        <v/>
      </c>
      <c r="Y176" s="25" t="str">
        <f>IF(X176="","",IFERROR(INDEX($AN$11:$AN$4010,MATCH(166,$AY$11:$AY$4010,0)),""))</f>
        <v/>
      </c>
      <c r="Z176" s="25" t="str">
        <f>IF(X176="","",IFERROR(INDEX($AO$11:$AO$4010,MATCH(166,$AY$11:$AY$4010,0)),""))</f>
        <v/>
      </c>
      <c r="AA176" s="24" t="str">
        <f>IF(X176="","",IFERROR(INDEX($AQ$11:$AQ$4010,MATCH(166,$AY$11:$AY$4010,0)),""))</f>
        <v/>
      </c>
      <c r="AB176" s="29" t="str">
        <f>IF(X176="","",IFERROR(INDEX($AR$11:$AR$4010,MATCH(166,$AY$11:$AY$4010,0)),""))</f>
        <v/>
      </c>
      <c r="AD176" s="30" t="str">
        <f>IF(AE176="","",IFERROR(INDEX($AL$11:$AL$4010,MATCH(166,$AZ$11:$AZ$4010,0)),""))</f>
        <v/>
      </c>
      <c r="AE176" s="26" t="str">
        <f>IFERROR(INDEX($AM$11:$AM$4010,MATCH(166,$AZ$11:$AZ$4010,0)),"")</f>
        <v/>
      </c>
      <c r="AF176" s="25" t="str">
        <f>IF(AE176="","",IFERROR(INDEX($AN$11:$AN$4010,MATCH(166,$AZ$11:$AZ$4010,0)),""))</f>
        <v/>
      </c>
      <c r="AG176" s="25" t="str">
        <f>IF(AE176="","",IFERROR(INDEX($AO$11:$AO$4010,MATCH(166,$AZ$11:$AZ$4010,0)),""))</f>
        <v/>
      </c>
      <c r="AH176" s="24" t="str">
        <f>IF(AE176="","",IFERROR(INDEX($AQ$11:$AQ$4010,MATCH(166,$AZ$11:$AZ$4010,0)),""))</f>
        <v/>
      </c>
      <c r="AI176" s="29" t="str">
        <f>IF(AE176="","",IFERROR(INDEX($AR$11:$AR$4010,MATCH(166,$AZ$11:$AZ$4010,0)),""))</f>
        <v/>
      </c>
      <c r="AJ176" s="29" t="str">
        <f>IF(AE176="","",IFERROR(INDEX($AT$11:$AT$4010,MATCH(166,$AZ$11:$AZ$4010,0)),""))</f>
        <v/>
      </c>
      <c r="AL176" s="31" t="str">
        <f t="shared" si="35"/>
        <v/>
      </c>
      <c r="AM176" s="26" t="str">
        <f t="shared" si="36"/>
        <v/>
      </c>
      <c r="AN176" s="32" t="str">
        <f t="shared" si="37"/>
        <v/>
      </c>
      <c r="AO176" s="32" t="str">
        <f t="shared" si="38"/>
        <v/>
      </c>
      <c r="AP176" s="24" t="str">
        <f t="shared" si="39"/>
        <v/>
      </c>
      <c r="AQ176" s="24" t="str">
        <f t="shared" si="40"/>
        <v/>
      </c>
      <c r="AR176" s="33" t="str">
        <f t="shared" si="41"/>
        <v/>
      </c>
      <c r="AS176" s="34"/>
      <c r="AT176" s="33"/>
      <c r="AV176" s="21">
        <f>IF(AND($AL176&lt;&gt;"",COUNTIF($AL$11:$AL176,$AL176)=1),1,0)</f>
        <v>0</v>
      </c>
      <c r="AW176" s="21">
        <f t="shared" si="43"/>
        <v>2</v>
      </c>
      <c r="AX176" s="21" t="str">
        <f t="shared" si="42"/>
        <v/>
      </c>
      <c r="AY176" s="21" t="str">
        <f>IF(AND($AM176&lt;&gt;"",$AS176&lt;&gt;"✓"),SUMPRODUCT(($AM$11:$AM176&lt;&gt;"")*($AS$11:$AS176&lt;&gt;"✓")),"")</f>
        <v/>
      </c>
      <c r="AZ176" s="21" t="str">
        <f>IF(AND($AM176&lt;&gt;"",$AS176="✓"),SUMPRODUCT(($AM$11:$AM176&lt;&gt;"")*($AS$11:$AS176="✓")),"")</f>
        <v/>
      </c>
      <c r="BA176" s="21" t="str">
        <f>IF($AL176="","",$AL176&amp;"|"&amp;COUNTIF($AL$11:$AL176,$AL176))</f>
        <v/>
      </c>
    </row>
    <row r="177" spans="2:53" ht="15" customHeight="1" x14ac:dyDescent="0.25">
      <c r="B177" s="5" t="str">
        <f t="shared" si="30"/>
        <v/>
      </c>
      <c r="C177" s="5"/>
      <c r="D177" s="5"/>
      <c r="E177" s="5"/>
      <c r="F177" s="6"/>
      <c r="G177" s="6"/>
      <c r="H177" s="7"/>
      <c r="I177" s="8"/>
      <c r="K177" s="9" t="str">
        <f>IFERROR(INDEX($AL$11:$AL$4010,MATCH(167,$AX$11:$AX$4010,0)),"")</f>
        <v/>
      </c>
      <c r="L177" s="10" t="str">
        <f t="shared" si="31"/>
        <v/>
      </c>
      <c r="M177" s="11" t="str">
        <f t="shared" si="32"/>
        <v/>
      </c>
      <c r="N177" s="11" t="str">
        <f t="shared" si="33"/>
        <v/>
      </c>
      <c r="P177" s="12" t="str">
        <f>IFERROR(INDEX($AM$11:$AM$4010,MATCH($S$8&amp;"|"&amp;167,$BA$11:$BA$4010,0)),"")</f>
        <v/>
      </c>
      <c r="Q177" s="11" t="str">
        <f>IF(P177="","",IFERROR(INDEX($AN$11:$AN$4010,MATCH($S$8&amp;"|"&amp;167,$BA$11:$BA$4010,0)),""))</f>
        <v/>
      </c>
      <c r="R177" s="11" t="str">
        <f>IF(P177="","",IFERROR(INDEX($AO$11:$AO$4010,MATCH($S$8&amp;"|"&amp;167,$BA$11:$BA$4010,0)),""))</f>
        <v/>
      </c>
      <c r="S177" s="10" t="str">
        <f>IF(P177="","",IFERROR(INDEX($AP$11:$AP$4010,MATCH($S$8&amp;"|"&amp;167,$BA$11:$BA$4010,0)),""))</f>
        <v/>
      </c>
      <c r="T177" s="10" t="str">
        <f>IF(P177="","",IFERROR(INDEX($AQ$11:$AQ$4010,MATCH($S$8&amp;"|"&amp;167,$BA$11:$BA$4010,0)),""))</f>
        <v/>
      </c>
      <c r="U177" s="39" t="str">
        <f t="shared" si="44"/>
        <v/>
      </c>
      <c r="W177" s="14" t="str">
        <f>IF(X177="","",IFERROR(INDEX($AL$11:$AL$4010,MATCH(167,$AY$11:$AY$4010,0)),""))</f>
        <v/>
      </c>
      <c r="X177" s="12" t="str">
        <f>IFERROR(INDEX($AM$11:$AM$4010,MATCH(167,$AY$11:$AY$4010,0)),"")</f>
        <v/>
      </c>
      <c r="Y177" s="11" t="str">
        <f>IF(X177="","",IFERROR(INDEX($AN$11:$AN$4010,MATCH(167,$AY$11:$AY$4010,0)),""))</f>
        <v/>
      </c>
      <c r="Z177" s="11" t="str">
        <f>IF(X177="","",IFERROR(INDEX($AO$11:$AO$4010,MATCH(167,$AY$11:$AY$4010,0)),""))</f>
        <v/>
      </c>
      <c r="AA177" s="10" t="str">
        <f>IF(X177="","",IFERROR(INDEX($AQ$11:$AQ$4010,MATCH(167,$AY$11:$AY$4010,0)),""))</f>
        <v/>
      </c>
      <c r="AB177" s="15" t="str">
        <f>IF(X177="","",IFERROR(INDEX($AR$11:$AR$4010,MATCH(167,$AY$11:$AY$4010,0)),""))</f>
        <v/>
      </c>
      <c r="AD177" s="16" t="str">
        <f>IF(AE177="","",IFERROR(INDEX($AL$11:$AL$4010,MATCH(167,$AZ$11:$AZ$4010,0)),""))</f>
        <v/>
      </c>
      <c r="AE177" s="12" t="str">
        <f>IFERROR(INDEX($AM$11:$AM$4010,MATCH(167,$AZ$11:$AZ$4010,0)),"")</f>
        <v/>
      </c>
      <c r="AF177" s="11" t="str">
        <f>IF(AE177="","",IFERROR(INDEX($AN$11:$AN$4010,MATCH(167,$AZ$11:$AZ$4010,0)),""))</f>
        <v/>
      </c>
      <c r="AG177" s="11" t="str">
        <f>IF(AE177="","",IFERROR(INDEX($AO$11:$AO$4010,MATCH(167,$AZ$11:$AZ$4010,0)),""))</f>
        <v/>
      </c>
      <c r="AH177" s="10" t="str">
        <f>IF(AE177="","",IFERROR(INDEX($AQ$11:$AQ$4010,MATCH(167,$AZ$11:$AZ$4010,0)),""))</f>
        <v/>
      </c>
      <c r="AI177" s="15" t="str">
        <f>IF(AE177="","",IFERROR(INDEX($AR$11:$AR$4010,MATCH(167,$AZ$11:$AZ$4010,0)),""))</f>
        <v/>
      </c>
      <c r="AJ177" s="15" t="str">
        <f>IF(AE177="","",IFERROR(INDEX($AT$11:$AT$4010,MATCH(167,$AZ$11:$AZ$4010,0)),""))</f>
        <v/>
      </c>
      <c r="AL177" s="17" t="str">
        <f t="shared" si="35"/>
        <v/>
      </c>
      <c r="AM177" s="12" t="str">
        <f t="shared" si="36"/>
        <v/>
      </c>
      <c r="AN177" s="18" t="str">
        <f t="shared" si="37"/>
        <v/>
      </c>
      <c r="AO177" s="18" t="str">
        <f t="shared" si="38"/>
        <v/>
      </c>
      <c r="AP177" s="10" t="str">
        <f t="shared" si="39"/>
        <v/>
      </c>
      <c r="AQ177" s="10" t="str">
        <f t="shared" si="40"/>
        <v/>
      </c>
      <c r="AR177" s="19" t="str">
        <f t="shared" si="41"/>
        <v/>
      </c>
      <c r="AS177" s="20"/>
      <c r="AT177" s="19"/>
      <c r="AV177" s="21">
        <f>IF(AND($AL177&lt;&gt;"",COUNTIF($AL$11:$AL177,$AL177)=1),1,0)</f>
        <v>0</v>
      </c>
      <c r="AW177" s="21">
        <f t="shared" si="43"/>
        <v>2</v>
      </c>
      <c r="AX177" s="21" t="str">
        <f t="shared" si="42"/>
        <v/>
      </c>
      <c r="AY177" s="21" t="str">
        <f>IF(AND($AM177&lt;&gt;"",$AS177&lt;&gt;"✓"),SUMPRODUCT(($AM$11:$AM177&lt;&gt;"")*($AS$11:$AS177&lt;&gt;"✓")),"")</f>
        <v/>
      </c>
      <c r="AZ177" s="21" t="str">
        <f>IF(AND($AM177&lt;&gt;"",$AS177="✓"),SUMPRODUCT(($AM$11:$AM177&lt;&gt;"")*($AS$11:$AS177="✓")),"")</f>
        <v/>
      </c>
      <c r="BA177" s="21" t="str">
        <f>IF($AL177="","",$AL177&amp;"|"&amp;COUNTIF($AL$11:$AL177,$AL177))</f>
        <v/>
      </c>
    </row>
    <row r="178" spans="2:53" ht="15" customHeight="1" x14ac:dyDescent="0.25">
      <c r="B178" s="5" t="str">
        <f t="shared" si="30"/>
        <v/>
      </c>
      <c r="C178" s="5"/>
      <c r="D178" s="5"/>
      <c r="E178" s="5"/>
      <c r="F178" s="6"/>
      <c r="G178" s="6"/>
      <c r="H178" s="7"/>
      <c r="I178" s="8"/>
      <c r="K178" s="23" t="str">
        <f>IFERROR(INDEX($AL$11:$AL$4010,MATCH(168,$AX$11:$AX$4010,0)),"")</f>
        <v/>
      </c>
      <c r="L178" s="24" t="str">
        <f t="shared" si="31"/>
        <v/>
      </c>
      <c r="M178" s="25" t="str">
        <f t="shared" si="32"/>
        <v/>
      </c>
      <c r="N178" s="25" t="str">
        <f t="shared" si="33"/>
        <v/>
      </c>
      <c r="P178" s="26" t="str">
        <f>IFERROR(INDEX($AM$11:$AM$4010,MATCH($S$8&amp;"|"&amp;168,$BA$11:$BA$4010,0)),"")</f>
        <v/>
      </c>
      <c r="Q178" s="25" t="str">
        <f>IF(P178="","",IFERROR(INDEX($AN$11:$AN$4010,MATCH($S$8&amp;"|"&amp;168,$BA$11:$BA$4010,0)),""))</f>
        <v/>
      </c>
      <c r="R178" s="25" t="str">
        <f>IF(P178="","",IFERROR(INDEX($AO$11:$AO$4010,MATCH($S$8&amp;"|"&amp;168,$BA$11:$BA$4010,0)),""))</f>
        <v/>
      </c>
      <c r="S178" s="24" t="str">
        <f>IF(P178="","",IFERROR(INDEX($AP$11:$AP$4010,MATCH($S$8&amp;"|"&amp;168,$BA$11:$BA$4010,0)),""))</f>
        <v/>
      </c>
      <c r="T178" s="24" t="str">
        <f>IF(P178="","",IFERROR(INDEX($AQ$11:$AQ$4010,MATCH($S$8&amp;"|"&amp;168,$BA$11:$BA$4010,0)),""))</f>
        <v/>
      </c>
      <c r="U178" s="38" t="str">
        <f t="shared" si="44"/>
        <v/>
      </c>
      <c r="W178" s="28" t="str">
        <f>IF(X178="","",IFERROR(INDEX($AL$11:$AL$4010,MATCH(168,$AY$11:$AY$4010,0)),""))</f>
        <v/>
      </c>
      <c r="X178" s="26" t="str">
        <f>IFERROR(INDEX($AM$11:$AM$4010,MATCH(168,$AY$11:$AY$4010,0)),"")</f>
        <v/>
      </c>
      <c r="Y178" s="25" t="str">
        <f>IF(X178="","",IFERROR(INDEX($AN$11:$AN$4010,MATCH(168,$AY$11:$AY$4010,0)),""))</f>
        <v/>
      </c>
      <c r="Z178" s="25" t="str">
        <f>IF(X178="","",IFERROR(INDEX($AO$11:$AO$4010,MATCH(168,$AY$11:$AY$4010,0)),""))</f>
        <v/>
      </c>
      <c r="AA178" s="24" t="str">
        <f>IF(X178="","",IFERROR(INDEX($AQ$11:$AQ$4010,MATCH(168,$AY$11:$AY$4010,0)),""))</f>
        <v/>
      </c>
      <c r="AB178" s="29" t="str">
        <f>IF(X178="","",IFERROR(INDEX($AR$11:$AR$4010,MATCH(168,$AY$11:$AY$4010,0)),""))</f>
        <v/>
      </c>
      <c r="AD178" s="30" t="str">
        <f>IF(AE178="","",IFERROR(INDEX($AL$11:$AL$4010,MATCH(168,$AZ$11:$AZ$4010,0)),""))</f>
        <v/>
      </c>
      <c r="AE178" s="26" t="str">
        <f>IFERROR(INDEX($AM$11:$AM$4010,MATCH(168,$AZ$11:$AZ$4010,0)),"")</f>
        <v/>
      </c>
      <c r="AF178" s="25" t="str">
        <f>IF(AE178="","",IFERROR(INDEX($AN$11:$AN$4010,MATCH(168,$AZ$11:$AZ$4010,0)),""))</f>
        <v/>
      </c>
      <c r="AG178" s="25" t="str">
        <f>IF(AE178="","",IFERROR(INDEX($AO$11:$AO$4010,MATCH(168,$AZ$11:$AZ$4010,0)),""))</f>
        <v/>
      </c>
      <c r="AH178" s="24" t="str">
        <f>IF(AE178="","",IFERROR(INDEX($AQ$11:$AQ$4010,MATCH(168,$AZ$11:$AZ$4010,0)),""))</f>
        <v/>
      </c>
      <c r="AI178" s="29" t="str">
        <f>IF(AE178="","",IFERROR(INDEX($AR$11:$AR$4010,MATCH(168,$AZ$11:$AZ$4010,0)),""))</f>
        <v/>
      </c>
      <c r="AJ178" s="29" t="str">
        <f>IF(AE178="","",IFERROR(INDEX($AT$11:$AT$4010,MATCH(168,$AZ$11:$AZ$4010,0)),""))</f>
        <v/>
      </c>
      <c r="AL178" s="31" t="str">
        <f t="shared" si="35"/>
        <v/>
      </c>
      <c r="AM178" s="26" t="str">
        <f t="shared" si="36"/>
        <v/>
      </c>
      <c r="AN178" s="32" t="str">
        <f t="shared" si="37"/>
        <v/>
      </c>
      <c r="AO178" s="32" t="str">
        <f t="shared" si="38"/>
        <v/>
      </c>
      <c r="AP178" s="24" t="str">
        <f t="shared" si="39"/>
        <v/>
      </c>
      <c r="AQ178" s="24" t="str">
        <f t="shared" si="40"/>
        <v/>
      </c>
      <c r="AR178" s="33" t="str">
        <f t="shared" si="41"/>
        <v/>
      </c>
      <c r="AS178" s="34"/>
      <c r="AT178" s="33"/>
      <c r="AV178" s="21">
        <f>IF(AND($AL178&lt;&gt;"",COUNTIF($AL$11:$AL178,$AL178)=1),1,0)</f>
        <v>0</v>
      </c>
      <c r="AW178" s="21">
        <f t="shared" si="43"/>
        <v>2</v>
      </c>
      <c r="AX178" s="21" t="str">
        <f t="shared" si="42"/>
        <v/>
      </c>
      <c r="AY178" s="21" t="str">
        <f>IF(AND($AM178&lt;&gt;"",$AS178&lt;&gt;"✓"),SUMPRODUCT(($AM$11:$AM178&lt;&gt;"")*($AS$11:$AS178&lt;&gt;"✓")),"")</f>
        <v/>
      </c>
      <c r="AZ178" s="21" t="str">
        <f>IF(AND($AM178&lt;&gt;"",$AS178="✓"),SUMPRODUCT(($AM$11:$AM178&lt;&gt;"")*($AS$11:$AS178="✓")),"")</f>
        <v/>
      </c>
      <c r="BA178" s="21" t="str">
        <f>IF($AL178="","",$AL178&amp;"|"&amp;COUNTIF($AL$11:$AL178,$AL178))</f>
        <v/>
      </c>
    </row>
    <row r="179" spans="2:53" ht="15" customHeight="1" x14ac:dyDescent="0.25">
      <c r="B179" s="5" t="str">
        <f t="shared" si="30"/>
        <v/>
      </c>
      <c r="C179" s="5"/>
      <c r="D179" s="5"/>
      <c r="E179" s="5"/>
      <c r="F179" s="6"/>
      <c r="G179" s="6"/>
      <c r="H179" s="7"/>
      <c r="I179" s="8"/>
      <c r="K179" s="9" t="str">
        <f>IFERROR(INDEX($AL$11:$AL$4010,MATCH(169,$AX$11:$AX$4010,0)),"")</f>
        <v/>
      </c>
      <c r="L179" s="10" t="str">
        <f t="shared" si="31"/>
        <v/>
      </c>
      <c r="M179" s="11" t="str">
        <f t="shared" si="32"/>
        <v/>
      </c>
      <c r="N179" s="11" t="str">
        <f t="shared" si="33"/>
        <v/>
      </c>
      <c r="P179" s="12" t="str">
        <f>IFERROR(INDEX($AM$11:$AM$4010,MATCH($S$8&amp;"|"&amp;169,$BA$11:$BA$4010,0)),"")</f>
        <v/>
      </c>
      <c r="Q179" s="11" t="str">
        <f>IF(P179="","",IFERROR(INDEX($AN$11:$AN$4010,MATCH($S$8&amp;"|"&amp;169,$BA$11:$BA$4010,0)),""))</f>
        <v/>
      </c>
      <c r="R179" s="11" t="str">
        <f>IF(P179="","",IFERROR(INDEX($AO$11:$AO$4010,MATCH($S$8&amp;"|"&amp;169,$BA$11:$BA$4010,0)),""))</f>
        <v/>
      </c>
      <c r="S179" s="10" t="str">
        <f>IF(P179="","",IFERROR(INDEX($AP$11:$AP$4010,MATCH($S$8&amp;"|"&amp;169,$BA$11:$BA$4010,0)),""))</f>
        <v/>
      </c>
      <c r="T179" s="10" t="str">
        <f>IF(P179="","",IFERROR(INDEX($AQ$11:$AQ$4010,MATCH($S$8&amp;"|"&amp;169,$BA$11:$BA$4010,0)),""))</f>
        <v/>
      </c>
      <c r="U179" s="39" t="str">
        <f t="shared" si="44"/>
        <v/>
      </c>
      <c r="W179" s="14" t="str">
        <f>IF(X179="","",IFERROR(INDEX($AL$11:$AL$4010,MATCH(169,$AY$11:$AY$4010,0)),""))</f>
        <v/>
      </c>
      <c r="X179" s="12" t="str">
        <f>IFERROR(INDEX($AM$11:$AM$4010,MATCH(169,$AY$11:$AY$4010,0)),"")</f>
        <v/>
      </c>
      <c r="Y179" s="11" t="str">
        <f>IF(X179="","",IFERROR(INDEX($AN$11:$AN$4010,MATCH(169,$AY$11:$AY$4010,0)),""))</f>
        <v/>
      </c>
      <c r="Z179" s="11" t="str">
        <f>IF(X179="","",IFERROR(INDEX($AO$11:$AO$4010,MATCH(169,$AY$11:$AY$4010,0)),""))</f>
        <v/>
      </c>
      <c r="AA179" s="10" t="str">
        <f>IF(X179="","",IFERROR(INDEX($AQ$11:$AQ$4010,MATCH(169,$AY$11:$AY$4010,0)),""))</f>
        <v/>
      </c>
      <c r="AB179" s="15" t="str">
        <f>IF(X179="","",IFERROR(INDEX($AR$11:$AR$4010,MATCH(169,$AY$11:$AY$4010,0)),""))</f>
        <v/>
      </c>
      <c r="AD179" s="16" t="str">
        <f>IF(AE179="","",IFERROR(INDEX($AL$11:$AL$4010,MATCH(169,$AZ$11:$AZ$4010,0)),""))</f>
        <v/>
      </c>
      <c r="AE179" s="12" t="str">
        <f>IFERROR(INDEX($AM$11:$AM$4010,MATCH(169,$AZ$11:$AZ$4010,0)),"")</f>
        <v/>
      </c>
      <c r="AF179" s="11" t="str">
        <f>IF(AE179="","",IFERROR(INDEX($AN$11:$AN$4010,MATCH(169,$AZ$11:$AZ$4010,0)),""))</f>
        <v/>
      </c>
      <c r="AG179" s="11" t="str">
        <f>IF(AE179="","",IFERROR(INDEX($AO$11:$AO$4010,MATCH(169,$AZ$11:$AZ$4010,0)),""))</f>
        <v/>
      </c>
      <c r="AH179" s="10" t="str">
        <f>IF(AE179="","",IFERROR(INDEX($AQ$11:$AQ$4010,MATCH(169,$AZ$11:$AZ$4010,0)),""))</f>
        <v/>
      </c>
      <c r="AI179" s="15" t="str">
        <f>IF(AE179="","",IFERROR(INDEX($AR$11:$AR$4010,MATCH(169,$AZ$11:$AZ$4010,0)),""))</f>
        <v/>
      </c>
      <c r="AJ179" s="15" t="str">
        <f>IF(AE179="","",IFERROR(INDEX($AT$11:$AT$4010,MATCH(169,$AZ$11:$AZ$4010,0)),""))</f>
        <v/>
      </c>
      <c r="AL179" s="17" t="str">
        <f t="shared" si="35"/>
        <v/>
      </c>
      <c r="AM179" s="12" t="str">
        <f t="shared" si="36"/>
        <v/>
      </c>
      <c r="AN179" s="18" t="str">
        <f t="shared" si="37"/>
        <v/>
      </c>
      <c r="AO179" s="18" t="str">
        <f t="shared" si="38"/>
        <v/>
      </c>
      <c r="AP179" s="10" t="str">
        <f t="shared" si="39"/>
        <v/>
      </c>
      <c r="AQ179" s="10" t="str">
        <f t="shared" si="40"/>
        <v/>
      </c>
      <c r="AR179" s="19" t="str">
        <f t="shared" si="41"/>
        <v/>
      </c>
      <c r="AS179" s="20"/>
      <c r="AT179" s="19"/>
      <c r="AV179" s="21">
        <f>IF(AND($AL179&lt;&gt;"",COUNTIF($AL$11:$AL179,$AL179)=1),1,0)</f>
        <v>0</v>
      </c>
      <c r="AW179" s="21">
        <f t="shared" si="43"/>
        <v>2</v>
      </c>
      <c r="AX179" s="21" t="str">
        <f t="shared" si="42"/>
        <v/>
      </c>
      <c r="AY179" s="21" t="str">
        <f>IF(AND($AM179&lt;&gt;"",$AS179&lt;&gt;"✓"),SUMPRODUCT(($AM$11:$AM179&lt;&gt;"")*($AS$11:$AS179&lt;&gt;"✓")),"")</f>
        <v/>
      </c>
      <c r="AZ179" s="21" t="str">
        <f>IF(AND($AM179&lt;&gt;"",$AS179="✓"),SUMPRODUCT(($AM$11:$AM179&lt;&gt;"")*($AS$11:$AS179="✓")),"")</f>
        <v/>
      </c>
      <c r="BA179" s="21" t="str">
        <f>IF($AL179="","",$AL179&amp;"|"&amp;COUNTIF($AL$11:$AL179,$AL179))</f>
        <v/>
      </c>
    </row>
    <row r="180" spans="2:53" ht="15" customHeight="1" x14ac:dyDescent="0.25">
      <c r="B180" s="5" t="str">
        <f t="shared" si="30"/>
        <v/>
      </c>
      <c r="C180" s="5"/>
      <c r="D180" s="5"/>
      <c r="E180" s="5"/>
      <c r="F180" s="6"/>
      <c r="G180" s="6"/>
      <c r="H180" s="7"/>
      <c r="I180" s="8"/>
      <c r="K180" s="23" t="str">
        <f>IFERROR(INDEX($AL$11:$AL$4010,MATCH(170,$AX$11:$AX$4010,0)),"")</f>
        <v/>
      </c>
      <c r="L180" s="24" t="str">
        <f t="shared" si="31"/>
        <v/>
      </c>
      <c r="M180" s="25" t="str">
        <f t="shared" si="32"/>
        <v/>
      </c>
      <c r="N180" s="25" t="str">
        <f t="shared" si="33"/>
        <v/>
      </c>
      <c r="P180" s="26" t="str">
        <f>IFERROR(INDEX($AM$11:$AM$4010,MATCH($S$8&amp;"|"&amp;170,$BA$11:$BA$4010,0)),"")</f>
        <v/>
      </c>
      <c r="Q180" s="25" t="str">
        <f>IF(P180="","",IFERROR(INDEX($AN$11:$AN$4010,MATCH($S$8&amp;"|"&amp;170,$BA$11:$BA$4010,0)),""))</f>
        <v/>
      </c>
      <c r="R180" s="25" t="str">
        <f>IF(P180="","",IFERROR(INDEX($AO$11:$AO$4010,MATCH($S$8&amp;"|"&amp;170,$BA$11:$BA$4010,0)),""))</f>
        <v/>
      </c>
      <c r="S180" s="24" t="str">
        <f>IF(P180="","",IFERROR(INDEX($AP$11:$AP$4010,MATCH($S$8&amp;"|"&amp;170,$BA$11:$BA$4010,0)),""))</f>
        <v/>
      </c>
      <c r="T180" s="24" t="str">
        <f>IF(P180="","",IFERROR(INDEX($AQ$11:$AQ$4010,MATCH($S$8&amp;"|"&amp;170,$BA$11:$BA$4010,0)),""))</f>
        <v/>
      </c>
      <c r="U180" s="38" t="str">
        <f t="shared" si="44"/>
        <v/>
      </c>
      <c r="W180" s="28" t="str">
        <f>IF(X180="","",IFERROR(INDEX($AL$11:$AL$4010,MATCH(170,$AY$11:$AY$4010,0)),""))</f>
        <v/>
      </c>
      <c r="X180" s="26" t="str">
        <f>IFERROR(INDEX($AM$11:$AM$4010,MATCH(170,$AY$11:$AY$4010,0)),"")</f>
        <v/>
      </c>
      <c r="Y180" s="25" t="str">
        <f>IF(X180="","",IFERROR(INDEX($AN$11:$AN$4010,MATCH(170,$AY$11:$AY$4010,0)),""))</f>
        <v/>
      </c>
      <c r="Z180" s="25" t="str">
        <f>IF(X180="","",IFERROR(INDEX($AO$11:$AO$4010,MATCH(170,$AY$11:$AY$4010,0)),""))</f>
        <v/>
      </c>
      <c r="AA180" s="24" t="str">
        <f>IF(X180="","",IFERROR(INDEX($AQ$11:$AQ$4010,MATCH(170,$AY$11:$AY$4010,0)),""))</f>
        <v/>
      </c>
      <c r="AB180" s="29" t="str">
        <f>IF(X180="","",IFERROR(INDEX($AR$11:$AR$4010,MATCH(170,$AY$11:$AY$4010,0)),""))</f>
        <v/>
      </c>
      <c r="AD180" s="30" t="str">
        <f>IF(AE180="","",IFERROR(INDEX($AL$11:$AL$4010,MATCH(170,$AZ$11:$AZ$4010,0)),""))</f>
        <v/>
      </c>
      <c r="AE180" s="26" t="str">
        <f>IFERROR(INDEX($AM$11:$AM$4010,MATCH(170,$AZ$11:$AZ$4010,0)),"")</f>
        <v/>
      </c>
      <c r="AF180" s="25" t="str">
        <f>IF(AE180="","",IFERROR(INDEX($AN$11:$AN$4010,MATCH(170,$AZ$11:$AZ$4010,0)),""))</f>
        <v/>
      </c>
      <c r="AG180" s="25" t="str">
        <f>IF(AE180="","",IFERROR(INDEX($AO$11:$AO$4010,MATCH(170,$AZ$11:$AZ$4010,0)),""))</f>
        <v/>
      </c>
      <c r="AH180" s="24" t="str">
        <f>IF(AE180="","",IFERROR(INDEX($AQ$11:$AQ$4010,MATCH(170,$AZ$11:$AZ$4010,0)),""))</f>
        <v/>
      </c>
      <c r="AI180" s="29" t="str">
        <f>IF(AE180="","",IFERROR(INDEX($AR$11:$AR$4010,MATCH(170,$AZ$11:$AZ$4010,0)),""))</f>
        <v/>
      </c>
      <c r="AJ180" s="29" t="str">
        <f>IF(AE180="","",IFERROR(INDEX($AT$11:$AT$4010,MATCH(170,$AZ$11:$AZ$4010,0)),""))</f>
        <v/>
      </c>
      <c r="AL180" s="31" t="str">
        <f t="shared" si="35"/>
        <v/>
      </c>
      <c r="AM180" s="26" t="str">
        <f t="shared" si="36"/>
        <v/>
      </c>
      <c r="AN180" s="32" t="str">
        <f t="shared" si="37"/>
        <v/>
      </c>
      <c r="AO180" s="32" t="str">
        <f t="shared" si="38"/>
        <v/>
      </c>
      <c r="AP180" s="24" t="str">
        <f t="shared" si="39"/>
        <v/>
      </c>
      <c r="AQ180" s="24" t="str">
        <f t="shared" si="40"/>
        <v/>
      </c>
      <c r="AR180" s="33" t="str">
        <f t="shared" si="41"/>
        <v/>
      </c>
      <c r="AS180" s="34"/>
      <c r="AT180" s="33"/>
      <c r="AV180" s="21">
        <f>IF(AND($AL180&lt;&gt;"",COUNTIF($AL$11:$AL180,$AL180)=1),1,0)</f>
        <v>0</v>
      </c>
      <c r="AW180" s="21">
        <f t="shared" si="43"/>
        <v>2</v>
      </c>
      <c r="AX180" s="21" t="str">
        <f t="shared" si="42"/>
        <v/>
      </c>
      <c r="AY180" s="21" t="str">
        <f>IF(AND($AM180&lt;&gt;"",$AS180&lt;&gt;"✓"),SUMPRODUCT(($AM$11:$AM180&lt;&gt;"")*($AS$11:$AS180&lt;&gt;"✓")),"")</f>
        <v/>
      </c>
      <c r="AZ180" s="21" t="str">
        <f>IF(AND($AM180&lt;&gt;"",$AS180="✓"),SUMPRODUCT(($AM$11:$AM180&lt;&gt;"")*($AS$11:$AS180="✓")),"")</f>
        <v/>
      </c>
      <c r="BA180" s="21" t="str">
        <f>IF($AL180="","",$AL180&amp;"|"&amp;COUNTIF($AL$11:$AL180,$AL180))</f>
        <v/>
      </c>
    </row>
    <row r="181" spans="2:53" ht="15" customHeight="1" x14ac:dyDescent="0.25">
      <c r="B181" s="5" t="str">
        <f t="shared" si="30"/>
        <v/>
      </c>
      <c r="C181" s="5"/>
      <c r="D181" s="5"/>
      <c r="E181" s="5"/>
      <c r="F181" s="6"/>
      <c r="G181" s="6"/>
      <c r="H181" s="7"/>
      <c r="I181" s="8"/>
      <c r="K181" s="9" t="str">
        <f>IFERROR(INDEX($AL$11:$AL$4010,MATCH(171,$AX$11:$AX$4010,0)),"")</f>
        <v/>
      </c>
      <c r="L181" s="10" t="str">
        <f t="shared" si="31"/>
        <v/>
      </c>
      <c r="M181" s="11" t="str">
        <f t="shared" si="32"/>
        <v/>
      </c>
      <c r="N181" s="11" t="str">
        <f t="shared" si="33"/>
        <v/>
      </c>
      <c r="P181" s="12" t="str">
        <f>IFERROR(INDEX($AM$11:$AM$4010,MATCH($S$8&amp;"|"&amp;171,$BA$11:$BA$4010,0)),"")</f>
        <v/>
      </c>
      <c r="Q181" s="11" t="str">
        <f>IF(P181="","",IFERROR(INDEX($AN$11:$AN$4010,MATCH($S$8&amp;"|"&amp;171,$BA$11:$BA$4010,0)),""))</f>
        <v/>
      </c>
      <c r="R181" s="11" t="str">
        <f>IF(P181="","",IFERROR(INDEX($AO$11:$AO$4010,MATCH($S$8&amp;"|"&amp;171,$BA$11:$BA$4010,0)),""))</f>
        <v/>
      </c>
      <c r="S181" s="10" t="str">
        <f>IF(P181="","",IFERROR(INDEX($AP$11:$AP$4010,MATCH($S$8&amp;"|"&amp;171,$BA$11:$BA$4010,0)),""))</f>
        <v/>
      </c>
      <c r="T181" s="10" t="str">
        <f>IF(P181="","",IFERROR(INDEX($AQ$11:$AQ$4010,MATCH($S$8&amp;"|"&amp;171,$BA$11:$BA$4010,0)),""))</f>
        <v/>
      </c>
      <c r="U181" s="39" t="str">
        <f t="shared" si="44"/>
        <v/>
      </c>
      <c r="W181" s="14" t="str">
        <f>IF(X181="","",IFERROR(INDEX($AL$11:$AL$4010,MATCH(171,$AY$11:$AY$4010,0)),""))</f>
        <v/>
      </c>
      <c r="X181" s="12" t="str">
        <f>IFERROR(INDEX($AM$11:$AM$4010,MATCH(171,$AY$11:$AY$4010,0)),"")</f>
        <v/>
      </c>
      <c r="Y181" s="11" t="str">
        <f>IF(X181="","",IFERROR(INDEX($AN$11:$AN$4010,MATCH(171,$AY$11:$AY$4010,0)),""))</f>
        <v/>
      </c>
      <c r="Z181" s="11" t="str">
        <f>IF(X181="","",IFERROR(INDEX($AO$11:$AO$4010,MATCH(171,$AY$11:$AY$4010,0)),""))</f>
        <v/>
      </c>
      <c r="AA181" s="10" t="str">
        <f>IF(X181="","",IFERROR(INDEX($AQ$11:$AQ$4010,MATCH(171,$AY$11:$AY$4010,0)),""))</f>
        <v/>
      </c>
      <c r="AB181" s="15" t="str">
        <f>IF(X181="","",IFERROR(INDEX($AR$11:$AR$4010,MATCH(171,$AY$11:$AY$4010,0)),""))</f>
        <v/>
      </c>
      <c r="AD181" s="16" t="str">
        <f>IF(AE181="","",IFERROR(INDEX($AL$11:$AL$4010,MATCH(171,$AZ$11:$AZ$4010,0)),""))</f>
        <v/>
      </c>
      <c r="AE181" s="12" t="str">
        <f>IFERROR(INDEX($AM$11:$AM$4010,MATCH(171,$AZ$11:$AZ$4010,0)),"")</f>
        <v/>
      </c>
      <c r="AF181" s="11" t="str">
        <f>IF(AE181="","",IFERROR(INDEX($AN$11:$AN$4010,MATCH(171,$AZ$11:$AZ$4010,0)),""))</f>
        <v/>
      </c>
      <c r="AG181" s="11" t="str">
        <f>IF(AE181="","",IFERROR(INDEX($AO$11:$AO$4010,MATCH(171,$AZ$11:$AZ$4010,0)),""))</f>
        <v/>
      </c>
      <c r="AH181" s="10" t="str">
        <f>IF(AE181="","",IFERROR(INDEX($AQ$11:$AQ$4010,MATCH(171,$AZ$11:$AZ$4010,0)),""))</f>
        <v/>
      </c>
      <c r="AI181" s="15" t="str">
        <f>IF(AE181="","",IFERROR(INDEX($AR$11:$AR$4010,MATCH(171,$AZ$11:$AZ$4010,0)),""))</f>
        <v/>
      </c>
      <c r="AJ181" s="15" t="str">
        <f>IF(AE181="","",IFERROR(INDEX($AT$11:$AT$4010,MATCH(171,$AZ$11:$AZ$4010,0)),""))</f>
        <v/>
      </c>
      <c r="AL181" s="17" t="str">
        <f t="shared" si="35"/>
        <v/>
      </c>
      <c r="AM181" s="12" t="str">
        <f t="shared" si="36"/>
        <v/>
      </c>
      <c r="AN181" s="18" t="str">
        <f t="shared" si="37"/>
        <v/>
      </c>
      <c r="AO181" s="18" t="str">
        <f t="shared" si="38"/>
        <v/>
      </c>
      <c r="AP181" s="10" t="str">
        <f t="shared" si="39"/>
        <v/>
      </c>
      <c r="AQ181" s="10" t="str">
        <f t="shared" si="40"/>
        <v/>
      </c>
      <c r="AR181" s="19" t="str">
        <f t="shared" si="41"/>
        <v/>
      </c>
      <c r="AS181" s="20"/>
      <c r="AT181" s="19"/>
      <c r="AV181" s="21">
        <f>IF(AND($AL181&lt;&gt;"",COUNTIF($AL$11:$AL181,$AL181)=1),1,0)</f>
        <v>0</v>
      </c>
      <c r="AW181" s="21">
        <f t="shared" si="43"/>
        <v>2</v>
      </c>
      <c r="AX181" s="21" t="str">
        <f t="shared" si="42"/>
        <v/>
      </c>
      <c r="AY181" s="21" t="str">
        <f>IF(AND($AM181&lt;&gt;"",$AS181&lt;&gt;"✓"),SUMPRODUCT(($AM$11:$AM181&lt;&gt;"")*($AS$11:$AS181&lt;&gt;"✓")),"")</f>
        <v/>
      </c>
      <c r="AZ181" s="21" t="str">
        <f>IF(AND($AM181&lt;&gt;"",$AS181="✓"),SUMPRODUCT(($AM$11:$AM181&lt;&gt;"")*($AS$11:$AS181="✓")),"")</f>
        <v/>
      </c>
      <c r="BA181" s="21" t="str">
        <f>IF($AL181="","",$AL181&amp;"|"&amp;COUNTIF($AL$11:$AL181,$AL181))</f>
        <v/>
      </c>
    </row>
    <row r="182" spans="2:53" ht="15" customHeight="1" x14ac:dyDescent="0.25">
      <c r="B182" s="5" t="str">
        <f t="shared" si="30"/>
        <v/>
      </c>
      <c r="C182" s="5"/>
      <c r="D182" s="5"/>
      <c r="E182" s="5"/>
      <c r="F182" s="6"/>
      <c r="G182" s="6"/>
      <c r="H182" s="7"/>
      <c r="I182" s="8"/>
      <c r="K182" s="23" t="str">
        <f>IFERROR(INDEX($AL$11:$AL$4010,MATCH(172,$AX$11:$AX$4010,0)),"")</f>
        <v/>
      </c>
      <c r="L182" s="24" t="str">
        <f t="shared" si="31"/>
        <v/>
      </c>
      <c r="M182" s="25" t="str">
        <f t="shared" si="32"/>
        <v/>
      </c>
      <c r="N182" s="25" t="str">
        <f t="shared" si="33"/>
        <v/>
      </c>
      <c r="P182" s="26" t="str">
        <f>IFERROR(INDEX($AM$11:$AM$4010,MATCH($S$8&amp;"|"&amp;172,$BA$11:$BA$4010,0)),"")</f>
        <v/>
      </c>
      <c r="Q182" s="25" t="str">
        <f>IF(P182="","",IFERROR(INDEX($AN$11:$AN$4010,MATCH($S$8&amp;"|"&amp;172,$BA$11:$BA$4010,0)),""))</f>
        <v/>
      </c>
      <c r="R182" s="25" t="str">
        <f>IF(P182="","",IFERROR(INDEX($AO$11:$AO$4010,MATCH($S$8&amp;"|"&amp;172,$BA$11:$BA$4010,0)),""))</f>
        <v/>
      </c>
      <c r="S182" s="24" t="str">
        <f>IF(P182="","",IFERROR(INDEX($AP$11:$AP$4010,MATCH($S$8&amp;"|"&amp;172,$BA$11:$BA$4010,0)),""))</f>
        <v/>
      </c>
      <c r="T182" s="24" t="str">
        <f>IF(P182="","",IFERROR(INDEX($AQ$11:$AQ$4010,MATCH($S$8&amp;"|"&amp;172,$BA$11:$BA$4010,0)),""))</f>
        <v/>
      </c>
      <c r="U182" s="38" t="str">
        <f t="shared" si="44"/>
        <v/>
      </c>
      <c r="W182" s="28" t="str">
        <f>IF(X182="","",IFERROR(INDEX($AL$11:$AL$4010,MATCH(172,$AY$11:$AY$4010,0)),""))</f>
        <v/>
      </c>
      <c r="X182" s="26" t="str">
        <f>IFERROR(INDEX($AM$11:$AM$4010,MATCH(172,$AY$11:$AY$4010,0)),"")</f>
        <v/>
      </c>
      <c r="Y182" s="25" t="str">
        <f>IF(X182="","",IFERROR(INDEX($AN$11:$AN$4010,MATCH(172,$AY$11:$AY$4010,0)),""))</f>
        <v/>
      </c>
      <c r="Z182" s="25" t="str">
        <f>IF(X182="","",IFERROR(INDEX($AO$11:$AO$4010,MATCH(172,$AY$11:$AY$4010,0)),""))</f>
        <v/>
      </c>
      <c r="AA182" s="24" t="str">
        <f>IF(X182="","",IFERROR(INDEX($AQ$11:$AQ$4010,MATCH(172,$AY$11:$AY$4010,0)),""))</f>
        <v/>
      </c>
      <c r="AB182" s="29" t="str">
        <f>IF(X182="","",IFERROR(INDEX($AR$11:$AR$4010,MATCH(172,$AY$11:$AY$4010,0)),""))</f>
        <v/>
      </c>
      <c r="AD182" s="30" t="str">
        <f>IF(AE182="","",IFERROR(INDEX($AL$11:$AL$4010,MATCH(172,$AZ$11:$AZ$4010,0)),""))</f>
        <v/>
      </c>
      <c r="AE182" s="26" t="str">
        <f>IFERROR(INDEX($AM$11:$AM$4010,MATCH(172,$AZ$11:$AZ$4010,0)),"")</f>
        <v/>
      </c>
      <c r="AF182" s="25" t="str">
        <f>IF(AE182="","",IFERROR(INDEX($AN$11:$AN$4010,MATCH(172,$AZ$11:$AZ$4010,0)),""))</f>
        <v/>
      </c>
      <c r="AG182" s="25" t="str">
        <f>IF(AE182="","",IFERROR(INDEX($AO$11:$AO$4010,MATCH(172,$AZ$11:$AZ$4010,0)),""))</f>
        <v/>
      </c>
      <c r="AH182" s="24" t="str">
        <f>IF(AE182="","",IFERROR(INDEX($AQ$11:$AQ$4010,MATCH(172,$AZ$11:$AZ$4010,0)),""))</f>
        <v/>
      </c>
      <c r="AI182" s="29" t="str">
        <f>IF(AE182="","",IFERROR(INDEX($AR$11:$AR$4010,MATCH(172,$AZ$11:$AZ$4010,0)),""))</f>
        <v/>
      </c>
      <c r="AJ182" s="29" t="str">
        <f>IF(AE182="","",IFERROR(INDEX($AT$11:$AT$4010,MATCH(172,$AZ$11:$AZ$4010,0)),""))</f>
        <v/>
      </c>
      <c r="AL182" s="31" t="str">
        <f t="shared" si="35"/>
        <v/>
      </c>
      <c r="AM182" s="26" t="str">
        <f t="shared" si="36"/>
        <v/>
      </c>
      <c r="AN182" s="32" t="str">
        <f t="shared" si="37"/>
        <v/>
      </c>
      <c r="AO182" s="32" t="str">
        <f t="shared" si="38"/>
        <v/>
      </c>
      <c r="AP182" s="24" t="str">
        <f t="shared" si="39"/>
        <v/>
      </c>
      <c r="AQ182" s="24" t="str">
        <f t="shared" si="40"/>
        <v/>
      </c>
      <c r="AR182" s="33" t="str">
        <f t="shared" si="41"/>
        <v/>
      </c>
      <c r="AS182" s="34"/>
      <c r="AT182" s="33"/>
      <c r="AV182" s="21">
        <f>IF(AND($AL182&lt;&gt;"",COUNTIF($AL$11:$AL182,$AL182)=1),1,0)</f>
        <v>0</v>
      </c>
      <c r="AW182" s="21">
        <f t="shared" si="43"/>
        <v>2</v>
      </c>
      <c r="AX182" s="21" t="str">
        <f t="shared" si="42"/>
        <v/>
      </c>
      <c r="AY182" s="21" t="str">
        <f>IF(AND($AM182&lt;&gt;"",$AS182&lt;&gt;"✓"),SUMPRODUCT(($AM$11:$AM182&lt;&gt;"")*($AS$11:$AS182&lt;&gt;"✓")),"")</f>
        <v/>
      </c>
      <c r="AZ182" s="21" t="str">
        <f>IF(AND($AM182&lt;&gt;"",$AS182="✓"),SUMPRODUCT(($AM$11:$AM182&lt;&gt;"")*($AS$11:$AS182="✓")),"")</f>
        <v/>
      </c>
      <c r="BA182" s="21" t="str">
        <f>IF($AL182="","",$AL182&amp;"|"&amp;COUNTIF($AL$11:$AL182,$AL182))</f>
        <v/>
      </c>
    </row>
    <row r="183" spans="2:53" ht="15" customHeight="1" x14ac:dyDescent="0.25">
      <c r="B183" s="5" t="str">
        <f t="shared" si="30"/>
        <v/>
      </c>
      <c r="C183" s="5"/>
      <c r="D183" s="5"/>
      <c r="E183" s="5"/>
      <c r="F183" s="6"/>
      <c r="G183" s="6"/>
      <c r="H183" s="7"/>
      <c r="I183" s="8"/>
      <c r="K183" s="9" t="str">
        <f>IFERROR(INDEX($AL$11:$AL$4010,MATCH(173,$AX$11:$AX$4010,0)),"")</f>
        <v/>
      </c>
      <c r="L183" s="10" t="str">
        <f t="shared" si="31"/>
        <v/>
      </c>
      <c r="M183" s="11" t="str">
        <f t="shared" si="32"/>
        <v/>
      </c>
      <c r="N183" s="11" t="str">
        <f t="shared" si="33"/>
        <v/>
      </c>
      <c r="P183" s="12" t="str">
        <f>IFERROR(INDEX($AM$11:$AM$4010,MATCH($S$8&amp;"|"&amp;173,$BA$11:$BA$4010,0)),"")</f>
        <v/>
      </c>
      <c r="Q183" s="11" t="str">
        <f>IF(P183="","",IFERROR(INDEX($AN$11:$AN$4010,MATCH($S$8&amp;"|"&amp;173,$BA$11:$BA$4010,0)),""))</f>
        <v/>
      </c>
      <c r="R183" s="11" t="str">
        <f>IF(P183="","",IFERROR(INDEX($AO$11:$AO$4010,MATCH($S$8&amp;"|"&amp;173,$BA$11:$BA$4010,0)),""))</f>
        <v/>
      </c>
      <c r="S183" s="10" t="str">
        <f>IF(P183="","",IFERROR(INDEX($AP$11:$AP$4010,MATCH($S$8&amp;"|"&amp;173,$BA$11:$BA$4010,0)),""))</f>
        <v/>
      </c>
      <c r="T183" s="10" t="str">
        <f>IF(P183="","",IFERROR(INDEX($AQ$11:$AQ$4010,MATCH($S$8&amp;"|"&amp;173,$BA$11:$BA$4010,0)),""))</f>
        <v/>
      </c>
      <c r="U183" s="39" t="str">
        <f t="shared" si="44"/>
        <v/>
      </c>
      <c r="W183" s="14" t="str">
        <f>IF(X183="","",IFERROR(INDEX($AL$11:$AL$4010,MATCH(173,$AY$11:$AY$4010,0)),""))</f>
        <v/>
      </c>
      <c r="X183" s="12" t="str">
        <f>IFERROR(INDEX($AM$11:$AM$4010,MATCH(173,$AY$11:$AY$4010,0)),"")</f>
        <v/>
      </c>
      <c r="Y183" s="11" t="str">
        <f>IF(X183="","",IFERROR(INDEX($AN$11:$AN$4010,MATCH(173,$AY$11:$AY$4010,0)),""))</f>
        <v/>
      </c>
      <c r="Z183" s="11" t="str">
        <f>IF(X183="","",IFERROR(INDEX($AO$11:$AO$4010,MATCH(173,$AY$11:$AY$4010,0)),""))</f>
        <v/>
      </c>
      <c r="AA183" s="10" t="str">
        <f>IF(X183="","",IFERROR(INDEX($AQ$11:$AQ$4010,MATCH(173,$AY$11:$AY$4010,0)),""))</f>
        <v/>
      </c>
      <c r="AB183" s="15" t="str">
        <f>IF(X183="","",IFERROR(INDEX($AR$11:$AR$4010,MATCH(173,$AY$11:$AY$4010,0)),""))</f>
        <v/>
      </c>
      <c r="AD183" s="16" t="str">
        <f>IF(AE183="","",IFERROR(INDEX($AL$11:$AL$4010,MATCH(173,$AZ$11:$AZ$4010,0)),""))</f>
        <v/>
      </c>
      <c r="AE183" s="12" t="str">
        <f>IFERROR(INDEX($AM$11:$AM$4010,MATCH(173,$AZ$11:$AZ$4010,0)),"")</f>
        <v/>
      </c>
      <c r="AF183" s="11" t="str">
        <f>IF(AE183="","",IFERROR(INDEX($AN$11:$AN$4010,MATCH(173,$AZ$11:$AZ$4010,0)),""))</f>
        <v/>
      </c>
      <c r="AG183" s="11" t="str">
        <f>IF(AE183="","",IFERROR(INDEX($AO$11:$AO$4010,MATCH(173,$AZ$11:$AZ$4010,0)),""))</f>
        <v/>
      </c>
      <c r="AH183" s="10" t="str">
        <f>IF(AE183="","",IFERROR(INDEX($AQ$11:$AQ$4010,MATCH(173,$AZ$11:$AZ$4010,0)),""))</f>
        <v/>
      </c>
      <c r="AI183" s="15" t="str">
        <f>IF(AE183="","",IFERROR(INDEX($AR$11:$AR$4010,MATCH(173,$AZ$11:$AZ$4010,0)),""))</f>
        <v/>
      </c>
      <c r="AJ183" s="15" t="str">
        <f>IF(AE183="","",IFERROR(INDEX($AT$11:$AT$4010,MATCH(173,$AZ$11:$AZ$4010,0)),""))</f>
        <v/>
      </c>
      <c r="AL183" s="17" t="str">
        <f t="shared" si="35"/>
        <v/>
      </c>
      <c r="AM183" s="12" t="str">
        <f t="shared" si="36"/>
        <v/>
      </c>
      <c r="AN183" s="18" t="str">
        <f t="shared" si="37"/>
        <v/>
      </c>
      <c r="AO183" s="18" t="str">
        <f t="shared" si="38"/>
        <v/>
      </c>
      <c r="AP183" s="10" t="str">
        <f t="shared" si="39"/>
        <v/>
      </c>
      <c r="AQ183" s="10" t="str">
        <f t="shared" si="40"/>
        <v/>
      </c>
      <c r="AR183" s="19" t="str">
        <f t="shared" si="41"/>
        <v/>
      </c>
      <c r="AS183" s="20"/>
      <c r="AT183" s="19"/>
      <c r="AV183" s="21">
        <f>IF(AND($AL183&lt;&gt;"",COUNTIF($AL$11:$AL183,$AL183)=1),1,0)</f>
        <v>0</v>
      </c>
      <c r="AW183" s="21">
        <f t="shared" si="43"/>
        <v>2</v>
      </c>
      <c r="AX183" s="21" t="str">
        <f t="shared" si="42"/>
        <v/>
      </c>
      <c r="AY183" s="21" t="str">
        <f>IF(AND($AM183&lt;&gt;"",$AS183&lt;&gt;"✓"),SUMPRODUCT(($AM$11:$AM183&lt;&gt;"")*($AS$11:$AS183&lt;&gt;"✓")),"")</f>
        <v/>
      </c>
      <c r="AZ183" s="21" t="str">
        <f>IF(AND($AM183&lt;&gt;"",$AS183="✓"),SUMPRODUCT(($AM$11:$AM183&lt;&gt;"")*($AS$11:$AS183="✓")),"")</f>
        <v/>
      </c>
      <c r="BA183" s="21" t="str">
        <f>IF($AL183="","",$AL183&amp;"|"&amp;COUNTIF($AL$11:$AL183,$AL183))</f>
        <v/>
      </c>
    </row>
    <row r="184" spans="2:53" ht="15" customHeight="1" x14ac:dyDescent="0.25">
      <c r="B184" s="5" t="str">
        <f t="shared" si="30"/>
        <v/>
      </c>
      <c r="C184" s="5"/>
      <c r="D184" s="5"/>
      <c r="E184" s="5"/>
      <c r="F184" s="6"/>
      <c r="G184" s="6"/>
      <c r="H184" s="7"/>
      <c r="I184" s="8"/>
      <c r="K184" s="23" t="str">
        <f>IFERROR(INDEX($AL$11:$AL$4010,MATCH(174,$AX$11:$AX$4010,0)),"")</f>
        <v/>
      </c>
      <c r="L184" s="24" t="str">
        <f t="shared" si="31"/>
        <v/>
      </c>
      <c r="M184" s="25" t="str">
        <f t="shared" si="32"/>
        <v/>
      </c>
      <c r="N184" s="25" t="str">
        <f t="shared" si="33"/>
        <v/>
      </c>
      <c r="P184" s="26" t="str">
        <f>IFERROR(INDEX($AM$11:$AM$4010,MATCH($S$8&amp;"|"&amp;174,$BA$11:$BA$4010,0)),"")</f>
        <v/>
      </c>
      <c r="Q184" s="25" t="str">
        <f>IF(P184="","",IFERROR(INDEX($AN$11:$AN$4010,MATCH($S$8&amp;"|"&amp;174,$BA$11:$BA$4010,0)),""))</f>
        <v/>
      </c>
      <c r="R184" s="25" t="str">
        <f>IF(P184="","",IFERROR(INDEX($AO$11:$AO$4010,MATCH($S$8&amp;"|"&amp;174,$BA$11:$BA$4010,0)),""))</f>
        <v/>
      </c>
      <c r="S184" s="24" t="str">
        <f>IF(P184="","",IFERROR(INDEX($AP$11:$AP$4010,MATCH($S$8&amp;"|"&amp;174,$BA$11:$BA$4010,0)),""))</f>
        <v/>
      </c>
      <c r="T184" s="24" t="str">
        <f>IF(P184="","",IFERROR(INDEX($AQ$11:$AQ$4010,MATCH($S$8&amp;"|"&amp;174,$BA$11:$BA$4010,0)),""))</f>
        <v/>
      </c>
      <c r="U184" s="38" t="str">
        <f t="shared" si="44"/>
        <v/>
      </c>
      <c r="W184" s="28" t="str">
        <f>IF(X184="","",IFERROR(INDEX($AL$11:$AL$4010,MATCH(174,$AY$11:$AY$4010,0)),""))</f>
        <v/>
      </c>
      <c r="X184" s="26" t="str">
        <f>IFERROR(INDEX($AM$11:$AM$4010,MATCH(174,$AY$11:$AY$4010,0)),"")</f>
        <v/>
      </c>
      <c r="Y184" s="25" t="str">
        <f>IF(X184="","",IFERROR(INDEX($AN$11:$AN$4010,MATCH(174,$AY$11:$AY$4010,0)),""))</f>
        <v/>
      </c>
      <c r="Z184" s="25" t="str">
        <f>IF(X184="","",IFERROR(INDEX($AO$11:$AO$4010,MATCH(174,$AY$11:$AY$4010,0)),""))</f>
        <v/>
      </c>
      <c r="AA184" s="24" t="str">
        <f>IF(X184="","",IFERROR(INDEX($AQ$11:$AQ$4010,MATCH(174,$AY$11:$AY$4010,0)),""))</f>
        <v/>
      </c>
      <c r="AB184" s="29" t="str">
        <f>IF(X184="","",IFERROR(INDEX($AR$11:$AR$4010,MATCH(174,$AY$11:$AY$4010,0)),""))</f>
        <v/>
      </c>
      <c r="AD184" s="30" t="str">
        <f>IF(AE184="","",IFERROR(INDEX($AL$11:$AL$4010,MATCH(174,$AZ$11:$AZ$4010,0)),""))</f>
        <v/>
      </c>
      <c r="AE184" s="26" t="str">
        <f>IFERROR(INDEX($AM$11:$AM$4010,MATCH(174,$AZ$11:$AZ$4010,0)),"")</f>
        <v/>
      </c>
      <c r="AF184" s="25" t="str">
        <f>IF(AE184="","",IFERROR(INDEX($AN$11:$AN$4010,MATCH(174,$AZ$11:$AZ$4010,0)),""))</f>
        <v/>
      </c>
      <c r="AG184" s="25" t="str">
        <f>IF(AE184="","",IFERROR(INDEX($AO$11:$AO$4010,MATCH(174,$AZ$11:$AZ$4010,0)),""))</f>
        <v/>
      </c>
      <c r="AH184" s="24" t="str">
        <f>IF(AE184="","",IFERROR(INDEX($AQ$11:$AQ$4010,MATCH(174,$AZ$11:$AZ$4010,0)),""))</f>
        <v/>
      </c>
      <c r="AI184" s="29" t="str">
        <f>IF(AE184="","",IFERROR(INDEX($AR$11:$AR$4010,MATCH(174,$AZ$11:$AZ$4010,0)),""))</f>
        <v/>
      </c>
      <c r="AJ184" s="29" t="str">
        <f>IF(AE184="","",IFERROR(INDEX($AT$11:$AT$4010,MATCH(174,$AZ$11:$AZ$4010,0)),""))</f>
        <v/>
      </c>
      <c r="AL184" s="31" t="str">
        <f t="shared" si="35"/>
        <v/>
      </c>
      <c r="AM184" s="26" t="str">
        <f t="shared" si="36"/>
        <v/>
      </c>
      <c r="AN184" s="32" t="str">
        <f t="shared" si="37"/>
        <v/>
      </c>
      <c r="AO184" s="32" t="str">
        <f t="shared" si="38"/>
        <v/>
      </c>
      <c r="AP184" s="24" t="str">
        <f t="shared" si="39"/>
        <v/>
      </c>
      <c r="AQ184" s="24" t="str">
        <f t="shared" si="40"/>
        <v/>
      </c>
      <c r="AR184" s="33" t="str">
        <f t="shared" si="41"/>
        <v/>
      </c>
      <c r="AS184" s="34"/>
      <c r="AT184" s="33"/>
      <c r="AV184" s="21">
        <f>IF(AND($AL184&lt;&gt;"",COUNTIF($AL$11:$AL184,$AL184)=1),1,0)</f>
        <v>0</v>
      </c>
      <c r="AW184" s="21">
        <f t="shared" si="43"/>
        <v>2</v>
      </c>
      <c r="AX184" s="21" t="str">
        <f t="shared" si="42"/>
        <v/>
      </c>
      <c r="AY184" s="21" t="str">
        <f>IF(AND($AM184&lt;&gt;"",$AS184&lt;&gt;"✓"),SUMPRODUCT(($AM$11:$AM184&lt;&gt;"")*($AS$11:$AS184&lt;&gt;"✓")),"")</f>
        <v/>
      </c>
      <c r="AZ184" s="21" t="str">
        <f>IF(AND($AM184&lt;&gt;"",$AS184="✓"),SUMPRODUCT(($AM$11:$AM184&lt;&gt;"")*($AS$11:$AS184="✓")),"")</f>
        <v/>
      </c>
      <c r="BA184" s="21" t="str">
        <f>IF($AL184="","",$AL184&amp;"|"&amp;COUNTIF($AL$11:$AL184,$AL184))</f>
        <v/>
      </c>
    </row>
    <row r="185" spans="2:53" ht="15" customHeight="1" x14ac:dyDescent="0.25">
      <c r="B185" s="5" t="str">
        <f t="shared" si="30"/>
        <v/>
      </c>
      <c r="C185" s="5"/>
      <c r="D185" s="5"/>
      <c r="E185" s="5"/>
      <c r="F185" s="6"/>
      <c r="G185" s="6"/>
      <c r="H185" s="7"/>
      <c r="I185" s="8"/>
      <c r="K185" s="9" t="str">
        <f>IFERROR(INDEX($AL$11:$AL$4010,MATCH(175,$AX$11:$AX$4010,0)),"")</f>
        <v/>
      </c>
      <c r="L185" s="10" t="str">
        <f t="shared" si="31"/>
        <v/>
      </c>
      <c r="M185" s="11" t="str">
        <f t="shared" si="32"/>
        <v/>
      </c>
      <c r="N185" s="11" t="str">
        <f t="shared" si="33"/>
        <v/>
      </c>
      <c r="P185" s="12" t="str">
        <f>IFERROR(INDEX($AM$11:$AM$4010,MATCH($S$8&amp;"|"&amp;175,$BA$11:$BA$4010,0)),"")</f>
        <v/>
      </c>
      <c r="Q185" s="11" t="str">
        <f>IF(P185="","",IFERROR(INDEX($AN$11:$AN$4010,MATCH($S$8&amp;"|"&amp;175,$BA$11:$BA$4010,0)),""))</f>
        <v/>
      </c>
      <c r="R185" s="11" t="str">
        <f>IF(P185="","",IFERROR(INDEX($AO$11:$AO$4010,MATCH($S$8&amp;"|"&amp;175,$BA$11:$BA$4010,0)),""))</f>
        <v/>
      </c>
      <c r="S185" s="10" t="str">
        <f>IF(P185="","",IFERROR(INDEX($AP$11:$AP$4010,MATCH($S$8&amp;"|"&amp;175,$BA$11:$BA$4010,0)),""))</f>
        <v/>
      </c>
      <c r="T185" s="10" t="str">
        <f>IF(P185="","",IFERROR(INDEX($AQ$11:$AQ$4010,MATCH($S$8&amp;"|"&amp;175,$BA$11:$BA$4010,0)),""))</f>
        <v/>
      </c>
      <c r="U185" s="39" t="str">
        <f t="shared" si="44"/>
        <v/>
      </c>
      <c r="W185" s="14" t="str">
        <f>IF(X185="","",IFERROR(INDEX($AL$11:$AL$4010,MATCH(175,$AY$11:$AY$4010,0)),""))</f>
        <v/>
      </c>
      <c r="X185" s="12" t="str">
        <f>IFERROR(INDEX($AM$11:$AM$4010,MATCH(175,$AY$11:$AY$4010,0)),"")</f>
        <v/>
      </c>
      <c r="Y185" s="11" t="str">
        <f>IF(X185="","",IFERROR(INDEX($AN$11:$AN$4010,MATCH(175,$AY$11:$AY$4010,0)),""))</f>
        <v/>
      </c>
      <c r="Z185" s="11" t="str">
        <f>IF(X185="","",IFERROR(INDEX($AO$11:$AO$4010,MATCH(175,$AY$11:$AY$4010,0)),""))</f>
        <v/>
      </c>
      <c r="AA185" s="10" t="str">
        <f>IF(X185="","",IFERROR(INDEX($AQ$11:$AQ$4010,MATCH(175,$AY$11:$AY$4010,0)),""))</f>
        <v/>
      </c>
      <c r="AB185" s="15" t="str">
        <f>IF(X185="","",IFERROR(INDEX($AR$11:$AR$4010,MATCH(175,$AY$11:$AY$4010,0)),""))</f>
        <v/>
      </c>
      <c r="AD185" s="16" t="str">
        <f>IF(AE185="","",IFERROR(INDEX($AL$11:$AL$4010,MATCH(175,$AZ$11:$AZ$4010,0)),""))</f>
        <v/>
      </c>
      <c r="AE185" s="12" t="str">
        <f>IFERROR(INDEX($AM$11:$AM$4010,MATCH(175,$AZ$11:$AZ$4010,0)),"")</f>
        <v/>
      </c>
      <c r="AF185" s="11" t="str">
        <f>IF(AE185="","",IFERROR(INDEX($AN$11:$AN$4010,MATCH(175,$AZ$11:$AZ$4010,0)),""))</f>
        <v/>
      </c>
      <c r="AG185" s="11" t="str">
        <f>IF(AE185="","",IFERROR(INDEX($AO$11:$AO$4010,MATCH(175,$AZ$11:$AZ$4010,0)),""))</f>
        <v/>
      </c>
      <c r="AH185" s="10" t="str">
        <f>IF(AE185="","",IFERROR(INDEX($AQ$11:$AQ$4010,MATCH(175,$AZ$11:$AZ$4010,0)),""))</f>
        <v/>
      </c>
      <c r="AI185" s="15" t="str">
        <f>IF(AE185="","",IFERROR(INDEX($AR$11:$AR$4010,MATCH(175,$AZ$11:$AZ$4010,0)),""))</f>
        <v/>
      </c>
      <c r="AJ185" s="15" t="str">
        <f>IF(AE185="","",IFERROR(INDEX($AT$11:$AT$4010,MATCH(175,$AZ$11:$AZ$4010,0)),""))</f>
        <v/>
      </c>
      <c r="AL185" s="17" t="str">
        <f t="shared" si="35"/>
        <v/>
      </c>
      <c r="AM185" s="12" t="str">
        <f t="shared" si="36"/>
        <v/>
      </c>
      <c r="AN185" s="18" t="str">
        <f t="shared" si="37"/>
        <v/>
      </c>
      <c r="AO185" s="18" t="str">
        <f t="shared" si="38"/>
        <v/>
      </c>
      <c r="AP185" s="10" t="str">
        <f t="shared" si="39"/>
        <v/>
      </c>
      <c r="AQ185" s="10" t="str">
        <f t="shared" si="40"/>
        <v/>
      </c>
      <c r="AR185" s="19" t="str">
        <f t="shared" si="41"/>
        <v/>
      </c>
      <c r="AS185" s="20"/>
      <c r="AT185" s="19"/>
      <c r="AV185" s="21">
        <f>IF(AND($AL185&lt;&gt;"",COUNTIF($AL$11:$AL185,$AL185)=1),1,0)</f>
        <v>0</v>
      </c>
      <c r="AW185" s="21">
        <f t="shared" si="43"/>
        <v>2</v>
      </c>
      <c r="AX185" s="21" t="str">
        <f t="shared" si="42"/>
        <v/>
      </c>
      <c r="AY185" s="21" t="str">
        <f>IF(AND($AM185&lt;&gt;"",$AS185&lt;&gt;"✓"),SUMPRODUCT(($AM$11:$AM185&lt;&gt;"")*($AS$11:$AS185&lt;&gt;"✓")),"")</f>
        <v/>
      </c>
      <c r="AZ185" s="21" t="str">
        <f>IF(AND($AM185&lt;&gt;"",$AS185="✓"),SUMPRODUCT(($AM$11:$AM185&lt;&gt;"")*($AS$11:$AS185="✓")),"")</f>
        <v/>
      </c>
      <c r="BA185" s="21" t="str">
        <f>IF($AL185="","",$AL185&amp;"|"&amp;COUNTIF($AL$11:$AL185,$AL185))</f>
        <v/>
      </c>
    </row>
    <row r="186" spans="2:53" ht="15" customHeight="1" x14ac:dyDescent="0.25">
      <c r="B186" s="5" t="str">
        <f t="shared" si="30"/>
        <v/>
      </c>
      <c r="C186" s="5"/>
      <c r="D186" s="5"/>
      <c r="E186" s="5"/>
      <c r="F186" s="6"/>
      <c r="G186" s="6"/>
      <c r="H186" s="7"/>
      <c r="I186" s="8"/>
      <c r="K186" s="23" t="str">
        <f>IFERROR(INDEX($AL$11:$AL$4010,MATCH(176,$AX$11:$AX$4010,0)),"")</f>
        <v/>
      </c>
      <c r="L186" s="24" t="str">
        <f t="shared" si="31"/>
        <v/>
      </c>
      <c r="M186" s="25" t="str">
        <f t="shared" si="32"/>
        <v/>
      </c>
      <c r="N186" s="25" t="str">
        <f t="shared" si="33"/>
        <v/>
      </c>
      <c r="P186" s="26" t="str">
        <f>IFERROR(INDEX($AM$11:$AM$4010,MATCH($S$8&amp;"|"&amp;176,$BA$11:$BA$4010,0)),"")</f>
        <v/>
      </c>
      <c r="Q186" s="25" t="str">
        <f>IF(P186="","",IFERROR(INDEX($AN$11:$AN$4010,MATCH($S$8&amp;"|"&amp;176,$BA$11:$BA$4010,0)),""))</f>
        <v/>
      </c>
      <c r="R186" s="25" t="str">
        <f>IF(P186="","",IFERROR(INDEX($AO$11:$AO$4010,MATCH($S$8&amp;"|"&amp;176,$BA$11:$BA$4010,0)),""))</f>
        <v/>
      </c>
      <c r="S186" s="24" t="str">
        <f>IF(P186="","",IFERROR(INDEX($AP$11:$AP$4010,MATCH($S$8&amp;"|"&amp;176,$BA$11:$BA$4010,0)),""))</f>
        <v/>
      </c>
      <c r="T186" s="24" t="str">
        <f>IF(P186="","",IFERROR(INDEX($AQ$11:$AQ$4010,MATCH($S$8&amp;"|"&amp;176,$BA$11:$BA$4010,0)),""))</f>
        <v/>
      </c>
      <c r="U186" s="38" t="str">
        <f t="shared" si="44"/>
        <v/>
      </c>
      <c r="W186" s="28" t="str">
        <f>IF(X186="","",IFERROR(INDEX($AL$11:$AL$4010,MATCH(176,$AY$11:$AY$4010,0)),""))</f>
        <v/>
      </c>
      <c r="X186" s="26" t="str">
        <f>IFERROR(INDEX($AM$11:$AM$4010,MATCH(176,$AY$11:$AY$4010,0)),"")</f>
        <v/>
      </c>
      <c r="Y186" s="25" t="str">
        <f>IF(X186="","",IFERROR(INDEX($AN$11:$AN$4010,MATCH(176,$AY$11:$AY$4010,0)),""))</f>
        <v/>
      </c>
      <c r="Z186" s="25" t="str">
        <f>IF(X186="","",IFERROR(INDEX($AO$11:$AO$4010,MATCH(176,$AY$11:$AY$4010,0)),""))</f>
        <v/>
      </c>
      <c r="AA186" s="24" t="str">
        <f>IF(X186="","",IFERROR(INDEX($AQ$11:$AQ$4010,MATCH(176,$AY$11:$AY$4010,0)),""))</f>
        <v/>
      </c>
      <c r="AB186" s="29" t="str">
        <f>IF(X186="","",IFERROR(INDEX($AR$11:$AR$4010,MATCH(176,$AY$11:$AY$4010,0)),""))</f>
        <v/>
      </c>
      <c r="AD186" s="30" t="str">
        <f>IF(AE186="","",IFERROR(INDEX($AL$11:$AL$4010,MATCH(176,$AZ$11:$AZ$4010,0)),""))</f>
        <v/>
      </c>
      <c r="AE186" s="26" t="str">
        <f>IFERROR(INDEX($AM$11:$AM$4010,MATCH(176,$AZ$11:$AZ$4010,0)),"")</f>
        <v/>
      </c>
      <c r="AF186" s="25" t="str">
        <f>IF(AE186="","",IFERROR(INDEX($AN$11:$AN$4010,MATCH(176,$AZ$11:$AZ$4010,0)),""))</f>
        <v/>
      </c>
      <c r="AG186" s="25" t="str">
        <f>IF(AE186="","",IFERROR(INDEX($AO$11:$AO$4010,MATCH(176,$AZ$11:$AZ$4010,0)),""))</f>
        <v/>
      </c>
      <c r="AH186" s="24" t="str">
        <f>IF(AE186="","",IFERROR(INDEX($AQ$11:$AQ$4010,MATCH(176,$AZ$11:$AZ$4010,0)),""))</f>
        <v/>
      </c>
      <c r="AI186" s="29" t="str">
        <f>IF(AE186="","",IFERROR(INDEX($AR$11:$AR$4010,MATCH(176,$AZ$11:$AZ$4010,0)),""))</f>
        <v/>
      </c>
      <c r="AJ186" s="29" t="str">
        <f>IF(AE186="","",IFERROR(INDEX($AT$11:$AT$4010,MATCH(176,$AZ$11:$AZ$4010,0)),""))</f>
        <v/>
      </c>
      <c r="AL186" s="31" t="str">
        <f t="shared" si="35"/>
        <v/>
      </c>
      <c r="AM186" s="26" t="str">
        <f t="shared" si="36"/>
        <v/>
      </c>
      <c r="AN186" s="32" t="str">
        <f t="shared" si="37"/>
        <v/>
      </c>
      <c r="AO186" s="32" t="str">
        <f t="shared" si="38"/>
        <v/>
      </c>
      <c r="AP186" s="24" t="str">
        <f t="shared" si="39"/>
        <v/>
      </c>
      <c r="AQ186" s="24" t="str">
        <f t="shared" si="40"/>
        <v/>
      </c>
      <c r="AR186" s="33" t="str">
        <f t="shared" si="41"/>
        <v/>
      </c>
      <c r="AS186" s="34"/>
      <c r="AT186" s="33"/>
      <c r="AV186" s="21">
        <f>IF(AND($AL186&lt;&gt;"",COUNTIF($AL$11:$AL186,$AL186)=1),1,0)</f>
        <v>0</v>
      </c>
      <c r="AW186" s="21">
        <f t="shared" si="43"/>
        <v>2</v>
      </c>
      <c r="AX186" s="21" t="str">
        <f t="shared" si="42"/>
        <v/>
      </c>
      <c r="AY186" s="21" t="str">
        <f>IF(AND($AM186&lt;&gt;"",$AS186&lt;&gt;"✓"),SUMPRODUCT(($AM$11:$AM186&lt;&gt;"")*($AS$11:$AS186&lt;&gt;"✓")),"")</f>
        <v/>
      </c>
      <c r="AZ186" s="21" t="str">
        <f>IF(AND($AM186&lt;&gt;"",$AS186="✓"),SUMPRODUCT(($AM$11:$AM186&lt;&gt;"")*($AS$11:$AS186="✓")),"")</f>
        <v/>
      </c>
      <c r="BA186" s="21" t="str">
        <f>IF($AL186="","",$AL186&amp;"|"&amp;COUNTIF($AL$11:$AL186,$AL186))</f>
        <v/>
      </c>
    </row>
    <row r="187" spans="2:53" ht="15" customHeight="1" x14ac:dyDescent="0.25">
      <c r="B187" s="5" t="str">
        <f t="shared" si="30"/>
        <v/>
      </c>
      <c r="C187" s="5"/>
      <c r="D187" s="5"/>
      <c r="E187" s="5"/>
      <c r="F187" s="6"/>
      <c r="G187" s="6"/>
      <c r="H187" s="7"/>
      <c r="I187" s="8"/>
      <c r="K187" s="9" t="str">
        <f>IFERROR(INDEX($AL$11:$AL$4010,MATCH(177,$AX$11:$AX$4010,0)),"")</f>
        <v/>
      </c>
      <c r="L187" s="10" t="str">
        <f t="shared" si="31"/>
        <v/>
      </c>
      <c r="M187" s="11" t="str">
        <f t="shared" si="32"/>
        <v/>
      </c>
      <c r="N187" s="11" t="str">
        <f t="shared" si="33"/>
        <v/>
      </c>
      <c r="P187" s="12" t="str">
        <f>IFERROR(INDEX($AM$11:$AM$4010,MATCH($S$8&amp;"|"&amp;177,$BA$11:$BA$4010,0)),"")</f>
        <v/>
      </c>
      <c r="Q187" s="11" t="str">
        <f>IF(P187="","",IFERROR(INDEX($AN$11:$AN$4010,MATCH($S$8&amp;"|"&amp;177,$BA$11:$BA$4010,0)),""))</f>
        <v/>
      </c>
      <c r="R187" s="11" t="str">
        <f>IF(P187="","",IFERROR(INDEX($AO$11:$AO$4010,MATCH($S$8&amp;"|"&amp;177,$BA$11:$BA$4010,0)),""))</f>
        <v/>
      </c>
      <c r="S187" s="10" t="str">
        <f>IF(P187="","",IFERROR(INDEX($AP$11:$AP$4010,MATCH($S$8&amp;"|"&amp;177,$BA$11:$BA$4010,0)),""))</f>
        <v/>
      </c>
      <c r="T187" s="10" t="str">
        <f>IF(P187="","",IFERROR(INDEX($AQ$11:$AQ$4010,MATCH($S$8&amp;"|"&amp;177,$BA$11:$BA$4010,0)),""))</f>
        <v/>
      </c>
      <c r="U187" s="39" t="str">
        <f t="shared" si="44"/>
        <v/>
      </c>
      <c r="W187" s="14" t="str">
        <f>IF(X187="","",IFERROR(INDEX($AL$11:$AL$4010,MATCH(177,$AY$11:$AY$4010,0)),""))</f>
        <v/>
      </c>
      <c r="X187" s="12" t="str">
        <f>IFERROR(INDEX($AM$11:$AM$4010,MATCH(177,$AY$11:$AY$4010,0)),"")</f>
        <v/>
      </c>
      <c r="Y187" s="11" t="str">
        <f>IF(X187="","",IFERROR(INDEX($AN$11:$AN$4010,MATCH(177,$AY$11:$AY$4010,0)),""))</f>
        <v/>
      </c>
      <c r="Z187" s="11" t="str">
        <f>IF(X187="","",IFERROR(INDEX($AO$11:$AO$4010,MATCH(177,$AY$11:$AY$4010,0)),""))</f>
        <v/>
      </c>
      <c r="AA187" s="10" t="str">
        <f>IF(X187="","",IFERROR(INDEX($AQ$11:$AQ$4010,MATCH(177,$AY$11:$AY$4010,0)),""))</f>
        <v/>
      </c>
      <c r="AB187" s="15" t="str">
        <f>IF(X187="","",IFERROR(INDEX($AR$11:$AR$4010,MATCH(177,$AY$11:$AY$4010,0)),""))</f>
        <v/>
      </c>
      <c r="AD187" s="16" t="str">
        <f>IF(AE187="","",IFERROR(INDEX($AL$11:$AL$4010,MATCH(177,$AZ$11:$AZ$4010,0)),""))</f>
        <v/>
      </c>
      <c r="AE187" s="12" t="str">
        <f>IFERROR(INDEX($AM$11:$AM$4010,MATCH(177,$AZ$11:$AZ$4010,0)),"")</f>
        <v/>
      </c>
      <c r="AF187" s="11" t="str">
        <f>IF(AE187="","",IFERROR(INDEX($AN$11:$AN$4010,MATCH(177,$AZ$11:$AZ$4010,0)),""))</f>
        <v/>
      </c>
      <c r="AG187" s="11" t="str">
        <f>IF(AE187="","",IFERROR(INDEX($AO$11:$AO$4010,MATCH(177,$AZ$11:$AZ$4010,0)),""))</f>
        <v/>
      </c>
      <c r="AH187" s="10" t="str">
        <f>IF(AE187="","",IFERROR(INDEX($AQ$11:$AQ$4010,MATCH(177,$AZ$11:$AZ$4010,0)),""))</f>
        <v/>
      </c>
      <c r="AI187" s="15" t="str">
        <f>IF(AE187="","",IFERROR(INDEX($AR$11:$AR$4010,MATCH(177,$AZ$11:$AZ$4010,0)),""))</f>
        <v/>
      </c>
      <c r="AJ187" s="15" t="str">
        <f>IF(AE187="","",IFERROR(INDEX($AT$11:$AT$4010,MATCH(177,$AZ$11:$AZ$4010,0)),""))</f>
        <v/>
      </c>
      <c r="AL187" s="17" t="str">
        <f t="shared" si="35"/>
        <v/>
      </c>
      <c r="AM187" s="12" t="str">
        <f t="shared" si="36"/>
        <v/>
      </c>
      <c r="AN187" s="18" t="str">
        <f t="shared" si="37"/>
        <v/>
      </c>
      <c r="AO187" s="18" t="str">
        <f t="shared" si="38"/>
        <v/>
      </c>
      <c r="AP187" s="10" t="str">
        <f t="shared" si="39"/>
        <v/>
      </c>
      <c r="AQ187" s="10" t="str">
        <f t="shared" si="40"/>
        <v/>
      </c>
      <c r="AR187" s="19" t="str">
        <f t="shared" si="41"/>
        <v/>
      </c>
      <c r="AS187" s="20"/>
      <c r="AT187" s="19"/>
      <c r="AV187" s="21">
        <f>IF(AND($AL187&lt;&gt;"",COUNTIF($AL$11:$AL187,$AL187)=1),1,0)</f>
        <v>0</v>
      </c>
      <c r="AW187" s="21">
        <f t="shared" si="43"/>
        <v>2</v>
      </c>
      <c r="AX187" s="21" t="str">
        <f t="shared" si="42"/>
        <v/>
      </c>
      <c r="AY187" s="21" t="str">
        <f>IF(AND($AM187&lt;&gt;"",$AS187&lt;&gt;"✓"),SUMPRODUCT(($AM$11:$AM187&lt;&gt;"")*($AS$11:$AS187&lt;&gt;"✓")),"")</f>
        <v/>
      </c>
      <c r="AZ187" s="21" t="str">
        <f>IF(AND($AM187&lt;&gt;"",$AS187="✓"),SUMPRODUCT(($AM$11:$AM187&lt;&gt;"")*($AS$11:$AS187="✓")),"")</f>
        <v/>
      </c>
      <c r="BA187" s="21" t="str">
        <f>IF($AL187="","",$AL187&amp;"|"&amp;COUNTIF($AL$11:$AL187,$AL187))</f>
        <v/>
      </c>
    </row>
    <row r="188" spans="2:53" ht="15" customHeight="1" x14ac:dyDescent="0.25">
      <c r="B188" s="5" t="str">
        <f t="shared" si="30"/>
        <v/>
      </c>
      <c r="C188" s="5"/>
      <c r="D188" s="5"/>
      <c r="E188" s="5"/>
      <c r="F188" s="6"/>
      <c r="G188" s="6"/>
      <c r="H188" s="7"/>
      <c r="I188" s="8"/>
      <c r="K188" s="23" t="str">
        <f>IFERROR(INDEX($AL$11:$AL$4010,MATCH(178,$AX$11:$AX$4010,0)),"")</f>
        <v/>
      </c>
      <c r="L188" s="24" t="str">
        <f t="shared" si="31"/>
        <v/>
      </c>
      <c r="M188" s="25" t="str">
        <f t="shared" si="32"/>
        <v/>
      </c>
      <c r="N188" s="25" t="str">
        <f t="shared" si="33"/>
        <v/>
      </c>
      <c r="P188" s="26" t="str">
        <f>IFERROR(INDEX($AM$11:$AM$4010,MATCH($S$8&amp;"|"&amp;178,$BA$11:$BA$4010,0)),"")</f>
        <v/>
      </c>
      <c r="Q188" s="25" t="str">
        <f>IF(P188="","",IFERROR(INDEX($AN$11:$AN$4010,MATCH($S$8&amp;"|"&amp;178,$BA$11:$BA$4010,0)),""))</f>
        <v/>
      </c>
      <c r="R188" s="25" t="str">
        <f>IF(P188="","",IFERROR(INDEX($AO$11:$AO$4010,MATCH($S$8&amp;"|"&amp;178,$BA$11:$BA$4010,0)),""))</f>
        <v/>
      </c>
      <c r="S188" s="24" t="str">
        <f>IF(P188="","",IFERROR(INDEX($AP$11:$AP$4010,MATCH($S$8&amp;"|"&amp;178,$BA$11:$BA$4010,0)),""))</f>
        <v/>
      </c>
      <c r="T188" s="24" t="str">
        <f>IF(P188="","",IFERROR(INDEX($AQ$11:$AQ$4010,MATCH($S$8&amp;"|"&amp;178,$BA$11:$BA$4010,0)),""))</f>
        <v/>
      </c>
      <c r="U188" s="38" t="str">
        <f t="shared" si="44"/>
        <v/>
      </c>
      <c r="W188" s="28" t="str">
        <f>IF(X188="","",IFERROR(INDEX($AL$11:$AL$4010,MATCH(178,$AY$11:$AY$4010,0)),""))</f>
        <v/>
      </c>
      <c r="X188" s="26" t="str">
        <f>IFERROR(INDEX($AM$11:$AM$4010,MATCH(178,$AY$11:$AY$4010,0)),"")</f>
        <v/>
      </c>
      <c r="Y188" s="25" t="str">
        <f>IF(X188="","",IFERROR(INDEX($AN$11:$AN$4010,MATCH(178,$AY$11:$AY$4010,0)),""))</f>
        <v/>
      </c>
      <c r="Z188" s="25" t="str">
        <f>IF(X188="","",IFERROR(INDEX($AO$11:$AO$4010,MATCH(178,$AY$11:$AY$4010,0)),""))</f>
        <v/>
      </c>
      <c r="AA188" s="24" t="str">
        <f>IF(X188="","",IFERROR(INDEX($AQ$11:$AQ$4010,MATCH(178,$AY$11:$AY$4010,0)),""))</f>
        <v/>
      </c>
      <c r="AB188" s="29" t="str">
        <f>IF(X188="","",IFERROR(INDEX($AR$11:$AR$4010,MATCH(178,$AY$11:$AY$4010,0)),""))</f>
        <v/>
      </c>
      <c r="AD188" s="30" t="str">
        <f>IF(AE188="","",IFERROR(INDEX($AL$11:$AL$4010,MATCH(178,$AZ$11:$AZ$4010,0)),""))</f>
        <v/>
      </c>
      <c r="AE188" s="26" t="str">
        <f>IFERROR(INDEX($AM$11:$AM$4010,MATCH(178,$AZ$11:$AZ$4010,0)),"")</f>
        <v/>
      </c>
      <c r="AF188" s="25" t="str">
        <f>IF(AE188="","",IFERROR(INDEX($AN$11:$AN$4010,MATCH(178,$AZ$11:$AZ$4010,0)),""))</f>
        <v/>
      </c>
      <c r="AG188" s="25" t="str">
        <f>IF(AE188="","",IFERROR(INDEX($AO$11:$AO$4010,MATCH(178,$AZ$11:$AZ$4010,0)),""))</f>
        <v/>
      </c>
      <c r="AH188" s="24" t="str">
        <f>IF(AE188="","",IFERROR(INDEX($AQ$11:$AQ$4010,MATCH(178,$AZ$11:$AZ$4010,0)),""))</f>
        <v/>
      </c>
      <c r="AI188" s="29" t="str">
        <f>IF(AE188="","",IFERROR(INDEX($AR$11:$AR$4010,MATCH(178,$AZ$11:$AZ$4010,0)),""))</f>
        <v/>
      </c>
      <c r="AJ188" s="29" t="str">
        <f>IF(AE188="","",IFERROR(INDEX($AT$11:$AT$4010,MATCH(178,$AZ$11:$AZ$4010,0)),""))</f>
        <v/>
      </c>
      <c r="AL188" s="31" t="str">
        <f t="shared" si="35"/>
        <v/>
      </c>
      <c r="AM188" s="26" t="str">
        <f t="shared" si="36"/>
        <v/>
      </c>
      <c r="AN188" s="32" t="str">
        <f t="shared" si="37"/>
        <v/>
      </c>
      <c r="AO188" s="32" t="str">
        <f t="shared" si="38"/>
        <v/>
      </c>
      <c r="AP188" s="24" t="str">
        <f t="shared" si="39"/>
        <v/>
      </c>
      <c r="AQ188" s="24" t="str">
        <f t="shared" si="40"/>
        <v/>
      </c>
      <c r="AR188" s="33" t="str">
        <f t="shared" si="41"/>
        <v/>
      </c>
      <c r="AS188" s="34"/>
      <c r="AT188" s="33"/>
      <c r="AV188" s="21">
        <f>IF(AND($AL188&lt;&gt;"",COUNTIF($AL$11:$AL188,$AL188)=1),1,0)</f>
        <v>0</v>
      </c>
      <c r="AW188" s="21">
        <f t="shared" si="43"/>
        <v>2</v>
      </c>
      <c r="AX188" s="21" t="str">
        <f t="shared" si="42"/>
        <v/>
      </c>
      <c r="AY188" s="21" t="str">
        <f>IF(AND($AM188&lt;&gt;"",$AS188&lt;&gt;"✓"),SUMPRODUCT(($AM$11:$AM188&lt;&gt;"")*($AS$11:$AS188&lt;&gt;"✓")),"")</f>
        <v/>
      </c>
      <c r="AZ188" s="21" t="str">
        <f>IF(AND($AM188&lt;&gt;"",$AS188="✓"),SUMPRODUCT(($AM$11:$AM188&lt;&gt;"")*($AS$11:$AS188="✓")),"")</f>
        <v/>
      </c>
      <c r="BA188" s="21" t="str">
        <f>IF($AL188="","",$AL188&amp;"|"&amp;COUNTIF($AL$11:$AL188,$AL188))</f>
        <v/>
      </c>
    </row>
    <row r="189" spans="2:53" ht="15" customHeight="1" x14ac:dyDescent="0.25">
      <c r="B189" s="5" t="str">
        <f t="shared" si="30"/>
        <v/>
      </c>
      <c r="C189" s="5"/>
      <c r="D189" s="5"/>
      <c r="E189" s="5"/>
      <c r="F189" s="6"/>
      <c r="G189" s="6"/>
      <c r="H189" s="7"/>
      <c r="I189" s="8"/>
      <c r="K189" s="9" t="str">
        <f>IFERROR(INDEX($AL$11:$AL$4010,MATCH(179,$AX$11:$AX$4010,0)),"")</f>
        <v/>
      </c>
      <c r="L189" s="10" t="str">
        <f t="shared" si="31"/>
        <v/>
      </c>
      <c r="M189" s="11" t="str">
        <f t="shared" si="32"/>
        <v/>
      </c>
      <c r="N189" s="11" t="str">
        <f t="shared" si="33"/>
        <v/>
      </c>
      <c r="P189" s="12" t="str">
        <f>IFERROR(INDEX($AM$11:$AM$4010,MATCH($S$8&amp;"|"&amp;179,$BA$11:$BA$4010,0)),"")</f>
        <v/>
      </c>
      <c r="Q189" s="11" t="str">
        <f>IF(P189="","",IFERROR(INDEX($AN$11:$AN$4010,MATCH($S$8&amp;"|"&amp;179,$BA$11:$BA$4010,0)),""))</f>
        <v/>
      </c>
      <c r="R189" s="11" t="str">
        <f>IF(P189="","",IFERROR(INDEX($AO$11:$AO$4010,MATCH($S$8&amp;"|"&amp;179,$BA$11:$BA$4010,0)),""))</f>
        <v/>
      </c>
      <c r="S189" s="10" t="str">
        <f>IF(P189="","",IFERROR(INDEX($AP$11:$AP$4010,MATCH($S$8&amp;"|"&amp;179,$BA$11:$BA$4010,0)),""))</f>
        <v/>
      </c>
      <c r="T189" s="10" t="str">
        <f>IF(P189="","",IFERROR(INDEX($AQ$11:$AQ$4010,MATCH($S$8&amp;"|"&amp;179,$BA$11:$BA$4010,0)),""))</f>
        <v/>
      </c>
      <c r="U189" s="39" t="str">
        <f t="shared" si="44"/>
        <v/>
      </c>
      <c r="W189" s="14" t="str">
        <f>IF(X189="","",IFERROR(INDEX($AL$11:$AL$4010,MATCH(179,$AY$11:$AY$4010,0)),""))</f>
        <v/>
      </c>
      <c r="X189" s="12" t="str">
        <f>IFERROR(INDEX($AM$11:$AM$4010,MATCH(179,$AY$11:$AY$4010,0)),"")</f>
        <v/>
      </c>
      <c r="Y189" s="11" t="str">
        <f>IF(X189="","",IFERROR(INDEX($AN$11:$AN$4010,MATCH(179,$AY$11:$AY$4010,0)),""))</f>
        <v/>
      </c>
      <c r="Z189" s="11" t="str">
        <f>IF(X189="","",IFERROR(INDEX($AO$11:$AO$4010,MATCH(179,$AY$11:$AY$4010,0)),""))</f>
        <v/>
      </c>
      <c r="AA189" s="10" t="str">
        <f>IF(X189="","",IFERROR(INDEX($AQ$11:$AQ$4010,MATCH(179,$AY$11:$AY$4010,0)),""))</f>
        <v/>
      </c>
      <c r="AB189" s="15" t="str">
        <f>IF(X189="","",IFERROR(INDEX($AR$11:$AR$4010,MATCH(179,$AY$11:$AY$4010,0)),""))</f>
        <v/>
      </c>
      <c r="AD189" s="16" t="str">
        <f>IF(AE189="","",IFERROR(INDEX($AL$11:$AL$4010,MATCH(179,$AZ$11:$AZ$4010,0)),""))</f>
        <v/>
      </c>
      <c r="AE189" s="12" t="str">
        <f>IFERROR(INDEX($AM$11:$AM$4010,MATCH(179,$AZ$11:$AZ$4010,0)),"")</f>
        <v/>
      </c>
      <c r="AF189" s="11" t="str">
        <f>IF(AE189="","",IFERROR(INDEX($AN$11:$AN$4010,MATCH(179,$AZ$11:$AZ$4010,0)),""))</f>
        <v/>
      </c>
      <c r="AG189" s="11" t="str">
        <f>IF(AE189="","",IFERROR(INDEX($AO$11:$AO$4010,MATCH(179,$AZ$11:$AZ$4010,0)),""))</f>
        <v/>
      </c>
      <c r="AH189" s="10" t="str">
        <f>IF(AE189="","",IFERROR(INDEX($AQ$11:$AQ$4010,MATCH(179,$AZ$11:$AZ$4010,0)),""))</f>
        <v/>
      </c>
      <c r="AI189" s="15" t="str">
        <f>IF(AE189="","",IFERROR(INDEX($AR$11:$AR$4010,MATCH(179,$AZ$11:$AZ$4010,0)),""))</f>
        <v/>
      </c>
      <c r="AJ189" s="15" t="str">
        <f>IF(AE189="","",IFERROR(INDEX($AT$11:$AT$4010,MATCH(179,$AZ$11:$AZ$4010,0)),""))</f>
        <v/>
      </c>
      <c r="AL189" s="17" t="str">
        <f t="shared" si="35"/>
        <v/>
      </c>
      <c r="AM189" s="12" t="str">
        <f t="shared" si="36"/>
        <v/>
      </c>
      <c r="AN189" s="18" t="str">
        <f t="shared" si="37"/>
        <v/>
      </c>
      <c r="AO189" s="18" t="str">
        <f t="shared" si="38"/>
        <v/>
      </c>
      <c r="AP189" s="10" t="str">
        <f t="shared" si="39"/>
        <v/>
      </c>
      <c r="AQ189" s="10" t="str">
        <f t="shared" si="40"/>
        <v/>
      </c>
      <c r="AR189" s="19" t="str">
        <f t="shared" si="41"/>
        <v/>
      </c>
      <c r="AS189" s="20"/>
      <c r="AT189" s="19"/>
      <c r="AV189" s="21">
        <f>IF(AND($AL189&lt;&gt;"",COUNTIF($AL$11:$AL189,$AL189)=1),1,0)</f>
        <v>0</v>
      </c>
      <c r="AW189" s="21">
        <f t="shared" si="43"/>
        <v>2</v>
      </c>
      <c r="AX189" s="21" t="str">
        <f t="shared" si="42"/>
        <v/>
      </c>
      <c r="AY189" s="21" t="str">
        <f>IF(AND($AM189&lt;&gt;"",$AS189&lt;&gt;"✓"),SUMPRODUCT(($AM$11:$AM189&lt;&gt;"")*($AS$11:$AS189&lt;&gt;"✓")),"")</f>
        <v/>
      </c>
      <c r="AZ189" s="21" t="str">
        <f>IF(AND($AM189&lt;&gt;"",$AS189="✓"),SUMPRODUCT(($AM$11:$AM189&lt;&gt;"")*($AS$11:$AS189="✓")),"")</f>
        <v/>
      </c>
      <c r="BA189" s="21" t="str">
        <f>IF($AL189="","",$AL189&amp;"|"&amp;COUNTIF($AL$11:$AL189,$AL189))</f>
        <v/>
      </c>
    </row>
    <row r="190" spans="2:53" ht="15" customHeight="1" x14ac:dyDescent="0.25">
      <c r="B190" s="5" t="str">
        <f t="shared" si="30"/>
        <v/>
      </c>
      <c r="C190" s="5"/>
      <c r="D190" s="5"/>
      <c r="E190" s="5"/>
      <c r="F190" s="6"/>
      <c r="G190" s="6"/>
      <c r="H190" s="7"/>
      <c r="I190" s="8"/>
      <c r="K190" s="23" t="str">
        <f>IFERROR(INDEX($AL$11:$AL$4010,MATCH(180,$AX$11:$AX$4010,0)),"")</f>
        <v/>
      </c>
      <c r="L190" s="24" t="str">
        <f t="shared" si="31"/>
        <v/>
      </c>
      <c r="M190" s="25" t="str">
        <f t="shared" si="32"/>
        <v/>
      </c>
      <c r="N190" s="25" t="str">
        <f t="shared" si="33"/>
        <v/>
      </c>
      <c r="P190" s="26" t="str">
        <f>IFERROR(INDEX($AM$11:$AM$4010,MATCH($S$8&amp;"|"&amp;180,$BA$11:$BA$4010,0)),"")</f>
        <v/>
      </c>
      <c r="Q190" s="25" t="str">
        <f>IF(P190="","",IFERROR(INDEX($AN$11:$AN$4010,MATCH($S$8&amp;"|"&amp;180,$BA$11:$BA$4010,0)),""))</f>
        <v/>
      </c>
      <c r="R190" s="25" t="str">
        <f>IF(P190="","",IFERROR(INDEX($AO$11:$AO$4010,MATCH($S$8&amp;"|"&amp;180,$BA$11:$BA$4010,0)),""))</f>
        <v/>
      </c>
      <c r="S190" s="24" t="str">
        <f>IF(P190="","",IFERROR(INDEX($AP$11:$AP$4010,MATCH($S$8&amp;"|"&amp;180,$BA$11:$BA$4010,0)),""))</f>
        <v/>
      </c>
      <c r="T190" s="24" t="str">
        <f>IF(P190="","",IFERROR(INDEX($AQ$11:$AQ$4010,MATCH($S$8&amp;"|"&amp;180,$BA$11:$BA$4010,0)),""))</f>
        <v/>
      </c>
      <c r="U190" s="38" t="str">
        <f t="shared" si="44"/>
        <v/>
      </c>
      <c r="W190" s="28" t="str">
        <f>IF(X190="","",IFERROR(INDEX($AL$11:$AL$4010,MATCH(180,$AY$11:$AY$4010,0)),""))</f>
        <v/>
      </c>
      <c r="X190" s="26" t="str">
        <f>IFERROR(INDEX($AM$11:$AM$4010,MATCH(180,$AY$11:$AY$4010,0)),"")</f>
        <v/>
      </c>
      <c r="Y190" s="25" t="str">
        <f>IF(X190="","",IFERROR(INDEX($AN$11:$AN$4010,MATCH(180,$AY$11:$AY$4010,0)),""))</f>
        <v/>
      </c>
      <c r="Z190" s="25" t="str">
        <f>IF(X190="","",IFERROR(INDEX($AO$11:$AO$4010,MATCH(180,$AY$11:$AY$4010,0)),""))</f>
        <v/>
      </c>
      <c r="AA190" s="24" t="str">
        <f>IF(X190="","",IFERROR(INDEX($AQ$11:$AQ$4010,MATCH(180,$AY$11:$AY$4010,0)),""))</f>
        <v/>
      </c>
      <c r="AB190" s="29" t="str">
        <f>IF(X190="","",IFERROR(INDEX($AR$11:$AR$4010,MATCH(180,$AY$11:$AY$4010,0)),""))</f>
        <v/>
      </c>
      <c r="AD190" s="30" t="str">
        <f>IF(AE190="","",IFERROR(INDEX($AL$11:$AL$4010,MATCH(180,$AZ$11:$AZ$4010,0)),""))</f>
        <v/>
      </c>
      <c r="AE190" s="26" t="str">
        <f>IFERROR(INDEX($AM$11:$AM$4010,MATCH(180,$AZ$11:$AZ$4010,0)),"")</f>
        <v/>
      </c>
      <c r="AF190" s="25" t="str">
        <f>IF(AE190="","",IFERROR(INDEX($AN$11:$AN$4010,MATCH(180,$AZ$11:$AZ$4010,0)),""))</f>
        <v/>
      </c>
      <c r="AG190" s="25" t="str">
        <f>IF(AE190="","",IFERROR(INDEX($AO$11:$AO$4010,MATCH(180,$AZ$11:$AZ$4010,0)),""))</f>
        <v/>
      </c>
      <c r="AH190" s="24" t="str">
        <f>IF(AE190="","",IFERROR(INDEX($AQ$11:$AQ$4010,MATCH(180,$AZ$11:$AZ$4010,0)),""))</f>
        <v/>
      </c>
      <c r="AI190" s="29" t="str">
        <f>IF(AE190="","",IFERROR(INDEX($AR$11:$AR$4010,MATCH(180,$AZ$11:$AZ$4010,0)),""))</f>
        <v/>
      </c>
      <c r="AJ190" s="29" t="str">
        <f>IF(AE190="","",IFERROR(INDEX($AT$11:$AT$4010,MATCH(180,$AZ$11:$AZ$4010,0)),""))</f>
        <v/>
      </c>
      <c r="AL190" s="31" t="str">
        <f t="shared" si="35"/>
        <v/>
      </c>
      <c r="AM190" s="26" t="str">
        <f t="shared" si="36"/>
        <v/>
      </c>
      <c r="AN190" s="32" t="str">
        <f t="shared" si="37"/>
        <v/>
      </c>
      <c r="AO190" s="32" t="str">
        <f t="shared" si="38"/>
        <v/>
      </c>
      <c r="AP190" s="24" t="str">
        <f t="shared" si="39"/>
        <v/>
      </c>
      <c r="AQ190" s="24" t="str">
        <f t="shared" si="40"/>
        <v/>
      </c>
      <c r="AR190" s="33" t="str">
        <f t="shared" si="41"/>
        <v/>
      </c>
      <c r="AS190" s="34"/>
      <c r="AT190" s="33"/>
      <c r="AV190" s="21">
        <f>IF(AND($AL190&lt;&gt;"",COUNTIF($AL$11:$AL190,$AL190)=1),1,0)</f>
        <v>0</v>
      </c>
      <c r="AW190" s="21">
        <f t="shared" si="43"/>
        <v>2</v>
      </c>
      <c r="AX190" s="21" t="str">
        <f t="shared" si="42"/>
        <v/>
      </c>
      <c r="AY190" s="21" t="str">
        <f>IF(AND($AM190&lt;&gt;"",$AS190&lt;&gt;"✓"),SUMPRODUCT(($AM$11:$AM190&lt;&gt;"")*($AS$11:$AS190&lt;&gt;"✓")),"")</f>
        <v/>
      </c>
      <c r="AZ190" s="21" t="str">
        <f>IF(AND($AM190&lt;&gt;"",$AS190="✓"),SUMPRODUCT(($AM$11:$AM190&lt;&gt;"")*($AS$11:$AS190="✓")),"")</f>
        <v/>
      </c>
      <c r="BA190" s="21" t="str">
        <f>IF($AL190="","",$AL190&amp;"|"&amp;COUNTIF($AL$11:$AL190,$AL190))</f>
        <v/>
      </c>
    </row>
    <row r="191" spans="2:53" ht="15" customHeight="1" x14ac:dyDescent="0.25">
      <c r="B191" s="5" t="str">
        <f t="shared" si="30"/>
        <v/>
      </c>
      <c r="C191" s="5"/>
      <c r="D191" s="5"/>
      <c r="E191" s="5"/>
      <c r="F191" s="6"/>
      <c r="G191" s="6"/>
      <c r="H191" s="7"/>
      <c r="I191" s="8"/>
      <c r="K191" s="9" t="str">
        <f>IFERROR(INDEX($AL$11:$AL$4010,MATCH(181,$AX$11:$AX$4010,0)),"")</f>
        <v/>
      </c>
      <c r="L191" s="10" t="str">
        <f t="shared" si="31"/>
        <v/>
      </c>
      <c r="M191" s="11" t="str">
        <f t="shared" si="32"/>
        <v/>
      </c>
      <c r="N191" s="11" t="str">
        <f t="shared" si="33"/>
        <v/>
      </c>
      <c r="P191" s="12" t="str">
        <f>IFERROR(INDEX($AM$11:$AM$4010,MATCH($S$8&amp;"|"&amp;181,$BA$11:$BA$4010,0)),"")</f>
        <v/>
      </c>
      <c r="Q191" s="11" t="str">
        <f>IF(P191="","",IFERROR(INDEX($AN$11:$AN$4010,MATCH($S$8&amp;"|"&amp;181,$BA$11:$BA$4010,0)),""))</f>
        <v/>
      </c>
      <c r="R191" s="11" t="str">
        <f>IF(P191="","",IFERROR(INDEX($AO$11:$AO$4010,MATCH($S$8&amp;"|"&amp;181,$BA$11:$BA$4010,0)),""))</f>
        <v/>
      </c>
      <c r="S191" s="10" t="str">
        <f>IF(P191="","",IFERROR(INDEX($AP$11:$AP$4010,MATCH($S$8&amp;"|"&amp;181,$BA$11:$BA$4010,0)),""))</f>
        <v/>
      </c>
      <c r="T191" s="10" t="str">
        <f>IF(P191="","",IFERROR(INDEX($AQ$11:$AQ$4010,MATCH($S$8&amp;"|"&amp;181,$BA$11:$BA$4010,0)),""))</f>
        <v/>
      </c>
      <c r="U191" s="39" t="str">
        <f t="shared" si="44"/>
        <v/>
      </c>
      <c r="W191" s="14" t="str">
        <f>IF(X191="","",IFERROR(INDEX($AL$11:$AL$4010,MATCH(181,$AY$11:$AY$4010,0)),""))</f>
        <v/>
      </c>
      <c r="X191" s="12" t="str">
        <f>IFERROR(INDEX($AM$11:$AM$4010,MATCH(181,$AY$11:$AY$4010,0)),"")</f>
        <v/>
      </c>
      <c r="Y191" s="11" t="str">
        <f>IF(X191="","",IFERROR(INDEX($AN$11:$AN$4010,MATCH(181,$AY$11:$AY$4010,0)),""))</f>
        <v/>
      </c>
      <c r="Z191" s="11" t="str">
        <f>IF(X191="","",IFERROR(INDEX($AO$11:$AO$4010,MATCH(181,$AY$11:$AY$4010,0)),""))</f>
        <v/>
      </c>
      <c r="AA191" s="10" t="str">
        <f>IF(X191="","",IFERROR(INDEX($AQ$11:$AQ$4010,MATCH(181,$AY$11:$AY$4010,0)),""))</f>
        <v/>
      </c>
      <c r="AB191" s="15" t="str">
        <f>IF(X191="","",IFERROR(INDEX($AR$11:$AR$4010,MATCH(181,$AY$11:$AY$4010,0)),""))</f>
        <v/>
      </c>
      <c r="AD191" s="16" t="str">
        <f>IF(AE191="","",IFERROR(INDEX($AL$11:$AL$4010,MATCH(181,$AZ$11:$AZ$4010,0)),""))</f>
        <v/>
      </c>
      <c r="AE191" s="12" t="str">
        <f>IFERROR(INDEX($AM$11:$AM$4010,MATCH(181,$AZ$11:$AZ$4010,0)),"")</f>
        <v/>
      </c>
      <c r="AF191" s="11" t="str">
        <f>IF(AE191="","",IFERROR(INDEX($AN$11:$AN$4010,MATCH(181,$AZ$11:$AZ$4010,0)),""))</f>
        <v/>
      </c>
      <c r="AG191" s="11" t="str">
        <f>IF(AE191="","",IFERROR(INDEX($AO$11:$AO$4010,MATCH(181,$AZ$11:$AZ$4010,0)),""))</f>
        <v/>
      </c>
      <c r="AH191" s="10" t="str">
        <f>IF(AE191="","",IFERROR(INDEX($AQ$11:$AQ$4010,MATCH(181,$AZ$11:$AZ$4010,0)),""))</f>
        <v/>
      </c>
      <c r="AI191" s="15" t="str">
        <f>IF(AE191="","",IFERROR(INDEX($AR$11:$AR$4010,MATCH(181,$AZ$11:$AZ$4010,0)),""))</f>
        <v/>
      </c>
      <c r="AJ191" s="15" t="str">
        <f>IF(AE191="","",IFERROR(INDEX($AT$11:$AT$4010,MATCH(181,$AZ$11:$AZ$4010,0)),""))</f>
        <v/>
      </c>
      <c r="AL191" s="17" t="str">
        <f t="shared" si="35"/>
        <v/>
      </c>
      <c r="AM191" s="12" t="str">
        <f t="shared" si="36"/>
        <v/>
      </c>
      <c r="AN191" s="18" t="str">
        <f t="shared" si="37"/>
        <v/>
      </c>
      <c r="AO191" s="18" t="str">
        <f t="shared" si="38"/>
        <v/>
      </c>
      <c r="AP191" s="10" t="str">
        <f t="shared" si="39"/>
        <v/>
      </c>
      <c r="AQ191" s="10" t="str">
        <f t="shared" si="40"/>
        <v/>
      </c>
      <c r="AR191" s="19" t="str">
        <f t="shared" si="41"/>
        <v/>
      </c>
      <c r="AS191" s="20"/>
      <c r="AT191" s="19"/>
      <c r="AV191" s="21">
        <f>IF(AND($AL191&lt;&gt;"",COUNTIF($AL$11:$AL191,$AL191)=1),1,0)</f>
        <v>0</v>
      </c>
      <c r="AW191" s="21">
        <f t="shared" si="43"/>
        <v>2</v>
      </c>
      <c r="AX191" s="21" t="str">
        <f t="shared" si="42"/>
        <v/>
      </c>
      <c r="AY191" s="21" t="str">
        <f>IF(AND($AM191&lt;&gt;"",$AS191&lt;&gt;"✓"),SUMPRODUCT(($AM$11:$AM191&lt;&gt;"")*($AS$11:$AS191&lt;&gt;"✓")),"")</f>
        <v/>
      </c>
      <c r="AZ191" s="21" t="str">
        <f>IF(AND($AM191&lt;&gt;"",$AS191="✓"),SUMPRODUCT(($AM$11:$AM191&lt;&gt;"")*($AS$11:$AS191="✓")),"")</f>
        <v/>
      </c>
      <c r="BA191" s="21" t="str">
        <f>IF($AL191="","",$AL191&amp;"|"&amp;COUNTIF($AL$11:$AL191,$AL191))</f>
        <v/>
      </c>
    </row>
    <row r="192" spans="2:53" ht="15" customHeight="1" x14ac:dyDescent="0.25">
      <c r="B192" s="5" t="str">
        <f t="shared" si="30"/>
        <v/>
      </c>
      <c r="C192" s="5"/>
      <c r="D192" s="5"/>
      <c r="E192" s="5"/>
      <c r="F192" s="6"/>
      <c r="G192" s="6"/>
      <c r="H192" s="7"/>
      <c r="I192" s="8"/>
      <c r="K192" s="23" t="str">
        <f>IFERROR(INDEX($AL$11:$AL$4010,MATCH(182,$AX$11:$AX$4010,0)),"")</f>
        <v/>
      </c>
      <c r="L192" s="24" t="str">
        <f t="shared" si="31"/>
        <v/>
      </c>
      <c r="M192" s="25" t="str">
        <f t="shared" si="32"/>
        <v/>
      </c>
      <c r="N192" s="25" t="str">
        <f t="shared" si="33"/>
        <v/>
      </c>
      <c r="P192" s="26" t="str">
        <f>IFERROR(INDEX($AM$11:$AM$4010,MATCH($S$8&amp;"|"&amp;182,$BA$11:$BA$4010,0)),"")</f>
        <v/>
      </c>
      <c r="Q192" s="25" t="str">
        <f>IF(P192="","",IFERROR(INDEX($AN$11:$AN$4010,MATCH($S$8&amp;"|"&amp;182,$BA$11:$BA$4010,0)),""))</f>
        <v/>
      </c>
      <c r="R192" s="25" t="str">
        <f>IF(P192="","",IFERROR(INDEX($AO$11:$AO$4010,MATCH($S$8&amp;"|"&amp;182,$BA$11:$BA$4010,0)),""))</f>
        <v/>
      </c>
      <c r="S192" s="24" t="str">
        <f>IF(P192="","",IFERROR(INDEX($AP$11:$AP$4010,MATCH($S$8&amp;"|"&amp;182,$BA$11:$BA$4010,0)),""))</f>
        <v/>
      </c>
      <c r="T192" s="24" t="str">
        <f>IF(P192="","",IFERROR(INDEX($AQ$11:$AQ$4010,MATCH($S$8&amp;"|"&amp;182,$BA$11:$BA$4010,0)),""))</f>
        <v/>
      </c>
      <c r="U192" s="38" t="str">
        <f t="shared" si="44"/>
        <v/>
      </c>
      <c r="W192" s="28" t="str">
        <f>IF(X192="","",IFERROR(INDEX($AL$11:$AL$4010,MATCH(182,$AY$11:$AY$4010,0)),""))</f>
        <v/>
      </c>
      <c r="X192" s="26" t="str">
        <f>IFERROR(INDEX($AM$11:$AM$4010,MATCH(182,$AY$11:$AY$4010,0)),"")</f>
        <v/>
      </c>
      <c r="Y192" s="25" t="str">
        <f>IF(X192="","",IFERROR(INDEX($AN$11:$AN$4010,MATCH(182,$AY$11:$AY$4010,0)),""))</f>
        <v/>
      </c>
      <c r="Z192" s="25" t="str">
        <f>IF(X192="","",IFERROR(INDEX($AO$11:$AO$4010,MATCH(182,$AY$11:$AY$4010,0)),""))</f>
        <v/>
      </c>
      <c r="AA192" s="24" t="str">
        <f>IF(X192="","",IFERROR(INDEX($AQ$11:$AQ$4010,MATCH(182,$AY$11:$AY$4010,0)),""))</f>
        <v/>
      </c>
      <c r="AB192" s="29" t="str">
        <f>IF(X192="","",IFERROR(INDEX($AR$11:$AR$4010,MATCH(182,$AY$11:$AY$4010,0)),""))</f>
        <v/>
      </c>
      <c r="AD192" s="30" t="str">
        <f>IF(AE192="","",IFERROR(INDEX($AL$11:$AL$4010,MATCH(182,$AZ$11:$AZ$4010,0)),""))</f>
        <v/>
      </c>
      <c r="AE192" s="26" t="str">
        <f>IFERROR(INDEX($AM$11:$AM$4010,MATCH(182,$AZ$11:$AZ$4010,0)),"")</f>
        <v/>
      </c>
      <c r="AF192" s="25" t="str">
        <f>IF(AE192="","",IFERROR(INDEX($AN$11:$AN$4010,MATCH(182,$AZ$11:$AZ$4010,0)),""))</f>
        <v/>
      </c>
      <c r="AG192" s="25" t="str">
        <f>IF(AE192="","",IFERROR(INDEX($AO$11:$AO$4010,MATCH(182,$AZ$11:$AZ$4010,0)),""))</f>
        <v/>
      </c>
      <c r="AH192" s="24" t="str">
        <f>IF(AE192="","",IFERROR(INDEX($AQ$11:$AQ$4010,MATCH(182,$AZ$11:$AZ$4010,0)),""))</f>
        <v/>
      </c>
      <c r="AI192" s="29" t="str">
        <f>IF(AE192="","",IFERROR(INDEX($AR$11:$AR$4010,MATCH(182,$AZ$11:$AZ$4010,0)),""))</f>
        <v/>
      </c>
      <c r="AJ192" s="29" t="str">
        <f>IF(AE192="","",IFERROR(INDEX($AT$11:$AT$4010,MATCH(182,$AZ$11:$AZ$4010,0)),""))</f>
        <v/>
      </c>
      <c r="AL192" s="31" t="str">
        <f t="shared" si="35"/>
        <v/>
      </c>
      <c r="AM192" s="26" t="str">
        <f t="shared" si="36"/>
        <v/>
      </c>
      <c r="AN192" s="32" t="str">
        <f t="shared" si="37"/>
        <v/>
      </c>
      <c r="AO192" s="32" t="str">
        <f t="shared" si="38"/>
        <v/>
      </c>
      <c r="AP192" s="24" t="str">
        <f t="shared" si="39"/>
        <v/>
      </c>
      <c r="AQ192" s="24" t="str">
        <f t="shared" si="40"/>
        <v/>
      </c>
      <c r="AR192" s="33" t="str">
        <f t="shared" si="41"/>
        <v/>
      </c>
      <c r="AS192" s="34"/>
      <c r="AT192" s="33"/>
      <c r="AV192" s="21">
        <f>IF(AND($AL192&lt;&gt;"",COUNTIF($AL$11:$AL192,$AL192)=1),1,0)</f>
        <v>0</v>
      </c>
      <c r="AW192" s="21">
        <f t="shared" si="43"/>
        <v>2</v>
      </c>
      <c r="AX192" s="21" t="str">
        <f t="shared" si="42"/>
        <v/>
      </c>
      <c r="AY192" s="21" t="str">
        <f>IF(AND($AM192&lt;&gt;"",$AS192&lt;&gt;"✓"),SUMPRODUCT(($AM$11:$AM192&lt;&gt;"")*($AS$11:$AS192&lt;&gt;"✓")),"")</f>
        <v/>
      </c>
      <c r="AZ192" s="21" t="str">
        <f>IF(AND($AM192&lt;&gt;"",$AS192="✓"),SUMPRODUCT(($AM$11:$AM192&lt;&gt;"")*($AS$11:$AS192="✓")),"")</f>
        <v/>
      </c>
      <c r="BA192" s="21" t="str">
        <f>IF($AL192="","",$AL192&amp;"|"&amp;COUNTIF($AL$11:$AL192,$AL192))</f>
        <v/>
      </c>
    </row>
    <row r="193" spans="2:53" ht="15" customHeight="1" x14ac:dyDescent="0.25">
      <c r="B193" s="5" t="str">
        <f t="shared" si="30"/>
        <v/>
      </c>
      <c r="C193" s="5"/>
      <c r="D193" s="5"/>
      <c r="E193" s="5"/>
      <c r="F193" s="6"/>
      <c r="G193" s="6"/>
      <c r="H193" s="7"/>
      <c r="I193" s="8"/>
      <c r="K193" s="9" t="str">
        <f>IFERROR(INDEX($AL$11:$AL$4010,MATCH(183,$AX$11:$AX$4010,0)),"")</f>
        <v/>
      </c>
      <c r="L193" s="10" t="str">
        <f t="shared" si="31"/>
        <v/>
      </c>
      <c r="M193" s="11" t="str">
        <f t="shared" si="32"/>
        <v/>
      </c>
      <c r="N193" s="11" t="str">
        <f t="shared" si="33"/>
        <v/>
      </c>
      <c r="P193" s="12" t="str">
        <f>IFERROR(INDEX($AM$11:$AM$4010,MATCH($S$8&amp;"|"&amp;183,$BA$11:$BA$4010,0)),"")</f>
        <v/>
      </c>
      <c r="Q193" s="11" t="str">
        <f>IF(P193="","",IFERROR(INDEX($AN$11:$AN$4010,MATCH($S$8&amp;"|"&amp;183,$BA$11:$BA$4010,0)),""))</f>
        <v/>
      </c>
      <c r="R193" s="11" t="str">
        <f>IF(P193="","",IFERROR(INDEX($AO$11:$AO$4010,MATCH($S$8&amp;"|"&amp;183,$BA$11:$BA$4010,0)),""))</f>
        <v/>
      </c>
      <c r="S193" s="10" t="str">
        <f>IF(P193="","",IFERROR(INDEX($AP$11:$AP$4010,MATCH($S$8&amp;"|"&amp;183,$BA$11:$BA$4010,0)),""))</f>
        <v/>
      </c>
      <c r="T193" s="10" t="str">
        <f>IF(P193="","",IFERROR(INDEX($AQ$11:$AQ$4010,MATCH($S$8&amp;"|"&amp;183,$BA$11:$BA$4010,0)),""))</f>
        <v/>
      </c>
      <c r="U193" s="39" t="str">
        <f t="shared" si="44"/>
        <v/>
      </c>
      <c r="W193" s="14" t="str">
        <f>IF(X193="","",IFERROR(INDEX($AL$11:$AL$4010,MATCH(183,$AY$11:$AY$4010,0)),""))</f>
        <v/>
      </c>
      <c r="X193" s="12" t="str">
        <f>IFERROR(INDEX($AM$11:$AM$4010,MATCH(183,$AY$11:$AY$4010,0)),"")</f>
        <v/>
      </c>
      <c r="Y193" s="11" t="str">
        <f>IF(X193="","",IFERROR(INDEX($AN$11:$AN$4010,MATCH(183,$AY$11:$AY$4010,0)),""))</f>
        <v/>
      </c>
      <c r="Z193" s="11" t="str">
        <f>IF(X193="","",IFERROR(INDEX($AO$11:$AO$4010,MATCH(183,$AY$11:$AY$4010,0)),""))</f>
        <v/>
      </c>
      <c r="AA193" s="10" t="str">
        <f>IF(X193="","",IFERROR(INDEX($AQ$11:$AQ$4010,MATCH(183,$AY$11:$AY$4010,0)),""))</f>
        <v/>
      </c>
      <c r="AB193" s="15" t="str">
        <f>IF(X193="","",IFERROR(INDEX($AR$11:$AR$4010,MATCH(183,$AY$11:$AY$4010,0)),""))</f>
        <v/>
      </c>
      <c r="AD193" s="16" t="str">
        <f>IF(AE193="","",IFERROR(INDEX($AL$11:$AL$4010,MATCH(183,$AZ$11:$AZ$4010,0)),""))</f>
        <v/>
      </c>
      <c r="AE193" s="12" t="str">
        <f>IFERROR(INDEX($AM$11:$AM$4010,MATCH(183,$AZ$11:$AZ$4010,0)),"")</f>
        <v/>
      </c>
      <c r="AF193" s="11" t="str">
        <f>IF(AE193="","",IFERROR(INDEX($AN$11:$AN$4010,MATCH(183,$AZ$11:$AZ$4010,0)),""))</f>
        <v/>
      </c>
      <c r="AG193" s="11" t="str">
        <f>IF(AE193="","",IFERROR(INDEX($AO$11:$AO$4010,MATCH(183,$AZ$11:$AZ$4010,0)),""))</f>
        <v/>
      </c>
      <c r="AH193" s="10" t="str">
        <f>IF(AE193="","",IFERROR(INDEX($AQ$11:$AQ$4010,MATCH(183,$AZ$11:$AZ$4010,0)),""))</f>
        <v/>
      </c>
      <c r="AI193" s="15" t="str">
        <f>IF(AE193="","",IFERROR(INDEX($AR$11:$AR$4010,MATCH(183,$AZ$11:$AZ$4010,0)),""))</f>
        <v/>
      </c>
      <c r="AJ193" s="15" t="str">
        <f>IF(AE193="","",IFERROR(INDEX($AT$11:$AT$4010,MATCH(183,$AZ$11:$AZ$4010,0)),""))</f>
        <v/>
      </c>
      <c r="AL193" s="17" t="str">
        <f t="shared" si="35"/>
        <v/>
      </c>
      <c r="AM193" s="12" t="str">
        <f t="shared" si="36"/>
        <v/>
      </c>
      <c r="AN193" s="18" t="str">
        <f t="shared" si="37"/>
        <v/>
      </c>
      <c r="AO193" s="18" t="str">
        <f t="shared" si="38"/>
        <v/>
      </c>
      <c r="AP193" s="10" t="str">
        <f t="shared" si="39"/>
        <v/>
      </c>
      <c r="AQ193" s="10" t="str">
        <f t="shared" si="40"/>
        <v/>
      </c>
      <c r="AR193" s="19" t="str">
        <f t="shared" si="41"/>
        <v/>
      </c>
      <c r="AS193" s="20"/>
      <c r="AT193" s="19"/>
      <c r="AV193" s="21">
        <f>IF(AND($AL193&lt;&gt;"",COUNTIF($AL$11:$AL193,$AL193)=1),1,0)</f>
        <v>0</v>
      </c>
      <c r="AW193" s="21">
        <f t="shared" si="43"/>
        <v>2</v>
      </c>
      <c r="AX193" s="21" t="str">
        <f t="shared" si="42"/>
        <v/>
      </c>
      <c r="AY193" s="21" t="str">
        <f>IF(AND($AM193&lt;&gt;"",$AS193&lt;&gt;"✓"),SUMPRODUCT(($AM$11:$AM193&lt;&gt;"")*($AS$11:$AS193&lt;&gt;"✓")),"")</f>
        <v/>
      </c>
      <c r="AZ193" s="21" t="str">
        <f>IF(AND($AM193&lt;&gt;"",$AS193="✓"),SUMPRODUCT(($AM$11:$AM193&lt;&gt;"")*($AS$11:$AS193="✓")),"")</f>
        <v/>
      </c>
      <c r="BA193" s="21" t="str">
        <f>IF($AL193="","",$AL193&amp;"|"&amp;COUNTIF($AL$11:$AL193,$AL193))</f>
        <v/>
      </c>
    </row>
    <row r="194" spans="2:53" ht="15" customHeight="1" x14ac:dyDescent="0.25">
      <c r="B194" s="5" t="str">
        <f t="shared" si="30"/>
        <v/>
      </c>
      <c r="C194" s="5"/>
      <c r="D194" s="5"/>
      <c r="E194" s="5"/>
      <c r="F194" s="6"/>
      <c r="G194" s="6"/>
      <c r="H194" s="7"/>
      <c r="I194" s="8"/>
      <c r="K194" s="23" t="str">
        <f>IFERROR(INDEX($AL$11:$AL$4010,MATCH(184,$AX$11:$AX$4010,0)),"")</f>
        <v/>
      </c>
      <c r="L194" s="24" t="str">
        <f t="shared" si="31"/>
        <v/>
      </c>
      <c r="M194" s="25" t="str">
        <f t="shared" si="32"/>
        <v/>
      </c>
      <c r="N194" s="25" t="str">
        <f t="shared" si="33"/>
        <v/>
      </c>
      <c r="P194" s="26" t="str">
        <f>IFERROR(INDEX($AM$11:$AM$4010,MATCH($S$8&amp;"|"&amp;184,$BA$11:$BA$4010,0)),"")</f>
        <v/>
      </c>
      <c r="Q194" s="25" t="str">
        <f>IF(P194="","",IFERROR(INDEX($AN$11:$AN$4010,MATCH($S$8&amp;"|"&amp;184,$BA$11:$BA$4010,0)),""))</f>
        <v/>
      </c>
      <c r="R194" s="25" t="str">
        <f>IF(P194="","",IFERROR(INDEX($AO$11:$AO$4010,MATCH($S$8&amp;"|"&amp;184,$BA$11:$BA$4010,0)),""))</f>
        <v/>
      </c>
      <c r="S194" s="24" t="str">
        <f>IF(P194="","",IFERROR(INDEX($AP$11:$AP$4010,MATCH($S$8&amp;"|"&amp;184,$BA$11:$BA$4010,0)),""))</f>
        <v/>
      </c>
      <c r="T194" s="24" t="str">
        <f>IF(P194="","",IFERROR(INDEX($AQ$11:$AQ$4010,MATCH($S$8&amp;"|"&amp;184,$BA$11:$BA$4010,0)),""))</f>
        <v/>
      </c>
      <c r="U194" s="38" t="str">
        <f t="shared" si="44"/>
        <v/>
      </c>
      <c r="W194" s="28" t="str">
        <f>IF(X194="","",IFERROR(INDEX($AL$11:$AL$4010,MATCH(184,$AY$11:$AY$4010,0)),""))</f>
        <v/>
      </c>
      <c r="X194" s="26" t="str">
        <f>IFERROR(INDEX($AM$11:$AM$4010,MATCH(184,$AY$11:$AY$4010,0)),"")</f>
        <v/>
      </c>
      <c r="Y194" s="25" t="str">
        <f>IF(X194="","",IFERROR(INDEX($AN$11:$AN$4010,MATCH(184,$AY$11:$AY$4010,0)),""))</f>
        <v/>
      </c>
      <c r="Z194" s="25" t="str">
        <f>IF(X194="","",IFERROR(INDEX($AO$11:$AO$4010,MATCH(184,$AY$11:$AY$4010,0)),""))</f>
        <v/>
      </c>
      <c r="AA194" s="24" t="str">
        <f>IF(X194="","",IFERROR(INDEX($AQ$11:$AQ$4010,MATCH(184,$AY$11:$AY$4010,0)),""))</f>
        <v/>
      </c>
      <c r="AB194" s="29" t="str">
        <f>IF(X194="","",IFERROR(INDEX($AR$11:$AR$4010,MATCH(184,$AY$11:$AY$4010,0)),""))</f>
        <v/>
      </c>
      <c r="AD194" s="30" t="str">
        <f>IF(AE194="","",IFERROR(INDEX($AL$11:$AL$4010,MATCH(184,$AZ$11:$AZ$4010,0)),""))</f>
        <v/>
      </c>
      <c r="AE194" s="26" t="str">
        <f>IFERROR(INDEX($AM$11:$AM$4010,MATCH(184,$AZ$11:$AZ$4010,0)),"")</f>
        <v/>
      </c>
      <c r="AF194" s="25" t="str">
        <f>IF(AE194="","",IFERROR(INDEX($AN$11:$AN$4010,MATCH(184,$AZ$11:$AZ$4010,0)),""))</f>
        <v/>
      </c>
      <c r="AG194" s="25" t="str">
        <f>IF(AE194="","",IFERROR(INDEX($AO$11:$AO$4010,MATCH(184,$AZ$11:$AZ$4010,0)),""))</f>
        <v/>
      </c>
      <c r="AH194" s="24" t="str">
        <f>IF(AE194="","",IFERROR(INDEX($AQ$11:$AQ$4010,MATCH(184,$AZ$11:$AZ$4010,0)),""))</f>
        <v/>
      </c>
      <c r="AI194" s="29" t="str">
        <f>IF(AE194="","",IFERROR(INDEX($AR$11:$AR$4010,MATCH(184,$AZ$11:$AZ$4010,0)),""))</f>
        <v/>
      </c>
      <c r="AJ194" s="29" t="str">
        <f>IF(AE194="","",IFERROR(INDEX($AT$11:$AT$4010,MATCH(184,$AZ$11:$AZ$4010,0)),""))</f>
        <v/>
      </c>
      <c r="AL194" s="31" t="str">
        <f t="shared" si="35"/>
        <v/>
      </c>
      <c r="AM194" s="26" t="str">
        <f t="shared" si="36"/>
        <v/>
      </c>
      <c r="AN194" s="32" t="str">
        <f t="shared" si="37"/>
        <v/>
      </c>
      <c r="AO194" s="32" t="str">
        <f t="shared" si="38"/>
        <v/>
      </c>
      <c r="AP194" s="24" t="str">
        <f t="shared" si="39"/>
        <v/>
      </c>
      <c r="AQ194" s="24" t="str">
        <f t="shared" si="40"/>
        <v/>
      </c>
      <c r="AR194" s="33" t="str">
        <f t="shared" si="41"/>
        <v/>
      </c>
      <c r="AS194" s="34"/>
      <c r="AT194" s="33"/>
      <c r="AV194" s="21">
        <f>IF(AND($AL194&lt;&gt;"",COUNTIF($AL$11:$AL194,$AL194)=1),1,0)</f>
        <v>0</v>
      </c>
      <c r="AW194" s="21">
        <f t="shared" si="43"/>
        <v>2</v>
      </c>
      <c r="AX194" s="21" t="str">
        <f t="shared" si="42"/>
        <v/>
      </c>
      <c r="AY194" s="21" t="str">
        <f>IF(AND($AM194&lt;&gt;"",$AS194&lt;&gt;"✓"),SUMPRODUCT(($AM$11:$AM194&lt;&gt;"")*($AS$11:$AS194&lt;&gt;"✓")),"")</f>
        <v/>
      </c>
      <c r="AZ194" s="21" t="str">
        <f>IF(AND($AM194&lt;&gt;"",$AS194="✓"),SUMPRODUCT(($AM$11:$AM194&lt;&gt;"")*($AS$11:$AS194="✓")),"")</f>
        <v/>
      </c>
      <c r="BA194" s="21" t="str">
        <f>IF($AL194="","",$AL194&amp;"|"&amp;COUNTIF($AL$11:$AL194,$AL194))</f>
        <v/>
      </c>
    </row>
    <row r="195" spans="2:53" ht="15" customHeight="1" x14ac:dyDescent="0.25">
      <c r="B195" s="5" t="str">
        <f t="shared" si="30"/>
        <v/>
      </c>
      <c r="C195" s="5"/>
      <c r="D195" s="5"/>
      <c r="E195" s="5"/>
      <c r="F195" s="6"/>
      <c r="G195" s="6"/>
      <c r="H195" s="7"/>
      <c r="I195" s="8"/>
      <c r="K195" s="9" t="str">
        <f>IFERROR(INDEX($AL$11:$AL$4010,MATCH(185,$AX$11:$AX$4010,0)),"")</f>
        <v/>
      </c>
      <c r="L195" s="10" t="str">
        <f t="shared" si="31"/>
        <v/>
      </c>
      <c r="M195" s="11" t="str">
        <f t="shared" si="32"/>
        <v/>
      </c>
      <c r="N195" s="11" t="str">
        <f t="shared" si="33"/>
        <v/>
      </c>
      <c r="P195" s="12" t="str">
        <f>IFERROR(INDEX($AM$11:$AM$4010,MATCH($S$8&amp;"|"&amp;185,$BA$11:$BA$4010,0)),"")</f>
        <v/>
      </c>
      <c r="Q195" s="11" t="str">
        <f>IF(P195="","",IFERROR(INDEX($AN$11:$AN$4010,MATCH($S$8&amp;"|"&amp;185,$BA$11:$BA$4010,0)),""))</f>
        <v/>
      </c>
      <c r="R195" s="11" t="str">
        <f>IF(P195="","",IFERROR(INDEX($AO$11:$AO$4010,MATCH($S$8&amp;"|"&amp;185,$BA$11:$BA$4010,0)),""))</f>
        <v/>
      </c>
      <c r="S195" s="10" t="str">
        <f>IF(P195="","",IFERROR(INDEX($AP$11:$AP$4010,MATCH($S$8&amp;"|"&amp;185,$BA$11:$BA$4010,0)),""))</f>
        <v/>
      </c>
      <c r="T195" s="10" t="str">
        <f>IF(P195="","",IFERROR(INDEX($AQ$11:$AQ$4010,MATCH($S$8&amp;"|"&amp;185,$BA$11:$BA$4010,0)),""))</f>
        <v/>
      </c>
      <c r="U195" s="39" t="str">
        <f t="shared" si="44"/>
        <v/>
      </c>
      <c r="W195" s="14" t="str">
        <f>IF(X195="","",IFERROR(INDEX($AL$11:$AL$4010,MATCH(185,$AY$11:$AY$4010,0)),""))</f>
        <v/>
      </c>
      <c r="X195" s="12" t="str">
        <f>IFERROR(INDEX($AM$11:$AM$4010,MATCH(185,$AY$11:$AY$4010,0)),"")</f>
        <v/>
      </c>
      <c r="Y195" s="11" t="str">
        <f>IF(X195="","",IFERROR(INDEX($AN$11:$AN$4010,MATCH(185,$AY$11:$AY$4010,0)),""))</f>
        <v/>
      </c>
      <c r="Z195" s="11" t="str">
        <f>IF(X195="","",IFERROR(INDEX($AO$11:$AO$4010,MATCH(185,$AY$11:$AY$4010,0)),""))</f>
        <v/>
      </c>
      <c r="AA195" s="10" t="str">
        <f>IF(X195="","",IFERROR(INDEX($AQ$11:$AQ$4010,MATCH(185,$AY$11:$AY$4010,0)),""))</f>
        <v/>
      </c>
      <c r="AB195" s="15" t="str">
        <f>IF(X195="","",IFERROR(INDEX($AR$11:$AR$4010,MATCH(185,$AY$11:$AY$4010,0)),""))</f>
        <v/>
      </c>
      <c r="AD195" s="16" t="str">
        <f>IF(AE195="","",IFERROR(INDEX($AL$11:$AL$4010,MATCH(185,$AZ$11:$AZ$4010,0)),""))</f>
        <v/>
      </c>
      <c r="AE195" s="12" t="str">
        <f>IFERROR(INDEX($AM$11:$AM$4010,MATCH(185,$AZ$11:$AZ$4010,0)),"")</f>
        <v/>
      </c>
      <c r="AF195" s="11" t="str">
        <f>IF(AE195="","",IFERROR(INDEX($AN$11:$AN$4010,MATCH(185,$AZ$11:$AZ$4010,0)),""))</f>
        <v/>
      </c>
      <c r="AG195" s="11" t="str">
        <f>IF(AE195="","",IFERROR(INDEX($AO$11:$AO$4010,MATCH(185,$AZ$11:$AZ$4010,0)),""))</f>
        <v/>
      </c>
      <c r="AH195" s="10" t="str">
        <f>IF(AE195="","",IFERROR(INDEX($AQ$11:$AQ$4010,MATCH(185,$AZ$11:$AZ$4010,0)),""))</f>
        <v/>
      </c>
      <c r="AI195" s="15" t="str">
        <f>IF(AE195="","",IFERROR(INDEX($AR$11:$AR$4010,MATCH(185,$AZ$11:$AZ$4010,0)),""))</f>
        <v/>
      </c>
      <c r="AJ195" s="15" t="str">
        <f>IF(AE195="","",IFERROR(INDEX($AT$11:$AT$4010,MATCH(185,$AZ$11:$AZ$4010,0)),""))</f>
        <v/>
      </c>
      <c r="AL195" s="17" t="str">
        <f t="shared" si="35"/>
        <v/>
      </c>
      <c r="AM195" s="12" t="str">
        <f t="shared" si="36"/>
        <v/>
      </c>
      <c r="AN195" s="18" t="str">
        <f t="shared" si="37"/>
        <v/>
      </c>
      <c r="AO195" s="18" t="str">
        <f t="shared" si="38"/>
        <v/>
      </c>
      <c r="AP195" s="10" t="str">
        <f t="shared" si="39"/>
        <v/>
      </c>
      <c r="AQ195" s="10" t="str">
        <f t="shared" si="40"/>
        <v/>
      </c>
      <c r="AR195" s="19" t="str">
        <f t="shared" si="41"/>
        <v/>
      </c>
      <c r="AS195" s="20"/>
      <c r="AT195" s="19"/>
      <c r="AV195" s="21">
        <f>IF(AND($AL195&lt;&gt;"",COUNTIF($AL$11:$AL195,$AL195)=1),1,0)</f>
        <v>0</v>
      </c>
      <c r="AW195" s="21">
        <f t="shared" si="43"/>
        <v>2</v>
      </c>
      <c r="AX195" s="21" t="str">
        <f t="shared" si="42"/>
        <v/>
      </c>
      <c r="AY195" s="21" t="str">
        <f>IF(AND($AM195&lt;&gt;"",$AS195&lt;&gt;"✓"),SUMPRODUCT(($AM$11:$AM195&lt;&gt;"")*($AS$11:$AS195&lt;&gt;"✓")),"")</f>
        <v/>
      </c>
      <c r="AZ195" s="21" t="str">
        <f>IF(AND($AM195&lt;&gt;"",$AS195="✓"),SUMPRODUCT(($AM$11:$AM195&lt;&gt;"")*($AS$11:$AS195="✓")),"")</f>
        <v/>
      </c>
      <c r="BA195" s="21" t="str">
        <f>IF($AL195="","",$AL195&amp;"|"&amp;COUNTIF($AL$11:$AL195,$AL195))</f>
        <v/>
      </c>
    </row>
    <row r="196" spans="2:53" ht="15" customHeight="1" x14ac:dyDescent="0.25">
      <c r="B196" s="5" t="str">
        <f t="shared" si="30"/>
        <v/>
      </c>
      <c r="C196" s="5"/>
      <c r="D196" s="5"/>
      <c r="E196" s="5"/>
      <c r="F196" s="6"/>
      <c r="G196" s="6"/>
      <c r="H196" s="7"/>
      <c r="I196" s="8"/>
      <c r="K196" s="23" t="str">
        <f>IFERROR(INDEX($AL$11:$AL$4010,MATCH(186,$AX$11:$AX$4010,0)),"")</f>
        <v/>
      </c>
      <c r="L196" s="24" t="str">
        <f t="shared" si="31"/>
        <v/>
      </c>
      <c r="M196" s="25" t="str">
        <f t="shared" si="32"/>
        <v/>
      </c>
      <c r="N196" s="25" t="str">
        <f t="shared" si="33"/>
        <v/>
      </c>
      <c r="P196" s="26" t="str">
        <f>IFERROR(INDEX($AM$11:$AM$4010,MATCH($S$8&amp;"|"&amp;186,$BA$11:$BA$4010,0)),"")</f>
        <v/>
      </c>
      <c r="Q196" s="25" t="str">
        <f>IF(P196="","",IFERROR(INDEX($AN$11:$AN$4010,MATCH($S$8&amp;"|"&amp;186,$BA$11:$BA$4010,0)),""))</f>
        <v/>
      </c>
      <c r="R196" s="25" t="str">
        <f>IF(P196="","",IFERROR(INDEX($AO$11:$AO$4010,MATCH($S$8&amp;"|"&amp;186,$BA$11:$BA$4010,0)),""))</f>
        <v/>
      </c>
      <c r="S196" s="24" t="str">
        <f>IF(P196="","",IFERROR(INDEX($AP$11:$AP$4010,MATCH($S$8&amp;"|"&amp;186,$BA$11:$BA$4010,0)),""))</f>
        <v/>
      </c>
      <c r="T196" s="24" t="str">
        <f>IF(P196="","",IFERROR(INDEX($AQ$11:$AQ$4010,MATCH($S$8&amp;"|"&amp;186,$BA$11:$BA$4010,0)),""))</f>
        <v/>
      </c>
      <c r="U196" s="38" t="str">
        <f t="shared" si="44"/>
        <v/>
      </c>
      <c r="W196" s="28" t="str">
        <f>IF(X196="","",IFERROR(INDEX($AL$11:$AL$4010,MATCH(186,$AY$11:$AY$4010,0)),""))</f>
        <v/>
      </c>
      <c r="X196" s="26" t="str">
        <f>IFERROR(INDEX($AM$11:$AM$4010,MATCH(186,$AY$11:$AY$4010,0)),"")</f>
        <v/>
      </c>
      <c r="Y196" s="25" t="str">
        <f>IF(X196="","",IFERROR(INDEX($AN$11:$AN$4010,MATCH(186,$AY$11:$AY$4010,0)),""))</f>
        <v/>
      </c>
      <c r="Z196" s="25" t="str">
        <f>IF(X196="","",IFERROR(INDEX($AO$11:$AO$4010,MATCH(186,$AY$11:$AY$4010,0)),""))</f>
        <v/>
      </c>
      <c r="AA196" s="24" t="str">
        <f>IF(X196="","",IFERROR(INDEX($AQ$11:$AQ$4010,MATCH(186,$AY$11:$AY$4010,0)),""))</f>
        <v/>
      </c>
      <c r="AB196" s="29" t="str">
        <f>IF(X196="","",IFERROR(INDEX($AR$11:$AR$4010,MATCH(186,$AY$11:$AY$4010,0)),""))</f>
        <v/>
      </c>
      <c r="AD196" s="30" t="str">
        <f>IF(AE196="","",IFERROR(INDEX($AL$11:$AL$4010,MATCH(186,$AZ$11:$AZ$4010,0)),""))</f>
        <v/>
      </c>
      <c r="AE196" s="26" t="str">
        <f>IFERROR(INDEX($AM$11:$AM$4010,MATCH(186,$AZ$11:$AZ$4010,0)),"")</f>
        <v/>
      </c>
      <c r="AF196" s="25" t="str">
        <f>IF(AE196="","",IFERROR(INDEX($AN$11:$AN$4010,MATCH(186,$AZ$11:$AZ$4010,0)),""))</f>
        <v/>
      </c>
      <c r="AG196" s="25" t="str">
        <f>IF(AE196="","",IFERROR(INDEX($AO$11:$AO$4010,MATCH(186,$AZ$11:$AZ$4010,0)),""))</f>
        <v/>
      </c>
      <c r="AH196" s="24" t="str">
        <f>IF(AE196="","",IFERROR(INDEX($AQ$11:$AQ$4010,MATCH(186,$AZ$11:$AZ$4010,0)),""))</f>
        <v/>
      </c>
      <c r="AI196" s="29" t="str">
        <f>IF(AE196="","",IFERROR(INDEX($AR$11:$AR$4010,MATCH(186,$AZ$11:$AZ$4010,0)),""))</f>
        <v/>
      </c>
      <c r="AJ196" s="29" t="str">
        <f>IF(AE196="","",IFERROR(INDEX($AT$11:$AT$4010,MATCH(186,$AZ$11:$AZ$4010,0)),""))</f>
        <v/>
      </c>
      <c r="AL196" s="31" t="str">
        <f t="shared" si="35"/>
        <v/>
      </c>
      <c r="AM196" s="26" t="str">
        <f t="shared" si="36"/>
        <v/>
      </c>
      <c r="AN196" s="32" t="str">
        <f t="shared" si="37"/>
        <v/>
      </c>
      <c r="AO196" s="32" t="str">
        <f t="shared" si="38"/>
        <v/>
      </c>
      <c r="AP196" s="24" t="str">
        <f t="shared" si="39"/>
        <v/>
      </c>
      <c r="AQ196" s="24" t="str">
        <f t="shared" si="40"/>
        <v/>
      </c>
      <c r="AR196" s="33" t="str">
        <f t="shared" si="41"/>
        <v/>
      </c>
      <c r="AS196" s="34"/>
      <c r="AT196" s="33"/>
      <c r="AV196" s="21">
        <f>IF(AND($AL196&lt;&gt;"",COUNTIF($AL$11:$AL196,$AL196)=1),1,0)</f>
        <v>0</v>
      </c>
      <c r="AW196" s="21">
        <f t="shared" si="43"/>
        <v>2</v>
      </c>
      <c r="AX196" s="21" t="str">
        <f t="shared" si="42"/>
        <v/>
      </c>
      <c r="AY196" s="21" t="str">
        <f>IF(AND($AM196&lt;&gt;"",$AS196&lt;&gt;"✓"),SUMPRODUCT(($AM$11:$AM196&lt;&gt;"")*($AS$11:$AS196&lt;&gt;"✓")),"")</f>
        <v/>
      </c>
      <c r="AZ196" s="21" t="str">
        <f>IF(AND($AM196&lt;&gt;"",$AS196="✓"),SUMPRODUCT(($AM$11:$AM196&lt;&gt;"")*($AS$11:$AS196="✓")),"")</f>
        <v/>
      </c>
      <c r="BA196" s="21" t="str">
        <f>IF($AL196="","",$AL196&amp;"|"&amp;COUNTIF($AL$11:$AL196,$AL196))</f>
        <v/>
      </c>
    </row>
    <row r="197" spans="2:53" ht="15" customHeight="1" x14ac:dyDescent="0.25">
      <c r="B197" s="5" t="str">
        <f t="shared" si="30"/>
        <v/>
      </c>
      <c r="C197" s="5"/>
      <c r="D197" s="5"/>
      <c r="E197" s="5"/>
      <c r="F197" s="6"/>
      <c r="G197" s="6"/>
      <c r="H197" s="7"/>
      <c r="I197" s="8"/>
      <c r="K197" s="9" t="str">
        <f>IFERROR(INDEX($AL$11:$AL$4010,MATCH(187,$AX$11:$AX$4010,0)),"")</f>
        <v/>
      </c>
      <c r="L197" s="10" t="str">
        <f t="shared" si="31"/>
        <v/>
      </c>
      <c r="M197" s="11" t="str">
        <f t="shared" si="32"/>
        <v/>
      </c>
      <c r="N197" s="11" t="str">
        <f t="shared" si="33"/>
        <v/>
      </c>
      <c r="P197" s="12" t="str">
        <f>IFERROR(INDEX($AM$11:$AM$4010,MATCH($S$8&amp;"|"&amp;187,$BA$11:$BA$4010,0)),"")</f>
        <v/>
      </c>
      <c r="Q197" s="11" t="str">
        <f>IF(P197="","",IFERROR(INDEX($AN$11:$AN$4010,MATCH($S$8&amp;"|"&amp;187,$BA$11:$BA$4010,0)),""))</f>
        <v/>
      </c>
      <c r="R197" s="11" t="str">
        <f>IF(P197="","",IFERROR(INDEX($AO$11:$AO$4010,MATCH($S$8&amp;"|"&amp;187,$BA$11:$BA$4010,0)),""))</f>
        <v/>
      </c>
      <c r="S197" s="10" t="str">
        <f>IF(P197="","",IFERROR(INDEX($AP$11:$AP$4010,MATCH($S$8&amp;"|"&amp;187,$BA$11:$BA$4010,0)),""))</f>
        <v/>
      </c>
      <c r="T197" s="10" t="str">
        <f>IF(P197="","",IFERROR(INDEX($AQ$11:$AQ$4010,MATCH($S$8&amp;"|"&amp;187,$BA$11:$BA$4010,0)),""))</f>
        <v/>
      </c>
      <c r="U197" s="39" t="str">
        <f t="shared" si="44"/>
        <v/>
      </c>
      <c r="W197" s="14" t="str">
        <f>IF(X197="","",IFERROR(INDEX($AL$11:$AL$4010,MATCH(187,$AY$11:$AY$4010,0)),""))</f>
        <v/>
      </c>
      <c r="X197" s="12" t="str">
        <f>IFERROR(INDEX($AM$11:$AM$4010,MATCH(187,$AY$11:$AY$4010,0)),"")</f>
        <v/>
      </c>
      <c r="Y197" s="11" t="str">
        <f>IF(X197="","",IFERROR(INDEX($AN$11:$AN$4010,MATCH(187,$AY$11:$AY$4010,0)),""))</f>
        <v/>
      </c>
      <c r="Z197" s="11" t="str">
        <f>IF(X197="","",IFERROR(INDEX($AO$11:$AO$4010,MATCH(187,$AY$11:$AY$4010,0)),""))</f>
        <v/>
      </c>
      <c r="AA197" s="10" t="str">
        <f>IF(X197="","",IFERROR(INDEX($AQ$11:$AQ$4010,MATCH(187,$AY$11:$AY$4010,0)),""))</f>
        <v/>
      </c>
      <c r="AB197" s="15" t="str">
        <f>IF(X197="","",IFERROR(INDEX($AR$11:$AR$4010,MATCH(187,$AY$11:$AY$4010,0)),""))</f>
        <v/>
      </c>
      <c r="AD197" s="16" t="str">
        <f>IF(AE197="","",IFERROR(INDEX($AL$11:$AL$4010,MATCH(187,$AZ$11:$AZ$4010,0)),""))</f>
        <v/>
      </c>
      <c r="AE197" s="12" t="str">
        <f>IFERROR(INDEX($AM$11:$AM$4010,MATCH(187,$AZ$11:$AZ$4010,0)),"")</f>
        <v/>
      </c>
      <c r="AF197" s="11" t="str">
        <f>IF(AE197="","",IFERROR(INDEX($AN$11:$AN$4010,MATCH(187,$AZ$11:$AZ$4010,0)),""))</f>
        <v/>
      </c>
      <c r="AG197" s="11" t="str">
        <f>IF(AE197="","",IFERROR(INDEX($AO$11:$AO$4010,MATCH(187,$AZ$11:$AZ$4010,0)),""))</f>
        <v/>
      </c>
      <c r="AH197" s="10" t="str">
        <f>IF(AE197="","",IFERROR(INDEX($AQ$11:$AQ$4010,MATCH(187,$AZ$11:$AZ$4010,0)),""))</f>
        <v/>
      </c>
      <c r="AI197" s="15" t="str">
        <f>IF(AE197="","",IFERROR(INDEX($AR$11:$AR$4010,MATCH(187,$AZ$11:$AZ$4010,0)),""))</f>
        <v/>
      </c>
      <c r="AJ197" s="15" t="str">
        <f>IF(AE197="","",IFERROR(INDEX($AT$11:$AT$4010,MATCH(187,$AZ$11:$AZ$4010,0)),""))</f>
        <v/>
      </c>
      <c r="AL197" s="17" t="str">
        <f t="shared" si="35"/>
        <v/>
      </c>
      <c r="AM197" s="12" t="str">
        <f t="shared" si="36"/>
        <v/>
      </c>
      <c r="AN197" s="18" t="str">
        <f t="shared" si="37"/>
        <v/>
      </c>
      <c r="AO197" s="18" t="str">
        <f t="shared" si="38"/>
        <v/>
      </c>
      <c r="AP197" s="10" t="str">
        <f t="shared" si="39"/>
        <v/>
      </c>
      <c r="AQ197" s="10" t="str">
        <f t="shared" si="40"/>
        <v/>
      </c>
      <c r="AR197" s="19" t="str">
        <f t="shared" si="41"/>
        <v/>
      </c>
      <c r="AS197" s="20"/>
      <c r="AT197" s="19"/>
      <c r="AV197" s="21">
        <f>IF(AND($AL197&lt;&gt;"",COUNTIF($AL$11:$AL197,$AL197)=1),1,0)</f>
        <v>0</v>
      </c>
      <c r="AW197" s="21">
        <f t="shared" si="43"/>
        <v>2</v>
      </c>
      <c r="AX197" s="21" t="str">
        <f t="shared" si="42"/>
        <v/>
      </c>
      <c r="AY197" s="21" t="str">
        <f>IF(AND($AM197&lt;&gt;"",$AS197&lt;&gt;"✓"),SUMPRODUCT(($AM$11:$AM197&lt;&gt;"")*($AS$11:$AS197&lt;&gt;"✓")),"")</f>
        <v/>
      </c>
      <c r="AZ197" s="21" t="str">
        <f>IF(AND($AM197&lt;&gt;"",$AS197="✓"),SUMPRODUCT(($AM$11:$AM197&lt;&gt;"")*($AS$11:$AS197="✓")),"")</f>
        <v/>
      </c>
      <c r="BA197" s="21" t="str">
        <f>IF($AL197="","",$AL197&amp;"|"&amp;COUNTIF($AL$11:$AL197,$AL197))</f>
        <v/>
      </c>
    </row>
    <row r="198" spans="2:53" ht="15" customHeight="1" x14ac:dyDescent="0.25">
      <c r="B198" s="5" t="str">
        <f t="shared" si="30"/>
        <v/>
      </c>
      <c r="C198" s="5"/>
      <c r="D198" s="5"/>
      <c r="E198" s="5"/>
      <c r="F198" s="6"/>
      <c r="G198" s="6"/>
      <c r="H198" s="7"/>
      <c r="I198" s="8"/>
      <c r="K198" s="23" t="str">
        <f>IFERROR(INDEX($AL$11:$AL$4010,MATCH(188,$AX$11:$AX$4010,0)),"")</f>
        <v/>
      </c>
      <c r="L198" s="24" t="str">
        <f t="shared" si="31"/>
        <v/>
      </c>
      <c r="M198" s="25" t="str">
        <f t="shared" si="32"/>
        <v/>
      </c>
      <c r="N198" s="25" t="str">
        <f t="shared" si="33"/>
        <v/>
      </c>
      <c r="P198" s="26" t="str">
        <f>IFERROR(INDEX($AM$11:$AM$4010,MATCH($S$8&amp;"|"&amp;188,$BA$11:$BA$4010,0)),"")</f>
        <v/>
      </c>
      <c r="Q198" s="25" t="str">
        <f>IF(P198="","",IFERROR(INDEX($AN$11:$AN$4010,MATCH($S$8&amp;"|"&amp;188,$BA$11:$BA$4010,0)),""))</f>
        <v/>
      </c>
      <c r="R198" s="25" t="str">
        <f>IF(P198="","",IFERROR(INDEX($AO$11:$AO$4010,MATCH($S$8&amp;"|"&amp;188,$BA$11:$BA$4010,0)),""))</f>
        <v/>
      </c>
      <c r="S198" s="24" t="str">
        <f>IF(P198="","",IFERROR(INDEX($AP$11:$AP$4010,MATCH($S$8&amp;"|"&amp;188,$BA$11:$BA$4010,0)),""))</f>
        <v/>
      </c>
      <c r="T198" s="24" t="str">
        <f>IF(P198="","",IFERROR(INDEX($AQ$11:$AQ$4010,MATCH($S$8&amp;"|"&amp;188,$BA$11:$BA$4010,0)),""))</f>
        <v/>
      </c>
      <c r="U198" s="38" t="str">
        <f t="shared" si="44"/>
        <v/>
      </c>
      <c r="W198" s="28" t="str">
        <f>IF(X198="","",IFERROR(INDEX($AL$11:$AL$4010,MATCH(188,$AY$11:$AY$4010,0)),""))</f>
        <v/>
      </c>
      <c r="X198" s="26" t="str">
        <f>IFERROR(INDEX($AM$11:$AM$4010,MATCH(188,$AY$11:$AY$4010,0)),"")</f>
        <v/>
      </c>
      <c r="Y198" s="25" t="str">
        <f>IF(X198="","",IFERROR(INDEX($AN$11:$AN$4010,MATCH(188,$AY$11:$AY$4010,0)),""))</f>
        <v/>
      </c>
      <c r="Z198" s="25" t="str">
        <f>IF(X198="","",IFERROR(INDEX($AO$11:$AO$4010,MATCH(188,$AY$11:$AY$4010,0)),""))</f>
        <v/>
      </c>
      <c r="AA198" s="24" t="str">
        <f>IF(X198="","",IFERROR(INDEX($AQ$11:$AQ$4010,MATCH(188,$AY$11:$AY$4010,0)),""))</f>
        <v/>
      </c>
      <c r="AB198" s="29" t="str">
        <f>IF(X198="","",IFERROR(INDEX($AR$11:$AR$4010,MATCH(188,$AY$11:$AY$4010,0)),""))</f>
        <v/>
      </c>
      <c r="AD198" s="30" t="str">
        <f>IF(AE198="","",IFERROR(INDEX($AL$11:$AL$4010,MATCH(188,$AZ$11:$AZ$4010,0)),""))</f>
        <v/>
      </c>
      <c r="AE198" s="26" t="str">
        <f>IFERROR(INDEX($AM$11:$AM$4010,MATCH(188,$AZ$11:$AZ$4010,0)),"")</f>
        <v/>
      </c>
      <c r="AF198" s="25" t="str">
        <f>IF(AE198="","",IFERROR(INDEX($AN$11:$AN$4010,MATCH(188,$AZ$11:$AZ$4010,0)),""))</f>
        <v/>
      </c>
      <c r="AG198" s="25" t="str">
        <f>IF(AE198="","",IFERROR(INDEX($AO$11:$AO$4010,MATCH(188,$AZ$11:$AZ$4010,0)),""))</f>
        <v/>
      </c>
      <c r="AH198" s="24" t="str">
        <f>IF(AE198="","",IFERROR(INDEX($AQ$11:$AQ$4010,MATCH(188,$AZ$11:$AZ$4010,0)),""))</f>
        <v/>
      </c>
      <c r="AI198" s="29" t="str">
        <f>IF(AE198="","",IFERROR(INDEX($AR$11:$AR$4010,MATCH(188,$AZ$11:$AZ$4010,0)),""))</f>
        <v/>
      </c>
      <c r="AJ198" s="29" t="str">
        <f>IF(AE198="","",IFERROR(INDEX($AT$11:$AT$4010,MATCH(188,$AZ$11:$AZ$4010,0)),""))</f>
        <v/>
      </c>
      <c r="AL198" s="31" t="str">
        <f t="shared" si="35"/>
        <v/>
      </c>
      <c r="AM198" s="26" t="str">
        <f t="shared" si="36"/>
        <v/>
      </c>
      <c r="AN198" s="32" t="str">
        <f t="shared" si="37"/>
        <v/>
      </c>
      <c r="AO198" s="32" t="str">
        <f t="shared" si="38"/>
        <v/>
      </c>
      <c r="AP198" s="24" t="str">
        <f t="shared" si="39"/>
        <v/>
      </c>
      <c r="AQ198" s="24" t="str">
        <f t="shared" si="40"/>
        <v/>
      </c>
      <c r="AR198" s="33" t="str">
        <f t="shared" si="41"/>
        <v/>
      </c>
      <c r="AS198" s="34"/>
      <c r="AT198" s="33"/>
      <c r="AV198" s="21">
        <f>IF(AND($AL198&lt;&gt;"",COUNTIF($AL$11:$AL198,$AL198)=1),1,0)</f>
        <v>0</v>
      </c>
      <c r="AW198" s="21">
        <f t="shared" si="43"/>
        <v>2</v>
      </c>
      <c r="AX198" s="21" t="str">
        <f t="shared" si="42"/>
        <v/>
      </c>
      <c r="AY198" s="21" t="str">
        <f>IF(AND($AM198&lt;&gt;"",$AS198&lt;&gt;"✓"),SUMPRODUCT(($AM$11:$AM198&lt;&gt;"")*($AS$11:$AS198&lt;&gt;"✓")),"")</f>
        <v/>
      </c>
      <c r="AZ198" s="21" t="str">
        <f>IF(AND($AM198&lt;&gt;"",$AS198="✓"),SUMPRODUCT(($AM$11:$AM198&lt;&gt;"")*($AS$11:$AS198="✓")),"")</f>
        <v/>
      </c>
      <c r="BA198" s="21" t="str">
        <f>IF($AL198="","",$AL198&amp;"|"&amp;COUNTIF($AL$11:$AL198,$AL198))</f>
        <v/>
      </c>
    </row>
    <row r="199" spans="2:53" ht="15" customHeight="1" x14ac:dyDescent="0.25">
      <c r="B199" s="5" t="str">
        <f t="shared" si="30"/>
        <v/>
      </c>
      <c r="C199" s="5"/>
      <c r="D199" s="5"/>
      <c r="E199" s="5"/>
      <c r="F199" s="6"/>
      <c r="G199" s="6"/>
      <c r="H199" s="7"/>
      <c r="I199" s="8"/>
      <c r="K199" s="9" t="str">
        <f>IFERROR(INDEX($AL$11:$AL$4010,MATCH(189,$AX$11:$AX$4010,0)),"")</f>
        <v/>
      </c>
      <c r="L199" s="10" t="str">
        <f t="shared" si="31"/>
        <v/>
      </c>
      <c r="M199" s="11" t="str">
        <f t="shared" si="32"/>
        <v/>
      </c>
      <c r="N199" s="11" t="str">
        <f t="shared" si="33"/>
        <v/>
      </c>
      <c r="P199" s="12" t="str">
        <f>IFERROR(INDEX($AM$11:$AM$4010,MATCH($S$8&amp;"|"&amp;189,$BA$11:$BA$4010,0)),"")</f>
        <v/>
      </c>
      <c r="Q199" s="11" t="str">
        <f>IF(P199="","",IFERROR(INDEX($AN$11:$AN$4010,MATCH($S$8&amp;"|"&amp;189,$BA$11:$BA$4010,0)),""))</f>
        <v/>
      </c>
      <c r="R199" s="11" t="str">
        <f>IF(P199="","",IFERROR(INDEX($AO$11:$AO$4010,MATCH($S$8&amp;"|"&amp;189,$BA$11:$BA$4010,0)),""))</f>
        <v/>
      </c>
      <c r="S199" s="10" t="str">
        <f>IF(P199="","",IFERROR(INDEX($AP$11:$AP$4010,MATCH($S$8&amp;"|"&amp;189,$BA$11:$BA$4010,0)),""))</f>
        <v/>
      </c>
      <c r="T199" s="10" t="str">
        <f>IF(P199="","",IFERROR(INDEX($AQ$11:$AQ$4010,MATCH($S$8&amp;"|"&amp;189,$BA$11:$BA$4010,0)),""))</f>
        <v/>
      </c>
      <c r="U199" s="39" t="str">
        <f t="shared" si="44"/>
        <v/>
      </c>
      <c r="W199" s="14" t="str">
        <f>IF(X199="","",IFERROR(INDEX($AL$11:$AL$4010,MATCH(189,$AY$11:$AY$4010,0)),""))</f>
        <v/>
      </c>
      <c r="X199" s="12" t="str">
        <f>IFERROR(INDEX($AM$11:$AM$4010,MATCH(189,$AY$11:$AY$4010,0)),"")</f>
        <v/>
      </c>
      <c r="Y199" s="11" t="str">
        <f>IF(X199="","",IFERROR(INDEX($AN$11:$AN$4010,MATCH(189,$AY$11:$AY$4010,0)),""))</f>
        <v/>
      </c>
      <c r="Z199" s="11" t="str">
        <f>IF(X199="","",IFERROR(INDEX($AO$11:$AO$4010,MATCH(189,$AY$11:$AY$4010,0)),""))</f>
        <v/>
      </c>
      <c r="AA199" s="10" t="str">
        <f>IF(X199="","",IFERROR(INDEX($AQ$11:$AQ$4010,MATCH(189,$AY$11:$AY$4010,0)),""))</f>
        <v/>
      </c>
      <c r="AB199" s="15" t="str">
        <f>IF(X199="","",IFERROR(INDEX($AR$11:$AR$4010,MATCH(189,$AY$11:$AY$4010,0)),""))</f>
        <v/>
      </c>
      <c r="AD199" s="16" t="str">
        <f>IF(AE199="","",IFERROR(INDEX($AL$11:$AL$4010,MATCH(189,$AZ$11:$AZ$4010,0)),""))</f>
        <v/>
      </c>
      <c r="AE199" s="12" t="str">
        <f>IFERROR(INDEX($AM$11:$AM$4010,MATCH(189,$AZ$11:$AZ$4010,0)),"")</f>
        <v/>
      </c>
      <c r="AF199" s="11" t="str">
        <f>IF(AE199="","",IFERROR(INDEX($AN$11:$AN$4010,MATCH(189,$AZ$11:$AZ$4010,0)),""))</f>
        <v/>
      </c>
      <c r="AG199" s="11" t="str">
        <f>IF(AE199="","",IFERROR(INDEX($AO$11:$AO$4010,MATCH(189,$AZ$11:$AZ$4010,0)),""))</f>
        <v/>
      </c>
      <c r="AH199" s="10" t="str">
        <f>IF(AE199="","",IFERROR(INDEX($AQ$11:$AQ$4010,MATCH(189,$AZ$11:$AZ$4010,0)),""))</f>
        <v/>
      </c>
      <c r="AI199" s="15" t="str">
        <f>IF(AE199="","",IFERROR(INDEX($AR$11:$AR$4010,MATCH(189,$AZ$11:$AZ$4010,0)),""))</f>
        <v/>
      </c>
      <c r="AJ199" s="15" t="str">
        <f>IF(AE199="","",IFERROR(INDEX($AT$11:$AT$4010,MATCH(189,$AZ$11:$AZ$4010,0)),""))</f>
        <v/>
      </c>
      <c r="AL199" s="17" t="str">
        <f t="shared" si="35"/>
        <v/>
      </c>
      <c r="AM199" s="12" t="str">
        <f t="shared" si="36"/>
        <v/>
      </c>
      <c r="AN199" s="18" t="str">
        <f t="shared" si="37"/>
        <v/>
      </c>
      <c r="AO199" s="18" t="str">
        <f t="shared" si="38"/>
        <v/>
      </c>
      <c r="AP199" s="10" t="str">
        <f t="shared" si="39"/>
        <v/>
      </c>
      <c r="AQ199" s="10" t="str">
        <f t="shared" si="40"/>
        <v/>
      </c>
      <c r="AR199" s="19" t="str">
        <f t="shared" si="41"/>
        <v/>
      </c>
      <c r="AS199" s="20"/>
      <c r="AT199" s="19"/>
      <c r="AV199" s="21">
        <f>IF(AND($AL199&lt;&gt;"",COUNTIF($AL$11:$AL199,$AL199)=1),1,0)</f>
        <v>0</v>
      </c>
      <c r="AW199" s="21">
        <f t="shared" si="43"/>
        <v>2</v>
      </c>
      <c r="AX199" s="21" t="str">
        <f t="shared" si="42"/>
        <v/>
      </c>
      <c r="AY199" s="21" t="str">
        <f>IF(AND($AM199&lt;&gt;"",$AS199&lt;&gt;"✓"),SUMPRODUCT(($AM$11:$AM199&lt;&gt;"")*($AS$11:$AS199&lt;&gt;"✓")),"")</f>
        <v/>
      </c>
      <c r="AZ199" s="21" t="str">
        <f>IF(AND($AM199&lt;&gt;"",$AS199="✓"),SUMPRODUCT(($AM$11:$AM199&lt;&gt;"")*($AS$11:$AS199="✓")),"")</f>
        <v/>
      </c>
      <c r="BA199" s="21" t="str">
        <f>IF($AL199="","",$AL199&amp;"|"&amp;COUNTIF($AL$11:$AL199,$AL199))</f>
        <v/>
      </c>
    </row>
    <row r="200" spans="2:53" ht="15" customHeight="1" x14ac:dyDescent="0.25">
      <c r="B200" s="5" t="str">
        <f t="shared" si="30"/>
        <v/>
      </c>
      <c r="C200" s="5"/>
      <c r="D200" s="5"/>
      <c r="E200" s="5"/>
      <c r="F200" s="6"/>
      <c r="G200" s="6"/>
      <c r="H200" s="7"/>
      <c r="I200" s="8"/>
      <c r="K200" s="23" t="str">
        <f>IFERROR(INDEX($AL$11:$AL$4010,MATCH(190,$AX$11:$AX$4010,0)),"")</f>
        <v/>
      </c>
      <c r="L200" s="24" t="str">
        <f t="shared" si="31"/>
        <v/>
      </c>
      <c r="M200" s="25" t="str">
        <f t="shared" si="32"/>
        <v/>
      </c>
      <c r="N200" s="25" t="str">
        <f t="shared" si="33"/>
        <v/>
      </c>
      <c r="P200" s="26" t="str">
        <f>IFERROR(INDEX($AM$11:$AM$4010,MATCH($S$8&amp;"|"&amp;190,$BA$11:$BA$4010,0)),"")</f>
        <v/>
      </c>
      <c r="Q200" s="25" t="str">
        <f>IF(P200="","",IFERROR(INDEX($AN$11:$AN$4010,MATCH($S$8&amp;"|"&amp;190,$BA$11:$BA$4010,0)),""))</f>
        <v/>
      </c>
      <c r="R200" s="25" t="str">
        <f>IF(P200="","",IFERROR(INDEX($AO$11:$AO$4010,MATCH($S$8&amp;"|"&amp;190,$BA$11:$BA$4010,0)),""))</f>
        <v/>
      </c>
      <c r="S200" s="24" t="str">
        <f>IF(P200="","",IFERROR(INDEX($AP$11:$AP$4010,MATCH($S$8&amp;"|"&amp;190,$BA$11:$BA$4010,0)),""))</f>
        <v/>
      </c>
      <c r="T200" s="24" t="str">
        <f>IF(P200="","",IFERROR(INDEX($AQ$11:$AQ$4010,MATCH($S$8&amp;"|"&amp;190,$BA$11:$BA$4010,0)),""))</f>
        <v/>
      </c>
      <c r="U200" s="38" t="str">
        <f t="shared" si="44"/>
        <v/>
      </c>
      <c r="W200" s="28" t="str">
        <f>IF(X200="","",IFERROR(INDEX($AL$11:$AL$4010,MATCH(190,$AY$11:$AY$4010,0)),""))</f>
        <v/>
      </c>
      <c r="X200" s="26" t="str">
        <f>IFERROR(INDEX($AM$11:$AM$4010,MATCH(190,$AY$11:$AY$4010,0)),"")</f>
        <v/>
      </c>
      <c r="Y200" s="25" t="str">
        <f>IF(X200="","",IFERROR(INDEX($AN$11:$AN$4010,MATCH(190,$AY$11:$AY$4010,0)),""))</f>
        <v/>
      </c>
      <c r="Z200" s="25" t="str">
        <f>IF(X200="","",IFERROR(INDEX($AO$11:$AO$4010,MATCH(190,$AY$11:$AY$4010,0)),""))</f>
        <v/>
      </c>
      <c r="AA200" s="24" t="str">
        <f>IF(X200="","",IFERROR(INDEX($AQ$11:$AQ$4010,MATCH(190,$AY$11:$AY$4010,0)),""))</f>
        <v/>
      </c>
      <c r="AB200" s="29" t="str">
        <f>IF(X200="","",IFERROR(INDEX($AR$11:$AR$4010,MATCH(190,$AY$11:$AY$4010,0)),""))</f>
        <v/>
      </c>
      <c r="AD200" s="30" t="str">
        <f>IF(AE200="","",IFERROR(INDEX($AL$11:$AL$4010,MATCH(190,$AZ$11:$AZ$4010,0)),""))</f>
        <v/>
      </c>
      <c r="AE200" s="26" t="str">
        <f>IFERROR(INDEX($AM$11:$AM$4010,MATCH(190,$AZ$11:$AZ$4010,0)),"")</f>
        <v/>
      </c>
      <c r="AF200" s="25" t="str">
        <f>IF(AE200="","",IFERROR(INDEX($AN$11:$AN$4010,MATCH(190,$AZ$11:$AZ$4010,0)),""))</f>
        <v/>
      </c>
      <c r="AG200" s="25" t="str">
        <f>IF(AE200="","",IFERROR(INDEX($AO$11:$AO$4010,MATCH(190,$AZ$11:$AZ$4010,0)),""))</f>
        <v/>
      </c>
      <c r="AH200" s="24" t="str">
        <f>IF(AE200="","",IFERROR(INDEX($AQ$11:$AQ$4010,MATCH(190,$AZ$11:$AZ$4010,0)),""))</f>
        <v/>
      </c>
      <c r="AI200" s="29" t="str">
        <f>IF(AE200="","",IFERROR(INDEX($AR$11:$AR$4010,MATCH(190,$AZ$11:$AZ$4010,0)),""))</f>
        <v/>
      </c>
      <c r="AJ200" s="29" t="str">
        <f>IF(AE200="","",IFERROR(INDEX($AT$11:$AT$4010,MATCH(190,$AZ$11:$AZ$4010,0)),""))</f>
        <v/>
      </c>
      <c r="AL200" s="31" t="str">
        <f t="shared" si="35"/>
        <v/>
      </c>
      <c r="AM200" s="26" t="str">
        <f t="shared" si="36"/>
        <v/>
      </c>
      <c r="AN200" s="32" t="str">
        <f t="shared" si="37"/>
        <v/>
      </c>
      <c r="AO200" s="32" t="str">
        <f t="shared" si="38"/>
        <v/>
      </c>
      <c r="AP200" s="24" t="str">
        <f t="shared" si="39"/>
        <v/>
      </c>
      <c r="AQ200" s="24" t="str">
        <f t="shared" si="40"/>
        <v/>
      </c>
      <c r="AR200" s="33" t="str">
        <f t="shared" si="41"/>
        <v/>
      </c>
      <c r="AS200" s="34"/>
      <c r="AT200" s="33"/>
      <c r="AV200" s="21">
        <f>IF(AND($AL200&lt;&gt;"",COUNTIF($AL$11:$AL200,$AL200)=1),1,0)</f>
        <v>0</v>
      </c>
      <c r="AW200" s="21">
        <f t="shared" si="43"/>
        <v>2</v>
      </c>
      <c r="AX200" s="21" t="str">
        <f t="shared" si="42"/>
        <v/>
      </c>
      <c r="AY200" s="21" t="str">
        <f>IF(AND($AM200&lt;&gt;"",$AS200&lt;&gt;"✓"),SUMPRODUCT(($AM$11:$AM200&lt;&gt;"")*($AS$11:$AS200&lt;&gt;"✓")),"")</f>
        <v/>
      </c>
      <c r="AZ200" s="21" t="str">
        <f>IF(AND($AM200&lt;&gt;"",$AS200="✓"),SUMPRODUCT(($AM$11:$AM200&lt;&gt;"")*($AS$11:$AS200="✓")),"")</f>
        <v/>
      </c>
      <c r="BA200" s="21" t="str">
        <f>IF($AL200="","",$AL200&amp;"|"&amp;COUNTIF($AL$11:$AL200,$AL200))</f>
        <v/>
      </c>
    </row>
    <row r="201" spans="2:53" ht="15" customHeight="1" x14ac:dyDescent="0.25">
      <c r="B201" s="5" t="str">
        <f t="shared" si="30"/>
        <v/>
      </c>
      <c r="C201" s="5"/>
      <c r="D201" s="5"/>
      <c r="E201" s="5"/>
      <c r="F201" s="6"/>
      <c r="G201" s="6"/>
      <c r="H201" s="7"/>
      <c r="I201" s="8"/>
      <c r="K201" s="9" t="str">
        <f>IFERROR(INDEX($AL$11:$AL$4010,MATCH(191,$AX$11:$AX$4010,0)),"")</f>
        <v/>
      </c>
      <c r="L201" s="10" t="str">
        <f t="shared" si="31"/>
        <v/>
      </c>
      <c r="M201" s="11" t="str">
        <f t="shared" si="32"/>
        <v/>
      </c>
      <c r="N201" s="11" t="str">
        <f t="shared" si="33"/>
        <v/>
      </c>
      <c r="P201" s="12" t="str">
        <f>IFERROR(INDEX($AM$11:$AM$4010,MATCH($S$8&amp;"|"&amp;191,$BA$11:$BA$4010,0)),"")</f>
        <v/>
      </c>
      <c r="Q201" s="11" t="str">
        <f>IF(P201="","",IFERROR(INDEX($AN$11:$AN$4010,MATCH($S$8&amp;"|"&amp;191,$BA$11:$BA$4010,0)),""))</f>
        <v/>
      </c>
      <c r="R201" s="11" t="str">
        <f>IF(P201="","",IFERROR(INDEX($AO$11:$AO$4010,MATCH($S$8&amp;"|"&amp;191,$BA$11:$BA$4010,0)),""))</f>
        <v/>
      </c>
      <c r="S201" s="10" t="str">
        <f>IF(P201="","",IFERROR(INDEX($AP$11:$AP$4010,MATCH($S$8&amp;"|"&amp;191,$BA$11:$BA$4010,0)),""))</f>
        <v/>
      </c>
      <c r="T201" s="10" t="str">
        <f>IF(P201="","",IFERROR(INDEX($AQ$11:$AQ$4010,MATCH($S$8&amp;"|"&amp;191,$BA$11:$BA$4010,0)),""))</f>
        <v/>
      </c>
      <c r="U201" s="39" t="str">
        <f t="shared" si="44"/>
        <v/>
      </c>
      <c r="W201" s="14" t="str">
        <f>IF(X201="","",IFERROR(INDEX($AL$11:$AL$4010,MATCH(191,$AY$11:$AY$4010,0)),""))</f>
        <v/>
      </c>
      <c r="X201" s="12" t="str">
        <f>IFERROR(INDEX($AM$11:$AM$4010,MATCH(191,$AY$11:$AY$4010,0)),"")</f>
        <v/>
      </c>
      <c r="Y201" s="11" t="str">
        <f>IF(X201="","",IFERROR(INDEX($AN$11:$AN$4010,MATCH(191,$AY$11:$AY$4010,0)),""))</f>
        <v/>
      </c>
      <c r="Z201" s="11" t="str">
        <f>IF(X201="","",IFERROR(INDEX($AO$11:$AO$4010,MATCH(191,$AY$11:$AY$4010,0)),""))</f>
        <v/>
      </c>
      <c r="AA201" s="10" t="str">
        <f>IF(X201="","",IFERROR(INDEX($AQ$11:$AQ$4010,MATCH(191,$AY$11:$AY$4010,0)),""))</f>
        <v/>
      </c>
      <c r="AB201" s="15" t="str">
        <f>IF(X201="","",IFERROR(INDEX($AR$11:$AR$4010,MATCH(191,$AY$11:$AY$4010,0)),""))</f>
        <v/>
      </c>
      <c r="AD201" s="16" t="str">
        <f>IF(AE201="","",IFERROR(INDEX($AL$11:$AL$4010,MATCH(191,$AZ$11:$AZ$4010,0)),""))</f>
        <v/>
      </c>
      <c r="AE201" s="12" t="str">
        <f>IFERROR(INDEX($AM$11:$AM$4010,MATCH(191,$AZ$11:$AZ$4010,0)),"")</f>
        <v/>
      </c>
      <c r="AF201" s="11" t="str">
        <f>IF(AE201="","",IFERROR(INDEX($AN$11:$AN$4010,MATCH(191,$AZ$11:$AZ$4010,0)),""))</f>
        <v/>
      </c>
      <c r="AG201" s="11" t="str">
        <f>IF(AE201="","",IFERROR(INDEX($AO$11:$AO$4010,MATCH(191,$AZ$11:$AZ$4010,0)),""))</f>
        <v/>
      </c>
      <c r="AH201" s="10" t="str">
        <f>IF(AE201="","",IFERROR(INDEX($AQ$11:$AQ$4010,MATCH(191,$AZ$11:$AZ$4010,0)),""))</f>
        <v/>
      </c>
      <c r="AI201" s="15" t="str">
        <f>IF(AE201="","",IFERROR(INDEX($AR$11:$AR$4010,MATCH(191,$AZ$11:$AZ$4010,0)),""))</f>
        <v/>
      </c>
      <c r="AJ201" s="15" t="str">
        <f>IF(AE201="","",IFERROR(INDEX($AT$11:$AT$4010,MATCH(191,$AZ$11:$AZ$4010,0)),""))</f>
        <v/>
      </c>
      <c r="AL201" s="17" t="str">
        <f t="shared" si="35"/>
        <v/>
      </c>
      <c r="AM201" s="12" t="str">
        <f t="shared" si="36"/>
        <v/>
      </c>
      <c r="AN201" s="18" t="str">
        <f t="shared" si="37"/>
        <v/>
      </c>
      <c r="AO201" s="18" t="str">
        <f t="shared" si="38"/>
        <v/>
      </c>
      <c r="AP201" s="10" t="str">
        <f t="shared" si="39"/>
        <v/>
      </c>
      <c r="AQ201" s="10" t="str">
        <f t="shared" si="40"/>
        <v/>
      </c>
      <c r="AR201" s="19" t="str">
        <f t="shared" si="41"/>
        <v/>
      </c>
      <c r="AS201" s="20"/>
      <c r="AT201" s="19"/>
      <c r="AV201" s="21">
        <f>IF(AND($AL201&lt;&gt;"",COUNTIF($AL$11:$AL201,$AL201)=1),1,0)</f>
        <v>0</v>
      </c>
      <c r="AW201" s="21">
        <f t="shared" si="43"/>
        <v>2</v>
      </c>
      <c r="AX201" s="21" t="str">
        <f t="shared" si="42"/>
        <v/>
      </c>
      <c r="AY201" s="21" t="str">
        <f>IF(AND($AM201&lt;&gt;"",$AS201&lt;&gt;"✓"),SUMPRODUCT(($AM$11:$AM201&lt;&gt;"")*($AS$11:$AS201&lt;&gt;"✓")),"")</f>
        <v/>
      </c>
      <c r="AZ201" s="21" t="str">
        <f>IF(AND($AM201&lt;&gt;"",$AS201="✓"),SUMPRODUCT(($AM$11:$AM201&lt;&gt;"")*($AS$11:$AS201="✓")),"")</f>
        <v/>
      </c>
      <c r="BA201" s="21" t="str">
        <f>IF($AL201="","",$AL201&amp;"|"&amp;COUNTIF($AL$11:$AL201,$AL201))</f>
        <v/>
      </c>
    </row>
    <row r="202" spans="2:53" ht="15" customHeight="1" x14ac:dyDescent="0.25">
      <c r="B202" s="5" t="str">
        <f t="shared" si="30"/>
        <v/>
      </c>
      <c r="C202" s="5"/>
      <c r="D202" s="5"/>
      <c r="E202" s="5"/>
      <c r="F202" s="6"/>
      <c r="G202" s="6"/>
      <c r="H202" s="7"/>
      <c r="I202" s="8"/>
      <c r="K202" s="23" t="str">
        <f>IFERROR(INDEX($AL$11:$AL$4010,MATCH(192,$AX$11:$AX$4010,0)),"")</f>
        <v/>
      </c>
      <c r="L202" s="24" t="str">
        <f t="shared" si="31"/>
        <v/>
      </c>
      <c r="M202" s="25" t="str">
        <f t="shared" si="32"/>
        <v/>
      </c>
      <c r="N202" s="25" t="str">
        <f t="shared" si="33"/>
        <v/>
      </c>
      <c r="P202" s="26" t="str">
        <f>IFERROR(INDEX($AM$11:$AM$4010,MATCH($S$8&amp;"|"&amp;192,$BA$11:$BA$4010,0)),"")</f>
        <v/>
      </c>
      <c r="Q202" s="25" t="str">
        <f>IF(P202="","",IFERROR(INDEX($AN$11:$AN$4010,MATCH($S$8&amp;"|"&amp;192,$BA$11:$BA$4010,0)),""))</f>
        <v/>
      </c>
      <c r="R202" s="25" t="str">
        <f>IF(P202="","",IFERROR(INDEX($AO$11:$AO$4010,MATCH($S$8&amp;"|"&amp;192,$BA$11:$BA$4010,0)),""))</f>
        <v/>
      </c>
      <c r="S202" s="24" t="str">
        <f>IF(P202="","",IFERROR(INDEX($AP$11:$AP$4010,MATCH($S$8&amp;"|"&amp;192,$BA$11:$BA$4010,0)),""))</f>
        <v/>
      </c>
      <c r="T202" s="24" t="str">
        <f>IF(P202="","",IFERROR(INDEX($AQ$11:$AQ$4010,MATCH($S$8&amp;"|"&amp;192,$BA$11:$BA$4010,0)),""))</f>
        <v/>
      </c>
      <c r="U202" s="38" t="str">
        <f t="shared" si="44"/>
        <v/>
      </c>
      <c r="W202" s="28" t="str">
        <f>IF(X202="","",IFERROR(INDEX($AL$11:$AL$4010,MATCH(192,$AY$11:$AY$4010,0)),""))</f>
        <v/>
      </c>
      <c r="X202" s="26" t="str">
        <f>IFERROR(INDEX($AM$11:$AM$4010,MATCH(192,$AY$11:$AY$4010,0)),"")</f>
        <v/>
      </c>
      <c r="Y202" s="25" t="str">
        <f>IF(X202="","",IFERROR(INDEX($AN$11:$AN$4010,MATCH(192,$AY$11:$AY$4010,0)),""))</f>
        <v/>
      </c>
      <c r="Z202" s="25" t="str">
        <f>IF(X202="","",IFERROR(INDEX($AO$11:$AO$4010,MATCH(192,$AY$11:$AY$4010,0)),""))</f>
        <v/>
      </c>
      <c r="AA202" s="24" t="str">
        <f>IF(X202="","",IFERROR(INDEX($AQ$11:$AQ$4010,MATCH(192,$AY$11:$AY$4010,0)),""))</f>
        <v/>
      </c>
      <c r="AB202" s="29" t="str">
        <f>IF(X202="","",IFERROR(INDEX($AR$11:$AR$4010,MATCH(192,$AY$11:$AY$4010,0)),""))</f>
        <v/>
      </c>
      <c r="AD202" s="30" t="str">
        <f>IF(AE202="","",IFERROR(INDEX($AL$11:$AL$4010,MATCH(192,$AZ$11:$AZ$4010,0)),""))</f>
        <v/>
      </c>
      <c r="AE202" s="26" t="str">
        <f>IFERROR(INDEX($AM$11:$AM$4010,MATCH(192,$AZ$11:$AZ$4010,0)),"")</f>
        <v/>
      </c>
      <c r="AF202" s="25" t="str">
        <f>IF(AE202="","",IFERROR(INDEX($AN$11:$AN$4010,MATCH(192,$AZ$11:$AZ$4010,0)),""))</f>
        <v/>
      </c>
      <c r="AG202" s="25" t="str">
        <f>IF(AE202="","",IFERROR(INDEX($AO$11:$AO$4010,MATCH(192,$AZ$11:$AZ$4010,0)),""))</f>
        <v/>
      </c>
      <c r="AH202" s="24" t="str">
        <f>IF(AE202="","",IFERROR(INDEX($AQ$11:$AQ$4010,MATCH(192,$AZ$11:$AZ$4010,0)),""))</f>
        <v/>
      </c>
      <c r="AI202" s="29" t="str">
        <f>IF(AE202="","",IFERROR(INDEX($AR$11:$AR$4010,MATCH(192,$AZ$11:$AZ$4010,0)),""))</f>
        <v/>
      </c>
      <c r="AJ202" s="29" t="str">
        <f>IF(AE202="","",IFERROR(INDEX($AT$11:$AT$4010,MATCH(192,$AZ$11:$AZ$4010,0)),""))</f>
        <v/>
      </c>
      <c r="AL202" s="31" t="str">
        <f t="shared" si="35"/>
        <v/>
      </c>
      <c r="AM202" s="26" t="str">
        <f t="shared" si="36"/>
        <v/>
      </c>
      <c r="AN202" s="32" t="str">
        <f t="shared" si="37"/>
        <v/>
      </c>
      <c r="AO202" s="32" t="str">
        <f t="shared" si="38"/>
        <v/>
      </c>
      <c r="AP202" s="24" t="str">
        <f t="shared" si="39"/>
        <v/>
      </c>
      <c r="AQ202" s="24" t="str">
        <f t="shared" si="40"/>
        <v/>
      </c>
      <c r="AR202" s="33" t="str">
        <f t="shared" si="41"/>
        <v/>
      </c>
      <c r="AS202" s="34"/>
      <c r="AT202" s="33"/>
      <c r="AV202" s="21">
        <f>IF(AND($AL202&lt;&gt;"",COUNTIF($AL$11:$AL202,$AL202)=1),1,0)</f>
        <v>0</v>
      </c>
      <c r="AW202" s="21">
        <f t="shared" si="43"/>
        <v>2</v>
      </c>
      <c r="AX202" s="21" t="str">
        <f t="shared" si="42"/>
        <v/>
      </c>
      <c r="AY202" s="21" t="str">
        <f>IF(AND($AM202&lt;&gt;"",$AS202&lt;&gt;"✓"),SUMPRODUCT(($AM$11:$AM202&lt;&gt;"")*($AS$11:$AS202&lt;&gt;"✓")),"")</f>
        <v/>
      </c>
      <c r="AZ202" s="21" t="str">
        <f>IF(AND($AM202&lt;&gt;"",$AS202="✓"),SUMPRODUCT(($AM$11:$AM202&lt;&gt;"")*($AS$11:$AS202="✓")),"")</f>
        <v/>
      </c>
      <c r="BA202" s="21" t="str">
        <f>IF($AL202="","",$AL202&amp;"|"&amp;COUNTIF($AL$11:$AL202,$AL202))</f>
        <v/>
      </c>
    </row>
    <row r="203" spans="2:53" ht="15" customHeight="1" x14ac:dyDescent="0.25">
      <c r="B203" s="5" t="str">
        <f t="shared" ref="B203:B266" si="45">IF($C203="","",ROW()-10)</f>
        <v/>
      </c>
      <c r="C203" s="5"/>
      <c r="D203" s="5"/>
      <c r="E203" s="5"/>
      <c r="F203" s="6"/>
      <c r="G203" s="6"/>
      <c r="H203" s="7"/>
      <c r="I203" s="8"/>
      <c r="K203" s="9" t="str">
        <f>IFERROR(INDEX($AL$11:$AL$4010,MATCH(193,$AX$11:$AX$4010,0)),"")</f>
        <v/>
      </c>
      <c r="L203" s="10" t="str">
        <f t="shared" ref="L203:L266" si="46">IF(K203="","",COUNTIF($AL$11:$AL$4010,K203))</f>
        <v/>
      </c>
      <c r="M203" s="11" t="str">
        <f t="shared" ref="M203:M266" si="47">IF(K203="","",SUMIF($AL$11:$AL$4010,K203,$AN$11:$AN$4010))</f>
        <v/>
      </c>
      <c r="N203" s="11" t="str">
        <f t="shared" ref="N203:N266" si="48">IF(K203="","",SUMIF($AL$11:$AL$4010,K203,$AO$11:$AO$4010))</f>
        <v/>
      </c>
      <c r="P203" s="12" t="str">
        <f>IFERROR(INDEX($AM$11:$AM$4010,MATCH($S$8&amp;"|"&amp;193,$BA$11:$BA$4010,0)),"")</f>
        <v/>
      </c>
      <c r="Q203" s="11" t="str">
        <f>IF(P203="","",IFERROR(INDEX($AN$11:$AN$4010,MATCH($S$8&amp;"|"&amp;193,$BA$11:$BA$4010,0)),""))</f>
        <v/>
      </c>
      <c r="R203" s="11" t="str">
        <f>IF(P203="","",IFERROR(INDEX($AO$11:$AO$4010,MATCH($S$8&amp;"|"&amp;193,$BA$11:$BA$4010,0)),""))</f>
        <v/>
      </c>
      <c r="S203" s="10" t="str">
        <f>IF(P203="","",IFERROR(INDEX($AP$11:$AP$4010,MATCH($S$8&amp;"|"&amp;193,$BA$11:$BA$4010,0)),""))</f>
        <v/>
      </c>
      <c r="T203" s="10" t="str">
        <f>IF(P203="","",IFERROR(INDEX($AQ$11:$AQ$4010,MATCH($S$8&amp;"|"&amp;193,$BA$11:$BA$4010,0)),""))</f>
        <v/>
      </c>
      <c r="U203" s="39" t="str">
        <f t="shared" ref="U203:U210" si="49">IF(P203="","",$S$8)</f>
        <v/>
      </c>
      <c r="W203" s="14" t="str">
        <f>IF(X203="","",IFERROR(INDEX($AL$11:$AL$4010,MATCH(193,$AY$11:$AY$4010,0)),""))</f>
        <v/>
      </c>
      <c r="X203" s="12" t="str">
        <f>IFERROR(INDEX($AM$11:$AM$4010,MATCH(193,$AY$11:$AY$4010,0)),"")</f>
        <v/>
      </c>
      <c r="Y203" s="11" t="str">
        <f>IF(X203="","",IFERROR(INDEX($AN$11:$AN$4010,MATCH(193,$AY$11:$AY$4010,0)),""))</f>
        <v/>
      </c>
      <c r="Z203" s="11" t="str">
        <f>IF(X203="","",IFERROR(INDEX($AO$11:$AO$4010,MATCH(193,$AY$11:$AY$4010,0)),""))</f>
        <v/>
      </c>
      <c r="AA203" s="10" t="str">
        <f>IF(X203="","",IFERROR(INDEX($AQ$11:$AQ$4010,MATCH(193,$AY$11:$AY$4010,0)),""))</f>
        <v/>
      </c>
      <c r="AB203" s="15" t="str">
        <f>IF(X203="","",IFERROR(INDEX($AR$11:$AR$4010,MATCH(193,$AY$11:$AY$4010,0)),""))</f>
        <v/>
      </c>
      <c r="AD203" s="16" t="str">
        <f>IF(AE203="","",IFERROR(INDEX($AL$11:$AL$4010,MATCH(193,$AZ$11:$AZ$4010,0)),""))</f>
        <v/>
      </c>
      <c r="AE203" s="12" t="str">
        <f>IFERROR(INDEX($AM$11:$AM$4010,MATCH(193,$AZ$11:$AZ$4010,0)),"")</f>
        <v/>
      </c>
      <c r="AF203" s="11" t="str">
        <f>IF(AE203="","",IFERROR(INDEX($AN$11:$AN$4010,MATCH(193,$AZ$11:$AZ$4010,0)),""))</f>
        <v/>
      </c>
      <c r="AG203" s="11" t="str">
        <f>IF(AE203="","",IFERROR(INDEX($AO$11:$AO$4010,MATCH(193,$AZ$11:$AZ$4010,0)),""))</f>
        <v/>
      </c>
      <c r="AH203" s="10" t="str">
        <f>IF(AE203="","",IFERROR(INDEX($AQ$11:$AQ$4010,MATCH(193,$AZ$11:$AZ$4010,0)),""))</f>
        <v/>
      </c>
      <c r="AI203" s="15" t="str">
        <f>IF(AE203="","",IFERROR(INDEX($AR$11:$AR$4010,MATCH(193,$AZ$11:$AZ$4010,0)),""))</f>
        <v/>
      </c>
      <c r="AJ203" s="15" t="str">
        <f>IF(AE203="","",IFERROR(INDEX($AT$11:$AT$4010,MATCH(193,$AZ$11:$AZ$4010,0)),""))</f>
        <v/>
      </c>
      <c r="AL203" s="17" t="str">
        <f t="shared" ref="AL203:AL266" si="50">IF($C203="","",$I203)</f>
        <v/>
      </c>
      <c r="AM203" s="12" t="str">
        <f t="shared" ref="AM203:AM266" si="51">IF($C203="","",$C203)</f>
        <v/>
      </c>
      <c r="AN203" s="18" t="str">
        <f t="shared" ref="AN203:AN266" si="52">IF($C203="","",$F203)</f>
        <v/>
      </c>
      <c r="AO203" s="18" t="str">
        <f t="shared" ref="AO203:AO266" si="53">IF($C203="","",$G203)</f>
        <v/>
      </c>
      <c r="AP203" s="10" t="str">
        <f t="shared" ref="AP203:AP266" si="54">IF($C203="","",$D203)</f>
        <v/>
      </c>
      <c r="AQ203" s="10" t="str">
        <f t="shared" ref="AQ203:AQ266" si="55">IF($C203="","",$E203)</f>
        <v/>
      </c>
      <c r="AR203" s="19" t="str">
        <f t="shared" ref="AR203:AR266" si="56">IF($C203="","",$H203)</f>
        <v/>
      </c>
      <c r="AS203" s="20"/>
      <c r="AT203" s="19"/>
      <c r="AV203" s="21">
        <f>IF(AND($AL203&lt;&gt;"",COUNTIF($AL$11:$AL203,$AL203)=1),1,0)</f>
        <v>0</v>
      </c>
      <c r="AW203" s="21">
        <f t="shared" si="43"/>
        <v>2</v>
      </c>
      <c r="AX203" s="21" t="str">
        <f t="shared" ref="AX203:AX266" si="57">IF(AV203=1,AW203,"")</f>
        <v/>
      </c>
      <c r="AY203" s="21" t="str">
        <f>IF(AND($AM203&lt;&gt;"",$AS203&lt;&gt;"✓"),SUMPRODUCT(($AM$11:$AM203&lt;&gt;"")*($AS$11:$AS203&lt;&gt;"✓")),"")</f>
        <v/>
      </c>
      <c r="AZ203" s="21" t="str">
        <f>IF(AND($AM203&lt;&gt;"",$AS203="✓"),SUMPRODUCT(($AM$11:$AM203&lt;&gt;"")*($AS$11:$AS203="✓")),"")</f>
        <v/>
      </c>
      <c r="BA203" s="21" t="str">
        <f>IF($AL203="","",$AL203&amp;"|"&amp;COUNTIF($AL$11:$AL203,$AL203))</f>
        <v/>
      </c>
    </row>
    <row r="204" spans="2:53" ht="15" customHeight="1" x14ac:dyDescent="0.25">
      <c r="B204" s="5" t="str">
        <f t="shared" si="45"/>
        <v/>
      </c>
      <c r="C204" s="5"/>
      <c r="D204" s="5"/>
      <c r="E204" s="5"/>
      <c r="F204" s="6"/>
      <c r="G204" s="6"/>
      <c r="H204" s="7"/>
      <c r="I204" s="8"/>
      <c r="K204" s="23" t="str">
        <f>IFERROR(INDEX($AL$11:$AL$4010,MATCH(194,$AX$11:$AX$4010,0)),"")</f>
        <v/>
      </c>
      <c r="L204" s="24" t="str">
        <f t="shared" si="46"/>
        <v/>
      </c>
      <c r="M204" s="25" t="str">
        <f t="shared" si="47"/>
        <v/>
      </c>
      <c r="N204" s="25" t="str">
        <f t="shared" si="48"/>
        <v/>
      </c>
      <c r="P204" s="26" t="str">
        <f>IFERROR(INDEX($AM$11:$AM$4010,MATCH($S$8&amp;"|"&amp;194,$BA$11:$BA$4010,0)),"")</f>
        <v/>
      </c>
      <c r="Q204" s="25" t="str">
        <f>IF(P204="","",IFERROR(INDEX($AN$11:$AN$4010,MATCH($S$8&amp;"|"&amp;194,$BA$11:$BA$4010,0)),""))</f>
        <v/>
      </c>
      <c r="R204" s="25" t="str">
        <f>IF(P204="","",IFERROR(INDEX($AO$11:$AO$4010,MATCH($S$8&amp;"|"&amp;194,$BA$11:$BA$4010,0)),""))</f>
        <v/>
      </c>
      <c r="S204" s="24" t="str">
        <f>IF(P204="","",IFERROR(INDEX($AP$11:$AP$4010,MATCH($S$8&amp;"|"&amp;194,$BA$11:$BA$4010,0)),""))</f>
        <v/>
      </c>
      <c r="T204" s="24" t="str">
        <f>IF(P204="","",IFERROR(INDEX($AQ$11:$AQ$4010,MATCH($S$8&amp;"|"&amp;194,$BA$11:$BA$4010,0)),""))</f>
        <v/>
      </c>
      <c r="U204" s="38" t="str">
        <f t="shared" si="49"/>
        <v/>
      </c>
      <c r="W204" s="28" t="str">
        <f>IF(X204="","",IFERROR(INDEX($AL$11:$AL$4010,MATCH(194,$AY$11:$AY$4010,0)),""))</f>
        <v/>
      </c>
      <c r="X204" s="26" t="str">
        <f>IFERROR(INDEX($AM$11:$AM$4010,MATCH(194,$AY$11:$AY$4010,0)),"")</f>
        <v/>
      </c>
      <c r="Y204" s="25" t="str">
        <f>IF(X204="","",IFERROR(INDEX($AN$11:$AN$4010,MATCH(194,$AY$11:$AY$4010,0)),""))</f>
        <v/>
      </c>
      <c r="Z204" s="25" t="str">
        <f>IF(X204="","",IFERROR(INDEX($AO$11:$AO$4010,MATCH(194,$AY$11:$AY$4010,0)),""))</f>
        <v/>
      </c>
      <c r="AA204" s="24" t="str">
        <f>IF(X204="","",IFERROR(INDEX($AQ$11:$AQ$4010,MATCH(194,$AY$11:$AY$4010,0)),""))</f>
        <v/>
      </c>
      <c r="AB204" s="29" t="str">
        <f>IF(X204="","",IFERROR(INDEX($AR$11:$AR$4010,MATCH(194,$AY$11:$AY$4010,0)),""))</f>
        <v/>
      </c>
      <c r="AD204" s="30" t="str">
        <f>IF(AE204="","",IFERROR(INDEX($AL$11:$AL$4010,MATCH(194,$AZ$11:$AZ$4010,0)),""))</f>
        <v/>
      </c>
      <c r="AE204" s="26" t="str">
        <f>IFERROR(INDEX($AM$11:$AM$4010,MATCH(194,$AZ$11:$AZ$4010,0)),"")</f>
        <v/>
      </c>
      <c r="AF204" s="25" t="str">
        <f>IF(AE204="","",IFERROR(INDEX($AN$11:$AN$4010,MATCH(194,$AZ$11:$AZ$4010,0)),""))</f>
        <v/>
      </c>
      <c r="AG204" s="25" t="str">
        <f>IF(AE204="","",IFERROR(INDEX($AO$11:$AO$4010,MATCH(194,$AZ$11:$AZ$4010,0)),""))</f>
        <v/>
      </c>
      <c r="AH204" s="24" t="str">
        <f>IF(AE204="","",IFERROR(INDEX($AQ$11:$AQ$4010,MATCH(194,$AZ$11:$AZ$4010,0)),""))</f>
        <v/>
      </c>
      <c r="AI204" s="29" t="str">
        <f>IF(AE204="","",IFERROR(INDEX($AR$11:$AR$4010,MATCH(194,$AZ$11:$AZ$4010,0)),""))</f>
        <v/>
      </c>
      <c r="AJ204" s="29" t="str">
        <f>IF(AE204="","",IFERROR(INDEX($AT$11:$AT$4010,MATCH(194,$AZ$11:$AZ$4010,0)),""))</f>
        <v/>
      </c>
      <c r="AL204" s="31" t="str">
        <f t="shared" si="50"/>
        <v/>
      </c>
      <c r="AM204" s="26" t="str">
        <f t="shared" si="51"/>
        <v/>
      </c>
      <c r="AN204" s="32" t="str">
        <f t="shared" si="52"/>
        <v/>
      </c>
      <c r="AO204" s="32" t="str">
        <f t="shared" si="53"/>
        <v/>
      </c>
      <c r="AP204" s="24" t="str">
        <f t="shared" si="54"/>
        <v/>
      </c>
      <c r="AQ204" s="24" t="str">
        <f t="shared" si="55"/>
        <v/>
      </c>
      <c r="AR204" s="33" t="str">
        <f t="shared" si="56"/>
        <v/>
      </c>
      <c r="AS204" s="34"/>
      <c r="AT204" s="33"/>
      <c r="AV204" s="21">
        <f>IF(AND($AL204&lt;&gt;"",COUNTIF($AL$11:$AL204,$AL204)=1),1,0)</f>
        <v>0</v>
      </c>
      <c r="AW204" s="21">
        <f t="shared" ref="AW204:AW267" si="58">AW203+AV204</f>
        <v>2</v>
      </c>
      <c r="AX204" s="21" t="str">
        <f t="shared" si="57"/>
        <v/>
      </c>
      <c r="AY204" s="21" t="str">
        <f>IF(AND($AM204&lt;&gt;"",$AS204&lt;&gt;"✓"),SUMPRODUCT(($AM$11:$AM204&lt;&gt;"")*($AS$11:$AS204&lt;&gt;"✓")),"")</f>
        <v/>
      </c>
      <c r="AZ204" s="21" t="str">
        <f>IF(AND($AM204&lt;&gt;"",$AS204="✓"),SUMPRODUCT(($AM$11:$AM204&lt;&gt;"")*($AS$11:$AS204="✓")),"")</f>
        <v/>
      </c>
      <c r="BA204" s="21" t="str">
        <f>IF($AL204="","",$AL204&amp;"|"&amp;COUNTIF($AL$11:$AL204,$AL204))</f>
        <v/>
      </c>
    </row>
    <row r="205" spans="2:53" ht="15" customHeight="1" x14ac:dyDescent="0.25">
      <c r="B205" s="5" t="str">
        <f t="shared" si="45"/>
        <v/>
      </c>
      <c r="C205" s="5"/>
      <c r="D205" s="5"/>
      <c r="E205" s="5"/>
      <c r="F205" s="6"/>
      <c r="G205" s="6"/>
      <c r="H205" s="7"/>
      <c r="I205" s="8"/>
      <c r="K205" s="9" t="str">
        <f>IFERROR(INDEX($AL$11:$AL$4010,MATCH(195,$AX$11:$AX$4010,0)),"")</f>
        <v/>
      </c>
      <c r="L205" s="10" t="str">
        <f t="shared" si="46"/>
        <v/>
      </c>
      <c r="M205" s="11" t="str">
        <f t="shared" si="47"/>
        <v/>
      </c>
      <c r="N205" s="11" t="str">
        <f t="shared" si="48"/>
        <v/>
      </c>
      <c r="P205" s="12" t="str">
        <f>IFERROR(INDEX($AM$11:$AM$4010,MATCH($S$8&amp;"|"&amp;195,$BA$11:$BA$4010,0)),"")</f>
        <v/>
      </c>
      <c r="Q205" s="11" t="str">
        <f>IF(P205="","",IFERROR(INDEX($AN$11:$AN$4010,MATCH($S$8&amp;"|"&amp;195,$BA$11:$BA$4010,0)),""))</f>
        <v/>
      </c>
      <c r="R205" s="11" t="str">
        <f>IF(P205="","",IFERROR(INDEX($AO$11:$AO$4010,MATCH($S$8&amp;"|"&amp;195,$BA$11:$BA$4010,0)),""))</f>
        <v/>
      </c>
      <c r="S205" s="10" t="str">
        <f>IF(P205="","",IFERROR(INDEX($AP$11:$AP$4010,MATCH($S$8&amp;"|"&amp;195,$BA$11:$BA$4010,0)),""))</f>
        <v/>
      </c>
      <c r="T205" s="10" t="str">
        <f>IF(P205="","",IFERROR(INDEX($AQ$11:$AQ$4010,MATCH($S$8&amp;"|"&amp;195,$BA$11:$BA$4010,0)),""))</f>
        <v/>
      </c>
      <c r="U205" s="39" t="str">
        <f t="shared" si="49"/>
        <v/>
      </c>
      <c r="W205" s="14" t="str">
        <f>IF(X205="","",IFERROR(INDEX($AL$11:$AL$4010,MATCH(195,$AY$11:$AY$4010,0)),""))</f>
        <v/>
      </c>
      <c r="X205" s="12" t="str">
        <f>IFERROR(INDEX($AM$11:$AM$4010,MATCH(195,$AY$11:$AY$4010,0)),"")</f>
        <v/>
      </c>
      <c r="Y205" s="11" t="str">
        <f>IF(X205="","",IFERROR(INDEX($AN$11:$AN$4010,MATCH(195,$AY$11:$AY$4010,0)),""))</f>
        <v/>
      </c>
      <c r="Z205" s="11" t="str">
        <f>IF(X205="","",IFERROR(INDEX($AO$11:$AO$4010,MATCH(195,$AY$11:$AY$4010,0)),""))</f>
        <v/>
      </c>
      <c r="AA205" s="10" t="str">
        <f>IF(X205="","",IFERROR(INDEX($AQ$11:$AQ$4010,MATCH(195,$AY$11:$AY$4010,0)),""))</f>
        <v/>
      </c>
      <c r="AB205" s="15" t="str">
        <f>IF(X205="","",IFERROR(INDEX($AR$11:$AR$4010,MATCH(195,$AY$11:$AY$4010,0)),""))</f>
        <v/>
      </c>
      <c r="AD205" s="16" t="str">
        <f>IF(AE205="","",IFERROR(INDEX($AL$11:$AL$4010,MATCH(195,$AZ$11:$AZ$4010,0)),""))</f>
        <v/>
      </c>
      <c r="AE205" s="12" t="str">
        <f>IFERROR(INDEX($AM$11:$AM$4010,MATCH(195,$AZ$11:$AZ$4010,0)),"")</f>
        <v/>
      </c>
      <c r="AF205" s="11" t="str">
        <f>IF(AE205="","",IFERROR(INDEX($AN$11:$AN$4010,MATCH(195,$AZ$11:$AZ$4010,0)),""))</f>
        <v/>
      </c>
      <c r="AG205" s="11" t="str">
        <f>IF(AE205="","",IFERROR(INDEX($AO$11:$AO$4010,MATCH(195,$AZ$11:$AZ$4010,0)),""))</f>
        <v/>
      </c>
      <c r="AH205" s="10" t="str">
        <f>IF(AE205="","",IFERROR(INDEX($AQ$11:$AQ$4010,MATCH(195,$AZ$11:$AZ$4010,0)),""))</f>
        <v/>
      </c>
      <c r="AI205" s="15" t="str">
        <f>IF(AE205="","",IFERROR(INDEX($AR$11:$AR$4010,MATCH(195,$AZ$11:$AZ$4010,0)),""))</f>
        <v/>
      </c>
      <c r="AJ205" s="15" t="str">
        <f>IF(AE205="","",IFERROR(INDEX($AT$11:$AT$4010,MATCH(195,$AZ$11:$AZ$4010,0)),""))</f>
        <v/>
      </c>
      <c r="AL205" s="17" t="str">
        <f t="shared" si="50"/>
        <v/>
      </c>
      <c r="AM205" s="12" t="str">
        <f t="shared" si="51"/>
        <v/>
      </c>
      <c r="AN205" s="18" t="str">
        <f t="shared" si="52"/>
        <v/>
      </c>
      <c r="AO205" s="18" t="str">
        <f t="shared" si="53"/>
        <v/>
      </c>
      <c r="AP205" s="10" t="str">
        <f t="shared" si="54"/>
        <v/>
      </c>
      <c r="AQ205" s="10" t="str">
        <f t="shared" si="55"/>
        <v/>
      </c>
      <c r="AR205" s="19" t="str">
        <f t="shared" si="56"/>
        <v/>
      </c>
      <c r="AS205" s="20"/>
      <c r="AT205" s="19"/>
      <c r="AV205" s="21">
        <f>IF(AND($AL205&lt;&gt;"",COUNTIF($AL$11:$AL205,$AL205)=1),1,0)</f>
        <v>0</v>
      </c>
      <c r="AW205" s="21">
        <f t="shared" si="58"/>
        <v>2</v>
      </c>
      <c r="AX205" s="21" t="str">
        <f t="shared" si="57"/>
        <v/>
      </c>
      <c r="AY205" s="21" t="str">
        <f>IF(AND($AM205&lt;&gt;"",$AS205&lt;&gt;"✓"),SUMPRODUCT(($AM$11:$AM205&lt;&gt;"")*($AS$11:$AS205&lt;&gt;"✓")),"")</f>
        <v/>
      </c>
      <c r="AZ205" s="21" t="str">
        <f>IF(AND($AM205&lt;&gt;"",$AS205="✓"),SUMPRODUCT(($AM$11:$AM205&lt;&gt;"")*($AS$11:$AS205="✓")),"")</f>
        <v/>
      </c>
      <c r="BA205" s="21" t="str">
        <f>IF($AL205="","",$AL205&amp;"|"&amp;COUNTIF($AL$11:$AL205,$AL205))</f>
        <v/>
      </c>
    </row>
    <row r="206" spans="2:53" ht="15" customHeight="1" x14ac:dyDescent="0.25">
      <c r="B206" s="5" t="str">
        <f t="shared" si="45"/>
        <v/>
      </c>
      <c r="C206" s="5"/>
      <c r="D206" s="5"/>
      <c r="E206" s="5"/>
      <c r="F206" s="6"/>
      <c r="G206" s="6"/>
      <c r="H206" s="7"/>
      <c r="I206" s="8"/>
      <c r="K206" s="23" t="str">
        <f>IFERROR(INDEX($AL$11:$AL$4010,MATCH(196,$AX$11:$AX$4010,0)),"")</f>
        <v/>
      </c>
      <c r="L206" s="24" t="str">
        <f t="shared" si="46"/>
        <v/>
      </c>
      <c r="M206" s="25" t="str">
        <f t="shared" si="47"/>
        <v/>
      </c>
      <c r="N206" s="25" t="str">
        <f t="shared" si="48"/>
        <v/>
      </c>
      <c r="P206" s="26" t="str">
        <f>IFERROR(INDEX($AM$11:$AM$4010,MATCH($S$8&amp;"|"&amp;196,$BA$11:$BA$4010,0)),"")</f>
        <v/>
      </c>
      <c r="Q206" s="25" t="str">
        <f>IF(P206="","",IFERROR(INDEX($AN$11:$AN$4010,MATCH($S$8&amp;"|"&amp;196,$BA$11:$BA$4010,0)),""))</f>
        <v/>
      </c>
      <c r="R206" s="25" t="str">
        <f>IF(P206="","",IFERROR(INDEX($AO$11:$AO$4010,MATCH($S$8&amp;"|"&amp;196,$BA$11:$BA$4010,0)),""))</f>
        <v/>
      </c>
      <c r="S206" s="24" t="str">
        <f>IF(P206="","",IFERROR(INDEX($AP$11:$AP$4010,MATCH($S$8&amp;"|"&amp;196,$BA$11:$BA$4010,0)),""))</f>
        <v/>
      </c>
      <c r="T206" s="24" t="str">
        <f>IF(P206="","",IFERROR(INDEX($AQ$11:$AQ$4010,MATCH($S$8&amp;"|"&amp;196,$BA$11:$BA$4010,0)),""))</f>
        <v/>
      </c>
      <c r="U206" s="38" t="str">
        <f t="shared" si="49"/>
        <v/>
      </c>
      <c r="W206" s="28" t="str">
        <f>IF(X206="","",IFERROR(INDEX($AL$11:$AL$4010,MATCH(196,$AY$11:$AY$4010,0)),""))</f>
        <v/>
      </c>
      <c r="X206" s="26" t="str">
        <f>IFERROR(INDEX($AM$11:$AM$4010,MATCH(196,$AY$11:$AY$4010,0)),"")</f>
        <v/>
      </c>
      <c r="Y206" s="25" t="str">
        <f>IF(X206="","",IFERROR(INDEX($AN$11:$AN$4010,MATCH(196,$AY$11:$AY$4010,0)),""))</f>
        <v/>
      </c>
      <c r="Z206" s="25" t="str">
        <f>IF(X206="","",IFERROR(INDEX($AO$11:$AO$4010,MATCH(196,$AY$11:$AY$4010,0)),""))</f>
        <v/>
      </c>
      <c r="AA206" s="24" t="str">
        <f>IF(X206="","",IFERROR(INDEX($AQ$11:$AQ$4010,MATCH(196,$AY$11:$AY$4010,0)),""))</f>
        <v/>
      </c>
      <c r="AB206" s="29" t="str">
        <f>IF(X206="","",IFERROR(INDEX($AR$11:$AR$4010,MATCH(196,$AY$11:$AY$4010,0)),""))</f>
        <v/>
      </c>
      <c r="AD206" s="30" t="str">
        <f>IF(AE206="","",IFERROR(INDEX($AL$11:$AL$4010,MATCH(196,$AZ$11:$AZ$4010,0)),""))</f>
        <v/>
      </c>
      <c r="AE206" s="26" t="str">
        <f>IFERROR(INDEX($AM$11:$AM$4010,MATCH(196,$AZ$11:$AZ$4010,0)),"")</f>
        <v/>
      </c>
      <c r="AF206" s="25" t="str">
        <f>IF(AE206="","",IFERROR(INDEX($AN$11:$AN$4010,MATCH(196,$AZ$11:$AZ$4010,0)),""))</f>
        <v/>
      </c>
      <c r="AG206" s="25" t="str">
        <f>IF(AE206="","",IFERROR(INDEX($AO$11:$AO$4010,MATCH(196,$AZ$11:$AZ$4010,0)),""))</f>
        <v/>
      </c>
      <c r="AH206" s="24" t="str">
        <f>IF(AE206="","",IFERROR(INDEX($AQ$11:$AQ$4010,MATCH(196,$AZ$11:$AZ$4010,0)),""))</f>
        <v/>
      </c>
      <c r="AI206" s="29" t="str">
        <f>IF(AE206="","",IFERROR(INDEX($AR$11:$AR$4010,MATCH(196,$AZ$11:$AZ$4010,0)),""))</f>
        <v/>
      </c>
      <c r="AJ206" s="29" t="str">
        <f>IF(AE206="","",IFERROR(INDEX($AT$11:$AT$4010,MATCH(196,$AZ$11:$AZ$4010,0)),""))</f>
        <v/>
      </c>
      <c r="AL206" s="31" t="str">
        <f t="shared" si="50"/>
        <v/>
      </c>
      <c r="AM206" s="26" t="str">
        <f t="shared" si="51"/>
        <v/>
      </c>
      <c r="AN206" s="32" t="str">
        <f t="shared" si="52"/>
        <v/>
      </c>
      <c r="AO206" s="32" t="str">
        <f t="shared" si="53"/>
        <v/>
      </c>
      <c r="AP206" s="24" t="str">
        <f t="shared" si="54"/>
        <v/>
      </c>
      <c r="AQ206" s="24" t="str">
        <f t="shared" si="55"/>
        <v/>
      </c>
      <c r="AR206" s="33" t="str">
        <f t="shared" si="56"/>
        <v/>
      </c>
      <c r="AS206" s="34"/>
      <c r="AT206" s="33"/>
      <c r="AV206" s="21">
        <f>IF(AND($AL206&lt;&gt;"",COUNTIF($AL$11:$AL206,$AL206)=1),1,0)</f>
        <v>0</v>
      </c>
      <c r="AW206" s="21">
        <f t="shared" si="58"/>
        <v>2</v>
      </c>
      <c r="AX206" s="21" t="str">
        <f t="shared" si="57"/>
        <v/>
      </c>
      <c r="AY206" s="21" t="str">
        <f>IF(AND($AM206&lt;&gt;"",$AS206&lt;&gt;"✓"),SUMPRODUCT(($AM$11:$AM206&lt;&gt;"")*($AS$11:$AS206&lt;&gt;"✓")),"")</f>
        <v/>
      </c>
      <c r="AZ206" s="21" t="str">
        <f>IF(AND($AM206&lt;&gt;"",$AS206="✓"),SUMPRODUCT(($AM$11:$AM206&lt;&gt;"")*($AS$11:$AS206="✓")),"")</f>
        <v/>
      </c>
      <c r="BA206" s="21" t="str">
        <f>IF($AL206="","",$AL206&amp;"|"&amp;COUNTIF($AL$11:$AL206,$AL206))</f>
        <v/>
      </c>
    </row>
    <row r="207" spans="2:53" ht="15" customHeight="1" x14ac:dyDescent="0.25">
      <c r="B207" s="5" t="str">
        <f t="shared" si="45"/>
        <v/>
      </c>
      <c r="C207" s="5"/>
      <c r="D207" s="5"/>
      <c r="E207" s="5"/>
      <c r="F207" s="6"/>
      <c r="G207" s="6"/>
      <c r="H207" s="7"/>
      <c r="I207" s="8"/>
      <c r="K207" s="9" t="str">
        <f>IFERROR(INDEX($AL$11:$AL$4010,MATCH(197,$AX$11:$AX$4010,0)),"")</f>
        <v/>
      </c>
      <c r="L207" s="10" t="str">
        <f t="shared" si="46"/>
        <v/>
      </c>
      <c r="M207" s="11" t="str">
        <f t="shared" si="47"/>
        <v/>
      </c>
      <c r="N207" s="11" t="str">
        <f t="shared" si="48"/>
        <v/>
      </c>
      <c r="P207" s="12" t="str">
        <f>IFERROR(INDEX($AM$11:$AM$4010,MATCH($S$8&amp;"|"&amp;197,$BA$11:$BA$4010,0)),"")</f>
        <v/>
      </c>
      <c r="Q207" s="11" t="str">
        <f>IF(P207="","",IFERROR(INDEX($AN$11:$AN$4010,MATCH($S$8&amp;"|"&amp;197,$BA$11:$BA$4010,0)),""))</f>
        <v/>
      </c>
      <c r="R207" s="11" t="str">
        <f>IF(P207="","",IFERROR(INDEX($AO$11:$AO$4010,MATCH($S$8&amp;"|"&amp;197,$BA$11:$BA$4010,0)),""))</f>
        <v/>
      </c>
      <c r="S207" s="10" t="str">
        <f>IF(P207="","",IFERROR(INDEX($AP$11:$AP$4010,MATCH($S$8&amp;"|"&amp;197,$BA$11:$BA$4010,0)),""))</f>
        <v/>
      </c>
      <c r="T207" s="10" t="str">
        <f>IF(P207="","",IFERROR(INDEX($AQ$11:$AQ$4010,MATCH($S$8&amp;"|"&amp;197,$BA$11:$BA$4010,0)),""))</f>
        <v/>
      </c>
      <c r="U207" s="39" t="str">
        <f t="shared" si="49"/>
        <v/>
      </c>
      <c r="W207" s="14" t="str">
        <f>IF(X207="","",IFERROR(INDEX($AL$11:$AL$4010,MATCH(197,$AY$11:$AY$4010,0)),""))</f>
        <v/>
      </c>
      <c r="X207" s="12" t="str">
        <f>IFERROR(INDEX($AM$11:$AM$4010,MATCH(197,$AY$11:$AY$4010,0)),"")</f>
        <v/>
      </c>
      <c r="Y207" s="11" t="str">
        <f>IF(X207="","",IFERROR(INDEX($AN$11:$AN$4010,MATCH(197,$AY$11:$AY$4010,0)),""))</f>
        <v/>
      </c>
      <c r="Z207" s="11" t="str">
        <f>IF(X207="","",IFERROR(INDEX($AO$11:$AO$4010,MATCH(197,$AY$11:$AY$4010,0)),""))</f>
        <v/>
      </c>
      <c r="AA207" s="10" t="str">
        <f>IF(X207="","",IFERROR(INDEX($AQ$11:$AQ$4010,MATCH(197,$AY$11:$AY$4010,0)),""))</f>
        <v/>
      </c>
      <c r="AB207" s="15" t="str">
        <f>IF(X207="","",IFERROR(INDEX($AR$11:$AR$4010,MATCH(197,$AY$11:$AY$4010,0)),""))</f>
        <v/>
      </c>
      <c r="AD207" s="16" t="str">
        <f>IF(AE207="","",IFERROR(INDEX($AL$11:$AL$4010,MATCH(197,$AZ$11:$AZ$4010,0)),""))</f>
        <v/>
      </c>
      <c r="AE207" s="12" t="str">
        <f>IFERROR(INDEX($AM$11:$AM$4010,MATCH(197,$AZ$11:$AZ$4010,0)),"")</f>
        <v/>
      </c>
      <c r="AF207" s="11" t="str">
        <f>IF(AE207="","",IFERROR(INDEX($AN$11:$AN$4010,MATCH(197,$AZ$11:$AZ$4010,0)),""))</f>
        <v/>
      </c>
      <c r="AG207" s="11" t="str">
        <f>IF(AE207="","",IFERROR(INDEX($AO$11:$AO$4010,MATCH(197,$AZ$11:$AZ$4010,0)),""))</f>
        <v/>
      </c>
      <c r="AH207" s="10" t="str">
        <f>IF(AE207="","",IFERROR(INDEX($AQ$11:$AQ$4010,MATCH(197,$AZ$11:$AZ$4010,0)),""))</f>
        <v/>
      </c>
      <c r="AI207" s="15" t="str">
        <f>IF(AE207="","",IFERROR(INDEX($AR$11:$AR$4010,MATCH(197,$AZ$11:$AZ$4010,0)),""))</f>
        <v/>
      </c>
      <c r="AJ207" s="15" t="str">
        <f>IF(AE207="","",IFERROR(INDEX($AT$11:$AT$4010,MATCH(197,$AZ$11:$AZ$4010,0)),""))</f>
        <v/>
      </c>
      <c r="AL207" s="17" t="str">
        <f t="shared" si="50"/>
        <v/>
      </c>
      <c r="AM207" s="12" t="str">
        <f t="shared" si="51"/>
        <v/>
      </c>
      <c r="AN207" s="18" t="str">
        <f t="shared" si="52"/>
        <v/>
      </c>
      <c r="AO207" s="18" t="str">
        <f t="shared" si="53"/>
        <v/>
      </c>
      <c r="AP207" s="10" t="str">
        <f t="shared" si="54"/>
        <v/>
      </c>
      <c r="AQ207" s="10" t="str">
        <f t="shared" si="55"/>
        <v/>
      </c>
      <c r="AR207" s="19" t="str">
        <f t="shared" si="56"/>
        <v/>
      </c>
      <c r="AS207" s="20"/>
      <c r="AT207" s="19"/>
      <c r="AV207" s="21">
        <f>IF(AND($AL207&lt;&gt;"",COUNTIF($AL$11:$AL207,$AL207)=1),1,0)</f>
        <v>0</v>
      </c>
      <c r="AW207" s="21">
        <f t="shared" si="58"/>
        <v>2</v>
      </c>
      <c r="AX207" s="21" t="str">
        <f t="shared" si="57"/>
        <v/>
      </c>
      <c r="AY207" s="21" t="str">
        <f>IF(AND($AM207&lt;&gt;"",$AS207&lt;&gt;"✓"),SUMPRODUCT(($AM$11:$AM207&lt;&gt;"")*($AS$11:$AS207&lt;&gt;"✓")),"")</f>
        <v/>
      </c>
      <c r="AZ207" s="21" t="str">
        <f>IF(AND($AM207&lt;&gt;"",$AS207="✓"),SUMPRODUCT(($AM$11:$AM207&lt;&gt;"")*($AS$11:$AS207="✓")),"")</f>
        <v/>
      </c>
      <c r="BA207" s="21" t="str">
        <f>IF($AL207="","",$AL207&amp;"|"&amp;COUNTIF($AL$11:$AL207,$AL207))</f>
        <v/>
      </c>
    </row>
    <row r="208" spans="2:53" ht="15" customHeight="1" x14ac:dyDescent="0.25">
      <c r="B208" s="5" t="str">
        <f t="shared" si="45"/>
        <v/>
      </c>
      <c r="C208" s="5"/>
      <c r="D208" s="5"/>
      <c r="E208" s="5"/>
      <c r="F208" s="6"/>
      <c r="G208" s="6"/>
      <c r="H208" s="7"/>
      <c r="I208" s="8"/>
      <c r="K208" s="23" t="str">
        <f>IFERROR(INDEX($AL$11:$AL$4010,MATCH(198,$AX$11:$AX$4010,0)),"")</f>
        <v/>
      </c>
      <c r="L208" s="24" t="str">
        <f t="shared" si="46"/>
        <v/>
      </c>
      <c r="M208" s="25" t="str">
        <f t="shared" si="47"/>
        <v/>
      </c>
      <c r="N208" s="25" t="str">
        <f t="shared" si="48"/>
        <v/>
      </c>
      <c r="P208" s="26" t="str">
        <f>IFERROR(INDEX($AM$11:$AM$4010,MATCH($S$8&amp;"|"&amp;198,$BA$11:$BA$4010,0)),"")</f>
        <v/>
      </c>
      <c r="Q208" s="25" t="str">
        <f>IF(P208="","",IFERROR(INDEX($AN$11:$AN$4010,MATCH($S$8&amp;"|"&amp;198,$BA$11:$BA$4010,0)),""))</f>
        <v/>
      </c>
      <c r="R208" s="25" t="str">
        <f>IF(P208="","",IFERROR(INDEX($AO$11:$AO$4010,MATCH($S$8&amp;"|"&amp;198,$BA$11:$BA$4010,0)),""))</f>
        <v/>
      </c>
      <c r="S208" s="24" t="str">
        <f>IF(P208="","",IFERROR(INDEX($AP$11:$AP$4010,MATCH($S$8&amp;"|"&amp;198,$BA$11:$BA$4010,0)),""))</f>
        <v/>
      </c>
      <c r="T208" s="24" t="str">
        <f>IF(P208="","",IFERROR(INDEX($AQ$11:$AQ$4010,MATCH($S$8&amp;"|"&amp;198,$BA$11:$BA$4010,0)),""))</f>
        <v/>
      </c>
      <c r="U208" s="38" t="str">
        <f t="shared" si="49"/>
        <v/>
      </c>
      <c r="W208" s="28" t="str">
        <f>IF(X208="","",IFERROR(INDEX($AL$11:$AL$4010,MATCH(198,$AY$11:$AY$4010,0)),""))</f>
        <v/>
      </c>
      <c r="X208" s="26" t="str">
        <f>IFERROR(INDEX($AM$11:$AM$4010,MATCH(198,$AY$11:$AY$4010,0)),"")</f>
        <v/>
      </c>
      <c r="Y208" s="25" t="str">
        <f>IF(X208="","",IFERROR(INDEX($AN$11:$AN$4010,MATCH(198,$AY$11:$AY$4010,0)),""))</f>
        <v/>
      </c>
      <c r="Z208" s="25" t="str">
        <f>IF(X208="","",IFERROR(INDEX($AO$11:$AO$4010,MATCH(198,$AY$11:$AY$4010,0)),""))</f>
        <v/>
      </c>
      <c r="AA208" s="24" t="str">
        <f>IF(X208="","",IFERROR(INDEX($AQ$11:$AQ$4010,MATCH(198,$AY$11:$AY$4010,0)),""))</f>
        <v/>
      </c>
      <c r="AB208" s="29" t="str">
        <f>IF(X208="","",IFERROR(INDEX($AR$11:$AR$4010,MATCH(198,$AY$11:$AY$4010,0)),""))</f>
        <v/>
      </c>
      <c r="AD208" s="30" t="str">
        <f>IF(AE208="","",IFERROR(INDEX($AL$11:$AL$4010,MATCH(198,$AZ$11:$AZ$4010,0)),""))</f>
        <v/>
      </c>
      <c r="AE208" s="26" t="str">
        <f>IFERROR(INDEX($AM$11:$AM$4010,MATCH(198,$AZ$11:$AZ$4010,0)),"")</f>
        <v/>
      </c>
      <c r="AF208" s="25" t="str">
        <f>IF(AE208="","",IFERROR(INDEX($AN$11:$AN$4010,MATCH(198,$AZ$11:$AZ$4010,0)),""))</f>
        <v/>
      </c>
      <c r="AG208" s="25" t="str">
        <f>IF(AE208="","",IFERROR(INDEX($AO$11:$AO$4010,MATCH(198,$AZ$11:$AZ$4010,0)),""))</f>
        <v/>
      </c>
      <c r="AH208" s="24" t="str">
        <f>IF(AE208="","",IFERROR(INDEX($AQ$11:$AQ$4010,MATCH(198,$AZ$11:$AZ$4010,0)),""))</f>
        <v/>
      </c>
      <c r="AI208" s="29" t="str">
        <f>IF(AE208="","",IFERROR(INDEX($AR$11:$AR$4010,MATCH(198,$AZ$11:$AZ$4010,0)),""))</f>
        <v/>
      </c>
      <c r="AJ208" s="29" t="str">
        <f>IF(AE208="","",IFERROR(INDEX($AT$11:$AT$4010,MATCH(198,$AZ$11:$AZ$4010,0)),""))</f>
        <v/>
      </c>
      <c r="AL208" s="31" t="str">
        <f t="shared" si="50"/>
        <v/>
      </c>
      <c r="AM208" s="26" t="str">
        <f t="shared" si="51"/>
        <v/>
      </c>
      <c r="AN208" s="32" t="str">
        <f t="shared" si="52"/>
        <v/>
      </c>
      <c r="AO208" s="32" t="str">
        <f t="shared" si="53"/>
        <v/>
      </c>
      <c r="AP208" s="24" t="str">
        <f t="shared" si="54"/>
        <v/>
      </c>
      <c r="AQ208" s="24" t="str">
        <f t="shared" si="55"/>
        <v/>
      </c>
      <c r="AR208" s="33" t="str">
        <f t="shared" si="56"/>
        <v/>
      </c>
      <c r="AS208" s="34"/>
      <c r="AT208" s="33"/>
      <c r="AV208" s="21">
        <f>IF(AND($AL208&lt;&gt;"",COUNTIF($AL$11:$AL208,$AL208)=1),1,0)</f>
        <v>0</v>
      </c>
      <c r="AW208" s="21">
        <f t="shared" si="58"/>
        <v>2</v>
      </c>
      <c r="AX208" s="21" t="str">
        <f t="shared" si="57"/>
        <v/>
      </c>
      <c r="AY208" s="21" t="str">
        <f>IF(AND($AM208&lt;&gt;"",$AS208&lt;&gt;"✓"),SUMPRODUCT(($AM$11:$AM208&lt;&gt;"")*($AS$11:$AS208&lt;&gt;"✓")),"")</f>
        <v/>
      </c>
      <c r="AZ208" s="21" t="str">
        <f>IF(AND($AM208&lt;&gt;"",$AS208="✓"),SUMPRODUCT(($AM$11:$AM208&lt;&gt;"")*($AS$11:$AS208="✓")),"")</f>
        <v/>
      </c>
      <c r="BA208" s="21" t="str">
        <f>IF($AL208="","",$AL208&amp;"|"&amp;COUNTIF($AL$11:$AL208,$AL208))</f>
        <v/>
      </c>
    </row>
    <row r="209" spans="2:53" ht="15" customHeight="1" x14ac:dyDescent="0.25">
      <c r="B209" s="5" t="str">
        <f t="shared" si="45"/>
        <v/>
      </c>
      <c r="C209" s="5"/>
      <c r="D209" s="5"/>
      <c r="E209" s="5"/>
      <c r="F209" s="6"/>
      <c r="G209" s="6"/>
      <c r="H209" s="7"/>
      <c r="I209" s="8"/>
      <c r="K209" s="9" t="str">
        <f>IFERROR(INDEX($AL$11:$AL$4010,MATCH(199,$AX$11:$AX$4010,0)),"")</f>
        <v/>
      </c>
      <c r="L209" s="10" t="str">
        <f t="shared" si="46"/>
        <v/>
      </c>
      <c r="M209" s="11" t="str">
        <f t="shared" si="47"/>
        <v/>
      </c>
      <c r="N209" s="11" t="str">
        <f t="shared" si="48"/>
        <v/>
      </c>
      <c r="P209" s="12" t="str">
        <f>IFERROR(INDEX($AM$11:$AM$4010,MATCH($S$8&amp;"|"&amp;199,$BA$11:$BA$4010,0)),"")</f>
        <v/>
      </c>
      <c r="Q209" s="11" t="str">
        <f>IF(P209="","",IFERROR(INDEX($AN$11:$AN$4010,MATCH($S$8&amp;"|"&amp;199,$BA$11:$BA$4010,0)),""))</f>
        <v/>
      </c>
      <c r="R209" s="11" t="str">
        <f>IF(P209="","",IFERROR(INDEX($AO$11:$AO$4010,MATCH($S$8&amp;"|"&amp;199,$BA$11:$BA$4010,0)),""))</f>
        <v/>
      </c>
      <c r="S209" s="10" t="str">
        <f>IF(P209="","",IFERROR(INDEX($AP$11:$AP$4010,MATCH($S$8&amp;"|"&amp;199,$BA$11:$BA$4010,0)),""))</f>
        <v/>
      </c>
      <c r="T209" s="10" t="str">
        <f>IF(P209="","",IFERROR(INDEX($AQ$11:$AQ$4010,MATCH($S$8&amp;"|"&amp;199,$BA$11:$BA$4010,0)),""))</f>
        <v/>
      </c>
      <c r="U209" s="39" t="str">
        <f t="shared" si="49"/>
        <v/>
      </c>
      <c r="W209" s="14" t="str">
        <f>IF(X209="","",IFERROR(INDEX($AL$11:$AL$4010,MATCH(199,$AY$11:$AY$4010,0)),""))</f>
        <v/>
      </c>
      <c r="X209" s="12" t="str">
        <f>IFERROR(INDEX($AM$11:$AM$4010,MATCH(199,$AY$11:$AY$4010,0)),"")</f>
        <v/>
      </c>
      <c r="Y209" s="11" t="str">
        <f>IF(X209="","",IFERROR(INDEX($AN$11:$AN$4010,MATCH(199,$AY$11:$AY$4010,0)),""))</f>
        <v/>
      </c>
      <c r="Z209" s="11" t="str">
        <f>IF(X209="","",IFERROR(INDEX($AO$11:$AO$4010,MATCH(199,$AY$11:$AY$4010,0)),""))</f>
        <v/>
      </c>
      <c r="AA209" s="10" t="str">
        <f>IF(X209="","",IFERROR(INDEX($AQ$11:$AQ$4010,MATCH(199,$AY$11:$AY$4010,0)),""))</f>
        <v/>
      </c>
      <c r="AB209" s="15" t="str">
        <f>IF(X209="","",IFERROR(INDEX($AR$11:$AR$4010,MATCH(199,$AY$11:$AY$4010,0)),""))</f>
        <v/>
      </c>
      <c r="AD209" s="16" t="str">
        <f>IF(AE209="","",IFERROR(INDEX($AL$11:$AL$4010,MATCH(199,$AZ$11:$AZ$4010,0)),""))</f>
        <v/>
      </c>
      <c r="AE209" s="12" t="str">
        <f>IFERROR(INDEX($AM$11:$AM$4010,MATCH(199,$AZ$11:$AZ$4010,0)),"")</f>
        <v/>
      </c>
      <c r="AF209" s="11" t="str">
        <f>IF(AE209="","",IFERROR(INDEX($AN$11:$AN$4010,MATCH(199,$AZ$11:$AZ$4010,0)),""))</f>
        <v/>
      </c>
      <c r="AG209" s="11" t="str">
        <f>IF(AE209="","",IFERROR(INDEX($AO$11:$AO$4010,MATCH(199,$AZ$11:$AZ$4010,0)),""))</f>
        <v/>
      </c>
      <c r="AH209" s="10" t="str">
        <f>IF(AE209="","",IFERROR(INDEX($AQ$11:$AQ$4010,MATCH(199,$AZ$11:$AZ$4010,0)),""))</f>
        <v/>
      </c>
      <c r="AI209" s="15" t="str">
        <f>IF(AE209="","",IFERROR(INDEX($AR$11:$AR$4010,MATCH(199,$AZ$11:$AZ$4010,0)),""))</f>
        <v/>
      </c>
      <c r="AJ209" s="15" t="str">
        <f>IF(AE209="","",IFERROR(INDEX($AT$11:$AT$4010,MATCH(199,$AZ$11:$AZ$4010,0)),""))</f>
        <v/>
      </c>
      <c r="AL209" s="17" t="str">
        <f t="shared" si="50"/>
        <v/>
      </c>
      <c r="AM209" s="12" t="str">
        <f t="shared" si="51"/>
        <v/>
      </c>
      <c r="AN209" s="18" t="str">
        <f t="shared" si="52"/>
        <v/>
      </c>
      <c r="AO209" s="18" t="str">
        <f t="shared" si="53"/>
        <v/>
      </c>
      <c r="AP209" s="10" t="str">
        <f t="shared" si="54"/>
        <v/>
      </c>
      <c r="AQ209" s="10" t="str">
        <f t="shared" si="55"/>
        <v/>
      </c>
      <c r="AR209" s="19" t="str">
        <f t="shared" si="56"/>
        <v/>
      </c>
      <c r="AS209" s="20"/>
      <c r="AT209" s="19"/>
      <c r="AV209" s="21">
        <f>IF(AND($AL209&lt;&gt;"",COUNTIF($AL$11:$AL209,$AL209)=1),1,0)</f>
        <v>0</v>
      </c>
      <c r="AW209" s="21">
        <f t="shared" si="58"/>
        <v>2</v>
      </c>
      <c r="AX209" s="21" t="str">
        <f t="shared" si="57"/>
        <v/>
      </c>
      <c r="AY209" s="21" t="str">
        <f>IF(AND($AM209&lt;&gt;"",$AS209&lt;&gt;"✓"),SUMPRODUCT(($AM$11:$AM209&lt;&gt;"")*($AS$11:$AS209&lt;&gt;"✓")),"")</f>
        <v/>
      </c>
      <c r="AZ209" s="21" t="str">
        <f>IF(AND($AM209&lt;&gt;"",$AS209="✓"),SUMPRODUCT(($AM$11:$AM209&lt;&gt;"")*($AS$11:$AS209="✓")),"")</f>
        <v/>
      </c>
      <c r="BA209" s="21" t="str">
        <f>IF($AL209="","",$AL209&amp;"|"&amp;COUNTIF($AL$11:$AL209,$AL209))</f>
        <v/>
      </c>
    </row>
    <row r="210" spans="2:53" ht="15" customHeight="1" x14ac:dyDescent="0.25">
      <c r="B210" s="5" t="str">
        <f t="shared" si="45"/>
        <v/>
      </c>
      <c r="C210" s="5"/>
      <c r="D210" s="5"/>
      <c r="E210" s="5"/>
      <c r="F210" s="6"/>
      <c r="G210" s="6"/>
      <c r="H210" s="7"/>
      <c r="I210" s="8"/>
      <c r="K210" s="23" t="str">
        <f>IFERROR(INDEX($AL$11:$AL$4010,MATCH(200,$AX$11:$AX$4010,0)),"")</f>
        <v/>
      </c>
      <c r="L210" s="24" t="str">
        <f t="shared" si="46"/>
        <v/>
      </c>
      <c r="M210" s="25" t="str">
        <f t="shared" si="47"/>
        <v/>
      </c>
      <c r="N210" s="25" t="str">
        <f t="shared" si="48"/>
        <v/>
      </c>
      <c r="P210" s="26" t="str">
        <f>IFERROR(INDEX($AM$11:$AM$4010,MATCH($S$8&amp;"|"&amp;200,$BA$11:$BA$4010,0)),"")</f>
        <v/>
      </c>
      <c r="Q210" s="25" t="str">
        <f>IF(P210="","",IFERROR(INDEX($AN$11:$AN$4010,MATCH($S$8&amp;"|"&amp;200,$BA$11:$BA$4010,0)),""))</f>
        <v/>
      </c>
      <c r="R210" s="25" t="str">
        <f>IF(P210="","",IFERROR(INDEX($AO$11:$AO$4010,MATCH($S$8&amp;"|"&amp;200,$BA$11:$BA$4010,0)),""))</f>
        <v/>
      </c>
      <c r="S210" s="24" t="str">
        <f>IF(P210="","",IFERROR(INDEX($AP$11:$AP$4010,MATCH($S$8&amp;"|"&amp;200,$BA$11:$BA$4010,0)),""))</f>
        <v/>
      </c>
      <c r="T210" s="24" t="str">
        <f>IF(P210="","",IFERROR(INDEX($AQ$11:$AQ$4010,MATCH($S$8&amp;"|"&amp;200,$BA$11:$BA$4010,0)),""))</f>
        <v/>
      </c>
      <c r="U210" s="38" t="str">
        <f t="shared" si="49"/>
        <v/>
      </c>
      <c r="W210" s="28" t="str">
        <f>IF(X210="","",IFERROR(INDEX($AL$11:$AL$4010,MATCH(200,$AY$11:$AY$4010,0)),""))</f>
        <v/>
      </c>
      <c r="X210" s="26" t="str">
        <f>IFERROR(INDEX($AM$11:$AM$4010,MATCH(200,$AY$11:$AY$4010,0)),"")</f>
        <v/>
      </c>
      <c r="Y210" s="25" t="str">
        <f>IF(X210="","",IFERROR(INDEX($AN$11:$AN$4010,MATCH(200,$AY$11:$AY$4010,0)),""))</f>
        <v/>
      </c>
      <c r="Z210" s="25" t="str">
        <f>IF(X210="","",IFERROR(INDEX($AO$11:$AO$4010,MATCH(200,$AY$11:$AY$4010,0)),""))</f>
        <v/>
      </c>
      <c r="AA210" s="24" t="str">
        <f>IF(X210="","",IFERROR(INDEX($AQ$11:$AQ$4010,MATCH(200,$AY$11:$AY$4010,0)),""))</f>
        <v/>
      </c>
      <c r="AB210" s="29" t="str">
        <f>IF(X210="","",IFERROR(INDEX($AR$11:$AR$4010,MATCH(200,$AY$11:$AY$4010,0)),""))</f>
        <v/>
      </c>
      <c r="AD210" s="30" t="str">
        <f>IF(AE210="","",IFERROR(INDEX($AL$11:$AL$4010,MATCH(200,$AZ$11:$AZ$4010,0)),""))</f>
        <v/>
      </c>
      <c r="AE210" s="26" t="str">
        <f>IFERROR(INDEX($AM$11:$AM$4010,MATCH(200,$AZ$11:$AZ$4010,0)),"")</f>
        <v/>
      </c>
      <c r="AF210" s="25" t="str">
        <f>IF(AE210="","",IFERROR(INDEX($AN$11:$AN$4010,MATCH(200,$AZ$11:$AZ$4010,0)),""))</f>
        <v/>
      </c>
      <c r="AG210" s="25" t="str">
        <f>IF(AE210="","",IFERROR(INDEX($AO$11:$AO$4010,MATCH(200,$AZ$11:$AZ$4010,0)),""))</f>
        <v/>
      </c>
      <c r="AH210" s="24" t="str">
        <f>IF(AE210="","",IFERROR(INDEX($AQ$11:$AQ$4010,MATCH(200,$AZ$11:$AZ$4010,0)),""))</f>
        <v/>
      </c>
      <c r="AI210" s="29" t="str">
        <f>IF(AE210="","",IFERROR(INDEX($AR$11:$AR$4010,MATCH(200,$AZ$11:$AZ$4010,0)),""))</f>
        <v/>
      </c>
      <c r="AJ210" s="29" t="str">
        <f>IF(AE210="","",IFERROR(INDEX($AT$11:$AT$4010,MATCH(200,$AZ$11:$AZ$4010,0)),""))</f>
        <v/>
      </c>
      <c r="AL210" s="31" t="str">
        <f t="shared" si="50"/>
        <v/>
      </c>
      <c r="AM210" s="26" t="str">
        <f t="shared" si="51"/>
        <v/>
      </c>
      <c r="AN210" s="32" t="str">
        <f t="shared" si="52"/>
        <v/>
      </c>
      <c r="AO210" s="32" t="str">
        <f t="shared" si="53"/>
        <v/>
      </c>
      <c r="AP210" s="24" t="str">
        <f t="shared" si="54"/>
        <v/>
      </c>
      <c r="AQ210" s="24" t="str">
        <f t="shared" si="55"/>
        <v/>
      </c>
      <c r="AR210" s="33" t="str">
        <f t="shared" si="56"/>
        <v/>
      </c>
      <c r="AS210" s="34"/>
      <c r="AT210" s="33"/>
      <c r="AV210" s="21">
        <f>IF(AND($AL210&lt;&gt;"",COUNTIF($AL$11:$AL210,$AL210)=1),1,0)</f>
        <v>0</v>
      </c>
      <c r="AW210" s="21">
        <f t="shared" si="58"/>
        <v>2</v>
      </c>
      <c r="AX210" s="21" t="str">
        <f t="shared" si="57"/>
        <v/>
      </c>
      <c r="AY210" s="21" t="str">
        <f>IF(AND($AM210&lt;&gt;"",$AS210&lt;&gt;"✓"),SUMPRODUCT(($AM$11:$AM210&lt;&gt;"")*($AS$11:$AS210&lt;&gt;"✓")),"")</f>
        <v/>
      </c>
      <c r="AZ210" s="21" t="str">
        <f>IF(AND($AM210&lt;&gt;"",$AS210="✓"),SUMPRODUCT(($AM$11:$AM210&lt;&gt;"")*($AS$11:$AS210="✓")),"")</f>
        <v/>
      </c>
      <c r="BA210" s="21" t="str">
        <f>IF($AL210="","",$AL210&amp;"|"&amp;COUNTIF($AL$11:$AL210,$AL210))</f>
        <v/>
      </c>
    </row>
    <row r="211" spans="2:53" ht="15" customHeight="1" x14ac:dyDescent="0.25">
      <c r="B211" s="5" t="str">
        <f t="shared" si="45"/>
        <v/>
      </c>
      <c r="C211" s="5"/>
      <c r="D211" s="5"/>
      <c r="E211" s="5"/>
      <c r="F211" s="6"/>
      <c r="G211" s="6"/>
      <c r="H211" s="7"/>
      <c r="I211" s="8"/>
      <c r="K211" s="9" t="str">
        <f>IFERROR(INDEX($AL$11:$AL$4010,MATCH(201,$AX$11:$AX$4010,0)),"")</f>
        <v/>
      </c>
      <c r="L211" s="10" t="str">
        <f t="shared" si="46"/>
        <v/>
      </c>
      <c r="M211" s="11" t="str">
        <f t="shared" si="47"/>
        <v/>
      </c>
      <c r="N211" s="11" t="str">
        <f t="shared" si="48"/>
        <v/>
      </c>
      <c r="W211" s="14" t="str">
        <f>IF(X211="","",IFERROR(INDEX($AL$11:$AL$4010,MATCH(201,$AY$11:$AY$4010,0)),""))</f>
        <v/>
      </c>
      <c r="X211" s="12" t="str">
        <f>IFERROR(INDEX($AM$11:$AM$4010,MATCH(201,$AY$11:$AY$4010,0)),"")</f>
        <v/>
      </c>
      <c r="Y211" s="11" t="str">
        <f>IF(X211="","",IFERROR(INDEX($AN$11:$AN$4010,MATCH(201,$AY$11:$AY$4010,0)),""))</f>
        <v/>
      </c>
      <c r="Z211" s="11" t="str">
        <f>IF(X211="","",IFERROR(INDEX($AO$11:$AO$4010,MATCH(201,$AY$11:$AY$4010,0)),""))</f>
        <v/>
      </c>
      <c r="AA211" s="10" t="str">
        <f>IF(X211="","",IFERROR(INDEX($AQ$11:$AQ$4010,MATCH(201,$AY$11:$AY$4010,0)),""))</f>
        <v/>
      </c>
      <c r="AB211" s="15" t="str">
        <f>IF(X211="","",IFERROR(INDEX($AR$11:$AR$4010,MATCH(201,$AY$11:$AY$4010,0)),""))</f>
        <v/>
      </c>
      <c r="AD211" s="16" t="str">
        <f>IF(AE211="","",IFERROR(INDEX($AL$11:$AL$4010,MATCH(201,$AZ$11:$AZ$4010,0)),""))</f>
        <v/>
      </c>
      <c r="AE211" s="12" t="str">
        <f>IFERROR(INDEX($AM$11:$AM$4010,MATCH(201,$AZ$11:$AZ$4010,0)),"")</f>
        <v/>
      </c>
      <c r="AF211" s="11" t="str">
        <f>IF(AE211="","",IFERROR(INDEX($AN$11:$AN$4010,MATCH(201,$AZ$11:$AZ$4010,0)),""))</f>
        <v/>
      </c>
      <c r="AG211" s="11" t="str">
        <f>IF(AE211="","",IFERROR(INDEX($AO$11:$AO$4010,MATCH(201,$AZ$11:$AZ$4010,0)),""))</f>
        <v/>
      </c>
      <c r="AH211" s="10" t="str">
        <f>IF(AE211="","",IFERROR(INDEX($AQ$11:$AQ$4010,MATCH(201,$AZ$11:$AZ$4010,0)),""))</f>
        <v/>
      </c>
      <c r="AI211" s="15" t="str">
        <f>IF(AE211="","",IFERROR(INDEX($AR$11:$AR$4010,MATCH(201,$AZ$11:$AZ$4010,0)),""))</f>
        <v/>
      </c>
      <c r="AJ211" s="15" t="str">
        <f>IF(AE211="","",IFERROR(INDEX($AT$11:$AT$4010,MATCH(201,$AZ$11:$AZ$4010,0)),""))</f>
        <v/>
      </c>
      <c r="AL211" s="17" t="str">
        <f t="shared" si="50"/>
        <v/>
      </c>
      <c r="AM211" s="12" t="str">
        <f t="shared" si="51"/>
        <v/>
      </c>
      <c r="AN211" s="18" t="str">
        <f t="shared" si="52"/>
        <v/>
      </c>
      <c r="AO211" s="18" t="str">
        <f t="shared" si="53"/>
        <v/>
      </c>
      <c r="AP211" s="10" t="str">
        <f t="shared" si="54"/>
        <v/>
      </c>
      <c r="AQ211" s="10" t="str">
        <f t="shared" si="55"/>
        <v/>
      </c>
      <c r="AR211" s="19" t="str">
        <f t="shared" si="56"/>
        <v/>
      </c>
      <c r="AS211" s="20"/>
      <c r="AT211" s="19"/>
      <c r="AV211" s="21">
        <f>IF(AND($AL211&lt;&gt;"",COUNTIF($AL$11:$AL211,$AL211)=1),1,0)</f>
        <v>0</v>
      </c>
      <c r="AW211" s="21">
        <f t="shared" si="58"/>
        <v>2</v>
      </c>
      <c r="AX211" s="21" t="str">
        <f t="shared" si="57"/>
        <v/>
      </c>
      <c r="AY211" s="21" t="str">
        <f>IF(AND($AM211&lt;&gt;"",$AS211&lt;&gt;"✓"),SUMPRODUCT(($AM$11:$AM211&lt;&gt;"")*($AS$11:$AS211&lt;&gt;"✓")),"")</f>
        <v/>
      </c>
      <c r="AZ211" s="21" t="str">
        <f>IF(AND($AM211&lt;&gt;"",$AS211="✓"),SUMPRODUCT(($AM$11:$AM211&lt;&gt;"")*($AS$11:$AS211="✓")),"")</f>
        <v/>
      </c>
      <c r="BA211" s="21" t="str">
        <f>IF($AL211="","",$AL211&amp;"|"&amp;COUNTIF($AL$11:$AL211,$AL211))</f>
        <v/>
      </c>
    </row>
    <row r="212" spans="2:53" ht="15" customHeight="1" x14ac:dyDescent="0.25">
      <c r="B212" s="5" t="str">
        <f t="shared" si="45"/>
        <v/>
      </c>
      <c r="C212" s="5"/>
      <c r="D212" s="5"/>
      <c r="E212" s="5"/>
      <c r="F212" s="6"/>
      <c r="G212" s="6"/>
      <c r="H212" s="7"/>
      <c r="I212" s="8"/>
      <c r="K212" s="23" t="str">
        <f>IFERROR(INDEX($AL$11:$AL$4010,MATCH(202,$AX$11:$AX$4010,0)),"")</f>
        <v/>
      </c>
      <c r="L212" s="24" t="str">
        <f t="shared" si="46"/>
        <v/>
      </c>
      <c r="M212" s="25" t="str">
        <f t="shared" si="47"/>
        <v/>
      </c>
      <c r="N212" s="25" t="str">
        <f t="shared" si="48"/>
        <v/>
      </c>
      <c r="W212" s="28" t="str">
        <f>IF(X212="","",IFERROR(INDEX($AL$11:$AL$4010,MATCH(202,$AY$11:$AY$4010,0)),""))</f>
        <v/>
      </c>
      <c r="X212" s="26" t="str">
        <f>IFERROR(INDEX($AM$11:$AM$4010,MATCH(202,$AY$11:$AY$4010,0)),"")</f>
        <v/>
      </c>
      <c r="Y212" s="25" t="str">
        <f>IF(X212="","",IFERROR(INDEX($AN$11:$AN$4010,MATCH(202,$AY$11:$AY$4010,0)),""))</f>
        <v/>
      </c>
      <c r="Z212" s="25" t="str">
        <f>IF(X212="","",IFERROR(INDEX($AO$11:$AO$4010,MATCH(202,$AY$11:$AY$4010,0)),""))</f>
        <v/>
      </c>
      <c r="AA212" s="24" t="str">
        <f>IF(X212="","",IFERROR(INDEX($AQ$11:$AQ$4010,MATCH(202,$AY$11:$AY$4010,0)),""))</f>
        <v/>
      </c>
      <c r="AB212" s="29" t="str">
        <f>IF(X212="","",IFERROR(INDEX($AR$11:$AR$4010,MATCH(202,$AY$11:$AY$4010,0)),""))</f>
        <v/>
      </c>
      <c r="AD212" s="30" t="str">
        <f>IF(AE212="","",IFERROR(INDEX($AL$11:$AL$4010,MATCH(202,$AZ$11:$AZ$4010,0)),""))</f>
        <v/>
      </c>
      <c r="AE212" s="26" t="str">
        <f>IFERROR(INDEX($AM$11:$AM$4010,MATCH(202,$AZ$11:$AZ$4010,0)),"")</f>
        <v/>
      </c>
      <c r="AF212" s="25" t="str">
        <f>IF(AE212="","",IFERROR(INDEX($AN$11:$AN$4010,MATCH(202,$AZ$11:$AZ$4010,0)),""))</f>
        <v/>
      </c>
      <c r="AG212" s="25" t="str">
        <f>IF(AE212="","",IFERROR(INDEX($AO$11:$AO$4010,MATCH(202,$AZ$11:$AZ$4010,0)),""))</f>
        <v/>
      </c>
      <c r="AH212" s="24" t="str">
        <f>IF(AE212="","",IFERROR(INDEX($AQ$11:$AQ$4010,MATCH(202,$AZ$11:$AZ$4010,0)),""))</f>
        <v/>
      </c>
      <c r="AI212" s="29" t="str">
        <f>IF(AE212="","",IFERROR(INDEX($AR$11:$AR$4010,MATCH(202,$AZ$11:$AZ$4010,0)),""))</f>
        <v/>
      </c>
      <c r="AJ212" s="29" t="str">
        <f>IF(AE212="","",IFERROR(INDEX($AT$11:$AT$4010,MATCH(202,$AZ$11:$AZ$4010,0)),""))</f>
        <v/>
      </c>
      <c r="AL212" s="31" t="str">
        <f t="shared" si="50"/>
        <v/>
      </c>
      <c r="AM212" s="26" t="str">
        <f t="shared" si="51"/>
        <v/>
      </c>
      <c r="AN212" s="32" t="str">
        <f t="shared" si="52"/>
        <v/>
      </c>
      <c r="AO212" s="32" t="str">
        <f t="shared" si="53"/>
        <v/>
      </c>
      <c r="AP212" s="24" t="str">
        <f t="shared" si="54"/>
        <v/>
      </c>
      <c r="AQ212" s="24" t="str">
        <f t="shared" si="55"/>
        <v/>
      </c>
      <c r="AR212" s="33" t="str">
        <f t="shared" si="56"/>
        <v/>
      </c>
      <c r="AS212" s="34"/>
      <c r="AT212" s="33"/>
      <c r="AV212" s="21">
        <f>IF(AND($AL212&lt;&gt;"",COUNTIF($AL$11:$AL212,$AL212)=1),1,0)</f>
        <v>0</v>
      </c>
      <c r="AW212" s="21">
        <f t="shared" si="58"/>
        <v>2</v>
      </c>
      <c r="AX212" s="21" t="str">
        <f t="shared" si="57"/>
        <v/>
      </c>
      <c r="AY212" s="21" t="str">
        <f>IF(AND($AM212&lt;&gt;"",$AS212&lt;&gt;"✓"),SUMPRODUCT(($AM$11:$AM212&lt;&gt;"")*($AS$11:$AS212&lt;&gt;"✓")),"")</f>
        <v/>
      </c>
      <c r="AZ212" s="21" t="str">
        <f>IF(AND($AM212&lt;&gt;"",$AS212="✓"),SUMPRODUCT(($AM$11:$AM212&lt;&gt;"")*($AS$11:$AS212="✓")),"")</f>
        <v/>
      </c>
      <c r="BA212" s="21" t="str">
        <f>IF($AL212="","",$AL212&amp;"|"&amp;COUNTIF($AL$11:$AL212,$AL212))</f>
        <v/>
      </c>
    </row>
    <row r="213" spans="2:53" ht="15" customHeight="1" x14ac:dyDescent="0.25">
      <c r="B213" s="5" t="str">
        <f t="shared" si="45"/>
        <v/>
      </c>
      <c r="C213" s="5"/>
      <c r="D213" s="5"/>
      <c r="E213" s="5"/>
      <c r="F213" s="6"/>
      <c r="G213" s="6"/>
      <c r="H213" s="7"/>
      <c r="I213" s="8"/>
      <c r="K213" s="9" t="str">
        <f>IFERROR(INDEX($AL$11:$AL$4010,MATCH(203,$AX$11:$AX$4010,0)),"")</f>
        <v/>
      </c>
      <c r="L213" s="10" t="str">
        <f t="shared" si="46"/>
        <v/>
      </c>
      <c r="M213" s="11" t="str">
        <f t="shared" si="47"/>
        <v/>
      </c>
      <c r="N213" s="11" t="str">
        <f t="shared" si="48"/>
        <v/>
      </c>
      <c r="W213" s="14" t="str">
        <f>IF(X213="","",IFERROR(INDEX($AL$11:$AL$4010,MATCH(203,$AY$11:$AY$4010,0)),""))</f>
        <v/>
      </c>
      <c r="X213" s="12" t="str">
        <f>IFERROR(INDEX($AM$11:$AM$4010,MATCH(203,$AY$11:$AY$4010,0)),"")</f>
        <v/>
      </c>
      <c r="Y213" s="11" t="str">
        <f>IF(X213="","",IFERROR(INDEX($AN$11:$AN$4010,MATCH(203,$AY$11:$AY$4010,0)),""))</f>
        <v/>
      </c>
      <c r="Z213" s="11" t="str">
        <f>IF(X213="","",IFERROR(INDEX($AO$11:$AO$4010,MATCH(203,$AY$11:$AY$4010,0)),""))</f>
        <v/>
      </c>
      <c r="AA213" s="10" t="str">
        <f>IF(X213="","",IFERROR(INDEX($AQ$11:$AQ$4010,MATCH(203,$AY$11:$AY$4010,0)),""))</f>
        <v/>
      </c>
      <c r="AB213" s="15" t="str">
        <f>IF(X213="","",IFERROR(INDEX($AR$11:$AR$4010,MATCH(203,$AY$11:$AY$4010,0)),""))</f>
        <v/>
      </c>
      <c r="AD213" s="16" t="str">
        <f>IF(AE213="","",IFERROR(INDEX($AL$11:$AL$4010,MATCH(203,$AZ$11:$AZ$4010,0)),""))</f>
        <v/>
      </c>
      <c r="AE213" s="12" t="str">
        <f>IFERROR(INDEX($AM$11:$AM$4010,MATCH(203,$AZ$11:$AZ$4010,0)),"")</f>
        <v/>
      </c>
      <c r="AF213" s="11" t="str">
        <f>IF(AE213="","",IFERROR(INDEX($AN$11:$AN$4010,MATCH(203,$AZ$11:$AZ$4010,0)),""))</f>
        <v/>
      </c>
      <c r="AG213" s="11" t="str">
        <f>IF(AE213="","",IFERROR(INDEX($AO$11:$AO$4010,MATCH(203,$AZ$11:$AZ$4010,0)),""))</f>
        <v/>
      </c>
      <c r="AH213" s="10" t="str">
        <f>IF(AE213="","",IFERROR(INDEX($AQ$11:$AQ$4010,MATCH(203,$AZ$11:$AZ$4010,0)),""))</f>
        <v/>
      </c>
      <c r="AI213" s="15" t="str">
        <f>IF(AE213="","",IFERROR(INDEX($AR$11:$AR$4010,MATCH(203,$AZ$11:$AZ$4010,0)),""))</f>
        <v/>
      </c>
      <c r="AJ213" s="15" t="str">
        <f>IF(AE213="","",IFERROR(INDEX($AT$11:$AT$4010,MATCH(203,$AZ$11:$AZ$4010,0)),""))</f>
        <v/>
      </c>
      <c r="AL213" s="17" t="str">
        <f t="shared" si="50"/>
        <v/>
      </c>
      <c r="AM213" s="12" t="str">
        <f t="shared" si="51"/>
        <v/>
      </c>
      <c r="AN213" s="18" t="str">
        <f t="shared" si="52"/>
        <v/>
      </c>
      <c r="AO213" s="18" t="str">
        <f t="shared" si="53"/>
        <v/>
      </c>
      <c r="AP213" s="10" t="str">
        <f t="shared" si="54"/>
        <v/>
      </c>
      <c r="AQ213" s="10" t="str">
        <f t="shared" si="55"/>
        <v/>
      </c>
      <c r="AR213" s="19" t="str">
        <f t="shared" si="56"/>
        <v/>
      </c>
      <c r="AS213" s="20"/>
      <c r="AT213" s="19"/>
      <c r="AV213" s="21">
        <f>IF(AND($AL213&lt;&gt;"",COUNTIF($AL$11:$AL213,$AL213)=1),1,0)</f>
        <v>0</v>
      </c>
      <c r="AW213" s="21">
        <f t="shared" si="58"/>
        <v>2</v>
      </c>
      <c r="AX213" s="21" t="str">
        <f t="shared" si="57"/>
        <v/>
      </c>
      <c r="AY213" s="21" t="str">
        <f>IF(AND($AM213&lt;&gt;"",$AS213&lt;&gt;"✓"),SUMPRODUCT(($AM$11:$AM213&lt;&gt;"")*($AS$11:$AS213&lt;&gt;"✓")),"")</f>
        <v/>
      </c>
      <c r="AZ213" s="21" t="str">
        <f>IF(AND($AM213&lt;&gt;"",$AS213="✓"),SUMPRODUCT(($AM$11:$AM213&lt;&gt;"")*($AS$11:$AS213="✓")),"")</f>
        <v/>
      </c>
      <c r="BA213" s="21" t="str">
        <f>IF($AL213="","",$AL213&amp;"|"&amp;COUNTIF($AL$11:$AL213,$AL213))</f>
        <v/>
      </c>
    </row>
    <row r="214" spans="2:53" ht="15" customHeight="1" x14ac:dyDescent="0.25">
      <c r="B214" s="5" t="str">
        <f t="shared" si="45"/>
        <v/>
      </c>
      <c r="C214" s="5"/>
      <c r="D214" s="5"/>
      <c r="E214" s="5"/>
      <c r="F214" s="6"/>
      <c r="G214" s="6"/>
      <c r="H214" s="7"/>
      <c r="I214" s="8"/>
      <c r="K214" s="23" t="str">
        <f>IFERROR(INDEX($AL$11:$AL$4010,MATCH(204,$AX$11:$AX$4010,0)),"")</f>
        <v/>
      </c>
      <c r="L214" s="24" t="str">
        <f t="shared" si="46"/>
        <v/>
      </c>
      <c r="M214" s="25" t="str">
        <f t="shared" si="47"/>
        <v/>
      </c>
      <c r="N214" s="25" t="str">
        <f t="shared" si="48"/>
        <v/>
      </c>
      <c r="W214" s="28" t="str">
        <f>IF(X214="","",IFERROR(INDEX($AL$11:$AL$4010,MATCH(204,$AY$11:$AY$4010,0)),""))</f>
        <v/>
      </c>
      <c r="X214" s="26" t="str">
        <f>IFERROR(INDEX($AM$11:$AM$4010,MATCH(204,$AY$11:$AY$4010,0)),"")</f>
        <v/>
      </c>
      <c r="Y214" s="25" t="str">
        <f>IF(X214="","",IFERROR(INDEX($AN$11:$AN$4010,MATCH(204,$AY$11:$AY$4010,0)),""))</f>
        <v/>
      </c>
      <c r="Z214" s="25" t="str">
        <f>IF(X214="","",IFERROR(INDEX($AO$11:$AO$4010,MATCH(204,$AY$11:$AY$4010,0)),""))</f>
        <v/>
      </c>
      <c r="AA214" s="24" t="str">
        <f>IF(X214="","",IFERROR(INDEX($AQ$11:$AQ$4010,MATCH(204,$AY$11:$AY$4010,0)),""))</f>
        <v/>
      </c>
      <c r="AB214" s="29" t="str">
        <f>IF(X214="","",IFERROR(INDEX($AR$11:$AR$4010,MATCH(204,$AY$11:$AY$4010,0)),""))</f>
        <v/>
      </c>
      <c r="AD214" s="30" t="str">
        <f>IF(AE214="","",IFERROR(INDEX($AL$11:$AL$4010,MATCH(204,$AZ$11:$AZ$4010,0)),""))</f>
        <v/>
      </c>
      <c r="AE214" s="26" t="str">
        <f>IFERROR(INDEX($AM$11:$AM$4010,MATCH(204,$AZ$11:$AZ$4010,0)),"")</f>
        <v/>
      </c>
      <c r="AF214" s="25" t="str">
        <f>IF(AE214="","",IFERROR(INDEX($AN$11:$AN$4010,MATCH(204,$AZ$11:$AZ$4010,0)),""))</f>
        <v/>
      </c>
      <c r="AG214" s="25" t="str">
        <f>IF(AE214="","",IFERROR(INDEX($AO$11:$AO$4010,MATCH(204,$AZ$11:$AZ$4010,0)),""))</f>
        <v/>
      </c>
      <c r="AH214" s="24" t="str">
        <f>IF(AE214="","",IFERROR(INDEX($AQ$11:$AQ$4010,MATCH(204,$AZ$11:$AZ$4010,0)),""))</f>
        <v/>
      </c>
      <c r="AI214" s="29" t="str">
        <f>IF(AE214="","",IFERROR(INDEX($AR$11:$AR$4010,MATCH(204,$AZ$11:$AZ$4010,0)),""))</f>
        <v/>
      </c>
      <c r="AJ214" s="29" t="str">
        <f>IF(AE214="","",IFERROR(INDEX($AT$11:$AT$4010,MATCH(204,$AZ$11:$AZ$4010,0)),""))</f>
        <v/>
      </c>
      <c r="AL214" s="31" t="str">
        <f t="shared" si="50"/>
        <v/>
      </c>
      <c r="AM214" s="26" t="str">
        <f t="shared" si="51"/>
        <v/>
      </c>
      <c r="AN214" s="32" t="str">
        <f t="shared" si="52"/>
        <v/>
      </c>
      <c r="AO214" s="32" t="str">
        <f t="shared" si="53"/>
        <v/>
      </c>
      <c r="AP214" s="24" t="str">
        <f t="shared" si="54"/>
        <v/>
      </c>
      <c r="AQ214" s="24" t="str">
        <f t="shared" si="55"/>
        <v/>
      </c>
      <c r="AR214" s="33" t="str">
        <f t="shared" si="56"/>
        <v/>
      </c>
      <c r="AS214" s="34"/>
      <c r="AT214" s="33"/>
      <c r="AV214" s="21">
        <f>IF(AND($AL214&lt;&gt;"",COUNTIF($AL$11:$AL214,$AL214)=1),1,0)</f>
        <v>0</v>
      </c>
      <c r="AW214" s="21">
        <f t="shared" si="58"/>
        <v>2</v>
      </c>
      <c r="AX214" s="21" t="str">
        <f t="shared" si="57"/>
        <v/>
      </c>
      <c r="AY214" s="21" t="str">
        <f>IF(AND($AM214&lt;&gt;"",$AS214&lt;&gt;"✓"),SUMPRODUCT(($AM$11:$AM214&lt;&gt;"")*($AS$11:$AS214&lt;&gt;"✓")),"")</f>
        <v/>
      </c>
      <c r="AZ214" s="21" t="str">
        <f>IF(AND($AM214&lt;&gt;"",$AS214="✓"),SUMPRODUCT(($AM$11:$AM214&lt;&gt;"")*($AS$11:$AS214="✓")),"")</f>
        <v/>
      </c>
      <c r="BA214" s="21" t="str">
        <f>IF($AL214="","",$AL214&amp;"|"&amp;COUNTIF($AL$11:$AL214,$AL214))</f>
        <v/>
      </c>
    </row>
    <row r="215" spans="2:53" ht="15" customHeight="1" x14ac:dyDescent="0.25">
      <c r="B215" s="5" t="str">
        <f t="shared" si="45"/>
        <v/>
      </c>
      <c r="C215" s="5"/>
      <c r="D215" s="5"/>
      <c r="E215" s="5"/>
      <c r="F215" s="6"/>
      <c r="G215" s="6"/>
      <c r="H215" s="7"/>
      <c r="I215" s="8"/>
      <c r="K215" s="9" t="str">
        <f>IFERROR(INDEX($AL$11:$AL$4010,MATCH(205,$AX$11:$AX$4010,0)),"")</f>
        <v/>
      </c>
      <c r="L215" s="10" t="str">
        <f t="shared" si="46"/>
        <v/>
      </c>
      <c r="M215" s="11" t="str">
        <f t="shared" si="47"/>
        <v/>
      </c>
      <c r="N215" s="11" t="str">
        <f t="shared" si="48"/>
        <v/>
      </c>
      <c r="W215" s="14" t="str">
        <f>IF(X215="","",IFERROR(INDEX($AL$11:$AL$4010,MATCH(205,$AY$11:$AY$4010,0)),""))</f>
        <v/>
      </c>
      <c r="X215" s="12" t="str">
        <f>IFERROR(INDEX($AM$11:$AM$4010,MATCH(205,$AY$11:$AY$4010,0)),"")</f>
        <v/>
      </c>
      <c r="Y215" s="11" t="str">
        <f>IF(X215="","",IFERROR(INDEX($AN$11:$AN$4010,MATCH(205,$AY$11:$AY$4010,0)),""))</f>
        <v/>
      </c>
      <c r="Z215" s="11" t="str">
        <f>IF(X215="","",IFERROR(INDEX($AO$11:$AO$4010,MATCH(205,$AY$11:$AY$4010,0)),""))</f>
        <v/>
      </c>
      <c r="AA215" s="10" t="str">
        <f>IF(X215="","",IFERROR(INDEX($AQ$11:$AQ$4010,MATCH(205,$AY$11:$AY$4010,0)),""))</f>
        <v/>
      </c>
      <c r="AB215" s="15" t="str">
        <f>IF(X215="","",IFERROR(INDEX($AR$11:$AR$4010,MATCH(205,$AY$11:$AY$4010,0)),""))</f>
        <v/>
      </c>
      <c r="AD215" s="16" t="str">
        <f>IF(AE215="","",IFERROR(INDEX($AL$11:$AL$4010,MATCH(205,$AZ$11:$AZ$4010,0)),""))</f>
        <v/>
      </c>
      <c r="AE215" s="12" t="str">
        <f>IFERROR(INDEX($AM$11:$AM$4010,MATCH(205,$AZ$11:$AZ$4010,0)),"")</f>
        <v/>
      </c>
      <c r="AF215" s="11" t="str">
        <f>IF(AE215="","",IFERROR(INDEX($AN$11:$AN$4010,MATCH(205,$AZ$11:$AZ$4010,0)),""))</f>
        <v/>
      </c>
      <c r="AG215" s="11" t="str">
        <f>IF(AE215="","",IFERROR(INDEX($AO$11:$AO$4010,MATCH(205,$AZ$11:$AZ$4010,0)),""))</f>
        <v/>
      </c>
      <c r="AH215" s="10" t="str">
        <f>IF(AE215="","",IFERROR(INDEX($AQ$11:$AQ$4010,MATCH(205,$AZ$11:$AZ$4010,0)),""))</f>
        <v/>
      </c>
      <c r="AI215" s="15" t="str">
        <f>IF(AE215="","",IFERROR(INDEX($AR$11:$AR$4010,MATCH(205,$AZ$11:$AZ$4010,0)),""))</f>
        <v/>
      </c>
      <c r="AJ215" s="15" t="str">
        <f>IF(AE215="","",IFERROR(INDEX($AT$11:$AT$4010,MATCH(205,$AZ$11:$AZ$4010,0)),""))</f>
        <v/>
      </c>
      <c r="AL215" s="17" t="str">
        <f t="shared" si="50"/>
        <v/>
      </c>
      <c r="AM215" s="12" t="str">
        <f t="shared" si="51"/>
        <v/>
      </c>
      <c r="AN215" s="18" t="str">
        <f t="shared" si="52"/>
        <v/>
      </c>
      <c r="AO215" s="18" t="str">
        <f t="shared" si="53"/>
        <v/>
      </c>
      <c r="AP215" s="10" t="str">
        <f t="shared" si="54"/>
        <v/>
      </c>
      <c r="AQ215" s="10" t="str">
        <f t="shared" si="55"/>
        <v/>
      </c>
      <c r="AR215" s="19" t="str">
        <f t="shared" si="56"/>
        <v/>
      </c>
      <c r="AS215" s="20"/>
      <c r="AT215" s="19"/>
      <c r="AV215" s="21">
        <f>IF(AND($AL215&lt;&gt;"",COUNTIF($AL$11:$AL215,$AL215)=1),1,0)</f>
        <v>0</v>
      </c>
      <c r="AW215" s="21">
        <f t="shared" si="58"/>
        <v>2</v>
      </c>
      <c r="AX215" s="21" t="str">
        <f t="shared" si="57"/>
        <v/>
      </c>
      <c r="AY215" s="21" t="str">
        <f>IF(AND($AM215&lt;&gt;"",$AS215&lt;&gt;"✓"),SUMPRODUCT(($AM$11:$AM215&lt;&gt;"")*($AS$11:$AS215&lt;&gt;"✓")),"")</f>
        <v/>
      </c>
      <c r="AZ215" s="21" t="str">
        <f>IF(AND($AM215&lt;&gt;"",$AS215="✓"),SUMPRODUCT(($AM$11:$AM215&lt;&gt;"")*($AS$11:$AS215="✓")),"")</f>
        <v/>
      </c>
      <c r="BA215" s="21" t="str">
        <f>IF($AL215="","",$AL215&amp;"|"&amp;COUNTIF($AL$11:$AL215,$AL215))</f>
        <v/>
      </c>
    </row>
    <row r="216" spans="2:53" ht="15" customHeight="1" x14ac:dyDescent="0.25">
      <c r="B216" s="5" t="str">
        <f t="shared" si="45"/>
        <v/>
      </c>
      <c r="C216" s="5"/>
      <c r="D216" s="5"/>
      <c r="E216" s="5"/>
      <c r="F216" s="6"/>
      <c r="G216" s="6"/>
      <c r="H216" s="7"/>
      <c r="I216" s="8"/>
      <c r="K216" s="23" t="str">
        <f>IFERROR(INDEX($AL$11:$AL$4010,MATCH(206,$AX$11:$AX$4010,0)),"")</f>
        <v/>
      </c>
      <c r="L216" s="24" t="str">
        <f t="shared" si="46"/>
        <v/>
      </c>
      <c r="M216" s="25" t="str">
        <f t="shared" si="47"/>
        <v/>
      </c>
      <c r="N216" s="25" t="str">
        <f t="shared" si="48"/>
        <v/>
      </c>
      <c r="W216" s="28" t="str">
        <f>IF(X216="","",IFERROR(INDEX($AL$11:$AL$4010,MATCH(206,$AY$11:$AY$4010,0)),""))</f>
        <v/>
      </c>
      <c r="X216" s="26" t="str">
        <f>IFERROR(INDEX($AM$11:$AM$4010,MATCH(206,$AY$11:$AY$4010,0)),"")</f>
        <v/>
      </c>
      <c r="Y216" s="25" t="str">
        <f>IF(X216="","",IFERROR(INDEX($AN$11:$AN$4010,MATCH(206,$AY$11:$AY$4010,0)),""))</f>
        <v/>
      </c>
      <c r="Z216" s="25" t="str">
        <f>IF(X216="","",IFERROR(INDEX($AO$11:$AO$4010,MATCH(206,$AY$11:$AY$4010,0)),""))</f>
        <v/>
      </c>
      <c r="AA216" s="24" t="str">
        <f>IF(X216="","",IFERROR(INDEX($AQ$11:$AQ$4010,MATCH(206,$AY$11:$AY$4010,0)),""))</f>
        <v/>
      </c>
      <c r="AB216" s="29" t="str">
        <f>IF(X216="","",IFERROR(INDEX($AR$11:$AR$4010,MATCH(206,$AY$11:$AY$4010,0)),""))</f>
        <v/>
      </c>
      <c r="AD216" s="30" t="str">
        <f>IF(AE216="","",IFERROR(INDEX($AL$11:$AL$4010,MATCH(206,$AZ$11:$AZ$4010,0)),""))</f>
        <v/>
      </c>
      <c r="AE216" s="26" t="str">
        <f>IFERROR(INDEX($AM$11:$AM$4010,MATCH(206,$AZ$11:$AZ$4010,0)),"")</f>
        <v/>
      </c>
      <c r="AF216" s="25" t="str">
        <f>IF(AE216="","",IFERROR(INDEX($AN$11:$AN$4010,MATCH(206,$AZ$11:$AZ$4010,0)),""))</f>
        <v/>
      </c>
      <c r="AG216" s="25" t="str">
        <f>IF(AE216="","",IFERROR(INDEX($AO$11:$AO$4010,MATCH(206,$AZ$11:$AZ$4010,0)),""))</f>
        <v/>
      </c>
      <c r="AH216" s="24" t="str">
        <f>IF(AE216="","",IFERROR(INDEX($AQ$11:$AQ$4010,MATCH(206,$AZ$11:$AZ$4010,0)),""))</f>
        <v/>
      </c>
      <c r="AI216" s="29" t="str">
        <f>IF(AE216="","",IFERROR(INDEX($AR$11:$AR$4010,MATCH(206,$AZ$11:$AZ$4010,0)),""))</f>
        <v/>
      </c>
      <c r="AJ216" s="29" t="str">
        <f>IF(AE216="","",IFERROR(INDEX($AT$11:$AT$4010,MATCH(206,$AZ$11:$AZ$4010,0)),""))</f>
        <v/>
      </c>
      <c r="AL216" s="31" t="str">
        <f t="shared" si="50"/>
        <v/>
      </c>
      <c r="AM216" s="26" t="str">
        <f t="shared" si="51"/>
        <v/>
      </c>
      <c r="AN216" s="32" t="str">
        <f t="shared" si="52"/>
        <v/>
      </c>
      <c r="AO216" s="32" t="str">
        <f t="shared" si="53"/>
        <v/>
      </c>
      <c r="AP216" s="24" t="str">
        <f t="shared" si="54"/>
        <v/>
      </c>
      <c r="AQ216" s="24" t="str">
        <f t="shared" si="55"/>
        <v/>
      </c>
      <c r="AR216" s="33" t="str">
        <f t="shared" si="56"/>
        <v/>
      </c>
      <c r="AS216" s="34"/>
      <c r="AT216" s="33"/>
      <c r="AV216" s="21">
        <f>IF(AND($AL216&lt;&gt;"",COUNTIF($AL$11:$AL216,$AL216)=1),1,0)</f>
        <v>0</v>
      </c>
      <c r="AW216" s="21">
        <f t="shared" si="58"/>
        <v>2</v>
      </c>
      <c r="AX216" s="21" t="str">
        <f t="shared" si="57"/>
        <v/>
      </c>
      <c r="AY216" s="21" t="str">
        <f>IF(AND($AM216&lt;&gt;"",$AS216&lt;&gt;"✓"),SUMPRODUCT(($AM$11:$AM216&lt;&gt;"")*($AS$11:$AS216&lt;&gt;"✓")),"")</f>
        <v/>
      </c>
      <c r="AZ216" s="21" t="str">
        <f>IF(AND($AM216&lt;&gt;"",$AS216="✓"),SUMPRODUCT(($AM$11:$AM216&lt;&gt;"")*($AS$11:$AS216="✓")),"")</f>
        <v/>
      </c>
      <c r="BA216" s="21" t="str">
        <f>IF($AL216="","",$AL216&amp;"|"&amp;COUNTIF($AL$11:$AL216,$AL216))</f>
        <v/>
      </c>
    </row>
    <row r="217" spans="2:53" ht="15" customHeight="1" x14ac:dyDescent="0.25">
      <c r="B217" s="5" t="str">
        <f t="shared" si="45"/>
        <v/>
      </c>
      <c r="C217" s="5"/>
      <c r="D217" s="5"/>
      <c r="E217" s="5"/>
      <c r="F217" s="6"/>
      <c r="G217" s="6"/>
      <c r="H217" s="7"/>
      <c r="I217" s="8"/>
      <c r="K217" s="9" t="str">
        <f>IFERROR(INDEX($AL$11:$AL$4010,MATCH(207,$AX$11:$AX$4010,0)),"")</f>
        <v/>
      </c>
      <c r="L217" s="10" t="str">
        <f t="shared" si="46"/>
        <v/>
      </c>
      <c r="M217" s="11" t="str">
        <f t="shared" si="47"/>
        <v/>
      </c>
      <c r="N217" s="11" t="str">
        <f t="shared" si="48"/>
        <v/>
      </c>
      <c r="W217" s="14" t="str">
        <f>IF(X217="","",IFERROR(INDEX($AL$11:$AL$4010,MATCH(207,$AY$11:$AY$4010,0)),""))</f>
        <v/>
      </c>
      <c r="X217" s="12" t="str">
        <f>IFERROR(INDEX($AM$11:$AM$4010,MATCH(207,$AY$11:$AY$4010,0)),"")</f>
        <v/>
      </c>
      <c r="Y217" s="11" t="str">
        <f>IF(X217="","",IFERROR(INDEX($AN$11:$AN$4010,MATCH(207,$AY$11:$AY$4010,0)),""))</f>
        <v/>
      </c>
      <c r="Z217" s="11" t="str">
        <f>IF(X217="","",IFERROR(INDEX($AO$11:$AO$4010,MATCH(207,$AY$11:$AY$4010,0)),""))</f>
        <v/>
      </c>
      <c r="AA217" s="10" t="str">
        <f>IF(X217="","",IFERROR(INDEX($AQ$11:$AQ$4010,MATCH(207,$AY$11:$AY$4010,0)),""))</f>
        <v/>
      </c>
      <c r="AB217" s="15" t="str">
        <f>IF(X217="","",IFERROR(INDEX($AR$11:$AR$4010,MATCH(207,$AY$11:$AY$4010,0)),""))</f>
        <v/>
      </c>
      <c r="AD217" s="16" t="str">
        <f>IF(AE217="","",IFERROR(INDEX($AL$11:$AL$4010,MATCH(207,$AZ$11:$AZ$4010,0)),""))</f>
        <v/>
      </c>
      <c r="AE217" s="12" t="str">
        <f>IFERROR(INDEX($AM$11:$AM$4010,MATCH(207,$AZ$11:$AZ$4010,0)),"")</f>
        <v/>
      </c>
      <c r="AF217" s="11" t="str">
        <f>IF(AE217="","",IFERROR(INDEX($AN$11:$AN$4010,MATCH(207,$AZ$11:$AZ$4010,0)),""))</f>
        <v/>
      </c>
      <c r="AG217" s="11" t="str">
        <f>IF(AE217="","",IFERROR(INDEX($AO$11:$AO$4010,MATCH(207,$AZ$11:$AZ$4010,0)),""))</f>
        <v/>
      </c>
      <c r="AH217" s="10" t="str">
        <f>IF(AE217="","",IFERROR(INDEX($AQ$11:$AQ$4010,MATCH(207,$AZ$11:$AZ$4010,0)),""))</f>
        <v/>
      </c>
      <c r="AI217" s="15" t="str">
        <f>IF(AE217="","",IFERROR(INDEX($AR$11:$AR$4010,MATCH(207,$AZ$11:$AZ$4010,0)),""))</f>
        <v/>
      </c>
      <c r="AJ217" s="15" t="str">
        <f>IF(AE217="","",IFERROR(INDEX($AT$11:$AT$4010,MATCH(207,$AZ$11:$AZ$4010,0)),""))</f>
        <v/>
      </c>
      <c r="AL217" s="17" t="str">
        <f t="shared" si="50"/>
        <v/>
      </c>
      <c r="AM217" s="12" t="str">
        <f t="shared" si="51"/>
        <v/>
      </c>
      <c r="AN217" s="18" t="str">
        <f t="shared" si="52"/>
        <v/>
      </c>
      <c r="AO217" s="18" t="str">
        <f t="shared" si="53"/>
        <v/>
      </c>
      <c r="AP217" s="10" t="str">
        <f t="shared" si="54"/>
        <v/>
      </c>
      <c r="AQ217" s="10" t="str">
        <f t="shared" si="55"/>
        <v/>
      </c>
      <c r="AR217" s="19" t="str">
        <f t="shared" si="56"/>
        <v/>
      </c>
      <c r="AS217" s="20"/>
      <c r="AT217" s="19"/>
      <c r="AV217" s="21">
        <f>IF(AND($AL217&lt;&gt;"",COUNTIF($AL$11:$AL217,$AL217)=1),1,0)</f>
        <v>0</v>
      </c>
      <c r="AW217" s="21">
        <f t="shared" si="58"/>
        <v>2</v>
      </c>
      <c r="AX217" s="21" t="str">
        <f t="shared" si="57"/>
        <v/>
      </c>
      <c r="AY217" s="21" t="str">
        <f>IF(AND($AM217&lt;&gt;"",$AS217&lt;&gt;"✓"),SUMPRODUCT(($AM$11:$AM217&lt;&gt;"")*($AS$11:$AS217&lt;&gt;"✓")),"")</f>
        <v/>
      </c>
      <c r="AZ217" s="21" t="str">
        <f>IF(AND($AM217&lt;&gt;"",$AS217="✓"),SUMPRODUCT(($AM$11:$AM217&lt;&gt;"")*($AS$11:$AS217="✓")),"")</f>
        <v/>
      </c>
      <c r="BA217" s="21" t="str">
        <f>IF($AL217="","",$AL217&amp;"|"&amp;COUNTIF($AL$11:$AL217,$AL217))</f>
        <v/>
      </c>
    </row>
    <row r="218" spans="2:53" ht="15" customHeight="1" x14ac:dyDescent="0.25">
      <c r="B218" s="5" t="str">
        <f t="shared" si="45"/>
        <v/>
      </c>
      <c r="C218" s="5"/>
      <c r="D218" s="5"/>
      <c r="E218" s="5"/>
      <c r="F218" s="6"/>
      <c r="G218" s="6"/>
      <c r="H218" s="7"/>
      <c r="I218" s="8"/>
      <c r="K218" s="23" t="str">
        <f>IFERROR(INDEX($AL$11:$AL$4010,MATCH(208,$AX$11:$AX$4010,0)),"")</f>
        <v/>
      </c>
      <c r="L218" s="24" t="str">
        <f t="shared" si="46"/>
        <v/>
      </c>
      <c r="M218" s="25" t="str">
        <f t="shared" si="47"/>
        <v/>
      </c>
      <c r="N218" s="25" t="str">
        <f t="shared" si="48"/>
        <v/>
      </c>
      <c r="W218" s="28" t="str">
        <f>IF(X218="","",IFERROR(INDEX($AL$11:$AL$4010,MATCH(208,$AY$11:$AY$4010,0)),""))</f>
        <v/>
      </c>
      <c r="X218" s="26" t="str">
        <f>IFERROR(INDEX($AM$11:$AM$4010,MATCH(208,$AY$11:$AY$4010,0)),"")</f>
        <v/>
      </c>
      <c r="Y218" s="25" t="str">
        <f>IF(X218="","",IFERROR(INDEX($AN$11:$AN$4010,MATCH(208,$AY$11:$AY$4010,0)),""))</f>
        <v/>
      </c>
      <c r="Z218" s="25" t="str">
        <f>IF(X218="","",IFERROR(INDEX($AO$11:$AO$4010,MATCH(208,$AY$11:$AY$4010,0)),""))</f>
        <v/>
      </c>
      <c r="AA218" s="24" t="str">
        <f>IF(X218="","",IFERROR(INDEX($AQ$11:$AQ$4010,MATCH(208,$AY$11:$AY$4010,0)),""))</f>
        <v/>
      </c>
      <c r="AB218" s="29" t="str">
        <f>IF(X218="","",IFERROR(INDEX($AR$11:$AR$4010,MATCH(208,$AY$11:$AY$4010,0)),""))</f>
        <v/>
      </c>
      <c r="AD218" s="30" t="str">
        <f>IF(AE218="","",IFERROR(INDEX($AL$11:$AL$4010,MATCH(208,$AZ$11:$AZ$4010,0)),""))</f>
        <v/>
      </c>
      <c r="AE218" s="26" t="str">
        <f>IFERROR(INDEX($AM$11:$AM$4010,MATCH(208,$AZ$11:$AZ$4010,0)),"")</f>
        <v/>
      </c>
      <c r="AF218" s="25" t="str">
        <f>IF(AE218="","",IFERROR(INDEX($AN$11:$AN$4010,MATCH(208,$AZ$11:$AZ$4010,0)),""))</f>
        <v/>
      </c>
      <c r="AG218" s="25" t="str">
        <f>IF(AE218="","",IFERROR(INDEX($AO$11:$AO$4010,MATCH(208,$AZ$11:$AZ$4010,0)),""))</f>
        <v/>
      </c>
      <c r="AH218" s="24" t="str">
        <f>IF(AE218="","",IFERROR(INDEX($AQ$11:$AQ$4010,MATCH(208,$AZ$11:$AZ$4010,0)),""))</f>
        <v/>
      </c>
      <c r="AI218" s="29" t="str">
        <f>IF(AE218="","",IFERROR(INDEX($AR$11:$AR$4010,MATCH(208,$AZ$11:$AZ$4010,0)),""))</f>
        <v/>
      </c>
      <c r="AJ218" s="29" t="str">
        <f>IF(AE218="","",IFERROR(INDEX($AT$11:$AT$4010,MATCH(208,$AZ$11:$AZ$4010,0)),""))</f>
        <v/>
      </c>
      <c r="AL218" s="31" t="str">
        <f t="shared" si="50"/>
        <v/>
      </c>
      <c r="AM218" s="26" t="str">
        <f t="shared" si="51"/>
        <v/>
      </c>
      <c r="AN218" s="32" t="str">
        <f t="shared" si="52"/>
        <v/>
      </c>
      <c r="AO218" s="32" t="str">
        <f t="shared" si="53"/>
        <v/>
      </c>
      <c r="AP218" s="24" t="str">
        <f t="shared" si="54"/>
        <v/>
      </c>
      <c r="AQ218" s="24" t="str">
        <f t="shared" si="55"/>
        <v/>
      </c>
      <c r="AR218" s="33" t="str">
        <f t="shared" si="56"/>
        <v/>
      </c>
      <c r="AS218" s="34"/>
      <c r="AT218" s="33"/>
      <c r="AV218" s="21">
        <f>IF(AND($AL218&lt;&gt;"",COUNTIF($AL$11:$AL218,$AL218)=1),1,0)</f>
        <v>0</v>
      </c>
      <c r="AW218" s="21">
        <f t="shared" si="58"/>
        <v>2</v>
      </c>
      <c r="AX218" s="21" t="str">
        <f t="shared" si="57"/>
        <v/>
      </c>
      <c r="AY218" s="21" t="str">
        <f>IF(AND($AM218&lt;&gt;"",$AS218&lt;&gt;"✓"),SUMPRODUCT(($AM$11:$AM218&lt;&gt;"")*($AS$11:$AS218&lt;&gt;"✓")),"")</f>
        <v/>
      </c>
      <c r="AZ218" s="21" t="str">
        <f>IF(AND($AM218&lt;&gt;"",$AS218="✓"),SUMPRODUCT(($AM$11:$AM218&lt;&gt;"")*($AS$11:$AS218="✓")),"")</f>
        <v/>
      </c>
      <c r="BA218" s="21" t="str">
        <f>IF($AL218="","",$AL218&amp;"|"&amp;COUNTIF($AL$11:$AL218,$AL218))</f>
        <v/>
      </c>
    </row>
    <row r="219" spans="2:53" ht="15" customHeight="1" x14ac:dyDescent="0.25">
      <c r="B219" s="5" t="str">
        <f t="shared" si="45"/>
        <v/>
      </c>
      <c r="C219" s="5"/>
      <c r="D219" s="5"/>
      <c r="E219" s="5"/>
      <c r="F219" s="6"/>
      <c r="G219" s="6"/>
      <c r="H219" s="7"/>
      <c r="I219" s="8"/>
      <c r="K219" s="9" t="str">
        <f>IFERROR(INDEX($AL$11:$AL$4010,MATCH(209,$AX$11:$AX$4010,0)),"")</f>
        <v/>
      </c>
      <c r="L219" s="10" t="str">
        <f t="shared" si="46"/>
        <v/>
      </c>
      <c r="M219" s="11" t="str">
        <f t="shared" si="47"/>
        <v/>
      </c>
      <c r="N219" s="11" t="str">
        <f t="shared" si="48"/>
        <v/>
      </c>
      <c r="W219" s="14" t="str">
        <f>IF(X219="","",IFERROR(INDEX($AL$11:$AL$4010,MATCH(209,$AY$11:$AY$4010,0)),""))</f>
        <v/>
      </c>
      <c r="X219" s="12" t="str">
        <f>IFERROR(INDEX($AM$11:$AM$4010,MATCH(209,$AY$11:$AY$4010,0)),"")</f>
        <v/>
      </c>
      <c r="Y219" s="11" t="str">
        <f>IF(X219="","",IFERROR(INDEX($AN$11:$AN$4010,MATCH(209,$AY$11:$AY$4010,0)),""))</f>
        <v/>
      </c>
      <c r="Z219" s="11" t="str">
        <f>IF(X219="","",IFERROR(INDEX($AO$11:$AO$4010,MATCH(209,$AY$11:$AY$4010,0)),""))</f>
        <v/>
      </c>
      <c r="AA219" s="10" t="str">
        <f>IF(X219="","",IFERROR(INDEX($AQ$11:$AQ$4010,MATCH(209,$AY$11:$AY$4010,0)),""))</f>
        <v/>
      </c>
      <c r="AB219" s="15" t="str">
        <f>IF(X219="","",IFERROR(INDEX($AR$11:$AR$4010,MATCH(209,$AY$11:$AY$4010,0)),""))</f>
        <v/>
      </c>
      <c r="AD219" s="16" t="str">
        <f>IF(AE219="","",IFERROR(INDEX($AL$11:$AL$4010,MATCH(209,$AZ$11:$AZ$4010,0)),""))</f>
        <v/>
      </c>
      <c r="AE219" s="12" t="str">
        <f>IFERROR(INDEX($AM$11:$AM$4010,MATCH(209,$AZ$11:$AZ$4010,0)),"")</f>
        <v/>
      </c>
      <c r="AF219" s="11" t="str">
        <f>IF(AE219="","",IFERROR(INDEX($AN$11:$AN$4010,MATCH(209,$AZ$11:$AZ$4010,0)),""))</f>
        <v/>
      </c>
      <c r="AG219" s="11" t="str">
        <f>IF(AE219="","",IFERROR(INDEX($AO$11:$AO$4010,MATCH(209,$AZ$11:$AZ$4010,0)),""))</f>
        <v/>
      </c>
      <c r="AH219" s="10" t="str">
        <f>IF(AE219="","",IFERROR(INDEX($AQ$11:$AQ$4010,MATCH(209,$AZ$11:$AZ$4010,0)),""))</f>
        <v/>
      </c>
      <c r="AI219" s="15" t="str">
        <f>IF(AE219="","",IFERROR(INDEX($AR$11:$AR$4010,MATCH(209,$AZ$11:$AZ$4010,0)),""))</f>
        <v/>
      </c>
      <c r="AJ219" s="15" t="str">
        <f>IF(AE219="","",IFERROR(INDEX($AT$11:$AT$4010,MATCH(209,$AZ$11:$AZ$4010,0)),""))</f>
        <v/>
      </c>
      <c r="AL219" s="17" t="str">
        <f t="shared" si="50"/>
        <v/>
      </c>
      <c r="AM219" s="12" t="str">
        <f t="shared" si="51"/>
        <v/>
      </c>
      <c r="AN219" s="18" t="str">
        <f t="shared" si="52"/>
        <v/>
      </c>
      <c r="AO219" s="18" t="str">
        <f t="shared" si="53"/>
        <v/>
      </c>
      <c r="AP219" s="10" t="str">
        <f t="shared" si="54"/>
        <v/>
      </c>
      <c r="AQ219" s="10" t="str">
        <f t="shared" si="55"/>
        <v/>
      </c>
      <c r="AR219" s="19" t="str">
        <f t="shared" si="56"/>
        <v/>
      </c>
      <c r="AS219" s="20"/>
      <c r="AT219" s="19"/>
      <c r="AV219" s="21">
        <f>IF(AND($AL219&lt;&gt;"",COUNTIF($AL$11:$AL219,$AL219)=1),1,0)</f>
        <v>0</v>
      </c>
      <c r="AW219" s="21">
        <f t="shared" si="58"/>
        <v>2</v>
      </c>
      <c r="AX219" s="21" t="str">
        <f t="shared" si="57"/>
        <v/>
      </c>
      <c r="AY219" s="21" t="str">
        <f>IF(AND($AM219&lt;&gt;"",$AS219&lt;&gt;"✓"),SUMPRODUCT(($AM$11:$AM219&lt;&gt;"")*($AS$11:$AS219&lt;&gt;"✓")),"")</f>
        <v/>
      </c>
      <c r="AZ219" s="21" t="str">
        <f>IF(AND($AM219&lt;&gt;"",$AS219="✓"),SUMPRODUCT(($AM$11:$AM219&lt;&gt;"")*($AS$11:$AS219="✓")),"")</f>
        <v/>
      </c>
      <c r="BA219" s="21" t="str">
        <f>IF($AL219="","",$AL219&amp;"|"&amp;COUNTIF($AL$11:$AL219,$AL219))</f>
        <v/>
      </c>
    </row>
    <row r="220" spans="2:53" ht="15" customHeight="1" x14ac:dyDescent="0.25">
      <c r="B220" s="5" t="str">
        <f t="shared" si="45"/>
        <v/>
      </c>
      <c r="C220" s="5"/>
      <c r="D220" s="5"/>
      <c r="E220" s="5"/>
      <c r="F220" s="6"/>
      <c r="G220" s="6"/>
      <c r="H220" s="7"/>
      <c r="I220" s="8"/>
      <c r="K220" s="23" t="str">
        <f>IFERROR(INDEX($AL$11:$AL$4010,MATCH(210,$AX$11:$AX$4010,0)),"")</f>
        <v/>
      </c>
      <c r="L220" s="24" t="str">
        <f t="shared" si="46"/>
        <v/>
      </c>
      <c r="M220" s="25" t="str">
        <f t="shared" si="47"/>
        <v/>
      </c>
      <c r="N220" s="25" t="str">
        <f t="shared" si="48"/>
        <v/>
      </c>
      <c r="W220" s="28" t="str">
        <f>IF(X220="","",IFERROR(INDEX($AL$11:$AL$4010,MATCH(210,$AY$11:$AY$4010,0)),""))</f>
        <v/>
      </c>
      <c r="X220" s="26" t="str">
        <f>IFERROR(INDEX($AM$11:$AM$4010,MATCH(210,$AY$11:$AY$4010,0)),"")</f>
        <v/>
      </c>
      <c r="Y220" s="25" t="str">
        <f>IF(X220="","",IFERROR(INDEX($AN$11:$AN$4010,MATCH(210,$AY$11:$AY$4010,0)),""))</f>
        <v/>
      </c>
      <c r="Z220" s="25" t="str">
        <f>IF(X220="","",IFERROR(INDEX($AO$11:$AO$4010,MATCH(210,$AY$11:$AY$4010,0)),""))</f>
        <v/>
      </c>
      <c r="AA220" s="24" t="str">
        <f>IF(X220="","",IFERROR(INDEX($AQ$11:$AQ$4010,MATCH(210,$AY$11:$AY$4010,0)),""))</f>
        <v/>
      </c>
      <c r="AB220" s="29" t="str">
        <f>IF(X220="","",IFERROR(INDEX($AR$11:$AR$4010,MATCH(210,$AY$11:$AY$4010,0)),""))</f>
        <v/>
      </c>
      <c r="AD220" s="30" t="str">
        <f>IF(AE220="","",IFERROR(INDEX($AL$11:$AL$4010,MATCH(210,$AZ$11:$AZ$4010,0)),""))</f>
        <v/>
      </c>
      <c r="AE220" s="26" t="str">
        <f>IFERROR(INDEX($AM$11:$AM$4010,MATCH(210,$AZ$11:$AZ$4010,0)),"")</f>
        <v/>
      </c>
      <c r="AF220" s="25" t="str">
        <f>IF(AE220="","",IFERROR(INDEX($AN$11:$AN$4010,MATCH(210,$AZ$11:$AZ$4010,0)),""))</f>
        <v/>
      </c>
      <c r="AG220" s="25" t="str">
        <f>IF(AE220="","",IFERROR(INDEX($AO$11:$AO$4010,MATCH(210,$AZ$11:$AZ$4010,0)),""))</f>
        <v/>
      </c>
      <c r="AH220" s="24" t="str">
        <f>IF(AE220="","",IFERROR(INDEX($AQ$11:$AQ$4010,MATCH(210,$AZ$11:$AZ$4010,0)),""))</f>
        <v/>
      </c>
      <c r="AI220" s="29" t="str">
        <f>IF(AE220="","",IFERROR(INDEX($AR$11:$AR$4010,MATCH(210,$AZ$11:$AZ$4010,0)),""))</f>
        <v/>
      </c>
      <c r="AJ220" s="29" t="str">
        <f>IF(AE220="","",IFERROR(INDEX($AT$11:$AT$4010,MATCH(210,$AZ$11:$AZ$4010,0)),""))</f>
        <v/>
      </c>
      <c r="AL220" s="31" t="str">
        <f t="shared" si="50"/>
        <v/>
      </c>
      <c r="AM220" s="26" t="str">
        <f t="shared" si="51"/>
        <v/>
      </c>
      <c r="AN220" s="32" t="str">
        <f t="shared" si="52"/>
        <v/>
      </c>
      <c r="AO220" s="32" t="str">
        <f t="shared" si="53"/>
        <v/>
      </c>
      <c r="AP220" s="24" t="str">
        <f t="shared" si="54"/>
        <v/>
      </c>
      <c r="AQ220" s="24" t="str">
        <f t="shared" si="55"/>
        <v/>
      </c>
      <c r="AR220" s="33" t="str">
        <f t="shared" si="56"/>
        <v/>
      </c>
      <c r="AS220" s="34"/>
      <c r="AT220" s="33"/>
      <c r="AV220" s="21">
        <f>IF(AND($AL220&lt;&gt;"",COUNTIF($AL$11:$AL220,$AL220)=1),1,0)</f>
        <v>0</v>
      </c>
      <c r="AW220" s="21">
        <f t="shared" si="58"/>
        <v>2</v>
      </c>
      <c r="AX220" s="21" t="str">
        <f t="shared" si="57"/>
        <v/>
      </c>
      <c r="AY220" s="21" t="str">
        <f>IF(AND($AM220&lt;&gt;"",$AS220&lt;&gt;"✓"),SUMPRODUCT(($AM$11:$AM220&lt;&gt;"")*($AS$11:$AS220&lt;&gt;"✓")),"")</f>
        <v/>
      </c>
      <c r="AZ220" s="21" t="str">
        <f>IF(AND($AM220&lt;&gt;"",$AS220="✓"),SUMPRODUCT(($AM$11:$AM220&lt;&gt;"")*($AS$11:$AS220="✓")),"")</f>
        <v/>
      </c>
      <c r="BA220" s="21" t="str">
        <f>IF($AL220="","",$AL220&amp;"|"&amp;COUNTIF($AL$11:$AL220,$AL220))</f>
        <v/>
      </c>
    </row>
    <row r="221" spans="2:53" ht="15" customHeight="1" x14ac:dyDescent="0.25">
      <c r="B221" s="5" t="str">
        <f t="shared" si="45"/>
        <v/>
      </c>
      <c r="C221" s="5"/>
      <c r="D221" s="5"/>
      <c r="E221" s="5"/>
      <c r="F221" s="6"/>
      <c r="G221" s="6"/>
      <c r="H221" s="7"/>
      <c r="I221" s="8"/>
      <c r="K221" s="9" t="str">
        <f>IFERROR(INDEX($AL$11:$AL$4010,MATCH(211,$AX$11:$AX$4010,0)),"")</f>
        <v/>
      </c>
      <c r="L221" s="10" t="str">
        <f t="shared" si="46"/>
        <v/>
      </c>
      <c r="M221" s="11" t="str">
        <f t="shared" si="47"/>
        <v/>
      </c>
      <c r="N221" s="11" t="str">
        <f t="shared" si="48"/>
        <v/>
      </c>
      <c r="W221" s="14" t="str">
        <f>IF(X221="","",IFERROR(INDEX($AL$11:$AL$4010,MATCH(211,$AY$11:$AY$4010,0)),""))</f>
        <v/>
      </c>
      <c r="X221" s="12" t="str">
        <f>IFERROR(INDEX($AM$11:$AM$4010,MATCH(211,$AY$11:$AY$4010,0)),"")</f>
        <v/>
      </c>
      <c r="Y221" s="11" t="str">
        <f>IF(X221="","",IFERROR(INDEX($AN$11:$AN$4010,MATCH(211,$AY$11:$AY$4010,0)),""))</f>
        <v/>
      </c>
      <c r="Z221" s="11" t="str">
        <f>IF(X221="","",IFERROR(INDEX($AO$11:$AO$4010,MATCH(211,$AY$11:$AY$4010,0)),""))</f>
        <v/>
      </c>
      <c r="AA221" s="10" t="str">
        <f>IF(X221="","",IFERROR(INDEX($AQ$11:$AQ$4010,MATCH(211,$AY$11:$AY$4010,0)),""))</f>
        <v/>
      </c>
      <c r="AB221" s="15" t="str">
        <f>IF(X221="","",IFERROR(INDEX($AR$11:$AR$4010,MATCH(211,$AY$11:$AY$4010,0)),""))</f>
        <v/>
      </c>
      <c r="AD221" s="16" t="str">
        <f>IF(AE221="","",IFERROR(INDEX($AL$11:$AL$4010,MATCH(211,$AZ$11:$AZ$4010,0)),""))</f>
        <v/>
      </c>
      <c r="AE221" s="12" t="str">
        <f>IFERROR(INDEX($AM$11:$AM$4010,MATCH(211,$AZ$11:$AZ$4010,0)),"")</f>
        <v/>
      </c>
      <c r="AF221" s="11" t="str">
        <f>IF(AE221="","",IFERROR(INDEX($AN$11:$AN$4010,MATCH(211,$AZ$11:$AZ$4010,0)),""))</f>
        <v/>
      </c>
      <c r="AG221" s="11" t="str">
        <f>IF(AE221="","",IFERROR(INDEX($AO$11:$AO$4010,MATCH(211,$AZ$11:$AZ$4010,0)),""))</f>
        <v/>
      </c>
      <c r="AH221" s="10" t="str">
        <f>IF(AE221="","",IFERROR(INDEX($AQ$11:$AQ$4010,MATCH(211,$AZ$11:$AZ$4010,0)),""))</f>
        <v/>
      </c>
      <c r="AI221" s="15" t="str">
        <f>IF(AE221="","",IFERROR(INDEX($AR$11:$AR$4010,MATCH(211,$AZ$11:$AZ$4010,0)),""))</f>
        <v/>
      </c>
      <c r="AJ221" s="15" t="str">
        <f>IF(AE221="","",IFERROR(INDEX($AT$11:$AT$4010,MATCH(211,$AZ$11:$AZ$4010,0)),""))</f>
        <v/>
      </c>
      <c r="AL221" s="17" t="str">
        <f t="shared" si="50"/>
        <v/>
      </c>
      <c r="AM221" s="12" t="str">
        <f t="shared" si="51"/>
        <v/>
      </c>
      <c r="AN221" s="18" t="str">
        <f t="shared" si="52"/>
        <v/>
      </c>
      <c r="AO221" s="18" t="str">
        <f t="shared" si="53"/>
        <v/>
      </c>
      <c r="AP221" s="10" t="str">
        <f t="shared" si="54"/>
        <v/>
      </c>
      <c r="AQ221" s="10" t="str">
        <f t="shared" si="55"/>
        <v/>
      </c>
      <c r="AR221" s="19" t="str">
        <f t="shared" si="56"/>
        <v/>
      </c>
      <c r="AS221" s="20"/>
      <c r="AT221" s="19"/>
      <c r="AV221" s="21">
        <f>IF(AND($AL221&lt;&gt;"",COUNTIF($AL$11:$AL221,$AL221)=1),1,0)</f>
        <v>0</v>
      </c>
      <c r="AW221" s="21">
        <f t="shared" si="58"/>
        <v>2</v>
      </c>
      <c r="AX221" s="21" t="str">
        <f t="shared" si="57"/>
        <v/>
      </c>
      <c r="AY221" s="21" t="str">
        <f>IF(AND($AM221&lt;&gt;"",$AS221&lt;&gt;"✓"),SUMPRODUCT(($AM$11:$AM221&lt;&gt;"")*($AS$11:$AS221&lt;&gt;"✓")),"")</f>
        <v/>
      </c>
      <c r="AZ221" s="21" t="str">
        <f>IF(AND($AM221&lt;&gt;"",$AS221="✓"),SUMPRODUCT(($AM$11:$AM221&lt;&gt;"")*($AS$11:$AS221="✓")),"")</f>
        <v/>
      </c>
      <c r="BA221" s="21" t="str">
        <f>IF($AL221="","",$AL221&amp;"|"&amp;COUNTIF($AL$11:$AL221,$AL221))</f>
        <v/>
      </c>
    </row>
    <row r="222" spans="2:53" ht="15" customHeight="1" x14ac:dyDescent="0.25">
      <c r="B222" s="5" t="str">
        <f t="shared" si="45"/>
        <v/>
      </c>
      <c r="C222" s="5"/>
      <c r="D222" s="5"/>
      <c r="E222" s="5"/>
      <c r="F222" s="6"/>
      <c r="G222" s="6"/>
      <c r="H222" s="7"/>
      <c r="I222" s="8"/>
      <c r="K222" s="23" t="str">
        <f>IFERROR(INDEX($AL$11:$AL$4010,MATCH(212,$AX$11:$AX$4010,0)),"")</f>
        <v/>
      </c>
      <c r="L222" s="24" t="str">
        <f t="shared" si="46"/>
        <v/>
      </c>
      <c r="M222" s="25" t="str">
        <f t="shared" si="47"/>
        <v/>
      </c>
      <c r="N222" s="25" t="str">
        <f t="shared" si="48"/>
        <v/>
      </c>
      <c r="W222" s="28" t="str">
        <f>IF(X222="","",IFERROR(INDEX($AL$11:$AL$4010,MATCH(212,$AY$11:$AY$4010,0)),""))</f>
        <v/>
      </c>
      <c r="X222" s="26" t="str">
        <f>IFERROR(INDEX($AM$11:$AM$4010,MATCH(212,$AY$11:$AY$4010,0)),"")</f>
        <v/>
      </c>
      <c r="Y222" s="25" t="str">
        <f>IF(X222="","",IFERROR(INDEX($AN$11:$AN$4010,MATCH(212,$AY$11:$AY$4010,0)),""))</f>
        <v/>
      </c>
      <c r="Z222" s="25" t="str">
        <f>IF(X222="","",IFERROR(INDEX($AO$11:$AO$4010,MATCH(212,$AY$11:$AY$4010,0)),""))</f>
        <v/>
      </c>
      <c r="AA222" s="24" t="str">
        <f>IF(X222="","",IFERROR(INDEX($AQ$11:$AQ$4010,MATCH(212,$AY$11:$AY$4010,0)),""))</f>
        <v/>
      </c>
      <c r="AB222" s="29" t="str">
        <f>IF(X222="","",IFERROR(INDEX($AR$11:$AR$4010,MATCH(212,$AY$11:$AY$4010,0)),""))</f>
        <v/>
      </c>
      <c r="AD222" s="30" t="str">
        <f>IF(AE222="","",IFERROR(INDEX($AL$11:$AL$4010,MATCH(212,$AZ$11:$AZ$4010,0)),""))</f>
        <v/>
      </c>
      <c r="AE222" s="26" t="str">
        <f>IFERROR(INDEX($AM$11:$AM$4010,MATCH(212,$AZ$11:$AZ$4010,0)),"")</f>
        <v/>
      </c>
      <c r="AF222" s="25" t="str">
        <f>IF(AE222="","",IFERROR(INDEX($AN$11:$AN$4010,MATCH(212,$AZ$11:$AZ$4010,0)),""))</f>
        <v/>
      </c>
      <c r="AG222" s="25" t="str">
        <f>IF(AE222="","",IFERROR(INDEX($AO$11:$AO$4010,MATCH(212,$AZ$11:$AZ$4010,0)),""))</f>
        <v/>
      </c>
      <c r="AH222" s="24" t="str">
        <f>IF(AE222="","",IFERROR(INDEX($AQ$11:$AQ$4010,MATCH(212,$AZ$11:$AZ$4010,0)),""))</f>
        <v/>
      </c>
      <c r="AI222" s="29" t="str">
        <f>IF(AE222="","",IFERROR(INDEX($AR$11:$AR$4010,MATCH(212,$AZ$11:$AZ$4010,0)),""))</f>
        <v/>
      </c>
      <c r="AJ222" s="29" t="str">
        <f>IF(AE222="","",IFERROR(INDEX($AT$11:$AT$4010,MATCH(212,$AZ$11:$AZ$4010,0)),""))</f>
        <v/>
      </c>
      <c r="AL222" s="31" t="str">
        <f t="shared" si="50"/>
        <v/>
      </c>
      <c r="AM222" s="26" t="str">
        <f t="shared" si="51"/>
        <v/>
      </c>
      <c r="AN222" s="32" t="str">
        <f t="shared" si="52"/>
        <v/>
      </c>
      <c r="AO222" s="32" t="str">
        <f t="shared" si="53"/>
        <v/>
      </c>
      <c r="AP222" s="24" t="str">
        <f t="shared" si="54"/>
        <v/>
      </c>
      <c r="AQ222" s="24" t="str">
        <f t="shared" si="55"/>
        <v/>
      </c>
      <c r="AR222" s="33" t="str">
        <f t="shared" si="56"/>
        <v/>
      </c>
      <c r="AS222" s="34"/>
      <c r="AT222" s="33"/>
      <c r="AV222" s="21">
        <f>IF(AND($AL222&lt;&gt;"",COUNTIF($AL$11:$AL222,$AL222)=1),1,0)</f>
        <v>0</v>
      </c>
      <c r="AW222" s="21">
        <f t="shared" si="58"/>
        <v>2</v>
      </c>
      <c r="AX222" s="21" t="str">
        <f t="shared" si="57"/>
        <v/>
      </c>
      <c r="AY222" s="21" t="str">
        <f>IF(AND($AM222&lt;&gt;"",$AS222&lt;&gt;"✓"),SUMPRODUCT(($AM$11:$AM222&lt;&gt;"")*($AS$11:$AS222&lt;&gt;"✓")),"")</f>
        <v/>
      </c>
      <c r="AZ222" s="21" t="str">
        <f>IF(AND($AM222&lt;&gt;"",$AS222="✓"),SUMPRODUCT(($AM$11:$AM222&lt;&gt;"")*($AS$11:$AS222="✓")),"")</f>
        <v/>
      </c>
      <c r="BA222" s="21" t="str">
        <f>IF($AL222="","",$AL222&amp;"|"&amp;COUNTIF($AL$11:$AL222,$AL222))</f>
        <v/>
      </c>
    </row>
    <row r="223" spans="2:53" ht="15" customHeight="1" x14ac:dyDescent="0.25">
      <c r="B223" s="5" t="str">
        <f t="shared" si="45"/>
        <v/>
      </c>
      <c r="C223" s="5"/>
      <c r="D223" s="5"/>
      <c r="E223" s="5"/>
      <c r="F223" s="6"/>
      <c r="G223" s="6"/>
      <c r="H223" s="7"/>
      <c r="I223" s="8"/>
      <c r="K223" s="9" t="str">
        <f>IFERROR(INDEX($AL$11:$AL$4010,MATCH(213,$AX$11:$AX$4010,0)),"")</f>
        <v/>
      </c>
      <c r="L223" s="10" t="str">
        <f t="shared" si="46"/>
        <v/>
      </c>
      <c r="M223" s="11" t="str">
        <f t="shared" si="47"/>
        <v/>
      </c>
      <c r="N223" s="11" t="str">
        <f t="shared" si="48"/>
        <v/>
      </c>
      <c r="W223" s="14" t="str">
        <f>IF(X223="","",IFERROR(INDEX($AL$11:$AL$4010,MATCH(213,$AY$11:$AY$4010,0)),""))</f>
        <v/>
      </c>
      <c r="X223" s="12" t="str">
        <f>IFERROR(INDEX($AM$11:$AM$4010,MATCH(213,$AY$11:$AY$4010,0)),"")</f>
        <v/>
      </c>
      <c r="Y223" s="11" t="str">
        <f>IF(X223="","",IFERROR(INDEX($AN$11:$AN$4010,MATCH(213,$AY$11:$AY$4010,0)),""))</f>
        <v/>
      </c>
      <c r="Z223" s="11" t="str">
        <f>IF(X223="","",IFERROR(INDEX($AO$11:$AO$4010,MATCH(213,$AY$11:$AY$4010,0)),""))</f>
        <v/>
      </c>
      <c r="AA223" s="10" t="str">
        <f>IF(X223="","",IFERROR(INDEX($AQ$11:$AQ$4010,MATCH(213,$AY$11:$AY$4010,0)),""))</f>
        <v/>
      </c>
      <c r="AB223" s="15" t="str">
        <f>IF(X223="","",IFERROR(INDEX($AR$11:$AR$4010,MATCH(213,$AY$11:$AY$4010,0)),""))</f>
        <v/>
      </c>
      <c r="AD223" s="16" t="str">
        <f>IF(AE223="","",IFERROR(INDEX($AL$11:$AL$4010,MATCH(213,$AZ$11:$AZ$4010,0)),""))</f>
        <v/>
      </c>
      <c r="AE223" s="12" t="str">
        <f>IFERROR(INDEX($AM$11:$AM$4010,MATCH(213,$AZ$11:$AZ$4010,0)),"")</f>
        <v/>
      </c>
      <c r="AF223" s="11" t="str">
        <f>IF(AE223="","",IFERROR(INDEX($AN$11:$AN$4010,MATCH(213,$AZ$11:$AZ$4010,0)),""))</f>
        <v/>
      </c>
      <c r="AG223" s="11" t="str">
        <f>IF(AE223="","",IFERROR(INDEX($AO$11:$AO$4010,MATCH(213,$AZ$11:$AZ$4010,0)),""))</f>
        <v/>
      </c>
      <c r="AH223" s="10" t="str">
        <f>IF(AE223="","",IFERROR(INDEX($AQ$11:$AQ$4010,MATCH(213,$AZ$11:$AZ$4010,0)),""))</f>
        <v/>
      </c>
      <c r="AI223" s="15" t="str">
        <f>IF(AE223="","",IFERROR(INDEX($AR$11:$AR$4010,MATCH(213,$AZ$11:$AZ$4010,0)),""))</f>
        <v/>
      </c>
      <c r="AJ223" s="15" t="str">
        <f>IF(AE223="","",IFERROR(INDEX($AT$11:$AT$4010,MATCH(213,$AZ$11:$AZ$4010,0)),""))</f>
        <v/>
      </c>
      <c r="AL223" s="17" t="str">
        <f t="shared" si="50"/>
        <v/>
      </c>
      <c r="AM223" s="12" t="str">
        <f t="shared" si="51"/>
        <v/>
      </c>
      <c r="AN223" s="18" t="str">
        <f t="shared" si="52"/>
        <v/>
      </c>
      <c r="AO223" s="18" t="str">
        <f t="shared" si="53"/>
        <v/>
      </c>
      <c r="AP223" s="10" t="str">
        <f t="shared" si="54"/>
        <v/>
      </c>
      <c r="AQ223" s="10" t="str">
        <f t="shared" si="55"/>
        <v/>
      </c>
      <c r="AR223" s="19" t="str">
        <f t="shared" si="56"/>
        <v/>
      </c>
      <c r="AS223" s="20"/>
      <c r="AT223" s="19"/>
      <c r="AV223" s="21">
        <f>IF(AND($AL223&lt;&gt;"",COUNTIF($AL$11:$AL223,$AL223)=1),1,0)</f>
        <v>0</v>
      </c>
      <c r="AW223" s="21">
        <f t="shared" si="58"/>
        <v>2</v>
      </c>
      <c r="AX223" s="21" t="str">
        <f t="shared" si="57"/>
        <v/>
      </c>
      <c r="AY223" s="21" t="str">
        <f>IF(AND($AM223&lt;&gt;"",$AS223&lt;&gt;"✓"),SUMPRODUCT(($AM$11:$AM223&lt;&gt;"")*($AS$11:$AS223&lt;&gt;"✓")),"")</f>
        <v/>
      </c>
      <c r="AZ223" s="21" t="str">
        <f>IF(AND($AM223&lt;&gt;"",$AS223="✓"),SUMPRODUCT(($AM$11:$AM223&lt;&gt;"")*($AS$11:$AS223="✓")),"")</f>
        <v/>
      </c>
      <c r="BA223" s="21" t="str">
        <f>IF($AL223="","",$AL223&amp;"|"&amp;COUNTIF($AL$11:$AL223,$AL223))</f>
        <v/>
      </c>
    </row>
    <row r="224" spans="2:53" ht="15" customHeight="1" x14ac:dyDescent="0.25">
      <c r="B224" s="5" t="str">
        <f t="shared" si="45"/>
        <v/>
      </c>
      <c r="C224" s="5"/>
      <c r="D224" s="5"/>
      <c r="E224" s="5"/>
      <c r="F224" s="6"/>
      <c r="G224" s="6"/>
      <c r="H224" s="7"/>
      <c r="I224" s="8"/>
      <c r="K224" s="23" t="str">
        <f>IFERROR(INDEX($AL$11:$AL$4010,MATCH(214,$AX$11:$AX$4010,0)),"")</f>
        <v/>
      </c>
      <c r="L224" s="24" t="str">
        <f t="shared" si="46"/>
        <v/>
      </c>
      <c r="M224" s="25" t="str">
        <f t="shared" si="47"/>
        <v/>
      </c>
      <c r="N224" s="25" t="str">
        <f t="shared" si="48"/>
        <v/>
      </c>
      <c r="W224" s="28" t="str">
        <f>IF(X224="","",IFERROR(INDEX($AL$11:$AL$4010,MATCH(214,$AY$11:$AY$4010,0)),""))</f>
        <v/>
      </c>
      <c r="X224" s="26" t="str">
        <f>IFERROR(INDEX($AM$11:$AM$4010,MATCH(214,$AY$11:$AY$4010,0)),"")</f>
        <v/>
      </c>
      <c r="Y224" s="25" t="str">
        <f>IF(X224="","",IFERROR(INDEX($AN$11:$AN$4010,MATCH(214,$AY$11:$AY$4010,0)),""))</f>
        <v/>
      </c>
      <c r="Z224" s="25" t="str">
        <f>IF(X224="","",IFERROR(INDEX($AO$11:$AO$4010,MATCH(214,$AY$11:$AY$4010,0)),""))</f>
        <v/>
      </c>
      <c r="AA224" s="24" t="str">
        <f>IF(X224="","",IFERROR(INDEX($AQ$11:$AQ$4010,MATCH(214,$AY$11:$AY$4010,0)),""))</f>
        <v/>
      </c>
      <c r="AB224" s="29" t="str">
        <f>IF(X224="","",IFERROR(INDEX($AR$11:$AR$4010,MATCH(214,$AY$11:$AY$4010,0)),""))</f>
        <v/>
      </c>
      <c r="AD224" s="30" t="str">
        <f>IF(AE224="","",IFERROR(INDEX($AL$11:$AL$4010,MATCH(214,$AZ$11:$AZ$4010,0)),""))</f>
        <v/>
      </c>
      <c r="AE224" s="26" t="str">
        <f>IFERROR(INDEX($AM$11:$AM$4010,MATCH(214,$AZ$11:$AZ$4010,0)),"")</f>
        <v/>
      </c>
      <c r="AF224" s="25" t="str">
        <f>IF(AE224="","",IFERROR(INDEX($AN$11:$AN$4010,MATCH(214,$AZ$11:$AZ$4010,0)),""))</f>
        <v/>
      </c>
      <c r="AG224" s="25" t="str">
        <f>IF(AE224="","",IFERROR(INDEX($AO$11:$AO$4010,MATCH(214,$AZ$11:$AZ$4010,0)),""))</f>
        <v/>
      </c>
      <c r="AH224" s="24" t="str">
        <f>IF(AE224="","",IFERROR(INDEX($AQ$11:$AQ$4010,MATCH(214,$AZ$11:$AZ$4010,0)),""))</f>
        <v/>
      </c>
      <c r="AI224" s="29" t="str">
        <f>IF(AE224="","",IFERROR(INDEX($AR$11:$AR$4010,MATCH(214,$AZ$11:$AZ$4010,0)),""))</f>
        <v/>
      </c>
      <c r="AJ224" s="29" t="str">
        <f>IF(AE224="","",IFERROR(INDEX($AT$11:$AT$4010,MATCH(214,$AZ$11:$AZ$4010,0)),""))</f>
        <v/>
      </c>
      <c r="AL224" s="31" t="str">
        <f t="shared" si="50"/>
        <v/>
      </c>
      <c r="AM224" s="26" t="str">
        <f t="shared" si="51"/>
        <v/>
      </c>
      <c r="AN224" s="32" t="str">
        <f t="shared" si="52"/>
        <v/>
      </c>
      <c r="AO224" s="32" t="str">
        <f t="shared" si="53"/>
        <v/>
      </c>
      <c r="AP224" s="24" t="str">
        <f t="shared" si="54"/>
        <v/>
      </c>
      <c r="AQ224" s="24" t="str">
        <f t="shared" si="55"/>
        <v/>
      </c>
      <c r="AR224" s="33" t="str">
        <f t="shared" si="56"/>
        <v/>
      </c>
      <c r="AS224" s="34"/>
      <c r="AT224" s="33"/>
      <c r="AV224" s="21">
        <f>IF(AND($AL224&lt;&gt;"",COUNTIF($AL$11:$AL224,$AL224)=1),1,0)</f>
        <v>0</v>
      </c>
      <c r="AW224" s="21">
        <f t="shared" si="58"/>
        <v>2</v>
      </c>
      <c r="AX224" s="21" t="str">
        <f t="shared" si="57"/>
        <v/>
      </c>
      <c r="AY224" s="21" t="str">
        <f>IF(AND($AM224&lt;&gt;"",$AS224&lt;&gt;"✓"),SUMPRODUCT(($AM$11:$AM224&lt;&gt;"")*($AS$11:$AS224&lt;&gt;"✓")),"")</f>
        <v/>
      </c>
      <c r="AZ224" s="21" t="str">
        <f>IF(AND($AM224&lt;&gt;"",$AS224="✓"),SUMPRODUCT(($AM$11:$AM224&lt;&gt;"")*($AS$11:$AS224="✓")),"")</f>
        <v/>
      </c>
      <c r="BA224" s="21" t="str">
        <f>IF($AL224="","",$AL224&amp;"|"&amp;COUNTIF($AL$11:$AL224,$AL224))</f>
        <v/>
      </c>
    </row>
    <row r="225" spans="2:53" ht="15" customHeight="1" x14ac:dyDescent="0.25">
      <c r="B225" s="5" t="str">
        <f t="shared" si="45"/>
        <v/>
      </c>
      <c r="C225" s="5"/>
      <c r="D225" s="5"/>
      <c r="E225" s="5"/>
      <c r="F225" s="6"/>
      <c r="G225" s="6"/>
      <c r="H225" s="7"/>
      <c r="I225" s="8"/>
      <c r="K225" s="9" t="str">
        <f>IFERROR(INDEX($AL$11:$AL$4010,MATCH(215,$AX$11:$AX$4010,0)),"")</f>
        <v/>
      </c>
      <c r="L225" s="10" t="str">
        <f t="shared" si="46"/>
        <v/>
      </c>
      <c r="M225" s="11" t="str">
        <f t="shared" si="47"/>
        <v/>
      </c>
      <c r="N225" s="11" t="str">
        <f t="shared" si="48"/>
        <v/>
      </c>
      <c r="W225" s="14" t="str">
        <f>IF(X225="","",IFERROR(INDEX($AL$11:$AL$4010,MATCH(215,$AY$11:$AY$4010,0)),""))</f>
        <v/>
      </c>
      <c r="X225" s="12" t="str">
        <f>IFERROR(INDEX($AM$11:$AM$4010,MATCH(215,$AY$11:$AY$4010,0)),"")</f>
        <v/>
      </c>
      <c r="Y225" s="11" t="str">
        <f>IF(X225="","",IFERROR(INDEX($AN$11:$AN$4010,MATCH(215,$AY$11:$AY$4010,0)),""))</f>
        <v/>
      </c>
      <c r="Z225" s="11" t="str">
        <f>IF(X225="","",IFERROR(INDEX($AO$11:$AO$4010,MATCH(215,$AY$11:$AY$4010,0)),""))</f>
        <v/>
      </c>
      <c r="AA225" s="10" t="str">
        <f>IF(X225="","",IFERROR(INDEX($AQ$11:$AQ$4010,MATCH(215,$AY$11:$AY$4010,0)),""))</f>
        <v/>
      </c>
      <c r="AB225" s="15" t="str">
        <f>IF(X225="","",IFERROR(INDEX($AR$11:$AR$4010,MATCH(215,$AY$11:$AY$4010,0)),""))</f>
        <v/>
      </c>
      <c r="AD225" s="16" t="str">
        <f>IF(AE225="","",IFERROR(INDEX($AL$11:$AL$4010,MATCH(215,$AZ$11:$AZ$4010,0)),""))</f>
        <v/>
      </c>
      <c r="AE225" s="12" t="str">
        <f>IFERROR(INDEX($AM$11:$AM$4010,MATCH(215,$AZ$11:$AZ$4010,0)),"")</f>
        <v/>
      </c>
      <c r="AF225" s="11" t="str">
        <f>IF(AE225="","",IFERROR(INDEX($AN$11:$AN$4010,MATCH(215,$AZ$11:$AZ$4010,0)),""))</f>
        <v/>
      </c>
      <c r="AG225" s="11" t="str">
        <f>IF(AE225="","",IFERROR(INDEX($AO$11:$AO$4010,MATCH(215,$AZ$11:$AZ$4010,0)),""))</f>
        <v/>
      </c>
      <c r="AH225" s="10" t="str">
        <f>IF(AE225="","",IFERROR(INDEX($AQ$11:$AQ$4010,MATCH(215,$AZ$11:$AZ$4010,0)),""))</f>
        <v/>
      </c>
      <c r="AI225" s="15" t="str">
        <f>IF(AE225="","",IFERROR(INDEX($AR$11:$AR$4010,MATCH(215,$AZ$11:$AZ$4010,0)),""))</f>
        <v/>
      </c>
      <c r="AJ225" s="15" t="str">
        <f>IF(AE225="","",IFERROR(INDEX($AT$11:$AT$4010,MATCH(215,$AZ$11:$AZ$4010,0)),""))</f>
        <v/>
      </c>
      <c r="AL225" s="17" t="str">
        <f t="shared" si="50"/>
        <v/>
      </c>
      <c r="AM225" s="12" t="str">
        <f t="shared" si="51"/>
        <v/>
      </c>
      <c r="AN225" s="18" t="str">
        <f t="shared" si="52"/>
        <v/>
      </c>
      <c r="AO225" s="18" t="str">
        <f t="shared" si="53"/>
        <v/>
      </c>
      <c r="AP225" s="10" t="str">
        <f t="shared" si="54"/>
        <v/>
      </c>
      <c r="AQ225" s="10" t="str">
        <f t="shared" si="55"/>
        <v/>
      </c>
      <c r="AR225" s="19" t="str">
        <f t="shared" si="56"/>
        <v/>
      </c>
      <c r="AS225" s="20"/>
      <c r="AT225" s="19"/>
      <c r="AV225" s="21">
        <f>IF(AND($AL225&lt;&gt;"",COUNTIF($AL$11:$AL225,$AL225)=1),1,0)</f>
        <v>0</v>
      </c>
      <c r="AW225" s="21">
        <f t="shared" si="58"/>
        <v>2</v>
      </c>
      <c r="AX225" s="21" t="str">
        <f t="shared" si="57"/>
        <v/>
      </c>
      <c r="AY225" s="21" t="str">
        <f>IF(AND($AM225&lt;&gt;"",$AS225&lt;&gt;"✓"),SUMPRODUCT(($AM$11:$AM225&lt;&gt;"")*($AS$11:$AS225&lt;&gt;"✓")),"")</f>
        <v/>
      </c>
      <c r="AZ225" s="21" t="str">
        <f>IF(AND($AM225&lt;&gt;"",$AS225="✓"),SUMPRODUCT(($AM$11:$AM225&lt;&gt;"")*($AS$11:$AS225="✓")),"")</f>
        <v/>
      </c>
      <c r="BA225" s="21" t="str">
        <f>IF($AL225="","",$AL225&amp;"|"&amp;COUNTIF($AL$11:$AL225,$AL225))</f>
        <v/>
      </c>
    </row>
    <row r="226" spans="2:53" ht="15" customHeight="1" x14ac:dyDescent="0.25">
      <c r="B226" s="5" t="str">
        <f t="shared" si="45"/>
        <v/>
      </c>
      <c r="C226" s="5"/>
      <c r="D226" s="5"/>
      <c r="E226" s="5"/>
      <c r="F226" s="6"/>
      <c r="G226" s="6"/>
      <c r="H226" s="7"/>
      <c r="I226" s="8"/>
      <c r="K226" s="23" t="str">
        <f>IFERROR(INDEX($AL$11:$AL$4010,MATCH(216,$AX$11:$AX$4010,0)),"")</f>
        <v/>
      </c>
      <c r="L226" s="24" t="str">
        <f t="shared" si="46"/>
        <v/>
      </c>
      <c r="M226" s="25" t="str">
        <f t="shared" si="47"/>
        <v/>
      </c>
      <c r="N226" s="25" t="str">
        <f t="shared" si="48"/>
        <v/>
      </c>
      <c r="W226" s="28" t="str">
        <f>IF(X226="","",IFERROR(INDEX($AL$11:$AL$4010,MATCH(216,$AY$11:$AY$4010,0)),""))</f>
        <v/>
      </c>
      <c r="X226" s="26" t="str">
        <f>IFERROR(INDEX($AM$11:$AM$4010,MATCH(216,$AY$11:$AY$4010,0)),"")</f>
        <v/>
      </c>
      <c r="Y226" s="25" t="str">
        <f>IF(X226="","",IFERROR(INDEX($AN$11:$AN$4010,MATCH(216,$AY$11:$AY$4010,0)),""))</f>
        <v/>
      </c>
      <c r="Z226" s="25" t="str">
        <f>IF(X226="","",IFERROR(INDEX($AO$11:$AO$4010,MATCH(216,$AY$11:$AY$4010,0)),""))</f>
        <v/>
      </c>
      <c r="AA226" s="24" t="str">
        <f>IF(X226="","",IFERROR(INDEX($AQ$11:$AQ$4010,MATCH(216,$AY$11:$AY$4010,0)),""))</f>
        <v/>
      </c>
      <c r="AB226" s="29" t="str">
        <f>IF(X226="","",IFERROR(INDEX($AR$11:$AR$4010,MATCH(216,$AY$11:$AY$4010,0)),""))</f>
        <v/>
      </c>
      <c r="AD226" s="30" t="str">
        <f>IF(AE226="","",IFERROR(INDEX($AL$11:$AL$4010,MATCH(216,$AZ$11:$AZ$4010,0)),""))</f>
        <v/>
      </c>
      <c r="AE226" s="26" t="str">
        <f>IFERROR(INDEX($AM$11:$AM$4010,MATCH(216,$AZ$11:$AZ$4010,0)),"")</f>
        <v/>
      </c>
      <c r="AF226" s="25" t="str">
        <f>IF(AE226="","",IFERROR(INDEX($AN$11:$AN$4010,MATCH(216,$AZ$11:$AZ$4010,0)),""))</f>
        <v/>
      </c>
      <c r="AG226" s="25" t="str">
        <f>IF(AE226="","",IFERROR(INDEX($AO$11:$AO$4010,MATCH(216,$AZ$11:$AZ$4010,0)),""))</f>
        <v/>
      </c>
      <c r="AH226" s="24" t="str">
        <f>IF(AE226="","",IFERROR(INDEX($AQ$11:$AQ$4010,MATCH(216,$AZ$11:$AZ$4010,0)),""))</f>
        <v/>
      </c>
      <c r="AI226" s="29" t="str">
        <f>IF(AE226="","",IFERROR(INDEX($AR$11:$AR$4010,MATCH(216,$AZ$11:$AZ$4010,0)),""))</f>
        <v/>
      </c>
      <c r="AJ226" s="29" t="str">
        <f>IF(AE226="","",IFERROR(INDEX($AT$11:$AT$4010,MATCH(216,$AZ$11:$AZ$4010,0)),""))</f>
        <v/>
      </c>
      <c r="AL226" s="31" t="str">
        <f t="shared" si="50"/>
        <v/>
      </c>
      <c r="AM226" s="26" t="str">
        <f t="shared" si="51"/>
        <v/>
      </c>
      <c r="AN226" s="32" t="str">
        <f t="shared" si="52"/>
        <v/>
      </c>
      <c r="AO226" s="32" t="str">
        <f t="shared" si="53"/>
        <v/>
      </c>
      <c r="AP226" s="24" t="str">
        <f t="shared" si="54"/>
        <v/>
      </c>
      <c r="AQ226" s="24" t="str">
        <f t="shared" si="55"/>
        <v/>
      </c>
      <c r="AR226" s="33" t="str">
        <f t="shared" si="56"/>
        <v/>
      </c>
      <c r="AS226" s="34"/>
      <c r="AT226" s="33"/>
      <c r="AV226" s="21">
        <f>IF(AND($AL226&lt;&gt;"",COUNTIF($AL$11:$AL226,$AL226)=1),1,0)</f>
        <v>0</v>
      </c>
      <c r="AW226" s="21">
        <f t="shared" si="58"/>
        <v>2</v>
      </c>
      <c r="AX226" s="21" t="str">
        <f t="shared" si="57"/>
        <v/>
      </c>
      <c r="AY226" s="21" t="str">
        <f>IF(AND($AM226&lt;&gt;"",$AS226&lt;&gt;"✓"),SUMPRODUCT(($AM$11:$AM226&lt;&gt;"")*($AS$11:$AS226&lt;&gt;"✓")),"")</f>
        <v/>
      </c>
      <c r="AZ226" s="21" t="str">
        <f>IF(AND($AM226&lt;&gt;"",$AS226="✓"),SUMPRODUCT(($AM$11:$AM226&lt;&gt;"")*($AS$11:$AS226="✓")),"")</f>
        <v/>
      </c>
      <c r="BA226" s="21" t="str">
        <f>IF($AL226="","",$AL226&amp;"|"&amp;COUNTIF($AL$11:$AL226,$AL226))</f>
        <v/>
      </c>
    </row>
    <row r="227" spans="2:53" ht="15" customHeight="1" x14ac:dyDescent="0.25">
      <c r="B227" s="5" t="str">
        <f t="shared" si="45"/>
        <v/>
      </c>
      <c r="C227" s="5"/>
      <c r="D227" s="5"/>
      <c r="E227" s="5"/>
      <c r="F227" s="6"/>
      <c r="G227" s="6"/>
      <c r="H227" s="7"/>
      <c r="I227" s="8"/>
      <c r="K227" s="9" t="str">
        <f>IFERROR(INDEX($AL$11:$AL$4010,MATCH(217,$AX$11:$AX$4010,0)),"")</f>
        <v/>
      </c>
      <c r="L227" s="10" t="str">
        <f t="shared" si="46"/>
        <v/>
      </c>
      <c r="M227" s="11" t="str">
        <f t="shared" si="47"/>
        <v/>
      </c>
      <c r="N227" s="11" t="str">
        <f t="shared" si="48"/>
        <v/>
      </c>
      <c r="W227" s="14" t="str">
        <f>IF(X227="","",IFERROR(INDEX($AL$11:$AL$4010,MATCH(217,$AY$11:$AY$4010,0)),""))</f>
        <v/>
      </c>
      <c r="X227" s="12" t="str">
        <f>IFERROR(INDEX($AM$11:$AM$4010,MATCH(217,$AY$11:$AY$4010,0)),"")</f>
        <v/>
      </c>
      <c r="Y227" s="11" t="str">
        <f>IF(X227="","",IFERROR(INDEX($AN$11:$AN$4010,MATCH(217,$AY$11:$AY$4010,0)),""))</f>
        <v/>
      </c>
      <c r="Z227" s="11" t="str">
        <f>IF(X227="","",IFERROR(INDEX($AO$11:$AO$4010,MATCH(217,$AY$11:$AY$4010,0)),""))</f>
        <v/>
      </c>
      <c r="AA227" s="10" t="str">
        <f>IF(X227="","",IFERROR(INDEX($AQ$11:$AQ$4010,MATCH(217,$AY$11:$AY$4010,0)),""))</f>
        <v/>
      </c>
      <c r="AB227" s="15" t="str">
        <f>IF(X227="","",IFERROR(INDEX($AR$11:$AR$4010,MATCH(217,$AY$11:$AY$4010,0)),""))</f>
        <v/>
      </c>
      <c r="AD227" s="16" t="str">
        <f>IF(AE227="","",IFERROR(INDEX($AL$11:$AL$4010,MATCH(217,$AZ$11:$AZ$4010,0)),""))</f>
        <v/>
      </c>
      <c r="AE227" s="12" t="str">
        <f>IFERROR(INDEX($AM$11:$AM$4010,MATCH(217,$AZ$11:$AZ$4010,0)),"")</f>
        <v/>
      </c>
      <c r="AF227" s="11" t="str">
        <f>IF(AE227="","",IFERROR(INDEX($AN$11:$AN$4010,MATCH(217,$AZ$11:$AZ$4010,0)),""))</f>
        <v/>
      </c>
      <c r="AG227" s="11" t="str">
        <f>IF(AE227="","",IFERROR(INDEX($AO$11:$AO$4010,MATCH(217,$AZ$11:$AZ$4010,0)),""))</f>
        <v/>
      </c>
      <c r="AH227" s="10" t="str">
        <f>IF(AE227="","",IFERROR(INDEX($AQ$11:$AQ$4010,MATCH(217,$AZ$11:$AZ$4010,0)),""))</f>
        <v/>
      </c>
      <c r="AI227" s="15" t="str">
        <f>IF(AE227="","",IFERROR(INDEX($AR$11:$AR$4010,MATCH(217,$AZ$11:$AZ$4010,0)),""))</f>
        <v/>
      </c>
      <c r="AJ227" s="15" t="str">
        <f>IF(AE227="","",IFERROR(INDEX($AT$11:$AT$4010,MATCH(217,$AZ$11:$AZ$4010,0)),""))</f>
        <v/>
      </c>
      <c r="AL227" s="17" t="str">
        <f t="shared" si="50"/>
        <v/>
      </c>
      <c r="AM227" s="12" t="str">
        <f t="shared" si="51"/>
        <v/>
      </c>
      <c r="AN227" s="18" t="str">
        <f t="shared" si="52"/>
        <v/>
      </c>
      <c r="AO227" s="18" t="str">
        <f t="shared" si="53"/>
        <v/>
      </c>
      <c r="AP227" s="10" t="str">
        <f t="shared" si="54"/>
        <v/>
      </c>
      <c r="AQ227" s="10" t="str">
        <f t="shared" si="55"/>
        <v/>
      </c>
      <c r="AR227" s="19" t="str">
        <f t="shared" si="56"/>
        <v/>
      </c>
      <c r="AS227" s="20"/>
      <c r="AT227" s="19"/>
      <c r="AV227" s="21">
        <f>IF(AND($AL227&lt;&gt;"",COUNTIF($AL$11:$AL227,$AL227)=1),1,0)</f>
        <v>0</v>
      </c>
      <c r="AW227" s="21">
        <f t="shared" si="58"/>
        <v>2</v>
      </c>
      <c r="AX227" s="21" t="str">
        <f t="shared" si="57"/>
        <v/>
      </c>
      <c r="AY227" s="21" t="str">
        <f>IF(AND($AM227&lt;&gt;"",$AS227&lt;&gt;"✓"),SUMPRODUCT(($AM$11:$AM227&lt;&gt;"")*($AS$11:$AS227&lt;&gt;"✓")),"")</f>
        <v/>
      </c>
      <c r="AZ227" s="21" t="str">
        <f>IF(AND($AM227&lt;&gt;"",$AS227="✓"),SUMPRODUCT(($AM$11:$AM227&lt;&gt;"")*($AS$11:$AS227="✓")),"")</f>
        <v/>
      </c>
      <c r="BA227" s="21" t="str">
        <f>IF($AL227="","",$AL227&amp;"|"&amp;COUNTIF($AL$11:$AL227,$AL227))</f>
        <v/>
      </c>
    </row>
    <row r="228" spans="2:53" ht="15" customHeight="1" x14ac:dyDescent="0.25">
      <c r="B228" s="5" t="str">
        <f t="shared" si="45"/>
        <v/>
      </c>
      <c r="C228" s="5"/>
      <c r="D228" s="5"/>
      <c r="E228" s="5"/>
      <c r="F228" s="6"/>
      <c r="G228" s="6"/>
      <c r="H228" s="7"/>
      <c r="I228" s="8"/>
      <c r="K228" s="23" t="str">
        <f>IFERROR(INDEX($AL$11:$AL$4010,MATCH(218,$AX$11:$AX$4010,0)),"")</f>
        <v/>
      </c>
      <c r="L228" s="24" t="str">
        <f t="shared" si="46"/>
        <v/>
      </c>
      <c r="M228" s="25" t="str">
        <f t="shared" si="47"/>
        <v/>
      </c>
      <c r="N228" s="25" t="str">
        <f t="shared" si="48"/>
        <v/>
      </c>
      <c r="W228" s="28" t="str">
        <f>IF(X228="","",IFERROR(INDEX($AL$11:$AL$4010,MATCH(218,$AY$11:$AY$4010,0)),""))</f>
        <v/>
      </c>
      <c r="X228" s="26" t="str">
        <f>IFERROR(INDEX($AM$11:$AM$4010,MATCH(218,$AY$11:$AY$4010,0)),"")</f>
        <v/>
      </c>
      <c r="Y228" s="25" t="str">
        <f>IF(X228="","",IFERROR(INDEX($AN$11:$AN$4010,MATCH(218,$AY$11:$AY$4010,0)),""))</f>
        <v/>
      </c>
      <c r="Z228" s="25" t="str">
        <f>IF(X228="","",IFERROR(INDEX($AO$11:$AO$4010,MATCH(218,$AY$11:$AY$4010,0)),""))</f>
        <v/>
      </c>
      <c r="AA228" s="24" t="str">
        <f>IF(X228="","",IFERROR(INDEX($AQ$11:$AQ$4010,MATCH(218,$AY$11:$AY$4010,0)),""))</f>
        <v/>
      </c>
      <c r="AB228" s="29" t="str">
        <f>IF(X228="","",IFERROR(INDEX($AR$11:$AR$4010,MATCH(218,$AY$11:$AY$4010,0)),""))</f>
        <v/>
      </c>
      <c r="AD228" s="30" t="str">
        <f>IF(AE228="","",IFERROR(INDEX($AL$11:$AL$4010,MATCH(218,$AZ$11:$AZ$4010,0)),""))</f>
        <v/>
      </c>
      <c r="AE228" s="26" t="str">
        <f>IFERROR(INDEX($AM$11:$AM$4010,MATCH(218,$AZ$11:$AZ$4010,0)),"")</f>
        <v/>
      </c>
      <c r="AF228" s="25" t="str">
        <f>IF(AE228="","",IFERROR(INDEX($AN$11:$AN$4010,MATCH(218,$AZ$11:$AZ$4010,0)),""))</f>
        <v/>
      </c>
      <c r="AG228" s="25" t="str">
        <f>IF(AE228="","",IFERROR(INDEX($AO$11:$AO$4010,MATCH(218,$AZ$11:$AZ$4010,0)),""))</f>
        <v/>
      </c>
      <c r="AH228" s="24" t="str">
        <f>IF(AE228="","",IFERROR(INDEX($AQ$11:$AQ$4010,MATCH(218,$AZ$11:$AZ$4010,0)),""))</f>
        <v/>
      </c>
      <c r="AI228" s="29" t="str">
        <f>IF(AE228="","",IFERROR(INDEX($AR$11:$AR$4010,MATCH(218,$AZ$11:$AZ$4010,0)),""))</f>
        <v/>
      </c>
      <c r="AJ228" s="29" t="str">
        <f>IF(AE228="","",IFERROR(INDEX($AT$11:$AT$4010,MATCH(218,$AZ$11:$AZ$4010,0)),""))</f>
        <v/>
      </c>
      <c r="AL228" s="31" t="str">
        <f t="shared" si="50"/>
        <v/>
      </c>
      <c r="AM228" s="26" t="str">
        <f t="shared" si="51"/>
        <v/>
      </c>
      <c r="AN228" s="32" t="str">
        <f t="shared" si="52"/>
        <v/>
      </c>
      <c r="AO228" s="32" t="str">
        <f t="shared" si="53"/>
        <v/>
      </c>
      <c r="AP228" s="24" t="str">
        <f t="shared" si="54"/>
        <v/>
      </c>
      <c r="AQ228" s="24" t="str">
        <f t="shared" si="55"/>
        <v/>
      </c>
      <c r="AR228" s="33" t="str">
        <f t="shared" si="56"/>
        <v/>
      </c>
      <c r="AS228" s="34"/>
      <c r="AT228" s="33"/>
      <c r="AV228" s="21">
        <f>IF(AND($AL228&lt;&gt;"",COUNTIF($AL$11:$AL228,$AL228)=1),1,0)</f>
        <v>0</v>
      </c>
      <c r="AW228" s="21">
        <f t="shared" si="58"/>
        <v>2</v>
      </c>
      <c r="AX228" s="21" t="str">
        <f t="shared" si="57"/>
        <v/>
      </c>
      <c r="AY228" s="21" t="str">
        <f>IF(AND($AM228&lt;&gt;"",$AS228&lt;&gt;"✓"),SUMPRODUCT(($AM$11:$AM228&lt;&gt;"")*($AS$11:$AS228&lt;&gt;"✓")),"")</f>
        <v/>
      </c>
      <c r="AZ228" s="21" t="str">
        <f>IF(AND($AM228&lt;&gt;"",$AS228="✓"),SUMPRODUCT(($AM$11:$AM228&lt;&gt;"")*($AS$11:$AS228="✓")),"")</f>
        <v/>
      </c>
      <c r="BA228" s="21" t="str">
        <f>IF($AL228="","",$AL228&amp;"|"&amp;COUNTIF($AL$11:$AL228,$AL228))</f>
        <v/>
      </c>
    </row>
    <row r="229" spans="2:53" ht="15" customHeight="1" x14ac:dyDescent="0.25">
      <c r="B229" s="5" t="str">
        <f t="shared" si="45"/>
        <v/>
      </c>
      <c r="C229" s="5"/>
      <c r="D229" s="5"/>
      <c r="E229" s="5"/>
      <c r="F229" s="6"/>
      <c r="G229" s="6"/>
      <c r="H229" s="7"/>
      <c r="I229" s="8"/>
      <c r="K229" s="9" t="str">
        <f>IFERROR(INDEX($AL$11:$AL$4010,MATCH(219,$AX$11:$AX$4010,0)),"")</f>
        <v/>
      </c>
      <c r="L229" s="10" t="str">
        <f t="shared" si="46"/>
        <v/>
      </c>
      <c r="M229" s="11" t="str">
        <f t="shared" si="47"/>
        <v/>
      </c>
      <c r="N229" s="11" t="str">
        <f t="shared" si="48"/>
        <v/>
      </c>
      <c r="W229" s="14" t="str">
        <f>IF(X229="","",IFERROR(INDEX($AL$11:$AL$4010,MATCH(219,$AY$11:$AY$4010,0)),""))</f>
        <v/>
      </c>
      <c r="X229" s="12" t="str">
        <f>IFERROR(INDEX($AM$11:$AM$4010,MATCH(219,$AY$11:$AY$4010,0)),"")</f>
        <v/>
      </c>
      <c r="Y229" s="11" t="str">
        <f>IF(X229="","",IFERROR(INDEX($AN$11:$AN$4010,MATCH(219,$AY$11:$AY$4010,0)),""))</f>
        <v/>
      </c>
      <c r="Z229" s="11" t="str">
        <f>IF(X229="","",IFERROR(INDEX($AO$11:$AO$4010,MATCH(219,$AY$11:$AY$4010,0)),""))</f>
        <v/>
      </c>
      <c r="AA229" s="10" t="str">
        <f>IF(X229="","",IFERROR(INDEX($AQ$11:$AQ$4010,MATCH(219,$AY$11:$AY$4010,0)),""))</f>
        <v/>
      </c>
      <c r="AB229" s="15" t="str">
        <f>IF(X229="","",IFERROR(INDEX($AR$11:$AR$4010,MATCH(219,$AY$11:$AY$4010,0)),""))</f>
        <v/>
      </c>
      <c r="AD229" s="16" t="str">
        <f>IF(AE229="","",IFERROR(INDEX($AL$11:$AL$4010,MATCH(219,$AZ$11:$AZ$4010,0)),""))</f>
        <v/>
      </c>
      <c r="AE229" s="12" t="str">
        <f>IFERROR(INDEX($AM$11:$AM$4010,MATCH(219,$AZ$11:$AZ$4010,0)),"")</f>
        <v/>
      </c>
      <c r="AF229" s="11" t="str">
        <f>IF(AE229="","",IFERROR(INDEX($AN$11:$AN$4010,MATCH(219,$AZ$11:$AZ$4010,0)),""))</f>
        <v/>
      </c>
      <c r="AG229" s="11" t="str">
        <f>IF(AE229="","",IFERROR(INDEX($AO$11:$AO$4010,MATCH(219,$AZ$11:$AZ$4010,0)),""))</f>
        <v/>
      </c>
      <c r="AH229" s="10" t="str">
        <f>IF(AE229="","",IFERROR(INDEX($AQ$11:$AQ$4010,MATCH(219,$AZ$11:$AZ$4010,0)),""))</f>
        <v/>
      </c>
      <c r="AI229" s="15" t="str">
        <f>IF(AE229="","",IFERROR(INDEX($AR$11:$AR$4010,MATCH(219,$AZ$11:$AZ$4010,0)),""))</f>
        <v/>
      </c>
      <c r="AJ229" s="15" t="str">
        <f>IF(AE229="","",IFERROR(INDEX($AT$11:$AT$4010,MATCH(219,$AZ$11:$AZ$4010,0)),""))</f>
        <v/>
      </c>
      <c r="AL229" s="17" t="str">
        <f t="shared" si="50"/>
        <v/>
      </c>
      <c r="AM229" s="12" t="str">
        <f t="shared" si="51"/>
        <v/>
      </c>
      <c r="AN229" s="18" t="str">
        <f t="shared" si="52"/>
        <v/>
      </c>
      <c r="AO229" s="18" t="str">
        <f t="shared" si="53"/>
        <v/>
      </c>
      <c r="AP229" s="10" t="str">
        <f t="shared" si="54"/>
        <v/>
      </c>
      <c r="AQ229" s="10" t="str">
        <f t="shared" si="55"/>
        <v/>
      </c>
      <c r="AR229" s="19" t="str">
        <f t="shared" si="56"/>
        <v/>
      </c>
      <c r="AS229" s="20"/>
      <c r="AT229" s="19"/>
      <c r="AV229" s="21">
        <f>IF(AND($AL229&lt;&gt;"",COUNTIF($AL$11:$AL229,$AL229)=1),1,0)</f>
        <v>0</v>
      </c>
      <c r="AW229" s="21">
        <f t="shared" si="58"/>
        <v>2</v>
      </c>
      <c r="AX229" s="21" t="str">
        <f t="shared" si="57"/>
        <v/>
      </c>
      <c r="AY229" s="21" t="str">
        <f>IF(AND($AM229&lt;&gt;"",$AS229&lt;&gt;"✓"),SUMPRODUCT(($AM$11:$AM229&lt;&gt;"")*($AS$11:$AS229&lt;&gt;"✓")),"")</f>
        <v/>
      </c>
      <c r="AZ229" s="21" t="str">
        <f>IF(AND($AM229&lt;&gt;"",$AS229="✓"),SUMPRODUCT(($AM$11:$AM229&lt;&gt;"")*($AS$11:$AS229="✓")),"")</f>
        <v/>
      </c>
      <c r="BA229" s="21" t="str">
        <f>IF($AL229="","",$AL229&amp;"|"&amp;COUNTIF($AL$11:$AL229,$AL229))</f>
        <v/>
      </c>
    </row>
    <row r="230" spans="2:53" ht="15" customHeight="1" x14ac:dyDescent="0.25">
      <c r="B230" s="5" t="str">
        <f t="shared" si="45"/>
        <v/>
      </c>
      <c r="C230" s="5"/>
      <c r="D230" s="5"/>
      <c r="E230" s="5"/>
      <c r="F230" s="6"/>
      <c r="G230" s="6"/>
      <c r="H230" s="7"/>
      <c r="I230" s="8"/>
      <c r="K230" s="23" t="str">
        <f>IFERROR(INDEX($AL$11:$AL$4010,MATCH(220,$AX$11:$AX$4010,0)),"")</f>
        <v/>
      </c>
      <c r="L230" s="24" t="str">
        <f t="shared" si="46"/>
        <v/>
      </c>
      <c r="M230" s="25" t="str">
        <f t="shared" si="47"/>
        <v/>
      </c>
      <c r="N230" s="25" t="str">
        <f t="shared" si="48"/>
        <v/>
      </c>
      <c r="W230" s="28" t="str">
        <f>IF(X230="","",IFERROR(INDEX($AL$11:$AL$4010,MATCH(220,$AY$11:$AY$4010,0)),""))</f>
        <v/>
      </c>
      <c r="X230" s="26" t="str">
        <f>IFERROR(INDEX($AM$11:$AM$4010,MATCH(220,$AY$11:$AY$4010,0)),"")</f>
        <v/>
      </c>
      <c r="Y230" s="25" t="str">
        <f>IF(X230="","",IFERROR(INDEX($AN$11:$AN$4010,MATCH(220,$AY$11:$AY$4010,0)),""))</f>
        <v/>
      </c>
      <c r="Z230" s="25" t="str">
        <f>IF(X230="","",IFERROR(INDEX($AO$11:$AO$4010,MATCH(220,$AY$11:$AY$4010,0)),""))</f>
        <v/>
      </c>
      <c r="AA230" s="24" t="str">
        <f>IF(X230="","",IFERROR(INDEX($AQ$11:$AQ$4010,MATCH(220,$AY$11:$AY$4010,0)),""))</f>
        <v/>
      </c>
      <c r="AB230" s="29" t="str">
        <f>IF(X230="","",IFERROR(INDEX($AR$11:$AR$4010,MATCH(220,$AY$11:$AY$4010,0)),""))</f>
        <v/>
      </c>
      <c r="AD230" s="30" t="str">
        <f>IF(AE230="","",IFERROR(INDEX($AL$11:$AL$4010,MATCH(220,$AZ$11:$AZ$4010,0)),""))</f>
        <v/>
      </c>
      <c r="AE230" s="26" t="str">
        <f>IFERROR(INDEX($AM$11:$AM$4010,MATCH(220,$AZ$11:$AZ$4010,0)),"")</f>
        <v/>
      </c>
      <c r="AF230" s="25" t="str">
        <f>IF(AE230="","",IFERROR(INDEX($AN$11:$AN$4010,MATCH(220,$AZ$11:$AZ$4010,0)),""))</f>
        <v/>
      </c>
      <c r="AG230" s="25" t="str">
        <f>IF(AE230="","",IFERROR(INDEX($AO$11:$AO$4010,MATCH(220,$AZ$11:$AZ$4010,0)),""))</f>
        <v/>
      </c>
      <c r="AH230" s="24" t="str">
        <f>IF(AE230="","",IFERROR(INDEX($AQ$11:$AQ$4010,MATCH(220,$AZ$11:$AZ$4010,0)),""))</f>
        <v/>
      </c>
      <c r="AI230" s="29" t="str">
        <f>IF(AE230="","",IFERROR(INDEX($AR$11:$AR$4010,MATCH(220,$AZ$11:$AZ$4010,0)),""))</f>
        <v/>
      </c>
      <c r="AJ230" s="29" t="str">
        <f>IF(AE230="","",IFERROR(INDEX($AT$11:$AT$4010,MATCH(220,$AZ$11:$AZ$4010,0)),""))</f>
        <v/>
      </c>
      <c r="AL230" s="31" t="str">
        <f t="shared" si="50"/>
        <v/>
      </c>
      <c r="AM230" s="26" t="str">
        <f t="shared" si="51"/>
        <v/>
      </c>
      <c r="AN230" s="32" t="str">
        <f t="shared" si="52"/>
        <v/>
      </c>
      <c r="AO230" s="32" t="str">
        <f t="shared" si="53"/>
        <v/>
      </c>
      <c r="AP230" s="24" t="str">
        <f t="shared" si="54"/>
        <v/>
      </c>
      <c r="AQ230" s="24" t="str">
        <f t="shared" si="55"/>
        <v/>
      </c>
      <c r="AR230" s="33" t="str">
        <f t="shared" si="56"/>
        <v/>
      </c>
      <c r="AS230" s="34"/>
      <c r="AT230" s="33"/>
      <c r="AV230" s="21">
        <f>IF(AND($AL230&lt;&gt;"",COUNTIF($AL$11:$AL230,$AL230)=1),1,0)</f>
        <v>0</v>
      </c>
      <c r="AW230" s="21">
        <f t="shared" si="58"/>
        <v>2</v>
      </c>
      <c r="AX230" s="21" t="str">
        <f t="shared" si="57"/>
        <v/>
      </c>
      <c r="AY230" s="21" t="str">
        <f>IF(AND($AM230&lt;&gt;"",$AS230&lt;&gt;"✓"),SUMPRODUCT(($AM$11:$AM230&lt;&gt;"")*($AS$11:$AS230&lt;&gt;"✓")),"")</f>
        <v/>
      </c>
      <c r="AZ230" s="21" t="str">
        <f>IF(AND($AM230&lt;&gt;"",$AS230="✓"),SUMPRODUCT(($AM$11:$AM230&lt;&gt;"")*($AS$11:$AS230="✓")),"")</f>
        <v/>
      </c>
      <c r="BA230" s="21" t="str">
        <f>IF($AL230="","",$AL230&amp;"|"&amp;COUNTIF($AL$11:$AL230,$AL230))</f>
        <v/>
      </c>
    </row>
    <row r="231" spans="2:53" ht="15" customHeight="1" x14ac:dyDescent="0.25">
      <c r="B231" s="5" t="str">
        <f t="shared" si="45"/>
        <v/>
      </c>
      <c r="C231" s="5"/>
      <c r="D231" s="5"/>
      <c r="E231" s="5"/>
      <c r="F231" s="6"/>
      <c r="G231" s="6"/>
      <c r="H231" s="7"/>
      <c r="I231" s="8"/>
      <c r="K231" s="9" t="str">
        <f>IFERROR(INDEX($AL$11:$AL$4010,MATCH(221,$AX$11:$AX$4010,0)),"")</f>
        <v/>
      </c>
      <c r="L231" s="10" t="str">
        <f t="shared" si="46"/>
        <v/>
      </c>
      <c r="M231" s="11" t="str">
        <f t="shared" si="47"/>
        <v/>
      </c>
      <c r="N231" s="11" t="str">
        <f t="shared" si="48"/>
        <v/>
      </c>
      <c r="W231" s="14" t="str">
        <f>IF(X231="","",IFERROR(INDEX($AL$11:$AL$4010,MATCH(221,$AY$11:$AY$4010,0)),""))</f>
        <v/>
      </c>
      <c r="X231" s="12" t="str">
        <f>IFERROR(INDEX($AM$11:$AM$4010,MATCH(221,$AY$11:$AY$4010,0)),"")</f>
        <v/>
      </c>
      <c r="Y231" s="11" t="str">
        <f>IF(X231="","",IFERROR(INDEX($AN$11:$AN$4010,MATCH(221,$AY$11:$AY$4010,0)),""))</f>
        <v/>
      </c>
      <c r="Z231" s="11" t="str">
        <f>IF(X231="","",IFERROR(INDEX($AO$11:$AO$4010,MATCH(221,$AY$11:$AY$4010,0)),""))</f>
        <v/>
      </c>
      <c r="AA231" s="10" t="str">
        <f>IF(X231="","",IFERROR(INDEX($AQ$11:$AQ$4010,MATCH(221,$AY$11:$AY$4010,0)),""))</f>
        <v/>
      </c>
      <c r="AB231" s="15" t="str">
        <f>IF(X231="","",IFERROR(INDEX($AR$11:$AR$4010,MATCH(221,$AY$11:$AY$4010,0)),""))</f>
        <v/>
      </c>
      <c r="AD231" s="16" t="str">
        <f>IF(AE231="","",IFERROR(INDEX($AL$11:$AL$4010,MATCH(221,$AZ$11:$AZ$4010,0)),""))</f>
        <v/>
      </c>
      <c r="AE231" s="12" t="str">
        <f>IFERROR(INDEX($AM$11:$AM$4010,MATCH(221,$AZ$11:$AZ$4010,0)),"")</f>
        <v/>
      </c>
      <c r="AF231" s="11" t="str">
        <f>IF(AE231="","",IFERROR(INDEX($AN$11:$AN$4010,MATCH(221,$AZ$11:$AZ$4010,0)),""))</f>
        <v/>
      </c>
      <c r="AG231" s="11" t="str">
        <f>IF(AE231="","",IFERROR(INDEX($AO$11:$AO$4010,MATCH(221,$AZ$11:$AZ$4010,0)),""))</f>
        <v/>
      </c>
      <c r="AH231" s="10" t="str">
        <f>IF(AE231="","",IFERROR(INDEX($AQ$11:$AQ$4010,MATCH(221,$AZ$11:$AZ$4010,0)),""))</f>
        <v/>
      </c>
      <c r="AI231" s="15" t="str">
        <f>IF(AE231="","",IFERROR(INDEX($AR$11:$AR$4010,MATCH(221,$AZ$11:$AZ$4010,0)),""))</f>
        <v/>
      </c>
      <c r="AJ231" s="15" t="str">
        <f>IF(AE231="","",IFERROR(INDEX($AT$11:$AT$4010,MATCH(221,$AZ$11:$AZ$4010,0)),""))</f>
        <v/>
      </c>
      <c r="AL231" s="17" t="str">
        <f t="shared" si="50"/>
        <v/>
      </c>
      <c r="AM231" s="12" t="str">
        <f t="shared" si="51"/>
        <v/>
      </c>
      <c r="AN231" s="18" t="str">
        <f t="shared" si="52"/>
        <v/>
      </c>
      <c r="AO231" s="18" t="str">
        <f t="shared" si="53"/>
        <v/>
      </c>
      <c r="AP231" s="10" t="str">
        <f t="shared" si="54"/>
        <v/>
      </c>
      <c r="AQ231" s="10" t="str">
        <f t="shared" si="55"/>
        <v/>
      </c>
      <c r="AR231" s="19" t="str">
        <f t="shared" si="56"/>
        <v/>
      </c>
      <c r="AS231" s="20"/>
      <c r="AT231" s="19"/>
      <c r="AV231" s="21">
        <f>IF(AND($AL231&lt;&gt;"",COUNTIF($AL$11:$AL231,$AL231)=1),1,0)</f>
        <v>0</v>
      </c>
      <c r="AW231" s="21">
        <f t="shared" si="58"/>
        <v>2</v>
      </c>
      <c r="AX231" s="21" t="str">
        <f t="shared" si="57"/>
        <v/>
      </c>
      <c r="AY231" s="21" t="str">
        <f>IF(AND($AM231&lt;&gt;"",$AS231&lt;&gt;"✓"),SUMPRODUCT(($AM$11:$AM231&lt;&gt;"")*($AS$11:$AS231&lt;&gt;"✓")),"")</f>
        <v/>
      </c>
      <c r="AZ231" s="21" t="str">
        <f>IF(AND($AM231&lt;&gt;"",$AS231="✓"),SUMPRODUCT(($AM$11:$AM231&lt;&gt;"")*($AS$11:$AS231="✓")),"")</f>
        <v/>
      </c>
      <c r="BA231" s="21" t="str">
        <f>IF($AL231="","",$AL231&amp;"|"&amp;COUNTIF($AL$11:$AL231,$AL231))</f>
        <v/>
      </c>
    </row>
    <row r="232" spans="2:53" ht="15" customHeight="1" x14ac:dyDescent="0.25">
      <c r="B232" s="5" t="str">
        <f t="shared" si="45"/>
        <v/>
      </c>
      <c r="C232" s="5"/>
      <c r="D232" s="5"/>
      <c r="E232" s="5"/>
      <c r="F232" s="6"/>
      <c r="G232" s="6"/>
      <c r="H232" s="7"/>
      <c r="I232" s="8"/>
      <c r="K232" s="23" t="str">
        <f>IFERROR(INDEX($AL$11:$AL$4010,MATCH(222,$AX$11:$AX$4010,0)),"")</f>
        <v/>
      </c>
      <c r="L232" s="24" t="str">
        <f t="shared" si="46"/>
        <v/>
      </c>
      <c r="M232" s="25" t="str">
        <f t="shared" si="47"/>
        <v/>
      </c>
      <c r="N232" s="25" t="str">
        <f t="shared" si="48"/>
        <v/>
      </c>
      <c r="W232" s="28" t="str">
        <f>IF(X232="","",IFERROR(INDEX($AL$11:$AL$4010,MATCH(222,$AY$11:$AY$4010,0)),""))</f>
        <v/>
      </c>
      <c r="X232" s="26" t="str">
        <f>IFERROR(INDEX($AM$11:$AM$4010,MATCH(222,$AY$11:$AY$4010,0)),"")</f>
        <v/>
      </c>
      <c r="Y232" s="25" t="str">
        <f>IF(X232="","",IFERROR(INDEX($AN$11:$AN$4010,MATCH(222,$AY$11:$AY$4010,0)),""))</f>
        <v/>
      </c>
      <c r="Z232" s="25" t="str">
        <f>IF(X232="","",IFERROR(INDEX($AO$11:$AO$4010,MATCH(222,$AY$11:$AY$4010,0)),""))</f>
        <v/>
      </c>
      <c r="AA232" s="24" t="str">
        <f>IF(X232="","",IFERROR(INDEX($AQ$11:$AQ$4010,MATCH(222,$AY$11:$AY$4010,0)),""))</f>
        <v/>
      </c>
      <c r="AB232" s="29" t="str">
        <f>IF(X232="","",IFERROR(INDEX($AR$11:$AR$4010,MATCH(222,$AY$11:$AY$4010,0)),""))</f>
        <v/>
      </c>
      <c r="AD232" s="30" t="str">
        <f>IF(AE232="","",IFERROR(INDEX($AL$11:$AL$4010,MATCH(222,$AZ$11:$AZ$4010,0)),""))</f>
        <v/>
      </c>
      <c r="AE232" s="26" t="str">
        <f>IFERROR(INDEX($AM$11:$AM$4010,MATCH(222,$AZ$11:$AZ$4010,0)),"")</f>
        <v/>
      </c>
      <c r="AF232" s="25" t="str">
        <f>IF(AE232="","",IFERROR(INDEX($AN$11:$AN$4010,MATCH(222,$AZ$11:$AZ$4010,0)),""))</f>
        <v/>
      </c>
      <c r="AG232" s="25" t="str">
        <f>IF(AE232="","",IFERROR(INDEX($AO$11:$AO$4010,MATCH(222,$AZ$11:$AZ$4010,0)),""))</f>
        <v/>
      </c>
      <c r="AH232" s="24" t="str">
        <f>IF(AE232="","",IFERROR(INDEX($AQ$11:$AQ$4010,MATCH(222,$AZ$11:$AZ$4010,0)),""))</f>
        <v/>
      </c>
      <c r="AI232" s="29" t="str">
        <f>IF(AE232="","",IFERROR(INDEX($AR$11:$AR$4010,MATCH(222,$AZ$11:$AZ$4010,0)),""))</f>
        <v/>
      </c>
      <c r="AJ232" s="29" t="str">
        <f>IF(AE232="","",IFERROR(INDEX($AT$11:$AT$4010,MATCH(222,$AZ$11:$AZ$4010,0)),""))</f>
        <v/>
      </c>
      <c r="AL232" s="31" t="str">
        <f t="shared" si="50"/>
        <v/>
      </c>
      <c r="AM232" s="26" t="str">
        <f t="shared" si="51"/>
        <v/>
      </c>
      <c r="AN232" s="32" t="str">
        <f t="shared" si="52"/>
        <v/>
      </c>
      <c r="AO232" s="32" t="str">
        <f t="shared" si="53"/>
        <v/>
      </c>
      <c r="AP232" s="24" t="str">
        <f t="shared" si="54"/>
        <v/>
      </c>
      <c r="AQ232" s="24" t="str">
        <f t="shared" si="55"/>
        <v/>
      </c>
      <c r="AR232" s="33" t="str">
        <f t="shared" si="56"/>
        <v/>
      </c>
      <c r="AS232" s="34"/>
      <c r="AT232" s="33"/>
      <c r="AV232" s="21">
        <f>IF(AND($AL232&lt;&gt;"",COUNTIF($AL$11:$AL232,$AL232)=1),1,0)</f>
        <v>0</v>
      </c>
      <c r="AW232" s="21">
        <f t="shared" si="58"/>
        <v>2</v>
      </c>
      <c r="AX232" s="21" t="str">
        <f t="shared" si="57"/>
        <v/>
      </c>
      <c r="AY232" s="21" t="str">
        <f>IF(AND($AM232&lt;&gt;"",$AS232&lt;&gt;"✓"),SUMPRODUCT(($AM$11:$AM232&lt;&gt;"")*($AS$11:$AS232&lt;&gt;"✓")),"")</f>
        <v/>
      </c>
      <c r="AZ232" s="21" t="str">
        <f>IF(AND($AM232&lt;&gt;"",$AS232="✓"),SUMPRODUCT(($AM$11:$AM232&lt;&gt;"")*($AS$11:$AS232="✓")),"")</f>
        <v/>
      </c>
      <c r="BA232" s="21" t="str">
        <f>IF($AL232="","",$AL232&amp;"|"&amp;COUNTIF($AL$11:$AL232,$AL232))</f>
        <v/>
      </c>
    </row>
    <row r="233" spans="2:53" ht="15" customHeight="1" x14ac:dyDescent="0.25">
      <c r="B233" s="5" t="str">
        <f t="shared" si="45"/>
        <v/>
      </c>
      <c r="C233" s="5"/>
      <c r="D233" s="5"/>
      <c r="E233" s="5"/>
      <c r="F233" s="6"/>
      <c r="G233" s="6"/>
      <c r="H233" s="7"/>
      <c r="I233" s="8"/>
      <c r="K233" s="9" t="str">
        <f>IFERROR(INDEX($AL$11:$AL$4010,MATCH(223,$AX$11:$AX$4010,0)),"")</f>
        <v/>
      </c>
      <c r="L233" s="10" t="str">
        <f t="shared" si="46"/>
        <v/>
      </c>
      <c r="M233" s="11" t="str">
        <f t="shared" si="47"/>
        <v/>
      </c>
      <c r="N233" s="11" t="str">
        <f t="shared" si="48"/>
        <v/>
      </c>
      <c r="W233" s="14" t="str">
        <f>IF(X233="","",IFERROR(INDEX($AL$11:$AL$4010,MATCH(223,$AY$11:$AY$4010,0)),""))</f>
        <v/>
      </c>
      <c r="X233" s="12" t="str">
        <f>IFERROR(INDEX($AM$11:$AM$4010,MATCH(223,$AY$11:$AY$4010,0)),"")</f>
        <v/>
      </c>
      <c r="Y233" s="11" t="str">
        <f>IF(X233="","",IFERROR(INDEX($AN$11:$AN$4010,MATCH(223,$AY$11:$AY$4010,0)),""))</f>
        <v/>
      </c>
      <c r="Z233" s="11" t="str">
        <f>IF(X233="","",IFERROR(INDEX($AO$11:$AO$4010,MATCH(223,$AY$11:$AY$4010,0)),""))</f>
        <v/>
      </c>
      <c r="AA233" s="10" t="str">
        <f>IF(X233="","",IFERROR(INDEX($AQ$11:$AQ$4010,MATCH(223,$AY$11:$AY$4010,0)),""))</f>
        <v/>
      </c>
      <c r="AB233" s="15" t="str">
        <f>IF(X233="","",IFERROR(INDEX($AR$11:$AR$4010,MATCH(223,$AY$11:$AY$4010,0)),""))</f>
        <v/>
      </c>
      <c r="AD233" s="16" t="str">
        <f>IF(AE233="","",IFERROR(INDEX($AL$11:$AL$4010,MATCH(223,$AZ$11:$AZ$4010,0)),""))</f>
        <v/>
      </c>
      <c r="AE233" s="12" t="str">
        <f>IFERROR(INDEX($AM$11:$AM$4010,MATCH(223,$AZ$11:$AZ$4010,0)),"")</f>
        <v/>
      </c>
      <c r="AF233" s="11" t="str">
        <f>IF(AE233="","",IFERROR(INDEX($AN$11:$AN$4010,MATCH(223,$AZ$11:$AZ$4010,0)),""))</f>
        <v/>
      </c>
      <c r="AG233" s="11" t="str">
        <f>IF(AE233="","",IFERROR(INDEX($AO$11:$AO$4010,MATCH(223,$AZ$11:$AZ$4010,0)),""))</f>
        <v/>
      </c>
      <c r="AH233" s="10" t="str">
        <f>IF(AE233="","",IFERROR(INDEX($AQ$11:$AQ$4010,MATCH(223,$AZ$11:$AZ$4010,0)),""))</f>
        <v/>
      </c>
      <c r="AI233" s="15" t="str">
        <f>IF(AE233="","",IFERROR(INDEX($AR$11:$AR$4010,MATCH(223,$AZ$11:$AZ$4010,0)),""))</f>
        <v/>
      </c>
      <c r="AJ233" s="15" t="str">
        <f>IF(AE233="","",IFERROR(INDEX($AT$11:$AT$4010,MATCH(223,$AZ$11:$AZ$4010,0)),""))</f>
        <v/>
      </c>
      <c r="AL233" s="17" t="str">
        <f t="shared" si="50"/>
        <v/>
      </c>
      <c r="AM233" s="12" t="str">
        <f t="shared" si="51"/>
        <v/>
      </c>
      <c r="AN233" s="18" t="str">
        <f t="shared" si="52"/>
        <v/>
      </c>
      <c r="AO233" s="18" t="str">
        <f t="shared" si="53"/>
        <v/>
      </c>
      <c r="AP233" s="10" t="str">
        <f t="shared" si="54"/>
        <v/>
      </c>
      <c r="AQ233" s="10" t="str">
        <f t="shared" si="55"/>
        <v/>
      </c>
      <c r="AR233" s="19" t="str">
        <f t="shared" si="56"/>
        <v/>
      </c>
      <c r="AS233" s="20"/>
      <c r="AT233" s="19"/>
      <c r="AV233" s="21">
        <f>IF(AND($AL233&lt;&gt;"",COUNTIF($AL$11:$AL233,$AL233)=1),1,0)</f>
        <v>0</v>
      </c>
      <c r="AW233" s="21">
        <f t="shared" si="58"/>
        <v>2</v>
      </c>
      <c r="AX233" s="21" t="str">
        <f t="shared" si="57"/>
        <v/>
      </c>
      <c r="AY233" s="21" t="str">
        <f>IF(AND($AM233&lt;&gt;"",$AS233&lt;&gt;"✓"),SUMPRODUCT(($AM$11:$AM233&lt;&gt;"")*($AS$11:$AS233&lt;&gt;"✓")),"")</f>
        <v/>
      </c>
      <c r="AZ233" s="21" t="str">
        <f>IF(AND($AM233&lt;&gt;"",$AS233="✓"),SUMPRODUCT(($AM$11:$AM233&lt;&gt;"")*($AS$11:$AS233="✓")),"")</f>
        <v/>
      </c>
      <c r="BA233" s="21" t="str">
        <f>IF($AL233="","",$AL233&amp;"|"&amp;COUNTIF($AL$11:$AL233,$AL233))</f>
        <v/>
      </c>
    </row>
    <row r="234" spans="2:53" ht="15" customHeight="1" x14ac:dyDescent="0.25">
      <c r="B234" s="5" t="str">
        <f t="shared" si="45"/>
        <v/>
      </c>
      <c r="C234" s="5"/>
      <c r="D234" s="5"/>
      <c r="E234" s="5"/>
      <c r="F234" s="6"/>
      <c r="G234" s="6"/>
      <c r="H234" s="7"/>
      <c r="I234" s="8"/>
      <c r="K234" s="23" t="str">
        <f>IFERROR(INDEX($AL$11:$AL$4010,MATCH(224,$AX$11:$AX$4010,0)),"")</f>
        <v/>
      </c>
      <c r="L234" s="24" t="str">
        <f t="shared" si="46"/>
        <v/>
      </c>
      <c r="M234" s="25" t="str">
        <f t="shared" si="47"/>
        <v/>
      </c>
      <c r="N234" s="25" t="str">
        <f t="shared" si="48"/>
        <v/>
      </c>
      <c r="W234" s="28" t="str">
        <f>IF(X234="","",IFERROR(INDEX($AL$11:$AL$4010,MATCH(224,$AY$11:$AY$4010,0)),""))</f>
        <v/>
      </c>
      <c r="X234" s="26" t="str">
        <f>IFERROR(INDEX($AM$11:$AM$4010,MATCH(224,$AY$11:$AY$4010,0)),"")</f>
        <v/>
      </c>
      <c r="Y234" s="25" t="str">
        <f>IF(X234="","",IFERROR(INDEX($AN$11:$AN$4010,MATCH(224,$AY$11:$AY$4010,0)),""))</f>
        <v/>
      </c>
      <c r="Z234" s="25" t="str">
        <f>IF(X234="","",IFERROR(INDEX($AO$11:$AO$4010,MATCH(224,$AY$11:$AY$4010,0)),""))</f>
        <v/>
      </c>
      <c r="AA234" s="24" t="str">
        <f>IF(X234="","",IFERROR(INDEX($AQ$11:$AQ$4010,MATCH(224,$AY$11:$AY$4010,0)),""))</f>
        <v/>
      </c>
      <c r="AB234" s="29" t="str">
        <f>IF(X234="","",IFERROR(INDEX($AR$11:$AR$4010,MATCH(224,$AY$11:$AY$4010,0)),""))</f>
        <v/>
      </c>
      <c r="AD234" s="30" t="str">
        <f>IF(AE234="","",IFERROR(INDEX($AL$11:$AL$4010,MATCH(224,$AZ$11:$AZ$4010,0)),""))</f>
        <v/>
      </c>
      <c r="AE234" s="26" t="str">
        <f>IFERROR(INDEX($AM$11:$AM$4010,MATCH(224,$AZ$11:$AZ$4010,0)),"")</f>
        <v/>
      </c>
      <c r="AF234" s="25" t="str">
        <f>IF(AE234="","",IFERROR(INDEX($AN$11:$AN$4010,MATCH(224,$AZ$11:$AZ$4010,0)),""))</f>
        <v/>
      </c>
      <c r="AG234" s="25" t="str">
        <f>IF(AE234="","",IFERROR(INDEX($AO$11:$AO$4010,MATCH(224,$AZ$11:$AZ$4010,0)),""))</f>
        <v/>
      </c>
      <c r="AH234" s="24" t="str">
        <f>IF(AE234="","",IFERROR(INDEX($AQ$11:$AQ$4010,MATCH(224,$AZ$11:$AZ$4010,0)),""))</f>
        <v/>
      </c>
      <c r="AI234" s="29" t="str">
        <f>IF(AE234="","",IFERROR(INDEX($AR$11:$AR$4010,MATCH(224,$AZ$11:$AZ$4010,0)),""))</f>
        <v/>
      </c>
      <c r="AJ234" s="29" t="str">
        <f>IF(AE234="","",IFERROR(INDEX($AT$11:$AT$4010,MATCH(224,$AZ$11:$AZ$4010,0)),""))</f>
        <v/>
      </c>
      <c r="AL234" s="31" t="str">
        <f t="shared" si="50"/>
        <v/>
      </c>
      <c r="AM234" s="26" t="str">
        <f t="shared" si="51"/>
        <v/>
      </c>
      <c r="AN234" s="32" t="str">
        <f t="shared" si="52"/>
        <v/>
      </c>
      <c r="AO234" s="32" t="str">
        <f t="shared" si="53"/>
        <v/>
      </c>
      <c r="AP234" s="24" t="str">
        <f t="shared" si="54"/>
        <v/>
      </c>
      <c r="AQ234" s="24" t="str">
        <f t="shared" si="55"/>
        <v/>
      </c>
      <c r="AR234" s="33" t="str">
        <f t="shared" si="56"/>
        <v/>
      </c>
      <c r="AS234" s="34"/>
      <c r="AT234" s="33"/>
      <c r="AV234" s="21">
        <f>IF(AND($AL234&lt;&gt;"",COUNTIF($AL$11:$AL234,$AL234)=1),1,0)</f>
        <v>0</v>
      </c>
      <c r="AW234" s="21">
        <f t="shared" si="58"/>
        <v>2</v>
      </c>
      <c r="AX234" s="21" t="str">
        <f t="shared" si="57"/>
        <v/>
      </c>
      <c r="AY234" s="21" t="str">
        <f>IF(AND($AM234&lt;&gt;"",$AS234&lt;&gt;"✓"),SUMPRODUCT(($AM$11:$AM234&lt;&gt;"")*($AS$11:$AS234&lt;&gt;"✓")),"")</f>
        <v/>
      </c>
      <c r="AZ234" s="21" t="str">
        <f>IF(AND($AM234&lt;&gt;"",$AS234="✓"),SUMPRODUCT(($AM$11:$AM234&lt;&gt;"")*($AS$11:$AS234="✓")),"")</f>
        <v/>
      </c>
      <c r="BA234" s="21" t="str">
        <f>IF($AL234="","",$AL234&amp;"|"&amp;COUNTIF($AL$11:$AL234,$AL234))</f>
        <v/>
      </c>
    </row>
    <row r="235" spans="2:53" ht="15" customHeight="1" x14ac:dyDescent="0.25">
      <c r="B235" s="5" t="str">
        <f t="shared" si="45"/>
        <v/>
      </c>
      <c r="C235" s="5"/>
      <c r="D235" s="5"/>
      <c r="E235" s="5"/>
      <c r="F235" s="6"/>
      <c r="G235" s="6"/>
      <c r="H235" s="7"/>
      <c r="I235" s="8"/>
      <c r="K235" s="9" t="str">
        <f>IFERROR(INDEX($AL$11:$AL$4010,MATCH(225,$AX$11:$AX$4010,0)),"")</f>
        <v/>
      </c>
      <c r="L235" s="10" t="str">
        <f t="shared" si="46"/>
        <v/>
      </c>
      <c r="M235" s="11" t="str">
        <f t="shared" si="47"/>
        <v/>
      </c>
      <c r="N235" s="11" t="str">
        <f t="shared" si="48"/>
        <v/>
      </c>
      <c r="W235" s="14" t="str">
        <f>IF(X235="","",IFERROR(INDEX($AL$11:$AL$4010,MATCH(225,$AY$11:$AY$4010,0)),""))</f>
        <v/>
      </c>
      <c r="X235" s="12" t="str">
        <f>IFERROR(INDEX($AM$11:$AM$4010,MATCH(225,$AY$11:$AY$4010,0)),"")</f>
        <v/>
      </c>
      <c r="Y235" s="11" t="str">
        <f>IF(X235="","",IFERROR(INDEX($AN$11:$AN$4010,MATCH(225,$AY$11:$AY$4010,0)),""))</f>
        <v/>
      </c>
      <c r="Z235" s="11" t="str">
        <f>IF(X235="","",IFERROR(INDEX($AO$11:$AO$4010,MATCH(225,$AY$11:$AY$4010,0)),""))</f>
        <v/>
      </c>
      <c r="AA235" s="10" t="str">
        <f>IF(X235="","",IFERROR(INDEX($AQ$11:$AQ$4010,MATCH(225,$AY$11:$AY$4010,0)),""))</f>
        <v/>
      </c>
      <c r="AB235" s="15" t="str">
        <f>IF(X235="","",IFERROR(INDEX($AR$11:$AR$4010,MATCH(225,$AY$11:$AY$4010,0)),""))</f>
        <v/>
      </c>
      <c r="AD235" s="16" t="str">
        <f>IF(AE235="","",IFERROR(INDEX($AL$11:$AL$4010,MATCH(225,$AZ$11:$AZ$4010,0)),""))</f>
        <v/>
      </c>
      <c r="AE235" s="12" t="str">
        <f>IFERROR(INDEX($AM$11:$AM$4010,MATCH(225,$AZ$11:$AZ$4010,0)),"")</f>
        <v/>
      </c>
      <c r="AF235" s="11" t="str">
        <f>IF(AE235="","",IFERROR(INDEX($AN$11:$AN$4010,MATCH(225,$AZ$11:$AZ$4010,0)),""))</f>
        <v/>
      </c>
      <c r="AG235" s="11" t="str">
        <f>IF(AE235="","",IFERROR(INDEX($AO$11:$AO$4010,MATCH(225,$AZ$11:$AZ$4010,0)),""))</f>
        <v/>
      </c>
      <c r="AH235" s="10" t="str">
        <f>IF(AE235="","",IFERROR(INDEX($AQ$11:$AQ$4010,MATCH(225,$AZ$11:$AZ$4010,0)),""))</f>
        <v/>
      </c>
      <c r="AI235" s="15" t="str">
        <f>IF(AE235="","",IFERROR(INDEX($AR$11:$AR$4010,MATCH(225,$AZ$11:$AZ$4010,0)),""))</f>
        <v/>
      </c>
      <c r="AJ235" s="15" t="str">
        <f>IF(AE235="","",IFERROR(INDEX($AT$11:$AT$4010,MATCH(225,$AZ$11:$AZ$4010,0)),""))</f>
        <v/>
      </c>
      <c r="AL235" s="17" t="str">
        <f t="shared" si="50"/>
        <v/>
      </c>
      <c r="AM235" s="12" t="str">
        <f t="shared" si="51"/>
        <v/>
      </c>
      <c r="AN235" s="18" t="str">
        <f t="shared" si="52"/>
        <v/>
      </c>
      <c r="AO235" s="18" t="str">
        <f t="shared" si="53"/>
        <v/>
      </c>
      <c r="AP235" s="10" t="str">
        <f t="shared" si="54"/>
        <v/>
      </c>
      <c r="AQ235" s="10" t="str">
        <f t="shared" si="55"/>
        <v/>
      </c>
      <c r="AR235" s="19" t="str">
        <f t="shared" si="56"/>
        <v/>
      </c>
      <c r="AS235" s="20"/>
      <c r="AT235" s="19"/>
      <c r="AV235" s="21">
        <f>IF(AND($AL235&lt;&gt;"",COUNTIF($AL$11:$AL235,$AL235)=1),1,0)</f>
        <v>0</v>
      </c>
      <c r="AW235" s="21">
        <f t="shared" si="58"/>
        <v>2</v>
      </c>
      <c r="AX235" s="21" t="str">
        <f t="shared" si="57"/>
        <v/>
      </c>
      <c r="AY235" s="21" t="str">
        <f>IF(AND($AM235&lt;&gt;"",$AS235&lt;&gt;"✓"),SUMPRODUCT(($AM$11:$AM235&lt;&gt;"")*($AS$11:$AS235&lt;&gt;"✓")),"")</f>
        <v/>
      </c>
      <c r="AZ235" s="21" t="str">
        <f>IF(AND($AM235&lt;&gt;"",$AS235="✓"),SUMPRODUCT(($AM$11:$AM235&lt;&gt;"")*($AS$11:$AS235="✓")),"")</f>
        <v/>
      </c>
      <c r="BA235" s="21" t="str">
        <f>IF($AL235="","",$AL235&amp;"|"&amp;COUNTIF($AL$11:$AL235,$AL235))</f>
        <v/>
      </c>
    </row>
    <row r="236" spans="2:53" ht="15" customHeight="1" x14ac:dyDescent="0.25">
      <c r="B236" s="5" t="str">
        <f t="shared" si="45"/>
        <v/>
      </c>
      <c r="C236" s="5"/>
      <c r="D236" s="5"/>
      <c r="E236" s="5"/>
      <c r="F236" s="6"/>
      <c r="G236" s="6"/>
      <c r="H236" s="7"/>
      <c r="I236" s="8"/>
      <c r="K236" s="23" t="str">
        <f>IFERROR(INDEX($AL$11:$AL$4010,MATCH(226,$AX$11:$AX$4010,0)),"")</f>
        <v/>
      </c>
      <c r="L236" s="24" t="str">
        <f t="shared" si="46"/>
        <v/>
      </c>
      <c r="M236" s="25" t="str">
        <f t="shared" si="47"/>
        <v/>
      </c>
      <c r="N236" s="25" t="str">
        <f t="shared" si="48"/>
        <v/>
      </c>
      <c r="W236" s="28" t="str">
        <f>IF(X236="","",IFERROR(INDEX($AL$11:$AL$4010,MATCH(226,$AY$11:$AY$4010,0)),""))</f>
        <v/>
      </c>
      <c r="X236" s="26" t="str">
        <f>IFERROR(INDEX($AM$11:$AM$4010,MATCH(226,$AY$11:$AY$4010,0)),"")</f>
        <v/>
      </c>
      <c r="Y236" s="25" t="str">
        <f>IF(X236="","",IFERROR(INDEX($AN$11:$AN$4010,MATCH(226,$AY$11:$AY$4010,0)),""))</f>
        <v/>
      </c>
      <c r="Z236" s="25" t="str">
        <f>IF(X236="","",IFERROR(INDEX($AO$11:$AO$4010,MATCH(226,$AY$11:$AY$4010,0)),""))</f>
        <v/>
      </c>
      <c r="AA236" s="24" t="str">
        <f>IF(X236="","",IFERROR(INDEX($AQ$11:$AQ$4010,MATCH(226,$AY$11:$AY$4010,0)),""))</f>
        <v/>
      </c>
      <c r="AB236" s="29" t="str">
        <f>IF(X236="","",IFERROR(INDEX($AR$11:$AR$4010,MATCH(226,$AY$11:$AY$4010,0)),""))</f>
        <v/>
      </c>
      <c r="AD236" s="30" t="str">
        <f>IF(AE236="","",IFERROR(INDEX($AL$11:$AL$4010,MATCH(226,$AZ$11:$AZ$4010,0)),""))</f>
        <v/>
      </c>
      <c r="AE236" s="26" t="str">
        <f>IFERROR(INDEX($AM$11:$AM$4010,MATCH(226,$AZ$11:$AZ$4010,0)),"")</f>
        <v/>
      </c>
      <c r="AF236" s="25" t="str">
        <f>IF(AE236="","",IFERROR(INDEX($AN$11:$AN$4010,MATCH(226,$AZ$11:$AZ$4010,0)),""))</f>
        <v/>
      </c>
      <c r="AG236" s="25" t="str">
        <f>IF(AE236="","",IFERROR(INDEX($AO$11:$AO$4010,MATCH(226,$AZ$11:$AZ$4010,0)),""))</f>
        <v/>
      </c>
      <c r="AH236" s="24" t="str">
        <f>IF(AE236="","",IFERROR(INDEX($AQ$11:$AQ$4010,MATCH(226,$AZ$11:$AZ$4010,0)),""))</f>
        <v/>
      </c>
      <c r="AI236" s="29" t="str">
        <f>IF(AE236="","",IFERROR(INDEX($AR$11:$AR$4010,MATCH(226,$AZ$11:$AZ$4010,0)),""))</f>
        <v/>
      </c>
      <c r="AJ236" s="29" t="str">
        <f>IF(AE236="","",IFERROR(INDEX($AT$11:$AT$4010,MATCH(226,$AZ$11:$AZ$4010,0)),""))</f>
        <v/>
      </c>
      <c r="AL236" s="31" t="str">
        <f t="shared" si="50"/>
        <v/>
      </c>
      <c r="AM236" s="26" t="str">
        <f t="shared" si="51"/>
        <v/>
      </c>
      <c r="AN236" s="32" t="str">
        <f t="shared" si="52"/>
        <v/>
      </c>
      <c r="AO236" s="32" t="str">
        <f t="shared" si="53"/>
        <v/>
      </c>
      <c r="AP236" s="24" t="str">
        <f t="shared" si="54"/>
        <v/>
      </c>
      <c r="AQ236" s="24" t="str">
        <f t="shared" si="55"/>
        <v/>
      </c>
      <c r="AR236" s="33" t="str">
        <f t="shared" si="56"/>
        <v/>
      </c>
      <c r="AS236" s="34"/>
      <c r="AT236" s="33"/>
      <c r="AV236" s="21">
        <f>IF(AND($AL236&lt;&gt;"",COUNTIF($AL$11:$AL236,$AL236)=1),1,0)</f>
        <v>0</v>
      </c>
      <c r="AW236" s="21">
        <f t="shared" si="58"/>
        <v>2</v>
      </c>
      <c r="AX236" s="21" t="str">
        <f t="shared" si="57"/>
        <v/>
      </c>
      <c r="AY236" s="21" t="str">
        <f>IF(AND($AM236&lt;&gt;"",$AS236&lt;&gt;"✓"),SUMPRODUCT(($AM$11:$AM236&lt;&gt;"")*($AS$11:$AS236&lt;&gt;"✓")),"")</f>
        <v/>
      </c>
      <c r="AZ236" s="21" t="str">
        <f>IF(AND($AM236&lt;&gt;"",$AS236="✓"),SUMPRODUCT(($AM$11:$AM236&lt;&gt;"")*($AS$11:$AS236="✓")),"")</f>
        <v/>
      </c>
      <c r="BA236" s="21" t="str">
        <f>IF($AL236="","",$AL236&amp;"|"&amp;COUNTIF($AL$11:$AL236,$AL236))</f>
        <v/>
      </c>
    </row>
    <row r="237" spans="2:53" ht="15" customHeight="1" x14ac:dyDescent="0.25">
      <c r="B237" s="5" t="str">
        <f t="shared" si="45"/>
        <v/>
      </c>
      <c r="C237" s="5"/>
      <c r="D237" s="5"/>
      <c r="E237" s="5"/>
      <c r="F237" s="6"/>
      <c r="G237" s="6"/>
      <c r="H237" s="7"/>
      <c r="I237" s="8"/>
      <c r="K237" s="9" t="str">
        <f>IFERROR(INDEX($AL$11:$AL$4010,MATCH(227,$AX$11:$AX$4010,0)),"")</f>
        <v/>
      </c>
      <c r="L237" s="10" t="str">
        <f t="shared" si="46"/>
        <v/>
      </c>
      <c r="M237" s="11" t="str">
        <f t="shared" si="47"/>
        <v/>
      </c>
      <c r="N237" s="11" t="str">
        <f t="shared" si="48"/>
        <v/>
      </c>
      <c r="W237" s="14" t="str">
        <f>IF(X237="","",IFERROR(INDEX($AL$11:$AL$4010,MATCH(227,$AY$11:$AY$4010,0)),""))</f>
        <v/>
      </c>
      <c r="X237" s="12" t="str">
        <f>IFERROR(INDEX($AM$11:$AM$4010,MATCH(227,$AY$11:$AY$4010,0)),"")</f>
        <v/>
      </c>
      <c r="Y237" s="11" t="str">
        <f>IF(X237="","",IFERROR(INDEX($AN$11:$AN$4010,MATCH(227,$AY$11:$AY$4010,0)),""))</f>
        <v/>
      </c>
      <c r="Z237" s="11" t="str">
        <f>IF(X237="","",IFERROR(INDEX($AO$11:$AO$4010,MATCH(227,$AY$11:$AY$4010,0)),""))</f>
        <v/>
      </c>
      <c r="AA237" s="10" t="str">
        <f>IF(X237="","",IFERROR(INDEX($AQ$11:$AQ$4010,MATCH(227,$AY$11:$AY$4010,0)),""))</f>
        <v/>
      </c>
      <c r="AB237" s="15" t="str">
        <f>IF(X237="","",IFERROR(INDEX($AR$11:$AR$4010,MATCH(227,$AY$11:$AY$4010,0)),""))</f>
        <v/>
      </c>
      <c r="AD237" s="16" t="str">
        <f>IF(AE237="","",IFERROR(INDEX($AL$11:$AL$4010,MATCH(227,$AZ$11:$AZ$4010,0)),""))</f>
        <v/>
      </c>
      <c r="AE237" s="12" t="str">
        <f>IFERROR(INDEX($AM$11:$AM$4010,MATCH(227,$AZ$11:$AZ$4010,0)),"")</f>
        <v/>
      </c>
      <c r="AF237" s="11" t="str">
        <f>IF(AE237="","",IFERROR(INDEX($AN$11:$AN$4010,MATCH(227,$AZ$11:$AZ$4010,0)),""))</f>
        <v/>
      </c>
      <c r="AG237" s="11" t="str">
        <f>IF(AE237="","",IFERROR(INDEX($AO$11:$AO$4010,MATCH(227,$AZ$11:$AZ$4010,0)),""))</f>
        <v/>
      </c>
      <c r="AH237" s="10" t="str">
        <f>IF(AE237="","",IFERROR(INDEX($AQ$11:$AQ$4010,MATCH(227,$AZ$11:$AZ$4010,0)),""))</f>
        <v/>
      </c>
      <c r="AI237" s="15" t="str">
        <f>IF(AE237="","",IFERROR(INDEX($AR$11:$AR$4010,MATCH(227,$AZ$11:$AZ$4010,0)),""))</f>
        <v/>
      </c>
      <c r="AJ237" s="15" t="str">
        <f>IF(AE237="","",IFERROR(INDEX($AT$11:$AT$4010,MATCH(227,$AZ$11:$AZ$4010,0)),""))</f>
        <v/>
      </c>
      <c r="AL237" s="17" t="str">
        <f t="shared" si="50"/>
        <v/>
      </c>
      <c r="AM237" s="12" t="str">
        <f t="shared" si="51"/>
        <v/>
      </c>
      <c r="AN237" s="18" t="str">
        <f t="shared" si="52"/>
        <v/>
      </c>
      <c r="AO237" s="18" t="str">
        <f t="shared" si="53"/>
        <v/>
      </c>
      <c r="AP237" s="10" t="str">
        <f t="shared" si="54"/>
        <v/>
      </c>
      <c r="AQ237" s="10" t="str">
        <f t="shared" si="55"/>
        <v/>
      </c>
      <c r="AR237" s="19" t="str">
        <f t="shared" si="56"/>
        <v/>
      </c>
      <c r="AS237" s="20"/>
      <c r="AT237" s="19"/>
      <c r="AV237" s="21">
        <f>IF(AND($AL237&lt;&gt;"",COUNTIF($AL$11:$AL237,$AL237)=1),1,0)</f>
        <v>0</v>
      </c>
      <c r="AW237" s="21">
        <f t="shared" si="58"/>
        <v>2</v>
      </c>
      <c r="AX237" s="21" t="str">
        <f t="shared" si="57"/>
        <v/>
      </c>
      <c r="AY237" s="21" t="str">
        <f>IF(AND($AM237&lt;&gt;"",$AS237&lt;&gt;"✓"),SUMPRODUCT(($AM$11:$AM237&lt;&gt;"")*($AS$11:$AS237&lt;&gt;"✓")),"")</f>
        <v/>
      </c>
      <c r="AZ237" s="21" t="str">
        <f>IF(AND($AM237&lt;&gt;"",$AS237="✓"),SUMPRODUCT(($AM$11:$AM237&lt;&gt;"")*($AS$11:$AS237="✓")),"")</f>
        <v/>
      </c>
      <c r="BA237" s="21" t="str">
        <f>IF($AL237="","",$AL237&amp;"|"&amp;COUNTIF($AL$11:$AL237,$AL237))</f>
        <v/>
      </c>
    </row>
    <row r="238" spans="2:53" ht="15" customHeight="1" x14ac:dyDescent="0.25">
      <c r="B238" s="5" t="str">
        <f t="shared" si="45"/>
        <v/>
      </c>
      <c r="C238" s="5"/>
      <c r="D238" s="5"/>
      <c r="E238" s="5"/>
      <c r="F238" s="6"/>
      <c r="G238" s="6"/>
      <c r="H238" s="7"/>
      <c r="I238" s="8"/>
      <c r="K238" s="23" t="str">
        <f>IFERROR(INDEX($AL$11:$AL$4010,MATCH(228,$AX$11:$AX$4010,0)),"")</f>
        <v/>
      </c>
      <c r="L238" s="24" t="str">
        <f t="shared" si="46"/>
        <v/>
      </c>
      <c r="M238" s="25" t="str">
        <f t="shared" si="47"/>
        <v/>
      </c>
      <c r="N238" s="25" t="str">
        <f t="shared" si="48"/>
        <v/>
      </c>
      <c r="W238" s="28" t="str">
        <f>IF(X238="","",IFERROR(INDEX($AL$11:$AL$4010,MATCH(228,$AY$11:$AY$4010,0)),""))</f>
        <v/>
      </c>
      <c r="X238" s="26" t="str">
        <f>IFERROR(INDEX($AM$11:$AM$4010,MATCH(228,$AY$11:$AY$4010,0)),"")</f>
        <v/>
      </c>
      <c r="Y238" s="25" t="str">
        <f>IF(X238="","",IFERROR(INDEX($AN$11:$AN$4010,MATCH(228,$AY$11:$AY$4010,0)),""))</f>
        <v/>
      </c>
      <c r="Z238" s="25" t="str">
        <f>IF(X238="","",IFERROR(INDEX($AO$11:$AO$4010,MATCH(228,$AY$11:$AY$4010,0)),""))</f>
        <v/>
      </c>
      <c r="AA238" s="24" t="str">
        <f>IF(X238="","",IFERROR(INDEX($AQ$11:$AQ$4010,MATCH(228,$AY$11:$AY$4010,0)),""))</f>
        <v/>
      </c>
      <c r="AB238" s="29" t="str">
        <f>IF(X238="","",IFERROR(INDEX($AR$11:$AR$4010,MATCH(228,$AY$11:$AY$4010,0)),""))</f>
        <v/>
      </c>
      <c r="AD238" s="30" t="str">
        <f>IF(AE238="","",IFERROR(INDEX($AL$11:$AL$4010,MATCH(228,$AZ$11:$AZ$4010,0)),""))</f>
        <v/>
      </c>
      <c r="AE238" s="26" t="str">
        <f>IFERROR(INDEX($AM$11:$AM$4010,MATCH(228,$AZ$11:$AZ$4010,0)),"")</f>
        <v/>
      </c>
      <c r="AF238" s="25" t="str">
        <f>IF(AE238="","",IFERROR(INDEX($AN$11:$AN$4010,MATCH(228,$AZ$11:$AZ$4010,0)),""))</f>
        <v/>
      </c>
      <c r="AG238" s="25" t="str">
        <f>IF(AE238="","",IFERROR(INDEX($AO$11:$AO$4010,MATCH(228,$AZ$11:$AZ$4010,0)),""))</f>
        <v/>
      </c>
      <c r="AH238" s="24" t="str">
        <f>IF(AE238="","",IFERROR(INDEX($AQ$11:$AQ$4010,MATCH(228,$AZ$11:$AZ$4010,0)),""))</f>
        <v/>
      </c>
      <c r="AI238" s="29" t="str">
        <f>IF(AE238="","",IFERROR(INDEX($AR$11:$AR$4010,MATCH(228,$AZ$11:$AZ$4010,0)),""))</f>
        <v/>
      </c>
      <c r="AJ238" s="29" t="str">
        <f>IF(AE238="","",IFERROR(INDEX($AT$11:$AT$4010,MATCH(228,$AZ$11:$AZ$4010,0)),""))</f>
        <v/>
      </c>
      <c r="AL238" s="31" t="str">
        <f t="shared" si="50"/>
        <v/>
      </c>
      <c r="AM238" s="26" t="str">
        <f t="shared" si="51"/>
        <v/>
      </c>
      <c r="AN238" s="32" t="str">
        <f t="shared" si="52"/>
        <v/>
      </c>
      <c r="AO238" s="32" t="str">
        <f t="shared" si="53"/>
        <v/>
      </c>
      <c r="AP238" s="24" t="str">
        <f t="shared" si="54"/>
        <v/>
      </c>
      <c r="AQ238" s="24" t="str">
        <f t="shared" si="55"/>
        <v/>
      </c>
      <c r="AR238" s="33" t="str">
        <f t="shared" si="56"/>
        <v/>
      </c>
      <c r="AS238" s="34"/>
      <c r="AT238" s="33"/>
      <c r="AV238" s="21">
        <f>IF(AND($AL238&lt;&gt;"",COUNTIF($AL$11:$AL238,$AL238)=1),1,0)</f>
        <v>0</v>
      </c>
      <c r="AW238" s="21">
        <f t="shared" si="58"/>
        <v>2</v>
      </c>
      <c r="AX238" s="21" t="str">
        <f t="shared" si="57"/>
        <v/>
      </c>
      <c r="AY238" s="21" t="str">
        <f>IF(AND($AM238&lt;&gt;"",$AS238&lt;&gt;"✓"),SUMPRODUCT(($AM$11:$AM238&lt;&gt;"")*($AS$11:$AS238&lt;&gt;"✓")),"")</f>
        <v/>
      </c>
      <c r="AZ238" s="21" t="str">
        <f>IF(AND($AM238&lt;&gt;"",$AS238="✓"),SUMPRODUCT(($AM$11:$AM238&lt;&gt;"")*($AS$11:$AS238="✓")),"")</f>
        <v/>
      </c>
      <c r="BA238" s="21" t="str">
        <f>IF($AL238="","",$AL238&amp;"|"&amp;COUNTIF($AL$11:$AL238,$AL238))</f>
        <v/>
      </c>
    </row>
    <row r="239" spans="2:53" ht="15" customHeight="1" x14ac:dyDescent="0.25">
      <c r="B239" s="5" t="str">
        <f t="shared" si="45"/>
        <v/>
      </c>
      <c r="C239" s="5"/>
      <c r="D239" s="5"/>
      <c r="E239" s="5"/>
      <c r="F239" s="6"/>
      <c r="G239" s="6"/>
      <c r="H239" s="7"/>
      <c r="I239" s="8"/>
      <c r="K239" s="9" t="str">
        <f>IFERROR(INDEX($AL$11:$AL$4010,MATCH(229,$AX$11:$AX$4010,0)),"")</f>
        <v/>
      </c>
      <c r="L239" s="10" t="str">
        <f t="shared" si="46"/>
        <v/>
      </c>
      <c r="M239" s="11" t="str">
        <f t="shared" si="47"/>
        <v/>
      </c>
      <c r="N239" s="11" t="str">
        <f t="shared" si="48"/>
        <v/>
      </c>
      <c r="W239" s="14" t="str">
        <f>IF(X239="","",IFERROR(INDEX($AL$11:$AL$4010,MATCH(229,$AY$11:$AY$4010,0)),""))</f>
        <v/>
      </c>
      <c r="X239" s="12" t="str">
        <f>IFERROR(INDEX($AM$11:$AM$4010,MATCH(229,$AY$11:$AY$4010,0)),"")</f>
        <v/>
      </c>
      <c r="Y239" s="11" t="str">
        <f>IF(X239="","",IFERROR(INDEX($AN$11:$AN$4010,MATCH(229,$AY$11:$AY$4010,0)),""))</f>
        <v/>
      </c>
      <c r="Z239" s="11" t="str">
        <f>IF(X239="","",IFERROR(INDEX($AO$11:$AO$4010,MATCH(229,$AY$11:$AY$4010,0)),""))</f>
        <v/>
      </c>
      <c r="AA239" s="10" t="str">
        <f>IF(X239="","",IFERROR(INDEX($AQ$11:$AQ$4010,MATCH(229,$AY$11:$AY$4010,0)),""))</f>
        <v/>
      </c>
      <c r="AB239" s="15" t="str">
        <f>IF(X239="","",IFERROR(INDEX($AR$11:$AR$4010,MATCH(229,$AY$11:$AY$4010,0)),""))</f>
        <v/>
      </c>
      <c r="AD239" s="16" t="str">
        <f>IF(AE239="","",IFERROR(INDEX($AL$11:$AL$4010,MATCH(229,$AZ$11:$AZ$4010,0)),""))</f>
        <v/>
      </c>
      <c r="AE239" s="12" t="str">
        <f>IFERROR(INDEX($AM$11:$AM$4010,MATCH(229,$AZ$11:$AZ$4010,0)),"")</f>
        <v/>
      </c>
      <c r="AF239" s="11" t="str">
        <f>IF(AE239="","",IFERROR(INDEX($AN$11:$AN$4010,MATCH(229,$AZ$11:$AZ$4010,0)),""))</f>
        <v/>
      </c>
      <c r="AG239" s="11" t="str">
        <f>IF(AE239="","",IFERROR(INDEX($AO$11:$AO$4010,MATCH(229,$AZ$11:$AZ$4010,0)),""))</f>
        <v/>
      </c>
      <c r="AH239" s="10" t="str">
        <f>IF(AE239="","",IFERROR(INDEX($AQ$11:$AQ$4010,MATCH(229,$AZ$11:$AZ$4010,0)),""))</f>
        <v/>
      </c>
      <c r="AI239" s="15" t="str">
        <f>IF(AE239="","",IFERROR(INDEX($AR$11:$AR$4010,MATCH(229,$AZ$11:$AZ$4010,0)),""))</f>
        <v/>
      </c>
      <c r="AJ239" s="15" t="str">
        <f>IF(AE239="","",IFERROR(INDEX($AT$11:$AT$4010,MATCH(229,$AZ$11:$AZ$4010,0)),""))</f>
        <v/>
      </c>
      <c r="AL239" s="17" t="str">
        <f t="shared" si="50"/>
        <v/>
      </c>
      <c r="AM239" s="12" t="str">
        <f t="shared" si="51"/>
        <v/>
      </c>
      <c r="AN239" s="18" t="str">
        <f t="shared" si="52"/>
        <v/>
      </c>
      <c r="AO239" s="18" t="str">
        <f t="shared" si="53"/>
        <v/>
      </c>
      <c r="AP239" s="10" t="str">
        <f t="shared" si="54"/>
        <v/>
      </c>
      <c r="AQ239" s="10" t="str">
        <f t="shared" si="55"/>
        <v/>
      </c>
      <c r="AR239" s="19" t="str">
        <f t="shared" si="56"/>
        <v/>
      </c>
      <c r="AS239" s="20"/>
      <c r="AT239" s="19"/>
      <c r="AV239" s="21">
        <f>IF(AND($AL239&lt;&gt;"",COUNTIF($AL$11:$AL239,$AL239)=1),1,0)</f>
        <v>0</v>
      </c>
      <c r="AW239" s="21">
        <f t="shared" si="58"/>
        <v>2</v>
      </c>
      <c r="AX239" s="21" t="str">
        <f t="shared" si="57"/>
        <v/>
      </c>
      <c r="AY239" s="21" t="str">
        <f>IF(AND($AM239&lt;&gt;"",$AS239&lt;&gt;"✓"),SUMPRODUCT(($AM$11:$AM239&lt;&gt;"")*($AS$11:$AS239&lt;&gt;"✓")),"")</f>
        <v/>
      </c>
      <c r="AZ239" s="21" t="str">
        <f>IF(AND($AM239&lt;&gt;"",$AS239="✓"),SUMPRODUCT(($AM$11:$AM239&lt;&gt;"")*($AS$11:$AS239="✓")),"")</f>
        <v/>
      </c>
      <c r="BA239" s="21" t="str">
        <f>IF($AL239="","",$AL239&amp;"|"&amp;COUNTIF($AL$11:$AL239,$AL239))</f>
        <v/>
      </c>
    </row>
    <row r="240" spans="2:53" ht="15" customHeight="1" x14ac:dyDescent="0.25">
      <c r="B240" s="5" t="str">
        <f t="shared" si="45"/>
        <v/>
      </c>
      <c r="C240" s="5"/>
      <c r="D240" s="5"/>
      <c r="E240" s="5"/>
      <c r="F240" s="6"/>
      <c r="G240" s="6"/>
      <c r="H240" s="7"/>
      <c r="I240" s="8"/>
      <c r="K240" s="23" t="str">
        <f>IFERROR(INDEX($AL$11:$AL$4010,MATCH(230,$AX$11:$AX$4010,0)),"")</f>
        <v/>
      </c>
      <c r="L240" s="24" t="str">
        <f t="shared" si="46"/>
        <v/>
      </c>
      <c r="M240" s="25" t="str">
        <f t="shared" si="47"/>
        <v/>
      </c>
      <c r="N240" s="25" t="str">
        <f t="shared" si="48"/>
        <v/>
      </c>
      <c r="W240" s="28" t="str">
        <f>IF(X240="","",IFERROR(INDEX($AL$11:$AL$4010,MATCH(230,$AY$11:$AY$4010,0)),""))</f>
        <v/>
      </c>
      <c r="X240" s="26" t="str">
        <f>IFERROR(INDEX($AM$11:$AM$4010,MATCH(230,$AY$11:$AY$4010,0)),"")</f>
        <v/>
      </c>
      <c r="Y240" s="25" t="str">
        <f>IF(X240="","",IFERROR(INDEX($AN$11:$AN$4010,MATCH(230,$AY$11:$AY$4010,0)),""))</f>
        <v/>
      </c>
      <c r="Z240" s="25" t="str">
        <f>IF(X240="","",IFERROR(INDEX($AO$11:$AO$4010,MATCH(230,$AY$11:$AY$4010,0)),""))</f>
        <v/>
      </c>
      <c r="AA240" s="24" t="str">
        <f>IF(X240="","",IFERROR(INDEX($AQ$11:$AQ$4010,MATCH(230,$AY$11:$AY$4010,0)),""))</f>
        <v/>
      </c>
      <c r="AB240" s="29" t="str">
        <f>IF(X240="","",IFERROR(INDEX($AR$11:$AR$4010,MATCH(230,$AY$11:$AY$4010,0)),""))</f>
        <v/>
      </c>
      <c r="AD240" s="30" t="str">
        <f>IF(AE240="","",IFERROR(INDEX($AL$11:$AL$4010,MATCH(230,$AZ$11:$AZ$4010,0)),""))</f>
        <v/>
      </c>
      <c r="AE240" s="26" t="str">
        <f>IFERROR(INDEX($AM$11:$AM$4010,MATCH(230,$AZ$11:$AZ$4010,0)),"")</f>
        <v/>
      </c>
      <c r="AF240" s="25" t="str">
        <f>IF(AE240="","",IFERROR(INDEX($AN$11:$AN$4010,MATCH(230,$AZ$11:$AZ$4010,0)),""))</f>
        <v/>
      </c>
      <c r="AG240" s="25" t="str">
        <f>IF(AE240="","",IFERROR(INDEX($AO$11:$AO$4010,MATCH(230,$AZ$11:$AZ$4010,0)),""))</f>
        <v/>
      </c>
      <c r="AH240" s="24" t="str">
        <f>IF(AE240="","",IFERROR(INDEX($AQ$11:$AQ$4010,MATCH(230,$AZ$11:$AZ$4010,0)),""))</f>
        <v/>
      </c>
      <c r="AI240" s="29" t="str">
        <f>IF(AE240="","",IFERROR(INDEX($AR$11:$AR$4010,MATCH(230,$AZ$11:$AZ$4010,0)),""))</f>
        <v/>
      </c>
      <c r="AJ240" s="29" t="str">
        <f>IF(AE240="","",IFERROR(INDEX($AT$11:$AT$4010,MATCH(230,$AZ$11:$AZ$4010,0)),""))</f>
        <v/>
      </c>
      <c r="AL240" s="31" t="str">
        <f t="shared" si="50"/>
        <v/>
      </c>
      <c r="AM240" s="26" t="str">
        <f t="shared" si="51"/>
        <v/>
      </c>
      <c r="AN240" s="32" t="str">
        <f t="shared" si="52"/>
        <v/>
      </c>
      <c r="AO240" s="32" t="str">
        <f t="shared" si="53"/>
        <v/>
      </c>
      <c r="AP240" s="24" t="str">
        <f t="shared" si="54"/>
        <v/>
      </c>
      <c r="AQ240" s="24" t="str">
        <f t="shared" si="55"/>
        <v/>
      </c>
      <c r="AR240" s="33" t="str">
        <f t="shared" si="56"/>
        <v/>
      </c>
      <c r="AS240" s="34"/>
      <c r="AT240" s="33"/>
      <c r="AV240" s="21">
        <f>IF(AND($AL240&lt;&gt;"",COUNTIF($AL$11:$AL240,$AL240)=1),1,0)</f>
        <v>0</v>
      </c>
      <c r="AW240" s="21">
        <f t="shared" si="58"/>
        <v>2</v>
      </c>
      <c r="AX240" s="21" t="str">
        <f t="shared" si="57"/>
        <v/>
      </c>
      <c r="AY240" s="21" t="str">
        <f>IF(AND($AM240&lt;&gt;"",$AS240&lt;&gt;"✓"),SUMPRODUCT(($AM$11:$AM240&lt;&gt;"")*($AS$11:$AS240&lt;&gt;"✓")),"")</f>
        <v/>
      </c>
      <c r="AZ240" s="21" t="str">
        <f>IF(AND($AM240&lt;&gt;"",$AS240="✓"),SUMPRODUCT(($AM$11:$AM240&lt;&gt;"")*($AS$11:$AS240="✓")),"")</f>
        <v/>
      </c>
      <c r="BA240" s="21" t="str">
        <f>IF($AL240="","",$AL240&amp;"|"&amp;COUNTIF($AL$11:$AL240,$AL240))</f>
        <v/>
      </c>
    </row>
    <row r="241" spans="2:53" ht="15" customHeight="1" x14ac:dyDescent="0.25">
      <c r="B241" s="5" t="str">
        <f t="shared" si="45"/>
        <v/>
      </c>
      <c r="C241" s="5"/>
      <c r="D241" s="5"/>
      <c r="E241" s="5"/>
      <c r="F241" s="6"/>
      <c r="G241" s="6"/>
      <c r="H241" s="7"/>
      <c r="I241" s="8"/>
      <c r="K241" s="9" t="str">
        <f>IFERROR(INDEX($AL$11:$AL$4010,MATCH(231,$AX$11:$AX$4010,0)),"")</f>
        <v/>
      </c>
      <c r="L241" s="10" t="str">
        <f t="shared" si="46"/>
        <v/>
      </c>
      <c r="M241" s="11" t="str">
        <f t="shared" si="47"/>
        <v/>
      </c>
      <c r="N241" s="11" t="str">
        <f t="shared" si="48"/>
        <v/>
      </c>
      <c r="W241" s="14" t="str">
        <f>IF(X241="","",IFERROR(INDEX($AL$11:$AL$4010,MATCH(231,$AY$11:$AY$4010,0)),""))</f>
        <v/>
      </c>
      <c r="X241" s="12" t="str">
        <f>IFERROR(INDEX($AM$11:$AM$4010,MATCH(231,$AY$11:$AY$4010,0)),"")</f>
        <v/>
      </c>
      <c r="Y241" s="11" t="str">
        <f>IF(X241="","",IFERROR(INDEX($AN$11:$AN$4010,MATCH(231,$AY$11:$AY$4010,0)),""))</f>
        <v/>
      </c>
      <c r="Z241" s="11" t="str">
        <f>IF(X241="","",IFERROR(INDEX($AO$11:$AO$4010,MATCH(231,$AY$11:$AY$4010,0)),""))</f>
        <v/>
      </c>
      <c r="AA241" s="10" t="str">
        <f>IF(X241="","",IFERROR(INDEX($AQ$11:$AQ$4010,MATCH(231,$AY$11:$AY$4010,0)),""))</f>
        <v/>
      </c>
      <c r="AB241" s="15" t="str">
        <f>IF(X241="","",IFERROR(INDEX($AR$11:$AR$4010,MATCH(231,$AY$11:$AY$4010,0)),""))</f>
        <v/>
      </c>
      <c r="AD241" s="16" t="str">
        <f>IF(AE241="","",IFERROR(INDEX($AL$11:$AL$4010,MATCH(231,$AZ$11:$AZ$4010,0)),""))</f>
        <v/>
      </c>
      <c r="AE241" s="12" t="str">
        <f>IFERROR(INDEX($AM$11:$AM$4010,MATCH(231,$AZ$11:$AZ$4010,0)),"")</f>
        <v/>
      </c>
      <c r="AF241" s="11" t="str">
        <f>IF(AE241="","",IFERROR(INDEX($AN$11:$AN$4010,MATCH(231,$AZ$11:$AZ$4010,0)),""))</f>
        <v/>
      </c>
      <c r="AG241" s="11" t="str">
        <f>IF(AE241="","",IFERROR(INDEX($AO$11:$AO$4010,MATCH(231,$AZ$11:$AZ$4010,0)),""))</f>
        <v/>
      </c>
      <c r="AH241" s="10" t="str">
        <f>IF(AE241="","",IFERROR(INDEX($AQ$11:$AQ$4010,MATCH(231,$AZ$11:$AZ$4010,0)),""))</f>
        <v/>
      </c>
      <c r="AI241" s="15" t="str">
        <f>IF(AE241="","",IFERROR(INDEX($AR$11:$AR$4010,MATCH(231,$AZ$11:$AZ$4010,0)),""))</f>
        <v/>
      </c>
      <c r="AJ241" s="15" t="str">
        <f>IF(AE241="","",IFERROR(INDEX($AT$11:$AT$4010,MATCH(231,$AZ$11:$AZ$4010,0)),""))</f>
        <v/>
      </c>
      <c r="AL241" s="17" t="str">
        <f t="shared" si="50"/>
        <v/>
      </c>
      <c r="AM241" s="12" t="str">
        <f t="shared" si="51"/>
        <v/>
      </c>
      <c r="AN241" s="18" t="str">
        <f t="shared" si="52"/>
        <v/>
      </c>
      <c r="AO241" s="18" t="str">
        <f t="shared" si="53"/>
        <v/>
      </c>
      <c r="AP241" s="10" t="str">
        <f t="shared" si="54"/>
        <v/>
      </c>
      <c r="AQ241" s="10" t="str">
        <f t="shared" si="55"/>
        <v/>
      </c>
      <c r="AR241" s="19" t="str">
        <f t="shared" si="56"/>
        <v/>
      </c>
      <c r="AS241" s="20"/>
      <c r="AT241" s="19"/>
      <c r="AV241" s="21">
        <f>IF(AND($AL241&lt;&gt;"",COUNTIF($AL$11:$AL241,$AL241)=1),1,0)</f>
        <v>0</v>
      </c>
      <c r="AW241" s="21">
        <f t="shared" si="58"/>
        <v>2</v>
      </c>
      <c r="AX241" s="21" t="str">
        <f t="shared" si="57"/>
        <v/>
      </c>
      <c r="AY241" s="21" t="str">
        <f>IF(AND($AM241&lt;&gt;"",$AS241&lt;&gt;"✓"),SUMPRODUCT(($AM$11:$AM241&lt;&gt;"")*($AS$11:$AS241&lt;&gt;"✓")),"")</f>
        <v/>
      </c>
      <c r="AZ241" s="21" t="str">
        <f>IF(AND($AM241&lt;&gt;"",$AS241="✓"),SUMPRODUCT(($AM$11:$AM241&lt;&gt;"")*($AS$11:$AS241="✓")),"")</f>
        <v/>
      </c>
      <c r="BA241" s="21" t="str">
        <f>IF($AL241="","",$AL241&amp;"|"&amp;COUNTIF($AL$11:$AL241,$AL241))</f>
        <v/>
      </c>
    </row>
    <row r="242" spans="2:53" ht="15" customHeight="1" x14ac:dyDescent="0.25">
      <c r="B242" s="5" t="str">
        <f t="shared" si="45"/>
        <v/>
      </c>
      <c r="C242" s="5"/>
      <c r="D242" s="5"/>
      <c r="E242" s="5"/>
      <c r="F242" s="6"/>
      <c r="G242" s="6"/>
      <c r="H242" s="7"/>
      <c r="I242" s="8"/>
      <c r="K242" s="23" t="str">
        <f>IFERROR(INDEX($AL$11:$AL$4010,MATCH(232,$AX$11:$AX$4010,0)),"")</f>
        <v/>
      </c>
      <c r="L242" s="24" t="str">
        <f t="shared" si="46"/>
        <v/>
      </c>
      <c r="M242" s="25" t="str">
        <f t="shared" si="47"/>
        <v/>
      </c>
      <c r="N242" s="25" t="str">
        <f t="shared" si="48"/>
        <v/>
      </c>
      <c r="W242" s="28" t="str">
        <f>IF(X242="","",IFERROR(INDEX($AL$11:$AL$4010,MATCH(232,$AY$11:$AY$4010,0)),""))</f>
        <v/>
      </c>
      <c r="X242" s="26" t="str">
        <f>IFERROR(INDEX($AM$11:$AM$4010,MATCH(232,$AY$11:$AY$4010,0)),"")</f>
        <v/>
      </c>
      <c r="Y242" s="25" t="str">
        <f>IF(X242="","",IFERROR(INDEX($AN$11:$AN$4010,MATCH(232,$AY$11:$AY$4010,0)),""))</f>
        <v/>
      </c>
      <c r="Z242" s="25" t="str">
        <f>IF(X242="","",IFERROR(INDEX($AO$11:$AO$4010,MATCH(232,$AY$11:$AY$4010,0)),""))</f>
        <v/>
      </c>
      <c r="AA242" s="24" t="str">
        <f>IF(X242="","",IFERROR(INDEX($AQ$11:$AQ$4010,MATCH(232,$AY$11:$AY$4010,0)),""))</f>
        <v/>
      </c>
      <c r="AB242" s="29" t="str">
        <f>IF(X242="","",IFERROR(INDEX($AR$11:$AR$4010,MATCH(232,$AY$11:$AY$4010,0)),""))</f>
        <v/>
      </c>
      <c r="AD242" s="30" t="str">
        <f>IF(AE242="","",IFERROR(INDEX($AL$11:$AL$4010,MATCH(232,$AZ$11:$AZ$4010,0)),""))</f>
        <v/>
      </c>
      <c r="AE242" s="26" t="str">
        <f>IFERROR(INDEX($AM$11:$AM$4010,MATCH(232,$AZ$11:$AZ$4010,0)),"")</f>
        <v/>
      </c>
      <c r="AF242" s="25" t="str">
        <f>IF(AE242="","",IFERROR(INDEX($AN$11:$AN$4010,MATCH(232,$AZ$11:$AZ$4010,0)),""))</f>
        <v/>
      </c>
      <c r="AG242" s="25" t="str">
        <f>IF(AE242="","",IFERROR(INDEX($AO$11:$AO$4010,MATCH(232,$AZ$11:$AZ$4010,0)),""))</f>
        <v/>
      </c>
      <c r="AH242" s="24" t="str">
        <f>IF(AE242="","",IFERROR(INDEX($AQ$11:$AQ$4010,MATCH(232,$AZ$11:$AZ$4010,0)),""))</f>
        <v/>
      </c>
      <c r="AI242" s="29" t="str">
        <f>IF(AE242="","",IFERROR(INDEX($AR$11:$AR$4010,MATCH(232,$AZ$11:$AZ$4010,0)),""))</f>
        <v/>
      </c>
      <c r="AJ242" s="29" t="str">
        <f>IF(AE242="","",IFERROR(INDEX($AT$11:$AT$4010,MATCH(232,$AZ$11:$AZ$4010,0)),""))</f>
        <v/>
      </c>
      <c r="AL242" s="31" t="str">
        <f t="shared" si="50"/>
        <v/>
      </c>
      <c r="AM242" s="26" t="str">
        <f t="shared" si="51"/>
        <v/>
      </c>
      <c r="AN242" s="32" t="str">
        <f t="shared" si="52"/>
        <v/>
      </c>
      <c r="AO242" s="32" t="str">
        <f t="shared" si="53"/>
        <v/>
      </c>
      <c r="AP242" s="24" t="str">
        <f t="shared" si="54"/>
        <v/>
      </c>
      <c r="AQ242" s="24" t="str">
        <f t="shared" si="55"/>
        <v/>
      </c>
      <c r="AR242" s="33" t="str">
        <f t="shared" si="56"/>
        <v/>
      </c>
      <c r="AS242" s="34"/>
      <c r="AT242" s="33"/>
      <c r="AV242" s="21">
        <f>IF(AND($AL242&lt;&gt;"",COUNTIF($AL$11:$AL242,$AL242)=1),1,0)</f>
        <v>0</v>
      </c>
      <c r="AW242" s="21">
        <f t="shared" si="58"/>
        <v>2</v>
      </c>
      <c r="AX242" s="21" t="str">
        <f t="shared" si="57"/>
        <v/>
      </c>
      <c r="AY242" s="21" t="str">
        <f>IF(AND($AM242&lt;&gt;"",$AS242&lt;&gt;"✓"),SUMPRODUCT(($AM$11:$AM242&lt;&gt;"")*($AS$11:$AS242&lt;&gt;"✓")),"")</f>
        <v/>
      </c>
      <c r="AZ242" s="21" t="str">
        <f>IF(AND($AM242&lt;&gt;"",$AS242="✓"),SUMPRODUCT(($AM$11:$AM242&lt;&gt;"")*($AS$11:$AS242="✓")),"")</f>
        <v/>
      </c>
      <c r="BA242" s="21" t="str">
        <f>IF($AL242="","",$AL242&amp;"|"&amp;COUNTIF($AL$11:$AL242,$AL242))</f>
        <v/>
      </c>
    </row>
    <row r="243" spans="2:53" ht="15" customHeight="1" x14ac:dyDescent="0.25">
      <c r="B243" s="5" t="str">
        <f t="shared" si="45"/>
        <v/>
      </c>
      <c r="C243" s="5"/>
      <c r="D243" s="5"/>
      <c r="E243" s="5"/>
      <c r="F243" s="6"/>
      <c r="G243" s="6"/>
      <c r="H243" s="7"/>
      <c r="I243" s="8"/>
      <c r="K243" s="9" t="str">
        <f>IFERROR(INDEX($AL$11:$AL$4010,MATCH(233,$AX$11:$AX$4010,0)),"")</f>
        <v/>
      </c>
      <c r="L243" s="10" t="str">
        <f t="shared" si="46"/>
        <v/>
      </c>
      <c r="M243" s="11" t="str">
        <f t="shared" si="47"/>
        <v/>
      </c>
      <c r="N243" s="11" t="str">
        <f t="shared" si="48"/>
        <v/>
      </c>
      <c r="W243" s="14" t="str">
        <f>IF(X243="","",IFERROR(INDEX($AL$11:$AL$4010,MATCH(233,$AY$11:$AY$4010,0)),""))</f>
        <v/>
      </c>
      <c r="X243" s="12" t="str">
        <f>IFERROR(INDEX($AM$11:$AM$4010,MATCH(233,$AY$11:$AY$4010,0)),"")</f>
        <v/>
      </c>
      <c r="Y243" s="11" t="str">
        <f>IF(X243="","",IFERROR(INDEX($AN$11:$AN$4010,MATCH(233,$AY$11:$AY$4010,0)),""))</f>
        <v/>
      </c>
      <c r="Z243" s="11" t="str">
        <f>IF(X243="","",IFERROR(INDEX($AO$11:$AO$4010,MATCH(233,$AY$11:$AY$4010,0)),""))</f>
        <v/>
      </c>
      <c r="AA243" s="10" t="str">
        <f>IF(X243="","",IFERROR(INDEX($AQ$11:$AQ$4010,MATCH(233,$AY$11:$AY$4010,0)),""))</f>
        <v/>
      </c>
      <c r="AB243" s="15" t="str">
        <f>IF(X243="","",IFERROR(INDEX($AR$11:$AR$4010,MATCH(233,$AY$11:$AY$4010,0)),""))</f>
        <v/>
      </c>
      <c r="AD243" s="16" t="str">
        <f>IF(AE243="","",IFERROR(INDEX($AL$11:$AL$4010,MATCH(233,$AZ$11:$AZ$4010,0)),""))</f>
        <v/>
      </c>
      <c r="AE243" s="12" t="str">
        <f>IFERROR(INDEX($AM$11:$AM$4010,MATCH(233,$AZ$11:$AZ$4010,0)),"")</f>
        <v/>
      </c>
      <c r="AF243" s="11" t="str">
        <f>IF(AE243="","",IFERROR(INDEX($AN$11:$AN$4010,MATCH(233,$AZ$11:$AZ$4010,0)),""))</f>
        <v/>
      </c>
      <c r="AG243" s="11" t="str">
        <f>IF(AE243="","",IFERROR(INDEX($AO$11:$AO$4010,MATCH(233,$AZ$11:$AZ$4010,0)),""))</f>
        <v/>
      </c>
      <c r="AH243" s="10" t="str">
        <f>IF(AE243="","",IFERROR(INDEX($AQ$11:$AQ$4010,MATCH(233,$AZ$11:$AZ$4010,0)),""))</f>
        <v/>
      </c>
      <c r="AI243" s="15" t="str">
        <f>IF(AE243="","",IFERROR(INDEX($AR$11:$AR$4010,MATCH(233,$AZ$11:$AZ$4010,0)),""))</f>
        <v/>
      </c>
      <c r="AJ243" s="15" t="str">
        <f>IF(AE243="","",IFERROR(INDEX($AT$11:$AT$4010,MATCH(233,$AZ$11:$AZ$4010,0)),""))</f>
        <v/>
      </c>
      <c r="AL243" s="17" t="str">
        <f t="shared" si="50"/>
        <v/>
      </c>
      <c r="AM243" s="12" t="str">
        <f t="shared" si="51"/>
        <v/>
      </c>
      <c r="AN243" s="18" t="str">
        <f t="shared" si="52"/>
        <v/>
      </c>
      <c r="AO243" s="18" t="str">
        <f t="shared" si="53"/>
        <v/>
      </c>
      <c r="AP243" s="10" t="str">
        <f t="shared" si="54"/>
        <v/>
      </c>
      <c r="AQ243" s="10" t="str">
        <f t="shared" si="55"/>
        <v/>
      </c>
      <c r="AR243" s="19" t="str">
        <f t="shared" si="56"/>
        <v/>
      </c>
      <c r="AS243" s="20"/>
      <c r="AT243" s="19"/>
      <c r="AV243" s="21">
        <f>IF(AND($AL243&lt;&gt;"",COUNTIF($AL$11:$AL243,$AL243)=1),1,0)</f>
        <v>0</v>
      </c>
      <c r="AW243" s="21">
        <f t="shared" si="58"/>
        <v>2</v>
      </c>
      <c r="AX243" s="21" t="str">
        <f t="shared" si="57"/>
        <v/>
      </c>
      <c r="AY243" s="21" t="str">
        <f>IF(AND($AM243&lt;&gt;"",$AS243&lt;&gt;"✓"),SUMPRODUCT(($AM$11:$AM243&lt;&gt;"")*($AS$11:$AS243&lt;&gt;"✓")),"")</f>
        <v/>
      </c>
      <c r="AZ243" s="21" t="str">
        <f>IF(AND($AM243&lt;&gt;"",$AS243="✓"),SUMPRODUCT(($AM$11:$AM243&lt;&gt;"")*($AS$11:$AS243="✓")),"")</f>
        <v/>
      </c>
      <c r="BA243" s="21" t="str">
        <f>IF($AL243="","",$AL243&amp;"|"&amp;COUNTIF($AL$11:$AL243,$AL243))</f>
        <v/>
      </c>
    </row>
    <row r="244" spans="2:53" ht="15" customHeight="1" x14ac:dyDescent="0.25">
      <c r="B244" s="5" t="str">
        <f t="shared" si="45"/>
        <v/>
      </c>
      <c r="C244" s="5"/>
      <c r="D244" s="5"/>
      <c r="E244" s="5"/>
      <c r="F244" s="6"/>
      <c r="G244" s="6"/>
      <c r="H244" s="7"/>
      <c r="I244" s="8"/>
      <c r="K244" s="23" t="str">
        <f>IFERROR(INDEX($AL$11:$AL$4010,MATCH(234,$AX$11:$AX$4010,0)),"")</f>
        <v/>
      </c>
      <c r="L244" s="24" t="str">
        <f t="shared" si="46"/>
        <v/>
      </c>
      <c r="M244" s="25" t="str">
        <f t="shared" si="47"/>
        <v/>
      </c>
      <c r="N244" s="25" t="str">
        <f t="shared" si="48"/>
        <v/>
      </c>
      <c r="W244" s="28" t="str">
        <f>IF(X244="","",IFERROR(INDEX($AL$11:$AL$4010,MATCH(234,$AY$11:$AY$4010,0)),""))</f>
        <v/>
      </c>
      <c r="X244" s="26" t="str">
        <f>IFERROR(INDEX($AM$11:$AM$4010,MATCH(234,$AY$11:$AY$4010,0)),"")</f>
        <v/>
      </c>
      <c r="Y244" s="25" t="str">
        <f>IF(X244="","",IFERROR(INDEX($AN$11:$AN$4010,MATCH(234,$AY$11:$AY$4010,0)),""))</f>
        <v/>
      </c>
      <c r="Z244" s="25" t="str">
        <f>IF(X244="","",IFERROR(INDEX($AO$11:$AO$4010,MATCH(234,$AY$11:$AY$4010,0)),""))</f>
        <v/>
      </c>
      <c r="AA244" s="24" t="str">
        <f>IF(X244="","",IFERROR(INDEX($AQ$11:$AQ$4010,MATCH(234,$AY$11:$AY$4010,0)),""))</f>
        <v/>
      </c>
      <c r="AB244" s="29" t="str">
        <f>IF(X244="","",IFERROR(INDEX($AR$11:$AR$4010,MATCH(234,$AY$11:$AY$4010,0)),""))</f>
        <v/>
      </c>
      <c r="AD244" s="30" t="str">
        <f>IF(AE244="","",IFERROR(INDEX($AL$11:$AL$4010,MATCH(234,$AZ$11:$AZ$4010,0)),""))</f>
        <v/>
      </c>
      <c r="AE244" s="26" t="str">
        <f>IFERROR(INDEX($AM$11:$AM$4010,MATCH(234,$AZ$11:$AZ$4010,0)),"")</f>
        <v/>
      </c>
      <c r="AF244" s="25" t="str">
        <f>IF(AE244="","",IFERROR(INDEX($AN$11:$AN$4010,MATCH(234,$AZ$11:$AZ$4010,0)),""))</f>
        <v/>
      </c>
      <c r="AG244" s="25" t="str">
        <f>IF(AE244="","",IFERROR(INDEX($AO$11:$AO$4010,MATCH(234,$AZ$11:$AZ$4010,0)),""))</f>
        <v/>
      </c>
      <c r="AH244" s="24" t="str">
        <f>IF(AE244="","",IFERROR(INDEX($AQ$11:$AQ$4010,MATCH(234,$AZ$11:$AZ$4010,0)),""))</f>
        <v/>
      </c>
      <c r="AI244" s="29" t="str">
        <f>IF(AE244="","",IFERROR(INDEX($AR$11:$AR$4010,MATCH(234,$AZ$11:$AZ$4010,0)),""))</f>
        <v/>
      </c>
      <c r="AJ244" s="29" t="str">
        <f>IF(AE244="","",IFERROR(INDEX($AT$11:$AT$4010,MATCH(234,$AZ$11:$AZ$4010,0)),""))</f>
        <v/>
      </c>
      <c r="AL244" s="31" t="str">
        <f t="shared" si="50"/>
        <v/>
      </c>
      <c r="AM244" s="26" t="str">
        <f t="shared" si="51"/>
        <v/>
      </c>
      <c r="AN244" s="32" t="str">
        <f t="shared" si="52"/>
        <v/>
      </c>
      <c r="AO244" s="32" t="str">
        <f t="shared" si="53"/>
        <v/>
      </c>
      <c r="AP244" s="24" t="str">
        <f t="shared" si="54"/>
        <v/>
      </c>
      <c r="AQ244" s="24" t="str">
        <f t="shared" si="55"/>
        <v/>
      </c>
      <c r="AR244" s="33" t="str">
        <f t="shared" si="56"/>
        <v/>
      </c>
      <c r="AS244" s="34"/>
      <c r="AT244" s="33"/>
      <c r="AV244" s="21">
        <f>IF(AND($AL244&lt;&gt;"",COUNTIF($AL$11:$AL244,$AL244)=1),1,0)</f>
        <v>0</v>
      </c>
      <c r="AW244" s="21">
        <f t="shared" si="58"/>
        <v>2</v>
      </c>
      <c r="AX244" s="21" t="str">
        <f t="shared" si="57"/>
        <v/>
      </c>
      <c r="AY244" s="21" t="str">
        <f>IF(AND($AM244&lt;&gt;"",$AS244&lt;&gt;"✓"),SUMPRODUCT(($AM$11:$AM244&lt;&gt;"")*($AS$11:$AS244&lt;&gt;"✓")),"")</f>
        <v/>
      </c>
      <c r="AZ244" s="21" t="str">
        <f>IF(AND($AM244&lt;&gt;"",$AS244="✓"),SUMPRODUCT(($AM$11:$AM244&lt;&gt;"")*($AS$11:$AS244="✓")),"")</f>
        <v/>
      </c>
      <c r="BA244" s="21" t="str">
        <f>IF($AL244="","",$AL244&amp;"|"&amp;COUNTIF($AL$11:$AL244,$AL244))</f>
        <v/>
      </c>
    </row>
    <row r="245" spans="2:53" ht="15" customHeight="1" x14ac:dyDescent="0.25">
      <c r="B245" s="5" t="str">
        <f t="shared" si="45"/>
        <v/>
      </c>
      <c r="C245" s="5"/>
      <c r="D245" s="5"/>
      <c r="E245" s="5"/>
      <c r="F245" s="6"/>
      <c r="G245" s="6"/>
      <c r="H245" s="7"/>
      <c r="I245" s="8"/>
      <c r="K245" s="9" t="str">
        <f>IFERROR(INDEX($AL$11:$AL$4010,MATCH(235,$AX$11:$AX$4010,0)),"")</f>
        <v/>
      </c>
      <c r="L245" s="10" t="str">
        <f t="shared" si="46"/>
        <v/>
      </c>
      <c r="M245" s="11" t="str">
        <f t="shared" si="47"/>
        <v/>
      </c>
      <c r="N245" s="11" t="str">
        <f t="shared" si="48"/>
        <v/>
      </c>
      <c r="W245" s="14" t="str">
        <f>IF(X245="","",IFERROR(INDEX($AL$11:$AL$4010,MATCH(235,$AY$11:$AY$4010,0)),""))</f>
        <v/>
      </c>
      <c r="X245" s="12" t="str">
        <f>IFERROR(INDEX($AM$11:$AM$4010,MATCH(235,$AY$11:$AY$4010,0)),"")</f>
        <v/>
      </c>
      <c r="Y245" s="11" t="str">
        <f>IF(X245="","",IFERROR(INDEX($AN$11:$AN$4010,MATCH(235,$AY$11:$AY$4010,0)),""))</f>
        <v/>
      </c>
      <c r="Z245" s="11" t="str">
        <f>IF(X245="","",IFERROR(INDEX($AO$11:$AO$4010,MATCH(235,$AY$11:$AY$4010,0)),""))</f>
        <v/>
      </c>
      <c r="AA245" s="10" t="str">
        <f>IF(X245="","",IFERROR(INDEX($AQ$11:$AQ$4010,MATCH(235,$AY$11:$AY$4010,0)),""))</f>
        <v/>
      </c>
      <c r="AB245" s="15" t="str">
        <f>IF(X245="","",IFERROR(INDEX($AR$11:$AR$4010,MATCH(235,$AY$11:$AY$4010,0)),""))</f>
        <v/>
      </c>
      <c r="AD245" s="16" t="str">
        <f>IF(AE245="","",IFERROR(INDEX($AL$11:$AL$4010,MATCH(235,$AZ$11:$AZ$4010,0)),""))</f>
        <v/>
      </c>
      <c r="AE245" s="12" t="str">
        <f>IFERROR(INDEX($AM$11:$AM$4010,MATCH(235,$AZ$11:$AZ$4010,0)),"")</f>
        <v/>
      </c>
      <c r="AF245" s="11" t="str">
        <f>IF(AE245="","",IFERROR(INDEX($AN$11:$AN$4010,MATCH(235,$AZ$11:$AZ$4010,0)),""))</f>
        <v/>
      </c>
      <c r="AG245" s="11" t="str">
        <f>IF(AE245="","",IFERROR(INDEX($AO$11:$AO$4010,MATCH(235,$AZ$11:$AZ$4010,0)),""))</f>
        <v/>
      </c>
      <c r="AH245" s="10" t="str">
        <f>IF(AE245="","",IFERROR(INDEX($AQ$11:$AQ$4010,MATCH(235,$AZ$11:$AZ$4010,0)),""))</f>
        <v/>
      </c>
      <c r="AI245" s="15" t="str">
        <f>IF(AE245="","",IFERROR(INDEX($AR$11:$AR$4010,MATCH(235,$AZ$11:$AZ$4010,0)),""))</f>
        <v/>
      </c>
      <c r="AJ245" s="15" t="str">
        <f>IF(AE245="","",IFERROR(INDEX($AT$11:$AT$4010,MATCH(235,$AZ$11:$AZ$4010,0)),""))</f>
        <v/>
      </c>
      <c r="AL245" s="17" t="str">
        <f t="shared" si="50"/>
        <v/>
      </c>
      <c r="AM245" s="12" t="str">
        <f t="shared" si="51"/>
        <v/>
      </c>
      <c r="AN245" s="18" t="str">
        <f t="shared" si="52"/>
        <v/>
      </c>
      <c r="AO245" s="18" t="str">
        <f t="shared" si="53"/>
        <v/>
      </c>
      <c r="AP245" s="10" t="str">
        <f t="shared" si="54"/>
        <v/>
      </c>
      <c r="AQ245" s="10" t="str">
        <f t="shared" si="55"/>
        <v/>
      </c>
      <c r="AR245" s="19" t="str">
        <f t="shared" si="56"/>
        <v/>
      </c>
      <c r="AS245" s="20"/>
      <c r="AT245" s="19"/>
      <c r="AV245" s="21">
        <f>IF(AND($AL245&lt;&gt;"",COUNTIF($AL$11:$AL245,$AL245)=1),1,0)</f>
        <v>0</v>
      </c>
      <c r="AW245" s="21">
        <f t="shared" si="58"/>
        <v>2</v>
      </c>
      <c r="AX245" s="21" t="str">
        <f t="shared" si="57"/>
        <v/>
      </c>
      <c r="AY245" s="21" t="str">
        <f>IF(AND($AM245&lt;&gt;"",$AS245&lt;&gt;"✓"),SUMPRODUCT(($AM$11:$AM245&lt;&gt;"")*($AS$11:$AS245&lt;&gt;"✓")),"")</f>
        <v/>
      </c>
      <c r="AZ245" s="21" t="str">
        <f>IF(AND($AM245&lt;&gt;"",$AS245="✓"),SUMPRODUCT(($AM$11:$AM245&lt;&gt;"")*($AS$11:$AS245="✓")),"")</f>
        <v/>
      </c>
      <c r="BA245" s="21" t="str">
        <f>IF($AL245="","",$AL245&amp;"|"&amp;COUNTIF($AL$11:$AL245,$AL245))</f>
        <v/>
      </c>
    </row>
    <row r="246" spans="2:53" ht="15" customHeight="1" x14ac:dyDescent="0.25">
      <c r="B246" s="5" t="str">
        <f t="shared" si="45"/>
        <v/>
      </c>
      <c r="C246" s="5"/>
      <c r="D246" s="5"/>
      <c r="E246" s="5"/>
      <c r="F246" s="6"/>
      <c r="G246" s="6"/>
      <c r="H246" s="7"/>
      <c r="I246" s="8"/>
      <c r="K246" s="23" t="str">
        <f>IFERROR(INDEX($AL$11:$AL$4010,MATCH(236,$AX$11:$AX$4010,0)),"")</f>
        <v/>
      </c>
      <c r="L246" s="24" t="str">
        <f t="shared" si="46"/>
        <v/>
      </c>
      <c r="M246" s="25" t="str">
        <f t="shared" si="47"/>
        <v/>
      </c>
      <c r="N246" s="25" t="str">
        <f t="shared" si="48"/>
        <v/>
      </c>
      <c r="W246" s="28" t="str">
        <f>IF(X246="","",IFERROR(INDEX($AL$11:$AL$4010,MATCH(236,$AY$11:$AY$4010,0)),""))</f>
        <v/>
      </c>
      <c r="X246" s="26" t="str">
        <f>IFERROR(INDEX($AM$11:$AM$4010,MATCH(236,$AY$11:$AY$4010,0)),"")</f>
        <v/>
      </c>
      <c r="Y246" s="25" t="str">
        <f>IF(X246="","",IFERROR(INDEX($AN$11:$AN$4010,MATCH(236,$AY$11:$AY$4010,0)),""))</f>
        <v/>
      </c>
      <c r="Z246" s="25" t="str">
        <f>IF(X246="","",IFERROR(INDEX($AO$11:$AO$4010,MATCH(236,$AY$11:$AY$4010,0)),""))</f>
        <v/>
      </c>
      <c r="AA246" s="24" t="str">
        <f>IF(X246="","",IFERROR(INDEX($AQ$11:$AQ$4010,MATCH(236,$AY$11:$AY$4010,0)),""))</f>
        <v/>
      </c>
      <c r="AB246" s="29" t="str">
        <f>IF(X246="","",IFERROR(INDEX($AR$11:$AR$4010,MATCH(236,$AY$11:$AY$4010,0)),""))</f>
        <v/>
      </c>
      <c r="AD246" s="30" t="str">
        <f>IF(AE246="","",IFERROR(INDEX($AL$11:$AL$4010,MATCH(236,$AZ$11:$AZ$4010,0)),""))</f>
        <v/>
      </c>
      <c r="AE246" s="26" t="str">
        <f>IFERROR(INDEX($AM$11:$AM$4010,MATCH(236,$AZ$11:$AZ$4010,0)),"")</f>
        <v/>
      </c>
      <c r="AF246" s="25" t="str">
        <f>IF(AE246="","",IFERROR(INDEX($AN$11:$AN$4010,MATCH(236,$AZ$11:$AZ$4010,0)),""))</f>
        <v/>
      </c>
      <c r="AG246" s="25" t="str">
        <f>IF(AE246="","",IFERROR(INDEX($AO$11:$AO$4010,MATCH(236,$AZ$11:$AZ$4010,0)),""))</f>
        <v/>
      </c>
      <c r="AH246" s="24" t="str">
        <f>IF(AE246="","",IFERROR(INDEX($AQ$11:$AQ$4010,MATCH(236,$AZ$11:$AZ$4010,0)),""))</f>
        <v/>
      </c>
      <c r="AI246" s="29" t="str">
        <f>IF(AE246="","",IFERROR(INDEX($AR$11:$AR$4010,MATCH(236,$AZ$11:$AZ$4010,0)),""))</f>
        <v/>
      </c>
      <c r="AJ246" s="29" t="str">
        <f>IF(AE246="","",IFERROR(INDEX($AT$11:$AT$4010,MATCH(236,$AZ$11:$AZ$4010,0)),""))</f>
        <v/>
      </c>
      <c r="AL246" s="31" t="str">
        <f t="shared" si="50"/>
        <v/>
      </c>
      <c r="AM246" s="26" t="str">
        <f t="shared" si="51"/>
        <v/>
      </c>
      <c r="AN246" s="32" t="str">
        <f t="shared" si="52"/>
        <v/>
      </c>
      <c r="AO246" s="32" t="str">
        <f t="shared" si="53"/>
        <v/>
      </c>
      <c r="AP246" s="24" t="str">
        <f t="shared" si="54"/>
        <v/>
      </c>
      <c r="AQ246" s="24" t="str">
        <f t="shared" si="55"/>
        <v/>
      </c>
      <c r="AR246" s="33" t="str">
        <f t="shared" si="56"/>
        <v/>
      </c>
      <c r="AS246" s="34"/>
      <c r="AT246" s="33"/>
      <c r="AV246" s="21">
        <f>IF(AND($AL246&lt;&gt;"",COUNTIF($AL$11:$AL246,$AL246)=1),1,0)</f>
        <v>0</v>
      </c>
      <c r="AW246" s="21">
        <f t="shared" si="58"/>
        <v>2</v>
      </c>
      <c r="AX246" s="21" t="str">
        <f t="shared" si="57"/>
        <v/>
      </c>
      <c r="AY246" s="21" t="str">
        <f>IF(AND($AM246&lt;&gt;"",$AS246&lt;&gt;"✓"),SUMPRODUCT(($AM$11:$AM246&lt;&gt;"")*($AS$11:$AS246&lt;&gt;"✓")),"")</f>
        <v/>
      </c>
      <c r="AZ246" s="21" t="str">
        <f>IF(AND($AM246&lt;&gt;"",$AS246="✓"),SUMPRODUCT(($AM$11:$AM246&lt;&gt;"")*($AS$11:$AS246="✓")),"")</f>
        <v/>
      </c>
      <c r="BA246" s="21" t="str">
        <f>IF($AL246="","",$AL246&amp;"|"&amp;COUNTIF($AL$11:$AL246,$AL246))</f>
        <v/>
      </c>
    </row>
    <row r="247" spans="2:53" ht="15" customHeight="1" x14ac:dyDescent="0.25">
      <c r="B247" s="5" t="str">
        <f t="shared" si="45"/>
        <v/>
      </c>
      <c r="C247" s="5"/>
      <c r="D247" s="5"/>
      <c r="E247" s="5"/>
      <c r="F247" s="6"/>
      <c r="G247" s="6"/>
      <c r="H247" s="7"/>
      <c r="I247" s="8"/>
      <c r="K247" s="9" t="str">
        <f>IFERROR(INDEX($AL$11:$AL$4010,MATCH(237,$AX$11:$AX$4010,0)),"")</f>
        <v/>
      </c>
      <c r="L247" s="10" t="str">
        <f t="shared" si="46"/>
        <v/>
      </c>
      <c r="M247" s="11" t="str">
        <f t="shared" si="47"/>
        <v/>
      </c>
      <c r="N247" s="11" t="str">
        <f t="shared" si="48"/>
        <v/>
      </c>
      <c r="W247" s="14" t="str">
        <f>IF(X247="","",IFERROR(INDEX($AL$11:$AL$4010,MATCH(237,$AY$11:$AY$4010,0)),""))</f>
        <v/>
      </c>
      <c r="X247" s="12" t="str">
        <f>IFERROR(INDEX($AM$11:$AM$4010,MATCH(237,$AY$11:$AY$4010,0)),"")</f>
        <v/>
      </c>
      <c r="Y247" s="11" t="str">
        <f>IF(X247="","",IFERROR(INDEX($AN$11:$AN$4010,MATCH(237,$AY$11:$AY$4010,0)),""))</f>
        <v/>
      </c>
      <c r="Z247" s="11" t="str">
        <f>IF(X247="","",IFERROR(INDEX($AO$11:$AO$4010,MATCH(237,$AY$11:$AY$4010,0)),""))</f>
        <v/>
      </c>
      <c r="AA247" s="10" t="str">
        <f>IF(X247="","",IFERROR(INDEX($AQ$11:$AQ$4010,MATCH(237,$AY$11:$AY$4010,0)),""))</f>
        <v/>
      </c>
      <c r="AB247" s="15" t="str">
        <f>IF(X247="","",IFERROR(INDEX($AR$11:$AR$4010,MATCH(237,$AY$11:$AY$4010,0)),""))</f>
        <v/>
      </c>
      <c r="AD247" s="16" t="str">
        <f>IF(AE247="","",IFERROR(INDEX($AL$11:$AL$4010,MATCH(237,$AZ$11:$AZ$4010,0)),""))</f>
        <v/>
      </c>
      <c r="AE247" s="12" t="str">
        <f>IFERROR(INDEX($AM$11:$AM$4010,MATCH(237,$AZ$11:$AZ$4010,0)),"")</f>
        <v/>
      </c>
      <c r="AF247" s="11" t="str">
        <f>IF(AE247="","",IFERROR(INDEX($AN$11:$AN$4010,MATCH(237,$AZ$11:$AZ$4010,0)),""))</f>
        <v/>
      </c>
      <c r="AG247" s="11" t="str">
        <f>IF(AE247="","",IFERROR(INDEX($AO$11:$AO$4010,MATCH(237,$AZ$11:$AZ$4010,0)),""))</f>
        <v/>
      </c>
      <c r="AH247" s="10" t="str">
        <f>IF(AE247="","",IFERROR(INDEX($AQ$11:$AQ$4010,MATCH(237,$AZ$11:$AZ$4010,0)),""))</f>
        <v/>
      </c>
      <c r="AI247" s="15" t="str">
        <f>IF(AE247="","",IFERROR(INDEX($AR$11:$AR$4010,MATCH(237,$AZ$11:$AZ$4010,0)),""))</f>
        <v/>
      </c>
      <c r="AJ247" s="15" t="str">
        <f>IF(AE247="","",IFERROR(INDEX($AT$11:$AT$4010,MATCH(237,$AZ$11:$AZ$4010,0)),""))</f>
        <v/>
      </c>
      <c r="AL247" s="17" t="str">
        <f t="shared" si="50"/>
        <v/>
      </c>
      <c r="AM247" s="12" t="str">
        <f t="shared" si="51"/>
        <v/>
      </c>
      <c r="AN247" s="18" t="str">
        <f t="shared" si="52"/>
        <v/>
      </c>
      <c r="AO247" s="18" t="str">
        <f t="shared" si="53"/>
        <v/>
      </c>
      <c r="AP247" s="10" t="str">
        <f t="shared" si="54"/>
        <v/>
      </c>
      <c r="AQ247" s="10" t="str">
        <f t="shared" si="55"/>
        <v/>
      </c>
      <c r="AR247" s="19" t="str">
        <f t="shared" si="56"/>
        <v/>
      </c>
      <c r="AS247" s="20"/>
      <c r="AT247" s="19"/>
      <c r="AV247" s="21">
        <f>IF(AND($AL247&lt;&gt;"",COUNTIF($AL$11:$AL247,$AL247)=1),1,0)</f>
        <v>0</v>
      </c>
      <c r="AW247" s="21">
        <f t="shared" si="58"/>
        <v>2</v>
      </c>
      <c r="AX247" s="21" t="str">
        <f t="shared" si="57"/>
        <v/>
      </c>
      <c r="AY247" s="21" t="str">
        <f>IF(AND($AM247&lt;&gt;"",$AS247&lt;&gt;"✓"),SUMPRODUCT(($AM$11:$AM247&lt;&gt;"")*($AS$11:$AS247&lt;&gt;"✓")),"")</f>
        <v/>
      </c>
      <c r="AZ247" s="21" t="str">
        <f>IF(AND($AM247&lt;&gt;"",$AS247="✓"),SUMPRODUCT(($AM$11:$AM247&lt;&gt;"")*($AS$11:$AS247="✓")),"")</f>
        <v/>
      </c>
      <c r="BA247" s="21" t="str">
        <f>IF($AL247="","",$AL247&amp;"|"&amp;COUNTIF($AL$11:$AL247,$AL247))</f>
        <v/>
      </c>
    </row>
    <row r="248" spans="2:53" ht="15" customHeight="1" x14ac:dyDescent="0.25">
      <c r="B248" s="5" t="str">
        <f t="shared" si="45"/>
        <v/>
      </c>
      <c r="C248" s="5"/>
      <c r="D248" s="5"/>
      <c r="E248" s="5"/>
      <c r="F248" s="6"/>
      <c r="G248" s="6"/>
      <c r="H248" s="7"/>
      <c r="I248" s="8"/>
      <c r="K248" s="23" t="str">
        <f>IFERROR(INDEX($AL$11:$AL$4010,MATCH(238,$AX$11:$AX$4010,0)),"")</f>
        <v/>
      </c>
      <c r="L248" s="24" t="str">
        <f t="shared" si="46"/>
        <v/>
      </c>
      <c r="M248" s="25" t="str">
        <f t="shared" si="47"/>
        <v/>
      </c>
      <c r="N248" s="25" t="str">
        <f t="shared" si="48"/>
        <v/>
      </c>
      <c r="W248" s="28" t="str">
        <f>IF(X248="","",IFERROR(INDEX($AL$11:$AL$4010,MATCH(238,$AY$11:$AY$4010,0)),""))</f>
        <v/>
      </c>
      <c r="X248" s="26" t="str">
        <f>IFERROR(INDEX($AM$11:$AM$4010,MATCH(238,$AY$11:$AY$4010,0)),"")</f>
        <v/>
      </c>
      <c r="Y248" s="25" t="str">
        <f>IF(X248="","",IFERROR(INDEX($AN$11:$AN$4010,MATCH(238,$AY$11:$AY$4010,0)),""))</f>
        <v/>
      </c>
      <c r="Z248" s="25" t="str">
        <f>IF(X248="","",IFERROR(INDEX($AO$11:$AO$4010,MATCH(238,$AY$11:$AY$4010,0)),""))</f>
        <v/>
      </c>
      <c r="AA248" s="24" t="str">
        <f>IF(X248="","",IFERROR(INDEX($AQ$11:$AQ$4010,MATCH(238,$AY$11:$AY$4010,0)),""))</f>
        <v/>
      </c>
      <c r="AB248" s="29" t="str">
        <f>IF(X248="","",IFERROR(INDEX($AR$11:$AR$4010,MATCH(238,$AY$11:$AY$4010,0)),""))</f>
        <v/>
      </c>
      <c r="AD248" s="30" t="str">
        <f>IF(AE248="","",IFERROR(INDEX($AL$11:$AL$4010,MATCH(238,$AZ$11:$AZ$4010,0)),""))</f>
        <v/>
      </c>
      <c r="AE248" s="26" t="str">
        <f>IFERROR(INDEX($AM$11:$AM$4010,MATCH(238,$AZ$11:$AZ$4010,0)),"")</f>
        <v/>
      </c>
      <c r="AF248" s="25" t="str">
        <f>IF(AE248="","",IFERROR(INDEX($AN$11:$AN$4010,MATCH(238,$AZ$11:$AZ$4010,0)),""))</f>
        <v/>
      </c>
      <c r="AG248" s="25" t="str">
        <f>IF(AE248="","",IFERROR(INDEX($AO$11:$AO$4010,MATCH(238,$AZ$11:$AZ$4010,0)),""))</f>
        <v/>
      </c>
      <c r="AH248" s="24" t="str">
        <f>IF(AE248="","",IFERROR(INDEX($AQ$11:$AQ$4010,MATCH(238,$AZ$11:$AZ$4010,0)),""))</f>
        <v/>
      </c>
      <c r="AI248" s="29" t="str">
        <f>IF(AE248="","",IFERROR(INDEX($AR$11:$AR$4010,MATCH(238,$AZ$11:$AZ$4010,0)),""))</f>
        <v/>
      </c>
      <c r="AJ248" s="29" t="str">
        <f>IF(AE248="","",IFERROR(INDEX($AT$11:$AT$4010,MATCH(238,$AZ$11:$AZ$4010,0)),""))</f>
        <v/>
      </c>
      <c r="AL248" s="31" t="str">
        <f t="shared" si="50"/>
        <v/>
      </c>
      <c r="AM248" s="26" t="str">
        <f t="shared" si="51"/>
        <v/>
      </c>
      <c r="AN248" s="32" t="str">
        <f t="shared" si="52"/>
        <v/>
      </c>
      <c r="AO248" s="32" t="str">
        <f t="shared" si="53"/>
        <v/>
      </c>
      <c r="AP248" s="24" t="str">
        <f t="shared" si="54"/>
        <v/>
      </c>
      <c r="AQ248" s="24" t="str">
        <f t="shared" si="55"/>
        <v/>
      </c>
      <c r="AR248" s="33" t="str">
        <f t="shared" si="56"/>
        <v/>
      </c>
      <c r="AS248" s="34"/>
      <c r="AT248" s="33"/>
      <c r="AV248" s="21">
        <f>IF(AND($AL248&lt;&gt;"",COUNTIF($AL$11:$AL248,$AL248)=1),1,0)</f>
        <v>0</v>
      </c>
      <c r="AW248" s="21">
        <f t="shared" si="58"/>
        <v>2</v>
      </c>
      <c r="AX248" s="21" t="str">
        <f t="shared" si="57"/>
        <v/>
      </c>
      <c r="AY248" s="21" t="str">
        <f>IF(AND($AM248&lt;&gt;"",$AS248&lt;&gt;"✓"),SUMPRODUCT(($AM$11:$AM248&lt;&gt;"")*($AS$11:$AS248&lt;&gt;"✓")),"")</f>
        <v/>
      </c>
      <c r="AZ248" s="21" t="str">
        <f>IF(AND($AM248&lt;&gt;"",$AS248="✓"),SUMPRODUCT(($AM$11:$AM248&lt;&gt;"")*($AS$11:$AS248="✓")),"")</f>
        <v/>
      </c>
      <c r="BA248" s="21" t="str">
        <f>IF($AL248="","",$AL248&amp;"|"&amp;COUNTIF($AL$11:$AL248,$AL248))</f>
        <v/>
      </c>
    </row>
    <row r="249" spans="2:53" ht="15" customHeight="1" x14ac:dyDescent="0.25">
      <c r="B249" s="5" t="str">
        <f t="shared" si="45"/>
        <v/>
      </c>
      <c r="C249" s="5"/>
      <c r="D249" s="5"/>
      <c r="E249" s="5"/>
      <c r="F249" s="6"/>
      <c r="G249" s="6"/>
      <c r="H249" s="7"/>
      <c r="I249" s="8"/>
      <c r="K249" s="9" t="str">
        <f>IFERROR(INDEX($AL$11:$AL$4010,MATCH(239,$AX$11:$AX$4010,0)),"")</f>
        <v/>
      </c>
      <c r="L249" s="10" t="str">
        <f t="shared" si="46"/>
        <v/>
      </c>
      <c r="M249" s="11" t="str">
        <f t="shared" si="47"/>
        <v/>
      </c>
      <c r="N249" s="11" t="str">
        <f t="shared" si="48"/>
        <v/>
      </c>
      <c r="W249" s="14" t="str">
        <f>IF(X249="","",IFERROR(INDEX($AL$11:$AL$4010,MATCH(239,$AY$11:$AY$4010,0)),""))</f>
        <v/>
      </c>
      <c r="X249" s="12" t="str">
        <f>IFERROR(INDEX($AM$11:$AM$4010,MATCH(239,$AY$11:$AY$4010,0)),"")</f>
        <v/>
      </c>
      <c r="Y249" s="11" t="str">
        <f>IF(X249="","",IFERROR(INDEX($AN$11:$AN$4010,MATCH(239,$AY$11:$AY$4010,0)),""))</f>
        <v/>
      </c>
      <c r="Z249" s="11" t="str">
        <f>IF(X249="","",IFERROR(INDEX($AO$11:$AO$4010,MATCH(239,$AY$11:$AY$4010,0)),""))</f>
        <v/>
      </c>
      <c r="AA249" s="10" t="str">
        <f>IF(X249="","",IFERROR(INDEX($AQ$11:$AQ$4010,MATCH(239,$AY$11:$AY$4010,0)),""))</f>
        <v/>
      </c>
      <c r="AB249" s="15" t="str">
        <f>IF(X249="","",IFERROR(INDEX($AR$11:$AR$4010,MATCH(239,$AY$11:$AY$4010,0)),""))</f>
        <v/>
      </c>
      <c r="AD249" s="16" t="str">
        <f>IF(AE249="","",IFERROR(INDEX($AL$11:$AL$4010,MATCH(239,$AZ$11:$AZ$4010,0)),""))</f>
        <v/>
      </c>
      <c r="AE249" s="12" t="str">
        <f>IFERROR(INDEX($AM$11:$AM$4010,MATCH(239,$AZ$11:$AZ$4010,0)),"")</f>
        <v/>
      </c>
      <c r="AF249" s="11" t="str">
        <f>IF(AE249="","",IFERROR(INDEX($AN$11:$AN$4010,MATCH(239,$AZ$11:$AZ$4010,0)),""))</f>
        <v/>
      </c>
      <c r="AG249" s="11" t="str">
        <f>IF(AE249="","",IFERROR(INDEX($AO$11:$AO$4010,MATCH(239,$AZ$11:$AZ$4010,0)),""))</f>
        <v/>
      </c>
      <c r="AH249" s="10" t="str">
        <f>IF(AE249="","",IFERROR(INDEX($AQ$11:$AQ$4010,MATCH(239,$AZ$11:$AZ$4010,0)),""))</f>
        <v/>
      </c>
      <c r="AI249" s="15" t="str">
        <f>IF(AE249="","",IFERROR(INDEX($AR$11:$AR$4010,MATCH(239,$AZ$11:$AZ$4010,0)),""))</f>
        <v/>
      </c>
      <c r="AJ249" s="15" t="str">
        <f>IF(AE249="","",IFERROR(INDEX($AT$11:$AT$4010,MATCH(239,$AZ$11:$AZ$4010,0)),""))</f>
        <v/>
      </c>
      <c r="AL249" s="17" t="str">
        <f t="shared" si="50"/>
        <v/>
      </c>
      <c r="AM249" s="12" t="str">
        <f t="shared" si="51"/>
        <v/>
      </c>
      <c r="AN249" s="18" t="str">
        <f t="shared" si="52"/>
        <v/>
      </c>
      <c r="AO249" s="18" t="str">
        <f t="shared" si="53"/>
        <v/>
      </c>
      <c r="AP249" s="10" t="str">
        <f t="shared" si="54"/>
        <v/>
      </c>
      <c r="AQ249" s="10" t="str">
        <f t="shared" si="55"/>
        <v/>
      </c>
      <c r="AR249" s="19" t="str">
        <f t="shared" si="56"/>
        <v/>
      </c>
      <c r="AS249" s="20"/>
      <c r="AT249" s="19"/>
      <c r="AV249" s="21">
        <f>IF(AND($AL249&lt;&gt;"",COUNTIF($AL$11:$AL249,$AL249)=1),1,0)</f>
        <v>0</v>
      </c>
      <c r="AW249" s="21">
        <f t="shared" si="58"/>
        <v>2</v>
      </c>
      <c r="AX249" s="21" t="str">
        <f t="shared" si="57"/>
        <v/>
      </c>
      <c r="AY249" s="21" t="str">
        <f>IF(AND($AM249&lt;&gt;"",$AS249&lt;&gt;"✓"),SUMPRODUCT(($AM$11:$AM249&lt;&gt;"")*($AS$11:$AS249&lt;&gt;"✓")),"")</f>
        <v/>
      </c>
      <c r="AZ249" s="21" t="str">
        <f>IF(AND($AM249&lt;&gt;"",$AS249="✓"),SUMPRODUCT(($AM$11:$AM249&lt;&gt;"")*($AS$11:$AS249="✓")),"")</f>
        <v/>
      </c>
      <c r="BA249" s="21" t="str">
        <f>IF($AL249="","",$AL249&amp;"|"&amp;COUNTIF($AL$11:$AL249,$AL249))</f>
        <v/>
      </c>
    </row>
    <row r="250" spans="2:53" ht="15" customHeight="1" x14ac:dyDescent="0.25">
      <c r="B250" s="5" t="str">
        <f t="shared" si="45"/>
        <v/>
      </c>
      <c r="C250" s="5"/>
      <c r="D250" s="5"/>
      <c r="E250" s="5"/>
      <c r="F250" s="6"/>
      <c r="G250" s="6"/>
      <c r="H250" s="7"/>
      <c r="I250" s="8"/>
      <c r="K250" s="23" t="str">
        <f>IFERROR(INDEX($AL$11:$AL$4010,MATCH(240,$AX$11:$AX$4010,0)),"")</f>
        <v/>
      </c>
      <c r="L250" s="24" t="str">
        <f t="shared" si="46"/>
        <v/>
      </c>
      <c r="M250" s="25" t="str">
        <f t="shared" si="47"/>
        <v/>
      </c>
      <c r="N250" s="25" t="str">
        <f t="shared" si="48"/>
        <v/>
      </c>
      <c r="W250" s="28" t="str">
        <f>IF(X250="","",IFERROR(INDEX($AL$11:$AL$4010,MATCH(240,$AY$11:$AY$4010,0)),""))</f>
        <v/>
      </c>
      <c r="X250" s="26" t="str">
        <f>IFERROR(INDEX($AM$11:$AM$4010,MATCH(240,$AY$11:$AY$4010,0)),"")</f>
        <v/>
      </c>
      <c r="Y250" s="25" t="str">
        <f>IF(X250="","",IFERROR(INDEX($AN$11:$AN$4010,MATCH(240,$AY$11:$AY$4010,0)),""))</f>
        <v/>
      </c>
      <c r="Z250" s="25" t="str">
        <f>IF(X250="","",IFERROR(INDEX($AO$11:$AO$4010,MATCH(240,$AY$11:$AY$4010,0)),""))</f>
        <v/>
      </c>
      <c r="AA250" s="24" t="str">
        <f>IF(X250="","",IFERROR(INDEX($AQ$11:$AQ$4010,MATCH(240,$AY$11:$AY$4010,0)),""))</f>
        <v/>
      </c>
      <c r="AB250" s="29" t="str">
        <f>IF(X250="","",IFERROR(INDEX($AR$11:$AR$4010,MATCH(240,$AY$11:$AY$4010,0)),""))</f>
        <v/>
      </c>
      <c r="AD250" s="30" t="str">
        <f>IF(AE250="","",IFERROR(INDEX($AL$11:$AL$4010,MATCH(240,$AZ$11:$AZ$4010,0)),""))</f>
        <v/>
      </c>
      <c r="AE250" s="26" t="str">
        <f>IFERROR(INDEX($AM$11:$AM$4010,MATCH(240,$AZ$11:$AZ$4010,0)),"")</f>
        <v/>
      </c>
      <c r="AF250" s="25" t="str">
        <f>IF(AE250="","",IFERROR(INDEX($AN$11:$AN$4010,MATCH(240,$AZ$11:$AZ$4010,0)),""))</f>
        <v/>
      </c>
      <c r="AG250" s="25" t="str">
        <f>IF(AE250="","",IFERROR(INDEX($AO$11:$AO$4010,MATCH(240,$AZ$11:$AZ$4010,0)),""))</f>
        <v/>
      </c>
      <c r="AH250" s="24" t="str">
        <f>IF(AE250="","",IFERROR(INDEX($AQ$11:$AQ$4010,MATCH(240,$AZ$11:$AZ$4010,0)),""))</f>
        <v/>
      </c>
      <c r="AI250" s="29" t="str">
        <f>IF(AE250="","",IFERROR(INDEX($AR$11:$AR$4010,MATCH(240,$AZ$11:$AZ$4010,0)),""))</f>
        <v/>
      </c>
      <c r="AJ250" s="29" t="str">
        <f>IF(AE250="","",IFERROR(INDEX($AT$11:$AT$4010,MATCH(240,$AZ$11:$AZ$4010,0)),""))</f>
        <v/>
      </c>
      <c r="AL250" s="31" t="str">
        <f t="shared" si="50"/>
        <v/>
      </c>
      <c r="AM250" s="26" t="str">
        <f t="shared" si="51"/>
        <v/>
      </c>
      <c r="AN250" s="32" t="str">
        <f t="shared" si="52"/>
        <v/>
      </c>
      <c r="AO250" s="32" t="str">
        <f t="shared" si="53"/>
        <v/>
      </c>
      <c r="AP250" s="24" t="str">
        <f t="shared" si="54"/>
        <v/>
      </c>
      <c r="AQ250" s="24" t="str">
        <f t="shared" si="55"/>
        <v/>
      </c>
      <c r="AR250" s="33" t="str">
        <f t="shared" si="56"/>
        <v/>
      </c>
      <c r="AS250" s="34"/>
      <c r="AT250" s="33"/>
      <c r="AV250" s="21">
        <f>IF(AND($AL250&lt;&gt;"",COUNTIF($AL$11:$AL250,$AL250)=1),1,0)</f>
        <v>0</v>
      </c>
      <c r="AW250" s="21">
        <f t="shared" si="58"/>
        <v>2</v>
      </c>
      <c r="AX250" s="21" t="str">
        <f t="shared" si="57"/>
        <v/>
      </c>
      <c r="AY250" s="21" t="str">
        <f>IF(AND($AM250&lt;&gt;"",$AS250&lt;&gt;"✓"),SUMPRODUCT(($AM$11:$AM250&lt;&gt;"")*($AS$11:$AS250&lt;&gt;"✓")),"")</f>
        <v/>
      </c>
      <c r="AZ250" s="21" t="str">
        <f>IF(AND($AM250&lt;&gt;"",$AS250="✓"),SUMPRODUCT(($AM$11:$AM250&lt;&gt;"")*($AS$11:$AS250="✓")),"")</f>
        <v/>
      </c>
      <c r="BA250" s="21" t="str">
        <f>IF($AL250="","",$AL250&amp;"|"&amp;COUNTIF($AL$11:$AL250,$AL250))</f>
        <v/>
      </c>
    </row>
    <row r="251" spans="2:53" ht="15" customHeight="1" x14ac:dyDescent="0.25">
      <c r="B251" s="5" t="str">
        <f t="shared" si="45"/>
        <v/>
      </c>
      <c r="C251" s="5"/>
      <c r="D251" s="5"/>
      <c r="E251" s="5"/>
      <c r="F251" s="6"/>
      <c r="G251" s="6"/>
      <c r="H251" s="7"/>
      <c r="I251" s="8"/>
      <c r="K251" s="9" t="str">
        <f>IFERROR(INDEX($AL$11:$AL$4010,MATCH(241,$AX$11:$AX$4010,0)),"")</f>
        <v/>
      </c>
      <c r="L251" s="10" t="str">
        <f t="shared" si="46"/>
        <v/>
      </c>
      <c r="M251" s="11" t="str">
        <f t="shared" si="47"/>
        <v/>
      </c>
      <c r="N251" s="11" t="str">
        <f t="shared" si="48"/>
        <v/>
      </c>
      <c r="W251" s="14" t="str">
        <f>IF(X251="","",IFERROR(INDEX($AL$11:$AL$4010,MATCH(241,$AY$11:$AY$4010,0)),""))</f>
        <v/>
      </c>
      <c r="X251" s="12" t="str">
        <f>IFERROR(INDEX($AM$11:$AM$4010,MATCH(241,$AY$11:$AY$4010,0)),"")</f>
        <v/>
      </c>
      <c r="Y251" s="11" t="str">
        <f>IF(X251="","",IFERROR(INDEX($AN$11:$AN$4010,MATCH(241,$AY$11:$AY$4010,0)),""))</f>
        <v/>
      </c>
      <c r="Z251" s="11" t="str">
        <f>IF(X251="","",IFERROR(INDEX($AO$11:$AO$4010,MATCH(241,$AY$11:$AY$4010,0)),""))</f>
        <v/>
      </c>
      <c r="AA251" s="10" t="str">
        <f>IF(X251="","",IFERROR(INDEX($AQ$11:$AQ$4010,MATCH(241,$AY$11:$AY$4010,0)),""))</f>
        <v/>
      </c>
      <c r="AB251" s="15" t="str">
        <f>IF(X251="","",IFERROR(INDEX($AR$11:$AR$4010,MATCH(241,$AY$11:$AY$4010,0)),""))</f>
        <v/>
      </c>
      <c r="AD251" s="16" t="str">
        <f>IF(AE251="","",IFERROR(INDEX($AL$11:$AL$4010,MATCH(241,$AZ$11:$AZ$4010,0)),""))</f>
        <v/>
      </c>
      <c r="AE251" s="12" t="str">
        <f>IFERROR(INDEX($AM$11:$AM$4010,MATCH(241,$AZ$11:$AZ$4010,0)),"")</f>
        <v/>
      </c>
      <c r="AF251" s="11" t="str">
        <f>IF(AE251="","",IFERROR(INDEX($AN$11:$AN$4010,MATCH(241,$AZ$11:$AZ$4010,0)),""))</f>
        <v/>
      </c>
      <c r="AG251" s="11" t="str">
        <f>IF(AE251="","",IFERROR(INDEX($AO$11:$AO$4010,MATCH(241,$AZ$11:$AZ$4010,0)),""))</f>
        <v/>
      </c>
      <c r="AH251" s="10" t="str">
        <f>IF(AE251="","",IFERROR(INDEX($AQ$11:$AQ$4010,MATCH(241,$AZ$11:$AZ$4010,0)),""))</f>
        <v/>
      </c>
      <c r="AI251" s="15" t="str">
        <f>IF(AE251="","",IFERROR(INDEX($AR$11:$AR$4010,MATCH(241,$AZ$11:$AZ$4010,0)),""))</f>
        <v/>
      </c>
      <c r="AJ251" s="15" t="str">
        <f>IF(AE251="","",IFERROR(INDEX($AT$11:$AT$4010,MATCH(241,$AZ$11:$AZ$4010,0)),""))</f>
        <v/>
      </c>
      <c r="AL251" s="17" t="str">
        <f t="shared" si="50"/>
        <v/>
      </c>
      <c r="AM251" s="12" t="str">
        <f t="shared" si="51"/>
        <v/>
      </c>
      <c r="AN251" s="18" t="str">
        <f t="shared" si="52"/>
        <v/>
      </c>
      <c r="AO251" s="18" t="str">
        <f t="shared" si="53"/>
        <v/>
      </c>
      <c r="AP251" s="10" t="str">
        <f t="shared" si="54"/>
        <v/>
      </c>
      <c r="AQ251" s="10" t="str">
        <f t="shared" si="55"/>
        <v/>
      </c>
      <c r="AR251" s="19" t="str">
        <f t="shared" si="56"/>
        <v/>
      </c>
      <c r="AS251" s="20"/>
      <c r="AT251" s="19"/>
      <c r="AV251" s="21">
        <f>IF(AND($AL251&lt;&gt;"",COUNTIF($AL$11:$AL251,$AL251)=1),1,0)</f>
        <v>0</v>
      </c>
      <c r="AW251" s="21">
        <f t="shared" si="58"/>
        <v>2</v>
      </c>
      <c r="AX251" s="21" t="str">
        <f t="shared" si="57"/>
        <v/>
      </c>
      <c r="AY251" s="21" t="str">
        <f>IF(AND($AM251&lt;&gt;"",$AS251&lt;&gt;"✓"),SUMPRODUCT(($AM$11:$AM251&lt;&gt;"")*($AS$11:$AS251&lt;&gt;"✓")),"")</f>
        <v/>
      </c>
      <c r="AZ251" s="21" t="str">
        <f>IF(AND($AM251&lt;&gt;"",$AS251="✓"),SUMPRODUCT(($AM$11:$AM251&lt;&gt;"")*($AS$11:$AS251="✓")),"")</f>
        <v/>
      </c>
      <c r="BA251" s="21" t="str">
        <f>IF($AL251="","",$AL251&amp;"|"&amp;COUNTIF($AL$11:$AL251,$AL251))</f>
        <v/>
      </c>
    </row>
    <row r="252" spans="2:53" ht="15" customHeight="1" x14ac:dyDescent="0.25">
      <c r="B252" s="5" t="str">
        <f t="shared" si="45"/>
        <v/>
      </c>
      <c r="C252" s="5"/>
      <c r="D252" s="5"/>
      <c r="E252" s="5"/>
      <c r="F252" s="6"/>
      <c r="G252" s="6"/>
      <c r="H252" s="7"/>
      <c r="I252" s="8"/>
      <c r="K252" s="23" t="str">
        <f>IFERROR(INDEX($AL$11:$AL$4010,MATCH(242,$AX$11:$AX$4010,0)),"")</f>
        <v/>
      </c>
      <c r="L252" s="24" t="str">
        <f t="shared" si="46"/>
        <v/>
      </c>
      <c r="M252" s="25" t="str">
        <f t="shared" si="47"/>
        <v/>
      </c>
      <c r="N252" s="25" t="str">
        <f t="shared" si="48"/>
        <v/>
      </c>
      <c r="W252" s="28" t="str">
        <f>IF(X252="","",IFERROR(INDEX($AL$11:$AL$4010,MATCH(242,$AY$11:$AY$4010,0)),""))</f>
        <v/>
      </c>
      <c r="X252" s="26" t="str">
        <f>IFERROR(INDEX($AM$11:$AM$4010,MATCH(242,$AY$11:$AY$4010,0)),"")</f>
        <v/>
      </c>
      <c r="Y252" s="25" t="str">
        <f>IF(X252="","",IFERROR(INDEX($AN$11:$AN$4010,MATCH(242,$AY$11:$AY$4010,0)),""))</f>
        <v/>
      </c>
      <c r="Z252" s="25" t="str">
        <f>IF(X252="","",IFERROR(INDEX($AO$11:$AO$4010,MATCH(242,$AY$11:$AY$4010,0)),""))</f>
        <v/>
      </c>
      <c r="AA252" s="24" t="str">
        <f>IF(X252="","",IFERROR(INDEX($AQ$11:$AQ$4010,MATCH(242,$AY$11:$AY$4010,0)),""))</f>
        <v/>
      </c>
      <c r="AB252" s="29" t="str">
        <f>IF(X252="","",IFERROR(INDEX($AR$11:$AR$4010,MATCH(242,$AY$11:$AY$4010,0)),""))</f>
        <v/>
      </c>
      <c r="AD252" s="30" t="str">
        <f>IF(AE252="","",IFERROR(INDEX($AL$11:$AL$4010,MATCH(242,$AZ$11:$AZ$4010,0)),""))</f>
        <v/>
      </c>
      <c r="AE252" s="26" t="str">
        <f>IFERROR(INDEX($AM$11:$AM$4010,MATCH(242,$AZ$11:$AZ$4010,0)),"")</f>
        <v/>
      </c>
      <c r="AF252" s="25" t="str">
        <f>IF(AE252="","",IFERROR(INDEX($AN$11:$AN$4010,MATCH(242,$AZ$11:$AZ$4010,0)),""))</f>
        <v/>
      </c>
      <c r="AG252" s="25" t="str">
        <f>IF(AE252="","",IFERROR(INDEX($AO$11:$AO$4010,MATCH(242,$AZ$11:$AZ$4010,0)),""))</f>
        <v/>
      </c>
      <c r="AH252" s="24" t="str">
        <f>IF(AE252="","",IFERROR(INDEX($AQ$11:$AQ$4010,MATCH(242,$AZ$11:$AZ$4010,0)),""))</f>
        <v/>
      </c>
      <c r="AI252" s="29" t="str">
        <f>IF(AE252="","",IFERROR(INDEX($AR$11:$AR$4010,MATCH(242,$AZ$11:$AZ$4010,0)),""))</f>
        <v/>
      </c>
      <c r="AJ252" s="29" t="str">
        <f>IF(AE252="","",IFERROR(INDEX($AT$11:$AT$4010,MATCH(242,$AZ$11:$AZ$4010,0)),""))</f>
        <v/>
      </c>
      <c r="AL252" s="31" t="str">
        <f t="shared" si="50"/>
        <v/>
      </c>
      <c r="AM252" s="26" t="str">
        <f t="shared" si="51"/>
        <v/>
      </c>
      <c r="AN252" s="32" t="str">
        <f t="shared" si="52"/>
        <v/>
      </c>
      <c r="AO252" s="32" t="str">
        <f t="shared" si="53"/>
        <v/>
      </c>
      <c r="AP252" s="24" t="str">
        <f t="shared" si="54"/>
        <v/>
      </c>
      <c r="AQ252" s="24" t="str">
        <f t="shared" si="55"/>
        <v/>
      </c>
      <c r="AR252" s="33" t="str">
        <f t="shared" si="56"/>
        <v/>
      </c>
      <c r="AS252" s="34"/>
      <c r="AT252" s="33"/>
      <c r="AV252" s="21">
        <f>IF(AND($AL252&lt;&gt;"",COUNTIF($AL$11:$AL252,$AL252)=1),1,0)</f>
        <v>0</v>
      </c>
      <c r="AW252" s="21">
        <f t="shared" si="58"/>
        <v>2</v>
      </c>
      <c r="AX252" s="21" t="str">
        <f t="shared" si="57"/>
        <v/>
      </c>
      <c r="AY252" s="21" t="str">
        <f>IF(AND($AM252&lt;&gt;"",$AS252&lt;&gt;"✓"),SUMPRODUCT(($AM$11:$AM252&lt;&gt;"")*($AS$11:$AS252&lt;&gt;"✓")),"")</f>
        <v/>
      </c>
      <c r="AZ252" s="21" t="str">
        <f>IF(AND($AM252&lt;&gt;"",$AS252="✓"),SUMPRODUCT(($AM$11:$AM252&lt;&gt;"")*($AS$11:$AS252="✓")),"")</f>
        <v/>
      </c>
      <c r="BA252" s="21" t="str">
        <f>IF($AL252="","",$AL252&amp;"|"&amp;COUNTIF($AL$11:$AL252,$AL252))</f>
        <v/>
      </c>
    </row>
    <row r="253" spans="2:53" ht="15" customHeight="1" x14ac:dyDescent="0.25">
      <c r="B253" s="5" t="str">
        <f t="shared" si="45"/>
        <v/>
      </c>
      <c r="C253" s="5"/>
      <c r="D253" s="5"/>
      <c r="E253" s="5"/>
      <c r="F253" s="6"/>
      <c r="G253" s="6"/>
      <c r="H253" s="7"/>
      <c r="I253" s="8"/>
      <c r="K253" s="9" t="str">
        <f>IFERROR(INDEX($AL$11:$AL$4010,MATCH(243,$AX$11:$AX$4010,0)),"")</f>
        <v/>
      </c>
      <c r="L253" s="10" t="str">
        <f t="shared" si="46"/>
        <v/>
      </c>
      <c r="M253" s="11" t="str">
        <f t="shared" si="47"/>
        <v/>
      </c>
      <c r="N253" s="11" t="str">
        <f t="shared" si="48"/>
        <v/>
      </c>
      <c r="W253" s="14" t="str">
        <f>IF(X253="","",IFERROR(INDEX($AL$11:$AL$4010,MATCH(243,$AY$11:$AY$4010,0)),""))</f>
        <v/>
      </c>
      <c r="X253" s="12" t="str">
        <f>IFERROR(INDEX($AM$11:$AM$4010,MATCH(243,$AY$11:$AY$4010,0)),"")</f>
        <v/>
      </c>
      <c r="Y253" s="11" t="str">
        <f>IF(X253="","",IFERROR(INDEX($AN$11:$AN$4010,MATCH(243,$AY$11:$AY$4010,0)),""))</f>
        <v/>
      </c>
      <c r="Z253" s="11" t="str">
        <f>IF(X253="","",IFERROR(INDEX($AO$11:$AO$4010,MATCH(243,$AY$11:$AY$4010,0)),""))</f>
        <v/>
      </c>
      <c r="AA253" s="10" t="str">
        <f>IF(X253="","",IFERROR(INDEX($AQ$11:$AQ$4010,MATCH(243,$AY$11:$AY$4010,0)),""))</f>
        <v/>
      </c>
      <c r="AB253" s="15" t="str">
        <f>IF(X253="","",IFERROR(INDEX($AR$11:$AR$4010,MATCH(243,$AY$11:$AY$4010,0)),""))</f>
        <v/>
      </c>
      <c r="AD253" s="16" t="str">
        <f>IF(AE253="","",IFERROR(INDEX($AL$11:$AL$4010,MATCH(243,$AZ$11:$AZ$4010,0)),""))</f>
        <v/>
      </c>
      <c r="AE253" s="12" t="str">
        <f>IFERROR(INDEX($AM$11:$AM$4010,MATCH(243,$AZ$11:$AZ$4010,0)),"")</f>
        <v/>
      </c>
      <c r="AF253" s="11" t="str">
        <f>IF(AE253="","",IFERROR(INDEX($AN$11:$AN$4010,MATCH(243,$AZ$11:$AZ$4010,0)),""))</f>
        <v/>
      </c>
      <c r="AG253" s="11" t="str">
        <f>IF(AE253="","",IFERROR(INDEX($AO$11:$AO$4010,MATCH(243,$AZ$11:$AZ$4010,0)),""))</f>
        <v/>
      </c>
      <c r="AH253" s="10" t="str">
        <f>IF(AE253="","",IFERROR(INDEX($AQ$11:$AQ$4010,MATCH(243,$AZ$11:$AZ$4010,0)),""))</f>
        <v/>
      </c>
      <c r="AI253" s="15" t="str">
        <f>IF(AE253="","",IFERROR(INDEX($AR$11:$AR$4010,MATCH(243,$AZ$11:$AZ$4010,0)),""))</f>
        <v/>
      </c>
      <c r="AJ253" s="15" t="str">
        <f>IF(AE253="","",IFERROR(INDEX($AT$11:$AT$4010,MATCH(243,$AZ$11:$AZ$4010,0)),""))</f>
        <v/>
      </c>
      <c r="AL253" s="17" t="str">
        <f t="shared" si="50"/>
        <v/>
      </c>
      <c r="AM253" s="12" t="str">
        <f t="shared" si="51"/>
        <v/>
      </c>
      <c r="AN253" s="18" t="str">
        <f t="shared" si="52"/>
        <v/>
      </c>
      <c r="AO253" s="18" t="str">
        <f t="shared" si="53"/>
        <v/>
      </c>
      <c r="AP253" s="10" t="str">
        <f t="shared" si="54"/>
        <v/>
      </c>
      <c r="AQ253" s="10" t="str">
        <f t="shared" si="55"/>
        <v/>
      </c>
      <c r="AR253" s="19" t="str">
        <f t="shared" si="56"/>
        <v/>
      </c>
      <c r="AS253" s="20"/>
      <c r="AT253" s="19"/>
      <c r="AV253" s="21">
        <f>IF(AND($AL253&lt;&gt;"",COUNTIF($AL$11:$AL253,$AL253)=1),1,0)</f>
        <v>0</v>
      </c>
      <c r="AW253" s="21">
        <f t="shared" si="58"/>
        <v>2</v>
      </c>
      <c r="AX253" s="21" t="str">
        <f t="shared" si="57"/>
        <v/>
      </c>
      <c r="AY253" s="21" t="str">
        <f>IF(AND($AM253&lt;&gt;"",$AS253&lt;&gt;"✓"),SUMPRODUCT(($AM$11:$AM253&lt;&gt;"")*($AS$11:$AS253&lt;&gt;"✓")),"")</f>
        <v/>
      </c>
      <c r="AZ253" s="21" t="str">
        <f>IF(AND($AM253&lt;&gt;"",$AS253="✓"),SUMPRODUCT(($AM$11:$AM253&lt;&gt;"")*($AS$11:$AS253="✓")),"")</f>
        <v/>
      </c>
      <c r="BA253" s="21" t="str">
        <f>IF($AL253="","",$AL253&amp;"|"&amp;COUNTIF($AL$11:$AL253,$AL253))</f>
        <v/>
      </c>
    </row>
    <row r="254" spans="2:53" ht="15" customHeight="1" x14ac:dyDescent="0.25">
      <c r="B254" s="5" t="str">
        <f t="shared" si="45"/>
        <v/>
      </c>
      <c r="C254" s="5"/>
      <c r="D254" s="5"/>
      <c r="E254" s="5"/>
      <c r="F254" s="6"/>
      <c r="G254" s="6"/>
      <c r="H254" s="7"/>
      <c r="I254" s="8"/>
      <c r="K254" s="23" t="str">
        <f>IFERROR(INDEX($AL$11:$AL$4010,MATCH(244,$AX$11:$AX$4010,0)),"")</f>
        <v/>
      </c>
      <c r="L254" s="24" t="str">
        <f t="shared" si="46"/>
        <v/>
      </c>
      <c r="M254" s="25" t="str">
        <f t="shared" si="47"/>
        <v/>
      </c>
      <c r="N254" s="25" t="str">
        <f t="shared" si="48"/>
        <v/>
      </c>
      <c r="W254" s="28" t="str">
        <f>IF(X254="","",IFERROR(INDEX($AL$11:$AL$4010,MATCH(244,$AY$11:$AY$4010,0)),""))</f>
        <v/>
      </c>
      <c r="X254" s="26" t="str">
        <f>IFERROR(INDEX($AM$11:$AM$4010,MATCH(244,$AY$11:$AY$4010,0)),"")</f>
        <v/>
      </c>
      <c r="Y254" s="25" t="str">
        <f>IF(X254="","",IFERROR(INDEX($AN$11:$AN$4010,MATCH(244,$AY$11:$AY$4010,0)),""))</f>
        <v/>
      </c>
      <c r="Z254" s="25" t="str">
        <f>IF(X254="","",IFERROR(INDEX($AO$11:$AO$4010,MATCH(244,$AY$11:$AY$4010,0)),""))</f>
        <v/>
      </c>
      <c r="AA254" s="24" t="str">
        <f>IF(X254="","",IFERROR(INDEX($AQ$11:$AQ$4010,MATCH(244,$AY$11:$AY$4010,0)),""))</f>
        <v/>
      </c>
      <c r="AB254" s="29" t="str">
        <f>IF(X254="","",IFERROR(INDEX($AR$11:$AR$4010,MATCH(244,$AY$11:$AY$4010,0)),""))</f>
        <v/>
      </c>
      <c r="AD254" s="30" t="str">
        <f>IF(AE254="","",IFERROR(INDEX($AL$11:$AL$4010,MATCH(244,$AZ$11:$AZ$4010,0)),""))</f>
        <v/>
      </c>
      <c r="AE254" s="26" t="str">
        <f>IFERROR(INDEX($AM$11:$AM$4010,MATCH(244,$AZ$11:$AZ$4010,0)),"")</f>
        <v/>
      </c>
      <c r="AF254" s="25" t="str">
        <f>IF(AE254="","",IFERROR(INDEX($AN$11:$AN$4010,MATCH(244,$AZ$11:$AZ$4010,0)),""))</f>
        <v/>
      </c>
      <c r="AG254" s="25" t="str">
        <f>IF(AE254="","",IFERROR(INDEX($AO$11:$AO$4010,MATCH(244,$AZ$11:$AZ$4010,0)),""))</f>
        <v/>
      </c>
      <c r="AH254" s="24" t="str">
        <f>IF(AE254="","",IFERROR(INDEX($AQ$11:$AQ$4010,MATCH(244,$AZ$11:$AZ$4010,0)),""))</f>
        <v/>
      </c>
      <c r="AI254" s="29" t="str">
        <f>IF(AE254="","",IFERROR(INDEX($AR$11:$AR$4010,MATCH(244,$AZ$11:$AZ$4010,0)),""))</f>
        <v/>
      </c>
      <c r="AJ254" s="29" t="str">
        <f>IF(AE254="","",IFERROR(INDEX($AT$11:$AT$4010,MATCH(244,$AZ$11:$AZ$4010,0)),""))</f>
        <v/>
      </c>
      <c r="AL254" s="31" t="str">
        <f t="shared" si="50"/>
        <v/>
      </c>
      <c r="AM254" s="26" t="str">
        <f t="shared" si="51"/>
        <v/>
      </c>
      <c r="AN254" s="32" t="str">
        <f t="shared" si="52"/>
        <v/>
      </c>
      <c r="AO254" s="32" t="str">
        <f t="shared" si="53"/>
        <v/>
      </c>
      <c r="AP254" s="24" t="str">
        <f t="shared" si="54"/>
        <v/>
      </c>
      <c r="AQ254" s="24" t="str">
        <f t="shared" si="55"/>
        <v/>
      </c>
      <c r="AR254" s="33" t="str">
        <f t="shared" si="56"/>
        <v/>
      </c>
      <c r="AS254" s="34"/>
      <c r="AT254" s="33"/>
      <c r="AV254" s="21">
        <f>IF(AND($AL254&lt;&gt;"",COUNTIF($AL$11:$AL254,$AL254)=1),1,0)</f>
        <v>0</v>
      </c>
      <c r="AW254" s="21">
        <f t="shared" si="58"/>
        <v>2</v>
      </c>
      <c r="AX254" s="21" t="str">
        <f t="shared" si="57"/>
        <v/>
      </c>
      <c r="AY254" s="21" t="str">
        <f>IF(AND($AM254&lt;&gt;"",$AS254&lt;&gt;"✓"),SUMPRODUCT(($AM$11:$AM254&lt;&gt;"")*($AS$11:$AS254&lt;&gt;"✓")),"")</f>
        <v/>
      </c>
      <c r="AZ254" s="21" t="str">
        <f>IF(AND($AM254&lt;&gt;"",$AS254="✓"),SUMPRODUCT(($AM$11:$AM254&lt;&gt;"")*($AS$11:$AS254="✓")),"")</f>
        <v/>
      </c>
      <c r="BA254" s="21" t="str">
        <f>IF($AL254="","",$AL254&amp;"|"&amp;COUNTIF($AL$11:$AL254,$AL254))</f>
        <v/>
      </c>
    </row>
    <row r="255" spans="2:53" ht="15" customHeight="1" x14ac:dyDescent="0.25">
      <c r="B255" s="5" t="str">
        <f t="shared" si="45"/>
        <v/>
      </c>
      <c r="C255" s="5"/>
      <c r="D255" s="5"/>
      <c r="E255" s="5"/>
      <c r="F255" s="6"/>
      <c r="G255" s="6"/>
      <c r="H255" s="7"/>
      <c r="I255" s="8"/>
      <c r="K255" s="9" t="str">
        <f>IFERROR(INDEX($AL$11:$AL$4010,MATCH(245,$AX$11:$AX$4010,0)),"")</f>
        <v/>
      </c>
      <c r="L255" s="10" t="str">
        <f t="shared" si="46"/>
        <v/>
      </c>
      <c r="M255" s="11" t="str">
        <f t="shared" si="47"/>
        <v/>
      </c>
      <c r="N255" s="11" t="str">
        <f t="shared" si="48"/>
        <v/>
      </c>
      <c r="W255" s="14" t="str">
        <f>IF(X255="","",IFERROR(INDEX($AL$11:$AL$4010,MATCH(245,$AY$11:$AY$4010,0)),""))</f>
        <v/>
      </c>
      <c r="X255" s="12" t="str">
        <f>IFERROR(INDEX($AM$11:$AM$4010,MATCH(245,$AY$11:$AY$4010,0)),"")</f>
        <v/>
      </c>
      <c r="Y255" s="11" t="str">
        <f>IF(X255="","",IFERROR(INDEX($AN$11:$AN$4010,MATCH(245,$AY$11:$AY$4010,0)),""))</f>
        <v/>
      </c>
      <c r="Z255" s="11" t="str">
        <f>IF(X255="","",IFERROR(INDEX($AO$11:$AO$4010,MATCH(245,$AY$11:$AY$4010,0)),""))</f>
        <v/>
      </c>
      <c r="AA255" s="10" t="str">
        <f>IF(X255="","",IFERROR(INDEX($AQ$11:$AQ$4010,MATCH(245,$AY$11:$AY$4010,0)),""))</f>
        <v/>
      </c>
      <c r="AB255" s="15" t="str">
        <f>IF(X255="","",IFERROR(INDEX($AR$11:$AR$4010,MATCH(245,$AY$11:$AY$4010,0)),""))</f>
        <v/>
      </c>
      <c r="AD255" s="16" t="str">
        <f>IF(AE255="","",IFERROR(INDEX($AL$11:$AL$4010,MATCH(245,$AZ$11:$AZ$4010,0)),""))</f>
        <v/>
      </c>
      <c r="AE255" s="12" t="str">
        <f>IFERROR(INDEX($AM$11:$AM$4010,MATCH(245,$AZ$11:$AZ$4010,0)),"")</f>
        <v/>
      </c>
      <c r="AF255" s="11" t="str">
        <f>IF(AE255="","",IFERROR(INDEX($AN$11:$AN$4010,MATCH(245,$AZ$11:$AZ$4010,0)),""))</f>
        <v/>
      </c>
      <c r="AG255" s="11" t="str">
        <f>IF(AE255="","",IFERROR(INDEX($AO$11:$AO$4010,MATCH(245,$AZ$11:$AZ$4010,0)),""))</f>
        <v/>
      </c>
      <c r="AH255" s="10" t="str">
        <f>IF(AE255="","",IFERROR(INDEX($AQ$11:$AQ$4010,MATCH(245,$AZ$11:$AZ$4010,0)),""))</f>
        <v/>
      </c>
      <c r="AI255" s="15" t="str">
        <f>IF(AE255="","",IFERROR(INDEX($AR$11:$AR$4010,MATCH(245,$AZ$11:$AZ$4010,0)),""))</f>
        <v/>
      </c>
      <c r="AJ255" s="15" t="str">
        <f>IF(AE255="","",IFERROR(INDEX($AT$11:$AT$4010,MATCH(245,$AZ$11:$AZ$4010,0)),""))</f>
        <v/>
      </c>
      <c r="AL255" s="17" t="str">
        <f t="shared" si="50"/>
        <v/>
      </c>
      <c r="AM255" s="12" t="str">
        <f t="shared" si="51"/>
        <v/>
      </c>
      <c r="AN255" s="18" t="str">
        <f t="shared" si="52"/>
        <v/>
      </c>
      <c r="AO255" s="18" t="str">
        <f t="shared" si="53"/>
        <v/>
      </c>
      <c r="AP255" s="10" t="str">
        <f t="shared" si="54"/>
        <v/>
      </c>
      <c r="AQ255" s="10" t="str">
        <f t="shared" si="55"/>
        <v/>
      </c>
      <c r="AR255" s="19" t="str">
        <f t="shared" si="56"/>
        <v/>
      </c>
      <c r="AS255" s="20"/>
      <c r="AT255" s="19"/>
      <c r="AV255" s="21">
        <f>IF(AND($AL255&lt;&gt;"",COUNTIF($AL$11:$AL255,$AL255)=1),1,0)</f>
        <v>0</v>
      </c>
      <c r="AW255" s="21">
        <f t="shared" si="58"/>
        <v>2</v>
      </c>
      <c r="AX255" s="21" t="str">
        <f t="shared" si="57"/>
        <v/>
      </c>
      <c r="AY255" s="21" t="str">
        <f>IF(AND($AM255&lt;&gt;"",$AS255&lt;&gt;"✓"),SUMPRODUCT(($AM$11:$AM255&lt;&gt;"")*($AS$11:$AS255&lt;&gt;"✓")),"")</f>
        <v/>
      </c>
      <c r="AZ255" s="21" t="str">
        <f>IF(AND($AM255&lt;&gt;"",$AS255="✓"),SUMPRODUCT(($AM$11:$AM255&lt;&gt;"")*($AS$11:$AS255="✓")),"")</f>
        <v/>
      </c>
      <c r="BA255" s="21" t="str">
        <f>IF($AL255="","",$AL255&amp;"|"&amp;COUNTIF($AL$11:$AL255,$AL255))</f>
        <v/>
      </c>
    </row>
    <row r="256" spans="2:53" ht="15" customHeight="1" x14ac:dyDescent="0.25">
      <c r="B256" s="5" t="str">
        <f t="shared" si="45"/>
        <v/>
      </c>
      <c r="C256" s="5"/>
      <c r="D256" s="5"/>
      <c r="E256" s="5"/>
      <c r="F256" s="6"/>
      <c r="G256" s="6"/>
      <c r="H256" s="7"/>
      <c r="I256" s="8"/>
      <c r="K256" s="23" t="str">
        <f>IFERROR(INDEX($AL$11:$AL$4010,MATCH(246,$AX$11:$AX$4010,0)),"")</f>
        <v/>
      </c>
      <c r="L256" s="24" t="str">
        <f t="shared" si="46"/>
        <v/>
      </c>
      <c r="M256" s="25" t="str">
        <f t="shared" si="47"/>
        <v/>
      </c>
      <c r="N256" s="25" t="str">
        <f t="shared" si="48"/>
        <v/>
      </c>
      <c r="W256" s="28" t="str">
        <f>IF(X256="","",IFERROR(INDEX($AL$11:$AL$4010,MATCH(246,$AY$11:$AY$4010,0)),""))</f>
        <v/>
      </c>
      <c r="X256" s="26" t="str">
        <f>IFERROR(INDEX($AM$11:$AM$4010,MATCH(246,$AY$11:$AY$4010,0)),"")</f>
        <v/>
      </c>
      <c r="Y256" s="25" t="str">
        <f>IF(X256="","",IFERROR(INDEX($AN$11:$AN$4010,MATCH(246,$AY$11:$AY$4010,0)),""))</f>
        <v/>
      </c>
      <c r="Z256" s="25" t="str">
        <f>IF(X256="","",IFERROR(INDEX($AO$11:$AO$4010,MATCH(246,$AY$11:$AY$4010,0)),""))</f>
        <v/>
      </c>
      <c r="AA256" s="24" t="str">
        <f>IF(X256="","",IFERROR(INDEX($AQ$11:$AQ$4010,MATCH(246,$AY$11:$AY$4010,0)),""))</f>
        <v/>
      </c>
      <c r="AB256" s="29" t="str">
        <f>IF(X256="","",IFERROR(INDEX($AR$11:$AR$4010,MATCH(246,$AY$11:$AY$4010,0)),""))</f>
        <v/>
      </c>
      <c r="AD256" s="30" t="str">
        <f>IF(AE256="","",IFERROR(INDEX($AL$11:$AL$4010,MATCH(246,$AZ$11:$AZ$4010,0)),""))</f>
        <v/>
      </c>
      <c r="AE256" s="26" t="str">
        <f>IFERROR(INDEX($AM$11:$AM$4010,MATCH(246,$AZ$11:$AZ$4010,0)),"")</f>
        <v/>
      </c>
      <c r="AF256" s="25" t="str">
        <f>IF(AE256="","",IFERROR(INDEX($AN$11:$AN$4010,MATCH(246,$AZ$11:$AZ$4010,0)),""))</f>
        <v/>
      </c>
      <c r="AG256" s="25" t="str">
        <f>IF(AE256="","",IFERROR(INDEX($AO$11:$AO$4010,MATCH(246,$AZ$11:$AZ$4010,0)),""))</f>
        <v/>
      </c>
      <c r="AH256" s="24" t="str">
        <f>IF(AE256="","",IFERROR(INDEX($AQ$11:$AQ$4010,MATCH(246,$AZ$11:$AZ$4010,0)),""))</f>
        <v/>
      </c>
      <c r="AI256" s="29" t="str">
        <f>IF(AE256="","",IFERROR(INDEX($AR$11:$AR$4010,MATCH(246,$AZ$11:$AZ$4010,0)),""))</f>
        <v/>
      </c>
      <c r="AJ256" s="29" t="str">
        <f>IF(AE256="","",IFERROR(INDEX($AT$11:$AT$4010,MATCH(246,$AZ$11:$AZ$4010,0)),""))</f>
        <v/>
      </c>
      <c r="AL256" s="31" t="str">
        <f t="shared" si="50"/>
        <v/>
      </c>
      <c r="AM256" s="26" t="str">
        <f t="shared" si="51"/>
        <v/>
      </c>
      <c r="AN256" s="32" t="str">
        <f t="shared" si="52"/>
        <v/>
      </c>
      <c r="AO256" s="32" t="str">
        <f t="shared" si="53"/>
        <v/>
      </c>
      <c r="AP256" s="24" t="str">
        <f t="shared" si="54"/>
        <v/>
      </c>
      <c r="AQ256" s="24" t="str">
        <f t="shared" si="55"/>
        <v/>
      </c>
      <c r="AR256" s="33" t="str">
        <f t="shared" si="56"/>
        <v/>
      </c>
      <c r="AS256" s="34"/>
      <c r="AT256" s="33"/>
      <c r="AV256" s="21">
        <f>IF(AND($AL256&lt;&gt;"",COUNTIF($AL$11:$AL256,$AL256)=1),1,0)</f>
        <v>0</v>
      </c>
      <c r="AW256" s="21">
        <f t="shared" si="58"/>
        <v>2</v>
      </c>
      <c r="AX256" s="21" t="str">
        <f t="shared" si="57"/>
        <v/>
      </c>
      <c r="AY256" s="21" t="str">
        <f>IF(AND($AM256&lt;&gt;"",$AS256&lt;&gt;"✓"),SUMPRODUCT(($AM$11:$AM256&lt;&gt;"")*($AS$11:$AS256&lt;&gt;"✓")),"")</f>
        <v/>
      </c>
      <c r="AZ256" s="21" t="str">
        <f>IF(AND($AM256&lt;&gt;"",$AS256="✓"),SUMPRODUCT(($AM$11:$AM256&lt;&gt;"")*($AS$11:$AS256="✓")),"")</f>
        <v/>
      </c>
      <c r="BA256" s="21" t="str">
        <f>IF($AL256="","",$AL256&amp;"|"&amp;COUNTIF($AL$11:$AL256,$AL256))</f>
        <v/>
      </c>
    </row>
    <row r="257" spans="2:53" ht="15" customHeight="1" x14ac:dyDescent="0.25">
      <c r="B257" s="5" t="str">
        <f t="shared" si="45"/>
        <v/>
      </c>
      <c r="C257" s="5"/>
      <c r="D257" s="5"/>
      <c r="E257" s="5"/>
      <c r="F257" s="6"/>
      <c r="G257" s="6"/>
      <c r="H257" s="7"/>
      <c r="I257" s="8"/>
      <c r="K257" s="9" t="str">
        <f>IFERROR(INDEX($AL$11:$AL$4010,MATCH(247,$AX$11:$AX$4010,0)),"")</f>
        <v/>
      </c>
      <c r="L257" s="10" t="str">
        <f t="shared" si="46"/>
        <v/>
      </c>
      <c r="M257" s="11" t="str">
        <f t="shared" si="47"/>
        <v/>
      </c>
      <c r="N257" s="11" t="str">
        <f t="shared" si="48"/>
        <v/>
      </c>
      <c r="W257" s="14" t="str">
        <f>IF(X257="","",IFERROR(INDEX($AL$11:$AL$4010,MATCH(247,$AY$11:$AY$4010,0)),""))</f>
        <v/>
      </c>
      <c r="X257" s="12" t="str">
        <f>IFERROR(INDEX($AM$11:$AM$4010,MATCH(247,$AY$11:$AY$4010,0)),"")</f>
        <v/>
      </c>
      <c r="Y257" s="11" t="str">
        <f>IF(X257="","",IFERROR(INDEX($AN$11:$AN$4010,MATCH(247,$AY$11:$AY$4010,0)),""))</f>
        <v/>
      </c>
      <c r="Z257" s="11" t="str">
        <f>IF(X257="","",IFERROR(INDEX($AO$11:$AO$4010,MATCH(247,$AY$11:$AY$4010,0)),""))</f>
        <v/>
      </c>
      <c r="AA257" s="10" t="str">
        <f>IF(X257="","",IFERROR(INDEX($AQ$11:$AQ$4010,MATCH(247,$AY$11:$AY$4010,0)),""))</f>
        <v/>
      </c>
      <c r="AB257" s="15" t="str">
        <f>IF(X257="","",IFERROR(INDEX($AR$11:$AR$4010,MATCH(247,$AY$11:$AY$4010,0)),""))</f>
        <v/>
      </c>
      <c r="AD257" s="16" t="str">
        <f>IF(AE257="","",IFERROR(INDEX($AL$11:$AL$4010,MATCH(247,$AZ$11:$AZ$4010,0)),""))</f>
        <v/>
      </c>
      <c r="AE257" s="12" t="str">
        <f>IFERROR(INDEX($AM$11:$AM$4010,MATCH(247,$AZ$11:$AZ$4010,0)),"")</f>
        <v/>
      </c>
      <c r="AF257" s="11" t="str">
        <f>IF(AE257="","",IFERROR(INDEX($AN$11:$AN$4010,MATCH(247,$AZ$11:$AZ$4010,0)),""))</f>
        <v/>
      </c>
      <c r="AG257" s="11" t="str">
        <f>IF(AE257="","",IFERROR(INDEX($AO$11:$AO$4010,MATCH(247,$AZ$11:$AZ$4010,0)),""))</f>
        <v/>
      </c>
      <c r="AH257" s="10" t="str">
        <f>IF(AE257="","",IFERROR(INDEX($AQ$11:$AQ$4010,MATCH(247,$AZ$11:$AZ$4010,0)),""))</f>
        <v/>
      </c>
      <c r="AI257" s="15" t="str">
        <f>IF(AE257="","",IFERROR(INDEX($AR$11:$AR$4010,MATCH(247,$AZ$11:$AZ$4010,0)),""))</f>
        <v/>
      </c>
      <c r="AJ257" s="15" t="str">
        <f>IF(AE257="","",IFERROR(INDEX($AT$11:$AT$4010,MATCH(247,$AZ$11:$AZ$4010,0)),""))</f>
        <v/>
      </c>
      <c r="AL257" s="17" t="str">
        <f t="shared" si="50"/>
        <v/>
      </c>
      <c r="AM257" s="12" t="str">
        <f t="shared" si="51"/>
        <v/>
      </c>
      <c r="AN257" s="18" t="str">
        <f t="shared" si="52"/>
        <v/>
      </c>
      <c r="AO257" s="18" t="str">
        <f t="shared" si="53"/>
        <v/>
      </c>
      <c r="AP257" s="10" t="str">
        <f t="shared" si="54"/>
        <v/>
      </c>
      <c r="AQ257" s="10" t="str">
        <f t="shared" si="55"/>
        <v/>
      </c>
      <c r="AR257" s="19" t="str">
        <f t="shared" si="56"/>
        <v/>
      </c>
      <c r="AS257" s="20"/>
      <c r="AT257" s="19"/>
      <c r="AV257" s="21">
        <f>IF(AND($AL257&lt;&gt;"",COUNTIF($AL$11:$AL257,$AL257)=1),1,0)</f>
        <v>0</v>
      </c>
      <c r="AW257" s="21">
        <f t="shared" si="58"/>
        <v>2</v>
      </c>
      <c r="AX257" s="21" t="str">
        <f t="shared" si="57"/>
        <v/>
      </c>
      <c r="AY257" s="21" t="str">
        <f>IF(AND($AM257&lt;&gt;"",$AS257&lt;&gt;"✓"),SUMPRODUCT(($AM$11:$AM257&lt;&gt;"")*($AS$11:$AS257&lt;&gt;"✓")),"")</f>
        <v/>
      </c>
      <c r="AZ257" s="21" t="str">
        <f>IF(AND($AM257&lt;&gt;"",$AS257="✓"),SUMPRODUCT(($AM$11:$AM257&lt;&gt;"")*($AS$11:$AS257="✓")),"")</f>
        <v/>
      </c>
      <c r="BA257" s="21" t="str">
        <f>IF($AL257="","",$AL257&amp;"|"&amp;COUNTIF($AL$11:$AL257,$AL257))</f>
        <v/>
      </c>
    </row>
    <row r="258" spans="2:53" ht="15" customHeight="1" x14ac:dyDescent="0.25">
      <c r="B258" s="5" t="str">
        <f t="shared" si="45"/>
        <v/>
      </c>
      <c r="C258" s="5"/>
      <c r="D258" s="5"/>
      <c r="E258" s="5"/>
      <c r="F258" s="6"/>
      <c r="G258" s="6"/>
      <c r="H258" s="7"/>
      <c r="I258" s="8"/>
      <c r="K258" s="23" t="str">
        <f>IFERROR(INDEX($AL$11:$AL$4010,MATCH(248,$AX$11:$AX$4010,0)),"")</f>
        <v/>
      </c>
      <c r="L258" s="24" t="str">
        <f t="shared" si="46"/>
        <v/>
      </c>
      <c r="M258" s="25" t="str">
        <f t="shared" si="47"/>
        <v/>
      </c>
      <c r="N258" s="25" t="str">
        <f t="shared" si="48"/>
        <v/>
      </c>
      <c r="W258" s="28" t="str">
        <f>IF(X258="","",IFERROR(INDEX($AL$11:$AL$4010,MATCH(248,$AY$11:$AY$4010,0)),""))</f>
        <v/>
      </c>
      <c r="X258" s="26" t="str">
        <f>IFERROR(INDEX($AM$11:$AM$4010,MATCH(248,$AY$11:$AY$4010,0)),"")</f>
        <v/>
      </c>
      <c r="Y258" s="25" t="str">
        <f>IF(X258="","",IFERROR(INDEX($AN$11:$AN$4010,MATCH(248,$AY$11:$AY$4010,0)),""))</f>
        <v/>
      </c>
      <c r="Z258" s="25" t="str">
        <f>IF(X258="","",IFERROR(INDEX($AO$11:$AO$4010,MATCH(248,$AY$11:$AY$4010,0)),""))</f>
        <v/>
      </c>
      <c r="AA258" s="24" t="str">
        <f>IF(X258="","",IFERROR(INDEX($AQ$11:$AQ$4010,MATCH(248,$AY$11:$AY$4010,0)),""))</f>
        <v/>
      </c>
      <c r="AB258" s="29" t="str">
        <f>IF(X258="","",IFERROR(INDEX($AR$11:$AR$4010,MATCH(248,$AY$11:$AY$4010,0)),""))</f>
        <v/>
      </c>
      <c r="AD258" s="30" t="str">
        <f>IF(AE258="","",IFERROR(INDEX($AL$11:$AL$4010,MATCH(248,$AZ$11:$AZ$4010,0)),""))</f>
        <v/>
      </c>
      <c r="AE258" s="26" t="str">
        <f>IFERROR(INDEX($AM$11:$AM$4010,MATCH(248,$AZ$11:$AZ$4010,0)),"")</f>
        <v/>
      </c>
      <c r="AF258" s="25" t="str">
        <f>IF(AE258="","",IFERROR(INDEX($AN$11:$AN$4010,MATCH(248,$AZ$11:$AZ$4010,0)),""))</f>
        <v/>
      </c>
      <c r="AG258" s="25" t="str">
        <f>IF(AE258="","",IFERROR(INDEX($AO$11:$AO$4010,MATCH(248,$AZ$11:$AZ$4010,0)),""))</f>
        <v/>
      </c>
      <c r="AH258" s="24" t="str">
        <f>IF(AE258="","",IFERROR(INDEX($AQ$11:$AQ$4010,MATCH(248,$AZ$11:$AZ$4010,0)),""))</f>
        <v/>
      </c>
      <c r="AI258" s="29" t="str">
        <f>IF(AE258="","",IFERROR(INDEX($AR$11:$AR$4010,MATCH(248,$AZ$11:$AZ$4010,0)),""))</f>
        <v/>
      </c>
      <c r="AJ258" s="29" t="str">
        <f>IF(AE258="","",IFERROR(INDEX($AT$11:$AT$4010,MATCH(248,$AZ$11:$AZ$4010,0)),""))</f>
        <v/>
      </c>
      <c r="AL258" s="31" t="str">
        <f t="shared" si="50"/>
        <v/>
      </c>
      <c r="AM258" s="26" t="str">
        <f t="shared" si="51"/>
        <v/>
      </c>
      <c r="AN258" s="32" t="str">
        <f t="shared" si="52"/>
        <v/>
      </c>
      <c r="AO258" s="32" t="str">
        <f t="shared" si="53"/>
        <v/>
      </c>
      <c r="AP258" s="24" t="str">
        <f t="shared" si="54"/>
        <v/>
      </c>
      <c r="AQ258" s="24" t="str">
        <f t="shared" si="55"/>
        <v/>
      </c>
      <c r="AR258" s="33" t="str">
        <f t="shared" si="56"/>
        <v/>
      </c>
      <c r="AS258" s="34"/>
      <c r="AT258" s="33"/>
      <c r="AV258" s="21">
        <f>IF(AND($AL258&lt;&gt;"",COUNTIF($AL$11:$AL258,$AL258)=1),1,0)</f>
        <v>0</v>
      </c>
      <c r="AW258" s="21">
        <f t="shared" si="58"/>
        <v>2</v>
      </c>
      <c r="AX258" s="21" t="str">
        <f t="shared" si="57"/>
        <v/>
      </c>
      <c r="AY258" s="21" t="str">
        <f>IF(AND($AM258&lt;&gt;"",$AS258&lt;&gt;"✓"),SUMPRODUCT(($AM$11:$AM258&lt;&gt;"")*($AS$11:$AS258&lt;&gt;"✓")),"")</f>
        <v/>
      </c>
      <c r="AZ258" s="21" t="str">
        <f>IF(AND($AM258&lt;&gt;"",$AS258="✓"),SUMPRODUCT(($AM$11:$AM258&lt;&gt;"")*($AS$11:$AS258="✓")),"")</f>
        <v/>
      </c>
      <c r="BA258" s="21" t="str">
        <f>IF($AL258="","",$AL258&amp;"|"&amp;COUNTIF($AL$11:$AL258,$AL258))</f>
        <v/>
      </c>
    </row>
    <row r="259" spans="2:53" ht="15" customHeight="1" x14ac:dyDescent="0.25">
      <c r="B259" s="5" t="str">
        <f t="shared" si="45"/>
        <v/>
      </c>
      <c r="C259" s="5"/>
      <c r="D259" s="5"/>
      <c r="E259" s="5"/>
      <c r="F259" s="6"/>
      <c r="G259" s="6"/>
      <c r="H259" s="7"/>
      <c r="I259" s="8"/>
      <c r="K259" s="9" t="str">
        <f>IFERROR(INDEX($AL$11:$AL$4010,MATCH(249,$AX$11:$AX$4010,0)),"")</f>
        <v/>
      </c>
      <c r="L259" s="10" t="str">
        <f t="shared" si="46"/>
        <v/>
      </c>
      <c r="M259" s="11" t="str">
        <f t="shared" si="47"/>
        <v/>
      </c>
      <c r="N259" s="11" t="str">
        <f t="shared" si="48"/>
        <v/>
      </c>
      <c r="W259" s="14" t="str">
        <f>IF(X259="","",IFERROR(INDEX($AL$11:$AL$4010,MATCH(249,$AY$11:$AY$4010,0)),""))</f>
        <v/>
      </c>
      <c r="X259" s="12" t="str">
        <f>IFERROR(INDEX($AM$11:$AM$4010,MATCH(249,$AY$11:$AY$4010,0)),"")</f>
        <v/>
      </c>
      <c r="Y259" s="11" t="str">
        <f>IF(X259="","",IFERROR(INDEX($AN$11:$AN$4010,MATCH(249,$AY$11:$AY$4010,0)),""))</f>
        <v/>
      </c>
      <c r="Z259" s="11" t="str">
        <f>IF(X259="","",IFERROR(INDEX($AO$11:$AO$4010,MATCH(249,$AY$11:$AY$4010,0)),""))</f>
        <v/>
      </c>
      <c r="AA259" s="10" t="str">
        <f>IF(X259="","",IFERROR(INDEX($AQ$11:$AQ$4010,MATCH(249,$AY$11:$AY$4010,0)),""))</f>
        <v/>
      </c>
      <c r="AB259" s="15" t="str">
        <f>IF(X259="","",IFERROR(INDEX($AR$11:$AR$4010,MATCH(249,$AY$11:$AY$4010,0)),""))</f>
        <v/>
      </c>
      <c r="AD259" s="16" t="str">
        <f>IF(AE259="","",IFERROR(INDEX($AL$11:$AL$4010,MATCH(249,$AZ$11:$AZ$4010,0)),""))</f>
        <v/>
      </c>
      <c r="AE259" s="12" t="str">
        <f>IFERROR(INDEX($AM$11:$AM$4010,MATCH(249,$AZ$11:$AZ$4010,0)),"")</f>
        <v/>
      </c>
      <c r="AF259" s="11" t="str">
        <f>IF(AE259="","",IFERROR(INDEX($AN$11:$AN$4010,MATCH(249,$AZ$11:$AZ$4010,0)),""))</f>
        <v/>
      </c>
      <c r="AG259" s="11" t="str">
        <f>IF(AE259="","",IFERROR(INDEX($AO$11:$AO$4010,MATCH(249,$AZ$11:$AZ$4010,0)),""))</f>
        <v/>
      </c>
      <c r="AH259" s="10" t="str">
        <f>IF(AE259="","",IFERROR(INDEX($AQ$11:$AQ$4010,MATCH(249,$AZ$11:$AZ$4010,0)),""))</f>
        <v/>
      </c>
      <c r="AI259" s="15" t="str">
        <f>IF(AE259="","",IFERROR(INDEX($AR$11:$AR$4010,MATCH(249,$AZ$11:$AZ$4010,0)),""))</f>
        <v/>
      </c>
      <c r="AJ259" s="15" t="str">
        <f>IF(AE259="","",IFERROR(INDEX($AT$11:$AT$4010,MATCH(249,$AZ$11:$AZ$4010,0)),""))</f>
        <v/>
      </c>
      <c r="AL259" s="17" t="str">
        <f t="shared" si="50"/>
        <v/>
      </c>
      <c r="AM259" s="12" t="str">
        <f t="shared" si="51"/>
        <v/>
      </c>
      <c r="AN259" s="18" t="str">
        <f t="shared" si="52"/>
        <v/>
      </c>
      <c r="AO259" s="18" t="str">
        <f t="shared" si="53"/>
        <v/>
      </c>
      <c r="AP259" s="10" t="str">
        <f t="shared" si="54"/>
        <v/>
      </c>
      <c r="AQ259" s="10" t="str">
        <f t="shared" si="55"/>
        <v/>
      </c>
      <c r="AR259" s="19" t="str">
        <f t="shared" si="56"/>
        <v/>
      </c>
      <c r="AS259" s="20"/>
      <c r="AT259" s="19"/>
      <c r="AV259" s="21">
        <f>IF(AND($AL259&lt;&gt;"",COUNTIF($AL$11:$AL259,$AL259)=1),1,0)</f>
        <v>0</v>
      </c>
      <c r="AW259" s="21">
        <f t="shared" si="58"/>
        <v>2</v>
      </c>
      <c r="AX259" s="21" t="str">
        <f t="shared" si="57"/>
        <v/>
      </c>
      <c r="AY259" s="21" t="str">
        <f>IF(AND($AM259&lt;&gt;"",$AS259&lt;&gt;"✓"),SUMPRODUCT(($AM$11:$AM259&lt;&gt;"")*($AS$11:$AS259&lt;&gt;"✓")),"")</f>
        <v/>
      </c>
      <c r="AZ259" s="21" t="str">
        <f>IF(AND($AM259&lt;&gt;"",$AS259="✓"),SUMPRODUCT(($AM$11:$AM259&lt;&gt;"")*($AS$11:$AS259="✓")),"")</f>
        <v/>
      </c>
      <c r="BA259" s="21" t="str">
        <f>IF($AL259="","",$AL259&amp;"|"&amp;COUNTIF($AL$11:$AL259,$AL259))</f>
        <v/>
      </c>
    </row>
    <row r="260" spans="2:53" ht="15" customHeight="1" x14ac:dyDescent="0.25">
      <c r="B260" s="5" t="str">
        <f t="shared" si="45"/>
        <v/>
      </c>
      <c r="C260" s="5"/>
      <c r="D260" s="5"/>
      <c r="E260" s="5"/>
      <c r="F260" s="6"/>
      <c r="G260" s="6"/>
      <c r="H260" s="7"/>
      <c r="I260" s="8"/>
      <c r="K260" s="23" t="str">
        <f>IFERROR(INDEX($AL$11:$AL$4010,MATCH(250,$AX$11:$AX$4010,0)),"")</f>
        <v/>
      </c>
      <c r="L260" s="24" t="str">
        <f t="shared" si="46"/>
        <v/>
      </c>
      <c r="M260" s="25" t="str">
        <f t="shared" si="47"/>
        <v/>
      </c>
      <c r="N260" s="25" t="str">
        <f t="shared" si="48"/>
        <v/>
      </c>
      <c r="W260" s="28" t="str">
        <f>IF(X260="","",IFERROR(INDEX($AL$11:$AL$4010,MATCH(250,$AY$11:$AY$4010,0)),""))</f>
        <v/>
      </c>
      <c r="X260" s="26" t="str">
        <f>IFERROR(INDEX($AM$11:$AM$4010,MATCH(250,$AY$11:$AY$4010,0)),"")</f>
        <v/>
      </c>
      <c r="Y260" s="25" t="str">
        <f>IF(X260="","",IFERROR(INDEX($AN$11:$AN$4010,MATCH(250,$AY$11:$AY$4010,0)),""))</f>
        <v/>
      </c>
      <c r="Z260" s="25" t="str">
        <f>IF(X260="","",IFERROR(INDEX($AO$11:$AO$4010,MATCH(250,$AY$11:$AY$4010,0)),""))</f>
        <v/>
      </c>
      <c r="AA260" s="24" t="str">
        <f>IF(X260="","",IFERROR(INDEX($AQ$11:$AQ$4010,MATCH(250,$AY$11:$AY$4010,0)),""))</f>
        <v/>
      </c>
      <c r="AB260" s="29" t="str">
        <f>IF(X260="","",IFERROR(INDEX($AR$11:$AR$4010,MATCH(250,$AY$11:$AY$4010,0)),""))</f>
        <v/>
      </c>
      <c r="AD260" s="30" t="str">
        <f>IF(AE260="","",IFERROR(INDEX($AL$11:$AL$4010,MATCH(250,$AZ$11:$AZ$4010,0)),""))</f>
        <v/>
      </c>
      <c r="AE260" s="26" t="str">
        <f>IFERROR(INDEX($AM$11:$AM$4010,MATCH(250,$AZ$11:$AZ$4010,0)),"")</f>
        <v/>
      </c>
      <c r="AF260" s="25" t="str">
        <f>IF(AE260="","",IFERROR(INDEX($AN$11:$AN$4010,MATCH(250,$AZ$11:$AZ$4010,0)),""))</f>
        <v/>
      </c>
      <c r="AG260" s="25" t="str">
        <f>IF(AE260="","",IFERROR(INDEX($AO$11:$AO$4010,MATCH(250,$AZ$11:$AZ$4010,0)),""))</f>
        <v/>
      </c>
      <c r="AH260" s="24" t="str">
        <f>IF(AE260="","",IFERROR(INDEX($AQ$11:$AQ$4010,MATCH(250,$AZ$11:$AZ$4010,0)),""))</f>
        <v/>
      </c>
      <c r="AI260" s="29" t="str">
        <f>IF(AE260="","",IFERROR(INDEX($AR$11:$AR$4010,MATCH(250,$AZ$11:$AZ$4010,0)),""))</f>
        <v/>
      </c>
      <c r="AJ260" s="29" t="str">
        <f>IF(AE260="","",IFERROR(INDEX($AT$11:$AT$4010,MATCH(250,$AZ$11:$AZ$4010,0)),""))</f>
        <v/>
      </c>
      <c r="AL260" s="31" t="str">
        <f t="shared" si="50"/>
        <v/>
      </c>
      <c r="AM260" s="26" t="str">
        <f t="shared" si="51"/>
        <v/>
      </c>
      <c r="AN260" s="32" t="str">
        <f t="shared" si="52"/>
        <v/>
      </c>
      <c r="AO260" s="32" t="str">
        <f t="shared" si="53"/>
        <v/>
      </c>
      <c r="AP260" s="24" t="str">
        <f t="shared" si="54"/>
        <v/>
      </c>
      <c r="AQ260" s="24" t="str">
        <f t="shared" si="55"/>
        <v/>
      </c>
      <c r="AR260" s="33" t="str">
        <f t="shared" si="56"/>
        <v/>
      </c>
      <c r="AS260" s="34"/>
      <c r="AT260" s="33"/>
      <c r="AV260" s="21">
        <f>IF(AND($AL260&lt;&gt;"",COUNTIF($AL$11:$AL260,$AL260)=1),1,0)</f>
        <v>0</v>
      </c>
      <c r="AW260" s="21">
        <f t="shared" si="58"/>
        <v>2</v>
      </c>
      <c r="AX260" s="21" t="str">
        <f t="shared" si="57"/>
        <v/>
      </c>
      <c r="AY260" s="21" t="str">
        <f>IF(AND($AM260&lt;&gt;"",$AS260&lt;&gt;"✓"),SUMPRODUCT(($AM$11:$AM260&lt;&gt;"")*($AS$11:$AS260&lt;&gt;"✓")),"")</f>
        <v/>
      </c>
      <c r="AZ260" s="21" t="str">
        <f>IF(AND($AM260&lt;&gt;"",$AS260="✓"),SUMPRODUCT(($AM$11:$AM260&lt;&gt;"")*($AS$11:$AS260="✓")),"")</f>
        <v/>
      </c>
      <c r="BA260" s="21" t="str">
        <f>IF($AL260="","",$AL260&amp;"|"&amp;COUNTIF($AL$11:$AL260,$AL260))</f>
        <v/>
      </c>
    </row>
    <row r="261" spans="2:53" ht="15" customHeight="1" x14ac:dyDescent="0.25">
      <c r="B261" s="5" t="str">
        <f t="shared" si="45"/>
        <v/>
      </c>
      <c r="C261" s="5"/>
      <c r="D261" s="5"/>
      <c r="E261" s="5"/>
      <c r="F261" s="6"/>
      <c r="G261" s="6"/>
      <c r="H261" s="7"/>
      <c r="I261" s="8"/>
      <c r="K261" s="9" t="str">
        <f>IFERROR(INDEX($AL$11:$AL$4010,MATCH(251,$AX$11:$AX$4010,0)),"")</f>
        <v/>
      </c>
      <c r="L261" s="10" t="str">
        <f t="shared" si="46"/>
        <v/>
      </c>
      <c r="M261" s="11" t="str">
        <f t="shared" si="47"/>
        <v/>
      </c>
      <c r="N261" s="11" t="str">
        <f t="shared" si="48"/>
        <v/>
      </c>
      <c r="W261" s="14" t="str">
        <f>IF(X261="","",IFERROR(INDEX($AL$11:$AL$4010,MATCH(251,$AY$11:$AY$4010,0)),""))</f>
        <v/>
      </c>
      <c r="X261" s="12" t="str">
        <f>IFERROR(INDEX($AM$11:$AM$4010,MATCH(251,$AY$11:$AY$4010,0)),"")</f>
        <v/>
      </c>
      <c r="Y261" s="11" t="str">
        <f>IF(X261="","",IFERROR(INDEX($AN$11:$AN$4010,MATCH(251,$AY$11:$AY$4010,0)),""))</f>
        <v/>
      </c>
      <c r="Z261" s="11" t="str">
        <f>IF(X261="","",IFERROR(INDEX($AO$11:$AO$4010,MATCH(251,$AY$11:$AY$4010,0)),""))</f>
        <v/>
      </c>
      <c r="AA261" s="10" t="str">
        <f>IF(X261="","",IFERROR(INDEX($AQ$11:$AQ$4010,MATCH(251,$AY$11:$AY$4010,0)),""))</f>
        <v/>
      </c>
      <c r="AB261" s="15" t="str">
        <f>IF(X261="","",IFERROR(INDEX($AR$11:$AR$4010,MATCH(251,$AY$11:$AY$4010,0)),""))</f>
        <v/>
      </c>
      <c r="AD261" s="16" t="str">
        <f>IF(AE261="","",IFERROR(INDEX($AL$11:$AL$4010,MATCH(251,$AZ$11:$AZ$4010,0)),""))</f>
        <v/>
      </c>
      <c r="AE261" s="12" t="str">
        <f>IFERROR(INDEX($AM$11:$AM$4010,MATCH(251,$AZ$11:$AZ$4010,0)),"")</f>
        <v/>
      </c>
      <c r="AF261" s="11" t="str">
        <f>IF(AE261="","",IFERROR(INDEX($AN$11:$AN$4010,MATCH(251,$AZ$11:$AZ$4010,0)),""))</f>
        <v/>
      </c>
      <c r="AG261" s="11" t="str">
        <f>IF(AE261="","",IFERROR(INDEX($AO$11:$AO$4010,MATCH(251,$AZ$11:$AZ$4010,0)),""))</f>
        <v/>
      </c>
      <c r="AH261" s="10" t="str">
        <f>IF(AE261="","",IFERROR(INDEX($AQ$11:$AQ$4010,MATCH(251,$AZ$11:$AZ$4010,0)),""))</f>
        <v/>
      </c>
      <c r="AI261" s="15" t="str">
        <f>IF(AE261="","",IFERROR(INDEX($AR$11:$AR$4010,MATCH(251,$AZ$11:$AZ$4010,0)),""))</f>
        <v/>
      </c>
      <c r="AJ261" s="15" t="str">
        <f>IF(AE261="","",IFERROR(INDEX($AT$11:$AT$4010,MATCH(251,$AZ$11:$AZ$4010,0)),""))</f>
        <v/>
      </c>
      <c r="AL261" s="17" t="str">
        <f t="shared" si="50"/>
        <v/>
      </c>
      <c r="AM261" s="12" t="str">
        <f t="shared" si="51"/>
        <v/>
      </c>
      <c r="AN261" s="18" t="str">
        <f t="shared" si="52"/>
        <v/>
      </c>
      <c r="AO261" s="18" t="str">
        <f t="shared" si="53"/>
        <v/>
      </c>
      <c r="AP261" s="10" t="str">
        <f t="shared" si="54"/>
        <v/>
      </c>
      <c r="AQ261" s="10" t="str">
        <f t="shared" si="55"/>
        <v/>
      </c>
      <c r="AR261" s="19" t="str">
        <f t="shared" si="56"/>
        <v/>
      </c>
      <c r="AS261" s="20"/>
      <c r="AT261" s="19"/>
      <c r="AV261" s="21">
        <f>IF(AND($AL261&lt;&gt;"",COUNTIF($AL$11:$AL261,$AL261)=1),1,0)</f>
        <v>0</v>
      </c>
      <c r="AW261" s="21">
        <f t="shared" si="58"/>
        <v>2</v>
      </c>
      <c r="AX261" s="21" t="str">
        <f t="shared" si="57"/>
        <v/>
      </c>
      <c r="AY261" s="21" t="str">
        <f>IF(AND($AM261&lt;&gt;"",$AS261&lt;&gt;"✓"),SUMPRODUCT(($AM$11:$AM261&lt;&gt;"")*($AS$11:$AS261&lt;&gt;"✓")),"")</f>
        <v/>
      </c>
      <c r="AZ261" s="21" t="str">
        <f>IF(AND($AM261&lt;&gt;"",$AS261="✓"),SUMPRODUCT(($AM$11:$AM261&lt;&gt;"")*($AS$11:$AS261="✓")),"")</f>
        <v/>
      </c>
      <c r="BA261" s="21" t="str">
        <f>IF($AL261="","",$AL261&amp;"|"&amp;COUNTIF($AL$11:$AL261,$AL261))</f>
        <v/>
      </c>
    </row>
    <row r="262" spans="2:53" ht="15" customHeight="1" x14ac:dyDescent="0.25">
      <c r="B262" s="5" t="str">
        <f t="shared" si="45"/>
        <v/>
      </c>
      <c r="C262" s="5"/>
      <c r="D262" s="5"/>
      <c r="E262" s="5"/>
      <c r="F262" s="6"/>
      <c r="G262" s="6"/>
      <c r="H262" s="7"/>
      <c r="I262" s="8"/>
      <c r="K262" s="23" t="str">
        <f>IFERROR(INDEX($AL$11:$AL$4010,MATCH(252,$AX$11:$AX$4010,0)),"")</f>
        <v/>
      </c>
      <c r="L262" s="24" t="str">
        <f t="shared" si="46"/>
        <v/>
      </c>
      <c r="M262" s="25" t="str">
        <f t="shared" si="47"/>
        <v/>
      </c>
      <c r="N262" s="25" t="str">
        <f t="shared" si="48"/>
        <v/>
      </c>
      <c r="W262" s="28" t="str">
        <f>IF(X262="","",IFERROR(INDEX($AL$11:$AL$4010,MATCH(252,$AY$11:$AY$4010,0)),""))</f>
        <v/>
      </c>
      <c r="X262" s="26" t="str">
        <f>IFERROR(INDEX($AM$11:$AM$4010,MATCH(252,$AY$11:$AY$4010,0)),"")</f>
        <v/>
      </c>
      <c r="Y262" s="25" t="str">
        <f>IF(X262="","",IFERROR(INDEX($AN$11:$AN$4010,MATCH(252,$AY$11:$AY$4010,0)),""))</f>
        <v/>
      </c>
      <c r="Z262" s="25" t="str">
        <f>IF(X262="","",IFERROR(INDEX($AO$11:$AO$4010,MATCH(252,$AY$11:$AY$4010,0)),""))</f>
        <v/>
      </c>
      <c r="AA262" s="24" t="str">
        <f>IF(X262="","",IFERROR(INDEX($AQ$11:$AQ$4010,MATCH(252,$AY$11:$AY$4010,0)),""))</f>
        <v/>
      </c>
      <c r="AB262" s="29" t="str">
        <f>IF(X262="","",IFERROR(INDEX($AR$11:$AR$4010,MATCH(252,$AY$11:$AY$4010,0)),""))</f>
        <v/>
      </c>
      <c r="AD262" s="30" t="str">
        <f>IF(AE262="","",IFERROR(INDEX($AL$11:$AL$4010,MATCH(252,$AZ$11:$AZ$4010,0)),""))</f>
        <v/>
      </c>
      <c r="AE262" s="26" t="str">
        <f>IFERROR(INDEX($AM$11:$AM$4010,MATCH(252,$AZ$11:$AZ$4010,0)),"")</f>
        <v/>
      </c>
      <c r="AF262" s="25" t="str">
        <f>IF(AE262="","",IFERROR(INDEX($AN$11:$AN$4010,MATCH(252,$AZ$11:$AZ$4010,0)),""))</f>
        <v/>
      </c>
      <c r="AG262" s="25" t="str">
        <f>IF(AE262="","",IFERROR(INDEX($AO$11:$AO$4010,MATCH(252,$AZ$11:$AZ$4010,0)),""))</f>
        <v/>
      </c>
      <c r="AH262" s="24" t="str">
        <f>IF(AE262="","",IFERROR(INDEX($AQ$11:$AQ$4010,MATCH(252,$AZ$11:$AZ$4010,0)),""))</f>
        <v/>
      </c>
      <c r="AI262" s="29" t="str">
        <f>IF(AE262="","",IFERROR(INDEX($AR$11:$AR$4010,MATCH(252,$AZ$11:$AZ$4010,0)),""))</f>
        <v/>
      </c>
      <c r="AJ262" s="29" t="str">
        <f>IF(AE262="","",IFERROR(INDEX($AT$11:$AT$4010,MATCH(252,$AZ$11:$AZ$4010,0)),""))</f>
        <v/>
      </c>
      <c r="AL262" s="31" t="str">
        <f t="shared" si="50"/>
        <v/>
      </c>
      <c r="AM262" s="26" t="str">
        <f t="shared" si="51"/>
        <v/>
      </c>
      <c r="AN262" s="32" t="str">
        <f t="shared" si="52"/>
        <v/>
      </c>
      <c r="AO262" s="32" t="str">
        <f t="shared" si="53"/>
        <v/>
      </c>
      <c r="AP262" s="24" t="str">
        <f t="shared" si="54"/>
        <v/>
      </c>
      <c r="AQ262" s="24" t="str">
        <f t="shared" si="55"/>
        <v/>
      </c>
      <c r="AR262" s="33" t="str">
        <f t="shared" si="56"/>
        <v/>
      </c>
      <c r="AS262" s="34"/>
      <c r="AT262" s="33"/>
      <c r="AV262" s="21">
        <f>IF(AND($AL262&lt;&gt;"",COUNTIF($AL$11:$AL262,$AL262)=1),1,0)</f>
        <v>0</v>
      </c>
      <c r="AW262" s="21">
        <f t="shared" si="58"/>
        <v>2</v>
      </c>
      <c r="AX262" s="21" t="str">
        <f t="shared" si="57"/>
        <v/>
      </c>
      <c r="AY262" s="21" t="str">
        <f>IF(AND($AM262&lt;&gt;"",$AS262&lt;&gt;"✓"),SUMPRODUCT(($AM$11:$AM262&lt;&gt;"")*($AS$11:$AS262&lt;&gt;"✓")),"")</f>
        <v/>
      </c>
      <c r="AZ262" s="21" t="str">
        <f>IF(AND($AM262&lt;&gt;"",$AS262="✓"),SUMPRODUCT(($AM$11:$AM262&lt;&gt;"")*($AS$11:$AS262="✓")),"")</f>
        <v/>
      </c>
      <c r="BA262" s="21" t="str">
        <f>IF($AL262="","",$AL262&amp;"|"&amp;COUNTIF($AL$11:$AL262,$AL262))</f>
        <v/>
      </c>
    </row>
    <row r="263" spans="2:53" ht="15" customHeight="1" x14ac:dyDescent="0.25">
      <c r="B263" s="5" t="str">
        <f t="shared" si="45"/>
        <v/>
      </c>
      <c r="C263" s="5"/>
      <c r="D263" s="5"/>
      <c r="E263" s="5"/>
      <c r="F263" s="6"/>
      <c r="G263" s="6"/>
      <c r="H263" s="7"/>
      <c r="I263" s="8"/>
      <c r="K263" s="9" t="str">
        <f>IFERROR(INDEX($AL$11:$AL$4010,MATCH(253,$AX$11:$AX$4010,0)),"")</f>
        <v/>
      </c>
      <c r="L263" s="10" t="str">
        <f t="shared" si="46"/>
        <v/>
      </c>
      <c r="M263" s="11" t="str">
        <f t="shared" si="47"/>
        <v/>
      </c>
      <c r="N263" s="11" t="str">
        <f t="shared" si="48"/>
        <v/>
      </c>
      <c r="W263" s="14" t="str">
        <f>IF(X263="","",IFERROR(INDEX($AL$11:$AL$4010,MATCH(253,$AY$11:$AY$4010,0)),""))</f>
        <v/>
      </c>
      <c r="X263" s="12" t="str">
        <f>IFERROR(INDEX($AM$11:$AM$4010,MATCH(253,$AY$11:$AY$4010,0)),"")</f>
        <v/>
      </c>
      <c r="Y263" s="11" t="str">
        <f>IF(X263="","",IFERROR(INDEX($AN$11:$AN$4010,MATCH(253,$AY$11:$AY$4010,0)),""))</f>
        <v/>
      </c>
      <c r="Z263" s="11" t="str">
        <f>IF(X263="","",IFERROR(INDEX($AO$11:$AO$4010,MATCH(253,$AY$11:$AY$4010,0)),""))</f>
        <v/>
      </c>
      <c r="AA263" s="10" t="str">
        <f>IF(X263="","",IFERROR(INDEX($AQ$11:$AQ$4010,MATCH(253,$AY$11:$AY$4010,0)),""))</f>
        <v/>
      </c>
      <c r="AB263" s="15" t="str">
        <f>IF(X263="","",IFERROR(INDEX($AR$11:$AR$4010,MATCH(253,$AY$11:$AY$4010,0)),""))</f>
        <v/>
      </c>
      <c r="AD263" s="16" t="str">
        <f>IF(AE263="","",IFERROR(INDEX($AL$11:$AL$4010,MATCH(253,$AZ$11:$AZ$4010,0)),""))</f>
        <v/>
      </c>
      <c r="AE263" s="12" t="str">
        <f>IFERROR(INDEX($AM$11:$AM$4010,MATCH(253,$AZ$11:$AZ$4010,0)),"")</f>
        <v/>
      </c>
      <c r="AF263" s="11" t="str">
        <f>IF(AE263="","",IFERROR(INDEX($AN$11:$AN$4010,MATCH(253,$AZ$11:$AZ$4010,0)),""))</f>
        <v/>
      </c>
      <c r="AG263" s="11" t="str">
        <f>IF(AE263="","",IFERROR(INDEX($AO$11:$AO$4010,MATCH(253,$AZ$11:$AZ$4010,0)),""))</f>
        <v/>
      </c>
      <c r="AH263" s="10" t="str">
        <f>IF(AE263="","",IFERROR(INDEX($AQ$11:$AQ$4010,MATCH(253,$AZ$11:$AZ$4010,0)),""))</f>
        <v/>
      </c>
      <c r="AI263" s="15" t="str">
        <f>IF(AE263="","",IFERROR(INDEX($AR$11:$AR$4010,MATCH(253,$AZ$11:$AZ$4010,0)),""))</f>
        <v/>
      </c>
      <c r="AJ263" s="15" t="str">
        <f>IF(AE263="","",IFERROR(INDEX($AT$11:$AT$4010,MATCH(253,$AZ$11:$AZ$4010,0)),""))</f>
        <v/>
      </c>
      <c r="AL263" s="17" t="str">
        <f t="shared" si="50"/>
        <v/>
      </c>
      <c r="AM263" s="12" t="str">
        <f t="shared" si="51"/>
        <v/>
      </c>
      <c r="AN263" s="18" t="str">
        <f t="shared" si="52"/>
        <v/>
      </c>
      <c r="AO263" s="18" t="str">
        <f t="shared" si="53"/>
        <v/>
      </c>
      <c r="AP263" s="10" t="str">
        <f t="shared" si="54"/>
        <v/>
      </c>
      <c r="AQ263" s="10" t="str">
        <f t="shared" si="55"/>
        <v/>
      </c>
      <c r="AR263" s="19" t="str">
        <f t="shared" si="56"/>
        <v/>
      </c>
      <c r="AS263" s="20"/>
      <c r="AT263" s="19"/>
      <c r="AV263" s="21">
        <f>IF(AND($AL263&lt;&gt;"",COUNTIF($AL$11:$AL263,$AL263)=1),1,0)</f>
        <v>0</v>
      </c>
      <c r="AW263" s="21">
        <f t="shared" si="58"/>
        <v>2</v>
      </c>
      <c r="AX263" s="21" t="str">
        <f t="shared" si="57"/>
        <v/>
      </c>
      <c r="AY263" s="21" t="str">
        <f>IF(AND($AM263&lt;&gt;"",$AS263&lt;&gt;"✓"),SUMPRODUCT(($AM$11:$AM263&lt;&gt;"")*($AS$11:$AS263&lt;&gt;"✓")),"")</f>
        <v/>
      </c>
      <c r="AZ263" s="21" t="str">
        <f>IF(AND($AM263&lt;&gt;"",$AS263="✓"),SUMPRODUCT(($AM$11:$AM263&lt;&gt;"")*($AS$11:$AS263="✓")),"")</f>
        <v/>
      </c>
      <c r="BA263" s="21" t="str">
        <f>IF($AL263="","",$AL263&amp;"|"&amp;COUNTIF($AL$11:$AL263,$AL263))</f>
        <v/>
      </c>
    </row>
    <row r="264" spans="2:53" ht="15" customHeight="1" x14ac:dyDescent="0.25">
      <c r="B264" s="5" t="str">
        <f t="shared" si="45"/>
        <v/>
      </c>
      <c r="C264" s="5"/>
      <c r="D264" s="5"/>
      <c r="E264" s="5"/>
      <c r="F264" s="6"/>
      <c r="G264" s="6"/>
      <c r="H264" s="7"/>
      <c r="I264" s="8"/>
      <c r="K264" s="23" t="str">
        <f>IFERROR(INDEX($AL$11:$AL$4010,MATCH(254,$AX$11:$AX$4010,0)),"")</f>
        <v/>
      </c>
      <c r="L264" s="24" t="str">
        <f t="shared" si="46"/>
        <v/>
      </c>
      <c r="M264" s="25" t="str">
        <f t="shared" si="47"/>
        <v/>
      </c>
      <c r="N264" s="25" t="str">
        <f t="shared" si="48"/>
        <v/>
      </c>
      <c r="W264" s="28" t="str">
        <f>IF(X264="","",IFERROR(INDEX($AL$11:$AL$4010,MATCH(254,$AY$11:$AY$4010,0)),""))</f>
        <v/>
      </c>
      <c r="X264" s="26" t="str">
        <f>IFERROR(INDEX($AM$11:$AM$4010,MATCH(254,$AY$11:$AY$4010,0)),"")</f>
        <v/>
      </c>
      <c r="Y264" s="25" t="str">
        <f>IF(X264="","",IFERROR(INDEX($AN$11:$AN$4010,MATCH(254,$AY$11:$AY$4010,0)),""))</f>
        <v/>
      </c>
      <c r="Z264" s="25" t="str">
        <f>IF(X264="","",IFERROR(INDEX($AO$11:$AO$4010,MATCH(254,$AY$11:$AY$4010,0)),""))</f>
        <v/>
      </c>
      <c r="AA264" s="24" t="str">
        <f>IF(X264="","",IFERROR(INDEX($AQ$11:$AQ$4010,MATCH(254,$AY$11:$AY$4010,0)),""))</f>
        <v/>
      </c>
      <c r="AB264" s="29" t="str">
        <f>IF(X264="","",IFERROR(INDEX($AR$11:$AR$4010,MATCH(254,$AY$11:$AY$4010,0)),""))</f>
        <v/>
      </c>
      <c r="AD264" s="30" t="str">
        <f>IF(AE264="","",IFERROR(INDEX($AL$11:$AL$4010,MATCH(254,$AZ$11:$AZ$4010,0)),""))</f>
        <v/>
      </c>
      <c r="AE264" s="26" t="str">
        <f>IFERROR(INDEX($AM$11:$AM$4010,MATCH(254,$AZ$11:$AZ$4010,0)),"")</f>
        <v/>
      </c>
      <c r="AF264" s="25" t="str">
        <f>IF(AE264="","",IFERROR(INDEX($AN$11:$AN$4010,MATCH(254,$AZ$11:$AZ$4010,0)),""))</f>
        <v/>
      </c>
      <c r="AG264" s="25" t="str">
        <f>IF(AE264="","",IFERROR(INDEX($AO$11:$AO$4010,MATCH(254,$AZ$11:$AZ$4010,0)),""))</f>
        <v/>
      </c>
      <c r="AH264" s="24" t="str">
        <f>IF(AE264="","",IFERROR(INDEX($AQ$11:$AQ$4010,MATCH(254,$AZ$11:$AZ$4010,0)),""))</f>
        <v/>
      </c>
      <c r="AI264" s="29" t="str">
        <f>IF(AE264="","",IFERROR(INDEX($AR$11:$AR$4010,MATCH(254,$AZ$11:$AZ$4010,0)),""))</f>
        <v/>
      </c>
      <c r="AJ264" s="29" t="str">
        <f>IF(AE264="","",IFERROR(INDEX($AT$11:$AT$4010,MATCH(254,$AZ$11:$AZ$4010,0)),""))</f>
        <v/>
      </c>
      <c r="AL264" s="31" t="str">
        <f t="shared" si="50"/>
        <v/>
      </c>
      <c r="AM264" s="26" t="str">
        <f t="shared" si="51"/>
        <v/>
      </c>
      <c r="AN264" s="32" t="str">
        <f t="shared" si="52"/>
        <v/>
      </c>
      <c r="AO264" s="32" t="str">
        <f t="shared" si="53"/>
        <v/>
      </c>
      <c r="AP264" s="24" t="str">
        <f t="shared" si="54"/>
        <v/>
      </c>
      <c r="AQ264" s="24" t="str">
        <f t="shared" si="55"/>
        <v/>
      </c>
      <c r="AR264" s="33" t="str">
        <f t="shared" si="56"/>
        <v/>
      </c>
      <c r="AS264" s="34"/>
      <c r="AT264" s="33"/>
      <c r="AV264" s="21">
        <f>IF(AND($AL264&lt;&gt;"",COUNTIF($AL$11:$AL264,$AL264)=1),1,0)</f>
        <v>0</v>
      </c>
      <c r="AW264" s="21">
        <f t="shared" si="58"/>
        <v>2</v>
      </c>
      <c r="AX264" s="21" t="str">
        <f t="shared" si="57"/>
        <v/>
      </c>
      <c r="AY264" s="21" t="str">
        <f>IF(AND($AM264&lt;&gt;"",$AS264&lt;&gt;"✓"),SUMPRODUCT(($AM$11:$AM264&lt;&gt;"")*($AS$11:$AS264&lt;&gt;"✓")),"")</f>
        <v/>
      </c>
      <c r="AZ264" s="21" t="str">
        <f>IF(AND($AM264&lt;&gt;"",$AS264="✓"),SUMPRODUCT(($AM$11:$AM264&lt;&gt;"")*($AS$11:$AS264="✓")),"")</f>
        <v/>
      </c>
      <c r="BA264" s="21" t="str">
        <f>IF($AL264="","",$AL264&amp;"|"&amp;COUNTIF($AL$11:$AL264,$AL264))</f>
        <v/>
      </c>
    </row>
    <row r="265" spans="2:53" ht="15" customHeight="1" x14ac:dyDescent="0.25">
      <c r="B265" s="5" t="str">
        <f t="shared" si="45"/>
        <v/>
      </c>
      <c r="C265" s="5"/>
      <c r="D265" s="5"/>
      <c r="E265" s="5"/>
      <c r="F265" s="6"/>
      <c r="G265" s="6"/>
      <c r="H265" s="7"/>
      <c r="I265" s="8"/>
      <c r="K265" s="9" t="str">
        <f>IFERROR(INDEX($AL$11:$AL$4010,MATCH(255,$AX$11:$AX$4010,0)),"")</f>
        <v/>
      </c>
      <c r="L265" s="10" t="str">
        <f t="shared" si="46"/>
        <v/>
      </c>
      <c r="M265" s="11" t="str">
        <f t="shared" si="47"/>
        <v/>
      </c>
      <c r="N265" s="11" t="str">
        <f t="shared" si="48"/>
        <v/>
      </c>
      <c r="W265" s="14" t="str">
        <f>IF(X265="","",IFERROR(INDEX($AL$11:$AL$4010,MATCH(255,$AY$11:$AY$4010,0)),""))</f>
        <v/>
      </c>
      <c r="X265" s="12" t="str">
        <f>IFERROR(INDEX($AM$11:$AM$4010,MATCH(255,$AY$11:$AY$4010,0)),"")</f>
        <v/>
      </c>
      <c r="Y265" s="11" t="str">
        <f>IF(X265="","",IFERROR(INDEX($AN$11:$AN$4010,MATCH(255,$AY$11:$AY$4010,0)),""))</f>
        <v/>
      </c>
      <c r="Z265" s="11" t="str">
        <f>IF(X265="","",IFERROR(INDEX($AO$11:$AO$4010,MATCH(255,$AY$11:$AY$4010,0)),""))</f>
        <v/>
      </c>
      <c r="AA265" s="10" t="str">
        <f>IF(X265="","",IFERROR(INDEX($AQ$11:$AQ$4010,MATCH(255,$AY$11:$AY$4010,0)),""))</f>
        <v/>
      </c>
      <c r="AB265" s="15" t="str">
        <f>IF(X265="","",IFERROR(INDEX($AR$11:$AR$4010,MATCH(255,$AY$11:$AY$4010,0)),""))</f>
        <v/>
      </c>
      <c r="AD265" s="16" t="str">
        <f>IF(AE265="","",IFERROR(INDEX($AL$11:$AL$4010,MATCH(255,$AZ$11:$AZ$4010,0)),""))</f>
        <v/>
      </c>
      <c r="AE265" s="12" t="str">
        <f>IFERROR(INDEX($AM$11:$AM$4010,MATCH(255,$AZ$11:$AZ$4010,0)),"")</f>
        <v/>
      </c>
      <c r="AF265" s="11" t="str">
        <f>IF(AE265="","",IFERROR(INDEX($AN$11:$AN$4010,MATCH(255,$AZ$11:$AZ$4010,0)),""))</f>
        <v/>
      </c>
      <c r="AG265" s="11" t="str">
        <f>IF(AE265="","",IFERROR(INDEX($AO$11:$AO$4010,MATCH(255,$AZ$11:$AZ$4010,0)),""))</f>
        <v/>
      </c>
      <c r="AH265" s="10" t="str">
        <f>IF(AE265="","",IFERROR(INDEX($AQ$11:$AQ$4010,MATCH(255,$AZ$11:$AZ$4010,0)),""))</f>
        <v/>
      </c>
      <c r="AI265" s="15" t="str">
        <f>IF(AE265="","",IFERROR(INDEX($AR$11:$AR$4010,MATCH(255,$AZ$11:$AZ$4010,0)),""))</f>
        <v/>
      </c>
      <c r="AJ265" s="15" t="str">
        <f>IF(AE265="","",IFERROR(INDEX($AT$11:$AT$4010,MATCH(255,$AZ$11:$AZ$4010,0)),""))</f>
        <v/>
      </c>
      <c r="AL265" s="17" t="str">
        <f t="shared" si="50"/>
        <v/>
      </c>
      <c r="AM265" s="12" t="str">
        <f t="shared" si="51"/>
        <v/>
      </c>
      <c r="AN265" s="18" t="str">
        <f t="shared" si="52"/>
        <v/>
      </c>
      <c r="AO265" s="18" t="str">
        <f t="shared" si="53"/>
        <v/>
      </c>
      <c r="AP265" s="10" t="str">
        <f t="shared" si="54"/>
        <v/>
      </c>
      <c r="AQ265" s="10" t="str">
        <f t="shared" si="55"/>
        <v/>
      </c>
      <c r="AR265" s="19" t="str">
        <f t="shared" si="56"/>
        <v/>
      </c>
      <c r="AS265" s="20"/>
      <c r="AT265" s="19"/>
      <c r="AV265" s="21">
        <f>IF(AND($AL265&lt;&gt;"",COUNTIF($AL$11:$AL265,$AL265)=1),1,0)</f>
        <v>0</v>
      </c>
      <c r="AW265" s="21">
        <f t="shared" si="58"/>
        <v>2</v>
      </c>
      <c r="AX265" s="21" t="str">
        <f t="shared" si="57"/>
        <v/>
      </c>
      <c r="AY265" s="21" t="str">
        <f>IF(AND($AM265&lt;&gt;"",$AS265&lt;&gt;"✓"),SUMPRODUCT(($AM$11:$AM265&lt;&gt;"")*($AS$11:$AS265&lt;&gt;"✓")),"")</f>
        <v/>
      </c>
      <c r="AZ265" s="21" t="str">
        <f>IF(AND($AM265&lt;&gt;"",$AS265="✓"),SUMPRODUCT(($AM$11:$AM265&lt;&gt;"")*($AS$11:$AS265="✓")),"")</f>
        <v/>
      </c>
      <c r="BA265" s="21" t="str">
        <f>IF($AL265="","",$AL265&amp;"|"&amp;COUNTIF($AL$11:$AL265,$AL265))</f>
        <v/>
      </c>
    </row>
    <row r="266" spans="2:53" ht="15" customHeight="1" x14ac:dyDescent="0.25">
      <c r="B266" s="5" t="str">
        <f t="shared" si="45"/>
        <v/>
      </c>
      <c r="C266" s="5"/>
      <c r="D266" s="5"/>
      <c r="E266" s="5"/>
      <c r="F266" s="6"/>
      <c r="G266" s="6"/>
      <c r="H266" s="7"/>
      <c r="I266" s="8"/>
      <c r="K266" s="23" t="str">
        <f>IFERROR(INDEX($AL$11:$AL$4010,MATCH(256,$AX$11:$AX$4010,0)),"")</f>
        <v/>
      </c>
      <c r="L266" s="24" t="str">
        <f t="shared" si="46"/>
        <v/>
      </c>
      <c r="M266" s="25" t="str">
        <f t="shared" si="47"/>
        <v/>
      </c>
      <c r="N266" s="25" t="str">
        <f t="shared" si="48"/>
        <v/>
      </c>
      <c r="W266" s="28" t="str">
        <f>IF(X266="","",IFERROR(INDEX($AL$11:$AL$4010,MATCH(256,$AY$11:$AY$4010,0)),""))</f>
        <v/>
      </c>
      <c r="X266" s="26" t="str">
        <f>IFERROR(INDEX($AM$11:$AM$4010,MATCH(256,$AY$11:$AY$4010,0)),"")</f>
        <v/>
      </c>
      <c r="Y266" s="25" t="str">
        <f>IF(X266="","",IFERROR(INDEX($AN$11:$AN$4010,MATCH(256,$AY$11:$AY$4010,0)),""))</f>
        <v/>
      </c>
      <c r="Z266" s="25" t="str">
        <f>IF(X266="","",IFERROR(INDEX($AO$11:$AO$4010,MATCH(256,$AY$11:$AY$4010,0)),""))</f>
        <v/>
      </c>
      <c r="AA266" s="24" t="str">
        <f>IF(X266="","",IFERROR(INDEX($AQ$11:$AQ$4010,MATCH(256,$AY$11:$AY$4010,0)),""))</f>
        <v/>
      </c>
      <c r="AB266" s="29" t="str">
        <f>IF(X266="","",IFERROR(INDEX($AR$11:$AR$4010,MATCH(256,$AY$11:$AY$4010,0)),""))</f>
        <v/>
      </c>
      <c r="AD266" s="30" t="str">
        <f>IF(AE266="","",IFERROR(INDEX($AL$11:$AL$4010,MATCH(256,$AZ$11:$AZ$4010,0)),""))</f>
        <v/>
      </c>
      <c r="AE266" s="26" t="str">
        <f>IFERROR(INDEX($AM$11:$AM$4010,MATCH(256,$AZ$11:$AZ$4010,0)),"")</f>
        <v/>
      </c>
      <c r="AF266" s="25" t="str">
        <f>IF(AE266="","",IFERROR(INDEX($AN$11:$AN$4010,MATCH(256,$AZ$11:$AZ$4010,0)),""))</f>
        <v/>
      </c>
      <c r="AG266" s="25" t="str">
        <f>IF(AE266="","",IFERROR(INDEX($AO$11:$AO$4010,MATCH(256,$AZ$11:$AZ$4010,0)),""))</f>
        <v/>
      </c>
      <c r="AH266" s="24" t="str">
        <f>IF(AE266="","",IFERROR(INDEX($AQ$11:$AQ$4010,MATCH(256,$AZ$11:$AZ$4010,0)),""))</f>
        <v/>
      </c>
      <c r="AI266" s="29" t="str">
        <f>IF(AE266="","",IFERROR(INDEX($AR$11:$AR$4010,MATCH(256,$AZ$11:$AZ$4010,0)),""))</f>
        <v/>
      </c>
      <c r="AJ266" s="29" t="str">
        <f>IF(AE266="","",IFERROR(INDEX($AT$11:$AT$4010,MATCH(256,$AZ$11:$AZ$4010,0)),""))</f>
        <v/>
      </c>
      <c r="AL266" s="31" t="str">
        <f t="shared" si="50"/>
        <v/>
      </c>
      <c r="AM266" s="26" t="str">
        <f t="shared" si="51"/>
        <v/>
      </c>
      <c r="AN266" s="32" t="str">
        <f t="shared" si="52"/>
        <v/>
      </c>
      <c r="AO266" s="32" t="str">
        <f t="shared" si="53"/>
        <v/>
      </c>
      <c r="AP266" s="24" t="str">
        <f t="shared" si="54"/>
        <v/>
      </c>
      <c r="AQ266" s="24" t="str">
        <f t="shared" si="55"/>
        <v/>
      </c>
      <c r="AR266" s="33" t="str">
        <f t="shared" si="56"/>
        <v/>
      </c>
      <c r="AS266" s="34"/>
      <c r="AT266" s="33"/>
      <c r="AV266" s="21">
        <f>IF(AND($AL266&lt;&gt;"",COUNTIF($AL$11:$AL266,$AL266)=1),1,0)</f>
        <v>0</v>
      </c>
      <c r="AW266" s="21">
        <f t="shared" si="58"/>
        <v>2</v>
      </c>
      <c r="AX266" s="21" t="str">
        <f t="shared" si="57"/>
        <v/>
      </c>
      <c r="AY266" s="21" t="str">
        <f>IF(AND($AM266&lt;&gt;"",$AS266&lt;&gt;"✓"),SUMPRODUCT(($AM$11:$AM266&lt;&gt;"")*($AS$11:$AS266&lt;&gt;"✓")),"")</f>
        <v/>
      </c>
      <c r="AZ266" s="21" t="str">
        <f>IF(AND($AM266&lt;&gt;"",$AS266="✓"),SUMPRODUCT(($AM$11:$AM266&lt;&gt;"")*($AS$11:$AS266="✓")),"")</f>
        <v/>
      </c>
      <c r="BA266" s="21" t="str">
        <f>IF($AL266="","",$AL266&amp;"|"&amp;COUNTIF($AL$11:$AL266,$AL266))</f>
        <v/>
      </c>
    </row>
    <row r="267" spans="2:53" ht="15" customHeight="1" x14ac:dyDescent="0.25">
      <c r="B267" s="5" t="str">
        <f t="shared" ref="B267:B330" si="59">IF($C267="","",ROW()-10)</f>
        <v/>
      </c>
      <c r="C267" s="5"/>
      <c r="D267" s="5"/>
      <c r="E267" s="5"/>
      <c r="F267" s="6"/>
      <c r="G267" s="6"/>
      <c r="H267" s="7"/>
      <c r="I267" s="8"/>
      <c r="K267" s="9" t="str">
        <f>IFERROR(INDEX($AL$11:$AL$4010,MATCH(257,$AX$11:$AX$4010,0)),"")</f>
        <v/>
      </c>
      <c r="L267" s="10" t="str">
        <f t="shared" ref="L267:L330" si="60">IF(K267="","",COUNTIF($AL$11:$AL$4010,K267))</f>
        <v/>
      </c>
      <c r="M267" s="11" t="str">
        <f t="shared" ref="M267:M310" si="61">IF(K267="","",SUMIF($AL$11:$AL$4010,K267,$AN$11:$AN$4010))</f>
        <v/>
      </c>
      <c r="N267" s="11" t="str">
        <f t="shared" ref="N267:N310" si="62">IF(K267="","",SUMIF($AL$11:$AL$4010,K267,$AO$11:$AO$4010))</f>
        <v/>
      </c>
      <c r="W267" s="14" t="str">
        <f>IF(X267="","",IFERROR(INDEX($AL$11:$AL$4010,MATCH(257,$AY$11:$AY$4010,0)),""))</f>
        <v/>
      </c>
      <c r="X267" s="12" t="str">
        <f>IFERROR(INDEX($AM$11:$AM$4010,MATCH(257,$AY$11:$AY$4010,0)),"")</f>
        <v/>
      </c>
      <c r="Y267" s="11" t="str">
        <f>IF(X267="","",IFERROR(INDEX($AN$11:$AN$4010,MATCH(257,$AY$11:$AY$4010,0)),""))</f>
        <v/>
      </c>
      <c r="Z267" s="11" t="str">
        <f>IF(X267="","",IFERROR(INDEX($AO$11:$AO$4010,MATCH(257,$AY$11:$AY$4010,0)),""))</f>
        <v/>
      </c>
      <c r="AA267" s="10" t="str">
        <f>IF(X267="","",IFERROR(INDEX($AQ$11:$AQ$4010,MATCH(257,$AY$11:$AY$4010,0)),""))</f>
        <v/>
      </c>
      <c r="AB267" s="15" t="str">
        <f>IF(X267="","",IFERROR(INDEX($AR$11:$AR$4010,MATCH(257,$AY$11:$AY$4010,0)),""))</f>
        <v/>
      </c>
      <c r="AD267" s="16" t="str">
        <f>IF(AE267="","",IFERROR(INDEX($AL$11:$AL$4010,MATCH(257,$AZ$11:$AZ$4010,0)),""))</f>
        <v/>
      </c>
      <c r="AE267" s="12" t="str">
        <f>IFERROR(INDEX($AM$11:$AM$4010,MATCH(257,$AZ$11:$AZ$4010,0)),"")</f>
        <v/>
      </c>
      <c r="AF267" s="11" t="str">
        <f>IF(AE267="","",IFERROR(INDEX($AN$11:$AN$4010,MATCH(257,$AZ$11:$AZ$4010,0)),""))</f>
        <v/>
      </c>
      <c r="AG267" s="11" t="str">
        <f>IF(AE267="","",IFERROR(INDEX($AO$11:$AO$4010,MATCH(257,$AZ$11:$AZ$4010,0)),""))</f>
        <v/>
      </c>
      <c r="AH267" s="10" t="str">
        <f>IF(AE267="","",IFERROR(INDEX($AQ$11:$AQ$4010,MATCH(257,$AZ$11:$AZ$4010,0)),""))</f>
        <v/>
      </c>
      <c r="AI267" s="15" t="str">
        <f>IF(AE267="","",IFERROR(INDEX($AR$11:$AR$4010,MATCH(257,$AZ$11:$AZ$4010,0)),""))</f>
        <v/>
      </c>
      <c r="AJ267" s="15" t="str">
        <f>IF(AE267="","",IFERROR(INDEX($AT$11:$AT$4010,MATCH(257,$AZ$11:$AZ$4010,0)),""))</f>
        <v/>
      </c>
      <c r="AL267" s="17" t="str">
        <f t="shared" ref="AL267:AL330" si="63">IF($C267="","",$I267)</f>
        <v/>
      </c>
      <c r="AM267" s="12" t="str">
        <f t="shared" ref="AM267:AM330" si="64">IF($C267="","",$C267)</f>
        <v/>
      </c>
      <c r="AN267" s="18" t="str">
        <f t="shared" ref="AN267:AN330" si="65">IF($C267="","",$F267)</f>
        <v/>
      </c>
      <c r="AO267" s="18" t="str">
        <f t="shared" ref="AO267:AO330" si="66">IF($C267="","",$G267)</f>
        <v/>
      </c>
      <c r="AP267" s="10" t="str">
        <f t="shared" ref="AP267:AP330" si="67">IF($C267="","",$D267)</f>
        <v/>
      </c>
      <c r="AQ267" s="10" t="str">
        <f t="shared" ref="AQ267:AQ330" si="68">IF($C267="","",$E267)</f>
        <v/>
      </c>
      <c r="AR267" s="19" t="str">
        <f t="shared" ref="AR267:AR330" si="69">IF($C267="","",$H267)</f>
        <v/>
      </c>
      <c r="AS267" s="20"/>
      <c r="AT267" s="19"/>
      <c r="AV267" s="21">
        <f>IF(AND($AL267&lt;&gt;"",COUNTIF($AL$11:$AL267,$AL267)=1),1,0)</f>
        <v>0</v>
      </c>
      <c r="AW267" s="21">
        <f t="shared" si="58"/>
        <v>2</v>
      </c>
      <c r="AX267" s="21" t="str">
        <f t="shared" ref="AX267:AX330" si="70">IF(AV267=1,AW267,"")</f>
        <v/>
      </c>
      <c r="AY267" s="21" t="str">
        <f>IF(AND($AM267&lt;&gt;"",$AS267&lt;&gt;"✓"),SUMPRODUCT(($AM$11:$AM267&lt;&gt;"")*($AS$11:$AS267&lt;&gt;"✓")),"")</f>
        <v/>
      </c>
      <c r="AZ267" s="21" t="str">
        <f>IF(AND($AM267&lt;&gt;"",$AS267="✓"),SUMPRODUCT(($AM$11:$AM267&lt;&gt;"")*($AS$11:$AS267="✓")),"")</f>
        <v/>
      </c>
      <c r="BA267" s="21" t="str">
        <f>IF($AL267="","",$AL267&amp;"|"&amp;COUNTIF($AL$11:$AL267,$AL267))</f>
        <v/>
      </c>
    </row>
    <row r="268" spans="2:53" ht="15" customHeight="1" x14ac:dyDescent="0.25">
      <c r="B268" s="5" t="str">
        <f t="shared" si="59"/>
        <v/>
      </c>
      <c r="C268" s="5"/>
      <c r="D268" s="5"/>
      <c r="E268" s="5"/>
      <c r="F268" s="6"/>
      <c r="G268" s="6"/>
      <c r="H268" s="7"/>
      <c r="I268" s="8"/>
      <c r="K268" s="23" t="str">
        <f>IFERROR(INDEX($AL$11:$AL$4010,MATCH(258,$AX$11:$AX$4010,0)),"")</f>
        <v/>
      </c>
      <c r="L268" s="24" t="str">
        <f t="shared" si="60"/>
        <v/>
      </c>
      <c r="M268" s="25" t="str">
        <f t="shared" si="61"/>
        <v/>
      </c>
      <c r="N268" s="25" t="str">
        <f t="shared" si="62"/>
        <v/>
      </c>
      <c r="W268" s="28" t="str">
        <f>IF(X268="","",IFERROR(INDEX($AL$11:$AL$4010,MATCH(258,$AY$11:$AY$4010,0)),""))</f>
        <v/>
      </c>
      <c r="X268" s="26" t="str">
        <f>IFERROR(INDEX($AM$11:$AM$4010,MATCH(258,$AY$11:$AY$4010,0)),"")</f>
        <v/>
      </c>
      <c r="Y268" s="25" t="str">
        <f>IF(X268="","",IFERROR(INDEX($AN$11:$AN$4010,MATCH(258,$AY$11:$AY$4010,0)),""))</f>
        <v/>
      </c>
      <c r="Z268" s="25" t="str">
        <f>IF(X268="","",IFERROR(INDEX($AO$11:$AO$4010,MATCH(258,$AY$11:$AY$4010,0)),""))</f>
        <v/>
      </c>
      <c r="AA268" s="24" t="str">
        <f>IF(X268="","",IFERROR(INDEX($AQ$11:$AQ$4010,MATCH(258,$AY$11:$AY$4010,0)),""))</f>
        <v/>
      </c>
      <c r="AB268" s="29" t="str">
        <f>IF(X268="","",IFERROR(INDEX($AR$11:$AR$4010,MATCH(258,$AY$11:$AY$4010,0)),""))</f>
        <v/>
      </c>
      <c r="AD268" s="30" t="str">
        <f>IF(AE268="","",IFERROR(INDEX($AL$11:$AL$4010,MATCH(258,$AZ$11:$AZ$4010,0)),""))</f>
        <v/>
      </c>
      <c r="AE268" s="26" t="str">
        <f>IFERROR(INDEX($AM$11:$AM$4010,MATCH(258,$AZ$11:$AZ$4010,0)),"")</f>
        <v/>
      </c>
      <c r="AF268" s="25" t="str">
        <f>IF(AE268="","",IFERROR(INDEX($AN$11:$AN$4010,MATCH(258,$AZ$11:$AZ$4010,0)),""))</f>
        <v/>
      </c>
      <c r="AG268" s="25" t="str">
        <f>IF(AE268="","",IFERROR(INDEX($AO$11:$AO$4010,MATCH(258,$AZ$11:$AZ$4010,0)),""))</f>
        <v/>
      </c>
      <c r="AH268" s="24" t="str">
        <f>IF(AE268="","",IFERROR(INDEX($AQ$11:$AQ$4010,MATCH(258,$AZ$11:$AZ$4010,0)),""))</f>
        <v/>
      </c>
      <c r="AI268" s="29" t="str">
        <f>IF(AE268="","",IFERROR(INDEX($AR$11:$AR$4010,MATCH(258,$AZ$11:$AZ$4010,0)),""))</f>
        <v/>
      </c>
      <c r="AJ268" s="29" t="str">
        <f>IF(AE268="","",IFERROR(INDEX($AT$11:$AT$4010,MATCH(258,$AZ$11:$AZ$4010,0)),""))</f>
        <v/>
      </c>
      <c r="AL268" s="31" t="str">
        <f t="shared" si="63"/>
        <v/>
      </c>
      <c r="AM268" s="26" t="str">
        <f t="shared" si="64"/>
        <v/>
      </c>
      <c r="AN268" s="32" t="str">
        <f t="shared" si="65"/>
        <v/>
      </c>
      <c r="AO268" s="32" t="str">
        <f t="shared" si="66"/>
        <v/>
      </c>
      <c r="AP268" s="24" t="str">
        <f t="shared" si="67"/>
        <v/>
      </c>
      <c r="AQ268" s="24" t="str">
        <f t="shared" si="68"/>
        <v/>
      </c>
      <c r="AR268" s="33" t="str">
        <f t="shared" si="69"/>
        <v/>
      </c>
      <c r="AS268" s="34"/>
      <c r="AT268" s="33"/>
      <c r="AV268" s="21">
        <f>IF(AND($AL268&lt;&gt;"",COUNTIF($AL$11:$AL268,$AL268)=1),1,0)</f>
        <v>0</v>
      </c>
      <c r="AW268" s="21">
        <f t="shared" ref="AW268:AW331" si="71">AW267+AV268</f>
        <v>2</v>
      </c>
      <c r="AX268" s="21" t="str">
        <f t="shared" si="70"/>
        <v/>
      </c>
      <c r="AY268" s="21" t="str">
        <f>IF(AND($AM268&lt;&gt;"",$AS268&lt;&gt;"✓"),SUMPRODUCT(($AM$11:$AM268&lt;&gt;"")*($AS$11:$AS268&lt;&gt;"✓")),"")</f>
        <v/>
      </c>
      <c r="AZ268" s="21" t="str">
        <f>IF(AND($AM268&lt;&gt;"",$AS268="✓"),SUMPRODUCT(($AM$11:$AM268&lt;&gt;"")*($AS$11:$AS268="✓")),"")</f>
        <v/>
      </c>
      <c r="BA268" s="21" t="str">
        <f>IF($AL268="","",$AL268&amp;"|"&amp;COUNTIF($AL$11:$AL268,$AL268))</f>
        <v/>
      </c>
    </row>
    <row r="269" spans="2:53" ht="15" customHeight="1" x14ac:dyDescent="0.25">
      <c r="B269" s="5" t="str">
        <f t="shared" si="59"/>
        <v/>
      </c>
      <c r="C269" s="5"/>
      <c r="D269" s="5"/>
      <c r="E269" s="5"/>
      <c r="F269" s="6"/>
      <c r="G269" s="6"/>
      <c r="H269" s="7"/>
      <c r="I269" s="8"/>
      <c r="K269" s="9" t="str">
        <f>IFERROR(INDEX($AL$11:$AL$4010,MATCH(259,$AX$11:$AX$4010,0)),"")</f>
        <v/>
      </c>
      <c r="L269" s="10" t="str">
        <f t="shared" si="60"/>
        <v/>
      </c>
      <c r="M269" s="11" t="str">
        <f t="shared" si="61"/>
        <v/>
      </c>
      <c r="N269" s="11" t="str">
        <f t="shared" si="62"/>
        <v/>
      </c>
      <c r="W269" s="14" t="str">
        <f>IF(X269="","",IFERROR(INDEX($AL$11:$AL$4010,MATCH(259,$AY$11:$AY$4010,0)),""))</f>
        <v/>
      </c>
      <c r="X269" s="12" t="str">
        <f>IFERROR(INDEX($AM$11:$AM$4010,MATCH(259,$AY$11:$AY$4010,0)),"")</f>
        <v/>
      </c>
      <c r="Y269" s="11" t="str">
        <f>IF(X269="","",IFERROR(INDEX($AN$11:$AN$4010,MATCH(259,$AY$11:$AY$4010,0)),""))</f>
        <v/>
      </c>
      <c r="Z269" s="11" t="str">
        <f>IF(X269="","",IFERROR(INDEX($AO$11:$AO$4010,MATCH(259,$AY$11:$AY$4010,0)),""))</f>
        <v/>
      </c>
      <c r="AA269" s="10" t="str">
        <f>IF(X269="","",IFERROR(INDEX($AQ$11:$AQ$4010,MATCH(259,$AY$11:$AY$4010,0)),""))</f>
        <v/>
      </c>
      <c r="AB269" s="15" t="str">
        <f>IF(X269="","",IFERROR(INDEX($AR$11:$AR$4010,MATCH(259,$AY$11:$AY$4010,0)),""))</f>
        <v/>
      </c>
      <c r="AD269" s="16" t="str">
        <f>IF(AE269="","",IFERROR(INDEX($AL$11:$AL$4010,MATCH(259,$AZ$11:$AZ$4010,0)),""))</f>
        <v/>
      </c>
      <c r="AE269" s="12" t="str">
        <f>IFERROR(INDEX($AM$11:$AM$4010,MATCH(259,$AZ$11:$AZ$4010,0)),"")</f>
        <v/>
      </c>
      <c r="AF269" s="11" t="str">
        <f>IF(AE269="","",IFERROR(INDEX($AN$11:$AN$4010,MATCH(259,$AZ$11:$AZ$4010,0)),""))</f>
        <v/>
      </c>
      <c r="AG269" s="11" t="str">
        <f>IF(AE269="","",IFERROR(INDEX($AO$11:$AO$4010,MATCH(259,$AZ$11:$AZ$4010,0)),""))</f>
        <v/>
      </c>
      <c r="AH269" s="10" t="str">
        <f>IF(AE269="","",IFERROR(INDEX($AQ$11:$AQ$4010,MATCH(259,$AZ$11:$AZ$4010,0)),""))</f>
        <v/>
      </c>
      <c r="AI269" s="15" t="str">
        <f>IF(AE269="","",IFERROR(INDEX($AR$11:$AR$4010,MATCH(259,$AZ$11:$AZ$4010,0)),""))</f>
        <v/>
      </c>
      <c r="AJ269" s="15" t="str">
        <f>IF(AE269="","",IFERROR(INDEX($AT$11:$AT$4010,MATCH(259,$AZ$11:$AZ$4010,0)),""))</f>
        <v/>
      </c>
      <c r="AL269" s="17" t="str">
        <f t="shared" si="63"/>
        <v/>
      </c>
      <c r="AM269" s="12" t="str">
        <f t="shared" si="64"/>
        <v/>
      </c>
      <c r="AN269" s="18" t="str">
        <f t="shared" si="65"/>
        <v/>
      </c>
      <c r="AO269" s="18" t="str">
        <f t="shared" si="66"/>
        <v/>
      </c>
      <c r="AP269" s="10" t="str">
        <f t="shared" si="67"/>
        <v/>
      </c>
      <c r="AQ269" s="10" t="str">
        <f t="shared" si="68"/>
        <v/>
      </c>
      <c r="AR269" s="19" t="str">
        <f t="shared" si="69"/>
        <v/>
      </c>
      <c r="AS269" s="20"/>
      <c r="AT269" s="19"/>
      <c r="AV269" s="21">
        <f>IF(AND($AL269&lt;&gt;"",COUNTIF($AL$11:$AL269,$AL269)=1),1,0)</f>
        <v>0</v>
      </c>
      <c r="AW269" s="21">
        <f t="shared" si="71"/>
        <v>2</v>
      </c>
      <c r="AX269" s="21" t="str">
        <f t="shared" si="70"/>
        <v/>
      </c>
      <c r="AY269" s="21" t="str">
        <f>IF(AND($AM269&lt;&gt;"",$AS269&lt;&gt;"✓"),SUMPRODUCT(($AM$11:$AM269&lt;&gt;"")*($AS$11:$AS269&lt;&gt;"✓")),"")</f>
        <v/>
      </c>
      <c r="AZ269" s="21" t="str">
        <f>IF(AND($AM269&lt;&gt;"",$AS269="✓"),SUMPRODUCT(($AM$11:$AM269&lt;&gt;"")*($AS$11:$AS269="✓")),"")</f>
        <v/>
      </c>
      <c r="BA269" s="21" t="str">
        <f>IF($AL269="","",$AL269&amp;"|"&amp;COUNTIF($AL$11:$AL269,$AL269))</f>
        <v/>
      </c>
    </row>
    <row r="270" spans="2:53" ht="15" customHeight="1" x14ac:dyDescent="0.25">
      <c r="B270" s="5" t="str">
        <f t="shared" si="59"/>
        <v/>
      </c>
      <c r="C270" s="5"/>
      <c r="D270" s="5"/>
      <c r="E270" s="5"/>
      <c r="F270" s="6"/>
      <c r="G270" s="6"/>
      <c r="H270" s="7"/>
      <c r="I270" s="8"/>
      <c r="K270" s="23" t="str">
        <f>IFERROR(INDEX($AL$11:$AL$4010,MATCH(260,$AX$11:$AX$4010,0)),"")</f>
        <v/>
      </c>
      <c r="L270" s="24" t="str">
        <f t="shared" si="60"/>
        <v/>
      </c>
      <c r="M270" s="25" t="str">
        <f t="shared" si="61"/>
        <v/>
      </c>
      <c r="N270" s="25" t="str">
        <f t="shared" si="62"/>
        <v/>
      </c>
      <c r="W270" s="28" t="str">
        <f>IF(X270="","",IFERROR(INDEX($AL$11:$AL$4010,MATCH(260,$AY$11:$AY$4010,0)),""))</f>
        <v/>
      </c>
      <c r="X270" s="26" t="str">
        <f>IFERROR(INDEX($AM$11:$AM$4010,MATCH(260,$AY$11:$AY$4010,0)),"")</f>
        <v/>
      </c>
      <c r="Y270" s="25" t="str">
        <f>IF(X270="","",IFERROR(INDEX($AN$11:$AN$4010,MATCH(260,$AY$11:$AY$4010,0)),""))</f>
        <v/>
      </c>
      <c r="Z270" s="25" t="str">
        <f>IF(X270="","",IFERROR(INDEX($AO$11:$AO$4010,MATCH(260,$AY$11:$AY$4010,0)),""))</f>
        <v/>
      </c>
      <c r="AA270" s="24" t="str">
        <f>IF(X270="","",IFERROR(INDEX($AQ$11:$AQ$4010,MATCH(260,$AY$11:$AY$4010,0)),""))</f>
        <v/>
      </c>
      <c r="AB270" s="29" t="str">
        <f>IF(X270="","",IFERROR(INDEX($AR$11:$AR$4010,MATCH(260,$AY$11:$AY$4010,0)),""))</f>
        <v/>
      </c>
      <c r="AD270" s="30" t="str">
        <f>IF(AE270="","",IFERROR(INDEX($AL$11:$AL$4010,MATCH(260,$AZ$11:$AZ$4010,0)),""))</f>
        <v/>
      </c>
      <c r="AE270" s="26" t="str">
        <f>IFERROR(INDEX($AM$11:$AM$4010,MATCH(260,$AZ$11:$AZ$4010,0)),"")</f>
        <v/>
      </c>
      <c r="AF270" s="25" t="str">
        <f>IF(AE270="","",IFERROR(INDEX($AN$11:$AN$4010,MATCH(260,$AZ$11:$AZ$4010,0)),""))</f>
        <v/>
      </c>
      <c r="AG270" s="25" t="str">
        <f>IF(AE270="","",IFERROR(INDEX($AO$11:$AO$4010,MATCH(260,$AZ$11:$AZ$4010,0)),""))</f>
        <v/>
      </c>
      <c r="AH270" s="24" t="str">
        <f>IF(AE270="","",IFERROR(INDEX($AQ$11:$AQ$4010,MATCH(260,$AZ$11:$AZ$4010,0)),""))</f>
        <v/>
      </c>
      <c r="AI270" s="29" t="str">
        <f>IF(AE270="","",IFERROR(INDEX($AR$11:$AR$4010,MATCH(260,$AZ$11:$AZ$4010,0)),""))</f>
        <v/>
      </c>
      <c r="AJ270" s="29" t="str">
        <f>IF(AE270="","",IFERROR(INDEX($AT$11:$AT$4010,MATCH(260,$AZ$11:$AZ$4010,0)),""))</f>
        <v/>
      </c>
      <c r="AL270" s="31" t="str">
        <f t="shared" si="63"/>
        <v/>
      </c>
      <c r="AM270" s="26" t="str">
        <f t="shared" si="64"/>
        <v/>
      </c>
      <c r="AN270" s="32" t="str">
        <f t="shared" si="65"/>
        <v/>
      </c>
      <c r="AO270" s="32" t="str">
        <f t="shared" si="66"/>
        <v/>
      </c>
      <c r="AP270" s="24" t="str">
        <f t="shared" si="67"/>
        <v/>
      </c>
      <c r="AQ270" s="24" t="str">
        <f t="shared" si="68"/>
        <v/>
      </c>
      <c r="AR270" s="33" t="str">
        <f t="shared" si="69"/>
        <v/>
      </c>
      <c r="AS270" s="34"/>
      <c r="AT270" s="33"/>
      <c r="AV270" s="21">
        <f>IF(AND($AL270&lt;&gt;"",COUNTIF($AL$11:$AL270,$AL270)=1),1,0)</f>
        <v>0</v>
      </c>
      <c r="AW270" s="21">
        <f t="shared" si="71"/>
        <v>2</v>
      </c>
      <c r="AX270" s="21" t="str">
        <f t="shared" si="70"/>
        <v/>
      </c>
      <c r="AY270" s="21" t="str">
        <f>IF(AND($AM270&lt;&gt;"",$AS270&lt;&gt;"✓"),SUMPRODUCT(($AM$11:$AM270&lt;&gt;"")*($AS$11:$AS270&lt;&gt;"✓")),"")</f>
        <v/>
      </c>
      <c r="AZ270" s="21" t="str">
        <f>IF(AND($AM270&lt;&gt;"",$AS270="✓"),SUMPRODUCT(($AM$11:$AM270&lt;&gt;"")*($AS$11:$AS270="✓")),"")</f>
        <v/>
      </c>
      <c r="BA270" s="21" t="str">
        <f>IF($AL270="","",$AL270&amp;"|"&amp;COUNTIF($AL$11:$AL270,$AL270))</f>
        <v/>
      </c>
    </row>
    <row r="271" spans="2:53" ht="15" customHeight="1" x14ac:dyDescent="0.25">
      <c r="B271" s="5" t="str">
        <f t="shared" si="59"/>
        <v/>
      </c>
      <c r="C271" s="5"/>
      <c r="D271" s="5"/>
      <c r="E271" s="5"/>
      <c r="F271" s="6"/>
      <c r="G271" s="6"/>
      <c r="H271" s="7"/>
      <c r="I271" s="8"/>
      <c r="K271" s="9" t="str">
        <f>IFERROR(INDEX($AL$11:$AL$4010,MATCH(261,$AX$11:$AX$4010,0)),"")</f>
        <v/>
      </c>
      <c r="L271" s="10" t="str">
        <f t="shared" si="60"/>
        <v/>
      </c>
      <c r="M271" s="11" t="str">
        <f t="shared" si="61"/>
        <v/>
      </c>
      <c r="N271" s="11" t="str">
        <f t="shared" si="62"/>
        <v/>
      </c>
      <c r="W271" s="14" t="str">
        <f>IF(X271="","",IFERROR(INDEX($AL$11:$AL$4010,MATCH(261,$AY$11:$AY$4010,0)),""))</f>
        <v/>
      </c>
      <c r="X271" s="12" t="str">
        <f>IFERROR(INDEX($AM$11:$AM$4010,MATCH(261,$AY$11:$AY$4010,0)),"")</f>
        <v/>
      </c>
      <c r="Y271" s="11" t="str">
        <f>IF(X271="","",IFERROR(INDEX($AN$11:$AN$4010,MATCH(261,$AY$11:$AY$4010,0)),""))</f>
        <v/>
      </c>
      <c r="Z271" s="11" t="str">
        <f>IF(X271="","",IFERROR(INDEX($AO$11:$AO$4010,MATCH(261,$AY$11:$AY$4010,0)),""))</f>
        <v/>
      </c>
      <c r="AA271" s="10" t="str">
        <f>IF(X271="","",IFERROR(INDEX($AQ$11:$AQ$4010,MATCH(261,$AY$11:$AY$4010,0)),""))</f>
        <v/>
      </c>
      <c r="AB271" s="15" t="str">
        <f>IF(X271="","",IFERROR(INDEX($AR$11:$AR$4010,MATCH(261,$AY$11:$AY$4010,0)),""))</f>
        <v/>
      </c>
      <c r="AD271" s="16" t="str">
        <f>IF(AE271="","",IFERROR(INDEX($AL$11:$AL$4010,MATCH(261,$AZ$11:$AZ$4010,0)),""))</f>
        <v/>
      </c>
      <c r="AE271" s="12" t="str">
        <f>IFERROR(INDEX($AM$11:$AM$4010,MATCH(261,$AZ$11:$AZ$4010,0)),"")</f>
        <v/>
      </c>
      <c r="AF271" s="11" t="str">
        <f>IF(AE271="","",IFERROR(INDEX($AN$11:$AN$4010,MATCH(261,$AZ$11:$AZ$4010,0)),""))</f>
        <v/>
      </c>
      <c r="AG271" s="11" t="str">
        <f>IF(AE271="","",IFERROR(INDEX($AO$11:$AO$4010,MATCH(261,$AZ$11:$AZ$4010,0)),""))</f>
        <v/>
      </c>
      <c r="AH271" s="10" t="str">
        <f>IF(AE271="","",IFERROR(INDEX($AQ$11:$AQ$4010,MATCH(261,$AZ$11:$AZ$4010,0)),""))</f>
        <v/>
      </c>
      <c r="AI271" s="15" t="str">
        <f>IF(AE271="","",IFERROR(INDEX($AR$11:$AR$4010,MATCH(261,$AZ$11:$AZ$4010,0)),""))</f>
        <v/>
      </c>
      <c r="AJ271" s="15" t="str">
        <f>IF(AE271="","",IFERROR(INDEX($AT$11:$AT$4010,MATCH(261,$AZ$11:$AZ$4010,0)),""))</f>
        <v/>
      </c>
      <c r="AL271" s="17" t="str">
        <f t="shared" si="63"/>
        <v/>
      </c>
      <c r="AM271" s="12" t="str">
        <f t="shared" si="64"/>
        <v/>
      </c>
      <c r="AN271" s="18" t="str">
        <f t="shared" si="65"/>
        <v/>
      </c>
      <c r="AO271" s="18" t="str">
        <f t="shared" si="66"/>
        <v/>
      </c>
      <c r="AP271" s="10" t="str">
        <f t="shared" si="67"/>
        <v/>
      </c>
      <c r="AQ271" s="10" t="str">
        <f t="shared" si="68"/>
        <v/>
      </c>
      <c r="AR271" s="19" t="str">
        <f t="shared" si="69"/>
        <v/>
      </c>
      <c r="AS271" s="20"/>
      <c r="AT271" s="19"/>
      <c r="AV271" s="21">
        <f>IF(AND($AL271&lt;&gt;"",COUNTIF($AL$11:$AL271,$AL271)=1),1,0)</f>
        <v>0</v>
      </c>
      <c r="AW271" s="21">
        <f t="shared" si="71"/>
        <v>2</v>
      </c>
      <c r="AX271" s="21" t="str">
        <f t="shared" si="70"/>
        <v/>
      </c>
      <c r="AY271" s="21" t="str">
        <f>IF(AND($AM271&lt;&gt;"",$AS271&lt;&gt;"✓"),SUMPRODUCT(($AM$11:$AM271&lt;&gt;"")*($AS$11:$AS271&lt;&gt;"✓")),"")</f>
        <v/>
      </c>
      <c r="AZ271" s="21" t="str">
        <f>IF(AND($AM271&lt;&gt;"",$AS271="✓"),SUMPRODUCT(($AM$11:$AM271&lt;&gt;"")*($AS$11:$AS271="✓")),"")</f>
        <v/>
      </c>
      <c r="BA271" s="21" t="str">
        <f>IF($AL271="","",$AL271&amp;"|"&amp;COUNTIF($AL$11:$AL271,$AL271))</f>
        <v/>
      </c>
    </row>
    <row r="272" spans="2:53" ht="15" customHeight="1" x14ac:dyDescent="0.25">
      <c r="B272" s="5" t="str">
        <f t="shared" si="59"/>
        <v/>
      </c>
      <c r="C272" s="5"/>
      <c r="D272" s="5"/>
      <c r="E272" s="5"/>
      <c r="F272" s="6"/>
      <c r="G272" s="6"/>
      <c r="H272" s="7"/>
      <c r="I272" s="8"/>
      <c r="K272" s="23" t="str">
        <f>IFERROR(INDEX($AL$11:$AL$4010,MATCH(262,$AX$11:$AX$4010,0)),"")</f>
        <v/>
      </c>
      <c r="L272" s="24" t="str">
        <f t="shared" si="60"/>
        <v/>
      </c>
      <c r="M272" s="25" t="str">
        <f t="shared" si="61"/>
        <v/>
      </c>
      <c r="N272" s="25" t="str">
        <f t="shared" si="62"/>
        <v/>
      </c>
      <c r="W272" s="28" t="str">
        <f>IF(X272="","",IFERROR(INDEX($AL$11:$AL$4010,MATCH(262,$AY$11:$AY$4010,0)),""))</f>
        <v/>
      </c>
      <c r="X272" s="26" t="str">
        <f>IFERROR(INDEX($AM$11:$AM$4010,MATCH(262,$AY$11:$AY$4010,0)),"")</f>
        <v/>
      </c>
      <c r="Y272" s="25" t="str">
        <f>IF(X272="","",IFERROR(INDEX($AN$11:$AN$4010,MATCH(262,$AY$11:$AY$4010,0)),""))</f>
        <v/>
      </c>
      <c r="Z272" s="25" t="str">
        <f>IF(X272="","",IFERROR(INDEX($AO$11:$AO$4010,MATCH(262,$AY$11:$AY$4010,0)),""))</f>
        <v/>
      </c>
      <c r="AA272" s="24" t="str">
        <f>IF(X272="","",IFERROR(INDEX($AQ$11:$AQ$4010,MATCH(262,$AY$11:$AY$4010,0)),""))</f>
        <v/>
      </c>
      <c r="AB272" s="29" t="str">
        <f>IF(X272="","",IFERROR(INDEX($AR$11:$AR$4010,MATCH(262,$AY$11:$AY$4010,0)),""))</f>
        <v/>
      </c>
      <c r="AD272" s="30" t="str">
        <f>IF(AE272="","",IFERROR(INDEX($AL$11:$AL$4010,MATCH(262,$AZ$11:$AZ$4010,0)),""))</f>
        <v/>
      </c>
      <c r="AE272" s="26" t="str">
        <f>IFERROR(INDEX($AM$11:$AM$4010,MATCH(262,$AZ$11:$AZ$4010,0)),"")</f>
        <v/>
      </c>
      <c r="AF272" s="25" t="str">
        <f>IF(AE272="","",IFERROR(INDEX($AN$11:$AN$4010,MATCH(262,$AZ$11:$AZ$4010,0)),""))</f>
        <v/>
      </c>
      <c r="AG272" s="25" t="str">
        <f>IF(AE272="","",IFERROR(INDEX($AO$11:$AO$4010,MATCH(262,$AZ$11:$AZ$4010,0)),""))</f>
        <v/>
      </c>
      <c r="AH272" s="24" t="str">
        <f>IF(AE272="","",IFERROR(INDEX($AQ$11:$AQ$4010,MATCH(262,$AZ$11:$AZ$4010,0)),""))</f>
        <v/>
      </c>
      <c r="AI272" s="29" t="str">
        <f>IF(AE272="","",IFERROR(INDEX($AR$11:$AR$4010,MATCH(262,$AZ$11:$AZ$4010,0)),""))</f>
        <v/>
      </c>
      <c r="AJ272" s="29" t="str">
        <f>IF(AE272="","",IFERROR(INDEX($AT$11:$AT$4010,MATCH(262,$AZ$11:$AZ$4010,0)),""))</f>
        <v/>
      </c>
      <c r="AL272" s="31" t="str">
        <f t="shared" si="63"/>
        <v/>
      </c>
      <c r="AM272" s="26" t="str">
        <f t="shared" si="64"/>
        <v/>
      </c>
      <c r="AN272" s="32" t="str">
        <f t="shared" si="65"/>
        <v/>
      </c>
      <c r="AO272" s="32" t="str">
        <f t="shared" si="66"/>
        <v/>
      </c>
      <c r="AP272" s="24" t="str">
        <f t="shared" si="67"/>
        <v/>
      </c>
      <c r="AQ272" s="24" t="str">
        <f t="shared" si="68"/>
        <v/>
      </c>
      <c r="AR272" s="33" t="str">
        <f t="shared" si="69"/>
        <v/>
      </c>
      <c r="AS272" s="34"/>
      <c r="AT272" s="33"/>
      <c r="AV272" s="21">
        <f>IF(AND($AL272&lt;&gt;"",COUNTIF($AL$11:$AL272,$AL272)=1),1,0)</f>
        <v>0</v>
      </c>
      <c r="AW272" s="21">
        <f t="shared" si="71"/>
        <v>2</v>
      </c>
      <c r="AX272" s="21" t="str">
        <f t="shared" si="70"/>
        <v/>
      </c>
      <c r="AY272" s="21" t="str">
        <f>IF(AND($AM272&lt;&gt;"",$AS272&lt;&gt;"✓"),SUMPRODUCT(($AM$11:$AM272&lt;&gt;"")*($AS$11:$AS272&lt;&gt;"✓")),"")</f>
        <v/>
      </c>
      <c r="AZ272" s="21" t="str">
        <f>IF(AND($AM272&lt;&gt;"",$AS272="✓"),SUMPRODUCT(($AM$11:$AM272&lt;&gt;"")*($AS$11:$AS272="✓")),"")</f>
        <v/>
      </c>
      <c r="BA272" s="21" t="str">
        <f>IF($AL272="","",$AL272&amp;"|"&amp;COUNTIF($AL$11:$AL272,$AL272))</f>
        <v/>
      </c>
    </row>
    <row r="273" spans="2:53" ht="15" customHeight="1" x14ac:dyDescent="0.25">
      <c r="B273" s="5" t="str">
        <f t="shared" si="59"/>
        <v/>
      </c>
      <c r="C273" s="5"/>
      <c r="D273" s="5"/>
      <c r="E273" s="5"/>
      <c r="F273" s="6"/>
      <c r="G273" s="6"/>
      <c r="H273" s="7"/>
      <c r="I273" s="8"/>
      <c r="K273" s="9" t="str">
        <f>IFERROR(INDEX($AL$11:$AL$4010,MATCH(263,$AX$11:$AX$4010,0)),"")</f>
        <v/>
      </c>
      <c r="L273" s="10" t="str">
        <f t="shared" si="60"/>
        <v/>
      </c>
      <c r="M273" s="11" t="str">
        <f t="shared" si="61"/>
        <v/>
      </c>
      <c r="N273" s="11" t="str">
        <f t="shared" si="62"/>
        <v/>
      </c>
      <c r="W273" s="14" t="str">
        <f>IF(X273="","",IFERROR(INDEX($AL$11:$AL$4010,MATCH(263,$AY$11:$AY$4010,0)),""))</f>
        <v/>
      </c>
      <c r="X273" s="12" t="str">
        <f>IFERROR(INDEX($AM$11:$AM$4010,MATCH(263,$AY$11:$AY$4010,0)),"")</f>
        <v/>
      </c>
      <c r="Y273" s="11" t="str">
        <f>IF(X273="","",IFERROR(INDEX($AN$11:$AN$4010,MATCH(263,$AY$11:$AY$4010,0)),""))</f>
        <v/>
      </c>
      <c r="Z273" s="11" t="str">
        <f>IF(X273="","",IFERROR(INDEX($AO$11:$AO$4010,MATCH(263,$AY$11:$AY$4010,0)),""))</f>
        <v/>
      </c>
      <c r="AA273" s="10" t="str">
        <f>IF(X273="","",IFERROR(INDEX($AQ$11:$AQ$4010,MATCH(263,$AY$11:$AY$4010,0)),""))</f>
        <v/>
      </c>
      <c r="AB273" s="15" t="str">
        <f>IF(X273="","",IFERROR(INDEX($AR$11:$AR$4010,MATCH(263,$AY$11:$AY$4010,0)),""))</f>
        <v/>
      </c>
      <c r="AD273" s="16" t="str">
        <f>IF(AE273="","",IFERROR(INDEX($AL$11:$AL$4010,MATCH(263,$AZ$11:$AZ$4010,0)),""))</f>
        <v/>
      </c>
      <c r="AE273" s="12" t="str">
        <f>IFERROR(INDEX($AM$11:$AM$4010,MATCH(263,$AZ$11:$AZ$4010,0)),"")</f>
        <v/>
      </c>
      <c r="AF273" s="11" t="str">
        <f>IF(AE273="","",IFERROR(INDEX($AN$11:$AN$4010,MATCH(263,$AZ$11:$AZ$4010,0)),""))</f>
        <v/>
      </c>
      <c r="AG273" s="11" t="str">
        <f>IF(AE273="","",IFERROR(INDEX($AO$11:$AO$4010,MATCH(263,$AZ$11:$AZ$4010,0)),""))</f>
        <v/>
      </c>
      <c r="AH273" s="10" t="str">
        <f>IF(AE273="","",IFERROR(INDEX($AQ$11:$AQ$4010,MATCH(263,$AZ$11:$AZ$4010,0)),""))</f>
        <v/>
      </c>
      <c r="AI273" s="15" t="str">
        <f>IF(AE273="","",IFERROR(INDEX($AR$11:$AR$4010,MATCH(263,$AZ$11:$AZ$4010,0)),""))</f>
        <v/>
      </c>
      <c r="AJ273" s="15" t="str">
        <f>IF(AE273="","",IFERROR(INDEX($AT$11:$AT$4010,MATCH(263,$AZ$11:$AZ$4010,0)),""))</f>
        <v/>
      </c>
      <c r="AL273" s="17" t="str">
        <f t="shared" si="63"/>
        <v/>
      </c>
      <c r="AM273" s="12" t="str">
        <f t="shared" si="64"/>
        <v/>
      </c>
      <c r="AN273" s="18" t="str">
        <f t="shared" si="65"/>
        <v/>
      </c>
      <c r="AO273" s="18" t="str">
        <f t="shared" si="66"/>
        <v/>
      </c>
      <c r="AP273" s="10" t="str">
        <f t="shared" si="67"/>
        <v/>
      </c>
      <c r="AQ273" s="10" t="str">
        <f t="shared" si="68"/>
        <v/>
      </c>
      <c r="AR273" s="19" t="str">
        <f t="shared" si="69"/>
        <v/>
      </c>
      <c r="AS273" s="20"/>
      <c r="AT273" s="19"/>
      <c r="AV273" s="21">
        <f>IF(AND($AL273&lt;&gt;"",COUNTIF($AL$11:$AL273,$AL273)=1),1,0)</f>
        <v>0</v>
      </c>
      <c r="AW273" s="21">
        <f t="shared" si="71"/>
        <v>2</v>
      </c>
      <c r="AX273" s="21" t="str">
        <f t="shared" si="70"/>
        <v/>
      </c>
      <c r="AY273" s="21" t="str">
        <f>IF(AND($AM273&lt;&gt;"",$AS273&lt;&gt;"✓"),SUMPRODUCT(($AM$11:$AM273&lt;&gt;"")*($AS$11:$AS273&lt;&gt;"✓")),"")</f>
        <v/>
      </c>
      <c r="AZ273" s="21" t="str">
        <f>IF(AND($AM273&lt;&gt;"",$AS273="✓"),SUMPRODUCT(($AM$11:$AM273&lt;&gt;"")*($AS$11:$AS273="✓")),"")</f>
        <v/>
      </c>
      <c r="BA273" s="21" t="str">
        <f>IF($AL273="","",$AL273&amp;"|"&amp;COUNTIF($AL$11:$AL273,$AL273))</f>
        <v/>
      </c>
    </row>
    <row r="274" spans="2:53" ht="15" customHeight="1" x14ac:dyDescent="0.25">
      <c r="B274" s="5" t="str">
        <f t="shared" si="59"/>
        <v/>
      </c>
      <c r="C274" s="5"/>
      <c r="D274" s="5"/>
      <c r="E274" s="5"/>
      <c r="F274" s="6"/>
      <c r="G274" s="6"/>
      <c r="H274" s="7"/>
      <c r="I274" s="8"/>
      <c r="K274" s="23" t="str">
        <f>IFERROR(INDEX($AL$11:$AL$4010,MATCH(264,$AX$11:$AX$4010,0)),"")</f>
        <v/>
      </c>
      <c r="L274" s="24" t="str">
        <f t="shared" si="60"/>
        <v/>
      </c>
      <c r="M274" s="25" t="str">
        <f t="shared" si="61"/>
        <v/>
      </c>
      <c r="N274" s="25" t="str">
        <f t="shared" si="62"/>
        <v/>
      </c>
      <c r="W274" s="28" t="str">
        <f>IF(X274="","",IFERROR(INDEX($AL$11:$AL$4010,MATCH(264,$AY$11:$AY$4010,0)),""))</f>
        <v/>
      </c>
      <c r="X274" s="26" t="str">
        <f>IFERROR(INDEX($AM$11:$AM$4010,MATCH(264,$AY$11:$AY$4010,0)),"")</f>
        <v/>
      </c>
      <c r="Y274" s="25" t="str">
        <f>IF(X274="","",IFERROR(INDEX($AN$11:$AN$4010,MATCH(264,$AY$11:$AY$4010,0)),""))</f>
        <v/>
      </c>
      <c r="Z274" s="25" t="str">
        <f>IF(X274="","",IFERROR(INDEX($AO$11:$AO$4010,MATCH(264,$AY$11:$AY$4010,0)),""))</f>
        <v/>
      </c>
      <c r="AA274" s="24" t="str">
        <f>IF(X274="","",IFERROR(INDEX($AQ$11:$AQ$4010,MATCH(264,$AY$11:$AY$4010,0)),""))</f>
        <v/>
      </c>
      <c r="AB274" s="29" t="str">
        <f>IF(X274="","",IFERROR(INDEX($AR$11:$AR$4010,MATCH(264,$AY$11:$AY$4010,0)),""))</f>
        <v/>
      </c>
      <c r="AD274" s="30" t="str">
        <f>IF(AE274="","",IFERROR(INDEX($AL$11:$AL$4010,MATCH(264,$AZ$11:$AZ$4010,0)),""))</f>
        <v/>
      </c>
      <c r="AE274" s="26" t="str">
        <f>IFERROR(INDEX($AM$11:$AM$4010,MATCH(264,$AZ$11:$AZ$4010,0)),"")</f>
        <v/>
      </c>
      <c r="AF274" s="25" t="str">
        <f>IF(AE274="","",IFERROR(INDEX($AN$11:$AN$4010,MATCH(264,$AZ$11:$AZ$4010,0)),""))</f>
        <v/>
      </c>
      <c r="AG274" s="25" t="str">
        <f>IF(AE274="","",IFERROR(INDEX($AO$11:$AO$4010,MATCH(264,$AZ$11:$AZ$4010,0)),""))</f>
        <v/>
      </c>
      <c r="AH274" s="24" t="str">
        <f>IF(AE274="","",IFERROR(INDEX($AQ$11:$AQ$4010,MATCH(264,$AZ$11:$AZ$4010,0)),""))</f>
        <v/>
      </c>
      <c r="AI274" s="29" t="str">
        <f>IF(AE274="","",IFERROR(INDEX($AR$11:$AR$4010,MATCH(264,$AZ$11:$AZ$4010,0)),""))</f>
        <v/>
      </c>
      <c r="AJ274" s="29" t="str">
        <f>IF(AE274="","",IFERROR(INDEX($AT$11:$AT$4010,MATCH(264,$AZ$11:$AZ$4010,0)),""))</f>
        <v/>
      </c>
      <c r="AL274" s="31" t="str">
        <f t="shared" si="63"/>
        <v/>
      </c>
      <c r="AM274" s="26" t="str">
        <f t="shared" si="64"/>
        <v/>
      </c>
      <c r="AN274" s="32" t="str">
        <f t="shared" si="65"/>
        <v/>
      </c>
      <c r="AO274" s="32" t="str">
        <f t="shared" si="66"/>
        <v/>
      </c>
      <c r="AP274" s="24" t="str">
        <f t="shared" si="67"/>
        <v/>
      </c>
      <c r="AQ274" s="24" t="str">
        <f t="shared" si="68"/>
        <v/>
      </c>
      <c r="AR274" s="33" t="str">
        <f t="shared" si="69"/>
        <v/>
      </c>
      <c r="AS274" s="34"/>
      <c r="AT274" s="33"/>
      <c r="AV274" s="21">
        <f>IF(AND($AL274&lt;&gt;"",COUNTIF($AL$11:$AL274,$AL274)=1),1,0)</f>
        <v>0</v>
      </c>
      <c r="AW274" s="21">
        <f t="shared" si="71"/>
        <v>2</v>
      </c>
      <c r="AX274" s="21" t="str">
        <f t="shared" si="70"/>
        <v/>
      </c>
      <c r="AY274" s="21" t="str">
        <f>IF(AND($AM274&lt;&gt;"",$AS274&lt;&gt;"✓"),SUMPRODUCT(($AM$11:$AM274&lt;&gt;"")*($AS$11:$AS274&lt;&gt;"✓")),"")</f>
        <v/>
      </c>
      <c r="AZ274" s="21" t="str">
        <f>IF(AND($AM274&lt;&gt;"",$AS274="✓"),SUMPRODUCT(($AM$11:$AM274&lt;&gt;"")*($AS$11:$AS274="✓")),"")</f>
        <v/>
      </c>
      <c r="BA274" s="21" t="str">
        <f>IF($AL274="","",$AL274&amp;"|"&amp;COUNTIF($AL$11:$AL274,$AL274))</f>
        <v/>
      </c>
    </row>
    <row r="275" spans="2:53" ht="15" customHeight="1" x14ac:dyDescent="0.25">
      <c r="B275" s="5" t="str">
        <f t="shared" si="59"/>
        <v/>
      </c>
      <c r="C275" s="5"/>
      <c r="D275" s="5"/>
      <c r="E275" s="5"/>
      <c r="F275" s="6"/>
      <c r="G275" s="6"/>
      <c r="H275" s="7"/>
      <c r="I275" s="8"/>
      <c r="K275" s="9" t="str">
        <f>IFERROR(INDEX($AL$11:$AL$4010,MATCH(265,$AX$11:$AX$4010,0)),"")</f>
        <v/>
      </c>
      <c r="L275" s="10" t="str">
        <f t="shared" si="60"/>
        <v/>
      </c>
      <c r="M275" s="11" t="str">
        <f t="shared" si="61"/>
        <v/>
      </c>
      <c r="N275" s="11" t="str">
        <f t="shared" si="62"/>
        <v/>
      </c>
      <c r="W275" s="14" t="str">
        <f>IF(X275="","",IFERROR(INDEX($AL$11:$AL$4010,MATCH(265,$AY$11:$AY$4010,0)),""))</f>
        <v/>
      </c>
      <c r="X275" s="12" t="str">
        <f>IFERROR(INDEX($AM$11:$AM$4010,MATCH(265,$AY$11:$AY$4010,0)),"")</f>
        <v/>
      </c>
      <c r="Y275" s="11" t="str">
        <f>IF(X275="","",IFERROR(INDEX($AN$11:$AN$4010,MATCH(265,$AY$11:$AY$4010,0)),""))</f>
        <v/>
      </c>
      <c r="Z275" s="11" t="str">
        <f>IF(X275="","",IFERROR(INDEX($AO$11:$AO$4010,MATCH(265,$AY$11:$AY$4010,0)),""))</f>
        <v/>
      </c>
      <c r="AA275" s="10" t="str">
        <f>IF(X275="","",IFERROR(INDEX($AQ$11:$AQ$4010,MATCH(265,$AY$11:$AY$4010,0)),""))</f>
        <v/>
      </c>
      <c r="AB275" s="15" t="str">
        <f>IF(X275="","",IFERROR(INDEX($AR$11:$AR$4010,MATCH(265,$AY$11:$AY$4010,0)),""))</f>
        <v/>
      </c>
      <c r="AD275" s="16" t="str">
        <f>IF(AE275="","",IFERROR(INDEX($AL$11:$AL$4010,MATCH(265,$AZ$11:$AZ$4010,0)),""))</f>
        <v/>
      </c>
      <c r="AE275" s="12" t="str">
        <f>IFERROR(INDEX($AM$11:$AM$4010,MATCH(265,$AZ$11:$AZ$4010,0)),"")</f>
        <v/>
      </c>
      <c r="AF275" s="11" t="str">
        <f>IF(AE275="","",IFERROR(INDEX($AN$11:$AN$4010,MATCH(265,$AZ$11:$AZ$4010,0)),""))</f>
        <v/>
      </c>
      <c r="AG275" s="11" t="str">
        <f>IF(AE275="","",IFERROR(INDEX($AO$11:$AO$4010,MATCH(265,$AZ$11:$AZ$4010,0)),""))</f>
        <v/>
      </c>
      <c r="AH275" s="10" t="str">
        <f>IF(AE275="","",IFERROR(INDEX($AQ$11:$AQ$4010,MATCH(265,$AZ$11:$AZ$4010,0)),""))</f>
        <v/>
      </c>
      <c r="AI275" s="15" t="str">
        <f>IF(AE275="","",IFERROR(INDEX($AR$11:$AR$4010,MATCH(265,$AZ$11:$AZ$4010,0)),""))</f>
        <v/>
      </c>
      <c r="AJ275" s="15" t="str">
        <f>IF(AE275="","",IFERROR(INDEX($AT$11:$AT$4010,MATCH(265,$AZ$11:$AZ$4010,0)),""))</f>
        <v/>
      </c>
      <c r="AL275" s="17" t="str">
        <f t="shared" si="63"/>
        <v/>
      </c>
      <c r="AM275" s="12" t="str">
        <f t="shared" si="64"/>
        <v/>
      </c>
      <c r="AN275" s="18" t="str">
        <f t="shared" si="65"/>
        <v/>
      </c>
      <c r="AO275" s="18" t="str">
        <f t="shared" si="66"/>
        <v/>
      </c>
      <c r="AP275" s="10" t="str">
        <f t="shared" si="67"/>
        <v/>
      </c>
      <c r="AQ275" s="10" t="str">
        <f t="shared" si="68"/>
        <v/>
      </c>
      <c r="AR275" s="19" t="str">
        <f t="shared" si="69"/>
        <v/>
      </c>
      <c r="AS275" s="20"/>
      <c r="AT275" s="19"/>
      <c r="AV275" s="21">
        <f>IF(AND($AL275&lt;&gt;"",COUNTIF($AL$11:$AL275,$AL275)=1),1,0)</f>
        <v>0</v>
      </c>
      <c r="AW275" s="21">
        <f t="shared" si="71"/>
        <v>2</v>
      </c>
      <c r="AX275" s="21" t="str">
        <f t="shared" si="70"/>
        <v/>
      </c>
      <c r="AY275" s="21" t="str">
        <f>IF(AND($AM275&lt;&gt;"",$AS275&lt;&gt;"✓"),SUMPRODUCT(($AM$11:$AM275&lt;&gt;"")*($AS$11:$AS275&lt;&gt;"✓")),"")</f>
        <v/>
      </c>
      <c r="AZ275" s="21" t="str">
        <f>IF(AND($AM275&lt;&gt;"",$AS275="✓"),SUMPRODUCT(($AM$11:$AM275&lt;&gt;"")*($AS$11:$AS275="✓")),"")</f>
        <v/>
      </c>
      <c r="BA275" s="21" t="str">
        <f>IF($AL275="","",$AL275&amp;"|"&amp;COUNTIF($AL$11:$AL275,$AL275))</f>
        <v/>
      </c>
    </row>
    <row r="276" spans="2:53" ht="15" customHeight="1" x14ac:dyDescent="0.25">
      <c r="B276" s="5" t="str">
        <f t="shared" si="59"/>
        <v/>
      </c>
      <c r="C276" s="5"/>
      <c r="D276" s="5"/>
      <c r="E276" s="5"/>
      <c r="F276" s="6"/>
      <c r="G276" s="6"/>
      <c r="H276" s="7"/>
      <c r="I276" s="8"/>
      <c r="K276" s="23" t="str">
        <f>IFERROR(INDEX($AL$11:$AL$4010,MATCH(266,$AX$11:$AX$4010,0)),"")</f>
        <v/>
      </c>
      <c r="L276" s="24" t="str">
        <f t="shared" si="60"/>
        <v/>
      </c>
      <c r="M276" s="25" t="str">
        <f t="shared" si="61"/>
        <v/>
      </c>
      <c r="N276" s="25" t="str">
        <f t="shared" si="62"/>
        <v/>
      </c>
      <c r="W276" s="28" t="str">
        <f>IF(X276="","",IFERROR(INDEX($AL$11:$AL$4010,MATCH(266,$AY$11:$AY$4010,0)),""))</f>
        <v/>
      </c>
      <c r="X276" s="26" t="str">
        <f>IFERROR(INDEX($AM$11:$AM$4010,MATCH(266,$AY$11:$AY$4010,0)),"")</f>
        <v/>
      </c>
      <c r="Y276" s="25" t="str">
        <f>IF(X276="","",IFERROR(INDEX($AN$11:$AN$4010,MATCH(266,$AY$11:$AY$4010,0)),""))</f>
        <v/>
      </c>
      <c r="Z276" s="25" t="str">
        <f>IF(X276="","",IFERROR(INDEX($AO$11:$AO$4010,MATCH(266,$AY$11:$AY$4010,0)),""))</f>
        <v/>
      </c>
      <c r="AA276" s="24" t="str">
        <f>IF(X276="","",IFERROR(INDEX($AQ$11:$AQ$4010,MATCH(266,$AY$11:$AY$4010,0)),""))</f>
        <v/>
      </c>
      <c r="AB276" s="29" t="str">
        <f>IF(X276="","",IFERROR(INDEX($AR$11:$AR$4010,MATCH(266,$AY$11:$AY$4010,0)),""))</f>
        <v/>
      </c>
      <c r="AD276" s="30" t="str">
        <f>IF(AE276="","",IFERROR(INDEX($AL$11:$AL$4010,MATCH(266,$AZ$11:$AZ$4010,0)),""))</f>
        <v/>
      </c>
      <c r="AE276" s="26" t="str">
        <f>IFERROR(INDEX($AM$11:$AM$4010,MATCH(266,$AZ$11:$AZ$4010,0)),"")</f>
        <v/>
      </c>
      <c r="AF276" s="25" t="str">
        <f>IF(AE276="","",IFERROR(INDEX($AN$11:$AN$4010,MATCH(266,$AZ$11:$AZ$4010,0)),""))</f>
        <v/>
      </c>
      <c r="AG276" s="25" t="str">
        <f>IF(AE276="","",IFERROR(INDEX($AO$11:$AO$4010,MATCH(266,$AZ$11:$AZ$4010,0)),""))</f>
        <v/>
      </c>
      <c r="AH276" s="24" t="str">
        <f>IF(AE276="","",IFERROR(INDEX($AQ$11:$AQ$4010,MATCH(266,$AZ$11:$AZ$4010,0)),""))</f>
        <v/>
      </c>
      <c r="AI276" s="29" t="str">
        <f>IF(AE276="","",IFERROR(INDEX($AR$11:$AR$4010,MATCH(266,$AZ$11:$AZ$4010,0)),""))</f>
        <v/>
      </c>
      <c r="AJ276" s="29" t="str">
        <f>IF(AE276="","",IFERROR(INDEX($AT$11:$AT$4010,MATCH(266,$AZ$11:$AZ$4010,0)),""))</f>
        <v/>
      </c>
      <c r="AL276" s="31" t="str">
        <f t="shared" si="63"/>
        <v/>
      </c>
      <c r="AM276" s="26" t="str">
        <f t="shared" si="64"/>
        <v/>
      </c>
      <c r="AN276" s="32" t="str">
        <f t="shared" si="65"/>
        <v/>
      </c>
      <c r="AO276" s="32" t="str">
        <f t="shared" si="66"/>
        <v/>
      </c>
      <c r="AP276" s="24" t="str">
        <f t="shared" si="67"/>
        <v/>
      </c>
      <c r="AQ276" s="24" t="str">
        <f t="shared" si="68"/>
        <v/>
      </c>
      <c r="AR276" s="33" t="str">
        <f t="shared" si="69"/>
        <v/>
      </c>
      <c r="AS276" s="34"/>
      <c r="AT276" s="33"/>
      <c r="AV276" s="21">
        <f>IF(AND($AL276&lt;&gt;"",COUNTIF($AL$11:$AL276,$AL276)=1),1,0)</f>
        <v>0</v>
      </c>
      <c r="AW276" s="21">
        <f t="shared" si="71"/>
        <v>2</v>
      </c>
      <c r="AX276" s="21" t="str">
        <f t="shared" si="70"/>
        <v/>
      </c>
      <c r="AY276" s="21" t="str">
        <f>IF(AND($AM276&lt;&gt;"",$AS276&lt;&gt;"✓"),SUMPRODUCT(($AM$11:$AM276&lt;&gt;"")*($AS$11:$AS276&lt;&gt;"✓")),"")</f>
        <v/>
      </c>
      <c r="AZ276" s="21" t="str">
        <f>IF(AND($AM276&lt;&gt;"",$AS276="✓"),SUMPRODUCT(($AM$11:$AM276&lt;&gt;"")*($AS$11:$AS276="✓")),"")</f>
        <v/>
      </c>
      <c r="BA276" s="21" t="str">
        <f>IF($AL276="","",$AL276&amp;"|"&amp;COUNTIF($AL$11:$AL276,$AL276))</f>
        <v/>
      </c>
    </row>
    <row r="277" spans="2:53" ht="15" customHeight="1" x14ac:dyDescent="0.25">
      <c r="B277" s="5" t="str">
        <f t="shared" si="59"/>
        <v/>
      </c>
      <c r="C277" s="5"/>
      <c r="D277" s="5"/>
      <c r="E277" s="5"/>
      <c r="F277" s="6"/>
      <c r="G277" s="6"/>
      <c r="H277" s="7"/>
      <c r="I277" s="8"/>
      <c r="K277" s="9" t="str">
        <f>IFERROR(INDEX($AL$11:$AL$4010,MATCH(267,$AX$11:$AX$4010,0)),"")</f>
        <v/>
      </c>
      <c r="L277" s="10" t="str">
        <f t="shared" si="60"/>
        <v/>
      </c>
      <c r="M277" s="11" t="str">
        <f t="shared" si="61"/>
        <v/>
      </c>
      <c r="N277" s="11" t="str">
        <f t="shared" si="62"/>
        <v/>
      </c>
      <c r="W277" s="14" t="str">
        <f>IF(X277="","",IFERROR(INDEX($AL$11:$AL$4010,MATCH(267,$AY$11:$AY$4010,0)),""))</f>
        <v/>
      </c>
      <c r="X277" s="12" t="str">
        <f>IFERROR(INDEX($AM$11:$AM$4010,MATCH(267,$AY$11:$AY$4010,0)),"")</f>
        <v/>
      </c>
      <c r="Y277" s="11" t="str">
        <f>IF(X277="","",IFERROR(INDEX($AN$11:$AN$4010,MATCH(267,$AY$11:$AY$4010,0)),""))</f>
        <v/>
      </c>
      <c r="Z277" s="11" t="str">
        <f>IF(X277="","",IFERROR(INDEX($AO$11:$AO$4010,MATCH(267,$AY$11:$AY$4010,0)),""))</f>
        <v/>
      </c>
      <c r="AA277" s="10" t="str">
        <f>IF(X277="","",IFERROR(INDEX($AQ$11:$AQ$4010,MATCH(267,$AY$11:$AY$4010,0)),""))</f>
        <v/>
      </c>
      <c r="AB277" s="15" t="str">
        <f>IF(X277="","",IFERROR(INDEX($AR$11:$AR$4010,MATCH(267,$AY$11:$AY$4010,0)),""))</f>
        <v/>
      </c>
      <c r="AD277" s="16" t="str">
        <f>IF(AE277="","",IFERROR(INDEX($AL$11:$AL$4010,MATCH(267,$AZ$11:$AZ$4010,0)),""))</f>
        <v/>
      </c>
      <c r="AE277" s="12" t="str">
        <f>IFERROR(INDEX($AM$11:$AM$4010,MATCH(267,$AZ$11:$AZ$4010,0)),"")</f>
        <v/>
      </c>
      <c r="AF277" s="11" t="str">
        <f>IF(AE277="","",IFERROR(INDEX($AN$11:$AN$4010,MATCH(267,$AZ$11:$AZ$4010,0)),""))</f>
        <v/>
      </c>
      <c r="AG277" s="11" t="str">
        <f>IF(AE277="","",IFERROR(INDEX($AO$11:$AO$4010,MATCH(267,$AZ$11:$AZ$4010,0)),""))</f>
        <v/>
      </c>
      <c r="AH277" s="10" t="str">
        <f>IF(AE277="","",IFERROR(INDEX($AQ$11:$AQ$4010,MATCH(267,$AZ$11:$AZ$4010,0)),""))</f>
        <v/>
      </c>
      <c r="AI277" s="15" t="str">
        <f>IF(AE277="","",IFERROR(INDEX($AR$11:$AR$4010,MATCH(267,$AZ$11:$AZ$4010,0)),""))</f>
        <v/>
      </c>
      <c r="AJ277" s="15" t="str">
        <f>IF(AE277="","",IFERROR(INDEX($AT$11:$AT$4010,MATCH(267,$AZ$11:$AZ$4010,0)),""))</f>
        <v/>
      </c>
      <c r="AL277" s="17" t="str">
        <f t="shared" si="63"/>
        <v/>
      </c>
      <c r="AM277" s="12" t="str">
        <f t="shared" si="64"/>
        <v/>
      </c>
      <c r="AN277" s="18" t="str">
        <f t="shared" si="65"/>
        <v/>
      </c>
      <c r="AO277" s="18" t="str">
        <f t="shared" si="66"/>
        <v/>
      </c>
      <c r="AP277" s="10" t="str">
        <f t="shared" si="67"/>
        <v/>
      </c>
      <c r="AQ277" s="10" t="str">
        <f t="shared" si="68"/>
        <v/>
      </c>
      <c r="AR277" s="19" t="str">
        <f t="shared" si="69"/>
        <v/>
      </c>
      <c r="AS277" s="20"/>
      <c r="AT277" s="19"/>
      <c r="AV277" s="21">
        <f>IF(AND($AL277&lt;&gt;"",COUNTIF($AL$11:$AL277,$AL277)=1),1,0)</f>
        <v>0</v>
      </c>
      <c r="AW277" s="21">
        <f t="shared" si="71"/>
        <v>2</v>
      </c>
      <c r="AX277" s="21" t="str">
        <f t="shared" si="70"/>
        <v/>
      </c>
      <c r="AY277" s="21" t="str">
        <f>IF(AND($AM277&lt;&gt;"",$AS277&lt;&gt;"✓"),SUMPRODUCT(($AM$11:$AM277&lt;&gt;"")*($AS$11:$AS277&lt;&gt;"✓")),"")</f>
        <v/>
      </c>
      <c r="AZ277" s="21" t="str">
        <f>IF(AND($AM277&lt;&gt;"",$AS277="✓"),SUMPRODUCT(($AM$11:$AM277&lt;&gt;"")*($AS$11:$AS277="✓")),"")</f>
        <v/>
      </c>
      <c r="BA277" s="21" t="str">
        <f>IF($AL277="","",$AL277&amp;"|"&amp;COUNTIF($AL$11:$AL277,$AL277))</f>
        <v/>
      </c>
    </row>
    <row r="278" spans="2:53" ht="15" customHeight="1" x14ac:dyDescent="0.25">
      <c r="B278" s="5" t="str">
        <f t="shared" si="59"/>
        <v/>
      </c>
      <c r="C278" s="5"/>
      <c r="D278" s="5"/>
      <c r="E278" s="5"/>
      <c r="F278" s="6"/>
      <c r="G278" s="6"/>
      <c r="H278" s="7"/>
      <c r="I278" s="8"/>
      <c r="K278" s="23" t="str">
        <f>IFERROR(INDEX($AL$11:$AL$4010,MATCH(268,$AX$11:$AX$4010,0)),"")</f>
        <v/>
      </c>
      <c r="L278" s="24" t="str">
        <f t="shared" si="60"/>
        <v/>
      </c>
      <c r="M278" s="25" t="str">
        <f t="shared" si="61"/>
        <v/>
      </c>
      <c r="N278" s="25" t="str">
        <f t="shared" si="62"/>
        <v/>
      </c>
      <c r="W278" s="28" t="str">
        <f>IF(X278="","",IFERROR(INDEX($AL$11:$AL$4010,MATCH(268,$AY$11:$AY$4010,0)),""))</f>
        <v/>
      </c>
      <c r="X278" s="26" t="str">
        <f>IFERROR(INDEX($AM$11:$AM$4010,MATCH(268,$AY$11:$AY$4010,0)),"")</f>
        <v/>
      </c>
      <c r="Y278" s="25" t="str">
        <f>IF(X278="","",IFERROR(INDEX($AN$11:$AN$4010,MATCH(268,$AY$11:$AY$4010,0)),""))</f>
        <v/>
      </c>
      <c r="Z278" s="25" t="str">
        <f>IF(X278="","",IFERROR(INDEX($AO$11:$AO$4010,MATCH(268,$AY$11:$AY$4010,0)),""))</f>
        <v/>
      </c>
      <c r="AA278" s="24" t="str">
        <f>IF(X278="","",IFERROR(INDEX($AQ$11:$AQ$4010,MATCH(268,$AY$11:$AY$4010,0)),""))</f>
        <v/>
      </c>
      <c r="AB278" s="29" t="str">
        <f>IF(X278="","",IFERROR(INDEX($AR$11:$AR$4010,MATCH(268,$AY$11:$AY$4010,0)),""))</f>
        <v/>
      </c>
      <c r="AD278" s="30" t="str">
        <f>IF(AE278="","",IFERROR(INDEX($AL$11:$AL$4010,MATCH(268,$AZ$11:$AZ$4010,0)),""))</f>
        <v/>
      </c>
      <c r="AE278" s="26" t="str">
        <f>IFERROR(INDEX($AM$11:$AM$4010,MATCH(268,$AZ$11:$AZ$4010,0)),"")</f>
        <v/>
      </c>
      <c r="AF278" s="25" t="str">
        <f>IF(AE278="","",IFERROR(INDEX($AN$11:$AN$4010,MATCH(268,$AZ$11:$AZ$4010,0)),""))</f>
        <v/>
      </c>
      <c r="AG278" s="25" t="str">
        <f>IF(AE278="","",IFERROR(INDEX($AO$11:$AO$4010,MATCH(268,$AZ$11:$AZ$4010,0)),""))</f>
        <v/>
      </c>
      <c r="AH278" s="24" t="str">
        <f>IF(AE278="","",IFERROR(INDEX($AQ$11:$AQ$4010,MATCH(268,$AZ$11:$AZ$4010,0)),""))</f>
        <v/>
      </c>
      <c r="AI278" s="29" t="str">
        <f>IF(AE278="","",IFERROR(INDEX($AR$11:$AR$4010,MATCH(268,$AZ$11:$AZ$4010,0)),""))</f>
        <v/>
      </c>
      <c r="AJ278" s="29" t="str">
        <f>IF(AE278="","",IFERROR(INDEX($AT$11:$AT$4010,MATCH(268,$AZ$11:$AZ$4010,0)),""))</f>
        <v/>
      </c>
      <c r="AL278" s="31" t="str">
        <f t="shared" si="63"/>
        <v/>
      </c>
      <c r="AM278" s="26" t="str">
        <f t="shared" si="64"/>
        <v/>
      </c>
      <c r="AN278" s="32" t="str">
        <f t="shared" si="65"/>
        <v/>
      </c>
      <c r="AO278" s="32" t="str">
        <f t="shared" si="66"/>
        <v/>
      </c>
      <c r="AP278" s="24" t="str">
        <f t="shared" si="67"/>
        <v/>
      </c>
      <c r="AQ278" s="24" t="str">
        <f t="shared" si="68"/>
        <v/>
      </c>
      <c r="AR278" s="33" t="str">
        <f t="shared" si="69"/>
        <v/>
      </c>
      <c r="AS278" s="34"/>
      <c r="AT278" s="33"/>
      <c r="AV278" s="21">
        <f>IF(AND($AL278&lt;&gt;"",COUNTIF($AL$11:$AL278,$AL278)=1),1,0)</f>
        <v>0</v>
      </c>
      <c r="AW278" s="21">
        <f t="shared" si="71"/>
        <v>2</v>
      </c>
      <c r="AX278" s="21" t="str">
        <f t="shared" si="70"/>
        <v/>
      </c>
      <c r="AY278" s="21" t="str">
        <f>IF(AND($AM278&lt;&gt;"",$AS278&lt;&gt;"✓"),SUMPRODUCT(($AM$11:$AM278&lt;&gt;"")*($AS$11:$AS278&lt;&gt;"✓")),"")</f>
        <v/>
      </c>
      <c r="AZ278" s="21" t="str">
        <f>IF(AND($AM278&lt;&gt;"",$AS278="✓"),SUMPRODUCT(($AM$11:$AM278&lt;&gt;"")*($AS$11:$AS278="✓")),"")</f>
        <v/>
      </c>
      <c r="BA278" s="21" t="str">
        <f>IF($AL278="","",$AL278&amp;"|"&amp;COUNTIF($AL$11:$AL278,$AL278))</f>
        <v/>
      </c>
    </row>
    <row r="279" spans="2:53" ht="15" customHeight="1" x14ac:dyDescent="0.25">
      <c r="B279" s="5" t="str">
        <f t="shared" si="59"/>
        <v/>
      </c>
      <c r="C279" s="5"/>
      <c r="D279" s="5"/>
      <c r="E279" s="5"/>
      <c r="F279" s="6"/>
      <c r="G279" s="6"/>
      <c r="H279" s="7"/>
      <c r="I279" s="8"/>
      <c r="K279" s="9" t="str">
        <f>IFERROR(INDEX($AL$11:$AL$4010,MATCH(269,$AX$11:$AX$4010,0)),"")</f>
        <v/>
      </c>
      <c r="L279" s="10" t="str">
        <f t="shared" si="60"/>
        <v/>
      </c>
      <c r="M279" s="11" t="str">
        <f t="shared" si="61"/>
        <v/>
      </c>
      <c r="N279" s="11" t="str">
        <f t="shared" si="62"/>
        <v/>
      </c>
      <c r="W279" s="14" t="str">
        <f>IF(X279="","",IFERROR(INDEX($AL$11:$AL$4010,MATCH(269,$AY$11:$AY$4010,0)),""))</f>
        <v/>
      </c>
      <c r="X279" s="12" t="str">
        <f>IFERROR(INDEX($AM$11:$AM$4010,MATCH(269,$AY$11:$AY$4010,0)),"")</f>
        <v/>
      </c>
      <c r="Y279" s="11" t="str">
        <f>IF(X279="","",IFERROR(INDEX($AN$11:$AN$4010,MATCH(269,$AY$11:$AY$4010,0)),""))</f>
        <v/>
      </c>
      <c r="Z279" s="11" t="str">
        <f>IF(X279="","",IFERROR(INDEX($AO$11:$AO$4010,MATCH(269,$AY$11:$AY$4010,0)),""))</f>
        <v/>
      </c>
      <c r="AA279" s="10" t="str">
        <f>IF(X279="","",IFERROR(INDEX($AQ$11:$AQ$4010,MATCH(269,$AY$11:$AY$4010,0)),""))</f>
        <v/>
      </c>
      <c r="AB279" s="15" t="str">
        <f>IF(X279="","",IFERROR(INDEX($AR$11:$AR$4010,MATCH(269,$AY$11:$AY$4010,0)),""))</f>
        <v/>
      </c>
      <c r="AD279" s="16" t="str">
        <f>IF(AE279="","",IFERROR(INDEX($AL$11:$AL$4010,MATCH(269,$AZ$11:$AZ$4010,0)),""))</f>
        <v/>
      </c>
      <c r="AE279" s="12" t="str">
        <f>IFERROR(INDEX($AM$11:$AM$4010,MATCH(269,$AZ$11:$AZ$4010,0)),"")</f>
        <v/>
      </c>
      <c r="AF279" s="11" t="str">
        <f>IF(AE279="","",IFERROR(INDEX($AN$11:$AN$4010,MATCH(269,$AZ$11:$AZ$4010,0)),""))</f>
        <v/>
      </c>
      <c r="AG279" s="11" t="str">
        <f>IF(AE279="","",IFERROR(INDEX($AO$11:$AO$4010,MATCH(269,$AZ$11:$AZ$4010,0)),""))</f>
        <v/>
      </c>
      <c r="AH279" s="10" t="str">
        <f>IF(AE279="","",IFERROR(INDEX($AQ$11:$AQ$4010,MATCH(269,$AZ$11:$AZ$4010,0)),""))</f>
        <v/>
      </c>
      <c r="AI279" s="15" t="str">
        <f>IF(AE279="","",IFERROR(INDEX($AR$11:$AR$4010,MATCH(269,$AZ$11:$AZ$4010,0)),""))</f>
        <v/>
      </c>
      <c r="AJ279" s="15" t="str">
        <f>IF(AE279="","",IFERROR(INDEX($AT$11:$AT$4010,MATCH(269,$AZ$11:$AZ$4010,0)),""))</f>
        <v/>
      </c>
      <c r="AL279" s="17" t="str">
        <f t="shared" si="63"/>
        <v/>
      </c>
      <c r="AM279" s="12" t="str">
        <f t="shared" si="64"/>
        <v/>
      </c>
      <c r="AN279" s="18" t="str">
        <f t="shared" si="65"/>
        <v/>
      </c>
      <c r="AO279" s="18" t="str">
        <f t="shared" si="66"/>
        <v/>
      </c>
      <c r="AP279" s="10" t="str">
        <f t="shared" si="67"/>
        <v/>
      </c>
      <c r="AQ279" s="10" t="str">
        <f t="shared" si="68"/>
        <v/>
      </c>
      <c r="AR279" s="19" t="str">
        <f t="shared" si="69"/>
        <v/>
      </c>
      <c r="AS279" s="20"/>
      <c r="AT279" s="19"/>
      <c r="AV279" s="21">
        <f>IF(AND($AL279&lt;&gt;"",COUNTIF($AL$11:$AL279,$AL279)=1),1,0)</f>
        <v>0</v>
      </c>
      <c r="AW279" s="21">
        <f t="shared" si="71"/>
        <v>2</v>
      </c>
      <c r="AX279" s="21" t="str">
        <f t="shared" si="70"/>
        <v/>
      </c>
      <c r="AY279" s="21" t="str">
        <f>IF(AND($AM279&lt;&gt;"",$AS279&lt;&gt;"✓"),SUMPRODUCT(($AM$11:$AM279&lt;&gt;"")*($AS$11:$AS279&lt;&gt;"✓")),"")</f>
        <v/>
      </c>
      <c r="AZ279" s="21" t="str">
        <f>IF(AND($AM279&lt;&gt;"",$AS279="✓"),SUMPRODUCT(($AM$11:$AM279&lt;&gt;"")*($AS$11:$AS279="✓")),"")</f>
        <v/>
      </c>
      <c r="BA279" s="21" t="str">
        <f>IF($AL279="","",$AL279&amp;"|"&amp;COUNTIF($AL$11:$AL279,$AL279))</f>
        <v/>
      </c>
    </row>
    <row r="280" spans="2:53" ht="15" customHeight="1" x14ac:dyDescent="0.25">
      <c r="B280" s="5" t="str">
        <f t="shared" si="59"/>
        <v/>
      </c>
      <c r="C280" s="5"/>
      <c r="D280" s="5"/>
      <c r="E280" s="5"/>
      <c r="F280" s="6"/>
      <c r="G280" s="6"/>
      <c r="H280" s="7"/>
      <c r="I280" s="8"/>
      <c r="K280" s="23" t="str">
        <f>IFERROR(INDEX($AL$11:$AL$4010,MATCH(270,$AX$11:$AX$4010,0)),"")</f>
        <v/>
      </c>
      <c r="L280" s="24" t="str">
        <f t="shared" si="60"/>
        <v/>
      </c>
      <c r="M280" s="25" t="str">
        <f t="shared" si="61"/>
        <v/>
      </c>
      <c r="N280" s="25" t="str">
        <f t="shared" si="62"/>
        <v/>
      </c>
      <c r="W280" s="28" t="str">
        <f>IF(X280="","",IFERROR(INDEX($AL$11:$AL$4010,MATCH(270,$AY$11:$AY$4010,0)),""))</f>
        <v/>
      </c>
      <c r="X280" s="26" t="str">
        <f>IFERROR(INDEX($AM$11:$AM$4010,MATCH(270,$AY$11:$AY$4010,0)),"")</f>
        <v/>
      </c>
      <c r="Y280" s="25" t="str">
        <f>IF(X280="","",IFERROR(INDEX($AN$11:$AN$4010,MATCH(270,$AY$11:$AY$4010,0)),""))</f>
        <v/>
      </c>
      <c r="Z280" s="25" t="str">
        <f>IF(X280="","",IFERROR(INDEX($AO$11:$AO$4010,MATCH(270,$AY$11:$AY$4010,0)),""))</f>
        <v/>
      </c>
      <c r="AA280" s="24" t="str">
        <f>IF(X280="","",IFERROR(INDEX($AQ$11:$AQ$4010,MATCH(270,$AY$11:$AY$4010,0)),""))</f>
        <v/>
      </c>
      <c r="AB280" s="29" t="str">
        <f>IF(X280="","",IFERROR(INDEX($AR$11:$AR$4010,MATCH(270,$AY$11:$AY$4010,0)),""))</f>
        <v/>
      </c>
      <c r="AD280" s="30" t="str">
        <f>IF(AE280="","",IFERROR(INDEX($AL$11:$AL$4010,MATCH(270,$AZ$11:$AZ$4010,0)),""))</f>
        <v/>
      </c>
      <c r="AE280" s="26" t="str">
        <f>IFERROR(INDEX($AM$11:$AM$4010,MATCH(270,$AZ$11:$AZ$4010,0)),"")</f>
        <v/>
      </c>
      <c r="AF280" s="25" t="str">
        <f>IF(AE280="","",IFERROR(INDEX($AN$11:$AN$4010,MATCH(270,$AZ$11:$AZ$4010,0)),""))</f>
        <v/>
      </c>
      <c r="AG280" s="25" t="str">
        <f>IF(AE280="","",IFERROR(INDEX($AO$11:$AO$4010,MATCH(270,$AZ$11:$AZ$4010,0)),""))</f>
        <v/>
      </c>
      <c r="AH280" s="24" t="str">
        <f>IF(AE280="","",IFERROR(INDEX($AQ$11:$AQ$4010,MATCH(270,$AZ$11:$AZ$4010,0)),""))</f>
        <v/>
      </c>
      <c r="AI280" s="29" t="str">
        <f>IF(AE280="","",IFERROR(INDEX($AR$11:$AR$4010,MATCH(270,$AZ$11:$AZ$4010,0)),""))</f>
        <v/>
      </c>
      <c r="AJ280" s="29" t="str">
        <f>IF(AE280="","",IFERROR(INDEX($AT$11:$AT$4010,MATCH(270,$AZ$11:$AZ$4010,0)),""))</f>
        <v/>
      </c>
      <c r="AL280" s="31" t="str">
        <f t="shared" si="63"/>
        <v/>
      </c>
      <c r="AM280" s="26" t="str">
        <f t="shared" si="64"/>
        <v/>
      </c>
      <c r="AN280" s="32" t="str">
        <f t="shared" si="65"/>
        <v/>
      </c>
      <c r="AO280" s="32" t="str">
        <f t="shared" si="66"/>
        <v/>
      </c>
      <c r="AP280" s="24" t="str">
        <f t="shared" si="67"/>
        <v/>
      </c>
      <c r="AQ280" s="24" t="str">
        <f t="shared" si="68"/>
        <v/>
      </c>
      <c r="AR280" s="33" t="str">
        <f t="shared" si="69"/>
        <v/>
      </c>
      <c r="AS280" s="34"/>
      <c r="AT280" s="33"/>
      <c r="AV280" s="21">
        <f>IF(AND($AL280&lt;&gt;"",COUNTIF($AL$11:$AL280,$AL280)=1),1,0)</f>
        <v>0</v>
      </c>
      <c r="AW280" s="21">
        <f t="shared" si="71"/>
        <v>2</v>
      </c>
      <c r="AX280" s="21" t="str">
        <f t="shared" si="70"/>
        <v/>
      </c>
      <c r="AY280" s="21" t="str">
        <f>IF(AND($AM280&lt;&gt;"",$AS280&lt;&gt;"✓"),SUMPRODUCT(($AM$11:$AM280&lt;&gt;"")*($AS$11:$AS280&lt;&gt;"✓")),"")</f>
        <v/>
      </c>
      <c r="AZ280" s="21" t="str">
        <f>IF(AND($AM280&lt;&gt;"",$AS280="✓"),SUMPRODUCT(($AM$11:$AM280&lt;&gt;"")*($AS$11:$AS280="✓")),"")</f>
        <v/>
      </c>
      <c r="BA280" s="21" t="str">
        <f>IF($AL280="","",$AL280&amp;"|"&amp;COUNTIF($AL$11:$AL280,$AL280))</f>
        <v/>
      </c>
    </row>
    <row r="281" spans="2:53" ht="15" customHeight="1" x14ac:dyDescent="0.25">
      <c r="B281" s="5" t="str">
        <f t="shared" si="59"/>
        <v/>
      </c>
      <c r="C281" s="5"/>
      <c r="D281" s="5"/>
      <c r="E281" s="5"/>
      <c r="F281" s="6"/>
      <c r="G281" s="6"/>
      <c r="H281" s="7"/>
      <c r="I281" s="8"/>
      <c r="K281" s="9" t="str">
        <f>IFERROR(INDEX($AL$11:$AL$4010,MATCH(271,$AX$11:$AX$4010,0)),"")</f>
        <v/>
      </c>
      <c r="L281" s="10" t="str">
        <f t="shared" si="60"/>
        <v/>
      </c>
      <c r="M281" s="11" t="str">
        <f t="shared" si="61"/>
        <v/>
      </c>
      <c r="N281" s="11" t="str">
        <f t="shared" si="62"/>
        <v/>
      </c>
      <c r="W281" s="14" t="str">
        <f>IF(X281="","",IFERROR(INDEX($AL$11:$AL$4010,MATCH(271,$AY$11:$AY$4010,0)),""))</f>
        <v/>
      </c>
      <c r="X281" s="12" t="str">
        <f>IFERROR(INDEX($AM$11:$AM$4010,MATCH(271,$AY$11:$AY$4010,0)),"")</f>
        <v/>
      </c>
      <c r="Y281" s="11" t="str">
        <f>IF(X281="","",IFERROR(INDEX($AN$11:$AN$4010,MATCH(271,$AY$11:$AY$4010,0)),""))</f>
        <v/>
      </c>
      <c r="Z281" s="11" t="str">
        <f>IF(X281="","",IFERROR(INDEX($AO$11:$AO$4010,MATCH(271,$AY$11:$AY$4010,0)),""))</f>
        <v/>
      </c>
      <c r="AA281" s="10" t="str">
        <f>IF(X281="","",IFERROR(INDEX($AQ$11:$AQ$4010,MATCH(271,$AY$11:$AY$4010,0)),""))</f>
        <v/>
      </c>
      <c r="AB281" s="15" t="str">
        <f>IF(X281="","",IFERROR(INDEX($AR$11:$AR$4010,MATCH(271,$AY$11:$AY$4010,0)),""))</f>
        <v/>
      </c>
      <c r="AD281" s="16" t="str">
        <f>IF(AE281="","",IFERROR(INDEX($AL$11:$AL$4010,MATCH(271,$AZ$11:$AZ$4010,0)),""))</f>
        <v/>
      </c>
      <c r="AE281" s="12" t="str">
        <f>IFERROR(INDEX($AM$11:$AM$4010,MATCH(271,$AZ$11:$AZ$4010,0)),"")</f>
        <v/>
      </c>
      <c r="AF281" s="11" t="str">
        <f>IF(AE281="","",IFERROR(INDEX($AN$11:$AN$4010,MATCH(271,$AZ$11:$AZ$4010,0)),""))</f>
        <v/>
      </c>
      <c r="AG281" s="11" t="str">
        <f>IF(AE281="","",IFERROR(INDEX($AO$11:$AO$4010,MATCH(271,$AZ$11:$AZ$4010,0)),""))</f>
        <v/>
      </c>
      <c r="AH281" s="10" t="str">
        <f>IF(AE281="","",IFERROR(INDEX($AQ$11:$AQ$4010,MATCH(271,$AZ$11:$AZ$4010,0)),""))</f>
        <v/>
      </c>
      <c r="AI281" s="15" t="str">
        <f>IF(AE281="","",IFERROR(INDEX($AR$11:$AR$4010,MATCH(271,$AZ$11:$AZ$4010,0)),""))</f>
        <v/>
      </c>
      <c r="AJ281" s="15" t="str">
        <f>IF(AE281="","",IFERROR(INDEX($AT$11:$AT$4010,MATCH(271,$AZ$11:$AZ$4010,0)),""))</f>
        <v/>
      </c>
      <c r="AL281" s="17" t="str">
        <f t="shared" si="63"/>
        <v/>
      </c>
      <c r="AM281" s="12" t="str">
        <f t="shared" si="64"/>
        <v/>
      </c>
      <c r="AN281" s="18" t="str">
        <f t="shared" si="65"/>
        <v/>
      </c>
      <c r="AO281" s="18" t="str">
        <f t="shared" si="66"/>
        <v/>
      </c>
      <c r="AP281" s="10" t="str">
        <f t="shared" si="67"/>
        <v/>
      </c>
      <c r="AQ281" s="10" t="str">
        <f t="shared" si="68"/>
        <v/>
      </c>
      <c r="AR281" s="19" t="str">
        <f t="shared" si="69"/>
        <v/>
      </c>
      <c r="AS281" s="20"/>
      <c r="AT281" s="19"/>
      <c r="AV281" s="21">
        <f>IF(AND($AL281&lt;&gt;"",COUNTIF($AL$11:$AL281,$AL281)=1),1,0)</f>
        <v>0</v>
      </c>
      <c r="AW281" s="21">
        <f t="shared" si="71"/>
        <v>2</v>
      </c>
      <c r="AX281" s="21" t="str">
        <f t="shared" si="70"/>
        <v/>
      </c>
      <c r="AY281" s="21" t="str">
        <f>IF(AND($AM281&lt;&gt;"",$AS281&lt;&gt;"✓"),SUMPRODUCT(($AM$11:$AM281&lt;&gt;"")*($AS$11:$AS281&lt;&gt;"✓")),"")</f>
        <v/>
      </c>
      <c r="AZ281" s="21" t="str">
        <f>IF(AND($AM281&lt;&gt;"",$AS281="✓"),SUMPRODUCT(($AM$11:$AM281&lt;&gt;"")*($AS$11:$AS281="✓")),"")</f>
        <v/>
      </c>
      <c r="BA281" s="21" t="str">
        <f>IF($AL281="","",$AL281&amp;"|"&amp;COUNTIF($AL$11:$AL281,$AL281))</f>
        <v/>
      </c>
    </row>
    <row r="282" spans="2:53" ht="15" customHeight="1" x14ac:dyDescent="0.25">
      <c r="B282" s="5" t="str">
        <f t="shared" si="59"/>
        <v/>
      </c>
      <c r="C282" s="5"/>
      <c r="D282" s="5"/>
      <c r="E282" s="5"/>
      <c r="F282" s="6"/>
      <c r="G282" s="6"/>
      <c r="H282" s="7"/>
      <c r="I282" s="8"/>
      <c r="K282" s="23" t="str">
        <f>IFERROR(INDEX($AL$11:$AL$4010,MATCH(272,$AX$11:$AX$4010,0)),"")</f>
        <v/>
      </c>
      <c r="L282" s="24" t="str">
        <f t="shared" si="60"/>
        <v/>
      </c>
      <c r="M282" s="25" t="str">
        <f t="shared" si="61"/>
        <v/>
      </c>
      <c r="N282" s="25" t="str">
        <f t="shared" si="62"/>
        <v/>
      </c>
      <c r="W282" s="28" t="str">
        <f>IF(X282="","",IFERROR(INDEX($AL$11:$AL$4010,MATCH(272,$AY$11:$AY$4010,0)),""))</f>
        <v/>
      </c>
      <c r="X282" s="26" t="str">
        <f>IFERROR(INDEX($AM$11:$AM$4010,MATCH(272,$AY$11:$AY$4010,0)),"")</f>
        <v/>
      </c>
      <c r="Y282" s="25" t="str">
        <f>IF(X282="","",IFERROR(INDEX($AN$11:$AN$4010,MATCH(272,$AY$11:$AY$4010,0)),""))</f>
        <v/>
      </c>
      <c r="Z282" s="25" t="str">
        <f>IF(X282="","",IFERROR(INDEX($AO$11:$AO$4010,MATCH(272,$AY$11:$AY$4010,0)),""))</f>
        <v/>
      </c>
      <c r="AA282" s="24" t="str">
        <f>IF(X282="","",IFERROR(INDEX($AQ$11:$AQ$4010,MATCH(272,$AY$11:$AY$4010,0)),""))</f>
        <v/>
      </c>
      <c r="AB282" s="29" t="str">
        <f>IF(X282="","",IFERROR(INDEX($AR$11:$AR$4010,MATCH(272,$AY$11:$AY$4010,0)),""))</f>
        <v/>
      </c>
      <c r="AD282" s="30" t="str">
        <f>IF(AE282="","",IFERROR(INDEX($AL$11:$AL$4010,MATCH(272,$AZ$11:$AZ$4010,0)),""))</f>
        <v/>
      </c>
      <c r="AE282" s="26" t="str">
        <f>IFERROR(INDEX($AM$11:$AM$4010,MATCH(272,$AZ$11:$AZ$4010,0)),"")</f>
        <v/>
      </c>
      <c r="AF282" s="25" t="str">
        <f>IF(AE282="","",IFERROR(INDEX($AN$11:$AN$4010,MATCH(272,$AZ$11:$AZ$4010,0)),""))</f>
        <v/>
      </c>
      <c r="AG282" s="25" t="str">
        <f>IF(AE282="","",IFERROR(INDEX($AO$11:$AO$4010,MATCH(272,$AZ$11:$AZ$4010,0)),""))</f>
        <v/>
      </c>
      <c r="AH282" s="24" t="str">
        <f>IF(AE282="","",IFERROR(INDEX($AQ$11:$AQ$4010,MATCH(272,$AZ$11:$AZ$4010,0)),""))</f>
        <v/>
      </c>
      <c r="AI282" s="29" t="str">
        <f>IF(AE282="","",IFERROR(INDEX($AR$11:$AR$4010,MATCH(272,$AZ$11:$AZ$4010,0)),""))</f>
        <v/>
      </c>
      <c r="AJ282" s="29" t="str">
        <f>IF(AE282="","",IFERROR(INDEX($AT$11:$AT$4010,MATCH(272,$AZ$11:$AZ$4010,0)),""))</f>
        <v/>
      </c>
      <c r="AL282" s="31" t="str">
        <f t="shared" si="63"/>
        <v/>
      </c>
      <c r="AM282" s="26" t="str">
        <f t="shared" si="64"/>
        <v/>
      </c>
      <c r="AN282" s="32" t="str">
        <f t="shared" si="65"/>
        <v/>
      </c>
      <c r="AO282" s="32" t="str">
        <f t="shared" si="66"/>
        <v/>
      </c>
      <c r="AP282" s="24" t="str">
        <f t="shared" si="67"/>
        <v/>
      </c>
      <c r="AQ282" s="24" t="str">
        <f t="shared" si="68"/>
        <v/>
      </c>
      <c r="AR282" s="33" t="str">
        <f t="shared" si="69"/>
        <v/>
      </c>
      <c r="AS282" s="34"/>
      <c r="AT282" s="33"/>
      <c r="AV282" s="21">
        <f>IF(AND($AL282&lt;&gt;"",COUNTIF($AL$11:$AL282,$AL282)=1),1,0)</f>
        <v>0</v>
      </c>
      <c r="AW282" s="21">
        <f t="shared" si="71"/>
        <v>2</v>
      </c>
      <c r="AX282" s="21" t="str">
        <f t="shared" si="70"/>
        <v/>
      </c>
      <c r="AY282" s="21" t="str">
        <f>IF(AND($AM282&lt;&gt;"",$AS282&lt;&gt;"✓"),SUMPRODUCT(($AM$11:$AM282&lt;&gt;"")*($AS$11:$AS282&lt;&gt;"✓")),"")</f>
        <v/>
      </c>
      <c r="AZ282" s="21" t="str">
        <f>IF(AND($AM282&lt;&gt;"",$AS282="✓"),SUMPRODUCT(($AM$11:$AM282&lt;&gt;"")*($AS$11:$AS282="✓")),"")</f>
        <v/>
      </c>
      <c r="BA282" s="21" t="str">
        <f>IF($AL282="","",$AL282&amp;"|"&amp;COUNTIF($AL$11:$AL282,$AL282))</f>
        <v/>
      </c>
    </row>
    <row r="283" spans="2:53" ht="15" customHeight="1" x14ac:dyDescent="0.25">
      <c r="B283" s="5" t="str">
        <f t="shared" si="59"/>
        <v/>
      </c>
      <c r="C283" s="5"/>
      <c r="D283" s="5"/>
      <c r="E283" s="5"/>
      <c r="F283" s="6"/>
      <c r="G283" s="6"/>
      <c r="H283" s="7"/>
      <c r="I283" s="8"/>
      <c r="K283" s="9" t="str">
        <f>IFERROR(INDEX($AL$11:$AL$4010,MATCH(273,$AX$11:$AX$4010,0)),"")</f>
        <v/>
      </c>
      <c r="L283" s="10" t="str">
        <f t="shared" si="60"/>
        <v/>
      </c>
      <c r="M283" s="11" t="str">
        <f t="shared" si="61"/>
        <v/>
      </c>
      <c r="N283" s="11" t="str">
        <f t="shared" si="62"/>
        <v/>
      </c>
      <c r="W283" s="14" t="str">
        <f>IF(X283="","",IFERROR(INDEX($AL$11:$AL$4010,MATCH(273,$AY$11:$AY$4010,0)),""))</f>
        <v/>
      </c>
      <c r="X283" s="12" t="str">
        <f>IFERROR(INDEX($AM$11:$AM$4010,MATCH(273,$AY$11:$AY$4010,0)),"")</f>
        <v/>
      </c>
      <c r="Y283" s="11" t="str">
        <f>IF(X283="","",IFERROR(INDEX($AN$11:$AN$4010,MATCH(273,$AY$11:$AY$4010,0)),""))</f>
        <v/>
      </c>
      <c r="Z283" s="11" t="str">
        <f>IF(X283="","",IFERROR(INDEX($AO$11:$AO$4010,MATCH(273,$AY$11:$AY$4010,0)),""))</f>
        <v/>
      </c>
      <c r="AA283" s="10" t="str">
        <f>IF(X283="","",IFERROR(INDEX($AQ$11:$AQ$4010,MATCH(273,$AY$11:$AY$4010,0)),""))</f>
        <v/>
      </c>
      <c r="AB283" s="15" t="str">
        <f>IF(X283="","",IFERROR(INDEX($AR$11:$AR$4010,MATCH(273,$AY$11:$AY$4010,0)),""))</f>
        <v/>
      </c>
      <c r="AD283" s="16" t="str">
        <f>IF(AE283="","",IFERROR(INDEX($AL$11:$AL$4010,MATCH(273,$AZ$11:$AZ$4010,0)),""))</f>
        <v/>
      </c>
      <c r="AE283" s="12" t="str">
        <f>IFERROR(INDEX($AM$11:$AM$4010,MATCH(273,$AZ$11:$AZ$4010,0)),"")</f>
        <v/>
      </c>
      <c r="AF283" s="11" t="str">
        <f>IF(AE283="","",IFERROR(INDEX($AN$11:$AN$4010,MATCH(273,$AZ$11:$AZ$4010,0)),""))</f>
        <v/>
      </c>
      <c r="AG283" s="11" t="str">
        <f>IF(AE283="","",IFERROR(INDEX($AO$11:$AO$4010,MATCH(273,$AZ$11:$AZ$4010,0)),""))</f>
        <v/>
      </c>
      <c r="AH283" s="10" t="str">
        <f>IF(AE283="","",IFERROR(INDEX($AQ$11:$AQ$4010,MATCH(273,$AZ$11:$AZ$4010,0)),""))</f>
        <v/>
      </c>
      <c r="AI283" s="15" t="str">
        <f>IF(AE283="","",IFERROR(INDEX($AR$11:$AR$4010,MATCH(273,$AZ$11:$AZ$4010,0)),""))</f>
        <v/>
      </c>
      <c r="AJ283" s="15" t="str">
        <f>IF(AE283="","",IFERROR(INDEX($AT$11:$AT$4010,MATCH(273,$AZ$11:$AZ$4010,0)),""))</f>
        <v/>
      </c>
      <c r="AL283" s="17" t="str">
        <f t="shared" si="63"/>
        <v/>
      </c>
      <c r="AM283" s="12" t="str">
        <f t="shared" si="64"/>
        <v/>
      </c>
      <c r="AN283" s="18" t="str">
        <f t="shared" si="65"/>
        <v/>
      </c>
      <c r="AO283" s="18" t="str">
        <f t="shared" si="66"/>
        <v/>
      </c>
      <c r="AP283" s="10" t="str">
        <f t="shared" si="67"/>
        <v/>
      </c>
      <c r="AQ283" s="10" t="str">
        <f t="shared" si="68"/>
        <v/>
      </c>
      <c r="AR283" s="19" t="str">
        <f t="shared" si="69"/>
        <v/>
      </c>
      <c r="AS283" s="20"/>
      <c r="AT283" s="19"/>
      <c r="AV283" s="21">
        <f>IF(AND($AL283&lt;&gt;"",COUNTIF($AL$11:$AL283,$AL283)=1),1,0)</f>
        <v>0</v>
      </c>
      <c r="AW283" s="21">
        <f t="shared" si="71"/>
        <v>2</v>
      </c>
      <c r="AX283" s="21" t="str">
        <f t="shared" si="70"/>
        <v/>
      </c>
      <c r="AY283" s="21" t="str">
        <f>IF(AND($AM283&lt;&gt;"",$AS283&lt;&gt;"✓"),SUMPRODUCT(($AM$11:$AM283&lt;&gt;"")*($AS$11:$AS283&lt;&gt;"✓")),"")</f>
        <v/>
      </c>
      <c r="AZ283" s="21" t="str">
        <f>IF(AND($AM283&lt;&gt;"",$AS283="✓"),SUMPRODUCT(($AM$11:$AM283&lt;&gt;"")*($AS$11:$AS283="✓")),"")</f>
        <v/>
      </c>
      <c r="BA283" s="21" t="str">
        <f>IF($AL283="","",$AL283&amp;"|"&amp;COUNTIF($AL$11:$AL283,$AL283))</f>
        <v/>
      </c>
    </row>
    <row r="284" spans="2:53" ht="15" customHeight="1" x14ac:dyDescent="0.25">
      <c r="B284" s="5" t="str">
        <f t="shared" si="59"/>
        <v/>
      </c>
      <c r="C284" s="5"/>
      <c r="D284" s="5"/>
      <c r="E284" s="5"/>
      <c r="F284" s="6"/>
      <c r="G284" s="6"/>
      <c r="H284" s="7"/>
      <c r="I284" s="8"/>
      <c r="K284" s="23" t="str">
        <f>IFERROR(INDEX($AL$11:$AL$4010,MATCH(274,$AX$11:$AX$4010,0)),"")</f>
        <v/>
      </c>
      <c r="L284" s="24" t="str">
        <f t="shared" si="60"/>
        <v/>
      </c>
      <c r="M284" s="25" t="str">
        <f t="shared" si="61"/>
        <v/>
      </c>
      <c r="N284" s="25" t="str">
        <f t="shared" si="62"/>
        <v/>
      </c>
      <c r="W284" s="28" t="str">
        <f>IF(X284="","",IFERROR(INDEX($AL$11:$AL$4010,MATCH(274,$AY$11:$AY$4010,0)),""))</f>
        <v/>
      </c>
      <c r="X284" s="26" t="str">
        <f>IFERROR(INDEX($AM$11:$AM$4010,MATCH(274,$AY$11:$AY$4010,0)),"")</f>
        <v/>
      </c>
      <c r="Y284" s="25" t="str">
        <f>IF(X284="","",IFERROR(INDEX($AN$11:$AN$4010,MATCH(274,$AY$11:$AY$4010,0)),""))</f>
        <v/>
      </c>
      <c r="Z284" s="25" t="str">
        <f>IF(X284="","",IFERROR(INDEX($AO$11:$AO$4010,MATCH(274,$AY$11:$AY$4010,0)),""))</f>
        <v/>
      </c>
      <c r="AA284" s="24" t="str">
        <f>IF(X284="","",IFERROR(INDEX($AQ$11:$AQ$4010,MATCH(274,$AY$11:$AY$4010,0)),""))</f>
        <v/>
      </c>
      <c r="AB284" s="29" t="str">
        <f>IF(X284="","",IFERROR(INDEX($AR$11:$AR$4010,MATCH(274,$AY$11:$AY$4010,0)),""))</f>
        <v/>
      </c>
      <c r="AD284" s="30" t="str">
        <f>IF(AE284="","",IFERROR(INDEX($AL$11:$AL$4010,MATCH(274,$AZ$11:$AZ$4010,0)),""))</f>
        <v/>
      </c>
      <c r="AE284" s="26" t="str">
        <f>IFERROR(INDEX($AM$11:$AM$4010,MATCH(274,$AZ$11:$AZ$4010,0)),"")</f>
        <v/>
      </c>
      <c r="AF284" s="25" t="str">
        <f>IF(AE284="","",IFERROR(INDEX($AN$11:$AN$4010,MATCH(274,$AZ$11:$AZ$4010,0)),""))</f>
        <v/>
      </c>
      <c r="AG284" s="25" t="str">
        <f>IF(AE284="","",IFERROR(INDEX($AO$11:$AO$4010,MATCH(274,$AZ$11:$AZ$4010,0)),""))</f>
        <v/>
      </c>
      <c r="AH284" s="24" t="str">
        <f>IF(AE284="","",IFERROR(INDEX($AQ$11:$AQ$4010,MATCH(274,$AZ$11:$AZ$4010,0)),""))</f>
        <v/>
      </c>
      <c r="AI284" s="29" t="str">
        <f>IF(AE284="","",IFERROR(INDEX($AR$11:$AR$4010,MATCH(274,$AZ$11:$AZ$4010,0)),""))</f>
        <v/>
      </c>
      <c r="AJ284" s="29" t="str">
        <f>IF(AE284="","",IFERROR(INDEX($AT$11:$AT$4010,MATCH(274,$AZ$11:$AZ$4010,0)),""))</f>
        <v/>
      </c>
      <c r="AL284" s="31" t="str">
        <f t="shared" si="63"/>
        <v/>
      </c>
      <c r="AM284" s="26" t="str">
        <f t="shared" si="64"/>
        <v/>
      </c>
      <c r="AN284" s="32" t="str">
        <f t="shared" si="65"/>
        <v/>
      </c>
      <c r="AO284" s="32" t="str">
        <f t="shared" si="66"/>
        <v/>
      </c>
      <c r="AP284" s="24" t="str">
        <f t="shared" si="67"/>
        <v/>
      </c>
      <c r="AQ284" s="24" t="str">
        <f t="shared" si="68"/>
        <v/>
      </c>
      <c r="AR284" s="33" t="str">
        <f t="shared" si="69"/>
        <v/>
      </c>
      <c r="AS284" s="34"/>
      <c r="AT284" s="33"/>
      <c r="AV284" s="21">
        <f>IF(AND($AL284&lt;&gt;"",COUNTIF($AL$11:$AL284,$AL284)=1),1,0)</f>
        <v>0</v>
      </c>
      <c r="AW284" s="21">
        <f t="shared" si="71"/>
        <v>2</v>
      </c>
      <c r="AX284" s="21" t="str">
        <f t="shared" si="70"/>
        <v/>
      </c>
      <c r="AY284" s="21" t="str">
        <f>IF(AND($AM284&lt;&gt;"",$AS284&lt;&gt;"✓"),SUMPRODUCT(($AM$11:$AM284&lt;&gt;"")*($AS$11:$AS284&lt;&gt;"✓")),"")</f>
        <v/>
      </c>
      <c r="AZ284" s="21" t="str">
        <f>IF(AND($AM284&lt;&gt;"",$AS284="✓"),SUMPRODUCT(($AM$11:$AM284&lt;&gt;"")*($AS$11:$AS284="✓")),"")</f>
        <v/>
      </c>
      <c r="BA284" s="21" t="str">
        <f>IF($AL284="","",$AL284&amp;"|"&amp;COUNTIF($AL$11:$AL284,$AL284))</f>
        <v/>
      </c>
    </row>
    <row r="285" spans="2:53" ht="15" customHeight="1" x14ac:dyDescent="0.25">
      <c r="B285" s="5" t="str">
        <f t="shared" si="59"/>
        <v/>
      </c>
      <c r="C285" s="5"/>
      <c r="D285" s="5"/>
      <c r="E285" s="5"/>
      <c r="F285" s="6"/>
      <c r="G285" s="6"/>
      <c r="H285" s="7"/>
      <c r="I285" s="8"/>
      <c r="K285" s="9" t="str">
        <f>IFERROR(INDEX($AL$11:$AL$4010,MATCH(275,$AX$11:$AX$4010,0)),"")</f>
        <v/>
      </c>
      <c r="L285" s="10" t="str">
        <f t="shared" si="60"/>
        <v/>
      </c>
      <c r="M285" s="11" t="str">
        <f t="shared" si="61"/>
        <v/>
      </c>
      <c r="N285" s="11" t="str">
        <f t="shared" si="62"/>
        <v/>
      </c>
      <c r="W285" s="14" t="str">
        <f>IF(X285="","",IFERROR(INDEX($AL$11:$AL$4010,MATCH(275,$AY$11:$AY$4010,0)),""))</f>
        <v/>
      </c>
      <c r="X285" s="12" t="str">
        <f>IFERROR(INDEX($AM$11:$AM$4010,MATCH(275,$AY$11:$AY$4010,0)),"")</f>
        <v/>
      </c>
      <c r="Y285" s="11" t="str">
        <f>IF(X285="","",IFERROR(INDEX($AN$11:$AN$4010,MATCH(275,$AY$11:$AY$4010,0)),""))</f>
        <v/>
      </c>
      <c r="Z285" s="11" t="str">
        <f>IF(X285="","",IFERROR(INDEX($AO$11:$AO$4010,MATCH(275,$AY$11:$AY$4010,0)),""))</f>
        <v/>
      </c>
      <c r="AA285" s="10" t="str">
        <f>IF(X285="","",IFERROR(INDEX($AQ$11:$AQ$4010,MATCH(275,$AY$11:$AY$4010,0)),""))</f>
        <v/>
      </c>
      <c r="AB285" s="15" t="str">
        <f>IF(X285="","",IFERROR(INDEX($AR$11:$AR$4010,MATCH(275,$AY$11:$AY$4010,0)),""))</f>
        <v/>
      </c>
      <c r="AD285" s="16" t="str">
        <f>IF(AE285="","",IFERROR(INDEX($AL$11:$AL$4010,MATCH(275,$AZ$11:$AZ$4010,0)),""))</f>
        <v/>
      </c>
      <c r="AE285" s="12" t="str">
        <f>IFERROR(INDEX($AM$11:$AM$4010,MATCH(275,$AZ$11:$AZ$4010,0)),"")</f>
        <v/>
      </c>
      <c r="AF285" s="11" t="str">
        <f>IF(AE285="","",IFERROR(INDEX($AN$11:$AN$4010,MATCH(275,$AZ$11:$AZ$4010,0)),""))</f>
        <v/>
      </c>
      <c r="AG285" s="11" t="str">
        <f>IF(AE285="","",IFERROR(INDEX($AO$11:$AO$4010,MATCH(275,$AZ$11:$AZ$4010,0)),""))</f>
        <v/>
      </c>
      <c r="AH285" s="10" t="str">
        <f>IF(AE285="","",IFERROR(INDEX($AQ$11:$AQ$4010,MATCH(275,$AZ$11:$AZ$4010,0)),""))</f>
        <v/>
      </c>
      <c r="AI285" s="15" t="str">
        <f>IF(AE285="","",IFERROR(INDEX($AR$11:$AR$4010,MATCH(275,$AZ$11:$AZ$4010,0)),""))</f>
        <v/>
      </c>
      <c r="AJ285" s="15" t="str">
        <f>IF(AE285="","",IFERROR(INDEX($AT$11:$AT$4010,MATCH(275,$AZ$11:$AZ$4010,0)),""))</f>
        <v/>
      </c>
      <c r="AL285" s="17" t="str">
        <f t="shared" si="63"/>
        <v/>
      </c>
      <c r="AM285" s="12" t="str">
        <f t="shared" si="64"/>
        <v/>
      </c>
      <c r="AN285" s="18" t="str">
        <f t="shared" si="65"/>
        <v/>
      </c>
      <c r="AO285" s="18" t="str">
        <f t="shared" si="66"/>
        <v/>
      </c>
      <c r="AP285" s="10" t="str">
        <f t="shared" si="67"/>
        <v/>
      </c>
      <c r="AQ285" s="10" t="str">
        <f t="shared" si="68"/>
        <v/>
      </c>
      <c r="AR285" s="19" t="str">
        <f t="shared" si="69"/>
        <v/>
      </c>
      <c r="AS285" s="20"/>
      <c r="AT285" s="19"/>
      <c r="AV285" s="21">
        <f>IF(AND($AL285&lt;&gt;"",COUNTIF($AL$11:$AL285,$AL285)=1),1,0)</f>
        <v>0</v>
      </c>
      <c r="AW285" s="21">
        <f t="shared" si="71"/>
        <v>2</v>
      </c>
      <c r="AX285" s="21" t="str">
        <f t="shared" si="70"/>
        <v/>
      </c>
      <c r="AY285" s="21" t="str">
        <f>IF(AND($AM285&lt;&gt;"",$AS285&lt;&gt;"✓"),SUMPRODUCT(($AM$11:$AM285&lt;&gt;"")*($AS$11:$AS285&lt;&gt;"✓")),"")</f>
        <v/>
      </c>
      <c r="AZ285" s="21" t="str">
        <f>IF(AND($AM285&lt;&gt;"",$AS285="✓"),SUMPRODUCT(($AM$11:$AM285&lt;&gt;"")*($AS$11:$AS285="✓")),"")</f>
        <v/>
      </c>
      <c r="BA285" s="21" t="str">
        <f>IF($AL285="","",$AL285&amp;"|"&amp;COUNTIF($AL$11:$AL285,$AL285))</f>
        <v/>
      </c>
    </row>
    <row r="286" spans="2:53" ht="15" customHeight="1" x14ac:dyDescent="0.25">
      <c r="B286" s="5" t="str">
        <f t="shared" si="59"/>
        <v/>
      </c>
      <c r="C286" s="5"/>
      <c r="D286" s="5"/>
      <c r="E286" s="5"/>
      <c r="F286" s="6"/>
      <c r="G286" s="6"/>
      <c r="H286" s="7"/>
      <c r="I286" s="8"/>
      <c r="K286" s="23" t="str">
        <f>IFERROR(INDEX($AL$11:$AL$4010,MATCH(276,$AX$11:$AX$4010,0)),"")</f>
        <v/>
      </c>
      <c r="L286" s="24" t="str">
        <f t="shared" si="60"/>
        <v/>
      </c>
      <c r="M286" s="25" t="str">
        <f t="shared" si="61"/>
        <v/>
      </c>
      <c r="N286" s="25" t="str">
        <f t="shared" si="62"/>
        <v/>
      </c>
      <c r="W286" s="28" t="str">
        <f>IF(X286="","",IFERROR(INDEX($AL$11:$AL$4010,MATCH(276,$AY$11:$AY$4010,0)),""))</f>
        <v/>
      </c>
      <c r="X286" s="26" t="str">
        <f>IFERROR(INDEX($AM$11:$AM$4010,MATCH(276,$AY$11:$AY$4010,0)),"")</f>
        <v/>
      </c>
      <c r="Y286" s="25" t="str">
        <f>IF(X286="","",IFERROR(INDEX($AN$11:$AN$4010,MATCH(276,$AY$11:$AY$4010,0)),""))</f>
        <v/>
      </c>
      <c r="Z286" s="25" t="str">
        <f>IF(X286="","",IFERROR(INDEX($AO$11:$AO$4010,MATCH(276,$AY$11:$AY$4010,0)),""))</f>
        <v/>
      </c>
      <c r="AA286" s="24" t="str">
        <f>IF(X286="","",IFERROR(INDEX($AQ$11:$AQ$4010,MATCH(276,$AY$11:$AY$4010,0)),""))</f>
        <v/>
      </c>
      <c r="AB286" s="29" t="str">
        <f>IF(X286="","",IFERROR(INDEX($AR$11:$AR$4010,MATCH(276,$AY$11:$AY$4010,0)),""))</f>
        <v/>
      </c>
      <c r="AD286" s="30" t="str">
        <f>IF(AE286="","",IFERROR(INDEX($AL$11:$AL$4010,MATCH(276,$AZ$11:$AZ$4010,0)),""))</f>
        <v/>
      </c>
      <c r="AE286" s="26" t="str">
        <f>IFERROR(INDEX($AM$11:$AM$4010,MATCH(276,$AZ$11:$AZ$4010,0)),"")</f>
        <v/>
      </c>
      <c r="AF286" s="25" t="str">
        <f>IF(AE286="","",IFERROR(INDEX($AN$11:$AN$4010,MATCH(276,$AZ$11:$AZ$4010,0)),""))</f>
        <v/>
      </c>
      <c r="AG286" s="25" t="str">
        <f>IF(AE286="","",IFERROR(INDEX($AO$11:$AO$4010,MATCH(276,$AZ$11:$AZ$4010,0)),""))</f>
        <v/>
      </c>
      <c r="AH286" s="24" t="str">
        <f>IF(AE286="","",IFERROR(INDEX($AQ$11:$AQ$4010,MATCH(276,$AZ$11:$AZ$4010,0)),""))</f>
        <v/>
      </c>
      <c r="AI286" s="29" t="str">
        <f>IF(AE286="","",IFERROR(INDEX($AR$11:$AR$4010,MATCH(276,$AZ$11:$AZ$4010,0)),""))</f>
        <v/>
      </c>
      <c r="AJ286" s="29" t="str">
        <f>IF(AE286="","",IFERROR(INDEX($AT$11:$AT$4010,MATCH(276,$AZ$11:$AZ$4010,0)),""))</f>
        <v/>
      </c>
      <c r="AL286" s="31" t="str">
        <f t="shared" si="63"/>
        <v/>
      </c>
      <c r="AM286" s="26" t="str">
        <f t="shared" si="64"/>
        <v/>
      </c>
      <c r="AN286" s="32" t="str">
        <f t="shared" si="65"/>
        <v/>
      </c>
      <c r="AO286" s="32" t="str">
        <f t="shared" si="66"/>
        <v/>
      </c>
      <c r="AP286" s="24" t="str">
        <f t="shared" si="67"/>
        <v/>
      </c>
      <c r="AQ286" s="24" t="str">
        <f t="shared" si="68"/>
        <v/>
      </c>
      <c r="AR286" s="33" t="str">
        <f t="shared" si="69"/>
        <v/>
      </c>
      <c r="AS286" s="34"/>
      <c r="AT286" s="33"/>
      <c r="AV286" s="21">
        <f>IF(AND($AL286&lt;&gt;"",COUNTIF($AL$11:$AL286,$AL286)=1),1,0)</f>
        <v>0</v>
      </c>
      <c r="AW286" s="21">
        <f t="shared" si="71"/>
        <v>2</v>
      </c>
      <c r="AX286" s="21" t="str">
        <f t="shared" si="70"/>
        <v/>
      </c>
      <c r="AY286" s="21" t="str">
        <f>IF(AND($AM286&lt;&gt;"",$AS286&lt;&gt;"✓"),SUMPRODUCT(($AM$11:$AM286&lt;&gt;"")*($AS$11:$AS286&lt;&gt;"✓")),"")</f>
        <v/>
      </c>
      <c r="AZ286" s="21" t="str">
        <f>IF(AND($AM286&lt;&gt;"",$AS286="✓"),SUMPRODUCT(($AM$11:$AM286&lt;&gt;"")*($AS$11:$AS286="✓")),"")</f>
        <v/>
      </c>
      <c r="BA286" s="21" t="str">
        <f>IF($AL286="","",$AL286&amp;"|"&amp;COUNTIF($AL$11:$AL286,$AL286))</f>
        <v/>
      </c>
    </row>
    <row r="287" spans="2:53" ht="15" customHeight="1" x14ac:dyDescent="0.25">
      <c r="B287" s="5" t="str">
        <f t="shared" si="59"/>
        <v/>
      </c>
      <c r="C287" s="5"/>
      <c r="D287" s="5"/>
      <c r="E287" s="5"/>
      <c r="F287" s="6"/>
      <c r="G287" s="6"/>
      <c r="H287" s="7"/>
      <c r="I287" s="8"/>
      <c r="K287" s="9" t="str">
        <f>IFERROR(INDEX($AL$11:$AL$4010,MATCH(277,$AX$11:$AX$4010,0)),"")</f>
        <v/>
      </c>
      <c r="L287" s="10" t="str">
        <f t="shared" si="60"/>
        <v/>
      </c>
      <c r="M287" s="11" t="str">
        <f t="shared" si="61"/>
        <v/>
      </c>
      <c r="N287" s="11" t="str">
        <f t="shared" si="62"/>
        <v/>
      </c>
      <c r="W287" s="14" t="str">
        <f>IF(X287="","",IFERROR(INDEX($AL$11:$AL$4010,MATCH(277,$AY$11:$AY$4010,0)),""))</f>
        <v/>
      </c>
      <c r="X287" s="12" t="str">
        <f>IFERROR(INDEX($AM$11:$AM$4010,MATCH(277,$AY$11:$AY$4010,0)),"")</f>
        <v/>
      </c>
      <c r="Y287" s="11" t="str">
        <f>IF(X287="","",IFERROR(INDEX($AN$11:$AN$4010,MATCH(277,$AY$11:$AY$4010,0)),""))</f>
        <v/>
      </c>
      <c r="Z287" s="11" t="str">
        <f>IF(X287="","",IFERROR(INDEX($AO$11:$AO$4010,MATCH(277,$AY$11:$AY$4010,0)),""))</f>
        <v/>
      </c>
      <c r="AA287" s="10" t="str">
        <f>IF(X287="","",IFERROR(INDEX($AQ$11:$AQ$4010,MATCH(277,$AY$11:$AY$4010,0)),""))</f>
        <v/>
      </c>
      <c r="AB287" s="15" t="str">
        <f>IF(X287="","",IFERROR(INDEX($AR$11:$AR$4010,MATCH(277,$AY$11:$AY$4010,0)),""))</f>
        <v/>
      </c>
      <c r="AD287" s="16" t="str">
        <f>IF(AE287="","",IFERROR(INDEX($AL$11:$AL$4010,MATCH(277,$AZ$11:$AZ$4010,0)),""))</f>
        <v/>
      </c>
      <c r="AE287" s="12" t="str">
        <f>IFERROR(INDEX($AM$11:$AM$4010,MATCH(277,$AZ$11:$AZ$4010,0)),"")</f>
        <v/>
      </c>
      <c r="AF287" s="11" t="str">
        <f>IF(AE287="","",IFERROR(INDEX($AN$11:$AN$4010,MATCH(277,$AZ$11:$AZ$4010,0)),""))</f>
        <v/>
      </c>
      <c r="AG287" s="11" t="str">
        <f>IF(AE287="","",IFERROR(INDEX($AO$11:$AO$4010,MATCH(277,$AZ$11:$AZ$4010,0)),""))</f>
        <v/>
      </c>
      <c r="AH287" s="10" t="str">
        <f>IF(AE287="","",IFERROR(INDEX($AQ$11:$AQ$4010,MATCH(277,$AZ$11:$AZ$4010,0)),""))</f>
        <v/>
      </c>
      <c r="AI287" s="15" t="str">
        <f>IF(AE287="","",IFERROR(INDEX($AR$11:$AR$4010,MATCH(277,$AZ$11:$AZ$4010,0)),""))</f>
        <v/>
      </c>
      <c r="AJ287" s="15" t="str">
        <f>IF(AE287="","",IFERROR(INDEX($AT$11:$AT$4010,MATCH(277,$AZ$11:$AZ$4010,0)),""))</f>
        <v/>
      </c>
      <c r="AL287" s="17" t="str">
        <f t="shared" si="63"/>
        <v/>
      </c>
      <c r="AM287" s="12" t="str">
        <f t="shared" si="64"/>
        <v/>
      </c>
      <c r="AN287" s="18" t="str">
        <f t="shared" si="65"/>
        <v/>
      </c>
      <c r="AO287" s="18" t="str">
        <f t="shared" si="66"/>
        <v/>
      </c>
      <c r="AP287" s="10" t="str">
        <f t="shared" si="67"/>
        <v/>
      </c>
      <c r="AQ287" s="10" t="str">
        <f t="shared" si="68"/>
        <v/>
      </c>
      <c r="AR287" s="19" t="str">
        <f t="shared" si="69"/>
        <v/>
      </c>
      <c r="AS287" s="20"/>
      <c r="AT287" s="19"/>
      <c r="AV287" s="21">
        <f>IF(AND($AL287&lt;&gt;"",COUNTIF($AL$11:$AL287,$AL287)=1),1,0)</f>
        <v>0</v>
      </c>
      <c r="AW287" s="21">
        <f t="shared" si="71"/>
        <v>2</v>
      </c>
      <c r="AX287" s="21" t="str">
        <f t="shared" si="70"/>
        <v/>
      </c>
      <c r="AY287" s="21" t="str">
        <f>IF(AND($AM287&lt;&gt;"",$AS287&lt;&gt;"✓"),SUMPRODUCT(($AM$11:$AM287&lt;&gt;"")*($AS$11:$AS287&lt;&gt;"✓")),"")</f>
        <v/>
      </c>
      <c r="AZ287" s="21" t="str">
        <f>IF(AND($AM287&lt;&gt;"",$AS287="✓"),SUMPRODUCT(($AM$11:$AM287&lt;&gt;"")*($AS$11:$AS287="✓")),"")</f>
        <v/>
      </c>
      <c r="BA287" s="21" t="str">
        <f>IF($AL287="","",$AL287&amp;"|"&amp;COUNTIF($AL$11:$AL287,$AL287))</f>
        <v/>
      </c>
    </row>
    <row r="288" spans="2:53" ht="15" customHeight="1" x14ac:dyDescent="0.25">
      <c r="B288" s="5" t="str">
        <f t="shared" si="59"/>
        <v/>
      </c>
      <c r="C288" s="5"/>
      <c r="D288" s="5"/>
      <c r="E288" s="5"/>
      <c r="F288" s="6"/>
      <c r="G288" s="6"/>
      <c r="H288" s="7"/>
      <c r="I288" s="8"/>
      <c r="K288" s="23" t="str">
        <f>IFERROR(INDEX($AL$11:$AL$4010,MATCH(278,$AX$11:$AX$4010,0)),"")</f>
        <v/>
      </c>
      <c r="L288" s="24" t="str">
        <f t="shared" si="60"/>
        <v/>
      </c>
      <c r="M288" s="25" t="str">
        <f t="shared" si="61"/>
        <v/>
      </c>
      <c r="N288" s="25" t="str">
        <f t="shared" si="62"/>
        <v/>
      </c>
      <c r="W288" s="28" t="str">
        <f>IF(X288="","",IFERROR(INDEX($AL$11:$AL$4010,MATCH(278,$AY$11:$AY$4010,0)),""))</f>
        <v/>
      </c>
      <c r="X288" s="26" t="str">
        <f>IFERROR(INDEX($AM$11:$AM$4010,MATCH(278,$AY$11:$AY$4010,0)),"")</f>
        <v/>
      </c>
      <c r="Y288" s="25" t="str">
        <f>IF(X288="","",IFERROR(INDEX($AN$11:$AN$4010,MATCH(278,$AY$11:$AY$4010,0)),""))</f>
        <v/>
      </c>
      <c r="Z288" s="25" t="str">
        <f>IF(X288="","",IFERROR(INDEX($AO$11:$AO$4010,MATCH(278,$AY$11:$AY$4010,0)),""))</f>
        <v/>
      </c>
      <c r="AA288" s="24" t="str">
        <f>IF(X288="","",IFERROR(INDEX($AQ$11:$AQ$4010,MATCH(278,$AY$11:$AY$4010,0)),""))</f>
        <v/>
      </c>
      <c r="AB288" s="29" t="str">
        <f>IF(X288="","",IFERROR(INDEX($AR$11:$AR$4010,MATCH(278,$AY$11:$AY$4010,0)),""))</f>
        <v/>
      </c>
      <c r="AD288" s="30" t="str">
        <f>IF(AE288="","",IFERROR(INDEX($AL$11:$AL$4010,MATCH(278,$AZ$11:$AZ$4010,0)),""))</f>
        <v/>
      </c>
      <c r="AE288" s="26" t="str">
        <f>IFERROR(INDEX($AM$11:$AM$4010,MATCH(278,$AZ$11:$AZ$4010,0)),"")</f>
        <v/>
      </c>
      <c r="AF288" s="25" t="str">
        <f>IF(AE288="","",IFERROR(INDEX($AN$11:$AN$4010,MATCH(278,$AZ$11:$AZ$4010,0)),""))</f>
        <v/>
      </c>
      <c r="AG288" s="25" t="str">
        <f>IF(AE288="","",IFERROR(INDEX($AO$11:$AO$4010,MATCH(278,$AZ$11:$AZ$4010,0)),""))</f>
        <v/>
      </c>
      <c r="AH288" s="24" t="str">
        <f>IF(AE288="","",IFERROR(INDEX($AQ$11:$AQ$4010,MATCH(278,$AZ$11:$AZ$4010,0)),""))</f>
        <v/>
      </c>
      <c r="AI288" s="29" t="str">
        <f>IF(AE288="","",IFERROR(INDEX($AR$11:$AR$4010,MATCH(278,$AZ$11:$AZ$4010,0)),""))</f>
        <v/>
      </c>
      <c r="AJ288" s="29" t="str">
        <f>IF(AE288="","",IFERROR(INDEX($AT$11:$AT$4010,MATCH(278,$AZ$11:$AZ$4010,0)),""))</f>
        <v/>
      </c>
      <c r="AL288" s="31" t="str">
        <f t="shared" si="63"/>
        <v/>
      </c>
      <c r="AM288" s="26" t="str">
        <f t="shared" si="64"/>
        <v/>
      </c>
      <c r="AN288" s="32" t="str">
        <f t="shared" si="65"/>
        <v/>
      </c>
      <c r="AO288" s="32" t="str">
        <f t="shared" si="66"/>
        <v/>
      </c>
      <c r="AP288" s="24" t="str">
        <f t="shared" si="67"/>
        <v/>
      </c>
      <c r="AQ288" s="24" t="str">
        <f t="shared" si="68"/>
        <v/>
      </c>
      <c r="AR288" s="33" t="str">
        <f t="shared" si="69"/>
        <v/>
      </c>
      <c r="AS288" s="34"/>
      <c r="AT288" s="33"/>
      <c r="AV288" s="21">
        <f>IF(AND($AL288&lt;&gt;"",COUNTIF($AL$11:$AL288,$AL288)=1),1,0)</f>
        <v>0</v>
      </c>
      <c r="AW288" s="21">
        <f t="shared" si="71"/>
        <v>2</v>
      </c>
      <c r="AX288" s="21" t="str">
        <f t="shared" si="70"/>
        <v/>
      </c>
      <c r="AY288" s="21" t="str">
        <f>IF(AND($AM288&lt;&gt;"",$AS288&lt;&gt;"✓"),SUMPRODUCT(($AM$11:$AM288&lt;&gt;"")*($AS$11:$AS288&lt;&gt;"✓")),"")</f>
        <v/>
      </c>
      <c r="AZ288" s="21" t="str">
        <f>IF(AND($AM288&lt;&gt;"",$AS288="✓"),SUMPRODUCT(($AM$11:$AM288&lt;&gt;"")*($AS$11:$AS288="✓")),"")</f>
        <v/>
      </c>
      <c r="BA288" s="21" t="str">
        <f>IF($AL288="","",$AL288&amp;"|"&amp;COUNTIF($AL$11:$AL288,$AL288))</f>
        <v/>
      </c>
    </row>
    <row r="289" spans="2:53" ht="15" customHeight="1" x14ac:dyDescent="0.25">
      <c r="B289" s="5" t="str">
        <f t="shared" si="59"/>
        <v/>
      </c>
      <c r="C289" s="5"/>
      <c r="D289" s="5"/>
      <c r="E289" s="5"/>
      <c r="F289" s="6"/>
      <c r="G289" s="6"/>
      <c r="H289" s="7"/>
      <c r="I289" s="8"/>
      <c r="K289" s="9" t="str">
        <f>IFERROR(INDEX($AL$11:$AL$4010,MATCH(279,$AX$11:$AX$4010,0)),"")</f>
        <v/>
      </c>
      <c r="L289" s="10" t="str">
        <f t="shared" si="60"/>
        <v/>
      </c>
      <c r="M289" s="11" t="str">
        <f t="shared" si="61"/>
        <v/>
      </c>
      <c r="N289" s="11" t="str">
        <f t="shared" si="62"/>
        <v/>
      </c>
      <c r="W289" s="14" t="str">
        <f>IF(X289="","",IFERROR(INDEX($AL$11:$AL$4010,MATCH(279,$AY$11:$AY$4010,0)),""))</f>
        <v/>
      </c>
      <c r="X289" s="12" t="str">
        <f>IFERROR(INDEX($AM$11:$AM$4010,MATCH(279,$AY$11:$AY$4010,0)),"")</f>
        <v/>
      </c>
      <c r="Y289" s="11" t="str">
        <f>IF(X289="","",IFERROR(INDEX($AN$11:$AN$4010,MATCH(279,$AY$11:$AY$4010,0)),""))</f>
        <v/>
      </c>
      <c r="Z289" s="11" t="str">
        <f>IF(X289="","",IFERROR(INDEX($AO$11:$AO$4010,MATCH(279,$AY$11:$AY$4010,0)),""))</f>
        <v/>
      </c>
      <c r="AA289" s="10" t="str">
        <f>IF(X289="","",IFERROR(INDEX($AQ$11:$AQ$4010,MATCH(279,$AY$11:$AY$4010,0)),""))</f>
        <v/>
      </c>
      <c r="AB289" s="15" t="str">
        <f>IF(X289="","",IFERROR(INDEX($AR$11:$AR$4010,MATCH(279,$AY$11:$AY$4010,0)),""))</f>
        <v/>
      </c>
      <c r="AD289" s="16" t="str">
        <f>IF(AE289="","",IFERROR(INDEX($AL$11:$AL$4010,MATCH(279,$AZ$11:$AZ$4010,0)),""))</f>
        <v/>
      </c>
      <c r="AE289" s="12" t="str">
        <f>IFERROR(INDEX($AM$11:$AM$4010,MATCH(279,$AZ$11:$AZ$4010,0)),"")</f>
        <v/>
      </c>
      <c r="AF289" s="11" t="str">
        <f>IF(AE289="","",IFERROR(INDEX($AN$11:$AN$4010,MATCH(279,$AZ$11:$AZ$4010,0)),""))</f>
        <v/>
      </c>
      <c r="AG289" s="11" t="str">
        <f>IF(AE289="","",IFERROR(INDEX($AO$11:$AO$4010,MATCH(279,$AZ$11:$AZ$4010,0)),""))</f>
        <v/>
      </c>
      <c r="AH289" s="10" t="str">
        <f>IF(AE289="","",IFERROR(INDEX($AQ$11:$AQ$4010,MATCH(279,$AZ$11:$AZ$4010,0)),""))</f>
        <v/>
      </c>
      <c r="AI289" s="15" t="str">
        <f>IF(AE289="","",IFERROR(INDEX($AR$11:$AR$4010,MATCH(279,$AZ$11:$AZ$4010,0)),""))</f>
        <v/>
      </c>
      <c r="AJ289" s="15" t="str">
        <f>IF(AE289="","",IFERROR(INDEX($AT$11:$AT$4010,MATCH(279,$AZ$11:$AZ$4010,0)),""))</f>
        <v/>
      </c>
      <c r="AL289" s="17" t="str">
        <f t="shared" si="63"/>
        <v/>
      </c>
      <c r="AM289" s="12" t="str">
        <f t="shared" si="64"/>
        <v/>
      </c>
      <c r="AN289" s="18" t="str">
        <f t="shared" si="65"/>
        <v/>
      </c>
      <c r="AO289" s="18" t="str">
        <f t="shared" si="66"/>
        <v/>
      </c>
      <c r="AP289" s="10" t="str">
        <f t="shared" si="67"/>
        <v/>
      </c>
      <c r="AQ289" s="10" t="str">
        <f t="shared" si="68"/>
        <v/>
      </c>
      <c r="AR289" s="19" t="str">
        <f t="shared" si="69"/>
        <v/>
      </c>
      <c r="AS289" s="20"/>
      <c r="AT289" s="19"/>
      <c r="AV289" s="21">
        <f>IF(AND($AL289&lt;&gt;"",COUNTIF($AL$11:$AL289,$AL289)=1),1,0)</f>
        <v>0</v>
      </c>
      <c r="AW289" s="21">
        <f t="shared" si="71"/>
        <v>2</v>
      </c>
      <c r="AX289" s="21" t="str">
        <f t="shared" si="70"/>
        <v/>
      </c>
      <c r="AY289" s="21" t="str">
        <f>IF(AND($AM289&lt;&gt;"",$AS289&lt;&gt;"✓"),SUMPRODUCT(($AM$11:$AM289&lt;&gt;"")*($AS$11:$AS289&lt;&gt;"✓")),"")</f>
        <v/>
      </c>
      <c r="AZ289" s="21" t="str">
        <f>IF(AND($AM289&lt;&gt;"",$AS289="✓"),SUMPRODUCT(($AM$11:$AM289&lt;&gt;"")*($AS$11:$AS289="✓")),"")</f>
        <v/>
      </c>
      <c r="BA289" s="21" t="str">
        <f>IF($AL289="","",$AL289&amp;"|"&amp;COUNTIF($AL$11:$AL289,$AL289))</f>
        <v/>
      </c>
    </row>
    <row r="290" spans="2:53" ht="15" customHeight="1" x14ac:dyDescent="0.25">
      <c r="B290" s="5" t="str">
        <f t="shared" si="59"/>
        <v/>
      </c>
      <c r="C290" s="5"/>
      <c r="D290" s="5"/>
      <c r="E290" s="5"/>
      <c r="F290" s="6"/>
      <c r="G290" s="6"/>
      <c r="H290" s="7"/>
      <c r="I290" s="8"/>
      <c r="K290" s="23" t="str">
        <f>IFERROR(INDEX($AL$11:$AL$4010,MATCH(280,$AX$11:$AX$4010,0)),"")</f>
        <v/>
      </c>
      <c r="L290" s="24" t="str">
        <f t="shared" si="60"/>
        <v/>
      </c>
      <c r="M290" s="25" t="str">
        <f t="shared" si="61"/>
        <v/>
      </c>
      <c r="N290" s="25" t="str">
        <f t="shared" si="62"/>
        <v/>
      </c>
      <c r="W290" s="28" t="str">
        <f>IF(X290="","",IFERROR(INDEX($AL$11:$AL$4010,MATCH(280,$AY$11:$AY$4010,0)),""))</f>
        <v/>
      </c>
      <c r="X290" s="26" t="str">
        <f>IFERROR(INDEX($AM$11:$AM$4010,MATCH(280,$AY$11:$AY$4010,0)),"")</f>
        <v/>
      </c>
      <c r="Y290" s="25" t="str">
        <f>IF(X290="","",IFERROR(INDEX($AN$11:$AN$4010,MATCH(280,$AY$11:$AY$4010,0)),""))</f>
        <v/>
      </c>
      <c r="Z290" s="25" t="str">
        <f>IF(X290="","",IFERROR(INDEX($AO$11:$AO$4010,MATCH(280,$AY$11:$AY$4010,0)),""))</f>
        <v/>
      </c>
      <c r="AA290" s="24" t="str">
        <f>IF(X290="","",IFERROR(INDEX($AQ$11:$AQ$4010,MATCH(280,$AY$11:$AY$4010,0)),""))</f>
        <v/>
      </c>
      <c r="AB290" s="29" t="str">
        <f>IF(X290="","",IFERROR(INDEX($AR$11:$AR$4010,MATCH(280,$AY$11:$AY$4010,0)),""))</f>
        <v/>
      </c>
      <c r="AD290" s="30" t="str">
        <f>IF(AE290="","",IFERROR(INDEX($AL$11:$AL$4010,MATCH(280,$AZ$11:$AZ$4010,0)),""))</f>
        <v/>
      </c>
      <c r="AE290" s="26" t="str">
        <f>IFERROR(INDEX($AM$11:$AM$4010,MATCH(280,$AZ$11:$AZ$4010,0)),"")</f>
        <v/>
      </c>
      <c r="AF290" s="25" t="str">
        <f>IF(AE290="","",IFERROR(INDEX($AN$11:$AN$4010,MATCH(280,$AZ$11:$AZ$4010,0)),""))</f>
        <v/>
      </c>
      <c r="AG290" s="25" t="str">
        <f>IF(AE290="","",IFERROR(INDEX($AO$11:$AO$4010,MATCH(280,$AZ$11:$AZ$4010,0)),""))</f>
        <v/>
      </c>
      <c r="AH290" s="24" t="str">
        <f>IF(AE290="","",IFERROR(INDEX($AQ$11:$AQ$4010,MATCH(280,$AZ$11:$AZ$4010,0)),""))</f>
        <v/>
      </c>
      <c r="AI290" s="29" t="str">
        <f>IF(AE290="","",IFERROR(INDEX($AR$11:$AR$4010,MATCH(280,$AZ$11:$AZ$4010,0)),""))</f>
        <v/>
      </c>
      <c r="AJ290" s="29" t="str">
        <f>IF(AE290="","",IFERROR(INDEX($AT$11:$AT$4010,MATCH(280,$AZ$11:$AZ$4010,0)),""))</f>
        <v/>
      </c>
      <c r="AL290" s="31" t="str">
        <f t="shared" si="63"/>
        <v/>
      </c>
      <c r="AM290" s="26" t="str">
        <f t="shared" si="64"/>
        <v/>
      </c>
      <c r="AN290" s="32" t="str">
        <f t="shared" si="65"/>
        <v/>
      </c>
      <c r="AO290" s="32" t="str">
        <f t="shared" si="66"/>
        <v/>
      </c>
      <c r="AP290" s="24" t="str">
        <f t="shared" si="67"/>
        <v/>
      </c>
      <c r="AQ290" s="24" t="str">
        <f t="shared" si="68"/>
        <v/>
      </c>
      <c r="AR290" s="33" t="str">
        <f t="shared" si="69"/>
        <v/>
      </c>
      <c r="AS290" s="34"/>
      <c r="AT290" s="33"/>
      <c r="AV290" s="21">
        <f>IF(AND($AL290&lt;&gt;"",COUNTIF($AL$11:$AL290,$AL290)=1),1,0)</f>
        <v>0</v>
      </c>
      <c r="AW290" s="21">
        <f t="shared" si="71"/>
        <v>2</v>
      </c>
      <c r="AX290" s="21" t="str">
        <f t="shared" si="70"/>
        <v/>
      </c>
      <c r="AY290" s="21" t="str">
        <f>IF(AND($AM290&lt;&gt;"",$AS290&lt;&gt;"✓"),SUMPRODUCT(($AM$11:$AM290&lt;&gt;"")*($AS$11:$AS290&lt;&gt;"✓")),"")</f>
        <v/>
      </c>
      <c r="AZ290" s="21" t="str">
        <f>IF(AND($AM290&lt;&gt;"",$AS290="✓"),SUMPRODUCT(($AM$11:$AM290&lt;&gt;"")*($AS$11:$AS290="✓")),"")</f>
        <v/>
      </c>
      <c r="BA290" s="21" t="str">
        <f>IF($AL290="","",$AL290&amp;"|"&amp;COUNTIF($AL$11:$AL290,$AL290))</f>
        <v/>
      </c>
    </row>
    <row r="291" spans="2:53" ht="15" customHeight="1" x14ac:dyDescent="0.25">
      <c r="B291" s="5" t="str">
        <f t="shared" si="59"/>
        <v/>
      </c>
      <c r="C291" s="5"/>
      <c r="D291" s="5"/>
      <c r="E291" s="5"/>
      <c r="F291" s="6"/>
      <c r="G291" s="6"/>
      <c r="H291" s="7"/>
      <c r="I291" s="8"/>
      <c r="K291" s="9" t="str">
        <f>IFERROR(INDEX($AL$11:$AL$4010,MATCH(281,$AX$11:$AX$4010,0)),"")</f>
        <v/>
      </c>
      <c r="L291" s="10" t="str">
        <f t="shared" si="60"/>
        <v/>
      </c>
      <c r="M291" s="11" t="str">
        <f t="shared" si="61"/>
        <v/>
      </c>
      <c r="N291" s="11" t="str">
        <f t="shared" si="62"/>
        <v/>
      </c>
      <c r="W291" s="14" t="str">
        <f>IF(X291="","",IFERROR(INDEX($AL$11:$AL$4010,MATCH(281,$AY$11:$AY$4010,0)),""))</f>
        <v/>
      </c>
      <c r="X291" s="12" t="str">
        <f>IFERROR(INDEX($AM$11:$AM$4010,MATCH(281,$AY$11:$AY$4010,0)),"")</f>
        <v/>
      </c>
      <c r="Y291" s="11" t="str">
        <f>IF(X291="","",IFERROR(INDEX($AN$11:$AN$4010,MATCH(281,$AY$11:$AY$4010,0)),""))</f>
        <v/>
      </c>
      <c r="Z291" s="11" t="str">
        <f>IF(X291="","",IFERROR(INDEX($AO$11:$AO$4010,MATCH(281,$AY$11:$AY$4010,0)),""))</f>
        <v/>
      </c>
      <c r="AA291" s="10" t="str">
        <f>IF(X291="","",IFERROR(INDEX($AQ$11:$AQ$4010,MATCH(281,$AY$11:$AY$4010,0)),""))</f>
        <v/>
      </c>
      <c r="AB291" s="15" t="str">
        <f>IF(X291="","",IFERROR(INDEX($AR$11:$AR$4010,MATCH(281,$AY$11:$AY$4010,0)),""))</f>
        <v/>
      </c>
      <c r="AD291" s="16" t="str">
        <f>IF(AE291="","",IFERROR(INDEX($AL$11:$AL$4010,MATCH(281,$AZ$11:$AZ$4010,0)),""))</f>
        <v/>
      </c>
      <c r="AE291" s="12" t="str">
        <f>IFERROR(INDEX($AM$11:$AM$4010,MATCH(281,$AZ$11:$AZ$4010,0)),"")</f>
        <v/>
      </c>
      <c r="AF291" s="11" t="str">
        <f>IF(AE291="","",IFERROR(INDEX($AN$11:$AN$4010,MATCH(281,$AZ$11:$AZ$4010,0)),""))</f>
        <v/>
      </c>
      <c r="AG291" s="11" t="str">
        <f>IF(AE291="","",IFERROR(INDEX($AO$11:$AO$4010,MATCH(281,$AZ$11:$AZ$4010,0)),""))</f>
        <v/>
      </c>
      <c r="AH291" s="10" t="str">
        <f>IF(AE291="","",IFERROR(INDEX($AQ$11:$AQ$4010,MATCH(281,$AZ$11:$AZ$4010,0)),""))</f>
        <v/>
      </c>
      <c r="AI291" s="15" t="str">
        <f>IF(AE291="","",IFERROR(INDEX($AR$11:$AR$4010,MATCH(281,$AZ$11:$AZ$4010,0)),""))</f>
        <v/>
      </c>
      <c r="AJ291" s="15" t="str">
        <f>IF(AE291="","",IFERROR(INDEX($AT$11:$AT$4010,MATCH(281,$AZ$11:$AZ$4010,0)),""))</f>
        <v/>
      </c>
      <c r="AL291" s="17" t="str">
        <f t="shared" si="63"/>
        <v/>
      </c>
      <c r="AM291" s="12" t="str">
        <f t="shared" si="64"/>
        <v/>
      </c>
      <c r="AN291" s="18" t="str">
        <f t="shared" si="65"/>
        <v/>
      </c>
      <c r="AO291" s="18" t="str">
        <f t="shared" si="66"/>
        <v/>
      </c>
      <c r="AP291" s="10" t="str">
        <f t="shared" si="67"/>
        <v/>
      </c>
      <c r="AQ291" s="10" t="str">
        <f t="shared" si="68"/>
        <v/>
      </c>
      <c r="AR291" s="19" t="str">
        <f t="shared" si="69"/>
        <v/>
      </c>
      <c r="AS291" s="20"/>
      <c r="AT291" s="19"/>
      <c r="AV291" s="21">
        <f>IF(AND($AL291&lt;&gt;"",COUNTIF($AL$11:$AL291,$AL291)=1),1,0)</f>
        <v>0</v>
      </c>
      <c r="AW291" s="21">
        <f t="shared" si="71"/>
        <v>2</v>
      </c>
      <c r="AX291" s="21" t="str">
        <f t="shared" si="70"/>
        <v/>
      </c>
      <c r="AY291" s="21" t="str">
        <f>IF(AND($AM291&lt;&gt;"",$AS291&lt;&gt;"✓"),SUMPRODUCT(($AM$11:$AM291&lt;&gt;"")*($AS$11:$AS291&lt;&gt;"✓")),"")</f>
        <v/>
      </c>
      <c r="AZ291" s="21" t="str">
        <f>IF(AND($AM291&lt;&gt;"",$AS291="✓"),SUMPRODUCT(($AM$11:$AM291&lt;&gt;"")*($AS$11:$AS291="✓")),"")</f>
        <v/>
      </c>
      <c r="BA291" s="21" t="str">
        <f>IF($AL291="","",$AL291&amp;"|"&amp;COUNTIF($AL$11:$AL291,$AL291))</f>
        <v/>
      </c>
    </row>
    <row r="292" spans="2:53" ht="15" customHeight="1" x14ac:dyDescent="0.25">
      <c r="B292" s="5" t="str">
        <f t="shared" si="59"/>
        <v/>
      </c>
      <c r="C292" s="5"/>
      <c r="D292" s="5"/>
      <c r="E292" s="5"/>
      <c r="F292" s="6"/>
      <c r="G292" s="6"/>
      <c r="H292" s="7"/>
      <c r="I292" s="8"/>
      <c r="K292" s="23" t="str">
        <f>IFERROR(INDEX($AL$11:$AL$4010,MATCH(282,$AX$11:$AX$4010,0)),"")</f>
        <v/>
      </c>
      <c r="L292" s="24" t="str">
        <f t="shared" si="60"/>
        <v/>
      </c>
      <c r="M292" s="25" t="str">
        <f t="shared" si="61"/>
        <v/>
      </c>
      <c r="N292" s="25" t="str">
        <f t="shared" si="62"/>
        <v/>
      </c>
      <c r="W292" s="28" t="str">
        <f>IF(X292="","",IFERROR(INDEX($AL$11:$AL$4010,MATCH(282,$AY$11:$AY$4010,0)),""))</f>
        <v/>
      </c>
      <c r="X292" s="26" t="str">
        <f>IFERROR(INDEX($AM$11:$AM$4010,MATCH(282,$AY$11:$AY$4010,0)),"")</f>
        <v/>
      </c>
      <c r="Y292" s="25" t="str">
        <f>IF(X292="","",IFERROR(INDEX($AN$11:$AN$4010,MATCH(282,$AY$11:$AY$4010,0)),""))</f>
        <v/>
      </c>
      <c r="Z292" s="25" t="str">
        <f>IF(X292="","",IFERROR(INDEX($AO$11:$AO$4010,MATCH(282,$AY$11:$AY$4010,0)),""))</f>
        <v/>
      </c>
      <c r="AA292" s="24" t="str">
        <f>IF(X292="","",IFERROR(INDEX($AQ$11:$AQ$4010,MATCH(282,$AY$11:$AY$4010,0)),""))</f>
        <v/>
      </c>
      <c r="AB292" s="29" t="str">
        <f>IF(X292="","",IFERROR(INDEX($AR$11:$AR$4010,MATCH(282,$AY$11:$AY$4010,0)),""))</f>
        <v/>
      </c>
      <c r="AD292" s="30" t="str">
        <f>IF(AE292="","",IFERROR(INDEX($AL$11:$AL$4010,MATCH(282,$AZ$11:$AZ$4010,0)),""))</f>
        <v/>
      </c>
      <c r="AE292" s="26" t="str">
        <f>IFERROR(INDEX($AM$11:$AM$4010,MATCH(282,$AZ$11:$AZ$4010,0)),"")</f>
        <v/>
      </c>
      <c r="AF292" s="25" t="str">
        <f>IF(AE292="","",IFERROR(INDEX($AN$11:$AN$4010,MATCH(282,$AZ$11:$AZ$4010,0)),""))</f>
        <v/>
      </c>
      <c r="AG292" s="25" t="str">
        <f>IF(AE292="","",IFERROR(INDEX($AO$11:$AO$4010,MATCH(282,$AZ$11:$AZ$4010,0)),""))</f>
        <v/>
      </c>
      <c r="AH292" s="24" t="str">
        <f>IF(AE292="","",IFERROR(INDEX($AQ$11:$AQ$4010,MATCH(282,$AZ$11:$AZ$4010,0)),""))</f>
        <v/>
      </c>
      <c r="AI292" s="29" t="str">
        <f>IF(AE292="","",IFERROR(INDEX($AR$11:$AR$4010,MATCH(282,$AZ$11:$AZ$4010,0)),""))</f>
        <v/>
      </c>
      <c r="AJ292" s="29" t="str">
        <f>IF(AE292="","",IFERROR(INDEX($AT$11:$AT$4010,MATCH(282,$AZ$11:$AZ$4010,0)),""))</f>
        <v/>
      </c>
      <c r="AL292" s="31" t="str">
        <f t="shared" si="63"/>
        <v/>
      </c>
      <c r="AM292" s="26" t="str">
        <f t="shared" si="64"/>
        <v/>
      </c>
      <c r="AN292" s="32" t="str">
        <f t="shared" si="65"/>
        <v/>
      </c>
      <c r="AO292" s="32" t="str">
        <f t="shared" si="66"/>
        <v/>
      </c>
      <c r="AP292" s="24" t="str">
        <f t="shared" si="67"/>
        <v/>
      </c>
      <c r="AQ292" s="24" t="str">
        <f t="shared" si="68"/>
        <v/>
      </c>
      <c r="AR292" s="33" t="str">
        <f t="shared" si="69"/>
        <v/>
      </c>
      <c r="AS292" s="34"/>
      <c r="AT292" s="33"/>
      <c r="AV292" s="21">
        <f>IF(AND($AL292&lt;&gt;"",COUNTIF($AL$11:$AL292,$AL292)=1),1,0)</f>
        <v>0</v>
      </c>
      <c r="AW292" s="21">
        <f t="shared" si="71"/>
        <v>2</v>
      </c>
      <c r="AX292" s="21" t="str">
        <f t="shared" si="70"/>
        <v/>
      </c>
      <c r="AY292" s="21" t="str">
        <f>IF(AND($AM292&lt;&gt;"",$AS292&lt;&gt;"✓"),SUMPRODUCT(($AM$11:$AM292&lt;&gt;"")*($AS$11:$AS292&lt;&gt;"✓")),"")</f>
        <v/>
      </c>
      <c r="AZ292" s="21" t="str">
        <f>IF(AND($AM292&lt;&gt;"",$AS292="✓"),SUMPRODUCT(($AM$11:$AM292&lt;&gt;"")*($AS$11:$AS292="✓")),"")</f>
        <v/>
      </c>
      <c r="BA292" s="21" t="str">
        <f>IF($AL292="","",$AL292&amp;"|"&amp;COUNTIF($AL$11:$AL292,$AL292))</f>
        <v/>
      </c>
    </row>
    <row r="293" spans="2:53" ht="15" customHeight="1" x14ac:dyDescent="0.25">
      <c r="B293" s="5" t="str">
        <f t="shared" si="59"/>
        <v/>
      </c>
      <c r="C293" s="5"/>
      <c r="D293" s="5"/>
      <c r="E293" s="5"/>
      <c r="F293" s="6"/>
      <c r="G293" s="6"/>
      <c r="H293" s="7"/>
      <c r="I293" s="8"/>
      <c r="K293" s="9" t="str">
        <f>IFERROR(INDEX($AL$11:$AL$4010,MATCH(283,$AX$11:$AX$4010,0)),"")</f>
        <v/>
      </c>
      <c r="L293" s="10" t="str">
        <f t="shared" si="60"/>
        <v/>
      </c>
      <c r="M293" s="11" t="str">
        <f t="shared" si="61"/>
        <v/>
      </c>
      <c r="N293" s="11" t="str">
        <f t="shared" si="62"/>
        <v/>
      </c>
      <c r="W293" s="14" t="str">
        <f>IF(X293="","",IFERROR(INDEX($AL$11:$AL$4010,MATCH(283,$AY$11:$AY$4010,0)),""))</f>
        <v/>
      </c>
      <c r="X293" s="12" t="str">
        <f>IFERROR(INDEX($AM$11:$AM$4010,MATCH(283,$AY$11:$AY$4010,0)),"")</f>
        <v/>
      </c>
      <c r="Y293" s="11" t="str">
        <f>IF(X293="","",IFERROR(INDEX($AN$11:$AN$4010,MATCH(283,$AY$11:$AY$4010,0)),""))</f>
        <v/>
      </c>
      <c r="Z293" s="11" t="str">
        <f>IF(X293="","",IFERROR(INDEX($AO$11:$AO$4010,MATCH(283,$AY$11:$AY$4010,0)),""))</f>
        <v/>
      </c>
      <c r="AA293" s="10" t="str">
        <f>IF(X293="","",IFERROR(INDEX($AQ$11:$AQ$4010,MATCH(283,$AY$11:$AY$4010,0)),""))</f>
        <v/>
      </c>
      <c r="AB293" s="15" t="str">
        <f>IF(X293="","",IFERROR(INDEX($AR$11:$AR$4010,MATCH(283,$AY$11:$AY$4010,0)),""))</f>
        <v/>
      </c>
      <c r="AD293" s="16" t="str">
        <f>IF(AE293="","",IFERROR(INDEX($AL$11:$AL$4010,MATCH(283,$AZ$11:$AZ$4010,0)),""))</f>
        <v/>
      </c>
      <c r="AE293" s="12" t="str">
        <f>IFERROR(INDEX($AM$11:$AM$4010,MATCH(283,$AZ$11:$AZ$4010,0)),"")</f>
        <v/>
      </c>
      <c r="AF293" s="11" t="str">
        <f>IF(AE293="","",IFERROR(INDEX($AN$11:$AN$4010,MATCH(283,$AZ$11:$AZ$4010,0)),""))</f>
        <v/>
      </c>
      <c r="AG293" s="11" t="str">
        <f>IF(AE293="","",IFERROR(INDEX($AO$11:$AO$4010,MATCH(283,$AZ$11:$AZ$4010,0)),""))</f>
        <v/>
      </c>
      <c r="AH293" s="10" t="str">
        <f>IF(AE293="","",IFERROR(INDEX($AQ$11:$AQ$4010,MATCH(283,$AZ$11:$AZ$4010,0)),""))</f>
        <v/>
      </c>
      <c r="AI293" s="15" t="str">
        <f>IF(AE293="","",IFERROR(INDEX($AR$11:$AR$4010,MATCH(283,$AZ$11:$AZ$4010,0)),""))</f>
        <v/>
      </c>
      <c r="AJ293" s="15" t="str">
        <f>IF(AE293="","",IFERROR(INDEX($AT$11:$AT$4010,MATCH(283,$AZ$11:$AZ$4010,0)),""))</f>
        <v/>
      </c>
      <c r="AL293" s="17" t="str">
        <f t="shared" si="63"/>
        <v/>
      </c>
      <c r="AM293" s="12" t="str">
        <f t="shared" si="64"/>
        <v/>
      </c>
      <c r="AN293" s="18" t="str">
        <f t="shared" si="65"/>
        <v/>
      </c>
      <c r="AO293" s="18" t="str">
        <f t="shared" si="66"/>
        <v/>
      </c>
      <c r="AP293" s="10" t="str">
        <f t="shared" si="67"/>
        <v/>
      </c>
      <c r="AQ293" s="10" t="str">
        <f t="shared" si="68"/>
        <v/>
      </c>
      <c r="AR293" s="19" t="str">
        <f t="shared" si="69"/>
        <v/>
      </c>
      <c r="AS293" s="20"/>
      <c r="AT293" s="19"/>
      <c r="AV293" s="21">
        <f>IF(AND($AL293&lt;&gt;"",COUNTIF($AL$11:$AL293,$AL293)=1),1,0)</f>
        <v>0</v>
      </c>
      <c r="AW293" s="21">
        <f t="shared" si="71"/>
        <v>2</v>
      </c>
      <c r="AX293" s="21" t="str">
        <f t="shared" si="70"/>
        <v/>
      </c>
      <c r="AY293" s="21" t="str">
        <f>IF(AND($AM293&lt;&gt;"",$AS293&lt;&gt;"✓"),SUMPRODUCT(($AM$11:$AM293&lt;&gt;"")*($AS$11:$AS293&lt;&gt;"✓")),"")</f>
        <v/>
      </c>
      <c r="AZ293" s="21" t="str">
        <f>IF(AND($AM293&lt;&gt;"",$AS293="✓"),SUMPRODUCT(($AM$11:$AM293&lt;&gt;"")*($AS$11:$AS293="✓")),"")</f>
        <v/>
      </c>
      <c r="BA293" s="21" t="str">
        <f>IF($AL293="","",$AL293&amp;"|"&amp;COUNTIF($AL$11:$AL293,$AL293))</f>
        <v/>
      </c>
    </row>
    <row r="294" spans="2:53" ht="15" customHeight="1" x14ac:dyDescent="0.25">
      <c r="B294" s="5" t="str">
        <f t="shared" si="59"/>
        <v/>
      </c>
      <c r="C294" s="5"/>
      <c r="D294" s="5"/>
      <c r="E294" s="5"/>
      <c r="F294" s="6"/>
      <c r="G294" s="6"/>
      <c r="H294" s="7"/>
      <c r="I294" s="8"/>
      <c r="K294" s="23" t="str">
        <f>IFERROR(INDEX($AL$11:$AL$4010,MATCH(284,$AX$11:$AX$4010,0)),"")</f>
        <v/>
      </c>
      <c r="L294" s="24" t="str">
        <f t="shared" si="60"/>
        <v/>
      </c>
      <c r="M294" s="25" t="str">
        <f t="shared" si="61"/>
        <v/>
      </c>
      <c r="N294" s="25" t="str">
        <f t="shared" si="62"/>
        <v/>
      </c>
      <c r="W294" s="28" t="str">
        <f>IF(X294="","",IFERROR(INDEX($AL$11:$AL$4010,MATCH(284,$AY$11:$AY$4010,0)),""))</f>
        <v/>
      </c>
      <c r="X294" s="26" t="str">
        <f>IFERROR(INDEX($AM$11:$AM$4010,MATCH(284,$AY$11:$AY$4010,0)),"")</f>
        <v/>
      </c>
      <c r="Y294" s="25" t="str">
        <f>IF(X294="","",IFERROR(INDEX($AN$11:$AN$4010,MATCH(284,$AY$11:$AY$4010,0)),""))</f>
        <v/>
      </c>
      <c r="Z294" s="25" t="str">
        <f>IF(X294="","",IFERROR(INDEX($AO$11:$AO$4010,MATCH(284,$AY$11:$AY$4010,0)),""))</f>
        <v/>
      </c>
      <c r="AA294" s="24" t="str">
        <f>IF(X294="","",IFERROR(INDEX($AQ$11:$AQ$4010,MATCH(284,$AY$11:$AY$4010,0)),""))</f>
        <v/>
      </c>
      <c r="AB294" s="29" t="str">
        <f>IF(X294="","",IFERROR(INDEX($AR$11:$AR$4010,MATCH(284,$AY$11:$AY$4010,0)),""))</f>
        <v/>
      </c>
      <c r="AD294" s="30" t="str">
        <f>IF(AE294="","",IFERROR(INDEX($AL$11:$AL$4010,MATCH(284,$AZ$11:$AZ$4010,0)),""))</f>
        <v/>
      </c>
      <c r="AE294" s="26" t="str">
        <f>IFERROR(INDEX($AM$11:$AM$4010,MATCH(284,$AZ$11:$AZ$4010,0)),"")</f>
        <v/>
      </c>
      <c r="AF294" s="25" t="str">
        <f>IF(AE294="","",IFERROR(INDEX($AN$11:$AN$4010,MATCH(284,$AZ$11:$AZ$4010,0)),""))</f>
        <v/>
      </c>
      <c r="AG294" s="25" t="str">
        <f>IF(AE294="","",IFERROR(INDEX($AO$11:$AO$4010,MATCH(284,$AZ$11:$AZ$4010,0)),""))</f>
        <v/>
      </c>
      <c r="AH294" s="24" t="str">
        <f>IF(AE294="","",IFERROR(INDEX($AQ$11:$AQ$4010,MATCH(284,$AZ$11:$AZ$4010,0)),""))</f>
        <v/>
      </c>
      <c r="AI294" s="29" t="str">
        <f>IF(AE294="","",IFERROR(INDEX($AR$11:$AR$4010,MATCH(284,$AZ$11:$AZ$4010,0)),""))</f>
        <v/>
      </c>
      <c r="AJ294" s="29" t="str">
        <f>IF(AE294="","",IFERROR(INDEX($AT$11:$AT$4010,MATCH(284,$AZ$11:$AZ$4010,0)),""))</f>
        <v/>
      </c>
      <c r="AL294" s="31" t="str">
        <f t="shared" si="63"/>
        <v/>
      </c>
      <c r="AM294" s="26" t="str">
        <f t="shared" si="64"/>
        <v/>
      </c>
      <c r="AN294" s="32" t="str">
        <f t="shared" si="65"/>
        <v/>
      </c>
      <c r="AO294" s="32" t="str">
        <f t="shared" si="66"/>
        <v/>
      </c>
      <c r="AP294" s="24" t="str">
        <f t="shared" si="67"/>
        <v/>
      </c>
      <c r="AQ294" s="24" t="str">
        <f t="shared" si="68"/>
        <v/>
      </c>
      <c r="AR294" s="33" t="str">
        <f t="shared" si="69"/>
        <v/>
      </c>
      <c r="AS294" s="34"/>
      <c r="AT294" s="33"/>
      <c r="AV294" s="21">
        <f>IF(AND($AL294&lt;&gt;"",COUNTIF($AL$11:$AL294,$AL294)=1),1,0)</f>
        <v>0</v>
      </c>
      <c r="AW294" s="21">
        <f t="shared" si="71"/>
        <v>2</v>
      </c>
      <c r="AX294" s="21" t="str">
        <f t="shared" si="70"/>
        <v/>
      </c>
      <c r="AY294" s="21" t="str">
        <f>IF(AND($AM294&lt;&gt;"",$AS294&lt;&gt;"✓"),SUMPRODUCT(($AM$11:$AM294&lt;&gt;"")*($AS$11:$AS294&lt;&gt;"✓")),"")</f>
        <v/>
      </c>
      <c r="AZ294" s="21" t="str">
        <f>IF(AND($AM294&lt;&gt;"",$AS294="✓"),SUMPRODUCT(($AM$11:$AM294&lt;&gt;"")*($AS$11:$AS294="✓")),"")</f>
        <v/>
      </c>
      <c r="BA294" s="21" t="str">
        <f>IF($AL294="","",$AL294&amp;"|"&amp;COUNTIF($AL$11:$AL294,$AL294))</f>
        <v/>
      </c>
    </row>
    <row r="295" spans="2:53" ht="15" customHeight="1" x14ac:dyDescent="0.25">
      <c r="B295" s="5" t="str">
        <f t="shared" si="59"/>
        <v/>
      </c>
      <c r="C295" s="5"/>
      <c r="D295" s="5"/>
      <c r="E295" s="5"/>
      <c r="F295" s="6"/>
      <c r="G295" s="6"/>
      <c r="H295" s="7"/>
      <c r="I295" s="8"/>
      <c r="K295" s="9" t="str">
        <f>IFERROR(INDEX($AL$11:$AL$4010,MATCH(285,$AX$11:$AX$4010,0)),"")</f>
        <v/>
      </c>
      <c r="L295" s="10" t="str">
        <f t="shared" si="60"/>
        <v/>
      </c>
      <c r="M295" s="11" t="str">
        <f t="shared" si="61"/>
        <v/>
      </c>
      <c r="N295" s="11" t="str">
        <f t="shared" si="62"/>
        <v/>
      </c>
      <c r="W295" s="14" t="str">
        <f>IF(X295="","",IFERROR(INDEX($AL$11:$AL$4010,MATCH(285,$AY$11:$AY$4010,0)),""))</f>
        <v/>
      </c>
      <c r="X295" s="12" t="str">
        <f>IFERROR(INDEX($AM$11:$AM$4010,MATCH(285,$AY$11:$AY$4010,0)),"")</f>
        <v/>
      </c>
      <c r="Y295" s="11" t="str">
        <f>IF(X295="","",IFERROR(INDEX($AN$11:$AN$4010,MATCH(285,$AY$11:$AY$4010,0)),""))</f>
        <v/>
      </c>
      <c r="Z295" s="11" t="str">
        <f>IF(X295="","",IFERROR(INDEX($AO$11:$AO$4010,MATCH(285,$AY$11:$AY$4010,0)),""))</f>
        <v/>
      </c>
      <c r="AA295" s="10" t="str">
        <f>IF(X295="","",IFERROR(INDEX($AQ$11:$AQ$4010,MATCH(285,$AY$11:$AY$4010,0)),""))</f>
        <v/>
      </c>
      <c r="AB295" s="15" t="str">
        <f>IF(X295="","",IFERROR(INDEX($AR$11:$AR$4010,MATCH(285,$AY$11:$AY$4010,0)),""))</f>
        <v/>
      </c>
      <c r="AD295" s="16" t="str">
        <f>IF(AE295="","",IFERROR(INDEX($AL$11:$AL$4010,MATCH(285,$AZ$11:$AZ$4010,0)),""))</f>
        <v/>
      </c>
      <c r="AE295" s="12" t="str">
        <f>IFERROR(INDEX($AM$11:$AM$4010,MATCH(285,$AZ$11:$AZ$4010,0)),"")</f>
        <v/>
      </c>
      <c r="AF295" s="11" t="str">
        <f>IF(AE295="","",IFERROR(INDEX($AN$11:$AN$4010,MATCH(285,$AZ$11:$AZ$4010,0)),""))</f>
        <v/>
      </c>
      <c r="AG295" s="11" t="str">
        <f>IF(AE295="","",IFERROR(INDEX($AO$11:$AO$4010,MATCH(285,$AZ$11:$AZ$4010,0)),""))</f>
        <v/>
      </c>
      <c r="AH295" s="10" t="str">
        <f>IF(AE295="","",IFERROR(INDEX($AQ$11:$AQ$4010,MATCH(285,$AZ$11:$AZ$4010,0)),""))</f>
        <v/>
      </c>
      <c r="AI295" s="15" t="str">
        <f>IF(AE295="","",IFERROR(INDEX($AR$11:$AR$4010,MATCH(285,$AZ$11:$AZ$4010,0)),""))</f>
        <v/>
      </c>
      <c r="AJ295" s="15" t="str">
        <f>IF(AE295="","",IFERROR(INDEX($AT$11:$AT$4010,MATCH(285,$AZ$11:$AZ$4010,0)),""))</f>
        <v/>
      </c>
      <c r="AL295" s="17" t="str">
        <f t="shared" si="63"/>
        <v/>
      </c>
      <c r="AM295" s="12" t="str">
        <f t="shared" si="64"/>
        <v/>
      </c>
      <c r="AN295" s="18" t="str">
        <f t="shared" si="65"/>
        <v/>
      </c>
      <c r="AO295" s="18" t="str">
        <f t="shared" si="66"/>
        <v/>
      </c>
      <c r="AP295" s="10" t="str">
        <f t="shared" si="67"/>
        <v/>
      </c>
      <c r="AQ295" s="10" t="str">
        <f t="shared" si="68"/>
        <v/>
      </c>
      <c r="AR295" s="19" t="str">
        <f t="shared" si="69"/>
        <v/>
      </c>
      <c r="AS295" s="20"/>
      <c r="AT295" s="19"/>
      <c r="AV295" s="21">
        <f>IF(AND($AL295&lt;&gt;"",COUNTIF($AL$11:$AL295,$AL295)=1),1,0)</f>
        <v>0</v>
      </c>
      <c r="AW295" s="21">
        <f t="shared" si="71"/>
        <v>2</v>
      </c>
      <c r="AX295" s="21" t="str">
        <f t="shared" si="70"/>
        <v/>
      </c>
      <c r="AY295" s="21" t="str">
        <f>IF(AND($AM295&lt;&gt;"",$AS295&lt;&gt;"✓"),SUMPRODUCT(($AM$11:$AM295&lt;&gt;"")*($AS$11:$AS295&lt;&gt;"✓")),"")</f>
        <v/>
      </c>
      <c r="AZ295" s="21" t="str">
        <f>IF(AND($AM295&lt;&gt;"",$AS295="✓"),SUMPRODUCT(($AM$11:$AM295&lt;&gt;"")*($AS$11:$AS295="✓")),"")</f>
        <v/>
      </c>
      <c r="BA295" s="21" t="str">
        <f>IF($AL295="","",$AL295&amp;"|"&amp;COUNTIF($AL$11:$AL295,$AL295))</f>
        <v/>
      </c>
    </row>
    <row r="296" spans="2:53" ht="15" customHeight="1" x14ac:dyDescent="0.25">
      <c r="B296" s="5" t="str">
        <f t="shared" si="59"/>
        <v/>
      </c>
      <c r="C296" s="5"/>
      <c r="D296" s="5"/>
      <c r="E296" s="5"/>
      <c r="F296" s="6"/>
      <c r="G296" s="6"/>
      <c r="H296" s="7"/>
      <c r="I296" s="8"/>
      <c r="K296" s="23" t="str">
        <f>IFERROR(INDEX($AL$11:$AL$4010,MATCH(286,$AX$11:$AX$4010,0)),"")</f>
        <v/>
      </c>
      <c r="L296" s="24" t="str">
        <f t="shared" si="60"/>
        <v/>
      </c>
      <c r="M296" s="25" t="str">
        <f t="shared" si="61"/>
        <v/>
      </c>
      <c r="N296" s="25" t="str">
        <f t="shared" si="62"/>
        <v/>
      </c>
      <c r="W296" s="28" t="str">
        <f>IF(X296="","",IFERROR(INDEX($AL$11:$AL$4010,MATCH(286,$AY$11:$AY$4010,0)),""))</f>
        <v/>
      </c>
      <c r="X296" s="26" t="str">
        <f>IFERROR(INDEX($AM$11:$AM$4010,MATCH(286,$AY$11:$AY$4010,0)),"")</f>
        <v/>
      </c>
      <c r="Y296" s="25" t="str">
        <f>IF(X296="","",IFERROR(INDEX($AN$11:$AN$4010,MATCH(286,$AY$11:$AY$4010,0)),""))</f>
        <v/>
      </c>
      <c r="Z296" s="25" t="str">
        <f>IF(X296="","",IFERROR(INDEX($AO$11:$AO$4010,MATCH(286,$AY$11:$AY$4010,0)),""))</f>
        <v/>
      </c>
      <c r="AA296" s="24" t="str">
        <f>IF(X296="","",IFERROR(INDEX($AQ$11:$AQ$4010,MATCH(286,$AY$11:$AY$4010,0)),""))</f>
        <v/>
      </c>
      <c r="AB296" s="29" t="str">
        <f>IF(X296="","",IFERROR(INDEX($AR$11:$AR$4010,MATCH(286,$AY$11:$AY$4010,0)),""))</f>
        <v/>
      </c>
      <c r="AD296" s="30" t="str">
        <f>IF(AE296="","",IFERROR(INDEX($AL$11:$AL$4010,MATCH(286,$AZ$11:$AZ$4010,0)),""))</f>
        <v/>
      </c>
      <c r="AE296" s="26" t="str">
        <f>IFERROR(INDEX($AM$11:$AM$4010,MATCH(286,$AZ$11:$AZ$4010,0)),"")</f>
        <v/>
      </c>
      <c r="AF296" s="25" t="str">
        <f>IF(AE296="","",IFERROR(INDEX($AN$11:$AN$4010,MATCH(286,$AZ$11:$AZ$4010,0)),""))</f>
        <v/>
      </c>
      <c r="AG296" s="25" t="str">
        <f>IF(AE296="","",IFERROR(INDEX($AO$11:$AO$4010,MATCH(286,$AZ$11:$AZ$4010,0)),""))</f>
        <v/>
      </c>
      <c r="AH296" s="24" t="str">
        <f>IF(AE296="","",IFERROR(INDEX($AQ$11:$AQ$4010,MATCH(286,$AZ$11:$AZ$4010,0)),""))</f>
        <v/>
      </c>
      <c r="AI296" s="29" t="str">
        <f>IF(AE296="","",IFERROR(INDEX($AR$11:$AR$4010,MATCH(286,$AZ$11:$AZ$4010,0)),""))</f>
        <v/>
      </c>
      <c r="AJ296" s="29" t="str">
        <f>IF(AE296="","",IFERROR(INDEX($AT$11:$AT$4010,MATCH(286,$AZ$11:$AZ$4010,0)),""))</f>
        <v/>
      </c>
      <c r="AL296" s="31" t="str">
        <f t="shared" si="63"/>
        <v/>
      </c>
      <c r="AM296" s="26" t="str">
        <f t="shared" si="64"/>
        <v/>
      </c>
      <c r="AN296" s="32" t="str">
        <f t="shared" si="65"/>
        <v/>
      </c>
      <c r="AO296" s="32" t="str">
        <f t="shared" si="66"/>
        <v/>
      </c>
      <c r="AP296" s="24" t="str">
        <f t="shared" si="67"/>
        <v/>
      </c>
      <c r="AQ296" s="24" t="str">
        <f t="shared" si="68"/>
        <v/>
      </c>
      <c r="AR296" s="33" t="str">
        <f t="shared" si="69"/>
        <v/>
      </c>
      <c r="AS296" s="34"/>
      <c r="AT296" s="33"/>
      <c r="AV296" s="21">
        <f>IF(AND($AL296&lt;&gt;"",COUNTIF($AL$11:$AL296,$AL296)=1),1,0)</f>
        <v>0</v>
      </c>
      <c r="AW296" s="21">
        <f t="shared" si="71"/>
        <v>2</v>
      </c>
      <c r="AX296" s="21" t="str">
        <f t="shared" si="70"/>
        <v/>
      </c>
      <c r="AY296" s="21" t="str">
        <f>IF(AND($AM296&lt;&gt;"",$AS296&lt;&gt;"✓"),SUMPRODUCT(($AM$11:$AM296&lt;&gt;"")*($AS$11:$AS296&lt;&gt;"✓")),"")</f>
        <v/>
      </c>
      <c r="AZ296" s="21" t="str">
        <f>IF(AND($AM296&lt;&gt;"",$AS296="✓"),SUMPRODUCT(($AM$11:$AM296&lt;&gt;"")*($AS$11:$AS296="✓")),"")</f>
        <v/>
      </c>
      <c r="BA296" s="21" t="str">
        <f>IF($AL296="","",$AL296&amp;"|"&amp;COUNTIF($AL$11:$AL296,$AL296))</f>
        <v/>
      </c>
    </row>
    <row r="297" spans="2:53" ht="15" customHeight="1" x14ac:dyDescent="0.25">
      <c r="B297" s="5" t="str">
        <f t="shared" si="59"/>
        <v/>
      </c>
      <c r="C297" s="5"/>
      <c r="D297" s="5"/>
      <c r="E297" s="5"/>
      <c r="F297" s="6"/>
      <c r="G297" s="6"/>
      <c r="H297" s="7"/>
      <c r="I297" s="8"/>
      <c r="K297" s="9" t="str">
        <f>IFERROR(INDEX($AL$11:$AL$4010,MATCH(287,$AX$11:$AX$4010,0)),"")</f>
        <v/>
      </c>
      <c r="L297" s="10" t="str">
        <f t="shared" si="60"/>
        <v/>
      </c>
      <c r="M297" s="11" t="str">
        <f t="shared" si="61"/>
        <v/>
      </c>
      <c r="N297" s="11" t="str">
        <f t="shared" si="62"/>
        <v/>
      </c>
      <c r="W297" s="14" t="str">
        <f>IF(X297="","",IFERROR(INDEX($AL$11:$AL$4010,MATCH(287,$AY$11:$AY$4010,0)),""))</f>
        <v/>
      </c>
      <c r="X297" s="12" t="str">
        <f>IFERROR(INDEX($AM$11:$AM$4010,MATCH(287,$AY$11:$AY$4010,0)),"")</f>
        <v/>
      </c>
      <c r="Y297" s="11" t="str">
        <f>IF(X297="","",IFERROR(INDEX($AN$11:$AN$4010,MATCH(287,$AY$11:$AY$4010,0)),""))</f>
        <v/>
      </c>
      <c r="Z297" s="11" t="str">
        <f>IF(X297="","",IFERROR(INDEX($AO$11:$AO$4010,MATCH(287,$AY$11:$AY$4010,0)),""))</f>
        <v/>
      </c>
      <c r="AA297" s="10" t="str">
        <f>IF(X297="","",IFERROR(INDEX($AQ$11:$AQ$4010,MATCH(287,$AY$11:$AY$4010,0)),""))</f>
        <v/>
      </c>
      <c r="AB297" s="15" t="str">
        <f>IF(X297="","",IFERROR(INDEX($AR$11:$AR$4010,MATCH(287,$AY$11:$AY$4010,0)),""))</f>
        <v/>
      </c>
      <c r="AD297" s="16" t="str">
        <f>IF(AE297="","",IFERROR(INDEX($AL$11:$AL$4010,MATCH(287,$AZ$11:$AZ$4010,0)),""))</f>
        <v/>
      </c>
      <c r="AE297" s="12" t="str">
        <f>IFERROR(INDEX($AM$11:$AM$4010,MATCH(287,$AZ$11:$AZ$4010,0)),"")</f>
        <v/>
      </c>
      <c r="AF297" s="11" t="str">
        <f>IF(AE297="","",IFERROR(INDEX($AN$11:$AN$4010,MATCH(287,$AZ$11:$AZ$4010,0)),""))</f>
        <v/>
      </c>
      <c r="AG297" s="11" t="str">
        <f>IF(AE297="","",IFERROR(INDEX($AO$11:$AO$4010,MATCH(287,$AZ$11:$AZ$4010,0)),""))</f>
        <v/>
      </c>
      <c r="AH297" s="10" t="str">
        <f>IF(AE297="","",IFERROR(INDEX($AQ$11:$AQ$4010,MATCH(287,$AZ$11:$AZ$4010,0)),""))</f>
        <v/>
      </c>
      <c r="AI297" s="15" t="str">
        <f>IF(AE297="","",IFERROR(INDEX($AR$11:$AR$4010,MATCH(287,$AZ$11:$AZ$4010,0)),""))</f>
        <v/>
      </c>
      <c r="AJ297" s="15" t="str">
        <f>IF(AE297="","",IFERROR(INDEX($AT$11:$AT$4010,MATCH(287,$AZ$11:$AZ$4010,0)),""))</f>
        <v/>
      </c>
      <c r="AL297" s="17" t="str">
        <f t="shared" si="63"/>
        <v/>
      </c>
      <c r="AM297" s="12" t="str">
        <f t="shared" si="64"/>
        <v/>
      </c>
      <c r="AN297" s="18" t="str">
        <f t="shared" si="65"/>
        <v/>
      </c>
      <c r="AO297" s="18" t="str">
        <f t="shared" si="66"/>
        <v/>
      </c>
      <c r="AP297" s="10" t="str">
        <f t="shared" si="67"/>
        <v/>
      </c>
      <c r="AQ297" s="10" t="str">
        <f t="shared" si="68"/>
        <v/>
      </c>
      <c r="AR297" s="19" t="str">
        <f t="shared" si="69"/>
        <v/>
      </c>
      <c r="AS297" s="20"/>
      <c r="AT297" s="19"/>
      <c r="AV297" s="21">
        <f>IF(AND($AL297&lt;&gt;"",COUNTIF($AL$11:$AL297,$AL297)=1),1,0)</f>
        <v>0</v>
      </c>
      <c r="AW297" s="21">
        <f t="shared" si="71"/>
        <v>2</v>
      </c>
      <c r="AX297" s="21" t="str">
        <f t="shared" si="70"/>
        <v/>
      </c>
      <c r="AY297" s="21" t="str">
        <f>IF(AND($AM297&lt;&gt;"",$AS297&lt;&gt;"✓"),SUMPRODUCT(($AM$11:$AM297&lt;&gt;"")*($AS$11:$AS297&lt;&gt;"✓")),"")</f>
        <v/>
      </c>
      <c r="AZ297" s="21" t="str">
        <f>IF(AND($AM297&lt;&gt;"",$AS297="✓"),SUMPRODUCT(($AM$11:$AM297&lt;&gt;"")*($AS$11:$AS297="✓")),"")</f>
        <v/>
      </c>
      <c r="BA297" s="21" t="str">
        <f>IF($AL297="","",$AL297&amp;"|"&amp;COUNTIF($AL$11:$AL297,$AL297))</f>
        <v/>
      </c>
    </row>
    <row r="298" spans="2:53" ht="15" customHeight="1" x14ac:dyDescent="0.25">
      <c r="B298" s="5" t="str">
        <f t="shared" si="59"/>
        <v/>
      </c>
      <c r="C298" s="5"/>
      <c r="D298" s="5"/>
      <c r="E298" s="5"/>
      <c r="F298" s="6"/>
      <c r="G298" s="6"/>
      <c r="H298" s="7"/>
      <c r="I298" s="8"/>
      <c r="K298" s="23" t="str">
        <f>IFERROR(INDEX($AL$11:$AL$4010,MATCH(288,$AX$11:$AX$4010,0)),"")</f>
        <v/>
      </c>
      <c r="L298" s="24" t="str">
        <f t="shared" si="60"/>
        <v/>
      </c>
      <c r="M298" s="25" t="str">
        <f t="shared" si="61"/>
        <v/>
      </c>
      <c r="N298" s="25" t="str">
        <f t="shared" si="62"/>
        <v/>
      </c>
      <c r="W298" s="28" t="str">
        <f>IF(X298="","",IFERROR(INDEX($AL$11:$AL$4010,MATCH(288,$AY$11:$AY$4010,0)),""))</f>
        <v/>
      </c>
      <c r="X298" s="26" t="str">
        <f>IFERROR(INDEX($AM$11:$AM$4010,MATCH(288,$AY$11:$AY$4010,0)),"")</f>
        <v/>
      </c>
      <c r="Y298" s="25" t="str">
        <f>IF(X298="","",IFERROR(INDEX($AN$11:$AN$4010,MATCH(288,$AY$11:$AY$4010,0)),""))</f>
        <v/>
      </c>
      <c r="Z298" s="25" t="str">
        <f>IF(X298="","",IFERROR(INDEX($AO$11:$AO$4010,MATCH(288,$AY$11:$AY$4010,0)),""))</f>
        <v/>
      </c>
      <c r="AA298" s="24" t="str">
        <f>IF(X298="","",IFERROR(INDEX($AQ$11:$AQ$4010,MATCH(288,$AY$11:$AY$4010,0)),""))</f>
        <v/>
      </c>
      <c r="AB298" s="29" t="str">
        <f>IF(X298="","",IFERROR(INDEX($AR$11:$AR$4010,MATCH(288,$AY$11:$AY$4010,0)),""))</f>
        <v/>
      </c>
      <c r="AD298" s="30" t="str">
        <f>IF(AE298="","",IFERROR(INDEX($AL$11:$AL$4010,MATCH(288,$AZ$11:$AZ$4010,0)),""))</f>
        <v/>
      </c>
      <c r="AE298" s="26" t="str">
        <f>IFERROR(INDEX($AM$11:$AM$4010,MATCH(288,$AZ$11:$AZ$4010,0)),"")</f>
        <v/>
      </c>
      <c r="AF298" s="25" t="str">
        <f>IF(AE298="","",IFERROR(INDEX($AN$11:$AN$4010,MATCH(288,$AZ$11:$AZ$4010,0)),""))</f>
        <v/>
      </c>
      <c r="AG298" s="25" t="str">
        <f>IF(AE298="","",IFERROR(INDEX($AO$11:$AO$4010,MATCH(288,$AZ$11:$AZ$4010,0)),""))</f>
        <v/>
      </c>
      <c r="AH298" s="24" t="str">
        <f>IF(AE298="","",IFERROR(INDEX($AQ$11:$AQ$4010,MATCH(288,$AZ$11:$AZ$4010,0)),""))</f>
        <v/>
      </c>
      <c r="AI298" s="29" t="str">
        <f>IF(AE298="","",IFERROR(INDEX($AR$11:$AR$4010,MATCH(288,$AZ$11:$AZ$4010,0)),""))</f>
        <v/>
      </c>
      <c r="AJ298" s="29" t="str">
        <f>IF(AE298="","",IFERROR(INDEX($AT$11:$AT$4010,MATCH(288,$AZ$11:$AZ$4010,0)),""))</f>
        <v/>
      </c>
      <c r="AL298" s="31" t="str">
        <f t="shared" si="63"/>
        <v/>
      </c>
      <c r="AM298" s="26" t="str">
        <f t="shared" si="64"/>
        <v/>
      </c>
      <c r="AN298" s="32" t="str">
        <f t="shared" si="65"/>
        <v/>
      </c>
      <c r="AO298" s="32" t="str">
        <f t="shared" si="66"/>
        <v/>
      </c>
      <c r="AP298" s="24" t="str">
        <f t="shared" si="67"/>
        <v/>
      </c>
      <c r="AQ298" s="24" t="str">
        <f t="shared" si="68"/>
        <v/>
      </c>
      <c r="AR298" s="33" t="str">
        <f t="shared" si="69"/>
        <v/>
      </c>
      <c r="AS298" s="34"/>
      <c r="AT298" s="33"/>
      <c r="AV298" s="21">
        <f>IF(AND($AL298&lt;&gt;"",COUNTIF($AL$11:$AL298,$AL298)=1),1,0)</f>
        <v>0</v>
      </c>
      <c r="AW298" s="21">
        <f t="shared" si="71"/>
        <v>2</v>
      </c>
      <c r="AX298" s="21" t="str">
        <f t="shared" si="70"/>
        <v/>
      </c>
      <c r="AY298" s="21" t="str">
        <f>IF(AND($AM298&lt;&gt;"",$AS298&lt;&gt;"✓"),SUMPRODUCT(($AM$11:$AM298&lt;&gt;"")*($AS$11:$AS298&lt;&gt;"✓")),"")</f>
        <v/>
      </c>
      <c r="AZ298" s="21" t="str">
        <f>IF(AND($AM298&lt;&gt;"",$AS298="✓"),SUMPRODUCT(($AM$11:$AM298&lt;&gt;"")*($AS$11:$AS298="✓")),"")</f>
        <v/>
      </c>
      <c r="BA298" s="21" t="str">
        <f>IF($AL298="","",$AL298&amp;"|"&amp;COUNTIF($AL$11:$AL298,$AL298))</f>
        <v/>
      </c>
    </row>
    <row r="299" spans="2:53" ht="15" customHeight="1" x14ac:dyDescent="0.25">
      <c r="B299" s="5" t="str">
        <f t="shared" si="59"/>
        <v/>
      </c>
      <c r="C299" s="5"/>
      <c r="D299" s="5"/>
      <c r="E299" s="5"/>
      <c r="F299" s="6"/>
      <c r="G299" s="6"/>
      <c r="H299" s="7"/>
      <c r="I299" s="8"/>
      <c r="K299" s="9" t="str">
        <f>IFERROR(INDEX($AL$11:$AL$4010,MATCH(289,$AX$11:$AX$4010,0)),"")</f>
        <v/>
      </c>
      <c r="L299" s="10" t="str">
        <f t="shared" si="60"/>
        <v/>
      </c>
      <c r="M299" s="11" t="str">
        <f t="shared" si="61"/>
        <v/>
      </c>
      <c r="N299" s="11" t="str">
        <f t="shared" si="62"/>
        <v/>
      </c>
      <c r="W299" s="14" t="str">
        <f>IF(X299="","",IFERROR(INDEX($AL$11:$AL$4010,MATCH(289,$AY$11:$AY$4010,0)),""))</f>
        <v/>
      </c>
      <c r="X299" s="12" t="str">
        <f>IFERROR(INDEX($AM$11:$AM$4010,MATCH(289,$AY$11:$AY$4010,0)),"")</f>
        <v/>
      </c>
      <c r="Y299" s="11" t="str">
        <f>IF(X299="","",IFERROR(INDEX($AN$11:$AN$4010,MATCH(289,$AY$11:$AY$4010,0)),""))</f>
        <v/>
      </c>
      <c r="Z299" s="11" t="str">
        <f>IF(X299="","",IFERROR(INDEX($AO$11:$AO$4010,MATCH(289,$AY$11:$AY$4010,0)),""))</f>
        <v/>
      </c>
      <c r="AA299" s="10" t="str">
        <f>IF(X299="","",IFERROR(INDEX($AQ$11:$AQ$4010,MATCH(289,$AY$11:$AY$4010,0)),""))</f>
        <v/>
      </c>
      <c r="AB299" s="15" t="str">
        <f>IF(X299="","",IFERROR(INDEX($AR$11:$AR$4010,MATCH(289,$AY$11:$AY$4010,0)),""))</f>
        <v/>
      </c>
      <c r="AD299" s="16" t="str">
        <f>IF(AE299="","",IFERROR(INDEX($AL$11:$AL$4010,MATCH(289,$AZ$11:$AZ$4010,0)),""))</f>
        <v/>
      </c>
      <c r="AE299" s="12" t="str">
        <f>IFERROR(INDEX($AM$11:$AM$4010,MATCH(289,$AZ$11:$AZ$4010,0)),"")</f>
        <v/>
      </c>
      <c r="AF299" s="11" t="str">
        <f>IF(AE299="","",IFERROR(INDEX($AN$11:$AN$4010,MATCH(289,$AZ$11:$AZ$4010,0)),""))</f>
        <v/>
      </c>
      <c r="AG299" s="11" t="str">
        <f>IF(AE299="","",IFERROR(INDEX($AO$11:$AO$4010,MATCH(289,$AZ$11:$AZ$4010,0)),""))</f>
        <v/>
      </c>
      <c r="AH299" s="10" t="str">
        <f>IF(AE299="","",IFERROR(INDEX($AQ$11:$AQ$4010,MATCH(289,$AZ$11:$AZ$4010,0)),""))</f>
        <v/>
      </c>
      <c r="AI299" s="15" t="str">
        <f>IF(AE299="","",IFERROR(INDEX($AR$11:$AR$4010,MATCH(289,$AZ$11:$AZ$4010,0)),""))</f>
        <v/>
      </c>
      <c r="AJ299" s="15" t="str">
        <f>IF(AE299="","",IFERROR(INDEX($AT$11:$AT$4010,MATCH(289,$AZ$11:$AZ$4010,0)),""))</f>
        <v/>
      </c>
      <c r="AL299" s="17" t="str">
        <f t="shared" si="63"/>
        <v/>
      </c>
      <c r="AM299" s="12" t="str">
        <f t="shared" si="64"/>
        <v/>
      </c>
      <c r="AN299" s="18" t="str">
        <f t="shared" si="65"/>
        <v/>
      </c>
      <c r="AO299" s="18" t="str">
        <f t="shared" si="66"/>
        <v/>
      </c>
      <c r="AP299" s="10" t="str">
        <f t="shared" si="67"/>
        <v/>
      </c>
      <c r="AQ299" s="10" t="str">
        <f t="shared" si="68"/>
        <v/>
      </c>
      <c r="AR299" s="19" t="str">
        <f t="shared" si="69"/>
        <v/>
      </c>
      <c r="AS299" s="20"/>
      <c r="AT299" s="19"/>
      <c r="AV299" s="21">
        <f>IF(AND($AL299&lt;&gt;"",COUNTIF($AL$11:$AL299,$AL299)=1),1,0)</f>
        <v>0</v>
      </c>
      <c r="AW299" s="21">
        <f t="shared" si="71"/>
        <v>2</v>
      </c>
      <c r="AX299" s="21" t="str">
        <f t="shared" si="70"/>
        <v/>
      </c>
      <c r="AY299" s="21" t="str">
        <f>IF(AND($AM299&lt;&gt;"",$AS299&lt;&gt;"✓"),SUMPRODUCT(($AM$11:$AM299&lt;&gt;"")*($AS$11:$AS299&lt;&gt;"✓")),"")</f>
        <v/>
      </c>
      <c r="AZ299" s="21" t="str">
        <f>IF(AND($AM299&lt;&gt;"",$AS299="✓"),SUMPRODUCT(($AM$11:$AM299&lt;&gt;"")*($AS$11:$AS299="✓")),"")</f>
        <v/>
      </c>
      <c r="BA299" s="21" t="str">
        <f>IF($AL299="","",$AL299&amp;"|"&amp;COUNTIF($AL$11:$AL299,$AL299))</f>
        <v/>
      </c>
    </row>
    <row r="300" spans="2:53" ht="15" customHeight="1" x14ac:dyDescent="0.25">
      <c r="B300" s="5" t="str">
        <f t="shared" si="59"/>
        <v/>
      </c>
      <c r="C300" s="5"/>
      <c r="D300" s="5"/>
      <c r="E300" s="5"/>
      <c r="F300" s="6"/>
      <c r="G300" s="6"/>
      <c r="H300" s="7"/>
      <c r="I300" s="8"/>
      <c r="K300" s="23" t="str">
        <f>IFERROR(INDEX($AL$11:$AL$4010,MATCH(290,$AX$11:$AX$4010,0)),"")</f>
        <v/>
      </c>
      <c r="L300" s="24" t="str">
        <f t="shared" si="60"/>
        <v/>
      </c>
      <c r="M300" s="25" t="str">
        <f t="shared" si="61"/>
        <v/>
      </c>
      <c r="N300" s="25" t="str">
        <f t="shared" si="62"/>
        <v/>
      </c>
      <c r="W300" s="28" t="str">
        <f>IF(X300="","",IFERROR(INDEX($AL$11:$AL$4010,MATCH(290,$AY$11:$AY$4010,0)),""))</f>
        <v/>
      </c>
      <c r="X300" s="26" t="str">
        <f>IFERROR(INDEX($AM$11:$AM$4010,MATCH(290,$AY$11:$AY$4010,0)),"")</f>
        <v/>
      </c>
      <c r="Y300" s="25" t="str">
        <f>IF(X300="","",IFERROR(INDEX($AN$11:$AN$4010,MATCH(290,$AY$11:$AY$4010,0)),""))</f>
        <v/>
      </c>
      <c r="Z300" s="25" t="str">
        <f>IF(X300="","",IFERROR(INDEX($AO$11:$AO$4010,MATCH(290,$AY$11:$AY$4010,0)),""))</f>
        <v/>
      </c>
      <c r="AA300" s="24" t="str">
        <f>IF(X300="","",IFERROR(INDEX($AQ$11:$AQ$4010,MATCH(290,$AY$11:$AY$4010,0)),""))</f>
        <v/>
      </c>
      <c r="AB300" s="29" t="str">
        <f>IF(X300="","",IFERROR(INDEX($AR$11:$AR$4010,MATCH(290,$AY$11:$AY$4010,0)),""))</f>
        <v/>
      </c>
      <c r="AD300" s="30" t="str">
        <f>IF(AE300="","",IFERROR(INDEX($AL$11:$AL$4010,MATCH(290,$AZ$11:$AZ$4010,0)),""))</f>
        <v/>
      </c>
      <c r="AE300" s="26" t="str">
        <f>IFERROR(INDEX($AM$11:$AM$4010,MATCH(290,$AZ$11:$AZ$4010,0)),"")</f>
        <v/>
      </c>
      <c r="AF300" s="25" t="str">
        <f>IF(AE300="","",IFERROR(INDEX($AN$11:$AN$4010,MATCH(290,$AZ$11:$AZ$4010,0)),""))</f>
        <v/>
      </c>
      <c r="AG300" s="25" t="str">
        <f>IF(AE300="","",IFERROR(INDEX($AO$11:$AO$4010,MATCH(290,$AZ$11:$AZ$4010,0)),""))</f>
        <v/>
      </c>
      <c r="AH300" s="24" t="str">
        <f>IF(AE300="","",IFERROR(INDEX($AQ$11:$AQ$4010,MATCH(290,$AZ$11:$AZ$4010,0)),""))</f>
        <v/>
      </c>
      <c r="AI300" s="29" t="str">
        <f>IF(AE300="","",IFERROR(INDEX($AR$11:$AR$4010,MATCH(290,$AZ$11:$AZ$4010,0)),""))</f>
        <v/>
      </c>
      <c r="AJ300" s="29" t="str">
        <f>IF(AE300="","",IFERROR(INDEX($AT$11:$AT$4010,MATCH(290,$AZ$11:$AZ$4010,0)),""))</f>
        <v/>
      </c>
      <c r="AL300" s="31" t="str">
        <f t="shared" si="63"/>
        <v/>
      </c>
      <c r="AM300" s="26" t="str">
        <f t="shared" si="64"/>
        <v/>
      </c>
      <c r="AN300" s="32" t="str">
        <f t="shared" si="65"/>
        <v/>
      </c>
      <c r="AO300" s="32" t="str">
        <f t="shared" si="66"/>
        <v/>
      </c>
      <c r="AP300" s="24" t="str">
        <f t="shared" si="67"/>
        <v/>
      </c>
      <c r="AQ300" s="24" t="str">
        <f t="shared" si="68"/>
        <v/>
      </c>
      <c r="AR300" s="33" t="str">
        <f t="shared" si="69"/>
        <v/>
      </c>
      <c r="AS300" s="34"/>
      <c r="AT300" s="33"/>
      <c r="AV300" s="21">
        <f>IF(AND($AL300&lt;&gt;"",COUNTIF($AL$11:$AL300,$AL300)=1),1,0)</f>
        <v>0</v>
      </c>
      <c r="AW300" s="21">
        <f t="shared" si="71"/>
        <v>2</v>
      </c>
      <c r="AX300" s="21" t="str">
        <f t="shared" si="70"/>
        <v/>
      </c>
      <c r="AY300" s="21" t="str">
        <f>IF(AND($AM300&lt;&gt;"",$AS300&lt;&gt;"✓"),SUMPRODUCT(($AM$11:$AM300&lt;&gt;"")*($AS$11:$AS300&lt;&gt;"✓")),"")</f>
        <v/>
      </c>
      <c r="AZ300" s="21" t="str">
        <f>IF(AND($AM300&lt;&gt;"",$AS300="✓"),SUMPRODUCT(($AM$11:$AM300&lt;&gt;"")*($AS$11:$AS300="✓")),"")</f>
        <v/>
      </c>
      <c r="BA300" s="21" t="str">
        <f>IF($AL300="","",$AL300&amp;"|"&amp;COUNTIF($AL$11:$AL300,$AL300))</f>
        <v/>
      </c>
    </row>
    <row r="301" spans="2:53" ht="15" customHeight="1" x14ac:dyDescent="0.25">
      <c r="B301" s="5" t="str">
        <f t="shared" si="59"/>
        <v/>
      </c>
      <c r="C301" s="5"/>
      <c r="D301" s="5"/>
      <c r="E301" s="5"/>
      <c r="F301" s="6"/>
      <c r="G301" s="6"/>
      <c r="H301" s="7"/>
      <c r="I301" s="8"/>
      <c r="K301" s="9" t="str">
        <f>IFERROR(INDEX($AL$11:$AL$4010,MATCH(291,$AX$11:$AX$4010,0)),"")</f>
        <v/>
      </c>
      <c r="L301" s="10" t="str">
        <f t="shared" si="60"/>
        <v/>
      </c>
      <c r="M301" s="11" t="str">
        <f t="shared" si="61"/>
        <v/>
      </c>
      <c r="N301" s="11" t="str">
        <f t="shared" si="62"/>
        <v/>
      </c>
      <c r="W301" s="14" t="str">
        <f>IF(X301="","",IFERROR(INDEX($AL$11:$AL$4010,MATCH(291,$AY$11:$AY$4010,0)),""))</f>
        <v/>
      </c>
      <c r="X301" s="12" t="str">
        <f>IFERROR(INDEX($AM$11:$AM$4010,MATCH(291,$AY$11:$AY$4010,0)),"")</f>
        <v/>
      </c>
      <c r="Y301" s="11" t="str">
        <f>IF(X301="","",IFERROR(INDEX($AN$11:$AN$4010,MATCH(291,$AY$11:$AY$4010,0)),""))</f>
        <v/>
      </c>
      <c r="Z301" s="11" t="str">
        <f>IF(X301="","",IFERROR(INDEX($AO$11:$AO$4010,MATCH(291,$AY$11:$AY$4010,0)),""))</f>
        <v/>
      </c>
      <c r="AA301" s="10" t="str">
        <f>IF(X301="","",IFERROR(INDEX($AQ$11:$AQ$4010,MATCH(291,$AY$11:$AY$4010,0)),""))</f>
        <v/>
      </c>
      <c r="AB301" s="15" t="str">
        <f>IF(X301="","",IFERROR(INDEX($AR$11:$AR$4010,MATCH(291,$AY$11:$AY$4010,0)),""))</f>
        <v/>
      </c>
      <c r="AD301" s="16" t="str">
        <f>IF(AE301="","",IFERROR(INDEX($AL$11:$AL$4010,MATCH(291,$AZ$11:$AZ$4010,0)),""))</f>
        <v/>
      </c>
      <c r="AE301" s="12" t="str">
        <f>IFERROR(INDEX($AM$11:$AM$4010,MATCH(291,$AZ$11:$AZ$4010,0)),"")</f>
        <v/>
      </c>
      <c r="AF301" s="11" t="str">
        <f>IF(AE301="","",IFERROR(INDEX($AN$11:$AN$4010,MATCH(291,$AZ$11:$AZ$4010,0)),""))</f>
        <v/>
      </c>
      <c r="AG301" s="11" t="str">
        <f>IF(AE301="","",IFERROR(INDEX($AO$11:$AO$4010,MATCH(291,$AZ$11:$AZ$4010,0)),""))</f>
        <v/>
      </c>
      <c r="AH301" s="10" t="str">
        <f>IF(AE301="","",IFERROR(INDEX($AQ$11:$AQ$4010,MATCH(291,$AZ$11:$AZ$4010,0)),""))</f>
        <v/>
      </c>
      <c r="AI301" s="15" t="str">
        <f>IF(AE301="","",IFERROR(INDEX($AR$11:$AR$4010,MATCH(291,$AZ$11:$AZ$4010,0)),""))</f>
        <v/>
      </c>
      <c r="AJ301" s="15" t="str">
        <f>IF(AE301="","",IFERROR(INDEX($AT$11:$AT$4010,MATCH(291,$AZ$11:$AZ$4010,0)),""))</f>
        <v/>
      </c>
      <c r="AL301" s="17" t="str">
        <f t="shared" si="63"/>
        <v/>
      </c>
      <c r="AM301" s="12" t="str">
        <f t="shared" si="64"/>
        <v/>
      </c>
      <c r="AN301" s="18" t="str">
        <f t="shared" si="65"/>
        <v/>
      </c>
      <c r="AO301" s="18" t="str">
        <f t="shared" si="66"/>
        <v/>
      </c>
      <c r="AP301" s="10" t="str">
        <f t="shared" si="67"/>
        <v/>
      </c>
      <c r="AQ301" s="10" t="str">
        <f t="shared" si="68"/>
        <v/>
      </c>
      <c r="AR301" s="19" t="str">
        <f t="shared" si="69"/>
        <v/>
      </c>
      <c r="AS301" s="20"/>
      <c r="AT301" s="19"/>
      <c r="AV301" s="21">
        <f>IF(AND($AL301&lt;&gt;"",COUNTIF($AL$11:$AL301,$AL301)=1),1,0)</f>
        <v>0</v>
      </c>
      <c r="AW301" s="21">
        <f t="shared" si="71"/>
        <v>2</v>
      </c>
      <c r="AX301" s="21" t="str">
        <f t="shared" si="70"/>
        <v/>
      </c>
      <c r="AY301" s="21" t="str">
        <f>IF(AND($AM301&lt;&gt;"",$AS301&lt;&gt;"✓"),SUMPRODUCT(($AM$11:$AM301&lt;&gt;"")*($AS$11:$AS301&lt;&gt;"✓")),"")</f>
        <v/>
      </c>
      <c r="AZ301" s="21" t="str">
        <f>IF(AND($AM301&lt;&gt;"",$AS301="✓"),SUMPRODUCT(($AM$11:$AM301&lt;&gt;"")*($AS$11:$AS301="✓")),"")</f>
        <v/>
      </c>
      <c r="BA301" s="21" t="str">
        <f>IF($AL301="","",$AL301&amp;"|"&amp;COUNTIF($AL$11:$AL301,$AL301))</f>
        <v/>
      </c>
    </row>
    <row r="302" spans="2:53" ht="15" customHeight="1" x14ac:dyDescent="0.25">
      <c r="B302" s="5" t="str">
        <f t="shared" si="59"/>
        <v/>
      </c>
      <c r="C302" s="5"/>
      <c r="D302" s="5"/>
      <c r="E302" s="5"/>
      <c r="F302" s="6"/>
      <c r="G302" s="6"/>
      <c r="H302" s="7"/>
      <c r="I302" s="8"/>
      <c r="K302" s="23" t="str">
        <f>IFERROR(INDEX($AL$11:$AL$4010,MATCH(292,$AX$11:$AX$4010,0)),"")</f>
        <v/>
      </c>
      <c r="L302" s="24" t="str">
        <f t="shared" si="60"/>
        <v/>
      </c>
      <c r="M302" s="25" t="str">
        <f t="shared" si="61"/>
        <v/>
      </c>
      <c r="N302" s="25" t="str">
        <f t="shared" si="62"/>
        <v/>
      </c>
      <c r="W302" s="28" t="str">
        <f>IF(X302="","",IFERROR(INDEX($AL$11:$AL$4010,MATCH(292,$AY$11:$AY$4010,0)),""))</f>
        <v/>
      </c>
      <c r="X302" s="26" t="str">
        <f>IFERROR(INDEX($AM$11:$AM$4010,MATCH(292,$AY$11:$AY$4010,0)),"")</f>
        <v/>
      </c>
      <c r="Y302" s="25" t="str">
        <f>IF(X302="","",IFERROR(INDEX($AN$11:$AN$4010,MATCH(292,$AY$11:$AY$4010,0)),""))</f>
        <v/>
      </c>
      <c r="Z302" s="25" t="str">
        <f>IF(X302="","",IFERROR(INDEX($AO$11:$AO$4010,MATCH(292,$AY$11:$AY$4010,0)),""))</f>
        <v/>
      </c>
      <c r="AA302" s="24" t="str">
        <f>IF(X302="","",IFERROR(INDEX($AQ$11:$AQ$4010,MATCH(292,$AY$11:$AY$4010,0)),""))</f>
        <v/>
      </c>
      <c r="AB302" s="29" t="str">
        <f>IF(X302="","",IFERROR(INDEX($AR$11:$AR$4010,MATCH(292,$AY$11:$AY$4010,0)),""))</f>
        <v/>
      </c>
      <c r="AD302" s="30" t="str">
        <f>IF(AE302="","",IFERROR(INDEX($AL$11:$AL$4010,MATCH(292,$AZ$11:$AZ$4010,0)),""))</f>
        <v/>
      </c>
      <c r="AE302" s="26" t="str">
        <f>IFERROR(INDEX($AM$11:$AM$4010,MATCH(292,$AZ$11:$AZ$4010,0)),"")</f>
        <v/>
      </c>
      <c r="AF302" s="25" t="str">
        <f>IF(AE302="","",IFERROR(INDEX($AN$11:$AN$4010,MATCH(292,$AZ$11:$AZ$4010,0)),""))</f>
        <v/>
      </c>
      <c r="AG302" s="25" t="str">
        <f>IF(AE302="","",IFERROR(INDEX($AO$11:$AO$4010,MATCH(292,$AZ$11:$AZ$4010,0)),""))</f>
        <v/>
      </c>
      <c r="AH302" s="24" t="str">
        <f>IF(AE302="","",IFERROR(INDEX($AQ$11:$AQ$4010,MATCH(292,$AZ$11:$AZ$4010,0)),""))</f>
        <v/>
      </c>
      <c r="AI302" s="29" t="str">
        <f>IF(AE302="","",IFERROR(INDEX($AR$11:$AR$4010,MATCH(292,$AZ$11:$AZ$4010,0)),""))</f>
        <v/>
      </c>
      <c r="AJ302" s="29" t="str">
        <f>IF(AE302="","",IFERROR(INDEX($AT$11:$AT$4010,MATCH(292,$AZ$11:$AZ$4010,0)),""))</f>
        <v/>
      </c>
      <c r="AL302" s="31" t="str">
        <f t="shared" si="63"/>
        <v/>
      </c>
      <c r="AM302" s="26" t="str">
        <f t="shared" si="64"/>
        <v/>
      </c>
      <c r="AN302" s="32" t="str">
        <f t="shared" si="65"/>
        <v/>
      </c>
      <c r="AO302" s="32" t="str">
        <f t="shared" si="66"/>
        <v/>
      </c>
      <c r="AP302" s="24" t="str">
        <f t="shared" si="67"/>
        <v/>
      </c>
      <c r="AQ302" s="24" t="str">
        <f t="shared" si="68"/>
        <v/>
      </c>
      <c r="AR302" s="33" t="str">
        <f t="shared" si="69"/>
        <v/>
      </c>
      <c r="AS302" s="34"/>
      <c r="AT302" s="33"/>
      <c r="AV302" s="21">
        <f>IF(AND($AL302&lt;&gt;"",COUNTIF($AL$11:$AL302,$AL302)=1),1,0)</f>
        <v>0</v>
      </c>
      <c r="AW302" s="21">
        <f t="shared" si="71"/>
        <v>2</v>
      </c>
      <c r="AX302" s="21" t="str">
        <f t="shared" si="70"/>
        <v/>
      </c>
      <c r="AY302" s="21" t="str">
        <f>IF(AND($AM302&lt;&gt;"",$AS302&lt;&gt;"✓"),SUMPRODUCT(($AM$11:$AM302&lt;&gt;"")*($AS$11:$AS302&lt;&gt;"✓")),"")</f>
        <v/>
      </c>
      <c r="AZ302" s="21" t="str">
        <f>IF(AND($AM302&lt;&gt;"",$AS302="✓"),SUMPRODUCT(($AM$11:$AM302&lt;&gt;"")*($AS$11:$AS302="✓")),"")</f>
        <v/>
      </c>
      <c r="BA302" s="21" t="str">
        <f>IF($AL302="","",$AL302&amp;"|"&amp;COUNTIF($AL$11:$AL302,$AL302))</f>
        <v/>
      </c>
    </row>
    <row r="303" spans="2:53" ht="15" customHeight="1" x14ac:dyDescent="0.25">
      <c r="B303" s="5" t="str">
        <f t="shared" si="59"/>
        <v/>
      </c>
      <c r="C303" s="5"/>
      <c r="D303" s="5"/>
      <c r="E303" s="5"/>
      <c r="F303" s="6"/>
      <c r="G303" s="6"/>
      <c r="H303" s="7"/>
      <c r="I303" s="8"/>
      <c r="K303" s="9" t="str">
        <f>IFERROR(INDEX($AL$11:$AL$4010,MATCH(293,$AX$11:$AX$4010,0)),"")</f>
        <v/>
      </c>
      <c r="L303" s="10" t="str">
        <f t="shared" si="60"/>
        <v/>
      </c>
      <c r="M303" s="11" t="str">
        <f t="shared" si="61"/>
        <v/>
      </c>
      <c r="N303" s="11" t="str">
        <f t="shared" si="62"/>
        <v/>
      </c>
      <c r="W303" s="14" t="str">
        <f>IF(X303="","",IFERROR(INDEX($AL$11:$AL$4010,MATCH(293,$AY$11:$AY$4010,0)),""))</f>
        <v/>
      </c>
      <c r="X303" s="12" t="str">
        <f>IFERROR(INDEX($AM$11:$AM$4010,MATCH(293,$AY$11:$AY$4010,0)),"")</f>
        <v/>
      </c>
      <c r="Y303" s="11" t="str">
        <f>IF(X303="","",IFERROR(INDEX($AN$11:$AN$4010,MATCH(293,$AY$11:$AY$4010,0)),""))</f>
        <v/>
      </c>
      <c r="Z303" s="11" t="str">
        <f>IF(X303="","",IFERROR(INDEX($AO$11:$AO$4010,MATCH(293,$AY$11:$AY$4010,0)),""))</f>
        <v/>
      </c>
      <c r="AA303" s="10" t="str">
        <f>IF(X303="","",IFERROR(INDEX($AQ$11:$AQ$4010,MATCH(293,$AY$11:$AY$4010,0)),""))</f>
        <v/>
      </c>
      <c r="AB303" s="15" t="str">
        <f>IF(X303="","",IFERROR(INDEX($AR$11:$AR$4010,MATCH(293,$AY$11:$AY$4010,0)),""))</f>
        <v/>
      </c>
      <c r="AD303" s="16" t="str">
        <f>IF(AE303="","",IFERROR(INDEX($AL$11:$AL$4010,MATCH(293,$AZ$11:$AZ$4010,0)),""))</f>
        <v/>
      </c>
      <c r="AE303" s="12" t="str">
        <f>IFERROR(INDEX($AM$11:$AM$4010,MATCH(293,$AZ$11:$AZ$4010,0)),"")</f>
        <v/>
      </c>
      <c r="AF303" s="11" t="str">
        <f>IF(AE303="","",IFERROR(INDEX($AN$11:$AN$4010,MATCH(293,$AZ$11:$AZ$4010,0)),""))</f>
        <v/>
      </c>
      <c r="AG303" s="11" t="str">
        <f>IF(AE303="","",IFERROR(INDEX($AO$11:$AO$4010,MATCH(293,$AZ$11:$AZ$4010,0)),""))</f>
        <v/>
      </c>
      <c r="AH303" s="10" t="str">
        <f>IF(AE303="","",IFERROR(INDEX($AQ$11:$AQ$4010,MATCH(293,$AZ$11:$AZ$4010,0)),""))</f>
        <v/>
      </c>
      <c r="AI303" s="15" t="str">
        <f>IF(AE303="","",IFERROR(INDEX($AR$11:$AR$4010,MATCH(293,$AZ$11:$AZ$4010,0)),""))</f>
        <v/>
      </c>
      <c r="AJ303" s="15" t="str">
        <f>IF(AE303="","",IFERROR(INDEX($AT$11:$AT$4010,MATCH(293,$AZ$11:$AZ$4010,0)),""))</f>
        <v/>
      </c>
      <c r="AL303" s="17" t="str">
        <f t="shared" si="63"/>
        <v/>
      </c>
      <c r="AM303" s="12" t="str">
        <f t="shared" si="64"/>
        <v/>
      </c>
      <c r="AN303" s="18" t="str">
        <f t="shared" si="65"/>
        <v/>
      </c>
      <c r="AO303" s="18" t="str">
        <f t="shared" si="66"/>
        <v/>
      </c>
      <c r="AP303" s="10" t="str">
        <f t="shared" si="67"/>
        <v/>
      </c>
      <c r="AQ303" s="10" t="str">
        <f t="shared" si="68"/>
        <v/>
      </c>
      <c r="AR303" s="19" t="str">
        <f t="shared" si="69"/>
        <v/>
      </c>
      <c r="AS303" s="20"/>
      <c r="AT303" s="19"/>
      <c r="AV303" s="21">
        <f>IF(AND($AL303&lt;&gt;"",COUNTIF($AL$11:$AL303,$AL303)=1),1,0)</f>
        <v>0</v>
      </c>
      <c r="AW303" s="21">
        <f t="shared" si="71"/>
        <v>2</v>
      </c>
      <c r="AX303" s="21" t="str">
        <f t="shared" si="70"/>
        <v/>
      </c>
      <c r="AY303" s="21" t="str">
        <f>IF(AND($AM303&lt;&gt;"",$AS303&lt;&gt;"✓"),SUMPRODUCT(($AM$11:$AM303&lt;&gt;"")*($AS$11:$AS303&lt;&gt;"✓")),"")</f>
        <v/>
      </c>
      <c r="AZ303" s="21" t="str">
        <f>IF(AND($AM303&lt;&gt;"",$AS303="✓"),SUMPRODUCT(($AM$11:$AM303&lt;&gt;"")*($AS$11:$AS303="✓")),"")</f>
        <v/>
      </c>
      <c r="BA303" s="21" t="str">
        <f>IF($AL303="","",$AL303&amp;"|"&amp;COUNTIF($AL$11:$AL303,$AL303))</f>
        <v/>
      </c>
    </row>
    <row r="304" spans="2:53" ht="15" customHeight="1" x14ac:dyDescent="0.25">
      <c r="B304" s="5" t="str">
        <f t="shared" si="59"/>
        <v/>
      </c>
      <c r="C304" s="5"/>
      <c r="D304" s="5"/>
      <c r="E304" s="5"/>
      <c r="F304" s="6"/>
      <c r="G304" s="6"/>
      <c r="H304" s="7"/>
      <c r="I304" s="8"/>
      <c r="K304" s="23" t="str">
        <f>IFERROR(INDEX($AL$11:$AL$4010,MATCH(294,$AX$11:$AX$4010,0)),"")</f>
        <v/>
      </c>
      <c r="L304" s="24" t="str">
        <f t="shared" si="60"/>
        <v/>
      </c>
      <c r="M304" s="25" t="str">
        <f t="shared" si="61"/>
        <v/>
      </c>
      <c r="N304" s="25" t="str">
        <f t="shared" si="62"/>
        <v/>
      </c>
      <c r="W304" s="28" t="str">
        <f>IF(X304="","",IFERROR(INDEX($AL$11:$AL$4010,MATCH(294,$AY$11:$AY$4010,0)),""))</f>
        <v/>
      </c>
      <c r="X304" s="26" t="str">
        <f>IFERROR(INDEX($AM$11:$AM$4010,MATCH(294,$AY$11:$AY$4010,0)),"")</f>
        <v/>
      </c>
      <c r="Y304" s="25" t="str">
        <f>IF(X304="","",IFERROR(INDEX($AN$11:$AN$4010,MATCH(294,$AY$11:$AY$4010,0)),""))</f>
        <v/>
      </c>
      <c r="Z304" s="25" t="str">
        <f>IF(X304="","",IFERROR(INDEX($AO$11:$AO$4010,MATCH(294,$AY$11:$AY$4010,0)),""))</f>
        <v/>
      </c>
      <c r="AA304" s="24" t="str">
        <f>IF(X304="","",IFERROR(INDEX($AQ$11:$AQ$4010,MATCH(294,$AY$11:$AY$4010,0)),""))</f>
        <v/>
      </c>
      <c r="AB304" s="29" t="str">
        <f>IF(X304="","",IFERROR(INDEX($AR$11:$AR$4010,MATCH(294,$AY$11:$AY$4010,0)),""))</f>
        <v/>
      </c>
      <c r="AD304" s="30" t="str">
        <f>IF(AE304="","",IFERROR(INDEX($AL$11:$AL$4010,MATCH(294,$AZ$11:$AZ$4010,0)),""))</f>
        <v/>
      </c>
      <c r="AE304" s="26" t="str">
        <f>IFERROR(INDEX($AM$11:$AM$4010,MATCH(294,$AZ$11:$AZ$4010,0)),"")</f>
        <v/>
      </c>
      <c r="AF304" s="25" t="str">
        <f>IF(AE304="","",IFERROR(INDEX($AN$11:$AN$4010,MATCH(294,$AZ$11:$AZ$4010,0)),""))</f>
        <v/>
      </c>
      <c r="AG304" s="25" t="str">
        <f>IF(AE304="","",IFERROR(INDEX($AO$11:$AO$4010,MATCH(294,$AZ$11:$AZ$4010,0)),""))</f>
        <v/>
      </c>
      <c r="AH304" s="24" t="str">
        <f>IF(AE304="","",IFERROR(INDEX($AQ$11:$AQ$4010,MATCH(294,$AZ$11:$AZ$4010,0)),""))</f>
        <v/>
      </c>
      <c r="AI304" s="29" t="str">
        <f>IF(AE304="","",IFERROR(INDEX($AR$11:$AR$4010,MATCH(294,$AZ$11:$AZ$4010,0)),""))</f>
        <v/>
      </c>
      <c r="AJ304" s="29" t="str">
        <f>IF(AE304="","",IFERROR(INDEX($AT$11:$AT$4010,MATCH(294,$AZ$11:$AZ$4010,0)),""))</f>
        <v/>
      </c>
      <c r="AL304" s="31" t="str">
        <f t="shared" si="63"/>
        <v/>
      </c>
      <c r="AM304" s="26" t="str">
        <f t="shared" si="64"/>
        <v/>
      </c>
      <c r="AN304" s="32" t="str">
        <f t="shared" si="65"/>
        <v/>
      </c>
      <c r="AO304" s="32" t="str">
        <f t="shared" si="66"/>
        <v/>
      </c>
      <c r="AP304" s="24" t="str">
        <f t="shared" si="67"/>
        <v/>
      </c>
      <c r="AQ304" s="24" t="str">
        <f t="shared" si="68"/>
        <v/>
      </c>
      <c r="AR304" s="33" t="str">
        <f t="shared" si="69"/>
        <v/>
      </c>
      <c r="AS304" s="34"/>
      <c r="AT304" s="33"/>
      <c r="AV304" s="21">
        <f>IF(AND($AL304&lt;&gt;"",COUNTIF($AL$11:$AL304,$AL304)=1),1,0)</f>
        <v>0</v>
      </c>
      <c r="AW304" s="21">
        <f t="shared" si="71"/>
        <v>2</v>
      </c>
      <c r="AX304" s="21" t="str">
        <f t="shared" si="70"/>
        <v/>
      </c>
      <c r="AY304" s="21" t="str">
        <f>IF(AND($AM304&lt;&gt;"",$AS304&lt;&gt;"✓"),SUMPRODUCT(($AM$11:$AM304&lt;&gt;"")*($AS$11:$AS304&lt;&gt;"✓")),"")</f>
        <v/>
      </c>
      <c r="AZ304" s="21" t="str">
        <f>IF(AND($AM304&lt;&gt;"",$AS304="✓"),SUMPRODUCT(($AM$11:$AM304&lt;&gt;"")*($AS$11:$AS304="✓")),"")</f>
        <v/>
      </c>
      <c r="BA304" s="21" t="str">
        <f>IF($AL304="","",$AL304&amp;"|"&amp;COUNTIF($AL$11:$AL304,$AL304))</f>
        <v/>
      </c>
    </row>
    <row r="305" spans="2:53" ht="15" customHeight="1" x14ac:dyDescent="0.25">
      <c r="B305" s="5" t="str">
        <f t="shared" si="59"/>
        <v/>
      </c>
      <c r="C305" s="5"/>
      <c r="D305" s="5"/>
      <c r="E305" s="5"/>
      <c r="F305" s="6"/>
      <c r="G305" s="6"/>
      <c r="H305" s="7"/>
      <c r="I305" s="8"/>
      <c r="K305" s="9" t="str">
        <f>IFERROR(INDEX($AL$11:$AL$4010,MATCH(295,$AX$11:$AX$4010,0)),"")</f>
        <v/>
      </c>
      <c r="L305" s="10" t="str">
        <f t="shared" si="60"/>
        <v/>
      </c>
      <c r="M305" s="11" t="str">
        <f t="shared" si="61"/>
        <v/>
      </c>
      <c r="N305" s="11" t="str">
        <f t="shared" si="62"/>
        <v/>
      </c>
      <c r="W305" s="14" t="str">
        <f>IF(X305="","",IFERROR(INDEX($AL$11:$AL$4010,MATCH(295,$AY$11:$AY$4010,0)),""))</f>
        <v/>
      </c>
      <c r="X305" s="12" t="str">
        <f>IFERROR(INDEX($AM$11:$AM$4010,MATCH(295,$AY$11:$AY$4010,0)),"")</f>
        <v/>
      </c>
      <c r="Y305" s="11" t="str">
        <f>IF(X305="","",IFERROR(INDEX($AN$11:$AN$4010,MATCH(295,$AY$11:$AY$4010,0)),""))</f>
        <v/>
      </c>
      <c r="Z305" s="11" t="str">
        <f>IF(X305="","",IFERROR(INDEX($AO$11:$AO$4010,MATCH(295,$AY$11:$AY$4010,0)),""))</f>
        <v/>
      </c>
      <c r="AA305" s="10" t="str">
        <f>IF(X305="","",IFERROR(INDEX($AQ$11:$AQ$4010,MATCH(295,$AY$11:$AY$4010,0)),""))</f>
        <v/>
      </c>
      <c r="AB305" s="15" t="str">
        <f>IF(X305="","",IFERROR(INDEX($AR$11:$AR$4010,MATCH(295,$AY$11:$AY$4010,0)),""))</f>
        <v/>
      </c>
      <c r="AD305" s="16" t="str">
        <f>IF(AE305="","",IFERROR(INDEX($AL$11:$AL$4010,MATCH(295,$AZ$11:$AZ$4010,0)),""))</f>
        <v/>
      </c>
      <c r="AE305" s="12" t="str">
        <f>IFERROR(INDEX($AM$11:$AM$4010,MATCH(295,$AZ$11:$AZ$4010,0)),"")</f>
        <v/>
      </c>
      <c r="AF305" s="11" t="str">
        <f>IF(AE305="","",IFERROR(INDEX($AN$11:$AN$4010,MATCH(295,$AZ$11:$AZ$4010,0)),""))</f>
        <v/>
      </c>
      <c r="AG305" s="11" t="str">
        <f>IF(AE305="","",IFERROR(INDEX($AO$11:$AO$4010,MATCH(295,$AZ$11:$AZ$4010,0)),""))</f>
        <v/>
      </c>
      <c r="AH305" s="10" t="str">
        <f>IF(AE305="","",IFERROR(INDEX($AQ$11:$AQ$4010,MATCH(295,$AZ$11:$AZ$4010,0)),""))</f>
        <v/>
      </c>
      <c r="AI305" s="15" t="str">
        <f>IF(AE305="","",IFERROR(INDEX($AR$11:$AR$4010,MATCH(295,$AZ$11:$AZ$4010,0)),""))</f>
        <v/>
      </c>
      <c r="AJ305" s="15" t="str">
        <f>IF(AE305="","",IFERROR(INDEX($AT$11:$AT$4010,MATCH(295,$AZ$11:$AZ$4010,0)),""))</f>
        <v/>
      </c>
      <c r="AL305" s="17" t="str">
        <f t="shared" si="63"/>
        <v/>
      </c>
      <c r="AM305" s="12" t="str">
        <f t="shared" si="64"/>
        <v/>
      </c>
      <c r="AN305" s="18" t="str">
        <f t="shared" si="65"/>
        <v/>
      </c>
      <c r="AO305" s="18" t="str">
        <f t="shared" si="66"/>
        <v/>
      </c>
      <c r="AP305" s="10" t="str">
        <f t="shared" si="67"/>
        <v/>
      </c>
      <c r="AQ305" s="10" t="str">
        <f t="shared" si="68"/>
        <v/>
      </c>
      <c r="AR305" s="19" t="str">
        <f t="shared" si="69"/>
        <v/>
      </c>
      <c r="AS305" s="20"/>
      <c r="AT305" s="19"/>
      <c r="AV305" s="21">
        <f>IF(AND($AL305&lt;&gt;"",COUNTIF($AL$11:$AL305,$AL305)=1),1,0)</f>
        <v>0</v>
      </c>
      <c r="AW305" s="21">
        <f t="shared" si="71"/>
        <v>2</v>
      </c>
      <c r="AX305" s="21" t="str">
        <f t="shared" si="70"/>
        <v/>
      </c>
      <c r="AY305" s="21" t="str">
        <f>IF(AND($AM305&lt;&gt;"",$AS305&lt;&gt;"✓"),SUMPRODUCT(($AM$11:$AM305&lt;&gt;"")*($AS$11:$AS305&lt;&gt;"✓")),"")</f>
        <v/>
      </c>
      <c r="AZ305" s="21" t="str">
        <f>IF(AND($AM305&lt;&gt;"",$AS305="✓"),SUMPRODUCT(($AM$11:$AM305&lt;&gt;"")*($AS$11:$AS305="✓")),"")</f>
        <v/>
      </c>
      <c r="BA305" s="21" t="str">
        <f>IF($AL305="","",$AL305&amp;"|"&amp;COUNTIF($AL$11:$AL305,$AL305))</f>
        <v/>
      </c>
    </row>
    <row r="306" spans="2:53" ht="15" customHeight="1" x14ac:dyDescent="0.25">
      <c r="B306" s="5" t="str">
        <f t="shared" si="59"/>
        <v/>
      </c>
      <c r="C306" s="5"/>
      <c r="D306" s="5"/>
      <c r="E306" s="5"/>
      <c r="F306" s="6"/>
      <c r="G306" s="6"/>
      <c r="H306" s="7"/>
      <c r="I306" s="8"/>
      <c r="K306" s="23" t="str">
        <f>IFERROR(INDEX($AL$11:$AL$4010,MATCH(296,$AX$11:$AX$4010,0)),"")</f>
        <v/>
      </c>
      <c r="L306" s="24" t="str">
        <f t="shared" si="60"/>
        <v/>
      </c>
      <c r="M306" s="25" t="str">
        <f t="shared" si="61"/>
        <v/>
      </c>
      <c r="N306" s="25" t="str">
        <f t="shared" si="62"/>
        <v/>
      </c>
      <c r="W306" s="28" t="str">
        <f>IF(X306="","",IFERROR(INDEX($AL$11:$AL$4010,MATCH(296,$AY$11:$AY$4010,0)),""))</f>
        <v/>
      </c>
      <c r="X306" s="26" t="str">
        <f>IFERROR(INDEX($AM$11:$AM$4010,MATCH(296,$AY$11:$AY$4010,0)),"")</f>
        <v/>
      </c>
      <c r="Y306" s="25" t="str">
        <f>IF(X306="","",IFERROR(INDEX($AN$11:$AN$4010,MATCH(296,$AY$11:$AY$4010,0)),""))</f>
        <v/>
      </c>
      <c r="Z306" s="25" t="str">
        <f>IF(X306="","",IFERROR(INDEX($AO$11:$AO$4010,MATCH(296,$AY$11:$AY$4010,0)),""))</f>
        <v/>
      </c>
      <c r="AA306" s="24" t="str">
        <f>IF(X306="","",IFERROR(INDEX($AQ$11:$AQ$4010,MATCH(296,$AY$11:$AY$4010,0)),""))</f>
        <v/>
      </c>
      <c r="AB306" s="29" t="str">
        <f>IF(X306="","",IFERROR(INDEX($AR$11:$AR$4010,MATCH(296,$AY$11:$AY$4010,0)),""))</f>
        <v/>
      </c>
      <c r="AD306" s="30" t="str">
        <f>IF(AE306="","",IFERROR(INDEX($AL$11:$AL$4010,MATCH(296,$AZ$11:$AZ$4010,0)),""))</f>
        <v/>
      </c>
      <c r="AE306" s="26" t="str">
        <f>IFERROR(INDEX($AM$11:$AM$4010,MATCH(296,$AZ$11:$AZ$4010,0)),"")</f>
        <v/>
      </c>
      <c r="AF306" s="25" t="str">
        <f>IF(AE306="","",IFERROR(INDEX($AN$11:$AN$4010,MATCH(296,$AZ$11:$AZ$4010,0)),""))</f>
        <v/>
      </c>
      <c r="AG306" s="25" t="str">
        <f>IF(AE306="","",IFERROR(INDEX($AO$11:$AO$4010,MATCH(296,$AZ$11:$AZ$4010,0)),""))</f>
        <v/>
      </c>
      <c r="AH306" s="24" t="str">
        <f>IF(AE306="","",IFERROR(INDEX($AQ$11:$AQ$4010,MATCH(296,$AZ$11:$AZ$4010,0)),""))</f>
        <v/>
      </c>
      <c r="AI306" s="29" t="str">
        <f>IF(AE306="","",IFERROR(INDEX($AR$11:$AR$4010,MATCH(296,$AZ$11:$AZ$4010,0)),""))</f>
        <v/>
      </c>
      <c r="AJ306" s="29" t="str">
        <f>IF(AE306="","",IFERROR(INDEX($AT$11:$AT$4010,MATCH(296,$AZ$11:$AZ$4010,0)),""))</f>
        <v/>
      </c>
      <c r="AL306" s="31" t="str">
        <f t="shared" si="63"/>
        <v/>
      </c>
      <c r="AM306" s="26" t="str">
        <f t="shared" si="64"/>
        <v/>
      </c>
      <c r="AN306" s="32" t="str">
        <f t="shared" si="65"/>
        <v/>
      </c>
      <c r="AO306" s="32" t="str">
        <f t="shared" si="66"/>
        <v/>
      </c>
      <c r="AP306" s="24" t="str">
        <f t="shared" si="67"/>
        <v/>
      </c>
      <c r="AQ306" s="24" t="str">
        <f t="shared" si="68"/>
        <v/>
      </c>
      <c r="AR306" s="33" t="str">
        <f t="shared" si="69"/>
        <v/>
      </c>
      <c r="AS306" s="34"/>
      <c r="AT306" s="33"/>
      <c r="AV306" s="21">
        <f>IF(AND($AL306&lt;&gt;"",COUNTIF($AL$11:$AL306,$AL306)=1),1,0)</f>
        <v>0</v>
      </c>
      <c r="AW306" s="21">
        <f t="shared" si="71"/>
        <v>2</v>
      </c>
      <c r="AX306" s="21" t="str">
        <f t="shared" si="70"/>
        <v/>
      </c>
      <c r="AY306" s="21" t="str">
        <f>IF(AND($AM306&lt;&gt;"",$AS306&lt;&gt;"✓"),SUMPRODUCT(($AM$11:$AM306&lt;&gt;"")*($AS$11:$AS306&lt;&gt;"✓")),"")</f>
        <v/>
      </c>
      <c r="AZ306" s="21" t="str">
        <f>IF(AND($AM306&lt;&gt;"",$AS306="✓"),SUMPRODUCT(($AM$11:$AM306&lt;&gt;"")*($AS$11:$AS306="✓")),"")</f>
        <v/>
      </c>
      <c r="BA306" s="21" t="str">
        <f>IF($AL306="","",$AL306&amp;"|"&amp;COUNTIF($AL$11:$AL306,$AL306))</f>
        <v/>
      </c>
    </row>
    <row r="307" spans="2:53" ht="15" customHeight="1" x14ac:dyDescent="0.25">
      <c r="B307" s="5" t="str">
        <f t="shared" si="59"/>
        <v/>
      </c>
      <c r="C307" s="5"/>
      <c r="D307" s="5"/>
      <c r="E307" s="5"/>
      <c r="F307" s="6"/>
      <c r="G307" s="6"/>
      <c r="H307" s="7"/>
      <c r="I307" s="8"/>
      <c r="K307" s="9" t="str">
        <f>IFERROR(INDEX($AL$11:$AL$4010,MATCH(297,$AX$11:$AX$4010,0)),"")</f>
        <v/>
      </c>
      <c r="L307" s="10" t="str">
        <f t="shared" si="60"/>
        <v/>
      </c>
      <c r="M307" s="11" t="str">
        <f t="shared" si="61"/>
        <v/>
      </c>
      <c r="N307" s="11" t="str">
        <f t="shared" si="62"/>
        <v/>
      </c>
      <c r="W307" s="14" t="str">
        <f>IF(X307="","",IFERROR(INDEX($AL$11:$AL$4010,MATCH(297,$AY$11:$AY$4010,0)),""))</f>
        <v/>
      </c>
      <c r="X307" s="12" t="str">
        <f>IFERROR(INDEX($AM$11:$AM$4010,MATCH(297,$AY$11:$AY$4010,0)),"")</f>
        <v/>
      </c>
      <c r="Y307" s="11" t="str">
        <f>IF(X307="","",IFERROR(INDEX($AN$11:$AN$4010,MATCH(297,$AY$11:$AY$4010,0)),""))</f>
        <v/>
      </c>
      <c r="Z307" s="11" t="str">
        <f>IF(X307="","",IFERROR(INDEX($AO$11:$AO$4010,MATCH(297,$AY$11:$AY$4010,0)),""))</f>
        <v/>
      </c>
      <c r="AA307" s="10" t="str">
        <f>IF(X307="","",IFERROR(INDEX($AQ$11:$AQ$4010,MATCH(297,$AY$11:$AY$4010,0)),""))</f>
        <v/>
      </c>
      <c r="AB307" s="15" t="str">
        <f>IF(X307="","",IFERROR(INDEX($AR$11:$AR$4010,MATCH(297,$AY$11:$AY$4010,0)),""))</f>
        <v/>
      </c>
      <c r="AD307" s="16" t="str">
        <f>IF(AE307="","",IFERROR(INDEX($AL$11:$AL$4010,MATCH(297,$AZ$11:$AZ$4010,0)),""))</f>
        <v/>
      </c>
      <c r="AE307" s="12" t="str">
        <f>IFERROR(INDEX($AM$11:$AM$4010,MATCH(297,$AZ$11:$AZ$4010,0)),"")</f>
        <v/>
      </c>
      <c r="AF307" s="11" t="str">
        <f>IF(AE307="","",IFERROR(INDEX($AN$11:$AN$4010,MATCH(297,$AZ$11:$AZ$4010,0)),""))</f>
        <v/>
      </c>
      <c r="AG307" s="11" t="str">
        <f>IF(AE307="","",IFERROR(INDEX($AO$11:$AO$4010,MATCH(297,$AZ$11:$AZ$4010,0)),""))</f>
        <v/>
      </c>
      <c r="AH307" s="10" t="str">
        <f>IF(AE307="","",IFERROR(INDEX($AQ$11:$AQ$4010,MATCH(297,$AZ$11:$AZ$4010,0)),""))</f>
        <v/>
      </c>
      <c r="AI307" s="15" t="str">
        <f>IF(AE307="","",IFERROR(INDEX($AR$11:$AR$4010,MATCH(297,$AZ$11:$AZ$4010,0)),""))</f>
        <v/>
      </c>
      <c r="AJ307" s="15" t="str">
        <f>IF(AE307="","",IFERROR(INDEX($AT$11:$AT$4010,MATCH(297,$AZ$11:$AZ$4010,0)),""))</f>
        <v/>
      </c>
      <c r="AL307" s="17" t="str">
        <f t="shared" si="63"/>
        <v/>
      </c>
      <c r="AM307" s="12" t="str">
        <f t="shared" si="64"/>
        <v/>
      </c>
      <c r="AN307" s="18" t="str">
        <f t="shared" si="65"/>
        <v/>
      </c>
      <c r="AO307" s="18" t="str">
        <f t="shared" si="66"/>
        <v/>
      </c>
      <c r="AP307" s="10" t="str">
        <f t="shared" si="67"/>
        <v/>
      </c>
      <c r="AQ307" s="10" t="str">
        <f t="shared" si="68"/>
        <v/>
      </c>
      <c r="AR307" s="19" t="str">
        <f t="shared" si="69"/>
        <v/>
      </c>
      <c r="AS307" s="20"/>
      <c r="AT307" s="19"/>
      <c r="AV307" s="21">
        <f>IF(AND($AL307&lt;&gt;"",COUNTIF($AL$11:$AL307,$AL307)=1),1,0)</f>
        <v>0</v>
      </c>
      <c r="AW307" s="21">
        <f t="shared" si="71"/>
        <v>2</v>
      </c>
      <c r="AX307" s="21" t="str">
        <f t="shared" si="70"/>
        <v/>
      </c>
      <c r="AY307" s="21" t="str">
        <f>IF(AND($AM307&lt;&gt;"",$AS307&lt;&gt;"✓"),SUMPRODUCT(($AM$11:$AM307&lt;&gt;"")*($AS$11:$AS307&lt;&gt;"✓")),"")</f>
        <v/>
      </c>
      <c r="AZ307" s="21" t="str">
        <f>IF(AND($AM307&lt;&gt;"",$AS307="✓"),SUMPRODUCT(($AM$11:$AM307&lt;&gt;"")*($AS$11:$AS307="✓")),"")</f>
        <v/>
      </c>
      <c r="BA307" s="21" t="str">
        <f>IF($AL307="","",$AL307&amp;"|"&amp;COUNTIF($AL$11:$AL307,$AL307))</f>
        <v/>
      </c>
    </row>
    <row r="308" spans="2:53" ht="15" customHeight="1" x14ac:dyDescent="0.25">
      <c r="B308" s="5" t="str">
        <f t="shared" si="59"/>
        <v/>
      </c>
      <c r="C308" s="5"/>
      <c r="D308" s="5"/>
      <c r="E308" s="5"/>
      <c r="F308" s="6"/>
      <c r="G308" s="6"/>
      <c r="H308" s="7"/>
      <c r="I308" s="8"/>
      <c r="K308" s="23" t="str">
        <f>IFERROR(INDEX($AL$11:$AL$4010,MATCH(298,$AX$11:$AX$4010,0)),"")</f>
        <v/>
      </c>
      <c r="L308" s="24" t="str">
        <f t="shared" si="60"/>
        <v/>
      </c>
      <c r="M308" s="25" t="str">
        <f t="shared" si="61"/>
        <v/>
      </c>
      <c r="N308" s="25" t="str">
        <f t="shared" si="62"/>
        <v/>
      </c>
      <c r="W308" s="28" t="str">
        <f>IF(X308="","",IFERROR(INDEX($AL$11:$AL$4010,MATCH(298,$AY$11:$AY$4010,0)),""))</f>
        <v/>
      </c>
      <c r="X308" s="26" t="str">
        <f>IFERROR(INDEX($AM$11:$AM$4010,MATCH(298,$AY$11:$AY$4010,0)),"")</f>
        <v/>
      </c>
      <c r="Y308" s="25" t="str">
        <f>IF(X308="","",IFERROR(INDEX($AN$11:$AN$4010,MATCH(298,$AY$11:$AY$4010,0)),""))</f>
        <v/>
      </c>
      <c r="Z308" s="25" t="str">
        <f>IF(X308="","",IFERROR(INDEX($AO$11:$AO$4010,MATCH(298,$AY$11:$AY$4010,0)),""))</f>
        <v/>
      </c>
      <c r="AA308" s="24" t="str">
        <f>IF(X308="","",IFERROR(INDEX($AQ$11:$AQ$4010,MATCH(298,$AY$11:$AY$4010,0)),""))</f>
        <v/>
      </c>
      <c r="AB308" s="29" t="str">
        <f>IF(X308="","",IFERROR(INDEX($AR$11:$AR$4010,MATCH(298,$AY$11:$AY$4010,0)),""))</f>
        <v/>
      </c>
      <c r="AD308" s="30" t="str">
        <f>IF(AE308="","",IFERROR(INDEX($AL$11:$AL$4010,MATCH(298,$AZ$11:$AZ$4010,0)),""))</f>
        <v/>
      </c>
      <c r="AE308" s="26" t="str">
        <f>IFERROR(INDEX($AM$11:$AM$4010,MATCH(298,$AZ$11:$AZ$4010,0)),"")</f>
        <v/>
      </c>
      <c r="AF308" s="25" t="str">
        <f>IF(AE308="","",IFERROR(INDEX($AN$11:$AN$4010,MATCH(298,$AZ$11:$AZ$4010,0)),""))</f>
        <v/>
      </c>
      <c r="AG308" s="25" t="str">
        <f>IF(AE308="","",IFERROR(INDEX($AO$11:$AO$4010,MATCH(298,$AZ$11:$AZ$4010,0)),""))</f>
        <v/>
      </c>
      <c r="AH308" s="24" t="str">
        <f>IF(AE308="","",IFERROR(INDEX($AQ$11:$AQ$4010,MATCH(298,$AZ$11:$AZ$4010,0)),""))</f>
        <v/>
      </c>
      <c r="AI308" s="29" t="str">
        <f>IF(AE308="","",IFERROR(INDEX($AR$11:$AR$4010,MATCH(298,$AZ$11:$AZ$4010,0)),""))</f>
        <v/>
      </c>
      <c r="AJ308" s="29" t="str">
        <f>IF(AE308="","",IFERROR(INDEX($AT$11:$AT$4010,MATCH(298,$AZ$11:$AZ$4010,0)),""))</f>
        <v/>
      </c>
      <c r="AL308" s="31" t="str">
        <f t="shared" si="63"/>
        <v/>
      </c>
      <c r="AM308" s="26" t="str">
        <f t="shared" si="64"/>
        <v/>
      </c>
      <c r="AN308" s="32" t="str">
        <f t="shared" si="65"/>
        <v/>
      </c>
      <c r="AO308" s="32" t="str">
        <f t="shared" si="66"/>
        <v/>
      </c>
      <c r="AP308" s="24" t="str">
        <f t="shared" si="67"/>
        <v/>
      </c>
      <c r="AQ308" s="24" t="str">
        <f t="shared" si="68"/>
        <v/>
      </c>
      <c r="AR308" s="33" t="str">
        <f t="shared" si="69"/>
        <v/>
      </c>
      <c r="AS308" s="34"/>
      <c r="AT308" s="33"/>
      <c r="AV308" s="21">
        <f>IF(AND($AL308&lt;&gt;"",COUNTIF($AL$11:$AL308,$AL308)=1),1,0)</f>
        <v>0</v>
      </c>
      <c r="AW308" s="21">
        <f t="shared" si="71"/>
        <v>2</v>
      </c>
      <c r="AX308" s="21" t="str">
        <f t="shared" si="70"/>
        <v/>
      </c>
      <c r="AY308" s="21" t="str">
        <f>IF(AND($AM308&lt;&gt;"",$AS308&lt;&gt;"✓"),SUMPRODUCT(($AM$11:$AM308&lt;&gt;"")*($AS$11:$AS308&lt;&gt;"✓")),"")</f>
        <v/>
      </c>
      <c r="AZ308" s="21" t="str">
        <f>IF(AND($AM308&lt;&gt;"",$AS308="✓"),SUMPRODUCT(($AM$11:$AM308&lt;&gt;"")*($AS$11:$AS308="✓")),"")</f>
        <v/>
      </c>
      <c r="BA308" s="21" t="str">
        <f>IF($AL308="","",$AL308&amp;"|"&amp;COUNTIF($AL$11:$AL308,$AL308))</f>
        <v/>
      </c>
    </row>
    <row r="309" spans="2:53" ht="15" customHeight="1" x14ac:dyDescent="0.25">
      <c r="B309" s="5" t="str">
        <f t="shared" si="59"/>
        <v/>
      </c>
      <c r="C309" s="5"/>
      <c r="D309" s="5"/>
      <c r="E309" s="5"/>
      <c r="F309" s="6"/>
      <c r="G309" s="6"/>
      <c r="H309" s="7"/>
      <c r="I309" s="8"/>
      <c r="K309" s="9" t="str">
        <f>IFERROR(INDEX($AL$11:$AL$4010,MATCH(299,$AX$11:$AX$4010,0)),"")</f>
        <v/>
      </c>
      <c r="L309" s="10" t="str">
        <f t="shared" si="60"/>
        <v/>
      </c>
      <c r="M309" s="11" t="str">
        <f t="shared" si="61"/>
        <v/>
      </c>
      <c r="N309" s="11" t="str">
        <f t="shared" si="62"/>
        <v/>
      </c>
      <c r="W309" s="14" t="str">
        <f>IF(X309="","",IFERROR(INDEX($AL$11:$AL$4010,MATCH(299,$AY$11:$AY$4010,0)),""))</f>
        <v/>
      </c>
      <c r="X309" s="12" t="str">
        <f>IFERROR(INDEX($AM$11:$AM$4010,MATCH(299,$AY$11:$AY$4010,0)),"")</f>
        <v/>
      </c>
      <c r="Y309" s="11" t="str">
        <f>IF(X309="","",IFERROR(INDEX($AN$11:$AN$4010,MATCH(299,$AY$11:$AY$4010,0)),""))</f>
        <v/>
      </c>
      <c r="Z309" s="11" t="str">
        <f>IF(X309="","",IFERROR(INDEX($AO$11:$AO$4010,MATCH(299,$AY$11:$AY$4010,0)),""))</f>
        <v/>
      </c>
      <c r="AA309" s="10" t="str">
        <f>IF(X309="","",IFERROR(INDEX($AQ$11:$AQ$4010,MATCH(299,$AY$11:$AY$4010,0)),""))</f>
        <v/>
      </c>
      <c r="AB309" s="15" t="str">
        <f>IF(X309="","",IFERROR(INDEX($AR$11:$AR$4010,MATCH(299,$AY$11:$AY$4010,0)),""))</f>
        <v/>
      </c>
      <c r="AD309" s="16" t="str">
        <f>IF(AE309="","",IFERROR(INDEX($AL$11:$AL$4010,MATCH(299,$AZ$11:$AZ$4010,0)),""))</f>
        <v/>
      </c>
      <c r="AE309" s="12" t="str">
        <f>IFERROR(INDEX($AM$11:$AM$4010,MATCH(299,$AZ$11:$AZ$4010,0)),"")</f>
        <v/>
      </c>
      <c r="AF309" s="11" t="str">
        <f>IF(AE309="","",IFERROR(INDEX($AN$11:$AN$4010,MATCH(299,$AZ$11:$AZ$4010,0)),""))</f>
        <v/>
      </c>
      <c r="AG309" s="11" t="str">
        <f>IF(AE309="","",IFERROR(INDEX($AO$11:$AO$4010,MATCH(299,$AZ$11:$AZ$4010,0)),""))</f>
        <v/>
      </c>
      <c r="AH309" s="10" t="str">
        <f>IF(AE309="","",IFERROR(INDEX($AQ$11:$AQ$4010,MATCH(299,$AZ$11:$AZ$4010,0)),""))</f>
        <v/>
      </c>
      <c r="AI309" s="15" t="str">
        <f>IF(AE309="","",IFERROR(INDEX($AR$11:$AR$4010,MATCH(299,$AZ$11:$AZ$4010,0)),""))</f>
        <v/>
      </c>
      <c r="AJ309" s="15" t="str">
        <f>IF(AE309="","",IFERROR(INDEX($AT$11:$AT$4010,MATCH(299,$AZ$11:$AZ$4010,0)),""))</f>
        <v/>
      </c>
      <c r="AL309" s="17" t="str">
        <f t="shared" si="63"/>
        <v/>
      </c>
      <c r="AM309" s="12" t="str">
        <f t="shared" si="64"/>
        <v/>
      </c>
      <c r="AN309" s="18" t="str">
        <f t="shared" si="65"/>
        <v/>
      </c>
      <c r="AO309" s="18" t="str">
        <f t="shared" si="66"/>
        <v/>
      </c>
      <c r="AP309" s="10" t="str">
        <f t="shared" si="67"/>
        <v/>
      </c>
      <c r="AQ309" s="10" t="str">
        <f t="shared" si="68"/>
        <v/>
      </c>
      <c r="AR309" s="19" t="str">
        <f t="shared" si="69"/>
        <v/>
      </c>
      <c r="AS309" s="20"/>
      <c r="AT309" s="19"/>
      <c r="AV309" s="21">
        <f>IF(AND($AL309&lt;&gt;"",COUNTIF($AL$11:$AL309,$AL309)=1),1,0)</f>
        <v>0</v>
      </c>
      <c r="AW309" s="21">
        <f t="shared" si="71"/>
        <v>2</v>
      </c>
      <c r="AX309" s="21" t="str">
        <f t="shared" si="70"/>
        <v/>
      </c>
      <c r="AY309" s="21" t="str">
        <f>IF(AND($AM309&lt;&gt;"",$AS309&lt;&gt;"✓"),SUMPRODUCT(($AM$11:$AM309&lt;&gt;"")*($AS$11:$AS309&lt;&gt;"✓")),"")</f>
        <v/>
      </c>
      <c r="AZ309" s="21" t="str">
        <f>IF(AND($AM309&lt;&gt;"",$AS309="✓"),SUMPRODUCT(($AM$11:$AM309&lt;&gt;"")*($AS$11:$AS309="✓")),"")</f>
        <v/>
      </c>
      <c r="BA309" s="21" t="str">
        <f>IF($AL309="","",$AL309&amp;"|"&amp;COUNTIF($AL$11:$AL309,$AL309))</f>
        <v/>
      </c>
    </row>
    <row r="310" spans="2:53" ht="15" customHeight="1" x14ac:dyDescent="0.25">
      <c r="B310" s="5" t="str">
        <f t="shared" si="59"/>
        <v/>
      </c>
      <c r="C310" s="5"/>
      <c r="D310" s="5"/>
      <c r="E310" s="5"/>
      <c r="F310" s="6"/>
      <c r="G310" s="6"/>
      <c r="H310" s="7"/>
      <c r="I310" s="8"/>
      <c r="K310" s="23" t="str">
        <f>IFERROR(INDEX($AL$11:$AL$4010,MATCH(300,$AX$11:$AX$4010,0)),"")</f>
        <v/>
      </c>
      <c r="L310" s="24" t="str">
        <f t="shared" si="60"/>
        <v/>
      </c>
      <c r="M310" s="25" t="str">
        <f t="shared" si="61"/>
        <v/>
      </c>
      <c r="N310" s="25" t="str">
        <f t="shared" si="62"/>
        <v/>
      </c>
      <c r="W310" s="28" t="str">
        <f>IF(X310="","",IFERROR(INDEX($AL$11:$AL$4010,MATCH(300,$AY$11:$AY$4010,0)),""))</f>
        <v/>
      </c>
      <c r="X310" s="26" t="str">
        <f>IFERROR(INDEX($AM$11:$AM$4010,MATCH(300,$AY$11:$AY$4010,0)),"")</f>
        <v/>
      </c>
      <c r="Y310" s="25" t="str">
        <f>IF(X310="","",IFERROR(INDEX($AN$11:$AN$4010,MATCH(300,$AY$11:$AY$4010,0)),""))</f>
        <v/>
      </c>
      <c r="Z310" s="25" t="str">
        <f>IF(X310="","",IFERROR(INDEX($AO$11:$AO$4010,MATCH(300,$AY$11:$AY$4010,0)),""))</f>
        <v/>
      </c>
      <c r="AA310" s="24" t="str">
        <f>IF(X310="","",IFERROR(INDEX($AQ$11:$AQ$4010,MATCH(300,$AY$11:$AY$4010,0)),""))</f>
        <v/>
      </c>
      <c r="AB310" s="29" t="str">
        <f>IF(X310="","",IFERROR(INDEX($AR$11:$AR$4010,MATCH(300,$AY$11:$AY$4010,0)),""))</f>
        <v/>
      </c>
      <c r="AD310" s="30" t="str">
        <f>IF(AE310="","",IFERROR(INDEX($AL$11:$AL$4010,MATCH(300,$AZ$11:$AZ$4010,0)),""))</f>
        <v/>
      </c>
      <c r="AE310" s="26" t="str">
        <f>IFERROR(INDEX($AM$11:$AM$4010,MATCH(300,$AZ$11:$AZ$4010,0)),"")</f>
        <v/>
      </c>
      <c r="AF310" s="25" t="str">
        <f>IF(AE310="","",IFERROR(INDEX($AN$11:$AN$4010,MATCH(300,$AZ$11:$AZ$4010,0)),""))</f>
        <v/>
      </c>
      <c r="AG310" s="25" t="str">
        <f>IF(AE310="","",IFERROR(INDEX($AO$11:$AO$4010,MATCH(300,$AZ$11:$AZ$4010,0)),""))</f>
        <v/>
      </c>
      <c r="AH310" s="24" t="str">
        <f>IF(AE310="","",IFERROR(INDEX($AQ$11:$AQ$4010,MATCH(300,$AZ$11:$AZ$4010,0)),""))</f>
        <v/>
      </c>
      <c r="AI310" s="29" t="str">
        <f>IF(AE310="","",IFERROR(INDEX($AR$11:$AR$4010,MATCH(300,$AZ$11:$AZ$4010,0)),""))</f>
        <v/>
      </c>
      <c r="AJ310" s="29" t="str">
        <f>IF(AE310="","",IFERROR(INDEX($AT$11:$AT$4010,MATCH(300,$AZ$11:$AZ$4010,0)),""))</f>
        <v/>
      </c>
      <c r="AL310" s="31" t="str">
        <f t="shared" si="63"/>
        <v/>
      </c>
      <c r="AM310" s="26" t="str">
        <f t="shared" si="64"/>
        <v/>
      </c>
      <c r="AN310" s="32" t="str">
        <f t="shared" si="65"/>
        <v/>
      </c>
      <c r="AO310" s="32" t="str">
        <f t="shared" si="66"/>
        <v/>
      </c>
      <c r="AP310" s="24" t="str">
        <f t="shared" si="67"/>
        <v/>
      </c>
      <c r="AQ310" s="24" t="str">
        <f t="shared" si="68"/>
        <v/>
      </c>
      <c r="AR310" s="33" t="str">
        <f t="shared" si="69"/>
        <v/>
      </c>
      <c r="AS310" s="34"/>
      <c r="AT310" s="33"/>
      <c r="AV310" s="21">
        <f>IF(AND($AL310&lt;&gt;"",COUNTIF($AL$11:$AL310,$AL310)=1),1,0)</f>
        <v>0</v>
      </c>
      <c r="AW310" s="21">
        <f t="shared" si="71"/>
        <v>2</v>
      </c>
      <c r="AX310" s="21" t="str">
        <f t="shared" si="70"/>
        <v/>
      </c>
      <c r="AY310" s="21" t="str">
        <f>IF(AND($AM310&lt;&gt;"",$AS310&lt;&gt;"✓"),SUMPRODUCT(($AM$11:$AM310&lt;&gt;"")*($AS$11:$AS310&lt;&gt;"✓")),"")</f>
        <v/>
      </c>
      <c r="AZ310" s="21" t="str">
        <f>IF(AND($AM310&lt;&gt;"",$AS310="✓"),SUMPRODUCT(($AM$11:$AM310&lt;&gt;"")*($AS$11:$AS310="✓")),"")</f>
        <v/>
      </c>
      <c r="BA310" s="21" t="str">
        <f>IF($AL310="","",$AL310&amp;"|"&amp;COUNTIF($AL$11:$AL310,$AL310))</f>
        <v/>
      </c>
    </row>
    <row r="311" spans="2:53" ht="15" customHeight="1" x14ac:dyDescent="0.25">
      <c r="B311" s="5" t="str">
        <f t="shared" si="59"/>
        <v/>
      </c>
      <c r="C311" s="5"/>
      <c r="D311" s="5"/>
      <c r="E311" s="5"/>
      <c r="F311" s="6"/>
      <c r="G311" s="6"/>
      <c r="H311" s="7"/>
      <c r="I311" s="8"/>
      <c r="W311" s="14" t="str">
        <f>IF(X311="","",IFERROR(INDEX($AL$11:$AL$4010,MATCH(301,$AY$11:$AY$4010,0)),""))</f>
        <v/>
      </c>
      <c r="X311" s="12" t="str">
        <f>IFERROR(INDEX($AM$11:$AM$4010,MATCH(301,$AY$11:$AY$4010,0)),"")</f>
        <v/>
      </c>
      <c r="Y311" s="11" t="str">
        <f>IF(X311="","",IFERROR(INDEX($AN$11:$AN$4010,MATCH(301,$AY$11:$AY$4010,0)),""))</f>
        <v/>
      </c>
      <c r="Z311" s="11" t="str">
        <f>IF(X311="","",IFERROR(INDEX($AO$11:$AO$4010,MATCH(301,$AY$11:$AY$4010,0)),""))</f>
        <v/>
      </c>
      <c r="AA311" s="10" t="str">
        <f>IF(X311="","",IFERROR(INDEX($AQ$11:$AQ$4010,MATCH(301,$AY$11:$AY$4010,0)),""))</f>
        <v/>
      </c>
      <c r="AB311" s="15" t="str">
        <f>IF(X311="","",IFERROR(INDEX($AR$11:$AR$4010,MATCH(301,$AY$11:$AY$4010,0)),""))</f>
        <v/>
      </c>
      <c r="AD311" s="16" t="str">
        <f>IF(AE311="","",IFERROR(INDEX($AL$11:$AL$4010,MATCH(301,$AZ$11:$AZ$4010,0)),""))</f>
        <v/>
      </c>
      <c r="AE311" s="12" t="str">
        <f>IFERROR(INDEX($AM$11:$AM$4010,MATCH(301,$AZ$11:$AZ$4010,0)),"")</f>
        <v/>
      </c>
      <c r="AF311" s="11" t="str">
        <f>IF(AE311="","",IFERROR(INDEX($AN$11:$AN$4010,MATCH(301,$AZ$11:$AZ$4010,0)),""))</f>
        <v/>
      </c>
      <c r="AG311" s="11" t="str">
        <f>IF(AE311="","",IFERROR(INDEX($AO$11:$AO$4010,MATCH(301,$AZ$11:$AZ$4010,0)),""))</f>
        <v/>
      </c>
      <c r="AH311" s="10" t="str">
        <f>IF(AE311="","",IFERROR(INDEX($AQ$11:$AQ$4010,MATCH(301,$AZ$11:$AZ$4010,0)),""))</f>
        <v/>
      </c>
      <c r="AI311" s="15" t="str">
        <f>IF(AE311="","",IFERROR(INDEX($AR$11:$AR$4010,MATCH(301,$AZ$11:$AZ$4010,0)),""))</f>
        <v/>
      </c>
      <c r="AJ311" s="15" t="str">
        <f>IF(AE311="","",IFERROR(INDEX($AT$11:$AT$4010,MATCH(301,$AZ$11:$AZ$4010,0)),""))</f>
        <v/>
      </c>
      <c r="AL311" s="17" t="str">
        <f t="shared" si="63"/>
        <v/>
      </c>
      <c r="AM311" s="12" t="str">
        <f t="shared" si="64"/>
        <v/>
      </c>
      <c r="AN311" s="18" t="str">
        <f t="shared" si="65"/>
        <v/>
      </c>
      <c r="AO311" s="18" t="str">
        <f t="shared" si="66"/>
        <v/>
      </c>
      <c r="AP311" s="10" t="str">
        <f t="shared" si="67"/>
        <v/>
      </c>
      <c r="AQ311" s="10" t="str">
        <f t="shared" si="68"/>
        <v/>
      </c>
      <c r="AR311" s="19" t="str">
        <f t="shared" si="69"/>
        <v/>
      </c>
      <c r="AS311" s="20"/>
      <c r="AT311" s="19"/>
      <c r="AV311" s="21">
        <f>IF(AND($AL311&lt;&gt;"",COUNTIF($AL$11:$AL311,$AL311)=1),1,0)</f>
        <v>0</v>
      </c>
      <c r="AW311" s="21">
        <f t="shared" si="71"/>
        <v>2</v>
      </c>
      <c r="AX311" s="21" t="str">
        <f t="shared" si="70"/>
        <v/>
      </c>
      <c r="AY311" s="21" t="str">
        <f>IF(AND($AM311&lt;&gt;"",$AS311&lt;&gt;"✓"),SUMPRODUCT(($AM$11:$AM311&lt;&gt;"")*($AS$11:$AS311&lt;&gt;"✓")),"")</f>
        <v/>
      </c>
      <c r="AZ311" s="21" t="str">
        <f>IF(AND($AM311&lt;&gt;"",$AS311="✓"),SUMPRODUCT(($AM$11:$AM311&lt;&gt;"")*($AS$11:$AS311="✓")),"")</f>
        <v/>
      </c>
      <c r="BA311" s="21" t="str">
        <f>IF($AL311="","",$AL311&amp;"|"&amp;COUNTIF($AL$11:$AL311,$AL311))</f>
        <v/>
      </c>
    </row>
    <row r="312" spans="2:53" ht="15" customHeight="1" x14ac:dyDescent="0.25">
      <c r="B312" s="5" t="str">
        <f t="shared" si="59"/>
        <v/>
      </c>
      <c r="C312" s="5"/>
      <c r="D312" s="5"/>
      <c r="E312" s="5"/>
      <c r="F312" s="6"/>
      <c r="G312" s="6"/>
      <c r="H312" s="7"/>
      <c r="I312" s="8"/>
      <c r="W312" s="28" t="str">
        <f>IF(X312="","",IFERROR(INDEX($AL$11:$AL$4010,MATCH(302,$AY$11:$AY$4010,0)),""))</f>
        <v/>
      </c>
      <c r="X312" s="26" t="str">
        <f>IFERROR(INDEX($AM$11:$AM$4010,MATCH(302,$AY$11:$AY$4010,0)),"")</f>
        <v/>
      </c>
      <c r="Y312" s="25" t="str">
        <f>IF(X312="","",IFERROR(INDEX($AN$11:$AN$4010,MATCH(302,$AY$11:$AY$4010,0)),""))</f>
        <v/>
      </c>
      <c r="Z312" s="25" t="str">
        <f>IF(X312="","",IFERROR(INDEX($AO$11:$AO$4010,MATCH(302,$AY$11:$AY$4010,0)),""))</f>
        <v/>
      </c>
      <c r="AA312" s="24" t="str">
        <f>IF(X312="","",IFERROR(INDEX($AQ$11:$AQ$4010,MATCH(302,$AY$11:$AY$4010,0)),""))</f>
        <v/>
      </c>
      <c r="AB312" s="29" t="str">
        <f>IF(X312="","",IFERROR(INDEX($AR$11:$AR$4010,MATCH(302,$AY$11:$AY$4010,0)),""))</f>
        <v/>
      </c>
      <c r="AD312" s="30" t="str">
        <f>IF(AE312="","",IFERROR(INDEX($AL$11:$AL$4010,MATCH(302,$AZ$11:$AZ$4010,0)),""))</f>
        <v/>
      </c>
      <c r="AE312" s="26" t="str">
        <f>IFERROR(INDEX($AM$11:$AM$4010,MATCH(302,$AZ$11:$AZ$4010,0)),"")</f>
        <v/>
      </c>
      <c r="AF312" s="25" t="str">
        <f>IF(AE312="","",IFERROR(INDEX($AN$11:$AN$4010,MATCH(302,$AZ$11:$AZ$4010,0)),""))</f>
        <v/>
      </c>
      <c r="AG312" s="25" t="str">
        <f>IF(AE312="","",IFERROR(INDEX($AO$11:$AO$4010,MATCH(302,$AZ$11:$AZ$4010,0)),""))</f>
        <v/>
      </c>
      <c r="AH312" s="24" t="str">
        <f>IF(AE312="","",IFERROR(INDEX($AQ$11:$AQ$4010,MATCH(302,$AZ$11:$AZ$4010,0)),""))</f>
        <v/>
      </c>
      <c r="AI312" s="29" t="str">
        <f>IF(AE312="","",IFERROR(INDEX($AR$11:$AR$4010,MATCH(302,$AZ$11:$AZ$4010,0)),""))</f>
        <v/>
      </c>
      <c r="AJ312" s="29" t="str">
        <f>IF(AE312="","",IFERROR(INDEX($AT$11:$AT$4010,MATCH(302,$AZ$11:$AZ$4010,0)),""))</f>
        <v/>
      </c>
      <c r="AL312" s="31" t="str">
        <f t="shared" si="63"/>
        <v/>
      </c>
      <c r="AM312" s="26" t="str">
        <f t="shared" si="64"/>
        <v/>
      </c>
      <c r="AN312" s="32" t="str">
        <f t="shared" si="65"/>
        <v/>
      </c>
      <c r="AO312" s="32" t="str">
        <f t="shared" si="66"/>
        <v/>
      </c>
      <c r="AP312" s="24" t="str">
        <f t="shared" si="67"/>
        <v/>
      </c>
      <c r="AQ312" s="24" t="str">
        <f t="shared" si="68"/>
        <v/>
      </c>
      <c r="AR312" s="33" t="str">
        <f t="shared" si="69"/>
        <v/>
      </c>
      <c r="AS312" s="34"/>
      <c r="AT312" s="33"/>
      <c r="AV312" s="21">
        <f>IF(AND($AL312&lt;&gt;"",COUNTIF($AL$11:$AL312,$AL312)=1),1,0)</f>
        <v>0</v>
      </c>
      <c r="AW312" s="21">
        <f t="shared" si="71"/>
        <v>2</v>
      </c>
      <c r="AX312" s="21" t="str">
        <f t="shared" si="70"/>
        <v/>
      </c>
      <c r="AY312" s="21" t="str">
        <f>IF(AND($AM312&lt;&gt;"",$AS312&lt;&gt;"✓"),SUMPRODUCT(($AM$11:$AM312&lt;&gt;"")*($AS$11:$AS312&lt;&gt;"✓")),"")</f>
        <v/>
      </c>
      <c r="AZ312" s="21" t="str">
        <f>IF(AND($AM312&lt;&gt;"",$AS312="✓"),SUMPRODUCT(($AM$11:$AM312&lt;&gt;"")*($AS$11:$AS312="✓")),"")</f>
        <v/>
      </c>
      <c r="BA312" s="21" t="str">
        <f>IF($AL312="","",$AL312&amp;"|"&amp;COUNTIF($AL$11:$AL312,$AL312))</f>
        <v/>
      </c>
    </row>
    <row r="313" spans="2:53" ht="15" customHeight="1" x14ac:dyDescent="0.25">
      <c r="B313" s="5" t="str">
        <f t="shared" si="59"/>
        <v/>
      </c>
      <c r="C313" s="5"/>
      <c r="D313" s="5"/>
      <c r="E313" s="5"/>
      <c r="F313" s="6"/>
      <c r="G313" s="6"/>
      <c r="H313" s="7"/>
      <c r="I313" s="8"/>
      <c r="W313" s="14" t="str">
        <f>IF(X313="","",IFERROR(INDEX($AL$11:$AL$4010,MATCH(303,$AY$11:$AY$4010,0)),""))</f>
        <v/>
      </c>
      <c r="X313" s="12" t="str">
        <f>IFERROR(INDEX($AM$11:$AM$4010,MATCH(303,$AY$11:$AY$4010,0)),"")</f>
        <v/>
      </c>
      <c r="Y313" s="11" t="str">
        <f>IF(X313="","",IFERROR(INDEX($AN$11:$AN$4010,MATCH(303,$AY$11:$AY$4010,0)),""))</f>
        <v/>
      </c>
      <c r="Z313" s="11" t="str">
        <f>IF(X313="","",IFERROR(INDEX($AO$11:$AO$4010,MATCH(303,$AY$11:$AY$4010,0)),""))</f>
        <v/>
      </c>
      <c r="AA313" s="10" t="str">
        <f>IF(X313="","",IFERROR(INDEX($AQ$11:$AQ$4010,MATCH(303,$AY$11:$AY$4010,0)),""))</f>
        <v/>
      </c>
      <c r="AB313" s="15" t="str">
        <f>IF(X313="","",IFERROR(INDEX($AR$11:$AR$4010,MATCH(303,$AY$11:$AY$4010,0)),""))</f>
        <v/>
      </c>
      <c r="AD313" s="16" t="str">
        <f>IF(AE313="","",IFERROR(INDEX($AL$11:$AL$4010,MATCH(303,$AZ$11:$AZ$4010,0)),""))</f>
        <v/>
      </c>
      <c r="AE313" s="12" t="str">
        <f>IFERROR(INDEX($AM$11:$AM$4010,MATCH(303,$AZ$11:$AZ$4010,0)),"")</f>
        <v/>
      </c>
      <c r="AF313" s="11" t="str">
        <f>IF(AE313="","",IFERROR(INDEX($AN$11:$AN$4010,MATCH(303,$AZ$11:$AZ$4010,0)),""))</f>
        <v/>
      </c>
      <c r="AG313" s="11" t="str">
        <f>IF(AE313="","",IFERROR(INDEX($AO$11:$AO$4010,MATCH(303,$AZ$11:$AZ$4010,0)),""))</f>
        <v/>
      </c>
      <c r="AH313" s="10" t="str">
        <f>IF(AE313="","",IFERROR(INDEX($AQ$11:$AQ$4010,MATCH(303,$AZ$11:$AZ$4010,0)),""))</f>
        <v/>
      </c>
      <c r="AI313" s="15" t="str">
        <f>IF(AE313="","",IFERROR(INDEX($AR$11:$AR$4010,MATCH(303,$AZ$11:$AZ$4010,0)),""))</f>
        <v/>
      </c>
      <c r="AJ313" s="15" t="str">
        <f>IF(AE313="","",IFERROR(INDEX($AT$11:$AT$4010,MATCH(303,$AZ$11:$AZ$4010,0)),""))</f>
        <v/>
      </c>
      <c r="AL313" s="17" t="str">
        <f t="shared" si="63"/>
        <v/>
      </c>
      <c r="AM313" s="12" t="str">
        <f t="shared" si="64"/>
        <v/>
      </c>
      <c r="AN313" s="18" t="str">
        <f t="shared" si="65"/>
        <v/>
      </c>
      <c r="AO313" s="18" t="str">
        <f t="shared" si="66"/>
        <v/>
      </c>
      <c r="AP313" s="10" t="str">
        <f t="shared" si="67"/>
        <v/>
      </c>
      <c r="AQ313" s="10" t="str">
        <f t="shared" si="68"/>
        <v/>
      </c>
      <c r="AR313" s="19" t="str">
        <f t="shared" si="69"/>
        <v/>
      </c>
      <c r="AS313" s="20"/>
      <c r="AT313" s="19"/>
      <c r="AV313" s="21">
        <f>IF(AND($AL313&lt;&gt;"",COUNTIF($AL$11:$AL313,$AL313)=1),1,0)</f>
        <v>0</v>
      </c>
      <c r="AW313" s="21">
        <f t="shared" si="71"/>
        <v>2</v>
      </c>
      <c r="AX313" s="21" t="str">
        <f t="shared" si="70"/>
        <v/>
      </c>
      <c r="AY313" s="21" t="str">
        <f>IF(AND($AM313&lt;&gt;"",$AS313&lt;&gt;"✓"),SUMPRODUCT(($AM$11:$AM313&lt;&gt;"")*($AS$11:$AS313&lt;&gt;"✓")),"")</f>
        <v/>
      </c>
      <c r="AZ313" s="21" t="str">
        <f>IF(AND($AM313&lt;&gt;"",$AS313="✓"),SUMPRODUCT(($AM$11:$AM313&lt;&gt;"")*($AS$11:$AS313="✓")),"")</f>
        <v/>
      </c>
      <c r="BA313" s="21" t="str">
        <f>IF($AL313="","",$AL313&amp;"|"&amp;COUNTIF($AL$11:$AL313,$AL313))</f>
        <v/>
      </c>
    </row>
    <row r="314" spans="2:53" ht="15" customHeight="1" x14ac:dyDescent="0.25">
      <c r="B314" s="5" t="str">
        <f t="shared" si="59"/>
        <v/>
      </c>
      <c r="C314" s="5"/>
      <c r="D314" s="5"/>
      <c r="E314" s="5"/>
      <c r="F314" s="6"/>
      <c r="G314" s="6"/>
      <c r="H314" s="7"/>
      <c r="I314" s="8"/>
      <c r="W314" s="28" t="str">
        <f>IF(X314="","",IFERROR(INDEX($AL$11:$AL$4010,MATCH(304,$AY$11:$AY$4010,0)),""))</f>
        <v/>
      </c>
      <c r="X314" s="26" t="str">
        <f>IFERROR(INDEX($AM$11:$AM$4010,MATCH(304,$AY$11:$AY$4010,0)),"")</f>
        <v/>
      </c>
      <c r="Y314" s="25" t="str">
        <f>IF(X314="","",IFERROR(INDEX($AN$11:$AN$4010,MATCH(304,$AY$11:$AY$4010,0)),""))</f>
        <v/>
      </c>
      <c r="Z314" s="25" t="str">
        <f>IF(X314="","",IFERROR(INDEX($AO$11:$AO$4010,MATCH(304,$AY$11:$AY$4010,0)),""))</f>
        <v/>
      </c>
      <c r="AA314" s="24" t="str">
        <f>IF(X314="","",IFERROR(INDEX($AQ$11:$AQ$4010,MATCH(304,$AY$11:$AY$4010,0)),""))</f>
        <v/>
      </c>
      <c r="AB314" s="29" t="str">
        <f>IF(X314="","",IFERROR(INDEX($AR$11:$AR$4010,MATCH(304,$AY$11:$AY$4010,0)),""))</f>
        <v/>
      </c>
      <c r="AD314" s="30" t="str">
        <f>IF(AE314="","",IFERROR(INDEX($AL$11:$AL$4010,MATCH(304,$AZ$11:$AZ$4010,0)),""))</f>
        <v/>
      </c>
      <c r="AE314" s="26" t="str">
        <f>IFERROR(INDEX($AM$11:$AM$4010,MATCH(304,$AZ$11:$AZ$4010,0)),"")</f>
        <v/>
      </c>
      <c r="AF314" s="25" t="str">
        <f>IF(AE314="","",IFERROR(INDEX($AN$11:$AN$4010,MATCH(304,$AZ$11:$AZ$4010,0)),""))</f>
        <v/>
      </c>
      <c r="AG314" s="25" t="str">
        <f>IF(AE314="","",IFERROR(INDEX($AO$11:$AO$4010,MATCH(304,$AZ$11:$AZ$4010,0)),""))</f>
        <v/>
      </c>
      <c r="AH314" s="24" t="str">
        <f>IF(AE314="","",IFERROR(INDEX($AQ$11:$AQ$4010,MATCH(304,$AZ$11:$AZ$4010,0)),""))</f>
        <v/>
      </c>
      <c r="AI314" s="29" t="str">
        <f>IF(AE314="","",IFERROR(INDEX($AR$11:$AR$4010,MATCH(304,$AZ$11:$AZ$4010,0)),""))</f>
        <v/>
      </c>
      <c r="AJ314" s="29" t="str">
        <f>IF(AE314="","",IFERROR(INDEX($AT$11:$AT$4010,MATCH(304,$AZ$11:$AZ$4010,0)),""))</f>
        <v/>
      </c>
      <c r="AL314" s="31" t="str">
        <f t="shared" si="63"/>
        <v/>
      </c>
      <c r="AM314" s="26" t="str">
        <f t="shared" si="64"/>
        <v/>
      </c>
      <c r="AN314" s="32" t="str">
        <f t="shared" si="65"/>
        <v/>
      </c>
      <c r="AO314" s="32" t="str">
        <f t="shared" si="66"/>
        <v/>
      </c>
      <c r="AP314" s="24" t="str">
        <f t="shared" si="67"/>
        <v/>
      </c>
      <c r="AQ314" s="24" t="str">
        <f t="shared" si="68"/>
        <v/>
      </c>
      <c r="AR314" s="33" t="str">
        <f t="shared" si="69"/>
        <v/>
      </c>
      <c r="AS314" s="34"/>
      <c r="AT314" s="33"/>
      <c r="AV314" s="21">
        <f>IF(AND($AL314&lt;&gt;"",COUNTIF($AL$11:$AL314,$AL314)=1),1,0)</f>
        <v>0</v>
      </c>
      <c r="AW314" s="21">
        <f t="shared" si="71"/>
        <v>2</v>
      </c>
      <c r="AX314" s="21" t="str">
        <f t="shared" si="70"/>
        <v/>
      </c>
      <c r="AY314" s="21" t="str">
        <f>IF(AND($AM314&lt;&gt;"",$AS314&lt;&gt;"✓"),SUMPRODUCT(($AM$11:$AM314&lt;&gt;"")*($AS$11:$AS314&lt;&gt;"✓")),"")</f>
        <v/>
      </c>
      <c r="AZ314" s="21" t="str">
        <f>IF(AND($AM314&lt;&gt;"",$AS314="✓"),SUMPRODUCT(($AM$11:$AM314&lt;&gt;"")*($AS$11:$AS314="✓")),"")</f>
        <v/>
      </c>
      <c r="BA314" s="21" t="str">
        <f>IF($AL314="","",$AL314&amp;"|"&amp;COUNTIF($AL$11:$AL314,$AL314))</f>
        <v/>
      </c>
    </row>
    <row r="315" spans="2:53" ht="15" customHeight="1" x14ac:dyDescent="0.25">
      <c r="B315" s="5" t="str">
        <f t="shared" si="59"/>
        <v/>
      </c>
      <c r="C315" s="5"/>
      <c r="D315" s="5"/>
      <c r="E315" s="5"/>
      <c r="F315" s="6"/>
      <c r="G315" s="6"/>
      <c r="H315" s="7"/>
      <c r="I315" s="8"/>
      <c r="W315" s="14" t="str">
        <f>IF(X315="","",IFERROR(INDEX($AL$11:$AL$4010,MATCH(305,$AY$11:$AY$4010,0)),""))</f>
        <v/>
      </c>
      <c r="X315" s="12" t="str">
        <f>IFERROR(INDEX($AM$11:$AM$4010,MATCH(305,$AY$11:$AY$4010,0)),"")</f>
        <v/>
      </c>
      <c r="Y315" s="11" t="str">
        <f>IF(X315="","",IFERROR(INDEX($AN$11:$AN$4010,MATCH(305,$AY$11:$AY$4010,0)),""))</f>
        <v/>
      </c>
      <c r="Z315" s="11" t="str">
        <f>IF(X315="","",IFERROR(INDEX($AO$11:$AO$4010,MATCH(305,$AY$11:$AY$4010,0)),""))</f>
        <v/>
      </c>
      <c r="AA315" s="10" t="str">
        <f>IF(X315="","",IFERROR(INDEX($AQ$11:$AQ$4010,MATCH(305,$AY$11:$AY$4010,0)),""))</f>
        <v/>
      </c>
      <c r="AB315" s="15" t="str">
        <f>IF(X315="","",IFERROR(INDEX($AR$11:$AR$4010,MATCH(305,$AY$11:$AY$4010,0)),""))</f>
        <v/>
      </c>
      <c r="AD315" s="16" t="str">
        <f>IF(AE315="","",IFERROR(INDEX($AL$11:$AL$4010,MATCH(305,$AZ$11:$AZ$4010,0)),""))</f>
        <v/>
      </c>
      <c r="AE315" s="12" t="str">
        <f>IFERROR(INDEX($AM$11:$AM$4010,MATCH(305,$AZ$11:$AZ$4010,0)),"")</f>
        <v/>
      </c>
      <c r="AF315" s="11" t="str">
        <f>IF(AE315="","",IFERROR(INDEX($AN$11:$AN$4010,MATCH(305,$AZ$11:$AZ$4010,0)),""))</f>
        <v/>
      </c>
      <c r="AG315" s="11" t="str">
        <f>IF(AE315="","",IFERROR(INDEX($AO$11:$AO$4010,MATCH(305,$AZ$11:$AZ$4010,0)),""))</f>
        <v/>
      </c>
      <c r="AH315" s="10" t="str">
        <f>IF(AE315="","",IFERROR(INDEX($AQ$11:$AQ$4010,MATCH(305,$AZ$11:$AZ$4010,0)),""))</f>
        <v/>
      </c>
      <c r="AI315" s="15" t="str">
        <f>IF(AE315="","",IFERROR(INDEX($AR$11:$AR$4010,MATCH(305,$AZ$11:$AZ$4010,0)),""))</f>
        <v/>
      </c>
      <c r="AJ315" s="15" t="str">
        <f>IF(AE315="","",IFERROR(INDEX($AT$11:$AT$4010,MATCH(305,$AZ$11:$AZ$4010,0)),""))</f>
        <v/>
      </c>
      <c r="AL315" s="17" t="str">
        <f t="shared" si="63"/>
        <v/>
      </c>
      <c r="AM315" s="12" t="str">
        <f t="shared" si="64"/>
        <v/>
      </c>
      <c r="AN315" s="18" t="str">
        <f t="shared" si="65"/>
        <v/>
      </c>
      <c r="AO315" s="18" t="str">
        <f t="shared" si="66"/>
        <v/>
      </c>
      <c r="AP315" s="10" t="str">
        <f t="shared" si="67"/>
        <v/>
      </c>
      <c r="AQ315" s="10" t="str">
        <f t="shared" si="68"/>
        <v/>
      </c>
      <c r="AR315" s="19" t="str">
        <f t="shared" si="69"/>
        <v/>
      </c>
      <c r="AS315" s="20"/>
      <c r="AT315" s="19"/>
      <c r="AV315" s="21">
        <f>IF(AND($AL315&lt;&gt;"",COUNTIF($AL$11:$AL315,$AL315)=1),1,0)</f>
        <v>0</v>
      </c>
      <c r="AW315" s="21">
        <f t="shared" si="71"/>
        <v>2</v>
      </c>
      <c r="AX315" s="21" t="str">
        <f t="shared" si="70"/>
        <v/>
      </c>
      <c r="AY315" s="21" t="str">
        <f>IF(AND($AM315&lt;&gt;"",$AS315&lt;&gt;"✓"),SUMPRODUCT(($AM$11:$AM315&lt;&gt;"")*($AS$11:$AS315&lt;&gt;"✓")),"")</f>
        <v/>
      </c>
      <c r="AZ315" s="21" t="str">
        <f>IF(AND($AM315&lt;&gt;"",$AS315="✓"),SUMPRODUCT(($AM$11:$AM315&lt;&gt;"")*($AS$11:$AS315="✓")),"")</f>
        <v/>
      </c>
      <c r="BA315" s="21" t="str">
        <f>IF($AL315="","",$AL315&amp;"|"&amp;COUNTIF($AL$11:$AL315,$AL315))</f>
        <v/>
      </c>
    </row>
    <row r="316" spans="2:53" ht="15" customHeight="1" x14ac:dyDescent="0.25">
      <c r="B316" s="5" t="str">
        <f t="shared" si="59"/>
        <v/>
      </c>
      <c r="C316" s="5"/>
      <c r="D316" s="5"/>
      <c r="E316" s="5"/>
      <c r="F316" s="6"/>
      <c r="G316" s="6"/>
      <c r="H316" s="7"/>
      <c r="I316" s="8"/>
      <c r="W316" s="28" t="str">
        <f>IF(X316="","",IFERROR(INDEX($AL$11:$AL$4010,MATCH(306,$AY$11:$AY$4010,0)),""))</f>
        <v/>
      </c>
      <c r="X316" s="26" t="str">
        <f>IFERROR(INDEX($AM$11:$AM$4010,MATCH(306,$AY$11:$AY$4010,0)),"")</f>
        <v/>
      </c>
      <c r="Y316" s="25" t="str">
        <f>IF(X316="","",IFERROR(INDEX($AN$11:$AN$4010,MATCH(306,$AY$11:$AY$4010,0)),""))</f>
        <v/>
      </c>
      <c r="Z316" s="25" t="str">
        <f>IF(X316="","",IFERROR(INDEX($AO$11:$AO$4010,MATCH(306,$AY$11:$AY$4010,0)),""))</f>
        <v/>
      </c>
      <c r="AA316" s="24" t="str">
        <f>IF(X316="","",IFERROR(INDEX($AQ$11:$AQ$4010,MATCH(306,$AY$11:$AY$4010,0)),""))</f>
        <v/>
      </c>
      <c r="AB316" s="29" t="str">
        <f>IF(X316="","",IFERROR(INDEX($AR$11:$AR$4010,MATCH(306,$AY$11:$AY$4010,0)),""))</f>
        <v/>
      </c>
      <c r="AD316" s="30" t="str">
        <f>IF(AE316="","",IFERROR(INDEX($AL$11:$AL$4010,MATCH(306,$AZ$11:$AZ$4010,0)),""))</f>
        <v/>
      </c>
      <c r="AE316" s="26" t="str">
        <f>IFERROR(INDEX($AM$11:$AM$4010,MATCH(306,$AZ$11:$AZ$4010,0)),"")</f>
        <v/>
      </c>
      <c r="AF316" s="25" t="str">
        <f>IF(AE316="","",IFERROR(INDEX($AN$11:$AN$4010,MATCH(306,$AZ$11:$AZ$4010,0)),""))</f>
        <v/>
      </c>
      <c r="AG316" s="25" t="str">
        <f>IF(AE316="","",IFERROR(INDEX($AO$11:$AO$4010,MATCH(306,$AZ$11:$AZ$4010,0)),""))</f>
        <v/>
      </c>
      <c r="AH316" s="24" t="str">
        <f>IF(AE316="","",IFERROR(INDEX($AQ$11:$AQ$4010,MATCH(306,$AZ$11:$AZ$4010,0)),""))</f>
        <v/>
      </c>
      <c r="AI316" s="29" t="str">
        <f>IF(AE316="","",IFERROR(INDEX($AR$11:$AR$4010,MATCH(306,$AZ$11:$AZ$4010,0)),""))</f>
        <v/>
      </c>
      <c r="AJ316" s="29" t="str">
        <f>IF(AE316="","",IFERROR(INDEX($AT$11:$AT$4010,MATCH(306,$AZ$11:$AZ$4010,0)),""))</f>
        <v/>
      </c>
      <c r="AL316" s="31" t="str">
        <f t="shared" si="63"/>
        <v/>
      </c>
      <c r="AM316" s="26" t="str">
        <f t="shared" si="64"/>
        <v/>
      </c>
      <c r="AN316" s="32" t="str">
        <f t="shared" si="65"/>
        <v/>
      </c>
      <c r="AO316" s="32" t="str">
        <f t="shared" si="66"/>
        <v/>
      </c>
      <c r="AP316" s="24" t="str">
        <f t="shared" si="67"/>
        <v/>
      </c>
      <c r="AQ316" s="24" t="str">
        <f t="shared" si="68"/>
        <v/>
      </c>
      <c r="AR316" s="33" t="str">
        <f t="shared" si="69"/>
        <v/>
      </c>
      <c r="AS316" s="34"/>
      <c r="AT316" s="33"/>
      <c r="AV316" s="21">
        <f>IF(AND($AL316&lt;&gt;"",COUNTIF($AL$11:$AL316,$AL316)=1),1,0)</f>
        <v>0</v>
      </c>
      <c r="AW316" s="21">
        <f t="shared" si="71"/>
        <v>2</v>
      </c>
      <c r="AX316" s="21" t="str">
        <f t="shared" si="70"/>
        <v/>
      </c>
      <c r="AY316" s="21" t="str">
        <f>IF(AND($AM316&lt;&gt;"",$AS316&lt;&gt;"✓"),SUMPRODUCT(($AM$11:$AM316&lt;&gt;"")*($AS$11:$AS316&lt;&gt;"✓")),"")</f>
        <v/>
      </c>
      <c r="AZ316" s="21" t="str">
        <f>IF(AND($AM316&lt;&gt;"",$AS316="✓"),SUMPRODUCT(($AM$11:$AM316&lt;&gt;"")*($AS$11:$AS316="✓")),"")</f>
        <v/>
      </c>
      <c r="BA316" s="21" t="str">
        <f>IF($AL316="","",$AL316&amp;"|"&amp;COUNTIF($AL$11:$AL316,$AL316))</f>
        <v/>
      </c>
    </row>
    <row r="317" spans="2:53" ht="15" customHeight="1" x14ac:dyDescent="0.25">
      <c r="B317" s="5" t="str">
        <f t="shared" si="59"/>
        <v/>
      </c>
      <c r="C317" s="5"/>
      <c r="D317" s="5"/>
      <c r="E317" s="5"/>
      <c r="F317" s="6"/>
      <c r="G317" s="6"/>
      <c r="H317" s="7"/>
      <c r="I317" s="8"/>
      <c r="W317" s="14" t="str">
        <f>IF(X317="","",IFERROR(INDEX($AL$11:$AL$4010,MATCH(307,$AY$11:$AY$4010,0)),""))</f>
        <v/>
      </c>
      <c r="X317" s="12" t="str">
        <f>IFERROR(INDEX($AM$11:$AM$4010,MATCH(307,$AY$11:$AY$4010,0)),"")</f>
        <v/>
      </c>
      <c r="Y317" s="11" t="str">
        <f>IF(X317="","",IFERROR(INDEX($AN$11:$AN$4010,MATCH(307,$AY$11:$AY$4010,0)),""))</f>
        <v/>
      </c>
      <c r="Z317" s="11" t="str">
        <f>IF(X317="","",IFERROR(INDEX($AO$11:$AO$4010,MATCH(307,$AY$11:$AY$4010,0)),""))</f>
        <v/>
      </c>
      <c r="AA317" s="10" t="str">
        <f>IF(X317="","",IFERROR(INDEX($AQ$11:$AQ$4010,MATCH(307,$AY$11:$AY$4010,0)),""))</f>
        <v/>
      </c>
      <c r="AB317" s="15" t="str">
        <f>IF(X317="","",IFERROR(INDEX($AR$11:$AR$4010,MATCH(307,$AY$11:$AY$4010,0)),""))</f>
        <v/>
      </c>
      <c r="AD317" s="16" t="str">
        <f>IF(AE317="","",IFERROR(INDEX($AL$11:$AL$4010,MATCH(307,$AZ$11:$AZ$4010,0)),""))</f>
        <v/>
      </c>
      <c r="AE317" s="12" t="str">
        <f>IFERROR(INDEX($AM$11:$AM$4010,MATCH(307,$AZ$11:$AZ$4010,0)),"")</f>
        <v/>
      </c>
      <c r="AF317" s="11" t="str">
        <f>IF(AE317="","",IFERROR(INDEX($AN$11:$AN$4010,MATCH(307,$AZ$11:$AZ$4010,0)),""))</f>
        <v/>
      </c>
      <c r="AG317" s="11" t="str">
        <f>IF(AE317="","",IFERROR(INDEX($AO$11:$AO$4010,MATCH(307,$AZ$11:$AZ$4010,0)),""))</f>
        <v/>
      </c>
      <c r="AH317" s="10" t="str">
        <f>IF(AE317="","",IFERROR(INDEX($AQ$11:$AQ$4010,MATCH(307,$AZ$11:$AZ$4010,0)),""))</f>
        <v/>
      </c>
      <c r="AI317" s="15" t="str">
        <f>IF(AE317="","",IFERROR(INDEX($AR$11:$AR$4010,MATCH(307,$AZ$11:$AZ$4010,0)),""))</f>
        <v/>
      </c>
      <c r="AJ317" s="15" t="str">
        <f>IF(AE317="","",IFERROR(INDEX($AT$11:$AT$4010,MATCH(307,$AZ$11:$AZ$4010,0)),""))</f>
        <v/>
      </c>
      <c r="AL317" s="17" t="str">
        <f t="shared" si="63"/>
        <v/>
      </c>
      <c r="AM317" s="12" t="str">
        <f t="shared" si="64"/>
        <v/>
      </c>
      <c r="AN317" s="18" t="str">
        <f t="shared" si="65"/>
        <v/>
      </c>
      <c r="AO317" s="18" t="str">
        <f t="shared" si="66"/>
        <v/>
      </c>
      <c r="AP317" s="10" t="str">
        <f t="shared" si="67"/>
        <v/>
      </c>
      <c r="AQ317" s="10" t="str">
        <f t="shared" si="68"/>
        <v/>
      </c>
      <c r="AR317" s="19" t="str">
        <f t="shared" si="69"/>
        <v/>
      </c>
      <c r="AS317" s="20"/>
      <c r="AT317" s="19"/>
      <c r="AV317" s="21">
        <f>IF(AND($AL317&lt;&gt;"",COUNTIF($AL$11:$AL317,$AL317)=1),1,0)</f>
        <v>0</v>
      </c>
      <c r="AW317" s="21">
        <f t="shared" si="71"/>
        <v>2</v>
      </c>
      <c r="AX317" s="21" t="str">
        <f t="shared" si="70"/>
        <v/>
      </c>
      <c r="AY317" s="21" t="str">
        <f>IF(AND($AM317&lt;&gt;"",$AS317&lt;&gt;"✓"),SUMPRODUCT(($AM$11:$AM317&lt;&gt;"")*($AS$11:$AS317&lt;&gt;"✓")),"")</f>
        <v/>
      </c>
      <c r="AZ317" s="21" t="str">
        <f>IF(AND($AM317&lt;&gt;"",$AS317="✓"),SUMPRODUCT(($AM$11:$AM317&lt;&gt;"")*($AS$11:$AS317="✓")),"")</f>
        <v/>
      </c>
      <c r="BA317" s="21" t="str">
        <f>IF($AL317="","",$AL317&amp;"|"&amp;COUNTIF($AL$11:$AL317,$AL317))</f>
        <v/>
      </c>
    </row>
    <row r="318" spans="2:53" ht="15" customHeight="1" x14ac:dyDescent="0.25">
      <c r="B318" s="5" t="str">
        <f t="shared" si="59"/>
        <v/>
      </c>
      <c r="C318" s="5"/>
      <c r="D318" s="5"/>
      <c r="E318" s="5"/>
      <c r="F318" s="6"/>
      <c r="G318" s="6"/>
      <c r="H318" s="7"/>
      <c r="I318" s="8"/>
      <c r="W318" s="28" t="str">
        <f>IF(X318="","",IFERROR(INDEX($AL$11:$AL$4010,MATCH(308,$AY$11:$AY$4010,0)),""))</f>
        <v/>
      </c>
      <c r="X318" s="26" t="str">
        <f>IFERROR(INDEX($AM$11:$AM$4010,MATCH(308,$AY$11:$AY$4010,0)),"")</f>
        <v/>
      </c>
      <c r="Y318" s="25" t="str">
        <f>IF(X318="","",IFERROR(INDEX($AN$11:$AN$4010,MATCH(308,$AY$11:$AY$4010,0)),""))</f>
        <v/>
      </c>
      <c r="Z318" s="25" t="str">
        <f>IF(X318="","",IFERROR(INDEX($AO$11:$AO$4010,MATCH(308,$AY$11:$AY$4010,0)),""))</f>
        <v/>
      </c>
      <c r="AA318" s="24" t="str">
        <f>IF(X318="","",IFERROR(INDEX($AQ$11:$AQ$4010,MATCH(308,$AY$11:$AY$4010,0)),""))</f>
        <v/>
      </c>
      <c r="AB318" s="29" t="str">
        <f>IF(X318="","",IFERROR(INDEX($AR$11:$AR$4010,MATCH(308,$AY$11:$AY$4010,0)),""))</f>
        <v/>
      </c>
      <c r="AD318" s="30" t="str">
        <f>IF(AE318="","",IFERROR(INDEX($AL$11:$AL$4010,MATCH(308,$AZ$11:$AZ$4010,0)),""))</f>
        <v/>
      </c>
      <c r="AE318" s="26" t="str">
        <f>IFERROR(INDEX($AM$11:$AM$4010,MATCH(308,$AZ$11:$AZ$4010,0)),"")</f>
        <v/>
      </c>
      <c r="AF318" s="25" t="str">
        <f>IF(AE318="","",IFERROR(INDEX($AN$11:$AN$4010,MATCH(308,$AZ$11:$AZ$4010,0)),""))</f>
        <v/>
      </c>
      <c r="AG318" s="25" t="str">
        <f>IF(AE318="","",IFERROR(INDEX($AO$11:$AO$4010,MATCH(308,$AZ$11:$AZ$4010,0)),""))</f>
        <v/>
      </c>
      <c r="AH318" s="24" t="str">
        <f>IF(AE318="","",IFERROR(INDEX($AQ$11:$AQ$4010,MATCH(308,$AZ$11:$AZ$4010,0)),""))</f>
        <v/>
      </c>
      <c r="AI318" s="29" t="str">
        <f>IF(AE318="","",IFERROR(INDEX($AR$11:$AR$4010,MATCH(308,$AZ$11:$AZ$4010,0)),""))</f>
        <v/>
      </c>
      <c r="AJ318" s="29" t="str">
        <f>IF(AE318="","",IFERROR(INDEX($AT$11:$AT$4010,MATCH(308,$AZ$11:$AZ$4010,0)),""))</f>
        <v/>
      </c>
      <c r="AL318" s="31" t="str">
        <f t="shared" si="63"/>
        <v/>
      </c>
      <c r="AM318" s="26" t="str">
        <f t="shared" si="64"/>
        <v/>
      </c>
      <c r="AN318" s="32" t="str">
        <f t="shared" si="65"/>
        <v/>
      </c>
      <c r="AO318" s="32" t="str">
        <f t="shared" si="66"/>
        <v/>
      </c>
      <c r="AP318" s="24" t="str">
        <f t="shared" si="67"/>
        <v/>
      </c>
      <c r="AQ318" s="24" t="str">
        <f t="shared" si="68"/>
        <v/>
      </c>
      <c r="AR318" s="33" t="str">
        <f t="shared" si="69"/>
        <v/>
      </c>
      <c r="AS318" s="34"/>
      <c r="AT318" s="33"/>
      <c r="AV318" s="21">
        <f>IF(AND($AL318&lt;&gt;"",COUNTIF($AL$11:$AL318,$AL318)=1),1,0)</f>
        <v>0</v>
      </c>
      <c r="AW318" s="21">
        <f t="shared" si="71"/>
        <v>2</v>
      </c>
      <c r="AX318" s="21" t="str">
        <f t="shared" si="70"/>
        <v/>
      </c>
      <c r="AY318" s="21" t="str">
        <f>IF(AND($AM318&lt;&gt;"",$AS318&lt;&gt;"✓"),SUMPRODUCT(($AM$11:$AM318&lt;&gt;"")*($AS$11:$AS318&lt;&gt;"✓")),"")</f>
        <v/>
      </c>
      <c r="AZ318" s="21" t="str">
        <f>IF(AND($AM318&lt;&gt;"",$AS318="✓"),SUMPRODUCT(($AM$11:$AM318&lt;&gt;"")*($AS$11:$AS318="✓")),"")</f>
        <v/>
      </c>
      <c r="BA318" s="21" t="str">
        <f>IF($AL318="","",$AL318&amp;"|"&amp;COUNTIF($AL$11:$AL318,$AL318))</f>
        <v/>
      </c>
    </row>
    <row r="319" spans="2:53" ht="15" customHeight="1" x14ac:dyDescent="0.25">
      <c r="B319" s="5" t="str">
        <f t="shared" si="59"/>
        <v/>
      </c>
      <c r="C319" s="5"/>
      <c r="D319" s="5"/>
      <c r="E319" s="5"/>
      <c r="F319" s="6"/>
      <c r="G319" s="6"/>
      <c r="H319" s="7"/>
      <c r="I319" s="8"/>
      <c r="W319" s="14" t="str">
        <f>IF(X319="","",IFERROR(INDEX($AL$11:$AL$4010,MATCH(309,$AY$11:$AY$4010,0)),""))</f>
        <v/>
      </c>
      <c r="X319" s="12" t="str">
        <f>IFERROR(INDEX($AM$11:$AM$4010,MATCH(309,$AY$11:$AY$4010,0)),"")</f>
        <v/>
      </c>
      <c r="Y319" s="11" t="str">
        <f>IF(X319="","",IFERROR(INDEX($AN$11:$AN$4010,MATCH(309,$AY$11:$AY$4010,0)),""))</f>
        <v/>
      </c>
      <c r="Z319" s="11" t="str">
        <f>IF(X319="","",IFERROR(INDEX($AO$11:$AO$4010,MATCH(309,$AY$11:$AY$4010,0)),""))</f>
        <v/>
      </c>
      <c r="AA319" s="10" t="str">
        <f>IF(X319="","",IFERROR(INDEX($AQ$11:$AQ$4010,MATCH(309,$AY$11:$AY$4010,0)),""))</f>
        <v/>
      </c>
      <c r="AB319" s="15" t="str">
        <f>IF(X319="","",IFERROR(INDEX($AR$11:$AR$4010,MATCH(309,$AY$11:$AY$4010,0)),""))</f>
        <v/>
      </c>
      <c r="AD319" s="16" t="str">
        <f>IF(AE319="","",IFERROR(INDEX($AL$11:$AL$4010,MATCH(309,$AZ$11:$AZ$4010,0)),""))</f>
        <v/>
      </c>
      <c r="AE319" s="12" t="str">
        <f>IFERROR(INDEX($AM$11:$AM$4010,MATCH(309,$AZ$11:$AZ$4010,0)),"")</f>
        <v/>
      </c>
      <c r="AF319" s="11" t="str">
        <f>IF(AE319="","",IFERROR(INDEX($AN$11:$AN$4010,MATCH(309,$AZ$11:$AZ$4010,0)),""))</f>
        <v/>
      </c>
      <c r="AG319" s="11" t="str">
        <f>IF(AE319="","",IFERROR(INDEX($AO$11:$AO$4010,MATCH(309,$AZ$11:$AZ$4010,0)),""))</f>
        <v/>
      </c>
      <c r="AH319" s="10" t="str">
        <f>IF(AE319="","",IFERROR(INDEX($AQ$11:$AQ$4010,MATCH(309,$AZ$11:$AZ$4010,0)),""))</f>
        <v/>
      </c>
      <c r="AI319" s="15" t="str">
        <f>IF(AE319="","",IFERROR(INDEX($AR$11:$AR$4010,MATCH(309,$AZ$11:$AZ$4010,0)),""))</f>
        <v/>
      </c>
      <c r="AJ319" s="15" t="str">
        <f>IF(AE319="","",IFERROR(INDEX($AT$11:$AT$4010,MATCH(309,$AZ$11:$AZ$4010,0)),""))</f>
        <v/>
      </c>
      <c r="AL319" s="17" t="str">
        <f t="shared" si="63"/>
        <v/>
      </c>
      <c r="AM319" s="12" t="str">
        <f t="shared" si="64"/>
        <v/>
      </c>
      <c r="AN319" s="18" t="str">
        <f t="shared" si="65"/>
        <v/>
      </c>
      <c r="AO319" s="18" t="str">
        <f t="shared" si="66"/>
        <v/>
      </c>
      <c r="AP319" s="10" t="str">
        <f t="shared" si="67"/>
        <v/>
      </c>
      <c r="AQ319" s="10" t="str">
        <f t="shared" si="68"/>
        <v/>
      </c>
      <c r="AR319" s="19" t="str">
        <f t="shared" si="69"/>
        <v/>
      </c>
      <c r="AS319" s="20"/>
      <c r="AT319" s="19"/>
      <c r="AV319" s="21">
        <f>IF(AND($AL319&lt;&gt;"",COUNTIF($AL$11:$AL319,$AL319)=1),1,0)</f>
        <v>0</v>
      </c>
      <c r="AW319" s="21">
        <f t="shared" si="71"/>
        <v>2</v>
      </c>
      <c r="AX319" s="21" t="str">
        <f t="shared" si="70"/>
        <v/>
      </c>
      <c r="AY319" s="21" t="str">
        <f>IF(AND($AM319&lt;&gt;"",$AS319&lt;&gt;"✓"),SUMPRODUCT(($AM$11:$AM319&lt;&gt;"")*($AS$11:$AS319&lt;&gt;"✓")),"")</f>
        <v/>
      </c>
      <c r="AZ319" s="21" t="str">
        <f>IF(AND($AM319&lt;&gt;"",$AS319="✓"),SUMPRODUCT(($AM$11:$AM319&lt;&gt;"")*($AS$11:$AS319="✓")),"")</f>
        <v/>
      </c>
      <c r="BA319" s="21" t="str">
        <f>IF($AL319="","",$AL319&amp;"|"&amp;COUNTIF($AL$11:$AL319,$AL319))</f>
        <v/>
      </c>
    </row>
    <row r="320" spans="2:53" ht="15" customHeight="1" x14ac:dyDescent="0.25">
      <c r="B320" s="5" t="str">
        <f t="shared" si="59"/>
        <v/>
      </c>
      <c r="C320" s="5"/>
      <c r="D320" s="5"/>
      <c r="E320" s="5"/>
      <c r="F320" s="6"/>
      <c r="G320" s="6"/>
      <c r="H320" s="7"/>
      <c r="I320" s="8"/>
      <c r="W320" s="28" t="str">
        <f>IF(X320="","",IFERROR(INDEX($AL$11:$AL$4010,MATCH(310,$AY$11:$AY$4010,0)),""))</f>
        <v/>
      </c>
      <c r="X320" s="26" t="str">
        <f>IFERROR(INDEX($AM$11:$AM$4010,MATCH(310,$AY$11:$AY$4010,0)),"")</f>
        <v/>
      </c>
      <c r="Y320" s="25" t="str">
        <f>IF(X320="","",IFERROR(INDEX($AN$11:$AN$4010,MATCH(310,$AY$11:$AY$4010,0)),""))</f>
        <v/>
      </c>
      <c r="Z320" s="25" t="str">
        <f>IF(X320="","",IFERROR(INDEX($AO$11:$AO$4010,MATCH(310,$AY$11:$AY$4010,0)),""))</f>
        <v/>
      </c>
      <c r="AA320" s="24" t="str">
        <f>IF(X320="","",IFERROR(INDEX($AQ$11:$AQ$4010,MATCH(310,$AY$11:$AY$4010,0)),""))</f>
        <v/>
      </c>
      <c r="AB320" s="29" t="str">
        <f>IF(X320="","",IFERROR(INDEX($AR$11:$AR$4010,MATCH(310,$AY$11:$AY$4010,0)),""))</f>
        <v/>
      </c>
      <c r="AD320" s="30" t="str">
        <f>IF(AE320="","",IFERROR(INDEX($AL$11:$AL$4010,MATCH(310,$AZ$11:$AZ$4010,0)),""))</f>
        <v/>
      </c>
      <c r="AE320" s="26" t="str">
        <f>IFERROR(INDEX($AM$11:$AM$4010,MATCH(310,$AZ$11:$AZ$4010,0)),"")</f>
        <v/>
      </c>
      <c r="AF320" s="25" t="str">
        <f>IF(AE320="","",IFERROR(INDEX($AN$11:$AN$4010,MATCH(310,$AZ$11:$AZ$4010,0)),""))</f>
        <v/>
      </c>
      <c r="AG320" s="25" t="str">
        <f>IF(AE320="","",IFERROR(INDEX($AO$11:$AO$4010,MATCH(310,$AZ$11:$AZ$4010,0)),""))</f>
        <v/>
      </c>
      <c r="AH320" s="24" t="str">
        <f>IF(AE320="","",IFERROR(INDEX($AQ$11:$AQ$4010,MATCH(310,$AZ$11:$AZ$4010,0)),""))</f>
        <v/>
      </c>
      <c r="AI320" s="29" t="str">
        <f>IF(AE320="","",IFERROR(INDEX($AR$11:$AR$4010,MATCH(310,$AZ$11:$AZ$4010,0)),""))</f>
        <v/>
      </c>
      <c r="AJ320" s="29" t="str">
        <f>IF(AE320="","",IFERROR(INDEX($AT$11:$AT$4010,MATCH(310,$AZ$11:$AZ$4010,0)),""))</f>
        <v/>
      </c>
      <c r="AL320" s="31" t="str">
        <f t="shared" si="63"/>
        <v/>
      </c>
      <c r="AM320" s="26" t="str">
        <f t="shared" si="64"/>
        <v/>
      </c>
      <c r="AN320" s="32" t="str">
        <f t="shared" si="65"/>
        <v/>
      </c>
      <c r="AO320" s="32" t="str">
        <f t="shared" si="66"/>
        <v/>
      </c>
      <c r="AP320" s="24" t="str">
        <f t="shared" si="67"/>
        <v/>
      </c>
      <c r="AQ320" s="24" t="str">
        <f t="shared" si="68"/>
        <v/>
      </c>
      <c r="AR320" s="33" t="str">
        <f t="shared" si="69"/>
        <v/>
      </c>
      <c r="AS320" s="34"/>
      <c r="AT320" s="33"/>
      <c r="AV320" s="21">
        <f>IF(AND($AL320&lt;&gt;"",COUNTIF($AL$11:$AL320,$AL320)=1),1,0)</f>
        <v>0</v>
      </c>
      <c r="AW320" s="21">
        <f t="shared" si="71"/>
        <v>2</v>
      </c>
      <c r="AX320" s="21" t="str">
        <f t="shared" si="70"/>
        <v/>
      </c>
      <c r="AY320" s="21" t="str">
        <f>IF(AND($AM320&lt;&gt;"",$AS320&lt;&gt;"✓"),SUMPRODUCT(($AM$11:$AM320&lt;&gt;"")*($AS$11:$AS320&lt;&gt;"✓")),"")</f>
        <v/>
      </c>
      <c r="AZ320" s="21" t="str">
        <f>IF(AND($AM320&lt;&gt;"",$AS320="✓"),SUMPRODUCT(($AM$11:$AM320&lt;&gt;"")*($AS$11:$AS320="✓")),"")</f>
        <v/>
      </c>
      <c r="BA320" s="21" t="str">
        <f>IF($AL320="","",$AL320&amp;"|"&amp;COUNTIF($AL$11:$AL320,$AL320))</f>
        <v/>
      </c>
    </row>
    <row r="321" spans="2:53" ht="15" customHeight="1" x14ac:dyDescent="0.25">
      <c r="B321" s="5" t="str">
        <f t="shared" si="59"/>
        <v/>
      </c>
      <c r="C321" s="5"/>
      <c r="D321" s="5"/>
      <c r="E321" s="5"/>
      <c r="F321" s="6"/>
      <c r="G321" s="6"/>
      <c r="H321" s="7"/>
      <c r="I321" s="8"/>
      <c r="W321" s="14" t="str">
        <f>IF(X321="","",IFERROR(INDEX($AL$11:$AL$4010,MATCH(311,$AY$11:$AY$4010,0)),""))</f>
        <v/>
      </c>
      <c r="X321" s="12" t="str">
        <f>IFERROR(INDEX($AM$11:$AM$4010,MATCH(311,$AY$11:$AY$4010,0)),"")</f>
        <v/>
      </c>
      <c r="Y321" s="11" t="str">
        <f>IF(X321="","",IFERROR(INDEX($AN$11:$AN$4010,MATCH(311,$AY$11:$AY$4010,0)),""))</f>
        <v/>
      </c>
      <c r="Z321" s="11" t="str">
        <f>IF(X321="","",IFERROR(INDEX($AO$11:$AO$4010,MATCH(311,$AY$11:$AY$4010,0)),""))</f>
        <v/>
      </c>
      <c r="AA321" s="10" t="str">
        <f>IF(X321="","",IFERROR(INDEX($AQ$11:$AQ$4010,MATCH(311,$AY$11:$AY$4010,0)),""))</f>
        <v/>
      </c>
      <c r="AB321" s="15" t="str">
        <f>IF(X321="","",IFERROR(INDEX($AR$11:$AR$4010,MATCH(311,$AY$11:$AY$4010,0)),""))</f>
        <v/>
      </c>
      <c r="AD321" s="16" t="str">
        <f>IF(AE321="","",IFERROR(INDEX($AL$11:$AL$4010,MATCH(311,$AZ$11:$AZ$4010,0)),""))</f>
        <v/>
      </c>
      <c r="AE321" s="12" t="str">
        <f>IFERROR(INDEX($AM$11:$AM$4010,MATCH(311,$AZ$11:$AZ$4010,0)),"")</f>
        <v/>
      </c>
      <c r="AF321" s="11" t="str">
        <f>IF(AE321="","",IFERROR(INDEX($AN$11:$AN$4010,MATCH(311,$AZ$11:$AZ$4010,0)),""))</f>
        <v/>
      </c>
      <c r="AG321" s="11" t="str">
        <f>IF(AE321="","",IFERROR(INDEX($AO$11:$AO$4010,MATCH(311,$AZ$11:$AZ$4010,0)),""))</f>
        <v/>
      </c>
      <c r="AH321" s="10" t="str">
        <f>IF(AE321="","",IFERROR(INDEX($AQ$11:$AQ$4010,MATCH(311,$AZ$11:$AZ$4010,0)),""))</f>
        <v/>
      </c>
      <c r="AI321" s="15" t="str">
        <f>IF(AE321="","",IFERROR(INDEX($AR$11:$AR$4010,MATCH(311,$AZ$11:$AZ$4010,0)),""))</f>
        <v/>
      </c>
      <c r="AJ321" s="15" t="str">
        <f>IF(AE321="","",IFERROR(INDEX($AT$11:$AT$4010,MATCH(311,$AZ$11:$AZ$4010,0)),""))</f>
        <v/>
      </c>
      <c r="AL321" s="17" t="str">
        <f t="shared" si="63"/>
        <v/>
      </c>
      <c r="AM321" s="12" t="str">
        <f t="shared" si="64"/>
        <v/>
      </c>
      <c r="AN321" s="18" t="str">
        <f t="shared" si="65"/>
        <v/>
      </c>
      <c r="AO321" s="18" t="str">
        <f t="shared" si="66"/>
        <v/>
      </c>
      <c r="AP321" s="10" t="str">
        <f t="shared" si="67"/>
        <v/>
      </c>
      <c r="AQ321" s="10" t="str">
        <f t="shared" si="68"/>
        <v/>
      </c>
      <c r="AR321" s="19" t="str">
        <f t="shared" si="69"/>
        <v/>
      </c>
      <c r="AS321" s="20"/>
      <c r="AT321" s="19"/>
      <c r="AV321" s="21">
        <f>IF(AND($AL321&lt;&gt;"",COUNTIF($AL$11:$AL321,$AL321)=1),1,0)</f>
        <v>0</v>
      </c>
      <c r="AW321" s="21">
        <f t="shared" si="71"/>
        <v>2</v>
      </c>
      <c r="AX321" s="21" t="str">
        <f t="shared" si="70"/>
        <v/>
      </c>
      <c r="AY321" s="21" t="str">
        <f>IF(AND($AM321&lt;&gt;"",$AS321&lt;&gt;"✓"),SUMPRODUCT(($AM$11:$AM321&lt;&gt;"")*($AS$11:$AS321&lt;&gt;"✓")),"")</f>
        <v/>
      </c>
      <c r="AZ321" s="21" t="str">
        <f>IF(AND($AM321&lt;&gt;"",$AS321="✓"),SUMPRODUCT(($AM$11:$AM321&lt;&gt;"")*($AS$11:$AS321="✓")),"")</f>
        <v/>
      </c>
      <c r="BA321" s="21" t="str">
        <f>IF($AL321="","",$AL321&amp;"|"&amp;COUNTIF($AL$11:$AL321,$AL321))</f>
        <v/>
      </c>
    </row>
    <row r="322" spans="2:53" ht="15" customHeight="1" x14ac:dyDescent="0.25">
      <c r="B322" s="5" t="str">
        <f t="shared" si="59"/>
        <v/>
      </c>
      <c r="C322" s="5"/>
      <c r="D322" s="5"/>
      <c r="E322" s="5"/>
      <c r="F322" s="6"/>
      <c r="G322" s="6"/>
      <c r="H322" s="7"/>
      <c r="I322" s="8"/>
      <c r="W322" s="28" t="str">
        <f>IF(X322="","",IFERROR(INDEX($AL$11:$AL$4010,MATCH(312,$AY$11:$AY$4010,0)),""))</f>
        <v/>
      </c>
      <c r="X322" s="26" t="str">
        <f>IFERROR(INDEX($AM$11:$AM$4010,MATCH(312,$AY$11:$AY$4010,0)),"")</f>
        <v/>
      </c>
      <c r="Y322" s="25" t="str">
        <f>IF(X322="","",IFERROR(INDEX($AN$11:$AN$4010,MATCH(312,$AY$11:$AY$4010,0)),""))</f>
        <v/>
      </c>
      <c r="Z322" s="25" t="str">
        <f>IF(X322="","",IFERROR(INDEX($AO$11:$AO$4010,MATCH(312,$AY$11:$AY$4010,0)),""))</f>
        <v/>
      </c>
      <c r="AA322" s="24" t="str">
        <f>IF(X322="","",IFERROR(INDEX($AQ$11:$AQ$4010,MATCH(312,$AY$11:$AY$4010,0)),""))</f>
        <v/>
      </c>
      <c r="AB322" s="29" t="str">
        <f>IF(X322="","",IFERROR(INDEX($AR$11:$AR$4010,MATCH(312,$AY$11:$AY$4010,0)),""))</f>
        <v/>
      </c>
      <c r="AD322" s="30" t="str">
        <f>IF(AE322="","",IFERROR(INDEX($AL$11:$AL$4010,MATCH(312,$AZ$11:$AZ$4010,0)),""))</f>
        <v/>
      </c>
      <c r="AE322" s="26" t="str">
        <f>IFERROR(INDEX($AM$11:$AM$4010,MATCH(312,$AZ$11:$AZ$4010,0)),"")</f>
        <v/>
      </c>
      <c r="AF322" s="25" t="str">
        <f>IF(AE322="","",IFERROR(INDEX($AN$11:$AN$4010,MATCH(312,$AZ$11:$AZ$4010,0)),""))</f>
        <v/>
      </c>
      <c r="AG322" s="25" t="str">
        <f>IF(AE322="","",IFERROR(INDEX($AO$11:$AO$4010,MATCH(312,$AZ$11:$AZ$4010,0)),""))</f>
        <v/>
      </c>
      <c r="AH322" s="24" t="str">
        <f>IF(AE322="","",IFERROR(INDEX($AQ$11:$AQ$4010,MATCH(312,$AZ$11:$AZ$4010,0)),""))</f>
        <v/>
      </c>
      <c r="AI322" s="29" t="str">
        <f>IF(AE322="","",IFERROR(INDEX($AR$11:$AR$4010,MATCH(312,$AZ$11:$AZ$4010,0)),""))</f>
        <v/>
      </c>
      <c r="AJ322" s="29" t="str">
        <f>IF(AE322="","",IFERROR(INDEX($AT$11:$AT$4010,MATCH(312,$AZ$11:$AZ$4010,0)),""))</f>
        <v/>
      </c>
      <c r="AL322" s="31" t="str">
        <f t="shared" si="63"/>
        <v/>
      </c>
      <c r="AM322" s="26" t="str">
        <f t="shared" si="64"/>
        <v/>
      </c>
      <c r="AN322" s="32" t="str">
        <f t="shared" si="65"/>
        <v/>
      </c>
      <c r="AO322" s="32" t="str">
        <f t="shared" si="66"/>
        <v/>
      </c>
      <c r="AP322" s="24" t="str">
        <f t="shared" si="67"/>
        <v/>
      </c>
      <c r="AQ322" s="24" t="str">
        <f t="shared" si="68"/>
        <v/>
      </c>
      <c r="AR322" s="33" t="str">
        <f t="shared" si="69"/>
        <v/>
      </c>
      <c r="AS322" s="34"/>
      <c r="AT322" s="33"/>
      <c r="AV322" s="21">
        <f>IF(AND($AL322&lt;&gt;"",COUNTIF($AL$11:$AL322,$AL322)=1),1,0)</f>
        <v>0</v>
      </c>
      <c r="AW322" s="21">
        <f t="shared" si="71"/>
        <v>2</v>
      </c>
      <c r="AX322" s="21" t="str">
        <f t="shared" si="70"/>
        <v/>
      </c>
      <c r="AY322" s="21" t="str">
        <f>IF(AND($AM322&lt;&gt;"",$AS322&lt;&gt;"✓"),SUMPRODUCT(($AM$11:$AM322&lt;&gt;"")*($AS$11:$AS322&lt;&gt;"✓")),"")</f>
        <v/>
      </c>
      <c r="AZ322" s="21" t="str">
        <f>IF(AND($AM322&lt;&gt;"",$AS322="✓"),SUMPRODUCT(($AM$11:$AM322&lt;&gt;"")*($AS$11:$AS322="✓")),"")</f>
        <v/>
      </c>
      <c r="BA322" s="21" t="str">
        <f>IF($AL322="","",$AL322&amp;"|"&amp;COUNTIF($AL$11:$AL322,$AL322))</f>
        <v/>
      </c>
    </row>
    <row r="323" spans="2:53" ht="15" customHeight="1" x14ac:dyDescent="0.25">
      <c r="B323" s="5" t="str">
        <f t="shared" si="59"/>
        <v/>
      </c>
      <c r="C323" s="5"/>
      <c r="D323" s="5"/>
      <c r="E323" s="5"/>
      <c r="F323" s="6"/>
      <c r="G323" s="6"/>
      <c r="H323" s="7"/>
      <c r="I323" s="8"/>
      <c r="W323" s="14" t="str">
        <f>IF(X323="","",IFERROR(INDEX($AL$11:$AL$4010,MATCH(313,$AY$11:$AY$4010,0)),""))</f>
        <v/>
      </c>
      <c r="X323" s="12" t="str">
        <f>IFERROR(INDEX($AM$11:$AM$4010,MATCH(313,$AY$11:$AY$4010,0)),"")</f>
        <v/>
      </c>
      <c r="Y323" s="11" t="str">
        <f>IF(X323="","",IFERROR(INDEX($AN$11:$AN$4010,MATCH(313,$AY$11:$AY$4010,0)),""))</f>
        <v/>
      </c>
      <c r="Z323" s="11" t="str">
        <f>IF(X323="","",IFERROR(INDEX($AO$11:$AO$4010,MATCH(313,$AY$11:$AY$4010,0)),""))</f>
        <v/>
      </c>
      <c r="AA323" s="10" t="str">
        <f>IF(X323="","",IFERROR(INDEX($AQ$11:$AQ$4010,MATCH(313,$AY$11:$AY$4010,0)),""))</f>
        <v/>
      </c>
      <c r="AB323" s="15" t="str">
        <f>IF(X323="","",IFERROR(INDEX($AR$11:$AR$4010,MATCH(313,$AY$11:$AY$4010,0)),""))</f>
        <v/>
      </c>
      <c r="AD323" s="16" t="str">
        <f>IF(AE323="","",IFERROR(INDEX($AL$11:$AL$4010,MATCH(313,$AZ$11:$AZ$4010,0)),""))</f>
        <v/>
      </c>
      <c r="AE323" s="12" t="str">
        <f>IFERROR(INDEX($AM$11:$AM$4010,MATCH(313,$AZ$11:$AZ$4010,0)),"")</f>
        <v/>
      </c>
      <c r="AF323" s="11" t="str">
        <f>IF(AE323="","",IFERROR(INDEX($AN$11:$AN$4010,MATCH(313,$AZ$11:$AZ$4010,0)),""))</f>
        <v/>
      </c>
      <c r="AG323" s="11" t="str">
        <f>IF(AE323="","",IFERROR(INDEX($AO$11:$AO$4010,MATCH(313,$AZ$11:$AZ$4010,0)),""))</f>
        <v/>
      </c>
      <c r="AH323" s="10" t="str">
        <f>IF(AE323="","",IFERROR(INDEX($AQ$11:$AQ$4010,MATCH(313,$AZ$11:$AZ$4010,0)),""))</f>
        <v/>
      </c>
      <c r="AI323" s="15" t="str">
        <f>IF(AE323="","",IFERROR(INDEX($AR$11:$AR$4010,MATCH(313,$AZ$11:$AZ$4010,0)),""))</f>
        <v/>
      </c>
      <c r="AJ323" s="15" t="str">
        <f>IF(AE323="","",IFERROR(INDEX($AT$11:$AT$4010,MATCH(313,$AZ$11:$AZ$4010,0)),""))</f>
        <v/>
      </c>
      <c r="AL323" s="17" t="str">
        <f t="shared" si="63"/>
        <v/>
      </c>
      <c r="AM323" s="12" t="str">
        <f t="shared" si="64"/>
        <v/>
      </c>
      <c r="AN323" s="18" t="str">
        <f t="shared" si="65"/>
        <v/>
      </c>
      <c r="AO323" s="18" t="str">
        <f t="shared" si="66"/>
        <v/>
      </c>
      <c r="AP323" s="10" t="str">
        <f t="shared" si="67"/>
        <v/>
      </c>
      <c r="AQ323" s="10" t="str">
        <f t="shared" si="68"/>
        <v/>
      </c>
      <c r="AR323" s="19" t="str">
        <f t="shared" si="69"/>
        <v/>
      </c>
      <c r="AS323" s="20"/>
      <c r="AT323" s="19"/>
      <c r="AV323" s="21">
        <f>IF(AND($AL323&lt;&gt;"",COUNTIF($AL$11:$AL323,$AL323)=1),1,0)</f>
        <v>0</v>
      </c>
      <c r="AW323" s="21">
        <f t="shared" si="71"/>
        <v>2</v>
      </c>
      <c r="AX323" s="21" t="str">
        <f t="shared" si="70"/>
        <v/>
      </c>
      <c r="AY323" s="21" t="str">
        <f>IF(AND($AM323&lt;&gt;"",$AS323&lt;&gt;"✓"),SUMPRODUCT(($AM$11:$AM323&lt;&gt;"")*($AS$11:$AS323&lt;&gt;"✓")),"")</f>
        <v/>
      </c>
      <c r="AZ323" s="21" t="str">
        <f>IF(AND($AM323&lt;&gt;"",$AS323="✓"),SUMPRODUCT(($AM$11:$AM323&lt;&gt;"")*($AS$11:$AS323="✓")),"")</f>
        <v/>
      </c>
      <c r="BA323" s="21" t="str">
        <f>IF($AL323="","",$AL323&amp;"|"&amp;COUNTIF($AL$11:$AL323,$AL323))</f>
        <v/>
      </c>
    </row>
    <row r="324" spans="2:53" ht="15" customHeight="1" x14ac:dyDescent="0.25">
      <c r="B324" s="5" t="str">
        <f t="shared" si="59"/>
        <v/>
      </c>
      <c r="C324" s="5"/>
      <c r="D324" s="5"/>
      <c r="E324" s="5"/>
      <c r="F324" s="6"/>
      <c r="G324" s="6"/>
      <c r="H324" s="7"/>
      <c r="I324" s="8"/>
      <c r="W324" s="28" t="str">
        <f>IF(X324="","",IFERROR(INDEX($AL$11:$AL$4010,MATCH(314,$AY$11:$AY$4010,0)),""))</f>
        <v/>
      </c>
      <c r="X324" s="26" t="str">
        <f>IFERROR(INDEX($AM$11:$AM$4010,MATCH(314,$AY$11:$AY$4010,0)),"")</f>
        <v/>
      </c>
      <c r="Y324" s="25" t="str">
        <f>IF(X324="","",IFERROR(INDEX($AN$11:$AN$4010,MATCH(314,$AY$11:$AY$4010,0)),""))</f>
        <v/>
      </c>
      <c r="Z324" s="25" t="str">
        <f>IF(X324="","",IFERROR(INDEX($AO$11:$AO$4010,MATCH(314,$AY$11:$AY$4010,0)),""))</f>
        <v/>
      </c>
      <c r="AA324" s="24" t="str">
        <f>IF(X324="","",IFERROR(INDEX($AQ$11:$AQ$4010,MATCH(314,$AY$11:$AY$4010,0)),""))</f>
        <v/>
      </c>
      <c r="AB324" s="29" t="str">
        <f>IF(X324="","",IFERROR(INDEX($AR$11:$AR$4010,MATCH(314,$AY$11:$AY$4010,0)),""))</f>
        <v/>
      </c>
      <c r="AD324" s="30" t="str">
        <f>IF(AE324="","",IFERROR(INDEX($AL$11:$AL$4010,MATCH(314,$AZ$11:$AZ$4010,0)),""))</f>
        <v/>
      </c>
      <c r="AE324" s="26" t="str">
        <f>IFERROR(INDEX($AM$11:$AM$4010,MATCH(314,$AZ$11:$AZ$4010,0)),"")</f>
        <v/>
      </c>
      <c r="AF324" s="25" t="str">
        <f>IF(AE324="","",IFERROR(INDEX($AN$11:$AN$4010,MATCH(314,$AZ$11:$AZ$4010,0)),""))</f>
        <v/>
      </c>
      <c r="AG324" s="25" t="str">
        <f>IF(AE324="","",IFERROR(INDEX($AO$11:$AO$4010,MATCH(314,$AZ$11:$AZ$4010,0)),""))</f>
        <v/>
      </c>
      <c r="AH324" s="24" t="str">
        <f>IF(AE324="","",IFERROR(INDEX($AQ$11:$AQ$4010,MATCH(314,$AZ$11:$AZ$4010,0)),""))</f>
        <v/>
      </c>
      <c r="AI324" s="29" t="str">
        <f>IF(AE324="","",IFERROR(INDEX($AR$11:$AR$4010,MATCH(314,$AZ$11:$AZ$4010,0)),""))</f>
        <v/>
      </c>
      <c r="AJ324" s="29" t="str">
        <f>IF(AE324="","",IFERROR(INDEX($AT$11:$AT$4010,MATCH(314,$AZ$11:$AZ$4010,0)),""))</f>
        <v/>
      </c>
      <c r="AL324" s="31" t="str">
        <f t="shared" si="63"/>
        <v/>
      </c>
      <c r="AM324" s="26" t="str">
        <f t="shared" si="64"/>
        <v/>
      </c>
      <c r="AN324" s="32" t="str">
        <f t="shared" si="65"/>
        <v/>
      </c>
      <c r="AO324" s="32" t="str">
        <f t="shared" si="66"/>
        <v/>
      </c>
      <c r="AP324" s="24" t="str">
        <f t="shared" si="67"/>
        <v/>
      </c>
      <c r="AQ324" s="24" t="str">
        <f t="shared" si="68"/>
        <v/>
      </c>
      <c r="AR324" s="33" t="str">
        <f t="shared" si="69"/>
        <v/>
      </c>
      <c r="AS324" s="34"/>
      <c r="AT324" s="33"/>
      <c r="AV324" s="21">
        <f>IF(AND($AL324&lt;&gt;"",COUNTIF($AL$11:$AL324,$AL324)=1),1,0)</f>
        <v>0</v>
      </c>
      <c r="AW324" s="21">
        <f t="shared" si="71"/>
        <v>2</v>
      </c>
      <c r="AX324" s="21" t="str">
        <f t="shared" si="70"/>
        <v/>
      </c>
      <c r="AY324" s="21" t="str">
        <f>IF(AND($AM324&lt;&gt;"",$AS324&lt;&gt;"✓"),SUMPRODUCT(($AM$11:$AM324&lt;&gt;"")*($AS$11:$AS324&lt;&gt;"✓")),"")</f>
        <v/>
      </c>
      <c r="AZ324" s="21" t="str">
        <f>IF(AND($AM324&lt;&gt;"",$AS324="✓"),SUMPRODUCT(($AM$11:$AM324&lt;&gt;"")*($AS$11:$AS324="✓")),"")</f>
        <v/>
      </c>
      <c r="BA324" s="21" t="str">
        <f>IF($AL324="","",$AL324&amp;"|"&amp;COUNTIF($AL$11:$AL324,$AL324))</f>
        <v/>
      </c>
    </row>
    <row r="325" spans="2:53" ht="15" customHeight="1" x14ac:dyDescent="0.25">
      <c r="B325" s="5" t="str">
        <f t="shared" si="59"/>
        <v/>
      </c>
      <c r="C325" s="5"/>
      <c r="D325" s="5"/>
      <c r="E325" s="5"/>
      <c r="F325" s="6"/>
      <c r="G325" s="6"/>
      <c r="H325" s="7"/>
      <c r="I325" s="8"/>
      <c r="W325" s="14" t="str">
        <f>IF(X325="","",IFERROR(INDEX($AL$11:$AL$4010,MATCH(315,$AY$11:$AY$4010,0)),""))</f>
        <v/>
      </c>
      <c r="X325" s="12" t="str">
        <f>IFERROR(INDEX($AM$11:$AM$4010,MATCH(315,$AY$11:$AY$4010,0)),"")</f>
        <v/>
      </c>
      <c r="Y325" s="11" t="str">
        <f>IF(X325="","",IFERROR(INDEX($AN$11:$AN$4010,MATCH(315,$AY$11:$AY$4010,0)),""))</f>
        <v/>
      </c>
      <c r="Z325" s="11" t="str">
        <f>IF(X325="","",IFERROR(INDEX($AO$11:$AO$4010,MATCH(315,$AY$11:$AY$4010,0)),""))</f>
        <v/>
      </c>
      <c r="AA325" s="10" t="str">
        <f>IF(X325="","",IFERROR(INDEX($AQ$11:$AQ$4010,MATCH(315,$AY$11:$AY$4010,0)),""))</f>
        <v/>
      </c>
      <c r="AB325" s="15" t="str">
        <f>IF(X325="","",IFERROR(INDEX($AR$11:$AR$4010,MATCH(315,$AY$11:$AY$4010,0)),""))</f>
        <v/>
      </c>
      <c r="AD325" s="16" t="str">
        <f>IF(AE325="","",IFERROR(INDEX($AL$11:$AL$4010,MATCH(315,$AZ$11:$AZ$4010,0)),""))</f>
        <v/>
      </c>
      <c r="AE325" s="12" t="str">
        <f>IFERROR(INDEX($AM$11:$AM$4010,MATCH(315,$AZ$11:$AZ$4010,0)),"")</f>
        <v/>
      </c>
      <c r="AF325" s="11" t="str">
        <f>IF(AE325="","",IFERROR(INDEX($AN$11:$AN$4010,MATCH(315,$AZ$11:$AZ$4010,0)),""))</f>
        <v/>
      </c>
      <c r="AG325" s="11" t="str">
        <f>IF(AE325="","",IFERROR(INDEX($AO$11:$AO$4010,MATCH(315,$AZ$11:$AZ$4010,0)),""))</f>
        <v/>
      </c>
      <c r="AH325" s="10" t="str">
        <f>IF(AE325="","",IFERROR(INDEX($AQ$11:$AQ$4010,MATCH(315,$AZ$11:$AZ$4010,0)),""))</f>
        <v/>
      </c>
      <c r="AI325" s="15" t="str">
        <f>IF(AE325="","",IFERROR(INDEX($AR$11:$AR$4010,MATCH(315,$AZ$11:$AZ$4010,0)),""))</f>
        <v/>
      </c>
      <c r="AJ325" s="15" t="str">
        <f>IF(AE325="","",IFERROR(INDEX($AT$11:$AT$4010,MATCH(315,$AZ$11:$AZ$4010,0)),""))</f>
        <v/>
      </c>
      <c r="AL325" s="17" t="str">
        <f t="shared" si="63"/>
        <v/>
      </c>
      <c r="AM325" s="12" t="str">
        <f t="shared" si="64"/>
        <v/>
      </c>
      <c r="AN325" s="18" t="str">
        <f t="shared" si="65"/>
        <v/>
      </c>
      <c r="AO325" s="18" t="str">
        <f t="shared" si="66"/>
        <v/>
      </c>
      <c r="AP325" s="10" t="str">
        <f t="shared" si="67"/>
        <v/>
      </c>
      <c r="AQ325" s="10" t="str">
        <f t="shared" si="68"/>
        <v/>
      </c>
      <c r="AR325" s="19" t="str">
        <f t="shared" si="69"/>
        <v/>
      </c>
      <c r="AS325" s="20"/>
      <c r="AT325" s="19"/>
      <c r="AV325" s="21">
        <f>IF(AND($AL325&lt;&gt;"",COUNTIF($AL$11:$AL325,$AL325)=1),1,0)</f>
        <v>0</v>
      </c>
      <c r="AW325" s="21">
        <f t="shared" si="71"/>
        <v>2</v>
      </c>
      <c r="AX325" s="21" t="str">
        <f t="shared" si="70"/>
        <v/>
      </c>
      <c r="AY325" s="21" t="str">
        <f>IF(AND($AM325&lt;&gt;"",$AS325&lt;&gt;"✓"),SUMPRODUCT(($AM$11:$AM325&lt;&gt;"")*($AS$11:$AS325&lt;&gt;"✓")),"")</f>
        <v/>
      </c>
      <c r="AZ325" s="21" t="str">
        <f>IF(AND($AM325&lt;&gt;"",$AS325="✓"),SUMPRODUCT(($AM$11:$AM325&lt;&gt;"")*($AS$11:$AS325="✓")),"")</f>
        <v/>
      </c>
      <c r="BA325" s="21" t="str">
        <f>IF($AL325="","",$AL325&amp;"|"&amp;COUNTIF($AL$11:$AL325,$AL325))</f>
        <v/>
      </c>
    </row>
    <row r="326" spans="2:53" ht="15" customHeight="1" x14ac:dyDescent="0.25">
      <c r="B326" s="5" t="str">
        <f t="shared" si="59"/>
        <v/>
      </c>
      <c r="C326" s="5"/>
      <c r="D326" s="5"/>
      <c r="E326" s="5"/>
      <c r="F326" s="6"/>
      <c r="G326" s="6"/>
      <c r="H326" s="7"/>
      <c r="I326" s="8"/>
      <c r="W326" s="28" t="str">
        <f>IF(X326="","",IFERROR(INDEX($AL$11:$AL$4010,MATCH(316,$AY$11:$AY$4010,0)),""))</f>
        <v/>
      </c>
      <c r="X326" s="26" t="str">
        <f>IFERROR(INDEX($AM$11:$AM$4010,MATCH(316,$AY$11:$AY$4010,0)),"")</f>
        <v/>
      </c>
      <c r="Y326" s="25" t="str">
        <f>IF(X326="","",IFERROR(INDEX($AN$11:$AN$4010,MATCH(316,$AY$11:$AY$4010,0)),""))</f>
        <v/>
      </c>
      <c r="Z326" s="25" t="str">
        <f>IF(X326="","",IFERROR(INDEX($AO$11:$AO$4010,MATCH(316,$AY$11:$AY$4010,0)),""))</f>
        <v/>
      </c>
      <c r="AA326" s="24" t="str">
        <f>IF(X326="","",IFERROR(INDEX($AQ$11:$AQ$4010,MATCH(316,$AY$11:$AY$4010,0)),""))</f>
        <v/>
      </c>
      <c r="AB326" s="29" t="str">
        <f>IF(X326="","",IFERROR(INDEX($AR$11:$AR$4010,MATCH(316,$AY$11:$AY$4010,0)),""))</f>
        <v/>
      </c>
      <c r="AD326" s="30" t="str">
        <f>IF(AE326="","",IFERROR(INDEX($AL$11:$AL$4010,MATCH(316,$AZ$11:$AZ$4010,0)),""))</f>
        <v/>
      </c>
      <c r="AE326" s="26" t="str">
        <f>IFERROR(INDEX($AM$11:$AM$4010,MATCH(316,$AZ$11:$AZ$4010,0)),"")</f>
        <v/>
      </c>
      <c r="AF326" s="25" t="str">
        <f>IF(AE326="","",IFERROR(INDEX($AN$11:$AN$4010,MATCH(316,$AZ$11:$AZ$4010,0)),""))</f>
        <v/>
      </c>
      <c r="AG326" s="25" t="str">
        <f>IF(AE326="","",IFERROR(INDEX($AO$11:$AO$4010,MATCH(316,$AZ$11:$AZ$4010,0)),""))</f>
        <v/>
      </c>
      <c r="AH326" s="24" t="str">
        <f>IF(AE326="","",IFERROR(INDEX($AQ$11:$AQ$4010,MATCH(316,$AZ$11:$AZ$4010,0)),""))</f>
        <v/>
      </c>
      <c r="AI326" s="29" t="str">
        <f>IF(AE326="","",IFERROR(INDEX($AR$11:$AR$4010,MATCH(316,$AZ$11:$AZ$4010,0)),""))</f>
        <v/>
      </c>
      <c r="AJ326" s="29" t="str">
        <f>IF(AE326="","",IFERROR(INDEX($AT$11:$AT$4010,MATCH(316,$AZ$11:$AZ$4010,0)),""))</f>
        <v/>
      </c>
      <c r="AL326" s="31" t="str">
        <f t="shared" si="63"/>
        <v/>
      </c>
      <c r="AM326" s="26" t="str">
        <f t="shared" si="64"/>
        <v/>
      </c>
      <c r="AN326" s="32" t="str">
        <f t="shared" si="65"/>
        <v/>
      </c>
      <c r="AO326" s="32" t="str">
        <f t="shared" si="66"/>
        <v/>
      </c>
      <c r="AP326" s="24" t="str">
        <f t="shared" si="67"/>
        <v/>
      </c>
      <c r="AQ326" s="24" t="str">
        <f t="shared" si="68"/>
        <v/>
      </c>
      <c r="AR326" s="33" t="str">
        <f t="shared" si="69"/>
        <v/>
      </c>
      <c r="AS326" s="34"/>
      <c r="AT326" s="33"/>
      <c r="AV326" s="21">
        <f>IF(AND($AL326&lt;&gt;"",COUNTIF($AL$11:$AL326,$AL326)=1),1,0)</f>
        <v>0</v>
      </c>
      <c r="AW326" s="21">
        <f t="shared" si="71"/>
        <v>2</v>
      </c>
      <c r="AX326" s="21" t="str">
        <f t="shared" si="70"/>
        <v/>
      </c>
      <c r="AY326" s="21" t="str">
        <f>IF(AND($AM326&lt;&gt;"",$AS326&lt;&gt;"✓"),SUMPRODUCT(($AM$11:$AM326&lt;&gt;"")*($AS$11:$AS326&lt;&gt;"✓")),"")</f>
        <v/>
      </c>
      <c r="AZ326" s="21" t="str">
        <f>IF(AND($AM326&lt;&gt;"",$AS326="✓"),SUMPRODUCT(($AM$11:$AM326&lt;&gt;"")*($AS$11:$AS326="✓")),"")</f>
        <v/>
      </c>
      <c r="BA326" s="21" t="str">
        <f>IF($AL326="","",$AL326&amp;"|"&amp;COUNTIF($AL$11:$AL326,$AL326))</f>
        <v/>
      </c>
    </row>
    <row r="327" spans="2:53" ht="15" customHeight="1" x14ac:dyDescent="0.25">
      <c r="B327" s="5" t="str">
        <f t="shared" si="59"/>
        <v/>
      </c>
      <c r="C327" s="5"/>
      <c r="D327" s="5"/>
      <c r="E327" s="5"/>
      <c r="F327" s="6"/>
      <c r="G327" s="6"/>
      <c r="H327" s="7"/>
      <c r="I327" s="8"/>
      <c r="W327" s="14" t="str">
        <f>IF(X327="","",IFERROR(INDEX($AL$11:$AL$4010,MATCH(317,$AY$11:$AY$4010,0)),""))</f>
        <v/>
      </c>
      <c r="X327" s="12" t="str">
        <f>IFERROR(INDEX($AM$11:$AM$4010,MATCH(317,$AY$11:$AY$4010,0)),"")</f>
        <v/>
      </c>
      <c r="Y327" s="11" t="str">
        <f>IF(X327="","",IFERROR(INDEX($AN$11:$AN$4010,MATCH(317,$AY$11:$AY$4010,0)),""))</f>
        <v/>
      </c>
      <c r="Z327" s="11" t="str">
        <f>IF(X327="","",IFERROR(INDEX($AO$11:$AO$4010,MATCH(317,$AY$11:$AY$4010,0)),""))</f>
        <v/>
      </c>
      <c r="AA327" s="10" t="str">
        <f>IF(X327="","",IFERROR(INDEX($AQ$11:$AQ$4010,MATCH(317,$AY$11:$AY$4010,0)),""))</f>
        <v/>
      </c>
      <c r="AB327" s="15" t="str">
        <f>IF(X327="","",IFERROR(INDEX($AR$11:$AR$4010,MATCH(317,$AY$11:$AY$4010,0)),""))</f>
        <v/>
      </c>
      <c r="AD327" s="16" t="str">
        <f>IF(AE327="","",IFERROR(INDEX($AL$11:$AL$4010,MATCH(317,$AZ$11:$AZ$4010,0)),""))</f>
        <v/>
      </c>
      <c r="AE327" s="12" t="str">
        <f>IFERROR(INDEX($AM$11:$AM$4010,MATCH(317,$AZ$11:$AZ$4010,0)),"")</f>
        <v/>
      </c>
      <c r="AF327" s="11" t="str">
        <f>IF(AE327="","",IFERROR(INDEX($AN$11:$AN$4010,MATCH(317,$AZ$11:$AZ$4010,0)),""))</f>
        <v/>
      </c>
      <c r="AG327" s="11" t="str">
        <f>IF(AE327="","",IFERROR(INDEX($AO$11:$AO$4010,MATCH(317,$AZ$11:$AZ$4010,0)),""))</f>
        <v/>
      </c>
      <c r="AH327" s="10" t="str">
        <f>IF(AE327="","",IFERROR(INDEX($AQ$11:$AQ$4010,MATCH(317,$AZ$11:$AZ$4010,0)),""))</f>
        <v/>
      </c>
      <c r="AI327" s="15" t="str">
        <f>IF(AE327="","",IFERROR(INDEX($AR$11:$AR$4010,MATCH(317,$AZ$11:$AZ$4010,0)),""))</f>
        <v/>
      </c>
      <c r="AJ327" s="15" t="str">
        <f>IF(AE327="","",IFERROR(INDEX($AT$11:$AT$4010,MATCH(317,$AZ$11:$AZ$4010,0)),""))</f>
        <v/>
      </c>
      <c r="AL327" s="17" t="str">
        <f t="shared" si="63"/>
        <v/>
      </c>
      <c r="AM327" s="12" t="str">
        <f t="shared" si="64"/>
        <v/>
      </c>
      <c r="AN327" s="18" t="str">
        <f t="shared" si="65"/>
        <v/>
      </c>
      <c r="AO327" s="18" t="str">
        <f t="shared" si="66"/>
        <v/>
      </c>
      <c r="AP327" s="10" t="str">
        <f t="shared" si="67"/>
        <v/>
      </c>
      <c r="AQ327" s="10" t="str">
        <f t="shared" si="68"/>
        <v/>
      </c>
      <c r="AR327" s="19" t="str">
        <f t="shared" si="69"/>
        <v/>
      </c>
      <c r="AS327" s="20"/>
      <c r="AT327" s="19"/>
      <c r="AV327" s="21">
        <f>IF(AND($AL327&lt;&gt;"",COUNTIF($AL$11:$AL327,$AL327)=1),1,0)</f>
        <v>0</v>
      </c>
      <c r="AW327" s="21">
        <f t="shared" si="71"/>
        <v>2</v>
      </c>
      <c r="AX327" s="21" t="str">
        <f t="shared" si="70"/>
        <v/>
      </c>
      <c r="AY327" s="21" t="str">
        <f>IF(AND($AM327&lt;&gt;"",$AS327&lt;&gt;"✓"),SUMPRODUCT(($AM$11:$AM327&lt;&gt;"")*($AS$11:$AS327&lt;&gt;"✓")),"")</f>
        <v/>
      </c>
      <c r="AZ327" s="21" t="str">
        <f>IF(AND($AM327&lt;&gt;"",$AS327="✓"),SUMPRODUCT(($AM$11:$AM327&lt;&gt;"")*($AS$11:$AS327="✓")),"")</f>
        <v/>
      </c>
      <c r="BA327" s="21" t="str">
        <f>IF($AL327="","",$AL327&amp;"|"&amp;COUNTIF($AL$11:$AL327,$AL327))</f>
        <v/>
      </c>
    </row>
    <row r="328" spans="2:53" ht="15" customHeight="1" x14ac:dyDescent="0.25">
      <c r="B328" s="5" t="str">
        <f t="shared" si="59"/>
        <v/>
      </c>
      <c r="C328" s="5"/>
      <c r="D328" s="5"/>
      <c r="E328" s="5"/>
      <c r="F328" s="6"/>
      <c r="G328" s="6"/>
      <c r="H328" s="7"/>
      <c r="I328" s="8"/>
      <c r="W328" s="28" t="str">
        <f>IF(X328="","",IFERROR(INDEX($AL$11:$AL$4010,MATCH(318,$AY$11:$AY$4010,0)),""))</f>
        <v/>
      </c>
      <c r="X328" s="26" t="str">
        <f>IFERROR(INDEX($AM$11:$AM$4010,MATCH(318,$AY$11:$AY$4010,0)),"")</f>
        <v/>
      </c>
      <c r="Y328" s="25" t="str">
        <f>IF(X328="","",IFERROR(INDEX($AN$11:$AN$4010,MATCH(318,$AY$11:$AY$4010,0)),""))</f>
        <v/>
      </c>
      <c r="Z328" s="25" t="str">
        <f>IF(X328="","",IFERROR(INDEX($AO$11:$AO$4010,MATCH(318,$AY$11:$AY$4010,0)),""))</f>
        <v/>
      </c>
      <c r="AA328" s="24" t="str">
        <f>IF(X328="","",IFERROR(INDEX($AQ$11:$AQ$4010,MATCH(318,$AY$11:$AY$4010,0)),""))</f>
        <v/>
      </c>
      <c r="AB328" s="29" t="str">
        <f>IF(X328="","",IFERROR(INDEX($AR$11:$AR$4010,MATCH(318,$AY$11:$AY$4010,0)),""))</f>
        <v/>
      </c>
      <c r="AD328" s="30" t="str">
        <f>IF(AE328="","",IFERROR(INDEX($AL$11:$AL$4010,MATCH(318,$AZ$11:$AZ$4010,0)),""))</f>
        <v/>
      </c>
      <c r="AE328" s="26" t="str">
        <f>IFERROR(INDEX($AM$11:$AM$4010,MATCH(318,$AZ$11:$AZ$4010,0)),"")</f>
        <v/>
      </c>
      <c r="AF328" s="25" t="str">
        <f>IF(AE328="","",IFERROR(INDEX($AN$11:$AN$4010,MATCH(318,$AZ$11:$AZ$4010,0)),""))</f>
        <v/>
      </c>
      <c r="AG328" s="25" t="str">
        <f>IF(AE328="","",IFERROR(INDEX($AO$11:$AO$4010,MATCH(318,$AZ$11:$AZ$4010,0)),""))</f>
        <v/>
      </c>
      <c r="AH328" s="24" t="str">
        <f>IF(AE328="","",IFERROR(INDEX($AQ$11:$AQ$4010,MATCH(318,$AZ$11:$AZ$4010,0)),""))</f>
        <v/>
      </c>
      <c r="AI328" s="29" t="str">
        <f>IF(AE328="","",IFERROR(INDEX($AR$11:$AR$4010,MATCH(318,$AZ$11:$AZ$4010,0)),""))</f>
        <v/>
      </c>
      <c r="AJ328" s="29" t="str">
        <f>IF(AE328="","",IFERROR(INDEX($AT$11:$AT$4010,MATCH(318,$AZ$11:$AZ$4010,0)),""))</f>
        <v/>
      </c>
      <c r="AL328" s="31" t="str">
        <f t="shared" si="63"/>
        <v/>
      </c>
      <c r="AM328" s="26" t="str">
        <f t="shared" si="64"/>
        <v/>
      </c>
      <c r="AN328" s="32" t="str">
        <f t="shared" si="65"/>
        <v/>
      </c>
      <c r="AO328" s="32" t="str">
        <f t="shared" si="66"/>
        <v/>
      </c>
      <c r="AP328" s="24" t="str">
        <f t="shared" si="67"/>
        <v/>
      </c>
      <c r="AQ328" s="24" t="str">
        <f t="shared" si="68"/>
        <v/>
      </c>
      <c r="AR328" s="33" t="str">
        <f t="shared" si="69"/>
        <v/>
      </c>
      <c r="AS328" s="34"/>
      <c r="AT328" s="33"/>
      <c r="AV328" s="21">
        <f>IF(AND($AL328&lt;&gt;"",COUNTIF($AL$11:$AL328,$AL328)=1),1,0)</f>
        <v>0</v>
      </c>
      <c r="AW328" s="21">
        <f t="shared" si="71"/>
        <v>2</v>
      </c>
      <c r="AX328" s="21" t="str">
        <f t="shared" si="70"/>
        <v/>
      </c>
      <c r="AY328" s="21" t="str">
        <f>IF(AND($AM328&lt;&gt;"",$AS328&lt;&gt;"✓"),SUMPRODUCT(($AM$11:$AM328&lt;&gt;"")*($AS$11:$AS328&lt;&gt;"✓")),"")</f>
        <v/>
      </c>
      <c r="AZ328" s="21" t="str">
        <f>IF(AND($AM328&lt;&gt;"",$AS328="✓"),SUMPRODUCT(($AM$11:$AM328&lt;&gt;"")*($AS$11:$AS328="✓")),"")</f>
        <v/>
      </c>
      <c r="BA328" s="21" t="str">
        <f>IF($AL328="","",$AL328&amp;"|"&amp;COUNTIF($AL$11:$AL328,$AL328))</f>
        <v/>
      </c>
    </row>
    <row r="329" spans="2:53" ht="15" customHeight="1" x14ac:dyDescent="0.25">
      <c r="B329" s="5" t="str">
        <f t="shared" si="59"/>
        <v/>
      </c>
      <c r="C329" s="5"/>
      <c r="D329" s="5"/>
      <c r="E329" s="5"/>
      <c r="F329" s="6"/>
      <c r="G329" s="6"/>
      <c r="H329" s="7"/>
      <c r="I329" s="8"/>
      <c r="W329" s="14" t="str">
        <f>IF(X329="","",IFERROR(INDEX($AL$11:$AL$4010,MATCH(319,$AY$11:$AY$4010,0)),""))</f>
        <v/>
      </c>
      <c r="X329" s="12" t="str">
        <f>IFERROR(INDEX($AM$11:$AM$4010,MATCH(319,$AY$11:$AY$4010,0)),"")</f>
        <v/>
      </c>
      <c r="Y329" s="11" t="str">
        <f>IF(X329="","",IFERROR(INDEX($AN$11:$AN$4010,MATCH(319,$AY$11:$AY$4010,0)),""))</f>
        <v/>
      </c>
      <c r="Z329" s="11" t="str">
        <f>IF(X329="","",IFERROR(INDEX($AO$11:$AO$4010,MATCH(319,$AY$11:$AY$4010,0)),""))</f>
        <v/>
      </c>
      <c r="AA329" s="10" t="str">
        <f>IF(X329="","",IFERROR(INDEX($AQ$11:$AQ$4010,MATCH(319,$AY$11:$AY$4010,0)),""))</f>
        <v/>
      </c>
      <c r="AB329" s="15" t="str">
        <f>IF(X329="","",IFERROR(INDEX($AR$11:$AR$4010,MATCH(319,$AY$11:$AY$4010,0)),""))</f>
        <v/>
      </c>
      <c r="AD329" s="16" t="str">
        <f>IF(AE329="","",IFERROR(INDEX($AL$11:$AL$4010,MATCH(319,$AZ$11:$AZ$4010,0)),""))</f>
        <v/>
      </c>
      <c r="AE329" s="12" t="str">
        <f>IFERROR(INDEX($AM$11:$AM$4010,MATCH(319,$AZ$11:$AZ$4010,0)),"")</f>
        <v/>
      </c>
      <c r="AF329" s="11" t="str">
        <f>IF(AE329="","",IFERROR(INDEX($AN$11:$AN$4010,MATCH(319,$AZ$11:$AZ$4010,0)),""))</f>
        <v/>
      </c>
      <c r="AG329" s="11" t="str">
        <f>IF(AE329="","",IFERROR(INDEX($AO$11:$AO$4010,MATCH(319,$AZ$11:$AZ$4010,0)),""))</f>
        <v/>
      </c>
      <c r="AH329" s="10" t="str">
        <f>IF(AE329="","",IFERROR(INDEX($AQ$11:$AQ$4010,MATCH(319,$AZ$11:$AZ$4010,0)),""))</f>
        <v/>
      </c>
      <c r="AI329" s="15" t="str">
        <f>IF(AE329="","",IFERROR(INDEX($AR$11:$AR$4010,MATCH(319,$AZ$11:$AZ$4010,0)),""))</f>
        <v/>
      </c>
      <c r="AJ329" s="15" t="str">
        <f>IF(AE329="","",IFERROR(INDEX($AT$11:$AT$4010,MATCH(319,$AZ$11:$AZ$4010,0)),""))</f>
        <v/>
      </c>
      <c r="AL329" s="17" t="str">
        <f t="shared" si="63"/>
        <v/>
      </c>
      <c r="AM329" s="12" t="str">
        <f t="shared" si="64"/>
        <v/>
      </c>
      <c r="AN329" s="18" t="str">
        <f t="shared" si="65"/>
        <v/>
      </c>
      <c r="AO329" s="18" t="str">
        <f t="shared" si="66"/>
        <v/>
      </c>
      <c r="AP329" s="10" t="str">
        <f t="shared" si="67"/>
        <v/>
      </c>
      <c r="AQ329" s="10" t="str">
        <f t="shared" si="68"/>
        <v/>
      </c>
      <c r="AR329" s="19" t="str">
        <f t="shared" si="69"/>
        <v/>
      </c>
      <c r="AS329" s="20"/>
      <c r="AT329" s="19"/>
      <c r="AV329" s="21">
        <f>IF(AND($AL329&lt;&gt;"",COUNTIF($AL$11:$AL329,$AL329)=1),1,0)</f>
        <v>0</v>
      </c>
      <c r="AW329" s="21">
        <f t="shared" si="71"/>
        <v>2</v>
      </c>
      <c r="AX329" s="21" t="str">
        <f t="shared" si="70"/>
        <v/>
      </c>
      <c r="AY329" s="21" t="str">
        <f>IF(AND($AM329&lt;&gt;"",$AS329&lt;&gt;"✓"),SUMPRODUCT(($AM$11:$AM329&lt;&gt;"")*($AS$11:$AS329&lt;&gt;"✓")),"")</f>
        <v/>
      </c>
      <c r="AZ329" s="21" t="str">
        <f>IF(AND($AM329&lt;&gt;"",$AS329="✓"),SUMPRODUCT(($AM$11:$AM329&lt;&gt;"")*($AS$11:$AS329="✓")),"")</f>
        <v/>
      </c>
      <c r="BA329" s="21" t="str">
        <f>IF($AL329="","",$AL329&amp;"|"&amp;COUNTIF($AL$11:$AL329,$AL329))</f>
        <v/>
      </c>
    </row>
    <row r="330" spans="2:53" ht="15" customHeight="1" x14ac:dyDescent="0.25">
      <c r="B330" s="5" t="str">
        <f t="shared" si="59"/>
        <v/>
      </c>
      <c r="C330" s="5"/>
      <c r="D330" s="5"/>
      <c r="E330" s="5"/>
      <c r="F330" s="6"/>
      <c r="G330" s="6"/>
      <c r="H330" s="7"/>
      <c r="I330" s="8"/>
      <c r="W330" s="28" t="str">
        <f>IF(X330="","",IFERROR(INDEX($AL$11:$AL$4010,MATCH(320,$AY$11:$AY$4010,0)),""))</f>
        <v/>
      </c>
      <c r="X330" s="26" t="str">
        <f>IFERROR(INDEX($AM$11:$AM$4010,MATCH(320,$AY$11:$AY$4010,0)),"")</f>
        <v/>
      </c>
      <c r="Y330" s="25" t="str">
        <f>IF(X330="","",IFERROR(INDEX($AN$11:$AN$4010,MATCH(320,$AY$11:$AY$4010,0)),""))</f>
        <v/>
      </c>
      <c r="Z330" s="25" t="str">
        <f>IF(X330="","",IFERROR(INDEX($AO$11:$AO$4010,MATCH(320,$AY$11:$AY$4010,0)),""))</f>
        <v/>
      </c>
      <c r="AA330" s="24" t="str">
        <f>IF(X330="","",IFERROR(INDEX($AQ$11:$AQ$4010,MATCH(320,$AY$11:$AY$4010,0)),""))</f>
        <v/>
      </c>
      <c r="AB330" s="29" t="str">
        <f>IF(X330="","",IFERROR(INDEX($AR$11:$AR$4010,MATCH(320,$AY$11:$AY$4010,0)),""))</f>
        <v/>
      </c>
      <c r="AD330" s="30" t="str">
        <f>IF(AE330="","",IFERROR(INDEX($AL$11:$AL$4010,MATCH(320,$AZ$11:$AZ$4010,0)),""))</f>
        <v/>
      </c>
      <c r="AE330" s="26" t="str">
        <f>IFERROR(INDEX($AM$11:$AM$4010,MATCH(320,$AZ$11:$AZ$4010,0)),"")</f>
        <v/>
      </c>
      <c r="AF330" s="25" t="str">
        <f>IF(AE330="","",IFERROR(INDEX($AN$11:$AN$4010,MATCH(320,$AZ$11:$AZ$4010,0)),""))</f>
        <v/>
      </c>
      <c r="AG330" s="25" t="str">
        <f>IF(AE330="","",IFERROR(INDEX($AO$11:$AO$4010,MATCH(320,$AZ$11:$AZ$4010,0)),""))</f>
        <v/>
      </c>
      <c r="AH330" s="24" t="str">
        <f>IF(AE330="","",IFERROR(INDEX($AQ$11:$AQ$4010,MATCH(320,$AZ$11:$AZ$4010,0)),""))</f>
        <v/>
      </c>
      <c r="AI330" s="29" t="str">
        <f>IF(AE330="","",IFERROR(INDEX($AR$11:$AR$4010,MATCH(320,$AZ$11:$AZ$4010,0)),""))</f>
        <v/>
      </c>
      <c r="AJ330" s="29" t="str">
        <f>IF(AE330="","",IFERROR(INDEX($AT$11:$AT$4010,MATCH(320,$AZ$11:$AZ$4010,0)),""))</f>
        <v/>
      </c>
      <c r="AL330" s="31" t="str">
        <f t="shared" si="63"/>
        <v/>
      </c>
      <c r="AM330" s="26" t="str">
        <f t="shared" si="64"/>
        <v/>
      </c>
      <c r="AN330" s="32" t="str">
        <f t="shared" si="65"/>
        <v/>
      </c>
      <c r="AO330" s="32" t="str">
        <f t="shared" si="66"/>
        <v/>
      </c>
      <c r="AP330" s="24" t="str">
        <f t="shared" si="67"/>
        <v/>
      </c>
      <c r="AQ330" s="24" t="str">
        <f t="shared" si="68"/>
        <v/>
      </c>
      <c r="AR330" s="33" t="str">
        <f t="shared" si="69"/>
        <v/>
      </c>
      <c r="AS330" s="34"/>
      <c r="AT330" s="33"/>
      <c r="AV330" s="21">
        <f>IF(AND($AL330&lt;&gt;"",COUNTIF($AL$11:$AL330,$AL330)=1),1,0)</f>
        <v>0</v>
      </c>
      <c r="AW330" s="21">
        <f t="shared" si="71"/>
        <v>2</v>
      </c>
      <c r="AX330" s="21" t="str">
        <f t="shared" si="70"/>
        <v/>
      </c>
      <c r="AY330" s="21" t="str">
        <f>IF(AND($AM330&lt;&gt;"",$AS330&lt;&gt;"✓"),SUMPRODUCT(($AM$11:$AM330&lt;&gt;"")*($AS$11:$AS330&lt;&gt;"✓")),"")</f>
        <v/>
      </c>
      <c r="AZ330" s="21" t="str">
        <f>IF(AND($AM330&lt;&gt;"",$AS330="✓"),SUMPRODUCT(($AM$11:$AM330&lt;&gt;"")*($AS$11:$AS330="✓")),"")</f>
        <v/>
      </c>
      <c r="BA330" s="21" t="str">
        <f>IF($AL330="","",$AL330&amp;"|"&amp;COUNTIF($AL$11:$AL330,$AL330))</f>
        <v/>
      </c>
    </row>
    <row r="331" spans="2:53" ht="15" customHeight="1" x14ac:dyDescent="0.25">
      <c r="B331" s="5" t="str">
        <f t="shared" ref="B331:B394" si="72">IF($C331="","",ROW()-10)</f>
        <v/>
      </c>
      <c r="C331" s="5"/>
      <c r="D331" s="5"/>
      <c r="E331" s="5"/>
      <c r="F331" s="6"/>
      <c r="G331" s="6"/>
      <c r="H331" s="7"/>
      <c r="I331" s="8"/>
      <c r="W331" s="14" t="str">
        <f>IF(X331="","",IFERROR(INDEX($AL$11:$AL$4010,MATCH(321,$AY$11:$AY$4010,0)),""))</f>
        <v/>
      </c>
      <c r="X331" s="12" t="str">
        <f>IFERROR(INDEX($AM$11:$AM$4010,MATCH(321,$AY$11:$AY$4010,0)),"")</f>
        <v/>
      </c>
      <c r="Y331" s="11" t="str">
        <f>IF(X331="","",IFERROR(INDEX($AN$11:$AN$4010,MATCH(321,$AY$11:$AY$4010,0)),""))</f>
        <v/>
      </c>
      <c r="Z331" s="11" t="str">
        <f>IF(X331="","",IFERROR(INDEX($AO$11:$AO$4010,MATCH(321,$AY$11:$AY$4010,0)),""))</f>
        <v/>
      </c>
      <c r="AA331" s="10" t="str">
        <f>IF(X331="","",IFERROR(INDEX($AQ$11:$AQ$4010,MATCH(321,$AY$11:$AY$4010,0)),""))</f>
        <v/>
      </c>
      <c r="AB331" s="15" t="str">
        <f>IF(X331="","",IFERROR(INDEX($AR$11:$AR$4010,MATCH(321,$AY$11:$AY$4010,0)),""))</f>
        <v/>
      </c>
      <c r="AD331" s="16" t="str">
        <f>IF(AE331="","",IFERROR(INDEX($AL$11:$AL$4010,MATCH(321,$AZ$11:$AZ$4010,0)),""))</f>
        <v/>
      </c>
      <c r="AE331" s="12" t="str">
        <f>IFERROR(INDEX($AM$11:$AM$4010,MATCH(321,$AZ$11:$AZ$4010,0)),"")</f>
        <v/>
      </c>
      <c r="AF331" s="11" t="str">
        <f>IF(AE331="","",IFERROR(INDEX($AN$11:$AN$4010,MATCH(321,$AZ$11:$AZ$4010,0)),""))</f>
        <v/>
      </c>
      <c r="AG331" s="11" t="str">
        <f>IF(AE331="","",IFERROR(INDEX($AO$11:$AO$4010,MATCH(321,$AZ$11:$AZ$4010,0)),""))</f>
        <v/>
      </c>
      <c r="AH331" s="10" t="str">
        <f>IF(AE331="","",IFERROR(INDEX($AQ$11:$AQ$4010,MATCH(321,$AZ$11:$AZ$4010,0)),""))</f>
        <v/>
      </c>
      <c r="AI331" s="15" t="str">
        <f>IF(AE331="","",IFERROR(INDEX($AR$11:$AR$4010,MATCH(321,$AZ$11:$AZ$4010,0)),""))</f>
        <v/>
      </c>
      <c r="AJ331" s="15" t="str">
        <f>IF(AE331="","",IFERROR(INDEX($AT$11:$AT$4010,MATCH(321,$AZ$11:$AZ$4010,0)),""))</f>
        <v/>
      </c>
      <c r="AL331" s="17" t="str">
        <f t="shared" ref="AL331:AL394" si="73">IF($C331="","",$I331)</f>
        <v/>
      </c>
      <c r="AM331" s="12" t="str">
        <f t="shared" ref="AM331:AM394" si="74">IF($C331="","",$C331)</f>
        <v/>
      </c>
      <c r="AN331" s="18" t="str">
        <f t="shared" ref="AN331:AN394" si="75">IF($C331="","",$F331)</f>
        <v/>
      </c>
      <c r="AO331" s="18" t="str">
        <f t="shared" ref="AO331:AO394" si="76">IF($C331="","",$G331)</f>
        <v/>
      </c>
      <c r="AP331" s="10" t="str">
        <f t="shared" ref="AP331:AP394" si="77">IF($C331="","",$D331)</f>
        <v/>
      </c>
      <c r="AQ331" s="10" t="str">
        <f t="shared" ref="AQ331:AQ394" si="78">IF($C331="","",$E331)</f>
        <v/>
      </c>
      <c r="AR331" s="19" t="str">
        <f t="shared" ref="AR331:AR394" si="79">IF($C331="","",$H331)</f>
        <v/>
      </c>
      <c r="AS331" s="20"/>
      <c r="AT331" s="19"/>
      <c r="AV331" s="21">
        <f>IF(AND($AL331&lt;&gt;"",COUNTIF($AL$11:$AL331,$AL331)=1),1,0)</f>
        <v>0</v>
      </c>
      <c r="AW331" s="21">
        <f t="shared" si="71"/>
        <v>2</v>
      </c>
      <c r="AX331" s="21" t="str">
        <f t="shared" ref="AX331:AX394" si="80">IF(AV331=1,AW331,"")</f>
        <v/>
      </c>
      <c r="AY331" s="21" t="str">
        <f>IF(AND($AM331&lt;&gt;"",$AS331&lt;&gt;"✓"),SUMPRODUCT(($AM$11:$AM331&lt;&gt;"")*($AS$11:$AS331&lt;&gt;"✓")),"")</f>
        <v/>
      </c>
      <c r="AZ331" s="21" t="str">
        <f>IF(AND($AM331&lt;&gt;"",$AS331="✓"),SUMPRODUCT(($AM$11:$AM331&lt;&gt;"")*($AS$11:$AS331="✓")),"")</f>
        <v/>
      </c>
      <c r="BA331" s="21" t="str">
        <f>IF($AL331="","",$AL331&amp;"|"&amp;COUNTIF($AL$11:$AL331,$AL331))</f>
        <v/>
      </c>
    </row>
    <row r="332" spans="2:53" ht="15" customHeight="1" x14ac:dyDescent="0.25">
      <c r="B332" s="5" t="str">
        <f t="shared" si="72"/>
        <v/>
      </c>
      <c r="C332" s="5"/>
      <c r="D332" s="5"/>
      <c r="E332" s="5"/>
      <c r="F332" s="6"/>
      <c r="G332" s="6"/>
      <c r="H332" s="7"/>
      <c r="I332" s="8"/>
      <c r="W332" s="28" t="str">
        <f>IF(X332="","",IFERROR(INDEX($AL$11:$AL$4010,MATCH(322,$AY$11:$AY$4010,0)),""))</f>
        <v/>
      </c>
      <c r="X332" s="26" t="str">
        <f>IFERROR(INDEX($AM$11:$AM$4010,MATCH(322,$AY$11:$AY$4010,0)),"")</f>
        <v/>
      </c>
      <c r="Y332" s="25" t="str">
        <f>IF(X332="","",IFERROR(INDEX($AN$11:$AN$4010,MATCH(322,$AY$11:$AY$4010,0)),""))</f>
        <v/>
      </c>
      <c r="Z332" s="25" t="str">
        <f>IF(X332="","",IFERROR(INDEX($AO$11:$AO$4010,MATCH(322,$AY$11:$AY$4010,0)),""))</f>
        <v/>
      </c>
      <c r="AA332" s="24" t="str">
        <f>IF(X332="","",IFERROR(INDEX($AQ$11:$AQ$4010,MATCH(322,$AY$11:$AY$4010,0)),""))</f>
        <v/>
      </c>
      <c r="AB332" s="29" t="str">
        <f>IF(X332="","",IFERROR(INDEX($AR$11:$AR$4010,MATCH(322,$AY$11:$AY$4010,0)),""))</f>
        <v/>
      </c>
      <c r="AD332" s="30" t="str">
        <f>IF(AE332="","",IFERROR(INDEX($AL$11:$AL$4010,MATCH(322,$AZ$11:$AZ$4010,0)),""))</f>
        <v/>
      </c>
      <c r="AE332" s="26" t="str">
        <f>IFERROR(INDEX($AM$11:$AM$4010,MATCH(322,$AZ$11:$AZ$4010,0)),"")</f>
        <v/>
      </c>
      <c r="AF332" s="25" t="str">
        <f>IF(AE332="","",IFERROR(INDEX($AN$11:$AN$4010,MATCH(322,$AZ$11:$AZ$4010,0)),""))</f>
        <v/>
      </c>
      <c r="AG332" s="25" t="str">
        <f>IF(AE332="","",IFERROR(INDEX($AO$11:$AO$4010,MATCH(322,$AZ$11:$AZ$4010,0)),""))</f>
        <v/>
      </c>
      <c r="AH332" s="24" t="str">
        <f>IF(AE332="","",IFERROR(INDEX($AQ$11:$AQ$4010,MATCH(322,$AZ$11:$AZ$4010,0)),""))</f>
        <v/>
      </c>
      <c r="AI332" s="29" t="str">
        <f>IF(AE332="","",IFERROR(INDEX($AR$11:$AR$4010,MATCH(322,$AZ$11:$AZ$4010,0)),""))</f>
        <v/>
      </c>
      <c r="AJ332" s="29" t="str">
        <f>IF(AE332="","",IFERROR(INDEX($AT$11:$AT$4010,MATCH(322,$AZ$11:$AZ$4010,0)),""))</f>
        <v/>
      </c>
      <c r="AL332" s="31" t="str">
        <f t="shared" si="73"/>
        <v/>
      </c>
      <c r="AM332" s="26" t="str">
        <f t="shared" si="74"/>
        <v/>
      </c>
      <c r="AN332" s="32" t="str">
        <f t="shared" si="75"/>
        <v/>
      </c>
      <c r="AO332" s="32" t="str">
        <f t="shared" si="76"/>
        <v/>
      </c>
      <c r="AP332" s="24" t="str">
        <f t="shared" si="77"/>
        <v/>
      </c>
      <c r="AQ332" s="24" t="str">
        <f t="shared" si="78"/>
        <v/>
      </c>
      <c r="AR332" s="33" t="str">
        <f t="shared" si="79"/>
        <v/>
      </c>
      <c r="AS332" s="34"/>
      <c r="AT332" s="33"/>
      <c r="AV332" s="21">
        <f>IF(AND($AL332&lt;&gt;"",COUNTIF($AL$11:$AL332,$AL332)=1),1,0)</f>
        <v>0</v>
      </c>
      <c r="AW332" s="21">
        <f t="shared" ref="AW332:AW395" si="81">AW331+AV332</f>
        <v>2</v>
      </c>
      <c r="AX332" s="21" t="str">
        <f t="shared" si="80"/>
        <v/>
      </c>
      <c r="AY332" s="21" t="str">
        <f>IF(AND($AM332&lt;&gt;"",$AS332&lt;&gt;"✓"),SUMPRODUCT(($AM$11:$AM332&lt;&gt;"")*($AS$11:$AS332&lt;&gt;"✓")),"")</f>
        <v/>
      </c>
      <c r="AZ332" s="21" t="str">
        <f>IF(AND($AM332&lt;&gt;"",$AS332="✓"),SUMPRODUCT(($AM$11:$AM332&lt;&gt;"")*($AS$11:$AS332="✓")),"")</f>
        <v/>
      </c>
      <c r="BA332" s="21" t="str">
        <f>IF($AL332="","",$AL332&amp;"|"&amp;COUNTIF($AL$11:$AL332,$AL332))</f>
        <v/>
      </c>
    </row>
    <row r="333" spans="2:53" ht="15" customHeight="1" x14ac:dyDescent="0.25">
      <c r="B333" s="5" t="str">
        <f t="shared" si="72"/>
        <v/>
      </c>
      <c r="C333" s="5"/>
      <c r="D333" s="5"/>
      <c r="E333" s="5"/>
      <c r="F333" s="6"/>
      <c r="G333" s="6"/>
      <c r="H333" s="7"/>
      <c r="I333" s="8"/>
      <c r="W333" s="14" t="str">
        <f>IF(X333="","",IFERROR(INDEX($AL$11:$AL$4010,MATCH(323,$AY$11:$AY$4010,0)),""))</f>
        <v/>
      </c>
      <c r="X333" s="12" t="str">
        <f>IFERROR(INDEX($AM$11:$AM$4010,MATCH(323,$AY$11:$AY$4010,0)),"")</f>
        <v/>
      </c>
      <c r="Y333" s="11" t="str">
        <f>IF(X333="","",IFERROR(INDEX($AN$11:$AN$4010,MATCH(323,$AY$11:$AY$4010,0)),""))</f>
        <v/>
      </c>
      <c r="Z333" s="11" t="str">
        <f>IF(X333="","",IFERROR(INDEX($AO$11:$AO$4010,MATCH(323,$AY$11:$AY$4010,0)),""))</f>
        <v/>
      </c>
      <c r="AA333" s="10" t="str">
        <f>IF(X333="","",IFERROR(INDEX($AQ$11:$AQ$4010,MATCH(323,$AY$11:$AY$4010,0)),""))</f>
        <v/>
      </c>
      <c r="AB333" s="15" t="str">
        <f>IF(X333="","",IFERROR(INDEX($AR$11:$AR$4010,MATCH(323,$AY$11:$AY$4010,0)),""))</f>
        <v/>
      </c>
      <c r="AD333" s="16" t="str">
        <f>IF(AE333="","",IFERROR(INDEX($AL$11:$AL$4010,MATCH(323,$AZ$11:$AZ$4010,0)),""))</f>
        <v/>
      </c>
      <c r="AE333" s="12" t="str">
        <f>IFERROR(INDEX($AM$11:$AM$4010,MATCH(323,$AZ$11:$AZ$4010,0)),"")</f>
        <v/>
      </c>
      <c r="AF333" s="11" t="str">
        <f>IF(AE333="","",IFERROR(INDEX($AN$11:$AN$4010,MATCH(323,$AZ$11:$AZ$4010,0)),""))</f>
        <v/>
      </c>
      <c r="AG333" s="11" t="str">
        <f>IF(AE333="","",IFERROR(INDEX($AO$11:$AO$4010,MATCH(323,$AZ$11:$AZ$4010,0)),""))</f>
        <v/>
      </c>
      <c r="AH333" s="10" t="str">
        <f>IF(AE333="","",IFERROR(INDEX($AQ$11:$AQ$4010,MATCH(323,$AZ$11:$AZ$4010,0)),""))</f>
        <v/>
      </c>
      <c r="AI333" s="15" t="str">
        <f>IF(AE333="","",IFERROR(INDEX($AR$11:$AR$4010,MATCH(323,$AZ$11:$AZ$4010,0)),""))</f>
        <v/>
      </c>
      <c r="AJ333" s="15" t="str">
        <f>IF(AE333="","",IFERROR(INDEX($AT$11:$AT$4010,MATCH(323,$AZ$11:$AZ$4010,0)),""))</f>
        <v/>
      </c>
      <c r="AL333" s="17" t="str">
        <f t="shared" si="73"/>
        <v/>
      </c>
      <c r="AM333" s="12" t="str">
        <f t="shared" si="74"/>
        <v/>
      </c>
      <c r="AN333" s="18" t="str">
        <f t="shared" si="75"/>
        <v/>
      </c>
      <c r="AO333" s="18" t="str">
        <f t="shared" si="76"/>
        <v/>
      </c>
      <c r="AP333" s="10" t="str">
        <f t="shared" si="77"/>
        <v/>
      </c>
      <c r="AQ333" s="10" t="str">
        <f t="shared" si="78"/>
        <v/>
      </c>
      <c r="AR333" s="19" t="str">
        <f t="shared" si="79"/>
        <v/>
      </c>
      <c r="AS333" s="20"/>
      <c r="AT333" s="19"/>
      <c r="AV333" s="21">
        <f>IF(AND($AL333&lt;&gt;"",COUNTIF($AL$11:$AL333,$AL333)=1),1,0)</f>
        <v>0</v>
      </c>
      <c r="AW333" s="21">
        <f t="shared" si="81"/>
        <v>2</v>
      </c>
      <c r="AX333" s="21" t="str">
        <f t="shared" si="80"/>
        <v/>
      </c>
      <c r="AY333" s="21" t="str">
        <f>IF(AND($AM333&lt;&gt;"",$AS333&lt;&gt;"✓"),SUMPRODUCT(($AM$11:$AM333&lt;&gt;"")*($AS$11:$AS333&lt;&gt;"✓")),"")</f>
        <v/>
      </c>
      <c r="AZ333" s="21" t="str">
        <f>IF(AND($AM333&lt;&gt;"",$AS333="✓"),SUMPRODUCT(($AM$11:$AM333&lt;&gt;"")*($AS$11:$AS333="✓")),"")</f>
        <v/>
      </c>
      <c r="BA333" s="21" t="str">
        <f>IF($AL333="","",$AL333&amp;"|"&amp;COUNTIF($AL$11:$AL333,$AL333))</f>
        <v/>
      </c>
    </row>
    <row r="334" spans="2:53" ht="15" customHeight="1" x14ac:dyDescent="0.25">
      <c r="B334" s="5" t="str">
        <f t="shared" si="72"/>
        <v/>
      </c>
      <c r="C334" s="5"/>
      <c r="D334" s="5"/>
      <c r="E334" s="5"/>
      <c r="F334" s="6"/>
      <c r="G334" s="6"/>
      <c r="H334" s="7"/>
      <c r="I334" s="8"/>
      <c r="W334" s="28" t="str">
        <f>IF(X334="","",IFERROR(INDEX($AL$11:$AL$4010,MATCH(324,$AY$11:$AY$4010,0)),""))</f>
        <v/>
      </c>
      <c r="X334" s="26" t="str">
        <f>IFERROR(INDEX($AM$11:$AM$4010,MATCH(324,$AY$11:$AY$4010,0)),"")</f>
        <v/>
      </c>
      <c r="Y334" s="25" t="str">
        <f>IF(X334="","",IFERROR(INDEX($AN$11:$AN$4010,MATCH(324,$AY$11:$AY$4010,0)),""))</f>
        <v/>
      </c>
      <c r="Z334" s="25" t="str">
        <f>IF(X334="","",IFERROR(INDEX($AO$11:$AO$4010,MATCH(324,$AY$11:$AY$4010,0)),""))</f>
        <v/>
      </c>
      <c r="AA334" s="24" t="str">
        <f>IF(X334="","",IFERROR(INDEX($AQ$11:$AQ$4010,MATCH(324,$AY$11:$AY$4010,0)),""))</f>
        <v/>
      </c>
      <c r="AB334" s="29" t="str">
        <f>IF(X334="","",IFERROR(INDEX($AR$11:$AR$4010,MATCH(324,$AY$11:$AY$4010,0)),""))</f>
        <v/>
      </c>
      <c r="AD334" s="30" t="str">
        <f>IF(AE334="","",IFERROR(INDEX($AL$11:$AL$4010,MATCH(324,$AZ$11:$AZ$4010,0)),""))</f>
        <v/>
      </c>
      <c r="AE334" s="26" t="str">
        <f>IFERROR(INDEX($AM$11:$AM$4010,MATCH(324,$AZ$11:$AZ$4010,0)),"")</f>
        <v/>
      </c>
      <c r="AF334" s="25" t="str">
        <f>IF(AE334="","",IFERROR(INDEX($AN$11:$AN$4010,MATCH(324,$AZ$11:$AZ$4010,0)),""))</f>
        <v/>
      </c>
      <c r="AG334" s="25" t="str">
        <f>IF(AE334="","",IFERROR(INDEX($AO$11:$AO$4010,MATCH(324,$AZ$11:$AZ$4010,0)),""))</f>
        <v/>
      </c>
      <c r="AH334" s="24" t="str">
        <f>IF(AE334="","",IFERROR(INDEX($AQ$11:$AQ$4010,MATCH(324,$AZ$11:$AZ$4010,0)),""))</f>
        <v/>
      </c>
      <c r="AI334" s="29" t="str">
        <f>IF(AE334="","",IFERROR(INDEX($AR$11:$AR$4010,MATCH(324,$AZ$11:$AZ$4010,0)),""))</f>
        <v/>
      </c>
      <c r="AJ334" s="29" t="str">
        <f>IF(AE334="","",IFERROR(INDEX($AT$11:$AT$4010,MATCH(324,$AZ$11:$AZ$4010,0)),""))</f>
        <v/>
      </c>
      <c r="AL334" s="31" t="str">
        <f t="shared" si="73"/>
        <v/>
      </c>
      <c r="AM334" s="26" t="str">
        <f t="shared" si="74"/>
        <v/>
      </c>
      <c r="AN334" s="32" t="str">
        <f t="shared" si="75"/>
        <v/>
      </c>
      <c r="AO334" s="32" t="str">
        <f t="shared" si="76"/>
        <v/>
      </c>
      <c r="AP334" s="24" t="str">
        <f t="shared" si="77"/>
        <v/>
      </c>
      <c r="AQ334" s="24" t="str">
        <f t="shared" si="78"/>
        <v/>
      </c>
      <c r="AR334" s="33" t="str">
        <f t="shared" si="79"/>
        <v/>
      </c>
      <c r="AS334" s="34"/>
      <c r="AT334" s="33"/>
      <c r="AV334" s="21">
        <f>IF(AND($AL334&lt;&gt;"",COUNTIF($AL$11:$AL334,$AL334)=1),1,0)</f>
        <v>0</v>
      </c>
      <c r="AW334" s="21">
        <f t="shared" si="81"/>
        <v>2</v>
      </c>
      <c r="AX334" s="21" t="str">
        <f t="shared" si="80"/>
        <v/>
      </c>
      <c r="AY334" s="21" t="str">
        <f>IF(AND($AM334&lt;&gt;"",$AS334&lt;&gt;"✓"),SUMPRODUCT(($AM$11:$AM334&lt;&gt;"")*($AS$11:$AS334&lt;&gt;"✓")),"")</f>
        <v/>
      </c>
      <c r="AZ334" s="21" t="str">
        <f>IF(AND($AM334&lt;&gt;"",$AS334="✓"),SUMPRODUCT(($AM$11:$AM334&lt;&gt;"")*($AS$11:$AS334="✓")),"")</f>
        <v/>
      </c>
      <c r="BA334" s="21" t="str">
        <f>IF($AL334="","",$AL334&amp;"|"&amp;COUNTIF($AL$11:$AL334,$AL334))</f>
        <v/>
      </c>
    </row>
    <row r="335" spans="2:53" ht="15" customHeight="1" x14ac:dyDescent="0.25">
      <c r="B335" s="5" t="str">
        <f t="shared" si="72"/>
        <v/>
      </c>
      <c r="C335" s="5"/>
      <c r="D335" s="5"/>
      <c r="E335" s="5"/>
      <c r="F335" s="6"/>
      <c r="G335" s="6"/>
      <c r="H335" s="7"/>
      <c r="I335" s="8"/>
      <c r="W335" s="14" t="str">
        <f>IF(X335="","",IFERROR(INDEX($AL$11:$AL$4010,MATCH(325,$AY$11:$AY$4010,0)),""))</f>
        <v/>
      </c>
      <c r="X335" s="12" t="str">
        <f>IFERROR(INDEX($AM$11:$AM$4010,MATCH(325,$AY$11:$AY$4010,0)),"")</f>
        <v/>
      </c>
      <c r="Y335" s="11" t="str">
        <f>IF(X335="","",IFERROR(INDEX($AN$11:$AN$4010,MATCH(325,$AY$11:$AY$4010,0)),""))</f>
        <v/>
      </c>
      <c r="Z335" s="11" t="str">
        <f>IF(X335="","",IFERROR(INDEX($AO$11:$AO$4010,MATCH(325,$AY$11:$AY$4010,0)),""))</f>
        <v/>
      </c>
      <c r="AA335" s="10" t="str">
        <f>IF(X335="","",IFERROR(INDEX($AQ$11:$AQ$4010,MATCH(325,$AY$11:$AY$4010,0)),""))</f>
        <v/>
      </c>
      <c r="AB335" s="15" t="str">
        <f>IF(X335="","",IFERROR(INDEX($AR$11:$AR$4010,MATCH(325,$AY$11:$AY$4010,0)),""))</f>
        <v/>
      </c>
      <c r="AD335" s="16" t="str">
        <f>IF(AE335="","",IFERROR(INDEX($AL$11:$AL$4010,MATCH(325,$AZ$11:$AZ$4010,0)),""))</f>
        <v/>
      </c>
      <c r="AE335" s="12" t="str">
        <f>IFERROR(INDEX($AM$11:$AM$4010,MATCH(325,$AZ$11:$AZ$4010,0)),"")</f>
        <v/>
      </c>
      <c r="AF335" s="11" t="str">
        <f>IF(AE335="","",IFERROR(INDEX($AN$11:$AN$4010,MATCH(325,$AZ$11:$AZ$4010,0)),""))</f>
        <v/>
      </c>
      <c r="AG335" s="11" t="str">
        <f>IF(AE335="","",IFERROR(INDEX($AO$11:$AO$4010,MATCH(325,$AZ$11:$AZ$4010,0)),""))</f>
        <v/>
      </c>
      <c r="AH335" s="10" t="str">
        <f>IF(AE335="","",IFERROR(INDEX($AQ$11:$AQ$4010,MATCH(325,$AZ$11:$AZ$4010,0)),""))</f>
        <v/>
      </c>
      <c r="AI335" s="15" t="str">
        <f>IF(AE335="","",IFERROR(INDEX($AR$11:$AR$4010,MATCH(325,$AZ$11:$AZ$4010,0)),""))</f>
        <v/>
      </c>
      <c r="AJ335" s="15" t="str">
        <f>IF(AE335="","",IFERROR(INDEX($AT$11:$AT$4010,MATCH(325,$AZ$11:$AZ$4010,0)),""))</f>
        <v/>
      </c>
      <c r="AL335" s="17" t="str">
        <f t="shared" si="73"/>
        <v/>
      </c>
      <c r="AM335" s="12" t="str">
        <f t="shared" si="74"/>
        <v/>
      </c>
      <c r="AN335" s="18" t="str">
        <f t="shared" si="75"/>
        <v/>
      </c>
      <c r="AO335" s="18" t="str">
        <f t="shared" si="76"/>
        <v/>
      </c>
      <c r="AP335" s="10" t="str">
        <f t="shared" si="77"/>
        <v/>
      </c>
      <c r="AQ335" s="10" t="str">
        <f t="shared" si="78"/>
        <v/>
      </c>
      <c r="AR335" s="19" t="str">
        <f t="shared" si="79"/>
        <v/>
      </c>
      <c r="AS335" s="20"/>
      <c r="AT335" s="19"/>
      <c r="AV335" s="21">
        <f>IF(AND($AL335&lt;&gt;"",COUNTIF($AL$11:$AL335,$AL335)=1),1,0)</f>
        <v>0</v>
      </c>
      <c r="AW335" s="21">
        <f t="shared" si="81"/>
        <v>2</v>
      </c>
      <c r="AX335" s="21" t="str">
        <f t="shared" si="80"/>
        <v/>
      </c>
      <c r="AY335" s="21" t="str">
        <f>IF(AND($AM335&lt;&gt;"",$AS335&lt;&gt;"✓"),SUMPRODUCT(($AM$11:$AM335&lt;&gt;"")*($AS$11:$AS335&lt;&gt;"✓")),"")</f>
        <v/>
      </c>
      <c r="AZ335" s="21" t="str">
        <f>IF(AND($AM335&lt;&gt;"",$AS335="✓"),SUMPRODUCT(($AM$11:$AM335&lt;&gt;"")*($AS$11:$AS335="✓")),"")</f>
        <v/>
      </c>
      <c r="BA335" s="21" t="str">
        <f>IF($AL335="","",$AL335&amp;"|"&amp;COUNTIF($AL$11:$AL335,$AL335))</f>
        <v/>
      </c>
    </row>
    <row r="336" spans="2:53" ht="15" customHeight="1" x14ac:dyDescent="0.25">
      <c r="B336" s="5" t="str">
        <f t="shared" si="72"/>
        <v/>
      </c>
      <c r="C336" s="5"/>
      <c r="D336" s="5"/>
      <c r="E336" s="5"/>
      <c r="F336" s="6"/>
      <c r="G336" s="6"/>
      <c r="H336" s="7"/>
      <c r="I336" s="8"/>
      <c r="W336" s="28" t="str">
        <f>IF(X336="","",IFERROR(INDEX($AL$11:$AL$4010,MATCH(326,$AY$11:$AY$4010,0)),""))</f>
        <v/>
      </c>
      <c r="X336" s="26" t="str">
        <f>IFERROR(INDEX($AM$11:$AM$4010,MATCH(326,$AY$11:$AY$4010,0)),"")</f>
        <v/>
      </c>
      <c r="Y336" s="25" t="str">
        <f>IF(X336="","",IFERROR(INDEX($AN$11:$AN$4010,MATCH(326,$AY$11:$AY$4010,0)),""))</f>
        <v/>
      </c>
      <c r="Z336" s="25" t="str">
        <f>IF(X336="","",IFERROR(INDEX($AO$11:$AO$4010,MATCH(326,$AY$11:$AY$4010,0)),""))</f>
        <v/>
      </c>
      <c r="AA336" s="24" t="str">
        <f>IF(X336="","",IFERROR(INDEX($AQ$11:$AQ$4010,MATCH(326,$AY$11:$AY$4010,0)),""))</f>
        <v/>
      </c>
      <c r="AB336" s="29" t="str">
        <f>IF(X336="","",IFERROR(INDEX($AR$11:$AR$4010,MATCH(326,$AY$11:$AY$4010,0)),""))</f>
        <v/>
      </c>
      <c r="AD336" s="30" t="str">
        <f>IF(AE336="","",IFERROR(INDEX($AL$11:$AL$4010,MATCH(326,$AZ$11:$AZ$4010,0)),""))</f>
        <v/>
      </c>
      <c r="AE336" s="26" t="str">
        <f>IFERROR(INDEX($AM$11:$AM$4010,MATCH(326,$AZ$11:$AZ$4010,0)),"")</f>
        <v/>
      </c>
      <c r="AF336" s="25" t="str">
        <f>IF(AE336="","",IFERROR(INDEX($AN$11:$AN$4010,MATCH(326,$AZ$11:$AZ$4010,0)),""))</f>
        <v/>
      </c>
      <c r="AG336" s="25" t="str">
        <f>IF(AE336="","",IFERROR(INDEX($AO$11:$AO$4010,MATCH(326,$AZ$11:$AZ$4010,0)),""))</f>
        <v/>
      </c>
      <c r="AH336" s="24" t="str">
        <f>IF(AE336="","",IFERROR(INDEX($AQ$11:$AQ$4010,MATCH(326,$AZ$11:$AZ$4010,0)),""))</f>
        <v/>
      </c>
      <c r="AI336" s="29" t="str">
        <f>IF(AE336="","",IFERROR(INDEX($AR$11:$AR$4010,MATCH(326,$AZ$11:$AZ$4010,0)),""))</f>
        <v/>
      </c>
      <c r="AJ336" s="29" t="str">
        <f>IF(AE336="","",IFERROR(INDEX($AT$11:$AT$4010,MATCH(326,$AZ$11:$AZ$4010,0)),""))</f>
        <v/>
      </c>
      <c r="AL336" s="31" t="str">
        <f t="shared" si="73"/>
        <v/>
      </c>
      <c r="AM336" s="26" t="str">
        <f t="shared" si="74"/>
        <v/>
      </c>
      <c r="AN336" s="32" t="str">
        <f t="shared" si="75"/>
        <v/>
      </c>
      <c r="AO336" s="32" t="str">
        <f t="shared" si="76"/>
        <v/>
      </c>
      <c r="AP336" s="24" t="str">
        <f t="shared" si="77"/>
        <v/>
      </c>
      <c r="AQ336" s="24" t="str">
        <f t="shared" si="78"/>
        <v/>
      </c>
      <c r="AR336" s="33" t="str">
        <f t="shared" si="79"/>
        <v/>
      </c>
      <c r="AS336" s="34"/>
      <c r="AT336" s="33"/>
      <c r="AV336" s="21">
        <f>IF(AND($AL336&lt;&gt;"",COUNTIF($AL$11:$AL336,$AL336)=1),1,0)</f>
        <v>0</v>
      </c>
      <c r="AW336" s="21">
        <f t="shared" si="81"/>
        <v>2</v>
      </c>
      <c r="AX336" s="21" t="str">
        <f t="shared" si="80"/>
        <v/>
      </c>
      <c r="AY336" s="21" t="str">
        <f>IF(AND($AM336&lt;&gt;"",$AS336&lt;&gt;"✓"),SUMPRODUCT(($AM$11:$AM336&lt;&gt;"")*($AS$11:$AS336&lt;&gt;"✓")),"")</f>
        <v/>
      </c>
      <c r="AZ336" s="21" t="str">
        <f>IF(AND($AM336&lt;&gt;"",$AS336="✓"),SUMPRODUCT(($AM$11:$AM336&lt;&gt;"")*($AS$11:$AS336="✓")),"")</f>
        <v/>
      </c>
      <c r="BA336" s="21" t="str">
        <f>IF($AL336="","",$AL336&amp;"|"&amp;COUNTIF($AL$11:$AL336,$AL336))</f>
        <v/>
      </c>
    </row>
    <row r="337" spans="2:53" ht="15" customHeight="1" x14ac:dyDescent="0.25">
      <c r="B337" s="5" t="str">
        <f t="shared" si="72"/>
        <v/>
      </c>
      <c r="C337" s="5"/>
      <c r="D337" s="5"/>
      <c r="E337" s="5"/>
      <c r="F337" s="6"/>
      <c r="G337" s="6"/>
      <c r="H337" s="7"/>
      <c r="I337" s="8"/>
      <c r="W337" s="14" t="str">
        <f>IF(X337="","",IFERROR(INDEX($AL$11:$AL$4010,MATCH(327,$AY$11:$AY$4010,0)),""))</f>
        <v/>
      </c>
      <c r="X337" s="12" t="str">
        <f>IFERROR(INDEX($AM$11:$AM$4010,MATCH(327,$AY$11:$AY$4010,0)),"")</f>
        <v/>
      </c>
      <c r="Y337" s="11" t="str">
        <f>IF(X337="","",IFERROR(INDEX($AN$11:$AN$4010,MATCH(327,$AY$11:$AY$4010,0)),""))</f>
        <v/>
      </c>
      <c r="Z337" s="11" t="str">
        <f>IF(X337="","",IFERROR(INDEX($AO$11:$AO$4010,MATCH(327,$AY$11:$AY$4010,0)),""))</f>
        <v/>
      </c>
      <c r="AA337" s="10" t="str">
        <f>IF(X337="","",IFERROR(INDEX($AQ$11:$AQ$4010,MATCH(327,$AY$11:$AY$4010,0)),""))</f>
        <v/>
      </c>
      <c r="AB337" s="15" t="str">
        <f>IF(X337="","",IFERROR(INDEX($AR$11:$AR$4010,MATCH(327,$AY$11:$AY$4010,0)),""))</f>
        <v/>
      </c>
      <c r="AD337" s="16" t="str">
        <f>IF(AE337="","",IFERROR(INDEX($AL$11:$AL$4010,MATCH(327,$AZ$11:$AZ$4010,0)),""))</f>
        <v/>
      </c>
      <c r="AE337" s="12" t="str">
        <f>IFERROR(INDEX($AM$11:$AM$4010,MATCH(327,$AZ$11:$AZ$4010,0)),"")</f>
        <v/>
      </c>
      <c r="AF337" s="11" t="str">
        <f>IF(AE337="","",IFERROR(INDEX($AN$11:$AN$4010,MATCH(327,$AZ$11:$AZ$4010,0)),""))</f>
        <v/>
      </c>
      <c r="AG337" s="11" t="str">
        <f>IF(AE337="","",IFERROR(INDEX($AO$11:$AO$4010,MATCH(327,$AZ$11:$AZ$4010,0)),""))</f>
        <v/>
      </c>
      <c r="AH337" s="10" t="str">
        <f>IF(AE337="","",IFERROR(INDEX($AQ$11:$AQ$4010,MATCH(327,$AZ$11:$AZ$4010,0)),""))</f>
        <v/>
      </c>
      <c r="AI337" s="15" t="str">
        <f>IF(AE337="","",IFERROR(INDEX($AR$11:$AR$4010,MATCH(327,$AZ$11:$AZ$4010,0)),""))</f>
        <v/>
      </c>
      <c r="AJ337" s="15" t="str">
        <f>IF(AE337="","",IFERROR(INDEX($AT$11:$AT$4010,MATCH(327,$AZ$11:$AZ$4010,0)),""))</f>
        <v/>
      </c>
      <c r="AL337" s="17" t="str">
        <f t="shared" si="73"/>
        <v/>
      </c>
      <c r="AM337" s="12" t="str">
        <f t="shared" si="74"/>
        <v/>
      </c>
      <c r="AN337" s="18" t="str">
        <f t="shared" si="75"/>
        <v/>
      </c>
      <c r="AO337" s="18" t="str">
        <f t="shared" si="76"/>
        <v/>
      </c>
      <c r="AP337" s="10" t="str">
        <f t="shared" si="77"/>
        <v/>
      </c>
      <c r="AQ337" s="10" t="str">
        <f t="shared" si="78"/>
        <v/>
      </c>
      <c r="AR337" s="19" t="str">
        <f t="shared" si="79"/>
        <v/>
      </c>
      <c r="AS337" s="20"/>
      <c r="AT337" s="19"/>
      <c r="AV337" s="21">
        <f>IF(AND($AL337&lt;&gt;"",COUNTIF($AL$11:$AL337,$AL337)=1),1,0)</f>
        <v>0</v>
      </c>
      <c r="AW337" s="21">
        <f t="shared" si="81"/>
        <v>2</v>
      </c>
      <c r="AX337" s="21" t="str">
        <f t="shared" si="80"/>
        <v/>
      </c>
      <c r="AY337" s="21" t="str">
        <f>IF(AND($AM337&lt;&gt;"",$AS337&lt;&gt;"✓"),SUMPRODUCT(($AM$11:$AM337&lt;&gt;"")*($AS$11:$AS337&lt;&gt;"✓")),"")</f>
        <v/>
      </c>
      <c r="AZ337" s="21" t="str">
        <f>IF(AND($AM337&lt;&gt;"",$AS337="✓"),SUMPRODUCT(($AM$11:$AM337&lt;&gt;"")*($AS$11:$AS337="✓")),"")</f>
        <v/>
      </c>
      <c r="BA337" s="21" t="str">
        <f>IF($AL337="","",$AL337&amp;"|"&amp;COUNTIF($AL$11:$AL337,$AL337))</f>
        <v/>
      </c>
    </row>
    <row r="338" spans="2:53" ht="15" customHeight="1" x14ac:dyDescent="0.25">
      <c r="B338" s="5" t="str">
        <f t="shared" si="72"/>
        <v/>
      </c>
      <c r="C338" s="5"/>
      <c r="D338" s="5"/>
      <c r="E338" s="5"/>
      <c r="F338" s="6"/>
      <c r="G338" s="6"/>
      <c r="H338" s="7"/>
      <c r="I338" s="8"/>
      <c r="W338" s="28" t="str">
        <f>IF(X338="","",IFERROR(INDEX($AL$11:$AL$4010,MATCH(328,$AY$11:$AY$4010,0)),""))</f>
        <v/>
      </c>
      <c r="X338" s="26" t="str">
        <f>IFERROR(INDEX($AM$11:$AM$4010,MATCH(328,$AY$11:$AY$4010,0)),"")</f>
        <v/>
      </c>
      <c r="Y338" s="25" t="str">
        <f>IF(X338="","",IFERROR(INDEX($AN$11:$AN$4010,MATCH(328,$AY$11:$AY$4010,0)),""))</f>
        <v/>
      </c>
      <c r="Z338" s="25" t="str">
        <f>IF(X338="","",IFERROR(INDEX($AO$11:$AO$4010,MATCH(328,$AY$11:$AY$4010,0)),""))</f>
        <v/>
      </c>
      <c r="AA338" s="24" t="str">
        <f>IF(X338="","",IFERROR(INDEX($AQ$11:$AQ$4010,MATCH(328,$AY$11:$AY$4010,0)),""))</f>
        <v/>
      </c>
      <c r="AB338" s="29" t="str">
        <f>IF(X338="","",IFERROR(INDEX($AR$11:$AR$4010,MATCH(328,$AY$11:$AY$4010,0)),""))</f>
        <v/>
      </c>
      <c r="AD338" s="30" t="str">
        <f>IF(AE338="","",IFERROR(INDEX($AL$11:$AL$4010,MATCH(328,$AZ$11:$AZ$4010,0)),""))</f>
        <v/>
      </c>
      <c r="AE338" s="26" t="str">
        <f>IFERROR(INDEX($AM$11:$AM$4010,MATCH(328,$AZ$11:$AZ$4010,0)),"")</f>
        <v/>
      </c>
      <c r="AF338" s="25" t="str">
        <f>IF(AE338="","",IFERROR(INDEX($AN$11:$AN$4010,MATCH(328,$AZ$11:$AZ$4010,0)),""))</f>
        <v/>
      </c>
      <c r="AG338" s="25" t="str">
        <f>IF(AE338="","",IFERROR(INDEX($AO$11:$AO$4010,MATCH(328,$AZ$11:$AZ$4010,0)),""))</f>
        <v/>
      </c>
      <c r="AH338" s="24" t="str">
        <f>IF(AE338="","",IFERROR(INDEX($AQ$11:$AQ$4010,MATCH(328,$AZ$11:$AZ$4010,0)),""))</f>
        <v/>
      </c>
      <c r="AI338" s="29" t="str">
        <f>IF(AE338="","",IFERROR(INDEX($AR$11:$AR$4010,MATCH(328,$AZ$11:$AZ$4010,0)),""))</f>
        <v/>
      </c>
      <c r="AJ338" s="29" t="str">
        <f>IF(AE338="","",IFERROR(INDEX($AT$11:$AT$4010,MATCH(328,$AZ$11:$AZ$4010,0)),""))</f>
        <v/>
      </c>
      <c r="AL338" s="31" t="str">
        <f t="shared" si="73"/>
        <v/>
      </c>
      <c r="AM338" s="26" t="str">
        <f t="shared" si="74"/>
        <v/>
      </c>
      <c r="AN338" s="32" t="str">
        <f t="shared" si="75"/>
        <v/>
      </c>
      <c r="AO338" s="32" t="str">
        <f t="shared" si="76"/>
        <v/>
      </c>
      <c r="AP338" s="24" t="str">
        <f t="shared" si="77"/>
        <v/>
      </c>
      <c r="AQ338" s="24" t="str">
        <f t="shared" si="78"/>
        <v/>
      </c>
      <c r="AR338" s="33" t="str">
        <f t="shared" si="79"/>
        <v/>
      </c>
      <c r="AS338" s="34"/>
      <c r="AT338" s="33"/>
      <c r="AV338" s="21">
        <f>IF(AND($AL338&lt;&gt;"",COUNTIF($AL$11:$AL338,$AL338)=1),1,0)</f>
        <v>0</v>
      </c>
      <c r="AW338" s="21">
        <f t="shared" si="81"/>
        <v>2</v>
      </c>
      <c r="AX338" s="21" t="str">
        <f t="shared" si="80"/>
        <v/>
      </c>
      <c r="AY338" s="21" t="str">
        <f>IF(AND($AM338&lt;&gt;"",$AS338&lt;&gt;"✓"),SUMPRODUCT(($AM$11:$AM338&lt;&gt;"")*($AS$11:$AS338&lt;&gt;"✓")),"")</f>
        <v/>
      </c>
      <c r="AZ338" s="21" t="str">
        <f>IF(AND($AM338&lt;&gt;"",$AS338="✓"),SUMPRODUCT(($AM$11:$AM338&lt;&gt;"")*($AS$11:$AS338="✓")),"")</f>
        <v/>
      </c>
      <c r="BA338" s="21" t="str">
        <f>IF($AL338="","",$AL338&amp;"|"&amp;COUNTIF($AL$11:$AL338,$AL338))</f>
        <v/>
      </c>
    </row>
    <row r="339" spans="2:53" ht="15" customHeight="1" x14ac:dyDescent="0.25">
      <c r="B339" s="5" t="str">
        <f t="shared" si="72"/>
        <v/>
      </c>
      <c r="C339" s="5"/>
      <c r="D339" s="5"/>
      <c r="E339" s="5"/>
      <c r="F339" s="6"/>
      <c r="G339" s="6"/>
      <c r="H339" s="7"/>
      <c r="I339" s="8"/>
      <c r="W339" s="14" t="str">
        <f>IF(X339="","",IFERROR(INDEX($AL$11:$AL$4010,MATCH(329,$AY$11:$AY$4010,0)),""))</f>
        <v/>
      </c>
      <c r="X339" s="12" t="str">
        <f>IFERROR(INDEX($AM$11:$AM$4010,MATCH(329,$AY$11:$AY$4010,0)),"")</f>
        <v/>
      </c>
      <c r="Y339" s="11" t="str">
        <f>IF(X339="","",IFERROR(INDEX($AN$11:$AN$4010,MATCH(329,$AY$11:$AY$4010,0)),""))</f>
        <v/>
      </c>
      <c r="Z339" s="11" t="str">
        <f>IF(X339="","",IFERROR(INDEX($AO$11:$AO$4010,MATCH(329,$AY$11:$AY$4010,0)),""))</f>
        <v/>
      </c>
      <c r="AA339" s="10" t="str">
        <f>IF(X339="","",IFERROR(INDEX($AQ$11:$AQ$4010,MATCH(329,$AY$11:$AY$4010,0)),""))</f>
        <v/>
      </c>
      <c r="AB339" s="15" t="str">
        <f>IF(X339="","",IFERROR(INDEX($AR$11:$AR$4010,MATCH(329,$AY$11:$AY$4010,0)),""))</f>
        <v/>
      </c>
      <c r="AD339" s="16" t="str">
        <f>IF(AE339="","",IFERROR(INDEX($AL$11:$AL$4010,MATCH(329,$AZ$11:$AZ$4010,0)),""))</f>
        <v/>
      </c>
      <c r="AE339" s="12" t="str">
        <f>IFERROR(INDEX($AM$11:$AM$4010,MATCH(329,$AZ$11:$AZ$4010,0)),"")</f>
        <v/>
      </c>
      <c r="AF339" s="11" t="str">
        <f>IF(AE339="","",IFERROR(INDEX($AN$11:$AN$4010,MATCH(329,$AZ$11:$AZ$4010,0)),""))</f>
        <v/>
      </c>
      <c r="AG339" s="11" t="str">
        <f>IF(AE339="","",IFERROR(INDEX($AO$11:$AO$4010,MATCH(329,$AZ$11:$AZ$4010,0)),""))</f>
        <v/>
      </c>
      <c r="AH339" s="10" t="str">
        <f>IF(AE339="","",IFERROR(INDEX($AQ$11:$AQ$4010,MATCH(329,$AZ$11:$AZ$4010,0)),""))</f>
        <v/>
      </c>
      <c r="AI339" s="15" t="str">
        <f>IF(AE339="","",IFERROR(INDEX($AR$11:$AR$4010,MATCH(329,$AZ$11:$AZ$4010,0)),""))</f>
        <v/>
      </c>
      <c r="AJ339" s="15" t="str">
        <f>IF(AE339="","",IFERROR(INDEX($AT$11:$AT$4010,MATCH(329,$AZ$11:$AZ$4010,0)),""))</f>
        <v/>
      </c>
      <c r="AL339" s="17" t="str">
        <f t="shared" si="73"/>
        <v/>
      </c>
      <c r="AM339" s="12" t="str">
        <f t="shared" si="74"/>
        <v/>
      </c>
      <c r="AN339" s="18" t="str">
        <f t="shared" si="75"/>
        <v/>
      </c>
      <c r="AO339" s="18" t="str">
        <f t="shared" si="76"/>
        <v/>
      </c>
      <c r="AP339" s="10" t="str">
        <f t="shared" si="77"/>
        <v/>
      </c>
      <c r="AQ339" s="10" t="str">
        <f t="shared" si="78"/>
        <v/>
      </c>
      <c r="AR339" s="19" t="str">
        <f t="shared" si="79"/>
        <v/>
      </c>
      <c r="AS339" s="20"/>
      <c r="AT339" s="19"/>
      <c r="AV339" s="21">
        <f>IF(AND($AL339&lt;&gt;"",COUNTIF($AL$11:$AL339,$AL339)=1),1,0)</f>
        <v>0</v>
      </c>
      <c r="AW339" s="21">
        <f t="shared" si="81"/>
        <v>2</v>
      </c>
      <c r="AX339" s="21" t="str">
        <f t="shared" si="80"/>
        <v/>
      </c>
      <c r="AY339" s="21" t="str">
        <f>IF(AND($AM339&lt;&gt;"",$AS339&lt;&gt;"✓"),SUMPRODUCT(($AM$11:$AM339&lt;&gt;"")*($AS$11:$AS339&lt;&gt;"✓")),"")</f>
        <v/>
      </c>
      <c r="AZ339" s="21" t="str">
        <f>IF(AND($AM339&lt;&gt;"",$AS339="✓"),SUMPRODUCT(($AM$11:$AM339&lt;&gt;"")*($AS$11:$AS339="✓")),"")</f>
        <v/>
      </c>
      <c r="BA339" s="21" t="str">
        <f>IF($AL339="","",$AL339&amp;"|"&amp;COUNTIF($AL$11:$AL339,$AL339))</f>
        <v/>
      </c>
    </row>
    <row r="340" spans="2:53" ht="15" customHeight="1" x14ac:dyDescent="0.25">
      <c r="B340" s="5" t="str">
        <f t="shared" si="72"/>
        <v/>
      </c>
      <c r="C340" s="5"/>
      <c r="D340" s="5"/>
      <c r="E340" s="5"/>
      <c r="F340" s="6"/>
      <c r="G340" s="6"/>
      <c r="H340" s="7"/>
      <c r="I340" s="8"/>
      <c r="W340" s="28" t="str">
        <f>IF(X340="","",IFERROR(INDEX($AL$11:$AL$4010,MATCH(330,$AY$11:$AY$4010,0)),""))</f>
        <v/>
      </c>
      <c r="X340" s="26" t="str">
        <f>IFERROR(INDEX($AM$11:$AM$4010,MATCH(330,$AY$11:$AY$4010,0)),"")</f>
        <v/>
      </c>
      <c r="Y340" s="25" t="str">
        <f>IF(X340="","",IFERROR(INDEX($AN$11:$AN$4010,MATCH(330,$AY$11:$AY$4010,0)),""))</f>
        <v/>
      </c>
      <c r="Z340" s="25" t="str">
        <f>IF(X340="","",IFERROR(INDEX($AO$11:$AO$4010,MATCH(330,$AY$11:$AY$4010,0)),""))</f>
        <v/>
      </c>
      <c r="AA340" s="24" t="str">
        <f>IF(X340="","",IFERROR(INDEX($AQ$11:$AQ$4010,MATCH(330,$AY$11:$AY$4010,0)),""))</f>
        <v/>
      </c>
      <c r="AB340" s="29" t="str">
        <f>IF(X340="","",IFERROR(INDEX($AR$11:$AR$4010,MATCH(330,$AY$11:$AY$4010,0)),""))</f>
        <v/>
      </c>
      <c r="AD340" s="30" t="str">
        <f>IF(AE340="","",IFERROR(INDEX($AL$11:$AL$4010,MATCH(330,$AZ$11:$AZ$4010,0)),""))</f>
        <v/>
      </c>
      <c r="AE340" s="26" t="str">
        <f>IFERROR(INDEX($AM$11:$AM$4010,MATCH(330,$AZ$11:$AZ$4010,0)),"")</f>
        <v/>
      </c>
      <c r="AF340" s="25" t="str">
        <f>IF(AE340="","",IFERROR(INDEX($AN$11:$AN$4010,MATCH(330,$AZ$11:$AZ$4010,0)),""))</f>
        <v/>
      </c>
      <c r="AG340" s="25" t="str">
        <f>IF(AE340="","",IFERROR(INDEX($AO$11:$AO$4010,MATCH(330,$AZ$11:$AZ$4010,0)),""))</f>
        <v/>
      </c>
      <c r="AH340" s="24" t="str">
        <f>IF(AE340="","",IFERROR(INDEX($AQ$11:$AQ$4010,MATCH(330,$AZ$11:$AZ$4010,0)),""))</f>
        <v/>
      </c>
      <c r="AI340" s="29" t="str">
        <f>IF(AE340="","",IFERROR(INDEX($AR$11:$AR$4010,MATCH(330,$AZ$11:$AZ$4010,0)),""))</f>
        <v/>
      </c>
      <c r="AJ340" s="29" t="str">
        <f>IF(AE340="","",IFERROR(INDEX($AT$11:$AT$4010,MATCH(330,$AZ$11:$AZ$4010,0)),""))</f>
        <v/>
      </c>
      <c r="AL340" s="31" t="str">
        <f t="shared" si="73"/>
        <v/>
      </c>
      <c r="AM340" s="26" t="str">
        <f t="shared" si="74"/>
        <v/>
      </c>
      <c r="AN340" s="32" t="str">
        <f t="shared" si="75"/>
        <v/>
      </c>
      <c r="AO340" s="32" t="str">
        <f t="shared" si="76"/>
        <v/>
      </c>
      <c r="AP340" s="24" t="str">
        <f t="shared" si="77"/>
        <v/>
      </c>
      <c r="AQ340" s="24" t="str">
        <f t="shared" si="78"/>
        <v/>
      </c>
      <c r="AR340" s="33" t="str">
        <f t="shared" si="79"/>
        <v/>
      </c>
      <c r="AS340" s="34"/>
      <c r="AT340" s="33"/>
      <c r="AV340" s="21">
        <f>IF(AND($AL340&lt;&gt;"",COUNTIF($AL$11:$AL340,$AL340)=1),1,0)</f>
        <v>0</v>
      </c>
      <c r="AW340" s="21">
        <f t="shared" si="81"/>
        <v>2</v>
      </c>
      <c r="AX340" s="21" t="str">
        <f t="shared" si="80"/>
        <v/>
      </c>
      <c r="AY340" s="21" t="str">
        <f>IF(AND($AM340&lt;&gt;"",$AS340&lt;&gt;"✓"),SUMPRODUCT(($AM$11:$AM340&lt;&gt;"")*($AS$11:$AS340&lt;&gt;"✓")),"")</f>
        <v/>
      </c>
      <c r="AZ340" s="21" t="str">
        <f>IF(AND($AM340&lt;&gt;"",$AS340="✓"),SUMPRODUCT(($AM$11:$AM340&lt;&gt;"")*($AS$11:$AS340="✓")),"")</f>
        <v/>
      </c>
      <c r="BA340" s="21" t="str">
        <f>IF($AL340="","",$AL340&amp;"|"&amp;COUNTIF($AL$11:$AL340,$AL340))</f>
        <v/>
      </c>
    </row>
    <row r="341" spans="2:53" ht="15" customHeight="1" x14ac:dyDescent="0.25">
      <c r="B341" s="5" t="str">
        <f t="shared" si="72"/>
        <v/>
      </c>
      <c r="C341" s="5"/>
      <c r="D341" s="5"/>
      <c r="E341" s="5"/>
      <c r="F341" s="6"/>
      <c r="G341" s="6"/>
      <c r="H341" s="7"/>
      <c r="I341" s="8"/>
      <c r="W341" s="14" t="str">
        <f>IF(X341="","",IFERROR(INDEX($AL$11:$AL$4010,MATCH(331,$AY$11:$AY$4010,0)),""))</f>
        <v/>
      </c>
      <c r="X341" s="12" t="str">
        <f>IFERROR(INDEX($AM$11:$AM$4010,MATCH(331,$AY$11:$AY$4010,0)),"")</f>
        <v/>
      </c>
      <c r="Y341" s="11" t="str">
        <f>IF(X341="","",IFERROR(INDEX($AN$11:$AN$4010,MATCH(331,$AY$11:$AY$4010,0)),""))</f>
        <v/>
      </c>
      <c r="Z341" s="11" t="str">
        <f>IF(X341="","",IFERROR(INDEX($AO$11:$AO$4010,MATCH(331,$AY$11:$AY$4010,0)),""))</f>
        <v/>
      </c>
      <c r="AA341" s="10" t="str">
        <f>IF(X341="","",IFERROR(INDEX($AQ$11:$AQ$4010,MATCH(331,$AY$11:$AY$4010,0)),""))</f>
        <v/>
      </c>
      <c r="AB341" s="15" t="str">
        <f>IF(X341="","",IFERROR(INDEX($AR$11:$AR$4010,MATCH(331,$AY$11:$AY$4010,0)),""))</f>
        <v/>
      </c>
      <c r="AD341" s="16" t="str">
        <f>IF(AE341="","",IFERROR(INDEX($AL$11:$AL$4010,MATCH(331,$AZ$11:$AZ$4010,0)),""))</f>
        <v/>
      </c>
      <c r="AE341" s="12" t="str">
        <f>IFERROR(INDEX($AM$11:$AM$4010,MATCH(331,$AZ$11:$AZ$4010,0)),"")</f>
        <v/>
      </c>
      <c r="AF341" s="11" t="str">
        <f>IF(AE341="","",IFERROR(INDEX($AN$11:$AN$4010,MATCH(331,$AZ$11:$AZ$4010,0)),""))</f>
        <v/>
      </c>
      <c r="AG341" s="11" t="str">
        <f>IF(AE341="","",IFERROR(INDEX($AO$11:$AO$4010,MATCH(331,$AZ$11:$AZ$4010,0)),""))</f>
        <v/>
      </c>
      <c r="AH341" s="10" t="str">
        <f>IF(AE341="","",IFERROR(INDEX($AQ$11:$AQ$4010,MATCH(331,$AZ$11:$AZ$4010,0)),""))</f>
        <v/>
      </c>
      <c r="AI341" s="15" t="str">
        <f>IF(AE341="","",IFERROR(INDEX($AR$11:$AR$4010,MATCH(331,$AZ$11:$AZ$4010,0)),""))</f>
        <v/>
      </c>
      <c r="AJ341" s="15" t="str">
        <f>IF(AE341="","",IFERROR(INDEX($AT$11:$AT$4010,MATCH(331,$AZ$11:$AZ$4010,0)),""))</f>
        <v/>
      </c>
      <c r="AL341" s="17" t="str">
        <f t="shared" si="73"/>
        <v/>
      </c>
      <c r="AM341" s="12" t="str">
        <f t="shared" si="74"/>
        <v/>
      </c>
      <c r="AN341" s="18" t="str">
        <f t="shared" si="75"/>
        <v/>
      </c>
      <c r="AO341" s="18" t="str">
        <f t="shared" si="76"/>
        <v/>
      </c>
      <c r="AP341" s="10" t="str">
        <f t="shared" si="77"/>
        <v/>
      </c>
      <c r="AQ341" s="10" t="str">
        <f t="shared" si="78"/>
        <v/>
      </c>
      <c r="AR341" s="19" t="str">
        <f t="shared" si="79"/>
        <v/>
      </c>
      <c r="AS341" s="20"/>
      <c r="AT341" s="19"/>
      <c r="AV341" s="21">
        <f>IF(AND($AL341&lt;&gt;"",COUNTIF($AL$11:$AL341,$AL341)=1),1,0)</f>
        <v>0</v>
      </c>
      <c r="AW341" s="21">
        <f t="shared" si="81"/>
        <v>2</v>
      </c>
      <c r="AX341" s="21" t="str">
        <f t="shared" si="80"/>
        <v/>
      </c>
      <c r="AY341" s="21" t="str">
        <f>IF(AND($AM341&lt;&gt;"",$AS341&lt;&gt;"✓"),SUMPRODUCT(($AM$11:$AM341&lt;&gt;"")*($AS$11:$AS341&lt;&gt;"✓")),"")</f>
        <v/>
      </c>
      <c r="AZ341" s="21" t="str">
        <f>IF(AND($AM341&lt;&gt;"",$AS341="✓"),SUMPRODUCT(($AM$11:$AM341&lt;&gt;"")*($AS$11:$AS341="✓")),"")</f>
        <v/>
      </c>
      <c r="BA341" s="21" t="str">
        <f>IF($AL341="","",$AL341&amp;"|"&amp;COUNTIF($AL$11:$AL341,$AL341))</f>
        <v/>
      </c>
    </row>
    <row r="342" spans="2:53" ht="15" customHeight="1" x14ac:dyDescent="0.25">
      <c r="B342" s="5" t="str">
        <f t="shared" si="72"/>
        <v/>
      </c>
      <c r="C342" s="5"/>
      <c r="D342" s="5"/>
      <c r="E342" s="5"/>
      <c r="F342" s="6"/>
      <c r="G342" s="6"/>
      <c r="H342" s="7"/>
      <c r="I342" s="8"/>
      <c r="W342" s="28" t="str">
        <f>IF(X342="","",IFERROR(INDEX($AL$11:$AL$4010,MATCH(332,$AY$11:$AY$4010,0)),""))</f>
        <v/>
      </c>
      <c r="X342" s="26" t="str">
        <f>IFERROR(INDEX($AM$11:$AM$4010,MATCH(332,$AY$11:$AY$4010,0)),"")</f>
        <v/>
      </c>
      <c r="Y342" s="25" t="str">
        <f>IF(X342="","",IFERROR(INDEX($AN$11:$AN$4010,MATCH(332,$AY$11:$AY$4010,0)),""))</f>
        <v/>
      </c>
      <c r="Z342" s="25" t="str">
        <f>IF(X342="","",IFERROR(INDEX($AO$11:$AO$4010,MATCH(332,$AY$11:$AY$4010,0)),""))</f>
        <v/>
      </c>
      <c r="AA342" s="24" t="str">
        <f>IF(X342="","",IFERROR(INDEX($AQ$11:$AQ$4010,MATCH(332,$AY$11:$AY$4010,0)),""))</f>
        <v/>
      </c>
      <c r="AB342" s="29" t="str">
        <f>IF(X342="","",IFERROR(INDEX($AR$11:$AR$4010,MATCH(332,$AY$11:$AY$4010,0)),""))</f>
        <v/>
      </c>
      <c r="AD342" s="30" t="str">
        <f>IF(AE342="","",IFERROR(INDEX($AL$11:$AL$4010,MATCH(332,$AZ$11:$AZ$4010,0)),""))</f>
        <v/>
      </c>
      <c r="AE342" s="26" t="str">
        <f>IFERROR(INDEX($AM$11:$AM$4010,MATCH(332,$AZ$11:$AZ$4010,0)),"")</f>
        <v/>
      </c>
      <c r="AF342" s="25" t="str">
        <f>IF(AE342="","",IFERROR(INDEX($AN$11:$AN$4010,MATCH(332,$AZ$11:$AZ$4010,0)),""))</f>
        <v/>
      </c>
      <c r="AG342" s="25" t="str">
        <f>IF(AE342="","",IFERROR(INDEX($AO$11:$AO$4010,MATCH(332,$AZ$11:$AZ$4010,0)),""))</f>
        <v/>
      </c>
      <c r="AH342" s="24" t="str">
        <f>IF(AE342="","",IFERROR(INDEX($AQ$11:$AQ$4010,MATCH(332,$AZ$11:$AZ$4010,0)),""))</f>
        <v/>
      </c>
      <c r="AI342" s="29" t="str">
        <f>IF(AE342="","",IFERROR(INDEX($AR$11:$AR$4010,MATCH(332,$AZ$11:$AZ$4010,0)),""))</f>
        <v/>
      </c>
      <c r="AJ342" s="29" t="str">
        <f>IF(AE342="","",IFERROR(INDEX($AT$11:$AT$4010,MATCH(332,$AZ$11:$AZ$4010,0)),""))</f>
        <v/>
      </c>
      <c r="AL342" s="31" t="str">
        <f t="shared" si="73"/>
        <v/>
      </c>
      <c r="AM342" s="26" t="str">
        <f t="shared" si="74"/>
        <v/>
      </c>
      <c r="AN342" s="32" t="str">
        <f t="shared" si="75"/>
        <v/>
      </c>
      <c r="AO342" s="32" t="str">
        <f t="shared" si="76"/>
        <v/>
      </c>
      <c r="AP342" s="24" t="str">
        <f t="shared" si="77"/>
        <v/>
      </c>
      <c r="AQ342" s="24" t="str">
        <f t="shared" si="78"/>
        <v/>
      </c>
      <c r="AR342" s="33" t="str">
        <f t="shared" si="79"/>
        <v/>
      </c>
      <c r="AS342" s="34"/>
      <c r="AT342" s="33"/>
      <c r="AV342" s="21">
        <f>IF(AND($AL342&lt;&gt;"",COUNTIF($AL$11:$AL342,$AL342)=1),1,0)</f>
        <v>0</v>
      </c>
      <c r="AW342" s="21">
        <f t="shared" si="81"/>
        <v>2</v>
      </c>
      <c r="AX342" s="21" t="str">
        <f t="shared" si="80"/>
        <v/>
      </c>
      <c r="AY342" s="21" t="str">
        <f>IF(AND($AM342&lt;&gt;"",$AS342&lt;&gt;"✓"),SUMPRODUCT(($AM$11:$AM342&lt;&gt;"")*($AS$11:$AS342&lt;&gt;"✓")),"")</f>
        <v/>
      </c>
      <c r="AZ342" s="21" t="str">
        <f>IF(AND($AM342&lt;&gt;"",$AS342="✓"),SUMPRODUCT(($AM$11:$AM342&lt;&gt;"")*($AS$11:$AS342="✓")),"")</f>
        <v/>
      </c>
      <c r="BA342" s="21" t="str">
        <f>IF($AL342="","",$AL342&amp;"|"&amp;COUNTIF($AL$11:$AL342,$AL342))</f>
        <v/>
      </c>
    </row>
    <row r="343" spans="2:53" ht="15" customHeight="1" x14ac:dyDescent="0.25">
      <c r="B343" s="5" t="str">
        <f t="shared" si="72"/>
        <v/>
      </c>
      <c r="C343" s="5"/>
      <c r="D343" s="5"/>
      <c r="E343" s="5"/>
      <c r="F343" s="6"/>
      <c r="G343" s="6"/>
      <c r="H343" s="7"/>
      <c r="I343" s="8"/>
      <c r="W343" s="14" t="str">
        <f>IF(X343="","",IFERROR(INDEX($AL$11:$AL$4010,MATCH(333,$AY$11:$AY$4010,0)),""))</f>
        <v/>
      </c>
      <c r="X343" s="12" t="str">
        <f>IFERROR(INDEX($AM$11:$AM$4010,MATCH(333,$AY$11:$AY$4010,0)),"")</f>
        <v/>
      </c>
      <c r="Y343" s="11" t="str">
        <f>IF(X343="","",IFERROR(INDEX($AN$11:$AN$4010,MATCH(333,$AY$11:$AY$4010,0)),""))</f>
        <v/>
      </c>
      <c r="Z343" s="11" t="str">
        <f>IF(X343="","",IFERROR(INDEX($AO$11:$AO$4010,MATCH(333,$AY$11:$AY$4010,0)),""))</f>
        <v/>
      </c>
      <c r="AA343" s="10" t="str">
        <f>IF(X343="","",IFERROR(INDEX($AQ$11:$AQ$4010,MATCH(333,$AY$11:$AY$4010,0)),""))</f>
        <v/>
      </c>
      <c r="AB343" s="15" t="str">
        <f>IF(X343="","",IFERROR(INDEX($AR$11:$AR$4010,MATCH(333,$AY$11:$AY$4010,0)),""))</f>
        <v/>
      </c>
      <c r="AD343" s="16" t="str">
        <f>IF(AE343="","",IFERROR(INDEX($AL$11:$AL$4010,MATCH(333,$AZ$11:$AZ$4010,0)),""))</f>
        <v/>
      </c>
      <c r="AE343" s="12" t="str">
        <f>IFERROR(INDEX($AM$11:$AM$4010,MATCH(333,$AZ$11:$AZ$4010,0)),"")</f>
        <v/>
      </c>
      <c r="AF343" s="11" t="str">
        <f>IF(AE343="","",IFERROR(INDEX($AN$11:$AN$4010,MATCH(333,$AZ$11:$AZ$4010,0)),""))</f>
        <v/>
      </c>
      <c r="AG343" s="11" t="str">
        <f>IF(AE343="","",IFERROR(INDEX($AO$11:$AO$4010,MATCH(333,$AZ$11:$AZ$4010,0)),""))</f>
        <v/>
      </c>
      <c r="AH343" s="10" t="str">
        <f>IF(AE343="","",IFERROR(INDEX($AQ$11:$AQ$4010,MATCH(333,$AZ$11:$AZ$4010,0)),""))</f>
        <v/>
      </c>
      <c r="AI343" s="15" t="str">
        <f>IF(AE343="","",IFERROR(INDEX($AR$11:$AR$4010,MATCH(333,$AZ$11:$AZ$4010,0)),""))</f>
        <v/>
      </c>
      <c r="AJ343" s="15" t="str">
        <f>IF(AE343="","",IFERROR(INDEX($AT$11:$AT$4010,MATCH(333,$AZ$11:$AZ$4010,0)),""))</f>
        <v/>
      </c>
      <c r="AL343" s="17" t="str">
        <f t="shared" si="73"/>
        <v/>
      </c>
      <c r="AM343" s="12" t="str">
        <f t="shared" si="74"/>
        <v/>
      </c>
      <c r="AN343" s="18" t="str">
        <f t="shared" si="75"/>
        <v/>
      </c>
      <c r="AO343" s="18" t="str">
        <f t="shared" si="76"/>
        <v/>
      </c>
      <c r="AP343" s="10" t="str">
        <f t="shared" si="77"/>
        <v/>
      </c>
      <c r="AQ343" s="10" t="str">
        <f t="shared" si="78"/>
        <v/>
      </c>
      <c r="AR343" s="19" t="str">
        <f t="shared" si="79"/>
        <v/>
      </c>
      <c r="AS343" s="20"/>
      <c r="AT343" s="19"/>
      <c r="AV343" s="21">
        <f>IF(AND($AL343&lt;&gt;"",COUNTIF($AL$11:$AL343,$AL343)=1),1,0)</f>
        <v>0</v>
      </c>
      <c r="AW343" s="21">
        <f t="shared" si="81"/>
        <v>2</v>
      </c>
      <c r="AX343" s="21" t="str">
        <f t="shared" si="80"/>
        <v/>
      </c>
      <c r="AY343" s="21" t="str">
        <f>IF(AND($AM343&lt;&gt;"",$AS343&lt;&gt;"✓"),SUMPRODUCT(($AM$11:$AM343&lt;&gt;"")*($AS$11:$AS343&lt;&gt;"✓")),"")</f>
        <v/>
      </c>
      <c r="AZ343" s="21" t="str">
        <f>IF(AND($AM343&lt;&gt;"",$AS343="✓"),SUMPRODUCT(($AM$11:$AM343&lt;&gt;"")*($AS$11:$AS343="✓")),"")</f>
        <v/>
      </c>
      <c r="BA343" s="21" t="str">
        <f>IF($AL343="","",$AL343&amp;"|"&amp;COUNTIF($AL$11:$AL343,$AL343))</f>
        <v/>
      </c>
    </row>
    <row r="344" spans="2:53" ht="15" customHeight="1" x14ac:dyDescent="0.25">
      <c r="B344" s="5" t="str">
        <f t="shared" si="72"/>
        <v/>
      </c>
      <c r="C344" s="5"/>
      <c r="D344" s="5"/>
      <c r="E344" s="5"/>
      <c r="F344" s="6"/>
      <c r="G344" s="6"/>
      <c r="H344" s="7"/>
      <c r="I344" s="8"/>
      <c r="W344" s="28" t="str">
        <f>IF(X344="","",IFERROR(INDEX($AL$11:$AL$4010,MATCH(334,$AY$11:$AY$4010,0)),""))</f>
        <v/>
      </c>
      <c r="X344" s="26" t="str">
        <f>IFERROR(INDEX($AM$11:$AM$4010,MATCH(334,$AY$11:$AY$4010,0)),"")</f>
        <v/>
      </c>
      <c r="Y344" s="25" t="str">
        <f>IF(X344="","",IFERROR(INDEX($AN$11:$AN$4010,MATCH(334,$AY$11:$AY$4010,0)),""))</f>
        <v/>
      </c>
      <c r="Z344" s="25" t="str">
        <f>IF(X344="","",IFERROR(INDEX($AO$11:$AO$4010,MATCH(334,$AY$11:$AY$4010,0)),""))</f>
        <v/>
      </c>
      <c r="AA344" s="24" t="str">
        <f>IF(X344="","",IFERROR(INDEX($AQ$11:$AQ$4010,MATCH(334,$AY$11:$AY$4010,0)),""))</f>
        <v/>
      </c>
      <c r="AB344" s="29" t="str">
        <f>IF(X344="","",IFERROR(INDEX($AR$11:$AR$4010,MATCH(334,$AY$11:$AY$4010,0)),""))</f>
        <v/>
      </c>
      <c r="AD344" s="30" t="str">
        <f>IF(AE344="","",IFERROR(INDEX($AL$11:$AL$4010,MATCH(334,$AZ$11:$AZ$4010,0)),""))</f>
        <v/>
      </c>
      <c r="AE344" s="26" t="str">
        <f>IFERROR(INDEX($AM$11:$AM$4010,MATCH(334,$AZ$11:$AZ$4010,0)),"")</f>
        <v/>
      </c>
      <c r="AF344" s="25" t="str">
        <f>IF(AE344="","",IFERROR(INDEX($AN$11:$AN$4010,MATCH(334,$AZ$11:$AZ$4010,0)),""))</f>
        <v/>
      </c>
      <c r="AG344" s="25" t="str">
        <f>IF(AE344="","",IFERROR(INDEX($AO$11:$AO$4010,MATCH(334,$AZ$11:$AZ$4010,0)),""))</f>
        <v/>
      </c>
      <c r="AH344" s="24" t="str">
        <f>IF(AE344="","",IFERROR(INDEX($AQ$11:$AQ$4010,MATCH(334,$AZ$11:$AZ$4010,0)),""))</f>
        <v/>
      </c>
      <c r="AI344" s="29" t="str">
        <f>IF(AE344="","",IFERROR(INDEX($AR$11:$AR$4010,MATCH(334,$AZ$11:$AZ$4010,0)),""))</f>
        <v/>
      </c>
      <c r="AJ344" s="29" t="str">
        <f>IF(AE344="","",IFERROR(INDEX($AT$11:$AT$4010,MATCH(334,$AZ$11:$AZ$4010,0)),""))</f>
        <v/>
      </c>
      <c r="AL344" s="31" t="str">
        <f t="shared" si="73"/>
        <v/>
      </c>
      <c r="AM344" s="26" t="str">
        <f t="shared" si="74"/>
        <v/>
      </c>
      <c r="AN344" s="32" t="str">
        <f t="shared" si="75"/>
        <v/>
      </c>
      <c r="AO344" s="32" t="str">
        <f t="shared" si="76"/>
        <v/>
      </c>
      <c r="AP344" s="24" t="str">
        <f t="shared" si="77"/>
        <v/>
      </c>
      <c r="AQ344" s="24" t="str">
        <f t="shared" si="78"/>
        <v/>
      </c>
      <c r="AR344" s="33" t="str">
        <f t="shared" si="79"/>
        <v/>
      </c>
      <c r="AS344" s="34"/>
      <c r="AT344" s="33"/>
      <c r="AV344" s="21">
        <f>IF(AND($AL344&lt;&gt;"",COUNTIF($AL$11:$AL344,$AL344)=1),1,0)</f>
        <v>0</v>
      </c>
      <c r="AW344" s="21">
        <f t="shared" si="81"/>
        <v>2</v>
      </c>
      <c r="AX344" s="21" t="str">
        <f t="shared" si="80"/>
        <v/>
      </c>
      <c r="AY344" s="21" t="str">
        <f>IF(AND($AM344&lt;&gt;"",$AS344&lt;&gt;"✓"),SUMPRODUCT(($AM$11:$AM344&lt;&gt;"")*($AS$11:$AS344&lt;&gt;"✓")),"")</f>
        <v/>
      </c>
      <c r="AZ344" s="21" t="str">
        <f>IF(AND($AM344&lt;&gt;"",$AS344="✓"),SUMPRODUCT(($AM$11:$AM344&lt;&gt;"")*($AS$11:$AS344="✓")),"")</f>
        <v/>
      </c>
      <c r="BA344" s="21" t="str">
        <f>IF($AL344="","",$AL344&amp;"|"&amp;COUNTIF($AL$11:$AL344,$AL344))</f>
        <v/>
      </c>
    </row>
    <row r="345" spans="2:53" ht="15" customHeight="1" x14ac:dyDescent="0.25">
      <c r="B345" s="5" t="str">
        <f t="shared" si="72"/>
        <v/>
      </c>
      <c r="C345" s="5"/>
      <c r="D345" s="5"/>
      <c r="E345" s="5"/>
      <c r="F345" s="6"/>
      <c r="G345" s="6"/>
      <c r="H345" s="7"/>
      <c r="I345" s="8"/>
      <c r="W345" s="14" t="str">
        <f>IF(X345="","",IFERROR(INDEX($AL$11:$AL$4010,MATCH(335,$AY$11:$AY$4010,0)),""))</f>
        <v/>
      </c>
      <c r="X345" s="12" t="str">
        <f>IFERROR(INDEX($AM$11:$AM$4010,MATCH(335,$AY$11:$AY$4010,0)),"")</f>
        <v/>
      </c>
      <c r="Y345" s="11" t="str">
        <f>IF(X345="","",IFERROR(INDEX($AN$11:$AN$4010,MATCH(335,$AY$11:$AY$4010,0)),""))</f>
        <v/>
      </c>
      <c r="Z345" s="11" t="str">
        <f>IF(X345="","",IFERROR(INDEX($AO$11:$AO$4010,MATCH(335,$AY$11:$AY$4010,0)),""))</f>
        <v/>
      </c>
      <c r="AA345" s="10" t="str">
        <f>IF(X345="","",IFERROR(INDEX($AQ$11:$AQ$4010,MATCH(335,$AY$11:$AY$4010,0)),""))</f>
        <v/>
      </c>
      <c r="AB345" s="15" t="str">
        <f>IF(X345="","",IFERROR(INDEX($AR$11:$AR$4010,MATCH(335,$AY$11:$AY$4010,0)),""))</f>
        <v/>
      </c>
      <c r="AD345" s="16" t="str">
        <f>IF(AE345="","",IFERROR(INDEX($AL$11:$AL$4010,MATCH(335,$AZ$11:$AZ$4010,0)),""))</f>
        <v/>
      </c>
      <c r="AE345" s="12" t="str">
        <f>IFERROR(INDEX($AM$11:$AM$4010,MATCH(335,$AZ$11:$AZ$4010,0)),"")</f>
        <v/>
      </c>
      <c r="AF345" s="11" t="str">
        <f>IF(AE345="","",IFERROR(INDEX($AN$11:$AN$4010,MATCH(335,$AZ$11:$AZ$4010,0)),""))</f>
        <v/>
      </c>
      <c r="AG345" s="11" t="str">
        <f>IF(AE345="","",IFERROR(INDEX($AO$11:$AO$4010,MATCH(335,$AZ$11:$AZ$4010,0)),""))</f>
        <v/>
      </c>
      <c r="AH345" s="10" t="str">
        <f>IF(AE345="","",IFERROR(INDEX($AQ$11:$AQ$4010,MATCH(335,$AZ$11:$AZ$4010,0)),""))</f>
        <v/>
      </c>
      <c r="AI345" s="15" t="str">
        <f>IF(AE345="","",IFERROR(INDEX($AR$11:$AR$4010,MATCH(335,$AZ$11:$AZ$4010,0)),""))</f>
        <v/>
      </c>
      <c r="AJ345" s="15" t="str">
        <f>IF(AE345="","",IFERROR(INDEX($AT$11:$AT$4010,MATCH(335,$AZ$11:$AZ$4010,0)),""))</f>
        <v/>
      </c>
      <c r="AL345" s="17" t="str">
        <f t="shared" si="73"/>
        <v/>
      </c>
      <c r="AM345" s="12" t="str">
        <f t="shared" si="74"/>
        <v/>
      </c>
      <c r="AN345" s="18" t="str">
        <f t="shared" si="75"/>
        <v/>
      </c>
      <c r="AO345" s="18" t="str">
        <f t="shared" si="76"/>
        <v/>
      </c>
      <c r="AP345" s="10" t="str">
        <f t="shared" si="77"/>
        <v/>
      </c>
      <c r="AQ345" s="10" t="str">
        <f t="shared" si="78"/>
        <v/>
      </c>
      <c r="AR345" s="19" t="str">
        <f t="shared" si="79"/>
        <v/>
      </c>
      <c r="AS345" s="20"/>
      <c r="AT345" s="19"/>
      <c r="AV345" s="21">
        <f>IF(AND($AL345&lt;&gt;"",COUNTIF($AL$11:$AL345,$AL345)=1),1,0)</f>
        <v>0</v>
      </c>
      <c r="AW345" s="21">
        <f t="shared" si="81"/>
        <v>2</v>
      </c>
      <c r="AX345" s="21" t="str">
        <f t="shared" si="80"/>
        <v/>
      </c>
      <c r="AY345" s="21" t="str">
        <f>IF(AND($AM345&lt;&gt;"",$AS345&lt;&gt;"✓"),SUMPRODUCT(($AM$11:$AM345&lt;&gt;"")*($AS$11:$AS345&lt;&gt;"✓")),"")</f>
        <v/>
      </c>
      <c r="AZ345" s="21" t="str">
        <f>IF(AND($AM345&lt;&gt;"",$AS345="✓"),SUMPRODUCT(($AM$11:$AM345&lt;&gt;"")*($AS$11:$AS345="✓")),"")</f>
        <v/>
      </c>
      <c r="BA345" s="21" t="str">
        <f>IF($AL345="","",$AL345&amp;"|"&amp;COUNTIF($AL$11:$AL345,$AL345))</f>
        <v/>
      </c>
    </row>
    <row r="346" spans="2:53" ht="15" customHeight="1" x14ac:dyDescent="0.25">
      <c r="B346" s="5" t="str">
        <f t="shared" si="72"/>
        <v/>
      </c>
      <c r="C346" s="5"/>
      <c r="D346" s="5"/>
      <c r="E346" s="5"/>
      <c r="F346" s="6"/>
      <c r="G346" s="6"/>
      <c r="H346" s="7"/>
      <c r="I346" s="8"/>
      <c r="W346" s="28" t="str">
        <f>IF(X346="","",IFERROR(INDEX($AL$11:$AL$4010,MATCH(336,$AY$11:$AY$4010,0)),""))</f>
        <v/>
      </c>
      <c r="X346" s="26" t="str">
        <f>IFERROR(INDEX($AM$11:$AM$4010,MATCH(336,$AY$11:$AY$4010,0)),"")</f>
        <v/>
      </c>
      <c r="Y346" s="25" t="str">
        <f>IF(X346="","",IFERROR(INDEX($AN$11:$AN$4010,MATCH(336,$AY$11:$AY$4010,0)),""))</f>
        <v/>
      </c>
      <c r="Z346" s="25" t="str">
        <f>IF(X346="","",IFERROR(INDEX($AO$11:$AO$4010,MATCH(336,$AY$11:$AY$4010,0)),""))</f>
        <v/>
      </c>
      <c r="AA346" s="24" t="str">
        <f>IF(X346="","",IFERROR(INDEX($AQ$11:$AQ$4010,MATCH(336,$AY$11:$AY$4010,0)),""))</f>
        <v/>
      </c>
      <c r="AB346" s="29" t="str">
        <f>IF(X346="","",IFERROR(INDEX($AR$11:$AR$4010,MATCH(336,$AY$11:$AY$4010,0)),""))</f>
        <v/>
      </c>
      <c r="AD346" s="30" t="str">
        <f>IF(AE346="","",IFERROR(INDEX($AL$11:$AL$4010,MATCH(336,$AZ$11:$AZ$4010,0)),""))</f>
        <v/>
      </c>
      <c r="AE346" s="26" t="str">
        <f>IFERROR(INDEX($AM$11:$AM$4010,MATCH(336,$AZ$11:$AZ$4010,0)),"")</f>
        <v/>
      </c>
      <c r="AF346" s="25" t="str">
        <f>IF(AE346="","",IFERROR(INDEX($AN$11:$AN$4010,MATCH(336,$AZ$11:$AZ$4010,0)),""))</f>
        <v/>
      </c>
      <c r="AG346" s="25" t="str">
        <f>IF(AE346="","",IFERROR(INDEX($AO$11:$AO$4010,MATCH(336,$AZ$11:$AZ$4010,0)),""))</f>
        <v/>
      </c>
      <c r="AH346" s="24" t="str">
        <f>IF(AE346="","",IFERROR(INDEX($AQ$11:$AQ$4010,MATCH(336,$AZ$11:$AZ$4010,0)),""))</f>
        <v/>
      </c>
      <c r="AI346" s="29" t="str">
        <f>IF(AE346="","",IFERROR(INDEX($AR$11:$AR$4010,MATCH(336,$AZ$11:$AZ$4010,0)),""))</f>
        <v/>
      </c>
      <c r="AJ346" s="29" t="str">
        <f>IF(AE346="","",IFERROR(INDEX($AT$11:$AT$4010,MATCH(336,$AZ$11:$AZ$4010,0)),""))</f>
        <v/>
      </c>
      <c r="AL346" s="31" t="str">
        <f t="shared" si="73"/>
        <v/>
      </c>
      <c r="AM346" s="26" t="str">
        <f t="shared" si="74"/>
        <v/>
      </c>
      <c r="AN346" s="32" t="str">
        <f t="shared" si="75"/>
        <v/>
      </c>
      <c r="AO346" s="32" t="str">
        <f t="shared" si="76"/>
        <v/>
      </c>
      <c r="AP346" s="24" t="str">
        <f t="shared" si="77"/>
        <v/>
      </c>
      <c r="AQ346" s="24" t="str">
        <f t="shared" si="78"/>
        <v/>
      </c>
      <c r="AR346" s="33" t="str">
        <f t="shared" si="79"/>
        <v/>
      </c>
      <c r="AS346" s="34"/>
      <c r="AT346" s="33"/>
      <c r="AV346" s="21">
        <f>IF(AND($AL346&lt;&gt;"",COUNTIF($AL$11:$AL346,$AL346)=1),1,0)</f>
        <v>0</v>
      </c>
      <c r="AW346" s="21">
        <f t="shared" si="81"/>
        <v>2</v>
      </c>
      <c r="AX346" s="21" t="str">
        <f t="shared" si="80"/>
        <v/>
      </c>
      <c r="AY346" s="21" t="str">
        <f>IF(AND($AM346&lt;&gt;"",$AS346&lt;&gt;"✓"),SUMPRODUCT(($AM$11:$AM346&lt;&gt;"")*($AS$11:$AS346&lt;&gt;"✓")),"")</f>
        <v/>
      </c>
      <c r="AZ346" s="21" t="str">
        <f>IF(AND($AM346&lt;&gt;"",$AS346="✓"),SUMPRODUCT(($AM$11:$AM346&lt;&gt;"")*($AS$11:$AS346="✓")),"")</f>
        <v/>
      </c>
      <c r="BA346" s="21" t="str">
        <f>IF($AL346="","",$AL346&amp;"|"&amp;COUNTIF($AL$11:$AL346,$AL346))</f>
        <v/>
      </c>
    </row>
    <row r="347" spans="2:53" ht="15" customHeight="1" x14ac:dyDescent="0.25">
      <c r="B347" s="5" t="str">
        <f t="shared" si="72"/>
        <v/>
      </c>
      <c r="C347" s="5"/>
      <c r="D347" s="5"/>
      <c r="E347" s="5"/>
      <c r="F347" s="6"/>
      <c r="G347" s="6"/>
      <c r="H347" s="7"/>
      <c r="I347" s="8"/>
      <c r="W347" s="14" t="str">
        <f>IF(X347="","",IFERROR(INDEX($AL$11:$AL$4010,MATCH(337,$AY$11:$AY$4010,0)),""))</f>
        <v/>
      </c>
      <c r="X347" s="12" t="str">
        <f>IFERROR(INDEX($AM$11:$AM$4010,MATCH(337,$AY$11:$AY$4010,0)),"")</f>
        <v/>
      </c>
      <c r="Y347" s="11" t="str">
        <f>IF(X347="","",IFERROR(INDEX($AN$11:$AN$4010,MATCH(337,$AY$11:$AY$4010,0)),""))</f>
        <v/>
      </c>
      <c r="Z347" s="11" t="str">
        <f>IF(X347="","",IFERROR(INDEX($AO$11:$AO$4010,MATCH(337,$AY$11:$AY$4010,0)),""))</f>
        <v/>
      </c>
      <c r="AA347" s="10" t="str">
        <f>IF(X347="","",IFERROR(INDEX($AQ$11:$AQ$4010,MATCH(337,$AY$11:$AY$4010,0)),""))</f>
        <v/>
      </c>
      <c r="AB347" s="15" t="str">
        <f>IF(X347="","",IFERROR(INDEX($AR$11:$AR$4010,MATCH(337,$AY$11:$AY$4010,0)),""))</f>
        <v/>
      </c>
      <c r="AD347" s="16" t="str">
        <f>IF(AE347="","",IFERROR(INDEX($AL$11:$AL$4010,MATCH(337,$AZ$11:$AZ$4010,0)),""))</f>
        <v/>
      </c>
      <c r="AE347" s="12" t="str">
        <f>IFERROR(INDEX($AM$11:$AM$4010,MATCH(337,$AZ$11:$AZ$4010,0)),"")</f>
        <v/>
      </c>
      <c r="AF347" s="11" t="str">
        <f>IF(AE347="","",IFERROR(INDEX($AN$11:$AN$4010,MATCH(337,$AZ$11:$AZ$4010,0)),""))</f>
        <v/>
      </c>
      <c r="AG347" s="11" t="str">
        <f>IF(AE347="","",IFERROR(INDEX($AO$11:$AO$4010,MATCH(337,$AZ$11:$AZ$4010,0)),""))</f>
        <v/>
      </c>
      <c r="AH347" s="10" t="str">
        <f>IF(AE347="","",IFERROR(INDEX($AQ$11:$AQ$4010,MATCH(337,$AZ$11:$AZ$4010,0)),""))</f>
        <v/>
      </c>
      <c r="AI347" s="15" t="str">
        <f>IF(AE347="","",IFERROR(INDEX($AR$11:$AR$4010,MATCH(337,$AZ$11:$AZ$4010,0)),""))</f>
        <v/>
      </c>
      <c r="AJ347" s="15" t="str">
        <f>IF(AE347="","",IFERROR(INDEX($AT$11:$AT$4010,MATCH(337,$AZ$11:$AZ$4010,0)),""))</f>
        <v/>
      </c>
      <c r="AL347" s="17" t="str">
        <f t="shared" si="73"/>
        <v/>
      </c>
      <c r="AM347" s="12" t="str">
        <f t="shared" si="74"/>
        <v/>
      </c>
      <c r="AN347" s="18" t="str">
        <f t="shared" si="75"/>
        <v/>
      </c>
      <c r="AO347" s="18" t="str">
        <f t="shared" si="76"/>
        <v/>
      </c>
      <c r="AP347" s="10" t="str">
        <f t="shared" si="77"/>
        <v/>
      </c>
      <c r="AQ347" s="10" t="str">
        <f t="shared" si="78"/>
        <v/>
      </c>
      <c r="AR347" s="19" t="str">
        <f t="shared" si="79"/>
        <v/>
      </c>
      <c r="AS347" s="20"/>
      <c r="AT347" s="19"/>
      <c r="AV347" s="21">
        <f>IF(AND($AL347&lt;&gt;"",COUNTIF($AL$11:$AL347,$AL347)=1),1,0)</f>
        <v>0</v>
      </c>
      <c r="AW347" s="21">
        <f t="shared" si="81"/>
        <v>2</v>
      </c>
      <c r="AX347" s="21" t="str">
        <f t="shared" si="80"/>
        <v/>
      </c>
      <c r="AY347" s="21" t="str">
        <f>IF(AND($AM347&lt;&gt;"",$AS347&lt;&gt;"✓"),SUMPRODUCT(($AM$11:$AM347&lt;&gt;"")*($AS$11:$AS347&lt;&gt;"✓")),"")</f>
        <v/>
      </c>
      <c r="AZ347" s="21" t="str">
        <f>IF(AND($AM347&lt;&gt;"",$AS347="✓"),SUMPRODUCT(($AM$11:$AM347&lt;&gt;"")*($AS$11:$AS347="✓")),"")</f>
        <v/>
      </c>
      <c r="BA347" s="21" t="str">
        <f>IF($AL347="","",$AL347&amp;"|"&amp;COUNTIF($AL$11:$AL347,$AL347))</f>
        <v/>
      </c>
    </row>
    <row r="348" spans="2:53" ht="15" customHeight="1" x14ac:dyDescent="0.25">
      <c r="B348" s="5" t="str">
        <f t="shared" si="72"/>
        <v/>
      </c>
      <c r="C348" s="5"/>
      <c r="D348" s="5"/>
      <c r="E348" s="5"/>
      <c r="F348" s="6"/>
      <c r="G348" s="6"/>
      <c r="H348" s="7"/>
      <c r="I348" s="8"/>
      <c r="W348" s="28" t="str">
        <f>IF(X348="","",IFERROR(INDEX($AL$11:$AL$4010,MATCH(338,$AY$11:$AY$4010,0)),""))</f>
        <v/>
      </c>
      <c r="X348" s="26" t="str">
        <f>IFERROR(INDEX($AM$11:$AM$4010,MATCH(338,$AY$11:$AY$4010,0)),"")</f>
        <v/>
      </c>
      <c r="Y348" s="25" t="str">
        <f>IF(X348="","",IFERROR(INDEX($AN$11:$AN$4010,MATCH(338,$AY$11:$AY$4010,0)),""))</f>
        <v/>
      </c>
      <c r="Z348" s="25" t="str">
        <f>IF(X348="","",IFERROR(INDEX($AO$11:$AO$4010,MATCH(338,$AY$11:$AY$4010,0)),""))</f>
        <v/>
      </c>
      <c r="AA348" s="24" t="str">
        <f>IF(X348="","",IFERROR(INDEX($AQ$11:$AQ$4010,MATCH(338,$AY$11:$AY$4010,0)),""))</f>
        <v/>
      </c>
      <c r="AB348" s="29" t="str">
        <f>IF(X348="","",IFERROR(INDEX($AR$11:$AR$4010,MATCH(338,$AY$11:$AY$4010,0)),""))</f>
        <v/>
      </c>
      <c r="AD348" s="30" t="str">
        <f>IF(AE348="","",IFERROR(INDEX($AL$11:$AL$4010,MATCH(338,$AZ$11:$AZ$4010,0)),""))</f>
        <v/>
      </c>
      <c r="AE348" s="26" t="str">
        <f>IFERROR(INDEX($AM$11:$AM$4010,MATCH(338,$AZ$11:$AZ$4010,0)),"")</f>
        <v/>
      </c>
      <c r="AF348" s="25" t="str">
        <f>IF(AE348="","",IFERROR(INDEX($AN$11:$AN$4010,MATCH(338,$AZ$11:$AZ$4010,0)),""))</f>
        <v/>
      </c>
      <c r="AG348" s="25" t="str">
        <f>IF(AE348="","",IFERROR(INDEX($AO$11:$AO$4010,MATCH(338,$AZ$11:$AZ$4010,0)),""))</f>
        <v/>
      </c>
      <c r="AH348" s="24" t="str">
        <f>IF(AE348="","",IFERROR(INDEX($AQ$11:$AQ$4010,MATCH(338,$AZ$11:$AZ$4010,0)),""))</f>
        <v/>
      </c>
      <c r="AI348" s="29" t="str">
        <f>IF(AE348="","",IFERROR(INDEX($AR$11:$AR$4010,MATCH(338,$AZ$11:$AZ$4010,0)),""))</f>
        <v/>
      </c>
      <c r="AJ348" s="29" t="str">
        <f>IF(AE348="","",IFERROR(INDEX($AT$11:$AT$4010,MATCH(338,$AZ$11:$AZ$4010,0)),""))</f>
        <v/>
      </c>
      <c r="AL348" s="31" t="str">
        <f t="shared" si="73"/>
        <v/>
      </c>
      <c r="AM348" s="26" t="str">
        <f t="shared" si="74"/>
        <v/>
      </c>
      <c r="AN348" s="32" t="str">
        <f t="shared" si="75"/>
        <v/>
      </c>
      <c r="AO348" s="32" t="str">
        <f t="shared" si="76"/>
        <v/>
      </c>
      <c r="AP348" s="24" t="str">
        <f t="shared" si="77"/>
        <v/>
      </c>
      <c r="AQ348" s="24" t="str">
        <f t="shared" si="78"/>
        <v/>
      </c>
      <c r="AR348" s="33" t="str">
        <f t="shared" si="79"/>
        <v/>
      </c>
      <c r="AS348" s="34"/>
      <c r="AT348" s="33"/>
      <c r="AV348" s="21">
        <f>IF(AND($AL348&lt;&gt;"",COUNTIF($AL$11:$AL348,$AL348)=1),1,0)</f>
        <v>0</v>
      </c>
      <c r="AW348" s="21">
        <f t="shared" si="81"/>
        <v>2</v>
      </c>
      <c r="AX348" s="21" t="str">
        <f t="shared" si="80"/>
        <v/>
      </c>
      <c r="AY348" s="21" t="str">
        <f>IF(AND($AM348&lt;&gt;"",$AS348&lt;&gt;"✓"),SUMPRODUCT(($AM$11:$AM348&lt;&gt;"")*($AS$11:$AS348&lt;&gt;"✓")),"")</f>
        <v/>
      </c>
      <c r="AZ348" s="21" t="str">
        <f>IF(AND($AM348&lt;&gt;"",$AS348="✓"),SUMPRODUCT(($AM$11:$AM348&lt;&gt;"")*($AS$11:$AS348="✓")),"")</f>
        <v/>
      </c>
      <c r="BA348" s="21" t="str">
        <f>IF($AL348="","",$AL348&amp;"|"&amp;COUNTIF($AL$11:$AL348,$AL348))</f>
        <v/>
      </c>
    </row>
    <row r="349" spans="2:53" ht="15" customHeight="1" x14ac:dyDescent="0.25">
      <c r="B349" s="5" t="str">
        <f t="shared" si="72"/>
        <v/>
      </c>
      <c r="C349" s="5"/>
      <c r="D349" s="5"/>
      <c r="E349" s="5"/>
      <c r="F349" s="6"/>
      <c r="G349" s="6"/>
      <c r="H349" s="7"/>
      <c r="I349" s="8"/>
      <c r="W349" s="14" t="str">
        <f>IF(X349="","",IFERROR(INDEX($AL$11:$AL$4010,MATCH(339,$AY$11:$AY$4010,0)),""))</f>
        <v/>
      </c>
      <c r="X349" s="12" t="str">
        <f>IFERROR(INDEX($AM$11:$AM$4010,MATCH(339,$AY$11:$AY$4010,0)),"")</f>
        <v/>
      </c>
      <c r="Y349" s="11" t="str">
        <f>IF(X349="","",IFERROR(INDEX($AN$11:$AN$4010,MATCH(339,$AY$11:$AY$4010,0)),""))</f>
        <v/>
      </c>
      <c r="Z349" s="11" t="str">
        <f>IF(X349="","",IFERROR(INDEX($AO$11:$AO$4010,MATCH(339,$AY$11:$AY$4010,0)),""))</f>
        <v/>
      </c>
      <c r="AA349" s="10" t="str">
        <f>IF(X349="","",IFERROR(INDEX($AQ$11:$AQ$4010,MATCH(339,$AY$11:$AY$4010,0)),""))</f>
        <v/>
      </c>
      <c r="AB349" s="15" t="str">
        <f>IF(X349="","",IFERROR(INDEX($AR$11:$AR$4010,MATCH(339,$AY$11:$AY$4010,0)),""))</f>
        <v/>
      </c>
      <c r="AD349" s="16" t="str">
        <f>IF(AE349="","",IFERROR(INDEX($AL$11:$AL$4010,MATCH(339,$AZ$11:$AZ$4010,0)),""))</f>
        <v/>
      </c>
      <c r="AE349" s="12" t="str">
        <f>IFERROR(INDEX($AM$11:$AM$4010,MATCH(339,$AZ$11:$AZ$4010,0)),"")</f>
        <v/>
      </c>
      <c r="AF349" s="11" t="str">
        <f>IF(AE349="","",IFERROR(INDEX($AN$11:$AN$4010,MATCH(339,$AZ$11:$AZ$4010,0)),""))</f>
        <v/>
      </c>
      <c r="AG349" s="11" t="str">
        <f>IF(AE349="","",IFERROR(INDEX($AO$11:$AO$4010,MATCH(339,$AZ$11:$AZ$4010,0)),""))</f>
        <v/>
      </c>
      <c r="AH349" s="10" t="str">
        <f>IF(AE349="","",IFERROR(INDEX($AQ$11:$AQ$4010,MATCH(339,$AZ$11:$AZ$4010,0)),""))</f>
        <v/>
      </c>
      <c r="AI349" s="15" t="str">
        <f>IF(AE349="","",IFERROR(INDEX($AR$11:$AR$4010,MATCH(339,$AZ$11:$AZ$4010,0)),""))</f>
        <v/>
      </c>
      <c r="AJ349" s="15" t="str">
        <f>IF(AE349="","",IFERROR(INDEX($AT$11:$AT$4010,MATCH(339,$AZ$11:$AZ$4010,0)),""))</f>
        <v/>
      </c>
      <c r="AL349" s="17" t="str">
        <f t="shared" si="73"/>
        <v/>
      </c>
      <c r="AM349" s="12" t="str">
        <f t="shared" si="74"/>
        <v/>
      </c>
      <c r="AN349" s="18" t="str">
        <f t="shared" si="75"/>
        <v/>
      </c>
      <c r="AO349" s="18" t="str">
        <f t="shared" si="76"/>
        <v/>
      </c>
      <c r="AP349" s="10" t="str">
        <f t="shared" si="77"/>
        <v/>
      </c>
      <c r="AQ349" s="10" t="str">
        <f t="shared" si="78"/>
        <v/>
      </c>
      <c r="AR349" s="19" t="str">
        <f t="shared" si="79"/>
        <v/>
      </c>
      <c r="AS349" s="20"/>
      <c r="AT349" s="19"/>
      <c r="AV349" s="21">
        <f>IF(AND($AL349&lt;&gt;"",COUNTIF($AL$11:$AL349,$AL349)=1),1,0)</f>
        <v>0</v>
      </c>
      <c r="AW349" s="21">
        <f t="shared" si="81"/>
        <v>2</v>
      </c>
      <c r="AX349" s="21" t="str">
        <f t="shared" si="80"/>
        <v/>
      </c>
      <c r="AY349" s="21" t="str">
        <f>IF(AND($AM349&lt;&gt;"",$AS349&lt;&gt;"✓"),SUMPRODUCT(($AM$11:$AM349&lt;&gt;"")*($AS$11:$AS349&lt;&gt;"✓")),"")</f>
        <v/>
      </c>
      <c r="AZ349" s="21" t="str">
        <f>IF(AND($AM349&lt;&gt;"",$AS349="✓"),SUMPRODUCT(($AM$11:$AM349&lt;&gt;"")*($AS$11:$AS349="✓")),"")</f>
        <v/>
      </c>
      <c r="BA349" s="21" t="str">
        <f>IF($AL349="","",$AL349&amp;"|"&amp;COUNTIF($AL$11:$AL349,$AL349))</f>
        <v/>
      </c>
    </row>
    <row r="350" spans="2:53" ht="15" customHeight="1" x14ac:dyDescent="0.25">
      <c r="B350" s="5" t="str">
        <f t="shared" si="72"/>
        <v/>
      </c>
      <c r="C350" s="5"/>
      <c r="D350" s="5"/>
      <c r="E350" s="5"/>
      <c r="F350" s="6"/>
      <c r="G350" s="6"/>
      <c r="H350" s="7"/>
      <c r="I350" s="8"/>
      <c r="W350" s="28" t="str">
        <f>IF(X350="","",IFERROR(INDEX($AL$11:$AL$4010,MATCH(340,$AY$11:$AY$4010,0)),""))</f>
        <v/>
      </c>
      <c r="X350" s="26" t="str">
        <f>IFERROR(INDEX($AM$11:$AM$4010,MATCH(340,$AY$11:$AY$4010,0)),"")</f>
        <v/>
      </c>
      <c r="Y350" s="25" t="str">
        <f>IF(X350="","",IFERROR(INDEX($AN$11:$AN$4010,MATCH(340,$AY$11:$AY$4010,0)),""))</f>
        <v/>
      </c>
      <c r="Z350" s="25" t="str">
        <f>IF(X350="","",IFERROR(INDEX($AO$11:$AO$4010,MATCH(340,$AY$11:$AY$4010,0)),""))</f>
        <v/>
      </c>
      <c r="AA350" s="24" t="str">
        <f>IF(X350="","",IFERROR(INDEX($AQ$11:$AQ$4010,MATCH(340,$AY$11:$AY$4010,0)),""))</f>
        <v/>
      </c>
      <c r="AB350" s="29" t="str">
        <f>IF(X350="","",IFERROR(INDEX($AR$11:$AR$4010,MATCH(340,$AY$11:$AY$4010,0)),""))</f>
        <v/>
      </c>
      <c r="AD350" s="30" t="str">
        <f>IF(AE350="","",IFERROR(INDEX($AL$11:$AL$4010,MATCH(340,$AZ$11:$AZ$4010,0)),""))</f>
        <v/>
      </c>
      <c r="AE350" s="26" t="str">
        <f>IFERROR(INDEX($AM$11:$AM$4010,MATCH(340,$AZ$11:$AZ$4010,0)),"")</f>
        <v/>
      </c>
      <c r="AF350" s="25" t="str">
        <f>IF(AE350="","",IFERROR(INDEX($AN$11:$AN$4010,MATCH(340,$AZ$11:$AZ$4010,0)),""))</f>
        <v/>
      </c>
      <c r="AG350" s="25" t="str">
        <f>IF(AE350="","",IFERROR(INDEX($AO$11:$AO$4010,MATCH(340,$AZ$11:$AZ$4010,0)),""))</f>
        <v/>
      </c>
      <c r="AH350" s="24" t="str">
        <f>IF(AE350="","",IFERROR(INDEX($AQ$11:$AQ$4010,MATCH(340,$AZ$11:$AZ$4010,0)),""))</f>
        <v/>
      </c>
      <c r="AI350" s="29" t="str">
        <f>IF(AE350="","",IFERROR(INDEX($AR$11:$AR$4010,MATCH(340,$AZ$11:$AZ$4010,0)),""))</f>
        <v/>
      </c>
      <c r="AJ350" s="29" t="str">
        <f>IF(AE350="","",IFERROR(INDEX($AT$11:$AT$4010,MATCH(340,$AZ$11:$AZ$4010,0)),""))</f>
        <v/>
      </c>
      <c r="AL350" s="31" t="str">
        <f t="shared" si="73"/>
        <v/>
      </c>
      <c r="AM350" s="26" t="str">
        <f t="shared" si="74"/>
        <v/>
      </c>
      <c r="AN350" s="32" t="str">
        <f t="shared" si="75"/>
        <v/>
      </c>
      <c r="AO350" s="32" t="str">
        <f t="shared" si="76"/>
        <v/>
      </c>
      <c r="AP350" s="24" t="str">
        <f t="shared" si="77"/>
        <v/>
      </c>
      <c r="AQ350" s="24" t="str">
        <f t="shared" si="78"/>
        <v/>
      </c>
      <c r="AR350" s="33" t="str">
        <f t="shared" si="79"/>
        <v/>
      </c>
      <c r="AS350" s="34"/>
      <c r="AT350" s="33"/>
      <c r="AV350" s="21">
        <f>IF(AND($AL350&lt;&gt;"",COUNTIF($AL$11:$AL350,$AL350)=1),1,0)</f>
        <v>0</v>
      </c>
      <c r="AW350" s="21">
        <f t="shared" si="81"/>
        <v>2</v>
      </c>
      <c r="AX350" s="21" t="str">
        <f t="shared" si="80"/>
        <v/>
      </c>
      <c r="AY350" s="21" t="str">
        <f>IF(AND($AM350&lt;&gt;"",$AS350&lt;&gt;"✓"),SUMPRODUCT(($AM$11:$AM350&lt;&gt;"")*($AS$11:$AS350&lt;&gt;"✓")),"")</f>
        <v/>
      </c>
      <c r="AZ350" s="21" t="str">
        <f>IF(AND($AM350&lt;&gt;"",$AS350="✓"),SUMPRODUCT(($AM$11:$AM350&lt;&gt;"")*($AS$11:$AS350="✓")),"")</f>
        <v/>
      </c>
      <c r="BA350" s="21" t="str">
        <f>IF($AL350="","",$AL350&amp;"|"&amp;COUNTIF($AL$11:$AL350,$AL350))</f>
        <v/>
      </c>
    </row>
    <row r="351" spans="2:53" ht="15" customHeight="1" x14ac:dyDescent="0.25">
      <c r="B351" s="5" t="str">
        <f t="shared" si="72"/>
        <v/>
      </c>
      <c r="C351" s="5"/>
      <c r="D351" s="5"/>
      <c r="E351" s="5"/>
      <c r="F351" s="6"/>
      <c r="G351" s="6"/>
      <c r="H351" s="7"/>
      <c r="I351" s="8"/>
      <c r="W351" s="14" t="str">
        <f>IF(X351="","",IFERROR(INDEX($AL$11:$AL$4010,MATCH(341,$AY$11:$AY$4010,0)),""))</f>
        <v/>
      </c>
      <c r="X351" s="12" t="str">
        <f>IFERROR(INDEX($AM$11:$AM$4010,MATCH(341,$AY$11:$AY$4010,0)),"")</f>
        <v/>
      </c>
      <c r="Y351" s="11" t="str">
        <f>IF(X351="","",IFERROR(INDEX($AN$11:$AN$4010,MATCH(341,$AY$11:$AY$4010,0)),""))</f>
        <v/>
      </c>
      <c r="Z351" s="11" t="str">
        <f>IF(X351="","",IFERROR(INDEX($AO$11:$AO$4010,MATCH(341,$AY$11:$AY$4010,0)),""))</f>
        <v/>
      </c>
      <c r="AA351" s="10" t="str">
        <f>IF(X351="","",IFERROR(INDEX($AQ$11:$AQ$4010,MATCH(341,$AY$11:$AY$4010,0)),""))</f>
        <v/>
      </c>
      <c r="AB351" s="15" t="str">
        <f>IF(X351="","",IFERROR(INDEX($AR$11:$AR$4010,MATCH(341,$AY$11:$AY$4010,0)),""))</f>
        <v/>
      </c>
      <c r="AD351" s="16" t="str">
        <f>IF(AE351="","",IFERROR(INDEX($AL$11:$AL$4010,MATCH(341,$AZ$11:$AZ$4010,0)),""))</f>
        <v/>
      </c>
      <c r="AE351" s="12" t="str">
        <f>IFERROR(INDEX($AM$11:$AM$4010,MATCH(341,$AZ$11:$AZ$4010,0)),"")</f>
        <v/>
      </c>
      <c r="AF351" s="11" t="str">
        <f>IF(AE351="","",IFERROR(INDEX($AN$11:$AN$4010,MATCH(341,$AZ$11:$AZ$4010,0)),""))</f>
        <v/>
      </c>
      <c r="AG351" s="11" t="str">
        <f>IF(AE351="","",IFERROR(INDEX($AO$11:$AO$4010,MATCH(341,$AZ$11:$AZ$4010,0)),""))</f>
        <v/>
      </c>
      <c r="AH351" s="10" t="str">
        <f>IF(AE351="","",IFERROR(INDEX($AQ$11:$AQ$4010,MATCH(341,$AZ$11:$AZ$4010,0)),""))</f>
        <v/>
      </c>
      <c r="AI351" s="15" t="str">
        <f>IF(AE351="","",IFERROR(INDEX($AR$11:$AR$4010,MATCH(341,$AZ$11:$AZ$4010,0)),""))</f>
        <v/>
      </c>
      <c r="AJ351" s="15" t="str">
        <f>IF(AE351="","",IFERROR(INDEX($AT$11:$AT$4010,MATCH(341,$AZ$11:$AZ$4010,0)),""))</f>
        <v/>
      </c>
      <c r="AL351" s="17" t="str">
        <f t="shared" si="73"/>
        <v/>
      </c>
      <c r="AM351" s="12" t="str">
        <f t="shared" si="74"/>
        <v/>
      </c>
      <c r="AN351" s="18" t="str">
        <f t="shared" si="75"/>
        <v/>
      </c>
      <c r="AO351" s="18" t="str">
        <f t="shared" si="76"/>
        <v/>
      </c>
      <c r="AP351" s="10" t="str">
        <f t="shared" si="77"/>
        <v/>
      </c>
      <c r="AQ351" s="10" t="str">
        <f t="shared" si="78"/>
        <v/>
      </c>
      <c r="AR351" s="19" t="str">
        <f t="shared" si="79"/>
        <v/>
      </c>
      <c r="AS351" s="20"/>
      <c r="AT351" s="19"/>
      <c r="AV351" s="21">
        <f>IF(AND($AL351&lt;&gt;"",COUNTIF($AL$11:$AL351,$AL351)=1),1,0)</f>
        <v>0</v>
      </c>
      <c r="AW351" s="21">
        <f t="shared" si="81"/>
        <v>2</v>
      </c>
      <c r="AX351" s="21" t="str">
        <f t="shared" si="80"/>
        <v/>
      </c>
      <c r="AY351" s="21" t="str">
        <f>IF(AND($AM351&lt;&gt;"",$AS351&lt;&gt;"✓"),SUMPRODUCT(($AM$11:$AM351&lt;&gt;"")*($AS$11:$AS351&lt;&gt;"✓")),"")</f>
        <v/>
      </c>
      <c r="AZ351" s="21" t="str">
        <f>IF(AND($AM351&lt;&gt;"",$AS351="✓"),SUMPRODUCT(($AM$11:$AM351&lt;&gt;"")*($AS$11:$AS351="✓")),"")</f>
        <v/>
      </c>
      <c r="BA351" s="21" t="str">
        <f>IF($AL351="","",$AL351&amp;"|"&amp;COUNTIF($AL$11:$AL351,$AL351))</f>
        <v/>
      </c>
    </row>
    <row r="352" spans="2:53" ht="15" customHeight="1" x14ac:dyDescent="0.25">
      <c r="B352" s="5" t="str">
        <f t="shared" si="72"/>
        <v/>
      </c>
      <c r="C352" s="5"/>
      <c r="D352" s="5"/>
      <c r="E352" s="5"/>
      <c r="F352" s="6"/>
      <c r="G352" s="6"/>
      <c r="H352" s="7"/>
      <c r="I352" s="8"/>
      <c r="W352" s="28" t="str">
        <f>IF(X352="","",IFERROR(INDEX($AL$11:$AL$4010,MATCH(342,$AY$11:$AY$4010,0)),""))</f>
        <v/>
      </c>
      <c r="X352" s="26" t="str">
        <f>IFERROR(INDEX($AM$11:$AM$4010,MATCH(342,$AY$11:$AY$4010,0)),"")</f>
        <v/>
      </c>
      <c r="Y352" s="25" t="str">
        <f>IF(X352="","",IFERROR(INDEX($AN$11:$AN$4010,MATCH(342,$AY$11:$AY$4010,0)),""))</f>
        <v/>
      </c>
      <c r="Z352" s="25" t="str">
        <f>IF(X352="","",IFERROR(INDEX($AO$11:$AO$4010,MATCH(342,$AY$11:$AY$4010,0)),""))</f>
        <v/>
      </c>
      <c r="AA352" s="24" t="str">
        <f>IF(X352="","",IFERROR(INDEX($AQ$11:$AQ$4010,MATCH(342,$AY$11:$AY$4010,0)),""))</f>
        <v/>
      </c>
      <c r="AB352" s="29" t="str">
        <f>IF(X352="","",IFERROR(INDEX($AR$11:$AR$4010,MATCH(342,$AY$11:$AY$4010,0)),""))</f>
        <v/>
      </c>
      <c r="AD352" s="30" t="str">
        <f>IF(AE352="","",IFERROR(INDEX($AL$11:$AL$4010,MATCH(342,$AZ$11:$AZ$4010,0)),""))</f>
        <v/>
      </c>
      <c r="AE352" s="26" t="str">
        <f>IFERROR(INDEX($AM$11:$AM$4010,MATCH(342,$AZ$11:$AZ$4010,0)),"")</f>
        <v/>
      </c>
      <c r="AF352" s="25" t="str">
        <f>IF(AE352="","",IFERROR(INDEX($AN$11:$AN$4010,MATCH(342,$AZ$11:$AZ$4010,0)),""))</f>
        <v/>
      </c>
      <c r="AG352" s="25" t="str">
        <f>IF(AE352="","",IFERROR(INDEX($AO$11:$AO$4010,MATCH(342,$AZ$11:$AZ$4010,0)),""))</f>
        <v/>
      </c>
      <c r="AH352" s="24" t="str">
        <f>IF(AE352="","",IFERROR(INDEX($AQ$11:$AQ$4010,MATCH(342,$AZ$11:$AZ$4010,0)),""))</f>
        <v/>
      </c>
      <c r="AI352" s="29" t="str">
        <f>IF(AE352="","",IFERROR(INDEX($AR$11:$AR$4010,MATCH(342,$AZ$11:$AZ$4010,0)),""))</f>
        <v/>
      </c>
      <c r="AJ352" s="29" t="str">
        <f>IF(AE352="","",IFERROR(INDEX($AT$11:$AT$4010,MATCH(342,$AZ$11:$AZ$4010,0)),""))</f>
        <v/>
      </c>
      <c r="AL352" s="31" t="str">
        <f t="shared" si="73"/>
        <v/>
      </c>
      <c r="AM352" s="26" t="str">
        <f t="shared" si="74"/>
        <v/>
      </c>
      <c r="AN352" s="32" t="str">
        <f t="shared" si="75"/>
        <v/>
      </c>
      <c r="AO352" s="32" t="str">
        <f t="shared" si="76"/>
        <v/>
      </c>
      <c r="AP352" s="24" t="str">
        <f t="shared" si="77"/>
        <v/>
      </c>
      <c r="AQ352" s="24" t="str">
        <f t="shared" si="78"/>
        <v/>
      </c>
      <c r="AR352" s="33" t="str">
        <f t="shared" si="79"/>
        <v/>
      </c>
      <c r="AS352" s="34"/>
      <c r="AT352" s="33"/>
      <c r="AV352" s="21">
        <f>IF(AND($AL352&lt;&gt;"",COUNTIF($AL$11:$AL352,$AL352)=1),1,0)</f>
        <v>0</v>
      </c>
      <c r="AW352" s="21">
        <f t="shared" si="81"/>
        <v>2</v>
      </c>
      <c r="AX352" s="21" t="str">
        <f t="shared" si="80"/>
        <v/>
      </c>
      <c r="AY352" s="21" t="str">
        <f>IF(AND($AM352&lt;&gt;"",$AS352&lt;&gt;"✓"),SUMPRODUCT(($AM$11:$AM352&lt;&gt;"")*($AS$11:$AS352&lt;&gt;"✓")),"")</f>
        <v/>
      </c>
      <c r="AZ352" s="21" t="str">
        <f>IF(AND($AM352&lt;&gt;"",$AS352="✓"),SUMPRODUCT(($AM$11:$AM352&lt;&gt;"")*($AS$11:$AS352="✓")),"")</f>
        <v/>
      </c>
      <c r="BA352" s="21" t="str">
        <f>IF($AL352="","",$AL352&amp;"|"&amp;COUNTIF($AL$11:$AL352,$AL352))</f>
        <v/>
      </c>
    </row>
    <row r="353" spans="2:53" ht="15" customHeight="1" x14ac:dyDescent="0.25">
      <c r="B353" s="5" t="str">
        <f t="shared" si="72"/>
        <v/>
      </c>
      <c r="C353" s="5"/>
      <c r="D353" s="5"/>
      <c r="E353" s="5"/>
      <c r="F353" s="6"/>
      <c r="G353" s="6"/>
      <c r="H353" s="7"/>
      <c r="I353" s="8"/>
      <c r="W353" s="14" t="str">
        <f>IF(X353="","",IFERROR(INDEX($AL$11:$AL$4010,MATCH(343,$AY$11:$AY$4010,0)),""))</f>
        <v/>
      </c>
      <c r="X353" s="12" t="str">
        <f>IFERROR(INDEX($AM$11:$AM$4010,MATCH(343,$AY$11:$AY$4010,0)),"")</f>
        <v/>
      </c>
      <c r="Y353" s="11" t="str">
        <f>IF(X353="","",IFERROR(INDEX($AN$11:$AN$4010,MATCH(343,$AY$11:$AY$4010,0)),""))</f>
        <v/>
      </c>
      <c r="Z353" s="11" t="str">
        <f>IF(X353="","",IFERROR(INDEX($AO$11:$AO$4010,MATCH(343,$AY$11:$AY$4010,0)),""))</f>
        <v/>
      </c>
      <c r="AA353" s="10" t="str">
        <f>IF(X353="","",IFERROR(INDEX($AQ$11:$AQ$4010,MATCH(343,$AY$11:$AY$4010,0)),""))</f>
        <v/>
      </c>
      <c r="AB353" s="15" t="str">
        <f>IF(X353="","",IFERROR(INDEX($AR$11:$AR$4010,MATCH(343,$AY$11:$AY$4010,0)),""))</f>
        <v/>
      </c>
      <c r="AD353" s="16" t="str">
        <f>IF(AE353="","",IFERROR(INDEX($AL$11:$AL$4010,MATCH(343,$AZ$11:$AZ$4010,0)),""))</f>
        <v/>
      </c>
      <c r="AE353" s="12" t="str">
        <f>IFERROR(INDEX($AM$11:$AM$4010,MATCH(343,$AZ$11:$AZ$4010,0)),"")</f>
        <v/>
      </c>
      <c r="AF353" s="11" t="str">
        <f>IF(AE353="","",IFERROR(INDEX($AN$11:$AN$4010,MATCH(343,$AZ$11:$AZ$4010,0)),""))</f>
        <v/>
      </c>
      <c r="AG353" s="11" t="str">
        <f>IF(AE353="","",IFERROR(INDEX($AO$11:$AO$4010,MATCH(343,$AZ$11:$AZ$4010,0)),""))</f>
        <v/>
      </c>
      <c r="AH353" s="10" t="str">
        <f>IF(AE353="","",IFERROR(INDEX($AQ$11:$AQ$4010,MATCH(343,$AZ$11:$AZ$4010,0)),""))</f>
        <v/>
      </c>
      <c r="AI353" s="15" t="str">
        <f>IF(AE353="","",IFERROR(INDEX($AR$11:$AR$4010,MATCH(343,$AZ$11:$AZ$4010,0)),""))</f>
        <v/>
      </c>
      <c r="AJ353" s="15" t="str">
        <f>IF(AE353="","",IFERROR(INDEX($AT$11:$AT$4010,MATCH(343,$AZ$11:$AZ$4010,0)),""))</f>
        <v/>
      </c>
      <c r="AL353" s="17" t="str">
        <f t="shared" si="73"/>
        <v/>
      </c>
      <c r="AM353" s="12" t="str">
        <f t="shared" si="74"/>
        <v/>
      </c>
      <c r="AN353" s="18" t="str">
        <f t="shared" si="75"/>
        <v/>
      </c>
      <c r="AO353" s="18" t="str">
        <f t="shared" si="76"/>
        <v/>
      </c>
      <c r="AP353" s="10" t="str">
        <f t="shared" si="77"/>
        <v/>
      </c>
      <c r="AQ353" s="10" t="str">
        <f t="shared" si="78"/>
        <v/>
      </c>
      <c r="AR353" s="19" t="str">
        <f t="shared" si="79"/>
        <v/>
      </c>
      <c r="AS353" s="20"/>
      <c r="AT353" s="19"/>
      <c r="AV353" s="21">
        <f>IF(AND($AL353&lt;&gt;"",COUNTIF($AL$11:$AL353,$AL353)=1),1,0)</f>
        <v>0</v>
      </c>
      <c r="AW353" s="21">
        <f t="shared" si="81"/>
        <v>2</v>
      </c>
      <c r="AX353" s="21" t="str">
        <f t="shared" si="80"/>
        <v/>
      </c>
      <c r="AY353" s="21" t="str">
        <f>IF(AND($AM353&lt;&gt;"",$AS353&lt;&gt;"✓"),SUMPRODUCT(($AM$11:$AM353&lt;&gt;"")*($AS$11:$AS353&lt;&gt;"✓")),"")</f>
        <v/>
      </c>
      <c r="AZ353" s="21" t="str">
        <f>IF(AND($AM353&lt;&gt;"",$AS353="✓"),SUMPRODUCT(($AM$11:$AM353&lt;&gt;"")*($AS$11:$AS353="✓")),"")</f>
        <v/>
      </c>
      <c r="BA353" s="21" t="str">
        <f>IF($AL353="","",$AL353&amp;"|"&amp;COUNTIF($AL$11:$AL353,$AL353))</f>
        <v/>
      </c>
    </row>
    <row r="354" spans="2:53" ht="15" customHeight="1" x14ac:dyDescent="0.25">
      <c r="B354" s="5" t="str">
        <f t="shared" si="72"/>
        <v/>
      </c>
      <c r="C354" s="5"/>
      <c r="D354" s="5"/>
      <c r="E354" s="5"/>
      <c r="F354" s="6"/>
      <c r="G354" s="6"/>
      <c r="H354" s="7"/>
      <c r="I354" s="8"/>
      <c r="W354" s="28" t="str">
        <f>IF(X354="","",IFERROR(INDEX($AL$11:$AL$4010,MATCH(344,$AY$11:$AY$4010,0)),""))</f>
        <v/>
      </c>
      <c r="X354" s="26" t="str">
        <f>IFERROR(INDEX($AM$11:$AM$4010,MATCH(344,$AY$11:$AY$4010,0)),"")</f>
        <v/>
      </c>
      <c r="Y354" s="25" t="str">
        <f>IF(X354="","",IFERROR(INDEX($AN$11:$AN$4010,MATCH(344,$AY$11:$AY$4010,0)),""))</f>
        <v/>
      </c>
      <c r="Z354" s="25" t="str">
        <f>IF(X354="","",IFERROR(INDEX($AO$11:$AO$4010,MATCH(344,$AY$11:$AY$4010,0)),""))</f>
        <v/>
      </c>
      <c r="AA354" s="24" t="str">
        <f>IF(X354="","",IFERROR(INDEX($AQ$11:$AQ$4010,MATCH(344,$AY$11:$AY$4010,0)),""))</f>
        <v/>
      </c>
      <c r="AB354" s="29" t="str">
        <f>IF(X354="","",IFERROR(INDEX($AR$11:$AR$4010,MATCH(344,$AY$11:$AY$4010,0)),""))</f>
        <v/>
      </c>
      <c r="AD354" s="30" t="str">
        <f>IF(AE354="","",IFERROR(INDEX($AL$11:$AL$4010,MATCH(344,$AZ$11:$AZ$4010,0)),""))</f>
        <v/>
      </c>
      <c r="AE354" s="26" t="str">
        <f>IFERROR(INDEX($AM$11:$AM$4010,MATCH(344,$AZ$11:$AZ$4010,0)),"")</f>
        <v/>
      </c>
      <c r="AF354" s="25" t="str">
        <f>IF(AE354="","",IFERROR(INDEX($AN$11:$AN$4010,MATCH(344,$AZ$11:$AZ$4010,0)),""))</f>
        <v/>
      </c>
      <c r="AG354" s="25" t="str">
        <f>IF(AE354="","",IFERROR(INDEX($AO$11:$AO$4010,MATCH(344,$AZ$11:$AZ$4010,0)),""))</f>
        <v/>
      </c>
      <c r="AH354" s="24" t="str">
        <f>IF(AE354="","",IFERROR(INDEX($AQ$11:$AQ$4010,MATCH(344,$AZ$11:$AZ$4010,0)),""))</f>
        <v/>
      </c>
      <c r="AI354" s="29" t="str">
        <f>IF(AE354="","",IFERROR(INDEX($AR$11:$AR$4010,MATCH(344,$AZ$11:$AZ$4010,0)),""))</f>
        <v/>
      </c>
      <c r="AJ354" s="29" t="str">
        <f>IF(AE354="","",IFERROR(INDEX($AT$11:$AT$4010,MATCH(344,$AZ$11:$AZ$4010,0)),""))</f>
        <v/>
      </c>
      <c r="AL354" s="31" t="str">
        <f t="shared" si="73"/>
        <v/>
      </c>
      <c r="AM354" s="26" t="str">
        <f t="shared" si="74"/>
        <v/>
      </c>
      <c r="AN354" s="32" t="str">
        <f t="shared" si="75"/>
        <v/>
      </c>
      <c r="AO354" s="32" t="str">
        <f t="shared" si="76"/>
        <v/>
      </c>
      <c r="AP354" s="24" t="str">
        <f t="shared" si="77"/>
        <v/>
      </c>
      <c r="AQ354" s="24" t="str">
        <f t="shared" si="78"/>
        <v/>
      </c>
      <c r="AR354" s="33" t="str">
        <f t="shared" si="79"/>
        <v/>
      </c>
      <c r="AS354" s="34"/>
      <c r="AT354" s="33"/>
      <c r="AV354" s="21">
        <f>IF(AND($AL354&lt;&gt;"",COUNTIF($AL$11:$AL354,$AL354)=1),1,0)</f>
        <v>0</v>
      </c>
      <c r="AW354" s="21">
        <f t="shared" si="81"/>
        <v>2</v>
      </c>
      <c r="AX354" s="21" t="str">
        <f t="shared" si="80"/>
        <v/>
      </c>
      <c r="AY354" s="21" t="str">
        <f>IF(AND($AM354&lt;&gt;"",$AS354&lt;&gt;"✓"),SUMPRODUCT(($AM$11:$AM354&lt;&gt;"")*($AS$11:$AS354&lt;&gt;"✓")),"")</f>
        <v/>
      </c>
      <c r="AZ354" s="21" t="str">
        <f>IF(AND($AM354&lt;&gt;"",$AS354="✓"),SUMPRODUCT(($AM$11:$AM354&lt;&gt;"")*($AS$11:$AS354="✓")),"")</f>
        <v/>
      </c>
      <c r="BA354" s="21" t="str">
        <f>IF($AL354="","",$AL354&amp;"|"&amp;COUNTIF($AL$11:$AL354,$AL354))</f>
        <v/>
      </c>
    </row>
    <row r="355" spans="2:53" ht="15" customHeight="1" x14ac:dyDescent="0.25">
      <c r="B355" s="5" t="str">
        <f t="shared" si="72"/>
        <v/>
      </c>
      <c r="C355" s="5"/>
      <c r="D355" s="5"/>
      <c r="E355" s="5"/>
      <c r="F355" s="6"/>
      <c r="G355" s="6"/>
      <c r="H355" s="7"/>
      <c r="I355" s="8"/>
      <c r="W355" s="14" t="str">
        <f>IF(X355="","",IFERROR(INDEX($AL$11:$AL$4010,MATCH(345,$AY$11:$AY$4010,0)),""))</f>
        <v/>
      </c>
      <c r="X355" s="12" t="str">
        <f>IFERROR(INDEX($AM$11:$AM$4010,MATCH(345,$AY$11:$AY$4010,0)),"")</f>
        <v/>
      </c>
      <c r="Y355" s="11" t="str">
        <f>IF(X355="","",IFERROR(INDEX($AN$11:$AN$4010,MATCH(345,$AY$11:$AY$4010,0)),""))</f>
        <v/>
      </c>
      <c r="Z355" s="11" t="str">
        <f>IF(X355="","",IFERROR(INDEX($AO$11:$AO$4010,MATCH(345,$AY$11:$AY$4010,0)),""))</f>
        <v/>
      </c>
      <c r="AA355" s="10" t="str">
        <f>IF(X355="","",IFERROR(INDEX($AQ$11:$AQ$4010,MATCH(345,$AY$11:$AY$4010,0)),""))</f>
        <v/>
      </c>
      <c r="AB355" s="15" t="str">
        <f>IF(X355="","",IFERROR(INDEX($AR$11:$AR$4010,MATCH(345,$AY$11:$AY$4010,0)),""))</f>
        <v/>
      </c>
      <c r="AD355" s="16" t="str">
        <f>IF(AE355="","",IFERROR(INDEX($AL$11:$AL$4010,MATCH(345,$AZ$11:$AZ$4010,0)),""))</f>
        <v/>
      </c>
      <c r="AE355" s="12" t="str">
        <f>IFERROR(INDEX($AM$11:$AM$4010,MATCH(345,$AZ$11:$AZ$4010,0)),"")</f>
        <v/>
      </c>
      <c r="AF355" s="11" t="str">
        <f>IF(AE355="","",IFERROR(INDEX($AN$11:$AN$4010,MATCH(345,$AZ$11:$AZ$4010,0)),""))</f>
        <v/>
      </c>
      <c r="AG355" s="11" t="str">
        <f>IF(AE355="","",IFERROR(INDEX($AO$11:$AO$4010,MATCH(345,$AZ$11:$AZ$4010,0)),""))</f>
        <v/>
      </c>
      <c r="AH355" s="10" t="str">
        <f>IF(AE355="","",IFERROR(INDEX($AQ$11:$AQ$4010,MATCH(345,$AZ$11:$AZ$4010,0)),""))</f>
        <v/>
      </c>
      <c r="AI355" s="15" t="str">
        <f>IF(AE355="","",IFERROR(INDEX($AR$11:$AR$4010,MATCH(345,$AZ$11:$AZ$4010,0)),""))</f>
        <v/>
      </c>
      <c r="AJ355" s="15" t="str">
        <f>IF(AE355="","",IFERROR(INDEX($AT$11:$AT$4010,MATCH(345,$AZ$11:$AZ$4010,0)),""))</f>
        <v/>
      </c>
      <c r="AL355" s="17" t="str">
        <f t="shared" si="73"/>
        <v/>
      </c>
      <c r="AM355" s="12" t="str">
        <f t="shared" si="74"/>
        <v/>
      </c>
      <c r="AN355" s="18" t="str">
        <f t="shared" si="75"/>
        <v/>
      </c>
      <c r="AO355" s="18" t="str">
        <f t="shared" si="76"/>
        <v/>
      </c>
      <c r="AP355" s="10" t="str">
        <f t="shared" si="77"/>
        <v/>
      </c>
      <c r="AQ355" s="10" t="str">
        <f t="shared" si="78"/>
        <v/>
      </c>
      <c r="AR355" s="19" t="str">
        <f t="shared" si="79"/>
        <v/>
      </c>
      <c r="AS355" s="20"/>
      <c r="AT355" s="19"/>
      <c r="AV355" s="21">
        <f>IF(AND($AL355&lt;&gt;"",COUNTIF($AL$11:$AL355,$AL355)=1),1,0)</f>
        <v>0</v>
      </c>
      <c r="AW355" s="21">
        <f t="shared" si="81"/>
        <v>2</v>
      </c>
      <c r="AX355" s="21" t="str">
        <f t="shared" si="80"/>
        <v/>
      </c>
      <c r="AY355" s="21" t="str">
        <f>IF(AND($AM355&lt;&gt;"",$AS355&lt;&gt;"✓"),SUMPRODUCT(($AM$11:$AM355&lt;&gt;"")*($AS$11:$AS355&lt;&gt;"✓")),"")</f>
        <v/>
      </c>
      <c r="AZ355" s="21" t="str">
        <f>IF(AND($AM355&lt;&gt;"",$AS355="✓"),SUMPRODUCT(($AM$11:$AM355&lt;&gt;"")*($AS$11:$AS355="✓")),"")</f>
        <v/>
      </c>
      <c r="BA355" s="21" t="str">
        <f>IF($AL355="","",$AL355&amp;"|"&amp;COUNTIF($AL$11:$AL355,$AL355))</f>
        <v/>
      </c>
    </row>
    <row r="356" spans="2:53" ht="15" customHeight="1" x14ac:dyDescent="0.25">
      <c r="B356" s="5" t="str">
        <f t="shared" si="72"/>
        <v/>
      </c>
      <c r="C356" s="5"/>
      <c r="D356" s="5"/>
      <c r="E356" s="5"/>
      <c r="F356" s="6"/>
      <c r="G356" s="6"/>
      <c r="H356" s="7"/>
      <c r="I356" s="8"/>
      <c r="W356" s="28" t="str">
        <f>IF(X356="","",IFERROR(INDEX($AL$11:$AL$4010,MATCH(346,$AY$11:$AY$4010,0)),""))</f>
        <v/>
      </c>
      <c r="X356" s="26" t="str">
        <f>IFERROR(INDEX($AM$11:$AM$4010,MATCH(346,$AY$11:$AY$4010,0)),"")</f>
        <v/>
      </c>
      <c r="Y356" s="25" t="str">
        <f>IF(X356="","",IFERROR(INDEX($AN$11:$AN$4010,MATCH(346,$AY$11:$AY$4010,0)),""))</f>
        <v/>
      </c>
      <c r="Z356" s="25" t="str">
        <f>IF(X356="","",IFERROR(INDEX($AO$11:$AO$4010,MATCH(346,$AY$11:$AY$4010,0)),""))</f>
        <v/>
      </c>
      <c r="AA356" s="24" t="str">
        <f>IF(X356="","",IFERROR(INDEX($AQ$11:$AQ$4010,MATCH(346,$AY$11:$AY$4010,0)),""))</f>
        <v/>
      </c>
      <c r="AB356" s="29" t="str">
        <f>IF(X356="","",IFERROR(INDEX($AR$11:$AR$4010,MATCH(346,$AY$11:$AY$4010,0)),""))</f>
        <v/>
      </c>
      <c r="AD356" s="30" t="str">
        <f>IF(AE356="","",IFERROR(INDEX($AL$11:$AL$4010,MATCH(346,$AZ$11:$AZ$4010,0)),""))</f>
        <v/>
      </c>
      <c r="AE356" s="26" t="str">
        <f>IFERROR(INDEX($AM$11:$AM$4010,MATCH(346,$AZ$11:$AZ$4010,0)),"")</f>
        <v/>
      </c>
      <c r="AF356" s="25" t="str">
        <f>IF(AE356="","",IFERROR(INDEX($AN$11:$AN$4010,MATCH(346,$AZ$11:$AZ$4010,0)),""))</f>
        <v/>
      </c>
      <c r="AG356" s="25" t="str">
        <f>IF(AE356="","",IFERROR(INDEX($AO$11:$AO$4010,MATCH(346,$AZ$11:$AZ$4010,0)),""))</f>
        <v/>
      </c>
      <c r="AH356" s="24" t="str">
        <f>IF(AE356="","",IFERROR(INDEX($AQ$11:$AQ$4010,MATCH(346,$AZ$11:$AZ$4010,0)),""))</f>
        <v/>
      </c>
      <c r="AI356" s="29" t="str">
        <f>IF(AE356="","",IFERROR(INDEX($AR$11:$AR$4010,MATCH(346,$AZ$11:$AZ$4010,0)),""))</f>
        <v/>
      </c>
      <c r="AJ356" s="29" t="str">
        <f>IF(AE356="","",IFERROR(INDEX($AT$11:$AT$4010,MATCH(346,$AZ$11:$AZ$4010,0)),""))</f>
        <v/>
      </c>
      <c r="AL356" s="31" t="str">
        <f t="shared" si="73"/>
        <v/>
      </c>
      <c r="AM356" s="26" t="str">
        <f t="shared" si="74"/>
        <v/>
      </c>
      <c r="AN356" s="32" t="str">
        <f t="shared" si="75"/>
        <v/>
      </c>
      <c r="AO356" s="32" t="str">
        <f t="shared" si="76"/>
        <v/>
      </c>
      <c r="AP356" s="24" t="str">
        <f t="shared" si="77"/>
        <v/>
      </c>
      <c r="AQ356" s="24" t="str">
        <f t="shared" si="78"/>
        <v/>
      </c>
      <c r="AR356" s="33" t="str">
        <f t="shared" si="79"/>
        <v/>
      </c>
      <c r="AS356" s="34"/>
      <c r="AT356" s="33"/>
      <c r="AV356" s="21">
        <f>IF(AND($AL356&lt;&gt;"",COUNTIF($AL$11:$AL356,$AL356)=1),1,0)</f>
        <v>0</v>
      </c>
      <c r="AW356" s="21">
        <f t="shared" si="81"/>
        <v>2</v>
      </c>
      <c r="AX356" s="21" t="str">
        <f t="shared" si="80"/>
        <v/>
      </c>
      <c r="AY356" s="21" t="str">
        <f>IF(AND($AM356&lt;&gt;"",$AS356&lt;&gt;"✓"),SUMPRODUCT(($AM$11:$AM356&lt;&gt;"")*($AS$11:$AS356&lt;&gt;"✓")),"")</f>
        <v/>
      </c>
      <c r="AZ356" s="21" t="str">
        <f>IF(AND($AM356&lt;&gt;"",$AS356="✓"),SUMPRODUCT(($AM$11:$AM356&lt;&gt;"")*($AS$11:$AS356="✓")),"")</f>
        <v/>
      </c>
      <c r="BA356" s="21" t="str">
        <f>IF($AL356="","",$AL356&amp;"|"&amp;COUNTIF($AL$11:$AL356,$AL356))</f>
        <v/>
      </c>
    </row>
    <row r="357" spans="2:53" ht="15" customHeight="1" x14ac:dyDescent="0.25">
      <c r="B357" s="5" t="str">
        <f t="shared" si="72"/>
        <v/>
      </c>
      <c r="C357" s="5"/>
      <c r="D357" s="5"/>
      <c r="E357" s="5"/>
      <c r="F357" s="6"/>
      <c r="G357" s="6"/>
      <c r="H357" s="7"/>
      <c r="I357" s="8"/>
      <c r="W357" s="14" t="str">
        <f>IF(X357="","",IFERROR(INDEX($AL$11:$AL$4010,MATCH(347,$AY$11:$AY$4010,0)),""))</f>
        <v/>
      </c>
      <c r="X357" s="12" t="str">
        <f>IFERROR(INDEX($AM$11:$AM$4010,MATCH(347,$AY$11:$AY$4010,0)),"")</f>
        <v/>
      </c>
      <c r="Y357" s="11" t="str">
        <f>IF(X357="","",IFERROR(INDEX($AN$11:$AN$4010,MATCH(347,$AY$11:$AY$4010,0)),""))</f>
        <v/>
      </c>
      <c r="Z357" s="11" t="str">
        <f>IF(X357="","",IFERROR(INDEX($AO$11:$AO$4010,MATCH(347,$AY$11:$AY$4010,0)),""))</f>
        <v/>
      </c>
      <c r="AA357" s="10" t="str">
        <f>IF(X357="","",IFERROR(INDEX($AQ$11:$AQ$4010,MATCH(347,$AY$11:$AY$4010,0)),""))</f>
        <v/>
      </c>
      <c r="AB357" s="15" t="str">
        <f>IF(X357="","",IFERROR(INDEX($AR$11:$AR$4010,MATCH(347,$AY$11:$AY$4010,0)),""))</f>
        <v/>
      </c>
      <c r="AD357" s="16" t="str">
        <f>IF(AE357="","",IFERROR(INDEX($AL$11:$AL$4010,MATCH(347,$AZ$11:$AZ$4010,0)),""))</f>
        <v/>
      </c>
      <c r="AE357" s="12" t="str">
        <f>IFERROR(INDEX($AM$11:$AM$4010,MATCH(347,$AZ$11:$AZ$4010,0)),"")</f>
        <v/>
      </c>
      <c r="AF357" s="11" t="str">
        <f>IF(AE357="","",IFERROR(INDEX($AN$11:$AN$4010,MATCH(347,$AZ$11:$AZ$4010,0)),""))</f>
        <v/>
      </c>
      <c r="AG357" s="11" t="str">
        <f>IF(AE357="","",IFERROR(INDEX($AO$11:$AO$4010,MATCH(347,$AZ$11:$AZ$4010,0)),""))</f>
        <v/>
      </c>
      <c r="AH357" s="10" t="str">
        <f>IF(AE357="","",IFERROR(INDEX($AQ$11:$AQ$4010,MATCH(347,$AZ$11:$AZ$4010,0)),""))</f>
        <v/>
      </c>
      <c r="AI357" s="15" t="str">
        <f>IF(AE357="","",IFERROR(INDEX($AR$11:$AR$4010,MATCH(347,$AZ$11:$AZ$4010,0)),""))</f>
        <v/>
      </c>
      <c r="AJ357" s="15" t="str">
        <f>IF(AE357="","",IFERROR(INDEX($AT$11:$AT$4010,MATCH(347,$AZ$11:$AZ$4010,0)),""))</f>
        <v/>
      </c>
      <c r="AL357" s="17" t="str">
        <f t="shared" si="73"/>
        <v/>
      </c>
      <c r="AM357" s="12" t="str">
        <f t="shared" si="74"/>
        <v/>
      </c>
      <c r="AN357" s="18" t="str">
        <f t="shared" si="75"/>
        <v/>
      </c>
      <c r="AO357" s="18" t="str">
        <f t="shared" si="76"/>
        <v/>
      </c>
      <c r="AP357" s="10" t="str">
        <f t="shared" si="77"/>
        <v/>
      </c>
      <c r="AQ357" s="10" t="str">
        <f t="shared" si="78"/>
        <v/>
      </c>
      <c r="AR357" s="19" t="str">
        <f t="shared" si="79"/>
        <v/>
      </c>
      <c r="AS357" s="20"/>
      <c r="AT357" s="19"/>
      <c r="AV357" s="21">
        <f>IF(AND($AL357&lt;&gt;"",COUNTIF($AL$11:$AL357,$AL357)=1),1,0)</f>
        <v>0</v>
      </c>
      <c r="AW357" s="21">
        <f t="shared" si="81"/>
        <v>2</v>
      </c>
      <c r="AX357" s="21" t="str">
        <f t="shared" si="80"/>
        <v/>
      </c>
      <c r="AY357" s="21" t="str">
        <f>IF(AND($AM357&lt;&gt;"",$AS357&lt;&gt;"✓"),SUMPRODUCT(($AM$11:$AM357&lt;&gt;"")*($AS$11:$AS357&lt;&gt;"✓")),"")</f>
        <v/>
      </c>
      <c r="AZ357" s="21" t="str">
        <f>IF(AND($AM357&lt;&gt;"",$AS357="✓"),SUMPRODUCT(($AM$11:$AM357&lt;&gt;"")*($AS$11:$AS357="✓")),"")</f>
        <v/>
      </c>
      <c r="BA357" s="21" t="str">
        <f>IF($AL357="","",$AL357&amp;"|"&amp;COUNTIF($AL$11:$AL357,$AL357))</f>
        <v/>
      </c>
    </row>
    <row r="358" spans="2:53" ht="15" customHeight="1" x14ac:dyDescent="0.25">
      <c r="B358" s="5" t="str">
        <f t="shared" si="72"/>
        <v/>
      </c>
      <c r="C358" s="5"/>
      <c r="D358" s="5"/>
      <c r="E358" s="5"/>
      <c r="F358" s="6"/>
      <c r="G358" s="6"/>
      <c r="H358" s="7"/>
      <c r="I358" s="8"/>
      <c r="W358" s="28" t="str">
        <f>IF(X358="","",IFERROR(INDEX($AL$11:$AL$4010,MATCH(348,$AY$11:$AY$4010,0)),""))</f>
        <v/>
      </c>
      <c r="X358" s="26" t="str">
        <f>IFERROR(INDEX($AM$11:$AM$4010,MATCH(348,$AY$11:$AY$4010,0)),"")</f>
        <v/>
      </c>
      <c r="Y358" s="25" t="str">
        <f>IF(X358="","",IFERROR(INDEX($AN$11:$AN$4010,MATCH(348,$AY$11:$AY$4010,0)),""))</f>
        <v/>
      </c>
      <c r="Z358" s="25" t="str">
        <f>IF(X358="","",IFERROR(INDEX($AO$11:$AO$4010,MATCH(348,$AY$11:$AY$4010,0)),""))</f>
        <v/>
      </c>
      <c r="AA358" s="24" t="str">
        <f>IF(X358="","",IFERROR(INDEX($AQ$11:$AQ$4010,MATCH(348,$AY$11:$AY$4010,0)),""))</f>
        <v/>
      </c>
      <c r="AB358" s="29" t="str">
        <f>IF(X358="","",IFERROR(INDEX($AR$11:$AR$4010,MATCH(348,$AY$11:$AY$4010,0)),""))</f>
        <v/>
      </c>
      <c r="AD358" s="30" t="str">
        <f>IF(AE358="","",IFERROR(INDEX($AL$11:$AL$4010,MATCH(348,$AZ$11:$AZ$4010,0)),""))</f>
        <v/>
      </c>
      <c r="AE358" s="26" t="str">
        <f>IFERROR(INDEX($AM$11:$AM$4010,MATCH(348,$AZ$11:$AZ$4010,0)),"")</f>
        <v/>
      </c>
      <c r="AF358" s="25" t="str">
        <f>IF(AE358="","",IFERROR(INDEX($AN$11:$AN$4010,MATCH(348,$AZ$11:$AZ$4010,0)),""))</f>
        <v/>
      </c>
      <c r="AG358" s="25" t="str">
        <f>IF(AE358="","",IFERROR(INDEX($AO$11:$AO$4010,MATCH(348,$AZ$11:$AZ$4010,0)),""))</f>
        <v/>
      </c>
      <c r="AH358" s="24" t="str">
        <f>IF(AE358="","",IFERROR(INDEX($AQ$11:$AQ$4010,MATCH(348,$AZ$11:$AZ$4010,0)),""))</f>
        <v/>
      </c>
      <c r="AI358" s="29" t="str">
        <f>IF(AE358="","",IFERROR(INDEX($AR$11:$AR$4010,MATCH(348,$AZ$11:$AZ$4010,0)),""))</f>
        <v/>
      </c>
      <c r="AJ358" s="29" t="str">
        <f>IF(AE358="","",IFERROR(INDEX($AT$11:$AT$4010,MATCH(348,$AZ$11:$AZ$4010,0)),""))</f>
        <v/>
      </c>
      <c r="AL358" s="31" t="str">
        <f t="shared" si="73"/>
        <v/>
      </c>
      <c r="AM358" s="26" t="str">
        <f t="shared" si="74"/>
        <v/>
      </c>
      <c r="AN358" s="32" t="str">
        <f t="shared" si="75"/>
        <v/>
      </c>
      <c r="AO358" s="32" t="str">
        <f t="shared" si="76"/>
        <v/>
      </c>
      <c r="AP358" s="24" t="str">
        <f t="shared" si="77"/>
        <v/>
      </c>
      <c r="AQ358" s="24" t="str">
        <f t="shared" si="78"/>
        <v/>
      </c>
      <c r="AR358" s="33" t="str">
        <f t="shared" si="79"/>
        <v/>
      </c>
      <c r="AS358" s="34"/>
      <c r="AT358" s="33"/>
      <c r="AV358" s="21">
        <f>IF(AND($AL358&lt;&gt;"",COUNTIF($AL$11:$AL358,$AL358)=1),1,0)</f>
        <v>0</v>
      </c>
      <c r="AW358" s="21">
        <f t="shared" si="81"/>
        <v>2</v>
      </c>
      <c r="AX358" s="21" t="str">
        <f t="shared" si="80"/>
        <v/>
      </c>
      <c r="AY358" s="21" t="str">
        <f>IF(AND($AM358&lt;&gt;"",$AS358&lt;&gt;"✓"),SUMPRODUCT(($AM$11:$AM358&lt;&gt;"")*($AS$11:$AS358&lt;&gt;"✓")),"")</f>
        <v/>
      </c>
      <c r="AZ358" s="21" t="str">
        <f>IF(AND($AM358&lt;&gt;"",$AS358="✓"),SUMPRODUCT(($AM$11:$AM358&lt;&gt;"")*($AS$11:$AS358="✓")),"")</f>
        <v/>
      </c>
      <c r="BA358" s="21" t="str">
        <f>IF($AL358="","",$AL358&amp;"|"&amp;COUNTIF($AL$11:$AL358,$AL358))</f>
        <v/>
      </c>
    </row>
    <row r="359" spans="2:53" ht="15" customHeight="1" x14ac:dyDescent="0.25">
      <c r="B359" s="5" t="str">
        <f t="shared" si="72"/>
        <v/>
      </c>
      <c r="C359" s="5"/>
      <c r="D359" s="5"/>
      <c r="E359" s="5"/>
      <c r="F359" s="6"/>
      <c r="G359" s="6"/>
      <c r="H359" s="7"/>
      <c r="I359" s="8"/>
      <c r="W359" s="14" t="str">
        <f>IF(X359="","",IFERROR(INDEX($AL$11:$AL$4010,MATCH(349,$AY$11:$AY$4010,0)),""))</f>
        <v/>
      </c>
      <c r="X359" s="12" t="str">
        <f>IFERROR(INDEX($AM$11:$AM$4010,MATCH(349,$AY$11:$AY$4010,0)),"")</f>
        <v/>
      </c>
      <c r="Y359" s="11" t="str">
        <f>IF(X359="","",IFERROR(INDEX($AN$11:$AN$4010,MATCH(349,$AY$11:$AY$4010,0)),""))</f>
        <v/>
      </c>
      <c r="Z359" s="11" t="str">
        <f>IF(X359="","",IFERROR(INDEX($AO$11:$AO$4010,MATCH(349,$AY$11:$AY$4010,0)),""))</f>
        <v/>
      </c>
      <c r="AA359" s="10" t="str">
        <f>IF(X359="","",IFERROR(INDEX($AQ$11:$AQ$4010,MATCH(349,$AY$11:$AY$4010,0)),""))</f>
        <v/>
      </c>
      <c r="AB359" s="15" t="str">
        <f>IF(X359="","",IFERROR(INDEX($AR$11:$AR$4010,MATCH(349,$AY$11:$AY$4010,0)),""))</f>
        <v/>
      </c>
      <c r="AD359" s="16" t="str">
        <f>IF(AE359="","",IFERROR(INDEX($AL$11:$AL$4010,MATCH(349,$AZ$11:$AZ$4010,0)),""))</f>
        <v/>
      </c>
      <c r="AE359" s="12" t="str">
        <f>IFERROR(INDEX($AM$11:$AM$4010,MATCH(349,$AZ$11:$AZ$4010,0)),"")</f>
        <v/>
      </c>
      <c r="AF359" s="11" t="str">
        <f>IF(AE359="","",IFERROR(INDEX($AN$11:$AN$4010,MATCH(349,$AZ$11:$AZ$4010,0)),""))</f>
        <v/>
      </c>
      <c r="AG359" s="11" t="str">
        <f>IF(AE359="","",IFERROR(INDEX($AO$11:$AO$4010,MATCH(349,$AZ$11:$AZ$4010,0)),""))</f>
        <v/>
      </c>
      <c r="AH359" s="10" t="str">
        <f>IF(AE359="","",IFERROR(INDEX($AQ$11:$AQ$4010,MATCH(349,$AZ$11:$AZ$4010,0)),""))</f>
        <v/>
      </c>
      <c r="AI359" s="15" t="str">
        <f>IF(AE359="","",IFERROR(INDEX($AR$11:$AR$4010,MATCH(349,$AZ$11:$AZ$4010,0)),""))</f>
        <v/>
      </c>
      <c r="AJ359" s="15" t="str">
        <f>IF(AE359="","",IFERROR(INDEX($AT$11:$AT$4010,MATCH(349,$AZ$11:$AZ$4010,0)),""))</f>
        <v/>
      </c>
      <c r="AL359" s="17" t="str">
        <f t="shared" si="73"/>
        <v/>
      </c>
      <c r="AM359" s="12" t="str">
        <f t="shared" si="74"/>
        <v/>
      </c>
      <c r="AN359" s="18" t="str">
        <f t="shared" si="75"/>
        <v/>
      </c>
      <c r="AO359" s="18" t="str">
        <f t="shared" si="76"/>
        <v/>
      </c>
      <c r="AP359" s="10" t="str">
        <f t="shared" si="77"/>
        <v/>
      </c>
      <c r="AQ359" s="10" t="str">
        <f t="shared" si="78"/>
        <v/>
      </c>
      <c r="AR359" s="19" t="str">
        <f t="shared" si="79"/>
        <v/>
      </c>
      <c r="AS359" s="20"/>
      <c r="AT359" s="19"/>
      <c r="AV359" s="21">
        <f>IF(AND($AL359&lt;&gt;"",COUNTIF($AL$11:$AL359,$AL359)=1),1,0)</f>
        <v>0</v>
      </c>
      <c r="AW359" s="21">
        <f t="shared" si="81"/>
        <v>2</v>
      </c>
      <c r="AX359" s="21" t="str">
        <f t="shared" si="80"/>
        <v/>
      </c>
      <c r="AY359" s="21" t="str">
        <f>IF(AND($AM359&lt;&gt;"",$AS359&lt;&gt;"✓"),SUMPRODUCT(($AM$11:$AM359&lt;&gt;"")*($AS$11:$AS359&lt;&gt;"✓")),"")</f>
        <v/>
      </c>
      <c r="AZ359" s="21" t="str">
        <f>IF(AND($AM359&lt;&gt;"",$AS359="✓"),SUMPRODUCT(($AM$11:$AM359&lt;&gt;"")*($AS$11:$AS359="✓")),"")</f>
        <v/>
      </c>
      <c r="BA359" s="21" t="str">
        <f>IF($AL359="","",$AL359&amp;"|"&amp;COUNTIF($AL$11:$AL359,$AL359))</f>
        <v/>
      </c>
    </row>
    <row r="360" spans="2:53" ht="15" customHeight="1" x14ac:dyDescent="0.25">
      <c r="B360" s="5" t="str">
        <f t="shared" si="72"/>
        <v/>
      </c>
      <c r="C360" s="5"/>
      <c r="D360" s="5"/>
      <c r="E360" s="5"/>
      <c r="F360" s="6"/>
      <c r="G360" s="6"/>
      <c r="H360" s="7"/>
      <c r="I360" s="8"/>
      <c r="W360" s="28" t="str">
        <f>IF(X360="","",IFERROR(INDEX($AL$11:$AL$4010,MATCH(350,$AY$11:$AY$4010,0)),""))</f>
        <v/>
      </c>
      <c r="X360" s="26" t="str">
        <f>IFERROR(INDEX($AM$11:$AM$4010,MATCH(350,$AY$11:$AY$4010,0)),"")</f>
        <v/>
      </c>
      <c r="Y360" s="25" t="str">
        <f>IF(X360="","",IFERROR(INDEX($AN$11:$AN$4010,MATCH(350,$AY$11:$AY$4010,0)),""))</f>
        <v/>
      </c>
      <c r="Z360" s="25" t="str">
        <f>IF(X360="","",IFERROR(INDEX($AO$11:$AO$4010,MATCH(350,$AY$11:$AY$4010,0)),""))</f>
        <v/>
      </c>
      <c r="AA360" s="24" t="str">
        <f>IF(X360="","",IFERROR(INDEX($AQ$11:$AQ$4010,MATCH(350,$AY$11:$AY$4010,0)),""))</f>
        <v/>
      </c>
      <c r="AB360" s="29" t="str">
        <f>IF(X360="","",IFERROR(INDEX($AR$11:$AR$4010,MATCH(350,$AY$11:$AY$4010,0)),""))</f>
        <v/>
      </c>
      <c r="AD360" s="30" t="str">
        <f>IF(AE360="","",IFERROR(INDEX($AL$11:$AL$4010,MATCH(350,$AZ$11:$AZ$4010,0)),""))</f>
        <v/>
      </c>
      <c r="AE360" s="26" t="str">
        <f>IFERROR(INDEX($AM$11:$AM$4010,MATCH(350,$AZ$11:$AZ$4010,0)),"")</f>
        <v/>
      </c>
      <c r="AF360" s="25" t="str">
        <f>IF(AE360="","",IFERROR(INDEX($AN$11:$AN$4010,MATCH(350,$AZ$11:$AZ$4010,0)),""))</f>
        <v/>
      </c>
      <c r="AG360" s="25" t="str">
        <f>IF(AE360="","",IFERROR(INDEX($AO$11:$AO$4010,MATCH(350,$AZ$11:$AZ$4010,0)),""))</f>
        <v/>
      </c>
      <c r="AH360" s="24" t="str">
        <f>IF(AE360="","",IFERROR(INDEX($AQ$11:$AQ$4010,MATCH(350,$AZ$11:$AZ$4010,0)),""))</f>
        <v/>
      </c>
      <c r="AI360" s="29" t="str">
        <f>IF(AE360="","",IFERROR(INDEX($AR$11:$AR$4010,MATCH(350,$AZ$11:$AZ$4010,0)),""))</f>
        <v/>
      </c>
      <c r="AJ360" s="29" t="str">
        <f>IF(AE360="","",IFERROR(INDEX($AT$11:$AT$4010,MATCH(350,$AZ$11:$AZ$4010,0)),""))</f>
        <v/>
      </c>
      <c r="AL360" s="31" t="str">
        <f t="shared" si="73"/>
        <v/>
      </c>
      <c r="AM360" s="26" t="str">
        <f t="shared" si="74"/>
        <v/>
      </c>
      <c r="AN360" s="32" t="str">
        <f t="shared" si="75"/>
        <v/>
      </c>
      <c r="AO360" s="32" t="str">
        <f t="shared" si="76"/>
        <v/>
      </c>
      <c r="AP360" s="24" t="str">
        <f t="shared" si="77"/>
        <v/>
      </c>
      <c r="AQ360" s="24" t="str">
        <f t="shared" si="78"/>
        <v/>
      </c>
      <c r="AR360" s="33" t="str">
        <f t="shared" si="79"/>
        <v/>
      </c>
      <c r="AS360" s="34"/>
      <c r="AT360" s="33"/>
      <c r="AV360" s="21">
        <f>IF(AND($AL360&lt;&gt;"",COUNTIF($AL$11:$AL360,$AL360)=1),1,0)</f>
        <v>0</v>
      </c>
      <c r="AW360" s="21">
        <f t="shared" si="81"/>
        <v>2</v>
      </c>
      <c r="AX360" s="21" t="str">
        <f t="shared" si="80"/>
        <v/>
      </c>
      <c r="AY360" s="21" t="str">
        <f>IF(AND($AM360&lt;&gt;"",$AS360&lt;&gt;"✓"),SUMPRODUCT(($AM$11:$AM360&lt;&gt;"")*($AS$11:$AS360&lt;&gt;"✓")),"")</f>
        <v/>
      </c>
      <c r="AZ360" s="21" t="str">
        <f>IF(AND($AM360&lt;&gt;"",$AS360="✓"),SUMPRODUCT(($AM$11:$AM360&lt;&gt;"")*($AS$11:$AS360="✓")),"")</f>
        <v/>
      </c>
      <c r="BA360" s="21" t="str">
        <f>IF($AL360="","",$AL360&amp;"|"&amp;COUNTIF($AL$11:$AL360,$AL360))</f>
        <v/>
      </c>
    </row>
    <row r="361" spans="2:53" ht="15" customHeight="1" x14ac:dyDescent="0.25">
      <c r="B361" s="5" t="str">
        <f t="shared" si="72"/>
        <v/>
      </c>
      <c r="C361" s="5"/>
      <c r="D361" s="5"/>
      <c r="E361" s="5"/>
      <c r="F361" s="6"/>
      <c r="G361" s="6"/>
      <c r="H361" s="7"/>
      <c r="I361" s="8"/>
      <c r="W361" s="14" t="str">
        <f>IF(X361="","",IFERROR(INDEX($AL$11:$AL$4010,MATCH(351,$AY$11:$AY$4010,0)),""))</f>
        <v/>
      </c>
      <c r="X361" s="12" t="str">
        <f>IFERROR(INDEX($AM$11:$AM$4010,MATCH(351,$AY$11:$AY$4010,0)),"")</f>
        <v/>
      </c>
      <c r="Y361" s="11" t="str">
        <f>IF(X361="","",IFERROR(INDEX($AN$11:$AN$4010,MATCH(351,$AY$11:$AY$4010,0)),""))</f>
        <v/>
      </c>
      <c r="Z361" s="11" t="str">
        <f>IF(X361="","",IFERROR(INDEX($AO$11:$AO$4010,MATCH(351,$AY$11:$AY$4010,0)),""))</f>
        <v/>
      </c>
      <c r="AA361" s="10" t="str">
        <f>IF(X361="","",IFERROR(INDEX($AQ$11:$AQ$4010,MATCH(351,$AY$11:$AY$4010,0)),""))</f>
        <v/>
      </c>
      <c r="AB361" s="15" t="str">
        <f>IF(X361="","",IFERROR(INDEX($AR$11:$AR$4010,MATCH(351,$AY$11:$AY$4010,0)),""))</f>
        <v/>
      </c>
      <c r="AD361" s="16" t="str">
        <f>IF(AE361="","",IFERROR(INDEX($AL$11:$AL$4010,MATCH(351,$AZ$11:$AZ$4010,0)),""))</f>
        <v/>
      </c>
      <c r="AE361" s="12" t="str">
        <f>IFERROR(INDEX($AM$11:$AM$4010,MATCH(351,$AZ$11:$AZ$4010,0)),"")</f>
        <v/>
      </c>
      <c r="AF361" s="11" t="str">
        <f>IF(AE361="","",IFERROR(INDEX($AN$11:$AN$4010,MATCH(351,$AZ$11:$AZ$4010,0)),""))</f>
        <v/>
      </c>
      <c r="AG361" s="11" t="str">
        <f>IF(AE361="","",IFERROR(INDEX($AO$11:$AO$4010,MATCH(351,$AZ$11:$AZ$4010,0)),""))</f>
        <v/>
      </c>
      <c r="AH361" s="10" t="str">
        <f>IF(AE361="","",IFERROR(INDEX($AQ$11:$AQ$4010,MATCH(351,$AZ$11:$AZ$4010,0)),""))</f>
        <v/>
      </c>
      <c r="AI361" s="15" t="str">
        <f>IF(AE361="","",IFERROR(INDEX($AR$11:$AR$4010,MATCH(351,$AZ$11:$AZ$4010,0)),""))</f>
        <v/>
      </c>
      <c r="AJ361" s="15" t="str">
        <f>IF(AE361="","",IFERROR(INDEX($AT$11:$AT$4010,MATCH(351,$AZ$11:$AZ$4010,0)),""))</f>
        <v/>
      </c>
      <c r="AL361" s="17" t="str">
        <f t="shared" si="73"/>
        <v/>
      </c>
      <c r="AM361" s="12" t="str">
        <f t="shared" si="74"/>
        <v/>
      </c>
      <c r="AN361" s="18" t="str">
        <f t="shared" si="75"/>
        <v/>
      </c>
      <c r="AO361" s="18" t="str">
        <f t="shared" si="76"/>
        <v/>
      </c>
      <c r="AP361" s="10" t="str">
        <f t="shared" si="77"/>
        <v/>
      </c>
      <c r="AQ361" s="10" t="str">
        <f t="shared" si="78"/>
        <v/>
      </c>
      <c r="AR361" s="19" t="str">
        <f t="shared" si="79"/>
        <v/>
      </c>
      <c r="AS361" s="20"/>
      <c r="AT361" s="19"/>
      <c r="AV361" s="21">
        <f>IF(AND($AL361&lt;&gt;"",COUNTIF($AL$11:$AL361,$AL361)=1),1,0)</f>
        <v>0</v>
      </c>
      <c r="AW361" s="21">
        <f t="shared" si="81"/>
        <v>2</v>
      </c>
      <c r="AX361" s="21" t="str">
        <f t="shared" si="80"/>
        <v/>
      </c>
      <c r="AY361" s="21" t="str">
        <f>IF(AND($AM361&lt;&gt;"",$AS361&lt;&gt;"✓"),SUMPRODUCT(($AM$11:$AM361&lt;&gt;"")*($AS$11:$AS361&lt;&gt;"✓")),"")</f>
        <v/>
      </c>
      <c r="AZ361" s="21" t="str">
        <f>IF(AND($AM361&lt;&gt;"",$AS361="✓"),SUMPRODUCT(($AM$11:$AM361&lt;&gt;"")*($AS$11:$AS361="✓")),"")</f>
        <v/>
      </c>
      <c r="BA361" s="21" t="str">
        <f>IF($AL361="","",$AL361&amp;"|"&amp;COUNTIF($AL$11:$AL361,$AL361))</f>
        <v/>
      </c>
    </row>
    <row r="362" spans="2:53" ht="15" customHeight="1" x14ac:dyDescent="0.25">
      <c r="B362" s="5" t="str">
        <f t="shared" si="72"/>
        <v/>
      </c>
      <c r="C362" s="5"/>
      <c r="D362" s="5"/>
      <c r="E362" s="5"/>
      <c r="F362" s="6"/>
      <c r="G362" s="6"/>
      <c r="H362" s="7"/>
      <c r="I362" s="8"/>
      <c r="W362" s="28" t="str">
        <f>IF(X362="","",IFERROR(INDEX($AL$11:$AL$4010,MATCH(352,$AY$11:$AY$4010,0)),""))</f>
        <v/>
      </c>
      <c r="X362" s="26" t="str">
        <f>IFERROR(INDEX($AM$11:$AM$4010,MATCH(352,$AY$11:$AY$4010,0)),"")</f>
        <v/>
      </c>
      <c r="Y362" s="25" t="str">
        <f>IF(X362="","",IFERROR(INDEX($AN$11:$AN$4010,MATCH(352,$AY$11:$AY$4010,0)),""))</f>
        <v/>
      </c>
      <c r="Z362" s="25" t="str">
        <f>IF(X362="","",IFERROR(INDEX($AO$11:$AO$4010,MATCH(352,$AY$11:$AY$4010,0)),""))</f>
        <v/>
      </c>
      <c r="AA362" s="24" t="str">
        <f>IF(X362="","",IFERROR(INDEX($AQ$11:$AQ$4010,MATCH(352,$AY$11:$AY$4010,0)),""))</f>
        <v/>
      </c>
      <c r="AB362" s="29" t="str">
        <f>IF(X362="","",IFERROR(INDEX($AR$11:$AR$4010,MATCH(352,$AY$11:$AY$4010,0)),""))</f>
        <v/>
      </c>
      <c r="AD362" s="30" t="str">
        <f>IF(AE362="","",IFERROR(INDEX($AL$11:$AL$4010,MATCH(352,$AZ$11:$AZ$4010,0)),""))</f>
        <v/>
      </c>
      <c r="AE362" s="26" t="str">
        <f>IFERROR(INDEX($AM$11:$AM$4010,MATCH(352,$AZ$11:$AZ$4010,0)),"")</f>
        <v/>
      </c>
      <c r="AF362" s="25" t="str">
        <f>IF(AE362="","",IFERROR(INDEX($AN$11:$AN$4010,MATCH(352,$AZ$11:$AZ$4010,0)),""))</f>
        <v/>
      </c>
      <c r="AG362" s="25" t="str">
        <f>IF(AE362="","",IFERROR(INDEX($AO$11:$AO$4010,MATCH(352,$AZ$11:$AZ$4010,0)),""))</f>
        <v/>
      </c>
      <c r="AH362" s="24" t="str">
        <f>IF(AE362="","",IFERROR(INDEX($AQ$11:$AQ$4010,MATCH(352,$AZ$11:$AZ$4010,0)),""))</f>
        <v/>
      </c>
      <c r="AI362" s="29" t="str">
        <f>IF(AE362="","",IFERROR(INDEX($AR$11:$AR$4010,MATCH(352,$AZ$11:$AZ$4010,0)),""))</f>
        <v/>
      </c>
      <c r="AJ362" s="29" t="str">
        <f>IF(AE362="","",IFERROR(INDEX($AT$11:$AT$4010,MATCH(352,$AZ$11:$AZ$4010,0)),""))</f>
        <v/>
      </c>
      <c r="AL362" s="31" t="str">
        <f t="shared" si="73"/>
        <v/>
      </c>
      <c r="AM362" s="26" t="str">
        <f t="shared" si="74"/>
        <v/>
      </c>
      <c r="AN362" s="32" t="str">
        <f t="shared" si="75"/>
        <v/>
      </c>
      <c r="AO362" s="32" t="str">
        <f t="shared" si="76"/>
        <v/>
      </c>
      <c r="AP362" s="24" t="str">
        <f t="shared" si="77"/>
        <v/>
      </c>
      <c r="AQ362" s="24" t="str">
        <f t="shared" si="78"/>
        <v/>
      </c>
      <c r="AR362" s="33" t="str">
        <f t="shared" si="79"/>
        <v/>
      </c>
      <c r="AS362" s="34"/>
      <c r="AT362" s="33"/>
      <c r="AV362" s="21">
        <f>IF(AND($AL362&lt;&gt;"",COUNTIF($AL$11:$AL362,$AL362)=1),1,0)</f>
        <v>0</v>
      </c>
      <c r="AW362" s="21">
        <f t="shared" si="81"/>
        <v>2</v>
      </c>
      <c r="AX362" s="21" t="str">
        <f t="shared" si="80"/>
        <v/>
      </c>
      <c r="AY362" s="21" t="str">
        <f>IF(AND($AM362&lt;&gt;"",$AS362&lt;&gt;"✓"),SUMPRODUCT(($AM$11:$AM362&lt;&gt;"")*($AS$11:$AS362&lt;&gt;"✓")),"")</f>
        <v/>
      </c>
      <c r="AZ362" s="21" t="str">
        <f>IF(AND($AM362&lt;&gt;"",$AS362="✓"),SUMPRODUCT(($AM$11:$AM362&lt;&gt;"")*($AS$11:$AS362="✓")),"")</f>
        <v/>
      </c>
      <c r="BA362" s="21" t="str">
        <f>IF($AL362="","",$AL362&amp;"|"&amp;COUNTIF($AL$11:$AL362,$AL362))</f>
        <v/>
      </c>
    </row>
    <row r="363" spans="2:53" ht="15" customHeight="1" x14ac:dyDescent="0.25">
      <c r="B363" s="5" t="str">
        <f t="shared" si="72"/>
        <v/>
      </c>
      <c r="C363" s="5"/>
      <c r="D363" s="5"/>
      <c r="E363" s="5"/>
      <c r="F363" s="6"/>
      <c r="G363" s="6"/>
      <c r="H363" s="7"/>
      <c r="I363" s="8"/>
      <c r="W363" s="14" t="str">
        <f>IF(X363="","",IFERROR(INDEX($AL$11:$AL$4010,MATCH(353,$AY$11:$AY$4010,0)),""))</f>
        <v/>
      </c>
      <c r="X363" s="12" t="str">
        <f>IFERROR(INDEX($AM$11:$AM$4010,MATCH(353,$AY$11:$AY$4010,0)),"")</f>
        <v/>
      </c>
      <c r="Y363" s="11" t="str">
        <f>IF(X363="","",IFERROR(INDEX($AN$11:$AN$4010,MATCH(353,$AY$11:$AY$4010,0)),""))</f>
        <v/>
      </c>
      <c r="Z363" s="11" t="str">
        <f>IF(X363="","",IFERROR(INDEX($AO$11:$AO$4010,MATCH(353,$AY$11:$AY$4010,0)),""))</f>
        <v/>
      </c>
      <c r="AA363" s="10" t="str">
        <f>IF(X363="","",IFERROR(INDEX($AQ$11:$AQ$4010,MATCH(353,$AY$11:$AY$4010,0)),""))</f>
        <v/>
      </c>
      <c r="AB363" s="15" t="str">
        <f>IF(X363="","",IFERROR(INDEX($AR$11:$AR$4010,MATCH(353,$AY$11:$AY$4010,0)),""))</f>
        <v/>
      </c>
      <c r="AD363" s="16" t="str">
        <f>IF(AE363="","",IFERROR(INDEX($AL$11:$AL$4010,MATCH(353,$AZ$11:$AZ$4010,0)),""))</f>
        <v/>
      </c>
      <c r="AE363" s="12" t="str">
        <f>IFERROR(INDEX($AM$11:$AM$4010,MATCH(353,$AZ$11:$AZ$4010,0)),"")</f>
        <v/>
      </c>
      <c r="AF363" s="11" t="str">
        <f>IF(AE363="","",IFERROR(INDEX($AN$11:$AN$4010,MATCH(353,$AZ$11:$AZ$4010,0)),""))</f>
        <v/>
      </c>
      <c r="AG363" s="11" t="str">
        <f>IF(AE363="","",IFERROR(INDEX($AO$11:$AO$4010,MATCH(353,$AZ$11:$AZ$4010,0)),""))</f>
        <v/>
      </c>
      <c r="AH363" s="10" t="str">
        <f>IF(AE363="","",IFERROR(INDEX($AQ$11:$AQ$4010,MATCH(353,$AZ$11:$AZ$4010,0)),""))</f>
        <v/>
      </c>
      <c r="AI363" s="15" t="str">
        <f>IF(AE363="","",IFERROR(INDEX($AR$11:$AR$4010,MATCH(353,$AZ$11:$AZ$4010,0)),""))</f>
        <v/>
      </c>
      <c r="AJ363" s="15" t="str">
        <f>IF(AE363="","",IFERROR(INDEX($AT$11:$AT$4010,MATCH(353,$AZ$11:$AZ$4010,0)),""))</f>
        <v/>
      </c>
      <c r="AL363" s="17" t="str">
        <f t="shared" si="73"/>
        <v/>
      </c>
      <c r="AM363" s="12" t="str">
        <f t="shared" si="74"/>
        <v/>
      </c>
      <c r="AN363" s="18" t="str">
        <f t="shared" si="75"/>
        <v/>
      </c>
      <c r="AO363" s="18" t="str">
        <f t="shared" si="76"/>
        <v/>
      </c>
      <c r="AP363" s="10" t="str">
        <f t="shared" si="77"/>
        <v/>
      </c>
      <c r="AQ363" s="10" t="str">
        <f t="shared" si="78"/>
        <v/>
      </c>
      <c r="AR363" s="19" t="str">
        <f t="shared" si="79"/>
        <v/>
      </c>
      <c r="AS363" s="20"/>
      <c r="AT363" s="19"/>
      <c r="AV363" s="21">
        <f>IF(AND($AL363&lt;&gt;"",COUNTIF($AL$11:$AL363,$AL363)=1),1,0)</f>
        <v>0</v>
      </c>
      <c r="AW363" s="21">
        <f t="shared" si="81"/>
        <v>2</v>
      </c>
      <c r="AX363" s="21" t="str">
        <f t="shared" si="80"/>
        <v/>
      </c>
      <c r="AY363" s="21" t="str">
        <f>IF(AND($AM363&lt;&gt;"",$AS363&lt;&gt;"✓"),SUMPRODUCT(($AM$11:$AM363&lt;&gt;"")*($AS$11:$AS363&lt;&gt;"✓")),"")</f>
        <v/>
      </c>
      <c r="AZ363" s="21" t="str">
        <f>IF(AND($AM363&lt;&gt;"",$AS363="✓"),SUMPRODUCT(($AM$11:$AM363&lt;&gt;"")*($AS$11:$AS363="✓")),"")</f>
        <v/>
      </c>
      <c r="BA363" s="21" t="str">
        <f>IF($AL363="","",$AL363&amp;"|"&amp;COUNTIF($AL$11:$AL363,$AL363))</f>
        <v/>
      </c>
    </row>
    <row r="364" spans="2:53" ht="15" customHeight="1" x14ac:dyDescent="0.25">
      <c r="B364" s="5" t="str">
        <f t="shared" si="72"/>
        <v/>
      </c>
      <c r="C364" s="5"/>
      <c r="D364" s="5"/>
      <c r="E364" s="5"/>
      <c r="F364" s="6"/>
      <c r="G364" s="6"/>
      <c r="H364" s="7"/>
      <c r="I364" s="8"/>
      <c r="W364" s="28" t="str">
        <f>IF(X364="","",IFERROR(INDEX($AL$11:$AL$4010,MATCH(354,$AY$11:$AY$4010,0)),""))</f>
        <v/>
      </c>
      <c r="X364" s="26" t="str">
        <f>IFERROR(INDEX($AM$11:$AM$4010,MATCH(354,$AY$11:$AY$4010,0)),"")</f>
        <v/>
      </c>
      <c r="Y364" s="25" t="str">
        <f>IF(X364="","",IFERROR(INDEX($AN$11:$AN$4010,MATCH(354,$AY$11:$AY$4010,0)),""))</f>
        <v/>
      </c>
      <c r="Z364" s="25" t="str">
        <f>IF(X364="","",IFERROR(INDEX($AO$11:$AO$4010,MATCH(354,$AY$11:$AY$4010,0)),""))</f>
        <v/>
      </c>
      <c r="AA364" s="24" t="str">
        <f>IF(X364="","",IFERROR(INDEX($AQ$11:$AQ$4010,MATCH(354,$AY$11:$AY$4010,0)),""))</f>
        <v/>
      </c>
      <c r="AB364" s="29" t="str">
        <f>IF(X364="","",IFERROR(INDEX($AR$11:$AR$4010,MATCH(354,$AY$11:$AY$4010,0)),""))</f>
        <v/>
      </c>
      <c r="AD364" s="30" t="str">
        <f>IF(AE364="","",IFERROR(INDEX($AL$11:$AL$4010,MATCH(354,$AZ$11:$AZ$4010,0)),""))</f>
        <v/>
      </c>
      <c r="AE364" s="26" t="str">
        <f>IFERROR(INDEX($AM$11:$AM$4010,MATCH(354,$AZ$11:$AZ$4010,0)),"")</f>
        <v/>
      </c>
      <c r="AF364" s="25" t="str">
        <f>IF(AE364="","",IFERROR(INDEX($AN$11:$AN$4010,MATCH(354,$AZ$11:$AZ$4010,0)),""))</f>
        <v/>
      </c>
      <c r="AG364" s="25" t="str">
        <f>IF(AE364="","",IFERROR(INDEX($AO$11:$AO$4010,MATCH(354,$AZ$11:$AZ$4010,0)),""))</f>
        <v/>
      </c>
      <c r="AH364" s="24" t="str">
        <f>IF(AE364="","",IFERROR(INDEX($AQ$11:$AQ$4010,MATCH(354,$AZ$11:$AZ$4010,0)),""))</f>
        <v/>
      </c>
      <c r="AI364" s="29" t="str">
        <f>IF(AE364="","",IFERROR(INDEX($AR$11:$AR$4010,MATCH(354,$AZ$11:$AZ$4010,0)),""))</f>
        <v/>
      </c>
      <c r="AJ364" s="29" t="str">
        <f>IF(AE364="","",IFERROR(INDEX($AT$11:$AT$4010,MATCH(354,$AZ$11:$AZ$4010,0)),""))</f>
        <v/>
      </c>
      <c r="AL364" s="31" t="str">
        <f t="shared" si="73"/>
        <v/>
      </c>
      <c r="AM364" s="26" t="str">
        <f t="shared" si="74"/>
        <v/>
      </c>
      <c r="AN364" s="32" t="str">
        <f t="shared" si="75"/>
        <v/>
      </c>
      <c r="AO364" s="32" t="str">
        <f t="shared" si="76"/>
        <v/>
      </c>
      <c r="AP364" s="24" t="str">
        <f t="shared" si="77"/>
        <v/>
      </c>
      <c r="AQ364" s="24" t="str">
        <f t="shared" si="78"/>
        <v/>
      </c>
      <c r="AR364" s="33" t="str">
        <f t="shared" si="79"/>
        <v/>
      </c>
      <c r="AS364" s="34"/>
      <c r="AT364" s="33"/>
      <c r="AV364" s="21">
        <f>IF(AND($AL364&lt;&gt;"",COUNTIF($AL$11:$AL364,$AL364)=1),1,0)</f>
        <v>0</v>
      </c>
      <c r="AW364" s="21">
        <f t="shared" si="81"/>
        <v>2</v>
      </c>
      <c r="AX364" s="21" t="str">
        <f t="shared" si="80"/>
        <v/>
      </c>
      <c r="AY364" s="21" t="str">
        <f>IF(AND($AM364&lt;&gt;"",$AS364&lt;&gt;"✓"),SUMPRODUCT(($AM$11:$AM364&lt;&gt;"")*($AS$11:$AS364&lt;&gt;"✓")),"")</f>
        <v/>
      </c>
      <c r="AZ364" s="21" t="str">
        <f>IF(AND($AM364&lt;&gt;"",$AS364="✓"),SUMPRODUCT(($AM$11:$AM364&lt;&gt;"")*($AS$11:$AS364="✓")),"")</f>
        <v/>
      </c>
      <c r="BA364" s="21" t="str">
        <f>IF($AL364="","",$AL364&amp;"|"&amp;COUNTIF($AL$11:$AL364,$AL364))</f>
        <v/>
      </c>
    </row>
    <row r="365" spans="2:53" ht="15" customHeight="1" x14ac:dyDescent="0.25">
      <c r="B365" s="5" t="str">
        <f t="shared" si="72"/>
        <v/>
      </c>
      <c r="C365" s="5"/>
      <c r="D365" s="5"/>
      <c r="E365" s="5"/>
      <c r="F365" s="6"/>
      <c r="G365" s="6"/>
      <c r="H365" s="7"/>
      <c r="I365" s="8"/>
      <c r="W365" s="14" t="str">
        <f>IF(X365="","",IFERROR(INDEX($AL$11:$AL$4010,MATCH(355,$AY$11:$AY$4010,0)),""))</f>
        <v/>
      </c>
      <c r="X365" s="12" t="str">
        <f>IFERROR(INDEX($AM$11:$AM$4010,MATCH(355,$AY$11:$AY$4010,0)),"")</f>
        <v/>
      </c>
      <c r="Y365" s="11" t="str">
        <f>IF(X365="","",IFERROR(INDEX($AN$11:$AN$4010,MATCH(355,$AY$11:$AY$4010,0)),""))</f>
        <v/>
      </c>
      <c r="Z365" s="11" t="str">
        <f>IF(X365="","",IFERROR(INDEX($AO$11:$AO$4010,MATCH(355,$AY$11:$AY$4010,0)),""))</f>
        <v/>
      </c>
      <c r="AA365" s="10" t="str">
        <f>IF(X365="","",IFERROR(INDEX($AQ$11:$AQ$4010,MATCH(355,$AY$11:$AY$4010,0)),""))</f>
        <v/>
      </c>
      <c r="AB365" s="15" t="str">
        <f>IF(X365="","",IFERROR(INDEX($AR$11:$AR$4010,MATCH(355,$AY$11:$AY$4010,0)),""))</f>
        <v/>
      </c>
      <c r="AD365" s="16" t="str">
        <f>IF(AE365="","",IFERROR(INDEX($AL$11:$AL$4010,MATCH(355,$AZ$11:$AZ$4010,0)),""))</f>
        <v/>
      </c>
      <c r="AE365" s="12" t="str">
        <f>IFERROR(INDEX($AM$11:$AM$4010,MATCH(355,$AZ$11:$AZ$4010,0)),"")</f>
        <v/>
      </c>
      <c r="AF365" s="11" t="str">
        <f>IF(AE365="","",IFERROR(INDEX($AN$11:$AN$4010,MATCH(355,$AZ$11:$AZ$4010,0)),""))</f>
        <v/>
      </c>
      <c r="AG365" s="11" t="str">
        <f>IF(AE365="","",IFERROR(INDEX($AO$11:$AO$4010,MATCH(355,$AZ$11:$AZ$4010,0)),""))</f>
        <v/>
      </c>
      <c r="AH365" s="10" t="str">
        <f>IF(AE365="","",IFERROR(INDEX($AQ$11:$AQ$4010,MATCH(355,$AZ$11:$AZ$4010,0)),""))</f>
        <v/>
      </c>
      <c r="AI365" s="15" t="str">
        <f>IF(AE365="","",IFERROR(INDEX($AR$11:$AR$4010,MATCH(355,$AZ$11:$AZ$4010,0)),""))</f>
        <v/>
      </c>
      <c r="AJ365" s="15" t="str">
        <f>IF(AE365="","",IFERROR(INDEX($AT$11:$AT$4010,MATCH(355,$AZ$11:$AZ$4010,0)),""))</f>
        <v/>
      </c>
      <c r="AL365" s="17" t="str">
        <f t="shared" si="73"/>
        <v/>
      </c>
      <c r="AM365" s="12" t="str">
        <f t="shared" si="74"/>
        <v/>
      </c>
      <c r="AN365" s="18" t="str">
        <f t="shared" si="75"/>
        <v/>
      </c>
      <c r="AO365" s="18" t="str">
        <f t="shared" si="76"/>
        <v/>
      </c>
      <c r="AP365" s="10" t="str">
        <f t="shared" si="77"/>
        <v/>
      </c>
      <c r="AQ365" s="10" t="str">
        <f t="shared" si="78"/>
        <v/>
      </c>
      <c r="AR365" s="19" t="str">
        <f t="shared" si="79"/>
        <v/>
      </c>
      <c r="AS365" s="20"/>
      <c r="AT365" s="19"/>
      <c r="AV365" s="21">
        <f>IF(AND($AL365&lt;&gt;"",COUNTIF($AL$11:$AL365,$AL365)=1),1,0)</f>
        <v>0</v>
      </c>
      <c r="AW365" s="21">
        <f t="shared" si="81"/>
        <v>2</v>
      </c>
      <c r="AX365" s="21" t="str">
        <f t="shared" si="80"/>
        <v/>
      </c>
      <c r="AY365" s="21" t="str">
        <f>IF(AND($AM365&lt;&gt;"",$AS365&lt;&gt;"✓"),SUMPRODUCT(($AM$11:$AM365&lt;&gt;"")*($AS$11:$AS365&lt;&gt;"✓")),"")</f>
        <v/>
      </c>
      <c r="AZ365" s="21" t="str">
        <f>IF(AND($AM365&lt;&gt;"",$AS365="✓"),SUMPRODUCT(($AM$11:$AM365&lt;&gt;"")*($AS$11:$AS365="✓")),"")</f>
        <v/>
      </c>
      <c r="BA365" s="21" t="str">
        <f>IF($AL365="","",$AL365&amp;"|"&amp;COUNTIF($AL$11:$AL365,$AL365))</f>
        <v/>
      </c>
    </row>
    <row r="366" spans="2:53" ht="15" customHeight="1" x14ac:dyDescent="0.25">
      <c r="B366" s="5" t="str">
        <f t="shared" si="72"/>
        <v/>
      </c>
      <c r="C366" s="5"/>
      <c r="D366" s="5"/>
      <c r="E366" s="5"/>
      <c r="F366" s="6"/>
      <c r="G366" s="6"/>
      <c r="H366" s="7"/>
      <c r="I366" s="8"/>
      <c r="W366" s="28" t="str">
        <f>IF(X366="","",IFERROR(INDEX($AL$11:$AL$4010,MATCH(356,$AY$11:$AY$4010,0)),""))</f>
        <v/>
      </c>
      <c r="X366" s="26" t="str">
        <f>IFERROR(INDEX($AM$11:$AM$4010,MATCH(356,$AY$11:$AY$4010,0)),"")</f>
        <v/>
      </c>
      <c r="Y366" s="25" t="str">
        <f>IF(X366="","",IFERROR(INDEX($AN$11:$AN$4010,MATCH(356,$AY$11:$AY$4010,0)),""))</f>
        <v/>
      </c>
      <c r="Z366" s="25" t="str">
        <f>IF(X366="","",IFERROR(INDEX($AO$11:$AO$4010,MATCH(356,$AY$11:$AY$4010,0)),""))</f>
        <v/>
      </c>
      <c r="AA366" s="24" t="str">
        <f>IF(X366="","",IFERROR(INDEX($AQ$11:$AQ$4010,MATCH(356,$AY$11:$AY$4010,0)),""))</f>
        <v/>
      </c>
      <c r="AB366" s="29" t="str">
        <f>IF(X366="","",IFERROR(INDEX($AR$11:$AR$4010,MATCH(356,$AY$11:$AY$4010,0)),""))</f>
        <v/>
      </c>
      <c r="AD366" s="30" t="str">
        <f>IF(AE366="","",IFERROR(INDEX($AL$11:$AL$4010,MATCH(356,$AZ$11:$AZ$4010,0)),""))</f>
        <v/>
      </c>
      <c r="AE366" s="26" t="str">
        <f>IFERROR(INDEX($AM$11:$AM$4010,MATCH(356,$AZ$11:$AZ$4010,0)),"")</f>
        <v/>
      </c>
      <c r="AF366" s="25" t="str">
        <f>IF(AE366="","",IFERROR(INDEX($AN$11:$AN$4010,MATCH(356,$AZ$11:$AZ$4010,0)),""))</f>
        <v/>
      </c>
      <c r="AG366" s="25" t="str">
        <f>IF(AE366="","",IFERROR(INDEX($AO$11:$AO$4010,MATCH(356,$AZ$11:$AZ$4010,0)),""))</f>
        <v/>
      </c>
      <c r="AH366" s="24" t="str">
        <f>IF(AE366="","",IFERROR(INDEX($AQ$11:$AQ$4010,MATCH(356,$AZ$11:$AZ$4010,0)),""))</f>
        <v/>
      </c>
      <c r="AI366" s="29" t="str">
        <f>IF(AE366="","",IFERROR(INDEX($AR$11:$AR$4010,MATCH(356,$AZ$11:$AZ$4010,0)),""))</f>
        <v/>
      </c>
      <c r="AJ366" s="29" t="str">
        <f>IF(AE366="","",IFERROR(INDEX($AT$11:$AT$4010,MATCH(356,$AZ$11:$AZ$4010,0)),""))</f>
        <v/>
      </c>
      <c r="AL366" s="31" t="str">
        <f t="shared" si="73"/>
        <v/>
      </c>
      <c r="AM366" s="26" t="str">
        <f t="shared" si="74"/>
        <v/>
      </c>
      <c r="AN366" s="32" t="str">
        <f t="shared" si="75"/>
        <v/>
      </c>
      <c r="AO366" s="32" t="str">
        <f t="shared" si="76"/>
        <v/>
      </c>
      <c r="AP366" s="24" t="str">
        <f t="shared" si="77"/>
        <v/>
      </c>
      <c r="AQ366" s="24" t="str">
        <f t="shared" si="78"/>
        <v/>
      </c>
      <c r="AR366" s="33" t="str">
        <f t="shared" si="79"/>
        <v/>
      </c>
      <c r="AS366" s="34"/>
      <c r="AT366" s="33"/>
      <c r="AV366" s="21">
        <f>IF(AND($AL366&lt;&gt;"",COUNTIF($AL$11:$AL366,$AL366)=1),1,0)</f>
        <v>0</v>
      </c>
      <c r="AW366" s="21">
        <f t="shared" si="81"/>
        <v>2</v>
      </c>
      <c r="AX366" s="21" t="str">
        <f t="shared" si="80"/>
        <v/>
      </c>
      <c r="AY366" s="21" t="str">
        <f>IF(AND($AM366&lt;&gt;"",$AS366&lt;&gt;"✓"),SUMPRODUCT(($AM$11:$AM366&lt;&gt;"")*($AS$11:$AS366&lt;&gt;"✓")),"")</f>
        <v/>
      </c>
      <c r="AZ366" s="21" t="str">
        <f>IF(AND($AM366&lt;&gt;"",$AS366="✓"),SUMPRODUCT(($AM$11:$AM366&lt;&gt;"")*($AS$11:$AS366="✓")),"")</f>
        <v/>
      </c>
      <c r="BA366" s="21" t="str">
        <f>IF($AL366="","",$AL366&amp;"|"&amp;COUNTIF($AL$11:$AL366,$AL366))</f>
        <v/>
      </c>
    </row>
    <row r="367" spans="2:53" ht="15" customHeight="1" x14ac:dyDescent="0.25">
      <c r="B367" s="5" t="str">
        <f t="shared" si="72"/>
        <v/>
      </c>
      <c r="C367" s="5"/>
      <c r="D367" s="5"/>
      <c r="E367" s="5"/>
      <c r="F367" s="6"/>
      <c r="G367" s="6"/>
      <c r="H367" s="7"/>
      <c r="I367" s="8"/>
      <c r="W367" s="14" t="str">
        <f>IF(X367="","",IFERROR(INDEX($AL$11:$AL$4010,MATCH(357,$AY$11:$AY$4010,0)),""))</f>
        <v/>
      </c>
      <c r="X367" s="12" t="str">
        <f>IFERROR(INDEX($AM$11:$AM$4010,MATCH(357,$AY$11:$AY$4010,0)),"")</f>
        <v/>
      </c>
      <c r="Y367" s="11" t="str">
        <f>IF(X367="","",IFERROR(INDEX($AN$11:$AN$4010,MATCH(357,$AY$11:$AY$4010,0)),""))</f>
        <v/>
      </c>
      <c r="Z367" s="11" t="str">
        <f>IF(X367="","",IFERROR(INDEX($AO$11:$AO$4010,MATCH(357,$AY$11:$AY$4010,0)),""))</f>
        <v/>
      </c>
      <c r="AA367" s="10" t="str">
        <f>IF(X367="","",IFERROR(INDEX($AQ$11:$AQ$4010,MATCH(357,$AY$11:$AY$4010,0)),""))</f>
        <v/>
      </c>
      <c r="AB367" s="15" t="str">
        <f>IF(X367="","",IFERROR(INDEX($AR$11:$AR$4010,MATCH(357,$AY$11:$AY$4010,0)),""))</f>
        <v/>
      </c>
      <c r="AD367" s="16" t="str">
        <f>IF(AE367="","",IFERROR(INDEX($AL$11:$AL$4010,MATCH(357,$AZ$11:$AZ$4010,0)),""))</f>
        <v/>
      </c>
      <c r="AE367" s="12" t="str">
        <f>IFERROR(INDEX($AM$11:$AM$4010,MATCH(357,$AZ$11:$AZ$4010,0)),"")</f>
        <v/>
      </c>
      <c r="AF367" s="11" t="str">
        <f>IF(AE367="","",IFERROR(INDEX($AN$11:$AN$4010,MATCH(357,$AZ$11:$AZ$4010,0)),""))</f>
        <v/>
      </c>
      <c r="AG367" s="11" t="str">
        <f>IF(AE367="","",IFERROR(INDEX($AO$11:$AO$4010,MATCH(357,$AZ$11:$AZ$4010,0)),""))</f>
        <v/>
      </c>
      <c r="AH367" s="10" t="str">
        <f>IF(AE367="","",IFERROR(INDEX($AQ$11:$AQ$4010,MATCH(357,$AZ$11:$AZ$4010,0)),""))</f>
        <v/>
      </c>
      <c r="AI367" s="15" t="str">
        <f>IF(AE367="","",IFERROR(INDEX($AR$11:$AR$4010,MATCH(357,$AZ$11:$AZ$4010,0)),""))</f>
        <v/>
      </c>
      <c r="AJ367" s="15" t="str">
        <f>IF(AE367="","",IFERROR(INDEX($AT$11:$AT$4010,MATCH(357,$AZ$11:$AZ$4010,0)),""))</f>
        <v/>
      </c>
      <c r="AL367" s="17" t="str">
        <f t="shared" si="73"/>
        <v/>
      </c>
      <c r="AM367" s="12" t="str">
        <f t="shared" si="74"/>
        <v/>
      </c>
      <c r="AN367" s="18" t="str">
        <f t="shared" si="75"/>
        <v/>
      </c>
      <c r="AO367" s="18" t="str">
        <f t="shared" si="76"/>
        <v/>
      </c>
      <c r="AP367" s="10" t="str">
        <f t="shared" si="77"/>
        <v/>
      </c>
      <c r="AQ367" s="10" t="str">
        <f t="shared" si="78"/>
        <v/>
      </c>
      <c r="AR367" s="19" t="str">
        <f t="shared" si="79"/>
        <v/>
      </c>
      <c r="AS367" s="20"/>
      <c r="AT367" s="19"/>
      <c r="AV367" s="21">
        <f>IF(AND($AL367&lt;&gt;"",COUNTIF($AL$11:$AL367,$AL367)=1),1,0)</f>
        <v>0</v>
      </c>
      <c r="AW367" s="21">
        <f t="shared" si="81"/>
        <v>2</v>
      </c>
      <c r="AX367" s="21" t="str">
        <f t="shared" si="80"/>
        <v/>
      </c>
      <c r="AY367" s="21" t="str">
        <f>IF(AND($AM367&lt;&gt;"",$AS367&lt;&gt;"✓"),SUMPRODUCT(($AM$11:$AM367&lt;&gt;"")*($AS$11:$AS367&lt;&gt;"✓")),"")</f>
        <v/>
      </c>
      <c r="AZ367" s="21" t="str">
        <f>IF(AND($AM367&lt;&gt;"",$AS367="✓"),SUMPRODUCT(($AM$11:$AM367&lt;&gt;"")*($AS$11:$AS367="✓")),"")</f>
        <v/>
      </c>
      <c r="BA367" s="21" t="str">
        <f>IF($AL367="","",$AL367&amp;"|"&amp;COUNTIF($AL$11:$AL367,$AL367))</f>
        <v/>
      </c>
    </row>
    <row r="368" spans="2:53" ht="15" customHeight="1" x14ac:dyDescent="0.25">
      <c r="B368" s="5" t="str">
        <f t="shared" si="72"/>
        <v/>
      </c>
      <c r="C368" s="5"/>
      <c r="D368" s="5"/>
      <c r="E368" s="5"/>
      <c r="F368" s="6"/>
      <c r="G368" s="6"/>
      <c r="H368" s="7"/>
      <c r="I368" s="8"/>
      <c r="W368" s="28" t="str">
        <f>IF(X368="","",IFERROR(INDEX($AL$11:$AL$4010,MATCH(358,$AY$11:$AY$4010,0)),""))</f>
        <v/>
      </c>
      <c r="X368" s="26" t="str">
        <f>IFERROR(INDEX($AM$11:$AM$4010,MATCH(358,$AY$11:$AY$4010,0)),"")</f>
        <v/>
      </c>
      <c r="Y368" s="25" t="str">
        <f>IF(X368="","",IFERROR(INDEX($AN$11:$AN$4010,MATCH(358,$AY$11:$AY$4010,0)),""))</f>
        <v/>
      </c>
      <c r="Z368" s="25" t="str">
        <f>IF(X368="","",IFERROR(INDEX($AO$11:$AO$4010,MATCH(358,$AY$11:$AY$4010,0)),""))</f>
        <v/>
      </c>
      <c r="AA368" s="24" t="str">
        <f>IF(X368="","",IFERROR(INDEX($AQ$11:$AQ$4010,MATCH(358,$AY$11:$AY$4010,0)),""))</f>
        <v/>
      </c>
      <c r="AB368" s="29" t="str">
        <f>IF(X368="","",IFERROR(INDEX($AR$11:$AR$4010,MATCH(358,$AY$11:$AY$4010,0)),""))</f>
        <v/>
      </c>
      <c r="AD368" s="30" t="str">
        <f>IF(AE368="","",IFERROR(INDEX($AL$11:$AL$4010,MATCH(358,$AZ$11:$AZ$4010,0)),""))</f>
        <v/>
      </c>
      <c r="AE368" s="26" t="str">
        <f>IFERROR(INDEX($AM$11:$AM$4010,MATCH(358,$AZ$11:$AZ$4010,0)),"")</f>
        <v/>
      </c>
      <c r="AF368" s="25" t="str">
        <f>IF(AE368="","",IFERROR(INDEX($AN$11:$AN$4010,MATCH(358,$AZ$11:$AZ$4010,0)),""))</f>
        <v/>
      </c>
      <c r="AG368" s="25" t="str">
        <f>IF(AE368="","",IFERROR(INDEX($AO$11:$AO$4010,MATCH(358,$AZ$11:$AZ$4010,0)),""))</f>
        <v/>
      </c>
      <c r="AH368" s="24" t="str">
        <f>IF(AE368="","",IFERROR(INDEX($AQ$11:$AQ$4010,MATCH(358,$AZ$11:$AZ$4010,0)),""))</f>
        <v/>
      </c>
      <c r="AI368" s="29" t="str">
        <f>IF(AE368="","",IFERROR(INDEX($AR$11:$AR$4010,MATCH(358,$AZ$11:$AZ$4010,0)),""))</f>
        <v/>
      </c>
      <c r="AJ368" s="29" t="str">
        <f>IF(AE368="","",IFERROR(INDEX($AT$11:$AT$4010,MATCH(358,$AZ$11:$AZ$4010,0)),""))</f>
        <v/>
      </c>
      <c r="AL368" s="31" t="str">
        <f t="shared" si="73"/>
        <v/>
      </c>
      <c r="AM368" s="26" t="str">
        <f t="shared" si="74"/>
        <v/>
      </c>
      <c r="AN368" s="32" t="str">
        <f t="shared" si="75"/>
        <v/>
      </c>
      <c r="AO368" s="32" t="str">
        <f t="shared" si="76"/>
        <v/>
      </c>
      <c r="AP368" s="24" t="str">
        <f t="shared" si="77"/>
        <v/>
      </c>
      <c r="AQ368" s="24" t="str">
        <f t="shared" si="78"/>
        <v/>
      </c>
      <c r="AR368" s="33" t="str">
        <f t="shared" si="79"/>
        <v/>
      </c>
      <c r="AS368" s="34"/>
      <c r="AT368" s="33"/>
      <c r="AV368" s="21">
        <f>IF(AND($AL368&lt;&gt;"",COUNTIF($AL$11:$AL368,$AL368)=1),1,0)</f>
        <v>0</v>
      </c>
      <c r="AW368" s="21">
        <f t="shared" si="81"/>
        <v>2</v>
      </c>
      <c r="AX368" s="21" t="str">
        <f t="shared" si="80"/>
        <v/>
      </c>
      <c r="AY368" s="21" t="str">
        <f>IF(AND($AM368&lt;&gt;"",$AS368&lt;&gt;"✓"),SUMPRODUCT(($AM$11:$AM368&lt;&gt;"")*($AS$11:$AS368&lt;&gt;"✓")),"")</f>
        <v/>
      </c>
      <c r="AZ368" s="21" t="str">
        <f>IF(AND($AM368&lt;&gt;"",$AS368="✓"),SUMPRODUCT(($AM$11:$AM368&lt;&gt;"")*($AS$11:$AS368="✓")),"")</f>
        <v/>
      </c>
      <c r="BA368" s="21" t="str">
        <f>IF($AL368="","",$AL368&amp;"|"&amp;COUNTIF($AL$11:$AL368,$AL368))</f>
        <v/>
      </c>
    </row>
    <row r="369" spans="2:53" ht="15" customHeight="1" x14ac:dyDescent="0.25">
      <c r="B369" s="5" t="str">
        <f t="shared" si="72"/>
        <v/>
      </c>
      <c r="C369" s="5"/>
      <c r="D369" s="5"/>
      <c r="E369" s="5"/>
      <c r="F369" s="6"/>
      <c r="G369" s="6"/>
      <c r="H369" s="7"/>
      <c r="I369" s="8"/>
      <c r="W369" s="14" t="str">
        <f>IF(X369="","",IFERROR(INDEX($AL$11:$AL$4010,MATCH(359,$AY$11:$AY$4010,0)),""))</f>
        <v/>
      </c>
      <c r="X369" s="12" t="str">
        <f>IFERROR(INDEX($AM$11:$AM$4010,MATCH(359,$AY$11:$AY$4010,0)),"")</f>
        <v/>
      </c>
      <c r="Y369" s="11" t="str">
        <f>IF(X369="","",IFERROR(INDEX($AN$11:$AN$4010,MATCH(359,$AY$11:$AY$4010,0)),""))</f>
        <v/>
      </c>
      <c r="Z369" s="11" t="str">
        <f>IF(X369="","",IFERROR(INDEX($AO$11:$AO$4010,MATCH(359,$AY$11:$AY$4010,0)),""))</f>
        <v/>
      </c>
      <c r="AA369" s="10" t="str">
        <f>IF(X369="","",IFERROR(INDEX($AQ$11:$AQ$4010,MATCH(359,$AY$11:$AY$4010,0)),""))</f>
        <v/>
      </c>
      <c r="AB369" s="15" t="str">
        <f>IF(X369="","",IFERROR(INDEX($AR$11:$AR$4010,MATCH(359,$AY$11:$AY$4010,0)),""))</f>
        <v/>
      </c>
      <c r="AD369" s="16" t="str">
        <f>IF(AE369="","",IFERROR(INDEX($AL$11:$AL$4010,MATCH(359,$AZ$11:$AZ$4010,0)),""))</f>
        <v/>
      </c>
      <c r="AE369" s="12" t="str">
        <f>IFERROR(INDEX($AM$11:$AM$4010,MATCH(359,$AZ$11:$AZ$4010,0)),"")</f>
        <v/>
      </c>
      <c r="AF369" s="11" t="str">
        <f>IF(AE369="","",IFERROR(INDEX($AN$11:$AN$4010,MATCH(359,$AZ$11:$AZ$4010,0)),""))</f>
        <v/>
      </c>
      <c r="AG369" s="11" t="str">
        <f>IF(AE369="","",IFERROR(INDEX($AO$11:$AO$4010,MATCH(359,$AZ$11:$AZ$4010,0)),""))</f>
        <v/>
      </c>
      <c r="AH369" s="10" t="str">
        <f>IF(AE369="","",IFERROR(INDEX($AQ$11:$AQ$4010,MATCH(359,$AZ$11:$AZ$4010,0)),""))</f>
        <v/>
      </c>
      <c r="AI369" s="15" t="str">
        <f>IF(AE369="","",IFERROR(INDEX($AR$11:$AR$4010,MATCH(359,$AZ$11:$AZ$4010,0)),""))</f>
        <v/>
      </c>
      <c r="AJ369" s="15" t="str">
        <f>IF(AE369="","",IFERROR(INDEX($AT$11:$AT$4010,MATCH(359,$AZ$11:$AZ$4010,0)),""))</f>
        <v/>
      </c>
      <c r="AL369" s="17" t="str">
        <f t="shared" si="73"/>
        <v/>
      </c>
      <c r="AM369" s="12" t="str">
        <f t="shared" si="74"/>
        <v/>
      </c>
      <c r="AN369" s="18" t="str">
        <f t="shared" si="75"/>
        <v/>
      </c>
      <c r="AO369" s="18" t="str">
        <f t="shared" si="76"/>
        <v/>
      </c>
      <c r="AP369" s="10" t="str">
        <f t="shared" si="77"/>
        <v/>
      </c>
      <c r="AQ369" s="10" t="str">
        <f t="shared" si="78"/>
        <v/>
      </c>
      <c r="AR369" s="19" t="str">
        <f t="shared" si="79"/>
        <v/>
      </c>
      <c r="AS369" s="20"/>
      <c r="AT369" s="19"/>
      <c r="AV369" s="21">
        <f>IF(AND($AL369&lt;&gt;"",COUNTIF($AL$11:$AL369,$AL369)=1),1,0)</f>
        <v>0</v>
      </c>
      <c r="AW369" s="21">
        <f t="shared" si="81"/>
        <v>2</v>
      </c>
      <c r="AX369" s="21" t="str">
        <f t="shared" si="80"/>
        <v/>
      </c>
      <c r="AY369" s="21" t="str">
        <f>IF(AND($AM369&lt;&gt;"",$AS369&lt;&gt;"✓"),SUMPRODUCT(($AM$11:$AM369&lt;&gt;"")*($AS$11:$AS369&lt;&gt;"✓")),"")</f>
        <v/>
      </c>
      <c r="AZ369" s="21" t="str">
        <f>IF(AND($AM369&lt;&gt;"",$AS369="✓"),SUMPRODUCT(($AM$11:$AM369&lt;&gt;"")*($AS$11:$AS369="✓")),"")</f>
        <v/>
      </c>
      <c r="BA369" s="21" t="str">
        <f>IF($AL369="","",$AL369&amp;"|"&amp;COUNTIF($AL$11:$AL369,$AL369))</f>
        <v/>
      </c>
    </row>
    <row r="370" spans="2:53" ht="15" customHeight="1" x14ac:dyDescent="0.25">
      <c r="B370" s="5" t="str">
        <f t="shared" si="72"/>
        <v/>
      </c>
      <c r="C370" s="5"/>
      <c r="D370" s="5"/>
      <c r="E370" s="5"/>
      <c r="F370" s="6"/>
      <c r="G370" s="6"/>
      <c r="H370" s="7"/>
      <c r="I370" s="8"/>
      <c r="W370" s="28" t="str">
        <f>IF(X370="","",IFERROR(INDEX($AL$11:$AL$4010,MATCH(360,$AY$11:$AY$4010,0)),""))</f>
        <v/>
      </c>
      <c r="X370" s="26" t="str">
        <f>IFERROR(INDEX($AM$11:$AM$4010,MATCH(360,$AY$11:$AY$4010,0)),"")</f>
        <v/>
      </c>
      <c r="Y370" s="25" t="str">
        <f>IF(X370="","",IFERROR(INDEX($AN$11:$AN$4010,MATCH(360,$AY$11:$AY$4010,0)),""))</f>
        <v/>
      </c>
      <c r="Z370" s="25" t="str">
        <f>IF(X370="","",IFERROR(INDEX($AO$11:$AO$4010,MATCH(360,$AY$11:$AY$4010,0)),""))</f>
        <v/>
      </c>
      <c r="AA370" s="24" t="str">
        <f>IF(X370="","",IFERROR(INDEX($AQ$11:$AQ$4010,MATCH(360,$AY$11:$AY$4010,0)),""))</f>
        <v/>
      </c>
      <c r="AB370" s="29" t="str">
        <f>IF(X370="","",IFERROR(INDEX($AR$11:$AR$4010,MATCH(360,$AY$11:$AY$4010,0)),""))</f>
        <v/>
      </c>
      <c r="AD370" s="30" t="str">
        <f>IF(AE370="","",IFERROR(INDEX($AL$11:$AL$4010,MATCH(360,$AZ$11:$AZ$4010,0)),""))</f>
        <v/>
      </c>
      <c r="AE370" s="26" t="str">
        <f>IFERROR(INDEX($AM$11:$AM$4010,MATCH(360,$AZ$11:$AZ$4010,0)),"")</f>
        <v/>
      </c>
      <c r="AF370" s="25" t="str">
        <f>IF(AE370="","",IFERROR(INDEX($AN$11:$AN$4010,MATCH(360,$AZ$11:$AZ$4010,0)),""))</f>
        <v/>
      </c>
      <c r="AG370" s="25" t="str">
        <f>IF(AE370="","",IFERROR(INDEX($AO$11:$AO$4010,MATCH(360,$AZ$11:$AZ$4010,0)),""))</f>
        <v/>
      </c>
      <c r="AH370" s="24" t="str">
        <f>IF(AE370="","",IFERROR(INDEX($AQ$11:$AQ$4010,MATCH(360,$AZ$11:$AZ$4010,0)),""))</f>
        <v/>
      </c>
      <c r="AI370" s="29" t="str">
        <f>IF(AE370="","",IFERROR(INDEX($AR$11:$AR$4010,MATCH(360,$AZ$11:$AZ$4010,0)),""))</f>
        <v/>
      </c>
      <c r="AJ370" s="29" t="str">
        <f>IF(AE370="","",IFERROR(INDEX($AT$11:$AT$4010,MATCH(360,$AZ$11:$AZ$4010,0)),""))</f>
        <v/>
      </c>
      <c r="AL370" s="31" t="str">
        <f t="shared" si="73"/>
        <v/>
      </c>
      <c r="AM370" s="26" t="str">
        <f t="shared" si="74"/>
        <v/>
      </c>
      <c r="AN370" s="32" t="str">
        <f t="shared" si="75"/>
        <v/>
      </c>
      <c r="AO370" s="32" t="str">
        <f t="shared" si="76"/>
        <v/>
      </c>
      <c r="AP370" s="24" t="str">
        <f t="shared" si="77"/>
        <v/>
      </c>
      <c r="AQ370" s="24" t="str">
        <f t="shared" si="78"/>
        <v/>
      </c>
      <c r="AR370" s="33" t="str">
        <f t="shared" si="79"/>
        <v/>
      </c>
      <c r="AS370" s="34"/>
      <c r="AT370" s="33"/>
      <c r="AV370" s="21">
        <f>IF(AND($AL370&lt;&gt;"",COUNTIF($AL$11:$AL370,$AL370)=1),1,0)</f>
        <v>0</v>
      </c>
      <c r="AW370" s="21">
        <f t="shared" si="81"/>
        <v>2</v>
      </c>
      <c r="AX370" s="21" t="str">
        <f t="shared" si="80"/>
        <v/>
      </c>
      <c r="AY370" s="21" t="str">
        <f>IF(AND($AM370&lt;&gt;"",$AS370&lt;&gt;"✓"),SUMPRODUCT(($AM$11:$AM370&lt;&gt;"")*($AS$11:$AS370&lt;&gt;"✓")),"")</f>
        <v/>
      </c>
      <c r="AZ370" s="21" t="str">
        <f>IF(AND($AM370&lt;&gt;"",$AS370="✓"),SUMPRODUCT(($AM$11:$AM370&lt;&gt;"")*($AS$11:$AS370="✓")),"")</f>
        <v/>
      </c>
      <c r="BA370" s="21" t="str">
        <f>IF($AL370="","",$AL370&amp;"|"&amp;COUNTIF($AL$11:$AL370,$AL370))</f>
        <v/>
      </c>
    </row>
    <row r="371" spans="2:53" ht="15" customHeight="1" x14ac:dyDescent="0.25">
      <c r="B371" s="5" t="str">
        <f t="shared" si="72"/>
        <v/>
      </c>
      <c r="C371" s="5"/>
      <c r="D371" s="5"/>
      <c r="E371" s="5"/>
      <c r="F371" s="6"/>
      <c r="G371" s="6"/>
      <c r="H371" s="7"/>
      <c r="I371" s="8"/>
      <c r="W371" s="14" t="str">
        <f>IF(X371="","",IFERROR(INDEX($AL$11:$AL$4010,MATCH(361,$AY$11:$AY$4010,0)),""))</f>
        <v/>
      </c>
      <c r="X371" s="12" t="str">
        <f>IFERROR(INDEX($AM$11:$AM$4010,MATCH(361,$AY$11:$AY$4010,0)),"")</f>
        <v/>
      </c>
      <c r="Y371" s="11" t="str">
        <f>IF(X371="","",IFERROR(INDEX($AN$11:$AN$4010,MATCH(361,$AY$11:$AY$4010,0)),""))</f>
        <v/>
      </c>
      <c r="Z371" s="11" t="str">
        <f>IF(X371="","",IFERROR(INDEX($AO$11:$AO$4010,MATCH(361,$AY$11:$AY$4010,0)),""))</f>
        <v/>
      </c>
      <c r="AA371" s="10" t="str">
        <f>IF(X371="","",IFERROR(INDEX($AQ$11:$AQ$4010,MATCH(361,$AY$11:$AY$4010,0)),""))</f>
        <v/>
      </c>
      <c r="AB371" s="15" t="str">
        <f>IF(X371="","",IFERROR(INDEX($AR$11:$AR$4010,MATCH(361,$AY$11:$AY$4010,0)),""))</f>
        <v/>
      </c>
      <c r="AD371" s="16" t="str">
        <f>IF(AE371="","",IFERROR(INDEX($AL$11:$AL$4010,MATCH(361,$AZ$11:$AZ$4010,0)),""))</f>
        <v/>
      </c>
      <c r="AE371" s="12" t="str">
        <f>IFERROR(INDEX($AM$11:$AM$4010,MATCH(361,$AZ$11:$AZ$4010,0)),"")</f>
        <v/>
      </c>
      <c r="AF371" s="11" t="str">
        <f>IF(AE371="","",IFERROR(INDEX($AN$11:$AN$4010,MATCH(361,$AZ$11:$AZ$4010,0)),""))</f>
        <v/>
      </c>
      <c r="AG371" s="11" t="str">
        <f>IF(AE371="","",IFERROR(INDEX($AO$11:$AO$4010,MATCH(361,$AZ$11:$AZ$4010,0)),""))</f>
        <v/>
      </c>
      <c r="AH371" s="10" t="str">
        <f>IF(AE371="","",IFERROR(INDEX($AQ$11:$AQ$4010,MATCH(361,$AZ$11:$AZ$4010,0)),""))</f>
        <v/>
      </c>
      <c r="AI371" s="15" t="str">
        <f>IF(AE371="","",IFERROR(INDEX($AR$11:$AR$4010,MATCH(361,$AZ$11:$AZ$4010,0)),""))</f>
        <v/>
      </c>
      <c r="AJ371" s="15" t="str">
        <f>IF(AE371="","",IFERROR(INDEX($AT$11:$AT$4010,MATCH(361,$AZ$11:$AZ$4010,0)),""))</f>
        <v/>
      </c>
      <c r="AL371" s="17" t="str">
        <f t="shared" si="73"/>
        <v/>
      </c>
      <c r="AM371" s="12" t="str">
        <f t="shared" si="74"/>
        <v/>
      </c>
      <c r="AN371" s="18" t="str">
        <f t="shared" si="75"/>
        <v/>
      </c>
      <c r="AO371" s="18" t="str">
        <f t="shared" si="76"/>
        <v/>
      </c>
      <c r="AP371" s="10" t="str">
        <f t="shared" si="77"/>
        <v/>
      </c>
      <c r="AQ371" s="10" t="str">
        <f t="shared" si="78"/>
        <v/>
      </c>
      <c r="AR371" s="19" t="str">
        <f t="shared" si="79"/>
        <v/>
      </c>
      <c r="AS371" s="20"/>
      <c r="AT371" s="19"/>
      <c r="AV371" s="21">
        <f>IF(AND($AL371&lt;&gt;"",COUNTIF($AL$11:$AL371,$AL371)=1),1,0)</f>
        <v>0</v>
      </c>
      <c r="AW371" s="21">
        <f t="shared" si="81"/>
        <v>2</v>
      </c>
      <c r="AX371" s="21" t="str">
        <f t="shared" si="80"/>
        <v/>
      </c>
      <c r="AY371" s="21" t="str">
        <f>IF(AND($AM371&lt;&gt;"",$AS371&lt;&gt;"✓"),SUMPRODUCT(($AM$11:$AM371&lt;&gt;"")*($AS$11:$AS371&lt;&gt;"✓")),"")</f>
        <v/>
      </c>
      <c r="AZ371" s="21" t="str">
        <f>IF(AND($AM371&lt;&gt;"",$AS371="✓"),SUMPRODUCT(($AM$11:$AM371&lt;&gt;"")*($AS$11:$AS371="✓")),"")</f>
        <v/>
      </c>
      <c r="BA371" s="21" t="str">
        <f>IF($AL371="","",$AL371&amp;"|"&amp;COUNTIF($AL$11:$AL371,$AL371))</f>
        <v/>
      </c>
    </row>
    <row r="372" spans="2:53" ht="15" customHeight="1" x14ac:dyDescent="0.25">
      <c r="B372" s="5" t="str">
        <f t="shared" si="72"/>
        <v/>
      </c>
      <c r="C372" s="5"/>
      <c r="D372" s="5"/>
      <c r="E372" s="5"/>
      <c r="F372" s="6"/>
      <c r="G372" s="6"/>
      <c r="H372" s="7"/>
      <c r="I372" s="8"/>
      <c r="W372" s="28" t="str">
        <f>IF(X372="","",IFERROR(INDEX($AL$11:$AL$4010,MATCH(362,$AY$11:$AY$4010,0)),""))</f>
        <v/>
      </c>
      <c r="X372" s="26" t="str">
        <f>IFERROR(INDEX($AM$11:$AM$4010,MATCH(362,$AY$11:$AY$4010,0)),"")</f>
        <v/>
      </c>
      <c r="Y372" s="25" t="str">
        <f>IF(X372="","",IFERROR(INDEX($AN$11:$AN$4010,MATCH(362,$AY$11:$AY$4010,0)),""))</f>
        <v/>
      </c>
      <c r="Z372" s="25" t="str">
        <f>IF(X372="","",IFERROR(INDEX($AO$11:$AO$4010,MATCH(362,$AY$11:$AY$4010,0)),""))</f>
        <v/>
      </c>
      <c r="AA372" s="24" t="str">
        <f>IF(X372="","",IFERROR(INDEX($AQ$11:$AQ$4010,MATCH(362,$AY$11:$AY$4010,0)),""))</f>
        <v/>
      </c>
      <c r="AB372" s="29" t="str">
        <f>IF(X372="","",IFERROR(INDEX($AR$11:$AR$4010,MATCH(362,$AY$11:$AY$4010,0)),""))</f>
        <v/>
      </c>
      <c r="AD372" s="30" t="str">
        <f>IF(AE372="","",IFERROR(INDEX($AL$11:$AL$4010,MATCH(362,$AZ$11:$AZ$4010,0)),""))</f>
        <v/>
      </c>
      <c r="AE372" s="26" t="str">
        <f>IFERROR(INDEX($AM$11:$AM$4010,MATCH(362,$AZ$11:$AZ$4010,0)),"")</f>
        <v/>
      </c>
      <c r="AF372" s="25" t="str">
        <f>IF(AE372="","",IFERROR(INDEX($AN$11:$AN$4010,MATCH(362,$AZ$11:$AZ$4010,0)),""))</f>
        <v/>
      </c>
      <c r="AG372" s="25" t="str">
        <f>IF(AE372="","",IFERROR(INDEX($AO$11:$AO$4010,MATCH(362,$AZ$11:$AZ$4010,0)),""))</f>
        <v/>
      </c>
      <c r="AH372" s="24" t="str">
        <f>IF(AE372="","",IFERROR(INDEX($AQ$11:$AQ$4010,MATCH(362,$AZ$11:$AZ$4010,0)),""))</f>
        <v/>
      </c>
      <c r="AI372" s="29" t="str">
        <f>IF(AE372="","",IFERROR(INDEX($AR$11:$AR$4010,MATCH(362,$AZ$11:$AZ$4010,0)),""))</f>
        <v/>
      </c>
      <c r="AJ372" s="29" t="str">
        <f>IF(AE372="","",IFERROR(INDEX($AT$11:$AT$4010,MATCH(362,$AZ$11:$AZ$4010,0)),""))</f>
        <v/>
      </c>
      <c r="AL372" s="31" t="str">
        <f t="shared" si="73"/>
        <v/>
      </c>
      <c r="AM372" s="26" t="str">
        <f t="shared" si="74"/>
        <v/>
      </c>
      <c r="AN372" s="32" t="str">
        <f t="shared" si="75"/>
        <v/>
      </c>
      <c r="AO372" s="32" t="str">
        <f t="shared" si="76"/>
        <v/>
      </c>
      <c r="AP372" s="24" t="str">
        <f t="shared" si="77"/>
        <v/>
      </c>
      <c r="AQ372" s="24" t="str">
        <f t="shared" si="78"/>
        <v/>
      </c>
      <c r="AR372" s="33" t="str">
        <f t="shared" si="79"/>
        <v/>
      </c>
      <c r="AS372" s="34"/>
      <c r="AT372" s="33"/>
      <c r="AV372" s="21">
        <f>IF(AND($AL372&lt;&gt;"",COUNTIF($AL$11:$AL372,$AL372)=1),1,0)</f>
        <v>0</v>
      </c>
      <c r="AW372" s="21">
        <f t="shared" si="81"/>
        <v>2</v>
      </c>
      <c r="AX372" s="21" t="str">
        <f t="shared" si="80"/>
        <v/>
      </c>
      <c r="AY372" s="21" t="str">
        <f>IF(AND($AM372&lt;&gt;"",$AS372&lt;&gt;"✓"),SUMPRODUCT(($AM$11:$AM372&lt;&gt;"")*($AS$11:$AS372&lt;&gt;"✓")),"")</f>
        <v/>
      </c>
      <c r="AZ372" s="21" t="str">
        <f>IF(AND($AM372&lt;&gt;"",$AS372="✓"),SUMPRODUCT(($AM$11:$AM372&lt;&gt;"")*($AS$11:$AS372="✓")),"")</f>
        <v/>
      </c>
      <c r="BA372" s="21" t="str">
        <f>IF($AL372="","",$AL372&amp;"|"&amp;COUNTIF($AL$11:$AL372,$AL372))</f>
        <v/>
      </c>
    </row>
    <row r="373" spans="2:53" ht="15" customHeight="1" x14ac:dyDescent="0.25">
      <c r="B373" s="5" t="str">
        <f t="shared" si="72"/>
        <v/>
      </c>
      <c r="C373" s="5"/>
      <c r="D373" s="5"/>
      <c r="E373" s="5"/>
      <c r="F373" s="6"/>
      <c r="G373" s="6"/>
      <c r="H373" s="7"/>
      <c r="I373" s="8"/>
      <c r="W373" s="14" t="str">
        <f>IF(X373="","",IFERROR(INDEX($AL$11:$AL$4010,MATCH(363,$AY$11:$AY$4010,0)),""))</f>
        <v/>
      </c>
      <c r="X373" s="12" t="str">
        <f>IFERROR(INDEX($AM$11:$AM$4010,MATCH(363,$AY$11:$AY$4010,0)),"")</f>
        <v/>
      </c>
      <c r="Y373" s="11" t="str">
        <f>IF(X373="","",IFERROR(INDEX($AN$11:$AN$4010,MATCH(363,$AY$11:$AY$4010,0)),""))</f>
        <v/>
      </c>
      <c r="Z373" s="11" t="str">
        <f>IF(X373="","",IFERROR(INDEX($AO$11:$AO$4010,MATCH(363,$AY$11:$AY$4010,0)),""))</f>
        <v/>
      </c>
      <c r="AA373" s="10" t="str">
        <f>IF(X373="","",IFERROR(INDEX($AQ$11:$AQ$4010,MATCH(363,$AY$11:$AY$4010,0)),""))</f>
        <v/>
      </c>
      <c r="AB373" s="15" t="str">
        <f>IF(X373="","",IFERROR(INDEX($AR$11:$AR$4010,MATCH(363,$AY$11:$AY$4010,0)),""))</f>
        <v/>
      </c>
      <c r="AD373" s="16" t="str">
        <f>IF(AE373="","",IFERROR(INDEX($AL$11:$AL$4010,MATCH(363,$AZ$11:$AZ$4010,0)),""))</f>
        <v/>
      </c>
      <c r="AE373" s="12" t="str">
        <f>IFERROR(INDEX($AM$11:$AM$4010,MATCH(363,$AZ$11:$AZ$4010,0)),"")</f>
        <v/>
      </c>
      <c r="AF373" s="11" t="str">
        <f>IF(AE373="","",IFERROR(INDEX($AN$11:$AN$4010,MATCH(363,$AZ$11:$AZ$4010,0)),""))</f>
        <v/>
      </c>
      <c r="AG373" s="11" t="str">
        <f>IF(AE373="","",IFERROR(INDEX($AO$11:$AO$4010,MATCH(363,$AZ$11:$AZ$4010,0)),""))</f>
        <v/>
      </c>
      <c r="AH373" s="10" t="str">
        <f>IF(AE373="","",IFERROR(INDEX($AQ$11:$AQ$4010,MATCH(363,$AZ$11:$AZ$4010,0)),""))</f>
        <v/>
      </c>
      <c r="AI373" s="15" t="str">
        <f>IF(AE373="","",IFERROR(INDEX($AR$11:$AR$4010,MATCH(363,$AZ$11:$AZ$4010,0)),""))</f>
        <v/>
      </c>
      <c r="AJ373" s="15" t="str">
        <f>IF(AE373="","",IFERROR(INDEX($AT$11:$AT$4010,MATCH(363,$AZ$11:$AZ$4010,0)),""))</f>
        <v/>
      </c>
      <c r="AL373" s="17" t="str">
        <f t="shared" si="73"/>
        <v/>
      </c>
      <c r="AM373" s="12" t="str">
        <f t="shared" si="74"/>
        <v/>
      </c>
      <c r="AN373" s="18" t="str">
        <f t="shared" si="75"/>
        <v/>
      </c>
      <c r="AO373" s="18" t="str">
        <f t="shared" si="76"/>
        <v/>
      </c>
      <c r="AP373" s="10" t="str">
        <f t="shared" si="77"/>
        <v/>
      </c>
      <c r="AQ373" s="10" t="str">
        <f t="shared" si="78"/>
        <v/>
      </c>
      <c r="AR373" s="19" t="str">
        <f t="shared" si="79"/>
        <v/>
      </c>
      <c r="AS373" s="20"/>
      <c r="AT373" s="19"/>
      <c r="AV373" s="21">
        <f>IF(AND($AL373&lt;&gt;"",COUNTIF($AL$11:$AL373,$AL373)=1),1,0)</f>
        <v>0</v>
      </c>
      <c r="AW373" s="21">
        <f t="shared" si="81"/>
        <v>2</v>
      </c>
      <c r="AX373" s="21" t="str">
        <f t="shared" si="80"/>
        <v/>
      </c>
      <c r="AY373" s="21" t="str">
        <f>IF(AND($AM373&lt;&gt;"",$AS373&lt;&gt;"✓"),SUMPRODUCT(($AM$11:$AM373&lt;&gt;"")*($AS$11:$AS373&lt;&gt;"✓")),"")</f>
        <v/>
      </c>
      <c r="AZ373" s="21" t="str">
        <f>IF(AND($AM373&lt;&gt;"",$AS373="✓"),SUMPRODUCT(($AM$11:$AM373&lt;&gt;"")*($AS$11:$AS373="✓")),"")</f>
        <v/>
      </c>
      <c r="BA373" s="21" t="str">
        <f>IF($AL373="","",$AL373&amp;"|"&amp;COUNTIF($AL$11:$AL373,$AL373))</f>
        <v/>
      </c>
    </row>
    <row r="374" spans="2:53" ht="15" customHeight="1" x14ac:dyDescent="0.25">
      <c r="B374" s="5" t="str">
        <f t="shared" si="72"/>
        <v/>
      </c>
      <c r="C374" s="5"/>
      <c r="D374" s="5"/>
      <c r="E374" s="5"/>
      <c r="F374" s="6"/>
      <c r="G374" s="6"/>
      <c r="H374" s="7"/>
      <c r="I374" s="8"/>
      <c r="W374" s="28" t="str">
        <f>IF(X374="","",IFERROR(INDEX($AL$11:$AL$4010,MATCH(364,$AY$11:$AY$4010,0)),""))</f>
        <v/>
      </c>
      <c r="X374" s="26" t="str">
        <f>IFERROR(INDEX($AM$11:$AM$4010,MATCH(364,$AY$11:$AY$4010,0)),"")</f>
        <v/>
      </c>
      <c r="Y374" s="25" t="str">
        <f>IF(X374="","",IFERROR(INDEX($AN$11:$AN$4010,MATCH(364,$AY$11:$AY$4010,0)),""))</f>
        <v/>
      </c>
      <c r="Z374" s="25" t="str">
        <f>IF(X374="","",IFERROR(INDEX($AO$11:$AO$4010,MATCH(364,$AY$11:$AY$4010,0)),""))</f>
        <v/>
      </c>
      <c r="AA374" s="24" t="str">
        <f>IF(X374="","",IFERROR(INDEX($AQ$11:$AQ$4010,MATCH(364,$AY$11:$AY$4010,0)),""))</f>
        <v/>
      </c>
      <c r="AB374" s="29" t="str">
        <f>IF(X374="","",IFERROR(INDEX($AR$11:$AR$4010,MATCH(364,$AY$11:$AY$4010,0)),""))</f>
        <v/>
      </c>
      <c r="AD374" s="30" t="str">
        <f>IF(AE374="","",IFERROR(INDEX($AL$11:$AL$4010,MATCH(364,$AZ$11:$AZ$4010,0)),""))</f>
        <v/>
      </c>
      <c r="AE374" s="26" t="str">
        <f>IFERROR(INDEX($AM$11:$AM$4010,MATCH(364,$AZ$11:$AZ$4010,0)),"")</f>
        <v/>
      </c>
      <c r="AF374" s="25" t="str">
        <f>IF(AE374="","",IFERROR(INDEX($AN$11:$AN$4010,MATCH(364,$AZ$11:$AZ$4010,0)),""))</f>
        <v/>
      </c>
      <c r="AG374" s="25" t="str">
        <f>IF(AE374="","",IFERROR(INDEX($AO$11:$AO$4010,MATCH(364,$AZ$11:$AZ$4010,0)),""))</f>
        <v/>
      </c>
      <c r="AH374" s="24" t="str">
        <f>IF(AE374="","",IFERROR(INDEX($AQ$11:$AQ$4010,MATCH(364,$AZ$11:$AZ$4010,0)),""))</f>
        <v/>
      </c>
      <c r="AI374" s="29" t="str">
        <f>IF(AE374="","",IFERROR(INDEX($AR$11:$AR$4010,MATCH(364,$AZ$11:$AZ$4010,0)),""))</f>
        <v/>
      </c>
      <c r="AJ374" s="29" t="str">
        <f>IF(AE374="","",IFERROR(INDEX($AT$11:$AT$4010,MATCH(364,$AZ$11:$AZ$4010,0)),""))</f>
        <v/>
      </c>
      <c r="AL374" s="31" t="str">
        <f t="shared" si="73"/>
        <v/>
      </c>
      <c r="AM374" s="26" t="str">
        <f t="shared" si="74"/>
        <v/>
      </c>
      <c r="AN374" s="32" t="str">
        <f t="shared" si="75"/>
        <v/>
      </c>
      <c r="AO374" s="32" t="str">
        <f t="shared" si="76"/>
        <v/>
      </c>
      <c r="AP374" s="24" t="str">
        <f t="shared" si="77"/>
        <v/>
      </c>
      <c r="AQ374" s="24" t="str">
        <f t="shared" si="78"/>
        <v/>
      </c>
      <c r="AR374" s="33" t="str">
        <f t="shared" si="79"/>
        <v/>
      </c>
      <c r="AS374" s="34"/>
      <c r="AT374" s="33"/>
      <c r="AV374" s="21">
        <f>IF(AND($AL374&lt;&gt;"",COUNTIF($AL$11:$AL374,$AL374)=1),1,0)</f>
        <v>0</v>
      </c>
      <c r="AW374" s="21">
        <f t="shared" si="81"/>
        <v>2</v>
      </c>
      <c r="AX374" s="21" t="str">
        <f t="shared" si="80"/>
        <v/>
      </c>
      <c r="AY374" s="21" t="str">
        <f>IF(AND($AM374&lt;&gt;"",$AS374&lt;&gt;"✓"),SUMPRODUCT(($AM$11:$AM374&lt;&gt;"")*($AS$11:$AS374&lt;&gt;"✓")),"")</f>
        <v/>
      </c>
      <c r="AZ374" s="21" t="str">
        <f>IF(AND($AM374&lt;&gt;"",$AS374="✓"),SUMPRODUCT(($AM$11:$AM374&lt;&gt;"")*($AS$11:$AS374="✓")),"")</f>
        <v/>
      </c>
      <c r="BA374" s="21" t="str">
        <f>IF($AL374="","",$AL374&amp;"|"&amp;COUNTIF($AL$11:$AL374,$AL374))</f>
        <v/>
      </c>
    </row>
    <row r="375" spans="2:53" ht="15" customHeight="1" x14ac:dyDescent="0.25">
      <c r="B375" s="5" t="str">
        <f t="shared" si="72"/>
        <v/>
      </c>
      <c r="C375" s="5"/>
      <c r="D375" s="5"/>
      <c r="E375" s="5"/>
      <c r="F375" s="6"/>
      <c r="G375" s="6"/>
      <c r="H375" s="7"/>
      <c r="I375" s="8"/>
      <c r="W375" s="14" t="str">
        <f>IF(X375="","",IFERROR(INDEX($AL$11:$AL$4010,MATCH(365,$AY$11:$AY$4010,0)),""))</f>
        <v/>
      </c>
      <c r="X375" s="12" t="str">
        <f>IFERROR(INDEX($AM$11:$AM$4010,MATCH(365,$AY$11:$AY$4010,0)),"")</f>
        <v/>
      </c>
      <c r="Y375" s="11" t="str">
        <f>IF(X375="","",IFERROR(INDEX($AN$11:$AN$4010,MATCH(365,$AY$11:$AY$4010,0)),""))</f>
        <v/>
      </c>
      <c r="Z375" s="11" t="str">
        <f>IF(X375="","",IFERROR(INDEX($AO$11:$AO$4010,MATCH(365,$AY$11:$AY$4010,0)),""))</f>
        <v/>
      </c>
      <c r="AA375" s="10" t="str">
        <f>IF(X375="","",IFERROR(INDEX($AQ$11:$AQ$4010,MATCH(365,$AY$11:$AY$4010,0)),""))</f>
        <v/>
      </c>
      <c r="AB375" s="15" t="str">
        <f>IF(X375="","",IFERROR(INDEX($AR$11:$AR$4010,MATCH(365,$AY$11:$AY$4010,0)),""))</f>
        <v/>
      </c>
      <c r="AD375" s="16" t="str">
        <f>IF(AE375="","",IFERROR(INDEX($AL$11:$AL$4010,MATCH(365,$AZ$11:$AZ$4010,0)),""))</f>
        <v/>
      </c>
      <c r="AE375" s="12" t="str">
        <f>IFERROR(INDEX($AM$11:$AM$4010,MATCH(365,$AZ$11:$AZ$4010,0)),"")</f>
        <v/>
      </c>
      <c r="AF375" s="11" t="str">
        <f>IF(AE375="","",IFERROR(INDEX($AN$11:$AN$4010,MATCH(365,$AZ$11:$AZ$4010,0)),""))</f>
        <v/>
      </c>
      <c r="AG375" s="11" t="str">
        <f>IF(AE375="","",IFERROR(INDEX($AO$11:$AO$4010,MATCH(365,$AZ$11:$AZ$4010,0)),""))</f>
        <v/>
      </c>
      <c r="AH375" s="10" t="str">
        <f>IF(AE375="","",IFERROR(INDEX($AQ$11:$AQ$4010,MATCH(365,$AZ$11:$AZ$4010,0)),""))</f>
        <v/>
      </c>
      <c r="AI375" s="15" t="str">
        <f>IF(AE375="","",IFERROR(INDEX($AR$11:$AR$4010,MATCH(365,$AZ$11:$AZ$4010,0)),""))</f>
        <v/>
      </c>
      <c r="AJ375" s="15" t="str">
        <f>IF(AE375="","",IFERROR(INDEX($AT$11:$AT$4010,MATCH(365,$AZ$11:$AZ$4010,0)),""))</f>
        <v/>
      </c>
      <c r="AL375" s="17" t="str">
        <f t="shared" si="73"/>
        <v/>
      </c>
      <c r="AM375" s="12" t="str">
        <f t="shared" si="74"/>
        <v/>
      </c>
      <c r="AN375" s="18" t="str">
        <f t="shared" si="75"/>
        <v/>
      </c>
      <c r="AO375" s="18" t="str">
        <f t="shared" si="76"/>
        <v/>
      </c>
      <c r="AP375" s="10" t="str">
        <f t="shared" si="77"/>
        <v/>
      </c>
      <c r="AQ375" s="10" t="str">
        <f t="shared" si="78"/>
        <v/>
      </c>
      <c r="AR375" s="19" t="str">
        <f t="shared" si="79"/>
        <v/>
      </c>
      <c r="AS375" s="20"/>
      <c r="AT375" s="19"/>
      <c r="AV375" s="21">
        <f>IF(AND($AL375&lt;&gt;"",COUNTIF($AL$11:$AL375,$AL375)=1),1,0)</f>
        <v>0</v>
      </c>
      <c r="AW375" s="21">
        <f t="shared" si="81"/>
        <v>2</v>
      </c>
      <c r="AX375" s="21" t="str">
        <f t="shared" si="80"/>
        <v/>
      </c>
      <c r="AY375" s="21" t="str">
        <f>IF(AND($AM375&lt;&gt;"",$AS375&lt;&gt;"✓"),SUMPRODUCT(($AM$11:$AM375&lt;&gt;"")*($AS$11:$AS375&lt;&gt;"✓")),"")</f>
        <v/>
      </c>
      <c r="AZ375" s="21" t="str">
        <f>IF(AND($AM375&lt;&gt;"",$AS375="✓"),SUMPRODUCT(($AM$11:$AM375&lt;&gt;"")*($AS$11:$AS375="✓")),"")</f>
        <v/>
      </c>
      <c r="BA375" s="21" t="str">
        <f>IF($AL375="","",$AL375&amp;"|"&amp;COUNTIF($AL$11:$AL375,$AL375))</f>
        <v/>
      </c>
    </row>
    <row r="376" spans="2:53" ht="15" customHeight="1" x14ac:dyDescent="0.25">
      <c r="B376" s="5" t="str">
        <f t="shared" si="72"/>
        <v/>
      </c>
      <c r="C376" s="5"/>
      <c r="D376" s="5"/>
      <c r="E376" s="5"/>
      <c r="F376" s="6"/>
      <c r="G376" s="6"/>
      <c r="H376" s="7"/>
      <c r="I376" s="8"/>
      <c r="W376" s="28" t="str">
        <f>IF(X376="","",IFERROR(INDEX($AL$11:$AL$4010,MATCH(366,$AY$11:$AY$4010,0)),""))</f>
        <v/>
      </c>
      <c r="X376" s="26" t="str">
        <f>IFERROR(INDEX($AM$11:$AM$4010,MATCH(366,$AY$11:$AY$4010,0)),"")</f>
        <v/>
      </c>
      <c r="Y376" s="25" t="str">
        <f>IF(X376="","",IFERROR(INDEX($AN$11:$AN$4010,MATCH(366,$AY$11:$AY$4010,0)),""))</f>
        <v/>
      </c>
      <c r="Z376" s="25" t="str">
        <f>IF(X376="","",IFERROR(INDEX($AO$11:$AO$4010,MATCH(366,$AY$11:$AY$4010,0)),""))</f>
        <v/>
      </c>
      <c r="AA376" s="24" t="str">
        <f>IF(X376="","",IFERROR(INDEX($AQ$11:$AQ$4010,MATCH(366,$AY$11:$AY$4010,0)),""))</f>
        <v/>
      </c>
      <c r="AB376" s="29" t="str">
        <f>IF(X376="","",IFERROR(INDEX($AR$11:$AR$4010,MATCH(366,$AY$11:$AY$4010,0)),""))</f>
        <v/>
      </c>
      <c r="AD376" s="30" t="str">
        <f>IF(AE376="","",IFERROR(INDEX($AL$11:$AL$4010,MATCH(366,$AZ$11:$AZ$4010,0)),""))</f>
        <v/>
      </c>
      <c r="AE376" s="26" t="str">
        <f>IFERROR(INDEX($AM$11:$AM$4010,MATCH(366,$AZ$11:$AZ$4010,0)),"")</f>
        <v/>
      </c>
      <c r="AF376" s="25" t="str">
        <f>IF(AE376="","",IFERROR(INDEX($AN$11:$AN$4010,MATCH(366,$AZ$11:$AZ$4010,0)),""))</f>
        <v/>
      </c>
      <c r="AG376" s="25" t="str">
        <f>IF(AE376="","",IFERROR(INDEX($AO$11:$AO$4010,MATCH(366,$AZ$11:$AZ$4010,0)),""))</f>
        <v/>
      </c>
      <c r="AH376" s="24" t="str">
        <f>IF(AE376="","",IFERROR(INDEX($AQ$11:$AQ$4010,MATCH(366,$AZ$11:$AZ$4010,0)),""))</f>
        <v/>
      </c>
      <c r="AI376" s="29" t="str">
        <f>IF(AE376="","",IFERROR(INDEX($AR$11:$AR$4010,MATCH(366,$AZ$11:$AZ$4010,0)),""))</f>
        <v/>
      </c>
      <c r="AJ376" s="29" t="str">
        <f>IF(AE376="","",IFERROR(INDEX($AT$11:$AT$4010,MATCH(366,$AZ$11:$AZ$4010,0)),""))</f>
        <v/>
      </c>
      <c r="AL376" s="31" t="str">
        <f t="shared" si="73"/>
        <v/>
      </c>
      <c r="AM376" s="26" t="str">
        <f t="shared" si="74"/>
        <v/>
      </c>
      <c r="AN376" s="32" t="str">
        <f t="shared" si="75"/>
        <v/>
      </c>
      <c r="AO376" s="32" t="str">
        <f t="shared" si="76"/>
        <v/>
      </c>
      <c r="AP376" s="24" t="str">
        <f t="shared" si="77"/>
        <v/>
      </c>
      <c r="AQ376" s="24" t="str">
        <f t="shared" si="78"/>
        <v/>
      </c>
      <c r="AR376" s="33" t="str">
        <f t="shared" si="79"/>
        <v/>
      </c>
      <c r="AS376" s="34"/>
      <c r="AT376" s="33"/>
      <c r="AV376" s="21">
        <f>IF(AND($AL376&lt;&gt;"",COUNTIF($AL$11:$AL376,$AL376)=1),1,0)</f>
        <v>0</v>
      </c>
      <c r="AW376" s="21">
        <f t="shared" si="81"/>
        <v>2</v>
      </c>
      <c r="AX376" s="21" t="str">
        <f t="shared" si="80"/>
        <v/>
      </c>
      <c r="AY376" s="21" t="str">
        <f>IF(AND($AM376&lt;&gt;"",$AS376&lt;&gt;"✓"),SUMPRODUCT(($AM$11:$AM376&lt;&gt;"")*($AS$11:$AS376&lt;&gt;"✓")),"")</f>
        <v/>
      </c>
      <c r="AZ376" s="21" t="str">
        <f>IF(AND($AM376&lt;&gt;"",$AS376="✓"),SUMPRODUCT(($AM$11:$AM376&lt;&gt;"")*($AS$11:$AS376="✓")),"")</f>
        <v/>
      </c>
      <c r="BA376" s="21" t="str">
        <f>IF($AL376="","",$AL376&amp;"|"&amp;COUNTIF($AL$11:$AL376,$AL376))</f>
        <v/>
      </c>
    </row>
    <row r="377" spans="2:53" ht="15" customHeight="1" x14ac:dyDescent="0.25">
      <c r="B377" s="5" t="str">
        <f t="shared" si="72"/>
        <v/>
      </c>
      <c r="C377" s="5"/>
      <c r="D377" s="5"/>
      <c r="E377" s="5"/>
      <c r="F377" s="6"/>
      <c r="G377" s="6"/>
      <c r="H377" s="7"/>
      <c r="I377" s="8"/>
      <c r="W377" s="14" t="str">
        <f>IF(X377="","",IFERROR(INDEX($AL$11:$AL$4010,MATCH(367,$AY$11:$AY$4010,0)),""))</f>
        <v/>
      </c>
      <c r="X377" s="12" t="str">
        <f>IFERROR(INDEX($AM$11:$AM$4010,MATCH(367,$AY$11:$AY$4010,0)),"")</f>
        <v/>
      </c>
      <c r="Y377" s="11" t="str">
        <f>IF(X377="","",IFERROR(INDEX($AN$11:$AN$4010,MATCH(367,$AY$11:$AY$4010,0)),""))</f>
        <v/>
      </c>
      <c r="Z377" s="11" t="str">
        <f>IF(X377="","",IFERROR(INDEX($AO$11:$AO$4010,MATCH(367,$AY$11:$AY$4010,0)),""))</f>
        <v/>
      </c>
      <c r="AA377" s="10" t="str">
        <f>IF(X377="","",IFERROR(INDEX($AQ$11:$AQ$4010,MATCH(367,$AY$11:$AY$4010,0)),""))</f>
        <v/>
      </c>
      <c r="AB377" s="15" t="str">
        <f>IF(X377="","",IFERROR(INDEX($AR$11:$AR$4010,MATCH(367,$AY$11:$AY$4010,0)),""))</f>
        <v/>
      </c>
      <c r="AD377" s="16" t="str">
        <f>IF(AE377="","",IFERROR(INDEX($AL$11:$AL$4010,MATCH(367,$AZ$11:$AZ$4010,0)),""))</f>
        <v/>
      </c>
      <c r="AE377" s="12" t="str">
        <f>IFERROR(INDEX($AM$11:$AM$4010,MATCH(367,$AZ$11:$AZ$4010,0)),"")</f>
        <v/>
      </c>
      <c r="AF377" s="11" t="str">
        <f>IF(AE377="","",IFERROR(INDEX($AN$11:$AN$4010,MATCH(367,$AZ$11:$AZ$4010,0)),""))</f>
        <v/>
      </c>
      <c r="AG377" s="11" t="str">
        <f>IF(AE377="","",IFERROR(INDEX($AO$11:$AO$4010,MATCH(367,$AZ$11:$AZ$4010,0)),""))</f>
        <v/>
      </c>
      <c r="AH377" s="10" t="str">
        <f>IF(AE377="","",IFERROR(INDEX($AQ$11:$AQ$4010,MATCH(367,$AZ$11:$AZ$4010,0)),""))</f>
        <v/>
      </c>
      <c r="AI377" s="15" t="str">
        <f>IF(AE377="","",IFERROR(INDEX($AR$11:$AR$4010,MATCH(367,$AZ$11:$AZ$4010,0)),""))</f>
        <v/>
      </c>
      <c r="AJ377" s="15" t="str">
        <f>IF(AE377="","",IFERROR(INDEX($AT$11:$AT$4010,MATCH(367,$AZ$11:$AZ$4010,0)),""))</f>
        <v/>
      </c>
      <c r="AL377" s="17" t="str">
        <f t="shared" si="73"/>
        <v/>
      </c>
      <c r="AM377" s="12" t="str">
        <f t="shared" si="74"/>
        <v/>
      </c>
      <c r="AN377" s="18" t="str">
        <f t="shared" si="75"/>
        <v/>
      </c>
      <c r="AO377" s="18" t="str">
        <f t="shared" si="76"/>
        <v/>
      </c>
      <c r="AP377" s="10" t="str">
        <f t="shared" si="77"/>
        <v/>
      </c>
      <c r="AQ377" s="10" t="str">
        <f t="shared" si="78"/>
        <v/>
      </c>
      <c r="AR377" s="19" t="str">
        <f t="shared" si="79"/>
        <v/>
      </c>
      <c r="AS377" s="20"/>
      <c r="AT377" s="19"/>
      <c r="AV377" s="21">
        <f>IF(AND($AL377&lt;&gt;"",COUNTIF($AL$11:$AL377,$AL377)=1),1,0)</f>
        <v>0</v>
      </c>
      <c r="AW377" s="21">
        <f t="shared" si="81"/>
        <v>2</v>
      </c>
      <c r="AX377" s="21" t="str">
        <f t="shared" si="80"/>
        <v/>
      </c>
      <c r="AY377" s="21" t="str">
        <f>IF(AND($AM377&lt;&gt;"",$AS377&lt;&gt;"✓"),SUMPRODUCT(($AM$11:$AM377&lt;&gt;"")*($AS$11:$AS377&lt;&gt;"✓")),"")</f>
        <v/>
      </c>
      <c r="AZ377" s="21" t="str">
        <f>IF(AND($AM377&lt;&gt;"",$AS377="✓"),SUMPRODUCT(($AM$11:$AM377&lt;&gt;"")*($AS$11:$AS377="✓")),"")</f>
        <v/>
      </c>
      <c r="BA377" s="21" t="str">
        <f>IF($AL377="","",$AL377&amp;"|"&amp;COUNTIF($AL$11:$AL377,$AL377))</f>
        <v/>
      </c>
    </row>
    <row r="378" spans="2:53" ht="15" customHeight="1" x14ac:dyDescent="0.25">
      <c r="B378" s="5" t="str">
        <f t="shared" si="72"/>
        <v/>
      </c>
      <c r="C378" s="5"/>
      <c r="D378" s="5"/>
      <c r="E378" s="5"/>
      <c r="F378" s="6"/>
      <c r="G378" s="6"/>
      <c r="H378" s="7"/>
      <c r="I378" s="8"/>
      <c r="W378" s="28" t="str">
        <f>IF(X378="","",IFERROR(INDEX($AL$11:$AL$4010,MATCH(368,$AY$11:$AY$4010,0)),""))</f>
        <v/>
      </c>
      <c r="X378" s="26" t="str">
        <f>IFERROR(INDEX($AM$11:$AM$4010,MATCH(368,$AY$11:$AY$4010,0)),"")</f>
        <v/>
      </c>
      <c r="Y378" s="25" t="str">
        <f>IF(X378="","",IFERROR(INDEX($AN$11:$AN$4010,MATCH(368,$AY$11:$AY$4010,0)),""))</f>
        <v/>
      </c>
      <c r="Z378" s="25" t="str">
        <f>IF(X378="","",IFERROR(INDEX($AO$11:$AO$4010,MATCH(368,$AY$11:$AY$4010,0)),""))</f>
        <v/>
      </c>
      <c r="AA378" s="24" t="str">
        <f>IF(X378="","",IFERROR(INDEX($AQ$11:$AQ$4010,MATCH(368,$AY$11:$AY$4010,0)),""))</f>
        <v/>
      </c>
      <c r="AB378" s="29" t="str">
        <f>IF(X378="","",IFERROR(INDEX($AR$11:$AR$4010,MATCH(368,$AY$11:$AY$4010,0)),""))</f>
        <v/>
      </c>
      <c r="AD378" s="30" t="str">
        <f>IF(AE378="","",IFERROR(INDEX($AL$11:$AL$4010,MATCH(368,$AZ$11:$AZ$4010,0)),""))</f>
        <v/>
      </c>
      <c r="AE378" s="26" t="str">
        <f>IFERROR(INDEX($AM$11:$AM$4010,MATCH(368,$AZ$11:$AZ$4010,0)),"")</f>
        <v/>
      </c>
      <c r="AF378" s="25" t="str">
        <f>IF(AE378="","",IFERROR(INDEX($AN$11:$AN$4010,MATCH(368,$AZ$11:$AZ$4010,0)),""))</f>
        <v/>
      </c>
      <c r="AG378" s="25" t="str">
        <f>IF(AE378="","",IFERROR(INDEX($AO$11:$AO$4010,MATCH(368,$AZ$11:$AZ$4010,0)),""))</f>
        <v/>
      </c>
      <c r="AH378" s="24" t="str">
        <f>IF(AE378="","",IFERROR(INDEX($AQ$11:$AQ$4010,MATCH(368,$AZ$11:$AZ$4010,0)),""))</f>
        <v/>
      </c>
      <c r="AI378" s="29" t="str">
        <f>IF(AE378="","",IFERROR(INDEX($AR$11:$AR$4010,MATCH(368,$AZ$11:$AZ$4010,0)),""))</f>
        <v/>
      </c>
      <c r="AJ378" s="29" t="str">
        <f>IF(AE378="","",IFERROR(INDEX($AT$11:$AT$4010,MATCH(368,$AZ$11:$AZ$4010,0)),""))</f>
        <v/>
      </c>
      <c r="AL378" s="31" t="str">
        <f t="shared" si="73"/>
        <v/>
      </c>
      <c r="AM378" s="26" t="str">
        <f t="shared" si="74"/>
        <v/>
      </c>
      <c r="AN378" s="32" t="str">
        <f t="shared" si="75"/>
        <v/>
      </c>
      <c r="AO378" s="32" t="str">
        <f t="shared" si="76"/>
        <v/>
      </c>
      <c r="AP378" s="24" t="str">
        <f t="shared" si="77"/>
        <v/>
      </c>
      <c r="AQ378" s="24" t="str">
        <f t="shared" si="78"/>
        <v/>
      </c>
      <c r="AR378" s="33" t="str">
        <f t="shared" si="79"/>
        <v/>
      </c>
      <c r="AS378" s="34"/>
      <c r="AT378" s="33"/>
      <c r="AV378" s="21">
        <f>IF(AND($AL378&lt;&gt;"",COUNTIF($AL$11:$AL378,$AL378)=1),1,0)</f>
        <v>0</v>
      </c>
      <c r="AW378" s="21">
        <f t="shared" si="81"/>
        <v>2</v>
      </c>
      <c r="AX378" s="21" t="str">
        <f t="shared" si="80"/>
        <v/>
      </c>
      <c r="AY378" s="21" t="str">
        <f>IF(AND($AM378&lt;&gt;"",$AS378&lt;&gt;"✓"),SUMPRODUCT(($AM$11:$AM378&lt;&gt;"")*($AS$11:$AS378&lt;&gt;"✓")),"")</f>
        <v/>
      </c>
      <c r="AZ378" s="21" t="str">
        <f>IF(AND($AM378&lt;&gt;"",$AS378="✓"),SUMPRODUCT(($AM$11:$AM378&lt;&gt;"")*($AS$11:$AS378="✓")),"")</f>
        <v/>
      </c>
      <c r="BA378" s="21" t="str">
        <f>IF($AL378="","",$AL378&amp;"|"&amp;COUNTIF($AL$11:$AL378,$AL378))</f>
        <v/>
      </c>
    </row>
    <row r="379" spans="2:53" ht="15" customHeight="1" x14ac:dyDescent="0.25">
      <c r="B379" s="5" t="str">
        <f t="shared" si="72"/>
        <v/>
      </c>
      <c r="C379" s="5"/>
      <c r="D379" s="5"/>
      <c r="E379" s="5"/>
      <c r="F379" s="6"/>
      <c r="G379" s="6"/>
      <c r="H379" s="7"/>
      <c r="I379" s="8"/>
      <c r="W379" s="14" t="str">
        <f>IF(X379="","",IFERROR(INDEX($AL$11:$AL$4010,MATCH(369,$AY$11:$AY$4010,0)),""))</f>
        <v/>
      </c>
      <c r="X379" s="12" t="str">
        <f>IFERROR(INDEX($AM$11:$AM$4010,MATCH(369,$AY$11:$AY$4010,0)),"")</f>
        <v/>
      </c>
      <c r="Y379" s="11" t="str">
        <f>IF(X379="","",IFERROR(INDEX($AN$11:$AN$4010,MATCH(369,$AY$11:$AY$4010,0)),""))</f>
        <v/>
      </c>
      <c r="Z379" s="11" t="str">
        <f>IF(X379="","",IFERROR(INDEX($AO$11:$AO$4010,MATCH(369,$AY$11:$AY$4010,0)),""))</f>
        <v/>
      </c>
      <c r="AA379" s="10" t="str">
        <f>IF(X379="","",IFERROR(INDEX($AQ$11:$AQ$4010,MATCH(369,$AY$11:$AY$4010,0)),""))</f>
        <v/>
      </c>
      <c r="AB379" s="15" t="str">
        <f>IF(X379="","",IFERROR(INDEX($AR$11:$AR$4010,MATCH(369,$AY$11:$AY$4010,0)),""))</f>
        <v/>
      </c>
      <c r="AD379" s="16" t="str">
        <f>IF(AE379="","",IFERROR(INDEX($AL$11:$AL$4010,MATCH(369,$AZ$11:$AZ$4010,0)),""))</f>
        <v/>
      </c>
      <c r="AE379" s="12" t="str">
        <f>IFERROR(INDEX($AM$11:$AM$4010,MATCH(369,$AZ$11:$AZ$4010,0)),"")</f>
        <v/>
      </c>
      <c r="AF379" s="11" t="str">
        <f>IF(AE379="","",IFERROR(INDEX($AN$11:$AN$4010,MATCH(369,$AZ$11:$AZ$4010,0)),""))</f>
        <v/>
      </c>
      <c r="AG379" s="11" t="str">
        <f>IF(AE379="","",IFERROR(INDEX($AO$11:$AO$4010,MATCH(369,$AZ$11:$AZ$4010,0)),""))</f>
        <v/>
      </c>
      <c r="AH379" s="10" t="str">
        <f>IF(AE379="","",IFERROR(INDEX($AQ$11:$AQ$4010,MATCH(369,$AZ$11:$AZ$4010,0)),""))</f>
        <v/>
      </c>
      <c r="AI379" s="15" t="str">
        <f>IF(AE379="","",IFERROR(INDEX($AR$11:$AR$4010,MATCH(369,$AZ$11:$AZ$4010,0)),""))</f>
        <v/>
      </c>
      <c r="AJ379" s="15" t="str">
        <f>IF(AE379="","",IFERROR(INDEX($AT$11:$AT$4010,MATCH(369,$AZ$11:$AZ$4010,0)),""))</f>
        <v/>
      </c>
      <c r="AL379" s="17" t="str">
        <f t="shared" si="73"/>
        <v/>
      </c>
      <c r="AM379" s="12" t="str">
        <f t="shared" si="74"/>
        <v/>
      </c>
      <c r="AN379" s="18" t="str">
        <f t="shared" si="75"/>
        <v/>
      </c>
      <c r="AO379" s="18" t="str">
        <f t="shared" si="76"/>
        <v/>
      </c>
      <c r="AP379" s="10" t="str">
        <f t="shared" si="77"/>
        <v/>
      </c>
      <c r="AQ379" s="10" t="str">
        <f t="shared" si="78"/>
        <v/>
      </c>
      <c r="AR379" s="19" t="str">
        <f t="shared" si="79"/>
        <v/>
      </c>
      <c r="AS379" s="20"/>
      <c r="AT379" s="19"/>
      <c r="AV379" s="21">
        <f>IF(AND($AL379&lt;&gt;"",COUNTIF($AL$11:$AL379,$AL379)=1),1,0)</f>
        <v>0</v>
      </c>
      <c r="AW379" s="21">
        <f t="shared" si="81"/>
        <v>2</v>
      </c>
      <c r="AX379" s="21" t="str">
        <f t="shared" si="80"/>
        <v/>
      </c>
      <c r="AY379" s="21" t="str">
        <f>IF(AND($AM379&lt;&gt;"",$AS379&lt;&gt;"✓"),SUMPRODUCT(($AM$11:$AM379&lt;&gt;"")*($AS$11:$AS379&lt;&gt;"✓")),"")</f>
        <v/>
      </c>
      <c r="AZ379" s="21" t="str">
        <f>IF(AND($AM379&lt;&gt;"",$AS379="✓"),SUMPRODUCT(($AM$11:$AM379&lt;&gt;"")*($AS$11:$AS379="✓")),"")</f>
        <v/>
      </c>
      <c r="BA379" s="21" t="str">
        <f>IF($AL379="","",$AL379&amp;"|"&amp;COUNTIF($AL$11:$AL379,$AL379))</f>
        <v/>
      </c>
    </row>
    <row r="380" spans="2:53" ht="15" customHeight="1" x14ac:dyDescent="0.25">
      <c r="B380" s="5" t="str">
        <f t="shared" si="72"/>
        <v/>
      </c>
      <c r="C380" s="5"/>
      <c r="D380" s="5"/>
      <c r="E380" s="5"/>
      <c r="F380" s="6"/>
      <c r="G380" s="6"/>
      <c r="H380" s="7"/>
      <c r="I380" s="8"/>
      <c r="W380" s="28" t="str">
        <f>IF(X380="","",IFERROR(INDEX($AL$11:$AL$4010,MATCH(370,$AY$11:$AY$4010,0)),""))</f>
        <v/>
      </c>
      <c r="X380" s="26" t="str">
        <f>IFERROR(INDEX($AM$11:$AM$4010,MATCH(370,$AY$11:$AY$4010,0)),"")</f>
        <v/>
      </c>
      <c r="Y380" s="25" t="str">
        <f>IF(X380="","",IFERROR(INDEX($AN$11:$AN$4010,MATCH(370,$AY$11:$AY$4010,0)),""))</f>
        <v/>
      </c>
      <c r="Z380" s="25" t="str">
        <f>IF(X380="","",IFERROR(INDEX($AO$11:$AO$4010,MATCH(370,$AY$11:$AY$4010,0)),""))</f>
        <v/>
      </c>
      <c r="AA380" s="24" t="str">
        <f>IF(X380="","",IFERROR(INDEX($AQ$11:$AQ$4010,MATCH(370,$AY$11:$AY$4010,0)),""))</f>
        <v/>
      </c>
      <c r="AB380" s="29" t="str">
        <f>IF(X380="","",IFERROR(INDEX($AR$11:$AR$4010,MATCH(370,$AY$11:$AY$4010,0)),""))</f>
        <v/>
      </c>
      <c r="AD380" s="30" t="str">
        <f>IF(AE380="","",IFERROR(INDEX($AL$11:$AL$4010,MATCH(370,$AZ$11:$AZ$4010,0)),""))</f>
        <v/>
      </c>
      <c r="AE380" s="26" t="str">
        <f>IFERROR(INDEX($AM$11:$AM$4010,MATCH(370,$AZ$11:$AZ$4010,0)),"")</f>
        <v/>
      </c>
      <c r="AF380" s="25" t="str">
        <f>IF(AE380="","",IFERROR(INDEX($AN$11:$AN$4010,MATCH(370,$AZ$11:$AZ$4010,0)),""))</f>
        <v/>
      </c>
      <c r="AG380" s="25" t="str">
        <f>IF(AE380="","",IFERROR(INDEX($AO$11:$AO$4010,MATCH(370,$AZ$11:$AZ$4010,0)),""))</f>
        <v/>
      </c>
      <c r="AH380" s="24" t="str">
        <f>IF(AE380="","",IFERROR(INDEX($AQ$11:$AQ$4010,MATCH(370,$AZ$11:$AZ$4010,0)),""))</f>
        <v/>
      </c>
      <c r="AI380" s="29" t="str">
        <f>IF(AE380="","",IFERROR(INDEX($AR$11:$AR$4010,MATCH(370,$AZ$11:$AZ$4010,0)),""))</f>
        <v/>
      </c>
      <c r="AJ380" s="29" t="str">
        <f>IF(AE380="","",IFERROR(INDEX($AT$11:$AT$4010,MATCH(370,$AZ$11:$AZ$4010,0)),""))</f>
        <v/>
      </c>
      <c r="AL380" s="31" t="str">
        <f t="shared" si="73"/>
        <v/>
      </c>
      <c r="AM380" s="26" t="str">
        <f t="shared" si="74"/>
        <v/>
      </c>
      <c r="AN380" s="32" t="str">
        <f t="shared" si="75"/>
        <v/>
      </c>
      <c r="AO380" s="32" t="str">
        <f t="shared" si="76"/>
        <v/>
      </c>
      <c r="AP380" s="24" t="str">
        <f t="shared" si="77"/>
        <v/>
      </c>
      <c r="AQ380" s="24" t="str">
        <f t="shared" si="78"/>
        <v/>
      </c>
      <c r="AR380" s="33" t="str">
        <f t="shared" si="79"/>
        <v/>
      </c>
      <c r="AS380" s="34"/>
      <c r="AT380" s="33"/>
      <c r="AV380" s="21">
        <f>IF(AND($AL380&lt;&gt;"",COUNTIF($AL$11:$AL380,$AL380)=1),1,0)</f>
        <v>0</v>
      </c>
      <c r="AW380" s="21">
        <f t="shared" si="81"/>
        <v>2</v>
      </c>
      <c r="AX380" s="21" t="str">
        <f t="shared" si="80"/>
        <v/>
      </c>
      <c r="AY380" s="21" t="str">
        <f>IF(AND($AM380&lt;&gt;"",$AS380&lt;&gt;"✓"),SUMPRODUCT(($AM$11:$AM380&lt;&gt;"")*($AS$11:$AS380&lt;&gt;"✓")),"")</f>
        <v/>
      </c>
      <c r="AZ380" s="21" t="str">
        <f>IF(AND($AM380&lt;&gt;"",$AS380="✓"),SUMPRODUCT(($AM$11:$AM380&lt;&gt;"")*($AS$11:$AS380="✓")),"")</f>
        <v/>
      </c>
      <c r="BA380" s="21" t="str">
        <f>IF($AL380="","",$AL380&amp;"|"&amp;COUNTIF($AL$11:$AL380,$AL380))</f>
        <v/>
      </c>
    </row>
    <row r="381" spans="2:53" ht="15" customHeight="1" x14ac:dyDescent="0.25">
      <c r="B381" s="5" t="str">
        <f t="shared" si="72"/>
        <v/>
      </c>
      <c r="C381" s="5"/>
      <c r="D381" s="5"/>
      <c r="E381" s="5"/>
      <c r="F381" s="6"/>
      <c r="G381" s="6"/>
      <c r="H381" s="7"/>
      <c r="I381" s="8"/>
      <c r="W381" s="14" t="str">
        <f>IF(X381="","",IFERROR(INDEX($AL$11:$AL$4010,MATCH(371,$AY$11:$AY$4010,0)),""))</f>
        <v/>
      </c>
      <c r="X381" s="12" t="str">
        <f>IFERROR(INDEX($AM$11:$AM$4010,MATCH(371,$AY$11:$AY$4010,0)),"")</f>
        <v/>
      </c>
      <c r="Y381" s="11" t="str">
        <f>IF(X381="","",IFERROR(INDEX($AN$11:$AN$4010,MATCH(371,$AY$11:$AY$4010,0)),""))</f>
        <v/>
      </c>
      <c r="Z381" s="11" t="str">
        <f>IF(X381="","",IFERROR(INDEX($AO$11:$AO$4010,MATCH(371,$AY$11:$AY$4010,0)),""))</f>
        <v/>
      </c>
      <c r="AA381" s="10" t="str">
        <f>IF(X381="","",IFERROR(INDEX($AQ$11:$AQ$4010,MATCH(371,$AY$11:$AY$4010,0)),""))</f>
        <v/>
      </c>
      <c r="AB381" s="15" t="str">
        <f>IF(X381="","",IFERROR(INDEX($AR$11:$AR$4010,MATCH(371,$AY$11:$AY$4010,0)),""))</f>
        <v/>
      </c>
      <c r="AD381" s="16" t="str">
        <f>IF(AE381="","",IFERROR(INDEX($AL$11:$AL$4010,MATCH(371,$AZ$11:$AZ$4010,0)),""))</f>
        <v/>
      </c>
      <c r="AE381" s="12" t="str">
        <f>IFERROR(INDEX($AM$11:$AM$4010,MATCH(371,$AZ$11:$AZ$4010,0)),"")</f>
        <v/>
      </c>
      <c r="AF381" s="11" t="str">
        <f>IF(AE381="","",IFERROR(INDEX($AN$11:$AN$4010,MATCH(371,$AZ$11:$AZ$4010,0)),""))</f>
        <v/>
      </c>
      <c r="AG381" s="11" t="str">
        <f>IF(AE381="","",IFERROR(INDEX($AO$11:$AO$4010,MATCH(371,$AZ$11:$AZ$4010,0)),""))</f>
        <v/>
      </c>
      <c r="AH381" s="10" t="str">
        <f>IF(AE381="","",IFERROR(INDEX($AQ$11:$AQ$4010,MATCH(371,$AZ$11:$AZ$4010,0)),""))</f>
        <v/>
      </c>
      <c r="AI381" s="15" t="str">
        <f>IF(AE381="","",IFERROR(INDEX($AR$11:$AR$4010,MATCH(371,$AZ$11:$AZ$4010,0)),""))</f>
        <v/>
      </c>
      <c r="AJ381" s="15" t="str">
        <f>IF(AE381="","",IFERROR(INDEX($AT$11:$AT$4010,MATCH(371,$AZ$11:$AZ$4010,0)),""))</f>
        <v/>
      </c>
      <c r="AL381" s="17" t="str">
        <f t="shared" si="73"/>
        <v/>
      </c>
      <c r="AM381" s="12" t="str">
        <f t="shared" si="74"/>
        <v/>
      </c>
      <c r="AN381" s="18" t="str">
        <f t="shared" si="75"/>
        <v/>
      </c>
      <c r="AO381" s="18" t="str">
        <f t="shared" si="76"/>
        <v/>
      </c>
      <c r="AP381" s="10" t="str">
        <f t="shared" si="77"/>
        <v/>
      </c>
      <c r="AQ381" s="10" t="str">
        <f t="shared" si="78"/>
        <v/>
      </c>
      <c r="AR381" s="19" t="str">
        <f t="shared" si="79"/>
        <v/>
      </c>
      <c r="AS381" s="20"/>
      <c r="AT381" s="19"/>
      <c r="AV381" s="21">
        <f>IF(AND($AL381&lt;&gt;"",COUNTIF($AL$11:$AL381,$AL381)=1),1,0)</f>
        <v>0</v>
      </c>
      <c r="AW381" s="21">
        <f t="shared" si="81"/>
        <v>2</v>
      </c>
      <c r="AX381" s="21" t="str">
        <f t="shared" si="80"/>
        <v/>
      </c>
      <c r="AY381" s="21" t="str">
        <f>IF(AND($AM381&lt;&gt;"",$AS381&lt;&gt;"✓"),SUMPRODUCT(($AM$11:$AM381&lt;&gt;"")*($AS$11:$AS381&lt;&gt;"✓")),"")</f>
        <v/>
      </c>
      <c r="AZ381" s="21" t="str">
        <f>IF(AND($AM381&lt;&gt;"",$AS381="✓"),SUMPRODUCT(($AM$11:$AM381&lt;&gt;"")*($AS$11:$AS381="✓")),"")</f>
        <v/>
      </c>
      <c r="BA381" s="21" t="str">
        <f>IF($AL381="","",$AL381&amp;"|"&amp;COUNTIF($AL$11:$AL381,$AL381))</f>
        <v/>
      </c>
    </row>
    <row r="382" spans="2:53" ht="15" customHeight="1" x14ac:dyDescent="0.25">
      <c r="B382" s="5" t="str">
        <f t="shared" si="72"/>
        <v/>
      </c>
      <c r="C382" s="5"/>
      <c r="D382" s="5"/>
      <c r="E382" s="5"/>
      <c r="F382" s="6"/>
      <c r="G382" s="6"/>
      <c r="H382" s="7"/>
      <c r="I382" s="8"/>
      <c r="W382" s="28" t="str">
        <f>IF(X382="","",IFERROR(INDEX($AL$11:$AL$4010,MATCH(372,$AY$11:$AY$4010,0)),""))</f>
        <v/>
      </c>
      <c r="X382" s="26" t="str">
        <f>IFERROR(INDEX($AM$11:$AM$4010,MATCH(372,$AY$11:$AY$4010,0)),"")</f>
        <v/>
      </c>
      <c r="Y382" s="25" t="str">
        <f>IF(X382="","",IFERROR(INDEX($AN$11:$AN$4010,MATCH(372,$AY$11:$AY$4010,0)),""))</f>
        <v/>
      </c>
      <c r="Z382" s="25" t="str">
        <f>IF(X382="","",IFERROR(INDEX($AO$11:$AO$4010,MATCH(372,$AY$11:$AY$4010,0)),""))</f>
        <v/>
      </c>
      <c r="AA382" s="24" t="str">
        <f>IF(X382="","",IFERROR(INDEX($AQ$11:$AQ$4010,MATCH(372,$AY$11:$AY$4010,0)),""))</f>
        <v/>
      </c>
      <c r="AB382" s="29" t="str">
        <f>IF(X382="","",IFERROR(INDEX($AR$11:$AR$4010,MATCH(372,$AY$11:$AY$4010,0)),""))</f>
        <v/>
      </c>
      <c r="AD382" s="30" t="str">
        <f>IF(AE382="","",IFERROR(INDEX($AL$11:$AL$4010,MATCH(372,$AZ$11:$AZ$4010,0)),""))</f>
        <v/>
      </c>
      <c r="AE382" s="26" t="str">
        <f>IFERROR(INDEX($AM$11:$AM$4010,MATCH(372,$AZ$11:$AZ$4010,0)),"")</f>
        <v/>
      </c>
      <c r="AF382" s="25" t="str">
        <f>IF(AE382="","",IFERROR(INDEX($AN$11:$AN$4010,MATCH(372,$AZ$11:$AZ$4010,0)),""))</f>
        <v/>
      </c>
      <c r="AG382" s="25" t="str">
        <f>IF(AE382="","",IFERROR(INDEX($AO$11:$AO$4010,MATCH(372,$AZ$11:$AZ$4010,0)),""))</f>
        <v/>
      </c>
      <c r="AH382" s="24" t="str">
        <f>IF(AE382="","",IFERROR(INDEX($AQ$11:$AQ$4010,MATCH(372,$AZ$11:$AZ$4010,0)),""))</f>
        <v/>
      </c>
      <c r="AI382" s="29" t="str">
        <f>IF(AE382="","",IFERROR(INDEX($AR$11:$AR$4010,MATCH(372,$AZ$11:$AZ$4010,0)),""))</f>
        <v/>
      </c>
      <c r="AJ382" s="29" t="str">
        <f>IF(AE382="","",IFERROR(INDEX($AT$11:$AT$4010,MATCH(372,$AZ$11:$AZ$4010,0)),""))</f>
        <v/>
      </c>
      <c r="AL382" s="31" t="str">
        <f t="shared" si="73"/>
        <v/>
      </c>
      <c r="AM382" s="26" t="str">
        <f t="shared" si="74"/>
        <v/>
      </c>
      <c r="AN382" s="32" t="str">
        <f t="shared" si="75"/>
        <v/>
      </c>
      <c r="AO382" s="32" t="str">
        <f t="shared" si="76"/>
        <v/>
      </c>
      <c r="AP382" s="24" t="str">
        <f t="shared" si="77"/>
        <v/>
      </c>
      <c r="AQ382" s="24" t="str">
        <f t="shared" si="78"/>
        <v/>
      </c>
      <c r="AR382" s="33" t="str">
        <f t="shared" si="79"/>
        <v/>
      </c>
      <c r="AS382" s="34"/>
      <c r="AT382" s="33"/>
      <c r="AV382" s="21">
        <f>IF(AND($AL382&lt;&gt;"",COUNTIF($AL$11:$AL382,$AL382)=1),1,0)</f>
        <v>0</v>
      </c>
      <c r="AW382" s="21">
        <f t="shared" si="81"/>
        <v>2</v>
      </c>
      <c r="AX382" s="21" t="str">
        <f t="shared" si="80"/>
        <v/>
      </c>
      <c r="AY382" s="21" t="str">
        <f>IF(AND($AM382&lt;&gt;"",$AS382&lt;&gt;"✓"),SUMPRODUCT(($AM$11:$AM382&lt;&gt;"")*($AS$11:$AS382&lt;&gt;"✓")),"")</f>
        <v/>
      </c>
      <c r="AZ382" s="21" t="str">
        <f>IF(AND($AM382&lt;&gt;"",$AS382="✓"),SUMPRODUCT(($AM$11:$AM382&lt;&gt;"")*($AS$11:$AS382="✓")),"")</f>
        <v/>
      </c>
      <c r="BA382" s="21" t="str">
        <f>IF($AL382="","",$AL382&amp;"|"&amp;COUNTIF($AL$11:$AL382,$AL382))</f>
        <v/>
      </c>
    </row>
    <row r="383" spans="2:53" ht="15" customHeight="1" x14ac:dyDescent="0.25">
      <c r="B383" s="5" t="str">
        <f t="shared" si="72"/>
        <v/>
      </c>
      <c r="C383" s="5"/>
      <c r="D383" s="5"/>
      <c r="E383" s="5"/>
      <c r="F383" s="6"/>
      <c r="G383" s="6"/>
      <c r="H383" s="7"/>
      <c r="I383" s="8"/>
      <c r="W383" s="14" t="str">
        <f>IF(X383="","",IFERROR(INDEX($AL$11:$AL$4010,MATCH(373,$AY$11:$AY$4010,0)),""))</f>
        <v/>
      </c>
      <c r="X383" s="12" t="str">
        <f>IFERROR(INDEX($AM$11:$AM$4010,MATCH(373,$AY$11:$AY$4010,0)),"")</f>
        <v/>
      </c>
      <c r="Y383" s="11" t="str">
        <f>IF(X383="","",IFERROR(INDEX($AN$11:$AN$4010,MATCH(373,$AY$11:$AY$4010,0)),""))</f>
        <v/>
      </c>
      <c r="Z383" s="11" t="str">
        <f>IF(X383="","",IFERROR(INDEX($AO$11:$AO$4010,MATCH(373,$AY$11:$AY$4010,0)),""))</f>
        <v/>
      </c>
      <c r="AA383" s="10" t="str">
        <f>IF(X383="","",IFERROR(INDEX($AQ$11:$AQ$4010,MATCH(373,$AY$11:$AY$4010,0)),""))</f>
        <v/>
      </c>
      <c r="AB383" s="15" t="str">
        <f>IF(X383="","",IFERROR(INDEX($AR$11:$AR$4010,MATCH(373,$AY$11:$AY$4010,0)),""))</f>
        <v/>
      </c>
      <c r="AD383" s="16" t="str">
        <f>IF(AE383="","",IFERROR(INDEX($AL$11:$AL$4010,MATCH(373,$AZ$11:$AZ$4010,0)),""))</f>
        <v/>
      </c>
      <c r="AE383" s="12" t="str">
        <f>IFERROR(INDEX($AM$11:$AM$4010,MATCH(373,$AZ$11:$AZ$4010,0)),"")</f>
        <v/>
      </c>
      <c r="AF383" s="11" t="str">
        <f>IF(AE383="","",IFERROR(INDEX($AN$11:$AN$4010,MATCH(373,$AZ$11:$AZ$4010,0)),""))</f>
        <v/>
      </c>
      <c r="AG383" s="11" t="str">
        <f>IF(AE383="","",IFERROR(INDEX($AO$11:$AO$4010,MATCH(373,$AZ$11:$AZ$4010,0)),""))</f>
        <v/>
      </c>
      <c r="AH383" s="10" t="str">
        <f>IF(AE383="","",IFERROR(INDEX($AQ$11:$AQ$4010,MATCH(373,$AZ$11:$AZ$4010,0)),""))</f>
        <v/>
      </c>
      <c r="AI383" s="15" t="str">
        <f>IF(AE383="","",IFERROR(INDEX($AR$11:$AR$4010,MATCH(373,$AZ$11:$AZ$4010,0)),""))</f>
        <v/>
      </c>
      <c r="AJ383" s="15" t="str">
        <f>IF(AE383="","",IFERROR(INDEX($AT$11:$AT$4010,MATCH(373,$AZ$11:$AZ$4010,0)),""))</f>
        <v/>
      </c>
      <c r="AL383" s="17" t="str">
        <f t="shared" si="73"/>
        <v/>
      </c>
      <c r="AM383" s="12" t="str">
        <f t="shared" si="74"/>
        <v/>
      </c>
      <c r="AN383" s="18" t="str">
        <f t="shared" si="75"/>
        <v/>
      </c>
      <c r="AO383" s="18" t="str">
        <f t="shared" si="76"/>
        <v/>
      </c>
      <c r="AP383" s="10" t="str">
        <f t="shared" si="77"/>
        <v/>
      </c>
      <c r="AQ383" s="10" t="str">
        <f t="shared" si="78"/>
        <v/>
      </c>
      <c r="AR383" s="19" t="str">
        <f t="shared" si="79"/>
        <v/>
      </c>
      <c r="AS383" s="20"/>
      <c r="AT383" s="19"/>
      <c r="AV383" s="21">
        <f>IF(AND($AL383&lt;&gt;"",COUNTIF($AL$11:$AL383,$AL383)=1),1,0)</f>
        <v>0</v>
      </c>
      <c r="AW383" s="21">
        <f t="shared" si="81"/>
        <v>2</v>
      </c>
      <c r="AX383" s="21" t="str">
        <f t="shared" si="80"/>
        <v/>
      </c>
      <c r="AY383" s="21" t="str">
        <f>IF(AND($AM383&lt;&gt;"",$AS383&lt;&gt;"✓"),SUMPRODUCT(($AM$11:$AM383&lt;&gt;"")*($AS$11:$AS383&lt;&gt;"✓")),"")</f>
        <v/>
      </c>
      <c r="AZ383" s="21" t="str">
        <f>IF(AND($AM383&lt;&gt;"",$AS383="✓"),SUMPRODUCT(($AM$11:$AM383&lt;&gt;"")*($AS$11:$AS383="✓")),"")</f>
        <v/>
      </c>
      <c r="BA383" s="21" t="str">
        <f>IF($AL383="","",$AL383&amp;"|"&amp;COUNTIF($AL$11:$AL383,$AL383))</f>
        <v/>
      </c>
    </row>
    <row r="384" spans="2:53" ht="15" customHeight="1" x14ac:dyDescent="0.25">
      <c r="B384" s="5" t="str">
        <f t="shared" si="72"/>
        <v/>
      </c>
      <c r="C384" s="5"/>
      <c r="D384" s="5"/>
      <c r="E384" s="5"/>
      <c r="F384" s="6"/>
      <c r="G384" s="6"/>
      <c r="H384" s="7"/>
      <c r="I384" s="8"/>
      <c r="W384" s="28" t="str">
        <f>IF(X384="","",IFERROR(INDEX($AL$11:$AL$4010,MATCH(374,$AY$11:$AY$4010,0)),""))</f>
        <v/>
      </c>
      <c r="X384" s="26" t="str">
        <f>IFERROR(INDEX($AM$11:$AM$4010,MATCH(374,$AY$11:$AY$4010,0)),"")</f>
        <v/>
      </c>
      <c r="Y384" s="25" t="str">
        <f>IF(X384="","",IFERROR(INDEX($AN$11:$AN$4010,MATCH(374,$AY$11:$AY$4010,0)),""))</f>
        <v/>
      </c>
      <c r="Z384" s="25" t="str">
        <f>IF(X384="","",IFERROR(INDEX($AO$11:$AO$4010,MATCH(374,$AY$11:$AY$4010,0)),""))</f>
        <v/>
      </c>
      <c r="AA384" s="24" t="str">
        <f>IF(X384="","",IFERROR(INDEX($AQ$11:$AQ$4010,MATCH(374,$AY$11:$AY$4010,0)),""))</f>
        <v/>
      </c>
      <c r="AB384" s="29" t="str">
        <f>IF(X384="","",IFERROR(INDEX($AR$11:$AR$4010,MATCH(374,$AY$11:$AY$4010,0)),""))</f>
        <v/>
      </c>
      <c r="AD384" s="30" t="str">
        <f>IF(AE384="","",IFERROR(INDEX($AL$11:$AL$4010,MATCH(374,$AZ$11:$AZ$4010,0)),""))</f>
        <v/>
      </c>
      <c r="AE384" s="26" t="str">
        <f>IFERROR(INDEX($AM$11:$AM$4010,MATCH(374,$AZ$11:$AZ$4010,0)),"")</f>
        <v/>
      </c>
      <c r="AF384" s="25" t="str">
        <f>IF(AE384="","",IFERROR(INDEX($AN$11:$AN$4010,MATCH(374,$AZ$11:$AZ$4010,0)),""))</f>
        <v/>
      </c>
      <c r="AG384" s="25" t="str">
        <f>IF(AE384="","",IFERROR(INDEX($AO$11:$AO$4010,MATCH(374,$AZ$11:$AZ$4010,0)),""))</f>
        <v/>
      </c>
      <c r="AH384" s="24" t="str">
        <f>IF(AE384="","",IFERROR(INDEX($AQ$11:$AQ$4010,MATCH(374,$AZ$11:$AZ$4010,0)),""))</f>
        <v/>
      </c>
      <c r="AI384" s="29" t="str">
        <f>IF(AE384="","",IFERROR(INDEX($AR$11:$AR$4010,MATCH(374,$AZ$11:$AZ$4010,0)),""))</f>
        <v/>
      </c>
      <c r="AJ384" s="29" t="str">
        <f>IF(AE384="","",IFERROR(INDEX($AT$11:$AT$4010,MATCH(374,$AZ$11:$AZ$4010,0)),""))</f>
        <v/>
      </c>
      <c r="AL384" s="31" t="str">
        <f t="shared" si="73"/>
        <v/>
      </c>
      <c r="AM384" s="26" t="str">
        <f t="shared" si="74"/>
        <v/>
      </c>
      <c r="AN384" s="32" t="str">
        <f t="shared" si="75"/>
        <v/>
      </c>
      <c r="AO384" s="32" t="str">
        <f t="shared" si="76"/>
        <v/>
      </c>
      <c r="AP384" s="24" t="str">
        <f t="shared" si="77"/>
        <v/>
      </c>
      <c r="AQ384" s="24" t="str">
        <f t="shared" si="78"/>
        <v/>
      </c>
      <c r="AR384" s="33" t="str">
        <f t="shared" si="79"/>
        <v/>
      </c>
      <c r="AS384" s="34"/>
      <c r="AT384" s="33"/>
      <c r="AV384" s="21">
        <f>IF(AND($AL384&lt;&gt;"",COUNTIF($AL$11:$AL384,$AL384)=1),1,0)</f>
        <v>0</v>
      </c>
      <c r="AW384" s="21">
        <f t="shared" si="81"/>
        <v>2</v>
      </c>
      <c r="AX384" s="21" t="str">
        <f t="shared" si="80"/>
        <v/>
      </c>
      <c r="AY384" s="21" t="str">
        <f>IF(AND($AM384&lt;&gt;"",$AS384&lt;&gt;"✓"),SUMPRODUCT(($AM$11:$AM384&lt;&gt;"")*($AS$11:$AS384&lt;&gt;"✓")),"")</f>
        <v/>
      </c>
      <c r="AZ384" s="21" t="str">
        <f>IF(AND($AM384&lt;&gt;"",$AS384="✓"),SUMPRODUCT(($AM$11:$AM384&lt;&gt;"")*($AS$11:$AS384="✓")),"")</f>
        <v/>
      </c>
      <c r="BA384" s="21" t="str">
        <f>IF($AL384="","",$AL384&amp;"|"&amp;COUNTIF($AL$11:$AL384,$AL384))</f>
        <v/>
      </c>
    </row>
    <row r="385" spans="2:53" ht="15" customHeight="1" x14ac:dyDescent="0.25">
      <c r="B385" s="5" t="str">
        <f t="shared" si="72"/>
        <v/>
      </c>
      <c r="C385" s="5"/>
      <c r="D385" s="5"/>
      <c r="E385" s="5"/>
      <c r="F385" s="6"/>
      <c r="G385" s="6"/>
      <c r="H385" s="7"/>
      <c r="I385" s="8"/>
      <c r="W385" s="14" t="str">
        <f>IF(X385="","",IFERROR(INDEX($AL$11:$AL$4010,MATCH(375,$AY$11:$AY$4010,0)),""))</f>
        <v/>
      </c>
      <c r="X385" s="12" t="str">
        <f>IFERROR(INDEX($AM$11:$AM$4010,MATCH(375,$AY$11:$AY$4010,0)),"")</f>
        <v/>
      </c>
      <c r="Y385" s="11" t="str">
        <f>IF(X385="","",IFERROR(INDEX($AN$11:$AN$4010,MATCH(375,$AY$11:$AY$4010,0)),""))</f>
        <v/>
      </c>
      <c r="Z385" s="11" t="str">
        <f>IF(X385="","",IFERROR(INDEX($AO$11:$AO$4010,MATCH(375,$AY$11:$AY$4010,0)),""))</f>
        <v/>
      </c>
      <c r="AA385" s="10" t="str">
        <f>IF(X385="","",IFERROR(INDEX($AQ$11:$AQ$4010,MATCH(375,$AY$11:$AY$4010,0)),""))</f>
        <v/>
      </c>
      <c r="AB385" s="15" t="str">
        <f>IF(X385="","",IFERROR(INDEX($AR$11:$AR$4010,MATCH(375,$AY$11:$AY$4010,0)),""))</f>
        <v/>
      </c>
      <c r="AD385" s="16" t="str">
        <f>IF(AE385="","",IFERROR(INDEX($AL$11:$AL$4010,MATCH(375,$AZ$11:$AZ$4010,0)),""))</f>
        <v/>
      </c>
      <c r="AE385" s="12" t="str">
        <f>IFERROR(INDEX($AM$11:$AM$4010,MATCH(375,$AZ$11:$AZ$4010,0)),"")</f>
        <v/>
      </c>
      <c r="AF385" s="11" t="str">
        <f>IF(AE385="","",IFERROR(INDEX($AN$11:$AN$4010,MATCH(375,$AZ$11:$AZ$4010,0)),""))</f>
        <v/>
      </c>
      <c r="AG385" s="11" t="str">
        <f>IF(AE385="","",IFERROR(INDEX($AO$11:$AO$4010,MATCH(375,$AZ$11:$AZ$4010,0)),""))</f>
        <v/>
      </c>
      <c r="AH385" s="10" t="str">
        <f>IF(AE385="","",IFERROR(INDEX($AQ$11:$AQ$4010,MATCH(375,$AZ$11:$AZ$4010,0)),""))</f>
        <v/>
      </c>
      <c r="AI385" s="15" t="str">
        <f>IF(AE385="","",IFERROR(INDEX($AR$11:$AR$4010,MATCH(375,$AZ$11:$AZ$4010,0)),""))</f>
        <v/>
      </c>
      <c r="AJ385" s="15" t="str">
        <f>IF(AE385="","",IFERROR(INDEX($AT$11:$AT$4010,MATCH(375,$AZ$11:$AZ$4010,0)),""))</f>
        <v/>
      </c>
      <c r="AL385" s="17" t="str">
        <f t="shared" si="73"/>
        <v/>
      </c>
      <c r="AM385" s="12" t="str">
        <f t="shared" si="74"/>
        <v/>
      </c>
      <c r="AN385" s="18" t="str">
        <f t="shared" si="75"/>
        <v/>
      </c>
      <c r="AO385" s="18" t="str">
        <f t="shared" si="76"/>
        <v/>
      </c>
      <c r="AP385" s="10" t="str">
        <f t="shared" si="77"/>
        <v/>
      </c>
      <c r="AQ385" s="10" t="str">
        <f t="shared" si="78"/>
        <v/>
      </c>
      <c r="AR385" s="19" t="str">
        <f t="shared" si="79"/>
        <v/>
      </c>
      <c r="AS385" s="20"/>
      <c r="AT385" s="19"/>
      <c r="AV385" s="21">
        <f>IF(AND($AL385&lt;&gt;"",COUNTIF($AL$11:$AL385,$AL385)=1),1,0)</f>
        <v>0</v>
      </c>
      <c r="AW385" s="21">
        <f t="shared" si="81"/>
        <v>2</v>
      </c>
      <c r="AX385" s="21" t="str">
        <f t="shared" si="80"/>
        <v/>
      </c>
      <c r="AY385" s="21" t="str">
        <f>IF(AND($AM385&lt;&gt;"",$AS385&lt;&gt;"✓"),SUMPRODUCT(($AM$11:$AM385&lt;&gt;"")*($AS$11:$AS385&lt;&gt;"✓")),"")</f>
        <v/>
      </c>
      <c r="AZ385" s="21" t="str">
        <f>IF(AND($AM385&lt;&gt;"",$AS385="✓"),SUMPRODUCT(($AM$11:$AM385&lt;&gt;"")*($AS$11:$AS385="✓")),"")</f>
        <v/>
      </c>
      <c r="BA385" s="21" t="str">
        <f>IF($AL385="","",$AL385&amp;"|"&amp;COUNTIF($AL$11:$AL385,$AL385))</f>
        <v/>
      </c>
    </row>
    <row r="386" spans="2:53" ht="15" customHeight="1" x14ac:dyDescent="0.25">
      <c r="B386" s="5" t="str">
        <f t="shared" si="72"/>
        <v/>
      </c>
      <c r="C386" s="5"/>
      <c r="D386" s="5"/>
      <c r="E386" s="5"/>
      <c r="F386" s="6"/>
      <c r="G386" s="6"/>
      <c r="H386" s="7"/>
      <c r="I386" s="8"/>
      <c r="W386" s="28" t="str">
        <f>IF(X386="","",IFERROR(INDEX($AL$11:$AL$4010,MATCH(376,$AY$11:$AY$4010,0)),""))</f>
        <v/>
      </c>
      <c r="X386" s="26" t="str">
        <f>IFERROR(INDEX($AM$11:$AM$4010,MATCH(376,$AY$11:$AY$4010,0)),"")</f>
        <v/>
      </c>
      <c r="Y386" s="25" t="str">
        <f>IF(X386="","",IFERROR(INDEX($AN$11:$AN$4010,MATCH(376,$AY$11:$AY$4010,0)),""))</f>
        <v/>
      </c>
      <c r="Z386" s="25" t="str">
        <f>IF(X386="","",IFERROR(INDEX($AO$11:$AO$4010,MATCH(376,$AY$11:$AY$4010,0)),""))</f>
        <v/>
      </c>
      <c r="AA386" s="24" t="str">
        <f>IF(X386="","",IFERROR(INDEX($AQ$11:$AQ$4010,MATCH(376,$AY$11:$AY$4010,0)),""))</f>
        <v/>
      </c>
      <c r="AB386" s="29" t="str">
        <f>IF(X386="","",IFERROR(INDEX($AR$11:$AR$4010,MATCH(376,$AY$11:$AY$4010,0)),""))</f>
        <v/>
      </c>
      <c r="AD386" s="30" t="str">
        <f>IF(AE386="","",IFERROR(INDEX($AL$11:$AL$4010,MATCH(376,$AZ$11:$AZ$4010,0)),""))</f>
        <v/>
      </c>
      <c r="AE386" s="26" t="str">
        <f>IFERROR(INDEX($AM$11:$AM$4010,MATCH(376,$AZ$11:$AZ$4010,0)),"")</f>
        <v/>
      </c>
      <c r="AF386" s="25" t="str">
        <f>IF(AE386="","",IFERROR(INDEX($AN$11:$AN$4010,MATCH(376,$AZ$11:$AZ$4010,0)),""))</f>
        <v/>
      </c>
      <c r="AG386" s="25" t="str">
        <f>IF(AE386="","",IFERROR(INDEX($AO$11:$AO$4010,MATCH(376,$AZ$11:$AZ$4010,0)),""))</f>
        <v/>
      </c>
      <c r="AH386" s="24" t="str">
        <f>IF(AE386="","",IFERROR(INDEX($AQ$11:$AQ$4010,MATCH(376,$AZ$11:$AZ$4010,0)),""))</f>
        <v/>
      </c>
      <c r="AI386" s="29" t="str">
        <f>IF(AE386="","",IFERROR(INDEX($AR$11:$AR$4010,MATCH(376,$AZ$11:$AZ$4010,0)),""))</f>
        <v/>
      </c>
      <c r="AJ386" s="29" t="str">
        <f>IF(AE386="","",IFERROR(INDEX($AT$11:$AT$4010,MATCH(376,$AZ$11:$AZ$4010,0)),""))</f>
        <v/>
      </c>
      <c r="AL386" s="31" t="str">
        <f t="shared" si="73"/>
        <v/>
      </c>
      <c r="AM386" s="26" t="str">
        <f t="shared" si="74"/>
        <v/>
      </c>
      <c r="AN386" s="32" t="str">
        <f t="shared" si="75"/>
        <v/>
      </c>
      <c r="AO386" s="32" t="str">
        <f t="shared" si="76"/>
        <v/>
      </c>
      <c r="AP386" s="24" t="str">
        <f t="shared" si="77"/>
        <v/>
      </c>
      <c r="AQ386" s="24" t="str">
        <f t="shared" si="78"/>
        <v/>
      </c>
      <c r="AR386" s="33" t="str">
        <f t="shared" si="79"/>
        <v/>
      </c>
      <c r="AS386" s="34"/>
      <c r="AT386" s="33"/>
      <c r="AV386" s="21">
        <f>IF(AND($AL386&lt;&gt;"",COUNTIF($AL$11:$AL386,$AL386)=1),1,0)</f>
        <v>0</v>
      </c>
      <c r="AW386" s="21">
        <f t="shared" si="81"/>
        <v>2</v>
      </c>
      <c r="AX386" s="21" t="str">
        <f t="shared" si="80"/>
        <v/>
      </c>
      <c r="AY386" s="21" t="str">
        <f>IF(AND($AM386&lt;&gt;"",$AS386&lt;&gt;"✓"),SUMPRODUCT(($AM$11:$AM386&lt;&gt;"")*($AS$11:$AS386&lt;&gt;"✓")),"")</f>
        <v/>
      </c>
      <c r="AZ386" s="21" t="str">
        <f>IF(AND($AM386&lt;&gt;"",$AS386="✓"),SUMPRODUCT(($AM$11:$AM386&lt;&gt;"")*($AS$11:$AS386="✓")),"")</f>
        <v/>
      </c>
      <c r="BA386" s="21" t="str">
        <f>IF($AL386="","",$AL386&amp;"|"&amp;COUNTIF($AL$11:$AL386,$AL386))</f>
        <v/>
      </c>
    </row>
    <row r="387" spans="2:53" ht="15" customHeight="1" x14ac:dyDescent="0.25">
      <c r="B387" s="5" t="str">
        <f t="shared" si="72"/>
        <v/>
      </c>
      <c r="C387" s="5"/>
      <c r="D387" s="5"/>
      <c r="E387" s="5"/>
      <c r="F387" s="6"/>
      <c r="G387" s="6"/>
      <c r="H387" s="7"/>
      <c r="I387" s="8"/>
      <c r="W387" s="14" t="str">
        <f>IF(X387="","",IFERROR(INDEX($AL$11:$AL$4010,MATCH(377,$AY$11:$AY$4010,0)),""))</f>
        <v/>
      </c>
      <c r="X387" s="12" t="str">
        <f>IFERROR(INDEX($AM$11:$AM$4010,MATCH(377,$AY$11:$AY$4010,0)),"")</f>
        <v/>
      </c>
      <c r="Y387" s="11" t="str">
        <f>IF(X387="","",IFERROR(INDEX($AN$11:$AN$4010,MATCH(377,$AY$11:$AY$4010,0)),""))</f>
        <v/>
      </c>
      <c r="Z387" s="11" t="str">
        <f>IF(X387="","",IFERROR(INDEX($AO$11:$AO$4010,MATCH(377,$AY$11:$AY$4010,0)),""))</f>
        <v/>
      </c>
      <c r="AA387" s="10" t="str">
        <f>IF(X387="","",IFERROR(INDEX($AQ$11:$AQ$4010,MATCH(377,$AY$11:$AY$4010,0)),""))</f>
        <v/>
      </c>
      <c r="AB387" s="15" t="str">
        <f>IF(X387="","",IFERROR(INDEX($AR$11:$AR$4010,MATCH(377,$AY$11:$AY$4010,0)),""))</f>
        <v/>
      </c>
      <c r="AD387" s="16" t="str">
        <f>IF(AE387="","",IFERROR(INDEX($AL$11:$AL$4010,MATCH(377,$AZ$11:$AZ$4010,0)),""))</f>
        <v/>
      </c>
      <c r="AE387" s="12" t="str">
        <f>IFERROR(INDEX($AM$11:$AM$4010,MATCH(377,$AZ$11:$AZ$4010,0)),"")</f>
        <v/>
      </c>
      <c r="AF387" s="11" t="str">
        <f>IF(AE387="","",IFERROR(INDEX($AN$11:$AN$4010,MATCH(377,$AZ$11:$AZ$4010,0)),""))</f>
        <v/>
      </c>
      <c r="AG387" s="11" t="str">
        <f>IF(AE387="","",IFERROR(INDEX($AO$11:$AO$4010,MATCH(377,$AZ$11:$AZ$4010,0)),""))</f>
        <v/>
      </c>
      <c r="AH387" s="10" t="str">
        <f>IF(AE387="","",IFERROR(INDEX($AQ$11:$AQ$4010,MATCH(377,$AZ$11:$AZ$4010,0)),""))</f>
        <v/>
      </c>
      <c r="AI387" s="15" t="str">
        <f>IF(AE387="","",IFERROR(INDEX($AR$11:$AR$4010,MATCH(377,$AZ$11:$AZ$4010,0)),""))</f>
        <v/>
      </c>
      <c r="AJ387" s="15" t="str">
        <f>IF(AE387="","",IFERROR(INDEX($AT$11:$AT$4010,MATCH(377,$AZ$11:$AZ$4010,0)),""))</f>
        <v/>
      </c>
      <c r="AL387" s="17" t="str">
        <f t="shared" si="73"/>
        <v/>
      </c>
      <c r="AM387" s="12" t="str">
        <f t="shared" si="74"/>
        <v/>
      </c>
      <c r="AN387" s="18" t="str">
        <f t="shared" si="75"/>
        <v/>
      </c>
      <c r="AO387" s="18" t="str">
        <f t="shared" si="76"/>
        <v/>
      </c>
      <c r="AP387" s="10" t="str">
        <f t="shared" si="77"/>
        <v/>
      </c>
      <c r="AQ387" s="10" t="str">
        <f t="shared" si="78"/>
        <v/>
      </c>
      <c r="AR387" s="19" t="str">
        <f t="shared" si="79"/>
        <v/>
      </c>
      <c r="AS387" s="20"/>
      <c r="AT387" s="19"/>
      <c r="AV387" s="21">
        <f>IF(AND($AL387&lt;&gt;"",COUNTIF($AL$11:$AL387,$AL387)=1),1,0)</f>
        <v>0</v>
      </c>
      <c r="AW387" s="21">
        <f t="shared" si="81"/>
        <v>2</v>
      </c>
      <c r="AX387" s="21" t="str">
        <f t="shared" si="80"/>
        <v/>
      </c>
      <c r="AY387" s="21" t="str">
        <f>IF(AND($AM387&lt;&gt;"",$AS387&lt;&gt;"✓"),SUMPRODUCT(($AM$11:$AM387&lt;&gt;"")*($AS$11:$AS387&lt;&gt;"✓")),"")</f>
        <v/>
      </c>
      <c r="AZ387" s="21" t="str">
        <f>IF(AND($AM387&lt;&gt;"",$AS387="✓"),SUMPRODUCT(($AM$11:$AM387&lt;&gt;"")*($AS$11:$AS387="✓")),"")</f>
        <v/>
      </c>
      <c r="BA387" s="21" t="str">
        <f>IF($AL387="","",$AL387&amp;"|"&amp;COUNTIF($AL$11:$AL387,$AL387))</f>
        <v/>
      </c>
    </row>
    <row r="388" spans="2:53" ht="15" customHeight="1" x14ac:dyDescent="0.25">
      <c r="B388" s="5" t="str">
        <f t="shared" si="72"/>
        <v/>
      </c>
      <c r="C388" s="5"/>
      <c r="D388" s="5"/>
      <c r="E388" s="5"/>
      <c r="F388" s="6"/>
      <c r="G388" s="6"/>
      <c r="H388" s="7"/>
      <c r="I388" s="8"/>
      <c r="W388" s="28" t="str">
        <f>IF(X388="","",IFERROR(INDEX($AL$11:$AL$4010,MATCH(378,$AY$11:$AY$4010,0)),""))</f>
        <v/>
      </c>
      <c r="X388" s="26" t="str">
        <f>IFERROR(INDEX($AM$11:$AM$4010,MATCH(378,$AY$11:$AY$4010,0)),"")</f>
        <v/>
      </c>
      <c r="Y388" s="25" t="str">
        <f>IF(X388="","",IFERROR(INDEX($AN$11:$AN$4010,MATCH(378,$AY$11:$AY$4010,0)),""))</f>
        <v/>
      </c>
      <c r="Z388" s="25" t="str">
        <f>IF(X388="","",IFERROR(INDEX($AO$11:$AO$4010,MATCH(378,$AY$11:$AY$4010,0)),""))</f>
        <v/>
      </c>
      <c r="AA388" s="24" t="str">
        <f>IF(X388="","",IFERROR(INDEX($AQ$11:$AQ$4010,MATCH(378,$AY$11:$AY$4010,0)),""))</f>
        <v/>
      </c>
      <c r="AB388" s="29" t="str">
        <f>IF(X388="","",IFERROR(INDEX($AR$11:$AR$4010,MATCH(378,$AY$11:$AY$4010,0)),""))</f>
        <v/>
      </c>
      <c r="AD388" s="30" t="str">
        <f>IF(AE388="","",IFERROR(INDEX($AL$11:$AL$4010,MATCH(378,$AZ$11:$AZ$4010,0)),""))</f>
        <v/>
      </c>
      <c r="AE388" s="26" t="str">
        <f>IFERROR(INDEX($AM$11:$AM$4010,MATCH(378,$AZ$11:$AZ$4010,0)),"")</f>
        <v/>
      </c>
      <c r="AF388" s="25" t="str">
        <f>IF(AE388="","",IFERROR(INDEX($AN$11:$AN$4010,MATCH(378,$AZ$11:$AZ$4010,0)),""))</f>
        <v/>
      </c>
      <c r="AG388" s="25" t="str">
        <f>IF(AE388="","",IFERROR(INDEX($AO$11:$AO$4010,MATCH(378,$AZ$11:$AZ$4010,0)),""))</f>
        <v/>
      </c>
      <c r="AH388" s="24" t="str">
        <f>IF(AE388="","",IFERROR(INDEX($AQ$11:$AQ$4010,MATCH(378,$AZ$11:$AZ$4010,0)),""))</f>
        <v/>
      </c>
      <c r="AI388" s="29" t="str">
        <f>IF(AE388="","",IFERROR(INDEX($AR$11:$AR$4010,MATCH(378,$AZ$11:$AZ$4010,0)),""))</f>
        <v/>
      </c>
      <c r="AJ388" s="29" t="str">
        <f>IF(AE388="","",IFERROR(INDEX($AT$11:$AT$4010,MATCH(378,$AZ$11:$AZ$4010,0)),""))</f>
        <v/>
      </c>
      <c r="AL388" s="31" t="str">
        <f t="shared" si="73"/>
        <v/>
      </c>
      <c r="AM388" s="26" t="str">
        <f t="shared" si="74"/>
        <v/>
      </c>
      <c r="AN388" s="32" t="str">
        <f t="shared" si="75"/>
        <v/>
      </c>
      <c r="AO388" s="32" t="str">
        <f t="shared" si="76"/>
        <v/>
      </c>
      <c r="AP388" s="24" t="str">
        <f t="shared" si="77"/>
        <v/>
      </c>
      <c r="AQ388" s="24" t="str">
        <f t="shared" si="78"/>
        <v/>
      </c>
      <c r="AR388" s="33" t="str">
        <f t="shared" si="79"/>
        <v/>
      </c>
      <c r="AS388" s="34"/>
      <c r="AT388" s="33"/>
      <c r="AV388" s="21">
        <f>IF(AND($AL388&lt;&gt;"",COUNTIF($AL$11:$AL388,$AL388)=1),1,0)</f>
        <v>0</v>
      </c>
      <c r="AW388" s="21">
        <f t="shared" si="81"/>
        <v>2</v>
      </c>
      <c r="AX388" s="21" t="str">
        <f t="shared" si="80"/>
        <v/>
      </c>
      <c r="AY388" s="21" t="str">
        <f>IF(AND($AM388&lt;&gt;"",$AS388&lt;&gt;"✓"),SUMPRODUCT(($AM$11:$AM388&lt;&gt;"")*($AS$11:$AS388&lt;&gt;"✓")),"")</f>
        <v/>
      </c>
      <c r="AZ388" s="21" t="str">
        <f>IF(AND($AM388&lt;&gt;"",$AS388="✓"),SUMPRODUCT(($AM$11:$AM388&lt;&gt;"")*($AS$11:$AS388="✓")),"")</f>
        <v/>
      </c>
      <c r="BA388" s="21" t="str">
        <f>IF($AL388="","",$AL388&amp;"|"&amp;COUNTIF($AL$11:$AL388,$AL388))</f>
        <v/>
      </c>
    </row>
    <row r="389" spans="2:53" ht="15" customHeight="1" x14ac:dyDescent="0.25">
      <c r="B389" s="5" t="str">
        <f t="shared" si="72"/>
        <v/>
      </c>
      <c r="C389" s="5"/>
      <c r="D389" s="5"/>
      <c r="E389" s="5"/>
      <c r="F389" s="6"/>
      <c r="G389" s="6"/>
      <c r="H389" s="7"/>
      <c r="I389" s="8"/>
      <c r="W389" s="14" t="str">
        <f>IF(X389="","",IFERROR(INDEX($AL$11:$AL$4010,MATCH(379,$AY$11:$AY$4010,0)),""))</f>
        <v/>
      </c>
      <c r="X389" s="12" t="str">
        <f>IFERROR(INDEX($AM$11:$AM$4010,MATCH(379,$AY$11:$AY$4010,0)),"")</f>
        <v/>
      </c>
      <c r="Y389" s="11" t="str">
        <f>IF(X389="","",IFERROR(INDEX($AN$11:$AN$4010,MATCH(379,$AY$11:$AY$4010,0)),""))</f>
        <v/>
      </c>
      <c r="Z389" s="11" t="str">
        <f>IF(X389="","",IFERROR(INDEX($AO$11:$AO$4010,MATCH(379,$AY$11:$AY$4010,0)),""))</f>
        <v/>
      </c>
      <c r="AA389" s="10" t="str">
        <f>IF(X389="","",IFERROR(INDEX($AQ$11:$AQ$4010,MATCH(379,$AY$11:$AY$4010,0)),""))</f>
        <v/>
      </c>
      <c r="AB389" s="15" t="str">
        <f>IF(X389="","",IFERROR(INDEX($AR$11:$AR$4010,MATCH(379,$AY$11:$AY$4010,0)),""))</f>
        <v/>
      </c>
      <c r="AD389" s="16" t="str">
        <f>IF(AE389="","",IFERROR(INDEX($AL$11:$AL$4010,MATCH(379,$AZ$11:$AZ$4010,0)),""))</f>
        <v/>
      </c>
      <c r="AE389" s="12" t="str">
        <f>IFERROR(INDEX($AM$11:$AM$4010,MATCH(379,$AZ$11:$AZ$4010,0)),"")</f>
        <v/>
      </c>
      <c r="AF389" s="11" t="str">
        <f>IF(AE389="","",IFERROR(INDEX($AN$11:$AN$4010,MATCH(379,$AZ$11:$AZ$4010,0)),""))</f>
        <v/>
      </c>
      <c r="AG389" s="11" t="str">
        <f>IF(AE389="","",IFERROR(INDEX($AO$11:$AO$4010,MATCH(379,$AZ$11:$AZ$4010,0)),""))</f>
        <v/>
      </c>
      <c r="AH389" s="10" t="str">
        <f>IF(AE389="","",IFERROR(INDEX($AQ$11:$AQ$4010,MATCH(379,$AZ$11:$AZ$4010,0)),""))</f>
        <v/>
      </c>
      <c r="AI389" s="15" t="str">
        <f>IF(AE389="","",IFERROR(INDEX($AR$11:$AR$4010,MATCH(379,$AZ$11:$AZ$4010,0)),""))</f>
        <v/>
      </c>
      <c r="AJ389" s="15" t="str">
        <f>IF(AE389="","",IFERROR(INDEX($AT$11:$AT$4010,MATCH(379,$AZ$11:$AZ$4010,0)),""))</f>
        <v/>
      </c>
      <c r="AL389" s="17" t="str">
        <f t="shared" si="73"/>
        <v/>
      </c>
      <c r="AM389" s="12" t="str">
        <f t="shared" si="74"/>
        <v/>
      </c>
      <c r="AN389" s="18" t="str">
        <f t="shared" si="75"/>
        <v/>
      </c>
      <c r="AO389" s="18" t="str">
        <f t="shared" si="76"/>
        <v/>
      </c>
      <c r="AP389" s="10" t="str">
        <f t="shared" si="77"/>
        <v/>
      </c>
      <c r="AQ389" s="10" t="str">
        <f t="shared" si="78"/>
        <v/>
      </c>
      <c r="AR389" s="19" t="str">
        <f t="shared" si="79"/>
        <v/>
      </c>
      <c r="AS389" s="20"/>
      <c r="AT389" s="19"/>
      <c r="AV389" s="21">
        <f>IF(AND($AL389&lt;&gt;"",COUNTIF($AL$11:$AL389,$AL389)=1),1,0)</f>
        <v>0</v>
      </c>
      <c r="AW389" s="21">
        <f t="shared" si="81"/>
        <v>2</v>
      </c>
      <c r="AX389" s="21" t="str">
        <f t="shared" si="80"/>
        <v/>
      </c>
      <c r="AY389" s="21" t="str">
        <f>IF(AND($AM389&lt;&gt;"",$AS389&lt;&gt;"✓"),SUMPRODUCT(($AM$11:$AM389&lt;&gt;"")*($AS$11:$AS389&lt;&gt;"✓")),"")</f>
        <v/>
      </c>
      <c r="AZ389" s="21" t="str">
        <f>IF(AND($AM389&lt;&gt;"",$AS389="✓"),SUMPRODUCT(($AM$11:$AM389&lt;&gt;"")*($AS$11:$AS389="✓")),"")</f>
        <v/>
      </c>
      <c r="BA389" s="21" t="str">
        <f>IF($AL389="","",$AL389&amp;"|"&amp;COUNTIF($AL$11:$AL389,$AL389))</f>
        <v/>
      </c>
    </row>
    <row r="390" spans="2:53" ht="15" customHeight="1" x14ac:dyDescent="0.25">
      <c r="B390" s="5" t="str">
        <f t="shared" si="72"/>
        <v/>
      </c>
      <c r="C390" s="5"/>
      <c r="D390" s="5"/>
      <c r="E390" s="5"/>
      <c r="F390" s="6"/>
      <c r="G390" s="6"/>
      <c r="H390" s="7"/>
      <c r="I390" s="8"/>
      <c r="W390" s="28" t="str">
        <f>IF(X390="","",IFERROR(INDEX($AL$11:$AL$4010,MATCH(380,$AY$11:$AY$4010,0)),""))</f>
        <v/>
      </c>
      <c r="X390" s="26" t="str">
        <f>IFERROR(INDEX($AM$11:$AM$4010,MATCH(380,$AY$11:$AY$4010,0)),"")</f>
        <v/>
      </c>
      <c r="Y390" s="25" t="str">
        <f>IF(X390="","",IFERROR(INDEX($AN$11:$AN$4010,MATCH(380,$AY$11:$AY$4010,0)),""))</f>
        <v/>
      </c>
      <c r="Z390" s="25" t="str">
        <f>IF(X390="","",IFERROR(INDEX($AO$11:$AO$4010,MATCH(380,$AY$11:$AY$4010,0)),""))</f>
        <v/>
      </c>
      <c r="AA390" s="24" t="str">
        <f>IF(X390="","",IFERROR(INDEX($AQ$11:$AQ$4010,MATCH(380,$AY$11:$AY$4010,0)),""))</f>
        <v/>
      </c>
      <c r="AB390" s="29" t="str">
        <f>IF(X390="","",IFERROR(INDEX($AR$11:$AR$4010,MATCH(380,$AY$11:$AY$4010,0)),""))</f>
        <v/>
      </c>
      <c r="AD390" s="30" t="str">
        <f>IF(AE390="","",IFERROR(INDEX($AL$11:$AL$4010,MATCH(380,$AZ$11:$AZ$4010,0)),""))</f>
        <v/>
      </c>
      <c r="AE390" s="26" t="str">
        <f>IFERROR(INDEX($AM$11:$AM$4010,MATCH(380,$AZ$11:$AZ$4010,0)),"")</f>
        <v/>
      </c>
      <c r="AF390" s="25" t="str">
        <f>IF(AE390="","",IFERROR(INDEX($AN$11:$AN$4010,MATCH(380,$AZ$11:$AZ$4010,0)),""))</f>
        <v/>
      </c>
      <c r="AG390" s="25" t="str">
        <f>IF(AE390="","",IFERROR(INDEX($AO$11:$AO$4010,MATCH(380,$AZ$11:$AZ$4010,0)),""))</f>
        <v/>
      </c>
      <c r="AH390" s="24" t="str">
        <f>IF(AE390="","",IFERROR(INDEX($AQ$11:$AQ$4010,MATCH(380,$AZ$11:$AZ$4010,0)),""))</f>
        <v/>
      </c>
      <c r="AI390" s="29" t="str">
        <f>IF(AE390="","",IFERROR(INDEX($AR$11:$AR$4010,MATCH(380,$AZ$11:$AZ$4010,0)),""))</f>
        <v/>
      </c>
      <c r="AJ390" s="29" t="str">
        <f>IF(AE390="","",IFERROR(INDEX($AT$11:$AT$4010,MATCH(380,$AZ$11:$AZ$4010,0)),""))</f>
        <v/>
      </c>
      <c r="AL390" s="31" t="str">
        <f t="shared" si="73"/>
        <v/>
      </c>
      <c r="AM390" s="26" t="str">
        <f t="shared" si="74"/>
        <v/>
      </c>
      <c r="AN390" s="32" t="str">
        <f t="shared" si="75"/>
        <v/>
      </c>
      <c r="AO390" s="32" t="str">
        <f t="shared" si="76"/>
        <v/>
      </c>
      <c r="AP390" s="24" t="str">
        <f t="shared" si="77"/>
        <v/>
      </c>
      <c r="AQ390" s="24" t="str">
        <f t="shared" si="78"/>
        <v/>
      </c>
      <c r="AR390" s="33" t="str">
        <f t="shared" si="79"/>
        <v/>
      </c>
      <c r="AS390" s="34"/>
      <c r="AT390" s="33"/>
      <c r="AV390" s="21">
        <f>IF(AND($AL390&lt;&gt;"",COUNTIF($AL$11:$AL390,$AL390)=1),1,0)</f>
        <v>0</v>
      </c>
      <c r="AW390" s="21">
        <f t="shared" si="81"/>
        <v>2</v>
      </c>
      <c r="AX390" s="21" t="str">
        <f t="shared" si="80"/>
        <v/>
      </c>
      <c r="AY390" s="21" t="str">
        <f>IF(AND($AM390&lt;&gt;"",$AS390&lt;&gt;"✓"),SUMPRODUCT(($AM$11:$AM390&lt;&gt;"")*($AS$11:$AS390&lt;&gt;"✓")),"")</f>
        <v/>
      </c>
      <c r="AZ390" s="21" t="str">
        <f>IF(AND($AM390&lt;&gt;"",$AS390="✓"),SUMPRODUCT(($AM$11:$AM390&lt;&gt;"")*($AS$11:$AS390="✓")),"")</f>
        <v/>
      </c>
      <c r="BA390" s="21" t="str">
        <f>IF($AL390="","",$AL390&amp;"|"&amp;COUNTIF($AL$11:$AL390,$AL390))</f>
        <v/>
      </c>
    </row>
    <row r="391" spans="2:53" ht="15" customHeight="1" x14ac:dyDescent="0.25">
      <c r="B391" s="5" t="str">
        <f t="shared" si="72"/>
        <v/>
      </c>
      <c r="C391" s="5"/>
      <c r="D391" s="5"/>
      <c r="E391" s="5"/>
      <c r="F391" s="6"/>
      <c r="G391" s="6"/>
      <c r="H391" s="7"/>
      <c r="I391" s="8"/>
      <c r="W391" s="14" t="str">
        <f>IF(X391="","",IFERROR(INDEX($AL$11:$AL$4010,MATCH(381,$AY$11:$AY$4010,0)),""))</f>
        <v/>
      </c>
      <c r="X391" s="12" t="str">
        <f>IFERROR(INDEX($AM$11:$AM$4010,MATCH(381,$AY$11:$AY$4010,0)),"")</f>
        <v/>
      </c>
      <c r="Y391" s="11" t="str">
        <f>IF(X391="","",IFERROR(INDEX($AN$11:$AN$4010,MATCH(381,$AY$11:$AY$4010,0)),""))</f>
        <v/>
      </c>
      <c r="Z391" s="11" t="str">
        <f>IF(X391="","",IFERROR(INDEX($AO$11:$AO$4010,MATCH(381,$AY$11:$AY$4010,0)),""))</f>
        <v/>
      </c>
      <c r="AA391" s="10" t="str">
        <f>IF(X391="","",IFERROR(INDEX($AQ$11:$AQ$4010,MATCH(381,$AY$11:$AY$4010,0)),""))</f>
        <v/>
      </c>
      <c r="AB391" s="15" t="str">
        <f>IF(X391="","",IFERROR(INDEX($AR$11:$AR$4010,MATCH(381,$AY$11:$AY$4010,0)),""))</f>
        <v/>
      </c>
      <c r="AD391" s="16" t="str">
        <f>IF(AE391="","",IFERROR(INDEX($AL$11:$AL$4010,MATCH(381,$AZ$11:$AZ$4010,0)),""))</f>
        <v/>
      </c>
      <c r="AE391" s="12" t="str">
        <f>IFERROR(INDEX($AM$11:$AM$4010,MATCH(381,$AZ$11:$AZ$4010,0)),"")</f>
        <v/>
      </c>
      <c r="AF391" s="11" t="str">
        <f>IF(AE391="","",IFERROR(INDEX($AN$11:$AN$4010,MATCH(381,$AZ$11:$AZ$4010,0)),""))</f>
        <v/>
      </c>
      <c r="AG391" s="11" t="str">
        <f>IF(AE391="","",IFERROR(INDEX($AO$11:$AO$4010,MATCH(381,$AZ$11:$AZ$4010,0)),""))</f>
        <v/>
      </c>
      <c r="AH391" s="10" t="str">
        <f>IF(AE391="","",IFERROR(INDEX($AQ$11:$AQ$4010,MATCH(381,$AZ$11:$AZ$4010,0)),""))</f>
        <v/>
      </c>
      <c r="AI391" s="15" t="str">
        <f>IF(AE391="","",IFERROR(INDEX($AR$11:$AR$4010,MATCH(381,$AZ$11:$AZ$4010,0)),""))</f>
        <v/>
      </c>
      <c r="AJ391" s="15" t="str">
        <f>IF(AE391="","",IFERROR(INDEX($AT$11:$AT$4010,MATCH(381,$AZ$11:$AZ$4010,0)),""))</f>
        <v/>
      </c>
      <c r="AL391" s="17" t="str">
        <f t="shared" si="73"/>
        <v/>
      </c>
      <c r="AM391" s="12" t="str">
        <f t="shared" si="74"/>
        <v/>
      </c>
      <c r="AN391" s="18" t="str">
        <f t="shared" si="75"/>
        <v/>
      </c>
      <c r="AO391" s="18" t="str">
        <f t="shared" si="76"/>
        <v/>
      </c>
      <c r="AP391" s="10" t="str">
        <f t="shared" si="77"/>
        <v/>
      </c>
      <c r="AQ391" s="10" t="str">
        <f t="shared" si="78"/>
        <v/>
      </c>
      <c r="AR391" s="19" t="str">
        <f t="shared" si="79"/>
        <v/>
      </c>
      <c r="AS391" s="20"/>
      <c r="AT391" s="19"/>
      <c r="AV391" s="21">
        <f>IF(AND($AL391&lt;&gt;"",COUNTIF($AL$11:$AL391,$AL391)=1),1,0)</f>
        <v>0</v>
      </c>
      <c r="AW391" s="21">
        <f t="shared" si="81"/>
        <v>2</v>
      </c>
      <c r="AX391" s="21" t="str">
        <f t="shared" si="80"/>
        <v/>
      </c>
      <c r="AY391" s="21" t="str">
        <f>IF(AND($AM391&lt;&gt;"",$AS391&lt;&gt;"✓"),SUMPRODUCT(($AM$11:$AM391&lt;&gt;"")*($AS$11:$AS391&lt;&gt;"✓")),"")</f>
        <v/>
      </c>
      <c r="AZ391" s="21" t="str">
        <f>IF(AND($AM391&lt;&gt;"",$AS391="✓"),SUMPRODUCT(($AM$11:$AM391&lt;&gt;"")*($AS$11:$AS391="✓")),"")</f>
        <v/>
      </c>
      <c r="BA391" s="21" t="str">
        <f>IF($AL391="","",$AL391&amp;"|"&amp;COUNTIF($AL$11:$AL391,$AL391))</f>
        <v/>
      </c>
    </row>
    <row r="392" spans="2:53" ht="15" customHeight="1" x14ac:dyDescent="0.25">
      <c r="B392" s="5" t="str">
        <f t="shared" si="72"/>
        <v/>
      </c>
      <c r="C392" s="5"/>
      <c r="D392" s="5"/>
      <c r="E392" s="5"/>
      <c r="F392" s="6"/>
      <c r="G392" s="6"/>
      <c r="H392" s="7"/>
      <c r="I392" s="8"/>
      <c r="W392" s="28" t="str">
        <f>IF(X392="","",IFERROR(INDEX($AL$11:$AL$4010,MATCH(382,$AY$11:$AY$4010,0)),""))</f>
        <v/>
      </c>
      <c r="X392" s="26" t="str">
        <f>IFERROR(INDEX($AM$11:$AM$4010,MATCH(382,$AY$11:$AY$4010,0)),"")</f>
        <v/>
      </c>
      <c r="Y392" s="25" t="str">
        <f>IF(X392="","",IFERROR(INDEX($AN$11:$AN$4010,MATCH(382,$AY$11:$AY$4010,0)),""))</f>
        <v/>
      </c>
      <c r="Z392" s="25" t="str">
        <f>IF(X392="","",IFERROR(INDEX($AO$11:$AO$4010,MATCH(382,$AY$11:$AY$4010,0)),""))</f>
        <v/>
      </c>
      <c r="AA392" s="24" t="str">
        <f>IF(X392="","",IFERROR(INDEX($AQ$11:$AQ$4010,MATCH(382,$AY$11:$AY$4010,0)),""))</f>
        <v/>
      </c>
      <c r="AB392" s="29" t="str">
        <f>IF(X392="","",IFERROR(INDEX($AR$11:$AR$4010,MATCH(382,$AY$11:$AY$4010,0)),""))</f>
        <v/>
      </c>
      <c r="AD392" s="30" t="str">
        <f>IF(AE392="","",IFERROR(INDEX($AL$11:$AL$4010,MATCH(382,$AZ$11:$AZ$4010,0)),""))</f>
        <v/>
      </c>
      <c r="AE392" s="26" t="str">
        <f>IFERROR(INDEX($AM$11:$AM$4010,MATCH(382,$AZ$11:$AZ$4010,0)),"")</f>
        <v/>
      </c>
      <c r="AF392" s="25" t="str">
        <f>IF(AE392="","",IFERROR(INDEX($AN$11:$AN$4010,MATCH(382,$AZ$11:$AZ$4010,0)),""))</f>
        <v/>
      </c>
      <c r="AG392" s="25" t="str">
        <f>IF(AE392="","",IFERROR(INDEX($AO$11:$AO$4010,MATCH(382,$AZ$11:$AZ$4010,0)),""))</f>
        <v/>
      </c>
      <c r="AH392" s="24" t="str">
        <f>IF(AE392="","",IFERROR(INDEX($AQ$11:$AQ$4010,MATCH(382,$AZ$11:$AZ$4010,0)),""))</f>
        <v/>
      </c>
      <c r="AI392" s="29" t="str">
        <f>IF(AE392="","",IFERROR(INDEX($AR$11:$AR$4010,MATCH(382,$AZ$11:$AZ$4010,0)),""))</f>
        <v/>
      </c>
      <c r="AJ392" s="29" t="str">
        <f>IF(AE392="","",IFERROR(INDEX($AT$11:$AT$4010,MATCH(382,$AZ$11:$AZ$4010,0)),""))</f>
        <v/>
      </c>
      <c r="AL392" s="31" t="str">
        <f t="shared" si="73"/>
        <v/>
      </c>
      <c r="AM392" s="26" t="str">
        <f t="shared" si="74"/>
        <v/>
      </c>
      <c r="AN392" s="32" t="str">
        <f t="shared" si="75"/>
        <v/>
      </c>
      <c r="AO392" s="32" t="str">
        <f t="shared" si="76"/>
        <v/>
      </c>
      <c r="AP392" s="24" t="str">
        <f t="shared" si="77"/>
        <v/>
      </c>
      <c r="AQ392" s="24" t="str">
        <f t="shared" si="78"/>
        <v/>
      </c>
      <c r="AR392" s="33" t="str">
        <f t="shared" si="79"/>
        <v/>
      </c>
      <c r="AS392" s="34"/>
      <c r="AT392" s="33"/>
      <c r="AV392" s="21">
        <f>IF(AND($AL392&lt;&gt;"",COUNTIF($AL$11:$AL392,$AL392)=1),1,0)</f>
        <v>0</v>
      </c>
      <c r="AW392" s="21">
        <f t="shared" si="81"/>
        <v>2</v>
      </c>
      <c r="AX392" s="21" t="str">
        <f t="shared" si="80"/>
        <v/>
      </c>
      <c r="AY392" s="21" t="str">
        <f>IF(AND($AM392&lt;&gt;"",$AS392&lt;&gt;"✓"),SUMPRODUCT(($AM$11:$AM392&lt;&gt;"")*($AS$11:$AS392&lt;&gt;"✓")),"")</f>
        <v/>
      </c>
      <c r="AZ392" s="21" t="str">
        <f>IF(AND($AM392&lt;&gt;"",$AS392="✓"),SUMPRODUCT(($AM$11:$AM392&lt;&gt;"")*($AS$11:$AS392="✓")),"")</f>
        <v/>
      </c>
      <c r="BA392" s="21" t="str">
        <f>IF($AL392="","",$AL392&amp;"|"&amp;COUNTIF($AL$11:$AL392,$AL392))</f>
        <v/>
      </c>
    </row>
    <row r="393" spans="2:53" ht="15" customHeight="1" x14ac:dyDescent="0.25">
      <c r="B393" s="5" t="str">
        <f t="shared" si="72"/>
        <v/>
      </c>
      <c r="C393" s="5"/>
      <c r="D393" s="5"/>
      <c r="E393" s="5"/>
      <c r="F393" s="6"/>
      <c r="G393" s="6"/>
      <c r="H393" s="7"/>
      <c r="I393" s="8"/>
      <c r="W393" s="14" t="str">
        <f>IF(X393="","",IFERROR(INDEX($AL$11:$AL$4010,MATCH(383,$AY$11:$AY$4010,0)),""))</f>
        <v/>
      </c>
      <c r="X393" s="12" t="str">
        <f>IFERROR(INDEX($AM$11:$AM$4010,MATCH(383,$AY$11:$AY$4010,0)),"")</f>
        <v/>
      </c>
      <c r="Y393" s="11" t="str">
        <f>IF(X393="","",IFERROR(INDEX($AN$11:$AN$4010,MATCH(383,$AY$11:$AY$4010,0)),""))</f>
        <v/>
      </c>
      <c r="Z393" s="11" t="str">
        <f>IF(X393="","",IFERROR(INDEX($AO$11:$AO$4010,MATCH(383,$AY$11:$AY$4010,0)),""))</f>
        <v/>
      </c>
      <c r="AA393" s="10" t="str">
        <f>IF(X393="","",IFERROR(INDEX($AQ$11:$AQ$4010,MATCH(383,$AY$11:$AY$4010,0)),""))</f>
        <v/>
      </c>
      <c r="AB393" s="15" t="str">
        <f>IF(X393="","",IFERROR(INDEX($AR$11:$AR$4010,MATCH(383,$AY$11:$AY$4010,0)),""))</f>
        <v/>
      </c>
      <c r="AD393" s="16" t="str">
        <f>IF(AE393="","",IFERROR(INDEX($AL$11:$AL$4010,MATCH(383,$AZ$11:$AZ$4010,0)),""))</f>
        <v/>
      </c>
      <c r="AE393" s="12" t="str">
        <f>IFERROR(INDEX($AM$11:$AM$4010,MATCH(383,$AZ$11:$AZ$4010,0)),"")</f>
        <v/>
      </c>
      <c r="AF393" s="11" t="str">
        <f>IF(AE393="","",IFERROR(INDEX($AN$11:$AN$4010,MATCH(383,$AZ$11:$AZ$4010,0)),""))</f>
        <v/>
      </c>
      <c r="AG393" s="11" t="str">
        <f>IF(AE393="","",IFERROR(INDEX($AO$11:$AO$4010,MATCH(383,$AZ$11:$AZ$4010,0)),""))</f>
        <v/>
      </c>
      <c r="AH393" s="10" t="str">
        <f>IF(AE393="","",IFERROR(INDEX($AQ$11:$AQ$4010,MATCH(383,$AZ$11:$AZ$4010,0)),""))</f>
        <v/>
      </c>
      <c r="AI393" s="15" t="str">
        <f>IF(AE393="","",IFERROR(INDEX($AR$11:$AR$4010,MATCH(383,$AZ$11:$AZ$4010,0)),""))</f>
        <v/>
      </c>
      <c r="AJ393" s="15" t="str">
        <f>IF(AE393="","",IFERROR(INDEX($AT$11:$AT$4010,MATCH(383,$AZ$11:$AZ$4010,0)),""))</f>
        <v/>
      </c>
      <c r="AL393" s="17" t="str">
        <f t="shared" si="73"/>
        <v/>
      </c>
      <c r="AM393" s="12" t="str">
        <f t="shared" si="74"/>
        <v/>
      </c>
      <c r="AN393" s="18" t="str">
        <f t="shared" si="75"/>
        <v/>
      </c>
      <c r="AO393" s="18" t="str">
        <f t="shared" si="76"/>
        <v/>
      </c>
      <c r="AP393" s="10" t="str">
        <f t="shared" si="77"/>
        <v/>
      </c>
      <c r="AQ393" s="10" t="str">
        <f t="shared" si="78"/>
        <v/>
      </c>
      <c r="AR393" s="19" t="str">
        <f t="shared" si="79"/>
        <v/>
      </c>
      <c r="AS393" s="20"/>
      <c r="AT393" s="19"/>
      <c r="AV393" s="21">
        <f>IF(AND($AL393&lt;&gt;"",COUNTIF($AL$11:$AL393,$AL393)=1),1,0)</f>
        <v>0</v>
      </c>
      <c r="AW393" s="21">
        <f t="shared" si="81"/>
        <v>2</v>
      </c>
      <c r="AX393" s="21" t="str">
        <f t="shared" si="80"/>
        <v/>
      </c>
      <c r="AY393" s="21" t="str">
        <f>IF(AND($AM393&lt;&gt;"",$AS393&lt;&gt;"✓"),SUMPRODUCT(($AM$11:$AM393&lt;&gt;"")*($AS$11:$AS393&lt;&gt;"✓")),"")</f>
        <v/>
      </c>
      <c r="AZ393" s="21" t="str">
        <f>IF(AND($AM393&lt;&gt;"",$AS393="✓"),SUMPRODUCT(($AM$11:$AM393&lt;&gt;"")*($AS$11:$AS393="✓")),"")</f>
        <v/>
      </c>
      <c r="BA393" s="21" t="str">
        <f>IF($AL393="","",$AL393&amp;"|"&amp;COUNTIF($AL$11:$AL393,$AL393))</f>
        <v/>
      </c>
    </row>
    <row r="394" spans="2:53" ht="15" customHeight="1" x14ac:dyDescent="0.25">
      <c r="B394" s="5" t="str">
        <f t="shared" si="72"/>
        <v/>
      </c>
      <c r="C394" s="5"/>
      <c r="D394" s="5"/>
      <c r="E394" s="5"/>
      <c r="F394" s="6"/>
      <c r="G394" s="6"/>
      <c r="H394" s="7"/>
      <c r="I394" s="8"/>
      <c r="W394" s="28" t="str">
        <f>IF(X394="","",IFERROR(INDEX($AL$11:$AL$4010,MATCH(384,$AY$11:$AY$4010,0)),""))</f>
        <v/>
      </c>
      <c r="X394" s="26" t="str">
        <f>IFERROR(INDEX($AM$11:$AM$4010,MATCH(384,$AY$11:$AY$4010,0)),"")</f>
        <v/>
      </c>
      <c r="Y394" s="25" t="str">
        <f>IF(X394="","",IFERROR(INDEX($AN$11:$AN$4010,MATCH(384,$AY$11:$AY$4010,0)),""))</f>
        <v/>
      </c>
      <c r="Z394" s="25" t="str">
        <f>IF(X394="","",IFERROR(INDEX($AO$11:$AO$4010,MATCH(384,$AY$11:$AY$4010,0)),""))</f>
        <v/>
      </c>
      <c r="AA394" s="24" t="str">
        <f>IF(X394="","",IFERROR(INDEX($AQ$11:$AQ$4010,MATCH(384,$AY$11:$AY$4010,0)),""))</f>
        <v/>
      </c>
      <c r="AB394" s="29" t="str">
        <f>IF(X394="","",IFERROR(INDEX($AR$11:$AR$4010,MATCH(384,$AY$11:$AY$4010,0)),""))</f>
        <v/>
      </c>
      <c r="AD394" s="30" t="str">
        <f>IF(AE394="","",IFERROR(INDEX($AL$11:$AL$4010,MATCH(384,$AZ$11:$AZ$4010,0)),""))</f>
        <v/>
      </c>
      <c r="AE394" s="26" t="str">
        <f>IFERROR(INDEX($AM$11:$AM$4010,MATCH(384,$AZ$11:$AZ$4010,0)),"")</f>
        <v/>
      </c>
      <c r="AF394" s="25" t="str">
        <f>IF(AE394="","",IFERROR(INDEX($AN$11:$AN$4010,MATCH(384,$AZ$11:$AZ$4010,0)),""))</f>
        <v/>
      </c>
      <c r="AG394" s="25" t="str">
        <f>IF(AE394="","",IFERROR(INDEX($AO$11:$AO$4010,MATCH(384,$AZ$11:$AZ$4010,0)),""))</f>
        <v/>
      </c>
      <c r="AH394" s="24" t="str">
        <f>IF(AE394="","",IFERROR(INDEX($AQ$11:$AQ$4010,MATCH(384,$AZ$11:$AZ$4010,0)),""))</f>
        <v/>
      </c>
      <c r="AI394" s="29" t="str">
        <f>IF(AE394="","",IFERROR(INDEX($AR$11:$AR$4010,MATCH(384,$AZ$11:$AZ$4010,0)),""))</f>
        <v/>
      </c>
      <c r="AJ394" s="29" t="str">
        <f>IF(AE394="","",IFERROR(INDEX($AT$11:$AT$4010,MATCH(384,$AZ$11:$AZ$4010,0)),""))</f>
        <v/>
      </c>
      <c r="AL394" s="31" t="str">
        <f t="shared" si="73"/>
        <v/>
      </c>
      <c r="AM394" s="26" t="str">
        <f t="shared" si="74"/>
        <v/>
      </c>
      <c r="AN394" s="32" t="str">
        <f t="shared" si="75"/>
        <v/>
      </c>
      <c r="AO394" s="32" t="str">
        <f t="shared" si="76"/>
        <v/>
      </c>
      <c r="AP394" s="24" t="str">
        <f t="shared" si="77"/>
        <v/>
      </c>
      <c r="AQ394" s="24" t="str">
        <f t="shared" si="78"/>
        <v/>
      </c>
      <c r="AR394" s="33" t="str">
        <f t="shared" si="79"/>
        <v/>
      </c>
      <c r="AS394" s="34"/>
      <c r="AT394" s="33"/>
      <c r="AV394" s="21">
        <f>IF(AND($AL394&lt;&gt;"",COUNTIF($AL$11:$AL394,$AL394)=1),1,0)</f>
        <v>0</v>
      </c>
      <c r="AW394" s="21">
        <f t="shared" si="81"/>
        <v>2</v>
      </c>
      <c r="AX394" s="21" t="str">
        <f t="shared" si="80"/>
        <v/>
      </c>
      <c r="AY394" s="21" t="str">
        <f>IF(AND($AM394&lt;&gt;"",$AS394&lt;&gt;"✓"),SUMPRODUCT(($AM$11:$AM394&lt;&gt;"")*($AS$11:$AS394&lt;&gt;"✓")),"")</f>
        <v/>
      </c>
      <c r="AZ394" s="21" t="str">
        <f>IF(AND($AM394&lt;&gt;"",$AS394="✓"),SUMPRODUCT(($AM$11:$AM394&lt;&gt;"")*($AS$11:$AS394="✓")),"")</f>
        <v/>
      </c>
      <c r="BA394" s="21" t="str">
        <f>IF($AL394="","",$AL394&amp;"|"&amp;COUNTIF($AL$11:$AL394,$AL394))</f>
        <v/>
      </c>
    </row>
    <row r="395" spans="2:53" ht="15" customHeight="1" x14ac:dyDescent="0.25">
      <c r="B395" s="5" t="str">
        <f t="shared" ref="B395:B458" si="82">IF($C395="","",ROW()-10)</f>
        <v/>
      </c>
      <c r="C395" s="5"/>
      <c r="D395" s="5"/>
      <c r="E395" s="5"/>
      <c r="F395" s="6"/>
      <c r="G395" s="6"/>
      <c r="H395" s="7"/>
      <c r="I395" s="8"/>
      <c r="W395" s="14" t="str">
        <f>IF(X395="","",IFERROR(INDEX($AL$11:$AL$4010,MATCH(385,$AY$11:$AY$4010,0)),""))</f>
        <v/>
      </c>
      <c r="X395" s="12" t="str">
        <f>IFERROR(INDEX($AM$11:$AM$4010,MATCH(385,$AY$11:$AY$4010,0)),"")</f>
        <v/>
      </c>
      <c r="Y395" s="11" t="str">
        <f>IF(X395="","",IFERROR(INDEX($AN$11:$AN$4010,MATCH(385,$AY$11:$AY$4010,0)),""))</f>
        <v/>
      </c>
      <c r="Z395" s="11" t="str">
        <f>IF(X395="","",IFERROR(INDEX($AO$11:$AO$4010,MATCH(385,$AY$11:$AY$4010,0)),""))</f>
        <v/>
      </c>
      <c r="AA395" s="10" t="str">
        <f>IF(X395="","",IFERROR(INDEX($AQ$11:$AQ$4010,MATCH(385,$AY$11:$AY$4010,0)),""))</f>
        <v/>
      </c>
      <c r="AB395" s="15" t="str">
        <f>IF(X395="","",IFERROR(INDEX($AR$11:$AR$4010,MATCH(385,$AY$11:$AY$4010,0)),""))</f>
        <v/>
      </c>
      <c r="AD395" s="16" t="str">
        <f>IF(AE395="","",IFERROR(INDEX($AL$11:$AL$4010,MATCH(385,$AZ$11:$AZ$4010,0)),""))</f>
        <v/>
      </c>
      <c r="AE395" s="12" t="str">
        <f>IFERROR(INDEX($AM$11:$AM$4010,MATCH(385,$AZ$11:$AZ$4010,0)),"")</f>
        <v/>
      </c>
      <c r="AF395" s="11" t="str">
        <f>IF(AE395="","",IFERROR(INDEX($AN$11:$AN$4010,MATCH(385,$AZ$11:$AZ$4010,0)),""))</f>
        <v/>
      </c>
      <c r="AG395" s="11" t="str">
        <f>IF(AE395="","",IFERROR(INDEX($AO$11:$AO$4010,MATCH(385,$AZ$11:$AZ$4010,0)),""))</f>
        <v/>
      </c>
      <c r="AH395" s="10" t="str">
        <f>IF(AE395="","",IFERROR(INDEX($AQ$11:$AQ$4010,MATCH(385,$AZ$11:$AZ$4010,0)),""))</f>
        <v/>
      </c>
      <c r="AI395" s="15" t="str">
        <f>IF(AE395="","",IFERROR(INDEX($AR$11:$AR$4010,MATCH(385,$AZ$11:$AZ$4010,0)),""))</f>
        <v/>
      </c>
      <c r="AJ395" s="15" t="str">
        <f>IF(AE395="","",IFERROR(INDEX($AT$11:$AT$4010,MATCH(385,$AZ$11:$AZ$4010,0)),""))</f>
        <v/>
      </c>
      <c r="AL395" s="17" t="str">
        <f t="shared" ref="AL395:AL458" si="83">IF($C395="","",$I395)</f>
        <v/>
      </c>
      <c r="AM395" s="12" t="str">
        <f t="shared" ref="AM395:AM458" si="84">IF($C395="","",$C395)</f>
        <v/>
      </c>
      <c r="AN395" s="18" t="str">
        <f t="shared" ref="AN395:AN458" si="85">IF($C395="","",$F395)</f>
        <v/>
      </c>
      <c r="AO395" s="18" t="str">
        <f t="shared" ref="AO395:AO458" si="86">IF($C395="","",$G395)</f>
        <v/>
      </c>
      <c r="AP395" s="10" t="str">
        <f t="shared" ref="AP395:AP458" si="87">IF($C395="","",$D395)</f>
        <v/>
      </c>
      <c r="AQ395" s="10" t="str">
        <f t="shared" ref="AQ395:AQ458" si="88">IF($C395="","",$E395)</f>
        <v/>
      </c>
      <c r="AR395" s="19" t="str">
        <f t="shared" ref="AR395:AR458" si="89">IF($C395="","",$H395)</f>
        <v/>
      </c>
      <c r="AS395" s="20"/>
      <c r="AT395" s="19"/>
      <c r="AV395" s="21">
        <f>IF(AND($AL395&lt;&gt;"",COUNTIF($AL$11:$AL395,$AL395)=1),1,0)</f>
        <v>0</v>
      </c>
      <c r="AW395" s="21">
        <f t="shared" si="81"/>
        <v>2</v>
      </c>
      <c r="AX395" s="21" t="str">
        <f t="shared" ref="AX395:AX458" si="90">IF(AV395=1,AW395,"")</f>
        <v/>
      </c>
      <c r="AY395" s="21" t="str">
        <f>IF(AND($AM395&lt;&gt;"",$AS395&lt;&gt;"✓"),SUMPRODUCT(($AM$11:$AM395&lt;&gt;"")*($AS$11:$AS395&lt;&gt;"✓")),"")</f>
        <v/>
      </c>
      <c r="AZ395" s="21" t="str">
        <f>IF(AND($AM395&lt;&gt;"",$AS395="✓"),SUMPRODUCT(($AM$11:$AM395&lt;&gt;"")*($AS$11:$AS395="✓")),"")</f>
        <v/>
      </c>
      <c r="BA395" s="21" t="str">
        <f>IF($AL395="","",$AL395&amp;"|"&amp;COUNTIF($AL$11:$AL395,$AL395))</f>
        <v/>
      </c>
    </row>
    <row r="396" spans="2:53" ht="15" customHeight="1" x14ac:dyDescent="0.25">
      <c r="B396" s="5" t="str">
        <f t="shared" si="82"/>
        <v/>
      </c>
      <c r="C396" s="5"/>
      <c r="D396" s="5"/>
      <c r="E396" s="5"/>
      <c r="F396" s="6"/>
      <c r="G396" s="6"/>
      <c r="H396" s="7"/>
      <c r="I396" s="8"/>
      <c r="W396" s="28" t="str">
        <f>IF(X396="","",IFERROR(INDEX($AL$11:$AL$4010,MATCH(386,$AY$11:$AY$4010,0)),""))</f>
        <v/>
      </c>
      <c r="X396" s="26" t="str">
        <f>IFERROR(INDEX($AM$11:$AM$4010,MATCH(386,$AY$11:$AY$4010,0)),"")</f>
        <v/>
      </c>
      <c r="Y396" s="25" t="str">
        <f>IF(X396="","",IFERROR(INDEX($AN$11:$AN$4010,MATCH(386,$AY$11:$AY$4010,0)),""))</f>
        <v/>
      </c>
      <c r="Z396" s="25" t="str">
        <f>IF(X396="","",IFERROR(INDEX($AO$11:$AO$4010,MATCH(386,$AY$11:$AY$4010,0)),""))</f>
        <v/>
      </c>
      <c r="AA396" s="24" t="str">
        <f>IF(X396="","",IFERROR(INDEX($AQ$11:$AQ$4010,MATCH(386,$AY$11:$AY$4010,0)),""))</f>
        <v/>
      </c>
      <c r="AB396" s="29" t="str">
        <f>IF(X396="","",IFERROR(INDEX($AR$11:$AR$4010,MATCH(386,$AY$11:$AY$4010,0)),""))</f>
        <v/>
      </c>
      <c r="AD396" s="30" t="str">
        <f>IF(AE396="","",IFERROR(INDEX($AL$11:$AL$4010,MATCH(386,$AZ$11:$AZ$4010,0)),""))</f>
        <v/>
      </c>
      <c r="AE396" s="26" t="str">
        <f>IFERROR(INDEX($AM$11:$AM$4010,MATCH(386,$AZ$11:$AZ$4010,0)),"")</f>
        <v/>
      </c>
      <c r="AF396" s="25" t="str">
        <f>IF(AE396="","",IFERROR(INDEX($AN$11:$AN$4010,MATCH(386,$AZ$11:$AZ$4010,0)),""))</f>
        <v/>
      </c>
      <c r="AG396" s="25" t="str">
        <f>IF(AE396="","",IFERROR(INDEX($AO$11:$AO$4010,MATCH(386,$AZ$11:$AZ$4010,0)),""))</f>
        <v/>
      </c>
      <c r="AH396" s="24" t="str">
        <f>IF(AE396="","",IFERROR(INDEX($AQ$11:$AQ$4010,MATCH(386,$AZ$11:$AZ$4010,0)),""))</f>
        <v/>
      </c>
      <c r="AI396" s="29" t="str">
        <f>IF(AE396="","",IFERROR(INDEX($AR$11:$AR$4010,MATCH(386,$AZ$11:$AZ$4010,0)),""))</f>
        <v/>
      </c>
      <c r="AJ396" s="29" t="str">
        <f>IF(AE396="","",IFERROR(INDEX($AT$11:$AT$4010,MATCH(386,$AZ$11:$AZ$4010,0)),""))</f>
        <v/>
      </c>
      <c r="AL396" s="31" t="str">
        <f t="shared" si="83"/>
        <v/>
      </c>
      <c r="AM396" s="26" t="str">
        <f t="shared" si="84"/>
        <v/>
      </c>
      <c r="AN396" s="32" t="str">
        <f t="shared" si="85"/>
        <v/>
      </c>
      <c r="AO396" s="32" t="str">
        <f t="shared" si="86"/>
        <v/>
      </c>
      <c r="AP396" s="24" t="str">
        <f t="shared" si="87"/>
        <v/>
      </c>
      <c r="AQ396" s="24" t="str">
        <f t="shared" si="88"/>
        <v/>
      </c>
      <c r="AR396" s="33" t="str">
        <f t="shared" si="89"/>
        <v/>
      </c>
      <c r="AS396" s="34"/>
      <c r="AT396" s="33"/>
      <c r="AV396" s="21">
        <f>IF(AND($AL396&lt;&gt;"",COUNTIF($AL$11:$AL396,$AL396)=1),1,0)</f>
        <v>0</v>
      </c>
      <c r="AW396" s="21">
        <f t="shared" ref="AW396:AW459" si="91">AW395+AV396</f>
        <v>2</v>
      </c>
      <c r="AX396" s="21" t="str">
        <f t="shared" si="90"/>
        <v/>
      </c>
      <c r="AY396" s="21" t="str">
        <f>IF(AND($AM396&lt;&gt;"",$AS396&lt;&gt;"✓"),SUMPRODUCT(($AM$11:$AM396&lt;&gt;"")*($AS$11:$AS396&lt;&gt;"✓")),"")</f>
        <v/>
      </c>
      <c r="AZ396" s="21" t="str">
        <f>IF(AND($AM396&lt;&gt;"",$AS396="✓"),SUMPRODUCT(($AM$11:$AM396&lt;&gt;"")*($AS$11:$AS396="✓")),"")</f>
        <v/>
      </c>
      <c r="BA396" s="21" t="str">
        <f>IF($AL396="","",$AL396&amp;"|"&amp;COUNTIF($AL$11:$AL396,$AL396))</f>
        <v/>
      </c>
    </row>
    <row r="397" spans="2:53" ht="15" customHeight="1" x14ac:dyDescent="0.25">
      <c r="B397" s="5" t="str">
        <f t="shared" si="82"/>
        <v/>
      </c>
      <c r="C397" s="5"/>
      <c r="D397" s="5"/>
      <c r="E397" s="5"/>
      <c r="F397" s="6"/>
      <c r="G397" s="6"/>
      <c r="H397" s="7"/>
      <c r="I397" s="8"/>
      <c r="W397" s="14" t="str">
        <f>IF(X397="","",IFERROR(INDEX($AL$11:$AL$4010,MATCH(387,$AY$11:$AY$4010,0)),""))</f>
        <v/>
      </c>
      <c r="X397" s="12" t="str">
        <f>IFERROR(INDEX($AM$11:$AM$4010,MATCH(387,$AY$11:$AY$4010,0)),"")</f>
        <v/>
      </c>
      <c r="Y397" s="11" t="str">
        <f>IF(X397="","",IFERROR(INDEX($AN$11:$AN$4010,MATCH(387,$AY$11:$AY$4010,0)),""))</f>
        <v/>
      </c>
      <c r="Z397" s="11" t="str">
        <f>IF(X397="","",IFERROR(INDEX($AO$11:$AO$4010,MATCH(387,$AY$11:$AY$4010,0)),""))</f>
        <v/>
      </c>
      <c r="AA397" s="10" t="str">
        <f>IF(X397="","",IFERROR(INDEX($AQ$11:$AQ$4010,MATCH(387,$AY$11:$AY$4010,0)),""))</f>
        <v/>
      </c>
      <c r="AB397" s="15" t="str">
        <f>IF(X397="","",IFERROR(INDEX($AR$11:$AR$4010,MATCH(387,$AY$11:$AY$4010,0)),""))</f>
        <v/>
      </c>
      <c r="AD397" s="16" t="str">
        <f>IF(AE397="","",IFERROR(INDEX($AL$11:$AL$4010,MATCH(387,$AZ$11:$AZ$4010,0)),""))</f>
        <v/>
      </c>
      <c r="AE397" s="12" t="str">
        <f>IFERROR(INDEX($AM$11:$AM$4010,MATCH(387,$AZ$11:$AZ$4010,0)),"")</f>
        <v/>
      </c>
      <c r="AF397" s="11" t="str">
        <f>IF(AE397="","",IFERROR(INDEX($AN$11:$AN$4010,MATCH(387,$AZ$11:$AZ$4010,0)),""))</f>
        <v/>
      </c>
      <c r="AG397" s="11" t="str">
        <f>IF(AE397="","",IFERROR(INDEX($AO$11:$AO$4010,MATCH(387,$AZ$11:$AZ$4010,0)),""))</f>
        <v/>
      </c>
      <c r="AH397" s="10" t="str">
        <f>IF(AE397="","",IFERROR(INDEX($AQ$11:$AQ$4010,MATCH(387,$AZ$11:$AZ$4010,0)),""))</f>
        <v/>
      </c>
      <c r="AI397" s="15" t="str">
        <f>IF(AE397="","",IFERROR(INDEX($AR$11:$AR$4010,MATCH(387,$AZ$11:$AZ$4010,0)),""))</f>
        <v/>
      </c>
      <c r="AJ397" s="15" t="str">
        <f>IF(AE397="","",IFERROR(INDEX($AT$11:$AT$4010,MATCH(387,$AZ$11:$AZ$4010,0)),""))</f>
        <v/>
      </c>
      <c r="AL397" s="17" t="str">
        <f t="shared" si="83"/>
        <v/>
      </c>
      <c r="AM397" s="12" t="str">
        <f t="shared" si="84"/>
        <v/>
      </c>
      <c r="AN397" s="18" t="str">
        <f t="shared" si="85"/>
        <v/>
      </c>
      <c r="AO397" s="18" t="str">
        <f t="shared" si="86"/>
        <v/>
      </c>
      <c r="AP397" s="10" t="str">
        <f t="shared" si="87"/>
        <v/>
      </c>
      <c r="AQ397" s="10" t="str">
        <f t="shared" si="88"/>
        <v/>
      </c>
      <c r="AR397" s="19" t="str">
        <f t="shared" si="89"/>
        <v/>
      </c>
      <c r="AS397" s="20"/>
      <c r="AT397" s="19"/>
      <c r="AV397" s="21">
        <f>IF(AND($AL397&lt;&gt;"",COUNTIF($AL$11:$AL397,$AL397)=1),1,0)</f>
        <v>0</v>
      </c>
      <c r="AW397" s="21">
        <f t="shared" si="91"/>
        <v>2</v>
      </c>
      <c r="AX397" s="21" t="str">
        <f t="shared" si="90"/>
        <v/>
      </c>
      <c r="AY397" s="21" t="str">
        <f>IF(AND($AM397&lt;&gt;"",$AS397&lt;&gt;"✓"),SUMPRODUCT(($AM$11:$AM397&lt;&gt;"")*($AS$11:$AS397&lt;&gt;"✓")),"")</f>
        <v/>
      </c>
      <c r="AZ397" s="21" t="str">
        <f>IF(AND($AM397&lt;&gt;"",$AS397="✓"),SUMPRODUCT(($AM$11:$AM397&lt;&gt;"")*($AS$11:$AS397="✓")),"")</f>
        <v/>
      </c>
      <c r="BA397" s="21" t="str">
        <f>IF($AL397="","",$AL397&amp;"|"&amp;COUNTIF($AL$11:$AL397,$AL397))</f>
        <v/>
      </c>
    </row>
    <row r="398" spans="2:53" ht="15" customHeight="1" x14ac:dyDescent="0.25">
      <c r="B398" s="5" t="str">
        <f t="shared" si="82"/>
        <v/>
      </c>
      <c r="C398" s="5"/>
      <c r="D398" s="5"/>
      <c r="E398" s="5"/>
      <c r="F398" s="6"/>
      <c r="G398" s="6"/>
      <c r="H398" s="7"/>
      <c r="I398" s="8"/>
      <c r="W398" s="28" t="str">
        <f>IF(X398="","",IFERROR(INDEX($AL$11:$AL$4010,MATCH(388,$AY$11:$AY$4010,0)),""))</f>
        <v/>
      </c>
      <c r="X398" s="26" t="str">
        <f>IFERROR(INDEX($AM$11:$AM$4010,MATCH(388,$AY$11:$AY$4010,0)),"")</f>
        <v/>
      </c>
      <c r="Y398" s="25" t="str">
        <f>IF(X398="","",IFERROR(INDEX($AN$11:$AN$4010,MATCH(388,$AY$11:$AY$4010,0)),""))</f>
        <v/>
      </c>
      <c r="Z398" s="25" t="str">
        <f>IF(X398="","",IFERROR(INDEX($AO$11:$AO$4010,MATCH(388,$AY$11:$AY$4010,0)),""))</f>
        <v/>
      </c>
      <c r="AA398" s="24" t="str">
        <f>IF(X398="","",IFERROR(INDEX($AQ$11:$AQ$4010,MATCH(388,$AY$11:$AY$4010,0)),""))</f>
        <v/>
      </c>
      <c r="AB398" s="29" t="str">
        <f>IF(X398="","",IFERROR(INDEX($AR$11:$AR$4010,MATCH(388,$AY$11:$AY$4010,0)),""))</f>
        <v/>
      </c>
      <c r="AD398" s="30" t="str">
        <f>IF(AE398="","",IFERROR(INDEX($AL$11:$AL$4010,MATCH(388,$AZ$11:$AZ$4010,0)),""))</f>
        <v/>
      </c>
      <c r="AE398" s="26" t="str">
        <f>IFERROR(INDEX($AM$11:$AM$4010,MATCH(388,$AZ$11:$AZ$4010,0)),"")</f>
        <v/>
      </c>
      <c r="AF398" s="25" t="str">
        <f>IF(AE398="","",IFERROR(INDEX($AN$11:$AN$4010,MATCH(388,$AZ$11:$AZ$4010,0)),""))</f>
        <v/>
      </c>
      <c r="AG398" s="25" t="str">
        <f>IF(AE398="","",IFERROR(INDEX($AO$11:$AO$4010,MATCH(388,$AZ$11:$AZ$4010,0)),""))</f>
        <v/>
      </c>
      <c r="AH398" s="24" t="str">
        <f>IF(AE398="","",IFERROR(INDEX($AQ$11:$AQ$4010,MATCH(388,$AZ$11:$AZ$4010,0)),""))</f>
        <v/>
      </c>
      <c r="AI398" s="29" t="str">
        <f>IF(AE398="","",IFERROR(INDEX($AR$11:$AR$4010,MATCH(388,$AZ$11:$AZ$4010,0)),""))</f>
        <v/>
      </c>
      <c r="AJ398" s="29" t="str">
        <f>IF(AE398="","",IFERROR(INDEX($AT$11:$AT$4010,MATCH(388,$AZ$11:$AZ$4010,0)),""))</f>
        <v/>
      </c>
      <c r="AL398" s="31" t="str">
        <f t="shared" si="83"/>
        <v/>
      </c>
      <c r="AM398" s="26" t="str">
        <f t="shared" si="84"/>
        <v/>
      </c>
      <c r="AN398" s="32" t="str">
        <f t="shared" si="85"/>
        <v/>
      </c>
      <c r="AO398" s="32" t="str">
        <f t="shared" si="86"/>
        <v/>
      </c>
      <c r="AP398" s="24" t="str">
        <f t="shared" si="87"/>
        <v/>
      </c>
      <c r="AQ398" s="24" t="str">
        <f t="shared" si="88"/>
        <v/>
      </c>
      <c r="AR398" s="33" t="str">
        <f t="shared" si="89"/>
        <v/>
      </c>
      <c r="AS398" s="34"/>
      <c r="AT398" s="33"/>
      <c r="AV398" s="21">
        <f>IF(AND($AL398&lt;&gt;"",COUNTIF($AL$11:$AL398,$AL398)=1),1,0)</f>
        <v>0</v>
      </c>
      <c r="AW398" s="21">
        <f t="shared" si="91"/>
        <v>2</v>
      </c>
      <c r="AX398" s="21" t="str">
        <f t="shared" si="90"/>
        <v/>
      </c>
      <c r="AY398" s="21" t="str">
        <f>IF(AND($AM398&lt;&gt;"",$AS398&lt;&gt;"✓"),SUMPRODUCT(($AM$11:$AM398&lt;&gt;"")*($AS$11:$AS398&lt;&gt;"✓")),"")</f>
        <v/>
      </c>
      <c r="AZ398" s="21" t="str">
        <f>IF(AND($AM398&lt;&gt;"",$AS398="✓"),SUMPRODUCT(($AM$11:$AM398&lt;&gt;"")*($AS$11:$AS398="✓")),"")</f>
        <v/>
      </c>
      <c r="BA398" s="21" t="str">
        <f>IF($AL398="","",$AL398&amp;"|"&amp;COUNTIF($AL$11:$AL398,$AL398))</f>
        <v/>
      </c>
    </row>
    <row r="399" spans="2:53" ht="15" customHeight="1" x14ac:dyDescent="0.25">
      <c r="B399" s="5" t="str">
        <f t="shared" si="82"/>
        <v/>
      </c>
      <c r="C399" s="5"/>
      <c r="D399" s="5"/>
      <c r="E399" s="5"/>
      <c r="F399" s="6"/>
      <c r="G399" s="6"/>
      <c r="H399" s="7"/>
      <c r="I399" s="8"/>
      <c r="W399" s="14" t="str">
        <f>IF(X399="","",IFERROR(INDEX($AL$11:$AL$4010,MATCH(389,$AY$11:$AY$4010,0)),""))</f>
        <v/>
      </c>
      <c r="X399" s="12" t="str">
        <f>IFERROR(INDEX($AM$11:$AM$4010,MATCH(389,$AY$11:$AY$4010,0)),"")</f>
        <v/>
      </c>
      <c r="Y399" s="11" t="str">
        <f>IF(X399="","",IFERROR(INDEX($AN$11:$AN$4010,MATCH(389,$AY$11:$AY$4010,0)),""))</f>
        <v/>
      </c>
      <c r="Z399" s="11" t="str">
        <f>IF(X399="","",IFERROR(INDEX($AO$11:$AO$4010,MATCH(389,$AY$11:$AY$4010,0)),""))</f>
        <v/>
      </c>
      <c r="AA399" s="10" t="str">
        <f>IF(X399="","",IFERROR(INDEX($AQ$11:$AQ$4010,MATCH(389,$AY$11:$AY$4010,0)),""))</f>
        <v/>
      </c>
      <c r="AB399" s="15" t="str">
        <f>IF(X399="","",IFERROR(INDEX($AR$11:$AR$4010,MATCH(389,$AY$11:$AY$4010,0)),""))</f>
        <v/>
      </c>
      <c r="AD399" s="16" t="str">
        <f>IF(AE399="","",IFERROR(INDEX($AL$11:$AL$4010,MATCH(389,$AZ$11:$AZ$4010,0)),""))</f>
        <v/>
      </c>
      <c r="AE399" s="12" t="str">
        <f>IFERROR(INDEX($AM$11:$AM$4010,MATCH(389,$AZ$11:$AZ$4010,0)),"")</f>
        <v/>
      </c>
      <c r="AF399" s="11" t="str">
        <f>IF(AE399="","",IFERROR(INDEX($AN$11:$AN$4010,MATCH(389,$AZ$11:$AZ$4010,0)),""))</f>
        <v/>
      </c>
      <c r="AG399" s="11" t="str">
        <f>IF(AE399="","",IFERROR(INDEX($AO$11:$AO$4010,MATCH(389,$AZ$11:$AZ$4010,0)),""))</f>
        <v/>
      </c>
      <c r="AH399" s="10" t="str">
        <f>IF(AE399="","",IFERROR(INDEX($AQ$11:$AQ$4010,MATCH(389,$AZ$11:$AZ$4010,0)),""))</f>
        <v/>
      </c>
      <c r="AI399" s="15" t="str">
        <f>IF(AE399="","",IFERROR(INDEX($AR$11:$AR$4010,MATCH(389,$AZ$11:$AZ$4010,0)),""))</f>
        <v/>
      </c>
      <c r="AJ399" s="15" t="str">
        <f>IF(AE399="","",IFERROR(INDEX($AT$11:$AT$4010,MATCH(389,$AZ$11:$AZ$4010,0)),""))</f>
        <v/>
      </c>
      <c r="AL399" s="17" t="str">
        <f t="shared" si="83"/>
        <v/>
      </c>
      <c r="AM399" s="12" t="str">
        <f t="shared" si="84"/>
        <v/>
      </c>
      <c r="AN399" s="18" t="str">
        <f t="shared" si="85"/>
        <v/>
      </c>
      <c r="AO399" s="18" t="str">
        <f t="shared" si="86"/>
        <v/>
      </c>
      <c r="AP399" s="10" t="str">
        <f t="shared" si="87"/>
        <v/>
      </c>
      <c r="AQ399" s="10" t="str">
        <f t="shared" si="88"/>
        <v/>
      </c>
      <c r="AR399" s="19" t="str">
        <f t="shared" si="89"/>
        <v/>
      </c>
      <c r="AS399" s="20"/>
      <c r="AT399" s="19"/>
      <c r="AV399" s="21">
        <f>IF(AND($AL399&lt;&gt;"",COUNTIF($AL$11:$AL399,$AL399)=1),1,0)</f>
        <v>0</v>
      </c>
      <c r="AW399" s="21">
        <f t="shared" si="91"/>
        <v>2</v>
      </c>
      <c r="AX399" s="21" t="str">
        <f t="shared" si="90"/>
        <v/>
      </c>
      <c r="AY399" s="21" t="str">
        <f>IF(AND($AM399&lt;&gt;"",$AS399&lt;&gt;"✓"),SUMPRODUCT(($AM$11:$AM399&lt;&gt;"")*($AS$11:$AS399&lt;&gt;"✓")),"")</f>
        <v/>
      </c>
      <c r="AZ399" s="21" t="str">
        <f>IF(AND($AM399&lt;&gt;"",$AS399="✓"),SUMPRODUCT(($AM$11:$AM399&lt;&gt;"")*($AS$11:$AS399="✓")),"")</f>
        <v/>
      </c>
      <c r="BA399" s="21" t="str">
        <f>IF($AL399="","",$AL399&amp;"|"&amp;COUNTIF($AL$11:$AL399,$AL399))</f>
        <v/>
      </c>
    </row>
    <row r="400" spans="2:53" ht="15" customHeight="1" x14ac:dyDescent="0.25">
      <c r="B400" s="5" t="str">
        <f t="shared" si="82"/>
        <v/>
      </c>
      <c r="C400" s="5"/>
      <c r="D400" s="5"/>
      <c r="E400" s="5"/>
      <c r="F400" s="6"/>
      <c r="G400" s="6"/>
      <c r="H400" s="7"/>
      <c r="I400" s="8"/>
      <c r="W400" s="28" t="str">
        <f>IF(X400="","",IFERROR(INDEX($AL$11:$AL$4010,MATCH(390,$AY$11:$AY$4010,0)),""))</f>
        <v/>
      </c>
      <c r="X400" s="26" t="str">
        <f>IFERROR(INDEX($AM$11:$AM$4010,MATCH(390,$AY$11:$AY$4010,0)),"")</f>
        <v/>
      </c>
      <c r="Y400" s="25" t="str">
        <f>IF(X400="","",IFERROR(INDEX($AN$11:$AN$4010,MATCH(390,$AY$11:$AY$4010,0)),""))</f>
        <v/>
      </c>
      <c r="Z400" s="25" t="str">
        <f>IF(X400="","",IFERROR(INDEX($AO$11:$AO$4010,MATCH(390,$AY$11:$AY$4010,0)),""))</f>
        <v/>
      </c>
      <c r="AA400" s="24" t="str">
        <f>IF(X400="","",IFERROR(INDEX($AQ$11:$AQ$4010,MATCH(390,$AY$11:$AY$4010,0)),""))</f>
        <v/>
      </c>
      <c r="AB400" s="29" t="str">
        <f>IF(X400="","",IFERROR(INDEX($AR$11:$AR$4010,MATCH(390,$AY$11:$AY$4010,0)),""))</f>
        <v/>
      </c>
      <c r="AD400" s="30" t="str">
        <f>IF(AE400="","",IFERROR(INDEX($AL$11:$AL$4010,MATCH(390,$AZ$11:$AZ$4010,0)),""))</f>
        <v/>
      </c>
      <c r="AE400" s="26" t="str">
        <f>IFERROR(INDEX($AM$11:$AM$4010,MATCH(390,$AZ$11:$AZ$4010,0)),"")</f>
        <v/>
      </c>
      <c r="AF400" s="25" t="str">
        <f>IF(AE400="","",IFERROR(INDEX($AN$11:$AN$4010,MATCH(390,$AZ$11:$AZ$4010,0)),""))</f>
        <v/>
      </c>
      <c r="AG400" s="25" t="str">
        <f>IF(AE400="","",IFERROR(INDEX($AO$11:$AO$4010,MATCH(390,$AZ$11:$AZ$4010,0)),""))</f>
        <v/>
      </c>
      <c r="AH400" s="24" t="str">
        <f>IF(AE400="","",IFERROR(INDEX($AQ$11:$AQ$4010,MATCH(390,$AZ$11:$AZ$4010,0)),""))</f>
        <v/>
      </c>
      <c r="AI400" s="29" t="str">
        <f>IF(AE400="","",IFERROR(INDEX($AR$11:$AR$4010,MATCH(390,$AZ$11:$AZ$4010,0)),""))</f>
        <v/>
      </c>
      <c r="AJ400" s="29" t="str">
        <f>IF(AE400="","",IFERROR(INDEX($AT$11:$AT$4010,MATCH(390,$AZ$11:$AZ$4010,0)),""))</f>
        <v/>
      </c>
      <c r="AL400" s="31" t="str">
        <f t="shared" si="83"/>
        <v/>
      </c>
      <c r="AM400" s="26" t="str">
        <f t="shared" si="84"/>
        <v/>
      </c>
      <c r="AN400" s="32" t="str">
        <f t="shared" si="85"/>
        <v/>
      </c>
      <c r="AO400" s="32" t="str">
        <f t="shared" si="86"/>
        <v/>
      </c>
      <c r="AP400" s="24" t="str">
        <f t="shared" si="87"/>
        <v/>
      </c>
      <c r="AQ400" s="24" t="str">
        <f t="shared" si="88"/>
        <v/>
      </c>
      <c r="AR400" s="33" t="str">
        <f t="shared" si="89"/>
        <v/>
      </c>
      <c r="AS400" s="34"/>
      <c r="AT400" s="33"/>
      <c r="AV400" s="21">
        <f>IF(AND($AL400&lt;&gt;"",COUNTIF($AL$11:$AL400,$AL400)=1),1,0)</f>
        <v>0</v>
      </c>
      <c r="AW400" s="21">
        <f t="shared" si="91"/>
        <v>2</v>
      </c>
      <c r="AX400" s="21" t="str">
        <f t="shared" si="90"/>
        <v/>
      </c>
      <c r="AY400" s="21" t="str">
        <f>IF(AND($AM400&lt;&gt;"",$AS400&lt;&gt;"✓"),SUMPRODUCT(($AM$11:$AM400&lt;&gt;"")*($AS$11:$AS400&lt;&gt;"✓")),"")</f>
        <v/>
      </c>
      <c r="AZ400" s="21" t="str">
        <f>IF(AND($AM400&lt;&gt;"",$AS400="✓"),SUMPRODUCT(($AM$11:$AM400&lt;&gt;"")*($AS$11:$AS400="✓")),"")</f>
        <v/>
      </c>
      <c r="BA400" s="21" t="str">
        <f>IF($AL400="","",$AL400&amp;"|"&amp;COUNTIF($AL$11:$AL400,$AL400))</f>
        <v/>
      </c>
    </row>
    <row r="401" spans="2:53" ht="15" customHeight="1" x14ac:dyDescent="0.25">
      <c r="B401" s="5" t="str">
        <f t="shared" si="82"/>
        <v/>
      </c>
      <c r="C401" s="5"/>
      <c r="D401" s="5"/>
      <c r="E401" s="5"/>
      <c r="F401" s="6"/>
      <c r="G401" s="6"/>
      <c r="H401" s="7"/>
      <c r="I401" s="8"/>
      <c r="W401" s="14" t="str">
        <f>IF(X401="","",IFERROR(INDEX($AL$11:$AL$4010,MATCH(391,$AY$11:$AY$4010,0)),""))</f>
        <v/>
      </c>
      <c r="X401" s="12" t="str">
        <f>IFERROR(INDEX($AM$11:$AM$4010,MATCH(391,$AY$11:$AY$4010,0)),"")</f>
        <v/>
      </c>
      <c r="Y401" s="11" t="str">
        <f>IF(X401="","",IFERROR(INDEX($AN$11:$AN$4010,MATCH(391,$AY$11:$AY$4010,0)),""))</f>
        <v/>
      </c>
      <c r="Z401" s="11" t="str">
        <f>IF(X401="","",IFERROR(INDEX($AO$11:$AO$4010,MATCH(391,$AY$11:$AY$4010,0)),""))</f>
        <v/>
      </c>
      <c r="AA401" s="10" t="str">
        <f>IF(X401="","",IFERROR(INDEX($AQ$11:$AQ$4010,MATCH(391,$AY$11:$AY$4010,0)),""))</f>
        <v/>
      </c>
      <c r="AB401" s="15" t="str">
        <f>IF(X401="","",IFERROR(INDEX($AR$11:$AR$4010,MATCH(391,$AY$11:$AY$4010,0)),""))</f>
        <v/>
      </c>
      <c r="AD401" s="16" t="str">
        <f>IF(AE401="","",IFERROR(INDEX($AL$11:$AL$4010,MATCH(391,$AZ$11:$AZ$4010,0)),""))</f>
        <v/>
      </c>
      <c r="AE401" s="12" t="str">
        <f>IFERROR(INDEX($AM$11:$AM$4010,MATCH(391,$AZ$11:$AZ$4010,0)),"")</f>
        <v/>
      </c>
      <c r="AF401" s="11" t="str">
        <f>IF(AE401="","",IFERROR(INDEX($AN$11:$AN$4010,MATCH(391,$AZ$11:$AZ$4010,0)),""))</f>
        <v/>
      </c>
      <c r="AG401" s="11" t="str">
        <f>IF(AE401="","",IFERROR(INDEX($AO$11:$AO$4010,MATCH(391,$AZ$11:$AZ$4010,0)),""))</f>
        <v/>
      </c>
      <c r="AH401" s="10" t="str">
        <f>IF(AE401="","",IFERROR(INDEX($AQ$11:$AQ$4010,MATCH(391,$AZ$11:$AZ$4010,0)),""))</f>
        <v/>
      </c>
      <c r="AI401" s="15" t="str">
        <f>IF(AE401="","",IFERROR(INDEX($AR$11:$AR$4010,MATCH(391,$AZ$11:$AZ$4010,0)),""))</f>
        <v/>
      </c>
      <c r="AJ401" s="15" t="str">
        <f>IF(AE401="","",IFERROR(INDEX($AT$11:$AT$4010,MATCH(391,$AZ$11:$AZ$4010,0)),""))</f>
        <v/>
      </c>
      <c r="AL401" s="17" t="str">
        <f t="shared" si="83"/>
        <v/>
      </c>
      <c r="AM401" s="12" t="str">
        <f t="shared" si="84"/>
        <v/>
      </c>
      <c r="AN401" s="18" t="str">
        <f t="shared" si="85"/>
        <v/>
      </c>
      <c r="AO401" s="18" t="str">
        <f t="shared" si="86"/>
        <v/>
      </c>
      <c r="AP401" s="10" t="str">
        <f t="shared" si="87"/>
        <v/>
      </c>
      <c r="AQ401" s="10" t="str">
        <f t="shared" si="88"/>
        <v/>
      </c>
      <c r="AR401" s="19" t="str">
        <f t="shared" si="89"/>
        <v/>
      </c>
      <c r="AS401" s="20"/>
      <c r="AT401" s="19"/>
      <c r="AV401" s="21">
        <f>IF(AND($AL401&lt;&gt;"",COUNTIF($AL$11:$AL401,$AL401)=1),1,0)</f>
        <v>0</v>
      </c>
      <c r="AW401" s="21">
        <f t="shared" si="91"/>
        <v>2</v>
      </c>
      <c r="AX401" s="21" t="str">
        <f t="shared" si="90"/>
        <v/>
      </c>
      <c r="AY401" s="21" t="str">
        <f>IF(AND($AM401&lt;&gt;"",$AS401&lt;&gt;"✓"),SUMPRODUCT(($AM$11:$AM401&lt;&gt;"")*($AS$11:$AS401&lt;&gt;"✓")),"")</f>
        <v/>
      </c>
      <c r="AZ401" s="21" t="str">
        <f>IF(AND($AM401&lt;&gt;"",$AS401="✓"),SUMPRODUCT(($AM$11:$AM401&lt;&gt;"")*($AS$11:$AS401="✓")),"")</f>
        <v/>
      </c>
      <c r="BA401" s="21" t="str">
        <f>IF($AL401="","",$AL401&amp;"|"&amp;COUNTIF($AL$11:$AL401,$AL401))</f>
        <v/>
      </c>
    </row>
    <row r="402" spans="2:53" ht="15" customHeight="1" x14ac:dyDescent="0.25">
      <c r="B402" s="5" t="str">
        <f t="shared" si="82"/>
        <v/>
      </c>
      <c r="C402" s="5"/>
      <c r="D402" s="5"/>
      <c r="E402" s="5"/>
      <c r="F402" s="6"/>
      <c r="G402" s="6"/>
      <c r="H402" s="7"/>
      <c r="I402" s="8"/>
      <c r="W402" s="28" t="str">
        <f>IF(X402="","",IFERROR(INDEX($AL$11:$AL$4010,MATCH(392,$AY$11:$AY$4010,0)),""))</f>
        <v/>
      </c>
      <c r="X402" s="26" t="str">
        <f>IFERROR(INDEX($AM$11:$AM$4010,MATCH(392,$AY$11:$AY$4010,0)),"")</f>
        <v/>
      </c>
      <c r="Y402" s="25" t="str">
        <f>IF(X402="","",IFERROR(INDEX($AN$11:$AN$4010,MATCH(392,$AY$11:$AY$4010,0)),""))</f>
        <v/>
      </c>
      <c r="Z402" s="25" t="str">
        <f>IF(X402="","",IFERROR(INDEX($AO$11:$AO$4010,MATCH(392,$AY$11:$AY$4010,0)),""))</f>
        <v/>
      </c>
      <c r="AA402" s="24" t="str">
        <f>IF(X402="","",IFERROR(INDEX($AQ$11:$AQ$4010,MATCH(392,$AY$11:$AY$4010,0)),""))</f>
        <v/>
      </c>
      <c r="AB402" s="29" t="str">
        <f>IF(X402="","",IFERROR(INDEX($AR$11:$AR$4010,MATCH(392,$AY$11:$AY$4010,0)),""))</f>
        <v/>
      </c>
      <c r="AD402" s="30" t="str">
        <f>IF(AE402="","",IFERROR(INDEX($AL$11:$AL$4010,MATCH(392,$AZ$11:$AZ$4010,0)),""))</f>
        <v/>
      </c>
      <c r="AE402" s="26" t="str">
        <f>IFERROR(INDEX($AM$11:$AM$4010,MATCH(392,$AZ$11:$AZ$4010,0)),"")</f>
        <v/>
      </c>
      <c r="AF402" s="25" t="str">
        <f>IF(AE402="","",IFERROR(INDEX($AN$11:$AN$4010,MATCH(392,$AZ$11:$AZ$4010,0)),""))</f>
        <v/>
      </c>
      <c r="AG402" s="25" t="str">
        <f>IF(AE402="","",IFERROR(INDEX($AO$11:$AO$4010,MATCH(392,$AZ$11:$AZ$4010,0)),""))</f>
        <v/>
      </c>
      <c r="AH402" s="24" t="str">
        <f>IF(AE402="","",IFERROR(INDEX($AQ$11:$AQ$4010,MATCH(392,$AZ$11:$AZ$4010,0)),""))</f>
        <v/>
      </c>
      <c r="AI402" s="29" t="str">
        <f>IF(AE402="","",IFERROR(INDEX($AR$11:$AR$4010,MATCH(392,$AZ$11:$AZ$4010,0)),""))</f>
        <v/>
      </c>
      <c r="AJ402" s="29" t="str">
        <f>IF(AE402="","",IFERROR(INDEX($AT$11:$AT$4010,MATCH(392,$AZ$11:$AZ$4010,0)),""))</f>
        <v/>
      </c>
      <c r="AL402" s="31" t="str">
        <f t="shared" si="83"/>
        <v/>
      </c>
      <c r="AM402" s="26" t="str">
        <f t="shared" si="84"/>
        <v/>
      </c>
      <c r="AN402" s="32" t="str">
        <f t="shared" si="85"/>
        <v/>
      </c>
      <c r="AO402" s="32" t="str">
        <f t="shared" si="86"/>
        <v/>
      </c>
      <c r="AP402" s="24" t="str">
        <f t="shared" si="87"/>
        <v/>
      </c>
      <c r="AQ402" s="24" t="str">
        <f t="shared" si="88"/>
        <v/>
      </c>
      <c r="AR402" s="33" t="str">
        <f t="shared" si="89"/>
        <v/>
      </c>
      <c r="AS402" s="34"/>
      <c r="AT402" s="33"/>
      <c r="AV402" s="21">
        <f>IF(AND($AL402&lt;&gt;"",COUNTIF($AL$11:$AL402,$AL402)=1),1,0)</f>
        <v>0</v>
      </c>
      <c r="AW402" s="21">
        <f t="shared" si="91"/>
        <v>2</v>
      </c>
      <c r="AX402" s="21" t="str">
        <f t="shared" si="90"/>
        <v/>
      </c>
      <c r="AY402" s="21" t="str">
        <f>IF(AND($AM402&lt;&gt;"",$AS402&lt;&gt;"✓"),SUMPRODUCT(($AM$11:$AM402&lt;&gt;"")*($AS$11:$AS402&lt;&gt;"✓")),"")</f>
        <v/>
      </c>
      <c r="AZ402" s="21" t="str">
        <f>IF(AND($AM402&lt;&gt;"",$AS402="✓"),SUMPRODUCT(($AM$11:$AM402&lt;&gt;"")*($AS$11:$AS402="✓")),"")</f>
        <v/>
      </c>
      <c r="BA402" s="21" t="str">
        <f>IF($AL402="","",$AL402&amp;"|"&amp;COUNTIF($AL$11:$AL402,$AL402))</f>
        <v/>
      </c>
    </row>
    <row r="403" spans="2:53" ht="15" customHeight="1" x14ac:dyDescent="0.25">
      <c r="B403" s="5" t="str">
        <f t="shared" si="82"/>
        <v/>
      </c>
      <c r="C403" s="5"/>
      <c r="D403" s="5"/>
      <c r="E403" s="5"/>
      <c r="F403" s="6"/>
      <c r="G403" s="6"/>
      <c r="H403" s="7"/>
      <c r="I403" s="8"/>
      <c r="W403" s="14" t="str">
        <f>IF(X403="","",IFERROR(INDEX($AL$11:$AL$4010,MATCH(393,$AY$11:$AY$4010,0)),""))</f>
        <v/>
      </c>
      <c r="X403" s="12" t="str">
        <f>IFERROR(INDEX($AM$11:$AM$4010,MATCH(393,$AY$11:$AY$4010,0)),"")</f>
        <v/>
      </c>
      <c r="Y403" s="11" t="str">
        <f>IF(X403="","",IFERROR(INDEX($AN$11:$AN$4010,MATCH(393,$AY$11:$AY$4010,0)),""))</f>
        <v/>
      </c>
      <c r="Z403" s="11" t="str">
        <f>IF(X403="","",IFERROR(INDEX($AO$11:$AO$4010,MATCH(393,$AY$11:$AY$4010,0)),""))</f>
        <v/>
      </c>
      <c r="AA403" s="10" t="str">
        <f>IF(X403="","",IFERROR(INDEX($AQ$11:$AQ$4010,MATCH(393,$AY$11:$AY$4010,0)),""))</f>
        <v/>
      </c>
      <c r="AB403" s="15" t="str">
        <f>IF(X403="","",IFERROR(INDEX($AR$11:$AR$4010,MATCH(393,$AY$11:$AY$4010,0)),""))</f>
        <v/>
      </c>
      <c r="AD403" s="16" t="str">
        <f>IF(AE403="","",IFERROR(INDEX($AL$11:$AL$4010,MATCH(393,$AZ$11:$AZ$4010,0)),""))</f>
        <v/>
      </c>
      <c r="AE403" s="12" t="str">
        <f>IFERROR(INDEX($AM$11:$AM$4010,MATCH(393,$AZ$11:$AZ$4010,0)),"")</f>
        <v/>
      </c>
      <c r="AF403" s="11" t="str">
        <f>IF(AE403="","",IFERROR(INDEX($AN$11:$AN$4010,MATCH(393,$AZ$11:$AZ$4010,0)),""))</f>
        <v/>
      </c>
      <c r="AG403" s="11" t="str">
        <f>IF(AE403="","",IFERROR(INDEX($AO$11:$AO$4010,MATCH(393,$AZ$11:$AZ$4010,0)),""))</f>
        <v/>
      </c>
      <c r="AH403" s="10" t="str">
        <f>IF(AE403="","",IFERROR(INDEX($AQ$11:$AQ$4010,MATCH(393,$AZ$11:$AZ$4010,0)),""))</f>
        <v/>
      </c>
      <c r="AI403" s="15" t="str">
        <f>IF(AE403="","",IFERROR(INDEX($AR$11:$AR$4010,MATCH(393,$AZ$11:$AZ$4010,0)),""))</f>
        <v/>
      </c>
      <c r="AJ403" s="15" t="str">
        <f>IF(AE403="","",IFERROR(INDEX($AT$11:$AT$4010,MATCH(393,$AZ$11:$AZ$4010,0)),""))</f>
        <v/>
      </c>
      <c r="AL403" s="17" t="str">
        <f t="shared" si="83"/>
        <v/>
      </c>
      <c r="AM403" s="12" t="str">
        <f t="shared" si="84"/>
        <v/>
      </c>
      <c r="AN403" s="18" t="str">
        <f t="shared" si="85"/>
        <v/>
      </c>
      <c r="AO403" s="18" t="str">
        <f t="shared" si="86"/>
        <v/>
      </c>
      <c r="AP403" s="10" t="str">
        <f t="shared" si="87"/>
        <v/>
      </c>
      <c r="AQ403" s="10" t="str">
        <f t="shared" si="88"/>
        <v/>
      </c>
      <c r="AR403" s="19" t="str">
        <f t="shared" si="89"/>
        <v/>
      </c>
      <c r="AS403" s="20"/>
      <c r="AT403" s="19"/>
      <c r="AV403" s="21">
        <f>IF(AND($AL403&lt;&gt;"",COUNTIF($AL$11:$AL403,$AL403)=1),1,0)</f>
        <v>0</v>
      </c>
      <c r="AW403" s="21">
        <f t="shared" si="91"/>
        <v>2</v>
      </c>
      <c r="AX403" s="21" t="str">
        <f t="shared" si="90"/>
        <v/>
      </c>
      <c r="AY403" s="21" t="str">
        <f>IF(AND($AM403&lt;&gt;"",$AS403&lt;&gt;"✓"),SUMPRODUCT(($AM$11:$AM403&lt;&gt;"")*($AS$11:$AS403&lt;&gt;"✓")),"")</f>
        <v/>
      </c>
      <c r="AZ403" s="21" t="str">
        <f>IF(AND($AM403&lt;&gt;"",$AS403="✓"),SUMPRODUCT(($AM$11:$AM403&lt;&gt;"")*($AS$11:$AS403="✓")),"")</f>
        <v/>
      </c>
      <c r="BA403" s="21" t="str">
        <f>IF($AL403="","",$AL403&amp;"|"&amp;COUNTIF($AL$11:$AL403,$AL403))</f>
        <v/>
      </c>
    </row>
    <row r="404" spans="2:53" ht="15" customHeight="1" x14ac:dyDescent="0.25">
      <c r="B404" s="5" t="str">
        <f t="shared" si="82"/>
        <v/>
      </c>
      <c r="C404" s="5"/>
      <c r="D404" s="5"/>
      <c r="E404" s="5"/>
      <c r="F404" s="6"/>
      <c r="G404" s="6"/>
      <c r="H404" s="7"/>
      <c r="I404" s="8"/>
      <c r="W404" s="28" t="str">
        <f>IF(X404="","",IFERROR(INDEX($AL$11:$AL$4010,MATCH(394,$AY$11:$AY$4010,0)),""))</f>
        <v/>
      </c>
      <c r="X404" s="26" t="str">
        <f>IFERROR(INDEX($AM$11:$AM$4010,MATCH(394,$AY$11:$AY$4010,0)),"")</f>
        <v/>
      </c>
      <c r="Y404" s="25" t="str">
        <f>IF(X404="","",IFERROR(INDEX($AN$11:$AN$4010,MATCH(394,$AY$11:$AY$4010,0)),""))</f>
        <v/>
      </c>
      <c r="Z404" s="25" t="str">
        <f>IF(X404="","",IFERROR(INDEX($AO$11:$AO$4010,MATCH(394,$AY$11:$AY$4010,0)),""))</f>
        <v/>
      </c>
      <c r="AA404" s="24" t="str">
        <f>IF(X404="","",IFERROR(INDEX($AQ$11:$AQ$4010,MATCH(394,$AY$11:$AY$4010,0)),""))</f>
        <v/>
      </c>
      <c r="AB404" s="29" t="str">
        <f>IF(X404="","",IFERROR(INDEX($AR$11:$AR$4010,MATCH(394,$AY$11:$AY$4010,0)),""))</f>
        <v/>
      </c>
      <c r="AD404" s="30" t="str">
        <f>IF(AE404="","",IFERROR(INDEX($AL$11:$AL$4010,MATCH(394,$AZ$11:$AZ$4010,0)),""))</f>
        <v/>
      </c>
      <c r="AE404" s="26" t="str">
        <f>IFERROR(INDEX($AM$11:$AM$4010,MATCH(394,$AZ$11:$AZ$4010,0)),"")</f>
        <v/>
      </c>
      <c r="AF404" s="25" t="str">
        <f>IF(AE404="","",IFERROR(INDEX($AN$11:$AN$4010,MATCH(394,$AZ$11:$AZ$4010,0)),""))</f>
        <v/>
      </c>
      <c r="AG404" s="25" t="str">
        <f>IF(AE404="","",IFERROR(INDEX($AO$11:$AO$4010,MATCH(394,$AZ$11:$AZ$4010,0)),""))</f>
        <v/>
      </c>
      <c r="AH404" s="24" t="str">
        <f>IF(AE404="","",IFERROR(INDEX($AQ$11:$AQ$4010,MATCH(394,$AZ$11:$AZ$4010,0)),""))</f>
        <v/>
      </c>
      <c r="AI404" s="29" t="str">
        <f>IF(AE404="","",IFERROR(INDEX($AR$11:$AR$4010,MATCH(394,$AZ$11:$AZ$4010,0)),""))</f>
        <v/>
      </c>
      <c r="AJ404" s="29" t="str">
        <f>IF(AE404="","",IFERROR(INDEX($AT$11:$AT$4010,MATCH(394,$AZ$11:$AZ$4010,0)),""))</f>
        <v/>
      </c>
      <c r="AL404" s="31" t="str">
        <f t="shared" si="83"/>
        <v/>
      </c>
      <c r="AM404" s="26" t="str">
        <f t="shared" si="84"/>
        <v/>
      </c>
      <c r="AN404" s="32" t="str">
        <f t="shared" si="85"/>
        <v/>
      </c>
      <c r="AO404" s="32" t="str">
        <f t="shared" si="86"/>
        <v/>
      </c>
      <c r="AP404" s="24" t="str">
        <f t="shared" si="87"/>
        <v/>
      </c>
      <c r="AQ404" s="24" t="str">
        <f t="shared" si="88"/>
        <v/>
      </c>
      <c r="AR404" s="33" t="str">
        <f t="shared" si="89"/>
        <v/>
      </c>
      <c r="AS404" s="34"/>
      <c r="AT404" s="33"/>
      <c r="AV404" s="21">
        <f>IF(AND($AL404&lt;&gt;"",COUNTIF($AL$11:$AL404,$AL404)=1),1,0)</f>
        <v>0</v>
      </c>
      <c r="AW404" s="21">
        <f t="shared" si="91"/>
        <v>2</v>
      </c>
      <c r="AX404" s="21" t="str">
        <f t="shared" si="90"/>
        <v/>
      </c>
      <c r="AY404" s="21" t="str">
        <f>IF(AND($AM404&lt;&gt;"",$AS404&lt;&gt;"✓"),SUMPRODUCT(($AM$11:$AM404&lt;&gt;"")*($AS$11:$AS404&lt;&gt;"✓")),"")</f>
        <v/>
      </c>
      <c r="AZ404" s="21" t="str">
        <f>IF(AND($AM404&lt;&gt;"",$AS404="✓"),SUMPRODUCT(($AM$11:$AM404&lt;&gt;"")*($AS$11:$AS404="✓")),"")</f>
        <v/>
      </c>
      <c r="BA404" s="21" t="str">
        <f>IF($AL404="","",$AL404&amp;"|"&amp;COUNTIF($AL$11:$AL404,$AL404))</f>
        <v/>
      </c>
    </row>
    <row r="405" spans="2:53" ht="15" customHeight="1" x14ac:dyDescent="0.25">
      <c r="B405" s="5" t="str">
        <f t="shared" si="82"/>
        <v/>
      </c>
      <c r="C405" s="5"/>
      <c r="D405" s="5"/>
      <c r="E405" s="5"/>
      <c r="F405" s="6"/>
      <c r="G405" s="6"/>
      <c r="H405" s="7"/>
      <c r="I405" s="8"/>
      <c r="W405" s="14" t="str">
        <f>IF(X405="","",IFERROR(INDEX($AL$11:$AL$4010,MATCH(395,$AY$11:$AY$4010,0)),""))</f>
        <v/>
      </c>
      <c r="X405" s="12" t="str">
        <f>IFERROR(INDEX($AM$11:$AM$4010,MATCH(395,$AY$11:$AY$4010,0)),"")</f>
        <v/>
      </c>
      <c r="Y405" s="11" t="str">
        <f>IF(X405="","",IFERROR(INDEX($AN$11:$AN$4010,MATCH(395,$AY$11:$AY$4010,0)),""))</f>
        <v/>
      </c>
      <c r="Z405" s="11" t="str">
        <f>IF(X405="","",IFERROR(INDEX($AO$11:$AO$4010,MATCH(395,$AY$11:$AY$4010,0)),""))</f>
        <v/>
      </c>
      <c r="AA405" s="10" t="str">
        <f>IF(X405="","",IFERROR(INDEX($AQ$11:$AQ$4010,MATCH(395,$AY$11:$AY$4010,0)),""))</f>
        <v/>
      </c>
      <c r="AB405" s="15" t="str">
        <f>IF(X405="","",IFERROR(INDEX($AR$11:$AR$4010,MATCH(395,$AY$11:$AY$4010,0)),""))</f>
        <v/>
      </c>
      <c r="AD405" s="16" t="str">
        <f>IF(AE405="","",IFERROR(INDEX($AL$11:$AL$4010,MATCH(395,$AZ$11:$AZ$4010,0)),""))</f>
        <v/>
      </c>
      <c r="AE405" s="12" t="str">
        <f>IFERROR(INDEX($AM$11:$AM$4010,MATCH(395,$AZ$11:$AZ$4010,0)),"")</f>
        <v/>
      </c>
      <c r="AF405" s="11" t="str">
        <f>IF(AE405="","",IFERROR(INDEX($AN$11:$AN$4010,MATCH(395,$AZ$11:$AZ$4010,0)),""))</f>
        <v/>
      </c>
      <c r="AG405" s="11" t="str">
        <f>IF(AE405="","",IFERROR(INDEX($AO$11:$AO$4010,MATCH(395,$AZ$11:$AZ$4010,0)),""))</f>
        <v/>
      </c>
      <c r="AH405" s="10" t="str">
        <f>IF(AE405="","",IFERROR(INDEX($AQ$11:$AQ$4010,MATCH(395,$AZ$11:$AZ$4010,0)),""))</f>
        <v/>
      </c>
      <c r="AI405" s="15" t="str">
        <f>IF(AE405="","",IFERROR(INDEX($AR$11:$AR$4010,MATCH(395,$AZ$11:$AZ$4010,0)),""))</f>
        <v/>
      </c>
      <c r="AJ405" s="15" t="str">
        <f>IF(AE405="","",IFERROR(INDEX($AT$11:$AT$4010,MATCH(395,$AZ$11:$AZ$4010,0)),""))</f>
        <v/>
      </c>
      <c r="AL405" s="17" t="str">
        <f t="shared" si="83"/>
        <v/>
      </c>
      <c r="AM405" s="12" t="str">
        <f t="shared" si="84"/>
        <v/>
      </c>
      <c r="AN405" s="18" t="str">
        <f t="shared" si="85"/>
        <v/>
      </c>
      <c r="AO405" s="18" t="str">
        <f t="shared" si="86"/>
        <v/>
      </c>
      <c r="AP405" s="10" t="str">
        <f t="shared" si="87"/>
        <v/>
      </c>
      <c r="AQ405" s="10" t="str">
        <f t="shared" si="88"/>
        <v/>
      </c>
      <c r="AR405" s="19" t="str">
        <f t="shared" si="89"/>
        <v/>
      </c>
      <c r="AS405" s="20"/>
      <c r="AT405" s="19"/>
      <c r="AV405" s="21">
        <f>IF(AND($AL405&lt;&gt;"",COUNTIF($AL$11:$AL405,$AL405)=1),1,0)</f>
        <v>0</v>
      </c>
      <c r="AW405" s="21">
        <f t="shared" si="91"/>
        <v>2</v>
      </c>
      <c r="AX405" s="21" t="str">
        <f t="shared" si="90"/>
        <v/>
      </c>
      <c r="AY405" s="21" t="str">
        <f>IF(AND($AM405&lt;&gt;"",$AS405&lt;&gt;"✓"),SUMPRODUCT(($AM$11:$AM405&lt;&gt;"")*($AS$11:$AS405&lt;&gt;"✓")),"")</f>
        <v/>
      </c>
      <c r="AZ405" s="21" t="str">
        <f>IF(AND($AM405&lt;&gt;"",$AS405="✓"),SUMPRODUCT(($AM$11:$AM405&lt;&gt;"")*($AS$11:$AS405="✓")),"")</f>
        <v/>
      </c>
      <c r="BA405" s="21" t="str">
        <f>IF($AL405="","",$AL405&amp;"|"&amp;COUNTIF($AL$11:$AL405,$AL405))</f>
        <v/>
      </c>
    </row>
    <row r="406" spans="2:53" ht="15" customHeight="1" x14ac:dyDescent="0.25">
      <c r="B406" s="5" t="str">
        <f t="shared" si="82"/>
        <v/>
      </c>
      <c r="C406" s="5"/>
      <c r="D406" s="5"/>
      <c r="E406" s="5"/>
      <c r="F406" s="6"/>
      <c r="G406" s="6"/>
      <c r="H406" s="7"/>
      <c r="I406" s="8"/>
      <c r="W406" s="28" t="str">
        <f>IF(X406="","",IFERROR(INDEX($AL$11:$AL$4010,MATCH(396,$AY$11:$AY$4010,0)),""))</f>
        <v/>
      </c>
      <c r="X406" s="26" t="str">
        <f>IFERROR(INDEX($AM$11:$AM$4010,MATCH(396,$AY$11:$AY$4010,0)),"")</f>
        <v/>
      </c>
      <c r="Y406" s="25" t="str">
        <f>IF(X406="","",IFERROR(INDEX($AN$11:$AN$4010,MATCH(396,$AY$11:$AY$4010,0)),""))</f>
        <v/>
      </c>
      <c r="Z406" s="25" t="str">
        <f>IF(X406="","",IFERROR(INDEX($AO$11:$AO$4010,MATCH(396,$AY$11:$AY$4010,0)),""))</f>
        <v/>
      </c>
      <c r="AA406" s="24" t="str">
        <f>IF(X406="","",IFERROR(INDEX($AQ$11:$AQ$4010,MATCH(396,$AY$11:$AY$4010,0)),""))</f>
        <v/>
      </c>
      <c r="AB406" s="29" t="str">
        <f>IF(X406="","",IFERROR(INDEX($AR$11:$AR$4010,MATCH(396,$AY$11:$AY$4010,0)),""))</f>
        <v/>
      </c>
      <c r="AD406" s="30" t="str">
        <f>IF(AE406="","",IFERROR(INDEX($AL$11:$AL$4010,MATCH(396,$AZ$11:$AZ$4010,0)),""))</f>
        <v/>
      </c>
      <c r="AE406" s="26" t="str">
        <f>IFERROR(INDEX($AM$11:$AM$4010,MATCH(396,$AZ$11:$AZ$4010,0)),"")</f>
        <v/>
      </c>
      <c r="AF406" s="25" t="str">
        <f>IF(AE406="","",IFERROR(INDEX($AN$11:$AN$4010,MATCH(396,$AZ$11:$AZ$4010,0)),""))</f>
        <v/>
      </c>
      <c r="AG406" s="25" t="str">
        <f>IF(AE406="","",IFERROR(INDEX($AO$11:$AO$4010,MATCH(396,$AZ$11:$AZ$4010,0)),""))</f>
        <v/>
      </c>
      <c r="AH406" s="24" t="str">
        <f>IF(AE406="","",IFERROR(INDEX($AQ$11:$AQ$4010,MATCH(396,$AZ$11:$AZ$4010,0)),""))</f>
        <v/>
      </c>
      <c r="AI406" s="29" t="str">
        <f>IF(AE406="","",IFERROR(INDEX($AR$11:$AR$4010,MATCH(396,$AZ$11:$AZ$4010,0)),""))</f>
        <v/>
      </c>
      <c r="AJ406" s="29" t="str">
        <f>IF(AE406="","",IFERROR(INDEX($AT$11:$AT$4010,MATCH(396,$AZ$11:$AZ$4010,0)),""))</f>
        <v/>
      </c>
      <c r="AL406" s="31" t="str">
        <f t="shared" si="83"/>
        <v/>
      </c>
      <c r="AM406" s="26" t="str">
        <f t="shared" si="84"/>
        <v/>
      </c>
      <c r="AN406" s="32" t="str">
        <f t="shared" si="85"/>
        <v/>
      </c>
      <c r="AO406" s="32" t="str">
        <f t="shared" si="86"/>
        <v/>
      </c>
      <c r="AP406" s="24" t="str">
        <f t="shared" si="87"/>
        <v/>
      </c>
      <c r="AQ406" s="24" t="str">
        <f t="shared" si="88"/>
        <v/>
      </c>
      <c r="AR406" s="33" t="str">
        <f t="shared" si="89"/>
        <v/>
      </c>
      <c r="AS406" s="34"/>
      <c r="AT406" s="33"/>
      <c r="AV406" s="21">
        <f>IF(AND($AL406&lt;&gt;"",COUNTIF($AL$11:$AL406,$AL406)=1),1,0)</f>
        <v>0</v>
      </c>
      <c r="AW406" s="21">
        <f t="shared" si="91"/>
        <v>2</v>
      </c>
      <c r="AX406" s="21" t="str">
        <f t="shared" si="90"/>
        <v/>
      </c>
      <c r="AY406" s="21" t="str">
        <f>IF(AND($AM406&lt;&gt;"",$AS406&lt;&gt;"✓"),SUMPRODUCT(($AM$11:$AM406&lt;&gt;"")*($AS$11:$AS406&lt;&gt;"✓")),"")</f>
        <v/>
      </c>
      <c r="AZ406" s="21" t="str">
        <f>IF(AND($AM406&lt;&gt;"",$AS406="✓"),SUMPRODUCT(($AM$11:$AM406&lt;&gt;"")*($AS$11:$AS406="✓")),"")</f>
        <v/>
      </c>
      <c r="BA406" s="21" t="str">
        <f>IF($AL406="","",$AL406&amp;"|"&amp;COUNTIF($AL$11:$AL406,$AL406))</f>
        <v/>
      </c>
    </row>
    <row r="407" spans="2:53" ht="15" customHeight="1" x14ac:dyDescent="0.25">
      <c r="B407" s="5" t="str">
        <f t="shared" si="82"/>
        <v/>
      </c>
      <c r="C407" s="5"/>
      <c r="D407" s="5"/>
      <c r="E407" s="5"/>
      <c r="F407" s="6"/>
      <c r="G407" s="6"/>
      <c r="H407" s="7"/>
      <c r="I407" s="8"/>
      <c r="W407" s="14" t="str">
        <f>IF(X407="","",IFERROR(INDEX($AL$11:$AL$4010,MATCH(397,$AY$11:$AY$4010,0)),""))</f>
        <v/>
      </c>
      <c r="X407" s="12" t="str">
        <f>IFERROR(INDEX($AM$11:$AM$4010,MATCH(397,$AY$11:$AY$4010,0)),"")</f>
        <v/>
      </c>
      <c r="Y407" s="11" t="str">
        <f>IF(X407="","",IFERROR(INDEX($AN$11:$AN$4010,MATCH(397,$AY$11:$AY$4010,0)),""))</f>
        <v/>
      </c>
      <c r="Z407" s="11" t="str">
        <f>IF(X407="","",IFERROR(INDEX($AO$11:$AO$4010,MATCH(397,$AY$11:$AY$4010,0)),""))</f>
        <v/>
      </c>
      <c r="AA407" s="10" t="str">
        <f>IF(X407="","",IFERROR(INDEX($AQ$11:$AQ$4010,MATCH(397,$AY$11:$AY$4010,0)),""))</f>
        <v/>
      </c>
      <c r="AB407" s="15" t="str">
        <f>IF(X407="","",IFERROR(INDEX($AR$11:$AR$4010,MATCH(397,$AY$11:$AY$4010,0)),""))</f>
        <v/>
      </c>
      <c r="AD407" s="16" t="str">
        <f>IF(AE407="","",IFERROR(INDEX($AL$11:$AL$4010,MATCH(397,$AZ$11:$AZ$4010,0)),""))</f>
        <v/>
      </c>
      <c r="AE407" s="12" t="str">
        <f>IFERROR(INDEX($AM$11:$AM$4010,MATCH(397,$AZ$11:$AZ$4010,0)),"")</f>
        <v/>
      </c>
      <c r="AF407" s="11" t="str">
        <f>IF(AE407="","",IFERROR(INDEX($AN$11:$AN$4010,MATCH(397,$AZ$11:$AZ$4010,0)),""))</f>
        <v/>
      </c>
      <c r="AG407" s="11" t="str">
        <f>IF(AE407="","",IFERROR(INDEX($AO$11:$AO$4010,MATCH(397,$AZ$11:$AZ$4010,0)),""))</f>
        <v/>
      </c>
      <c r="AH407" s="10" t="str">
        <f>IF(AE407="","",IFERROR(INDEX($AQ$11:$AQ$4010,MATCH(397,$AZ$11:$AZ$4010,0)),""))</f>
        <v/>
      </c>
      <c r="AI407" s="15" t="str">
        <f>IF(AE407="","",IFERROR(INDEX($AR$11:$AR$4010,MATCH(397,$AZ$11:$AZ$4010,0)),""))</f>
        <v/>
      </c>
      <c r="AJ407" s="15" t="str">
        <f>IF(AE407="","",IFERROR(INDEX($AT$11:$AT$4010,MATCH(397,$AZ$11:$AZ$4010,0)),""))</f>
        <v/>
      </c>
      <c r="AL407" s="17" t="str">
        <f t="shared" si="83"/>
        <v/>
      </c>
      <c r="AM407" s="12" t="str">
        <f t="shared" si="84"/>
        <v/>
      </c>
      <c r="AN407" s="18" t="str">
        <f t="shared" si="85"/>
        <v/>
      </c>
      <c r="AO407" s="18" t="str">
        <f t="shared" si="86"/>
        <v/>
      </c>
      <c r="AP407" s="10" t="str">
        <f t="shared" si="87"/>
        <v/>
      </c>
      <c r="AQ407" s="10" t="str">
        <f t="shared" si="88"/>
        <v/>
      </c>
      <c r="AR407" s="19" t="str">
        <f t="shared" si="89"/>
        <v/>
      </c>
      <c r="AS407" s="20"/>
      <c r="AT407" s="19"/>
      <c r="AV407" s="21">
        <f>IF(AND($AL407&lt;&gt;"",COUNTIF($AL$11:$AL407,$AL407)=1),1,0)</f>
        <v>0</v>
      </c>
      <c r="AW407" s="21">
        <f t="shared" si="91"/>
        <v>2</v>
      </c>
      <c r="AX407" s="21" t="str">
        <f t="shared" si="90"/>
        <v/>
      </c>
      <c r="AY407" s="21" t="str">
        <f>IF(AND($AM407&lt;&gt;"",$AS407&lt;&gt;"✓"),SUMPRODUCT(($AM$11:$AM407&lt;&gt;"")*($AS$11:$AS407&lt;&gt;"✓")),"")</f>
        <v/>
      </c>
      <c r="AZ407" s="21" t="str">
        <f>IF(AND($AM407&lt;&gt;"",$AS407="✓"),SUMPRODUCT(($AM$11:$AM407&lt;&gt;"")*($AS$11:$AS407="✓")),"")</f>
        <v/>
      </c>
      <c r="BA407" s="21" t="str">
        <f>IF($AL407="","",$AL407&amp;"|"&amp;COUNTIF($AL$11:$AL407,$AL407))</f>
        <v/>
      </c>
    </row>
    <row r="408" spans="2:53" ht="15" customHeight="1" x14ac:dyDescent="0.25">
      <c r="B408" s="5" t="str">
        <f t="shared" si="82"/>
        <v/>
      </c>
      <c r="C408" s="5"/>
      <c r="D408" s="5"/>
      <c r="E408" s="5"/>
      <c r="F408" s="6"/>
      <c r="G408" s="6"/>
      <c r="H408" s="7"/>
      <c r="I408" s="8"/>
      <c r="W408" s="28" t="str">
        <f>IF(X408="","",IFERROR(INDEX($AL$11:$AL$4010,MATCH(398,$AY$11:$AY$4010,0)),""))</f>
        <v/>
      </c>
      <c r="X408" s="26" t="str">
        <f>IFERROR(INDEX($AM$11:$AM$4010,MATCH(398,$AY$11:$AY$4010,0)),"")</f>
        <v/>
      </c>
      <c r="Y408" s="25" t="str">
        <f>IF(X408="","",IFERROR(INDEX($AN$11:$AN$4010,MATCH(398,$AY$11:$AY$4010,0)),""))</f>
        <v/>
      </c>
      <c r="Z408" s="25" t="str">
        <f>IF(X408="","",IFERROR(INDEX($AO$11:$AO$4010,MATCH(398,$AY$11:$AY$4010,0)),""))</f>
        <v/>
      </c>
      <c r="AA408" s="24" t="str">
        <f>IF(X408="","",IFERROR(INDEX($AQ$11:$AQ$4010,MATCH(398,$AY$11:$AY$4010,0)),""))</f>
        <v/>
      </c>
      <c r="AB408" s="29" t="str">
        <f>IF(X408="","",IFERROR(INDEX($AR$11:$AR$4010,MATCH(398,$AY$11:$AY$4010,0)),""))</f>
        <v/>
      </c>
      <c r="AD408" s="30" t="str">
        <f>IF(AE408="","",IFERROR(INDEX($AL$11:$AL$4010,MATCH(398,$AZ$11:$AZ$4010,0)),""))</f>
        <v/>
      </c>
      <c r="AE408" s="26" t="str">
        <f>IFERROR(INDEX($AM$11:$AM$4010,MATCH(398,$AZ$11:$AZ$4010,0)),"")</f>
        <v/>
      </c>
      <c r="AF408" s="25" t="str">
        <f>IF(AE408="","",IFERROR(INDEX($AN$11:$AN$4010,MATCH(398,$AZ$11:$AZ$4010,0)),""))</f>
        <v/>
      </c>
      <c r="AG408" s="25" t="str">
        <f>IF(AE408="","",IFERROR(INDEX($AO$11:$AO$4010,MATCH(398,$AZ$11:$AZ$4010,0)),""))</f>
        <v/>
      </c>
      <c r="AH408" s="24" t="str">
        <f>IF(AE408="","",IFERROR(INDEX($AQ$11:$AQ$4010,MATCH(398,$AZ$11:$AZ$4010,0)),""))</f>
        <v/>
      </c>
      <c r="AI408" s="29" t="str">
        <f>IF(AE408="","",IFERROR(INDEX($AR$11:$AR$4010,MATCH(398,$AZ$11:$AZ$4010,0)),""))</f>
        <v/>
      </c>
      <c r="AJ408" s="29" t="str">
        <f>IF(AE408="","",IFERROR(INDEX($AT$11:$AT$4010,MATCH(398,$AZ$11:$AZ$4010,0)),""))</f>
        <v/>
      </c>
      <c r="AL408" s="31" t="str">
        <f t="shared" si="83"/>
        <v/>
      </c>
      <c r="AM408" s="26" t="str">
        <f t="shared" si="84"/>
        <v/>
      </c>
      <c r="AN408" s="32" t="str">
        <f t="shared" si="85"/>
        <v/>
      </c>
      <c r="AO408" s="32" t="str">
        <f t="shared" si="86"/>
        <v/>
      </c>
      <c r="AP408" s="24" t="str">
        <f t="shared" si="87"/>
        <v/>
      </c>
      <c r="AQ408" s="24" t="str">
        <f t="shared" si="88"/>
        <v/>
      </c>
      <c r="AR408" s="33" t="str">
        <f t="shared" si="89"/>
        <v/>
      </c>
      <c r="AS408" s="34"/>
      <c r="AT408" s="33"/>
      <c r="AV408" s="21">
        <f>IF(AND($AL408&lt;&gt;"",COUNTIF($AL$11:$AL408,$AL408)=1),1,0)</f>
        <v>0</v>
      </c>
      <c r="AW408" s="21">
        <f t="shared" si="91"/>
        <v>2</v>
      </c>
      <c r="AX408" s="21" t="str">
        <f t="shared" si="90"/>
        <v/>
      </c>
      <c r="AY408" s="21" t="str">
        <f>IF(AND($AM408&lt;&gt;"",$AS408&lt;&gt;"✓"),SUMPRODUCT(($AM$11:$AM408&lt;&gt;"")*($AS$11:$AS408&lt;&gt;"✓")),"")</f>
        <v/>
      </c>
      <c r="AZ408" s="21" t="str">
        <f>IF(AND($AM408&lt;&gt;"",$AS408="✓"),SUMPRODUCT(($AM$11:$AM408&lt;&gt;"")*($AS$11:$AS408="✓")),"")</f>
        <v/>
      </c>
      <c r="BA408" s="21" t="str">
        <f>IF($AL408="","",$AL408&amp;"|"&amp;COUNTIF($AL$11:$AL408,$AL408))</f>
        <v/>
      </c>
    </row>
    <row r="409" spans="2:53" ht="15" customHeight="1" x14ac:dyDescent="0.25">
      <c r="B409" s="5" t="str">
        <f t="shared" si="82"/>
        <v/>
      </c>
      <c r="C409" s="5"/>
      <c r="D409" s="5"/>
      <c r="E409" s="5"/>
      <c r="F409" s="6"/>
      <c r="G409" s="6"/>
      <c r="H409" s="7"/>
      <c r="I409" s="8"/>
      <c r="W409" s="14" t="str">
        <f>IF(X409="","",IFERROR(INDEX($AL$11:$AL$4010,MATCH(399,$AY$11:$AY$4010,0)),""))</f>
        <v/>
      </c>
      <c r="X409" s="12" t="str">
        <f>IFERROR(INDEX($AM$11:$AM$4010,MATCH(399,$AY$11:$AY$4010,0)),"")</f>
        <v/>
      </c>
      <c r="Y409" s="11" t="str">
        <f>IF(X409="","",IFERROR(INDEX($AN$11:$AN$4010,MATCH(399,$AY$11:$AY$4010,0)),""))</f>
        <v/>
      </c>
      <c r="Z409" s="11" t="str">
        <f>IF(X409="","",IFERROR(INDEX($AO$11:$AO$4010,MATCH(399,$AY$11:$AY$4010,0)),""))</f>
        <v/>
      </c>
      <c r="AA409" s="10" t="str">
        <f>IF(X409="","",IFERROR(INDEX($AQ$11:$AQ$4010,MATCH(399,$AY$11:$AY$4010,0)),""))</f>
        <v/>
      </c>
      <c r="AB409" s="15" t="str">
        <f>IF(X409="","",IFERROR(INDEX($AR$11:$AR$4010,MATCH(399,$AY$11:$AY$4010,0)),""))</f>
        <v/>
      </c>
      <c r="AD409" s="16" t="str">
        <f>IF(AE409="","",IFERROR(INDEX($AL$11:$AL$4010,MATCH(399,$AZ$11:$AZ$4010,0)),""))</f>
        <v/>
      </c>
      <c r="AE409" s="12" t="str">
        <f>IFERROR(INDEX($AM$11:$AM$4010,MATCH(399,$AZ$11:$AZ$4010,0)),"")</f>
        <v/>
      </c>
      <c r="AF409" s="11" t="str">
        <f>IF(AE409="","",IFERROR(INDEX($AN$11:$AN$4010,MATCH(399,$AZ$11:$AZ$4010,0)),""))</f>
        <v/>
      </c>
      <c r="AG409" s="11" t="str">
        <f>IF(AE409="","",IFERROR(INDEX($AO$11:$AO$4010,MATCH(399,$AZ$11:$AZ$4010,0)),""))</f>
        <v/>
      </c>
      <c r="AH409" s="10" t="str">
        <f>IF(AE409="","",IFERROR(INDEX($AQ$11:$AQ$4010,MATCH(399,$AZ$11:$AZ$4010,0)),""))</f>
        <v/>
      </c>
      <c r="AI409" s="15" t="str">
        <f>IF(AE409="","",IFERROR(INDEX($AR$11:$AR$4010,MATCH(399,$AZ$11:$AZ$4010,0)),""))</f>
        <v/>
      </c>
      <c r="AJ409" s="15" t="str">
        <f>IF(AE409="","",IFERROR(INDEX($AT$11:$AT$4010,MATCH(399,$AZ$11:$AZ$4010,0)),""))</f>
        <v/>
      </c>
      <c r="AL409" s="17" t="str">
        <f t="shared" si="83"/>
        <v/>
      </c>
      <c r="AM409" s="12" t="str">
        <f t="shared" si="84"/>
        <v/>
      </c>
      <c r="AN409" s="18" t="str">
        <f t="shared" si="85"/>
        <v/>
      </c>
      <c r="AO409" s="18" t="str">
        <f t="shared" si="86"/>
        <v/>
      </c>
      <c r="AP409" s="10" t="str">
        <f t="shared" si="87"/>
        <v/>
      </c>
      <c r="AQ409" s="10" t="str">
        <f t="shared" si="88"/>
        <v/>
      </c>
      <c r="AR409" s="19" t="str">
        <f t="shared" si="89"/>
        <v/>
      </c>
      <c r="AS409" s="20"/>
      <c r="AT409" s="19"/>
      <c r="AV409" s="21">
        <f>IF(AND($AL409&lt;&gt;"",COUNTIF($AL$11:$AL409,$AL409)=1),1,0)</f>
        <v>0</v>
      </c>
      <c r="AW409" s="21">
        <f t="shared" si="91"/>
        <v>2</v>
      </c>
      <c r="AX409" s="21" t="str">
        <f t="shared" si="90"/>
        <v/>
      </c>
      <c r="AY409" s="21" t="str">
        <f>IF(AND($AM409&lt;&gt;"",$AS409&lt;&gt;"✓"),SUMPRODUCT(($AM$11:$AM409&lt;&gt;"")*($AS$11:$AS409&lt;&gt;"✓")),"")</f>
        <v/>
      </c>
      <c r="AZ409" s="21" t="str">
        <f>IF(AND($AM409&lt;&gt;"",$AS409="✓"),SUMPRODUCT(($AM$11:$AM409&lt;&gt;"")*($AS$11:$AS409="✓")),"")</f>
        <v/>
      </c>
      <c r="BA409" s="21" t="str">
        <f>IF($AL409="","",$AL409&amp;"|"&amp;COUNTIF($AL$11:$AL409,$AL409))</f>
        <v/>
      </c>
    </row>
    <row r="410" spans="2:53" ht="15" customHeight="1" x14ac:dyDescent="0.25">
      <c r="B410" s="5" t="str">
        <f t="shared" si="82"/>
        <v/>
      </c>
      <c r="C410" s="5"/>
      <c r="D410" s="5"/>
      <c r="E410" s="5"/>
      <c r="F410" s="6"/>
      <c r="G410" s="6"/>
      <c r="H410" s="7"/>
      <c r="I410" s="8"/>
      <c r="W410" s="28" t="str">
        <f>IF(X410="","",IFERROR(INDEX($AL$11:$AL$4010,MATCH(400,$AY$11:$AY$4010,0)),""))</f>
        <v/>
      </c>
      <c r="X410" s="26" t="str">
        <f>IFERROR(INDEX($AM$11:$AM$4010,MATCH(400,$AY$11:$AY$4010,0)),"")</f>
        <v/>
      </c>
      <c r="Y410" s="25" t="str">
        <f>IF(X410="","",IFERROR(INDEX($AN$11:$AN$4010,MATCH(400,$AY$11:$AY$4010,0)),""))</f>
        <v/>
      </c>
      <c r="Z410" s="25" t="str">
        <f>IF(X410="","",IFERROR(INDEX($AO$11:$AO$4010,MATCH(400,$AY$11:$AY$4010,0)),""))</f>
        <v/>
      </c>
      <c r="AA410" s="24" t="str">
        <f>IF(X410="","",IFERROR(INDEX($AQ$11:$AQ$4010,MATCH(400,$AY$11:$AY$4010,0)),""))</f>
        <v/>
      </c>
      <c r="AB410" s="29" t="str">
        <f>IF(X410="","",IFERROR(INDEX($AR$11:$AR$4010,MATCH(400,$AY$11:$AY$4010,0)),""))</f>
        <v/>
      </c>
      <c r="AD410" s="30" t="str">
        <f>IF(AE410="","",IFERROR(INDEX($AL$11:$AL$4010,MATCH(400,$AZ$11:$AZ$4010,0)),""))</f>
        <v/>
      </c>
      <c r="AE410" s="26" t="str">
        <f>IFERROR(INDEX($AM$11:$AM$4010,MATCH(400,$AZ$11:$AZ$4010,0)),"")</f>
        <v/>
      </c>
      <c r="AF410" s="25" t="str">
        <f>IF(AE410="","",IFERROR(INDEX($AN$11:$AN$4010,MATCH(400,$AZ$11:$AZ$4010,0)),""))</f>
        <v/>
      </c>
      <c r="AG410" s="25" t="str">
        <f>IF(AE410="","",IFERROR(INDEX($AO$11:$AO$4010,MATCH(400,$AZ$11:$AZ$4010,0)),""))</f>
        <v/>
      </c>
      <c r="AH410" s="24" t="str">
        <f>IF(AE410="","",IFERROR(INDEX($AQ$11:$AQ$4010,MATCH(400,$AZ$11:$AZ$4010,0)),""))</f>
        <v/>
      </c>
      <c r="AI410" s="29" t="str">
        <f>IF(AE410="","",IFERROR(INDEX($AR$11:$AR$4010,MATCH(400,$AZ$11:$AZ$4010,0)),""))</f>
        <v/>
      </c>
      <c r="AJ410" s="29" t="str">
        <f>IF(AE410="","",IFERROR(INDEX($AT$11:$AT$4010,MATCH(400,$AZ$11:$AZ$4010,0)),""))</f>
        <v/>
      </c>
      <c r="AL410" s="31" t="str">
        <f t="shared" si="83"/>
        <v/>
      </c>
      <c r="AM410" s="26" t="str">
        <f t="shared" si="84"/>
        <v/>
      </c>
      <c r="AN410" s="32" t="str">
        <f t="shared" si="85"/>
        <v/>
      </c>
      <c r="AO410" s="32" t="str">
        <f t="shared" si="86"/>
        <v/>
      </c>
      <c r="AP410" s="24" t="str">
        <f t="shared" si="87"/>
        <v/>
      </c>
      <c r="AQ410" s="24" t="str">
        <f t="shared" si="88"/>
        <v/>
      </c>
      <c r="AR410" s="33" t="str">
        <f t="shared" si="89"/>
        <v/>
      </c>
      <c r="AS410" s="34"/>
      <c r="AT410" s="33"/>
      <c r="AV410" s="21">
        <f>IF(AND($AL410&lt;&gt;"",COUNTIF($AL$11:$AL410,$AL410)=1),1,0)</f>
        <v>0</v>
      </c>
      <c r="AW410" s="21">
        <f t="shared" si="91"/>
        <v>2</v>
      </c>
      <c r="AX410" s="21" t="str">
        <f t="shared" si="90"/>
        <v/>
      </c>
      <c r="AY410" s="21" t="str">
        <f>IF(AND($AM410&lt;&gt;"",$AS410&lt;&gt;"✓"),SUMPRODUCT(($AM$11:$AM410&lt;&gt;"")*($AS$11:$AS410&lt;&gt;"✓")),"")</f>
        <v/>
      </c>
      <c r="AZ410" s="21" t="str">
        <f>IF(AND($AM410&lt;&gt;"",$AS410="✓"),SUMPRODUCT(($AM$11:$AM410&lt;&gt;"")*($AS$11:$AS410="✓")),"")</f>
        <v/>
      </c>
      <c r="BA410" s="21" t="str">
        <f>IF($AL410="","",$AL410&amp;"|"&amp;COUNTIF($AL$11:$AL410,$AL410))</f>
        <v/>
      </c>
    </row>
    <row r="411" spans="2:53" ht="15" customHeight="1" x14ac:dyDescent="0.25">
      <c r="B411" s="5" t="str">
        <f t="shared" si="82"/>
        <v/>
      </c>
      <c r="C411" s="5"/>
      <c r="D411" s="5"/>
      <c r="E411" s="5"/>
      <c r="F411" s="6"/>
      <c r="G411" s="6"/>
      <c r="H411" s="7"/>
      <c r="I411" s="8"/>
      <c r="W411" s="14" t="str">
        <f>IF(X411="","",IFERROR(INDEX($AL$11:$AL$4010,MATCH(401,$AY$11:$AY$4010,0)),""))</f>
        <v/>
      </c>
      <c r="X411" s="12" t="str">
        <f>IFERROR(INDEX($AM$11:$AM$4010,MATCH(401,$AY$11:$AY$4010,0)),"")</f>
        <v/>
      </c>
      <c r="Y411" s="11" t="str">
        <f>IF(X411="","",IFERROR(INDEX($AN$11:$AN$4010,MATCH(401,$AY$11:$AY$4010,0)),""))</f>
        <v/>
      </c>
      <c r="Z411" s="11" t="str">
        <f>IF(X411="","",IFERROR(INDEX($AO$11:$AO$4010,MATCH(401,$AY$11:$AY$4010,0)),""))</f>
        <v/>
      </c>
      <c r="AA411" s="10" t="str">
        <f>IF(X411="","",IFERROR(INDEX($AQ$11:$AQ$4010,MATCH(401,$AY$11:$AY$4010,0)),""))</f>
        <v/>
      </c>
      <c r="AB411" s="15" t="str">
        <f>IF(X411="","",IFERROR(INDEX($AR$11:$AR$4010,MATCH(401,$AY$11:$AY$4010,0)),""))</f>
        <v/>
      </c>
      <c r="AD411" s="16" t="str">
        <f>IF(AE411="","",IFERROR(INDEX($AL$11:$AL$4010,MATCH(401,$AZ$11:$AZ$4010,0)),""))</f>
        <v/>
      </c>
      <c r="AE411" s="12" t="str">
        <f>IFERROR(INDEX($AM$11:$AM$4010,MATCH(401,$AZ$11:$AZ$4010,0)),"")</f>
        <v/>
      </c>
      <c r="AF411" s="11" t="str">
        <f>IF(AE411="","",IFERROR(INDEX($AN$11:$AN$4010,MATCH(401,$AZ$11:$AZ$4010,0)),""))</f>
        <v/>
      </c>
      <c r="AG411" s="11" t="str">
        <f>IF(AE411="","",IFERROR(INDEX($AO$11:$AO$4010,MATCH(401,$AZ$11:$AZ$4010,0)),""))</f>
        <v/>
      </c>
      <c r="AH411" s="10" t="str">
        <f>IF(AE411="","",IFERROR(INDEX($AQ$11:$AQ$4010,MATCH(401,$AZ$11:$AZ$4010,0)),""))</f>
        <v/>
      </c>
      <c r="AI411" s="15" t="str">
        <f>IF(AE411="","",IFERROR(INDEX($AR$11:$AR$4010,MATCH(401,$AZ$11:$AZ$4010,0)),""))</f>
        <v/>
      </c>
      <c r="AJ411" s="15" t="str">
        <f>IF(AE411="","",IFERROR(INDEX($AT$11:$AT$4010,MATCH(401,$AZ$11:$AZ$4010,0)),""))</f>
        <v/>
      </c>
      <c r="AL411" s="17" t="str">
        <f t="shared" si="83"/>
        <v/>
      </c>
      <c r="AM411" s="12" t="str">
        <f t="shared" si="84"/>
        <v/>
      </c>
      <c r="AN411" s="18" t="str">
        <f t="shared" si="85"/>
        <v/>
      </c>
      <c r="AO411" s="18" t="str">
        <f t="shared" si="86"/>
        <v/>
      </c>
      <c r="AP411" s="10" t="str">
        <f t="shared" si="87"/>
        <v/>
      </c>
      <c r="AQ411" s="10" t="str">
        <f t="shared" si="88"/>
        <v/>
      </c>
      <c r="AR411" s="19" t="str">
        <f t="shared" si="89"/>
        <v/>
      </c>
      <c r="AS411" s="20"/>
      <c r="AT411" s="19"/>
      <c r="AV411" s="21">
        <f>IF(AND($AL411&lt;&gt;"",COUNTIF($AL$11:$AL411,$AL411)=1),1,0)</f>
        <v>0</v>
      </c>
      <c r="AW411" s="21">
        <f t="shared" si="91"/>
        <v>2</v>
      </c>
      <c r="AX411" s="21" t="str">
        <f t="shared" si="90"/>
        <v/>
      </c>
      <c r="AY411" s="21" t="str">
        <f>IF(AND($AM411&lt;&gt;"",$AS411&lt;&gt;"✓"),SUMPRODUCT(($AM$11:$AM411&lt;&gt;"")*($AS$11:$AS411&lt;&gt;"✓")),"")</f>
        <v/>
      </c>
      <c r="AZ411" s="21" t="str">
        <f>IF(AND($AM411&lt;&gt;"",$AS411="✓"),SUMPRODUCT(($AM$11:$AM411&lt;&gt;"")*($AS$11:$AS411="✓")),"")</f>
        <v/>
      </c>
      <c r="BA411" s="21" t="str">
        <f>IF($AL411="","",$AL411&amp;"|"&amp;COUNTIF($AL$11:$AL411,$AL411))</f>
        <v/>
      </c>
    </row>
    <row r="412" spans="2:53" ht="15" customHeight="1" x14ac:dyDescent="0.25">
      <c r="B412" s="5" t="str">
        <f t="shared" si="82"/>
        <v/>
      </c>
      <c r="C412" s="5"/>
      <c r="D412" s="5"/>
      <c r="E412" s="5"/>
      <c r="F412" s="6"/>
      <c r="G412" s="6"/>
      <c r="H412" s="7"/>
      <c r="I412" s="8"/>
      <c r="W412" s="28" t="str">
        <f>IF(X412="","",IFERROR(INDEX($AL$11:$AL$4010,MATCH(402,$AY$11:$AY$4010,0)),""))</f>
        <v/>
      </c>
      <c r="X412" s="26" t="str">
        <f>IFERROR(INDEX($AM$11:$AM$4010,MATCH(402,$AY$11:$AY$4010,0)),"")</f>
        <v/>
      </c>
      <c r="Y412" s="25" t="str">
        <f>IF(X412="","",IFERROR(INDEX($AN$11:$AN$4010,MATCH(402,$AY$11:$AY$4010,0)),""))</f>
        <v/>
      </c>
      <c r="Z412" s="25" t="str">
        <f>IF(X412="","",IFERROR(INDEX($AO$11:$AO$4010,MATCH(402,$AY$11:$AY$4010,0)),""))</f>
        <v/>
      </c>
      <c r="AA412" s="24" t="str">
        <f>IF(X412="","",IFERROR(INDEX($AQ$11:$AQ$4010,MATCH(402,$AY$11:$AY$4010,0)),""))</f>
        <v/>
      </c>
      <c r="AB412" s="29" t="str">
        <f>IF(X412="","",IFERROR(INDEX($AR$11:$AR$4010,MATCH(402,$AY$11:$AY$4010,0)),""))</f>
        <v/>
      </c>
      <c r="AD412" s="30" t="str">
        <f>IF(AE412="","",IFERROR(INDEX($AL$11:$AL$4010,MATCH(402,$AZ$11:$AZ$4010,0)),""))</f>
        <v/>
      </c>
      <c r="AE412" s="26" t="str">
        <f>IFERROR(INDEX($AM$11:$AM$4010,MATCH(402,$AZ$11:$AZ$4010,0)),"")</f>
        <v/>
      </c>
      <c r="AF412" s="25" t="str">
        <f>IF(AE412="","",IFERROR(INDEX($AN$11:$AN$4010,MATCH(402,$AZ$11:$AZ$4010,0)),""))</f>
        <v/>
      </c>
      <c r="AG412" s="25" t="str">
        <f>IF(AE412="","",IFERROR(INDEX($AO$11:$AO$4010,MATCH(402,$AZ$11:$AZ$4010,0)),""))</f>
        <v/>
      </c>
      <c r="AH412" s="24" t="str">
        <f>IF(AE412="","",IFERROR(INDEX($AQ$11:$AQ$4010,MATCH(402,$AZ$11:$AZ$4010,0)),""))</f>
        <v/>
      </c>
      <c r="AI412" s="29" t="str">
        <f>IF(AE412="","",IFERROR(INDEX($AR$11:$AR$4010,MATCH(402,$AZ$11:$AZ$4010,0)),""))</f>
        <v/>
      </c>
      <c r="AJ412" s="29" t="str">
        <f>IF(AE412="","",IFERROR(INDEX($AT$11:$AT$4010,MATCH(402,$AZ$11:$AZ$4010,0)),""))</f>
        <v/>
      </c>
      <c r="AL412" s="31" t="str">
        <f t="shared" si="83"/>
        <v/>
      </c>
      <c r="AM412" s="26" t="str">
        <f t="shared" si="84"/>
        <v/>
      </c>
      <c r="AN412" s="32" t="str">
        <f t="shared" si="85"/>
        <v/>
      </c>
      <c r="AO412" s="32" t="str">
        <f t="shared" si="86"/>
        <v/>
      </c>
      <c r="AP412" s="24" t="str">
        <f t="shared" si="87"/>
        <v/>
      </c>
      <c r="AQ412" s="24" t="str">
        <f t="shared" si="88"/>
        <v/>
      </c>
      <c r="AR412" s="33" t="str">
        <f t="shared" si="89"/>
        <v/>
      </c>
      <c r="AS412" s="34"/>
      <c r="AT412" s="33"/>
      <c r="AV412" s="21">
        <f>IF(AND($AL412&lt;&gt;"",COUNTIF($AL$11:$AL412,$AL412)=1),1,0)</f>
        <v>0</v>
      </c>
      <c r="AW412" s="21">
        <f t="shared" si="91"/>
        <v>2</v>
      </c>
      <c r="AX412" s="21" t="str">
        <f t="shared" si="90"/>
        <v/>
      </c>
      <c r="AY412" s="21" t="str">
        <f>IF(AND($AM412&lt;&gt;"",$AS412&lt;&gt;"✓"),SUMPRODUCT(($AM$11:$AM412&lt;&gt;"")*($AS$11:$AS412&lt;&gt;"✓")),"")</f>
        <v/>
      </c>
      <c r="AZ412" s="21" t="str">
        <f>IF(AND($AM412&lt;&gt;"",$AS412="✓"),SUMPRODUCT(($AM$11:$AM412&lt;&gt;"")*($AS$11:$AS412="✓")),"")</f>
        <v/>
      </c>
      <c r="BA412" s="21" t="str">
        <f>IF($AL412="","",$AL412&amp;"|"&amp;COUNTIF($AL$11:$AL412,$AL412))</f>
        <v/>
      </c>
    </row>
    <row r="413" spans="2:53" ht="15" customHeight="1" x14ac:dyDescent="0.25">
      <c r="B413" s="5" t="str">
        <f t="shared" si="82"/>
        <v/>
      </c>
      <c r="C413" s="5"/>
      <c r="D413" s="5"/>
      <c r="E413" s="5"/>
      <c r="F413" s="6"/>
      <c r="G413" s="6"/>
      <c r="H413" s="7"/>
      <c r="I413" s="8"/>
      <c r="W413" s="14" t="str">
        <f>IF(X413="","",IFERROR(INDEX($AL$11:$AL$4010,MATCH(403,$AY$11:$AY$4010,0)),""))</f>
        <v/>
      </c>
      <c r="X413" s="12" t="str">
        <f>IFERROR(INDEX($AM$11:$AM$4010,MATCH(403,$AY$11:$AY$4010,0)),"")</f>
        <v/>
      </c>
      <c r="Y413" s="11" t="str">
        <f>IF(X413="","",IFERROR(INDEX($AN$11:$AN$4010,MATCH(403,$AY$11:$AY$4010,0)),""))</f>
        <v/>
      </c>
      <c r="Z413" s="11" t="str">
        <f>IF(X413="","",IFERROR(INDEX($AO$11:$AO$4010,MATCH(403,$AY$11:$AY$4010,0)),""))</f>
        <v/>
      </c>
      <c r="AA413" s="10" t="str">
        <f>IF(X413="","",IFERROR(INDEX($AQ$11:$AQ$4010,MATCH(403,$AY$11:$AY$4010,0)),""))</f>
        <v/>
      </c>
      <c r="AB413" s="15" t="str">
        <f>IF(X413="","",IFERROR(INDEX($AR$11:$AR$4010,MATCH(403,$AY$11:$AY$4010,0)),""))</f>
        <v/>
      </c>
      <c r="AD413" s="16" t="str">
        <f>IF(AE413="","",IFERROR(INDEX($AL$11:$AL$4010,MATCH(403,$AZ$11:$AZ$4010,0)),""))</f>
        <v/>
      </c>
      <c r="AE413" s="12" t="str">
        <f>IFERROR(INDEX($AM$11:$AM$4010,MATCH(403,$AZ$11:$AZ$4010,0)),"")</f>
        <v/>
      </c>
      <c r="AF413" s="11" t="str">
        <f>IF(AE413="","",IFERROR(INDEX($AN$11:$AN$4010,MATCH(403,$AZ$11:$AZ$4010,0)),""))</f>
        <v/>
      </c>
      <c r="AG413" s="11" t="str">
        <f>IF(AE413="","",IFERROR(INDEX($AO$11:$AO$4010,MATCH(403,$AZ$11:$AZ$4010,0)),""))</f>
        <v/>
      </c>
      <c r="AH413" s="10" t="str">
        <f>IF(AE413="","",IFERROR(INDEX($AQ$11:$AQ$4010,MATCH(403,$AZ$11:$AZ$4010,0)),""))</f>
        <v/>
      </c>
      <c r="AI413" s="15" t="str">
        <f>IF(AE413="","",IFERROR(INDEX($AR$11:$AR$4010,MATCH(403,$AZ$11:$AZ$4010,0)),""))</f>
        <v/>
      </c>
      <c r="AJ413" s="15" t="str">
        <f>IF(AE413="","",IFERROR(INDEX($AT$11:$AT$4010,MATCH(403,$AZ$11:$AZ$4010,0)),""))</f>
        <v/>
      </c>
      <c r="AL413" s="17" t="str">
        <f t="shared" si="83"/>
        <v/>
      </c>
      <c r="AM413" s="12" t="str">
        <f t="shared" si="84"/>
        <v/>
      </c>
      <c r="AN413" s="18" t="str">
        <f t="shared" si="85"/>
        <v/>
      </c>
      <c r="AO413" s="18" t="str">
        <f t="shared" si="86"/>
        <v/>
      </c>
      <c r="AP413" s="10" t="str">
        <f t="shared" si="87"/>
        <v/>
      </c>
      <c r="AQ413" s="10" t="str">
        <f t="shared" si="88"/>
        <v/>
      </c>
      <c r="AR413" s="19" t="str">
        <f t="shared" si="89"/>
        <v/>
      </c>
      <c r="AS413" s="20"/>
      <c r="AT413" s="19"/>
      <c r="AV413" s="21">
        <f>IF(AND($AL413&lt;&gt;"",COUNTIF($AL$11:$AL413,$AL413)=1),1,0)</f>
        <v>0</v>
      </c>
      <c r="AW413" s="21">
        <f t="shared" si="91"/>
        <v>2</v>
      </c>
      <c r="AX413" s="21" t="str">
        <f t="shared" si="90"/>
        <v/>
      </c>
      <c r="AY413" s="21" t="str">
        <f>IF(AND($AM413&lt;&gt;"",$AS413&lt;&gt;"✓"),SUMPRODUCT(($AM$11:$AM413&lt;&gt;"")*($AS$11:$AS413&lt;&gt;"✓")),"")</f>
        <v/>
      </c>
      <c r="AZ413" s="21" t="str">
        <f>IF(AND($AM413&lt;&gt;"",$AS413="✓"),SUMPRODUCT(($AM$11:$AM413&lt;&gt;"")*($AS$11:$AS413="✓")),"")</f>
        <v/>
      </c>
      <c r="BA413" s="21" t="str">
        <f>IF($AL413="","",$AL413&amp;"|"&amp;COUNTIF($AL$11:$AL413,$AL413))</f>
        <v/>
      </c>
    </row>
    <row r="414" spans="2:53" ht="15" customHeight="1" x14ac:dyDescent="0.25">
      <c r="B414" s="5" t="str">
        <f t="shared" si="82"/>
        <v/>
      </c>
      <c r="C414" s="5"/>
      <c r="D414" s="5"/>
      <c r="E414" s="5"/>
      <c r="F414" s="6"/>
      <c r="G414" s="6"/>
      <c r="H414" s="7"/>
      <c r="I414" s="8"/>
      <c r="W414" s="28" t="str">
        <f>IF(X414="","",IFERROR(INDEX($AL$11:$AL$4010,MATCH(404,$AY$11:$AY$4010,0)),""))</f>
        <v/>
      </c>
      <c r="X414" s="26" t="str">
        <f>IFERROR(INDEX($AM$11:$AM$4010,MATCH(404,$AY$11:$AY$4010,0)),"")</f>
        <v/>
      </c>
      <c r="Y414" s="25" t="str">
        <f>IF(X414="","",IFERROR(INDEX($AN$11:$AN$4010,MATCH(404,$AY$11:$AY$4010,0)),""))</f>
        <v/>
      </c>
      <c r="Z414" s="25" t="str">
        <f>IF(X414="","",IFERROR(INDEX($AO$11:$AO$4010,MATCH(404,$AY$11:$AY$4010,0)),""))</f>
        <v/>
      </c>
      <c r="AA414" s="24" t="str">
        <f>IF(X414="","",IFERROR(INDEX($AQ$11:$AQ$4010,MATCH(404,$AY$11:$AY$4010,0)),""))</f>
        <v/>
      </c>
      <c r="AB414" s="29" t="str">
        <f>IF(X414="","",IFERROR(INDEX($AR$11:$AR$4010,MATCH(404,$AY$11:$AY$4010,0)),""))</f>
        <v/>
      </c>
      <c r="AD414" s="30" t="str">
        <f>IF(AE414="","",IFERROR(INDEX($AL$11:$AL$4010,MATCH(404,$AZ$11:$AZ$4010,0)),""))</f>
        <v/>
      </c>
      <c r="AE414" s="26" t="str">
        <f>IFERROR(INDEX($AM$11:$AM$4010,MATCH(404,$AZ$11:$AZ$4010,0)),"")</f>
        <v/>
      </c>
      <c r="AF414" s="25" t="str">
        <f>IF(AE414="","",IFERROR(INDEX($AN$11:$AN$4010,MATCH(404,$AZ$11:$AZ$4010,0)),""))</f>
        <v/>
      </c>
      <c r="AG414" s="25" t="str">
        <f>IF(AE414="","",IFERROR(INDEX($AO$11:$AO$4010,MATCH(404,$AZ$11:$AZ$4010,0)),""))</f>
        <v/>
      </c>
      <c r="AH414" s="24" t="str">
        <f>IF(AE414="","",IFERROR(INDEX($AQ$11:$AQ$4010,MATCH(404,$AZ$11:$AZ$4010,0)),""))</f>
        <v/>
      </c>
      <c r="AI414" s="29" t="str">
        <f>IF(AE414="","",IFERROR(INDEX($AR$11:$AR$4010,MATCH(404,$AZ$11:$AZ$4010,0)),""))</f>
        <v/>
      </c>
      <c r="AJ414" s="29" t="str">
        <f>IF(AE414="","",IFERROR(INDEX($AT$11:$AT$4010,MATCH(404,$AZ$11:$AZ$4010,0)),""))</f>
        <v/>
      </c>
      <c r="AL414" s="31" t="str">
        <f t="shared" si="83"/>
        <v/>
      </c>
      <c r="AM414" s="26" t="str">
        <f t="shared" si="84"/>
        <v/>
      </c>
      <c r="AN414" s="32" t="str">
        <f t="shared" si="85"/>
        <v/>
      </c>
      <c r="AO414" s="32" t="str">
        <f t="shared" si="86"/>
        <v/>
      </c>
      <c r="AP414" s="24" t="str">
        <f t="shared" si="87"/>
        <v/>
      </c>
      <c r="AQ414" s="24" t="str">
        <f t="shared" si="88"/>
        <v/>
      </c>
      <c r="AR414" s="33" t="str">
        <f t="shared" si="89"/>
        <v/>
      </c>
      <c r="AS414" s="34"/>
      <c r="AT414" s="33"/>
      <c r="AV414" s="21">
        <f>IF(AND($AL414&lt;&gt;"",COUNTIF($AL$11:$AL414,$AL414)=1),1,0)</f>
        <v>0</v>
      </c>
      <c r="AW414" s="21">
        <f t="shared" si="91"/>
        <v>2</v>
      </c>
      <c r="AX414" s="21" t="str">
        <f t="shared" si="90"/>
        <v/>
      </c>
      <c r="AY414" s="21" t="str">
        <f>IF(AND($AM414&lt;&gt;"",$AS414&lt;&gt;"✓"),SUMPRODUCT(($AM$11:$AM414&lt;&gt;"")*($AS$11:$AS414&lt;&gt;"✓")),"")</f>
        <v/>
      </c>
      <c r="AZ414" s="21" t="str">
        <f>IF(AND($AM414&lt;&gt;"",$AS414="✓"),SUMPRODUCT(($AM$11:$AM414&lt;&gt;"")*($AS$11:$AS414="✓")),"")</f>
        <v/>
      </c>
      <c r="BA414" s="21" t="str">
        <f>IF($AL414="","",$AL414&amp;"|"&amp;COUNTIF($AL$11:$AL414,$AL414))</f>
        <v/>
      </c>
    </row>
    <row r="415" spans="2:53" ht="15" customHeight="1" x14ac:dyDescent="0.25">
      <c r="B415" s="5" t="str">
        <f t="shared" si="82"/>
        <v/>
      </c>
      <c r="C415" s="5"/>
      <c r="D415" s="5"/>
      <c r="E415" s="5"/>
      <c r="F415" s="6"/>
      <c r="G415" s="6"/>
      <c r="H415" s="7"/>
      <c r="I415" s="8"/>
      <c r="W415" s="14" t="str">
        <f>IF(X415="","",IFERROR(INDEX($AL$11:$AL$4010,MATCH(405,$AY$11:$AY$4010,0)),""))</f>
        <v/>
      </c>
      <c r="X415" s="12" t="str">
        <f>IFERROR(INDEX($AM$11:$AM$4010,MATCH(405,$AY$11:$AY$4010,0)),"")</f>
        <v/>
      </c>
      <c r="Y415" s="11" t="str">
        <f>IF(X415="","",IFERROR(INDEX($AN$11:$AN$4010,MATCH(405,$AY$11:$AY$4010,0)),""))</f>
        <v/>
      </c>
      <c r="Z415" s="11" t="str">
        <f>IF(X415="","",IFERROR(INDEX($AO$11:$AO$4010,MATCH(405,$AY$11:$AY$4010,0)),""))</f>
        <v/>
      </c>
      <c r="AA415" s="10" t="str">
        <f>IF(X415="","",IFERROR(INDEX($AQ$11:$AQ$4010,MATCH(405,$AY$11:$AY$4010,0)),""))</f>
        <v/>
      </c>
      <c r="AB415" s="15" t="str">
        <f>IF(X415="","",IFERROR(INDEX($AR$11:$AR$4010,MATCH(405,$AY$11:$AY$4010,0)),""))</f>
        <v/>
      </c>
      <c r="AD415" s="16" t="str">
        <f>IF(AE415="","",IFERROR(INDEX($AL$11:$AL$4010,MATCH(405,$AZ$11:$AZ$4010,0)),""))</f>
        <v/>
      </c>
      <c r="AE415" s="12" t="str">
        <f>IFERROR(INDEX($AM$11:$AM$4010,MATCH(405,$AZ$11:$AZ$4010,0)),"")</f>
        <v/>
      </c>
      <c r="AF415" s="11" t="str">
        <f>IF(AE415="","",IFERROR(INDEX($AN$11:$AN$4010,MATCH(405,$AZ$11:$AZ$4010,0)),""))</f>
        <v/>
      </c>
      <c r="AG415" s="11" t="str">
        <f>IF(AE415="","",IFERROR(INDEX($AO$11:$AO$4010,MATCH(405,$AZ$11:$AZ$4010,0)),""))</f>
        <v/>
      </c>
      <c r="AH415" s="10" t="str">
        <f>IF(AE415="","",IFERROR(INDEX($AQ$11:$AQ$4010,MATCH(405,$AZ$11:$AZ$4010,0)),""))</f>
        <v/>
      </c>
      <c r="AI415" s="15" t="str">
        <f>IF(AE415="","",IFERROR(INDEX($AR$11:$AR$4010,MATCH(405,$AZ$11:$AZ$4010,0)),""))</f>
        <v/>
      </c>
      <c r="AJ415" s="15" t="str">
        <f>IF(AE415="","",IFERROR(INDEX($AT$11:$AT$4010,MATCH(405,$AZ$11:$AZ$4010,0)),""))</f>
        <v/>
      </c>
      <c r="AL415" s="17" t="str">
        <f t="shared" si="83"/>
        <v/>
      </c>
      <c r="AM415" s="12" t="str">
        <f t="shared" si="84"/>
        <v/>
      </c>
      <c r="AN415" s="18" t="str">
        <f t="shared" si="85"/>
        <v/>
      </c>
      <c r="AO415" s="18" t="str">
        <f t="shared" si="86"/>
        <v/>
      </c>
      <c r="AP415" s="10" t="str">
        <f t="shared" si="87"/>
        <v/>
      </c>
      <c r="AQ415" s="10" t="str">
        <f t="shared" si="88"/>
        <v/>
      </c>
      <c r="AR415" s="19" t="str">
        <f t="shared" si="89"/>
        <v/>
      </c>
      <c r="AS415" s="20"/>
      <c r="AT415" s="19"/>
      <c r="AV415" s="21">
        <f>IF(AND($AL415&lt;&gt;"",COUNTIF($AL$11:$AL415,$AL415)=1),1,0)</f>
        <v>0</v>
      </c>
      <c r="AW415" s="21">
        <f t="shared" si="91"/>
        <v>2</v>
      </c>
      <c r="AX415" s="21" t="str">
        <f t="shared" si="90"/>
        <v/>
      </c>
      <c r="AY415" s="21" t="str">
        <f>IF(AND($AM415&lt;&gt;"",$AS415&lt;&gt;"✓"),SUMPRODUCT(($AM$11:$AM415&lt;&gt;"")*($AS$11:$AS415&lt;&gt;"✓")),"")</f>
        <v/>
      </c>
      <c r="AZ415" s="21" t="str">
        <f>IF(AND($AM415&lt;&gt;"",$AS415="✓"),SUMPRODUCT(($AM$11:$AM415&lt;&gt;"")*($AS$11:$AS415="✓")),"")</f>
        <v/>
      </c>
      <c r="BA415" s="21" t="str">
        <f>IF($AL415="","",$AL415&amp;"|"&amp;COUNTIF($AL$11:$AL415,$AL415))</f>
        <v/>
      </c>
    </row>
    <row r="416" spans="2:53" ht="15" customHeight="1" x14ac:dyDescent="0.25">
      <c r="B416" s="5" t="str">
        <f t="shared" si="82"/>
        <v/>
      </c>
      <c r="C416" s="5"/>
      <c r="D416" s="5"/>
      <c r="E416" s="5"/>
      <c r="F416" s="6"/>
      <c r="G416" s="6"/>
      <c r="H416" s="7"/>
      <c r="I416" s="8"/>
      <c r="W416" s="28" t="str">
        <f>IF(X416="","",IFERROR(INDEX($AL$11:$AL$4010,MATCH(406,$AY$11:$AY$4010,0)),""))</f>
        <v/>
      </c>
      <c r="X416" s="26" t="str">
        <f>IFERROR(INDEX($AM$11:$AM$4010,MATCH(406,$AY$11:$AY$4010,0)),"")</f>
        <v/>
      </c>
      <c r="Y416" s="25" t="str">
        <f>IF(X416="","",IFERROR(INDEX($AN$11:$AN$4010,MATCH(406,$AY$11:$AY$4010,0)),""))</f>
        <v/>
      </c>
      <c r="Z416" s="25" t="str">
        <f>IF(X416="","",IFERROR(INDEX($AO$11:$AO$4010,MATCH(406,$AY$11:$AY$4010,0)),""))</f>
        <v/>
      </c>
      <c r="AA416" s="24" t="str">
        <f>IF(X416="","",IFERROR(INDEX($AQ$11:$AQ$4010,MATCH(406,$AY$11:$AY$4010,0)),""))</f>
        <v/>
      </c>
      <c r="AB416" s="29" t="str">
        <f>IF(X416="","",IFERROR(INDEX($AR$11:$AR$4010,MATCH(406,$AY$11:$AY$4010,0)),""))</f>
        <v/>
      </c>
      <c r="AD416" s="30" t="str">
        <f>IF(AE416="","",IFERROR(INDEX($AL$11:$AL$4010,MATCH(406,$AZ$11:$AZ$4010,0)),""))</f>
        <v/>
      </c>
      <c r="AE416" s="26" t="str">
        <f>IFERROR(INDEX($AM$11:$AM$4010,MATCH(406,$AZ$11:$AZ$4010,0)),"")</f>
        <v/>
      </c>
      <c r="AF416" s="25" t="str">
        <f>IF(AE416="","",IFERROR(INDEX($AN$11:$AN$4010,MATCH(406,$AZ$11:$AZ$4010,0)),""))</f>
        <v/>
      </c>
      <c r="AG416" s="25" t="str">
        <f>IF(AE416="","",IFERROR(INDEX($AO$11:$AO$4010,MATCH(406,$AZ$11:$AZ$4010,0)),""))</f>
        <v/>
      </c>
      <c r="AH416" s="24" t="str">
        <f>IF(AE416="","",IFERROR(INDEX($AQ$11:$AQ$4010,MATCH(406,$AZ$11:$AZ$4010,0)),""))</f>
        <v/>
      </c>
      <c r="AI416" s="29" t="str">
        <f>IF(AE416="","",IFERROR(INDEX($AR$11:$AR$4010,MATCH(406,$AZ$11:$AZ$4010,0)),""))</f>
        <v/>
      </c>
      <c r="AJ416" s="29" t="str">
        <f>IF(AE416="","",IFERROR(INDEX($AT$11:$AT$4010,MATCH(406,$AZ$11:$AZ$4010,0)),""))</f>
        <v/>
      </c>
      <c r="AL416" s="31" t="str">
        <f t="shared" si="83"/>
        <v/>
      </c>
      <c r="AM416" s="26" t="str">
        <f t="shared" si="84"/>
        <v/>
      </c>
      <c r="AN416" s="32" t="str">
        <f t="shared" si="85"/>
        <v/>
      </c>
      <c r="AO416" s="32" t="str">
        <f t="shared" si="86"/>
        <v/>
      </c>
      <c r="AP416" s="24" t="str">
        <f t="shared" si="87"/>
        <v/>
      </c>
      <c r="AQ416" s="24" t="str">
        <f t="shared" si="88"/>
        <v/>
      </c>
      <c r="AR416" s="33" t="str">
        <f t="shared" si="89"/>
        <v/>
      </c>
      <c r="AS416" s="34"/>
      <c r="AT416" s="33"/>
      <c r="AV416" s="21">
        <f>IF(AND($AL416&lt;&gt;"",COUNTIF($AL$11:$AL416,$AL416)=1),1,0)</f>
        <v>0</v>
      </c>
      <c r="AW416" s="21">
        <f t="shared" si="91"/>
        <v>2</v>
      </c>
      <c r="AX416" s="21" t="str">
        <f t="shared" si="90"/>
        <v/>
      </c>
      <c r="AY416" s="21" t="str">
        <f>IF(AND($AM416&lt;&gt;"",$AS416&lt;&gt;"✓"),SUMPRODUCT(($AM$11:$AM416&lt;&gt;"")*($AS$11:$AS416&lt;&gt;"✓")),"")</f>
        <v/>
      </c>
      <c r="AZ416" s="21" t="str">
        <f>IF(AND($AM416&lt;&gt;"",$AS416="✓"),SUMPRODUCT(($AM$11:$AM416&lt;&gt;"")*($AS$11:$AS416="✓")),"")</f>
        <v/>
      </c>
      <c r="BA416" s="21" t="str">
        <f>IF($AL416="","",$AL416&amp;"|"&amp;COUNTIF($AL$11:$AL416,$AL416))</f>
        <v/>
      </c>
    </row>
    <row r="417" spans="2:53" ht="15" customHeight="1" x14ac:dyDescent="0.25">
      <c r="B417" s="5" t="str">
        <f t="shared" si="82"/>
        <v/>
      </c>
      <c r="C417" s="5"/>
      <c r="D417" s="5"/>
      <c r="E417" s="5"/>
      <c r="F417" s="6"/>
      <c r="G417" s="6"/>
      <c r="H417" s="7"/>
      <c r="I417" s="8"/>
      <c r="W417" s="14" t="str">
        <f>IF(X417="","",IFERROR(INDEX($AL$11:$AL$4010,MATCH(407,$AY$11:$AY$4010,0)),""))</f>
        <v/>
      </c>
      <c r="X417" s="12" t="str">
        <f>IFERROR(INDEX($AM$11:$AM$4010,MATCH(407,$AY$11:$AY$4010,0)),"")</f>
        <v/>
      </c>
      <c r="Y417" s="11" t="str">
        <f>IF(X417="","",IFERROR(INDEX($AN$11:$AN$4010,MATCH(407,$AY$11:$AY$4010,0)),""))</f>
        <v/>
      </c>
      <c r="Z417" s="11" t="str">
        <f>IF(X417="","",IFERROR(INDEX($AO$11:$AO$4010,MATCH(407,$AY$11:$AY$4010,0)),""))</f>
        <v/>
      </c>
      <c r="AA417" s="10" t="str">
        <f>IF(X417="","",IFERROR(INDEX($AQ$11:$AQ$4010,MATCH(407,$AY$11:$AY$4010,0)),""))</f>
        <v/>
      </c>
      <c r="AB417" s="15" t="str">
        <f>IF(X417="","",IFERROR(INDEX($AR$11:$AR$4010,MATCH(407,$AY$11:$AY$4010,0)),""))</f>
        <v/>
      </c>
      <c r="AD417" s="16" t="str">
        <f>IF(AE417="","",IFERROR(INDEX($AL$11:$AL$4010,MATCH(407,$AZ$11:$AZ$4010,0)),""))</f>
        <v/>
      </c>
      <c r="AE417" s="12" t="str">
        <f>IFERROR(INDEX($AM$11:$AM$4010,MATCH(407,$AZ$11:$AZ$4010,0)),"")</f>
        <v/>
      </c>
      <c r="AF417" s="11" t="str">
        <f>IF(AE417="","",IFERROR(INDEX($AN$11:$AN$4010,MATCH(407,$AZ$11:$AZ$4010,0)),""))</f>
        <v/>
      </c>
      <c r="AG417" s="11" t="str">
        <f>IF(AE417="","",IFERROR(INDEX($AO$11:$AO$4010,MATCH(407,$AZ$11:$AZ$4010,0)),""))</f>
        <v/>
      </c>
      <c r="AH417" s="10" t="str">
        <f>IF(AE417="","",IFERROR(INDEX($AQ$11:$AQ$4010,MATCH(407,$AZ$11:$AZ$4010,0)),""))</f>
        <v/>
      </c>
      <c r="AI417" s="15" t="str">
        <f>IF(AE417="","",IFERROR(INDEX($AR$11:$AR$4010,MATCH(407,$AZ$11:$AZ$4010,0)),""))</f>
        <v/>
      </c>
      <c r="AJ417" s="15" t="str">
        <f>IF(AE417="","",IFERROR(INDEX($AT$11:$AT$4010,MATCH(407,$AZ$11:$AZ$4010,0)),""))</f>
        <v/>
      </c>
      <c r="AL417" s="17" t="str">
        <f t="shared" si="83"/>
        <v/>
      </c>
      <c r="AM417" s="12" t="str">
        <f t="shared" si="84"/>
        <v/>
      </c>
      <c r="AN417" s="18" t="str">
        <f t="shared" si="85"/>
        <v/>
      </c>
      <c r="AO417" s="18" t="str">
        <f t="shared" si="86"/>
        <v/>
      </c>
      <c r="AP417" s="10" t="str">
        <f t="shared" si="87"/>
        <v/>
      </c>
      <c r="AQ417" s="10" t="str">
        <f t="shared" si="88"/>
        <v/>
      </c>
      <c r="AR417" s="19" t="str">
        <f t="shared" si="89"/>
        <v/>
      </c>
      <c r="AS417" s="20"/>
      <c r="AT417" s="19"/>
      <c r="AV417" s="21">
        <f>IF(AND($AL417&lt;&gt;"",COUNTIF($AL$11:$AL417,$AL417)=1),1,0)</f>
        <v>0</v>
      </c>
      <c r="AW417" s="21">
        <f t="shared" si="91"/>
        <v>2</v>
      </c>
      <c r="AX417" s="21" t="str">
        <f t="shared" si="90"/>
        <v/>
      </c>
      <c r="AY417" s="21" t="str">
        <f>IF(AND($AM417&lt;&gt;"",$AS417&lt;&gt;"✓"),SUMPRODUCT(($AM$11:$AM417&lt;&gt;"")*($AS$11:$AS417&lt;&gt;"✓")),"")</f>
        <v/>
      </c>
      <c r="AZ417" s="21" t="str">
        <f>IF(AND($AM417&lt;&gt;"",$AS417="✓"),SUMPRODUCT(($AM$11:$AM417&lt;&gt;"")*($AS$11:$AS417="✓")),"")</f>
        <v/>
      </c>
      <c r="BA417" s="21" t="str">
        <f>IF($AL417="","",$AL417&amp;"|"&amp;COUNTIF($AL$11:$AL417,$AL417))</f>
        <v/>
      </c>
    </row>
    <row r="418" spans="2:53" ht="15" customHeight="1" x14ac:dyDescent="0.25">
      <c r="B418" s="5" t="str">
        <f t="shared" si="82"/>
        <v/>
      </c>
      <c r="C418" s="5"/>
      <c r="D418" s="5"/>
      <c r="E418" s="5"/>
      <c r="F418" s="6"/>
      <c r="G418" s="6"/>
      <c r="H418" s="7"/>
      <c r="I418" s="8"/>
      <c r="W418" s="28" t="str">
        <f>IF(X418="","",IFERROR(INDEX($AL$11:$AL$4010,MATCH(408,$AY$11:$AY$4010,0)),""))</f>
        <v/>
      </c>
      <c r="X418" s="26" t="str">
        <f>IFERROR(INDEX($AM$11:$AM$4010,MATCH(408,$AY$11:$AY$4010,0)),"")</f>
        <v/>
      </c>
      <c r="Y418" s="25" t="str">
        <f>IF(X418="","",IFERROR(INDEX($AN$11:$AN$4010,MATCH(408,$AY$11:$AY$4010,0)),""))</f>
        <v/>
      </c>
      <c r="Z418" s="25" t="str">
        <f>IF(X418="","",IFERROR(INDEX($AO$11:$AO$4010,MATCH(408,$AY$11:$AY$4010,0)),""))</f>
        <v/>
      </c>
      <c r="AA418" s="24" t="str">
        <f>IF(X418="","",IFERROR(INDEX($AQ$11:$AQ$4010,MATCH(408,$AY$11:$AY$4010,0)),""))</f>
        <v/>
      </c>
      <c r="AB418" s="29" t="str">
        <f>IF(X418="","",IFERROR(INDEX($AR$11:$AR$4010,MATCH(408,$AY$11:$AY$4010,0)),""))</f>
        <v/>
      </c>
      <c r="AD418" s="30" t="str">
        <f>IF(AE418="","",IFERROR(INDEX($AL$11:$AL$4010,MATCH(408,$AZ$11:$AZ$4010,0)),""))</f>
        <v/>
      </c>
      <c r="AE418" s="26" t="str">
        <f>IFERROR(INDEX($AM$11:$AM$4010,MATCH(408,$AZ$11:$AZ$4010,0)),"")</f>
        <v/>
      </c>
      <c r="AF418" s="25" t="str">
        <f>IF(AE418="","",IFERROR(INDEX($AN$11:$AN$4010,MATCH(408,$AZ$11:$AZ$4010,0)),""))</f>
        <v/>
      </c>
      <c r="AG418" s="25" t="str">
        <f>IF(AE418="","",IFERROR(INDEX($AO$11:$AO$4010,MATCH(408,$AZ$11:$AZ$4010,0)),""))</f>
        <v/>
      </c>
      <c r="AH418" s="24" t="str">
        <f>IF(AE418="","",IFERROR(INDEX($AQ$11:$AQ$4010,MATCH(408,$AZ$11:$AZ$4010,0)),""))</f>
        <v/>
      </c>
      <c r="AI418" s="29" t="str">
        <f>IF(AE418="","",IFERROR(INDEX($AR$11:$AR$4010,MATCH(408,$AZ$11:$AZ$4010,0)),""))</f>
        <v/>
      </c>
      <c r="AJ418" s="29" t="str">
        <f>IF(AE418="","",IFERROR(INDEX($AT$11:$AT$4010,MATCH(408,$AZ$11:$AZ$4010,0)),""))</f>
        <v/>
      </c>
      <c r="AL418" s="31" t="str">
        <f t="shared" si="83"/>
        <v/>
      </c>
      <c r="AM418" s="26" t="str">
        <f t="shared" si="84"/>
        <v/>
      </c>
      <c r="AN418" s="32" t="str">
        <f t="shared" si="85"/>
        <v/>
      </c>
      <c r="AO418" s="32" t="str">
        <f t="shared" si="86"/>
        <v/>
      </c>
      <c r="AP418" s="24" t="str">
        <f t="shared" si="87"/>
        <v/>
      </c>
      <c r="AQ418" s="24" t="str">
        <f t="shared" si="88"/>
        <v/>
      </c>
      <c r="AR418" s="33" t="str">
        <f t="shared" si="89"/>
        <v/>
      </c>
      <c r="AS418" s="34"/>
      <c r="AT418" s="33"/>
      <c r="AV418" s="21">
        <f>IF(AND($AL418&lt;&gt;"",COUNTIF($AL$11:$AL418,$AL418)=1),1,0)</f>
        <v>0</v>
      </c>
      <c r="AW418" s="21">
        <f t="shared" si="91"/>
        <v>2</v>
      </c>
      <c r="AX418" s="21" t="str">
        <f t="shared" si="90"/>
        <v/>
      </c>
      <c r="AY418" s="21" t="str">
        <f>IF(AND($AM418&lt;&gt;"",$AS418&lt;&gt;"✓"),SUMPRODUCT(($AM$11:$AM418&lt;&gt;"")*($AS$11:$AS418&lt;&gt;"✓")),"")</f>
        <v/>
      </c>
      <c r="AZ418" s="21" t="str">
        <f>IF(AND($AM418&lt;&gt;"",$AS418="✓"),SUMPRODUCT(($AM$11:$AM418&lt;&gt;"")*($AS$11:$AS418="✓")),"")</f>
        <v/>
      </c>
      <c r="BA418" s="21" t="str">
        <f>IF($AL418="","",$AL418&amp;"|"&amp;COUNTIF($AL$11:$AL418,$AL418))</f>
        <v/>
      </c>
    </row>
    <row r="419" spans="2:53" ht="15" customHeight="1" x14ac:dyDescent="0.25">
      <c r="B419" s="5" t="str">
        <f t="shared" si="82"/>
        <v/>
      </c>
      <c r="C419" s="5"/>
      <c r="D419" s="5"/>
      <c r="E419" s="5"/>
      <c r="F419" s="6"/>
      <c r="G419" s="6"/>
      <c r="H419" s="7"/>
      <c r="I419" s="8"/>
      <c r="W419" s="14" t="str">
        <f>IF(X419="","",IFERROR(INDEX($AL$11:$AL$4010,MATCH(409,$AY$11:$AY$4010,0)),""))</f>
        <v/>
      </c>
      <c r="X419" s="12" t="str">
        <f>IFERROR(INDEX($AM$11:$AM$4010,MATCH(409,$AY$11:$AY$4010,0)),"")</f>
        <v/>
      </c>
      <c r="Y419" s="11" t="str">
        <f>IF(X419="","",IFERROR(INDEX($AN$11:$AN$4010,MATCH(409,$AY$11:$AY$4010,0)),""))</f>
        <v/>
      </c>
      <c r="Z419" s="11" t="str">
        <f>IF(X419="","",IFERROR(INDEX($AO$11:$AO$4010,MATCH(409,$AY$11:$AY$4010,0)),""))</f>
        <v/>
      </c>
      <c r="AA419" s="10" t="str">
        <f>IF(X419="","",IFERROR(INDEX($AQ$11:$AQ$4010,MATCH(409,$AY$11:$AY$4010,0)),""))</f>
        <v/>
      </c>
      <c r="AB419" s="15" t="str">
        <f>IF(X419="","",IFERROR(INDEX($AR$11:$AR$4010,MATCH(409,$AY$11:$AY$4010,0)),""))</f>
        <v/>
      </c>
      <c r="AD419" s="16" t="str">
        <f>IF(AE419="","",IFERROR(INDEX($AL$11:$AL$4010,MATCH(409,$AZ$11:$AZ$4010,0)),""))</f>
        <v/>
      </c>
      <c r="AE419" s="12" t="str">
        <f>IFERROR(INDEX($AM$11:$AM$4010,MATCH(409,$AZ$11:$AZ$4010,0)),"")</f>
        <v/>
      </c>
      <c r="AF419" s="11" t="str">
        <f>IF(AE419="","",IFERROR(INDEX($AN$11:$AN$4010,MATCH(409,$AZ$11:$AZ$4010,0)),""))</f>
        <v/>
      </c>
      <c r="AG419" s="11" t="str">
        <f>IF(AE419="","",IFERROR(INDEX($AO$11:$AO$4010,MATCH(409,$AZ$11:$AZ$4010,0)),""))</f>
        <v/>
      </c>
      <c r="AH419" s="10" t="str">
        <f>IF(AE419="","",IFERROR(INDEX($AQ$11:$AQ$4010,MATCH(409,$AZ$11:$AZ$4010,0)),""))</f>
        <v/>
      </c>
      <c r="AI419" s="15" t="str">
        <f>IF(AE419="","",IFERROR(INDEX($AR$11:$AR$4010,MATCH(409,$AZ$11:$AZ$4010,0)),""))</f>
        <v/>
      </c>
      <c r="AJ419" s="15" t="str">
        <f>IF(AE419="","",IFERROR(INDEX($AT$11:$AT$4010,MATCH(409,$AZ$11:$AZ$4010,0)),""))</f>
        <v/>
      </c>
      <c r="AL419" s="17" t="str">
        <f t="shared" si="83"/>
        <v/>
      </c>
      <c r="AM419" s="12" t="str">
        <f t="shared" si="84"/>
        <v/>
      </c>
      <c r="AN419" s="18" t="str">
        <f t="shared" si="85"/>
        <v/>
      </c>
      <c r="AO419" s="18" t="str">
        <f t="shared" si="86"/>
        <v/>
      </c>
      <c r="AP419" s="10" t="str">
        <f t="shared" si="87"/>
        <v/>
      </c>
      <c r="AQ419" s="10" t="str">
        <f t="shared" si="88"/>
        <v/>
      </c>
      <c r="AR419" s="19" t="str">
        <f t="shared" si="89"/>
        <v/>
      </c>
      <c r="AS419" s="20"/>
      <c r="AT419" s="19"/>
      <c r="AV419" s="21">
        <f>IF(AND($AL419&lt;&gt;"",COUNTIF($AL$11:$AL419,$AL419)=1),1,0)</f>
        <v>0</v>
      </c>
      <c r="AW419" s="21">
        <f t="shared" si="91"/>
        <v>2</v>
      </c>
      <c r="AX419" s="21" t="str">
        <f t="shared" si="90"/>
        <v/>
      </c>
      <c r="AY419" s="21" t="str">
        <f>IF(AND($AM419&lt;&gt;"",$AS419&lt;&gt;"✓"),SUMPRODUCT(($AM$11:$AM419&lt;&gt;"")*($AS$11:$AS419&lt;&gt;"✓")),"")</f>
        <v/>
      </c>
      <c r="AZ419" s="21" t="str">
        <f>IF(AND($AM419&lt;&gt;"",$AS419="✓"),SUMPRODUCT(($AM$11:$AM419&lt;&gt;"")*($AS$11:$AS419="✓")),"")</f>
        <v/>
      </c>
      <c r="BA419" s="21" t="str">
        <f>IF($AL419="","",$AL419&amp;"|"&amp;COUNTIF($AL$11:$AL419,$AL419))</f>
        <v/>
      </c>
    </row>
    <row r="420" spans="2:53" ht="15" customHeight="1" x14ac:dyDescent="0.25">
      <c r="B420" s="5" t="str">
        <f t="shared" si="82"/>
        <v/>
      </c>
      <c r="C420" s="5"/>
      <c r="D420" s="5"/>
      <c r="E420" s="5"/>
      <c r="F420" s="6"/>
      <c r="G420" s="6"/>
      <c r="H420" s="7"/>
      <c r="I420" s="8"/>
      <c r="W420" s="28" t="str">
        <f>IF(X420="","",IFERROR(INDEX($AL$11:$AL$4010,MATCH(410,$AY$11:$AY$4010,0)),""))</f>
        <v/>
      </c>
      <c r="X420" s="26" t="str">
        <f>IFERROR(INDEX($AM$11:$AM$4010,MATCH(410,$AY$11:$AY$4010,0)),"")</f>
        <v/>
      </c>
      <c r="Y420" s="25" t="str">
        <f>IF(X420="","",IFERROR(INDEX($AN$11:$AN$4010,MATCH(410,$AY$11:$AY$4010,0)),""))</f>
        <v/>
      </c>
      <c r="Z420" s="25" t="str">
        <f>IF(X420="","",IFERROR(INDEX($AO$11:$AO$4010,MATCH(410,$AY$11:$AY$4010,0)),""))</f>
        <v/>
      </c>
      <c r="AA420" s="24" t="str">
        <f>IF(X420="","",IFERROR(INDEX($AQ$11:$AQ$4010,MATCH(410,$AY$11:$AY$4010,0)),""))</f>
        <v/>
      </c>
      <c r="AB420" s="29" t="str">
        <f>IF(X420="","",IFERROR(INDEX($AR$11:$AR$4010,MATCH(410,$AY$11:$AY$4010,0)),""))</f>
        <v/>
      </c>
      <c r="AD420" s="30" t="str">
        <f>IF(AE420="","",IFERROR(INDEX($AL$11:$AL$4010,MATCH(410,$AZ$11:$AZ$4010,0)),""))</f>
        <v/>
      </c>
      <c r="AE420" s="26" t="str">
        <f>IFERROR(INDEX($AM$11:$AM$4010,MATCH(410,$AZ$11:$AZ$4010,0)),"")</f>
        <v/>
      </c>
      <c r="AF420" s="25" t="str">
        <f>IF(AE420="","",IFERROR(INDEX($AN$11:$AN$4010,MATCH(410,$AZ$11:$AZ$4010,0)),""))</f>
        <v/>
      </c>
      <c r="AG420" s="25" t="str">
        <f>IF(AE420="","",IFERROR(INDEX($AO$11:$AO$4010,MATCH(410,$AZ$11:$AZ$4010,0)),""))</f>
        <v/>
      </c>
      <c r="AH420" s="24" t="str">
        <f>IF(AE420="","",IFERROR(INDEX($AQ$11:$AQ$4010,MATCH(410,$AZ$11:$AZ$4010,0)),""))</f>
        <v/>
      </c>
      <c r="AI420" s="29" t="str">
        <f>IF(AE420="","",IFERROR(INDEX($AR$11:$AR$4010,MATCH(410,$AZ$11:$AZ$4010,0)),""))</f>
        <v/>
      </c>
      <c r="AJ420" s="29" t="str">
        <f>IF(AE420="","",IFERROR(INDEX($AT$11:$AT$4010,MATCH(410,$AZ$11:$AZ$4010,0)),""))</f>
        <v/>
      </c>
      <c r="AL420" s="31" t="str">
        <f t="shared" si="83"/>
        <v/>
      </c>
      <c r="AM420" s="26" t="str">
        <f t="shared" si="84"/>
        <v/>
      </c>
      <c r="AN420" s="32" t="str">
        <f t="shared" si="85"/>
        <v/>
      </c>
      <c r="AO420" s="32" t="str">
        <f t="shared" si="86"/>
        <v/>
      </c>
      <c r="AP420" s="24" t="str">
        <f t="shared" si="87"/>
        <v/>
      </c>
      <c r="AQ420" s="24" t="str">
        <f t="shared" si="88"/>
        <v/>
      </c>
      <c r="AR420" s="33" t="str">
        <f t="shared" si="89"/>
        <v/>
      </c>
      <c r="AS420" s="34"/>
      <c r="AT420" s="33"/>
      <c r="AV420" s="21">
        <f>IF(AND($AL420&lt;&gt;"",COUNTIF($AL$11:$AL420,$AL420)=1),1,0)</f>
        <v>0</v>
      </c>
      <c r="AW420" s="21">
        <f t="shared" si="91"/>
        <v>2</v>
      </c>
      <c r="AX420" s="21" t="str">
        <f t="shared" si="90"/>
        <v/>
      </c>
      <c r="AY420" s="21" t="str">
        <f>IF(AND($AM420&lt;&gt;"",$AS420&lt;&gt;"✓"),SUMPRODUCT(($AM$11:$AM420&lt;&gt;"")*($AS$11:$AS420&lt;&gt;"✓")),"")</f>
        <v/>
      </c>
      <c r="AZ420" s="21" t="str">
        <f>IF(AND($AM420&lt;&gt;"",$AS420="✓"),SUMPRODUCT(($AM$11:$AM420&lt;&gt;"")*($AS$11:$AS420="✓")),"")</f>
        <v/>
      </c>
      <c r="BA420" s="21" t="str">
        <f>IF($AL420="","",$AL420&amp;"|"&amp;COUNTIF($AL$11:$AL420,$AL420))</f>
        <v/>
      </c>
    </row>
    <row r="421" spans="2:53" ht="15" customHeight="1" x14ac:dyDescent="0.25">
      <c r="B421" s="5" t="str">
        <f t="shared" si="82"/>
        <v/>
      </c>
      <c r="C421" s="5"/>
      <c r="D421" s="5"/>
      <c r="E421" s="5"/>
      <c r="F421" s="6"/>
      <c r="G421" s="6"/>
      <c r="H421" s="7"/>
      <c r="I421" s="8"/>
      <c r="W421" s="14" t="str">
        <f>IF(X421="","",IFERROR(INDEX($AL$11:$AL$4010,MATCH(411,$AY$11:$AY$4010,0)),""))</f>
        <v/>
      </c>
      <c r="X421" s="12" t="str">
        <f>IFERROR(INDEX($AM$11:$AM$4010,MATCH(411,$AY$11:$AY$4010,0)),"")</f>
        <v/>
      </c>
      <c r="Y421" s="11" t="str">
        <f>IF(X421="","",IFERROR(INDEX($AN$11:$AN$4010,MATCH(411,$AY$11:$AY$4010,0)),""))</f>
        <v/>
      </c>
      <c r="Z421" s="11" t="str">
        <f>IF(X421="","",IFERROR(INDEX($AO$11:$AO$4010,MATCH(411,$AY$11:$AY$4010,0)),""))</f>
        <v/>
      </c>
      <c r="AA421" s="10" t="str">
        <f>IF(X421="","",IFERROR(INDEX($AQ$11:$AQ$4010,MATCH(411,$AY$11:$AY$4010,0)),""))</f>
        <v/>
      </c>
      <c r="AB421" s="15" t="str">
        <f>IF(X421="","",IFERROR(INDEX($AR$11:$AR$4010,MATCH(411,$AY$11:$AY$4010,0)),""))</f>
        <v/>
      </c>
      <c r="AD421" s="16" t="str">
        <f>IF(AE421="","",IFERROR(INDEX($AL$11:$AL$4010,MATCH(411,$AZ$11:$AZ$4010,0)),""))</f>
        <v/>
      </c>
      <c r="AE421" s="12" t="str">
        <f>IFERROR(INDEX($AM$11:$AM$4010,MATCH(411,$AZ$11:$AZ$4010,0)),"")</f>
        <v/>
      </c>
      <c r="AF421" s="11" t="str">
        <f>IF(AE421="","",IFERROR(INDEX($AN$11:$AN$4010,MATCH(411,$AZ$11:$AZ$4010,0)),""))</f>
        <v/>
      </c>
      <c r="AG421" s="11" t="str">
        <f>IF(AE421="","",IFERROR(INDEX($AO$11:$AO$4010,MATCH(411,$AZ$11:$AZ$4010,0)),""))</f>
        <v/>
      </c>
      <c r="AH421" s="10" t="str">
        <f>IF(AE421="","",IFERROR(INDEX($AQ$11:$AQ$4010,MATCH(411,$AZ$11:$AZ$4010,0)),""))</f>
        <v/>
      </c>
      <c r="AI421" s="15" t="str">
        <f>IF(AE421="","",IFERROR(INDEX($AR$11:$AR$4010,MATCH(411,$AZ$11:$AZ$4010,0)),""))</f>
        <v/>
      </c>
      <c r="AJ421" s="15" t="str">
        <f>IF(AE421="","",IFERROR(INDEX($AT$11:$AT$4010,MATCH(411,$AZ$11:$AZ$4010,0)),""))</f>
        <v/>
      </c>
      <c r="AL421" s="17" t="str">
        <f t="shared" si="83"/>
        <v/>
      </c>
      <c r="AM421" s="12" t="str">
        <f t="shared" si="84"/>
        <v/>
      </c>
      <c r="AN421" s="18" t="str">
        <f t="shared" si="85"/>
        <v/>
      </c>
      <c r="AO421" s="18" t="str">
        <f t="shared" si="86"/>
        <v/>
      </c>
      <c r="AP421" s="10" t="str">
        <f t="shared" si="87"/>
        <v/>
      </c>
      <c r="AQ421" s="10" t="str">
        <f t="shared" si="88"/>
        <v/>
      </c>
      <c r="AR421" s="19" t="str">
        <f t="shared" si="89"/>
        <v/>
      </c>
      <c r="AS421" s="20"/>
      <c r="AT421" s="19"/>
      <c r="AV421" s="21">
        <f>IF(AND($AL421&lt;&gt;"",COUNTIF($AL$11:$AL421,$AL421)=1),1,0)</f>
        <v>0</v>
      </c>
      <c r="AW421" s="21">
        <f t="shared" si="91"/>
        <v>2</v>
      </c>
      <c r="AX421" s="21" t="str">
        <f t="shared" si="90"/>
        <v/>
      </c>
      <c r="AY421" s="21" t="str">
        <f>IF(AND($AM421&lt;&gt;"",$AS421&lt;&gt;"✓"),SUMPRODUCT(($AM$11:$AM421&lt;&gt;"")*($AS$11:$AS421&lt;&gt;"✓")),"")</f>
        <v/>
      </c>
      <c r="AZ421" s="21" t="str">
        <f>IF(AND($AM421&lt;&gt;"",$AS421="✓"),SUMPRODUCT(($AM$11:$AM421&lt;&gt;"")*($AS$11:$AS421="✓")),"")</f>
        <v/>
      </c>
      <c r="BA421" s="21" t="str">
        <f>IF($AL421="","",$AL421&amp;"|"&amp;COUNTIF($AL$11:$AL421,$AL421))</f>
        <v/>
      </c>
    </row>
    <row r="422" spans="2:53" ht="15" customHeight="1" x14ac:dyDescent="0.25">
      <c r="B422" s="5" t="str">
        <f t="shared" si="82"/>
        <v/>
      </c>
      <c r="C422" s="5"/>
      <c r="D422" s="5"/>
      <c r="E422" s="5"/>
      <c r="F422" s="6"/>
      <c r="G422" s="6"/>
      <c r="H422" s="7"/>
      <c r="I422" s="8"/>
      <c r="W422" s="28" t="str">
        <f>IF(X422="","",IFERROR(INDEX($AL$11:$AL$4010,MATCH(412,$AY$11:$AY$4010,0)),""))</f>
        <v/>
      </c>
      <c r="X422" s="26" t="str">
        <f>IFERROR(INDEX($AM$11:$AM$4010,MATCH(412,$AY$11:$AY$4010,0)),"")</f>
        <v/>
      </c>
      <c r="Y422" s="25" t="str">
        <f>IF(X422="","",IFERROR(INDEX($AN$11:$AN$4010,MATCH(412,$AY$11:$AY$4010,0)),""))</f>
        <v/>
      </c>
      <c r="Z422" s="25" t="str">
        <f>IF(X422="","",IFERROR(INDEX($AO$11:$AO$4010,MATCH(412,$AY$11:$AY$4010,0)),""))</f>
        <v/>
      </c>
      <c r="AA422" s="24" t="str">
        <f>IF(X422="","",IFERROR(INDEX($AQ$11:$AQ$4010,MATCH(412,$AY$11:$AY$4010,0)),""))</f>
        <v/>
      </c>
      <c r="AB422" s="29" t="str">
        <f>IF(X422="","",IFERROR(INDEX($AR$11:$AR$4010,MATCH(412,$AY$11:$AY$4010,0)),""))</f>
        <v/>
      </c>
      <c r="AD422" s="30" t="str">
        <f>IF(AE422="","",IFERROR(INDEX($AL$11:$AL$4010,MATCH(412,$AZ$11:$AZ$4010,0)),""))</f>
        <v/>
      </c>
      <c r="AE422" s="26" t="str">
        <f>IFERROR(INDEX($AM$11:$AM$4010,MATCH(412,$AZ$11:$AZ$4010,0)),"")</f>
        <v/>
      </c>
      <c r="AF422" s="25" t="str">
        <f>IF(AE422="","",IFERROR(INDEX($AN$11:$AN$4010,MATCH(412,$AZ$11:$AZ$4010,0)),""))</f>
        <v/>
      </c>
      <c r="AG422" s="25" t="str">
        <f>IF(AE422="","",IFERROR(INDEX($AO$11:$AO$4010,MATCH(412,$AZ$11:$AZ$4010,0)),""))</f>
        <v/>
      </c>
      <c r="AH422" s="24" t="str">
        <f>IF(AE422="","",IFERROR(INDEX($AQ$11:$AQ$4010,MATCH(412,$AZ$11:$AZ$4010,0)),""))</f>
        <v/>
      </c>
      <c r="AI422" s="29" t="str">
        <f>IF(AE422="","",IFERROR(INDEX($AR$11:$AR$4010,MATCH(412,$AZ$11:$AZ$4010,0)),""))</f>
        <v/>
      </c>
      <c r="AJ422" s="29" t="str">
        <f>IF(AE422="","",IFERROR(INDEX($AT$11:$AT$4010,MATCH(412,$AZ$11:$AZ$4010,0)),""))</f>
        <v/>
      </c>
      <c r="AL422" s="31" t="str">
        <f t="shared" si="83"/>
        <v/>
      </c>
      <c r="AM422" s="26" t="str">
        <f t="shared" si="84"/>
        <v/>
      </c>
      <c r="AN422" s="32" t="str">
        <f t="shared" si="85"/>
        <v/>
      </c>
      <c r="AO422" s="32" t="str">
        <f t="shared" si="86"/>
        <v/>
      </c>
      <c r="AP422" s="24" t="str">
        <f t="shared" si="87"/>
        <v/>
      </c>
      <c r="AQ422" s="24" t="str">
        <f t="shared" si="88"/>
        <v/>
      </c>
      <c r="AR422" s="33" t="str">
        <f t="shared" si="89"/>
        <v/>
      </c>
      <c r="AS422" s="34"/>
      <c r="AT422" s="33"/>
      <c r="AV422" s="21">
        <f>IF(AND($AL422&lt;&gt;"",COUNTIF($AL$11:$AL422,$AL422)=1),1,0)</f>
        <v>0</v>
      </c>
      <c r="AW422" s="21">
        <f t="shared" si="91"/>
        <v>2</v>
      </c>
      <c r="AX422" s="21" t="str">
        <f t="shared" si="90"/>
        <v/>
      </c>
      <c r="AY422" s="21" t="str">
        <f>IF(AND($AM422&lt;&gt;"",$AS422&lt;&gt;"✓"),SUMPRODUCT(($AM$11:$AM422&lt;&gt;"")*($AS$11:$AS422&lt;&gt;"✓")),"")</f>
        <v/>
      </c>
      <c r="AZ422" s="21" t="str">
        <f>IF(AND($AM422&lt;&gt;"",$AS422="✓"),SUMPRODUCT(($AM$11:$AM422&lt;&gt;"")*($AS$11:$AS422="✓")),"")</f>
        <v/>
      </c>
      <c r="BA422" s="21" t="str">
        <f>IF($AL422="","",$AL422&amp;"|"&amp;COUNTIF($AL$11:$AL422,$AL422))</f>
        <v/>
      </c>
    </row>
    <row r="423" spans="2:53" ht="15" customHeight="1" x14ac:dyDescent="0.25">
      <c r="B423" s="5" t="str">
        <f t="shared" si="82"/>
        <v/>
      </c>
      <c r="C423" s="5"/>
      <c r="D423" s="5"/>
      <c r="E423" s="5"/>
      <c r="F423" s="6"/>
      <c r="G423" s="6"/>
      <c r="H423" s="7"/>
      <c r="I423" s="8"/>
      <c r="W423" s="14" t="str">
        <f>IF(X423="","",IFERROR(INDEX($AL$11:$AL$4010,MATCH(413,$AY$11:$AY$4010,0)),""))</f>
        <v/>
      </c>
      <c r="X423" s="12" t="str">
        <f>IFERROR(INDEX($AM$11:$AM$4010,MATCH(413,$AY$11:$AY$4010,0)),"")</f>
        <v/>
      </c>
      <c r="Y423" s="11" t="str">
        <f>IF(X423="","",IFERROR(INDEX($AN$11:$AN$4010,MATCH(413,$AY$11:$AY$4010,0)),""))</f>
        <v/>
      </c>
      <c r="Z423" s="11" t="str">
        <f>IF(X423="","",IFERROR(INDEX($AO$11:$AO$4010,MATCH(413,$AY$11:$AY$4010,0)),""))</f>
        <v/>
      </c>
      <c r="AA423" s="10" t="str">
        <f>IF(X423="","",IFERROR(INDEX($AQ$11:$AQ$4010,MATCH(413,$AY$11:$AY$4010,0)),""))</f>
        <v/>
      </c>
      <c r="AB423" s="15" t="str">
        <f>IF(X423="","",IFERROR(INDEX($AR$11:$AR$4010,MATCH(413,$AY$11:$AY$4010,0)),""))</f>
        <v/>
      </c>
      <c r="AD423" s="16" t="str">
        <f>IF(AE423="","",IFERROR(INDEX($AL$11:$AL$4010,MATCH(413,$AZ$11:$AZ$4010,0)),""))</f>
        <v/>
      </c>
      <c r="AE423" s="12" t="str">
        <f>IFERROR(INDEX($AM$11:$AM$4010,MATCH(413,$AZ$11:$AZ$4010,0)),"")</f>
        <v/>
      </c>
      <c r="AF423" s="11" t="str">
        <f>IF(AE423="","",IFERROR(INDEX($AN$11:$AN$4010,MATCH(413,$AZ$11:$AZ$4010,0)),""))</f>
        <v/>
      </c>
      <c r="AG423" s="11" t="str">
        <f>IF(AE423="","",IFERROR(INDEX($AO$11:$AO$4010,MATCH(413,$AZ$11:$AZ$4010,0)),""))</f>
        <v/>
      </c>
      <c r="AH423" s="10" t="str">
        <f>IF(AE423="","",IFERROR(INDEX($AQ$11:$AQ$4010,MATCH(413,$AZ$11:$AZ$4010,0)),""))</f>
        <v/>
      </c>
      <c r="AI423" s="15" t="str">
        <f>IF(AE423="","",IFERROR(INDEX($AR$11:$AR$4010,MATCH(413,$AZ$11:$AZ$4010,0)),""))</f>
        <v/>
      </c>
      <c r="AJ423" s="15" t="str">
        <f>IF(AE423="","",IFERROR(INDEX($AT$11:$AT$4010,MATCH(413,$AZ$11:$AZ$4010,0)),""))</f>
        <v/>
      </c>
      <c r="AL423" s="17" t="str">
        <f t="shared" si="83"/>
        <v/>
      </c>
      <c r="AM423" s="12" t="str">
        <f t="shared" si="84"/>
        <v/>
      </c>
      <c r="AN423" s="18" t="str">
        <f t="shared" si="85"/>
        <v/>
      </c>
      <c r="AO423" s="18" t="str">
        <f t="shared" si="86"/>
        <v/>
      </c>
      <c r="AP423" s="10" t="str">
        <f t="shared" si="87"/>
        <v/>
      </c>
      <c r="AQ423" s="10" t="str">
        <f t="shared" si="88"/>
        <v/>
      </c>
      <c r="AR423" s="19" t="str">
        <f t="shared" si="89"/>
        <v/>
      </c>
      <c r="AS423" s="20"/>
      <c r="AT423" s="19"/>
      <c r="AV423" s="21">
        <f>IF(AND($AL423&lt;&gt;"",COUNTIF($AL$11:$AL423,$AL423)=1),1,0)</f>
        <v>0</v>
      </c>
      <c r="AW423" s="21">
        <f t="shared" si="91"/>
        <v>2</v>
      </c>
      <c r="AX423" s="21" t="str">
        <f t="shared" si="90"/>
        <v/>
      </c>
      <c r="AY423" s="21" t="str">
        <f>IF(AND($AM423&lt;&gt;"",$AS423&lt;&gt;"✓"),SUMPRODUCT(($AM$11:$AM423&lt;&gt;"")*($AS$11:$AS423&lt;&gt;"✓")),"")</f>
        <v/>
      </c>
      <c r="AZ423" s="21" t="str">
        <f>IF(AND($AM423&lt;&gt;"",$AS423="✓"),SUMPRODUCT(($AM$11:$AM423&lt;&gt;"")*($AS$11:$AS423="✓")),"")</f>
        <v/>
      </c>
      <c r="BA423" s="21" t="str">
        <f>IF($AL423="","",$AL423&amp;"|"&amp;COUNTIF($AL$11:$AL423,$AL423))</f>
        <v/>
      </c>
    </row>
    <row r="424" spans="2:53" ht="15" customHeight="1" x14ac:dyDescent="0.25">
      <c r="B424" s="5" t="str">
        <f t="shared" si="82"/>
        <v/>
      </c>
      <c r="C424" s="5"/>
      <c r="D424" s="5"/>
      <c r="E424" s="5"/>
      <c r="F424" s="6"/>
      <c r="G424" s="6"/>
      <c r="H424" s="7"/>
      <c r="I424" s="8"/>
      <c r="W424" s="28" t="str">
        <f>IF(X424="","",IFERROR(INDEX($AL$11:$AL$4010,MATCH(414,$AY$11:$AY$4010,0)),""))</f>
        <v/>
      </c>
      <c r="X424" s="26" t="str">
        <f>IFERROR(INDEX($AM$11:$AM$4010,MATCH(414,$AY$11:$AY$4010,0)),"")</f>
        <v/>
      </c>
      <c r="Y424" s="25" t="str">
        <f>IF(X424="","",IFERROR(INDEX($AN$11:$AN$4010,MATCH(414,$AY$11:$AY$4010,0)),""))</f>
        <v/>
      </c>
      <c r="Z424" s="25" t="str">
        <f>IF(X424="","",IFERROR(INDEX($AO$11:$AO$4010,MATCH(414,$AY$11:$AY$4010,0)),""))</f>
        <v/>
      </c>
      <c r="AA424" s="24" t="str">
        <f>IF(X424="","",IFERROR(INDEX($AQ$11:$AQ$4010,MATCH(414,$AY$11:$AY$4010,0)),""))</f>
        <v/>
      </c>
      <c r="AB424" s="29" t="str">
        <f>IF(X424="","",IFERROR(INDEX($AR$11:$AR$4010,MATCH(414,$AY$11:$AY$4010,0)),""))</f>
        <v/>
      </c>
      <c r="AD424" s="30" t="str">
        <f>IF(AE424="","",IFERROR(INDEX($AL$11:$AL$4010,MATCH(414,$AZ$11:$AZ$4010,0)),""))</f>
        <v/>
      </c>
      <c r="AE424" s="26" t="str">
        <f>IFERROR(INDEX($AM$11:$AM$4010,MATCH(414,$AZ$11:$AZ$4010,0)),"")</f>
        <v/>
      </c>
      <c r="AF424" s="25" t="str">
        <f>IF(AE424="","",IFERROR(INDEX($AN$11:$AN$4010,MATCH(414,$AZ$11:$AZ$4010,0)),""))</f>
        <v/>
      </c>
      <c r="AG424" s="25" t="str">
        <f>IF(AE424="","",IFERROR(INDEX($AO$11:$AO$4010,MATCH(414,$AZ$11:$AZ$4010,0)),""))</f>
        <v/>
      </c>
      <c r="AH424" s="24" t="str">
        <f>IF(AE424="","",IFERROR(INDEX($AQ$11:$AQ$4010,MATCH(414,$AZ$11:$AZ$4010,0)),""))</f>
        <v/>
      </c>
      <c r="AI424" s="29" t="str">
        <f>IF(AE424="","",IFERROR(INDEX($AR$11:$AR$4010,MATCH(414,$AZ$11:$AZ$4010,0)),""))</f>
        <v/>
      </c>
      <c r="AJ424" s="29" t="str">
        <f>IF(AE424="","",IFERROR(INDEX($AT$11:$AT$4010,MATCH(414,$AZ$11:$AZ$4010,0)),""))</f>
        <v/>
      </c>
      <c r="AL424" s="31" t="str">
        <f t="shared" si="83"/>
        <v/>
      </c>
      <c r="AM424" s="26" t="str">
        <f t="shared" si="84"/>
        <v/>
      </c>
      <c r="AN424" s="32" t="str">
        <f t="shared" si="85"/>
        <v/>
      </c>
      <c r="AO424" s="32" t="str">
        <f t="shared" si="86"/>
        <v/>
      </c>
      <c r="AP424" s="24" t="str">
        <f t="shared" si="87"/>
        <v/>
      </c>
      <c r="AQ424" s="24" t="str">
        <f t="shared" si="88"/>
        <v/>
      </c>
      <c r="AR424" s="33" t="str">
        <f t="shared" si="89"/>
        <v/>
      </c>
      <c r="AS424" s="34"/>
      <c r="AT424" s="33"/>
      <c r="AV424" s="21">
        <f>IF(AND($AL424&lt;&gt;"",COUNTIF($AL$11:$AL424,$AL424)=1),1,0)</f>
        <v>0</v>
      </c>
      <c r="AW424" s="21">
        <f t="shared" si="91"/>
        <v>2</v>
      </c>
      <c r="AX424" s="21" t="str">
        <f t="shared" si="90"/>
        <v/>
      </c>
      <c r="AY424" s="21" t="str">
        <f>IF(AND($AM424&lt;&gt;"",$AS424&lt;&gt;"✓"),SUMPRODUCT(($AM$11:$AM424&lt;&gt;"")*($AS$11:$AS424&lt;&gt;"✓")),"")</f>
        <v/>
      </c>
      <c r="AZ424" s="21" t="str">
        <f>IF(AND($AM424&lt;&gt;"",$AS424="✓"),SUMPRODUCT(($AM$11:$AM424&lt;&gt;"")*($AS$11:$AS424="✓")),"")</f>
        <v/>
      </c>
      <c r="BA424" s="21" t="str">
        <f>IF($AL424="","",$AL424&amp;"|"&amp;COUNTIF($AL$11:$AL424,$AL424))</f>
        <v/>
      </c>
    </row>
    <row r="425" spans="2:53" ht="15" customHeight="1" x14ac:dyDescent="0.25">
      <c r="B425" s="5" t="str">
        <f t="shared" si="82"/>
        <v/>
      </c>
      <c r="C425" s="5"/>
      <c r="D425" s="5"/>
      <c r="E425" s="5"/>
      <c r="F425" s="6"/>
      <c r="G425" s="6"/>
      <c r="H425" s="7"/>
      <c r="I425" s="8"/>
      <c r="W425" s="14" t="str">
        <f>IF(X425="","",IFERROR(INDEX($AL$11:$AL$4010,MATCH(415,$AY$11:$AY$4010,0)),""))</f>
        <v/>
      </c>
      <c r="X425" s="12" t="str">
        <f>IFERROR(INDEX($AM$11:$AM$4010,MATCH(415,$AY$11:$AY$4010,0)),"")</f>
        <v/>
      </c>
      <c r="Y425" s="11" t="str">
        <f>IF(X425="","",IFERROR(INDEX($AN$11:$AN$4010,MATCH(415,$AY$11:$AY$4010,0)),""))</f>
        <v/>
      </c>
      <c r="Z425" s="11" t="str">
        <f>IF(X425="","",IFERROR(INDEX($AO$11:$AO$4010,MATCH(415,$AY$11:$AY$4010,0)),""))</f>
        <v/>
      </c>
      <c r="AA425" s="10" t="str">
        <f>IF(X425="","",IFERROR(INDEX($AQ$11:$AQ$4010,MATCH(415,$AY$11:$AY$4010,0)),""))</f>
        <v/>
      </c>
      <c r="AB425" s="15" t="str">
        <f>IF(X425="","",IFERROR(INDEX($AR$11:$AR$4010,MATCH(415,$AY$11:$AY$4010,0)),""))</f>
        <v/>
      </c>
      <c r="AD425" s="16" t="str">
        <f>IF(AE425="","",IFERROR(INDEX($AL$11:$AL$4010,MATCH(415,$AZ$11:$AZ$4010,0)),""))</f>
        <v/>
      </c>
      <c r="AE425" s="12" t="str">
        <f>IFERROR(INDEX($AM$11:$AM$4010,MATCH(415,$AZ$11:$AZ$4010,0)),"")</f>
        <v/>
      </c>
      <c r="AF425" s="11" t="str">
        <f>IF(AE425="","",IFERROR(INDEX($AN$11:$AN$4010,MATCH(415,$AZ$11:$AZ$4010,0)),""))</f>
        <v/>
      </c>
      <c r="AG425" s="11" t="str">
        <f>IF(AE425="","",IFERROR(INDEX($AO$11:$AO$4010,MATCH(415,$AZ$11:$AZ$4010,0)),""))</f>
        <v/>
      </c>
      <c r="AH425" s="10" t="str">
        <f>IF(AE425="","",IFERROR(INDEX($AQ$11:$AQ$4010,MATCH(415,$AZ$11:$AZ$4010,0)),""))</f>
        <v/>
      </c>
      <c r="AI425" s="15" t="str">
        <f>IF(AE425="","",IFERROR(INDEX($AR$11:$AR$4010,MATCH(415,$AZ$11:$AZ$4010,0)),""))</f>
        <v/>
      </c>
      <c r="AJ425" s="15" t="str">
        <f>IF(AE425="","",IFERROR(INDEX($AT$11:$AT$4010,MATCH(415,$AZ$11:$AZ$4010,0)),""))</f>
        <v/>
      </c>
      <c r="AL425" s="17" t="str">
        <f t="shared" si="83"/>
        <v/>
      </c>
      <c r="AM425" s="12" t="str">
        <f t="shared" si="84"/>
        <v/>
      </c>
      <c r="AN425" s="18" t="str">
        <f t="shared" si="85"/>
        <v/>
      </c>
      <c r="AO425" s="18" t="str">
        <f t="shared" si="86"/>
        <v/>
      </c>
      <c r="AP425" s="10" t="str">
        <f t="shared" si="87"/>
        <v/>
      </c>
      <c r="AQ425" s="10" t="str">
        <f t="shared" si="88"/>
        <v/>
      </c>
      <c r="AR425" s="19" t="str">
        <f t="shared" si="89"/>
        <v/>
      </c>
      <c r="AS425" s="20"/>
      <c r="AT425" s="19"/>
      <c r="AV425" s="21">
        <f>IF(AND($AL425&lt;&gt;"",COUNTIF($AL$11:$AL425,$AL425)=1),1,0)</f>
        <v>0</v>
      </c>
      <c r="AW425" s="21">
        <f t="shared" si="91"/>
        <v>2</v>
      </c>
      <c r="AX425" s="21" t="str">
        <f t="shared" si="90"/>
        <v/>
      </c>
      <c r="AY425" s="21" t="str">
        <f>IF(AND($AM425&lt;&gt;"",$AS425&lt;&gt;"✓"),SUMPRODUCT(($AM$11:$AM425&lt;&gt;"")*($AS$11:$AS425&lt;&gt;"✓")),"")</f>
        <v/>
      </c>
      <c r="AZ425" s="21" t="str">
        <f>IF(AND($AM425&lt;&gt;"",$AS425="✓"),SUMPRODUCT(($AM$11:$AM425&lt;&gt;"")*($AS$11:$AS425="✓")),"")</f>
        <v/>
      </c>
      <c r="BA425" s="21" t="str">
        <f>IF($AL425="","",$AL425&amp;"|"&amp;COUNTIF($AL$11:$AL425,$AL425))</f>
        <v/>
      </c>
    </row>
    <row r="426" spans="2:53" ht="15" customHeight="1" x14ac:dyDescent="0.25">
      <c r="B426" s="5" t="str">
        <f t="shared" si="82"/>
        <v/>
      </c>
      <c r="C426" s="5"/>
      <c r="D426" s="5"/>
      <c r="E426" s="5"/>
      <c r="F426" s="6"/>
      <c r="G426" s="6"/>
      <c r="H426" s="7"/>
      <c r="I426" s="8"/>
      <c r="W426" s="28" t="str">
        <f>IF(X426="","",IFERROR(INDEX($AL$11:$AL$4010,MATCH(416,$AY$11:$AY$4010,0)),""))</f>
        <v/>
      </c>
      <c r="X426" s="26" t="str">
        <f>IFERROR(INDEX($AM$11:$AM$4010,MATCH(416,$AY$11:$AY$4010,0)),"")</f>
        <v/>
      </c>
      <c r="Y426" s="25" t="str">
        <f>IF(X426="","",IFERROR(INDEX($AN$11:$AN$4010,MATCH(416,$AY$11:$AY$4010,0)),""))</f>
        <v/>
      </c>
      <c r="Z426" s="25" t="str">
        <f>IF(X426="","",IFERROR(INDEX($AO$11:$AO$4010,MATCH(416,$AY$11:$AY$4010,0)),""))</f>
        <v/>
      </c>
      <c r="AA426" s="24" t="str">
        <f>IF(X426="","",IFERROR(INDEX($AQ$11:$AQ$4010,MATCH(416,$AY$11:$AY$4010,0)),""))</f>
        <v/>
      </c>
      <c r="AB426" s="29" t="str">
        <f>IF(X426="","",IFERROR(INDEX($AR$11:$AR$4010,MATCH(416,$AY$11:$AY$4010,0)),""))</f>
        <v/>
      </c>
      <c r="AD426" s="30" t="str">
        <f>IF(AE426="","",IFERROR(INDEX($AL$11:$AL$4010,MATCH(416,$AZ$11:$AZ$4010,0)),""))</f>
        <v/>
      </c>
      <c r="AE426" s="26" t="str">
        <f>IFERROR(INDEX($AM$11:$AM$4010,MATCH(416,$AZ$11:$AZ$4010,0)),"")</f>
        <v/>
      </c>
      <c r="AF426" s="25" t="str">
        <f>IF(AE426="","",IFERROR(INDEX($AN$11:$AN$4010,MATCH(416,$AZ$11:$AZ$4010,0)),""))</f>
        <v/>
      </c>
      <c r="AG426" s="25" t="str">
        <f>IF(AE426="","",IFERROR(INDEX($AO$11:$AO$4010,MATCH(416,$AZ$11:$AZ$4010,0)),""))</f>
        <v/>
      </c>
      <c r="AH426" s="24" t="str">
        <f>IF(AE426="","",IFERROR(INDEX($AQ$11:$AQ$4010,MATCH(416,$AZ$11:$AZ$4010,0)),""))</f>
        <v/>
      </c>
      <c r="AI426" s="29" t="str">
        <f>IF(AE426="","",IFERROR(INDEX($AR$11:$AR$4010,MATCH(416,$AZ$11:$AZ$4010,0)),""))</f>
        <v/>
      </c>
      <c r="AJ426" s="29" t="str">
        <f>IF(AE426="","",IFERROR(INDEX($AT$11:$AT$4010,MATCH(416,$AZ$11:$AZ$4010,0)),""))</f>
        <v/>
      </c>
      <c r="AL426" s="31" t="str">
        <f t="shared" si="83"/>
        <v/>
      </c>
      <c r="AM426" s="26" t="str">
        <f t="shared" si="84"/>
        <v/>
      </c>
      <c r="AN426" s="32" t="str">
        <f t="shared" si="85"/>
        <v/>
      </c>
      <c r="AO426" s="32" t="str">
        <f t="shared" si="86"/>
        <v/>
      </c>
      <c r="AP426" s="24" t="str">
        <f t="shared" si="87"/>
        <v/>
      </c>
      <c r="AQ426" s="24" t="str">
        <f t="shared" si="88"/>
        <v/>
      </c>
      <c r="AR426" s="33" t="str">
        <f t="shared" si="89"/>
        <v/>
      </c>
      <c r="AS426" s="34"/>
      <c r="AT426" s="33"/>
      <c r="AV426" s="21">
        <f>IF(AND($AL426&lt;&gt;"",COUNTIF($AL$11:$AL426,$AL426)=1),1,0)</f>
        <v>0</v>
      </c>
      <c r="AW426" s="21">
        <f t="shared" si="91"/>
        <v>2</v>
      </c>
      <c r="AX426" s="21" t="str">
        <f t="shared" si="90"/>
        <v/>
      </c>
      <c r="AY426" s="21" t="str">
        <f>IF(AND($AM426&lt;&gt;"",$AS426&lt;&gt;"✓"),SUMPRODUCT(($AM$11:$AM426&lt;&gt;"")*($AS$11:$AS426&lt;&gt;"✓")),"")</f>
        <v/>
      </c>
      <c r="AZ426" s="21" t="str">
        <f>IF(AND($AM426&lt;&gt;"",$AS426="✓"),SUMPRODUCT(($AM$11:$AM426&lt;&gt;"")*($AS$11:$AS426="✓")),"")</f>
        <v/>
      </c>
      <c r="BA426" s="21" t="str">
        <f>IF($AL426="","",$AL426&amp;"|"&amp;COUNTIF($AL$11:$AL426,$AL426))</f>
        <v/>
      </c>
    </row>
    <row r="427" spans="2:53" ht="15" customHeight="1" x14ac:dyDescent="0.25">
      <c r="B427" s="5" t="str">
        <f t="shared" si="82"/>
        <v/>
      </c>
      <c r="C427" s="5"/>
      <c r="D427" s="5"/>
      <c r="E427" s="5"/>
      <c r="F427" s="6"/>
      <c r="G427" s="6"/>
      <c r="H427" s="7"/>
      <c r="I427" s="8"/>
      <c r="W427" s="14" t="str">
        <f>IF(X427="","",IFERROR(INDEX($AL$11:$AL$4010,MATCH(417,$AY$11:$AY$4010,0)),""))</f>
        <v/>
      </c>
      <c r="X427" s="12" t="str">
        <f>IFERROR(INDEX($AM$11:$AM$4010,MATCH(417,$AY$11:$AY$4010,0)),"")</f>
        <v/>
      </c>
      <c r="Y427" s="11" t="str">
        <f>IF(X427="","",IFERROR(INDEX($AN$11:$AN$4010,MATCH(417,$AY$11:$AY$4010,0)),""))</f>
        <v/>
      </c>
      <c r="Z427" s="11" t="str">
        <f>IF(X427="","",IFERROR(INDEX($AO$11:$AO$4010,MATCH(417,$AY$11:$AY$4010,0)),""))</f>
        <v/>
      </c>
      <c r="AA427" s="10" t="str">
        <f>IF(X427="","",IFERROR(INDEX($AQ$11:$AQ$4010,MATCH(417,$AY$11:$AY$4010,0)),""))</f>
        <v/>
      </c>
      <c r="AB427" s="15" t="str">
        <f>IF(X427="","",IFERROR(INDEX($AR$11:$AR$4010,MATCH(417,$AY$11:$AY$4010,0)),""))</f>
        <v/>
      </c>
      <c r="AD427" s="16" t="str">
        <f>IF(AE427="","",IFERROR(INDEX($AL$11:$AL$4010,MATCH(417,$AZ$11:$AZ$4010,0)),""))</f>
        <v/>
      </c>
      <c r="AE427" s="12" t="str">
        <f>IFERROR(INDEX($AM$11:$AM$4010,MATCH(417,$AZ$11:$AZ$4010,0)),"")</f>
        <v/>
      </c>
      <c r="AF427" s="11" t="str">
        <f>IF(AE427="","",IFERROR(INDEX($AN$11:$AN$4010,MATCH(417,$AZ$11:$AZ$4010,0)),""))</f>
        <v/>
      </c>
      <c r="AG427" s="11" t="str">
        <f>IF(AE427="","",IFERROR(INDEX($AO$11:$AO$4010,MATCH(417,$AZ$11:$AZ$4010,0)),""))</f>
        <v/>
      </c>
      <c r="AH427" s="10" t="str">
        <f>IF(AE427="","",IFERROR(INDEX($AQ$11:$AQ$4010,MATCH(417,$AZ$11:$AZ$4010,0)),""))</f>
        <v/>
      </c>
      <c r="AI427" s="15" t="str">
        <f>IF(AE427="","",IFERROR(INDEX($AR$11:$AR$4010,MATCH(417,$AZ$11:$AZ$4010,0)),""))</f>
        <v/>
      </c>
      <c r="AJ427" s="15" t="str">
        <f>IF(AE427="","",IFERROR(INDEX($AT$11:$AT$4010,MATCH(417,$AZ$11:$AZ$4010,0)),""))</f>
        <v/>
      </c>
      <c r="AL427" s="17" t="str">
        <f t="shared" si="83"/>
        <v/>
      </c>
      <c r="AM427" s="12" t="str">
        <f t="shared" si="84"/>
        <v/>
      </c>
      <c r="AN427" s="18" t="str">
        <f t="shared" si="85"/>
        <v/>
      </c>
      <c r="AO427" s="18" t="str">
        <f t="shared" si="86"/>
        <v/>
      </c>
      <c r="AP427" s="10" t="str">
        <f t="shared" si="87"/>
        <v/>
      </c>
      <c r="AQ427" s="10" t="str">
        <f t="shared" si="88"/>
        <v/>
      </c>
      <c r="AR427" s="19" t="str">
        <f t="shared" si="89"/>
        <v/>
      </c>
      <c r="AS427" s="20"/>
      <c r="AT427" s="19"/>
      <c r="AV427" s="21">
        <f>IF(AND($AL427&lt;&gt;"",COUNTIF($AL$11:$AL427,$AL427)=1),1,0)</f>
        <v>0</v>
      </c>
      <c r="AW427" s="21">
        <f t="shared" si="91"/>
        <v>2</v>
      </c>
      <c r="AX427" s="21" t="str">
        <f t="shared" si="90"/>
        <v/>
      </c>
      <c r="AY427" s="21" t="str">
        <f>IF(AND($AM427&lt;&gt;"",$AS427&lt;&gt;"✓"),SUMPRODUCT(($AM$11:$AM427&lt;&gt;"")*($AS$11:$AS427&lt;&gt;"✓")),"")</f>
        <v/>
      </c>
      <c r="AZ427" s="21" t="str">
        <f>IF(AND($AM427&lt;&gt;"",$AS427="✓"),SUMPRODUCT(($AM$11:$AM427&lt;&gt;"")*($AS$11:$AS427="✓")),"")</f>
        <v/>
      </c>
      <c r="BA427" s="21" t="str">
        <f>IF($AL427="","",$AL427&amp;"|"&amp;COUNTIF($AL$11:$AL427,$AL427))</f>
        <v/>
      </c>
    </row>
    <row r="428" spans="2:53" ht="15" customHeight="1" x14ac:dyDescent="0.25">
      <c r="B428" s="5" t="str">
        <f t="shared" si="82"/>
        <v/>
      </c>
      <c r="C428" s="5"/>
      <c r="D428" s="5"/>
      <c r="E428" s="5"/>
      <c r="F428" s="6"/>
      <c r="G428" s="6"/>
      <c r="H428" s="7"/>
      <c r="I428" s="8"/>
      <c r="W428" s="28" t="str">
        <f>IF(X428="","",IFERROR(INDEX($AL$11:$AL$4010,MATCH(418,$AY$11:$AY$4010,0)),""))</f>
        <v/>
      </c>
      <c r="X428" s="26" t="str">
        <f>IFERROR(INDEX($AM$11:$AM$4010,MATCH(418,$AY$11:$AY$4010,0)),"")</f>
        <v/>
      </c>
      <c r="Y428" s="25" t="str">
        <f>IF(X428="","",IFERROR(INDEX($AN$11:$AN$4010,MATCH(418,$AY$11:$AY$4010,0)),""))</f>
        <v/>
      </c>
      <c r="Z428" s="25" t="str">
        <f>IF(X428="","",IFERROR(INDEX($AO$11:$AO$4010,MATCH(418,$AY$11:$AY$4010,0)),""))</f>
        <v/>
      </c>
      <c r="AA428" s="24" t="str">
        <f>IF(X428="","",IFERROR(INDEX($AQ$11:$AQ$4010,MATCH(418,$AY$11:$AY$4010,0)),""))</f>
        <v/>
      </c>
      <c r="AB428" s="29" t="str">
        <f>IF(X428="","",IFERROR(INDEX($AR$11:$AR$4010,MATCH(418,$AY$11:$AY$4010,0)),""))</f>
        <v/>
      </c>
      <c r="AD428" s="30" t="str">
        <f>IF(AE428="","",IFERROR(INDEX($AL$11:$AL$4010,MATCH(418,$AZ$11:$AZ$4010,0)),""))</f>
        <v/>
      </c>
      <c r="AE428" s="26" t="str">
        <f>IFERROR(INDEX($AM$11:$AM$4010,MATCH(418,$AZ$11:$AZ$4010,0)),"")</f>
        <v/>
      </c>
      <c r="AF428" s="25" t="str">
        <f>IF(AE428="","",IFERROR(INDEX($AN$11:$AN$4010,MATCH(418,$AZ$11:$AZ$4010,0)),""))</f>
        <v/>
      </c>
      <c r="AG428" s="25" t="str">
        <f>IF(AE428="","",IFERROR(INDEX($AO$11:$AO$4010,MATCH(418,$AZ$11:$AZ$4010,0)),""))</f>
        <v/>
      </c>
      <c r="AH428" s="24" t="str">
        <f>IF(AE428="","",IFERROR(INDEX($AQ$11:$AQ$4010,MATCH(418,$AZ$11:$AZ$4010,0)),""))</f>
        <v/>
      </c>
      <c r="AI428" s="29" t="str">
        <f>IF(AE428="","",IFERROR(INDEX($AR$11:$AR$4010,MATCH(418,$AZ$11:$AZ$4010,0)),""))</f>
        <v/>
      </c>
      <c r="AJ428" s="29" t="str">
        <f>IF(AE428="","",IFERROR(INDEX($AT$11:$AT$4010,MATCH(418,$AZ$11:$AZ$4010,0)),""))</f>
        <v/>
      </c>
      <c r="AL428" s="31" t="str">
        <f t="shared" si="83"/>
        <v/>
      </c>
      <c r="AM428" s="26" t="str">
        <f t="shared" si="84"/>
        <v/>
      </c>
      <c r="AN428" s="32" t="str">
        <f t="shared" si="85"/>
        <v/>
      </c>
      <c r="AO428" s="32" t="str">
        <f t="shared" si="86"/>
        <v/>
      </c>
      <c r="AP428" s="24" t="str">
        <f t="shared" si="87"/>
        <v/>
      </c>
      <c r="AQ428" s="24" t="str">
        <f t="shared" si="88"/>
        <v/>
      </c>
      <c r="AR428" s="33" t="str">
        <f t="shared" si="89"/>
        <v/>
      </c>
      <c r="AS428" s="34"/>
      <c r="AT428" s="33"/>
      <c r="AV428" s="21">
        <f>IF(AND($AL428&lt;&gt;"",COUNTIF($AL$11:$AL428,$AL428)=1),1,0)</f>
        <v>0</v>
      </c>
      <c r="AW428" s="21">
        <f t="shared" si="91"/>
        <v>2</v>
      </c>
      <c r="AX428" s="21" t="str">
        <f t="shared" si="90"/>
        <v/>
      </c>
      <c r="AY428" s="21" t="str">
        <f>IF(AND($AM428&lt;&gt;"",$AS428&lt;&gt;"✓"),SUMPRODUCT(($AM$11:$AM428&lt;&gt;"")*($AS$11:$AS428&lt;&gt;"✓")),"")</f>
        <v/>
      </c>
      <c r="AZ428" s="21" t="str">
        <f>IF(AND($AM428&lt;&gt;"",$AS428="✓"),SUMPRODUCT(($AM$11:$AM428&lt;&gt;"")*($AS$11:$AS428="✓")),"")</f>
        <v/>
      </c>
      <c r="BA428" s="21" t="str">
        <f>IF($AL428="","",$AL428&amp;"|"&amp;COUNTIF($AL$11:$AL428,$AL428))</f>
        <v/>
      </c>
    </row>
    <row r="429" spans="2:53" ht="15" customHeight="1" x14ac:dyDescent="0.25">
      <c r="B429" s="5" t="str">
        <f t="shared" si="82"/>
        <v/>
      </c>
      <c r="C429" s="5"/>
      <c r="D429" s="5"/>
      <c r="E429" s="5"/>
      <c r="F429" s="6"/>
      <c r="G429" s="6"/>
      <c r="H429" s="7"/>
      <c r="I429" s="8"/>
      <c r="W429" s="14" t="str">
        <f>IF(X429="","",IFERROR(INDEX($AL$11:$AL$4010,MATCH(419,$AY$11:$AY$4010,0)),""))</f>
        <v/>
      </c>
      <c r="X429" s="12" t="str">
        <f>IFERROR(INDEX($AM$11:$AM$4010,MATCH(419,$AY$11:$AY$4010,0)),"")</f>
        <v/>
      </c>
      <c r="Y429" s="11" t="str">
        <f>IF(X429="","",IFERROR(INDEX($AN$11:$AN$4010,MATCH(419,$AY$11:$AY$4010,0)),""))</f>
        <v/>
      </c>
      <c r="Z429" s="11" t="str">
        <f>IF(X429="","",IFERROR(INDEX($AO$11:$AO$4010,MATCH(419,$AY$11:$AY$4010,0)),""))</f>
        <v/>
      </c>
      <c r="AA429" s="10" t="str">
        <f>IF(X429="","",IFERROR(INDEX($AQ$11:$AQ$4010,MATCH(419,$AY$11:$AY$4010,0)),""))</f>
        <v/>
      </c>
      <c r="AB429" s="15" t="str">
        <f>IF(X429="","",IFERROR(INDEX($AR$11:$AR$4010,MATCH(419,$AY$11:$AY$4010,0)),""))</f>
        <v/>
      </c>
      <c r="AD429" s="16" t="str">
        <f>IF(AE429="","",IFERROR(INDEX($AL$11:$AL$4010,MATCH(419,$AZ$11:$AZ$4010,0)),""))</f>
        <v/>
      </c>
      <c r="AE429" s="12" t="str">
        <f>IFERROR(INDEX($AM$11:$AM$4010,MATCH(419,$AZ$11:$AZ$4010,0)),"")</f>
        <v/>
      </c>
      <c r="AF429" s="11" t="str">
        <f>IF(AE429="","",IFERROR(INDEX($AN$11:$AN$4010,MATCH(419,$AZ$11:$AZ$4010,0)),""))</f>
        <v/>
      </c>
      <c r="AG429" s="11" t="str">
        <f>IF(AE429="","",IFERROR(INDEX($AO$11:$AO$4010,MATCH(419,$AZ$11:$AZ$4010,0)),""))</f>
        <v/>
      </c>
      <c r="AH429" s="10" t="str">
        <f>IF(AE429="","",IFERROR(INDEX($AQ$11:$AQ$4010,MATCH(419,$AZ$11:$AZ$4010,0)),""))</f>
        <v/>
      </c>
      <c r="AI429" s="15" t="str">
        <f>IF(AE429="","",IFERROR(INDEX($AR$11:$AR$4010,MATCH(419,$AZ$11:$AZ$4010,0)),""))</f>
        <v/>
      </c>
      <c r="AJ429" s="15" t="str">
        <f>IF(AE429="","",IFERROR(INDEX($AT$11:$AT$4010,MATCH(419,$AZ$11:$AZ$4010,0)),""))</f>
        <v/>
      </c>
      <c r="AL429" s="17" t="str">
        <f t="shared" si="83"/>
        <v/>
      </c>
      <c r="AM429" s="12" t="str">
        <f t="shared" si="84"/>
        <v/>
      </c>
      <c r="AN429" s="18" t="str">
        <f t="shared" si="85"/>
        <v/>
      </c>
      <c r="AO429" s="18" t="str">
        <f t="shared" si="86"/>
        <v/>
      </c>
      <c r="AP429" s="10" t="str">
        <f t="shared" si="87"/>
        <v/>
      </c>
      <c r="AQ429" s="10" t="str">
        <f t="shared" si="88"/>
        <v/>
      </c>
      <c r="AR429" s="19" t="str">
        <f t="shared" si="89"/>
        <v/>
      </c>
      <c r="AS429" s="20"/>
      <c r="AT429" s="19"/>
      <c r="AV429" s="21">
        <f>IF(AND($AL429&lt;&gt;"",COUNTIF($AL$11:$AL429,$AL429)=1),1,0)</f>
        <v>0</v>
      </c>
      <c r="AW429" s="21">
        <f t="shared" si="91"/>
        <v>2</v>
      </c>
      <c r="AX429" s="21" t="str">
        <f t="shared" si="90"/>
        <v/>
      </c>
      <c r="AY429" s="21" t="str">
        <f>IF(AND($AM429&lt;&gt;"",$AS429&lt;&gt;"✓"),SUMPRODUCT(($AM$11:$AM429&lt;&gt;"")*($AS$11:$AS429&lt;&gt;"✓")),"")</f>
        <v/>
      </c>
      <c r="AZ429" s="21" t="str">
        <f>IF(AND($AM429&lt;&gt;"",$AS429="✓"),SUMPRODUCT(($AM$11:$AM429&lt;&gt;"")*($AS$11:$AS429="✓")),"")</f>
        <v/>
      </c>
      <c r="BA429" s="21" t="str">
        <f>IF($AL429="","",$AL429&amp;"|"&amp;COUNTIF($AL$11:$AL429,$AL429))</f>
        <v/>
      </c>
    </row>
    <row r="430" spans="2:53" ht="15" customHeight="1" x14ac:dyDescent="0.25">
      <c r="B430" s="5" t="str">
        <f t="shared" si="82"/>
        <v/>
      </c>
      <c r="C430" s="5"/>
      <c r="D430" s="5"/>
      <c r="E430" s="5"/>
      <c r="F430" s="6"/>
      <c r="G430" s="6"/>
      <c r="H430" s="7"/>
      <c r="I430" s="8"/>
      <c r="W430" s="28" t="str">
        <f>IF(X430="","",IFERROR(INDEX($AL$11:$AL$4010,MATCH(420,$AY$11:$AY$4010,0)),""))</f>
        <v/>
      </c>
      <c r="X430" s="26" t="str">
        <f>IFERROR(INDEX($AM$11:$AM$4010,MATCH(420,$AY$11:$AY$4010,0)),"")</f>
        <v/>
      </c>
      <c r="Y430" s="25" t="str">
        <f>IF(X430="","",IFERROR(INDEX($AN$11:$AN$4010,MATCH(420,$AY$11:$AY$4010,0)),""))</f>
        <v/>
      </c>
      <c r="Z430" s="25" t="str">
        <f>IF(X430="","",IFERROR(INDEX($AO$11:$AO$4010,MATCH(420,$AY$11:$AY$4010,0)),""))</f>
        <v/>
      </c>
      <c r="AA430" s="24" t="str">
        <f>IF(X430="","",IFERROR(INDEX($AQ$11:$AQ$4010,MATCH(420,$AY$11:$AY$4010,0)),""))</f>
        <v/>
      </c>
      <c r="AB430" s="29" t="str">
        <f>IF(X430="","",IFERROR(INDEX($AR$11:$AR$4010,MATCH(420,$AY$11:$AY$4010,0)),""))</f>
        <v/>
      </c>
      <c r="AD430" s="30" t="str">
        <f>IF(AE430="","",IFERROR(INDEX($AL$11:$AL$4010,MATCH(420,$AZ$11:$AZ$4010,0)),""))</f>
        <v/>
      </c>
      <c r="AE430" s="26" t="str">
        <f>IFERROR(INDEX($AM$11:$AM$4010,MATCH(420,$AZ$11:$AZ$4010,0)),"")</f>
        <v/>
      </c>
      <c r="AF430" s="25" t="str">
        <f>IF(AE430="","",IFERROR(INDEX($AN$11:$AN$4010,MATCH(420,$AZ$11:$AZ$4010,0)),""))</f>
        <v/>
      </c>
      <c r="AG430" s="25" t="str">
        <f>IF(AE430="","",IFERROR(INDEX($AO$11:$AO$4010,MATCH(420,$AZ$11:$AZ$4010,0)),""))</f>
        <v/>
      </c>
      <c r="AH430" s="24" t="str">
        <f>IF(AE430="","",IFERROR(INDEX($AQ$11:$AQ$4010,MATCH(420,$AZ$11:$AZ$4010,0)),""))</f>
        <v/>
      </c>
      <c r="AI430" s="29" t="str">
        <f>IF(AE430="","",IFERROR(INDEX($AR$11:$AR$4010,MATCH(420,$AZ$11:$AZ$4010,0)),""))</f>
        <v/>
      </c>
      <c r="AJ430" s="29" t="str">
        <f>IF(AE430="","",IFERROR(INDEX($AT$11:$AT$4010,MATCH(420,$AZ$11:$AZ$4010,0)),""))</f>
        <v/>
      </c>
      <c r="AL430" s="31" t="str">
        <f t="shared" si="83"/>
        <v/>
      </c>
      <c r="AM430" s="26" t="str">
        <f t="shared" si="84"/>
        <v/>
      </c>
      <c r="AN430" s="32" t="str">
        <f t="shared" si="85"/>
        <v/>
      </c>
      <c r="AO430" s="32" t="str">
        <f t="shared" si="86"/>
        <v/>
      </c>
      <c r="AP430" s="24" t="str">
        <f t="shared" si="87"/>
        <v/>
      </c>
      <c r="AQ430" s="24" t="str">
        <f t="shared" si="88"/>
        <v/>
      </c>
      <c r="AR430" s="33" t="str">
        <f t="shared" si="89"/>
        <v/>
      </c>
      <c r="AS430" s="34"/>
      <c r="AT430" s="33"/>
      <c r="AV430" s="21">
        <f>IF(AND($AL430&lt;&gt;"",COUNTIF($AL$11:$AL430,$AL430)=1),1,0)</f>
        <v>0</v>
      </c>
      <c r="AW430" s="21">
        <f t="shared" si="91"/>
        <v>2</v>
      </c>
      <c r="AX430" s="21" t="str">
        <f t="shared" si="90"/>
        <v/>
      </c>
      <c r="AY430" s="21" t="str">
        <f>IF(AND($AM430&lt;&gt;"",$AS430&lt;&gt;"✓"),SUMPRODUCT(($AM$11:$AM430&lt;&gt;"")*($AS$11:$AS430&lt;&gt;"✓")),"")</f>
        <v/>
      </c>
      <c r="AZ430" s="21" t="str">
        <f>IF(AND($AM430&lt;&gt;"",$AS430="✓"),SUMPRODUCT(($AM$11:$AM430&lt;&gt;"")*($AS$11:$AS430="✓")),"")</f>
        <v/>
      </c>
      <c r="BA430" s="21" t="str">
        <f>IF($AL430="","",$AL430&amp;"|"&amp;COUNTIF($AL$11:$AL430,$AL430))</f>
        <v/>
      </c>
    </row>
    <row r="431" spans="2:53" ht="15" customHeight="1" x14ac:dyDescent="0.25">
      <c r="B431" s="5" t="str">
        <f t="shared" si="82"/>
        <v/>
      </c>
      <c r="C431" s="5"/>
      <c r="D431" s="5"/>
      <c r="E431" s="5"/>
      <c r="F431" s="6"/>
      <c r="G431" s="6"/>
      <c r="H431" s="7"/>
      <c r="I431" s="8"/>
      <c r="W431" s="14" t="str">
        <f>IF(X431="","",IFERROR(INDEX($AL$11:$AL$4010,MATCH(421,$AY$11:$AY$4010,0)),""))</f>
        <v/>
      </c>
      <c r="X431" s="12" t="str">
        <f>IFERROR(INDEX($AM$11:$AM$4010,MATCH(421,$AY$11:$AY$4010,0)),"")</f>
        <v/>
      </c>
      <c r="Y431" s="11" t="str">
        <f>IF(X431="","",IFERROR(INDEX($AN$11:$AN$4010,MATCH(421,$AY$11:$AY$4010,0)),""))</f>
        <v/>
      </c>
      <c r="Z431" s="11" t="str">
        <f>IF(X431="","",IFERROR(INDEX($AO$11:$AO$4010,MATCH(421,$AY$11:$AY$4010,0)),""))</f>
        <v/>
      </c>
      <c r="AA431" s="10" t="str">
        <f>IF(X431="","",IFERROR(INDEX($AQ$11:$AQ$4010,MATCH(421,$AY$11:$AY$4010,0)),""))</f>
        <v/>
      </c>
      <c r="AB431" s="15" t="str">
        <f>IF(X431="","",IFERROR(INDEX($AR$11:$AR$4010,MATCH(421,$AY$11:$AY$4010,0)),""))</f>
        <v/>
      </c>
      <c r="AD431" s="16" t="str">
        <f>IF(AE431="","",IFERROR(INDEX($AL$11:$AL$4010,MATCH(421,$AZ$11:$AZ$4010,0)),""))</f>
        <v/>
      </c>
      <c r="AE431" s="12" t="str">
        <f>IFERROR(INDEX($AM$11:$AM$4010,MATCH(421,$AZ$11:$AZ$4010,0)),"")</f>
        <v/>
      </c>
      <c r="AF431" s="11" t="str">
        <f>IF(AE431="","",IFERROR(INDEX($AN$11:$AN$4010,MATCH(421,$AZ$11:$AZ$4010,0)),""))</f>
        <v/>
      </c>
      <c r="AG431" s="11" t="str">
        <f>IF(AE431="","",IFERROR(INDEX($AO$11:$AO$4010,MATCH(421,$AZ$11:$AZ$4010,0)),""))</f>
        <v/>
      </c>
      <c r="AH431" s="10" t="str">
        <f>IF(AE431="","",IFERROR(INDEX($AQ$11:$AQ$4010,MATCH(421,$AZ$11:$AZ$4010,0)),""))</f>
        <v/>
      </c>
      <c r="AI431" s="15" t="str">
        <f>IF(AE431="","",IFERROR(INDEX($AR$11:$AR$4010,MATCH(421,$AZ$11:$AZ$4010,0)),""))</f>
        <v/>
      </c>
      <c r="AJ431" s="15" t="str">
        <f>IF(AE431="","",IFERROR(INDEX($AT$11:$AT$4010,MATCH(421,$AZ$11:$AZ$4010,0)),""))</f>
        <v/>
      </c>
      <c r="AL431" s="17" t="str">
        <f t="shared" si="83"/>
        <v/>
      </c>
      <c r="AM431" s="12" t="str">
        <f t="shared" si="84"/>
        <v/>
      </c>
      <c r="AN431" s="18" t="str">
        <f t="shared" si="85"/>
        <v/>
      </c>
      <c r="AO431" s="18" t="str">
        <f t="shared" si="86"/>
        <v/>
      </c>
      <c r="AP431" s="10" t="str">
        <f t="shared" si="87"/>
        <v/>
      </c>
      <c r="AQ431" s="10" t="str">
        <f t="shared" si="88"/>
        <v/>
      </c>
      <c r="AR431" s="19" t="str">
        <f t="shared" si="89"/>
        <v/>
      </c>
      <c r="AS431" s="20"/>
      <c r="AT431" s="19"/>
      <c r="AV431" s="21">
        <f>IF(AND($AL431&lt;&gt;"",COUNTIF($AL$11:$AL431,$AL431)=1),1,0)</f>
        <v>0</v>
      </c>
      <c r="AW431" s="21">
        <f t="shared" si="91"/>
        <v>2</v>
      </c>
      <c r="AX431" s="21" t="str">
        <f t="shared" si="90"/>
        <v/>
      </c>
      <c r="AY431" s="21" t="str">
        <f>IF(AND($AM431&lt;&gt;"",$AS431&lt;&gt;"✓"),SUMPRODUCT(($AM$11:$AM431&lt;&gt;"")*($AS$11:$AS431&lt;&gt;"✓")),"")</f>
        <v/>
      </c>
      <c r="AZ431" s="21" t="str">
        <f>IF(AND($AM431&lt;&gt;"",$AS431="✓"),SUMPRODUCT(($AM$11:$AM431&lt;&gt;"")*($AS$11:$AS431="✓")),"")</f>
        <v/>
      </c>
      <c r="BA431" s="21" t="str">
        <f>IF($AL431="","",$AL431&amp;"|"&amp;COUNTIF($AL$11:$AL431,$AL431))</f>
        <v/>
      </c>
    </row>
    <row r="432" spans="2:53" ht="15" customHeight="1" x14ac:dyDescent="0.25">
      <c r="B432" s="5" t="str">
        <f t="shared" si="82"/>
        <v/>
      </c>
      <c r="C432" s="5"/>
      <c r="D432" s="5"/>
      <c r="E432" s="5"/>
      <c r="F432" s="6"/>
      <c r="G432" s="6"/>
      <c r="H432" s="7"/>
      <c r="I432" s="8"/>
      <c r="W432" s="28" t="str">
        <f>IF(X432="","",IFERROR(INDEX($AL$11:$AL$4010,MATCH(422,$AY$11:$AY$4010,0)),""))</f>
        <v/>
      </c>
      <c r="X432" s="26" t="str">
        <f>IFERROR(INDEX($AM$11:$AM$4010,MATCH(422,$AY$11:$AY$4010,0)),"")</f>
        <v/>
      </c>
      <c r="Y432" s="25" t="str">
        <f>IF(X432="","",IFERROR(INDEX($AN$11:$AN$4010,MATCH(422,$AY$11:$AY$4010,0)),""))</f>
        <v/>
      </c>
      <c r="Z432" s="25" t="str">
        <f>IF(X432="","",IFERROR(INDEX($AO$11:$AO$4010,MATCH(422,$AY$11:$AY$4010,0)),""))</f>
        <v/>
      </c>
      <c r="AA432" s="24" t="str">
        <f>IF(X432="","",IFERROR(INDEX($AQ$11:$AQ$4010,MATCH(422,$AY$11:$AY$4010,0)),""))</f>
        <v/>
      </c>
      <c r="AB432" s="29" t="str">
        <f>IF(X432="","",IFERROR(INDEX($AR$11:$AR$4010,MATCH(422,$AY$11:$AY$4010,0)),""))</f>
        <v/>
      </c>
      <c r="AD432" s="30" t="str">
        <f>IF(AE432="","",IFERROR(INDEX($AL$11:$AL$4010,MATCH(422,$AZ$11:$AZ$4010,0)),""))</f>
        <v/>
      </c>
      <c r="AE432" s="26" t="str">
        <f>IFERROR(INDEX($AM$11:$AM$4010,MATCH(422,$AZ$11:$AZ$4010,0)),"")</f>
        <v/>
      </c>
      <c r="AF432" s="25" t="str">
        <f>IF(AE432="","",IFERROR(INDEX($AN$11:$AN$4010,MATCH(422,$AZ$11:$AZ$4010,0)),""))</f>
        <v/>
      </c>
      <c r="AG432" s="25" t="str">
        <f>IF(AE432="","",IFERROR(INDEX($AO$11:$AO$4010,MATCH(422,$AZ$11:$AZ$4010,0)),""))</f>
        <v/>
      </c>
      <c r="AH432" s="24" t="str">
        <f>IF(AE432="","",IFERROR(INDEX($AQ$11:$AQ$4010,MATCH(422,$AZ$11:$AZ$4010,0)),""))</f>
        <v/>
      </c>
      <c r="AI432" s="29" t="str">
        <f>IF(AE432="","",IFERROR(INDEX($AR$11:$AR$4010,MATCH(422,$AZ$11:$AZ$4010,0)),""))</f>
        <v/>
      </c>
      <c r="AJ432" s="29" t="str">
        <f>IF(AE432="","",IFERROR(INDEX($AT$11:$AT$4010,MATCH(422,$AZ$11:$AZ$4010,0)),""))</f>
        <v/>
      </c>
      <c r="AL432" s="31" t="str">
        <f t="shared" si="83"/>
        <v/>
      </c>
      <c r="AM432" s="26" t="str">
        <f t="shared" si="84"/>
        <v/>
      </c>
      <c r="AN432" s="32" t="str">
        <f t="shared" si="85"/>
        <v/>
      </c>
      <c r="AO432" s="32" t="str">
        <f t="shared" si="86"/>
        <v/>
      </c>
      <c r="AP432" s="24" t="str">
        <f t="shared" si="87"/>
        <v/>
      </c>
      <c r="AQ432" s="24" t="str">
        <f t="shared" si="88"/>
        <v/>
      </c>
      <c r="AR432" s="33" t="str">
        <f t="shared" si="89"/>
        <v/>
      </c>
      <c r="AS432" s="34"/>
      <c r="AT432" s="33"/>
      <c r="AV432" s="21">
        <f>IF(AND($AL432&lt;&gt;"",COUNTIF($AL$11:$AL432,$AL432)=1),1,0)</f>
        <v>0</v>
      </c>
      <c r="AW432" s="21">
        <f t="shared" si="91"/>
        <v>2</v>
      </c>
      <c r="AX432" s="21" t="str">
        <f t="shared" si="90"/>
        <v/>
      </c>
      <c r="AY432" s="21" t="str">
        <f>IF(AND($AM432&lt;&gt;"",$AS432&lt;&gt;"✓"),SUMPRODUCT(($AM$11:$AM432&lt;&gt;"")*($AS$11:$AS432&lt;&gt;"✓")),"")</f>
        <v/>
      </c>
      <c r="AZ432" s="21" t="str">
        <f>IF(AND($AM432&lt;&gt;"",$AS432="✓"),SUMPRODUCT(($AM$11:$AM432&lt;&gt;"")*($AS$11:$AS432="✓")),"")</f>
        <v/>
      </c>
      <c r="BA432" s="21" t="str">
        <f>IF($AL432="","",$AL432&amp;"|"&amp;COUNTIF($AL$11:$AL432,$AL432))</f>
        <v/>
      </c>
    </row>
    <row r="433" spans="2:53" ht="15" customHeight="1" x14ac:dyDescent="0.25">
      <c r="B433" s="5" t="str">
        <f t="shared" si="82"/>
        <v/>
      </c>
      <c r="C433" s="5"/>
      <c r="D433" s="5"/>
      <c r="E433" s="5"/>
      <c r="F433" s="6"/>
      <c r="G433" s="6"/>
      <c r="H433" s="7"/>
      <c r="I433" s="8"/>
      <c r="W433" s="14" t="str">
        <f>IF(X433="","",IFERROR(INDEX($AL$11:$AL$4010,MATCH(423,$AY$11:$AY$4010,0)),""))</f>
        <v/>
      </c>
      <c r="X433" s="12" t="str">
        <f>IFERROR(INDEX($AM$11:$AM$4010,MATCH(423,$AY$11:$AY$4010,0)),"")</f>
        <v/>
      </c>
      <c r="Y433" s="11" t="str">
        <f>IF(X433="","",IFERROR(INDEX($AN$11:$AN$4010,MATCH(423,$AY$11:$AY$4010,0)),""))</f>
        <v/>
      </c>
      <c r="Z433" s="11" t="str">
        <f>IF(X433="","",IFERROR(INDEX($AO$11:$AO$4010,MATCH(423,$AY$11:$AY$4010,0)),""))</f>
        <v/>
      </c>
      <c r="AA433" s="10" t="str">
        <f>IF(X433="","",IFERROR(INDEX($AQ$11:$AQ$4010,MATCH(423,$AY$11:$AY$4010,0)),""))</f>
        <v/>
      </c>
      <c r="AB433" s="15" t="str">
        <f>IF(X433="","",IFERROR(INDEX($AR$11:$AR$4010,MATCH(423,$AY$11:$AY$4010,0)),""))</f>
        <v/>
      </c>
      <c r="AD433" s="16" t="str">
        <f>IF(AE433="","",IFERROR(INDEX($AL$11:$AL$4010,MATCH(423,$AZ$11:$AZ$4010,0)),""))</f>
        <v/>
      </c>
      <c r="AE433" s="12" t="str">
        <f>IFERROR(INDEX($AM$11:$AM$4010,MATCH(423,$AZ$11:$AZ$4010,0)),"")</f>
        <v/>
      </c>
      <c r="AF433" s="11" t="str">
        <f>IF(AE433="","",IFERROR(INDEX($AN$11:$AN$4010,MATCH(423,$AZ$11:$AZ$4010,0)),""))</f>
        <v/>
      </c>
      <c r="AG433" s="11" t="str">
        <f>IF(AE433="","",IFERROR(INDEX($AO$11:$AO$4010,MATCH(423,$AZ$11:$AZ$4010,0)),""))</f>
        <v/>
      </c>
      <c r="AH433" s="10" t="str">
        <f>IF(AE433="","",IFERROR(INDEX($AQ$11:$AQ$4010,MATCH(423,$AZ$11:$AZ$4010,0)),""))</f>
        <v/>
      </c>
      <c r="AI433" s="15" t="str">
        <f>IF(AE433="","",IFERROR(INDEX($AR$11:$AR$4010,MATCH(423,$AZ$11:$AZ$4010,0)),""))</f>
        <v/>
      </c>
      <c r="AJ433" s="15" t="str">
        <f>IF(AE433="","",IFERROR(INDEX($AT$11:$AT$4010,MATCH(423,$AZ$11:$AZ$4010,0)),""))</f>
        <v/>
      </c>
      <c r="AL433" s="17" t="str">
        <f t="shared" si="83"/>
        <v/>
      </c>
      <c r="AM433" s="12" t="str">
        <f t="shared" si="84"/>
        <v/>
      </c>
      <c r="AN433" s="18" t="str">
        <f t="shared" si="85"/>
        <v/>
      </c>
      <c r="AO433" s="18" t="str">
        <f t="shared" si="86"/>
        <v/>
      </c>
      <c r="AP433" s="10" t="str">
        <f t="shared" si="87"/>
        <v/>
      </c>
      <c r="AQ433" s="10" t="str">
        <f t="shared" si="88"/>
        <v/>
      </c>
      <c r="AR433" s="19" t="str">
        <f t="shared" si="89"/>
        <v/>
      </c>
      <c r="AS433" s="20"/>
      <c r="AT433" s="19"/>
      <c r="AV433" s="21">
        <f>IF(AND($AL433&lt;&gt;"",COUNTIF($AL$11:$AL433,$AL433)=1),1,0)</f>
        <v>0</v>
      </c>
      <c r="AW433" s="21">
        <f t="shared" si="91"/>
        <v>2</v>
      </c>
      <c r="AX433" s="21" t="str">
        <f t="shared" si="90"/>
        <v/>
      </c>
      <c r="AY433" s="21" t="str">
        <f>IF(AND($AM433&lt;&gt;"",$AS433&lt;&gt;"✓"),SUMPRODUCT(($AM$11:$AM433&lt;&gt;"")*($AS$11:$AS433&lt;&gt;"✓")),"")</f>
        <v/>
      </c>
      <c r="AZ433" s="21" t="str">
        <f>IF(AND($AM433&lt;&gt;"",$AS433="✓"),SUMPRODUCT(($AM$11:$AM433&lt;&gt;"")*($AS$11:$AS433="✓")),"")</f>
        <v/>
      </c>
      <c r="BA433" s="21" t="str">
        <f>IF($AL433="","",$AL433&amp;"|"&amp;COUNTIF($AL$11:$AL433,$AL433))</f>
        <v/>
      </c>
    </row>
    <row r="434" spans="2:53" ht="15" customHeight="1" x14ac:dyDescent="0.25">
      <c r="B434" s="5" t="str">
        <f t="shared" si="82"/>
        <v/>
      </c>
      <c r="C434" s="5"/>
      <c r="D434" s="5"/>
      <c r="E434" s="5"/>
      <c r="F434" s="6"/>
      <c r="G434" s="6"/>
      <c r="H434" s="7"/>
      <c r="I434" s="8"/>
      <c r="W434" s="28" t="str">
        <f>IF(X434="","",IFERROR(INDEX($AL$11:$AL$4010,MATCH(424,$AY$11:$AY$4010,0)),""))</f>
        <v/>
      </c>
      <c r="X434" s="26" t="str">
        <f>IFERROR(INDEX($AM$11:$AM$4010,MATCH(424,$AY$11:$AY$4010,0)),"")</f>
        <v/>
      </c>
      <c r="Y434" s="25" t="str">
        <f>IF(X434="","",IFERROR(INDEX($AN$11:$AN$4010,MATCH(424,$AY$11:$AY$4010,0)),""))</f>
        <v/>
      </c>
      <c r="Z434" s="25" t="str">
        <f>IF(X434="","",IFERROR(INDEX($AO$11:$AO$4010,MATCH(424,$AY$11:$AY$4010,0)),""))</f>
        <v/>
      </c>
      <c r="AA434" s="24" t="str">
        <f>IF(X434="","",IFERROR(INDEX($AQ$11:$AQ$4010,MATCH(424,$AY$11:$AY$4010,0)),""))</f>
        <v/>
      </c>
      <c r="AB434" s="29" t="str">
        <f>IF(X434="","",IFERROR(INDEX($AR$11:$AR$4010,MATCH(424,$AY$11:$AY$4010,0)),""))</f>
        <v/>
      </c>
      <c r="AD434" s="30" t="str">
        <f>IF(AE434="","",IFERROR(INDEX($AL$11:$AL$4010,MATCH(424,$AZ$11:$AZ$4010,0)),""))</f>
        <v/>
      </c>
      <c r="AE434" s="26" t="str">
        <f>IFERROR(INDEX($AM$11:$AM$4010,MATCH(424,$AZ$11:$AZ$4010,0)),"")</f>
        <v/>
      </c>
      <c r="AF434" s="25" t="str">
        <f>IF(AE434="","",IFERROR(INDEX($AN$11:$AN$4010,MATCH(424,$AZ$11:$AZ$4010,0)),""))</f>
        <v/>
      </c>
      <c r="AG434" s="25" t="str">
        <f>IF(AE434="","",IFERROR(INDEX($AO$11:$AO$4010,MATCH(424,$AZ$11:$AZ$4010,0)),""))</f>
        <v/>
      </c>
      <c r="AH434" s="24" t="str">
        <f>IF(AE434="","",IFERROR(INDEX($AQ$11:$AQ$4010,MATCH(424,$AZ$11:$AZ$4010,0)),""))</f>
        <v/>
      </c>
      <c r="AI434" s="29" t="str">
        <f>IF(AE434="","",IFERROR(INDEX($AR$11:$AR$4010,MATCH(424,$AZ$11:$AZ$4010,0)),""))</f>
        <v/>
      </c>
      <c r="AJ434" s="29" t="str">
        <f>IF(AE434="","",IFERROR(INDEX($AT$11:$AT$4010,MATCH(424,$AZ$11:$AZ$4010,0)),""))</f>
        <v/>
      </c>
      <c r="AL434" s="31" t="str">
        <f t="shared" si="83"/>
        <v/>
      </c>
      <c r="AM434" s="26" t="str">
        <f t="shared" si="84"/>
        <v/>
      </c>
      <c r="AN434" s="32" t="str">
        <f t="shared" si="85"/>
        <v/>
      </c>
      <c r="AO434" s="32" t="str">
        <f t="shared" si="86"/>
        <v/>
      </c>
      <c r="AP434" s="24" t="str">
        <f t="shared" si="87"/>
        <v/>
      </c>
      <c r="AQ434" s="24" t="str">
        <f t="shared" si="88"/>
        <v/>
      </c>
      <c r="AR434" s="33" t="str">
        <f t="shared" si="89"/>
        <v/>
      </c>
      <c r="AS434" s="34"/>
      <c r="AT434" s="33"/>
      <c r="AV434" s="21">
        <f>IF(AND($AL434&lt;&gt;"",COUNTIF($AL$11:$AL434,$AL434)=1),1,0)</f>
        <v>0</v>
      </c>
      <c r="AW434" s="21">
        <f t="shared" si="91"/>
        <v>2</v>
      </c>
      <c r="AX434" s="21" t="str">
        <f t="shared" si="90"/>
        <v/>
      </c>
      <c r="AY434" s="21" t="str">
        <f>IF(AND($AM434&lt;&gt;"",$AS434&lt;&gt;"✓"),SUMPRODUCT(($AM$11:$AM434&lt;&gt;"")*($AS$11:$AS434&lt;&gt;"✓")),"")</f>
        <v/>
      </c>
      <c r="AZ434" s="21" t="str">
        <f>IF(AND($AM434&lt;&gt;"",$AS434="✓"),SUMPRODUCT(($AM$11:$AM434&lt;&gt;"")*($AS$11:$AS434="✓")),"")</f>
        <v/>
      </c>
      <c r="BA434" s="21" t="str">
        <f>IF($AL434="","",$AL434&amp;"|"&amp;COUNTIF($AL$11:$AL434,$AL434))</f>
        <v/>
      </c>
    </row>
    <row r="435" spans="2:53" ht="15" customHeight="1" x14ac:dyDescent="0.25">
      <c r="B435" s="5" t="str">
        <f t="shared" si="82"/>
        <v/>
      </c>
      <c r="C435" s="5"/>
      <c r="D435" s="5"/>
      <c r="E435" s="5"/>
      <c r="F435" s="6"/>
      <c r="G435" s="6"/>
      <c r="H435" s="7"/>
      <c r="I435" s="8"/>
      <c r="W435" s="14" t="str">
        <f>IF(X435="","",IFERROR(INDEX($AL$11:$AL$4010,MATCH(425,$AY$11:$AY$4010,0)),""))</f>
        <v/>
      </c>
      <c r="X435" s="12" t="str">
        <f>IFERROR(INDEX($AM$11:$AM$4010,MATCH(425,$AY$11:$AY$4010,0)),"")</f>
        <v/>
      </c>
      <c r="Y435" s="11" t="str">
        <f>IF(X435="","",IFERROR(INDEX($AN$11:$AN$4010,MATCH(425,$AY$11:$AY$4010,0)),""))</f>
        <v/>
      </c>
      <c r="Z435" s="11" t="str">
        <f>IF(X435="","",IFERROR(INDEX($AO$11:$AO$4010,MATCH(425,$AY$11:$AY$4010,0)),""))</f>
        <v/>
      </c>
      <c r="AA435" s="10" t="str">
        <f>IF(X435="","",IFERROR(INDEX($AQ$11:$AQ$4010,MATCH(425,$AY$11:$AY$4010,0)),""))</f>
        <v/>
      </c>
      <c r="AB435" s="15" t="str">
        <f>IF(X435="","",IFERROR(INDEX($AR$11:$AR$4010,MATCH(425,$AY$11:$AY$4010,0)),""))</f>
        <v/>
      </c>
      <c r="AD435" s="16" t="str">
        <f>IF(AE435="","",IFERROR(INDEX($AL$11:$AL$4010,MATCH(425,$AZ$11:$AZ$4010,0)),""))</f>
        <v/>
      </c>
      <c r="AE435" s="12" t="str">
        <f>IFERROR(INDEX($AM$11:$AM$4010,MATCH(425,$AZ$11:$AZ$4010,0)),"")</f>
        <v/>
      </c>
      <c r="AF435" s="11" t="str">
        <f>IF(AE435="","",IFERROR(INDEX($AN$11:$AN$4010,MATCH(425,$AZ$11:$AZ$4010,0)),""))</f>
        <v/>
      </c>
      <c r="AG435" s="11" t="str">
        <f>IF(AE435="","",IFERROR(INDEX($AO$11:$AO$4010,MATCH(425,$AZ$11:$AZ$4010,0)),""))</f>
        <v/>
      </c>
      <c r="AH435" s="10" t="str">
        <f>IF(AE435="","",IFERROR(INDEX($AQ$11:$AQ$4010,MATCH(425,$AZ$11:$AZ$4010,0)),""))</f>
        <v/>
      </c>
      <c r="AI435" s="15" t="str">
        <f>IF(AE435="","",IFERROR(INDEX($AR$11:$AR$4010,MATCH(425,$AZ$11:$AZ$4010,0)),""))</f>
        <v/>
      </c>
      <c r="AJ435" s="15" t="str">
        <f>IF(AE435="","",IFERROR(INDEX($AT$11:$AT$4010,MATCH(425,$AZ$11:$AZ$4010,0)),""))</f>
        <v/>
      </c>
      <c r="AL435" s="17" t="str">
        <f t="shared" si="83"/>
        <v/>
      </c>
      <c r="AM435" s="12" t="str">
        <f t="shared" si="84"/>
        <v/>
      </c>
      <c r="AN435" s="18" t="str">
        <f t="shared" si="85"/>
        <v/>
      </c>
      <c r="AO435" s="18" t="str">
        <f t="shared" si="86"/>
        <v/>
      </c>
      <c r="AP435" s="10" t="str">
        <f t="shared" si="87"/>
        <v/>
      </c>
      <c r="AQ435" s="10" t="str">
        <f t="shared" si="88"/>
        <v/>
      </c>
      <c r="AR435" s="19" t="str">
        <f t="shared" si="89"/>
        <v/>
      </c>
      <c r="AS435" s="20"/>
      <c r="AT435" s="19"/>
      <c r="AV435" s="21">
        <f>IF(AND($AL435&lt;&gt;"",COUNTIF($AL$11:$AL435,$AL435)=1),1,0)</f>
        <v>0</v>
      </c>
      <c r="AW435" s="21">
        <f t="shared" si="91"/>
        <v>2</v>
      </c>
      <c r="AX435" s="21" t="str">
        <f t="shared" si="90"/>
        <v/>
      </c>
      <c r="AY435" s="21" t="str">
        <f>IF(AND($AM435&lt;&gt;"",$AS435&lt;&gt;"✓"),SUMPRODUCT(($AM$11:$AM435&lt;&gt;"")*($AS$11:$AS435&lt;&gt;"✓")),"")</f>
        <v/>
      </c>
      <c r="AZ435" s="21" t="str">
        <f>IF(AND($AM435&lt;&gt;"",$AS435="✓"),SUMPRODUCT(($AM$11:$AM435&lt;&gt;"")*($AS$11:$AS435="✓")),"")</f>
        <v/>
      </c>
      <c r="BA435" s="21" t="str">
        <f>IF($AL435="","",$AL435&amp;"|"&amp;COUNTIF($AL$11:$AL435,$AL435))</f>
        <v/>
      </c>
    </row>
    <row r="436" spans="2:53" ht="15" customHeight="1" x14ac:dyDescent="0.25">
      <c r="B436" s="5" t="str">
        <f t="shared" si="82"/>
        <v/>
      </c>
      <c r="C436" s="5"/>
      <c r="D436" s="5"/>
      <c r="E436" s="5"/>
      <c r="F436" s="6"/>
      <c r="G436" s="6"/>
      <c r="H436" s="7"/>
      <c r="I436" s="8"/>
      <c r="W436" s="28" t="str">
        <f>IF(X436="","",IFERROR(INDEX($AL$11:$AL$4010,MATCH(426,$AY$11:$AY$4010,0)),""))</f>
        <v/>
      </c>
      <c r="X436" s="26" t="str">
        <f>IFERROR(INDEX($AM$11:$AM$4010,MATCH(426,$AY$11:$AY$4010,0)),"")</f>
        <v/>
      </c>
      <c r="Y436" s="25" t="str">
        <f>IF(X436="","",IFERROR(INDEX($AN$11:$AN$4010,MATCH(426,$AY$11:$AY$4010,0)),""))</f>
        <v/>
      </c>
      <c r="Z436" s="25" t="str">
        <f>IF(X436="","",IFERROR(INDEX($AO$11:$AO$4010,MATCH(426,$AY$11:$AY$4010,0)),""))</f>
        <v/>
      </c>
      <c r="AA436" s="24" t="str">
        <f>IF(X436="","",IFERROR(INDEX($AQ$11:$AQ$4010,MATCH(426,$AY$11:$AY$4010,0)),""))</f>
        <v/>
      </c>
      <c r="AB436" s="29" t="str">
        <f>IF(X436="","",IFERROR(INDEX($AR$11:$AR$4010,MATCH(426,$AY$11:$AY$4010,0)),""))</f>
        <v/>
      </c>
      <c r="AD436" s="30" t="str">
        <f>IF(AE436="","",IFERROR(INDEX($AL$11:$AL$4010,MATCH(426,$AZ$11:$AZ$4010,0)),""))</f>
        <v/>
      </c>
      <c r="AE436" s="26" t="str">
        <f>IFERROR(INDEX($AM$11:$AM$4010,MATCH(426,$AZ$11:$AZ$4010,0)),"")</f>
        <v/>
      </c>
      <c r="AF436" s="25" t="str">
        <f>IF(AE436="","",IFERROR(INDEX($AN$11:$AN$4010,MATCH(426,$AZ$11:$AZ$4010,0)),""))</f>
        <v/>
      </c>
      <c r="AG436" s="25" t="str">
        <f>IF(AE436="","",IFERROR(INDEX($AO$11:$AO$4010,MATCH(426,$AZ$11:$AZ$4010,0)),""))</f>
        <v/>
      </c>
      <c r="AH436" s="24" t="str">
        <f>IF(AE436="","",IFERROR(INDEX($AQ$11:$AQ$4010,MATCH(426,$AZ$11:$AZ$4010,0)),""))</f>
        <v/>
      </c>
      <c r="AI436" s="29" t="str">
        <f>IF(AE436="","",IFERROR(INDEX($AR$11:$AR$4010,MATCH(426,$AZ$11:$AZ$4010,0)),""))</f>
        <v/>
      </c>
      <c r="AJ436" s="29" t="str">
        <f>IF(AE436="","",IFERROR(INDEX($AT$11:$AT$4010,MATCH(426,$AZ$11:$AZ$4010,0)),""))</f>
        <v/>
      </c>
      <c r="AL436" s="31" t="str">
        <f t="shared" si="83"/>
        <v/>
      </c>
      <c r="AM436" s="26" t="str">
        <f t="shared" si="84"/>
        <v/>
      </c>
      <c r="AN436" s="32" t="str">
        <f t="shared" si="85"/>
        <v/>
      </c>
      <c r="AO436" s="32" t="str">
        <f t="shared" si="86"/>
        <v/>
      </c>
      <c r="AP436" s="24" t="str">
        <f t="shared" si="87"/>
        <v/>
      </c>
      <c r="AQ436" s="24" t="str">
        <f t="shared" si="88"/>
        <v/>
      </c>
      <c r="AR436" s="33" t="str">
        <f t="shared" si="89"/>
        <v/>
      </c>
      <c r="AS436" s="34"/>
      <c r="AT436" s="33"/>
      <c r="AV436" s="21">
        <f>IF(AND($AL436&lt;&gt;"",COUNTIF($AL$11:$AL436,$AL436)=1),1,0)</f>
        <v>0</v>
      </c>
      <c r="AW436" s="21">
        <f t="shared" si="91"/>
        <v>2</v>
      </c>
      <c r="AX436" s="21" t="str">
        <f t="shared" si="90"/>
        <v/>
      </c>
      <c r="AY436" s="21" t="str">
        <f>IF(AND($AM436&lt;&gt;"",$AS436&lt;&gt;"✓"),SUMPRODUCT(($AM$11:$AM436&lt;&gt;"")*($AS$11:$AS436&lt;&gt;"✓")),"")</f>
        <v/>
      </c>
      <c r="AZ436" s="21" t="str">
        <f>IF(AND($AM436&lt;&gt;"",$AS436="✓"),SUMPRODUCT(($AM$11:$AM436&lt;&gt;"")*($AS$11:$AS436="✓")),"")</f>
        <v/>
      </c>
      <c r="BA436" s="21" t="str">
        <f>IF($AL436="","",$AL436&amp;"|"&amp;COUNTIF($AL$11:$AL436,$AL436))</f>
        <v/>
      </c>
    </row>
    <row r="437" spans="2:53" ht="15" customHeight="1" x14ac:dyDescent="0.25">
      <c r="B437" s="5" t="str">
        <f t="shared" si="82"/>
        <v/>
      </c>
      <c r="C437" s="5"/>
      <c r="D437" s="5"/>
      <c r="E437" s="5"/>
      <c r="F437" s="6"/>
      <c r="G437" s="6"/>
      <c r="H437" s="7"/>
      <c r="I437" s="8"/>
      <c r="W437" s="14" t="str">
        <f>IF(X437="","",IFERROR(INDEX($AL$11:$AL$4010,MATCH(427,$AY$11:$AY$4010,0)),""))</f>
        <v/>
      </c>
      <c r="X437" s="12" t="str">
        <f>IFERROR(INDEX($AM$11:$AM$4010,MATCH(427,$AY$11:$AY$4010,0)),"")</f>
        <v/>
      </c>
      <c r="Y437" s="11" t="str">
        <f>IF(X437="","",IFERROR(INDEX($AN$11:$AN$4010,MATCH(427,$AY$11:$AY$4010,0)),""))</f>
        <v/>
      </c>
      <c r="Z437" s="11" t="str">
        <f>IF(X437="","",IFERROR(INDEX($AO$11:$AO$4010,MATCH(427,$AY$11:$AY$4010,0)),""))</f>
        <v/>
      </c>
      <c r="AA437" s="10" t="str">
        <f>IF(X437="","",IFERROR(INDEX($AQ$11:$AQ$4010,MATCH(427,$AY$11:$AY$4010,0)),""))</f>
        <v/>
      </c>
      <c r="AB437" s="15" t="str">
        <f>IF(X437="","",IFERROR(INDEX($AR$11:$AR$4010,MATCH(427,$AY$11:$AY$4010,0)),""))</f>
        <v/>
      </c>
      <c r="AD437" s="16" t="str">
        <f>IF(AE437="","",IFERROR(INDEX($AL$11:$AL$4010,MATCH(427,$AZ$11:$AZ$4010,0)),""))</f>
        <v/>
      </c>
      <c r="AE437" s="12" t="str">
        <f>IFERROR(INDEX($AM$11:$AM$4010,MATCH(427,$AZ$11:$AZ$4010,0)),"")</f>
        <v/>
      </c>
      <c r="AF437" s="11" t="str">
        <f>IF(AE437="","",IFERROR(INDEX($AN$11:$AN$4010,MATCH(427,$AZ$11:$AZ$4010,0)),""))</f>
        <v/>
      </c>
      <c r="AG437" s="11" t="str">
        <f>IF(AE437="","",IFERROR(INDEX($AO$11:$AO$4010,MATCH(427,$AZ$11:$AZ$4010,0)),""))</f>
        <v/>
      </c>
      <c r="AH437" s="10" t="str">
        <f>IF(AE437="","",IFERROR(INDEX($AQ$11:$AQ$4010,MATCH(427,$AZ$11:$AZ$4010,0)),""))</f>
        <v/>
      </c>
      <c r="AI437" s="15" t="str">
        <f>IF(AE437="","",IFERROR(INDEX($AR$11:$AR$4010,MATCH(427,$AZ$11:$AZ$4010,0)),""))</f>
        <v/>
      </c>
      <c r="AJ437" s="15" t="str">
        <f>IF(AE437="","",IFERROR(INDEX($AT$11:$AT$4010,MATCH(427,$AZ$11:$AZ$4010,0)),""))</f>
        <v/>
      </c>
      <c r="AL437" s="17" t="str">
        <f t="shared" si="83"/>
        <v/>
      </c>
      <c r="AM437" s="12" t="str">
        <f t="shared" si="84"/>
        <v/>
      </c>
      <c r="AN437" s="18" t="str">
        <f t="shared" si="85"/>
        <v/>
      </c>
      <c r="AO437" s="18" t="str">
        <f t="shared" si="86"/>
        <v/>
      </c>
      <c r="AP437" s="10" t="str">
        <f t="shared" si="87"/>
        <v/>
      </c>
      <c r="AQ437" s="10" t="str">
        <f t="shared" si="88"/>
        <v/>
      </c>
      <c r="AR437" s="19" t="str">
        <f t="shared" si="89"/>
        <v/>
      </c>
      <c r="AS437" s="20"/>
      <c r="AT437" s="19"/>
      <c r="AV437" s="21">
        <f>IF(AND($AL437&lt;&gt;"",COUNTIF($AL$11:$AL437,$AL437)=1),1,0)</f>
        <v>0</v>
      </c>
      <c r="AW437" s="21">
        <f t="shared" si="91"/>
        <v>2</v>
      </c>
      <c r="AX437" s="21" t="str">
        <f t="shared" si="90"/>
        <v/>
      </c>
      <c r="AY437" s="21" t="str">
        <f>IF(AND($AM437&lt;&gt;"",$AS437&lt;&gt;"✓"),SUMPRODUCT(($AM$11:$AM437&lt;&gt;"")*($AS$11:$AS437&lt;&gt;"✓")),"")</f>
        <v/>
      </c>
      <c r="AZ437" s="21" t="str">
        <f>IF(AND($AM437&lt;&gt;"",$AS437="✓"),SUMPRODUCT(($AM$11:$AM437&lt;&gt;"")*($AS$11:$AS437="✓")),"")</f>
        <v/>
      </c>
      <c r="BA437" s="21" t="str">
        <f>IF($AL437="","",$AL437&amp;"|"&amp;COUNTIF($AL$11:$AL437,$AL437))</f>
        <v/>
      </c>
    </row>
    <row r="438" spans="2:53" ht="15" customHeight="1" x14ac:dyDescent="0.25">
      <c r="B438" s="5" t="str">
        <f t="shared" si="82"/>
        <v/>
      </c>
      <c r="C438" s="5"/>
      <c r="D438" s="5"/>
      <c r="E438" s="5"/>
      <c r="F438" s="6"/>
      <c r="G438" s="6"/>
      <c r="H438" s="7"/>
      <c r="I438" s="8"/>
      <c r="W438" s="28" t="str">
        <f>IF(X438="","",IFERROR(INDEX($AL$11:$AL$4010,MATCH(428,$AY$11:$AY$4010,0)),""))</f>
        <v/>
      </c>
      <c r="X438" s="26" t="str">
        <f>IFERROR(INDEX($AM$11:$AM$4010,MATCH(428,$AY$11:$AY$4010,0)),"")</f>
        <v/>
      </c>
      <c r="Y438" s="25" t="str">
        <f>IF(X438="","",IFERROR(INDEX($AN$11:$AN$4010,MATCH(428,$AY$11:$AY$4010,0)),""))</f>
        <v/>
      </c>
      <c r="Z438" s="25" t="str">
        <f>IF(X438="","",IFERROR(INDEX($AO$11:$AO$4010,MATCH(428,$AY$11:$AY$4010,0)),""))</f>
        <v/>
      </c>
      <c r="AA438" s="24" t="str">
        <f>IF(X438="","",IFERROR(INDEX($AQ$11:$AQ$4010,MATCH(428,$AY$11:$AY$4010,0)),""))</f>
        <v/>
      </c>
      <c r="AB438" s="29" t="str">
        <f>IF(X438="","",IFERROR(INDEX($AR$11:$AR$4010,MATCH(428,$AY$11:$AY$4010,0)),""))</f>
        <v/>
      </c>
      <c r="AD438" s="30" t="str">
        <f>IF(AE438="","",IFERROR(INDEX($AL$11:$AL$4010,MATCH(428,$AZ$11:$AZ$4010,0)),""))</f>
        <v/>
      </c>
      <c r="AE438" s="26" t="str">
        <f>IFERROR(INDEX($AM$11:$AM$4010,MATCH(428,$AZ$11:$AZ$4010,0)),"")</f>
        <v/>
      </c>
      <c r="AF438" s="25" t="str">
        <f>IF(AE438="","",IFERROR(INDEX($AN$11:$AN$4010,MATCH(428,$AZ$11:$AZ$4010,0)),""))</f>
        <v/>
      </c>
      <c r="AG438" s="25" t="str">
        <f>IF(AE438="","",IFERROR(INDEX($AO$11:$AO$4010,MATCH(428,$AZ$11:$AZ$4010,0)),""))</f>
        <v/>
      </c>
      <c r="AH438" s="24" t="str">
        <f>IF(AE438="","",IFERROR(INDEX($AQ$11:$AQ$4010,MATCH(428,$AZ$11:$AZ$4010,0)),""))</f>
        <v/>
      </c>
      <c r="AI438" s="29" t="str">
        <f>IF(AE438="","",IFERROR(INDEX($AR$11:$AR$4010,MATCH(428,$AZ$11:$AZ$4010,0)),""))</f>
        <v/>
      </c>
      <c r="AJ438" s="29" t="str">
        <f>IF(AE438="","",IFERROR(INDEX($AT$11:$AT$4010,MATCH(428,$AZ$11:$AZ$4010,0)),""))</f>
        <v/>
      </c>
      <c r="AL438" s="31" t="str">
        <f t="shared" si="83"/>
        <v/>
      </c>
      <c r="AM438" s="26" t="str">
        <f t="shared" si="84"/>
        <v/>
      </c>
      <c r="AN438" s="32" t="str">
        <f t="shared" si="85"/>
        <v/>
      </c>
      <c r="AO438" s="32" t="str">
        <f t="shared" si="86"/>
        <v/>
      </c>
      <c r="AP438" s="24" t="str">
        <f t="shared" si="87"/>
        <v/>
      </c>
      <c r="AQ438" s="24" t="str">
        <f t="shared" si="88"/>
        <v/>
      </c>
      <c r="AR438" s="33" t="str">
        <f t="shared" si="89"/>
        <v/>
      </c>
      <c r="AS438" s="34"/>
      <c r="AT438" s="33"/>
      <c r="AV438" s="21">
        <f>IF(AND($AL438&lt;&gt;"",COUNTIF($AL$11:$AL438,$AL438)=1),1,0)</f>
        <v>0</v>
      </c>
      <c r="AW438" s="21">
        <f t="shared" si="91"/>
        <v>2</v>
      </c>
      <c r="AX438" s="21" t="str">
        <f t="shared" si="90"/>
        <v/>
      </c>
      <c r="AY438" s="21" t="str">
        <f>IF(AND($AM438&lt;&gt;"",$AS438&lt;&gt;"✓"),SUMPRODUCT(($AM$11:$AM438&lt;&gt;"")*($AS$11:$AS438&lt;&gt;"✓")),"")</f>
        <v/>
      </c>
      <c r="AZ438" s="21" t="str">
        <f>IF(AND($AM438&lt;&gt;"",$AS438="✓"),SUMPRODUCT(($AM$11:$AM438&lt;&gt;"")*($AS$11:$AS438="✓")),"")</f>
        <v/>
      </c>
      <c r="BA438" s="21" t="str">
        <f>IF($AL438="","",$AL438&amp;"|"&amp;COUNTIF($AL$11:$AL438,$AL438))</f>
        <v/>
      </c>
    </row>
    <row r="439" spans="2:53" ht="15" customHeight="1" x14ac:dyDescent="0.25">
      <c r="B439" s="5" t="str">
        <f t="shared" si="82"/>
        <v/>
      </c>
      <c r="C439" s="5"/>
      <c r="D439" s="5"/>
      <c r="E439" s="5"/>
      <c r="F439" s="6"/>
      <c r="G439" s="6"/>
      <c r="H439" s="7"/>
      <c r="I439" s="8"/>
      <c r="W439" s="14" t="str">
        <f>IF(X439="","",IFERROR(INDEX($AL$11:$AL$4010,MATCH(429,$AY$11:$AY$4010,0)),""))</f>
        <v/>
      </c>
      <c r="X439" s="12" t="str">
        <f>IFERROR(INDEX($AM$11:$AM$4010,MATCH(429,$AY$11:$AY$4010,0)),"")</f>
        <v/>
      </c>
      <c r="Y439" s="11" t="str">
        <f>IF(X439="","",IFERROR(INDEX($AN$11:$AN$4010,MATCH(429,$AY$11:$AY$4010,0)),""))</f>
        <v/>
      </c>
      <c r="Z439" s="11" t="str">
        <f>IF(X439="","",IFERROR(INDEX($AO$11:$AO$4010,MATCH(429,$AY$11:$AY$4010,0)),""))</f>
        <v/>
      </c>
      <c r="AA439" s="10" t="str">
        <f>IF(X439="","",IFERROR(INDEX($AQ$11:$AQ$4010,MATCH(429,$AY$11:$AY$4010,0)),""))</f>
        <v/>
      </c>
      <c r="AB439" s="15" t="str">
        <f>IF(X439="","",IFERROR(INDEX($AR$11:$AR$4010,MATCH(429,$AY$11:$AY$4010,0)),""))</f>
        <v/>
      </c>
      <c r="AD439" s="16" t="str">
        <f>IF(AE439="","",IFERROR(INDEX($AL$11:$AL$4010,MATCH(429,$AZ$11:$AZ$4010,0)),""))</f>
        <v/>
      </c>
      <c r="AE439" s="12" t="str">
        <f>IFERROR(INDEX($AM$11:$AM$4010,MATCH(429,$AZ$11:$AZ$4010,0)),"")</f>
        <v/>
      </c>
      <c r="AF439" s="11" t="str">
        <f>IF(AE439="","",IFERROR(INDEX($AN$11:$AN$4010,MATCH(429,$AZ$11:$AZ$4010,0)),""))</f>
        <v/>
      </c>
      <c r="AG439" s="11" t="str">
        <f>IF(AE439="","",IFERROR(INDEX($AO$11:$AO$4010,MATCH(429,$AZ$11:$AZ$4010,0)),""))</f>
        <v/>
      </c>
      <c r="AH439" s="10" t="str">
        <f>IF(AE439="","",IFERROR(INDEX($AQ$11:$AQ$4010,MATCH(429,$AZ$11:$AZ$4010,0)),""))</f>
        <v/>
      </c>
      <c r="AI439" s="15" t="str">
        <f>IF(AE439="","",IFERROR(INDEX($AR$11:$AR$4010,MATCH(429,$AZ$11:$AZ$4010,0)),""))</f>
        <v/>
      </c>
      <c r="AJ439" s="15" t="str">
        <f>IF(AE439="","",IFERROR(INDEX($AT$11:$AT$4010,MATCH(429,$AZ$11:$AZ$4010,0)),""))</f>
        <v/>
      </c>
      <c r="AL439" s="17" t="str">
        <f t="shared" si="83"/>
        <v/>
      </c>
      <c r="AM439" s="12" t="str">
        <f t="shared" si="84"/>
        <v/>
      </c>
      <c r="AN439" s="18" t="str">
        <f t="shared" si="85"/>
        <v/>
      </c>
      <c r="AO439" s="18" t="str">
        <f t="shared" si="86"/>
        <v/>
      </c>
      <c r="AP439" s="10" t="str">
        <f t="shared" si="87"/>
        <v/>
      </c>
      <c r="AQ439" s="10" t="str">
        <f t="shared" si="88"/>
        <v/>
      </c>
      <c r="AR439" s="19" t="str">
        <f t="shared" si="89"/>
        <v/>
      </c>
      <c r="AS439" s="20"/>
      <c r="AT439" s="19"/>
      <c r="AV439" s="21">
        <f>IF(AND($AL439&lt;&gt;"",COUNTIF($AL$11:$AL439,$AL439)=1),1,0)</f>
        <v>0</v>
      </c>
      <c r="AW439" s="21">
        <f t="shared" si="91"/>
        <v>2</v>
      </c>
      <c r="AX439" s="21" t="str">
        <f t="shared" si="90"/>
        <v/>
      </c>
      <c r="AY439" s="21" t="str">
        <f>IF(AND($AM439&lt;&gt;"",$AS439&lt;&gt;"✓"),SUMPRODUCT(($AM$11:$AM439&lt;&gt;"")*($AS$11:$AS439&lt;&gt;"✓")),"")</f>
        <v/>
      </c>
      <c r="AZ439" s="21" t="str">
        <f>IF(AND($AM439&lt;&gt;"",$AS439="✓"),SUMPRODUCT(($AM$11:$AM439&lt;&gt;"")*($AS$11:$AS439="✓")),"")</f>
        <v/>
      </c>
      <c r="BA439" s="21" t="str">
        <f>IF($AL439="","",$AL439&amp;"|"&amp;COUNTIF($AL$11:$AL439,$AL439))</f>
        <v/>
      </c>
    </row>
    <row r="440" spans="2:53" ht="15" customHeight="1" x14ac:dyDescent="0.25">
      <c r="B440" s="5" t="str">
        <f t="shared" si="82"/>
        <v/>
      </c>
      <c r="C440" s="5"/>
      <c r="D440" s="5"/>
      <c r="E440" s="5"/>
      <c r="F440" s="6"/>
      <c r="G440" s="6"/>
      <c r="H440" s="7"/>
      <c r="I440" s="8"/>
      <c r="W440" s="28" t="str">
        <f>IF(X440="","",IFERROR(INDEX($AL$11:$AL$4010,MATCH(430,$AY$11:$AY$4010,0)),""))</f>
        <v/>
      </c>
      <c r="X440" s="26" t="str">
        <f>IFERROR(INDEX($AM$11:$AM$4010,MATCH(430,$AY$11:$AY$4010,0)),"")</f>
        <v/>
      </c>
      <c r="Y440" s="25" t="str">
        <f>IF(X440="","",IFERROR(INDEX($AN$11:$AN$4010,MATCH(430,$AY$11:$AY$4010,0)),""))</f>
        <v/>
      </c>
      <c r="Z440" s="25" t="str">
        <f>IF(X440="","",IFERROR(INDEX($AO$11:$AO$4010,MATCH(430,$AY$11:$AY$4010,0)),""))</f>
        <v/>
      </c>
      <c r="AA440" s="24" t="str">
        <f>IF(X440="","",IFERROR(INDEX($AQ$11:$AQ$4010,MATCH(430,$AY$11:$AY$4010,0)),""))</f>
        <v/>
      </c>
      <c r="AB440" s="29" t="str">
        <f>IF(X440="","",IFERROR(INDEX($AR$11:$AR$4010,MATCH(430,$AY$11:$AY$4010,0)),""))</f>
        <v/>
      </c>
      <c r="AD440" s="30" t="str">
        <f>IF(AE440="","",IFERROR(INDEX($AL$11:$AL$4010,MATCH(430,$AZ$11:$AZ$4010,0)),""))</f>
        <v/>
      </c>
      <c r="AE440" s="26" t="str">
        <f>IFERROR(INDEX($AM$11:$AM$4010,MATCH(430,$AZ$11:$AZ$4010,0)),"")</f>
        <v/>
      </c>
      <c r="AF440" s="25" t="str">
        <f>IF(AE440="","",IFERROR(INDEX($AN$11:$AN$4010,MATCH(430,$AZ$11:$AZ$4010,0)),""))</f>
        <v/>
      </c>
      <c r="AG440" s="25" t="str">
        <f>IF(AE440="","",IFERROR(INDEX($AO$11:$AO$4010,MATCH(430,$AZ$11:$AZ$4010,0)),""))</f>
        <v/>
      </c>
      <c r="AH440" s="24" t="str">
        <f>IF(AE440="","",IFERROR(INDEX($AQ$11:$AQ$4010,MATCH(430,$AZ$11:$AZ$4010,0)),""))</f>
        <v/>
      </c>
      <c r="AI440" s="29" t="str">
        <f>IF(AE440="","",IFERROR(INDEX($AR$11:$AR$4010,MATCH(430,$AZ$11:$AZ$4010,0)),""))</f>
        <v/>
      </c>
      <c r="AJ440" s="29" t="str">
        <f>IF(AE440="","",IFERROR(INDEX($AT$11:$AT$4010,MATCH(430,$AZ$11:$AZ$4010,0)),""))</f>
        <v/>
      </c>
      <c r="AL440" s="31" t="str">
        <f t="shared" si="83"/>
        <v/>
      </c>
      <c r="AM440" s="26" t="str">
        <f t="shared" si="84"/>
        <v/>
      </c>
      <c r="AN440" s="32" t="str">
        <f t="shared" si="85"/>
        <v/>
      </c>
      <c r="AO440" s="32" t="str">
        <f t="shared" si="86"/>
        <v/>
      </c>
      <c r="AP440" s="24" t="str">
        <f t="shared" si="87"/>
        <v/>
      </c>
      <c r="AQ440" s="24" t="str">
        <f t="shared" si="88"/>
        <v/>
      </c>
      <c r="AR440" s="33" t="str">
        <f t="shared" si="89"/>
        <v/>
      </c>
      <c r="AS440" s="34"/>
      <c r="AT440" s="33"/>
      <c r="AV440" s="21">
        <f>IF(AND($AL440&lt;&gt;"",COUNTIF($AL$11:$AL440,$AL440)=1),1,0)</f>
        <v>0</v>
      </c>
      <c r="AW440" s="21">
        <f t="shared" si="91"/>
        <v>2</v>
      </c>
      <c r="AX440" s="21" t="str">
        <f t="shared" si="90"/>
        <v/>
      </c>
      <c r="AY440" s="21" t="str">
        <f>IF(AND($AM440&lt;&gt;"",$AS440&lt;&gt;"✓"),SUMPRODUCT(($AM$11:$AM440&lt;&gt;"")*($AS$11:$AS440&lt;&gt;"✓")),"")</f>
        <v/>
      </c>
      <c r="AZ440" s="21" t="str">
        <f>IF(AND($AM440&lt;&gt;"",$AS440="✓"),SUMPRODUCT(($AM$11:$AM440&lt;&gt;"")*($AS$11:$AS440="✓")),"")</f>
        <v/>
      </c>
      <c r="BA440" s="21" t="str">
        <f>IF($AL440="","",$AL440&amp;"|"&amp;COUNTIF($AL$11:$AL440,$AL440))</f>
        <v/>
      </c>
    </row>
    <row r="441" spans="2:53" ht="15" customHeight="1" x14ac:dyDescent="0.25">
      <c r="B441" s="5" t="str">
        <f t="shared" si="82"/>
        <v/>
      </c>
      <c r="C441" s="5"/>
      <c r="D441" s="5"/>
      <c r="E441" s="5"/>
      <c r="F441" s="6"/>
      <c r="G441" s="6"/>
      <c r="H441" s="7"/>
      <c r="I441" s="8"/>
      <c r="W441" s="14" t="str">
        <f>IF(X441="","",IFERROR(INDEX($AL$11:$AL$4010,MATCH(431,$AY$11:$AY$4010,0)),""))</f>
        <v/>
      </c>
      <c r="X441" s="12" t="str">
        <f>IFERROR(INDEX($AM$11:$AM$4010,MATCH(431,$AY$11:$AY$4010,0)),"")</f>
        <v/>
      </c>
      <c r="Y441" s="11" t="str">
        <f>IF(X441="","",IFERROR(INDEX($AN$11:$AN$4010,MATCH(431,$AY$11:$AY$4010,0)),""))</f>
        <v/>
      </c>
      <c r="Z441" s="11" t="str">
        <f>IF(X441="","",IFERROR(INDEX($AO$11:$AO$4010,MATCH(431,$AY$11:$AY$4010,0)),""))</f>
        <v/>
      </c>
      <c r="AA441" s="10" t="str">
        <f>IF(X441="","",IFERROR(INDEX($AQ$11:$AQ$4010,MATCH(431,$AY$11:$AY$4010,0)),""))</f>
        <v/>
      </c>
      <c r="AB441" s="15" t="str">
        <f>IF(X441="","",IFERROR(INDEX($AR$11:$AR$4010,MATCH(431,$AY$11:$AY$4010,0)),""))</f>
        <v/>
      </c>
      <c r="AD441" s="16" t="str">
        <f>IF(AE441="","",IFERROR(INDEX($AL$11:$AL$4010,MATCH(431,$AZ$11:$AZ$4010,0)),""))</f>
        <v/>
      </c>
      <c r="AE441" s="12" t="str">
        <f>IFERROR(INDEX($AM$11:$AM$4010,MATCH(431,$AZ$11:$AZ$4010,0)),"")</f>
        <v/>
      </c>
      <c r="AF441" s="11" t="str">
        <f>IF(AE441="","",IFERROR(INDEX($AN$11:$AN$4010,MATCH(431,$AZ$11:$AZ$4010,0)),""))</f>
        <v/>
      </c>
      <c r="AG441" s="11" t="str">
        <f>IF(AE441="","",IFERROR(INDEX($AO$11:$AO$4010,MATCH(431,$AZ$11:$AZ$4010,0)),""))</f>
        <v/>
      </c>
      <c r="AH441" s="10" t="str">
        <f>IF(AE441="","",IFERROR(INDEX($AQ$11:$AQ$4010,MATCH(431,$AZ$11:$AZ$4010,0)),""))</f>
        <v/>
      </c>
      <c r="AI441" s="15" t="str">
        <f>IF(AE441="","",IFERROR(INDEX($AR$11:$AR$4010,MATCH(431,$AZ$11:$AZ$4010,0)),""))</f>
        <v/>
      </c>
      <c r="AJ441" s="15" t="str">
        <f>IF(AE441="","",IFERROR(INDEX($AT$11:$AT$4010,MATCH(431,$AZ$11:$AZ$4010,0)),""))</f>
        <v/>
      </c>
      <c r="AL441" s="17" t="str">
        <f t="shared" si="83"/>
        <v/>
      </c>
      <c r="AM441" s="12" t="str">
        <f t="shared" si="84"/>
        <v/>
      </c>
      <c r="AN441" s="18" t="str">
        <f t="shared" si="85"/>
        <v/>
      </c>
      <c r="AO441" s="18" t="str">
        <f t="shared" si="86"/>
        <v/>
      </c>
      <c r="AP441" s="10" t="str">
        <f t="shared" si="87"/>
        <v/>
      </c>
      <c r="AQ441" s="10" t="str">
        <f t="shared" si="88"/>
        <v/>
      </c>
      <c r="AR441" s="19" t="str">
        <f t="shared" si="89"/>
        <v/>
      </c>
      <c r="AS441" s="20"/>
      <c r="AT441" s="19"/>
      <c r="AV441" s="21">
        <f>IF(AND($AL441&lt;&gt;"",COUNTIF($AL$11:$AL441,$AL441)=1),1,0)</f>
        <v>0</v>
      </c>
      <c r="AW441" s="21">
        <f t="shared" si="91"/>
        <v>2</v>
      </c>
      <c r="AX441" s="21" t="str">
        <f t="shared" si="90"/>
        <v/>
      </c>
      <c r="AY441" s="21" t="str">
        <f>IF(AND($AM441&lt;&gt;"",$AS441&lt;&gt;"✓"),SUMPRODUCT(($AM$11:$AM441&lt;&gt;"")*($AS$11:$AS441&lt;&gt;"✓")),"")</f>
        <v/>
      </c>
      <c r="AZ441" s="21" t="str">
        <f>IF(AND($AM441&lt;&gt;"",$AS441="✓"),SUMPRODUCT(($AM$11:$AM441&lt;&gt;"")*($AS$11:$AS441="✓")),"")</f>
        <v/>
      </c>
      <c r="BA441" s="21" t="str">
        <f>IF($AL441="","",$AL441&amp;"|"&amp;COUNTIF($AL$11:$AL441,$AL441))</f>
        <v/>
      </c>
    </row>
    <row r="442" spans="2:53" ht="15" customHeight="1" x14ac:dyDescent="0.25">
      <c r="B442" s="5" t="str">
        <f t="shared" si="82"/>
        <v/>
      </c>
      <c r="C442" s="5"/>
      <c r="D442" s="5"/>
      <c r="E442" s="5"/>
      <c r="F442" s="6"/>
      <c r="G442" s="6"/>
      <c r="H442" s="7"/>
      <c r="I442" s="8"/>
      <c r="W442" s="28" t="str">
        <f>IF(X442="","",IFERROR(INDEX($AL$11:$AL$4010,MATCH(432,$AY$11:$AY$4010,0)),""))</f>
        <v/>
      </c>
      <c r="X442" s="26" t="str">
        <f>IFERROR(INDEX($AM$11:$AM$4010,MATCH(432,$AY$11:$AY$4010,0)),"")</f>
        <v/>
      </c>
      <c r="Y442" s="25" t="str">
        <f>IF(X442="","",IFERROR(INDEX($AN$11:$AN$4010,MATCH(432,$AY$11:$AY$4010,0)),""))</f>
        <v/>
      </c>
      <c r="Z442" s="25" t="str">
        <f>IF(X442="","",IFERROR(INDEX($AO$11:$AO$4010,MATCH(432,$AY$11:$AY$4010,0)),""))</f>
        <v/>
      </c>
      <c r="AA442" s="24" t="str">
        <f>IF(X442="","",IFERROR(INDEX($AQ$11:$AQ$4010,MATCH(432,$AY$11:$AY$4010,0)),""))</f>
        <v/>
      </c>
      <c r="AB442" s="29" t="str">
        <f>IF(X442="","",IFERROR(INDEX($AR$11:$AR$4010,MATCH(432,$AY$11:$AY$4010,0)),""))</f>
        <v/>
      </c>
      <c r="AD442" s="30" t="str">
        <f>IF(AE442="","",IFERROR(INDEX($AL$11:$AL$4010,MATCH(432,$AZ$11:$AZ$4010,0)),""))</f>
        <v/>
      </c>
      <c r="AE442" s="26" t="str">
        <f>IFERROR(INDEX($AM$11:$AM$4010,MATCH(432,$AZ$11:$AZ$4010,0)),"")</f>
        <v/>
      </c>
      <c r="AF442" s="25" t="str">
        <f>IF(AE442="","",IFERROR(INDEX($AN$11:$AN$4010,MATCH(432,$AZ$11:$AZ$4010,0)),""))</f>
        <v/>
      </c>
      <c r="AG442" s="25" t="str">
        <f>IF(AE442="","",IFERROR(INDEX($AO$11:$AO$4010,MATCH(432,$AZ$11:$AZ$4010,0)),""))</f>
        <v/>
      </c>
      <c r="AH442" s="24" t="str">
        <f>IF(AE442="","",IFERROR(INDEX($AQ$11:$AQ$4010,MATCH(432,$AZ$11:$AZ$4010,0)),""))</f>
        <v/>
      </c>
      <c r="AI442" s="29" t="str">
        <f>IF(AE442="","",IFERROR(INDEX($AR$11:$AR$4010,MATCH(432,$AZ$11:$AZ$4010,0)),""))</f>
        <v/>
      </c>
      <c r="AJ442" s="29" t="str">
        <f>IF(AE442="","",IFERROR(INDEX($AT$11:$AT$4010,MATCH(432,$AZ$11:$AZ$4010,0)),""))</f>
        <v/>
      </c>
      <c r="AL442" s="31" t="str">
        <f t="shared" si="83"/>
        <v/>
      </c>
      <c r="AM442" s="26" t="str">
        <f t="shared" si="84"/>
        <v/>
      </c>
      <c r="AN442" s="32" t="str">
        <f t="shared" si="85"/>
        <v/>
      </c>
      <c r="AO442" s="32" t="str">
        <f t="shared" si="86"/>
        <v/>
      </c>
      <c r="AP442" s="24" t="str">
        <f t="shared" si="87"/>
        <v/>
      </c>
      <c r="AQ442" s="24" t="str">
        <f t="shared" si="88"/>
        <v/>
      </c>
      <c r="AR442" s="33" t="str">
        <f t="shared" si="89"/>
        <v/>
      </c>
      <c r="AS442" s="34"/>
      <c r="AT442" s="33"/>
      <c r="AV442" s="21">
        <f>IF(AND($AL442&lt;&gt;"",COUNTIF($AL$11:$AL442,$AL442)=1),1,0)</f>
        <v>0</v>
      </c>
      <c r="AW442" s="21">
        <f t="shared" si="91"/>
        <v>2</v>
      </c>
      <c r="AX442" s="21" t="str">
        <f t="shared" si="90"/>
        <v/>
      </c>
      <c r="AY442" s="21" t="str">
        <f>IF(AND($AM442&lt;&gt;"",$AS442&lt;&gt;"✓"),SUMPRODUCT(($AM$11:$AM442&lt;&gt;"")*($AS$11:$AS442&lt;&gt;"✓")),"")</f>
        <v/>
      </c>
      <c r="AZ442" s="21" t="str">
        <f>IF(AND($AM442&lt;&gt;"",$AS442="✓"),SUMPRODUCT(($AM$11:$AM442&lt;&gt;"")*($AS$11:$AS442="✓")),"")</f>
        <v/>
      </c>
      <c r="BA442" s="21" t="str">
        <f>IF($AL442="","",$AL442&amp;"|"&amp;COUNTIF($AL$11:$AL442,$AL442))</f>
        <v/>
      </c>
    </row>
    <row r="443" spans="2:53" ht="15" customHeight="1" x14ac:dyDescent="0.25">
      <c r="B443" s="5" t="str">
        <f t="shared" si="82"/>
        <v/>
      </c>
      <c r="C443" s="5"/>
      <c r="D443" s="5"/>
      <c r="E443" s="5"/>
      <c r="F443" s="6"/>
      <c r="G443" s="6"/>
      <c r="H443" s="7"/>
      <c r="I443" s="8"/>
      <c r="W443" s="14" t="str">
        <f>IF(X443="","",IFERROR(INDEX($AL$11:$AL$4010,MATCH(433,$AY$11:$AY$4010,0)),""))</f>
        <v/>
      </c>
      <c r="X443" s="12" t="str">
        <f>IFERROR(INDEX($AM$11:$AM$4010,MATCH(433,$AY$11:$AY$4010,0)),"")</f>
        <v/>
      </c>
      <c r="Y443" s="11" t="str">
        <f>IF(X443="","",IFERROR(INDEX($AN$11:$AN$4010,MATCH(433,$AY$11:$AY$4010,0)),""))</f>
        <v/>
      </c>
      <c r="Z443" s="11" t="str">
        <f>IF(X443="","",IFERROR(INDEX($AO$11:$AO$4010,MATCH(433,$AY$11:$AY$4010,0)),""))</f>
        <v/>
      </c>
      <c r="AA443" s="10" t="str">
        <f>IF(X443="","",IFERROR(INDEX($AQ$11:$AQ$4010,MATCH(433,$AY$11:$AY$4010,0)),""))</f>
        <v/>
      </c>
      <c r="AB443" s="15" t="str">
        <f>IF(X443="","",IFERROR(INDEX($AR$11:$AR$4010,MATCH(433,$AY$11:$AY$4010,0)),""))</f>
        <v/>
      </c>
      <c r="AD443" s="16" t="str">
        <f>IF(AE443="","",IFERROR(INDEX($AL$11:$AL$4010,MATCH(433,$AZ$11:$AZ$4010,0)),""))</f>
        <v/>
      </c>
      <c r="AE443" s="12" t="str">
        <f>IFERROR(INDEX($AM$11:$AM$4010,MATCH(433,$AZ$11:$AZ$4010,0)),"")</f>
        <v/>
      </c>
      <c r="AF443" s="11" t="str">
        <f>IF(AE443="","",IFERROR(INDEX($AN$11:$AN$4010,MATCH(433,$AZ$11:$AZ$4010,0)),""))</f>
        <v/>
      </c>
      <c r="AG443" s="11" t="str">
        <f>IF(AE443="","",IFERROR(INDEX($AO$11:$AO$4010,MATCH(433,$AZ$11:$AZ$4010,0)),""))</f>
        <v/>
      </c>
      <c r="AH443" s="10" t="str">
        <f>IF(AE443="","",IFERROR(INDEX($AQ$11:$AQ$4010,MATCH(433,$AZ$11:$AZ$4010,0)),""))</f>
        <v/>
      </c>
      <c r="AI443" s="15" t="str">
        <f>IF(AE443="","",IFERROR(INDEX($AR$11:$AR$4010,MATCH(433,$AZ$11:$AZ$4010,0)),""))</f>
        <v/>
      </c>
      <c r="AJ443" s="15" t="str">
        <f>IF(AE443="","",IFERROR(INDEX($AT$11:$AT$4010,MATCH(433,$AZ$11:$AZ$4010,0)),""))</f>
        <v/>
      </c>
      <c r="AL443" s="17" t="str">
        <f t="shared" si="83"/>
        <v/>
      </c>
      <c r="AM443" s="12" t="str">
        <f t="shared" si="84"/>
        <v/>
      </c>
      <c r="AN443" s="18" t="str">
        <f t="shared" si="85"/>
        <v/>
      </c>
      <c r="AO443" s="18" t="str">
        <f t="shared" si="86"/>
        <v/>
      </c>
      <c r="AP443" s="10" t="str">
        <f t="shared" si="87"/>
        <v/>
      </c>
      <c r="AQ443" s="10" t="str">
        <f t="shared" si="88"/>
        <v/>
      </c>
      <c r="AR443" s="19" t="str">
        <f t="shared" si="89"/>
        <v/>
      </c>
      <c r="AS443" s="20"/>
      <c r="AT443" s="19"/>
      <c r="AV443" s="21">
        <f>IF(AND($AL443&lt;&gt;"",COUNTIF($AL$11:$AL443,$AL443)=1),1,0)</f>
        <v>0</v>
      </c>
      <c r="AW443" s="21">
        <f t="shared" si="91"/>
        <v>2</v>
      </c>
      <c r="AX443" s="21" t="str">
        <f t="shared" si="90"/>
        <v/>
      </c>
      <c r="AY443" s="21" t="str">
        <f>IF(AND($AM443&lt;&gt;"",$AS443&lt;&gt;"✓"),SUMPRODUCT(($AM$11:$AM443&lt;&gt;"")*($AS$11:$AS443&lt;&gt;"✓")),"")</f>
        <v/>
      </c>
      <c r="AZ443" s="21" t="str">
        <f>IF(AND($AM443&lt;&gt;"",$AS443="✓"),SUMPRODUCT(($AM$11:$AM443&lt;&gt;"")*($AS$11:$AS443="✓")),"")</f>
        <v/>
      </c>
      <c r="BA443" s="21" t="str">
        <f>IF($AL443="","",$AL443&amp;"|"&amp;COUNTIF($AL$11:$AL443,$AL443))</f>
        <v/>
      </c>
    </row>
    <row r="444" spans="2:53" ht="15" customHeight="1" x14ac:dyDescent="0.25">
      <c r="B444" s="5" t="str">
        <f t="shared" si="82"/>
        <v/>
      </c>
      <c r="C444" s="5"/>
      <c r="D444" s="5"/>
      <c r="E444" s="5"/>
      <c r="F444" s="6"/>
      <c r="G444" s="6"/>
      <c r="H444" s="7"/>
      <c r="I444" s="8"/>
      <c r="W444" s="28" t="str">
        <f>IF(X444="","",IFERROR(INDEX($AL$11:$AL$4010,MATCH(434,$AY$11:$AY$4010,0)),""))</f>
        <v/>
      </c>
      <c r="X444" s="26" t="str">
        <f>IFERROR(INDEX($AM$11:$AM$4010,MATCH(434,$AY$11:$AY$4010,0)),"")</f>
        <v/>
      </c>
      <c r="Y444" s="25" t="str">
        <f>IF(X444="","",IFERROR(INDEX($AN$11:$AN$4010,MATCH(434,$AY$11:$AY$4010,0)),""))</f>
        <v/>
      </c>
      <c r="Z444" s="25" t="str">
        <f>IF(X444="","",IFERROR(INDEX($AO$11:$AO$4010,MATCH(434,$AY$11:$AY$4010,0)),""))</f>
        <v/>
      </c>
      <c r="AA444" s="24" t="str">
        <f>IF(X444="","",IFERROR(INDEX($AQ$11:$AQ$4010,MATCH(434,$AY$11:$AY$4010,0)),""))</f>
        <v/>
      </c>
      <c r="AB444" s="29" t="str">
        <f>IF(X444="","",IFERROR(INDEX($AR$11:$AR$4010,MATCH(434,$AY$11:$AY$4010,0)),""))</f>
        <v/>
      </c>
      <c r="AD444" s="30" t="str">
        <f>IF(AE444="","",IFERROR(INDEX($AL$11:$AL$4010,MATCH(434,$AZ$11:$AZ$4010,0)),""))</f>
        <v/>
      </c>
      <c r="AE444" s="26" t="str">
        <f>IFERROR(INDEX($AM$11:$AM$4010,MATCH(434,$AZ$11:$AZ$4010,0)),"")</f>
        <v/>
      </c>
      <c r="AF444" s="25" t="str">
        <f>IF(AE444="","",IFERROR(INDEX($AN$11:$AN$4010,MATCH(434,$AZ$11:$AZ$4010,0)),""))</f>
        <v/>
      </c>
      <c r="AG444" s="25" t="str">
        <f>IF(AE444="","",IFERROR(INDEX($AO$11:$AO$4010,MATCH(434,$AZ$11:$AZ$4010,0)),""))</f>
        <v/>
      </c>
      <c r="AH444" s="24" t="str">
        <f>IF(AE444="","",IFERROR(INDEX($AQ$11:$AQ$4010,MATCH(434,$AZ$11:$AZ$4010,0)),""))</f>
        <v/>
      </c>
      <c r="AI444" s="29" t="str">
        <f>IF(AE444="","",IFERROR(INDEX($AR$11:$AR$4010,MATCH(434,$AZ$11:$AZ$4010,0)),""))</f>
        <v/>
      </c>
      <c r="AJ444" s="29" t="str">
        <f>IF(AE444="","",IFERROR(INDEX($AT$11:$AT$4010,MATCH(434,$AZ$11:$AZ$4010,0)),""))</f>
        <v/>
      </c>
      <c r="AL444" s="31" t="str">
        <f t="shared" si="83"/>
        <v/>
      </c>
      <c r="AM444" s="26" t="str">
        <f t="shared" si="84"/>
        <v/>
      </c>
      <c r="AN444" s="32" t="str">
        <f t="shared" si="85"/>
        <v/>
      </c>
      <c r="AO444" s="32" t="str">
        <f t="shared" si="86"/>
        <v/>
      </c>
      <c r="AP444" s="24" t="str">
        <f t="shared" si="87"/>
        <v/>
      </c>
      <c r="AQ444" s="24" t="str">
        <f t="shared" si="88"/>
        <v/>
      </c>
      <c r="AR444" s="33" t="str">
        <f t="shared" si="89"/>
        <v/>
      </c>
      <c r="AS444" s="34"/>
      <c r="AT444" s="33"/>
      <c r="AV444" s="21">
        <f>IF(AND($AL444&lt;&gt;"",COUNTIF($AL$11:$AL444,$AL444)=1),1,0)</f>
        <v>0</v>
      </c>
      <c r="AW444" s="21">
        <f t="shared" si="91"/>
        <v>2</v>
      </c>
      <c r="AX444" s="21" t="str">
        <f t="shared" si="90"/>
        <v/>
      </c>
      <c r="AY444" s="21" t="str">
        <f>IF(AND($AM444&lt;&gt;"",$AS444&lt;&gt;"✓"),SUMPRODUCT(($AM$11:$AM444&lt;&gt;"")*($AS$11:$AS444&lt;&gt;"✓")),"")</f>
        <v/>
      </c>
      <c r="AZ444" s="21" t="str">
        <f>IF(AND($AM444&lt;&gt;"",$AS444="✓"),SUMPRODUCT(($AM$11:$AM444&lt;&gt;"")*($AS$11:$AS444="✓")),"")</f>
        <v/>
      </c>
      <c r="BA444" s="21" t="str">
        <f>IF($AL444="","",$AL444&amp;"|"&amp;COUNTIF($AL$11:$AL444,$AL444))</f>
        <v/>
      </c>
    </row>
    <row r="445" spans="2:53" ht="15" customHeight="1" x14ac:dyDescent="0.25">
      <c r="B445" s="5" t="str">
        <f t="shared" si="82"/>
        <v/>
      </c>
      <c r="C445" s="5"/>
      <c r="D445" s="5"/>
      <c r="E445" s="5"/>
      <c r="F445" s="6"/>
      <c r="G445" s="6"/>
      <c r="H445" s="7"/>
      <c r="I445" s="8"/>
      <c r="W445" s="14" t="str">
        <f>IF(X445="","",IFERROR(INDEX($AL$11:$AL$4010,MATCH(435,$AY$11:$AY$4010,0)),""))</f>
        <v/>
      </c>
      <c r="X445" s="12" t="str">
        <f>IFERROR(INDEX($AM$11:$AM$4010,MATCH(435,$AY$11:$AY$4010,0)),"")</f>
        <v/>
      </c>
      <c r="Y445" s="11" t="str">
        <f>IF(X445="","",IFERROR(INDEX($AN$11:$AN$4010,MATCH(435,$AY$11:$AY$4010,0)),""))</f>
        <v/>
      </c>
      <c r="Z445" s="11" t="str">
        <f>IF(X445="","",IFERROR(INDEX($AO$11:$AO$4010,MATCH(435,$AY$11:$AY$4010,0)),""))</f>
        <v/>
      </c>
      <c r="AA445" s="10" t="str">
        <f>IF(X445="","",IFERROR(INDEX($AQ$11:$AQ$4010,MATCH(435,$AY$11:$AY$4010,0)),""))</f>
        <v/>
      </c>
      <c r="AB445" s="15" t="str">
        <f>IF(X445="","",IFERROR(INDEX($AR$11:$AR$4010,MATCH(435,$AY$11:$AY$4010,0)),""))</f>
        <v/>
      </c>
      <c r="AD445" s="16" t="str">
        <f>IF(AE445="","",IFERROR(INDEX($AL$11:$AL$4010,MATCH(435,$AZ$11:$AZ$4010,0)),""))</f>
        <v/>
      </c>
      <c r="AE445" s="12" t="str">
        <f>IFERROR(INDEX($AM$11:$AM$4010,MATCH(435,$AZ$11:$AZ$4010,0)),"")</f>
        <v/>
      </c>
      <c r="AF445" s="11" t="str">
        <f>IF(AE445="","",IFERROR(INDEX($AN$11:$AN$4010,MATCH(435,$AZ$11:$AZ$4010,0)),""))</f>
        <v/>
      </c>
      <c r="AG445" s="11" t="str">
        <f>IF(AE445="","",IFERROR(INDEX($AO$11:$AO$4010,MATCH(435,$AZ$11:$AZ$4010,0)),""))</f>
        <v/>
      </c>
      <c r="AH445" s="10" t="str">
        <f>IF(AE445="","",IFERROR(INDEX($AQ$11:$AQ$4010,MATCH(435,$AZ$11:$AZ$4010,0)),""))</f>
        <v/>
      </c>
      <c r="AI445" s="15" t="str">
        <f>IF(AE445="","",IFERROR(INDEX($AR$11:$AR$4010,MATCH(435,$AZ$11:$AZ$4010,0)),""))</f>
        <v/>
      </c>
      <c r="AJ445" s="15" t="str">
        <f>IF(AE445="","",IFERROR(INDEX($AT$11:$AT$4010,MATCH(435,$AZ$11:$AZ$4010,0)),""))</f>
        <v/>
      </c>
      <c r="AL445" s="17" t="str">
        <f t="shared" si="83"/>
        <v/>
      </c>
      <c r="AM445" s="12" t="str">
        <f t="shared" si="84"/>
        <v/>
      </c>
      <c r="AN445" s="18" t="str">
        <f t="shared" si="85"/>
        <v/>
      </c>
      <c r="AO445" s="18" t="str">
        <f t="shared" si="86"/>
        <v/>
      </c>
      <c r="AP445" s="10" t="str">
        <f t="shared" si="87"/>
        <v/>
      </c>
      <c r="AQ445" s="10" t="str">
        <f t="shared" si="88"/>
        <v/>
      </c>
      <c r="AR445" s="19" t="str">
        <f t="shared" si="89"/>
        <v/>
      </c>
      <c r="AS445" s="20"/>
      <c r="AT445" s="19"/>
      <c r="AV445" s="21">
        <f>IF(AND($AL445&lt;&gt;"",COUNTIF($AL$11:$AL445,$AL445)=1),1,0)</f>
        <v>0</v>
      </c>
      <c r="AW445" s="21">
        <f t="shared" si="91"/>
        <v>2</v>
      </c>
      <c r="AX445" s="21" t="str">
        <f t="shared" si="90"/>
        <v/>
      </c>
      <c r="AY445" s="21" t="str">
        <f>IF(AND($AM445&lt;&gt;"",$AS445&lt;&gt;"✓"),SUMPRODUCT(($AM$11:$AM445&lt;&gt;"")*($AS$11:$AS445&lt;&gt;"✓")),"")</f>
        <v/>
      </c>
      <c r="AZ445" s="21" t="str">
        <f>IF(AND($AM445&lt;&gt;"",$AS445="✓"),SUMPRODUCT(($AM$11:$AM445&lt;&gt;"")*($AS$11:$AS445="✓")),"")</f>
        <v/>
      </c>
      <c r="BA445" s="21" t="str">
        <f>IF($AL445="","",$AL445&amp;"|"&amp;COUNTIF($AL$11:$AL445,$AL445))</f>
        <v/>
      </c>
    </row>
    <row r="446" spans="2:53" ht="15" customHeight="1" x14ac:dyDescent="0.25">
      <c r="B446" s="5" t="str">
        <f t="shared" si="82"/>
        <v/>
      </c>
      <c r="C446" s="5"/>
      <c r="D446" s="5"/>
      <c r="E446" s="5"/>
      <c r="F446" s="6"/>
      <c r="G446" s="6"/>
      <c r="H446" s="7"/>
      <c r="I446" s="8"/>
      <c r="W446" s="28" t="str">
        <f>IF(X446="","",IFERROR(INDEX($AL$11:$AL$4010,MATCH(436,$AY$11:$AY$4010,0)),""))</f>
        <v/>
      </c>
      <c r="X446" s="26" t="str">
        <f>IFERROR(INDEX($AM$11:$AM$4010,MATCH(436,$AY$11:$AY$4010,0)),"")</f>
        <v/>
      </c>
      <c r="Y446" s="25" t="str">
        <f>IF(X446="","",IFERROR(INDEX($AN$11:$AN$4010,MATCH(436,$AY$11:$AY$4010,0)),""))</f>
        <v/>
      </c>
      <c r="Z446" s="25" t="str">
        <f>IF(X446="","",IFERROR(INDEX($AO$11:$AO$4010,MATCH(436,$AY$11:$AY$4010,0)),""))</f>
        <v/>
      </c>
      <c r="AA446" s="24" t="str">
        <f>IF(X446="","",IFERROR(INDEX($AQ$11:$AQ$4010,MATCH(436,$AY$11:$AY$4010,0)),""))</f>
        <v/>
      </c>
      <c r="AB446" s="29" t="str">
        <f>IF(X446="","",IFERROR(INDEX($AR$11:$AR$4010,MATCH(436,$AY$11:$AY$4010,0)),""))</f>
        <v/>
      </c>
      <c r="AD446" s="30" t="str">
        <f>IF(AE446="","",IFERROR(INDEX($AL$11:$AL$4010,MATCH(436,$AZ$11:$AZ$4010,0)),""))</f>
        <v/>
      </c>
      <c r="AE446" s="26" t="str">
        <f>IFERROR(INDEX($AM$11:$AM$4010,MATCH(436,$AZ$11:$AZ$4010,0)),"")</f>
        <v/>
      </c>
      <c r="AF446" s="25" t="str">
        <f>IF(AE446="","",IFERROR(INDEX($AN$11:$AN$4010,MATCH(436,$AZ$11:$AZ$4010,0)),""))</f>
        <v/>
      </c>
      <c r="AG446" s="25" t="str">
        <f>IF(AE446="","",IFERROR(INDEX($AO$11:$AO$4010,MATCH(436,$AZ$11:$AZ$4010,0)),""))</f>
        <v/>
      </c>
      <c r="AH446" s="24" t="str">
        <f>IF(AE446="","",IFERROR(INDEX($AQ$11:$AQ$4010,MATCH(436,$AZ$11:$AZ$4010,0)),""))</f>
        <v/>
      </c>
      <c r="AI446" s="29" t="str">
        <f>IF(AE446="","",IFERROR(INDEX($AR$11:$AR$4010,MATCH(436,$AZ$11:$AZ$4010,0)),""))</f>
        <v/>
      </c>
      <c r="AJ446" s="29" t="str">
        <f>IF(AE446="","",IFERROR(INDEX($AT$11:$AT$4010,MATCH(436,$AZ$11:$AZ$4010,0)),""))</f>
        <v/>
      </c>
      <c r="AL446" s="31" t="str">
        <f t="shared" si="83"/>
        <v/>
      </c>
      <c r="AM446" s="26" t="str">
        <f t="shared" si="84"/>
        <v/>
      </c>
      <c r="AN446" s="32" t="str">
        <f t="shared" si="85"/>
        <v/>
      </c>
      <c r="AO446" s="32" t="str">
        <f t="shared" si="86"/>
        <v/>
      </c>
      <c r="AP446" s="24" t="str">
        <f t="shared" si="87"/>
        <v/>
      </c>
      <c r="AQ446" s="24" t="str">
        <f t="shared" si="88"/>
        <v/>
      </c>
      <c r="AR446" s="33" t="str">
        <f t="shared" si="89"/>
        <v/>
      </c>
      <c r="AS446" s="34"/>
      <c r="AT446" s="33"/>
      <c r="AV446" s="21">
        <f>IF(AND($AL446&lt;&gt;"",COUNTIF($AL$11:$AL446,$AL446)=1),1,0)</f>
        <v>0</v>
      </c>
      <c r="AW446" s="21">
        <f t="shared" si="91"/>
        <v>2</v>
      </c>
      <c r="AX446" s="21" t="str">
        <f t="shared" si="90"/>
        <v/>
      </c>
      <c r="AY446" s="21" t="str">
        <f>IF(AND($AM446&lt;&gt;"",$AS446&lt;&gt;"✓"),SUMPRODUCT(($AM$11:$AM446&lt;&gt;"")*($AS$11:$AS446&lt;&gt;"✓")),"")</f>
        <v/>
      </c>
      <c r="AZ446" s="21" t="str">
        <f>IF(AND($AM446&lt;&gt;"",$AS446="✓"),SUMPRODUCT(($AM$11:$AM446&lt;&gt;"")*($AS$11:$AS446="✓")),"")</f>
        <v/>
      </c>
      <c r="BA446" s="21" t="str">
        <f>IF($AL446="","",$AL446&amp;"|"&amp;COUNTIF($AL$11:$AL446,$AL446))</f>
        <v/>
      </c>
    </row>
    <row r="447" spans="2:53" ht="15" customHeight="1" x14ac:dyDescent="0.25">
      <c r="B447" s="5" t="str">
        <f t="shared" si="82"/>
        <v/>
      </c>
      <c r="C447" s="5"/>
      <c r="D447" s="5"/>
      <c r="E447" s="5"/>
      <c r="F447" s="6"/>
      <c r="G447" s="6"/>
      <c r="H447" s="7"/>
      <c r="I447" s="8"/>
      <c r="W447" s="14" t="str">
        <f>IF(X447="","",IFERROR(INDEX($AL$11:$AL$4010,MATCH(437,$AY$11:$AY$4010,0)),""))</f>
        <v/>
      </c>
      <c r="X447" s="12" t="str">
        <f>IFERROR(INDEX($AM$11:$AM$4010,MATCH(437,$AY$11:$AY$4010,0)),"")</f>
        <v/>
      </c>
      <c r="Y447" s="11" t="str">
        <f>IF(X447="","",IFERROR(INDEX($AN$11:$AN$4010,MATCH(437,$AY$11:$AY$4010,0)),""))</f>
        <v/>
      </c>
      <c r="Z447" s="11" t="str">
        <f>IF(X447="","",IFERROR(INDEX($AO$11:$AO$4010,MATCH(437,$AY$11:$AY$4010,0)),""))</f>
        <v/>
      </c>
      <c r="AA447" s="10" t="str">
        <f>IF(X447="","",IFERROR(INDEX($AQ$11:$AQ$4010,MATCH(437,$AY$11:$AY$4010,0)),""))</f>
        <v/>
      </c>
      <c r="AB447" s="15" t="str">
        <f>IF(X447="","",IFERROR(INDEX($AR$11:$AR$4010,MATCH(437,$AY$11:$AY$4010,0)),""))</f>
        <v/>
      </c>
      <c r="AD447" s="16" t="str">
        <f>IF(AE447="","",IFERROR(INDEX($AL$11:$AL$4010,MATCH(437,$AZ$11:$AZ$4010,0)),""))</f>
        <v/>
      </c>
      <c r="AE447" s="12" t="str">
        <f>IFERROR(INDEX($AM$11:$AM$4010,MATCH(437,$AZ$11:$AZ$4010,0)),"")</f>
        <v/>
      </c>
      <c r="AF447" s="11" t="str">
        <f>IF(AE447="","",IFERROR(INDEX($AN$11:$AN$4010,MATCH(437,$AZ$11:$AZ$4010,0)),""))</f>
        <v/>
      </c>
      <c r="AG447" s="11" t="str">
        <f>IF(AE447="","",IFERROR(INDEX($AO$11:$AO$4010,MATCH(437,$AZ$11:$AZ$4010,0)),""))</f>
        <v/>
      </c>
      <c r="AH447" s="10" t="str">
        <f>IF(AE447="","",IFERROR(INDEX($AQ$11:$AQ$4010,MATCH(437,$AZ$11:$AZ$4010,0)),""))</f>
        <v/>
      </c>
      <c r="AI447" s="15" t="str">
        <f>IF(AE447="","",IFERROR(INDEX($AR$11:$AR$4010,MATCH(437,$AZ$11:$AZ$4010,0)),""))</f>
        <v/>
      </c>
      <c r="AJ447" s="15" t="str">
        <f>IF(AE447="","",IFERROR(INDEX($AT$11:$AT$4010,MATCH(437,$AZ$11:$AZ$4010,0)),""))</f>
        <v/>
      </c>
      <c r="AL447" s="17" t="str">
        <f t="shared" si="83"/>
        <v/>
      </c>
      <c r="AM447" s="12" t="str">
        <f t="shared" si="84"/>
        <v/>
      </c>
      <c r="AN447" s="18" t="str">
        <f t="shared" si="85"/>
        <v/>
      </c>
      <c r="AO447" s="18" t="str">
        <f t="shared" si="86"/>
        <v/>
      </c>
      <c r="AP447" s="10" t="str">
        <f t="shared" si="87"/>
        <v/>
      </c>
      <c r="AQ447" s="10" t="str">
        <f t="shared" si="88"/>
        <v/>
      </c>
      <c r="AR447" s="19" t="str">
        <f t="shared" si="89"/>
        <v/>
      </c>
      <c r="AS447" s="20"/>
      <c r="AT447" s="19"/>
      <c r="AV447" s="21">
        <f>IF(AND($AL447&lt;&gt;"",COUNTIF($AL$11:$AL447,$AL447)=1),1,0)</f>
        <v>0</v>
      </c>
      <c r="AW447" s="21">
        <f t="shared" si="91"/>
        <v>2</v>
      </c>
      <c r="AX447" s="21" t="str">
        <f t="shared" si="90"/>
        <v/>
      </c>
      <c r="AY447" s="21" t="str">
        <f>IF(AND($AM447&lt;&gt;"",$AS447&lt;&gt;"✓"),SUMPRODUCT(($AM$11:$AM447&lt;&gt;"")*($AS$11:$AS447&lt;&gt;"✓")),"")</f>
        <v/>
      </c>
      <c r="AZ447" s="21" t="str">
        <f>IF(AND($AM447&lt;&gt;"",$AS447="✓"),SUMPRODUCT(($AM$11:$AM447&lt;&gt;"")*($AS$11:$AS447="✓")),"")</f>
        <v/>
      </c>
      <c r="BA447" s="21" t="str">
        <f>IF($AL447="","",$AL447&amp;"|"&amp;COUNTIF($AL$11:$AL447,$AL447))</f>
        <v/>
      </c>
    </row>
    <row r="448" spans="2:53" ht="15" customHeight="1" x14ac:dyDescent="0.25">
      <c r="B448" s="5" t="str">
        <f t="shared" si="82"/>
        <v/>
      </c>
      <c r="C448" s="5"/>
      <c r="D448" s="5"/>
      <c r="E448" s="5"/>
      <c r="F448" s="6"/>
      <c r="G448" s="6"/>
      <c r="H448" s="7"/>
      <c r="I448" s="8"/>
      <c r="W448" s="28" t="str">
        <f>IF(X448="","",IFERROR(INDEX($AL$11:$AL$4010,MATCH(438,$AY$11:$AY$4010,0)),""))</f>
        <v/>
      </c>
      <c r="X448" s="26" t="str">
        <f>IFERROR(INDEX($AM$11:$AM$4010,MATCH(438,$AY$11:$AY$4010,0)),"")</f>
        <v/>
      </c>
      <c r="Y448" s="25" t="str">
        <f>IF(X448="","",IFERROR(INDEX($AN$11:$AN$4010,MATCH(438,$AY$11:$AY$4010,0)),""))</f>
        <v/>
      </c>
      <c r="Z448" s="25" t="str">
        <f>IF(X448="","",IFERROR(INDEX($AO$11:$AO$4010,MATCH(438,$AY$11:$AY$4010,0)),""))</f>
        <v/>
      </c>
      <c r="AA448" s="24" t="str">
        <f>IF(X448="","",IFERROR(INDEX($AQ$11:$AQ$4010,MATCH(438,$AY$11:$AY$4010,0)),""))</f>
        <v/>
      </c>
      <c r="AB448" s="29" t="str">
        <f>IF(X448="","",IFERROR(INDEX($AR$11:$AR$4010,MATCH(438,$AY$11:$AY$4010,0)),""))</f>
        <v/>
      </c>
      <c r="AD448" s="30" t="str">
        <f>IF(AE448="","",IFERROR(INDEX($AL$11:$AL$4010,MATCH(438,$AZ$11:$AZ$4010,0)),""))</f>
        <v/>
      </c>
      <c r="AE448" s="26" t="str">
        <f>IFERROR(INDEX($AM$11:$AM$4010,MATCH(438,$AZ$11:$AZ$4010,0)),"")</f>
        <v/>
      </c>
      <c r="AF448" s="25" t="str">
        <f>IF(AE448="","",IFERROR(INDEX($AN$11:$AN$4010,MATCH(438,$AZ$11:$AZ$4010,0)),""))</f>
        <v/>
      </c>
      <c r="AG448" s="25" t="str">
        <f>IF(AE448="","",IFERROR(INDEX($AO$11:$AO$4010,MATCH(438,$AZ$11:$AZ$4010,0)),""))</f>
        <v/>
      </c>
      <c r="AH448" s="24" t="str">
        <f>IF(AE448="","",IFERROR(INDEX($AQ$11:$AQ$4010,MATCH(438,$AZ$11:$AZ$4010,0)),""))</f>
        <v/>
      </c>
      <c r="AI448" s="29" t="str">
        <f>IF(AE448="","",IFERROR(INDEX($AR$11:$AR$4010,MATCH(438,$AZ$11:$AZ$4010,0)),""))</f>
        <v/>
      </c>
      <c r="AJ448" s="29" t="str">
        <f>IF(AE448="","",IFERROR(INDEX($AT$11:$AT$4010,MATCH(438,$AZ$11:$AZ$4010,0)),""))</f>
        <v/>
      </c>
      <c r="AL448" s="31" t="str">
        <f t="shared" si="83"/>
        <v/>
      </c>
      <c r="AM448" s="26" t="str">
        <f t="shared" si="84"/>
        <v/>
      </c>
      <c r="AN448" s="32" t="str">
        <f t="shared" si="85"/>
        <v/>
      </c>
      <c r="AO448" s="32" t="str">
        <f t="shared" si="86"/>
        <v/>
      </c>
      <c r="AP448" s="24" t="str">
        <f t="shared" si="87"/>
        <v/>
      </c>
      <c r="AQ448" s="24" t="str">
        <f t="shared" si="88"/>
        <v/>
      </c>
      <c r="AR448" s="33" t="str">
        <f t="shared" si="89"/>
        <v/>
      </c>
      <c r="AS448" s="34"/>
      <c r="AT448" s="33"/>
      <c r="AV448" s="21">
        <f>IF(AND($AL448&lt;&gt;"",COUNTIF($AL$11:$AL448,$AL448)=1),1,0)</f>
        <v>0</v>
      </c>
      <c r="AW448" s="21">
        <f t="shared" si="91"/>
        <v>2</v>
      </c>
      <c r="AX448" s="21" t="str">
        <f t="shared" si="90"/>
        <v/>
      </c>
      <c r="AY448" s="21" t="str">
        <f>IF(AND($AM448&lt;&gt;"",$AS448&lt;&gt;"✓"),SUMPRODUCT(($AM$11:$AM448&lt;&gt;"")*($AS$11:$AS448&lt;&gt;"✓")),"")</f>
        <v/>
      </c>
      <c r="AZ448" s="21" t="str">
        <f>IF(AND($AM448&lt;&gt;"",$AS448="✓"),SUMPRODUCT(($AM$11:$AM448&lt;&gt;"")*($AS$11:$AS448="✓")),"")</f>
        <v/>
      </c>
      <c r="BA448" s="21" t="str">
        <f>IF($AL448="","",$AL448&amp;"|"&amp;COUNTIF($AL$11:$AL448,$AL448))</f>
        <v/>
      </c>
    </row>
    <row r="449" spans="2:53" ht="15" customHeight="1" x14ac:dyDescent="0.25">
      <c r="B449" s="5" t="str">
        <f t="shared" si="82"/>
        <v/>
      </c>
      <c r="C449" s="5"/>
      <c r="D449" s="5"/>
      <c r="E449" s="5"/>
      <c r="F449" s="6"/>
      <c r="G449" s="6"/>
      <c r="H449" s="7"/>
      <c r="I449" s="8"/>
      <c r="W449" s="14" t="str">
        <f>IF(X449="","",IFERROR(INDEX($AL$11:$AL$4010,MATCH(439,$AY$11:$AY$4010,0)),""))</f>
        <v/>
      </c>
      <c r="X449" s="12" t="str">
        <f>IFERROR(INDEX($AM$11:$AM$4010,MATCH(439,$AY$11:$AY$4010,0)),"")</f>
        <v/>
      </c>
      <c r="Y449" s="11" t="str">
        <f>IF(X449="","",IFERROR(INDEX($AN$11:$AN$4010,MATCH(439,$AY$11:$AY$4010,0)),""))</f>
        <v/>
      </c>
      <c r="Z449" s="11" t="str">
        <f>IF(X449="","",IFERROR(INDEX($AO$11:$AO$4010,MATCH(439,$AY$11:$AY$4010,0)),""))</f>
        <v/>
      </c>
      <c r="AA449" s="10" t="str">
        <f>IF(X449="","",IFERROR(INDEX($AQ$11:$AQ$4010,MATCH(439,$AY$11:$AY$4010,0)),""))</f>
        <v/>
      </c>
      <c r="AB449" s="15" t="str">
        <f>IF(X449="","",IFERROR(INDEX($AR$11:$AR$4010,MATCH(439,$AY$11:$AY$4010,0)),""))</f>
        <v/>
      </c>
      <c r="AD449" s="16" t="str">
        <f>IF(AE449="","",IFERROR(INDEX($AL$11:$AL$4010,MATCH(439,$AZ$11:$AZ$4010,0)),""))</f>
        <v/>
      </c>
      <c r="AE449" s="12" t="str">
        <f>IFERROR(INDEX($AM$11:$AM$4010,MATCH(439,$AZ$11:$AZ$4010,0)),"")</f>
        <v/>
      </c>
      <c r="AF449" s="11" t="str">
        <f>IF(AE449="","",IFERROR(INDEX($AN$11:$AN$4010,MATCH(439,$AZ$11:$AZ$4010,0)),""))</f>
        <v/>
      </c>
      <c r="AG449" s="11" t="str">
        <f>IF(AE449="","",IFERROR(INDEX($AO$11:$AO$4010,MATCH(439,$AZ$11:$AZ$4010,0)),""))</f>
        <v/>
      </c>
      <c r="AH449" s="10" t="str">
        <f>IF(AE449="","",IFERROR(INDEX($AQ$11:$AQ$4010,MATCH(439,$AZ$11:$AZ$4010,0)),""))</f>
        <v/>
      </c>
      <c r="AI449" s="15" t="str">
        <f>IF(AE449="","",IFERROR(INDEX($AR$11:$AR$4010,MATCH(439,$AZ$11:$AZ$4010,0)),""))</f>
        <v/>
      </c>
      <c r="AJ449" s="15" t="str">
        <f>IF(AE449="","",IFERROR(INDEX($AT$11:$AT$4010,MATCH(439,$AZ$11:$AZ$4010,0)),""))</f>
        <v/>
      </c>
      <c r="AL449" s="17" t="str">
        <f t="shared" si="83"/>
        <v/>
      </c>
      <c r="AM449" s="12" t="str">
        <f t="shared" si="84"/>
        <v/>
      </c>
      <c r="AN449" s="18" t="str">
        <f t="shared" si="85"/>
        <v/>
      </c>
      <c r="AO449" s="18" t="str">
        <f t="shared" si="86"/>
        <v/>
      </c>
      <c r="AP449" s="10" t="str">
        <f t="shared" si="87"/>
        <v/>
      </c>
      <c r="AQ449" s="10" t="str">
        <f t="shared" si="88"/>
        <v/>
      </c>
      <c r="AR449" s="19" t="str">
        <f t="shared" si="89"/>
        <v/>
      </c>
      <c r="AS449" s="20"/>
      <c r="AT449" s="19"/>
      <c r="AV449" s="21">
        <f>IF(AND($AL449&lt;&gt;"",COUNTIF($AL$11:$AL449,$AL449)=1),1,0)</f>
        <v>0</v>
      </c>
      <c r="AW449" s="21">
        <f t="shared" si="91"/>
        <v>2</v>
      </c>
      <c r="AX449" s="21" t="str">
        <f t="shared" si="90"/>
        <v/>
      </c>
      <c r="AY449" s="21" t="str">
        <f>IF(AND($AM449&lt;&gt;"",$AS449&lt;&gt;"✓"),SUMPRODUCT(($AM$11:$AM449&lt;&gt;"")*($AS$11:$AS449&lt;&gt;"✓")),"")</f>
        <v/>
      </c>
      <c r="AZ449" s="21" t="str">
        <f>IF(AND($AM449&lt;&gt;"",$AS449="✓"),SUMPRODUCT(($AM$11:$AM449&lt;&gt;"")*($AS$11:$AS449="✓")),"")</f>
        <v/>
      </c>
      <c r="BA449" s="21" t="str">
        <f>IF($AL449="","",$AL449&amp;"|"&amp;COUNTIF($AL$11:$AL449,$AL449))</f>
        <v/>
      </c>
    </row>
    <row r="450" spans="2:53" ht="15" customHeight="1" x14ac:dyDescent="0.25">
      <c r="B450" s="5" t="str">
        <f t="shared" si="82"/>
        <v/>
      </c>
      <c r="C450" s="5"/>
      <c r="D450" s="5"/>
      <c r="E450" s="5"/>
      <c r="F450" s="6"/>
      <c r="G450" s="6"/>
      <c r="H450" s="7"/>
      <c r="I450" s="8"/>
      <c r="W450" s="28" t="str">
        <f>IF(X450="","",IFERROR(INDEX($AL$11:$AL$4010,MATCH(440,$AY$11:$AY$4010,0)),""))</f>
        <v/>
      </c>
      <c r="X450" s="26" t="str">
        <f>IFERROR(INDEX($AM$11:$AM$4010,MATCH(440,$AY$11:$AY$4010,0)),"")</f>
        <v/>
      </c>
      <c r="Y450" s="25" t="str">
        <f>IF(X450="","",IFERROR(INDEX($AN$11:$AN$4010,MATCH(440,$AY$11:$AY$4010,0)),""))</f>
        <v/>
      </c>
      <c r="Z450" s="25" t="str">
        <f>IF(X450="","",IFERROR(INDEX($AO$11:$AO$4010,MATCH(440,$AY$11:$AY$4010,0)),""))</f>
        <v/>
      </c>
      <c r="AA450" s="24" t="str">
        <f>IF(X450="","",IFERROR(INDEX($AQ$11:$AQ$4010,MATCH(440,$AY$11:$AY$4010,0)),""))</f>
        <v/>
      </c>
      <c r="AB450" s="29" t="str">
        <f>IF(X450="","",IFERROR(INDEX($AR$11:$AR$4010,MATCH(440,$AY$11:$AY$4010,0)),""))</f>
        <v/>
      </c>
      <c r="AD450" s="30" t="str">
        <f>IF(AE450="","",IFERROR(INDEX($AL$11:$AL$4010,MATCH(440,$AZ$11:$AZ$4010,0)),""))</f>
        <v/>
      </c>
      <c r="AE450" s="26" t="str">
        <f>IFERROR(INDEX($AM$11:$AM$4010,MATCH(440,$AZ$11:$AZ$4010,0)),"")</f>
        <v/>
      </c>
      <c r="AF450" s="25" t="str">
        <f>IF(AE450="","",IFERROR(INDEX($AN$11:$AN$4010,MATCH(440,$AZ$11:$AZ$4010,0)),""))</f>
        <v/>
      </c>
      <c r="AG450" s="25" t="str">
        <f>IF(AE450="","",IFERROR(INDEX($AO$11:$AO$4010,MATCH(440,$AZ$11:$AZ$4010,0)),""))</f>
        <v/>
      </c>
      <c r="AH450" s="24" t="str">
        <f>IF(AE450="","",IFERROR(INDEX($AQ$11:$AQ$4010,MATCH(440,$AZ$11:$AZ$4010,0)),""))</f>
        <v/>
      </c>
      <c r="AI450" s="29" t="str">
        <f>IF(AE450="","",IFERROR(INDEX($AR$11:$AR$4010,MATCH(440,$AZ$11:$AZ$4010,0)),""))</f>
        <v/>
      </c>
      <c r="AJ450" s="29" t="str">
        <f>IF(AE450="","",IFERROR(INDEX($AT$11:$AT$4010,MATCH(440,$AZ$11:$AZ$4010,0)),""))</f>
        <v/>
      </c>
      <c r="AL450" s="31" t="str">
        <f t="shared" si="83"/>
        <v/>
      </c>
      <c r="AM450" s="26" t="str">
        <f t="shared" si="84"/>
        <v/>
      </c>
      <c r="AN450" s="32" t="str">
        <f t="shared" si="85"/>
        <v/>
      </c>
      <c r="AO450" s="32" t="str">
        <f t="shared" si="86"/>
        <v/>
      </c>
      <c r="AP450" s="24" t="str">
        <f t="shared" si="87"/>
        <v/>
      </c>
      <c r="AQ450" s="24" t="str">
        <f t="shared" si="88"/>
        <v/>
      </c>
      <c r="AR450" s="33" t="str">
        <f t="shared" si="89"/>
        <v/>
      </c>
      <c r="AS450" s="34"/>
      <c r="AT450" s="33"/>
      <c r="AV450" s="21">
        <f>IF(AND($AL450&lt;&gt;"",COUNTIF($AL$11:$AL450,$AL450)=1),1,0)</f>
        <v>0</v>
      </c>
      <c r="AW450" s="21">
        <f t="shared" si="91"/>
        <v>2</v>
      </c>
      <c r="AX450" s="21" t="str">
        <f t="shared" si="90"/>
        <v/>
      </c>
      <c r="AY450" s="21" t="str">
        <f>IF(AND($AM450&lt;&gt;"",$AS450&lt;&gt;"✓"),SUMPRODUCT(($AM$11:$AM450&lt;&gt;"")*($AS$11:$AS450&lt;&gt;"✓")),"")</f>
        <v/>
      </c>
      <c r="AZ450" s="21" t="str">
        <f>IF(AND($AM450&lt;&gt;"",$AS450="✓"),SUMPRODUCT(($AM$11:$AM450&lt;&gt;"")*($AS$11:$AS450="✓")),"")</f>
        <v/>
      </c>
      <c r="BA450" s="21" t="str">
        <f>IF($AL450="","",$AL450&amp;"|"&amp;COUNTIF($AL$11:$AL450,$AL450))</f>
        <v/>
      </c>
    </row>
    <row r="451" spans="2:53" ht="15" customHeight="1" x14ac:dyDescent="0.25">
      <c r="B451" s="5" t="str">
        <f t="shared" si="82"/>
        <v/>
      </c>
      <c r="C451" s="5"/>
      <c r="D451" s="5"/>
      <c r="E451" s="5"/>
      <c r="F451" s="6"/>
      <c r="G451" s="6"/>
      <c r="H451" s="7"/>
      <c r="I451" s="8"/>
      <c r="W451" s="14" t="str">
        <f>IF(X451="","",IFERROR(INDEX($AL$11:$AL$4010,MATCH(441,$AY$11:$AY$4010,0)),""))</f>
        <v/>
      </c>
      <c r="X451" s="12" t="str">
        <f>IFERROR(INDEX($AM$11:$AM$4010,MATCH(441,$AY$11:$AY$4010,0)),"")</f>
        <v/>
      </c>
      <c r="Y451" s="11" t="str">
        <f>IF(X451="","",IFERROR(INDEX($AN$11:$AN$4010,MATCH(441,$AY$11:$AY$4010,0)),""))</f>
        <v/>
      </c>
      <c r="Z451" s="11" t="str">
        <f>IF(X451="","",IFERROR(INDEX($AO$11:$AO$4010,MATCH(441,$AY$11:$AY$4010,0)),""))</f>
        <v/>
      </c>
      <c r="AA451" s="10" t="str">
        <f>IF(X451="","",IFERROR(INDEX($AQ$11:$AQ$4010,MATCH(441,$AY$11:$AY$4010,0)),""))</f>
        <v/>
      </c>
      <c r="AB451" s="15" t="str">
        <f>IF(X451="","",IFERROR(INDEX($AR$11:$AR$4010,MATCH(441,$AY$11:$AY$4010,0)),""))</f>
        <v/>
      </c>
      <c r="AD451" s="16" t="str">
        <f>IF(AE451="","",IFERROR(INDEX($AL$11:$AL$4010,MATCH(441,$AZ$11:$AZ$4010,0)),""))</f>
        <v/>
      </c>
      <c r="AE451" s="12" t="str">
        <f>IFERROR(INDEX($AM$11:$AM$4010,MATCH(441,$AZ$11:$AZ$4010,0)),"")</f>
        <v/>
      </c>
      <c r="AF451" s="11" t="str">
        <f>IF(AE451="","",IFERROR(INDEX($AN$11:$AN$4010,MATCH(441,$AZ$11:$AZ$4010,0)),""))</f>
        <v/>
      </c>
      <c r="AG451" s="11" t="str">
        <f>IF(AE451="","",IFERROR(INDEX($AO$11:$AO$4010,MATCH(441,$AZ$11:$AZ$4010,0)),""))</f>
        <v/>
      </c>
      <c r="AH451" s="10" t="str">
        <f>IF(AE451="","",IFERROR(INDEX($AQ$11:$AQ$4010,MATCH(441,$AZ$11:$AZ$4010,0)),""))</f>
        <v/>
      </c>
      <c r="AI451" s="15" t="str">
        <f>IF(AE451="","",IFERROR(INDEX($AR$11:$AR$4010,MATCH(441,$AZ$11:$AZ$4010,0)),""))</f>
        <v/>
      </c>
      <c r="AJ451" s="15" t="str">
        <f>IF(AE451="","",IFERROR(INDEX($AT$11:$AT$4010,MATCH(441,$AZ$11:$AZ$4010,0)),""))</f>
        <v/>
      </c>
      <c r="AL451" s="17" t="str">
        <f t="shared" si="83"/>
        <v/>
      </c>
      <c r="AM451" s="12" t="str">
        <f t="shared" si="84"/>
        <v/>
      </c>
      <c r="AN451" s="18" t="str">
        <f t="shared" si="85"/>
        <v/>
      </c>
      <c r="AO451" s="18" t="str">
        <f t="shared" si="86"/>
        <v/>
      </c>
      <c r="AP451" s="10" t="str">
        <f t="shared" si="87"/>
        <v/>
      </c>
      <c r="AQ451" s="10" t="str">
        <f t="shared" si="88"/>
        <v/>
      </c>
      <c r="AR451" s="19" t="str">
        <f t="shared" si="89"/>
        <v/>
      </c>
      <c r="AS451" s="20"/>
      <c r="AT451" s="19"/>
      <c r="AV451" s="21">
        <f>IF(AND($AL451&lt;&gt;"",COUNTIF($AL$11:$AL451,$AL451)=1),1,0)</f>
        <v>0</v>
      </c>
      <c r="AW451" s="21">
        <f t="shared" si="91"/>
        <v>2</v>
      </c>
      <c r="AX451" s="21" t="str">
        <f t="shared" si="90"/>
        <v/>
      </c>
      <c r="AY451" s="21" t="str">
        <f>IF(AND($AM451&lt;&gt;"",$AS451&lt;&gt;"✓"),SUMPRODUCT(($AM$11:$AM451&lt;&gt;"")*($AS$11:$AS451&lt;&gt;"✓")),"")</f>
        <v/>
      </c>
      <c r="AZ451" s="21" t="str">
        <f>IF(AND($AM451&lt;&gt;"",$AS451="✓"),SUMPRODUCT(($AM$11:$AM451&lt;&gt;"")*($AS$11:$AS451="✓")),"")</f>
        <v/>
      </c>
      <c r="BA451" s="21" t="str">
        <f>IF($AL451="","",$AL451&amp;"|"&amp;COUNTIF($AL$11:$AL451,$AL451))</f>
        <v/>
      </c>
    </row>
    <row r="452" spans="2:53" ht="15" customHeight="1" x14ac:dyDescent="0.25">
      <c r="B452" s="5" t="str">
        <f t="shared" si="82"/>
        <v/>
      </c>
      <c r="C452" s="5"/>
      <c r="D452" s="5"/>
      <c r="E452" s="5"/>
      <c r="F452" s="6"/>
      <c r="G452" s="6"/>
      <c r="H452" s="7"/>
      <c r="I452" s="8"/>
      <c r="W452" s="28" t="str">
        <f>IF(X452="","",IFERROR(INDEX($AL$11:$AL$4010,MATCH(442,$AY$11:$AY$4010,0)),""))</f>
        <v/>
      </c>
      <c r="X452" s="26" t="str">
        <f>IFERROR(INDEX($AM$11:$AM$4010,MATCH(442,$AY$11:$AY$4010,0)),"")</f>
        <v/>
      </c>
      <c r="Y452" s="25" t="str">
        <f>IF(X452="","",IFERROR(INDEX($AN$11:$AN$4010,MATCH(442,$AY$11:$AY$4010,0)),""))</f>
        <v/>
      </c>
      <c r="Z452" s="25" t="str">
        <f>IF(X452="","",IFERROR(INDEX($AO$11:$AO$4010,MATCH(442,$AY$11:$AY$4010,0)),""))</f>
        <v/>
      </c>
      <c r="AA452" s="24" t="str">
        <f>IF(X452="","",IFERROR(INDEX($AQ$11:$AQ$4010,MATCH(442,$AY$11:$AY$4010,0)),""))</f>
        <v/>
      </c>
      <c r="AB452" s="29" t="str">
        <f>IF(X452="","",IFERROR(INDEX($AR$11:$AR$4010,MATCH(442,$AY$11:$AY$4010,0)),""))</f>
        <v/>
      </c>
      <c r="AD452" s="30" t="str">
        <f>IF(AE452="","",IFERROR(INDEX($AL$11:$AL$4010,MATCH(442,$AZ$11:$AZ$4010,0)),""))</f>
        <v/>
      </c>
      <c r="AE452" s="26" t="str">
        <f>IFERROR(INDEX($AM$11:$AM$4010,MATCH(442,$AZ$11:$AZ$4010,0)),"")</f>
        <v/>
      </c>
      <c r="AF452" s="25" t="str">
        <f>IF(AE452="","",IFERROR(INDEX($AN$11:$AN$4010,MATCH(442,$AZ$11:$AZ$4010,0)),""))</f>
        <v/>
      </c>
      <c r="AG452" s="25" t="str">
        <f>IF(AE452="","",IFERROR(INDEX($AO$11:$AO$4010,MATCH(442,$AZ$11:$AZ$4010,0)),""))</f>
        <v/>
      </c>
      <c r="AH452" s="24" t="str">
        <f>IF(AE452="","",IFERROR(INDEX($AQ$11:$AQ$4010,MATCH(442,$AZ$11:$AZ$4010,0)),""))</f>
        <v/>
      </c>
      <c r="AI452" s="29" t="str">
        <f>IF(AE452="","",IFERROR(INDEX($AR$11:$AR$4010,MATCH(442,$AZ$11:$AZ$4010,0)),""))</f>
        <v/>
      </c>
      <c r="AJ452" s="29" t="str">
        <f>IF(AE452="","",IFERROR(INDEX($AT$11:$AT$4010,MATCH(442,$AZ$11:$AZ$4010,0)),""))</f>
        <v/>
      </c>
      <c r="AL452" s="31" t="str">
        <f t="shared" si="83"/>
        <v/>
      </c>
      <c r="AM452" s="26" t="str">
        <f t="shared" si="84"/>
        <v/>
      </c>
      <c r="AN452" s="32" t="str">
        <f t="shared" si="85"/>
        <v/>
      </c>
      <c r="AO452" s="32" t="str">
        <f t="shared" si="86"/>
        <v/>
      </c>
      <c r="AP452" s="24" t="str">
        <f t="shared" si="87"/>
        <v/>
      </c>
      <c r="AQ452" s="24" t="str">
        <f t="shared" si="88"/>
        <v/>
      </c>
      <c r="AR452" s="33" t="str">
        <f t="shared" si="89"/>
        <v/>
      </c>
      <c r="AS452" s="34"/>
      <c r="AT452" s="33"/>
      <c r="AV452" s="21">
        <f>IF(AND($AL452&lt;&gt;"",COUNTIF($AL$11:$AL452,$AL452)=1),1,0)</f>
        <v>0</v>
      </c>
      <c r="AW452" s="21">
        <f t="shared" si="91"/>
        <v>2</v>
      </c>
      <c r="AX452" s="21" t="str">
        <f t="shared" si="90"/>
        <v/>
      </c>
      <c r="AY452" s="21" t="str">
        <f>IF(AND($AM452&lt;&gt;"",$AS452&lt;&gt;"✓"),SUMPRODUCT(($AM$11:$AM452&lt;&gt;"")*($AS$11:$AS452&lt;&gt;"✓")),"")</f>
        <v/>
      </c>
      <c r="AZ452" s="21" t="str">
        <f>IF(AND($AM452&lt;&gt;"",$AS452="✓"),SUMPRODUCT(($AM$11:$AM452&lt;&gt;"")*($AS$11:$AS452="✓")),"")</f>
        <v/>
      </c>
      <c r="BA452" s="21" t="str">
        <f>IF($AL452="","",$AL452&amp;"|"&amp;COUNTIF($AL$11:$AL452,$AL452))</f>
        <v/>
      </c>
    </row>
    <row r="453" spans="2:53" ht="15" customHeight="1" x14ac:dyDescent="0.25">
      <c r="B453" s="5" t="str">
        <f t="shared" si="82"/>
        <v/>
      </c>
      <c r="C453" s="5"/>
      <c r="D453" s="5"/>
      <c r="E453" s="5"/>
      <c r="F453" s="6"/>
      <c r="G453" s="6"/>
      <c r="H453" s="7"/>
      <c r="I453" s="8"/>
      <c r="W453" s="14" t="str">
        <f>IF(X453="","",IFERROR(INDEX($AL$11:$AL$4010,MATCH(443,$AY$11:$AY$4010,0)),""))</f>
        <v/>
      </c>
      <c r="X453" s="12" t="str">
        <f>IFERROR(INDEX($AM$11:$AM$4010,MATCH(443,$AY$11:$AY$4010,0)),"")</f>
        <v/>
      </c>
      <c r="Y453" s="11" t="str">
        <f>IF(X453="","",IFERROR(INDEX($AN$11:$AN$4010,MATCH(443,$AY$11:$AY$4010,0)),""))</f>
        <v/>
      </c>
      <c r="Z453" s="11" t="str">
        <f>IF(X453="","",IFERROR(INDEX($AO$11:$AO$4010,MATCH(443,$AY$11:$AY$4010,0)),""))</f>
        <v/>
      </c>
      <c r="AA453" s="10" t="str">
        <f>IF(X453="","",IFERROR(INDEX($AQ$11:$AQ$4010,MATCH(443,$AY$11:$AY$4010,0)),""))</f>
        <v/>
      </c>
      <c r="AB453" s="15" t="str">
        <f>IF(X453="","",IFERROR(INDEX($AR$11:$AR$4010,MATCH(443,$AY$11:$AY$4010,0)),""))</f>
        <v/>
      </c>
      <c r="AD453" s="16" t="str">
        <f>IF(AE453="","",IFERROR(INDEX($AL$11:$AL$4010,MATCH(443,$AZ$11:$AZ$4010,0)),""))</f>
        <v/>
      </c>
      <c r="AE453" s="12" t="str">
        <f>IFERROR(INDEX($AM$11:$AM$4010,MATCH(443,$AZ$11:$AZ$4010,0)),"")</f>
        <v/>
      </c>
      <c r="AF453" s="11" t="str">
        <f>IF(AE453="","",IFERROR(INDEX($AN$11:$AN$4010,MATCH(443,$AZ$11:$AZ$4010,0)),""))</f>
        <v/>
      </c>
      <c r="AG453" s="11" t="str">
        <f>IF(AE453="","",IFERROR(INDEX($AO$11:$AO$4010,MATCH(443,$AZ$11:$AZ$4010,0)),""))</f>
        <v/>
      </c>
      <c r="AH453" s="10" t="str">
        <f>IF(AE453="","",IFERROR(INDEX($AQ$11:$AQ$4010,MATCH(443,$AZ$11:$AZ$4010,0)),""))</f>
        <v/>
      </c>
      <c r="AI453" s="15" t="str">
        <f>IF(AE453="","",IFERROR(INDEX($AR$11:$AR$4010,MATCH(443,$AZ$11:$AZ$4010,0)),""))</f>
        <v/>
      </c>
      <c r="AJ453" s="15" t="str">
        <f>IF(AE453="","",IFERROR(INDEX($AT$11:$AT$4010,MATCH(443,$AZ$11:$AZ$4010,0)),""))</f>
        <v/>
      </c>
      <c r="AL453" s="17" t="str">
        <f t="shared" si="83"/>
        <v/>
      </c>
      <c r="AM453" s="12" t="str">
        <f t="shared" si="84"/>
        <v/>
      </c>
      <c r="AN453" s="18" t="str">
        <f t="shared" si="85"/>
        <v/>
      </c>
      <c r="AO453" s="18" t="str">
        <f t="shared" si="86"/>
        <v/>
      </c>
      <c r="AP453" s="10" t="str">
        <f t="shared" si="87"/>
        <v/>
      </c>
      <c r="AQ453" s="10" t="str">
        <f t="shared" si="88"/>
        <v/>
      </c>
      <c r="AR453" s="19" t="str">
        <f t="shared" si="89"/>
        <v/>
      </c>
      <c r="AS453" s="20"/>
      <c r="AT453" s="19"/>
      <c r="AV453" s="21">
        <f>IF(AND($AL453&lt;&gt;"",COUNTIF($AL$11:$AL453,$AL453)=1),1,0)</f>
        <v>0</v>
      </c>
      <c r="AW453" s="21">
        <f t="shared" si="91"/>
        <v>2</v>
      </c>
      <c r="AX453" s="21" t="str">
        <f t="shared" si="90"/>
        <v/>
      </c>
      <c r="AY453" s="21" t="str">
        <f>IF(AND($AM453&lt;&gt;"",$AS453&lt;&gt;"✓"),SUMPRODUCT(($AM$11:$AM453&lt;&gt;"")*($AS$11:$AS453&lt;&gt;"✓")),"")</f>
        <v/>
      </c>
      <c r="AZ453" s="21" t="str">
        <f>IF(AND($AM453&lt;&gt;"",$AS453="✓"),SUMPRODUCT(($AM$11:$AM453&lt;&gt;"")*($AS$11:$AS453="✓")),"")</f>
        <v/>
      </c>
      <c r="BA453" s="21" t="str">
        <f>IF($AL453="","",$AL453&amp;"|"&amp;COUNTIF($AL$11:$AL453,$AL453))</f>
        <v/>
      </c>
    </row>
    <row r="454" spans="2:53" ht="15" customHeight="1" x14ac:dyDescent="0.25">
      <c r="B454" s="5" t="str">
        <f t="shared" si="82"/>
        <v/>
      </c>
      <c r="C454" s="5"/>
      <c r="D454" s="5"/>
      <c r="E454" s="5"/>
      <c r="F454" s="6"/>
      <c r="G454" s="6"/>
      <c r="H454" s="7"/>
      <c r="I454" s="8"/>
      <c r="W454" s="28" t="str">
        <f>IF(X454="","",IFERROR(INDEX($AL$11:$AL$4010,MATCH(444,$AY$11:$AY$4010,0)),""))</f>
        <v/>
      </c>
      <c r="X454" s="26" t="str">
        <f>IFERROR(INDEX($AM$11:$AM$4010,MATCH(444,$AY$11:$AY$4010,0)),"")</f>
        <v/>
      </c>
      <c r="Y454" s="25" t="str">
        <f>IF(X454="","",IFERROR(INDEX($AN$11:$AN$4010,MATCH(444,$AY$11:$AY$4010,0)),""))</f>
        <v/>
      </c>
      <c r="Z454" s="25" t="str">
        <f>IF(X454="","",IFERROR(INDEX($AO$11:$AO$4010,MATCH(444,$AY$11:$AY$4010,0)),""))</f>
        <v/>
      </c>
      <c r="AA454" s="24" t="str">
        <f>IF(X454="","",IFERROR(INDEX($AQ$11:$AQ$4010,MATCH(444,$AY$11:$AY$4010,0)),""))</f>
        <v/>
      </c>
      <c r="AB454" s="29" t="str">
        <f>IF(X454="","",IFERROR(INDEX($AR$11:$AR$4010,MATCH(444,$AY$11:$AY$4010,0)),""))</f>
        <v/>
      </c>
      <c r="AD454" s="30" t="str">
        <f>IF(AE454="","",IFERROR(INDEX($AL$11:$AL$4010,MATCH(444,$AZ$11:$AZ$4010,0)),""))</f>
        <v/>
      </c>
      <c r="AE454" s="26" t="str">
        <f>IFERROR(INDEX($AM$11:$AM$4010,MATCH(444,$AZ$11:$AZ$4010,0)),"")</f>
        <v/>
      </c>
      <c r="AF454" s="25" t="str">
        <f>IF(AE454="","",IFERROR(INDEX($AN$11:$AN$4010,MATCH(444,$AZ$11:$AZ$4010,0)),""))</f>
        <v/>
      </c>
      <c r="AG454" s="25" t="str">
        <f>IF(AE454="","",IFERROR(INDEX($AO$11:$AO$4010,MATCH(444,$AZ$11:$AZ$4010,0)),""))</f>
        <v/>
      </c>
      <c r="AH454" s="24" t="str">
        <f>IF(AE454="","",IFERROR(INDEX($AQ$11:$AQ$4010,MATCH(444,$AZ$11:$AZ$4010,0)),""))</f>
        <v/>
      </c>
      <c r="AI454" s="29" t="str">
        <f>IF(AE454="","",IFERROR(INDEX($AR$11:$AR$4010,MATCH(444,$AZ$11:$AZ$4010,0)),""))</f>
        <v/>
      </c>
      <c r="AJ454" s="29" t="str">
        <f>IF(AE454="","",IFERROR(INDEX($AT$11:$AT$4010,MATCH(444,$AZ$11:$AZ$4010,0)),""))</f>
        <v/>
      </c>
      <c r="AL454" s="31" t="str">
        <f t="shared" si="83"/>
        <v/>
      </c>
      <c r="AM454" s="26" t="str">
        <f t="shared" si="84"/>
        <v/>
      </c>
      <c r="AN454" s="32" t="str">
        <f t="shared" si="85"/>
        <v/>
      </c>
      <c r="AO454" s="32" t="str">
        <f t="shared" si="86"/>
        <v/>
      </c>
      <c r="AP454" s="24" t="str">
        <f t="shared" si="87"/>
        <v/>
      </c>
      <c r="AQ454" s="24" t="str">
        <f t="shared" si="88"/>
        <v/>
      </c>
      <c r="AR454" s="33" t="str">
        <f t="shared" si="89"/>
        <v/>
      </c>
      <c r="AS454" s="34"/>
      <c r="AT454" s="33"/>
      <c r="AV454" s="21">
        <f>IF(AND($AL454&lt;&gt;"",COUNTIF($AL$11:$AL454,$AL454)=1),1,0)</f>
        <v>0</v>
      </c>
      <c r="AW454" s="21">
        <f t="shared" si="91"/>
        <v>2</v>
      </c>
      <c r="AX454" s="21" t="str">
        <f t="shared" si="90"/>
        <v/>
      </c>
      <c r="AY454" s="21" t="str">
        <f>IF(AND($AM454&lt;&gt;"",$AS454&lt;&gt;"✓"),SUMPRODUCT(($AM$11:$AM454&lt;&gt;"")*($AS$11:$AS454&lt;&gt;"✓")),"")</f>
        <v/>
      </c>
      <c r="AZ454" s="21" t="str">
        <f>IF(AND($AM454&lt;&gt;"",$AS454="✓"),SUMPRODUCT(($AM$11:$AM454&lt;&gt;"")*($AS$11:$AS454="✓")),"")</f>
        <v/>
      </c>
      <c r="BA454" s="21" t="str">
        <f>IF($AL454="","",$AL454&amp;"|"&amp;COUNTIF($AL$11:$AL454,$AL454))</f>
        <v/>
      </c>
    </row>
    <row r="455" spans="2:53" ht="15" customHeight="1" x14ac:dyDescent="0.25">
      <c r="B455" s="5" t="str">
        <f t="shared" si="82"/>
        <v/>
      </c>
      <c r="C455" s="5"/>
      <c r="D455" s="5"/>
      <c r="E455" s="5"/>
      <c r="F455" s="6"/>
      <c r="G455" s="6"/>
      <c r="H455" s="7"/>
      <c r="I455" s="8"/>
      <c r="W455" s="14" t="str">
        <f>IF(X455="","",IFERROR(INDEX($AL$11:$AL$4010,MATCH(445,$AY$11:$AY$4010,0)),""))</f>
        <v/>
      </c>
      <c r="X455" s="12" t="str">
        <f>IFERROR(INDEX($AM$11:$AM$4010,MATCH(445,$AY$11:$AY$4010,0)),"")</f>
        <v/>
      </c>
      <c r="Y455" s="11" t="str">
        <f>IF(X455="","",IFERROR(INDEX($AN$11:$AN$4010,MATCH(445,$AY$11:$AY$4010,0)),""))</f>
        <v/>
      </c>
      <c r="Z455" s="11" t="str">
        <f>IF(X455="","",IFERROR(INDEX($AO$11:$AO$4010,MATCH(445,$AY$11:$AY$4010,0)),""))</f>
        <v/>
      </c>
      <c r="AA455" s="10" t="str">
        <f>IF(X455="","",IFERROR(INDEX($AQ$11:$AQ$4010,MATCH(445,$AY$11:$AY$4010,0)),""))</f>
        <v/>
      </c>
      <c r="AB455" s="15" t="str">
        <f>IF(X455="","",IFERROR(INDEX($AR$11:$AR$4010,MATCH(445,$AY$11:$AY$4010,0)),""))</f>
        <v/>
      </c>
      <c r="AD455" s="16" t="str">
        <f>IF(AE455="","",IFERROR(INDEX($AL$11:$AL$4010,MATCH(445,$AZ$11:$AZ$4010,0)),""))</f>
        <v/>
      </c>
      <c r="AE455" s="12" t="str">
        <f>IFERROR(INDEX($AM$11:$AM$4010,MATCH(445,$AZ$11:$AZ$4010,0)),"")</f>
        <v/>
      </c>
      <c r="AF455" s="11" t="str">
        <f>IF(AE455="","",IFERROR(INDEX($AN$11:$AN$4010,MATCH(445,$AZ$11:$AZ$4010,0)),""))</f>
        <v/>
      </c>
      <c r="AG455" s="11" t="str">
        <f>IF(AE455="","",IFERROR(INDEX($AO$11:$AO$4010,MATCH(445,$AZ$11:$AZ$4010,0)),""))</f>
        <v/>
      </c>
      <c r="AH455" s="10" t="str">
        <f>IF(AE455="","",IFERROR(INDEX($AQ$11:$AQ$4010,MATCH(445,$AZ$11:$AZ$4010,0)),""))</f>
        <v/>
      </c>
      <c r="AI455" s="15" t="str">
        <f>IF(AE455="","",IFERROR(INDEX($AR$11:$AR$4010,MATCH(445,$AZ$11:$AZ$4010,0)),""))</f>
        <v/>
      </c>
      <c r="AJ455" s="15" t="str">
        <f>IF(AE455="","",IFERROR(INDEX($AT$11:$AT$4010,MATCH(445,$AZ$11:$AZ$4010,0)),""))</f>
        <v/>
      </c>
      <c r="AL455" s="17" t="str">
        <f t="shared" si="83"/>
        <v/>
      </c>
      <c r="AM455" s="12" t="str">
        <f t="shared" si="84"/>
        <v/>
      </c>
      <c r="AN455" s="18" t="str">
        <f t="shared" si="85"/>
        <v/>
      </c>
      <c r="AO455" s="18" t="str">
        <f t="shared" si="86"/>
        <v/>
      </c>
      <c r="AP455" s="10" t="str">
        <f t="shared" si="87"/>
        <v/>
      </c>
      <c r="AQ455" s="10" t="str">
        <f t="shared" si="88"/>
        <v/>
      </c>
      <c r="AR455" s="19" t="str">
        <f t="shared" si="89"/>
        <v/>
      </c>
      <c r="AS455" s="20"/>
      <c r="AT455" s="19"/>
      <c r="AV455" s="21">
        <f>IF(AND($AL455&lt;&gt;"",COUNTIF($AL$11:$AL455,$AL455)=1),1,0)</f>
        <v>0</v>
      </c>
      <c r="AW455" s="21">
        <f t="shared" si="91"/>
        <v>2</v>
      </c>
      <c r="AX455" s="21" t="str">
        <f t="shared" si="90"/>
        <v/>
      </c>
      <c r="AY455" s="21" t="str">
        <f>IF(AND($AM455&lt;&gt;"",$AS455&lt;&gt;"✓"),SUMPRODUCT(($AM$11:$AM455&lt;&gt;"")*($AS$11:$AS455&lt;&gt;"✓")),"")</f>
        <v/>
      </c>
      <c r="AZ455" s="21" t="str">
        <f>IF(AND($AM455&lt;&gt;"",$AS455="✓"),SUMPRODUCT(($AM$11:$AM455&lt;&gt;"")*($AS$11:$AS455="✓")),"")</f>
        <v/>
      </c>
      <c r="BA455" s="21" t="str">
        <f>IF($AL455="","",$AL455&amp;"|"&amp;COUNTIF($AL$11:$AL455,$AL455))</f>
        <v/>
      </c>
    </row>
    <row r="456" spans="2:53" ht="15" customHeight="1" x14ac:dyDescent="0.25">
      <c r="B456" s="5" t="str">
        <f t="shared" si="82"/>
        <v/>
      </c>
      <c r="C456" s="5"/>
      <c r="D456" s="5"/>
      <c r="E456" s="5"/>
      <c r="F456" s="6"/>
      <c r="G456" s="6"/>
      <c r="H456" s="7"/>
      <c r="I456" s="8"/>
      <c r="W456" s="28" t="str">
        <f>IF(X456="","",IFERROR(INDEX($AL$11:$AL$4010,MATCH(446,$AY$11:$AY$4010,0)),""))</f>
        <v/>
      </c>
      <c r="X456" s="26" t="str">
        <f>IFERROR(INDEX($AM$11:$AM$4010,MATCH(446,$AY$11:$AY$4010,0)),"")</f>
        <v/>
      </c>
      <c r="Y456" s="25" t="str">
        <f>IF(X456="","",IFERROR(INDEX($AN$11:$AN$4010,MATCH(446,$AY$11:$AY$4010,0)),""))</f>
        <v/>
      </c>
      <c r="Z456" s="25" t="str">
        <f>IF(X456="","",IFERROR(INDEX($AO$11:$AO$4010,MATCH(446,$AY$11:$AY$4010,0)),""))</f>
        <v/>
      </c>
      <c r="AA456" s="24" t="str">
        <f>IF(X456="","",IFERROR(INDEX($AQ$11:$AQ$4010,MATCH(446,$AY$11:$AY$4010,0)),""))</f>
        <v/>
      </c>
      <c r="AB456" s="29" t="str">
        <f>IF(X456="","",IFERROR(INDEX($AR$11:$AR$4010,MATCH(446,$AY$11:$AY$4010,0)),""))</f>
        <v/>
      </c>
      <c r="AD456" s="30" t="str">
        <f>IF(AE456="","",IFERROR(INDEX($AL$11:$AL$4010,MATCH(446,$AZ$11:$AZ$4010,0)),""))</f>
        <v/>
      </c>
      <c r="AE456" s="26" t="str">
        <f>IFERROR(INDEX($AM$11:$AM$4010,MATCH(446,$AZ$11:$AZ$4010,0)),"")</f>
        <v/>
      </c>
      <c r="AF456" s="25" t="str">
        <f>IF(AE456="","",IFERROR(INDEX($AN$11:$AN$4010,MATCH(446,$AZ$11:$AZ$4010,0)),""))</f>
        <v/>
      </c>
      <c r="AG456" s="25" t="str">
        <f>IF(AE456="","",IFERROR(INDEX($AO$11:$AO$4010,MATCH(446,$AZ$11:$AZ$4010,0)),""))</f>
        <v/>
      </c>
      <c r="AH456" s="24" t="str">
        <f>IF(AE456="","",IFERROR(INDEX($AQ$11:$AQ$4010,MATCH(446,$AZ$11:$AZ$4010,0)),""))</f>
        <v/>
      </c>
      <c r="AI456" s="29" t="str">
        <f>IF(AE456="","",IFERROR(INDEX($AR$11:$AR$4010,MATCH(446,$AZ$11:$AZ$4010,0)),""))</f>
        <v/>
      </c>
      <c r="AJ456" s="29" t="str">
        <f>IF(AE456="","",IFERROR(INDEX($AT$11:$AT$4010,MATCH(446,$AZ$11:$AZ$4010,0)),""))</f>
        <v/>
      </c>
      <c r="AL456" s="31" t="str">
        <f t="shared" si="83"/>
        <v/>
      </c>
      <c r="AM456" s="26" t="str">
        <f t="shared" si="84"/>
        <v/>
      </c>
      <c r="AN456" s="32" t="str">
        <f t="shared" si="85"/>
        <v/>
      </c>
      <c r="AO456" s="32" t="str">
        <f t="shared" si="86"/>
        <v/>
      </c>
      <c r="AP456" s="24" t="str">
        <f t="shared" si="87"/>
        <v/>
      </c>
      <c r="AQ456" s="24" t="str">
        <f t="shared" si="88"/>
        <v/>
      </c>
      <c r="AR456" s="33" t="str">
        <f t="shared" si="89"/>
        <v/>
      </c>
      <c r="AS456" s="34"/>
      <c r="AT456" s="33"/>
      <c r="AV456" s="21">
        <f>IF(AND($AL456&lt;&gt;"",COUNTIF($AL$11:$AL456,$AL456)=1),1,0)</f>
        <v>0</v>
      </c>
      <c r="AW456" s="21">
        <f t="shared" si="91"/>
        <v>2</v>
      </c>
      <c r="AX456" s="21" t="str">
        <f t="shared" si="90"/>
        <v/>
      </c>
      <c r="AY456" s="21" t="str">
        <f>IF(AND($AM456&lt;&gt;"",$AS456&lt;&gt;"✓"),SUMPRODUCT(($AM$11:$AM456&lt;&gt;"")*($AS$11:$AS456&lt;&gt;"✓")),"")</f>
        <v/>
      </c>
      <c r="AZ456" s="21" t="str">
        <f>IF(AND($AM456&lt;&gt;"",$AS456="✓"),SUMPRODUCT(($AM$11:$AM456&lt;&gt;"")*($AS$11:$AS456="✓")),"")</f>
        <v/>
      </c>
      <c r="BA456" s="21" t="str">
        <f>IF($AL456="","",$AL456&amp;"|"&amp;COUNTIF($AL$11:$AL456,$AL456))</f>
        <v/>
      </c>
    </row>
    <row r="457" spans="2:53" ht="15" customHeight="1" x14ac:dyDescent="0.25">
      <c r="B457" s="5" t="str">
        <f t="shared" si="82"/>
        <v/>
      </c>
      <c r="C457" s="5"/>
      <c r="D457" s="5"/>
      <c r="E457" s="5"/>
      <c r="F457" s="6"/>
      <c r="G457" s="6"/>
      <c r="H457" s="7"/>
      <c r="I457" s="8"/>
      <c r="W457" s="14" t="str">
        <f>IF(X457="","",IFERROR(INDEX($AL$11:$AL$4010,MATCH(447,$AY$11:$AY$4010,0)),""))</f>
        <v/>
      </c>
      <c r="X457" s="12" t="str">
        <f>IFERROR(INDEX($AM$11:$AM$4010,MATCH(447,$AY$11:$AY$4010,0)),"")</f>
        <v/>
      </c>
      <c r="Y457" s="11" t="str">
        <f>IF(X457="","",IFERROR(INDEX($AN$11:$AN$4010,MATCH(447,$AY$11:$AY$4010,0)),""))</f>
        <v/>
      </c>
      <c r="Z457" s="11" t="str">
        <f>IF(X457="","",IFERROR(INDEX($AO$11:$AO$4010,MATCH(447,$AY$11:$AY$4010,0)),""))</f>
        <v/>
      </c>
      <c r="AA457" s="10" t="str">
        <f>IF(X457="","",IFERROR(INDEX($AQ$11:$AQ$4010,MATCH(447,$AY$11:$AY$4010,0)),""))</f>
        <v/>
      </c>
      <c r="AB457" s="15" t="str">
        <f>IF(X457="","",IFERROR(INDEX($AR$11:$AR$4010,MATCH(447,$AY$11:$AY$4010,0)),""))</f>
        <v/>
      </c>
      <c r="AD457" s="16" t="str">
        <f>IF(AE457="","",IFERROR(INDEX($AL$11:$AL$4010,MATCH(447,$AZ$11:$AZ$4010,0)),""))</f>
        <v/>
      </c>
      <c r="AE457" s="12" t="str">
        <f>IFERROR(INDEX($AM$11:$AM$4010,MATCH(447,$AZ$11:$AZ$4010,0)),"")</f>
        <v/>
      </c>
      <c r="AF457" s="11" t="str">
        <f>IF(AE457="","",IFERROR(INDEX($AN$11:$AN$4010,MATCH(447,$AZ$11:$AZ$4010,0)),""))</f>
        <v/>
      </c>
      <c r="AG457" s="11" t="str">
        <f>IF(AE457="","",IFERROR(INDEX($AO$11:$AO$4010,MATCH(447,$AZ$11:$AZ$4010,0)),""))</f>
        <v/>
      </c>
      <c r="AH457" s="10" t="str">
        <f>IF(AE457="","",IFERROR(INDEX($AQ$11:$AQ$4010,MATCH(447,$AZ$11:$AZ$4010,0)),""))</f>
        <v/>
      </c>
      <c r="AI457" s="15" t="str">
        <f>IF(AE457="","",IFERROR(INDEX($AR$11:$AR$4010,MATCH(447,$AZ$11:$AZ$4010,0)),""))</f>
        <v/>
      </c>
      <c r="AJ457" s="15" t="str">
        <f>IF(AE457="","",IFERROR(INDEX($AT$11:$AT$4010,MATCH(447,$AZ$11:$AZ$4010,0)),""))</f>
        <v/>
      </c>
      <c r="AL457" s="17" t="str">
        <f t="shared" si="83"/>
        <v/>
      </c>
      <c r="AM457" s="12" t="str">
        <f t="shared" si="84"/>
        <v/>
      </c>
      <c r="AN457" s="18" t="str">
        <f t="shared" si="85"/>
        <v/>
      </c>
      <c r="AO457" s="18" t="str">
        <f t="shared" si="86"/>
        <v/>
      </c>
      <c r="AP457" s="10" t="str">
        <f t="shared" si="87"/>
        <v/>
      </c>
      <c r="AQ457" s="10" t="str">
        <f t="shared" si="88"/>
        <v/>
      </c>
      <c r="AR457" s="19" t="str">
        <f t="shared" si="89"/>
        <v/>
      </c>
      <c r="AS457" s="20"/>
      <c r="AT457" s="19"/>
      <c r="AV457" s="21">
        <f>IF(AND($AL457&lt;&gt;"",COUNTIF($AL$11:$AL457,$AL457)=1),1,0)</f>
        <v>0</v>
      </c>
      <c r="AW457" s="21">
        <f t="shared" si="91"/>
        <v>2</v>
      </c>
      <c r="AX457" s="21" t="str">
        <f t="shared" si="90"/>
        <v/>
      </c>
      <c r="AY457" s="21" t="str">
        <f>IF(AND($AM457&lt;&gt;"",$AS457&lt;&gt;"✓"),SUMPRODUCT(($AM$11:$AM457&lt;&gt;"")*($AS$11:$AS457&lt;&gt;"✓")),"")</f>
        <v/>
      </c>
      <c r="AZ457" s="21" t="str">
        <f>IF(AND($AM457&lt;&gt;"",$AS457="✓"),SUMPRODUCT(($AM$11:$AM457&lt;&gt;"")*($AS$11:$AS457="✓")),"")</f>
        <v/>
      </c>
      <c r="BA457" s="21" t="str">
        <f>IF($AL457="","",$AL457&amp;"|"&amp;COUNTIF($AL$11:$AL457,$AL457))</f>
        <v/>
      </c>
    </row>
    <row r="458" spans="2:53" ht="15" customHeight="1" x14ac:dyDescent="0.25">
      <c r="B458" s="5" t="str">
        <f t="shared" si="82"/>
        <v/>
      </c>
      <c r="C458" s="5"/>
      <c r="D458" s="5"/>
      <c r="E458" s="5"/>
      <c r="F458" s="6"/>
      <c r="G458" s="6"/>
      <c r="H458" s="7"/>
      <c r="I458" s="8"/>
      <c r="W458" s="28" t="str">
        <f>IF(X458="","",IFERROR(INDEX($AL$11:$AL$4010,MATCH(448,$AY$11:$AY$4010,0)),""))</f>
        <v/>
      </c>
      <c r="X458" s="26" t="str">
        <f>IFERROR(INDEX($AM$11:$AM$4010,MATCH(448,$AY$11:$AY$4010,0)),"")</f>
        <v/>
      </c>
      <c r="Y458" s="25" t="str">
        <f>IF(X458="","",IFERROR(INDEX($AN$11:$AN$4010,MATCH(448,$AY$11:$AY$4010,0)),""))</f>
        <v/>
      </c>
      <c r="Z458" s="25" t="str">
        <f>IF(X458="","",IFERROR(INDEX($AO$11:$AO$4010,MATCH(448,$AY$11:$AY$4010,0)),""))</f>
        <v/>
      </c>
      <c r="AA458" s="24" t="str">
        <f>IF(X458="","",IFERROR(INDEX($AQ$11:$AQ$4010,MATCH(448,$AY$11:$AY$4010,0)),""))</f>
        <v/>
      </c>
      <c r="AB458" s="29" t="str">
        <f>IF(X458="","",IFERROR(INDEX($AR$11:$AR$4010,MATCH(448,$AY$11:$AY$4010,0)),""))</f>
        <v/>
      </c>
      <c r="AD458" s="30" t="str">
        <f>IF(AE458="","",IFERROR(INDEX($AL$11:$AL$4010,MATCH(448,$AZ$11:$AZ$4010,0)),""))</f>
        <v/>
      </c>
      <c r="AE458" s="26" t="str">
        <f>IFERROR(INDEX($AM$11:$AM$4010,MATCH(448,$AZ$11:$AZ$4010,0)),"")</f>
        <v/>
      </c>
      <c r="AF458" s="25" t="str">
        <f>IF(AE458="","",IFERROR(INDEX($AN$11:$AN$4010,MATCH(448,$AZ$11:$AZ$4010,0)),""))</f>
        <v/>
      </c>
      <c r="AG458" s="25" t="str">
        <f>IF(AE458="","",IFERROR(INDEX($AO$11:$AO$4010,MATCH(448,$AZ$11:$AZ$4010,0)),""))</f>
        <v/>
      </c>
      <c r="AH458" s="24" t="str">
        <f>IF(AE458="","",IFERROR(INDEX($AQ$11:$AQ$4010,MATCH(448,$AZ$11:$AZ$4010,0)),""))</f>
        <v/>
      </c>
      <c r="AI458" s="29" t="str">
        <f>IF(AE458="","",IFERROR(INDEX($AR$11:$AR$4010,MATCH(448,$AZ$11:$AZ$4010,0)),""))</f>
        <v/>
      </c>
      <c r="AJ458" s="29" t="str">
        <f>IF(AE458="","",IFERROR(INDEX($AT$11:$AT$4010,MATCH(448,$AZ$11:$AZ$4010,0)),""))</f>
        <v/>
      </c>
      <c r="AL458" s="31" t="str">
        <f t="shared" si="83"/>
        <v/>
      </c>
      <c r="AM458" s="26" t="str">
        <f t="shared" si="84"/>
        <v/>
      </c>
      <c r="AN458" s="32" t="str">
        <f t="shared" si="85"/>
        <v/>
      </c>
      <c r="AO458" s="32" t="str">
        <f t="shared" si="86"/>
        <v/>
      </c>
      <c r="AP458" s="24" t="str">
        <f t="shared" si="87"/>
        <v/>
      </c>
      <c r="AQ458" s="24" t="str">
        <f t="shared" si="88"/>
        <v/>
      </c>
      <c r="AR458" s="33" t="str">
        <f t="shared" si="89"/>
        <v/>
      </c>
      <c r="AS458" s="34"/>
      <c r="AT458" s="33"/>
      <c r="AV458" s="21">
        <f>IF(AND($AL458&lt;&gt;"",COUNTIF($AL$11:$AL458,$AL458)=1),1,0)</f>
        <v>0</v>
      </c>
      <c r="AW458" s="21">
        <f t="shared" si="91"/>
        <v>2</v>
      </c>
      <c r="AX458" s="21" t="str">
        <f t="shared" si="90"/>
        <v/>
      </c>
      <c r="AY458" s="21" t="str">
        <f>IF(AND($AM458&lt;&gt;"",$AS458&lt;&gt;"✓"),SUMPRODUCT(($AM$11:$AM458&lt;&gt;"")*($AS$11:$AS458&lt;&gt;"✓")),"")</f>
        <v/>
      </c>
      <c r="AZ458" s="21" t="str">
        <f>IF(AND($AM458&lt;&gt;"",$AS458="✓"),SUMPRODUCT(($AM$11:$AM458&lt;&gt;"")*($AS$11:$AS458="✓")),"")</f>
        <v/>
      </c>
      <c r="BA458" s="21" t="str">
        <f>IF($AL458="","",$AL458&amp;"|"&amp;COUNTIF($AL$11:$AL458,$AL458))</f>
        <v/>
      </c>
    </row>
    <row r="459" spans="2:53" ht="15" customHeight="1" x14ac:dyDescent="0.25">
      <c r="B459" s="5" t="str">
        <f t="shared" ref="B459:B510" si="92">IF($C459="","",ROW()-10)</f>
        <v/>
      </c>
      <c r="C459" s="5"/>
      <c r="D459" s="5"/>
      <c r="E459" s="5"/>
      <c r="F459" s="6"/>
      <c r="G459" s="6"/>
      <c r="H459" s="7"/>
      <c r="I459" s="8"/>
      <c r="W459" s="14" t="str">
        <f>IF(X459="","",IFERROR(INDEX($AL$11:$AL$4010,MATCH(449,$AY$11:$AY$4010,0)),""))</f>
        <v/>
      </c>
      <c r="X459" s="12" t="str">
        <f>IFERROR(INDEX($AM$11:$AM$4010,MATCH(449,$AY$11:$AY$4010,0)),"")</f>
        <v/>
      </c>
      <c r="Y459" s="11" t="str">
        <f>IF(X459="","",IFERROR(INDEX($AN$11:$AN$4010,MATCH(449,$AY$11:$AY$4010,0)),""))</f>
        <v/>
      </c>
      <c r="Z459" s="11" t="str">
        <f>IF(X459="","",IFERROR(INDEX($AO$11:$AO$4010,MATCH(449,$AY$11:$AY$4010,0)),""))</f>
        <v/>
      </c>
      <c r="AA459" s="10" t="str">
        <f>IF(X459="","",IFERROR(INDEX($AQ$11:$AQ$4010,MATCH(449,$AY$11:$AY$4010,0)),""))</f>
        <v/>
      </c>
      <c r="AB459" s="15" t="str">
        <f>IF(X459="","",IFERROR(INDEX($AR$11:$AR$4010,MATCH(449,$AY$11:$AY$4010,0)),""))</f>
        <v/>
      </c>
      <c r="AD459" s="16" t="str">
        <f>IF(AE459="","",IFERROR(INDEX($AL$11:$AL$4010,MATCH(449,$AZ$11:$AZ$4010,0)),""))</f>
        <v/>
      </c>
      <c r="AE459" s="12" t="str">
        <f>IFERROR(INDEX($AM$11:$AM$4010,MATCH(449,$AZ$11:$AZ$4010,0)),"")</f>
        <v/>
      </c>
      <c r="AF459" s="11" t="str">
        <f>IF(AE459="","",IFERROR(INDEX($AN$11:$AN$4010,MATCH(449,$AZ$11:$AZ$4010,0)),""))</f>
        <v/>
      </c>
      <c r="AG459" s="11" t="str">
        <f>IF(AE459="","",IFERROR(INDEX($AO$11:$AO$4010,MATCH(449,$AZ$11:$AZ$4010,0)),""))</f>
        <v/>
      </c>
      <c r="AH459" s="10" t="str">
        <f>IF(AE459="","",IFERROR(INDEX($AQ$11:$AQ$4010,MATCH(449,$AZ$11:$AZ$4010,0)),""))</f>
        <v/>
      </c>
      <c r="AI459" s="15" t="str">
        <f>IF(AE459="","",IFERROR(INDEX($AR$11:$AR$4010,MATCH(449,$AZ$11:$AZ$4010,0)),""))</f>
        <v/>
      </c>
      <c r="AJ459" s="15" t="str">
        <f>IF(AE459="","",IFERROR(INDEX($AT$11:$AT$4010,MATCH(449,$AZ$11:$AZ$4010,0)),""))</f>
        <v/>
      </c>
      <c r="AL459" s="17" t="str">
        <f t="shared" ref="AL459:AL510" si="93">IF($C459="","",$I459)</f>
        <v/>
      </c>
      <c r="AM459" s="12" t="str">
        <f t="shared" ref="AM459:AM510" si="94">IF($C459="","",$C459)</f>
        <v/>
      </c>
      <c r="AN459" s="18" t="str">
        <f t="shared" ref="AN459:AN510" si="95">IF($C459="","",$F459)</f>
        <v/>
      </c>
      <c r="AO459" s="18" t="str">
        <f t="shared" ref="AO459:AO510" si="96">IF($C459="","",$G459)</f>
        <v/>
      </c>
      <c r="AP459" s="10" t="str">
        <f t="shared" ref="AP459:AP510" si="97">IF($C459="","",$D459)</f>
        <v/>
      </c>
      <c r="AQ459" s="10" t="str">
        <f t="shared" ref="AQ459:AQ510" si="98">IF($C459="","",$E459)</f>
        <v/>
      </c>
      <c r="AR459" s="19" t="str">
        <f t="shared" ref="AR459:AR510" si="99">IF($C459="","",$H459)</f>
        <v/>
      </c>
      <c r="AS459" s="20"/>
      <c r="AT459" s="19"/>
      <c r="AV459" s="21">
        <f>IF(AND($AL459&lt;&gt;"",COUNTIF($AL$11:$AL459,$AL459)=1),1,0)</f>
        <v>0</v>
      </c>
      <c r="AW459" s="21">
        <f t="shared" si="91"/>
        <v>2</v>
      </c>
      <c r="AX459" s="21" t="str">
        <f t="shared" ref="AX459:AX522" si="100">IF(AV459=1,AW459,"")</f>
        <v/>
      </c>
      <c r="AY459" s="21" t="str">
        <f>IF(AND($AM459&lt;&gt;"",$AS459&lt;&gt;"✓"),SUMPRODUCT(($AM$11:$AM459&lt;&gt;"")*($AS$11:$AS459&lt;&gt;"✓")),"")</f>
        <v/>
      </c>
      <c r="AZ459" s="21" t="str">
        <f>IF(AND($AM459&lt;&gt;"",$AS459="✓"),SUMPRODUCT(($AM$11:$AM459&lt;&gt;"")*($AS$11:$AS459="✓")),"")</f>
        <v/>
      </c>
      <c r="BA459" s="21" t="str">
        <f>IF($AL459="","",$AL459&amp;"|"&amp;COUNTIF($AL$11:$AL459,$AL459))</f>
        <v/>
      </c>
    </row>
    <row r="460" spans="2:53" ht="15" customHeight="1" x14ac:dyDescent="0.25">
      <c r="B460" s="5" t="str">
        <f t="shared" si="92"/>
        <v/>
      </c>
      <c r="C460" s="5"/>
      <c r="D460" s="5"/>
      <c r="E460" s="5"/>
      <c r="F460" s="6"/>
      <c r="G460" s="6"/>
      <c r="H460" s="7"/>
      <c r="I460" s="8"/>
      <c r="W460" s="28" t="str">
        <f>IF(X460="","",IFERROR(INDEX($AL$11:$AL$4010,MATCH(450,$AY$11:$AY$4010,0)),""))</f>
        <v/>
      </c>
      <c r="X460" s="26" t="str">
        <f>IFERROR(INDEX($AM$11:$AM$4010,MATCH(450,$AY$11:$AY$4010,0)),"")</f>
        <v/>
      </c>
      <c r="Y460" s="25" t="str">
        <f>IF(X460="","",IFERROR(INDEX($AN$11:$AN$4010,MATCH(450,$AY$11:$AY$4010,0)),""))</f>
        <v/>
      </c>
      <c r="Z460" s="25" t="str">
        <f>IF(X460="","",IFERROR(INDEX($AO$11:$AO$4010,MATCH(450,$AY$11:$AY$4010,0)),""))</f>
        <v/>
      </c>
      <c r="AA460" s="24" t="str">
        <f>IF(X460="","",IFERROR(INDEX($AQ$11:$AQ$4010,MATCH(450,$AY$11:$AY$4010,0)),""))</f>
        <v/>
      </c>
      <c r="AB460" s="29" t="str">
        <f>IF(X460="","",IFERROR(INDEX($AR$11:$AR$4010,MATCH(450,$AY$11:$AY$4010,0)),""))</f>
        <v/>
      </c>
      <c r="AD460" s="30" t="str">
        <f>IF(AE460="","",IFERROR(INDEX($AL$11:$AL$4010,MATCH(450,$AZ$11:$AZ$4010,0)),""))</f>
        <v/>
      </c>
      <c r="AE460" s="26" t="str">
        <f>IFERROR(INDEX($AM$11:$AM$4010,MATCH(450,$AZ$11:$AZ$4010,0)),"")</f>
        <v/>
      </c>
      <c r="AF460" s="25" t="str">
        <f>IF(AE460="","",IFERROR(INDEX($AN$11:$AN$4010,MATCH(450,$AZ$11:$AZ$4010,0)),""))</f>
        <v/>
      </c>
      <c r="AG460" s="25" t="str">
        <f>IF(AE460="","",IFERROR(INDEX($AO$11:$AO$4010,MATCH(450,$AZ$11:$AZ$4010,0)),""))</f>
        <v/>
      </c>
      <c r="AH460" s="24" t="str">
        <f>IF(AE460="","",IFERROR(INDEX($AQ$11:$AQ$4010,MATCH(450,$AZ$11:$AZ$4010,0)),""))</f>
        <v/>
      </c>
      <c r="AI460" s="29" t="str">
        <f>IF(AE460="","",IFERROR(INDEX($AR$11:$AR$4010,MATCH(450,$AZ$11:$AZ$4010,0)),""))</f>
        <v/>
      </c>
      <c r="AJ460" s="29" t="str">
        <f>IF(AE460="","",IFERROR(INDEX($AT$11:$AT$4010,MATCH(450,$AZ$11:$AZ$4010,0)),""))</f>
        <v/>
      </c>
      <c r="AL460" s="31" t="str">
        <f t="shared" si="93"/>
        <v/>
      </c>
      <c r="AM460" s="26" t="str">
        <f t="shared" si="94"/>
        <v/>
      </c>
      <c r="AN460" s="32" t="str">
        <f t="shared" si="95"/>
        <v/>
      </c>
      <c r="AO460" s="32" t="str">
        <f t="shared" si="96"/>
        <v/>
      </c>
      <c r="AP460" s="24" t="str">
        <f t="shared" si="97"/>
        <v/>
      </c>
      <c r="AQ460" s="24" t="str">
        <f t="shared" si="98"/>
        <v/>
      </c>
      <c r="AR460" s="33" t="str">
        <f t="shared" si="99"/>
        <v/>
      </c>
      <c r="AS460" s="34"/>
      <c r="AT460" s="33"/>
      <c r="AV460" s="21">
        <f>IF(AND($AL460&lt;&gt;"",COUNTIF($AL$11:$AL460,$AL460)=1),1,0)</f>
        <v>0</v>
      </c>
      <c r="AW460" s="21">
        <f t="shared" ref="AW460:AW523" si="101">AW459+AV460</f>
        <v>2</v>
      </c>
      <c r="AX460" s="21" t="str">
        <f t="shared" si="100"/>
        <v/>
      </c>
      <c r="AY460" s="21" t="str">
        <f>IF(AND($AM460&lt;&gt;"",$AS460&lt;&gt;"✓"),SUMPRODUCT(($AM$11:$AM460&lt;&gt;"")*($AS$11:$AS460&lt;&gt;"✓")),"")</f>
        <v/>
      </c>
      <c r="AZ460" s="21" t="str">
        <f>IF(AND($AM460&lt;&gt;"",$AS460="✓"),SUMPRODUCT(($AM$11:$AM460&lt;&gt;"")*($AS$11:$AS460="✓")),"")</f>
        <v/>
      </c>
      <c r="BA460" s="21" t="str">
        <f>IF($AL460="","",$AL460&amp;"|"&amp;COUNTIF($AL$11:$AL460,$AL460))</f>
        <v/>
      </c>
    </row>
    <row r="461" spans="2:53" ht="15" customHeight="1" x14ac:dyDescent="0.25">
      <c r="B461" s="5" t="str">
        <f t="shared" si="92"/>
        <v/>
      </c>
      <c r="C461" s="5"/>
      <c r="D461" s="5"/>
      <c r="E461" s="5"/>
      <c r="F461" s="6"/>
      <c r="G461" s="6"/>
      <c r="H461" s="7"/>
      <c r="I461" s="8"/>
      <c r="W461" s="14" t="str">
        <f>IF(X461="","",IFERROR(INDEX($AL$11:$AL$4010,MATCH(451,$AY$11:$AY$4010,0)),""))</f>
        <v/>
      </c>
      <c r="X461" s="12" t="str">
        <f>IFERROR(INDEX($AM$11:$AM$4010,MATCH(451,$AY$11:$AY$4010,0)),"")</f>
        <v/>
      </c>
      <c r="Y461" s="11" t="str">
        <f>IF(X461="","",IFERROR(INDEX($AN$11:$AN$4010,MATCH(451,$AY$11:$AY$4010,0)),""))</f>
        <v/>
      </c>
      <c r="Z461" s="11" t="str">
        <f>IF(X461="","",IFERROR(INDEX($AO$11:$AO$4010,MATCH(451,$AY$11:$AY$4010,0)),""))</f>
        <v/>
      </c>
      <c r="AA461" s="10" t="str">
        <f>IF(X461="","",IFERROR(INDEX($AQ$11:$AQ$4010,MATCH(451,$AY$11:$AY$4010,0)),""))</f>
        <v/>
      </c>
      <c r="AB461" s="15" t="str">
        <f>IF(X461="","",IFERROR(INDEX($AR$11:$AR$4010,MATCH(451,$AY$11:$AY$4010,0)),""))</f>
        <v/>
      </c>
      <c r="AD461" s="16" t="str">
        <f>IF(AE461="","",IFERROR(INDEX($AL$11:$AL$4010,MATCH(451,$AZ$11:$AZ$4010,0)),""))</f>
        <v/>
      </c>
      <c r="AE461" s="12" t="str">
        <f>IFERROR(INDEX($AM$11:$AM$4010,MATCH(451,$AZ$11:$AZ$4010,0)),"")</f>
        <v/>
      </c>
      <c r="AF461" s="11" t="str">
        <f>IF(AE461="","",IFERROR(INDEX($AN$11:$AN$4010,MATCH(451,$AZ$11:$AZ$4010,0)),""))</f>
        <v/>
      </c>
      <c r="AG461" s="11" t="str">
        <f>IF(AE461="","",IFERROR(INDEX($AO$11:$AO$4010,MATCH(451,$AZ$11:$AZ$4010,0)),""))</f>
        <v/>
      </c>
      <c r="AH461" s="10" t="str">
        <f>IF(AE461="","",IFERROR(INDEX($AQ$11:$AQ$4010,MATCH(451,$AZ$11:$AZ$4010,0)),""))</f>
        <v/>
      </c>
      <c r="AI461" s="15" t="str">
        <f>IF(AE461="","",IFERROR(INDEX($AR$11:$AR$4010,MATCH(451,$AZ$11:$AZ$4010,0)),""))</f>
        <v/>
      </c>
      <c r="AJ461" s="15" t="str">
        <f>IF(AE461="","",IFERROR(INDEX($AT$11:$AT$4010,MATCH(451,$AZ$11:$AZ$4010,0)),""))</f>
        <v/>
      </c>
      <c r="AL461" s="17" t="str">
        <f t="shared" si="93"/>
        <v/>
      </c>
      <c r="AM461" s="12" t="str">
        <f t="shared" si="94"/>
        <v/>
      </c>
      <c r="AN461" s="18" t="str">
        <f t="shared" si="95"/>
        <v/>
      </c>
      <c r="AO461" s="18" t="str">
        <f t="shared" si="96"/>
        <v/>
      </c>
      <c r="AP461" s="10" t="str">
        <f t="shared" si="97"/>
        <v/>
      </c>
      <c r="AQ461" s="10" t="str">
        <f t="shared" si="98"/>
        <v/>
      </c>
      <c r="AR461" s="19" t="str">
        <f t="shared" si="99"/>
        <v/>
      </c>
      <c r="AS461" s="20"/>
      <c r="AT461" s="19"/>
      <c r="AV461" s="21">
        <f>IF(AND($AL461&lt;&gt;"",COUNTIF($AL$11:$AL461,$AL461)=1),1,0)</f>
        <v>0</v>
      </c>
      <c r="AW461" s="21">
        <f t="shared" si="101"/>
        <v>2</v>
      </c>
      <c r="AX461" s="21" t="str">
        <f t="shared" si="100"/>
        <v/>
      </c>
      <c r="AY461" s="21" t="str">
        <f>IF(AND($AM461&lt;&gt;"",$AS461&lt;&gt;"✓"),SUMPRODUCT(($AM$11:$AM461&lt;&gt;"")*($AS$11:$AS461&lt;&gt;"✓")),"")</f>
        <v/>
      </c>
      <c r="AZ461" s="21" t="str">
        <f>IF(AND($AM461&lt;&gt;"",$AS461="✓"),SUMPRODUCT(($AM$11:$AM461&lt;&gt;"")*($AS$11:$AS461="✓")),"")</f>
        <v/>
      </c>
      <c r="BA461" s="21" t="str">
        <f>IF($AL461="","",$AL461&amp;"|"&amp;COUNTIF($AL$11:$AL461,$AL461))</f>
        <v/>
      </c>
    </row>
    <row r="462" spans="2:53" ht="15" customHeight="1" x14ac:dyDescent="0.25">
      <c r="B462" s="5" t="str">
        <f t="shared" si="92"/>
        <v/>
      </c>
      <c r="C462" s="5"/>
      <c r="D462" s="5"/>
      <c r="E462" s="5"/>
      <c r="F462" s="6"/>
      <c r="G462" s="6"/>
      <c r="H462" s="7"/>
      <c r="I462" s="8"/>
      <c r="W462" s="28" t="str">
        <f>IF(X462="","",IFERROR(INDEX($AL$11:$AL$4010,MATCH(452,$AY$11:$AY$4010,0)),""))</f>
        <v/>
      </c>
      <c r="X462" s="26" t="str">
        <f>IFERROR(INDEX($AM$11:$AM$4010,MATCH(452,$AY$11:$AY$4010,0)),"")</f>
        <v/>
      </c>
      <c r="Y462" s="25" t="str">
        <f>IF(X462="","",IFERROR(INDEX($AN$11:$AN$4010,MATCH(452,$AY$11:$AY$4010,0)),""))</f>
        <v/>
      </c>
      <c r="Z462" s="25" t="str">
        <f>IF(X462="","",IFERROR(INDEX($AO$11:$AO$4010,MATCH(452,$AY$11:$AY$4010,0)),""))</f>
        <v/>
      </c>
      <c r="AA462" s="24" t="str">
        <f>IF(X462="","",IFERROR(INDEX($AQ$11:$AQ$4010,MATCH(452,$AY$11:$AY$4010,0)),""))</f>
        <v/>
      </c>
      <c r="AB462" s="29" t="str">
        <f>IF(X462="","",IFERROR(INDEX($AR$11:$AR$4010,MATCH(452,$AY$11:$AY$4010,0)),""))</f>
        <v/>
      </c>
      <c r="AD462" s="30" t="str">
        <f>IF(AE462="","",IFERROR(INDEX($AL$11:$AL$4010,MATCH(452,$AZ$11:$AZ$4010,0)),""))</f>
        <v/>
      </c>
      <c r="AE462" s="26" t="str">
        <f>IFERROR(INDEX($AM$11:$AM$4010,MATCH(452,$AZ$11:$AZ$4010,0)),"")</f>
        <v/>
      </c>
      <c r="AF462" s="25" t="str">
        <f>IF(AE462="","",IFERROR(INDEX($AN$11:$AN$4010,MATCH(452,$AZ$11:$AZ$4010,0)),""))</f>
        <v/>
      </c>
      <c r="AG462" s="25" t="str">
        <f>IF(AE462="","",IFERROR(INDEX($AO$11:$AO$4010,MATCH(452,$AZ$11:$AZ$4010,0)),""))</f>
        <v/>
      </c>
      <c r="AH462" s="24" t="str">
        <f>IF(AE462="","",IFERROR(INDEX($AQ$11:$AQ$4010,MATCH(452,$AZ$11:$AZ$4010,0)),""))</f>
        <v/>
      </c>
      <c r="AI462" s="29" t="str">
        <f>IF(AE462="","",IFERROR(INDEX($AR$11:$AR$4010,MATCH(452,$AZ$11:$AZ$4010,0)),""))</f>
        <v/>
      </c>
      <c r="AJ462" s="29" t="str">
        <f>IF(AE462="","",IFERROR(INDEX($AT$11:$AT$4010,MATCH(452,$AZ$11:$AZ$4010,0)),""))</f>
        <v/>
      </c>
      <c r="AL462" s="31" t="str">
        <f t="shared" si="93"/>
        <v/>
      </c>
      <c r="AM462" s="26" t="str">
        <f t="shared" si="94"/>
        <v/>
      </c>
      <c r="AN462" s="32" t="str">
        <f t="shared" si="95"/>
        <v/>
      </c>
      <c r="AO462" s="32" t="str">
        <f t="shared" si="96"/>
        <v/>
      </c>
      <c r="AP462" s="24" t="str">
        <f t="shared" si="97"/>
        <v/>
      </c>
      <c r="AQ462" s="24" t="str">
        <f t="shared" si="98"/>
        <v/>
      </c>
      <c r="AR462" s="33" t="str">
        <f t="shared" si="99"/>
        <v/>
      </c>
      <c r="AS462" s="34"/>
      <c r="AT462" s="33"/>
      <c r="AV462" s="21">
        <f>IF(AND($AL462&lt;&gt;"",COUNTIF($AL$11:$AL462,$AL462)=1),1,0)</f>
        <v>0</v>
      </c>
      <c r="AW462" s="21">
        <f t="shared" si="101"/>
        <v>2</v>
      </c>
      <c r="AX462" s="21" t="str">
        <f t="shared" si="100"/>
        <v/>
      </c>
      <c r="AY462" s="21" t="str">
        <f>IF(AND($AM462&lt;&gt;"",$AS462&lt;&gt;"✓"),SUMPRODUCT(($AM$11:$AM462&lt;&gt;"")*($AS$11:$AS462&lt;&gt;"✓")),"")</f>
        <v/>
      </c>
      <c r="AZ462" s="21" t="str">
        <f>IF(AND($AM462&lt;&gt;"",$AS462="✓"),SUMPRODUCT(($AM$11:$AM462&lt;&gt;"")*($AS$11:$AS462="✓")),"")</f>
        <v/>
      </c>
      <c r="BA462" s="21" t="str">
        <f>IF($AL462="","",$AL462&amp;"|"&amp;COUNTIF($AL$11:$AL462,$AL462))</f>
        <v/>
      </c>
    </row>
    <row r="463" spans="2:53" ht="15" customHeight="1" x14ac:dyDescent="0.25">
      <c r="B463" s="5" t="str">
        <f t="shared" si="92"/>
        <v/>
      </c>
      <c r="C463" s="5"/>
      <c r="D463" s="5"/>
      <c r="E463" s="5"/>
      <c r="F463" s="6"/>
      <c r="G463" s="6"/>
      <c r="H463" s="7"/>
      <c r="I463" s="8"/>
      <c r="W463" s="14" t="str">
        <f>IF(X463="","",IFERROR(INDEX($AL$11:$AL$4010,MATCH(453,$AY$11:$AY$4010,0)),""))</f>
        <v/>
      </c>
      <c r="X463" s="12" t="str">
        <f>IFERROR(INDEX($AM$11:$AM$4010,MATCH(453,$AY$11:$AY$4010,0)),"")</f>
        <v/>
      </c>
      <c r="Y463" s="11" t="str">
        <f>IF(X463="","",IFERROR(INDEX($AN$11:$AN$4010,MATCH(453,$AY$11:$AY$4010,0)),""))</f>
        <v/>
      </c>
      <c r="Z463" s="11" t="str">
        <f>IF(X463="","",IFERROR(INDEX($AO$11:$AO$4010,MATCH(453,$AY$11:$AY$4010,0)),""))</f>
        <v/>
      </c>
      <c r="AA463" s="10" t="str">
        <f>IF(X463="","",IFERROR(INDEX($AQ$11:$AQ$4010,MATCH(453,$AY$11:$AY$4010,0)),""))</f>
        <v/>
      </c>
      <c r="AB463" s="15" t="str">
        <f>IF(X463="","",IFERROR(INDEX($AR$11:$AR$4010,MATCH(453,$AY$11:$AY$4010,0)),""))</f>
        <v/>
      </c>
      <c r="AD463" s="16" t="str">
        <f>IF(AE463="","",IFERROR(INDEX($AL$11:$AL$4010,MATCH(453,$AZ$11:$AZ$4010,0)),""))</f>
        <v/>
      </c>
      <c r="AE463" s="12" t="str">
        <f>IFERROR(INDEX($AM$11:$AM$4010,MATCH(453,$AZ$11:$AZ$4010,0)),"")</f>
        <v/>
      </c>
      <c r="AF463" s="11" t="str">
        <f>IF(AE463="","",IFERROR(INDEX($AN$11:$AN$4010,MATCH(453,$AZ$11:$AZ$4010,0)),""))</f>
        <v/>
      </c>
      <c r="AG463" s="11" t="str">
        <f>IF(AE463="","",IFERROR(INDEX($AO$11:$AO$4010,MATCH(453,$AZ$11:$AZ$4010,0)),""))</f>
        <v/>
      </c>
      <c r="AH463" s="10" t="str">
        <f>IF(AE463="","",IFERROR(INDEX($AQ$11:$AQ$4010,MATCH(453,$AZ$11:$AZ$4010,0)),""))</f>
        <v/>
      </c>
      <c r="AI463" s="15" t="str">
        <f>IF(AE463="","",IFERROR(INDEX($AR$11:$AR$4010,MATCH(453,$AZ$11:$AZ$4010,0)),""))</f>
        <v/>
      </c>
      <c r="AJ463" s="15" t="str">
        <f>IF(AE463="","",IFERROR(INDEX($AT$11:$AT$4010,MATCH(453,$AZ$11:$AZ$4010,0)),""))</f>
        <v/>
      </c>
      <c r="AL463" s="17" t="str">
        <f t="shared" si="93"/>
        <v/>
      </c>
      <c r="AM463" s="12" t="str">
        <f t="shared" si="94"/>
        <v/>
      </c>
      <c r="AN463" s="18" t="str">
        <f t="shared" si="95"/>
        <v/>
      </c>
      <c r="AO463" s="18" t="str">
        <f t="shared" si="96"/>
        <v/>
      </c>
      <c r="AP463" s="10" t="str">
        <f t="shared" si="97"/>
        <v/>
      </c>
      <c r="AQ463" s="10" t="str">
        <f t="shared" si="98"/>
        <v/>
      </c>
      <c r="AR463" s="19" t="str">
        <f t="shared" si="99"/>
        <v/>
      </c>
      <c r="AS463" s="20"/>
      <c r="AT463" s="19"/>
      <c r="AV463" s="21">
        <f>IF(AND($AL463&lt;&gt;"",COUNTIF($AL$11:$AL463,$AL463)=1),1,0)</f>
        <v>0</v>
      </c>
      <c r="AW463" s="21">
        <f t="shared" si="101"/>
        <v>2</v>
      </c>
      <c r="AX463" s="21" t="str">
        <f t="shared" si="100"/>
        <v/>
      </c>
      <c r="AY463" s="21" t="str">
        <f>IF(AND($AM463&lt;&gt;"",$AS463&lt;&gt;"✓"),SUMPRODUCT(($AM$11:$AM463&lt;&gt;"")*($AS$11:$AS463&lt;&gt;"✓")),"")</f>
        <v/>
      </c>
      <c r="AZ463" s="21" t="str">
        <f>IF(AND($AM463&lt;&gt;"",$AS463="✓"),SUMPRODUCT(($AM$11:$AM463&lt;&gt;"")*($AS$11:$AS463="✓")),"")</f>
        <v/>
      </c>
      <c r="BA463" s="21" t="str">
        <f>IF($AL463="","",$AL463&amp;"|"&amp;COUNTIF($AL$11:$AL463,$AL463))</f>
        <v/>
      </c>
    </row>
    <row r="464" spans="2:53" ht="15" customHeight="1" x14ac:dyDescent="0.25">
      <c r="B464" s="5" t="str">
        <f t="shared" si="92"/>
        <v/>
      </c>
      <c r="C464" s="5"/>
      <c r="D464" s="5"/>
      <c r="E464" s="5"/>
      <c r="F464" s="6"/>
      <c r="G464" s="6"/>
      <c r="H464" s="7"/>
      <c r="I464" s="8"/>
      <c r="W464" s="28" t="str">
        <f>IF(X464="","",IFERROR(INDEX($AL$11:$AL$4010,MATCH(454,$AY$11:$AY$4010,0)),""))</f>
        <v/>
      </c>
      <c r="X464" s="26" t="str">
        <f>IFERROR(INDEX($AM$11:$AM$4010,MATCH(454,$AY$11:$AY$4010,0)),"")</f>
        <v/>
      </c>
      <c r="Y464" s="25" t="str">
        <f>IF(X464="","",IFERROR(INDEX($AN$11:$AN$4010,MATCH(454,$AY$11:$AY$4010,0)),""))</f>
        <v/>
      </c>
      <c r="Z464" s="25" t="str">
        <f>IF(X464="","",IFERROR(INDEX($AO$11:$AO$4010,MATCH(454,$AY$11:$AY$4010,0)),""))</f>
        <v/>
      </c>
      <c r="AA464" s="24" t="str">
        <f>IF(X464="","",IFERROR(INDEX($AQ$11:$AQ$4010,MATCH(454,$AY$11:$AY$4010,0)),""))</f>
        <v/>
      </c>
      <c r="AB464" s="29" t="str">
        <f>IF(X464="","",IFERROR(INDEX($AR$11:$AR$4010,MATCH(454,$AY$11:$AY$4010,0)),""))</f>
        <v/>
      </c>
      <c r="AD464" s="30" t="str">
        <f>IF(AE464="","",IFERROR(INDEX($AL$11:$AL$4010,MATCH(454,$AZ$11:$AZ$4010,0)),""))</f>
        <v/>
      </c>
      <c r="AE464" s="26" t="str">
        <f>IFERROR(INDEX($AM$11:$AM$4010,MATCH(454,$AZ$11:$AZ$4010,0)),"")</f>
        <v/>
      </c>
      <c r="AF464" s="25" t="str">
        <f>IF(AE464="","",IFERROR(INDEX($AN$11:$AN$4010,MATCH(454,$AZ$11:$AZ$4010,0)),""))</f>
        <v/>
      </c>
      <c r="AG464" s="25" t="str">
        <f>IF(AE464="","",IFERROR(INDEX($AO$11:$AO$4010,MATCH(454,$AZ$11:$AZ$4010,0)),""))</f>
        <v/>
      </c>
      <c r="AH464" s="24" t="str">
        <f>IF(AE464="","",IFERROR(INDEX($AQ$11:$AQ$4010,MATCH(454,$AZ$11:$AZ$4010,0)),""))</f>
        <v/>
      </c>
      <c r="AI464" s="29" t="str">
        <f>IF(AE464="","",IFERROR(INDEX($AR$11:$AR$4010,MATCH(454,$AZ$11:$AZ$4010,0)),""))</f>
        <v/>
      </c>
      <c r="AJ464" s="29" t="str">
        <f>IF(AE464="","",IFERROR(INDEX($AT$11:$AT$4010,MATCH(454,$AZ$11:$AZ$4010,0)),""))</f>
        <v/>
      </c>
      <c r="AL464" s="31" t="str">
        <f t="shared" si="93"/>
        <v/>
      </c>
      <c r="AM464" s="26" t="str">
        <f t="shared" si="94"/>
        <v/>
      </c>
      <c r="AN464" s="32" t="str">
        <f t="shared" si="95"/>
        <v/>
      </c>
      <c r="AO464" s="32" t="str">
        <f t="shared" si="96"/>
        <v/>
      </c>
      <c r="AP464" s="24" t="str">
        <f t="shared" si="97"/>
        <v/>
      </c>
      <c r="AQ464" s="24" t="str">
        <f t="shared" si="98"/>
        <v/>
      </c>
      <c r="AR464" s="33" t="str">
        <f t="shared" si="99"/>
        <v/>
      </c>
      <c r="AS464" s="34"/>
      <c r="AT464" s="33"/>
      <c r="AV464" s="21">
        <f>IF(AND($AL464&lt;&gt;"",COUNTIF($AL$11:$AL464,$AL464)=1),1,0)</f>
        <v>0</v>
      </c>
      <c r="AW464" s="21">
        <f t="shared" si="101"/>
        <v>2</v>
      </c>
      <c r="AX464" s="21" t="str">
        <f t="shared" si="100"/>
        <v/>
      </c>
      <c r="AY464" s="21" t="str">
        <f>IF(AND($AM464&lt;&gt;"",$AS464&lt;&gt;"✓"),SUMPRODUCT(($AM$11:$AM464&lt;&gt;"")*($AS$11:$AS464&lt;&gt;"✓")),"")</f>
        <v/>
      </c>
      <c r="AZ464" s="21" t="str">
        <f>IF(AND($AM464&lt;&gt;"",$AS464="✓"),SUMPRODUCT(($AM$11:$AM464&lt;&gt;"")*($AS$11:$AS464="✓")),"")</f>
        <v/>
      </c>
      <c r="BA464" s="21" t="str">
        <f>IF($AL464="","",$AL464&amp;"|"&amp;COUNTIF($AL$11:$AL464,$AL464))</f>
        <v/>
      </c>
    </row>
    <row r="465" spans="2:53" ht="15" customHeight="1" x14ac:dyDescent="0.25">
      <c r="B465" s="5" t="str">
        <f t="shared" si="92"/>
        <v/>
      </c>
      <c r="C465" s="5"/>
      <c r="D465" s="5"/>
      <c r="E465" s="5"/>
      <c r="F465" s="6"/>
      <c r="G465" s="6"/>
      <c r="H465" s="7"/>
      <c r="I465" s="8"/>
      <c r="W465" s="14" t="str">
        <f>IF(X465="","",IFERROR(INDEX($AL$11:$AL$4010,MATCH(455,$AY$11:$AY$4010,0)),""))</f>
        <v/>
      </c>
      <c r="X465" s="12" t="str">
        <f>IFERROR(INDEX($AM$11:$AM$4010,MATCH(455,$AY$11:$AY$4010,0)),"")</f>
        <v/>
      </c>
      <c r="Y465" s="11" t="str">
        <f>IF(X465="","",IFERROR(INDEX($AN$11:$AN$4010,MATCH(455,$AY$11:$AY$4010,0)),""))</f>
        <v/>
      </c>
      <c r="Z465" s="11" t="str">
        <f>IF(X465="","",IFERROR(INDEX($AO$11:$AO$4010,MATCH(455,$AY$11:$AY$4010,0)),""))</f>
        <v/>
      </c>
      <c r="AA465" s="10" t="str">
        <f>IF(X465="","",IFERROR(INDEX($AQ$11:$AQ$4010,MATCH(455,$AY$11:$AY$4010,0)),""))</f>
        <v/>
      </c>
      <c r="AB465" s="15" t="str">
        <f>IF(X465="","",IFERROR(INDEX($AR$11:$AR$4010,MATCH(455,$AY$11:$AY$4010,0)),""))</f>
        <v/>
      </c>
      <c r="AD465" s="16" t="str">
        <f>IF(AE465="","",IFERROR(INDEX($AL$11:$AL$4010,MATCH(455,$AZ$11:$AZ$4010,0)),""))</f>
        <v/>
      </c>
      <c r="AE465" s="12" t="str">
        <f>IFERROR(INDEX($AM$11:$AM$4010,MATCH(455,$AZ$11:$AZ$4010,0)),"")</f>
        <v/>
      </c>
      <c r="AF465" s="11" t="str">
        <f>IF(AE465="","",IFERROR(INDEX($AN$11:$AN$4010,MATCH(455,$AZ$11:$AZ$4010,0)),""))</f>
        <v/>
      </c>
      <c r="AG465" s="11" t="str">
        <f>IF(AE465="","",IFERROR(INDEX($AO$11:$AO$4010,MATCH(455,$AZ$11:$AZ$4010,0)),""))</f>
        <v/>
      </c>
      <c r="AH465" s="10" t="str">
        <f>IF(AE465="","",IFERROR(INDEX($AQ$11:$AQ$4010,MATCH(455,$AZ$11:$AZ$4010,0)),""))</f>
        <v/>
      </c>
      <c r="AI465" s="15" t="str">
        <f>IF(AE465="","",IFERROR(INDEX($AR$11:$AR$4010,MATCH(455,$AZ$11:$AZ$4010,0)),""))</f>
        <v/>
      </c>
      <c r="AJ465" s="15" t="str">
        <f>IF(AE465="","",IFERROR(INDEX($AT$11:$AT$4010,MATCH(455,$AZ$11:$AZ$4010,0)),""))</f>
        <v/>
      </c>
      <c r="AL465" s="17" t="str">
        <f t="shared" si="93"/>
        <v/>
      </c>
      <c r="AM465" s="12" t="str">
        <f t="shared" si="94"/>
        <v/>
      </c>
      <c r="AN465" s="18" t="str">
        <f t="shared" si="95"/>
        <v/>
      </c>
      <c r="AO465" s="18" t="str">
        <f t="shared" si="96"/>
        <v/>
      </c>
      <c r="AP465" s="10" t="str">
        <f t="shared" si="97"/>
        <v/>
      </c>
      <c r="AQ465" s="10" t="str">
        <f t="shared" si="98"/>
        <v/>
      </c>
      <c r="AR465" s="19" t="str">
        <f t="shared" si="99"/>
        <v/>
      </c>
      <c r="AS465" s="20"/>
      <c r="AT465" s="19"/>
      <c r="AV465" s="21">
        <f>IF(AND($AL465&lt;&gt;"",COUNTIF($AL$11:$AL465,$AL465)=1),1,0)</f>
        <v>0</v>
      </c>
      <c r="AW465" s="21">
        <f t="shared" si="101"/>
        <v>2</v>
      </c>
      <c r="AX465" s="21" t="str">
        <f t="shared" si="100"/>
        <v/>
      </c>
      <c r="AY465" s="21" t="str">
        <f>IF(AND($AM465&lt;&gt;"",$AS465&lt;&gt;"✓"),SUMPRODUCT(($AM$11:$AM465&lt;&gt;"")*($AS$11:$AS465&lt;&gt;"✓")),"")</f>
        <v/>
      </c>
      <c r="AZ465" s="21" t="str">
        <f>IF(AND($AM465&lt;&gt;"",$AS465="✓"),SUMPRODUCT(($AM$11:$AM465&lt;&gt;"")*($AS$11:$AS465="✓")),"")</f>
        <v/>
      </c>
      <c r="BA465" s="21" t="str">
        <f>IF($AL465="","",$AL465&amp;"|"&amp;COUNTIF($AL$11:$AL465,$AL465))</f>
        <v/>
      </c>
    </row>
    <row r="466" spans="2:53" ht="15" customHeight="1" x14ac:dyDescent="0.25">
      <c r="B466" s="5" t="str">
        <f t="shared" si="92"/>
        <v/>
      </c>
      <c r="C466" s="5"/>
      <c r="D466" s="5"/>
      <c r="E466" s="5"/>
      <c r="F466" s="6"/>
      <c r="G466" s="6"/>
      <c r="H466" s="7"/>
      <c r="I466" s="8"/>
      <c r="W466" s="28" t="str">
        <f>IF(X466="","",IFERROR(INDEX($AL$11:$AL$4010,MATCH(456,$AY$11:$AY$4010,0)),""))</f>
        <v/>
      </c>
      <c r="X466" s="26" t="str">
        <f>IFERROR(INDEX($AM$11:$AM$4010,MATCH(456,$AY$11:$AY$4010,0)),"")</f>
        <v/>
      </c>
      <c r="Y466" s="25" t="str">
        <f>IF(X466="","",IFERROR(INDEX($AN$11:$AN$4010,MATCH(456,$AY$11:$AY$4010,0)),""))</f>
        <v/>
      </c>
      <c r="Z466" s="25" t="str">
        <f>IF(X466="","",IFERROR(INDEX($AO$11:$AO$4010,MATCH(456,$AY$11:$AY$4010,0)),""))</f>
        <v/>
      </c>
      <c r="AA466" s="24" t="str">
        <f>IF(X466="","",IFERROR(INDEX($AQ$11:$AQ$4010,MATCH(456,$AY$11:$AY$4010,0)),""))</f>
        <v/>
      </c>
      <c r="AB466" s="29" t="str">
        <f>IF(X466="","",IFERROR(INDEX($AR$11:$AR$4010,MATCH(456,$AY$11:$AY$4010,0)),""))</f>
        <v/>
      </c>
      <c r="AD466" s="30" t="str">
        <f>IF(AE466="","",IFERROR(INDEX($AL$11:$AL$4010,MATCH(456,$AZ$11:$AZ$4010,0)),""))</f>
        <v/>
      </c>
      <c r="AE466" s="26" t="str">
        <f>IFERROR(INDEX($AM$11:$AM$4010,MATCH(456,$AZ$11:$AZ$4010,0)),"")</f>
        <v/>
      </c>
      <c r="AF466" s="25" t="str">
        <f>IF(AE466="","",IFERROR(INDEX($AN$11:$AN$4010,MATCH(456,$AZ$11:$AZ$4010,0)),""))</f>
        <v/>
      </c>
      <c r="AG466" s="25" t="str">
        <f>IF(AE466="","",IFERROR(INDEX($AO$11:$AO$4010,MATCH(456,$AZ$11:$AZ$4010,0)),""))</f>
        <v/>
      </c>
      <c r="AH466" s="24" t="str">
        <f>IF(AE466="","",IFERROR(INDEX($AQ$11:$AQ$4010,MATCH(456,$AZ$11:$AZ$4010,0)),""))</f>
        <v/>
      </c>
      <c r="AI466" s="29" t="str">
        <f>IF(AE466="","",IFERROR(INDEX($AR$11:$AR$4010,MATCH(456,$AZ$11:$AZ$4010,0)),""))</f>
        <v/>
      </c>
      <c r="AJ466" s="29" t="str">
        <f>IF(AE466="","",IFERROR(INDEX($AT$11:$AT$4010,MATCH(456,$AZ$11:$AZ$4010,0)),""))</f>
        <v/>
      </c>
      <c r="AL466" s="31" t="str">
        <f t="shared" si="93"/>
        <v/>
      </c>
      <c r="AM466" s="26" t="str">
        <f t="shared" si="94"/>
        <v/>
      </c>
      <c r="AN466" s="32" t="str">
        <f t="shared" si="95"/>
        <v/>
      </c>
      <c r="AO466" s="32" t="str">
        <f t="shared" si="96"/>
        <v/>
      </c>
      <c r="AP466" s="24" t="str">
        <f t="shared" si="97"/>
        <v/>
      </c>
      <c r="AQ466" s="24" t="str">
        <f t="shared" si="98"/>
        <v/>
      </c>
      <c r="AR466" s="33" t="str">
        <f t="shared" si="99"/>
        <v/>
      </c>
      <c r="AS466" s="34"/>
      <c r="AT466" s="33"/>
      <c r="AV466" s="21">
        <f>IF(AND($AL466&lt;&gt;"",COUNTIF($AL$11:$AL466,$AL466)=1),1,0)</f>
        <v>0</v>
      </c>
      <c r="AW466" s="21">
        <f t="shared" si="101"/>
        <v>2</v>
      </c>
      <c r="AX466" s="21" t="str">
        <f t="shared" si="100"/>
        <v/>
      </c>
      <c r="AY466" s="21" t="str">
        <f>IF(AND($AM466&lt;&gt;"",$AS466&lt;&gt;"✓"),SUMPRODUCT(($AM$11:$AM466&lt;&gt;"")*($AS$11:$AS466&lt;&gt;"✓")),"")</f>
        <v/>
      </c>
      <c r="AZ466" s="21" t="str">
        <f>IF(AND($AM466&lt;&gt;"",$AS466="✓"),SUMPRODUCT(($AM$11:$AM466&lt;&gt;"")*($AS$11:$AS466="✓")),"")</f>
        <v/>
      </c>
      <c r="BA466" s="21" t="str">
        <f>IF($AL466="","",$AL466&amp;"|"&amp;COUNTIF($AL$11:$AL466,$AL466))</f>
        <v/>
      </c>
    </row>
    <row r="467" spans="2:53" ht="15" customHeight="1" x14ac:dyDescent="0.25">
      <c r="B467" s="5" t="str">
        <f t="shared" si="92"/>
        <v/>
      </c>
      <c r="C467" s="5"/>
      <c r="D467" s="5"/>
      <c r="E467" s="5"/>
      <c r="F467" s="6"/>
      <c r="G467" s="6"/>
      <c r="H467" s="7"/>
      <c r="I467" s="8"/>
      <c r="W467" s="14" t="str">
        <f>IF(X467="","",IFERROR(INDEX($AL$11:$AL$4010,MATCH(457,$AY$11:$AY$4010,0)),""))</f>
        <v/>
      </c>
      <c r="X467" s="12" t="str">
        <f>IFERROR(INDEX($AM$11:$AM$4010,MATCH(457,$AY$11:$AY$4010,0)),"")</f>
        <v/>
      </c>
      <c r="Y467" s="11" t="str">
        <f>IF(X467="","",IFERROR(INDEX($AN$11:$AN$4010,MATCH(457,$AY$11:$AY$4010,0)),""))</f>
        <v/>
      </c>
      <c r="Z467" s="11" t="str">
        <f>IF(X467="","",IFERROR(INDEX($AO$11:$AO$4010,MATCH(457,$AY$11:$AY$4010,0)),""))</f>
        <v/>
      </c>
      <c r="AA467" s="10" t="str">
        <f>IF(X467="","",IFERROR(INDEX($AQ$11:$AQ$4010,MATCH(457,$AY$11:$AY$4010,0)),""))</f>
        <v/>
      </c>
      <c r="AB467" s="15" t="str">
        <f>IF(X467="","",IFERROR(INDEX($AR$11:$AR$4010,MATCH(457,$AY$11:$AY$4010,0)),""))</f>
        <v/>
      </c>
      <c r="AD467" s="16" t="str">
        <f>IF(AE467="","",IFERROR(INDEX($AL$11:$AL$4010,MATCH(457,$AZ$11:$AZ$4010,0)),""))</f>
        <v/>
      </c>
      <c r="AE467" s="12" t="str">
        <f>IFERROR(INDEX($AM$11:$AM$4010,MATCH(457,$AZ$11:$AZ$4010,0)),"")</f>
        <v/>
      </c>
      <c r="AF467" s="11" t="str">
        <f>IF(AE467="","",IFERROR(INDEX($AN$11:$AN$4010,MATCH(457,$AZ$11:$AZ$4010,0)),""))</f>
        <v/>
      </c>
      <c r="AG467" s="11" t="str">
        <f>IF(AE467="","",IFERROR(INDEX($AO$11:$AO$4010,MATCH(457,$AZ$11:$AZ$4010,0)),""))</f>
        <v/>
      </c>
      <c r="AH467" s="10" t="str">
        <f>IF(AE467="","",IFERROR(INDEX($AQ$11:$AQ$4010,MATCH(457,$AZ$11:$AZ$4010,0)),""))</f>
        <v/>
      </c>
      <c r="AI467" s="15" t="str">
        <f>IF(AE467="","",IFERROR(INDEX($AR$11:$AR$4010,MATCH(457,$AZ$11:$AZ$4010,0)),""))</f>
        <v/>
      </c>
      <c r="AJ467" s="15" t="str">
        <f>IF(AE467="","",IFERROR(INDEX($AT$11:$AT$4010,MATCH(457,$AZ$11:$AZ$4010,0)),""))</f>
        <v/>
      </c>
      <c r="AL467" s="17" t="str">
        <f t="shared" si="93"/>
        <v/>
      </c>
      <c r="AM467" s="12" t="str">
        <f t="shared" si="94"/>
        <v/>
      </c>
      <c r="AN467" s="18" t="str">
        <f t="shared" si="95"/>
        <v/>
      </c>
      <c r="AO467" s="18" t="str">
        <f t="shared" si="96"/>
        <v/>
      </c>
      <c r="AP467" s="10" t="str">
        <f t="shared" si="97"/>
        <v/>
      </c>
      <c r="AQ467" s="10" t="str">
        <f t="shared" si="98"/>
        <v/>
      </c>
      <c r="AR467" s="19" t="str">
        <f t="shared" si="99"/>
        <v/>
      </c>
      <c r="AS467" s="20"/>
      <c r="AT467" s="19"/>
      <c r="AV467" s="21">
        <f>IF(AND($AL467&lt;&gt;"",COUNTIF($AL$11:$AL467,$AL467)=1),1,0)</f>
        <v>0</v>
      </c>
      <c r="AW467" s="21">
        <f t="shared" si="101"/>
        <v>2</v>
      </c>
      <c r="AX467" s="21" t="str">
        <f t="shared" si="100"/>
        <v/>
      </c>
      <c r="AY467" s="21" t="str">
        <f>IF(AND($AM467&lt;&gt;"",$AS467&lt;&gt;"✓"),SUMPRODUCT(($AM$11:$AM467&lt;&gt;"")*($AS$11:$AS467&lt;&gt;"✓")),"")</f>
        <v/>
      </c>
      <c r="AZ467" s="21" t="str">
        <f>IF(AND($AM467&lt;&gt;"",$AS467="✓"),SUMPRODUCT(($AM$11:$AM467&lt;&gt;"")*($AS$11:$AS467="✓")),"")</f>
        <v/>
      </c>
      <c r="BA467" s="21" t="str">
        <f>IF($AL467="","",$AL467&amp;"|"&amp;COUNTIF($AL$11:$AL467,$AL467))</f>
        <v/>
      </c>
    </row>
    <row r="468" spans="2:53" ht="15" customHeight="1" x14ac:dyDescent="0.25">
      <c r="B468" s="5" t="str">
        <f t="shared" si="92"/>
        <v/>
      </c>
      <c r="C468" s="5"/>
      <c r="D468" s="5"/>
      <c r="E468" s="5"/>
      <c r="F468" s="6"/>
      <c r="G468" s="6"/>
      <c r="H468" s="7"/>
      <c r="I468" s="8"/>
      <c r="W468" s="28" t="str">
        <f>IF(X468="","",IFERROR(INDEX($AL$11:$AL$4010,MATCH(458,$AY$11:$AY$4010,0)),""))</f>
        <v/>
      </c>
      <c r="X468" s="26" t="str">
        <f>IFERROR(INDEX($AM$11:$AM$4010,MATCH(458,$AY$11:$AY$4010,0)),"")</f>
        <v/>
      </c>
      <c r="Y468" s="25" t="str">
        <f>IF(X468="","",IFERROR(INDEX($AN$11:$AN$4010,MATCH(458,$AY$11:$AY$4010,0)),""))</f>
        <v/>
      </c>
      <c r="Z468" s="25" t="str">
        <f>IF(X468="","",IFERROR(INDEX($AO$11:$AO$4010,MATCH(458,$AY$11:$AY$4010,0)),""))</f>
        <v/>
      </c>
      <c r="AA468" s="24" t="str">
        <f>IF(X468="","",IFERROR(INDEX($AQ$11:$AQ$4010,MATCH(458,$AY$11:$AY$4010,0)),""))</f>
        <v/>
      </c>
      <c r="AB468" s="29" t="str">
        <f>IF(X468="","",IFERROR(INDEX($AR$11:$AR$4010,MATCH(458,$AY$11:$AY$4010,0)),""))</f>
        <v/>
      </c>
      <c r="AD468" s="30" t="str">
        <f>IF(AE468="","",IFERROR(INDEX($AL$11:$AL$4010,MATCH(458,$AZ$11:$AZ$4010,0)),""))</f>
        <v/>
      </c>
      <c r="AE468" s="26" t="str">
        <f>IFERROR(INDEX($AM$11:$AM$4010,MATCH(458,$AZ$11:$AZ$4010,0)),"")</f>
        <v/>
      </c>
      <c r="AF468" s="25" t="str">
        <f>IF(AE468="","",IFERROR(INDEX($AN$11:$AN$4010,MATCH(458,$AZ$11:$AZ$4010,0)),""))</f>
        <v/>
      </c>
      <c r="AG468" s="25" t="str">
        <f>IF(AE468="","",IFERROR(INDEX($AO$11:$AO$4010,MATCH(458,$AZ$11:$AZ$4010,0)),""))</f>
        <v/>
      </c>
      <c r="AH468" s="24" t="str">
        <f>IF(AE468="","",IFERROR(INDEX($AQ$11:$AQ$4010,MATCH(458,$AZ$11:$AZ$4010,0)),""))</f>
        <v/>
      </c>
      <c r="AI468" s="29" t="str">
        <f>IF(AE468="","",IFERROR(INDEX($AR$11:$AR$4010,MATCH(458,$AZ$11:$AZ$4010,0)),""))</f>
        <v/>
      </c>
      <c r="AJ468" s="29" t="str">
        <f>IF(AE468="","",IFERROR(INDEX($AT$11:$AT$4010,MATCH(458,$AZ$11:$AZ$4010,0)),""))</f>
        <v/>
      </c>
      <c r="AL468" s="31" t="str">
        <f t="shared" si="93"/>
        <v/>
      </c>
      <c r="AM468" s="26" t="str">
        <f t="shared" si="94"/>
        <v/>
      </c>
      <c r="AN468" s="32" t="str">
        <f t="shared" si="95"/>
        <v/>
      </c>
      <c r="AO468" s="32" t="str">
        <f t="shared" si="96"/>
        <v/>
      </c>
      <c r="AP468" s="24" t="str">
        <f t="shared" si="97"/>
        <v/>
      </c>
      <c r="AQ468" s="24" t="str">
        <f t="shared" si="98"/>
        <v/>
      </c>
      <c r="AR468" s="33" t="str">
        <f t="shared" si="99"/>
        <v/>
      </c>
      <c r="AS468" s="34"/>
      <c r="AT468" s="33"/>
      <c r="AV468" s="21">
        <f>IF(AND($AL468&lt;&gt;"",COUNTIF($AL$11:$AL468,$AL468)=1),1,0)</f>
        <v>0</v>
      </c>
      <c r="AW468" s="21">
        <f t="shared" si="101"/>
        <v>2</v>
      </c>
      <c r="AX468" s="21" t="str">
        <f t="shared" si="100"/>
        <v/>
      </c>
      <c r="AY468" s="21" t="str">
        <f>IF(AND($AM468&lt;&gt;"",$AS468&lt;&gt;"✓"),SUMPRODUCT(($AM$11:$AM468&lt;&gt;"")*($AS$11:$AS468&lt;&gt;"✓")),"")</f>
        <v/>
      </c>
      <c r="AZ468" s="21" t="str">
        <f>IF(AND($AM468&lt;&gt;"",$AS468="✓"),SUMPRODUCT(($AM$11:$AM468&lt;&gt;"")*($AS$11:$AS468="✓")),"")</f>
        <v/>
      </c>
      <c r="BA468" s="21" t="str">
        <f>IF($AL468="","",$AL468&amp;"|"&amp;COUNTIF($AL$11:$AL468,$AL468))</f>
        <v/>
      </c>
    </row>
    <row r="469" spans="2:53" ht="15" customHeight="1" x14ac:dyDescent="0.25">
      <c r="B469" s="5" t="str">
        <f t="shared" si="92"/>
        <v/>
      </c>
      <c r="C469" s="5"/>
      <c r="D469" s="5"/>
      <c r="E469" s="5"/>
      <c r="F469" s="6"/>
      <c r="G469" s="6"/>
      <c r="H469" s="7"/>
      <c r="I469" s="8"/>
      <c r="W469" s="14" t="str">
        <f>IF(X469="","",IFERROR(INDEX($AL$11:$AL$4010,MATCH(459,$AY$11:$AY$4010,0)),""))</f>
        <v/>
      </c>
      <c r="X469" s="12" t="str">
        <f>IFERROR(INDEX($AM$11:$AM$4010,MATCH(459,$AY$11:$AY$4010,0)),"")</f>
        <v/>
      </c>
      <c r="Y469" s="11" t="str">
        <f>IF(X469="","",IFERROR(INDEX($AN$11:$AN$4010,MATCH(459,$AY$11:$AY$4010,0)),""))</f>
        <v/>
      </c>
      <c r="Z469" s="11" t="str">
        <f>IF(X469="","",IFERROR(INDEX($AO$11:$AO$4010,MATCH(459,$AY$11:$AY$4010,0)),""))</f>
        <v/>
      </c>
      <c r="AA469" s="10" t="str">
        <f>IF(X469="","",IFERROR(INDEX($AQ$11:$AQ$4010,MATCH(459,$AY$11:$AY$4010,0)),""))</f>
        <v/>
      </c>
      <c r="AB469" s="15" t="str">
        <f>IF(X469="","",IFERROR(INDEX($AR$11:$AR$4010,MATCH(459,$AY$11:$AY$4010,0)),""))</f>
        <v/>
      </c>
      <c r="AD469" s="16" t="str">
        <f>IF(AE469="","",IFERROR(INDEX($AL$11:$AL$4010,MATCH(459,$AZ$11:$AZ$4010,0)),""))</f>
        <v/>
      </c>
      <c r="AE469" s="12" t="str">
        <f>IFERROR(INDEX($AM$11:$AM$4010,MATCH(459,$AZ$11:$AZ$4010,0)),"")</f>
        <v/>
      </c>
      <c r="AF469" s="11" t="str">
        <f>IF(AE469="","",IFERROR(INDEX($AN$11:$AN$4010,MATCH(459,$AZ$11:$AZ$4010,0)),""))</f>
        <v/>
      </c>
      <c r="AG469" s="11" t="str">
        <f>IF(AE469="","",IFERROR(INDEX($AO$11:$AO$4010,MATCH(459,$AZ$11:$AZ$4010,0)),""))</f>
        <v/>
      </c>
      <c r="AH469" s="10" t="str">
        <f>IF(AE469="","",IFERROR(INDEX($AQ$11:$AQ$4010,MATCH(459,$AZ$11:$AZ$4010,0)),""))</f>
        <v/>
      </c>
      <c r="AI469" s="15" t="str">
        <f>IF(AE469="","",IFERROR(INDEX($AR$11:$AR$4010,MATCH(459,$AZ$11:$AZ$4010,0)),""))</f>
        <v/>
      </c>
      <c r="AJ469" s="15" t="str">
        <f>IF(AE469="","",IFERROR(INDEX($AT$11:$AT$4010,MATCH(459,$AZ$11:$AZ$4010,0)),""))</f>
        <v/>
      </c>
      <c r="AL469" s="17" t="str">
        <f t="shared" si="93"/>
        <v/>
      </c>
      <c r="AM469" s="12" t="str">
        <f t="shared" si="94"/>
        <v/>
      </c>
      <c r="AN469" s="18" t="str">
        <f t="shared" si="95"/>
        <v/>
      </c>
      <c r="AO469" s="18" t="str">
        <f t="shared" si="96"/>
        <v/>
      </c>
      <c r="AP469" s="10" t="str">
        <f t="shared" si="97"/>
        <v/>
      </c>
      <c r="AQ469" s="10" t="str">
        <f t="shared" si="98"/>
        <v/>
      </c>
      <c r="AR469" s="19" t="str">
        <f t="shared" si="99"/>
        <v/>
      </c>
      <c r="AS469" s="20"/>
      <c r="AT469" s="19"/>
      <c r="AV469" s="21">
        <f>IF(AND($AL469&lt;&gt;"",COUNTIF($AL$11:$AL469,$AL469)=1),1,0)</f>
        <v>0</v>
      </c>
      <c r="AW469" s="21">
        <f t="shared" si="101"/>
        <v>2</v>
      </c>
      <c r="AX469" s="21" t="str">
        <f t="shared" si="100"/>
        <v/>
      </c>
      <c r="AY469" s="21" t="str">
        <f>IF(AND($AM469&lt;&gt;"",$AS469&lt;&gt;"✓"),SUMPRODUCT(($AM$11:$AM469&lt;&gt;"")*($AS$11:$AS469&lt;&gt;"✓")),"")</f>
        <v/>
      </c>
      <c r="AZ469" s="21" t="str">
        <f>IF(AND($AM469&lt;&gt;"",$AS469="✓"),SUMPRODUCT(($AM$11:$AM469&lt;&gt;"")*($AS$11:$AS469="✓")),"")</f>
        <v/>
      </c>
      <c r="BA469" s="21" t="str">
        <f>IF($AL469="","",$AL469&amp;"|"&amp;COUNTIF($AL$11:$AL469,$AL469))</f>
        <v/>
      </c>
    </row>
    <row r="470" spans="2:53" ht="15" customHeight="1" x14ac:dyDescent="0.25">
      <c r="B470" s="5" t="str">
        <f t="shared" si="92"/>
        <v/>
      </c>
      <c r="C470" s="5"/>
      <c r="D470" s="5"/>
      <c r="E470" s="5"/>
      <c r="F470" s="6"/>
      <c r="G470" s="6"/>
      <c r="H470" s="7"/>
      <c r="I470" s="8"/>
      <c r="W470" s="28" t="str">
        <f>IF(X470="","",IFERROR(INDEX($AL$11:$AL$4010,MATCH(460,$AY$11:$AY$4010,0)),""))</f>
        <v/>
      </c>
      <c r="X470" s="26" t="str">
        <f>IFERROR(INDEX($AM$11:$AM$4010,MATCH(460,$AY$11:$AY$4010,0)),"")</f>
        <v/>
      </c>
      <c r="Y470" s="25" t="str">
        <f>IF(X470="","",IFERROR(INDEX($AN$11:$AN$4010,MATCH(460,$AY$11:$AY$4010,0)),""))</f>
        <v/>
      </c>
      <c r="Z470" s="25" t="str">
        <f>IF(X470="","",IFERROR(INDEX($AO$11:$AO$4010,MATCH(460,$AY$11:$AY$4010,0)),""))</f>
        <v/>
      </c>
      <c r="AA470" s="24" t="str">
        <f>IF(X470="","",IFERROR(INDEX($AQ$11:$AQ$4010,MATCH(460,$AY$11:$AY$4010,0)),""))</f>
        <v/>
      </c>
      <c r="AB470" s="29" t="str">
        <f>IF(X470="","",IFERROR(INDEX($AR$11:$AR$4010,MATCH(460,$AY$11:$AY$4010,0)),""))</f>
        <v/>
      </c>
      <c r="AD470" s="30" t="str">
        <f>IF(AE470="","",IFERROR(INDEX($AL$11:$AL$4010,MATCH(460,$AZ$11:$AZ$4010,0)),""))</f>
        <v/>
      </c>
      <c r="AE470" s="26" t="str">
        <f>IFERROR(INDEX($AM$11:$AM$4010,MATCH(460,$AZ$11:$AZ$4010,0)),"")</f>
        <v/>
      </c>
      <c r="AF470" s="25" t="str">
        <f>IF(AE470="","",IFERROR(INDEX($AN$11:$AN$4010,MATCH(460,$AZ$11:$AZ$4010,0)),""))</f>
        <v/>
      </c>
      <c r="AG470" s="25" t="str">
        <f>IF(AE470="","",IFERROR(INDEX($AO$11:$AO$4010,MATCH(460,$AZ$11:$AZ$4010,0)),""))</f>
        <v/>
      </c>
      <c r="AH470" s="24" t="str">
        <f>IF(AE470="","",IFERROR(INDEX($AQ$11:$AQ$4010,MATCH(460,$AZ$11:$AZ$4010,0)),""))</f>
        <v/>
      </c>
      <c r="AI470" s="29" t="str">
        <f>IF(AE470="","",IFERROR(INDEX($AR$11:$AR$4010,MATCH(460,$AZ$11:$AZ$4010,0)),""))</f>
        <v/>
      </c>
      <c r="AJ470" s="29" t="str">
        <f>IF(AE470="","",IFERROR(INDEX($AT$11:$AT$4010,MATCH(460,$AZ$11:$AZ$4010,0)),""))</f>
        <v/>
      </c>
      <c r="AL470" s="31" t="str">
        <f t="shared" si="93"/>
        <v/>
      </c>
      <c r="AM470" s="26" t="str">
        <f t="shared" si="94"/>
        <v/>
      </c>
      <c r="AN470" s="32" t="str">
        <f t="shared" si="95"/>
        <v/>
      </c>
      <c r="AO470" s="32" t="str">
        <f t="shared" si="96"/>
        <v/>
      </c>
      <c r="AP470" s="24" t="str">
        <f t="shared" si="97"/>
        <v/>
      </c>
      <c r="AQ470" s="24" t="str">
        <f t="shared" si="98"/>
        <v/>
      </c>
      <c r="AR470" s="33" t="str">
        <f t="shared" si="99"/>
        <v/>
      </c>
      <c r="AS470" s="34"/>
      <c r="AT470" s="33"/>
      <c r="AV470" s="21">
        <f>IF(AND($AL470&lt;&gt;"",COUNTIF($AL$11:$AL470,$AL470)=1),1,0)</f>
        <v>0</v>
      </c>
      <c r="AW470" s="21">
        <f t="shared" si="101"/>
        <v>2</v>
      </c>
      <c r="AX470" s="21" t="str">
        <f t="shared" si="100"/>
        <v/>
      </c>
      <c r="AY470" s="21" t="str">
        <f>IF(AND($AM470&lt;&gt;"",$AS470&lt;&gt;"✓"),SUMPRODUCT(($AM$11:$AM470&lt;&gt;"")*($AS$11:$AS470&lt;&gt;"✓")),"")</f>
        <v/>
      </c>
      <c r="AZ470" s="21" t="str">
        <f>IF(AND($AM470&lt;&gt;"",$AS470="✓"),SUMPRODUCT(($AM$11:$AM470&lt;&gt;"")*($AS$11:$AS470="✓")),"")</f>
        <v/>
      </c>
      <c r="BA470" s="21" t="str">
        <f>IF($AL470="","",$AL470&amp;"|"&amp;COUNTIF($AL$11:$AL470,$AL470))</f>
        <v/>
      </c>
    </row>
    <row r="471" spans="2:53" ht="15" customHeight="1" x14ac:dyDescent="0.25">
      <c r="B471" s="5" t="str">
        <f t="shared" si="92"/>
        <v/>
      </c>
      <c r="C471" s="5"/>
      <c r="D471" s="5"/>
      <c r="E471" s="5"/>
      <c r="F471" s="6"/>
      <c r="G471" s="6"/>
      <c r="H471" s="7"/>
      <c r="I471" s="8"/>
      <c r="W471" s="14" t="str">
        <f>IF(X471="","",IFERROR(INDEX($AL$11:$AL$4010,MATCH(461,$AY$11:$AY$4010,0)),""))</f>
        <v/>
      </c>
      <c r="X471" s="12" t="str">
        <f>IFERROR(INDEX($AM$11:$AM$4010,MATCH(461,$AY$11:$AY$4010,0)),"")</f>
        <v/>
      </c>
      <c r="Y471" s="11" t="str">
        <f>IF(X471="","",IFERROR(INDEX($AN$11:$AN$4010,MATCH(461,$AY$11:$AY$4010,0)),""))</f>
        <v/>
      </c>
      <c r="Z471" s="11" t="str">
        <f>IF(X471="","",IFERROR(INDEX($AO$11:$AO$4010,MATCH(461,$AY$11:$AY$4010,0)),""))</f>
        <v/>
      </c>
      <c r="AA471" s="10" t="str">
        <f>IF(X471="","",IFERROR(INDEX($AQ$11:$AQ$4010,MATCH(461,$AY$11:$AY$4010,0)),""))</f>
        <v/>
      </c>
      <c r="AB471" s="15" t="str">
        <f>IF(X471="","",IFERROR(INDEX($AR$11:$AR$4010,MATCH(461,$AY$11:$AY$4010,0)),""))</f>
        <v/>
      </c>
      <c r="AD471" s="16" t="str">
        <f>IF(AE471="","",IFERROR(INDEX($AL$11:$AL$4010,MATCH(461,$AZ$11:$AZ$4010,0)),""))</f>
        <v/>
      </c>
      <c r="AE471" s="12" t="str">
        <f>IFERROR(INDEX($AM$11:$AM$4010,MATCH(461,$AZ$11:$AZ$4010,0)),"")</f>
        <v/>
      </c>
      <c r="AF471" s="11" t="str">
        <f>IF(AE471="","",IFERROR(INDEX($AN$11:$AN$4010,MATCH(461,$AZ$11:$AZ$4010,0)),""))</f>
        <v/>
      </c>
      <c r="AG471" s="11" t="str">
        <f>IF(AE471="","",IFERROR(INDEX($AO$11:$AO$4010,MATCH(461,$AZ$11:$AZ$4010,0)),""))</f>
        <v/>
      </c>
      <c r="AH471" s="10" t="str">
        <f>IF(AE471="","",IFERROR(INDEX($AQ$11:$AQ$4010,MATCH(461,$AZ$11:$AZ$4010,0)),""))</f>
        <v/>
      </c>
      <c r="AI471" s="15" t="str">
        <f>IF(AE471="","",IFERROR(INDEX($AR$11:$AR$4010,MATCH(461,$AZ$11:$AZ$4010,0)),""))</f>
        <v/>
      </c>
      <c r="AJ471" s="15" t="str">
        <f>IF(AE471="","",IFERROR(INDEX($AT$11:$AT$4010,MATCH(461,$AZ$11:$AZ$4010,0)),""))</f>
        <v/>
      </c>
      <c r="AL471" s="17" t="str">
        <f t="shared" si="93"/>
        <v/>
      </c>
      <c r="AM471" s="12" t="str">
        <f t="shared" si="94"/>
        <v/>
      </c>
      <c r="AN471" s="18" t="str">
        <f t="shared" si="95"/>
        <v/>
      </c>
      <c r="AO471" s="18" t="str">
        <f t="shared" si="96"/>
        <v/>
      </c>
      <c r="AP471" s="10" t="str">
        <f t="shared" si="97"/>
        <v/>
      </c>
      <c r="AQ471" s="10" t="str">
        <f t="shared" si="98"/>
        <v/>
      </c>
      <c r="AR471" s="19" t="str">
        <f t="shared" si="99"/>
        <v/>
      </c>
      <c r="AS471" s="20"/>
      <c r="AT471" s="19"/>
      <c r="AV471" s="21">
        <f>IF(AND($AL471&lt;&gt;"",COUNTIF($AL$11:$AL471,$AL471)=1),1,0)</f>
        <v>0</v>
      </c>
      <c r="AW471" s="21">
        <f t="shared" si="101"/>
        <v>2</v>
      </c>
      <c r="AX471" s="21" t="str">
        <f t="shared" si="100"/>
        <v/>
      </c>
      <c r="AY471" s="21" t="str">
        <f>IF(AND($AM471&lt;&gt;"",$AS471&lt;&gt;"✓"),SUMPRODUCT(($AM$11:$AM471&lt;&gt;"")*($AS$11:$AS471&lt;&gt;"✓")),"")</f>
        <v/>
      </c>
      <c r="AZ471" s="21" t="str">
        <f>IF(AND($AM471&lt;&gt;"",$AS471="✓"),SUMPRODUCT(($AM$11:$AM471&lt;&gt;"")*($AS$11:$AS471="✓")),"")</f>
        <v/>
      </c>
      <c r="BA471" s="21" t="str">
        <f>IF($AL471="","",$AL471&amp;"|"&amp;COUNTIF($AL$11:$AL471,$AL471))</f>
        <v/>
      </c>
    </row>
    <row r="472" spans="2:53" ht="15" customHeight="1" x14ac:dyDescent="0.25">
      <c r="B472" s="5" t="str">
        <f t="shared" si="92"/>
        <v/>
      </c>
      <c r="C472" s="5"/>
      <c r="D472" s="5"/>
      <c r="E472" s="5"/>
      <c r="F472" s="6"/>
      <c r="G472" s="6"/>
      <c r="H472" s="7"/>
      <c r="I472" s="8"/>
      <c r="W472" s="28" t="str">
        <f>IF(X472="","",IFERROR(INDEX($AL$11:$AL$4010,MATCH(462,$AY$11:$AY$4010,0)),""))</f>
        <v/>
      </c>
      <c r="X472" s="26" t="str">
        <f>IFERROR(INDEX($AM$11:$AM$4010,MATCH(462,$AY$11:$AY$4010,0)),"")</f>
        <v/>
      </c>
      <c r="Y472" s="25" t="str">
        <f>IF(X472="","",IFERROR(INDEX($AN$11:$AN$4010,MATCH(462,$AY$11:$AY$4010,0)),""))</f>
        <v/>
      </c>
      <c r="Z472" s="25" t="str">
        <f>IF(X472="","",IFERROR(INDEX($AO$11:$AO$4010,MATCH(462,$AY$11:$AY$4010,0)),""))</f>
        <v/>
      </c>
      <c r="AA472" s="24" t="str">
        <f>IF(X472="","",IFERROR(INDEX($AQ$11:$AQ$4010,MATCH(462,$AY$11:$AY$4010,0)),""))</f>
        <v/>
      </c>
      <c r="AB472" s="29" t="str">
        <f>IF(X472="","",IFERROR(INDEX($AR$11:$AR$4010,MATCH(462,$AY$11:$AY$4010,0)),""))</f>
        <v/>
      </c>
      <c r="AD472" s="30" t="str">
        <f>IF(AE472="","",IFERROR(INDEX($AL$11:$AL$4010,MATCH(462,$AZ$11:$AZ$4010,0)),""))</f>
        <v/>
      </c>
      <c r="AE472" s="26" t="str">
        <f>IFERROR(INDEX($AM$11:$AM$4010,MATCH(462,$AZ$11:$AZ$4010,0)),"")</f>
        <v/>
      </c>
      <c r="AF472" s="25" t="str">
        <f>IF(AE472="","",IFERROR(INDEX($AN$11:$AN$4010,MATCH(462,$AZ$11:$AZ$4010,0)),""))</f>
        <v/>
      </c>
      <c r="AG472" s="25" t="str">
        <f>IF(AE472="","",IFERROR(INDEX($AO$11:$AO$4010,MATCH(462,$AZ$11:$AZ$4010,0)),""))</f>
        <v/>
      </c>
      <c r="AH472" s="24" t="str">
        <f>IF(AE472="","",IFERROR(INDEX($AQ$11:$AQ$4010,MATCH(462,$AZ$11:$AZ$4010,0)),""))</f>
        <v/>
      </c>
      <c r="AI472" s="29" t="str">
        <f>IF(AE472="","",IFERROR(INDEX($AR$11:$AR$4010,MATCH(462,$AZ$11:$AZ$4010,0)),""))</f>
        <v/>
      </c>
      <c r="AJ472" s="29" t="str">
        <f>IF(AE472="","",IFERROR(INDEX($AT$11:$AT$4010,MATCH(462,$AZ$11:$AZ$4010,0)),""))</f>
        <v/>
      </c>
      <c r="AL472" s="31" t="str">
        <f t="shared" si="93"/>
        <v/>
      </c>
      <c r="AM472" s="26" t="str">
        <f t="shared" si="94"/>
        <v/>
      </c>
      <c r="AN472" s="32" t="str">
        <f t="shared" si="95"/>
        <v/>
      </c>
      <c r="AO472" s="32" t="str">
        <f t="shared" si="96"/>
        <v/>
      </c>
      <c r="AP472" s="24" t="str">
        <f t="shared" si="97"/>
        <v/>
      </c>
      <c r="AQ472" s="24" t="str">
        <f t="shared" si="98"/>
        <v/>
      </c>
      <c r="AR472" s="33" t="str">
        <f t="shared" si="99"/>
        <v/>
      </c>
      <c r="AS472" s="34"/>
      <c r="AT472" s="33"/>
      <c r="AV472" s="21">
        <f>IF(AND($AL472&lt;&gt;"",COUNTIF($AL$11:$AL472,$AL472)=1),1,0)</f>
        <v>0</v>
      </c>
      <c r="AW472" s="21">
        <f t="shared" si="101"/>
        <v>2</v>
      </c>
      <c r="AX472" s="21" t="str">
        <f t="shared" si="100"/>
        <v/>
      </c>
      <c r="AY472" s="21" t="str">
        <f>IF(AND($AM472&lt;&gt;"",$AS472&lt;&gt;"✓"),SUMPRODUCT(($AM$11:$AM472&lt;&gt;"")*($AS$11:$AS472&lt;&gt;"✓")),"")</f>
        <v/>
      </c>
      <c r="AZ472" s="21" t="str">
        <f>IF(AND($AM472&lt;&gt;"",$AS472="✓"),SUMPRODUCT(($AM$11:$AM472&lt;&gt;"")*($AS$11:$AS472="✓")),"")</f>
        <v/>
      </c>
      <c r="BA472" s="21" t="str">
        <f>IF($AL472="","",$AL472&amp;"|"&amp;COUNTIF($AL$11:$AL472,$AL472))</f>
        <v/>
      </c>
    </row>
    <row r="473" spans="2:53" ht="15" customHeight="1" x14ac:dyDescent="0.25">
      <c r="B473" s="5" t="str">
        <f t="shared" si="92"/>
        <v/>
      </c>
      <c r="C473" s="5"/>
      <c r="D473" s="5"/>
      <c r="E473" s="5"/>
      <c r="F473" s="6"/>
      <c r="G473" s="6"/>
      <c r="H473" s="7"/>
      <c r="I473" s="8"/>
      <c r="W473" s="14" t="str">
        <f>IF(X473="","",IFERROR(INDEX($AL$11:$AL$4010,MATCH(463,$AY$11:$AY$4010,0)),""))</f>
        <v/>
      </c>
      <c r="X473" s="12" t="str">
        <f>IFERROR(INDEX($AM$11:$AM$4010,MATCH(463,$AY$11:$AY$4010,0)),"")</f>
        <v/>
      </c>
      <c r="Y473" s="11" t="str">
        <f>IF(X473="","",IFERROR(INDEX($AN$11:$AN$4010,MATCH(463,$AY$11:$AY$4010,0)),""))</f>
        <v/>
      </c>
      <c r="Z473" s="11" t="str">
        <f>IF(X473="","",IFERROR(INDEX($AO$11:$AO$4010,MATCH(463,$AY$11:$AY$4010,0)),""))</f>
        <v/>
      </c>
      <c r="AA473" s="10" t="str">
        <f>IF(X473="","",IFERROR(INDEX($AQ$11:$AQ$4010,MATCH(463,$AY$11:$AY$4010,0)),""))</f>
        <v/>
      </c>
      <c r="AB473" s="15" t="str">
        <f>IF(X473="","",IFERROR(INDEX($AR$11:$AR$4010,MATCH(463,$AY$11:$AY$4010,0)),""))</f>
        <v/>
      </c>
      <c r="AD473" s="16" t="str">
        <f>IF(AE473="","",IFERROR(INDEX($AL$11:$AL$4010,MATCH(463,$AZ$11:$AZ$4010,0)),""))</f>
        <v/>
      </c>
      <c r="AE473" s="12" t="str">
        <f>IFERROR(INDEX($AM$11:$AM$4010,MATCH(463,$AZ$11:$AZ$4010,0)),"")</f>
        <v/>
      </c>
      <c r="AF473" s="11" t="str">
        <f>IF(AE473="","",IFERROR(INDEX($AN$11:$AN$4010,MATCH(463,$AZ$11:$AZ$4010,0)),""))</f>
        <v/>
      </c>
      <c r="AG473" s="11" t="str">
        <f>IF(AE473="","",IFERROR(INDEX($AO$11:$AO$4010,MATCH(463,$AZ$11:$AZ$4010,0)),""))</f>
        <v/>
      </c>
      <c r="AH473" s="10" t="str">
        <f>IF(AE473="","",IFERROR(INDEX($AQ$11:$AQ$4010,MATCH(463,$AZ$11:$AZ$4010,0)),""))</f>
        <v/>
      </c>
      <c r="AI473" s="15" t="str">
        <f>IF(AE473="","",IFERROR(INDEX($AR$11:$AR$4010,MATCH(463,$AZ$11:$AZ$4010,0)),""))</f>
        <v/>
      </c>
      <c r="AJ473" s="15" t="str">
        <f>IF(AE473="","",IFERROR(INDEX($AT$11:$AT$4010,MATCH(463,$AZ$11:$AZ$4010,0)),""))</f>
        <v/>
      </c>
      <c r="AL473" s="17" t="str">
        <f t="shared" si="93"/>
        <v/>
      </c>
      <c r="AM473" s="12" t="str">
        <f t="shared" si="94"/>
        <v/>
      </c>
      <c r="AN473" s="18" t="str">
        <f t="shared" si="95"/>
        <v/>
      </c>
      <c r="AO473" s="18" t="str">
        <f t="shared" si="96"/>
        <v/>
      </c>
      <c r="AP473" s="10" t="str">
        <f t="shared" si="97"/>
        <v/>
      </c>
      <c r="AQ473" s="10" t="str">
        <f t="shared" si="98"/>
        <v/>
      </c>
      <c r="AR473" s="19" t="str">
        <f t="shared" si="99"/>
        <v/>
      </c>
      <c r="AS473" s="20"/>
      <c r="AT473" s="19"/>
      <c r="AV473" s="21">
        <f>IF(AND($AL473&lt;&gt;"",COUNTIF($AL$11:$AL473,$AL473)=1),1,0)</f>
        <v>0</v>
      </c>
      <c r="AW473" s="21">
        <f t="shared" si="101"/>
        <v>2</v>
      </c>
      <c r="AX473" s="21" t="str">
        <f t="shared" si="100"/>
        <v/>
      </c>
      <c r="AY473" s="21" t="str">
        <f>IF(AND($AM473&lt;&gt;"",$AS473&lt;&gt;"✓"),SUMPRODUCT(($AM$11:$AM473&lt;&gt;"")*($AS$11:$AS473&lt;&gt;"✓")),"")</f>
        <v/>
      </c>
      <c r="AZ473" s="21" t="str">
        <f>IF(AND($AM473&lt;&gt;"",$AS473="✓"),SUMPRODUCT(($AM$11:$AM473&lt;&gt;"")*($AS$11:$AS473="✓")),"")</f>
        <v/>
      </c>
      <c r="BA473" s="21" t="str">
        <f>IF($AL473="","",$AL473&amp;"|"&amp;COUNTIF($AL$11:$AL473,$AL473))</f>
        <v/>
      </c>
    </row>
    <row r="474" spans="2:53" ht="15" customHeight="1" x14ac:dyDescent="0.25">
      <c r="B474" s="5" t="str">
        <f t="shared" si="92"/>
        <v/>
      </c>
      <c r="C474" s="5"/>
      <c r="D474" s="5"/>
      <c r="E474" s="5"/>
      <c r="F474" s="6"/>
      <c r="G474" s="6"/>
      <c r="H474" s="7"/>
      <c r="I474" s="8"/>
      <c r="W474" s="28" t="str">
        <f>IF(X474="","",IFERROR(INDEX($AL$11:$AL$4010,MATCH(464,$AY$11:$AY$4010,0)),""))</f>
        <v/>
      </c>
      <c r="X474" s="26" t="str">
        <f>IFERROR(INDEX($AM$11:$AM$4010,MATCH(464,$AY$11:$AY$4010,0)),"")</f>
        <v/>
      </c>
      <c r="Y474" s="25" t="str">
        <f>IF(X474="","",IFERROR(INDEX($AN$11:$AN$4010,MATCH(464,$AY$11:$AY$4010,0)),""))</f>
        <v/>
      </c>
      <c r="Z474" s="25" t="str">
        <f>IF(X474="","",IFERROR(INDEX($AO$11:$AO$4010,MATCH(464,$AY$11:$AY$4010,0)),""))</f>
        <v/>
      </c>
      <c r="AA474" s="24" t="str">
        <f>IF(X474="","",IFERROR(INDEX($AQ$11:$AQ$4010,MATCH(464,$AY$11:$AY$4010,0)),""))</f>
        <v/>
      </c>
      <c r="AB474" s="29" t="str">
        <f>IF(X474="","",IFERROR(INDEX($AR$11:$AR$4010,MATCH(464,$AY$11:$AY$4010,0)),""))</f>
        <v/>
      </c>
      <c r="AD474" s="30" t="str">
        <f>IF(AE474="","",IFERROR(INDEX($AL$11:$AL$4010,MATCH(464,$AZ$11:$AZ$4010,0)),""))</f>
        <v/>
      </c>
      <c r="AE474" s="26" t="str">
        <f>IFERROR(INDEX($AM$11:$AM$4010,MATCH(464,$AZ$11:$AZ$4010,0)),"")</f>
        <v/>
      </c>
      <c r="AF474" s="25" t="str">
        <f>IF(AE474="","",IFERROR(INDEX($AN$11:$AN$4010,MATCH(464,$AZ$11:$AZ$4010,0)),""))</f>
        <v/>
      </c>
      <c r="AG474" s="25" t="str">
        <f>IF(AE474="","",IFERROR(INDEX($AO$11:$AO$4010,MATCH(464,$AZ$11:$AZ$4010,0)),""))</f>
        <v/>
      </c>
      <c r="AH474" s="24" t="str">
        <f>IF(AE474="","",IFERROR(INDEX($AQ$11:$AQ$4010,MATCH(464,$AZ$11:$AZ$4010,0)),""))</f>
        <v/>
      </c>
      <c r="AI474" s="29" t="str">
        <f>IF(AE474="","",IFERROR(INDEX($AR$11:$AR$4010,MATCH(464,$AZ$11:$AZ$4010,0)),""))</f>
        <v/>
      </c>
      <c r="AJ474" s="29" t="str">
        <f>IF(AE474="","",IFERROR(INDEX($AT$11:$AT$4010,MATCH(464,$AZ$11:$AZ$4010,0)),""))</f>
        <v/>
      </c>
      <c r="AL474" s="31" t="str">
        <f t="shared" si="93"/>
        <v/>
      </c>
      <c r="AM474" s="26" t="str">
        <f t="shared" si="94"/>
        <v/>
      </c>
      <c r="AN474" s="32" t="str">
        <f t="shared" si="95"/>
        <v/>
      </c>
      <c r="AO474" s="32" t="str">
        <f t="shared" si="96"/>
        <v/>
      </c>
      <c r="AP474" s="24" t="str">
        <f t="shared" si="97"/>
        <v/>
      </c>
      <c r="AQ474" s="24" t="str">
        <f t="shared" si="98"/>
        <v/>
      </c>
      <c r="AR474" s="33" t="str">
        <f t="shared" si="99"/>
        <v/>
      </c>
      <c r="AS474" s="34"/>
      <c r="AT474" s="33"/>
      <c r="AV474" s="21">
        <f>IF(AND($AL474&lt;&gt;"",COUNTIF($AL$11:$AL474,$AL474)=1),1,0)</f>
        <v>0</v>
      </c>
      <c r="AW474" s="21">
        <f t="shared" si="101"/>
        <v>2</v>
      </c>
      <c r="AX474" s="21" t="str">
        <f t="shared" si="100"/>
        <v/>
      </c>
      <c r="AY474" s="21" t="str">
        <f>IF(AND($AM474&lt;&gt;"",$AS474&lt;&gt;"✓"),SUMPRODUCT(($AM$11:$AM474&lt;&gt;"")*($AS$11:$AS474&lt;&gt;"✓")),"")</f>
        <v/>
      </c>
      <c r="AZ474" s="21" t="str">
        <f>IF(AND($AM474&lt;&gt;"",$AS474="✓"),SUMPRODUCT(($AM$11:$AM474&lt;&gt;"")*($AS$11:$AS474="✓")),"")</f>
        <v/>
      </c>
      <c r="BA474" s="21" t="str">
        <f>IF($AL474="","",$AL474&amp;"|"&amp;COUNTIF($AL$11:$AL474,$AL474))</f>
        <v/>
      </c>
    </row>
    <row r="475" spans="2:53" ht="15" customHeight="1" x14ac:dyDescent="0.25">
      <c r="B475" s="5" t="str">
        <f t="shared" si="92"/>
        <v/>
      </c>
      <c r="C475" s="5"/>
      <c r="D475" s="5"/>
      <c r="E475" s="5"/>
      <c r="F475" s="6"/>
      <c r="G475" s="6"/>
      <c r="H475" s="7"/>
      <c r="I475" s="8"/>
      <c r="W475" s="14" t="str">
        <f>IF(X475="","",IFERROR(INDEX($AL$11:$AL$4010,MATCH(465,$AY$11:$AY$4010,0)),""))</f>
        <v/>
      </c>
      <c r="X475" s="12" t="str">
        <f>IFERROR(INDEX($AM$11:$AM$4010,MATCH(465,$AY$11:$AY$4010,0)),"")</f>
        <v/>
      </c>
      <c r="Y475" s="11" t="str">
        <f>IF(X475="","",IFERROR(INDEX($AN$11:$AN$4010,MATCH(465,$AY$11:$AY$4010,0)),""))</f>
        <v/>
      </c>
      <c r="Z475" s="11" t="str">
        <f>IF(X475="","",IFERROR(INDEX($AO$11:$AO$4010,MATCH(465,$AY$11:$AY$4010,0)),""))</f>
        <v/>
      </c>
      <c r="AA475" s="10" t="str">
        <f>IF(X475="","",IFERROR(INDEX($AQ$11:$AQ$4010,MATCH(465,$AY$11:$AY$4010,0)),""))</f>
        <v/>
      </c>
      <c r="AB475" s="15" t="str">
        <f>IF(X475="","",IFERROR(INDEX($AR$11:$AR$4010,MATCH(465,$AY$11:$AY$4010,0)),""))</f>
        <v/>
      </c>
      <c r="AD475" s="16" t="str">
        <f>IF(AE475="","",IFERROR(INDEX($AL$11:$AL$4010,MATCH(465,$AZ$11:$AZ$4010,0)),""))</f>
        <v/>
      </c>
      <c r="AE475" s="12" t="str">
        <f>IFERROR(INDEX($AM$11:$AM$4010,MATCH(465,$AZ$11:$AZ$4010,0)),"")</f>
        <v/>
      </c>
      <c r="AF475" s="11" t="str">
        <f>IF(AE475="","",IFERROR(INDEX($AN$11:$AN$4010,MATCH(465,$AZ$11:$AZ$4010,0)),""))</f>
        <v/>
      </c>
      <c r="AG475" s="11" t="str">
        <f>IF(AE475="","",IFERROR(INDEX($AO$11:$AO$4010,MATCH(465,$AZ$11:$AZ$4010,0)),""))</f>
        <v/>
      </c>
      <c r="AH475" s="10" t="str">
        <f>IF(AE475="","",IFERROR(INDEX($AQ$11:$AQ$4010,MATCH(465,$AZ$11:$AZ$4010,0)),""))</f>
        <v/>
      </c>
      <c r="AI475" s="15" t="str">
        <f>IF(AE475="","",IFERROR(INDEX($AR$11:$AR$4010,MATCH(465,$AZ$11:$AZ$4010,0)),""))</f>
        <v/>
      </c>
      <c r="AJ475" s="15" t="str">
        <f>IF(AE475="","",IFERROR(INDEX($AT$11:$AT$4010,MATCH(465,$AZ$11:$AZ$4010,0)),""))</f>
        <v/>
      </c>
      <c r="AL475" s="17" t="str">
        <f t="shared" si="93"/>
        <v/>
      </c>
      <c r="AM475" s="12" t="str">
        <f t="shared" si="94"/>
        <v/>
      </c>
      <c r="AN475" s="18" t="str">
        <f t="shared" si="95"/>
        <v/>
      </c>
      <c r="AO475" s="18" t="str">
        <f t="shared" si="96"/>
        <v/>
      </c>
      <c r="AP475" s="10" t="str">
        <f t="shared" si="97"/>
        <v/>
      </c>
      <c r="AQ475" s="10" t="str">
        <f t="shared" si="98"/>
        <v/>
      </c>
      <c r="AR475" s="19" t="str">
        <f t="shared" si="99"/>
        <v/>
      </c>
      <c r="AS475" s="20"/>
      <c r="AT475" s="19"/>
      <c r="AV475" s="21">
        <f>IF(AND($AL475&lt;&gt;"",COUNTIF($AL$11:$AL475,$AL475)=1),1,0)</f>
        <v>0</v>
      </c>
      <c r="AW475" s="21">
        <f t="shared" si="101"/>
        <v>2</v>
      </c>
      <c r="AX475" s="21" t="str">
        <f t="shared" si="100"/>
        <v/>
      </c>
      <c r="AY475" s="21" t="str">
        <f>IF(AND($AM475&lt;&gt;"",$AS475&lt;&gt;"✓"),SUMPRODUCT(($AM$11:$AM475&lt;&gt;"")*($AS$11:$AS475&lt;&gt;"✓")),"")</f>
        <v/>
      </c>
      <c r="AZ475" s="21" t="str">
        <f>IF(AND($AM475&lt;&gt;"",$AS475="✓"),SUMPRODUCT(($AM$11:$AM475&lt;&gt;"")*($AS$11:$AS475="✓")),"")</f>
        <v/>
      </c>
      <c r="BA475" s="21" t="str">
        <f>IF($AL475="","",$AL475&amp;"|"&amp;COUNTIF($AL$11:$AL475,$AL475))</f>
        <v/>
      </c>
    </row>
    <row r="476" spans="2:53" ht="15" customHeight="1" x14ac:dyDescent="0.25">
      <c r="B476" s="5" t="str">
        <f t="shared" si="92"/>
        <v/>
      </c>
      <c r="C476" s="5"/>
      <c r="D476" s="5"/>
      <c r="E476" s="5"/>
      <c r="F476" s="6"/>
      <c r="G476" s="6"/>
      <c r="H476" s="7"/>
      <c r="I476" s="8"/>
      <c r="W476" s="28" t="str">
        <f>IF(X476="","",IFERROR(INDEX($AL$11:$AL$4010,MATCH(466,$AY$11:$AY$4010,0)),""))</f>
        <v/>
      </c>
      <c r="X476" s="26" t="str">
        <f>IFERROR(INDEX($AM$11:$AM$4010,MATCH(466,$AY$11:$AY$4010,0)),"")</f>
        <v/>
      </c>
      <c r="Y476" s="25" t="str">
        <f>IF(X476="","",IFERROR(INDEX($AN$11:$AN$4010,MATCH(466,$AY$11:$AY$4010,0)),""))</f>
        <v/>
      </c>
      <c r="Z476" s="25" t="str">
        <f>IF(X476="","",IFERROR(INDEX($AO$11:$AO$4010,MATCH(466,$AY$11:$AY$4010,0)),""))</f>
        <v/>
      </c>
      <c r="AA476" s="24" t="str">
        <f>IF(X476="","",IFERROR(INDEX($AQ$11:$AQ$4010,MATCH(466,$AY$11:$AY$4010,0)),""))</f>
        <v/>
      </c>
      <c r="AB476" s="29" t="str">
        <f>IF(X476="","",IFERROR(INDEX($AR$11:$AR$4010,MATCH(466,$AY$11:$AY$4010,0)),""))</f>
        <v/>
      </c>
      <c r="AD476" s="30" t="str">
        <f>IF(AE476="","",IFERROR(INDEX($AL$11:$AL$4010,MATCH(466,$AZ$11:$AZ$4010,0)),""))</f>
        <v/>
      </c>
      <c r="AE476" s="26" t="str">
        <f>IFERROR(INDEX($AM$11:$AM$4010,MATCH(466,$AZ$11:$AZ$4010,0)),"")</f>
        <v/>
      </c>
      <c r="AF476" s="25" t="str">
        <f>IF(AE476="","",IFERROR(INDEX($AN$11:$AN$4010,MATCH(466,$AZ$11:$AZ$4010,0)),""))</f>
        <v/>
      </c>
      <c r="AG476" s="25" t="str">
        <f>IF(AE476="","",IFERROR(INDEX($AO$11:$AO$4010,MATCH(466,$AZ$11:$AZ$4010,0)),""))</f>
        <v/>
      </c>
      <c r="AH476" s="24" t="str">
        <f>IF(AE476="","",IFERROR(INDEX($AQ$11:$AQ$4010,MATCH(466,$AZ$11:$AZ$4010,0)),""))</f>
        <v/>
      </c>
      <c r="AI476" s="29" t="str">
        <f>IF(AE476="","",IFERROR(INDEX($AR$11:$AR$4010,MATCH(466,$AZ$11:$AZ$4010,0)),""))</f>
        <v/>
      </c>
      <c r="AJ476" s="29" t="str">
        <f>IF(AE476="","",IFERROR(INDEX($AT$11:$AT$4010,MATCH(466,$AZ$11:$AZ$4010,0)),""))</f>
        <v/>
      </c>
      <c r="AL476" s="31" t="str">
        <f t="shared" si="93"/>
        <v/>
      </c>
      <c r="AM476" s="26" t="str">
        <f t="shared" si="94"/>
        <v/>
      </c>
      <c r="AN476" s="32" t="str">
        <f t="shared" si="95"/>
        <v/>
      </c>
      <c r="AO476" s="32" t="str">
        <f t="shared" si="96"/>
        <v/>
      </c>
      <c r="AP476" s="24" t="str">
        <f t="shared" si="97"/>
        <v/>
      </c>
      <c r="AQ476" s="24" t="str">
        <f t="shared" si="98"/>
        <v/>
      </c>
      <c r="AR476" s="33" t="str">
        <f t="shared" si="99"/>
        <v/>
      </c>
      <c r="AS476" s="34"/>
      <c r="AT476" s="33"/>
      <c r="AV476" s="21">
        <f>IF(AND($AL476&lt;&gt;"",COUNTIF($AL$11:$AL476,$AL476)=1),1,0)</f>
        <v>0</v>
      </c>
      <c r="AW476" s="21">
        <f t="shared" si="101"/>
        <v>2</v>
      </c>
      <c r="AX476" s="21" t="str">
        <f t="shared" si="100"/>
        <v/>
      </c>
      <c r="AY476" s="21" t="str">
        <f>IF(AND($AM476&lt;&gt;"",$AS476&lt;&gt;"✓"),SUMPRODUCT(($AM$11:$AM476&lt;&gt;"")*($AS$11:$AS476&lt;&gt;"✓")),"")</f>
        <v/>
      </c>
      <c r="AZ476" s="21" t="str">
        <f>IF(AND($AM476&lt;&gt;"",$AS476="✓"),SUMPRODUCT(($AM$11:$AM476&lt;&gt;"")*($AS$11:$AS476="✓")),"")</f>
        <v/>
      </c>
      <c r="BA476" s="21" t="str">
        <f>IF($AL476="","",$AL476&amp;"|"&amp;COUNTIF($AL$11:$AL476,$AL476))</f>
        <v/>
      </c>
    </row>
    <row r="477" spans="2:53" ht="15" customHeight="1" x14ac:dyDescent="0.25">
      <c r="B477" s="5" t="str">
        <f t="shared" si="92"/>
        <v/>
      </c>
      <c r="C477" s="5"/>
      <c r="D477" s="5"/>
      <c r="E477" s="5"/>
      <c r="F477" s="6"/>
      <c r="G477" s="6"/>
      <c r="H477" s="7"/>
      <c r="I477" s="8"/>
      <c r="W477" s="14" t="str">
        <f>IF(X477="","",IFERROR(INDEX($AL$11:$AL$4010,MATCH(467,$AY$11:$AY$4010,0)),""))</f>
        <v/>
      </c>
      <c r="X477" s="12" t="str">
        <f>IFERROR(INDEX($AM$11:$AM$4010,MATCH(467,$AY$11:$AY$4010,0)),"")</f>
        <v/>
      </c>
      <c r="Y477" s="11" t="str">
        <f>IF(X477="","",IFERROR(INDEX($AN$11:$AN$4010,MATCH(467,$AY$11:$AY$4010,0)),""))</f>
        <v/>
      </c>
      <c r="Z477" s="11" t="str">
        <f>IF(X477="","",IFERROR(INDEX($AO$11:$AO$4010,MATCH(467,$AY$11:$AY$4010,0)),""))</f>
        <v/>
      </c>
      <c r="AA477" s="10" t="str">
        <f>IF(X477="","",IFERROR(INDEX($AQ$11:$AQ$4010,MATCH(467,$AY$11:$AY$4010,0)),""))</f>
        <v/>
      </c>
      <c r="AB477" s="15" t="str">
        <f>IF(X477="","",IFERROR(INDEX($AR$11:$AR$4010,MATCH(467,$AY$11:$AY$4010,0)),""))</f>
        <v/>
      </c>
      <c r="AD477" s="16" t="str">
        <f>IF(AE477="","",IFERROR(INDEX($AL$11:$AL$4010,MATCH(467,$AZ$11:$AZ$4010,0)),""))</f>
        <v/>
      </c>
      <c r="AE477" s="12" t="str">
        <f>IFERROR(INDEX($AM$11:$AM$4010,MATCH(467,$AZ$11:$AZ$4010,0)),"")</f>
        <v/>
      </c>
      <c r="AF477" s="11" t="str">
        <f>IF(AE477="","",IFERROR(INDEX($AN$11:$AN$4010,MATCH(467,$AZ$11:$AZ$4010,0)),""))</f>
        <v/>
      </c>
      <c r="AG477" s="11" t="str">
        <f>IF(AE477="","",IFERROR(INDEX($AO$11:$AO$4010,MATCH(467,$AZ$11:$AZ$4010,0)),""))</f>
        <v/>
      </c>
      <c r="AH477" s="10" t="str">
        <f>IF(AE477="","",IFERROR(INDEX($AQ$11:$AQ$4010,MATCH(467,$AZ$11:$AZ$4010,0)),""))</f>
        <v/>
      </c>
      <c r="AI477" s="15" t="str">
        <f>IF(AE477="","",IFERROR(INDEX($AR$11:$AR$4010,MATCH(467,$AZ$11:$AZ$4010,0)),""))</f>
        <v/>
      </c>
      <c r="AJ477" s="15" t="str">
        <f>IF(AE477="","",IFERROR(INDEX($AT$11:$AT$4010,MATCH(467,$AZ$11:$AZ$4010,0)),""))</f>
        <v/>
      </c>
      <c r="AL477" s="17" t="str">
        <f t="shared" si="93"/>
        <v/>
      </c>
      <c r="AM477" s="12" t="str">
        <f t="shared" si="94"/>
        <v/>
      </c>
      <c r="AN477" s="18" t="str">
        <f t="shared" si="95"/>
        <v/>
      </c>
      <c r="AO477" s="18" t="str">
        <f t="shared" si="96"/>
        <v/>
      </c>
      <c r="AP477" s="10" t="str">
        <f t="shared" si="97"/>
        <v/>
      </c>
      <c r="AQ477" s="10" t="str">
        <f t="shared" si="98"/>
        <v/>
      </c>
      <c r="AR477" s="19" t="str">
        <f t="shared" si="99"/>
        <v/>
      </c>
      <c r="AS477" s="20"/>
      <c r="AT477" s="19"/>
      <c r="AV477" s="21">
        <f>IF(AND($AL477&lt;&gt;"",COUNTIF($AL$11:$AL477,$AL477)=1),1,0)</f>
        <v>0</v>
      </c>
      <c r="AW477" s="21">
        <f t="shared" si="101"/>
        <v>2</v>
      </c>
      <c r="AX477" s="21" t="str">
        <f t="shared" si="100"/>
        <v/>
      </c>
      <c r="AY477" s="21" t="str">
        <f>IF(AND($AM477&lt;&gt;"",$AS477&lt;&gt;"✓"),SUMPRODUCT(($AM$11:$AM477&lt;&gt;"")*($AS$11:$AS477&lt;&gt;"✓")),"")</f>
        <v/>
      </c>
      <c r="AZ477" s="21" t="str">
        <f>IF(AND($AM477&lt;&gt;"",$AS477="✓"),SUMPRODUCT(($AM$11:$AM477&lt;&gt;"")*($AS$11:$AS477="✓")),"")</f>
        <v/>
      </c>
      <c r="BA477" s="21" t="str">
        <f>IF($AL477="","",$AL477&amp;"|"&amp;COUNTIF($AL$11:$AL477,$AL477))</f>
        <v/>
      </c>
    </row>
    <row r="478" spans="2:53" ht="15" customHeight="1" x14ac:dyDescent="0.25">
      <c r="B478" s="5" t="str">
        <f t="shared" si="92"/>
        <v/>
      </c>
      <c r="C478" s="5"/>
      <c r="D478" s="5"/>
      <c r="E478" s="5"/>
      <c r="F478" s="6"/>
      <c r="G478" s="6"/>
      <c r="H478" s="7"/>
      <c r="I478" s="8"/>
      <c r="W478" s="28" t="str">
        <f>IF(X478="","",IFERROR(INDEX($AL$11:$AL$4010,MATCH(468,$AY$11:$AY$4010,0)),""))</f>
        <v/>
      </c>
      <c r="X478" s="26" t="str">
        <f>IFERROR(INDEX($AM$11:$AM$4010,MATCH(468,$AY$11:$AY$4010,0)),"")</f>
        <v/>
      </c>
      <c r="Y478" s="25" t="str">
        <f>IF(X478="","",IFERROR(INDEX($AN$11:$AN$4010,MATCH(468,$AY$11:$AY$4010,0)),""))</f>
        <v/>
      </c>
      <c r="Z478" s="25" t="str">
        <f>IF(X478="","",IFERROR(INDEX($AO$11:$AO$4010,MATCH(468,$AY$11:$AY$4010,0)),""))</f>
        <v/>
      </c>
      <c r="AA478" s="24" t="str">
        <f>IF(X478="","",IFERROR(INDEX($AQ$11:$AQ$4010,MATCH(468,$AY$11:$AY$4010,0)),""))</f>
        <v/>
      </c>
      <c r="AB478" s="29" t="str">
        <f>IF(X478="","",IFERROR(INDEX($AR$11:$AR$4010,MATCH(468,$AY$11:$AY$4010,0)),""))</f>
        <v/>
      </c>
      <c r="AD478" s="30" t="str">
        <f>IF(AE478="","",IFERROR(INDEX($AL$11:$AL$4010,MATCH(468,$AZ$11:$AZ$4010,0)),""))</f>
        <v/>
      </c>
      <c r="AE478" s="26" t="str">
        <f>IFERROR(INDEX($AM$11:$AM$4010,MATCH(468,$AZ$11:$AZ$4010,0)),"")</f>
        <v/>
      </c>
      <c r="AF478" s="25" t="str">
        <f>IF(AE478="","",IFERROR(INDEX($AN$11:$AN$4010,MATCH(468,$AZ$11:$AZ$4010,0)),""))</f>
        <v/>
      </c>
      <c r="AG478" s="25" t="str">
        <f>IF(AE478="","",IFERROR(INDEX($AO$11:$AO$4010,MATCH(468,$AZ$11:$AZ$4010,0)),""))</f>
        <v/>
      </c>
      <c r="AH478" s="24" t="str">
        <f>IF(AE478="","",IFERROR(INDEX($AQ$11:$AQ$4010,MATCH(468,$AZ$11:$AZ$4010,0)),""))</f>
        <v/>
      </c>
      <c r="AI478" s="29" t="str">
        <f>IF(AE478="","",IFERROR(INDEX($AR$11:$AR$4010,MATCH(468,$AZ$11:$AZ$4010,0)),""))</f>
        <v/>
      </c>
      <c r="AJ478" s="29" t="str">
        <f>IF(AE478="","",IFERROR(INDEX($AT$11:$AT$4010,MATCH(468,$AZ$11:$AZ$4010,0)),""))</f>
        <v/>
      </c>
      <c r="AL478" s="31" t="str">
        <f t="shared" si="93"/>
        <v/>
      </c>
      <c r="AM478" s="26" t="str">
        <f t="shared" si="94"/>
        <v/>
      </c>
      <c r="AN478" s="32" t="str">
        <f t="shared" si="95"/>
        <v/>
      </c>
      <c r="AO478" s="32" t="str">
        <f t="shared" si="96"/>
        <v/>
      </c>
      <c r="AP478" s="24" t="str">
        <f t="shared" si="97"/>
        <v/>
      </c>
      <c r="AQ478" s="24" t="str">
        <f t="shared" si="98"/>
        <v/>
      </c>
      <c r="AR478" s="33" t="str">
        <f t="shared" si="99"/>
        <v/>
      </c>
      <c r="AS478" s="34"/>
      <c r="AT478" s="33"/>
      <c r="AV478" s="21">
        <f>IF(AND($AL478&lt;&gt;"",COUNTIF($AL$11:$AL478,$AL478)=1),1,0)</f>
        <v>0</v>
      </c>
      <c r="AW478" s="21">
        <f t="shared" si="101"/>
        <v>2</v>
      </c>
      <c r="AX478" s="21" t="str">
        <f t="shared" si="100"/>
        <v/>
      </c>
      <c r="AY478" s="21" t="str">
        <f>IF(AND($AM478&lt;&gt;"",$AS478&lt;&gt;"✓"),SUMPRODUCT(($AM$11:$AM478&lt;&gt;"")*($AS$11:$AS478&lt;&gt;"✓")),"")</f>
        <v/>
      </c>
      <c r="AZ478" s="21" t="str">
        <f>IF(AND($AM478&lt;&gt;"",$AS478="✓"),SUMPRODUCT(($AM$11:$AM478&lt;&gt;"")*($AS$11:$AS478="✓")),"")</f>
        <v/>
      </c>
      <c r="BA478" s="21" t="str">
        <f>IF($AL478="","",$AL478&amp;"|"&amp;COUNTIF($AL$11:$AL478,$AL478))</f>
        <v/>
      </c>
    </row>
    <row r="479" spans="2:53" ht="15" customHeight="1" x14ac:dyDescent="0.25">
      <c r="B479" s="5" t="str">
        <f t="shared" si="92"/>
        <v/>
      </c>
      <c r="C479" s="5"/>
      <c r="D479" s="5"/>
      <c r="E479" s="5"/>
      <c r="F479" s="6"/>
      <c r="G479" s="6"/>
      <c r="H479" s="7"/>
      <c r="I479" s="8"/>
      <c r="W479" s="14" t="str">
        <f>IF(X479="","",IFERROR(INDEX($AL$11:$AL$4010,MATCH(469,$AY$11:$AY$4010,0)),""))</f>
        <v/>
      </c>
      <c r="X479" s="12" t="str">
        <f>IFERROR(INDEX($AM$11:$AM$4010,MATCH(469,$AY$11:$AY$4010,0)),"")</f>
        <v/>
      </c>
      <c r="Y479" s="11" t="str">
        <f>IF(X479="","",IFERROR(INDEX($AN$11:$AN$4010,MATCH(469,$AY$11:$AY$4010,0)),""))</f>
        <v/>
      </c>
      <c r="Z479" s="11" t="str">
        <f>IF(X479="","",IFERROR(INDEX($AO$11:$AO$4010,MATCH(469,$AY$11:$AY$4010,0)),""))</f>
        <v/>
      </c>
      <c r="AA479" s="10" t="str">
        <f>IF(X479="","",IFERROR(INDEX($AQ$11:$AQ$4010,MATCH(469,$AY$11:$AY$4010,0)),""))</f>
        <v/>
      </c>
      <c r="AB479" s="15" t="str">
        <f>IF(X479="","",IFERROR(INDEX($AR$11:$AR$4010,MATCH(469,$AY$11:$AY$4010,0)),""))</f>
        <v/>
      </c>
      <c r="AD479" s="16" t="str">
        <f>IF(AE479="","",IFERROR(INDEX($AL$11:$AL$4010,MATCH(469,$AZ$11:$AZ$4010,0)),""))</f>
        <v/>
      </c>
      <c r="AE479" s="12" t="str">
        <f>IFERROR(INDEX($AM$11:$AM$4010,MATCH(469,$AZ$11:$AZ$4010,0)),"")</f>
        <v/>
      </c>
      <c r="AF479" s="11" t="str">
        <f>IF(AE479="","",IFERROR(INDEX($AN$11:$AN$4010,MATCH(469,$AZ$11:$AZ$4010,0)),""))</f>
        <v/>
      </c>
      <c r="AG479" s="11" t="str">
        <f>IF(AE479="","",IFERROR(INDEX($AO$11:$AO$4010,MATCH(469,$AZ$11:$AZ$4010,0)),""))</f>
        <v/>
      </c>
      <c r="AH479" s="10" t="str">
        <f>IF(AE479="","",IFERROR(INDEX($AQ$11:$AQ$4010,MATCH(469,$AZ$11:$AZ$4010,0)),""))</f>
        <v/>
      </c>
      <c r="AI479" s="15" t="str">
        <f>IF(AE479="","",IFERROR(INDEX($AR$11:$AR$4010,MATCH(469,$AZ$11:$AZ$4010,0)),""))</f>
        <v/>
      </c>
      <c r="AJ479" s="15" t="str">
        <f>IF(AE479="","",IFERROR(INDEX($AT$11:$AT$4010,MATCH(469,$AZ$11:$AZ$4010,0)),""))</f>
        <v/>
      </c>
      <c r="AL479" s="17" t="str">
        <f t="shared" si="93"/>
        <v/>
      </c>
      <c r="AM479" s="12" t="str">
        <f t="shared" si="94"/>
        <v/>
      </c>
      <c r="AN479" s="18" t="str">
        <f t="shared" si="95"/>
        <v/>
      </c>
      <c r="AO479" s="18" t="str">
        <f t="shared" si="96"/>
        <v/>
      </c>
      <c r="AP479" s="10" t="str">
        <f t="shared" si="97"/>
        <v/>
      </c>
      <c r="AQ479" s="10" t="str">
        <f t="shared" si="98"/>
        <v/>
      </c>
      <c r="AR479" s="19" t="str">
        <f t="shared" si="99"/>
        <v/>
      </c>
      <c r="AS479" s="20"/>
      <c r="AT479" s="19"/>
      <c r="AV479" s="21">
        <f>IF(AND($AL479&lt;&gt;"",COUNTIF($AL$11:$AL479,$AL479)=1),1,0)</f>
        <v>0</v>
      </c>
      <c r="AW479" s="21">
        <f t="shared" si="101"/>
        <v>2</v>
      </c>
      <c r="AX479" s="21" t="str">
        <f t="shared" si="100"/>
        <v/>
      </c>
      <c r="AY479" s="21" t="str">
        <f>IF(AND($AM479&lt;&gt;"",$AS479&lt;&gt;"✓"),SUMPRODUCT(($AM$11:$AM479&lt;&gt;"")*($AS$11:$AS479&lt;&gt;"✓")),"")</f>
        <v/>
      </c>
      <c r="AZ479" s="21" t="str">
        <f>IF(AND($AM479&lt;&gt;"",$AS479="✓"),SUMPRODUCT(($AM$11:$AM479&lt;&gt;"")*($AS$11:$AS479="✓")),"")</f>
        <v/>
      </c>
      <c r="BA479" s="21" t="str">
        <f>IF($AL479="","",$AL479&amp;"|"&amp;COUNTIF($AL$11:$AL479,$AL479))</f>
        <v/>
      </c>
    </row>
    <row r="480" spans="2:53" ht="15" customHeight="1" x14ac:dyDescent="0.25">
      <c r="B480" s="5" t="str">
        <f t="shared" si="92"/>
        <v/>
      </c>
      <c r="C480" s="5"/>
      <c r="D480" s="5"/>
      <c r="E480" s="5"/>
      <c r="F480" s="6"/>
      <c r="G480" s="6"/>
      <c r="H480" s="7"/>
      <c r="I480" s="8"/>
      <c r="W480" s="28" t="str">
        <f>IF(X480="","",IFERROR(INDEX($AL$11:$AL$4010,MATCH(470,$AY$11:$AY$4010,0)),""))</f>
        <v/>
      </c>
      <c r="X480" s="26" t="str">
        <f>IFERROR(INDEX($AM$11:$AM$4010,MATCH(470,$AY$11:$AY$4010,0)),"")</f>
        <v/>
      </c>
      <c r="Y480" s="25" t="str">
        <f>IF(X480="","",IFERROR(INDEX($AN$11:$AN$4010,MATCH(470,$AY$11:$AY$4010,0)),""))</f>
        <v/>
      </c>
      <c r="Z480" s="25" t="str">
        <f>IF(X480="","",IFERROR(INDEX($AO$11:$AO$4010,MATCH(470,$AY$11:$AY$4010,0)),""))</f>
        <v/>
      </c>
      <c r="AA480" s="24" t="str">
        <f>IF(X480="","",IFERROR(INDEX($AQ$11:$AQ$4010,MATCH(470,$AY$11:$AY$4010,0)),""))</f>
        <v/>
      </c>
      <c r="AB480" s="29" t="str">
        <f>IF(X480="","",IFERROR(INDEX($AR$11:$AR$4010,MATCH(470,$AY$11:$AY$4010,0)),""))</f>
        <v/>
      </c>
      <c r="AD480" s="30" t="str">
        <f>IF(AE480="","",IFERROR(INDEX($AL$11:$AL$4010,MATCH(470,$AZ$11:$AZ$4010,0)),""))</f>
        <v/>
      </c>
      <c r="AE480" s="26" t="str">
        <f>IFERROR(INDEX($AM$11:$AM$4010,MATCH(470,$AZ$11:$AZ$4010,0)),"")</f>
        <v/>
      </c>
      <c r="AF480" s="25" t="str">
        <f>IF(AE480="","",IFERROR(INDEX($AN$11:$AN$4010,MATCH(470,$AZ$11:$AZ$4010,0)),""))</f>
        <v/>
      </c>
      <c r="AG480" s="25" t="str">
        <f>IF(AE480="","",IFERROR(INDEX($AO$11:$AO$4010,MATCH(470,$AZ$11:$AZ$4010,0)),""))</f>
        <v/>
      </c>
      <c r="AH480" s="24" t="str">
        <f>IF(AE480="","",IFERROR(INDEX($AQ$11:$AQ$4010,MATCH(470,$AZ$11:$AZ$4010,0)),""))</f>
        <v/>
      </c>
      <c r="AI480" s="29" t="str">
        <f>IF(AE480="","",IFERROR(INDEX($AR$11:$AR$4010,MATCH(470,$AZ$11:$AZ$4010,0)),""))</f>
        <v/>
      </c>
      <c r="AJ480" s="29" t="str">
        <f>IF(AE480="","",IFERROR(INDEX($AT$11:$AT$4010,MATCH(470,$AZ$11:$AZ$4010,0)),""))</f>
        <v/>
      </c>
      <c r="AL480" s="31" t="str">
        <f t="shared" si="93"/>
        <v/>
      </c>
      <c r="AM480" s="26" t="str">
        <f t="shared" si="94"/>
        <v/>
      </c>
      <c r="AN480" s="32" t="str">
        <f t="shared" si="95"/>
        <v/>
      </c>
      <c r="AO480" s="32" t="str">
        <f t="shared" si="96"/>
        <v/>
      </c>
      <c r="AP480" s="24" t="str">
        <f t="shared" si="97"/>
        <v/>
      </c>
      <c r="AQ480" s="24" t="str">
        <f t="shared" si="98"/>
        <v/>
      </c>
      <c r="AR480" s="33" t="str">
        <f t="shared" si="99"/>
        <v/>
      </c>
      <c r="AS480" s="34"/>
      <c r="AT480" s="33"/>
      <c r="AV480" s="21">
        <f>IF(AND($AL480&lt;&gt;"",COUNTIF($AL$11:$AL480,$AL480)=1),1,0)</f>
        <v>0</v>
      </c>
      <c r="AW480" s="21">
        <f t="shared" si="101"/>
        <v>2</v>
      </c>
      <c r="AX480" s="21" t="str">
        <f t="shared" si="100"/>
        <v/>
      </c>
      <c r="AY480" s="21" t="str">
        <f>IF(AND($AM480&lt;&gt;"",$AS480&lt;&gt;"✓"),SUMPRODUCT(($AM$11:$AM480&lt;&gt;"")*($AS$11:$AS480&lt;&gt;"✓")),"")</f>
        <v/>
      </c>
      <c r="AZ480" s="21" t="str">
        <f>IF(AND($AM480&lt;&gt;"",$AS480="✓"),SUMPRODUCT(($AM$11:$AM480&lt;&gt;"")*($AS$11:$AS480="✓")),"")</f>
        <v/>
      </c>
      <c r="BA480" s="21" t="str">
        <f>IF($AL480="","",$AL480&amp;"|"&amp;COUNTIF($AL$11:$AL480,$AL480))</f>
        <v/>
      </c>
    </row>
    <row r="481" spans="2:53" ht="15" customHeight="1" x14ac:dyDescent="0.25">
      <c r="B481" s="5" t="str">
        <f t="shared" si="92"/>
        <v/>
      </c>
      <c r="C481" s="5"/>
      <c r="D481" s="5"/>
      <c r="E481" s="5"/>
      <c r="F481" s="6"/>
      <c r="G481" s="6"/>
      <c r="H481" s="7"/>
      <c r="I481" s="8"/>
      <c r="W481" s="14" t="str">
        <f>IF(X481="","",IFERROR(INDEX($AL$11:$AL$4010,MATCH(471,$AY$11:$AY$4010,0)),""))</f>
        <v/>
      </c>
      <c r="X481" s="12" t="str">
        <f>IFERROR(INDEX($AM$11:$AM$4010,MATCH(471,$AY$11:$AY$4010,0)),"")</f>
        <v/>
      </c>
      <c r="Y481" s="11" t="str">
        <f>IF(X481="","",IFERROR(INDEX($AN$11:$AN$4010,MATCH(471,$AY$11:$AY$4010,0)),""))</f>
        <v/>
      </c>
      <c r="Z481" s="11" t="str">
        <f>IF(X481="","",IFERROR(INDEX($AO$11:$AO$4010,MATCH(471,$AY$11:$AY$4010,0)),""))</f>
        <v/>
      </c>
      <c r="AA481" s="10" t="str">
        <f>IF(X481="","",IFERROR(INDEX($AQ$11:$AQ$4010,MATCH(471,$AY$11:$AY$4010,0)),""))</f>
        <v/>
      </c>
      <c r="AB481" s="15" t="str">
        <f>IF(X481="","",IFERROR(INDEX($AR$11:$AR$4010,MATCH(471,$AY$11:$AY$4010,0)),""))</f>
        <v/>
      </c>
      <c r="AD481" s="16" t="str">
        <f>IF(AE481="","",IFERROR(INDEX($AL$11:$AL$4010,MATCH(471,$AZ$11:$AZ$4010,0)),""))</f>
        <v/>
      </c>
      <c r="AE481" s="12" t="str">
        <f>IFERROR(INDEX($AM$11:$AM$4010,MATCH(471,$AZ$11:$AZ$4010,0)),"")</f>
        <v/>
      </c>
      <c r="AF481" s="11" t="str">
        <f>IF(AE481="","",IFERROR(INDEX($AN$11:$AN$4010,MATCH(471,$AZ$11:$AZ$4010,0)),""))</f>
        <v/>
      </c>
      <c r="AG481" s="11" t="str">
        <f>IF(AE481="","",IFERROR(INDEX($AO$11:$AO$4010,MATCH(471,$AZ$11:$AZ$4010,0)),""))</f>
        <v/>
      </c>
      <c r="AH481" s="10" t="str">
        <f>IF(AE481="","",IFERROR(INDEX($AQ$11:$AQ$4010,MATCH(471,$AZ$11:$AZ$4010,0)),""))</f>
        <v/>
      </c>
      <c r="AI481" s="15" t="str">
        <f>IF(AE481="","",IFERROR(INDEX($AR$11:$AR$4010,MATCH(471,$AZ$11:$AZ$4010,0)),""))</f>
        <v/>
      </c>
      <c r="AJ481" s="15" t="str">
        <f>IF(AE481="","",IFERROR(INDEX($AT$11:$AT$4010,MATCH(471,$AZ$11:$AZ$4010,0)),""))</f>
        <v/>
      </c>
      <c r="AL481" s="17" t="str">
        <f t="shared" si="93"/>
        <v/>
      </c>
      <c r="AM481" s="12" t="str">
        <f t="shared" si="94"/>
        <v/>
      </c>
      <c r="AN481" s="18" t="str">
        <f t="shared" si="95"/>
        <v/>
      </c>
      <c r="AO481" s="18" t="str">
        <f t="shared" si="96"/>
        <v/>
      </c>
      <c r="AP481" s="10" t="str">
        <f t="shared" si="97"/>
        <v/>
      </c>
      <c r="AQ481" s="10" t="str">
        <f t="shared" si="98"/>
        <v/>
      </c>
      <c r="AR481" s="19" t="str">
        <f t="shared" si="99"/>
        <v/>
      </c>
      <c r="AS481" s="20"/>
      <c r="AT481" s="19"/>
      <c r="AV481" s="21">
        <f>IF(AND($AL481&lt;&gt;"",COUNTIF($AL$11:$AL481,$AL481)=1),1,0)</f>
        <v>0</v>
      </c>
      <c r="AW481" s="21">
        <f t="shared" si="101"/>
        <v>2</v>
      </c>
      <c r="AX481" s="21" t="str">
        <f t="shared" si="100"/>
        <v/>
      </c>
      <c r="AY481" s="21" t="str">
        <f>IF(AND($AM481&lt;&gt;"",$AS481&lt;&gt;"✓"),SUMPRODUCT(($AM$11:$AM481&lt;&gt;"")*($AS$11:$AS481&lt;&gt;"✓")),"")</f>
        <v/>
      </c>
      <c r="AZ481" s="21" t="str">
        <f>IF(AND($AM481&lt;&gt;"",$AS481="✓"),SUMPRODUCT(($AM$11:$AM481&lt;&gt;"")*($AS$11:$AS481="✓")),"")</f>
        <v/>
      </c>
      <c r="BA481" s="21" t="str">
        <f>IF($AL481="","",$AL481&amp;"|"&amp;COUNTIF($AL$11:$AL481,$AL481))</f>
        <v/>
      </c>
    </row>
    <row r="482" spans="2:53" ht="15" customHeight="1" x14ac:dyDescent="0.25">
      <c r="B482" s="5" t="str">
        <f t="shared" si="92"/>
        <v/>
      </c>
      <c r="C482" s="5"/>
      <c r="D482" s="5"/>
      <c r="E482" s="5"/>
      <c r="F482" s="6"/>
      <c r="G482" s="6"/>
      <c r="H482" s="7"/>
      <c r="I482" s="8"/>
      <c r="W482" s="28" t="str">
        <f>IF(X482="","",IFERROR(INDEX($AL$11:$AL$4010,MATCH(472,$AY$11:$AY$4010,0)),""))</f>
        <v/>
      </c>
      <c r="X482" s="26" t="str">
        <f>IFERROR(INDEX($AM$11:$AM$4010,MATCH(472,$AY$11:$AY$4010,0)),"")</f>
        <v/>
      </c>
      <c r="Y482" s="25" t="str">
        <f>IF(X482="","",IFERROR(INDEX($AN$11:$AN$4010,MATCH(472,$AY$11:$AY$4010,0)),""))</f>
        <v/>
      </c>
      <c r="Z482" s="25" t="str">
        <f>IF(X482="","",IFERROR(INDEX($AO$11:$AO$4010,MATCH(472,$AY$11:$AY$4010,0)),""))</f>
        <v/>
      </c>
      <c r="AA482" s="24" t="str">
        <f>IF(X482="","",IFERROR(INDEX($AQ$11:$AQ$4010,MATCH(472,$AY$11:$AY$4010,0)),""))</f>
        <v/>
      </c>
      <c r="AB482" s="29" t="str">
        <f>IF(X482="","",IFERROR(INDEX($AR$11:$AR$4010,MATCH(472,$AY$11:$AY$4010,0)),""))</f>
        <v/>
      </c>
      <c r="AD482" s="30" t="str">
        <f>IF(AE482="","",IFERROR(INDEX($AL$11:$AL$4010,MATCH(472,$AZ$11:$AZ$4010,0)),""))</f>
        <v/>
      </c>
      <c r="AE482" s="26" t="str">
        <f>IFERROR(INDEX($AM$11:$AM$4010,MATCH(472,$AZ$11:$AZ$4010,0)),"")</f>
        <v/>
      </c>
      <c r="AF482" s="25" t="str">
        <f>IF(AE482="","",IFERROR(INDEX($AN$11:$AN$4010,MATCH(472,$AZ$11:$AZ$4010,0)),""))</f>
        <v/>
      </c>
      <c r="AG482" s="25" t="str">
        <f>IF(AE482="","",IFERROR(INDEX($AO$11:$AO$4010,MATCH(472,$AZ$11:$AZ$4010,0)),""))</f>
        <v/>
      </c>
      <c r="AH482" s="24" t="str">
        <f>IF(AE482="","",IFERROR(INDEX($AQ$11:$AQ$4010,MATCH(472,$AZ$11:$AZ$4010,0)),""))</f>
        <v/>
      </c>
      <c r="AI482" s="29" t="str">
        <f>IF(AE482="","",IFERROR(INDEX($AR$11:$AR$4010,MATCH(472,$AZ$11:$AZ$4010,0)),""))</f>
        <v/>
      </c>
      <c r="AJ482" s="29" t="str">
        <f>IF(AE482="","",IFERROR(INDEX($AT$11:$AT$4010,MATCH(472,$AZ$11:$AZ$4010,0)),""))</f>
        <v/>
      </c>
      <c r="AL482" s="31" t="str">
        <f t="shared" si="93"/>
        <v/>
      </c>
      <c r="AM482" s="26" t="str">
        <f t="shared" si="94"/>
        <v/>
      </c>
      <c r="AN482" s="32" t="str">
        <f t="shared" si="95"/>
        <v/>
      </c>
      <c r="AO482" s="32" t="str">
        <f t="shared" si="96"/>
        <v/>
      </c>
      <c r="AP482" s="24" t="str">
        <f t="shared" si="97"/>
        <v/>
      </c>
      <c r="AQ482" s="24" t="str">
        <f t="shared" si="98"/>
        <v/>
      </c>
      <c r="AR482" s="33" t="str">
        <f t="shared" si="99"/>
        <v/>
      </c>
      <c r="AS482" s="34"/>
      <c r="AT482" s="33"/>
      <c r="AV482" s="21">
        <f>IF(AND($AL482&lt;&gt;"",COUNTIF($AL$11:$AL482,$AL482)=1),1,0)</f>
        <v>0</v>
      </c>
      <c r="AW482" s="21">
        <f t="shared" si="101"/>
        <v>2</v>
      </c>
      <c r="AX482" s="21" t="str">
        <f t="shared" si="100"/>
        <v/>
      </c>
      <c r="AY482" s="21" t="str">
        <f>IF(AND($AM482&lt;&gt;"",$AS482&lt;&gt;"✓"),SUMPRODUCT(($AM$11:$AM482&lt;&gt;"")*($AS$11:$AS482&lt;&gt;"✓")),"")</f>
        <v/>
      </c>
      <c r="AZ482" s="21" t="str">
        <f>IF(AND($AM482&lt;&gt;"",$AS482="✓"),SUMPRODUCT(($AM$11:$AM482&lt;&gt;"")*($AS$11:$AS482="✓")),"")</f>
        <v/>
      </c>
      <c r="BA482" s="21" t="str">
        <f>IF($AL482="","",$AL482&amp;"|"&amp;COUNTIF($AL$11:$AL482,$AL482))</f>
        <v/>
      </c>
    </row>
    <row r="483" spans="2:53" ht="15" customHeight="1" x14ac:dyDescent="0.25">
      <c r="B483" s="5" t="str">
        <f t="shared" si="92"/>
        <v/>
      </c>
      <c r="C483" s="5"/>
      <c r="D483" s="5"/>
      <c r="E483" s="5"/>
      <c r="F483" s="6"/>
      <c r="G483" s="6"/>
      <c r="H483" s="7"/>
      <c r="I483" s="8"/>
      <c r="W483" s="14" t="str">
        <f>IF(X483="","",IFERROR(INDEX($AL$11:$AL$4010,MATCH(473,$AY$11:$AY$4010,0)),""))</f>
        <v/>
      </c>
      <c r="X483" s="12" t="str">
        <f>IFERROR(INDEX($AM$11:$AM$4010,MATCH(473,$AY$11:$AY$4010,0)),"")</f>
        <v/>
      </c>
      <c r="Y483" s="11" t="str">
        <f>IF(X483="","",IFERROR(INDEX($AN$11:$AN$4010,MATCH(473,$AY$11:$AY$4010,0)),""))</f>
        <v/>
      </c>
      <c r="Z483" s="11" t="str">
        <f>IF(X483="","",IFERROR(INDEX($AO$11:$AO$4010,MATCH(473,$AY$11:$AY$4010,0)),""))</f>
        <v/>
      </c>
      <c r="AA483" s="10" t="str">
        <f>IF(X483="","",IFERROR(INDEX($AQ$11:$AQ$4010,MATCH(473,$AY$11:$AY$4010,0)),""))</f>
        <v/>
      </c>
      <c r="AB483" s="15" t="str">
        <f>IF(X483="","",IFERROR(INDEX($AR$11:$AR$4010,MATCH(473,$AY$11:$AY$4010,0)),""))</f>
        <v/>
      </c>
      <c r="AD483" s="16" t="str">
        <f>IF(AE483="","",IFERROR(INDEX($AL$11:$AL$4010,MATCH(473,$AZ$11:$AZ$4010,0)),""))</f>
        <v/>
      </c>
      <c r="AE483" s="12" t="str">
        <f>IFERROR(INDEX($AM$11:$AM$4010,MATCH(473,$AZ$11:$AZ$4010,0)),"")</f>
        <v/>
      </c>
      <c r="AF483" s="11" t="str">
        <f>IF(AE483="","",IFERROR(INDEX($AN$11:$AN$4010,MATCH(473,$AZ$11:$AZ$4010,0)),""))</f>
        <v/>
      </c>
      <c r="AG483" s="11" t="str">
        <f>IF(AE483="","",IFERROR(INDEX($AO$11:$AO$4010,MATCH(473,$AZ$11:$AZ$4010,0)),""))</f>
        <v/>
      </c>
      <c r="AH483" s="10" t="str">
        <f>IF(AE483="","",IFERROR(INDEX($AQ$11:$AQ$4010,MATCH(473,$AZ$11:$AZ$4010,0)),""))</f>
        <v/>
      </c>
      <c r="AI483" s="15" t="str">
        <f>IF(AE483="","",IFERROR(INDEX($AR$11:$AR$4010,MATCH(473,$AZ$11:$AZ$4010,0)),""))</f>
        <v/>
      </c>
      <c r="AJ483" s="15" t="str">
        <f>IF(AE483="","",IFERROR(INDEX($AT$11:$AT$4010,MATCH(473,$AZ$11:$AZ$4010,0)),""))</f>
        <v/>
      </c>
      <c r="AL483" s="17" t="str">
        <f t="shared" si="93"/>
        <v/>
      </c>
      <c r="AM483" s="12" t="str">
        <f t="shared" si="94"/>
        <v/>
      </c>
      <c r="AN483" s="18" t="str">
        <f t="shared" si="95"/>
        <v/>
      </c>
      <c r="AO483" s="18" t="str">
        <f t="shared" si="96"/>
        <v/>
      </c>
      <c r="AP483" s="10" t="str">
        <f t="shared" si="97"/>
        <v/>
      </c>
      <c r="AQ483" s="10" t="str">
        <f t="shared" si="98"/>
        <v/>
      </c>
      <c r="AR483" s="19" t="str">
        <f t="shared" si="99"/>
        <v/>
      </c>
      <c r="AS483" s="20"/>
      <c r="AT483" s="19"/>
      <c r="AV483" s="21">
        <f>IF(AND($AL483&lt;&gt;"",COUNTIF($AL$11:$AL483,$AL483)=1),1,0)</f>
        <v>0</v>
      </c>
      <c r="AW483" s="21">
        <f t="shared" si="101"/>
        <v>2</v>
      </c>
      <c r="AX483" s="21" t="str">
        <f t="shared" si="100"/>
        <v/>
      </c>
      <c r="AY483" s="21" t="str">
        <f>IF(AND($AM483&lt;&gt;"",$AS483&lt;&gt;"✓"),SUMPRODUCT(($AM$11:$AM483&lt;&gt;"")*($AS$11:$AS483&lt;&gt;"✓")),"")</f>
        <v/>
      </c>
      <c r="AZ483" s="21" t="str">
        <f>IF(AND($AM483&lt;&gt;"",$AS483="✓"),SUMPRODUCT(($AM$11:$AM483&lt;&gt;"")*($AS$11:$AS483="✓")),"")</f>
        <v/>
      </c>
      <c r="BA483" s="21" t="str">
        <f>IF($AL483="","",$AL483&amp;"|"&amp;COUNTIF($AL$11:$AL483,$AL483))</f>
        <v/>
      </c>
    </row>
    <row r="484" spans="2:53" ht="15" customHeight="1" x14ac:dyDescent="0.25">
      <c r="B484" s="5" t="str">
        <f t="shared" si="92"/>
        <v/>
      </c>
      <c r="C484" s="5"/>
      <c r="D484" s="5"/>
      <c r="E484" s="5"/>
      <c r="F484" s="6"/>
      <c r="G484" s="6"/>
      <c r="H484" s="7"/>
      <c r="I484" s="8"/>
      <c r="W484" s="28" t="str">
        <f>IF(X484="","",IFERROR(INDEX($AL$11:$AL$4010,MATCH(474,$AY$11:$AY$4010,0)),""))</f>
        <v/>
      </c>
      <c r="X484" s="26" t="str">
        <f>IFERROR(INDEX($AM$11:$AM$4010,MATCH(474,$AY$11:$AY$4010,0)),"")</f>
        <v/>
      </c>
      <c r="Y484" s="25" t="str">
        <f>IF(X484="","",IFERROR(INDEX($AN$11:$AN$4010,MATCH(474,$AY$11:$AY$4010,0)),""))</f>
        <v/>
      </c>
      <c r="Z484" s="25" t="str">
        <f>IF(X484="","",IFERROR(INDEX($AO$11:$AO$4010,MATCH(474,$AY$11:$AY$4010,0)),""))</f>
        <v/>
      </c>
      <c r="AA484" s="24" t="str">
        <f>IF(X484="","",IFERROR(INDEX($AQ$11:$AQ$4010,MATCH(474,$AY$11:$AY$4010,0)),""))</f>
        <v/>
      </c>
      <c r="AB484" s="29" t="str">
        <f>IF(X484="","",IFERROR(INDEX($AR$11:$AR$4010,MATCH(474,$AY$11:$AY$4010,0)),""))</f>
        <v/>
      </c>
      <c r="AD484" s="30" t="str">
        <f>IF(AE484="","",IFERROR(INDEX($AL$11:$AL$4010,MATCH(474,$AZ$11:$AZ$4010,0)),""))</f>
        <v/>
      </c>
      <c r="AE484" s="26" t="str">
        <f>IFERROR(INDEX($AM$11:$AM$4010,MATCH(474,$AZ$11:$AZ$4010,0)),"")</f>
        <v/>
      </c>
      <c r="AF484" s="25" t="str">
        <f>IF(AE484="","",IFERROR(INDEX($AN$11:$AN$4010,MATCH(474,$AZ$11:$AZ$4010,0)),""))</f>
        <v/>
      </c>
      <c r="AG484" s="25" t="str">
        <f>IF(AE484="","",IFERROR(INDEX($AO$11:$AO$4010,MATCH(474,$AZ$11:$AZ$4010,0)),""))</f>
        <v/>
      </c>
      <c r="AH484" s="24" t="str">
        <f>IF(AE484="","",IFERROR(INDEX($AQ$11:$AQ$4010,MATCH(474,$AZ$11:$AZ$4010,0)),""))</f>
        <v/>
      </c>
      <c r="AI484" s="29" t="str">
        <f>IF(AE484="","",IFERROR(INDEX($AR$11:$AR$4010,MATCH(474,$AZ$11:$AZ$4010,0)),""))</f>
        <v/>
      </c>
      <c r="AJ484" s="29" t="str">
        <f>IF(AE484="","",IFERROR(INDEX($AT$11:$AT$4010,MATCH(474,$AZ$11:$AZ$4010,0)),""))</f>
        <v/>
      </c>
      <c r="AL484" s="31" t="str">
        <f t="shared" si="93"/>
        <v/>
      </c>
      <c r="AM484" s="26" t="str">
        <f t="shared" si="94"/>
        <v/>
      </c>
      <c r="AN484" s="32" t="str">
        <f t="shared" si="95"/>
        <v/>
      </c>
      <c r="AO484" s="32" t="str">
        <f t="shared" si="96"/>
        <v/>
      </c>
      <c r="AP484" s="24" t="str">
        <f t="shared" si="97"/>
        <v/>
      </c>
      <c r="AQ484" s="24" t="str">
        <f t="shared" si="98"/>
        <v/>
      </c>
      <c r="AR484" s="33" t="str">
        <f t="shared" si="99"/>
        <v/>
      </c>
      <c r="AS484" s="34"/>
      <c r="AT484" s="33"/>
      <c r="AV484" s="21">
        <f>IF(AND($AL484&lt;&gt;"",COUNTIF($AL$11:$AL484,$AL484)=1),1,0)</f>
        <v>0</v>
      </c>
      <c r="AW484" s="21">
        <f t="shared" si="101"/>
        <v>2</v>
      </c>
      <c r="AX484" s="21" t="str">
        <f t="shared" si="100"/>
        <v/>
      </c>
      <c r="AY484" s="21" t="str">
        <f>IF(AND($AM484&lt;&gt;"",$AS484&lt;&gt;"✓"),SUMPRODUCT(($AM$11:$AM484&lt;&gt;"")*($AS$11:$AS484&lt;&gt;"✓")),"")</f>
        <v/>
      </c>
      <c r="AZ484" s="21" t="str">
        <f>IF(AND($AM484&lt;&gt;"",$AS484="✓"),SUMPRODUCT(($AM$11:$AM484&lt;&gt;"")*($AS$11:$AS484="✓")),"")</f>
        <v/>
      </c>
      <c r="BA484" s="21" t="str">
        <f>IF($AL484="","",$AL484&amp;"|"&amp;COUNTIF($AL$11:$AL484,$AL484))</f>
        <v/>
      </c>
    </row>
    <row r="485" spans="2:53" ht="15" customHeight="1" x14ac:dyDescent="0.25">
      <c r="B485" s="5" t="str">
        <f t="shared" si="92"/>
        <v/>
      </c>
      <c r="C485" s="5"/>
      <c r="D485" s="5"/>
      <c r="E485" s="5"/>
      <c r="F485" s="6"/>
      <c r="G485" s="6"/>
      <c r="H485" s="7"/>
      <c r="I485" s="8"/>
      <c r="W485" s="14" t="str">
        <f>IF(X485="","",IFERROR(INDEX($AL$11:$AL$4010,MATCH(475,$AY$11:$AY$4010,0)),""))</f>
        <v/>
      </c>
      <c r="X485" s="12" t="str">
        <f>IFERROR(INDEX($AM$11:$AM$4010,MATCH(475,$AY$11:$AY$4010,0)),"")</f>
        <v/>
      </c>
      <c r="Y485" s="11" t="str">
        <f>IF(X485="","",IFERROR(INDEX($AN$11:$AN$4010,MATCH(475,$AY$11:$AY$4010,0)),""))</f>
        <v/>
      </c>
      <c r="Z485" s="11" t="str">
        <f>IF(X485="","",IFERROR(INDEX($AO$11:$AO$4010,MATCH(475,$AY$11:$AY$4010,0)),""))</f>
        <v/>
      </c>
      <c r="AA485" s="10" t="str">
        <f>IF(X485="","",IFERROR(INDEX($AQ$11:$AQ$4010,MATCH(475,$AY$11:$AY$4010,0)),""))</f>
        <v/>
      </c>
      <c r="AB485" s="15" t="str">
        <f>IF(X485="","",IFERROR(INDEX($AR$11:$AR$4010,MATCH(475,$AY$11:$AY$4010,0)),""))</f>
        <v/>
      </c>
      <c r="AD485" s="16" t="str">
        <f>IF(AE485="","",IFERROR(INDEX($AL$11:$AL$4010,MATCH(475,$AZ$11:$AZ$4010,0)),""))</f>
        <v/>
      </c>
      <c r="AE485" s="12" t="str">
        <f>IFERROR(INDEX($AM$11:$AM$4010,MATCH(475,$AZ$11:$AZ$4010,0)),"")</f>
        <v/>
      </c>
      <c r="AF485" s="11" t="str">
        <f>IF(AE485="","",IFERROR(INDEX($AN$11:$AN$4010,MATCH(475,$AZ$11:$AZ$4010,0)),""))</f>
        <v/>
      </c>
      <c r="AG485" s="11" t="str">
        <f>IF(AE485="","",IFERROR(INDEX($AO$11:$AO$4010,MATCH(475,$AZ$11:$AZ$4010,0)),""))</f>
        <v/>
      </c>
      <c r="AH485" s="10" t="str">
        <f>IF(AE485="","",IFERROR(INDEX($AQ$11:$AQ$4010,MATCH(475,$AZ$11:$AZ$4010,0)),""))</f>
        <v/>
      </c>
      <c r="AI485" s="15" t="str">
        <f>IF(AE485="","",IFERROR(INDEX($AR$11:$AR$4010,MATCH(475,$AZ$11:$AZ$4010,0)),""))</f>
        <v/>
      </c>
      <c r="AJ485" s="15" t="str">
        <f>IF(AE485="","",IFERROR(INDEX($AT$11:$AT$4010,MATCH(475,$AZ$11:$AZ$4010,0)),""))</f>
        <v/>
      </c>
      <c r="AL485" s="17" t="str">
        <f t="shared" si="93"/>
        <v/>
      </c>
      <c r="AM485" s="12" t="str">
        <f t="shared" si="94"/>
        <v/>
      </c>
      <c r="AN485" s="18" t="str">
        <f t="shared" si="95"/>
        <v/>
      </c>
      <c r="AO485" s="18" t="str">
        <f t="shared" si="96"/>
        <v/>
      </c>
      <c r="AP485" s="10" t="str">
        <f t="shared" si="97"/>
        <v/>
      </c>
      <c r="AQ485" s="10" t="str">
        <f t="shared" si="98"/>
        <v/>
      </c>
      <c r="AR485" s="19" t="str">
        <f t="shared" si="99"/>
        <v/>
      </c>
      <c r="AS485" s="20"/>
      <c r="AT485" s="19"/>
      <c r="AV485" s="21">
        <f>IF(AND($AL485&lt;&gt;"",COUNTIF($AL$11:$AL485,$AL485)=1),1,0)</f>
        <v>0</v>
      </c>
      <c r="AW485" s="21">
        <f t="shared" si="101"/>
        <v>2</v>
      </c>
      <c r="AX485" s="21" t="str">
        <f t="shared" si="100"/>
        <v/>
      </c>
      <c r="AY485" s="21" t="str">
        <f>IF(AND($AM485&lt;&gt;"",$AS485&lt;&gt;"✓"),SUMPRODUCT(($AM$11:$AM485&lt;&gt;"")*($AS$11:$AS485&lt;&gt;"✓")),"")</f>
        <v/>
      </c>
      <c r="AZ485" s="21" t="str">
        <f>IF(AND($AM485&lt;&gt;"",$AS485="✓"),SUMPRODUCT(($AM$11:$AM485&lt;&gt;"")*($AS$11:$AS485="✓")),"")</f>
        <v/>
      </c>
      <c r="BA485" s="21" t="str">
        <f>IF($AL485="","",$AL485&amp;"|"&amp;COUNTIF($AL$11:$AL485,$AL485))</f>
        <v/>
      </c>
    </row>
    <row r="486" spans="2:53" ht="15" customHeight="1" x14ac:dyDescent="0.25">
      <c r="B486" s="5" t="str">
        <f t="shared" si="92"/>
        <v/>
      </c>
      <c r="C486" s="5"/>
      <c r="D486" s="5"/>
      <c r="E486" s="5"/>
      <c r="F486" s="6"/>
      <c r="G486" s="6"/>
      <c r="H486" s="7"/>
      <c r="I486" s="8"/>
      <c r="W486" s="28" t="str">
        <f>IF(X486="","",IFERROR(INDEX($AL$11:$AL$4010,MATCH(476,$AY$11:$AY$4010,0)),""))</f>
        <v/>
      </c>
      <c r="X486" s="26" t="str">
        <f>IFERROR(INDEX($AM$11:$AM$4010,MATCH(476,$AY$11:$AY$4010,0)),"")</f>
        <v/>
      </c>
      <c r="Y486" s="25" t="str">
        <f>IF(X486="","",IFERROR(INDEX($AN$11:$AN$4010,MATCH(476,$AY$11:$AY$4010,0)),""))</f>
        <v/>
      </c>
      <c r="Z486" s="25" t="str">
        <f>IF(X486="","",IFERROR(INDEX($AO$11:$AO$4010,MATCH(476,$AY$11:$AY$4010,0)),""))</f>
        <v/>
      </c>
      <c r="AA486" s="24" t="str">
        <f>IF(X486="","",IFERROR(INDEX($AQ$11:$AQ$4010,MATCH(476,$AY$11:$AY$4010,0)),""))</f>
        <v/>
      </c>
      <c r="AB486" s="29" t="str">
        <f>IF(X486="","",IFERROR(INDEX($AR$11:$AR$4010,MATCH(476,$AY$11:$AY$4010,0)),""))</f>
        <v/>
      </c>
      <c r="AD486" s="30" t="str">
        <f>IF(AE486="","",IFERROR(INDEX($AL$11:$AL$4010,MATCH(476,$AZ$11:$AZ$4010,0)),""))</f>
        <v/>
      </c>
      <c r="AE486" s="26" t="str">
        <f>IFERROR(INDEX($AM$11:$AM$4010,MATCH(476,$AZ$11:$AZ$4010,0)),"")</f>
        <v/>
      </c>
      <c r="AF486" s="25" t="str">
        <f>IF(AE486="","",IFERROR(INDEX($AN$11:$AN$4010,MATCH(476,$AZ$11:$AZ$4010,0)),""))</f>
        <v/>
      </c>
      <c r="AG486" s="25" t="str">
        <f>IF(AE486="","",IFERROR(INDEX($AO$11:$AO$4010,MATCH(476,$AZ$11:$AZ$4010,0)),""))</f>
        <v/>
      </c>
      <c r="AH486" s="24" t="str">
        <f>IF(AE486="","",IFERROR(INDEX($AQ$11:$AQ$4010,MATCH(476,$AZ$11:$AZ$4010,0)),""))</f>
        <v/>
      </c>
      <c r="AI486" s="29" t="str">
        <f>IF(AE486="","",IFERROR(INDEX($AR$11:$AR$4010,MATCH(476,$AZ$11:$AZ$4010,0)),""))</f>
        <v/>
      </c>
      <c r="AJ486" s="29" t="str">
        <f>IF(AE486="","",IFERROR(INDEX($AT$11:$AT$4010,MATCH(476,$AZ$11:$AZ$4010,0)),""))</f>
        <v/>
      </c>
      <c r="AL486" s="31" t="str">
        <f t="shared" si="93"/>
        <v/>
      </c>
      <c r="AM486" s="26" t="str">
        <f t="shared" si="94"/>
        <v/>
      </c>
      <c r="AN486" s="32" t="str">
        <f t="shared" si="95"/>
        <v/>
      </c>
      <c r="AO486" s="32" t="str">
        <f t="shared" si="96"/>
        <v/>
      </c>
      <c r="AP486" s="24" t="str">
        <f t="shared" si="97"/>
        <v/>
      </c>
      <c r="AQ486" s="24" t="str">
        <f t="shared" si="98"/>
        <v/>
      </c>
      <c r="AR486" s="33" t="str">
        <f t="shared" si="99"/>
        <v/>
      </c>
      <c r="AS486" s="34"/>
      <c r="AT486" s="33"/>
      <c r="AV486" s="21">
        <f>IF(AND($AL486&lt;&gt;"",COUNTIF($AL$11:$AL486,$AL486)=1),1,0)</f>
        <v>0</v>
      </c>
      <c r="AW486" s="21">
        <f t="shared" si="101"/>
        <v>2</v>
      </c>
      <c r="AX486" s="21" t="str">
        <f t="shared" si="100"/>
        <v/>
      </c>
      <c r="AY486" s="21" t="str">
        <f>IF(AND($AM486&lt;&gt;"",$AS486&lt;&gt;"✓"),SUMPRODUCT(($AM$11:$AM486&lt;&gt;"")*($AS$11:$AS486&lt;&gt;"✓")),"")</f>
        <v/>
      </c>
      <c r="AZ486" s="21" t="str">
        <f>IF(AND($AM486&lt;&gt;"",$AS486="✓"),SUMPRODUCT(($AM$11:$AM486&lt;&gt;"")*($AS$11:$AS486="✓")),"")</f>
        <v/>
      </c>
      <c r="BA486" s="21" t="str">
        <f>IF($AL486="","",$AL486&amp;"|"&amp;COUNTIF($AL$11:$AL486,$AL486))</f>
        <v/>
      </c>
    </row>
    <row r="487" spans="2:53" ht="15" customHeight="1" x14ac:dyDescent="0.25">
      <c r="B487" s="5" t="str">
        <f t="shared" si="92"/>
        <v/>
      </c>
      <c r="C487" s="5"/>
      <c r="D487" s="5"/>
      <c r="E487" s="5"/>
      <c r="F487" s="6"/>
      <c r="G487" s="6"/>
      <c r="H487" s="7"/>
      <c r="I487" s="8"/>
      <c r="W487" s="14" t="str">
        <f>IF(X487="","",IFERROR(INDEX($AL$11:$AL$4010,MATCH(477,$AY$11:$AY$4010,0)),""))</f>
        <v/>
      </c>
      <c r="X487" s="12" t="str">
        <f>IFERROR(INDEX($AM$11:$AM$4010,MATCH(477,$AY$11:$AY$4010,0)),"")</f>
        <v/>
      </c>
      <c r="Y487" s="11" t="str">
        <f>IF(X487="","",IFERROR(INDEX($AN$11:$AN$4010,MATCH(477,$AY$11:$AY$4010,0)),""))</f>
        <v/>
      </c>
      <c r="Z487" s="11" t="str">
        <f>IF(X487="","",IFERROR(INDEX($AO$11:$AO$4010,MATCH(477,$AY$11:$AY$4010,0)),""))</f>
        <v/>
      </c>
      <c r="AA487" s="10" t="str">
        <f>IF(X487="","",IFERROR(INDEX($AQ$11:$AQ$4010,MATCH(477,$AY$11:$AY$4010,0)),""))</f>
        <v/>
      </c>
      <c r="AB487" s="15" t="str">
        <f>IF(X487="","",IFERROR(INDEX($AR$11:$AR$4010,MATCH(477,$AY$11:$AY$4010,0)),""))</f>
        <v/>
      </c>
      <c r="AD487" s="16" t="str">
        <f>IF(AE487="","",IFERROR(INDEX($AL$11:$AL$4010,MATCH(477,$AZ$11:$AZ$4010,0)),""))</f>
        <v/>
      </c>
      <c r="AE487" s="12" t="str">
        <f>IFERROR(INDEX($AM$11:$AM$4010,MATCH(477,$AZ$11:$AZ$4010,0)),"")</f>
        <v/>
      </c>
      <c r="AF487" s="11" t="str">
        <f>IF(AE487="","",IFERROR(INDEX($AN$11:$AN$4010,MATCH(477,$AZ$11:$AZ$4010,0)),""))</f>
        <v/>
      </c>
      <c r="AG487" s="11" t="str">
        <f>IF(AE487="","",IFERROR(INDEX($AO$11:$AO$4010,MATCH(477,$AZ$11:$AZ$4010,0)),""))</f>
        <v/>
      </c>
      <c r="AH487" s="10" t="str">
        <f>IF(AE487="","",IFERROR(INDEX($AQ$11:$AQ$4010,MATCH(477,$AZ$11:$AZ$4010,0)),""))</f>
        <v/>
      </c>
      <c r="AI487" s="15" t="str">
        <f>IF(AE487="","",IFERROR(INDEX($AR$11:$AR$4010,MATCH(477,$AZ$11:$AZ$4010,0)),""))</f>
        <v/>
      </c>
      <c r="AJ487" s="15" t="str">
        <f>IF(AE487="","",IFERROR(INDEX($AT$11:$AT$4010,MATCH(477,$AZ$11:$AZ$4010,0)),""))</f>
        <v/>
      </c>
      <c r="AL487" s="17" t="str">
        <f t="shared" si="93"/>
        <v/>
      </c>
      <c r="AM487" s="12" t="str">
        <f t="shared" si="94"/>
        <v/>
      </c>
      <c r="AN487" s="18" t="str">
        <f t="shared" si="95"/>
        <v/>
      </c>
      <c r="AO487" s="18" t="str">
        <f t="shared" si="96"/>
        <v/>
      </c>
      <c r="AP487" s="10" t="str">
        <f t="shared" si="97"/>
        <v/>
      </c>
      <c r="AQ487" s="10" t="str">
        <f t="shared" si="98"/>
        <v/>
      </c>
      <c r="AR487" s="19" t="str">
        <f t="shared" si="99"/>
        <v/>
      </c>
      <c r="AS487" s="20"/>
      <c r="AT487" s="19"/>
      <c r="AV487" s="21">
        <f>IF(AND($AL487&lt;&gt;"",COUNTIF($AL$11:$AL487,$AL487)=1),1,0)</f>
        <v>0</v>
      </c>
      <c r="AW487" s="21">
        <f t="shared" si="101"/>
        <v>2</v>
      </c>
      <c r="AX487" s="21" t="str">
        <f t="shared" si="100"/>
        <v/>
      </c>
      <c r="AY487" s="21" t="str">
        <f>IF(AND($AM487&lt;&gt;"",$AS487&lt;&gt;"✓"),SUMPRODUCT(($AM$11:$AM487&lt;&gt;"")*($AS$11:$AS487&lt;&gt;"✓")),"")</f>
        <v/>
      </c>
      <c r="AZ487" s="21" t="str">
        <f>IF(AND($AM487&lt;&gt;"",$AS487="✓"),SUMPRODUCT(($AM$11:$AM487&lt;&gt;"")*($AS$11:$AS487="✓")),"")</f>
        <v/>
      </c>
      <c r="BA487" s="21" t="str">
        <f>IF($AL487="","",$AL487&amp;"|"&amp;COUNTIF($AL$11:$AL487,$AL487))</f>
        <v/>
      </c>
    </row>
    <row r="488" spans="2:53" ht="15" customHeight="1" x14ac:dyDescent="0.25">
      <c r="B488" s="5" t="str">
        <f t="shared" si="92"/>
        <v/>
      </c>
      <c r="C488" s="5"/>
      <c r="D488" s="5"/>
      <c r="E488" s="5"/>
      <c r="F488" s="6"/>
      <c r="G488" s="6"/>
      <c r="H488" s="7"/>
      <c r="I488" s="8"/>
      <c r="W488" s="28" t="str">
        <f>IF(X488="","",IFERROR(INDEX($AL$11:$AL$4010,MATCH(478,$AY$11:$AY$4010,0)),""))</f>
        <v/>
      </c>
      <c r="X488" s="26" t="str">
        <f>IFERROR(INDEX($AM$11:$AM$4010,MATCH(478,$AY$11:$AY$4010,0)),"")</f>
        <v/>
      </c>
      <c r="Y488" s="25" t="str">
        <f>IF(X488="","",IFERROR(INDEX($AN$11:$AN$4010,MATCH(478,$AY$11:$AY$4010,0)),""))</f>
        <v/>
      </c>
      <c r="Z488" s="25" t="str">
        <f>IF(X488="","",IFERROR(INDEX($AO$11:$AO$4010,MATCH(478,$AY$11:$AY$4010,0)),""))</f>
        <v/>
      </c>
      <c r="AA488" s="24" t="str">
        <f>IF(X488="","",IFERROR(INDEX($AQ$11:$AQ$4010,MATCH(478,$AY$11:$AY$4010,0)),""))</f>
        <v/>
      </c>
      <c r="AB488" s="29" t="str">
        <f>IF(X488="","",IFERROR(INDEX($AR$11:$AR$4010,MATCH(478,$AY$11:$AY$4010,0)),""))</f>
        <v/>
      </c>
      <c r="AD488" s="30" t="str">
        <f>IF(AE488="","",IFERROR(INDEX($AL$11:$AL$4010,MATCH(478,$AZ$11:$AZ$4010,0)),""))</f>
        <v/>
      </c>
      <c r="AE488" s="26" t="str">
        <f>IFERROR(INDEX($AM$11:$AM$4010,MATCH(478,$AZ$11:$AZ$4010,0)),"")</f>
        <v/>
      </c>
      <c r="AF488" s="25" t="str">
        <f>IF(AE488="","",IFERROR(INDEX($AN$11:$AN$4010,MATCH(478,$AZ$11:$AZ$4010,0)),""))</f>
        <v/>
      </c>
      <c r="AG488" s="25" t="str">
        <f>IF(AE488="","",IFERROR(INDEX($AO$11:$AO$4010,MATCH(478,$AZ$11:$AZ$4010,0)),""))</f>
        <v/>
      </c>
      <c r="AH488" s="24" t="str">
        <f>IF(AE488="","",IFERROR(INDEX($AQ$11:$AQ$4010,MATCH(478,$AZ$11:$AZ$4010,0)),""))</f>
        <v/>
      </c>
      <c r="AI488" s="29" t="str">
        <f>IF(AE488="","",IFERROR(INDEX($AR$11:$AR$4010,MATCH(478,$AZ$11:$AZ$4010,0)),""))</f>
        <v/>
      </c>
      <c r="AJ488" s="29" t="str">
        <f>IF(AE488="","",IFERROR(INDEX($AT$11:$AT$4010,MATCH(478,$AZ$11:$AZ$4010,0)),""))</f>
        <v/>
      </c>
      <c r="AL488" s="31" t="str">
        <f t="shared" si="93"/>
        <v/>
      </c>
      <c r="AM488" s="26" t="str">
        <f t="shared" si="94"/>
        <v/>
      </c>
      <c r="AN488" s="32" t="str">
        <f t="shared" si="95"/>
        <v/>
      </c>
      <c r="AO488" s="32" t="str">
        <f t="shared" si="96"/>
        <v/>
      </c>
      <c r="AP488" s="24" t="str">
        <f t="shared" si="97"/>
        <v/>
      </c>
      <c r="AQ488" s="24" t="str">
        <f t="shared" si="98"/>
        <v/>
      </c>
      <c r="AR488" s="33" t="str">
        <f t="shared" si="99"/>
        <v/>
      </c>
      <c r="AS488" s="34"/>
      <c r="AT488" s="33"/>
      <c r="AV488" s="21">
        <f>IF(AND($AL488&lt;&gt;"",COUNTIF($AL$11:$AL488,$AL488)=1),1,0)</f>
        <v>0</v>
      </c>
      <c r="AW488" s="21">
        <f t="shared" si="101"/>
        <v>2</v>
      </c>
      <c r="AX488" s="21" t="str">
        <f t="shared" si="100"/>
        <v/>
      </c>
      <c r="AY488" s="21" t="str">
        <f>IF(AND($AM488&lt;&gt;"",$AS488&lt;&gt;"✓"),SUMPRODUCT(($AM$11:$AM488&lt;&gt;"")*($AS$11:$AS488&lt;&gt;"✓")),"")</f>
        <v/>
      </c>
      <c r="AZ488" s="21" t="str">
        <f>IF(AND($AM488&lt;&gt;"",$AS488="✓"),SUMPRODUCT(($AM$11:$AM488&lt;&gt;"")*($AS$11:$AS488="✓")),"")</f>
        <v/>
      </c>
      <c r="BA488" s="21" t="str">
        <f>IF($AL488="","",$AL488&amp;"|"&amp;COUNTIF($AL$11:$AL488,$AL488))</f>
        <v/>
      </c>
    </row>
    <row r="489" spans="2:53" ht="15" customHeight="1" x14ac:dyDescent="0.25">
      <c r="B489" s="5" t="str">
        <f t="shared" si="92"/>
        <v/>
      </c>
      <c r="C489" s="5"/>
      <c r="D489" s="5"/>
      <c r="E489" s="5"/>
      <c r="F489" s="6"/>
      <c r="G489" s="6"/>
      <c r="H489" s="7"/>
      <c r="I489" s="8"/>
      <c r="W489" s="14" t="str">
        <f>IF(X489="","",IFERROR(INDEX($AL$11:$AL$4010,MATCH(479,$AY$11:$AY$4010,0)),""))</f>
        <v/>
      </c>
      <c r="X489" s="12" t="str">
        <f>IFERROR(INDEX($AM$11:$AM$4010,MATCH(479,$AY$11:$AY$4010,0)),"")</f>
        <v/>
      </c>
      <c r="Y489" s="11" t="str">
        <f>IF(X489="","",IFERROR(INDEX($AN$11:$AN$4010,MATCH(479,$AY$11:$AY$4010,0)),""))</f>
        <v/>
      </c>
      <c r="Z489" s="11" t="str">
        <f>IF(X489="","",IFERROR(INDEX($AO$11:$AO$4010,MATCH(479,$AY$11:$AY$4010,0)),""))</f>
        <v/>
      </c>
      <c r="AA489" s="10" t="str">
        <f>IF(X489="","",IFERROR(INDEX($AQ$11:$AQ$4010,MATCH(479,$AY$11:$AY$4010,0)),""))</f>
        <v/>
      </c>
      <c r="AB489" s="15" t="str">
        <f>IF(X489="","",IFERROR(INDEX($AR$11:$AR$4010,MATCH(479,$AY$11:$AY$4010,0)),""))</f>
        <v/>
      </c>
      <c r="AD489" s="16" t="str">
        <f>IF(AE489="","",IFERROR(INDEX($AL$11:$AL$4010,MATCH(479,$AZ$11:$AZ$4010,0)),""))</f>
        <v/>
      </c>
      <c r="AE489" s="12" t="str">
        <f>IFERROR(INDEX($AM$11:$AM$4010,MATCH(479,$AZ$11:$AZ$4010,0)),"")</f>
        <v/>
      </c>
      <c r="AF489" s="11" t="str">
        <f>IF(AE489="","",IFERROR(INDEX($AN$11:$AN$4010,MATCH(479,$AZ$11:$AZ$4010,0)),""))</f>
        <v/>
      </c>
      <c r="AG489" s="11" t="str">
        <f>IF(AE489="","",IFERROR(INDEX($AO$11:$AO$4010,MATCH(479,$AZ$11:$AZ$4010,0)),""))</f>
        <v/>
      </c>
      <c r="AH489" s="10" t="str">
        <f>IF(AE489="","",IFERROR(INDEX($AQ$11:$AQ$4010,MATCH(479,$AZ$11:$AZ$4010,0)),""))</f>
        <v/>
      </c>
      <c r="AI489" s="15" t="str">
        <f>IF(AE489="","",IFERROR(INDEX($AR$11:$AR$4010,MATCH(479,$AZ$11:$AZ$4010,0)),""))</f>
        <v/>
      </c>
      <c r="AJ489" s="15" t="str">
        <f>IF(AE489="","",IFERROR(INDEX($AT$11:$AT$4010,MATCH(479,$AZ$11:$AZ$4010,0)),""))</f>
        <v/>
      </c>
      <c r="AL489" s="17" t="str">
        <f t="shared" si="93"/>
        <v/>
      </c>
      <c r="AM489" s="12" t="str">
        <f t="shared" si="94"/>
        <v/>
      </c>
      <c r="AN489" s="18" t="str">
        <f t="shared" si="95"/>
        <v/>
      </c>
      <c r="AO489" s="18" t="str">
        <f t="shared" si="96"/>
        <v/>
      </c>
      <c r="AP489" s="10" t="str">
        <f t="shared" si="97"/>
        <v/>
      </c>
      <c r="AQ489" s="10" t="str">
        <f t="shared" si="98"/>
        <v/>
      </c>
      <c r="AR489" s="19" t="str">
        <f t="shared" si="99"/>
        <v/>
      </c>
      <c r="AS489" s="20"/>
      <c r="AT489" s="19"/>
      <c r="AV489" s="21">
        <f>IF(AND($AL489&lt;&gt;"",COUNTIF($AL$11:$AL489,$AL489)=1),1,0)</f>
        <v>0</v>
      </c>
      <c r="AW489" s="21">
        <f t="shared" si="101"/>
        <v>2</v>
      </c>
      <c r="AX489" s="21" t="str">
        <f t="shared" si="100"/>
        <v/>
      </c>
      <c r="AY489" s="21" t="str">
        <f>IF(AND($AM489&lt;&gt;"",$AS489&lt;&gt;"✓"),SUMPRODUCT(($AM$11:$AM489&lt;&gt;"")*($AS$11:$AS489&lt;&gt;"✓")),"")</f>
        <v/>
      </c>
      <c r="AZ489" s="21" t="str">
        <f>IF(AND($AM489&lt;&gt;"",$AS489="✓"),SUMPRODUCT(($AM$11:$AM489&lt;&gt;"")*($AS$11:$AS489="✓")),"")</f>
        <v/>
      </c>
      <c r="BA489" s="21" t="str">
        <f>IF($AL489="","",$AL489&amp;"|"&amp;COUNTIF($AL$11:$AL489,$AL489))</f>
        <v/>
      </c>
    </row>
    <row r="490" spans="2:53" ht="15" customHeight="1" x14ac:dyDescent="0.25">
      <c r="B490" s="5" t="str">
        <f t="shared" si="92"/>
        <v/>
      </c>
      <c r="C490" s="5"/>
      <c r="D490" s="5"/>
      <c r="E490" s="5"/>
      <c r="F490" s="6"/>
      <c r="G490" s="6"/>
      <c r="H490" s="7"/>
      <c r="I490" s="8"/>
      <c r="W490" s="28" t="str">
        <f>IF(X490="","",IFERROR(INDEX($AL$11:$AL$4010,MATCH(480,$AY$11:$AY$4010,0)),""))</f>
        <v/>
      </c>
      <c r="X490" s="26" t="str">
        <f>IFERROR(INDEX($AM$11:$AM$4010,MATCH(480,$AY$11:$AY$4010,0)),"")</f>
        <v/>
      </c>
      <c r="Y490" s="25" t="str">
        <f>IF(X490="","",IFERROR(INDEX($AN$11:$AN$4010,MATCH(480,$AY$11:$AY$4010,0)),""))</f>
        <v/>
      </c>
      <c r="Z490" s="25" t="str">
        <f>IF(X490="","",IFERROR(INDEX($AO$11:$AO$4010,MATCH(480,$AY$11:$AY$4010,0)),""))</f>
        <v/>
      </c>
      <c r="AA490" s="24" t="str">
        <f>IF(X490="","",IFERROR(INDEX($AQ$11:$AQ$4010,MATCH(480,$AY$11:$AY$4010,0)),""))</f>
        <v/>
      </c>
      <c r="AB490" s="29" t="str">
        <f>IF(X490="","",IFERROR(INDEX($AR$11:$AR$4010,MATCH(480,$AY$11:$AY$4010,0)),""))</f>
        <v/>
      </c>
      <c r="AD490" s="30" t="str">
        <f>IF(AE490="","",IFERROR(INDEX($AL$11:$AL$4010,MATCH(480,$AZ$11:$AZ$4010,0)),""))</f>
        <v/>
      </c>
      <c r="AE490" s="26" t="str">
        <f>IFERROR(INDEX($AM$11:$AM$4010,MATCH(480,$AZ$11:$AZ$4010,0)),"")</f>
        <v/>
      </c>
      <c r="AF490" s="25" t="str">
        <f>IF(AE490="","",IFERROR(INDEX($AN$11:$AN$4010,MATCH(480,$AZ$11:$AZ$4010,0)),""))</f>
        <v/>
      </c>
      <c r="AG490" s="25" t="str">
        <f>IF(AE490="","",IFERROR(INDEX($AO$11:$AO$4010,MATCH(480,$AZ$11:$AZ$4010,0)),""))</f>
        <v/>
      </c>
      <c r="AH490" s="24" t="str">
        <f>IF(AE490="","",IFERROR(INDEX($AQ$11:$AQ$4010,MATCH(480,$AZ$11:$AZ$4010,0)),""))</f>
        <v/>
      </c>
      <c r="AI490" s="29" t="str">
        <f>IF(AE490="","",IFERROR(INDEX($AR$11:$AR$4010,MATCH(480,$AZ$11:$AZ$4010,0)),""))</f>
        <v/>
      </c>
      <c r="AJ490" s="29" t="str">
        <f>IF(AE490="","",IFERROR(INDEX($AT$11:$AT$4010,MATCH(480,$AZ$11:$AZ$4010,0)),""))</f>
        <v/>
      </c>
      <c r="AL490" s="31" t="str">
        <f t="shared" si="93"/>
        <v/>
      </c>
      <c r="AM490" s="26" t="str">
        <f t="shared" si="94"/>
        <v/>
      </c>
      <c r="AN490" s="32" t="str">
        <f t="shared" si="95"/>
        <v/>
      </c>
      <c r="AO490" s="32" t="str">
        <f t="shared" si="96"/>
        <v/>
      </c>
      <c r="AP490" s="24" t="str">
        <f t="shared" si="97"/>
        <v/>
      </c>
      <c r="AQ490" s="24" t="str">
        <f t="shared" si="98"/>
        <v/>
      </c>
      <c r="AR490" s="33" t="str">
        <f t="shared" si="99"/>
        <v/>
      </c>
      <c r="AS490" s="34"/>
      <c r="AT490" s="33"/>
      <c r="AV490" s="21">
        <f>IF(AND($AL490&lt;&gt;"",COUNTIF($AL$11:$AL490,$AL490)=1),1,0)</f>
        <v>0</v>
      </c>
      <c r="AW490" s="21">
        <f t="shared" si="101"/>
        <v>2</v>
      </c>
      <c r="AX490" s="21" t="str">
        <f t="shared" si="100"/>
        <v/>
      </c>
      <c r="AY490" s="21" t="str">
        <f>IF(AND($AM490&lt;&gt;"",$AS490&lt;&gt;"✓"),SUMPRODUCT(($AM$11:$AM490&lt;&gt;"")*($AS$11:$AS490&lt;&gt;"✓")),"")</f>
        <v/>
      </c>
      <c r="AZ490" s="21" t="str">
        <f>IF(AND($AM490&lt;&gt;"",$AS490="✓"),SUMPRODUCT(($AM$11:$AM490&lt;&gt;"")*($AS$11:$AS490="✓")),"")</f>
        <v/>
      </c>
      <c r="BA490" s="21" t="str">
        <f>IF($AL490="","",$AL490&amp;"|"&amp;COUNTIF($AL$11:$AL490,$AL490))</f>
        <v/>
      </c>
    </row>
    <row r="491" spans="2:53" ht="15" customHeight="1" x14ac:dyDescent="0.25">
      <c r="B491" s="5" t="str">
        <f t="shared" si="92"/>
        <v/>
      </c>
      <c r="C491" s="5"/>
      <c r="D491" s="5"/>
      <c r="E491" s="5"/>
      <c r="F491" s="6"/>
      <c r="G491" s="6"/>
      <c r="H491" s="7"/>
      <c r="I491" s="8"/>
      <c r="W491" s="14" t="str">
        <f>IF(X491="","",IFERROR(INDEX($AL$11:$AL$4010,MATCH(481,$AY$11:$AY$4010,0)),""))</f>
        <v/>
      </c>
      <c r="X491" s="12" t="str">
        <f>IFERROR(INDEX($AM$11:$AM$4010,MATCH(481,$AY$11:$AY$4010,0)),"")</f>
        <v/>
      </c>
      <c r="Y491" s="11" t="str">
        <f>IF(X491="","",IFERROR(INDEX($AN$11:$AN$4010,MATCH(481,$AY$11:$AY$4010,0)),""))</f>
        <v/>
      </c>
      <c r="Z491" s="11" t="str">
        <f>IF(X491="","",IFERROR(INDEX($AO$11:$AO$4010,MATCH(481,$AY$11:$AY$4010,0)),""))</f>
        <v/>
      </c>
      <c r="AA491" s="10" t="str">
        <f>IF(X491="","",IFERROR(INDEX($AQ$11:$AQ$4010,MATCH(481,$AY$11:$AY$4010,0)),""))</f>
        <v/>
      </c>
      <c r="AB491" s="15" t="str">
        <f>IF(X491="","",IFERROR(INDEX($AR$11:$AR$4010,MATCH(481,$AY$11:$AY$4010,0)),""))</f>
        <v/>
      </c>
      <c r="AD491" s="16" t="str">
        <f>IF(AE491="","",IFERROR(INDEX($AL$11:$AL$4010,MATCH(481,$AZ$11:$AZ$4010,0)),""))</f>
        <v/>
      </c>
      <c r="AE491" s="12" t="str">
        <f>IFERROR(INDEX($AM$11:$AM$4010,MATCH(481,$AZ$11:$AZ$4010,0)),"")</f>
        <v/>
      </c>
      <c r="AF491" s="11" t="str">
        <f>IF(AE491="","",IFERROR(INDEX($AN$11:$AN$4010,MATCH(481,$AZ$11:$AZ$4010,0)),""))</f>
        <v/>
      </c>
      <c r="AG491" s="11" t="str">
        <f>IF(AE491="","",IFERROR(INDEX($AO$11:$AO$4010,MATCH(481,$AZ$11:$AZ$4010,0)),""))</f>
        <v/>
      </c>
      <c r="AH491" s="10" t="str">
        <f>IF(AE491="","",IFERROR(INDEX($AQ$11:$AQ$4010,MATCH(481,$AZ$11:$AZ$4010,0)),""))</f>
        <v/>
      </c>
      <c r="AI491" s="15" t="str">
        <f>IF(AE491="","",IFERROR(INDEX($AR$11:$AR$4010,MATCH(481,$AZ$11:$AZ$4010,0)),""))</f>
        <v/>
      </c>
      <c r="AJ491" s="15" t="str">
        <f>IF(AE491="","",IFERROR(INDEX($AT$11:$AT$4010,MATCH(481,$AZ$11:$AZ$4010,0)),""))</f>
        <v/>
      </c>
      <c r="AL491" s="17" t="str">
        <f t="shared" si="93"/>
        <v/>
      </c>
      <c r="AM491" s="12" t="str">
        <f t="shared" si="94"/>
        <v/>
      </c>
      <c r="AN491" s="18" t="str">
        <f t="shared" si="95"/>
        <v/>
      </c>
      <c r="AO491" s="18" t="str">
        <f t="shared" si="96"/>
        <v/>
      </c>
      <c r="AP491" s="10" t="str">
        <f t="shared" si="97"/>
        <v/>
      </c>
      <c r="AQ491" s="10" t="str">
        <f t="shared" si="98"/>
        <v/>
      </c>
      <c r="AR491" s="19" t="str">
        <f t="shared" si="99"/>
        <v/>
      </c>
      <c r="AS491" s="20"/>
      <c r="AT491" s="19"/>
      <c r="AV491" s="21">
        <f>IF(AND($AL491&lt;&gt;"",COUNTIF($AL$11:$AL491,$AL491)=1),1,0)</f>
        <v>0</v>
      </c>
      <c r="AW491" s="21">
        <f t="shared" si="101"/>
        <v>2</v>
      </c>
      <c r="AX491" s="21" t="str">
        <f t="shared" si="100"/>
        <v/>
      </c>
      <c r="AY491" s="21" t="str">
        <f>IF(AND($AM491&lt;&gt;"",$AS491&lt;&gt;"✓"),SUMPRODUCT(($AM$11:$AM491&lt;&gt;"")*($AS$11:$AS491&lt;&gt;"✓")),"")</f>
        <v/>
      </c>
      <c r="AZ491" s="21" t="str">
        <f>IF(AND($AM491&lt;&gt;"",$AS491="✓"),SUMPRODUCT(($AM$11:$AM491&lt;&gt;"")*($AS$11:$AS491="✓")),"")</f>
        <v/>
      </c>
      <c r="BA491" s="21" t="str">
        <f>IF($AL491="","",$AL491&amp;"|"&amp;COUNTIF($AL$11:$AL491,$AL491))</f>
        <v/>
      </c>
    </row>
    <row r="492" spans="2:53" ht="15" customHeight="1" x14ac:dyDescent="0.25">
      <c r="B492" s="5" t="str">
        <f t="shared" si="92"/>
        <v/>
      </c>
      <c r="C492" s="5"/>
      <c r="D492" s="5"/>
      <c r="E492" s="5"/>
      <c r="F492" s="6"/>
      <c r="G492" s="6"/>
      <c r="H492" s="7"/>
      <c r="I492" s="8"/>
      <c r="W492" s="28" t="str">
        <f>IF(X492="","",IFERROR(INDEX($AL$11:$AL$4010,MATCH(482,$AY$11:$AY$4010,0)),""))</f>
        <v/>
      </c>
      <c r="X492" s="26" t="str">
        <f>IFERROR(INDEX($AM$11:$AM$4010,MATCH(482,$AY$11:$AY$4010,0)),"")</f>
        <v/>
      </c>
      <c r="Y492" s="25" t="str">
        <f>IF(X492="","",IFERROR(INDEX($AN$11:$AN$4010,MATCH(482,$AY$11:$AY$4010,0)),""))</f>
        <v/>
      </c>
      <c r="Z492" s="25" t="str">
        <f>IF(X492="","",IFERROR(INDEX($AO$11:$AO$4010,MATCH(482,$AY$11:$AY$4010,0)),""))</f>
        <v/>
      </c>
      <c r="AA492" s="24" t="str">
        <f>IF(X492="","",IFERROR(INDEX($AQ$11:$AQ$4010,MATCH(482,$AY$11:$AY$4010,0)),""))</f>
        <v/>
      </c>
      <c r="AB492" s="29" t="str">
        <f>IF(X492="","",IFERROR(INDEX($AR$11:$AR$4010,MATCH(482,$AY$11:$AY$4010,0)),""))</f>
        <v/>
      </c>
      <c r="AD492" s="30" t="str">
        <f>IF(AE492="","",IFERROR(INDEX($AL$11:$AL$4010,MATCH(482,$AZ$11:$AZ$4010,0)),""))</f>
        <v/>
      </c>
      <c r="AE492" s="26" t="str">
        <f>IFERROR(INDEX($AM$11:$AM$4010,MATCH(482,$AZ$11:$AZ$4010,0)),"")</f>
        <v/>
      </c>
      <c r="AF492" s="25" t="str">
        <f>IF(AE492="","",IFERROR(INDEX($AN$11:$AN$4010,MATCH(482,$AZ$11:$AZ$4010,0)),""))</f>
        <v/>
      </c>
      <c r="AG492" s="25" t="str">
        <f>IF(AE492="","",IFERROR(INDEX($AO$11:$AO$4010,MATCH(482,$AZ$11:$AZ$4010,0)),""))</f>
        <v/>
      </c>
      <c r="AH492" s="24" t="str">
        <f>IF(AE492="","",IFERROR(INDEX($AQ$11:$AQ$4010,MATCH(482,$AZ$11:$AZ$4010,0)),""))</f>
        <v/>
      </c>
      <c r="AI492" s="29" t="str">
        <f>IF(AE492="","",IFERROR(INDEX($AR$11:$AR$4010,MATCH(482,$AZ$11:$AZ$4010,0)),""))</f>
        <v/>
      </c>
      <c r="AJ492" s="29" t="str">
        <f>IF(AE492="","",IFERROR(INDEX($AT$11:$AT$4010,MATCH(482,$AZ$11:$AZ$4010,0)),""))</f>
        <v/>
      </c>
      <c r="AL492" s="31" t="str">
        <f t="shared" si="93"/>
        <v/>
      </c>
      <c r="AM492" s="26" t="str">
        <f t="shared" si="94"/>
        <v/>
      </c>
      <c r="AN492" s="32" t="str">
        <f t="shared" si="95"/>
        <v/>
      </c>
      <c r="AO492" s="32" t="str">
        <f t="shared" si="96"/>
        <v/>
      </c>
      <c r="AP492" s="24" t="str">
        <f t="shared" si="97"/>
        <v/>
      </c>
      <c r="AQ492" s="24" t="str">
        <f t="shared" si="98"/>
        <v/>
      </c>
      <c r="AR492" s="33" t="str">
        <f t="shared" si="99"/>
        <v/>
      </c>
      <c r="AS492" s="34"/>
      <c r="AT492" s="33"/>
      <c r="AV492" s="21">
        <f>IF(AND($AL492&lt;&gt;"",COUNTIF($AL$11:$AL492,$AL492)=1),1,0)</f>
        <v>0</v>
      </c>
      <c r="AW492" s="21">
        <f t="shared" si="101"/>
        <v>2</v>
      </c>
      <c r="AX492" s="21" t="str">
        <f t="shared" si="100"/>
        <v/>
      </c>
      <c r="AY492" s="21" t="str">
        <f>IF(AND($AM492&lt;&gt;"",$AS492&lt;&gt;"✓"),SUMPRODUCT(($AM$11:$AM492&lt;&gt;"")*($AS$11:$AS492&lt;&gt;"✓")),"")</f>
        <v/>
      </c>
      <c r="AZ492" s="21" t="str">
        <f>IF(AND($AM492&lt;&gt;"",$AS492="✓"),SUMPRODUCT(($AM$11:$AM492&lt;&gt;"")*($AS$11:$AS492="✓")),"")</f>
        <v/>
      </c>
      <c r="BA492" s="21" t="str">
        <f>IF($AL492="","",$AL492&amp;"|"&amp;COUNTIF($AL$11:$AL492,$AL492))</f>
        <v/>
      </c>
    </row>
    <row r="493" spans="2:53" ht="15" customHeight="1" x14ac:dyDescent="0.25">
      <c r="B493" s="5" t="str">
        <f t="shared" si="92"/>
        <v/>
      </c>
      <c r="C493" s="5"/>
      <c r="D493" s="5"/>
      <c r="E493" s="5"/>
      <c r="F493" s="6"/>
      <c r="G493" s="6"/>
      <c r="H493" s="7"/>
      <c r="I493" s="8"/>
      <c r="W493" s="14" t="str">
        <f>IF(X493="","",IFERROR(INDEX($AL$11:$AL$4010,MATCH(483,$AY$11:$AY$4010,0)),""))</f>
        <v/>
      </c>
      <c r="X493" s="12" t="str">
        <f>IFERROR(INDEX($AM$11:$AM$4010,MATCH(483,$AY$11:$AY$4010,0)),"")</f>
        <v/>
      </c>
      <c r="Y493" s="11" t="str">
        <f>IF(X493="","",IFERROR(INDEX($AN$11:$AN$4010,MATCH(483,$AY$11:$AY$4010,0)),""))</f>
        <v/>
      </c>
      <c r="Z493" s="11" t="str">
        <f>IF(X493="","",IFERROR(INDEX($AO$11:$AO$4010,MATCH(483,$AY$11:$AY$4010,0)),""))</f>
        <v/>
      </c>
      <c r="AA493" s="10" t="str">
        <f>IF(X493="","",IFERROR(INDEX($AQ$11:$AQ$4010,MATCH(483,$AY$11:$AY$4010,0)),""))</f>
        <v/>
      </c>
      <c r="AB493" s="15" t="str">
        <f>IF(X493="","",IFERROR(INDEX($AR$11:$AR$4010,MATCH(483,$AY$11:$AY$4010,0)),""))</f>
        <v/>
      </c>
      <c r="AD493" s="16" t="str">
        <f>IF(AE493="","",IFERROR(INDEX($AL$11:$AL$4010,MATCH(483,$AZ$11:$AZ$4010,0)),""))</f>
        <v/>
      </c>
      <c r="AE493" s="12" t="str">
        <f>IFERROR(INDEX($AM$11:$AM$4010,MATCH(483,$AZ$11:$AZ$4010,0)),"")</f>
        <v/>
      </c>
      <c r="AF493" s="11" t="str">
        <f>IF(AE493="","",IFERROR(INDEX($AN$11:$AN$4010,MATCH(483,$AZ$11:$AZ$4010,0)),""))</f>
        <v/>
      </c>
      <c r="AG493" s="11" t="str">
        <f>IF(AE493="","",IFERROR(INDEX($AO$11:$AO$4010,MATCH(483,$AZ$11:$AZ$4010,0)),""))</f>
        <v/>
      </c>
      <c r="AH493" s="10" t="str">
        <f>IF(AE493="","",IFERROR(INDEX($AQ$11:$AQ$4010,MATCH(483,$AZ$11:$AZ$4010,0)),""))</f>
        <v/>
      </c>
      <c r="AI493" s="15" t="str">
        <f>IF(AE493="","",IFERROR(INDEX($AR$11:$AR$4010,MATCH(483,$AZ$11:$AZ$4010,0)),""))</f>
        <v/>
      </c>
      <c r="AJ493" s="15" t="str">
        <f>IF(AE493="","",IFERROR(INDEX($AT$11:$AT$4010,MATCH(483,$AZ$11:$AZ$4010,0)),""))</f>
        <v/>
      </c>
      <c r="AL493" s="17" t="str">
        <f t="shared" si="93"/>
        <v/>
      </c>
      <c r="AM493" s="12" t="str">
        <f t="shared" si="94"/>
        <v/>
      </c>
      <c r="AN493" s="18" t="str">
        <f t="shared" si="95"/>
        <v/>
      </c>
      <c r="AO493" s="18" t="str">
        <f t="shared" si="96"/>
        <v/>
      </c>
      <c r="AP493" s="10" t="str">
        <f t="shared" si="97"/>
        <v/>
      </c>
      <c r="AQ493" s="10" t="str">
        <f t="shared" si="98"/>
        <v/>
      </c>
      <c r="AR493" s="19" t="str">
        <f t="shared" si="99"/>
        <v/>
      </c>
      <c r="AS493" s="20"/>
      <c r="AT493" s="19"/>
      <c r="AV493" s="21">
        <f>IF(AND($AL493&lt;&gt;"",COUNTIF($AL$11:$AL493,$AL493)=1),1,0)</f>
        <v>0</v>
      </c>
      <c r="AW493" s="21">
        <f t="shared" si="101"/>
        <v>2</v>
      </c>
      <c r="AX493" s="21" t="str">
        <f t="shared" si="100"/>
        <v/>
      </c>
      <c r="AY493" s="21" t="str">
        <f>IF(AND($AM493&lt;&gt;"",$AS493&lt;&gt;"✓"),SUMPRODUCT(($AM$11:$AM493&lt;&gt;"")*($AS$11:$AS493&lt;&gt;"✓")),"")</f>
        <v/>
      </c>
      <c r="AZ493" s="21" t="str">
        <f>IF(AND($AM493&lt;&gt;"",$AS493="✓"),SUMPRODUCT(($AM$11:$AM493&lt;&gt;"")*($AS$11:$AS493="✓")),"")</f>
        <v/>
      </c>
      <c r="BA493" s="21" t="str">
        <f>IF($AL493="","",$AL493&amp;"|"&amp;COUNTIF($AL$11:$AL493,$AL493))</f>
        <v/>
      </c>
    </row>
    <row r="494" spans="2:53" ht="15" customHeight="1" x14ac:dyDescent="0.25">
      <c r="B494" s="5" t="str">
        <f t="shared" si="92"/>
        <v/>
      </c>
      <c r="C494" s="5"/>
      <c r="D494" s="5"/>
      <c r="E494" s="5"/>
      <c r="F494" s="6"/>
      <c r="G494" s="6"/>
      <c r="H494" s="7"/>
      <c r="I494" s="8"/>
      <c r="W494" s="28" t="str">
        <f>IF(X494="","",IFERROR(INDEX($AL$11:$AL$4010,MATCH(484,$AY$11:$AY$4010,0)),""))</f>
        <v/>
      </c>
      <c r="X494" s="26" t="str">
        <f>IFERROR(INDEX($AM$11:$AM$4010,MATCH(484,$AY$11:$AY$4010,0)),"")</f>
        <v/>
      </c>
      <c r="Y494" s="25" t="str">
        <f>IF(X494="","",IFERROR(INDEX($AN$11:$AN$4010,MATCH(484,$AY$11:$AY$4010,0)),""))</f>
        <v/>
      </c>
      <c r="Z494" s="25" t="str">
        <f>IF(X494="","",IFERROR(INDEX($AO$11:$AO$4010,MATCH(484,$AY$11:$AY$4010,0)),""))</f>
        <v/>
      </c>
      <c r="AA494" s="24" t="str">
        <f>IF(X494="","",IFERROR(INDEX($AQ$11:$AQ$4010,MATCH(484,$AY$11:$AY$4010,0)),""))</f>
        <v/>
      </c>
      <c r="AB494" s="29" t="str">
        <f>IF(X494="","",IFERROR(INDEX($AR$11:$AR$4010,MATCH(484,$AY$11:$AY$4010,0)),""))</f>
        <v/>
      </c>
      <c r="AD494" s="30" t="str">
        <f>IF(AE494="","",IFERROR(INDEX($AL$11:$AL$4010,MATCH(484,$AZ$11:$AZ$4010,0)),""))</f>
        <v/>
      </c>
      <c r="AE494" s="26" t="str">
        <f>IFERROR(INDEX($AM$11:$AM$4010,MATCH(484,$AZ$11:$AZ$4010,0)),"")</f>
        <v/>
      </c>
      <c r="AF494" s="25" t="str">
        <f>IF(AE494="","",IFERROR(INDEX($AN$11:$AN$4010,MATCH(484,$AZ$11:$AZ$4010,0)),""))</f>
        <v/>
      </c>
      <c r="AG494" s="25" t="str">
        <f>IF(AE494="","",IFERROR(INDEX($AO$11:$AO$4010,MATCH(484,$AZ$11:$AZ$4010,0)),""))</f>
        <v/>
      </c>
      <c r="AH494" s="24" t="str">
        <f>IF(AE494="","",IFERROR(INDEX($AQ$11:$AQ$4010,MATCH(484,$AZ$11:$AZ$4010,0)),""))</f>
        <v/>
      </c>
      <c r="AI494" s="29" t="str">
        <f>IF(AE494="","",IFERROR(INDEX($AR$11:$AR$4010,MATCH(484,$AZ$11:$AZ$4010,0)),""))</f>
        <v/>
      </c>
      <c r="AJ494" s="29" t="str">
        <f>IF(AE494="","",IFERROR(INDEX($AT$11:$AT$4010,MATCH(484,$AZ$11:$AZ$4010,0)),""))</f>
        <v/>
      </c>
      <c r="AL494" s="31" t="str">
        <f t="shared" si="93"/>
        <v/>
      </c>
      <c r="AM494" s="26" t="str">
        <f t="shared" si="94"/>
        <v/>
      </c>
      <c r="AN494" s="32" t="str">
        <f t="shared" si="95"/>
        <v/>
      </c>
      <c r="AO494" s="32" t="str">
        <f t="shared" si="96"/>
        <v/>
      </c>
      <c r="AP494" s="24" t="str">
        <f t="shared" si="97"/>
        <v/>
      </c>
      <c r="AQ494" s="24" t="str">
        <f t="shared" si="98"/>
        <v/>
      </c>
      <c r="AR494" s="33" t="str">
        <f t="shared" si="99"/>
        <v/>
      </c>
      <c r="AS494" s="34"/>
      <c r="AT494" s="33"/>
      <c r="AV494" s="21">
        <f>IF(AND($AL494&lt;&gt;"",COUNTIF($AL$11:$AL494,$AL494)=1),1,0)</f>
        <v>0</v>
      </c>
      <c r="AW494" s="21">
        <f t="shared" si="101"/>
        <v>2</v>
      </c>
      <c r="AX494" s="21" t="str">
        <f t="shared" si="100"/>
        <v/>
      </c>
      <c r="AY494" s="21" t="str">
        <f>IF(AND($AM494&lt;&gt;"",$AS494&lt;&gt;"✓"),SUMPRODUCT(($AM$11:$AM494&lt;&gt;"")*($AS$11:$AS494&lt;&gt;"✓")),"")</f>
        <v/>
      </c>
      <c r="AZ494" s="21" t="str">
        <f>IF(AND($AM494&lt;&gt;"",$AS494="✓"),SUMPRODUCT(($AM$11:$AM494&lt;&gt;"")*($AS$11:$AS494="✓")),"")</f>
        <v/>
      </c>
      <c r="BA494" s="21" t="str">
        <f>IF($AL494="","",$AL494&amp;"|"&amp;COUNTIF($AL$11:$AL494,$AL494))</f>
        <v/>
      </c>
    </row>
    <row r="495" spans="2:53" ht="15" customHeight="1" x14ac:dyDescent="0.25">
      <c r="B495" s="5" t="str">
        <f t="shared" si="92"/>
        <v/>
      </c>
      <c r="C495" s="5"/>
      <c r="D495" s="5"/>
      <c r="E495" s="5"/>
      <c r="F495" s="6"/>
      <c r="G495" s="6"/>
      <c r="H495" s="7"/>
      <c r="I495" s="8"/>
      <c r="W495" s="14" t="str">
        <f>IF(X495="","",IFERROR(INDEX($AL$11:$AL$4010,MATCH(485,$AY$11:$AY$4010,0)),""))</f>
        <v/>
      </c>
      <c r="X495" s="12" t="str">
        <f>IFERROR(INDEX($AM$11:$AM$4010,MATCH(485,$AY$11:$AY$4010,0)),"")</f>
        <v/>
      </c>
      <c r="Y495" s="11" t="str">
        <f>IF(X495="","",IFERROR(INDEX($AN$11:$AN$4010,MATCH(485,$AY$11:$AY$4010,0)),""))</f>
        <v/>
      </c>
      <c r="Z495" s="11" t="str">
        <f>IF(X495="","",IFERROR(INDEX($AO$11:$AO$4010,MATCH(485,$AY$11:$AY$4010,0)),""))</f>
        <v/>
      </c>
      <c r="AA495" s="10" t="str">
        <f>IF(X495="","",IFERROR(INDEX($AQ$11:$AQ$4010,MATCH(485,$AY$11:$AY$4010,0)),""))</f>
        <v/>
      </c>
      <c r="AB495" s="15" t="str">
        <f>IF(X495="","",IFERROR(INDEX($AR$11:$AR$4010,MATCH(485,$AY$11:$AY$4010,0)),""))</f>
        <v/>
      </c>
      <c r="AD495" s="16" t="str">
        <f>IF(AE495="","",IFERROR(INDEX($AL$11:$AL$4010,MATCH(485,$AZ$11:$AZ$4010,0)),""))</f>
        <v/>
      </c>
      <c r="AE495" s="12" t="str">
        <f>IFERROR(INDEX($AM$11:$AM$4010,MATCH(485,$AZ$11:$AZ$4010,0)),"")</f>
        <v/>
      </c>
      <c r="AF495" s="11" t="str">
        <f>IF(AE495="","",IFERROR(INDEX($AN$11:$AN$4010,MATCH(485,$AZ$11:$AZ$4010,0)),""))</f>
        <v/>
      </c>
      <c r="AG495" s="11" t="str">
        <f>IF(AE495="","",IFERROR(INDEX($AO$11:$AO$4010,MATCH(485,$AZ$11:$AZ$4010,0)),""))</f>
        <v/>
      </c>
      <c r="AH495" s="10" t="str">
        <f>IF(AE495="","",IFERROR(INDEX($AQ$11:$AQ$4010,MATCH(485,$AZ$11:$AZ$4010,0)),""))</f>
        <v/>
      </c>
      <c r="AI495" s="15" t="str">
        <f>IF(AE495="","",IFERROR(INDEX($AR$11:$AR$4010,MATCH(485,$AZ$11:$AZ$4010,0)),""))</f>
        <v/>
      </c>
      <c r="AJ495" s="15" t="str">
        <f>IF(AE495="","",IFERROR(INDEX($AT$11:$AT$4010,MATCH(485,$AZ$11:$AZ$4010,0)),""))</f>
        <v/>
      </c>
      <c r="AL495" s="17" t="str">
        <f t="shared" si="93"/>
        <v/>
      </c>
      <c r="AM495" s="12" t="str">
        <f t="shared" si="94"/>
        <v/>
      </c>
      <c r="AN495" s="18" t="str">
        <f t="shared" si="95"/>
        <v/>
      </c>
      <c r="AO495" s="18" t="str">
        <f t="shared" si="96"/>
        <v/>
      </c>
      <c r="AP495" s="10" t="str">
        <f t="shared" si="97"/>
        <v/>
      </c>
      <c r="AQ495" s="10" t="str">
        <f t="shared" si="98"/>
        <v/>
      </c>
      <c r="AR495" s="19" t="str">
        <f t="shared" si="99"/>
        <v/>
      </c>
      <c r="AS495" s="20"/>
      <c r="AT495" s="19"/>
      <c r="AV495" s="21">
        <f>IF(AND($AL495&lt;&gt;"",COUNTIF($AL$11:$AL495,$AL495)=1),1,0)</f>
        <v>0</v>
      </c>
      <c r="AW495" s="21">
        <f t="shared" si="101"/>
        <v>2</v>
      </c>
      <c r="AX495" s="21" t="str">
        <f t="shared" si="100"/>
        <v/>
      </c>
      <c r="AY495" s="21" t="str">
        <f>IF(AND($AM495&lt;&gt;"",$AS495&lt;&gt;"✓"),SUMPRODUCT(($AM$11:$AM495&lt;&gt;"")*($AS$11:$AS495&lt;&gt;"✓")),"")</f>
        <v/>
      </c>
      <c r="AZ495" s="21" t="str">
        <f>IF(AND($AM495&lt;&gt;"",$AS495="✓"),SUMPRODUCT(($AM$11:$AM495&lt;&gt;"")*($AS$11:$AS495="✓")),"")</f>
        <v/>
      </c>
      <c r="BA495" s="21" t="str">
        <f>IF($AL495="","",$AL495&amp;"|"&amp;COUNTIF($AL$11:$AL495,$AL495))</f>
        <v/>
      </c>
    </row>
    <row r="496" spans="2:53" ht="15" customHeight="1" x14ac:dyDescent="0.25">
      <c r="B496" s="5" t="str">
        <f t="shared" si="92"/>
        <v/>
      </c>
      <c r="C496" s="5"/>
      <c r="D496" s="5"/>
      <c r="E496" s="5"/>
      <c r="F496" s="6"/>
      <c r="G496" s="6"/>
      <c r="H496" s="7"/>
      <c r="I496" s="8"/>
      <c r="W496" s="28" t="str">
        <f>IF(X496="","",IFERROR(INDEX($AL$11:$AL$4010,MATCH(486,$AY$11:$AY$4010,0)),""))</f>
        <v/>
      </c>
      <c r="X496" s="26" t="str">
        <f>IFERROR(INDEX($AM$11:$AM$4010,MATCH(486,$AY$11:$AY$4010,0)),"")</f>
        <v/>
      </c>
      <c r="Y496" s="25" t="str">
        <f>IF(X496="","",IFERROR(INDEX($AN$11:$AN$4010,MATCH(486,$AY$11:$AY$4010,0)),""))</f>
        <v/>
      </c>
      <c r="Z496" s="25" t="str">
        <f>IF(X496="","",IFERROR(INDEX($AO$11:$AO$4010,MATCH(486,$AY$11:$AY$4010,0)),""))</f>
        <v/>
      </c>
      <c r="AA496" s="24" t="str">
        <f>IF(X496="","",IFERROR(INDEX($AQ$11:$AQ$4010,MATCH(486,$AY$11:$AY$4010,0)),""))</f>
        <v/>
      </c>
      <c r="AB496" s="29" t="str">
        <f>IF(X496="","",IFERROR(INDEX($AR$11:$AR$4010,MATCH(486,$AY$11:$AY$4010,0)),""))</f>
        <v/>
      </c>
      <c r="AD496" s="30" t="str">
        <f>IF(AE496="","",IFERROR(INDEX($AL$11:$AL$4010,MATCH(486,$AZ$11:$AZ$4010,0)),""))</f>
        <v/>
      </c>
      <c r="AE496" s="26" t="str">
        <f>IFERROR(INDEX($AM$11:$AM$4010,MATCH(486,$AZ$11:$AZ$4010,0)),"")</f>
        <v/>
      </c>
      <c r="AF496" s="25" t="str">
        <f>IF(AE496="","",IFERROR(INDEX($AN$11:$AN$4010,MATCH(486,$AZ$11:$AZ$4010,0)),""))</f>
        <v/>
      </c>
      <c r="AG496" s="25" t="str">
        <f>IF(AE496="","",IFERROR(INDEX($AO$11:$AO$4010,MATCH(486,$AZ$11:$AZ$4010,0)),""))</f>
        <v/>
      </c>
      <c r="AH496" s="24" t="str">
        <f>IF(AE496="","",IFERROR(INDEX($AQ$11:$AQ$4010,MATCH(486,$AZ$11:$AZ$4010,0)),""))</f>
        <v/>
      </c>
      <c r="AI496" s="29" t="str">
        <f>IF(AE496="","",IFERROR(INDEX($AR$11:$AR$4010,MATCH(486,$AZ$11:$AZ$4010,0)),""))</f>
        <v/>
      </c>
      <c r="AJ496" s="29" t="str">
        <f>IF(AE496="","",IFERROR(INDEX($AT$11:$AT$4010,MATCH(486,$AZ$11:$AZ$4010,0)),""))</f>
        <v/>
      </c>
      <c r="AL496" s="31" t="str">
        <f t="shared" si="93"/>
        <v/>
      </c>
      <c r="AM496" s="26" t="str">
        <f t="shared" si="94"/>
        <v/>
      </c>
      <c r="AN496" s="32" t="str">
        <f t="shared" si="95"/>
        <v/>
      </c>
      <c r="AO496" s="32" t="str">
        <f t="shared" si="96"/>
        <v/>
      </c>
      <c r="AP496" s="24" t="str">
        <f t="shared" si="97"/>
        <v/>
      </c>
      <c r="AQ496" s="24" t="str">
        <f t="shared" si="98"/>
        <v/>
      </c>
      <c r="AR496" s="33" t="str">
        <f t="shared" si="99"/>
        <v/>
      </c>
      <c r="AS496" s="34"/>
      <c r="AT496" s="33"/>
      <c r="AV496" s="21">
        <f>IF(AND($AL496&lt;&gt;"",COUNTIF($AL$11:$AL496,$AL496)=1),1,0)</f>
        <v>0</v>
      </c>
      <c r="AW496" s="21">
        <f t="shared" si="101"/>
        <v>2</v>
      </c>
      <c r="AX496" s="21" t="str">
        <f t="shared" si="100"/>
        <v/>
      </c>
      <c r="AY496" s="21" t="str">
        <f>IF(AND($AM496&lt;&gt;"",$AS496&lt;&gt;"✓"),SUMPRODUCT(($AM$11:$AM496&lt;&gt;"")*($AS$11:$AS496&lt;&gt;"✓")),"")</f>
        <v/>
      </c>
      <c r="AZ496" s="21" t="str">
        <f>IF(AND($AM496&lt;&gt;"",$AS496="✓"),SUMPRODUCT(($AM$11:$AM496&lt;&gt;"")*($AS$11:$AS496="✓")),"")</f>
        <v/>
      </c>
      <c r="BA496" s="21" t="str">
        <f>IF($AL496="","",$AL496&amp;"|"&amp;COUNTIF($AL$11:$AL496,$AL496))</f>
        <v/>
      </c>
    </row>
    <row r="497" spans="2:53" ht="15" customHeight="1" x14ac:dyDescent="0.25">
      <c r="B497" s="5" t="str">
        <f t="shared" si="92"/>
        <v/>
      </c>
      <c r="C497" s="5"/>
      <c r="D497" s="5"/>
      <c r="E497" s="5"/>
      <c r="F497" s="6"/>
      <c r="G497" s="6"/>
      <c r="H497" s="7"/>
      <c r="I497" s="8"/>
      <c r="W497" s="14" t="str">
        <f>IF(X497="","",IFERROR(INDEX($AL$11:$AL$4010,MATCH(487,$AY$11:$AY$4010,0)),""))</f>
        <v/>
      </c>
      <c r="X497" s="12" t="str">
        <f>IFERROR(INDEX($AM$11:$AM$4010,MATCH(487,$AY$11:$AY$4010,0)),"")</f>
        <v/>
      </c>
      <c r="Y497" s="11" t="str">
        <f>IF(X497="","",IFERROR(INDEX($AN$11:$AN$4010,MATCH(487,$AY$11:$AY$4010,0)),""))</f>
        <v/>
      </c>
      <c r="Z497" s="11" t="str">
        <f>IF(X497="","",IFERROR(INDEX($AO$11:$AO$4010,MATCH(487,$AY$11:$AY$4010,0)),""))</f>
        <v/>
      </c>
      <c r="AA497" s="10" t="str">
        <f>IF(X497="","",IFERROR(INDEX($AQ$11:$AQ$4010,MATCH(487,$AY$11:$AY$4010,0)),""))</f>
        <v/>
      </c>
      <c r="AB497" s="15" t="str">
        <f>IF(X497="","",IFERROR(INDEX($AR$11:$AR$4010,MATCH(487,$AY$11:$AY$4010,0)),""))</f>
        <v/>
      </c>
      <c r="AD497" s="16" t="str">
        <f>IF(AE497="","",IFERROR(INDEX($AL$11:$AL$4010,MATCH(487,$AZ$11:$AZ$4010,0)),""))</f>
        <v/>
      </c>
      <c r="AE497" s="12" t="str">
        <f>IFERROR(INDEX($AM$11:$AM$4010,MATCH(487,$AZ$11:$AZ$4010,0)),"")</f>
        <v/>
      </c>
      <c r="AF497" s="11" t="str">
        <f>IF(AE497="","",IFERROR(INDEX($AN$11:$AN$4010,MATCH(487,$AZ$11:$AZ$4010,0)),""))</f>
        <v/>
      </c>
      <c r="AG497" s="11" t="str">
        <f>IF(AE497="","",IFERROR(INDEX($AO$11:$AO$4010,MATCH(487,$AZ$11:$AZ$4010,0)),""))</f>
        <v/>
      </c>
      <c r="AH497" s="10" t="str">
        <f>IF(AE497="","",IFERROR(INDEX($AQ$11:$AQ$4010,MATCH(487,$AZ$11:$AZ$4010,0)),""))</f>
        <v/>
      </c>
      <c r="AI497" s="15" t="str">
        <f>IF(AE497="","",IFERROR(INDEX($AR$11:$AR$4010,MATCH(487,$AZ$11:$AZ$4010,0)),""))</f>
        <v/>
      </c>
      <c r="AJ497" s="15" t="str">
        <f>IF(AE497="","",IFERROR(INDEX($AT$11:$AT$4010,MATCH(487,$AZ$11:$AZ$4010,0)),""))</f>
        <v/>
      </c>
      <c r="AL497" s="17" t="str">
        <f t="shared" si="93"/>
        <v/>
      </c>
      <c r="AM497" s="12" t="str">
        <f t="shared" si="94"/>
        <v/>
      </c>
      <c r="AN497" s="18" t="str">
        <f t="shared" si="95"/>
        <v/>
      </c>
      <c r="AO497" s="18" t="str">
        <f t="shared" si="96"/>
        <v/>
      </c>
      <c r="AP497" s="10" t="str">
        <f t="shared" si="97"/>
        <v/>
      </c>
      <c r="AQ497" s="10" t="str">
        <f t="shared" si="98"/>
        <v/>
      </c>
      <c r="AR497" s="19" t="str">
        <f t="shared" si="99"/>
        <v/>
      </c>
      <c r="AS497" s="20"/>
      <c r="AT497" s="19"/>
      <c r="AV497" s="21">
        <f>IF(AND($AL497&lt;&gt;"",COUNTIF($AL$11:$AL497,$AL497)=1),1,0)</f>
        <v>0</v>
      </c>
      <c r="AW497" s="21">
        <f t="shared" si="101"/>
        <v>2</v>
      </c>
      <c r="AX497" s="21" t="str">
        <f t="shared" si="100"/>
        <v/>
      </c>
      <c r="AY497" s="21" t="str">
        <f>IF(AND($AM497&lt;&gt;"",$AS497&lt;&gt;"✓"),SUMPRODUCT(($AM$11:$AM497&lt;&gt;"")*($AS$11:$AS497&lt;&gt;"✓")),"")</f>
        <v/>
      </c>
      <c r="AZ497" s="21" t="str">
        <f>IF(AND($AM497&lt;&gt;"",$AS497="✓"),SUMPRODUCT(($AM$11:$AM497&lt;&gt;"")*($AS$11:$AS497="✓")),"")</f>
        <v/>
      </c>
      <c r="BA497" s="21" t="str">
        <f>IF($AL497="","",$AL497&amp;"|"&amp;COUNTIF($AL$11:$AL497,$AL497))</f>
        <v/>
      </c>
    </row>
    <row r="498" spans="2:53" ht="15" customHeight="1" x14ac:dyDescent="0.25">
      <c r="B498" s="5" t="str">
        <f t="shared" si="92"/>
        <v/>
      </c>
      <c r="C498" s="5"/>
      <c r="D498" s="5"/>
      <c r="E498" s="5"/>
      <c r="F498" s="6"/>
      <c r="G498" s="6"/>
      <c r="H498" s="7"/>
      <c r="I498" s="8"/>
      <c r="W498" s="28" t="str">
        <f>IF(X498="","",IFERROR(INDEX($AL$11:$AL$4010,MATCH(488,$AY$11:$AY$4010,0)),""))</f>
        <v/>
      </c>
      <c r="X498" s="26" t="str">
        <f>IFERROR(INDEX($AM$11:$AM$4010,MATCH(488,$AY$11:$AY$4010,0)),"")</f>
        <v/>
      </c>
      <c r="Y498" s="25" t="str">
        <f>IF(X498="","",IFERROR(INDEX($AN$11:$AN$4010,MATCH(488,$AY$11:$AY$4010,0)),""))</f>
        <v/>
      </c>
      <c r="Z498" s="25" t="str">
        <f>IF(X498="","",IFERROR(INDEX($AO$11:$AO$4010,MATCH(488,$AY$11:$AY$4010,0)),""))</f>
        <v/>
      </c>
      <c r="AA498" s="24" t="str">
        <f>IF(X498="","",IFERROR(INDEX($AQ$11:$AQ$4010,MATCH(488,$AY$11:$AY$4010,0)),""))</f>
        <v/>
      </c>
      <c r="AB498" s="29" t="str">
        <f>IF(X498="","",IFERROR(INDEX($AR$11:$AR$4010,MATCH(488,$AY$11:$AY$4010,0)),""))</f>
        <v/>
      </c>
      <c r="AD498" s="30" t="str">
        <f>IF(AE498="","",IFERROR(INDEX($AL$11:$AL$4010,MATCH(488,$AZ$11:$AZ$4010,0)),""))</f>
        <v/>
      </c>
      <c r="AE498" s="26" t="str">
        <f>IFERROR(INDEX($AM$11:$AM$4010,MATCH(488,$AZ$11:$AZ$4010,0)),"")</f>
        <v/>
      </c>
      <c r="AF498" s="25" t="str">
        <f>IF(AE498="","",IFERROR(INDEX($AN$11:$AN$4010,MATCH(488,$AZ$11:$AZ$4010,0)),""))</f>
        <v/>
      </c>
      <c r="AG498" s="25" t="str">
        <f>IF(AE498="","",IFERROR(INDEX($AO$11:$AO$4010,MATCH(488,$AZ$11:$AZ$4010,0)),""))</f>
        <v/>
      </c>
      <c r="AH498" s="24" t="str">
        <f>IF(AE498="","",IFERROR(INDEX($AQ$11:$AQ$4010,MATCH(488,$AZ$11:$AZ$4010,0)),""))</f>
        <v/>
      </c>
      <c r="AI498" s="29" t="str">
        <f>IF(AE498="","",IFERROR(INDEX($AR$11:$AR$4010,MATCH(488,$AZ$11:$AZ$4010,0)),""))</f>
        <v/>
      </c>
      <c r="AJ498" s="29" t="str">
        <f>IF(AE498="","",IFERROR(INDEX($AT$11:$AT$4010,MATCH(488,$AZ$11:$AZ$4010,0)),""))</f>
        <v/>
      </c>
      <c r="AL498" s="31" t="str">
        <f t="shared" si="93"/>
        <v/>
      </c>
      <c r="AM498" s="26" t="str">
        <f t="shared" si="94"/>
        <v/>
      </c>
      <c r="AN498" s="32" t="str">
        <f t="shared" si="95"/>
        <v/>
      </c>
      <c r="AO498" s="32" t="str">
        <f t="shared" si="96"/>
        <v/>
      </c>
      <c r="AP498" s="24" t="str">
        <f t="shared" si="97"/>
        <v/>
      </c>
      <c r="AQ498" s="24" t="str">
        <f t="shared" si="98"/>
        <v/>
      </c>
      <c r="AR498" s="33" t="str">
        <f t="shared" si="99"/>
        <v/>
      </c>
      <c r="AS498" s="34"/>
      <c r="AT498" s="33"/>
      <c r="AV498" s="21">
        <f>IF(AND($AL498&lt;&gt;"",COUNTIF($AL$11:$AL498,$AL498)=1),1,0)</f>
        <v>0</v>
      </c>
      <c r="AW498" s="21">
        <f t="shared" si="101"/>
        <v>2</v>
      </c>
      <c r="AX498" s="21" t="str">
        <f t="shared" si="100"/>
        <v/>
      </c>
      <c r="AY498" s="21" t="str">
        <f>IF(AND($AM498&lt;&gt;"",$AS498&lt;&gt;"✓"),SUMPRODUCT(($AM$11:$AM498&lt;&gt;"")*($AS$11:$AS498&lt;&gt;"✓")),"")</f>
        <v/>
      </c>
      <c r="AZ498" s="21" t="str">
        <f>IF(AND($AM498&lt;&gt;"",$AS498="✓"),SUMPRODUCT(($AM$11:$AM498&lt;&gt;"")*($AS$11:$AS498="✓")),"")</f>
        <v/>
      </c>
      <c r="BA498" s="21" t="str">
        <f>IF($AL498="","",$AL498&amp;"|"&amp;COUNTIF($AL$11:$AL498,$AL498))</f>
        <v/>
      </c>
    </row>
    <row r="499" spans="2:53" ht="15" customHeight="1" x14ac:dyDescent="0.25">
      <c r="B499" s="5" t="str">
        <f t="shared" si="92"/>
        <v/>
      </c>
      <c r="C499" s="5"/>
      <c r="D499" s="5"/>
      <c r="E499" s="5"/>
      <c r="F499" s="6"/>
      <c r="G499" s="6"/>
      <c r="H499" s="7"/>
      <c r="I499" s="8"/>
      <c r="W499" s="14" t="str">
        <f>IF(X499="","",IFERROR(INDEX($AL$11:$AL$4010,MATCH(489,$AY$11:$AY$4010,0)),""))</f>
        <v/>
      </c>
      <c r="X499" s="12" t="str">
        <f>IFERROR(INDEX($AM$11:$AM$4010,MATCH(489,$AY$11:$AY$4010,0)),"")</f>
        <v/>
      </c>
      <c r="Y499" s="11" t="str">
        <f>IF(X499="","",IFERROR(INDEX($AN$11:$AN$4010,MATCH(489,$AY$11:$AY$4010,0)),""))</f>
        <v/>
      </c>
      <c r="Z499" s="11" t="str">
        <f>IF(X499="","",IFERROR(INDEX($AO$11:$AO$4010,MATCH(489,$AY$11:$AY$4010,0)),""))</f>
        <v/>
      </c>
      <c r="AA499" s="10" t="str">
        <f>IF(X499="","",IFERROR(INDEX($AQ$11:$AQ$4010,MATCH(489,$AY$11:$AY$4010,0)),""))</f>
        <v/>
      </c>
      <c r="AB499" s="15" t="str">
        <f>IF(X499="","",IFERROR(INDEX($AR$11:$AR$4010,MATCH(489,$AY$11:$AY$4010,0)),""))</f>
        <v/>
      </c>
      <c r="AD499" s="16" t="str">
        <f>IF(AE499="","",IFERROR(INDEX($AL$11:$AL$4010,MATCH(489,$AZ$11:$AZ$4010,0)),""))</f>
        <v/>
      </c>
      <c r="AE499" s="12" t="str">
        <f>IFERROR(INDEX($AM$11:$AM$4010,MATCH(489,$AZ$11:$AZ$4010,0)),"")</f>
        <v/>
      </c>
      <c r="AF499" s="11" t="str">
        <f>IF(AE499="","",IFERROR(INDEX($AN$11:$AN$4010,MATCH(489,$AZ$11:$AZ$4010,0)),""))</f>
        <v/>
      </c>
      <c r="AG499" s="11" t="str">
        <f>IF(AE499="","",IFERROR(INDEX($AO$11:$AO$4010,MATCH(489,$AZ$11:$AZ$4010,0)),""))</f>
        <v/>
      </c>
      <c r="AH499" s="10" t="str">
        <f>IF(AE499="","",IFERROR(INDEX($AQ$11:$AQ$4010,MATCH(489,$AZ$11:$AZ$4010,0)),""))</f>
        <v/>
      </c>
      <c r="AI499" s="15" t="str">
        <f>IF(AE499="","",IFERROR(INDEX($AR$11:$AR$4010,MATCH(489,$AZ$11:$AZ$4010,0)),""))</f>
        <v/>
      </c>
      <c r="AJ499" s="15" t="str">
        <f>IF(AE499="","",IFERROR(INDEX($AT$11:$AT$4010,MATCH(489,$AZ$11:$AZ$4010,0)),""))</f>
        <v/>
      </c>
      <c r="AL499" s="17" t="str">
        <f t="shared" si="93"/>
        <v/>
      </c>
      <c r="AM499" s="12" t="str">
        <f t="shared" si="94"/>
        <v/>
      </c>
      <c r="AN499" s="18" t="str">
        <f t="shared" si="95"/>
        <v/>
      </c>
      <c r="AO499" s="18" t="str">
        <f t="shared" si="96"/>
        <v/>
      </c>
      <c r="AP499" s="10" t="str">
        <f t="shared" si="97"/>
        <v/>
      </c>
      <c r="AQ499" s="10" t="str">
        <f t="shared" si="98"/>
        <v/>
      </c>
      <c r="AR499" s="19" t="str">
        <f t="shared" si="99"/>
        <v/>
      </c>
      <c r="AS499" s="20"/>
      <c r="AT499" s="19"/>
      <c r="AV499" s="21">
        <f>IF(AND($AL499&lt;&gt;"",COUNTIF($AL$11:$AL499,$AL499)=1),1,0)</f>
        <v>0</v>
      </c>
      <c r="AW499" s="21">
        <f t="shared" si="101"/>
        <v>2</v>
      </c>
      <c r="AX499" s="21" t="str">
        <f t="shared" si="100"/>
        <v/>
      </c>
      <c r="AY499" s="21" t="str">
        <f>IF(AND($AM499&lt;&gt;"",$AS499&lt;&gt;"✓"),SUMPRODUCT(($AM$11:$AM499&lt;&gt;"")*($AS$11:$AS499&lt;&gt;"✓")),"")</f>
        <v/>
      </c>
      <c r="AZ499" s="21" t="str">
        <f>IF(AND($AM499&lt;&gt;"",$AS499="✓"),SUMPRODUCT(($AM$11:$AM499&lt;&gt;"")*($AS$11:$AS499="✓")),"")</f>
        <v/>
      </c>
      <c r="BA499" s="21" t="str">
        <f>IF($AL499="","",$AL499&amp;"|"&amp;COUNTIF($AL$11:$AL499,$AL499))</f>
        <v/>
      </c>
    </row>
    <row r="500" spans="2:53" ht="15" customHeight="1" x14ac:dyDescent="0.25">
      <c r="B500" s="5" t="str">
        <f t="shared" si="92"/>
        <v/>
      </c>
      <c r="C500" s="5"/>
      <c r="D500" s="5"/>
      <c r="E500" s="5"/>
      <c r="F500" s="6"/>
      <c r="G500" s="6"/>
      <c r="H500" s="7"/>
      <c r="I500" s="8"/>
      <c r="W500" s="28" t="str">
        <f>IF(X500="","",IFERROR(INDEX($AL$11:$AL$4010,MATCH(490,$AY$11:$AY$4010,0)),""))</f>
        <v/>
      </c>
      <c r="X500" s="26" t="str">
        <f>IFERROR(INDEX($AM$11:$AM$4010,MATCH(490,$AY$11:$AY$4010,0)),"")</f>
        <v/>
      </c>
      <c r="Y500" s="25" t="str">
        <f>IF(X500="","",IFERROR(INDEX($AN$11:$AN$4010,MATCH(490,$AY$11:$AY$4010,0)),""))</f>
        <v/>
      </c>
      <c r="Z500" s="25" t="str">
        <f>IF(X500="","",IFERROR(INDEX($AO$11:$AO$4010,MATCH(490,$AY$11:$AY$4010,0)),""))</f>
        <v/>
      </c>
      <c r="AA500" s="24" t="str">
        <f>IF(X500="","",IFERROR(INDEX($AQ$11:$AQ$4010,MATCH(490,$AY$11:$AY$4010,0)),""))</f>
        <v/>
      </c>
      <c r="AB500" s="29" t="str">
        <f>IF(X500="","",IFERROR(INDEX($AR$11:$AR$4010,MATCH(490,$AY$11:$AY$4010,0)),""))</f>
        <v/>
      </c>
      <c r="AD500" s="30" t="str">
        <f>IF(AE500="","",IFERROR(INDEX($AL$11:$AL$4010,MATCH(490,$AZ$11:$AZ$4010,0)),""))</f>
        <v/>
      </c>
      <c r="AE500" s="26" t="str">
        <f>IFERROR(INDEX($AM$11:$AM$4010,MATCH(490,$AZ$11:$AZ$4010,0)),"")</f>
        <v/>
      </c>
      <c r="AF500" s="25" t="str">
        <f>IF(AE500="","",IFERROR(INDEX($AN$11:$AN$4010,MATCH(490,$AZ$11:$AZ$4010,0)),""))</f>
        <v/>
      </c>
      <c r="AG500" s="25" t="str">
        <f>IF(AE500="","",IFERROR(INDEX($AO$11:$AO$4010,MATCH(490,$AZ$11:$AZ$4010,0)),""))</f>
        <v/>
      </c>
      <c r="AH500" s="24" t="str">
        <f>IF(AE500="","",IFERROR(INDEX($AQ$11:$AQ$4010,MATCH(490,$AZ$11:$AZ$4010,0)),""))</f>
        <v/>
      </c>
      <c r="AI500" s="29" t="str">
        <f>IF(AE500="","",IFERROR(INDEX($AR$11:$AR$4010,MATCH(490,$AZ$11:$AZ$4010,0)),""))</f>
        <v/>
      </c>
      <c r="AJ500" s="29" t="str">
        <f>IF(AE500="","",IFERROR(INDEX($AT$11:$AT$4010,MATCH(490,$AZ$11:$AZ$4010,0)),""))</f>
        <v/>
      </c>
      <c r="AL500" s="31" t="str">
        <f t="shared" si="93"/>
        <v/>
      </c>
      <c r="AM500" s="26" t="str">
        <f t="shared" si="94"/>
        <v/>
      </c>
      <c r="AN500" s="32" t="str">
        <f t="shared" si="95"/>
        <v/>
      </c>
      <c r="AO500" s="32" t="str">
        <f t="shared" si="96"/>
        <v/>
      </c>
      <c r="AP500" s="24" t="str">
        <f t="shared" si="97"/>
        <v/>
      </c>
      <c r="AQ500" s="24" t="str">
        <f t="shared" si="98"/>
        <v/>
      </c>
      <c r="AR500" s="33" t="str">
        <f t="shared" si="99"/>
        <v/>
      </c>
      <c r="AS500" s="34"/>
      <c r="AT500" s="33"/>
      <c r="AV500" s="21">
        <f>IF(AND($AL500&lt;&gt;"",COUNTIF($AL$11:$AL500,$AL500)=1),1,0)</f>
        <v>0</v>
      </c>
      <c r="AW500" s="21">
        <f t="shared" si="101"/>
        <v>2</v>
      </c>
      <c r="AX500" s="21" t="str">
        <f t="shared" si="100"/>
        <v/>
      </c>
      <c r="AY500" s="21" t="str">
        <f>IF(AND($AM500&lt;&gt;"",$AS500&lt;&gt;"✓"),SUMPRODUCT(($AM$11:$AM500&lt;&gt;"")*($AS$11:$AS500&lt;&gt;"✓")),"")</f>
        <v/>
      </c>
      <c r="AZ500" s="21" t="str">
        <f>IF(AND($AM500&lt;&gt;"",$AS500="✓"),SUMPRODUCT(($AM$11:$AM500&lt;&gt;"")*($AS$11:$AS500="✓")),"")</f>
        <v/>
      </c>
      <c r="BA500" s="21" t="str">
        <f>IF($AL500="","",$AL500&amp;"|"&amp;COUNTIF($AL$11:$AL500,$AL500))</f>
        <v/>
      </c>
    </row>
    <row r="501" spans="2:53" ht="15" customHeight="1" x14ac:dyDescent="0.25">
      <c r="B501" s="5" t="str">
        <f t="shared" si="92"/>
        <v/>
      </c>
      <c r="C501" s="5"/>
      <c r="D501" s="5"/>
      <c r="E501" s="5"/>
      <c r="F501" s="6"/>
      <c r="G501" s="6"/>
      <c r="H501" s="7"/>
      <c r="I501" s="8"/>
      <c r="W501" s="14" t="str">
        <f>IF(X501="","",IFERROR(INDEX($AL$11:$AL$4010,MATCH(491,$AY$11:$AY$4010,0)),""))</f>
        <v/>
      </c>
      <c r="X501" s="12" t="str">
        <f>IFERROR(INDEX($AM$11:$AM$4010,MATCH(491,$AY$11:$AY$4010,0)),"")</f>
        <v/>
      </c>
      <c r="Y501" s="11" t="str">
        <f>IF(X501="","",IFERROR(INDEX($AN$11:$AN$4010,MATCH(491,$AY$11:$AY$4010,0)),""))</f>
        <v/>
      </c>
      <c r="Z501" s="11" t="str">
        <f>IF(X501="","",IFERROR(INDEX($AO$11:$AO$4010,MATCH(491,$AY$11:$AY$4010,0)),""))</f>
        <v/>
      </c>
      <c r="AA501" s="10" t="str">
        <f>IF(X501="","",IFERROR(INDEX($AQ$11:$AQ$4010,MATCH(491,$AY$11:$AY$4010,0)),""))</f>
        <v/>
      </c>
      <c r="AB501" s="15" t="str">
        <f>IF(X501="","",IFERROR(INDEX($AR$11:$AR$4010,MATCH(491,$AY$11:$AY$4010,0)),""))</f>
        <v/>
      </c>
      <c r="AD501" s="16" t="str">
        <f>IF(AE501="","",IFERROR(INDEX($AL$11:$AL$4010,MATCH(491,$AZ$11:$AZ$4010,0)),""))</f>
        <v/>
      </c>
      <c r="AE501" s="12" t="str">
        <f>IFERROR(INDEX($AM$11:$AM$4010,MATCH(491,$AZ$11:$AZ$4010,0)),"")</f>
        <v/>
      </c>
      <c r="AF501" s="11" t="str">
        <f>IF(AE501="","",IFERROR(INDEX($AN$11:$AN$4010,MATCH(491,$AZ$11:$AZ$4010,0)),""))</f>
        <v/>
      </c>
      <c r="AG501" s="11" t="str">
        <f>IF(AE501="","",IFERROR(INDEX($AO$11:$AO$4010,MATCH(491,$AZ$11:$AZ$4010,0)),""))</f>
        <v/>
      </c>
      <c r="AH501" s="10" t="str">
        <f>IF(AE501="","",IFERROR(INDEX($AQ$11:$AQ$4010,MATCH(491,$AZ$11:$AZ$4010,0)),""))</f>
        <v/>
      </c>
      <c r="AI501" s="15" t="str">
        <f>IF(AE501="","",IFERROR(INDEX($AR$11:$AR$4010,MATCH(491,$AZ$11:$AZ$4010,0)),""))</f>
        <v/>
      </c>
      <c r="AJ501" s="15" t="str">
        <f>IF(AE501="","",IFERROR(INDEX($AT$11:$AT$4010,MATCH(491,$AZ$11:$AZ$4010,0)),""))</f>
        <v/>
      </c>
      <c r="AL501" s="17" t="str">
        <f t="shared" si="93"/>
        <v/>
      </c>
      <c r="AM501" s="12" t="str">
        <f t="shared" si="94"/>
        <v/>
      </c>
      <c r="AN501" s="18" t="str">
        <f t="shared" si="95"/>
        <v/>
      </c>
      <c r="AO501" s="18" t="str">
        <f t="shared" si="96"/>
        <v/>
      </c>
      <c r="AP501" s="10" t="str">
        <f t="shared" si="97"/>
        <v/>
      </c>
      <c r="AQ501" s="10" t="str">
        <f t="shared" si="98"/>
        <v/>
      </c>
      <c r="AR501" s="19" t="str">
        <f t="shared" si="99"/>
        <v/>
      </c>
      <c r="AS501" s="20"/>
      <c r="AT501" s="19"/>
      <c r="AV501" s="21">
        <f>IF(AND($AL501&lt;&gt;"",COUNTIF($AL$11:$AL501,$AL501)=1),1,0)</f>
        <v>0</v>
      </c>
      <c r="AW501" s="21">
        <f t="shared" si="101"/>
        <v>2</v>
      </c>
      <c r="AX501" s="21" t="str">
        <f t="shared" si="100"/>
        <v/>
      </c>
      <c r="AY501" s="21" t="str">
        <f>IF(AND($AM501&lt;&gt;"",$AS501&lt;&gt;"✓"),SUMPRODUCT(($AM$11:$AM501&lt;&gt;"")*($AS$11:$AS501&lt;&gt;"✓")),"")</f>
        <v/>
      </c>
      <c r="AZ501" s="21" t="str">
        <f>IF(AND($AM501&lt;&gt;"",$AS501="✓"),SUMPRODUCT(($AM$11:$AM501&lt;&gt;"")*($AS$11:$AS501="✓")),"")</f>
        <v/>
      </c>
      <c r="BA501" s="21" t="str">
        <f>IF($AL501="","",$AL501&amp;"|"&amp;COUNTIF($AL$11:$AL501,$AL501))</f>
        <v/>
      </c>
    </row>
    <row r="502" spans="2:53" ht="15" customHeight="1" x14ac:dyDescent="0.25">
      <c r="B502" s="5" t="str">
        <f t="shared" si="92"/>
        <v/>
      </c>
      <c r="C502" s="5"/>
      <c r="D502" s="5"/>
      <c r="E502" s="5"/>
      <c r="F502" s="6"/>
      <c r="G502" s="6"/>
      <c r="H502" s="7"/>
      <c r="I502" s="8"/>
      <c r="W502" s="28" t="str">
        <f>IF(X502="","",IFERROR(INDEX($AL$11:$AL$4010,MATCH(492,$AY$11:$AY$4010,0)),""))</f>
        <v/>
      </c>
      <c r="X502" s="26" t="str">
        <f>IFERROR(INDEX($AM$11:$AM$4010,MATCH(492,$AY$11:$AY$4010,0)),"")</f>
        <v/>
      </c>
      <c r="Y502" s="25" t="str">
        <f>IF(X502="","",IFERROR(INDEX($AN$11:$AN$4010,MATCH(492,$AY$11:$AY$4010,0)),""))</f>
        <v/>
      </c>
      <c r="Z502" s="25" t="str">
        <f>IF(X502="","",IFERROR(INDEX($AO$11:$AO$4010,MATCH(492,$AY$11:$AY$4010,0)),""))</f>
        <v/>
      </c>
      <c r="AA502" s="24" t="str">
        <f>IF(X502="","",IFERROR(INDEX($AQ$11:$AQ$4010,MATCH(492,$AY$11:$AY$4010,0)),""))</f>
        <v/>
      </c>
      <c r="AB502" s="29" t="str">
        <f>IF(X502="","",IFERROR(INDEX($AR$11:$AR$4010,MATCH(492,$AY$11:$AY$4010,0)),""))</f>
        <v/>
      </c>
      <c r="AD502" s="30" t="str">
        <f>IF(AE502="","",IFERROR(INDEX($AL$11:$AL$4010,MATCH(492,$AZ$11:$AZ$4010,0)),""))</f>
        <v/>
      </c>
      <c r="AE502" s="26" t="str">
        <f>IFERROR(INDEX($AM$11:$AM$4010,MATCH(492,$AZ$11:$AZ$4010,0)),"")</f>
        <v/>
      </c>
      <c r="AF502" s="25" t="str">
        <f>IF(AE502="","",IFERROR(INDEX($AN$11:$AN$4010,MATCH(492,$AZ$11:$AZ$4010,0)),""))</f>
        <v/>
      </c>
      <c r="AG502" s="25" t="str">
        <f>IF(AE502="","",IFERROR(INDEX($AO$11:$AO$4010,MATCH(492,$AZ$11:$AZ$4010,0)),""))</f>
        <v/>
      </c>
      <c r="AH502" s="24" t="str">
        <f>IF(AE502="","",IFERROR(INDEX($AQ$11:$AQ$4010,MATCH(492,$AZ$11:$AZ$4010,0)),""))</f>
        <v/>
      </c>
      <c r="AI502" s="29" t="str">
        <f>IF(AE502="","",IFERROR(INDEX($AR$11:$AR$4010,MATCH(492,$AZ$11:$AZ$4010,0)),""))</f>
        <v/>
      </c>
      <c r="AJ502" s="29" t="str">
        <f>IF(AE502="","",IFERROR(INDEX($AT$11:$AT$4010,MATCH(492,$AZ$11:$AZ$4010,0)),""))</f>
        <v/>
      </c>
      <c r="AL502" s="31" t="str">
        <f t="shared" si="93"/>
        <v/>
      </c>
      <c r="AM502" s="26" t="str">
        <f t="shared" si="94"/>
        <v/>
      </c>
      <c r="AN502" s="32" t="str">
        <f t="shared" si="95"/>
        <v/>
      </c>
      <c r="AO502" s="32" t="str">
        <f t="shared" si="96"/>
        <v/>
      </c>
      <c r="AP502" s="24" t="str">
        <f t="shared" si="97"/>
        <v/>
      </c>
      <c r="AQ502" s="24" t="str">
        <f t="shared" si="98"/>
        <v/>
      </c>
      <c r="AR502" s="33" t="str">
        <f t="shared" si="99"/>
        <v/>
      </c>
      <c r="AS502" s="34"/>
      <c r="AT502" s="33"/>
      <c r="AV502" s="21">
        <f>IF(AND($AL502&lt;&gt;"",COUNTIF($AL$11:$AL502,$AL502)=1),1,0)</f>
        <v>0</v>
      </c>
      <c r="AW502" s="21">
        <f t="shared" si="101"/>
        <v>2</v>
      </c>
      <c r="AX502" s="21" t="str">
        <f t="shared" si="100"/>
        <v/>
      </c>
      <c r="AY502" s="21" t="str">
        <f>IF(AND($AM502&lt;&gt;"",$AS502&lt;&gt;"✓"),SUMPRODUCT(($AM$11:$AM502&lt;&gt;"")*($AS$11:$AS502&lt;&gt;"✓")),"")</f>
        <v/>
      </c>
      <c r="AZ502" s="21" t="str">
        <f>IF(AND($AM502&lt;&gt;"",$AS502="✓"),SUMPRODUCT(($AM$11:$AM502&lt;&gt;"")*($AS$11:$AS502="✓")),"")</f>
        <v/>
      </c>
      <c r="BA502" s="21" t="str">
        <f>IF($AL502="","",$AL502&amp;"|"&amp;COUNTIF($AL$11:$AL502,$AL502))</f>
        <v/>
      </c>
    </row>
    <row r="503" spans="2:53" ht="15" customHeight="1" x14ac:dyDescent="0.25">
      <c r="B503" s="5" t="str">
        <f t="shared" si="92"/>
        <v/>
      </c>
      <c r="C503" s="5"/>
      <c r="D503" s="5"/>
      <c r="E503" s="5"/>
      <c r="F503" s="6"/>
      <c r="G503" s="6"/>
      <c r="H503" s="7"/>
      <c r="I503" s="8"/>
      <c r="W503" s="14" t="str">
        <f>IF(X503="","",IFERROR(INDEX($AL$11:$AL$4010,MATCH(493,$AY$11:$AY$4010,0)),""))</f>
        <v/>
      </c>
      <c r="X503" s="12" t="str">
        <f>IFERROR(INDEX($AM$11:$AM$4010,MATCH(493,$AY$11:$AY$4010,0)),"")</f>
        <v/>
      </c>
      <c r="Y503" s="11" t="str">
        <f>IF(X503="","",IFERROR(INDEX($AN$11:$AN$4010,MATCH(493,$AY$11:$AY$4010,0)),""))</f>
        <v/>
      </c>
      <c r="Z503" s="11" t="str">
        <f>IF(X503="","",IFERROR(INDEX($AO$11:$AO$4010,MATCH(493,$AY$11:$AY$4010,0)),""))</f>
        <v/>
      </c>
      <c r="AA503" s="10" t="str">
        <f>IF(X503="","",IFERROR(INDEX($AQ$11:$AQ$4010,MATCH(493,$AY$11:$AY$4010,0)),""))</f>
        <v/>
      </c>
      <c r="AB503" s="15" t="str">
        <f>IF(X503="","",IFERROR(INDEX($AR$11:$AR$4010,MATCH(493,$AY$11:$AY$4010,0)),""))</f>
        <v/>
      </c>
      <c r="AD503" s="16" t="str">
        <f>IF(AE503="","",IFERROR(INDEX($AL$11:$AL$4010,MATCH(493,$AZ$11:$AZ$4010,0)),""))</f>
        <v/>
      </c>
      <c r="AE503" s="12" t="str">
        <f>IFERROR(INDEX($AM$11:$AM$4010,MATCH(493,$AZ$11:$AZ$4010,0)),"")</f>
        <v/>
      </c>
      <c r="AF503" s="11" t="str">
        <f>IF(AE503="","",IFERROR(INDEX($AN$11:$AN$4010,MATCH(493,$AZ$11:$AZ$4010,0)),""))</f>
        <v/>
      </c>
      <c r="AG503" s="11" t="str">
        <f>IF(AE503="","",IFERROR(INDEX($AO$11:$AO$4010,MATCH(493,$AZ$11:$AZ$4010,0)),""))</f>
        <v/>
      </c>
      <c r="AH503" s="10" t="str">
        <f>IF(AE503="","",IFERROR(INDEX($AQ$11:$AQ$4010,MATCH(493,$AZ$11:$AZ$4010,0)),""))</f>
        <v/>
      </c>
      <c r="AI503" s="15" t="str">
        <f>IF(AE503="","",IFERROR(INDEX($AR$11:$AR$4010,MATCH(493,$AZ$11:$AZ$4010,0)),""))</f>
        <v/>
      </c>
      <c r="AJ503" s="15" t="str">
        <f>IF(AE503="","",IFERROR(INDEX($AT$11:$AT$4010,MATCH(493,$AZ$11:$AZ$4010,0)),""))</f>
        <v/>
      </c>
      <c r="AL503" s="17" t="str">
        <f t="shared" si="93"/>
        <v/>
      </c>
      <c r="AM503" s="12" t="str">
        <f t="shared" si="94"/>
        <v/>
      </c>
      <c r="AN503" s="18" t="str">
        <f t="shared" si="95"/>
        <v/>
      </c>
      <c r="AO503" s="18" t="str">
        <f t="shared" si="96"/>
        <v/>
      </c>
      <c r="AP503" s="10" t="str">
        <f t="shared" si="97"/>
        <v/>
      </c>
      <c r="AQ503" s="10" t="str">
        <f t="shared" si="98"/>
        <v/>
      </c>
      <c r="AR503" s="19" t="str">
        <f t="shared" si="99"/>
        <v/>
      </c>
      <c r="AS503" s="20"/>
      <c r="AT503" s="19"/>
      <c r="AV503" s="21">
        <f>IF(AND($AL503&lt;&gt;"",COUNTIF($AL$11:$AL503,$AL503)=1),1,0)</f>
        <v>0</v>
      </c>
      <c r="AW503" s="21">
        <f t="shared" si="101"/>
        <v>2</v>
      </c>
      <c r="AX503" s="21" t="str">
        <f t="shared" si="100"/>
        <v/>
      </c>
      <c r="AY503" s="21" t="str">
        <f>IF(AND($AM503&lt;&gt;"",$AS503&lt;&gt;"✓"),SUMPRODUCT(($AM$11:$AM503&lt;&gt;"")*($AS$11:$AS503&lt;&gt;"✓")),"")</f>
        <v/>
      </c>
      <c r="AZ503" s="21" t="str">
        <f>IF(AND($AM503&lt;&gt;"",$AS503="✓"),SUMPRODUCT(($AM$11:$AM503&lt;&gt;"")*($AS$11:$AS503="✓")),"")</f>
        <v/>
      </c>
      <c r="BA503" s="21" t="str">
        <f>IF($AL503="","",$AL503&amp;"|"&amp;COUNTIF($AL$11:$AL503,$AL503))</f>
        <v/>
      </c>
    </row>
    <row r="504" spans="2:53" ht="15" customHeight="1" x14ac:dyDescent="0.25">
      <c r="B504" s="5" t="str">
        <f t="shared" si="92"/>
        <v/>
      </c>
      <c r="C504" s="5"/>
      <c r="D504" s="5"/>
      <c r="E504" s="5"/>
      <c r="F504" s="6"/>
      <c r="G504" s="6"/>
      <c r="H504" s="7"/>
      <c r="I504" s="8"/>
      <c r="W504" s="28" t="str">
        <f>IF(X504="","",IFERROR(INDEX($AL$11:$AL$4010,MATCH(494,$AY$11:$AY$4010,0)),""))</f>
        <v/>
      </c>
      <c r="X504" s="26" t="str">
        <f>IFERROR(INDEX($AM$11:$AM$4010,MATCH(494,$AY$11:$AY$4010,0)),"")</f>
        <v/>
      </c>
      <c r="Y504" s="25" t="str">
        <f>IF(X504="","",IFERROR(INDEX($AN$11:$AN$4010,MATCH(494,$AY$11:$AY$4010,0)),""))</f>
        <v/>
      </c>
      <c r="Z504" s="25" t="str">
        <f>IF(X504="","",IFERROR(INDEX($AO$11:$AO$4010,MATCH(494,$AY$11:$AY$4010,0)),""))</f>
        <v/>
      </c>
      <c r="AA504" s="24" t="str">
        <f>IF(X504="","",IFERROR(INDEX($AQ$11:$AQ$4010,MATCH(494,$AY$11:$AY$4010,0)),""))</f>
        <v/>
      </c>
      <c r="AB504" s="29" t="str">
        <f>IF(X504="","",IFERROR(INDEX($AR$11:$AR$4010,MATCH(494,$AY$11:$AY$4010,0)),""))</f>
        <v/>
      </c>
      <c r="AD504" s="30" t="str">
        <f>IF(AE504="","",IFERROR(INDEX($AL$11:$AL$4010,MATCH(494,$AZ$11:$AZ$4010,0)),""))</f>
        <v/>
      </c>
      <c r="AE504" s="26" t="str">
        <f>IFERROR(INDEX($AM$11:$AM$4010,MATCH(494,$AZ$11:$AZ$4010,0)),"")</f>
        <v/>
      </c>
      <c r="AF504" s="25" t="str">
        <f>IF(AE504="","",IFERROR(INDEX($AN$11:$AN$4010,MATCH(494,$AZ$11:$AZ$4010,0)),""))</f>
        <v/>
      </c>
      <c r="AG504" s="25" t="str">
        <f>IF(AE504="","",IFERROR(INDEX($AO$11:$AO$4010,MATCH(494,$AZ$11:$AZ$4010,0)),""))</f>
        <v/>
      </c>
      <c r="AH504" s="24" t="str">
        <f>IF(AE504="","",IFERROR(INDEX($AQ$11:$AQ$4010,MATCH(494,$AZ$11:$AZ$4010,0)),""))</f>
        <v/>
      </c>
      <c r="AI504" s="29" t="str">
        <f>IF(AE504="","",IFERROR(INDEX($AR$11:$AR$4010,MATCH(494,$AZ$11:$AZ$4010,0)),""))</f>
        <v/>
      </c>
      <c r="AJ504" s="29" t="str">
        <f>IF(AE504="","",IFERROR(INDEX($AT$11:$AT$4010,MATCH(494,$AZ$11:$AZ$4010,0)),""))</f>
        <v/>
      </c>
      <c r="AL504" s="31" t="str">
        <f t="shared" si="93"/>
        <v/>
      </c>
      <c r="AM504" s="26" t="str">
        <f t="shared" si="94"/>
        <v/>
      </c>
      <c r="AN504" s="32" t="str">
        <f t="shared" si="95"/>
        <v/>
      </c>
      <c r="AO504" s="32" t="str">
        <f t="shared" si="96"/>
        <v/>
      </c>
      <c r="AP504" s="24" t="str">
        <f t="shared" si="97"/>
        <v/>
      </c>
      <c r="AQ504" s="24" t="str">
        <f t="shared" si="98"/>
        <v/>
      </c>
      <c r="AR504" s="33" t="str">
        <f t="shared" si="99"/>
        <v/>
      </c>
      <c r="AS504" s="34"/>
      <c r="AT504" s="33"/>
      <c r="AV504" s="21">
        <f>IF(AND($AL504&lt;&gt;"",COUNTIF($AL$11:$AL504,$AL504)=1),1,0)</f>
        <v>0</v>
      </c>
      <c r="AW504" s="21">
        <f t="shared" si="101"/>
        <v>2</v>
      </c>
      <c r="AX504" s="21" t="str">
        <f t="shared" si="100"/>
        <v/>
      </c>
      <c r="AY504" s="21" t="str">
        <f>IF(AND($AM504&lt;&gt;"",$AS504&lt;&gt;"✓"),SUMPRODUCT(($AM$11:$AM504&lt;&gt;"")*($AS$11:$AS504&lt;&gt;"✓")),"")</f>
        <v/>
      </c>
      <c r="AZ504" s="21" t="str">
        <f>IF(AND($AM504&lt;&gt;"",$AS504="✓"),SUMPRODUCT(($AM$11:$AM504&lt;&gt;"")*($AS$11:$AS504="✓")),"")</f>
        <v/>
      </c>
      <c r="BA504" s="21" t="str">
        <f>IF($AL504="","",$AL504&amp;"|"&amp;COUNTIF($AL$11:$AL504,$AL504))</f>
        <v/>
      </c>
    </row>
    <row r="505" spans="2:53" ht="15" customHeight="1" x14ac:dyDescent="0.25">
      <c r="B505" s="5" t="str">
        <f t="shared" si="92"/>
        <v/>
      </c>
      <c r="C505" s="5"/>
      <c r="D505" s="5"/>
      <c r="E505" s="5"/>
      <c r="F505" s="6"/>
      <c r="G505" s="6"/>
      <c r="H505" s="7"/>
      <c r="I505" s="8"/>
      <c r="W505" s="14" t="str">
        <f>IF(X505="","",IFERROR(INDEX($AL$11:$AL$4010,MATCH(495,$AY$11:$AY$4010,0)),""))</f>
        <v/>
      </c>
      <c r="X505" s="12" t="str">
        <f>IFERROR(INDEX($AM$11:$AM$4010,MATCH(495,$AY$11:$AY$4010,0)),"")</f>
        <v/>
      </c>
      <c r="Y505" s="11" t="str">
        <f>IF(X505="","",IFERROR(INDEX($AN$11:$AN$4010,MATCH(495,$AY$11:$AY$4010,0)),""))</f>
        <v/>
      </c>
      <c r="Z505" s="11" t="str">
        <f>IF(X505="","",IFERROR(INDEX($AO$11:$AO$4010,MATCH(495,$AY$11:$AY$4010,0)),""))</f>
        <v/>
      </c>
      <c r="AA505" s="10" t="str">
        <f>IF(X505="","",IFERROR(INDEX($AQ$11:$AQ$4010,MATCH(495,$AY$11:$AY$4010,0)),""))</f>
        <v/>
      </c>
      <c r="AB505" s="15" t="str">
        <f>IF(X505="","",IFERROR(INDEX($AR$11:$AR$4010,MATCH(495,$AY$11:$AY$4010,0)),""))</f>
        <v/>
      </c>
      <c r="AD505" s="16" t="str">
        <f>IF(AE505="","",IFERROR(INDEX($AL$11:$AL$4010,MATCH(495,$AZ$11:$AZ$4010,0)),""))</f>
        <v/>
      </c>
      <c r="AE505" s="12" t="str">
        <f>IFERROR(INDEX($AM$11:$AM$4010,MATCH(495,$AZ$11:$AZ$4010,0)),"")</f>
        <v/>
      </c>
      <c r="AF505" s="11" t="str">
        <f>IF(AE505="","",IFERROR(INDEX($AN$11:$AN$4010,MATCH(495,$AZ$11:$AZ$4010,0)),""))</f>
        <v/>
      </c>
      <c r="AG505" s="11" t="str">
        <f>IF(AE505="","",IFERROR(INDEX($AO$11:$AO$4010,MATCH(495,$AZ$11:$AZ$4010,0)),""))</f>
        <v/>
      </c>
      <c r="AH505" s="10" t="str">
        <f>IF(AE505="","",IFERROR(INDEX($AQ$11:$AQ$4010,MATCH(495,$AZ$11:$AZ$4010,0)),""))</f>
        <v/>
      </c>
      <c r="AI505" s="15" t="str">
        <f>IF(AE505="","",IFERROR(INDEX($AR$11:$AR$4010,MATCH(495,$AZ$11:$AZ$4010,0)),""))</f>
        <v/>
      </c>
      <c r="AJ505" s="15" t="str">
        <f>IF(AE505="","",IFERROR(INDEX($AT$11:$AT$4010,MATCH(495,$AZ$11:$AZ$4010,0)),""))</f>
        <v/>
      </c>
      <c r="AL505" s="17" t="str">
        <f t="shared" si="93"/>
        <v/>
      </c>
      <c r="AM505" s="12" t="str">
        <f t="shared" si="94"/>
        <v/>
      </c>
      <c r="AN505" s="18" t="str">
        <f t="shared" si="95"/>
        <v/>
      </c>
      <c r="AO505" s="18" t="str">
        <f t="shared" si="96"/>
        <v/>
      </c>
      <c r="AP505" s="10" t="str">
        <f t="shared" si="97"/>
        <v/>
      </c>
      <c r="AQ505" s="10" t="str">
        <f t="shared" si="98"/>
        <v/>
      </c>
      <c r="AR505" s="19" t="str">
        <f t="shared" si="99"/>
        <v/>
      </c>
      <c r="AS505" s="20"/>
      <c r="AT505" s="19"/>
      <c r="AV505" s="21">
        <f>IF(AND($AL505&lt;&gt;"",COUNTIF($AL$11:$AL505,$AL505)=1),1,0)</f>
        <v>0</v>
      </c>
      <c r="AW505" s="21">
        <f t="shared" si="101"/>
        <v>2</v>
      </c>
      <c r="AX505" s="21" t="str">
        <f t="shared" si="100"/>
        <v/>
      </c>
      <c r="AY505" s="21" t="str">
        <f>IF(AND($AM505&lt;&gt;"",$AS505&lt;&gt;"✓"),SUMPRODUCT(($AM$11:$AM505&lt;&gt;"")*($AS$11:$AS505&lt;&gt;"✓")),"")</f>
        <v/>
      </c>
      <c r="AZ505" s="21" t="str">
        <f>IF(AND($AM505&lt;&gt;"",$AS505="✓"),SUMPRODUCT(($AM$11:$AM505&lt;&gt;"")*($AS$11:$AS505="✓")),"")</f>
        <v/>
      </c>
      <c r="BA505" s="21" t="str">
        <f>IF($AL505="","",$AL505&amp;"|"&amp;COUNTIF($AL$11:$AL505,$AL505))</f>
        <v/>
      </c>
    </row>
    <row r="506" spans="2:53" ht="15" customHeight="1" x14ac:dyDescent="0.25">
      <c r="B506" s="5" t="str">
        <f t="shared" si="92"/>
        <v/>
      </c>
      <c r="C506" s="5"/>
      <c r="D506" s="5"/>
      <c r="E506" s="5"/>
      <c r="F506" s="6"/>
      <c r="G506" s="6"/>
      <c r="H506" s="7"/>
      <c r="I506" s="8"/>
      <c r="W506" s="28" t="str">
        <f>IF(X506="","",IFERROR(INDEX($AL$11:$AL$4010,MATCH(496,$AY$11:$AY$4010,0)),""))</f>
        <v/>
      </c>
      <c r="X506" s="26" t="str">
        <f>IFERROR(INDEX($AM$11:$AM$4010,MATCH(496,$AY$11:$AY$4010,0)),"")</f>
        <v/>
      </c>
      <c r="Y506" s="25" t="str">
        <f>IF(X506="","",IFERROR(INDEX($AN$11:$AN$4010,MATCH(496,$AY$11:$AY$4010,0)),""))</f>
        <v/>
      </c>
      <c r="Z506" s="25" t="str">
        <f>IF(X506="","",IFERROR(INDEX($AO$11:$AO$4010,MATCH(496,$AY$11:$AY$4010,0)),""))</f>
        <v/>
      </c>
      <c r="AA506" s="24" t="str">
        <f>IF(X506="","",IFERROR(INDEX($AQ$11:$AQ$4010,MATCH(496,$AY$11:$AY$4010,0)),""))</f>
        <v/>
      </c>
      <c r="AB506" s="29" t="str">
        <f>IF(X506="","",IFERROR(INDEX($AR$11:$AR$4010,MATCH(496,$AY$11:$AY$4010,0)),""))</f>
        <v/>
      </c>
      <c r="AD506" s="30" t="str">
        <f>IF(AE506="","",IFERROR(INDEX($AL$11:$AL$4010,MATCH(496,$AZ$11:$AZ$4010,0)),""))</f>
        <v/>
      </c>
      <c r="AE506" s="26" t="str">
        <f>IFERROR(INDEX($AM$11:$AM$4010,MATCH(496,$AZ$11:$AZ$4010,0)),"")</f>
        <v/>
      </c>
      <c r="AF506" s="25" t="str">
        <f>IF(AE506="","",IFERROR(INDEX($AN$11:$AN$4010,MATCH(496,$AZ$11:$AZ$4010,0)),""))</f>
        <v/>
      </c>
      <c r="AG506" s="25" t="str">
        <f>IF(AE506="","",IFERROR(INDEX($AO$11:$AO$4010,MATCH(496,$AZ$11:$AZ$4010,0)),""))</f>
        <v/>
      </c>
      <c r="AH506" s="24" t="str">
        <f>IF(AE506="","",IFERROR(INDEX($AQ$11:$AQ$4010,MATCH(496,$AZ$11:$AZ$4010,0)),""))</f>
        <v/>
      </c>
      <c r="AI506" s="29" t="str">
        <f>IF(AE506="","",IFERROR(INDEX($AR$11:$AR$4010,MATCH(496,$AZ$11:$AZ$4010,0)),""))</f>
        <v/>
      </c>
      <c r="AJ506" s="29" t="str">
        <f>IF(AE506="","",IFERROR(INDEX($AT$11:$AT$4010,MATCH(496,$AZ$11:$AZ$4010,0)),""))</f>
        <v/>
      </c>
      <c r="AL506" s="31" t="str">
        <f t="shared" si="93"/>
        <v/>
      </c>
      <c r="AM506" s="26" t="str">
        <f t="shared" si="94"/>
        <v/>
      </c>
      <c r="AN506" s="32" t="str">
        <f t="shared" si="95"/>
        <v/>
      </c>
      <c r="AO506" s="32" t="str">
        <f t="shared" si="96"/>
        <v/>
      </c>
      <c r="AP506" s="24" t="str">
        <f t="shared" si="97"/>
        <v/>
      </c>
      <c r="AQ506" s="24" t="str">
        <f t="shared" si="98"/>
        <v/>
      </c>
      <c r="AR506" s="33" t="str">
        <f t="shared" si="99"/>
        <v/>
      </c>
      <c r="AS506" s="34"/>
      <c r="AT506" s="33"/>
      <c r="AV506" s="21">
        <f>IF(AND($AL506&lt;&gt;"",COUNTIF($AL$11:$AL506,$AL506)=1),1,0)</f>
        <v>0</v>
      </c>
      <c r="AW506" s="21">
        <f t="shared" si="101"/>
        <v>2</v>
      </c>
      <c r="AX506" s="21" t="str">
        <f t="shared" si="100"/>
        <v/>
      </c>
      <c r="AY506" s="21" t="str">
        <f>IF(AND($AM506&lt;&gt;"",$AS506&lt;&gt;"✓"),SUMPRODUCT(($AM$11:$AM506&lt;&gt;"")*($AS$11:$AS506&lt;&gt;"✓")),"")</f>
        <v/>
      </c>
      <c r="AZ506" s="21" t="str">
        <f>IF(AND($AM506&lt;&gt;"",$AS506="✓"),SUMPRODUCT(($AM$11:$AM506&lt;&gt;"")*($AS$11:$AS506="✓")),"")</f>
        <v/>
      </c>
      <c r="BA506" s="21" t="str">
        <f>IF($AL506="","",$AL506&amp;"|"&amp;COUNTIF($AL$11:$AL506,$AL506))</f>
        <v/>
      </c>
    </row>
    <row r="507" spans="2:53" ht="15" customHeight="1" x14ac:dyDescent="0.25">
      <c r="B507" s="5" t="str">
        <f t="shared" si="92"/>
        <v/>
      </c>
      <c r="C507" s="5"/>
      <c r="D507" s="5"/>
      <c r="E507" s="5"/>
      <c r="F507" s="6"/>
      <c r="G507" s="6"/>
      <c r="H507" s="7"/>
      <c r="I507" s="8"/>
      <c r="W507" s="14" t="str">
        <f>IF(X507="","",IFERROR(INDEX($AL$11:$AL$4010,MATCH(497,$AY$11:$AY$4010,0)),""))</f>
        <v/>
      </c>
      <c r="X507" s="12" t="str">
        <f>IFERROR(INDEX($AM$11:$AM$4010,MATCH(497,$AY$11:$AY$4010,0)),"")</f>
        <v/>
      </c>
      <c r="Y507" s="11" t="str">
        <f>IF(X507="","",IFERROR(INDEX($AN$11:$AN$4010,MATCH(497,$AY$11:$AY$4010,0)),""))</f>
        <v/>
      </c>
      <c r="Z507" s="11" t="str">
        <f>IF(X507="","",IFERROR(INDEX($AO$11:$AO$4010,MATCH(497,$AY$11:$AY$4010,0)),""))</f>
        <v/>
      </c>
      <c r="AA507" s="10" t="str">
        <f>IF(X507="","",IFERROR(INDEX($AQ$11:$AQ$4010,MATCH(497,$AY$11:$AY$4010,0)),""))</f>
        <v/>
      </c>
      <c r="AB507" s="15" t="str">
        <f>IF(X507="","",IFERROR(INDEX($AR$11:$AR$4010,MATCH(497,$AY$11:$AY$4010,0)),""))</f>
        <v/>
      </c>
      <c r="AD507" s="16" t="str">
        <f>IF(AE507="","",IFERROR(INDEX($AL$11:$AL$4010,MATCH(497,$AZ$11:$AZ$4010,0)),""))</f>
        <v/>
      </c>
      <c r="AE507" s="12" t="str">
        <f>IFERROR(INDEX($AM$11:$AM$4010,MATCH(497,$AZ$11:$AZ$4010,0)),"")</f>
        <v/>
      </c>
      <c r="AF507" s="11" t="str">
        <f>IF(AE507="","",IFERROR(INDEX($AN$11:$AN$4010,MATCH(497,$AZ$11:$AZ$4010,0)),""))</f>
        <v/>
      </c>
      <c r="AG507" s="11" t="str">
        <f>IF(AE507="","",IFERROR(INDEX($AO$11:$AO$4010,MATCH(497,$AZ$11:$AZ$4010,0)),""))</f>
        <v/>
      </c>
      <c r="AH507" s="10" t="str">
        <f>IF(AE507="","",IFERROR(INDEX($AQ$11:$AQ$4010,MATCH(497,$AZ$11:$AZ$4010,0)),""))</f>
        <v/>
      </c>
      <c r="AI507" s="15" t="str">
        <f>IF(AE507="","",IFERROR(INDEX($AR$11:$AR$4010,MATCH(497,$AZ$11:$AZ$4010,0)),""))</f>
        <v/>
      </c>
      <c r="AJ507" s="15" t="str">
        <f>IF(AE507="","",IFERROR(INDEX($AT$11:$AT$4010,MATCH(497,$AZ$11:$AZ$4010,0)),""))</f>
        <v/>
      </c>
      <c r="AL507" s="17" t="str">
        <f t="shared" si="93"/>
        <v/>
      </c>
      <c r="AM507" s="12" t="str">
        <f t="shared" si="94"/>
        <v/>
      </c>
      <c r="AN507" s="18" t="str">
        <f t="shared" si="95"/>
        <v/>
      </c>
      <c r="AO507" s="18" t="str">
        <f t="shared" si="96"/>
        <v/>
      </c>
      <c r="AP507" s="10" t="str">
        <f t="shared" si="97"/>
        <v/>
      </c>
      <c r="AQ507" s="10" t="str">
        <f t="shared" si="98"/>
        <v/>
      </c>
      <c r="AR507" s="19" t="str">
        <f t="shared" si="99"/>
        <v/>
      </c>
      <c r="AS507" s="20"/>
      <c r="AT507" s="19"/>
      <c r="AV507" s="21">
        <f>IF(AND($AL507&lt;&gt;"",COUNTIF($AL$11:$AL507,$AL507)=1),1,0)</f>
        <v>0</v>
      </c>
      <c r="AW507" s="21">
        <f t="shared" si="101"/>
        <v>2</v>
      </c>
      <c r="AX507" s="21" t="str">
        <f t="shared" si="100"/>
        <v/>
      </c>
      <c r="AY507" s="21" t="str">
        <f>IF(AND($AM507&lt;&gt;"",$AS507&lt;&gt;"✓"),SUMPRODUCT(($AM$11:$AM507&lt;&gt;"")*($AS$11:$AS507&lt;&gt;"✓")),"")</f>
        <v/>
      </c>
      <c r="AZ507" s="21" t="str">
        <f>IF(AND($AM507&lt;&gt;"",$AS507="✓"),SUMPRODUCT(($AM$11:$AM507&lt;&gt;"")*($AS$11:$AS507="✓")),"")</f>
        <v/>
      </c>
      <c r="BA507" s="21" t="str">
        <f>IF($AL507="","",$AL507&amp;"|"&amp;COUNTIF($AL$11:$AL507,$AL507))</f>
        <v/>
      </c>
    </row>
    <row r="508" spans="2:53" ht="15" customHeight="1" x14ac:dyDescent="0.25">
      <c r="B508" s="5" t="str">
        <f t="shared" si="92"/>
        <v/>
      </c>
      <c r="C508" s="5"/>
      <c r="D508" s="5"/>
      <c r="E508" s="5"/>
      <c r="F508" s="6"/>
      <c r="G508" s="6"/>
      <c r="H508" s="7"/>
      <c r="I508" s="8"/>
      <c r="W508" s="28" t="str">
        <f>IF(X508="","",IFERROR(INDEX($AL$11:$AL$4010,MATCH(498,$AY$11:$AY$4010,0)),""))</f>
        <v/>
      </c>
      <c r="X508" s="26" t="str">
        <f>IFERROR(INDEX($AM$11:$AM$4010,MATCH(498,$AY$11:$AY$4010,0)),"")</f>
        <v/>
      </c>
      <c r="Y508" s="25" t="str">
        <f>IF(X508="","",IFERROR(INDEX($AN$11:$AN$4010,MATCH(498,$AY$11:$AY$4010,0)),""))</f>
        <v/>
      </c>
      <c r="Z508" s="25" t="str">
        <f>IF(X508="","",IFERROR(INDEX($AO$11:$AO$4010,MATCH(498,$AY$11:$AY$4010,0)),""))</f>
        <v/>
      </c>
      <c r="AA508" s="24" t="str">
        <f>IF(X508="","",IFERROR(INDEX($AQ$11:$AQ$4010,MATCH(498,$AY$11:$AY$4010,0)),""))</f>
        <v/>
      </c>
      <c r="AB508" s="29" t="str">
        <f>IF(X508="","",IFERROR(INDEX($AR$11:$AR$4010,MATCH(498,$AY$11:$AY$4010,0)),""))</f>
        <v/>
      </c>
      <c r="AD508" s="30" t="str">
        <f>IF(AE508="","",IFERROR(INDEX($AL$11:$AL$4010,MATCH(498,$AZ$11:$AZ$4010,0)),""))</f>
        <v/>
      </c>
      <c r="AE508" s="26" t="str">
        <f>IFERROR(INDEX($AM$11:$AM$4010,MATCH(498,$AZ$11:$AZ$4010,0)),"")</f>
        <v/>
      </c>
      <c r="AF508" s="25" t="str">
        <f>IF(AE508="","",IFERROR(INDEX($AN$11:$AN$4010,MATCH(498,$AZ$11:$AZ$4010,0)),""))</f>
        <v/>
      </c>
      <c r="AG508" s="25" t="str">
        <f>IF(AE508="","",IFERROR(INDEX($AO$11:$AO$4010,MATCH(498,$AZ$11:$AZ$4010,0)),""))</f>
        <v/>
      </c>
      <c r="AH508" s="24" t="str">
        <f>IF(AE508="","",IFERROR(INDEX($AQ$11:$AQ$4010,MATCH(498,$AZ$11:$AZ$4010,0)),""))</f>
        <v/>
      </c>
      <c r="AI508" s="29" t="str">
        <f>IF(AE508="","",IFERROR(INDEX($AR$11:$AR$4010,MATCH(498,$AZ$11:$AZ$4010,0)),""))</f>
        <v/>
      </c>
      <c r="AJ508" s="29" t="str">
        <f>IF(AE508="","",IFERROR(INDEX($AT$11:$AT$4010,MATCH(498,$AZ$11:$AZ$4010,0)),""))</f>
        <v/>
      </c>
      <c r="AL508" s="31" t="str">
        <f t="shared" si="93"/>
        <v/>
      </c>
      <c r="AM508" s="26" t="str">
        <f t="shared" si="94"/>
        <v/>
      </c>
      <c r="AN508" s="32" t="str">
        <f t="shared" si="95"/>
        <v/>
      </c>
      <c r="AO508" s="32" t="str">
        <f t="shared" si="96"/>
        <v/>
      </c>
      <c r="AP508" s="24" t="str">
        <f t="shared" si="97"/>
        <v/>
      </c>
      <c r="AQ508" s="24" t="str">
        <f t="shared" si="98"/>
        <v/>
      </c>
      <c r="AR508" s="33" t="str">
        <f t="shared" si="99"/>
        <v/>
      </c>
      <c r="AS508" s="34"/>
      <c r="AT508" s="33"/>
      <c r="AV508" s="21">
        <f>IF(AND($AL508&lt;&gt;"",COUNTIF($AL$11:$AL508,$AL508)=1),1,0)</f>
        <v>0</v>
      </c>
      <c r="AW508" s="21">
        <f t="shared" si="101"/>
        <v>2</v>
      </c>
      <c r="AX508" s="21" t="str">
        <f t="shared" si="100"/>
        <v/>
      </c>
      <c r="AY508" s="21" t="str">
        <f>IF(AND($AM508&lt;&gt;"",$AS508&lt;&gt;"✓"),SUMPRODUCT(($AM$11:$AM508&lt;&gt;"")*($AS$11:$AS508&lt;&gt;"✓")),"")</f>
        <v/>
      </c>
      <c r="AZ508" s="21" t="str">
        <f>IF(AND($AM508&lt;&gt;"",$AS508="✓"),SUMPRODUCT(($AM$11:$AM508&lt;&gt;"")*($AS$11:$AS508="✓")),"")</f>
        <v/>
      </c>
      <c r="BA508" s="21" t="str">
        <f>IF($AL508="","",$AL508&amp;"|"&amp;COUNTIF($AL$11:$AL508,$AL508))</f>
        <v/>
      </c>
    </row>
    <row r="509" spans="2:53" ht="15" customHeight="1" x14ac:dyDescent="0.25">
      <c r="B509" s="5" t="str">
        <f t="shared" si="92"/>
        <v/>
      </c>
      <c r="C509" s="5"/>
      <c r="D509" s="5"/>
      <c r="E509" s="5"/>
      <c r="F509" s="6"/>
      <c r="G509" s="6"/>
      <c r="H509" s="7"/>
      <c r="I509" s="8"/>
      <c r="W509" s="14" t="str">
        <f>IF(X509="","",IFERROR(INDEX($AL$11:$AL$4010,MATCH(499,$AY$11:$AY$4010,0)),""))</f>
        <v/>
      </c>
      <c r="X509" s="12" t="str">
        <f>IFERROR(INDEX($AM$11:$AM$4010,MATCH(499,$AY$11:$AY$4010,0)),"")</f>
        <v/>
      </c>
      <c r="Y509" s="11" t="str">
        <f>IF(X509="","",IFERROR(INDEX($AN$11:$AN$4010,MATCH(499,$AY$11:$AY$4010,0)),""))</f>
        <v/>
      </c>
      <c r="Z509" s="11" t="str">
        <f>IF(X509="","",IFERROR(INDEX($AO$11:$AO$4010,MATCH(499,$AY$11:$AY$4010,0)),""))</f>
        <v/>
      </c>
      <c r="AA509" s="10" t="str">
        <f>IF(X509="","",IFERROR(INDEX($AQ$11:$AQ$4010,MATCH(499,$AY$11:$AY$4010,0)),""))</f>
        <v/>
      </c>
      <c r="AB509" s="15" t="str">
        <f>IF(X509="","",IFERROR(INDEX($AR$11:$AR$4010,MATCH(499,$AY$11:$AY$4010,0)),""))</f>
        <v/>
      </c>
      <c r="AD509" s="16" t="str">
        <f>IF(AE509="","",IFERROR(INDEX($AL$11:$AL$4010,MATCH(499,$AZ$11:$AZ$4010,0)),""))</f>
        <v/>
      </c>
      <c r="AE509" s="12" t="str">
        <f>IFERROR(INDEX($AM$11:$AM$4010,MATCH(499,$AZ$11:$AZ$4010,0)),"")</f>
        <v/>
      </c>
      <c r="AF509" s="11" t="str">
        <f>IF(AE509="","",IFERROR(INDEX($AN$11:$AN$4010,MATCH(499,$AZ$11:$AZ$4010,0)),""))</f>
        <v/>
      </c>
      <c r="AG509" s="11" t="str">
        <f>IF(AE509="","",IFERROR(INDEX($AO$11:$AO$4010,MATCH(499,$AZ$11:$AZ$4010,0)),""))</f>
        <v/>
      </c>
      <c r="AH509" s="10" t="str">
        <f>IF(AE509="","",IFERROR(INDEX($AQ$11:$AQ$4010,MATCH(499,$AZ$11:$AZ$4010,0)),""))</f>
        <v/>
      </c>
      <c r="AI509" s="15" t="str">
        <f>IF(AE509="","",IFERROR(INDEX($AR$11:$AR$4010,MATCH(499,$AZ$11:$AZ$4010,0)),""))</f>
        <v/>
      </c>
      <c r="AJ509" s="15" t="str">
        <f>IF(AE509="","",IFERROR(INDEX($AT$11:$AT$4010,MATCH(499,$AZ$11:$AZ$4010,0)),""))</f>
        <v/>
      </c>
      <c r="AL509" s="17" t="str">
        <f t="shared" si="93"/>
        <v/>
      </c>
      <c r="AM509" s="12" t="str">
        <f t="shared" si="94"/>
        <v/>
      </c>
      <c r="AN509" s="18" t="str">
        <f t="shared" si="95"/>
        <v/>
      </c>
      <c r="AO509" s="18" t="str">
        <f t="shared" si="96"/>
        <v/>
      </c>
      <c r="AP509" s="10" t="str">
        <f t="shared" si="97"/>
        <v/>
      </c>
      <c r="AQ509" s="10" t="str">
        <f t="shared" si="98"/>
        <v/>
      </c>
      <c r="AR509" s="19" t="str">
        <f t="shared" si="99"/>
        <v/>
      </c>
      <c r="AS509" s="20"/>
      <c r="AT509" s="19"/>
      <c r="AV509" s="21">
        <f>IF(AND($AL509&lt;&gt;"",COUNTIF($AL$11:$AL509,$AL509)=1),1,0)</f>
        <v>0</v>
      </c>
      <c r="AW509" s="21">
        <f t="shared" si="101"/>
        <v>2</v>
      </c>
      <c r="AX509" s="21" t="str">
        <f t="shared" si="100"/>
        <v/>
      </c>
      <c r="AY509" s="21" t="str">
        <f>IF(AND($AM509&lt;&gt;"",$AS509&lt;&gt;"✓"),SUMPRODUCT(($AM$11:$AM509&lt;&gt;"")*($AS$11:$AS509&lt;&gt;"✓")),"")</f>
        <v/>
      </c>
      <c r="AZ509" s="21" t="str">
        <f>IF(AND($AM509&lt;&gt;"",$AS509="✓"),SUMPRODUCT(($AM$11:$AM509&lt;&gt;"")*($AS$11:$AS509="✓")),"")</f>
        <v/>
      </c>
      <c r="BA509" s="21" t="str">
        <f>IF($AL509="","",$AL509&amp;"|"&amp;COUNTIF($AL$11:$AL509,$AL509))</f>
        <v/>
      </c>
    </row>
    <row r="510" spans="2:53" ht="15" customHeight="1" x14ac:dyDescent="0.25">
      <c r="B510" s="5" t="str">
        <f t="shared" si="92"/>
        <v/>
      </c>
      <c r="C510" s="5"/>
      <c r="D510" s="5"/>
      <c r="E510" s="5"/>
      <c r="F510" s="6"/>
      <c r="G510" s="6"/>
      <c r="H510" s="7"/>
      <c r="I510" s="8"/>
      <c r="W510" s="28" t="str">
        <f>IF(X510="","",IFERROR(INDEX($AL$11:$AL$4010,MATCH(500,$AY$11:$AY$4010,0)),""))</f>
        <v/>
      </c>
      <c r="X510" s="26" t="str">
        <f>IFERROR(INDEX($AM$11:$AM$4010,MATCH(500,$AY$11:$AY$4010,0)),"")</f>
        <v/>
      </c>
      <c r="Y510" s="25" t="str">
        <f>IF(X510="","",IFERROR(INDEX($AN$11:$AN$4010,MATCH(500,$AY$11:$AY$4010,0)),""))</f>
        <v/>
      </c>
      <c r="Z510" s="25" t="str">
        <f>IF(X510="","",IFERROR(INDEX($AO$11:$AO$4010,MATCH(500,$AY$11:$AY$4010,0)),""))</f>
        <v/>
      </c>
      <c r="AA510" s="24" t="str">
        <f>IF(X510="","",IFERROR(INDEX($AQ$11:$AQ$4010,MATCH(500,$AY$11:$AY$4010,0)),""))</f>
        <v/>
      </c>
      <c r="AB510" s="29" t="str">
        <f>IF(X510="","",IFERROR(INDEX($AR$11:$AR$4010,MATCH(500,$AY$11:$AY$4010,0)),""))</f>
        <v/>
      </c>
      <c r="AD510" s="30" t="str">
        <f>IF(AE510="","",IFERROR(INDEX($AL$11:$AL$4010,MATCH(500,$AZ$11:$AZ$4010,0)),""))</f>
        <v/>
      </c>
      <c r="AE510" s="26" t="str">
        <f>IFERROR(INDEX($AM$11:$AM$4010,MATCH(500,$AZ$11:$AZ$4010,0)),"")</f>
        <v/>
      </c>
      <c r="AF510" s="25" t="str">
        <f>IF(AE510="","",IFERROR(INDEX($AN$11:$AN$4010,MATCH(500,$AZ$11:$AZ$4010,0)),""))</f>
        <v/>
      </c>
      <c r="AG510" s="25" t="str">
        <f>IF(AE510="","",IFERROR(INDEX($AO$11:$AO$4010,MATCH(500,$AZ$11:$AZ$4010,0)),""))</f>
        <v/>
      </c>
      <c r="AH510" s="24" t="str">
        <f>IF(AE510="","",IFERROR(INDEX($AQ$11:$AQ$4010,MATCH(500,$AZ$11:$AZ$4010,0)),""))</f>
        <v/>
      </c>
      <c r="AI510" s="29" t="str">
        <f>IF(AE510="","",IFERROR(INDEX($AR$11:$AR$4010,MATCH(500,$AZ$11:$AZ$4010,0)),""))</f>
        <v/>
      </c>
      <c r="AJ510" s="29" t="str">
        <f>IF(AE510="","",IFERROR(INDEX($AT$11:$AT$4010,MATCH(500,$AZ$11:$AZ$4010,0)),""))</f>
        <v/>
      </c>
      <c r="AL510" s="31" t="str">
        <f t="shared" si="93"/>
        <v/>
      </c>
      <c r="AM510" s="26" t="str">
        <f t="shared" si="94"/>
        <v/>
      </c>
      <c r="AN510" s="32" t="str">
        <f t="shared" si="95"/>
        <v/>
      </c>
      <c r="AO510" s="32" t="str">
        <f t="shared" si="96"/>
        <v/>
      </c>
      <c r="AP510" s="24" t="str">
        <f t="shared" si="97"/>
        <v/>
      </c>
      <c r="AQ510" s="24" t="str">
        <f t="shared" si="98"/>
        <v/>
      </c>
      <c r="AR510" s="33" t="str">
        <f t="shared" si="99"/>
        <v/>
      </c>
      <c r="AS510" s="34"/>
      <c r="AT510" s="33"/>
      <c r="AV510" s="21">
        <f>IF(AND($AL510&lt;&gt;"",COUNTIF($AL$11:$AL510,$AL510)=1),1,0)</f>
        <v>0</v>
      </c>
      <c r="AW510" s="21">
        <f t="shared" si="101"/>
        <v>2</v>
      </c>
      <c r="AX510" s="21" t="str">
        <f t="shared" si="100"/>
        <v/>
      </c>
      <c r="AY510" s="21" t="str">
        <f>IF(AND($AM510&lt;&gt;"",$AS510&lt;&gt;"✓"),SUMPRODUCT(($AM$11:$AM510&lt;&gt;"")*($AS$11:$AS510&lt;&gt;"✓")),"")</f>
        <v/>
      </c>
      <c r="AZ510" s="21" t="str">
        <f>IF(AND($AM510&lt;&gt;"",$AS510="✓"),SUMPRODUCT(($AM$11:$AM510&lt;&gt;"")*($AS$11:$AS510="✓")),"")</f>
        <v/>
      </c>
      <c r="BA510" s="21" t="str">
        <f>IF($AL510="","",$AL510&amp;"|"&amp;COUNTIF($AL$11:$AL510,$AL510))</f>
        <v/>
      </c>
    </row>
    <row r="511" spans="2:53" ht="15" customHeight="1" x14ac:dyDescent="0.25">
      <c r="W511" s="14" t="str">
        <f>IF(X511="","",IFERROR(INDEX($AL$11:$AL$4010,MATCH(501,$AY$11:$AY$4010,0)),""))</f>
        <v/>
      </c>
      <c r="X511" s="12" t="str">
        <f>IFERROR(INDEX($AM$11:$AM$4010,MATCH(501,$AY$11:$AY$4010,0)),"")</f>
        <v/>
      </c>
      <c r="Y511" s="11" t="str">
        <f>IF(X511="","",IFERROR(INDEX($AN$11:$AN$4010,MATCH(501,$AY$11:$AY$4010,0)),""))</f>
        <v/>
      </c>
      <c r="Z511" s="11" t="str">
        <f>IF(X511="","",IFERROR(INDEX($AO$11:$AO$4010,MATCH(501,$AY$11:$AY$4010,0)),""))</f>
        <v/>
      </c>
      <c r="AA511" s="10" t="str">
        <f>IF(X511="","",IFERROR(INDEX($AQ$11:$AQ$4010,MATCH(501,$AY$11:$AY$4010,0)),""))</f>
        <v/>
      </c>
      <c r="AB511" s="15" t="str">
        <f>IF(X511="","",IFERROR(INDEX($AR$11:$AR$4010,MATCH(501,$AY$11:$AY$4010,0)),""))</f>
        <v/>
      </c>
      <c r="AD511" s="16" t="str">
        <f>IF(AE511="","",IFERROR(INDEX($AL$11:$AL$4010,MATCH(501,$AZ$11:$AZ$4010,0)),""))</f>
        <v/>
      </c>
      <c r="AE511" s="12" t="str">
        <f>IFERROR(INDEX($AM$11:$AM$4010,MATCH(501,$AZ$11:$AZ$4010,0)),"")</f>
        <v/>
      </c>
      <c r="AF511" s="11" t="str">
        <f>IF(AE511="","",IFERROR(INDEX($AN$11:$AN$4010,MATCH(501,$AZ$11:$AZ$4010,0)),""))</f>
        <v/>
      </c>
      <c r="AG511" s="11" t="str">
        <f>IF(AE511="","",IFERROR(INDEX($AO$11:$AO$4010,MATCH(501,$AZ$11:$AZ$4010,0)),""))</f>
        <v/>
      </c>
      <c r="AH511" s="10" t="str">
        <f>IF(AE511="","",IFERROR(INDEX($AQ$11:$AQ$4010,MATCH(501,$AZ$11:$AZ$4010,0)),""))</f>
        <v/>
      </c>
      <c r="AI511" s="15" t="str">
        <f>IF(AE511="","",IFERROR(INDEX($AR$11:$AR$4010,MATCH(501,$AZ$11:$AZ$4010,0)),""))</f>
        <v/>
      </c>
      <c r="AJ511" s="15" t="str">
        <f>IF(AE511="","",IFERROR(INDEX($AT$11:$AT$4010,MATCH(501,$AZ$11:$AZ$4010,0)),""))</f>
        <v/>
      </c>
      <c r="AL511" s="17"/>
      <c r="AM511" s="12"/>
      <c r="AN511" s="18"/>
      <c r="AO511" s="18"/>
      <c r="AP511" s="10"/>
      <c r="AQ511" s="10"/>
      <c r="AR511" s="19"/>
      <c r="AS511" s="20"/>
      <c r="AT511" s="19"/>
      <c r="AV511" s="21">
        <f>IF(AND($AL511&lt;&gt;"",COUNTIF($AL$11:$AL511,$AL511)=1),1,0)</f>
        <v>0</v>
      </c>
      <c r="AW511" s="21">
        <f t="shared" si="101"/>
        <v>2</v>
      </c>
      <c r="AX511" s="21" t="str">
        <f t="shared" si="100"/>
        <v/>
      </c>
      <c r="AY511" s="21" t="str">
        <f>IF(AND($AM511&lt;&gt;"",$AS511&lt;&gt;"✓"),SUMPRODUCT(($AM$11:$AM511&lt;&gt;"")*($AS$11:$AS511&lt;&gt;"✓")),"")</f>
        <v/>
      </c>
      <c r="AZ511" s="21" t="str">
        <f>IF(AND($AM511&lt;&gt;"",$AS511="✓"),SUMPRODUCT(($AM$11:$AM511&lt;&gt;"")*($AS$11:$AS511="✓")),"")</f>
        <v/>
      </c>
      <c r="BA511" s="21" t="str">
        <f>IF($AL511="","",$AL511&amp;"|"&amp;COUNTIF($AL$11:$AL511,$AL511))</f>
        <v/>
      </c>
    </row>
    <row r="512" spans="2:53" ht="15" customHeight="1" x14ac:dyDescent="0.25">
      <c r="W512" s="28" t="str">
        <f>IF(X512="","",IFERROR(INDEX($AL$11:$AL$4010,MATCH(502,$AY$11:$AY$4010,0)),""))</f>
        <v/>
      </c>
      <c r="X512" s="26" t="str">
        <f>IFERROR(INDEX($AM$11:$AM$4010,MATCH(502,$AY$11:$AY$4010,0)),"")</f>
        <v/>
      </c>
      <c r="Y512" s="25" t="str">
        <f>IF(X512="","",IFERROR(INDEX($AN$11:$AN$4010,MATCH(502,$AY$11:$AY$4010,0)),""))</f>
        <v/>
      </c>
      <c r="Z512" s="25" t="str">
        <f>IF(X512="","",IFERROR(INDEX($AO$11:$AO$4010,MATCH(502,$AY$11:$AY$4010,0)),""))</f>
        <v/>
      </c>
      <c r="AA512" s="24" t="str">
        <f>IF(X512="","",IFERROR(INDEX($AQ$11:$AQ$4010,MATCH(502,$AY$11:$AY$4010,0)),""))</f>
        <v/>
      </c>
      <c r="AB512" s="29" t="str">
        <f>IF(X512="","",IFERROR(INDEX($AR$11:$AR$4010,MATCH(502,$AY$11:$AY$4010,0)),""))</f>
        <v/>
      </c>
      <c r="AD512" s="30" t="str">
        <f>IF(AE512="","",IFERROR(INDEX($AL$11:$AL$4010,MATCH(502,$AZ$11:$AZ$4010,0)),""))</f>
        <v/>
      </c>
      <c r="AE512" s="26" t="str">
        <f>IFERROR(INDEX($AM$11:$AM$4010,MATCH(502,$AZ$11:$AZ$4010,0)),"")</f>
        <v/>
      </c>
      <c r="AF512" s="25" t="str">
        <f>IF(AE512="","",IFERROR(INDEX($AN$11:$AN$4010,MATCH(502,$AZ$11:$AZ$4010,0)),""))</f>
        <v/>
      </c>
      <c r="AG512" s="25" t="str">
        <f>IF(AE512="","",IFERROR(INDEX($AO$11:$AO$4010,MATCH(502,$AZ$11:$AZ$4010,0)),""))</f>
        <v/>
      </c>
      <c r="AH512" s="24" t="str">
        <f>IF(AE512="","",IFERROR(INDEX($AQ$11:$AQ$4010,MATCH(502,$AZ$11:$AZ$4010,0)),""))</f>
        <v/>
      </c>
      <c r="AI512" s="29" t="str">
        <f>IF(AE512="","",IFERROR(INDEX($AR$11:$AR$4010,MATCH(502,$AZ$11:$AZ$4010,0)),""))</f>
        <v/>
      </c>
      <c r="AJ512" s="29" t="str">
        <f>IF(AE512="","",IFERROR(INDEX($AT$11:$AT$4010,MATCH(502,$AZ$11:$AZ$4010,0)),""))</f>
        <v/>
      </c>
      <c r="AL512" s="31"/>
      <c r="AM512" s="26"/>
      <c r="AN512" s="32"/>
      <c r="AO512" s="32"/>
      <c r="AP512" s="24"/>
      <c r="AQ512" s="24"/>
      <c r="AR512" s="33"/>
      <c r="AS512" s="34"/>
      <c r="AT512" s="33"/>
      <c r="AV512" s="21">
        <f>IF(AND($AL512&lt;&gt;"",COUNTIF($AL$11:$AL512,$AL512)=1),1,0)</f>
        <v>0</v>
      </c>
      <c r="AW512" s="21">
        <f t="shared" si="101"/>
        <v>2</v>
      </c>
      <c r="AX512" s="21" t="str">
        <f t="shared" si="100"/>
        <v/>
      </c>
      <c r="AY512" s="21" t="str">
        <f>IF(AND($AM512&lt;&gt;"",$AS512&lt;&gt;"✓"),SUMPRODUCT(($AM$11:$AM512&lt;&gt;"")*($AS$11:$AS512&lt;&gt;"✓")),"")</f>
        <v/>
      </c>
      <c r="AZ512" s="21" t="str">
        <f>IF(AND($AM512&lt;&gt;"",$AS512="✓"),SUMPRODUCT(($AM$11:$AM512&lt;&gt;"")*($AS$11:$AS512="✓")),"")</f>
        <v/>
      </c>
      <c r="BA512" s="21" t="str">
        <f>IF($AL512="","",$AL512&amp;"|"&amp;COUNTIF($AL$11:$AL512,$AL512))</f>
        <v/>
      </c>
    </row>
    <row r="513" spans="23:53" ht="15" customHeight="1" x14ac:dyDescent="0.25">
      <c r="W513" s="14" t="str">
        <f>IF(X513="","",IFERROR(INDEX($AL$11:$AL$4010,MATCH(503,$AY$11:$AY$4010,0)),""))</f>
        <v/>
      </c>
      <c r="X513" s="12" t="str">
        <f>IFERROR(INDEX($AM$11:$AM$4010,MATCH(503,$AY$11:$AY$4010,0)),"")</f>
        <v/>
      </c>
      <c r="Y513" s="11" t="str">
        <f>IF(X513="","",IFERROR(INDEX($AN$11:$AN$4010,MATCH(503,$AY$11:$AY$4010,0)),""))</f>
        <v/>
      </c>
      <c r="Z513" s="11" t="str">
        <f>IF(X513="","",IFERROR(INDEX($AO$11:$AO$4010,MATCH(503,$AY$11:$AY$4010,0)),""))</f>
        <v/>
      </c>
      <c r="AA513" s="10" t="str">
        <f>IF(X513="","",IFERROR(INDEX($AQ$11:$AQ$4010,MATCH(503,$AY$11:$AY$4010,0)),""))</f>
        <v/>
      </c>
      <c r="AB513" s="15" t="str">
        <f>IF(X513="","",IFERROR(INDEX($AR$11:$AR$4010,MATCH(503,$AY$11:$AY$4010,0)),""))</f>
        <v/>
      </c>
      <c r="AD513" s="16" t="str">
        <f>IF(AE513="","",IFERROR(INDEX($AL$11:$AL$4010,MATCH(503,$AZ$11:$AZ$4010,0)),""))</f>
        <v/>
      </c>
      <c r="AE513" s="12" t="str">
        <f>IFERROR(INDEX($AM$11:$AM$4010,MATCH(503,$AZ$11:$AZ$4010,0)),"")</f>
        <v/>
      </c>
      <c r="AF513" s="11" t="str">
        <f>IF(AE513="","",IFERROR(INDEX($AN$11:$AN$4010,MATCH(503,$AZ$11:$AZ$4010,0)),""))</f>
        <v/>
      </c>
      <c r="AG513" s="11" t="str">
        <f>IF(AE513="","",IFERROR(INDEX($AO$11:$AO$4010,MATCH(503,$AZ$11:$AZ$4010,0)),""))</f>
        <v/>
      </c>
      <c r="AH513" s="10" t="str">
        <f>IF(AE513="","",IFERROR(INDEX($AQ$11:$AQ$4010,MATCH(503,$AZ$11:$AZ$4010,0)),""))</f>
        <v/>
      </c>
      <c r="AI513" s="15" t="str">
        <f>IF(AE513="","",IFERROR(INDEX($AR$11:$AR$4010,MATCH(503,$AZ$11:$AZ$4010,0)),""))</f>
        <v/>
      </c>
      <c r="AJ513" s="15" t="str">
        <f>IF(AE513="","",IFERROR(INDEX($AT$11:$AT$4010,MATCH(503,$AZ$11:$AZ$4010,0)),""))</f>
        <v/>
      </c>
      <c r="AL513" s="17"/>
      <c r="AM513" s="12"/>
      <c r="AN513" s="18"/>
      <c r="AO513" s="18"/>
      <c r="AP513" s="10"/>
      <c r="AQ513" s="10"/>
      <c r="AR513" s="19"/>
      <c r="AS513" s="20"/>
      <c r="AT513" s="19"/>
      <c r="AV513" s="21">
        <f>IF(AND($AL513&lt;&gt;"",COUNTIF($AL$11:$AL513,$AL513)=1),1,0)</f>
        <v>0</v>
      </c>
      <c r="AW513" s="21">
        <f t="shared" si="101"/>
        <v>2</v>
      </c>
      <c r="AX513" s="21" t="str">
        <f t="shared" si="100"/>
        <v/>
      </c>
      <c r="AY513" s="21" t="str">
        <f>IF(AND($AM513&lt;&gt;"",$AS513&lt;&gt;"✓"),SUMPRODUCT(($AM$11:$AM513&lt;&gt;"")*($AS$11:$AS513&lt;&gt;"✓")),"")</f>
        <v/>
      </c>
      <c r="AZ513" s="21" t="str">
        <f>IF(AND($AM513&lt;&gt;"",$AS513="✓"),SUMPRODUCT(($AM$11:$AM513&lt;&gt;"")*($AS$11:$AS513="✓")),"")</f>
        <v/>
      </c>
      <c r="BA513" s="21" t="str">
        <f>IF($AL513="","",$AL513&amp;"|"&amp;COUNTIF($AL$11:$AL513,$AL513))</f>
        <v/>
      </c>
    </row>
    <row r="514" spans="23:53" ht="15" customHeight="1" x14ac:dyDescent="0.25">
      <c r="W514" s="28" t="str">
        <f>IF(X514="","",IFERROR(INDEX($AL$11:$AL$4010,MATCH(504,$AY$11:$AY$4010,0)),""))</f>
        <v/>
      </c>
      <c r="X514" s="26" t="str">
        <f>IFERROR(INDEX($AM$11:$AM$4010,MATCH(504,$AY$11:$AY$4010,0)),"")</f>
        <v/>
      </c>
      <c r="Y514" s="25" t="str">
        <f>IF(X514="","",IFERROR(INDEX($AN$11:$AN$4010,MATCH(504,$AY$11:$AY$4010,0)),""))</f>
        <v/>
      </c>
      <c r="Z514" s="25" t="str">
        <f>IF(X514="","",IFERROR(INDEX($AO$11:$AO$4010,MATCH(504,$AY$11:$AY$4010,0)),""))</f>
        <v/>
      </c>
      <c r="AA514" s="24" t="str">
        <f>IF(X514="","",IFERROR(INDEX($AQ$11:$AQ$4010,MATCH(504,$AY$11:$AY$4010,0)),""))</f>
        <v/>
      </c>
      <c r="AB514" s="29" t="str">
        <f>IF(X514="","",IFERROR(INDEX($AR$11:$AR$4010,MATCH(504,$AY$11:$AY$4010,0)),""))</f>
        <v/>
      </c>
      <c r="AD514" s="30" t="str">
        <f>IF(AE514="","",IFERROR(INDEX($AL$11:$AL$4010,MATCH(504,$AZ$11:$AZ$4010,0)),""))</f>
        <v/>
      </c>
      <c r="AE514" s="26" t="str">
        <f>IFERROR(INDEX($AM$11:$AM$4010,MATCH(504,$AZ$11:$AZ$4010,0)),"")</f>
        <v/>
      </c>
      <c r="AF514" s="25" t="str">
        <f>IF(AE514="","",IFERROR(INDEX($AN$11:$AN$4010,MATCH(504,$AZ$11:$AZ$4010,0)),""))</f>
        <v/>
      </c>
      <c r="AG514" s="25" t="str">
        <f>IF(AE514="","",IFERROR(INDEX($AO$11:$AO$4010,MATCH(504,$AZ$11:$AZ$4010,0)),""))</f>
        <v/>
      </c>
      <c r="AH514" s="24" t="str">
        <f>IF(AE514="","",IFERROR(INDEX($AQ$11:$AQ$4010,MATCH(504,$AZ$11:$AZ$4010,0)),""))</f>
        <v/>
      </c>
      <c r="AI514" s="29" t="str">
        <f>IF(AE514="","",IFERROR(INDEX($AR$11:$AR$4010,MATCH(504,$AZ$11:$AZ$4010,0)),""))</f>
        <v/>
      </c>
      <c r="AJ514" s="29" t="str">
        <f>IF(AE514="","",IFERROR(INDEX($AT$11:$AT$4010,MATCH(504,$AZ$11:$AZ$4010,0)),""))</f>
        <v/>
      </c>
      <c r="AL514" s="31"/>
      <c r="AM514" s="26"/>
      <c r="AN514" s="32"/>
      <c r="AO514" s="32"/>
      <c r="AP514" s="24"/>
      <c r="AQ514" s="24"/>
      <c r="AR514" s="33"/>
      <c r="AS514" s="34"/>
      <c r="AT514" s="33"/>
      <c r="AV514" s="21">
        <f>IF(AND($AL514&lt;&gt;"",COUNTIF($AL$11:$AL514,$AL514)=1),1,0)</f>
        <v>0</v>
      </c>
      <c r="AW514" s="21">
        <f t="shared" si="101"/>
        <v>2</v>
      </c>
      <c r="AX514" s="21" t="str">
        <f t="shared" si="100"/>
        <v/>
      </c>
      <c r="AY514" s="21" t="str">
        <f>IF(AND($AM514&lt;&gt;"",$AS514&lt;&gt;"✓"),SUMPRODUCT(($AM$11:$AM514&lt;&gt;"")*($AS$11:$AS514&lt;&gt;"✓")),"")</f>
        <v/>
      </c>
      <c r="AZ514" s="21" t="str">
        <f>IF(AND($AM514&lt;&gt;"",$AS514="✓"),SUMPRODUCT(($AM$11:$AM514&lt;&gt;"")*($AS$11:$AS514="✓")),"")</f>
        <v/>
      </c>
      <c r="BA514" s="21" t="str">
        <f>IF($AL514="","",$AL514&amp;"|"&amp;COUNTIF($AL$11:$AL514,$AL514))</f>
        <v/>
      </c>
    </row>
    <row r="515" spans="23:53" ht="15" customHeight="1" x14ac:dyDescent="0.25">
      <c r="W515" s="14" t="str">
        <f>IF(X515="","",IFERROR(INDEX($AL$11:$AL$4010,MATCH(505,$AY$11:$AY$4010,0)),""))</f>
        <v/>
      </c>
      <c r="X515" s="12" t="str">
        <f>IFERROR(INDEX($AM$11:$AM$4010,MATCH(505,$AY$11:$AY$4010,0)),"")</f>
        <v/>
      </c>
      <c r="Y515" s="11" t="str">
        <f>IF(X515="","",IFERROR(INDEX($AN$11:$AN$4010,MATCH(505,$AY$11:$AY$4010,0)),""))</f>
        <v/>
      </c>
      <c r="Z515" s="11" t="str">
        <f>IF(X515="","",IFERROR(INDEX($AO$11:$AO$4010,MATCH(505,$AY$11:$AY$4010,0)),""))</f>
        <v/>
      </c>
      <c r="AA515" s="10" t="str">
        <f>IF(X515="","",IFERROR(INDEX($AQ$11:$AQ$4010,MATCH(505,$AY$11:$AY$4010,0)),""))</f>
        <v/>
      </c>
      <c r="AB515" s="15" t="str">
        <f>IF(X515="","",IFERROR(INDEX($AR$11:$AR$4010,MATCH(505,$AY$11:$AY$4010,0)),""))</f>
        <v/>
      </c>
      <c r="AD515" s="16" t="str">
        <f>IF(AE515="","",IFERROR(INDEX($AL$11:$AL$4010,MATCH(505,$AZ$11:$AZ$4010,0)),""))</f>
        <v/>
      </c>
      <c r="AE515" s="12" t="str">
        <f>IFERROR(INDEX($AM$11:$AM$4010,MATCH(505,$AZ$11:$AZ$4010,0)),"")</f>
        <v/>
      </c>
      <c r="AF515" s="11" t="str">
        <f>IF(AE515="","",IFERROR(INDEX($AN$11:$AN$4010,MATCH(505,$AZ$11:$AZ$4010,0)),""))</f>
        <v/>
      </c>
      <c r="AG515" s="11" t="str">
        <f>IF(AE515="","",IFERROR(INDEX($AO$11:$AO$4010,MATCH(505,$AZ$11:$AZ$4010,0)),""))</f>
        <v/>
      </c>
      <c r="AH515" s="10" t="str">
        <f>IF(AE515="","",IFERROR(INDEX($AQ$11:$AQ$4010,MATCH(505,$AZ$11:$AZ$4010,0)),""))</f>
        <v/>
      </c>
      <c r="AI515" s="15" t="str">
        <f>IF(AE515="","",IFERROR(INDEX($AR$11:$AR$4010,MATCH(505,$AZ$11:$AZ$4010,0)),""))</f>
        <v/>
      </c>
      <c r="AJ515" s="15" t="str">
        <f>IF(AE515="","",IFERROR(INDEX($AT$11:$AT$4010,MATCH(505,$AZ$11:$AZ$4010,0)),""))</f>
        <v/>
      </c>
      <c r="AL515" s="17"/>
      <c r="AM515" s="12"/>
      <c r="AN515" s="18"/>
      <c r="AO515" s="18"/>
      <c r="AP515" s="10"/>
      <c r="AQ515" s="10"/>
      <c r="AR515" s="19"/>
      <c r="AS515" s="20"/>
      <c r="AT515" s="19"/>
      <c r="AV515" s="21">
        <f>IF(AND($AL515&lt;&gt;"",COUNTIF($AL$11:$AL515,$AL515)=1),1,0)</f>
        <v>0</v>
      </c>
      <c r="AW515" s="21">
        <f t="shared" si="101"/>
        <v>2</v>
      </c>
      <c r="AX515" s="21" t="str">
        <f t="shared" si="100"/>
        <v/>
      </c>
      <c r="AY515" s="21" t="str">
        <f>IF(AND($AM515&lt;&gt;"",$AS515&lt;&gt;"✓"),SUMPRODUCT(($AM$11:$AM515&lt;&gt;"")*($AS$11:$AS515&lt;&gt;"✓")),"")</f>
        <v/>
      </c>
      <c r="AZ515" s="21" t="str">
        <f>IF(AND($AM515&lt;&gt;"",$AS515="✓"),SUMPRODUCT(($AM$11:$AM515&lt;&gt;"")*($AS$11:$AS515="✓")),"")</f>
        <v/>
      </c>
      <c r="BA515" s="21" t="str">
        <f>IF($AL515="","",$AL515&amp;"|"&amp;COUNTIF($AL$11:$AL515,$AL515))</f>
        <v/>
      </c>
    </row>
    <row r="516" spans="23:53" ht="15" customHeight="1" x14ac:dyDescent="0.25">
      <c r="W516" s="28" t="str">
        <f>IF(X516="","",IFERROR(INDEX($AL$11:$AL$4010,MATCH(506,$AY$11:$AY$4010,0)),""))</f>
        <v/>
      </c>
      <c r="X516" s="26" t="str">
        <f>IFERROR(INDEX($AM$11:$AM$4010,MATCH(506,$AY$11:$AY$4010,0)),"")</f>
        <v/>
      </c>
      <c r="Y516" s="25" t="str">
        <f>IF(X516="","",IFERROR(INDEX($AN$11:$AN$4010,MATCH(506,$AY$11:$AY$4010,0)),""))</f>
        <v/>
      </c>
      <c r="Z516" s="25" t="str">
        <f>IF(X516="","",IFERROR(INDEX($AO$11:$AO$4010,MATCH(506,$AY$11:$AY$4010,0)),""))</f>
        <v/>
      </c>
      <c r="AA516" s="24" t="str">
        <f>IF(X516="","",IFERROR(INDEX($AQ$11:$AQ$4010,MATCH(506,$AY$11:$AY$4010,0)),""))</f>
        <v/>
      </c>
      <c r="AB516" s="29" t="str">
        <f>IF(X516="","",IFERROR(INDEX($AR$11:$AR$4010,MATCH(506,$AY$11:$AY$4010,0)),""))</f>
        <v/>
      </c>
      <c r="AD516" s="30" t="str">
        <f>IF(AE516="","",IFERROR(INDEX($AL$11:$AL$4010,MATCH(506,$AZ$11:$AZ$4010,0)),""))</f>
        <v/>
      </c>
      <c r="AE516" s="26" t="str">
        <f>IFERROR(INDEX($AM$11:$AM$4010,MATCH(506,$AZ$11:$AZ$4010,0)),"")</f>
        <v/>
      </c>
      <c r="AF516" s="25" t="str">
        <f>IF(AE516="","",IFERROR(INDEX($AN$11:$AN$4010,MATCH(506,$AZ$11:$AZ$4010,0)),""))</f>
        <v/>
      </c>
      <c r="AG516" s="25" t="str">
        <f>IF(AE516="","",IFERROR(INDEX($AO$11:$AO$4010,MATCH(506,$AZ$11:$AZ$4010,0)),""))</f>
        <v/>
      </c>
      <c r="AH516" s="24" t="str">
        <f>IF(AE516="","",IFERROR(INDEX($AQ$11:$AQ$4010,MATCH(506,$AZ$11:$AZ$4010,0)),""))</f>
        <v/>
      </c>
      <c r="AI516" s="29" t="str">
        <f>IF(AE516="","",IFERROR(INDEX($AR$11:$AR$4010,MATCH(506,$AZ$11:$AZ$4010,0)),""))</f>
        <v/>
      </c>
      <c r="AJ516" s="29" t="str">
        <f>IF(AE516="","",IFERROR(INDEX($AT$11:$AT$4010,MATCH(506,$AZ$11:$AZ$4010,0)),""))</f>
        <v/>
      </c>
      <c r="AL516" s="31"/>
      <c r="AM516" s="26"/>
      <c r="AN516" s="32"/>
      <c r="AO516" s="32"/>
      <c r="AP516" s="24"/>
      <c r="AQ516" s="24"/>
      <c r="AR516" s="33"/>
      <c r="AS516" s="34"/>
      <c r="AT516" s="33"/>
      <c r="AV516" s="21">
        <f>IF(AND($AL516&lt;&gt;"",COUNTIF($AL$11:$AL516,$AL516)=1),1,0)</f>
        <v>0</v>
      </c>
      <c r="AW516" s="21">
        <f t="shared" si="101"/>
        <v>2</v>
      </c>
      <c r="AX516" s="21" t="str">
        <f t="shared" si="100"/>
        <v/>
      </c>
      <c r="AY516" s="21" t="str">
        <f>IF(AND($AM516&lt;&gt;"",$AS516&lt;&gt;"✓"),SUMPRODUCT(($AM$11:$AM516&lt;&gt;"")*($AS$11:$AS516&lt;&gt;"✓")),"")</f>
        <v/>
      </c>
      <c r="AZ516" s="21" t="str">
        <f>IF(AND($AM516&lt;&gt;"",$AS516="✓"),SUMPRODUCT(($AM$11:$AM516&lt;&gt;"")*($AS$11:$AS516="✓")),"")</f>
        <v/>
      </c>
      <c r="BA516" s="21" t="str">
        <f>IF($AL516="","",$AL516&amp;"|"&amp;COUNTIF($AL$11:$AL516,$AL516))</f>
        <v/>
      </c>
    </row>
    <row r="517" spans="23:53" ht="15" customHeight="1" x14ac:dyDescent="0.25">
      <c r="W517" s="14" t="str">
        <f>IF(X517="","",IFERROR(INDEX($AL$11:$AL$4010,MATCH(507,$AY$11:$AY$4010,0)),""))</f>
        <v/>
      </c>
      <c r="X517" s="12" t="str">
        <f>IFERROR(INDEX($AM$11:$AM$4010,MATCH(507,$AY$11:$AY$4010,0)),"")</f>
        <v/>
      </c>
      <c r="Y517" s="11" t="str">
        <f>IF(X517="","",IFERROR(INDEX($AN$11:$AN$4010,MATCH(507,$AY$11:$AY$4010,0)),""))</f>
        <v/>
      </c>
      <c r="Z517" s="11" t="str">
        <f>IF(X517="","",IFERROR(INDEX($AO$11:$AO$4010,MATCH(507,$AY$11:$AY$4010,0)),""))</f>
        <v/>
      </c>
      <c r="AA517" s="10" t="str">
        <f>IF(X517="","",IFERROR(INDEX($AQ$11:$AQ$4010,MATCH(507,$AY$11:$AY$4010,0)),""))</f>
        <v/>
      </c>
      <c r="AB517" s="15" t="str">
        <f>IF(X517="","",IFERROR(INDEX($AR$11:$AR$4010,MATCH(507,$AY$11:$AY$4010,0)),""))</f>
        <v/>
      </c>
      <c r="AD517" s="16" t="str">
        <f>IF(AE517="","",IFERROR(INDEX($AL$11:$AL$4010,MATCH(507,$AZ$11:$AZ$4010,0)),""))</f>
        <v/>
      </c>
      <c r="AE517" s="12" t="str">
        <f>IFERROR(INDEX($AM$11:$AM$4010,MATCH(507,$AZ$11:$AZ$4010,0)),"")</f>
        <v/>
      </c>
      <c r="AF517" s="11" t="str">
        <f>IF(AE517="","",IFERROR(INDEX($AN$11:$AN$4010,MATCH(507,$AZ$11:$AZ$4010,0)),""))</f>
        <v/>
      </c>
      <c r="AG517" s="11" t="str">
        <f>IF(AE517="","",IFERROR(INDEX($AO$11:$AO$4010,MATCH(507,$AZ$11:$AZ$4010,0)),""))</f>
        <v/>
      </c>
      <c r="AH517" s="10" t="str">
        <f>IF(AE517="","",IFERROR(INDEX($AQ$11:$AQ$4010,MATCH(507,$AZ$11:$AZ$4010,0)),""))</f>
        <v/>
      </c>
      <c r="AI517" s="15" t="str">
        <f>IF(AE517="","",IFERROR(INDEX($AR$11:$AR$4010,MATCH(507,$AZ$11:$AZ$4010,0)),""))</f>
        <v/>
      </c>
      <c r="AJ517" s="15" t="str">
        <f>IF(AE517="","",IFERROR(INDEX($AT$11:$AT$4010,MATCH(507,$AZ$11:$AZ$4010,0)),""))</f>
        <v/>
      </c>
      <c r="AL517" s="17"/>
      <c r="AM517" s="12"/>
      <c r="AN517" s="18"/>
      <c r="AO517" s="18"/>
      <c r="AP517" s="10"/>
      <c r="AQ517" s="10"/>
      <c r="AR517" s="19"/>
      <c r="AS517" s="20"/>
      <c r="AT517" s="19"/>
      <c r="AV517" s="21">
        <f>IF(AND($AL517&lt;&gt;"",COUNTIF($AL$11:$AL517,$AL517)=1),1,0)</f>
        <v>0</v>
      </c>
      <c r="AW517" s="21">
        <f t="shared" si="101"/>
        <v>2</v>
      </c>
      <c r="AX517" s="21" t="str">
        <f t="shared" si="100"/>
        <v/>
      </c>
      <c r="AY517" s="21" t="str">
        <f>IF(AND($AM517&lt;&gt;"",$AS517&lt;&gt;"✓"),SUMPRODUCT(($AM$11:$AM517&lt;&gt;"")*($AS$11:$AS517&lt;&gt;"✓")),"")</f>
        <v/>
      </c>
      <c r="AZ517" s="21" t="str">
        <f>IF(AND($AM517&lt;&gt;"",$AS517="✓"),SUMPRODUCT(($AM$11:$AM517&lt;&gt;"")*($AS$11:$AS517="✓")),"")</f>
        <v/>
      </c>
      <c r="BA517" s="21" t="str">
        <f>IF($AL517="","",$AL517&amp;"|"&amp;COUNTIF($AL$11:$AL517,$AL517))</f>
        <v/>
      </c>
    </row>
    <row r="518" spans="23:53" ht="15" customHeight="1" x14ac:dyDescent="0.25">
      <c r="W518" s="28" t="str">
        <f>IF(X518="","",IFERROR(INDEX($AL$11:$AL$4010,MATCH(508,$AY$11:$AY$4010,0)),""))</f>
        <v/>
      </c>
      <c r="X518" s="26" t="str">
        <f>IFERROR(INDEX($AM$11:$AM$4010,MATCH(508,$AY$11:$AY$4010,0)),"")</f>
        <v/>
      </c>
      <c r="Y518" s="25" t="str">
        <f>IF(X518="","",IFERROR(INDEX($AN$11:$AN$4010,MATCH(508,$AY$11:$AY$4010,0)),""))</f>
        <v/>
      </c>
      <c r="Z518" s="25" t="str">
        <f>IF(X518="","",IFERROR(INDEX($AO$11:$AO$4010,MATCH(508,$AY$11:$AY$4010,0)),""))</f>
        <v/>
      </c>
      <c r="AA518" s="24" t="str">
        <f>IF(X518="","",IFERROR(INDEX($AQ$11:$AQ$4010,MATCH(508,$AY$11:$AY$4010,0)),""))</f>
        <v/>
      </c>
      <c r="AB518" s="29" t="str">
        <f>IF(X518="","",IFERROR(INDEX($AR$11:$AR$4010,MATCH(508,$AY$11:$AY$4010,0)),""))</f>
        <v/>
      </c>
      <c r="AD518" s="30" t="str">
        <f>IF(AE518="","",IFERROR(INDEX($AL$11:$AL$4010,MATCH(508,$AZ$11:$AZ$4010,0)),""))</f>
        <v/>
      </c>
      <c r="AE518" s="26" t="str">
        <f>IFERROR(INDEX($AM$11:$AM$4010,MATCH(508,$AZ$11:$AZ$4010,0)),"")</f>
        <v/>
      </c>
      <c r="AF518" s="25" t="str">
        <f>IF(AE518="","",IFERROR(INDEX($AN$11:$AN$4010,MATCH(508,$AZ$11:$AZ$4010,0)),""))</f>
        <v/>
      </c>
      <c r="AG518" s="25" t="str">
        <f>IF(AE518="","",IFERROR(INDEX($AO$11:$AO$4010,MATCH(508,$AZ$11:$AZ$4010,0)),""))</f>
        <v/>
      </c>
      <c r="AH518" s="24" t="str">
        <f>IF(AE518="","",IFERROR(INDEX($AQ$11:$AQ$4010,MATCH(508,$AZ$11:$AZ$4010,0)),""))</f>
        <v/>
      </c>
      <c r="AI518" s="29" t="str">
        <f>IF(AE518="","",IFERROR(INDEX($AR$11:$AR$4010,MATCH(508,$AZ$11:$AZ$4010,0)),""))</f>
        <v/>
      </c>
      <c r="AJ518" s="29" t="str">
        <f>IF(AE518="","",IFERROR(INDEX($AT$11:$AT$4010,MATCH(508,$AZ$11:$AZ$4010,0)),""))</f>
        <v/>
      </c>
      <c r="AL518" s="31"/>
      <c r="AM518" s="26"/>
      <c r="AN518" s="32"/>
      <c r="AO518" s="32"/>
      <c r="AP518" s="24"/>
      <c r="AQ518" s="24"/>
      <c r="AR518" s="33"/>
      <c r="AS518" s="34"/>
      <c r="AT518" s="33"/>
      <c r="AV518" s="21">
        <f>IF(AND($AL518&lt;&gt;"",COUNTIF($AL$11:$AL518,$AL518)=1),1,0)</f>
        <v>0</v>
      </c>
      <c r="AW518" s="21">
        <f t="shared" si="101"/>
        <v>2</v>
      </c>
      <c r="AX518" s="21" t="str">
        <f t="shared" si="100"/>
        <v/>
      </c>
      <c r="AY518" s="21" t="str">
        <f>IF(AND($AM518&lt;&gt;"",$AS518&lt;&gt;"✓"),SUMPRODUCT(($AM$11:$AM518&lt;&gt;"")*($AS$11:$AS518&lt;&gt;"✓")),"")</f>
        <v/>
      </c>
      <c r="AZ518" s="21" t="str">
        <f>IF(AND($AM518&lt;&gt;"",$AS518="✓"),SUMPRODUCT(($AM$11:$AM518&lt;&gt;"")*($AS$11:$AS518="✓")),"")</f>
        <v/>
      </c>
      <c r="BA518" s="21" t="str">
        <f>IF($AL518="","",$AL518&amp;"|"&amp;COUNTIF($AL$11:$AL518,$AL518))</f>
        <v/>
      </c>
    </row>
    <row r="519" spans="23:53" ht="15" customHeight="1" x14ac:dyDescent="0.25">
      <c r="W519" s="14" t="str">
        <f>IF(X519="","",IFERROR(INDEX($AL$11:$AL$4010,MATCH(509,$AY$11:$AY$4010,0)),""))</f>
        <v/>
      </c>
      <c r="X519" s="12" t="str">
        <f>IFERROR(INDEX($AM$11:$AM$4010,MATCH(509,$AY$11:$AY$4010,0)),"")</f>
        <v/>
      </c>
      <c r="Y519" s="11" t="str">
        <f>IF(X519="","",IFERROR(INDEX($AN$11:$AN$4010,MATCH(509,$AY$11:$AY$4010,0)),""))</f>
        <v/>
      </c>
      <c r="Z519" s="11" t="str">
        <f>IF(X519="","",IFERROR(INDEX($AO$11:$AO$4010,MATCH(509,$AY$11:$AY$4010,0)),""))</f>
        <v/>
      </c>
      <c r="AA519" s="10" t="str">
        <f>IF(X519="","",IFERROR(INDEX($AQ$11:$AQ$4010,MATCH(509,$AY$11:$AY$4010,0)),""))</f>
        <v/>
      </c>
      <c r="AB519" s="15" t="str">
        <f>IF(X519="","",IFERROR(INDEX($AR$11:$AR$4010,MATCH(509,$AY$11:$AY$4010,0)),""))</f>
        <v/>
      </c>
      <c r="AD519" s="16" t="str">
        <f>IF(AE519="","",IFERROR(INDEX($AL$11:$AL$4010,MATCH(509,$AZ$11:$AZ$4010,0)),""))</f>
        <v/>
      </c>
      <c r="AE519" s="12" t="str">
        <f>IFERROR(INDEX($AM$11:$AM$4010,MATCH(509,$AZ$11:$AZ$4010,0)),"")</f>
        <v/>
      </c>
      <c r="AF519" s="11" t="str">
        <f>IF(AE519="","",IFERROR(INDEX($AN$11:$AN$4010,MATCH(509,$AZ$11:$AZ$4010,0)),""))</f>
        <v/>
      </c>
      <c r="AG519" s="11" t="str">
        <f>IF(AE519="","",IFERROR(INDEX($AO$11:$AO$4010,MATCH(509,$AZ$11:$AZ$4010,0)),""))</f>
        <v/>
      </c>
      <c r="AH519" s="10" t="str">
        <f>IF(AE519="","",IFERROR(INDEX($AQ$11:$AQ$4010,MATCH(509,$AZ$11:$AZ$4010,0)),""))</f>
        <v/>
      </c>
      <c r="AI519" s="15" t="str">
        <f>IF(AE519="","",IFERROR(INDEX($AR$11:$AR$4010,MATCH(509,$AZ$11:$AZ$4010,0)),""))</f>
        <v/>
      </c>
      <c r="AJ519" s="15" t="str">
        <f>IF(AE519="","",IFERROR(INDEX($AT$11:$AT$4010,MATCH(509,$AZ$11:$AZ$4010,0)),""))</f>
        <v/>
      </c>
      <c r="AL519" s="17"/>
      <c r="AM519" s="12"/>
      <c r="AN519" s="18"/>
      <c r="AO519" s="18"/>
      <c r="AP519" s="10"/>
      <c r="AQ519" s="10"/>
      <c r="AR519" s="19"/>
      <c r="AS519" s="20"/>
      <c r="AT519" s="19"/>
      <c r="AV519" s="21">
        <f>IF(AND($AL519&lt;&gt;"",COUNTIF($AL$11:$AL519,$AL519)=1),1,0)</f>
        <v>0</v>
      </c>
      <c r="AW519" s="21">
        <f t="shared" si="101"/>
        <v>2</v>
      </c>
      <c r="AX519" s="21" t="str">
        <f t="shared" si="100"/>
        <v/>
      </c>
      <c r="AY519" s="21" t="str">
        <f>IF(AND($AM519&lt;&gt;"",$AS519&lt;&gt;"✓"),SUMPRODUCT(($AM$11:$AM519&lt;&gt;"")*($AS$11:$AS519&lt;&gt;"✓")),"")</f>
        <v/>
      </c>
      <c r="AZ519" s="21" t="str">
        <f>IF(AND($AM519&lt;&gt;"",$AS519="✓"),SUMPRODUCT(($AM$11:$AM519&lt;&gt;"")*($AS$11:$AS519="✓")),"")</f>
        <v/>
      </c>
      <c r="BA519" s="21" t="str">
        <f>IF($AL519="","",$AL519&amp;"|"&amp;COUNTIF($AL$11:$AL519,$AL519))</f>
        <v/>
      </c>
    </row>
    <row r="520" spans="23:53" ht="15" customHeight="1" x14ac:dyDescent="0.25">
      <c r="W520" s="28" t="str">
        <f>IF(X520="","",IFERROR(INDEX($AL$11:$AL$4010,MATCH(510,$AY$11:$AY$4010,0)),""))</f>
        <v/>
      </c>
      <c r="X520" s="26" t="str">
        <f>IFERROR(INDEX($AM$11:$AM$4010,MATCH(510,$AY$11:$AY$4010,0)),"")</f>
        <v/>
      </c>
      <c r="Y520" s="25" t="str">
        <f>IF(X520="","",IFERROR(INDEX($AN$11:$AN$4010,MATCH(510,$AY$11:$AY$4010,0)),""))</f>
        <v/>
      </c>
      <c r="Z520" s="25" t="str">
        <f>IF(X520="","",IFERROR(INDEX($AO$11:$AO$4010,MATCH(510,$AY$11:$AY$4010,0)),""))</f>
        <v/>
      </c>
      <c r="AA520" s="24" t="str">
        <f>IF(X520="","",IFERROR(INDEX($AQ$11:$AQ$4010,MATCH(510,$AY$11:$AY$4010,0)),""))</f>
        <v/>
      </c>
      <c r="AB520" s="29" t="str">
        <f>IF(X520="","",IFERROR(INDEX($AR$11:$AR$4010,MATCH(510,$AY$11:$AY$4010,0)),""))</f>
        <v/>
      </c>
      <c r="AD520" s="30" t="str">
        <f>IF(AE520="","",IFERROR(INDEX($AL$11:$AL$4010,MATCH(510,$AZ$11:$AZ$4010,0)),""))</f>
        <v/>
      </c>
      <c r="AE520" s="26" t="str">
        <f>IFERROR(INDEX($AM$11:$AM$4010,MATCH(510,$AZ$11:$AZ$4010,0)),"")</f>
        <v/>
      </c>
      <c r="AF520" s="25" t="str">
        <f>IF(AE520="","",IFERROR(INDEX($AN$11:$AN$4010,MATCH(510,$AZ$11:$AZ$4010,0)),""))</f>
        <v/>
      </c>
      <c r="AG520" s="25" t="str">
        <f>IF(AE520="","",IFERROR(INDEX($AO$11:$AO$4010,MATCH(510,$AZ$11:$AZ$4010,0)),""))</f>
        <v/>
      </c>
      <c r="AH520" s="24" t="str">
        <f>IF(AE520="","",IFERROR(INDEX($AQ$11:$AQ$4010,MATCH(510,$AZ$11:$AZ$4010,0)),""))</f>
        <v/>
      </c>
      <c r="AI520" s="29" t="str">
        <f>IF(AE520="","",IFERROR(INDEX($AR$11:$AR$4010,MATCH(510,$AZ$11:$AZ$4010,0)),""))</f>
        <v/>
      </c>
      <c r="AJ520" s="29" t="str">
        <f>IF(AE520="","",IFERROR(INDEX($AT$11:$AT$4010,MATCH(510,$AZ$11:$AZ$4010,0)),""))</f>
        <v/>
      </c>
      <c r="AL520" s="31"/>
      <c r="AM520" s="26"/>
      <c r="AN520" s="32"/>
      <c r="AO520" s="32"/>
      <c r="AP520" s="24"/>
      <c r="AQ520" s="24"/>
      <c r="AR520" s="33"/>
      <c r="AS520" s="34"/>
      <c r="AT520" s="33"/>
      <c r="AV520" s="21">
        <f>IF(AND($AL520&lt;&gt;"",COUNTIF($AL$11:$AL520,$AL520)=1),1,0)</f>
        <v>0</v>
      </c>
      <c r="AW520" s="21">
        <f t="shared" si="101"/>
        <v>2</v>
      </c>
      <c r="AX520" s="21" t="str">
        <f t="shared" si="100"/>
        <v/>
      </c>
      <c r="AY520" s="21" t="str">
        <f>IF(AND($AM520&lt;&gt;"",$AS520&lt;&gt;"✓"),SUMPRODUCT(($AM$11:$AM520&lt;&gt;"")*($AS$11:$AS520&lt;&gt;"✓")),"")</f>
        <v/>
      </c>
      <c r="AZ520" s="21" t="str">
        <f>IF(AND($AM520&lt;&gt;"",$AS520="✓"),SUMPRODUCT(($AM$11:$AM520&lt;&gt;"")*($AS$11:$AS520="✓")),"")</f>
        <v/>
      </c>
      <c r="BA520" s="21" t="str">
        <f>IF($AL520="","",$AL520&amp;"|"&amp;COUNTIF($AL$11:$AL520,$AL520))</f>
        <v/>
      </c>
    </row>
    <row r="521" spans="23:53" ht="15" customHeight="1" x14ac:dyDescent="0.25">
      <c r="W521" s="14" t="str">
        <f>IF(X521="","",IFERROR(INDEX($AL$11:$AL$4010,MATCH(511,$AY$11:$AY$4010,0)),""))</f>
        <v/>
      </c>
      <c r="X521" s="12" t="str">
        <f>IFERROR(INDEX($AM$11:$AM$4010,MATCH(511,$AY$11:$AY$4010,0)),"")</f>
        <v/>
      </c>
      <c r="Y521" s="11" t="str">
        <f>IF(X521="","",IFERROR(INDEX($AN$11:$AN$4010,MATCH(511,$AY$11:$AY$4010,0)),""))</f>
        <v/>
      </c>
      <c r="Z521" s="11" t="str">
        <f>IF(X521="","",IFERROR(INDEX($AO$11:$AO$4010,MATCH(511,$AY$11:$AY$4010,0)),""))</f>
        <v/>
      </c>
      <c r="AA521" s="10" t="str">
        <f>IF(X521="","",IFERROR(INDEX($AQ$11:$AQ$4010,MATCH(511,$AY$11:$AY$4010,0)),""))</f>
        <v/>
      </c>
      <c r="AB521" s="15" t="str">
        <f>IF(X521="","",IFERROR(INDEX($AR$11:$AR$4010,MATCH(511,$AY$11:$AY$4010,0)),""))</f>
        <v/>
      </c>
      <c r="AD521" s="16" t="str">
        <f>IF(AE521="","",IFERROR(INDEX($AL$11:$AL$4010,MATCH(511,$AZ$11:$AZ$4010,0)),""))</f>
        <v/>
      </c>
      <c r="AE521" s="12" t="str">
        <f>IFERROR(INDEX($AM$11:$AM$4010,MATCH(511,$AZ$11:$AZ$4010,0)),"")</f>
        <v/>
      </c>
      <c r="AF521" s="11" t="str">
        <f>IF(AE521="","",IFERROR(INDEX($AN$11:$AN$4010,MATCH(511,$AZ$11:$AZ$4010,0)),""))</f>
        <v/>
      </c>
      <c r="AG521" s="11" t="str">
        <f>IF(AE521="","",IFERROR(INDEX($AO$11:$AO$4010,MATCH(511,$AZ$11:$AZ$4010,0)),""))</f>
        <v/>
      </c>
      <c r="AH521" s="10" t="str">
        <f>IF(AE521="","",IFERROR(INDEX($AQ$11:$AQ$4010,MATCH(511,$AZ$11:$AZ$4010,0)),""))</f>
        <v/>
      </c>
      <c r="AI521" s="15" t="str">
        <f>IF(AE521="","",IFERROR(INDEX($AR$11:$AR$4010,MATCH(511,$AZ$11:$AZ$4010,0)),""))</f>
        <v/>
      </c>
      <c r="AJ521" s="15" t="str">
        <f>IF(AE521="","",IFERROR(INDEX($AT$11:$AT$4010,MATCH(511,$AZ$11:$AZ$4010,0)),""))</f>
        <v/>
      </c>
      <c r="AL521" s="17"/>
      <c r="AM521" s="12"/>
      <c r="AN521" s="18"/>
      <c r="AO521" s="18"/>
      <c r="AP521" s="10"/>
      <c r="AQ521" s="10"/>
      <c r="AR521" s="19"/>
      <c r="AS521" s="20"/>
      <c r="AT521" s="19"/>
      <c r="AV521" s="21">
        <f>IF(AND($AL521&lt;&gt;"",COUNTIF($AL$11:$AL521,$AL521)=1),1,0)</f>
        <v>0</v>
      </c>
      <c r="AW521" s="21">
        <f t="shared" si="101"/>
        <v>2</v>
      </c>
      <c r="AX521" s="21" t="str">
        <f t="shared" si="100"/>
        <v/>
      </c>
      <c r="AY521" s="21" t="str">
        <f>IF(AND($AM521&lt;&gt;"",$AS521&lt;&gt;"✓"),SUMPRODUCT(($AM$11:$AM521&lt;&gt;"")*($AS$11:$AS521&lt;&gt;"✓")),"")</f>
        <v/>
      </c>
      <c r="AZ521" s="21" t="str">
        <f>IF(AND($AM521&lt;&gt;"",$AS521="✓"),SUMPRODUCT(($AM$11:$AM521&lt;&gt;"")*($AS$11:$AS521="✓")),"")</f>
        <v/>
      </c>
      <c r="BA521" s="21" t="str">
        <f>IF($AL521="","",$AL521&amp;"|"&amp;COUNTIF($AL$11:$AL521,$AL521))</f>
        <v/>
      </c>
    </row>
    <row r="522" spans="23:53" ht="15" customHeight="1" x14ac:dyDescent="0.25">
      <c r="W522" s="28" t="str">
        <f>IF(X522="","",IFERROR(INDEX($AL$11:$AL$4010,MATCH(512,$AY$11:$AY$4010,0)),""))</f>
        <v/>
      </c>
      <c r="X522" s="26" t="str">
        <f>IFERROR(INDEX($AM$11:$AM$4010,MATCH(512,$AY$11:$AY$4010,0)),"")</f>
        <v/>
      </c>
      <c r="Y522" s="25" t="str">
        <f>IF(X522="","",IFERROR(INDEX($AN$11:$AN$4010,MATCH(512,$AY$11:$AY$4010,0)),""))</f>
        <v/>
      </c>
      <c r="Z522" s="25" t="str">
        <f>IF(X522="","",IFERROR(INDEX($AO$11:$AO$4010,MATCH(512,$AY$11:$AY$4010,0)),""))</f>
        <v/>
      </c>
      <c r="AA522" s="24" t="str">
        <f>IF(X522="","",IFERROR(INDEX($AQ$11:$AQ$4010,MATCH(512,$AY$11:$AY$4010,0)),""))</f>
        <v/>
      </c>
      <c r="AB522" s="29" t="str">
        <f>IF(X522="","",IFERROR(INDEX($AR$11:$AR$4010,MATCH(512,$AY$11:$AY$4010,0)),""))</f>
        <v/>
      </c>
      <c r="AD522" s="30" t="str">
        <f>IF(AE522="","",IFERROR(INDEX($AL$11:$AL$4010,MATCH(512,$AZ$11:$AZ$4010,0)),""))</f>
        <v/>
      </c>
      <c r="AE522" s="26" t="str">
        <f>IFERROR(INDEX($AM$11:$AM$4010,MATCH(512,$AZ$11:$AZ$4010,0)),"")</f>
        <v/>
      </c>
      <c r="AF522" s="25" t="str">
        <f>IF(AE522="","",IFERROR(INDEX($AN$11:$AN$4010,MATCH(512,$AZ$11:$AZ$4010,0)),""))</f>
        <v/>
      </c>
      <c r="AG522" s="25" t="str">
        <f>IF(AE522="","",IFERROR(INDEX($AO$11:$AO$4010,MATCH(512,$AZ$11:$AZ$4010,0)),""))</f>
        <v/>
      </c>
      <c r="AH522" s="24" t="str">
        <f>IF(AE522="","",IFERROR(INDEX($AQ$11:$AQ$4010,MATCH(512,$AZ$11:$AZ$4010,0)),""))</f>
        <v/>
      </c>
      <c r="AI522" s="29" t="str">
        <f>IF(AE522="","",IFERROR(INDEX($AR$11:$AR$4010,MATCH(512,$AZ$11:$AZ$4010,0)),""))</f>
        <v/>
      </c>
      <c r="AJ522" s="29" t="str">
        <f>IF(AE522="","",IFERROR(INDEX($AT$11:$AT$4010,MATCH(512,$AZ$11:$AZ$4010,0)),""))</f>
        <v/>
      </c>
      <c r="AL522" s="31"/>
      <c r="AM522" s="26"/>
      <c r="AN522" s="32"/>
      <c r="AO522" s="32"/>
      <c r="AP522" s="24"/>
      <c r="AQ522" s="24"/>
      <c r="AR522" s="33"/>
      <c r="AS522" s="34"/>
      <c r="AT522" s="33"/>
      <c r="AV522" s="21">
        <f>IF(AND($AL522&lt;&gt;"",COUNTIF($AL$11:$AL522,$AL522)=1),1,0)</f>
        <v>0</v>
      </c>
      <c r="AW522" s="21">
        <f t="shared" si="101"/>
        <v>2</v>
      </c>
      <c r="AX522" s="21" t="str">
        <f t="shared" si="100"/>
        <v/>
      </c>
      <c r="AY522" s="21" t="str">
        <f>IF(AND($AM522&lt;&gt;"",$AS522&lt;&gt;"✓"),SUMPRODUCT(($AM$11:$AM522&lt;&gt;"")*($AS$11:$AS522&lt;&gt;"✓")),"")</f>
        <v/>
      </c>
      <c r="AZ522" s="21" t="str">
        <f>IF(AND($AM522&lt;&gt;"",$AS522="✓"),SUMPRODUCT(($AM$11:$AM522&lt;&gt;"")*($AS$11:$AS522="✓")),"")</f>
        <v/>
      </c>
      <c r="BA522" s="21" t="str">
        <f>IF($AL522="","",$AL522&amp;"|"&amp;COUNTIF($AL$11:$AL522,$AL522))</f>
        <v/>
      </c>
    </row>
    <row r="523" spans="23:53" ht="15" customHeight="1" x14ac:dyDescent="0.25">
      <c r="W523" s="14" t="str">
        <f>IF(X523="","",IFERROR(INDEX($AL$11:$AL$4010,MATCH(513,$AY$11:$AY$4010,0)),""))</f>
        <v/>
      </c>
      <c r="X523" s="12" t="str">
        <f>IFERROR(INDEX($AM$11:$AM$4010,MATCH(513,$AY$11:$AY$4010,0)),"")</f>
        <v/>
      </c>
      <c r="Y523" s="11" t="str">
        <f>IF(X523="","",IFERROR(INDEX($AN$11:$AN$4010,MATCH(513,$AY$11:$AY$4010,0)),""))</f>
        <v/>
      </c>
      <c r="Z523" s="11" t="str">
        <f>IF(X523="","",IFERROR(INDEX($AO$11:$AO$4010,MATCH(513,$AY$11:$AY$4010,0)),""))</f>
        <v/>
      </c>
      <c r="AA523" s="10" t="str">
        <f>IF(X523="","",IFERROR(INDEX($AQ$11:$AQ$4010,MATCH(513,$AY$11:$AY$4010,0)),""))</f>
        <v/>
      </c>
      <c r="AB523" s="15" t="str">
        <f>IF(X523="","",IFERROR(INDEX($AR$11:$AR$4010,MATCH(513,$AY$11:$AY$4010,0)),""))</f>
        <v/>
      </c>
      <c r="AD523" s="16" t="str">
        <f>IF(AE523="","",IFERROR(INDEX($AL$11:$AL$4010,MATCH(513,$AZ$11:$AZ$4010,0)),""))</f>
        <v/>
      </c>
      <c r="AE523" s="12" t="str">
        <f>IFERROR(INDEX($AM$11:$AM$4010,MATCH(513,$AZ$11:$AZ$4010,0)),"")</f>
        <v/>
      </c>
      <c r="AF523" s="11" t="str">
        <f>IF(AE523="","",IFERROR(INDEX($AN$11:$AN$4010,MATCH(513,$AZ$11:$AZ$4010,0)),""))</f>
        <v/>
      </c>
      <c r="AG523" s="11" t="str">
        <f>IF(AE523="","",IFERROR(INDEX($AO$11:$AO$4010,MATCH(513,$AZ$11:$AZ$4010,0)),""))</f>
        <v/>
      </c>
      <c r="AH523" s="10" t="str">
        <f>IF(AE523="","",IFERROR(INDEX($AQ$11:$AQ$4010,MATCH(513,$AZ$11:$AZ$4010,0)),""))</f>
        <v/>
      </c>
      <c r="AI523" s="15" t="str">
        <f>IF(AE523="","",IFERROR(INDEX($AR$11:$AR$4010,MATCH(513,$AZ$11:$AZ$4010,0)),""))</f>
        <v/>
      </c>
      <c r="AJ523" s="15" t="str">
        <f>IF(AE523="","",IFERROR(INDEX($AT$11:$AT$4010,MATCH(513,$AZ$11:$AZ$4010,0)),""))</f>
        <v/>
      </c>
      <c r="AL523" s="17"/>
      <c r="AM523" s="12"/>
      <c r="AN523" s="18"/>
      <c r="AO523" s="18"/>
      <c r="AP523" s="10"/>
      <c r="AQ523" s="10"/>
      <c r="AR523" s="19"/>
      <c r="AS523" s="20"/>
      <c r="AT523" s="19"/>
      <c r="AV523" s="21">
        <f>IF(AND($AL523&lt;&gt;"",COUNTIF($AL$11:$AL523,$AL523)=1),1,0)</f>
        <v>0</v>
      </c>
      <c r="AW523" s="21">
        <f t="shared" si="101"/>
        <v>2</v>
      </c>
      <c r="AX523" s="21" t="str">
        <f t="shared" ref="AX523:AX586" si="102">IF(AV523=1,AW523,"")</f>
        <v/>
      </c>
      <c r="AY523" s="21" t="str">
        <f>IF(AND($AM523&lt;&gt;"",$AS523&lt;&gt;"✓"),SUMPRODUCT(($AM$11:$AM523&lt;&gt;"")*($AS$11:$AS523&lt;&gt;"✓")),"")</f>
        <v/>
      </c>
      <c r="AZ523" s="21" t="str">
        <f>IF(AND($AM523&lt;&gt;"",$AS523="✓"),SUMPRODUCT(($AM$11:$AM523&lt;&gt;"")*($AS$11:$AS523="✓")),"")</f>
        <v/>
      </c>
      <c r="BA523" s="21" t="str">
        <f>IF($AL523="","",$AL523&amp;"|"&amp;COUNTIF($AL$11:$AL523,$AL523))</f>
        <v/>
      </c>
    </row>
    <row r="524" spans="23:53" ht="15" customHeight="1" x14ac:dyDescent="0.25">
      <c r="W524" s="28" t="str">
        <f>IF(X524="","",IFERROR(INDEX($AL$11:$AL$4010,MATCH(514,$AY$11:$AY$4010,0)),""))</f>
        <v/>
      </c>
      <c r="X524" s="26" t="str">
        <f>IFERROR(INDEX($AM$11:$AM$4010,MATCH(514,$AY$11:$AY$4010,0)),"")</f>
        <v/>
      </c>
      <c r="Y524" s="25" t="str">
        <f>IF(X524="","",IFERROR(INDEX($AN$11:$AN$4010,MATCH(514,$AY$11:$AY$4010,0)),""))</f>
        <v/>
      </c>
      <c r="Z524" s="25" t="str">
        <f>IF(X524="","",IFERROR(INDEX($AO$11:$AO$4010,MATCH(514,$AY$11:$AY$4010,0)),""))</f>
        <v/>
      </c>
      <c r="AA524" s="24" t="str">
        <f>IF(X524="","",IFERROR(INDEX($AQ$11:$AQ$4010,MATCH(514,$AY$11:$AY$4010,0)),""))</f>
        <v/>
      </c>
      <c r="AB524" s="29" t="str">
        <f>IF(X524="","",IFERROR(INDEX($AR$11:$AR$4010,MATCH(514,$AY$11:$AY$4010,0)),""))</f>
        <v/>
      </c>
      <c r="AD524" s="30" t="str">
        <f>IF(AE524="","",IFERROR(INDEX($AL$11:$AL$4010,MATCH(514,$AZ$11:$AZ$4010,0)),""))</f>
        <v/>
      </c>
      <c r="AE524" s="26" t="str">
        <f>IFERROR(INDEX($AM$11:$AM$4010,MATCH(514,$AZ$11:$AZ$4010,0)),"")</f>
        <v/>
      </c>
      <c r="AF524" s="25" t="str">
        <f>IF(AE524="","",IFERROR(INDEX($AN$11:$AN$4010,MATCH(514,$AZ$11:$AZ$4010,0)),""))</f>
        <v/>
      </c>
      <c r="AG524" s="25" t="str">
        <f>IF(AE524="","",IFERROR(INDEX($AO$11:$AO$4010,MATCH(514,$AZ$11:$AZ$4010,0)),""))</f>
        <v/>
      </c>
      <c r="AH524" s="24" t="str">
        <f>IF(AE524="","",IFERROR(INDEX($AQ$11:$AQ$4010,MATCH(514,$AZ$11:$AZ$4010,0)),""))</f>
        <v/>
      </c>
      <c r="AI524" s="29" t="str">
        <f>IF(AE524="","",IFERROR(INDEX($AR$11:$AR$4010,MATCH(514,$AZ$11:$AZ$4010,0)),""))</f>
        <v/>
      </c>
      <c r="AJ524" s="29" t="str">
        <f>IF(AE524="","",IFERROR(INDEX($AT$11:$AT$4010,MATCH(514,$AZ$11:$AZ$4010,0)),""))</f>
        <v/>
      </c>
      <c r="AL524" s="31"/>
      <c r="AM524" s="26"/>
      <c r="AN524" s="32"/>
      <c r="AO524" s="32"/>
      <c r="AP524" s="24"/>
      <c r="AQ524" s="24"/>
      <c r="AR524" s="33"/>
      <c r="AS524" s="34"/>
      <c r="AT524" s="33"/>
      <c r="AV524" s="21">
        <f>IF(AND($AL524&lt;&gt;"",COUNTIF($AL$11:$AL524,$AL524)=1),1,0)</f>
        <v>0</v>
      </c>
      <c r="AW524" s="21">
        <f t="shared" ref="AW524:AW587" si="103">AW523+AV524</f>
        <v>2</v>
      </c>
      <c r="AX524" s="21" t="str">
        <f t="shared" si="102"/>
        <v/>
      </c>
      <c r="AY524" s="21" t="str">
        <f>IF(AND($AM524&lt;&gt;"",$AS524&lt;&gt;"✓"),SUMPRODUCT(($AM$11:$AM524&lt;&gt;"")*($AS$11:$AS524&lt;&gt;"✓")),"")</f>
        <v/>
      </c>
      <c r="AZ524" s="21" t="str">
        <f>IF(AND($AM524&lt;&gt;"",$AS524="✓"),SUMPRODUCT(($AM$11:$AM524&lt;&gt;"")*($AS$11:$AS524="✓")),"")</f>
        <v/>
      </c>
      <c r="BA524" s="21" t="str">
        <f>IF($AL524="","",$AL524&amp;"|"&amp;COUNTIF($AL$11:$AL524,$AL524))</f>
        <v/>
      </c>
    </row>
    <row r="525" spans="23:53" ht="15" customHeight="1" x14ac:dyDescent="0.25">
      <c r="W525" s="14" t="str">
        <f>IF(X525="","",IFERROR(INDEX($AL$11:$AL$4010,MATCH(515,$AY$11:$AY$4010,0)),""))</f>
        <v/>
      </c>
      <c r="X525" s="12" t="str">
        <f>IFERROR(INDEX($AM$11:$AM$4010,MATCH(515,$AY$11:$AY$4010,0)),"")</f>
        <v/>
      </c>
      <c r="Y525" s="11" t="str">
        <f>IF(X525="","",IFERROR(INDEX($AN$11:$AN$4010,MATCH(515,$AY$11:$AY$4010,0)),""))</f>
        <v/>
      </c>
      <c r="Z525" s="11" t="str">
        <f>IF(X525="","",IFERROR(INDEX($AO$11:$AO$4010,MATCH(515,$AY$11:$AY$4010,0)),""))</f>
        <v/>
      </c>
      <c r="AA525" s="10" t="str">
        <f>IF(X525="","",IFERROR(INDEX($AQ$11:$AQ$4010,MATCH(515,$AY$11:$AY$4010,0)),""))</f>
        <v/>
      </c>
      <c r="AB525" s="15" t="str">
        <f>IF(X525="","",IFERROR(INDEX($AR$11:$AR$4010,MATCH(515,$AY$11:$AY$4010,0)),""))</f>
        <v/>
      </c>
      <c r="AD525" s="16" t="str">
        <f>IF(AE525="","",IFERROR(INDEX($AL$11:$AL$4010,MATCH(515,$AZ$11:$AZ$4010,0)),""))</f>
        <v/>
      </c>
      <c r="AE525" s="12" t="str">
        <f>IFERROR(INDEX($AM$11:$AM$4010,MATCH(515,$AZ$11:$AZ$4010,0)),"")</f>
        <v/>
      </c>
      <c r="AF525" s="11" t="str">
        <f>IF(AE525="","",IFERROR(INDEX($AN$11:$AN$4010,MATCH(515,$AZ$11:$AZ$4010,0)),""))</f>
        <v/>
      </c>
      <c r="AG525" s="11" t="str">
        <f>IF(AE525="","",IFERROR(INDEX($AO$11:$AO$4010,MATCH(515,$AZ$11:$AZ$4010,0)),""))</f>
        <v/>
      </c>
      <c r="AH525" s="10" t="str">
        <f>IF(AE525="","",IFERROR(INDEX($AQ$11:$AQ$4010,MATCH(515,$AZ$11:$AZ$4010,0)),""))</f>
        <v/>
      </c>
      <c r="AI525" s="15" t="str">
        <f>IF(AE525="","",IFERROR(INDEX($AR$11:$AR$4010,MATCH(515,$AZ$11:$AZ$4010,0)),""))</f>
        <v/>
      </c>
      <c r="AJ525" s="15" t="str">
        <f>IF(AE525="","",IFERROR(INDEX($AT$11:$AT$4010,MATCH(515,$AZ$11:$AZ$4010,0)),""))</f>
        <v/>
      </c>
      <c r="AL525" s="17"/>
      <c r="AM525" s="12"/>
      <c r="AN525" s="18"/>
      <c r="AO525" s="18"/>
      <c r="AP525" s="10"/>
      <c r="AQ525" s="10"/>
      <c r="AR525" s="19"/>
      <c r="AS525" s="20"/>
      <c r="AT525" s="19"/>
      <c r="AV525" s="21">
        <f>IF(AND($AL525&lt;&gt;"",COUNTIF($AL$11:$AL525,$AL525)=1),1,0)</f>
        <v>0</v>
      </c>
      <c r="AW525" s="21">
        <f t="shared" si="103"/>
        <v>2</v>
      </c>
      <c r="AX525" s="21" t="str">
        <f t="shared" si="102"/>
        <v/>
      </c>
      <c r="AY525" s="21" t="str">
        <f>IF(AND($AM525&lt;&gt;"",$AS525&lt;&gt;"✓"),SUMPRODUCT(($AM$11:$AM525&lt;&gt;"")*($AS$11:$AS525&lt;&gt;"✓")),"")</f>
        <v/>
      </c>
      <c r="AZ525" s="21" t="str">
        <f>IF(AND($AM525&lt;&gt;"",$AS525="✓"),SUMPRODUCT(($AM$11:$AM525&lt;&gt;"")*($AS$11:$AS525="✓")),"")</f>
        <v/>
      </c>
      <c r="BA525" s="21" t="str">
        <f>IF($AL525="","",$AL525&amp;"|"&amp;COUNTIF($AL$11:$AL525,$AL525))</f>
        <v/>
      </c>
    </row>
    <row r="526" spans="23:53" ht="15" customHeight="1" x14ac:dyDescent="0.25">
      <c r="W526" s="28" t="str">
        <f>IF(X526="","",IFERROR(INDEX($AL$11:$AL$4010,MATCH(516,$AY$11:$AY$4010,0)),""))</f>
        <v/>
      </c>
      <c r="X526" s="26" t="str">
        <f>IFERROR(INDEX($AM$11:$AM$4010,MATCH(516,$AY$11:$AY$4010,0)),"")</f>
        <v/>
      </c>
      <c r="Y526" s="25" t="str">
        <f>IF(X526="","",IFERROR(INDEX($AN$11:$AN$4010,MATCH(516,$AY$11:$AY$4010,0)),""))</f>
        <v/>
      </c>
      <c r="Z526" s="25" t="str">
        <f>IF(X526="","",IFERROR(INDEX($AO$11:$AO$4010,MATCH(516,$AY$11:$AY$4010,0)),""))</f>
        <v/>
      </c>
      <c r="AA526" s="24" t="str">
        <f>IF(X526="","",IFERROR(INDEX($AQ$11:$AQ$4010,MATCH(516,$AY$11:$AY$4010,0)),""))</f>
        <v/>
      </c>
      <c r="AB526" s="29" t="str">
        <f>IF(X526="","",IFERROR(INDEX($AR$11:$AR$4010,MATCH(516,$AY$11:$AY$4010,0)),""))</f>
        <v/>
      </c>
      <c r="AD526" s="30" t="str">
        <f>IF(AE526="","",IFERROR(INDEX($AL$11:$AL$4010,MATCH(516,$AZ$11:$AZ$4010,0)),""))</f>
        <v/>
      </c>
      <c r="AE526" s="26" t="str">
        <f>IFERROR(INDEX($AM$11:$AM$4010,MATCH(516,$AZ$11:$AZ$4010,0)),"")</f>
        <v/>
      </c>
      <c r="AF526" s="25" t="str">
        <f>IF(AE526="","",IFERROR(INDEX($AN$11:$AN$4010,MATCH(516,$AZ$11:$AZ$4010,0)),""))</f>
        <v/>
      </c>
      <c r="AG526" s="25" t="str">
        <f>IF(AE526="","",IFERROR(INDEX($AO$11:$AO$4010,MATCH(516,$AZ$11:$AZ$4010,0)),""))</f>
        <v/>
      </c>
      <c r="AH526" s="24" t="str">
        <f>IF(AE526="","",IFERROR(INDEX($AQ$11:$AQ$4010,MATCH(516,$AZ$11:$AZ$4010,0)),""))</f>
        <v/>
      </c>
      <c r="AI526" s="29" t="str">
        <f>IF(AE526="","",IFERROR(INDEX($AR$11:$AR$4010,MATCH(516,$AZ$11:$AZ$4010,0)),""))</f>
        <v/>
      </c>
      <c r="AJ526" s="29" t="str">
        <f>IF(AE526="","",IFERROR(INDEX($AT$11:$AT$4010,MATCH(516,$AZ$11:$AZ$4010,0)),""))</f>
        <v/>
      </c>
      <c r="AL526" s="31"/>
      <c r="AM526" s="26"/>
      <c r="AN526" s="32"/>
      <c r="AO526" s="32"/>
      <c r="AP526" s="24"/>
      <c r="AQ526" s="24"/>
      <c r="AR526" s="33"/>
      <c r="AS526" s="34"/>
      <c r="AT526" s="33"/>
      <c r="AV526" s="21">
        <f>IF(AND($AL526&lt;&gt;"",COUNTIF($AL$11:$AL526,$AL526)=1),1,0)</f>
        <v>0</v>
      </c>
      <c r="AW526" s="21">
        <f t="shared" si="103"/>
        <v>2</v>
      </c>
      <c r="AX526" s="21" t="str">
        <f t="shared" si="102"/>
        <v/>
      </c>
      <c r="AY526" s="21" t="str">
        <f>IF(AND($AM526&lt;&gt;"",$AS526&lt;&gt;"✓"),SUMPRODUCT(($AM$11:$AM526&lt;&gt;"")*($AS$11:$AS526&lt;&gt;"✓")),"")</f>
        <v/>
      </c>
      <c r="AZ526" s="21" t="str">
        <f>IF(AND($AM526&lt;&gt;"",$AS526="✓"),SUMPRODUCT(($AM$11:$AM526&lt;&gt;"")*($AS$11:$AS526="✓")),"")</f>
        <v/>
      </c>
      <c r="BA526" s="21" t="str">
        <f>IF($AL526="","",$AL526&amp;"|"&amp;COUNTIF($AL$11:$AL526,$AL526))</f>
        <v/>
      </c>
    </row>
    <row r="527" spans="23:53" ht="15" customHeight="1" x14ac:dyDescent="0.25">
      <c r="W527" s="14" t="str">
        <f>IF(X527="","",IFERROR(INDEX($AL$11:$AL$4010,MATCH(517,$AY$11:$AY$4010,0)),""))</f>
        <v/>
      </c>
      <c r="X527" s="12" t="str">
        <f>IFERROR(INDEX($AM$11:$AM$4010,MATCH(517,$AY$11:$AY$4010,0)),"")</f>
        <v/>
      </c>
      <c r="Y527" s="11" t="str">
        <f>IF(X527="","",IFERROR(INDEX($AN$11:$AN$4010,MATCH(517,$AY$11:$AY$4010,0)),""))</f>
        <v/>
      </c>
      <c r="Z527" s="11" t="str">
        <f>IF(X527="","",IFERROR(INDEX($AO$11:$AO$4010,MATCH(517,$AY$11:$AY$4010,0)),""))</f>
        <v/>
      </c>
      <c r="AA527" s="10" t="str">
        <f>IF(X527="","",IFERROR(INDEX($AQ$11:$AQ$4010,MATCH(517,$AY$11:$AY$4010,0)),""))</f>
        <v/>
      </c>
      <c r="AB527" s="15" t="str">
        <f>IF(X527="","",IFERROR(INDEX($AR$11:$AR$4010,MATCH(517,$AY$11:$AY$4010,0)),""))</f>
        <v/>
      </c>
      <c r="AD527" s="16" t="str">
        <f>IF(AE527="","",IFERROR(INDEX($AL$11:$AL$4010,MATCH(517,$AZ$11:$AZ$4010,0)),""))</f>
        <v/>
      </c>
      <c r="AE527" s="12" t="str">
        <f>IFERROR(INDEX($AM$11:$AM$4010,MATCH(517,$AZ$11:$AZ$4010,0)),"")</f>
        <v/>
      </c>
      <c r="AF527" s="11" t="str">
        <f>IF(AE527="","",IFERROR(INDEX($AN$11:$AN$4010,MATCH(517,$AZ$11:$AZ$4010,0)),""))</f>
        <v/>
      </c>
      <c r="AG527" s="11" t="str">
        <f>IF(AE527="","",IFERROR(INDEX($AO$11:$AO$4010,MATCH(517,$AZ$11:$AZ$4010,0)),""))</f>
        <v/>
      </c>
      <c r="AH527" s="10" t="str">
        <f>IF(AE527="","",IFERROR(INDEX($AQ$11:$AQ$4010,MATCH(517,$AZ$11:$AZ$4010,0)),""))</f>
        <v/>
      </c>
      <c r="AI527" s="15" t="str">
        <f>IF(AE527="","",IFERROR(INDEX($AR$11:$AR$4010,MATCH(517,$AZ$11:$AZ$4010,0)),""))</f>
        <v/>
      </c>
      <c r="AJ527" s="15" t="str">
        <f>IF(AE527="","",IFERROR(INDEX($AT$11:$AT$4010,MATCH(517,$AZ$11:$AZ$4010,0)),""))</f>
        <v/>
      </c>
      <c r="AL527" s="17"/>
      <c r="AM527" s="12"/>
      <c r="AN527" s="18"/>
      <c r="AO527" s="18"/>
      <c r="AP527" s="10"/>
      <c r="AQ527" s="10"/>
      <c r="AR527" s="19"/>
      <c r="AS527" s="20"/>
      <c r="AT527" s="19"/>
      <c r="AV527" s="21">
        <f>IF(AND($AL527&lt;&gt;"",COUNTIF($AL$11:$AL527,$AL527)=1),1,0)</f>
        <v>0</v>
      </c>
      <c r="AW527" s="21">
        <f t="shared" si="103"/>
        <v>2</v>
      </c>
      <c r="AX527" s="21" t="str">
        <f t="shared" si="102"/>
        <v/>
      </c>
      <c r="AY527" s="21" t="str">
        <f>IF(AND($AM527&lt;&gt;"",$AS527&lt;&gt;"✓"),SUMPRODUCT(($AM$11:$AM527&lt;&gt;"")*($AS$11:$AS527&lt;&gt;"✓")),"")</f>
        <v/>
      </c>
      <c r="AZ527" s="21" t="str">
        <f>IF(AND($AM527&lt;&gt;"",$AS527="✓"),SUMPRODUCT(($AM$11:$AM527&lt;&gt;"")*($AS$11:$AS527="✓")),"")</f>
        <v/>
      </c>
      <c r="BA527" s="21" t="str">
        <f>IF($AL527="","",$AL527&amp;"|"&amp;COUNTIF($AL$11:$AL527,$AL527))</f>
        <v/>
      </c>
    </row>
    <row r="528" spans="23:53" ht="15" customHeight="1" x14ac:dyDescent="0.25">
      <c r="W528" s="28" t="str">
        <f>IF(X528="","",IFERROR(INDEX($AL$11:$AL$4010,MATCH(518,$AY$11:$AY$4010,0)),""))</f>
        <v/>
      </c>
      <c r="X528" s="26" t="str">
        <f>IFERROR(INDEX($AM$11:$AM$4010,MATCH(518,$AY$11:$AY$4010,0)),"")</f>
        <v/>
      </c>
      <c r="Y528" s="25" t="str">
        <f>IF(X528="","",IFERROR(INDEX($AN$11:$AN$4010,MATCH(518,$AY$11:$AY$4010,0)),""))</f>
        <v/>
      </c>
      <c r="Z528" s="25" t="str">
        <f>IF(X528="","",IFERROR(INDEX($AO$11:$AO$4010,MATCH(518,$AY$11:$AY$4010,0)),""))</f>
        <v/>
      </c>
      <c r="AA528" s="24" t="str">
        <f>IF(X528="","",IFERROR(INDEX($AQ$11:$AQ$4010,MATCH(518,$AY$11:$AY$4010,0)),""))</f>
        <v/>
      </c>
      <c r="AB528" s="29" t="str">
        <f>IF(X528="","",IFERROR(INDEX($AR$11:$AR$4010,MATCH(518,$AY$11:$AY$4010,0)),""))</f>
        <v/>
      </c>
      <c r="AD528" s="30" t="str">
        <f>IF(AE528="","",IFERROR(INDEX($AL$11:$AL$4010,MATCH(518,$AZ$11:$AZ$4010,0)),""))</f>
        <v/>
      </c>
      <c r="AE528" s="26" t="str">
        <f>IFERROR(INDEX($AM$11:$AM$4010,MATCH(518,$AZ$11:$AZ$4010,0)),"")</f>
        <v/>
      </c>
      <c r="AF528" s="25" t="str">
        <f>IF(AE528="","",IFERROR(INDEX($AN$11:$AN$4010,MATCH(518,$AZ$11:$AZ$4010,0)),""))</f>
        <v/>
      </c>
      <c r="AG528" s="25" t="str">
        <f>IF(AE528="","",IFERROR(INDEX($AO$11:$AO$4010,MATCH(518,$AZ$11:$AZ$4010,0)),""))</f>
        <v/>
      </c>
      <c r="AH528" s="24" t="str">
        <f>IF(AE528="","",IFERROR(INDEX($AQ$11:$AQ$4010,MATCH(518,$AZ$11:$AZ$4010,0)),""))</f>
        <v/>
      </c>
      <c r="AI528" s="29" t="str">
        <f>IF(AE528="","",IFERROR(INDEX($AR$11:$AR$4010,MATCH(518,$AZ$11:$AZ$4010,0)),""))</f>
        <v/>
      </c>
      <c r="AJ528" s="29" t="str">
        <f>IF(AE528="","",IFERROR(INDEX($AT$11:$AT$4010,MATCH(518,$AZ$11:$AZ$4010,0)),""))</f>
        <v/>
      </c>
      <c r="AL528" s="31"/>
      <c r="AM528" s="26"/>
      <c r="AN528" s="32"/>
      <c r="AO528" s="32"/>
      <c r="AP528" s="24"/>
      <c r="AQ528" s="24"/>
      <c r="AR528" s="33"/>
      <c r="AS528" s="34"/>
      <c r="AT528" s="33"/>
      <c r="AV528" s="21">
        <f>IF(AND($AL528&lt;&gt;"",COUNTIF($AL$11:$AL528,$AL528)=1),1,0)</f>
        <v>0</v>
      </c>
      <c r="AW528" s="21">
        <f t="shared" si="103"/>
        <v>2</v>
      </c>
      <c r="AX528" s="21" t="str">
        <f t="shared" si="102"/>
        <v/>
      </c>
      <c r="AY528" s="21" t="str">
        <f>IF(AND($AM528&lt;&gt;"",$AS528&lt;&gt;"✓"),SUMPRODUCT(($AM$11:$AM528&lt;&gt;"")*($AS$11:$AS528&lt;&gt;"✓")),"")</f>
        <v/>
      </c>
      <c r="AZ528" s="21" t="str">
        <f>IF(AND($AM528&lt;&gt;"",$AS528="✓"),SUMPRODUCT(($AM$11:$AM528&lt;&gt;"")*($AS$11:$AS528="✓")),"")</f>
        <v/>
      </c>
      <c r="BA528" s="21" t="str">
        <f>IF($AL528="","",$AL528&amp;"|"&amp;COUNTIF($AL$11:$AL528,$AL528))</f>
        <v/>
      </c>
    </row>
    <row r="529" spans="23:53" ht="15" customHeight="1" x14ac:dyDescent="0.25">
      <c r="W529" s="14" t="str">
        <f>IF(X529="","",IFERROR(INDEX($AL$11:$AL$4010,MATCH(519,$AY$11:$AY$4010,0)),""))</f>
        <v/>
      </c>
      <c r="X529" s="12" t="str">
        <f>IFERROR(INDEX($AM$11:$AM$4010,MATCH(519,$AY$11:$AY$4010,0)),"")</f>
        <v/>
      </c>
      <c r="Y529" s="11" t="str">
        <f>IF(X529="","",IFERROR(INDEX($AN$11:$AN$4010,MATCH(519,$AY$11:$AY$4010,0)),""))</f>
        <v/>
      </c>
      <c r="Z529" s="11" t="str">
        <f>IF(X529="","",IFERROR(INDEX($AO$11:$AO$4010,MATCH(519,$AY$11:$AY$4010,0)),""))</f>
        <v/>
      </c>
      <c r="AA529" s="10" t="str">
        <f>IF(X529="","",IFERROR(INDEX($AQ$11:$AQ$4010,MATCH(519,$AY$11:$AY$4010,0)),""))</f>
        <v/>
      </c>
      <c r="AB529" s="15" t="str">
        <f>IF(X529="","",IFERROR(INDEX($AR$11:$AR$4010,MATCH(519,$AY$11:$AY$4010,0)),""))</f>
        <v/>
      </c>
      <c r="AD529" s="16" t="str">
        <f>IF(AE529="","",IFERROR(INDEX($AL$11:$AL$4010,MATCH(519,$AZ$11:$AZ$4010,0)),""))</f>
        <v/>
      </c>
      <c r="AE529" s="12" t="str">
        <f>IFERROR(INDEX($AM$11:$AM$4010,MATCH(519,$AZ$11:$AZ$4010,0)),"")</f>
        <v/>
      </c>
      <c r="AF529" s="11" t="str">
        <f>IF(AE529="","",IFERROR(INDEX($AN$11:$AN$4010,MATCH(519,$AZ$11:$AZ$4010,0)),""))</f>
        <v/>
      </c>
      <c r="AG529" s="11" t="str">
        <f>IF(AE529="","",IFERROR(INDEX($AO$11:$AO$4010,MATCH(519,$AZ$11:$AZ$4010,0)),""))</f>
        <v/>
      </c>
      <c r="AH529" s="10" t="str">
        <f>IF(AE529="","",IFERROR(INDEX($AQ$11:$AQ$4010,MATCH(519,$AZ$11:$AZ$4010,0)),""))</f>
        <v/>
      </c>
      <c r="AI529" s="15" t="str">
        <f>IF(AE529="","",IFERROR(INDEX($AR$11:$AR$4010,MATCH(519,$AZ$11:$AZ$4010,0)),""))</f>
        <v/>
      </c>
      <c r="AJ529" s="15" t="str">
        <f>IF(AE529="","",IFERROR(INDEX($AT$11:$AT$4010,MATCH(519,$AZ$11:$AZ$4010,0)),""))</f>
        <v/>
      </c>
      <c r="AL529" s="17"/>
      <c r="AM529" s="12"/>
      <c r="AN529" s="18"/>
      <c r="AO529" s="18"/>
      <c r="AP529" s="10"/>
      <c r="AQ529" s="10"/>
      <c r="AR529" s="19"/>
      <c r="AS529" s="20"/>
      <c r="AT529" s="19"/>
      <c r="AV529" s="21">
        <f>IF(AND($AL529&lt;&gt;"",COUNTIF($AL$11:$AL529,$AL529)=1),1,0)</f>
        <v>0</v>
      </c>
      <c r="AW529" s="21">
        <f t="shared" si="103"/>
        <v>2</v>
      </c>
      <c r="AX529" s="21" t="str">
        <f t="shared" si="102"/>
        <v/>
      </c>
      <c r="AY529" s="21" t="str">
        <f>IF(AND($AM529&lt;&gt;"",$AS529&lt;&gt;"✓"),SUMPRODUCT(($AM$11:$AM529&lt;&gt;"")*($AS$11:$AS529&lt;&gt;"✓")),"")</f>
        <v/>
      </c>
      <c r="AZ529" s="21" t="str">
        <f>IF(AND($AM529&lt;&gt;"",$AS529="✓"),SUMPRODUCT(($AM$11:$AM529&lt;&gt;"")*($AS$11:$AS529="✓")),"")</f>
        <v/>
      </c>
      <c r="BA529" s="21" t="str">
        <f>IF($AL529="","",$AL529&amp;"|"&amp;COUNTIF($AL$11:$AL529,$AL529))</f>
        <v/>
      </c>
    </row>
    <row r="530" spans="23:53" ht="15" customHeight="1" x14ac:dyDescent="0.25">
      <c r="W530" s="28" t="str">
        <f>IF(X530="","",IFERROR(INDEX($AL$11:$AL$4010,MATCH(520,$AY$11:$AY$4010,0)),""))</f>
        <v/>
      </c>
      <c r="X530" s="26" t="str">
        <f>IFERROR(INDEX($AM$11:$AM$4010,MATCH(520,$AY$11:$AY$4010,0)),"")</f>
        <v/>
      </c>
      <c r="Y530" s="25" t="str">
        <f>IF(X530="","",IFERROR(INDEX($AN$11:$AN$4010,MATCH(520,$AY$11:$AY$4010,0)),""))</f>
        <v/>
      </c>
      <c r="Z530" s="25" t="str">
        <f>IF(X530="","",IFERROR(INDEX($AO$11:$AO$4010,MATCH(520,$AY$11:$AY$4010,0)),""))</f>
        <v/>
      </c>
      <c r="AA530" s="24" t="str">
        <f>IF(X530="","",IFERROR(INDEX($AQ$11:$AQ$4010,MATCH(520,$AY$11:$AY$4010,0)),""))</f>
        <v/>
      </c>
      <c r="AB530" s="29" t="str">
        <f>IF(X530="","",IFERROR(INDEX($AR$11:$AR$4010,MATCH(520,$AY$11:$AY$4010,0)),""))</f>
        <v/>
      </c>
      <c r="AD530" s="30" t="str">
        <f>IF(AE530="","",IFERROR(INDEX($AL$11:$AL$4010,MATCH(520,$AZ$11:$AZ$4010,0)),""))</f>
        <v/>
      </c>
      <c r="AE530" s="26" t="str">
        <f>IFERROR(INDEX($AM$11:$AM$4010,MATCH(520,$AZ$11:$AZ$4010,0)),"")</f>
        <v/>
      </c>
      <c r="AF530" s="25" t="str">
        <f>IF(AE530="","",IFERROR(INDEX($AN$11:$AN$4010,MATCH(520,$AZ$11:$AZ$4010,0)),""))</f>
        <v/>
      </c>
      <c r="AG530" s="25" t="str">
        <f>IF(AE530="","",IFERROR(INDEX($AO$11:$AO$4010,MATCH(520,$AZ$11:$AZ$4010,0)),""))</f>
        <v/>
      </c>
      <c r="AH530" s="24" t="str">
        <f>IF(AE530="","",IFERROR(INDEX($AQ$11:$AQ$4010,MATCH(520,$AZ$11:$AZ$4010,0)),""))</f>
        <v/>
      </c>
      <c r="AI530" s="29" t="str">
        <f>IF(AE530="","",IFERROR(INDEX($AR$11:$AR$4010,MATCH(520,$AZ$11:$AZ$4010,0)),""))</f>
        <v/>
      </c>
      <c r="AJ530" s="29" t="str">
        <f>IF(AE530="","",IFERROR(INDEX($AT$11:$AT$4010,MATCH(520,$AZ$11:$AZ$4010,0)),""))</f>
        <v/>
      </c>
      <c r="AL530" s="31"/>
      <c r="AM530" s="26"/>
      <c r="AN530" s="32"/>
      <c r="AO530" s="32"/>
      <c r="AP530" s="24"/>
      <c r="AQ530" s="24"/>
      <c r="AR530" s="33"/>
      <c r="AS530" s="34"/>
      <c r="AT530" s="33"/>
      <c r="AV530" s="21">
        <f>IF(AND($AL530&lt;&gt;"",COUNTIF($AL$11:$AL530,$AL530)=1),1,0)</f>
        <v>0</v>
      </c>
      <c r="AW530" s="21">
        <f t="shared" si="103"/>
        <v>2</v>
      </c>
      <c r="AX530" s="21" t="str">
        <f t="shared" si="102"/>
        <v/>
      </c>
      <c r="AY530" s="21" t="str">
        <f>IF(AND($AM530&lt;&gt;"",$AS530&lt;&gt;"✓"),SUMPRODUCT(($AM$11:$AM530&lt;&gt;"")*($AS$11:$AS530&lt;&gt;"✓")),"")</f>
        <v/>
      </c>
      <c r="AZ530" s="21" t="str">
        <f>IF(AND($AM530&lt;&gt;"",$AS530="✓"),SUMPRODUCT(($AM$11:$AM530&lt;&gt;"")*($AS$11:$AS530="✓")),"")</f>
        <v/>
      </c>
      <c r="BA530" s="21" t="str">
        <f>IF($AL530="","",$AL530&amp;"|"&amp;COUNTIF($AL$11:$AL530,$AL530))</f>
        <v/>
      </c>
    </row>
    <row r="531" spans="23:53" ht="15" customHeight="1" x14ac:dyDescent="0.25">
      <c r="W531" s="14" t="str">
        <f>IF(X531="","",IFERROR(INDEX($AL$11:$AL$4010,MATCH(521,$AY$11:$AY$4010,0)),""))</f>
        <v/>
      </c>
      <c r="X531" s="12" t="str">
        <f>IFERROR(INDEX($AM$11:$AM$4010,MATCH(521,$AY$11:$AY$4010,0)),"")</f>
        <v/>
      </c>
      <c r="Y531" s="11" t="str">
        <f>IF(X531="","",IFERROR(INDEX($AN$11:$AN$4010,MATCH(521,$AY$11:$AY$4010,0)),""))</f>
        <v/>
      </c>
      <c r="Z531" s="11" t="str">
        <f>IF(X531="","",IFERROR(INDEX($AO$11:$AO$4010,MATCH(521,$AY$11:$AY$4010,0)),""))</f>
        <v/>
      </c>
      <c r="AA531" s="10" t="str">
        <f>IF(X531="","",IFERROR(INDEX($AQ$11:$AQ$4010,MATCH(521,$AY$11:$AY$4010,0)),""))</f>
        <v/>
      </c>
      <c r="AB531" s="15" t="str">
        <f>IF(X531="","",IFERROR(INDEX($AR$11:$AR$4010,MATCH(521,$AY$11:$AY$4010,0)),""))</f>
        <v/>
      </c>
      <c r="AD531" s="16" t="str">
        <f>IF(AE531="","",IFERROR(INDEX($AL$11:$AL$4010,MATCH(521,$AZ$11:$AZ$4010,0)),""))</f>
        <v/>
      </c>
      <c r="AE531" s="12" t="str">
        <f>IFERROR(INDEX($AM$11:$AM$4010,MATCH(521,$AZ$11:$AZ$4010,0)),"")</f>
        <v/>
      </c>
      <c r="AF531" s="11" t="str">
        <f>IF(AE531="","",IFERROR(INDEX($AN$11:$AN$4010,MATCH(521,$AZ$11:$AZ$4010,0)),""))</f>
        <v/>
      </c>
      <c r="AG531" s="11" t="str">
        <f>IF(AE531="","",IFERROR(INDEX($AO$11:$AO$4010,MATCH(521,$AZ$11:$AZ$4010,0)),""))</f>
        <v/>
      </c>
      <c r="AH531" s="10" t="str">
        <f>IF(AE531="","",IFERROR(INDEX($AQ$11:$AQ$4010,MATCH(521,$AZ$11:$AZ$4010,0)),""))</f>
        <v/>
      </c>
      <c r="AI531" s="15" t="str">
        <f>IF(AE531="","",IFERROR(INDEX($AR$11:$AR$4010,MATCH(521,$AZ$11:$AZ$4010,0)),""))</f>
        <v/>
      </c>
      <c r="AJ531" s="15" t="str">
        <f>IF(AE531="","",IFERROR(INDEX($AT$11:$AT$4010,MATCH(521,$AZ$11:$AZ$4010,0)),""))</f>
        <v/>
      </c>
      <c r="AL531" s="17"/>
      <c r="AM531" s="12"/>
      <c r="AN531" s="18"/>
      <c r="AO531" s="18"/>
      <c r="AP531" s="10"/>
      <c r="AQ531" s="10"/>
      <c r="AR531" s="19"/>
      <c r="AS531" s="20"/>
      <c r="AT531" s="19"/>
      <c r="AV531" s="21">
        <f>IF(AND($AL531&lt;&gt;"",COUNTIF($AL$11:$AL531,$AL531)=1),1,0)</f>
        <v>0</v>
      </c>
      <c r="AW531" s="21">
        <f t="shared" si="103"/>
        <v>2</v>
      </c>
      <c r="AX531" s="21" t="str">
        <f t="shared" si="102"/>
        <v/>
      </c>
      <c r="AY531" s="21" t="str">
        <f>IF(AND($AM531&lt;&gt;"",$AS531&lt;&gt;"✓"),SUMPRODUCT(($AM$11:$AM531&lt;&gt;"")*($AS$11:$AS531&lt;&gt;"✓")),"")</f>
        <v/>
      </c>
      <c r="AZ531" s="21" t="str">
        <f>IF(AND($AM531&lt;&gt;"",$AS531="✓"),SUMPRODUCT(($AM$11:$AM531&lt;&gt;"")*($AS$11:$AS531="✓")),"")</f>
        <v/>
      </c>
      <c r="BA531" s="21" t="str">
        <f>IF($AL531="","",$AL531&amp;"|"&amp;COUNTIF($AL$11:$AL531,$AL531))</f>
        <v/>
      </c>
    </row>
    <row r="532" spans="23:53" ht="15" customHeight="1" x14ac:dyDescent="0.25">
      <c r="W532" s="28" t="str">
        <f>IF(X532="","",IFERROR(INDEX($AL$11:$AL$4010,MATCH(522,$AY$11:$AY$4010,0)),""))</f>
        <v/>
      </c>
      <c r="X532" s="26" t="str">
        <f>IFERROR(INDEX($AM$11:$AM$4010,MATCH(522,$AY$11:$AY$4010,0)),"")</f>
        <v/>
      </c>
      <c r="Y532" s="25" t="str">
        <f>IF(X532="","",IFERROR(INDEX($AN$11:$AN$4010,MATCH(522,$AY$11:$AY$4010,0)),""))</f>
        <v/>
      </c>
      <c r="Z532" s="25" t="str">
        <f>IF(X532="","",IFERROR(INDEX($AO$11:$AO$4010,MATCH(522,$AY$11:$AY$4010,0)),""))</f>
        <v/>
      </c>
      <c r="AA532" s="24" t="str">
        <f>IF(X532="","",IFERROR(INDEX($AQ$11:$AQ$4010,MATCH(522,$AY$11:$AY$4010,0)),""))</f>
        <v/>
      </c>
      <c r="AB532" s="29" t="str">
        <f>IF(X532="","",IFERROR(INDEX($AR$11:$AR$4010,MATCH(522,$AY$11:$AY$4010,0)),""))</f>
        <v/>
      </c>
      <c r="AD532" s="30" t="str">
        <f>IF(AE532="","",IFERROR(INDEX($AL$11:$AL$4010,MATCH(522,$AZ$11:$AZ$4010,0)),""))</f>
        <v/>
      </c>
      <c r="AE532" s="26" t="str">
        <f>IFERROR(INDEX($AM$11:$AM$4010,MATCH(522,$AZ$11:$AZ$4010,0)),"")</f>
        <v/>
      </c>
      <c r="AF532" s="25" t="str">
        <f>IF(AE532="","",IFERROR(INDEX($AN$11:$AN$4010,MATCH(522,$AZ$11:$AZ$4010,0)),""))</f>
        <v/>
      </c>
      <c r="AG532" s="25" t="str">
        <f>IF(AE532="","",IFERROR(INDEX($AO$11:$AO$4010,MATCH(522,$AZ$11:$AZ$4010,0)),""))</f>
        <v/>
      </c>
      <c r="AH532" s="24" t="str">
        <f>IF(AE532="","",IFERROR(INDEX($AQ$11:$AQ$4010,MATCH(522,$AZ$11:$AZ$4010,0)),""))</f>
        <v/>
      </c>
      <c r="AI532" s="29" t="str">
        <f>IF(AE532="","",IFERROR(INDEX($AR$11:$AR$4010,MATCH(522,$AZ$11:$AZ$4010,0)),""))</f>
        <v/>
      </c>
      <c r="AJ532" s="29" t="str">
        <f>IF(AE532="","",IFERROR(INDEX($AT$11:$AT$4010,MATCH(522,$AZ$11:$AZ$4010,0)),""))</f>
        <v/>
      </c>
      <c r="AL532" s="31"/>
      <c r="AM532" s="26"/>
      <c r="AN532" s="32"/>
      <c r="AO532" s="32"/>
      <c r="AP532" s="24"/>
      <c r="AQ532" s="24"/>
      <c r="AR532" s="33"/>
      <c r="AS532" s="34"/>
      <c r="AT532" s="33"/>
      <c r="AV532" s="21">
        <f>IF(AND($AL532&lt;&gt;"",COUNTIF($AL$11:$AL532,$AL532)=1),1,0)</f>
        <v>0</v>
      </c>
      <c r="AW532" s="21">
        <f t="shared" si="103"/>
        <v>2</v>
      </c>
      <c r="AX532" s="21" t="str">
        <f t="shared" si="102"/>
        <v/>
      </c>
      <c r="AY532" s="21" t="str">
        <f>IF(AND($AM532&lt;&gt;"",$AS532&lt;&gt;"✓"),SUMPRODUCT(($AM$11:$AM532&lt;&gt;"")*($AS$11:$AS532&lt;&gt;"✓")),"")</f>
        <v/>
      </c>
      <c r="AZ532" s="21" t="str">
        <f>IF(AND($AM532&lt;&gt;"",$AS532="✓"),SUMPRODUCT(($AM$11:$AM532&lt;&gt;"")*($AS$11:$AS532="✓")),"")</f>
        <v/>
      </c>
      <c r="BA532" s="21" t="str">
        <f>IF($AL532="","",$AL532&amp;"|"&amp;COUNTIF($AL$11:$AL532,$AL532))</f>
        <v/>
      </c>
    </row>
    <row r="533" spans="23:53" ht="15" customHeight="1" x14ac:dyDescent="0.25">
      <c r="W533" s="14" t="str">
        <f>IF(X533="","",IFERROR(INDEX($AL$11:$AL$4010,MATCH(523,$AY$11:$AY$4010,0)),""))</f>
        <v/>
      </c>
      <c r="X533" s="12" t="str">
        <f>IFERROR(INDEX($AM$11:$AM$4010,MATCH(523,$AY$11:$AY$4010,0)),"")</f>
        <v/>
      </c>
      <c r="Y533" s="11" t="str">
        <f>IF(X533="","",IFERROR(INDEX($AN$11:$AN$4010,MATCH(523,$AY$11:$AY$4010,0)),""))</f>
        <v/>
      </c>
      <c r="Z533" s="11" t="str">
        <f>IF(X533="","",IFERROR(INDEX($AO$11:$AO$4010,MATCH(523,$AY$11:$AY$4010,0)),""))</f>
        <v/>
      </c>
      <c r="AA533" s="10" t="str">
        <f>IF(X533="","",IFERROR(INDEX($AQ$11:$AQ$4010,MATCH(523,$AY$11:$AY$4010,0)),""))</f>
        <v/>
      </c>
      <c r="AB533" s="15" t="str">
        <f>IF(X533="","",IFERROR(INDEX($AR$11:$AR$4010,MATCH(523,$AY$11:$AY$4010,0)),""))</f>
        <v/>
      </c>
      <c r="AD533" s="16" t="str">
        <f>IF(AE533="","",IFERROR(INDEX($AL$11:$AL$4010,MATCH(523,$AZ$11:$AZ$4010,0)),""))</f>
        <v/>
      </c>
      <c r="AE533" s="12" t="str">
        <f>IFERROR(INDEX($AM$11:$AM$4010,MATCH(523,$AZ$11:$AZ$4010,0)),"")</f>
        <v/>
      </c>
      <c r="AF533" s="11" t="str">
        <f>IF(AE533="","",IFERROR(INDEX($AN$11:$AN$4010,MATCH(523,$AZ$11:$AZ$4010,0)),""))</f>
        <v/>
      </c>
      <c r="AG533" s="11" t="str">
        <f>IF(AE533="","",IFERROR(INDEX($AO$11:$AO$4010,MATCH(523,$AZ$11:$AZ$4010,0)),""))</f>
        <v/>
      </c>
      <c r="AH533" s="10" t="str">
        <f>IF(AE533="","",IFERROR(INDEX($AQ$11:$AQ$4010,MATCH(523,$AZ$11:$AZ$4010,0)),""))</f>
        <v/>
      </c>
      <c r="AI533" s="15" t="str">
        <f>IF(AE533="","",IFERROR(INDEX($AR$11:$AR$4010,MATCH(523,$AZ$11:$AZ$4010,0)),""))</f>
        <v/>
      </c>
      <c r="AJ533" s="15" t="str">
        <f>IF(AE533="","",IFERROR(INDEX($AT$11:$AT$4010,MATCH(523,$AZ$11:$AZ$4010,0)),""))</f>
        <v/>
      </c>
      <c r="AL533" s="17"/>
      <c r="AM533" s="12"/>
      <c r="AN533" s="18"/>
      <c r="AO533" s="18"/>
      <c r="AP533" s="10"/>
      <c r="AQ533" s="10"/>
      <c r="AR533" s="19"/>
      <c r="AS533" s="20"/>
      <c r="AT533" s="19"/>
      <c r="AV533" s="21">
        <f>IF(AND($AL533&lt;&gt;"",COUNTIF($AL$11:$AL533,$AL533)=1),1,0)</f>
        <v>0</v>
      </c>
      <c r="AW533" s="21">
        <f t="shared" si="103"/>
        <v>2</v>
      </c>
      <c r="AX533" s="21" t="str">
        <f t="shared" si="102"/>
        <v/>
      </c>
      <c r="AY533" s="21" t="str">
        <f>IF(AND($AM533&lt;&gt;"",$AS533&lt;&gt;"✓"),SUMPRODUCT(($AM$11:$AM533&lt;&gt;"")*($AS$11:$AS533&lt;&gt;"✓")),"")</f>
        <v/>
      </c>
      <c r="AZ533" s="21" t="str">
        <f>IF(AND($AM533&lt;&gt;"",$AS533="✓"),SUMPRODUCT(($AM$11:$AM533&lt;&gt;"")*($AS$11:$AS533="✓")),"")</f>
        <v/>
      </c>
      <c r="BA533" s="21" t="str">
        <f>IF($AL533="","",$AL533&amp;"|"&amp;COUNTIF($AL$11:$AL533,$AL533))</f>
        <v/>
      </c>
    </row>
    <row r="534" spans="23:53" ht="15" customHeight="1" x14ac:dyDescent="0.25">
      <c r="W534" s="28" t="str">
        <f>IF(X534="","",IFERROR(INDEX($AL$11:$AL$4010,MATCH(524,$AY$11:$AY$4010,0)),""))</f>
        <v/>
      </c>
      <c r="X534" s="26" t="str">
        <f>IFERROR(INDEX($AM$11:$AM$4010,MATCH(524,$AY$11:$AY$4010,0)),"")</f>
        <v/>
      </c>
      <c r="Y534" s="25" t="str">
        <f>IF(X534="","",IFERROR(INDEX($AN$11:$AN$4010,MATCH(524,$AY$11:$AY$4010,0)),""))</f>
        <v/>
      </c>
      <c r="Z534" s="25" t="str">
        <f>IF(X534="","",IFERROR(INDEX($AO$11:$AO$4010,MATCH(524,$AY$11:$AY$4010,0)),""))</f>
        <v/>
      </c>
      <c r="AA534" s="24" t="str">
        <f>IF(X534="","",IFERROR(INDEX($AQ$11:$AQ$4010,MATCH(524,$AY$11:$AY$4010,0)),""))</f>
        <v/>
      </c>
      <c r="AB534" s="29" t="str">
        <f>IF(X534="","",IFERROR(INDEX($AR$11:$AR$4010,MATCH(524,$AY$11:$AY$4010,0)),""))</f>
        <v/>
      </c>
      <c r="AD534" s="30" t="str">
        <f>IF(AE534="","",IFERROR(INDEX($AL$11:$AL$4010,MATCH(524,$AZ$11:$AZ$4010,0)),""))</f>
        <v/>
      </c>
      <c r="AE534" s="26" t="str">
        <f>IFERROR(INDEX($AM$11:$AM$4010,MATCH(524,$AZ$11:$AZ$4010,0)),"")</f>
        <v/>
      </c>
      <c r="AF534" s="25" t="str">
        <f>IF(AE534="","",IFERROR(INDEX($AN$11:$AN$4010,MATCH(524,$AZ$11:$AZ$4010,0)),""))</f>
        <v/>
      </c>
      <c r="AG534" s="25" t="str">
        <f>IF(AE534="","",IFERROR(INDEX($AO$11:$AO$4010,MATCH(524,$AZ$11:$AZ$4010,0)),""))</f>
        <v/>
      </c>
      <c r="AH534" s="24" t="str">
        <f>IF(AE534="","",IFERROR(INDEX($AQ$11:$AQ$4010,MATCH(524,$AZ$11:$AZ$4010,0)),""))</f>
        <v/>
      </c>
      <c r="AI534" s="29" t="str">
        <f>IF(AE534="","",IFERROR(INDEX($AR$11:$AR$4010,MATCH(524,$AZ$11:$AZ$4010,0)),""))</f>
        <v/>
      </c>
      <c r="AJ534" s="29" t="str">
        <f>IF(AE534="","",IFERROR(INDEX($AT$11:$AT$4010,MATCH(524,$AZ$11:$AZ$4010,0)),""))</f>
        <v/>
      </c>
      <c r="AL534" s="31"/>
      <c r="AM534" s="26"/>
      <c r="AN534" s="32"/>
      <c r="AO534" s="32"/>
      <c r="AP534" s="24"/>
      <c r="AQ534" s="24"/>
      <c r="AR534" s="33"/>
      <c r="AS534" s="34"/>
      <c r="AT534" s="33"/>
      <c r="AV534" s="21">
        <f>IF(AND($AL534&lt;&gt;"",COUNTIF($AL$11:$AL534,$AL534)=1),1,0)</f>
        <v>0</v>
      </c>
      <c r="AW534" s="21">
        <f t="shared" si="103"/>
        <v>2</v>
      </c>
      <c r="AX534" s="21" t="str">
        <f t="shared" si="102"/>
        <v/>
      </c>
      <c r="AY534" s="21" t="str">
        <f>IF(AND($AM534&lt;&gt;"",$AS534&lt;&gt;"✓"),SUMPRODUCT(($AM$11:$AM534&lt;&gt;"")*($AS$11:$AS534&lt;&gt;"✓")),"")</f>
        <v/>
      </c>
      <c r="AZ534" s="21" t="str">
        <f>IF(AND($AM534&lt;&gt;"",$AS534="✓"),SUMPRODUCT(($AM$11:$AM534&lt;&gt;"")*($AS$11:$AS534="✓")),"")</f>
        <v/>
      </c>
      <c r="BA534" s="21" t="str">
        <f>IF($AL534="","",$AL534&amp;"|"&amp;COUNTIF($AL$11:$AL534,$AL534))</f>
        <v/>
      </c>
    </row>
    <row r="535" spans="23:53" ht="15" customHeight="1" x14ac:dyDescent="0.25">
      <c r="W535" s="14" t="str">
        <f>IF(X535="","",IFERROR(INDEX($AL$11:$AL$4010,MATCH(525,$AY$11:$AY$4010,0)),""))</f>
        <v/>
      </c>
      <c r="X535" s="12" t="str">
        <f>IFERROR(INDEX($AM$11:$AM$4010,MATCH(525,$AY$11:$AY$4010,0)),"")</f>
        <v/>
      </c>
      <c r="Y535" s="11" t="str">
        <f>IF(X535="","",IFERROR(INDEX($AN$11:$AN$4010,MATCH(525,$AY$11:$AY$4010,0)),""))</f>
        <v/>
      </c>
      <c r="Z535" s="11" t="str">
        <f>IF(X535="","",IFERROR(INDEX($AO$11:$AO$4010,MATCH(525,$AY$11:$AY$4010,0)),""))</f>
        <v/>
      </c>
      <c r="AA535" s="10" t="str">
        <f>IF(X535="","",IFERROR(INDEX($AQ$11:$AQ$4010,MATCH(525,$AY$11:$AY$4010,0)),""))</f>
        <v/>
      </c>
      <c r="AB535" s="15" t="str">
        <f>IF(X535="","",IFERROR(INDEX($AR$11:$AR$4010,MATCH(525,$AY$11:$AY$4010,0)),""))</f>
        <v/>
      </c>
      <c r="AD535" s="16" t="str">
        <f>IF(AE535="","",IFERROR(INDEX($AL$11:$AL$4010,MATCH(525,$AZ$11:$AZ$4010,0)),""))</f>
        <v/>
      </c>
      <c r="AE535" s="12" t="str">
        <f>IFERROR(INDEX($AM$11:$AM$4010,MATCH(525,$AZ$11:$AZ$4010,0)),"")</f>
        <v/>
      </c>
      <c r="AF535" s="11" t="str">
        <f>IF(AE535="","",IFERROR(INDEX($AN$11:$AN$4010,MATCH(525,$AZ$11:$AZ$4010,0)),""))</f>
        <v/>
      </c>
      <c r="AG535" s="11" t="str">
        <f>IF(AE535="","",IFERROR(INDEX($AO$11:$AO$4010,MATCH(525,$AZ$11:$AZ$4010,0)),""))</f>
        <v/>
      </c>
      <c r="AH535" s="10" t="str">
        <f>IF(AE535="","",IFERROR(INDEX($AQ$11:$AQ$4010,MATCH(525,$AZ$11:$AZ$4010,0)),""))</f>
        <v/>
      </c>
      <c r="AI535" s="15" t="str">
        <f>IF(AE535="","",IFERROR(INDEX($AR$11:$AR$4010,MATCH(525,$AZ$11:$AZ$4010,0)),""))</f>
        <v/>
      </c>
      <c r="AJ535" s="15" t="str">
        <f>IF(AE535="","",IFERROR(INDEX($AT$11:$AT$4010,MATCH(525,$AZ$11:$AZ$4010,0)),""))</f>
        <v/>
      </c>
      <c r="AL535" s="17"/>
      <c r="AM535" s="12"/>
      <c r="AN535" s="18"/>
      <c r="AO535" s="18"/>
      <c r="AP535" s="10"/>
      <c r="AQ535" s="10"/>
      <c r="AR535" s="19"/>
      <c r="AS535" s="20"/>
      <c r="AT535" s="19"/>
      <c r="AV535" s="21">
        <f>IF(AND($AL535&lt;&gt;"",COUNTIF($AL$11:$AL535,$AL535)=1),1,0)</f>
        <v>0</v>
      </c>
      <c r="AW535" s="21">
        <f t="shared" si="103"/>
        <v>2</v>
      </c>
      <c r="AX535" s="21" t="str">
        <f t="shared" si="102"/>
        <v/>
      </c>
      <c r="AY535" s="21" t="str">
        <f>IF(AND($AM535&lt;&gt;"",$AS535&lt;&gt;"✓"),SUMPRODUCT(($AM$11:$AM535&lt;&gt;"")*($AS$11:$AS535&lt;&gt;"✓")),"")</f>
        <v/>
      </c>
      <c r="AZ535" s="21" t="str">
        <f>IF(AND($AM535&lt;&gt;"",$AS535="✓"),SUMPRODUCT(($AM$11:$AM535&lt;&gt;"")*($AS$11:$AS535="✓")),"")</f>
        <v/>
      </c>
      <c r="BA535" s="21" t="str">
        <f>IF($AL535="","",$AL535&amp;"|"&amp;COUNTIF($AL$11:$AL535,$AL535))</f>
        <v/>
      </c>
    </row>
    <row r="536" spans="23:53" ht="15" customHeight="1" x14ac:dyDescent="0.25">
      <c r="W536" s="28" t="str">
        <f>IF(X536="","",IFERROR(INDEX($AL$11:$AL$4010,MATCH(526,$AY$11:$AY$4010,0)),""))</f>
        <v/>
      </c>
      <c r="X536" s="26" t="str">
        <f>IFERROR(INDEX($AM$11:$AM$4010,MATCH(526,$AY$11:$AY$4010,0)),"")</f>
        <v/>
      </c>
      <c r="Y536" s="25" t="str">
        <f>IF(X536="","",IFERROR(INDEX($AN$11:$AN$4010,MATCH(526,$AY$11:$AY$4010,0)),""))</f>
        <v/>
      </c>
      <c r="Z536" s="25" t="str">
        <f>IF(X536="","",IFERROR(INDEX($AO$11:$AO$4010,MATCH(526,$AY$11:$AY$4010,0)),""))</f>
        <v/>
      </c>
      <c r="AA536" s="24" t="str">
        <f>IF(X536="","",IFERROR(INDEX($AQ$11:$AQ$4010,MATCH(526,$AY$11:$AY$4010,0)),""))</f>
        <v/>
      </c>
      <c r="AB536" s="29" t="str">
        <f>IF(X536="","",IFERROR(INDEX($AR$11:$AR$4010,MATCH(526,$AY$11:$AY$4010,0)),""))</f>
        <v/>
      </c>
      <c r="AD536" s="30" t="str">
        <f>IF(AE536="","",IFERROR(INDEX($AL$11:$AL$4010,MATCH(526,$AZ$11:$AZ$4010,0)),""))</f>
        <v/>
      </c>
      <c r="AE536" s="26" t="str">
        <f>IFERROR(INDEX($AM$11:$AM$4010,MATCH(526,$AZ$11:$AZ$4010,0)),"")</f>
        <v/>
      </c>
      <c r="AF536" s="25" t="str">
        <f>IF(AE536="","",IFERROR(INDEX($AN$11:$AN$4010,MATCH(526,$AZ$11:$AZ$4010,0)),""))</f>
        <v/>
      </c>
      <c r="AG536" s="25" t="str">
        <f>IF(AE536="","",IFERROR(INDEX($AO$11:$AO$4010,MATCH(526,$AZ$11:$AZ$4010,0)),""))</f>
        <v/>
      </c>
      <c r="AH536" s="24" t="str">
        <f>IF(AE536="","",IFERROR(INDEX($AQ$11:$AQ$4010,MATCH(526,$AZ$11:$AZ$4010,0)),""))</f>
        <v/>
      </c>
      <c r="AI536" s="29" t="str">
        <f>IF(AE536="","",IFERROR(INDEX($AR$11:$AR$4010,MATCH(526,$AZ$11:$AZ$4010,0)),""))</f>
        <v/>
      </c>
      <c r="AJ536" s="29" t="str">
        <f>IF(AE536="","",IFERROR(INDEX($AT$11:$AT$4010,MATCH(526,$AZ$11:$AZ$4010,0)),""))</f>
        <v/>
      </c>
      <c r="AL536" s="31"/>
      <c r="AM536" s="26"/>
      <c r="AN536" s="32"/>
      <c r="AO536" s="32"/>
      <c r="AP536" s="24"/>
      <c r="AQ536" s="24"/>
      <c r="AR536" s="33"/>
      <c r="AS536" s="34"/>
      <c r="AT536" s="33"/>
      <c r="AV536" s="21">
        <f>IF(AND($AL536&lt;&gt;"",COUNTIF($AL$11:$AL536,$AL536)=1),1,0)</f>
        <v>0</v>
      </c>
      <c r="AW536" s="21">
        <f t="shared" si="103"/>
        <v>2</v>
      </c>
      <c r="AX536" s="21" t="str">
        <f t="shared" si="102"/>
        <v/>
      </c>
      <c r="AY536" s="21" t="str">
        <f>IF(AND($AM536&lt;&gt;"",$AS536&lt;&gt;"✓"),SUMPRODUCT(($AM$11:$AM536&lt;&gt;"")*($AS$11:$AS536&lt;&gt;"✓")),"")</f>
        <v/>
      </c>
      <c r="AZ536" s="21" t="str">
        <f>IF(AND($AM536&lt;&gt;"",$AS536="✓"),SUMPRODUCT(($AM$11:$AM536&lt;&gt;"")*($AS$11:$AS536="✓")),"")</f>
        <v/>
      </c>
      <c r="BA536" s="21" t="str">
        <f>IF($AL536="","",$AL536&amp;"|"&amp;COUNTIF($AL$11:$AL536,$AL536))</f>
        <v/>
      </c>
    </row>
    <row r="537" spans="23:53" ht="15" customHeight="1" x14ac:dyDescent="0.25">
      <c r="W537" s="14" t="str">
        <f>IF(X537="","",IFERROR(INDEX($AL$11:$AL$4010,MATCH(527,$AY$11:$AY$4010,0)),""))</f>
        <v/>
      </c>
      <c r="X537" s="12" t="str">
        <f>IFERROR(INDEX($AM$11:$AM$4010,MATCH(527,$AY$11:$AY$4010,0)),"")</f>
        <v/>
      </c>
      <c r="Y537" s="11" t="str">
        <f>IF(X537="","",IFERROR(INDEX($AN$11:$AN$4010,MATCH(527,$AY$11:$AY$4010,0)),""))</f>
        <v/>
      </c>
      <c r="Z537" s="11" t="str">
        <f>IF(X537="","",IFERROR(INDEX($AO$11:$AO$4010,MATCH(527,$AY$11:$AY$4010,0)),""))</f>
        <v/>
      </c>
      <c r="AA537" s="10" t="str">
        <f>IF(X537="","",IFERROR(INDEX($AQ$11:$AQ$4010,MATCH(527,$AY$11:$AY$4010,0)),""))</f>
        <v/>
      </c>
      <c r="AB537" s="15" t="str">
        <f>IF(X537="","",IFERROR(INDEX($AR$11:$AR$4010,MATCH(527,$AY$11:$AY$4010,0)),""))</f>
        <v/>
      </c>
      <c r="AD537" s="16" t="str">
        <f>IF(AE537="","",IFERROR(INDEX($AL$11:$AL$4010,MATCH(527,$AZ$11:$AZ$4010,0)),""))</f>
        <v/>
      </c>
      <c r="AE537" s="12" t="str">
        <f>IFERROR(INDEX($AM$11:$AM$4010,MATCH(527,$AZ$11:$AZ$4010,0)),"")</f>
        <v/>
      </c>
      <c r="AF537" s="11" t="str">
        <f>IF(AE537="","",IFERROR(INDEX($AN$11:$AN$4010,MATCH(527,$AZ$11:$AZ$4010,0)),""))</f>
        <v/>
      </c>
      <c r="AG537" s="11" t="str">
        <f>IF(AE537="","",IFERROR(INDEX($AO$11:$AO$4010,MATCH(527,$AZ$11:$AZ$4010,0)),""))</f>
        <v/>
      </c>
      <c r="AH537" s="10" t="str">
        <f>IF(AE537="","",IFERROR(INDEX($AQ$11:$AQ$4010,MATCH(527,$AZ$11:$AZ$4010,0)),""))</f>
        <v/>
      </c>
      <c r="AI537" s="15" t="str">
        <f>IF(AE537="","",IFERROR(INDEX($AR$11:$AR$4010,MATCH(527,$AZ$11:$AZ$4010,0)),""))</f>
        <v/>
      </c>
      <c r="AJ537" s="15" t="str">
        <f>IF(AE537="","",IFERROR(INDEX($AT$11:$AT$4010,MATCH(527,$AZ$11:$AZ$4010,0)),""))</f>
        <v/>
      </c>
      <c r="AL537" s="17"/>
      <c r="AM537" s="12"/>
      <c r="AN537" s="18"/>
      <c r="AO537" s="18"/>
      <c r="AP537" s="10"/>
      <c r="AQ537" s="10"/>
      <c r="AR537" s="19"/>
      <c r="AS537" s="20"/>
      <c r="AT537" s="19"/>
      <c r="AV537" s="21">
        <f>IF(AND($AL537&lt;&gt;"",COUNTIF($AL$11:$AL537,$AL537)=1),1,0)</f>
        <v>0</v>
      </c>
      <c r="AW537" s="21">
        <f t="shared" si="103"/>
        <v>2</v>
      </c>
      <c r="AX537" s="21" t="str">
        <f t="shared" si="102"/>
        <v/>
      </c>
      <c r="AY537" s="21" t="str">
        <f>IF(AND($AM537&lt;&gt;"",$AS537&lt;&gt;"✓"),SUMPRODUCT(($AM$11:$AM537&lt;&gt;"")*($AS$11:$AS537&lt;&gt;"✓")),"")</f>
        <v/>
      </c>
      <c r="AZ537" s="21" t="str">
        <f>IF(AND($AM537&lt;&gt;"",$AS537="✓"),SUMPRODUCT(($AM$11:$AM537&lt;&gt;"")*($AS$11:$AS537="✓")),"")</f>
        <v/>
      </c>
      <c r="BA537" s="21" t="str">
        <f>IF($AL537="","",$AL537&amp;"|"&amp;COUNTIF($AL$11:$AL537,$AL537))</f>
        <v/>
      </c>
    </row>
    <row r="538" spans="23:53" ht="15" customHeight="1" x14ac:dyDescent="0.25">
      <c r="W538" s="28" t="str">
        <f>IF(X538="","",IFERROR(INDEX($AL$11:$AL$4010,MATCH(528,$AY$11:$AY$4010,0)),""))</f>
        <v/>
      </c>
      <c r="X538" s="26" t="str">
        <f>IFERROR(INDEX($AM$11:$AM$4010,MATCH(528,$AY$11:$AY$4010,0)),"")</f>
        <v/>
      </c>
      <c r="Y538" s="25" t="str">
        <f>IF(X538="","",IFERROR(INDEX($AN$11:$AN$4010,MATCH(528,$AY$11:$AY$4010,0)),""))</f>
        <v/>
      </c>
      <c r="Z538" s="25" t="str">
        <f>IF(X538="","",IFERROR(INDEX($AO$11:$AO$4010,MATCH(528,$AY$11:$AY$4010,0)),""))</f>
        <v/>
      </c>
      <c r="AA538" s="24" t="str">
        <f>IF(X538="","",IFERROR(INDEX($AQ$11:$AQ$4010,MATCH(528,$AY$11:$AY$4010,0)),""))</f>
        <v/>
      </c>
      <c r="AB538" s="29" t="str">
        <f>IF(X538="","",IFERROR(INDEX($AR$11:$AR$4010,MATCH(528,$AY$11:$AY$4010,0)),""))</f>
        <v/>
      </c>
      <c r="AD538" s="30" t="str">
        <f>IF(AE538="","",IFERROR(INDEX($AL$11:$AL$4010,MATCH(528,$AZ$11:$AZ$4010,0)),""))</f>
        <v/>
      </c>
      <c r="AE538" s="26" t="str">
        <f>IFERROR(INDEX($AM$11:$AM$4010,MATCH(528,$AZ$11:$AZ$4010,0)),"")</f>
        <v/>
      </c>
      <c r="AF538" s="25" t="str">
        <f>IF(AE538="","",IFERROR(INDEX($AN$11:$AN$4010,MATCH(528,$AZ$11:$AZ$4010,0)),""))</f>
        <v/>
      </c>
      <c r="AG538" s="25" t="str">
        <f>IF(AE538="","",IFERROR(INDEX($AO$11:$AO$4010,MATCH(528,$AZ$11:$AZ$4010,0)),""))</f>
        <v/>
      </c>
      <c r="AH538" s="24" t="str">
        <f>IF(AE538="","",IFERROR(INDEX($AQ$11:$AQ$4010,MATCH(528,$AZ$11:$AZ$4010,0)),""))</f>
        <v/>
      </c>
      <c r="AI538" s="29" t="str">
        <f>IF(AE538="","",IFERROR(INDEX($AR$11:$AR$4010,MATCH(528,$AZ$11:$AZ$4010,0)),""))</f>
        <v/>
      </c>
      <c r="AJ538" s="29" t="str">
        <f>IF(AE538="","",IFERROR(INDEX($AT$11:$AT$4010,MATCH(528,$AZ$11:$AZ$4010,0)),""))</f>
        <v/>
      </c>
      <c r="AL538" s="31"/>
      <c r="AM538" s="26"/>
      <c r="AN538" s="32"/>
      <c r="AO538" s="32"/>
      <c r="AP538" s="24"/>
      <c r="AQ538" s="24"/>
      <c r="AR538" s="33"/>
      <c r="AS538" s="34"/>
      <c r="AT538" s="33"/>
      <c r="AV538" s="21">
        <f>IF(AND($AL538&lt;&gt;"",COUNTIF($AL$11:$AL538,$AL538)=1),1,0)</f>
        <v>0</v>
      </c>
      <c r="AW538" s="21">
        <f t="shared" si="103"/>
        <v>2</v>
      </c>
      <c r="AX538" s="21" t="str">
        <f t="shared" si="102"/>
        <v/>
      </c>
      <c r="AY538" s="21" t="str">
        <f>IF(AND($AM538&lt;&gt;"",$AS538&lt;&gt;"✓"),SUMPRODUCT(($AM$11:$AM538&lt;&gt;"")*($AS$11:$AS538&lt;&gt;"✓")),"")</f>
        <v/>
      </c>
      <c r="AZ538" s="21" t="str">
        <f>IF(AND($AM538&lt;&gt;"",$AS538="✓"),SUMPRODUCT(($AM$11:$AM538&lt;&gt;"")*($AS$11:$AS538="✓")),"")</f>
        <v/>
      </c>
      <c r="BA538" s="21" t="str">
        <f>IF($AL538="","",$AL538&amp;"|"&amp;COUNTIF($AL$11:$AL538,$AL538))</f>
        <v/>
      </c>
    </row>
    <row r="539" spans="23:53" ht="15" customHeight="1" x14ac:dyDescent="0.25">
      <c r="W539" s="14" t="str">
        <f>IF(X539="","",IFERROR(INDEX($AL$11:$AL$4010,MATCH(529,$AY$11:$AY$4010,0)),""))</f>
        <v/>
      </c>
      <c r="X539" s="12" t="str">
        <f>IFERROR(INDEX($AM$11:$AM$4010,MATCH(529,$AY$11:$AY$4010,0)),"")</f>
        <v/>
      </c>
      <c r="Y539" s="11" t="str">
        <f>IF(X539="","",IFERROR(INDEX($AN$11:$AN$4010,MATCH(529,$AY$11:$AY$4010,0)),""))</f>
        <v/>
      </c>
      <c r="Z539" s="11" t="str">
        <f>IF(X539="","",IFERROR(INDEX($AO$11:$AO$4010,MATCH(529,$AY$11:$AY$4010,0)),""))</f>
        <v/>
      </c>
      <c r="AA539" s="10" t="str">
        <f>IF(X539="","",IFERROR(INDEX($AQ$11:$AQ$4010,MATCH(529,$AY$11:$AY$4010,0)),""))</f>
        <v/>
      </c>
      <c r="AB539" s="15" t="str">
        <f>IF(X539="","",IFERROR(INDEX($AR$11:$AR$4010,MATCH(529,$AY$11:$AY$4010,0)),""))</f>
        <v/>
      </c>
      <c r="AD539" s="16" t="str">
        <f>IF(AE539="","",IFERROR(INDEX($AL$11:$AL$4010,MATCH(529,$AZ$11:$AZ$4010,0)),""))</f>
        <v/>
      </c>
      <c r="AE539" s="12" t="str">
        <f>IFERROR(INDEX($AM$11:$AM$4010,MATCH(529,$AZ$11:$AZ$4010,0)),"")</f>
        <v/>
      </c>
      <c r="AF539" s="11" t="str">
        <f>IF(AE539="","",IFERROR(INDEX($AN$11:$AN$4010,MATCH(529,$AZ$11:$AZ$4010,0)),""))</f>
        <v/>
      </c>
      <c r="AG539" s="11" t="str">
        <f>IF(AE539="","",IFERROR(INDEX($AO$11:$AO$4010,MATCH(529,$AZ$11:$AZ$4010,0)),""))</f>
        <v/>
      </c>
      <c r="AH539" s="10" t="str">
        <f>IF(AE539="","",IFERROR(INDEX($AQ$11:$AQ$4010,MATCH(529,$AZ$11:$AZ$4010,0)),""))</f>
        <v/>
      </c>
      <c r="AI539" s="15" t="str">
        <f>IF(AE539="","",IFERROR(INDEX($AR$11:$AR$4010,MATCH(529,$AZ$11:$AZ$4010,0)),""))</f>
        <v/>
      </c>
      <c r="AJ539" s="15" t="str">
        <f>IF(AE539="","",IFERROR(INDEX($AT$11:$AT$4010,MATCH(529,$AZ$11:$AZ$4010,0)),""))</f>
        <v/>
      </c>
      <c r="AL539" s="17"/>
      <c r="AM539" s="12"/>
      <c r="AN539" s="18"/>
      <c r="AO539" s="18"/>
      <c r="AP539" s="10"/>
      <c r="AQ539" s="10"/>
      <c r="AR539" s="19"/>
      <c r="AS539" s="20"/>
      <c r="AT539" s="19"/>
      <c r="AV539" s="21">
        <f>IF(AND($AL539&lt;&gt;"",COUNTIF($AL$11:$AL539,$AL539)=1),1,0)</f>
        <v>0</v>
      </c>
      <c r="AW539" s="21">
        <f t="shared" si="103"/>
        <v>2</v>
      </c>
      <c r="AX539" s="21" t="str">
        <f t="shared" si="102"/>
        <v/>
      </c>
      <c r="AY539" s="21" t="str">
        <f>IF(AND($AM539&lt;&gt;"",$AS539&lt;&gt;"✓"),SUMPRODUCT(($AM$11:$AM539&lt;&gt;"")*($AS$11:$AS539&lt;&gt;"✓")),"")</f>
        <v/>
      </c>
      <c r="AZ539" s="21" t="str">
        <f>IF(AND($AM539&lt;&gt;"",$AS539="✓"),SUMPRODUCT(($AM$11:$AM539&lt;&gt;"")*($AS$11:$AS539="✓")),"")</f>
        <v/>
      </c>
      <c r="BA539" s="21" t="str">
        <f>IF($AL539="","",$AL539&amp;"|"&amp;COUNTIF($AL$11:$AL539,$AL539))</f>
        <v/>
      </c>
    </row>
    <row r="540" spans="23:53" ht="15" customHeight="1" x14ac:dyDescent="0.25">
      <c r="W540" s="28" t="str">
        <f>IF(X540="","",IFERROR(INDEX($AL$11:$AL$4010,MATCH(530,$AY$11:$AY$4010,0)),""))</f>
        <v/>
      </c>
      <c r="X540" s="26" t="str">
        <f>IFERROR(INDEX($AM$11:$AM$4010,MATCH(530,$AY$11:$AY$4010,0)),"")</f>
        <v/>
      </c>
      <c r="Y540" s="25" t="str">
        <f>IF(X540="","",IFERROR(INDEX($AN$11:$AN$4010,MATCH(530,$AY$11:$AY$4010,0)),""))</f>
        <v/>
      </c>
      <c r="Z540" s="25" t="str">
        <f>IF(X540="","",IFERROR(INDEX($AO$11:$AO$4010,MATCH(530,$AY$11:$AY$4010,0)),""))</f>
        <v/>
      </c>
      <c r="AA540" s="24" t="str">
        <f>IF(X540="","",IFERROR(INDEX($AQ$11:$AQ$4010,MATCH(530,$AY$11:$AY$4010,0)),""))</f>
        <v/>
      </c>
      <c r="AB540" s="29" t="str">
        <f>IF(X540="","",IFERROR(INDEX($AR$11:$AR$4010,MATCH(530,$AY$11:$AY$4010,0)),""))</f>
        <v/>
      </c>
      <c r="AD540" s="30" t="str">
        <f>IF(AE540="","",IFERROR(INDEX($AL$11:$AL$4010,MATCH(530,$AZ$11:$AZ$4010,0)),""))</f>
        <v/>
      </c>
      <c r="AE540" s="26" t="str">
        <f>IFERROR(INDEX($AM$11:$AM$4010,MATCH(530,$AZ$11:$AZ$4010,0)),"")</f>
        <v/>
      </c>
      <c r="AF540" s="25" t="str">
        <f>IF(AE540="","",IFERROR(INDEX($AN$11:$AN$4010,MATCH(530,$AZ$11:$AZ$4010,0)),""))</f>
        <v/>
      </c>
      <c r="AG540" s="25" t="str">
        <f>IF(AE540="","",IFERROR(INDEX($AO$11:$AO$4010,MATCH(530,$AZ$11:$AZ$4010,0)),""))</f>
        <v/>
      </c>
      <c r="AH540" s="24" t="str">
        <f>IF(AE540="","",IFERROR(INDEX($AQ$11:$AQ$4010,MATCH(530,$AZ$11:$AZ$4010,0)),""))</f>
        <v/>
      </c>
      <c r="AI540" s="29" t="str">
        <f>IF(AE540="","",IFERROR(INDEX($AR$11:$AR$4010,MATCH(530,$AZ$11:$AZ$4010,0)),""))</f>
        <v/>
      </c>
      <c r="AJ540" s="29" t="str">
        <f>IF(AE540="","",IFERROR(INDEX($AT$11:$AT$4010,MATCH(530,$AZ$11:$AZ$4010,0)),""))</f>
        <v/>
      </c>
      <c r="AL540" s="31"/>
      <c r="AM540" s="26"/>
      <c r="AN540" s="32"/>
      <c r="AO540" s="32"/>
      <c r="AP540" s="24"/>
      <c r="AQ540" s="24"/>
      <c r="AR540" s="33"/>
      <c r="AS540" s="34"/>
      <c r="AT540" s="33"/>
      <c r="AV540" s="21">
        <f>IF(AND($AL540&lt;&gt;"",COUNTIF($AL$11:$AL540,$AL540)=1),1,0)</f>
        <v>0</v>
      </c>
      <c r="AW540" s="21">
        <f t="shared" si="103"/>
        <v>2</v>
      </c>
      <c r="AX540" s="21" t="str">
        <f t="shared" si="102"/>
        <v/>
      </c>
      <c r="AY540" s="21" t="str">
        <f>IF(AND($AM540&lt;&gt;"",$AS540&lt;&gt;"✓"),SUMPRODUCT(($AM$11:$AM540&lt;&gt;"")*($AS$11:$AS540&lt;&gt;"✓")),"")</f>
        <v/>
      </c>
      <c r="AZ540" s="21" t="str">
        <f>IF(AND($AM540&lt;&gt;"",$AS540="✓"),SUMPRODUCT(($AM$11:$AM540&lt;&gt;"")*($AS$11:$AS540="✓")),"")</f>
        <v/>
      </c>
      <c r="BA540" s="21" t="str">
        <f>IF($AL540="","",$AL540&amp;"|"&amp;COUNTIF($AL$11:$AL540,$AL540))</f>
        <v/>
      </c>
    </row>
    <row r="541" spans="23:53" ht="15" customHeight="1" x14ac:dyDescent="0.25">
      <c r="W541" s="14" t="str">
        <f>IF(X541="","",IFERROR(INDEX($AL$11:$AL$4010,MATCH(531,$AY$11:$AY$4010,0)),""))</f>
        <v/>
      </c>
      <c r="X541" s="12" t="str">
        <f>IFERROR(INDEX($AM$11:$AM$4010,MATCH(531,$AY$11:$AY$4010,0)),"")</f>
        <v/>
      </c>
      <c r="Y541" s="11" t="str">
        <f>IF(X541="","",IFERROR(INDEX($AN$11:$AN$4010,MATCH(531,$AY$11:$AY$4010,0)),""))</f>
        <v/>
      </c>
      <c r="Z541" s="11" t="str">
        <f>IF(X541="","",IFERROR(INDEX($AO$11:$AO$4010,MATCH(531,$AY$11:$AY$4010,0)),""))</f>
        <v/>
      </c>
      <c r="AA541" s="10" t="str">
        <f>IF(X541="","",IFERROR(INDEX($AQ$11:$AQ$4010,MATCH(531,$AY$11:$AY$4010,0)),""))</f>
        <v/>
      </c>
      <c r="AB541" s="15" t="str">
        <f>IF(X541="","",IFERROR(INDEX($AR$11:$AR$4010,MATCH(531,$AY$11:$AY$4010,0)),""))</f>
        <v/>
      </c>
      <c r="AD541" s="16" t="str">
        <f>IF(AE541="","",IFERROR(INDEX($AL$11:$AL$4010,MATCH(531,$AZ$11:$AZ$4010,0)),""))</f>
        <v/>
      </c>
      <c r="AE541" s="12" t="str">
        <f>IFERROR(INDEX($AM$11:$AM$4010,MATCH(531,$AZ$11:$AZ$4010,0)),"")</f>
        <v/>
      </c>
      <c r="AF541" s="11" t="str">
        <f>IF(AE541="","",IFERROR(INDEX($AN$11:$AN$4010,MATCH(531,$AZ$11:$AZ$4010,0)),""))</f>
        <v/>
      </c>
      <c r="AG541" s="11" t="str">
        <f>IF(AE541="","",IFERROR(INDEX($AO$11:$AO$4010,MATCH(531,$AZ$11:$AZ$4010,0)),""))</f>
        <v/>
      </c>
      <c r="AH541" s="10" t="str">
        <f>IF(AE541="","",IFERROR(INDEX($AQ$11:$AQ$4010,MATCH(531,$AZ$11:$AZ$4010,0)),""))</f>
        <v/>
      </c>
      <c r="AI541" s="15" t="str">
        <f>IF(AE541="","",IFERROR(INDEX($AR$11:$AR$4010,MATCH(531,$AZ$11:$AZ$4010,0)),""))</f>
        <v/>
      </c>
      <c r="AJ541" s="15" t="str">
        <f>IF(AE541="","",IFERROR(INDEX($AT$11:$AT$4010,MATCH(531,$AZ$11:$AZ$4010,0)),""))</f>
        <v/>
      </c>
      <c r="AL541" s="17"/>
      <c r="AM541" s="12"/>
      <c r="AN541" s="18"/>
      <c r="AO541" s="18"/>
      <c r="AP541" s="10"/>
      <c r="AQ541" s="10"/>
      <c r="AR541" s="19"/>
      <c r="AS541" s="20"/>
      <c r="AT541" s="19"/>
      <c r="AV541" s="21">
        <f>IF(AND($AL541&lt;&gt;"",COUNTIF($AL$11:$AL541,$AL541)=1),1,0)</f>
        <v>0</v>
      </c>
      <c r="AW541" s="21">
        <f t="shared" si="103"/>
        <v>2</v>
      </c>
      <c r="AX541" s="21" t="str">
        <f t="shared" si="102"/>
        <v/>
      </c>
      <c r="AY541" s="21" t="str">
        <f>IF(AND($AM541&lt;&gt;"",$AS541&lt;&gt;"✓"),SUMPRODUCT(($AM$11:$AM541&lt;&gt;"")*($AS$11:$AS541&lt;&gt;"✓")),"")</f>
        <v/>
      </c>
      <c r="AZ541" s="21" t="str">
        <f>IF(AND($AM541&lt;&gt;"",$AS541="✓"),SUMPRODUCT(($AM$11:$AM541&lt;&gt;"")*($AS$11:$AS541="✓")),"")</f>
        <v/>
      </c>
      <c r="BA541" s="21" t="str">
        <f>IF($AL541="","",$AL541&amp;"|"&amp;COUNTIF($AL$11:$AL541,$AL541))</f>
        <v/>
      </c>
    </row>
    <row r="542" spans="23:53" ht="15" customHeight="1" x14ac:dyDescent="0.25">
      <c r="W542" s="28" t="str">
        <f>IF(X542="","",IFERROR(INDEX($AL$11:$AL$4010,MATCH(532,$AY$11:$AY$4010,0)),""))</f>
        <v/>
      </c>
      <c r="X542" s="26" t="str">
        <f>IFERROR(INDEX($AM$11:$AM$4010,MATCH(532,$AY$11:$AY$4010,0)),"")</f>
        <v/>
      </c>
      <c r="Y542" s="25" t="str">
        <f>IF(X542="","",IFERROR(INDEX($AN$11:$AN$4010,MATCH(532,$AY$11:$AY$4010,0)),""))</f>
        <v/>
      </c>
      <c r="Z542" s="25" t="str">
        <f>IF(X542="","",IFERROR(INDEX($AO$11:$AO$4010,MATCH(532,$AY$11:$AY$4010,0)),""))</f>
        <v/>
      </c>
      <c r="AA542" s="24" t="str">
        <f>IF(X542="","",IFERROR(INDEX($AQ$11:$AQ$4010,MATCH(532,$AY$11:$AY$4010,0)),""))</f>
        <v/>
      </c>
      <c r="AB542" s="29" t="str">
        <f>IF(X542="","",IFERROR(INDEX($AR$11:$AR$4010,MATCH(532,$AY$11:$AY$4010,0)),""))</f>
        <v/>
      </c>
      <c r="AD542" s="30" t="str">
        <f>IF(AE542="","",IFERROR(INDEX($AL$11:$AL$4010,MATCH(532,$AZ$11:$AZ$4010,0)),""))</f>
        <v/>
      </c>
      <c r="AE542" s="26" t="str">
        <f>IFERROR(INDEX($AM$11:$AM$4010,MATCH(532,$AZ$11:$AZ$4010,0)),"")</f>
        <v/>
      </c>
      <c r="AF542" s="25" t="str">
        <f>IF(AE542="","",IFERROR(INDEX($AN$11:$AN$4010,MATCH(532,$AZ$11:$AZ$4010,0)),""))</f>
        <v/>
      </c>
      <c r="AG542" s="25" t="str">
        <f>IF(AE542="","",IFERROR(INDEX($AO$11:$AO$4010,MATCH(532,$AZ$11:$AZ$4010,0)),""))</f>
        <v/>
      </c>
      <c r="AH542" s="24" t="str">
        <f>IF(AE542="","",IFERROR(INDEX($AQ$11:$AQ$4010,MATCH(532,$AZ$11:$AZ$4010,0)),""))</f>
        <v/>
      </c>
      <c r="AI542" s="29" t="str">
        <f>IF(AE542="","",IFERROR(INDEX($AR$11:$AR$4010,MATCH(532,$AZ$11:$AZ$4010,0)),""))</f>
        <v/>
      </c>
      <c r="AJ542" s="29" t="str">
        <f>IF(AE542="","",IFERROR(INDEX($AT$11:$AT$4010,MATCH(532,$AZ$11:$AZ$4010,0)),""))</f>
        <v/>
      </c>
      <c r="AL542" s="31"/>
      <c r="AM542" s="26"/>
      <c r="AN542" s="32"/>
      <c r="AO542" s="32"/>
      <c r="AP542" s="24"/>
      <c r="AQ542" s="24"/>
      <c r="AR542" s="33"/>
      <c r="AS542" s="34"/>
      <c r="AT542" s="33"/>
      <c r="AV542" s="21">
        <f>IF(AND($AL542&lt;&gt;"",COUNTIF($AL$11:$AL542,$AL542)=1),1,0)</f>
        <v>0</v>
      </c>
      <c r="AW542" s="21">
        <f t="shared" si="103"/>
        <v>2</v>
      </c>
      <c r="AX542" s="21" t="str">
        <f t="shared" si="102"/>
        <v/>
      </c>
      <c r="AY542" s="21" t="str">
        <f>IF(AND($AM542&lt;&gt;"",$AS542&lt;&gt;"✓"),SUMPRODUCT(($AM$11:$AM542&lt;&gt;"")*($AS$11:$AS542&lt;&gt;"✓")),"")</f>
        <v/>
      </c>
      <c r="AZ542" s="21" t="str">
        <f>IF(AND($AM542&lt;&gt;"",$AS542="✓"),SUMPRODUCT(($AM$11:$AM542&lt;&gt;"")*($AS$11:$AS542="✓")),"")</f>
        <v/>
      </c>
      <c r="BA542" s="21" t="str">
        <f>IF($AL542="","",$AL542&amp;"|"&amp;COUNTIF($AL$11:$AL542,$AL542))</f>
        <v/>
      </c>
    </row>
    <row r="543" spans="23:53" ht="15" customHeight="1" x14ac:dyDescent="0.25">
      <c r="W543" s="14" t="str">
        <f>IF(X543="","",IFERROR(INDEX($AL$11:$AL$4010,MATCH(533,$AY$11:$AY$4010,0)),""))</f>
        <v/>
      </c>
      <c r="X543" s="12" t="str">
        <f>IFERROR(INDEX($AM$11:$AM$4010,MATCH(533,$AY$11:$AY$4010,0)),"")</f>
        <v/>
      </c>
      <c r="Y543" s="11" t="str">
        <f>IF(X543="","",IFERROR(INDEX($AN$11:$AN$4010,MATCH(533,$AY$11:$AY$4010,0)),""))</f>
        <v/>
      </c>
      <c r="Z543" s="11" t="str">
        <f>IF(X543="","",IFERROR(INDEX($AO$11:$AO$4010,MATCH(533,$AY$11:$AY$4010,0)),""))</f>
        <v/>
      </c>
      <c r="AA543" s="10" t="str">
        <f>IF(X543="","",IFERROR(INDEX($AQ$11:$AQ$4010,MATCH(533,$AY$11:$AY$4010,0)),""))</f>
        <v/>
      </c>
      <c r="AB543" s="15" t="str">
        <f>IF(X543="","",IFERROR(INDEX($AR$11:$AR$4010,MATCH(533,$AY$11:$AY$4010,0)),""))</f>
        <v/>
      </c>
      <c r="AD543" s="16" t="str">
        <f>IF(AE543="","",IFERROR(INDEX($AL$11:$AL$4010,MATCH(533,$AZ$11:$AZ$4010,0)),""))</f>
        <v/>
      </c>
      <c r="AE543" s="12" t="str">
        <f>IFERROR(INDEX($AM$11:$AM$4010,MATCH(533,$AZ$11:$AZ$4010,0)),"")</f>
        <v/>
      </c>
      <c r="AF543" s="11" t="str">
        <f>IF(AE543="","",IFERROR(INDEX($AN$11:$AN$4010,MATCH(533,$AZ$11:$AZ$4010,0)),""))</f>
        <v/>
      </c>
      <c r="AG543" s="11" t="str">
        <f>IF(AE543="","",IFERROR(INDEX($AO$11:$AO$4010,MATCH(533,$AZ$11:$AZ$4010,0)),""))</f>
        <v/>
      </c>
      <c r="AH543" s="10" t="str">
        <f>IF(AE543="","",IFERROR(INDEX($AQ$11:$AQ$4010,MATCH(533,$AZ$11:$AZ$4010,0)),""))</f>
        <v/>
      </c>
      <c r="AI543" s="15" t="str">
        <f>IF(AE543="","",IFERROR(INDEX($AR$11:$AR$4010,MATCH(533,$AZ$11:$AZ$4010,0)),""))</f>
        <v/>
      </c>
      <c r="AJ543" s="15" t="str">
        <f>IF(AE543="","",IFERROR(INDEX($AT$11:$AT$4010,MATCH(533,$AZ$11:$AZ$4010,0)),""))</f>
        <v/>
      </c>
      <c r="AL543" s="17"/>
      <c r="AM543" s="12"/>
      <c r="AN543" s="18"/>
      <c r="AO543" s="18"/>
      <c r="AP543" s="10"/>
      <c r="AQ543" s="10"/>
      <c r="AR543" s="19"/>
      <c r="AS543" s="20"/>
      <c r="AT543" s="19"/>
      <c r="AV543" s="21">
        <f>IF(AND($AL543&lt;&gt;"",COUNTIF($AL$11:$AL543,$AL543)=1),1,0)</f>
        <v>0</v>
      </c>
      <c r="AW543" s="21">
        <f t="shared" si="103"/>
        <v>2</v>
      </c>
      <c r="AX543" s="21" t="str">
        <f t="shared" si="102"/>
        <v/>
      </c>
      <c r="AY543" s="21" t="str">
        <f>IF(AND($AM543&lt;&gt;"",$AS543&lt;&gt;"✓"),SUMPRODUCT(($AM$11:$AM543&lt;&gt;"")*($AS$11:$AS543&lt;&gt;"✓")),"")</f>
        <v/>
      </c>
      <c r="AZ543" s="21" t="str">
        <f>IF(AND($AM543&lt;&gt;"",$AS543="✓"),SUMPRODUCT(($AM$11:$AM543&lt;&gt;"")*($AS$11:$AS543="✓")),"")</f>
        <v/>
      </c>
      <c r="BA543" s="21" t="str">
        <f>IF($AL543="","",$AL543&amp;"|"&amp;COUNTIF($AL$11:$AL543,$AL543))</f>
        <v/>
      </c>
    </row>
    <row r="544" spans="23:53" ht="15" customHeight="1" x14ac:dyDescent="0.25">
      <c r="W544" s="28" t="str">
        <f>IF(X544="","",IFERROR(INDEX($AL$11:$AL$4010,MATCH(534,$AY$11:$AY$4010,0)),""))</f>
        <v/>
      </c>
      <c r="X544" s="26" t="str">
        <f>IFERROR(INDEX($AM$11:$AM$4010,MATCH(534,$AY$11:$AY$4010,0)),"")</f>
        <v/>
      </c>
      <c r="Y544" s="25" t="str">
        <f>IF(X544="","",IFERROR(INDEX($AN$11:$AN$4010,MATCH(534,$AY$11:$AY$4010,0)),""))</f>
        <v/>
      </c>
      <c r="Z544" s="25" t="str">
        <f>IF(X544="","",IFERROR(INDEX($AO$11:$AO$4010,MATCH(534,$AY$11:$AY$4010,0)),""))</f>
        <v/>
      </c>
      <c r="AA544" s="24" t="str">
        <f>IF(X544="","",IFERROR(INDEX($AQ$11:$AQ$4010,MATCH(534,$AY$11:$AY$4010,0)),""))</f>
        <v/>
      </c>
      <c r="AB544" s="29" t="str">
        <f>IF(X544="","",IFERROR(INDEX($AR$11:$AR$4010,MATCH(534,$AY$11:$AY$4010,0)),""))</f>
        <v/>
      </c>
      <c r="AD544" s="30" t="str">
        <f>IF(AE544="","",IFERROR(INDEX($AL$11:$AL$4010,MATCH(534,$AZ$11:$AZ$4010,0)),""))</f>
        <v/>
      </c>
      <c r="AE544" s="26" t="str">
        <f>IFERROR(INDEX($AM$11:$AM$4010,MATCH(534,$AZ$11:$AZ$4010,0)),"")</f>
        <v/>
      </c>
      <c r="AF544" s="25" t="str">
        <f>IF(AE544="","",IFERROR(INDEX($AN$11:$AN$4010,MATCH(534,$AZ$11:$AZ$4010,0)),""))</f>
        <v/>
      </c>
      <c r="AG544" s="25" t="str">
        <f>IF(AE544="","",IFERROR(INDEX($AO$11:$AO$4010,MATCH(534,$AZ$11:$AZ$4010,0)),""))</f>
        <v/>
      </c>
      <c r="AH544" s="24" t="str">
        <f>IF(AE544="","",IFERROR(INDEX($AQ$11:$AQ$4010,MATCH(534,$AZ$11:$AZ$4010,0)),""))</f>
        <v/>
      </c>
      <c r="AI544" s="29" t="str">
        <f>IF(AE544="","",IFERROR(INDEX($AR$11:$AR$4010,MATCH(534,$AZ$11:$AZ$4010,0)),""))</f>
        <v/>
      </c>
      <c r="AJ544" s="29" t="str">
        <f>IF(AE544="","",IFERROR(INDEX($AT$11:$AT$4010,MATCH(534,$AZ$11:$AZ$4010,0)),""))</f>
        <v/>
      </c>
      <c r="AL544" s="31"/>
      <c r="AM544" s="26"/>
      <c r="AN544" s="32"/>
      <c r="AO544" s="32"/>
      <c r="AP544" s="24"/>
      <c r="AQ544" s="24"/>
      <c r="AR544" s="33"/>
      <c r="AS544" s="34"/>
      <c r="AT544" s="33"/>
      <c r="AV544" s="21">
        <f>IF(AND($AL544&lt;&gt;"",COUNTIF($AL$11:$AL544,$AL544)=1),1,0)</f>
        <v>0</v>
      </c>
      <c r="AW544" s="21">
        <f t="shared" si="103"/>
        <v>2</v>
      </c>
      <c r="AX544" s="21" t="str">
        <f t="shared" si="102"/>
        <v/>
      </c>
      <c r="AY544" s="21" t="str">
        <f>IF(AND($AM544&lt;&gt;"",$AS544&lt;&gt;"✓"),SUMPRODUCT(($AM$11:$AM544&lt;&gt;"")*($AS$11:$AS544&lt;&gt;"✓")),"")</f>
        <v/>
      </c>
      <c r="AZ544" s="21" t="str">
        <f>IF(AND($AM544&lt;&gt;"",$AS544="✓"),SUMPRODUCT(($AM$11:$AM544&lt;&gt;"")*($AS$11:$AS544="✓")),"")</f>
        <v/>
      </c>
      <c r="BA544" s="21" t="str">
        <f>IF($AL544="","",$AL544&amp;"|"&amp;COUNTIF($AL$11:$AL544,$AL544))</f>
        <v/>
      </c>
    </row>
    <row r="545" spans="23:53" ht="15" customHeight="1" x14ac:dyDescent="0.25">
      <c r="W545" s="14" t="str">
        <f>IF(X545="","",IFERROR(INDEX($AL$11:$AL$4010,MATCH(535,$AY$11:$AY$4010,0)),""))</f>
        <v/>
      </c>
      <c r="X545" s="12" t="str">
        <f>IFERROR(INDEX($AM$11:$AM$4010,MATCH(535,$AY$11:$AY$4010,0)),"")</f>
        <v/>
      </c>
      <c r="Y545" s="11" t="str">
        <f>IF(X545="","",IFERROR(INDEX($AN$11:$AN$4010,MATCH(535,$AY$11:$AY$4010,0)),""))</f>
        <v/>
      </c>
      <c r="Z545" s="11" t="str">
        <f>IF(X545="","",IFERROR(INDEX($AO$11:$AO$4010,MATCH(535,$AY$11:$AY$4010,0)),""))</f>
        <v/>
      </c>
      <c r="AA545" s="10" t="str">
        <f>IF(X545="","",IFERROR(INDEX($AQ$11:$AQ$4010,MATCH(535,$AY$11:$AY$4010,0)),""))</f>
        <v/>
      </c>
      <c r="AB545" s="15" t="str">
        <f>IF(X545="","",IFERROR(INDEX($AR$11:$AR$4010,MATCH(535,$AY$11:$AY$4010,0)),""))</f>
        <v/>
      </c>
      <c r="AD545" s="16" t="str">
        <f>IF(AE545="","",IFERROR(INDEX($AL$11:$AL$4010,MATCH(535,$AZ$11:$AZ$4010,0)),""))</f>
        <v/>
      </c>
      <c r="AE545" s="12" t="str">
        <f>IFERROR(INDEX($AM$11:$AM$4010,MATCH(535,$AZ$11:$AZ$4010,0)),"")</f>
        <v/>
      </c>
      <c r="AF545" s="11" t="str">
        <f>IF(AE545="","",IFERROR(INDEX($AN$11:$AN$4010,MATCH(535,$AZ$11:$AZ$4010,0)),""))</f>
        <v/>
      </c>
      <c r="AG545" s="11" t="str">
        <f>IF(AE545="","",IFERROR(INDEX($AO$11:$AO$4010,MATCH(535,$AZ$11:$AZ$4010,0)),""))</f>
        <v/>
      </c>
      <c r="AH545" s="10" t="str">
        <f>IF(AE545="","",IFERROR(INDEX($AQ$11:$AQ$4010,MATCH(535,$AZ$11:$AZ$4010,0)),""))</f>
        <v/>
      </c>
      <c r="AI545" s="15" t="str">
        <f>IF(AE545="","",IFERROR(INDEX($AR$11:$AR$4010,MATCH(535,$AZ$11:$AZ$4010,0)),""))</f>
        <v/>
      </c>
      <c r="AJ545" s="15" t="str">
        <f>IF(AE545="","",IFERROR(INDEX($AT$11:$AT$4010,MATCH(535,$AZ$11:$AZ$4010,0)),""))</f>
        <v/>
      </c>
      <c r="AL545" s="17"/>
      <c r="AM545" s="12"/>
      <c r="AN545" s="18"/>
      <c r="AO545" s="18"/>
      <c r="AP545" s="10"/>
      <c r="AQ545" s="10"/>
      <c r="AR545" s="19"/>
      <c r="AS545" s="20"/>
      <c r="AT545" s="19"/>
      <c r="AV545" s="21">
        <f>IF(AND($AL545&lt;&gt;"",COUNTIF($AL$11:$AL545,$AL545)=1),1,0)</f>
        <v>0</v>
      </c>
      <c r="AW545" s="21">
        <f t="shared" si="103"/>
        <v>2</v>
      </c>
      <c r="AX545" s="21" t="str">
        <f t="shared" si="102"/>
        <v/>
      </c>
      <c r="AY545" s="21" t="str">
        <f>IF(AND($AM545&lt;&gt;"",$AS545&lt;&gt;"✓"),SUMPRODUCT(($AM$11:$AM545&lt;&gt;"")*($AS$11:$AS545&lt;&gt;"✓")),"")</f>
        <v/>
      </c>
      <c r="AZ545" s="21" t="str">
        <f>IF(AND($AM545&lt;&gt;"",$AS545="✓"),SUMPRODUCT(($AM$11:$AM545&lt;&gt;"")*($AS$11:$AS545="✓")),"")</f>
        <v/>
      </c>
      <c r="BA545" s="21" t="str">
        <f>IF($AL545="","",$AL545&amp;"|"&amp;COUNTIF($AL$11:$AL545,$AL545))</f>
        <v/>
      </c>
    </row>
    <row r="546" spans="23:53" ht="15" customHeight="1" x14ac:dyDescent="0.25">
      <c r="W546" s="28" t="str">
        <f>IF(X546="","",IFERROR(INDEX($AL$11:$AL$4010,MATCH(536,$AY$11:$AY$4010,0)),""))</f>
        <v/>
      </c>
      <c r="X546" s="26" t="str">
        <f>IFERROR(INDEX($AM$11:$AM$4010,MATCH(536,$AY$11:$AY$4010,0)),"")</f>
        <v/>
      </c>
      <c r="Y546" s="25" t="str">
        <f>IF(X546="","",IFERROR(INDEX($AN$11:$AN$4010,MATCH(536,$AY$11:$AY$4010,0)),""))</f>
        <v/>
      </c>
      <c r="Z546" s="25" t="str">
        <f>IF(X546="","",IFERROR(INDEX($AO$11:$AO$4010,MATCH(536,$AY$11:$AY$4010,0)),""))</f>
        <v/>
      </c>
      <c r="AA546" s="24" t="str">
        <f>IF(X546="","",IFERROR(INDEX($AQ$11:$AQ$4010,MATCH(536,$AY$11:$AY$4010,0)),""))</f>
        <v/>
      </c>
      <c r="AB546" s="29" t="str">
        <f>IF(X546="","",IFERROR(INDEX($AR$11:$AR$4010,MATCH(536,$AY$11:$AY$4010,0)),""))</f>
        <v/>
      </c>
      <c r="AD546" s="30" t="str">
        <f>IF(AE546="","",IFERROR(INDEX($AL$11:$AL$4010,MATCH(536,$AZ$11:$AZ$4010,0)),""))</f>
        <v/>
      </c>
      <c r="AE546" s="26" t="str">
        <f>IFERROR(INDEX($AM$11:$AM$4010,MATCH(536,$AZ$11:$AZ$4010,0)),"")</f>
        <v/>
      </c>
      <c r="AF546" s="25" t="str">
        <f>IF(AE546="","",IFERROR(INDEX($AN$11:$AN$4010,MATCH(536,$AZ$11:$AZ$4010,0)),""))</f>
        <v/>
      </c>
      <c r="AG546" s="25" t="str">
        <f>IF(AE546="","",IFERROR(INDEX($AO$11:$AO$4010,MATCH(536,$AZ$11:$AZ$4010,0)),""))</f>
        <v/>
      </c>
      <c r="AH546" s="24" t="str">
        <f>IF(AE546="","",IFERROR(INDEX($AQ$11:$AQ$4010,MATCH(536,$AZ$11:$AZ$4010,0)),""))</f>
        <v/>
      </c>
      <c r="AI546" s="29" t="str">
        <f>IF(AE546="","",IFERROR(INDEX($AR$11:$AR$4010,MATCH(536,$AZ$11:$AZ$4010,0)),""))</f>
        <v/>
      </c>
      <c r="AJ546" s="29" t="str">
        <f>IF(AE546="","",IFERROR(INDEX($AT$11:$AT$4010,MATCH(536,$AZ$11:$AZ$4010,0)),""))</f>
        <v/>
      </c>
      <c r="AL546" s="31"/>
      <c r="AM546" s="26"/>
      <c r="AN546" s="32"/>
      <c r="AO546" s="32"/>
      <c r="AP546" s="24"/>
      <c r="AQ546" s="24"/>
      <c r="AR546" s="33"/>
      <c r="AS546" s="34"/>
      <c r="AT546" s="33"/>
      <c r="AV546" s="21">
        <f>IF(AND($AL546&lt;&gt;"",COUNTIF($AL$11:$AL546,$AL546)=1),1,0)</f>
        <v>0</v>
      </c>
      <c r="AW546" s="21">
        <f t="shared" si="103"/>
        <v>2</v>
      </c>
      <c r="AX546" s="21" t="str">
        <f t="shared" si="102"/>
        <v/>
      </c>
      <c r="AY546" s="21" t="str">
        <f>IF(AND($AM546&lt;&gt;"",$AS546&lt;&gt;"✓"),SUMPRODUCT(($AM$11:$AM546&lt;&gt;"")*($AS$11:$AS546&lt;&gt;"✓")),"")</f>
        <v/>
      </c>
      <c r="AZ546" s="21" t="str">
        <f>IF(AND($AM546&lt;&gt;"",$AS546="✓"),SUMPRODUCT(($AM$11:$AM546&lt;&gt;"")*($AS$11:$AS546="✓")),"")</f>
        <v/>
      </c>
      <c r="BA546" s="21" t="str">
        <f>IF($AL546="","",$AL546&amp;"|"&amp;COUNTIF($AL$11:$AL546,$AL546))</f>
        <v/>
      </c>
    </row>
    <row r="547" spans="23:53" ht="15" customHeight="1" x14ac:dyDescent="0.25">
      <c r="W547" s="14" t="str">
        <f>IF(X547="","",IFERROR(INDEX($AL$11:$AL$4010,MATCH(537,$AY$11:$AY$4010,0)),""))</f>
        <v/>
      </c>
      <c r="X547" s="12" t="str">
        <f>IFERROR(INDEX($AM$11:$AM$4010,MATCH(537,$AY$11:$AY$4010,0)),"")</f>
        <v/>
      </c>
      <c r="Y547" s="11" t="str">
        <f>IF(X547="","",IFERROR(INDEX($AN$11:$AN$4010,MATCH(537,$AY$11:$AY$4010,0)),""))</f>
        <v/>
      </c>
      <c r="Z547" s="11" t="str">
        <f>IF(X547="","",IFERROR(INDEX($AO$11:$AO$4010,MATCH(537,$AY$11:$AY$4010,0)),""))</f>
        <v/>
      </c>
      <c r="AA547" s="10" t="str">
        <f>IF(X547="","",IFERROR(INDEX($AQ$11:$AQ$4010,MATCH(537,$AY$11:$AY$4010,0)),""))</f>
        <v/>
      </c>
      <c r="AB547" s="15" t="str">
        <f>IF(X547="","",IFERROR(INDEX($AR$11:$AR$4010,MATCH(537,$AY$11:$AY$4010,0)),""))</f>
        <v/>
      </c>
      <c r="AD547" s="16" t="str">
        <f>IF(AE547="","",IFERROR(INDEX($AL$11:$AL$4010,MATCH(537,$AZ$11:$AZ$4010,0)),""))</f>
        <v/>
      </c>
      <c r="AE547" s="12" t="str">
        <f>IFERROR(INDEX($AM$11:$AM$4010,MATCH(537,$AZ$11:$AZ$4010,0)),"")</f>
        <v/>
      </c>
      <c r="AF547" s="11" t="str">
        <f>IF(AE547="","",IFERROR(INDEX($AN$11:$AN$4010,MATCH(537,$AZ$11:$AZ$4010,0)),""))</f>
        <v/>
      </c>
      <c r="AG547" s="11" t="str">
        <f>IF(AE547="","",IFERROR(INDEX($AO$11:$AO$4010,MATCH(537,$AZ$11:$AZ$4010,0)),""))</f>
        <v/>
      </c>
      <c r="AH547" s="10" t="str">
        <f>IF(AE547="","",IFERROR(INDEX($AQ$11:$AQ$4010,MATCH(537,$AZ$11:$AZ$4010,0)),""))</f>
        <v/>
      </c>
      <c r="AI547" s="15" t="str">
        <f>IF(AE547="","",IFERROR(INDEX($AR$11:$AR$4010,MATCH(537,$AZ$11:$AZ$4010,0)),""))</f>
        <v/>
      </c>
      <c r="AJ547" s="15" t="str">
        <f>IF(AE547="","",IFERROR(INDEX($AT$11:$AT$4010,MATCH(537,$AZ$11:$AZ$4010,0)),""))</f>
        <v/>
      </c>
      <c r="AL547" s="17"/>
      <c r="AM547" s="12"/>
      <c r="AN547" s="18"/>
      <c r="AO547" s="18"/>
      <c r="AP547" s="10"/>
      <c r="AQ547" s="10"/>
      <c r="AR547" s="19"/>
      <c r="AS547" s="20"/>
      <c r="AT547" s="19"/>
      <c r="AV547" s="21">
        <f>IF(AND($AL547&lt;&gt;"",COUNTIF($AL$11:$AL547,$AL547)=1),1,0)</f>
        <v>0</v>
      </c>
      <c r="AW547" s="21">
        <f t="shared" si="103"/>
        <v>2</v>
      </c>
      <c r="AX547" s="21" t="str">
        <f t="shared" si="102"/>
        <v/>
      </c>
      <c r="AY547" s="21" t="str">
        <f>IF(AND($AM547&lt;&gt;"",$AS547&lt;&gt;"✓"),SUMPRODUCT(($AM$11:$AM547&lt;&gt;"")*($AS$11:$AS547&lt;&gt;"✓")),"")</f>
        <v/>
      </c>
      <c r="AZ547" s="21" t="str">
        <f>IF(AND($AM547&lt;&gt;"",$AS547="✓"),SUMPRODUCT(($AM$11:$AM547&lt;&gt;"")*($AS$11:$AS547="✓")),"")</f>
        <v/>
      </c>
      <c r="BA547" s="21" t="str">
        <f>IF($AL547="","",$AL547&amp;"|"&amp;COUNTIF($AL$11:$AL547,$AL547))</f>
        <v/>
      </c>
    </row>
    <row r="548" spans="23:53" ht="15" customHeight="1" x14ac:dyDescent="0.25">
      <c r="W548" s="28" t="str">
        <f>IF(X548="","",IFERROR(INDEX($AL$11:$AL$4010,MATCH(538,$AY$11:$AY$4010,0)),""))</f>
        <v/>
      </c>
      <c r="X548" s="26" t="str">
        <f>IFERROR(INDEX($AM$11:$AM$4010,MATCH(538,$AY$11:$AY$4010,0)),"")</f>
        <v/>
      </c>
      <c r="Y548" s="25" t="str">
        <f>IF(X548="","",IFERROR(INDEX($AN$11:$AN$4010,MATCH(538,$AY$11:$AY$4010,0)),""))</f>
        <v/>
      </c>
      <c r="Z548" s="25" t="str">
        <f>IF(X548="","",IFERROR(INDEX($AO$11:$AO$4010,MATCH(538,$AY$11:$AY$4010,0)),""))</f>
        <v/>
      </c>
      <c r="AA548" s="24" t="str">
        <f>IF(X548="","",IFERROR(INDEX($AQ$11:$AQ$4010,MATCH(538,$AY$11:$AY$4010,0)),""))</f>
        <v/>
      </c>
      <c r="AB548" s="29" t="str">
        <f>IF(X548="","",IFERROR(INDEX($AR$11:$AR$4010,MATCH(538,$AY$11:$AY$4010,0)),""))</f>
        <v/>
      </c>
      <c r="AD548" s="30" t="str">
        <f>IF(AE548="","",IFERROR(INDEX($AL$11:$AL$4010,MATCH(538,$AZ$11:$AZ$4010,0)),""))</f>
        <v/>
      </c>
      <c r="AE548" s="26" t="str">
        <f>IFERROR(INDEX($AM$11:$AM$4010,MATCH(538,$AZ$11:$AZ$4010,0)),"")</f>
        <v/>
      </c>
      <c r="AF548" s="25" t="str">
        <f>IF(AE548="","",IFERROR(INDEX($AN$11:$AN$4010,MATCH(538,$AZ$11:$AZ$4010,0)),""))</f>
        <v/>
      </c>
      <c r="AG548" s="25" t="str">
        <f>IF(AE548="","",IFERROR(INDEX($AO$11:$AO$4010,MATCH(538,$AZ$11:$AZ$4010,0)),""))</f>
        <v/>
      </c>
      <c r="AH548" s="24" t="str">
        <f>IF(AE548="","",IFERROR(INDEX($AQ$11:$AQ$4010,MATCH(538,$AZ$11:$AZ$4010,0)),""))</f>
        <v/>
      </c>
      <c r="AI548" s="29" t="str">
        <f>IF(AE548="","",IFERROR(INDEX($AR$11:$AR$4010,MATCH(538,$AZ$11:$AZ$4010,0)),""))</f>
        <v/>
      </c>
      <c r="AJ548" s="29" t="str">
        <f>IF(AE548="","",IFERROR(INDEX($AT$11:$AT$4010,MATCH(538,$AZ$11:$AZ$4010,0)),""))</f>
        <v/>
      </c>
      <c r="AL548" s="31"/>
      <c r="AM548" s="26"/>
      <c r="AN548" s="32"/>
      <c r="AO548" s="32"/>
      <c r="AP548" s="24"/>
      <c r="AQ548" s="24"/>
      <c r="AR548" s="33"/>
      <c r="AS548" s="34"/>
      <c r="AT548" s="33"/>
      <c r="AV548" s="21">
        <f>IF(AND($AL548&lt;&gt;"",COUNTIF($AL$11:$AL548,$AL548)=1),1,0)</f>
        <v>0</v>
      </c>
      <c r="AW548" s="21">
        <f t="shared" si="103"/>
        <v>2</v>
      </c>
      <c r="AX548" s="21" t="str">
        <f t="shared" si="102"/>
        <v/>
      </c>
      <c r="AY548" s="21" t="str">
        <f>IF(AND($AM548&lt;&gt;"",$AS548&lt;&gt;"✓"),SUMPRODUCT(($AM$11:$AM548&lt;&gt;"")*($AS$11:$AS548&lt;&gt;"✓")),"")</f>
        <v/>
      </c>
      <c r="AZ548" s="21" t="str">
        <f>IF(AND($AM548&lt;&gt;"",$AS548="✓"),SUMPRODUCT(($AM$11:$AM548&lt;&gt;"")*($AS$11:$AS548="✓")),"")</f>
        <v/>
      </c>
      <c r="BA548" s="21" t="str">
        <f>IF($AL548="","",$AL548&amp;"|"&amp;COUNTIF($AL$11:$AL548,$AL548))</f>
        <v/>
      </c>
    </row>
    <row r="549" spans="23:53" ht="15" customHeight="1" x14ac:dyDescent="0.25">
      <c r="W549" s="14" t="str">
        <f>IF(X549="","",IFERROR(INDEX($AL$11:$AL$4010,MATCH(539,$AY$11:$AY$4010,0)),""))</f>
        <v/>
      </c>
      <c r="X549" s="12" t="str">
        <f>IFERROR(INDEX($AM$11:$AM$4010,MATCH(539,$AY$11:$AY$4010,0)),"")</f>
        <v/>
      </c>
      <c r="Y549" s="11" t="str">
        <f>IF(X549="","",IFERROR(INDEX($AN$11:$AN$4010,MATCH(539,$AY$11:$AY$4010,0)),""))</f>
        <v/>
      </c>
      <c r="Z549" s="11" t="str">
        <f>IF(X549="","",IFERROR(INDEX($AO$11:$AO$4010,MATCH(539,$AY$11:$AY$4010,0)),""))</f>
        <v/>
      </c>
      <c r="AA549" s="10" t="str">
        <f>IF(X549="","",IFERROR(INDEX($AQ$11:$AQ$4010,MATCH(539,$AY$11:$AY$4010,0)),""))</f>
        <v/>
      </c>
      <c r="AB549" s="15" t="str">
        <f>IF(X549="","",IFERROR(INDEX($AR$11:$AR$4010,MATCH(539,$AY$11:$AY$4010,0)),""))</f>
        <v/>
      </c>
      <c r="AD549" s="16" t="str">
        <f>IF(AE549="","",IFERROR(INDEX($AL$11:$AL$4010,MATCH(539,$AZ$11:$AZ$4010,0)),""))</f>
        <v/>
      </c>
      <c r="AE549" s="12" t="str">
        <f>IFERROR(INDEX($AM$11:$AM$4010,MATCH(539,$AZ$11:$AZ$4010,0)),"")</f>
        <v/>
      </c>
      <c r="AF549" s="11" t="str">
        <f>IF(AE549="","",IFERROR(INDEX($AN$11:$AN$4010,MATCH(539,$AZ$11:$AZ$4010,0)),""))</f>
        <v/>
      </c>
      <c r="AG549" s="11" t="str">
        <f>IF(AE549="","",IFERROR(INDEX($AO$11:$AO$4010,MATCH(539,$AZ$11:$AZ$4010,0)),""))</f>
        <v/>
      </c>
      <c r="AH549" s="10" t="str">
        <f>IF(AE549="","",IFERROR(INDEX($AQ$11:$AQ$4010,MATCH(539,$AZ$11:$AZ$4010,0)),""))</f>
        <v/>
      </c>
      <c r="AI549" s="15" t="str">
        <f>IF(AE549="","",IFERROR(INDEX($AR$11:$AR$4010,MATCH(539,$AZ$11:$AZ$4010,0)),""))</f>
        <v/>
      </c>
      <c r="AJ549" s="15" t="str">
        <f>IF(AE549="","",IFERROR(INDEX($AT$11:$AT$4010,MATCH(539,$AZ$11:$AZ$4010,0)),""))</f>
        <v/>
      </c>
      <c r="AL549" s="17"/>
      <c r="AM549" s="12"/>
      <c r="AN549" s="18"/>
      <c r="AO549" s="18"/>
      <c r="AP549" s="10"/>
      <c r="AQ549" s="10"/>
      <c r="AR549" s="19"/>
      <c r="AS549" s="20"/>
      <c r="AT549" s="19"/>
      <c r="AV549" s="21">
        <f>IF(AND($AL549&lt;&gt;"",COUNTIF($AL$11:$AL549,$AL549)=1),1,0)</f>
        <v>0</v>
      </c>
      <c r="AW549" s="21">
        <f t="shared" si="103"/>
        <v>2</v>
      </c>
      <c r="AX549" s="21" t="str">
        <f t="shared" si="102"/>
        <v/>
      </c>
      <c r="AY549" s="21" t="str">
        <f>IF(AND($AM549&lt;&gt;"",$AS549&lt;&gt;"✓"),SUMPRODUCT(($AM$11:$AM549&lt;&gt;"")*($AS$11:$AS549&lt;&gt;"✓")),"")</f>
        <v/>
      </c>
      <c r="AZ549" s="21" t="str">
        <f>IF(AND($AM549&lt;&gt;"",$AS549="✓"),SUMPRODUCT(($AM$11:$AM549&lt;&gt;"")*($AS$11:$AS549="✓")),"")</f>
        <v/>
      </c>
      <c r="BA549" s="21" t="str">
        <f>IF($AL549="","",$AL549&amp;"|"&amp;COUNTIF($AL$11:$AL549,$AL549))</f>
        <v/>
      </c>
    </row>
    <row r="550" spans="23:53" ht="15" customHeight="1" x14ac:dyDescent="0.25">
      <c r="W550" s="28" t="str">
        <f>IF(X550="","",IFERROR(INDEX($AL$11:$AL$4010,MATCH(540,$AY$11:$AY$4010,0)),""))</f>
        <v/>
      </c>
      <c r="X550" s="26" t="str">
        <f>IFERROR(INDEX($AM$11:$AM$4010,MATCH(540,$AY$11:$AY$4010,0)),"")</f>
        <v/>
      </c>
      <c r="Y550" s="25" t="str">
        <f>IF(X550="","",IFERROR(INDEX($AN$11:$AN$4010,MATCH(540,$AY$11:$AY$4010,0)),""))</f>
        <v/>
      </c>
      <c r="Z550" s="25" t="str">
        <f>IF(X550="","",IFERROR(INDEX($AO$11:$AO$4010,MATCH(540,$AY$11:$AY$4010,0)),""))</f>
        <v/>
      </c>
      <c r="AA550" s="24" t="str">
        <f>IF(X550="","",IFERROR(INDEX($AQ$11:$AQ$4010,MATCH(540,$AY$11:$AY$4010,0)),""))</f>
        <v/>
      </c>
      <c r="AB550" s="29" t="str">
        <f>IF(X550="","",IFERROR(INDEX($AR$11:$AR$4010,MATCH(540,$AY$11:$AY$4010,0)),""))</f>
        <v/>
      </c>
      <c r="AD550" s="30" t="str">
        <f>IF(AE550="","",IFERROR(INDEX($AL$11:$AL$4010,MATCH(540,$AZ$11:$AZ$4010,0)),""))</f>
        <v/>
      </c>
      <c r="AE550" s="26" t="str">
        <f>IFERROR(INDEX($AM$11:$AM$4010,MATCH(540,$AZ$11:$AZ$4010,0)),"")</f>
        <v/>
      </c>
      <c r="AF550" s="25" t="str">
        <f>IF(AE550="","",IFERROR(INDEX($AN$11:$AN$4010,MATCH(540,$AZ$11:$AZ$4010,0)),""))</f>
        <v/>
      </c>
      <c r="AG550" s="25" t="str">
        <f>IF(AE550="","",IFERROR(INDEX($AO$11:$AO$4010,MATCH(540,$AZ$11:$AZ$4010,0)),""))</f>
        <v/>
      </c>
      <c r="AH550" s="24" t="str">
        <f>IF(AE550="","",IFERROR(INDEX($AQ$11:$AQ$4010,MATCH(540,$AZ$11:$AZ$4010,0)),""))</f>
        <v/>
      </c>
      <c r="AI550" s="29" t="str">
        <f>IF(AE550="","",IFERROR(INDEX($AR$11:$AR$4010,MATCH(540,$AZ$11:$AZ$4010,0)),""))</f>
        <v/>
      </c>
      <c r="AJ550" s="29" t="str">
        <f>IF(AE550="","",IFERROR(INDEX($AT$11:$AT$4010,MATCH(540,$AZ$11:$AZ$4010,0)),""))</f>
        <v/>
      </c>
      <c r="AL550" s="31"/>
      <c r="AM550" s="26"/>
      <c r="AN550" s="32"/>
      <c r="AO550" s="32"/>
      <c r="AP550" s="24"/>
      <c r="AQ550" s="24"/>
      <c r="AR550" s="33"/>
      <c r="AS550" s="34"/>
      <c r="AT550" s="33"/>
      <c r="AV550" s="21">
        <f>IF(AND($AL550&lt;&gt;"",COUNTIF($AL$11:$AL550,$AL550)=1),1,0)</f>
        <v>0</v>
      </c>
      <c r="AW550" s="21">
        <f t="shared" si="103"/>
        <v>2</v>
      </c>
      <c r="AX550" s="21" t="str">
        <f t="shared" si="102"/>
        <v/>
      </c>
      <c r="AY550" s="21" t="str">
        <f>IF(AND($AM550&lt;&gt;"",$AS550&lt;&gt;"✓"),SUMPRODUCT(($AM$11:$AM550&lt;&gt;"")*($AS$11:$AS550&lt;&gt;"✓")),"")</f>
        <v/>
      </c>
      <c r="AZ550" s="21" t="str">
        <f>IF(AND($AM550&lt;&gt;"",$AS550="✓"),SUMPRODUCT(($AM$11:$AM550&lt;&gt;"")*($AS$11:$AS550="✓")),"")</f>
        <v/>
      </c>
      <c r="BA550" s="21" t="str">
        <f>IF($AL550="","",$AL550&amp;"|"&amp;COUNTIF($AL$11:$AL550,$AL550))</f>
        <v/>
      </c>
    </row>
    <row r="551" spans="23:53" ht="15" customHeight="1" x14ac:dyDescent="0.25">
      <c r="W551" s="14" t="str">
        <f>IF(X551="","",IFERROR(INDEX($AL$11:$AL$4010,MATCH(541,$AY$11:$AY$4010,0)),""))</f>
        <v/>
      </c>
      <c r="X551" s="12" t="str">
        <f>IFERROR(INDEX($AM$11:$AM$4010,MATCH(541,$AY$11:$AY$4010,0)),"")</f>
        <v/>
      </c>
      <c r="Y551" s="11" t="str">
        <f>IF(X551="","",IFERROR(INDEX($AN$11:$AN$4010,MATCH(541,$AY$11:$AY$4010,0)),""))</f>
        <v/>
      </c>
      <c r="Z551" s="11" t="str">
        <f>IF(X551="","",IFERROR(INDEX($AO$11:$AO$4010,MATCH(541,$AY$11:$AY$4010,0)),""))</f>
        <v/>
      </c>
      <c r="AA551" s="10" t="str">
        <f>IF(X551="","",IFERROR(INDEX($AQ$11:$AQ$4010,MATCH(541,$AY$11:$AY$4010,0)),""))</f>
        <v/>
      </c>
      <c r="AB551" s="15" t="str">
        <f>IF(X551="","",IFERROR(INDEX($AR$11:$AR$4010,MATCH(541,$AY$11:$AY$4010,0)),""))</f>
        <v/>
      </c>
      <c r="AD551" s="16" t="str">
        <f>IF(AE551="","",IFERROR(INDEX($AL$11:$AL$4010,MATCH(541,$AZ$11:$AZ$4010,0)),""))</f>
        <v/>
      </c>
      <c r="AE551" s="12" t="str">
        <f>IFERROR(INDEX($AM$11:$AM$4010,MATCH(541,$AZ$11:$AZ$4010,0)),"")</f>
        <v/>
      </c>
      <c r="AF551" s="11" t="str">
        <f>IF(AE551="","",IFERROR(INDEX($AN$11:$AN$4010,MATCH(541,$AZ$11:$AZ$4010,0)),""))</f>
        <v/>
      </c>
      <c r="AG551" s="11" t="str">
        <f>IF(AE551="","",IFERROR(INDEX($AO$11:$AO$4010,MATCH(541,$AZ$11:$AZ$4010,0)),""))</f>
        <v/>
      </c>
      <c r="AH551" s="10" t="str">
        <f>IF(AE551="","",IFERROR(INDEX($AQ$11:$AQ$4010,MATCH(541,$AZ$11:$AZ$4010,0)),""))</f>
        <v/>
      </c>
      <c r="AI551" s="15" t="str">
        <f>IF(AE551="","",IFERROR(INDEX($AR$11:$AR$4010,MATCH(541,$AZ$11:$AZ$4010,0)),""))</f>
        <v/>
      </c>
      <c r="AJ551" s="15" t="str">
        <f>IF(AE551="","",IFERROR(INDEX($AT$11:$AT$4010,MATCH(541,$AZ$11:$AZ$4010,0)),""))</f>
        <v/>
      </c>
      <c r="AL551" s="17"/>
      <c r="AM551" s="12"/>
      <c r="AN551" s="18"/>
      <c r="AO551" s="18"/>
      <c r="AP551" s="10"/>
      <c r="AQ551" s="10"/>
      <c r="AR551" s="19"/>
      <c r="AS551" s="20"/>
      <c r="AT551" s="19"/>
      <c r="AV551" s="21">
        <f>IF(AND($AL551&lt;&gt;"",COUNTIF($AL$11:$AL551,$AL551)=1),1,0)</f>
        <v>0</v>
      </c>
      <c r="AW551" s="21">
        <f t="shared" si="103"/>
        <v>2</v>
      </c>
      <c r="AX551" s="21" t="str">
        <f t="shared" si="102"/>
        <v/>
      </c>
      <c r="AY551" s="21" t="str">
        <f>IF(AND($AM551&lt;&gt;"",$AS551&lt;&gt;"✓"),SUMPRODUCT(($AM$11:$AM551&lt;&gt;"")*($AS$11:$AS551&lt;&gt;"✓")),"")</f>
        <v/>
      </c>
      <c r="AZ551" s="21" t="str">
        <f>IF(AND($AM551&lt;&gt;"",$AS551="✓"),SUMPRODUCT(($AM$11:$AM551&lt;&gt;"")*($AS$11:$AS551="✓")),"")</f>
        <v/>
      </c>
      <c r="BA551" s="21" t="str">
        <f>IF($AL551="","",$AL551&amp;"|"&amp;COUNTIF($AL$11:$AL551,$AL551))</f>
        <v/>
      </c>
    </row>
    <row r="552" spans="23:53" ht="15" customHeight="1" x14ac:dyDescent="0.25">
      <c r="W552" s="28" t="str">
        <f>IF(X552="","",IFERROR(INDEX($AL$11:$AL$4010,MATCH(542,$AY$11:$AY$4010,0)),""))</f>
        <v/>
      </c>
      <c r="X552" s="26" t="str">
        <f>IFERROR(INDEX($AM$11:$AM$4010,MATCH(542,$AY$11:$AY$4010,0)),"")</f>
        <v/>
      </c>
      <c r="Y552" s="25" t="str">
        <f>IF(X552="","",IFERROR(INDEX($AN$11:$AN$4010,MATCH(542,$AY$11:$AY$4010,0)),""))</f>
        <v/>
      </c>
      <c r="Z552" s="25" t="str">
        <f>IF(X552="","",IFERROR(INDEX($AO$11:$AO$4010,MATCH(542,$AY$11:$AY$4010,0)),""))</f>
        <v/>
      </c>
      <c r="AA552" s="24" t="str">
        <f>IF(X552="","",IFERROR(INDEX($AQ$11:$AQ$4010,MATCH(542,$AY$11:$AY$4010,0)),""))</f>
        <v/>
      </c>
      <c r="AB552" s="29" t="str">
        <f>IF(X552="","",IFERROR(INDEX($AR$11:$AR$4010,MATCH(542,$AY$11:$AY$4010,0)),""))</f>
        <v/>
      </c>
      <c r="AD552" s="30" t="str">
        <f>IF(AE552="","",IFERROR(INDEX($AL$11:$AL$4010,MATCH(542,$AZ$11:$AZ$4010,0)),""))</f>
        <v/>
      </c>
      <c r="AE552" s="26" t="str">
        <f>IFERROR(INDEX($AM$11:$AM$4010,MATCH(542,$AZ$11:$AZ$4010,0)),"")</f>
        <v/>
      </c>
      <c r="AF552" s="25" t="str">
        <f>IF(AE552="","",IFERROR(INDEX($AN$11:$AN$4010,MATCH(542,$AZ$11:$AZ$4010,0)),""))</f>
        <v/>
      </c>
      <c r="AG552" s="25" t="str">
        <f>IF(AE552="","",IFERROR(INDEX($AO$11:$AO$4010,MATCH(542,$AZ$11:$AZ$4010,0)),""))</f>
        <v/>
      </c>
      <c r="AH552" s="24" t="str">
        <f>IF(AE552="","",IFERROR(INDEX($AQ$11:$AQ$4010,MATCH(542,$AZ$11:$AZ$4010,0)),""))</f>
        <v/>
      </c>
      <c r="AI552" s="29" t="str">
        <f>IF(AE552="","",IFERROR(INDEX($AR$11:$AR$4010,MATCH(542,$AZ$11:$AZ$4010,0)),""))</f>
        <v/>
      </c>
      <c r="AJ552" s="29" t="str">
        <f>IF(AE552="","",IFERROR(INDEX($AT$11:$AT$4010,MATCH(542,$AZ$11:$AZ$4010,0)),""))</f>
        <v/>
      </c>
      <c r="AL552" s="31"/>
      <c r="AM552" s="26"/>
      <c r="AN552" s="32"/>
      <c r="AO552" s="32"/>
      <c r="AP552" s="24"/>
      <c r="AQ552" s="24"/>
      <c r="AR552" s="33"/>
      <c r="AS552" s="34"/>
      <c r="AT552" s="33"/>
      <c r="AV552" s="21">
        <f>IF(AND($AL552&lt;&gt;"",COUNTIF($AL$11:$AL552,$AL552)=1),1,0)</f>
        <v>0</v>
      </c>
      <c r="AW552" s="21">
        <f t="shared" si="103"/>
        <v>2</v>
      </c>
      <c r="AX552" s="21" t="str">
        <f t="shared" si="102"/>
        <v/>
      </c>
      <c r="AY552" s="21" t="str">
        <f>IF(AND($AM552&lt;&gt;"",$AS552&lt;&gt;"✓"),SUMPRODUCT(($AM$11:$AM552&lt;&gt;"")*($AS$11:$AS552&lt;&gt;"✓")),"")</f>
        <v/>
      </c>
      <c r="AZ552" s="21" t="str">
        <f>IF(AND($AM552&lt;&gt;"",$AS552="✓"),SUMPRODUCT(($AM$11:$AM552&lt;&gt;"")*($AS$11:$AS552="✓")),"")</f>
        <v/>
      </c>
      <c r="BA552" s="21" t="str">
        <f>IF($AL552="","",$AL552&amp;"|"&amp;COUNTIF($AL$11:$AL552,$AL552))</f>
        <v/>
      </c>
    </row>
    <row r="553" spans="23:53" ht="15" customHeight="1" x14ac:dyDescent="0.25">
      <c r="W553" s="14" t="str">
        <f>IF(X553="","",IFERROR(INDEX($AL$11:$AL$4010,MATCH(543,$AY$11:$AY$4010,0)),""))</f>
        <v/>
      </c>
      <c r="X553" s="12" t="str">
        <f>IFERROR(INDEX($AM$11:$AM$4010,MATCH(543,$AY$11:$AY$4010,0)),"")</f>
        <v/>
      </c>
      <c r="Y553" s="11" t="str">
        <f>IF(X553="","",IFERROR(INDEX($AN$11:$AN$4010,MATCH(543,$AY$11:$AY$4010,0)),""))</f>
        <v/>
      </c>
      <c r="Z553" s="11" t="str">
        <f>IF(X553="","",IFERROR(INDEX($AO$11:$AO$4010,MATCH(543,$AY$11:$AY$4010,0)),""))</f>
        <v/>
      </c>
      <c r="AA553" s="10" t="str">
        <f>IF(X553="","",IFERROR(INDEX($AQ$11:$AQ$4010,MATCH(543,$AY$11:$AY$4010,0)),""))</f>
        <v/>
      </c>
      <c r="AB553" s="15" t="str">
        <f>IF(X553="","",IFERROR(INDEX($AR$11:$AR$4010,MATCH(543,$AY$11:$AY$4010,0)),""))</f>
        <v/>
      </c>
      <c r="AD553" s="16" t="str">
        <f>IF(AE553="","",IFERROR(INDEX($AL$11:$AL$4010,MATCH(543,$AZ$11:$AZ$4010,0)),""))</f>
        <v/>
      </c>
      <c r="AE553" s="12" t="str">
        <f>IFERROR(INDEX($AM$11:$AM$4010,MATCH(543,$AZ$11:$AZ$4010,0)),"")</f>
        <v/>
      </c>
      <c r="AF553" s="11" t="str">
        <f>IF(AE553="","",IFERROR(INDEX($AN$11:$AN$4010,MATCH(543,$AZ$11:$AZ$4010,0)),""))</f>
        <v/>
      </c>
      <c r="AG553" s="11" t="str">
        <f>IF(AE553="","",IFERROR(INDEX($AO$11:$AO$4010,MATCH(543,$AZ$11:$AZ$4010,0)),""))</f>
        <v/>
      </c>
      <c r="AH553" s="10" t="str">
        <f>IF(AE553="","",IFERROR(INDEX($AQ$11:$AQ$4010,MATCH(543,$AZ$11:$AZ$4010,0)),""))</f>
        <v/>
      </c>
      <c r="AI553" s="15" t="str">
        <f>IF(AE553="","",IFERROR(INDEX($AR$11:$AR$4010,MATCH(543,$AZ$11:$AZ$4010,0)),""))</f>
        <v/>
      </c>
      <c r="AJ553" s="15" t="str">
        <f>IF(AE553="","",IFERROR(INDEX($AT$11:$AT$4010,MATCH(543,$AZ$11:$AZ$4010,0)),""))</f>
        <v/>
      </c>
      <c r="AL553" s="17"/>
      <c r="AM553" s="12"/>
      <c r="AN553" s="18"/>
      <c r="AO553" s="18"/>
      <c r="AP553" s="10"/>
      <c r="AQ553" s="10"/>
      <c r="AR553" s="19"/>
      <c r="AS553" s="20"/>
      <c r="AT553" s="19"/>
      <c r="AV553" s="21">
        <f>IF(AND($AL553&lt;&gt;"",COUNTIF($AL$11:$AL553,$AL553)=1),1,0)</f>
        <v>0</v>
      </c>
      <c r="AW553" s="21">
        <f t="shared" si="103"/>
        <v>2</v>
      </c>
      <c r="AX553" s="21" t="str">
        <f t="shared" si="102"/>
        <v/>
      </c>
      <c r="AY553" s="21" t="str">
        <f>IF(AND($AM553&lt;&gt;"",$AS553&lt;&gt;"✓"),SUMPRODUCT(($AM$11:$AM553&lt;&gt;"")*($AS$11:$AS553&lt;&gt;"✓")),"")</f>
        <v/>
      </c>
      <c r="AZ553" s="21" t="str">
        <f>IF(AND($AM553&lt;&gt;"",$AS553="✓"),SUMPRODUCT(($AM$11:$AM553&lt;&gt;"")*($AS$11:$AS553="✓")),"")</f>
        <v/>
      </c>
      <c r="BA553" s="21" t="str">
        <f>IF($AL553="","",$AL553&amp;"|"&amp;COUNTIF($AL$11:$AL553,$AL553))</f>
        <v/>
      </c>
    </row>
    <row r="554" spans="23:53" ht="15" customHeight="1" x14ac:dyDescent="0.25">
      <c r="W554" s="28" t="str">
        <f>IF(X554="","",IFERROR(INDEX($AL$11:$AL$4010,MATCH(544,$AY$11:$AY$4010,0)),""))</f>
        <v/>
      </c>
      <c r="X554" s="26" t="str">
        <f>IFERROR(INDEX($AM$11:$AM$4010,MATCH(544,$AY$11:$AY$4010,0)),"")</f>
        <v/>
      </c>
      <c r="Y554" s="25" t="str">
        <f>IF(X554="","",IFERROR(INDEX($AN$11:$AN$4010,MATCH(544,$AY$11:$AY$4010,0)),""))</f>
        <v/>
      </c>
      <c r="Z554" s="25" t="str">
        <f>IF(X554="","",IFERROR(INDEX($AO$11:$AO$4010,MATCH(544,$AY$11:$AY$4010,0)),""))</f>
        <v/>
      </c>
      <c r="AA554" s="24" t="str">
        <f>IF(X554="","",IFERROR(INDEX($AQ$11:$AQ$4010,MATCH(544,$AY$11:$AY$4010,0)),""))</f>
        <v/>
      </c>
      <c r="AB554" s="29" t="str">
        <f>IF(X554="","",IFERROR(INDEX($AR$11:$AR$4010,MATCH(544,$AY$11:$AY$4010,0)),""))</f>
        <v/>
      </c>
      <c r="AD554" s="30" t="str">
        <f>IF(AE554="","",IFERROR(INDEX($AL$11:$AL$4010,MATCH(544,$AZ$11:$AZ$4010,0)),""))</f>
        <v/>
      </c>
      <c r="AE554" s="26" t="str">
        <f>IFERROR(INDEX($AM$11:$AM$4010,MATCH(544,$AZ$11:$AZ$4010,0)),"")</f>
        <v/>
      </c>
      <c r="AF554" s="25" t="str">
        <f>IF(AE554="","",IFERROR(INDEX($AN$11:$AN$4010,MATCH(544,$AZ$11:$AZ$4010,0)),""))</f>
        <v/>
      </c>
      <c r="AG554" s="25" t="str">
        <f>IF(AE554="","",IFERROR(INDEX($AO$11:$AO$4010,MATCH(544,$AZ$11:$AZ$4010,0)),""))</f>
        <v/>
      </c>
      <c r="AH554" s="24" t="str">
        <f>IF(AE554="","",IFERROR(INDEX($AQ$11:$AQ$4010,MATCH(544,$AZ$11:$AZ$4010,0)),""))</f>
        <v/>
      </c>
      <c r="AI554" s="29" t="str">
        <f>IF(AE554="","",IFERROR(INDEX($AR$11:$AR$4010,MATCH(544,$AZ$11:$AZ$4010,0)),""))</f>
        <v/>
      </c>
      <c r="AJ554" s="29" t="str">
        <f>IF(AE554="","",IFERROR(INDEX($AT$11:$AT$4010,MATCH(544,$AZ$11:$AZ$4010,0)),""))</f>
        <v/>
      </c>
      <c r="AL554" s="31"/>
      <c r="AM554" s="26"/>
      <c r="AN554" s="32"/>
      <c r="AO554" s="32"/>
      <c r="AP554" s="24"/>
      <c r="AQ554" s="24"/>
      <c r="AR554" s="33"/>
      <c r="AS554" s="34"/>
      <c r="AT554" s="33"/>
      <c r="AV554" s="21">
        <f>IF(AND($AL554&lt;&gt;"",COUNTIF($AL$11:$AL554,$AL554)=1),1,0)</f>
        <v>0</v>
      </c>
      <c r="AW554" s="21">
        <f t="shared" si="103"/>
        <v>2</v>
      </c>
      <c r="AX554" s="21" t="str">
        <f t="shared" si="102"/>
        <v/>
      </c>
      <c r="AY554" s="21" t="str">
        <f>IF(AND($AM554&lt;&gt;"",$AS554&lt;&gt;"✓"),SUMPRODUCT(($AM$11:$AM554&lt;&gt;"")*($AS$11:$AS554&lt;&gt;"✓")),"")</f>
        <v/>
      </c>
      <c r="AZ554" s="21" t="str">
        <f>IF(AND($AM554&lt;&gt;"",$AS554="✓"),SUMPRODUCT(($AM$11:$AM554&lt;&gt;"")*($AS$11:$AS554="✓")),"")</f>
        <v/>
      </c>
      <c r="BA554" s="21" t="str">
        <f>IF($AL554="","",$AL554&amp;"|"&amp;COUNTIF($AL$11:$AL554,$AL554))</f>
        <v/>
      </c>
    </row>
    <row r="555" spans="23:53" ht="15" customHeight="1" x14ac:dyDescent="0.25">
      <c r="W555" s="14" t="str">
        <f>IF(X555="","",IFERROR(INDEX($AL$11:$AL$4010,MATCH(545,$AY$11:$AY$4010,0)),""))</f>
        <v/>
      </c>
      <c r="X555" s="12" t="str">
        <f>IFERROR(INDEX($AM$11:$AM$4010,MATCH(545,$AY$11:$AY$4010,0)),"")</f>
        <v/>
      </c>
      <c r="Y555" s="11" t="str">
        <f>IF(X555="","",IFERROR(INDEX($AN$11:$AN$4010,MATCH(545,$AY$11:$AY$4010,0)),""))</f>
        <v/>
      </c>
      <c r="Z555" s="11" t="str">
        <f>IF(X555="","",IFERROR(INDEX($AO$11:$AO$4010,MATCH(545,$AY$11:$AY$4010,0)),""))</f>
        <v/>
      </c>
      <c r="AA555" s="10" t="str">
        <f>IF(X555="","",IFERROR(INDEX($AQ$11:$AQ$4010,MATCH(545,$AY$11:$AY$4010,0)),""))</f>
        <v/>
      </c>
      <c r="AB555" s="15" t="str">
        <f>IF(X555="","",IFERROR(INDEX($AR$11:$AR$4010,MATCH(545,$AY$11:$AY$4010,0)),""))</f>
        <v/>
      </c>
      <c r="AD555" s="16" t="str">
        <f>IF(AE555="","",IFERROR(INDEX($AL$11:$AL$4010,MATCH(545,$AZ$11:$AZ$4010,0)),""))</f>
        <v/>
      </c>
      <c r="AE555" s="12" t="str">
        <f>IFERROR(INDEX($AM$11:$AM$4010,MATCH(545,$AZ$11:$AZ$4010,0)),"")</f>
        <v/>
      </c>
      <c r="AF555" s="11" t="str">
        <f>IF(AE555="","",IFERROR(INDEX($AN$11:$AN$4010,MATCH(545,$AZ$11:$AZ$4010,0)),""))</f>
        <v/>
      </c>
      <c r="AG555" s="11" t="str">
        <f>IF(AE555="","",IFERROR(INDEX($AO$11:$AO$4010,MATCH(545,$AZ$11:$AZ$4010,0)),""))</f>
        <v/>
      </c>
      <c r="AH555" s="10" t="str">
        <f>IF(AE555="","",IFERROR(INDEX($AQ$11:$AQ$4010,MATCH(545,$AZ$11:$AZ$4010,0)),""))</f>
        <v/>
      </c>
      <c r="AI555" s="15" t="str">
        <f>IF(AE555="","",IFERROR(INDEX($AR$11:$AR$4010,MATCH(545,$AZ$11:$AZ$4010,0)),""))</f>
        <v/>
      </c>
      <c r="AJ555" s="15" t="str">
        <f>IF(AE555="","",IFERROR(INDEX($AT$11:$AT$4010,MATCH(545,$AZ$11:$AZ$4010,0)),""))</f>
        <v/>
      </c>
      <c r="AL555" s="17"/>
      <c r="AM555" s="12"/>
      <c r="AN555" s="18"/>
      <c r="AO555" s="18"/>
      <c r="AP555" s="10"/>
      <c r="AQ555" s="10"/>
      <c r="AR555" s="19"/>
      <c r="AS555" s="20"/>
      <c r="AT555" s="19"/>
      <c r="AV555" s="21">
        <f>IF(AND($AL555&lt;&gt;"",COUNTIF($AL$11:$AL555,$AL555)=1),1,0)</f>
        <v>0</v>
      </c>
      <c r="AW555" s="21">
        <f t="shared" si="103"/>
        <v>2</v>
      </c>
      <c r="AX555" s="21" t="str">
        <f t="shared" si="102"/>
        <v/>
      </c>
      <c r="AY555" s="21" t="str">
        <f>IF(AND($AM555&lt;&gt;"",$AS555&lt;&gt;"✓"),SUMPRODUCT(($AM$11:$AM555&lt;&gt;"")*($AS$11:$AS555&lt;&gt;"✓")),"")</f>
        <v/>
      </c>
      <c r="AZ555" s="21" t="str">
        <f>IF(AND($AM555&lt;&gt;"",$AS555="✓"),SUMPRODUCT(($AM$11:$AM555&lt;&gt;"")*($AS$11:$AS555="✓")),"")</f>
        <v/>
      </c>
      <c r="BA555" s="21" t="str">
        <f>IF($AL555="","",$AL555&amp;"|"&amp;COUNTIF($AL$11:$AL555,$AL555))</f>
        <v/>
      </c>
    </row>
    <row r="556" spans="23:53" ht="15" customHeight="1" x14ac:dyDescent="0.25">
      <c r="W556" s="28" t="str">
        <f>IF(X556="","",IFERROR(INDEX($AL$11:$AL$4010,MATCH(546,$AY$11:$AY$4010,0)),""))</f>
        <v/>
      </c>
      <c r="X556" s="26" t="str">
        <f>IFERROR(INDEX($AM$11:$AM$4010,MATCH(546,$AY$11:$AY$4010,0)),"")</f>
        <v/>
      </c>
      <c r="Y556" s="25" t="str">
        <f>IF(X556="","",IFERROR(INDEX($AN$11:$AN$4010,MATCH(546,$AY$11:$AY$4010,0)),""))</f>
        <v/>
      </c>
      <c r="Z556" s="25" t="str">
        <f>IF(X556="","",IFERROR(INDEX($AO$11:$AO$4010,MATCH(546,$AY$11:$AY$4010,0)),""))</f>
        <v/>
      </c>
      <c r="AA556" s="24" t="str">
        <f>IF(X556="","",IFERROR(INDEX($AQ$11:$AQ$4010,MATCH(546,$AY$11:$AY$4010,0)),""))</f>
        <v/>
      </c>
      <c r="AB556" s="29" t="str">
        <f>IF(X556="","",IFERROR(INDEX($AR$11:$AR$4010,MATCH(546,$AY$11:$AY$4010,0)),""))</f>
        <v/>
      </c>
      <c r="AD556" s="30" t="str">
        <f>IF(AE556="","",IFERROR(INDEX($AL$11:$AL$4010,MATCH(546,$AZ$11:$AZ$4010,0)),""))</f>
        <v/>
      </c>
      <c r="AE556" s="26" t="str">
        <f>IFERROR(INDEX($AM$11:$AM$4010,MATCH(546,$AZ$11:$AZ$4010,0)),"")</f>
        <v/>
      </c>
      <c r="AF556" s="25" t="str">
        <f>IF(AE556="","",IFERROR(INDEX($AN$11:$AN$4010,MATCH(546,$AZ$11:$AZ$4010,0)),""))</f>
        <v/>
      </c>
      <c r="AG556" s="25" t="str">
        <f>IF(AE556="","",IFERROR(INDEX($AO$11:$AO$4010,MATCH(546,$AZ$11:$AZ$4010,0)),""))</f>
        <v/>
      </c>
      <c r="AH556" s="24" t="str">
        <f>IF(AE556="","",IFERROR(INDEX($AQ$11:$AQ$4010,MATCH(546,$AZ$11:$AZ$4010,0)),""))</f>
        <v/>
      </c>
      <c r="AI556" s="29" t="str">
        <f>IF(AE556="","",IFERROR(INDEX($AR$11:$AR$4010,MATCH(546,$AZ$11:$AZ$4010,0)),""))</f>
        <v/>
      </c>
      <c r="AJ556" s="29" t="str">
        <f>IF(AE556="","",IFERROR(INDEX($AT$11:$AT$4010,MATCH(546,$AZ$11:$AZ$4010,0)),""))</f>
        <v/>
      </c>
      <c r="AL556" s="31"/>
      <c r="AM556" s="26"/>
      <c r="AN556" s="32"/>
      <c r="AO556" s="32"/>
      <c r="AP556" s="24"/>
      <c r="AQ556" s="24"/>
      <c r="AR556" s="33"/>
      <c r="AS556" s="34"/>
      <c r="AT556" s="33"/>
      <c r="AV556" s="21">
        <f>IF(AND($AL556&lt;&gt;"",COUNTIF($AL$11:$AL556,$AL556)=1),1,0)</f>
        <v>0</v>
      </c>
      <c r="AW556" s="21">
        <f t="shared" si="103"/>
        <v>2</v>
      </c>
      <c r="AX556" s="21" t="str">
        <f t="shared" si="102"/>
        <v/>
      </c>
      <c r="AY556" s="21" t="str">
        <f>IF(AND($AM556&lt;&gt;"",$AS556&lt;&gt;"✓"),SUMPRODUCT(($AM$11:$AM556&lt;&gt;"")*($AS$11:$AS556&lt;&gt;"✓")),"")</f>
        <v/>
      </c>
      <c r="AZ556" s="21" t="str">
        <f>IF(AND($AM556&lt;&gt;"",$AS556="✓"),SUMPRODUCT(($AM$11:$AM556&lt;&gt;"")*($AS$11:$AS556="✓")),"")</f>
        <v/>
      </c>
      <c r="BA556" s="21" t="str">
        <f>IF($AL556="","",$AL556&amp;"|"&amp;COUNTIF($AL$11:$AL556,$AL556))</f>
        <v/>
      </c>
    </row>
    <row r="557" spans="23:53" ht="15" customHeight="1" x14ac:dyDescent="0.25">
      <c r="W557" s="14" t="str">
        <f>IF(X557="","",IFERROR(INDEX($AL$11:$AL$4010,MATCH(547,$AY$11:$AY$4010,0)),""))</f>
        <v/>
      </c>
      <c r="X557" s="12" t="str">
        <f>IFERROR(INDEX($AM$11:$AM$4010,MATCH(547,$AY$11:$AY$4010,0)),"")</f>
        <v/>
      </c>
      <c r="Y557" s="11" t="str">
        <f>IF(X557="","",IFERROR(INDEX($AN$11:$AN$4010,MATCH(547,$AY$11:$AY$4010,0)),""))</f>
        <v/>
      </c>
      <c r="Z557" s="11" t="str">
        <f>IF(X557="","",IFERROR(INDEX($AO$11:$AO$4010,MATCH(547,$AY$11:$AY$4010,0)),""))</f>
        <v/>
      </c>
      <c r="AA557" s="10" t="str">
        <f>IF(X557="","",IFERROR(INDEX($AQ$11:$AQ$4010,MATCH(547,$AY$11:$AY$4010,0)),""))</f>
        <v/>
      </c>
      <c r="AB557" s="15" t="str">
        <f>IF(X557="","",IFERROR(INDEX($AR$11:$AR$4010,MATCH(547,$AY$11:$AY$4010,0)),""))</f>
        <v/>
      </c>
      <c r="AD557" s="16" t="str">
        <f>IF(AE557="","",IFERROR(INDEX($AL$11:$AL$4010,MATCH(547,$AZ$11:$AZ$4010,0)),""))</f>
        <v/>
      </c>
      <c r="AE557" s="12" t="str">
        <f>IFERROR(INDEX($AM$11:$AM$4010,MATCH(547,$AZ$11:$AZ$4010,0)),"")</f>
        <v/>
      </c>
      <c r="AF557" s="11" t="str">
        <f>IF(AE557="","",IFERROR(INDEX($AN$11:$AN$4010,MATCH(547,$AZ$11:$AZ$4010,0)),""))</f>
        <v/>
      </c>
      <c r="AG557" s="11" t="str">
        <f>IF(AE557="","",IFERROR(INDEX($AO$11:$AO$4010,MATCH(547,$AZ$11:$AZ$4010,0)),""))</f>
        <v/>
      </c>
      <c r="AH557" s="10" t="str">
        <f>IF(AE557="","",IFERROR(INDEX($AQ$11:$AQ$4010,MATCH(547,$AZ$11:$AZ$4010,0)),""))</f>
        <v/>
      </c>
      <c r="AI557" s="15" t="str">
        <f>IF(AE557="","",IFERROR(INDEX($AR$11:$AR$4010,MATCH(547,$AZ$11:$AZ$4010,0)),""))</f>
        <v/>
      </c>
      <c r="AJ557" s="15" t="str">
        <f>IF(AE557="","",IFERROR(INDEX($AT$11:$AT$4010,MATCH(547,$AZ$11:$AZ$4010,0)),""))</f>
        <v/>
      </c>
      <c r="AL557" s="17"/>
      <c r="AM557" s="12"/>
      <c r="AN557" s="18"/>
      <c r="AO557" s="18"/>
      <c r="AP557" s="10"/>
      <c r="AQ557" s="10"/>
      <c r="AR557" s="19"/>
      <c r="AS557" s="20"/>
      <c r="AT557" s="19"/>
      <c r="AV557" s="21">
        <f>IF(AND($AL557&lt;&gt;"",COUNTIF($AL$11:$AL557,$AL557)=1),1,0)</f>
        <v>0</v>
      </c>
      <c r="AW557" s="21">
        <f t="shared" si="103"/>
        <v>2</v>
      </c>
      <c r="AX557" s="21" t="str">
        <f t="shared" si="102"/>
        <v/>
      </c>
      <c r="AY557" s="21" t="str">
        <f>IF(AND($AM557&lt;&gt;"",$AS557&lt;&gt;"✓"),SUMPRODUCT(($AM$11:$AM557&lt;&gt;"")*($AS$11:$AS557&lt;&gt;"✓")),"")</f>
        <v/>
      </c>
      <c r="AZ557" s="21" t="str">
        <f>IF(AND($AM557&lt;&gt;"",$AS557="✓"),SUMPRODUCT(($AM$11:$AM557&lt;&gt;"")*($AS$11:$AS557="✓")),"")</f>
        <v/>
      </c>
      <c r="BA557" s="21" t="str">
        <f>IF($AL557="","",$AL557&amp;"|"&amp;COUNTIF($AL$11:$AL557,$AL557))</f>
        <v/>
      </c>
    </row>
    <row r="558" spans="23:53" ht="15" customHeight="1" x14ac:dyDescent="0.25">
      <c r="W558" s="28" t="str">
        <f>IF(X558="","",IFERROR(INDEX($AL$11:$AL$4010,MATCH(548,$AY$11:$AY$4010,0)),""))</f>
        <v/>
      </c>
      <c r="X558" s="26" t="str">
        <f>IFERROR(INDEX($AM$11:$AM$4010,MATCH(548,$AY$11:$AY$4010,0)),"")</f>
        <v/>
      </c>
      <c r="Y558" s="25" t="str">
        <f>IF(X558="","",IFERROR(INDEX($AN$11:$AN$4010,MATCH(548,$AY$11:$AY$4010,0)),""))</f>
        <v/>
      </c>
      <c r="Z558" s="25" t="str">
        <f>IF(X558="","",IFERROR(INDEX($AO$11:$AO$4010,MATCH(548,$AY$11:$AY$4010,0)),""))</f>
        <v/>
      </c>
      <c r="AA558" s="24" t="str">
        <f>IF(X558="","",IFERROR(INDEX($AQ$11:$AQ$4010,MATCH(548,$AY$11:$AY$4010,0)),""))</f>
        <v/>
      </c>
      <c r="AB558" s="29" t="str">
        <f>IF(X558="","",IFERROR(INDEX($AR$11:$AR$4010,MATCH(548,$AY$11:$AY$4010,0)),""))</f>
        <v/>
      </c>
      <c r="AD558" s="30" t="str">
        <f>IF(AE558="","",IFERROR(INDEX($AL$11:$AL$4010,MATCH(548,$AZ$11:$AZ$4010,0)),""))</f>
        <v/>
      </c>
      <c r="AE558" s="26" t="str">
        <f>IFERROR(INDEX($AM$11:$AM$4010,MATCH(548,$AZ$11:$AZ$4010,0)),"")</f>
        <v/>
      </c>
      <c r="AF558" s="25" t="str">
        <f>IF(AE558="","",IFERROR(INDEX($AN$11:$AN$4010,MATCH(548,$AZ$11:$AZ$4010,0)),""))</f>
        <v/>
      </c>
      <c r="AG558" s="25" t="str">
        <f>IF(AE558="","",IFERROR(INDEX($AO$11:$AO$4010,MATCH(548,$AZ$11:$AZ$4010,0)),""))</f>
        <v/>
      </c>
      <c r="AH558" s="24" t="str">
        <f>IF(AE558="","",IFERROR(INDEX($AQ$11:$AQ$4010,MATCH(548,$AZ$11:$AZ$4010,0)),""))</f>
        <v/>
      </c>
      <c r="AI558" s="29" t="str">
        <f>IF(AE558="","",IFERROR(INDEX($AR$11:$AR$4010,MATCH(548,$AZ$11:$AZ$4010,0)),""))</f>
        <v/>
      </c>
      <c r="AJ558" s="29" t="str">
        <f>IF(AE558="","",IFERROR(INDEX($AT$11:$AT$4010,MATCH(548,$AZ$11:$AZ$4010,0)),""))</f>
        <v/>
      </c>
      <c r="AL558" s="31"/>
      <c r="AM558" s="26"/>
      <c r="AN558" s="32"/>
      <c r="AO558" s="32"/>
      <c r="AP558" s="24"/>
      <c r="AQ558" s="24"/>
      <c r="AR558" s="33"/>
      <c r="AS558" s="34"/>
      <c r="AT558" s="33"/>
      <c r="AV558" s="21">
        <f>IF(AND($AL558&lt;&gt;"",COUNTIF($AL$11:$AL558,$AL558)=1),1,0)</f>
        <v>0</v>
      </c>
      <c r="AW558" s="21">
        <f t="shared" si="103"/>
        <v>2</v>
      </c>
      <c r="AX558" s="21" t="str">
        <f t="shared" si="102"/>
        <v/>
      </c>
      <c r="AY558" s="21" t="str">
        <f>IF(AND($AM558&lt;&gt;"",$AS558&lt;&gt;"✓"),SUMPRODUCT(($AM$11:$AM558&lt;&gt;"")*($AS$11:$AS558&lt;&gt;"✓")),"")</f>
        <v/>
      </c>
      <c r="AZ558" s="21" t="str">
        <f>IF(AND($AM558&lt;&gt;"",$AS558="✓"),SUMPRODUCT(($AM$11:$AM558&lt;&gt;"")*($AS$11:$AS558="✓")),"")</f>
        <v/>
      </c>
      <c r="BA558" s="21" t="str">
        <f>IF($AL558="","",$AL558&amp;"|"&amp;COUNTIF($AL$11:$AL558,$AL558))</f>
        <v/>
      </c>
    </row>
    <row r="559" spans="23:53" ht="15" customHeight="1" x14ac:dyDescent="0.25">
      <c r="W559" s="14" t="str">
        <f>IF(X559="","",IFERROR(INDEX($AL$11:$AL$4010,MATCH(549,$AY$11:$AY$4010,0)),""))</f>
        <v/>
      </c>
      <c r="X559" s="12" t="str">
        <f>IFERROR(INDEX($AM$11:$AM$4010,MATCH(549,$AY$11:$AY$4010,0)),"")</f>
        <v/>
      </c>
      <c r="Y559" s="11" t="str">
        <f>IF(X559="","",IFERROR(INDEX($AN$11:$AN$4010,MATCH(549,$AY$11:$AY$4010,0)),""))</f>
        <v/>
      </c>
      <c r="Z559" s="11" t="str">
        <f>IF(X559="","",IFERROR(INDEX($AO$11:$AO$4010,MATCH(549,$AY$11:$AY$4010,0)),""))</f>
        <v/>
      </c>
      <c r="AA559" s="10" t="str">
        <f>IF(X559="","",IFERROR(INDEX($AQ$11:$AQ$4010,MATCH(549,$AY$11:$AY$4010,0)),""))</f>
        <v/>
      </c>
      <c r="AB559" s="15" t="str">
        <f>IF(X559="","",IFERROR(INDEX($AR$11:$AR$4010,MATCH(549,$AY$11:$AY$4010,0)),""))</f>
        <v/>
      </c>
      <c r="AD559" s="16" t="str">
        <f>IF(AE559="","",IFERROR(INDEX($AL$11:$AL$4010,MATCH(549,$AZ$11:$AZ$4010,0)),""))</f>
        <v/>
      </c>
      <c r="AE559" s="12" t="str">
        <f>IFERROR(INDEX($AM$11:$AM$4010,MATCH(549,$AZ$11:$AZ$4010,0)),"")</f>
        <v/>
      </c>
      <c r="AF559" s="11" t="str">
        <f>IF(AE559="","",IFERROR(INDEX($AN$11:$AN$4010,MATCH(549,$AZ$11:$AZ$4010,0)),""))</f>
        <v/>
      </c>
      <c r="AG559" s="11" t="str">
        <f>IF(AE559="","",IFERROR(INDEX($AO$11:$AO$4010,MATCH(549,$AZ$11:$AZ$4010,0)),""))</f>
        <v/>
      </c>
      <c r="AH559" s="10" t="str">
        <f>IF(AE559="","",IFERROR(INDEX($AQ$11:$AQ$4010,MATCH(549,$AZ$11:$AZ$4010,0)),""))</f>
        <v/>
      </c>
      <c r="AI559" s="15" t="str">
        <f>IF(AE559="","",IFERROR(INDEX($AR$11:$AR$4010,MATCH(549,$AZ$11:$AZ$4010,0)),""))</f>
        <v/>
      </c>
      <c r="AJ559" s="15" t="str">
        <f>IF(AE559="","",IFERROR(INDEX($AT$11:$AT$4010,MATCH(549,$AZ$11:$AZ$4010,0)),""))</f>
        <v/>
      </c>
      <c r="AL559" s="17"/>
      <c r="AM559" s="12"/>
      <c r="AN559" s="18"/>
      <c r="AO559" s="18"/>
      <c r="AP559" s="10"/>
      <c r="AQ559" s="10"/>
      <c r="AR559" s="19"/>
      <c r="AS559" s="20"/>
      <c r="AT559" s="19"/>
      <c r="AV559" s="21">
        <f>IF(AND($AL559&lt;&gt;"",COUNTIF($AL$11:$AL559,$AL559)=1),1,0)</f>
        <v>0</v>
      </c>
      <c r="AW559" s="21">
        <f t="shared" si="103"/>
        <v>2</v>
      </c>
      <c r="AX559" s="21" t="str">
        <f t="shared" si="102"/>
        <v/>
      </c>
      <c r="AY559" s="21" t="str">
        <f>IF(AND($AM559&lt;&gt;"",$AS559&lt;&gt;"✓"),SUMPRODUCT(($AM$11:$AM559&lt;&gt;"")*($AS$11:$AS559&lt;&gt;"✓")),"")</f>
        <v/>
      </c>
      <c r="AZ559" s="21" t="str">
        <f>IF(AND($AM559&lt;&gt;"",$AS559="✓"),SUMPRODUCT(($AM$11:$AM559&lt;&gt;"")*($AS$11:$AS559="✓")),"")</f>
        <v/>
      </c>
      <c r="BA559" s="21" t="str">
        <f>IF($AL559="","",$AL559&amp;"|"&amp;COUNTIF($AL$11:$AL559,$AL559))</f>
        <v/>
      </c>
    </row>
    <row r="560" spans="23:53" ht="15" customHeight="1" x14ac:dyDescent="0.25">
      <c r="W560" s="28" t="str">
        <f>IF(X560="","",IFERROR(INDEX($AL$11:$AL$4010,MATCH(550,$AY$11:$AY$4010,0)),""))</f>
        <v/>
      </c>
      <c r="X560" s="26" t="str">
        <f>IFERROR(INDEX($AM$11:$AM$4010,MATCH(550,$AY$11:$AY$4010,0)),"")</f>
        <v/>
      </c>
      <c r="Y560" s="25" t="str">
        <f>IF(X560="","",IFERROR(INDEX($AN$11:$AN$4010,MATCH(550,$AY$11:$AY$4010,0)),""))</f>
        <v/>
      </c>
      <c r="Z560" s="25" t="str">
        <f>IF(X560="","",IFERROR(INDEX($AO$11:$AO$4010,MATCH(550,$AY$11:$AY$4010,0)),""))</f>
        <v/>
      </c>
      <c r="AA560" s="24" t="str">
        <f>IF(X560="","",IFERROR(INDEX($AQ$11:$AQ$4010,MATCH(550,$AY$11:$AY$4010,0)),""))</f>
        <v/>
      </c>
      <c r="AB560" s="29" t="str">
        <f>IF(X560="","",IFERROR(INDEX($AR$11:$AR$4010,MATCH(550,$AY$11:$AY$4010,0)),""))</f>
        <v/>
      </c>
      <c r="AD560" s="30" t="str">
        <f>IF(AE560="","",IFERROR(INDEX($AL$11:$AL$4010,MATCH(550,$AZ$11:$AZ$4010,0)),""))</f>
        <v/>
      </c>
      <c r="AE560" s="26" t="str">
        <f>IFERROR(INDEX($AM$11:$AM$4010,MATCH(550,$AZ$11:$AZ$4010,0)),"")</f>
        <v/>
      </c>
      <c r="AF560" s="25" t="str">
        <f>IF(AE560="","",IFERROR(INDEX($AN$11:$AN$4010,MATCH(550,$AZ$11:$AZ$4010,0)),""))</f>
        <v/>
      </c>
      <c r="AG560" s="25" t="str">
        <f>IF(AE560="","",IFERROR(INDEX($AO$11:$AO$4010,MATCH(550,$AZ$11:$AZ$4010,0)),""))</f>
        <v/>
      </c>
      <c r="AH560" s="24" t="str">
        <f>IF(AE560="","",IFERROR(INDEX($AQ$11:$AQ$4010,MATCH(550,$AZ$11:$AZ$4010,0)),""))</f>
        <v/>
      </c>
      <c r="AI560" s="29" t="str">
        <f>IF(AE560="","",IFERROR(INDEX($AR$11:$AR$4010,MATCH(550,$AZ$11:$AZ$4010,0)),""))</f>
        <v/>
      </c>
      <c r="AJ560" s="29" t="str">
        <f>IF(AE560="","",IFERROR(INDEX($AT$11:$AT$4010,MATCH(550,$AZ$11:$AZ$4010,0)),""))</f>
        <v/>
      </c>
      <c r="AL560" s="31"/>
      <c r="AM560" s="26"/>
      <c r="AN560" s="32"/>
      <c r="AO560" s="32"/>
      <c r="AP560" s="24"/>
      <c r="AQ560" s="24"/>
      <c r="AR560" s="33"/>
      <c r="AS560" s="34"/>
      <c r="AT560" s="33"/>
      <c r="AV560" s="21">
        <f>IF(AND($AL560&lt;&gt;"",COUNTIF($AL$11:$AL560,$AL560)=1),1,0)</f>
        <v>0</v>
      </c>
      <c r="AW560" s="21">
        <f t="shared" si="103"/>
        <v>2</v>
      </c>
      <c r="AX560" s="21" t="str">
        <f t="shared" si="102"/>
        <v/>
      </c>
      <c r="AY560" s="21" t="str">
        <f>IF(AND($AM560&lt;&gt;"",$AS560&lt;&gt;"✓"),SUMPRODUCT(($AM$11:$AM560&lt;&gt;"")*($AS$11:$AS560&lt;&gt;"✓")),"")</f>
        <v/>
      </c>
      <c r="AZ560" s="21" t="str">
        <f>IF(AND($AM560&lt;&gt;"",$AS560="✓"),SUMPRODUCT(($AM$11:$AM560&lt;&gt;"")*($AS$11:$AS560="✓")),"")</f>
        <v/>
      </c>
      <c r="BA560" s="21" t="str">
        <f>IF($AL560="","",$AL560&amp;"|"&amp;COUNTIF($AL$11:$AL560,$AL560))</f>
        <v/>
      </c>
    </row>
    <row r="561" spans="23:53" ht="15" customHeight="1" x14ac:dyDescent="0.25">
      <c r="W561" s="14" t="str">
        <f>IF(X561="","",IFERROR(INDEX($AL$11:$AL$4010,MATCH(551,$AY$11:$AY$4010,0)),""))</f>
        <v/>
      </c>
      <c r="X561" s="12" t="str">
        <f>IFERROR(INDEX($AM$11:$AM$4010,MATCH(551,$AY$11:$AY$4010,0)),"")</f>
        <v/>
      </c>
      <c r="Y561" s="11" t="str">
        <f>IF(X561="","",IFERROR(INDEX($AN$11:$AN$4010,MATCH(551,$AY$11:$AY$4010,0)),""))</f>
        <v/>
      </c>
      <c r="Z561" s="11" t="str">
        <f>IF(X561="","",IFERROR(INDEX($AO$11:$AO$4010,MATCH(551,$AY$11:$AY$4010,0)),""))</f>
        <v/>
      </c>
      <c r="AA561" s="10" t="str">
        <f>IF(X561="","",IFERROR(INDEX($AQ$11:$AQ$4010,MATCH(551,$AY$11:$AY$4010,0)),""))</f>
        <v/>
      </c>
      <c r="AB561" s="15" t="str">
        <f>IF(X561="","",IFERROR(INDEX($AR$11:$AR$4010,MATCH(551,$AY$11:$AY$4010,0)),""))</f>
        <v/>
      </c>
      <c r="AD561" s="16" t="str">
        <f>IF(AE561="","",IFERROR(INDEX($AL$11:$AL$4010,MATCH(551,$AZ$11:$AZ$4010,0)),""))</f>
        <v/>
      </c>
      <c r="AE561" s="12" t="str">
        <f>IFERROR(INDEX($AM$11:$AM$4010,MATCH(551,$AZ$11:$AZ$4010,0)),"")</f>
        <v/>
      </c>
      <c r="AF561" s="11" t="str">
        <f>IF(AE561="","",IFERROR(INDEX($AN$11:$AN$4010,MATCH(551,$AZ$11:$AZ$4010,0)),""))</f>
        <v/>
      </c>
      <c r="AG561" s="11" t="str">
        <f>IF(AE561="","",IFERROR(INDEX($AO$11:$AO$4010,MATCH(551,$AZ$11:$AZ$4010,0)),""))</f>
        <v/>
      </c>
      <c r="AH561" s="10" t="str">
        <f>IF(AE561="","",IFERROR(INDEX($AQ$11:$AQ$4010,MATCH(551,$AZ$11:$AZ$4010,0)),""))</f>
        <v/>
      </c>
      <c r="AI561" s="15" t="str">
        <f>IF(AE561="","",IFERROR(INDEX($AR$11:$AR$4010,MATCH(551,$AZ$11:$AZ$4010,0)),""))</f>
        <v/>
      </c>
      <c r="AJ561" s="15" t="str">
        <f>IF(AE561="","",IFERROR(INDEX($AT$11:$AT$4010,MATCH(551,$AZ$11:$AZ$4010,0)),""))</f>
        <v/>
      </c>
      <c r="AL561" s="17"/>
      <c r="AM561" s="12"/>
      <c r="AN561" s="18"/>
      <c r="AO561" s="18"/>
      <c r="AP561" s="10"/>
      <c r="AQ561" s="10"/>
      <c r="AR561" s="19"/>
      <c r="AS561" s="20"/>
      <c r="AT561" s="19"/>
      <c r="AV561" s="21">
        <f>IF(AND($AL561&lt;&gt;"",COUNTIF($AL$11:$AL561,$AL561)=1),1,0)</f>
        <v>0</v>
      </c>
      <c r="AW561" s="21">
        <f t="shared" si="103"/>
        <v>2</v>
      </c>
      <c r="AX561" s="21" t="str">
        <f t="shared" si="102"/>
        <v/>
      </c>
      <c r="AY561" s="21" t="str">
        <f>IF(AND($AM561&lt;&gt;"",$AS561&lt;&gt;"✓"),SUMPRODUCT(($AM$11:$AM561&lt;&gt;"")*($AS$11:$AS561&lt;&gt;"✓")),"")</f>
        <v/>
      </c>
      <c r="AZ561" s="21" t="str">
        <f>IF(AND($AM561&lt;&gt;"",$AS561="✓"),SUMPRODUCT(($AM$11:$AM561&lt;&gt;"")*($AS$11:$AS561="✓")),"")</f>
        <v/>
      </c>
      <c r="BA561" s="21" t="str">
        <f>IF($AL561="","",$AL561&amp;"|"&amp;COUNTIF($AL$11:$AL561,$AL561))</f>
        <v/>
      </c>
    </row>
    <row r="562" spans="23:53" ht="15" customHeight="1" x14ac:dyDescent="0.25">
      <c r="W562" s="28" t="str">
        <f>IF(X562="","",IFERROR(INDEX($AL$11:$AL$4010,MATCH(552,$AY$11:$AY$4010,0)),""))</f>
        <v/>
      </c>
      <c r="X562" s="26" t="str">
        <f>IFERROR(INDEX($AM$11:$AM$4010,MATCH(552,$AY$11:$AY$4010,0)),"")</f>
        <v/>
      </c>
      <c r="Y562" s="25" t="str">
        <f>IF(X562="","",IFERROR(INDEX($AN$11:$AN$4010,MATCH(552,$AY$11:$AY$4010,0)),""))</f>
        <v/>
      </c>
      <c r="Z562" s="25" t="str">
        <f>IF(X562="","",IFERROR(INDEX($AO$11:$AO$4010,MATCH(552,$AY$11:$AY$4010,0)),""))</f>
        <v/>
      </c>
      <c r="AA562" s="24" t="str">
        <f>IF(X562="","",IFERROR(INDEX($AQ$11:$AQ$4010,MATCH(552,$AY$11:$AY$4010,0)),""))</f>
        <v/>
      </c>
      <c r="AB562" s="29" t="str">
        <f>IF(X562="","",IFERROR(INDEX($AR$11:$AR$4010,MATCH(552,$AY$11:$AY$4010,0)),""))</f>
        <v/>
      </c>
      <c r="AD562" s="30" t="str">
        <f>IF(AE562="","",IFERROR(INDEX($AL$11:$AL$4010,MATCH(552,$AZ$11:$AZ$4010,0)),""))</f>
        <v/>
      </c>
      <c r="AE562" s="26" t="str">
        <f>IFERROR(INDEX($AM$11:$AM$4010,MATCH(552,$AZ$11:$AZ$4010,0)),"")</f>
        <v/>
      </c>
      <c r="AF562" s="25" t="str">
        <f>IF(AE562="","",IFERROR(INDEX($AN$11:$AN$4010,MATCH(552,$AZ$11:$AZ$4010,0)),""))</f>
        <v/>
      </c>
      <c r="AG562" s="25" t="str">
        <f>IF(AE562="","",IFERROR(INDEX($AO$11:$AO$4010,MATCH(552,$AZ$11:$AZ$4010,0)),""))</f>
        <v/>
      </c>
      <c r="AH562" s="24" t="str">
        <f>IF(AE562="","",IFERROR(INDEX($AQ$11:$AQ$4010,MATCH(552,$AZ$11:$AZ$4010,0)),""))</f>
        <v/>
      </c>
      <c r="AI562" s="29" t="str">
        <f>IF(AE562="","",IFERROR(INDEX($AR$11:$AR$4010,MATCH(552,$AZ$11:$AZ$4010,0)),""))</f>
        <v/>
      </c>
      <c r="AJ562" s="29" t="str">
        <f>IF(AE562="","",IFERROR(INDEX($AT$11:$AT$4010,MATCH(552,$AZ$11:$AZ$4010,0)),""))</f>
        <v/>
      </c>
      <c r="AL562" s="31"/>
      <c r="AM562" s="26"/>
      <c r="AN562" s="32"/>
      <c r="AO562" s="32"/>
      <c r="AP562" s="24"/>
      <c r="AQ562" s="24"/>
      <c r="AR562" s="33"/>
      <c r="AS562" s="34"/>
      <c r="AT562" s="33"/>
      <c r="AV562" s="21">
        <f>IF(AND($AL562&lt;&gt;"",COUNTIF($AL$11:$AL562,$AL562)=1),1,0)</f>
        <v>0</v>
      </c>
      <c r="AW562" s="21">
        <f t="shared" si="103"/>
        <v>2</v>
      </c>
      <c r="AX562" s="21" t="str">
        <f t="shared" si="102"/>
        <v/>
      </c>
      <c r="AY562" s="21" t="str">
        <f>IF(AND($AM562&lt;&gt;"",$AS562&lt;&gt;"✓"),SUMPRODUCT(($AM$11:$AM562&lt;&gt;"")*($AS$11:$AS562&lt;&gt;"✓")),"")</f>
        <v/>
      </c>
      <c r="AZ562" s="21" t="str">
        <f>IF(AND($AM562&lt;&gt;"",$AS562="✓"),SUMPRODUCT(($AM$11:$AM562&lt;&gt;"")*($AS$11:$AS562="✓")),"")</f>
        <v/>
      </c>
      <c r="BA562" s="21" t="str">
        <f>IF($AL562="","",$AL562&amp;"|"&amp;COUNTIF($AL$11:$AL562,$AL562))</f>
        <v/>
      </c>
    </row>
    <row r="563" spans="23:53" ht="15" customHeight="1" x14ac:dyDescent="0.25">
      <c r="W563" s="14" t="str">
        <f>IF(X563="","",IFERROR(INDEX($AL$11:$AL$4010,MATCH(553,$AY$11:$AY$4010,0)),""))</f>
        <v/>
      </c>
      <c r="X563" s="12" t="str">
        <f>IFERROR(INDEX($AM$11:$AM$4010,MATCH(553,$AY$11:$AY$4010,0)),"")</f>
        <v/>
      </c>
      <c r="Y563" s="11" t="str">
        <f>IF(X563="","",IFERROR(INDEX($AN$11:$AN$4010,MATCH(553,$AY$11:$AY$4010,0)),""))</f>
        <v/>
      </c>
      <c r="Z563" s="11" t="str">
        <f>IF(X563="","",IFERROR(INDEX($AO$11:$AO$4010,MATCH(553,$AY$11:$AY$4010,0)),""))</f>
        <v/>
      </c>
      <c r="AA563" s="10" t="str">
        <f>IF(X563="","",IFERROR(INDEX($AQ$11:$AQ$4010,MATCH(553,$AY$11:$AY$4010,0)),""))</f>
        <v/>
      </c>
      <c r="AB563" s="15" t="str">
        <f>IF(X563="","",IFERROR(INDEX($AR$11:$AR$4010,MATCH(553,$AY$11:$AY$4010,0)),""))</f>
        <v/>
      </c>
      <c r="AD563" s="16" t="str">
        <f>IF(AE563="","",IFERROR(INDEX($AL$11:$AL$4010,MATCH(553,$AZ$11:$AZ$4010,0)),""))</f>
        <v/>
      </c>
      <c r="AE563" s="12" t="str">
        <f>IFERROR(INDEX($AM$11:$AM$4010,MATCH(553,$AZ$11:$AZ$4010,0)),"")</f>
        <v/>
      </c>
      <c r="AF563" s="11" t="str">
        <f>IF(AE563="","",IFERROR(INDEX($AN$11:$AN$4010,MATCH(553,$AZ$11:$AZ$4010,0)),""))</f>
        <v/>
      </c>
      <c r="AG563" s="11" t="str">
        <f>IF(AE563="","",IFERROR(INDEX($AO$11:$AO$4010,MATCH(553,$AZ$11:$AZ$4010,0)),""))</f>
        <v/>
      </c>
      <c r="AH563" s="10" t="str">
        <f>IF(AE563="","",IFERROR(INDEX($AQ$11:$AQ$4010,MATCH(553,$AZ$11:$AZ$4010,0)),""))</f>
        <v/>
      </c>
      <c r="AI563" s="15" t="str">
        <f>IF(AE563="","",IFERROR(INDEX($AR$11:$AR$4010,MATCH(553,$AZ$11:$AZ$4010,0)),""))</f>
        <v/>
      </c>
      <c r="AJ563" s="15" t="str">
        <f>IF(AE563="","",IFERROR(INDEX($AT$11:$AT$4010,MATCH(553,$AZ$11:$AZ$4010,0)),""))</f>
        <v/>
      </c>
      <c r="AL563" s="17"/>
      <c r="AM563" s="12"/>
      <c r="AN563" s="18"/>
      <c r="AO563" s="18"/>
      <c r="AP563" s="10"/>
      <c r="AQ563" s="10"/>
      <c r="AR563" s="19"/>
      <c r="AS563" s="20"/>
      <c r="AT563" s="19"/>
      <c r="AV563" s="21">
        <f>IF(AND($AL563&lt;&gt;"",COUNTIF($AL$11:$AL563,$AL563)=1),1,0)</f>
        <v>0</v>
      </c>
      <c r="AW563" s="21">
        <f t="shared" si="103"/>
        <v>2</v>
      </c>
      <c r="AX563" s="21" t="str">
        <f t="shared" si="102"/>
        <v/>
      </c>
      <c r="AY563" s="21" t="str">
        <f>IF(AND($AM563&lt;&gt;"",$AS563&lt;&gt;"✓"),SUMPRODUCT(($AM$11:$AM563&lt;&gt;"")*($AS$11:$AS563&lt;&gt;"✓")),"")</f>
        <v/>
      </c>
      <c r="AZ563" s="21" t="str">
        <f>IF(AND($AM563&lt;&gt;"",$AS563="✓"),SUMPRODUCT(($AM$11:$AM563&lt;&gt;"")*($AS$11:$AS563="✓")),"")</f>
        <v/>
      </c>
      <c r="BA563" s="21" t="str">
        <f>IF($AL563="","",$AL563&amp;"|"&amp;COUNTIF($AL$11:$AL563,$AL563))</f>
        <v/>
      </c>
    </row>
    <row r="564" spans="23:53" ht="15" customHeight="1" x14ac:dyDescent="0.25">
      <c r="W564" s="28" t="str">
        <f>IF(X564="","",IFERROR(INDEX($AL$11:$AL$4010,MATCH(554,$AY$11:$AY$4010,0)),""))</f>
        <v/>
      </c>
      <c r="X564" s="26" t="str">
        <f>IFERROR(INDEX($AM$11:$AM$4010,MATCH(554,$AY$11:$AY$4010,0)),"")</f>
        <v/>
      </c>
      <c r="Y564" s="25" t="str">
        <f>IF(X564="","",IFERROR(INDEX($AN$11:$AN$4010,MATCH(554,$AY$11:$AY$4010,0)),""))</f>
        <v/>
      </c>
      <c r="Z564" s="25" t="str">
        <f>IF(X564="","",IFERROR(INDEX($AO$11:$AO$4010,MATCH(554,$AY$11:$AY$4010,0)),""))</f>
        <v/>
      </c>
      <c r="AA564" s="24" t="str">
        <f>IF(X564="","",IFERROR(INDEX($AQ$11:$AQ$4010,MATCH(554,$AY$11:$AY$4010,0)),""))</f>
        <v/>
      </c>
      <c r="AB564" s="29" t="str">
        <f>IF(X564="","",IFERROR(INDEX($AR$11:$AR$4010,MATCH(554,$AY$11:$AY$4010,0)),""))</f>
        <v/>
      </c>
      <c r="AD564" s="30" t="str">
        <f>IF(AE564="","",IFERROR(INDEX($AL$11:$AL$4010,MATCH(554,$AZ$11:$AZ$4010,0)),""))</f>
        <v/>
      </c>
      <c r="AE564" s="26" t="str">
        <f>IFERROR(INDEX($AM$11:$AM$4010,MATCH(554,$AZ$11:$AZ$4010,0)),"")</f>
        <v/>
      </c>
      <c r="AF564" s="25" t="str">
        <f>IF(AE564="","",IFERROR(INDEX($AN$11:$AN$4010,MATCH(554,$AZ$11:$AZ$4010,0)),""))</f>
        <v/>
      </c>
      <c r="AG564" s="25" t="str">
        <f>IF(AE564="","",IFERROR(INDEX($AO$11:$AO$4010,MATCH(554,$AZ$11:$AZ$4010,0)),""))</f>
        <v/>
      </c>
      <c r="AH564" s="24" t="str">
        <f>IF(AE564="","",IFERROR(INDEX($AQ$11:$AQ$4010,MATCH(554,$AZ$11:$AZ$4010,0)),""))</f>
        <v/>
      </c>
      <c r="AI564" s="29" t="str">
        <f>IF(AE564="","",IFERROR(INDEX($AR$11:$AR$4010,MATCH(554,$AZ$11:$AZ$4010,0)),""))</f>
        <v/>
      </c>
      <c r="AJ564" s="29" t="str">
        <f>IF(AE564="","",IFERROR(INDEX($AT$11:$AT$4010,MATCH(554,$AZ$11:$AZ$4010,0)),""))</f>
        <v/>
      </c>
      <c r="AL564" s="31"/>
      <c r="AM564" s="26"/>
      <c r="AN564" s="32"/>
      <c r="AO564" s="32"/>
      <c r="AP564" s="24"/>
      <c r="AQ564" s="24"/>
      <c r="AR564" s="33"/>
      <c r="AS564" s="34"/>
      <c r="AT564" s="33"/>
      <c r="AV564" s="21">
        <f>IF(AND($AL564&lt;&gt;"",COUNTIF($AL$11:$AL564,$AL564)=1),1,0)</f>
        <v>0</v>
      </c>
      <c r="AW564" s="21">
        <f t="shared" si="103"/>
        <v>2</v>
      </c>
      <c r="AX564" s="21" t="str">
        <f t="shared" si="102"/>
        <v/>
      </c>
      <c r="AY564" s="21" t="str">
        <f>IF(AND($AM564&lt;&gt;"",$AS564&lt;&gt;"✓"),SUMPRODUCT(($AM$11:$AM564&lt;&gt;"")*($AS$11:$AS564&lt;&gt;"✓")),"")</f>
        <v/>
      </c>
      <c r="AZ564" s="21" t="str">
        <f>IF(AND($AM564&lt;&gt;"",$AS564="✓"),SUMPRODUCT(($AM$11:$AM564&lt;&gt;"")*($AS$11:$AS564="✓")),"")</f>
        <v/>
      </c>
      <c r="BA564" s="21" t="str">
        <f>IF($AL564="","",$AL564&amp;"|"&amp;COUNTIF($AL$11:$AL564,$AL564))</f>
        <v/>
      </c>
    </row>
    <row r="565" spans="23:53" ht="15" customHeight="1" x14ac:dyDescent="0.25">
      <c r="W565" s="14" t="str">
        <f>IF(X565="","",IFERROR(INDEX($AL$11:$AL$4010,MATCH(555,$AY$11:$AY$4010,0)),""))</f>
        <v/>
      </c>
      <c r="X565" s="12" t="str">
        <f>IFERROR(INDEX($AM$11:$AM$4010,MATCH(555,$AY$11:$AY$4010,0)),"")</f>
        <v/>
      </c>
      <c r="Y565" s="11" t="str">
        <f>IF(X565="","",IFERROR(INDEX($AN$11:$AN$4010,MATCH(555,$AY$11:$AY$4010,0)),""))</f>
        <v/>
      </c>
      <c r="Z565" s="11" t="str">
        <f>IF(X565="","",IFERROR(INDEX($AO$11:$AO$4010,MATCH(555,$AY$11:$AY$4010,0)),""))</f>
        <v/>
      </c>
      <c r="AA565" s="10" t="str">
        <f>IF(X565="","",IFERROR(INDEX($AQ$11:$AQ$4010,MATCH(555,$AY$11:$AY$4010,0)),""))</f>
        <v/>
      </c>
      <c r="AB565" s="15" t="str">
        <f>IF(X565="","",IFERROR(INDEX($AR$11:$AR$4010,MATCH(555,$AY$11:$AY$4010,0)),""))</f>
        <v/>
      </c>
      <c r="AD565" s="16" t="str">
        <f>IF(AE565="","",IFERROR(INDEX($AL$11:$AL$4010,MATCH(555,$AZ$11:$AZ$4010,0)),""))</f>
        <v/>
      </c>
      <c r="AE565" s="12" t="str">
        <f>IFERROR(INDEX($AM$11:$AM$4010,MATCH(555,$AZ$11:$AZ$4010,0)),"")</f>
        <v/>
      </c>
      <c r="AF565" s="11" t="str">
        <f>IF(AE565="","",IFERROR(INDEX($AN$11:$AN$4010,MATCH(555,$AZ$11:$AZ$4010,0)),""))</f>
        <v/>
      </c>
      <c r="AG565" s="11" t="str">
        <f>IF(AE565="","",IFERROR(INDEX($AO$11:$AO$4010,MATCH(555,$AZ$11:$AZ$4010,0)),""))</f>
        <v/>
      </c>
      <c r="AH565" s="10" t="str">
        <f>IF(AE565="","",IFERROR(INDEX($AQ$11:$AQ$4010,MATCH(555,$AZ$11:$AZ$4010,0)),""))</f>
        <v/>
      </c>
      <c r="AI565" s="15" t="str">
        <f>IF(AE565="","",IFERROR(INDEX($AR$11:$AR$4010,MATCH(555,$AZ$11:$AZ$4010,0)),""))</f>
        <v/>
      </c>
      <c r="AJ565" s="15" t="str">
        <f>IF(AE565="","",IFERROR(INDEX($AT$11:$AT$4010,MATCH(555,$AZ$11:$AZ$4010,0)),""))</f>
        <v/>
      </c>
      <c r="AL565" s="17"/>
      <c r="AM565" s="12"/>
      <c r="AN565" s="18"/>
      <c r="AO565" s="18"/>
      <c r="AP565" s="10"/>
      <c r="AQ565" s="10"/>
      <c r="AR565" s="19"/>
      <c r="AS565" s="20"/>
      <c r="AT565" s="19"/>
      <c r="AV565" s="21">
        <f>IF(AND($AL565&lt;&gt;"",COUNTIF($AL$11:$AL565,$AL565)=1),1,0)</f>
        <v>0</v>
      </c>
      <c r="AW565" s="21">
        <f t="shared" si="103"/>
        <v>2</v>
      </c>
      <c r="AX565" s="21" t="str">
        <f t="shared" si="102"/>
        <v/>
      </c>
      <c r="AY565" s="21" t="str">
        <f>IF(AND($AM565&lt;&gt;"",$AS565&lt;&gt;"✓"),SUMPRODUCT(($AM$11:$AM565&lt;&gt;"")*($AS$11:$AS565&lt;&gt;"✓")),"")</f>
        <v/>
      </c>
      <c r="AZ565" s="21" t="str">
        <f>IF(AND($AM565&lt;&gt;"",$AS565="✓"),SUMPRODUCT(($AM$11:$AM565&lt;&gt;"")*($AS$11:$AS565="✓")),"")</f>
        <v/>
      </c>
      <c r="BA565" s="21" t="str">
        <f>IF($AL565="","",$AL565&amp;"|"&amp;COUNTIF($AL$11:$AL565,$AL565))</f>
        <v/>
      </c>
    </row>
    <row r="566" spans="23:53" ht="15" customHeight="1" x14ac:dyDescent="0.25">
      <c r="W566" s="28" t="str">
        <f>IF(X566="","",IFERROR(INDEX($AL$11:$AL$4010,MATCH(556,$AY$11:$AY$4010,0)),""))</f>
        <v/>
      </c>
      <c r="X566" s="26" t="str">
        <f>IFERROR(INDEX($AM$11:$AM$4010,MATCH(556,$AY$11:$AY$4010,0)),"")</f>
        <v/>
      </c>
      <c r="Y566" s="25" t="str">
        <f>IF(X566="","",IFERROR(INDEX($AN$11:$AN$4010,MATCH(556,$AY$11:$AY$4010,0)),""))</f>
        <v/>
      </c>
      <c r="Z566" s="25" t="str">
        <f>IF(X566="","",IFERROR(INDEX($AO$11:$AO$4010,MATCH(556,$AY$11:$AY$4010,0)),""))</f>
        <v/>
      </c>
      <c r="AA566" s="24" t="str">
        <f>IF(X566="","",IFERROR(INDEX($AQ$11:$AQ$4010,MATCH(556,$AY$11:$AY$4010,0)),""))</f>
        <v/>
      </c>
      <c r="AB566" s="29" t="str">
        <f>IF(X566="","",IFERROR(INDEX($AR$11:$AR$4010,MATCH(556,$AY$11:$AY$4010,0)),""))</f>
        <v/>
      </c>
      <c r="AD566" s="30" t="str">
        <f>IF(AE566="","",IFERROR(INDEX($AL$11:$AL$4010,MATCH(556,$AZ$11:$AZ$4010,0)),""))</f>
        <v/>
      </c>
      <c r="AE566" s="26" t="str">
        <f>IFERROR(INDEX($AM$11:$AM$4010,MATCH(556,$AZ$11:$AZ$4010,0)),"")</f>
        <v/>
      </c>
      <c r="AF566" s="25" t="str">
        <f>IF(AE566="","",IFERROR(INDEX($AN$11:$AN$4010,MATCH(556,$AZ$11:$AZ$4010,0)),""))</f>
        <v/>
      </c>
      <c r="AG566" s="25" t="str">
        <f>IF(AE566="","",IFERROR(INDEX($AO$11:$AO$4010,MATCH(556,$AZ$11:$AZ$4010,0)),""))</f>
        <v/>
      </c>
      <c r="AH566" s="24" t="str">
        <f>IF(AE566="","",IFERROR(INDEX($AQ$11:$AQ$4010,MATCH(556,$AZ$11:$AZ$4010,0)),""))</f>
        <v/>
      </c>
      <c r="AI566" s="29" t="str">
        <f>IF(AE566="","",IFERROR(INDEX($AR$11:$AR$4010,MATCH(556,$AZ$11:$AZ$4010,0)),""))</f>
        <v/>
      </c>
      <c r="AJ566" s="29" t="str">
        <f>IF(AE566="","",IFERROR(INDEX($AT$11:$AT$4010,MATCH(556,$AZ$11:$AZ$4010,0)),""))</f>
        <v/>
      </c>
      <c r="AL566" s="31"/>
      <c r="AM566" s="26"/>
      <c r="AN566" s="32"/>
      <c r="AO566" s="32"/>
      <c r="AP566" s="24"/>
      <c r="AQ566" s="24"/>
      <c r="AR566" s="33"/>
      <c r="AS566" s="34"/>
      <c r="AT566" s="33"/>
      <c r="AV566" s="21">
        <f>IF(AND($AL566&lt;&gt;"",COUNTIF($AL$11:$AL566,$AL566)=1),1,0)</f>
        <v>0</v>
      </c>
      <c r="AW566" s="21">
        <f t="shared" si="103"/>
        <v>2</v>
      </c>
      <c r="AX566" s="21" t="str">
        <f t="shared" si="102"/>
        <v/>
      </c>
      <c r="AY566" s="21" t="str">
        <f>IF(AND($AM566&lt;&gt;"",$AS566&lt;&gt;"✓"),SUMPRODUCT(($AM$11:$AM566&lt;&gt;"")*($AS$11:$AS566&lt;&gt;"✓")),"")</f>
        <v/>
      </c>
      <c r="AZ566" s="21" t="str">
        <f>IF(AND($AM566&lt;&gt;"",$AS566="✓"),SUMPRODUCT(($AM$11:$AM566&lt;&gt;"")*($AS$11:$AS566="✓")),"")</f>
        <v/>
      </c>
      <c r="BA566" s="21" t="str">
        <f>IF($AL566="","",$AL566&amp;"|"&amp;COUNTIF($AL$11:$AL566,$AL566))</f>
        <v/>
      </c>
    </row>
    <row r="567" spans="23:53" ht="15" customHeight="1" x14ac:dyDescent="0.25">
      <c r="W567" s="14" t="str">
        <f>IF(X567="","",IFERROR(INDEX($AL$11:$AL$4010,MATCH(557,$AY$11:$AY$4010,0)),""))</f>
        <v/>
      </c>
      <c r="X567" s="12" t="str">
        <f>IFERROR(INDEX($AM$11:$AM$4010,MATCH(557,$AY$11:$AY$4010,0)),"")</f>
        <v/>
      </c>
      <c r="Y567" s="11" t="str">
        <f>IF(X567="","",IFERROR(INDEX($AN$11:$AN$4010,MATCH(557,$AY$11:$AY$4010,0)),""))</f>
        <v/>
      </c>
      <c r="Z567" s="11" t="str">
        <f>IF(X567="","",IFERROR(INDEX($AO$11:$AO$4010,MATCH(557,$AY$11:$AY$4010,0)),""))</f>
        <v/>
      </c>
      <c r="AA567" s="10" t="str">
        <f>IF(X567="","",IFERROR(INDEX($AQ$11:$AQ$4010,MATCH(557,$AY$11:$AY$4010,0)),""))</f>
        <v/>
      </c>
      <c r="AB567" s="15" t="str">
        <f>IF(X567="","",IFERROR(INDEX($AR$11:$AR$4010,MATCH(557,$AY$11:$AY$4010,0)),""))</f>
        <v/>
      </c>
      <c r="AD567" s="16" t="str">
        <f>IF(AE567="","",IFERROR(INDEX($AL$11:$AL$4010,MATCH(557,$AZ$11:$AZ$4010,0)),""))</f>
        <v/>
      </c>
      <c r="AE567" s="12" t="str">
        <f>IFERROR(INDEX($AM$11:$AM$4010,MATCH(557,$AZ$11:$AZ$4010,0)),"")</f>
        <v/>
      </c>
      <c r="AF567" s="11" t="str">
        <f>IF(AE567="","",IFERROR(INDEX($AN$11:$AN$4010,MATCH(557,$AZ$11:$AZ$4010,0)),""))</f>
        <v/>
      </c>
      <c r="AG567" s="11" t="str">
        <f>IF(AE567="","",IFERROR(INDEX($AO$11:$AO$4010,MATCH(557,$AZ$11:$AZ$4010,0)),""))</f>
        <v/>
      </c>
      <c r="AH567" s="10" t="str">
        <f>IF(AE567="","",IFERROR(INDEX($AQ$11:$AQ$4010,MATCH(557,$AZ$11:$AZ$4010,0)),""))</f>
        <v/>
      </c>
      <c r="AI567" s="15" t="str">
        <f>IF(AE567="","",IFERROR(INDEX($AR$11:$AR$4010,MATCH(557,$AZ$11:$AZ$4010,0)),""))</f>
        <v/>
      </c>
      <c r="AJ567" s="15" t="str">
        <f>IF(AE567="","",IFERROR(INDEX($AT$11:$AT$4010,MATCH(557,$AZ$11:$AZ$4010,0)),""))</f>
        <v/>
      </c>
      <c r="AL567" s="17"/>
      <c r="AM567" s="12"/>
      <c r="AN567" s="18"/>
      <c r="AO567" s="18"/>
      <c r="AP567" s="10"/>
      <c r="AQ567" s="10"/>
      <c r="AR567" s="19"/>
      <c r="AS567" s="20"/>
      <c r="AT567" s="19"/>
      <c r="AV567" s="21">
        <f>IF(AND($AL567&lt;&gt;"",COUNTIF($AL$11:$AL567,$AL567)=1),1,0)</f>
        <v>0</v>
      </c>
      <c r="AW567" s="21">
        <f t="shared" si="103"/>
        <v>2</v>
      </c>
      <c r="AX567" s="21" t="str">
        <f t="shared" si="102"/>
        <v/>
      </c>
      <c r="AY567" s="21" t="str">
        <f>IF(AND($AM567&lt;&gt;"",$AS567&lt;&gt;"✓"),SUMPRODUCT(($AM$11:$AM567&lt;&gt;"")*($AS$11:$AS567&lt;&gt;"✓")),"")</f>
        <v/>
      </c>
      <c r="AZ567" s="21" t="str">
        <f>IF(AND($AM567&lt;&gt;"",$AS567="✓"),SUMPRODUCT(($AM$11:$AM567&lt;&gt;"")*($AS$11:$AS567="✓")),"")</f>
        <v/>
      </c>
      <c r="BA567" s="21" t="str">
        <f>IF($AL567="","",$AL567&amp;"|"&amp;COUNTIF($AL$11:$AL567,$AL567))</f>
        <v/>
      </c>
    </row>
    <row r="568" spans="23:53" ht="15" customHeight="1" x14ac:dyDescent="0.25">
      <c r="W568" s="28" t="str">
        <f>IF(X568="","",IFERROR(INDEX($AL$11:$AL$4010,MATCH(558,$AY$11:$AY$4010,0)),""))</f>
        <v/>
      </c>
      <c r="X568" s="26" t="str">
        <f>IFERROR(INDEX($AM$11:$AM$4010,MATCH(558,$AY$11:$AY$4010,0)),"")</f>
        <v/>
      </c>
      <c r="Y568" s="25" t="str">
        <f>IF(X568="","",IFERROR(INDEX($AN$11:$AN$4010,MATCH(558,$AY$11:$AY$4010,0)),""))</f>
        <v/>
      </c>
      <c r="Z568" s="25" t="str">
        <f>IF(X568="","",IFERROR(INDEX($AO$11:$AO$4010,MATCH(558,$AY$11:$AY$4010,0)),""))</f>
        <v/>
      </c>
      <c r="AA568" s="24" t="str">
        <f>IF(X568="","",IFERROR(INDEX($AQ$11:$AQ$4010,MATCH(558,$AY$11:$AY$4010,0)),""))</f>
        <v/>
      </c>
      <c r="AB568" s="29" t="str">
        <f>IF(X568="","",IFERROR(INDEX($AR$11:$AR$4010,MATCH(558,$AY$11:$AY$4010,0)),""))</f>
        <v/>
      </c>
      <c r="AD568" s="30" t="str">
        <f>IF(AE568="","",IFERROR(INDEX($AL$11:$AL$4010,MATCH(558,$AZ$11:$AZ$4010,0)),""))</f>
        <v/>
      </c>
      <c r="AE568" s="26" t="str">
        <f>IFERROR(INDEX($AM$11:$AM$4010,MATCH(558,$AZ$11:$AZ$4010,0)),"")</f>
        <v/>
      </c>
      <c r="AF568" s="25" t="str">
        <f>IF(AE568="","",IFERROR(INDEX($AN$11:$AN$4010,MATCH(558,$AZ$11:$AZ$4010,0)),""))</f>
        <v/>
      </c>
      <c r="AG568" s="25" t="str">
        <f>IF(AE568="","",IFERROR(INDEX($AO$11:$AO$4010,MATCH(558,$AZ$11:$AZ$4010,0)),""))</f>
        <v/>
      </c>
      <c r="AH568" s="24" t="str">
        <f>IF(AE568="","",IFERROR(INDEX($AQ$11:$AQ$4010,MATCH(558,$AZ$11:$AZ$4010,0)),""))</f>
        <v/>
      </c>
      <c r="AI568" s="29" t="str">
        <f>IF(AE568="","",IFERROR(INDEX($AR$11:$AR$4010,MATCH(558,$AZ$11:$AZ$4010,0)),""))</f>
        <v/>
      </c>
      <c r="AJ568" s="29" t="str">
        <f>IF(AE568="","",IFERROR(INDEX($AT$11:$AT$4010,MATCH(558,$AZ$11:$AZ$4010,0)),""))</f>
        <v/>
      </c>
      <c r="AL568" s="31"/>
      <c r="AM568" s="26"/>
      <c r="AN568" s="32"/>
      <c r="AO568" s="32"/>
      <c r="AP568" s="24"/>
      <c r="AQ568" s="24"/>
      <c r="AR568" s="33"/>
      <c r="AS568" s="34"/>
      <c r="AT568" s="33"/>
      <c r="AV568" s="21">
        <f>IF(AND($AL568&lt;&gt;"",COUNTIF($AL$11:$AL568,$AL568)=1),1,0)</f>
        <v>0</v>
      </c>
      <c r="AW568" s="21">
        <f t="shared" si="103"/>
        <v>2</v>
      </c>
      <c r="AX568" s="21" t="str">
        <f t="shared" si="102"/>
        <v/>
      </c>
      <c r="AY568" s="21" t="str">
        <f>IF(AND($AM568&lt;&gt;"",$AS568&lt;&gt;"✓"),SUMPRODUCT(($AM$11:$AM568&lt;&gt;"")*($AS$11:$AS568&lt;&gt;"✓")),"")</f>
        <v/>
      </c>
      <c r="AZ568" s="21" t="str">
        <f>IF(AND($AM568&lt;&gt;"",$AS568="✓"),SUMPRODUCT(($AM$11:$AM568&lt;&gt;"")*($AS$11:$AS568="✓")),"")</f>
        <v/>
      </c>
      <c r="BA568" s="21" t="str">
        <f>IF($AL568="","",$AL568&amp;"|"&amp;COUNTIF($AL$11:$AL568,$AL568))</f>
        <v/>
      </c>
    </row>
    <row r="569" spans="23:53" ht="15" customHeight="1" x14ac:dyDescent="0.25">
      <c r="W569" s="14" t="str">
        <f>IF(X569="","",IFERROR(INDEX($AL$11:$AL$4010,MATCH(559,$AY$11:$AY$4010,0)),""))</f>
        <v/>
      </c>
      <c r="X569" s="12" t="str">
        <f>IFERROR(INDEX($AM$11:$AM$4010,MATCH(559,$AY$11:$AY$4010,0)),"")</f>
        <v/>
      </c>
      <c r="Y569" s="11" t="str">
        <f>IF(X569="","",IFERROR(INDEX($AN$11:$AN$4010,MATCH(559,$AY$11:$AY$4010,0)),""))</f>
        <v/>
      </c>
      <c r="Z569" s="11" t="str">
        <f>IF(X569="","",IFERROR(INDEX($AO$11:$AO$4010,MATCH(559,$AY$11:$AY$4010,0)),""))</f>
        <v/>
      </c>
      <c r="AA569" s="10" t="str">
        <f>IF(X569="","",IFERROR(INDEX($AQ$11:$AQ$4010,MATCH(559,$AY$11:$AY$4010,0)),""))</f>
        <v/>
      </c>
      <c r="AB569" s="15" t="str">
        <f>IF(X569="","",IFERROR(INDEX($AR$11:$AR$4010,MATCH(559,$AY$11:$AY$4010,0)),""))</f>
        <v/>
      </c>
      <c r="AD569" s="16" t="str">
        <f>IF(AE569="","",IFERROR(INDEX($AL$11:$AL$4010,MATCH(559,$AZ$11:$AZ$4010,0)),""))</f>
        <v/>
      </c>
      <c r="AE569" s="12" t="str">
        <f>IFERROR(INDEX($AM$11:$AM$4010,MATCH(559,$AZ$11:$AZ$4010,0)),"")</f>
        <v/>
      </c>
      <c r="AF569" s="11" t="str">
        <f>IF(AE569="","",IFERROR(INDEX($AN$11:$AN$4010,MATCH(559,$AZ$11:$AZ$4010,0)),""))</f>
        <v/>
      </c>
      <c r="AG569" s="11" t="str">
        <f>IF(AE569="","",IFERROR(INDEX($AO$11:$AO$4010,MATCH(559,$AZ$11:$AZ$4010,0)),""))</f>
        <v/>
      </c>
      <c r="AH569" s="10" t="str">
        <f>IF(AE569="","",IFERROR(INDEX($AQ$11:$AQ$4010,MATCH(559,$AZ$11:$AZ$4010,0)),""))</f>
        <v/>
      </c>
      <c r="AI569" s="15" t="str">
        <f>IF(AE569="","",IFERROR(INDEX($AR$11:$AR$4010,MATCH(559,$AZ$11:$AZ$4010,0)),""))</f>
        <v/>
      </c>
      <c r="AJ569" s="15" t="str">
        <f>IF(AE569="","",IFERROR(INDEX($AT$11:$AT$4010,MATCH(559,$AZ$11:$AZ$4010,0)),""))</f>
        <v/>
      </c>
      <c r="AL569" s="17"/>
      <c r="AM569" s="12"/>
      <c r="AN569" s="18"/>
      <c r="AO569" s="18"/>
      <c r="AP569" s="10"/>
      <c r="AQ569" s="10"/>
      <c r="AR569" s="19"/>
      <c r="AS569" s="20"/>
      <c r="AT569" s="19"/>
      <c r="AV569" s="21">
        <f>IF(AND($AL569&lt;&gt;"",COUNTIF($AL$11:$AL569,$AL569)=1),1,0)</f>
        <v>0</v>
      </c>
      <c r="AW569" s="21">
        <f t="shared" si="103"/>
        <v>2</v>
      </c>
      <c r="AX569" s="21" t="str">
        <f t="shared" si="102"/>
        <v/>
      </c>
      <c r="AY569" s="21" t="str">
        <f>IF(AND($AM569&lt;&gt;"",$AS569&lt;&gt;"✓"),SUMPRODUCT(($AM$11:$AM569&lt;&gt;"")*($AS$11:$AS569&lt;&gt;"✓")),"")</f>
        <v/>
      </c>
      <c r="AZ569" s="21" t="str">
        <f>IF(AND($AM569&lt;&gt;"",$AS569="✓"),SUMPRODUCT(($AM$11:$AM569&lt;&gt;"")*($AS$11:$AS569="✓")),"")</f>
        <v/>
      </c>
      <c r="BA569" s="21" t="str">
        <f>IF($AL569="","",$AL569&amp;"|"&amp;COUNTIF($AL$11:$AL569,$AL569))</f>
        <v/>
      </c>
    </row>
    <row r="570" spans="23:53" ht="15" customHeight="1" x14ac:dyDescent="0.25">
      <c r="W570" s="28" t="str">
        <f>IF(X570="","",IFERROR(INDEX($AL$11:$AL$4010,MATCH(560,$AY$11:$AY$4010,0)),""))</f>
        <v/>
      </c>
      <c r="X570" s="26" t="str">
        <f>IFERROR(INDEX($AM$11:$AM$4010,MATCH(560,$AY$11:$AY$4010,0)),"")</f>
        <v/>
      </c>
      <c r="Y570" s="25" t="str">
        <f>IF(X570="","",IFERROR(INDEX($AN$11:$AN$4010,MATCH(560,$AY$11:$AY$4010,0)),""))</f>
        <v/>
      </c>
      <c r="Z570" s="25" t="str">
        <f>IF(X570="","",IFERROR(INDEX($AO$11:$AO$4010,MATCH(560,$AY$11:$AY$4010,0)),""))</f>
        <v/>
      </c>
      <c r="AA570" s="24" t="str">
        <f>IF(X570="","",IFERROR(INDEX($AQ$11:$AQ$4010,MATCH(560,$AY$11:$AY$4010,0)),""))</f>
        <v/>
      </c>
      <c r="AB570" s="29" t="str">
        <f>IF(X570="","",IFERROR(INDEX($AR$11:$AR$4010,MATCH(560,$AY$11:$AY$4010,0)),""))</f>
        <v/>
      </c>
      <c r="AD570" s="30" t="str">
        <f>IF(AE570="","",IFERROR(INDEX($AL$11:$AL$4010,MATCH(560,$AZ$11:$AZ$4010,0)),""))</f>
        <v/>
      </c>
      <c r="AE570" s="26" t="str">
        <f>IFERROR(INDEX($AM$11:$AM$4010,MATCH(560,$AZ$11:$AZ$4010,0)),"")</f>
        <v/>
      </c>
      <c r="AF570" s="25" t="str">
        <f>IF(AE570="","",IFERROR(INDEX($AN$11:$AN$4010,MATCH(560,$AZ$11:$AZ$4010,0)),""))</f>
        <v/>
      </c>
      <c r="AG570" s="25" t="str">
        <f>IF(AE570="","",IFERROR(INDEX($AO$11:$AO$4010,MATCH(560,$AZ$11:$AZ$4010,0)),""))</f>
        <v/>
      </c>
      <c r="AH570" s="24" t="str">
        <f>IF(AE570="","",IFERROR(INDEX($AQ$11:$AQ$4010,MATCH(560,$AZ$11:$AZ$4010,0)),""))</f>
        <v/>
      </c>
      <c r="AI570" s="29" t="str">
        <f>IF(AE570="","",IFERROR(INDEX($AR$11:$AR$4010,MATCH(560,$AZ$11:$AZ$4010,0)),""))</f>
        <v/>
      </c>
      <c r="AJ570" s="29" t="str">
        <f>IF(AE570="","",IFERROR(INDEX($AT$11:$AT$4010,MATCH(560,$AZ$11:$AZ$4010,0)),""))</f>
        <v/>
      </c>
      <c r="AL570" s="31"/>
      <c r="AM570" s="26"/>
      <c r="AN570" s="32"/>
      <c r="AO570" s="32"/>
      <c r="AP570" s="24"/>
      <c r="AQ570" s="24"/>
      <c r="AR570" s="33"/>
      <c r="AS570" s="34"/>
      <c r="AT570" s="33"/>
      <c r="AV570" s="21">
        <f>IF(AND($AL570&lt;&gt;"",COUNTIF($AL$11:$AL570,$AL570)=1),1,0)</f>
        <v>0</v>
      </c>
      <c r="AW570" s="21">
        <f t="shared" si="103"/>
        <v>2</v>
      </c>
      <c r="AX570" s="21" t="str">
        <f t="shared" si="102"/>
        <v/>
      </c>
      <c r="AY570" s="21" t="str">
        <f>IF(AND($AM570&lt;&gt;"",$AS570&lt;&gt;"✓"),SUMPRODUCT(($AM$11:$AM570&lt;&gt;"")*($AS$11:$AS570&lt;&gt;"✓")),"")</f>
        <v/>
      </c>
      <c r="AZ570" s="21" t="str">
        <f>IF(AND($AM570&lt;&gt;"",$AS570="✓"),SUMPRODUCT(($AM$11:$AM570&lt;&gt;"")*($AS$11:$AS570="✓")),"")</f>
        <v/>
      </c>
      <c r="BA570" s="21" t="str">
        <f>IF($AL570="","",$AL570&amp;"|"&amp;COUNTIF($AL$11:$AL570,$AL570))</f>
        <v/>
      </c>
    </row>
    <row r="571" spans="23:53" ht="15" customHeight="1" x14ac:dyDescent="0.25">
      <c r="W571" s="14" t="str">
        <f>IF(X571="","",IFERROR(INDEX($AL$11:$AL$4010,MATCH(561,$AY$11:$AY$4010,0)),""))</f>
        <v/>
      </c>
      <c r="X571" s="12" t="str">
        <f>IFERROR(INDEX($AM$11:$AM$4010,MATCH(561,$AY$11:$AY$4010,0)),"")</f>
        <v/>
      </c>
      <c r="Y571" s="11" t="str">
        <f>IF(X571="","",IFERROR(INDEX($AN$11:$AN$4010,MATCH(561,$AY$11:$AY$4010,0)),""))</f>
        <v/>
      </c>
      <c r="Z571" s="11" t="str">
        <f>IF(X571="","",IFERROR(INDEX($AO$11:$AO$4010,MATCH(561,$AY$11:$AY$4010,0)),""))</f>
        <v/>
      </c>
      <c r="AA571" s="10" t="str">
        <f>IF(X571="","",IFERROR(INDEX($AQ$11:$AQ$4010,MATCH(561,$AY$11:$AY$4010,0)),""))</f>
        <v/>
      </c>
      <c r="AB571" s="15" t="str">
        <f>IF(X571="","",IFERROR(INDEX($AR$11:$AR$4010,MATCH(561,$AY$11:$AY$4010,0)),""))</f>
        <v/>
      </c>
      <c r="AD571" s="16" t="str">
        <f>IF(AE571="","",IFERROR(INDEX($AL$11:$AL$4010,MATCH(561,$AZ$11:$AZ$4010,0)),""))</f>
        <v/>
      </c>
      <c r="AE571" s="12" t="str">
        <f>IFERROR(INDEX($AM$11:$AM$4010,MATCH(561,$AZ$11:$AZ$4010,0)),"")</f>
        <v/>
      </c>
      <c r="AF571" s="11" t="str">
        <f>IF(AE571="","",IFERROR(INDEX($AN$11:$AN$4010,MATCH(561,$AZ$11:$AZ$4010,0)),""))</f>
        <v/>
      </c>
      <c r="AG571" s="11" t="str">
        <f>IF(AE571="","",IFERROR(INDEX($AO$11:$AO$4010,MATCH(561,$AZ$11:$AZ$4010,0)),""))</f>
        <v/>
      </c>
      <c r="AH571" s="10" t="str">
        <f>IF(AE571="","",IFERROR(INDEX($AQ$11:$AQ$4010,MATCH(561,$AZ$11:$AZ$4010,0)),""))</f>
        <v/>
      </c>
      <c r="AI571" s="15" t="str">
        <f>IF(AE571="","",IFERROR(INDEX($AR$11:$AR$4010,MATCH(561,$AZ$11:$AZ$4010,0)),""))</f>
        <v/>
      </c>
      <c r="AJ571" s="15" t="str">
        <f>IF(AE571="","",IFERROR(INDEX($AT$11:$AT$4010,MATCH(561,$AZ$11:$AZ$4010,0)),""))</f>
        <v/>
      </c>
      <c r="AL571" s="17"/>
      <c r="AM571" s="12"/>
      <c r="AN571" s="18"/>
      <c r="AO571" s="18"/>
      <c r="AP571" s="10"/>
      <c r="AQ571" s="10"/>
      <c r="AR571" s="19"/>
      <c r="AS571" s="20"/>
      <c r="AT571" s="19"/>
      <c r="AV571" s="21">
        <f>IF(AND($AL571&lt;&gt;"",COUNTIF($AL$11:$AL571,$AL571)=1),1,0)</f>
        <v>0</v>
      </c>
      <c r="AW571" s="21">
        <f t="shared" si="103"/>
        <v>2</v>
      </c>
      <c r="AX571" s="21" t="str">
        <f t="shared" si="102"/>
        <v/>
      </c>
      <c r="AY571" s="21" t="str">
        <f>IF(AND($AM571&lt;&gt;"",$AS571&lt;&gt;"✓"),SUMPRODUCT(($AM$11:$AM571&lt;&gt;"")*($AS$11:$AS571&lt;&gt;"✓")),"")</f>
        <v/>
      </c>
      <c r="AZ571" s="21" t="str">
        <f>IF(AND($AM571&lt;&gt;"",$AS571="✓"),SUMPRODUCT(($AM$11:$AM571&lt;&gt;"")*($AS$11:$AS571="✓")),"")</f>
        <v/>
      </c>
      <c r="BA571" s="21" t="str">
        <f>IF($AL571="","",$AL571&amp;"|"&amp;COUNTIF($AL$11:$AL571,$AL571))</f>
        <v/>
      </c>
    </row>
    <row r="572" spans="23:53" ht="15" customHeight="1" x14ac:dyDescent="0.25">
      <c r="W572" s="28" t="str">
        <f>IF(X572="","",IFERROR(INDEX($AL$11:$AL$4010,MATCH(562,$AY$11:$AY$4010,0)),""))</f>
        <v/>
      </c>
      <c r="X572" s="26" t="str">
        <f>IFERROR(INDEX($AM$11:$AM$4010,MATCH(562,$AY$11:$AY$4010,0)),"")</f>
        <v/>
      </c>
      <c r="Y572" s="25" t="str">
        <f>IF(X572="","",IFERROR(INDEX($AN$11:$AN$4010,MATCH(562,$AY$11:$AY$4010,0)),""))</f>
        <v/>
      </c>
      <c r="Z572" s="25" t="str">
        <f>IF(X572="","",IFERROR(INDEX($AO$11:$AO$4010,MATCH(562,$AY$11:$AY$4010,0)),""))</f>
        <v/>
      </c>
      <c r="AA572" s="24" t="str">
        <f>IF(X572="","",IFERROR(INDEX($AQ$11:$AQ$4010,MATCH(562,$AY$11:$AY$4010,0)),""))</f>
        <v/>
      </c>
      <c r="AB572" s="29" t="str">
        <f>IF(X572="","",IFERROR(INDEX($AR$11:$AR$4010,MATCH(562,$AY$11:$AY$4010,0)),""))</f>
        <v/>
      </c>
      <c r="AD572" s="30" t="str">
        <f>IF(AE572="","",IFERROR(INDEX($AL$11:$AL$4010,MATCH(562,$AZ$11:$AZ$4010,0)),""))</f>
        <v/>
      </c>
      <c r="AE572" s="26" t="str">
        <f>IFERROR(INDEX($AM$11:$AM$4010,MATCH(562,$AZ$11:$AZ$4010,0)),"")</f>
        <v/>
      </c>
      <c r="AF572" s="25" t="str">
        <f>IF(AE572="","",IFERROR(INDEX($AN$11:$AN$4010,MATCH(562,$AZ$11:$AZ$4010,0)),""))</f>
        <v/>
      </c>
      <c r="AG572" s="25" t="str">
        <f>IF(AE572="","",IFERROR(INDEX($AO$11:$AO$4010,MATCH(562,$AZ$11:$AZ$4010,0)),""))</f>
        <v/>
      </c>
      <c r="AH572" s="24" t="str">
        <f>IF(AE572="","",IFERROR(INDEX($AQ$11:$AQ$4010,MATCH(562,$AZ$11:$AZ$4010,0)),""))</f>
        <v/>
      </c>
      <c r="AI572" s="29" t="str">
        <f>IF(AE572="","",IFERROR(INDEX($AR$11:$AR$4010,MATCH(562,$AZ$11:$AZ$4010,0)),""))</f>
        <v/>
      </c>
      <c r="AJ572" s="29" t="str">
        <f>IF(AE572="","",IFERROR(INDEX($AT$11:$AT$4010,MATCH(562,$AZ$11:$AZ$4010,0)),""))</f>
        <v/>
      </c>
      <c r="AL572" s="31"/>
      <c r="AM572" s="26"/>
      <c r="AN572" s="32"/>
      <c r="AO572" s="32"/>
      <c r="AP572" s="24"/>
      <c r="AQ572" s="24"/>
      <c r="AR572" s="33"/>
      <c r="AS572" s="34"/>
      <c r="AT572" s="33"/>
      <c r="AV572" s="21">
        <f>IF(AND($AL572&lt;&gt;"",COUNTIF($AL$11:$AL572,$AL572)=1),1,0)</f>
        <v>0</v>
      </c>
      <c r="AW572" s="21">
        <f t="shared" si="103"/>
        <v>2</v>
      </c>
      <c r="AX572" s="21" t="str">
        <f t="shared" si="102"/>
        <v/>
      </c>
      <c r="AY572" s="21" t="str">
        <f>IF(AND($AM572&lt;&gt;"",$AS572&lt;&gt;"✓"),SUMPRODUCT(($AM$11:$AM572&lt;&gt;"")*($AS$11:$AS572&lt;&gt;"✓")),"")</f>
        <v/>
      </c>
      <c r="AZ572" s="21" t="str">
        <f>IF(AND($AM572&lt;&gt;"",$AS572="✓"),SUMPRODUCT(($AM$11:$AM572&lt;&gt;"")*($AS$11:$AS572="✓")),"")</f>
        <v/>
      </c>
      <c r="BA572" s="21" t="str">
        <f>IF($AL572="","",$AL572&amp;"|"&amp;COUNTIF($AL$11:$AL572,$AL572))</f>
        <v/>
      </c>
    </row>
    <row r="573" spans="23:53" ht="15" customHeight="1" x14ac:dyDescent="0.25">
      <c r="W573" s="14" t="str">
        <f>IF(X573="","",IFERROR(INDEX($AL$11:$AL$4010,MATCH(563,$AY$11:$AY$4010,0)),""))</f>
        <v/>
      </c>
      <c r="X573" s="12" t="str">
        <f>IFERROR(INDEX($AM$11:$AM$4010,MATCH(563,$AY$11:$AY$4010,0)),"")</f>
        <v/>
      </c>
      <c r="Y573" s="11" t="str">
        <f>IF(X573="","",IFERROR(INDEX($AN$11:$AN$4010,MATCH(563,$AY$11:$AY$4010,0)),""))</f>
        <v/>
      </c>
      <c r="Z573" s="11" t="str">
        <f>IF(X573="","",IFERROR(INDEX($AO$11:$AO$4010,MATCH(563,$AY$11:$AY$4010,0)),""))</f>
        <v/>
      </c>
      <c r="AA573" s="10" t="str">
        <f>IF(X573="","",IFERROR(INDEX($AQ$11:$AQ$4010,MATCH(563,$AY$11:$AY$4010,0)),""))</f>
        <v/>
      </c>
      <c r="AB573" s="15" t="str">
        <f>IF(X573="","",IFERROR(INDEX($AR$11:$AR$4010,MATCH(563,$AY$11:$AY$4010,0)),""))</f>
        <v/>
      </c>
      <c r="AD573" s="16" t="str">
        <f>IF(AE573="","",IFERROR(INDEX($AL$11:$AL$4010,MATCH(563,$AZ$11:$AZ$4010,0)),""))</f>
        <v/>
      </c>
      <c r="AE573" s="12" t="str">
        <f>IFERROR(INDEX($AM$11:$AM$4010,MATCH(563,$AZ$11:$AZ$4010,0)),"")</f>
        <v/>
      </c>
      <c r="AF573" s="11" t="str">
        <f>IF(AE573="","",IFERROR(INDEX($AN$11:$AN$4010,MATCH(563,$AZ$11:$AZ$4010,0)),""))</f>
        <v/>
      </c>
      <c r="AG573" s="11" t="str">
        <f>IF(AE573="","",IFERROR(INDEX($AO$11:$AO$4010,MATCH(563,$AZ$11:$AZ$4010,0)),""))</f>
        <v/>
      </c>
      <c r="AH573" s="10" t="str">
        <f>IF(AE573="","",IFERROR(INDEX($AQ$11:$AQ$4010,MATCH(563,$AZ$11:$AZ$4010,0)),""))</f>
        <v/>
      </c>
      <c r="AI573" s="15" t="str">
        <f>IF(AE573="","",IFERROR(INDEX($AR$11:$AR$4010,MATCH(563,$AZ$11:$AZ$4010,0)),""))</f>
        <v/>
      </c>
      <c r="AJ573" s="15" t="str">
        <f>IF(AE573="","",IFERROR(INDEX($AT$11:$AT$4010,MATCH(563,$AZ$11:$AZ$4010,0)),""))</f>
        <v/>
      </c>
      <c r="AL573" s="17"/>
      <c r="AM573" s="12"/>
      <c r="AN573" s="18"/>
      <c r="AO573" s="18"/>
      <c r="AP573" s="10"/>
      <c r="AQ573" s="10"/>
      <c r="AR573" s="19"/>
      <c r="AS573" s="20"/>
      <c r="AT573" s="19"/>
      <c r="AV573" s="21">
        <f>IF(AND($AL573&lt;&gt;"",COUNTIF($AL$11:$AL573,$AL573)=1),1,0)</f>
        <v>0</v>
      </c>
      <c r="AW573" s="21">
        <f t="shared" si="103"/>
        <v>2</v>
      </c>
      <c r="AX573" s="21" t="str">
        <f t="shared" si="102"/>
        <v/>
      </c>
      <c r="AY573" s="21" t="str">
        <f>IF(AND($AM573&lt;&gt;"",$AS573&lt;&gt;"✓"),SUMPRODUCT(($AM$11:$AM573&lt;&gt;"")*($AS$11:$AS573&lt;&gt;"✓")),"")</f>
        <v/>
      </c>
      <c r="AZ573" s="21" t="str">
        <f>IF(AND($AM573&lt;&gt;"",$AS573="✓"),SUMPRODUCT(($AM$11:$AM573&lt;&gt;"")*($AS$11:$AS573="✓")),"")</f>
        <v/>
      </c>
      <c r="BA573" s="21" t="str">
        <f>IF($AL573="","",$AL573&amp;"|"&amp;COUNTIF($AL$11:$AL573,$AL573))</f>
        <v/>
      </c>
    </row>
    <row r="574" spans="23:53" ht="15" customHeight="1" x14ac:dyDescent="0.25">
      <c r="W574" s="28" t="str">
        <f>IF(X574="","",IFERROR(INDEX($AL$11:$AL$4010,MATCH(564,$AY$11:$AY$4010,0)),""))</f>
        <v/>
      </c>
      <c r="X574" s="26" t="str">
        <f>IFERROR(INDEX($AM$11:$AM$4010,MATCH(564,$AY$11:$AY$4010,0)),"")</f>
        <v/>
      </c>
      <c r="Y574" s="25" t="str">
        <f>IF(X574="","",IFERROR(INDEX($AN$11:$AN$4010,MATCH(564,$AY$11:$AY$4010,0)),""))</f>
        <v/>
      </c>
      <c r="Z574" s="25" t="str">
        <f>IF(X574="","",IFERROR(INDEX($AO$11:$AO$4010,MATCH(564,$AY$11:$AY$4010,0)),""))</f>
        <v/>
      </c>
      <c r="AA574" s="24" t="str">
        <f>IF(X574="","",IFERROR(INDEX($AQ$11:$AQ$4010,MATCH(564,$AY$11:$AY$4010,0)),""))</f>
        <v/>
      </c>
      <c r="AB574" s="29" t="str">
        <f>IF(X574="","",IFERROR(INDEX($AR$11:$AR$4010,MATCH(564,$AY$11:$AY$4010,0)),""))</f>
        <v/>
      </c>
      <c r="AD574" s="30" t="str">
        <f>IF(AE574="","",IFERROR(INDEX($AL$11:$AL$4010,MATCH(564,$AZ$11:$AZ$4010,0)),""))</f>
        <v/>
      </c>
      <c r="AE574" s="26" t="str">
        <f>IFERROR(INDEX($AM$11:$AM$4010,MATCH(564,$AZ$11:$AZ$4010,0)),"")</f>
        <v/>
      </c>
      <c r="AF574" s="25" t="str">
        <f>IF(AE574="","",IFERROR(INDEX($AN$11:$AN$4010,MATCH(564,$AZ$11:$AZ$4010,0)),""))</f>
        <v/>
      </c>
      <c r="AG574" s="25" t="str">
        <f>IF(AE574="","",IFERROR(INDEX($AO$11:$AO$4010,MATCH(564,$AZ$11:$AZ$4010,0)),""))</f>
        <v/>
      </c>
      <c r="AH574" s="24" t="str">
        <f>IF(AE574="","",IFERROR(INDEX($AQ$11:$AQ$4010,MATCH(564,$AZ$11:$AZ$4010,0)),""))</f>
        <v/>
      </c>
      <c r="AI574" s="29" t="str">
        <f>IF(AE574="","",IFERROR(INDEX($AR$11:$AR$4010,MATCH(564,$AZ$11:$AZ$4010,0)),""))</f>
        <v/>
      </c>
      <c r="AJ574" s="29" t="str">
        <f>IF(AE574="","",IFERROR(INDEX($AT$11:$AT$4010,MATCH(564,$AZ$11:$AZ$4010,0)),""))</f>
        <v/>
      </c>
      <c r="AL574" s="31"/>
      <c r="AM574" s="26"/>
      <c r="AN574" s="32"/>
      <c r="AO574" s="32"/>
      <c r="AP574" s="24"/>
      <c r="AQ574" s="24"/>
      <c r="AR574" s="33"/>
      <c r="AS574" s="34"/>
      <c r="AT574" s="33"/>
      <c r="AV574" s="21">
        <f>IF(AND($AL574&lt;&gt;"",COUNTIF($AL$11:$AL574,$AL574)=1),1,0)</f>
        <v>0</v>
      </c>
      <c r="AW574" s="21">
        <f t="shared" si="103"/>
        <v>2</v>
      </c>
      <c r="AX574" s="21" t="str">
        <f t="shared" si="102"/>
        <v/>
      </c>
      <c r="AY574" s="21" t="str">
        <f>IF(AND($AM574&lt;&gt;"",$AS574&lt;&gt;"✓"),SUMPRODUCT(($AM$11:$AM574&lt;&gt;"")*($AS$11:$AS574&lt;&gt;"✓")),"")</f>
        <v/>
      </c>
      <c r="AZ574" s="21" t="str">
        <f>IF(AND($AM574&lt;&gt;"",$AS574="✓"),SUMPRODUCT(($AM$11:$AM574&lt;&gt;"")*($AS$11:$AS574="✓")),"")</f>
        <v/>
      </c>
      <c r="BA574" s="21" t="str">
        <f>IF($AL574="","",$AL574&amp;"|"&amp;COUNTIF($AL$11:$AL574,$AL574))</f>
        <v/>
      </c>
    </row>
    <row r="575" spans="23:53" ht="15" customHeight="1" x14ac:dyDescent="0.25">
      <c r="W575" s="14" t="str">
        <f>IF(X575="","",IFERROR(INDEX($AL$11:$AL$4010,MATCH(565,$AY$11:$AY$4010,0)),""))</f>
        <v/>
      </c>
      <c r="X575" s="12" t="str">
        <f>IFERROR(INDEX($AM$11:$AM$4010,MATCH(565,$AY$11:$AY$4010,0)),"")</f>
        <v/>
      </c>
      <c r="Y575" s="11" t="str">
        <f>IF(X575="","",IFERROR(INDEX($AN$11:$AN$4010,MATCH(565,$AY$11:$AY$4010,0)),""))</f>
        <v/>
      </c>
      <c r="Z575" s="11" t="str">
        <f>IF(X575="","",IFERROR(INDEX($AO$11:$AO$4010,MATCH(565,$AY$11:$AY$4010,0)),""))</f>
        <v/>
      </c>
      <c r="AA575" s="10" t="str">
        <f>IF(X575="","",IFERROR(INDEX($AQ$11:$AQ$4010,MATCH(565,$AY$11:$AY$4010,0)),""))</f>
        <v/>
      </c>
      <c r="AB575" s="15" t="str">
        <f>IF(X575="","",IFERROR(INDEX($AR$11:$AR$4010,MATCH(565,$AY$11:$AY$4010,0)),""))</f>
        <v/>
      </c>
      <c r="AD575" s="16" t="str">
        <f>IF(AE575="","",IFERROR(INDEX($AL$11:$AL$4010,MATCH(565,$AZ$11:$AZ$4010,0)),""))</f>
        <v/>
      </c>
      <c r="AE575" s="12" t="str">
        <f>IFERROR(INDEX($AM$11:$AM$4010,MATCH(565,$AZ$11:$AZ$4010,0)),"")</f>
        <v/>
      </c>
      <c r="AF575" s="11" t="str">
        <f>IF(AE575="","",IFERROR(INDEX($AN$11:$AN$4010,MATCH(565,$AZ$11:$AZ$4010,0)),""))</f>
        <v/>
      </c>
      <c r="AG575" s="11" t="str">
        <f>IF(AE575="","",IFERROR(INDEX($AO$11:$AO$4010,MATCH(565,$AZ$11:$AZ$4010,0)),""))</f>
        <v/>
      </c>
      <c r="AH575" s="10" t="str">
        <f>IF(AE575="","",IFERROR(INDEX($AQ$11:$AQ$4010,MATCH(565,$AZ$11:$AZ$4010,0)),""))</f>
        <v/>
      </c>
      <c r="AI575" s="15" t="str">
        <f>IF(AE575="","",IFERROR(INDEX($AR$11:$AR$4010,MATCH(565,$AZ$11:$AZ$4010,0)),""))</f>
        <v/>
      </c>
      <c r="AJ575" s="15" t="str">
        <f>IF(AE575="","",IFERROR(INDEX($AT$11:$AT$4010,MATCH(565,$AZ$11:$AZ$4010,0)),""))</f>
        <v/>
      </c>
      <c r="AL575" s="17"/>
      <c r="AM575" s="12"/>
      <c r="AN575" s="18"/>
      <c r="AO575" s="18"/>
      <c r="AP575" s="10"/>
      <c r="AQ575" s="10"/>
      <c r="AR575" s="19"/>
      <c r="AS575" s="20"/>
      <c r="AT575" s="19"/>
      <c r="AV575" s="21">
        <f>IF(AND($AL575&lt;&gt;"",COUNTIF($AL$11:$AL575,$AL575)=1),1,0)</f>
        <v>0</v>
      </c>
      <c r="AW575" s="21">
        <f t="shared" si="103"/>
        <v>2</v>
      </c>
      <c r="AX575" s="21" t="str">
        <f t="shared" si="102"/>
        <v/>
      </c>
      <c r="AY575" s="21" t="str">
        <f>IF(AND($AM575&lt;&gt;"",$AS575&lt;&gt;"✓"),SUMPRODUCT(($AM$11:$AM575&lt;&gt;"")*($AS$11:$AS575&lt;&gt;"✓")),"")</f>
        <v/>
      </c>
      <c r="AZ575" s="21" t="str">
        <f>IF(AND($AM575&lt;&gt;"",$AS575="✓"),SUMPRODUCT(($AM$11:$AM575&lt;&gt;"")*($AS$11:$AS575="✓")),"")</f>
        <v/>
      </c>
      <c r="BA575" s="21" t="str">
        <f>IF($AL575="","",$AL575&amp;"|"&amp;COUNTIF($AL$11:$AL575,$AL575))</f>
        <v/>
      </c>
    </row>
    <row r="576" spans="23:53" ht="15" customHeight="1" x14ac:dyDescent="0.25">
      <c r="W576" s="28" t="str">
        <f>IF(X576="","",IFERROR(INDEX($AL$11:$AL$4010,MATCH(566,$AY$11:$AY$4010,0)),""))</f>
        <v/>
      </c>
      <c r="X576" s="26" t="str">
        <f>IFERROR(INDEX($AM$11:$AM$4010,MATCH(566,$AY$11:$AY$4010,0)),"")</f>
        <v/>
      </c>
      <c r="Y576" s="25" t="str">
        <f>IF(X576="","",IFERROR(INDEX($AN$11:$AN$4010,MATCH(566,$AY$11:$AY$4010,0)),""))</f>
        <v/>
      </c>
      <c r="Z576" s="25" t="str">
        <f>IF(X576="","",IFERROR(INDEX($AO$11:$AO$4010,MATCH(566,$AY$11:$AY$4010,0)),""))</f>
        <v/>
      </c>
      <c r="AA576" s="24" t="str">
        <f>IF(X576="","",IFERROR(INDEX($AQ$11:$AQ$4010,MATCH(566,$AY$11:$AY$4010,0)),""))</f>
        <v/>
      </c>
      <c r="AB576" s="29" t="str">
        <f>IF(X576="","",IFERROR(INDEX($AR$11:$AR$4010,MATCH(566,$AY$11:$AY$4010,0)),""))</f>
        <v/>
      </c>
      <c r="AD576" s="30" t="str">
        <f>IF(AE576="","",IFERROR(INDEX($AL$11:$AL$4010,MATCH(566,$AZ$11:$AZ$4010,0)),""))</f>
        <v/>
      </c>
      <c r="AE576" s="26" t="str">
        <f>IFERROR(INDEX($AM$11:$AM$4010,MATCH(566,$AZ$11:$AZ$4010,0)),"")</f>
        <v/>
      </c>
      <c r="AF576" s="25" t="str">
        <f>IF(AE576="","",IFERROR(INDEX($AN$11:$AN$4010,MATCH(566,$AZ$11:$AZ$4010,0)),""))</f>
        <v/>
      </c>
      <c r="AG576" s="25" t="str">
        <f>IF(AE576="","",IFERROR(INDEX($AO$11:$AO$4010,MATCH(566,$AZ$11:$AZ$4010,0)),""))</f>
        <v/>
      </c>
      <c r="AH576" s="24" t="str">
        <f>IF(AE576="","",IFERROR(INDEX($AQ$11:$AQ$4010,MATCH(566,$AZ$11:$AZ$4010,0)),""))</f>
        <v/>
      </c>
      <c r="AI576" s="29" t="str">
        <f>IF(AE576="","",IFERROR(INDEX($AR$11:$AR$4010,MATCH(566,$AZ$11:$AZ$4010,0)),""))</f>
        <v/>
      </c>
      <c r="AJ576" s="29" t="str">
        <f>IF(AE576="","",IFERROR(INDEX($AT$11:$AT$4010,MATCH(566,$AZ$11:$AZ$4010,0)),""))</f>
        <v/>
      </c>
      <c r="AL576" s="31"/>
      <c r="AM576" s="26"/>
      <c r="AN576" s="32"/>
      <c r="AO576" s="32"/>
      <c r="AP576" s="24"/>
      <c r="AQ576" s="24"/>
      <c r="AR576" s="33"/>
      <c r="AS576" s="34"/>
      <c r="AT576" s="33"/>
      <c r="AV576" s="21">
        <f>IF(AND($AL576&lt;&gt;"",COUNTIF($AL$11:$AL576,$AL576)=1),1,0)</f>
        <v>0</v>
      </c>
      <c r="AW576" s="21">
        <f t="shared" si="103"/>
        <v>2</v>
      </c>
      <c r="AX576" s="21" t="str">
        <f t="shared" si="102"/>
        <v/>
      </c>
      <c r="AY576" s="21" t="str">
        <f>IF(AND($AM576&lt;&gt;"",$AS576&lt;&gt;"✓"),SUMPRODUCT(($AM$11:$AM576&lt;&gt;"")*($AS$11:$AS576&lt;&gt;"✓")),"")</f>
        <v/>
      </c>
      <c r="AZ576" s="21" t="str">
        <f>IF(AND($AM576&lt;&gt;"",$AS576="✓"),SUMPRODUCT(($AM$11:$AM576&lt;&gt;"")*($AS$11:$AS576="✓")),"")</f>
        <v/>
      </c>
      <c r="BA576" s="21" t="str">
        <f>IF($AL576="","",$AL576&amp;"|"&amp;COUNTIF($AL$11:$AL576,$AL576))</f>
        <v/>
      </c>
    </row>
    <row r="577" spans="23:53" ht="15" customHeight="1" x14ac:dyDescent="0.25">
      <c r="W577" s="14" t="str">
        <f>IF(X577="","",IFERROR(INDEX($AL$11:$AL$4010,MATCH(567,$AY$11:$AY$4010,0)),""))</f>
        <v/>
      </c>
      <c r="X577" s="12" t="str">
        <f>IFERROR(INDEX($AM$11:$AM$4010,MATCH(567,$AY$11:$AY$4010,0)),"")</f>
        <v/>
      </c>
      <c r="Y577" s="11" t="str">
        <f>IF(X577="","",IFERROR(INDEX($AN$11:$AN$4010,MATCH(567,$AY$11:$AY$4010,0)),""))</f>
        <v/>
      </c>
      <c r="Z577" s="11" t="str">
        <f>IF(X577="","",IFERROR(INDEX($AO$11:$AO$4010,MATCH(567,$AY$11:$AY$4010,0)),""))</f>
        <v/>
      </c>
      <c r="AA577" s="10" t="str">
        <f>IF(X577="","",IFERROR(INDEX($AQ$11:$AQ$4010,MATCH(567,$AY$11:$AY$4010,0)),""))</f>
        <v/>
      </c>
      <c r="AB577" s="15" t="str">
        <f>IF(X577="","",IFERROR(INDEX($AR$11:$AR$4010,MATCH(567,$AY$11:$AY$4010,0)),""))</f>
        <v/>
      </c>
      <c r="AD577" s="16" t="str">
        <f>IF(AE577="","",IFERROR(INDEX($AL$11:$AL$4010,MATCH(567,$AZ$11:$AZ$4010,0)),""))</f>
        <v/>
      </c>
      <c r="AE577" s="12" t="str">
        <f>IFERROR(INDEX($AM$11:$AM$4010,MATCH(567,$AZ$11:$AZ$4010,0)),"")</f>
        <v/>
      </c>
      <c r="AF577" s="11" t="str">
        <f>IF(AE577="","",IFERROR(INDEX($AN$11:$AN$4010,MATCH(567,$AZ$11:$AZ$4010,0)),""))</f>
        <v/>
      </c>
      <c r="AG577" s="11" t="str">
        <f>IF(AE577="","",IFERROR(INDEX($AO$11:$AO$4010,MATCH(567,$AZ$11:$AZ$4010,0)),""))</f>
        <v/>
      </c>
      <c r="AH577" s="10" t="str">
        <f>IF(AE577="","",IFERROR(INDEX($AQ$11:$AQ$4010,MATCH(567,$AZ$11:$AZ$4010,0)),""))</f>
        <v/>
      </c>
      <c r="AI577" s="15" t="str">
        <f>IF(AE577="","",IFERROR(INDEX($AR$11:$AR$4010,MATCH(567,$AZ$11:$AZ$4010,0)),""))</f>
        <v/>
      </c>
      <c r="AJ577" s="15" t="str">
        <f>IF(AE577="","",IFERROR(INDEX($AT$11:$AT$4010,MATCH(567,$AZ$11:$AZ$4010,0)),""))</f>
        <v/>
      </c>
      <c r="AL577" s="17"/>
      <c r="AM577" s="12"/>
      <c r="AN577" s="18"/>
      <c r="AO577" s="18"/>
      <c r="AP577" s="10"/>
      <c r="AQ577" s="10"/>
      <c r="AR577" s="19"/>
      <c r="AS577" s="20"/>
      <c r="AT577" s="19"/>
      <c r="AV577" s="21">
        <f>IF(AND($AL577&lt;&gt;"",COUNTIF($AL$11:$AL577,$AL577)=1),1,0)</f>
        <v>0</v>
      </c>
      <c r="AW577" s="21">
        <f t="shared" si="103"/>
        <v>2</v>
      </c>
      <c r="AX577" s="21" t="str">
        <f t="shared" si="102"/>
        <v/>
      </c>
      <c r="AY577" s="21" t="str">
        <f>IF(AND($AM577&lt;&gt;"",$AS577&lt;&gt;"✓"),SUMPRODUCT(($AM$11:$AM577&lt;&gt;"")*($AS$11:$AS577&lt;&gt;"✓")),"")</f>
        <v/>
      </c>
      <c r="AZ577" s="21" t="str">
        <f>IF(AND($AM577&lt;&gt;"",$AS577="✓"),SUMPRODUCT(($AM$11:$AM577&lt;&gt;"")*($AS$11:$AS577="✓")),"")</f>
        <v/>
      </c>
      <c r="BA577" s="21" t="str">
        <f>IF($AL577="","",$AL577&amp;"|"&amp;COUNTIF($AL$11:$AL577,$AL577))</f>
        <v/>
      </c>
    </row>
    <row r="578" spans="23:53" ht="15" customHeight="1" x14ac:dyDescent="0.25">
      <c r="W578" s="28" t="str">
        <f>IF(X578="","",IFERROR(INDEX($AL$11:$AL$4010,MATCH(568,$AY$11:$AY$4010,0)),""))</f>
        <v/>
      </c>
      <c r="X578" s="26" t="str">
        <f>IFERROR(INDEX($AM$11:$AM$4010,MATCH(568,$AY$11:$AY$4010,0)),"")</f>
        <v/>
      </c>
      <c r="Y578" s="25" t="str">
        <f>IF(X578="","",IFERROR(INDEX($AN$11:$AN$4010,MATCH(568,$AY$11:$AY$4010,0)),""))</f>
        <v/>
      </c>
      <c r="Z578" s="25" t="str">
        <f>IF(X578="","",IFERROR(INDEX($AO$11:$AO$4010,MATCH(568,$AY$11:$AY$4010,0)),""))</f>
        <v/>
      </c>
      <c r="AA578" s="24" t="str">
        <f>IF(X578="","",IFERROR(INDEX($AQ$11:$AQ$4010,MATCH(568,$AY$11:$AY$4010,0)),""))</f>
        <v/>
      </c>
      <c r="AB578" s="29" t="str">
        <f>IF(X578="","",IFERROR(INDEX($AR$11:$AR$4010,MATCH(568,$AY$11:$AY$4010,0)),""))</f>
        <v/>
      </c>
      <c r="AD578" s="30" t="str">
        <f>IF(AE578="","",IFERROR(INDEX($AL$11:$AL$4010,MATCH(568,$AZ$11:$AZ$4010,0)),""))</f>
        <v/>
      </c>
      <c r="AE578" s="26" t="str">
        <f>IFERROR(INDEX($AM$11:$AM$4010,MATCH(568,$AZ$11:$AZ$4010,0)),"")</f>
        <v/>
      </c>
      <c r="AF578" s="25" t="str">
        <f>IF(AE578="","",IFERROR(INDEX($AN$11:$AN$4010,MATCH(568,$AZ$11:$AZ$4010,0)),""))</f>
        <v/>
      </c>
      <c r="AG578" s="25" t="str">
        <f>IF(AE578="","",IFERROR(INDEX($AO$11:$AO$4010,MATCH(568,$AZ$11:$AZ$4010,0)),""))</f>
        <v/>
      </c>
      <c r="AH578" s="24" t="str">
        <f>IF(AE578="","",IFERROR(INDEX($AQ$11:$AQ$4010,MATCH(568,$AZ$11:$AZ$4010,0)),""))</f>
        <v/>
      </c>
      <c r="AI578" s="29" t="str">
        <f>IF(AE578="","",IFERROR(INDEX($AR$11:$AR$4010,MATCH(568,$AZ$11:$AZ$4010,0)),""))</f>
        <v/>
      </c>
      <c r="AJ578" s="29" t="str">
        <f>IF(AE578="","",IFERROR(INDEX($AT$11:$AT$4010,MATCH(568,$AZ$11:$AZ$4010,0)),""))</f>
        <v/>
      </c>
      <c r="AL578" s="31"/>
      <c r="AM578" s="26"/>
      <c r="AN578" s="32"/>
      <c r="AO578" s="32"/>
      <c r="AP578" s="24"/>
      <c r="AQ578" s="24"/>
      <c r="AR578" s="33"/>
      <c r="AS578" s="34"/>
      <c r="AT578" s="33"/>
      <c r="AV578" s="21">
        <f>IF(AND($AL578&lt;&gt;"",COUNTIF($AL$11:$AL578,$AL578)=1),1,0)</f>
        <v>0</v>
      </c>
      <c r="AW578" s="21">
        <f t="shared" si="103"/>
        <v>2</v>
      </c>
      <c r="AX578" s="21" t="str">
        <f t="shared" si="102"/>
        <v/>
      </c>
      <c r="AY578" s="21" t="str">
        <f>IF(AND($AM578&lt;&gt;"",$AS578&lt;&gt;"✓"),SUMPRODUCT(($AM$11:$AM578&lt;&gt;"")*($AS$11:$AS578&lt;&gt;"✓")),"")</f>
        <v/>
      </c>
      <c r="AZ578" s="21" t="str">
        <f>IF(AND($AM578&lt;&gt;"",$AS578="✓"),SUMPRODUCT(($AM$11:$AM578&lt;&gt;"")*($AS$11:$AS578="✓")),"")</f>
        <v/>
      </c>
      <c r="BA578" s="21" t="str">
        <f>IF($AL578="","",$AL578&amp;"|"&amp;COUNTIF($AL$11:$AL578,$AL578))</f>
        <v/>
      </c>
    </row>
    <row r="579" spans="23:53" ht="15" customHeight="1" x14ac:dyDescent="0.25">
      <c r="W579" s="14" t="str">
        <f>IF(X579="","",IFERROR(INDEX($AL$11:$AL$4010,MATCH(569,$AY$11:$AY$4010,0)),""))</f>
        <v/>
      </c>
      <c r="X579" s="12" t="str">
        <f>IFERROR(INDEX($AM$11:$AM$4010,MATCH(569,$AY$11:$AY$4010,0)),"")</f>
        <v/>
      </c>
      <c r="Y579" s="11" t="str">
        <f>IF(X579="","",IFERROR(INDEX($AN$11:$AN$4010,MATCH(569,$AY$11:$AY$4010,0)),""))</f>
        <v/>
      </c>
      <c r="Z579" s="11" t="str">
        <f>IF(X579="","",IFERROR(INDEX($AO$11:$AO$4010,MATCH(569,$AY$11:$AY$4010,0)),""))</f>
        <v/>
      </c>
      <c r="AA579" s="10" t="str">
        <f>IF(X579="","",IFERROR(INDEX($AQ$11:$AQ$4010,MATCH(569,$AY$11:$AY$4010,0)),""))</f>
        <v/>
      </c>
      <c r="AB579" s="15" t="str">
        <f>IF(X579="","",IFERROR(INDEX($AR$11:$AR$4010,MATCH(569,$AY$11:$AY$4010,0)),""))</f>
        <v/>
      </c>
      <c r="AD579" s="16" t="str">
        <f>IF(AE579="","",IFERROR(INDEX($AL$11:$AL$4010,MATCH(569,$AZ$11:$AZ$4010,0)),""))</f>
        <v/>
      </c>
      <c r="AE579" s="12" t="str">
        <f>IFERROR(INDEX($AM$11:$AM$4010,MATCH(569,$AZ$11:$AZ$4010,0)),"")</f>
        <v/>
      </c>
      <c r="AF579" s="11" t="str">
        <f>IF(AE579="","",IFERROR(INDEX($AN$11:$AN$4010,MATCH(569,$AZ$11:$AZ$4010,0)),""))</f>
        <v/>
      </c>
      <c r="AG579" s="11" t="str">
        <f>IF(AE579="","",IFERROR(INDEX($AO$11:$AO$4010,MATCH(569,$AZ$11:$AZ$4010,0)),""))</f>
        <v/>
      </c>
      <c r="AH579" s="10" t="str">
        <f>IF(AE579="","",IFERROR(INDEX($AQ$11:$AQ$4010,MATCH(569,$AZ$11:$AZ$4010,0)),""))</f>
        <v/>
      </c>
      <c r="AI579" s="15" t="str">
        <f>IF(AE579="","",IFERROR(INDEX($AR$11:$AR$4010,MATCH(569,$AZ$11:$AZ$4010,0)),""))</f>
        <v/>
      </c>
      <c r="AJ579" s="15" t="str">
        <f>IF(AE579="","",IFERROR(INDEX($AT$11:$AT$4010,MATCH(569,$AZ$11:$AZ$4010,0)),""))</f>
        <v/>
      </c>
      <c r="AL579" s="17"/>
      <c r="AM579" s="12"/>
      <c r="AN579" s="18"/>
      <c r="AO579" s="18"/>
      <c r="AP579" s="10"/>
      <c r="AQ579" s="10"/>
      <c r="AR579" s="19"/>
      <c r="AS579" s="20"/>
      <c r="AT579" s="19"/>
      <c r="AV579" s="21">
        <f>IF(AND($AL579&lt;&gt;"",COUNTIF($AL$11:$AL579,$AL579)=1),1,0)</f>
        <v>0</v>
      </c>
      <c r="AW579" s="21">
        <f t="shared" si="103"/>
        <v>2</v>
      </c>
      <c r="AX579" s="21" t="str">
        <f t="shared" si="102"/>
        <v/>
      </c>
      <c r="AY579" s="21" t="str">
        <f>IF(AND($AM579&lt;&gt;"",$AS579&lt;&gt;"✓"),SUMPRODUCT(($AM$11:$AM579&lt;&gt;"")*($AS$11:$AS579&lt;&gt;"✓")),"")</f>
        <v/>
      </c>
      <c r="AZ579" s="21" t="str">
        <f>IF(AND($AM579&lt;&gt;"",$AS579="✓"),SUMPRODUCT(($AM$11:$AM579&lt;&gt;"")*($AS$11:$AS579="✓")),"")</f>
        <v/>
      </c>
      <c r="BA579" s="21" t="str">
        <f>IF($AL579="","",$AL579&amp;"|"&amp;COUNTIF($AL$11:$AL579,$AL579))</f>
        <v/>
      </c>
    </row>
    <row r="580" spans="23:53" ht="15" customHeight="1" x14ac:dyDescent="0.25">
      <c r="W580" s="28" t="str">
        <f>IF(X580="","",IFERROR(INDEX($AL$11:$AL$4010,MATCH(570,$AY$11:$AY$4010,0)),""))</f>
        <v/>
      </c>
      <c r="X580" s="26" t="str">
        <f>IFERROR(INDEX($AM$11:$AM$4010,MATCH(570,$AY$11:$AY$4010,0)),"")</f>
        <v/>
      </c>
      <c r="Y580" s="25" t="str">
        <f>IF(X580="","",IFERROR(INDEX($AN$11:$AN$4010,MATCH(570,$AY$11:$AY$4010,0)),""))</f>
        <v/>
      </c>
      <c r="Z580" s="25" t="str">
        <f>IF(X580="","",IFERROR(INDEX($AO$11:$AO$4010,MATCH(570,$AY$11:$AY$4010,0)),""))</f>
        <v/>
      </c>
      <c r="AA580" s="24" t="str">
        <f>IF(X580="","",IFERROR(INDEX($AQ$11:$AQ$4010,MATCH(570,$AY$11:$AY$4010,0)),""))</f>
        <v/>
      </c>
      <c r="AB580" s="29" t="str">
        <f>IF(X580="","",IFERROR(INDEX($AR$11:$AR$4010,MATCH(570,$AY$11:$AY$4010,0)),""))</f>
        <v/>
      </c>
      <c r="AD580" s="30" t="str">
        <f>IF(AE580="","",IFERROR(INDEX($AL$11:$AL$4010,MATCH(570,$AZ$11:$AZ$4010,0)),""))</f>
        <v/>
      </c>
      <c r="AE580" s="26" t="str">
        <f>IFERROR(INDEX($AM$11:$AM$4010,MATCH(570,$AZ$11:$AZ$4010,0)),"")</f>
        <v/>
      </c>
      <c r="AF580" s="25" t="str">
        <f>IF(AE580="","",IFERROR(INDEX($AN$11:$AN$4010,MATCH(570,$AZ$11:$AZ$4010,0)),""))</f>
        <v/>
      </c>
      <c r="AG580" s="25" t="str">
        <f>IF(AE580="","",IFERROR(INDEX($AO$11:$AO$4010,MATCH(570,$AZ$11:$AZ$4010,0)),""))</f>
        <v/>
      </c>
      <c r="AH580" s="24" t="str">
        <f>IF(AE580="","",IFERROR(INDEX($AQ$11:$AQ$4010,MATCH(570,$AZ$11:$AZ$4010,0)),""))</f>
        <v/>
      </c>
      <c r="AI580" s="29" t="str">
        <f>IF(AE580="","",IFERROR(INDEX($AR$11:$AR$4010,MATCH(570,$AZ$11:$AZ$4010,0)),""))</f>
        <v/>
      </c>
      <c r="AJ580" s="29" t="str">
        <f>IF(AE580="","",IFERROR(INDEX($AT$11:$AT$4010,MATCH(570,$AZ$11:$AZ$4010,0)),""))</f>
        <v/>
      </c>
      <c r="AL580" s="31"/>
      <c r="AM580" s="26"/>
      <c r="AN580" s="32"/>
      <c r="AO580" s="32"/>
      <c r="AP580" s="24"/>
      <c r="AQ580" s="24"/>
      <c r="AR580" s="33"/>
      <c r="AS580" s="34"/>
      <c r="AT580" s="33"/>
      <c r="AV580" s="21">
        <f>IF(AND($AL580&lt;&gt;"",COUNTIF($AL$11:$AL580,$AL580)=1),1,0)</f>
        <v>0</v>
      </c>
      <c r="AW580" s="21">
        <f t="shared" si="103"/>
        <v>2</v>
      </c>
      <c r="AX580" s="21" t="str">
        <f t="shared" si="102"/>
        <v/>
      </c>
      <c r="AY580" s="21" t="str">
        <f>IF(AND($AM580&lt;&gt;"",$AS580&lt;&gt;"✓"),SUMPRODUCT(($AM$11:$AM580&lt;&gt;"")*($AS$11:$AS580&lt;&gt;"✓")),"")</f>
        <v/>
      </c>
      <c r="AZ580" s="21" t="str">
        <f>IF(AND($AM580&lt;&gt;"",$AS580="✓"),SUMPRODUCT(($AM$11:$AM580&lt;&gt;"")*($AS$11:$AS580="✓")),"")</f>
        <v/>
      </c>
      <c r="BA580" s="21" t="str">
        <f>IF($AL580="","",$AL580&amp;"|"&amp;COUNTIF($AL$11:$AL580,$AL580))</f>
        <v/>
      </c>
    </row>
    <row r="581" spans="23:53" ht="15" customHeight="1" x14ac:dyDescent="0.25">
      <c r="W581" s="14" t="str">
        <f>IF(X581="","",IFERROR(INDEX($AL$11:$AL$4010,MATCH(571,$AY$11:$AY$4010,0)),""))</f>
        <v/>
      </c>
      <c r="X581" s="12" t="str">
        <f>IFERROR(INDEX($AM$11:$AM$4010,MATCH(571,$AY$11:$AY$4010,0)),"")</f>
        <v/>
      </c>
      <c r="Y581" s="11" t="str">
        <f>IF(X581="","",IFERROR(INDEX($AN$11:$AN$4010,MATCH(571,$AY$11:$AY$4010,0)),""))</f>
        <v/>
      </c>
      <c r="Z581" s="11" t="str">
        <f>IF(X581="","",IFERROR(INDEX($AO$11:$AO$4010,MATCH(571,$AY$11:$AY$4010,0)),""))</f>
        <v/>
      </c>
      <c r="AA581" s="10" t="str">
        <f>IF(X581="","",IFERROR(INDEX($AQ$11:$AQ$4010,MATCH(571,$AY$11:$AY$4010,0)),""))</f>
        <v/>
      </c>
      <c r="AB581" s="15" t="str">
        <f>IF(X581="","",IFERROR(INDEX($AR$11:$AR$4010,MATCH(571,$AY$11:$AY$4010,0)),""))</f>
        <v/>
      </c>
      <c r="AD581" s="16" t="str">
        <f>IF(AE581="","",IFERROR(INDEX($AL$11:$AL$4010,MATCH(571,$AZ$11:$AZ$4010,0)),""))</f>
        <v/>
      </c>
      <c r="AE581" s="12" t="str">
        <f>IFERROR(INDEX($AM$11:$AM$4010,MATCH(571,$AZ$11:$AZ$4010,0)),"")</f>
        <v/>
      </c>
      <c r="AF581" s="11" t="str">
        <f>IF(AE581="","",IFERROR(INDEX($AN$11:$AN$4010,MATCH(571,$AZ$11:$AZ$4010,0)),""))</f>
        <v/>
      </c>
      <c r="AG581" s="11" t="str">
        <f>IF(AE581="","",IFERROR(INDEX($AO$11:$AO$4010,MATCH(571,$AZ$11:$AZ$4010,0)),""))</f>
        <v/>
      </c>
      <c r="AH581" s="10" t="str">
        <f>IF(AE581="","",IFERROR(INDEX($AQ$11:$AQ$4010,MATCH(571,$AZ$11:$AZ$4010,0)),""))</f>
        <v/>
      </c>
      <c r="AI581" s="15" t="str">
        <f>IF(AE581="","",IFERROR(INDEX($AR$11:$AR$4010,MATCH(571,$AZ$11:$AZ$4010,0)),""))</f>
        <v/>
      </c>
      <c r="AJ581" s="15" t="str">
        <f>IF(AE581="","",IFERROR(INDEX($AT$11:$AT$4010,MATCH(571,$AZ$11:$AZ$4010,0)),""))</f>
        <v/>
      </c>
      <c r="AL581" s="17"/>
      <c r="AM581" s="12"/>
      <c r="AN581" s="18"/>
      <c r="AO581" s="18"/>
      <c r="AP581" s="10"/>
      <c r="AQ581" s="10"/>
      <c r="AR581" s="19"/>
      <c r="AS581" s="20"/>
      <c r="AT581" s="19"/>
      <c r="AV581" s="21">
        <f>IF(AND($AL581&lt;&gt;"",COUNTIF($AL$11:$AL581,$AL581)=1),1,0)</f>
        <v>0</v>
      </c>
      <c r="AW581" s="21">
        <f t="shared" si="103"/>
        <v>2</v>
      </c>
      <c r="AX581" s="21" t="str">
        <f t="shared" si="102"/>
        <v/>
      </c>
      <c r="AY581" s="21" t="str">
        <f>IF(AND($AM581&lt;&gt;"",$AS581&lt;&gt;"✓"),SUMPRODUCT(($AM$11:$AM581&lt;&gt;"")*($AS$11:$AS581&lt;&gt;"✓")),"")</f>
        <v/>
      </c>
      <c r="AZ581" s="21" t="str">
        <f>IF(AND($AM581&lt;&gt;"",$AS581="✓"),SUMPRODUCT(($AM$11:$AM581&lt;&gt;"")*($AS$11:$AS581="✓")),"")</f>
        <v/>
      </c>
      <c r="BA581" s="21" t="str">
        <f>IF($AL581="","",$AL581&amp;"|"&amp;COUNTIF($AL$11:$AL581,$AL581))</f>
        <v/>
      </c>
    </row>
    <row r="582" spans="23:53" ht="15" customHeight="1" x14ac:dyDescent="0.25">
      <c r="W582" s="28" t="str">
        <f>IF(X582="","",IFERROR(INDEX($AL$11:$AL$4010,MATCH(572,$AY$11:$AY$4010,0)),""))</f>
        <v/>
      </c>
      <c r="X582" s="26" t="str">
        <f>IFERROR(INDEX($AM$11:$AM$4010,MATCH(572,$AY$11:$AY$4010,0)),"")</f>
        <v/>
      </c>
      <c r="Y582" s="25" t="str">
        <f>IF(X582="","",IFERROR(INDEX($AN$11:$AN$4010,MATCH(572,$AY$11:$AY$4010,0)),""))</f>
        <v/>
      </c>
      <c r="Z582" s="25" t="str">
        <f>IF(X582="","",IFERROR(INDEX($AO$11:$AO$4010,MATCH(572,$AY$11:$AY$4010,0)),""))</f>
        <v/>
      </c>
      <c r="AA582" s="24" t="str">
        <f>IF(X582="","",IFERROR(INDEX($AQ$11:$AQ$4010,MATCH(572,$AY$11:$AY$4010,0)),""))</f>
        <v/>
      </c>
      <c r="AB582" s="29" t="str">
        <f>IF(X582="","",IFERROR(INDEX($AR$11:$AR$4010,MATCH(572,$AY$11:$AY$4010,0)),""))</f>
        <v/>
      </c>
      <c r="AD582" s="30" t="str">
        <f>IF(AE582="","",IFERROR(INDEX($AL$11:$AL$4010,MATCH(572,$AZ$11:$AZ$4010,0)),""))</f>
        <v/>
      </c>
      <c r="AE582" s="26" t="str">
        <f>IFERROR(INDEX($AM$11:$AM$4010,MATCH(572,$AZ$11:$AZ$4010,0)),"")</f>
        <v/>
      </c>
      <c r="AF582" s="25" t="str">
        <f>IF(AE582="","",IFERROR(INDEX($AN$11:$AN$4010,MATCH(572,$AZ$11:$AZ$4010,0)),""))</f>
        <v/>
      </c>
      <c r="AG582" s="25" t="str">
        <f>IF(AE582="","",IFERROR(INDEX($AO$11:$AO$4010,MATCH(572,$AZ$11:$AZ$4010,0)),""))</f>
        <v/>
      </c>
      <c r="AH582" s="24" t="str">
        <f>IF(AE582="","",IFERROR(INDEX($AQ$11:$AQ$4010,MATCH(572,$AZ$11:$AZ$4010,0)),""))</f>
        <v/>
      </c>
      <c r="AI582" s="29" t="str">
        <f>IF(AE582="","",IFERROR(INDEX($AR$11:$AR$4010,MATCH(572,$AZ$11:$AZ$4010,0)),""))</f>
        <v/>
      </c>
      <c r="AJ582" s="29" t="str">
        <f>IF(AE582="","",IFERROR(INDEX($AT$11:$AT$4010,MATCH(572,$AZ$11:$AZ$4010,0)),""))</f>
        <v/>
      </c>
      <c r="AL582" s="31"/>
      <c r="AM582" s="26"/>
      <c r="AN582" s="32"/>
      <c r="AO582" s="32"/>
      <c r="AP582" s="24"/>
      <c r="AQ582" s="24"/>
      <c r="AR582" s="33"/>
      <c r="AS582" s="34"/>
      <c r="AT582" s="33"/>
      <c r="AV582" s="21">
        <f>IF(AND($AL582&lt;&gt;"",COUNTIF($AL$11:$AL582,$AL582)=1),1,0)</f>
        <v>0</v>
      </c>
      <c r="AW582" s="21">
        <f t="shared" si="103"/>
        <v>2</v>
      </c>
      <c r="AX582" s="21" t="str">
        <f t="shared" si="102"/>
        <v/>
      </c>
      <c r="AY582" s="21" t="str">
        <f>IF(AND($AM582&lt;&gt;"",$AS582&lt;&gt;"✓"),SUMPRODUCT(($AM$11:$AM582&lt;&gt;"")*($AS$11:$AS582&lt;&gt;"✓")),"")</f>
        <v/>
      </c>
      <c r="AZ582" s="21" t="str">
        <f>IF(AND($AM582&lt;&gt;"",$AS582="✓"),SUMPRODUCT(($AM$11:$AM582&lt;&gt;"")*($AS$11:$AS582="✓")),"")</f>
        <v/>
      </c>
      <c r="BA582" s="21" t="str">
        <f>IF($AL582="","",$AL582&amp;"|"&amp;COUNTIF($AL$11:$AL582,$AL582))</f>
        <v/>
      </c>
    </row>
    <row r="583" spans="23:53" ht="15" customHeight="1" x14ac:dyDescent="0.25">
      <c r="W583" s="14" t="str">
        <f>IF(X583="","",IFERROR(INDEX($AL$11:$AL$4010,MATCH(573,$AY$11:$AY$4010,0)),""))</f>
        <v/>
      </c>
      <c r="X583" s="12" t="str">
        <f>IFERROR(INDEX($AM$11:$AM$4010,MATCH(573,$AY$11:$AY$4010,0)),"")</f>
        <v/>
      </c>
      <c r="Y583" s="11" t="str">
        <f>IF(X583="","",IFERROR(INDEX($AN$11:$AN$4010,MATCH(573,$AY$11:$AY$4010,0)),""))</f>
        <v/>
      </c>
      <c r="Z583" s="11" t="str">
        <f>IF(X583="","",IFERROR(INDEX($AO$11:$AO$4010,MATCH(573,$AY$11:$AY$4010,0)),""))</f>
        <v/>
      </c>
      <c r="AA583" s="10" t="str">
        <f>IF(X583="","",IFERROR(INDEX($AQ$11:$AQ$4010,MATCH(573,$AY$11:$AY$4010,0)),""))</f>
        <v/>
      </c>
      <c r="AB583" s="15" t="str">
        <f>IF(X583="","",IFERROR(INDEX($AR$11:$AR$4010,MATCH(573,$AY$11:$AY$4010,0)),""))</f>
        <v/>
      </c>
      <c r="AD583" s="16" t="str">
        <f>IF(AE583="","",IFERROR(INDEX($AL$11:$AL$4010,MATCH(573,$AZ$11:$AZ$4010,0)),""))</f>
        <v/>
      </c>
      <c r="AE583" s="12" t="str">
        <f>IFERROR(INDEX($AM$11:$AM$4010,MATCH(573,$AZ$11:$AZ$4010,0)),"")</f>
        <v/>
      </c>
      <c r="AF583" s="11" t="str">
        <f>IF(AE583="","",IFERROR(INDEX($AN$11:$AN$4010,MATCH(573,$AZ$11:$AZ$4010,0)),""))</f>
        <v/>
      </c>
      <c r="AG583" s="11" t="str">
        <f>IF(AE583="","",IFERROR(INDEX($AO$11:$AO$4010,MATCH(573,$AZ$11:$AZ$4010,0)),""))</f>
        <v/>
      </c>
      <c r="AH583" s="10" t="str">
        <f>IF(AE583="","",IFERROR(INDEX($AQ$11:$AQ$4010,MATCH(573,$AZ$11:$AZ$4010,0)),""))</f>
        <v/>
      </c>
      <c r="AI583" s="15" t="str">
        <f>IF(AE583="","",IFERROR(INDEX($AR$11:$AR$4010,MATCH(573,$AZ$11:$AZ$4010,0)),""))</f>
        <v/>
      </c>
      <c r="AJ583" s="15" t="str">
        <f>IF(AE583="","",IFERROR(INDEX($AT$11:$AT$4010,MATCH(573,$AZ$11:$AZ$4010,0)),""))</f>
        <v/>
      </c>
      <c r="AL583" s="17"/>
      <c r="AM583" s="12"/>
      <c r="AN583" s="18"/>
      <c r="AO583" s="18"/>
      <c r="AP583" s="10"/>
      <c r="AQ583" s="10"/>
      <c r="AR583" s="19"/>
      <c r="AS583" s="20"/>
      <c r="AT583" s="19"/>
      <c r="AV583" s="21">
        <f>IF(AND($AL583&lt;&gt;"",COUNTIF($AL$11:$AL583,$AL583)=1),1,0)</f>
        <v>0</v>
      </c>
      <c r="AW583" s="21">
        <f t="shared" si="103"/>
        <v>2</v>
      </c>
      <c r="AX583" s="21" t="str">
        <f t="shared" si="102"/>
        <v/>
      </c>
      <c r="AY583" s="21" t="str">
        <f>IF(AND($AM583&lt;&gt;"",$AS583&lt;&gt;"✓"),SUMPRODUCT(($AM$11:$AM583&lt;&gt;"")*($AS$11:$AS583&lt;&gt;"✓")),"")</f>
        <v/>
      </c>
      <c r="AZ583" s="21" t="str">
        <f>IF(AND($AM583&lt;&gt;"",$AS583="✓"),SUMPRODUCT(($AM$11:$AM583&lt;&gt;"")*($AS$11:$AS583="✓")),"")</f>
        <v/>
      </c>
      <c r="BA583" s="21" t="str">
        <f>IF($AL583="","",$AL583&amp;"|"&amp;COUNTIF($AL$11:$AL583,$AL583))</f>
        <v/>
      </c>
    </row>
    <row r="584" spans="23:53" ht="15" customHeight="1" x14ac:dyDescent="0.25">
      <c r="W584" s="28" t="str">
        <f>IF(X584="","",IFERROR(INDEX($AL$11:$AL$4010,MATCH(574,$AY$11:$AY$4010,0)),""))</f>
        <v/>
      </c>
      <c r="X584" s="26" t="str">
        <f>IFERROR(INDEX($AM$11:$AM$4010,MATCH(574,$AY$11:$AY$4010,0)),"")</f>
        <v/>
      </c>
      <c r="Y584" s="25" t="str">
        <f>IF(X584="","",IFERROR(INDEX($AN$11:$AN$4010,MATCH(574,$AY$11:$AY$4010,0)),""))</f>
        <v/>
      </c>
      <c r="Z584" s="25" t="str">
        <f>IF(X584="","",IFERROR(INDEX($AO$11:$AO$4010,MATCH(574,$AY$11:$AY$4010,0)),""))</f>
        <v/>
      </c>
      <c r="AA584" s="24" t="str">
        <f>IF(X584="","",IFERROR(INDEX($AQ$11:$AQ$4010,MATCH(574,$AY$11:$AY$4010,0)),""))</f>
        <v/>
      </c>
      <c r="AB584" s="29" t="str">
        <f>IF(X584="","",IFERROR(INDEX($AR$11:$AR$4010,MATCH(574,$AY$11:$AY$4010,0)),""))</f>
        <v/>
      </c>
      <c r="AD584" s="30" t="str">
        <f>IF(AE584="","",IFERROR(INDEX($AL$11:$AL$4010,MATCH(574,$AZ$11:$AZ$4010,0)),""))</f>
        <v/>
      </c>
      <c r="AE584" s="26" t="str">
        <f>IFERROR(INDEX($AM$11:$AM$4010,MATCH(574,$AZ$11:$AZ$4010,0)),"")</f>
        <v/>
      </c>
      <c r="AF584" s="25" t="str">
        <f>IF(AE584="","",IFERROR(INDEX($AN$11:$AN$4010,MATCH(574,$AZ$11:$AZ$4010,0)),""))</f>
        <v/>
      </c>
      <c r="AG584" s="25" t="str">
        <f>IF(AE584="","",IFERROR(INDEX($AO$11:$AO$4010,MATCH(574,$AZ$11:$AZ$4010,0)),""))</f>
        <v/>
      </c>
      <c r="AH584" s="24" t="str">
        <f>IF(AE584="","",IFERROR(INDEX($AQ$11:$AQ$4010,MATCH(574,$AZ$11:$AZ$4010,0)),""))</f>
        <v/>
      </c>
      <c r="AI584" s="29" t="str">
        <f>IF(AE584="","",IFERROR(INDEX($AR$11:$AR$4010,MATCH(574,$AZ$11:$AZ$4010,0)),""))</f>
        <v/>
      </c>
      <c r="AJ584" s="29" t="str">
        <f>IF(AE584="","",IFERROR(INDEX($AT$11:$AT$4010,MATCH(574,$AZ$11:$AZ$4010,0)),""))</f>
        <v/>
      </c>
      <c r="AL584" s="31"/>
      <c r="AM584" s="26"/>
      <c r="AN584" s="32"/>
      <c r="AO584" s="32"/>
      <c r="AP584" s="24"/>
      <c r="AQ584" s="24"/>
      <c r="AR584" s="33"/>
      <c r="AS584" s="34"/>
      <c r="AT584" s="33"/>
      <c r="AV584" s="21">
        <f>IF(AND($AL584&lt;&gt;"",COUNTIF($AL$11:$AL584,$AL584)=1),1,0)</f>
        <v>0</v>
      </c>
      <c r="AW584" s="21">
        <f t="shared" si="103"/>
        <v>2</v>
      </c>
      <c r="AX584" s="21" t="str">
        <f t="shared" si="102"/>
        <v/>
      </c>
      <c r="AY584" s="21" t="str">
        <f>IF(AND($AM584&lt;&gt;"",$AS584&lt;&gt;"✓"),SUMPRODUCT(($AM$11:$AM584&lt;&gt;"")*($AS$11:$AS584&lt;&gt;"✓")),"")</f>
        <v/>
      </c>
      <c r="AZ584" s="21" t="str">
        <f>IF(AND($AM584&lt;&gt;"",$AS584="✓"),SUMPRODUCT(($AM$11:$AM584&lt;&gt;"")*($AS$11:$AS584="✓")),"")</f>
        <v/>
      </c>
      <c r="BA584" s="21" t="str">
        <f>IF($AL584="","",$AL584&amp;"|"&amp;COUNTIF($AL$11:$AL584,$AL584))</f>
        <v/>
      </c>
    </row>
    <row r="585" spans="23:53" ht="15" customHeight="1" x14ac:dyDescent="0.25">
      <c r="W585" s="14" t="str">
        <f>IF(X585="","",IFERROR(INDEX($AL$11:$AL$4010,MATCH(575,$AY$11:$AY$4010,0)),""))</f>
        <v/>
      </c>
      <c r="X585" s="12" t="str">
        <f>IFERROR(INDEX($AM$11:$AM$4010,MATCH(575,$AY$11:$AY$4010,0)),"")</f>
        <v/>
      </c>
      <c r="Y585" s="11" t="str">
        <f>IF(X585="","",IFERROR(INDEX($AN$11:$AN$4010,MATCH(575,$AY$11:$AY$4010,0)),""))</f>
        <v/>
      </c>
      <c r="Z585" s="11" t="str">
        <f>IF(X585="","",IFERROR(INDEX($AO$11:$AO$4010,MATCH(575,$AY$11:$AY$4010,0)),""))</f>
        <v/>
      </c>
      <c r="AA585" s="10" t="str">
        <f>IF(X585="","",IFERROR(INDEX($AQ$11:$AQ$4010,MATCH(575,$AY$11:$AY$4010,0)),""))</f>
        <v/>
      </c>
      <c r="AB585" s="15" t="str">
        <f>IF(X585="","",IFERROR(INDEX($AR$11:$AR$4010,MATCH(575,$AY$11:$AY$4010,0)),""))</f>
        <v/>
      </c>
      <c r="AD585" s="16" t="str">
        <f>IF(AE585="","",IFERROR(INDEX($AL$11:$AL$4010,MATCH(575,$AZ$11:$AZ$4010,0)),""))</f>
        <v/>
      </c>
      <c r="AE585" s="12" t="str">
        <f>IFERROR(INDEX($AM$11:$AM$4010,MATCH(575,$AZ$11:$AZ$4010,0)),"")</f>
        <v/>
      </c>
      <c r="AF585" s="11" t="str">
        <f>IF(AE585="","",IFERROR(INDEX($AN$11:$AN$4010,MATCH(575,$AZ$11:$AZ$4010,0)),""))</f>
        <v/>
      </c>
      <c r="AG585" s="11" t="str">
        <f>IF(AE585="","",IFERROR(INDEX($AO$11:$AO$4010,MATCH(575,$AZ$11:$AZ$4010,0)),""))</f>
        <v/>
      </c>
      <c r="AH585" s="10" t="str">
        <f>IF(AE585="","",IFERROR(INDEX($AQ$11:$AQ$4010,MATCH(575,$AZ$11:$AZ$4010,0)),""))</f>
        <v/>
      </c>
      <c r="AI585" s="15" t="str">
        <f>IF(AE585="","",IFERROR(INDEX($AR$11:$AR$4010,MATCH(575,$AZ$11:$AZ$4010,0)),""))</f>
        <v/>
      </c>
      <c r="AJ585" s="15" t="str">
        <f>IF(AE585="","",IFERROR(INDEX($AT$11:$AT$4010,MATCH(575,$AZ$11:$AZ$4010,0)),""))</f>
        <v/>
      </c>
      <c r="AL585" s="17"/>
      <c r="AM585" s="12"/>
      <c r="AN585" s="18"/>
      <c r="AO585" s="18"/>
      <c r="AP585" s="10"/>
      <c r="AQ585" s="10"/>
      <c r="AR585" s="19"/>
      <c r="AS585" s="20"/>
      <c r="AT585" s="19"/>
      <c r="AV585" s="21">
        <f>IF(AND($AL585&lt;&gt;"",COUNTIF($AL$11:$AL585,$AL585)=1),1,0)</f>
        <v>0</v>
      </c>
      <c r="AW585" s="21">
        <f t="shared" si="103"/>
        <v>2</v>
      </c>
      <c r="AX585" s="21" t="str">
        <f t="shared" si="102"/>
        <v/>
      </c>
      <c r="AY585" s="21" t="str">
        <f>IF(AND($AM585&lt;&gt;"",$AS585&lt;&gt;"✓"),SUMPRODUCT(($AM$11:$AM585&lt;&gt;"")*($AS$11:$AS585&lt;&gt;"✓")),"")</f>
        <v/>
      </c>
      <c r="AZ585" s="21" t="str">
        <f>IF(AND($AM585&lt;&gt;"",$AS585="✓"),SUMPRODUCT(($AM$11:$AM585&lt;&gt;"")*($AS$11:$AS585="✓")),"")</f>
        <v/>
      </c>
      <c r="BA585" s="21" t="str">
        <f>IF($AL585="","",$AL585&amp;"|"&amp;COUNTIF($AL$11:$AL585,$AL585))</f>
        <v/>
      </c>
    </row>
    <row r="586" spans="23:53" ht="15" customHeight="1" x14ac:dyDescent="0.25">
      <c r="W586" s="28" t="str">
        <f>IF(X586="","",IFERROR(INDEX($AL$11:$AL$4010,MATCH(576,$AY$11:$AY$4010,0)),""))</f>
        <v/>
      </c>
      <c r="X586" s="26" t="str">
        <f>IFERROR(INDEX($AM$11:$AM$4010,MATCH(576,$AY$11:$AY$4010,0)),"")</f>
        <v/>
      </c>
      <c r="Y586" s="25" t="str">
        <f>IF(X586="","",IFERROR(INDEX($AN$11:$AN$4010,MATCH(576,$AY$11:$AY$4010,0)),""))</f>
        <v/>
      </c>
      <c r="Z586" s="25" t="str">
        <f>IF(X586="","",IFERROR(INDEX($AO$11:$AO$4010,MATCH(576,$AY$11:$AY$4010,0)),""))</f>
        <v/>
      </c>
      <c r="AA586" s="24" t="str">
        <f>IF(X586="","",IFERROR(INDEX($AQ$11:$AQ$4010,MATCH(576,$AY$11:$AY$4010,0)),""))</f>
        <v/>
      </c>
      <c r="AB586" s="29" t="str">
        <f>IF(X586="","",IFERROR(INDEX($AR$11:$AR$4010,MATCH(576,$AY$11:$AY$4010,0)),""))</f>
        <v/>
      </c>
      <c r="AD586" s="30" t="str">
        <f>IF(AE586="","",IFERROR(INDEX($AL$11:$AL$4010,MATCH(576,$AZ$11:$AZ$4010,0)),""))</f>
        <v/>
      </c>
      <c r="AE586" s="26" t="str">
        <f>IFERROR(INDEX($AM$11:$AM$4010,MATCH(576,$AZ$11:$AZ$4010,0)),"")</f>
        <v/>
      </c>
      <c r="AF586" s="25" t="str">
        <f>IF(AE586="","",IFERROR(INDEX($AN$11:$AN$4010,MATCH(576,$AZ$11:$AZ$4010,0)),""))</f>
        <v/>
      </c>
      <c r="AG586" s="25" t="str">
        <f>IF(AE586="","",IFERROR(INDEX($AO$11:$AO$4010,MATCH(576,$AZ$11:$AZ$4010,0)),""))</f>
        <v/>
      </c>
      <c r="AH586" s="24" t="str">
        <f>IF(AE586="","",IFERROR(INDEX($AQ$11:$AQ$4010,MATCH(576,$AZ$11:$AZ$4010,0)),""))</f>
        <v/>
      </c>
      <c r="AI586" s="29" t="str">
        <f>IF(AE586="","",IFERROR(INDEX($AR$11:$AR$4010,MATCH(576,$AZ$11:$AZ$4010,0)),""))</f>
        <v/>
      </c>
      <c r="AJ586" s="29" t="str">
        <f>IF(AE586="","",IFERROR(INDEX($AT$11:$AT$4010,MATCH(576,$AZ$11:$AZ$4010,0)),""))</f>
        <v/>
      </c>
      <c r="AL586" s="31"/>
      <c r="AM586" s="26"/>
      <c r="AN586" s="32"/>
      <c r="AO586" s="32"/>
      <c r="AP586" s="24"/>
      <c r="AQ586" s="24"/>
      <c r="AR586" s="33"/>
      <c r="AS586" s="34"/>
      <c r="AT586" s="33"/>
      <c r="AV586" s="21">
        <f>IF(AND($AL586&lt;&gt;"",COUNTIF($AL$11:$AL586,$AL586)=1),1,0)</f>
        <v>0</v>
      </c>
      <c r="AW586" s="21">
        <f t="shared" si="103"/>
        <v>2</v>
      </c>
      <c r="AX586" s="21" t="str">
        <f t="shared" si="102"/>
        <v/>
      </c>
      <c r="AY586" s="21" t="str">
        <f>IF(AND($AM586&lt;&gt;"",$AS586&lt;&gt;"✓"),SUMPRODUCT(($AM$11:$AM586&lt;&gt;"")*($AS$11:$AS586&lt;&gt;"✓")),"")</f>
        <v/>
      </c>
      <c r="AZ586" s="21" t="str">
        <f>IF(AND($AM586&lt;&gt;"",$AS586="✓"),SUMPRODUCT(($AM$11:$AM586&lt;&gt;"")*($AS$11:$AS586="✓")),"")</f>
        <v/>
      </c>
      <c r="BA586" s="21" t="str">
        <f>IF($AL586="","",$AL586&amp;"|"&amp;COUNTIF($AL$11:$AL586,$AL586))</f>
        <v/>
      </c>
    </row>
    <row r="587" spans="23:53" ht="15" customHeight="1" x14ac:dyDescent="0.25">
      <c r="W587" s="14" t="str">
        <f>IF(X587="","",IFERROR(INDEX($AL$11:$AL$4010,MATCH(577,$AY$11:$AY$4010,0)),""))</f>
        <v/>
      </c>
      <c r="X587" s="12" t="str">
        <f>IFERROR(INDEX($AM$11:$AM$4010,MATCH(577,$AY$11:$AY$4010,0)),"")</f>
        <v/>
      </c>
      <c r="Y587" s="11" t="str">
        <f>IF(X587="","",IFERROR(INDEX($AN$11:$AN$4010,MATCH(577,$AY$11:$AY$4010,0)),""))</f>
        <v/>
      </c>
      <c r="Z587" s="11" t="str">
        <f>IF(X587="","",IFERROR(INDEX($AO$11:$AO$4010,MATCH(577,$AY$11:$AY$4010,0)),""))</f>
        <v/>
      </c>
      <c r="AA587" s="10" t="str">
        <f>IF(X587="","",IFERROR(INDEX($AQ$11:$AQ$4010,MATCH(577,$AY$11:$AY$4010,0)),""))</f>
        <v/>
      </c>
      <c r="AB587" s="15" t="str">
        <f>IF(X587="","",IFERROR(INDEX($AR$11:$AR$4010,MATCH(577,$AY$11:$AY$4010,0)),""))</f>
        <v/>
      </c>
      <c r="AD587" s="16" t="str">
        <f>IF(AE587="","",IFERROR(INDEX($AL$11:$AL$4010,MATCH(577,$AZ$11:$AZ$4010,0)),""))</f>
        <v/>
      </c>
      <c r="AE587" s="12" t="str">
        <f>IFERROR(INDEX($AM$11:$AM$4010,MATCH(577,$AZ$11:$AZ$4010,0)),"")</f>
        <v/>
      </c>
      <c r="AF587" s="11" t="str">
        <f>IF(AE587="","",IFERROR(INDEX($AN$11:$AN$4010,MATCH(577,$AZ$11:$AZ$4010,0)),""))</f>
        <v/>
      </c>
      <c r="AG587" s="11" t="str">
        <f>IF(AE587="","",IFERROR(INDEX($AO$11:$AO$4010,MATCH(577,$AZ$11:$AZ$4010,0)),""))</f>
        <v/>
      </c>
      <c r="AH587" s="10" t="str">
        <f>IF(AE587="","",IFERROR(INDEX($AQ$11:$AQ$4010,MATCH(577,$AZ$11:$AZ$4010,0)),""))</f>
        <v/>
      </c>
      <c r="AI587" s="15" t="str">
        <f>IF(AE587="","",IFERROR(INDEX($AR$11:$AR$4010,MATCH(577,$AZ$11:$AZ$4010,0)),""))</f>
        <v/>
      </c>
      <c r="AJ587" s="15" t="str">
        <f>IF(AE587="","",IFERROR(INDEX($AT$11:$AT$4010,MATCH(577,$AZ$11:$AZ$4010,0)),""))</f>
        <v/>
      </c>
      <c r="AL587" s="17"/>
      <c r="AM587" s="12"/>
      <c r="AN587" s="18"/>
      <c r="AO587" s="18"/>
      <c r="AP587" s="10"/>
      <c r="AQ587" s="10"/>
      <c r="AR587" s="19"/>
      <c r="AS587" s="20"/>
      <c r="AT587" s="19"/>
      <c r="AV587" s="21">
        <f>IF(AND($AL587&lt;&gt;"",COUNTIF($AL$11:$AL587,$AL587)=1),1,0)</f>
        <v>0</v>
      </c>
      <c r="AW587" s="21">
        <f t="shared" si="103"/>
        <v>2</v>
      </c>
      <c r="AX587" s="21" t="str">
        <f t="shared" ref="AX587:AX650" si="104">IF(AV587=1,AW587,"")</f>
        <v/>
      </c>
      <c r="AY587" s="21" t="str">
        <f>IF(AND($AM587&lt;&gt;"",$AS587&lt;&gt;"✓"),SUMPRODUCT(($AM$11:$AM587&lt;&gt;"")*($AS$11:$AS587&lt;&gt;"✓")),"")</f>
        <v/>
      </c>
      <c r="AZ587" s="21" t="str">
        <f>IF(AND($AM587&lt;&gt;"",$AS587="✓"),SUMPRODUCT(($AM$11:$AM587&lt;&gt;"")*($AS$11:$AS587="✓")),"")</f>
        <v/>
      </c>
      <c r="BA587" s="21" t="str">
        <f>IF($AL587="","",$AL587&amp;"|"&amp;COUNTIF($AL$11:$AL587,$AL587))</f>
        <v/>
      </c>
    </row>
    <row r="588" spans="23:53" ht="15" customHeight="1" x14ac:dyDescent="0.25">
      <c r="W588" s="28" t="str">
        <f>IF(X588="","",IFERROR(INDEX($AL$11:$AL$4010,MATCH(578,$AY$11:$AY$4010,0)),""))</f>
        <v/>
      </c>
      <c r="X588" s="26" t="str">
        <f>IFERROR(INDEX($AM$11:$AM$4010,MATCH(578,$AY$11:$AY$4010,0)),"")</f>
        <v/>
      </c>
      <c r="Y588" s="25" t="str">
        <f>IF(X588="","",IFERROR(INDEX($AN$11:$AN$4010,MATCH(578,$AY$11:$AY$4010,0)),""))</f>
        <v/>
      </c>
      <c r="Z588" s="25" t="str">
        <f>IF(X588="","",IFERROR(INDEX($AO$11:$AO$4010,MATCH(578,$AY$11:$AY$4010,0)),""))</f>
        <v/>
      </c>
      <c r="AA588" s="24" t="str">
        <f>IF(X588="","",IFERROR(INDEX($AQ$11:$AQ$4010,MATCH(578,$AY$11:$AY$4010,0)),""))</f>
        <v/>
      </c>
      <c r="AB588" s="29" t="str">
        <f>IF(X588="","",IFERROR(INDEX($AR$11:$AR$4010,MATCH(578,$AY$11:$AY$4010,0)),""))</f>
        <v/>
      </c>
      <c r="AD588" s="30" t="str">
        <f>IF(AE588="","",IFERROR(INDEX($AL$11:$AL$4010,MATCH(578,$AZ$11:$AZ$4010,0)),""))</f>
        <v/>
      </c>
      <c r="AE588" s="26" t="str">
        <f>IFERROR(INDEX($AM$11:$AM$4010,MATCH(578,$AZ$11:$AZ$4010,0)),"")</f>
        <v/>
      </c>
      <c r="AF588" s="25" t="str">
        <f>IF(AE588="","",IFERROR(INDEX($AN$11:$AN$4010,MATCH(578,$AZ$11:$AZ$4010,0)),""))</f>
        <v/>
      </c>
      <c r="AG588" s="25" t="str">
        <f>IF(AE588="","",IFERROR(INDEX($AO$11:$AO$4010,MATCH(578,$AZ$11:$AZ$4010,0)),""))</f>
        <v/>
      </c>
      <c r="AH588" s="24" t="str">
        <f>IF(AE588="","",IFERROR(INDEX($AQ$11:$AQ$4010,MATCH(578,$AZ$11:$AZ$4010,0)),""))</f>
        <v/>
      </c>
      <c r="AI588" s="29" t="str">
        <f>IF(AE588="","",IFERROR(INDEX($AR$11:$AR$4010,MATCH(578,$AZ$11:$AZ$4010,0)),""))</f>
        <v/>
      </c>
      <c r="AJ588" s="29" t="str">
        <f>IF(AE588="","",IFERROR(INDEX($AT$11:$AT$4010,MATCH(578,$AZ$11:$AZ$4010,0)),""))</f>
        <v/>
      </c>
      <c r="AL588" s="31"/>
      <c r="AM588" s="26"/>
      <c r="AN588" s="32"/>
      <c r="AO588" s="32"/>
      <c r="AP588" s="24"/>
      <c r="AQ588" s="24"/>
      <c r="AR588" s="33"/>
      <c r="AS588" s="34"/>
      <c r="AT588" s="33"/>
      <c r="AV588" s="21">
        <f>IF(AND($AL588&lt;&gt;"",COUNTIF($AL$11:$AL588,$AL588)=1),1,0)</f>
        <v>0</v>
      </c>
      <c r="AW588" s="21">
        <f t="shared" ref="AW588:AW651" si="105">AW587+AV588</f>
        <v>2</v>
      </c>
      <c r="AX588" s="21" t="str">
        <f t="shared" si="104"/>
        <v/>
      </c>
      <c r="AY588" s="21" t="str">
        <f>IF(AND($AM588&lt;&gt;"",$AS588&lt;&gt;"✓"),SUMPRODUCT(($AM$11:$AM588&lt;&gt;"")*($AS$11:$AS588&lt;&gt;"✓")),"")</f>
        <v/>
      </c>
      <c r="AZ588" s="21" t="str">
        <f>IF(AND($AM588&lt;&gt;"",$AS588="✓"),SUMPRODUCT(($AM$11:$AM588&lt;&gt;"")*($AS$11:$AS588="✓")),"")</f>
        <v/>
      </c>
      <c r="BA588" s="21" t="str">
        <f>IF($AL588="","",$AL588&amp;"|"&amp;COUNTIF($AL$11:$AL588,$AL588))</f>
        <v/>
      </c>
    </row>
    <row r="589" spans="23:53" ht="15" customHeight="1" x14ac:dyDescent="0.25">
      <c r="W589" s="14" t="str">
        <f>IF(X589="","",IFERROR(INDEX($AL$11:$AL$4010,MATCH(579,$AY$11:$AY$4010,0)),""))</f>
        <v/>
      </c>
      <c r="X589" s="12" t="str">
        <f>IFERROR(INDEX($AM$11:$AM$4010,MATCH(579,$AY$11:$AY$4010,0)),"")</f>
        <v/>
      </c>
      <c r="Y589" s="11" t="str">
        <f>IF(X589="","",IFERROR(INDEX($AN$11:$AN$4010,MATCH(579,$AY$11:$AY$4010,0)),""))</f>
        <v/>
      </c>
      <c r="Z589" s="11" t="str">
        <f>IF(X589="","",IFERROR(INDEX($AO$11:$AO$4010,MATCH(579,$AY$11:$AY$4010,0)),""))</f>
        <v/>
      </c>
      <c r="AA589" s="10" t="str">
        <f>IF(X589="","",IFERROR(INDEX($AQ$11:$AQ$4010,MATCH(579,$AY$11:$AY$4010,0)),""))</f>
        <v/>
      </c>
      <c r="AB589" s="15" t="str">
        <f>IF(X589="","",IFERROR(INDEX($AR$11:$AR$4010,MATCH(579,$AY$11:$AY$4010,0)),""))</f>
        <v/>
      </c>
      <c r="AD589" s="16" t="str">
        <f>IF(AE589="","",IFERROR(INDEX($AL$11:$AL$4010,MATCH(579,$AZ$11:$AZ$4010,0)),""))</f>
        <v/>
      </c>
      <c r="AE589" s="12" t="str">
        <f>IFERROR(INDEX($AM$11:$AM$4010,MATCH(579,$AZ$11:$AZ$4010,0)),"")</f>
        <v/>
      </c>
      <c r="AF589" s="11" t="str">
        <f>IF(AE589="","",IFERROR(INDEX($AN$11:$AN$4010,MATCH(579,$AZ$11:$AZ$4010,0)),""))</f>
        <v/>
      </c>
      <c r="AG589" s="11" t="str">
        <f>IF(AE589="","",IFERROR(INDEX($AO$11:$AO$4010,MATCH(579,$AZ$11:$AZ$4010,0)),""))</f>
        <v/>
      </c>
      <c r="AH589" s="10" t="str">
        <f>IF(AE589="","",IFERROR(INDEX($AQ$11:$AQ$4010,MATCH(579,$AZ$11:$AZ$4010,0)),""))</f>
        <v/>
      </c>
      <c r="AI589" s="15" t="str">
        <f>IF(AE589="","",IFERROR(INDEX($AR$11:$AR$4010,MATCH(579,$AZ$11:$AZ$4010,0)),""))</f>
        <v/>
      </c>
      <c r="AJ589" s="15" t="str">
        <f>IF(AE589="","",IFERROR(INDEX($AT$11:$AT$4010,MATCH(579,$AZ$11:$AZ$4010,0)),""))</f>
        <v/>
      </c>
      <c r="AL589" s="17"/>
      <c r="AM589" s="12"/>
      <c r="AN589" s="18"/>
      <c r="AO589" s="18"/>
      <c r="AP589" s="10"/>
      <c r="AQ589" s="10"/>
      <c r="AR589" s="19"/>
      <c r="AS589" s="20"/>
      <c r="AT589" s="19"/>
      <c r="AV589" s="21">
        <f>IF(AND($AL589&lt;&gt;"",COUNTIF($AL$11:$AL589,$AL589)=1),1,0)</f>
        <v>0</v>
      </c>
      <c r="AW589" s="21">
        <f t="shared" si="105"/>
        <v>2</v>
      </c>
      <c r="AX589" s="21" t="str">
        <f t="shared" si="104"/>
        <v/>
      </c>
      <c r="AY589" s="21" t="str">
        <f>IF(AND($AM589&lt;&gt;"",$AS589&lt;&gt;"✓"),SUMPRODUCT(($AM$11:$AM589&lt;&gt;"")*($AS$11:$AS589&lt;&gt;"✓")),"")</f>
        <v/>
      </c>
      <c r="AZ589" s="21" t="str">
        <f>IF(AND($AM589&lt;&gt;"",$AS589="✓"),SUMPRODUCT(($AM$11:$AM589&lt;&gt;"")*($AS$11:$AS589="✓")),"")</f>
        <v/>
      </c>
      <c r="BA589" s="21" t="str">
        <f>IF($AL589="","",$AL589&amp;"|"&amp;COUNTIF($AL$11:$AL589,$AL589))</f>
        <v/>
      </c>
    </row>
    <row r="590" spans="23:53" ht="15" customHeight="1" x14ac:dyDescent="0.25">
      <c r="W590" s="28" t="str">
        <f>IF(X590="","",IFERROR(INDEX($AL$11:$AL$4010,MATCH(580,$AY$11:$AY$4010,0)),""))</f>
        <v/>
      </c>
      <c r="X590" s="26" t="str">
        <f>IFERROR(INDEX($AM$11:$AM$4010,MATCH(580,$AY$11:$AY$4010,0)),"")</f>
        <v/>
      </c>
      <c r="Y590" s="25" t="str">
        <f>IF(X590="","",IFERROR(INDEX($AN$11:$AN$4010,MATCH(580,$AY$11:$AY$4010,0)),""))</f>
        <v/>
      </c>
      <c r="Z590" s="25" t="str">
        <f>IF(X590="","",IFERROR(INDEX($AO$11:$AO$4010,MATCH(580,$AY$11:$AY$4010,0)),""))</f>
        <v/>
      </c>
      <c r="AA590" s="24" t="str">
        <f>IF(X590="","",IFERROR(INDEX($AQ$11:$AQ$4010,MATCH(580,$AY$11:$AY$4010,0)),""))</f>
        <v/>
      </c>
      <c r="AB590" s="29" t="str">
        <f>IF(X590="","",IFERROR(INDEX($AR$11:$AR$4010,MATCH(580,$AY$11:$AY$4010,0)),""))</f>
        <v/>
      </c>
      <c r="AD590" s="30" t="str">
        <f>IF(AE590="","",IFERROR(INDEX($AL$11:$AL$4010,MATCH(580,$AZ$11:$AZ$4010,0)),""))</f>
        <v/>
      </c>
      <c r="AE590" s="26" t="str">
        <f>IFERROR(INDEX($AM$11:$AM$4010,MATCH(580,$AZ$11:$AZ$4010,0)),"")</f>
        <v/>
      </c>
      <c r="AF590" s="25" t="str">
        <f>IF(AE590="","",IFERROR(INDEX($AN$11:$AN$4010,MATCH(580,$AZ$11:$AZ$4010,0)),""))</f>
        <v/>
      </c>
      <c r="AG590" s="25" t="str">
        <f>IF(AE590="","",IFERROR(INDEX($AO$11:$AO$4010,MATCH(580,$AZ$11:$AZ$4010,0)),""))</f>
        <v/>
      </c>
      <c r="AH590" s="24" t="str">
        <f>IF(AE590="","",IFERROR(INDEX($AQ$11:$AQ$4010,MATCH(580,$AZ$11:$AZ$4010,0)),""))</f>
        <v/>
      </c>
      <c r="AI590" s="29" t="str">
        <f>IF(AE590="","",IFERROR(INDEX($AR$11:$AR$4010,MATCH(580,$AZ$11:$AZ$4010,0)),""))</f>
        <v/>
      </c>
      <c r="AJ590" s="29" t="str">
        <f>IF(AE590="","",IFERROR(INDEX($AT$11:$AT$4010,MATCH(580,$AZ$11:$AZ$4010,0)),""))</f>
        <v/>
      </c>
      <c r="AL590" s="31"/>
      <c r="AM590" s="26"/>
      <c r="AN590" s="32"/>
      <c r="AO590" s="32"/>
      <c r="AP590" s="24"/>
      <c r="AQ590" s="24"/>
      <c r="AR590" s="33"/>
      <c r="AS590" s="34"/>
      <c r="AT590" s="33"/>
      <c r="AV590" s="21">
        <f>IF(AND($AL590&lt;&gt;"",COUNTIF($AL$11:$AL590,$AL590)=1),1,0)</f>
        <v>0</v>
      </c>
      <c r="AW590" s="21">
        <f t="shared" si="105"/>
        <v>2</v>
      </c>
      <c r="AX590" s="21" t="str">
        <f t="shared" si="104"/>
        <v/>
      </c>
      <c r="AY590" s="21" t="str">
        <f>IF(AND($AM590&lt;&gt;"",$AS590&lt;&gt;"✓"),SUMPRODUCT(($AM$11:$AM590&lt;&gt;"")*($AS$11:$AS590&lt;&gt;"✓")),"")</f>
        <v/>
      </c>
      <c r="AZ590" s="21" t="str">
        <f>IF(AND($AM590&lt;&gt;"",$AS590="✓"),SUMPRODUCT(($AM$11:$AM590&lt;&gt;"")*($AS$11:$AS590="✓")),"")</f>
        <v/>
      </c>
      <c r="BA590" s="21" t="str">
        <f>IF($AL590="","",$AL590&amp;"|"&amp;COUNTIF($AL$11:$AL590,$AL590))</f>
        <v/>
      </c>
    </row>
    <row r="591" spans="23:53" ht="15" customHeight="1" x14ac:dyDescent="0.25">
      <c r="W591" s="14" t="str">
        <f>IF(X591="","",IFERROR(INDEX($AL$11:$AL$4010,MATCH(581,$AY$11:$AY$4010,0)),""))</f>
        <v/>
      </c>
      <c r="X591" s="12" t="str">
        <f>IFERROR(INDEX($AM$11:$AM$4010,MATCH(581,$AY$11:$AY$4010,0)),"")</f>
        <v/>
      </c>
      <c r="Y591" s="11" t="str">
        <f>IF(X591="","",IFERROR(INDEX($AN$11:$AN$4010,MATCH(581,$AY$11:$AY$4010,0)),""))</f>
        <v/>
      </c>
      <c r="Z591" s="11" t="str">
        <f>IF(X591="","",IFERROR(INDEX($AO$11:$AO$4010,MATCH(581,$AY$11:$AY$4010,0)),""))</f>
        <v/>
      </c>
      <c r="AA591" s="10" t="str">
        <f>IF(X591="","",IFERROR(INDEX($AQ$11:$AQ$4010,MATCH(581,$AY$11:$AY$4010,0)),""))</f>
        <v/>
      </c>
      <c r="AB591" s="15" t="str">
        <f>IF(X591="","",IFERROR(INDEX($AR$11:$AR$4010,MATCH(581,$AY$11:$AY$4010,0)),""))</f>
        <v/>
      </c>
      <c r="AD591" s="16" t="str">
        <f>IF(AE591="","",IFERROR(INDEX($AL$11:$AL$4010,MATCH(581,$AZ$11:$AZ$4010,0)),""))</f>
        <v/>
      </c>
      <c r="AE591" s="12" t="str">
        <f>IFERROR(INDEX($AM$11:$AM$4010,MATCH(581,$AZ$11:$AZ$4010,0)),"")</f>
        <v/>
      </c>
      <c r="AF591" s="11" t="str">
        <f>IF(AE591="","",IFERROR(INDEX($AN$11:$AN$4010,MATCH(581,$AZ$11:$AZ$4010,0)),""))</f>
        <v/>
      </c>
      <c r="AG591" s="11" t="str">
        <f>IF(AE591="","",IFERROR(INDEX($AO$11:$AO$4010,MATCH(581,$AZ$11:$AZ$4010,0)),""))</f>
        <v/>
      </c>
      <c r="AH591" s="10" t="str">
        <f>IF(AE591="","",IFERROR(INDEX($AQ$11:$AQ$4010,MATCH(581,$AZ$11:$AZ$4010,0)),""))</f>
        <v/>
      </c>
      <c r="AI591" s="15" t="str">
        <f>IF(AE591="","",IFERROR(INDEX($AR$11:$AR$4010,MATCH(581,$AZ$11:$AZ$4010,0)),""))</f>
        <v/>
      </c>
      <c r="AJ591" s="15" t="str">
        <f>IF(AE591="","",IFERROR(INDEX($AT$11:$AT$4010,MATCH(581,$AZ$11:$AZ$4010,0)),""))</f>
        <v/>
      </c>
      <c r="AL591" s="17"/>
      <c r="AM591" s="12"/>
      <c r="AN591" s="18"/>
      <c r="AO591" s="18"/>
      <c r="AP591" s="10"/>
      <c r="AQ591" s="10"/>
      <c r="AR591" s="19"/>
      <c r="AS591" s="20"/>
      <c r="AT591" s="19"/>
      <c r="AV591" s="21">
        <f>IF(AND($AL591&lt;&gt;"",COUNTIF($AL$11:$AL591,$AL591)=1),1,0)</f>
        <v>0</v>
      </c>
      <c r="AW591" s="21">
        <f t="shared" si="105"/>
        <v>2</v>
      </c>
      <c r="AX591" s="21" t="str">
        <f t="shared" si="104"/>
        <v/>
      </c>
      <c r="AY591" s="21" t="str">
        <f>IF(AND($AM591&lt;&gt;"",$AS591&lt;&gt;"✓"),SUMPRODUCT(($AM$11:$AM591&lt;&gt;"")*($AS$11:$AS591&lt;&gt;"✓")),"")</f>
        <v/>
      </c>
      <c r="AZ591" s="21" t="str">
        <f>IF(AND($AM591&lt;&gt;"",$AS591="✓"),SUMPRODUCT(($AM$11:$AM591&lt;&gt;"")*($AS$11:$AS591="✓")),"")</f>
        <v/>
      </c>
      <c r="BA591" s="21" t="str">
        <f>IF($AL591="","",$AL591&amp;"|"&amp;COUNTIF($AL$11:$AL591,$AL591))</f>
        <v/>
      </c>
    </row>
    <row r="592" spans="23:53" ht="15" customHeight="1" x14ac:dyDescent="0.25">
      <c r="W592" s="28" t="str">
        <f>IF(X592="","",IFERROR(INDEX($AL$11:$AL$4010,MATCH(582,$AY$11:$AY$4010,0)),""))</f>
        <v/>
      </c>
      <c r="X592" s="26" t="str">
        <f>IFERROR(INDEX($AM$11:$AM$4010,MATCH(582,$AY$11:$AY$4010,0)),"")</f>
        <v/>
      </c>
      <c r="Y592" s="25" t="str">
        <f>IF(X592="","",IFERROR(INDEX($AN$11:$AN$4010,MATCH(582,$AY$11:$AY$4010,0)),""))</f>
        <v/>
      </c>
      <c r="Z592" s="25" t="str">
        <f>IF(X592="","",IFERROR(INDEX($AO$11:$AO$4010,MATCH(582,$AY$11:$AY$4010,0)),""))</f>
        <v/>
      </c>
      <c r="AA592" s="24" t="str">
        <f>IF(X592="","",IFERROR(INDEX($AQ$11:$AQ$4010,MATCH(582,$AY$11:$AY$4010,0)),""))</f>
        <v/>
      </c>
      <c r="AB592" s="29" t="str">
        <f>IF(X592="","",IFERROR(INDEX($AR$11:$AR$4010,MATCH(582,$AY$11:$AY$4010,0)),""))</f>
        <v/>
      </c>
      <c r="AD592" s="30" t="str">
        <f>IF(AE592="","",IFERROR(INDEX($AL$11:$AL$4010,MATCH(582,$AZ$11:$AZ$4010,0)),""))</f>
        <v/>
      </c>
      <c r="AE592" s="26" t="str">
        <f>IFERROR(INDEX($AM$11:$AM$4010,MATCH(582,$AZ$11:$AZ$4010,0)),"")</f>
        <v/>
      </c>
      <c r="AF592" s="25" t="str">
        <f>IF(AE592="","",IFERROR(INDEX($AN$11:$AN$4010,MATCH(582,$AZ$11:$AZ$4010,0)),""))</f>
        <v/>
      </c>
      <c r="AG592" s="25" t="str">
        <f>IF(AE592="","",IFERROR(INDEX($AO$11:$AO$4010,MATCH(582,$AZ$11:$AZ$4010,0)),""))</f>
        <v/>
      </c>
      <c r="AH592" s="24" t="str">
        <f>IF(AE592="","",IFERROR(INDEX($AQ$11:$AQ$4010,MATCH(582,$AZ$11:$AZ$4010,0)),""))</f>
        <v/>
      </c>
      <c r="AI592" s="29" t="str">
        <f>IF(AE592="","",IFERROR(INDEX($AR$11:$AR$4010,MATCH(582,$AZ$11:$AZ$4010,0)),""))</f>
        <v/>
      </c>
      <c r="AJ592" s="29" t="str">
        <f>IF(AE592="","",IFERROR(INDEX($AT$11:$AT$4010,MATCH(582,$AZ$11:$AZ$4010,0)),""))</f>
        <v/>
      </c>
      <c r="AL592" s="31"/>
      <c r="AM592" s="26"/>
      <c r="AN592" s="32"/>
      <c r="AO592" s="32"/>
      <c r="AP592" s="24"/>
      <c r="AQ592" s="24"/>
      <c r="AR592" s="33"/>
      <c r="AS592" s="34"/>
      <c r="AT592" s="33"/>
      <c r="AV592" s="21">
        <f>IF(AND($AL592&lt;&gt;"",COUNTIF($AL$11:$AL592,$AL592)=1),1,0)</f>
        <v>0</v>
      </c>
      <c r="AW592" s="21">
        <f t="shared" si="105"/>
        <v>2</v>
      </c>
      <c r="AX592" s="21" t="str">
        <f t="shared" si="104"/>
        <v/>
      </c>
      <c r="AY592" s="21" t="str">
        <f>IF(AND($AM592&lt;&gt;"",$AS592&lt;&gt;"✓"),SUMPRODUCT(($AM$11:$AM592&lt;&gt;"")*($AS$11:$AS592&lt;&gt;"✓")),"")</f>
        <v/>
      </c>
      <c r="AZ592" s="21" t="str">
        <f>IF(AND($AM592&lt;&gt;"",$AS592="✓"),SUMPRODUCT(($AM$11:$AM592&lt;&gt;"")*($AS$11:$AS592="✓")),"")</f>
        <v/>
      </c>
      <c r="BA592" s="21" t="str">
        <f>IF($AL592="","",$AL592&amp;"|"&amp;COUNTIF($AL$11:$AL592,$AL592))</f>
        <v/>
      </c>
    </row>
    <row r="593" spans="23:53" ht="15" customHeight="1" x14ac:dyDescent="0.25">
      <c r="W593" s="14" t="str">
        <f>IF(X593="","",IFERROR(INDEX($AL$11:$AL$4010,MATCH(583,$AY$11:$AY$4010,0)),""))</f>
        <v/>
      </c>
      <c r="X593" s="12" t="str">
        <f>IFERROR(INDEX($AM$11:$AM$4010,MATCH(583,$AY$11:$AY$4010,0)),"")</f>
        <v/>
      </c>
      <c r="Y593" s="11" t="str">
        <f>IF(X593="","",IFERROR(INDEX($AN$11:$AN$4010,MATCH(583,$AY$11:$AY$4010,0)),""))</f>
        <v/>
      </c>
      <c r="Z593" s="11" t="str">
        <f>IF(X593="","",IFERROR(INDEX($AO$11:$AO$4010,MATCH(583,$AY$11:$AY$4010,0)),""))</f>
        <v/>
      </c>
      <c r="AA593" s="10" t="str">
        <f>IF(X593="","",IFERROR(INDEX($AQ$11:$AQ$4010,MATCH(583,$AY$11:$AY$4010,0)),""))</f>
        <v/>
      </c>
      <c r="AB593" s="15" t="str">
        <f>IF(X593="","",IFERROR(INDEX($AR$11:$AR$4010,MATCH(583,$AY$11:$AY$4010,0)),""))</f>
        <v/>
      </c>
      <c r="AD593" s="16" t="str">
        <f>IF(AE593="","",IFERROR(INDEX($AL$11:$AL$4010,MATCH(583,$AZ$11:$AZ$4010,0)),""))</f>
        <v/>
      </c>
      <c r="AE593" s="12" t="str">
        <f>IFERROR(INDEX($AM$11:$AM$4010,MATCH(583,$AZ$11:$AZ$4010,0)),"")</f>
        <v/>
      </c>
      <c r="AF593" s="11" t="str">
        <f>IF(AE593="","",IFERROR(INDEX($AN$11:$AN$4010,MATCH(583,$AZ$11:$AZ$4010,0)),""))</f>
        <v/>
      </c>
      <c r="AG593" s="11" t="str">
        <f>IF(AE593="","",IFERROR(INDEX($AO$11:$AO$4010,MATCH(583,$AZ$11:$AZ$4010,0)),""))</f>
        <v/>
      </c>
      <c r="AH593" s="10" t="str">
        <f>IF(AE593="","",IFERROR(INDEX($AQ$11:$AQ$4010,MATCH(583,$AZ$11:$AZ$4010,0)),""))</f>
        <v/>
      </c>
      <c r="AI593" s="15" t="str">
        <f>IF(AE593="","",IFERROR(INDEX($AR$11:$AR$4010,MATCH(583,$AZ$11:$AZ$4010,0)),""))</f>
        <v/>
      </c>
      <c r="AJ593" s="15" t="str">
        <f>IF(AE593="","",IFERROR(INDEX($AT$11:$AT$4010,MATCH(583,$AZ$11:$AZ$4010,0)),""))</f>
        <v/>
      </c>
      <c r="AL593" s="17"/>
      <c r="AM593" s="12"/>
      <c r="AN593" s="18"/>
      <c r="AO593" s="18"/>
      <c r="AP593" s="10"/>
      <c r="AQ593" s="10"/>
      <c r="AR593" s="19"/>
      <c r="AS593" s="20"/>
      <c r="AT593" s="19"/>
      <c r="AV593" s="21">
        <f>IF(AND($AL593&lt;&gt;"",COUNTIF($AL$11:$AL593,$AL593)=1),1,0)</f>
        <v>0</v>
      </c>
      <c r="AW593" s="21">
        <f t="shared" si="105"/>
        <v>2</v>
      </c>
      <c r="AX593" s="21" t="str">
        <f t="shared" si="104"/>
        <v/>
      </c>
      <c r="AY593" s="21" t="str">
        <f>IF(AND($AM593&lt;&gt;"",$AS593&lt;&gt;"✓"),SUMPRODUCT(($AM$11:$AM593&lt;&gt;"")*($AS$11:$AS593&lt;&gt;"✓")),"")</f>
        <v/>
      </c>
      <c r="AZ593" s="21" t="str">
        <f>IF(AND($AM593&lt;&gt;"",$AS593="✓"),SUMPRODUCT(($AM$11:$AM593&lt;&gt;"")*($AS$11:$AS593="✓")),"")</f>
        <v/>
      </c>
      <c r="BA593" s="21" t="str">
        <f>IF($AL593="","",$AL593&amp;"|"&amp;COUNTIF($AL$11:$AL593,$AL593))</f>
        <v/>
      </c>
    </row>
    <row r="594" spans="23:53" ht="15" customHeight="1" x14ac:dyDescent="0.25">
      <c r="W594" s="28" t="str">
        <f>IF(X594="","",IFERROR(INDEX($AL$11:$AL$4010,MATCH(584,$AY$11:$AY$4010,0)),""))</f>
        <v/>
      </c>
      <c r="X594" s="26" t="str">
        <f>IFERROR(INDEX($AM$11:$AM$4010,MATCH(584,$AY$11:$AY$4010,0)),"")</f>
        <v/>
      </c>
      <c r="Y594" s="25" t="str">
        <f>IF(X594="","",IFERROR(INDEX($AN$11:$AN$4010,MATCH(584,$AY$11:$AY$4010,0)),""))</f>
        <v/>
      </c>
      <c r="Z594" s="25" t="str">
        <f>IF(X594="","",IFERROR(INDEX($AO$11:$AO$4010,MATCH(584,$AY$11:$AY$4010,0)),""))</f>
        <v/>
      </c>
      <c r="AA594" s="24" t="str">
        <f>IF(X594="","",IFERROR(INDEX($AQ$11:$AQ$4010,MATCH(584,$AY$11:$AY$4010,0)),""))</f>
        <v/>
      </c>
      <c r="AB594" s="29" t="str">
        <f>IF(X594="","",IFERROR(INDEX($AR$11:$AR$4010,MATCH(584,$AY$11:$AY$4010,0)),""))</f>
        <v/>
      </c>
      <c r="AD594" s="30" t="str">
        <f>IF(AE594="","",IFERROR(INDEX($AL$11:$AL$4010,MATCH(584,$AZ$11:$AZ$4010,0)),""))</f>
        <v/>
      </c>
      <c r="AE594" s="26" t="str">
        <f>IFERROR(INDEX($AM$11:$AM$4010,MATCH(584,$AZ$11:$AZ$4010,0)),"")</f>
        <v/>
      </c>
      <c r="AF594" s="25" t="str">
        <f>IF(AE594="","",IFERROR(INDEX($AN$11:$AN$4010,MATCH(584,$AZ$11:$AZ$4010,0)),""))</f>
        <v/>
      </c>
      <c r="AG594" s="25" t="str">
        <f>IF(AE594="","",IFERROR(INDEX($AO$11:$AO$4010,MATCH(584,$AZ$11:$AZ$4010,0)),""))</f>
        <v/>
      </c>
      <c r="AH594" s="24" t="str">
        <f>IF(AE594="","",IFERROR(INDEX($AQ$11:$AQ$4010,MATCH(584,$AZ$11:$AZ$4010,0)),""))</f>
        <v/>
      </c>
      <c r="AI594" s="29" t="str">
        <f>IF(AE594="","",IFERROR(INDEX($AR$11:$AR$4010,MATCH(584,$AZ$11:$AZ$4010,0)),""))</f>
        <v/>
      </c>
      <c r="AJ594" s="29" t="str">
        <f>IF(AE594="","",IFERROR(INDEX($AT$11:$AT$4010,MATCH(584,$AZ$11:$AZ$4010,0)),""))</f>
        <v/>
      </c>
      <c r="AL594" s="31"/>
      <c r="AM594" s="26"/>
      <c r="AN594" s="32"/>
      <c r="AO594" s="32"/>
      <c r="AP594" s="24"/>
      <c r="AQ594" s="24"/>
      <c r="AR594" s="33"/>
      <c r="AS594" s="34"/>
      <c r="AT594" s="33"/>
      <c r="AV594" s="21">
        <f>IF(AND($AL594&lt;&gt;"",COUNTIF($AL$11:$AL594,$AL594)=1),1,0)</f>
        <v>0</v>
      </c>
      <c r="AW594" s="21">
        <f t="shared" si="105"/>
        <v>2</v>
      </c>
      <c r="AX594" s="21" t="str">
        <f t="shared" si="104"/>
        <v/>
      </c>
      <c r="AY594" s="21" t="str">
        <f>IF(AND($AM594&lt;&gt;"",$AS594&lt;&gt;"✓"),SUMPRODUCT(($AM$11:$AM594&lt;&gt;"")*($AS$11:$AS594&lt;&gt;"✓")),"")</f>
        <v/>
      </c>
      <c r="AZ594" s="21" t="str">
        <f>IF(AND($AM594&lt;&gt;"",$AS594="✓"),SUMPRODUCT(($AM$11:$AM594&lt;&gt;"")*($AS$11:$AS594="✓")),"")</f>
        <v/>
      </c>
      <c r="BA594" s="21" t="str">
        <f>IF($AL594="","",$AL594&amp;"|"&amp;COUNTIF($AL$11:$AL594,$AL594))</f>
        <v/>
      </c>
    </row>
    <row r="595" spans="23:53" ht="15" customHeight="1" x14ac:dyDescent="0.25">
      <c r="W595" s="14" t="str">
        <f>IF(X595="","",IFERROR(INDEX($AL$11:$AL$4010,MATCH(585,$AY$11:$AY$4010,0)),""))</f>
        <v/>
      </c>
      <c r="X595" s="12" t="str">
        <f>IFERROR(INDEX($AM$11:$AM$4010,MATCH(585,$AY$11:$AY$4010,0)),"")</f>
        <v/>
      </c>
      <c r="Y595" s="11" t="str">
        <f>IF(X595="","",IFERROR(INDEX($AN$11:$AN$4010,MATCH(585,$AY$11:$AY$4010,0)),""))</f>
        <v/>
      </c>
      <c r="Z595" s="11" t="str">
        <f>IF(X595="","",IFERROR(INDEX($AO$11:$AO$4010,MATCH(585,$AY$11:$AY$4010,0)),""))</f>
        <v/>
      </c>
      <c r="AA595" s="10" t="str">
        <f>IF(X595="","",IFERROR(INDEX($AQ$11:$AQ$4010,MATCH(585,$AY$11:$AY$4010,0)),""))</f>
        <v/>
      </c>
      <c r="AB595" s="15" t="str">
        <f>IF(X595="","",IFERROR(INDEX($AR$11:$AR$4010,MATCH(585,$AY$11:$AY$4010,0)),""))</f>
        <v/>
      </c>
      <c r="AD595" s="16" t="str">
        <f>IF(AE595="","",IFERROR(INDEX($AL$11:$AL$4010,MATCH(585,$AZ$11:$AZ$4010,0)),""))</f>
        <v/>
      </c>
      <c r="AE595" s="12" t="str">
        <f>IFERROR(INDEX($AM$11:$AM$4010,MATCH(585,$AZ$11:$AZ$4010,0)),"")</f>
        <v/>
      </c>
      <c r="AF595" s="11" t="str">
        <f>IF(AE595="","",IFERROR(INDEX($AN$11:$AN$4010,MATCH(585,$AZ$11:$AZ$4010,0)),""))</f>
        <v/>
      </c>
      <c r="AG595" s="11" t="str">
        <f>IF(AE595="","",IFERROR(INDEX($AO$11:$AO$4010,MATCH(585,$AZ$11:$AZ$4010,0)),""))</f>
        <v/>
      </c>
      <c r="AH595" s="10" t="str">
        <f>IF(AE595="","",IFERROR(INDEX($AQ$11:$AQ$4010,MATCH(585,$AZ$11:$AZ$4010,0)),""))</f>
        <v/>
      </c>
      <c r="AI595" s="15" t="str">
        <f>IF(AE595="","",IFERROR(INDEX($AR$11:$AR$4010,MATCH(585,$AZ$11:$AZ$4010,0)),""))</f>
        <v/>
      </c>
      <c r="AJ595" s="15" t="str">
        <f>IF(AE595="","",IFERROR(INDEX($AT$11:$AT$4010,MATCH(585,$AZ$11:$AZ$4010,0)),""))</f>
        <v/>
      </c>
      <c r="AL595" s="17"/>
      <c r="AM595" s="12"/>
      <c r="AN595" s="18"/>
      <c r="AO595" s="18"/>
      <c r="AP595" s="10"/>
      <c r="AQ595" s="10"/>
      <c r="AR595" s="19"/>
      <c r="AS595" s="20"/>
      <c r="AT595" s="19"/>
      <c r="AV595" s="21">
        <f>IF(AND($AL595&lt;&gt;"",COUNTIF($AL$11:$AL595,$AL595)=1),1,0)</f>
        <v>0</v>
      </c>
      <c r="AW595" s="21">
        <f t="shared" si="105"/>
        <v>2</v>
      </c>
      <c r="AX595" s="21" t="str">
        <f t="shared" si="104"/>
        <v/>
      </c>
      <c r="AY595" s="21" t="str">
        <f>IF(AND($AM595&lt;&gt;"",$AS595&lt;&gt;"✓"),SUMPRODUCT(($AM$11:$AM595&lt;&gt;"")*($AS$11:$AS595&lt;&gt;"✓")),"")</f>
        <v/>
      </c>
      <c r="AZ595" s="21" t="str">
        <f>IF(AND($AM595&lt;&gt;"",$AS595="✓"),SUMPRODUCT(($AM$11:$AM595&lt;&gt;"")*($AS$11:$AS595="✓")),"")</f>
        <v/>
      </c>
      <c r="BA595" s="21" t="str">
        <f>IF($AL595="","",$AL595&amp;"|"&amp;COUNTIF($AL$11:$AL595,$AL595))</f>
        <v/>
      </c>
    </row>
    <row r="596" spans="23:53" ht="15" customHeight="1" x14ac:dyDescent="0.25">
      <c r="W596" s="28" t="str">
        <f>IF(X596="","",IFERROR(INDEX($AL$11:$AL$4010,MATCH(586,$AY$11:$AY$4010,0)),""))</f>
        <v/>
      </c>
      <c r="X596" s="26" t="str">
        <f>IFERROR(INDEX($AM$11:$AM$4010,MATCH(586,$AY$11:$AY$4010,0)),"")</f>
        <v/>
      </c>
      <c r="Y596" s="25" t="str">
        <f>IF(X596="","",IFERROR(INDEX($AN$11:$AN$4010,MATCH(586,$AY$11:$AY$4010,0)),""))</f>
        <v/>
      </c>
      <c r="Z596" s="25" t="str">
        <f>IF(X596="","",IFERROR(INDEX($AO$11:$AO$4010,MATCH(586,$AY$11:$AY$4010,0)),""))</f>
        <v/>
      </c>
      <c r="AA596" s="24" t="str">
        <f>IF(X596="","",IFERROR(INDEX($AQ$11:$AQ$4010,MATCH(586,$AY$11:$AY$4010,0)),""))</f>
        <v/>
      </c>
      <c r="AB596" s="29" t="str">
        <f>IF(X596="","",IFERROR(INDEX($AR$11:$AR$4010,MATCH(586,$AY$11:$AY$4010,0)),""))</f>
        <v/>
      </c>
      <c r="AD596" s="30" t="str">
        <f>IF(AE596="","",IFERROR(INDEX($AL$11:$AL$4010,MATCH(586,$AZ$11:$AZ$4010,0)),""))</f>
        <v/>
      </c>
      <c r="AE596" s="26" t="str">
        <f>IFERROR(INDEX($AM$11:$AM$4010,MATCH(586,$AZ$11:$AZ$4010,0)),"")</f>
        <v/>
      </c>
      <c r="AF596" s="25" t="str">
        <f>IF(AE596="","",IFERROR(INDEX($AN$11:$AN$4010,MATCH(586,$AZ$11:$AZ$4010,0)),""))</f>
        <v/>
      </c>
      <c r="AG596" s="25" t="str">
        <f>IF(AE596="","",IFERROR(INDEX($AO$11:$AO$4010,MATCH(586,$AZ$11:$AZ$4010,0)),""))</f>
        <v/>
      </c>
      <c r="AH596" s="24" t="str">
        <f>IF(AE596="","",IFERROR(INDEX($AQ$11:$AQ$4010,MATCH(586,$AZ$11:$AZ$4010,0)),""))</f>
        <v/>
      </c>
      <c r="AI596" s="29" t="str">
        <f>IF(AE596="","",IFERROR(INDEX($AR$11:$AR$4010,MATCH(586,$AZ$11:$AZ$4010,0)),""))</f>
        <v/>
      </c>
      <c r="AJ596" s="29" t="str">
        <f>IF(AE596="","",IFERROR(INDEX($AT$11:$AT$4010,MATCH(586,$AZ$11:$AZ$4010,0)),""))</f>
        <v/>
      </c>
      <c r="AL596" s="31"/>
      <c r="AM596" s="26"/>
      <c r="AN596" s="32"/>
      <c r="AO596" s="32"/>
      <c r="AP596" s="24"/>
      <c r="AQ596" s="24"/>
      <c r="AR596" s="33"/>
      <c r="AS596" s="34"/>
      <c r="AT596" s="33"/>
      <c r="AV596" s="21">
        <f>IF(AND($AL596&lt;&gt;"",COUNTIF($AL$11:$AL596,$AL596)=1),1,0)</f>
        <v>0</v>
      </c>
      <c r="AW596" s="21">
        <f t="shared" si="105"/>
        <v>2</v>
      </c>
      <c r="AX596" s="21" t="str">
        <f t="shared" si="104"/>
        <v/>
      </c>
      <c r="AY596" s="21" t="str">
        <f>IF(AND($AM596&lt;&gt;"",$AS596&lt;&gt;"✓"),SUMPRODUCT(($AM$11:$AM596&lt;&gt;"")*($AS$11:$AS596&lt;&gt;"✓")),"")</f>
        <v/>
      </c>
      <c r="AZ596" s="21" t="str">
        <f>IF(AND($AM596&lt;&gt;"",$AS596="✓"),SUMPRODUCT(($AM$11:$AM596&lt;&gt;"")*($AS$11:$AS596="✓")),"")</f>
        <v/>
      </c>
      <c r="BA596" s="21" t="str">
        <f>IF($AL596="","",$AL596&amp;"|"&amp;COUNTIF($AL$11:$AL596,$AL596))</f>
        <v/>
      </c>
    </row>
    <row r="597" spans="23:53" ht="15" customHeight="1" x14ac:dyDescent="0.25">
      <c r="W597" s="14" t="str">
        <f>IF(X597="","",IFERROR(INDEX($AL$11:$AL$4010,MATCH(587,$AY$11:$AY$4010,0)),""))</f>
        <v/>
      </c>
      <c r="X597" s="12" t="str">
        <f>IFERROR(INDEX($AM$11:$AM$4010,MATCH(587,$AY$11:$AY$4010,0)),"")</f>
        <v/>
      </c>
      <c r="Y597" s="11" t="str">
        <f>IF(X597="","",IFERROR(INDEX($AN$11:$AN$4010,MATCH(587,$AY$11:$AY$4010,0)),""))</f>
        <v/>
      </c>
      <c r="Z597" s="11" t="str">
        <f>IF(X597="","",IFERROR(INDEX($AO$11:$AO$4010,MATCH(587,$AY$11:$AY$4010,0)),""))</f>
        <v/>
      </c>
      <c r="AA597" s="10" t="str">
        <f>IF(X597="","",IFERROR(INDEX($AQ$11:$AQ$4010,MATCH(587,$AY$11:$AY$4010,0)),""))</f>
        <v/>
      </c>
      <c r="AB597" s="15" t="str">
        <f>IF(X597="","",IFERROR(INDEX($AR$11:$AR$4010,MATCH(587,$AY$11:$AY$4010,0)),""))</f>
        <v/>
      </c>
      <c r="AD597" s="16" t="str">
        <f>IF(AE597="","",IFERROR(INDEX($AL$11:$AL$4010,MATCH(587,$AZ$11:$AZ$4010,0)),""))</f>
        <v/>
      </c>
      <c r="AE597" s="12" t="str">
        <f>IFERROR(INDEX($AM$11:$AM$4010,MATCH(587,$AZ$11:$AZ$4010,0)),"")</f>
        <v/>
      </c>
      <c r="AF597" s="11" t="str">
        <f>IF(AE597="","",IFERROR(INDEX($AN$11:$AN$4010,MATCH(587,$AZ$11:$AZ$4010,0)),""))</f>
        <v/>
      </c>
      <c r="AG597" s="11" t="str">
        <f>IF(AE597="","",IFERROR(INDEX($AO$11:$AO$4010,MATCH(587,$AZ$11:$AZ$4010,0)),""))</f>
        <v/>
      </c>
      <c r="AH597" s="10" t="str">
        <f>IF(AE597="","",IFERROR(INDEX($AQ$11:$AQ$4010,MATCH(587,$AZ$11:$AZ$4010,0)),""))</f>
        <v/>
      </c>
      <c r="AI597" s="15" t="str">
        <f>IF(AE597="","",IFERROR(INDEX($AR$11:$AR$4010,MATCH(587,$AZ$11:$AZ$4010,0)),""))</f>
        <v/>
      </c>
      <c r="AJ597" s="15" t="str">
        <f>IF(AE597="","",IFERROR(INDEX($AT$11:$AT$4010,MATCH(587,$AZ$11:$AZ$4010,0)),""))</f>
        <v/>
      </c>
      <c r="AL597" s="17"/>
      <c r="AM597" s="12"/>
      <c r="AN597" s="18"/>
      <c r="AO597" s="18"/>
      <c r="AP597" s="10"/>
      <c r="AQ597" s="10"/>
      <c r="AR597" s="19"/>
      <c r="AS597" s="20"/>
      <c r="AT597" s="19"/>
      <c r="AV597" s="21">
        <f>IF(AND($AL597&lt;&gt;"",COUNTIF($AL$11:$AL597,$AL597)=1),1,0)</f>
        <v>0</v>
      </c>
      <c r="AW597" s="21">
        <f t="shared" si="105"/>
        <v>2</v>
      </c>
      <c r="AX597" s="21" t="str">
        <f t="shared" si="104"/>
        <v/>
      </c>
      <c r="AY597" s="21" t="str">
        <f>IF(AND($AM597&lt;&gt;"",$AS597&lt;&gt;"✓"),SUMPRODUCT(($AM$11:$AM597&lt;&gt;"")*($AS$11:$AS597&lt;&gt;"✓")),"")</f>
        <v/>
      </c>
      <c r="AZ597" s="21" t="str">
        <f>IF(AND($AM597&lt;&gt;"",$AS597="✓"),SUMPRODUCT(($AM$11:$AM597&lt;&gt;"")*($AS$11:$AS597="✓")),"")</f>
        <v/>
      </c>
      <c r="BA597" s="21" t="str">
        <f>IF($AL597="","",$AL597&amp;"|"&amp;COUNTIF($AL$11:$AL597,$AL597))</f>
        <v/>
      </c>
    </row>
    <row r="598" spans="23:53" ht="15" customHeight="1" x14ac:dyDescent="0.25">
      <c r="W598" s="28" t="str">
        <f>IF(X598="","",IFERROR(INDEX($AL$11:$AL$4010,MATCH(588,$AY$11:$AY$4010,0)),""))</f>
        <v/>
      </c>
      <c r="X598" s="26" t="str">
        <f>IFERROR(INDEX($AM$11:$AM$4010,MATCH(588,$AY$11:$AY$4010,0)),"")</f>
        <v/>
      </c>
      <c r="Y598" s="25" t="str">
        <f>IF(X598="","",IFERROR(INDEX($AN$11:$AN$4010,MATCH(588,$AY$11:$AY$4010,0)),""))</f>
        <v/>
      </c>
      <c r="Z598" s="25" t="str">
        <f>IF(X598="","",IFERROR(INDEX($AO$11:$AO$4010,MATCH(588,$AY$11:$AY$4010,0)),""))</f>
        <v/>
      </c>
      <c r="AA598" s="24" t="str">
        <f>IF(X598="","",IFERROR(INDEX($AQ$11:$AQ$4010,MATCH(588,$AY$11:$AY$4010,0)),""))</f>
        <v/>
      </c>
      <c r="AB598" s="29" t="str">
        <f>IF(X598="","",IFERROR(INDEX($AR$11:$AR$4010,MATCH(588,$AY$11:$AY$4010,0)),""))</f>
        <v/>
      </c>
      <c r="AD598" s="30" t="str">
        <f>IF(AE598="","",IFERROR(INDEX($AL$11:$AL$4010,MATCH(588,$AZ$11:$AZ$4010,0)),""))</f>
        <v/>
      </c>
      <c r="AE598" s="26" t="str">
        <f>IFERROR(INDEX($AM$11:$AM$4010,MATCH(588,$AZ$11:$AZ$4010,0)),"")</f>
        <v/>
      </c>
      <c r="AF598" s="25" t="str">
        <f>IF(AE598="","",IFERROR(INDEX($AN$11:$AN$4010,MATCH(588,$AZ$11:$AZ$4010,0)),""))</f>
        <v/>
      </c>
      <c r="AG598" s="25" t="str">
        <f>IF(AE598="","",IFERROR(INDEX($AO$11:$AO$4010,MATCH(588,$AZ$11:$AZ$4010,0)),""))</f>
        <v/>
      </c>
      <c r="AH598" s="24" t="str">
        <f>IF(AE598="","",IFERROR(INDEX($AQ$11:$AQ$4010,MATCH(588,$AZ$11:$AZ$4010,0)),""))</f>
        <v/>
      </c>
      <c r="AI598" s="29" t="str">
        <f>IF(AE598="","",IFERROR(INDEX($AR$11:$AR$4010,MATCH(588,$AZ$11:$AZ$4010,0)),""))</f>
        <v/>
      </c>
      <c r="AJ598" s="29" t="str">
        <f>IF(AE598="","",IFERROR(INDEX($AT$11:$AT$4010,MATCH(588,$AZ$11:$AZ$4010,0)),""))</f>
        <v/>
      </c>
      <c r="AL598" s="31"/>
      <c r="AM598" s="26"/>
      <c r="AN598" s="32"/>
      <c r="AO598" s="32"/>
      <c r="AP598" s="24"/>
      <c r="AQ598" s="24"/>
      <c r="AR598" s="33"/>
      <c r="AS598" s="34"/>
      <c r="AT598" s="33"/>
      <c r="AV598" s="21">
        <f>IF(AND($AL598&lt;&gt;"",COUNTIF($AL$11:$AL598,$AL598)=1),1,0)</f>
        <v>0</v>
      </c>
      <c r="AW598" s="21">
        <f t="shared" si="105"/>
        <v>2</v>
      </c>
      <c r="AX598" s="21" t="str">
        <f t="shared" si="104"/>
        <v/>
      </c>
      <c r="AY598" s="21" t="str">
        <f>IF(AND($AM598&lt;&gt;"",$AS598&lt;&gt;"✓"),SUMPRODUCT(($AM$11:$AM598&lt;&gt;"")*($AS$11:$AS598&lt;&gt;"✓")),"")</f>
        <v/>
      </c>
      <c r="AZ598" s="21" t="str">
        <f>IF(AND($AM598&lt;&gt;"",$AS598="✓"),SUMPRODUCT(($AM$11:$AM598&lt;&gt;"")*($AS$11:$AS598="✓")),"")</f>
        <v/>
      </c>
      <c r="BA598" s="21" t="str">
        <f>IF($AL598="","",$AL598&amp;"|"&amp;COUNTIF($AL$11:$AL598,$AL598))</f>
        <v/>
      </c>
    </row>
    <row r="599" spans="23:53" ht="15" customHeight="1" x14ac:dyDescent="0.25">
      <c r="W599" s="14" t="str">
        <f>IF(X599="","",IFERROR(INDEX($AL$11:$AL$4010,MATCH(589,$AY$11:$AY$4010,0)),""))</f>
        <v/>
      </c>
      <c r="X599" s="12" t="str">
        <f>IFERROR(INDEX($AM$11:$AM$4010,MATCH(589,$AY$11:$AY$4010,0)),"")</f>
        <v/>
      </c>
      <c r="Y599" s="11" t="str">
        <f>IF(X599="","",IFERROR(INDEX($AN$11:$AN$4010,MATCH(589,$AY$11:$AY$4010,0)),""))</f>
        <v/>
      </c>
      <c r="Z599" s="11" t="str">
        <f>IF(X599="","",IFERROR(INDEX($AO$11:$AO$4010,MATCH(589,$AY$11:$AY$4010,0)),""))</f>
        <v/>
      </c>
      <c r="AA599" s="10" t="str">
        <f>IF(X599="","",IFERROR(INDEX($AQ$11:$AQ$4010,MATCH(589,$AY$11:$AY$4010,0)),""))</f>
        <v/>
      </c>
      <c r="AB599" s="15" t="str">
        <f>IF(X599="","",IFERROR(INDEX($AR$11:$AR$4010,MATCH(589,$AY$11:$AY$4010,0)),""))</f>
        <v/>
      </c>
      <c r="AD599" s="16" t="str">
        <f>IF(AE599="","",IFERROR(INDEX($AL$11:$AL$4010,MATCH(589,$AZ$11:$AZ$4010,0)),""))</f>
        <v/>
      </c>
      <c r="AE599" s="12" t="str">
        <f>IFERROR(INDEX($AM$11:$AM$4010,MATCH(589,$AZ$11:$AZ$4010,0)),"")</f>
        <v/>
      </c>
      <c r="AF599" s="11" t="str">
        <f>IF(AE599="","",IFERROR(INDEX($AN$11:$AN$4010,MATCH(589,$AZ$11:$AZ$4010,0)),""))</f>
        <v/>
      </c>
      <c r="AG599" s="11" t="str">
        <f>IF(AE599="","",IFERROR(INDEX($AO$11:$AO$4010,MATCH(589,$AZ$11:$AZ$4010,0)),""))</f>
        <v/>
      </c>
      <c r="AH599" s="10" t="str">
        <f>IF(AE599="","",IFERROR(INDEX($AQ$11:$AQ$4010,MATCH(589,$AZ$11:$AZ$4010,0)),""))</f>
        <v/>
      </c>
      <c r="AI599" s="15" t="str">
        <f>IF(AE599="","",IFERROR(INDEX($AR$11:$AR$4010,MATCH(589,$AZ$11:$AZ$4010,0)),""))</f>
        <v/>
      </c>
      <c r="AJ599" s="15" t="str">
        <f>IF(AE599="","",IFERROR(INDEX($AT$11:$AT$4010,MATCH(589,$AZ$11:$AZ$4010,0)),""))</f>
        <v/>
      </c>
      <c r="AL599" s="17"/>
      <c r="AM599" s="12"/>
      <c r="AN599" s="18"/>
      <c r="AO599" s="18"/>
      <c r="AP599" s="10"/>
      <c r="AQ599" s="10"/>
      <c r="AR599" s="19"/>
      <c r="AS599" s="20"/>
      <c r="AT599" s="19"/>
      <c r="AV599" s="21">
        <f>IF(AND($AL599&lt;&gt;"",COUNTIF($AL$11:$AL599,$AL599)=1),1,0)</f>
        <v>0</v>
      </c>
      <c r="AW599" s="21">
        <f t="shared" si="105"/>
        <v>2</v>
      </c>
      <c r="AX599" s="21" t="str">
        <f t="shared" si="104"/>
        <v/>
      </c>
      <c r="AY599" s="21" t="str">
        <f>IF(AND($AM599&lt;&gt;"",$AS599&lt;&gt;"✓"),SUMPRODUCT(($AM$11:$AM599&lt;&gt;"")*($AS$11:$AS599&lt;&gt;"✓")),"")</f>
        <v/>
      </c>
      <c r="AZ599" s="21" t="str">
        <f>IF(AND($AM599&lt;&gt;"",$AS599="✓"),SUMPRODUCT(($AM$11:$AM599&lt;&gt;"")*($AS$11:$AS599="✓")),"")</f>
        <v/>
      </c>
      <c r="BA599" s="21" t="str">
        <f>IF($AL599="","",$AL599&amp;"|"&amp;COUNTIF($AL$11:$AL599,$AL599))</f>
        <v/>
      </c>
    </row>
    <row r="600" spans="23:53" ht="15" customHeight="1" x14ac:dyDescent="0.25">
      <c r="W600" s="28" t="str">
        <f>IF(X600="","",IFERROR(INDEX($AL$11:$AL$4010,MATCH(590,$AY$11:$AY$4010,0)),""))</f>
        <v/>
      </c>
      <c r="X600" s="26" t="str">
        <f>IFERROR(INDEX($AM$11:$AM$4010,MATCH(590,$AY$11:$AY$4010,0)),"")</f>
        <v/>
      </c>
      <c r="Y600" s="25" t="str">
        <f>IF(X600="","",IFERROR(INDEX($AN$11:$AN$4010,MATCH(590,$AY$11:$AY$4010,0)),""))</f>
        <v/>
      </c>
      <c r="Z600" s="25" t="str">
        <f>IF(X600="","",IFERROR(INDEX($AO$11:$AO$4010,MATCH(590,$AY$11:$AY$4010,0)),""))</f>
        <v/>
      </c>
      <c r="AA600" s="24" t="str">
        <f>IF(X600="","",IFERROR(INDEX($AQ$11:$AQ$4010,MATCH(590,$AY$11:$AY$4010,0)),""))</f>
        <v/>
      </c>
      <c r="AB600" s="29" t="str">
        <f>IF(X600="","",IFERROR(INDEX($AR$11:$AR$4010,MATCH(590,$AY$11:$AY$4010,0)),""))</f>
        <v/>
      </c>
      <c r="AD600" s="30" t="str">
        <f>IF(AE600="","",IFERROR(INDEX($AL$11:$AL$4010,MATCH(590,$AZ$11:$AZ$4010,0)),""))</f>
        <v/>
      </c>
      <c r="AE600" s="26" t="str">
        <f>IFERROR(INDEX($AM$11:$AM$4010,MATCH(590,$AZ$11:$AZ$4010,0)),"")</f>
        <v/>
      </c>
      <c r="AF600" s="25" t="str">
        <f>IF(AE600="","",IFERROR(INDEX($AN$11:$AN$4010,MATCH(590,$AZ$11:$AZ$4010,0)),""))</f>
        <v/>
      </c>
      <c r="AG600" s="25" t="str">
        <f>IF(AE600="","",IFERROR(INDEX($AO$11:$AO$4010,MATCH(590,$AZ$11:$AZ$4010,0)),""))</f>
        <v/>
      </c>
      <c r="AH600" s="24" t="str">
        <f>IF(AE600="","",IFERROR(INDEX($AQ$11:$AQ$4010,MATCH(590,$AZ$11:$AZ$4010,0)),""))</f>
        <v/>
      </c>
      <c r="AI600" s="29" t="str">
        <f>IF(AE600="","",IFERROR(INDEX($AR$11:$AR$4010,MATCH(590,$AZ$11:$AZ$4010,0)),""))</f>
        <v/>
      </c>
      <c r="AJ600" s="29" t="str">
        <f>IF(AE600="","",IFERROR(INDEX($AT$11:$AT$4010,MATCH(590,$AZ$11:$AZ$4010,0)),""))</f>
        <v/>
      </c>
      <c r="AL600" s="31"/>
      <c r="AM600" s="26"/>
      <c r="AN600" s="32"/>
      <c r="AO600" s="32"/>
      <c r="AP600" s="24"/>
      <c r="AQ600" s="24"/>
      <c r="AR600" s="33"/>
      <c r="AS600" s="34"/>
      <c r="AT600" s="33"/>
      <c r="AV600" s="21">
        <f>IF(AND($AL600&lt;&gt;"",COUNTIF($AL$11:$AL600,$AL600)=1),1,0)</f>
        <v>0</v>
      </c>
      <c r="AW600" s="21">
        <f t="shared" si="105"/>
        <v>2</v>
      </c>
      <c r="AX600" s="21" t="str">
        <f t="shared" si="104"/>
        <v/>
      </c>
      <c r="AY600" s="21" t="str">
        <f>IF(AND($AM600&lt;&gt;"",$AS600&lt;&gt;"✓"),SUMPRODUCT(($AM$11:$AM600&lt;&gt;"")*($AS$11:$AS600&lt;&gt;"✓")),"")</f>
        <v/>
      </c>
      <c r="AZ600" s="21" t="str">
        <f>IF(AND($AM600&lt;&gt;"",$AS600="✓"),SUMPRODUCT(($AM$11:$AM600&lt;&gt;"")*($AS$11:$AS600="✓")),"")</f>
        <v/>
      </c>
      <c r="BA600" s="21" t="str">
        <f>IF($AL600="","",$AL600&amp;"|"&amp;COUNTIF($AL$11:$AL600,$AL600))</f>
        <v/>
      </c>
    </row>
    <row r="601" spans="23:53" ht="15" customHeight="1" x14ac:dyDescent="0.25">
      <c r="W601" s="14" t="str">
        <f>IF(X601="","",IFERROR(INDEX($AL$11:$AL$4010,MATCH(591,$AY$11:$AY$4010,0)),""))</f>
        <v/>
      </c>
      <c r="X601" s="12" t="str">
        <f>IFERROR(INDEX($AM$11:$AM$4010,MATCH(591,$AY$11:$AY$4010,0)),"")</f>
        <v/>
      </c>
      <c r="Y601" s="11" t="str">
        <f>IF(X601="","",IFERROR(INDEX($AN$11:$AN$4010,MATCH(591,$AY$11:$AY$4010,0)),""))</f>
        <v/>
      </c>
      <c r="Z601" s="11" t="str">
        <f>IF(X601="","",IFERROR(INDEX($AO$11:$AO$4010,MATCH(591,$AY$11:$AY$4010,0)),""))</f>
        <v/>
      </c>
      <c r="AA601" s="10" t="str">
        <f>IF(X601="","",IFERROR(INDEX($AQ$11:$AQ$4010,MATCH(591,$AY$11:$AY$4010,0)),""))</f>
        <v/>
      </c>
      <c r="AB601" s="15" t="str">
        <f>IF(X601="","",IFERROR(INDEX($AR$11:$AR$4010,MATCH(591,$AY$11:$AY$4010,0)),""))</f>
        <v/>
      </c>
      <c r="AD601" s="16" t="str">
        <f>IF(AE601="","",IFERROR(INDEX($AL$11:$AL$4010,MATCH(591,$AZ$11:$AZ$4010,0)),""))</f>
        <v/>
      </c>
      <c r="AE601" s="12" t="str">
        <f>IFERROR(INDEX($AM$11:$AM$4010,MATCH(591,$AZ$11:$AZ$4010,0)),"")</f>
        <v/>
      </c>
      <c r="AF601" s="11" t="str">
        <f>IF(AE601="","",IFERROR(INDEX($AN$11:$AN$4010,MATCH(591,$AZ$11:$AZ$4010,0)),""))</f>
        <v/>
      </c>
      <c r="AG601" s="11" t="str">
        <f>IF(AE601="","",IFERROR(INDEX($AO$11:$AO$4010,MATCH(591,$AZ$11:$AZ$4010,0)),""))</f>
        <v/>
      </c>
      <c r="AH601" s="10" t="str">
        <f>IF(AE601="","",IFERROR(INDEX($AQ$11:$AQ$4010,MATCH(591,$AZ$11:$AZ$4010,0)),""))</f>
        <v/>
      </c>
      <c r="AI601" s="15" t="str">
        <f>IF(AE601="","",IFERROR(INDEX($AR$11:$AR$4010,MATCH(591,$AZ$11:$AZ$4010,0)),""))</f>
        <v/>
      </c>
      <c r="AJ601" s="15" t="str">
        <f>IF(AE601="","",IFERROR(INDEX($AT$11:$AT$4010,MATCH(591,$AZ$11:$AZ$4010,0)),""))</f>
        <v/>
      </c>
      <c r="AL601" s="17"/>
      <c r="AM601" s="12"/>
      <c r="AN601" s="18"/>
      <c r="AO601" s="18"/>
      <c r="AP601" s="10"/>
      <c r="AQ601" s="10"/>
      <c r="AR601" s="19"/>
      <c r="AS601" s="20"/>
      <c r="AT601" s="19"/>
      <c r="AV601" s="21">
        <f>IF(AND($AL601&lt;&gt;"",COUNTIF($AL$11:$AL601,$AL601)=1),1,0)</f>
        <v>0</v>
      </c>
      <c r="AW601" s="21">
        <f t="shared" si="105"/>
        <v>2</v>
      </c>
      <c r="AX601" s="21" t="str">
        <f t="shared" si="104"/>
        <v/>
      </c>
      <c r="AY601" s="21" t="str">
        <f>IF(AND($AM601&lt;&gt;"",$AS601&lt;&gt;"✓"),SUMPRODUCT(($AM$11:$AM601&lt;&gt;"")*($AS$11:$AS601&lt;&gt;"✓")),"")</f>
        <v/>
      </c>
      <c r="AZ601" s="21" t="str">
        <f>IF(AND($AM601&lt;&gt;"",$AS601="✓"),SUMPRODUCT(($AM$11:$AM601&lt;&gt;"")*($AS$11:$AS601="✓")),"")</f>
        <v/>
      </c>
      <c r="BA601" s="21" t="str">
        <f>IF($AL601="","",$AL601&amp;"|"&amp;COUNTIF($AL$11:$AL601,$AL601))</f>
        <v/>
      </c>
    </row>
    <row r="602" spans="23:53" ht="15" customHeight="1" x14ac:dyDescent="0.25">
      <c r="W602" s="28" t="str">
        <f>IF(X602="","",IFERROR(INDEX($AL$11:$AL$4010,MATCH(592,$AY$11:$AY$4010,0)),""))</f>
        <v/>
      </c>
      <c r="X602" s="26" t="str">
        <f>IFERROR(INDEX($AM$11:$AM$4010,MATCH(592,$AY$11:$AY$4010,0)),"")</f>
        <v/>
      </c>
      <c r="Y602" s="25" t="str">
        <f>IF(X602="","",IFERROR(INDEX($AN$11:$AN$4010,MATCH(592,$AY$11:$AY$4010,0)),""))</f>
        <v/>
      </c>
      <c r="Z602" s="25" t="str">
        <f>IF(X602="","",IFERROR(INDEX($AO$11:$AO$4010,MATCH(592,$AY$11:$AY$4010,0)),""))</f>
        <v/>
      </c>
      <c r="AA602" s="24" t="str">
        <f>IF(X602="","",IFERROR(INDEX($AQ$11:$AQ$4010,MATCH(592,$AY$11:$AY$4010,0)),""))</f>
        <v/>
      </c>
      <c r="AB602" s="29" t="str">
        <f>IF(X602="","",IFERROR(INDEX($AR$11:$AR$4010,MATCH(592,$AY$11:$AY$4010,0)),""))</f>
        <v/>
      </c>
      <c r="AD602" s="30" t="str">
        <f>IF(AE602="","",IFERROR(INDEX($AL$11:$AL$4010,MATCH(592,$AZ$11:$AZ$4010,0)),""))</f>
        <v/>
      </c>
      <c r="AE602" s="26" t="str">
        <f>IFERROR(INDEX($AM$11:$AM$4010,MATCH(592,$AZ$11:$AZ$4010,0)),"")</f>
        <v/>
      </c>
      <c r="AF602" s="25" t="str">
        <f>IF(AE602="","",IFERROR(INDEX($AN$11:$AN$4010,MATCH(592,$AZ$11:$AZ$4010,0)),""))</f>
        <v/>
      </c>
      <c r="AG602" s="25" t="str">
        <f>IF(AE602="","",IFERROR(INDEX($AO$11:$AO$4010,MATCH(592,$AZ$11:$AZ$4010,0)),""))</f>
        <v/>
      </c>
      <c r="AH602" s="24" t="str">
        <f>IF(AE602="","",IFERROR(INDEX($AQ$11:$AQ$4010,MATCH(592,$AZ$11:$AZ$4010,0)),""))</f>
        <v/>
      </c>
      <c r="AI602" s="29" t="str">
        <f>IF(AE602="","",IFERROR(INDEX($AR$11:$AR$4010,MATCH(592,$AZ$11:$AZ$4010,0)),""))</f>
        <v/>
      </c>
      <c r="AJ602" s="29" t="str">
        <f>IF(AE602="","",IFERROR(INDEX($AT$11:$AT$4010,MATCH(592,$AZ$11:$AZ$4010,0)),""))</f>
        <v/>
      </c>
      <c r="AL602" s="31"/>
      <c r="AM602" s="26"/>
      <c r="AN602" s="32"/>
      <c r="AO602" s="32"/>
      <c r="AP602" s="24"/>
      <c r="AQ602" s="24"/>
      <c r="AR602" s="33"/>
      <c r="AS602" s="34"/>
      <c r="AT602" s="33"/>
      <c r="AV602" s="21">
        <f>IF(AND($AL602&lt;&gt;"",COUNTIF($AL$11:$AL602,$AL602)=1),1,0)</f>
        <v>0</v>
      </c>
      <c r="AW602" s="21">
        <f t="shared" si="105"/>
        <v>2</v>
      </c>
      <c r="AX602" s="21" t="str">
        <f t="shared" si="104"/>
        <v/>
      </c>
      <c r="AY602" s="21" t="str">
        <f>IF(AND($AM602&lt;&gt;"",$AS602&lt;&gt;"✓"),SUMPRODUCT(($AM$11:$AM602&lt;&gt;"")*($AS$11:$AS602&lt;&gt;"✓")),"")</f>
        <v/>
      </c>
      <c r="AZ602" s="21" t="str">
        <f>IF(AND($AM602&lt;&gt;"",$AS602="✓"),SUMPRODUCT(($AM$11:$AM602&lt;&gt;"")*($AS$11:$AS602="✓")),"")</f>
        <v/>
      </c>
      <c r="BA602" s="21" t="str">
        <f>IF($AL602="","",$AL602&amp;"|"&amp;COUNTIF($AL$11:$AL602,$AL602))</f>
        <v/>
      </c>
    </row>
    <row r="603" spans="23:53" ht="15" customHeight="1" x14ac:dyDescent="0.25">
      <c r="W603" s="14" t="str">
        <f>IF(X603="","",IFERROR(INDEX($AL$11:$AL$4010,MATCH(593,$AY$11:$AY$4010,0)),""))</f>
        <v/>
      </c>
      <c r="X603" s="12" t="str">
        <f>IFERROR(INDEX($AM$11:$AM$4010,MATCH(593,$AY$11:$AY$4010,0)),"")</f>
        <v/>
      </c>
      <c r="Y603" s="11" t="str">
        <f>IF(X603="","",IFERROR(INDEX($AN$11:$AN$4010,MATCH(593,$AY$11:$AY$4010,0)),""))</f>
        <v/>
      </c>
      <c r="Z603" s="11" t="str">
        <f>IF(X603="","",IFERROR(INDEX($AO$11:$AO$4010,MATCH(593,$AY$11:$AY$4010,0)),""))</f>
        <v/>
      </c>
      <c r="AA603" s="10" t="str">
        <f>IF(X603="","",IFERROR(INDEX($AQ$11:$AQ$4010,MATCH(593,$AY$11:$AY$4010,0)),""))</f>
        <v/>
      </c>
      <c r="AB603" s="15" t="str">
        <f>IF(X603="","",IFERROR(INDEX($AR$11:$AR$4010,MATCH(593,$AY$11:$AY$4010,0)),""))</f>
        <v/>
      </c>
      <c r="AD603" s="16" t="str">
        <f>IF(AE603="","",IFERROR(INDEX($AL$11:$AL$4010,MATCH(593,$AZ$11:$AZ$4010,0)),""))</f>
        <v/>
      </c>
      <c r="AE603" s="12" t="str">
        <f>IFERROR(INDEX($AM$11:$AM$4010,MATCH(593,$AZ$11:$AZ$4010,0)),"")</f>
        <v/>
      </c>
      <c r="AF603" s="11" t="str">
        <f>IF(AE603="","",IFERROR(INDEX($AN$11:$AN$4010,MATCH(593,$AZ$11:$AZ$4010,0)),""))</f>
        <v/>
      </c>
      <c r="AG603" s="11" t="str">
        <f>IF(AE603="","",IFERROR(INDEX($AO$11:$AO$4010,MATCH(593,$AZ$11:$AZ$4010,0)),""))</f>
        <v/>
      </c>
      <c r="AH603" s="10" t="str">
        <f>IF(AE603="","",IFERROR(INDEX($AQ$11:$AQ$4010,MATCH(593,$AZ$11:$AZ$4010,0)),""))</f>
        <v/>
      </c>
      <c r="AI603" s="15" t="str">
        <f>IF(AE603="","",IFERROR(INDEX($AR$11:$AR$4010,MATCH(593,$AZ$11:$AZ$4010,0)),""))</f>
        <v/>
      </c>
      <c r="AJ603" s="15" t="str">
        <f>IF(AE603="","",IFERROR(INDEX($AT$11:$AT$4010,MATCH(593,$AZ$11:$AZ$4010,0)),""))</f>
        <v/>
      </c>
      <c r="AL603" s="17"/>
      <c r="AM603" s="12"/>
      <c r="AN603" s="18"/>
      <c r="AO603" s="18"/>
      <c r="AP603" s="10"/>
      <c r="AQ603" s="10"/>
      <c r="AR603" s="19"/>
      <c r="AS603" s="20"/>
      <c r="AT603" s="19"/>
      <c r="AV603" s="21">
        <f>IF(AND($AL603&lt;&gt;"",COUNTIF($AL$11:$AL603,$AL603)=1),1,0)</f>
        <v>0</v>
      </c>
      <c r="AW603" s="21">
        <f t="shared" si="105"/>
        <v>2</v>
      </c>
      <c r="AX603" s="21" t="str">
        <f t="shared" si="104"/>
        <v/>
      </c>
      <c r="AY603" s="21" t="str">
        <f>IF(AND($AM603&lt;&gt;"",$AS603&lt;&gt;"✓"),SUMPRODUCT(($AM$11:$AM603&lt;&gt;"")*($AS$11:$AS603&lt;&gt;"✓")),"")</f>
        <v/>
      </c>
      <c r="AZ603" s="21" t="str">
        <f>IF(AND($AM603&lt;&gt;"",$AS603="✓"),SUMPRODUCT(($AM$11:$AM603&lt;&gt;"")*($AS$11:$AS603="✓")),"")</f>
        <v/>
      </c>
      <c r="BA603" s="21" t="str">
        <f>IF($AL603="","",$AL603&amp;"|"&amp;COUNTIF($AL$11:$AL603,$AL603))</f>
        <v/>
      </c>
    </row>
    <row r="604" spans="23:53" ht="15" customHeight="1" x14ac:dyDescent="0.25">
      <c r="W604" s="28" t="str">
        <f>IF(X604="","",IFERROR(INDEX($AL$11:$AL$4010,MATCH(594,$AY$11:$AY$4010,0)),""))</f>
        <v/>
      </c>
      <c r="X604" s="26" t="str">
        <f>IFERROR(INDEX($AM$11:$AM$4010,MATCH(594,$AY$11:$AY$4010,0)),"")</f>
        <v/>
      </c>
      <c r="Y604" s="25" t="str">
        <f>IF(X604="","",IFERROR(INDEX($AN$11:$AN$4010,MATCH(594,$AY$11:$AY$4010,0)),""))</f>
        <v/>
      </c>
      <c r="Z604" s="25" t="str">
        <f>IF(X604="","",IFERROR(INDEX($AO$11:$AO$4010,MATCH(594,$AY$11:$AY$4010,0)),""))</f>
        <v/>
      </c>
      <c r="AA604" s="24" t="str">
        <f>IF(X604="","",IFERROR(INDEX($AQ$11:$AQ$4010,MATCH(594,$AY$11:$AY$4010,0)),""))</f>
        <v/>
      </c>
      <c r="AB604" s="29" t="str">
        <f>IF(X604="","",IFERROR(INDEX($AR$11:$AR$4010,MATCH(594,$AY$11:$AY$4010,0)),""))</f>
        <v/>
      </c>
      <c r="AD604" s="30" t="str">
        <f>IF(AE604="","",IFERROR(INDEX($AL$11:$AL$4010,MATCH(594,$AZ$11:$AZ$4010,0)),""))</f>
        <v/>
      </c>
      <c r="AE604" s="26" t="str">
        <f>IFERROR(INDEX($AM$11:$AM$4010,MATCH(594,$AZ$11:$AZ$4010,0)),"")</f>
        <v/>
      </c>
      <c r="AF604" s="25" t="str">
        <f>IF(AE604="","",IFERROR(INDEX($AN$11:$AN$4010,MATCH(594,$AZ$11:$AZ$4010,0)),""))</f>
        <v/>
      </c>
      <c r="AG604" s="25" t="str">
        <f>IF(AE604="","",IFERROR(INDEX($AO$11:$AO$4010,MATCH(594,$AZ$11:$AZ$4010,0)),""))</f>
        <v/>
      </c>
      <c r="AH604" s="24" t="str">
        <f>IF(AE604="","",IFERROR(INDEX($AQ$11:$AQ$4010,MATCH(594,$AZ$11:$AZ$4010,0)),""))</f>
        <v/>
      </c>
      <c r="AI604" s="29" t="str">
        <f>IF(AE604="","",IFERROR(INDEX($AR$11:$AR$4010,MATCH(594,$AZ$11:$AZ$4010,0)),""))</f>
        <v/>
      </c>
      <c r="AJ604" s="29" t="str">
        <f>IF(AE604="","",IFERROR(INDEX($AT$11:$AT$4010,MATCH(594,$AZ$11:$AZ$4010,0)),""))</f>
        <v/>
      </c>
      <c r="AL604" s="31"/>
      <c r="AM604" s="26"/>
      <c r="AN604" s="32"/>
      <c r="AO604" s="32"/>
      <c r="AP604" s="24"/>
      <c r="AQ604" s="24"/>
      <c r="AR604" s="33"/>
      <c r="AS604" s="34"/>
      <c r="AT604" s="33"/>
      <c r="AV604" s="21">
        <f>IF(AND($AL604&lt;&gt;"",COUNTIF($AL$11:$AL604,$AL604)=1),1,0)</f>
        <v>0</v>
      </c>
      <c r="AW604" s="21">
        <f t="shared" si="105"/>
        <v>2</v>
      </c>
      <c r="AX604" s="21" t="str">
        <f t="shared" si="104"/>
        <v/>
      </c>
      <c r="AY604" s="21" t="str">
        <f>IF(AND($AM604&lt;&gt;"",$AS604&lt;&gt;"✓"),SUMPRODUCT(($AM$11:$AM604&lt;&gt;"")*($AS$11:$AS604&lt;&gt;"✓")),"")</f>
        <v/>
      </c>
      <c r="AZ604" s="21" t="str">
        <f>IF(AND($AM604&lt;&gt;"",$AS604="✓"),SUMPRODUCT(($AM$11:$AM604&lt;&gt;"")*($AS$11:$AS604="✓")),"")</f>
        <v/>
      </c>
      <c r="BA604" s="21" t="str">
        <f>IF($AL604="","",$AL604&amp;"|"&amp;COUNTIF($AL$11:$AL604,$AL604))</f>
        <v/>
      </c>
    </row>
    <row r="605" spans="23:53" ht="15" customHeight="1" x14ac:dyDescent="0.25">
      <c r="W605" s="14" t="str">
        <f>IF(X605="","",IFERROR(INDEX($AL$11:$AL$4010,MATCH(595,$AY$11:$AY$4010,0)),""))</f>
        <v/>
      </c>
      <c r="X605" s="12" t="str">
        <f>IFERROR(INDEX($AM$11:$AM$4010,MATCH(595,$AY$11:$AY$4010,0)),"")</f>
        <v/>
      </c>
      <c r="Y605" s="11" t="str">
        <f>IF(X605="","",IFERROR(INDEX($AN$11:$AN$4010,MATCH(595,$AY$11:$AY$4010,0)),""))</f>
        <v/>
      </c>
      <c r="Z605" s="11" t="str">
        <f>IF(X605="","",IFERROR(INDEX($AO$11:$AO$4010,MATCH(595,$AY$11:$AY$4010,0)),""))</f>
        <v/>
      </c>
      <c r="AA605" s="10" t="str">
        <f>IF(X605="","",IFERROR(INDEX($AQ$11:$AQ$4010,MATCH(595,$AY$11:$AY$4010,0)),""))</f>
        <v/>
      </c>
      <c r="AB605" s="15" t="str">
        <f>IF(X605="","",IFERROR(INDEX($AR$11:$AR$4010,MATCH(595,$AY$11:$AY$4010,0)),""))</f>
        <v/>
      </c>
      <c r="AD605" s="16" t="str">
        <f>IF(AE605="","",IFERROR(INDEX($AL$11:$AL$4010,MATCH(595,$AZ$11:$AZ$4010,0)),""))</f>
        <v/>
      </c>
      <c r="AE605" s="12" t="str">
        <f>IFERROR(INDEX($AM$11:$AM$4010,MATCH(595,$AZ$11:$AZ$4010,0)),"")</f>
        <v/>
      </c>
      <c r="AF605" s="11" t="str">
        <f>IF(AE605="","",IFERROR(INDEX($AN$11:$AN$4010,MATCH(595,$AZ$11:$AZ$4010,0)),""))</f>
        <v/>
      </c>
      <c r="AG605" s="11" t="str">
        <f>IF(AE605="","",IFERROR(INDEX($AO$11:$AO$4010,MATCH(595,$AZ$11:$AZ$4010,0)),""))</f>
        <v/>
      </c>
      <c r="AH605" s="10" t="str">
        <f>IF(AE605="","",IFERROR(INDEX($AQ$11:$AQ$4010,MATCH(595,$AZ$11:$AZ$4010,0)),""))</f>
        <v/>
      </c>
      <c r="AI605" s="15" t="str">
        <f>IF(AE605="","",IFERROR(INDEX($AR$11:$AR$4010,MATCH(595,$AZ$11:$AZ$4010,0)),""))</f>
        <v/>
      </c>
      <c r="AJ605" s="15" t="str">
        <f>IF(AE605="","",IFERROR(INDEX($AT$11:$AT$4010,MATCH(595,$AZ$11:$AZ$4010,0)),""))</f>
        <v/>
      </c>
      <c r="AL605" s="17"/>
      <c r="AM605" s="12"/>
      <c r="AN605" s="18"/>
      <c r="AO605" s="18"/>
      <c r="AP605" s="10"/>
      <c r="AQ605" s="10"/>
      <c r="AR605" s="19"/>
      <c r="AS605" s="20"/>
      <c r="AT605" s="19"/>
      <c r="AV605" s="21">
        <f>IF(AND($AL605&lt;&gt;"",COUNTIF($AL$11:$AL605,$AL605)=1),1,0)</f>
        <v>0</v>
      </c>
      <c r="AW605" s="21">
        <f t="shared" si="105"/>
        <v>2</v>
      </c>
      <c r="AX605" s="21" t="str">
        <f t="shared" si="104"/>
        <v/>
      </c>
      <c r="AY605" s="21" t="str">
        <f>IF(AND($AM605&lt;&gt;"",$AS605&lt;&gt;"✓"),SUMPRODUCT(($AM$11:$AM605&lt;&gt;"")*($AS$11:$AS605&lt;&gt;"✓")),"")</f>
        <v/>
      </c>
      <c r="AZ605" s="21" t="str">
        <f>IF(AND($AM605&lt;&gt;"",$AS605="✓"),SUMPRODUCT(($AM$11:$AM605&lt;&gt;"")*($AS$11:$AS605="✓")),"")</f>
        <v/>
      </c>
      <c r="BA605" s="21" t="str">
        <f>IF($AL605="","",$AL605&amp;"|"&amp;COUNTIF($AL$11:$AL605,$AL605))</f>
        <v/>
      </c>
    </row>
    <row r="606" spans="23:53" ht="15" customHeight="1" x14ac:dyDescent="0.25">
      <c r="W606" s="28" t="str">
        <f>IF(X606="","",IFERROR(INDEX($AL$11:$AL$4010,MATCH(596,$AY$11:$AY$4010,0)),""))</f>
        <v/>
      </c>
      <c r="X606" s="26" t="str">
        <f>IFERROR(INDEX($AM$11:$AM$4010,MATCH(596,$AY$11:$AY$4010,0)),"")</f>
        <v/>
      </c>
      <c r="Y606" s="25" t="str">
        <f>IF(X606="","",IFERROR(INDEX($AN$11:$AN$4010,MATCH(596,$AY$11:$AY$4010,0)),""))</f>
        <v/>
      </c>
      <c r="Z606" s="25" t="str">
        <f>IF(X606="","",IFERROR(INDEX($AO$11:$AO$4010,MATCH(596,$AY$11:$AY$4010,0)),""))</f>
        <v/>
      </c>
      <c r="AA606" s="24" t="str">
        <f>IF(X606="","",IFERROR(INDEX($AQ$11:$AQ$4010,MATCH(596,$AY$11:$AY$4010,0)),""))</f>
        <v/>
      </c>
      <c r="AB606" s="29" t="str">
        <f>IF(X606="","",IFERROR(INDEX($AR$11:$AR$4010,MATCH(596,$AY$11:$AY$4010,0)),""))</f>
        <v/>
      </c>
      <c r="AD606" s="30" t="str">
        <f>IF(AE606="","",IFERROR(INDEX($AL$11:$AL$4010,MATCH(596,$AZ$11:$AZ$4010,0)),""))</f>
        <v/>
      </c>
      <c r="AE606" s="26" t="str">
        <f>IFERROR(INDEX($AM$11:$AM$4010,MATCH(596,$AZ$11:$AZ$4010,0)),"")</f>
        <v/>
      </c>
      <c r="AF606" s="25" t="str">
        <f>IF(AE606="","",IFERROR(INDEX($AN$11:$AN$4010,MATCH(596,$AZ$11:$AZ$4010,0)),""))</f>
        <v/>
      </c>
      <c r="AG606" s="25" t="str">
        <f>IF(AE606="","",IFERROR(INDEX($AO$11:$AO$4010,MATCH(596,$AZ$11:$AZ$4010,0)),""))</f>
        <v/>
      </c>
      <c r="AH606" s="24" t="str">
        <f>IF(AE606="","",IFERROR(INDEX($AQ$11:$AQ$4010,MATCH(596,$AZ$11:$AZ$4010,0)),""))</f>
        <v/>
      </c>
      <c r="AI606" s="29" t="str">
        <f>IF(AE606="","",IFERROR(INDEX($AR$11:$AR$4010,MATCH(596,$AZ$11:$AZ$4010,0)),""))</f>
        <v/>
      </c>
      <c r="AJ606" s="29" t="str">
        <f>IF(AE606="","",IFERROR(INDEX($AT$11:$AT$4010,MATCH(596,$AZ$11:$AZ$4010,0)),""))</f>
        <v/>
      </c>
      <c r="AL606" s="31"/>
      <c r="AM606" s="26"/>
      <c r="AN606" s="32"/>
      <c r="AO606" s="32"/>
      <c r="AP606" s="24"/>
      <c r="AQ606" s="24"/>
      <c r="AR606" s="33"/>
      <c r="AS606" s="34"/>
      <c r="AT606" s="33"/>
      <c r="AV606" s="21">
        <f>IF(AND($AL606&lt;&gt;"",COUNTIF($AL$11:$AL606,$AL606)=1),1,0)</f>
        <v>0</v>
      </c>
      <c r="AW606" s="21">
        <f t="shared" si="105"/>
        <v>2</v>
      </c>
      <c r="AX606" s="21" t="str">
        <f t="shared" si="104"/>
        <v/>
      </c>
      <c r="AY606" s="21" t="str">
        <f>IF(AND($AM606&lt;&gt;"",$AS606&lt;&gt;"✓"),SUMPRODUCT(($AM$11:$AM606&lt;&gt;"")*($AS$11:$AS606&lt;&gt;"✓")),"")</f>
        <v/>
      </c>
      <c r="AZ606" s="21" t="str">
        <f>IF(AND($AM606&lt;&gt;"",$AS606="✓"),SUMPRODUCT(($AM$11:$AM606&lt;&gt;"")*($AS$11:$AS606="✓")),"")</f>
        <v/>
      </c>
      <c r="BA606" s="21" t="str">
        <f>IF($AL606="","",$AL606&amp;"|"&amp;COUNTIF($AL$11:$AL606,$AL606))</f>
        <v/>
      </c>
    </row>
    <row r="607" spans="23:53" ht="15" customHeight="1" x14ac:dyDescent="0.25">
      <c r="W607" s="14" t="str">
        <f>IF(X607="","",IFERROR(INDEX($AL$11:$AL$4010,MATCH(597,$AY$11:$AY$4010,0)),""))</f>
        <v/>
      </c>
      <c r="X607" s="12" t="str">
        <f>IFERROR(INDEX($AM$11:$AM$4010,MATCH(597,$AY$11:$AY$4010,0)),"")</f>
        <v/>
      </c>
      <c r="Y607" s="11" t="str">
        <f>IF(X607="","",IFERROR(INDEX($AN$11:$AN$4010,MATCH(597,$AY$11:$AY$4010,0)),""))</f>
        <v/>
      </c>
      <c r="Z607" s="11" t="str">
        <f>IF(X607="","",IFERROR(INDEX($AO$11:$AO$4010,MATCH(597,$AY$11:$AY$4010,0)),""))</f>
        <v/>
      </c>
      <c r="AA607" s="10" t="str">
        <f>IF(X607="","",IFERROR(INDEX($AQ$11:$AQ$4010,MATCH(597,$AY$11:$AY$4010,0)),""))</f>
        <v/>
      </c>
      <c r="AB607" s="15" t="str">
        <f>IF(X607="","",IFERROR(INDEX($AR$11:$AR$4010,MATCH(597,$AY$11:$AY$4010,0)),""))</f>
        <v/>
      </c>
      <c r="AD607" s="16" t="str">
        <f>IF(AE607="","",IFERROR(INDEX($AL$11:$AL$4010,MATCH(597,$AZ$11:$AZ$4010,0)),""))</f>
        <v/>
      </c>
      <c r="AE607" s="12" t="str">
        <f>IFERROR(INDEX($AM$11:$AM$4010,MATCH(597,$AZ$11:$AZ$4010,0)),"")</f>
        <v/>
      </c>
      <c r="AF607" s="11" t="str">
        <f>IF(AE607="","",IFERROR(INDEX($AN$11:$AN$4010,MATCH(597,$AZ$11:$AZ$4010,0)),""))</f>
        <v/>
      </c>
      <c r="AG607" s="11" t="str">
        <f>IF(AE607="","",IFERROR(INDEX($AO$11:$AO$4010,MATCH(597,$AZ$11:$AZ$4010,0)),""))</f>
        <v/>
      </c>
      <c r="AH607" s="10" t="str">
        <f>IF(AE607="","",IFERROR(INDEX($AQ$11:$AQ$4010,MATCH(597,$AZ$11:$AZ$4010,0)),""))</f>
        <v/>
      </c>
      <c r="AI607" s="15" t="str">
        <f>IF(AE607="","",IFERROR(INDEX($AR$11:$AR$4010,MATCH(597,$AZ$11:$AZ$4010,0)),""))</f>
        <v/>
      </c>
      <c r="AJ607" s="15" t="str">
        <f>IF(AE607="","",IFERROR(INDEX($AT$11:$AT$4010,MATCH(597,$AZ$11:$AZ$4010,0)),""))</f>
        <v/>
      </c>
      <c r="AL607" s="17"/>
      <c r="AM607" s="12"/>
      <c r="AN607" s="18"/>
      <c r="AO607" s="18"/>
      <c r="AP607" s="10"/>
      <c r="AQ607" s="10"/>
      <c r="AR607" s="19"/>
      <c r="AS607" s="20"/>
      <c r="AT607" s="19"/>
      <c r="AV607" s="21">
        <f>IF(AND($AL607&lt;&gt;"",COUNTIF($AL$11:$AL607,$AL607)=1),1,0)</f>
        <v>0</v>
      </c>
      <c r="AW607" s="21">
        <f t="shared" si="105"/>
        <v>2</v>
      </c>
      <c r="AX607" s="21" t="str">
        <f t="shared" si="104"/>
        <v/>
      </c>
      <c r="AY607" s="21" t="str">
        <f>IF(AND($AM607&lt;&gt;"",$AS607&lt;&gt;"✓"),SUMPRODUCT(($AM$11:$AM607&lt;&gt;"")*($AS$11:$AS607&lt;&gt;"✓")),"")</f>
        <v/>
      </c>
      <c r="AZ607" s="21" t="str">
        <f>IF(AND($AM607&lt;&gt;"",$AS607="✓"),SUMPRODUCT(($AM$11:$AM607&lt;&gt;"")*($AS$11:$AS607="✓")),"")</f>
        <v/>
      </c>
      <c r="BA607" s="21" t="str">
        <f>IF($AL607="","",$AL607&amp;"|"&amp;COUNTIF($AL$11:$AL607,$AL607))</f>
        <v/>
      </c>
    </row>
    <row r="608" spans="23:53" ht="15" customHeight="1" x14ac:dyDescent="0.25">
      <c r="W608" s="28" t="str">
        <f>IF(X608="","",IFERROR(INDEX($AL$11:$AL$4010,MATCH(598,$AY$11:$AY$4010,0)),""))</f>
        <v/>
      </c>
      <c r="X608" s="26" t="str">
        <f>IFERROR(INDEX($AM$11:$AM$4010,MATCH(598,$AY$11:$AY$4010,0)),"")</f>
        <v/>
      </c>
      <c r="Y608" s="25" t="str">
        <f>IF(X608="","",IFERROR(INDEX($AN$11:$AN$4010,MATCH(598,$AY$11:$AY$4010,0)),""))</f>
        <v/>
      </c>
      <c r="Z608" s="25" t="str">
        <f>IF(X608="","",IFERROR(INDEX($AO$11:$AO$4010,MATCH(598,$AY$11:$AY$4010,0)),""))</f>
        <v/>
      </c>
      <c r="AA608" s="24" t="str">
        <f>IF(X608="","",IFERROR(INDEX($AQ$11:$AQ$4010,MATCH(598,$AY$11:$AY$4010,0)),""))</f>
        <v/>
      </c>
      <c r="AB608" s="29" t="str">
        <f>IF(X608="","",IFERROR(INDEX($AR$11:$AR$4010,MATCH(598,$AY$11:$AY$4010,0)),""))</f>
        <v/>
      </c>
      <c r="AD608" s="30" t="str">
        <f>IF(AE608="","",IFERROR(INDEX($AL$11:$AL$4010,MATCH(598,$AZ$11:$AZ$4010,0)),""))</f>
        <v/>
      </c>
      <c r="AE608" s="26" t="str">
        <f>IFERROR(INDEX($AM$11:$AM$4010,MATCH(598,$AZ$11:$AZ$4010,0)),"")</f>
        <v/>
      </c>
      <c r="AF608" s="25" t="str">
        <f>IF(AE608="","",IFERROR(INDEX($AN$11:$AN$4010,MATCH(598,$AZ$11:$AZ$4010,0)),""))</f>
        <v/>
      </c>
      <c r="AG608" s="25" t="str">
        <f>IF(AE608="","",IFERROR(INDEX($AO$11:$AO$4010,MATCH(598,$AZ$11:$AZ$4010,0)),""))</f>
        <v/>
      </c>
      <c r="AH608" s="24" t="str">
        <f>IF(AE608="","",IFERROR(INDEX($AQ$11:$AQ$4010,MATCH(598,$AZ$11:$AZ$4010,0)),""))</f>
        <v/>
      </c>
      <c r="AI608" s="29" t="str">
        <f>IF(AE608="","",IFERROR(INDEX($AR$11:$AR$4010,MATCH(598,$AZ$11:$AZ$4010,0)),""))</f>
        <v/>
      </c>
      <c r="AJ608" s="29" t="str">
        <f>IF(AE608="","",IFERROR(INDEX($AT$11:$AT$4010,MATCH(598,$AZ$11:$AZ$4010,0)),""))</f>
        <v/>
      </c>
      <c r="AL608" s="31"/>
      <c r="AM608" s="26"/>
      <c r="AN608" s="32"/>
      <c r="AO608" s="32"/>
      <c r="AP608" s="24"/>
      <c r="AQ608" s="24"/>
      <c r="AR608" s="33"/>
      <c r="AS608" s="34"/>
      <c r="AT608" s="33"/>
      <c r="AV608" s="21">
        <f>IF(AND($AL608&lt;&gt;"",COUNTIF($AL$11:$AL608,$AL608)=1),1,0)</f>
        <v>0</v>
      </c>
      <c r="AW608" s="21">
        <f t="shared" si="105"/>
        <v>2</v>
      </c>
      <c r="AX608" s="21" t="str">
        <f t="shared" si="104"/>
        <v/>
      </c>
      <c r="AY608" s="21" t="str">
        <f>IF(AND($AM608&lt;&gt;"",$AS608&lt;&gt;"✓"),SUMPRODUCT(($AM$11:$AM608&lt;&gt;"")*($AS$11:$AS608&lt;&gt;"✓")),"")</f>
        <v/>
      </c>
      <c r="AZ608" s="21" t="str">
        <f>IF(AND($AM608&lt;&gt;"",$AS608="✓"),SUMPRODUCT(($AM$11:$AM608&lt;&gt;"")*($AS$11:$AS608="✓")),"")</f>
        <v/>
      </c>
      <c r="BA608" s="21" t="str">
        <f>IF($AL608="","",$AL608&amp;"|"&amp;COUNTIF($AL$11:$AL608,$AL608))</f>
        <v/>
      </c>
    </row>
    <row r="609" spans="23:53" ht="15" customHeight="1" x14ac:dyDescent="0.25">
      <c r="W609" s="14" t="str">
        <f>IF(X609="","",IFERROR(INDEX($AL$11:$AL$4010,MATCH(599,$AY$11:$AY$4010,0)),""))</f>
        <v/>
      </c>
      <c r="X609" s="12" t="str">
        <f>IFERROR(INDEX($AM$11:$AM$4010,MATCH(599,$AY$11:$AY$4010,0)),"")</f>
        <v/>
      </c>
      <c r="Y609" s="11" t="str">
        <f>IF(X609="","",IFERROR(INDEX($AN$11:$AN$4010,MATCH(599,$AY$11:$AY$4010,0)),""))</f>
        <v/>
      </c>
      <c r="Z609" s="11" t="str">
        <f>IF(X609="","",IFERROR(INDEX($AO$11:$AO$4010,MATCH(599,$AY$11:$AY$4010,0)),""))</f>
        <v/>
      </c>
      <c r="AA609" s="10" t="str">
        <f>IF(X609="","",IFERROR(INDEX($AQ$11:$AQ$4010,MATCH(599,$AY$11:$AY$4010,0)),""))</f>
        <v/>
      </c>
      <c r="AB609" s="15" t="str">
        <f>IF(X609="","",IFERROR(INDEX($AR$11:$AR$4010,MATCH(599,$AY$11:$AY$4010,0)),""))</f>
        <v/>
      </c>
      <c r="AD609" s="16" t="str">
        <f>IF(AE609="","",IFERROR(INDEX($AL$11:$AL$4010,MATCH(599,$AZ$11:$AZ$4010,0)),""))</f>
        <v/>
      </c>
      <c r="AE609" s="12" t="str">
        <f>IFERROR(INDEX($AM$11:$AM$4010,MATCH(599,$AZ$11:$AZ$4010,0)),"")</f>
        <v/>
      </c>
      <c r="AF609" s="11" t="str">
        <f>IF(AE609="","",IFERROR(INDEX($AN$11:$AN$4010,MATCH(599,$AZ$11:$AZ$4010,0)),""))</f>
        <v/>
      </c>
      <c r="AG609" s="11" t="str">
        <f>IF(AE609="","",IFERROR(INDEX($AO$11:$AO$4010,MATCH(599,$AZ$11:$AZ$4010,0)),""))</f>
        <v/>
      </c>
      <c r="AH609" s="10" t="str">
        <f>IF(AE609="","",IFERROR(INDEX($AQ$11:$AQ$4010,MATCH(599,$AZ$11:$AZ$4010,0)),""))</f>
        <v/>
      </c>
      <c r="AI609" s="15" t="str">
        <f>IF(AE609="","",IFERROR(INDEX($AR$11:$AR$4010,MATCH(599,$AZ$11:$AZ$4010,0)),""))</f>
        <v/>
      </c>
      <c r="AJ609" s="15" t="str">
        <f>IF(AE609="","",IFERROR(INDEX($AT$11:$AT$4010,MATCH(599,$AZ$11:$AZ$4010,0)),""))</f>
        <v/>
      </c>
      <c r="AL609" s="17"/>
      <c r="AM609" s="12"/>
      <c r="AN609" s="18"/>
      <c r="AO609" s="18"/>
      <c r="AP609" s="10"/>
      <c r="AQ609" s="10"/>
      <c r="AR609" s="19"/>
      <c r="AS609" s="20"/>
      <c r="AT609" s="19"/>
      <c r="AV609" s="21">
        <f>IF(AND($AL609&lt;&gt;"",COUNTIF($AL$11:$AL609,$AL609)=1),1,0)</f>
        <v>0</v>
      </c>
      <c r="AW609" s="21">
        <f t="shared" si="105"/>
        <v>2</v>
      </c>
      <c r="AX609" s="21" t="str">
        <f t="shared" si="104"/>
        <v/>
      </c>
      <c r="AY609" s="21" t="str">
        <f>IF(AND($AM609&lt;&gt;"",$AS609&lt;&gt;"✓"),SUMPRODUCT(($AM$11:$AM609&lt;&gt;"")*($AS$11:$AS609&lt;&gt;"✓")),"")</f>
        <v/>
      </c>
      <c r="AZ609" s="21" t="str">
        <f>IF(AND($AM609&lt;&gt;"",$AS609="✓"),SUMPRODUCT(($AM$11:$AM609&lt;&gt;"")*($AS$11:$AS609="✓")),"")</f>
        <v/>
      </c>
      <c r="BA609" s="21" t="str">
        <f>IF($AL609="","",$AL609&amp;"|"&amp;COUNTIF($AL$11:$AL609,$AL609))</f>
        <v/>
      </c>
    </row>
    <row r="610" spans="23:53" ht="15" customHeight="1" x14ac:dyDescent="0.25">
      <c r="W610" s="28" t="str">
        <f>IF(X610="","",IFERROR(INDEX($AL$11:$AL$4010,MATCH(600,$AY$11:$AY$4010,0)),""))</f>
        <v/>
      </c>
      <c r="X610" s="26" t="str">
        <f>IFERROR(INDEX($AM$11:$AM$4010,MATCH(600,$AY$11:$AY$4010,0)),"")</f>
        <v/>
      </c>
      <c r="Y610" s="25" t="str">
        <f>IF(X610="","",IFERROR(INDEX($AN$11:$AN$4010,MATCH(600,$AY$11:$AY$4010,0)),""))</f>
        <v/>
      </c>
      <c r="Z610" s="25" t="str">
        <f>IF(X610="","",IFERROR(INDEX($AO$11:$AO$4010,MATCH(600,$AY$11:$AY$4010,0)),""))</f>
        <v/>
      </c>
      <c r="AA610" s="24" t="str">
        <f>IF(X610="","",IFERROR(INDEX($AQ$11:$AQ$4010,MATCH(600,$AY$11:$AY$4010,0)),""))</f>
        <v/>
      </c>
      <c r="AB610" s="29" t="str">
        <f>IF(X610="","",IFERROR(INDEX($AR$11:$AR$4010,MATCH(600,$AY$11:$AY$4010,0)),""))</f>
        <v/>
      </c>
      <c r="AD610" s="30" t="str">
        <f>IF(AE610="","",IFERROR(INDEX($AL$11:$AL$4010,MATCH(600,$AZ$11:$AZ$4010,0)),""))</f>
        <v/>
      </c>
      <c r="AE610" s="26" t="str">
        <f>IFERROR(INDEX($AM$11:$AM$4010,MATCH(600,$AZ$11:$AZ$4010,0)),"")</f>
        <v/>
      </c>
      <c r="AF610" s="25" t="str">
        <f>IF(AE610="","",IFERROR(INDEX($AN$11:$AN$4010,MATCH(600,$AZ$11:$AZ$4010,0)),""))</f>
        <v/>
      </c>
      <c r="AG610" s="25" t="str">
        <f>IF(AE610="","",IFERROR(INDEX($AO$11:$AO$4010,MATCH(600,$AZ$11:$AZ$4010,0)),""))</f>
        <v/>
      </c>
      <c r="AH610" s="24" t="str">
        <f>IF(AE610="","",IFERROR(INDEX($AQ$11:$AQ$4010,MATCH(600,$AZ$11:$AZ$4010,0)),""))</f>
        <v/>
      </c>
      <c r="AI610" s="29" t="str">
        <f>IF(AE610="","",IFERROR(INDEX($AR$11:$AR$4010,MATCH(600,$AZ$11:$AZ$4010,0)),""))</f>
        <v/>
      </c>
      <c r="AJ610" s="29" t="str">
        <f>IF(AE610="","",IFERROR(INDEX($AT$11:$AT$4010,MATCH(600,$AZ$11:$AZ$4010,0)),""))</f>
        <v/>
      </c>
      <c r="AL610" s="31"/>
      <c r="AM610" s="26"/>
      <c r="AN610" s="32"/>
      <c r="AO610" s="32"/>
      <c r="AP610" s="24"/>
      <c r="AQ610" s="24"/>
      <c r="AR610" s="33"/>
      <c r="AS610" s="34"/>
      <c r="AT610" s="33"/>
      <c r="AV610" s="21">
        <f>IF(AND($AL610&lt;&gt;"",COUNTIF($AL$11:$AL610,$AL610)=1),1,0)</f>
        <v>0</v>
      </c>
      <c r="AW610" s="21">
        <f t="shared" si="105"/>
        <v>2</v>
      </c>
      <c r="AX610" s="21" t="str">
        <f t="shared" si="104"/>
        <v/>
      </c>
      <c r="AY610" s="21" t="str">
        <f>IF(AND($AM610&lt;&gt;"",$AS610&lt;&gt;"✓"),SUMPRODUCT(($AM$11:$AM610&lt;&gt;"")*($AS$11:$AS610&lt;&gt;"✓")),"")</f>
        <v/>
      </c>
      <c r="AZ610" s="21" t="str">
        <f>IF(AND($AM610&lt;&gt;"",$AS610="✓"),SUMPRODUCT(($AM$11:$AM610&lt;&gt;"")*($AS$11:$AS610="✓")),"")</f>
        <v/>
      </c>
      <c r="BA610" s="21" t="str">
        <f>IF($AL610="","",$AL610&amp;"|"&amp;COUNTIF($AL$11:$AL610,$AL610))</f>
        <v/>
      </c>
    </row>
    <row r="611" spans="23:53" ht="15" customHeight="1" x14ac:dyDescent="0.25">
      <c r="W611" s="14" t="str">
        <f>IF(X611="","",IFERROR(INDEX($AL$11:$AL$4010,MATCH(601,$AY$11:$AY$4010,0)),""))</f>
        <v/>
      </c>
      <c r="X611" s="12" t="str">
        <f>IFERROR(INDEX($AM$11:$AM$4010,MATCH(601,$AY$11:$AY$4010,0)),"")</f>
        <v/>
      </c>
      <c r="Y611" s="11" t="str">
        <f>IF(X611="","",IFERROR(INDEX($AN$11:$AN$4010,MATCH(601,$AY$11:$AY$4010,0)),""))</f>
        <v/>
      </c>
      <c r="Z611" s="11" t="str">
        <f>IF(X611="","",IFERROR(INDEX($AO$11:$AO$4010,MATCH(601,$AY$11:$AY$4010,0)),""))</f>
        <v/>
      </c>
      <c r="AA611" s="10" t="str">
        <f>IF(X611="","",IFERROR(INDEX($AQ$11:$AQ$4010,MATCH(601,$AY$11:$AY$4010,0)),""))</f>
        <v/>
      </c>
      <c r="AB611" s="15" t="str">
        <f>IF(X611="","",IFERROR(INDEX($AR$11:$AR$4010,MATCH(601,$AY$11:$AY$4010,0)),""))</f>
        <v/>
      </c>
      <c r="AD611" s="16" t="str">
        <f>IF(AE611="","",IFERROR(INDEX($AL$11:$AL$4010,MATCH(601,$AZ$11:$AZ$4010,0)),""))</f>
        <v/>
      </c>
      <c r="AE611" s="12" t="str">
        <f>IFERROR(INDEX($AM$11:$AM$4010,MATCH(601,$AZ$11:$AZ$4010,0)),"")</f>
        <v/>
      </c>
      <c r="AF611" s="11" t="str">
        <f>IF(AE611="","",IFERROR(INDEX($AN$11:$AN$4010,MATCH(601,$AZ$11:$AZ$4010,0)),""))</f>
        <v/>
      </c>
      <c r="AG611" s="11" t="str">
        <f>IF(AE611="","",IFERROR(INDEX($AO$11:$AO$4010,MATCH(601,$AZ$11:$AZ$4010,0)),""))</f>
        <v/>
      </c>
      <c r="AH611" s="10" t="str">
        <f>IF(AE611="","",IFERROR(INDEX($AQ$11:$AQ$4010,MATCH(601,$AZ$11:$AZ$4010,0)),""))</f>
        <v/>
      </c>
      <c r="AI611" s="15" t="str">
        <f>IF(AE611="","",IFERROR(INDEX($AR$11:$AR$4010,MATCH(601,$AZ$11:$AZ$4010,0)),""))</f>
        <v/>
      </c>
      <c r="AJ611" s="15" t="str">
        <f>IF(AE611="","",IFERROR(INDEX($AT$11:$AT$4010,MATCH(601,$AZ$11:$AZ$4010,0)),""))</f>
        <v/>
      </c>
      <c r="AL611" s="17"/>
      <c r="AM611" s="12"/>
      <c r="AN611" s="18"/>
      <c r="AO611" s="18"/>
      <c r="AP611" s="10"/>
      <c r="AQ611" s="10"/>
      <c r="AR611" s="19"/>
      <c r="AS611" s="20"/>
      <c r="AT611" s="19"/>
      <c r="AV611" s="21">
        <f>IF(AND($AL611&lt;&gt;"",COUNTIF($AL$11:$AL611,$AL611)=1),1,0)</f>
        <v>0</v>
      </c>
      <c r="AW611" s="21">
        <f t="shared" si="105"/>
        <v>2</v>
      </c>
      <c r="AX611" s="21" t="str">
        <f t="shared" si="104"/>
        <v/>
      </c>
      <c r="AY611" s="21" t="str">
        <f>IF(AND($AM611&lt;&gt;"",$AS611&lt;&gt;"✓"),SUMPRODUCT(($AM$11:$AM611&lt;&gt;"")*($AS$11:$AS611&lt;&gt;"✓")),"")</f>
        <v/>
      </c>
      <c r="AZ611" s="21" t="str">
        <f>IF(AND($AM611&lt;&gt;"",$AS611="✓"),SUMPRODUCT(($AM$11:$AM611&lt;&gt;"")*($AS$11:$AS611="✓")),"")</f>
        <v/>
      </c>
      <c r="BA611" s="21" t="str">
        <f>IF($AL611="","",$AL611&amp;"|"&amp;COUNTIF($AL$11:$AL611,$AL611))</f>
        <v/>
      </c>
    </row>
    <row r="612" spans="23:53" ht="15" customHeight="1" x14ac:dyDescent="0.25">
      <c r="W612" s="28" t="str">
        <f>IF(X612="","",IFERROR(INDEX($AL$11:$AL$4010,MATCH(602,$AY$11:$AY$4010,0)),""))</f>
        <v/>
      </c>
      <c r="X612" s="26" t="str">
        <f>IFERROR(INDEX($AM$11:$AM$4010,MATCH(602,$AY$11:$AY$4010,0)),"")</f>
        <v/>
      </c>
      <c r="Y612" s="25" t="str">
        <f>IF(X612="","",IFERROR(INDEX($AN$11:$AN$4010,MATCH(602,$AY$11:$AY$4010,0)),""))</f>
        <v/>
      </c>
      <c r="Z612" s="25" t="str">
        <f>IF(X612="","",IFERROR(INDEX($AO$11:$AO$4010,MATCH(602,$AY$11:$AY$4010,0)),""))</f>
        <v/>
      </c>
      <c r="AA612" s="24" t="str">
        <f>IF(X612="","",IFERROR(INDEX($AQ$11:$AQ$4010,MATCH(602,$AY$11:$AY$4010,0)),""))</f>
        <v/>
      </c>
      <c r="AB612" s="29" t="str">
        <f>IF(X612="","",IFERROR(INDEX($AR$11:$AR$4010,MATCH(602,$AY$11:$AY$4010,0)),""))</f>
        <v/>
      </c>
      <c r="AD612" s="30" t="str">
        <f>IF(AE612="","",IFERROR(INDEX($AL$11:$AL$4010,MATCH(602,$AZ$11:$AZ$4010,0)),""))</f>
        <v/>
      </c>
      <c r="AE612" s="26" t="str">
        <f>IFERROR(INDEX($AM$11:$AM$4010,MATCH(602,$AZ$11:$AZ$4010,0)),"")</f>
        <v/>
      </c>
      <c r="AF612" s="25" t="str">
        <f>IF(AE612="","",IFERROR(INDEX($AN$11:$AN$4010,MATCH(602,$AZ$11:$AZ$4010,0)),""))</f>
        <v/>
      </c>
      <c r="AG612" s="25" t="str">
        <f>IF(AE612="","",IFERROR(INDEX($AO$11:$AO$4010,MATCH(602,$AZ$11:$AZ$4010,0)),""))</f>
        <v/>
      </c>
      <c r="AH612" s="24" t="str">
        <f>IF(AE612="","",IFERROR(INDEX($AQ$11:$AQ$4010,MATCH(602,$AZ$11:$AZ$4010,0)),""))</f>
        <v/>
      </c>
      <c r="AI612" s="29" t="str">
        <f>IF(AE612="","",IFERROR(INDEX($AR$11:$AR$4010,MATCH(602,$AZ$11:$AZ$4010,0)),""))</f>
        <v/>
      </c>
      <c r="AJ612" s="29" t="str">
        <f>IF(AE612="","",IFERROR(INDEX($AT$11:$AT$4010,MATCH(602,$AZ$11:$AZ$4010,0)),""))</f>
        <v/>
      </c>
      <c r="AL612" s="31"/>
      <c r="AM612" s="26"/>
      <c r="AN612" s="32"/>
      <c r="AO612" s="32"/>
      <c r="AP612" s="24"/>
      <c r="AQ612" s="24"/>
      <c r="AR612" s="33"/>
      <c r="AS612" s="34"/>
      <c r="AT612" s="33"/>
      <c r="AV612" s="21">
        <f>IF(AND($AL612&lt;&gt;"",COUNTIF($AL$11:$AL612,$AL612)=1),1,0)</f>
        <v>0</v>
      </c>
      <c r="AW612" s="21">
        <f t="shared" si="105"/>
        <v>2</v>
      </c>
      <c r="AX612" s="21" t="str">
        <f t="shared" si="104"/>
        <v/>
      </c>
      <c r="AY612" s="21" t="str">
        <f>IF(AND($AM612&lt;&gt;"",$AS612&lt;&gt;"✓"),SUMPRODUCT(($AM$11:$AM612&lt;&gt;"")*($AS$11:$AS612&lt;&gt;"✓")),"")</f>
        <v/>
      </c>
      <c r="AZ612" s="21" t="str">
        <f>IF(AND($AM612&lt;&gt;"",$AS612="✓"),SUMPRODUCT(($AM$11:$AM612&lt;&gt;"")*($AS$11:$AS612="✓")),"")</f>
        <v/>
      </c>
      <c r="BA612" s="21" t="str">
        <f>IF($AL612="","",$AL612&amp;"|"&amp;COUNTIF($AL$11:$AL612,$AL612))</f>
        <v/>
      </c>
    </row>
    <row r="613" spans="23:53" ht="15" customHeight="1" x14ac:dyDescent="0.25">
      <c r="W613" s="14" t="str">
        <f>IF(X613="","",IFERROR(INDEX($AL$11:$AL$4010,MATCH(603,$AY$11:$AY$4010,0)),""))</f>
        <v/>
      </c>
      <c r="X613" s="12" t="str">
        <f>IFERROR(INDEX($AM$11:$AM$4010,MATCH(603,$AY$11:$AY$4010,0)),"")</f>
        <v/>
      </c>
      <c r="Y613" s="11" t="str">
        <f>IF(X613="","",IFERROR(INDEX($AN$11:$AN$4010,MATCH(603,$AY$11:$AY$4010,0)),""))</f>
        <v/>
      </c>
      <c r="Z613" s="11" t="str">
        <f>IF(X613="","",IFERROR(INDEX($AO$11:$AO$4010,MATCH(603,$AY$11:$AY$4010,0)),""))</f>
        <v/>
      </c>
      <c r="AA613" s="10" t="str">
        <f>IF(X613="","",IFERROR(INDEX($AQ$11:$AQ$4010,MATCH(603,$AY$11:$AY$4010,0)),""))</f>
        <v/>
      </c>
      <c r="AB613" s="15" t="str">
        <f>IF(X613="","",IFERROR(INDEX($AR$11:$AR$4010,MATCH(603,$AY$11:$AY$4010,0)),""))</f>
        <v/>
      </c>
      <c r="AD613" s="16" t="str">
        <f>IF(AE613="","",IFERROR(INDEX($AL$11:$AL$4010,MATCH(603,$AZ$11:$AZ$4010,0)),""))</f>
        <v/>
      </c>
      <c r="AE613" s="12" t="str">
        <f>IFERROR(INDEX($AM$11:$AM$4010,MATCH(603,$AZ$11:$AZ$4010,0)),"")</f>
        <v/>
      </c>
      <c r="AF613" s="11" t="str">
        <f>IF(AE613="","",IFERROR(INDEX($AN$11:$AN$4010,MATCH(603,$AZ$11:$AZ$4010,0)),""))</f>
        <v/>
      </c>
      <c r="AG613" s="11" t="str">
        <f>IF(AE613="","",IFERROR(INDEX($AO$11:$AO$4010,MATCH(603,$AZ$11:$AZ$4010,0)),""))</f>
        <v/>
      </c>
      <c r="AH613" s="10" t="str">
        <f>IF(AE613="","",IFERROR(INDEX($AQ$11:$AQ$4010,MATCH(603,$AZ$11:$AZ$4010,0)),""))</f>
        <v/>
      </c>
      <c r="AI613" s="15" t="str">
        <f>IF(AE613="","",IFERROR(INDEX($AR$11:$AR$4010,MATCH(603,$AZ$11:$AZ$4010,0)),""))</f>
        <v/>
      </c>
      <c r="AJ613" s="15" t="str">
        <f>IF(AE613="","",IFERROR(INDEX($AT$11:$AT$4010,MATCH(603,$AZ$11:$AZ$4010,0)),""))</f>
        <v/>
      </c>
      <c r="AL613" s="17"/>
      <c r="AM613" s="12"/>
      <c r="AN613" s="18"/>
      <c r="AO613" s="18"/>
      <c r="AP613" s="10"/>
      <c r="AQ613" s="10"/>
      <c r="AR613" s="19"/>
      <c r="AS613" s="20"/>
      <c r="AT613" s="19"/>
      <c r="AV613" s="21">
        <f>IF(AND($AL613&lt;&gt;"",COUNTIF($AL$11:$AL613,$AL613)=1),1,0)</f>
        <v>0</v>
      </c>
      <c r="AW613" s="21">
        <f t="shared" si="105"/>
        <v>2</v>
      </c>
      <c r="AX613" s="21" t="str">
        <f t="shared" si="104"/>
        <v/>
      </c>
      <c r="AY613" s="21" t="str">
        <f>IF(AND($AM613&lt;&gt;"",$AS613&lt;&gt;"✓"),SUMPRODUCT(($AM$11:$AM613&lt;&gt;"")*($AS$11:$AS613&lt;&gt;"✓")),"")</f>
        <v/>
      </c>
      <c r="AZ613" s="21" t="str">
        <f>IF(AND($AM613&lt;&gt;"",$AS613="✓"),SUMPRODUCT(($AM$11:$AM613&lt;&gt;"")*($AS$11:$AS613="✓")),"")</f>
        <v/>
      </c>
      <c r="BA613" s="21" t="str">
        <f>IF($AL613="","",$AL613&amp;"|"&amp;COUNTIF($AL$11:$AL613,$AL613))</f>
        <v/>
      </c>
    </row>
    <row r="614" spans="23:53" ht="15" customHeight="1" x14ac:dyDescent="0.25">
      <c r="W614" s="28" t="str">
        <f>IF(X614="","",IFERROR(INDEX($AL$11:$AL$4010,MATCH(604,$AY$11:$AY$4010,0)),""))</f>
        <v/>
      </c>
      <c r="X614" s="26" t="str">
        <f>IFERROR(INDEX($AM$11:$AM$4010,MATCH(604,$AY$11:$AY$4010,0)),"")</f>
        <v/>
      </c>
      <c r="Y614" s="25" t="str">
        <f>IF(X614="","",IFERROR(INDEX($AN$11:$AN$4010,MATCH(604,$AY$11:$AY$4010,0)),""))</f>
        <v/>
      </c>
      <c r="Z614" s="25" t="str">
        <f>IF(X614="","",IFERROR(INDEX($AO$11:$AO$4010,MATCH(604,$AY$11:$AY$4010,0)),""))</f>
        <v/>
      </c>
      <c r="AA614" s="24" t="str">
        <f>IF(X614="","",IFERROR(INDEX($AQ$11:$AQ$4010,MATCH(604,$AY$11:$AY$4010,0)),""))</f>
        <v/>
      </c>
      <c r="AB614" s="29" t="str">
        <f>IF(X614="","",IFERROR(INDEX($AR$11:$AR$4010,MATCH(604,$AY$11:$AY$4010,0)),""))</f>
        <v/>
      </c>
      <c r="AD614" s="30" t="str">
        <f>IF(AE614="","",IFERROR(INDEX($AL$11:$AL$4010,MATCH(604,$AZ$11:$AZ$4010,0)),""))</f>
        <v/>
      </c>
      <c r="AE614" s="26" t="str">
        <f>IFERROR(INDEX($AM$11:$AM$4010,MATCH(604,$AZ$11:$AZ$4010,0)),"")</f>
        <v/>
      </c>
      <c r="AF614" s="25" t="str">
        <f>IF(AE614="","",IFERROR(INDEX($AN$11:$AN$4010,MATCH(604,$AZ$11:$AZ$4010,0)),""))</f>
        <v/>
      </c>
      <c r="AG614" s="25" t="str">
        <f>IF(AE614="","",IFERROR(INDEX($AO$11:$AO$4010,MATCH(604,$AZ$11:$AZ$4010,0)),""))</f>
        <v/>
      </c>
      <c r="AH614" s="24" t="str">
        <f>IF(AE614="","",IFERROR(INDEX($AQ$11:$AQ$4010,MATCH(604,$AZ$11:$AZ$4010,0)),""))</f>
        <v/>
      </c>
      <c r="AI614" s="29" t="str">
        <f>IF(AE614="","",IFERROR(INDEX($AR$11:$AR$4010,MATCH(604,$AZ$11:$AZ$4010,0)),""))</f>
        <v/>
      </c>
      <c r="AJ614" s="29" t="str">
        <f>IF(AE614="","",IFERROR(INDEX($AT$11:$AT$4010,MATCH(604,$AZ$11:$AZ$4010,0)),""))</f>
        <v/>
      </c>
      <c r="AL614" s="31"/>
      <c r="AM614" s="26"/>
      <c r="AN614" s="32"/>
      <c r="AO614" s="32"/>
      <c r="AP614" s="24"/>
      <c r="AQ614" s="24"/>
      <c r="AR614" s="33"/>
      <c r="AS614" s="34"/>
      <c r="AT614" s="33"/>
      <c r="AV614" s="21">
        <f>IF(AND($AL614&lt;&gt;"",COUNTIF($AL$11:$AL614,$AL614)=1),1,0)</f>
        <v>0</v>
      </c>
      <c r="AW614" s="21">
        <f t="shared" si="105"/>
        <v>2</v>
      </c>
      <c r="AX614" s="21" t="str">
        <f t="shared" si="104"/>
        <v/>
      </c>
      <c r="AY614" s="21" t="str">
        <f>IF(AND($AM614&lt;&gt;"",$AS614&lt;&gt;"✓"),SUMPRODUCT(($AM$11:$AM614&lt;&gt;"")*($AS$11:$AS614&lt;&gt;"✓")),"")</f>
        <v/>
      </c>
      <c r="AZ614" s="21" t="str">
        <f>IF(AND($AM614&lt;&gt;"",$AS614="✓"),SUMPRODUCT(($AM$11:$AM614&lt;&gt;"")*($AS$11:$AS614="✓")),"")</f>
        <v/>
      </c>
      <c r="BA614" s="21" t="str">
        <f>IF($AL614="","",$AL614&amp;"|"&amp;COUNTIF($AL$11:$AL614,$AL614))</f>
        <v/>
      </c>
    </row>
    <row r="615" spans="23:53" ht="15" customHeight="1" x14ac:dyDescent="0.25">
      <c r="W615" s="14" t="str">
        <f>IF(X615="","",IFERROR(INDEX($AL$11:$AL$4010,MATCH(605,$AY$11:$AY$4010,0)),""))</f>
        <v/>
      </c>
      <c r="X615" s="12" t="str">
        <f>IFERROR(INDEX($AM$11:$AM$4010,MATCH(605,$AY$11:$AY$4010,0)),"")</f>
        <v/>
      </c>
      <c r="Y615" s="11" t="str">
        <f>IF(X615="","",IFERROR(INDEX($AN$11:$AN$4010,MATCH(605,$AY$11:$AY$4010,0)),""))</f>
        <v/>
      </c>
      <c r="Z615" s="11" t="str">
        <f>IF(X615="","",IFERROR(INDEX($AO$11:$AO$4010,MATCH(605,$AY$11:$AY$4010,0)),""))</f>
        <v/>
      </c>
      <c r="AA615" s="10" t="str">
        <f>IF(X615="","",IFERROR(INDEX($AQ$11:$AQ$4010,MATCH(605,$AY$11:$AY$4010,0)),""))</f>
        <v/>
      </c>
      <c r="AB615" s="15" t="str">
        <f>IF(X615="","",IFERROR(INDEX($AR$11:$AR$4010,MATCH(605,$AY$11:$AY$4010,0)),""))</f>
        <v/>
      </c>
      <c r="AD615" s="16" t="str">
        <f>IF(AE615="","",IFERROR(INDEX($AL$11:$AL$4010,MATCH(605,$AZ$11:$AZ$4010,0)),""))</f>
        <v/>
      </c>
      <c r="AE615" s="12" t="str">
        <f>IFERROR(INDEX($AM$11:$AM$4010,MATCH(605,$AZ$11:$AZ$4010,0)),"")</f>
        <v/>
      </c>
      <c r="AF615" s="11" t="str">
        <f>IF(AE615="","",IFERROR(INDEX($AN$11:$AN$4010,MATCH(605,$AZ$11:$AZ$4010,0)),""))</f>
        <v/>
      </c>
      <c r="AG615" s="11" t="str">
        <f>IF(AE615="","",IFERROR(INDEX($AO$11:$AO$4010,MATCH(605,$AZ$11:$AZ$4010,0)),""))</f>
        <v/>
      </c>
      <c r="AH615" s="10" t="str">
        <f>IF(AE615="","",IFERROR(INDEX($AQ$11:$AQ$4010,MATCH(605,$AZ$11:$AZ$4010,0)),""))</f>
        <v/>
      </c>
      <c r="AI615" s="15" t="str">
        <f>IF(AE615="","",IFERROR(INDEX($AR$11:$AR$4010,MATCH(605,$AZ$11:$AZ$4010,0)),""))</f>
        <v/>
      </c>
      <c r="AJ615" s="15" t="str">
        <f>IF(AE615="","",IFERROR(INDEX($AT$11:$AT$4010,MATCH(605,$AZ$11:$AZ$4010,0)),""))</f>
        <v/>
      </c>
      <c r="AL615" s="17"/>
      <c r="AM615" s="12"/>
      <c r="AN615" s="18"/>
      <c r="AO615" s="18"/>
      <c r="AP615" s="10"/>
      <c r="AQ615" s="10"/>
      <c r="AR615" s="19"/>
      <c r="AS615" s="20"/>
      <c r="AT615" s="19"/>
      <c r="AV615" s="21">
        <f>IF(AND($AL615&lt;&gt;"",COUNTIF($AL$11:$AL615,$AL615)=1),1,0)</f>
        <v>0</v>
      </c>
      <c r="AW615" s="21">
        <f t="shared" si="105"/>
        <v>2</v>
      </c>
      <c r="AX615" s="21" t="str">
        <f t="shared" si="104"/>
        <v/>
      </c>
      <c r="AY615" s="21" t="str">
        <f>IF(AND($AM615&lt;&gt;"",$AS615&lt;&gt;"✓"),SUMPRODUCT(($AM$11:$AM615&lt;&gt;"")*($AS$11:$AS615&lt;&gt;"✓")),"")</f>
        <v/>
      </c>
      <c r="AZ615" s="21" t="str">
        <f>IF(AND($AM615&lt;&gt;"",$AS615="✓"),SUMPRODUCT(($AM$11:$AM615&lt;&gt;"")*($AS$11:$AS615="✓")),"")</f>
        <v/>
      </c>
      <c r="BA615" s="21" t="str">
        <f>IF($AL615="","",$AL615&amp;"|"&amp;COUNTIF($AL$11:$AL615,$AL615))</f>
        <v/>
      </c>
    </row>
    <row r="616" spans="23:53" ht="15" customHeight="1" x14ac:dyDescent="0.25">
      <c r="W616" s="28" t="str">
        <f>IF(X616="","",IFERROR(INDEX($AL$11:$AL$4010,MATCH(606,$AY$11:$AY$4010,0)),""))</f>
        <v/>
      </c>
      <c r="X616" s="26" t="str">
        <f>IFERROR(INDEX($AM$11:$AM$4010,MATCH(606,$AY$11:$AY$4010,0)),"")</f>
        <v/>
      </c>
      <c r="Y616" s="25" t="str">
        <f>IF(X616="","",IFERROR(INDEX($AN$11:$AN$4010,MATCH(606,$AY$11:$AY$4010,0)),""))</f>
        <v/>
      </c>
      <c r="Z616" s="25" t="str">
        <f>IF(X616="","",IFERROR(INDEX($AO$11:$AO$4010,MATCH(606,$AY$11:$AY$4010,0)),""))</f>
        <v/>
      </c>
      <c r="AA616" s="24" t="str">
        <f>IF(X616="","",IFERROR(INDEX($AQ$11:$AQ$4010,MATCH(606,$AY$11:$AY$4010,0)),""))</f>
        <v/>
      </c>
      <c r="AB616" s="29" t="str">
        <f>IF(X616="","",IFERROR(INDEX($AR$11:$AR$4010,MATCH(606,$AY$11:$AY$4010,0)),""))</f>
        <v/>
      </c>
      <c r="AD616" s="30" t="str">
        <f>IF(AE616="","",IFERROR(INDEX($AL$11:$AL$4010,MATCH(606,$AZ$11:$AZ$4010,0)),""))</f>
        <v/>
      </c>
      <c r="AE616" s="26" t="str">
        <f>IFERROR(INDEX($AM$11:$AM$4010,MATCH(606,$AZ$11:$AZ$4010,0)),"")</f>
        <v/>
      </c>
      <c r="AF616" s="25" t="str">
        <f>IF(AE616="","",IFERROR(INDEX($AN$11:$AN$4010,MATCH(606,$AZ$11:$AZ$4010,0)),""))</f>
        <v/>
      </c>
      <c r="AG616" s="25" t="str">
        <f>IF(AE616="","",IFERROR(INDEX($AO$11:$AO$4010,MATCH(606,$AZ$11:$AZ$4010,0)),""))</f>
        <v/>
      </c>
      <c r="AH616" s="24" t="str">
        <f>IF(AE616="","",IFERROR(INDEX($AQ$11:$AQ$4010,MATCH(606,$AZ$11:$AZ$4010,0)),""))</f>
        <v/>
      </c>
      <c r="AI616" s="29" t="str">
        <f>IF(AE616="","",IFERROR(INDEX($AR$11:$AR$4010,MATCH(606,$AZ$11:$AZ$4010,0)),""))</f>
        <v/>
      </c>
      <c r="AJ616" s="29" t="str">
        <f>IF(AE616="","",IFERROR(INDEX($AT$11:$AT$4010,MATCH(606,$AZ$11:$AZ$4010,0)),""))</f>
        <v/>
      </c>
      <c r="AL616" s="31"/>
      <c r="AM616" s="26"/>
      <c r="AN616" s="32"/>
      <c r="AO616" s="32"/>
      <c r="AP616" s="24"/>
      <c r="AQ616" s="24"/>
      <c r="AR616" s="33"/>
      <c r="AS616" s="34"/>
      <c r="AT616" s="33"/>
      <c r="AV616" s="21">
        <f>IF(AND($AL616&lt;&gt;"",COUNTIF($AL$11:$AL616,$AL616)=1),1,0)</f>
        <v>0</v>
      </c>
      <c r="AW616" s="21">
        <f t="shared" si="105"/>
        <v>2</v>
      </c>
      <c r="AX616" s="21" t="str">
        <f t="shared" si="104"/>
        <v/>
      </c>
      <c r="AY616" s="21" t="str">
        <f>IF(AND($AM616&lt;&gt;"",$AS616&lt;&gt;"✓"),SUMPRODUCT(($AM$11:$AM616&lt;&gt;"")*($AS$11:$AS616&lt;&gt;"✓")),"")</f>
        <v/>
      </c>
      <c r="AZ616" s="21" t="str">
        <f>IF(AND($AM616&lt;&gt;"",$AS616="✓"),SUMPRODUCT(($AM$11:$AM616&lt;&gt;"")*($AS$11:$AS616="✓")),"")</f>
        <v/>
      </c>
      <c r="BA616" s="21" t="str">
        <f>IF($AL616="","",$AL616&amp;"|"&amp;COUNTIF($AL$11:$AL616,$AL616))</f>
        <v/>
      </c>
    </row>
    <row r="617" spans="23:53" ht="15" customHeight="1" x14ac:dyDescent="0.25">
      <c r="W617" s="14" t="str">
        <f>IF(X617="","",IFERROR(INDEX($AL$11:$AL$4010,MATCH(607,$AY$11:$AY$4010,0)),""))</f>
        <v/>
      </c>
      <c r="X617" s="12" t="str">
        <f>IFERROR(INDEX($AM$11:$AM$4010,MATCH(607,$AY$11:$AY$4010,0)),"")</f>
        <v/>
      </c>
      <c r="Y617" s="11" t="str">
        <f>IF(X617="","",IFERROR(INDEX($AN$11:$AN$4010,MATCH(607,$AY$11:$AY$4010,0)),""))</f>
        <v/>
      </c>
      <c r="Z617" s="11" t="str">
        <f>IF(X617="","",IFERROR(INDEX($AO$11:$AO$4010,MATCH(607,$AY$11:$AY$4010,0)),""))</f>
        <v/>
      </c>
      <c r="AA617" s="10" t="str">
        <f>IF(X617="","",IFERROR(INDEX($AQ$11:$AQ$4010,MATCH(607,$AY$11:$AY$4010,0)),""))</f>
        <v/>
      </c>
      <c r="AB617" s="15" t="str">
        <f>IF(X617="","",IFERROR(INDEX($AR$11:$AR$4010,MATCH(607,$AY$11:$AY$4010,0)),""))</f>
        <v/>
      </c>
      <c r="AD617" s="16" t="str">
        <f>IF(AE617="","",IFERROR(INDEX($AL$11:$AL$4010,MATCH(607,$AZ$11:$AZ$4010,0)),""))</f>
        <v/>
      </c>
      <c r="AE617" s="12" t="str">
        <f>IFERROR(INDEX($AM$11:$AM$4010,MATCH(607,$AZ$11:$AZ$4010,0)),"")</f>
        <v/>
      </c>
      <c r="AF617" s="11" t="str">
        <f>IF(AE617="","",IFERROR(INDEX($AN$11:$AN$4010,MATCH(607,$AZ$11:$AZ$4010,0)),""))</f>
        <v/>
      </c>
      <c r="AG617" s="11" t="str">
        <f>IF(AE617="","",IFERROR(INDEX($AO$11:$AO$4010,MATCH(607,$AZ$11:$AZ$4010,0)),""))</f>
        <v/>
      </c>
      <c r="AH617" s="10" t="str">
        <f>IF(AE617="","",IFERROR(INDEX($AQ$11:$AQ$4010,MATCH(607,$AZ$11:$AZ$4010,0)),""))</f>
        <v/>
      </c>
      <c r="AI617" s="15" t="str">
        <f>IF(AE617="","",IFERROR(INDEX($AR$11:$AR$4010,MATCH(607,$AZ$11:$AZ$4010,0)),""))</f>
        <v/>
      </c>
      <c r="AJ617" s="15" t="str">
        <f>IF(AE617="","",IFERROR(INDEX($AT$11:$AT$4010,MATCH(607,$AZ$11:$AZ$4010,0)),""))</f>
        <v/>
      </c>
      <c r="AL617" s="17"/>
      <c r="AM617" s="12"/>
      <c r="AN617" s="18"/>
      <c r="AO617" s="18"/>
      <c r="AP617" s="10"/>
      <c r="AQ617" s="10"/>
      <c r="AR617" s="19"/>
      <c r="AS617" s="20"/>
      <c r="AT617" s="19"/>
      <c r="AV617" s="21">
        <f>IF(AND($AL617&lt;&gt;"",COUNTIF($AL$11:$AL617,$AL617)=1),1,0)</f>
        <v>0</v>
      </c>
      <c r="AW617" s="21">
        <f t="shared" si="105"/>
        <v>2</v>
      </c>
      <c r="AX617" s="21" t="str">
        <f t="shared" si="104"/>
        <v/>
      </c>
      <c r="AY617" s="21" t="str">
        <f>IF(AND($AM617&lt;&gt;"",$AS617&lt;&gt;"✓"),SUMPRODUCT(($AM$11:$AM617&lt;&gt;"")*($AS$11:$AS617&lt;&gt;"✓")),"")</f>
        <v/>
      </c>
      <c r="AZ617" s="21" t="str">
        <f>IF(AND($AM617&lt;&gt;"",$AS617="✓"),SUMPRODUCT(($AM$11:$AM617&lt;&gt;"")*($AS$11:$AS617="✓")),"")</f>
        <v/>
      </c>
      <c r="BA617" s="21" t="str">
        <f>IF($AL617="","",$AL617&amp;"|"&amp;COUNTIF($AL$11:$AL617,$AL617))</f>
        <v/>
      </c>
    </row>
    <row r="618" spans="23:53" ht="15" customHeight="1" x14ac:dyDescent="0.25">
      <c r="W618" s="28" t="str">
        <f>IF(X618="","",IFERROR(INDEX($AL$11:$AL$4010,MATCH(608,$AY$11:$AY$4010,0)),""))</f>
        <v/>
      </c>
      <c r="X618" s="26" t="str">
        <f>IFERROR(INDEX($AM$11:$AM$4010,MATCH(608,$AY$11:$AY$4010,0)),"")</f>
        <v/>
      </c>
      <c r="Y618" s="25" t="str">
        <f>IF(X618="","",IFERROR(INDEX($AN$11:$AN$4010,MATCH(608,$AY$11:$AY$4010,0)),""))</f>
        <v/>
      </c>
      <c r="Z618" s="25" t="str">
        <f>IF(X618="","",IFERROR(INDEX($AO$11:$AO$4010,MATCH(608,$AY$11:$AY$4010,0)),""))</f>
        <v/>
      </c>
      <c r="AA618" s="24" t="str">
        <f>IF(X618="","",IFERROR(INDEX($AQ$11:$AQ$4010,MATCH(608,$AY$11:$AY$4010,0)),""))</f>
        <v/>
      </c>
      <c r="AB618" s="29" t="str">
        <f>IF(X618="","",IFERROR(INDEX($AR$11:$AR$4010,MATCH(608,$AY$11:$AY$4010,0)),""))</f>
        <v/>
      </c>
      <c r="AD618" s="30" t="str">
        <f>IF(AE618="","",IFERROR(INDEX($AL$11:$AL$4010,MATCH(608,$AZ$11:$AZ$4010,0)),""))</f>
        <v/>
      </c>
      <c r="AE618" s="26" t="str">
        <f>IFERROR(INDEX($AM$11:$AM$4010,MATCH(608,$AZ$11:$AZ$4010,0)),"")</f>
        <v/>
      </c>
      <c r="AF618" s="25" t="str">
        <f>IF(AE618="","",IFERROR(INDEX($AN$11:$AN$4010,MATCH(608,$AZ$11:$AZ$4010,0)),""))</f>
        <v/>
      </c>
      <c r="AG618" s="25" t="str">
        <f>IF(AE618="","",IFERROR(INDEX($AO$11:$AO$4010,MATCH(608,$AZ$11:$AZ$4010,0)),""))</f>
        <v/>
      </c>
      <c r="AH618" s="24" t="str">
        <f>IF(AE618="","",IFERROR(INDEX($AQ$11:$AQ$4010,MATCH(608,$AZ$11:$AZ$4010,0)),""))</f>
        <v/>
      </c>
      <c r="AI618" s="29" t="str">
        <f>IF(AE618="","",IFERROR(INDEX($AR$11:$AR$4010,MATCH(608,$AZ$11:$AZ$4010,0)),""))</f>
        <v/>
      </c>
      <c r="AJ618" s="29" t="str">
        <f>IF(AE618="","",IFERROR(INDEX($AT$11:$AT$4010,MATCH(608,$AZ$11:$AZ$4010,0)),""))</f>
        <v/>
      </c>
      <c r="AL618" s="31"/>
      <c r="AM618" s="26"/>
      <c r="AN618" s="32"/>
      <c r="AO618" s="32"/>
      <c r="AP618" s="24"/>
      <c r="AQ618" s="24"/>
      <c r="AR618" s="33"/>
      <c r="AS618" s="34"/>
      <c r="AT618" s="33"/>
      <c r="AV618" s="21">
        <f>IF(AND($AL618&lt;&gt;"",COUNTIF($AL$11:$AL618,$AL618)=1),1,0)</f>
        <v>0</v>
      </c>
      <c r="AW618" s="21">
        <f t="shared" si="105"/>
        <v>2</v>
      </c>
      <c r="AX618" s="21" t="str">
        <f t="shared" si="104"/>
        <v/>
      </c>
      <c r="AY618" s="21" t="str">
        <f>IF(AND($AM618&lt;&gt;"",$AS618&lt;&gt;"✓"),SUMPRODUCT(($AM$11:$AM618&lt;&gt;"")*($AS$11:$AS618&lt;&gt;"✓")),"")</f>
        <v/>
      </c>
      <c r="AZ618" s="21" t="str">
        <f>IF(AND($AM618&lt;&gt;"",$AS618="✓"),SUMPRODUCT(($AM$11:$AM618&lt;&gt;"")*($AS$11:$AS618="✓")),"")</f>
        <v/>
      </c>
      <c r="BA618" s="21" t="str">
        <f>IF($AL618="","",$AL618&amp;"|"&amp;COUNTIF($AL$11:$AL618,$AL618))</f>
        <v/>
      </c>
    </row>
    <row r="619" spans="23:53" ht="15" customHeight="1" x14ac:dyDescent="0.25">
      <c r="W619" s="14" t="str">
        <f>IF(X619="","",IFERROR(INDEX($AL$11:$AL$4010,MATCH(609,$AY$11:$AY$4010,0)),""))</f>
        <v/>
      </c>
      <c r="X619" s="12" t="str">
        <f>IFERROR(INDEX($AM$11:$AM$4010,MATCH(609,$AY$11:$AY$4010,0)),"")</f>
        <v/>
      </c>
      <c r="Y619" s="11" t="str">
        <f>IF(X619="","",IFERROR(INDEX($AN$11:$AN$4010,MATCH(609,$AY$11:$AY$4010,0)),""))</f>
        <v/>
      </c>
      <c r="Z619" s="11" t="str">
        <f>IF(X619="","",IFERROR(INDEX($AO$11:$AO$4010,MATCH(609,$AY$11:$AY$4010,0)),""))</f>
        <v/>
      </c>
      <c r="AA619" s="10" t="str">
        <f>IF(X619="","",IFERROR(INDEX($AQ$11:$AQ$4010,MATCH(609,$AY$11:$AY$4010,0)),""))</f>
        <v/>
      </c>
      <c r="AB619" s="15" t="str">
        <f>IF(X619="","",IFERROR(INDEX($AR$11:$AR$4010,MATCH(609,$AY$11:$AY$4010,0)),""))</f>
        <v/>
      </c>
      <c r="AD619" s="16" t="str">
        <f>IF(AE619="","",IFERROR(INDEX($AL$11:$AL$4010,MATCH(609,$AZ$11:$AZ$4010,0)),""))</f>
        <v/>
      </c>
      <c r="AE619" s="12" t="str">
        <f>IFERROR(INDEX($AM$11:$AM$4010,MATCH(609,$AZ$11:$AZ$4010,0)),"")</f>
        <v/>
      </c>
      <c r="AF619" s="11" t="str">
        <f>IF(AE619="","",IFERROR(INDEX($AN$11:$AN$4010,MATCH(609,$AZ$11:$AZ$4010,0)),""))</f>
        <v/>
      </c>
      <c r="AG619" s="11" t="str">
        <f>IF(AE619="","",IFERROR(INDEX($AO$11:$AO$4010,MATCH(609,$AZ$11:$AZ$4010,0)),""))</f>
        <v/>
      </c>
      <c r="AH619" s="10" t="str">
        <f>IF(AE619="","",IFERROR(INDEX($AQ$11:$AQ$4010,MATCH(609,$AZ$11:$AZ$4010,0)),""))</f>
        <v/>
      </c>
      <c r="AI619" s="15" t="str">
        <f>IF(AE619="","",IFERROR(INDEX($AR$11:$AR$4010,MATCH(609,$AZ$11:$AZ$4010,0)),""))</f>
        <v/>
      </c>
      <c r="AJ619" s="15" t="str">
        <f>IF(AE619="","",IFERROR(INDEX($AT$11:$AT$4010,MATCH(609,$AZ$11:$AZ$4010,0)),""))</f>
        <v/>
      </c>
      <c r="AL619" s="17"/>
      <c r="AM619" s="12"/>
      <c r="AN619" s="18"/>
      <c r="AO619" s="18"/>
      <c r="AP619" s="10"/>
      <c r="AQ619" s="10"/>
      <c r="AR619" s="19"/>
      <c r="AS619" s="20"/>
      <c r="AT619" s="19"/>
      <c r="AV619" s="21">
        <f>IF(AND($AL619&lt;&gt;"",COUNTIF($AL$11:$AL619,$AL619)=1),1,0)</f>
        <v>0</v>
      </c>
      <c r="AW619" s="21">
        <f t="shared" si="105"/>
        <v>2</v>
      </c>
      <c r="AX619" s="21" t="str">
        <f t="shared" si="104"/>
        <v/>
      </c>
      <c r="AY619" s="21" t="str">
        <f>IF(AND($AM619&lt;&gt;"",$AS619&lt;&gt;"✓"),SUMPRODUCT(($AM$11:$AM619&lt;&gt;"")*($AS$11:$AS619&lt;&gt;"✓")),"")</f>
        <v/>
      </c>
      <c r="AZ619" s="21" t="str">
        <f>IF(AND($AM619&lt;&gt;"",$AS619="✓"),SUMPRODUCT(($AM$11:$AM619&lt;&gt;"")*($AS$11:$AS619="✓")),"")</f>
        <v/>
      </c>
      <c r="BA619" s="21" t="str">
        <f>IF($AL619="","",$AL619&amp;"|"&amp;COUNTIF($AL$11:$AL619,$AL619))</f>
        <v/>
      </c>
    </row>
    <row r="620" spans="23:53" ht="15" customHeight="1" x14ac:dyDescent="0.25">
      <c r="W620" s="28" t="str">
        <f>IF(X620="","",IFERROR(INDEX($AL$11:$AL$4010,MATCH(610,$AY$11:$AY$4010,0)),""))</f>
        <v/>
      </c>
      <c r="X620" s="26" t="str">
        <f>IFERROR(INDEX($AM$11:$AM$4010,MATCH(610,$AY$11:$AY$4010,0)),"")</f>
        <v/>
      </c>
      <c r="Y620" s="25" t="str">
        <f>IF(X620="","",IFERROR(INDEX($AN$11:$AN$4010,MATCH(610,$AY$11:$AY$4010,0)),""))</f>
        <v/>
      </c>
      <c r="Z620" s="25" t="str">
        <f>IF(X620="","",IFERROR(INDEX($AO$11:$AO$4010,MATCH(610,$AY$11:$AY$4010,0)),""))</f>
        <v/>
      </c>
      <c r="AA620" s="24" t="str">
        <f>IF(X620="","",IFERROR(INDEX($AQ$11:$AQ$4010,MATCH(610,$AY$11:$AY$4010,0)),""))</f>
        <v/>
      </c>
      <c r="AB620" s="29" t="str">
        <f>IF(X620="","",IFERROR(INDEX($AR$11:$AR$4010,MATCH(610,$AY$11:$AY$4010,0)),""))</f>
        <v/>
      </c>
      <c r="AD620" s="30" t="str">
        <f>IF(AE620="","",IFERROR(INDEX($AL$11:$AL$4010,MATCH(610,$AZ$11:$AZ$4010,0)),""))</f>
        <v/>
      </c>
      <c r="AE620" s="26" t="str">
        <f>IFERROR(INDEX($AM$11:$AM$4010,MATCH(610,$AZ$11:$AZ$4010,0)),"")</f>
        <v/>
      </c>
      <c r="AF620" s="25" t="str">
        <f>IF(AE620="","",IFERROR(INDEX($AN$11:$AN$4010,MATCH(610,$AZ$11:$AZ$4010,0)),""))</f>
        <v/>
      </c>
      <c r="AG620" s="25" t="str">
        <f>IF(AE620="","",IFERROR(INDEX($AO$11:$AO$4010,MATCH(610,$AZ$11:$AZ$4010,0)),""))</f>
        <v/>
      </c>
      <c r="AH620" s="24" t="str">
        <f>IF(AE620="","",IFERROR(INDEX($AQ$11:$AQ$4010,MATCH(610,$AZ$11:$AZ$4010,0)),""))</f>
        <v/>
      </c>
      <c r="AI620" s="29" t="str">
        <f>IF(AE620="","",IFERROR(INDEX($AR$11:$AR$4010,MATCH(610,$AZ$11:$AZ$4010,0)),""))</f>
        <v/>
      </c>
      <c r="AJ620" s="29" t="str">
        <f>IF(AE620="","",IFERROR(INDEX($AT$11:$AT$4010,MATCH(610,$AZ$11:$AZ$4010,0)),""))</f>
        <v/>
      </c>
      <c r="AL620" s="31"/>
      <c r="AM620" s="26"/>
      <c r="AN620" s="32"/>
      <c r="AO620" s="32"/>
      <c r="AP620" s="24"/>
      <c r="AQ620" s="24"/>
      <c r="AR620" s="33"/>
      <c r="AS620" s="34"/>
      <c r="AT620" s="33"/>
      <c r="AV620" s="21">
        <f>IF(AND($AL620&lt;&gt;"",COUNTIF($AL$11:$AL620,$AL620)=1),1,0)</f>
        <v>0</v>
      </c>
      <c r="AW620" s="21">
        <f t="shared" si="105"/>
        <v>2</v>
      </c>
      <c r="AX620" s="21" t="str">
        <f t="shared" si="104"/>
        <v/>
      </c>
      <c r="AY620" s="21" t="str">
        <f>IF(AND($AM620&lt;&gt;"",$AS620&lt;&gt;"✓"),SUMPRODUCT(($AM$11:$AM620&lt;&gt;"")*($AS$11:$AS620&lt;&gt;"✓")),"")</f>
        <v/>
      </c>
      <c r="AZ620" s="21" t="str">
        <f>IF(AND($AM620&lt;&gt;"",$AS620="✓"),SUMPRODUCT(($AM$11:$AM620&lt;&gt;"")*($AS$11:$AS620="✓")),"")</f>
        <v/>
      </c>
      <c r="BA620" s="21" t="str">
        <f>IF($AL620="","",$AL620&amp;"|"&amp;COUNTIF($AL$11:$AL620,$AL620))</f>
        <v/>
      </c>
    </row>
    <row r="621" spans="23:53" ht="15" customHeight="1" x14ac:dyDescent="0.25">
      <c r="W621" s="14" t="str">
        <f>IF(X621="","",IFERROR(INDEX($AL$11:$AL$4010,MATCH(611,$AY$11:$AY$4010,0)),""))</f>
        <v/>
      </c>
      <c r="X621" s="12" t="str">
        <f>IFERROR(INDEX($AM$11:$AM$4010,MATCH(611,$AY$11:$AY$4010,0)),"")</f>
        <v/>
      </c>
      <c r="Y621" s="11" t="str">
        <f>IF(X621="","",IFERROR(INDEX($AN$11:$AN$4010,MATCH(611,$AY$11:$AY$4010,0)),""))</f>
        <v/>
      </c>
      <c r="Z621" s="11" t="str">
        <f>IF(X621="","",IFERROR(INDEX($AO$11:$AO$4010,MATCH(611,$AY$11:$AY$4010,0)),""))</f>
        <v/>
      </c>
      <c r="AA621" s="10" t="str">
        <f>IF(X621="","",IFERROR(INDEX($AQ$11:$AQ$4010,MATCH(611,$AY$11:$AY$4010,0)),""))</f>
        <v/>
      </c>
      <c r="AB621" s="15" t="str">
        <f>IF(X621="","",IFERROR(INDEX($AR$11:$AR$4010,MATCH(611,$AY$11:$AY$4010,0)),""))</f>
        <v/>
      </c>
      <c r="AD621" s="16" t="str">
        <f>IF(AE621="","",IFERROR(INDEX($AL$11:$AL$4010,MATCH(611,$AZ$11:$AZ$4010,0)),""))</f>
        <v/>
      </c>
      <c r="AE621" s="12" t="str">
        <f>IFERROR(INDEX($AM$11:$AM$4010,MATCH(611,$AZ$11:$AZ$4010,0)),"")</f>
        <v/>
      </c>
      <c r="AF621" s="11" t="str">
        <f>IF(AE621="","",IFERROR(INDEX($AN$11:$AN$4010,MATCH(611,$AZ$11:$AZ$4010,0)),""))</f>
        <v/>
      </c>
      <c r="AG621" s="11" t="str">
        <f>IF(AE621="","",IFERROR(INDEX($AO$11:$AO$4010,MATCH(611,$AZ$11:$AZ$4010,0)),""))</f>
        <v/>
      </c>
      <c r="AH621" s="10" t="str">
        <f>IF(AE621="","",IFERROR(INDEX($AQ$11:$AQ$4010,MATCH(611,$AZ$11:$AZ$4010,0)),""))</f>
        <v/>
      </c>
      <c r="AI621" s="15" t="str">
        <f>IF(AE621="","",IFERROR(INDEX($AR$11:$AR$4010,MATCH(611,$AZ$11:$AZ$4010,0)),""))</f>
        <v/>
      </c>
      <c r="AJ621" s="15" t="str">
        <f>IF(AE621="","",IFERROR(INDEX($AT$11:$AT$4010,MATCH(611,$AZ$11:$AZ$4010,0)),""))</f>
        <v/>
      </c>
      <c r="AL621" s="17"/>
      <c r="AM621" s="12"/>
      <c r="AN621" s="18"/>
      <c r="AO621" s="18"/>
      <c r="AP621" s="10"/>
      <c r="AQ621" s="10"/>
      <c r="AR621" s="19"/>
      <c r="AS621" s="20"/>
      <c r="AT621" s="19"/>
      <c r="AV621" s="21">
        <f>IF(AND($AL621&lt;&gt;"",COUNTIF($AL$11:$AL621,$AL621)=1),1,0)</f>
        <v>0</v>
      </c>
      <c r="AW621" s="21">
        <f t="shared" si="105"/>
        <v>2</v>
      </c>
      <c r="AX621" s="21" t="str">
        <f t="shared" si="104"/>
        <v/>
      </c>
      <c r="AY621" s="21" t="str">
        <f>IF(AND($AM621&lt;&gt;"",$AS621&lt;&gt;"✓"),SUMPRODUCT(($AM$11:$AM621&lt;&gt;"")*($AS$11:$AS621&lt;&gt;"✓")),"")</f>
        <v/>
      </c>
      <c r="AZ621" s="21" t="str">
        <f>IF(AND($AM621&lt;&gt;"",$AS621="✓"),SUMPRODUCT(($AM$11:$AM621&lt;&gt;"")*($AS$11:$AS621="✓")),"")</f>
        <v/>
      </c>
      <c r="BA621" s="21" t="str">
        <f>IF($AL621="","",$AL621&amp;"|"&amp;COUNTIF($AL$11:$AL621,$AL621))</f>
        <v/>
      </c>
    </row>
    <row r="622" spans="23:53" ht="15" customHeight="1" x14ac:dyDescent="0.25">
      <c r="W622" s="28" t="str">
        <f>IF(X622="","",IFERROR(INDEX($AL$11:$AL$4010,MATCH(612,$AY$11:$AY$4010,0)),""))</f>
        <v/>
      </c>
      <c r="X622" s="26" t="str">
        <f>IFERROR(INDEX($AM$11:$AM$4010,MATCH(612,$AY$11:$AY$4010,0)),"")</f>
        <v/>
      </c>
      <c r="Y622" s="25" t="str">
        <f>IF(X622="","",IFERROR(INDEX($AN$11:$AN$4010,MATCH(612,$AY$11:$AY$4010,0)),""))</f>
        <v/>
      </c>
      <c r="Z622" s="25" t="str">
        <f>IF(X622="","",IFERROR(INDEX($AO$11:$AO$4010,MATCH(612,$AY$11:$AY$4010,0)),""))</f>
        <v/>
      </c>
      <c r="AA622" s="24" t="str">
        <f>IF(X622="","",IFERROR(INDEX($AQ$11:$AQ$4010,MATCH(612,$AY$11:$AY$4010,0)),""))</f>
        <v/>
      </c>
      <c r="AB622" s="29" t="str">
        <f>IF(X622="","",IFERROR(INDEX($AR$11:$AR$4010,MATCH(612,$AY$11:$AY$4010,0)),""))</f>
        <v/>
      </c>
      <c r="AD622" s="30" t="str">
        <f>IF(AE622="","",IFERROR(INDEX($AL$11:$AL$4010,MATCH(612,$AZ$11:$AZ$4010,0)),""))</f>
        <v/>
      </c>
      <c r="AE622" s="26" t="str">
        <f>IFERROR(INDEX($AM$11:$AM$4010,MATCH(612,$AZ$11:$AZ$4010,0)),"")</f>
        <v/>
      </c>
      <c r="AF622" s="25" t="str">
        <f>IF(AE622="","",IFERROR(INDEX($AN$11:$AN$4010,MATCH(612,$AZ$11:$AZ$4010,0)),""))</f>
        <v/>
      </c>
      <c r="AG622" s="25" t="str">
        <f>IF(AE622="","",IFERROR(INDEX($AO$11:$AO$4010,MATCH(612,$AZ$11:$AZ$4010,0)),""))</f>
        <v/>
      </c>
      <c r="AH622" s="24" t="str">
        <f>IF(AE622="","",IFERROR(INDEX($AQ$11:$AQ$4010,MATCH(612,$AZ$11:$AZ$4010,0)),""))</f>
        <v/>
      </c>
      <c r="AI622" s="29" t="str">
        <f>IF(AE622="","",IFERROR(INDEX($AR$11:$AR$4010,MATCH(612,$AZ$11:$AZ$4010,0)),""))</f>
        <v/>
      </c>
      <c r="AJ622" s="29" t="str">
        <f>IF(AE622="","",IFERROR(INDEX($AT$11:$AT$4010,MATCH(612,$AZ$11:$AZ$4010,0)),""))</f>
        <v/>
      </c>
      <c r="AL622" s="31"/>
      <c r="AM622" s="26"/>
      <c r="AN622" s="32"/>
      <c r="AO622" s="32"/>
      <c r="AP622" s="24"/>
      <c r="AQ622" s="24"/>
      <c r="AR622" s="33"/>
      <c r="AS622" s="34"/>
      <c r="AT622" s="33"/>
      <c r="AV622" s="21">
        <f>IF(AND($AL622&lt;&gt;"",COUNTIF($AL$11:$AL622,$AL622)=1),1,0)</f>
        <v>0</v>
      </c>
      <c r="AW622" s="21">
        <f t="shared" si="105"/>
        <v>2</v>
      </c>
      <c r="AX622" s="21" t="str">
        <f t="shared" si="104"/>
        <v/>
      </c>
      <c r="AY622" s="21" t="str">
        <f>IF(AND($AM622&lt;&gt;"",$AS622&lt;&gt;"✓"),SUMPRODUCT(($AM$11:$AM622&lt;&gt;"")*($AS$11:$AS622&lt;&gt;"✓")),"")</f>
        <v/>
      </c>
      <c r="AZ622" s="21" t="str">
        <f>IF(AND($AM622&lt;&gt;"",$AS622="✓"),SUMPRODUCT(($AM$11:$AM622&lt;&gt;"")*($AS$11:$AS622="✓")),"")</f>
        <v/>
      </c>
      <c r="BA622" s="21" t="str">
        <f>IF($AL622="","",$AL622&amp;"|"&amp;COUNTIF($AL$11:$AL622,$AL622))</f>
        <v/>
      </c>
    </row>
    <row r="623" spans="23:53" ht="15" customHeight="1" x14ac:dyDescent="0.25">
      <c r="W623" s="14" t="str">
        <f>IF(X623="","",IFERROR(INDEX($AL$11:$AL$4010,MATCH(613,$AY$11:$AY$4010,0)),""))</f>
        <v/>
      </c>
      <c r="X623" s="12" t="str">
        <f>IFERROR(INDEX($AM$11:$AM$4010,MATCH(613,$AY$11:$AY$4010,0)),"")</f>
        <v/>
      </c>
      <c r="Y623" s="11" t="str">
        <f>IF(X623="","",IFERROR(INDEX($AN$11:$AN$4010,MATCH(613,$AY$11:$AY$4010,0)),""))</f>
        <v/>
      </c>
      <c r="Z623" s="11" t="str">
        <f>IF(X623="","",IFERROR(INDEX($AO$11:$AO$4010,MATCH(613,$AY$11:$AY$4010,0)),""))</f>
        <v/>
      </c>
      <c r="AA623" s="10" t="str">
        <f>IF(X623="","",IFERROR(INDEX($AQ$11:$AQ$4010,MATCH(613,$AY$11:$AY$4010,0)),""))</f>
        <v/>
      </c>
      <c r="AB623" s="15" t="str">
        <f>IF(X623="","",IFERROR(INDEX($AR$11:$AR$4010,MATCH(613,$AY$11:$AY$4010,0)),""))</f>
        <v/>
      </c>
      <c r="AD623" s="16" t="str">
        <f>IF(AE623="","",IFERROR(INDEX($AL$11:$AL$4010,MATCH(613,$AZ$11:$AZ$4010,0)),""))</f>
        <v/>
      </c>
      <c r="AE623" s="12" t="str">
        <f>IFERROR(INDEX($AM$11:$AM$4010,MATCH(613,$AZ$11:$AZ$4010,0)),"")</f>
        <v/>
      </c>
      <c r="AF623" s="11" t="str">
        <f>IF(AE623="","",IFERROR(INDEX($AN$11:$AN$4010,MATCH(613,$AZ$11:$AZ$4010,0)),""))</f>
        <v/>
      </c>
      <c r="AG623" s="11" t="str">
        <f>IF(AE623="","",IFERROR(INDEX($AO$11:$AO$4010,MATCH(613,$AZ$11:$AZ$4010,0)),""))</f>
        <v/>
      </c>
      <c r="AH623" s="10" t="str">
        <f>IF(AE623="","",IFERROR(INDEX($AQ$11:$AQ$4010,MATCH(613,$AZ$11:$AZ$4010,0)),""))</f>
        <v/>
      </c>
      <c r="AI623" s="15" t="str">
        <f>IF(AE623="","",IFERROR(INDEX($AR$11:$AR$4010,MATCH(613,$AZ$11:$AZ$4010,0)),""))</f>
        <v/>
      </c>
      <c r="AJ623" s="15" t="str">
        <f>IF(AE623="","",IFERROR(INDEX($AT$11:$AT$4010,MATCH(613,$AZ$11:$AZ$4010,0)),""))</f>
        <v/>
      </c>
      <c r="AL623" s="17"/>
      <c r="AM623" s="12"/>
      <c r="AN623" s="18"/>
      <c r="AO623" s="18"/>
      <c r="AP623" s="10"/>
      <c r="AQ623" s="10"/>
      <c r="AR623" s="19"/>
      <c r="AS623" s="20"/>
      <c r="AT623" s="19"/>
      <c r="AV623" s="21">
        <f>IF(AND($AL623&lt;&gt;"",COUNTIF($AL$11:$AL623,$AL623)=1),1,0)</f>
        <v>0</v>
      </c>
      <c r="AW623" s="21">
        <f t="shared" si="105"/>
        <v>2</v>
      </c>
      <c r="AX623" s="21" t="str">
        <f t="shared" si="104"/>
        <v/>
      </c>
      <c r="AY623" s="21" t="str">
        <f>IF(AND($AM623&lt;&gt;"",$AS623&lt;&gt;"✓"),SUMPRODUCT(($AM$11:$AM623&lt;&gt;"")*($AS$11:$AS623&lt;&gt;"✓")),"")</f>
        <v/>
      </c>
      <c r="AZ623" s="21" t="str">
        <f>IF(AND($AM623&lt;&gt;"",$AS623="✓"),SUMPRODUCT(($AM$11:$AM623&lt;&gt;"")*($AS$11:$AS623="✓")),"")</f>
        <v/>
      </c>
      <c r="BA623" s="21" t="str">
        <f>IF($AL623="","",$AL623&amp;"|"&amp;COUNTIF($AL$11:$AL623,$AL623))</f>
        <v/>
      </c>
    </row>
    <row r="624" spans="23:53" ht="15" customHeight="1" x14ac:dyDescent="0.25">
      <c r="W624" s="28" t="str">
        <f>IF(X624="","",IFERROR(INDEX($AL$11:$AL$4010,MATCH(614,$AY$11:$AY$4010,0)),""))</f>
        <v/>
      </c>
      <c r="X624" s="26" t="str">
        <f>IFERROR(INDEX($AM$11:$AM$4010,MATCH(614,$AY$11:$AY$4010,0)),"")</f>
        <v/>
      </c>
      <c r="Y624" s="25" t="str">
        <f>IF(X624="","",IFERROR(INDEX($AN$11:$AN$4010,MATCH(614,$AY$11:$AY$4010,0)),""))</f>
        <v/>
      </c>
      <c r="Z624" s="25" t="str">
        <f>IF(X624="","",IFERROR(INDEX($AO$11:$AO$4010,MATCH(614,$AY$11:$AY$4010,0)),""))</f>
        <v/>
      </c>
      <c r="AA624" s="24" t="str">
        <f>IF(X624="","",IFERROR(INDEX($AQ$11:$AQ$4010,MATCH(614,$AY$11:$AY$4010,0)),""))</f>
        <v/>
      </c>
      <c r="AB624" s="29" t="str">
        <f>IF(X624="","",IFERROR(INDEX($AR$11:$AR$4010,MATCH(614,$AY$11:$AY$4010,0)),""))</f>
        <v/>
      </c>
      <c r="AD624" s="30" t="str">
        <f>IF(AE624="","",IFERROR(INDEX($AL$11:$AL$4010,MATCH(614,$AZ$11:$AZ$4010,0)),""))</f>
        <v/>
      </c>
      <c r="AE624" s="26" t="str">
        <f>IFERROR(INDEX($AM$11:$AM$4010,MATCH(614,$AZ$11:$AZ$4010,0)),"")</f>
        <v/>
      </c>
      <c r="AF624" s="25" t="str">
        <f>IF(AE624="","",IFERROR(INDEX($AN$11:$AN$4010,MATCH(614,$AZ$11:$AZ$4010,0)),""))</f>
        <v/>
      </c>
      <c r="AG624" s="25" t="str">
        <f>IF(AE624="","",IFERROR(INDEX($AO$11:$AO$4010,MATCH(614,$AZ$11:$AZ$4010,0)),""))</f>
        <v/>
      </c>
      <c r="AH624" s="24" t="str">
        <f>IF(AE624="","",IFERROR(INDEX($AQ$11:$AQ$4010,MATCH(614,$AZ$11:$AZ$4010,0)),""))</f>
        <v/>
      </c>
      <c r="AI624" s="29" t="str">
        <f>IF(AE624="","",IFERROR(INDEX($AR$11:$AR$4010,MATCH(614,$AZ$11:$AZ$4010,0)),""))</f>
        <v/>
      </c>
      <c r="AJ624" s="29" t="str">
        <f>IF(AE624="","",IFERROR(INDEX($AT$11:$AT$4010,MATCH(614,$AZ$11:$AZ$4010,0)),""))</f>
        <v/>
      </c>
      <c r="AL624" s="31"/>
      <c r="AM624" s="26"/>
      <c r="AN624" s="32"/>
      <c r="AO624" s="32"/>
      <c r="AP624" s="24"/>
      <c r="AQ624" s="24"/>
      <c r="AR624" s="33"/>
      <c r="AS624" s="34"/>
      <c r="AT624" s="33"/>
      <c r="AV624" s="21">
        <f>IF(AND($AL624&lt;&gt;"",COUNTIF($AL$11:$AL624,$AL624)=1),1,0)</f>
        <v>0</v>
      </c>
      <c r="AW624" s="21">
        <f t="shared" si="105"/>
        <v>2</v>
      </c>
      <c r="AX624" s="21" t="str">
        <f t="shared" si="104"/>
        <v/>
      </c>
      <c r="AY624" s="21" t="str">
        <f>IF(AND($AM624&lt;&gt;"",$AS624&lt;&gt;"✓"),SUMPRODUCT(($AM$11:$AM624&lt;&gt;"")*($AS$11:$AS624&lt;&gt;"✓")),"")</f>
        <v/>
      </c>
      <c r="AZ624" s="21" t="str">
        <f>IF(AND($AM624&lt;&gt;"",$AS624="✓"),SUMPRODUCT(($AM$11:$AM624&lt;&gt;"")*($AS$11:$AS624="✓")),"")</f>
        <v/>
      </c>
      <c r="BA624" s="21" t="str">
        <f>IF($AL624="","",$AL624&amp;"|"&amp;COUNTIF($AL$11:$AL624,$AL624))</f>
        <v/>
      </c>
    </row>
    <row r="625" spans="23:53" ht="15" customHeight="1" x14ac:dyDescent="0.25">
      <c r="W625" s="14" t="str">
        <f>IF(X625="","",IFERROR(INDEX($AL$11:$AL$4010,MATCH(615,$AY$11:$AY$4010,0)),""))</f>
        <v/>
      </c>
      <c r="X625" s="12" t="str">
        <f>IFERROR(INDEX($AM$11:$AM$4010,MATCH(615,$AY$11:$AY$4010,0)),"")</f>
        <v/>
      </c>
      <c r="Y625" s="11" t="str">
        <f>IF(X625="","",IFERROR(INDEX($AN$11:$AN$4010,MATCH(615,$AY$11:$AY$4010,0)),""))</f>
        <v/>
      </c>
      <c r="Z625" s="11" t="str">
        <f>IF(X625="","",IFERROR(INDEX($AO$11:$AO$4010,MATCH(615,$AY$11:$AY$4010,0)),""))</f>
        <v/>
      </c>
      <c r="AA625" s="10" t="str">
        <f>IF(X625="","",IFERROR(INDEX($AQ$11:$AQ$4010,MATCH(615,$AY$11:$AY$4010,0)),""))</f>
        <v/>
      </c>
      <c r="AB625" s="15" t="str">
        <f>IF(X625="","",IFERROR(INDEX($AR$11:$AR$4010,MATCH(615,$AY$11:$AY$4010,0)),""))</f>
        <v/>
      </c>
      <c r="AD625" s="16" t="str">
        <f>IF(AE625="","",IFERROR(INDEX($AL$11:$AL$4010,MATCH(615,$AZ$11:$AZ$4010,0)),""))</f>
        <v/>
      </c>
      <c r="AE625" s="12" t="str">
        <f>IFERROR(INDEX($AM$11:$AM$4010,MATCH(615,$AZ$11:$AZ$4010,0)),"")</f>
        <v/>
      </c>
      <c r="AF625" s="11" t="str">
        <f>IF(AE625="","",IFERROR(INDEX($AN$11:$AN$4010,MATCH(615,$AZ$11:$AZ$4010,0)),""))</f>
        <v/>
      </c>
      <c r="AG625" s="11" t="str">
        <f>IF(AE625="","",IFERROR(INDEX($AO$11:$AO$4010,MATCH(615,$AZ$11:$AZ$4010,0)),""))</f>
        <v/>
      </c>
      <c r="AH625" s="10" t="str">
        <f>IF(AE625="","",IFERROR(INDEX($AQ$11:$AQ$4010,MATCH(615,$AZ$11:$AZ$4010,0)),""))</f>
        <v/>
      </c>
      <c r="AI625" s="15" t="str">
        <f>IF(AE625="","",IFERROR(INDEX($AR$11:$AR$4010,MATCH(615,$AZ$11:$AZ$4010,0)),""))</f>
        <v/>
      </c>
      <c r="AJ625" s="15" t="str">
        <f>IF(AE625="","",IFERROR(INDEX($AT$11:$AT$4010,MATCH(615,$AZ$11:$AZ$4010,0)),""))</f>
        <v/>
      </c>
      <c r="AL625" s="17"/>
      <c r="AM625" s="12"/>
      <c r="AN625" s="18"/>
      <c r="AO625" s="18"/>
      <c r="AP625" s="10"/>
      <c r="AQ625" s="10"/>
      <c r="AR625" s="19"/>
      <c r="AS625" s="20"/>
      <c r="AT625" s="19"/>
      <c r="AV625" s="21">
        <f>IF(AND($AL625&lt;&gt;"",COUNTIF($AL$11:$AL625,$AL625)=1),1,0)</f>
        <v>0</v>
      </c>
      <c r="AW625" s="21">
        <f t="shared" si="105"/>
        <v>2</v>
      </c>
      <c r="AX625" s="21" t="str">
        <f t="shared" si="104"/>
        <v/>
      </c>
      <c r="AY625" s="21" t="str">
        <f>IF(AND($AM625&lt;&gt;"",$AS625&lt;&gt;"✓"),SUMPRODUCT(($AM$11:$AM625&lt;&gt;"")*($AS$11:$AS625&lt;&gt;"✓")),"")</f>
        <v/>
      </c>
      <c r="AZ625" s="21" t="str">
        <f>IF(AND($AM625&lt;&gt;"",$AS625="✓"),SUMPRODUCT(($AM$11:$AM625&lt;&gt;"")*($AS$11:$AS625="✓")),"")</f>
        <v/>
      </c>
      <c r="BA625" s="21" t="str">
        <f>IF($AL625="","",$AL625&amp;"|"&amp;COUNTIF($AL$11:$AL625,$AL625))</f>
        <v/>
      </c>
    </row>
    <row r="626" spans="23:53" ht="15" customHeight="1" x14ac:dyDescent="0.25">
      <c r="W626" s="28" t="str">
        <f>IF(X626="","",IFERROR(INDEX($AL$11:$AL$4010,MATCH(616,$AY$11:$AY$4010,0)),""))</f>
        <v/>
      </c>
      <c r="X626" s="26" t="str">
        <f>IFERROR(INDEX($AM$11:$AM$4010,MATCH(616,$AY$11:$AY$4010,0)),"")</f>
        <v/>
      </c>
      <c r="Y626" s="25" t="str">
        <f>IF(X626="","",IFERROR(INDEX($AN$11:$AN$4010,MATCH(616,$AY$11:$AY$4010,0)),""))</f>
        <v/>
      </c>
      <c r="Z626" s="25" t="str">
        <f>IF(X626="","",IFERROR(INDEX($AO$11:$AO$4010,MATCH(616,$AY$11:$AY$4010,0)),""))</f>
        <v/>
      </c>
      <c r="AA626" s="24" t="str">
        <f>IF(X626="","",IFERROR(INDEX($AQ$11:$AQ$4010,MATCH(616,$AY$11:$AY$4010,0)),""))</f>
        <v/>
      </c>
      <c r="AB626" s="29" t="str">
        <f>IF(X626="","",IFERROR(INDEX($AR$11:$AR$4010,MATCH(616,$AY$11:$AY$4010,0)),""))</f>
        <v/>
      </c>
      <c r="AD626" s="30" t="str">
        <f>IF(AE626="","",IFERROR(INDEX($AL$11:$AL$4010,MATCH(616,$AZ$11:$AZ$4010,0)),""))</f>
        <v/>
      </c>
      <c r="AE626" s="26" t="str">
        <f>IFERROR(INDEX($AM$11:$AM$4010,MATCH(616,$AZ$11:$AZ$4010,0)),"")</f>
        <v/>
      </c>
      <c r="AF626" s="25" t="str">
        <f>IF(AE626="","",IFERROR(INDEX($AN$11:$AN$4010,MATCH(616,$AZ$11:$AZ$4010,0)),""))</f>
        <v/>
      </c>
      <c r="AG626" s="25" t="str">
        <f>IF(AE626="","",IFERROR(INDEX($AO$11:$AO$4010,MATCH(616,$AZ$11:$AZ$4010,0)),""))</f>
        <v/>
      </c>
      <c r="AH626" s="24" t="str">
        <f>IF(AE626="","",IFERROR(INDEX($AQ$11:$AQ$4010,MATCH(616,$AZ$11:$AZ$4010,0)),""))</f>
        <v/>
      </c>
      <c r="AI626" s="29" t="str">
        <f>IF(AE626="","",IFERROR(INDEX($AR$11:$AR$4010,MATCH(616,$AZ$11:$AZ$4010,0)),""))</f>
        <v/>
      </c>
      <c r="AJ626" s="29" t="str">
        <f>IF(AE626="","",IFERROR(INDEX($AT$11:$AT$4010,MATCH(616,$AZ$11:$AZ$4010,0)),""))</f>
        <v/>
      </c>
      <c r="AL626" s="31"/>
      <c r="AM626" s="26"/>
      <c r="AN626" s="32"/>
      <c r="AO626" s="32"/>
      <c r="AP626" s="24"/>
      <c r="AQ626" s="24"/>
      <c r="AR626" s="33"/>
      <c r="AS626" s="34"/>
      <c r="AT626" s="33"/>
      <c r="AV626" s="21">
        <f>IF(AND($AL626&lt;&gt;"",COUNTIF($AL$11:$AL626,$AL626)=1),1,0)</f>
        <v>0</v>
      </c>
      <c r="AW626" s="21">
        <f t="shared" si="105"/>
        <v>2</v>
      </c>
      <c r="AX626" s="21" t="str">
        <f t="shared" si="104"/>
        <v/>
      </c>
      <c r="AY626" s="21" t="str">
        <f>IF(AND($AM626&lt;&gt;"",$AS626&lt;&gt;"✓"),SUMPRODUCT(($AM$11:$AM626&lt;&gt;"")*($AS$11:$AS626&lt;&gt;"✓")),"")</f>
        <v/>
      </c>
      <c r="AZ626" s="21" t="str">
        <f>IF(AND($AM626&lt;&gt;"",$AS626="✓"),SUMPRODUCT(($AM$11:$AM626&lt;&gt;"")*($AS$11:$AS626="✓")),"")</f>
        <v/>
      </c>
      <c r="BA626" s="21" t="str">
        <f>IF($AL626="","",$AL626&amp;"|"&amp;COUNTIF($AL$11:$AL626,$AL626))</f>
        <v/>
      </c>
    </row>
    <row r="627" spans="23:53" ht="15" customHeight="1" x14ac:dyDescent="0.25">
      <c r="W627" s="14" t="str">
        <f>IF(X627="","",IFERROR(INDEX($AL$11:$AL$4010,MATCH(617,$AY$11:$AY$4010,0)),""))</f>
        <v/>
      </c>
      <c r="X627" s="12" t="str">
        <f>IFERROR(INDEX($AM$11:$AM$4010,MATCH(617,$AY$11:$AY$4010,0)),"")</f>
        <v/>
      </c>
      <c r="Y627" s="11" t="str">
        <f>IF(X627="","",IFERROR(INDEX($AN$11:$AN$4010,MATCH(617,$AY$11:$AY$4010,0)),""))</f>
        <v/>
      </c>
      <c r="Z627" s="11" t="str">
        <f>IF(X627="","",IFERROR(INDEX($AO$11:$AO$4010,MATCH(617,$AY$11:$AY$4010,0)),""))</f>
        <v/>
      </c>
      <c r="AA627" s="10" t="str">
        <f>IF(X627="","",IFERROR(INDEX($AQ$11:$AQ$4010,MATCH(617,$AY$11:$AY$4010,0)),""))</f>
        <v/>
      </c>
      <c r="AB627" s="15" t="str">
        <f>IF(X627="","",IFERROR(INDEX($AR$11:$AR$4010,MATCH(617,$AY$11:$AY$4010,0)),""))</f>
        <v/>
      </c>
      <c r="AD627" s="16" t="str">
        <f>IF(AE627="","",IFERROR(INDEX($AL$11:$AL$4010,MATCH(617,$AZ$11:$AZ$4010,0)),""))</f>
        <v/>
      </c>
      <c r="AE627" s="12" t="str">
        <f>IFERROR(INDEX($AM$11:$AM$4010,MATCH(617,$AZ$11:$AZ$4010,0)),"")</f>
        <v/>
      </c>
      <c r="AF627" s="11" t="str">
        <f>IF(AE627="","",IFERROR(INDEX($AN$11:$AN$4010,MATCH(617,$AZ$11:$AZ$4010,0)),""))</f>
        <v/>
      </c>
      <c r="AG627" s="11" t="str">
        <f>IF(AE627="","",IFERROR(INDEX($AO$11:$AO$4010,MATCH(617,$AZ$11:$AZ$4010,0)),""))</f>
        <v/>
      </c>
      <c r="AH627" s="10" t="str">
        <f>IF(AE627="","",IFERROR(INDEX($AQ$11:$AQ$4010,MATCH(617,$AZ$11:$AZ$4010,0)),""))</f>
        <v/>
      </c>
      <c r="AI627" s="15" t="str">
        <f>IF(AE627="","",IFERROR(INDEX($AR$11:$AR$4010,MATCH(617,$AZ$11:$AZ$4010,0)),""))</f>
        <v/>
      </c>
      <c r="AJ627" s="15" t="str">
        <f>IF(AE627="","",IFERROR(INDEX($AT$11:$AT$4010,MATCH(617,$AZ$11:$AZ$4010,0)),""))</f>
        <v/>
      </c>
      <c r="AL627" s="17"/>
      <c r="AM627" s="12"/>
      <c r="AN627" s="18"/>
      <c r="AO627" s="18"/>
      <c r="AP627" s="10"/>
      <c r="AQ627" s="10"/>
      <c r="AR627" s="19"/>
      <c r="AS627" s="20"/>
      <c r="AT627" s="19"/>
      <c r="AV627" s="21">
        <f>IF(AND($AL627&lt;&gt;"",COUNTIF($AL$11:$AL627,$AL627)=1),1,0)</f>
        <v>0</v>
      </c>
      <c r="AW627" s="21">
        <f t="shared" si="105"/>
        <v>2</v>
      </c>
      <c r="AX627" s="21" t="str">
        <f t="shared" si="104"/>
        <v/>
      </c>
      <c r="AY627" s="21" t="str">
        <f>IF(AND($AM627&lt;&gt;"",$AS627&lt;&gt;"✓"),SUMPRODUCT(($AM$11:$AM627&lt;&gt;"")*($AS$11:$AS627&lt;&gt;"✓")),"")</f>
        <v/>
      </c>
      <c r="AZ627" s="21" t="str">
        <f>IF(AND($AM627&lt;&gt;"",$AS627="✓"),SUMPRODUCT(($AM$11:$AM627&lt;&gt;"")*($AS$11:$AS627="✓")),"")</f>
        <v/>
      </c>
      <c r="BA627" s="21" t="str">
        <f>IF($AL627="","",$AL627&amp;"|"&amp;COUNTIF($AL$11:$AL627,$AL627))</f>
        <v/>
      </c>
    </row>
    <row r="628" spans="23:53" ht="15" customHeight="1" x14ac:dyDescent="0.25">
      <c r="W628" s="28" t="str">
        <f>IF(X628="","",IFERROR(INDEX($AL$11:$AL$4010,MATCH(618,$AY$11:$AY$4010,0)),""))</f>
        <v/>
      </c>
      <c r="X628" s="26" t="str">
        <f>IFERROR(INDEX($AM$11:$AM$4010,MATCH(618,$AY$11:$AY$4010,0)),"")</f>
        <v/>
      </c>
      <c r="Y628" s="25" t="str">
        <f>IF(X628="","",IFERROR(INDEX($AN$11:$AN$4010,MATCH(618,$AY$11:$AY$4010,0)),""))</f>
        <v/>
      </c>
      <c r="Z628" s="25" t="str">
        <f>IF(X628="","",IFERROR(INDEX($AO$11:$AO$4010,MATCH(618,$AY$11:$AY$4010,0)),""))</f>
        <v/>
      </c>
      <c r="AA628" s="24" t="str">
        <f>IF(X628="","",IFERROR(INDEX($AQ$11:$AQ$4010,MATCH(618,$AY$11:$AY$4010,0)),""))</f>
        <v/>
      </c>
      <c r="AB628" s="29" t="str">
        <f>IF(X628="","",IFERROR(INDEX($AR$11:$AR$4010,MATCH(618,$AY$11:$AY$4010,0)),""))</f>
        <v/>
      </c>
      <c r="AD628" s="30" t="str">
        <f>IF(AE628="","",IFERROR(INDEX($AL$11:$AL$4010,MATCH(618,$AZ$11:$AZ$4010,0)),""))</f>
        <v/>
      </c>
      <c r="AE628" s="26" t="str">
        <f>IFERROR(INDEX($AM$11:$AM$4010,MATCH(618,$AZ$11:$AZ$4010,0)),"")</f>
        <v/>
      </c>
      <c r="AF628" s="25" t="str">
        <f>IF(AE628="","",IFERROR(INDEX($AN$11:$AN$4010,MATCH(618,$AZ$11:$AZ$4010,0)),""))</f>
        <v/>
      </c>
      <c r="AG628" s="25" t="str">
        <f>IF(AE628="","",IFERROR(INDEX($AO$11:$AO$4010,MATCH(618,$AZ$11:$AZ$4010,0)),""))</f>
        <v/>
      </c>
      <c r="AH628" s="24" t="str">
        <f>IF(AE628="","",IFERROR(INDEX($AQ$11:$AQ$4010,MATCH(618,$AZ$11:$AZ$4010,0)),""))</f>
        <v/>
      </c>
      <c r="AI628" s="29" t="str">
        <f>IF(AE628="","",IFERROR(INDEX($AR$11:$AR$4010,MATCH(618,$AZ$11:$AZ$4010,0)),""))</f>
        <v/>
      </c>
      <c r="AJ628" s="29" t="str">
        <f>IF(AE628="","",IFERROR(INDEX($AT$11:$AT$4010,MATCH(618,$AZ$11:$AZ$4010,0)),""))</f>
        <v/>
      </c>
      <c r="AL628" s="31"/>
      <c r="AM628" s="26"/>
      <c r="AN628" s="32"/>
      <c r="AO628" s="32"/>
      <c r="AP628" s="24"/>
      <c r="AQ628" s="24"/>
      <c r="AR628" s="33"/>
      <c r="AS628" s="34"/>
      <c r="AT628" s="33"/>
      <c r="AV628" s="21">
        <f>IF(AND($AL628&lt;&gt;"",COUNTIF($AL$11:$AL628,$AL628)=1),1,0)</f>
        <v>0</v>
      </c>
      <c r="AW628" s="21">
        <f t="shared" si="105"/>
        <v>2</v>
      </c>
      <c r="AX628" s="21" t="str">
        <f t="shared" si="104"/>
        <v/>
      </c>
      <c r="AY628" s="21" t="str">
        <f>IF(AND($AM628&lt;&gt;"",$AS628&lt;&gt;"✓"),SUMPRODUCT(($AM$11:$AM628&lt;&gt;"")*($AS$11:$AS628&lt;&gt;"✓")),"")</f>
        <v/>
      </c>
      <c r="AZ628" s="21" t="str">
        <f>IF(AND($AM628&lt;&gt;"",$AS628="✓"),SUMPRODUCT(($AM$11:$AM628&lt;&gt;"")*($AS$11:$AS628="✓")),"")</f>
        <v/>
      </c>
      <c r="BA628" s="21" t="str">
        <f>IF($AL628="","",$AL628&amp;"|"&amp;COUNTIF($AL$11:$AL628,$AL628))</f>
        <v/>
      </c>
    </row>
    <row r="629" spans="23:53" ht="15" customHeight="1" x14ac:dyDescent="0.25">
      <c r="W629" s="14" t="str">
        <f>IF(X629="","",IFERROR(INDEX($AL$11:$AL$4010,MATCH(619,$AY$11:$AY$4010,0)),""))</f>
        <v/>
      </c>
      <c r="X629" s="12" t="str">
        <f>IFERROR(INDEX($AM$11:$AM$4010,MATCH(619,$AY$11:$AY$4010,0)),"")</f>
        <v/>
      </c>
      <c r="Y629" s="11" t="str">
        <f>IF(X629="","",IFERROR(INDEX($AN$11:$AN$4010,MATCH(619,$AY$11:$AY$4010,0)),""))</f>
        <v/>
      </c>
      <c r="Z629" s="11" t="str">
        <f>IF(X629="","",IFERROR(INDEX($AO$11:$AO$4010,MATCH(619,$AY$11:$AY$4010,0)),""))</f>
        <v/>
      </c>
      <c r="AA629" s="10" t="str">
        <f>IF(X629="","",IFERROR(INDEX($AQ$11:$AQ$4010,MATCH(619,$AY$11:$AY$4010,0)),""))</f>
        <v/>
      </c>
      <c r="AB629" s="15" t="str">
        <f>IF(X629="","",IFERROR(INDEX($AR$11:$AR$4010,MATCH(619,$AY$11:$AY$4010,0)),""))</f>
        <v/>
      </c>
      <c r="AD629" s="16" t="str">
        <f>IF(AE629="","",IFERROR(INDEX($AL$11:$AL$4010,MATCH(619,$AZ$11:$AZ$4010,0)),""))</f>
        <v/>
      </c>
      <c r="AE629" s="12" t="str">
        <f>IFERROR(INDEX($AM$11:$AM$4010,MATCH(619,$AZ$11:$AZ$4010,0)),"")</f>
        <v/>
      </c>
      <c r="AF629" s="11" t="str">
        <f>IF(AE629="","",IFERROR(INDEX($AN$11:$AN$4010,MATCH(619,$AZ$11:$AZ$4010,0)),""))</f>
        <v/>
      </c>
      <c r="AG629" s="11" t="str">
        <f>IF(AE629="","",IFERROR(INDEX($AO$11:$AO$4010,MATCH(619,$AZ$11:$AZ$4010,0)),""))</f>
        <v/>
      </c>
      <c r="AH629" s="10" t="str">
        <f>IF(AE629="","",IFERROR(INDEX($AQ$11:$AQ$4010,MATCH(619,$AZ$11:$AZ$4010,0)),""))</f>
        <v/>
      </c>
      <c r="AI629" s="15" t="str">
        <f>IF(AE629="","",IFERROR(INDEX($AR$11:$AR$4010,MATCH(619,$AZ$11:$AZ$4010,0)),""))</f>
        <v/>
      </c>
      <c r="AJ629" s="15" t="str">
        <f>IF(AE629="","",IFERROR(INDEX($AT$11:$AT$4010,MATCH(619,$AZ$11:$AZ$4010,0)),""))</f>
        <v/>
      </c>
      <c r="AL629" s="17"/>
      <c r="AM629" s="12"/>
      <c r="AN629" s="18"/>
      <c r="AO629" s="18"/>
      <c r="AP629" s="10"/>
      <c r="AQ629" s="10"/>
      <c r="AR629" s="19"/>
      <c r="AS629" s="20"/>
      <c r="AT629" s="19"/>
      <c r="AV629" s="21">
        <f>IF(AND($AL629&lt;&gt;"",COUNTIF($AL$11:$AL629,$AL629)=1),1,0)</f>
        <v>0</v>
      </c>
      <c r="AW629" s="21">
        <f t="shared" si="105"/>
        <v>2</v>
      </c>
      <c r="AX629" s="21" t="str">
        <f t="shared" si="104"/>
        <v/>
      </c>
      <c r="AY629" s="21" t="str">
        <f>IF(AND($AM629&lt;&gt;"",$AS629&lt;&gt;"✓"),SUMPRODUCT(($AM$11:$AM629&lt;&gt;"")*($AS$11:$AS629&lt;&gt;"✓")),"")</f>
        <v/>
      </c>
      <c r="AZ629" s="21" t="str">
        <f>IF(AND($AM629&lt;&gt;"",$AS629="✓"),SUMPRODUCT(($AM$11:$AM629&lt;&gt;"")*($AS$11:$AS629="✓")),"")</f>
        <v/>
      </c>
      <c r="BA629" s="21" t="str">
        <f>IF($AL629="","",$AL629&amp;"|"&amp;COUNTIF($AL$11:$AL629,$AL629))</f>
        <v/>
      </c>
    </row>
    <row r="630" spans="23:53" ht="15" customHeight="1" x14ac:dyDescent="0.25">
      <c r="W630" s="28" t="str">
        <f>IF(X630="","",IFERROR(INDEX($AL$11:$AL$4010,MATCH(620,$AY$11:$AY$4010,0)),""))</f>
        <v/>
      </c>
      <c r="X630" s="26" t="str">
        <f>IFERROR(INDEX($AM$11:$AM$4010,MATCH(620,$AY$11:$AY$4010,0)),"")</f>
        <v/>
      </c>
      <c r="Y630" s="25" t="str">
        <f>IF(X630="","",IFERROR(INDEX($AN$11:$AN$4010,MATCH(620,$AY$11:$AY$4010,0)),""))</f>
        <v/>
      </c>
      <c r="Z630" s="25" t="str">
        <f>IF(X630="","",IFERROR(INDEX($AO$11:$AO$4010,MATCH(620,$AY$11:$AY$4010,0)),""))</f>
        <v/>
      </c>
      <c r="AA630" s="24" t="str">
        <f>IF(X630="","",IFERROR(INDEX($AQ$11:$AQ$4010,MATCH(620,$AY$11:$AY$4010,0)),""))</f>
        <v/>
      </c>
      <c r="AB630" s="29" t="str">
        <f>IF(X630="","",IFERROR(INDEX($AR$11:$AR$4010,MATCH(620,$AY$11:$AY$4010,0)),""))</f>
        <v/>
      </c>
      <c r="AD630" s="30" t="str">
        <f>IF(AE630="","",IFERROR(INDEX($AL$11:$AL$4010,MATCH(620,$AZ$11:$AZ$4010,0)),""))</f>
        <v/>
      </c>
      <c r="AE630" s="26" t="str">
        <f>IFERROR(INDEX($AM$11:$AM$4010,MATCH(620,$AZ$11:$AZ$4010,0)),"")</f>
        <v/>
      </c>
      <c r="AF630" s="25" t="str">
        <f>IF(AE630="","",IFERROR(INDEX($AN$11:$AN$4010,MATCH(620,$AZ$11:$AZ$4010,0)),""))</f>
        <v/>
      </c>
      <c r="AG630" s="25" t="str">
        <f>IF(AE630="","",IFERROR(INDEX($AO$11:$AO$4010,MATCH(620,$AZ$11:$AZ$4010,0)),""))</f>
        <v/>
      </c>
      <c r="AH630" s="24" t="str">
        <f>IF(AE630="","",IFERROR(INDEX($AQ$11:$AQ$4010,MATCH(620,$AZ$11:$AZ$4010,0)),""))</f>
        <v/>
      </c>
      <c r="AI630" s="29" t="str">
        <f>IF(AE630="","",IFERROR(INDEX($AR$11:$AR$4010,MATCH(620,$AZ$11:$AZ$4010,0)),""))</f>
        <v/>
      </c>
      <c r="AJ630" s="29" t="str">
        <f>IF(AE630="","",IFERROR(INDEX($AT$11:$AT$4010,MATCH(620,$AZ$11:$AZ$4010,0)),""))</f>
        <v/>
      </c>
      <c r="AL630" s="31"/>
      <c r="AM630" s="26"/>
      <c r="AN630" s="32"/>
      <c r="AO630" s="32"/>
      <c r="AP630" s="24"/>
      <c r="AQ630" s="24"/>
      <c r="AR630" s="33"/>
      <c r="AS630" s="34"/>
      <c r="AT630" s="33"/>
      <c r="AV630" s="21">
        <f>IF(AND($AL630&lt;&gt;"",COUNTIF($AL$11:$AL630,$AL630)=1),1,0)</f>
        <v>0</v>
      </c>
      <c r="AW630" s="21">
        <f t="shared" si="105"/>
        <v>2</v>
      </c>
      <c r="AX630" s="21" t="str">
        <f t="shared" si="104"/>
        <v/>
      </c>
      <c r="AY630" s="21" t="str">
        <f>IF(AND($AM630&lt;&gt;"",$AS630&lt;&gt;"✓"),SUMPRODUCT(($AM$11:$AM630&lt;&gt;"")*($AS$11:$AS630&lt;&gt;"✓")),"")</f>
        <v/>
      </c>
      <c r="AZ630" s="21" t="str">
        <f>IF(AND($AM630&lt;&gt;"",$AS630="✓"),SUMPRODUCT(($AM$11:$AM630&lt;&gt;"")*($AS$11:$AS630="✓")),"")</f>
        <v/>
      </c>
      <c r="BA630" s="21" t="str">
        <f>IF($AL630="","",$AL630&amp;"|"&amp;COUNTIF($AL$11:$AL630,$AL630))</f>
        <v/>
      </c>
    </row>
    <row r="631" spans="23:53" ht="15" customHeight="1" x14ac:dyDescent="0.25">
      <c r="W631" s="14" t="str">
        <f>IF(X631="","",IFERROR(INDEX($AL$11:$AL$4010,MATCH(621,$AY$11:$AY$4010,0)),""))</f>
        <v/>
      </c>
      <c r="X631" s="12" t="str">
        <f>IFERROR(INDEX($AM$11:$AM$4010,MATCH(621,$AY$11:$AY$4010,0)),"")</f>
        <v/>
      </c>
      <c r="Y631" s="11" t="str">
        <f>IF(X631="","",IFERROR(INDEX($AN$11:$AN$4010,MATCH(621,$AY$11:$AY$4010,0)),""))</f>
        <v/>
      </c>
      <c r="Z631" s="11" t="str">
        <f>IF(X631="","",IFERROR(INDEX($AO$11:$AO$4010,MATCH(621,$AY$11:$AY$4010,0)),""))</f>
        <v/>
      </c>
      <c r="AA631" s="10" t="str">
        <f>IF(X631="","",IFERROR(INDEX($AQ$11:$AQ$4010,MATCH(621,$AY$11:$AY$4010,0)),""))</f>
        <v/>
      </c>
      <c r="AB631" s="15" t="str">
        <f>IF(X631="","",IFERROR(INDEX($AR$11:$AR$4010,MATCH(621,$AY$11:$AY$4010,0)),""))</f>
        <v/>
      </c>
      <c r="AD631" s="16" t="str">
        <f>IF(AE631="","",IFERROR(INDEX($AL$11:$AL$4010,MATCH(621,$AZ$11:$AZ$4010,0)),""))</f>
        <v/>
      </c>
      <c r="AE631" s="12" t="str">
        <f>IFERROR(INDEX($AM$11:$AM$4010,MATCH(621,$AZ$11:$AZ$4010,0)),"")</f>
        <v/>
      </c>
      <c r="AF631" s="11" t="str">
        <f>IF(AE631="","",IFERROR(INDEX($AN$11:$AN$4010,MATCH(621,$AZ$11:$AZ$4010,0)),""))</f>
        <v/>
      </c>
      <c r="AG631" s="11" t="str">
        <f>IF(AE631="","",IFERROR(INDEX($AO$11:$AO$4010,MATCH(621,$AZ$11:$AZ$4010,0)),""))</f>
        <v/>
      </c>
      <c r="AH631" s="10" t="str">
        <f>IF(AE631="","",IFERROR(INDEX($AQ$11:$AQ$4010,MATCH(621,$AZ$11:$AZ$4010,0)),""))</f>
        <v/>
      </c>
      <c r="AI631" s="15" t="str">
        <f>IF(AE631="","",IFERROR(INDEX($AR$11:$AR$4010,MATCH(621,$AZ$11:$AZ$4010,0)),""))</f>
        <v/>
      </c>
      <c r="AJ631" s="15" t="str">
        <f>IF(AE631="","",IFERROR(INDEX($AT$11:$AT$4010,MATCH(621,$AZ$11:$AZ$4010,0)),""))</f>
        <v/>
      </c>
      <c r="AL631" s="17"/>
      <c r="AM631" s="12"/>
      <c r="AN631" s="18"/>
      <c r="AO631" s="18"/>
      <c r="AP631" s="10"/>
      <c r="AQ631" s="10"/>
      <c r="AR631" s="19"/>
      <c r="AS631" s="20"/>
      <c r="AT631" s="19"/>
      <c r="AV631" s="21">
        <f>IF(AND($AL631&lt;&gt;"",COUNTIF($AL$11:$AL631,$AL631)=1),1,0)</f>
        <v>0</v>
      </c>
      <c r="AW631" s="21">
        <f t="shared" si="105"/>
        <v>2</v>
      </c>
      <c r="AX631" s="21" t="str">
        <f t="shared" si="104"/>
        <v/>
      </c>
      <c r="AY631" s="21" t="str">
        <f>IF(AND($AM631&lt;&gt;"",$AS631&lt;&gt;"✓"),SUMPRODUCT(($AM$11:$AM631&lt;&gt;"")*($AS$11:$AS631&lt;&gt;"✓")),"")</f>
        <v/>
      </c>
      <c r="AZ631" s="21" t="str">
        <f>IF(AND($AM631&lt;&gt;"",$AS631="✓"),SUMPRODUCT(($AM$11:$AM631&lt;&gt;"")*($AS$11:$AS631="✓")),"")</f>
        <v/>
      </c>
      <c r="BA631" s="21" t="str">
        <f>IF($AL631="","",$AL631&amp;"|"&amp;COUNTIF($AL$11:$AL631,$AL631))</f>
        <v/>
      </c>
    </row>
    <row r="632" spans="23:53" ht="15" customHeight="1" x14ac:dyDescent="0.25">
      <c r="W632" s="28" t="str">
        <f>IF(X632="","",IFERROR(INDEX($AL$11:$AL$4010,MATCH(622,$AY$11:$AY$4010,0)),""))</f>
        <v/>
      </c>
      <c r="X632" s="26" t="str">
        <f>IFERROR(INDEX($AM$11:$AM$4010,MATCH(622,$AY$11:$AY$4010,0)),"")</f>
        <v/>
      </c>
      <c r="Y632" s="25" t="str">
        <f>IF(X632="","",IFERROR(INDEX($AN$11:$AN$4010,MATCH(622,$AY$11:$AY$4010,0)),""))</f>
        <v/>
      </c>
      <c r="Z632" s="25" t="str">
        <f>IF(X632="","",IFERROR(INDEX($AO$11:$AO$4010,MATCH(622,$AY$11:$AY$4010,0)),""))</f>
        <v/>
      </c>
      <c r="AA632" s="24" t="str">
        <f>IF(X632="","",IFERROR(INDEX($AQ$11:$AQ$4010,MATCH(622,$AY$11:$AY$4010,0)),""))</f>
        <v/>
      </c>
      <c r="AB632" s="29" t="str">
        <f>IF(X632="","",IFERROR(INDEX($AR$11:$AR$4010,MATCH(622,$AY$11:$AY$4010,0)),""))</f>
        <v/>
      </c>
      <c r="AD632" s="30" t="str">
        <f>IF(AE632="","",IFERROR(INDEX($AL$11:$AL$4010,MATCH(622,$AZ$11:$AZ$4010,0)),""))</f>
        <v/>
      </c>
      <c r="AE632" s="26" t="str">
        <f>IFERROR(INDEX($AM$11:$AM$4010,MATCH(622,$AZ$11:$AZ$4010,0)),"")</f>
        <v/>
      </c>
      <c r="AF632" s="25" t="str">
        <f>IF(AE632="","",IFERROR(INDEX($AN$11:$AN$4010,MATCH(622,$AZ$11:$AZ$4010,0)),""))</f>
        <v/>
      </c>
      <c r="AG632" s="25" t="str">
        <f>IF(AE632="","",IFERROR(INDEX($AO$11:$AO$4010,MATCH(622,$AZ$11:$AZ$4010,0)),""))</f>
        <v/>
      </c>
      <c r="AH632" s="24" t="str">
        <f>IF(AE632="","",IFERROR(INDEX($AQ$11:$AQ$4010,MATCH(622,$AZ$11:$AZ$4010,0)),""))</f>
        <v/>
      </c>
      <c r="AI632" s="29" t="str">
        <f>IF(AE632="","",IFERROR(INDEX($AR$11:$AR$4010,MATCH(622,$AZ$11:$AZ$4010,0)),""))</f>
        <v/>
      </c>
      <c r="AJ632" s="29" t="str">
        <f>IF(AE632="","",IFERROR(INDEX($AT$11:$AT$4010,MATCH(622,$AZ$11:$AZ$4010,0)),""))</f>
        <v/>
      </c>
      <c r="AL632" s="31"/>
      <c r="AM632" s="26"/>
      <c r="AN632" s="32"/>
      <c r="AO632" s="32"/>
      <c r="AP632" s="24"/>
      <c r="AQ632" s="24"/>
      <c r="AR632" s="33"/>
      <c r="AS632" s="34"/>
      <c r="AT632" s="33"/>
      <c r="AV632" s="21">
        <f>IF(AND($AL632&lt;&gt;"",COUNTIF($AL$11:$AL632,$AL632)=1),1,0)</f>
        <v>0</v>
      </c>
      <c r="AW632" s="21">
        <f t="shared" si="105"/>
        <v>2</v>
      </c>
      <c r="AX632" s="21" t="str">
        <f t="shared" si="104"/>
        <v/>
      </c>
      <c r="AY632" s="21" t="str">
        <f>IF(AND($AM632&lt;&gt;"",$AS632&lt;&gt;"✓"),SUMPRODUCT(($AM$11:$AM632&lt;&gt;"")*($AS$11:$AS632&lt;&gt;"✓")),"")</f>
        <v/>
      </c>
      <c r="AZ632" s="21" t="str">
        <f>IF(AND($AM632&lt;&gt;"",$AS632="✓"),SUMPRODUCT(($AM$11:$AM632&lt;&gt;"")*($AS$11:$AS632="✓")),"")</f>
        <v/>
      </c>
      <c r="BA632" s="21" t="str">
        <f>IF($AL632="","",$AL632&amp;"|"&amp;COUNTIF($AL$11:$AL632,$AL632))</f>
        <v/>
      </c>
    </row>
    <row r="633" spans="23:53" ht="15" customHeight="1" x14ac:dyDescent="0.25">
      <c r="W633" s="14" t="str">
        <f>IF(X633="","",IFERROR(INDEX($AL$11:$AL$4010,MATCH(623,$AY$11:$AY$4010,0)),""))</f>
        <v/>
      </c>
      <c r="X633" s="12" t="str">
        <f>IFERROR(INDEX($AM$11:$AM$4010,MATCH(623,$AY$11:$AY$4010,0)),"")</f>
        <v/>
      </c>
      <c r="Y633" s="11" t="str">
        <f>IF(X633="","",IFERROR(INDEX($AN$11:$AN$4010,MATCH(623,$AY$11:$AY$4010,0)),""))</f>
        <v/>
      </c>
      <c r="Z633" s="11" t="str">
        <f>IF(X633="","",IFERROR(INDEX($AO$11:$AO$4010,MATCH(623,$AY$11:$AY$4010,0)),""))</f>
        <v/>
      </c>
      <c r="AA633" s="10" t="str">
        <f>IF(X633="","",IFERROR(INDEX($AQ$11:$AQ$4010,MATCH(623,$AY$11:$AY$4010,0)),""))</f>
        <v/>
      </c>
      <c r="AB633" s="15" t="str">
        <f>IF(X633="","",IFERROR(INDEX($AR$11:$AR$4010,MATCH(623,$AY$11:$AY$4010,0)),""))</f>
        <v/>
      </c>
      <c r="AD633" s="16" t="str">
        <f>IF(AE633="","",IFERROR(INDEX($AL$11:$AL$4010,MATCH(623,$AZ$11:$AZ$4010,0)),""))</f>
        <v/>
      </c>
      <c r="AE633" s="12" t="str">
        <f>IFERROR(INDEX($AM$11:$AM$4010,MATCH(623,$AZ$11:$AZ$4010,0)),"")</f>
        <v/>
      </c>
      <c r="AF633" s="11" t="str">
        <f>IF(AE633="","",IFERROR(INDEX($AN$11:$AN$4010,MATCH(623,$AZ$11:$AZ$4010,0)),""))</f>
        <v/>
      </c>
      <c r="AG633" s="11" t="str">
        <f>IF(AE633="","",IFERROR(INDEX($AO$11:$AO$4010,MATCH(623,$AZ$11:$AZ$4010,0)),""))</f>
        <v/>
      </c>
      <c r="AH633" s="10" t="str">
        <f>IF(AE633="","",IFERROR(INDEX($AQ$11:$AQ$4010,MATCH(623,$AZ$11:$AZ$4010,0)),""))</f>
        <v/>
      </c>
      <c r="AI633" s="15" t="str">
        <f>IF(AE633="","",IFERROR(INDEX($AR$11:$AR$4010,MATCH(623,$AZ$11:$AZ$4010,0)),""))</f>
        <v/>
      </c>
      <c r="AJ633" s="15" t="str">
        <f>IF(AE633="","",IFERROR(INDEX($AT$11:$AT$4010,MATCH(623,$AZ$11:$AZ$4010,0)),""))</f>
        <v/>
      </c>
      <c r="AL633" s="17"/>
      <c r="AM633" s="12"/>
      <c r="AN633" s="18"/>
      <c r="AO633" s="18"/>
      <c r="AP633" s="10"/>
      <c r="AQ633" s="10"/>
      <c r="AR633" s="19"/>
      <c r="AS633" s="20"/>
      <c r="AT633" s="19"/>
      <c r="AV633" s="21">
        <f>IF(AND($AL633&lt;&gt;"",COUNTIF($AL$11:$AL633,$AL633)=1),1,0)</f>
        <v>0</v>
      </c>
      <c r="AW633" s="21">
        <f t="shared" si="105"/>
        <v>2</v>
      </c>
      <c r="AX633" s="21" t="str">
        <f t="shared" si="104"/>
        <v/>
      </c>
      <c r="AY633" s="21" t="str">
        <f>IF(AND($AM633&lt;&gt;"",$AS633&lt;&gt;"✓"),SUMPRODUCT(($AM$11:$AM633&lt;&gt;"")*($AS$11:$AS633&lt;&gt;"✓")),"")</f>
        <v/>
      </c>
      <c r="AZ633" s="21" t="str">
        <f>IF(AND($AM633&lt;&gt;"",$AS633="✓"),SUMPRODUCT(($AM$11:$AM633&lt;&gt;"")*($AS$11:$AS633="✓")),"")</f>
        <v/>
      </c>
      <c r="BA633" s="21" t="str">
        <f>IF($AL633="","",$AL633&amp;"|"&amp;COUNTIF($AL$11:$AL633,$AL633))</f>
        <v/>
      </c>
    </row>
    <row r="634" spans="23:53" ht="15" customHeight="1" x14ac:dyDescent="0.25">
      <c r="W634" s="28" t="str">
        <f>IF(X634="","",IFERROR(INDEX($AL$11:$AL$4010,MATCH(624,$AY$11:$AY$4010,0)),""))</f>
        <v/>
      </c>
      <c r="X634" s="26" t="str">
        <f>IFERROR(INDEX($AM$11:$AM$4010,MATCH(624,$AY$11:$AY$4010,0)),"")</f>
        <v/>
      </c>
      <c r="Y634" s="25" t="str">
        <f>IF(X634="","",IFERROR(INDEX($AN$11:$AN$4010,MATCH(624,$AY$11:$AY$4010,0)),""))</f>
        <v/>
      </c>
      <c r="Z634" s="25" t="str">
        <f>IF(X634="","",IFERROR(INDEX($AO$11:$AO$4010,MATCH(624,$AY$11:$AY$4010,0)),""))</f>
        <v/>
      </c>
      <c r="AA634" s="24" t="str">
        <f>IF(X634="","",IFERROR(INDEX($AQ$11:$AQ$4010,MATCH(624,$AY$11:$AY$4010,0)),""))</f>
        <v/>
      </c>
      <c r="AB634" s="29" t="str">
        <f>IF(X634="","",IFERROR(INDEX($AR$11:$AR$4010,MATCH(624,$AY$11:$AY$4010,0)),""))</f>
        <v/>
      </c>
      <c r="AD634" s="30" t="str">
        <f>IF(AE634="","",IFERROR(INDEX($AL$11:$AL$4010,MATCH(624,$AZ$11:$AZ$4010,0)),""))</f>
        <v/>
      </c>
      <c r="AE634" s="26" t="str">
        <f>IFERROR(INDEX($AM$11:$AM$4010,MATCH(624,$AZ$11:$AZ$4010,0)),"")</f>
        <v/>
      </c>
      <c r="AF634" s="25" t="str">
        <f>IF(AE634="","",IFERROR(INDEX($AN$11:$AN$4010,MATCH(624,$AZ$11:$AZ$4010,0)),""))</f>
        <v/>
      </c>
      <c r="AG634" s="25" t="str">
        <f>IF(AE634="","",IFERROR(INDEX($AO$11:$AO$4010,MATCH(624,$AZ$11:$AZ$4010,0)),""))</f>
        <v/>
      </c>
      <c r="AH634" s="24" t="str">
        <f>IF(AE634="","",IFERROR(INDEX($AQ$11:$AQ$4010,MATCH(624,$AZ$11:$AZ$4010,0)),""))</f>
        <v/>
      </c>
      <c r="AI634" s="29" t="str">
        <f>IF(AE634="","",IFERROR(INDEX($AR$11:$AR$4010,MATCH(624,$AZ$11:$AZ$4010,0)),""))</f>
        <v/>
      </c>
      <c r="AJ634" s="29" t="str">
        <f>IF(AE634="","",IFERROR(INDEX($AT$11:$AT$4010,MATCH(624,$AZ$11:$AZ$4010,0)),""))</f>
        <v/>
      </c>
      <c r="AL634" s="31"/>
      <c r="AM634" s="26"/>
      <c r="AN634" s="32"/>
      <c r="AO634" s="32"/>
      <c r="AP634" s="24"/>
      <c r="AQ634" s="24"/>
      <c r="AR634" s="33"/>
      <c r="AS634" s="34"/>
      <c r="AT634" s="33"/>
      <c r="AV634" s="21">
        <f>IF(AND($AL634&lt;&gt;"",COUNTIF($AL$11:$AL634,$AL634)=1),1,0)</f>
        <v>0</v>
      </c>
      <c r="AW634" s="21">
        <f t="shared" si="105"/>
        <v>2</v>
      </c>
      <c r="AX634" s="21" t="str">
        <f t="shared" si="104"/>
        <v/>
      </c>
      <c r="AY634" s="21" t="str">
        <f>IF(AND($AM634&lt;&gt;"",$AS634&lt;&gt;"✓"),SUMPRODUCT(($AM$11:$AM634&lt;&gt;"")*($AS$11:$AS634&lt;&gt;"✓")),"")</f>
        <v/>
      </c>
      <c r="AZ634" s="21" t="str">
        <f>IF(AND($AM634&lt;&gt;"",$AS634="✓"),SUMPRODUCT(($AM$11:$AM634&lt;&gt;"")*($AS$11:$AS634="✓")),"")</f>
        <v/>
      </c>
      <c r="BA634" s="21" t="str">
        <f>IF($AL634="","",$AL634&amp;"|"&amp;COUNTIF($AL$11:$AL634,$AL634))</f>
        <v/>
      </c>
    </row>
    <row r="635" spans="23:53" ht="15" customHeight="1" x14ac:dyDescent="0.25">
      <c r="W635" s="14" t="str">
        <f>IF(X635="","",IFERROR(INDEX($AL$11:$AL$4010,MATCH(625,$AY$11:$AY$4010,0)),""))</f>
        <v/>
      </c>
      <c r="X635" s="12" t="str">
        <f>IFERROR(INDEX($AM$11:$AM$4010,MATCH(625,$AY$11:$AY$4010,0)),"")</f>
        <v/>
      </c>
      <c r="Y635" s="11" t="str">
        <f>IF(X635="","",IFERROR(INDEX($AN$11:$AN$4010,MATCH(625,$AY$11:$AY$4010,0)),""))</f>
        <v/>
      </c>
      <c r="Z635" s="11" t="str">
        <f>IF(X635="","",IFERROR(INDEX($AO$11:$AO$4010,MATCH(625,$AY$11:$AY$4010,0)),""))</f>
        <v/>
      </c>
      <c r="AA635" s="10" t="str">
        <f>IF(X635="","",IFERROR(INDEX($AQ$11:$AQ$4010,MATCH(625,$AY$11:$AY$4010,0)),""))</f>
        <v/>
      </c>
      <c r="AB635" s="15" t="str">
        <f>IF(X635="","",IFERROR(INDEX($AR$11:$AR$4010,MATCH(625,$AY$11:$AY$4010,0)),""))</f>
        <v/>
      </c>
      <c r="AD635" s="16" t="str">
        <f>IF(AE635="","",IFERROR(INDEX($AL$11:$AL$4010,MATCH(625,$AZ$11:$AZ$4010,0)),""))</f>
        <v/>
      </c>
      <c r="AE635" s="12" t="str">
        <f>IFERROR(INDEX($AM$11:$AM$4010,MATCH(625,$AZ$11:$AZ$4010,0)),"")</f>
        <v/>
      </c>
      <c r="AF635" s="11" t="str">
        <f>IF(AE635="","",IFERROR(INDEX($AN$11:$AN$4010,MATCH(625,$AZ$11:$AZ$4010,0)),""))</f>
        <v/>
      </c>
      <c r="AG635" s="11" t="str">
        <f>IF(AE635="","",IFERROR(INDEX($AO$11:$AO$4010,MATCH(625,$AZ$11:$AZ$4010,0)),""))</f>
        <v/>
      </c>
      <c r="AH635" s="10" t="str">
        <f>IF(AE635="","",IFERROR(INDEX($AQ$11:$AQ$4010,MATCH(625,$AZ$11:$AZ$4010,0)),""))</f>
        <v/>
      </c>
      <c r="AI635" s="15" t="str">
        <f>IF(AE635="","",IFERROR(INDEX($AR$11:$AR$4010,MATCH(625,$AZ$11:$AZ$4010,0)),""))</f>
        <v/>
      </c>
      <c r="AJ635" s="15" t="str">
        <f>IF(AE635="","",IFERROR(INDEX($AT$11:$AT$4010,MATCH(625,$AZ$11:$AZ$4010,0)),""))</f>
        <v/>
      </c>
      <c r="AL635" s="17"/>
      <c r="AM635" s="12"/>
      <c r="AN635" s="18"/>
      <c r="AO635" s="18"/>
      <c r="AP635" s="10"/>
      <c r="AQ635" s="10"/>
      <c r="AR635" s="19"/>
      <c r="AS635" s="20"/>
      <c r="AT635" s="19"/>
      <c r="AV635" s="21">
        <f>IF(AND($AL635&lt;&gt;"",COUNTIF($AL$11:$AL635,$AL635)=1),1,0)</f>
        <v>0</v>
      </c>
      <c r="AW635" s="21">
        <f t="shared" si="105"/>
        <v>2</v>
      </c>
      <c r="AX635" s="21" t="str">
        <f t="shared" si="104"/>
        <v/>
      </c>
      <c r="AY635" s="21" t="str">
        <f>IF(AND($AM635&lt;&gt;"",$AS635&lt;&gt;"✓"),SUMPRODUCT(($AM$11:$AM635&lt;&gt;"")*($AS$11:$AS635&lt;&gt;"✓")),"")</f>
        <v/>
      </c>
      <c r="AZ635" s="21" t="str">
        <f>IF(AND($AM635&lt;&gt;"",$AS635="✓"),SUMPRODUCT(($AM$11:$AM635&lt;&gt;"")*($AS$11:$AS635="✓")),"")</f>
        <v/>
      </c>
      <c r="BA635" s="21" t="str">
        <f>IF($AL635="","",$AL635&amp;"|"&amp;COUNTIF($AL$11:$AL635,$AL635))</f>
        <v/>
      </c>
    </row>
    <row r="636" spans="23:53" ht="15" customHeight="1" x14ac:dyDescent="0.25">
      <c r="W636" s="28" t="str">
        <f>IF(X636="","",IFERROR(INDEX($AL$11:$AL$4010,MATCH(626,$AY$11:$AY$4010,0)),""))</f>
        <v/>
      </c>
      <c r="X636" s="26" t="str">
        <f>IFERROR(INDEX($AM$11:$AM$4010,MATCH(626,$AY$11:$AY$4010,0)),"")</f>
        <v/>
      </c>
      <c r="Y636" s="25" t="str">
        <f>IF(X636="","",IFERROR(INDEX($AN$11:$AN$4010,MATCH(626,$AY$11:$AY$4010,0)),""))</f>
        <v/>
      </c>
      <c r="Z636" s="25" t="str">
        <f>IF(X636="","",IFERROR(INDEX($AO$11:$AO$4010,MATCH(626,$AY$11:$AY$4010,0)),""))</f>
        <v/>
      </c>
      <c r="AA636" s="24" t="str">
        <f>IF(X636="","",IFERROR(INDEX($AQ$11:$AQ$4010,MATCH(626,$AY$11:$AY$4010,0)),""))</f>
        <v/>
      </c>
      <c r="AB636" s="29" t="str">
        <f>IF(X636="","",IFERROR(INDEX($AR$11:$AR$4010,MATCH(626,$AY$11:$AY$4010,0)),""))</f>
        <v/>
      </c>
      <c r="AD636" s="30" t="str">
        <f>IF(AE636="","",IFERROR(INDEX($AL$11:$AL$4010,MATCH(626,$AZ$11:$AZ$4010,0)),""))</f>
        <v/>
      </c>
      <c r="AE636" s="26" t="str">
        <f>IFERROR(INDEX($AM$11:$AM$4010,MATCH(626,$AZ$11:$AZ$4010,0)),"")</f>
        <v/>
      </c>
      <c r="AF636" s="25" t="str">
        <f>IF(AE636="","",IFERROR(INDEX($AN$11:$AN$4010,MATCH(626,$AZ$11:$AZ$4010,0)),""))</f>
        <v/>
      </c>
      <c r="AG636" s="25" t="str">
        <f>IF(AE636="","",IFERROR(INDEX($AO$11:$AO$4010,MATCH(626,$AZ$11:$AZ$4010,0)),""))</f>
        <v/>
      </c>
      <c r="AH636" s="24" t="str">
        <f>IF(AE636="","",IFERROR(INDEX($AQ$11:$AQ$4010,MATCH(626,$AZ$11:$AZ$4010,0)),""))</f>
        <v/>
      </c>
      <c r="AI636" s="29" t="str">
        <f>IF(AE636="","",IFERROR(INDEX($AR$11:$AR$4010,MATCH(626,$AZ$11:$AZ$4010,0)),""))</f>
        <v/>
      </c>
      <c r="AJ636" s="29" t="str">
        <f>IF(AE636="","",IFERROR(INDEX($AT$11:$AT$4010,MATCH(626,$AZ$11:$AZ$4010,0)),""))</f>
        <v/>
      </c>
      <c r="AL636" s="31"/>
      <c r="AM636" s="26"/>
      <c r="AN636" s="32"/>
      <c r="AO636" s="32"/>
      <c r="AP636" s="24"/>
      <c r="AQ636" s="24"/>
      <c r="AR636" s="33"/>
      <c r="AS636" s="34"/>
      <c r="AT636" s="33"/>
      <c r="AV636" s="21">
        <f>IF(AND($AL636&lt;&gt;"",COUNTIF($AL$11:$AL636,$AL636)=1),1,0)</f>
        <v>0</v>
      </c>
      <c r="AW636" s="21">
        <f t="shared" si="105"/>
        <v>2</v>
      </c>
      <c r="AX636" s="21" t="str">
        <f t="shared" si="104"/>
        <v/>
      </c>
      <c r="AY636" s="21" t="str">
        <f>IF(AND($AM636&lt;&gt;"",$AS636&lt;&gt;"✓"),SUMPRODUCT(($AM$11:$AM636&lt;&gt;"")*($AS$11:$AS636&lt;&gt;"✓")),"")</f>
        <v/>
      </c>
      <c r="AZ636" s="21" t="str">
        <f>IF(AND($AM636&lt;&gt;"",$AS636="✓"),SUMPRODUCT(($AM$11:$AM636&lt;&gt;"")*($AS$11:$AS636="✓")),"")</f>
        <v/>
      </c>
      <c r="BA636" s="21" t="str">
        <f>IF($AL636="","",$AL636&amp;"|"&amp;COUNTIF($AL$11:$AL636,$AL636))</f>
        <v/>
      </c>
    </row>
    <row r="637" spans="23:53" ht="15" customHeight="1" x14ac:dyDescent="0.25">
      <c r="W637" s="14" t="str">
        <f>IF(X637="","",IFERROR(INDEX($AL$11:$AL$4010,MATCH(627,$AY$11:$AY$4010,0)),""))</f>
        <v/>
      </c>
      <c r="X637" s="12" t="str">
        <f>IFERROR(INDEX($AM$11:$AM$4010,MATCH(627,$AY$11:$AY$4010,0)),"")</f>
        <v/>
      </c>
      <c r="Y637" s="11" t="str">
        <f>IF(X637="","",IFERROR(INDEX($AN$11:$AN$4010,MATCH(627,$AY$11:$AY$4010,0)),""))</f>
        <v/>
      </c>
      <c r="Z637" s="11" t="str">
        <f>IF(X637="","",IFERROR(INDEX($AO$11:$AO$4010,MATCH(627,$AY$11:$AY$4010,0)),""))</f>
        <v/>
      </c>
      <c r="AA637" s="10" t="str">
        <f>IF(X637="","",IFERROR(INDEX($AQ$11:$AQ$4010,MATCH(627,$AY$11:$AY$4010,0)),""))</f>
        <v/>
      </c>
      <c r="AB637" s="15" t="str">
        <f>IF(X637="","",IFERROR(INDEX($AR$11:$AR$4010,MATCH(627,$AY$11:$AY$4010,0)),""))</f>
        <v/>
      </c>
      <c r="AD637" s="16" t="str">
        <f>IF(AE637="","",IFERROR(INDEX($AL$11:$AL$4010,MATCH(627,$AZ$11:$AZ$4010,0)),""))</f>
        <v/>
      </c>
      <c r="AE637" s="12" t="str">
        <f>IFERROR(INDEX($AM$11:$AM$4010,MATCH(627,$AZ$11:$AZ$4010,0)),"")</f>
        <v/>
      </c>
      <c r="AF637" s="11" t="str">
        <f>IF(AE637="","",IFERROR(INDEX($AN$11:$AN$4010,MATCH(627,$AZ$11:$AZ$4010,0)),""))</f>
        <v/>
      </c>
      <c r="AG637" s="11" t="str">
        <f>IF(AE637="","",IFERROR(INDEX($AO$11:$AO$4010,MATCH(627,$AZ$11:$AZ$4010,0)),""))</f>
        <v/>
      </c>
      <c r="AH637" s="10" t="str">
        <f>IF(AE637="","",IFERROR(INDEX($AQ$11:$AQ$4010,MATCH(627,$AZ$11:$AZ$4010,0)),""))</f>
        <v/>
      </c>
      <c r="AI637" s="15" t="str">
        <f>IF(AE637="","",IFERROR(INDEX($AR$11:$AR$4010,MATCH(627,$AZ$11:$AZ$4010,0)),""))</f>
        <v/>
      </c>
      <c r="AJ637" s="15" t="str">
        <f>IF(AE637="","",IFERROR(INDEX($AT$11:$AT$4010,MATCH(627,$AZ$11:$AZ$4010,0)),""))</f>
        <v/>
      </c>
      <c r="AL637" s="17"/>
      <c r="AM637" s="12"/>
      <c r="AN637" s="18"/>
      <c r="AO637" s="18"/>
      <c r="AP637" s="10"/>
      <c r="AQ637" s="10"/>
      <c r="AR637" s="19"/>
      <c r="AS637" s="20"/>
      <c r="AT637" s="19"/>
      <c r="AV637" s="21">
        <f>IF(AND($AL637&lt;&gt;"",COUNTIF($AL$11:$AL637,$AL637)=1),1,0)</f>
        <v>0</v>
      </c>
      <c r="AW637" s="21">
        <f t="shared" si="105"/>
        <v>2</v>
      </c>
      <c r="AX637" s="21" t="str">
        <f t="shared" si="104"/>
        <v/>
      </c>
      <c r="AY637" s="21" t="str">
        <f>IF(AND($AM637&lt;&gt;"",$AS637&lt;&gt;"✓"),SUMPRODUCT(($AM$11:$AM637&lt;&gt;"")*($AS$11:$AS637&lt;&gt;"✓")),"")</f>
        <v/>
      </c>
      <c r="AZ637" s="21" t="str">
        <f>IF(AND($AM637&lt;&gt;"",$AS637="✓"),SUMPRODUCT(($AM$11:$AM637&lt;&gt;"")*($AS$11:$AS637="✓")),"")</f>
        <v/>
      </c>
      <c r="BA637" s="21" t="str">
        <f>IF($AL637="","",$AL637&amp;"|"&amp;COUNTIF($AL$11:$AL637,$AL637))</f>
        <v/>
      </c>
    </row>
    <row r="638" spans="23:53" ht="15" customHeight="1" x14ac:dyDescent="0.25">
      <c r="W638" s="28" t="str">
        <f>IF(X638="","",IFERROR(INDEX($AL$11:$AL$4010,MATCH(628,$AY$11:$AY$4010,0)),""))</f>
        <v/>
      </c>
      <c r="X638" s="26" t="str">
        <f>IFERROR(INDEX($AM$11:$AM$4010,MATCH(628,$AY$11:$AY$4010,0)),"")</f>
        <v/>
      </c>
      <c r="Y638" s="25" t="str">
        <f>IF(X638="","",IFERROR(INDEX($AN$11:$AN$4010,MATCH(628,$AY$11:$AY$4010,0)),""))</f>
        <v/>
      </c>
      <c r="Z638" s="25" t="str">
        <f>IF(X638="","",IFERROR(INDEX($AO$11:$AO$4010,MATCH(628,$AY$11:$AY$4010,0)),""))</f>
        <v/>
      </c>
      <c r="AA638" s="24" t="str">
        <f>IF(X638="","",IFERROR(INDEX($AQ$11:$AQ$4010,MATCH(628,$AY$11:$AY$4010,0)),""))</f>
        <v/>
      </c>
      <c r="AB638" s="29" t="str">
        <f>IF(X638="","",IFERROR(INDEX($AR$11:$AR$4010,MATCH(628,$AY$11:$AY$4010,0)),""))</f>
        <v/>
      </c>
      <c r="AD638" s="30" t="str">
        <f>IF(AE638="","",IFERROR(INDEX($AL$11:$AL$4010,MATCH(628,$AZ$11:$AZ$4010,0)),""))</f>
        <v/>
      </c>
      <c r="AE638" s="26" t="str">
        <f>IFERROR(INDEX($AM$11:$AM$4010,MATCH(628,$AZ$11:$AZ$4010,0)),"")</f>
        <v/>
      </c>
      <c r="AF638" s="25" t="str">
        <f>IF(AE638="","",IFERROR(INDEX($AN$11:$AN$4010,MATCH(628,$AZ$11:$AZ$4010,0)),""))</f>
        <v/>
      </c>
      <c r="AG638" s="25" t="str">
        <f>IF(AE638="","",IFERROR(INDEX($AO$11:$AO$4010,MATCH(628,$AZ$11:$AZ$4010,0)),""))</f>
        <v/>
      </c>
      <c r="AH638" s="24" t="str">
        <f>IF(AE638="","",IFERROR(INDEX($AQ$11:$AQ$4010,MATCH(628,$AZ$11:$AZ$4010,0)),""))</f>
        <v/>
      </c>
      <c r="AI638" s="29" t="str">
        <f>IF(AE638="","",IFERROR(INDEX($AR$11:$AR$4010,MATCH(628,$AZ$11:$AZ$4010,0)),""))</f>
        <v/>
      </c>
      <c r="AJ638" s="29" t="str">
        <f>IF(AE638="","",IFERROR(INDEX($AT$11:$AT$4010,MATCH(628,$AZ$11:$AZ$4010,0)),""))</f>
        <v/>
      </c>
      <c r="AL638" s="31"/>
      <c r="AM638" s="26"/>
      <c r="AN638" s="32"/>
      <c r="AO638" s="32"/>
      <c r="AP638" s="24"/>
      <c r="AQ638" s="24"/>
      <c r="AR638" s="33"/>
      <c r="AS638" s="34"/>
      <c r="AT638" s="33"/>
      <c r="AV638" s="21">
        <f>IF(AND($AL638&lt;&gt;"",COUNTIF($AL$11:$AL638,$AL638)=1),1,0)</f>
        <v>0</v>
      </c>
      <c r="AW638" s="21">
        <f t="shared" si="105"/>
        <v>2</v>
      </c>
      <c r="AX638" s="21" t="str">
        <f t="shared" si="104"/>
        <v/>
      </c>
      <c r="AY638" s="21" t="str">
        <f>IF(AND($AM638&lt;&gt;"",$AS638&lt;&gt;"✓"),SUMPRODUCT(($AM$11:$AM638&lt;&gt;"")*($AS$11:$AS638&lt;&gt;"✓")),"")</f>
        <v/>
      </c>
      <c r="AZ638" s="21" t="str">
        <f>IF(AND($AM638&lt;&gt;"",$AS638="✓"),SUMPRODUCT(($AM$11:$AM638&lt;&gt;"")*($AS$11:$AS638="✓")),"")</f>
        <v/>
      </c>
      <c r="BA638" s="21" t="str">
        <f>IF($AL638="","",$AL638&amp;"|"&amp;COUNTIF($AL$11:$AL638,$AL638))</f>
        <v/>
      </c>
    </row>
    <row r="639" spans="23:53" ht="15" customHeight="1" x14ac:dyDescent="0.25">
      <c r="W639" s="14" t="str">
        <f>IF(X639="","",IFERROR(INDEX($AL$11:$AL$4010,MATCH(629,$AY$11:$AY$4010,0)),""))</f>
        <v/>
      </c>
      <c r="X639" s="12" t="str">
        <f>IFERROR(INDEX($AM$11:$AM$4010,MATCH(629,$AY$11:$AY$4010,0)),"")</f>
        <v/>
      </c>
      <c r="Y639" s="11" t="str">
        <f>IF(X639="","",IFERROR(INDEX($AN$11:$AN$4010,MATCH(629,$AY$11:$AY$4010,0)),""))</f>
        <v/>
      </c>
      <c r="Z639" s="11" t="str">
        <f>IF(X639="","",IFERROR(INDEX($AO$11:$AO$4010,MATCH(629,$AY$11:$AY$4010,0)),""))</f>
        <v/>
      </c>
      <c r="AA639" s="10" t="str">
        <f>IF(X639="","",IFERROR(INDEX($AQ$11:$AQ$4010,MATCH(629,$AY$11:$AY$4010,0)),""))</f>
        <v/>
      </c>
      <c r="AB639" s="15" t="str">
        <f>IF(X639="","",IFERROR(INDEX($AR$11:$AR$4010,MATCH(629,$AY$11:$AY$4010,0)),""))</f>
        <v/>
      </c>
      <c r="AD639" s="16" t="str">
        <f>IF(AE639="","",IFERROR(INDEX($AL$11:$AL$4010,MATCH(629,$AZ$11:$AZ$4010,0)),""))</f>
        <v/>
      </c>
      <c r="AE639" s="12" t="str">
        <f>IFERROR(INDEX($AM$11:$AM$4010,MATCH(629,$AZ$11:$AZ$4010,0)),"")</f>
        <v/>
      </c>
      <c r="AF639" s="11" t="str">
        <f>IF(AE639="","",IFERROR(INDEX($AN$11:$AN$4010,MATCH(629,$AZ$11:$AZ$4010,0)),""))</f>
        <v/>
      </c>
      <c r="AG639" s="11" t="str">
        <f>IF(AE639="","",IFERROR(INDEX($AO$11:$AO$4010,MATCH(629,$AZ$11:$AZ$4010,0)),""))</f>
        <v/>
      </c>
      <c r="AH639" s="10" t="str">
        <f>IF(AE639="","",IFERROR(INDEX($AQ$11:$AQ$4010,MATCH(629,$AZ$11:$AZ$4010,0)),""))</f>
        <v/>
      </c>
      <c r="AI639" s="15" t="str">
        <f>IF(AE639="","",IFERROR(INDEX($AR$11:$AR$4010,MATCH(629,$AZ$11:$AZ$4010,0)),""))</f>
        <v/>
      </c>
      <c r="AJ639" s="15" t="str">
        <f>IF(AE639="","",IFERROR(INDEX($AT$11:$AT$4010,MATCH(629,$AZ$11:$AZ$4010,0)),""))</f>
        <v/>
      </c>
      <c r="AL639" s="17"/>
      <c r="AM639" s="12"/>
      <c r="AN639" s="18"/>
      <c r="AO639" s="18"/>
      <c r="AP639" s="10"/>
      <c r="AQ639" s="10"/>
      <c r="AR639" s="19"/>
      <c r="AS639" s="20"/>
      <c r="AT639" s="19"/>
      <c r="AV639" s="21">
        <f>IF(AND($AL639&lt;&gt;"",COUNTIF($AL$11:$AL639,$AL639)=1),1,0)</f>
        <v>0</v>
      </c>
      <c r="AW639" s="21">
        <f t="shared" si="105"/>
        <v>2</v>
      </c>
      <c r="AX639" s="21" t="str">
        <f t="shared" si="104"/>
        <v/>
      </c>
      <c r="AY639" s="21" t="str">
        <f>IF(AND($AM639&lt;&gt;"",$AS639&lt;&gt;"✓"),SUMPRODUCT(($AM$11:$AM639&lt;&gt;"")*($AS$11:$AS639&lt;&gt;"✓")),"")</f>
        <v/>
      </c>
      <c r="AZ639" s="21" t="str">
        <f>IF(AND($AM639&lt;&gt;"",$AS639="✓"),SUMPRODUCT(($AM$11:$AM639&lt;&gt;"")*($AS$11:$AS639="✓")),"")</f>
        <v/>
      </c>
      <c r="BA639" s="21" t="str">
        <f>IF($AL639="","",$AL639&amp;"|"&amp;COUNTIF($AL$11:$AL639,$AL639))</f>
        <v/>
      </c>
    </row>
    <row r="640" spans="23:53" ht="15" customHeight="1" x14ac:dyDescent="0.25">
      <c r="W640" s="28" t="str">
        <f>IF(X640="","",IFERROR(INDEX($AL$11:$AL$4010,MATCH(630,$AY$11:$AY$4010,0)),""))</f>
        <v/>
      </c>
      <c r="X640" s="26" t="str">
        <f>IFERROR(INDEX($AM$11:$AM$4010,MATCH(630,$AY$11:$AY$4010,0)),"")</f>
        <v/>
      </c>
      <c r="Y640" s="25" t="str">
        <f>IF(X640="","",IFERROR(INDEX($AN$11:$AN$4010,MATCH(630,$AY$11:$AY$4010,0)),""))</f>
        <v/>
      </c>
      <c r="Z640" s="25" t="str">
        <f>IF(X640="","",IFERROR(INDEX($AO$11:$AO$4010,MATCH(630,$AY$11:$AY$4010,0)),""))</f>
        <v/>
      </c>
      <c r="AA640" s="24" t="str">
        <f>IF(X640="","",IFERROR(INDEX($AQ$11:$AQ$4010,MATCH(630,$AY$11:$AY$4010,0)),""))</f>
        <v/>
      </c>
      <c r="AB640" s="29" t="str">
        <f>IF(X640="","",IFERROR(INDEX($AR$11:$AR$4010,MATCH(630,$AY$11:$AY$4010,0)),""))</f>
        <v/>
      </c>
      <c r="AD640" s="30" t="str">
        <f>IF(AE640="","",IFERROR(INDEX($AL$11:$AL$4010,MATCH(630,$AZ$11:$AZ$4010,0)),""))</f>
        <v/>
      </c>
      <c r="AE640" s="26" t="str">
        <f>IFERROR(INDEX($AM$11:$AM$4010,MATCH(630,$AZ$11:$AZ$4010,0)),"")</f>
        <v/>
      </c>
      <c r="AF640" s="25" t="str">
        <f>IF(AE640="","",IFERROR(INDEX($AN$11:$AN$4010,MATCH(630,$AZ$11:$AZ$4010,0)),""))</f>
        <v/>
      </c>
      <c r="AG640" s="25" t="str">
        <f>IF(AE640="","",IFERROR(INDEX($AO$11:$AO$4010,MATCH(630,$AZ$11:$AZ$4010,0)),""))</f>
        <v/>
      </c>
      <c r="AH640" s="24" t="str">
        <f>IF(AE640="","",IFERROR(INDEX($AQ$11:$AQ$4010,MATCH(630,$AZ$11:$AZ$4010,0)),""))</f>
        <v/>
      </c>
      <c r="AI640" s="29" t="str">
        <f>IF(AE640="","",IFERROR(INDEX($AR$11:$AR$4010,MATCH(630,$AZ$11:$AZ$4010,0)),""))</f>
        <v/>
      </c>
      <c r="AJ640" s="29" t="str">
        <f>IF(AE640="","",IFERROR(INDEX($AT$11:$AT$4010,MATCH(630,$AZ$11:$AZ$4010,0)),""))</f>
        <v/>
      </c>
      <c r="AL640" s="31"/>
      <c r="AM640" s="26"/>
      <c r="AN640" s="32"/>
      <c r="AO640" s="32"/>
      <c r="AP640" s="24"/>
      <c r="AQ640" s="24"/>
      <c r="AR640" s="33"/>
      <c r="AS640" s="34"/>
      <c r="AT640" s="33"/>
      <c r="AV640" s="21">
        <f>IF(AND($AL640&lt;&gt;"",COUNTIF($AL$11:$AL640,$AL640)=1),1,0)</f>
        <v>0</v>
      </c>
      <c r="AW640" s="21">
        <f t="shared" si="105"/>
        <v>2</v>
      </c>
      <c r="AX640" s="21" t="str">
        <f t="shared" si="104"/>
        <v/>
      </c>
      <c r="AY640" s="21" t="str">
        <f>IF(AND($AM640&lt;&gt;"",$AS640&lt;&gt;"✓"),SUMPRODUCT(($AM$11:$AM640&lt;&gt;"")*($AS$11:$AS640&lt;&gt;"✓")),"")</f>
        <v/>
      </c>
      <c r="AZ640" s="21" t="str">
        <f>IF(AND($AM640&lt;&gt;"",$AS640="✓"),SUMPRODUCT(($AM$11:$AM640&lt;&gt;"")*($AS$11:$AS640="✓")),"")</f>
        <v/>
      </c>
      <c r="BA640" s="21" t="str">
        <f>IF($AL640="","",$AL640&amp;"|"&amp;COUNTIF($AL$11:$AL640,$AL640))</f>
        <v/>
      </c>
    </row>
    <row r="641" spans="23:53" ht="15" customHeight="1" x14ac:dyDescent="0.25">
      <c r="W641" s="14" t="str">
        <f>IF(X641="","",IFERROR(INDEX($AL$11:$AL$4010,MATCH(631,$AY$11:$AY$4010,0)),""))</f>
        <v/>
      </c>
      <c r="X641" s="12" t="str">
        <f>IFERROR(INDEX($AM$11:$AM$4010,MATCH(631,$AY$11:$AY$4010,0)),"")</f>
        <v/>
      </c>
      <c r="Y641" s="11" t="str">
        <f>IF(X641="","",IFERROR(INDEX($AN$11:$AN$4010,MATCH(631,$AY$11:$AY$4010,0)),""))</f>
        <v/>
      </c>
      <c r="Z641" s="11" t="str">
        <f>IF(X641="","",IFERROR(INDEX($AO$11:$AO$4010,MATCH(631,$AY$11:$AY$4010,0)),""))</f>
        <v/>
      </c>
      <c r="AA641" s="10" t="str">
        <f>IF(X641="","",IFERROR(INDEX($AQ$11:$AQ$4010,MATCH(631,$AY$11:$AY$4010,0)),""))</f>
        <v/>
      </c>
      <c r="AB641" s="15" t="str">
        <f>IF(X641="","",IFERROR(INDEX($AR$11:$AR$4010,MATCH(631,$AY$11:$AY$4010,0)),""))</f>
        <v/>
      </c>
      <c r="AD641" s="16" t="str">
        <f>IF(AE641="","",IFERROR(INDEX($AL$11:$AL$4010,MATCH(631,$AZ$11:$AZ$4010,0)),""))</f>
        <v/>
      </c>
      <c r="AE641" s="12" t="str">
        <f>IFERROR(INDEX($AM$11:$AM$4010,MATCH(631,$AZ$11:$AZ$4010,0)),"")</f>
        <v/>
      </c>
      <c r="AF641" s="11" t="str">
        <f>IF(AE641="","",IFERROR(INDEX($AN$11:$AN$4010,MATCH(631,$AZ$11:$AZ$4010,0)),""))</f>
        <v/>
      </c>
      <c r="AG641" s="11" t="str">
        <f>IF(AE641="","",IFERROR(INDEX($AO$11:$AO$4010,MATCH(631,$AZ$11:$AZ$4010,0)),""))</f>
        <v/>
      </c>
      <c r="AH641" s="10" t="str">
        <f>IF(AE641="","",IFERROR(INDEX($AQ$11:$AQ$4010,MATCH(631,$AZ$11:$AZ$4010,0)),""))</f>
        <v/>
      </c>
      <c r="AI641" s="15" t="str">
        <f>IF(AE641="","",IFERROR(INDEX($AR$11:$AR$4010,MATCH(631,$AZ$11:$AZ$4010,0)),""))</f>
        <v/>
      </c>
      <c r="AJ641" s="15" t="str">
        <f>IF(AE641="","",IFERROR(INDEX($AT$11:$AT$4010,MATCH(631,$AZ$11:$AZ$4010,0)),""))</f>
        <v/>
      </c>
      <c r="AL641" s="17"/>
      <c r="AM641" s="12"/>
      <c r="AN641" s="18"/>
      <c r="AO641" s="18"/>
      <c r="AP641" s="10"/>
      <c r="AQ641" s="10"/>
      <c r="AR641" s="19"/>
      <c r="AS641" s="20"/>
      <c r="AT641" s="19"/>
      <c r="AV641" s="21">
        <f>IF(AND($AL641&lt;&gt;"",COUNTIF($AL$11:$AL641,$AL641)=1),1,0)</f>
        <v>0</v>
      </c>
      <c r="AW641" s="21">
        <f t="shared" si="105"/>
        <v>2</v>
      </c>
      <c r="AX641" s="21" t="str">
        <f t="shared" si="104"/>
        <v/>
      </c>
      <c r="AY641" s="21" t="str">
        <f>IF(AND($AM641&lt;&gt;"",$AS641&lt;&gt;"✓"),SUMPRODUCT(($AM$11:$AM641&lt;&gt;"")*($AS$11:$AS641&lt;&gt;"✓")),"")</f>
        <v/>
      </c>
      <c r="AZ641" s="21" t="str">
        <f>IF(AND($AM641&lt;&gt;"",$AS641="✓"),SUMPRODUCT(($AM$11:$AM641&lt;&gt;"")*($AS$11:$AS641="✓")),"")</f>
        <v/>
      </c>
      <c r="BA641" s="21" t="str">
        <f>IF($AL641="","",$AL641&amp;"|"&amp;COUNTIF($AL$11:$AL641,$AL641))</f>
        <v/>
      </c>
    </row>
    <row r="642" spans="23:53" ht="15" customHeight="1" x14ac:dyDescent="0.25">
      <c r="W642" s="28" t="str">
        <f>IF(X642="","",IFERROR(INDEX($AL$11:$AL$4010,MATCH(632,$AY$11:$AY$4010,0)),""))</f>
        <v/>
      </c>
      <c r="X642" s="26" t="str">
        <f>IFERROR(INDEX($AM$11:$AM$4010,MATCH(632,$AY$11:$AY$4010,0)),"")</f>
        <v/>
      </c>
      <c r="Y642" s="25" t="str">
        <f>IF(X642="","",IFERROR(INDEX($AN$11:$AN$4010,MATCH(632,$AY$11:$AY$4010,0)),""))</f>
        <v/>
      </c>
      <c r="Z642" s="25" t="str">
        <f>IF(X642="","",IFERROR(INDEX($AO$11:$AO$4010,MATCH(632,$AY$11:$AY$4010,0)),""))</f>
        <v/>
      </c>
      <c r="AA642" s="24" t="str">
        <f>IF(X642="","",IFERROR(INDEX($AQ$11:$AQ$4010,MATCH(632,$AY$11:$AY$4010,0)),""))</f>
        <v/>
      </c>
      <c r="AB642" s="29" t="str">
        <f>IF(X642="","",IFERROR(INDEX($AR$11:$AR$4010,MATCH(632,$AY$11:$AY$4010,0)),""))</f>
        <v/>
      </c>
      <c r="AD642" s="30" t="str">
        <f>IF(AE642="","",IFERROR(INDEX($AL$11:$AL$4010,MATCH(632,$AZ$11:$AZ$4010,0)),""))</f>
        <v/>
      </c>
      <c r="AE642" s="26" t="str">
        <f>IFERROR(INDEX($AM$11:$AM$4010,MATCH(632,$AZ$11:$AZ$4010,0)),"")</f>
        <v/>
      </c>
      <c r="AF642" s="25" t="str">
        <f>IF(AE642="","",IFERROR(INDEX($AN$11:$AN$4010,MATCH(632,$AZ$11:$AZ$4010,0)),""))</f>
        <v/>
      </c>
      <c r="AG642" s="25" t="str">
        <f>IF(AE642="","",IFERROR(INDEX($AO$11:$AO$4010,MATCH(632,$AZ$11:$AZ$4010,0)),""))</f>
        <v/>
      </c>
      <c r="AH642" s="24" t="str">
        <f>IF(AE642="","",IFERROR(INDEX($AQ$11:$AQ$4010,MATCH(632,$AZ$11:$AZ$4010,0)),""))</f>
        <v/>
      </c>
      <c r="AI642" s="29" t="str">
        <f>IF(AE642="","",IFERROR(INDEX($AR$11:$AR$4010,MATCH(632,$AZ$11:$AZ$4010,0)),""))</f>
        <v/>
      </c>
      <c r="AJ642" s="29" t="str">
        <f>IF(AE642="","",IFERROR(INDEX($AT$11:$AT$4010,MATCH(632,$AZ$11:$AZ$4010,0)),""))</f>
        <v/>
      </c>
      <c r="AL642" s="31"/>
      <c r="AM642" s="26"/>
      <c r="AN642" s="32"/>
      <c r="AO642" s="32"/>
      <c r="AP642" s="24"/>
      <c r="AQ642" s="24"/>
      <c r="AR642" s="33"/>
      <c r="AS642" s="34"/>
      <c r="AT642" s="33"/>
      <c r="AV642" s="21">
        <f>IF(AND($AL642&lt;&gt;"",COUNTIF($AL$11:$AL642,$AL642)=1),1,0)</f>
        <v>0</v>
      </c>
      <c r="AW642" s="21">
        <f t="shared" si="105"/>
        <v>2</v>
      </c>
      <c r="AX642" s="21" t="str">
        <f t="shared" si="104"/>
        <v/>
      </c>
      <c r="AY642" s="21" t="str">
        <f>IF(AND($AM642&lt;&gt;"",$AS642&lt;&gt;"✓"),SUMPRODUCT(($AM$11:$AM642&lt;&gt;"")*($AS$11:$AS642&lt;&gt;"✓")),"")</f>
        <v/>
      </c>
      <c r="AZ642" s="21" t="str">
        <f>IF(AND($AM642&lt;&gt;"",$AS642="✓"),SUMPRODUCT(($AM$11:$AM642&lt;&gt;"")*($AS$11:$AS642="✓")),"")</f>
        <v/>
      </c>
      <c r="BA642" s="21" t="str">
        <f>IF($AL642="","",$AL642&amp;"|"&amp;COUNTIF($AL$11:$AL642,$AL642))</f>
        <v/>
      </c>
    </row>
    <row r="643" spans="23:53" ht="15" customHeight="1" x14ac:dyDescent="0.25">
      <c r="W643" s="14" t="str">
        <f>IF(X643="","",IFERROR(INDEX($AL$11:$AL$4010,MATCH(633,$AY$11:$AY$4010,0)),""))</f>
        <v/>
      </c>
      <c r="X643" s="12" t="str">
        <f>IFERROR(INDEX($AM$11:$AM$4010,MATCH(633,$AY$11:$AY$4010,0)),"")</f>
        <v/>
      </c>
      <c r="Y643" s="11" t="str">
        <f>IF(X643="","",IFERROR(INDEX($AN$11:$AN$4010,MATCH(633,$AY$11:$AY$4010,0)),""))</f>
        <v/>
      </c>
      <c r="Z643" s="11" t="str">
        <f>IF(X643="","",IFERROR(INDEX($AO$11:$AO$4010,MATCH(633,$AY$11:$AY$4010,0)),""))</f>
        <v/>
      </c>
      <c r="AA643" s="10" t="str">
        <f>IF(X643="","",IFERROR(INDEX($AQ$11:$AQ$4010,MATCH(633,$AY$11:$AY$4010,0)),""))</f>
        <v/>
      </c>
      <c r="AB643" s="15" t="str">
        <f>IF(X643="","",IFERROR(INDEX($AR$11:$AR$4010,MATCH(633,$AY$11:$AY$4010,0)),""))</f>
        <v/>
      </c>
      <c r="AD643" s="16" t="str">
        <f>IF(AE643="","",IFERROR(INDEX($AL$11:$AL$4010,MATCH(633,$AZ$11:$AZ$4010,0)),""))</f>
        <v/>
      </c>
      <c r="AE643" s="12" t="str">
        <f>IFERROR(INDEX($AM$11:$AM$4010,MATCH(633,$AZ$11:$AZ$4010,0)),"")</f>
        <v/>
      </c>
      <c r="AF643" s="11" t="str">
        <f>IF(AE643="","",IFERROR(INDEX($AN$11:$AN$4010,MATCH(633,$AZ$11:$AZ$4010,0)),""))</f>
        <v/>
      </c>
      <c r="AG643" s="11" t="str">
        <f>IF(AE643="","",IFERROR(INDEX($AO$11:$AO$4010,MATCH(633,$AZ$11:$AZ$4010,0)),""))</f>
        <v/>
      </c>
      <c r="AH643" s="10" t="str">
        <f>IF(AE643="","",IFERROR(INDEX($AQ$11:$AQ$4010,MATCH(633,$AZ$11:$AZ$4010,0)),""))</f>
        <v/>
      </c>
      <c r="AI643" s="15" t="str">
        <f>IF(AE643="","",IFERROR(INDEX($AR$11:$AR$4010,MATCH(633,$AZ$11:$AZ$4010,0)),""))</f>
        <v/>
      </c>
      <c r="AJ643" s="15" t="str">
        <f>IF(AE643="","",IFERROR(INDEX($AT$11:$AT$4010,MATCH(633,$AZ$11:$AZ$4010,0)),""))</f>
        <v/>
      </c>
      <c r="AL643" s="17"/>
      <c r="AM643" s="12"/>
      <c r="AN643" s="18"/>
      <c r="AO643" s="18"/>
      <c r="AP643" s="10"/>
      <c r="AQ643" s="10"/>
      <c r="AR643" s="19"/>
      <c r="AS643" s="20"/>
      <c r="AT643" s="19"/>
      <c r="AV643" s="21">
        <f>IF(AND($AL643&lt;&gt;"",COUNTIF($AL$11:$AL643,$AL643)=1),1,0)</f>
        <v>0</v>
      </c>
      <c r="AW643" s="21">
        <f t="shared" si="105"/>
        <v>2</v>
      </c>
      <c r="AX643" s="21" t="str">
        <f t="shared" si="104"/>
        <v/>
      </c>
      <c r="AY643" s="21" t="str">
        <f>IF(AND($AM643&lt;&gt;"",$AS643&lt;&gt;"✓"),SUMPRODUCT(($AM$11:$AM643&lt;&gt;"")*($AS$11:$AS643&lt;&gt;"✓")),"")</f>
        <v/>
      </c>
      <c r="AZ643" s="21" t="str">
        <f>IF(AND($AM643&lt;&gt;"",$AS643="✓"),SUMPRODUCT(($AM$11:$AM643&lt;&gt;"")*($AS$11:$AS643="✓")),"")</f>
        <v/>
      </c>
      <c r="BA643" s="21" t="str">
        <f>IF($AL643="","",$AL643&amp;"|"&amp;COUNTIF($AL$11:$AL643,$AL643))</f>
        <v/>
      </c>
    </row>
    <row r="644" spans="23:53" ht="15" customHeight="1" x14ac:dyDescent="0.25">
      <c r="W644" s="28" t="str">
        <f>IF(X644="","",IFERROR(INDEX($AL$11:$AL$4010,MATCH(634,$AY$11:$AY$4010,0)),""))</f>
        <v/>
      </c>
      <c r="X644" s="26" t="str">
        <f>IFERROR(INDEX($AM$11:$AM$4010,MATCH(634,$AY$11:$AY$4010,0)),"")</f>
        <v/>
      </c>
      <c r="Y644" s="25" t="str">
        <f>IF(X644="","",IFERROR(INDEX($AN$11:$AN$4010,MATCH(634,$AY$11:$AY$4010,0)),""))</f>
        <v/>
      </c>
      <c r="Z644" s="25" t="str">
        <f>IF(X644="","",IFERROR(INDEX($AO$11:$AO$4010,MATCH(634,$AY$11:$AY$4010,0)),""))</f>
        <v/>
      </c>
      <c r="AA644" s="24" t="str">
        <f>IF(X644="","",IFERROR(INDEX($AQ$11:$AQ$4010,MATCH(634,$AY$11:$AY$4010,0)),""))</f>
        <v/>
      </c>
      <c r="AB644" s="29" t="str">
        <f>IF(X644="","",IFERROR(INDEX($AR$11:$AR$4010,MATCH(634,$AY$11:$AY$4010,0)),""))</f>
        <v/>
      </c>
      <c r="AD644" s="30" t="str">
        <f>IF(AE644="","",IFERROR(INDEX($AL$11:$AL$4010,MATCH(634,$AZ$11:$AZ$4010,0)),""))</f>
        <v/>
      </c>
      <c r="AE644" s="26" t="str">
        <f>IFERROR(INDEX($AM$11:$AM$4010,MATCH(634,$AZ$11:$AZ$4010,0)),"")</f>
        <v/>
      </c>
      <c r="AF644" s="25" t="str">
        <f>IF(AE644="","",IFERROR(INDEX($AN$11:$AN$4010,MATCH(634,$AZ$11:$AZ$4010,0)),""))</f>
        <v/>
      </c>
      <c r="AG644" s="25" t="str">
        <f>IF(AE644="","",IFERROR(INDEX($AO$11:$AO$4010,MATCH(634,$AZ$11:$AZ$4010,0)),""))</f>
        <v/>
      </c>
      <c r="AH644" s="24" t="str">
        <f>IF(AE644="","",IFERROR(INDEX($AQ$11:$AQ$4010,MATCH(634,$AZ$11:$AZ$4010,0)),""))</f>
        <v/>
      </c>
      <c r="AI644" s="29" t="str">
        <f>IF(AE644="","",IFERROR(INDEX($AR$11:$AR$4010,MATCH(634,$AZ$11:$AZ$4010,0)),""))</f>
        <v/>
      </c>
      <c r="AJ644" s="29" t="str">
        <f>IF(AE644="","",IFERROR(INDEX($AT$11:$AT$4010,MATCH(634,$AZ$11:$AZ$4010,0)),""))</f>
        <v/>
      </c>
      <c r="AL644" s="31"/>
      <c r="AM644" s="26"/>
      <c r="AN644" s="32"/>
      <c r="AO644" s="32"/>
      <c r="AP644" s="24"/>
      <c r="AQ644" s="24"/>
      <c r="AR644" s="33"/>
      <c r="AS644" s="34"/>
      <c r="AT644" s="33"/>
      <c r="AV644" s="21">
        <f>IF(AND($AL644&lt;&gt;"",COUNTIF($AL$11:$AL644,$AL644)=1),1,0)</f>
        <v>0</v>
      </c>
      <c r="AW644" s="21">
        <f t="shared" si="105"/>
        <v>2</v>
      </c>
      <c r="AX644" s="21" t="str">
        <f t="shared" si="104"/>
        <v/>
      </c>
      <c r="AY644" s="21" t="str">
        <f>IF(AND($AM644&lt;&gt;"",$AS644&lt;&gt;"✓"),SUMPRODUCT(($AM$11:$AM644&lt;&gt;"")*($AS$11:$AS644&lt;&gt;"✓")),"")</f>
        <v/>
      </c>
      <c r="AZ644" s="21" t="str">
        <f>IF(AND($AM644&lt;&gt;"",$AS644="✓"),SUMPRODUCT(($AM$11:$AM644&lt;&gt;"")*($AS$11:$AS644="✓")),"")</f>
        <v/>
      </c>
      <c r="BA644" s="21" t="str">
        <f>IF($AL644="","",$AL644&amp;"|"&amp;COUNTIF($AL$11:$AL644,$AL644))</f>
        <v/>
      </c>
    </row>
    <row r="645" spans="23:53" ht="15" customHeight="1" x14ac:dyDescent="0.25">
      <c r="W645" s="14" t="str">
        <f>IF(X645="","",IFERROR(INDEX($AL$11:$AL$4010,MATCH(635,$AY$11:$AY$4010,0)),""))</f>
        <v/>
      </c>
      <c r="X645" s="12" t="str">
        <f>IFERROR(INDEX($AM$11:$AM$4010,MATCH(635,$AY$11:$AY$4010,0)),"")</f>
        <v/>
      </c>
      <c r="Y645" s="11" t="str">
        <f>IF(X645="","",IFERROR(INDEX($AN$11:$AN$4010,MATCH(635,$AY$11:$AY$4010,0)),""))</f>
        <v/>
      </c>
      <c r="Z645" s="11" t="str">
        <f>IF(X645="","",IFERROR(INDEX($AO$11:$AO$4010,MATCH(635,$AY$11:$AY$4010,0)),""))</f>
        <v/>
      </c>
      <c r="AA645" s="10" t="str">
        <f>IF(X645="","",IFERROR(INDEX($AQ$11:$AQ$4010,MATCH(635,$AY$11:$AY$4010,0)),""))</f>
        <v/>
      </c>
      <c r="AB645" s="15" t="str">
        <f>IF(X645="","",IFERROR(INDEX($AR$11:$AR$4010,MATCH(635,$AY$11:$AY$4010,0)),""))</f>
        <v/>
      </c>
      <c r="AD645" s="16" t="str">
        <f>IF(AE645="","",IFERROR(INDEX($AL$11:$AL$4010,MATCH(635,$AZ$11:$AZ$4010,0)),""))</f>
        <v/>
      </c>
      <c r="AE645" s="12" t="str">
        <f>IFERROR(INDEX($AM$11:$AM$4010,MATCH(635,$AZ$11:$AZ$4010,0)),"")</f>
        <v/>
      </c>
      <c r="AF645" s="11" t="str">
        <f>IF(AE645="","",IFERROR(INDEX($AN$11:$AN$4010,MATCH(635,$AZ$11:$AZ$4010,0)),""))</f>
        <v/>
      </c>
      <c r="AG645" s="11" t="str">
        <f>IF(AE645="","",IFERROR(INDEX($AO$11:$AO$4010,MATCH(635,$AZ$11:$AZ$4010,0)),""))</f>
        <v/>
      </c>
      <c r="AH645" s="10" t="str">
        <f>IF(AE645="","",IFERROR(INDEX($AQ$11:$AQ$4010,MATCH(635,$AZ$11:$AZ$4010,0)),""))</f>
        <v/>
      </c>
      <c r="AI645" s="15" t="str">
        <f>IF(AE645="","",IFERROR(INDEX($AR$11:$AR$4010,MATCH(635,$AZ$11:$AZ$4010,0)),""))</f>
        <v/>
      </c>
      <c r="AJ645" s="15" t="str">
        <f>IF(AE645="","",IFERROR(INDEX($AT$11:$AT$4010,MATCH(635,$AZ$11:$AZ$4010,0)),""))</f>
        <v/>
      </c>
      <c r="AL645" s="17"/>
      <c r="AM645" s="12"/>
      <c r="AN645" s="18"/>
      <c r="AO645" s="18"/>
      <c r="AP645" s="10"/>
      <c r="AQ645" s="10"/>
      <c r="AR645" s="19"/>
      <c r="AS645" s="20"/>
      <c r="AT645" s="19"/>
      <c r="AV645" s="21">
        <f>IF(AND($AL645&lt;&gt;"",COUNTIF($AL$11:$AL645,$AL645)=1),1,0)</f>
        <v>0</v>
      </c>
      <c r="AW645" s="21">
        <f t="shared" si="105"/>
        <v>2</v>
      </c>
      <c r="AX645" s="21" t="str">
        <f t="shared" si="104"/>
        <v/>
      </c>
      <c r="AY645" s="21" t="str">
        <f>IF(AND($AM645&lt;&gt;"",$AS645&lt;&gt;"✓"),SUMPRODUCT(($AM$11:$AM645&lt;&gt;"")*($AS$11:$AS645&lt;&gt;"✓")),"")</f>
        <v/>
      </c>
      <c r="AZ645" s="21" t="str">
        <f>IF(AND($AM645&lt;&gt;"",$AS645="✓"),SUMPRODUCT(($AM$11:$AM645&lt;&gt;"")*($AS$11:$AS645="✓")),"")</f>
        <v/>
      </c>
      <c r="BA645" s="21" t="str">
        <f>IF($AL645="","",$AL645&amp;"|"&amp;COUNTIF($AL$11:$AL645,$AL645))</f>
        <v/>
      </c>
    </row>
    <row r="646" spans="23:53" ht="15" customHeight="1" x14ac:dyDescent="0.25">
      <c r="W646" s="28" t="str">
        <f>IF(X646="","",IFERROR(INDEX($AL$11:$AL$4010,MATCH(636,$AY$11:$AY$4010,0)),""))</f>
        <v/>
      </c>
      <c r="X646" s="26" t="str">
        <f>IFERROR(INDEX($AM$11:$AM$4010,MATCH(636,$AY$11:$AY$4010,0)),"")</f>
        <v/>
      </c>
      <c r="Y646" s="25" t="str">
        <f>IF(X646="","",IFERROR(INDEX($AN$11:$AN$4010,MATCH(636,$AY$11:$AY$4010,0)),""))</f>
        <v/>
      </c>
      <c r="Z646" s="25" t="str">
        <f>IF(X646="","",IFERROR(INDEX($AO$11:$AO$4010,MATCH(636,$AY$11:$AY$4010,0)),""))</f>
        <v/>
      </c>
      <c r="AA646" s="24" t="str">
        <f>IF(X646="","",IFERROR(INDEX($AQ$11:$AQ$4010,MATCH(636,$AY$11:$AY$4010,0)),""))</f>
        <v/>
      </c>
      <c r="AB646" s="29" t="str">
        <f>IF(X646="","",IFERROR(INDEX($AR$11:$AR$4010,MATCH(636,$AY$11:$AY$4010,0)),""))</f>
        <v/>
      </c>
      <c r="AD646" s="30" t="str">
        <f>IF(AE646="","",IFERROR(INDEX($AL$11:$AL$4010,MATCH(636,$AZ$11:$AZ$4010,0)),""))</f>
        <v/>
      </c>
      <c r="AE646" s="26" t="str">
        <f>IFERROR(INDEX($AM$11:$AM$4010,MATCH(636,$AZ$11:$AZ$4010,0)),"")</f>
        <v/>
      </c>
      <c r="AF646" s="25" t="str">
        <f>IF(AE646="","",IFERROR(INDEX($AN$11:$AN$4010,MATCH(636,$AZ$11:$AZ$4010,0)),""))</f>
        <v/>
      </c>
      <c r="AG646" s="25" t="str">
        <f>IF(AE646="","",IFERROR(INDEX($AO$11:$AO$4010,MATCH(636,$AZ$11:$AZ$4010,0)),""))</f>
        <v/>
      </c>
      <c r="AH646" s="24" t="str">
        <f>IF(AE646="","",IFERROR(INDEX($AQ$11:$AQ$4010,MATCH(636,$AZ$11:$AZ$4010,0)),""))</f>
        <v/>
      </c>
      <c r="AI646" s="29" t="str">
        <f>IF(AE646="","",IFERROR(INDEX($AR$11:$AR$4010,MATCH(636,$AZ$11:$AZ$4010,0)),""))</f>
        <v/>
      </c>
      <c r="AJ646" s="29" t="str">
        <f>IF(AE646="","",IFERROR(INDEX($AT$11:$AT$4010,MATCH(636,$AZ$11:$AZ$4010,0)),""))</f>
        <v/>
      </c>
      <c r="AL646" s="31"/>
      <c r="AM646" s="26"/>
      <c r="AN646" s="32"/>
      <c r="AO646" s="32"/>
      <c r="AP646" s="24"/>
      <c r="AQ646" s="24"/>
      <c r="AR646" s="33"/>
      <c r="AS646" s="34"/>
      <c r="AT646" s="33"/>
      <c r="AV646" s="21">
        <f>IF(AND($AL646&lt;&gt;"",COUNTIF($AL$11:$AL646,$AL646)=1),1,0)</f>
        <v>0</v>
      </c>
      <c r="AW646" s="21">
        <f t="shared" si="105"/>
        <v>2</v>
      </c>
      <c r="AX646" s="21" t="str">
        <f t="shared" si="104"/>
        <v/>
      </c>
      <c r="AY646" s="21" t="str">
        <f>IF(AND($AM646&lt;&gt;"",$AS646&lt;&gt;"✓"),SUMPRODUCT(($AM$11:$AM646&lt;&gt;"")*($AS$11:$AS646&lt;&gt;"✓")),"")</f>
        <v/>
      </c>
      <c r="AZ646" s="21" t="str">
        <f>IF(AND($AM646&lt;&gt;"",$AS646="✓"),SUMPRODUCT(($AM$11:$AM646&lt;&gt;"")*($AS$11:$AS646="✓")),"")</f>
        <v/>
      </c>
      <c r="BA646" s="21" t="str">
        <f>IF($AL646="","",$AL646&amp;"|"&amp;COUNTIF($AL$11:$AL646,$AL646))</f>
        <v/>
      </c>
    </row>
    <row r="647" spans="23:53" ht="15" customHeight="1" x14ac:dyDescent="0.25">
      <c r="W647" s="14" t="str">
        <f>IF(X647="","",IFERROR(INDEX($AL$11:$AL$4010,MATCH(637,$AY$11:$AY$4010,0)),""))</f>
        <v/>
      </c>
      <c r="X647" s="12" t="str">
        <f>IFERROR(INDEX($AM$11:$AM$4010,MATCH(637,$AY$11:$AY$4010,0)),"")</f>
        <v/>
      </c>
      <c r="Y647" s="11" t="str">
        <f>IF(X647="","",IFERROR(INDEX($AN$11:$AN$4010,MATCH(637,$AY$11:$AY$4010,0)),""))</f>
        <v/>
      </c>
      <c r="Z647" s="11" t="str">
        <f>IF(X647="","",IFERROR(INDEX($AO$11:$AO$4010,MATCH(637,$AY$11:$AY$4010,0)),""))</f>
        <v/>
      </c>
      <c r="AA647" s="10" t="str">
        <f>IF(X647="","",IFERROR(INDEX($AQ$11:$AQ$4010,MATCH(637,$AY$11:$AY$4010,0)),""))</f>
        <v/>
      </c>
      <c r="AB647" s="15" t="str">
        <f>IF(X647="","",IFERROR(INDEX($AR$11:$AR$4010,MATCH(637,$AY$11:$AY$4010,0)),""))</f>
        <v/>
      </c>
      <c r="AD647" s="16" t="str">
        <f>IF(AE647="","",IFERROR(INDEX($AL$11:$AL$4010,MATCH(637,$AZ$11:$AZ$4010,0)),""))</f>
        <v/>
      </c>
      <c r="AE647" s="12" t="str">
        <f>IFERROR(INDEX($AM$11:$AM$4010,MATCH(637,$AZ$11:$AZ$4010,0)),"")</f>
        <v/>
      </c>
      <c r="AF647" s="11" t="str">
        <f>IF(AE647="","",IFERROR(INDEX($AN$11:$AN$4010,MATCH(637,$AZ$11:$AZ$4010,0)),""))</f>
        <v/>
      </c>
      <c r="AG647" s="11" t="str">
        <f>IF(AE647="","",IFERROR(INDEX($AO$11:$AO$4010,MATCH(637,$AZ$11:$AZ$4010,0)),""))</f>
        <v/>
      </c>
      <c r="AH647" s="10" t="str">
        <f>IF(AE647="","",IFERROR(INDEX($AQ$11:$AQ$4010,MATCH(637,$AZ$11:$AZ$4010,0)),""))</f>
        <v/>
      </c>
      <c r="AI647" s="15" t="str">
        <f>IF(AE647="","",IFERROR(INDEX($AR$11:$AR$4010,MATCH(637,$AZ$11:$AZ$4010,0)),""))</f>
        <v/>
      </c>
      <c r="AJ647" s="15" t="str">
        <f>IF(AE647="","",IFERROR(INDEX($AT$11:$AT$4010,MATCH(637,$AZ$11:$AZ$4010,0)),""))</f>
        <v/>
      </c>
      <c r="AL647" s="17"/>
      <c r="AM647" s="12"/>
      <c r="AN647" s="18"/>
      <c r="AO647" s="18"/>
      <c r="AP647" s="10"/>
      <c r="AQ647" s="10"/>
      <c r="AR647" s="19"/>
      <c r="AS647" s="20"/>
      <c r="AT647" s="19"/>
      <c r="AV647" s="21">
        <f>IF(AND($AL647&lt;&gt;"",COUNTIF($AL$11:$AL647,$AL647)=1),1,0)</f>
        <v>0</v>
      </c>
      <c r="AW647" s="21">
        <f t="shared" si="105"/>
        <v>2</v>
      </c>
      <c r="AX647" s="21" t="str">
        <f t="shared" si="104"/>
        <v/>
      </c>
      <c r="AY647" s="21" t="str">
        <f>IF(AND($AM647&lt;&gt;"",$AS647&lt;&gt;"✓"),SUMPRODUCT(($AM$11:$AM647&lt;&gt;"")*($AS$11:$AS647&lt;&gt;"✓")),"")</f>
        <v/>
      </c>
      <c r="AZ647" s="21" t="str">
        <f>IF(AND($AM647&lt;&gt;"",$AS647="✓"),SUMPRODUCT(($AM$11:$AM647&lt;&gt;"")*($AS$11:$AS647="✓")),"")</f>
        <v/>
      </c>
      <c r="BA647" s="21" t="str">
        <f>IF($AL647="","",$AL647&amp;"|"&amp;COUNTIF($AL$11:$AL647,$AL647))</f>
        <v/>
      </c>
    </row>
    <row r="648" spans="23:53" ht="15" customHeight="1" x14ac:dyDescent="0.25">
      <c r="W648" s="28" t="str">
        <f>IF(X648="","",IFERROR(INDEX($AL$11:$AL$4010,MATCH(638,$AY$11:$AY$4010,0)),""))</f>
        <v/>
      </c>
      <c r="X648" s="26" t="str">
        <f>IFERROR(INDEX($AM$11:$AM$4010,MATCH(638,$AY$11:$AY$4010,0)),"")</f>
        <v/>
      </c>
      <c r="Y648" s="25" t="str">
        <f>IF(X648="","",IFERROR(INDEX($AN$11:$AN$4010,MATCH(638,$AY$11:$AY$4010,0)),""))</f>
        <v/>
      </c>
      <c r="Z648" s="25" t="str">
        <f>IF(X648="","",IFERROR(INDEX($AO$11:$AO$4010,MATCH(638,$AY$11:$AY$4010,0)),""))</f>
        <v/>
      </c>
      <c r="AA648" s="24" t="str">
        <f>IF(X648="","",IFERROR(INDEX($AQ$11:$AQ$4010,MATCH(638,$AY$11:$AY$4010,0)),""))</f>
        <v/>
      </c>
      <c r="AB648" s="29" t="str">
        <f>IF(X648="","",IFERROR(INDEX($AR$11:$AR$4010,MATCH(638,$AY$11:$AY$4010,0)),""))</f>
        <v/>
      </c>
      <c r="AD648" s="30" t="str">
        <f>IF(AE648="","",IFERROR(INDEX($AL$11:$AL$4010,MATCH(638,$AZ$11:$AZ$4010,0)),""))</f>
        <v/>
      </c>
      <c r="AE648" s="26" t="str">
        <f>IFERROR(INDEX($AM$11:$AM$4010,MATCH(638,$AZ$11:$AZ$4010,0)),"")</f>
        <v/>
      </c>
      <c r="AF648" s="25" t="str">
        <f>IF(AE648="","",IFERROR(INDEX($AN$11:$AN$4010,MATCH(638,$AZ$11:$AZ$4010,0)),""))</f>
        <v/>
      </c>
      <c r="AG648" s="25" t="str">
        <f>IF(AE648="","",IFERROR(INDEX($AO$11:$AO$4010,MATCH(638,$AZ$11:$AZ$4010,0)),""))</f>
        <v/>
      </c>
      <c r="AH648" s="24" t="str">
        <f>IF(AE648="","",IFERROR(INDEX($AQ$11:$AQ$4010,MATCH(638,$AZ$11:$AZ$4010,0)),""))</f>
        <v/>
      </c>
      <c r="AI648" s="29" t="str">
        <f>IF(AE648="","",IFERROR(INDEX($AR$11:$AR$4010,MATCH(638,$AZ$11:$AZ$4010,0)),""))</f>
        <v/>
      </c>
      <c r="AJ648" s="29" t="str">
        <f>IF(AE648="","",IFERROR(INDEX($AT$11:$AT$4010,MATCH(638,$AZ$11:$AZ$4010,0)),""))</f>
        <v/>
      </c>
      <c r="AL648" s="31"/>
      <c r="AM648" s="26"/>
      <c r="AN648" s="32"/>
      <c r="AO648" s="32"/>
      <c r="AP648" s="24"/>
      <c r="AQ648" s="24"/>
      <c r="AR648" s="33"/>
      <c r="AS648" s="34"/>
      <c r="AT648" s="33"/>
      <c r="AV648" s="21">
        <f>IF(AND($AL648&lt;&gt;"",COUNTIF($AL$11:$AL648,$AL648)=1),1,0)</f>
        <v>0</v>
      </c>
      <c r="AW648" s="21">
        <f t="shared" si="105"/>
        <v>2</v>
      </c>
      <c r="AX648" s="21" t="str">
        <f t="shared" si="104"/>
        <v/>
      </c>
      <c r="AY648" s="21" t="str">
        <f>IF(AND($AM648&lt;&gt;"",$AS648&lt;&gt;"✓"),SUMPRODUCT(($AM$11:$AM648&lt;&gt;"")*($AS$11:$AS648&lt;&gt;"✓")),"")</f>
        <v/>
      </c>
      <c r="AZ648" s="21" t="str">
        <f>IF(AND($AM648&lt;&gt;"",$AS648="✓"),SUMPRODUCT(($AM$11:$AM648&lt;&gt;"")*($AS$11:$AS648="✓")),"")</f>
        <v/>
      </c>
      <c r="BA648" s="21" t="str">
        <f>IF($AL648="","",$AL648&amp;"|"&amp;COUNTIF($AL$11:$AL648,$AL648))</f>
        <v/>
      </c>
    </row>
    <row r="649" spans="23:53" ht="15" customHeight="1" x14ac:dyDescent="0.25">
      <c r="W649" s="14" t="str">
        <f>IF(X649="","",IFERROR(INDEX($AL$11:$AL$4010,MATCH(639,$AY$11:$AY$4010,0)),""))</f>
        <v/>
      </c>
      <c r="X649" s="12" t="str">
        <f>IFERROR(INDEX($AM$11:$AM$4010,MATCH(639,$AY$11:$AY$4010,0)),"")</f>
        <v/>
      </c>
      <c r="Y649" s="11" t="str">
        <f>IF(X649="","",IFERROR(INDEX($AN$11:$AN$4010,MATCH(639,$AY$11:$AY$4010,0)),""))</f>
        <v/>
      </c>
      <c r="Z649" s="11" t="str">
        <f>IF(X649="","",IFERROR(INDEX($AO$11:$AO$4010,MATCH(639,$AY$11:$AY$4010,0)),""))</f>
        <v/>
      </c>
      <c r="AA649" s="10" t="str">
        <f>IF(X649="","",IFERROR(INDEX($AQ$11:$AQ$4010,MATCH(639,$AY$11:$AY$4010,0)),""))</f>
        <v/>
      </c>
      <c r="AB649" s="15" t="str">
        <f>IF(X649="","",IFERROR(INDEX($AR$11:$AR$4010,MATCH(639,$AY$11:$AY$4010,0)),""))</f>
        <v/>
      </c>
      <c r="AD649" s="16" t="str">
        <f>IF(AE649="","",IFERROR(INDEX($AL$11:$AL$4010,MATCH(639,$AZ$11:$AZ$4010,0)),""))</f>
        <v/>
      </c>
      <c r="AE649" s="12" t="str">
        <f>IFERROR(INDEX($AM$11:$AM$4010,MATCH(639,$AZ$11:$AZ$4010,0)),"")</f>
        <v/>
      </c>
      <c r="AF649" s="11" t="str">
        <f>IF(AE649="","",IFERROR(INDEX($AN$11:$AN$4010,MATCH(639,$AZ$11:$AZ$4010,0)),""))</f>
        <v/>
      </c>
      <c r="AG649" s="11" t="str">
        <f>IF(AE649="","",IFERROR(INDEX($AO$11:$AO$4010,MATCH(639,$AZ$11:$AZ$4010,0)),""))</f>
        <v/>
      </c>
      <c r="AH649" s="10" t="str">
        <f>IF(AE649="","",IFERROR(INDEX($AQ$11:$AQ$4010,MATCH(639,$AZ$11:$AZ$4010,0)),""))</f>
        <v/>
      </c>
      <c r="AI649" s="15" t="str">
        <f>IF(AE649="","",IFERROR(INDEX($AR$11:$AR$4010,MATCH(639,$AZ$11:$AZ$4010,0)),""))</f>
        <v/>
      </c>
      <c r="AJ649" s="15" t="str">
        <f>IF(AE649="","",IFERROR(INDEX($AT$11:$AT$4010,MATCH(639,$AZ$11:$AZ$4010,0)),""))</f>
        <v/>
      </c>
      <c r="AL649" s="17"/>
      <c r="AM649" s="12"/>
      <c r="AN649" s="18"/>
      <c r="AO649" s="18"/>
      <c r="AP649" s="10"/>
      <c r="AQ649" s="10"/>
      <c r="AR649" s="19"/>
      <c r="AS649" s="20"/>
      <c r="AT649" s="19"/>
      <c r="AV649" s="21">
        <f>IF(AND($AL649&lt;&gt;"",COUNTIF($AL$11:$AL649,$AL649)=1),1,0)</f>
        <v>0</v>
      </c>
      <c r="AW649" s="21">
        <f t="shared" si="105"/>
        <v>2</v>
      </c>
      <c r="AX649" s="21" t="str">
        <f t="shared" si="104"/>
        <v/>
      </c>
      <c r="AY649" s="21" t="str">
        <f>IF(AND($AM649&lt;&gt;"",$AS649&lt;&gt;"✓"),SUMPRODUCT(($AM$11:$AM649&lt;&gt;"")*($AS$11:$AS649&lt;&gt;"✓")),"")</f>
        <v/>
      </c>
      <c r="AZ649" s="21" t="str">
        <f>IF(AND($AM649&lt;&gt;"",$AS649="✓"),SUMPRODUCT(($AM$11:$AM649&lt;&gt;"")*($AS$11:$AS649="✓")),"")</f>
        <v/>
      </c>
      <c r="BA649" s="21" t="str">
        <f>IF($AL649="","",$AL649&amp;"|"&amp;COUNTIF($AL$11:$AL649,$AL649))</f>
        <v/>
      </c>
    </row>
    <row r="650" spans="23:53" ht="15" customHeight="1" x14ac:dyDescent="0.25">
      <c r="W650" s="28" t="str">
        <f>IF(X650="","",IFERROR(INDEX($AL$11:$AL$4010,MATCH(640,$AY$11:$AY$4010,0)),""))</f>
        <v/>
      </c>
      <c r="X650" s="26" t="str">
        <f>IFERROR(INDEX($AM$11:$AM$4010,MATCH(640,$AY$11:$AY$4010,0)),"")</f>
        <v/>
      </c>
      <c r="Y650" s="25" t="str">
        <f>IF(X650="","",IFERROR(INDEX($AN$11:$AN$4010,MATCH(640,$AY$11:$AY$4010,0)),""))</f>
        <v/>
      </c>
      <c r="Z650" s="25" t="str">
        <f>IF(X650="","",IFERROR(INDEX($AO$11:$AO$4010,MATCH(640,$AY$11:$AY$4010,0)),""))</f>
        <v/>
      </c>
      <c r="AA650" s="24" t="str">
        <f>IF(X650="","",IFERROR(INDEX($AQ$11:$AQ$4010,MATCH(640,$AY$11:$AY$4010,0)),""))</f>
        <v/>
      </c>
      <c r="AB650" s="29" t="str">
        <f>IF(X650="","",IFERROR(INDEX($AR$11:$AR$4010,MATCH(640,$AY$11:$AY$4010,0)),""))</f>
        <v/>
      </c>
      <c r="AD650" s="30" t="str">
        <f>IF(AE650="","",IFERROR(INDEX($AL$11:$AL$4010,MATCH(640,$AZ$11:$AZ$4010,0)),""))</f>
        <v/>
      </c>
      <c r="AE650" s="26" t="str">
        <f>IFERROR(INDEX($AM$11:$AM$4010,MATCH(640,$AZ$11:$AZ$4010,0)),"")</f>
        <v/>
      </c>
      <c r="AF650" s="25" t="str">
        <f>IF(AE650="","",IFERROR(INDEX($AN$11:$AN$4010,MATCH(640,$AZ$11:$AZ$4010,0)),""))</f>
        <v/>
      </c>
      <c r="AG650" s="25" t="str">
        <f>IF(AE650="","",IFERROR(INDEX($AO$11:$AO$4010,MATCH(640,$AZ$11:$AZ$4010,0)),""))</f>
        <v/>
      </c>
      <c r="AH650" s="24" t="str">
        <f>IF(AE650="","",IFERROR(INDEX($AQ$11:$AQ$4010,MATCH(640,$AZ$11:$AZ$4010,0)),""))</f>
        <v/>
      </c>
      <c r="AI650" s="29" t="str">
        <f>IF(AE650="","",IFERROR(INDEX($AR$11:$AR$4010,MATCH(640,$AZ$11:$AZ$4010,0)),""))</f>
        <v/>
      </c>
      <c r="AJ650" s="29" t="str">
        <f>IF(AE650="","",IFERROR(INDEX($AT$11:$AT$4010,MATCH(640,$AZ$11:$AZ$4010,0)),""))</f>
        <v/>
      </c>
      <c r="AL650" s="31"/>
      <c r="AM650" s="26"/>
      <c r="AN650" s="32"/>
      <c r="AO650" s="32"/>
      <c r="AP650" s="24"/>
      <c r="AQ650" s="24"/>
      <c r="AR650" s="33"/>
      <c r="AS650" s="34"/>
      <c r="AT650" s="33"/>
      <c r="AV650" s="21">
        <f>IF(AND($AL650&lt;&gt;"",COUNTIF($AL$11:$AL650,$AL650)=1),1,0)</f>
        <v>0</v>
      </c>
      <c r="AW650" s="21">
        <f t="shared" si="105"/>
        <v>2</v>
      </c>
      <c r="AX650" s="21" t="str">
        <f t="shared" si="104"/>
        <v/>
      </c>
      <c r="AY650" s="21" t="str">
        <f>IF(AND($AM650&lt;&gt;"",$AS650&lt;&gt;"✓"),SUMPRODUCT(($AM$11:$AM650&lt;&gt;"")*($AS$11:$AS650&lt;&gt;"✓")),"")</f>
        <v/>
      </c>
      <c r="AZ650" s="21" t="str">
        <f>IF(AND($AM650&lt;&gt;"",$AS650="✓"),SUMPRODUCT(($AM$11:$AM650&lt;&gt;"")*($AS$11:$AS650="✓")),"")</f>
        <v/>
      </c>
      <c r="BA650" s="21" t="str">
        <f>IF($AL650="","",$AL650&amp;"|"&amp;COUNTIF($AL$11:$AL650,$AL650))</f>
        <v/>
      </c>
    </row>
    <row r="651" spans="23:53" ht="15" customHeight="1" x14ac:dyDescent="0.25">
      <c r="W651" s="14" t="str">
        <f>IF(X651="","",IFERROR(INDEX($AL$11:$AL$4010,MATCH(641,$AY$11:$AY$4010,0)),""))</f>
        <v/>
      </c>
      <c r="X651" s="12" t="str">
        <f>IFERROR(INDEX($AM$11:$AM$4010,MATCH(641,$AY$11:$AY$4010,0)),"")</f>
        <v/>
      </c>
      <c r="Y651" s="11" t="str">
        <f>IF(X651="","",IFERROR(INDEX($AN$11:$AN$4010,MATCH(641,$AY$11:$AY$4010,0)),""))</f>
        <v/>
      </c>
      <c r="Z651" s="11" t="str">
        <f>IF(X651="","",IFERROR(INDEX($AO$11:$AO$4010,MATCH(641,$AY$11:$AY$4010,0)),""))</f>
        <v/>
      </c>
      <c r="AA651" s="10" t="str">
        <f>IF(X651="","",IFERROR(INDEX($AQ$11:$AQ$4010,MATCH(641,$AY$11:$AY$4010,0)),""))</f>
        <v/>
      </c>
      <c r="AB651" s="15" t="str">
        <f>IF(X651="","",IFERROR(INDEX($AR$11:$AR$4010,MATCH(641,$AY$11:$AY$4010,0)),""))</f>
        <v/>
      </c>
      <c r="AD651" s="16" t="str">
        <f>IF(AE651="","",IFERROR(INDEX($AL$11:$AL$4010,MATCH(641,$AZ$11:$AZ$4010,0)),""))</f>
        <v/>
      </c>
      <c r="AE651" s="12" t="str">
        <f>IFERROR(INDEX($AM$11:$AM$4010,MATCH(641,$AZ$11:$AZ$4010,0)),"")</f>
        <v/>
      </c>
      <c r="AF651" s="11" t="str">
        <f>IF(AE651="","",IFERROR(INDEX($AN$11:$AN$4010,MATCH(641,$AZ$11:$AZ$4010,0)),""))</f>
        <v/>
      </c>
      <c r="AG651" s="11" t="str">
        <f>IF(AE651="","",IFERROR(INDEX($AO$11:$AO$4010,MATCH(641,$AZ$11:$AZ$4010,0)),""))</f>
        <v/>
      </c>
      <c r="AH651" s="10" t="str">
        <f>IF(AE651="","",IFERROR(INDEX($AQ$11:$AQ$4010,MATCH(641,$AZ$11:$AZ$4010,0)),""))</f>
        <v/>
      </c>
      <c r="AI651" s="15" t="str">
        <f>IF(AE651="","",IFERROR(INDEX($AR$11:$AR$4010,MATCH(641,$AZ$11:$AZ$4010,0)),""))</f>
        <v/>
      </c>
      <c r="AJ651" s="15" t="str">
        <f>IF(AE651="","",IFERROR(INDEX($AT$11:$AT$4010,MATCH(641,$AZ$11:$AZ$4010,0)),""))</f>
        <v/>
      </c>
      <c r="AL651" s="17"/>
      <c r="AM651" s="12"/>
      <c r="AN651" s="18"/>
      <c r="AO651" s="18"/>
      <c r="AP651" s="10"/>
      <c r="AQ651" s="10"/>
      <c r="AR651" s="19"/>
      <c r="AS651" s="20"/>
      <c r="AT651" s="19"/>
      <c r="AV651" s="21">
        <f>IF(AND($AL651&lt;&gt;"",COUNTIF($AL$11:$AL651,$AL651)=1),1,0)</f>
        <v>0</v>
      </c>
      <c r="AW651" s="21">
        <f t="shared" si="105"/>
        <v>2</v>
      </c>
      <c r="AX651" s="21" t="str">
        <f t="shared" ref="AX651:AX714" si="106">IF(AV651=1,AW651,"")</f>
        <v/>
      </c>
      <c r="AY651" s="21" t="str">
        <f>IF(AND($AM651&lt;&gt;"",$AS651&lt;&gt;"✓"),SUMPRODUCT(($AM$11:$AM651&lt;&gt;"")*($AS$11:$AS651&lt;&gt;"✓")),"")</f>
        <v/>
      </c>
      <c r="AZ651" s="21" t="str">
        <f>IF(AND($AM651&lt;&gt;"",$AS651="✓"),SUMPRODUCT(($AM$11:$AM651&lt;&gt;"")*($AS$11:$AS651="✓")),"")</f>
        <v/>
      </c>
      <c r="BA651" s="21" t="str">
        <f>IF($AL651="","",$AL651&amp;"|"&amp;COUNTIF($AL$11:$AL651,$AL651))</f>
        <v/>
      </c>
    </row>
    <row r="652" spans="23:53" ht="15" customHeight="1" x14ac:dyDescent="0.25">
      <c r="W652" s="28" t="str">
        <f>IF(X652="","",IFERROR(INDEX($AL$11:$AL$4010,MATCH(642,$AY$11:$AY$4010,0)),""))</f>
        <v/>
      </c>
      <c r="X652" s="26" t="str">
        <f>IFERROR(INDEX($AM$11:$AM$4010,MATCH(642,$AY$11:$AY$4010,0)),"")</f>
        <v/>
      </c>
      <c r="Y652" s="25" t="str">
        <f>IF(X652="","",IFERROR(INDEX($AN$11:$AN$4010,MATCH(642,$AY$11:$AY$4010,0)),""))</f>
        <v/>
      </c>
      <c r="Z652" s="25" t="str">
        <f>IF(X652="","",IFERROR(INDEX($AO$11:$AO$4010,MATCH(642,$AY$11:$AY$4010,0)),""))</f>
        <v/>
      </c>
      <c r="AA652" s="24" t="str">
        <f>IF(X652="","",IFERROR(INDEX($AQ$11:$AQ$4010,MATCH(642,$AY$11:$AY$4010,0)),""))</f>
        <v/>
      </c>
      <c r="AB652" s="29" t="str">
        <f>IF(X652="","",IFERROR(INDEX($AR$11:$AR$4010,MATCH(642,$AY$11:$AY$4010,0)),""))</f>
        <v/>
      </c>
      <c r="AD652" s="30" t="str">
        <f>IF(AE652="","",IFERROR(INDEX($AL$11:$AL$4010,MATCH(642,$AZ$11:$AZ$4010,0)),""))</f>
        <v/>
      </c>
      <c r="AE652" s="26" t="str">
        <f>IFERROR(INDEX($AM$11:$AM$4010,MATCH(642,$AZ$11:$AZ$4010,0)),"")</f>
        <v/>
      </c>
      <c r="AF652" s="25" t="str">
        <f>IF(AE652="","",IFERROR(INDEX($AN$11:$AN$4010,MATCH(642,$AZ$11:$AZ$4010,0)),""))</f>
        <v/>
      </c>
      <c r="AG652" s="25" t="str">
        <f>IF(AE652="","",IFERROR(INDEX($AO$11:$AO$4010,MATCH(642,$AZ$11:$AZ$4010,0)),""))</f>
        <v/>
      </c>
      <c r="AH652" s="24" t="str">
        <f>IF(AE652="","",IFERROR(INDEX($AQ$11:$AQ$4010,MATCH(642,$AZ$11:$AZ$4010,0)),""))</f>
        <v/>
      </c>
      <c r="AI652" s="29" t="str">
        <f>IF(AE652="","",IFERROR(INDEX($AR$11:$AR$4010,MATCH(642,$AZ$11:$AZ$4010,0)),""))</f>
        <v/>
      </c>
      <c r="AJ652" s="29" t="str">
        <f>IF(AE652="","",IFERROR(INDEX($AT$11:$AT$4010,MATCH(642,$AZ$11:$AZ$4010,0)),""))</f>
        <v/>
      </c>
      <c r="AL652" s="31"/>
      <c r="AM652" s="26"/>
      <c r="AN652" s="32"/>
      <c r="AO652" s="32"/>
      <c r="AP652" s="24"/>
      <c r="AQ652" s="24"/>
      <c r="AR652" s="33"/>
      <c r="AS652" s="34"/>
      <c r="AT652" s="33"/>
      <c r="AV652" s="21">
        <f>IF(AND($AL652&lt;&gt;"",COUNTIF($AL$11:$AL652,$AL652)=1),1,0)</f>
        <v>0</v>
      </c>
      <c r="AW652" s="21">
        <f t="shared" ref="AW652:AW715" si="107">AW651+AV652</f>
        <v>2</v>
      </c>
      <c r="AX652" s="21" t="str">
        <f t="shared" si="106"/>
        <v/>
      </c>
      <c r="AY652" s="21" t="str">
        <f>IF(AND($AM652&lt;&gt;"",$AS652&lt;&gt;"✓"),SUMPRODUCT(($AM$11:$AM652&lt;&gt;"")*($AS$11:$AS652&lt;&gt;"✓")),"")</f>
        <v/>
      </c>
      <c r="AZ652" s="21" t="str">
        <f>IF(AND($AM652&lt;&gt;"",$AS652="✓"),SUMPRODUCT(($AM$11:$AM652&lt;&gt;"")*($AS$11:$AS652="✓")),"")</f>
        <v/>
      </c>
      <c r="BA652" s="21" t="str">
        <f>IF($AL652="","",$AL652&amp;"|"&amp;COUNTIF($AL$11:$AL652,$AL652))</f>
        <v/>
      </c>
    </row>
    <row r="653" spans="23:53" ht="15" customHeight="1" x14ac:dyDescent="0.25">
      <c r="W653" s="14" t="str">
        <f>IF(X653="","",IFERROR(INDEX($AL$11:$AL$4010,MATCH(643,$AY$11:$AY$4010,0)),""))</f>
        <v/>
      </c>
      <c r="X653" s="12" t="str">
        <f>IFERROR(INDEX($AM$11:$AM$4010,MATCH(643,$AY$11:$AY$4010,0)),"")</f>
        <v/>
      </c>
      <c r="Y653" s="11" t="str">
        <f>IF(X653="","",IFERROR(INDEX($AN$11:$AN$4010,MATCH(643,$AY$11:$AY$4010,0)),""))</f>
        <v/>
      </c>
      <c r="Z653" s="11" t="str">
        <f>IF(X653="","",IFERROR(INDEX($AO$11:$AO$4010,MATCH(643,$AY$11:$AY$4010,0)),""))</f>
        <v/>
      </c>
      <c r="AA653" s="10" t="str">
        <f>IF(X653="","",IFERROR(INDEX($AQ$11:$AQ$4010,MATCH(643,$AY$11:$AY$4010,0)),""))</f>
        <v/>
      </c>
      <c r="AB653" s="15" t="str">
        <f>IF(X653="","",IFERROR(INDEX($AR$11:$AR$4010,MATCH(643,$AY$11:$AY$4010,0)),""))</f>
        <v/>
      </c>
      <c r="AD653" s="16" t="str">
        <f>IF(AE653="","",IFERROR(INDEX($AL$11:$AL$4010,MATCH(643,$AZ$11:$AZ$4010,0)),""))</f>
        <v/>
      </c>
      <c r="AE653" s="12" t="str">
        <f>IFERROR(INDEX($AM$11:$AM$4010,MATCH(643,$AZ$11:$AZ$4010,0)),"")</f>
        <v/>
      </c>
      <c r="AF653" s="11" t="str">
        <f>IF(AE653="","",IFERROR(INDEX($AN$11:$AN$4010,MATCH(643,$AZ$11:$AZ$4010,0)),""))</f>
        <v/>
      </c>
      <c r="AG653" s="11" t="str">
        <f>IF(AE653="","",IFERROR(INDEX($AO$11:$AO$4010,MATCH(643,$AZ$11:$AZ$4010,0)),""))</f>
        <v/>
      </c>
      <c r="AH653" s="10" t="str">
        <f>IF(AE653="","",IFERROR(INDEX($AQ$11:$AQ$4010,MATCH(643,$AZ$11:$AZ$4010,0)),""))</f>
        <v/>
      </c>
      <c r="AI653" s="15" t="str">
        <f>IF(AE653="","",IFERROR(INDEX($AR$11:$AR$4010,MATCH(643,$AZ$11:$AZ$4010,0)),""))</f>
        <v/>
      </c>
      <c r="AJ653" s="15" t="str">
        <f>IF(AE653="","",IFERROR(INDEX($AT$11:$AT$4010,MATCH(643,$AZ$11:$AZ$4010,0)),""))</f>
        <v/>
      </c>
      <c r="AL653" s="17"/>
      <c r="AM653" s="12"/>
      <c r="AN653" s="18"/>
      <c r="AO653" s="18"/>
      <c r="AP653" s="10"/>
      <c r="AQ653" s="10"/>
      <c r="AR653" s="19"/>
      <c r="AS653" s="20"/>
      <c r="AT653" s="19"/>
      <c r="AV653" s="21">
        <f>IF(AND($AL653&lt;&gt;"",COUNTIF($AL$11:$AL653,$AL653)=1),1,0)</f>
        <v>0</v>
      </c>
      <c r="AW653" s="21">
        <f t="shared" si="107"/>
        <v>2</v>
      </c>
      <c r="AX653" s="21" t="str">
        <f t="shared" si="106"/>
        <v/>
      </c>
      <c r="AY653" s="21" t="str">
        <f>IF(AND($AM653&lt;&gt;"",$AS653&lt;&gt;"✓"),SUMPRODUCT(($AM$11:$AM653&lt;&gt;"")*($AS$11:$AS653&lt;&gt;"✓")),"")</f>
        <v/>
      </c>
      <c r="AZ653" s="21" t="str">
        <f>IF(AND($AM653&lt;&gt;"",$AS653="✓"),SUMPRODUCT(($AM$11:$AM653&lt;&gt;"")*($AS$11:$AS653="✓")),"")</f>
        <v/>
      </c>
      <c r="BA653" s="21" t="str">
        <f>IF($AL653="","",$AL653&amp;"|"&amp;COUNTIF($AL$11:$AL653,$AL653))</f>
        <v/>
      </c>
    </row>
    <row r="654" spans="23:53" ht="15" customHeight="1" x14ac:dyDescent="0.25">
      <c r="W654" s="28" t="str">
        <f>IF(X654="","",IFERROR(INDEX($AL$11:$AL$4010,MATCH(644,$AY$11:$AY$4010,0)),""))</f>
        <v/>
      </c>
      <c r="X654" s="26" t="str">
        <f>IFERROR(INDEX($AM$11:$AM$4010,MATCH(644,$AY$11:$AY$4010,0)),"")</f>
        <v/>
      </c>
      <c r="Y654" s="25" t="str">
        <f>IF(X654="","",IFERROR(INDEX($AN$11:$AN$4010,MATCH(644,$AY$11:$AY$4010,0)),""))</f>
        <v/>
      </c>
      <c r="Z654" s="25" t="str">
        <f>IF(X654="","",IFERROR(INDEX($AO$11:$AO$4010,MATCH(644,$AY$11:$AY$4010,0)),""))</f>
        <v/>
      </c>
      <c r="AA654" s="24" t="str">
        <f>IF(X654="","",IFERROR(INDEX($AQ$11:$AQ$4010,MATCH(644,$AY$11:$AY$4010,0)),""))</f>
        <v/>
      </c>
      <c r="AB654" s="29" t="str">
        <f>IF(X654="","",IFERROR(INDEX($AR$11:$AR$4010,MATCH(644,$AY$11:$AY$4010,0)),""))</f>
        <v/>
      </c>
      <c r="AD654" s="30" t="str">
        <f>IF(AE654="","",IFERROR(INDEX($AL$11:$AL$4010,MATCH(644,$AZ$11:$AZ$4010,0)),""))</f>
        <v/>
      </c>
      <c r="AE654" s="26" t="str">
        <f>IFERROR(INDEX($AM$11:$AM$4010,MATCH(644,$AZ$11:$AZ$4010,0)),"")</f>
        <v/>
      </c>
      <c r="AF654" s="25" t="str">
        <f>IF(AE654="","",IFERROR(INDEX($AN$11:$AN$4010,MATCH(644,$AZ$11:$AZ$4010,0)),""))</f>
        <v/>
      </c>
      <c r="AG654" s="25" t="str">
        <f>IF(AE654="","",IFERROR(INDEX($AO$11:$AO$4010,MATCH(644,$AZ$11:$AZ$4010,0)),""))</f>
        <v/>
      </c>
      <c r="AH654" s="24" t="str">
        <f>IF(AE654="","",IFERROR(INDEX($AQ$11:$AQ$4010,MATCH(644,$AZ$11:$AZ$4010,0)),""))</f>
        <v/>
      </c>
      <c r="AI654" s="29" t="str">
        <f>IF(AE654="","",IFERROR(INDEX($AR$11:$AR$4010,MATCH(644,$AZ$11:$AZ$4010,0)),""))</f>
        <v/>
      </c>
      <c r="AJ654" s="29" t="str">
        <f>IF(AE654="","",IFERROR(INDEX($AT$11:$AT$4010,MATCH(644,$AZ$11:$AZ$4010,0)),""))</f>
        <v/>
      </c>
      <c r="AL654" s="31"/>
      <c r="AM654" s="26"/>
      <c r="AN654" s="32"/>
      <c r="AO654" s="32"/>
      <c r="AP654" s="24"/>
      <c r="AQ654" s="24"/>
      <c r="AR654" s="33"/>
      <c r="AS654" s="34"/>
      <c r="AT654" s="33"/>
      <c r="AV654" s="21">
        <f>IF(AND($AL654&lt;&gt;"",COUNTIF($AL$11:$AL654,$AL654)=1),1,0)</f>
        <v>0</v>
      </c>
      <c r="AW654" s="21">
        <f t="shared" si="107"/>
        <v>2</v>
      </c>
      <c r="AX654" s="21" t="str">
        <f t="shared" si="106"/>
        <v/>
      </c>
      <c r="AY654" s="21" t="str">
        <f>IF(AND($AM654&lt;&gt;"",$AS654&lt;&gt;"✓"),SUMPRODUCT(($AM$11:$AM654&lt;&gt;"")*($AS$11:$AS654&lt;&gt;"✓")),"")</f>
        <v/>
      </c>
      <c r="AZ654" s="21" t="str">
        <f>IF(AND($AM654&lt;&gt;"",$AS654="✓"),SUMPRODUCT(($AM$11:$AM654&lt;&gt;"")*($AS$11:$AS654="✓")),"")</f>
        <v/>
      </c>
      <c r="BA654" s="21" t="str">
        <f>IF($AL654="","",$AL654&amp;"|"&amp;COUNTIF($AL$11:$AL654,$AL654))</f>
        <v/>
      </c>
    </row>
    <row r="655" spans="23:53" ht="15" customHeight="1" x14ac:dyDescent="0.25">
      <c r="W655" s="14" t="str">
        <f>IF(X655="","",IFERROR(INDEX($AL$11:$AL$4010,MATCH(645,$AY$11:$AY$4010,0)),""))</f>
        <v/>
      </c>
      <c r="X655" s="12" t="str">
        <f>IFERROR(INDEX($AM$11:$AM$4010,MATCH(645,$AY$11:$AY$4010,0)),"")</f>
        <v/>
      </c>
      <c r="Y655" s="11" t="str">
        <f>IF(X655="","",IFERROR(INDEX($AN$11:$AN$4010,MATCH(645,$AY$11:$AY$4010,0)),""))</f>
        <v/>
      </c>
      <c r="Z655" s="11" t="str">
        <f>IF(X655="","",IFERROR(INDEX($AO$11:$AO$4010,MATCH(645,$AY$11:$AY$4010,0)),""))</f>
        <v/>
      </c>
      <c r="AA655" s="10" t="str">
        <f>IF(X655="","",IFERROR(INDEX($AQ$11:$AQ$4010,MATCH(645,$AY$11:$AY$4010,0)),""))</f>
        <v/>
      </c>
      <c r="AB655" s="15" t="str">
        <f>IF(X655="","",IFERROR(INDEX($AR$11:$AR$4010,MATCH(645,$AY$11:$AY$4010,0)),""))</f>
        <v/>
      </c>
      <c r="AD655" s="16" t="str">
        <f>IF(AE655="","",IFERROR(INDEX($AL$11:$AL$4010,MATCH(645,$AZ$11:$AZ$4010,0)),""))</f>
        <v/>
      </c>
      <c r="AE655" s="12" t="str">
        <f>IFERROR(INDEX($AM$11:$AM$4010,MATCH(645,$AZ$11:$AZ$4010,0)),"")</f>
        <v/>
      </c>
      <c r="AF655" s="11" t="str">
        <f>IF(AE655="","",IFERROR(INDEX($AN$11:$AN$4010,MATCH(645,$AZ$11:$AZ$4010,0)),""))</f>
        <v/>
      </c>
      <c r="AG655" s="11" t="str">
        <f>IF(AE655="","",IFERROR(INDEX($AO$11:$AO$4010,MATCH(645,$AZ$11:$AZ$4010,0)),""))</f>
        <v/>
      </c>
      <c r="AH655" s="10" t="str">
        <f>IF(AE655="","",IFERROR(INDEX($AQ$11:$AQ$4010,MATCH(645,$AZ$11:$AZ$4010,0)),""))</f>
        <v/>
      </c>
      <c r="AI655" s="15" t="str">
        <f>IF(AE655="","",IFERROR(INDEX($AR$11:$AR$4010,MATCH(645,$AZ$11:$AZ$4010,0)),""))</f>
        <v/>
      </c>
      <c r="AJ655" s="15" t="str">
        <f>IF(AE655="","",IFERROR(INDEX($AT$11:$AT$4010,MATCH(645,$AZ$11:$AZ$4010,0)),""))</f>
        <v/>
      </c>
      <c r="AL655" s="17"/>
      <c r="AM655" s="12"/>
      <c r="AN655" s="18"/>
      <c r="AO655" s="18"/>
      <c r="AP655" s="10"/>
      <c r="AQ655" s="10"/>
      <c r="AR655" s="19"/>
      <c r="AS655" s="20"/>
      <c r="AT655" s="19"/>
      <c r="AV655" s="21">
        <f>IF(AND($AL655&lt;&gt;"",COUNTIF($AL$11:$AL655,$AL655)=1),1,0)</f>
        <v>0</v>
      </c>
      <c r="AW655" s="21">
        <f t="shared" si="107"/>
        <v>2</v>
      </c>
      <c r="AX655" s="21" t="str">
        <f t="shared" si="106"/>
        <v/>
      </c>
      <c r="AY655" s="21" t="str">
        <f>IF(AND($AM655&lt;&gt;"",$AS655&lt;&gt;"✓"),SUMPRODUCT(($AM$11:$AM655&lt;&gt;"")*($AS$11:$AS655&lt;&gt;"✓")),"")</f>
        <v/>
      </c>
      <c r="AZ655" s="21" t="str">
        <f>IF(AND($AM655&lt;&gt;"",$AS655="✓"),SUMPRODUCT(($AM$11:$AM655&lt;&gt;"")*($AS$11:$AS655="✓")),"")</f>
        <v/>
      </c>
      <c r="BA655" s="21" t="str">
        <f>IF($AL655="","",$AL655&amp;"|"&amp;COUNTIF($AL$11:$AL655,$AL655))</f>
        <v/>
      </c>
    </row>
    <row r="656" spans="23:53" ht="15" customHeight="1" x14ac:dyDescent="0.25">
      <c r="W656" s="28" t="str">
        <f>IF(X656="","",IFERROR(INDEX($AL$11:$AL$4010,MATCH(646,$AY$11:$AY$4010,0)),""))</f>
        <v/>
      </c>
      <c r="X656" s="26" t="str">
        <f>IFERROR(INDEX($AM$11:$AM$4010,MATCH(646,$AY$11:$AY$4010,0)),"")</f>
        <v/>
      </c>
      <c r="Y656" s="25" t="str">
        <f>IF(X656="","",IFERROR(INDEX($AN$11:$AN$4010,MATCH(646,$AY$11:$AY$4010,0)),""))</f>
        <v/>
      </c>
      <c r="Z656" s="25" t="str">
        <f>IF(X656="","",IFERROR(INDEX($AO$11:$AO$4010,MATCH(646,$AY$11:$AY$4010,0)),""))</f>
        <v/>
      </c>
      <c r="AA656" s="24" t="str">
        <f>IF(X656="","",IFERROR(INDEX($AQ$11:$AQ$4010,MATCH(646,$AY$11:$AY$4010,0)),""))</f>
        <v/>
      </c>
      <c r="AB656" s="29" t="str">
        <f>IF(X656="","",IFERROR(INDEX($AR$11:$AR$4010,MATCH(646,$AY$11:$AY$4010,0)),""))</f>
        <v/>
      </c>
      <c r="AD656" s="30" t="str">
        <f>IF(AE656="","",IFERROR(INDEX($AL$11:$AL$4010,MATCH(646,$AZ$11:$AZ$4010,0)),""))</f>
        <v/>
      </c>
      <c r="AE656" s="26" t="str">
        <f>IFERROR(INDEX($AM$11:$AM$4010,MATCH(646,$AZ$11:$AZ$4010,0)),"")</f>
        <v/>
      </c>
      <c r="AF656" s="25" t="str">
        <f>IF(AE656="","",IFERROR(INDEX($AN$11:$AN$4010,MATCH(646,$AZ$11:$AZ$4010,0)),""))</f>
        <v/>
      </c>
      <c r="AG656" s="25" t="str">
        <f>IF(AE656="","",IFERROR(INDEX($AO$11:$AO$4010,MATCH(646,$AZ$11:$AZ$4010,0)),""))</f>
        <v/>
      </c>
      <c r="AH656" s="24" t="str">
        <f>IF(AE656="","",IFERROR(INDEX($AQ$11:$AQ$4010,MATCH(646,$AZ$11:$AZ$4010,0)),""))</f>
        <v/>
      </c>
      <c r="AI656" s="29" t="str">
        <f>IF(AE656="","",IFERROR(INDEX($AR$11:$AR$4010,MATCH(646,$AZ$11:$AZ$4010,0)),""))</f>
        <v/>
      </c>
      <c r="AJ656" s="29" t="str">
        <f>IF(AE656="","",IFERROR(INDEX($AT$11:$AT$4010,MATCH(646,$AZ$11:$AZ$4010,0)),""))</f>
        <v/>
      </c>
      <c r="AL656" s="31"/>
      <c r="AM656" s="26"/>
      <c r="AN656" s="32"/>
      <c r="AO656" s="32"/>
      <c r="AP656" s="24"/>
      <c r="AQ656" s="24"/>
      <c r="AR656" s="33"/>
      <c r="AS656" s="34"/>
      <c r="AT656" s="33"/>
      <c r="AV656" s="21">
        <f>IF(AND($AL656&lt;&gt;"",COUNTIF($AL$11:$AL656,$AL656)=1),1,0)</f>
        <v>0</v>
      </c>
      <c r="AW656" s="21">
        <f t="shared" si="107"/>
        <v>2</v>
      </c>
      <c r="AX656" s="21" t="str">
        <f t="shared" si="106"/>
        <v/>
      </c>
      <c r="AY656" s="21" t="str">
        <f>IF(AND($AM656&lt;&gt;"",$AS656&lt;&gt;"✓"),SUMPRODUCT(($AM$11:$AM656&lt;&gt;"")*($AS$11:$AS656&lt;&gt;"✓")),"")</f>
        <v/>
      </c>
      <c r="AZ656" s="21" t="str">
        <f>IF(AND($AM656&lt;&gt;"",$AS656="✓"),SUMPRODUCT(($AM$11:$AM656&lt;&gt;"")*($AS$11:$AS656="✓")),"")</f>
        <v/>
      </c>
      <c r="BA656" s="21" t="str">
        <f>IF($AL656="","",$AL656&amp;"|"&amp;COUNTIF($AL$11:$AL656,$AL656))</f>
        <v/>
      </c>
    </row>
    <row r="657" spans="23:53" ht="15" customHeight="1" x14ac:dyDescent="0.25">
      <c r="W657" s="14" t="str">
        <f>IF(X657="","",IFERROR(INDEX($AL$11:$AL$4010,MATCH(647,$AY$11:$AY$4010,0)),""))</f>
        <v/>
      </c>
      <c r="X657" s="12" t="str">
        <f>IFERROR(INDEX($AM$11:$AM$4010,MATCH(647,$AY$11:$AY$4010,0)),"")</f>
        <v/>
      </c>
      <c r="Y657" s="11" t="str">
        <f>IF(X657="","",IFERROR(INDEX($AN$11:$AN$4010,MATCH(647,$AY$11:$AY$4010,0)),""))</f>
        <v/>
      </c>
      <c r="Z657" s="11" t="str">
        <f>IF(X657="","",IFERROR(INDEX($AO$11:$AO$4010,MATCH(647,$AY$11:$AY$4010,0)),""))</f>
        <v/>
      </c>
      <c r="AA657" s="10" t="str">
        <f>IF(X657="","",IFERROR(INDEX($AQ$11:$AQ$4010,MATCH(647,$AY$11:$AY$4010,0)),""))</f>
        <v/>
      </c>
      <c r="AB657" s="15" t="str">
        <f>IF(X657="","",IFERROR(INDEX($AR$11:$AR$4010,MATCH(647,$AY$11:$AY$4010,0)),""))</f>
        <v/>
      </c>
      <c r="AD657" s="16" t="str">
        <f>IF(AE657="","",IFERROR(INDEX($AL$11:$AL$4010,MATCH(647,$AZ$11:$AZ$4010,0)),""))</f>
        <v/>
      </c>
      <c r="AE657" s="12" t="str">
        <f>IFERROR(INDEX($AM$11:$AM$4010,MATCH(647,$AZ$11:$AZ$4010,0)),"")</f>
        <v/>
      </c>
      <c r="AF657" s="11" t="str">
        <f>IF(AE657="","",IFERROR(INDEX($AN$11:$AN$4010,MATCH(647,$AZ$11:$AZ$4010,0)),""))</f>
        <v/>
      </c>
      <c r="AG657" s="11" t="str">
        <f>IF(AE657="","",IFERROR(INDEX($AO$11:$AO$4010,MATCH(647,$AZ$11:$AZ$4010,0)),""))</f>
        <v/>
      </c>
      <c r="AH657" s="10" t="str">
        <f>IF(AE657="","",IFERROR(INDEX($AQ$11:$AQ$4010,MATCH(647,$AZ$11:$AZ$4010,0)),""))</f>
        <v/>
      </c>
      <c r="AI657" s="15" t="str">
        <f>IF(AE657="","",IFERROR(INDEX($AR$11:$AR$4010,MATCH(647,$AZ$11:$AZ$4010,0)),""))</f>
        <v/>
      </c>
      <c r="AJ657" s="15" t="str">
        <f>IF(AE657="","",IFERROR(INDEX($AT$11:$AT$4010,MATCH(647,$AZ$11:$AZ$4010,0)),""))</f>
        <v/>
      </c>
      <c r="AL657" s="17"/>
      <c r="AM657" s="12"/>
      <c r="AN657" s="18"/>
      <c r="AO657" s="18"/>
      <c r="AP657" s="10"/>
      <c r="AQ657" s="10"/>
      <c r="AR657" s="19"/>
      <c r="AS657" s="20"/>
      <c r="AT657" s="19"/>
      <c r="AV657" s="21">
        <f>IF(AND($AL657&lt;&gt;"",COUNTIF($AL$11:$AL657,$AL657)=1),1,0)</f>
        <v>0</v>
      </c>
      <c r="AW657" s="21">
        <f t="shared" si="107"/>
        <v>2</v>
      </c>
      <c r="AX657" s="21" t="str">
        <f t="shared" si="106"/>
        <v/>
      </c>
      <c r="AY657" s="21" t="str">
        <f>IF(AND($AM657&lt;&gt;"",$AS657&lt;&gt;"✓"),SUMPRODUCT(($AM$11:$AM657&lt;&gt;"")*($AS$11:$AS657&lt;&gt;"✓")),"")</f>
        <v/>
      </c>
      <c r="AZ657" s="21" t="str">
        <f>IF(AND($AM657&lt;&gt;"",$AS657="✓"),SUMPRODUCT(($AM$11:$AM657&lt;&gt;"")*($AS$11:$AS657="✓")),"")</f>
        <v/>
      </c>
      <c r="BA657" s="21" t="str">
        <f>IF($AL657="","",$AL657&amp;"|"&amp;COUNTIF($AL$11:$AL657,$AL657))</f>
        <v/>
      </c>
    </row>
    <row r="658" spans="23:53" ht="15" customHeight="1" x14ac:dyDescent="0.25">
      <c r="W658" s="28" t="str">
        <f>IF(X658="","",IFERROR(INDEX($AL$11:$AL$4010,MATCH(648,$AY$11:$AY$4010,0)),""))</f>
        <v/>
      </c>
      <c r="X658" s="26" t="str">
        <f>IFERROR(INDEX($AM$11:$AM$4010,MATCH(648,$AY$11:$AY$4010,0)),"")</f>
        <v/>
      </c>
      <c r="Y658" s="25" t="str">
        <f>IF(X658="","",IFERROR(INDEX($AN$11:$AN$4010,MATCH(648,$AY$11:$AY$4010,0)),""))</f>
        <v/>
      </c>
      <c r="Z658" s="25" t="str">
        <f>IF(X658="","",IFERROR(INDEX($AO$11:$AO$4010,MATCH(648,$AY$11:$AY$4010,0)),""))</f>
        <v/>
      </c>
      <c r="AA658" s="24" t="str">
        <f>IF(X658="","",IFERROR(INDEX($AQ$11:$AQ$4010,MATCH(648,$AY$11:$AY$4010,0)),""))</f>
        <v/>
      </c>
      <c r="AB658" s="29" t="str">
        <f>IF(X658="","",IFERROR(INDEX($AR$11:$AR$4010,MATCH(648,$AY$11:$AY$4010,0)),""))</f>
        <v/>
      </c>
      <c r="AD658" s="30" t="str">
        <f>IF(AE658="","",IFERROR(INDEX($AL$11:$AL$4010,MATCH(648,$AZ$11:$AZ$4010,0)),""))</f>
        <v/>
      </c>
      <c r="AE658" s="26" t="str">
        <f>IFERROR(INDEX($AM$11:$AM$4010,MATCH(648,$AZ$11:$AZ$4010,0)),"")</f>
        <v/>
      </c>
      <c r="AF658" s="25" t="str">
        <f>IF(AE658="","",IFERROR(INDEX($AN$11:$AN$4010,MATCH(648,$AZ$11:$AZ$4010,0)),""))</f>
        <v/>
      </c>
      <c r="AG658" s="25" t="str">
        <f>IF(AE658="","",IFERROR(INDEX($AO$11:$AO$4010,MATCH(648,$AZ$11:$AZ$4010,0)),""))</f>
        <v/>
      </c>
      <c r="AH658" s="24" t="str">
        <f>IF(AE658="","",IFERROR(INDEX($AQ$11:$AQ$4010,MATCH(648,$AZ$11:$AZ$4010,0)),""))</f>
        <v/>
      </c>
      <c r="AI658" s="29" t="str">
        <f>IF(AE658="","",IFERROR(INDEX($AR$11:$AR$4010,MATCH(648,$AZ$11:$AZ$4010,0)),""))</f>
        <v/>
      </c>
      <c r="AJ658" s="29" t="str">
        <f>IF(AE658="","",IFERROR(INDEX($AT$11:$AT$4010,MATCH(648,$AZ$11:$AZ$4010,0)),""))</f>
        <v/>
      </c>
      <c r="AL658" s="31"/>
      <c r="AM658" s="26"/>
      <c r="AN658" s="32"/>
      <c r="AO658" s="32"/>
      <c r="AP658" s="24"/>
      <c r="AQ658" s="24"/>
      <c r="AR658" s="33"/>
      <c r="AS658" s="34"/>
      <c r="AT658" s="33"/>
      <c r="AV658" s="21">
        <f>IF(AND($AL658&lt;&gt;"",COUNTIF($AL$11:$AL658,$AL658)=1),1,0)</f>
        <v>0</v>
      </c>
      <c r="AW658" s="21">
        <f t="shared" si="107"/>
        <v>2</v>
      </c>
      <c r="AX658" s="21" t="str">
        <f t="shared" si="106"/>
        <v/>
      </c>
      <c r="AY658" s="21" t="str">
        <f>IF(AND($AM658&lt;&gt;"",$AS658&lt;&gt;"✓"),SUMPRODUCT(($AM$11:$AM658&lt;&gt;"")*($AS$11:$AS658&lt;&gt;"✓")),"")</f>
        <v/>
      </c>
      <c r="AZ658" s="21" t="str">
        <f>IF(AND($AM658&lt;&gt;"",$AS658="✓"),SUMPRODUCT(($AM$11:$AM658&lt;&gt;"")*($AS$11:$AS658="✓")),"")</f>
        <v/>
      </c>
      <c r="BA658" s="21" t="str">
        <f>IF($AL658="","",$AL658&amp;"|"&amp;COUNTIF($AL$11:$AL658,$AL658))</f>
        <v/>
      </c>
    </row>
    <row r="659" spans="23:53" ht="15" customHeight="1" x14ac:dyDescent="0.25">
      <c r="W659" s="14" t="str">
        <f>IF(X659="","",IFERROR(INDEX($AL$11:$AL$4010,MATCH(649,$AY$11:$AY$4010,0)),""))</f>
        <v/>
      </c>
      <c r="X659" s="12" t="str">
        <f>IFERROR(INDEX($AM$11:$AM$4010,MATCH(649,$AY$11:$AY$4010,0)),"")</f>
        <v/>
      </c>
      <c r="Y659" s="11" t="str">
        <f>IF(X659="","",IFERROR(INDEX($AN$11:$AN$4010,MATCH(649,$AY$11:$AY$4010,0)),""))</f>
        <v/>
      </c>
      <c r="Z659" s="11" t="str">
        <f>IF(X659="","",IFERROR(INDEX($AO$11:$AO$4010,MATCH(649,$AY$11:$AY$4010,0)),""))</f>
        <v/>
      </c>
      <c r="AA659" s="10" t="str">
        <f>IF(X659="","",IFERROR(INDEX($AQ$11:$AQ$4010,MATCH(649,$AY$11:$AY$4010,0)),""))</f>
        <v/>
      </c>
      <c r="AB659" s="15" t="str">
        <f>IF(X659="","",IFERROR(INDEX($AR$11:$AR$4010,MATCH(649,$AY$11:$AY$4010,0)),""))</f>
        <v/>
      </c>
      <c r="AD659" s="16" t="str">
        <f>IF(AE659="","",IFERROR(INDEX($AL$11:$AL$4010,MATCH(649,$AZ$11:$AZ$4010,0)),""))</f>
        <v/>
      </c>
      <c r="AE659" s="12" t="str">
        <f>IFERROR(INDEX($AM$11:$AM$4010,MATCH(649,$AZ$11:$AZ$4010,0)),"")</f>
        <v/>
      </c>
      <c r="AF659" s="11" t="str">
        <f>IF(AE659="","",IFERROR(INDEX($AN$11:$AN$4010,MATCH(649,$AZ$11:$AZ$4010,0)),""))</f>
        <v/>
      </c>
      <c r="AG659" s="11" t="str">
        <f>IF(AE659="","",IFERROR(INDEX($AO$11:$AO$4010,MATCH(649,$AZ$11:$AZ$4010,0)),""))</f>
        <v/>
      </c>
      <c r="AH659" s="10" t="str">
        <f>IF(AE659="","",IFERROR(INDEX($AQ$11:$AQ$4010,MATCH(649,$AZ$11:$AZ$4010,0)),""))</f>
        <v/>
      </c>
      <c r="AI659" s="15" t="str">
        <f>IF(AE659="","",IFERROR(INDEX($AR$11:$AR$4010,MATCH(649,$AZ$11:$AZ$4010,0)),""))</f>
        <v/>
      </c>
      <c r="AJ659" s="15" t="str">
        <f>IF(AE659="","",IFERROR(INDEX($AT$11:$AT$4010,MATCH(649,$AZ$11:$AZ$4010,0)),""))</f>
        <v/>
      </c>
      <c r="AL659" s="17"/>
      <c r="AM659" s="12"/>
      <c r="AN659" s="18"/>
      <c r="AO659" s="18"/>
      <c r="AP659" s="10"/>
      <c r="AQ659" s="10"/>
      <c r="AR659" s="19"/>
      <c r="AS659" s="20"/>
      <c r="AT659" s="19"/>
      <c r="AV659" s="21">
        <f>IF(AND($AL659&lt;&gt;"",COUNTIF($AL$11:$AL659,$AL659)=1),1,0)</f>
        <v>0</v>
      </c>
      <c r="AW659" s="21">
        <f t="shared" si="107"/>
        <v>2</v>
      </c>
      <c r="AX659" s="21" t="str">
        <f t="shared" si="106"/>
        <v/>
      </c>
      <c r="AY659" s="21" t="str">
        <f>IF(AND($AM659&lt;&gt;"",$AS659&lt;&gt;"✓"),SUMPRODUCT(($AM$11:$AM659&lt;&gt;"")*($AS$11:$AS659&lt;&gt;"✓")),"")</f>
        <v/>
      </c>
      <c r="AZ659" s="21" t="str">
        <f>IF(AND($AM659&lt;&gt;"",$AS659="✓"),SUMPRODUCT(($AM$11:$AM659&lt;&gt;"")*($AS$11:$AS659="✓")),"")</f>
        <v/>
      </c>
      <c r="BA659" s="21" t="str">
        <f>IF($AL659="","",$AL659&amp;"|"&amp;COUNTIF($AL$11:$AL659,$AL659))</f>
        <v/>
      </c>
    </row>
    <row r="660" spans="23:53" ht="15" customHeight="1" x14ac:dyDescent="0.25">
      <c r="W660" s="28" t="str">
        <f>IF(X660="","",IFERROR(INDEX($AL$11:$AL$4010,MATCH(650,$AY$11:$AY$4010,0)),""))</f>
        <v/>
      </c>
      <c r="X660" s="26" t="str">
        <f>IFERROR(INDEX($AM$11:$AM$4010,MATCH(650,$AY$11:$AY$4010,0)),"")</f>
        <v/>
      </c>
      <c r="Y660" s="25" t="str">
        <f>IF(X660="","",IFERROR(INDEX($AN$11:$AN$4010,MATCH(650,$AY$11:$AY$4010,0)),""))</f>
        <v/>
      </c>
      <c r="Z660" s="25" t="str">
        <f>IF(X660="","",IFERROR(INDEX($AO$11:$AO$4010,MATCH(650,$AY$11:$AY$4010,0)),""))</f>
        <v/>
      </c>
      <c r="AA660" s="24" t="str">
        <f>IF(X660="","",IFERROR(INDEX($AQ$11:$AQ$4010,MATCH(650,$AY$11:$AY$4010,0)),""))</f>
        <v/>
      </c>
      <c r="AB660" s="29" t="str">
        <f>IF(X660="","",IFERROR(INDEX($AR$11:$AR$4010,MATCH(650,$AY$11:$AY$4010,0)),""))</f>
        <v/>
      </c>
      <c r="AD660" s="30" t="str">
        <f>IF(AE660="","",IFERROR(INDEX($AL$11:$AL$4010,MATCH(650,$AZ$11:$AZ$4010,0)),""))</f>
        <v/>
      </c>
      <c r="AE660" s="26" t="str">
        <f>IFERROR(INDEX($AM$11:$AM$4010,MATCH(650,$AZ$11:$AZ$4010,0)),"")</f>
        <v/>
      </c>
      <c r="AF660" s="25" t="str">
        <f>IF(AE660="","",IFERROR(INDEX($AN$11:$AN$4010,MATCH(650,$AZ$11:$AZ$4010,0)),""))</f>
        <v/>
      </c>
      <c r="AG660" s="25" t="str">
        <f>IF(AE660="","",IFERROR(INDEX($AO$11:$AO$4010,MATCH(650,$AZ$11:$AZ$4010,0)),""))</f>
        <v/>
      </c>
      <c r="AH660" s="24" t="str">
        <f>IF(AE660="","",IFERROR(INDEX($AQ$11:$AQ$4010,MATCH(650,$AZ$11:$AZ$4010,0)),""))</f>
        <v/>
      </c>
      <c r="AI660" s="29" t="str">
        <f>IF(AE660="","",IFERROR(INDEX($AR$11:$AR$4010,MATCH(650,$AZ$11:$AZ$4010,0)),""))</f>
        <v/>
      </c>
      <c r="AJ660" s="29" t="str">
        <f>IF(AE660="","",IFERROR(INDEX($AT$11:$AT$4010,MATCH(650,$AZ$11:$AZ$4010,0)),""))</f>
        <v/>
      </c>
      <c r="AL660" s="31"/>
      <c r="AM660" s="26"/>
      <c r="AN660" s="32"/>
      <c r="AO660" s="32"/>
      <c r="AP660" s="24"/>
      <c r="AQ660" s="24"/>
      <c r="AR660" s="33"/>
      <c r="AS660" s="34"/>
      <c r="AT660" s="33"/>
      <c r="AV660" s="21">
        <f>IF(AND($AL660&lt;&gt;"",COUNTIF($AL$11:$AL660,$AL660)=1),1,0)</f>
        <v>0</v>
      </c>
      <c r="AW660" s="21">
        <f t="shared" si="107"/>
        <v>2</v>
      </c>
      <c r="AX660" s="21" t="str">
        <f t="shared" si="106"/>
        <v/>
      </c>
      <c r="AY660" s="21" t="str">
        <f>IF(AND($AM660&lt;&gt;"",$AS660&lt;&gt;"✓"),SUMPRODUCT(($AM$11:$AM660&lt;&gt;"")*($AS$11:$AS660&lt;&gt;"✓")),"")</f>
        <v/>
      </c>
      <c r="AZ660" s="21" t="str">
        <f>IF(AND($AM660&lt;&gt;"",$AS660="✓"),SUMPRODUCT(($AM$11:$AM660&lt;&gt;"")*($AS$11:$AS660="✓")),"")</f>
        <v/>
      </c>
      <c r="BA660" s="21" t="str">
        <f>IF($AL660="","",$AL660&amp;"|"&amp;COUNTIF($AL$11:$AL660,$AL660))</f>
        <v/>
      </c>
    </row>
    <row r="661" spans="23:53" ht="15" customHeight="1" x14ac:dyDescent="0.25">
      <c r="W661" s="14" t="str">
        <f>IF(X661="","",IFERROR(INDEX($AL$11:$AL$4010,MATCH(651,$AY$11:$AY$4010,0)),""))</f>
        <v/>
      </c>
      <c r="X661" s="12" t="str">
        <f>IFERROR(INDEX($AM$11:$AM$4010,MATCH(651,$AY$11:$AY$4010,0)),"")</f>
        <v/>
      </c>
      <c r="Y661" s="11" t="str">
        <f>IF(X661="","",IFERROR(INDEX($AN$11:$AN$4010,MATCH(651,$AY$11:$AY$4010,0)),""))</f>
        <v/>
      </c>
      <c r="Z661" s="11" t="str">
        <f>IF(X661="","",IFERROR(INDEX($AO$11:$AO$4010,MATCH(651,$AY$11:$AY$4010,0)),""))</f>
        <v/>
      </c>
      <c r="AA661" s="10" t="str">
        <f>IF(X661="","",IFERROR(INDEX($AQ$11:$AQ$4010,MATCH(651,$AY$11:$AY$4010,0)),""))</f>
        <v/>
      </c>
      <c r="AB661" s="15" t="str">
        <f>IF(X661="","",IFERROR(INDEX($AR$11:$AR$4010,MATCH(651,$AY$11:$AY$4010,0)),""))</f>
        <v/>
      </c>
      <c r="AD661" s="16" t="str">
        <f>IF(AE661="","",IFERROR(INDEX($AL$11:$AL$4010,MATCH(651,$AZ$11:$AZ$4010,0)),""))</f>
        <v/>
      </c>
      <c r="AE661" s="12" t="str">
        <f>IFERROR(INDEX($AM$11:$AM$4010,MATCH(651,$AZ$11:$AZ$4010,0)),"")</f>
        <v/>
      </c>
      <c r="AF661" s="11" t="str">
        <f>IF(AE661="","",IFERROR(INDEX($AN$11:$AN$4010,MATCH(651,$AZ$11:$AZ$4010,0)),""))</f>
        <v/>
      </c>
      <c r="AG661" s="11" t="str">
        <f>IF(AE661="","",IFERROR(INDEX($AO$11:$AO$4010,MATCH(651,$AZ$11:$AZ$4010,0)),""))</f>
        <v/>
      </c>
      <c r="AH661" s="10" t="str">
        <f>IF(AE661="","",IFERROR(INDEX($AQ$11:$AQ$4010,MATCH(651,$AZ$11:$AZ$4010,0)),""))</f>
        <v/>
      </c>
      <c r="AI661" s="15" t="str">
        <f>IF(AE661="","",IFERROR(INDEX($AR$11:$AR$4010,MATCH(651,$AZ$11:$AZ$4010,0)),""))</f>
        <v/>
      </c>
      <c r="AJ661" s="15" t="str">
        <f>IF(AE661="","",IFERROR(INDEX($AT$11:$AT$4010,MATCH(651,$AZ$11:$AZ$4010,0)),""))</f>
        <v/>
      </c>
      <c r="AL661" s="17"/>
      <c r="AM661" s="12"/>
      <c r="AN661" s="18"/>
      <c r="AO661" s="18"/>
      <c r="AP661" s="10"/>
      <c r="AQ661" s="10"/>
      <c r="AR661" s="19"/>
      <c r="AS661" s="20"/>
      <c r="AT661" s="19"/>
      <c r="AV661" s="21">
        <f>IF(AND($AL661&lt;&gt;"",COUNTIF($AL$11:$AL661,$AL661)=1),1,0)</f>
        <v>0</v>
      </c>
      <c r="AW661" s="21">
        <f t="shared" si="107"/>
        <v>2</v>
      </c>
      <c r="AX661" s="21" t="str">
        <f t="shared" si="106"/>
        <v/>
      </c>
      <c r="AY661" s="21" t="str">
        <f>IF(AND($AM661&lt;&gt;"",$AS661&lt;&gt;"✓"),SUMPRODUCT(($AM$11:$AM661&lt;&gt;"")*($AS$11:$AS661&lt;&gt;"✓")),"")</f>
        <v/>
      </c>
      <c r="AZ661" s="21" t="str">
        <f>IF(AND($AM661&lt;&gt;"",$AS661="✓"),SUMPRODUCT(($AM$11:$AM661&lt;&gt;"")*($AS$11:$AS661="✓")),"")</f>
        <v/>
      </c>
      <c r="BA661" s="21" t="str">
        <f>IF($AL661="","",$AL661&amp;"|"&amp;COUNTIF($AL$11:$AL661,$AL661))</f>
        <v/>
      </c>
    </row>
    <row r="662" spans="23:53" ht="15" customHeight="1" x14ac:dyDescent="0.25">
      <c r="W662" s="28" t="str">
        <f>IF(X662="","",IFERROR(INDEX($AL$11:$AL$4010,MATCH(652,$AY$11:$AY$4010,0)),""))</f>
        <v/>
      </c>
      <c r="X662" s="26" t="str">
        <f>IFERROR(INDEX($AM$11:$AM$4010,MATCH(652,$AY$11:$AY$4010,0)),"")</f>
        <v/>
      </c>
      <c r="Y662" s="25" t="str">
        <f>IF(X662="","",IFERROR(INDEX($AN$11:$AN$4010,MATCH(652,$AY$11:$AY$4010,0)),""))</f>
        <v/>
      </c>
      <c r="Z662" s="25" t="str">
        <f>IF(X662="","",IFERROR(INDEX($AO$11:$AO$4010,MATCH(652,$AY$11:$AY$4010,0)),""))</f>
        <v/>
      </c>
      <c r="AA662" s="24" t="str">
        <f>IF(X662="","",IFERROR(INDEX($AQ$11:$AQ$4010,MATCH(652,$AY$11:$AY$4010,0)),""))</f>
        <v/>
      </c>
      <c r="AB662" s="29" t="str">
        <f>IF(X662="","",IFERROR(INDEX($AR$11:$AR$4010,MATCH(652,$AY$11:$AY$4010,0)),""))</f>
        <v/>
      </c>
      <c r="AD662" s="30" t="str">
        <f>IF(AE662="","",IFERROR(INDEX($AL$11:$AL$4010,MATCH(652,$AZ$11:$AZ$4010,0)),""))</f>
        <v/>
      </c>
      <c r="AE662" s="26" t="str">
        <f>IFERROR(INDEX($AM$11:$AM$4010,MATCH(652,$AZ$11:$AZ$4010,0)),"")</f>
        <v/>
      </c>
      <c r="AF662" s="25" t="str">
        <f>IF(AE662="","",IFERROR(INDEX($AN$11:$AN$4010,MATCH(652,$AZ$11:$AZ$4010,0)),""))</f>
        <v/>
      </c>
      <c r="AG662" s="25" t="str">
        <f>IF(AE662="","",IFERROR(INDEX($AO$11:$AO$4010,MATCH(652,$AZ$11:$AZ$4010,0)),""))</f>
        <v/>
      </c>
      <c r="AH662" s="24" t="str">
        <f>IF(AE662="","",IFERROR(INDEX($AQ$11:$AQ$4010,MATCH(652,$AZ$11:$AZ$4010,0)),""))</f>
        <v/>
      </c>
      <c r="AI662" s="29" t="str">
        <f>IF(AE662="","",IFERROR(INDEX($AR$11:$AR$4010,MATCH(652,$AZ$11:$AZ$4010,0)),""))</f>
        <v/>
      </c>
      <c r="AJ662" s="29" t="str">
        <f>IF(AE662="","",IFERROR(INDEX($AT$11:$AT$4010,MATCH(652,$AZ$11:$AZ$4010,0)),""))</f>
        <v/>
      </c>
      <c r="AL662" s="31"/>
      <c r="AM662" s="26"/>
      <c r="AN662" s="32"/>
      <c r="AO662" s="32"/>
      <c r="AP662" s="24"/>
      <c r="AQ662" s="24"/>
      <c r="AR662" s="33"/>
      <c r="AS662" s="34"/>
      <c r="AT662" s="33"/>
      <c r="AV662" s="21">
        <f>IF(AND($AL662&lt;&gt;"",COUNTIF($AL$11:$AL662,$AL662)=1),1,0)</f>
        <v>0</v>
      </c>
      <c r="AW662" s="21">
        <f t="shared" si="107"/>
        <v>2</v>
      </c>
      <c r="AX662" s="21" t="str">
        <f t="shared" si="106"/>
        <v/>
      </c>
      <c r="AY662" s="21" t="str">
        <f>IF(AND($AM662&lt;&gt;"",$AS662&lt;&gt;"✓"),SUMPRODUCT(($AM$11:$AM662&lt;&gt;"")*($AS$11:$AS662&lt;&gt;"✓")),"")</f>
        <v/>
      </c>
      <c r="AZ662" s="21" t="str">
        <f>IF(AND($AM662&lt;&gt;"",$AS662="✓"),SUMPRODUCT(($AM$11:$AM662&lt;&gt;"")*($AS$11:$AS662="✓")),"")</f>
        <v/>
      </c>
      <c r="BA662" s="21" t="str">
        <f>IF($AL662="","",$AL662&amp;"|"&amp;COUNTIF($AL$11:$AL662,$AL662))</f>
        <v/>
      </c>
    </row>
    <row r="663" spans="23:53" ht="15" customHeight="1" x14ac:dyDescent="0.25">
      <c r="W663" s="14" t="str">
        <f>IF(X663="","",IFERROR(INDEX($AL$11:$AL$4010,MATCH(653,$AY$11:$AY$4010,0)),""))</f>
        <v/>
      </c>
      <c r="X663" s="12" t="str">
        <f>IFERROR(INDEX($AM$11:$AM$4010,MATCH(653,$AY$11:$AY$4010,0)),"")</f>
        <v/>
      </c>
      <c r="Y663" s="11" t="str">
        <f>IF(X663="","",IFERROR(INDEX($AN$11:$AN$4010,MATCH(653,$AY$11:$AY$4010,0)),""))</f>
        <v/>
      </c>
      <c r="Z663" s="11" t="str">
        <f>IF(X663="","",IFERROR(INDEX($AO$11:$AO$4010,MATCH(653,$AY$11:$AY$4010,0)),""))</f>
        <v/>
      </c>
      <c r="AA663" s="10" t="str">
        <f>IF(X663="","",IFERROR(INDEX($AQ$11:$AQ$4010,MATCH(653,$AY$11:$AY$4010,0)),""))</f>
        <v/>
      </c>
      <c r="AB663" s="15" t="str">
        <f>IF(X663="","",IFERROR(INDEX($AR$11:$AR$4010,MATCH(653,$AY$11:$AY$4010,0)),""))</f>
        <v/>
      </c>
      <c r="AD663" s="16" t="str">
        <f>IF(AE663="","",IFERROR(INDEX($AL$11:$AL$4010,MATCH(653,$AZ$11:$AZ$4010,0)),""))</f>
        <v/>
      </c>
      <c r="AE663" s="12" t="str">
        <f>IFERROR(INDEX($AM$11:$AM$4010,MATCH(653,$AZ$11:$AZ$4010,0)),"")</f>
        <v/>
      </c>
      <c r="AF663" s="11" t="str">
        <f>IF(AE663="","",IFERROR(INDEX($AN$11:$AN$4010,MATCH(653,$AZ$11:$AZ$4010,0)),""))</f>
        <v/>
      </c>
      <c r="AG663" s="11" t="str">
        <f>IF(AE663="","",IFERROR(INDEX($AO$11:$AO$4010,MATCH(653,$AZ$11:$AZ$4010,0)),""))</f>
        <v/>
      </c>
      <c r="AH663" s="10" t="str">
        <f>IF(AE663="","",IFERROR(INDEX($AQ$11:$AQ$4010,MATCH(653,$AZ$11:$AZ$4010,0)),""))</f>
        <v/>
      </c>
      <c r="AI663" s="15" t="str">
        <f>IF(AE663="","",IFERROR(INDEX($AR$11:$AR$4010,MATCH(653,$AZ$11:$AZ$4010,0)),""))</f>
        <v/>
      </c>
      <c r="AJ663" s="15" t="str">
        <f>IF(AE663="","",IFERROR(INDEX($AT$11:$AT$4010,MATCH(653,$AZ$11:$AZ$4010,0)),""))</f>
        <v/>
      </c>
      <c r="AL663" s="17"/>
      <c r="AM663" s="12"/>
      <c r="AN663" s="18"/>
      <c r="AO663" s="18"/>
      <c r="AP663" s="10"/>
      <c r="AQ663" s="10"/>
      <c r="AR663" s="19"/>
      <c r="AS663" s="20"/>
      <c r="AT663" s="19"/>
      <c r="AV663" s="21">
        <f>IF(AND($AL663&lt;&gt;"",COUNTIF($AL$11:$AL663,$AL663)=1),1,0)</f>
        <v>0</v>
      </c>
      <c r="AW663" s="21">
        <f t="shared" si="107"/>
        <v>2</v>
      </c>
      <c r="AX663" s="21" t="str">
        <f t="shared" si="106"/>
        <v/>
      </c>
      <c r="AY663" s="21" t="str">
        <f>IF(AND($AM663&lt;&gt;"",$AS663&lt;&gt;"✓"),SUMPRODUCT(($AM$11:$AM663&lt;&gt;"")*($AS$11:$AS663&lt;&gt;"✓")),"")</f>
        <v/>
      </c>
      <c r="AZ663" s="21" t="str">
        <f>IF(AND($AM663&lt;&gt;"",$AS663="✓"),SUMPRODUCT(($AM$11:$AM663&lt;&gt;"")*($AS$11:$AS663="✓")),"")</f>
        <v/>
      </c>
      <c r="BA663" s="21" t="str">
        <f>IF($AL663="","",$AL663&amp;"|"&amp;COUNTIF($AL$11:$AL663,$AL663))</f>
        <v/>
      </c>
    </row>
    <row r="664" spans="23:53" ht="15" customHeight="1" x14ac:dyDescent="0.25">
      <c r="W664" s="28" t="str">
        <f>IF(X664="","",IFERROR(INDEX($AL$11:$AL$4010,MATCH(654,$AY$11:$AY$4010,0)),""))</f>
        <v/>
      </c>
      <c r="X664" s="26" t="str">
        <f>IFERROR(INDEX($AM$11:$AM$4010,MATCH(654,$AY$11:$AY$4010,0)),"")</f>
        <v/>
      </c>
      <c r="Y664" s="25" t="str">
        <f>IF(X664="","",IFERROR(INDEX($AN$11:$AN$4010,MATCH(654,$AY$11:$AY$4010,0)),""))</f>
        <v/>
      </c>
      <c r="Z664" s="25" t="str">
        <f>IF(X664="","",IFERROR(INDEX($AO$11:$AO$4010,MATCH(654,$AY$11:$AY$4010,0)),""))</f>
        <v/>
      </c>
      <c r="AA664" s="24" t="str">
        <f>IF(X664="","",IFERROR(INDEX($AQ$11:$AQ$4010,MATCH(654,$AY$11:$AY$4010,0)),""))</f>
        <v/>
      </c>
      <c r="AB664" s="29" t="str">
        <f>IF(X664="","",IFERROR(INDEX($AR$11:$AR$4010,MATCH(654,$AY$11:$AY$4010,0)),""))</f>
        <v/>
      </c>
      <c r="AD664" s="30" t="str">
        <f>IF(AE664="","",IFERROR(INDEX($AL$11:$AL$4010,MATCH(654,$AZ$11:$AZ$4010,0)),""))</f>
        <v/>
      </c>
      <c r="AE664" s="26" t="str">
        <f>IFERROR(INDEX($AM$11:$AM$4010,MATCH(654,$AZ$11:$AZ$4010,0)),"")</f>
        <v/>
      </c>
      <c r="AF664" s="25" t="str">
        <f>IF(AE664="","",IFERROR(INDEX($AN$11:$AN$4010,MATCH(654,$AZ$11:$AZ$4010,0)),""))</f>
        <v/>
      </c>
      <c r="AG664" s="25" t="str">
        <f>IF(AE664="","",IFERROR(INDEX($AO$11:$AO$4010,MATCH(654,$AZ$11:$AZ$4010,0)),""))</f>
        <v/>
      </c>
      <c r="AH664" s="24" t="str">
        <f>IF(AE664="","",IFERROR(INDEX($AQ$11:$AQ$4010,MATCH(654,$AZ$11:$AZ$4010,0)),""))</f>
        <v/>
      </c>
      <c r="AI664" s="29" t="str">
        <f>IF(AE664="","",IFERROR(INDEX($AR$11:$AR$4010,MATCH(654,$AZ$11:$AZ$4010,0)),""))</f>
        <v/>
      </c>
      <c r="AJ664" s="29" t="str">
        <f>IF(AE664="","",IFERROR(INDEX($AT$11:$AT$4010,MATCH(654,$AZ$11:$AZ$4010,0)),""))</f>
        <v/>
      </c>
      <c r="AL664" s="31"/>
      <c r="AM664" s="26"/>
      <c r="AN664" s="32"/>
      <c r="AO664" s="32"/>
      <c r="AP664" s="24"/>
      <c r="AQ664" s="24"/>
      <c r="AR664" s="33"/>
      <c r="AS664" s="34"/>
      <c r="AT664" s="33"/>
      <c r="AV664" s="21">
        <f>IF(AND($AL664&lt;&gt;"",COUNTIF($AL$11:$AL664,$AL664)=1),1,0)</f>
        <v>0</v>
      </c>
      <c r="AW664" s="21">
        <f t="shared" si="107"/>
        <v>2</v>
      </c>
      <c r="AX664" s="21" t="str">
        <f t="shared" si="106"/>
        <v/>
      </c>
      <c r="AY664" s="21" t="str">
        <f>IF(AND($AM664&lt;&gt;"",$AS664&lt;&gt;"✓"),SUMPRODUCT(($AM$11:$AM664&lt;&gt;"")*($AS$11:$AS664&lt;&gt;"✓")),"")</f>
        <v/>
      </c>
      <c r="AZ664" s="21" t="str">
        <f>IF(AND($AM664&lt;&gt;"",$AS664="✓"),SUMPRODUCT(($AM$11:$AM664&lt;&gt;"")*($AS$11:$AS664="✓")),"")</f>
        <v/>
      </c>
      <c r="BA664" s="21" t="str">
        <f>IF($AL664="","",$AL664&amp;"|"&amp;COUNTIF($AL$11:$AL664,$AL664))</f>
        <v/>
      </c>
    </row>
    <row r="665" spans="23:53" ht="15" customHeight="1" x14ac:dyDescent="0.25">
      <c r="W665" s="14" t="str">
        <f>IF(X665="","",IFERROR(INDEX($AL$11:$AL$4010,MATCH(655,$AY$11:$AY$4010,0)),""))</f>
        <v/>
      </c>
      <c r="X665" s="12" t="str">
        <f>IFERROR(INDEX($AM$11:$AM$4010,MATCH(655,$AY$11:$AY$4010,0)),"")</f>
        <v/>
      </c>
      <c r="Y665" s="11" t="str">
        <f>IF(X665="","",IFERROR(INDEX($AN$11:$AN$4010,MATCH(655,$AY$11:$AY$4010,0)),""))</f>
        <v/>
      </c>
      <c r="Z665" s="11" t="str">
        <f>IF(X665="","",IFERROR(INDEX($AO$11:$AO$4010,MATCH(655,$AY$11:$AY$4010,0)),""))</f>
        <v/>
      </c>
      <c r="AA665" s="10" t="str">
        <f>IF(X665="","",IFERROR(INDEX($AQ$11:$AQ$4010,MATCH(655,$AY$11:$AY$4010,0)),""))</f>
        <v/>
      </c>
      <c r="AB665" s="15" t="str">
        <f>IF(X665="","",IFERROR(INDEX($AR$11:$AR$4010,MATCH(655,$AY$11:$AY$4010,0)),""))</f>
        <v/>
      </c>
      <c r="AD665" s="16" t="str">
        <f>IF(AE665="","",IFERROR(INDEX($AL$11:$AL$4010,MATCH(655,$AZ$11:$AZ$4010,0)),""))</f>
        <v/>
      </c>
      <c r="AE665" s="12" t="str">
        <f>IFERROR(INDEX($AM$11:$AM$4010,MATCH(655,$AZ$11:$AZ$4010,0)),"")</f>
        <v/>
      </c>
      <c r="AF665" s="11" t="str">
        <f>IF(AE665="","",IFERROR(INDEX($AN$11:$AN$4010,MATCH(655,$AZ$11:$AZ$4010,0)),""))</f>
        <v/>
      </c>
      <c r="AG665" s="11" t="str">
        <f>IF(AE665="","",IFERROR(INDEX($AO$11:$AO$4010,MATCH(655,$AZ$11:$AZ$4010,0)),""))</f>
        <v/>
      </c>
      <c r="AH665" s="10" t="str">
        <f>IF(AE665="","",IFERROR(INDEX($AQ$11:$AQ$4010,MATCH(655,$AZ$11:$AZ$4010,0)),""))</f>
        <v/>
      </c>
      <c r="AI665" s="15" t="str">
        <f>IF(AE665="","",IFERROR(INDEX($AR$11:$AR$4010,MATCH(655,$AZ$11:$AZ$4010,0)),""))</f>
        <v/>
      </c>
      <c r="AJ665" s="15" t="str">
        <f>IF(AE665="","",IFERROR(INDEX($AT$11:$AT$4010,MATCH(655,$AZ$11:$AZ$4010,0)),""))</f>
        <v/>
      </c>
      <c r="AL665" s="17"/>
      <c r="AM665" s="12"/>
      <c r="AN665" s="18"/>
      <c r="AO665" s="18"/>
      <c r="AP665" s="10"/>
      <c r="AQ665" s="10"/>
      <c r="AR665" s="19"/>
      <c r="AS665" s="20"/>
      <c r="AT665" s="19"/>
      <c r="AV665" s="21">
        <f>IF(AND($AL665&lt;&gt;"",COUNTIF($AL$11:$AL665,$AL665)=1),1,0)</f>
        <v>0</v>
      </c>
      <c r="AW665" s="21">
        <f t="shared" si="107"/>
        <v>2</v>
      </c>
      <c r="AX665" s="21" t="str">
        <f t="shared" si="106"/>
        <v/>
      </c>
      <c r="AY665" s="21" t="str">
        <f>IF(AND($AM665&lt;&gt;"",$AS665&lt;&gt;"✓"),SUMPRODUCT(($AM$11:$AM665&lt;&gt;"")*($AS$11:$AS665&lt;&gt;"✓")),"")</f>
        <v/>
      </c>
      <c r="AZ665" s="21" t="str">
        <f>IF(AND($AM665&lt;&gt;"",$AS665="✓"),SUMPRODUCT(($AM$11:$AM665&lt;&gt;"")*($AS$11:$AS665="✓")),"")</f>
        <v/>
      </c>
      <c r="BA665" s="21" t="str">
        <f>IF($AL665="","",$AL665&amp;"|"&amp;COUNTIF($AL$11:$AL665,$AL665))</f>
        <v/>
      </c>
    </row>
    <row r="666" spans="23:53" ht="15" customHeight="1" x14ac:dyDescent="0.25">
      <c r="W666" s="28" t="str">
        <f>IF(X666="","",IFERROR(INDEX($AL$11:$AL$4010,MATCH(656,$AY$11:$AY$4010,0)),""))</f>
        <v/>
      </c>
      <c r="X666" s="26" t="str">
        <f>IFERROR(INDEX($AM$11:$AM$4010,MATCH(656,$AY$11:$AY$4010,0)),"")</f>
        <v/>
      </c>
      <c r="Y666" s="25" t="str">
        <f>IF(X666="","",IFERROR(INDEX($AN$11:$AN$4010,MATCH(656,$AY$11:$AY$4010,0)),""))</f>
        <v/>
      </c>
      <c r="Z666" s="25" t="str">
        <f>IF(X666="","",IFERROR(INDEX($AO$11:$AO$4010,MATCH(656,$AY$11:$AY$4010,0)),""))</f>
        <v/>
      </c>
      <c r="AA666" s="24" t="str">
        <f>IF(X666="","",IFERROR(INDEX($AQ$11:$AQ$4010,MATCH(656,$AY$11:$AY$4010,0)),""))</f>
        <v/>
      </c>
      <c r="AB666" s="29" t="str">
        <f>IF(X666="","",IFERROR(INDEX($AR$11:$AR$4010,MATCH(656,$AY$11:$AY$4010,0)),""))</f>
        <v/>
      </c>
      <c r="AD666" s="30" t="str">
        <f>IF(AE666="","",IFERROR(INDEX($AL$11:$AL$4010,MATCH(656,$AZ$11:$AZ$4010,0)),""))</f>
        <v/>
      </c>
      <c r="AE666" s="26" t="str">
        <f>IFERROR(INDEX($AM$11:$AM$4010,MATCH(656,$AZ$11:$AZ$4010,0)),"")</f>
        <v/>
      </c>
      <c r="AF666" s="25" t="str">
        <f>IF(AE666="","",IFERROR(INDEX($AN$11:$AN$4010,MATCH(656,$AZ$11:$AZ$4010,0)),""))</f>
        <v/>
      </c>
      <c r="AG666" s="25" t="str">
        <f>IF(AE666="","",IFERROR(INDEX($AO$11:$AO$4010,MATCH(656,$AZ$11:$AZ$4010,0)),""))</f>
        <v/>
      </c>
      <c r="AH666" s="24" t="str">
        <f>IF(AE666="","",IFERROR(INDEX($AQ$11:$AQ$4010,MATCH(656,$AZ$11:$AZ$4010,0)),""))</f>
        <v/>
      </c>
      <c r="AI666" s="29" t="str">
        <f>IF(AE666="","",IFERROR(INDEX($AR$11:$AR$4010,MATCH(656,$AZ$11:$AZ$4010,0)),""))</f>
        <v/>
      </c>
      <c r="AJ666" s="29" t="str">
        <f>IF(AE666="","",IFERROR(INDEX($AT$11:$AT$4010,MATCH(656,$AZ$11:$AZ$4010,0)),""))</f>
        <v/>
      </c>
      <c r="AL666" s="31"/>
      <c r="AM666" s="26"/>
      <c r="AN666" s="32"/>
      <c r="AO666" s="32"/>
      <c r="AP666" s="24"/>
      <c r="AQ666" s="24"/>
      <c r="AR666" s="33"/>
      <c r="AS666" s="34"/>
      <c r="AT666" s="33"/>
      <c r="AV666" s="21">
        <f>IF(AND($AL666&lt;&gt;"",COUNTIF($AL$11:$AL666,$AL666)=1),1,0)</f>
        <v>0</v>
      </c>
      <c r="AW666" s="21">
        <f t="shared" si="107"/>
        <v>2</v>
      </c>
      <c r="AX666" s="21" t="str">
        <f t="shared" si="106"/>
        <v/>
      </c>
      <c r="AY666" s="21" t="str">
        <f>IF(AND($AM666&lt;&gt;"",$AS666&lt;&gt;"✓"),SUMPRODUCT(($AM$11:$AM666&lt;&gt;"")*($AS$11:$AS666&lt;&gt;"✓")),"")</f>
        <v/>
      </c>
      <c r="AZ666" s="21" t="str">
        <f>IF(AND($AM666&lt;&gt;"",$AS666="✓"),SUMPRODUCT(($AM$11:$AM666&lt;&gt;"")*($AS$11:$AS666="✓")),"")</f>
        <v/>
      </c>
      <c r="BA666" s="21" t="str">
        <f>IF($AL666="","",$AL666&amp;"|"&amp;COUNTIF($AL$11:$AL666,$AL666))</f>
        <v/>
      </c>
    </row>
    <row r="667" spans="23:53" ht="15" customHeight="1" x14ac:dyDescent="0.25">
      <c r="W667" s="14" t="str">
        <f>IF(X667="","",IFERROR(INDEX($AL$11:$AL$4010,MATCH(657,$AY$11:$AY$4010,0)),""))</f>
        <v/>
      </c>
      <c r="X667" s="12" t="str">
        <f>IFERROR(INDEX($AM$11:$AM$4010,MATCH(657,$AY$11:$AY$4010,0)),"")</f>
        <v/>
      </c>
      <c r="Y667" s="11" t="str">
        <f>IF(X667="","",IFERROR(INDEX($AN$11:$AN$4010,MATCH(657,$AY$11:$AY$4010,0)),""))</f>
        <v/>
      </c>
      <c r="Z667" s="11" t="str">
        <f>IF(X667="","",IFERROR(INDEX($AO$11:$AO$4010,MATCH(657,$AY$11:$AY$4010,0)),""))</f>
        <v/>
      </c>
      <c r="AA667" s="10" t="str">
        <f>IF(X667="","",IFERROR(INDEX($AQ$11:$AQ$4010,MATCH(657,$AY$11:$AY$4010,0)),""))</f>
        <v/>
      </c>
      <c r="AB667" s="15" t="str">
        <f>IF(X667="","",IFERROR(INDEX($AR$11:$AR$4010,MATCH(657,$AY$11:$AY$4010,0)),""))</f>
        <v/>
      </c>
      <c r="AD667" s="16" t="str">
        <f>IF(AE667="","",IFERROR(INDEX($AL$11:$AL$4010,MATCH(657,$AZ$11:$AZ$4010,0)),""))</f>
        <v/>
      </c>
      <c r="AE667" s="12" t="str">
        <f>IFERROR(INDEX($AM$11:$AM$4010,MATCH(657,$AZ$11:$AZ$4010,0)),"")</f>
        <v/>
      </c>
      <c r="AF667" s="11" t="str">
        <f>IF(AE667="","",IFERROR(INDEX($AN$11:$AN$4010,MATCH(657,$AZ$11:$AZ$4010,0)),""))</f>
        <v/>
      </c>
      <c r="AG667" s="11" t="str">
        <f>IF(AE667="","",IFERROR(INDEX($AO$11:$AO$4010,MATCH(657,$AZ$11:$AZ$4010,0)),""))</f>
        <v/>
      </c>
      <c r="AH667" s="10" t="str">
        <f>IF(AE667="","",IFERROR(INDEX($AQ$11:$AQ$4010,MATCH(657,$AZ$11:$AZ$4010,0)),""))</f>
        <v/>
      </c>
      <c r="AI667" s="15" t="str">
        <f>IF(AE667="","",IFERROR(INDEX($AR$11:$AR$4010,MATCH(657,$AZ$11:$AZ$4010,0)),""))</f>
        <v/>
      </c>
      <c r="AJ667" s="15" t="str">
        <f>IF(AE667="","",IFERROR(INDEX($AT$11:$AT$4010,MATCH(657,$AZ$11:$AZ$4010,0)),""))</f>
        <v/>
      </c>
      <c r="AL667" s="17"/>
      <c r="AM667" s="12"/>
      <c r="AN667" s="18"/>
      <c r="AO667" s="18"/>
      <c r="AP667" s="10"/>
      <c r="AQ667" s="10"/>
      <c r="AR667" s="19"/>
      <c r="AS667" s="20"/>
      <c r="AT667" s="19"/>
      <c r="AV667" s="21">
        <f>IF(AND($AL667&lt;&gt;"",COUNTIF($AL$11:$AL667,$AL667)=1),1,0)</f>
        <v>0</v>
      </c>
      <c r="AW667" s="21">
        <f t="shared" si="107"/>
        <v>2</v>
      </c>
      <c r="AX667" s="21" t="str">
        <f t="shared" si="106"/>
        <v/>
      </c>
      <c r="AY667" s="21" t="str">
        <f>IF(AND($AM667&lt;&gt;"",$AS667&lt;&gt;"✓"),SUMPRODUCT(($AM$11:$AM667&lt;&gt;"")*($AS$11:$AS667&lt;&gt;"✓")),"")</f>
        <v/>
      </c>
      <c r="AZ667" s="21" t="str">
        <f>IF(AND($AM667&lt;&gt;"",$AS667="✓"),SUMPRODUCT(($AM$11:$AM667&lt;&gt;"")*($AS$11:$AS667="✓")),"")</f>
        <v/>
      </c>
      <c r="BA667" s="21" t="str">
        <f>IF($AL667="","",$AL667&amp;"|"&amp;COUNTIF($AL$11:$AL667,$AL667))</f>
        <v/>
      </c>
    </row>
    <row r="668" spans="23:53" ht="15" customHeight="1" x14ac:dyDescent="0.25">
      <c r="W668" s="28" t="str">
        <f>IF(X668="","",IFERROR(INDEX($AL$11:$AL$4010,MATCH(658,$AY$11:$AY$4010,0)),""))</f>
        <v/>
      </c>
      <c r="X668" s="26" t="str">
        <f>IFERROR(INDEX($AM$11:$AM$4010,MATCH(658,$AY$11:$AY$4010,0)),"")</f>
        <v/>
      </c>
      <c r="Y668" s="25" t="str">
        <f>IF(X668="","",IFERROR(INDEX($AN$11:$AN$4010,MATCH(658,$AY$11:$AY$4010,0)),""))</f>
        <v/>
      </c>
      <c r="Z668" s="25" t="str">
        <f>IF(X668="","",IFERROR(INDEX($AO$11:$AO$4010,MATCH(658,$AY$11:$AY$4010,0)),""))</f>
        <v/>
      </c>
      <c r="AA668" s="24" t="str">
        <f>IF(X668="","",IFERROR(INDEX($AQ$11:$AQ$4010,MATCH(658,$AY$11:$AY$4010,0)),""))</f>
        <v/>
      </c>
      <c r="AB668" s="29" t="str">
        <f>IF(X668="","",IFERROR(INDEX($AR$11:$AR$4010,MATCH(658,$AY$11:$AY$4010,0)),""))</f>
        <v/>
      </c>
      <c r="AD668" s="30" t="str">
        <f>IF(AE668="","",IFERROR(INDEX($AL$11:$AL$4010,MATCH(658,$AZ$11:$AZ$4010,0)),""))</f>
        <v/>
      </c>
      <c r="AE668" s="26" t="str">
        <f>IFERROR(INDEX($AM$11:$AM$4010,MATCH(658,$AZ$11:$AZ$4010,0)),"")</f>
        <v/>
      </c>
      <c r="AF668" s="25" t="str">
        <f>IF(AE668="","",IFERROR(INDEX($AN$11:$AN$4010,MATCH(658,$AZ$11:$AZ$4010,0)),""))</f>
        <v/>
      </c>
      <c r="AG668" s="25" t="str">
        <f>IF(AE668="","",IFERROR(INDEX($AO$11:$AO$4010,MATCH(658,$AZ$11:$AZ$4010,0)),""))</f>
        <v/>
      </c>
      <c r="AH668" s="24" t="str">
        <f>IF(AE668="","",IFERROR(INDEX($AQ$11:$AQ$4010,MATCH(658,$AZ$11:$AZ$4010,0)),""))</f>
        <v/>
      </c>
      <c r="AI668" s="29" t="str">
        <f>IF(AE668="","",IFERROR(INDEX($AR$11:$AR$4010,MATCH(658,$AZ$11:$AZ$4010,0)),""))</f>
        <v/>
      </c>
      <c r="AJ668" s="29" t="str">
        <f>IF(AE668="","",IFERROR(INDEX($AT$11:$AT$4010,MATCH(658,$AZ$11:$AZ$4010,0)),""))</f>
        <v/>
      </c>
      <c r="AL668" s="31"/>
      <c r="AM668" s="26"/>
      <c r="AN668" s="32"/>
      <c r="AO668" s="32"/>
      <c r="AP668" s="24"/>
      <c r="AQ668" s="24"/>
      <c r="AR668" s="33"/>
      <c r="AS668" s="34"/>
      <c r="AT668" s="33"/>
      <c r="AV668" s="21">
        <f>IF(AND($AL668&lt;&gt;"",COUNTIF($AL$11:$AL668,$AL668)=1),1,0)</f>
        <v>0</v>
      </c>
      <c r="AW668" s="21">
        <f t="shared" si="107"/>
        <v>2</v>
      </c>
      <c r="AX668" s="21" t="str">
        <f t="shared" si="106"/>
        <v/>
      </c>
      <c r="AY668" s="21" t="str">
        <f>IF(AND($AM668&lt;&gt;"",$AS668&lt;&gt;"✓"),SUMPRODUCT(($AM$11:$AM668&lt;&gt;"")*($AS$11:$AS668&lt;&gt;"✓")),"")</f>
        <v/>
      </c>
      <c r="AZ668" s="21" t="str">
        <f>IF(AND($AM668&lt;&gt;"",$AS668="✓"),SUMPRODUCT(($AM$11:$AM668&lt;&gt;"")*($AS$11:$AS668="✓")),"")</f>
        <v/>
      </c>
      <c r="BA668" s="21" t="str">
        <f>IF($AL668="","",$AL668&amp;"|"&amp;COUNTIF($AL$11:$AL668,$AL668))</f>
        <v/>
      </c>
    </row>
    <row r="669" spans="23:53" ht="15" customHeight="1" x14ac:dyDescent="0.25">
      <c r="W669" s="14" t="str">
        <f>IF(X669="","",IFERROR(INDEX($AL$11:$AL$4010,MATCH(659,$AY$11:$AY$4010,0)),""))</f>
        <v/>
      </c>
      <c r="X669" s="12" t="str">
        <f>IFERROR(INDEX($AM$11:$AM$4010,MATCH(659,$AY$11:$AY$4010,0)),"")</f>
        <v/>
      </c>
      <c r="Y669" s="11" t="str">
        <f>IF(X669="","",IFERROR(INDEX($AN$11:$AN$4010,MATCH(659,$AY$11:$AY$4010,0)),""))</f>
        <v/>
      </c>
      <c r="Z669" s="11" t="str">
        <f>IF(X669="","",IFERROR(INDEX($AO$11:$AO$4010,MATCH(659,$AY$11:$AY$4010,0)),""))</f>
        <v/>
      </c>
      <c r="AA669" s="10" t="str">
        <f>IF(X669="","",IFERROR(INDEX($AQ$11:$AQ$4010,MATCH(659,$AY$11:$AY$4010,0)),""))</f>
        <v/>
      </c>
      <c r="AB669" s="15" t="str">
        <f>IF(X669="","",IFERROR(INDEX($AR$11:$AR$4010,MATCH(659,$AY$11:$AY$4010,0)),""))</f>
        <v/>
      </c>
      <c r="AD669" s="16" t="str">
        <f>IF(AE669="","",IFERROR(INDEX($AL$11:$AL$4010,MATCH(659,$AZ$11:$AZ$4010,0)),""))</f>
        <v/>
      </c>
      <c r="AE669" s="12" t="str">
        <f>IFERROR(INDEX($AM$11:$AM$4010,MATCH(659,$AZ$11:$AZ$4010,0)),"")</f>
        <v/>
      </c>
      <c r="AF669" s="11" t="str">
        <f>IF(AE669="","",IFERROR(INDEX($AN$11:$AN$4010,MATCH(659,$AZ$11:$AZ$4010,0)),""))</f>
        <v/>
      </c>
      <c r="AG669" s="11" t="str">
        <f>IF(AE669="","",IFERROR(INDEX($AO$11:$AO$4010,MATCH(659,$AZ$11:$AZ$4010,0)),""))</f>
        <v/>
      </c>
      <c r="AH669" s="10" t="str">
        <f>IF(AE669="","",IFERROR(INDEX($AQ$11:$AQ$4010,MATCH(659,$AZ$11:$AZ$4010,0)),""))</f>
        <v/>
      </c>
      <c r="AI669" s="15" t="str">
        <f>IF(AE669="","",IFERROR(INDEX($AR$11:$AR$4010,MATCH(659,$AZ$11:$AZ$4010,0)),""))</f>
        <v/>
      </c>
      <c r="AJ669" s="15" t="str">
        <f>IF(AE669="","",IFERROR(INDEX($AT$11:$AT$4010,MATCH(659,$AZ$11:$AZ$4010,0)),""))</f>
        <v/>
      </c>
      <c r="AL669" s="17"/>
      <c r="AM669" s="12"/>
      <c r="AN669" s="18"/>
      <c r="AO669" s="18"/>
      <c r="AP669" s="10"/>
      <c r="AQ669" s="10"/>
      <c r="AR669" s="19"/>
      <c r="AS669" s="20"/>
      <c r="AT669" s="19"/>
      <c r="AV669" s="21">
        <f>IF(AND($AL669&lt;&gt;"",COUNTIF($AL$11:$AL669,$AL669)=1),1,0)</f>
        <v>0</v>
      </c>
      <c r="AW669" s="21">
        <f t="shared" si="107"/>
        <v>2</v>
      </c>
      <c r="AX669" s="21" t="str">
        <f t="shared" si="106"/>
        <v/>
      </c>
      <c r="AY669" s="21" t="str">
        <f>IF(AND($AM669&lt;&gt;"",$AS669&lt;&gt;"✓"),SUMPRODUCT(($AM$11:$AM669&lt;&gt;"")*($AS$11:$AS669&lt;&gt;"✓")),"")</f>
        <v/>
      </c>
      <c r="AZ669" s="21" t="str">
        <f>IF(AND($AM669&lt;&gt;"",$AS669="✓"),SUMPRODUCT(($AM$11:$AM669&lt;&gt;"")*($AS$11:$AS669="✓")),"")</f>
        <v/>
      </c>
      <c r="BA669" s="21" t="str">
        <f>IF($AL669="","",$AL669&amp;"|"&amp;COUNTIF($AL$11:$AL669,$AL669))</f>
        <v/>
      </c>
    </row>
    <row r="670" spans="23:53" ht="15" customHeight="1" x14ac:dyDescent="0.25">
      <c r="W670" s="28" t="str">
        <f>IF(X670="","",IFERROR(INDEX($AL$11:$AL$4010,MATCH(660,$AY$11:$AY$4010,0)),""))</f>
        <v/>
      </c>
      <c r="X670" s="26" t="str">
        <f>IFERROR(INDEX($AM$11:$AM$4010,MATCH(660,$AY$11:$AY$4010,0)),"")</f>
        <v/>
      </c>
      <c r="Y670" s="25" t="str">
        <f>IF(X670="","",IFERROR(INDEX($AN$11:$AN$4010,MATCH(660,$AY$11:$AY$4010,0)),""))</f>
        <v/>
      </c>
      <c r="Z670" s="25" t="str">
        <f>IF(X670="","",IFERROR(INDEX($AO$11:$AO$4010,MATCH(660,$AY$11:$AY$4010,0)),""))</f>
        <v/>
      </c>
      <c r="AA670" s="24" t="str">
        <f>IF(X670="","",IFERROR(INDEX($AQ$11:$AQ$4010,MATCH(660,$AY$11:$AY$4010,0)),""))</f>
        <v/>
      </c>
      <c r="AB670" s="29" t="str">
        <f>IF(X670="","",IFERROR(INDEX($AR$11:$AR$4010,MATCH(660,$AY$11:$AY$4010,0)),""))</f>
        <v/>
      </c>
      <c r="AD670" s="30" t="str">
        <f>IF(AE670="","",IFERROR(INDEX($AL$11:$AL$4010,MATCH(660,$AZ$11:$AZ$4010,0)),""))</f>
        <v/>
      </c>
      <c r="AE670" s="26" t="str">
        <f>IFERROR(INDEX($AM$11:$AM$4010,MATCH(660,$AZ$11:$AZ$4010,0)),"")</f>
        <v/>
      </c>
      <c r="AF670" s="25" t="str">
        <f>IF(AE670="","",IFERROR(INDEX($AN$11:$AN$4010,MATCH(660,$AZ$11:$AZ$4010,0)),""))</f>
        <v/>
      </c>
      <c r="AG670" s="25" t="str">
        <f>IF(AE670="","",IFERROR(INDEX($AO$11:$AO$4010,MATCH(660,$AZ$11:$AZ$4010,0)),""))</f>
        <v/>
      </c>
      <c r="AH670" s="24" t="str">
        <f>IF(AE670="","",IFERROR(INDEX($AQ$11:$AQ$4010,MATCH(660,$AZ$11:$AZ$4010,0)),""))</f>
        <v/>
      </c>
      <c r="AI670" s="29" t="str">
        <f>IF(AE670="","",IFERROR(INDEX($AR$11:$AR$4010,MATCH(660,$AZ$11:$AZ$4010,0)),""))</f>
        <v/>
      </c>
      <c r="AJ670" s="29" t="str">
        <f>IF(AE670="","",IFERROR(INDEX($AT$11:$AT$4010,MATCH(660,$AZ$11:$AZ$4010,0)),""))</f>
        <v/>
      </c>
      <c r="AL670" s="31"/>
      <c r="AM670" s="26"/>
      <c r="AN670" s="32"/>
      <c r="AO670" s="32"/>
      <c r="AP670" s="24"/>
      <c r="AQ670" s="24"/>
      <c r="AR670" s="33"/>
      <c r="AS670" s="34"/>
      <c r="AT670" s="33"/>
      <c r="AV670" s="21">
        <f>IF(AND($AL670&lt;&gt;"",COUNTIF($AL$11:$AL670,$AL670)=1),1,0)</f>
        <v>0</v>
      </c>
      <c r="AW670" s="21">
        <f t="shared" si="107"/>
        <v>2</v>
      </c>
      <c r="AX670" s="21" t="str">
        <f t="shared" si="106"/>
        <v/>
      </c>
      <c r="AY670" s="21" t="str">
        <f>IF(AND($AM670&lt;&gt;"",$AS670&lt;&gt;"✓"),SUMPRODUCT(($AM$11:$AM670&lt;&gt;"")*($AS$11:$AS670&lt;&gt;"✓")),"")</f>
        <v/>
      </c>
      <c r="AZ670" s="21" t="str">
        <f>IF(AND($AM670&lt;&gt;"",$AS670="✓"),SUMPRODUCT(($AM$11:$AM670&lt;&gt;"")*($AS$11:$AS670="✓")),"")</f>
        <v/>
      </c>
      <c r="BA670" s="21" t="str">
        <f>IF($AL670="","",$AL670&amp;"|"&amp;COUNTIF($AL$11:$AL670,$AL670))</f>
        <v/>
      </c>
    </row>
    <row r="671" spans="23:53" ht="15" customHeight="1" x14ac:dyDescent="0.25">
      <c r="W671" s="14" t="str">
        <f>IF(X671="","",IFERROR(INDEX($AL$11:$AL$4010,MATCH(661,$AY$11:$AY$4010,0)),""))</f>
        <v/>
      </c>
      <c r="X671" s="12" t="str">
        <f>IFERROR(INDEX($AM$11:$AM$4010,MATCH(661,$AY$11:$AY$4010,0)),"")</f>
        <v/>
      </c>
      <c r="Y671" s="11" t="str">
        <f>IF(X671="","",IFERROR(INDEX($AN$11:$AN$4010,MATCH(661,$AY$11:$AY$4010,0)),""))</f>
        <v/>
      </c>
      <c r="Z671" s="11" t="str">
        <f>IF(X671="","",IFERROR(INDEX($AO$11:$AO$4010,MATCH(661,$AY$11:$AY$4010,0)),""))</f>
        <v/>
      </c>
      <c r="AA671" s="10" t="str">
        <f>IF(X671="","",IFERROR(INDEX($AQ$11:$AQ$4010,MATCH(661,$AY$11:$AY$4010,0)),""))</f>
        <v/>
      </c>
      <c r="AB671" s="15" t="str">
        <f>IF(X671="","",IFERROR(INDEX($AR$11:$AR$4010,MATCH(661,$AY$11:$AY$4010,0)),""))</f>
        <v/>
      </c>
      <c r="AD671" s="16" t="str">
        <f>IF(AE671="","",IFERROR(INDEX($AL$11:$AL$4010,MATCH(661,$AZ$11:$AZ$4010,0)),""))</f>
        <v/>
      </c>
      <c r="AE671" s="12" t="str">
        <f>IFERROR(INDEX($AM$11:$AM$4010,MATCH(661,$AZ$11:$AZ$4010,0)),"")</f>
        <v/>
      </c>
      <c r="AF671" s="11" t="str">
        <f>IF(AE671="","",IFERROR(INDEX($AN$11:$AN$4010,MATCH(661,$AZ$11:$AZ$4010,0)),""))</f>
        <v/>
      </c>
      <c r="AG671" s="11" t="str">
        <f>IF(AE671="","",IFERROR(INDEX($AO$11:$AO$4010,MATCH(661,$AZ$11:$AZ$4010,0)),""))</f>
        <v/>
      </c>
      <c r="AH671" s="10" t="str">
        <f>IF(AE671="","",IFERROR(INDEX($AQ$11:$AQ$4010,MATCH(661,$AZ$11:$AZ$4010,0)),""))</f>
        <v/>
      </c>
      <c r="AI671" s="15" t="str">
        <f>IF(AE671="","",IFERROR(INDEX($AR$11:$AR$4010,MATCH(661,$AZ$11:$AZ$4010,0)),""))</f>
        <v/>
      </c>
      <c r="AJ671" s="15" t="str">
        <f>IF(AE671="","",IFERROR(INDEX($AT$11:$AT$4010,MATCH(661,$AZ$11:$AZ$4010,0)),""))</f>
        <v/>
      </c>
      <c r="AL671" s="17"/>
      <c r="AM671" s="12"/>
      <c r="AN671" s="18"/>
      <c r="AO671" s="18"/>
      <c r="AP671" s="10"/>
      <c r="AQ671" s="10"/>
      <c r="AR671" s="19"/>
      <c r="AS671" s="20"/>
      <c r="AT671" s="19"/>
      <c r="AV671" s="21">
        <f>IF(AND($AL671&lt;&gt;"",COUNTIF($AL$11:$AL671,$AL671)=1),1,0)</f>
        <v>0</v>
      </c>
      <c r="AW671" s="21">
        <f t="shared" si="107"/>
        <v>2</v>
      </c>
      <c r="AX671" s="21" t="str">
        <f t="shared" si="106"/>
        <v/>
      </c>
      <c r="AY671" s="21" t="str">
        <f>IF(AND($AM671&lt;&gt;"",$AS671&lt;&gt;"✓"),SUMPRODUCT(($AM$11:$AM671&lt;&gt;"")*($AS$11:$AS671&lt;&gt;"✓")),"")</f>
        <v/>
      </c>
      <c r="AZ671" s="21" t="str">
        <f>IF(AND($AM671&lt;&gt;"",$AS671="✓"),SUMPRODUCT(($AM$11:$AM671&lt;&gt;"")*($AS$11:$AS671="✓")),"")</f>
        <v/>
      </c>
      <c r="BA671" s="21" t="str">
        <f>IF($AL671="","",$AL671&amp;"|"&amp;COUNTIF($AL$11:$AL671,$AL671))</f>
        <v/>
      </c>
    </row>
    <row r="672" spans="23:53" ht="15" customHeight="1" x14ac:dyDescent="0.25">
      <c r="W672" s="28" t="str">
        <f>IF(X672="","",IFERROR(INDEX($AL$11:$AL$4010,MATCH(662,$AY$11:$AY$4010,0)),""))</f>
        <v/>
      </c>
      <c r="X672" s="26" t="str">
        <f>IFERROR(INDEX($AM$11:$AM$4010,MATCH(662,$AY$11:$AY$4010,0)),"")</f>
        <v/>
      </c>
      <c r="Y672" s="25" t="str">
        <f>IF(X672="","",IFERROR(INDEX($AN$11:$AN$4010,MATCH(662,$AY$11:$AY$4010,0)),""))</f>
        <v/>
      </c>
      <c r="Z672" s="25" t="str">
        <f>IF(X672="","",IFERROR(INDEX($AO$11:$AO$4010,MATCH(662,$AY$11:$AY$4010,0)),""))</f>
        <v/>
      </c>
      <c r="AA672" s="24" t="str">
        <f>IF(X672="","",IFERROR(INDEX($AQ$11:$AQ$4010,MATCH(662,$AY$11:$AY$4010,0)),""))</f>
        <v/>
      </c>
      <c r="AB672" s="29" t="str">
        <f>IF(X672="","",IFERROR(INDEX($AR$11:$AR$4010,MATCH(662,$AY$11:$AY$4010,0)),""))</f>
        <v/>
      </c>
      <c r="AD672" s="30" t="str">
        <f>IF(AE672="","",IFERROR(INDEX($AL$11:$AL$4010,MATCH(662,$AZ$11:$AZ$4010,0)),""))</f>
        <v/>
      </c>
      <c r="AE672" s="26" t="str">
        <f>IFERROR(INDEX($AM$11:$AM$4010,MATCH(662,$AZ$11:$AZ$4010,0)),"")</f>
        <v/>
      </c>
      <c r="AF672" s="25" t="str">
        <f>IF(AE672="","",IFERROR(INDEX($AN$11:$AN$4010,MATCH(662,$AZ$11:$AZ$4010,0)),""))</f>
        <v/>
      </c>
      <c r="AG672" s="25" t="str">
        <f>IF(AE672="","",IFERROR(INDEX($AO$11:$AO$4010,MATCH(662,$AZ$11:$AZ$4010,0)),""))</f>
        <v/>
      </c>
      <c r="AH672" s="24" t="str">
        <f>IF(AE672="","",IFERROR(INDEX($AQ$11:$AQ$4010,MATCH(662,$AZ$11:$AZ$4010,0)),""))</f>
        <v/>
      </c>
      <c r="AI672" s="29" t="str">
        <f>IF(AE672="","",IFERROR(INDEX($AR$11:$AR$4010,MATCH(662,$AZ$11:$AZ$4010,0)),""))</f>
        <v/>
      </c>
      <c r="AJ672" s="29" t="str">
        <f>IF(AE672="","",IFERROR(INDEX($AT$11:$AT$4010,MATCH(662,$AZ$11:$AZ$4010,0)),""))</f>
        <v/>
      </c>
      <c r="AL672" s="31"/>
      <c r="AM672" s="26"/>
      <c r="AN672" s="32"/>
      <c r="AO672" s="32"/>
      <c r="AP672" s="24"/>
      <c r="AQ672" s="24"/>
      <c r="AR672" s="33"/>
      <c r="AS672" s="34"/>
      <c r="AT672" s="33"/>
      <c r="AV672" s="21">
        <f>IF(AND($AL672&lt;&gt;"",COUNTIF($AL$11:$AL672,$AL672)=1),1,0)</f>
        <v>0</v>
      </c>
      <c r="AW672" s="21">
        <f t="shared" si="107"/>
        <v>2</v>
      </c>
      <c r="AX672" s="21" t="str">
        <f t="shared" si="106"/>
        <v/>
      </c>
      <c r="AY672" s="21" t="str">
        <f>IF(AND($AM672&lt;&gt;"",$AS672&lt;&gt;"✓"),SUMPRODUCT(($AM$11:$AM672&lt;&gt;"")*($AS$11:$AS672&lt;&gt;"✓")),"")</f>
        <v/>
      </c>
      <c r="AZ672" s="21" t="str">
        <f>IF(AND($AM672&lt;&gt;"",$AS672="✓"),SUMPRODUCT(($AM$11:$AM672&lt;&gt;"")*($AS$11:$AS672="✓")),"")</f>
        <v/>
      </c>
      <c r="BA672" s="21" t="str">
        <f>IF($AL672="","",$AL672&amp;"|"&amp;COUNTIF($AL$11:$AL672,$AL672))</f>
        <v/>
      </c>
    </row>
    <row r="673" spans="23:53" ht="15" customHeight="1" x14ac:dyDescent="0.25">
      <c r="W673" s="14" t="str">
        <f>IF(X673="","",IFERROR(INDEX($AL$11:$AL$4010,MATCH(663,$AY$11:$AY$4010,0)),""))</f>
        <v/>
      </c>
      <c r="X673" s="12" t="str">
        <f>IFERROR(INDEX($AM$11:$AM$4010,MATCH(663,$AY$11:$AY$4010,0)),"")</f>
        <v/>
      </c>
      <c r="Y673" s="11" t="str">
        <f>IF(X673="","",IFERROR(INDEX($AN$11:$AN$4010,MATCH(663,$AY$11:$AY$4010,0)),""))</f>
        <v/>
      </c>
      <c r="Z673" s="11" t="str">
        <f>IF(X673="","",IFERROR(INDEX($AO$11:$AO$4010,MATCH(663,$AY$11:$AY$4010,0)),""))</f>
        <v/>
      </c>
      <c r="AA673" s="10" t="str">
        <f>IF(X673="","",IFERROR(INDEX($AQ$11:$AQ$4010,MATCH(663,$AY$11:$AY$4010,0)),""))</f>
        <v/>
      </c>
      <c r="AB673" s="15" t="str">
        <f>IF(X673="","",IFERROR(INDEX($AR$11:$AR$4010,MATCH(663,$AY$11:$AY$4010,0)),""))</f>
        <v/>
      </c>
      <c r="AD673" s="16" t="str">
        <f>IF(AE673="","",IFERROR(INDEX($AL$11:$AL$4010,MATCH(663,$AZ$11:$AZ$4010,0)),""))</f>
        <v/>
      </c>
      <c r="AE673" s="12" t="str">
        <f>IFERROR(INDEX($AM$11:$AM$4010,MATCH(663,$AZ$11:$AZ$4010,0)),"")</f>
        <v/>
      </c>
      <c r="AF673" s="11" t="str">
        <f>IF(AE673="","",IFERROR(INDEX($AN$11:$AN$4010,MATCH(663,$AZ$11:$AZ$4010,0)),""))</f>
        <v/>
      </c>
      <c r="AG673" s="11" t="str">
        <f>IF(AE673="","",IFERROR(INDEX($AO$11:$AO$4010,MATCH(663,$AZ$11:$AZ$4010,0)),""))</f>
        <v/>
      </c>
      <c r="AH673" s="10" t="str">
        <f>IF(AE673="","",IFERROR(INDEX($AQ$11:$AQ$4010,MATCH(663,$AZ$11:$AZ$4010,0)),""))</f>
        <v/>
      </c>
      <c r="AI673" s="15" t="str">
        <f>IF(AE673="","",IFERROR(INDEX($AR$11:$AR$4010,MATCH(663,$AZ$11:$AZ$4010,0)),""))</f>
        <v/>
      </c>
      <c r="AJ673" s="15" t="str">
        <f>IF(AE673="","",IFERROR(INDEX($AT$11:$AT$4010,MATCH(663,$AZ$11:$AZ$4010,0)),""))</f>
        <v/>
      </c>
      <c r="AL673" s="17"/>
      <c r="AM673" s="12"/>
      <c r="AN673" s="18"/>
      <c r="AO673" s="18"/>
      <c r="AP673" s="10"/>
      <c r="AQ673" s="10"/>
      <c r="AR673" s="19"/>
      <c r="AS673" s="20"/>
      <c r="AT673" s="19"/>
      <c r="AV673" s="21">
        <f>IF(AND($AL673&lt;&gt;"",COUNTIF($AL$11:$AL673,$AL673)=1),1,0)</f>
        <v>0</v>
      </c>
      <c r="AW673" s="21">
        <f t="shared" si="107"/>
        <v>2</v>
      </c>
      <c r="AX673" s="21" t="str">
        <f t="shared" si="106"/>
        <v/>
      </c>
      <c r="AY673" s="21" t="str">
        <f>IF(AND($AM673&lt;&gt;"",$AS673&lt;&gt;"✓"),SUMPRODUCT(($AM$11:$AM673&lt;&gt;"")*($AS$11:$AS673&lt;&gt;"✓")),"")</f>
        <v/>
      </c>
      <c r="AZ673" s="21" t="str">
        <f>IF(AND($AM673&lt;&gt;"",$AS673="✓"),SUMPRODUCT(($AM$11:$AM673&lt;&gt;"")*($AS$11:$AS673="✓")),"")</f>
        <v/>
      </c>
      <c r="BA673" s="21" t="str">
        <f>IF($AL673="","",$AL673&amp;"|"&amp;COUNTIF($AL$11:$AL673,$AL673))</f>
        <v/>
      </c>
    </row>
    <row r="674" spans="23:53" ht="15" customHeight="1" x14ac:dyDescent="0.25">
      <c r="W674" s="28" t="str">
        <f>IF(X674="","",IFERROR(INDEX($AL$11:$AL$4010,MATCH(664,$AY$11:$AY$4010,0)),""))</f>
        <v/>
      </c>
      <c r="X674" s="26" t="str">
        <f>IFERROR(INDEX($AM$11:$AM$4010,MATCH(664,$AY$11:$AY$4010,0)),"")</f>
        <v/>
      </c>
      <c r="Y674" s="25" t="str">
        <f>IF(X674="","",IFERROR(INDEX($AN$11:$AN$4010,MATCH(664,$AY$11:$AY$4010,0)),""))</f>
        <v/>
      </c>
      <c r="Z674" s="25" t="str">
        <f>IF(X674="","",IFERROR(INDEX($AO$11:$AO$4010,MATCH(664,$AY$11:$AY$4010,0)),""))</f>
        <v/>
      </c>
      <c r="AA674" s="24" t="str">
        <f>IF(X674="","",IFERROR(INDEX($AQ$11:$AQ$4010,MATCH(664,$AY$11:$AY$4010,0)),""))</f>
        <v/>
      </c>
      <c r="AB674" s="29" t="str">
        <f>IF(X674="","",IFERROR(INDEX($AR$11:$AR$4010,MATCH(664,$AY$11:$AY$4010,0)),""))</f>
        <v/>
      </c>
      <c r="AD674" s="30" t="str">
        <f>IF(AE674="","",IFERROR(INDEX($AL$11:$AL$4010,MATCH(664,$AZ$11:$AZ$4010,0)),""))</f>
        <v/>
      </c>
      <c r="AE674" s="26" t="str">
        <f>IFERROR(INDEX($AM$11:$AM$4010,MATCH(664,$AZ$11:$AZ$4010,0)),"")</f>
        <v/>
      </c>
      <c r="AF674" s="25" t="str">
        <f>IF(AE674="","",IFERROR(INDEX($AN$11:$AN$4010,MATCH(664,$AZ$11:$AZ$4010,0)),""))</f>
        <v/>
      </c>
      <c r="AG674" s="25" t="str">
        <f>IF(AE674="","",IFERROR(INDEX($AO$11:$AO$4010,MATCH(664,$AZ$11:$AZ$4010,0)),""))</f>
        <v/>
      </c>
      <c r="AH674" s="24" t="str">
        <f>IF(AE674="","",IFERROR(INDEX($AQ$11:$AQ$4010,MATCH(664,$AZ$11:$AZ$4010,0)),""))</f>
        <v/>
      </c>
      <c r="AI674" s="29" t="str">
        <f>IF(AE674="","",IFERROR(INDEX($AR$11:$AR$4010,MATCH(664,$AZ$11:$AZ$4010,0)),""))</f>
        <v/>
      </c>
      <c r="AJ674" s="29" t="str">
        <f>IF(AE674="","",IFERROR(INDEX($AT$11:$AT$4010,MATCH(664,$AZ$11:$AZ$4010,0)),""))</f>
        <v/>
      </c>
      <c r="AL674" s="31"/>
      <c r="AM674" s="26"/>
      <c r="AN674" s="32"/>
      <c r="AO674" s="32"/>
      <c r="AP674" s="24"/>
      <c r="AQ674" s="24"/>
      <c r="AR674" s="33"/>
      <c r="AS674" s="34"/>
      <c r="AT674" s="33"/>
      <c r="AV674" s="21">
        <f>IF(AND($AL674&lt;&gt;"",COUNTIF($AL$11:$AL674,$AL674)=1),1,0)</f>
        <v>0</v>
      </c>
      <c r="AW674" s="21">
        <f t="shared" si="107"/>
        <v>2</v>
      </c>
      <c r="AX674" s="21" t="str">
        <f t="shared" si="106"/>
        <v/>
      </c>
      <c r="AY674" s="21" t="str">
        <f>IF(AND($AM674&lt;&gt;"",$AS674&lt;&gt;"✓"),SUMPRODUCT(($AM$11:$AM674&lt;&gt;"")*($AS$11:$AS674&lt;&gt;"✓")),"")</f>
        <v/>
      </c>
      <c r="AZ674" s="21" t="str">
        <f>IF(AND($AM674&lt;&gt;"",$AS674="✓"),SUMPRODUCT(($AM$11:$AM674&lt;&gt;"")*($AS$11:$AS674="✓")),"")</f>
        <v/>
      </c>
      <c r="BA674" s="21" t="str">
        <f>IF($AL674="","",$AL674&amp;"|"&amp;COUNTIF($AL$11:$AL674,$AL674))</f>
        <v/>
      </c>
    </row>
    <row r="675" spans="23:53" ht="15" customHeight="1" x14ac:dyDescent="0.25">
      <c r="W675" s="14" t="str">
        <f>IF(X675="","",IFERROR(INDEX($AL$11:$AL$4010,MATCH(665,$AY$11:$AY$4010,0)),""))</f>
        <v/>
      </c>
      <c r="X675" s="12" t="str">
        <f>IFERROR(INDEX($AM$11:$AM$4010,MATCH(665,$AY$11:$AY$4010,0)),"")</f>
        <v/>
      </c>
      <c r="Y675" s="11" t="str">
        <f>IF(X675="","",IFERROR(INDEX($AN$11:$AN$4010,MATCH(665,$AY$11:$AY$4010,0)),""))</f>
        <v/>
      </c>
      <c r="Z675" s="11" t="str">
        <f>IF(X675="","",IFERROR(INDEX($AO$11:$AO$4010,MATCH(665,$AY$11:$AY$4010,0)),""))</f>
        <v/>
      </c>
      <c r="AA675" s="10" t="str">
        <f>IF(X675="","",IFERROR(INDEX($AQ$11:$AQ$4010,MATCH(665,$AY$11:$AY$4010,0)),""))</f>
        <v/>
      </c>
      <c r="AB675" s="15" t="str">
        <f>IF(X675="","",IFERROR(INDEX($AR$11:$AR$4010,MATCH(665,$AY$11:$AY$4010,0)),""))</f>
        <v/>
      </c>
      <c r="AD675" s="16" t="str">
        <f>IF(AE675="","",IFERROR(INDEX($AL$11:$AL$4010,MATCH(665,$AZ$11:$AZ$4010,0)),""))</f>
        <v/>
      </c>
      <c r="AE675" s="12" t="str">
        <f>IFERROR(INDEX($AM$11:$AM$4010,MATCH(665,$AZ$11:$AZ$4010,0)),"")</f>
        <v/>
      </c>
      <c r="AF675" s="11" t="str">
        <f>IF(AE675="","",IFERROR(INDEX($AN$11:$AN$4010,MATCH(665,$AZ$11:$AZ$4010,0)),""))</f>
        <v/>
      </c>
      <c r="AG675" s="11" t="str">
        <f>IF(AE675="","",IFERROR(INDEX($AO$11:$AO$4010,MATCH(665,$AZ$11:$AZ$4010,0)),""))</f>
        <v/>
      </c>
      <c r="AH675" s="10" t="str">
        <f>IF(AE675="","",IFERROR(INDEX($AQ$11:$AQ$4010,MATCH(665,$AZ$11:$AZ$4010,0)),""))</f>
        <v/>
      </c>
      <c r="AI675" s="15" t="str">
        <f>IF(AE675="","",IFERROR(INDEX($AR$11:$AR$4010,MATCH(665,$AZ$11:$AZ$4010,0)),""))</f>
        <v/>
      </c>
      <c r="AJ675" s="15" t="str">
        <f>IF(AE675="","",IFERROR(INDEX($AT$11:$AT$4010,MATCH(665,$AZ$11:$AZ$4010,0)),""))</f>
        <v/>
      </c>
      <c r="AL675" s="17"/>
      <c r="AM675" s="12"/>
      <c r="AN675" s="18"/>
      <c r="AO675" s="18"/>
      <c r="AP675" s="10"/>
      <c r="AQ675" s="10"/>
      <c r="AR675" s="19"/>
      <c r="AS675" s="20"/>
      <c r="AT675" s="19"/>
      <c r="AV675" s="21">
        <f>IF(AND($AL675&lt;&gt;"",COUNTIF($AL$11:$AL675,$AL675)=1),1,0)</f>
        <v>0</v>
      </c>
      <c r="AW675" s="21">
        <f t="shared" si="107"/>
        <v>2</v>
      </c>
      <c r="AX675" s="21" t="str">
        <f t="shared" si="106"/>
        <v/>
      </c>
      <c r="AY675" s="21" t="str">
        <f>IF(AND($AM675&lt;&gt;"",$AS675&lt;&gt;"✓"),SUMPRODUCT(($AM$11:$AM675&lt;&gt;"")*($AS$11:$AS675&lt;&gt;"✓")),"")</f>
        <v/>
      </c>
      <c r="AZ675" s="21" t="str">
        <f>IF(AND($AM675&lt;&gt;"",$AS675="✓"),SUMPRODUCT(($AM$11:$AM675&lt;&gt;"")*($AS$11:$AS675="✓")),"")</f>
        <v/>
      </c>
      <c r="BA675" s="21" t="str">
        <f>IF($AL675="","",$AL675&amp;"|"&amp;COUNTIF($AL$11:$AL675,$AL675))</f>
        <v/>
      </c>
    </row>
    <row r="676" spans="23:53" ht="15" customHeight="1" x14ac:dyDescent="0.25">
      <c r="W676" s="28" t="str">
        <f>IF(X676="","",IFERROR(INDEX($AL$11:$AL$4010,MATCH(666,$AY$11:$AY$4010,0)),""))</f>
        <v/>
      </c>
      <c r="X676" s="26" t="str">
        <f>IFERROR(INDEX($AM$11:$AM$4010,MATCH(666,$AY$11:$AY$4010,0)),"")</f>
        <v/>
      </c>
      <c r="Y676" s="25" t="str">
        <f>IF(X676="","",IFERROR(INDEX($AN$11:$AN$4010,MATCH(666,$AY$11:$AY$4010,0)),""))</f>
        <v/>
      </c>
      <c r="Z676" s="25" t="str">
        <f>IF(X676="","",IFERROR(INDEX($AO$11:$AO$4010,MATCH(666,$AY$11:$AY$4010,0)),""))</f>
        <v/>
      </c>
      <c r="AA676" s="24" t="str">
        <f>IF(X676="","",IFERROR(INDEX($AQ$11:$AQ$4010,MATCH(666,$AY$11:$AY$4010,0)),""))</f>
        <v/>
      </c>
      <c r="AB676" s="29" t="str">
        <f>IF(X676="","",IFERROR(INDEX($AR$11:$AR$4010,MATCH(666,$AY$11:$AY$4010,0)),""))</f>
        <v/>
      </c>
      <c r="AD676" s="30" t="str">
        <f>IF(AE676="","",IFERROR(INDEX($AL$11:$AL$4010,MATCH(666,$AZ$11:$AZ$4010,0)),""))</f>
        <v/>
      </c>
      <c r="AE676" s="26" t="str">
        <f>IFERROR(INDEX($AM$11:$AM$4010,MATCH(666,$AZ$11:$AZ$4010,0)),"")</f>
        <v/>
      </c>
      <c r="AF676" s="25" t="str">
        <f>IF(AE676="","",IFERROR(INDEX($AN$11:$AN$4010,MATCH(666,$AZ$11:$AZ$4010,0)),""))</f>
        <v/>
      </c>
      <c r="AG676" s="25" t="str">
        <f>IF(AE676="","",IFERROR(INDEX($AO$11:$AO$4010,MATCH(666,$AZ$11:$AZ$4010,0)),""))</f>
        <v/>
      </c>
      <c r="AH676" s="24" t="str">
        <f>IF(AE676="","",IFERROR(INDEX($AQ$11:$AQ$4010,MATCH(666,$AZ$11:$AZ$4010,0)),""))</f>
        <v/>
      </c>
      <c r="AI676" s="29" t="str">
        <f>IF(AE676="","",IFERROR(INDEX($AR$11:$AR$4010,MATCH(666,$AZ$11:$AZ$4010,0)),""))</f>
        <v/>
      </c>
      <c r="AJ676" s="29" t="str">
        <f>IF(AE676="","",IFERROR(INDEX($AT$11:$AT$4010,MATCH(666,$AZ$11:$AZ$4010,0)),""))</f>
        <v/>
      </c>
      <c r="AL676" s="31"/>
      <c r="AM676" s="26"/>
      <c r="AN676" s="32"/>
      <c r="AO676" s="32"/>
      <c r="AP676" s="24"/>
      <c r="AQ676" s="24"/>
      <c r="AR676" s="33"/>
      <c r="AS676" s="34"/>
      <c r="AT676" s="33"/>
      <c r="AV676" s="21">
        <f>IF(AND($AL676&lt;&gt;"",COUNTIF($AL$11:$AL676,$AL676)=1),1,0)</f>
        <v>0</v>
      </c>
      <c r="AW676" s="21">
        <f t="shared" si="107"/>
        <v>2</v>
      </c>
      <c r="AX676" s="21" t="str">
        <f t="shared" si="106"/>
        <v/>
      </c>
      <c r="AY676" s="21" t="str">
        <f>IF(AND($AM676&lt;&gt;"",$AS676&lt;&gt;"✓"),SUMPRODUCT(($AM$11:$AM676&lt;&gt;"")*($AS$11:$AS676&lt;&gt;"✓")),"")</f>
        <v/>
      </c>
      <c r="AZ676" s="21" t="str">
        <f>IF(AND($AM676&lt;&gt;"",$AS676="✓"),SUMPRODUCT(($AM$11:$AM676&lt;&gt;"")*($AS$11:$AS676="✓")),"")</f>
        <v/>
      </c>
      <c r="BA676" s="21" t="str">
        <f>IF($AL676="","",$AL676&amp;"|"&amp;COUNTIF($AL$11:$AL676,$AL676))</f>
        <v/>
      </c>
    </row>
    <row r="677" spans="23:53" ht="15" customHeight="1" x14ac:dyDescent="0.25">
      <c r="W677" s="14" t="str">
        <f>IF(X677="","",IFERROR(INDEX($AL$11:$AL$4010,MATCH(667,$AY$11:$AY$4010,0)),""))</f>
        <v/>
      </c>
      <c r="X677" s="12" t="str">
        <f>IFERROR(INDEX($AM$11:$AM$4010,MATCH(667,$AY$11:$AY$4010,0)),"")</f>
        <v/>
      </c>
      <c r="Y677" s="11" t="str">
        <f>IF(X677="","",IFERROR(INDEX($AN$11:$AN$4010,MATCH(667,$AY$11:$AY$4010,0)),""))</f>
        <v/>
      </c>
      <c r="Z677" s="11" t="str">
        <f>IF(X677="","",IFERROR(INDEX($AO$11:$AO$4010,MATCH(667,$AY$11:$AY$4010,0)),""))</f>
        <v/>
      </c>
      <c r="AA677" s="10" t="str">
        <f>IF(X677="","",IFERROR(INDEX($AQ$11:$AQ$4010,MATCH(667,$AY$11:$AY$4010,0)),""))</f>
        <v/>
      </c>
      <c r="AB677" s="15" t="str">
        <f>IF(X677="","",IFERROR(INDEX($AR$11:$AR$4010,MATCH(667,$AY$11:$AY$4010,0)),""))</f>
        <v/>
      </c>
      <c r="AD677" s="16" t="str">
        <f>IF(AE677="","",IFERROR(INDEX($AL$11:$AL$4010,MATCH(667,$AZ$11:$AZ$4010,0)),""))</f>
        <v/>
      </c>
      <c r="AE677" s="12" t="str">
        <f>IFERROR(INDEX($AM$11:$AM$4010,MATCH(667,$AZ$11:$AZ$4010,0)),"")</f>
        <v/>
      </c>
      <c r="AF677" s="11" t="str">
        <f>IF(AE677="","",IFERROR(INDEX($AN$11:$AN$4010,MATCH(667,$AZ$11:$AZ$4010,0)),""))</f>
        <v/>
      </c>
      <c r="AG677" s="11" t="str">
        <f>IF(AE677="","",IFERROR(INDEX($AO$11:$AO$4010,MATCH(667,$AZ$11:$AZ$4010,0)),""))</f>
        <v/>
      </c>
      <c r="AH677" s="10" t="str">
        <f>IF(AE677="","",IFERROR(INDEX($AQ$11:$AQ$4010,MATCH(667,$AZ$11:$AZ$4010,0)),""))</f>
        <v/>
      </c>
      <c r="AI677" s="15" t="str">
        <f>IF(AE677="","",IFERROR(INDEX($AR$11:$AR$4010,MATCH(667,$AZ$11:$AZ$4010,0)),""))</f>
        <v/>
      </c>
      <c r="AJ677" s="15" t="str">
        <f>IF(AE677="","",IFERROR(INDEX($AT$11:$AT$4010,MATCH(667,$AZ$11:$AZ$4010,0)),""))</f>
        <v/>
      </c>
      <c r="AL677" s="17"/>
      <c r="AM677" s="12"/>
      <c r="AN677" s="18"/>
      <c r="AO677" s="18"/>
      <c r="AP677" s="10"/>
      <c r="AQ677" s="10"/>
      <c r="AR677" s="19"/>
      <c r="AS677" s="20"/>
      <c r="AT677" s="19"/>
      <c r="AV677" s="21">
        <f>IF(AND($AL677&lt;&gt;"",COUNTIF($AL$11:$AL677,$AL677)=1),1,0)</f>
        <v>0</v>
      </c>
      <c r="AW677" s="21">
        <f t="shared" si="107"/>
        <v>2</v>
      </c>
      <c r="AX677" s="21" t="str">
        <f t="shared" si="106"/>
        <v/>
      </c>
      <c r="AY677" s="21" t="str">
        <f>IF(AND($AM677&lt;&gt;"",$AS677&lt;&gt;"✓"),SUMPRODUCT(($AM$11:$AM677&lt;&gt;"")*($AS$11:$AS677&lt;&gt;"✓")),"")</f>
        <v/>
      </c>
      <c r="AZ677" s="21" t="str">
        <f>IF(AND($AM677&lt;&gt;"",$AS677="✓"),SUMPRODUCT(($AM$11:$AM677&lt;&gt;"")*($AS$11:$AS677="✓")),"")</f>
        <v/>
      </c>
      <c r="BA677" s="21" t="str">
        <f>IF($AL677="","",$AL677&amp;"|"&amp;COUNTIF($AL$11:$AL677,$AL677))</f>
        <v/>
      </c>
    </row>
    <row r="678" spans="23:53" ht="15" customHeight="1" x14ac:dyDescent="0.25">
      <c r="W678" s="28" t="str">
        <f>IF(X678="","",IFERROR(INDEX($AL$11:$AL$4010,MATCH(668,$AY$11:$AY$4010,0)),""))</f>
        <v/>
      </c>
      <c r="X678" s="26" t="str">
        <f>IFERROR(INDEX($AM$11:$AM$4010,MATCH(668,$AY$11:$AY$4010,0)),"")</f>
        <v/>
      </c>
      <c r="Y678" s="25" t="str">
        <f>IF(X678="","",IFERROR(INDEX($AN$11:$AN$4010,MATCH(668,$AY$11:$AY$4010,0)),""))</f>
        <v/>
      </c>
      <c r="Z678" s="25" t="str">
        <f>IF(X678="","",IFERROR(INDEX($AO$11:$AO$4010,MATCH(668,$AY$11:$AY$4010,0)),""))</f>
        <v/>
      </c>
      <c r="AA678" s="24" t="str">
        <f>IF(X678="","",IFERROR(INDEX($AQ$11:$AQ$4010,MATCH(668,$AY$11:$AY$4010,0)),""))</f>
        <v/>
      </c>
      <c r="AB678" s="29" t="str">
        <f>IF(X678="","",IFERROR(INDEX($AR$11:$AR$4010,MATCH(668,$AY$11:$AY$4010,0)),""))</f>
        <v/>
      </c>
      <c r="AD678" s="30" t="str">
        <f>IF(AE678="","",IFERROR(INDEX($AL$11:$AL$4010,MATCH(668,$AZ$11:$AZ$4010,0)),""))</f>
        <v/>
      </c>
      <c r="AE678" s="26" t="str">
        <f>IFERROR(INDEX($AM$11:$AM$4010,MATCH(668,$AZ$11:$AZ$4010,0)),"")</f>
        <v/>
      </c>
      <c r="AF678" s="25" t="str">
        <f>IF(AE678="","",IFERROR(INDEX($AN$11:$AN$4010,MATCH(668,$AZ$11:$AZ$4010,0)),""))</f>
        <v/>
      </c>
      <c r="AG678" s="25" t="str">
        <f>IF(AE678="","",IFERROR(INDEX($AO$11:$AO$4010,MATCH(668,$AZ$11:$AZ$4010,0)),""))</f>
        <v/>
      </c>
      <c r="AH678" s="24" t="str">
        <f>IF(AE678="","",IFERROR(INDEX($AQ$11:$AQ$4010,MATCH(668,$AZ$11:$AZ$4010,0)),""))</f>
        <v/>
      </c>
      <c r="AI678" s="29" t="str">
        <f>IF(AE678="","",IFERROR(INDEX($AR$11:$AR$4010,MATCH(668,$AZ$11:$AZ$4010,0)),""))</f>
        <v/>
      </c>
      <c r="AJ678" s="29" t="str">
        <f>IF(AE678="","",IFERROR(INDEX($AT$11:$AT$4010,MATCH(668,$AZ$11:$AZ$4010,0)),""))</f>
        <v/>
      </c>
      <c r="AL678" s="31"/>
      <c r="AM678" s="26"/>
      <c r="AN678" s="32"/>
      <c r="AO678" s="32"/>
      <c r="AP678" s="24"/>
      <c r="AQ678" s="24"/>
      <c r="AR678" s="33"/>
      <c r="AS678" s="34"/>
      <c r="AT678" s="33"/>
      <c r="AV678" s="21">
        <f>IF(AND($AL678&lt;&gt;"",COUNTIF($AL$11:$AL678,$AL678)=1),1,0)</f>
        <v>0</v>
      </c>
      <c r="AW678" s="21">
        <f t="shared" si="107"/>
        <v>2</v>
      </c>
      <c r="AX678" s="21" t="str">
        <f t="shared" si="106"/>
        <v/>
      </c>
      <c r="AY678" s="21" t="str">
        <f>IF(AND($AM678&lt;&gt;"",$AS678&lt;&gt;"✓"),SUMPRODUCT(($AM$11:$AM678&lt;&gt;"")*($AS$11:$AS678&lt;&gt;"✓")),"")</f>
        <v/>
      </c>
      <c r="AZ678" s="21" t="str">
        <f>IF(AND($AM678&lt;&gt;"",$AS678="✓"),SUMPRODUCT(($AM$11:$AM678&lt;&gt;"")*($AS$11:$AS678="✓")),"")</f>
        <v/>
      </c>
      <c r="BA678" s="21" t="str">
        <f>IF($AL678="","",$AL678&amp;"|"&amp;COUNTIF($AL$11:$AL678,$AL678))</f>
        <v/>
      </c>
    </row>
    <row r="679" spans="23:53" ht="15" customHeight="1" x14ac:dyDescent="0.25">
      <c r="W679" s="14" t="str">
        <f>IF(X679="","",IFERROR(INDEX($AL$11:$AL$4010,MATCH(669,$AY$11:$AY$4010,0)),""))</f>
        <v/>
      </c>
      <c r="X679" s="12" t="str">
        <f>IFERROR(INDEX($AM$11:$AM$4010,MATCH(669,$AY$11:$AY$4010,0)),"")</f>
        <v/>
      </c>
      <c r="Y679" s="11" t="str">
        <f>IF(X679="","",IFERROR(INDEX($AN$11:$AN$4010,MATCH(669,$AY$11:$AY$4010,0)),""))</f>
        <v/>
      </c>
      <c r="Z679" s="11" t="str">
        <f>IF(X679="","",IFERROR(INDEX($AO$11:$AO$4010,MATCH(669,$AY$11:$AY$4010,0)),""))</f>
        <v/>
      </c>
      <c r="AA679" s="10" t="str">
        <f>IF(X679="","",IFERROR(INDEX($AQ$11:$AQ$4010,MATCH(669,$AY$11:$AY$4010,0)),""))</f>
        <v/>
      </c>
      <c r="AB679" s="15" t="str">
        <f>IF(X679="","",IFERROR(INDEX($AR$11:$AR$4010,MATCH(669,$AY$11:$AY$4010,0)),""))</f>
        <v/>
      </c>
      <c r="AD679" s="16" t="str">
        <f>IF(AE679="","",IFERROR(INDEX($AL$11:$AL$4010,MATCH(669,$AZ$11:$AZ$4010,0)),""))</f>
        <v/>
      </c>
      <c r="AE679" s="12" t="str">
        <f>IFERROR(INDEX($AM$11:$AM$4010,MATCH(669,$AZ$11:$AZ$4010,0)),"")</f>
        <v/>
      </c>
      <c r="AF679" s="11" t="str">
        <f>IF(AE679="","",IFERROR(INDEX($AN$11:$AN$4010,MATCH(669,$AZ$11:$AZ$4010,0)),""))</f>
        <v/>
      </c>
      <c r="AG679" s="11" t="str">
        <f>IF(AE679="","",IFERROR(INDEX($AO$11:$AO$4010,MATCH(669,$AZ$11:$AZ$4010,0)),""))</f>
        <v/>
      </c>
      <c r="AH679" s="10" t="str">
        <f>IF(AE679="","",IFERROR(INDEX($AQ$11:$AQ$4010,MATCH(669,$AZ$11:$AZ$4010,0)),""))</f>
        <v/>
      </c>
      <c r="AI679" s="15" t="str">
        <f>IF(AE679="","",IFERROR(INDEX($AR$11:$AR$4010,MATCH(669,$AZ$11:$AZ$4010,0)),""))</f>
        <v/>
      </c>
      <c r="AJ679" s="15" t="str">
        <f>IF(AE679="","",IFERROR(INDEX($AT$11:$AT$4010,MATCH(669,$AZ$11:$AZ$4010,0)),""))</f>
        <v/>
      </c>
      <c r="AL679" s="17"/>
      <c r="AM679" s="12"/>
      <c r="AN679" s="18"/>
      <c r="AO679" s="18"/>
      <c r="AP679" s="10"/>
      <c r="AQ679" s="10"/>
      <c r="AR679" s="19"/>
      <c r="AS679" s="20"/>
      <c r="AT679" s="19"/>
      <c r="AV679" s="21">
        <f>IF(AND($AL679&lt;&gt;"",COUNTIF($AL$11:$AL679,$AL679)=1),1,0)</f>
        <v>0</v>
      </c>
      <c r="AW679" s="21">
        <f t="shared" si="107"/>
        <v>2</v>
      </c>
      <c r="AX679" s="21" t="str">
        <f t="shared" si="106"/>
        <v/>
      </c>
      <c r="AY679" s="21" t="str">
        <f>IF(AND($AM679&lt;&gt;"",$AS679&lt;&gt;"✓"),SUMPRODUCT(($AM$11:$AM679&lt;&gt;"")*($AS$11:$AS679&lt;&gt;"✓")),"")</f>
        <v/>
      </c>
      <c r="AZ679" s="21" t="str">
        <f>IF(AND($AM679&lt;&gt;"",$AS679="✓"),SUMPRODUCT(($AM$11:$AM679&lt;&gt;"")*($AS$11:$AS679="✓")),"")</f>
        <v/>
      </c>
      <c r="BA679" s="21" t="str">
        <f>IF($AL679="","",$AL679&amp;"|"&amp;COUNTIF($AL$11:$AL679,$AL679))</f>
        <v/>
      </c>
    </row>
    <row r="680" spans="23:53" ht="15" customHeight="1" x14ac:dyDescent="0.25">
      <c r="W680" s="28" t="str">
        <f>IF(X680="","",IFERROR(INDEX($AL$11:$AL$4010,MATCH(670,$AY$11:$AY$4010,0)),""))</f>
        <v/>
      </c>
      <c r="X680" s="26" t="str">
        <f>IFERROR(INDEX($AM$11:$AM$4010,MATCH(670,$AY$11:$AY$4010,0)),"")</f>
        <v/>
      </c>
      <c r="Y680" s="25" t="str">
        <f>IF(X680="","",IFERROR(INDEX($AN$11:$AN$4010,MATCH(670,$AY$11:$AY$4010,0)),""))</f>
        <v/>
      </c>
      <c r="Z680" s="25" t="str">
        <f>IF(X680="","",IFERROR(INDEX($AO$11:$AO$4010,MATCH(670,$AY$11:$AY$4010,0)),""))</f>
        <v/>
      </c>
      <c r="AA680" s="24" t="str">
        <f>IF(X680="","",IFERROR(INDEX($AQ$11:$AQ$4010,MATCH(670,$AY$11:$AY$4010,0)),""))</f>
        <v/>
      </c>
      <c r="AB680" s="29" t="str">
        <f>IF(X680="","",IFERROR(INDEX($AR$11:$AR$4010,MATCH(670,$AY$11:$AY$4010,0)),""))</f>
        <v/>
      </c>
      <c r="AD680" s="30" t="str">
        <f>IF(AE680="","",IFERROR(INDEX($AL$11:$AL$4010,MATCH(670,$AZ$11:$AZ$4010,0)),""))</f>
        <v/>
      </c>
      <c r="AE680" s="26" t="str">
        <f>IFERROR(INDEX($AM$11:$AM$4010,MATCH(670,$AZ$11:$AZ$4010,0)),"")</f>
        <v/>
      </c>
      <c r="AF680" s="25" t="str">
        <f>IF(AE680="","",IFERROR(INDEX($AN$11:$AN$4010,MATCH(670,$AZ$11:$AZ$4010,0)),""))</f>
        <v/>
      </c>
      <c r="AG680" s="25" t="str">
        <f>IF(AE680="","",IFERROR(INDEX($AO$11:$AO$4010,MATCH(670,$AZ$11:$AZ$4010,0)),""))</f>
        <v/>
      </c>
      <c r="AH680" s="24" t="str">
        <f>IF(AE680="","",IFERROR(INDEX($AQ$11:$AQ$4010,MATCH(670,$AZ$11:$AZ$4010,0)),""))</f>
        <v/>
      </c>
      <c r="AI680" s="29" t="str">
        <f>IF(AE680="","",IFERROR(INDEX($AR$11:$AR$4010,MATCH(670,$AZ$11:$AZ$4010,0)),""))</f>
        <v/>
      </c>
      <c r="AJ680" s="29" t="str">
        <f>IF(AE680="","",IFERROR(INDEX($AT$11:$AT$4010,MATCH(670,$AZ$11:$AZ$4010,0)),""))</f>
        <v/>
      </c>
      <c r="AL680" s="31"/>
      <c r="AM680" s="26"/>
      <c r="AN680" s="32"/>
      <c r="AO680" s="32"/>
      <c r="AP680" s="24"/>
      <c r="AQ680" s="24"/>
      <c r="AR680" s="33"/>
      <c r="AS680" s="34"/>
      <c r="AT680" s="33"/>
      <c r="AV680" s="21">
        <f>IF(AND($AL680&lt;&gt;"",COUNTIF($AL$11:$AL680,$AL680)=1),1,0)</f>
        <v>0</v>
      </c>
      <c r="AW680" s="21">
        <f t="shared" si="107"/>
        <v>2</v>
      </c>
      <c r="AX680" s="21" t="str">
        <f t="shared" si="106"/>
        <v/>
      </c>
      <c r="AY680" s="21" t="str">
        <f>IF(AND($AM680&lt;&gt;"",$AS680&lt;&gt;"✓"),SUMPRODUCT(($AM$11:$AM680&lt;&gt;"")*($AS$11:$AS680&lt;&gt;"✓")),"")</f>
        <v/>
      </c>
      <c r="AZ680" s="21" t="str">
        <f>IF(AND($AM680&lt;&gt;"",$AS680="✓"),SUMPRODUCT(($AM$11:$AM680&lt;&gt;"")*($AS$11:$AS680="✓")),"")</f>
        <v/>
      </c>
      <c r="BA680" s="21" t="str">
        <f>IF($AL680="","",$AL680&amp;"|"&amp;COUNTIF($AL$11:$AL680,$AL680))</f>
        <v/>
      </c>
    </row>
    <row r="681" spans="23:53" ht="15" customHeight="1" x14ac:dyDescent="0.25">
      <c r="W681" s="14" t="str">
        <f>IF(X681="","",IFERROR(INDEX($AL$11:$AL$4010,MATCH(671,$AY$11:$AY$4010,0)),""))</f>
        <v/>
      </c>
      <c r="X681" s="12" t="str">
        <f>IFERROR(INDEX($AM$11:$AM$4010,MATCH(671,$AY$11:$AY$4010,0)),"")</f>
        <v/>
      </c>
      <c r="Y681" s="11" t="str">
        <f>IF(X681="","",IFERROR(INDEX($AN$11:$AN$4010,MATCH(671,$AY$11:$AY$4010,0)),""))</f>
        <v/>
      </c>
      <c r="Z681" s="11" t="str">
        <f>IF(X681="","",IFERROR(INDEX($AO$11:$AO$4010,MATCH(671,$AY$11:$AY$4010,0)),""))</f>
        <v/>
      </c>
      <c r="AA681" s="10" t="str">
        <f>IF(X681="","",IFERROR(INDEX($AQ$11:$AQ$4010,MATCH(671,$AY$11:$AY$4010,0)),""))</f>
        <v/>
      </c>
      <c r="AB681" s="15" t="str">
        <f>IF(X681="","",IFERROR(INDEX($AR$11:$AR$4010,MATCH(671,$AY$11:$AY$4010,0)),""))</f>
        <v/>
      </c>
      <c r="AD681" s="16" t="str">
        <f>IF(AE681="","",IFERROR(INDEX($AL$11:$AL$4010,MATCH(671,$AZ$11:$AZ$4010,0)),""))</f>
        <v/>
      </c>
      <c r="AE681" s="12" t="str">
        <f>IFERROR(INDEX($AM$11:$AM$4010,MATCH(671,$AZ$11:$AZ$4010,0)),"")</f>
        <v/>
      </c>
      <c r="AF681" s="11" t="str">
        <f>IF(AE681="","",IFERROR(INDEX($AN$11:$AN$4010,MATCH(671,$AZ$11:$AZ$4010,0)),""))</f>
        <v/>
      </c>
      <c r="AG681" s="11" t="str">
        <f>IF(AE681="","",IFERROR(INDEX($AO$11:$AO$4010,MATCH(671,$AZ$11:$AZ$4010,0)),""))</f>
        <v/>
      </c>
      <c r="AH681" s="10" t="str">
        <f>IF(AE681="","",IFERROR(INDEX($AQ$11:$AQ$4010,MATCH(671,$AZ$11:$AZ$4010,0)),""))</f>
        <v/>
      </c>
      <c r="AI681" s="15" t="str">
        <f>IF(AE681="","",IFERROR(INDEX($AR$11:$AR$4010,MATCH(671,$AZ$11:$AZ$4010,0)),""))</f>
        <v/>
      </c>
      <c r="AJ681" s="15" t="str">
        <f>IF(AE681="","",IFERROR(INDEX($AT$11:$AT$4010,MATCH(671,$AZ$11:$AZ$4010,0)),""))</f>
        <v/>
      </c>
      <c r="AL681" s="17"/>
      <c r="AM681" s="12"/>
      <c r="AN681" s="18"/>
      <c r="AO681" s="18"/>
      <c r="AP681" s="10"/>
      <c r="AQ681" s="10"/>
      <c r="AR681" s="19"/>
      <c r="AS681" s="20"/>
      <c r="AT681" s="19"/>
      <c r="AV681" s="21">
        <f>IF(AND($AL681&lt;&gt;"",COUNTIF($AL$11:$AL681,$AL681)=1),1,0)</f>
        <v>0</v>
      </c>
      <c r="AW681" s="21">
        <f t="shared" si="107"/>
        <v>2</v>
      </c>
      <c r="AX681" s="21" t="str">
        <f t="shared" si="106"/>
        <v/>
      </c>
      <c r="AY681" s="21" t="str">
        <f>IF(AND($AM681&lt;&gt;"",$AS681&lt;&gt;"✓"),SUMPRODUCT(($AM$11:$AM681&lt;&gt;"")*($AS$11:$AS681&lt;&gt;"✓")),"")</f>
        <v/>
      </c>
      <c r="AZ681" s="21" t="str">
        <f>IF(AND($AM681&lt;&gt;"",$AS681="✓"),SUMPRODUCT(($AM$11:$AM681&lt;&gt;"")*($AS$11:$AS681="✓")),"")</f>
        <v/>
      </c>
      <c r="BA681" s="21" t="str">
        <f>IF($AL681="","",$AL681&amp;"|"&amp;COUNTIF($AL$11:$AL681,$AL681))</f>
        <v/>
      </c>
    </row>
    <row r="682" spans="23:53" ht="15" customHeight="1" x14ac:dyDescent="0.25">
      <c r="W682" s="28" t="str">
        <f>IF(X682="","",IFERROR(INDEX($AL$11:$AL$4010,MATCH(672,$AY$11:$AY$4010,0)),""))</f>
        <v/>
      </c>
      <c r="X682" s="26" t="str">
        <f>IFERROR(INDEX($AM$11:$AM$4010,MATCH(672,$AY$11:$AY$4010,0)),"")</f>
        <v/>
      </c>
      <c r="Y682" s="25" t="str">
        <f>IF(X682="","",IFERROR(INDEX($AN$11:$AN$4010,MATCH(672,$AY$11:$AY$4010,0)),""))</f>
        <v/>
      </c>
      <c r="Z682" s="25" t="str">
        <f>IF(X682="","",IFERROR(INDEX($AO$11:$AO$4010,MATCH(672,$AY$11:$AY$4010,0)),""))</f>
        <v/>
      </c>
      <c r="AA682" s="24" t="str">
        <f>IF(X682="","",IFERROR(INDEX($AQ$11:$AQ$4010,MATCH(672,$AY$11:$AY$4010,0)),""))</f>
        <v/>
      </c>
      <c r="AB682" s="29" t="str">
        <f>IF(X682="","",IFERROR(INDEX($AR$11:$AR$4010,MATCH(672,$AY$11:$AY$4010,0)),""))</f>
        <v/>
      </c>
      <c r="AD682" s="30" t="str">
        <f>IF(AE682="","",IFERROR(INDEX($AL$11:$AL$4010,MATCH(672,$AZ$11:$AZ$4010,0)),""))</f>
        <v/>
      </c>
      <c r="AE682" s="26" t="str">
        <f>IFERROR(INDEX($AM$11:$AM$4010,MATCH(672,$AZ$11:$AZ$4010,0)),"")</f>
        <v/>
      </c>
      <c r="AF682" s="25" t="str">
        <f>IF(AE682="","",IFERROR(INDEX($AN$11:$AN$4010,MATCH(672,$AZ$11:$AZ$4010,0)),""))</f>
        <v/>
      </c>
      <c r="AG682" s="25" t="str">
        <f>IF(AE682="","",IFERROR(INDEX($AO$11:$AO$4010,MATCH(672,$AZ$11:$AZ$4010,0)),""))</f>
        <v/>
      </c>
      <c r="AH682" s="24" t="str">
        <f>IF(AE682="","",IFERROR(INDEX($AQ$11:$AQ$4010,MATCH(672,$AZ$11:$AZ$4010,0)),""))</f>
        <v/>
      </c>
      <c r="AI682" s="29" t="str">
        <f>IF(AE682="","",IFERROR(INDEX($AR$11:$AR$4010,MATCH(672,$AZ$11:$AZ$4010,0)),""))</f>
        <v/>
      </c>
      <c r="AJ682" s="29" t="str">
        <f>IF(AE682="","",IFERROR(INDEX($AT$11:$AT$4010,MATCH(672,$AZ$11:$AZ$4010,0)),""))</f>
        <v/>
      </c>
      <c r="AL682" s="31"/>
      <c r="AM682" s="26"/>
      <c r="AN682" s="32"/>
      <c r="AO682" s="32"/>
      <c r="AP682" s="24"/>
      <c r="AQ682" s="24"/>
      <c r="AR682" s="33"/>
      <c r="AS682" s="34"/>
      <c r="AT682" s="33"/>
      <c r="AV682" s="21">
        <f>IF(AND($AL682&lt;&gt;"",COUNTIF($AL$11:$AL682,$AL682)=1),1,0)</f>
        <v>0</v>
      </c>
      <c r="AW682" s="21">
        <f t="shared" si="107"/>
        <v>2</v>
      </c>
      <c r="AX682" s="21" t="str">
        <f t="shared" si="106"/>
        <v/>
      </c>
      <c r="AY682" s="21" t="str">
        <f>IF(AND($AM682&lt;&gt;"",$AS682&lt;&gt;"✓"),SUMPRODUCT(($AM$11:$AM682&lt;&gt;"")*($AS$11:$AS682&lt;&gt;"✓")),"")</f>
        <v/>
      </c>
      <c r="AZ682" s="21" t="str">
        <f>IF(AND($AM682&lt;&gt;"",$AS682="✓"),SUMPRODUCT(($AM$11:$AM682&lt;&gt;"")*($AS$11:$AS682="✓")),"")</f>
        <v/>
      </c>
      <c r="BA682" s="21" t="str">
        <f>IF($AL682="","",$AL682&amp;"|"&amp;COUNTIF($AL$11:$AL682,$AL682))</f>
        <v/>
      </c>
    </row>
    <row r="683" spans="23:53" ht="15" customHeight="1" x14ac:dyDescent="0.25">
      <c r="W683" s="14" t="str">
        <f>IF(X683="","",IFERROR(INDEX($AL$11:$AL$4010,MATCH(673,$AY$11:$AY$4010,0)),""))</f>
        <v/>
      </c>
      <c r="X683" s="12" t="str">
        <f>IFERROR(INDEX($AM$11:$AM$4010,MATCH(673,$AY$11:$AY$4010,0)),"")</f>
        <v/>
      </c>
      <c r="Y683" s="11" t="str">
        <f>IF(X683="","",IFERROR(INDEX($AN$11:$AN$4010,MATCH(673,$AY$11:$AY$4010,0)),""))</f>
        <v/>
      </c>
      <c r="Z683" s="11" t="str">
        <f>IF(X683="","",IFERROR(INDEX($AO$11:$AO$4010,MATCH(673,$AY$11:$AY$4010,0)),""))</f>
        <v/>
      </c>
      <c r="AA683" s="10" t="str">
        <f>IF(X683="","",IFERROR(INDEX($AQ$11:$AQ$4010,MATCH(673,$AY$11:$AY$4010,0)),""))</f>
        <v/>
      </c>
      <c r="AB683" s="15" t="str">
        <f>IF(X683="","",IFERROR(INDEX($AR$11:$AR$4010,MATCH(673,$AY$11:$AY$4010,0)),""))</f>
        <v/>
      </c>
      <c r="AD683" s="16" t="str">
        <f>IF(AE683="","",IFERROR(INDEX($AL$11:$AL$4010,MATCH(673,$AZ$11:$AZ$4010,0)),""))</f>
        <v/>
      </c>
      <c r="AE683" s="12" t="str">
        <f>IFERROR(INDEX($AM$11:$AM$4010,MATCH(673,$AZ$11:$AZ$4010,0)),"")</f>
        <v/>
      </c>
      <c r="AF683" s="11" t="str">
        <f>IF(AE683="","",IFERROR(INDEX($AN$11:$AN$4010,MATCH(673,$AZ$11:$AZ$4010,0)),""))</f>
        <v/>
      </c>
      <c r="AG683" s="11" t="str">
        <f>IF(AE683="","",IFERROR(INDEX($AO$11:$AO$4010,MATCH(673,$AZ$11:$AZ$4010,0)),""))</f>
        <v/>
      </c>
      <c r="AH683" s="10" t="str">
        <f>IF(AE683="","",IFERROR(INDEX($AQ$11:$AQ$4010,MATCH(673,$AZ$11:$AZ$4010,0)),""))</f>
        <v/>
      </c>
      <c r="AI683" s="15" t="str">
        <f>IF(AE683="","",IFERROR(INDEX($AR$11:$AR$4010,MATCH(673,$AZ$11:$AZ$4010,0)),""))</f>
        <v/>
      </c>
      <c r="AJ683" s="15" t="str">
        <f>IF(AE683="","",IFERROR(INDEX($AT$11:$AT$4010,MATCH(673,$AZ$11:$AZ$4010,0)),""))</f>
        <v/>
      </c>
      <c r="AL683" s="17"/>
      <c r="AM683" s="12"/>
      <c r="AN683" s="18"/>
      <c r="AO683" s="18"/>
      <c r="AP683" s="10"/>
      <c r="AQ683" s="10"/>
      <c r="AR683" s="19"/>
      <c r="AS683" s="20"/>
      <c r="AT683" s="19"/>
      <c r="AV683" s="21">
        <f>IF(AND($AL683&lt;&gt;"",COUNTIF($AL$11:$AL683,$AL683)=1),1,0)</f>
        <v>0</v>
      </c>
      <c r="AW683" s="21">
        <f t="shared" si="107"/>
        <v>2</v>
      </c>
      <c r="AX683" s="21" t="str">
        <f t="shared" si="106"/>
        <v/>
      </c>
      <c r="AY683" s="21" t="str">
        <f>IF(AND($AM683&lt;&gt;"",$AS683&lt;&gt;"✓"),SUMPRODUCT(($AM$11:$AM683&lt;&gt;"")*($AS$11:$AS683&lt;&gt;"✓")),"")</f>
        <v/>
      </c>
      <c r="AZ683" s="21" t="str">
        <f>IF(AND($AM683&lt;&gt;"",$AS683="✓"),SUMPRODUCT(($AM$11:$AM683&lt;&gt;"")*($AS$11:$AS683="✓")),"")</f>
        <v/>
      </c>
      <c r="BA683" s="21" t="str">
        <f>IF($AL683="","",$AL683&amp;"|"&amp;COUNTIF($AL$11:$AL683,$AL683))</f>
        <v/>
      </c>
    </row>
    <row r="684" spans="23:53" ht="15" customHeight="1" x14ac:dyDescent="0.25">
      <c r="W684" s="28" t="str">
        <f>IF(X684="","",IFERROR(INDEX($AL$11:$AL$4010,MATCH(674,$AY$11:$AY$4010,0)),""))</f>
        <v/>
      </c>
      <c r="X684" s="26" t="str">
        <f>IFERROR(INDEX($AM$11:$AM$4010,MATCH(674,$AY$11:$AY$4010,0)),"")</f>
        <v/>
      </c>
      <c r="Y684" s="25" t="str">
        <f>IF(X684="","",IFERROR(INDEX($AN$11:$AN$4010,MATCH(674,$AY$11:$AY$4010,0)),""))</f>
        <v/>
      </c>
      <c r="Z684" s="25" t="str">
        <f>IF(X684="","",IFERROR(INDEX($AO$11:$AO$4010,MATCH(674,$AY$11:$AY$4010,0)),""))</f>
        <v/>
      </c>
      <c r="AA684" s="24" t="str">
        <f>IF(X684="","",IFERROR(INDEX($AQ$11:$AQ$4010,MATCH(674,$AY$11:$AY$4010,0)),""))</f>
        <v/>
      </c>
      <c r="AB684" s="29" t="str">
        <f>IF(X684="","",IFERROR(INDEX($AR$11:$AR$4010,MATCH(674,$AY$11:$AY$4010,0)),""))</f>
        <v/>
      </c>
      <c r="AD684" s="30" t="str">
        <f>IF(AE684="","",IFERROR(INDEX($AL$11:$AL$4010,MATCH(674,$AZ$11:$AZ$4010,0)),""))</f>
        <v/>
      </c>
      <c r="AE684" s="26" t="str">
        <f>IFERROR(INDEX($AM$11:$AM$4010,MATCH(674,$AZ$11:$AZ$4010,0)),"")</f>
        <v/>
      </c>
      <c r="AF684" s="25" t="str">
        <f>IF(AE684="","",IFERROR(INDEX($AN$11:$AN$4010,MATCH(674,$AZ$11:$AZ$4010,0)),""))</f>
        <v/>
      </c>
      <c r="AG684" s="25" t="str">
        <f>IF(AE684="","",IFERROR(INDEX($AO$11:$AO$4010,MATCH(674,$AZ$11:$AZ$4010,0)),""))</f>
        <v/>
      </c>
      <c r="AH684" s="24" t="str">
        <f>IF(AE684="","",IFERROR(INDEX($AQ$11:$AQ$4010,MATCH(674,$AZ$11:$AZ$4010,0)),""))</f>
        <v/>
      </c>
      <c r="AI684" s="29" t="str">
        <f>IF(AE684="","",IFERROR(INDEX($AR$11:$AR$4010,MATCH(674,$AZ$11:$AZ$4010,0)),""))</f>
        <v/>
      </c>
      <c r="AJ684" s="29" t="str">
        <f>IF(AE684="","",IFERROR(INDEX($AT$11:$AT$4010,MATCH(674,$AZ$11:$AZ$4010,0)),""))</f>
        <v/>
      </c>
      <c r="AL684" s="31"/>
      <c r="AM684" s="26"/>
      <c r="AN684" s="32"/>
      <c r="AO684" s="32"/>
      <c r="AP684" s="24"/>
      <c r="AQ684" s="24"/>
      <c r="AR684" s="33"/>
      <c r="AS684" s="34"/>
      <c r="AT684" s="33"/>
      <c r="AV684" s="21">
        <f>IF(AND($AL684&lt;&gt;"",COUNTIF($AL$11:$AL684,$AL684)=1),1,0)</f>
        <v>0</v>
      </c>
      <c r="AW684" s="21">
        <f t="shared" si="107"/>
        <v>2</v>
      </c>
      <c r="AX684" s="21" t="str">
        <f t="shared" si="106"/>
        <v/>
      </c>
      <c r="AY684" s="21" t="str">
        <f>IF(AND($AM684&lt;&gt;"",$AS684&lt;&gt;"✓"),SUMPRODUCT(($AM$11:$AM684&lt;&gt;"")*($AS$11:$AS684&lt;&gt;"✓")),"")</f>
        <v/>
      </c>
      <c r="AZ684" s="21" t="str">
        <f>IF(AND($AM684&lt;&gt;"",$AS684="✓"),SUMPRODUCT(($AM$11:$AM684&lt;&gt;"")*($AS$11:$AS684="✓")),"")</f>
        <v/>
      </c>
      <c r="BA684" s="21" t="str">
        <f>IF($AL684="","",$AL684&amp;"|"&amp;COUNTIF($AL$11:$AL684,$AL684))</f>
        <v/>
      </c>
    </row>
    <row r="685" spans="23:53" ht="15" customHeight="1" x14ac:dyDescent="0.25">
      <c r="W685" s="14" t="str">
        <f>IF(X685="","",IFERROR(INDEX($AL$11:$AL$4010,MATCH(675,$AY$11:$AY$4010,0)),""))</f>
        <v/>
      </c>
      <c r="X685" s="12" t="str">
        <f>IFERROR(INDEX($AM$11:$AM$4010,MATCH(675,$AY$11:$AY$4010,0)),"")</f>
        <v/>
      </c>
      <c r="Y685" s="11" t="str">
        <f>IF(X685="","",IFERROR(INDEX($AN$11:$AN$4010,MATCH(675,$AY$11:$AY$4010,0)),""))</f>
        <v/>
      </c>
      <c r="Z685" s="11" t="str">
        <f>IF(X685="","",IFERROR(INDEX($AO$11:$AO$4010,MATCH(675,$AY$11:$AY$4010,0)),""))</f>
        <v/>
      </c>
      <c r="AA685" s="10" t="str">
        <f>IF(X685="","",IFERROR(INDEX($AQ$11:$AQ$4010,MATCH(675,$AY$11:$AY$4010,0)),""))</f>
        <v/>
      </c>
      <c r="AB685" s="15" t="str">
        <f>IF(X685="","",IFERROR(INDEX($AR$11:$AR$4010,MATCH(675,$AY$11:$AY$4010,0)),""))</f>
        <v/>
      </c>
      <c r="AD685" s="16" t="str">
        <f>IF(AE685="","",IFERROR(INDEX($AL$11:$AL$4010,MATCH(675,$AZ$11:$AZ$4010,0)),""))</f>
        <v/>
      </c>
      <c r="AE685" s="12" t="str">
        <f>IFERROR(INDEX($AM$11:$AM$4010,MATCH(675,$AZ$11:$AZ$4010,0)),"")</f>
        <v/>
      </c>
      <c r="AF685" s="11" t="str">
        <f>IF(AE685="","",IFERROR(INDEX($AN$11:$AN$4010,MATCH(675,$AZ$11:$AZ$4010,0)),""))</f>
        <v/>
      </c>
      <c r="AG685" s="11" t="str">
        <f>IF(AE685="","",IFERROR(INDEX($AO$11:$AO$4010,MATCH(675,$AZ$11:$AZ$4010,0)),""))</f>
        <v/>
      </c>
      <c r="AH685" s="10" t="str">
        <f>IF(AE685="","",IFERROR(INDEX($AQ$11:$AQ$4010,MATCH(675,$AZ$11:$AZ$4010,0)),""))</f>
        <v/>
      </c>
      <c r="AI685" s="15" t="str">
        <f>IF(AE685="","",IFERROR(INDEX($AR$11:$AR$4010,MATCH(675,$AZ$11:$AZ$4010,0)),""))</f>
        <v/>
      </c>
      <c r="AJ685" s="15" t="str">
        <f>IF(AE685="","",IFERROR(INDEX($AT$11:$AT$4010,MATCH(675,$AZ$11:$AZ$4010,0)),""))</f>
        <v/>
      </c>
      <c r="AL685" s="17"/>
      <c r="AM685" s="12"/>
      <c r="AN685" s="18"/>
      <c r="AO685" s="18"/>
      <c r="AP685" s="10"/>
      <c r="AQ685" s="10"/>
      <c r="AR685" s="19"/>
      <c r="AS685" s="20"/>
      <c r="AT685" s="19"/>
      <c r="AV685" s="21">
        <f>IF(AND($AL685&lt;&gt;"",COUNTIF($AL$11:$AL685,$AL685)=1),1,0)</f>
        <v>0</v>
      </c>
      <c r="AW685" s="21">
        <f t="shared" si="107"/>
        <v>2</v>
      </c>
      <c r="AX685" s="21" t="str">
        <f t="shared" si="106"/>
        <v/>
      </c>
      <c r="AY685" s="21" t="str">
        <f>IF(AND($AM685&lt;&gt;"",$AS685&lt;&gt;"✓"),SUMPRODUCT(($AM$11:$AM685&lt;&gt;"")*($AS$11:$AS685&lt;&gt;"✓")),"")</f>
        <v/>
      </c>
      <c r="AZ685" s="21" t="str">
        <f>IF(AND($AM685&lt;&gt;"",$AS685="✓"),SUMPRODUCT(($AM$11:$AM685&lt;&gt;"")*($AS$11:$AS685="✓")),"")</f>
        <v/>
      </c>
      <c r="BA685" s="21" t="str">
        <f>IF($AL685="","",$AL685&amp;"|"&amp;COUNTIF($AL$11:$AL685,$AL685))</f>
        <v/>
      </c>
    </row>
    <row r="686" spans="23:53" ht="15" customHeight="1" x14ac:dyDescent="0.25">
      <c r="W686" s="28" t="str">
        <f>IF(X686="","",IFERROR(INDEX($AL$11:$AL$4010,MATCH(676,$AY$11:$AY$4010,0)),""))</f>
        <v/>
      </c>
      <c r="X686" s="26" t="str">
        <f>IFERROR(INDEX($AM$11:$AM$4010,MATCH(676,$AY$11:$AY$4010,0)),"")</f>
        <v/>
      </c>
      <c r="Y686" s="25" t="str">
        <f>IF(X686="","",IFERROR(INDEX($AN$11:$AN$4010,MATCH(676,$AY$11:$AY$4010,0)),""))</f>
        <v/>
      </c>
      <c r="Z686" s="25" t="str">
        <f>IF(X686="","",IFERROR(INDEX($AO$11:$AO$4010,MATCH(676,$AY$11:$AY$4010,0)),""))</f>
        <v/>
      </c>
      <c r="AA686" s="24" t="str">
        <f>IF(X686="","",IFERROR(INDEX($AQ$11:$AQ$4010,MATCH(676,$AY$11:$AY$4010,0)),""))</f>
        <v/>
      </c>
      <c r="AB686" s="29" t="str">
        <f>IF(X686="","",IFERROR(INDEX($AR$11:$AR$4010,MATCH(676,$AY$11:$AY$4010,0)),""))</f>
        <v/>
      </c>
      <c r="AD686" s="30" t="str">
        <f>IF(AE686="","",IFERROR(INDEX($AL$11:$AL$4010,MATCH(676,$AZ$11:$AZ$4010,0)),""))</f>
        <v/>
      </c>
      <c r="AE686" s="26" t="str">
        <f>IFERROR(INDEX($AM$11:$AM$4010,MATCH(676,$AZ$11:$AZ$4010,0)),"")</f>
        <v/>
      </c>
      <c r="AF686" s="25" t="str">
        <f>IF(AE686="","",IFERROR(INDEX($AN$11:$AN$4010,MATCH(676,$AZ$11:$AZ$4010,0)),""))</f>
        <v/>
      </c>
      <c r="AG686" s="25" t="str">
        <f>IF(AE686="","",IFERROR(INDEX($AO$11:$AO$4010,MATCH(676,$AZ$11:$AZ$4010,0)),""))</f>
        <v/>
      </c>
      <c r="AH686" s="24" t="str">
        <f>IF(AE686="","",IFERROR(INDEX($AQ$11:$AQ$4010,MATCH(676,$AZ$11:$AZ$4010,0)),""))</f>
        <v/>
      </c>
      <c r="AI686" s="29" t="str">
        <f>IF(AE686="","",IFERROR(INDEX($AR$11:$AR$4010,MATCH(676,$AZ$11:$AZ$4010,0)),""))</f>
        <v/>
      </c>
      <c r="AJ686" s="29" t="str">
        <f>IF(AE686="","",IFERROR(INDEX($AT$11:$AT$4010,MATCH(676,$AZ$11:$AZ$4010,0)),""))</f>
        <v/>
      </c>
      <c r="AL686" s="31"/>
      <c r="AM686" s="26"/>
      <c r="AN686" s="32"/>
      <c r="AO686" s="32"/>
      <c r="AP686" s="24"/>
      <c r="AQ686" s="24"/>
      <c r="AR686" s="33"/>
      <c r="AS686" s="34"/>
      <c r="AT686" s="33"/>
      <c r="AV686" s="21">
        <f>IF(AND($AL686&lt;&gt;"",COUNTIF($AL$11:$AL686,$AL686)=1),1,0)</f>
        <v>0</v>
      </c>
      <c r="AW686" s="21">
        <f t="shared" si="107"/>
        <v>2</v>
      </c>
      <c r="AX686" s="21" t="str">
        <f t="shared" si="106"/>
        <v/>
      </c>
      <c r="AY686" s="21" t="str">
        <f>IF(AND($AM686&lt;&gt;"",$AS686&lt;&gt;"✓"),SUMPRODUCT(($AM$11:$AM686&lt;&gt;"")*($AS$11:$AS686&lt;&gt;"✓")),"")</f>
        <v/>
      </c>
      <c r="AZ686" s="21" t="str">
        <f>IF(AND($AM686&lt;&gt;"",$AS686="✓"),SUMPRODUCT(($AM$11:$AM686&lt;&gt;"")*($AS$11:$AS686="✓")),"")</f>
        <v/>
      </c>
      <c r="BA686" s="21" t="str">
        <f>IF($AL686="","",$AL686&amp;"|"&amp;COUNTIF($AL$11:$AL686,$AL686))</f>
        <v/>
      </c>
    </row>
    <row r="687" spans="23:53" ht="15" customHeight="1" x14ac:dyDescent="0.25">
      <c r="W687" s="14" t="str">
        <f>IF(X687="","",IFERROR(INDEX($AL$11:$AL$4010,MATCH(677,$AY$11:$AY$4010,0)),""))</f>
        <v/>
      </c>
      <c r="X687" s="12" t="str">
        <f>IFERROR(INDEX($AM$11:$AM$4010,MATCH(677,$AY$11:$AY$4010,0)),"")</f>
        <v/>
      </c>
      <c r="Y687" s="11" t="str">
        <f>IF(X687="","",IFERROR(INDEX($AN$11:$AN$4010,MATCH(677,$AY$11:$AY$4010,0)),""))</f>
        <v/>
      </c>
      <c r="Z687" s="11" t="str">
        <f>IF(X687="","",IFERROR(INDEX($AO$11:$AO$4010,MATCH(677,$AY$11:$AY$4010,0)),""))</f>
        <v/>
      </c>
      <c r="AA687" s="10" t="str">
        <f>IF(X687="","",IFERROR(INDEX($AQ$11:$AQ$4010,MATCH(677,$AY$11:$AY$4010,0)),""))</f>
        <v/>
      </c>
      <c r="AB687" s="15" t="str">
        <f>IF(X687="","",IFERROR(INDEX($AR$11:$AR$4010,MATCH(677,$AY$11:$AY$4010,0)),""))</f>
        <v/>
      </c>
      <c r="AD687" s="16" t="str">
        <f>IF(AE687="","",IFERROR(INDEX($AL$11:$AL$4010,MATCH(677,$AZ$11:$AZ$4010,0)),""))</f>
        <v/>
      </c>
      <c r="AE687" s="12" t="str">
        <f>IFERROR(INDEX($AM$11:$AM$4010,MATCH(677,$AZ$11:$AZ$4010,0)),"")</f>
        <v/>
      </c>
      <c r="AF687" s="11" t="str">
        <f>IF(AE687="","",IFERROR(INDEX($AN$11:$AN$4010,MATCH(677,$AZ$11:$AZ$4010,0)),""))</f>
        <v/>
      </c>
      <c r="AG687" s="11" t="str">
        <f>IF(AE687="","",IFERROR(INDEX($AO$11:$AO$4010,MATCH(677,$AZ$11:$AZ$4010,0)),""))</f>
        <v/>
      </c>
      <c r="AH687" s="10" t="str">
        <f>IF(AE687="","",IFERROR(INDEX($AQ$11:$AQ$4010,MATCH(677,$AZ$11:$AZ$4010,0)),""))</f>
        <v/>
      </c>
      <c r="AI687" s="15" t="str">
        <f>IF(AE687="","",IFERROR(INDEX($AR$11:$AR$4010,MATCH(677,$AZ$11:$AZ$4010,0)),""))</f>
        <v/>
      </c>
      <c r="AJ687" s="15" t="str">
        <f>IF(AE687="","",IFERROR(INDEX($AT$11:$AT$4010,MATCH(677,$AZ$11:$AZ$4010,0)),""))</f>
        <v/>
      </c>
      <c r="AL687" s="17"/>
      <c r="AM687" s="12"/>
      <c r="AN687" s="18"/>
      <c r="AO687" s="18"/>
      <c r="AP687" s="10"/>
      <c r="AQ687" s="10"/>
      <c r="AR687" s="19"/>
      <c r="AS687" s="20"/>
      <c r="AT687" s="19"/>
      <c r="AV687" s="21">
        <f>IF(AND($AL687&lt;&gt;"",COUNTIF($AL$11:$AL687,$AL687)=1),1,0)</f>
        <v>0</v>
      </c>
      <c r="AW687" s="21">
        <f t="shared" si="107"/>
        <v>2</v>
      </c>
      <c r="AX687" s="21" t="str">
        <f t="shared" si="106"/>
        <v/>
      </c>
      <c r="AY687" s="21" t="str">
        <f>IF(AND($AM687&lt;&gt;"",$AS687&lt;&gt;"✓"),SUMPRODUCT(($AM$11:$AM687&lt;&gt;"")*($AS$11:$AS687&lt;&gt;"✓")),"")</f>
        <v/>
      </c>
      <c r="AZ687" s="21" t="str">
        <f>IF(AND($AM687&lt;&gt;"",$AS687="✓"),SUMPRODUCT(($AM$11:$AM687&lt;&gt;"")*($AS$11:$AS687="✓")),"")</f>
        <v/>
      </c>
      <c r="BA687" s="21" t="str">
        <f>IF($AL687="","",$AL687&amp;"|"&amp;COUNTIF($AL$11:$AL687,$AL687))</f>
        <v/>
      </c>
    </row>
    <row r="688" spans="23:53" ht="15" customHeight="1" x14ac:dyDescent="0.25">
      <c r="W688" s="28" t="str">
        <f>IF(X688="","",IFERROR(INDEX($AL$11:$AL$4010,MATCH(678,$AY$11:$AY$4010,0)),""))</f>
        <v/>
      </c>
      <c r="X688" s="26" t="str">
        <f>IFERROR(INDEX($AM$11:$AM$4010,MATCH(678,$AY$11:$AY$4010,0)),"")</f>
        <v/>
      </c>
      <c r="Y688" s="25" t="str">
        <f>IF(X688="","",IFERROR(INDEX($AN$11:$AN$4010,MATCH(678,$AY$11:$AY$4010,0)),""))</f>
        <v/>
      </c>
      <c r="Z688" s="25" t="str">
        <f>IF(X688="","",IFERROR(INDEX($AO$11:$AO$4010,MATCH(678,$AY$11:$AY$4010,0)),""))</f>
        <v/>
      </c>
      <c r="AA688" s="24" t="str">
        <f>IF(X688="","",IFERROR(INDEX($AQ$11:$AQ$4010,MATCH(678,$AY$11:$AY$4010,0)),""))</f>
        <v/>
      </c>
      <c r="AB688" s="29" t="str">
        <f>IF(X688="","",IFERROR(INDEX($AR$11:$AR$4010,MATCH(678,$AY$11:$AY$4010,0)),""))</f>
        <v/>
      </c>
      <c r="AD688" s="30" t="str">
        <f>IF(AE688="","",IFERROR(INDEX($AL$11:$AL$4010,MATCH(678,$AZ$11:$AZ$4010,0)),""))</f>
        <v/>
      </c>
      <c r="AE688" s="26" t="str">
        <f>IFERROR(INDEX($AM$11:$AM$4010,MATCH(678,$AZ$11:$AZ$4010,0)),"")</f>
        <v/>
      </c>
      <c r="AF688" s="25" t="str">
        <f>IF(AE688="","",IFERROR(INDEX($AN$11:$AN$4010,MATCH(678,$AZ$11:$AZ$4010,0)),""))</f>
        <v/>
      </c>
      <c r="AG688" s="25" t="str">
        <f>IF(AE688="","",IFERROR(INDEX($AO$11:$AO$4010,MATCH(678,$AZ$11:$AZ$4010,0)),""))</f>
        <v/>
      </c>
      <c r="AH688" s="24" t="str">
        <f>IF(AE688="","",IFERROR(INDEX($AQ$11:$AQ$4010,MATCH(678,$AZ$11:$AZ$4010,0)),""))</f>
        <v/>
      </c>
      <c r="AI688" s="29" t="str">
        <f>IF(AE688="","",IFERROR(INDEX($AR$11:$AR$4010,MATCH(678,$AZ$11:$AZ$4010,0)),""))</f>
        <v/>
      </c>
      <c r="AJ688" s="29" t="str">
        <f>IF(AE688="","",IFERROR(INDEX($AT$11:$AT$4010,MATCH(678,$AZ$11:$AZ$4010,0)),""))</f>
        <v/>
      </c>
      <c r="AL688" s="31"/>
      <c r="AM688" s="26"/>
      <c r="AN688" s="32"/>
      <c r="AO688" s="32"/>
      <c r="AP688" s="24"/>
      <c r="AQ688" s="24"/>
      <c r="AR688" s="33"/>
      <c r="AS688" s="34"/>
      <c r="AT688" s="33"/>
      <c r="AV688" s="21">
        <f>IF(AND($AL688&lt;&gt;"",COUNTIF($AL$11:$AL688,$AL688)=1),1,0)</f>
        <v>0</v>
      </c>
      <c r="AW688" s="21">
        <f t="shared" si="107"/>
        <v>2</v>
      </c>
      <c r="AX688" s="21" t="str">
        <f t="shared" si="106"/>
        <v/>
      </c>
      <c r="AY688" s="21" t="str">
        <f>IF(AND($AM688&lt;&gt;"",$AS688&lt;&gt;"✓"),SUMPRODUCT(($AM$11:$AM688&lt;&gt;"")*($AS$11:$AS688&lt;&gt;"✓")),"")</f>
        <v/>
      </c>
      <c r="AZ688" s="21" t="str">
        <f>IF(AND($AM688&lt;&gt;"",$AS688="✓"),SUMPRODUCT(($AM$11:$AM688&lt;&gt;"")*($AS$11:$AS688="✓")),"")</f>
        <v/>
      </c>
      <c r="BA688" s="21" t="str">
        <f>IF($AL688="","",$AL688&amp;"|"&amp;COUNTIF($AL$11:$AL688,$AL688))</f>
        <v/>
      </c>
    </row>
    <row r="689" spans="23:53" ht="15" customHeight="1" x14ac:dyDescent="0.25">
      <c r="W689" s="14" t="str">
        <f>IF(X689="","",IFERROR(INDEX($AL$11:$AL$4010,MATCH(679,$AY$11:$AY$4010,0)),""))</f>
        <v/>
      </c>
      <c r="X689" s="12" t="str">
        <f>IFERROR(INDEX($AM$11:$AM$4010,MATCH(679,$AY$11:$AY$4010,0)),"")</f>
        <v/>
      </c>
      <c r="Y689" s="11" t="str">
        <f>IF(X689="","",IFERROR(INDEX($AN$11:$AN$4010,MATCH(679,$AY$11:$AY$4010,0)),""))</f>
        <v/>
      </c>
      <c r="Z689" s="11" t="str">
        <f>IF(X689="","",IFERROR(INDEX($AO$11:$AO$4010,MATCH(679,$AY$11:$AY$4010,0)),""))</f>
        <v/>
      </c>
      <c r="AA689" s="10" t="str">
        <f>IF(X689="","",IFERROR(INDEX($AQ$11:$AQ$4010,MATCH(679,$AY$11:$AY$4010,0)),""))</f>
        <v/>
      </c>
      <c r="AB689" s="15" t="str">
        <f>IF(X689="","",IFERROR(INDEX($AR$11:$AR$4010,MATCH(679,$AY$11:$AY$4010,0)),""))</f>
        <v/>
      </c>
      <c r="AD689" s="16" t="str">
        <f>IF(AE689="","",IFERROR(INDEX($AL$11:$AL$4010,MATCH(679,$AZ$11:$AZ$4010,0)),""))</f>
        <v/>
      </c>
      <c r="AE689" s="12" t="str">
        <f>IFERROR(INDEX($AM$11:$AM$4010,MATCH(679,$AZ$11:$AZ$4010,0)),"")</f>
        <v/>
      </c>
      <c r="AF689" s="11" t="str">
        <f>IF(AE689="","",IFERROR(INDEX($AN$11:$AN$4010,MATCH(679,$AZ$11:$AZ$4010,0)),""))</f>
        <v/>
      </c>
      <c r="AG689" s="11" t="str">
        <f>IF(AE689="","",IFERROR(INDEX($AO$11:$AO$4010,MATCH(679,$AZ$11:$AZ$4010,0)),""))</f>
        <v/>
      </c>
      <c r="AH689" s="10" t="str">
        <f>IF(AE689="","",IFERROR(INDEX($AQ$11:$AQ$4010,MATCH(679,$AZ$11:$AZ$4010,0)),""))</f>
        <v/>
      </c>
      <c r="AI689" s="15" t="str">
        <f>IF(AE689="","",IFERROR(INDEX($AR$11:$AR$4010,MATCH(679,$AZ$11:$AZ$4010,0)),""))</f>
        <v/>
      </c>
      <c r="AJ689" s="15" t="str">
        <f>IF(AE689="","",IFERROR(INDEX($AT$11:$AT$4010,MATCH(679,$AZ$11:$AZ$4010,0)),""))</f>
        <v/>
      </c>
      <c r="AL689" s="17"/>
      <c r="AM689" s="12"/>
      <c r="AN689" s="18"/>
      <c r="AO689" s="18"/>
      <c r="AP689" s="10"/>
      <c r="AQ689" s="10"/>
      <c r="AR689" s="19"/>
      <c r="AS689" s="20"/>
      <c r="AT689" s="19"/>
      <c r="AV689" s="21">
        <f>IF(AND($AL689&lt;&gt;"",COUNTIF($AL$11:$AL689,$AL689)=1),1,0)</f>
        <v>0</v>
      </c>
      <c r="AW689" s="21">
        <f t="shared" si="107"/>
        <v>2</v>
      </c>
      <c r="AX689" s="21" t="str">
        <f t="shared" si="106"/>
        <v/>
      </c>
      <c r="AY689" s="21" t="str">
        <f>IF(AND($AM689&lt;&gt;"",$AS689&lt;&gt;"✓"),SUMPRODUCT(($AM$11:$AM689&lt;&gt;"")*($AS$11:$AS689&lt;&gt;"✓")),"")</f>
        <v/>
      </c>
      <c r="AZ689" s="21" t="str">
        <f>IF(AND($AM689&lt;&gt;"",$AS689="✓"),SUMPRODUCT(($AM$11:$AM689&lt;&gt;"")*($AS$11:$AS689="✓")),"")</f>
        <v/>
      </c>
      <c r="BA689" s="21" t="str">
        <f>IF($AL689="","",$AL689&amp;"|"&amp;COUNTIF($AL$11:$AL689,$AL689))</f>
        <v/>
      </c>
    </row>
    <row r="690" spans="23:53" ht="15" customHeight="1" x14ac:dyDescent="0.25">
      <c r="W690" s="28" t="str">
        <f>IF(X690="","",IFERROR(INDEX($AL$11:$AL$4010,MATCH(680,$AY$11:$AY$4010,0)),""))</f>
        <v/>
      </c>
      <c r="X690" s="26" t="str">
        <f>IFERROR(INDEX($AM$11:$AM$4010,MATCH(680,$AY$11:$AY$4010,0)),"")</f>
        <v/>
      </c>
      <c r="Y690" s="25" t="str">
        <f>IF(X690="","",IFERROR(INDEX($AN$11:$AN$4010,MATCH(680,$AY$11:$AY$4010,0)),""))</f>
        <v/>
      </c>
      <c r="Z690" s="25" t="str">
        <f>IF(X690="","",IFERROR(INDEX($AO$11:$AO$4010,MATCH(680,$AY$11:$AY$4010,0)),""))</f>
        <v/>
      </c>
      <c r="AA690" s="24" t="str">
        <f>IF(X690="","",IFERROR(INDEX($AQ$11:$AQ$4010,MATCH(680,$AY$11:$AY$4010,0)),""))</f>
        <v/>
      </c>
      <c r="AB690" s="29" t="str">
        <f>IF(X690="","",IFERROR(INDEX($AR$11:$AR$4010,MATCH(680,$AY$11:$AY$4010,0)),""))</f>
        <v/>
      </c>
      <c r="AD690" s="30" t="str">
        <f>IF(AE690="","",IFERROR(INDEX($AL$11:$AL$4010,MATCH(680,$AZ$11:$AZ$4010,0)),""))</f>
        <v/>
      </c>
      <c r="AE690" s="26" t="str">
        <f>IFERROR(INDEX($AM$11:$AM$4010,MATCH(680,$AZ$11:$AZ$4010,0)),"")</f>
        <v/>
      </c>
      <c r="AF690" s="25" t="str">
        <f>IF(AE690="","",IFERROR(INDEX($AN$11:$AN$4010,MATCH(680,$AZ$11:$AZ$4010,0)),""))</f>
        <v/>
      </c>
      <c r="AG690" s="25" t="str">
        <f>IF(AE690="","",IFERROR(INDEX($AO$11:$AO$4010,MATCH(680,$AZ$11:$AZ$4010,0)),""))</f>
        <v/>
      </c>
      <c r="AH690" s="24" t="str">
        <f>IF(AE690="","",IFERROR(INDEX($AQ$11:$AQ$4010,MATCH(680,$AZ$11:$AZ$4010,0)),""))</f>
        <v/>
      </c>
      <c r="AI690" s="29" t="str">
        <f>IF(AE690="","",IFERROR(INDEX($AR$11:$AR$4010,MATCH(680,$AZ$11:$AZ$4010,0)),""))</f>
        <v/>
      </c>
      <c r="AJ690" s="29" t="str">
        <f>IF(AE690="","",IFERROR(INDEX($AT$11:$AT$4010,MATCH(680,$AZ$11:$AZ$4010,0)),""))</f>
        <v/>
      </c>
      <c r="AL690" s="31"/>
      <c r="AM690" s="26"/>
      <c r="AN690" s="32"/>
      <c r="AO690" s="32"/>
      <c r="AP690" s="24"/>
      <c r="AQ690" s="24"/>
      <c r="AR690" s="33"/>
      <c r="AS690" s="34"/>
      <c r="AT690" s="33"/>
      <c r="AV690" s="21">
        <f>IF(AND($AL690&lt;&gt;"",COUNTIF($AL$11:$AL690,$AL690)=1),1,0)</f>
        <v>0</v>
      </c>
      <c r="AW690" s="21">
        <f t="shared" si="107"/>
        <v>2</v>
      </c>
      <c r="AX690" s="21" t="str">
        <f t="shared" si="106"/>
        <v/>
      </c>
      <c r="AY690" s="21" t="str">
        <f>IF(AND($AM690&lt;&gt;"",$AS690&lt;&gt;"✓"),SUMPRODUCT(($AM$11:$AM690&lt;&gt;"")*($AS$11:$AS690&lt;&gt;"✓")),"")</f>
        <v/>
      </c>
      <c r="AZ690" s="21" t="str">
        <f>IF(AND($AM690&lt;&gt;"",$AS690="✓"),SUMPRODUCT(($AM$11:$AM690&lt;&gt;"")*($AS$11:$AS690="✓")),"")</f>
        <v/>
      </c>
      <c r="BA690" s="21" t="str">
        <f>IF($AL690="","",$AL690&amp;"|"&amp;COUNTIF($AL$11:$AL690,$AL690))</f>
        <v/>
      </c>
    </row>
    <row r="691" spans="23:53" ht="15" customHeight="1" x14ac:dyDescent="0.25">
      <c r="W691" s="14" t="str">
        <f>IF(X691="","",IFERROR(INDEX($AL$11:$AL$4010,MATCH(681,$AY$11:$AY$4010,0)),""))</f>
        <v/>
      </c>
      <c r="X691" s="12" t="str">
        <f>IFERROR(INDEX($AM$11:$AM$4010,MATCH(681,$AY$11:$AY$4010,0)),"")</f>
        <v/>
      </c>
      <c r="Y691" s="11" t="str">
        <f>IF(X691="","",IFERROR(INDEX($AN$11:$AN$4010,MATCH(681,$AY$11:$AY$4010,0)),""))</f>
        <v/>
      </c>
      <c r="Z691" s="11" t="str">
        <f>IF(X691="","",IFERROR(INDEX($AO$11:$AO$4010,MATCH(681,$AY$11:$AY$4010,0)),""))</f>
        <v/>
      </c>
      <c r="AA691" s="10" t="str">
        <f>IF(X691="","",IFERROR(INDEX($AQ$11:$AQ$4010,MATCH(681,$AY$11:$AY$4010,0)),""))</f>
        <v/>
      </c>
      <c r="AB691" s="15" t="str">
        <f>IF(X691="","",IFERROR(INDEX($AR$11:$AR$4010,MATCH(681,$AY$11:$AY$4010,0)),""))</f>
        <v/>
      </c>
      <c r="AD691" s="16" t="str">
        <f>IF(AE691="","",IFERROR(INDEX($AL$11:$AL$4010,MATCH(681,$AZ$11:$AZ$4010,0)),""))</f>
        <v/>
      </c>
      <c r="AE691" s="12" t="str">
        <f>IFERROR(INDEX($AM$11:$AM$4010,MATCH(681,$AZ$11:$AZ$4010,0)),"")</f>
        <v/>
      </c>
      <c r="AF691" s="11" t="str">
        <f>IF(AE691="","",IFERROR(INDEX($AN$11:$AN$4010,MATCH(681,$AZ$11:$AZ$4010,0)),""))</f>
        <v/>
      </c>
      <c r="AG691" s="11" t="str">
        <f>IF(AE691="","",IFERROR(INDEX($AO$11:$AO$4010,MATCH(681,$AZ$11:$AZ$4010,0)),""))</f>
        <v/>
      </c>
      <c r="AH691" s="10" t="str">
        <f>IF(AE691="","",IFERROR(INDEX($AQ$11:$AQ$4010,MATCH(681,$AZ$11:$AZ$4010,0)),""))</f>
        <v/>
      </c>
      <c r="AI691" s="15" t="str">
        <f>IF(AE691="","",IFERROR(INDEX($AR$11:$AR$4010,MATCH(681,$AZ$11:$AZ$4010,0)),""))</f>
        <v/>
      </c>
      <c r="AJ691" s="15" t="str">
        <f>IF(AE691="","",IFERROR(INDEX($AT$11:$AT$4010,MATCH(681,$AZ$11:$AZ$4010,0)),""))</f>
        <v/>
      </c>
      <c r="AL691" s="17"/>
      <c r="AM691" s="12"/>
      <c r="AN691" s="18"/>
      <c r="AO691" s="18"/>
      <c r="AP691" s="10"/>
      <c r="AQ691" s="10"/>
      <c r="AR691" s="19"/>
      <c r="AS691" s="20"/>
      <c r="AT691" s="19"/>
      <c r="AV691" s="21">
        <f>IF(AND($AL691&lt;&gt;"",COUNTIF($AL$11:$AL691,$AL691)=1),1,0)</f>
        <v>0</v>
      </c>
      <c r="AW691" s="21">
        <f t="shared" si="107"/>
        <v>2</v>
      </c>
      <c r="AX691" s="21" t="str">
        <f t="shared" si="106"/>
        <v/>
      </c>
      <c r="AY691" s="21" t="str">
        <f>IF(AND($AM691&lt;&gt;"",$AS691&lt;&gt;"✓"),SUMPRODUCT(($AM$11:$AM691&lt;&gt;"")*($AS$11:$AS691&lt;&gt;"✓")),"")</f>
        <v/>
      </c>
      <c r="AZ691" s="21" t="str">
        <f>IF(AND($AM691&lt;&gt;"",$AS691="✓"),SUMPRODUCT(($AM$11:$AM691&lt;&gt;"")*($AS$11:$AS691="✓")),"")</f>
        <v/>
      </c>
      <c r="BA691" s="21" t="str">
        <f>IF($AL691="","",$AL691&amp;"|"&amp;COUNTIF($AL$11:$AL691,$AL691))</f>
        <v/>
      </c>
    </row>
    <row r="692" spans="23:53" ht="15" customHeight="1" x14ac:dyDescent="0.25">
      <c r="W692" s="28" t="str">
        <f>IF(X692="","",IFERROR(INDEX($AL$11:$AL$4010,MATCH(682,$AY$11:$AY$4010,0)),""))</f>
        <v/>
      </c>
      <c r="X692" s="26" t="str">
        <f>IFERROR(INDEX($AM$11:$AM$4010,MATCH(682,$AY$11:$AY$4010,0)),"")</f>
        <v/>
      </c>
      <c r="Y692" s="25" t="str">
        <f>IF(X692="","",IFERROR(INDEX($AN$11:$AN$4010,MATCH(682,$AY$11:$AY$4010,0)),""))</f>
        <v/>
      </c>
      <c r="Z692" s="25" t="str">
        <f>IF(X692="","",IFERROR(INDEX($AO$11:$AO$4010,MATCH(682,$AY$11:$AY$4010,0)),""))</f>
        <v/>
      </c>
      <c r="AA692" s="24" t="str">
        <f>IF(X692="","",IFERROR(INDEX($AQ$11:$AQ$4010,MATCH(682,$AY$11:$AY$4010,0)),""))</f>
        <v/>
      </c>
      <c r="AB692" s="29" t="str">
        <f>IF(X692="","",IFERROR(INDEX($AR$11:$AR$4010,MATCH(682,$AY$11:$AY$4010,0)),""))</f>
        <v/>
      </c>
      <c r="AD692" s="30" t="str">
        <f>IF(AE692="","",IFERROR(INDEX($AL$11:$AL$4010,MATCH(682,$AZ$11:$AZ$4010,0)),""))</f>
        <v/>
      </c>
      <c r="AE692" s="26" t="str">
        <f>IFERROR(INDEX($AM$11:$AM$4010,MATCH(682,$AZ$11:$AZ$4010,0)),"")</f>
        <v/>
      </c>
      <c r="AF692" s="25" t="str">
        <f>IF(AE692="","",IFERROR(INDEX($AN$11:$AN$4010,MATCH(682,$AZ$11:$AZ$4010,0)),""))</f>
        <v/>
      </c>
      <c r="AG692" s="25" t="str">
        <f>IF(AE692="","",IFERROR(INDEX($AO$11:$AO$4010,MATCH(682,$AZ$11:$AZ$4010,0)),""))</f>
        <v/>
      </c>
      <c r="AH692" s="24" t="str">
        <f>IF(AE692="","",IFERROR(INDEX($AQ$11:$AQ$4010,MATCH(682,$AZ$11:$AZ$4010,0)),""))</f>
        <v/>
      </c>
      <c r="AI692" s="29" t="str">
        <f>IF(AE692="","",IFERROR(INDEX($AR$11:$AR$4010,MATCH(682,$AZ$11:$AZ$4010,0)),""))</f>
        <v/>
      </c>
      <c r="AJ692" s="29" t="str">
        <f>IF(AE692="","",IFERROR(INDEX($AT$11:$AT$4010,MATCH(682,$AZ$11:$AZ$4010,0)),""))</f>
        <v/>
      </c>
      <c r="AL692" s="31"/>
      <c r="AM692" s="26"/>
      <c r="AN692" s="32"/>
      <c r="AO692" s="32"/>
      <c r="AP692" s="24"/>
      <c r="AQ692" s="24"/>
      <c r="AR692" s="33"/>
      <c r="AS692" s="34"/>
      <c r="AT692" s="33"/>
      <c r="AV692" s="21">
        <f>IF(AND($AL692&lt;&gt;"",COUNTIF($AL$11:$AL692,$AL692)=1),1,0)</f>
        <v>0</v>
      </c>
      <c r="AW692" s="21">
        <f t="shared" si="107"/>
        <v>2</v>
      </c>
      <c r="AX692" s="21" t="str">
        <f t="shared" si="106"/>
        <v/>
      </c>
      <c r="AY692" s="21" t="str">
        <f>IF(AND($AM692&lt;&gt;"",$AS692&lt;&gt;"✓"),SUMPRODUCT(($AM$11:$AM692&lt;&gt;"")*($AS$11:$AS692&lt;&gt;"✓")),"")</f>
        <v/>
      </c>
      <c r="AZ692" s="21" t="str">
        <f>IF(AND($AM692&lt;&gt;"",$AS692="✓"),SUMPRODUCT(($AM$11:$AM692&lt;&gt;"")*($AS$11:$AS692="✓")),"")</f>
        <v/>
      </c>
      <c r="BA692" s="21" t="str">
        <f>IF($AL692="","",$AL692&amp;"|"&amp;COUNTIF($AL$11:$AL692,$AL692))</f>
        <v/>
      </c>
    </row>
    <row r="693" spans="23:53" ht="15" customHeight="1" x14ac:dyDescent="0.25">
      <c r="W693" s="14" t="str">
        <f>IF(X693="","",IFERROR(INDEX($AL$11:$AL$4010,MATCH(683,$AY$11:$AY$4010,0)),""))</f>
        <v/>
      </c>
      <c r="X693" s="12" t="str">
        <f>IFERROR(INDEX($AM$11:$AM$4010,MATCH(683,$AY$11:$AY$4010,0)),"")</f>
        <v/>
      </c>
      <c r="Y693" s="11" t="str">
        <f>IF(X693="","",IFERROR(INDEX($AN$11:$AN$4010,MATCH(683,$AY$11:$AY$4010,0)),""))</f>
        <v/>
      </c>
      <c r="Z693" s="11" t="str">
        <f>IF(X693="","",IFERROR(INDEX($AO$11:$AO$4010,MATCH(683,$AY$11:$AY$4010,0)),""))</f>
        <v/>
      </c>
      <c r="AA693" s="10" t="str">
        <f>IF(X693="","",IFERROR(INDEX($AQ$11:$AQ$4010,MATCH(683,$AY$11:$AY$4010,0)),""))</f>
        <v/>
      </c>
      <c r="AB693" s="15" t="str">
        <f>IF(X693="","",IFERROR(INDEX($AR$11:$AR$4010,MATCH(683,$AY$11:$AY$4010,0)),""))</f>
        <v/>
      </c>
      <c r="AD693" s="16" t="str">
        <f>IF(AE693="","",IFERROR(INDEX($AL$11:$AL$4010,MATCH(683,$AZ$11:$AZ$4010,0)),""))</f>
        <v/>
      </c>
      <c r="AE693" s="12" t="str">
        <f>IFERROR(INDEX($AM$11:$AM$4010,MATCH(683,$AZ$11:$AZ$4010,0)),"")</f>
        <v/>
      </c>
      <c r="AF693" s="11" t="str">
        <f>IF(AE693="","",IFERROR(INDEX($AN$11:$AN$4010,MATCH(683,$AZ$11:$AZ$4010,0)),""))</f>
        <v/>
      </c>
      <c r="AG693" s="11" t="str">
        <f>IF(AE693="","",IFERROR(INDEX($AO$11:$AO$4010,MATCH(683,$AZ$11:$AZ$4010,0)),""))</f>
        <v/>
      </c>
      <c r="AH693" s="10" t="str">
        <f>IF(AE693="","",IFERROR(INDEX($AQ$11:$AQ$4010,MATCH(683,$AZ$11:$AZ$4010,0)),""))</f>
        <v/>
      </c>
      <c r="AI693" s="15" t="str">
        <f>IF(AE693="","",IFERROR(INDEX($AR$11:$AR$4010,MATCH(683,$AZ$11:$AZ$4010,0)),""))</f>
        <v/>
      </c>
      <c r="AJ693" s="15" t="str">
        <f>IF(AE693="","",IFERROR(INDEX($AT$11:$AT$4010,MATCH(683,$AZ$11:$AZ$4010,0)),""))</f>
        <v/>
      </c>
      <c r="AL693" s="17"/>
      <c r="AM693" s="12"/>
      <c r="AN693" s="18"/>
      <c r="AO693" s="18"/>
      <c r="AP693" s="10"/>
      <c r="AQ693" s="10"/>
      <c r="AR693" s="19"/>
      <c r="AS693" s="20"/>
      <c r="AT693" s="19"/>
      <c r="AV693" s="21">
        <f>IF(AND($AL693&lt;&gt;"",COUNTIF($AL$11:$AL693,$AL693)=1),1,0)</f>
        <v>0</v>
      </c>
      <c r="AW693" s="21">
        <f t="shared" si="107"/>
        <v>2</v>
      </c>
      <c r="AX693" s="21" t="str">
        <f t="shared" si="106"/>
        <v/>
      </c>
      <c r="AY693" s="21" t="str">
        <f>IF(AND($AM693&lt;&gt;"",$AS693&lt;&gt;"✓"),SUMPRODUCT(($AM$11:$AM693&lt;&gt;"")*($AS$11:$AS693&lt;&gt;"✓")),"")</f>
        <v/>
      </c>
      <c r="AZ693" s="21" t="str">
        <f>IF(AND($AM693&lt;&gt;"",$AS693="✓"),SUMPRODUCT(($AM$11:$AM693&lt;&gt;"")*($AS$11:$AS693="✓")),"")</f>
        <v/>
      </c>
      <c r="BA693" s="21" t="str">
        <f>IF($AL693="","",$AL693&amp;"|"&amp;COUNTIF($AL$11:$AL693,$AL693))</f>
        <v/>
      </c>
    </row>
    <row r="694" spans="23:53" ht="15" customHeight="1" x14ac:dyDescent="0.25">
      <c r="W694" s="28" t="str">
        <f>IF(X694="","",IFERROR(INDEX($AL$11:$AL$4010,MATCH(684,$AY$11:$AY$4010,0)),""))</f>
        <v/>
      </c>
      <c r="X694" s="26" t="str">
        <f>IFERROR(INDEX($AM$11:$AM$4010,MATCH(684,$AY$11:$AY$4010,0)),"")</f>
        <v/>
      </c>
      <c r="Y694" s="25" t="str">
        <f>IF(X694="","",IFERROR(INDEX($AN$11:$AN$4010,MATCH(684,$AY$11:$AY$4010,0)),""))</f>
        <v/>
      </c>
      <c r="Z694" s="25" t="str">
        <f>IF(X694="","",IFERROR(INDEX($AO$11:$AO$4010,MATCH(684,$AY$11:$AY$4010,0)),""))</f>
        <v/>
      </c>
      <c r="AA694" s="24" t="str">
        <f>IF(X694="","",IFERROR(INDEX($AQ$11:$AQ$4010,MATCH(684,$AY$11:$AY$4010,0)),""))</f>
        <v/>
      </c>
      <c r="AB694" s="29" t="str">
        <f>IF(X694="","",IFERROR(INDEX($AR$11:$AR$4010,MATCH(684,$AY$11:$AY$4010,0)),""))</f>
        <v/>
      </c>
      <c r="AD694" s="30" t="str">
        <f>IF(AE694="","",IFERROR(INDEX($AL$11:$AL$4010,MATCH(684,$AZ$11:$AZ$4010,0)),""))</f>
        <v/>
      </c>
      <c r="AE694" s="26" t="str">
        <f>IFERROR(INDEX($AM$11:$AM$4010,MATCH(684,$AZ$11:$AZ$4010,0)),"")</f>
        <v/>
      </c>
      <c r="AF694" s="25" t="str">
        <f>IF(AE694="","",IFERROR(INDEX($AN$11:$AN$4010,MATCH(684,$AZ$11:$AZ$4010,0)),""))</f>
        <v/>
      </c>
      <c r="AG694" s="25" t="str">
        <f>IF(AE694="","",IFERROR(INDEX($AO$11:$AO$4010,MATCH(684,$AZ$11:$AZ$4010,0)),""))</f>
        <v/>
      </c>
      <c r="AH694" s="24" t="str">
        <f>IF(AE694="","",IFERROR(INDEX($AQ$11:$AQ$4010,MATCH(684,$AZ$11:$AZ$4010,0)),""))</f>
        <v/>
      </c>
      <c r="AI694" s="29" t="str">
        <f>IF(AE694="","",IFERROR(INDEX($AR$11:$AR$4010,MATCH(684,$AZ$11:$AZ$4010,0)),""))</f>
        <v/>
      </c>
      <c r="AJ694" s="29" t="str">
        <f>IF(AE694="","",IFERROR(INDEX($AT$11:$AT$4010,MATCH(684,$AZ$11:$AZ$4010,0)),""))</f>
        <v/>
      </c>
      <c r="AL694" s="31"/>
      <c r="AM694" s="26"/>
      <c r="AN694" s="32"/>
      <c r="AO694" s="32"/>
      <c r="AP694" s="24"/>
      <c r="AQ694" s="24"/>
      <c r="AR694" s="33"/>
      <c r="AS694" s="34"/>
      <c r="AT694" s="33"/>
      <c r="AV694" s="21">
        <f>IF(AND($AL694&lt;&gt;"",COUNTIF($AL$11:$AL694,$AL694)=1),1,0)</f>
        <v>0</v>
      </c>
      <c r="AW694" s="21">
        <f t="shared" si="107"/>
        <v>2</v>
      </c>
      <c r="AX694" s="21" t="str">
        <f t="shared" si="106"/>
        <v/>
      </c>
      <c r="AY694" s="21" t="str">
        <f>IF(AND($AM694&lt;&gt;"",$AS694&lt;&gt;"✓"),SUMPRODUCT(($AM$11:$AM694&lt;&gt;"")*($AS$11:$AS694&lt;&gt;"✓")),"")</f>
        <v/>
      </c>
      <c r="AZ694" s="21" t="str">
        <f>IF(AND($AM694&lt;&gt;"",$AS694="✓"),SUMPRODUCT(($AM$11:$AM694&lt;&gt;"")*($AS$11:$AS694="✓")),"")</f>
        <v/>
      </c>
      <c r="BA694" s="21" t="str">
        <f>IF($AL694="","",$AL694&amp;"|"&amp;COUNTIF($AL$11:$AL694,$AL694))</f>
        <v/>
      </c>
    </row>
    <row r="695" spans="23:53" ht="15" customHeight="1" x14ac:dyDescent="0.25">
      <c r="W695" s="14" t="str">
        <f>IF(X695="","",IFERROR(INDEX($AL$11:$AL$4010,MATCH(685,$AY$11:$AY$4010,0)),""))</f>
        <v/>
      </c>
      <c r="X695" s="12" t="str">
        <f>IFERROR(INDEX($AM$11:$AM$4010,MATCH(685,$AY$11:$AY$4010,0)),"")</f>
        <v/>
      </c>
      <c r="Y695" s="11" t="str">
        <f>IF(X695="","",IFERROR(INDEX($AN$11:$AN$4010,MATCH(685,$AY$11:$AY$4010,0)),""))</f>
        <v/>
      </c>
      <c r="Z695" s="11" t="str">
        <f>IF(X695="","",IFERROR(INDEX($AO$11:$AO$4010,MATCH(685,$AY$11:$AY$4010,0)),""))</f>
        <v/>
      </c>
      <c r="AA695" s="10" t="str">
        <f>IF(X695="","",IFERROR(INDEX($AQ$11:$AQ$4010,MATCH(685,$AY$11:$AY$4010,0)),""))</f>
        <v/>
      </c>
      <c r="AB695" s="15" t="str">
        <f>IF(X695="","",IFERROR(INDEX($AR$11:$AR$4010,MATCH(685,$AY$11:$AY$4010,0)),""))</f>
        <v/>
      </c>
      <c r="AD695" s="16" t="str">
        <f>IF(AE695="","",IFERROR(INDEX($AL$11:$AL$4010,MATCH(685,$AZ$11:$AZ$4010,0)),""))</f>
        <v/>
      </c>
      <c r="AE695" s="12" t="str">
        <f>IFERROR(INDEX($AM$11:$AM$4010,MATCH(685,$AZ$11:$AZ$4010,0)),"")</f>
        <v/>
      </c>
      <c r="AF695" s="11" t="str">
        <f>IF(AE695="","",IFERROR(INDEX($AN$11:$AN$4010,MATCH(685,$AZ$11:$AZ$4010,0)),""))</f>
        <v/>
      </c>
      <c r="AG695" s="11" t="str">
        <f>IF(AE695="","",IFERROR(INDEX($AO$11:$AO$4010,MATCH(685,$AZ$11:$AZ$4010,0)),""))</f>
        <v/>
      </c>
      <c r="AH695" s="10" t="str">
        <f>IF(AE695="","",IFERROR(INDEX($AQ$11:$AQ$4010,MATCH(685,$AZ$11:$AZ$4010,0)),""))</f>
        <v/>
      </c>
      <c r="AI695" s="15" t="str">
        <f>IF(AE695="","",IFERROR(INDEX($AR$11:$AR$4010,MATCH(685,$AZ$11:$AZ$4010,0)),""))</f>
        <v/>
      </c>
      <c r="AJ695" s="15" t="str">
        <f>IF(AE695="","",IFERROR(INDEX($AT$11:$AT$4010,MATCH(685,$AZ$11:$AZ$4010,0)),""))</f>
        <v/>
      </c>
      <c r="AL695" s="17"/>
      <c r="AM695" s="12"/>
      <c r="AN695" s="18"/>
      <c r="AO695" s="18"/>
      <c r="AP695" s="10"/>
      <c r="AQ695" s="10"/>
      <c r="AR695" s="19"/>
      <c r="AS695" s="20"/>
      <c r="AT695" s="19"/>
      <c r="AV695" s="21">
        <f>IF(AND($AL695&lt;&gt;"",COUNTIF($AL$11:$AL695,$AL695)=1),1,0)</f>
        <v>0</v>
      </c>
      <c r="AW695" s="21">
        <f t="shared" si="107"/>
        <v>2</v>
      </c>
      <c r="AX695" s="21" t="str">
        <f t="shared" si="106"/>
        <v/>
      </c>
      <c r="AY695" s="21" t="str">
        <f>IF(AND($AM695&lt;&gt;"",$AS695&lt;&gt;"✓"),SUMPRODUCT(($AM$11:$AM695&lt;&gt;"")*($AS$11:$AS695&lt;&gt;"✓")),"")</f>
        <v/>
      </c>
      <c r="AZ695" s="21" t="str">
        <f>IF(AND($AM695&lt;&gt;"",$AS695="✓"),SUMPRODUCT(($AM$11:$AM695&lt;&gt;"")*($AS$11:$AS695="✓")),"")</f>
        <v/>
      </c>
      <c r="BA695" s="21" t="str">
        <f>IF($AL695="","",$AL695&amp;"|"&amp;COUNTIF($AL$11:$AL695,$AL695))</f>
        <v/>
      </c>
    </row>
    <row r="696" spans="23:53" ht="15" customHeight="1" x14ac:dyDescent="0.25">
      <c r="W696" s="28" t="str">
        <f>IF(X696="","",IFERROR(INDEX($AL$11:$AL$4010,MATCH(686,$AY$11:$AY$4010,0)),""))</f>
        <v/>
      </c>
      <c r="X696" s="26" t="str">
        <f>IFERROR(INDEX($AM$11:$AM$4010,MATCH(686,$AY$11:$AY$4010,0)),"")</f>
        <v/>
      </c>
      <c r="Y696" s="25" t="str">
        <f>IF(X696="","",IFERROR(INDEX($AN$11:$AN$4010,MATCH(686,$AY$11:$AY$4010,0)),""))</f>
        <v/>
      </c>
      <c r="Z696" s="25" t="str">
        <f>IF(X696="","",IFERROR(INDEX($AO$11:$AO$4010,MATCH(686,$AY$11:$AY$4010,0)),""))</f>
        <v/>
      </c>
      <c r="AA696" s="24" t="str">
        <f>IF(X696="","",IFERROR(INDEX($AQ$11:$AQ$4010,MATCH(686,$AY$11:$AY$4010,0)),""))</f>
        <v/>
      </c>
      <c r="AB696" s="29" t="str">
        <f>IF(X696="","",IFERROR(INDEX($AR$11:$AR$4010,MATCH(686,$AY$11:$AY$4010,0)),""))</f>
        <v/>
      </c>
      <c r="AD696" s="30" t="str">
        <f>IF(AE696="","",IFERROR(INDEX($AL$11:$AL$4010,MATCH(686,$AZ$11:$AZ$4010,0)),""))</f>
        <v/>
      </c>
      <c r="AE696" s="26" t="str">
        <f>IFERROR(INDEX($AM$11:$AM$4010,MATCH(686,$AZ$11:$AZ$4010,0)),"")</f>
        <v/>
      </c>
      <c r="AF696" s="25" t="str">
        <f>IF(AE696="","",IFERROR(INDEX($AN$11:$AN$4010,MATCH(686,$AZ$11:$AZ$4010,0)),""))</f>
        <v/>
      </c>
      <c r="AG696" s="25" t="str">
        <f>IF(AE696="","",IFERROR(INDEX($AO$11:$AO$4010,MATCH(686,$AZ$11:$AZ$4010,0)),""))</f>
        <v/>
      </c>
      <c r="AH696" s="24" t="str">
        <f>IF(AE696="","",IFERROR(INDEX($AQ$11:$AQ$4010,MATCH(686,$AZ$11:$AZ$4010,0)),""))</f>
        <v/>
      </c>
      <c r="AI696" s="29" t="str">
        <f>IF(AE696="","",IFERROR(INDEX($AR$11:$AR$4010,MATCH(686,$AZ$11:$AZ$4010,0)),""))</f>
        <v/>
      </c>
      <c r="AJ696" s="29" t="str">
        <f>IF(AE696="","",IFERROR(INDEX($AT$11:$AT$4010,MATCH(686,$AZ$11:$AZ$4010,0)),""))</f>
        <v/>
      </c>
      <c r="AL696" s="31"/>
      <c r="AM696" s="26"/>
      <c r="AN696" s="32"/>
      <c r="AO696" s="32"/>
      <c r="AP696" s="24"/>
      <c r="AQ696" s="24"/>
      <c r="AR696" s="33"/>
      <c r="AS696" s="34"/>
      <c r="AT696" s="33"/>
      <c r="AV696" s="21">
        <f>IF(AND($AL696&lt;&gt;"",COUNTIF($AL$11:$AL696,$AL696)=1),1,0)</f>
        <v>0</v>
      </c>
      <c r="AW696" s="21">
        <f t="shared" si="107"/>
        <v>2</v>
      </c>
      <c r="AX696" s="21" t="str">
        <f t="shared" si="106"/>
        <v/>
      </c>
      <c r="AY696" s="21" t="str">
        <f>IF(AND($AM696&lt;&gt;"",$AS696&lt;&gt;"✓"),SUMPRODUCT(($AM$11:$AM696&lt;&gt;"")*($AS$11:$AS696&lt;&gt;"✓")),"")</f>
        <v/>
      </c>
      <c r="AZ696" s="21" t="str">
        <f>IF(AND($AM696&lt;&gt;"",$AS696="✓"),SUMPRODUCT(($AM$11:$AM696&lt;&gt;"")*($AS$11:$AS696="✓")),"")</f>
        <v/>
      </c>
      <c r="BA696" s="21" t="str">
        <f>IF($AL696="","",$AL696&amp;"|"&amp;COUNTIF($AL$11:$AL696,$AL696))</f>
        <v/>
      </c>
    </row>
    <row r="697" spans="23:53" ht="15" customHeight="1" x14ac:dyDescent="0.25">
      <c r="W697" s="14" t="str">
        <f>IF(X697="","",IFERROR(INDEX($AL$11:$AL$4010,MATCH(687,$AY$11:$AY$4010,0)),""))</f>
        <v/>
      </c>
      <c r="X697" s="12" t="str">
        <f>IFERROR(INDEX($AM$11:$AM$4010,MATCH(687,$AY$11:$AY$4010,0)),"")</f>
        <v/>
      </c>
      <c r="Y697" s="11" t="str">
        <f>IF(X697="","",IFERROR(INDEX($AN$11:$AN$4010,MATCH(687,$AY$11:$AY$4010,0)),""))</f>
        <v/>
      </c>
      <c r="Z697" s="11" t="str">
        <f>IF(X697="","",IFERROR(INDEX($AO$11:$AO$4010,MATCH(687,$AY$11:$AY$4010,0)),""))</f>
        <v/>
      </c>
      <c r="AA697" s="10" t="str">
        <f>IF(X697="","",IFERROR(INDEX($AQ$11:$AQ$4010,MATCH(687,$AY$11:$AY$4010,0)),""))</f>
        <v/>
      </c>
      <c r="AB697" s="15" t="str">
        <f>IF(X697="","",IFERROR(INDEX($AR$11:$AR$4010,MATCH(687,$AY$11:$AY$4010,0)),""))</f>
        <v/>
      </c>
      <c r="AD697" s="16" t="str">
        <f>IF(AE697="","",IFERROR(INDEX($AL$11:$AL$4010,MATCH(687,$AZ$11:$AZ$4010,0)),""))</f>
        <v/>
      </c>
      <c r="AE697" s="12" t="str">
        <f>IFERROR(INDEX($AM$11:$AM$4010,MATCH(687,$AZ$11:$AZ$4010,0)),"")</f>
        <v/>
      </c>
      <c r="AF697" s="11" t="str">
        <f>IF(AE697="","",IFERROR(INDEX($AN$11:$AN$4010,MATCH(687,$AZ$11:$AZ$4010,0)),""))</f>
        <v/>
      </c>
      <c r="AG697" s="11" t="str">
        <f>IF(AE697="","",IFERROR(INDEX($AO$11:$AO$4010,MATCH(687,$AZ$11:$AZ$4010,0)),""))</f>
        <v/>
      </c>
      <c r="AH697" s="10" t="str">
        <f>IF(AE697="","",IFERROR(INDEX($AQ$11:$AQ$4010,MATCH(687,$AZ$11:$AZ$4010,0)),""))</f>
        <v/>
      </c>
      <c r="AI697" s="15" t="str">
        <f>IF(AE697="","",IFERROR(INDEX($AR$11:$AR$4010,MATCH(687,$AZ$11:$AZ$4010,0)),""))</f>
        <v/>
      </c>
      <c r="AJ697" s="15" t="str">
        <f>IF(AE697="","",IFERROR(INDEX($AT$11:$AT$4010,MATCH(687,$AZ$11:$AZ$4010,0)),""))</f>
        <v/>
      </c>
      <c r="AL697" s="17"/>
      <c r="AM697" s="12"/>
      <c r="AN697" s="18"/>
      <c r="AO697" s="18"/>
      <c r="AP697" s="10"/>
      <c r="AQ697" s="10"/>
      <c r="AR697" s="19"/>
      <c r="AS697" s="20"/>
      <c r="AT697" s="19"/>
      <c r="AV697" s="21">
        <f>IF(AND($AL697&lt;&gt;"",COUNTIF($AL$11:$AL697,$AL697)=1),1,0)</f>
        <v>0</v>
      </c>
      <c r="AW697" s="21">
        <f t="shared" si="107"/>
        <v>2</v>
      </c>
      <c r="AX697" s="21" t="str">
        <f t="shared" si="106"/>
        <v/>
      </c>
      <c r="AY697" s="21" t="str">
        <f>IF(AND($AM697&lt;&gt;"",$AS697&lt;&gt;"✓"),SUMPRODUCT(($AM$11:$AM697&lt;&gt;"")*($AS$11:$AS697&lt;&gt;"✓")),"")</f>
        <v/>
      </c>
      <c r="AZ697" s="21" t="str">
        <f>IF(AND($AM697&lt;&gt;"",$AS697="✓"),SUMPRODUCT(($AM$11:$AM697&lt;&gt;"")*($AS$11:$AS697="✓")),"")</f>
        <v/>
      </c>
      <c r="BA697" s="21" t="str">
        <f>IF($AL697="","",$AL697&amp;"|"&amp;COUNTIF($AL$11:$AL697,$AL697))</f>
        <v/>
      </c>
    </row>
    <row r="698" spans="23:53" ht="15" customHeight="1" x14ac:dyDescent="0.25">
      <c r="W698" s="28" t="str">
        <f>IF(X698="","",IFERROR(INDEX($AL$11:$AL$4010,MATCH(688,$AY$11:$AY$4010,0)),""))</f>
        <v/>
      </c>
      <c r="X698" s="26" t="str">
        <f>IFERROR(INDEX($AM$11:$AM$4010,MATCH(688,$AY$11:$AY$4010,0)),"")</f>
        <v/>
      </c>
      <c r="Y698" s="25" t="str">
        <f>IF(X698="","",IFERROR(INDEX($AN$11:$AN$4010,MATCH(688,$AY$11:$AY$4010,0)),""))</f>
        <v/>
      </c>
      <c r="Z698" s="25" t="str">
        <f>IF(X698="","",IFERROR(INDEX($AO$11:$AO$4010,MATCH(688,$AY$11:$AY$4010,0)),""))</f>
        <v/>
      </c>
      <c r="AA698" s="24" t="str">
        <f>IF(X698="","",IFERROR(INDEX($AQ$11:$AQ$4010,MATCH(688,$AY$11:$AY$4010,0)),""))</f>
        <v/>
      </c>
      <c r="AB698" s="29" t="str">
        <f>IF(X698="","",IFERROR(INDEX($AR$11:$AR$4010,MATCH(688,$AY$11:$AY$4010,0)),""))</f>
        <v/>
      </c>
      <c r="AD698" s="30" t="str">
        <f>IF(AE698="","",IFERROR(INDEX($AL$11:$AL$4010,MATCH(688,$AZ$11:$AZ$4010,0)),""))</f>
        <v/>
      </c>
      <c r="AE698" s="26" t="str">
        <f>IFERROR(INDEX($AM$11:$AM$4010,MATCH(688,$AZ$11:$AZ$4010,0)),"")</f>
        <v/>
      </c>
      <c r="AF698" s="25" t="str">
        <f>IF(AE698="","",IFERROR(INDEX($AN$11:$AN$4010,MATCH(688,$AZ$11:$AZ$4010,0)),""))</f>
        <v/>
      </c>
      <c r="AG698" s="25" t="str">
        <f>IF(AE698="","",IFERROR(INDEX($AO$11:$AO$4010,MATCH(688,$AZ$11:$AZ$4010,0)),""))</f>
        <v/>
      </c>
      <c r="AH698" s="24" t="str">
        <f>IF(AE698="","",IFERROR(INDEX($AQ$11:$AQ$4010,MATCH(688,$AZ$11:$AZ$4010,0)),""))</f>
        <v/>
      </c>
      <c r="AI698" s="29" t="str">
        <f>IF(AE698="","",IFERROR(INDEX($AR$11:$AR$4010,MATCH(688,$AZ$11:$AZ$4010,0)),""))</f>
        <v/>
      </c>
      <c r="AJ698" s="29" t="str">
        <f>IF(AE698="","",IFERROR(INDEX($AT$11:$AT$4010,MATCH(688,$AZ$11:$AZ$4010,0)),""))</f>
        <v/>
      </c>
      <c r="AL698" s="31"/>
      <c r="AM698" s="26"/>
      <c r="AN698" s="32"/>
      <c r="AO698" s="32"/>
      <c r="AP698" s="24"/>
      <c r="AQ698" s="24"/>
      <c r="AR698" s="33"/>
      <c r="AS698" s="34"/>
      <c r="AT698" s="33"/>
      <c r="AV698" s="21">
        <f>IF(AND($AL698&lt;&gt;"",COUNTIF($AL$11:$AL698,$AL698)=1),1,0)</f>
        <v>0</v>
      </c>
      <c r="AW698" s="21">
        <f t="shared" si="107"/>
        <v>2</v>
      </c>
      <c r="AX698" s="21" t="str">
        <f t="shared" si="106"/>
        <v/>
      </c>
      <c r="AY698" s="21" t="str">
        <f>IF(AND($AM698&lt;&gt;"",$AS698&lt;&gt;"✓"),SUMPRODUCT(($AM$11:$AM698&lt;&gt;"")*($AS$11:$AS698&lt;&gt;"✓")),"")</f>
        <v/>
      </c>
      <c r="AZ698" s="21" t="str">
        <f>IF(AND($AM698&lt;&gt;"",$AS698="✓"),SUMPRODUCT(($AM$11:$AM698&lt;&gt;"")*($AS$11:$AS698="✓")),"")</f>
        <v/>
      </c>
      <c r="BA698" s="21" t="str">
        <f>IF($AL698="","",$AL698&amp;"|"&amp;COUNTIF($AL$11:$AL698,$AL698))</f>
        <v/>
      </c>
    </row>
    <row r="699" spans="23:53" ht="15" customHeight="1" x14ac:dyDescent="0.25">
      <c r="W699" s="14" t="str">
        <f>IF(X699="","",IFERROR(INDEX($AL$11:$AL$4010,MATCH(689,$AY$11:$AY$4010,0)),""))</f>
        <v/>
      </c>
      <c r="X699" s="12" t="str">
        <f>IFERROR(INDEX($AM$11:$AM$4010,MATCH(689,$AY$11:$AY$4010,0)),"")</f>
        <v/>
      </c>
      <c r="Y699" s="11" t="str">
        <f>IF(X699="","",IFERROR(INDEX($AN$11:$AN$4010,MATCH(689,$AY$11:$AY$4010,0)),""))</f>
        <v/>
      </c>
      <c r="Z699" s="11" t="str">
        <f>IF(X699="","",IFERROR(INDEX($AO$11:$AO$4010,MATCH(689,$AY$11:$AY$4010,0)),""))</f>
        <v/>
      </c>
      <c r="AA699" s="10" t="str">
        <f>IF(X699="","",IFERROR(INDEX($AQ$11:$AQ$4010,MATCH(689,$AY$11:$AY$4010,0)),""))</f>
        <v/>
      </c>
      <c r="AB699" s="15" t="str">
        <f>IF(X699="","",IFERROR(INDEX($AR$11:$AR$4010,MATCH(689,$AY$11:$AY$4010,0)),""))</f>
        <v/>
      </c>
      <c r="AD699" s="16" t="str">
        <f>IF(AE699="","",IFERROR(INDEX($AL$11:$AL$4010,MATCH(689,$AZ$11:$AZ$4010,0)),""))</f>
        <v/>
      </c>
      <c r="AE699" s="12" t="str">
        <f>IFERROR(INDEX($AM$11:$AM$4010,MATCH(689,$AZ$11:$AZ$4010,0)),"")</f>
        <v/>
      </c>
      <c r="AF699" s="11" t="str">
        <f>IF(AE699="","",IFERROR(INDEX($AN$11:$AN$4010,MATCH(689,$AZ$11:$AZ$4010,0)),""))</f>
        <v/>
      </c>
      <c r="AG699" s="11" t="str">
        <f>IF(AE699="","",IFERROR(INDEX($AO$11:$AO$4010,MATCH(689,$AZ$11:$AZ$4010,0)),""))</f>
        <v/>
      </c>
      <c r="AH699" s="10" t="str">
        <f>IF(AE699="","",IFERROR(INDEX($AQ$11:$AQ$4010,MATCH(689,$AZ$11:$AZ$4010,0)),""))</f>
        <v/>
      </c>
      <c r="AI699" s="15" t="str">
        <f>IF(AE699="","",IFERROR(INDEX($AR$11:$AR$4010,MATCH(689,$AZ$11:$AZ$4010,0)),""))</f>
        <v/>
      </c>
      <c r="AJ699" s="15" t="str">
        <f>IF(AE699="","",IFERROR(INDEX($AT$11:$AT$4010,MATCH(689,$AZ$11:$AZ$4010,0)),""))</f>
        <v/>
      </c>
      <c r="AL699" s="17"/>
      <c r="AM699" s="12"/>
      <c r="AN699" s="18"/>
      <c r="AO699" s="18"/>
      <c r="AP699" s="10"/>
      <c r="AQ699" s="10"/>
      <c r="AR699" s="19"/>
      <c r="AS699" s="20"/>
      <c r="AT699" s="19"/>
      <c r="AV699" s="21">
        <f>IF(AND($AL699&lt;&gt;"",COUNTIF($AL$11:$AL699,$AL699)=1),1,0)</f>
        <v>0</v>
      </c>
      <c r="AW699" s="21">
        <f t="shared" si="107"/>
        <v>2</v>
      </c>
      <c r="AX699" s="21" t="str">
        <f t="shared" si="106"/>
        <v/>
      </c>
      <c r="AY699" s="21" t="str">
        <f>IF(AND($AM699&lt;&gt;"",$AS699&lt;&gt;"✓"),SUMPRODUCT(($AM$11:$AM699&lt;&gt;"")*($AS$11:$AS699&lt;&gt;"✓")),"")</f>
        <v/>
      </c>
      <c r="AZ699" s="21" t="str">
        <f>IF(AND($AM699&lt;&gt;"",$AS699="✓"),SUMPRODUCT(($AM$11:$AM699&lt;&gt;"")*($AS$11:$AS699="✓")),"")</f>
        <v/>
      </c>
      <c r="BA699" s="21" t="str">
        <f>IF($AL699="","",$AL699&amp;"|"&amp;COUNTIF($AL$11:$AL699,$AL699))</f>
        <v/>
      </c>
    </row>
    <row r="700" spans="23:53" ht="15" customHeight="1" x14ac:dyDescent="0.25">
      <c r="W700" s="28" t="str">
        <f>IF(X700="","",IFERROR(INDEX($AL$11:$AL$4010,MATCH(690,$AY$11:$AY$4010,0)),""))</f>
        <v/>
      </c>
      <c r="X700" s="26" t="str">
        <f>IFERROR(INDEX($AM$11:$AM$4010,MATCH(690,$AY$11:$AY$4010,0)),"")</f>
        <v/>
      </c>
      <c r="Y700" s="25" t="str">
        <f>IF(X700="","",IFERROR(INDEX($AN$11:$AN$4010,MATCH(690,$AY$11:$AY$4010,0)),""))</f>
        <v/>
      </c>
      <c r="Z700" s="25" t="str">
        <f>IF(X700="","",IFERROR(INDEX($AO$11:$AO$4010,MATCH(690,$AY$11:$AY$4010,0)),""))</f>
        <v/>
      </c>
      <c r="AA700" s="24" t="str">
        <f>IF(X700="","",IFERROR(INDEX($AQ$11:$AQ$4010,MATCH(690,$AY$11:$AY$4010,0)),""))</f>
        <v/>
      </c>
      <c r="AB700" s="29" t="str">
        <f>IF(X700="","",IFERROR(INDEX($AR$11:$AR$4010,MATCH(690,$AY$11:$AY$4010,0)),""))</f>
        <v/>
      </c>
      <c r="AD700" s="30" t="str">
        <f>IF(AE700="","",IFERROR(INDEX($AL$11:$AL$4010,MATCH(690,$AZ$11:$AZ$4010,0)),""))</f>
        <v/>
      </c>
      <c r="AE700" s="26" t="str">
        <f>IFERROR(INDEX($AM$11:$AM$4010,MATCH(690,$AZ$11:$AZ$4010,0)),"")</f>
        <v/>
      </c>
      <c r="AF700" s="25" t="str">
        <f>IF(AE700="","",IFERROR(INDEX($AN$11:$AN$4010,MATCH(690,$AZ$11:$AZ$4010,0)),""))</f>
        <v/>
      </c>
      <c r="AG700" s="25" t="str">
        <f>IF(AE700="","",IFERROR(INDEX($AO$11:$AO$4010,MATCH(690,$AZ$11:$AZ$4010,0)),""))</f>
        <v/>
      </c>
      <c r="AH700" s="24" t="str">
        <f>IF(AE700="","",IFERROR(INDEX($AQ$11:$AQ$4010,MATCH(690,$AZ$11:$AZ$4010,0)),""))</f>
        <v/>
      </c>
      <c r="AI700" s="29" t="str">
        <f>IF(AE700="","",IFERROR(INDEX($AR$11:$AR$4010,MATCH(690,$AZ$11:$AZ$4010,0)),""))</f>
        <v/>
      </c>
      <c r="AJ700" s="29" t="str">
        <f>IF(AE700="","",IFERROR(INDEX($AT$11:$AT$4010,MATCH(690,$AZ$11:$AZ$4010,0)),""))</f>
        <v/>
      </c>
      <c r="AL700" s="31"/>
      <c r="AM700" s="26"/>
      <c r="AN700" s="32"/>
      <c r="AO700" s="32"/>
      <c r="AP700" s="24"/>
      <c r="AQ700" s="24"/>
      <c r="AR700" s="33"/>
      <c r="AS700" s="34"/>
      <c r="AT700" s="33"/>
      <c r="AV700" s="21">
        <f>IF(AND($AL700&lt;&gt;"",COUNTIF($AL$11:$AL700,$AL700)=1),1,0)</f>
        <v>0</v>
      </c>
      <c r="AW700" s="21">
        <f t="shared" si="107"/>
        <v>2</v>
      </c>
      <c r="AX700" s="21" t="str">
        <f t="shared" si="106"/>
        <v/>
      </c>
      <c r="AY700" s="21" t="str">
        <f>IF(AND($AM700&lt;&gt;"",$AS700&lt;&gt;"✓"),SUMPRODUCT(($AM$11:$AM700&lt;&gt;"")*($AS$11:$AS700&lt;&gt;"✓")),"")</f>
        <v/>
      </c>
      <c r="AZ700" s="21" t="str">
        <f>IF(AND($AM700&lt;&gt;"",$AS700="✓"),SUMPRODUCT(($AM$11:$AM700&lt;&gt;"")*($AS$11:$AS700="✓")),"")</f>
        <v/>
      </c>
      <c r="BA700" s="21" t="str">
        <f>IF($AL700="","",$AL700&amp;"|"&amp;COUNTIF($AL$11:$AL700,$AL700))</f>
        <v/>
      </c>
    </row>
    <row r="701" spans="23:53" ht="15" customHeight="1" x14ac:dyDescent="0.25">
      <c r="W701" s="14" t="str">
        <f>IF(X701="","",IFERROR(INDEX($AL$11:$AL$4010,MATCH(691,$AY$11:$AY$4010,0)),""))</f>
        <v/>
      </c>
      <c r="X701" s="12" t="str">
        <f>IFERROR(INDEX($AM$11:$AM$4010,MATCH(691,$AY$11:$AY$4010,0)),"")</f>
        <v/>
      </c>
      <c r="Y701" s="11" t="str">
        <f>IF(X701="","",IFERROR(INDEX($AN$11:$AN$4010,MATCH(691,$AY$11:$AY$4010,0)),""))</f>
        <v/>
      </c>
      <c r="Z701" s="11" t="str">
        <f>IF(X701="","",IFERROR(INDEX($AO$11:$AO$4010,MATCH(691,$AY$11:$AY$4010,0)),""))</f>
        <v/>
      </c>
      <c r="AA701" s="10" t="str">
        <f>IF(X701="","",IFERROR(INDEX($AQ$11:$AQ$4010,MATCH(691,$AY$11:$AY$4010,0)),""))</f>
        <v/>
      </c>
      <c r="AB701" s="15" t="str">
        <f>IF(X701="","",IFERROR(INDEX($AR$11:$AR$4010,MATCH(691,$AY$11:$AY$4010,0)),""))</f>
        <v/>
      </c>
      <c r="AD701" s="16" t="str">
        <f>IF(AE701="","",IFERROR(INDEX($AL$11:$AL$4010,MATCH(691,$AZ$11:$AZ$4010,0)),""))</f>
        <v/>
      </c>
      <c r="AE701" s="12" t="str">
        <f>IFERROR(INDEX($AM$11:$AM$4010,MATCH(691,$AZ$11:$AZ$4010,0)),"")</f>
        <v/>
      </c>
      <c r="AF701" s="11" t="str">
        <f>IF(AE701="","",IFERROR(INDEX($AN$11:$AN$4010,MATCH(691,$AZ$11:$AZ$4010,0)),""))</f>
        <v/>
      </c>
      <c r="AG701" s="11" t="str">
        <f>IF(AE701="","",IFERROR(INDEX($AO$11:$AO$4010,MATCH(691,$AZ$11:$AZ$4010,0)),""))</f>
        <v/>
      </c>
      <c r="AH701" s="10" t="str">
        <f>IF(AE701="","",IFERROR(INDEX($AQ$11:$AQ$4010,MATCH(691,$AZ$11:$AZ$4010,0)),""))</f>
        <v/>
      </c>
      <c r="AI701" s="15" t="str">
        <f>IF(AE701="","",IFERROR(INDEX($AR$11:$AR$4010,MATCH(691,$AZ$11:$AZ$4010,0)),""))</f>
        <v/>
      </c>
      <c r="AJ701" s="15" t="str">
        <f>IF(AE701="","",IFERROR(INDEX($AT$11:$AT$4010,MATCH(691,$AZ$11:$AZ$4010,0)),""))</f>
        <v/>
      </c>
      <c r="AL701" s="17"/>
      <c r="AM701" s="12"/>
      <c r="AN701" s="18"/>
      <c r="AO701" s="18"/>
      <c r="AP701" s="10"/>
      <c r="AQ701" s="10"/>
      <c r="AR701" s="19"/>
      <c r="AS701" s="20"/>
      <c r="AT701" s="19"/>
      <c r="AV701" s="21">
        <f>IF(AND($AL701&lt;&gt;"",COUNTIF($AL$11:$AL701,$AL701)=1),1,0)</f>
        <v>0</v>
      </c>
      <c r="AW701" s="21">
        <f t="shared" si="107"/>
        <v>2</v>
      </c>
      <c r="AX701" s="21" t="str">
        <f t="shared" si="106"/>
        <v/>
      </c>
      <c r="AY701" s="21" t="str">
        <f>IF(AND($AM701&lt;&gt;"",$AS701&lt;&gt;"✓"),SUMPRODUCT(($AM$11:$AM701&lt;&gt;"")*($AS$11:$AS701&lt;&gt;"✓")),"")</f>
        <v/>
      </c>
      <c r="AZ701" s="21" t="str">
        <f>IF(AND($AM701&lt;&gt;"",$AS701="✓"),SUMPRODUCT(($AM$11:$AM701&lt;&gt;"")*($AS$11:$AS701="✓")),"")</f>
        <v/>
      </c>
      <c r="BA701" s="21" t="str">
        <f>IF($AL701="","",$AL701&amp;"|"&amp;COUNTIF($AL$11:$AL701,$AL701))</f>
        <v/>
      </c>
    </row>
    <row r="702" spans="23:53" ht="15" customHeight="1" x14ac:dyDescent="0.25">
      <c r="W702" s="28" t="str">
        <f>IF(X702="","",IFERROR(INDEX($AL$11:$AL$4010,MATCH(692,$AY$11:$AY$4010,0)),""))</f>
        <v/>
      </c>
      <c r="X702" s="26" t="str">
        <f>IFERROR(INDEX($AM$11:$AM$4010,MATCH(692,$AY$11:$AY$4010,0)),"")</f>
        <v/>
      </c>
      <c r="Y702" s="25" t="str">
        <f>IF(X702="","",IFERROR(INDEX($AN$11:$AN$4010,MATCH(692,$AY$11:$AY$4010,0)),""))</f>
        <v/>
      </c>
      <c r="Z702" s="25" t="str">
        <f>IF(X702="","",IFERROR(INDEX($AO$11:$AO$4010,MATCH(692,$AY$11:$AY$4010,0)),""))</f>
        <v/>
      </c>
      <c r="AA702" s="24" t="str">
        <f>IF(X702="","",IFERROR(INDEX($AQ$11:$AQ$4010,MATCH(692,$AY$11:$AY$4010,0)),""))</f>
        <v/>
      </c>
      <c r="AB702" s="29" t="str">
        <f>IF(X702="","",IFERROR(INDEX($AR$11:$AR$4010,MATCH(692,$AY$11:$AY$4010,0)),""))</f>
        <v/>
      </c>
      <c r="AD702" s="30" t="str">
        <f>IF(AE702="","",IFERROR(INDEX($AL$11:$AL$4010,MATCH(692,$AZ$11:$AZ$4010,0)),""))</f>
        <v/>
      </c>
      <c r="AE702" s="26" t="str">
        <f>IFERROR(INDEX($AM$11:$AM$4010,MATCH(692,$AZ$11:$AZ$4010,0)),"")</f>
        <v/>
      </c>
      <c r="AF702" s="25" t="str">
        <f>IF(AE702="","",IFERROR(INDEX($AN$11:$AN$4010,MATCH(692,$AZ$11:$AZ$4010,0)),""))</f>
        <v/>
      </c>
      <c r="AG702" s="25" t="str">
        <f>IF(AE702="","",IFERROR(INDEX($AO$11:$AO$4010,MATCH(692,$AZ$11:$AZ$4010,0)),""))</f>
        <v/>
      </c>
      <c r="AH702" s="24" t="str">
        <f>IF(AE702="","",IFERROR(INDEX($AQ$11:$AQ$4010,MATCH(692,$AZ$11:$AZ$4010,0)),""))</f>
        <v/>
      </c>
      <c r="AI702" s="29" t="str">
        <f>IF(AE702="","",IFERROR(INDEX($AR$11:$AR$4010,MATCH(692,$AZ$11:$AZ$4010,0)),""))</f>
        <v/>
      </c>
      <c r="AJ702" s="29" t="str">
        <f>IF(AE702="","",IFERROR(INDEX($AT$11:$AT$4010,MATCH(692,$AZ$11:$AZ$4010,0)),""))</f>
        <v/>
      </c>
      <c r="AL702" s="31"/>
      <c r="AM702" s="26"/>
      <c r="AN702" s="32"/>
      <c r="AO702" s="32"/>
      <c r="AP702" s="24"/>
      <c r="AQ702" s="24"/>
      <c r="AR702" s="33"/>
      <c r="AS702" s="34"/>
      <c r="AT702" s="33"/>
      <c r="AV702" s="21">
        <f>IF(AND($AL702&lt;&gt;"",COUNTIF($AL$11:$AL702,$AL702)=1),1,0)</f>
        <v>0</v>
      </c>
      <c r="AW702" s="21">
        <f t="shared" si="107"/>
        <v>2</v>
      </c>
      <c r="AX702" s="21" t="str">
        <f t="shared" si="106"/>
        <v/>
      </c>
      <c r="AY702" s="21" t="str">
        <f>IF(AND($AM702&lt;&gt;"",$AS702&lt;&gt;"✓"),SUMPRODUCT(($AM$11:$AM702&lt;&gt;"")*($AS$11:$AS702&lt;&gt;"✓")),"")</f>
        <v/>
      </c>
      <c r="AZ702" s="21" t="str">
        <f>IF(AND($AM702&lt;&gt;"",$AS702="✓"),SUMPRODUCT(($AM$11:$AM702&lt;&gt;"")*($AS$11:$AS702="✓")),"")</f>
        <v/>
      </c>
      <c r="BA702" s="21" t="str">
        <f>IF($AL702="","",$AL702&amp;"|"&amp;COUNTIF($AL$11:$AL702,$AL702))</f>
        <v/>
      </c>
    </row>
    <row r="703" spans="23:53" ht="15" customHeight="1" x14ac:dyDescent="0.25">
      <c r="W703" s="14" t="str">
        <f>IF(X703="","",IFERROR(INDEX($AL$11:$AL$4010,MATCH(693,$AY$11:$AY$4010,0)),""))</f>
        <v/>
      </c>
      <c r="X703" s="12" t="str">
        <f>IFERROR(INDEX($AM$11:$AM$4010,MATCH(693,$AY$11:$AY$4010,0)),"")</f>
        <v/>
      </c>
      <c r="Y703" s="11" t="str">
        <f>IF(X703="","",IFERROR(INDEX($AN$11:$AN$4010,MATCH(693,$AY$11:$AY$4010,0)),""))</f>
        <v/>
      </c>
      <c r="Z703" s="11" t="str">
        <f>IF(X703="","",IFERROR(INDEX($AO$11:$AO$4010,MATCH(693,$AY$11:$AY$4010,0)),""))</f>
        <v/>
      </c>
      <c r="AA703" s="10" t="str">
        <f>IF(X703="","",IFERROR(INDEX($AQ$11:$AQ$4010,MATCH(693,$AY$11:$AY$4010,0)),""))</f>
        <v/>
      </c>
      <c r="AB703" s="15" t="str">
        <f>IF(X703="","",IFERROR(INDEX($AR$11:$AR$4010,MATCH(693,$AY$11:$AY$4010,0)),""))</f>
        <v/>
      </c>
      <c r="AD703" s="16" t="str">
        <f>IF(AE703="","",IFERROR(INDEX($AL$11:$AL$4010,MATCH(693,$AZ$11:$AZ$4010,0)),""))</f>
        <v/>
      </c>
      <c r="AE703" s="12" t="str">
        <f>IFERROR(INDEX($AM$11:$AM$4010,MATCH(693,$AZ$11:$AZ$4010,0)),"")</f>
        <v/>
      </c>
      <c r="AF703" s="11" t="str">
        <f>IF(AE703="","",IFERROR(INDEX($AN$11:$AN$4010,MATCH(693,$AZ$11:$AZ$4010,0)),""))</f>
        <v/>
      </c>
      <c r="AG703" s="11" t="str">
        <f>IF(AE703="","",IFERROR(INDEX($AO$11:$AO$4010,MATCH(693,$AZ$11:$AZ$4010,0)),""))</f>
        <v/>
      </c>
      <c r="AH703" s="10" t="str">
        <f>IF(AE703="","",IFERROR(INDEX($AQ$11:$AQ$4010,MATCH(693,$AZ$11:$AZ$4010,0)),""))</f>
        <v/>
      </c>
      <c r="AI703" s="15" t="str">
        <f>IF(AE703="","",IFERROR(INDEX($AR$11:$AR$4010,MATCH(693,$AZ$11:$AZ$4010,0)),""))</f>
        <v/>
      </c>
      <c r="AJ703" s="15" t="str">
        <f>IF(AE703="","",IFERROR(INDEX($AT$11:$AT$4010,MATCH(693,$AZ$11:$AZ$4010,0)),""))</f>
        <v/>
      </c>
      <c r="AL703" s="17"/>
      <c r="AM703" s="12"/>
      <c r="AN703" s="18"/>
      <c r="AO703" s="18"/>
      <c r="AP703" s="10"/>
      <c r="AQ703" s="10"/>
      <c r="AR703" s="19"/>
      <c r="AS703" s="20"/>
      <c r="AT703" s="19"/>
      <c r="AV703" s="21">
        <f>IF(AND($AL703&lt;&gt;"",COUNTIF($AL$11:$AL703,$AL703)=1),1,0)</f>
        <v>0</v>
      </c>
      <c r="AW703" s="21">
        <f t="shared" si="107"/>
        <v>2</v>
      </c>
      <c r="AX703" s="21" t="str">
        <f t="shared" si="106"/>
        <v/>
      </c>
      <c r="AY703" s="21" t="str">
        <f>IF(AND($AM703&lt;&gt;"",$AS703&lt;&gt;"✓"),SUMPRODUCT(($AM$11:$AM703&lt;&gt;"")*($AS$11:$AS703&lt;&gt;"✓")),"")</f>
        <v/>
      </c>
      <c r="AZ703" s="21" t="str">
        <f>IF(AND($AM703&lt;&gt;"",$AS703="✓"),SUMPRODUCT(($AM$11:$AM703&lt;&gt;"")*($AS$11:$AS703="✓")),"")</f>
        <v/>
      </c>
      <c r="BA703" s="21" t="str">
        <f>IF($AL703="","",$AL703&amp;"|"&amp;COUNTIF($AL$11:$AL703,$AL703))</f>
        <v/>
      </c>
    </row>
    <row r="704" spans="23:53" ht="15" customHeight="1" x14ac:dyDescent="0.25">
      <c r="W704" s="28" t="str">
        <f>IF(X704="","",IFERROR(INDEX($AL$11:$AL$4010,MATCH(694,$AY$11:$AY$4010,0)),""))</f>
        <v/>
      </c>
      <c r="X704" s="26" t="str">
        <f>IFERROR(INDEX($AM$11:$AM$4010,MATCH(694,$AY$11:$AY$4010,0)),"")</f>
        <v/>
      </c>
      <c r="Y704" s="25" t="str">
        <f>IF(X704="","",IFERROR(INDEX($AN$11:$AN$4010,MATCH(694,$AY$11:$AY$4010,0)),""))</f>
        <v/>
      </c>
      <c r="Z704" s="25" t="str">
        <f>IF(X704="","",IFERROR(INDEX($AO$11:$AO$4010,MATCH(694,$AY$11:$AY$4010,0)),""))</f>
        <v/>
      </c>
      <c r="AA704" s="24" t="str">
        <f>IF(X704="","",IFERROR(INDEX($AQ$11:$AQ$4010,MATCH(694,$AY$11:$AY$4010,0)),""))</f>
        <v/>
      </c>
      <c r="AB704" s="29" t="str">
        <f>IF(X704="","",IFERROR(INDEX($AR$11:$AR$4010,MATCH(694,$AY$11:$AY$4010,0)),""))</f>
        <v/>
      </c>
      <c r="AD704" s="30" t="str">
        <f>IF(AE704="","",IFERROR(INDEX($AL$11:$AL$4010,MATCH(694,$AZ$11:$AZ$4010,0)),""))</f>
        <v/>
      </c>
      <c r="AE704" s="26" t="str">
        <f>IFERROR(INDEX($AM$11:$AM$4010,MATCH(694,$AZ$11:$AZ$4010,0)),"")</f>
        <v/>
      </c>
      <c r="AF704" s="25" t="str">
        <f>IF(AE704="","",IFERROR(INDEX($AN$11:$AN$4010,MATCH(694,$AZ$11:$AZ$4010,0)),""))</f>
        <v/>
      </c>
      <c r="AG704" s="25" t="str">
        <f>IF(AE704="","",IFERROR(INDEX($AO$11:$AO$4010,MATCH(694,$AZ$11:$AZ$4010,0)),""))</f>
        <v/>
      </c>
      <c r="AH704" s="24" t="str">
        <f>IF(AE704="","",IFERROR(INDEX($AQ$11:$AQ$4010,MATCH(694,$AZ$11:$AZ$4010,0)),""))</f>
        <v/>
      </c>
      <c r="AI704" s="29" t="str">
        <f>IF(AE704="","",IFERROR(INDEX($AR$11:$AR$4010,MATCH(694,$AZ$11:$AZ$4010,0)),""))</f>
        <v/>
      </c>
      <c r="AJ704" s="29" t="str">
        <f>IF(AE704="","",IFERROR(INDEX($AT$11:$AT$4010,MATCH(694,$AZ$11:$AZ$4010,0)),""))</f>
        <v/>
      </c>
      <c r="AL704" s="31"/>
      <c r="AM704" s="26"/>
      <c r="AN704" s="32"/>
      <c r="AO704" s="32"/>
      <c r="AP704" s="24"/>
      <c r="AQ704" s="24"/>
      <c r="AR704" s="33"/>
      <c r="AS704" s="34"/>
      <c r="AT704" s="33"/>
      <c r="AV704" s="21">
        <f>IF(AND($AL704&lt;&gt;"",COUNTIF($AL$11:$AL704,$AL704)=1),1,0)</f>
        <v>0</v>
      </c>
      <c r="AW704" s="21">
        <f t="shared" si="107"/>
        <v>2</v>
      </c>
      <c r="AX704" s="21" t="str">
        <f t="shared" si="106"/>
        <v/>
      </c>
      <c r="AY704" s="21" t="str">
        <f>IF(AND($AM704&lt;&gt;"",$AS704&lt;&gt;"✓"),SUMPRODUCT(($AM$11:$AM704&lt;&gt;"")*($AS$11:$AS704&lt;&gt;"✓")),"")</f>
        <v/>
      </c>
      <c r="AZ704" s="21" t="str">
        <f>IF(AND($AM704&lt;&gt;"",$AS704="✓"),SUMPRODUCT(($AM$11:$AM704&lt;&gt;"")*($AS$11:$AS704="✓")),"")</f>
        <v/>
      </c>
      <c r="BA704" s="21" t="str">
        <f>IF($AL704="","",$AL704&amp;"|"&amp;COUNTIF($AL$11:$AL704,$AL704))</f>
        <v/>
      </c>
    </row>
    <row r="705" spans="23:53" ht="15" customHeight="1" x14ac:dyDescent="0.25">
      <c r="W705" s="14" t="str">
        <f>IF(X705="","",IFERROR(INDEX($AL$11:$AL$4010,MATCH(695,$AY$11:$AY$4010,0)),""))</f>
        <v/>
      </c>
      <c r="X705" s="12" t="str">
        <f>IFERROR(INDEX($AM$11:$AM$4010,MATCH(695,$AY$11:$AY$4010,0)),"")</f>
        <v/>
      </c>
      <c r="Y705" s="11" t="str">
        <f>IF(X705="","",IFERROR(INDEX($AN$11:$AN$4010,MATCH(695,$AY$11:$AY$4010,0)),""))</f>
        <v/>
      </c>
      <c r="Z705" s="11" t="str">
        <f>IF(X705="","",IFERROR(INDEX($AO$11:$AO$4010,MATCH(695,$AY$11:$AY$4010,0)),""))</f>
        <v/>
      </c>
      <c r="AA705" s="10" t="str">
        <f>IF(X705="","",IFERROR(INDEX($AQ$11:$AQ$4010,MATCH(695,$AY$11:$AY$4010,0)),""))</f>
        <v/>
      </c>
      <c r="AB705" s="15" t="str">
        <f>IF(X705="","",IFERROR(INDEX($AR$11:$AR$4010,MATCH(695,$AY$11:$AY$4010,0)),""))</f>
        <v/>
      </c>
      <c r="AD705" s="16" t="str">
        <f>IF(AE705="","",IFERROR(INDEX($AL$11:$AL$4010,MATCH(695,$AZ$11:$AZ$4010,0)),""))</f>
        <v/>
      </c>
      <c r="AE705" s="12" t="str">
        <f>IFERROR(INDEX($AM$11:$AM$4010,MATCH(695,$AZ$11:$AZ$4010,0)),"")</f>
        <v/>
      </c>
      <c r="AF705" s="11" t="str">
        <f>IF(AE705="","",IFERROR(INDEX($AN$11:$AN$4010,MATCH(695,$AZ$11:$AZ$4010,0)),""))</f>
        <v/>
      </c>
      <c r="AG705" s="11" t="str">
        <f>IF(AE705="","",IFERROR(INDEX($AO$11:$AO$4010,MATCH(695,$AZ$11:$AZ$4010,0)),""))</f>
        <v/>
      </c>
      <c r="AH705" s="10" t="str">
        <f>IF(AE705="","",IFERROR(INDEX($AQ$11:$AQ$4010,MATCH(695,$AZ$11:$AZ$4010,0)),""))</f>
        <v/>
      </c>
      <c r="AI705" s="15" t="str">
        <f>IF(AE705="","",IFERROR(INDEX($AR$11:$AR$4010,MATCH(695,$AZ$11:$AZ$4010,0)),""))</f>
        <v/>
      </c>
      <c r="AJ705" s="15" t="str">
        <f>IF(AE705="","",IFERROR(INDEX($AT$11:$AT$4010,MATCH(695,$AZ$11:$AZ$4010,0)),""))</f>
        <v/>
      </c>
      <c r="AL705" s="17"/>
      <c r="AM705" s="12"/>
      <c r="AN705" s="18"/>
      <c r="AO705" s="18"/>
      <c r="AP705" s="10"/>
      <c r="AQ705" s="10"/>
      <c r="AR705" s="19"/>
      <c r="AS705" s="20"/>
      <c r="AT705" s="19"/>
      <c r="AV705" s="21">
        <f>IF(AND($AL705&lt;&gt;"",COUNTIF($AL$11:$AL705,$AL705)=1),1,0)</f>
        <v>0</v>
      </c>
      <c r="AW705" s="21">
        <f t="shared" si="107"/>
        <v>2</v>
      </c>
      <c r="AX705" s="21" t="str">
        <f t="shared" si="106"/>
        <v/>
      </c>
      <c r="AY705" s="21" t="str">
        <f>IF(AND($AM705&lt;&gt;"",$AS705&lt;&gt;"✓"),SUMPRODUCT(($AM$11:$AM705&lt;&gt;"")*($AS$11:$AS705&lt;&gt;"✓")),"")</f>
        <v/>
      </c>
      <c r="AZ705" s="21" t="str">
        <f>IF(AND($AM705&lt;&gt;"",$AS705="✓"),SUMPRODUCT(($AM$11:$AM705&lt;&gt;"")*($AS$11:$AS705="✓")),"")</f>
        <v/>
      </c>
      <c r="BA705" s="21" t="str">
        <f>IF($AL705="","",$AL705&amp;"|"&amp;COUNTIF($AL$11:$AL705,$AL705))</f>
        <v/>
      </c>
    </row>
    <row r="706" spans="23:53" ht="15" customHeight="1" x14ac:dyDescent="0.25">
      <c r="W706" s="28" t="str">
        <f>IF(X706="","",IFERROR(INDEX($AL$11:$AL$4010,MATCH(696,$AY$11:$AY$4010,0)),""))</f>
        <v/>
      </c>
      <c r="X706" s="26" t="str">
        <f>IFERROR(INDEX($AM$11:$AM$4010,MATCH(696,$AY$11:$AY$4010,0)),"")</f>
        <v/>
      </c>
      <c r="Y706" s="25" t="str">
        <f>IF(X706="","",IFERROR(INDEX($AN$11:$AN$4010,MATCH(696,$AY$11:$AY$4010,0)),""))</f>
        <v/>
      </c>
      <c r="Z706" s="25" t="str">
        <f>IF(X706="","",IFERROR(INDEX($AO$11:$AO$4010,MATCH(696,$AY$11:$AY$4010,0)),""))</f>
        <v/>
      </c>
      <c r="AA706" s="24" t="str">
        <f>IF(X706="","",IFERROR(INDEX($AQ$11:$AQ$4010,MATCH(696,$AY$11:$AY$4010,0)),""))</f>
        <v/>
      </c>
      <c r="AB706" s="29" t="str">
        <f>IF(X706="","",IFERROR(INDEX($AR$11:$AR$4010,MATCH(696,$AY$11:$AY$4010,0)),""))</f>
        <v/>
      </c>
      <c r="AD706" s="30" t="str">
        <f>IF(AE706="","",IFERROR(INDEX($AL$11:$AL$4010,MATCH(696,$AZ$11:$AZ$4010,0)),""))</f>
        <v/>
      </c>
      <c r="AE706" s="26" t="str">
        <f>IFERROR(INDEX($AM$11:$AM$4010,MATCH(696,$AZ$11:$AZ$4010,0)),"")</f>
        <v/>
      </c>
      <c r="AF706" s="25" t="str">
        <f>IF(AE706="","",IFERROR(INDEX($AN$11:$AN$4010,MATCH(696,$AZ$11:$AZ$4010,0)),""))</f>
        <v/>
      </c>
      <c r="AG706" s="25" t="str">
        <f>IF(AE706="","",IFERROR(INDEX($AO$11:$AO$4010,MATCH(696,$AZ$11:$AZ$4010,0)),""))</f>
        <v/>
      </c>
      <c r="AH706" s="24" t="str">
        <f>IF(AE706="","",IFERROR(INDEX($AQ$11:$AQ$4010,MATCH(696,$AZ$11:$AZ$4010,0)),""))</f>
        <v/>
      </c>
      <c r="AI706" s="29" t="str">
        <f>IF(AE706="","",IFERROR(INDEX($AR$11:$AR$4010,MATCH(696,$AZ$11:$AZ$4010,0)),""))</f>
        <v/>
      </c>
      <c r="AJ706" s="29" t="str">
        <f>IF(AE706="","",IFERROR(INDEX($AT$11:$AT$4010,MATCH(696,$AZ$11:$AZ$4010,0)),""))</f>
        <v/>
      </c>
      <c r="AL706" s="31"/>
      <c r="AM706" s="26"/>
      <c r="AN706" s="32"/>
      <c r="AO706" s="32"/>
      <c r="AP706" s="24"/>
      <c r="AQ706" s="24"/>
      <c r="AR706" s="33"/>
      <c r="AS706" s="34"/>
      <c r="AT706" s="33"/>
      <c r="AV706" s="21">
        <f>IF(AND($AL706&lt;&gt;"",COUNTIF($AL$11:$AL706,$AL706)=1),1,0)</f>
        <v>0</v>
      </c>
      <c r="AW706" s="21">
        <f t="shared" si="107"/>
        <v>2</v>
      </c>
      <c r="AX706" s="21" t="str">
        <f t="shared" si="106"/>
        <v/>
      </c>
      <c r="AY706" s="21" t="str">
        <f>IF(AND($AM706&lt;&gt;"",$AS706&lt;&gt;"✓"),SUMPRODUCT(($AM$11:$AM706&lt;&gt;"")*($AS$11:$AS706&lt;&gt;"✓")),"")</f>
        <v/>
      </c>
      <c r="AZ706" s="21" t="str">
        <f>IF(AND($AM706&lt;&gt;"",$AS706="✓"),SUMPRODUCT(($AM$11:$AM706&lt;&gt;"")*($AS$11:$AS706="✓")),"")</f>
        <v/>
      </c>
      <c r="BA706" s="21" t="str">
        <f>IF($AL706="","",$AL706&amp;"|"&amp;COUNTIF($AL$11:$AL706,$AL706))</f>
        <v/>
      </c>
    </row>
    <row r="707" spans="23:53" ht="15" customHeight="1" x14ac:dyDescent="0.25">
      <c r="W707" s="14" t="str">
        <f>IF(X707="","",IFERROR(INDEX($AL$11:$AL$4010,MATCH(697,$AY$11:$AY$4010,0)),""))</f>
        <v/>
      </c>
      <c r="X707" s="12" t="str">
        <f>IFERROR(INDEX($AM$11:$AM$4010,MATCH(697,$AY$11:$AY$4010,0)),"")</f>
        <v/>
      </c>
      <c r="Y707" s="11" t="str">
        <f>IF(X707="","",IFERROR(INDEX($AN$11:$AN$4010,MATCH(697,$AY$11:$AY$4010,0)),""))</f>
        <v/>
      </c>
      <c r="Z707" s="11" t="str">
        <f>IF(X707="","",IFERROR(INDEX($AO$11:$AO$4010,MATCH(697,$AY$11:$AY$4010,0)),""))</f>
        <v/>
      </c>
      <c r="AA707" s="10" t="str">
        <f>IF(X707="","",IFERROR(INDEX($AQ$11:$AQ$4010,MATCH(697,$AY$11:$AY$4010,0)),""))</f>
        <v/>
      </c>
      <c r="AB707" s="15" t="str">
        <f>IF(X707="","",IFERROR(INDEX($AR$11:$AR$4010,MATCH(697,$AY$11:$AY$4010,0)),""))</f>
        <v/>
      </c>
      <c r="AD707" s="16" t="str">
        <f>IF(AE707="","",IFERROR(INDEX($AL$11:$AL$4010,MATCH(697,$AZ$11:$AZ$4010,0)),""))</f>
        <v/>
      </c>
      <c r="AE707" s="12" t="str">
        <f>IFERROR(INDEX($AM$11:$AM$4010,MATCH(697,$AZ$11:$AZ$4010,0)),"")</f>
        <v/>
      </c>
      <c r="AF707" s="11" t="str">
        <f>IF(AE707="","",IFERROR(INDEX($AN$11:$AN$4010,MATCH(697,$AZ$11:$AZ$4010,0)),""))</f>
        <v/>
      </c>
      <c r="AG707" s="11" t="str">
        <f>IF(AE707="","",IFERROR(INDEX($AO$11:$AO$4010,MATCH(697,$AZ$11:$AZ$4010,0)),""))</f>
        <v/>
      </c>
      <c r="AH707" s="10" t="str">
        <f>IF(AE707="","",IFERROR(INDEX($AQ$11:$AQ$4010,MATCH(697,$AZ$11:$AZ$4010,0)),""))</f>
        <v/>
      </c>
      <c r="AI707" s="15" t="str">
        <f>IF(AE707="","",IFERROR(INDEX($AR$11:$AR$4010,MATCH(697,$AZ$11:$AZ$4010,0)),""))</f>
        <v/>
      </c>
      <c r="AJ707" s="15" t="str">
        <f>IF(AE707="","",IFERROR(INDEX($AT$11:$AT$4010,MATCH(697,$AZ$11:$AZ$4010,0)),""))</f>
        <v/>
      </c>
      <c r="AL707" s="17"/>
      <c r="AM707" s="12"/>
      <c r="AN707" s="18"/>
      <c r="AO707" s="18"/>
      <c r="AP707" s="10"/>
      <c r="AQ707" s="10"/>
      <c r="AR707" s="19"/>
      <c r="AS707" s="20"/>
      <c r="AT707" s="19"/>
      <c r="AV707" s="21">
        <f>IF(AND($AL707&lt;&gt;"",COUNTIF($AL$11:$AL707,$AL707)=1),1,0)</f>
        <v>0</v>
      </c>
      <c r="AW707" s="21">
        <f t="shared" si="107"/>
        <v>2</v>
      </c>
      <c r="AX707" s="21" t="str">
        <f t="shared" si="106"/>
        <v/>
      </c>
      <c r="AY707" s="21" t="str">
        <f>IF(AND($AM707&lt;&gt;"",$AS707&lt;&gt;"✓"),SUMPRODUCT(($AM$11:$AM707&lt;&gt;"")*($AS$11:$AS707&lt;&gt;"✓")),"")</f>
        <v/>
      </c>
      <c r="AZ707" s="21" t="str">
        <f>IF(AND($AM707&lt;&gt;"",$AS707="✓"),SUMPRODUCT(($AM$11:$AM707&lt;&gt;"")*($AS$11:$AS707="✓")),"")</f>
        <v/>
      </c>
      <c r="BA707" s="21" t="str">
        <f>IF($AL707="","",$AL707&amp;"|"&amp;COUNTIF($AL$11:$AL707,$AL707))</f>
        <v/>
      </c>
    </row>
    <row r="708" spans="23:53" ht="15" customHeight="1" x14ac:dyDescent="0.25">
      <c r="W708" s="28" t="str">
        <f>IF(X708="","",IFERROR(INDEX($AL$11:$AL$4010,MATCH(698,$AY$11:$AY$4010,0)),""))</f>
        <v/>
      </c>
      <c r="X708" s="26" t="str">
        <f>IFERROR(INDEX($AM$11:$AM$4010,MATCH(698,$AY$11:$AY$4010,0)),"")</f>
        <v/>
      </c>
      <c r="Y708" s="25" t="str">
        <f>IF(X708="","",IFERROR(INDEX($AN$11:$AN$4010,MATCH(698,$AY$11:$AY$4010,0)),""))</f>
        <v/>
      </c>
      <c r="Z708" s="25" t="str">
        <f>IF(X708="","",IFERROR(INDEX($AO$11:$AO$4010,MATCH(698,$AY$11:$AY$4010,0)),""))</f>
        <v/>
      </c>
      <c r="AA708" s="24" t="str">
        <f>IF(X708="","",IFERROR(INDEX($AQ$11:$AQ$4010,MATCH(698,$AY$11:$AY$4010,0)),""))</f>
        <v/>
      </c>
      <c r="AB708" s="29" t="str">
        <f>IF(X708="","",IFERROR(INDEX($AR$11:$AR$4010,MATCH(698,$AY$11:$AY$4010,0)),""))</f>
        <v/>
      </c>
      <c r="AD708" s="30" t="str">
        <f>IF(AE708="","",IFERROR(INDEX($AL$11:$AL$4010,MATCH(698,$AZ$11:$AZ$4010,0)),""))</f>
        <v/>
      </c>
      <c r="AE708" s="26" t="str">
        <f>IFERROR(INDEX($AM$11:$AM$4010,MATCH(698,$AZ$11:$AZ$4010,0)),"")</f>
        <v/>
      </c>
      <c r="AF708" s="25" t="str">
        <f>IF(AE708="","",IFERROR(INDEX($AN$11:$AN$4010,MATCH(698,$AZ$11:$AZ$4010,0)),""))</f>
        <v/>
      </c>
      <c r="AG708" s="25" t="str">
        <f>IF(AE708="","",IFERROR(INDEX($AO$11:$AO$4010,MATCH(698,$AZ$11:$AZ$4010,0)),""))</f>
        <v/>
      </c>
      <c r="AH708" s="24" t="str">
        <f>IF(AE708="","",IFERROR(INDEX($AQ$11:$AQ$4010,MATCH(698,$AZ$11:$AZ$4010,0)),""))</f>
        <v/>
      </c>
      <c r="AI708" s="29" t="str">
        <f>IF(AE708="","",IFERROR(INDEX($AR$11:$AR$4010,MATCH(698,$AZ$11:$AZ$4010,0)),""))</f>
        <v/>
      </c>
      <c r="AJ708" s="29" t="str">
        <f>IF(AE708="","",IFERROR(INDEX($AT$11:$AT$4010,MATCH(698,$AZ$11:$AZ$4010,0)),""))</f>
        <v/>
      </c>
      <c r="AL708" s="31"/>
      <c r="AM708" s="26"/>
      <c r="AN708" s="32"/>
      <c r="AO708" s="32"/>
      <c r="AP708" s="24"/>
      <c r="AQ708" s="24"/>
      <c r="AR708" s="33"/>
      <c r="AS708" s="34"/>
      <c r="AT708" s="33"/>
      <c r="AV708" s="21">
        <f>IF(AND($AL708&lt;&gt;"",COUNTIF($AL$11:$AL708,$AL708)=1),1,0)</f>
        <v>0</v>
      </c>
      <c r="AW708" s="21">
        <f t="shared" si="107"/>
        <v>2</v>
      </c>
      <c r="AX708" s="21" t="str">
        <f t="shared" si="106"/>
        <v/>
      </c>
      <c r="AY708" s="21" t="str">
        <f>IF(AND($AM708&lt;&gt;"",$AS708&lt;&gt;"✓"),SUMPRODUCT(($AM$11:$AM708&lt;&gt;"")*($AS$11:$AS708&lt;&gt;"✓")),"")</f>
        <v/>
      </c>
      <c r="AZ708" s="21" t="str">
        <f>IF(AND($AM708&lt;&gt;"",$AS708="✓"),SUMPRODUCT(($AM$11:$AM708&lt;&gt;"")*($AS$11:$AS708="✓")),"")</f>
        <v/>
      </c>
      <c r="BA708" s="21" t="str">
        <f>IF($AL708="","",$AL708&amp;"|"&amp;COUNTIF($AL$11:$AL708,$AL708))</f>
        <v/>
      </c>
    </row>
    <row r="709" spans="23:53" ht="15" customHeight="1" x14ac:dyDescent="0.25">
      <c r="W709" s="14" t="str">
        <f>IF(X709="","",IFERROR(INDEX($AL$11:$AL$4010,MATCH(699,$AY$11:$AY$4010,0)),""))</f>
        <v/>
      </c>
      <c r="X709" s="12" t="str">
        <f>IFERROR(INDEX($AM$11:$AM$4010,MATCH(699,$AY$11:$AY$4010,0)),"")</f>
        <v/>
      </c>
      <c r="Y709" s="11" t="str">
        <f>IF(X709="","",IFERROR(INDEX($AN$11:$AN$4010,MATCH(699,$AY$11:$AY$4010,0)),""))</f>
        <v/>
      </c>
      <c r="Z709" s="11" t="str">
        <f>IF(X709="","",IFERROR(INDEX($AO$11:$AO$4010,MATCH(699,$AY$11:$AY$4010,0)),""))</f>
        <v/>
      </c>
      <c r="AA709" s="10" t="str">
        <f>IF(X709="","",IFERROR(INDEX($AQ$11:$AQ$4010,MATCH(699,$AY$11:$AY$4010,0)),""))</f>
        <v/>
      </c>
      <c r="AB709" s="15" t="str">
        <f>IF(X709="","",IFERROR(INDEX($AR$11:$AR$4010,MATCH(699,$AY$11:$AY$4010,0)),""))</f>
        <v/>
      </c>
      <c r="AD709" s="16" t="str">
        <f>IF(AE709="","",IFERROR(INDEX($AL$11:$AL$4010,MATCH(699,$AZ$11:$AZ$4010,0)),""))</f>
        <v/>
      </c>
      <c r="AE709" s="12" t="str">
        <f>IFERROR(INDEX($AM$11:$AM$4010,MATCH(699,$AZ$11:$AZ$4010,0)),"")</f>
        <v/>
      </c>
      <c r="AF709" s="11" t="str">
        <f>IF(AE709="","",IFERROR(INDEX($AN$11:$AN$4010,MATCH(699,$AZ$11:$AZ$4010,0)),""))</f>
        <v/>
      </c>
      <c r="AG709" s="11" t="str">
        <f>IF(AE709="","",IFERROR(INDEX($AO$11:$AO$4010,MATCH(699,$AZ$11:$AZ$4010,0)),""))</f>
        <v/>
      </c>
      <c r="AH709" s="10" t="str">
        <f>IF(AE709="","",IFERROR(INDEX($AQ$11:$AQ$4010,MATCH(699,$AZ$11:$AZ$4010,0)),""))</f>
        <v/>
      </c>
      <c r="AI709" s="15" t="str">
        <f>IF(AE709="","",IFERROR(INDEX($AR$11:$AR$4010,MATCH(699,$AZ$11:$AZ$4010,0)),""))</f>
        <v/>
      </c>
      <c r="AJ709" s="15" t="str">
        <f>IF(AE709="","",IFERROR(INDEX($AT$11:$AT$4010,MATCH(699,$AZ$11:$AZ$4010,0)),""))</f>
        <v/>
      </c>
      <c r="AL709" s="17"/>
      <c r="AM709" s="12"/>
      <c r="AN709" s="18"/>
      <c r="AO709" s="18"/>
      <c r="AP709" s="10"/>
      <c r="AQ709" s="10"/>
      <c r="AR709" s="19"/>
      <c r="AS709" s="20"/>
      <c r="AT709" s="19"/>
      <c r="AV709" s="21">
        <f>IF(AND($AL709&lt;&gt;"",COUNTIF($AL$11:$AL709,$AL709)=1),1,0)</f>
        <v>0</v>
      </c>
      <c r="AW709" s="21">
        <f t="shared" si="107"/>
        <v>2</v>
      </c>
      <c r="AX709" s="21" t="str">
        <f t="shared" si="106"/>
        <v/>
      </c>
      <c r="AY709" s="21" t="str">
        <f>IF(AND($AM709&lt;&gt;"",$AS709&lt;&gt;"✓"),SUMPRODUCT(($AM$11:$AM709&lt;&gt;"")*($AS$11:$AS709&lt;&gt;"✓")),"")</f>
        <v/>
      </c>
      <c r="AZ709" s="21" t="str">
        <f>IF(AND($AM709&lt;&gt;"",$AS709="✓"),SUMPRODUCT(($AM$11:$AM709&lt;&gt;"")*($AS$11:$AS709="✓")),"")</f>
        <v/>
      </c>
      <c r="BA709" s="21" t="str">
        <f>IF($AL709="","",$AL709&amp;"|"&amp;COUNTIF($AL$11:$AL709,$AL709))</f>
        <v/>
      </c>
    </row>
    <row r="710" spans="23:53" ht="15" customHeight="1" x14ac:dyDescent="0.25">
      <c r="W710" s="28" t="str">
        <f>IF(X710="","",IFERROR(INDEX($AL$11:$AL$4010,MATCH(700,$AY$11:$AY$4010,0)),""))</f>
        <v/>
      </c>
      <c r="X710" s="26" t="str">
        <f>IFERROR(INDEX($AM$11:$AM$4010,MATCH(700,$AY$11:$AY$4010,0)),"")</f>
        <v/>
      </c>
      <c r="Y710" s="25" t="str">
        <f>IF(X710="","",IFERROR(INDEX($AN$11:$AN$4010,MATCH(700,$AY$11:$AY$4010,0)),""))</f>
        <v/>
      </c>
      <c r="Z710" s="25" t="str">
        <f>IF(X710="","",IFERROR(INDEX($AO$11:$AO$4010,MATCH(700,$AY$11:$AY$4010,0)),""))</f>
        <v/>
      </c>
      <c r="AA710" s="24" t="str">
        <f>IF(X710="","",IFERROR(INDEX($AQ$11:$AQ$4010,MATCH(700,$AY$11:$AY$4010,0)),""))</f>
        <v/>
      </c>
      <c r="AB710" s="29" t="str">
        <f>IF(X710="","",IFERROR(INDEX($AR$11:$AR$4010,MATCH(700,$AY$11:$AY$4010,0)),""))</f>
        <v/>
      </c>
      <c r="AD710" s="30" t="str">
        <f>IF(AE710="","",IFERROR(INDEX($AL$11:$AL$4010,MATCH(700,$AZ$11:$AZ$4010,0)),""))</f>
        <v/>
      </c>
      <c r="AE710" s="26" t="str">
        <f>IFERROR(INDEX($AM$11:$AM$4010,MATCH(700,$AZ$11:$AZ$4010,0)),"")</f>
        <v/>
      </c>
      <c r="AF710" s="25" t="str">
        <f>IF(AE710="","",IFERROR(INDEX($AN$11:$AN$4010,MATCH(700,$AZ$11:$AZ$4010,0)),""))</f>
        <v/>
      </c>
      <c r="AG710" s="25" t="str">
        <f>IF(AE710="","",IFERROR(INDEX($AO$11:$AO$4010,MATCH(700,$AZ$11:$AZ$4010,0)),""))</f>
        <v/>
      </c>
      <c r="AH710" s="24" t="str">
        <f>IF(AE710="","",IFERROR(INDEX($AQ$11:$AQ$4010,MATCH(700,$AZ$11:$AZ$4010,0)),""))</f>
        <v/>
      </c>
      <c r="AI710" s="29" t="str">
        <f>IF(AE710="","",IFERROR(INDEX($AR$11:$AR$4010,MATCH(700,$AZ$11:$AZ$4010,0)),""))</f>
        <v/>
      </c>
      <c r="AJ710" s="29" t="str">
        <f>IF(AE710="","",IFERROR(INDEX($AT$11:$AT$4010,MATCH(700,$AZ$11:$AZ$4010,0)),""))</f>
        <v/>
      </c>
      <c r="AL710" s="31"/>
      <c r="AM710" s="26"/>
      <c r="AN710" s="32"/>
      <c r="AO710" s="32"/>
      <c r="AP710" s="24"/>
      <c r="AQ710" s="24"/>
      <c r="AR710" s="33"/>
      <c r="AS710" s="34"/>
      <c r="AT710" s="33"/>
      <c r="AV710" s="21">
        <f>IF(AND($AL710&lt;&gt;"",COUNTIF($AL$11:$AL710,$AL710)=1),1,0)</f>
        <v>0</v>
      </c>
      <c r="AW710" s="21">
        <f t="shared" si="107"/>
        <v>2</v>
      </c>
      <c r="AX710" s="21" t="str">
        <f t="shared" si="106"/>
        <v/>
      </c>
      <c r="AY710" s="21" t="str">
        <f>IF(AND($AM710&lt;&gt;"",$AS710&lt;&gt;"✓"),SUMPRODUCT(($AM$11:$AM710&lt;&gt;"")*($AS$11:$AS710&lt;&gt;"✓")),"")</f>
        <v/>
      </c>
      <c r="AZ710" s="21" t="str">
        <f>IF(AND($AM710&lt;&gt;"",$AS710="✓"),SUMPRODUCT(($AM$11:$AM710&lt;&gt;"")*($AS$11:$AS710="✓")),"")</f>
        <v/>
      </c>
      <c r="BA710" s="21" t="str">
        <f>IF($AL710="","",$AL710&amp;"|"&amp;COUNTIF($AL$11:$AL710,$AL710))</f>
        <v/>
      </c>
    </row>
    <row r="711" spans="23:53" ht="15" customHeight="1" x14ac:dyDescent="0.25">
      <c r="W711" s="14" t="str">
        <f>IF(X711="","",IFERROR(INDEX($AL$11:$AL$4010,MATCH(701,$AY$11:$AY$4010,0)),""))</f>
        <v/>
      </c>
      <c r="X711" s="12" t="str">
        <f>IFERROR(INDEX($AM$11:$AM$4010,MATCH(701,$AY$11:$AY$4010,0)),"")</f>
        <v/>
      </c>
      <c r="Y711" s="11" t="str">
        <f>IF(X711="","",IFERROR(INDEX($AN$11:$AN$4010,MATCH(701,$AY$11:$AY$4010,0)),""))</f>
        <v/>
      </c>
      <c r="Z711" s="11" t="str">
        <f>IF(X711="","",IFERROR(INDEX($AO$11:$AO$4010,MATCH(701,$AY$11:$AY$4010,0)),""))</f>
        <v/>
      </c>
      <c r="AA711" s="10" t="str">
        <f>IF(X711="","",IFERROR(INDEX($AQ$11:$AQ$4010,MATCH(701,$AY$11:$AY$4010,0)),""))</f>
        <v/>
      </c>
      <c r="AB711" s="15" t="str">
        <f>IF(X711="","",IFERROR(INDEX($AR$11:$AR$4010,MATCH(701,$AY$11:$AY$4010,0)),""))</f>
        <v/>
      </c>
      <c r="AD711" s="16" t="str">
        <f>IF(AE711="","",IFERROR(INDEX($AL$11:$AL$4010,MATCH(701,$AZ$11:$AZ$4010,0)),""))</f>
        <v/>
      </c>
      <c r="AE711" s="12" t="str">
        <f>IFERROR(INDEX($AM$11:$AM$4010,MATCH(701,$AZ$11:$AZ$4010,0)),"")</f>
        <v/>
      </c>
      <c r="AF711" s="11" t="str">
        <f>IF(AE711="","",IFERROR(INDEX($AN$11:$AN$4010,MATCH(701,$AZ$11:$AZ$4010,0)),""))</f>
        <v/>
      </c>
      <c r="AG711" s="11" t="str">
        <f>IF(AE711="","",IFERROR(INDEX($AO$11:$AO$4010,MATCH(701,$AZ$11:$AZ$4010,0)),""))</f>
        <v/>
      </c>
      <c r="AH711" s="10" t="str">
        <f>IF(AE711="","",IFERROR(INDEX($AQ$11:$AQ$4010,MATCH(701,$AZ$11:$AZ$4010,0)),""))</f>
        <v/>
      </c>
      <c r="AI711" s="15" t="str">
        <f>IF(AE711="","",IFERROR(INDEX($AR$11:$AR$4010,MATCH(701,$AZ$11:$AZ$4010,0)),""))</f>
        <v/>
      </c>
      <c r="AJ711" s="15" t="str">
        <f>IF(AE711="","",IFERROR(INDEX($AT$11:$AT$4010,MATCH(701,$AZ$11:$AZ$4010,0)),""))</f>
        <v/>
      </c>
      <c r="AL711" s="17"/>
      <c r="AM711" s="12"/>
      <c r="AN711" s="18"/>
      <c r="AO711" s="18"/>
      <c r="AP711" s="10"/>
      <c r="AQ711" s="10"/>
      <c r="AR711" s="19"/>
      <c r="AS711" s="20"/>
      <c r="AT711" s="19"/>
      <c r="AV711" s="21">
        <f>IF(AND($AL711&lt;&gt;"",COUNTIF($AL$11:$AL711,$AL711)=1),1,0)</f>
        <v>0</v>
      </c>
      <c r="AW711" s="21">
        <f t="shared" si="107"/>
        <v>2</v>
      </c>
      <c r="AX711" s="21" t="str">
        <f t="shared" si="106"/>
        <v/>
      </c>
      <c r="AY711" s="21" t="str">
        <f>IF(AND($AM711&lt;&gt;"",$AS711&lt;&gt;"✓"),SUMPRODUCT(($AM$11:$AM711&lt;&gt;"")*($AS$11:$AS711&lt;&gt;"✓")),"")</f>
        <v/>
      </c>
      <c r="AZ711" s="21" t="str">
        <f>IF(AND($AM711&lt;&gt;"",$AS711="✓"),SUMPRODUCT(($AM$11:$AM711&lt;&gt;"")*($AS$11:$AS711="✓")),"")</f>
        <v/>
      </c>
      <c r="BA711" s="21" t="str">
        <f>IF($AL711="","",$AL711&amp;"|"&amp;COUNTIF($AL$11:$AL711,$AL711))</f>
        <v/>
      </c>
    </row>
    <row r="712" spans="23:53" ht="15" customHeight="1" x14ac:dyDescent="0.25">
      <c r="W712" s="28" t="str">
        <f>IF(X712="","",IFERROR(INDEX($AL$11:$AL$4010,MATCH(702,$AY$11:$AY$4010,0)),""))</f>
        <v/>
      </c>
      <c r="X712" s="26" t="str">
        <f>IFERROR(INDEX($AM$11:$AM$4010,MATCH(702,$AY$11:$AY$4010,0)),"")</f>
        <v/>
      </c>
      <c r="Y712" s="25" t="str">
        <f>IF(X712="","",IFERROR(INDEX($AN$11:$AN$4010,MATCH(702,$AY$11:$AY$4010,0)),""))</f>
        <v/>
      </c>
      <c r="Z712" s="25" t="str">
        <f>IF(X712="","",IFERROR(INDEX($AO$11:$AO$4010,MATCH(702,$AY$11:$AY$4010,0)),""))</f>
        <v/>
      </c>
      <c r="AA712" s="24" t="str">
        <f>IF(X712="","",IFERROR(INDEX($AQ$11:$AQ$4010,MATCH(702,$AY$11:$AY$4010,0)),""))</f>
        <v/>
      </c>
      <c r="AB712" s="29" t="str">
        <f>IF(X712="","",IFERROR(INDEX($AR$11:$AR$4010,MATCH(702,$AY$11:$AY$4010,0)),""))</f>
        <v/>
      </c>
      <c r="AD712" s="30" t="str">
        <f>IF(AE712="","",IFERROR(INDEX($AL$11:$AL$4010,MATCH(702,$AZ$11:$AZ$4010,0)),""))</f>
        <v/>
      </c>
      <c r="AE712" s="26" t="str">
        <f>IFERROR(INDEX($AM$11:$AM$4010,MATCH(702,$AZ$11:$AZ$4010,0)),"")</f>
        <v/>
      </c>
      <c r="AF712" s="25" t="str">
        <f>IF(AE712="","",IFERROR(INDEX($AN$11:$AN$4010,MATCH(702,$AZ$11:$AZ$4010,0)),""))</f>
        <v/>
      </c>
      <c r="AG712" s="25" t="str">
        <f>IF(AE712="","",IFERROR(INDEX($AO$11:$AO$4010,MATCH(702,$AZ$11:$AZ$4010,0)),""))</f>
        <v/>
      </c>
      <c r="AH712" s="24" t="str">
        <f>IF(AE712="","",IFERROR(INDEX($AQ$11:$AQ$4010,MATCH(702,$AZ$11:$AZ$4010,0)),""))</f>
        <v/>
      </c>
      <c r="AI712" s="29" t="str">
        <f>IF(AE712="","",IFERROR(INDEX($AR$11:$AR$4010,MATCH(702,$AZ$11:$AZ$4010,0)),""))</f>
        <v/>
      </c>
      <c r="AJ712" s="29" t="str">
        <f>IF(AE712="","",IFERROR(INDEX($AT$11:$AT$4010,MATCH(702,$AZ$11:$AZ$4010,0)),""))</f>
        <v/>
      </c>
      <c r="AL712" s="31"/>
      <c r="AM712" s="26"/>
      <c r="AN712" s="32"/>
      <c r="AO712" s="32"/>
      <c r="AP712" s="24"/>
      <c r="AQ712" s="24"/>
      <c r="AR712" s="33"/>
      <c r="AS712" s="34"/>
      <c r="AT712" s="33"/>
      <c r="AV712" s="21">
        <f>IF(AND($AL712&lt;&gt;"",COUNTIF($AL$11:$AL712,$AL712)=1),1,0)</f>
        <v>0</v>
      </c>
      <c r="AW712" s="21">
        <f t="shared" si="107"/>
        <v>2</v>
      </c>
      <c r="AX712" s="21" t="str">
        <f t="shared" si="106"/>
        <v/>
      </c>
      <c r="AY712" s="21" t="str">
        <f>IF(AND($AM712&lt;&gt;"",$AS712&lt;&gt;"✓"),SUMPRODUCT(($AM$11:$AM712&lt;&gt;"")*($AS$11:$AS712&lt;&gt;"✓")),"")</f>
        <v/>
      </c>
      <c r="AZ712" s="21" t="str">
        <f>IF(AND($AM712&lt;&gt;"",$AS712="✓"),SUMPRODUCT(($AM$11:$AM712&lt;&gt;"")*($AS$11:$AS712="✓")),"")</f>
        <v/>
      </c>
      <c r="BA712" s="21" t="str">
        <f>IF($AL712="","",$AL712&amp;"|"&amp;COUNTIF($AL$11:$AL712,$AL712))</f>
        <v/>
      </c>
    </row>
    <row r="713" spans="23:53" ht="15" customHeight="1" x14ac:dyDescent="0.25">
      <c r="W713" s="14" t="str">
        <f>IF(X713="","",IFERROR(INDEX($AL$11:$AL$4010,MATCH(703,$AY$11:$AY$4010,0)),""))</f>
        <v/>
      </c>
      <c r="X713" s="12" t="str">
        <f>IFERROR(INDEX($AM$11:$AM$4010,MATCH(703,$AY$11:$AY$4010,0)),"")</f>
        <v/>
      </c>
      <c r="Y713" s="11" t="str">
        <f>IF(X713="","",IFERROR(INDEX($AN$11:$AN$4010,MATCH(703,$AY$11:$AY$4010,0)),""))</f>
        <v/>
      </c>
      <c r="Z713" s="11" t="str">
        <f>IF(X713="","",IFERROR(INDEX($AO$11:$AO$4010,MATCH(703,$AY$11:$AY$4010,0)),""))</f>
        <v/>
      </c>
      <c r="AA713" s="10" t="str">
        <f>IF(X713="","",IFERROR(INDEX($AQ$11:$AQ$4010,MATCH(703,$AY$11:$AY$4010,0)),""))</f>
        <v/>
      </c>
      <c r="AB713" s="15" t="str">
        <f>IF(X713="","",IFERROR(INDEX($AR$11:$AR$4010,MATCH(703,$AY$11:$AY$4010,0)),""))</f>
        <v/>
      </c>
      <c r="AD713" s="16" t="str">
        <f>IF(AE713="","",IFERROR(INDEX($AL$11:$AL$4010,MATCH(703,$AZ$11:$AZ$4010,0)),""))</f>
        <v/>
      </c>
      <c r="AE713" s="12" t="str">
        <f>IFERROR(INDEX($AM$11:$AM$4010,MATCH(703,$AZ$11:$AZ$4010,0)),"")</f>
        <v/>
      </c>
      <c r="AF713" s="11" t="str">
        <f>IF(AE713="","",IFERROR(INDEX($AN$11:$AN$4010,MATCH(703,$AZ$11:$AZ$4010,0)),""))</f>
        <v/>
      </c>
      <c r="AG713" s="11" t="str">
        <f>IF(AE713="","",IFERROR(INDEX($AO$11:$AO$4010,MATCH(703,$AZ$11:$AZ$4010,0)),""))</f>
        <v/>
      </c>
      <c r="AH713" s="10" t="str">
        <f>IF(AE713="","",IFERROR(INDEX($AQ$11:$AQ$4010,MATCH(703,$AZ$11:$AZ$4010,0)),""))</f>
        <v/>
      </c>
      <c r="AI713" s="15" t="str">
        <f>IF(AE713="","",IFERROR(INDEX($AR$11:$AR$4010,MATCH(703,$AZ$11:$AZ$4010,0)),""))</f>
        <v/>
      </c>
      <c r="AJ713" s="15" t="str">
        <f>IF(AE713="","",IFERROR(INDEX($AT$11:$AT$4010,MATCH(703,$AZ$11:$AZ$4010,0)),""))</f>
        <v/>
      </c>
      <c r="AL713" s="17"/>
      <c r="AM713" s="12"/>
      <c r="AN713" s="18"/>
      <c r="AO713" s="18"/>
      <c r="AP713" s="10"/>
      <c r="AQ713" s="10"/>
      <c r="AR713" s="19"/>
      <c r="AS713" s="20"/>
      <c r="AT713" s="19"/>
      <c r="AV713" s="21">
        <f>IF(AND($AL713&lt;&gt;"",COUNTIF($AL$11:$AL713,$AL713)=1),1,0)</f>
        <v>0</v>
      </c>
      <c r="AW713" s="21">
        <f t="shared" si="107"/>
        <v>2</v>
      </c>
      <c r="AX713" s="21" t="str">
        <f t="shared" si="106"/>
        <v/>
      </c>
      <c r="AY713" s="21" t="str">
        <f>IF(AND($AM713&lt;&gt;"",$AS713&lt;&gt;"✓"),SUMPRODUCT(($AM$11:$AM713&lt;&gt;"")*($AS$11:$AS713&lt;&gt;"✓")),"")</f>
        <v/>
      </c>
      <c r="AZ713" s="21" t="str">
        <f>IF(AND($AM713&lt;&gt;"",$AS713="✓"),SUMPRODUCT(($AM$11:$AM713&lt;&gt;"")*($AS$11:$AS713="✓")),"")</f>
        <v/>
      </c>
      <c r="BA713" s="21" t="str">
        <f>IF($AL713="","",$AL713&amp;"|"&amp;COUNTIF($AL$11:$AL713,$AL713))</f>
        <v/>
      </c>
    </row>
    <row r="714" spans="23:53" ht="15" customHeight="1" x14ac:dyDescent="0.25">
      <c r="W714" s="28" t="str">
        <f>IF(X714="","",IFERROR(INDEX($AL$11:$AL$4010,MATCH(704,$AY$11:$AY$4010,0)),""))</f>
        <v/>
      </c>
      <c r="X714" s="26" t="str">
        <f>IFERROR(INDEX($AM$11:$AM$4010,MATCH(704,$AY$11:$AY$4010,0)),"")</f>
        <v/>
      </c>
      <c r="Y714" s="25" t="str">
        <f>IF(X714="","",IFERROR(INDEX($AN$11:$AN$4010,MATCH(704,$AY$11:$AY$4010,0)),""))</f>
        <v/>
      </c>
      <c r="Z714" s="25" t="str">
        <f>IF(X714="","",IFERROR(INDEX($AO$11:$AO$4010,MATCH(704,$AY$11:$AY$4010,0)),""))</f>
        <v/>
      </c>
      <c r="AA714" s="24" t="str">
        <f>IF(X714="","",IFERROR(INDEX($AQ$11:$AQ$4010,MATCH(704,$AY$11:$AY$4010,0)),""))</f>
        <v/>
      </c>
      <c r="AB714" s="29" t="str">
        <f>IF(X714="","",IFERROR(INDEX($AR$11:$AR$4010,MATCH(704,$AY$11:$AY$4010,0)),""))</f>
        <v/>
      </c>
      <c r="AD714" s="30" t="str">
        <f>IF(AE714="","",IFERROR(INDEX($AL$11:$AL$4010,MATCH(704,$AZ$11:$AZ$4010,0)),""))</f>
        <v/>
      </c>
      <c r="AE714" s="26" t="str">
        <f>IFERROR(INDEX($AM$11:$AM$4010,MATCH(704,$AZ$11:$AZ$4010,0)),"")</f>
        <v/>
      </c>
      <c r="AF714" s="25" t="str">
        <f>IF(AE714="","",IFERROR(INDEX($AN$11:$AN$4010,MATCH(704,$AZ$11:$AZ$4010,0)),""))</f>
        <v/>
      </c>
      <c r="AG714" s="25" t="str">
        <f>IF(AE714="","",IFERROR(INDEX($AO$11:$AO$4010,MATCH(704,$AZ$11:$AZ$4010,0)),""))</f>
        <v/>
      </c>
      <c r="AH714" s="24" t="str">
        <f>IF(AE714="","",IFERROR(INDEX($AQ$11:$AQ$4010,MATCH(704,$AZ$11:$AZ$4010,0)),""))</f>
        <v/>
      </c>
      <c r="AI714" s="29" t="str">
        <f>IF(AE714="","",IFERROR(INDEX($AR$11:$AR$4010,MATCH(704,$AZ$11:$AZ$4010,0)),""))</f>
        <v/>
      </c>
      <c r="AJ714" s="29" t="str">
        <f>IF(AE714="","",IFERROR(INDEX($AT$11:$AT$4010,MATCH(704,$AZ$11:$AZ$4010,0)),""))</f>
        <v/>
      </c>
      <c r="AL714" s="31"/>
      <c r="AM714" s="26"/>
      <c r="AN714" s="32"/>
      <c r="AO714" s="32"/>
      <c r="AP714" s="24"/>
      <c r="AQ714" s="24"/>
      <c r="AR714" s="33"/>
      <c r="AS714" s="34"/>
      <c r="AT714" s="33"/>
      <c r="AV714" s="21">
        <f>IF(AND($AL714&lt;&gt;"",COUNTIF($AL$11:$AL714,$AL714)=1),1,0)</f>
        <v>0</v>
      </c>
      <c r="AW714" s="21">
        <f t="shared" si="107"/>
        <v>2</v>
      </c>
      <c r="AX714" s="21" t="str">
        <f t="shared" si="106"/>
        <v/>
      </c>
      <c r="AY714" s="21" t="str">
        <f>IF(AND($AM714&lt;&gt;"",$AS714&lt;&gt;"✓"),SUMPRODUCT(($AM$11:$AM714&lt;&gt;"")*($AS$11:$AS714&lt;&gt;"✓")),"")</f>
        <v/>
      </c>
      <c r="AZ714" s="21" t="str">
        <f>IF(AND($AM714&lt;&gt;"",$AS714="✓"),SUMPRODUCT(($AM$11:$AM714&lt;&gt;"")*($AS$11:$AS714="✓")),"")</f>
        <v/>
      </c>
      <c r="BA714" s="21" t="str">
        <f>IF($AL714="","",$AL714&amp;"|"&amp;COUNTIF($AL$11:$AL714,$AL714))</f>
        <v/>
      </c>
    </row>
    <row r="715" spans="23:53" ht="15" customHeight="1" x14ac:dyDescent="0.25">
      <c r="W715" s="14" t="str">
        <f>IF(X715="","",IFERROR(INDEX($AL$11:$AL$4010,MATCH(705,$AY$11:$AY$4010,0)),""))</f>
        <v/>
      </c>
      <c r="X715" s="12" t="str">
        <f>IFERROR(INDEX($AM$11:$AM$4010,MATCH(705,$AY$11:$AY$4010,0)),"")</f>
        <v/>
      </c>
      <c r="Y715" s="11" t="str">
        <f>IF(X715="","",IFERROR(INDEX($AN$11:$AN$4010,MATCH(705,$AY$11:$AY$4010,0)),""))</f>
        <v/>
      </c>
      <c r="Z715" s="11" t="str">
        <f>IF(X715="","",IFERROR(INDEX($AO$11:$AO$4010,MATCH(705,$AY$11:$AY$4010,0)),""))</f>
        <v/>
      </c>
      <c r="AA715" s="10" t="str">
        <f>IF(X715="","",IFERROR(INDEX($AQ$11:$AQ$4010,MATCH(705,$AY$11:$AY$4010,0)),""))</f>
        <v/>
      </c>
      <c r="AB715" s="15" t="str">
        <f>IF(X715="","",IFERROR(INDEX($AR$11:$AR$4010,MATCH(705,$AY$11:$AY$4010,0)),""))</f>
        <v/>
      </c>
      <c r="AD715" s="16" t="str">
        <f>IF(AE715="","",IFERROR(INDEX($AL$11:$AL$4010,MATCH(705,$AZ$11:$AZ$4010,0)),""))</f>
        <v/>
      </c>
      <c r="AE715" s="12" t="str">
        <f>IFERROR(INDEX($AM$11:$AM$4010,MATCH(705,$AZ$11:$AZ$4010,0)),"")</f>
        <v/>
      </c>
      <c r="AF715" s="11" t="str">
        <f>IF(AE715="","",IFERROR(INDEX($AN$11:$AN$4010,MATCH(705,$AZ$11:$AZ$4010,0)),""))</f>
        <v/>
      </c>
      <c r="AG715" s="11" t="str">
        <f>IF(AE715="","",IFERROR(INDEX($AO$11:$AO$4010,MATCH(705,$AZ$11:$AZ$4010,0)),""))</f>
        <v/>
      </c>
      <c r="AH715" s="10" t="str">
        <f>IF(AE715="","",IFERROR(INDEX($AQ$11:$AQ$4010,MATCH(705,$AZ$11:$AZ$4010,0)),""))</f>
        <v/>
      </c>
      <c r="AI715" s="15" t="str">
        <f>IF(AE715="","",IFERROR(INDEX($AR$11:$AR$4010,MATCH(705,$AZ$11:$AZ$4010,0)),""))</f>
        <v/>
      </c>
      <c r="AJ715" s="15" t="str">
        <f>IF(AE715="","",IFERROR(INDEX($AT$11:$AT$4010,MATCH(705,$AZ$11:$AZ$4010,0)),""))</f>
        <v/>
      </c>
      <c r="AL715" s="17"/>
      <c r="AM715" s="12"/>
      <c r="AN715" s="18"/>
      <c r="AO715" s="18"/>
      <c r="AP715" s="10"/>
      <c r="AQ715" s="10"/>
      <c r="AR715" s="19"/>
      <c r="AS715" s="20"/>
      <c r="AT715" s="19"/>
      <c r="AV715" s="21">
        <f>IF(AND($AL715&lt;&gt;"",COUNTIF($AL$11:$AL715,$AL715)=1),1,0)</f>
        <v>0</v>
      </c>
      <c r="AW715" s="21">
        <f t="shared" si="107"/>
        <v>2</v>
      </c>
      <c r="AX715" s="21" t="str">
        <f t="shared" ref="AX715:AX778" si="108">IF(AV715=1,AW715,"")</f>
        <v/>
      </c>
      <c r="AY715" s="21" t="str">
        <f>IF(AND($AM715&lt;&gt;"",$AS715&lt;&gt;"✓"),SUMPRODUCT(($AM$11:$AM715&lt;&gt;"")*($AS$11:$AS715&lt;&gt;"✓")),"")</f>
        <v/>
      </c>
      <c r="AZ715" s="21" t="str">
        <f>IF(AND($AM715&lt;&gt;"",$AS715="✓"),SUMPRODUCT(($AM$11:$AM715&lt;&gt;"")*($AS$11:$AS715="✓")),"")</f>
        <v/>
      </c>
      <c r="BA715" s="21" t="str">
        <f>IF($AL715="","",$AL715&amp;"|"&amp;COUNTIF($AL$11:$AL715,$AL715))</f>
        <v/>
      </c>
    </row>
    <row r="716" spans="23:53" ht="15" customHeight="1" x14ac:dyDescent="0.25">
      <c r="W716" s="28" t="str">
        <f>IF(X716="","",IFERROR(INDEX($AL$11:$AL$4010,MATCH(706,$AY$11:$AY$4010,0)),""))</f>
        <v/>
      </c>
      <c r="X716" s="26" t="str">
        <f>IFERROR(INDEX($AM$11:$AM$4010,MATCH(706,$AY$11:$AY$4010,0)),"")</f>
        <v/>
      </c>
      <c r="Y716" s="25" t="str">
        <f>IF(X716="","",IFERROR(INDEX($AN$11:$AN$4010,MATCH(706,$AY$11:$AY$4010,0)),""))</f>
        <v/>
      </c>
      <c r="Z716" s="25" t="str">
        <f>IF(X716="","",IFERROR(INDEX($AO$11:$AO$4010,MATCH(706,$AY$11:$AY$4010,0)),""))</f>
        <v/>
      </c>
      <c r="AA716" s="24" t="str">
        <f>IF(X716="","",IFERROR(INDEX($AQ$11:$AQ$4010,MATCH(706,$AY$11:$AY$4010,0)),""))</f>
        <v/>
      </c>
      <c r="AB716" s="29" t="str">
        <f>IF(X716="","",IFERROR(INDEX($AR$11:$AR$4010,MATCH(706,$AY$11:$AY$4010,0)),""))</f>
        <v/>
      </c>
      <c r="AD716" s="30" t="str">
        <f>IF(AE716="","",IFERROR(INDEX($AL$11:$AL$4010,MATCH(706,$AZ$11:$AZ$4010,0)),""))</f>
        <v/>
      </c>
      <c r="AE716" s="26" t="str">
        <f>IFERROR(INDEX($AM$11:$AM$4010,MATCH(706,$AZ$11:$AZ$4010,0)),"")</f>
        <v/>
      </c>
      <c r="AF716" s="25" t="str">
        <f>IF(AE716="","",IFERROR(INDEX($AN$11:$AN$4010,MATCH(706,$AZ$11:$AZ$4010,0)),""))</f>
        <v/>
      </c>
      <c r="AG716" s="25" t="str">
        <f>IF(AE716="","",IFERROR(INDEX($AO$11:$AO$4010,MATCH(706,$AZ$11:$AZ$4010,0)),""))</f>
        <v/>
      </c>
      <c r="AH716" s="24" t="str">
        <f>IF(AE716="","",IFERROR(INDEX($AQ$11:$AQ$4010,MATCH(706,$AZ$11:$AZ$4010,0)),""))</f>
        <v/>
      </c>
      <c r="AI716" s="29" t="str">
        <f>IF(AE716="","",IFERROR(INDEX($AR$11:$AR$4010,MATCH(706,$AZ$11:$AZ$4010,0)),""))</f>
        <v/>
      </c>
      <c r="AJ716" s="29" t="str">
        <f>IF(AE716="","",IFERROR(INDEX($AT$11:$AT$4010,MATCH(706,$AZ$11:$AZ$4010,0)),""))</f>
        <v/>
      </c>
      <c r="AL716" s="31"/>
      <c r="AM716" s="26"/>
      <c r="AN716" s="32"/>
      <c r="AO716" s="32"/>
      <c r="AP716" s="24"/>
      <c r="AQ716" s="24"/>
      <c r="AR716" s="33"/>
      <c r="AS716" s="34"/>
      <c r="AT716" s="33"/>
      <c r="AV716" s="21">
        <f>IF(AND($AL716&lt;&gt;"",COUNTIF($AL$11:$AL716,$AL716)=1),1,0)</f>
        <v>0</v>
      </c>
      <c r="AW716" s="21">
        <f t="shared" ref="AW716:AW779" si="109">AW715+AV716</f>
        <v>2</v>
      </c>
      <c r="AX716" s="21" t="str">
        <f t="shared" si="108"/>
        <v/>
      </c>
      <c r="AY716" s="21" t="str">
        <f>IF(AND($AM716&lt;&gt;"",$AS716&lt;&gt;"✓"),SUMPRODUCT(($AM$11:$AM716&lt;&gt;"")*($AS$11:$AS716&lt;&gt;"✓")),"")</f>
        <v/>
      </c>
      <c r="AZ716" s="21" t="str">
        <f>IF(AND($AM716&lt;&gt;"",$AS716="✓"),SUMPRODUCT(($AM$11:$AM716&lt;&gt;"")*($AS$11:$AS716="✓")),"")</f>
        <v/>
      </c>
      <c r="BA716" s="21" t="str">
        <f>IF($AL716="","",$AL716&amp;"|"&amp;COUNTIF($AL$11:$AL716,$AL716))</f>
        <v/>
      </c>
    </row>
    <row r="717" spans="23:53" ht="15" customHeight="1" x14ac:dyDescent="0.25">
      <c r="W717" s="14" t="str">
        <f>IF(X717="","",IFERROR(INDEX($AL$11:$AL$4010,MATCH(707,$AY$11:$AY$4010,0)),""))</f>
        <v/>
      </c>
      <c r="X717" s="12" t="str">
        <f>IFERROR(INDEX($AM$11:$AM$4010,MATCH(707,$AY$11:$AY$4010,0)),"")</f>
        <v/>
      </c>
      <c r="Y717" s="11" t="str">
        <f>IF(X717="","",IFERROR(INDEX($AN$11:$AN$4010,MATCH(707,$AY$11:$AY$4010,0)),""))</f>
        <v/>
      </c>
      <c r="Z717" s="11" t="str">
        <f>IF(X717="","",IFERROR(INDEX($AO$11:$AO$4010,MATCH(707,$AY$11:$AY$4010,0)),""))</f>
        <v/>
      </c>
      <c r="AA717" s="10" t="str">
        <f>IF(X717="","",IFERROR(INDEX($AQ$11:$AQ$4010,MATCH(707,$AY$11:$AY$4010,0)),""))</f>
        <v/>
      </c>
      <c r="AB717" s="15" t="str">
        <f>IF(X717="","",IFERROR(INDEX($AR$11:$AR$4010,MATCH(707,$AY$11:$AY$4010,0)),""))</f>
        <v/>
      </c>
      <c r="AD717" s="16" t="str">
        <f>IF(AE717="","",IFERROR(INDEX($AL$11:$AL$4010,MATCH(707,$AZ$11:$AZ$4010,0)),""))</f>
        <v/>
      </c>
      <c r="AE717" s="12" t="str">
        <f>IFERROR(INDEX($AM$11:$AM$4010,MATCH(707,$AZ$11:$AZ$4010,0)),"")</f>
        <v/>
      </c>
      <c r="AF717" s="11" t="str">
        <f>IF(AE717="","",IFERROR(INDEX($AN$11:$AN$4010,MATCH(707,$AZ$11:$AZ$4010,0)),""))</f>
        <v/>
      </c>
      <c r="AG717" s="11" t="str">
        <f>IF(AE717="","",IFERROR(INDEX($AO$11:$AO$4010,MATCH(707,$AZ$11:$AZ$4010,0)),""))</f>
        <v/>
      </c>
      <c r="AH717" s="10" t="str">
        <f>IF(AE717="","",IFERROR(INDEX($AQ$11:$AQ$4010,MATCH(707,$AZ$11:$AZ$4010,0)),""))</f>
        <v/>
      </c>
      <c r="AI717" s="15" t="str">
        <f>IF(AE717="","",IFERROR(INDEX($AR$11:$AR$4010,MATCH(707,$AZ$11:$AZ$4010,0)),""))</f>
        <v/>
      </c>
      <c r="AJ717" s="15" t="str">
        <f>IF(AE717="","",IFERROR(INDEX($AT$11:$AT$4010,MATCH(707,$AZ$11:$AZ$4010,0)),""))</f>
        <v/>
      </c>
      <c r="AL717" s="17"/>
      <c r="AM717" s="12"/>
      <c r="AN717" s="18"/>
      <c r="AO717" s="18"/>
      <c r="AP717" s="10"/>
      <c r="AQ717" s="10"/>
      <c r="AR717" s="19"/>
      <c r="AS717" s="20"/>
      <c r="AT717" s="19"/>
      <c r="AV717" s="21">
        <f>IF(AND($AL717&lt;&gt;"",COUNTIF($AL$11:$AL717,$AL717)=1),1,0)</f>
        <v>0</v>
      </c>
      <c r="AW717" s="21">
        <f t="shared" si="109"/>
        <v>2</v>
      </c>
      <c r="AX717" s="21" t="str">
        <f t="shared" si="108"/>
        <v/>
      </c>
      <c r="AY717" s="21" t="str">
        <f>IF(AND($AM717&lt;&gt;"",$AS717&lt;&gt;"✓"),SUMPRODUCT(($AM$11:$AM717&lt;&gt;"")*($AS$11:$AS717&lt;&gt;"✓")),"")</f>
        <v/>
      </c>
      <c r="AZ717" s="21" t="str">
        <f>IF(AND($AM717&lt;&gt;"",$AS717="✓"),SUMPRODUCT(($AM$11:$AM717&lt;&gt;"")*($AS$11:$AS717="✓")),"")</f>
        <v/>
      </c>
      <c r="BA717" s="21" t="str">
        <f>IF($AL717="","",$AL717&amp;"|"&amp;COUNTIF($AL$11:$AL717,$AL717))</f>
        <v/>
      </c>
    </row>
    <row r="718" spans="23:53" ht="15" customHeight="1" x14ac:dyDescent="0.25">
      <c r="W718" s="28" t="str">
        <f>IF(X718="","",IFERROR(INDEX($AL$11:$AL$4010,MATCH(708,$AY$11:$AY$4010,0)),""))</f>
        <v/>
      </c>
      <c r="X718" s="26" t="str">
        <f>IFERROR(INDEX($AM$11:$AM$4010,MATCH(708,$AY$11:$AY$4010,0)),"")</f>
        <v/>
      </c>
      <c r="Y718" s="25" t="str">
        <f>IF(X718="","",IFERROR(INDEX($AN$11:$AN$4010,MATCH(708,$AY$11:$AY$4010,0)),""))</f>
        <v/>
      </c>
      <c r="Z718" s="25" t="str">
        <f>IF(X718="","",IFERROR(INDEX($AO$11:$AO$4010,MATCH(708,$AY$11:$AY$4010,0)),""))</f>
        <v/>
      </c>
      <c r="AA718" s="24" t="str">
        <f>IF(X718="","",IFERROR(INDEX($AQ$11:$AQ$4010,MATCH(708,$AY$11:$AY$4010,0)),""))</f>
        <v/>
      </c>
      <c r="AB718" s="29" t="str">
        <f>IF(X718="","",IFERROR(INDEX($AR$11:$AR$4010,MATCH(708,$AY$11:$AY$4010,0)),""))</f>
        <v/>
      </c>
      <c r="AD718" s="30" t="str">
        <f>IF(AE718="","",IFERROR(INDEX($AL$11:$AL$4010,MATCH(708,$AZ$11:$AZ$4010,0)),""))</f>
        <v/>
      </c>
      <c r="AE718" s="26" t="str">
        <f>IFERROR(INDEX($AM$11:$AM$4010,MATCH(708,$AZ$11:$AZ$4010,0)),"")</f>
        <v/>
      </c>
      <c r="AF718" s="25" t="str">
        <f>IF(AE718="","",IFERROR(INDEX($AN$11:$AN$4010,MATCH(708,$AZ$11:$AZ$4010,0)),""))</f>
        <v/>
      </c>
      <c r="AG718" s="25" t="str">
        <f>IF(AE718="","",IFERROR(INDEX($AO$11:$AO$4010,MATCH(708,$AZ$11:$AZ$4010,0)),""))</f>
        <v/>
      </c>
      <c r="AH718" s="24" t="str">
        <f>IF(AE718="","",IFERROR(INDEX($AQ$11:$AQ$4010,MATCH(708,$AZ$11:$AZ$4010,0)),""))</f>
        <v/>
      </c>
      <c r="AI718" s="29" t="str">
        <f>IF(AE718="","",IFERROR(INDEX($AR$11:$AR$4010,MATCH(708,$AZ$11:$AZ$4010,0)),""))</f>
        <v/>
      </c>
      <c r="AJ718" s="29" t="str">
        <f>IF(AE718="","",IFERROR(INDEX($AT$11:$AT$4010,MATCH(708,$AZ$11:$AZ$4010,0)),""))</f>
        <v/>
      </c>
      <c r="AL718" s="31"/>
      <c r="AM718" s="26"/>
      <c r="AN718" s="32"/>
      <c r="AO718" s="32"/>
      <c r="AP718" s="24"/>
      <c r="AQ718" s="24"/>
      <c r="AR718" s="33"/>
      <c r="AS718" s="34"/>
      <c r="AT718" s="33"/>
      <c r="AV718" s="21">
        <f>IF(AND($AL718&lt;&gt;"",COUNTIF($AL$11:$AL718,$AL718)=1),1,0)</f>
        <v>0</v>
      </c>
      <c r="AW718" s="21">
        <f t="shared" si="109"/>
        <v>2</v>
      </c>
      <c r="AX718" s="21" t="str">
        <f t="shared" si="108"/>
        <v/>
      </c>
      <c r="AY718" s="21" t="str">
        <f>IF(AND($AM718&lt;&gt;"",$AS718&lt;&gt;"✓"),SUMPRODUCT(($AM$11:$AM718&lt;&gt;"")*($AS$11:$AS718&lt;&gt;"✓")),"")</f>
        <v/>
      </c>
      <c r="AZ718" s="21" t="str">
        <f>IF(AND($AM718&lt;&gt;"",$AS718="✓"),SUMPRODUCT(($AM$11:$AM718&lt;&gt;"")*($AS$11:$AS718="✓")),"")</f>
        <v/>
      </c>
      <c r="BA718" s="21" t="str">
        <f>IF($AL718="","",$AL718&amp;"|"&amp;COUNTIF($AL$11:$AL718,$AL718))</f>
        <v/>
      </c>
    </row>
    <row r="719" spans="23:53" ht="15" customHeight="1" x14ac:dyDescent="0.25">
      <c r="W719" s="14" t="str">
        <f>IF(X719="","",IFERROR(INDEX($AL$11:$AL$4010,MATCH(709,$AY$11:$AY$4010,0)),""))</f>
        <v/>
      </c>
      <c r="X719" s="12" t="str">
        <f>IFERROR(INDEX($AM$11:$AM$4010,MATCH(709,$AY$11:$AY$4010,0)),"")</f>
        <v/>
      </c>
      <c r="Y719" s="11" t="str">
        <f>IF(X719="","",IFERROR(INDEX($AN$11:$AN$4010,MATCH(709,$AY$11:$AY$4010,0)),""))</f>
        <v/>
      </c>
      <c r="Z719" s="11" t="str">
        <f>IF(X719="","",IFERROR(INDEX($AO$11:$AO$4010,MATCH(709,$AY$11:$AY$4010,0)),""))</f>
        <v/>
      </c>
      <c r="AA719" s="10" t="str">
        <f>IF(X719="","",IFERROR(INDEX($AQ$11:$AQ$4010,MATCH(709,$AY$11:$AY$4010,0)),""))</f>
        <v/>
      </c>
      <c r="AB719" s="15" t="str">
        <f>IF(X719="","",IFERROR(INDEX($AR$11:$AR$4010,MATCH(709,$AY$11:$AY$4010,0)),""))</f>
        <v/>
      </c>
      <c r="AD719" s="16" t="str">
        <f>IF(AE719="","",IFERROR(INDEX($AL$11:$AL$4010,MATCH(709,$AZ$11:$AZ$4010,0)),""))</f>
        <v/>
      </c>
      <c r="AE719" s="12" t="str">
        <f>IFERROR(INDEX($AM$11:$AM$4010,MATCH(709,$AZ$11:$AZ$4010,0)),"")</f>
        <v/>
      </c>
      <c r="AF719" s="11" t="str">
        <f>IF(AE719="","",IFERROR(INDEX($AN$11:$AN$4010,MATCH(709,$AZ$11:$AZ$4010,0)),""))</f>
        <v/>
      </c>
      <c r="AG719" s="11" t="str">
        <f>IF(AE719="","",IFERROR(INDEX($AO$11:$AO$4010,MATCH(709,$AZ$11:$AZ$4010,0)),""))</f>
        <v/>
      </c>
      <c r="AH719" s="10" t="str">
        <f>IF(AE719="","",IFERROR(INDEX($AQ$11:$AQ$4010,MATCH(709,$AZ$11:$AZ$4010,0)),""))</f>
        <v/>
      </c>
      <c r="AI719" s="15" t="str">
        <f>IF(AE719="","",IFERROR(INDEX($AR$11:$AR$4010,MATCH(709,$AZ$11:$AZ$4010,0)),""))</f>
        <v/>
      </c>
      <c r="AJ719" s="15" t="str">
        <f>IF(AE719="","",IFERROR(INDEX($AT$11:$AT$4010,MATCH(709,$AZ$11:$AZ$4010,0)),""))</f>
        <v/>
      </c>
      <c r="AL719" s="17"/>
      <c r="AM719" s="12"/>
      <c r="AN719" s="18"/>
      <c r="AO719" s="18"/>
      <c r="AP719" s="10"/>
      <c r="AQ719" s="10"/>
      <c r="AR719" s="19"/>
      <c r="AS719" s="20"/>
      <c r="AT719" s="19"/>
      <c r="AV719" s="21">
        <f>IF(AND($AL719&lt;&gt;"",COUNTIF($AL$11:$AL719,$AL719)=1),1,0)</f>
        <v>0</v>
      </c>
      <c r="AW719" s="21">
        <f t="shared" si="109"/>
        <v>2</v>
      </c>
      <c r="AX719" s="21" t="str">
        <f t="shared" si="108"/>
        <v/>
      </c>
      <c r="AY719" s="21" t="str">
        <f>IF(AND($AM719&lt;&gt;"",$AS719&lt;&gt;"✓"),SUMPRODUCT(($AM$11:$AM719&lt;&gt;"")*($AS$11:$AS719&lt;&gt;"✓")),"")</f>
        <v/>
      </c>
      <c r="AZ719" s="21" t="str">
        <f>IF(AND($AM719&lt;&gt;"",$AS719="✓"),SUMPRODUCT(($AM$11:$AM719&lt;&gt;"")*($AS$11:$AS719="✓")),"")</f>
        <v/>
      </c>
      <c r="BA719" s="21" t="str">
        <f>IF($AL719="","",$AL719&amp;"|"&amp;COUNTIF($AL$11:$AL719,$AL719))</f>
        <v/>
      </c>
    </row>
    <row r="720" spans="23:53" ht="15" customHeight="1" x14ac:dyDescent="0.25">
      <c r="W720" s="28" t="str">
        <f>IF(X720="","",IFERROR(INDEX($AL$11:$AL$4010,MATCH(710,$AY$11:$AY$4010,0)),""))</f>
        <v/>
      </c>
      <c r="X720" s="26" t="str">
        <f>IFERROR(INDEX($AM$11:$AM$4010,MATCH(710,$AY$11:$AY$4010,0)),"")</f>
        <v/>
      </c>
      <c r="Y720" s="25" t="str">
        <f>IF(X720="","",IFERROR(INDEX($AN$11:$AN$4010,MATCH(710,$AY$11:$AY$4010,0)),""))</f>
        <v/>
      </c>
      <c r="Z720" s="25" t="str">
        <f>IF(X720="","",IFERROR(INDEX($AO$11:$AO$4010,MATCH(710,$AY$11:$AY$4010,0)),""))</f>
        <v/>
      </c>
      <c r="AA720" s="24" t="str">
        <f>IF(X720="","",IFERROR(INDEX($AQ$11:$AQ$4010,MATCH(710,$AY$11:$AY$4010,0)),""))</f>
        <v/>
      </c>
      <c r="AB720" s="29" t="str">
        <f>IF(X720="","",IFERROR(INDEX($AR$11:$AR$4010,MATCH(710,$AY$11:$AY$4010,0)),""))</f>
        <v/>
      </c>
      <c r="AD720" s="30" t="str">
        <f>IF(AE720="","",IFERROR(INDEX($AL$11:$AL$4010,MATCH(710,$AZ$11:$AZ$4010,0)),""))</f>
        <v/>
      </c>
      <c r="AE720" s="26" t="str">
        <f>IFERROR(INDEX($AM$11:$AM$4010,MATCH(710,$AZ$11:$AZ$4010,0)),"")</f>
        <v/>
      </c>
      <c r="AF720" s="25" t="str">
        <f>IF(AE720="","",IFERROR(INDEX($AN$11:$AN$4010,MATCH(710,$AZ$11:$AZ$4010,0)),""))</f>
        <v/>
      </c>
      <c r="AG720" s="25" t="str">
        <f>IF(AE720="","",IFERROR(INDEX($AO$11:$AO$4010,MATCH(710,$AZ$11:$AZ$4010,0)),""))</f>
        <v/>
      </c>
      <c r="AH720" s="24" t="str">
        <f>IF(AE720="","",IFERROR(INDEX($AQ$11:$AQ$4010,MATCH(710,$AZ$11:$AZ$4010,0)),""))</f>
        <v/>
      </c>
      <c r="AI720" s="29" t="str">
        <f>IF(AE720="","",IFERROR(INDEX($AR$11:$AR$4010,MATCH(710,$AZ$11:$AZ$4010,0)),""))</f>
        <v/>
      </c>
      <c r="AJ720" s="29" t="str">
        <f>IF(AE720="","",IFERROR(INDEX($AT$11:$AT$4010,MATCH(710,$AZ$11:$AZ$4010,0)),""))</f>
        <v/>
      </c>
      <c r="AL720" s="31"/>
      <c r="AM720" s="26"/>
      <c r="AN720" s="32"/>
      <c r="AO720" s="32"/>
      <c r="AP720" s="24"/>
      <c r="AQ720" s="24"/>
      <c r="AR720" s="33"/>
      <c r="AS720" s="34"/>
      <c r="AT720" s="33"/>
      <c r="AV720" s="21">
        <f>IF(AND($AL720&lt;&gt;"",COUNTIF($AL$11:$AL720,$AL720)=1),1,0)</f>
        <v>0</v>
      </c>
      <c r="AW720" s="21">
        <f t="shared" si="109"/>
        <v>2</v>
      </c>
      <c r="AX720" s="21" t="str">
        <f t="shared" si="108"/>
        <v/>
      </c>
      <c r="AY720" s="21" t="str">
        <f>IF(AND($AM720&lt;&gt;"",$AS720&lt;&gt;"✓"),SUMPRODUCT(($AM$11:$AM720&lt;&gt;"")*($AS$11:$AS720&lt;&gt;"✓")),"")</f>
        <v/>
      </c>
      <c r="AZ720" s="21" t="str">
        <f>IF(AND($AM720&lt;&gt;"",$AS720="✓"),SUMPRODUCT(($AM$11:$AM720&lt;&gt;"")*($AS$11:$AS720="✓")),"")</f>
        <v/>
      </c>
      <c r="BA720" s="21" t="str">
        <f>IF($AL720="","",$AL720&amp;"|"&amp;COUNTIF($AL$11:$AL720,$AL720))</f>
        <v/>
      </c>
    </row>
    <row r="721" spans="23:53" ht="15" customHeight="1" x14ac:dyDescent="0.25">
      <c r="W721" s="14" t="str">
        <f>IF(X721="","",IFERROR(INDEX($AL$11:$AL$4010,MATCH(711,$AY$11:$AY$4010,0)),""))</f>
        <v/>
      </c>
      <c r="X721" s="12" t="str">
        <f>IFERROR(INDEX($AM$11:$AM$4010,MATCH(711,$AY$11:$AY$4010,0)),"")</f>
        <v/>
      </c>
      <c r="Y721" s="11" t="str">
        <f>IF(X721="","",IFERROR(INDEX($AN$11:$AN$4010,MATCH(711,$AY$11:$AY$4010,0)),""))</f>
        <v/>
      </c>
      <c r="Z721" s="11" t="str">
        <f>IF(X721="","",IFERROR(INDEX($AO$11:$AO$4010,MATCH(711,$AY$11:$AY$4010,0)),""))</f>
        <v/>
      </c>
      <c r="AA721" s="10" t="str">
        <f>IF(X721="","",IFERROR(INDEX($AQ$11:$AQ$4010,MATCH(711,$AY$11:$AY$4010,0)),""))</f>
        <v/>
      </c>
      <c r="AB721" s="15" t="str">
        <f>IF(X721="","",IFERROR(INDEX($AR$11:$AR$4010,MATCH(711,$AY$11:$AY$4010,0)),""))</f>
        <v/>
      </c>
      <c r="AD721" s="16" t="str">
        <f>IF(AE721="","",IFERROR(INDEX($AL$11:$AL$4010,MATCH(711,$AZ$11:$AZ$4010,0)),""))</f>
        <v/>
      </c>
      <c r="AE721" s="12" t="str">
        <f>IFERROR(INDEX($AM$11:$AM$4010,MATCH(711,$AZ$11:$AZ$4010,0)),"")</f>
        <v/>
      </c>
      <c r="AF721" s="11" t="str">
        <f>IF(AE721="","",IFERROR(INDEX($AN$11:$AN$4010,MATCH(711,$AZ$11:$AZ$4010,0)),""))</f>
        <v/>
      </c>
      <c r="AG721" s="11" t="str">
        <f>IF(AE721="","",IFERROR(INDEX($AO$11:$AO$4010,MATCH(711,$AZ$11:$AZ$4010,0)),""))</f>
        <v/>
      </c>
      <c r="AH721" s="10" t="str">
        <f>IF(AE721="","",IFERROR(INDEX($AQ$11:$AQ$4010,MATCH(711,$AZ$11:$AZ$4010,0)),""))</f>
        <v/>
      </c>
      <c r="AI721" s="15" t="str">
        <f>IF(AE721="","",IFERROR(INDEX($AR$11:$AR$4010,MATCH(711,$AZ$11:$AZ$4010,0)),""))</f>
        <v/>
      </c>
      <c r="AJ721" s="15" t="str">
        <f>IF(AE721="","",IFERROR(INDEX($AT$11:$AT$4010,MATCH(711,$AZ$11:$AZ$4010,0)),""))</f>
        <v/>
      </c>
      <c r="AL721" s="17"/>
      <c r="AM721" s="12"/>
      <c r="AN721" s="18"/>
      <c r="AO721" s="18"/>
      <c r="AP721" s="10"/>
      <c r="AQ721" s="10"/>
      <c r="AR721" s="19"/>
      <c r="AS721" s="20"/>
      <c r="AT721" s="19"/>
      <c r="AV721" s="21">
        <f>IF(AND($AL721&lt;&gt;"",COUNTIF($AL$11:$AL721,$AL721)=1),1,0)</f>
        <v>0</v>
      </c>
      <c r="AW721" s="21">
        <f t="shared" si="109"/>
        <v>2</v>
      </c>
      <c r="AX721" s="21" t="str">
        <f t="shared" si="108"/>
        <v/>
      </c>
      <c r="AY721" s="21" t="str">
        <f>IF(AND($AM721&lt;&gt;"",$AS721&lt;&gt;"✓"),SUMPRODUCT(($AM$11:$AM721&lt;&gt;"")*($AS$11:$AS721&lt;&gt;"✓")),"")</f>
        <v/>
      </c>
      <c r="AZ721" s="21" t="str">
        <f>IF(AND($AM721&lt;&gt;"",$AS721="✓"),SUMPRODUCT(($AM$11:$AM721&lt;&gt;"")*($AS$11:$AS721="✓")),"")</f>
        <v/>
      </c>
      <c r="BA721" s="21" t="str">
        <f>IF($AL721="","",$AL721&amp;"|"&amp;COUNTIF($AL$11:$AL721,$AL721))</f>
        <v/>
      </c>
    </row>
    <row r="722" spans="23:53" ht="15" customHeight="1" x14ac:dyDescent="0.25">
      <c r="W722" s="28" t="str">
        <f>IF(X722="","",IFERROR(INDEX($AL$11:$AL$4010,MATCH(712,$AY$11:$AY$4010,0)),""))</f>
        <v/>
      </c>
      <c r="X722" s="26" t="str">
        <f>IFERROR(INDEX($AM$11:$AM$4010,MATCH(712,$AY$11:$AY$4010,0)),"")</f>
        <v/>
      </c>
      <c r="Y722" s="25" t="str">
        <f>IF(X722="","",IFERROR(INDEX($AN$11:$AN$4010,MATCH(712,$AY$11:$AY$4010,0)),""))</f>
        <v/>
      </c>
      <c r="Z722" s="25" t="str">
        <f>IF(X722="","",IFERROR(INDEX($AO$11:$AO$4010,MATCH(712,$AY$11:$AY$4010,0)),""))</f>
        <v/>
      </c>
      <c r="AA722" s="24" t="str">
        <f>IF(X722="","",IFERROR(INDEX($AQ$11:$AQ$4010,MATCH(712,$AY$11:$AY$4010,0)),""))</f>
        <v/>
      </c>
      <c r="AB722" s="29" t="str">
        <f>IF(X722="","",IFERROR(INDEX($AR$11:$AR$4010,MATCH(712,$AY$11:$AY$4010,0)),""))</f>
        <v/>
      </c>
      <c r="AD722" s="30" t="str">
        <f>IF(AE722="","",IFERROR(INDEX($AL$11:$AL$4010,MATCH(712,$AZ$11:$AZ$4010,0)),""))</f>
        <v/>
      </c>
      <c r="AE722" s="26" t="str">
        <f>IFERROR(INDEX($AM$11:$AM$4010,MATCH(712,$AZ$11:$AZ$4010,0)),"")</f>
        <v/>
      </c>
      <c r="AF722" s="25" t="str">
        <f>IF(AE722="","",IFERROR(INDEX($AN$11:$AN$4010,MATCH(712,$AZ$11:$AZ$4010,0)),""))</f>
        <v/>
      </c>
      <c r="AG722" s="25" t="str">
        <f>IF(AE722="","",IFERROR(INDEX($AO$11:$AO$4010,MATCH(712,$AZ$11:$AZ$4010,0)),""))</f>
        <v/>
      </c>
      <c r="AH722" s="24" t="str">
        <f>IF(AE722="","",IFERROR(INDEX($AQ$11:$AQ$4010,MATCH(712,$AZ$11:$AZ$4010,0)),""))</f>
        <v/>
      </c>
      <c r="AI722" s="29" t="str">
        <f>IF(AE722="","",IFERROR(INDEX($AR$11:$AR$4010,MATCH(712,$AZ$11:$AZ$4010,0)),""))</f>
        <v/>
      </c>
      <c r="AJ722" s="29" t="str">
        <f>IF(AE722="","",IFERROR(INDEX($AT$11:$AT$4010,MATCH(712,$AZ$11:$AZ$4010,0)),""))</f>
        <v/>
      </c>
      <c r="AL722" s="31"/>
      <c r="AM722" s="26"/>
      <c r="AN722" s="32"/>
      <c r="AO722" s="32"/>
      <c r="AP722" s="24"/>
      <c r="AQ722" s="24"/>
      <c r="AR722" s="33"/>
      <c r="AS722" s="34"/>
      <c r="AT722" s="33"/>
      <c r="AV722" s="21">
        <f>IF(AND($AL722&lt;&gt;"",COUNTIF($AL$11:$AL722,$AL722)=1),1,0)</f>
        <v>0</v>
      </c>
      <c r="AW722" s="21">
        <f t="shared" si="109"/>
        <v>2</v>
      </c>
      <c r="AX722" s="21" t="str">
        <f t="shared" si="108"/>
        <v/>
      </c>
      <c r="AY722" s="21" t="str">
        <f>IF(AND($AM722&lt;&gt;"",$AS722&lt;&gt;"✓"),SUMPRODUCT(($AM$11:$AM722&lt;&gt;"")*($AS$11:$AS722&lt;&gt;"✓")),"")</f>
        <v/>
      </c>
      <c r="AZ722" s="21" t="str">
        <f>IF(AND($AM722&lt;&gt;"",$AS722="✓"),SUMPRODUCT(($AM$11:$AM722&lt;&gt;"")*($AS$11:$AS722="✓")),"")</f>
        <v/>
      </c>
      <c r="BA722" s="21" t="str">
        <f>IF($AL722="","",$AL722&amp;"|"&amp;COUNTIF($AL$11:$AL722,$AL722))</f>
        <v/>
      </c>
    </row>
    <row r="723" spans="23:53" ht="15" customHeight="1" x14ac:dyDescent="0.25">
      <c r="W723" s="14" t="str">
        <f>IF(X723="","",IFERROR(INDEX($AL$11:$AL$4010,MATCH(713,$AY$11:$AY$4010,0)),""))</f>
        <v/>
      </c>
      <c r="X723" s="12" t="str">
        <f>IFERROR(INDEX($AM$11:$AM$4010,MATCH(713,$AY$11:$AY$4010,0)),"")</f>
        <v/>
      </c>
      <c r="Y723" s="11" t="str">
        <f>IF(X723="","",IFERROR(INDEX($AN$11:$AN$4010,MATCH(713,$AY$11:$AY$4010,0)),""))</f>
        <v/>
      </c>
      <c r="Z723" s="11" t="str">
        <f>IF(X723="","",IFERROR(INDEX($AO$11:$AO$4010,MATCH(713,$AY$11:$AY$4010,0)),""))</f>
        <v/>
      </c>
      <c r="AA723" s="10" t="str">
        <f>IF(X723="","",IFERROR(INDEX($AQ$11:$AQ$4010,MATCH(713,$AY$11:$AY$4010,0)),""))</f>
        <v/>
      </c>
      <c r="AB723" s="15" t="str">
        <f>IF(X723="","",IFERROR(INDEX($AR$11:$AR$4010,MATCH(713,$AY$11:$AY$4010,0)),""))</f>
        <v/>
      </c>
      <c r="AD723" s="16" t="str">
        <f>IF(AE723="","",IFERROR(INDEX($AL$11:$AL$4010,MATCH(713,$AZ$11:$AZ$4010,0)),""))</f>
        <v/>
      </c>
      <c r="AE723" s="12" t="str">
        <f>IFERROR(INDEX($AM$11:$AM$4010,MATCH(713,$AZ$11:$AZ$4010,0)),"")</f>
        <v/>
      </c>
      <c r="AF723" s="11" t="str">
        <f>IF(AE723="","",IFERROR(INDEX($AN$11:$AN$4010,MATCH(713,$AZ$11:$AZ$4010,0)),""))</f>
        <v/>
      </c>
      <c r="AG723" s="11" t="str">
        <f>IF(AE723="","",IFERROR(INDEX($AO$11:$AO$4010,MATCH(713,$AZ$11:$AZ$4010,0)),""))</f>
        <v/>
      </c>
      <c r="AH723" s="10" t="str">
        <f>IF(AE723="","",IFERROR(INDEX($AQ$11:$AQ$4010,MATCH(713,$AZ$11:$AZ$4010,0)),""))</f>
        <v/>
      </c>
      <c r="AI723" s="15" t="str">
        <f>IF(AE723="","",IFERROR(INDEX($AR$11:$AR$4010,MATCH(713,$AZ$11:$AZ$4010,0)),""))</f>
        <v/>
      </c>
      <c r="AJ723" s="15" t="str">
        <f>IF(AE723="","",IFERROR(INDEX($AT$11:$AT$4010,MATCH(713,$AZ$11:$AZ$4010,0)),""))</f>
        <v/>
      </c>
      <c r="AL723" s="17"/>
      <c r="AM723" s="12"/>
      <c r="AN723" s="18"/>
      <c r="AO723" s="18"/>
      <c r="AP723" s="10"/>
      <c r="AQ723" s="10"/>
      <c r="AR723" s="19"/>
      <c r="AS723" s="20"/>
      <c r="AT723" s="19"/>
      <c r="AV723" s="21">
        <f>IF(AND($AL723&lt;&gt;"",COUNTIF($AL$11:$AL723,$AL723)=1),1,0)</f>
        <v>0</v>
      </c>
      <c r="AW723" s="21">
        <f t="shared" si="109"/>
        <v>2</v>
      </c>
      <c r="AX723" s="21" t="str">
        <f t="shared" si="108"/>
        <v/>
      </c>
      <c r="AY723" s="21" t="str">
        <f>IF(AND($AM723&lt;&gt;"",$AS723&lt;&gt;"✓"),SUMPRODUCT(($AM$11:$AM723&lt;&gt;"")*($AS$11:$AS723&lt;&gt;"✓")),"")</f>
        <v/>
      </c>
      <c r="AZ723" s="21" t="str">
        <f>IF(AND($AM723&lt;&gt;"",$AS723="✓"),SUMPRODUCT(($AM$11:$AM723&lt;&gt;"")*($AS$11:$AS723="✓")),"")</f>
        <v/>
      </c>
      <c r="BA723" s="21" t="str">
        <f>IF($AL723="","",$AL723&amp;"|"&amp;COUNTIF($AL$11:$AL723,$AL723))</f>
        <v/>
      </c>
    </row>
    <row r="724" spans="23:53" ht="15" customHeight="1" x14ac:dyDescent="0.25">
      <c r="W724" s="28" t="str">
        <f>IF(X724="","",IFERROR(INDEX($AL$11:$AL$4010,MATCH(714,$AY$11:$AY$4010,0)),""))</f>
        <v/>
      </c>
      <c r="X724" s="26" t="str">
        <f>IFERROR(INDEX($AM$11:$AM$4010,MATCH(714,$AY$11:$AY$4010,0)),"")</f>
        <v/>
      </c>
      <c r="Y724" s="25" t="str">
        <f>IF(X724="","",IFERROR(INDEX($AN$11:$AN$4010,MATCH(714,$AY$11:$AY$4010,0)),""))</f>
        <v/>
      </c>
      <c r="Z724" s="25" t="str">
        <f>IF(X724="","",IFERROR(INDEX($AO$11:$AO$4010,MATCH(714,$AY$11:$AY$4010,0)),""))</f>
        <v/>
      </c>
      <c r="AA724" s="24" t="str">
        <f>IF(X724="","",IFERROR(INDEX($AQ$11:$AQ$4010,MATCH(714,$AY$11:$AY$4010,0)),""))</f>
        <v/>
      </c>
      <c r="AB724" s="29" t="str">
        <f>IF(X724="","",IFERROR(INDEX($AR$11:$AR$4010,MATCH(714,$AY$11:$AY$4010,0)),""))</f>
        <v/>
      </c>
      <c r="AD724" s="30" t="str">
        <f>IF(AE724="","",IFERROR(INDEX($AL$11:$AL$4010,MATCH(714,$AZ$11:$AZ$4010,0)),""))</f>
        <v/>
      </c>
      <c r="AE724" s="26" t="str">
        <f>IFERROR(INDEX($AM$11:$AM$4010,MATCH(714,$AZ$11:$AZ$4010,0)),"")</f>
        <v/>
      </c>
      <c r="AF724" s="25" t="str">
        <f>IF(AE724="","",IFERROR(INDEX($AN$11:$AN$4010,MATCH(714,$AZ$11:$AZ$4010,0)),""))</f>
        <v/>
      </c>
      <c r="AG724" s="25" t="str">
        <f>IF(AE724="","",IFERROR(INDEX($AO$11:$AO$4010,MATCH(714,$AZ$11:$AZ$4010,0)),""))</f>
        <v/>
      </c>
      <c r="AH724" s="24" t="str">
        <f>IF(AE724="","",IFERROR(INDEX($AQ$11:$AQ$4010,MATCH(714,$AZ$11:$AZ$4010,0)),""))</f>
        <v/>
      </c>
      <c r="AI724" s="29" t="str">
        <f>IF(AE724="","",IFERROR(INDEX($AR$11:$AR$4010,MATCH(714,$AZ$11:$AZ$4010,0)),""))</f>
        <v/>
      </c>
      <c r="AJ724" s="29" t="str">
        <f>IF(AE724="","",IFERROR(INDEX($AT$11:$AT$4010,MATCH(714,$AZ$11:$AZ$4010,0)),""))</f>
        <v/>
      </c>
      <c r="AL724" s="31"/>
      <c r="AM724" s="26"/>
      <c r="AN724" s="32"/>
      <c r="AO724" s="32"/>
      <c r="AP724" s="24"/>
      <c r="AQ724" s="24"/>
      <c r="AR724" s="33"/>
      <c r="AS724" s="34"/>
      <c r="AT724" s="33"/>
      <c r="AV724" s="21">
        <f>IF(AND($AL724&lt;&gt;"",COUNTIF($AL$11:$AL724,$AL724)=1),1,0)</f>
        <v>0</v>
      </c>
      <c r="AW724" s="21">
        <f t="shared" si="109"/>
        <v>2</v>
      </c>
      <c r="AX724" s="21" t="str">
        <f t="shared" si="108"/>
        <v/>
      </c>
      <c r="AY724" s="21" t="str">
        <f>IF(AND($AM724&lt;&gt;"",$AS724&lt;&gt;"✓"),SUMPRODUCT(($AM$11:$AM724&lt;&gt;"")*($AS$11:$AS724&lt;&gt;"✓")),"")</f>
        <v/>
      </c>
      <c r="AZ724" s="21" t="str">
        <f>IF(AND($AM724&lt;&gt;"",$AS724="✓"),SUMPRODUCT(($AM$11:$AM724&lt;&gt;"")*($AS$11:$AS724="✓")),"")</f>
        <v/>
      </c>
      <c r="BA724" s="21" t="str">
        <f>IF($AL724="","",$AL724&amp;"|"&amp;COUNTIF($AL$11:$AL724,$AL724))</f>
        <v/>
      </c>
    </row>
    <row r="725" spans="23:53" ht="15" customHeight="1" x14ac:dyDescent="0.25">
      <c r="W725" s="14" t="str">
        <f>IF(X725="","",IFERROR(INDEX($AL$11:$AL$4010,MATCH(715,$AY$11:$AY$4010,0)),""))</f>
        <v/>
      </c>
      <c r="X725" s="12" t="str">
        <f>IFERROR(INDEX($AM$11:$AM$4010,MATCH(715,$AY$11:$AY$4010,0)),"")</f>
        <v/>
      </c>
      <c r="Y725" s="11" t="str">
        <f>IF(X725="","",IFERROR(INDEX($AN$11:$AN$4010,MATCH(715,$AY$11:$AY$4010,0)),""))</f>
        <v/>
      </c>
      <c r="Z725" s="11" t="str">
        <f>IF(X725="","",IFERROR(INDEX($AO$11:$AO$4010,MATCH(715,$AY$11:$AY$4010,0)),""))</f>
        <v/>
      </c>
      <c r="AA725" s="10" t="str">
        <f>IF(X725="","",IFERROR(INDEX($AQ$11:$AQ$4010,MATCH(715,$AY$11:$AY$4010,0)),""))</f>
        <v/>
      </c>
      <c r="AB725" s="15" t="str">
        <f>IF(X725="","",IFERROR(INDEX($AR$11:$AR$4010,MATCH(715,$AY$11:$AY$4010,0)),""))</f>
        <v/>
      </c>
      <c r="AD725" s="16" t="str">
        <f>IF(AE725="","",IFERROR(INDEX($AL$11:$AL$4010,MATCH(715,$AZ$11:$AZ$4010,0)),""))</f>
        <v/>
      </c>
      <c r="AE725" s="12" t="str">
        <f>IFERROR(INDEX($AM$11:$AM$4010,MATCH(715,$AZ$11:$AZ$4010,0)),"")</f>
        <v/>
      </c>
      <c r="AF725" s="11" t="str">
        <f>IF(AE725="","",IFERROR(INDEX($AN$11:$AN$4010,MATCH(715,$AZ$11:$AZ$4010,0)),""))</f>
        <v/>
      </c>
      <c r="AG725" s="11" t="str">
        <f>IF(AE725="","",IFERROR(INDEX($AO$11:$AO$4010,MATCH(715,$AZ$11:$AZ$4010,0)),""))</f>
        <v/>
      </c>
      <c r="AH725" s="10" t="str">
        <f>IF(AE725="","",IFERROR(INDEX($AQ$11:$AQ$4010,MATCH(715,$AZ$11:$AZ$4010,0)),""))</f>
        <v/>
      </c>
      <c r="AI725" s="15" t="str">
        <f>IF(AE725="","",IFERROR(INDEX($AR$11:$AR$4010,MATCH(715,$AZ$11:$AZ$4010,0)),""))</f>
        <v/>
      </c>
      <c r="AJ725" s="15" t="str">
        <f>IF(AE725="","",IFERROR(INDEX($AT$11:$AT$4010,MATCH(715,$AZ$11:$AZ$4010,0)),""))</f>
        <v/>
      </c>
      <c r="AL725" s="17"/>
      <c r="AM725" s="12"/>
      <c r="AN725" s="18"/>
      <c r="AO725" s="18"/>
      <c r="AP725" s="10"/>
      <c r="AQ725" s="10"/>
      <c r="AR725" s="19"/>
      <c r="AS725" s="20"/>
      <c r="AT725" s="19"/>
      <c r="AV725" s="21">
        <f>IF(AND($AL725&lt;&gt;"",COUNTIF($AL$11:$AL725,$AL725)=1),1,0)</f>
        <v>0</v>
      </c>
      <c r="AW725" s="21">
        <f t="shared" si="109"/>
        <v>2</v>
      </c>
      <c r="AX725" s="21" t="str">
        <f t="shared" si="108"/>
        <v/>
      </c>
      <c r="AY725" s="21" t="str">
        <f>IF(AND($AM725&lt;&gt;"",$AS725&lt;&gt;"✓"),SUMPRODUCT(($AM$11:$AM725&lt;&gt;"")*($AS$11:$AS725&lt;&gt;"✓")),"")</f>
        <v/>
      </c>
      <c r="AZ725" s="21" t="str">
        <f>IF(AND($AM725&lt;&gt;"",$AS725="✓"),SUMPRODUCT(($AM$11:$AM725&lt;&gt;"")*($AS$11:$AS725="✓")),"")</f>
        <v/>
      </c>
      <c r="BA725" s="21" t="str">
        <f>IF($AL725="","",$AL725&amp;"|"&amp;COUNTIF($AL$11:$AL725,$AL725))</f>
        <v/>
      </c>
    </row>
    <row r="726" spans="23:53" ht="15" customHeight="1" x14ac:dyDescent="0.25">
      <c r="W726" s="28" t="str">
        <f>IF(X726="","",IFERROR(INDEX($AL$11:$AL$4010,MATCH(716,$AY$11:$AY$4010,0)),""))</f>
        <v/>
      </c>
      <c r="X726" s="26" t="str">
        <f>IFERROR(INDEX($AM$11:$AM$4010,MATCH(716,$AY$11:$AY$4010,0)),"")</f>
        <v/>
      </c>
      <c r="Y726" s="25" t="str">
        <f>IF(X726="","",IFERROR(INDEX($AN$11:$AN$4010,MATCH(716,$AY$11:$AY$4010,0)),""))</f>
        <v/>
      </c>
      <c r="Z726" s="25" t="str">
        <f>IF(X726="","",IFERROR(INDEX($AO$11:$AO$4010,MATCH(716,$AY$11:$AY$4010,0)),""))</f>
        <v/>
      </c>
      <c r="AA726" s="24" t="str">
        <f>IF(X726="","",IFERROR(INDEX($AQ$11:$AQ$4010,MATCH(716,$AY$11:$AY$4010,0)),""))</f>
        <v/>
      </c>
      <c r="AB726" s="29" t="str">
        <f>IF(X726="","",IFERROR(INDEX($AR$11:$AR$4010,MATCH(716,$AY$11:$AY$4010,0)),""))</f>
        <v/>
      </c>
      <c r="AD726" s="30" t="str">
        <f>IF(AE726="","",IFERROR(INDEX($AL$11:$AL$4010,MATCH(716,$AZ$11:$AZ$4010,0)),""))</f>
        <v/>
      </c>
      <c r="AE726" s="26" t="str">
        <f>IFERROR(INDEX($AM$11:$AM$4010,MATCH(716,$AZ$11:$AZ$4010,0)),"")</f>
        <v/>
      </c>
      <c r="AF726" s="25" t="str">
        <f>IF(AE726="","",IFERROR(INDEX($AN$11:$AN$4010,MATCH(716,$AZ$11:$AZ$4010,0)),""))</f>
        <v/>
      </c>
      <c r="AG726" s="25" t="str">
        <f>IF(AE726="","",IFERROR(INDEX($AO$11:$AO$4010,MATCH(716,$AZ$11:$AZ$4010,0)),""))</f>
        <v/>
      </c>
      <c r="AH726" s="24" t="str">
        <f>IF(AE726="","",IFERROR(INDEX($AQ$11:$AQ$4010,MATCH(716,$AZ$11:$AZ$4010,0)),""))</f>
        <v/>
      </c>
      <c r="AI726" s="29" t="str">
        <f>IF(AE726="","",IFERROR(INDEX($AR$11:$AR$4010,MATCH(716,$AZ$11:$AZ$4010,0)),""))</f>
        <v/>
      </c>
      <c r="AJ726" s="29" t="str">
        <f>IF(AE726="","",IFERROR(INDEX($AT$11:$AT$4010,MATCH(716,$AZ$11:$AZ$4010,0)),""))</f>
        <v/>
      </c>
      <c r="AL726" s="31"/>
      <c r="AM726" s="26"/>
      <c r="AN726" s="32"/>
      <c r="AO726" s="32"/>
      <c r="AP726" s="24"/>
      <c r="AQ726" s="24"/>
      <c r="AR726" s="33"/>
      <c r="AS726" s="34"/>
      <c r="AT726" s="33"/>
      <c r="AV726" s="21">
        <f>IF(AND($AL726&lt;&gt;"",COUNTIF($AL$11:$AL726,$AL726)=1),1,0)</f>
        <v>0</v>
      </c>
      <c r="AW726" s="21">
        <f t="shared" si="109"/>
        <v>2</v>
      </c>
      <c r="AX726" s="21" t="str">
        <f t="shared" si="108"/>
        <v/>
      </c>
      <c r="AY726" s="21" t="str">
        <f>IF(AND($AM726&lt;&gt;"",$AS726&lt;&gt;"✓"),SUMPRODUCT(($AM$11:$AM726&lt;&gt;"")*($AS$11:$AS726&lt;&gt;"✓")),"")</f>
        <v/>
      </c>
      <c r="AZ726" s="21" t="str">
        <f>IF(AND($AM726&lt;&gt;"",$AS726="✓"),SUMPRODUCT(($AM$11:$AM726&lt;&gt;"")*($AS$11:$AS726="✓")),"")</f>
        <v/>
      </c>
      <c r="BA726" s="21" t="str">
        <f>IF($AL726="","",$AL726&amp;"|"&amp;COUNTIF($AL$11:$AL726,$AL726))</f>
        <v/>
      </c>
    </row>
    <row r="727" spans="23:53" ht="15" customHeight="1" x14ac:dyDescent="0.25">
      <c r="W727" s="14" t="str">
        <f>IF(X727="","",IFERROR(INDEX($AL$11:$AL$4010,MATCH(717,$AY$11:$AY$4010,0)),""))</f>
        <v/>
      </c>
      <c r="X727" s="12" t="str">
        <f>IFERROR(INDEX($AM$11:$AM$4010,MATCH(717,$AY$11:$AY$4010,0)),"")</f>
        <v/>
      </c>
      <c r="Y727" s="11" t="str">
        <f>IF(X727="","",IFERROR(INDEX($AN$11:$AN$4010,MATCH(717,$AY$11:$AY$4010,0)),""))</f>
        <v/>
      </c>
      <c r="Z727" s="11" t="str">
        <f>IF(X727="","",IFERROR(INDEX($AO$11:$AO$4010,MATCH(717,$AY$11:$AY$4010,0)),""))</f>
        <v/>
      </c>
      <c r="AA727" s="10" t="str">
        <f>IF(X727="","",IFERROR(INDEX($AQ$11:$AQ$4010,MATCH(717,$AY$11:$AY$4010,0)),""))</f>
        <v/>
      </c>
      <c r="AB727" s="15" t="str">
        <f>IF(X727="","",IFERROR(INDEX($AR$11:$AR$4010,MATCH(717,$AY$11:$AY$4010,0)),""))</f>
        <v/>
      </c>
      <c r="AD727" s="16" t="str">
        <f>IF(AE727="","",IFERROR(INDEX($AL$11:$AL$4010,MATCH(717,$AZ$11:$AZ$4010,0)),""))</f>
        <v/>
      </c>
      <c r="AE727" s="12" t="str">
        <f>IFERROR(INDEX($AM$11:$AM$4010,MATCH(717,$AZ$11:$AZ$4010,0)),"")</f>
        <v/>
      </c>
      <c r="AF727" s="11" t="str">
        <f>IF(AE727="","",IFERROR(INDEX($AN$11:$AN$4010,MATCH(717,$AZ$11:$AZ$4010,0)),""))</f>
        <v/>
      </c>
      <c r="AG727" s="11" t="str">
        <f>IF(AE727="","",IFERROR(INDEX($AO$11:$AO$4010,MATCH(717,$AZ$11:$AZ$4010,0)),""))</f>
        <v/>
      </c>
      <c r="AH727" s="10" t="str">
        <f>IF(AE727="","",IFERROR(INDEX($AQ$11:$AQ$4010,MATCH(717,$AZ$11:$AZ$4010,0)),""))</f>
        <v/>
      </c>
      <c r="AI727" s="15" t="str">
        <f>IF(AE727="","",IFERROR(INDEX($AR$11:$AR$4010,MATCH(717,$AZ$11:$AZ$4010,0)),""))</f>
        <v/>
      </c>
      <c r="AJ727" s="15" t="str">
        <f>IF(AE727="","",IFERROR(INDEX($AT$11:$AT$4010,MATCH(717,$AZ$11:$AZ$4010,0)),""))</f>
        <v/>
      </c>
      <c r="AL727" s="17"/>
      <c r="AM727" s="12"/>
      <c r="AN727" s="18"/>
      <c r="AO727" s="18"/>
      <c r="AP727" s="10"/>
      <c r="AQ727" s="10"/>
      <c r="AR727" s="19"/>
      <c r="AS727" s="20"/>
      <c r="AT727" s="19"/>
      <c r="AV727" s="21">
        <f>IF(AND($AL727&lt;&gt;"",COUNTIF($AL$11:$AL727,$AL727)=1),1,0)</f>
        <v>0</v>
      </c>
      <c r="AW727" s="21">
        <f t="shared" si="109"/>
        <v>2</v>
      </c>
      <c r="AX727" s="21" t="str">
        <f t="shared" si="108"/>
        <v/>
      </c>
      <c r="AY727" s="21" t="str">
        <f>IF(AND($AM727&lt;&gt;"",$AS727&lt;&gt;"✓"),SUMPRODUCT(($AM$11:$AM727&lt;&gt;"")*($AS$11:$AS727&lt;&gt;"✓")),"")</f>
        <v/>
      </c>
      <c r="AZ727" s="21" t="str">
        <f>IF(AND($AM727&lt;&gt;"",$AS727="✓"),SUMPRODUCT(($AM$11:$AM727&lt;&gt;"")*($AS$11:$AS727="✓")),"")</f>
        <v/>
      </c>
      <c r="BA727" s="21" t="str">
        <f>IF($AL727="","",$AL727&amp;"|"&amp;COUNTIF($AL$11:$AL727,$AL727))</f>
        <v/>
      </c>
    </row>
    <row r="728" spans="23:53" ht="15" customHeight="1" x14ac:dyDescent="0.25">
      <c r="W728" s="28" t="str">
        <f>IF(X728="","",IFERROR(INDEX($AL$11:$AL$4010,MATCH(718,$AY$11:$AY$4010,0)),""))</f>
        <v/>
      </c>
      <c r="X728" s="26" t="str">
        <f>IFERROR(INDEX($AM$11:$AM$4010,MATCH(718,$AY$11:$AY$4010,0)),"")</f>
        <v/>
      </c>
      <c r="Y728" s="25" t="str">
        <f>IF(X728="","",IFERROR(INDEX($AN$11:$AN$4010,MATCH(718,$AY$11:$AY$4010,0)),""))</f>
        <v/>
      </c>
      <c r="Z728" s="25" t="str">
        <f>IF(X728="","",IFERROR(INDEX($AO$11:$AO$4010,MATCH(718,$AY$11:$AY$4010,0)),""))</f>
        <v/>
      </c>
      <c r="AA728" s="24" t="str">
        <f>IF(X728="","",IFERROR(INDEX($AQ$11:$AQ$4010,MATCH(718,$AY$11:$AY$4010,0)),""))</f>
        <v/>
      </c>
      <c r="AB728" s="29" t="str">
        <f>IF(X728="","",IFERROR(INDEX($AR$11:$AR$4010,MATCH(718,$AY$11:$AY$4010,0)),""))</f>
        <v/>
      </c>
      <c r="AD728" s="30" t="str">
        <f>IF(AE728="","",IFERROR(INDEX($AL$11:$AL$4010,MATCH(718,$AZ$11:$AZ$4010,0)),""))</f>
        <v/>
      </c>
      <c r="AE728" s="26" t="str">
        <f>IFERROR(INDEX($AM$11:$AM$4010,MATCH(718,$AZ$11:$AZ$4010,0)),"")</f>
        <v/>
      </c>
      <c r="AF728" s="25" t="str">
        <f>IF(AE728="","",IFERROR(INDEX($AN$11:$AN$4010,MATCH(718,$AZ$11:$AZ$4010,0)),""))</f>
        <v/>
      </c>
      <c r="AG728" s="25" t="str">
        <f>IF(AE728="","",IFERROR(INDEX($AO$11:$AO$4010,MATCH(718,$AZ$11:$AZ$4010,0)),""))</f>
        <v/>
      </c>
      <c r="AH728" s="24" t="str">
        <f>IF(AE728="","",IFERROR(INDEX($AQ$11:$AQ$4010,MATCH(718,$AZ$11:$AZ$4010,0)),""))</f>
        <v/>
      </c>
      <c r="AI728" s="29" t="str">
        <f>IF(AE728="","",IFERROR(INDEX($AR$11:$AR$4010,MATCH(718,$AZ$11:$AZ$4010,0)),""))</f>
        <v/>
      </c>
      <c r="AJ728" s="29" t="str">
        <f>IF(AE728="","",IFERROR(INDEX($AT$11:$AT$4010,MATCH(718,$AZ$11:$AZ$4010,0)),""))</f>
        <v/>
      </c>
      <c r="AL728" s="31"/>
      <c r="AM728" s="26"/>
      <c r="AN728" s="32"/>
      <c r="AO728" s="32"/>
      <c r="AP728" s="24"/>
      <c r="AQ728" s="24"/>
      <c r="AR728" s="33"/>
      <c r="AS728" s="34"/>
      <c r="AT728" s="33"/>
      <c r="AV728" s="21">
        <f>IF(AND($AL728&lt;&gt;"",COUNTIF($AL$11:$AL728,$AL728)=1),1,0)</f>
        <v>0</v>
      </c>
      <c r="AW728" s="21">
        <f t="shared" si="109"/>
        <v>2</v>
      </c>
      <c r="AX728" s="21" t="str">
        <f t="shared" si="108"/>
        <v/>
      </c>
      <c r="AY728" s="21" t="str">
        <f>IF(AND($AM728&lt;&gt;"",$AS728&lt;&gt;"✓"),SUMPRODUCT(($AM$11:$AM728&lt;&gt;"")*($AS$11:$AS728&lt;&gt;"✓")),"")</f>
        <v/>
      </c>
      <c r="AZ728" s="21" t="str">
        <f>IF(AND($AM728&lt;&gt;"",$AS728="✓"),SUMPRODUCT(($AM$11:$AM728&lt;&gt;"")*($AS$11:$AS728="✓")),"")</f>
        <v/>
      </c>
      <c r="BA728" s="21" t="str">
        <f>IF($AL728="","",$AL728&amp;"|"&amp;COUNTIF($AL$11:$AL728,$AL728))</f>
        <v/>
      </c>
    </row>
    <row r="729" spans="23:53" ht="15" customHeight="1" x14ac:dyDescent="0.25">
      <c r="W729" s="14" t="str">
        <f>IF(X729="","",IFERROR(INDEX($AL$11:$AL$4010,MATCH(719,$AY$11:$AY$4010,0)),""))</f>
        <v/>
      </c>
      <c r="X729" s="12" t="str">
        <f>IFERROR(INDEX($AM$11:$AM$4010,MATCH(719,$AY$11:$AY$4010,0)),"")</f>
        <v/>
      </c>
      <c r="Y729" s="11" t="str">
        <f>IF(X729="","",IFERROR(INDEX($AN$11:$AN$4010,MATCH(719,$AY$11:$AY$4010,0)),""))</f>
        <v/>
      </c>
      <c r="Z729" s="11" t="str">
        <f>IF(X729="","",IFERROR(INDEX($AO$11:$AO$4010,MATCH(719,$AY$11:$AY$4010,0)),""))</f>
        <v/>
      </c>
      <c r="AA729" s="10" t="str">
        <f>IF(X729="","",IFERROR(INDEX($AQ$11:$AQ$4010,MATCH(719,$AY$11:$AY$4010,0)),""))</f>
        <v/>
      </c>
      <c r="AB729" s="15" t="str">
        <f>IF(X729="","",IFERROR(INDEX($AR$11:$AR$4010,MATCH(719,$AY$11:$AY$4010,0)),""))</f>
        <v/>
      </c>
      <c r="AD729" s="16" t="str">
        <f>IF(AE729="","",IFERROR(INDEX($AL$11:$AL$4010,MATCH(719,$AZ$11:$AZ$4010,0)),""))</f>
        <v/>
      </c>
      <c r="AE729" s="12" t="str">
        <f>IFERROR(INDEX($AM$11:$AM$4010,MATCH(719,$AZ$11:$AZ$4010,0)),"")</f>
        <v/>
      </c>
      <c r="AF729" s="11" t="str">
        <f>IF(AE729="","",IFERROR(INDEX($AN$11:$AN$4010,MATCH(719,$AZ$11:$AZ$4010,0)),""))</f>
        <v/>
      </c>
      <c r="AG729" s="11" t="str">
        <f>IF(AE729="","",IFERROR(INDEX($AO$11:$AO$4010,MATCH(719,$AZ$11:$AZ$4010,0)),""))</f>
        <v/>
      </c>
      <c r="AH729" s="10" t="str">
        <f>IF(AE729="","",IFERROR(INDEX($AQ$11:$AQ$4010,MATCH(719,$AZ$11:$AZ$4010,0)),""))</f>
        <v/>
      </c>
      <c r="AI729" s="15" t="str">
        <f>IF(AE729="","",IFERROR(INDEX($AR$11:$AR$4010,MATCH(719,$AZ$11:$AZ$4010,0)),""))</f>
        <v/>
      </c>
      <c r="AJ729" s="15" t="str">
        <f>IF(AE729="","",IFERROR(INDEX($AT$11:$AT$4010,MATCH(719,$AZ$11:$AZ$4010,0)),""))</f>
        <v/>
      </c>
      <c r="AL729" s="17"/>
      <c r="AM729" s="12"/>
      <c r="AN729" s="18"/>
      <c r="AO729" s="18"/>
      <c r="AP729" s="10"/>
      <c r="AQ729" s="10"/>
      <c r="AR729" s="19"/>
      <c r="AS729" s="20"/>
      <c r="AT729" s="19"/>
      <c r="AV729" s="21">
        <f>IF(AND($AL729&lt;&gt;"",COUNTIF($AL$11:$AL729,$AL729)=1),1,0)</f>
        <v>0</v>
      </c>
      <c r="AW729" s="21">
        <f t="shared" si="109"/>
        <v>2</v>
      </c>
      <c r="AX729" s="21" t="str">
        <f t="shared" si="108"/>
        <v/>
      </c>
      <c r="AY729" s="21" t="str">
        <f>IF(AND($AM729&lt;&gt;"",$AS729&lt;&gt;"✓"),SUMPRODUCT(($AM$11:$AM729&lt;&gt;"")*($AS$11:$AS729&lt;&gt;"✓")),"")</f>
        <v/>
      </c>
      <c r="AZ729" s="21" t="str">
        <f>IF(AND($AM729&lt;&gt;"",$AS729="✓"),SUMPRODUCT(($AM$11:$AM729&lt;&gt;"")*($AS$11:$AS729="✓")),"")</f>
        <v/>
      </c>
      <c r="BA729" s="21" t="str">
        <f>IF($AL729="","",$AL729&amp;"|"&amp;COUNTIF($AL$11:$AL729,$AL729))</f>
        <v/>
      </c>
    </row>
    <row r="730" spans="23:53" ht="15" customHeight="1" x14ac:dyDescent="0.25">
      <c r="W730" s="28" t="str">
        <f>IF(X730="","",IFERROR(INDEX($AL$11:$AL$4010,MATCH(720,$AY$11:$AY$4010,0)),""))</f>
        <v/>
      </c>
      <c r="X730" s="26" t="str">
        <f>IFERROR(INDEX($AM$11:$AM$4010,MATCH(720,$AY$11:$AY$4010,0)),"")</f>
        <v/>
      </c>
      <c r="Y730" s="25" t="str">
        <f>IF(X730="","",IFERROR(INDEX($AN$11:$AN$4010,MATCH(720,$AY$11:$AY$4010,0)),""))</f>
        <v/>
      </c>
      <c r="Z730" s="25" t="str">
        <f>IF(X730="","",IFERROR(INDEX($AO$11:$AO$4010,MATCH(720,$AY$11:$AY$4010,0)),""))</f>
        <v/>
      </c>
      <c r="AA730" s="24" t="str">
        <f>IF(X730="","",IFERROR(INDEX($AQ$11:$AQ$4010,MATCH(720,$AY$11:$AY$4010,0)),""))</f>
        <v/>
      </c>
      <c r="AB730" s="29" t="str">
        <f>IF(X730="","",IFERROR(INDEX($AR$11:$AR$4010,MATCH(720,$AY$11:$AY$4010,0)),""))</f>
        <v/>
      </c>
      <c r="AD730" s="30" t="str">
        <f>IF(AE730="","",IFERROR(INDEX($AL$11:$AL$4010,MATCH(720,$AZ$11:$AZ$4010,0)),""))</f>
        <v/>
      </c>
      <c r="AE730" s="26" t="str">
        <f>IFERROR(INDEX($AM$11:$AM$4010,MATCH(720,$AZ$11:$AZ$4010,0)),"")</f>
        <v/>
      </c>
      <c r="AF730" s="25" t="str">
        <f>IF(AE730="","",IFERROR(INDEX($AN$11:$AN$4010,MATCH(720,$AZ$11:$AZ$4010,0)),""))</f>
        <v/>
      </c>
      <c r="AG730" s="25" t="str">
        <f>IF(AE730="","",IFERROR(INDEX($AO$11:$AO$4010,MATCH(720,$AZ$11:$AZ$4010,0)),""))</f>
        <v/>
      </c>
      <c r="AH730" s="24" t="str">
        <f>IF(AE730="","",IFERROR(INDEX($AQ$11:$AQ$4010,MATCH(720,$AZ$11:$AZ$4010,0)),""))</f>
        <v/>
      </c>
      <c r="AI730" s="29" t="str">
        <f>IF(AE730="","",IFERROR(INDEX($AR$11:$AR$4010,MATCH(720,$AZ$11:$AZ$4010,0)),""))</f>
        <v/>
      </c>
      <c r="AJ730" s="29" t="str">
        <f>IF(AE730="","",IFERROR(INDEX($AT$11:$AT$4010,MATCH(720,$AZ$11:$AZ$4010,0)),""))</f>
        <v/>
      </c>
      <c r="AL730" s="31"/>
      <c r="AM730" s="26"/>
      <c r="AN730" s="32"/>
      <c r="AO730" s="32"/>
      <c r="AP730" s="24"/>
      <c r="AQ730" s="24"/>
      <c r="AR730" s="33"/>
      <c r="AS730" s="34"/>
      <c r="AT730" s="33"/>
      <c r="AV730" s="21">
        <f>IF(AND($AL730&lt;&gt;"",COUNTIF($AL$11:$AL730,$AL730)=1),1,0)</f>
        <v>0</v>
      </c>
      <c r="AW730" s="21">
        <f t="shared" si="109"/>
        <v>2</v>
      </c>
      <c r="AX730" s="21" t="str">
        <f t="shared" si="108"/>
        <v/>
      </c>
      <c r="AY730" s="21" t="str">
        <f>IF(AND($AM730&lt;&gt;"",$AS730&lt;&gt;"✓"),SUMPRODUCT(($AM$11:$AM730&lt;&gt;"")*($AS$11:$AS730&lt;&gt;"✓")),"")</f>
        <v/>
      </c>
      <c r="AZ730" s="21" t="str">
        <f>IF(AND($AM730&lt;&gt;"",$AS730="✓"),SUMPRODUCT(($AM$11:$AM730&lt;&gt;"")*($AS$11:$AS730="✓")),"")</f>
        <v/>
      </c>
      <c r="BA730" s="21" t="str">
        <f>IF($AL730="","",$AL730&amp;"|"&amp;COUNTIF($AL$11:$AL730,$AL730))</f>
        <v/>
      </c>
    </row>
    <row r="731" spans="23:53" ht="15" customHeight="1" x14ac:dyDescent="0.25">
      <c r="W731" s="14" t="str">
        <f>IF(X731="","",IFERROR(INDEX($AL$11:$AL$4010,MATCH(721,$AY$11:$AY$4010,0)),""))</f>
        <v/>
      </c>
      <c r="X731" s="12" t="str">
        <f>IFERROR(INDEX($AM$11:$AM$4010,MATCH(721,$AY$11:$AY$4010,0)),"")</f>
        <v/>
      </c>
      <c r="Y731" s="11" t="str">
        <f>IF(X731="","",IFERROR(INDEX($AN$11:$AN$4010,MATCH(721,$AY$11:$AY$4010,0)),""))</f>
        <v/>
      </c>
      <c r="Z731" s="11" t="str">
        <f>IF(X731="","",IFERROR(INDEX($AO$11:$AO$4010,MATCH(721,$AY$11:$AY$4010,0)),""))</f>
        <v/>
      </c>
      <c r="AA731" s="10" t="str">
        <f>IF(X731="","",IFERROR(INDEX($AQ$11:$AQ$4010,MATCH(721,$AY$11:$AY$4010,0)),""))</f>
        <v/>
      </c>
      <c r="AB731" s="15" t="str">
        <f>IF(X731="","",IFERROR(INDEX($AR$11:$AR$4010,MATCH(721,$AY$11:$AY$4010,0)),""))</f>
        <v/>
      </c>
      <c r="AD731" s="16" t="str">
        <f>IF(AE731="","",IFERROR(INDEX($AL$11:$AL$4010,MATCH(721,$AZ$11:$AZ$4010,0)),""))</f>
        <v/>
      </c>
      <c r="AE731" s="12" t="str">
        <f>IFERROR(INDEX($AM$11:$AM$4010,MATCH(721,$AZ$11:$AZ$4010,0)),"")</f>
        <v/>
      </c>
      <c r="AF731" s="11" t="str">
        <f>IF(AE731="","",IFERROR(INDEX($AN$11:$AN$4010,MATCH(721,$AZ$11:$AZ$4010,0)),""))</f>
        <v/>
      </c>
      <c r="AG731" s="11" t="str">
        <f>IF(AE731="","",IFERROR(INDEX($AO$11:$AO$4010,MATCH(721,$AZ$11:$AZ$4010,0)),""))</f>
        <v/>
      </c>
      <c r="AH731" s="10" t="str">
        <f>IF(AE731="","",IFERROR(INDEX($AQ$11:$AQ$4010,MATCH(721,$AZ$11:$AZ$4010,0)),""))</f>
        <v/>
      </c>
      <c r="AI731" s="15" t="str">
        <f>IF(AE731="","",IFERROR(INDEX($AR$11:$AR$4010,MATCH(721,$AZ$11:$AZ$4010,0)),""))</f>
        <v/>
      </c>
      <c r="AJ731" s="15" t="str">
        <f>IF(AE731="","",IFERROR(INDEX($AT$11:$AT$4010,MATCH(721,$AZ$11:$AZ$4010,0)),""))</f>
        <v/>
      </c>
      <c r="AL731" s="17"/>
      <c r="AM731" s="12"/>
      <c r="AN731" s="18"/>
      <c r="AO731" s="18"/>
      <c r="AP731" s="10"/>
      <c r="AQ731" s="10"/>
      <c r="AR731" s="19"/>
      <c r="AS731" s="20"/>
      <c r="AT731" s="19"/>
      <c r="AV731" s="21">
        <f>IF(AND($AL731&lt;&gt;"",COUNTIF($AL$11:$AL731,$AL731)=1),1,0)</f>
        <v>0</v>
      </c>
      <c r="AW731" s="21">
        <f t="shared" si="109"/>
        <v>2</v>
      </c>
      <c r="AX731" s="21" t="str">
        <f t="shared" si="108"/>
        <v/>
      </c>
      <c r="AY731" s="21" t="str">
        <f>IF(AND($AM731&lt;&gt;"",$AS731&lt;&gt;"✓"),SUMPRODUCT(($AM$11:$AM731&lt;&gt;"")*($AS$11:$AS731&lt;&gt;"✓")),"")</f>
        <v/>
      </c>
      <c r="AZ731" s="21" t="str">
        <f>IF(AND($AM731&lt;&gt;"",$AS731="✓"),SUMPRODUCT(($AM$11:$AM731&lt;&gt;"")*($AS$11:$AS731="✓")),"")</f>
        <v/>
      </c>
      <c r="BA731" s="21" t="str">
        <f>IF($AL731="","",$AL731&amp;"|"&amp;COUNTIF($AL$11:$AL731,$AL731))</f>
        <v/>
      </c>
    </row>
    <row r="732" spans="23:53" ht="15" customHeight="1" x14ac:dyDescent="0.25">
      <c r="W732" s="28" t="str">
        <f>IF(X732="","",IFERROR(INDEX($AL$11:$AL$4010,MATCH(722,$AY$11:$AY$4010,0)),""))</f>
        <v/>
      </c>
      <c r="X732" s="26" t="str">
        <f>IFERROR(INDEX($AM$11:$AM$4010,MATCH(722,$AY$11:$AY$4010,0)),"")</f>
        <v/>
      </c>
      <c r="Y732" s="25" t="str">
        <f>IF(X732="","",IFERROR(INDEX($AN$11:$AN$4010,MATCH(722,$AY$11:$AY$4010,0)),""))</f>
        <v/>
      </c>
      <c r="Z732" s="25" t="str">
        <f>IF(X732="","",IFERROR(INDEX($AO$11:$AO$4010,MATCH(722,$AY$11:$AY$4010,0)),""))</f>
        <v/>
      </c>
      <c r="AA732" s="24" t="str">
        <f>IF(X732="","",IFERROR(INDEX($AQ$11:$AQ$4010,MATCH(722,$AY$11:$AY$4010,0)),""))</f>
        <v/>
      </c>
      <c r="AB732" s="29" t="str">
        <f>IF(X732="","",IFERROR(INDEX($AR$11:$AR$4010,MATCH(722,$AY$11:$AY$4010,0)),""))</f>
        <v/>
      </c>
      <c r="AD732" s="30" t="str">
        <f>IF(AE732="","",IFERROR(INDEX($AL$11:$AL$4010,MATCH(722,$AZ$11:$AZ$4010,0)),""))</f>
        <v/>
      </c>
      <c r="AE732" s="26" t="str">
        <f>IFERROR(INDEX($AM$11:$AM$4010,MATCH(722,$AZ$11:$AZ$4010,0)),"")</f>
        <v/>
      </c>
      <c r="AF732" s="25" t="str">
        <f>IF(AE732="","",IFERROR(INDEX($AN$11:$AN$4010,MATCH(722,$AZ$11:$AZ$4010,0)),""))</f>
        <v/>
      </c>
      <c r="AG732" s="25" t="str">
        <f>IF(AE732="","",IFERROR(INDEX($AO$11:$AO$4010,MATCH(722,$AZ$11:$AZ$4010,0)),""))</f>
        <v/>
      </c>
      <c r="AH732" s="24" t="str">
        <f>IF(AE732="","",IFERROR(INDEX($AQ$11:$AQ$4010,MATCH(722,$AZ$11:$AZ$4010,0)),""))</f>
        <v/>
      </c>
      <c r="AI732" s="29" t="str">
        <f>IF(AE732="","",IFERROR(INDEX($AR$11:$AR$4010,MATCH(722,$AZ$11:$AZ$4010,0)),""))</f>
        <v/>
      </c>
      <c r="AJ732" s="29" t="str">
        <f>IF(AE732="","",IFERROR(INDEX($AT$11:$AT$4010,MATCH(722,$AZ$11:$AZ$4010,0)),""))</f>
        <v/>
      </c>
      <c r="AL732" s="31"/>
      <c r="AM732" s="26"/>
      <c r="AN732" s="32"/>
      <c r="AO732" s="32"/>
      <c r="AP732" s="24"/>
      <c r="AQ732" s="24"/>
      <c r="AR732" s="33"/>
      <c r="AS732" s="34"/>
      <c r="AT732" s="33"/>
      <c r="AV732" s="21">
        <f>IF(AND($AL732&lt;&gt;"",COUNTIF($AL$11:$AL732,$AL732)=1),1,0)</f>
        <v>0</v>
      </c>
      <c r="AW732" s="21">
        <f t="shared" si="109"/>
        <v>2</v>
      </c>
      <c r="AX732" s="21" t="str">
        <f t="shared" si="108"/>
        <v/>
      </c>
      <c r="AY732" s="21" t="str">
        <f>IF(AND($AM732&lt;&gt;"",$AS732&lt;&gt;"✓"),SUMPRODUCT(($AM$11:$AM732&lt;&gt;"")*($AS$11:$AS732&lt;&gt;"✓")),"")</f>
        <v/>
      </c>
      <c r="AZ732" s="21" t="str">
        <f>IF(AND($AM732&lt;&gt;"",$AS732="✓"),SUMPRODUCT(($AM$11:$AM732&lt;&gt;"")*($AS$11:$AS732="✓")),"")</f>
        <v/>
      </c>
      <c r="BA732" s="21" t="str">
        <f>IF($AL732="","",$AL732&amp;"|"&amp;COUNTIF($AL$11:$AL732,$AL732))</f>
        <v/>
      </c>
    </row>
    <row r="733" spans="23:53" ht="15" customHeight="1" x14ac:dyDescent="0.25">
      <c r="W733" s="14" t="str">
        <f>IF(X733="","",IFERROR(INDEX($AL$11:$AL$4010,MATCH(723,$AY$11:$AY$4010,0)),""))</f>
        <v/>
      </c>
      <c r="X733" s="12" t="str">
        <f>IFERROR(INDEX($AM$11:$AM$4010,MATCH(723,$AY$11:$AY$4010,0)),"")</f>
        <v/>
      </c>
      <c r="Y733" s="11" t="str">
        <f>IF(X733="","",IFERROR(INDEX($AN$11:$AN$4010,MATCH(723,$AY$11:$AY$4010,0)),""))</f>
        <v/>
      </c>
      <c r="Z733" s="11" t="str">
        <f>IF(X733="","",IFERROR(INDEX($AO$11:$AO$4010,MATCH(723,$AY$11:$AY$4010,0)),""))</f>
        <v/>
      </c>
      <c r="AA733" s="10" t="str">
        <f>IF(X733="","",IFERROR(INDEX($AQ$11:$AQ$4010,MATCH(723,$AY$11:$AY$4010,0)),""))</f>
        <v/>
      </c>
      <c r="AB733" s="15" t="str">
        <f>IF(X733="","",IFERROR(INDEX($AR$11:$AR$4010,MATCH(723,$AY$11:$AY$4010,0)),""))</f>
        <v/>
      </c>
      <c r="AD733" s="16" t="str">
        <f>IF(AE733="","",IFERROR(INDEX($AL$11:$AL$4010,MATCH(723,$AZ$11:$AZ$4010,0)),""))</f>
        <v/>
      </c>
      <c r="AE733" s="12" t="str">
        <f>IFERROR(INDEX($AM$11:$AM$4010,MATCH(723,$AZ$11:$AZ$4010,0)),"")</f>
        <v/>
      </c>
      <c r="AF733" s="11" t="str">
        <f>IF(AE733="","",IFERROR(INDEX($AN$11:$AN$4010,MATCH(723,$AZ$11:$AZ$4010,0)),""))</f>
        <v/>
      </c>
      <c r="AG733" s="11" t="str">
        <f>IF(AE733="","",IFERROR(INDEX($AO$11:$AO$4010,MATCH(723,$AZ$11:$AZ$4010,0)),""))</f>
        <v/>
      </c>
      <c r="AH733" s="10" t="str">
        <f>IF(AE733="","",IFERROR(INDEX($AQ$11:$AQ$4010,MATCH(723,$AZ$11:$AZ$4010,0)),""))</f>
        <v/>
      </c>
      <c r="AI733" s="15" t="str">
        <f>IF(AE733="","",IFERROR(INDEX($AR$11:$AR$4010,MATCH(723,$AZ$11:$AZ$4010,0)),""))</f>
        <v/>
      </c>
      <c r="AJ733" s="15" t="str">
        <f>IF(AE733="","",IFERROR(INDEX($AT$11:$AT$4010,MATCH(723,$AZ$11:$AZ$4010,0)),""))</f>
        <v/>
      </c>
      <c r="AL733" s="17"/>
      <c r="AM733" s="12"/>
      <c r="AN733" s="18"/>
      <c r="AO733" s="18"/>
      <c r="AP733" s="10"/>
      <c r="AQ733" s="10"/>
      <c r="AR733" s="19"/>
      <c r="AS733" s="20"/>
      <c r="AT733" s="19"/>
      <c r="AV733" s="21">
        <f>IF(AND($AL733&lt;&gt;"",COUNTIF($AL$11:$AL733,$AL733)=1),1,0)</f>
        <v>0</v>
      </c>
      <c r="AW733" s="21">
        <f t="shared" si="109"/>
        <v>2</v>
      </c>
      <c r="AX733" s="21" t="str">
        <f t="shared" si="108"/>
        <v/>
      </c>
      <c r="AY733" s="21" t="str">
        <f>IF(AND($AM733&lt;&gt;"",$AS733&lt;&gt;"✓"),SUMPRODUCT(($AM$11:$AM733&lt;&gt;"")*($AS$11:$AS733&lt;&gt;"✓")),"")</f>
        <v/>
      </c>
      <c r="AZ733" s="21" t="str">
        <f>IF(AND($AM733&lt;&gt;"",$AS733="✓"),SUMPRODUCT(($AM$11:$AM733&lt;&gt;"")*($AS$11:$AS733="✓")),"")</f>
        <v/>
      </c>
      <c r="BA733" s="21" t="str">
        <f>IF($AL733="","",$AL733&amp;"|"&amp;COUNTIF($AL$11:$AL733,$AL733))</f>
        <v/>
      </c>
    </row>
    <row r="734" spans="23:53" ht="15" customHeight="1" x14ac:dyDescent="0.25">
      <c r="W734" s="28" t="str">
        <f>IF(X734="","",IFERROR(INDEX($AL$11:$AL$4010,MATCH(724,$AY$11:$AY$4010,0)),""))</f>
        <v/>
      </c>
      <c r="X734" s="26" t="str">
        <f>IFERROR(INDEX($AM$11:$AM$4010,MATCH(724,$AY$11:$AY$4010,0)),"")</f>
        <v/>
      </c>
      <c r="Y734" s="25" t="str">
        <f>IF(X734="","",IFERROR(INDEX($AN$11:$AN$4010,MATCH(724,$AY$11:$AY$4010,0)),""))</f>
        <v/>
      </c>
      <c r="Z734" s="25" t="str">
        <f>IF(X734="","",IFERROR(INDEX($AO$11:$AO$4010,MATCH(724,$AY$11:$AY$4010,0)),""))</f>
        <v/>
      </c>
      <c r="AA734" s="24" t="str">
        <f>IF(X734="","",IFERROR(INDEX($AQ$11:$AQ$4010,MATCH(724,$AY$11:$AY$4010,0)),""))</f>
        <v/>
      </c>
      <c r="AB734" s="29" t="str">
        <f>IF(X734="","",IFERROR(INDEX($AR$11:$AR$4010,MATCH(724,$AY$11:$AY$4010,0)),""))</f>
        <v/>
      </c>
      <c r="AD734" s="30" t="str">
        <f>IF(AE734="","",IFERROR(INDEX($AL$11:$AL$4010,MATCH(724,$AZ$11:$AZ$4010,0)),""))</f>
        <v/>
      </c>
      <c r="AE734" s="26" t="str">
        <f>IFERROR(INDEX($AM$11:$AM$4010,MATCH(724,$AZ$11:$AZ$4010,0)),"")</f>
        <v/>
      </c>
      <c r="AF734" s="25" t="str">
        <f>IF(AE734="","",IFERROR(INDEX($AN$11:$AN$4010,MATCH(724,$AZ$11:$AZ$4010,0)),""))</f>
        <v/>
      </c>
      <c r="AG734" s="25" t="str">
        <f>IF(AE734="","",IFERROR(INDEX($AO$11:$AO$4010,MATCH(724,$AZ$11:$AZ$4010,0)),""))</f>
        <v/>
      </c>
      <c r="AH734" s="24" t="str">
        <f>IF(AE734="","",IFERROR(INDEX($AQ$11:$AQ$4010,MATCH(724,$AZ$11:$AZ$4010,0)),""))</f>
        <v/>
      </c>
      <c r="AI734" s="29" t="str">
        <f>IF(AE734="","",IFERROR(INDEX($AR$11:$AR$4010,MATCH(724,$AZ$11:$AZ$4010,0)),""))</f>
        <v/>
      </c>
      <c r="AJ734" s="29" t="str">
        <f>IF(AE734="","",IFERROR(INDEX($AT$11:$AT$4010,MATCH(724,$AZ$11:$AZ$4010,0)),""))</f>
        <v/>
      </c>
      <c r="AL734" s="31"/>
      <c r="AM734" s="26"/>
      <c r="AN734" s="32"/>
      <c r="AO734" s="32"/>
      <c r="AP734" s="24"/>
      <c r="AQ734" s="24"/>
      <c r="AR734" s="33"/>
      <c r="AS734" s="34"/>
      <c r="AT734" s="33"/>
      <c r="AV734" s="21">
        <f>IF(AND($AL734&lt;&gt;"",COUNTIF($AL$11:$AL734,$AL734)=1),1,0)</f>
        <v>0</v>
      </c>
      <c r="AW734" s="21">
        <f t="shared" si="109"/>
        <v>2</v>
      </c>
      <c r="AX734" s="21" t="str">
        <f t="shared" si="108"/>
        <v/>
      </c>
      <c r="AY734" s="21" t="str">
        <f>IF(AND($AM734&lt;&gt;"",$AS734&lt;&gt;"✓"),SUMPRODUCT(($AM$11:$AM734&lt;&gt;"")*($AS$11:$AS734&lt;&gt;"✓")),"")</f>
        <v/>
      </c>
      <c r="AZ734" s="21" t="str">
        <f>IF(AND($AM734&lt;&gt;"",$AS734="✓"),SUMPRODUCT(($AM$11:$AM734&lt;&gt;"")*($AS$11:$AS734="✓")),"")</f>
        <v/>
      </c>
      <c r="BA734" s="21" t="str">
        <f>IF($AL734="","",$AL734&amp;"|"&amp;COUNTIF($AL$11:$AL734,$AL734))</f>
        <v/>
      </c>
    </row>
    <row r="735" spans="23:53" ht="15" customHeight="1" x14ac:dyDescent="0.25">
      <c r="W735" s="14" t="str">
        <f>IF(X735="","",IFERROR(INDEX($AL$11:$AL$4010,MATCH(725,$AY$11:$AY$4010,0)),""))</f>
        <v/>
      </c>
      <c r="X735" s="12" t="str">
        <f>IFERROR(INDEX($AM$11:$AM$4010,MATCH(725,$AY$11:$AY$4010,0)),"")</f>
        <v/>
      </c>
      <c r="Y735" s="11" t="str">
        <f>IF(X735="","",IFERROR(INDEX($AN$11:$AN$4010,MATCH(725,$AY$11:$AY$4010,0)),""))</f>
        <v/>
      </c>
      <c r="Z735" s="11" t="str">
        <f>IF(X735="","",IFERROR(INDEX($AO$11:$AO$4010,MATCH(725,$AY$11:$AY$4010,0)),""))</f>
        <v/>
      </c>
      <c r="AA735" s="10" t="str">
        <f>IF(X735="","",IFERROR(INDEX($AQ$11:$AQ$4010,MATCH(725,$AY$11:$AY$4010,0)),""))</f>
        <v/>
      </c>
      <c r="AB735" s="15" t="str">
        <f>IF(X735="","",IFERROR(INDEX($AR$11:$AR$4010,MATCH(725,$AY$11:$AY$4010,0)),""))</f>
        <v/>
      </c>
      <c r="AD735" s="16" t="str">
        <f>IF(AE735="","",IFERROR(INDEX($AL$11:$AL$4010,MATCH(725,$AZ$11:$AZ$4010,0)),""))</f>
        <v/>
      </c>
      <c r="AE735" s="12" t="str">
        <f>IFERROR(INDEX($AM$11:$AM$4010,MATCH(725,$AZ$11:$AZ$4010,0)),"")</f>
        <v/>
      </c>
      <c r="AF735" s="11" t="str">
        <f>IF(AE735="","",IFERROR(INDEX($AN$11:$AN$4010,MATCH(725,$AZ$11:$AZ$4010,0)),""))</f>
        <v/>
      </c>
      <c r="AG735" s="11" t="str">
        <f>IF(AE735="","",IFERROR(INDEX($AO$11:$AO$4010,MATCH(725,$AZ$11:$AZ$4010,0)),""))</f>
        <v/>
      </c>
      <c r="AH735" s="10" t="str">
        <f>IF(AE735="","",IFERROR(INDEX($AQ$11:$AQ$4010,MATCH(725,$AZ$11:$AZ$4010,0)),""))</f>
        <v/>
      </c>
      <c r="AI735" s="15" t="str">
        <f>IF(AE735="","",IFERROR(INDEX($AR$11:$AR$4010,MATCH(725,$AZ$11:$AZ$4010,0)),""))</f>
        <v/>
      </c>
      <c r="AJ735" s="15" t="str">
        <f>IF(AE735="","",IFERROR(INDEX($AT$11:$AT$4010,MATCH(725,$AZ$11:$AZ$4010,0)),""))</f>
        <v/>
      </c>
      <c r="AL735" s="17"/>
      <c r="AM735" s="12"/>
      <c r="AN735" s="18"/>
      <c r="AO735" s="18"/>
      <c r="AP735" s="10"/>
      <c r="AQ735" s="10"/>
      <c r="AR735" s="19"/>
      <c r="AS735" s="20"/>
      <c r="AT735" s="19"/>
      <c r="AV735" s="21">
        <f>IF(AND($AL735&lt;&gt;"",COUNTIF($AL$11:$AL735,$AL735)=1),1,0)</f>
        <v>0</v>
      </c>
      <c r="AW735" s="21">
        <f t="shared" si="109"/>
        <v>2</v>
      </c>
      <c r="AX735" s="21" t="str">
        <f t="shared" si="108"/>
        <v/>
      </c>
      <c r="AY735" s="21" t="str">
        <f>IF(AND($AM735&lt;&gt;"",$AS735&lt;&gt;"✓"),SUMPRODUCT(($AM$11:$AM735&lt;&gt;"")*($AS$11:$AS735&lt;&gt;"✓")),"")</f>
        <v/>
      </c>
      <c r="AZ735" s="21" t="str">
        <f>IF(AND($AM735&lt;&gt;"",$AS735="✓"),SUMPRODUCT(($AM$11:$AM735&lt;&gt;"")*($AS$11:$AS735="✓")),"")</f>
        <v/>
      </c>
      <c r="BA735" s="21" t="str">
        <f>IF($AL735="","",$AL735&amp;"|"&amp;COUNTIF($AL$11:$AL735,$AL735))</f>
        <v/>
      </c>
    </row>
    <row r="736" spans="23:53" ht="15" customHeight="1" x14ac:dyDescent="0.25">
      <c r="W736" s="28" t="str">
        <f>IF(X736="","",IFERROR(INDEX($AL$11:$AL$4010,MATCH(726,$AY$11:$AY$4010,0)),""))</f>
        <v/>
      </c>
      <c r="X736" s="26" t="str">
        <f>IFERROR(INDEX($AM$11:$AM$4010,MATCH(726,$AY$11:$AY$4010,0)),"")</f>
        <v/>
      </c>
      <c r="Y736" s="25" t="str">
        <f>IF(X736="","",IFERROR(INDEX($AN$11:$AN$4010,MATCH(726,$AY$11:$AY$4010,0)),""))</f>
        <v/>
      </c>
      <c r="Z736" s="25" t="str">
        <f>IF(X736="","",IFERROR(INDEX($AO$11:$AO$4010,MATCH(726,$AY$11:$AY$4010,0)),""))</f>
        <v/>
      </c>
      <c r="AA736" s="24" t="str">
        <f>IF(X736="","",IFERROR(INDEX($AQ$11:$AQ$4010,MATCH(726,$AY$11:$AY$4010,0)),""))</f>
        <v/>
      </c>
      <c r="AB736" s="29" t="str">
        <f>IF(X736="","",IFERROR(INDEX($AR$11:$AR$4010,MATCH(726,$AY$11:$AY$4010,0)),""))</f>
        <v/>
      </c>
      <c r="AD736" s="30" t="str">
        <f>IF(AE736="","",IFERROR(INDEX($AL$11:$AL$4010,MATCH(726,$AZ$11:$AZ$4010,0)),""))</f>
        <v/>
      </c>
      <c r="AE736" s="26" t="str">
        <f>IFERROR(INDEX($AM$11:$AM$4010,MATCH(726,$AZ$11:$AZ$4010,0)),"")</f>
        <v/>
      </c>
      <c r="AF736" s="25" t="str">
        <f>IF(AE736="","",IFERROR(INDEX($AN$11:$AN$4010,MATCH(726,$AZ$11:$AZ$4010,0)),""))</f>
        <v/>
      </c>
      <c r="AG736" s="25" t="str">
        <f>IF(AE736="","",IFERROR(INDEX($AO$11:$AO$4010,MATCH(726,$AZ$11:$AZ$4010,0)),""))</f>
        <v/>
      </c>
      <c r="AH736" s="24" t="str">
        <f>IF(AE736="","",IFERROR(INDEX($AQ$11:$AQ$4010,MATCH(726,$AZ$11:$AZ$4010,0)),""))</f>
        <v/>
      </c>
      <c r="AI736" s="29" t="str">
        <f>IF(AE736="","",IFERROR(INDEX($AR$11:$AR$4010,MATCH(726,$AZ$11:$AZ$4010,0)),""))</f>
        <v/>
      </c>
      <c r="AJ736" s="29" t="str">
        <f>IF(AE736="","",IFERROR(INDEX($AT$11:$AT$4010,MATCH(726,$AZ$11:$AZ$4010,0)),""))</f>
        <v/>
      </c>
      <c r="AL736" s="31"/>
      <c r="AM736" s="26"/>
      <c r="AN736" s="32"/>
      <c r="AO736" s="32"/>
      <c r="AP736" s="24"/>
      <c r="AQ736" s="24"/>
      <c r="AR736" s="33"/>
      <c r="AS736" s="34"/>
      <c r="AT736" s="33"/>
      <c r="AV736" s="21">
        <f>IF(AND($AL736&lt;&gt;"",COUNTIF($AL$11:$AL736,$AL736)=1),1,0)</f>
        <v>0</v>
      </c>
      <c r="AW736" s="21">
        <f t="shared" si="109"/>
        <v>2</v>
      </c>
      <c r="AX736" s="21" t="str">
        <f t="shared" si="108"/>
        <v/>
      </c>
      <c r="AY736" s="21" t="str">
        <f>IF(AND($AM736&lt;&gt;"",$AS736&lt;&gt;"✓"),SUMPRODUCT(($AM$11:$AM736&lt;&gt;"")*($AS$11:$AS736&lt;&gt;"✓")),"")</f>
        <v/>
      </c>
      <c r="AZ736" s="21" t="str">
        <f>IF(AND($AM736&lt;&gt;"",$AS736="✓"),SUMPRODUCT(($AM$11:$AM736&lt;&gt;"")*($AS$11:$AS736="✓")),"")</f>
        <v/>
      </c>
      <c r="BA736" s="21" t="str">
        <f>IF($AL736="","",$AL736&amp;"|"&amp;COUNTIF($AL$11:$AL736,$AL736))</f>
        <v/>
      </c>
    </row>
    <row r="737" spans="23:53" ht="15" customHeight="1" x14ac:dyDescent="0.25">
      <c r="W737" s="14" t="str">
        <f>IF(X737="","",IFERROR(INDEX($AL$11:$AL$4010,MATCH(727,$AY$11:$AY$4010,0)),""))</f>
        <v/>
      </c>
      <c r="X737" s="12" t="str">
        <f>IFERROR(INDEX($AM$11:$AM$4010,MATCH(727,$AY$11:$AY$4010,0)),"")</f>
        <v/>
      </c>
      <c r="Y737" s="11" t="str">
        <f>IF(X737="","",IFERROR(INDEX($AN$11:$AN$4010,MATCH(727,$AY$11:$AY$4010,0)),""))</f>
        <v/>
      </c>
      <c r="Z737" s="11" t="str">
        <f>IF(X737="","",IFERROR(INDEX($AO$11:$AO$4010,MATCH(727,$AY$11:$AY$4010,0)),""))</f>
        <v/>
      </c>
      <c r="AA737" s="10" t="str">
        <f>IF(X737="","",IFERROR(INDEX($AQ$11:$AQ$4010,MATCH(727,$AY$11:$AY$4010,0)),""))</f>
        <v/>
      </c>
      <c r="AB737" s="15" t="str">
        <f>IF(X737="","",IFERROR(INDEX($AR$11:$AR$4010,MATCH(727,$AY$11:$AY$4010,0)),""))</f>
        <v/>
      </c>
      <c r="AD737" s="16" t="str">
        <f>IF(AE737="","",IFERROR(INDEX($AL$11:$AL$4010,MATCH(727,$AZ$11:$AZ$4010,0)),""))</f>
        <v/>
      </c>
      <c r="AE737" s="12" t="str">
        <f>IFERROR(INDEX($AM$11:$AM$4010,MATCH(727,$AZ$11:$AZ$4010,0)),"")</f>
        <v/>
      </c>
      <c r="AF737" s="11" t="str">
        <f>IF(AE737="","",IFERROR(INDEX($AN$11:$AN$4010,MATCH(727,$AZ$11:$AZ$4010,0)),""))</f>
        <v/>
      </c>
      <c r="AG737" s="11" t="str">
        <f>IF(AE737="","",IFERROR(INDEX($AO$11:$AO$4010,MATCH(727,$AZ$11:$AZ$4010,0)),""))</f>
        <v/>
      </c>
      <c r="AH737" s="10" t="str">
        <f>IF(AE737="","",IFERROR(INDEX($AQ$11:$AQ$4010,MATCH(727,$AZ$11:$AZ$4010,0)),""))</f>
        <v/>
      </c>
      <c r="AI737" s="15" t="str">
        <f>IF(AE737="","",IFERROR(INDEX($AR$11:$AR$4010,MATCH(727,$AZ$11:$AZ$4010,0)),""))</f>
        <v/>
      </c>
      <c r="AJ737" s="15" t="str">
        <f>IF(AE737="","",IFERROR(INDEX($AT$11:$AT$4010,MATCH(727,$AZ$11:$AZ$4010,0)),""))</f>
        <v/>
      </c>
      <c r="AL737" s="17"/>
      <c r="AM737" s="12"/>
      <c r="AN737" s="18"/>
      <c r="AO737" s="18"/>
      <c r="AP737" s="10"/>
      <c r="AQ737" s="10"/>
      <c r="AR737" s="19"/>
      <c r="AS737" s="20"/>
      <c r="AT737" s="19"/>
      <c r="AV737" s="21">
        <f>IF(AND($AL737&lt;&gt;"",COUNTIF($AL$11:$AL737,$AL737)=1),1,0)</f>
        <v>0</v>
      </c>
      <c r="AW737" s="21">
        <f t="shared" si="109"/>
        <v>2</v>
      </c>
      <c r="AX737" s="21" t="str">
        <f t="shared" si="108"/>
        <v/>
      </c>
      <c r="AY737" s="21" t="str">
        <f>IF(AND($AM737&lt;&gt;"",$AS737&lt;&gt;"✓"),SUMPRODUCT(($AM$11:$AM737&lt;&gt;"")*($AS$11:$AS737&lt;&gt;"✓")),"")</f>
        <v/>
      </c>
      <c r="AZ737" s="21" t="str">
        <f>IF(AND($AM737&lt;&gt;"",$AS737="✓"),SUMPRODUCT(($AM$11:$AM737&lt;&gt;"")*($AS$11:$AS737="✓")),"")</f>
        <v/>
      </c>
      <c r="BA737" s="21" t="str">
        <f>IF($AL737="","",$AL737&amp;"|"&amp;COUNTIF($AL$11:$AL737,$AL737))</f>
        <v/>
      </c>
    </row>
    <row r="738" spans="23:53" ht="15" customHeight="1" x14ac:dyDescent="0.25">
      <c r="W738" s="28" t="str">
        <f>IF(X738="","",IFERROR(INDEX($AL$11:$AL$4010,MATCH(728,$AY$11:$AY$4010,0)),""))</f>
        <v/>
      </c>
      <c r="X738" s="26" t="str">
        <f>IFERROR(INDEX($AM$11:$AM$4010,MATCH(728,$AY$11:$AY$4010,0)),"")</f>
        <v/>
      </c>
      <c r="Y738" s="25" t="str">
        <f>IF(X738="","",IFERROR(INDEX($AN$11:$AN$4010,MATCH(728,$AY$11:$AY$4010,0)),""))</f>
        <v/>
      </c>
      <c r="Z738" s="25" t="str">
        <f>IF(X738="","",IFERROR(INDEX($AO$11:$AO$4010,MATCH(728,$AY$11:$AY$4010,0)),""))</f>
        <v/>
      </c>
      <c r="AA738" s="24" t="str">
        <f>IF(X738="","",IFERROR(INDEX($AQ$11:$AQ$4010,MATCH(728,$AY$11:$AY$4010,0)),""))</f>
        <v/>
      </c>
      <c r="AB738" s="29" t="str">
        <f>IF(X738="","",IFERROR(INDEX($AR$11:$AR$4010,MATCH(728,$AY$11:$AY$4010,0)),""))</f>
        <v/>
      </c>
      <c r="AD738" s="30" t="str">
        <f>IF(AE738="","",IFERROR(INDEX($AL$11:$AL$4010,MATCH(728,$AZ$11:$AZ$4010,0)),""))</f>
        <v/>
      </c>
      <c r="AE738" s="26" t="str">
        <f>IFERROR(INDEX($AM$11:$AM$4010,MATCH(728,$AZ$11:$AZ$4010,0)),"")</f>
        <v/>
      </c>
      <c r="AF738" s="25" t="str">
        <f>IF(AE738="","",IFERROR(INDEX($AN$11:$AN$4010,MATCH(728,$AZ$11:$AZ$4010,0)),""))</f>
        <v/>
      </c>
      <c r="AG738" s="25" t="str">
        <f>IF(AE738="","",IFERROR(INDEX($AO$11:$AO$4010,MATCH(728,$AZ$11:$AZ$4010,0)),""))</f>
        <v/>
      </c>
      <c r="AH738" s="24" t="str">
        <f>IF(AE738="","",IFERROR(INDEX($AQ$11:$AQ$4010,MATCH(728,$AZ$11:$AZ$4010,0)),""))</f>
        <v/>
      </c>
      <c r="AI738" s="29" t="str">
        <f>IF(AE738="","",IFERROR(INDEX($AR$11:$AR$4010,MATCH(728,$AZ$11:$AZ$4010,0)),""))</f>
        <v/>
      </c>
      <c r="AJ738" s="29" t="str">
        <f>IF(AE738="","",IFERROR(INDEX($AT$11:$AT$4010,MATCH(728,$AZ$11:$AZ$4010,0)),""))</f>
        <v/>
      </c>
      <c r="AL738" s="31"/>
      <c r="AM738" s="26"/>
      <c r="AN738" s="32"/>
      <c r="AO738" s="32"/>
      <c r="AP738" s="24"/>
      <c r="AQ738" s="24"/>
      <c r="AR738" s="33"/>
      <c r="AS738" s="34"/>
      <c r="AT738" s="33"/>
      <c r="AV738" s="21">
        <f>IF(AND($AL738&lt;&gt;"",COUNTIF($AL$11:$AL738,$AL738)=1),1,0)</f>
        <v>0</v>
      </c>
      <c r="AW738" s="21">
        <f t="shared" si="109"/>
        <v>2</v>
      </c>
      <c r="AX738" s="21" t="str">
        <f t="shared" si="108"/>
        <v/>
      </c>
      <c r="AY738" s="21" t="str">
        <f>IF(AND($AM738&lt;&gt;"",$AS738&lt;&gt;"✓"),SUMPRODUCT(($AM$11:$AM738&lt;&gt;"")*($AS$11:$AS738&lt;&gt;"✓")),"")</f>
        <v/>
      </c>
      <c r="AZ738" s="21" t="str">
        <f>IF(AND($AM738&lt;&gt;"",$AS738="✓"),SUMPRODUCT(($AM$11:$AM738&lt;&gt;"")*($AS$11:$AS738="✓")),"")</f>
        <v/>
      </c>
      <c r="BA738" s="21" t="str">
        <f>IF($AL738="","",$AL738&amp;"|"&amp;COUNTIF($AL$11:$AL738,$AL738))</f>
        <v/>
      </c>
    </row>
    <row r="739" spans="23:53" ht="15" customHeight="1" x14ac:dyDescent="0.25">
      <c r="W739" s="14" t="str">
        <f>IF(X739="","",IFERROR(INDEX($AL$11:$AL$4010,MATCH(729,$AY$11:$AY$4010,0)),""))</f>
        <v/>
      </c>
      <c r="X739" s="12" t="str">
        <f>IFERROR(INDEX($AM$11:$AM$4010,MATCH(729,$AY$11:$AY$4010,0)),"")</f>
        <v/>
      </c>
      <c r="Y739" s="11" t="str">
        <f>IF(X739="","",IFERROR(INDEX($AN$11:$AN$4010,MATCH(729,$AY$11:$AY$4010,0)),""))</f>
        <v/>
      </c>
      <c r="Z739" s="11" t="str">
        <f>IF(X739="","",IFERROR(INDEX($AO$11:$AO$4010,MATCH(729,$AY$11:$AY$4010,0)),""))</f>
        <v/>
      </c>
      <c r="AA739" s="10" t="str">
        <f>IF(X739="","",IFERROR(INDEX($AQ$11:$AQ$4010,MATCH(729,$AY$11:$AY$4010,0)),""))</f>
        <v/>
      </c>
      <c r="AB739" s="15" t="str">
        <f>IF(X739="","",IFERROR(INDEX($AR$11:$AR$4010,MATCH(729,$AY$11:$AY$4010,0)),""))</f>
        <v/>
      </c>
      <c r="AD739" s="16" t="str">
        <f>IF(AE739="","",IFERROR(INDEX($AL$11:$AL$4010,MATCH(729,$AZ$11:$AZ$4010,0)),""))</f>
        <v/>
      </c>
      <c r="AE739" s="12" t="str">
        <f>IFERROR(INDEX($AM$11:$AM$4010,MATCH(729,$AZ$11:$AZ$4010,0)),"")</f>
        <v/>
      </c>
      <c r="AF739" s="11" t="str">
        <f>IF(AE739="","",IFERROR(INDEX($AN$11:$AN$4010,MATCH(729,$AZ$11:$AZ$4010,0)),""))</f>
        <v/>
      </c>
      <c r="AG739" s="11" t="str">
        <f>IF(AE739="","",IFERROR(INDEX($AO$11:$AO$4010,MATCH(729,$AZ$11:$AZ$4010,0)),""))</f>
        <v/>
      </c>
      <c r="AH739" s="10" t="str">
        <f>IF(AE739="","",IFERROR(INDEX($AQ$11:$AQ$4010,MATCH(729,$AZ$11:$AZ$4010,0)),""))</f>
        <v/>
      </c>
      <c r="AI739" s="15" t="str">
        <f>IF(AE739="","",IFERROR(INDEX($AR$11:$AR$4010,MATCH(729,$AZ$11:$AZ$4010,0)),""))</f>
        <v/>
      </c>
      <c r="AJ739" s="15" t="str">
        <f>IF(AE739="","",IFERROR(INDEX($AT$11:$AT$4010,MATCH(729,$AZ$11:$AZ$4010,0)),""))</f>
        <v/>
      </c>
      <c r="AL739" s="17"/>
      <c r="AM739" s="12"/>
      <c r="AN739" s="18"/>
      <c r="AO739" s="18"/>
      <c r="AP739" s="10"/>
      <c r="AQ739" s="10"/>
      <c r="AR739" s="19"/>
      <c r="AS739" s="20"/>
      <c r="AT739" s="19"/>
      <c r="AV739" s="21">
        <f>IF(AND($AL739&lt;&gt;"",COUNTIF($AL$11:$AL739,$AL739)=1),1,0)</f>
        <v>0</v>
      </c>
      <c r="AW739" s="21">
        <f t="shared" si="109"/>
        <v>2</v>
      </c>
      <c r="AX739" s="21" t="str">
        <f t="shared" si="108"/>
        <v/>
      </c>
      <c r="AY739" s="21" t="str">
        <f>IF(AND($AM739&lt;&gt;"",$AS739&lt;&gt;"✓"),SUMPRODUCT(($AM$11:$AM739&lt;&gt;"")*($AS$11:$AS739&lt;&gt;"✓")),"")</f>
        <v/>
      </c>
      <c r="AZ739" s="21" t="str">
        <f>IF(AND($AM739&lt;&gt;"",$AS739="✓"),SUMPRODUCT(($AM$11:$AM739&lt;&gt;"")*($AS$11:$AS739="✓")),"")</f>
        <v/>
      </c>
      <c r="BA739" s="21" t="str">
        <f>IF($AL739="","",$AL739&amp;"|"&amp;COUNTIF($AL$11:$AL739,$AL739))</f>
        <v/>
      </c>
    </row>
    <row r="740" spans="23:53" ht="15" customHeight="1" x14ac:dyDescent="0.25">
      <c r="W740" s="28" t="str">
        <f>IF(X740="","",IFERROR(INDEX($AL$11:$AL$4010,MATCH(730,$AY$11:$AY$4010,0)),""))</f>
        <v/>
      </c>
      <c r="X740" s="26" t="str">
        <f>IFERROR(INDEX($AM$11:$AM$4010,MATCH(730,$AY$11:$AY$4010,0)),"")</f>
        <v/>
      </c>
      <c r="Y740" s="25" t="str">
        <f>IF(X740="","",IFERROR(INDEX($AN$11:$AN$4010,MATCH(730,$AY$11:$AY$4010,0)),""))</f>
        <v/>
      </c>
      <c r="Z740" s="25" t="str">
        <f>IF(X740="","",IFERROR(INDEX($AO$11:$AO$4010,MATCH(730,$AY$11:$AY$4010,0)),""))</f>
        <v/>
      </c>
      <c r="AA740" s="24" t="str">
        <f>IF(X740="","",IFERROR(INDEX($AQ$11:$AQ$4010,MATCH(730,$AY$11:$AY$4010,0)),""))</f>
        <v/>
      </c>
      <c r="AB740" s="29" t="str">
        <f>IF(X740="","",IFERROR(INDEX($AR$11:$AR$4010,MATCH(730,$AY$11:$AY$4010,0)),""))</f>
        <v/>
      </c>
      <c r="AD740" s="30" t="str">
        <f>IF(AE740="","",IFERROR(INDEX($AL$11:$AL$4010,MATCH(730,$AZ$11:$AZ$4010,0)),""))</f>
        <v/>
      </c>
      <c r="AE740" s="26" t="str">
        <f>IFERROR(INDEX($AM$11:$AM$4010,MATCH(730,$AZ$11:$AZ$4010,0)),"")</f>
        <v/>
      </c>
      <c r="AF740" s="25" t="str">
        <f>IF(AE740="","",IFERROR(INDEX($AN$11:$AN$4010,MATCH(730,$AZ$11:$AZ$4010,0)),""))</f>
        <v/>
      </c>
      <c r="AG740" s="25" t="str">
        <f>IF(AE740="","",IFERROR(INDEX($AO$11:$AO$4010,MATCH(730,$AZ$11:$AZ$4010,0)),""))</f>
        <v/>
      </c>
      <c r="AH740" s="24" t="str">
        <f>IF(AE740="","",IFERROR(INDEX($AQ$11:$AQ$4010,MATCH(730,$AZ$11:$AZ$4010,0)),""))</f>
        <v/>
      </c>
      <c r="AI740" s="29" t="str">
        <f>IF(AE740="","",IFERROR(INDEX($AR$11:$AR$4010,MATCH(730,$AZ$11:$AZ$4010,0)),""))</f>
        <v/>
      </c>
      <c r="AJ740" s="29" t="str">
        <f>IF(AE740="","",IFERROR(INDEX($AT$11:$AT$4010,MATCH(730,$AZ$11:$AZ$4010,0)),""))</f>
        <v/>
      </c>
      <c r="AL740" s="31"/>
      <c r="AM740" s="26"/>
      <c r="AN740" s="32"/>
      <c r="AO740" s="32"/>
      <c r="AP740" s="24"/>
      <c r="AQ740" s="24"/>
      <c r="AR740" s="33"/>
      <c r="AS740" s="34"/>
      <c r="AT740" s="33"/>
      <c r="AV740" s="21">
        <f>IF(AND($AL740&lt;&gt;"",COUNTIF($AL$11:$AL740,$AL740)=1),1,0)</f>
        <v>0</v>
      </c>
      <c r="AW740" s="21">
        <f t="shared" si="109"/>
        <v>2</v>
      </c>
      <c r="AX740" s="21" t="str">
        <f t="shared" si="108"/>
        <v/>
      </c>
      <c r="AY740" s="21" t="str">
        <f>IF(AND($AM740&lt;&gt;"",$AS740&lt;&gt;"✓"),SUMPRODUCT(($AM$11:$AM740&lt;&gt;"")*($AS$11:$AS740&lt;&gt;"✓")),"")</f>
        <v/>
      </c>
      <c r="AZ740" s="21" t="str">
        <f>IF(AND($AM740&lt;&gt;"",$AS740="✓"),SUMPRODUCT(($AM$11:$AM740&lt;&gt;"")*($AS$11:$AS740="✓")),"")</f>
        <v/>
      </c>
      <c r="BA740" s="21" t="str">
        <f>IF($AL740="","",$AL740&amp;"|"&amp;COUNTIF($AL$11:$AL740,$AL740))</f>
        <v/>
      </c>
    </row>
    <row r="741" spans="23:53" ht="15" customHeight="1" x14ac:dyDescent="0.25">
      <c r="W741" s="14" t="str">
        <f>IF(X741="","",IFERROR(INDEX($AL$11:$AL$4010,MATCH(731,$AY$11:$AY$4010,0)),""))</f>
        <v/>
      </c>
      <c r="X741" s="12" t="str">
        <f>IFERROR(INDEX($AM$11:$AM$4010,MATCH(731,$AY$11:$AY$4010,0)),"")</f>
        <v/>
      </c>
      <c r="Y741" s="11" t="str">
        <f>IF(X741="","",IFERROR(INDEX($AN$11:$AN$4010,MATCH(731,$AY$11:$AY$4010,0)),""))</f>
        <v/>
      </c>
      <c r="Z741" s="11" t="str">
        <f>IF(X741="","",IFERROR(INDEX($AO$11:$AO$4010,MATCH(731,$AY$11:$AY$4010,0)),""))</f>
        <v/>
      </c>
      <c r="AA741" s="10" t="str">
        <f>IF(X741="","",IFERROR(INDEX($AQ$11:$AQ$4010,MATCH(731,$AY$11:$AY$4010,0)),""))</f>
        <v/>
      </c>
      <c r="AB741" s="15" t="str">
        <f>IF(X741="","",IFERROR(INDEX($AR$11:$AR$4010,MATCH(731,$AY$11:$AY$4010,0)),""))</f>
        <v/>
      </c>
      <c r="AD741" s="16" t="str">
        <f>IF(AE741="","",IFERROR(INDEX($AL$11:$AL$4010,MATCH(731,$AZ$11:$AZ$4010,0)),""))</f>
        <v/>
      </c>
      <c r="AE741" s="12" t="str">
        <f>IFERROR(INDEX($AM$11:$AM$4010,MATCH(731,$AZ$11:$AZ$4010,0)),"")</f>
        <v/>
      </c>
      <c r="AF741" s="11" t="str">
        <f>IF(AE741="","",IFERROR(INDEX($AN$11:$AN$4010,MATCH(731,$AZ$11:$AZ$4010,0)),""))</f>
        <v/>
      </c>
      <c r="AG741" s="11" t="str">
        <f>IF(AE741="","",IFERROR(INDEX($AO$11:$AO$4010,MATCH(731,$AZ$11:$AZ$4010,0)),""))</f>
        <v/>
      </c>
      <c r="AH741" s="10" t="str">
        <f>IF(AE741="","",IFERROR(INDEX($AQ$11:$AQ$4010,MATCH(731,$AZ$11:$AZ$4010,0)),""))</f>
        <v/>
      </c>
      <c r="AI741" s="15" t="str">
        <f>IF(AE741="","",IFERROR(INDEX($AR$11:$AR$4010,MATCH(731,$AZ$11:$AZ$4010,0)),""))</f>
        <v/>
      </c>
      <c r="AJ741" s="15" t="str">
        <f>IF(AE741="","",IFERROR(INDEX($AT$11:$AT$4010,MATCH(731,$AZ$11:$AZ$4010,0)),""))</f>
        <v/>
      </c>
      <c r="AL741" s="17"/>
      <c r="AM741" s="12"/>
      <c r="AN741" s="18"/>
      <c r="AO741" s="18"/>
      <c r="AP741" s="10"/>
      <c r="AQ741" s="10"/>
      <c r="AR741" s="19"/>
      <c r="AS741" s="20"/>
      <c r="AT741" s="19"/>
      <c r="AV741" s="21">
        <f>IF(AND($AL741&lt;&gt;"",COUNTIF($AL$11:$AL741,$AL741)=1),1,0)</f>
        <v>0</v>
      </c>
      <c r="AW741" s="21">
        <f t="shared" si="109"/>
        <v>2</v>
      </c>
      <c r="AX741" s="21" t="str">
        <f t="shared" si="108"/>
        <v/>
      </c>
      <c r="AY741" s="21" t="str">
        <f>IF(AND($AM741&lt;&gt;"",$AS741&lt;&gt;"✓"),SUMPRODUCT(($AM$11:$AM741&lt;&gt;"")*($AS$11:$AS741&lt;&gt;"✓")),"")</f>
        <v/>
      </c>
      <c r="AZ741" s="21" t="str">
        <f>IF(AND($AM741&lt;&gt;"",$AS741="✓"),SUMPRODUCT(($AM$11:$AM741&lt;&gt;"")*($AS$11:$AS741="✓")),"")</f>
        <v/>
      </c>
      <c r="BA741" s="21" t="str">
        <f>IF($AL741="","",$AL741&amp;"|"&amp;COUNTIF($AL$11:$AL741,$AL741))</f>
        <v/>
      </c>
    </row>
    <row r="742" spans="23:53" ht="15" customHeight="1" x14ac:dyDescent="0.25">
      <c r="W742" s="28" t="str">
        <f>IF(X742="","",IFERROR(INDEX($AL$11:$AL$4010,MATCH(732,$AY$11:$AY$4010,0)),""))</f>
        <v/>
      </c>
      <c r="X742" s="26" t="str">
        <f>IFERROR(INDEX($AM$11:$AM$4010,MATCH(732,$AY$11:$AY$4010,0)),"")</f>
        <v/>
      </c>
      <c r="Y742" s="25" t="str">
        <f>IF(X742="","",IFERROR(INDEX($AN$11:$AN$4010,MATCH(732,$AY$11:$AY$4010,0)),""))</f>
        <v/>
      </c>
      <c r="Z742" s="25" t="str">
        <f>IF(X742="","",IFERROR(INDEX($AO$11:$AO$4010,MATCH(732,$AY$11:$AY$4010,0)),""))</f>
        <v/>
      </c>
      <c r="AA742" s="24" t="str">
        <f>IF(X742="","",IFERROR(INDEX($AQ$11:$AQ$4010,MATCH(732,$AY$11:$AY$4010,0)),""))</f>
        <v/>
      </c>
      <c r="AB742" s="29" t="str">
        <f>IF(X742="","",IFERROR(INDEX($AR$11:$AR$4010,MATCH(732,$AY$11:$AY$4010,0)),""))</f>
        <v/>
      </c>
      <c r="AD742" s="30" t="str">
        <f>IF(AE742="","",IFERROR(INDEX($AL$11:$AL$4010,MATCH(732,$AZ$11:$AZ$4010,0)),""))</f>
        <v/>
      </c>
      <c r="AE742" s="26" t="str">
        <f>IFERROR(INDEX($AM$11:$AM$4010,MATCH(732,$AZ$11:$AZ$4010,0)),"")</f>
        <v/>
      </c>
      <c r="AF742" s="25" t="str">
        <f>IF(AE742="","",IFERROR(INDEX($AN$11:$AN$4010,MATCH(732,$AZ$11:$AZ$4010,0)),""))</f>
        <v/>
      </c>
      <c r="AG742" s="25" t="str">
        <f>IF(AE742="","",IFERROR(INDEX($AO$11:$AO$4010,MATCH(732,$AZ$11:$AZ$4010,0)),""))</f>
        <v/>
      </c>
      <c r="AH742" s="24" t="str">
        <f>IF(AE742="","",IFERROR(INDEX($AQ$11:$AQ$4010,MATCH(732,$AZ$11:$AZ$4010,0)),""))</f>
        <v/>
      </c>
      <c r="AI742" s="29" t="str">
        <f>IF(AE742="","",IFERROR(INDEX($AR$11:$AR$4010,MATCH(732,$AZ$11:$AZ$4010,0)),""))</f>
        <v/>
      </c>
      <c r="AJ742" s="29" t="str">
        <f>IF(AE742="","",IFERROR(INDEX($AT$11:$AT$4010,MATCH(732,$AZ$11:$AZ$4010,0)),""))</f>
        <v/>
      </c>
      <c r="AL742" s="31"/>
      <c r="AM742" s="26"/>
      <c r="AN742" s="32"/>
      <c r="AO742" s="32"/>
      <c r="AP742" s="24"/>
      <c r="AQ742" s="24"/>
      <c r="AR742" s="33"/>
      <c r="AS742" s="34"/>
      <c r="AT742" s="33"/>
      <c r="AV742" s="21">
        <f>IF(AND($AL742&lt;&gt;"",COUNTIF($AL$11:$AL742,$AL742)=1),1,0)</f>
        <v>0</v>
      </c>
      <c r="AW742" s="21">
        <f t="shared" si="109"/>
        <v>2</v>
      </c>
      <c r="AX742" s="21" t="str">
        <f t="shared" si="108"/>
        <v/>
      </c>
      <c r="AY742" s="21" t="str">
        <f>IF(AND($AM742&lt;&gt;"",$AS742&lt;&gt;"✓"),SUMPRODUCT(($AM$11:$AM742&lt;&gt;"")*($AS$11:$AS742&lt;&gt;"✓")),"")</f>
        <v/>
      </c>
      <c r="AZ742" s="21" t="str">
        <f>IF(AND($AM742&lt;&gt;"",$AS742="✓"),SUMPRODUCT(($AM$11:$AM742&lt;&gt;"")*($AS$11:$AS742="✓")),"")</f>
        <v/>
      </c>
      <c r="BA742" s="21" t="str">
        <f>IF($AL742="","",$AL742&amp;"|"&amp;COUNTIF($AL$11:$AL742,$AL742))</f>
        <v/>
      </c>
    </row>
    <row r="743" spans="23:53" ht="15" customHeight="1" x14ac:dyDescent="0.25">
      <c r="W743" s="14" t="str">
        <f>IF(X743="","",IFERROR(INDEX($AL$11:$AL$4010,MATCH(733,$AY$11:$AY$4010,0)),""))</f>
        <v/>
      </c>
      <c r="X743" s="12" t="str">
        <f>IFERROR(INDEX($AM$11:$AM$4010,MATCH(733,$AY$11:$AY$4010,0)),"")</f>
        <v/>
      </c>
      <c r="Y743" s="11" t="str">
        <f>IF(X743="","",IFERROR(INDEX($AN$11:$AN$4010,MATCH(733,$AY$11:$AY$4010,0)),""))</f>
        <v/>
      </c>
      <c r="Z743" s="11" t="str">
        <f>IF(X743="","",IFERROR(INDEX($AO$11:$AO$4010,MATCH(733,$AY$11:$AY$4010,0)),""))</f>
        <v/>
      </c>
      <c r="AA743" s="10" t="str">
        <f>IF(X743="","",IFERROR(INDEX($AQ$11:$AQ$4010,MATCH(733,$AY$11:$AY$4010,0)),""))</f>
        <v/>
      </c>
      <c r="AB743" s="15" t="str">
        <f>IF(X743="","",IFERROR(INDEX($AR$11:$AR$4010,MATCH(733,$AY$11:$AY$4010,0)),""))</f>
        <v/>
      </c>
      <c r="AD743" s="16" t="str">
        <f>IF(AE743="","",IFERROR(INDEX($AL$11:$AL$4010,MATCH(733,$AZ$11:$AZ$4010,0)),""))</f>
        <v/>
      </c>
      <c r="AE743" s="12" t="str">
        <f>IFERROR(INDEX($AM$11:$AM$4010,MATCH(733,$AZ$11:$AZ$4010,0)),"")</f>
        <v/>
      </c>
      <c r="AF743" s="11" t="str">
        <f>IF(AE743="","",IFERROR(INDEX($AN$11:$AN$4010,MATCH(733,$AZ$11:$AZ$4010,0)),""))</f>
        <v/>
      </c>
      <c r="AG743" s="11" t="str">
        <f>IF(AE743="","",IFERROR(INDEX($AO$11:$AO$4010,MATCH(733,$AZ$11:$AZ$4010,0)),""))</f>
        <v/>
      </c>
      <c r="AH743" s="10" t="str">
        <f>IF(AE743="","",IFERROR(INDEX($AQ$11:$AQ$4010,MATCH(733,$AZ$11:$AZ$4010,0)),""))</f>
        <v/>
      </c>
      <c r="AI743" s="15" t="str">
        <f>IF(AE743="","",IFERROR(INDEX($AR$11:$AR$4010,MATCH(733,$AZ$11:$AZ$4010,0)),""))</f>
        <v/>
      </c>
      <c r="AJ743" s="15" t="str">
        <f>IF(AE743="","",IFERROR(INDEX($AT$11:$AT$4010,MATCH(733,$AZ$11:$AZ$4010,0)),""))</f>
        <v/>
      </c>
      <c r="AL743" s="17"/>
      <c r="AM743" s="12"/>
      <c r="AN743" s="18"/>
      <c r="AO743" s="18"/>
      <c r="AP743" s="10"/>
      <c r="AQ743" s="10"/>
      <c r="AR743" s="19"/>
      <c r="AS743" s="20"/>
      <c r="AT743" s="19"/>
      <c r="AV743" s="21">
        <f>IF(AND($AL743&lt;&gt;"",COUNTIF($AL$11:$AL743,$AL743)=1),1,0)</f>
        <v>0</v>
      </c>
      <c r="AW743" s="21">
        <f t="shared" si="109"/>
        <v>2</v>
      </c>
      <c r="AX743" s="21" t="str">
        <f t="shared" si="108"/>
        <v/>
      </c>
      <c r="AY743" s="21" t="str">
        <f>IF(AND($AM743&lt;&gt;"",$AS743&lt;&gt;"✓"),SUMPRODUCT(($AM$11:$AM743&lt;&gt;"")*($AS$11:$AS743&lt;&gt;"✓")),"")</f>
        <v/>
      </c>
      <c r="AZ743" s="21" t="str">
        <f>IF(AND($AM743&lt;&gt;"",$AS743="✓"),SUMPRODUCT(($AM$11:$AM743&lt;&gt;"")*($AS$11:$AS743="✓")),"")</f>
        <v/>
      </c>
      <c r="BA743" s="21" t="str">
        <f>IF($AL743="","",$AL743&amp;"|"&amp;COUNTIF($AL$11:$AL743,$AL743))</f>
        <v/>
      </c>
    </row>
    <row r="744" spans="23:53" ht="15" customHeight="1" x14ac:dyDescent="0.25">
      <c r="W744" s="28" t="str">
        <f>IF(X744="","",IFERROR(INDEX($AL$11:$AL$4010,MATCH(734,$AY$11:$AY$4010,0)),""))</f>
        <v/>
      </c>
      <c r="X744" s="26" t="str">
        <f>IFERROR(INDEX($AM$11:$AM$4010,MATCH(734,$AY$11:$AY$4010,0)),"")</f>
        <v/>
      </c>
      <c r="Y744" s="25" t="str">
        <f>IF(X744="","",IFERROR(INDEX($AN$11:$AN$4010,MATCH(734,$AY$11:$AY$4010,0)),""))</f>
        <v/>
      </c>
      <c r="Z744" s="25" t="str">
        <f>IF(X744="","",IFERROR(INDEX($AO$11:$AO$4010,MATCH(734,$AY$11:$AY$4010,0)),""))</f>
        <v/>
      </c>
      <c r="AA744" s="24" t="str">
        <f>IF(X744="","",IFERROR(INDEX($AQ$11:$AQ$4010,MATCH(734,$AY$11:$AY$4010,0)),""))</f>
        <v/>
      </c>
      <c r="AB744" s="29" t="str">
        <f>IF(X744="","",IFERROR(INDEX($AR$11:$AR$4010,MATCH(734,$AY$11:$AY$4010,0)),""))</f>
        <v/>
      </c>
      <c r="AD744" s="30" t="str">
        <f>IF(AE744="","",IFERROR(INDEX($AL$11:$AL$4010,MATCH(734,$AZ$11:$AZ$4010,0)),""))</f>
        <v/>
      </c>
      <c r="AE744" s="26" t="str">
        <f>IFERROR(INDEX($AM$11:$AM$4010,MATCH(734,$AZ$11:$AZ$4010,0)),"")</f>
        <v/>
      </c>
      <c r="AF744" s="25" t="str">
        <f>IF(AE744="","",IFERROR(INDEX($AN$11:$AN$4010,MATCH(734,$AZ$11:$AZ$4010,0)),""))</f>
        <v/>
      </c>
      <c r="AG744" s="25" t="str">
        <f>IF(AE744="","",IFERROR(INDEX($AO$11:$AO$4010,MATCH(734,$AZ$11:$AZ$4010,0)),""))</f>
        <v/>
      </c>
      <c r="AH744" s="24" t="str">
        <f>IF(AE744="","",IFERROR(INDEX($AQ$11:$AQ$4010,MATCH(734,$AZ$11:$AZ$4010,0)),""))</f>
        <v/>
      </c>
      <c r="AI744" s="29" t="str">
        <f>IF(AE744="","",IFERROR(INDEX($AR$11:$AR$4010,MATCH(734,$AZ$11:$AZ$4010,0)),""))</f>
        <v/>
      </c>
      <c r="AJ744" s="29" t="str">
        <f>IF(AE744="","",IFERROR(INDEX($AT$11:$AT$4010,MATCH(734,$AZ$11:$AZ$4010,0)),""))</f>
        <v/>
      </c>
      <c r="AL744" s="31"/>
      <c r="AM744" s="26"/>
      <c r="AN744" s="32"/>
      <c r="AO744" s="32"/>
      <c r="AP744" s="24"/>
      <c r="AQ744" s="24"/>
      <c r="AR744" s="33"/>
      <c r="AS744" s="34"/>
      <c r="AT744" s="33"/>
      <c r="AV744" s="21">
        <f>IF(AND($AL744&lt;&gt;"",COUNTIF($AL$11:$AL744,$AL744)=1),1,0)</f>
        <v>0</v>
      </c>
      <c r="AW744" s="21">
        <f t="shared" si="109"/>
        <v>2</v>
      </c>
      <c r="AX744" s="21" t="str">
        <f t="shared" si="108"/>
        <v/>
      </c>
      <c r="AY744" s="21" t="str">
        <f>IF(AND($AM744&lt;&gt;"",$AS744&lt;&gt;"✓"),SUMPRODUCT(($AM$11:$AM744&lt;&gt;"")*($AS$11:$AS744&lt;&gt;"✓")),"")</f>
        <v/>
      </c>
      <c r="AZ744" s="21" t="str">
        <f>IF(AND($AM744&lt;&gt;"",$AS744="✓"),SUMPRODUCT(($AM$11:$AM744&lt;&gt;"")*($AS$11:$AS744="✓")),"")</f>
        <v/>
      </c>
      <c r="BA744" s="21" t="str">
        <f>IF($AL744="","",$AL744&amp;"|"&amp;COUNTIF($AL$11:$AL744,$AL744))</f>
        <v/>
      </c>
    </row>
    <row r="745" spans="23:53" ht="15" customHeight="1" x14ac:dyDescent="0.25">
      <c r="W745" s="14" t="str">
        <f>IF(X745="","",IFERROR(INDEX($AL$11:$AL$4010,MATCH(735,$AY$11:$AY$4010,0)),""))</f>
        <v/>
      </c>
      <c r="X745" s="12" t="str">
        <f>IFERROR(INDEX($AM$11:$AM$4010,MATCH(735,$AY$11:$AY$4010,0)),"")</f>
        <v/>
      </c>
      <c r="Y745" s="11" t="str">
        <f>IF(X745="","",IFERROR(INDEX($AN$11:$AN$4010,MATCH(735,$AY$11:$AY$4010,0)),""))</f>
        <v/>
      </c>
      <c r="Z745" s="11" t="str">
        <f>IF(X745="","",IFERROR(INDEX($AO$11:$AO$4010,MATCH(735,$AY$11:$AY$4010,0)),""))</f>
        <v/>
      </c>
      <c r="AA745" s="10" t="str">
        <f>IF(X745="","",IFERROR(INDEX($AQ$11:$AQ$4010,MATCH(735,$AY$11:$AY$4010,0)),""))</f>
        <v/>
      </c>
      <c r="AB745" s="15" t="str">
        <f>IF(X745="","",IFERROR(INDEX($AR$11:$AR$4010,MATCH(735,$AY$11:$AY$4010,0)),""))</f>
        <v/>
      </c>
      <c r="AD745" s="16" t="str">
        <f>IF(AE745="","",IFERROR(INDEX($AL$11:$AL$4010,MATCH(735,$AZ$11:$AZ$4010,0)),""))</f>
        <v/>
      </c>
      <c r="AE745" s="12" t="str">
        <f>IFERROR(INDEX($AM$11:$AM$4010,MATCH(735,$AZ$11:$AZ$4010,0)),"")</f>
        <v/>
      </c>
      <c r="AF745" s="11" t="str">
        <f>IF(AE745="","",IFERROR(INDEX($AN$11:$AN$4010,MATCH(735,$AZ$11:$AZ$4010,0)),""))</f>
        <v/>
      </c>
      <c r="AG745" s="11" t="str">
        <f>IF(AE745="","",IFERROR(INDEX($AO$11:$AO$4010,MATCH(735,$AZ$11:$AZ$4010,0)),""))</f>
        <v/>
      </c>
      <c r="AH745" s="10" t="str">
        <f>IF(AE745="","",IFERROR(INDEX($AQ$11:$AQ$4010,MATCH(735,$AZ$11:$AZ$4010,0)),""))</f>
        <v/>
      </c>
      <c r="AI745" s="15" t="str">
        <f>IF(AE745="","",IFERROR(INDEX($AR$11:$AR$4010,MATCH(735,$AZ$11:$AZ$4010,0)),""))</f>
        <v/>
      </c>
      <c r="AJ745" s="15" t="str">
        <f>IF(AE745="","",IFERROR(INDEX($AT$11:$AT$4010,MATCH(735,$AZ$11:$AZ$4010,0)),""))</f>
        <v/>
      </c>
      <c r="AL745" s="17"/>
      <c r="AM745" s="12"/>
      <c r="AN745" s="18"/>
      <c r="AO745" s="18"/>
      <c r="AP745" s="10"/>
      <c r="AQ745" s="10"/>
      <c r="AR745" s="19"/>
      <c r="AS745" s="20"/>
      <c r="AT745" s="19"/>
      <c r="AV745" s="21">
        <f>IF(AND($AL745&lt;&gt;"",COUNTIF($AL$11:$AL745,$AL745)=1),1,0)</f>
        <v>0</v>
      </c>
      <c r="AW745" s="21">
        <f t="shared" si="109"/>
        <v>2</v>
      </c>
      <c r="AX745" s="21" t="str">
        <f t="shared" si="108"/>
        <v/>
      </c>
      <c r="AY745" s="21" t="str">
        <f>IF(AND($AM745&lt;&gt;"",$AS745&lt;&gt;"✓"),SUMPRODUCT(($AM$11:$AM745&lt;&gt;"")*($AS$11:$AS745&lt;&gt;"✓")),"")</f>
        <v/>
      </c>
      <c r="AZ745" s="21" t="str">
        <f>IF(AND($AM745&lt;&gt;"",$AS745="✓"),SUMPRODUCT(($AM$11:$AM745&lt;&gt;"")*($AS$11:$AS745="✓")),"")</f>
        <v/>
      </c>
      <c r="BA745" s="21" t="str">
        <f>IF($AL745="","",$AL745&amp;"|"&amp;COUNTIF($AL$11:$AL745,$AL745))</f>
        <v/>
      </c>
    </row>
    <row r="746" spans="23:53" ht="15" customHeight="1" x14ac:dyDescent="0.25">
      <c r="W746" s="28" t="str">
        <f>IF(X746="","",IFERROR(INDEX($AL$11:$AL$4010,MATCH(736,$AY$11:$AY$4010,0)),""))</f>
        <v/>
      </c>
      <c r="X746" s="26" t="str">
        <f>IFERROR(INDEX($AM$11:$AM$4010,MATCH(736,$AY$11:$AY$4010,0)),"")</f>
        <v/>
      </c>
      <c r="Y746" s="25" t="str">
        <f>IF(X746="","",IFERROR(INDEX($AN$11:$AN$4010,MATCH(736,$AY$11:$AY$4010,0)),""))</f>
        <v/>
      </c>
      <c r="Z746" s="25" t="str">
        <f>IF(X746="","",IFERROR(INDEX($AO$11:$AO$4010,MATCH(736,$AY$11:$AY$4010,0)),""))</f>
        <v/>
      </c>
      <c r="AA746" s="24" t="str">
        <f>IF(X746="","",IFERROR(INDEX($AQ$11:$AQ$4010,MATCH(736,$AY$11:$AY$4010,0)),""))</f>
        <v/>
      </c>
      <c r="AB746" s="29" t="str">
        <f>IF(X746="","",IFERROR(INDEX($AR$11:$AR$4010,MATCH(736,$AY$11:$AY$4010,0)),""))</f>
        <v/>
      </c>
      <c r="AD746" s="30" t="str">
        <f>IF(AE746="","",IFERROR(INDEX($AL$11:$AL$4010,MATCH(736,$AZ$11:$AZ$4010,0)),""))</f>
        <v/>
      </c>
      <c r="AE746" s="26" t="str">
        <f>IFERROR(INDEX($AM$11:$AM$4010,MATCH(736,$AZ$11:$AZ$4010,0)),"")</f>
        <v/>
      </c>
      <c r="AF746" s="25" t="str">
        <f>IF(AE746="","",IFERROR(INDEX($AN$11:$AN$4010,MATCH(736,$AZ$11:$AZ$4010,0)),""))</f>
        <v/>
      </c>
      <c r="AG746" s="25" t="str">
        <f>IF(AE746="","",IFERROR(INDEX($AO$11:$AO$4010,MATCH(736,$AZ$11:$AZ$4010,0)),""))</f>
        <v/>
      </c>
      <c r="AH746" s="24" t="str">
        <f>IF(AE746="","",IFERROR(INDEX($AQ$11:$AQ$4010,MATCH(736,$AZ$11:$AZ$4010,0)),""))</f>
        <v/>
      </c>
      <c r="AI746" s="29" t="str">
        <f>IF(AE746="","",IFERROR(INDEX($AR$11:$AR$4010,MATCH(736,$AZ$11:$AZ$4010,0)),""))</f>
        <v/>
      </c>
      <c r="AJ746" s="29" t="str">
        <f>IF(AE746="","",IFERROR(INDEX($AT$11:$AT$4010,MATCH(736,$AZ$11:$AZ$4010,0)),""))</f>
        <v/>
      </c>
      <c r="AL746" s="31"/>
      <c r="AM746" s="26"/>
      <c r="AN746" s="32"/>
      <c r="AO746" s="32"/>
      <c r="AP746" s="24"/>
      <c r="AQ746" s="24"/>
      <c r="AR746" s="33"/>
      <c r="AS746" s="34"/>
      <c r="AT746" s="33"/>
      <c r="AV746" s="21">
        <f>IF(AND($AL746&lt;&gt;"",COUNTIF($AL$11:$AL746,$AL746)=1),1,0)</f>
        <v>0</v>
      </c>
      <c r="AW746" s="21">
        <f t="shared" si="109"/>
        <v>2</v>
      </c>
      <c r="AX746" s="21" t="str">
        <f t="shared" si="108"/>
        <v/>
      </c>
      <c r="AY746" s="21" t="str">
        <f>IF(AND($AM746&lt;&gt;"",$AS746&lt;&gt;"✓"),SUMPRODUCT(($AM$11:$AM746&lt;&gt;"")*($AS$11:$AS746&lt;&gt;"✓")),"")</f>
        <v/>
      </c>
      <c r="AZ746" s="21" t="str">
        <f>IF(AND($AM746&lt;&gt;"",$AS746="✓"),SUMPRODUCT(($AM$11:$AM746&lt;&gt;"")*($AS$11:$AS746="✓")),"")</f>
        <v/>
      </c>
      <c r="BA746" s="21" t="str">
        <f>IF($AL746="","",$AL746&amp;"|"&amp;COUNTIF($AL$11:$AL746,$AL746))</f>
        <v/>
      </c>
    </row>
    <row r="747" spans="23:53" ht="15" customHeight="1" x14ac:dyDescent="0.25">
      <c r="W747" s="14" t="str">
        <f>IF(X747="","",IFERROR(INDEX($AL$11:$AL$4010,MATCH(737,$AY$11:$AY$4010,0)),""))</f>
        <v/>
      </c>
      <c r="X747" s="12" t="str">
        <f>IFERROR(INDEX($AM$11:$AM$4010,MATCH(737,$AY$11:$AY$4010,0)),"")</f>
        <v/>
      </c>
      <c r="Y747" s="11" t="str">
        <f>IF(X747="","",IFERROR(INDEX($AN$11:$AN$4010,MATCH(737,$AY$11:$AY$4010,0)),""))</f>
        <v/>
      </c>
      <c r="Z747" s="11" t="str">
        <f>IF(X747="","",IFERROR(INDEX($AO$11:$AO$4010,MATCH(737,$AY$11:$AY$4010,0)),""))</f>
        <v/>
      </c>
      <c r="AA747" s="10" t="str">
        <f>IF(X747="","",IFERROR(INDEX($AQ$11:$AQ$4010,MATCH(737,$AY$11:$AY$4010,0)),""))</f>
        <v/>
      </c>
      <c r="AB747" s="15" t="str">
        <f>IF(X747="","",IFERROR(INDEX($AR$11:$AR$4010,MATCH(737,$AY$11:$AY$4010,0)),""))</f>
        <v/>
      </c>
      <c r="AD747" s="16" t="str">
        <f>IF(AE747="","",IFERROR(INDEX($AL$11:$AL$4010,MATCH(737,$AZ$11:$AZ$4010,0)),""))</f>
        <v/>
      </c>
      <c r="AE747" s="12" t="str">
        <f>IFERROR(INDEX($AM$11:$AM$4010,MATCH(737,$AZ$11:$AZ$4010,0)),"")</f>
        <v/>
      </c>
      <c r="AF747" s="11" t="str">
        <f>IF(AE747="","",IFERROR(INDEX($AN$11:$AN$4010,MATCH(737,$AZ$11:$AZ$4010,0)),""))</f>
        <v/>
      </c>
      <c r="AG747" s="11" t="str">
        <f>IF(AE747="","",IFERROR(INDEX($AO$11:$AO$4010,MATCH(737,$AZ$11:$AZ$4010,0)),""))</f>
        <v/>
      </c>
      <c r="AH747" s="10" t="str">
        <f>IF(AE747="","",IFERROR(INDEX($AQ$11:$AQ$4010,MATCH(737,$AZ$11:$AZ$4010,0)),""))</f>
        <v/>
      </c>
      <c r="AI747" s="15" t="str">
        <f>IF(AE747="","",IFERROR(INDEX($AR$11:$AR$4010,MATCH(737,$AZ$11:$AZ$4010,0)),""))</f>
        <v/>
      </c>
      <c r="AJ747" s="15" t="str">
        <f>IF(AE747="","",IFERROR(INDEX($AT$11:$AT$4010,MATCH(737,$AZ$11:$AZ$4010,0)),""))</f>
        <v/>
      </c>
      <c r="AL747" s="17"/>
      <c r="AM747" s="12"/>
      <c r="AN747" s="18"/>
      <c r="AO747" s="18"/>
      <c r="AP747" s="10"/>
      <c r="AQ747" s="10"/>
      <c r="AR747" s="19"/>
      <c r="AS747" s="20"/>
      <c r="AT747" s="19"/>
      <c r="AV747" s="21">
        <f>IF(AND($AL747&lt;&gt;"",COUNTIF($AL$11:$AL747,$AL747)=1),1,0)</f>
        <v>0</v>
      </c>
      <c r="AW747" s="21">
        <f t="shared" si="109"/>
        <v>2</v>
      </c>
      <c r="AX747" s="21" t="str">
        <f t="shared" si="108"/>
        <v/>
      </c>
      <c r="AY747" s="21" t="str">
        <f>IF(AND($AM747&lt;&gt;"",$AS747&lt;&gt;"✓"),SUMPRODUCT(($AM$11:$AM747&lt;&gt;"")*($AS$11:$AS747&lt;&gt;"✓")),"")</f>
        <v/>
      </c>
      <c r="AZ747" s="21" t="str">
        <f>IF(AND($AM747&lt;&gt;"",$AS747="✓"),SUMPRODUCT(($AM$11:$AM747&lt;&gt;"")*($AS$11:$AS747="✓")),"")</f>
        <v/>
      </c>
      <c r="BA747" s="21" t="str">
        <f>IF($AL747="","",$AL747&amp;"|"&amp;COUNTIF($AL$11:$AL747,$AL747))</f>
        <v/>
      </c>
    </row>
    <row r="748" spans="23:53" ht="15" customHeight="1" x14ac:dyDescent="0.25">
      <c r="W748" s="28" t="str">
        <f>IF(X748="","",IFERROR(INDEX($AL$11:$AL$4010,MATCH(738,$AY$11:$AY$4010,0)),""))</f>
        <v/>
      </c>
      <c r="X748" s="26" t="str">
        <f>IFERROR(INDEX($AM$11:$AM$4010,MATCH(738,$AY$11:$AY$4010,0)),"")</f>
        <v/>
      </c>
      <c r="Y748" s="25" t="str">
        <f>IF(X748="","",IFERROR(INDEX($AN$11:$AN$4010,MATCH(738,$AY$11:$AY$4010,0)),""))</f>
        <v/>
      </c>
      <c r="Z748" s="25" t="str">
        <f>IF(X748="","",IFERROR(INDEX($AO$11:$AO$4010,MATCH(738,$AY$11:$AY$4010,0)),""))</f>
        <v/>
      </c>
      <c r="AA748" s="24" t="str">
        <f>IF(X748="","",IFERROR(INDEX($AQ$11:$AQ$4010,MATCH(738,$AY$11:$AY$4010,0)),""))</f>
        <v/>
      </c>
      <c r="AB748" s="29" t="str">
        <f>IF(X748="","",IFERROR(INDEX($AR$11:$AR$4010,MATCH(738,$AY$11:$AY$4010,0)),""))</f>
        <v/>
      </c>
      <c r="AD748" s="30" t="str">
        <f>IF(AE748="","",IFERROR(INDEX($AL$11:$AL$4010,MATCH(738,$AZ$11:$AZ$4010,0)),""))</f>
        <v/>
      </c>
      <c r="AE748" s="26" t="str">
        <f>IFERROR(INDEX($AM$11:$AM$4010,MATCH(738,$AZ$11:$AZ$4010,0)),"")</f>
        <v/>
      </c>
      <c r="AF748" s="25" t="str">
        <f>IF(AE748="","",IFERROR(INDEX($AN$11:$AN$4010,MATCH(738,$AZ$11:$AZ$4010,0)),""))</f>
        <v/>
      </c>
      <c r="AG748" s="25" t="str">
        <f>IF(AE748="","",IFERROR(INDEX($AO$11:$AO$4010,MATCH(738,$AZ$11:$AZ$4010,0)),""))</f>
        <v/>
      </c>
      <c r="AH748" s="24" t="str">
        <f>IF(AE748="","",IFERROR(INDEX($AQ$11:$AQ$4010,MATCH(738,$AZ$11:$AZ$4010,0)),""))</f>
        <v/>
      </c>
      <c r="AI748" s="29" t="str">
        <f>IF(AE748="","",IFERROR(INDEX($AR$11:$AR$4010,MATCH(738,$AZ$11:$AZ$4010,0)),""))</f>
        <v/>
      </c>
      <c r="AJ748" s="29" t="str">
        <f>IF(AE748="","",IFERROR(INDEX($AT$11:$AT$4010,MATCH(738,$AZ$11:$AZ$4010,0)),""))</f>
        <v/>
      </c>
      <c r="AL748" s="31"/>
      <c r="AM748" s="26"/>
      <c r="AN748" s="32"/>
      <c r="AO748" s="32"/>
      <c r="AP748" s="24"/>
      <c r="AQ748" s="24"/>
      <c r="AR748" s="33"/>
      <c r="AS748" s="34"/>
      <c r="AT748" s="33"/>
      <c r="AV748" s="21">
        <f>IF(AND($AL748&lt;&gt;"",COUNTIF($AL$11:$AL748,$AL748)=1),1,0)</f>
        <v>0</v>
      </c>
      <c r="AW748" s="21">
        <f t="shared" si="109"/>
        <v>2</v>
      </c>
      <c r="AX748" s="21" t="str">
        <f t="shared" si="108"/>
        <v/>
      </c>
      <c r="AY748" s="21" t="str">
        <f>IF(AND($AM748&lt;&gt;"",$AS748&lt;&gt;"✓"),SUMPRODUCT(($AM$11:$AM748&lt;&gt;"")*($AS$11:$AS748&lt;&gt;"✓")),"")</f>
        <v/>
      </c>
      <c r="AZ748" s="21" t="str">
        <f>IF(AND($AM748&lt;&gt;"",$AS748="✓"),SUMPRODUCT(($AM$11:$AM748&lt;&gt;"")*($AS$11:$AS748="✓")),"")</f>
        <v/>
      </c>
      <c r="BA748" s="21" t="str">
        <f>IF($AL748="","",$AL748&amp;"|"&amp;COUNTIF($AL$11:$AL748,$AL748))</f>
        <v/>
      </c>
    </row>
    <row r="749" spans="23:53" ht="15" customHeight="1" x14ac:dyDescent="0.25">
      <c r="W749" s="14" t="str">
        <f>IF(X749="","",IFERROR(INDEX($AL$11:$AL$4010,MATCH(739,$AY$11:$AY$4010,0)),""))</f>
        <v/>
      </c>
      <c r="X749" s="12" t="str">
        <f>IFERROR(INDEX($AM$11:$AM$4010,MATCH(739,$AY$11:$AY$4010,0)),"")</f>
        <v/>
      </c>
      <c r="Y749" s="11" t="str">
        <f>IF(X749="","",IFERROR(INDEX($AN$11:$AN$4010,MATCH(739,$AY$11:$AY$4010,0)),""))</f>
        <v/>
      </c>
      <c r="Z749" s="11" t="str">
        <f>IF(X749="","",IFERROR(INDEX($AO$11:$AO$4010,MATCH(739,$AY$11:$AY$4010,0)),""))</f>
        <v/>
      </c>
      <c r="AA749" s="10" t="str">
        <f>IF(X749="","",IFERROR(INDEX($AQ$11:$AQ$4010,MATCH(739,$AY$11:$AY$4010,0)),""))</f>
        <v/>
      </c>
      <c r="AB749" s="15" t="str">
        <f>IF(X749="","",IFERROR(INDEX($AR$11:$AR$4010,MATCH(739,$AY$11:$AY$4010,0)),""))</f>
        <v/>
      </c>
      <c r="AD749" s="16" t="str">
        <f>IF(AE749="","",IFERROR(INDEX($AL$11:$AL$4010,MATCH(739,$AZ$11:$AZ$4010,0)),""))</f>
        <v/>
      </c>
      <c r="AE749" s="12" t="str">
        <f>IFERROR(INDEX($AM$11:$AM$4010,MATCH(739,$AZ$11:$AZ$4010,0)),"")</f>
        <v/>
      </c>
      <c r="AF749" s="11" t="str">
        <f>IF(AE749="","",IFERROR(INDEX($AN$11:$AN$4010,MATCH(739,$AZ$11:$AZ$4010,0)),""))</f>
        <v/>
      </c>
      <c r="AG749" s="11" t="str">
        <f>IF(AE749="","",IFERROR(INDEX($AO$11:$AO$4010,MATCH(739,$AZ$11:$AZ$4010,0)),""))</f>
        <v/>
      </c>
      <c r="AH749" s="10" t="str">
        <f>IF(AE749="","",IFERROR(INDEX($AQ$11:$AQ$4010,MATCH(739,$AZ$11:$AZ$4010,0)),""))</f>
        <v/>
      </c>
      <c r="AI749" s="15" t="str">
        <f>IF(AE749="","",IFERROR(INDEX($AR$11:$AR$4010,MATCH(739,$AZ$11:$AZ$4010,0)),""))</f>
        <v/>
      </c>
      <c r="AJ749" s="15" t="str">
        <f>IF(AE749="","",IFERROR(INDEX($AT$11:$AT$4010,MATCH(739,$AZ$11:$AZ$4010,0)),""))</f>
        <v/>
      </c>
      <c r="AL749" s="17"/>
      <c r="AM749" s="12"/>
      <c r="AN749" s="18"/>
      <c r="AO749" s="18"/>
      <c r="AP749" s="10"/>
      <c r="AQ749" s="10"/>
      <c r="AR749" s="19"/>
      <c r="AS749" s="20"/>
      <c r="AT749" s="19"/>
      <c r="AV749" s="21">
        <f>IF(AND($AL749&lt;&gt;"",COUNTIF($AL$11:$AL749,$AL749)=1),1,0)</f>
        <v>0</v>
      </c>
      <c r="AW749" s="21">
        <f t="shared" si="109"/>
        <v>2</v>
      </c>
      <c r="AX749" s="21" t="str">
        <f t="shared" si="108"/>
        <v/>
      </c>
      <c r="AY749" s="21" t="str">
        <f>IF(AND($AM749&lt;&gt;"",$AS749&lt;&gt;"✓"),SUMPRODUCT(($AM$11:$AM749&lt;&gt;"")*($AS$11:$AS749&lt;&gt;"✓")),"")</f>
        <v/>
      </c>
      <c r="AZ749" s="21" t="str">
        <f>IF(AND($AM749&lt;&gt;"",$AS749="✓"),SUMPRODUCT(($AM$11:$AM749&lt;&gt;"")*($AS$11:$AS749="✓")),"")</f>
        <v/>
      </c>
      <c r="BA749" s="21" t="str">
        <f>IF($AL749="","",$AL749&amp;"|"&amp;COUNTIF($AL$11:$AL749,$AL749))</f>
        <v/>
      </c>
    </row>
    <row r="750" spans="23:53" ht="15" customHeight="1" x14ac:dyDescent="0.25">
      <c r="W750" s="28" t="str">
        <f>IF(X750="","",IFERROR(INDEX($AL$11:$AL$4010,MATCH(740,$AY$11:$AY$4010,0)),""))</f>
        <v/>
      </c>
      <c r="X750" s="26" t="str">
        <f>IFERROR(INDEX($AM$11:$AM$4010,MATCH(740,$AY$11:$AY$4010,0)),"")</f>
        <v/>
      </c>
      <c r="Y750" s="25" t="str">
        <f>IF(X750="","",IFERROR(INDEX($AN$11:$AN$4010,MATCH(740,$AY$11:$AY$4010,0)),""))</f>
        <v/>
      </c>
      <c r="Z750" s="25" t="str">
        <f>IF(X750="","",IFERROR(INDEX($AO$11:$AO$4010,MATCH(740,$AY$11:$AY$4010,0)),""))</f>
        <v/>
      </c>
      <c r="AA750" s="24" t="str">
        <f>IF(X750="","",IFERROR(INDEX($AQ$11:$AQ$4010,MATCH(740,$AY$11:$AY$4010,0)),""))</f>
        <v/>
      </c>
      <c r="AB750" s="29" t="str">
        <f>IF(X750="","",IFERROR(INDEX($AR$11:$AR$4010,MATCH(740,$AY$11:$AY$4010,0)),""))</f>
        <v/>
      </c>
      <c r="AD750" s="30" t="str">
        <f>IF(AE750="","",IFERROR(INDEX($AL$11:$AL$4010,MATCH(740,$AZ$11:$AZ$4010,0)),""))</f>
        <v/>
      </c>
      <c r="AE750" s="26" t="str">
        <f>IFERROR(INDEX($AM$11:$AM$4010,MATCH(740,$AZ$11:$AZ$4010,0)),"")</f>
        <v/>
      </c>
      <c r="AF750" s="25" t="str">
        <f>IF(AE750="","",IFERROR(INDEX($AN$11:$AN$4010,MATCH(740,$AZ$11:$AZ$4010,0)),""))</f>
        <v/>
      </c>
      <c r="AG750" s="25" t="str">
        <f>IF(AE750="","",IFERROR(INDEX($AO$11:$AO$4010,MATCH(740,$AZ$11:$AZ$4010,0)),""))</f>
        <v/>
      </c>
      <c r="AH750" s="24" t="str">
        <f>IF(AE750="","",IFERROR(INDEX($AQ$11:$AQ$4010,MATCH(740,$AZ$11:$AZ$4010,0)),""))</f>
        <v/>
      </c>
      <c r="AI750" s="29" t="str">
        <f>IF(AE750="","",IFERROR(INDEX($AR$11:$AR$4010,MATCH(740,$AZ$11:$AZ$4010,0)),""))</f>
        <v/>
      </c>
      <c r="AJ750" s="29" t="str">
        <f>IF(AE750="","",IFERROR(INDEX($AT$11:$AT$4010,MATCH(740,$AZ$11:$AZ$4010,0)),""))</f>
        <v/>
      </c>
      <c r="AL750" s="31"/>
      <c r="AM750" s="26"/>
      <c r="AN750" s="32"/>
      <c r="AO750" s="32"/>
      <c r="AP750" s="24"/>
      <c r="AQ750" s="24"/>
      <c r="AR750" s="33"/>
      <c r="AS750" s="34"/>
      <c r="AT750" s="33"/>
      <c r="AV750" s="21">
        <f>IF(AND($AL750&lt;&gt;"",COUNTIF($AL$11:$AL750,$AL750)=1),1,0)</f>
        <v>0</v>
      </c>
      <c r="AW750" s="21">
        <f t="shared" si="109"/>
        <v>2</v>
      </c>
      <c r="AX750" s="21" t="str">
        <f t="shared" si="108"/>
        <v/>
      </c>
      <c r="AY750" s="21" t="str">
        <f>IF(AND($AM750&lt;&gt;"",$AS750&lt;&gt;"✓"),SUMPRODUCT(($AM$11:$AM750&lt;&gt;"")*($AS$11:$AS750&lt;&gt;"✓")),"")</f>
        <v/>
      </c>
      <c r="AZ750" s="21" t="str">
        <f>IF(AND($AM750&lt;&gt;"",$AS750="✓"),SUMPRODUCT(($AM$11:$AM750&lt;&gt;"")*($AS$11:$AS750="✓")),"")</f>
        <v/>
      </c>
      <c r="BA750" s="21" t="str">
        <f>IF($AL750="","",$AL750&amp;"|"&amp;COUNTIF($AL$11:$AL750,$AL750))</f>
        <v/>
      </c>
    </row>
    <row r="751" spans="23:53" ht="15" customHeight="1" x14ac:dyDescent="0.25">
      <c r="W751" s="14" t="str">
        <f>IF(X751="","",IFERROR(INDEX($AL$11:$AL$4010,MATCH(741,$AY$11:$AY$4010,0)),""))</f>
        <v/>
      </c>
      <c r="X751" s="12" t="str">
        <f>IFERROR(INDEX($AM$11:$AM$4010,MATCH(741,$AY$11:$AY$4010,0)),"")</f>
        <v/>
      </c>
      <c r="Y751" s="11" t="str">
        <f>IF(X751="","",IFERROR(INDEX($AN$11:$AN$4010,MATCH(741,$AY$11:$AY$4010,0)),""))</f>
        <v/>
      </c>
      <c r="Z751" s="11" t="str">
        <f>IF(X751="","",IFERROR(INDEX($AO$11:$AO$4010,MATCH(741,$AY$11:$AY$4010,0)),""))</f>
        <v/>
      </c>
      <c r="AA751" s="10" t="str">
        <f>IF(X751="","",IFERROR(INDEX($AQ$11:$AQ$4010,MATCH(741,$AY$11:$AY$4010,0)),""))</f>
        <v/>
      </c>
      <c r="AB751" s="15" t="str">
        <f>IF(X751="","",IFERROR(INDEX($AR$11:$AR$4010,MATCH(741,$AY$11:$AY$4010,0)),""))</f>
        <v/>
      </c>
      <c r="AD751" s="16" t="str">
        <f>IF(AE751="","",IFERROR(INDEX($AL$11:$AL$4010,MATCH(741,$AZ$11:$AZ$4010,0)),""))</f>
        <v/>
      </c>
      <c r="AE751" s="12" t="str">
        <f>IFERROR(INDEX($AM$11:$AM$4010,MATCH(741,$AZ$11:$AZ$4010,0)),"")</f>
        <v/>
      </c>
      <c r="AF751" s="11" t="str">
        <f>IF(AE751="","",IFERROR(INDEX($AN$11:$AN$4010,MATCH(741,$AZ$11:$AZ$4010,0)),""))</f>
        <v/>
      </c>
      <c r="AG751" s="11" t="str">
        <f>IF(AE751="","",IFERROR(INDEX($AO$11:$AO$4010,MATCH(741,$AZ$11:$AZ$4010,0)),""))</f>
        <v/>
      </c>
      <c r="AH751" s="10" t="str">
        <f>IF(AE751="","",IFERROR(INDEX($AQ$11:$AQ$4010,MATCH(741,$AZ$11:$AZ$4010,0)),""))</f>
        <v/>
      </c>
      <c r="AI751" s="15" t="str">
        <f>IF(AE751="","",IFERROR(INDEX($AR$11:$AR$4010,MATCH(741,$AZ$11:$AZ$4010,0)),""))</f>
        <v/>
      </c>
      <c r="AJ751" s="15" t="str">
        <f>IF(AE751="","",IFERROR(INDEX($AT$11:$AT$4010,MATCH(741,$AZ$11:$AZ$4010,0)),""))</f>
        <v/>
      </c>
      <c r="AL751" s="17"/>
      <c r="AM751" s="12"/>
      <c r="AN751" s="18"/>
      <c r="AO751" s="18"/>
      <c r="AP751" s="10"/>
      <c r="AQ751" s="10"/>
      <c r="AR751" s="19"/>
      <c r="AS751" s="20"/>
      <c r="AT751" s="19"/>
      <c r="AV751" s="21">
        <f>IF(AND($AL751&lt;&gt;"",COUNTIF($AL$11:$AL751,$AL751)=1),1,0)</f>
        <v>0</v>
      </c>
      <c r="AW751" s="21">
        <f t="shared" si="109"/>
        <v>2</v>
      </c>
      <c r="AX751" s="21" t="str">
        <f t="shared" si="108"/>
        <v/>
      </c>
      <c r="AY751" s="21" t="str">
        <f>IF(AND($AM751&lt;&gt;"",$AS751&lt;&gt;"✓"),SUMPRODUCT(($AM$11:$AM751&lt;&gt;"")*($AS$11:$AS751&lt;&gt;"✓")),"")</f>
        <v/>
      </c>
      <c r="AZ751" s="21" t="str">
        <f>IF(AND($AM751&lt;&gt;"",$AS751="✓"),SUMPRODUCT(($AM$11:$AM751&lt;&gt;"")*($AS$11:$AS751="✓")),"")</f>
        <v/>
      </c>
      <c r="BA751" s="21" t="str">
        <f>IF($AL751="","",$AL751&amp;"|"&amp;COUNTIF($AL$11:$AL751,$AL751))</f>
        <v/>
      </c>
    </row>
    <row r="752" spans="23:53" ht="15" customHeight="1" x14ac:dyDescent="0.25">
      <c r="W752" s="28" t="str">
        <f>IF(X752="","",IFERROR(INDEX($AL$11:$AL$4010,MATCH(742,$AY$11:$AY$4010,0)),""))</f>
        <v/>
      </c>
      <c r="X752" s="26" t="str">
        <f>IFERROR(INDEX($AM$11:$AM$4010,MATCH(742,$AY$11:$AY$4010,0)),"")</f>
        <v/>
      </c>
      <c r="Y752" s="25" t="str">
        <f>IF(X752="","",IFERROR(INDEX($AN$11:$AN$4010,MATCH(742,$AY$11:$AY$4010,0)),""))</f>
        <v/>
      </c>
      <c r="Z752" s="25" t="str">
        <f>IF(X752="","",IFERROR(INDEX($AO$11:$AO$4010,MATCH(742,$AY$11:$AY$4010,0)),""))</f>
        <v/>
      </c>
      <c r="AA752" s="24" t="str">
        <f>IF(X752="","",IFERROR(INDEX($AQ$11:$AQ$4010,MATCH(742,$AY$11:$AY$4010,0)),""))</f>
        <v/>
      </c>
      <c r="AB752" s="29" t="str">
        <f>IF(X752="","",IFERROR(INDEX($AR$11:$AR$4010,MATCH(742,$AY$11:$AY$4010,0)),""))</f>
        <v/>
      </c>
      <c r="AD752" s="30" t="str">
        <f>IF(AE752="","",IFERROR(INDEX($AL$11:$AL$4010,MATCH(742,$AZ$11:$AZ$4010,0)),""))</f>
        <v/>
      </c>
      <c r="AE752" s="26" t="str">
        <f>IFERROR(INDEX($AM$11:$AM$4010,MATCH(742,$AZ$11:$AZ$4010,0)),"")</f>
        <v/>
      </c>
      <c r="AF752" s="25" t="str">
        <f>IF(AE752="","",IFERROR(INDEX($AN$11:$AN$4010,MATCH(742,$AZ$11:$AZ$4010,0)),""))</f>
        <v/>
      </c>
      <c r="AG752" s="25" t="str">
        <f>IF(AE752="","",IFERROR(INDEX($AO$11:$AO$4010,MATCH(742,$AZ$11:$AZ$4010,0)),""))</f>
        <v/>
      </c>
      <c r="AH752" s="24" t="str">
        <f>IF(AE752="","",IFERROR(INDEX($AQ$11:$AQ$4010,MATCH(742,$AZ$11:$AZ$4010,0)),""))</f>
        <v/>
      </c>
      <c r="AI752" s="29" t="str">
        <f>IF(AE752="","",IFERROR(INDEX($AR$11:$AR$4010,MATCH(742,$AZ$11:$AZ$4010,0)),""))</f>
        <v/>
      </c>
      <c r="AJ752" s="29" t="str">
        <f>IF(AE752="","",IFERROR(INDEX($AT$11:$AT$4010,MATCH(742,$AZ$11:$AZ$4010,0)),""))</f>
        <v/>
      </c>
      <c r="AL752" s="31"/>
      <c r="AM752" s="26"/>
      <c r="AN752" s="32"/>
      <c r="AO752" s="32"/>
      <c r="AP752" s="24"/>
      <c r="AQ752" s="24"/>
      <c r="AR752" s="33"/>
      <c r="AS752" s="34"/>
      <c r="AT752" s="33"/>
      <c r="AV752" s="21">
        <f>IF(AND($AL752&lt;&gt;"",COUNTIF($AL$11:$AL752,$AL752)=1),1,0)</f>
        <v>0</v>
      </c>
      <c r="AW752" s="21">
        <f t="shared" si="109"/>
        <v>2</v>
      </c>
      <c r="AX752" s="21" t="str">
        <f t="shared" si="108"/>
        <v/>
      </c>
      <c r="AY752" s="21" t="str">
        <f>IF(AND($AM752&lt;&gt;"",$AS752&lt;&gt;"✓"),SUMPRODUCT(($AM$11:$AM752&lt;&gt;"")*($AS$11:$AS752&lt;&gt;"✓")),"")</f>
        <v/>
      </c>
      <c r="AZ752" s="21" t="str">
        <f>IF(AND($AM752&lt;&gt;"",$AS752="✓"),SUMPRODUCT(($AM$11:$AM752&lt;&gt;"")*($AS$11:$AS752="✓")),"")</f>
        <v/>
      </c>
      <c r="BA752" s="21" t="str">
        <f>IF($AL752="","",$AL752&amp;"|"&amp;COUNTIF($AL$11:$AL752,$AL752))</f>
        <v/>
      </c>
    </row>
    <row r="753" spans="23:53" ht="15" customHeight="1" x14ac:dyDescent="0.25">
      <c r="W753" s="14" t="str">
        <f>IF(X753="","",IFERROR(INDEX($AL$11:$AL$4010,MATCH(743,$AY$11:$AY$4010,0)),""))</f>
        <v/>
      </c>
      <c r="X753" s="12" t="str">
        <f>IFERROR(INDEX($AM$11:$AM$4010,MATCH(743,$AY$11:$AY$4010,0)),"")</f>
        <v/>
      </c>
      <c r="Y753" s="11" t="str">
        <f>IF(X753="","",IFERROR(INDEX($AN$11:$AN$4010,MATCH(743,$AY$11:$AY$4010,0)),""))</f>
        <v/>
      </c>
      <c r="Z753" s="11" t="str">
        <f>IF(X753="","",IFERROR(INDEX($AO$11:$AO$4010,MATCH(743,$AY$11:$AY$4010,0)),""))</f>
        <v/>
      </c>
      <c r="AA753" s="10" t="str">
        <f>IF(X753="","",IFERROR(INDEX($AQ$11:$AQ$4010,MATCH(743,$AY$11:$AY$4010,0)),""))</f>
        <v/>
      </c>
      <c r="AB753" s="15" t="str">
        <f>IF(X753="","",IFERROR(INDEX($AR$11:$AR$4010,MATCH(743,$AY$11:$AY$4010,0)),""))</f>
        <v/>
      </c>
      <c r="AD753" s="16" t="str">
        <f>IF(AE753="","",IFERROR(INDEX($AL$11:$AL$4010,MATCH(743,$AZ$11:$AZ$4010,0)),""))</f>
        <v/>
      </c>
      <c r="AE753" s="12" t="str">
        <f>IFERROR(INDEX($AM$11:$AM$4010,MATCH(743,$AZ$11:$AZ$4010,0)),"")</f>
        <v/>
      </c>
      <c r="AF753" s="11" t="str">
        <f>IF(AE753="","",IFERROR(INDEX($AN$11:$AN$4010,MATCH(743,$AZ$11:$AZ$4010,0)),""))</f>
        <v/>
      </c>
      <c r="AG753" s="11" t="str">
        <f>IF(AE753="","",IFERROR(INDEX($AO$11:$AO$4010,MATCH(743,$AZ$11:$AZ$4010,0)),""))</f>
        <v/>
      </c>
      <c r="AH753" s="10" t="str">
        <f>IF(AE753="","",IFERROR(INDEX($AQ$11:$AQ$4010,MATCH(743,$AZ$11:$AZ$4010,0)),""))</f>
        <v/>
      </c>
      <c r="AI753" s="15" t="str">
        <f>IF(AE753="","",IFERROR(INDEX($AR$11:$AR$4010,MATCH(743,$AZ$11:$AZ$4010,0)),""))</f>
        <v/>
      </c>
      <c r="AJ753" s="15" t="str">
        <f>IF(AE753="","",IFERROR(INDEX($AT$11:$AT$4010,MATCH(743,$AZ$11:$AZ$4010,0)),""))</f>
        <v/>
      </c>
      <c r="AL753" s="17"/>
      <c r="AM753" s="12"/>
      <c r="AN753" s="18"/>
      <c r="AO753" s="18"/>
      <c r="AP753" s="10"/>
      <c r="AQ753" s="10"/>
      <c r="AR753" s="19"/>
      <c r="AS753" s="20"/>
      <c r="AT753" s="19"/>
      <c r="AV753" s="21">
        <f>IF(AND($AL753&lt;&gt;"",COUNTIF($AL$11:$AL753,$AL753)=1),1,0)</f>
        <v>0</v>
      </c>
      <c r="AW753" s="21">
        <f t="shared" si="109"/>
        <v>2</v>
      </c>
      <c r="AX753" s="21" t="str">
        <f t="shared" si="108"/>
        <v/>
      </c>
      <c r="AY753" s="21" t="str">
        <f>IF(AND($AM753&lt;&gt;"",$AS753&lt;&gt;"✓"),SUMPRODUCT(($AM$11:$AM753&lt;&gt;"")*($AS$11:$AS753&lt;&gt;"✓")),"")</f>
        <v/>
      </c>
      <c r="AZ753" s="21" t="str">
        <f>IF(AND($AM753&lt;&gt;"",$AS753="✓"),SUMPRODUCT(($AM$11:$AM753&lt;&gt;"")*($AS$11:$AS753="✓")),"")</f>
        <v/>
      </c>
      <c r="BA753" s="21" t="str">
        <f>IF($AL753="","",$AL753&amp;"|"&amp;COUNTIF($AL$11:$AL753,$AL753))</f>
        <v/>
      </c>
    </row>
    <row r="754" spans="23:53" ht="15" customHeight="1" x14ac:dyDescent="0.25">
      <c r="W754" s="28" t="str">
        <f>IF(X754="","",IFERROR(INDEX($AL$11:$AL$4010,MATCH(744,$AY$11:$AY$4010,0)),""))</f>
        <v/>
      </c>
      <c r="X754" s="26" t="str">
        <f>IFERROR(INDEX($AM$11:$AM$4010,MATCH(744,$AY$11:$AY$4010,0)),"")</f>
        <v/>
      </c>
      <c r="Y754" s="25" t="str">
        <f>IF(X754="","",IFERROR(INDEX($AN$11:$AN$4010,MATCH(744,$AY$11:$AY$4010,0)),""))</f>
        <v/>
      </c>
      <c r="Z754" s="25" t="str">
        <f>IF(X754="","",IFERROR(INDEX($AO$11:$AO$4010,MATCH(744,$AY$11:$AY$4010,0)),""))</f>
        <v/>
      </c>
      <c r="AA754" s="24" t="str">
        <f>IF(X754="","",IFERROR(INDEX($AQ$11:$AQ$4010,MATCH(744,$AY$11:$AY$4010,0)),""))</f>
        <v/>
      </c>
      <c r="AB754" s="29" t="str">
        <f>IF(X754="","",IFERROR(INDEX($AR$11:$AR$4010,MATCH(744,$AY$11:$AY$4010,0)),""))</f>
        <v/>
      </c>
      <c r="AD754" s="30" t="str">
        <f>IF(AE754="","",IFERROR(INDEX($AL$11:$AL$4010,MATCH(744,$AZ$11:$AZ$4010,0)),""))</f>
        <v/>
      </c>
      <c r="AE754" s="26" t="str">
        <f>IFERROR(INDEX($AM$11:$AM$4010,MATCH(744,$AZ$11:$AZ$4010,0)),"")</f>
        <v/>
      </c>
      <c r="AF754" s="25" t="str">
        <f>IF(AE754="","",IFERROR(INDEX($AN$11:$AN$4010,MATCH(744,$AZ$11:$AZ$4010,0)),""))</f>
        <v/>
      </c>
      <c r="AG754" s="25" t="str">
        <f>IF(AE754="","",IFERROR(INDEX($AO$11:$AO$4010,MATCH(744,$AZ$11:$AZ$4010,0)),""))</f>
        <v/>
      </c>
      <c r="AH754" s="24" t="str">
        <f>IF(AE754="","",IFERROR(INDEX($AQ$11:$AQ$4010,MATCH(744,$AZ$11:$AZ$4010,0)),""))</f>
        <v/>
      </c>
      <c r="AI754" s="29" t="str">
        <f>IF(AE754="","",IFERROR(INDEX($AR$11:$AR$4010,MATCH(744,$AZ$11:$AZ$4010,0)),""))</f>
        <v/>
      </c>
      <c r="AJ754" s="29" t="str">
        <f>IF(AE754="","",IFERROR(INDEX($AT$11:$AT$4010,MATCH(744,$AZ$11:$AZ$4010,0)),""))</f>
        <v/>
      </c>
      <c r="AL754" s="31"/>
      <c r="AM754" s="26"/>
      <c r="AN754" s="32"/>
      <c r="AO754" s="32"/>
      <c r="AP754" s="24"/>
      <c r="AQ754" s="24"/>
      <c r="AR754" s="33"/>
      <c r="AS754" s="34"/>
      <c r="AT754" s="33"/>
      <c r="AV754" s="21">
        <f>IF(AND($AL754&lt;&gt;"",COUNTIF($AL$11:$AL754,$AL754)=1),1,0)</f>
        <v>0</v>
      </c>
      <c r="AW754" s="21">
        <f t="shared" si="109"/>
        <v>2</v>
      </c>
      <c r="AX754" s="21" t="str">
        <f t="shared" si="108"/>
        <v/>
      </c>
      <c r="AY754" s="21" t="str">
        <f>IF(AND($AM754&lt;&gt;"",$AS754&lt;&gt;"✓"),SUMPRODUCT(($AM$11:$AM754&lt;&gt;"")*($AS$11:$AS754&lt;&gt;"✓")),"")</f>
        <v/>
      </c>
      <c r="AZ754" s="21" t="str">
        <f>IF(AND($AM754&lt;&gt;"",$AS754="✓"),SUMPRODUCT(($AM$11:$AM754&lt;&gt;"")*($AS$11:$AS754="✓")),"")</f>
        <v/>
      </c>
      <c r="BA754" s="21" t="str">
        <f>IF($AL754="","",$AL754&amp;"|"&amp;COUNTIF($AL$11:$AL754,$AL754))</f>
        <v/>
      </c>
    </row>
    <row r="755" spans="23:53" ht="15" customHeight="1" x14ac:dyDescent="0.25">
      <c r="W755" s="14" t="str">
        <f>IF(X755="","",IFERROR(INDEX($AL$11:$AL$4010,MATCH(745,$AY$11:$AY$4010,0)),""))</f>
        <v/>
      </c>
      <c r="X755" s="12" t="str">
        <f>IFERROR(INDEX($AM$11:$AM$4010,MATCH(745,$AY$11:$AY$4010,0)),"")</f>
        <v/>
      </c>
      <c r="Y755" s="11" t="str">
        <f>IF(X755="","",IFERROR(INDEX($AN$11:$AN$4010,MATCH(745,$AY$11:$AY$4010,0)),""))</f>
        <v/>
      </c>
      <c r="Z755" s="11" t="str">
        <f>IF(X755="","",IFERROR(INDEX($AO$11:$AO$4010,MATCH(745,$AY$11:$AY$4010,0)),""))</f>
        <v/>
      </c>
      <c r="AA755" s="10" t="str">
        <f>IF(X755="","",IFERROR(INDEX($AQ$11:$AQ$4010,MATCH(745,$AY$11:$AY$4010,0)),""))</f>
        <v/>
      </c>
      <c r="AB755" s="15" t="str">
        <f>IF(X755="","",IFERROR(INDEX($AR$11:$AR$4010,MATCH(745,$AY$11:$AY$4010,0)),""))</f>
        <v/>
      </c>
      <c r="AD755" s="16" t="str">
        <f>IF(AE755="","",IFERROR(INDEX($AL$11:$AL$4010,MATCH(745,$AZ$11:$AZ$4010,0)),""))</f>
        <v/>
      </c>
      <c r="AE755" s="12" t="str">
        <f>IFERROR(INDEX($AM$11:$AM$4010,MATCH(745,$AZ$11:$AZ$4010,0)),"")</f>
        <v/>
      </c>
      <c r="AF755" s="11" t="str">
        <f>IF(AE755="","",IFERROR(INDEX($AN$11:$AN$4010,MATCH(745,$AZ$11:$AZ$4010,0)),""))</f>
        <v/>
      </c>
      <c r="AG755" s="11" t="str">
        <f>IF(AE755="","",IFERROR(INDEX($AO$11:$AO$4010,MATCH(745,$AZ$11:$AZ$4010,0)),""))</f>
        <v/>
      </c>
      <c r="AH755" s="10" t="str">
        <f>IF(AE755="","",IFERROR(INDEX($AQ$11:$AQ$4010,MATCH(745,$AZ$11:$AZ$4010,0)),""))</f>
        <v/>
      </c>
      <c r="AI755" s="15" t="str">
        <f>IF(AE755="","",IFERROR(INDEX($AR$11:$AR$4010,MATCH(745,$AZ$11:$AZ$4010,0)),""))</f>
        <v/>
      </c>
      <c r="AJ755" s="15" t="str">
        <f>IF(AE755="","",IFERROR(INDEX($AT$11:$AT$4010,MATCH(745,$AZ$11:$AZ$4010,0)),""))</f>
        <v/>
      </c>
      <c r="AL755" s="17"/>
      <c r="AM755" s="12"/>
      <c r="AN755" s="18"/>
      <c r="AO755" s="18"/>
      <c r="AP755" s="10"/>
      <c r="AQ755" s="10"/>
      <c r="AR755" s="19"/>
      <c r="AS755" s="20"/>
      <c r="AT755" s="19"/>
      <c r="AV755" s="21">
        <f>IF(AND($AL755&lt;&gt;"",COUNTIF($AL$11:$AL755,$AL755)=1),1,0)</f>
        <v>0</v>
      </c>
      <c r="AW755" s="21">
        <f t="shared" si="109"/>
        <v>2</v>
      </c>
      <c r="AX755" s="21" t="str">
        <f t="shared" si="108"/>
        <v/>
      </c>
      <c r="AY755" s="21" t="str">
        <f>IF(AND($AM755&lt;&gt;"",$AS755&lt;&gt;"✓"),SUMPRODUCT(($AM$11:$AM755&lt;&gt;"")*($AS$11:$AS755&lt;&gt;"✓")),"")</f>
        <v/>
      </c>
      <c r="AZ755" s="21" t="str">
        <f>IF(AND($AM755&lt;&gt;"",$AS755="✓"),SUMPRODUCT(($AM$11:$AM755&lt;&gt;"")*($AS$11:$AS755="✓")),"")</f>
        <v/>
      </c>
      <c r="BA755" s="21" t="str">
        <f>IF($AL755="","",$AL755&amp;"|"&amp;COUNTIF($AL$11:$AL755,$AL755))</f>
        <v/>
      </c>
    </row>
    <row r="756" spans="23:53" ht="15" customHeight="1" x14ac:dyDescent="0.25">
      <c r="W756" s="28" t="str">
        <f>IF(X756="","",IFERROR(INDEX($AL$11:$AL$4010,MATCH(746,$AY$11:$AY$4010,0)),""))</f>
        <v/>
      </c>
      <c r="X756" s="26" t="str">
        <f>IFERROR(INDEX($AM$11:$AM$4010,MATCH(746,$AY$11:$AY$4010,0)),"")</f>
        <v/>
      </c>
      <c r="Y756" s="25" t="str">
        <f>IF(X756="","",IFERROR(INDEX($AN$11:$AN$4010,MATCH(746,$AY$11:$AY$4010,0)),""))</f>
        <v/>
      </c>
      <c r="Z756" s="25" t="str">
        <f>IF(X756="","",IFERROR(INDEX($AO$11:$AO$4010,MATCH(746,$AY$11:$AY$4010,0)),""))</f>
        <v/>
      </c>
      <c r="AA756" s="24" t="str">
        <f>IF(X756="","",IFERROR(INDEX($AQ$11:$AQ$4010,MATCH(746,$AY$11:$AY$4010,0)),""))</f>
        <v/>
      </c>
      <c r="AB756" s="29" t="str">
        <f>IF(X756="","",IFERROR(INDEX($AR$11:$AR$4010,MATCH(746,$AY$11:$AY$4010,0)),""))</f>
        <v/>
      </c>
      <c r="AD756" s="30" t="str">
        <f>IF(AE756="","",IFERROR(INDEX($AL$11:$AL$4010,MATCH(746,$AZ$11:$AZ$4010,0)),""))</f>
        <v/>
      </c>
      <c r="AE756" s="26" t="str">
        <f>IFERROR(INDEX($AM$11:$AM$4010,MATCH(746,$AZ$11:$AZ$4010,0)),"")</f>
        <v/>
      </c>
      <c r="AF756" s="25" t="str">
        <f>IF(AE756="","",IFERROR(INDEX($AN$11:$AN$4010,MATCH(746,$AZ$11:$AZ$4010,0)),""))</f>
        <v/>
      </c>
      <c r="AG756" s="25" t="str">
        <f>IF(AE756="","",IFERROR(INDEX($AO$11:$AO$4010,MATCH(746,$AZ$11:$AZ$4010,0)),""))</f>
        <v/>
      </c>
      <c r="AH756" s="24" t="str">
        <f>IF(AE756="","",IFERROR(INDEX($AQ$11:$AQ$4010,MATCH(746,$AZ$11:$AZ$4010,0)),""))</f>
        <v/>
      </c>
      <c r="AI756" s="29" t="str">
        <f>IF(AE756="","",IFERROR(INDEX($AR$11:$AR$4010,MATCH(746,$AZ$11:$AZ$4010,0)),""))</f>
        <v/>
      </c>
      <c r="AJ756" s="29" t="str">
        <f>IF(AE756="","",IFERROR(INDEX($AT$11:$AT$4010,MATCH(746,$AZ$11:$AZ$4010,0)),""))</f>
        <v/>
      </c>
      <c r="AL756" s="31"/>
      <c r="AM756" s="26"/>
      <c r="AN756" s="32"/>
      <c r="AO756" s="32"/>
      <c r="AP756" s="24"/>
      <c r="AQ756" s="24"/>
      <c r="AR756" s="33"/>
      <c r="AS756" s="34"/>
      <c r="AT756" s="33"/>
      <c r="AV756" s="21">
        <f>IF(AND($AL756&lt;&gt;"",COUNTIF($AL$11:$AL756,$AL756)=1),1,0)</f>
        <v>0</v>
      </c>
      <c r="AW756" s="21">
        <f t="shared" si="109"/>
        <v>2</v>
      </c>
      <c r="AX756" s="21" t="str">
        <f t="shared" si="108"/>
        <v/>
      </c>
      <c r="AY756" s="21" t="str">
        <f>IF(AND($AM756&lt;&gt;"",$AS756&lt;&gt;"✓"),SUMPRODUCT(($AM$11:$AM756&lt;&gt;"")*($AS$11:$AS756&lt;&gt;"✓")),"")</f>
        <v/>
      </c>
      <c r="AZ756" s="21" t="str">
        <f>IF(AND($AM756&lt;&gt;"",$AS756="✓"),SUMPRODUCT(($AM$11:$AM756&lt;&gt;"")*($AS$11:$AS756="✓")),"")</f>
        <v/>
      </c>
      <c r="BA756" s="21" t="str">
        <f>IF($AL756="","",$AL756&amp;"|"&amp;COUNTIF($AL$11:$AL756,$AL756))</f>
        <v/>
      </c>
    </row>
    <row r="757" spans="23:53" ht="15" customHeight="1" x14ac:dyDescent="0.25">
      <c r="W757" s="14" t="str">
        <f>IF(X757="","",IFERROR(INDEX($AL$11:$AL$4010,MATCH(747,$AY$11:$AY$4010,0)),""))</f>
        <v/>
      </c>
      <c r="X757" s="12" t="str">
        <f>IFERROR(INDEX($AM$11:$AM$4010,MATCH(747,$AY$11:$AY$4010,0)),"")</f>
        <v/>
      </c>
      <c r="Y757" s="11" t="str">
        <f>IF(X757="","",IFERROR(INDEX($AN$11:$AN$4010,MATCH(747,$AY$11:$AY$4010,0)),""))</f>
        <v/>
      </c>
      <c r="Z757" s="11" t="str">
        <f>IF(X757="","",IFERROR(INDEX($AO$11:$AO$4010,MATCH(747,$AY$11:$AY$4010,0)),""))</f>
        <v/>
      </c>
      <c r="AA757" s="10" t="str">
        <f>IF(X757="","",IFERROR(INDEX($AQ$11:$AQ$4010,MATCH(747,$AY$11:$AY$4010,0)),""))</f>
        <v/>
      </c>
      <c r="AB757" s="15" t="str">
        <f>IF(X757="","",IFERROR(INDEX($AR$11:$AR$4010,MATCH(747,$AY$11:$AY$4010,0)),""))</f>
        <v/>
      </c>
      <c r="AD757" s="16" t="str">
        <f>IF(AE757="","",IFERROR(INDEX($AL$11:$AL$4010,MATCH(747,$AZ$11:$AZ$4010,0)),""))</f>
        <v/>
      </c>
      <c r="AE757" s="12" t="str">
        <f>IFERROR(INDEX($AM$11:$AM$4010,MATCH(747,$AZ$11:$AZ$4010,0)),"")</f>
        <v/>
      </c>
      <c r="AF757" s="11" t="str">
        <f>IF(AE757="","",IFERROR(INDEX($AN$11:$AN$4010,MATCH(747,$AZ$11:$AZ$4010,0)),""))</f>
        <v/>
      </c>
      <c r="AG757" s="11" t="str">
        <f>IF(AE757="","",IFERROR(INDEX($AO$11:$AO$4010,MATCH(747,$AZ$11:$AZ$4010,0)),""))</f>
        <v/>
      </c>
      <c r="AH757" s="10" t="str">
        <f>IF(AE757="","",IFERROR(INDEX($AQ$11:$AQ$4010,MATCH(747,$AZ$11:$AZ$4010,0)),""))</f>
        <v/>
      </c>
      <c r="AI757" s="15" t="str">
        <f>IF(AE757="","",IFERROR(INDEX($AR$11:$AR$4010,MATCH(747,$AZ$11:$AZ$4010,0)),""))</f>
        <v/>
      </c>
      <c r="AJ757" s="15" t="str">
        <f>IF(AE757="","",IFERROR(INDEX($AT$11:$AT$4010,MATCH(747,$AZ$11:$AZ$4010,0)),""))</f>
        <v/>
      </c>
      <c r="AL757" s="17"/>
      <c r="AM757" s="12"/>
      <c r="AN757" s="18"/>
      <c r="AO757" s="18"/>
      <c r="AP757" s="10"/>
      <c r="AQ757" s="10"/>
      <c r="AR757" s="19"/>
      <c r="AS757" s="20"/>
      <c r="AT757" s="19"/>
      <c r="AV757" s="21">
        <f>IF(AND($AL757&lt;&gt;"",COUNTIF($AL$11:$AL757,$AL757)=1),1,0)</f>
        <v>0</v>
      </c>
      <c r="AW757" s="21">
        <f t="shared" si="109"/>
        <v>2</v>
      </c>
      <c r="AX757" s="21" t="str">
        <f t="shared" si="108"/>
        <v/>
      </c>
      <c r="AY757" s="21" t="str">
        <f>IF(AND($AM757&lt;&gt;"",$AS757&lt;&gt;"✓"),SUMPRODUCT(($AM$11:$AM757&lt;&gt;"")*($AS$11:$AS757&lt;&gt;"✓")),"")</f>
        <v/>
      </c>
      <c r="AZ757" s="21" t="str">
        <f>IF(AND($AM757&lt;&gt;"",$AS757="✓"),SUMPRODUCT(($AM$11:$AM757&lt;&gt;"")*($AS$11:$AS757="✓")),"")</f>
        <v/>
      </c>
      <c r="BA757" s="21" t="str">
        <f>IF($AL757="","",$AL757&amp;"|"&amp;COUNTIF($AL$11:$AL757,$AL757))</f>
        <v/>
      </c>
    </row>
    <row r="758" spans="23:53" ht="15" customHeight="1" x14ac:dyDescent="0.25">
      <c r="W758" s="28" t="str">
        <f>IF(X758="","",IFERROR(INDEX($AL$11:$AL$4010,MATCH(748,$AY$11:$AY$4010,0)),""))</f>
        <v/>
      </c>
      <c r="X758" s="26" t="str">
        <f>IFERROR(INDEX($AM$11:$AM$4010,MATCH(748,$AY$11:$AY$4010,0)),"")</f>
        <v/>
      </c>
      <c r="Y758" s="25" t="str">
        <f>IF(X758="","",IFERROR(INDEX($AN$11:$AN$4010,MATCH(748,$AY$11:$AY$4010,0)),""))</f>
        <v/>
      </c>
      <c r="Z758" s="25" t="str">
        <f>IF(X758="","",IFERROR(INDEX($AO$11:$AO$4010,MATCH(748,$AY$11:$AY$4010,0)),""))</f>
        <v/>
      </c>
      <c r="AA758" s="24" t="str">
        <f>IF(X758="","",IFERROR(INDEX($AQ$11:$AQ$4010,MATCH(748,$AY$11:$AY$4010,0)),""))</f>
        <v/>
      </c>
      <c r="AB758" s="29" t="str">
        <f>IF(X758="","",IFERROR(INDEX($AR$11:$AR$4010,MATCH(748,$AY$11:$AY$4010,0)),""))</f>
        <v/>
      </c>
      <c r="AD758" s="30" t="str">
        <f>IF(AE758="","",IFERROR(INDEX($AL$11:$AL$4010,MATCH(748,$AZ$11:$AZ$4010,0)),""))</f>
        <v/>
      </c>
      <c r="AE758" s="26" t="str">
        <f>IFERROR(INDEX($AM$11:$AM$4010,MATCH(748,$AZ$11:$AZ$4010,0)),"")</f>
        <v/>
      </c>
      <c r="AF758" s="25" t="str">
        <f>IF(AE758="","",IFERROR(INDEX($AN$11:$AN$4010,MATCH(748,$AZ$11:$AZ$4010,0)),""))</f>
        <v/>
      </c>
      <c r="AG758" s="25" t="str">
        <f>IF(AE758="","",IFERROR(INDEX($AO$11:$AO$4010,MATCH(748,$AZ$11:$AZ$4010,0)),""))</f>
        <v/>
      </c>
      <c r="AH758" s="24" t="str">
        <f>IF(AE758="","",IFERROR(INDEX($AQ$11:$AQ$4010,MATCH(748,$AZ$11:$AZ$4010,0)),""))</f>
        <v/>
      </c>
      <c r="AI758" s="29" t="str">
        <f>IF(AE758="","",IFERROR(INDEX($AR$11:$AR$4010,MATCH(748,$AZ$11:$AZ$4010,0)),""))</f>
        <v/>
      </c>
      <c r="AJ758" s="29" t="str">
        <f>IF(AE758="","",IFERROR(INDEX($AT$11:$AT$4010,MATCH(748,$AZ$11:$AZ$4010,0)),""))</f>
        <v/>
      </c>
      <c r="AL758" s="31"/>
      <c r="AM758" s="26"/>
      <c r="AN758" s="32"/>
      <c r="AO758" s="32"/>
      <c r="AP758" s="24"/>
      <c r="AQ758" s="24"/>
      <c r="AR758" s="33"/>
      <c r="AS758" s="34"/>
      <c r="AT758" s="33"/>
      <c r="AV758" s="21">
        <f>IF(AND($AL758&lt;&gt;"",COUNTIF($AL$11:$AL758,$AL758)=1),1,0)</f>
        <v>0</v>
      </c>
      <c r="AW758" s="21">
        <f t="shared" si="109"/>
        <v>2</v>
      </c>
      <c r="AX758" s="21" t="str">
        <f t="shared" si="108"/>
        <v/>
      </c>
      <c r="AY758" s="21" t="str">
        <f>IF(AND($AM758&lt;&gt;"",$AS758&lt;&gt;"✓"),SUMPRODUCT(($AM$11:$AM758&lt;&gt;"")*($AS$11:$AS758&lt;&gt;"✓")),"")</f>
        <v/>
      </c>
      <c r="AZ758" s="21" t="str">
        <f>IF(AND($AM758&lt;&gt;"",$AS758="✓"),SUMPRODUCT(($AM$11:$AM758&lt;&gt;"")*($AS$11:$AS758="✓")),"")</f>
        <v/>
      </c>
      <c r="BA758" s="21" t="str">
        <f>IF($AL758="","",$AL758&amp;"|"&amp;COUNTIF($AL$11:$AL758,$AL758))</f>
        <v/>
      </c>
    </row>
    <row r="759" spans="23:53" ht="15" customHeight="1" x14ac:dyDescent="0.25">
      <c r="W759" s="14" t="str">
        <f>IF(X759="","",IFERROR(INDEX($AL$11:$AL$4010,MATCH(749,$AY$11:$AY$4010,0)),""))</f>
        <v/>
      </c>
      <c r="X759" s="12" t="str">
        <f>IFERROR(INDEX($AM$11:$AM$4010,MATCH(749,$AY$11:$AY$4010,0)),"")</f>
        <v/>
      </c>
      <c r="Y759" s="11" t="str">
        <f>IF(X759="","",IFERROR(INDEX($AN$11:$AN$4010,MATCH(749,$AY$11:$AY$4010,0)),""))</f>
        <v/>
      </c>
      <c r="Z759" s="11" t="str">
        <f>IF(X759="","",IFERROR(INDEX($AO$11:$AO$4010,MATCH(749,$AY$11:$AY$4010,0)),""))</f>
        <v/>
      </c>
      <c r="AA759" s="10" t="str">
        <f>IF(X759="","",IFERROR(INDEX($AQ$11:$AQ$4010,MATCH(749,$AY$11:$AY$4010,0)),""))</f>
        <v/>
      </c>
      <c r="AB759" s="15" t="str">
        <f>IF(X759="","",IFERROR(INDEX($AR$11:$AR$4010,MATCH(749,$AY$11:$AY$4010,0)),""))</f>
        <v/>
      </c>
      <c r="AD759" s="16" t="str">
        <f>IF(AE759="","",IFERROR(INDEX($AL$11:$AL$4010,MATCH(749,$AZ$11:$AZ$4010,0)),""))</f>
        <v/>
      </c>
      <c r="AE759" s="12" t="str">
        <f>IFERROR(INDEX($AM$11:$AM$4010,MATCH(749,$AZ$11:$AZ$4010,0)),"")</f>
        <v/>
      </c>
      <c r="AF759" s="11" t="str">
        <f>IF(AE759="","",IFERROR(INDEX($AN$11:$AN$4010,MATCH(749,$AZ$11:$AZ$4010,0)),""))</f>
        <v/>
      </c>
      <c r="AG759" s="11" t="str">
        <f>IF(AE759="","",IFERROR(INDEX($AO$11:$AO$4010,MATCH(749,$AZ$11:$AZ$4010,0)),""))</f>
        <v/>
      </c>
      <c r="AH759" s="10" t="str">
        <f>IF(AE759="","",IFERROR(INDEX($AQ$11:$AQ$4010,MATCH(749,$AZ$11:$AZ$4010,0)),""))</f>
        <v/>
      </c>
      <c r="AI759" s="15" t="str">
        <f>IF(AE759="","",IFERROR(INDEX($AR$11:$AR$4010,MATCH(749,$AZ$11:$AZ$4010,0)),""))</f>
        <v/>
      </c>
      <c r="AJ759" s="15" t="str">
        <f>IF(AE759="","",IFERROR(INDEX($AT$11:$AT$4010,MATCH(749,$AZ$11:$AZ$4010,0)),""))</f>
        <v/>
      </c>
      <c r="AL759" s="17"/>
      <c r="AM759" s="12"/>
      <c r="AN759" s="18"/>
      <c r="AO759" s="18"/>
      <c r="AP759" s="10"/>
      <c r="AQ759" s="10"/>
      <c r="AR759" s="19"/>
      <c r="AS759" s="20"/>
      <c r="AT759" s="19"/>
      <c r="AV759" s="21">
        <f>IF(AND($AL759&lt;&gt;"",COUNTIF($AL$11:$AL759,$AL759)=1),1,0)</f>
        <v>0</v>
      </c>
      <c r="AW759" s="21">
        <f t="shared" si="109"/>
        <v>2</v>
      </c>
      <c r="AX759" s="21" t="str">
        <f t="shared" si="108"/>
        <v/>
      </c>
      <c r="AY759" s="21" t="str">
        <f>IF(AND($AM759&lt;&gt;"",$AS759&lt;&gt;"✓"),SUMPRODUCT(($AM$11:$AM759&lt;&gt;"")*($AS$11:$AS759&lt;&gt;"✓")),"")</f>
        <v/>
      </c>
      <c r="AZ759" s="21" t="str">
        <f>IF(AND($AM759&lt;&gt;"",$AS759="✓"),SUMPRODUCT(($AM$11:$AM759&lt;&gt;"")*($AS$11:$AS759="✓")),"")</f>
        <v/>
      </c>
      <c r="BA759" s="21" t="str">
        <f>IF($AL759="","",$AL759&amp;"|"&amp;COUNTIF($AL$11:$AL759,$AL759))</f>
        <v/>
      </c>
    </row>
    <row r="760" spans="23:53" ht="15" customHeight="1" x14ac:dyDescent="0.25">
      <c r="W760" s="28" t="str">
        <f>IF(X760="","",IFERROR(INDEX($AL$11:$AL$4010,MATCH(750,$AY$11:$AY$4010,0)),""))</f>
        <v/>
      </c>
      <c r="X760" s="26" t="str">
        <f>IFERROR(INDEX($AM$11:$AM$4010,MATCH(750,$AY$11:$AY$4010,0)),"")</f>
        <v/>
      </c>
      <c r="Y760" s="25" t="str">
        <f>IF(X760="","",IFERROR(INDEX($AN$11:$AN$4010,MATCH(750,$AY$11:$AY$4010,0)),""))</f>
        <v/>
      </c>
      <c r="Z760" s="25" t="str">
        <f>IF(X760="","",IFERROR(INDEX($AO$11:$AO$4010,MATCH(750,$AY$11:$AY$4010,0)),""))</f>
        <v/>
      </c>
      <c r="AA760" s="24" t="str">
        <f>IF(X760="","",IFERROR(INDEX($AQ$11:$AQ$4010,MATCH(750,$AY$11:$AY$4010,0)),""))</f>
        <v/>
      </c>
      <c r="AB760" s="29" t="str">
        <f>IF(X760="","",IFERROR(INDEX($AR$11:$AR$4010,MATCH(750,$AY$11:$AY$4010,0)),""))</f>
        <v/>
      </c>
      <c r="AD760" s="30" t="str">
        <f>IF(AE760="","",IFERROR(INDEX($AL$11:$AL$4010,MATCH(750,$AZ$11:$AZ$4010,0)),""))</f>
        <v/>
      </c>
      <c r="AE760" s="26" t="str">
        <f>IFERROR(INDEX($AM$11:$AM$4010,MATCH(750,$AZ$11:$AZ$4010,0)),"")</f>
        <v/>
      </c>
      <c r="AF760" s="25" t="str">
        <f>IF(AE760="","",IFERROR(INDEX($AN$11:$AN$4010,MATCH(750,$AZ$11:$AZ$4010,0)),""))</f>
        <v/>
      </c>
      <c r="AG760" s="25" t="str">
        <f>IF(AE760="","",IFERROR(INDEX($AO$11:$AO$4010,MATCH(750,$AZ$11:$AZ$4010,0)),""))</f>
        <v/>
      </c>
      <c r="AH760" s="24" t="str">
        <f>IF(AE760="","",IFERROR(INDEX($AQ$11:$AQ$4010,MATCH(750,$AZ$11:$AZ$4010,0)),""))</f>
        <v/>
      </c>
      <c r="AI760" s="29" t="str">
        <f>IF(AE760="","",IFERROR(INDEX($AR$11:$AR$4010,MATCH(750,$AZ$11:$AZ$4010,0)),""))</f>
        <v/>
      </c>
      <c r="AJ760" s="29" t="str">
        <f>IF(AE760="","",IFERROR(INDEX($AT$11:$AT$4010,MATCH(750,$AZ$11:$AZ$4010,0)),""))</f>
        <v/>
      </c>
      <c r="AL760" s="31"/>
      <c r="AM760" s="26"/>
      <c r="AN760" s="32"/>
      <c r="AO760" s="32"/>
      <c r="AP760" s="24"/>
      <c r="AQ760" s="24"/>
      <c r="AR760" s="33"/>
      <c r="AS760" s="34"/>
      <c r="AT760" s="33"/>
      <c r="AV760" s="21">
        <f>IF(AND($AL760&lt;&gt;"",COUNTIF($AL$11:$AL760,$AL760)=1),1,0)</f>
        <v>0</v>
      </c>
      <c r="AW760" s="21">
        <f t="shared" si="109"/>
        <v>2</v>
      </c>
      <c r="AX760" s="21" t="str">
        <f t="shared" si="108"/>
        <v/>
      </c>
      <c r="AY760" s="21" t="str">
        <f>IF(AND($AM760&lt;&gt;"",$AS760&lt;&gt;"✓"),SUMPRODUCT(($AM$11:$AM760&lt;&gt;"")*($AS$11:$AS760&lt;&gt;"✓")),"")</f>
        <v/>
      </c>
      <c r="AZ760" s="21" t="str">
        <f>IF(AND($AM760&lt;&gt;"",$AS760="✓"),SUMPRODUCT(($AM$11:$AM760&lt;&gt;"")*($AS$11:$AS760="✓")),"")</f>
        <v/>
      </c>
      <c r="BA760" s="21" t="str">
        <f>IF($AL760="","",$AL760&amp;"|"&amp;COUNTIF($AL$11:$AL760,$AL760))</f>
        <v/>
      </c>
    </row>
    <row r="761" spans="23:53" ht="15" customHeight="1" x14ac:dyDescent="0.25">
      <c r="W761" s="14" t="str">
        <f>IF(X761="","",IFERROR(INDEX($AL$11:$AL$4010,MATCH(751,$AY$11:$AY$4010,0)),""))</f>
        <v/>
      </c>
      <c r="X761" s="12" t="str">
        <f>IFERROR(INDEX($AM$11:$AM$4010,MATCH(751,$AY$11:$AY$4010,0)),"")</f>
        <v/>
      </c>
      <c r="Y761" s="11" t="str">
        <f>IF(X761="","",IFERROR(INDEX($AN$11:$AN$4010,MATCH(751,$AY$11:$AY$4010,0)),""))</f>
        <v/>
      </c>
      <c r="Z761" s="11" t="str">
        <f>IF(X761="","",IFERROR(INDEX($AO$11:$AO$4010,MATCH(751,$AY$11:$AY$4010,0)),""))</f>
        <v/>
      </c>
      <c r="AA761" s="10" t="str">
        <f>IF(X761="","",IFERROR(INDEX($AQ$11:$AQ$4010,MATCH(751,$AY$11:$AY$4010,0)),""))</f>
        <v/>
      </c>
      <c r="AB761" s="15" t="str">
        <f>IF(X761="","",IFERROR(INDEX($AR$11:$AR$4010,MATCH(751,$AY$11:$AY$4010,0)),""))</f>
        <v/>
      </c>
      <c r="AD761" s="16" t="str">
        <f>IF(AE761="","",IFERROR(INDEX($AL$11:$AL$4010,MATCH(751,$AZ$11:$AZ$4010,0)),""))</f>
        <v/>
      </c>
      <c r="AE761" s="12" t="str">
        <f>IFERROR(INDEX($AM$11:$AM$4010,MATCH(751,$AZ$11:$AZ$4010,0)),"")</f>
        <v/>
      </c>
      <c r="AF761" s="11" t="str">
        <f>IF(AE761="","",IFERROR(INDEX($AN$11:$AN$4010,MATCH(751,$AZ$11:$AZ$4010,0)),""))</f>
        <v/>
      </c>
      <c r="AG761" s="11" t="str">
        <f>IF(AE761="","",IFERROR(INDEX($AO$11:$AO$4010,MATCH(751,$AZ$11:$AZ$4010,0)),""))</f>
        <v/>
      </c>
      <c r="AH761" s="10" t="str">
        <f>IF(AE761="","",IFERROR(INDEX($AQ$11:$AQ$4010,MATCH(751,$AZ$11:$AZ$4010,0)),""))</f>
        <v/>
      </c>
      <c r="AI761" s="15" t="str">
        <f>IF(AE761="","",IFERROR(INDEX($AR$11:$AR$4010,MATCH(751,$AZ$11:$AZ$4010,0)),""))</f>
        <v/>
      </c>
      <c r="AJ761" s="15" t="str">
        <f>IF(AE761="","",IFERROR(INDEX($AT$11:$AT$4010,MATCH(751,$AZ$11:$AZ$4010,0)),""))</f>
        <v/>
      </c>
      <c r="AL761" s="17"/>
      <c r="AM761" s="12"/>
      <c r="AN761" s="18"/>
      <c r="AO761" s="18"/>
      <c r="AP761" s="10"/>
      <c r="AQ761" s="10"/>
      <c r="AR761" s="19"/>
      <c r="AS761" s="20"/>
      <c r="AT761" s="19"/>
      <c r="AV761" s="21">
        <f>IF(AND($AL761&lt;&gt;"",COUNTIF($AL$11:$AL761,$AL761)=1),1,0)</f>
        <v>0</v>
      </c>
      <c r="AW761" s="21">
        <f t="shared" si="109"/>
        <v>2</v>
      </c>
      <c r="AX761" s="21" t="str">
        <f t="shared" si="108"/>
        <v/>
      </c>
      <c r="AY761" s="21" t="str">
        <f>IF(AND($AM761&lt;&gt;"",$AS761&lt;&gt;"✓"),SUMPRODUCT(($AM$11:$AM761&lt;&gt;"")*($AS$11:$AS761&lt;&gt;"✓")),"")</f>
        <v/>
      </c>
      <c r="AZ761" s="21" t="str">
        <f>IF(AND($AM761&lt;&gt;"",$AS761="✓"),SUMPRODUCT(($AM$11:$AM761&lt;&gt;"")*($AS$11:$AS761="✓")),"")</f>
        <v/>
      </c>
      <c r="BA761" s="21" t="str">
        <f>IF($AL761="","",$AL761&amp;"|"&amp;COUNTIF($AL$11:$AL761,$AL761))</f>
        <v/>
      </c>
    </row>
    <row r="762" spans="23:53" ht="15" customHeight="1" x14ac:dyDescent="0.25">
      <c r="W762" s="28" t="str">
        <f>IF(X762="","",IFERROR(INDEX($AL$11:$AL$4010,MATCH(752,$AY$11:$AY$4010,0)),""))</f>
        <v/>
      </c>
      <c r="X762" s="26" t="str">
        <f>IFERROR(INDEX($AM$11:$AM$4010,MATCH(752,$AY$11:$AY$4010,0)),"")</f>
        <v/>
      </c>
      <c r="Y762" s="25" t="str">
        <f>IF(X762="","",IFERROR(INDEX($AN$11:$AN$4010,MATCH(752,$AY$11:$AY$4010,0)),""))</f>
        <v/>
      </c>
      <c r="Z762" s="25" t="str">
        <f>IF(X762="","",IFERROR(INDEX($AO$11:$AO$4010,MATCH(752,$AY$11:$AY$4010,0)),""))</f>
        <v/>
      </c>
      <c r="AA762" s="24" t="str">
        <f>IF(X762="","",IFERROR(INDEX($AQ$11:$AQ$4010,MATCH(752,$AY$11:$AY$4010,0)),""))</f>
        <v/>
      </c>
      <c r="AB762" s="29" t="str">
        <f>IF(X762="","",IFERROR(INDEX($AR$11:$AR$4010,MATCH(752,$AY$11:$AY$4010,0)),""))</f>
        <v/>
      </c>
      <c r="AD762" s="30" t="str">
        <f>IF(AE762="","",IFERROR(INDEX($AL$11:$AL$4010,MATCH(752,$AZ$11:$AZ$4010,0)),""))</f>
        <v/>
      </c>
      <c r="AE762" s="26" t="str">
        <f>IFERROR(INDEX($AM$11:$AM$4010,MATCH(752,$AZ$11:$AZ$4010,0)),"")</f>
        <v/>
      </c>
      <c r="AF762" s="25" t="str">
        <f>IF(AE762="","",IFERROR(INDEX($AN$11:$AN$4010,MATCH(752,$AZ$11:$AZ$4010,0)),""))</f>
        <v/>
      </c>
      <c r="AG762" s="25" t="str">
        <f>IF(AE762="","",IFERROR(INDEX($AO$11:$AO$4010,MATCH(752,$AZ$11:$AZ$4010,0)),""))</f>
        <v/>
      </c>
      <c r="AH762" s="24" t="str">
        <f>IF(AE762="","",IFERROR(INDEX($AQ$11:$AQ$4010,MATCH(752,$AZ$11:$AZ$4010,0)),""))</f>
        <v/>
      </c>
      <c r="AI762" s="29" t="str">
        <f>IF(AE762="","",IFERROR(INDEX($AR$11:$AR$4010,MATCH(752,$AZ$11:$AZ$4010,0)),""))</f>
        <v/>
      </c>
      <c r="AJ762" s="29" t="str">
        <f>IF(AE762="","",IFERROR(INDEX($AT$11:$AT$4010,MATCH(752,$AZ$11:$AZ$4010,0)),""))</f>
        <v/>
      </c>
      <c r="AL762" s="31"/>
      <c r="AM762" s="26"/>
      <c r="AN762" s="32"/>
      <c r="AO762" s="32"/>
      <c r="AP762" s="24"/>
      <c r="AQ762" s="24"/>
      <c r="AR762" s="33"/>
      <c r="AS762" s="34"/>
      <c r="AT762" s="33"/>
      <c r="AV762" s="21">
        <f>IF(AND($AL762&lt;&gt;"",COUNTIF($AL$11:$AL762,$AL762)=1),1,0)</f>
        <v>0</v>
      </c>
      <c r="AW762" s="21">
        <f t="shared" si="109"/>
        <v>2</v>
      </c>
      <c r="AX762" s="21" t="str">
        <f t="shared" si="108"/>
        <v/>
      </c>
      <c r="AY762" s="21" t="str">
        <f>IF(AND($AM762&lt;&gt;"",$AS762&lt;&gt;"✓"),SUMPRODUCT(($AM$11:$AM762&lt;&gt;"")*($AS$11:$AS762&lt;&gt;"✓")),"")</f>
        <v/>
      </c>
      <c r="AZ762" s="21" t="str">
        <f>IF(AND($AM762&lt;&gt;"",$AS762="✓"),SUMPRODUCT(($AM$11:$AM762&lt;&gt;"")*($AS$11:$AS762="✓")),"")</f>
        <v/>
      </c>
      <c r="BA762" s="21" t="str">
        <f>IF($AL762="","",$AL762&amp;"|"&amp;COUNTIF($AL$11:$AL762,$AL762))</f>
        <v/>
      </c>
    </row>
    <row r="763" spans="23:53" ht="15" customHeight="1" x14ac:dyDescent="0.25">
      <c r="W763" s="14" t="str">
        <f>IF(X763="","",IFERROR(INDEX($AL$11:$AL$4010,MATCH(753,$AY$11:$AY$4010,0)),""))</f>
        <v/>
      </c>
      <c r="X763" s="12" t="str">
        <f>IFERROR(INDEX($AM$11:$AM$4010,MATCH(753,$AY$11:$AY$4010,0)),"")</f>
        <v/>
      </c>
      <c r="Y763" s="11" t="str">
        <f>IF(X763="","",IFERROR(INDEX($AN$11:$AN$4010,MATCH(753,$AY$11:$AY$4010,0)),""))</f>
        <v/>
      </c>
      <c r="Z763" s="11" t="str">
        <f>IF(X763="","",IFERROR(INDEX($AO$11:$AO$4010,MATCH(753,$AY$11:$AY$4010,0)),""))</f>
        <v/>
      </c>
      <c r="AA763" s="10" t="str">
        <f>IF(X763="","",IFERROR(INDEX($AQ$11:$AQ$4010,MATCH(753,$AY$11:$AY$4010,0)),""))</f>
        <v/>
      </c>
      <c r="AB763" s="15" t="str">
        <f>IF(X763="","",IFERROR(INDEX($AR$11:$AR$4010,MATCH(753,$AY$11:$AY$4010,0)),""))</f>
        <v/>
      </c>
      <c r="AD763" s="16" t="str">
        <f>IF(AE763="","",IFERROR(INDEX($AL$11:$AL$4010,MATCH(753,$AZ$11:$AZ$4010,0)),""))</f>
        <v/>
      </c>
      <c r="AE763" s="12" t="str">
        <f>IFERROR(INDEX($AM$11:$AM$4010,MATCH(753,$AZ$11:$AZ$4010,0)),"")</f>
        <v/>
      </c>
      <c r="AF763" s="11" t="str">
        <f>IF(AE763="","",IFERROR(INDEX($AN$11:$AN$4010,MATCH(753,$AZ$11:$AZ$4010,0)),""))</f>
        <v/>
      </c>
      <c r="AG763" s="11" t="str">
        <f>IF(AE763="","",IFERROR(INDEX($AO$11:$AO$4010,MATCH(753,$AZ$11:$AZ$4010,0)),""))</f>
        <v/>
      </c>
      <c r="AH763" s="10" t="str">
        <f>IF(AE763="","",IFERROR(INDEX($AQ$11:$AQ$4010,MATCH(753,$AZ$11:$AZ$4010,0)),""))</f>
        <v/>
      </c>
      <c r="AI763" s="15" t="str">
        <f>IF(AE763="","",IFERROR(INDEX($AR$11:$AR$4010,MATCH(753,$AZ$11:$AZ$4010,0)),""))</f>
        <v/>
      </c>
      <c r="AJ763" s="15" t="str">
        <f>IF(AE763="","",IFERROR(INDEX($AT$11:$AT$4010,MATCH(753,$AZ$11:$AZ$4010,0)),""))</f>
        <v/>
      </c>
      <c r="AL763" s="17"/>
      <c r="AM763" s="12"/>
      <c r="AN763" s="18"/>
      <c r="AO763" s="18"/>
      <c r="AP763" s="10"/>
      <c r="AQ763" s="10"/>
      <c r="AR763" s="19"/>
      <c r="AS763" s="20"/>
      <c r="AT763" s="19"/>
      <c r="AV763" s="21">
        <f>IF(AND($AL763&lt;&gt;"",COUNTIF($AL$11:$AL763,$AL763)=1),1,0)</f>
        <v>0</v>
      </c>
      <c r="AW763" s="21">
        <f t="shared" si="109"/>
        <v>2</v>
      </c>
      <c r="AX763" s="21" t="str">
        <f t="shared" si="108"/>
        <v/>
      </c>
      <c r="AY763" s="21" t="str">
        <f>IF(AND($AM763&lt;&gt;"",$AS763&lt;&gt;"✓"),SUMPRODUCT(($AM$11:$AM763&lt;&gt;"")*($AS$11:$AS763&lt;&gt;"✓")),"")</f>
        <v/>
      </c>
      <c r="AZ763" s="21" t="str">
        <f>IF(AND($AM763&lt;&gt;"",$AS763="✓"),SUMPRODUCT(($AM$11:$AM763&lt;&gt;"")*($AS$11:$AS763="✓")),"")</f>
        <v/>
      </c>
      <c r="BA763" s="21" t="str">
        <f>IF($AL763="","",$AL763&amp;"|"&amp;COUNTIF($AL$11:$AL763,$AL763))</f>
        <v/>
      </c>
    </row>
    <row r="764" spans="23:53" ht="15" customHeight="1" x14ac:dyDescent="0.25">
      <c r="W764" s="28" t="str">
        <f>IF(X764="","",IFERROR(INDEX($AL$11:$AL$4010,MATCH(754,$AY$11:$AY$4010,0)),""))</f>
        <v/>
      </c>
      <c r="X764" s="26" t="str">
        <f>IFERROR(INDEX($AM$11:$AM$4010,MATCH(754,$AY$11:$AY$4010,0)),"")</f>
        <v/>
      </c>
      <c r="Y764" s="25" t="str">
        <f>IF(X764="","",IFERROR(INDEX($AN$11:$AN$4010,MATCH(754,$AY$11:$AY$4010,0)),""))</f>
        <v/>
      </c>
      <c r="Z764" s="25" t="str">
        <f>IF(X764="","",IFERROR(INDEX($AO$11:$AO$4010,MATCH(754,$AY$11:$AY$4010,0)),""))</f>
        <v/>
      </c>
      <c r="AA764" s="24" t="str">
        <f>IF(X764="","",IFERROR(INDEX($AQ$11:$AQ$4010,MATCH(754,$AY$11:$AY$4010,0)),""))</f>
        <v/>
      </c>
      <c r="AB764" s="29" t="str">
        <f>IF(X764="","",IFERROR(INDEX($AR$11:$AR$4010,MATCH(754,$AY$11:$AY$4010,0)),""))</f>
        <v/>
      </c>
      <c r="AD764" s="30" t="str">
        <f>IF(AE764="","",IFERROR(INDEX($AL$11:$AL$4010,MATCH(754,$AZ$11:$AZ$4010,0)),""))</f>
        <v/>
      </c>
      <c r="AE764" s="26" t="str">
        <f>IFERROR(INDEX($AM$11:$AM$4010,MATCH(754,$AZ$11:$AZ$4010,0)),"")</f>
        <v/>
      </c>
      <c r="AF764" s="25" t="str">
        <f>IF(AE764="","",IFERROR(INDEX($AN$11:$AN$4010,MATCH(754,$AZ$11:$AZ$4010,0)),""))</f>
        <v/>
      </c>
      <c r="AG764" s="25" t="str">
        <f>IF(AE764="","",IFERROR(INDEX($AO$11:$AO$4010,MATCH(754,$AZ$11:$AZ$4010,0)),""))</f>
        <v/>
      </c>
      <c r="AH764" s="24" t="str">
        <f>IF(AE764="","",IFERROR(INDEX($AQ$11:$AQ$4010,MATCH(754,$AZ$11:$AZ$4010,0)),""))</f>
        <v/>
      </c>
      <c r="AI764" s="29" t="str">
        <f>IF(AE764="","",IFERROR(INDEX($AR$11:$AR$4010,MATCH(754,$AZ$11:$AZ$4010,0)),""))</f>
        <v/>
      </c>
      <c r="AJ764" s="29" t="str">
        <f>IF(AE764="","",IFERROR(INDEX($AT$11:$AT$4010,MATCH(754,$AZ$11:$AZ$4010,0)),""))</f>
        <v/>
      </c>
      <c r="AL764" s="31"/>
      <c r="AM764" s="26"/>
      <c r="AN764" s="32"/>
      <c r="AO764" s="32"/>
      <c r="AP764" s="24"/>
      <c r="AQ764" s="24"/>
      <c r="AR764" s="33"/>
      <c r="AS764" s="34"/>
      <c r="AT764" s="33"/>
      <c r="AV764" s="21">
        <f>IF(AND($AL764&lt;&gt;"",COUNTIF($AL$11:$AL764,$AL764)=1),1,0)</f>
        <v>0</v>
      </c>
      <c r="AW764" s="21">
        <f t="shared" si="109"/>
        <v>2</v>
      </c>
      <c r="AX764" s="21" t="str">
        <f t="shared" si="108"/>
        <v/>
      </c>
      <c r="AY764" s="21" t="str">
        <f>IF(AND($AM764&lt;&gt;"",$AS764&lt;&gt;"✓"),SUMPRODUCT(($AM$11:$AM764&lt;&gt;"")*($AS$11:$AS764&lt;&gt;"✓")),"")</f>
        <v/>
      </c>
      <c r="AZ764" s="21" t="str">
        <f>IF(AND($AM764&lt;&gt;"",$AS764="✓"),SUMPRODUCT(($AM$11:$AM764&lt;&gt;"")*($AS$11:$AS764="✓")),"")</f>
        <v/>
      </c>
      <c r="BA764" s="21" t="str">
        <f>IF($AL764="","",$AL764&amp;"|"&amp;COUNTIF($AL$11:$AL764,$AL764))</f>
        <v/>
      </c>
    </row>
    <row r="765" spans="23:53" ht="15" customHeight="1" x14ac:dyDescent="0.25">
      <c r="W765" s="14" t="str">
        <f>IF(X765="","",IFERROR(INDEX($AL$11:$AL$4010,MATCH(755,$AY$11:$AY$4010,0)),""))</f>
        <v/>
      </c>
      <c r="X765" s="12" t="str">
        <f>IFERROR(INDEX($AM$11:$AM$4010,MATCH(755,$AY$11:$AY$4010,0)),"")</f>
        <v/>
      </c>
      <c r="Y765" s="11" t="str">
        <f>IF(X765="","",IFERROR(INDEX($AN$11:$AN$4010,MATCH(755,$AY$11:$AY$4010,0)),""))</f>
        <v/>
      </c>
      <c r="Z765" s="11" t="str">
        <f>IF(X765="","",IFERROR(INDEX($AO$11:$AO$4010,MATCH(755,$AY$11:$AY$4010,0)),""))</f>
        <v/>
      </c>
      <c r="AA765" s="10" t="str">
        <f>IF(X765="","",IFERROR(INDEX($AQ$11:$AQ$4010,MATCH(755,$AY$11:$AY$4010,0)),""))</f>
        <v/>
      </c>
      <c r="AB765" s="15" t="str">
        <f>IF(X765="","",IFERROR(INDEX($AR$11:$AR$4010,MATCH(755,$AY$11:$AY$4010,0)),""))</f>
        <v/>
      </c>
      <c r="AD765" s="16" t="str">
        <f>IF(AE765="","",IFERROR(INDEX($AL$11:$AL$4010,MATCH(755,$AZ$11:$AZ$4010,0)),""))</f>
        <v/>
      </c>
      <c r="AE765" s="12" t="str">
        <f>IFERROR(INDEX($AM$11:$AM$4010,MATCH(755,$AZ$11:$AZ$4010,0)),"")</f>
        <v/>
      </c>
      <c r="AF765" s="11" t="str">
        <f>IF(AE765="","",IFERROR(INDEX($AN$11:$AN$4010,MATCH(755,$AZ$11:$AZ$4010,0)),""))</f>
        <v/>
      </c>
      <c r="AG765" s="11" t="str">
        <f>IF(AE765="","",IFERROR(INDEX($AO$11:$AO$4010,MATCH(755,$AZ$11:$AZ$4010,0)),""))</f>
        <v/>
      </c>
      <c r="AH765" s="10" t="str">
        <f>IF(AE765="","",IFERROR(INDEX($AQ$11:$AQ$4010,MATCH(755,$AZ$11:$AZ$4010,0)),""))</f>
        <v/>
      </c>
      <c r="AI765" s="15" t="str">
        <f>IF(AE765="","",IFERROR(INDEX($AR$11:$AR$4010,MATCH(755,$AZ$11:$AZ$4010,0)),""))</f>
        <v/>
      </c>
      <c r="AJ765" s="15" t="str">
        <f>IF(AE765="","",IFERROR(INDEX($AT$11:$AT$4010,MATCH(755,$AZ$11:$AZ$4010,0)),""))</f>
        <v/>
      </c>
      <c r="AL765" s="17"/>
      <c r="AM765" s="12"/>
      <c r="AN765" s="18"/>
      <c r="AO765" s="18"/>
      <c r="AP765" s="10"/>
      <c r="AQ765" s="10"/>
      <c r="AR765" s="19"/>
      <c r="AS765" s="20"/>
      <c r="AT765" s="19"/>
      <c r="AV765" s="21">
        <f>IF(AND($AL765&lt;&gt;"",COUNTIF($AL$11:$AL765,$AL765)=1),1,0)</f>
        <v>0</v>
      </c>
      <c r="AW765" s="21">
        <f t="shared" si="109"/>
        <v>2</v>
      </c>
      <c r="AX765" s="21" t="str">
        <f t="shared" si="108"/>
        <v/>
      </c>
      <c r="AY765" s="21" t="str">
        <f>IF(AND($AM765&lt;&gt;"",$AS765&lt;&gt;"✓"),SUMPRODUCT(($AM$11:$AM765&lt;&gt;"")*($AS$11:$AS765&lt;&gt;"✓")),"")</f>
        <v/>
      </c>
      <c r="AZ765" s="21" t="str">
        <f>IF(AND($AM765&lt;&gt;"",$AS765="✓"),SUMPRODUCT(($AM$11:$AM765&lt;&gt;"")*($AS$11:$AS765="✓")),"")</f>
        <v/>
      </c>
      <c r="BA765" s="21" t="str">
        <f>IF($AL765="","",$AL765&amp;"|"&amp;COUNTIF($AL$11:$AL765,$AL765))</f>
        <v/>
      </c>
    </row>
    <row r="766" spans="23:53" ht="15" customHeight="1" x14ac:dyDescent="0.25">
      <c r="W766" s="28" t="str">
        <f>IF(X766="","",IFERROR(INDEX($AL$11:$AL$4010,MATCH(756,$AY$11:$AY$4010,0)),""))</f>
        <v/>
      </c>
      <c r="X766" s="26" t="str">
        <f>IFERROR(INDEX($AM$11:$AM$4010,MATCH(756,$AY$11:$AY$4010,0)),"")</f>
        <v/>
      </c>
      <c r="Y766" s="25" t="str">
        <f>IF(X766="","",IFERROR(INDEX($AN$11:$AN$4010,MATCH(756,$AY$11:$AY$4010,0)),""))</f>
        <v/>
      </c>
      <c r="Z766" s="25" t="str">
        <f>IF(X766="","",IFERROR(INDEX($AO$11:$AO$4010,MATCH(756,$AY$11:$AY$4010,0)),""))</f>
        <v/>
      </c>
      <c r="AA766" s="24" t="str">
        <f>IF(X766="","",IFERROR(INDEX($AQ$11:$AQ$4010,MATCH(756,$AY$11:$AY$4010,0)),""))</f>
        <v/>
      </c>
      <c r="AB766" s="29" t="str">
        <f>IF(X766="","",IFERROR(INDEX($AR$11:$AR$4010,MATCH(756,$AY$11:$AY$4010,0)),""))</f>
        <v/>
      </c>
      <c r="AD766" s="30" t="str">
        <f>IF(AE766="","",IFERROR(INDEX($AL$11:$AL$4010,MATCH(756,$AZ$11:$AZ$4010,0)),""))</f>
        <v/>
      </c>
      <c r="AE766" s="26" t="str">
        <f>IFERROR(INDEX($AM$11:$AM$4010,MATCH(756,$AZ$11:$AZ$4010,0)),"")</f>
        <v/>
      </c>
      <c r="AF766" s="25" t="str">
        <f>IF(AE766="","",IFERROR(INDEX($AN$11:$AN$4010,MATCH(756,$AZ$11:$AZ$4010,0)),""))</f>
        <v/>
      </c>
      <c r="AG766" s="25" t="str">
        <f>IF(AE766="","",IFERROR(INDEX($AO$11:$AO$4010,MATCH(756,$AZ$11:$AZ$4010,0)),""))</f>
        <v/>
      </c>
      <c r="AH766" s="24" t="str">
        <f>IF(AE766="","",IFERROR(INDEX($AQ$11:$AQ$4010,MATCH(756,$AZ$11:$AZ$4010,0)),""))</f>
        <v/>
      </c>
      <c r="AI766" s="29" t="str">
        <f>IF(AE766="","",IFERROR(INDEX($AR$11:$AR$4010,MATCH(756,$AZ$11:$AZ$4010,0)),""))</f>
        <v/>
      </c>
      <c r="AJ766" s="29" t="str">
        <f>IF(AE766="","",IFERROR(INDEX($AT$11:$AT$4010,MATCH(756,$AZ$11:$AZ$4010,0)),""))</f>
        <v/>
      </c>
      <c r="AL766" s="31"/>
      <c r="AM766" s="26"/>
      <c r="AN766" s="32"/>
      <c r="AO766" s="32"/>
      <c r="AP766" s="24"/>
      <c r="AQ766" s="24"/>
      <c r="AR766" s="33"/>
      <c r="AS766" s="34"/>
      <c r="AT766" s="33"/>
      <c r="AV766" s="21">
        <f>IF(AND($AL766&lt;&gt;"",COUNTIF($AL$11:$AL766,$AL766)=1),1,0)</f>
        <v>0</v>
      </c>
      <c r="AW766" s="21">
        <f t="shared" si="109"/>
        <v>2</v>
      </c>
      <c r="AX766" s="21" t="str">
        <f t="shared" si="108"/>
        <v/>
      </c>
      <c r="AY766" s="21" t="str">
        <f>IF(AND($AM766&lt;&gt;"",$AS766&lt;&gt;"✓"),SUMPRODUCT(($AM$11:$AM766&lt;&gt;"")*($AS$11:$AS766&lt;&gt;"✓")),"")</f>
        <v/>
      </c>
      <c r="AZ766" s="21" t="str">
        <f>IF(AND($AM766&lt;&gt;"",$AS766="✓"),SUMPRODUCT(($AM$11:$AM766&lt;&gt;"")*($AS$11:$AS766="✓")),"")</f>
        <v/>
      </c>
      <c r="BA766" s="21" t="str">
        <f>IF($AL766="","",$AL766&amp;"|"&amp;COUNTIF($AL$11:$AL766,$AL766))</f>
        <v/>
      </c>
    </row>
    <row r="767" spans="23:53" ht="15" customHeight="1" x14ac:dyDescent="0.25">
      <c r="W767" s="14" t="str">
        <f>IF(X767="","",IFERROR(INDEX($AL$11:$AL$4010,MATCH(757,$AY$11:$AY$4010,0)),""))</f>
        <v/>
      </c>
      <c r="X767" s="12" t="str">
        <f>IFERROR(INDEX($AM$11:$AM$4010,MATCH(757,$AY$11:$AY$4010,0)),"")</f>
        <v/>
      </c>
      <c r="Y767" s="11" t="str">
        <f>IF(X767="","",IFERROR(INDEX($AN$11:$AN$4010,MATCH(757,$AY$11:$AY$4010,0)),""))</f>
        <v/>
      </c>
      <c r="Z767" s="11" t="str">
        <f>IF(X767="","",IFERROR(INDEX($AO$11:$AO$4010,MATCH(757,$AY$11:$AY$4010,0)),""))</f>
        <v/>
      </c>
      <c r="AA767" s="10" t="str">
        <f>IF(X767="","",IFERROR(INDEX($AQ$11:$AQ$4010,MATCH(757,$AY$11:$AY$4010,0)),""))</f>
        <v/>
      </c>
      <c r="AB767" s="15" t="str">
        <f>IF(X767="","",IFERROR(INDEX($AR$11:$AR$4010,MATCH(757,$AY$11:$AY$4010,0)),""))</f>
        <v/>
      </c>
      <c r="AD767" s="16" t="str">
        <f>IF(AE767="","",IFERROR(INDEX($AL$11:$AL$4010,MATCH(757,$AZ$11:$AZ$4010,0)),""))</f>
        <v/>
      </c>
      <c r="AE767" s="12" t="str">
        <f>IFERROR(INDEX($AM$11:$AM$4010,MATCH(757,$AZ$11:$AZ$4010,0)),"")</f>
        <v/>
      </c>
      <c r="AF767" s="11" t="str">
        <f>IF(AE767="","",IFERROR(INDEX($AN$11:$AN$4010,MATCH(757,$AZ$11:$AZ$4010,0)),""))</f>
        <v/>
      </c>
      <c r="AG767" s="11" t="str">
        <f>IF(AE767="","",IFERROR(INDEX($AO$11:$AO$4010,MATCH(757,$AZ$11:$AZ$4010,0)),""))</f>
        <v/>
      </c>
      <c r="AH767" s="10" t="str">
        <f>IF(AE767="","",IFERROR(INDEX($AQ$11:$AQ$4010,MATCH(757,$AZ$11:$AZ$4010,0)),""))</f>
        <v/>
      </c>
      <c r="AI767" s="15" t="str">
        <f>IF(AE767="","",IFERROR(INDEX($AR$11:$AR$4010,MATCH(757,$AZ$11:$AZ$4010,0)),""))</f>
        <v/>
      </c>
      <c r="AJ767" s="15" t="str">
        <f>IF(AE767="","",IFERROR(INDEX($AT$11:$AT$4010,MATCH(757,$AZ$11:$AZ$4010,0)),""))</f>
        <v/>
      </c>
      <c r="AL767" s="17"/>
      <c r="AM767" s="12"/>
      <c r="AN767" s="18"/>
      <c r="AO767" s="18"/>
      <c r="AP767" s="10"/>
      <c r="AQ767" s="10"/>
      <c r="AR767" s="19"/>
      <c r="AS767" s="20"/>
      <c r="AT767" s="19"/>
      <c r="AV767" s="21">
        <f>IF(AND($AL767&lt;&gt;"",COUNTIF($AL$11:$AL767,$AL767)=1),1,0)</f>
        <v>0</v>
      </c>
      <c r="AW767" s="21">
        <f t="shared" si="109"/>
        <v>2</v>
      </c>
      <c r="AX767" s="21" t="str">
        <f t="shared" si="108"/>
        <v/>
      </c>
      <c r="AY767" s="21" t="str">
        <f>IF(AND($AM767&lt;&gt;"",$AS767&lt;&gt;"✓"),SUMPRODUCT(($AM$11:$AM767&lt;&gt;"")*($AS$11:$AS767&lt;&gt;"✓")),"")</f>
        <v/>
      </c>
      <c r="AZ767" s="21" t="str">
        <f>IF(AND($AM767&lt;&gt;"",$AS767="✓"),SUMPRODUCT(($AM$11:$AM767&lt;&gt;"")*($AS$11:$AS767="✓")),"")</f>
        <v/>
      </c>
      <c r="BA767" s="21" t="str">
        <f>IF($AL767="","",$AL767&amp;"|"&amp;COUNTIF($AL$11:$AL767,$AL767))</f>
        <v/>
      </c>
    </row>
    <row r="768" spans="23:53" ht="15" customHeight="1" x14ac:dyDescent="0.25">
      <c r="W768" s="28" t="str">
        <f>IF(X768="","",IFERROR(INDEX($AL$11:$AL$4010,MATCH(758,$AY$11:$AY$4010,0)),""))</f>
        <v/>
      </c>
      <c r="X768" s="26" t="str">
        <f>IFERROR(INDEX($AM$11:$AM$4010,MATCH(758,$AY$11:$AY$4010,0)),"")</f>
        <v/>
      </c>
      <c r="Y768" s="25" t="str">
        <f>IF(X768="","",IFERROR(INDEX($AN$11:$AN$4010,MATCH(758,$AY$11:$AY$4010,0)),""))</f>
        <v/>
      </c>
      <c r="Z768" s="25" t="str">
        <f>IF(X768="","",IFERROR(INDEX($AO$11:$AO$4010,MATCH(758,$AY$11:$AY$4010,0)),""))</f>
        <v/>
      </c>
      <c r="AA768" s="24" t="str">
        <f>IF(X768="","",IFERROR(INDEX($AQ$11:$AQ$4010,MATCH(758,$AY$11:$AY$4010,0)),""))</f>
        <v/>
      </c>
      <c r="AB768" s="29" t="str">
        <f>IF(X768="","",IFERROR(INDEX($AR$11:$AR$4010,MATCH(758,$AY$11:$AY$4010,0)),""))</f>
        <v/>
      </c>
      <c r="AD768" s="30" t="str">
        <f>IF(AE768="","",IFERROR(INDEX($AL$11:$AL$4010,MATCH(758,$AZ$11:$AZ$4010,0)),""))</f>
        <v/>
      </c>
      <c r="AE768" s="26" t="str">
        <f>IFERROR(INDEX($AM$11:$AM$4010,MATCH(758,$AZ$11:$AZ$4010,0)),"")</f>
        <v/>
      </c>
      <c r="AF768" s="25" t="str">
        <f>IF(AE768="","",IFERROR(INDEX($AN$11:$AN$4010,MATCH(758,$AZ$11:$AZ$4010,0)),""))</f>
        <v/>
      </c>
      <c r="AG768" s="25" t="str">
        <f>IF(AE768="","",IFERROR(INDEX($AO$11:$AO$4010,MATCH(758,$AZ$11:$AZ$4010,0)),""))</f>
        <v/>
      </c>
      <c r="AH768" s="24" t="str">
        <f>IF(AE768="","",IFERROR(INDEX($AQ$11:$AQ$4010,MATCH(758,$AZ$11:$AZ$4010,0)),""))</f>
        <v/>
      </c>
      <c r="AI768" s="29" t="str">
        <f>IF(AE768="","",IFERROR(INDEX($AR$11:$AR$4010,MATCH(758,$AZ$11:$AZ$4010,0)),""))</f>
        <v/>
      </c>
      <c r="AJ768" s="29" t="str">
        <f>IF(AE768="","",IFERROR(INDEX($AT$11:$AT$4010,MATCH(758,$AZ$11:$AZ$4010,0)),""))</f>
        <v/>
      </c>
      <c r="AL768" s="31"/>
      <c r="AM768" s="26"/>
      <c r="AN768" s="32"/>
      <c r="AO768" s="32"/>
      <c r="AP768" s="24"/>
      <c r="AQ768" s="24"/>
      <c r="AR768" s="33"/>
      <c r="AS768" s="34"/>
      <c r="AT768" s="33"/>
      <c r="AV768" s="21">
        <f>IF(AND($AL768&lt;&gt;"",COUNTIF($AL$11:$AL768,$AL768)=1),1,0)</f>
        <v>0</v>
      </c>
      <c r="AW768" s="21">
        <f t="shared" si="109"/>
        <v>2</v>
      </c>
      <c r="AX768" s="21" t="str">
        <f t="shared" si="108"/>
        <v/>
      </c>
      <c r="AY768" s="21" t="str">
        <f>IF(AND($AM768&lt;&gt;"",$AS768&lt;&gt;"✓"),SUMPRODUCT(($AM$11:$AM768&lt;&gt;"")*($AS$11:$AS768&lt;&gt;"✓")),"")</f>
        <v/>
      </c>
      <c r="AZ768" s="21" t="str">
        <f>IF(AND($AM768&lt;&gt;"",$AS768="✓"),SUMPRODUCT(($AM$11:$AM768&lt;&gt;"")*($AS$11:$AS768="✓")),"")</f>
        <v/>
      </c>
      <c r="BA768" s="21" t="str">
        <f>IF($AL768="","",$AL768&amp;"|"&amp;COUNTIF($AL$11:$AL768,$AL768))</f>
        <v/>
      </c>
    </row>
    <row r="769" spans="23:53" ht="15" customHeight="1" x14ac:dyDescent="0.25">
      <c r="W769" s="14" t="str">
        <f>IF(X769="","",IFERROR(INDEX($AL$11:$AL$4010,MATCH(759,$AY$11:$AY$4010,0)),""))</f>
        <v/>
      </c>
      <c r="X769" s="12" t="str">
        <f>IFERROR(INDEX($AM$11:$AM$4010,MATCH(759,$AY$11:$AY$4010,0)),"")</f>
        <v/>
      </c>
      <c r="Y769" s="11" t="str">
        <f>IF(X769="","",IFERROR(INDEX($AN$11:$AN$4010,MATCH(759,$AY$11:$AY$4010,0)),""))</f>
        <v/>
      </c>
      <c r="Z769" s="11" t="str">
        <f>IF(X769="","",IFERROR(INDEX($AO$11:$AO$4010,MATCH(759,$AY$11:$AY$4010,0)),""))</f>
        <v/>
      </c>
      <c r="AA769" s="10" t="str">
        <f>IF(X769="","",IFERROR(INDEX($AQ$11:$AQ$4010,MATCH(759,$AY$11:$AY$4010,0)),""))</f>
        <v/>
      </c>
      <c r="AB769" s="15" t="str">
        <f>IF(X769="","",IFERROR(INDEX($AR$11:$AR$4010,MATCH(759,$AY$11:$AY$4010,0)),""))</f>
        <v/>
      </c>
      <c r="AD769" s="16" t="str">
        <f>IF(AE769="","",IFERROR(INDEX($AL$11:$AL$4010,MATCH(759,$AZ$11:$AZ$4010,0)),""))</f>
        <v/>
      </c>
      <c r="AE769" s="12" t="str">
        <f>IFERROR(INDEX($AM$11:$AM$4010,MATCH(759,$AZ$11:$AZ$4010,0)),"")</f>
        <v/>
      </c>
      <c r="AF769" s="11" t="str">
        <f>IF(AE769="","",IFERROR(INDEX($AN$11:$AN$4010,MATCH(759,$AZ$11:$AZ$4010,0)),""))</f>
        <v/>
      </c>
      <c r="AG769" s="11" t="str">
        <f>IF(AE769="","",IFERROR(INDEX($AO$11:$AO$4010,MATCH(759,$AZ$11:$AZ$4010,0)),""))</f>
        <v/>
      </c>
      <c r="AH769" s="10" t="str">
        <f>IF(AE769="","",IFERROR(INDEX($AQ$11:$AQ$4010,MATCH(759,$AZ$11:$AZ$4010,0)),""))</f>
        <v/>
      </c>
      <c r="AI769" s="15" t="str">
        <f>IF(AE769="","",IFERROR(INDEX($AR$11:$AR$4010,MATCH(759,$AZ$11:$AZ$4010,0)),""))</f>
        <v/>
      </c>
      <c r="AJ769" s="15" t="str">
        <f>IF(AE769="","",IFERROR(INDEX($AT$11:$AT$4010,MATCH(759,$AZ$11:$AZ$4010,0)),""))</f>
        <v/>
      </c>
      <c r="AL769" s="17"/>
      <c r="AM769" s="12"/>
      <c r="AN769" s="18"/>
      <c r="AO769" s="18"/>
      <c r="AP769" s="10"/>
      <c r="AQ769" s="10"/>
      <c r="AR769" s="19"/>
      <c r="AS769" s="20"/>
      <c r="AT769" s="19"/>
      <c r="AV769" s="21">
        <f>IF(AND($AL769&lt;&gt;"",COUNTIF($AL$11:$AL769,$AL769)=1),1,0)</f>
        <v>0</v>
      </c>
      <c r="AW769" s="21">
        <f t="shared" si="109"/>
        <v>2</v>
      </c>
      <c r="AX769" s="21" t="str">
        <f t="shared" si="108"/>
        <v/>
      </c>
      <c r="AY769" s="21" t="str">
        <f>IF(AND($AM769&lt;&gt;"",$AS769&lt;&gt;"✓"),SUMPRODUCT(($AM$11:$AM769&lt;&gt;"")*($AS$11:$AS769&lt;&gt;"✓")),"")</f>
        <v/>
      </c>
      <c r="AZ769" s="21" t="str">
        <f>IF(AND($AM769&lt;&gt;"",$AS769="✓"),SUMPRODUCT(($AM$11:$AM769&lt;&gt;"")*($AS$11:$AS769="✓")),"")</f>
        <v/>
      </c>
      <c r="BA769" s="21" t="str">
        <f>IF($AL769="","",$AL769&amp;"|"&amp;COUNTIF($AL$11:$AL769,$AL769))</f>
        <v/>
      </c>
    </row>
    <row r="770" spans="23:53" ht="15" customHeight="1" x14ac:dyDescent="0.25">
      <c r="W770" s="28" t="str">
        <f>IF(X770="","",IFERROR(INDEX($AL$11:$AL$4010,MATCH(760,$AY$11:$AY$4010,0)),""))</f>
        <v/>
      </c>
      <c r="X770" s="26" t="str">
        <f>IFERROR(INDEX($AM$11:$AM$4010,MATCH(760,$AY$11:$AY$4010,0)),"")</f>
        <v/>
      </c>
      <c r="Y770" s="25" t="str">
        <f>IF(X770="","",IFERROR(INDEX($AN$11:$AN$4010,MATCH(760,$AY$11:$AY$4010,0)),""))</f>
        <v/>
      </c>
      <c r="Z770" s="25" t="str">
        <f>IF(X770="","",IFERROR(INDEX($AO$11:$AO$4010,MATCH(760,$AY$11:$AY$4010,0)),""))</f>
        <v/>
      </c>
      <c r="AA770" s="24" t="str">
        <f>IF(X770="","",IFERROR(INDEX($AQ$11:$AQ$4010,MATCH(760,$AY$11:$AY$4010,0)),""))</f>
        <v/>
      </c>
      <c r="AB770" s="29" t="str">
        <f>IF(X770="","",IFERROR(INDEX($AR$11:$AR$4010,MATCH(760,$AY$11:$AY$4010,0)),""))</f>
        <v/>
      </c>
      <c r="AD770" s="30" t="str">
        <f>IF(AE770="","",IFERROR(INDEX($AL$11:$AL$4010,MATCH(760,$AZ$11:$AZ$4010,0)),""))</f>
        <v/>
      </c>
      <c r="AE770" s="26" t="str">
        <f>IFERROR(INDEX($AM$11:$AM$4010,MATCH(760,$AZ$11:$AZ$4010,0)),"")</f>
        <v/>
      </c>
      <c r="AF770" s="25" t="str">
        <f>IF(AE770="","",IFERROR(INDEX($AN$11:$AN$4010,MATCH(760,$AZ$11:$AZ$4010,0)),""))</f>
        <v/>
      </c>
      <c r="AG770" s="25" t="str">
        <f>IF(AE770="","",IFERROR(INDEX($AO$11:$AO$4010,MATCH(760,$AZ$11:$AZ$4010,0)),""))</f>
        <v/>
      </c>
      <c r="AH770" s="24" t="str">
        <f>IF(AE770="","",IFERROR(INDEX($AQ$11:$AQ$4010,MATCH(760,$AZ$11:$AZ$4010,0)),""))</f>
        <v/>
      </c>
      <c r="AI770" s="29" t="str">
        <f>IF(AE770="","",IFERROR(INDEX($AR$11:$AR$4010,MATCH(760,$AZ$11:$AZ$4010,0)),""))</f>
        <v/>
      </c>
      <c r="AJ770" s="29" t="str">
        <f>IF(AE770="","",IFERROR(INDEX($AT$11:$AT$4010,MATCH(760,$AZ$11:$AZ$4010,0)),""))</f>
        <v/>
      </c>
      <c r="AL770" s="31"/>
      <c r="AM770" s="26"/>
      <c r="AN770" s="32"/>
      <c r="AO770" s="32"/>
      <c r="AP770" s="24"/>
      <c r="AQ770" s="24"/>
      <c r="AR770" s="33"/>
      <c r="AS770" s="34"/>
      <c r="AT770" s="33"/>
      <c r="AV770" s="21">
        <f>IF(AND($AL770&lt;&gt;"",COUNTIF($AL$11:$AL770,$AL770)=1),1,0)</f>
        <v>0</v>
      </c>
      <c r="AW770" s="21">
        <f t="shared" si="109"/>
        <v>2</v>
      </c>
      <c r="AX770" s="21" t="str">
        <f t="shared" si="108"/>
        <v/>
      </c>
      <c r="AY770" s="21" t="str">
        <f>IF(AND($AM770&lt;&gt;"",$AS770&lt;&gt;"✓"),SUMPRODUCT(($AM$11:$AM770&lt;&gt;"")*($AS$11:$AS770&lt;&gt;"✓")),"")</f>
        <v/>
      </c>
      <c r="AZ770" s="21" t="str">
        <f>IF(AND($AM770&lt;&gt;"",$AS770="✓"),SUMPRODUCT(($AM$11:$AM770&lt;&gt;"")*($AS$11:$AS770="✓")),"")</f>
        <v/>
      </c>
      <c r="BA770" s="21" t="str">
        <f>IF($AL770="","",$AL770&amp;"|"&amp;COUNTIF($AL$11:$AL770,$AL770))</f>
        <v/>
      </c>
    </row>
    <row r="771" spans="23:53" ht="15" customHeight="1" x14ac:dyDescent="0.25">
      <c r="W771" s="14" t="str">
        <f>IF(X771="","",IFERROR(INDEX($AL$11:$AL$4010,MATCH(761,$AY$11:$AY$4010,0)),""))</f>
        <v/>
      </c>
      <c r="X771" s="12" t="str">
        <f>IFERROR(INDEX($AM$11:$AM$4010,MATCH(761,$AY$11:$AY$4010,0)),"")</f>
        <v/>
      </c>
      <c r="Y771" s="11" t="str">
        <f>IF(X771="","",IFERROR(INDEX($AN$11:$AN$4010,MATCH(761,$AY$11:$AY$4010,0)),""))</f>
        <v/>
      </c>
      <c r="Z771" s="11" t="str">
        <f>IF(X771="","",IFERROR(INDEX($AO$11:$AO$4010,MATCH(761,$AY$11:$AY$4010,0)),""))</f>
        <v/>
      </c>
      <c r="AA771" s="10" t="str">
        <f>IF(X771="","",IFERROR(INDEX($AQ$11:$AQ$4010,MATCH(761,$AY$11:$AY$4010,0)),""))</f>
        <v/>
      </c>
      <c r="AB771" s="15" t="str">
        <f>IF(X771="","",IFERROR(INDEX($AR$11:$AR$4010,MATCH(761,$AY$11:$AY$4010,0)),""))</f>
        <v/>
      </c>
      <c r="AD771" s="16" t="str">
        <f>IF(AE771="","",IFERROR(INDEX($AL$11:$AL$4010,MATCH(761,$AZ$11:$AZ$4010,0)),""))</f>
        <v/>
      </c>
      <c r="AE771" s="12" t="str">
        <f>IFERROR(INDEX($AM$11:$AM$4010,MATCH(761,$AZ$11:$AZ$4010,0)),"")</f>
        <v/>
      </c>
      <c r="AF771" s="11" t="str">
        <f>IF(AE771="","",IFERROR(INDEX($AN$11:$AN$4010,MATCH(761,$AZ$11:$AZ$4010,0)),""))</f>
        <v/>
      </c>
      <c r="AG771" s="11" t="str">
        <f>IF(AE771="","",IFERROR(INDEX($AO$11:$AO$4010,MATCH(761,$AZ$11:$AZ$4010,0)),""))</f>
        <v/>
      </c>
      <c r="AH771" s="10" t="str">
        <f>IF(AE771="","",IFERROR(INDEX($AQ$11:$AQ$4010,MATCH(761,$AZ$11:$AZ$4010,0)),""))</f>
        <v/>
      </c>
      <c r="AI771" s="15" t="str">
        <f>IF(AE771="","",IFERROR(INDEX($AR$11:$AR$4010,MATCH(761,$AZ$11:$AZ$4010,0)),""))</f>
        <v/>
      </c>
      <c r="AJ771" s="15" t="str">
        <f>IF(AE771="","",IFERROR(INDEX($AT$11:$AT$4010,MATCH(761,$AZ$11:$AZ$4010,0)),""))</f>
        <v/>
      </c>
      <c r="AL771" s="17"/>
      <c r="AM771" s="12"/>
      <c r="AN771" s="18"/>
      <c r="AO771" s="18"/>
      <c r="AP771" s="10"/>
      <c r="AQ771" s="10"/>
      <c r="AR771" s="19"/>
      <c r="AS771" s="20"/>
      <c r="AT771" s="19"/>
      <c r="AV771" s="21">
        <f>IF(AND($AL771&lt;&gt;"",COUNTIF($AL$11:$AL771,$AL771)=1),1,0)</f>
        <v>0</v>
      </c>
      <c r="AW771" s="21">
        <f t="shared" si="109"/>
        <v>2</v>
      </c>
      <c r="AX771" s="21" t="str">
        <f t="shared" si="108"/>
        <v/>
      </c>
      <c r="AY771" s="21" t="str">
        <f>IF(AND($AM771&lt;&gt;"",$AS771&lt;&gt;"✓"),SUMPRODUCT(($AM$11:$AM771&lt;&gt;"")*($AS$11:$AS771&lt;&gt;"✓")),"")</f>
        <v/>
      </c>
      <c r="AZ771" s="21" t="str">
        <f>IF(AND($AM771&lt;&gt;"",$AS771="✓"),SUMPRODUCT(($AM$11:$AM771&lt;&gt;"")*($AS$11:$AS771="✓")),"")</f>
        <v/>
      </c>
      <c r="BA771" s="21" t="str">
        <f>IF($AL771="","",$AL771&amp;"|"&amp;COUNTIF($AL$11:$AL771,$AL771))</f>
        <v/>
      </c>
    </row>
    <row r="772" spans="23:53" ht="15" customHeight="1" x14ac:dyDescent="0.25">
      <c r="W772" s="28" t="str">
        <f>IF(X772="","",IFERROR(INDEX($AL$11:$AL$4010,MATCH(762,$AY$11:$AY$4010,0)),""))</f>
        <v/>
      </c>
      <c r="X772" s="26" t="str">
        <f>IFERROR(INDEX($AM$11:$AM$4010,MATCH(762,$AY$11:$AY$4010,0)),"")</f>
        <v/>
      </c>
      <c r="Y772" s="25" t="str">
        <f>IF(X772="","",IFERROR(INDEX($AN$11:$AN$4010,MATCH(762,$AY$11:$AY$4010,0)),""))</f>
        <v/>
      </c>
      <c r="Z772" s="25" t="str">
        <f>IF(X772="","",IFERROR(INDEX($AO$11:$AO$4010,MATCH(762,$AY$11:$AY$4010,0)),""))</f>
        <v/>
      </c>
      <c r="AA772" s="24" t="str">
        <f>IF(X772="","",IFERROR(INDEX($AQ$11:$AQ$4010,MATCH(762,$AY$11:$AY$4010,0)),""))</f>
        <v/>
      </c>
      <c r="AB772" s="29" t="str">
        <f>IF(X772="","",IFERROR(INDEX($AR$11:$AR$4010,MATCH(762,$AY$11:$AY$4010,0)),""))</f>
        <v/>
      </c>
      <c r="AD772" s="30" t="str">
        <f>IF(AE772="","",IFERROR(INDEX($AL$11:$AL$4010,MATCH(762,$AZ$11:$AZ$4010,0)),""))</f>
        <v/>
      </c>
      <c r="AE772" s="26" t="str">
        <f>IFERROR(INDEX($AM$11:$AM$4010,MATCH(762,$AZ$11:$AZ$4010,0)),"")</f>
        <v/>
      </c>
      <c r="AF772" s="25" t="str">
        <f>IF(AE772="","",IFERROR(INDEX($AN$11:$AN$4010,MATCH(762,$AZ$11:$AZ$4010,0)),""))</f>
        <v/>
      </c>
      <c r="AG772" s="25" t="str">
        <f>IF(AE772="","",IFERROR(INDEX($AO$11:$AO$4010,MATCH(762,$AZ$11:$AZ$4010,0)),""))</f>
        <v/>
      </c>
      <c r="AH772" s="24" t="str">
        <f>IF(AE772="","",IFERROR(INDEX($AQ$11:$AQ$4010,MATCH(762,$AZ$11:$AZ$4010,0)),""))</f>
        <v/>
      </c>
      <c r="AI772" s="29" t="str">
        <f>IF(AE772="","",IFERROR(INDEX($AR$11:$AR$4010,MATCH(762,$AZ$11:$AZ$4010,0)),""))</f>
        <v/>
      </c>
      <c r="AJ772" s="29" t="str">
        <f>IF(AE772="","",IFERROR(INDEX($AT$11:$AT$4010,MATCH(762,$AZ$11:$AZ$4010,0)),""))</f>
        <v/>
      </c>
      <c r="AL772" s="31"/>
      <c r="AM772" s="26"/>
      <c r="AN772" s="32"/>
      <c r="AO772" s="32"/>
      <c r="AP772" s="24"/>
      <c r="AQ772" s="24"/>
      <c r="AR772" s="33"/>
      <c r="AS772" s="34"/>
      <c r="AT772" s="33"/>
      <c r="AV772" s="21">
        <f>IF(AND($AL772&lt;&gt;"",COUNTIF($AL$11:$AL772,$AL772)=1),1,0)</f>
        <v>0</v>
      </c>
      <c r="AW772" s="21">
        <f t="shared" si="109"/>
        <v>2</v>
      </c>
      <c r="AX772" s="21" t="str">
        <f t="shared" si="108"/>
        <v/>
      </c>
      <c r="AY772" s="21" t="str">
        <f>IF(AND($AM772&lt;&gt;"",$AS772&lt;&gt;"✓"),SUMPRODUCT(($AM$11:$AM772&lt;&gt;"")*($AS$11:$AS772&lt;&gt;"✓")),"")</f>
        <v/>
      </c>
      <c r="AZ772" s="21" t="str">
        <f>IF(AND($AM772&lt;&gt;"",$AS772="✓"),SUMPRODUCT(($AM$11:$AM772&lt;&gt;"")*($AS$11:$AS772="✓")),"")</f>
        <v/>
      </c>
      <c r="BA772" s="21" t="str">
        <f>IF($AL772="","",$AL772&amp;"|"&amp;COUNTIF($AL$11:$AL772,$AL772))</f>
        <v/>
      </c>
    </row>
    <row r="773" spans="23:53" ht="15" customHeight="1" x14ac:dyDescent="0.25">
      <c r="W773" s="14" t="str">
        <f>IF(X773="","",IFERROR(INDEX($AL$11:$AL$4010,MATCH(763,$AY$11:$AY$4010,0)),""))</f>
        <v/>
      </c>
      <c r="X773" s="12" t="str">
        <f>IFERROR(INDEX($AM$11:$AM$4010,MATCH(763,$AY$11:$AY$4010,0)),"")</f>
        <v/>
      </c>
      <c r="Y773" s="11" t="str">
        <f>IF(X773="","",IFERROR(INDEX($AN$11:$AN$4010,MATCH(763,$AY$11:$AY$4010,0)),""))</f>
        <v/>
      </c>
      <c r="Z773" s="11" t="str">
        <f>IF(X773="","",IFERROR(INDEX($AO$11:$AO$4010,MATCH(763,$AY$11:$AY$4010,0)),""))</f>
        <v/>
      </c>
      <c r="AA773" s="10" t="str">
        <f>IF(X773="","",IFERROR(INDEX($AQ$11:$AQ$4010,MATCH(763,$AY$11:$AY$4010,0)),""))</f>
        <v/>
      </c>
      <c r="AB773" s="15" t="str">
        <f>IF(X773="","",IFERROR(INDEX($AR$11:$AR$4010,MATCH(763,$AY$11:$AY$4010,0)),""))</f>
        <v/>
      </c>
      <c r="AD773" s="16" t="str">
        <f>IF(AE773="","",IFERROR(INDEX($AL$11:$AL$4010,MATCH(763,$AZ$11:$AZ$4010,0)),""))</f>
        <v/>
      </c>
      <c r="AE773" s="12" t="str">
        <f>IFERROR(INDEX($AM$11:$AM$4010,MATCH(763,$AZ$11:$AZ$4010,0)),"")</f>
        <v/>
      </c>
      <c r="AF773" s="11" t="str">
        <f>IF(AE773="","",IFERROR(INDEX($AN$11:$AN$4010,MATCH(763,$AZ$11:$AZ$4010,0)),""))</f>
        <v/>
      </c>
      <c r="AG773" s="11" t="str">
        <f>IF(AE773="","",IFERROR(INDEX($AO$11:$AO$4010,MATCH(763,$AZ$11:$AZ$4010,0)),""))</f>
        <v/>
      </c>
      <c r="AH773" s="10" t="str">
        <f>IF(AE773="","",IFERROR(INDEX($AQ$11:$AQ$4010,MATCH(763,$AZ$11:$AZ$4010,0)),""))</f>
        <v/>
      </c>
      <c r="AI773" s="15" t="str">
        <f>IF(AE773="","",IFERROR(INDEX($AR$11:$AR$4010,MATCH(763,$AZ$11:$AZ$4010,0)),""))</f>
        <v/>
      </c>
      <c r="AJ773" s="15" t="str">
        <f>IF(AE773="","",IFERROR(INDEX($AT$11:$AT$4010,MATCH(763,$AZ$11:$AZ$4010,0)),""))</f>
        <v/>
      </c>
      <c r="AL773" s="17"/>
      <c r="AM773" s="12"/>
      <c r="AN773" s="18"/>
      <c r="AO773" s="18"/>
      <c r="AP773" s="10"/>
      <c r="AQ773" s="10"/>
      <c r="AR773" s="19"/>
      <c r="AS773" s="20"/>
      <c r="AT773" s="19"/>
      <c r="AV773" s="21">
        <f>IF(AND($AL773&lt;&gt;"",COUNTIF($AL$11:$AL773,$AL773)=1),1,0)</f>
        <v>0</v>
      </c>
      <c r="AW773" s="21">
        <f t="shared" si="109"/>
        <v>2</v>
      </c>
      <c r="AX773" s="21" t="str">
        <f t="shared" si="108"/>
        <v/>
      </c>
      <c r="AY773" s="21" t="str">
        <f>IF(AND($AM773&lt;&gt;"",$AS773&lt;&gt;"✓"),SUMPRODUCT(($AM$11:$AM773&lt;&gt;"")*($AS$11:$AS773&lt;&gt;"✓")),"")</f>
        <v/>
      </c>
      <c r="AZ773" s="21" t="str">
        <f>IF(AND($AM773&lt;&gt;"",$AS773="✓"),SUMPRODUCT(($AM$11:$AM773&lt;&gt;"")*($AS$11:$AS773="✓")),"")</f>
        <v/>
      </c>
      <c r="BA773" s="21" t="str">
        <f>IF($AL773="","",$AL773&amp;"|"&amp;COUNTIF($AL$11:$AL773,$AL773))</f>
        <v/>
      </c>
    </row>
    <row r="774" spans="23:53" ht="15" customHeight="1" x14ac:dyDescent="0.25">
      <c r="W774" s="28" t="str">
        <f>IF(X774="","",IFERROR(INDEX($AL$11:$AL$4010,MATCH(764,$AY$11:$AY$4010,0)),""))</f>
        <v/>
      </c>
      <c r="X774" s="26" t="str">
        <f>IFERROR(INDEX($AM$11:$AM$4010,MATCH(764,$AY$11:$AY$4010,0)),"")</f>
        <v/>
      </c>
      <c r="Y774" s="25" t="str">
        <f>IF(X774="","",IFERROR(INDEX($AN$11:$AN$4010,MATCH(764,$AY$11:$AY$4010,0)),""))</f>
        <v/>
      </c>
      <c r="Z774" s="25" t="str">
        <f>IF(X774="","",IFERROR(INDEX($AO$11:$AO$4010,MATCH(764,$AY$11:$AY$4010,0)),""))</f>
        <v/>
      </c>
      <c r="AA774" s="24" t="str">
        <f>IF(X774="","",IFERROR(INDEX($AQ$11:$AQ$4010,MATCH(764,$AY$11:$AY$4010,0)),""))</f>
        <v/>
      </c>
      <c r="AB774" s="29" t="str">
        <f>IF(X774="","",IFERROR(INDEX($AR$11:$AR$4010,MATCH(764,$AY$11:$AY$4010,0)),""))</f>
        <v/>
      </c>
      <c r="AD774" s="30" t="str">
        <f>IF(AE774="","",IFERROR(INDEX($AL$11:$AL$4010,MATCH(764,$AZ$11:$AZ$4010,0)),""))</f>
        <v/>
      </c>
      <c r="AE774" s="26" t="str">
        <f>IFERROR(INDEX($AM$11:$AM$4010,MATCH(764,$AZ$11:$AZ$4010,0)),"")</f>
        <v/>
      </c>
      <c r="AF774" s="25" t="str">
        <f>IF(AE774="","",IFERROR(INDEX($AN$11:$AN$4010,MATCH(764,$AZ$11:$AZ$4010,0)),""))</f>
        <v/>
      </c>
      <c r="AG774" s="25" t="str">
        <f>IF(AE774="","",IFERROR(INDEX($AO$11:$AO$4010,MATCH(764,$AZ$11:$AZ$4010,0)),""))</f>
        <v/>
      </c>
      <c r="AH774" s="24" t="str">
        <f>IF(AE774="","",IFERROR(INDEX($AQ$11:$AQ$4010,MATCH(764,$AZ$11:$AZ$4010,0)),""))</f>
        <v/>
      </c>
      <c r="AI774" s="29" t="str">
        <f>IF(AE774="","",IFERROR(INDEX($AR$11:$AR$4010,MATCH(764,$AZ$11:$AZ$4010,0)),""))</f>
        <v/>
      </c>
      <c r="AJ774" s="29" t="str">
        <f>IF(AE774="","",IFERROR(INDEX($AT$11:$AT$4010,MATCH(764,$AZ$11:$AZ$4010,0)),""))</f>
        <v/>
      </c>
      <c r="AL774" s="31"/>
      <c r="AM774" s="26"/>
      <c r="AN774" s="32"/>
      <c r="AO774" s="32"/>
      <c r="AP774" s="24"/>
      <c r="AQ774" s="24"/>
      <c r="AR774" s="33"/>
      <c r="AS774" s="34"/>
      <c r="AT774" s="33"/>
      <c r="AV774" s="21">
        <f>IF(AND($AL774&lt;&gt;"",COUNTIF($AL$11:$AL774,$AL774)=1),1,0)</f>
        <v>0</v>
      </c>
      <c r="AW774" s="21">
        <f t="shared" si="109"/>
        <v>2</v>
      </c>
      <c r="AX774" s="21" t="str">
        <f t="shared" si="108"/>
        <v/>
      </c>
      <c r="AY774" s="21" t="str">
        <f>IF(AND($AM774&lt;&gt;"",$AS774&lt;&gt;"✓"),SUMPRODUCT(($AM$11:$AM774&lt;&gt;"")*($AS$11:$AS774&lt;&gt;"✓")),"")</f>
        <v/>
      </c>
      <c r="AZ774" s="21" t="str">
        <f>IF(AND($AM774&lt;&gt;"",$AS774="✓"),SUMPRODUCT(($AM$11:$AM774&lt;&gt;"")*($AS$11:$AS774="✓")),"")</f>
        <v/>
      </c>
      <c r="BA774" s="21" t="str">
        <f>IF($AL774="","",$AL774&amp;"|"&amp;COUNTIF($AL$11:$AL774,$AL774))</f>
        <v/>
      </c>
    </row>
    <row r="775" spans="23:53" ht="15" customHeight="1" x14ac:dyDescent="0.25">
      <c r="W775" s="14" t="str">
        <f>IF(X775="","",IFERROR(INDEX($AL$11:$AL$4010,MATCH(765,$AY$11:$AY$4010,0)),""))</f>
        <v/>
      </c>
      <c r="X775" s="12" t="str">
        <f>IFERROR(INDEX($AM$11:$AM$4010,MATCH(765,$AY$11:$AY$4010,0)),"")</f>
        <v/>
      </c>
      <c r="Y775" s="11" t="str">
        <f>IF(X775="","",IFERROR(INDEX($AN$11:$AN$4010,MATCH(765,$AY$11:$AY$4010,0)),""))</f>
        <v/>
      </c>
      <c r="Z775" s="11" t="str">
        <f>IF(X775="","",IFERROR(INDEX($AO$11:$AO$4010,MATCH(765,$AY$11:$AY$4010,0)),""))</f>
        <v/>
      </c>
      <c r="AA775" s="10" t="str">
        <f>IF(X775="","",IFERROR(INDEX($AQ$11:$AQ$4010,MATCH(765,$AY$11:$AY$4010,0)),""))</f>
        <v/>
      </c>
      <c r="AB775" s="15" t="str">
        <f>IF(X775="","",IFERROR(INDEX($AR$11:$AR$4010,MATCH(765,$AY$11:$AY$4010,0)),""))</f>
        <v/>
      </c>
      <c r="AD775" s="16" t="str">
        <f>IF(AE775="","",IFERROR(INDEX($AL$11:$AL$4010,MATCH(765,$AZ$11:$AZ$4010,0)),""))</f>
        <v/>
      </c>
      <c r="AE775" s="12" t="str">
        <f>IFERROR(INDEX($AM$11:$AM$4010,MATCH(765,$AZ$11:$AZ$4010,0)),"")</f>
        <v/>
      </c>
      <c r="AF775" s="11" t="str">
        <f>IF(AE775="","",IFERROR(INDEX($AN$11:$AN$4010,MATCH(765,$AZ$11:$AZ$4010,0)),""))</f>
        <v/>
      </c>
      <c r="AG775" s="11" t="str">
        <f>IF(AE775="","",IFERROR(INDEX($AO$11:$AO$4010,MATCH(765,$AZ$11:$AZ$4010,0)),""))</f>
        <v/>
      </c>
      <c r="AH775" s="10" t="str">
        <f>IF(AE775="","",IFERROR(INDEX($AQ$11:$AQ$4010,MATCH(765,$AZ$11:$AZ$4010,0)),""))</f>
        <v/>
      </c>
      <c r="AI775" s="15" t="str">
        <f>IF(AE775="","",IFERROR(INDEX($AR$11:$AR$4010,MATCH(765,$AZ$11:$AZ$4010,0)),""))</f>
        <v/>
      </c>
      <c r="AJ775" s="15" t="str">
        <f>IF(AE775="","",IFERROR(INDEX($AT$11:$AT$4010,MATCH(765,$AZ$11:$AZ$4010,0)),""))</f>
        <v/>
      </c>
      <c r="AL775" s="17"/>
      <c r="AM775" s="12"/>
      <c r="AN775" s="18"/>
      <c r="AO775" s="18"/>
      <c r="AP775" s="10"/>
      <c r="AQ775" s="10"/>
      <c r="AR775" s="19"/>
      <c r="AS775" s="20"/>
      <c r="AT775" s="19"/>
      <c r="AV775" s="21">
        <f>IF(AND($AL775&lt;&gt;"",COUNTIF($AL$11:$AL775,$AL775)=1),1,0)</f>
        <v>0</v>
      </c>
      <c r="AW775" s="21">
        <f t="shared" si="109"/>
        <v>2</v>
      </c>
      <c r="AX775" s="21" t="str">
        <f t="shared" si="108"/>
        <v/>
      </c>
      <c r="AY775" s="21" t="str">
        <f>IF(AND($AM775&lt;&gt;"",$AS775&lt;&gt;"✓"),SUMPRODUCT(($AM$11:$AM775&lt;&gt;"")*($AS$11:$AS775&lt;&gt;"✓")),"")</f>
        <v/>
      </c>
      <c r="AZ775" s="21" t="str">
        <f>IF(AND($AM775&lt;&gt;"",$AS775="✓"),SUMPRODUCT(($AM$11:$AM775&lt;&gt;"")*($AS$11:$AS775="✓")),"")</f>
        <v/>
      </c>
      <c r="BA775" s="21" t="str">
        <f>IF($AL775="","",$AL775&amp;"|"&amp;COUNTIF($AL$11:$AL775,$AL775))</f>
        <v/>
      </c>
    </row>
    <row r="776" spans="23:53" ht="15" customHeight="1" x14ac:dyDescent="0.25">
      <c r="W776" s="28" t="str">
        <f>IF(X776="","",IFERROR(INDEX($AL$11:$AL$4010,MATCH(766,$AY$11:$AY$4010,0)),""))</f>
        <v/>
      </c>
      <c r="X776" s="26" t="str">
        <f>IFERROR(INDEX($AM$11:$AM$4010,MATCH(766,$AY$11:$AY$4010,0)),"")</f>
        <v/>
      </c>
      <c r="Y776" s="25" t="str">
        <f>IF(X776="","",IFERROR(INDEX($AN$11:$AN$4010,MATCH(766,$AY$11:$AY$4010,0)),""))</f>
        <v/>
      </c>
      <c r="Z776" s="25" t="str">
        <f>IF(X776="","",IFERROR(INDEX($AO$11:$AO$4010,MATCH(766,$AY$11:$AY$4010,0)),""))</f>
        <v/>
      </c>
      <c r="AA776" s="24" t="str">
        <f>IF(X776="","",IFERROR(INDEX($AQ$11:$AQ$4010,MATCH(766,$AY$11:$AY$4010,0)),""))</f>
        <v/>
      </c>
      <c r="AB776" s="29" t="str">
        <f>IF(X776="","",IFERROR(INDEX($AR$11:$AR$4010,MATCH(766,$AY$11:$AY$4010,0)),""))</f>
        <v/>
      </c>
      <c r="AD776" s="30" t="str">
        <f>IF(AE776="","",IFERROR(INDEX($AL$11:$AL$4010,MATCH(766,$AZ$11:$AZ$4010,0)),""))</f>
        <v/>
      </c>
      <c r="AE776" s="26" t="str">
        <f>IFERROR(INDEX($AM$11:$AM$4010,MATCH(766,$AZ$11:$AZ$4010,0)),"")</f>
        <v/>
      </c>
      <c r="AF776" s="25" t="str">
        <f>IF(AE776="","",IFERROR(INDEX($AN$11:$AN$4010,MATCH(766,$AZ$11:$AZ$4010,0)),""))</f>
        <v/>
      </c>
      <c r="AG776" s="25" t="str">
        <f>IF(AE776="","",IFERROR(INDEX($AO$11:$AO$4010,MATCH(766,$AZ$11:$AZ$4010,0)),""))</f>
        <v/>
      </c>
      <c r="AH776" s="24" t="str">
        <f>IF(AE776="","",IFERROR(INDEX($AQ$11:$AQ$4010,MATCH(766,$AZ$11:$AZ$4010,0)),""))</f>
        <v/>
      </c>
      <c r="AI776" s="29" t="str">
        <f>IF(AE776="","",IFERROR(INDEX($AR$11:$AR$4010,MATCH(766,$AZ$11:$AZ$4010,0)),""))</f>
        <v/>
      </c>
      <c r="AJ776" s="29" t="str">
        <f>IF(AE776="","",IFERROR(INDEX($AT$11:$AT$4010,MATCH(766,$AZ$11:$AZ$4010,0)),""))</f>
        <v/>
      </c>
      <c r="AL776" s="31"/>
      <c r="AM776" s="26"/>
      <c r="AN776" s="32"/>
      <c r="AO776" s="32"/>
      <c r="AP776" s="24"/>
      <c r="AQ776" s="24"/>
      <c r="AR776" s="33"/>
      <c r="AS776" s="34"/>
      <c r="AT776" s="33"/>
      <c r="AV776" s="21">
        <f>IF(AND($AL776&lt;&gt;"",COUNTIF($AL$11:$AL776,$AL776)=1),1,0)</f>
        <v>0</v>
      </c>
      <c r="AW776" s="21">
        <f t="shared" si="109"/>
        <v>2</v>
      </c>
      <c r="AX776" s="21" t="str">
        <f t="shared" si="108"/>
        <v/>
      </c>
      <c r="AY776" s="21" t="str">
        <f>IF(AND($AM776&lt;&gt;"",$AS776&lt;&gt;"✓"),SUMPRODUCT(($AM$11:$AM776&lt;&gt;"")*($AS$11:$AS776&lt;&gt;"✓")),"")</f>
        <v/>
      </c>
      <c r="AZ776" s="21" t="str">
        <f>IF(AND($AM776&lt;&gt;"",$AS776="✓"),SUMPRODUCT(($AM$11:$AM776&lt;&gt;"")*($AS$11:$AS776="✓")),"")</f>
        <v/>
      </c>
      <c r="BA776" s="21" t="str">
        <f>IF($AL776="","",$AL776&amp;"|"&amp;COUNTIF($AL$11:$AL776,$AL776))</f>
        <v/>
      </c>
    </row>
    <row r="777" spans="23:53" ht="15" customHeight="1" x14ac:dyDescent="0.25">
      <c r="W777" s="14" t="str">
        <f>IF(X777="","",IFERROR(INDEX($AL$11:$AL$4010,MATCH(767,$AY$11:$AY$4010,0)),""))</f>
        <v/>
      </c>
      <c r="X777" s="12" t="str">
        <f>IFERROR(INDEX($AM$11:$AM$4010,MATCH(767,$AY$11:$AY$4010,0)),"")</f>
        <v/>
      </c>
      <c r="Y777" s="11" t="str">
        <f>IF(X777="","",IFERROR(INDEX($AN$11:$AN$4010,MATCH(767,$AY$11:$AY$4010,0)),""))</f>
        <v/>
      </c>
      <c r="Z777" s="11" t="str">
        <f>IF(X777="","",IFERROR(INDEX($AO$11:$AO$4010,MATCH(767,$AY$11:$AY$4010,0)),""))</f>
        <v/>
      </c>
      <c r="AA777" s="10" t="str">
        <f>IF(X777="","",IFERROR(INDEX($AQ$11:$AQ$4010,MATCH(767,$AY$11:$AY$4010,0)),""))</f>
        <v/>
      </c>
      <c r="AB777" s="15" t="str">
        <f>IF(X777="","",IFERROR(INDEX($AR$11:$AR$4010,MATCH(767,$AY$11:$AY$4010,0)),""))</f>
        <v/>
      </c>
      <c r="AD777" s="16" t="str">
        <f>IF(AE777="","",IFERROR(INDEX($AL$11:$AL$4010,MATCH(767,$AZ$11:$AZ$4010,0)),""))</f>
        <v/>
      </c>
      <c r="AE777" s="12" t="str">
        <f>IFERROR(INDEX($AM$11:$AM$4010,MATCH(767,$AZ$11:$AZ$4010,0)),"")</f>
        <v/>
      </c>
      <c r="AF777" s="11" t="str">
        <f>IF(AE777="","",IFERROR(INDEX($AN$11:$AN$4010,MATCH(767,$AZ$11:$AZ$4010,0)),""))</f>
        <v/>
      </c>
      <c r="AG777" s="11" t="str">
        <f>IF(AE777="","",IFERROR(INDEX($AO$11:$AO$4010,MATCH(767,$AZ$11:$AZ$4010,0)),""))</f>
        <v/>
      </c>
      <c r="AH777" s="10" t="str">
        <f>IF(AE777="","",IFERROR(INDEX($AQ$11:$AQ$4010,MATCH(767,$AZ$11:$AZ$4010,0)),""))</f>
        <v/>
      </c>
      <c r="AI777" s="15" t="str">
        <f>IF(AE777="","",IFERROR(INDEX($AR$11:$AR$4010,MATCH(767,$AZ$11:$AZ$4010,0)),""))</f>
        <v/>
      </c>
      <c r="AJ777" s="15" t="str">
        <f>IF(AE777="","",IFERROR(INDEX($AT$11:$AT$4010,MATCH(767,$AZ$11:$AZ$4010,0)),""))</f>
        <v/>
      </c>
      <c r="AL777" s="17"/>
      <c r="AM777" s="12"/>
      <c r="AN777" s="18"/>
      <c r="AO777" s="18"/>
      <c r="AP777" s="10"/>
      <c r="AQ777" s="10"/>
      <c r="AR777" s="19"/>
      <c r="AS777" s="20"/>
      <c r="AT777" s="19"/>
      <c r="AV777" s="21">
        <f>IF(AND($AL777&lt;&gt;"",COUNTIF($AL$11:$AL777,$AL777)=1),1,0)</f>
        <v>0</v>
      </c>
      <c r="AW777" s="21">
        <f t="shared" si="109"/>
        <v>2</v>
      </c>
      <c r="AX777" s="21" t="str">
        <f t="shared" si="108"/>
        <v/>
      </c>
      <c r="AY777" s="21" t="str">
        <f>IF(AND($AM777&lt;&gt;"",$AS777&lt;&gt;"✓"),SUMPRODUCT(($AM$11:$AM777&lt;&gt;"")*($AS$11:$AS777&lt;&gt;"✓")),"")</f>
        <v/>
      </c>
      <c r="AZ777" s="21" t="str">
        <f>IF(AND($AM777&lt;&gt;"",$AS777="✓"),SUMPRODUCT(($AM$11:$AM777&lt;&gt;"")*($AS$11:$AS777="✓")),"")</f>
        <v/>
      </c>
      <c r="BA777" s="21" t="str">
        <f>IF($AL777="","",$AL777&amp;"|"&amp;COUNTIF($AL$11:$AL777,$AL777))</f>
        <v/>
      </c>
    </row>
    <row r="778" spans="23:53" ht="15" customHeight="1" x14ac:dyDescent="0.25">
      <c r="W778" s="28" t="str">
        <f>IF(X778="","",IFERROR(INDEX($AL$11:$AL$4010,MATCH(768,$AY$11:$AY$4010,0)),""))</f>
        <v/>
      </c>
      <c r="X778" s="26" t="str">
        <f>IFERROR(INDEX($AM$11:$AM$4010,MATCH(768,$AY$11:$AY$4010,0)),"")</f>
        <v/>
      </c>
      <c r="Y778" s="25" t="str">
        <f>IF(X778="","",IFERROR(INDEX($AN$11:$AN$4010,MATCH(768,$AY$11:$AY$4010,0)),""))</f>
        <v/>
      </c>
      <c r="Z778" s="25" t="str">
        <f>IF(X778="","",IFERROR(INDEX($AO$11:$AO$4010,MATCH(768,$AY$11:$AY$4010,0)),""))</f>
        <v/>
      </c>
      <c r="AA778" s="24" t="str">
        <f>IF(X778="","",IFERROR(INDEX($AQ$11:$AQ$4010,MATCH(768,$AY$11:$AY$4010,0)),""))</f>
        <v/>
      </c>
      <c r="AB778" s="29" t="str">
        <f>IF(X778="","",IFERROR(INDEX($AR$11:$AR$4010,MATCH(768,$AY$11:$AY$4010,0)),""))</f>
        <v/>
      </c>
      <c r="AD778" s="30" t="str">
        <f>IF(AE778="","",IFERROR(INDEX($AL$11:$AL$4010,MATCH(768,$AZ$11:$AZ$4010,0)),""))</f>
        <v/>
      </c>
      <c r="AE778" s="26" t="str">
        <f>IFERROR(INDEX($AM$11:$AM$4010,MATCH(768,$AZ$11:$AZ$4010,0)),"")</f>
        <v/>
      </c>
      <c r="AF778" s="25" t="str">
        <f>IF(AE778="","",IFERROR(INDEX($AN$11:$AN$4010,MATCH(768,$AZ$11:$AZ$4010,0)),""))</f>
        <v/>
      </c>
      <c r="AG778" s="25" t="str">
        <f>IF(AE778="","",IFERROR(INDEX($AO$11:$AO$4010,MATCH(768,$AZ$11:$AZ$4010,0)),""))</f>
        <v/>
      </c>
      <c r="AH778" s="24" t="str">
        <f>IF(AE778="","",IFERROR(INDEX($AQ$11:$AQ$4010,MATCH(768,$AZ$11:$AZ$4010,0)),""))</f>
        <v/>
      </c>
      <c r="AI778" s="29" t="str">
        <f>IF(AE778="","",IFERROR(INDEX($AR$11:$AR$4010,MATCH(768,$AZ$11:$AZ$4010,0)),""))</f>
        <v/>
      </c>
      <c r="AJ778" s="29" t="str">
        <f>IF(AE778="","",IFERROR(INDEX($AT$11:$AT$4010,MATCH(768,$AZ$11:$AZ$4010,0)),""))</f>
        <v/>
      </c>
      <c r="AL778" s="31"/>
      <c r="AM778" s="26"/>
      <c r="AN778" s="32"/>
      <c r="AO778" s="32"/>
      <c r="AP778" s="24"/>
      <c r="AQ778" s="24"/>
      <c r="AR778" s="33"/>
      <c r="AS778" s="34"/>
      <c r="AT778" s="33"/>
      <c r="AV778" s="21">
        <f>IF(AND($AL778&lt;&gt;"",COUNTIF($AL$11:$AL778,$AL778)=1),1,0)</f>
        <v>0</v>
      </c>
      <c r="AW778" s="21">
        <f t="shared" si="109"/>
        <v>2</v>
      </c>
      <c r="AX778" s="21" t="str">
        <f t="shared" si="108"/>
        <v/>
      </c>
      <c r="AY778" s="21" t="str">
        <f>IF(AND($AM778&lt;&gt;"",$AS778&lt;&gt;"✓"),SUMPRODUCT(($AM$11:$AM778&lt;&gt;"")*($AS$11:$AS778&lt;&gt;"✓")),"")</f>
        <v/>
      </c>
      <c r="AZ778" s="21" t="str">
        <f>IF(AND($AM778&lt;&gt;"",$AS778="✓"),SUMPRODUCT(($AM$11:$AM778&lt;&gt;"")*($AS$11:$AS778="✓")),"")</f>
        <v/>
      </c>
      <c r="BA778" s="21" t="str">
        <f>IF($AL778="","",$AL778&amp;"|"&amp;COUNTIF($AL$11:$AL778,$AL778))</f>
        <v/>
      </c>
    </row>
    <row r="779" spans="23:53" ht="15" customHeight="1" x14ac:dyDescent="0.25">
      <c r="W779" s="14" t="str">
        <f>IF(X779="","",IFERROR(INDEX($AL$11:$AL$4010,MATCH(769,$AY$11:$AY$4010,0)),""))</f>
        <v/>
      </c>
      <c r="X779" s="12" t="str">
        <f>IFERROR(INDEX($AM$11:$AM$4010,MATCH(769,$AY$11:$AY$4010,0)),"")</f>
        <v/>
      </c>
      <c r="Y779" s="11" t="str">
        <f>IF(X779="","",IFERROR(INDEX($AN$11:$AN$4010,MATCH(769,$AY$11:$AY$4010,0)),""))</f>
        <v/>
      </c>
      <c r="Z779" s="11" t="str">
        <f>IF(X779="","",IFERROR(INDEX($AO$11:$AO$4010,MATCH(769,$AY$11:$AY$4010,0)),""))</f>
        <v/>
      </c>
      <c r="AA779" s="10" t="str">
        <f>IF(X779="","",IFERROR(INDEX($AQ$11:$AQ$4010,MATCH(769,$AY$11:$AY$4010,0)),""))</f>
        <v/>
      </c>
      <c r="AB779" s="15" t="str">
        <f>IF(X779="","",IFERROR(INDEX($AR$11:$AR$4010,MATCH(769,$AY$11:$AY$4010,0)),""))</f>
        <v/>
      </c>
      <c r="AD779" s="16" t="str">
        <f>IF(AE779="","",IFERROR(INDEX($AL$11:$AL$4010,MATCH(769,$AZ$11:$AZ$4010,0)),""))</f>
        <v/>
      </c>
      <c r="AE779" s="12" t="str">
        <f>IFERROR(INDEX($AM$11:$AM$4010,MATCH(769,$AZ$11:$AZ$4010,0)),"")</f>
        <v/>
      </c>
      <c r="AF779" s="11" t="str">
        <f>IF(AE779="","",IFERROR(INDEX($AN$11:$AN$4010,MATCH(769,$AZ$11:$AZ$4010,0)),""))</f>
        <v/>
      </c>
      <c r="AG779" s="11" t="str">
        <f>IF(AE779="","",IFERROR(INDEX($AO$11:$AO$4010,MATCH(769,$AZ$11:$AZ$4010,0)),""))</f>
        <v/>
      </c>
      <c r="AH779" s="10" t="str">
        <f>IF(AE779="","",IFERROR(INDEX($AQ$11:$AQ$4010,MATCH(769,$AZ$11:$AZ$4010,0)),""))</f>
        <v/>
      </c>
      <c r="AI779" s="15" t="str">
        <f>IF(AE779="","",IFERROR(INDEX($AR$11:$AR$4010,MATCH(769,$AZ$11:$AZ$4010,0)),""))</f>
        <v/>
      </c>
      <c r="AJ779" s="15" t="str">
        <f>IF(AE779="","",IFERROR(INDEX($AT$11:$AT$4010,MATCH(769,$AZ$11:$AZ$4010,0)),""))</f>
        <v/>
      </c>
      <c r="AL779" s="17"/>
      <c r="AM779" s="12"/>
      <c r="AN779" s="18"/>
      <c r="AO779" s="18"/>
      <c r="AP779" s="10"/>
      <c r="AQ779" s="10"/>
      <c r="AR779" s="19"/>
      <c r="AS779" s="20"/>
      <c r="AT779" s="19"/>
      <c r="AV779" s="21">
        <f>IF(AND($AL779&lt;&gt;"",COUNTIF($AL$11:$AL779,$AL779)=1),1,0)</f>
        <v>0</v>
      </c>
      <c r="AW779" s="21">
        <f t="shared" si="109"/>
        <v>2</v>
      </c>
      <c r="AX779" s="21" t="str">
        <f t="shared" ref="AX779:AX842" si="110">IF(AV779=1,AW779,"")</f>
        <v/>
      </c>
      <c r="AY779" s="21" t="str">
        <f>IF(AND($AM779&lt;&gt;"",$AS779&lt;&gt;"✓"),SUMPRODUCT(($AM$11:$AM779&lt;&gt;"")*($AS$11:$AS779&lt;&gt;"✓")),"")</f>
        <v/>
      </c>
      <c r="AZ779" s="21" t="str">
        <f>IF(AND($AM779&lt;&gt;"",$AS779="✓"),SUMPRODUCT(($AM$11:$AM779&lt;&gt;"")*($AS$11:$AS779="✓")),"")</f>
        <v/>
      </c>
      <c r="BA779" s="21" t="str">
        <f>IF($AL779="","",$AL779&amp;"|"&amp;COUNTIF($AL$11:$AL779,$AL779))</f>
        <v/>
      </c>
    </row>
    <row r="780" spans="23:53" ht="15" customHeight="1" x14ac:dyDescent="0.25">
      <c r="W780" s="28" t="str">
        <f>IF(X780="","",IFERROR(INDEX($AL$11:$AL$4010,MATCH(770,$AY$11:$AY$4010,0)),""))</f>
        <v/>
      </c>
      <c r="X780" s="26" t="str">
        <f>IFERROR(INDEX($AM$11:$AM$4010,MATCH(770,$AY$11:$AY$4010,0)),"")</f>
        <v/>
      </c>
      <c r="Y780" s="25" t="str">
        <f>IF(X780="","",IFERROR(INDEX($AN$11:$AN$4010,MATCH(770,$AY$11:$AY$4010,0)),""))</f>
        <v/>
      </c>
      <c r="Z780" s="25" t="str">
        <f>IF(X780="","",IFERROR(INDEX($AO$11:$AO$4010,MATCH(770,$AY$11:$AY$4010,0)),""))</f>
        <v/>
      </c>
      <c r="AA780" s="24" t="str">
        <f>IF(X780="","",IFERROR(INDEX($AQ$11:$AQ$4010,MATCH(770,$AY$11:$AY$4010,0)),""))</f>
        <v/>
      </c>
      <c r="AB780" s="29" t="str">
        <f>IF(X780="","",IFERROR(INDEX($AR$11:$AR$4010,MATCH(770,$AY$11:$AY$4010,0)),""))</f>
        <v/>
      </c>
      <c r="AD780" s="30" t="str">
        <f>IF(AE780="","",IFERROR(INDEX($AL$11:$AL$4010,MATCH(770,$AZ$11:$AZ$4010,0)),""))</f>
        <v/>
      </c>
      <c r="AE780" s="26" t="str">
        <f>IFERROR(INDEX($AM$11:$AM$4010,MATCH(770,$AZ$11:$AZ$4010,0)),"")</f>
        <v/>
      </c>
      <c r="AF780" s="25" t="str">
        <f>IF(AE780="","",IFERROR(INDEX($AN$11:$AN$4010,MATCH(770,$AZ$11:$AZ$4010,0)),""))</f>
        <v/>
      </c>
      <c r="AG780" s="25" t="str">
        <f>IF(AE780="","",IFERROR(INDEX($AO$11:$AO$4010,MATCH(770,$AZ$11:$AZ$4010,0)),""))</f>
        <v/>
      </c>
      <c r="AH780" s="24" t="str">
        <f>IF(AE780="","",IFERROR(INDEX($AQ$11:$AQ$4010,MATCH(770,$AZ$11:$AZ$4010,0)),""))</f>
        <v/>
      </c>
      <c r="AI780" s="29" t="str">
        <f>IF(AE780="","",IFERROR(INDEX($AR$11:$AR$4010,MATCH(770,$AZ$11:$AZ$4010,0)),""))</f>
        <v/>
      </c>
      <c r="AJ780" s="29" t="str">
        <f>IF(AE780="","",IFERROR(INDEX($AT$11:$AT$4010,MATCH(770,$AZ$11:$AZ$4010,0)),""))</f>
        <v/>
      </c>
      <c r="AL780" s="31"/>
      <c r="AM780" s="26"/>
      <c r="AN780" s="32"/>
      <c r="AO780" s="32"/>
      <c r="AP780" s="24"/>
      <c r="AQ780" s="24"/>
      <c r="AR780" s="33"/>
      <c r="AS780" s="34"/>
      <c r="AT780" s="33"/>
      <c r="AV780" s="21">
        <f>IF(AND($AL780&lt;&gt;"",COUNTIF($AL$11:$AL780,$AL780)=1),1,0)</f>
        <v>0</v>
      </c>
      <c r="AW780" s="21">
        <f t="shared" ref="AW780:AW843" si="111">AW779+AV780</f>
        <v>2</v>
      </c>
      <c r="AX780" s="21" t="str">
        <f t="shared" si="110"/>
        <v/>
      </c>
      <c r="AY780" s="21" t="str">
        <f>IF(AND($AM780&lt;&gt;"",$AS780&lt;&gt;"✓"),SUMPRODUCT(($AM$11:$AM780&lt;&gt;"")*($AS$11:$AS780&lt;&gt;"✓")),"")</f>
        <v/>
      </c>
      <c r="AZ780" s="21" t="str">
        <f>IF(AND($AM780&lt;&gt;"",$AS780="✓"),SUMPRODUCT(($AM$11:$AM780&lt;&gt;"")*($AS$11:$AS780="✓")),"")</f>
        <v/>
      </c>
      <c r="BA780" s="21" t="str">
        <f>IF($AL780="","",$AL780&amp;"|"&amp;COUNTIF($AL$11:$AL780,$AL780))</f>
        <v/>
      </c>
    </row>
    <row r="781" spans="23:53" ht="15" customHeight="1" x14ac:dyDescent="0.25">
      <c r="W781" s="14" t="str">
        <f>IF(X781="","",IFERROR(INDEX($AL$11:$AL$4010,MATCH(771,$AY$11:$AY$4010,0)),""))</f>
        <v/>
      </c>
      <c r="X781" s="12" t="str">
        <f>IFERROR(INDEX($AM$11:$AM$4010,MATCH(771,$AY$11:$AY$4010,0)),"")</f>
        <v/>
      </c>
      <c r="Y781" s="11" t="str">
        <f>IF(X781="","",IFERROR(INDEX($AN$11:$AN$4010,MATCH(771,$AY$11:$AY$4010,0)),""))</f>
        <v/>
      </c>
      <c r="Z781" s="11" t="str">
        <f>IF(X781="","",IFERROR(INDEX($AO$11:$AO$4010,MATCH(771,$AY$11:$AY$4010,0)),""))</f>
        <v/>
      </c>
      <c r="AA781" s="10" t="str">
        <f>IF(X781="","",IFERROR(INDEX($AQ$11:$AQ$4010,MATCH(771,$AY$11:$AY$4010,0)),""))</f>
        <v/>
      </c>
      <c r="AB781" s="15" t="str">
        <f>IF(X781="","",IFERROR(INDEX($AR$11:$AR$4010,MATCH(771,$AY$11:$AY$4010,0)),""))</f>
        <v/>
      </c>
      <c r="AD781" s="16" t="str">
        <f>IF(AE781="","",IFERROR(INDEX($AL$11:$AL$4010,MATCH(771,$AZ$11:$AZ$4010,0)),""))</f>
        <v/>
      </c>
      <c r="AE781" s="12" t="str">
        <f>IFERROR(INDEX($AM$11:$AM$4010,MATCH(771,$AZ$11:$AZ$4010,0)),"")</f>
        <v/>
      </c>
      <c r="AF781" s="11" t="str">
        <f>IF(AE781="","",IFERROR(INDEX($AN$11:$AN$4010,MATCH(771,$AZ$11:$AZ$4010,0)),""))</f>
        <v/>
      </c>
      <c r="AG781" s="11" t="str">
        <f>IF(AE781="","",IFERROR(INDEX($AO$11:$AO$4010,MATCH(771,$AZ$11:$AZ$4010,0)),""))</f>
        <v/>
      </c>
      <c r="AH781" s="10" t="str">
        <f>IF(AE781="","",IFERROR(INDEX($AQ$11:$AQ$4010,MATCH(771,$AZ$11:$AZ$4010,0)),""))</f>
        <v/>
      </c>
      <c r="AI781" s="15" t="str">
        <f>IF(AE781="","",IFERROR(INDEX($AR$11:$AR$4010,MATCH(771,$AZ$11:$AZ$4010,0)),""))</f>
        <v/>
      </c>
      <c r="AJ781" s="15" t="str">
        <f>IF(AE781="","",IFERROR(INDEX($AT$11:$AT$4010,MATCH(771,$AZ$11:$AZ$4010,0)),""))</f>
        <v/>
      </c>
      <c r="AL781" s="17"/>
      <c r="AM781" s="12"/>
      <c r="AN781" s="18"/>
      <c r="AO781" s="18"/>
      <c r="AP781" s="10"/>
      <c r="AQ781" s="10"/>
      <c r="AR781" s="19"/>
      <c r="AS781" s="20"/>
      <c r="AT781" s="19"/>
      <c r="AV781" s="21">
        <f>IF(AND($AL781&lt;&gt;"",COUNTIF($AL$11:$AL781,$AL781)=1),1,0)</f>
        <v>0</v>
      </c>
      <c r="AW781" s="21">
        <f t="shared" si="111"/>
        <v>2</v>
      </c>
      <c r="AX781" s="21" t="str">
        <f t="shared" si="110"/>
        <v/>
      </c>
      <c r="AY781" s="21" t="str">
        <f>IF(AND($AM781&lt;&gt;"",$AS781&lt;&gt;"✓"),SUMPRODUCT(($AM$11:$AM781&lt;&gt;"")*($AS$11:$AS781&lt;&gt;"✓")),"")</f>
        <v/>
      </c>
      <c r="AZ781" s="21" t="str">
        <f>IF(AND($AM781&lt;&gt;"",$AS781="✓"),SUMPRODUCT(($AM$11:$AM781&lt;&gt;"")*($AS$11:$AS781="✓")),"")</f>
        <v/>
      </c>
      <c r="BA781" s="21" t="str">
        <f>IF($AL781="","",$AL781&amp;"|"&amp;COUNTIF($AL$11:$AL781,$AL781))</f>
        <v/>
      </c>
    </row>
    <row r="782" spans="23:53" ht="15" customHeight="1" x14ac:dyDescent="0.25">
      <c r="W782" s="28" t="str">
        <f>IF(X782="","",IFERROR(INDEX($AL$11:$AL$4010,MATCH(772,$AY$11:$AY$4010,0)),""))</f>
        <v/>
      </c>
      <c r="X782" s="26" t="str">
        <f>IFERROR(INDEX($AM$11:$AM$4010,MATCH(772,$AY$11:$AY$4010,0)),"")</f>
        <v/>
      </c>
      <c r="Y782" s="25" t="str">
        <f>IF(X782="","",IFERROR(INDEX($AN$11:$AN$4010,MATCH(772,$AY$11:$AY$4010,0)),""))</f>
        <v/>
      </c>
      <c r="Z782" s="25" t="str">
        <f>IF(X782="","",IFERROR(INDEX($AO$11:$AO$4010,MATCH(772,$AY$11:$AY$4010,0)),""))</f>
        <v/>
      </c>
      <c r="AA782" s="24" t="str">
        <f>IF(X782="","",IFERROR(INDEX($AQ$11:$AQ$4010,MATCH(772,$AY$11:$AY$4010,0)),""))</f>
        <v/>
      </c>
      <c r="AB782" s="29" t="str">
        <f>IF(X782="","",IFERROR(INDEX($AR$11:$AR$4010,MATCH(772,$AY$11:$AY$4010,0)),""))</f>
        <v/>
      </c>
      <c r="AD782" s="30" t="str">
        <f>IF(AE782="","",IFERROR(INDEX($AL$11:$AL$4010,MATCH(772,$AZ$11:$AZ$4010,0)),""))</f>
        <v/>
      </c>
      <c r="AE782" s="26" t="str">
        <f>IFERROR(INDEX($AM$11:$AM$4010,MATCH(772,$AZ$11:$AZ$4010,0)),"")</f>
        <v/>
      </c>
      <c r="AF782" s="25" t="str">
        <f>IF(AE782="","",IFERROR(INDEX($AN$11:$AN$4010,MATCH(772,$AZ$11:$AZ$4010,0)),""))</f>
        <v/>
      </c>
      <c r="AG782" s="25" t="str">
        <f>IF(AE782="","",IFERROR(INDEX($AO$11:$AO$4010,MATCH(772,$AZ$11:$AZ$4010,0)),""))</f>
        <v/>
      </c>
      <c r="AH782" s="24" t="str">
        <f>IF(AE782="","",IFERROR(INDEX($AQ$11:$AQ$4010,MATCH(772,$AZ$11:$AZ$4010,0)),""))</f>
        <v/>
      </c>
      <c r="AI782" s="29" t="str">
        <f>IF(AE782="","",IFERROR(INDEX($AR$11:$AR$4010,MATCH(772,$AZ$11:$AZ$4010,0)),""))</f>
        <v/>
      </c>
      <c r="AJ782" s="29" t="str">
        <f>IF(AE782="","",IFERROR(INDEX($AT$11:$AT$4010,MATCH(772,$AZ$11:$AZ$4010,0)),""))</f>
        <v/>
      </c>
      <c r="AL782" s="31"/>
      <c r="AM782" s="26"/>
      <c r="AN782" s="32"/>
      <c r="AO782" s="32"/>
      <c r="AP782" s="24"/>
      <c r="AQ782" s="24"/>
      <c r="AR782" s="33"/>
      <c r="AS782" s="34"/>
      <c r="AT782" s="33"/>
      <c r="AV782" s="21">
        <f>IF(AND($AL782&lt;&gt;"",COUNTIF($AL$11:$AL782,$AL782)=1),1,0)</f>
        <v>0</v>
      </c>
      <c r="AW782" s="21">
        <f t="shared" si="111"/>
        <v>2</v>
      </c>
      <c r="AX782" s="21" t="str">
        <f t="shared" si="110"/>
        <v/>
      </c>
      <c r="AY782" s="21" t="str">
        <f>IF(AND($AM782&lt;&gt;"",$AS782&lt;&gt;"✓"),SUMPRODUCT(($AM$11:$AM782&lt;&gt;"")*($AS$11:$AS782&lt;&gt;"✓")),"")</f>
        <v/>
      </c>
      <c r="AZ782" s="21" t="str">
        <f>IF(AND($AM782&lt;&gt;"",$AS782="✓"),SUMPRODUCT(($AM$11:$AM782&lt;&gt;"")*($AS$11:$AS782="✓")),"")</f>
        <v/>
      </c>
      <c r="BA782" s="21" t="str">
        <f>IF($AL782="","",$AL782&amp;"|"&amp;COUNTIF($AL$11:$AL782,$AL782))</f>
        <v/>
      </c>
    </row>
    <row r="783" spans="23:53" ht="15" customHeight="1" x14ac:dyDescent="0.25">
      <c r="W783" s="14" t="str">
        <f>IF(X783="","",IFERROR(INDEX($AL$11:$AL$4010,MATCH(773,$AY$11:$AY$4010,0)),""))</f>
        <v/>
      </c>
      <c r="X783" s="12" t="str">
        <f>IFERROR(INDEX($AM$11:$AM$4010,MATCH(773,$AY$11:$AY$4010,0)),"")</f>
        <v/>
      </c>
      <c r="Y783" s="11" t="str">
        <f>IF(X783="","",IFERROR(INDEX($AN$11:$AN$4010,MATCH(773,$AY$11:$AY$4010,0)),""))</f>
        <v/>
      </c>
      <c r="Z783" s="11" t="str">
        <f>IF(X783="","",IFERROR(INDEX($AO$11:$AO$4010,MATCH(773,$AY$11:$AY$4010,0)),""))</f>
        <v/>
      </c>
      <c r="AA783" s="10" t="str">
        <f>IF(X783="","",IFERROR(INDEX($AQ$11:$AQ$4010,MATCH(773,$AY$11:$AY$4010,0)),""))</f>
        <v/>
      </c>
      <c r="AB783" s="15" t="str">
        <f>IF(X783="","",IFERROR(INDEX($AR$11:$AR$4010,MATCH(773,$AY$11:$AY$4010,0)),""))</f>
        <v/>
      </c>
      <c r="AD783" s="16" t="str">
        <f>IF(AE783="","",IFERROR(INDEX($AL$11:$AL$4010,MATCH(773,$AZ$11:$AZ$4010,0)),""))</f>
        <v/>
      </c>
      <c r="AE783" s="12" t="str">
        <f>IFERROR(INDEX($AM$11:$AM$4010,MATCH(773,$AZ$11:$AZ$4010,0)),"")</f>
        <v/>
      </c>
      <c r="AF783" s="11" t="str">
        <f>IF(AE783="","",IFERROR(INDEX($AN$11:$AN$4010,MATCH(773,$AZ$11:$AZ$4010,0)),""))</f>
        <v/>
      </c>
      <c r="AG783" s="11" t="str">
        <f>IF(AE783="","",IFERROR(INDEX($AO$11:$AO$4010,MATCH(773,$AZ$11:$AZ$4010,0)),""))</f>
        <v/>
      </c>
      <c r="AH783" s="10" t="str">
        <f>IF(AE783="","",IFERROR(INDEX($AQ$11:$AQ$4010,MATCH(773,$AZ$11:$AZ$4010,0)),""))</f>
        <v/>
      </c>
      <c r="AI783" s="15" t="str">
        <f>IF(AE783="","",IFERROR(INDEX($AR$11:$AR$4010,MATCH(773,$AZ$11:$AZ$4010,0)),""))</f>
        <v/>
      </c>
      <c r="AJ783" s="15" t="str">
        <f>IF(AE783="","",IFERROR(INDEX($AT$11:$AT$4010,MATCH(773,$AZ$11:$AZ$4010,0)),""))</f>
        <v/>
      </c>
      <c r="AL783" s="17"/>
      <c r="AM783" s="12"/>
      <c r="AN783" s="18"/>
      <c r="AO783" s="18"/>
      <c r="AP783" s="10"/>
      <c r="AQ783" s="10"/>
      <c r="AR783" s="19"/>
      <c r="AS783" s="20"/>
      <c r="AT783" s="19"/>
      <c r="AV783" s="21">
        <f>IF(AND($AL783&lt;&gt;"",COUNTIF($AL$11:$AL783,$AL783)=1),1,0)</f>
        <v>0</v>
      </c>
      <c r="AW783" s="21">
        <f t="shared" si="111"/>
        <v>2</v>
      </c>
      <c r="AX783" s="21" t="str">
        <f t="shared" si="110"/>
        <v/>
      </c>
      <c r="AY783" s="21" t="str">
        <f>IF(AND($AM783&lt;&gt;"",$AS783&lt;&gt;"✓"),SUMPRODUCT(($AM$11:$AM783&lt;&gt;"")*($AS$11:$AS783&lt;&gt;"✓")),"")</f>
        <v/>
      </c>
      <c r="AZ783" s="21" t="str">
        <f>IF(AND($AM783&lt;&gt;"",$AS783="✓"),SUMPRODUCT(($AM$11:$AM783&lt;&gt;"")*($AS$11:$AS783="✓")),"")</f>
        <v/>
      </c>
      <c r="BA783" s="21" t="str">
        <f>IF($AL783="","",$AL783&amp;"|"&amp;COUNTIF($AL$11:$AL783,$AL783))</f>
        <v/>
      </c>
    </row>
    <row r="784" spans="23:53" ht="15" customHeight="1" x14ac:dyDescent="0.25">
      <c r="W784" s="28" t="str">
        <f>IF(X784="","",IFERROR(INDEX($AL$11:$AL$4010,MATCH(774,$AY$11:$AY$4010,0)),""))</f>
        <v/>
      </c>
      <c r="X784" s="26" t="str">
        <f>IFERROR(INDEX($AM$11:$AM$4010,MATCH(774,$AY$11:$AY$4010,0)),"")</f>
        <v/>
      </c>
      <c r="Y784" s="25" t="str">
        <f>IF(X784="","",IFERROR(INDEX($AN$11:$AN$4010,MATCH(774,$AY$11:$AY$4010,0)),""))</f>
        <v/>
      </c>
      <c r="Z784" s="25" t="str">
        <f>IF(X784="","",IFERROR(INDEX($AO$11:$AO$4010,MATCH(774,$AY$11:$AY$4010,0)),""))</f>
        <v/>
      </c>
      <c r="AA784" s="24" t="str">
        <f>IF(X784="","",IFERROR(INDEX($AQ$11:$AQ$4010,MATCH(774,$AY$11:$AY$4010,0)),""))</f>
        <v/>
      </c>
      <c r="AB784" s="29" t="str">
        <f>IF(X784="","",IFERROR(INDEX($AR$11:$AR$4010,MATCH(774,$AY$11:$AY$4010,0)),""))</f>
        <v/>
      </c>
      <c r="AD784" s="30" t="str">
        <f>IF(AE784="","",IFERROR(INDEX($AL$11:$AL$4010,MATCH(774,$AZ$11:$AZ$4010,0)),""))</f>
        <v/>
      </c>
      <c r="AE784" s="26" t="str">
        <f>IFERROR(INDEX($AM$11:$AM$4010,MATCH(774,$AZ$11:$AZ$4010,0)),"")</f>
        <v/>
      </c>
      <c r="AF784" s="25" t="str">
        <f>IF(AE784="","",IFERROR(INDEX($AN$11:$AN$4010,MATCH(774,$AZ$11:$AZ$4010,0)),""))</f>
        <v/>
      </c>
      <c r="AG784" s="25" t="str">
        <f>IF(AE784="","",IFERROR(INDEX($AO$11:$AO$4010,MATCH(774,$AZ$11:$AZ$4010,0)),""))</f>
        <v/>
      </c>
      <c r="AH784" s="24" t="str">
        <f>IF(AE784="","",IFERROR(INDEX($AQ$11:$AQ$4010,MATCH(774,$AZ$11:$AZ$4010,0)),""))</f>
        <v/>
      </c>
      <c r="AI784" s="29" t="str">
        <f>IF(AE784="","",IFERROR(INDEX($AR$11:$AR$4010,MATCH(774,$AZ$11:$AZ$4010,0)),""))</f>
        <v/>
      </c>
      <c r="AJ784" s="29" t="str">
        <f>IF(AE784="","",IFERROR(INDEX($AT$11:$AT$4010,MATCH(774,$AZ$11:$AZ$4010,0)),""))</f>
        <v/>
      </c>
      <c r="AL784" s="31"/>
      <c r="AM784" s="26"/>
      <c r="AN784" s="32"/>
      <c r="AO784" s="32"/>
      <c r="AP784" s="24"/>
      <c r="AQ784" s="24"/>
      <c r="AR784" s="33"/>
      <c r="AS784" s="34"/>
      <c r="AT784" s="33"/>
      <c r="AV784" s="21">
        <f>IF(AND($AL784&lt;&gt;"",COUNTIF($AL$11:$AL784,$AL784)=1),1,0)</f>
        <v>0</v>
      </c>
      <c r="AW784" s="21">
        <f t="shared" si="111"/>
        <v>2</v>
      </c>
      <c r="AX784" s="21" t="str">
        <f t="shared" si="110"/>
        <v/>
      </c>
      <c r="AY784" s="21" t="str">
        <f>IF(AND($AM784&lt;&gt;"",$AS784&lt;&gt;"✓"),SUMPRODUCT(($AM$11:$AM784&lt;&gt;"")*($AS$11:$AS784&lt;&gt;"✓")),"")</f>
        <v/>
      </c>
      <c r="AZ784" s="21" t="str">
        <f>IF(AND($AM784&lt;&gt;"",$AS784="✓"),SUMPRODUCT(($AM$11:$AM784&lt;&gt;"")*($AS$11:$AS784="✓")),"")</f>
        <v/>
      </c>
      <c r="BA784" s="21" t="str">
        <f>IF($AL784="","",$AL784&amp;"|"&amp;COUNTIF($AL$11:$AL784,$AL784))</f>
        <v/>
      </c>
    </row>
    <row r="785" spans="23:53" ht="15" customHeight="1" x14ac:dyDescent="0.25">
      <c r="W785" s="14" t="str">
        <f>IF(X785="","",IFERROR(INDEX($AL$11:$AL$4010,MATCH(775,$AY$11:$AY$4010,0)),""))</f>
        <v/>
      </c>
      <c r="X785" s="12" t="str">
        <f>IFERROR(INDEX($AM$11:$AM$4010,MATCH(775,$AY$11:$AY$4010,0)),"")</f>
        <v/>
      </c>
      <c r="Y785" s="11" t="str">
        <f>IF(X785="","",IFERROR(INDEX($AN$11:$AN$4010,MATCH(775,$AY$11:$AY$4010,0)),""))</f>
        <v/>
      </c>
      <c r="Z785" s="11" t="str">
        <f>IF(X785="","",IFERROR(INDEX($AO$11:$AO$4010,MATCH(775,$AY$11:$AY$4010,0)),""))</f>
        <v/>
      </c>
      <c r="AA785" s="10" t="str">
        <f>IF(X785="","",IFERROR(INDEX($AQ$11:$AQ$4010,MATCH(775,$AY$11:$AY$4010,0)),""))</f>
        <v/>
      </c>
      <c r="AB785" s="15" t="str">
        <f>IF(X785="","",IFERROR(INDEX($AR$11:$AR$4010,MATCH(775,$AY$11:$AY$4010,0)),""))</f>
        <v/>
      </c>
      <c r="AD785" s="16" t="str">
        <f>IF(AE785="","",IFERROR(INDEX($AL$11:$AL$4010,MATCH(775,$AZ$11:$AZ$4010,0)),""))</f>
        <v/>
      </c>
      <c r="AE785" s="12" t="str">
        <f>IFERROR(INDEX($AM$11:$AM$4010,MATCH(775,$AZ$11:$AZ$4010,0)),"")</f>
        <v/>
      </c>
      <c r="AF785" s="11" t="str">
        <f>IF(AE785="","",IFERROR(INDEX($AN$11:$AN$4010,MATCH(775,$AZ$11:$AZ$4010,0)),""))</f>
        <v/>
      </c>
      <c r="AG785" s="11" t="str">
        <f>IF(AE785="","",IFERROR(INDEX($AO$11:$AO$4010,MATCH(775,$AZ$11:$AZ$4010,0)),""))</f>
        <v/>
      </c>
      <c r="AH785" s="10" t="str">
        <f>IF(AE785="","",IFERROR(INDEX($AQ$11:$AQ$4010,MATCH(775,$AZ$11:$AZ$4010,0)),""))</f>
        <v/>
      </c>
      <c r="AI785" s="15" t="str">
        <f>IF(AE785="","",IFERROR(INDEX($AR$11:$AR$4010,MATCH(775,$AZ$11:$AZ$4010,0)),""))</f>
        <v/>
      </c>
      <c r="AJ785" s="15" t="str">
        <f>IF(AE785="","",IFERROR(INDEX($AT$11:$AT$4010,MATCH(775,$AZ$11:$AZ$4010,0)),""))</f>
        <v/>
      </c>
      <c r="AL785" s="17"/>
      <c r="AM785" s="12"/>
      <c r="AN785" s="18"/>
      <c r="AO785" s="18"/>
      <c r="AP785" s="10"/>
      <c r="AQ785" s="10"/>
      <c r="AR785" s="19"/>
      <c r="AS785" s="20"/>
      <c r="AT785" s="19"/>
      <c r="AV785" s="21">
        <f>IF(AND($AL785&lt;&gt;"",COUNTIF($AL$11:$AL785,$AL785)=1),1,0)</f>
        <v>0</v>
      </c>
      <c r="AW785" s="21">
        <f t="shared" si="111"/>
        <v>2</v>
      </c>
      <c r="AX785" s="21" t="str">
        <f t="shared" si="110"/>
        <v/>
      </c>
      <c r="AY785" s="21" t="str">
        <f>IF(AND($AM785&lt;&gt;"",$AS785&lt;&gt;"✓"),SUMPRODUCT(($AM$11:$AM785&lt;&gt;"")*($AS$11:$AS785&lt;&gt;"✓")),"")</f>
        <v/>
      </c>
      <c r="AZ785" s="21" t="str">
        <f>IF(AND($AM785&lt;&gt;"",$AS785="✓"),SUMPRODUCT(($AM$11:$AM785&lt;&gt;"")*($AS$11:$AS785="✓")),"")</f>
        <v/>
      </c>
      <c r="BA785" s="21" t="str">
        <f>IF($AL785="","",$AL785&amp;"|"&amp;COUNTIF($AL$11:$AL785,$AL785))</f>
        <v/>
      </c>
    </row>
    <row r="786" spans="23:53" ht="15" customHeight="1" x14ac:dyDescent="0.25">
      <c r="W786" s="28" t="str">
        <f>IF(X786="","",IFERROR(INDEX($AL$11:$AL$4010,MATCH(776,$AY$11:$AY$4010,0)),""))</f>
        <v/>
      </c>
      <c r="X786" s="26" t="str">
        <f>IFERROR(INDEX($AM$11:$AM$4010,MATCH(776,$AY$11:$AY$4010,0)),"")</f>
        <v/>
      </c>
      <c r="Y786" s="25" t="str">
        <f>IF(X786="","",IFERROR(INDEX($AN$11:$AN$4010,MATCH(776,$AY$11:$AY$4010,0)),""))</f>
        <v/>
      </c>
      <c r="Z786" s="25" t="str">
        <f>IF(X786="","",IFERROR(INDEX($AO$11:$AO$4010,MATCH(776,$AY$11:$AY$4010,0)),""))</f>
        <v/>
      </c>
      <c r="AA786" s="24" t="str">
        <f>IF(X786="","",IFERROR(INDEX($AQ$11:$AQ$4010,MATCH(776,$AY$11:$AY$4010,0)),""))</f>
        <v/>
      </c>
      <c r="AB786" s="29" t="str">
        <f>IF(X786="","",IFERROR(INDEX($AR$11:$AR$4010,MATCH(776,$AY$11:$AY$4010,0)),""))</f>
        <v/>
      </c>
      <c r="AD786" s="30" t="str">
        <f>IF(AE786="","",IFERROR(INDEX($AL$11:$AL$4010,MATCH(776,$AZ$11:$AZ$4010,0)),""))</f>
        <v/>
      </c>
      <c r="AE786" s="26" t="str">
        <f>IFERROR(INDEX($AM$11:$AM$4010,MATCH(776,$AZ$11:$AZ$4010,0)),"")</f>
        <v/>
      </c>
      <c r="AF786" s="25" t="str">
        <f>IF(AE786="","",IFERROR(INDEX($AN$11:$AN$4010,MATCH(776,$AZ$11:$AZ$4010,0)),""))</f>
        <v/>
      </c>
      <c r="AG786" s="25" t="str">
        <f>IF(AE786="","",IFERROR(INDEX($AO$11:$AO$4010,MATCH(776,$AZ$11:$AZ$4010,0)),""))</f>
        <v/>
      </c>
      <c r="AH786" s="24" t="str">
        <f>IF(AE786="","",IFERROR(INDEX($AQ$11:$AQ$4010,MATCH(776,$AZ$11:$AZ$4010,0)),""))</f>
        <v/>
      </c>
      <c r="AI786" s="29" t="str">
        <f>IF(AE786="","",IFERROR(INDEX($AR$11:$AR$4010,MATCH(776,$AZ$11:$AZ$4010,0)),""))</f>
        <v/>
      </c>
      <c r="AJ786" s="29" t="str">
        <f>IF(AE786="","",IFERROR(INDEX($AT$11:$AT$4010,MATCH(776,$AZ$11:$AZ$4010,0)),""))</f>
        <v/>
      </c>
      <c r="AL786" s="31"/>
      <c r="AM786" s="26"/>
      <c r="AN786" s="32"/>
      <c r="AO786" s="32"/>
      <c r="AP786" s="24"/>
      <c r="AQ786" s="24"/>
      <c r="AR786" s="33"/>
      <c r="AS786" s="34"/>
      <c r="AT786" s="33"/>
      <c r="AV786" s="21">
        <f>IF(AND($AL786&lt;&gt;"",COUNTIF($AL$11:$AL786,$AL786)=1),1,0)</f>
        <v>0</v>
      </c>
      <c r="AW786" s="21">
        <f t="shared" si="111"/>
        <v>2</v>
      </c>
      <c r="AX786" s="21" t="str">
        <f t="shared" si="110"/>
        <v/>
      </c>
      <c r="AY786" s="21" t="str">
        <f>IF(AND($AM786&lt;&gt;"",$AS786&lt;&gt;"✓"),SUMPRODUCT(($AM$11:$AM786&lt;&gt;"")*($AS$11:$AS786&lt;&gt;"✓")),"")</f>
        <v/>
      </c>
      <c r="AZ786" s="21" t="str">
        <f>IF(AND($AM786&lt;&gt;"",$AS786="✓"),SUMPRODUCT(($AM$11:$AM786&lt;&gt;"")*($AS$11:$AS786="✓")),"")</f>
        <v/>
      </c>
      <c r="BA786" s="21" t="str">
        <f>IF($AL786="","",$AL786&amp;"|"&amp;COUNTIF($AL$11:$AL786,$AL786))</f>
        <v/>
      </c>
    </row>
    <row r="787" spans="23:53" ht="15" customHeight="1" x14ac:dyDescent="0.25">
      <c r="W787" s="14" t="str">
        <f>IF(X787="","",IFERROR(INDEX($AL$11:$AL$4010,MATCH(777,$AY$11:$AY$4010,0)),""))</f>
        <v/>
      </c>
      <c r="X787" s="12" t="str">
        <f>IFERROR(INDEX($AM$11:$AM$4010,MATCH(777,$AY$11:$AY$4010,0)),"")</f>
        <v/>
      </c>
      <c r="Y787" s="11" t="str">
        <f>IF(X787="","",IFERROR(INDEX($AN$11:$AN$4010,MATCH(777,$AY$11:$AY$4010,0)),""))</f>
        <v/>
      </c>
      <c r="Z787" s="11" t="str">
        <f>IF(X787="","",IFERROR(INDEX($AO$11:$AO$4010,MATCH(777,$AY$11:$AY$4010,0)),""))</f>
        <v/>
      </c>
      <c r="AA787" s="10" t="str">
        <f>IF(X787="","",IFERROR(INDEX($AQ$11:$AQ$4010,MATCH(777,$AY$11:$AY$4010,0)),""))</f>
        <v/>
      </c>
      <c r="AB787" s="15" t="str">
        <f>IF(X787="","",IFERROR(INDEX($AR$11:$AR$4010,MATCH(777,$AY$11:$AY$4010,0)),""))</f>
        <v/>
      </c>
      <c r="AD787" s="16" t="str">
        <f>IF(AE787="","",IFERROR(INDEX($AL$11:$AL$4010,MATCH(777,$AZ$11:$AZ$4010,0)),""))</f>
        <v/>
      </c>
      <c r="AE787" s="12" t="str">
        <f>IFERROR(INDEX($AM$11:$AM$4010,MATCH(777,$AZ$11:$AZ$4010,0)),"")</f>
        <v/>
      </c>
      <c r="AF787" s="11" t="str">
        <f>IF(AE787="","",IFERROR(INDEX($AN$11:$AN$4010,MATCH(777,$AZ$11:$AZ$4010,0)),""))</f>
        <v/>
      </c>
      <c r="AG787" s="11" t="str">
        <f>IF(AE787="","",IFERROR(INDEX($AO$11:$AO$4010,MATCH(777,$AZ$11:$AZ$4010,0)),""))</f>
        <v/>
      </c>
      <c r="AH787" s="10" t="str">
        <f>IF(AE787="","",IFERROR(INDEX($AQ$11:$AQ$4010,MATCH(777,$AZ$11:$AZ$4010,0)),""))</f>
        <v/>
      </c>
      <c r="AI787" s="15" t="str">
        <f>IF(AE787="","",IFERROR(INDEX($AR$11:$AR$4010,MATCH(777,$AZ$11:$AZ$4010,0)),""))</f>
        <v/>
      </c>
      <c r="AJ787" s="15" t="str">
        <f>IF(AE787="","",IFERROR(INDEX($AT$11:$AT$4010,MATCH(777,$AZ$11:$AZ$4010,0)),""))</f>
        <v/>
      </c>
      <c r="AL787" s="17"/>
      <c r="AM787" s="12"/>
      <c r="AN787" s="18"/>
      <c r="AO787" s="18"/>
      <c r="AP787" s="10"/>
      <c r="AQ787" s="10"/>
      <c r="AR787" s="19"/>
      <c r="AS787" s="20"/>
      <c r="AT787" s="19"/>
      <c r="AV787" s="21">
        <f>IF(AND($AL787&lt;&gt;"",COUNTIF($AL$11:$AL787,$AL787)=1),1,0)</f>
        <v>0</v>
      </c>
      <c r="AW787" s="21">
        <f t="shared" si="111"/>
        <v>2</v>
      </c>
      <c r="AX787" s="21" t="str">
        <f t="shared" si="110"/>
        <v/>
      </c>
      <c r="AY787" s="21" t="str">
        <f>IF(AND($AM787&lt;&gt;"",$AS787&lt;&gt;"✓"),SUMPRODUCT(($AM$11:$AM787&lt;&gt;"")*($AS$11:$AS787&lt;&gt;"✓")),"")</f>
        <v/>
      </c>
      <c r="AZ787" s="21" t="str">
        <f>IF(AND($AM787&lt;&gt;"",$AS787="✓"),SUMPRODUCT(($AM$11:$AM787&lt;&gt;"")*($AS$11:$AS787="✓")),"")</f>
        <v/>
      </c>
      <c r="BA787" s="21" t="str">
        <f>IF($AL787="","",$AL787&amp;"|"&amp;COUNTIF($AL$11:$AL787,$AL787))</f>
        <v/>
      </c>
    </row>
    <row r="788" spans="23:53" ht="15" customHeight="1" x14ac:dyDescent="0.25">
      <c r="W788" s="28" t="str">
        <f>IF(X788="","",IFERROR(INDEX($AL$11:$AL$4010,MATCH(778,$AY$11:$AY$4010,0)),""))</f>
        <v/>
      </c>
      <c r="X788" s="26" t="str">
        <f>IFERROR(INDEX($AM$11:$AM$4010,MATCH(778,$AY$11:$AY$4010,0)),"")</f>
        <v/>
      </c>
      <c r="Y788" s="25" t="str">
        <f>IF(X788="","",IFERROR(INDEX($AN$11:$AN$4010,MATCH(778,$AY$11:$AY$4010,0)),""))</f>
        <v/>
      </c>
      <c r="Z788" s="25" t="str">
        <f>IF(X788="","",IFERROR(INDEX($AO$11:$AO$4010,MATCH(778,$AY$11:$AY$4010,0)),""))</f>
        <v/>
      </c>
      <c r="AA788" s="24" t="str">
        <f>IF(X788="","",IFERROR(INDEX($AQ$11:$AQ$4010,MATCH(778,$AY$11:$AY$4010,0)),""))</f>
        <v/>
      </c>
      <c r="AB788" s="29" t="str">
        <f>IF(X788="","",IFERROR(INDEX($AR$11:$AR$4010,MATCH(778,$AY$11:$AY$4010,0)),""))</f>
        <v/>
      </c>
      <c r="AD788" s="30" t="str">
        <f>IF(AE788="","",IFERROR(INDEX($AL$11:$AL$4010,MATCH(778,$AZ$11:$AZ$4010,0)),""))</f>
        <v/>
      </c>
      <c r="AE788" s="26" t="str">
        <f>IFERROR(INDEX($AM$11:$AM$4010,MATCH(778,$AZ$11:$AZ$4010,0)),"")</f>
        <v/>
      </c>
      <c r="AF788" s="25" t="str">
        <f>IF(AE788="","",IFERROR(INDEX($AN$11:$AN$4010,MATCH(778,$AZ$11:$AZ$4010,0)),""))</f>
        <v/>
      </c>
      <c r="AG788" s="25" t="str">
        <f>IF(AE788="","",IFERROR(INDEX($AO$11:$AO$4010,MATCH(778,$AZ$11:$AZ$4010,0)),""))</f>
        <v/>
      </c>
      <c r="AH788" s="24" t="str">
        <f>IF(AE788="","",IFERROR(INDEX($AQ$11:$AQ$4010,MATCH(778,$AZ$11:$AZ$4010,0)),""))</f>
        <v/>
      </c>
      <c r="AI788" s="29" t="str">
        <f>IF(AE788="","",IFERROR(INDEX($AR$11:$AR$4010,MATCH(778,$AZ$11:$AZ$4010,0)),""))</f>
        <v/>
      </c>
      <c r="AJ788" s="29" t="str">
        <f>IF(AE788="","",IFERROR(INDEX($AT$11:$AT$4010,MATCH(778,$AZ$11:$AZ$4010,0)),""))</f>
        <v/>
      </c>
      <c r="AL788" s="31"/>
      <c r="AM788" s="26"/>
      <c r="AN788" s="32"/>
      <c r="AO788" s="32"/>
      <c r="AP788" s="24"/>
      <c r="AQ788" s="24"/>
      <c r="AR788" s="33"/>
      <c r="AS788" s="34"/>
      <c r="AT788" s="33"/>
      <c r="AV788" s="21">
        <f>IF(AND($AL788&lt;&gt;"",COUNTIF($AL$11:$AL788,$AL788)=1),1,0)</f>
        <v>0</v>
      </c>
      <c r="AW788" s="21">
        <f t="shared" si="111"/>
        <v>2</v>
      </c>
      <c r="AX788" s="21" t="str">
        <f t="shared" si="110"/>
        <v/>
      </c>
      <c r="AY788" s="21" t="str">
        <f>IF(AND($AM788&lt;&gt;"",$AS788&lt;&gt;"✓"),SUMPRODUCT(($AM$11:$AM788&lt;&gt;"")*($AS$11:$AS788&lt;&gt;"✓")),"")</f>
        <v/>
      </c>
      <c r="AZ788" s="21" t="str">
        <f>IF(AND($AM788&lt;&gt;"",$AS788="✓"),SUMPRODUCT(($AM$11:$AM788&lt;&gt;"")*($AS$11:$AS788="✓")),"")</f>
        <v/>
      </c>
      <c r="BA788" s="21" t="str">
        <f>IF($AL788="","",$AL788&amp;"|"&amp;COUNTIF($AL$11:$AL788,$AL788))</f>
        <v/>
      </c>
    </row>
    <row r="789" spans="23:53" ht="15" customHeight="1" x14ac:dyDescent="0.25">
      <c r="W789" s="14" t="str">
        <f>IF(X789="","",IFERROR(INDEX($AL$11:$AL$4010,MATCH(779,$AY$11:$AY$4010,0)),""))</f>
        <v/>
      </c>
      <c r="X789" s="12" t="str">
        <f>IFERROR(INDEX($AM$11:$AM$4010,MATCH(779,$AY$11:$AY$4010,0)),"")</f>
        <v/>
      </c>
      <c r="Y789" s="11" t="str">
        <f>IF(X789="","",IFERROR(INDEX($AN$11:$AN$4010,MATCH(779,$AY$11:$AY$4010,0)),""))</f>
        <v/>
      </c>
      <c r="Z789" s="11" t="str">
        <f>IF(X789="","",IFERROR(INDEX($AO$11:$AO$4010,MATCH(779,$AY$11:$AY$4010,0)),""))</f>
        <v/>
      </c>
      <c r="AA789" s="10" t="str">
        <f>IF(X789="","",IFERROR(INDEX($AQ$11:$AQ$4010,MATCH(779,$AY$11:$AY$4010,0)),""))</f>
        <v/>
      </c>
      <c r="AB789" s="15" t="str">
        <f>IF(X789="","",IFERROR(INDEX($AR$11:$AR$4010,MATCH(779,$AY$11:$AY$4010,0)),""))</f>
        <v/>
      </c>
      <c r="AD789" s="16" t="str">
        <f>IF(AE789="","",IFERROR(INDEX($AL$11:$AL$4010,MATCH(779,$AZ$11:$AZ$4010,0)),""))</f>
        <v/>
      </c>
      <c r="AE789" s="12" t="str">
        <f>IFERROR(INDEX($AM$11:$AM$4010,MATCH(779,$AZ$11:$AZ$4010,0)),"")</f>
        <v/>
      </c>
      <c r="AF789" s="11" t="str">
        <f>IF(AE789="","",IFERROR(INDEX($AN$11:$AN$4010,MATCH(779,$AZ$11:$AZ$4010,0)),""))</f>
        <v/>
      </c>
      <c r="AG789" s="11" t="str">
        <f>IF(AE789="","",IFERROR(INDEX($AO$11:$AO$4010,MATCH(779,$AZ$11:$AZ$4010,0)),""))</f>
        <v/>
      </c>
      <c r="AH789" s="10" t="str">
        <f>IF(AE789="","",IFERROR(INDEX($AQ$11:$AQ$4010,MATCH(779,$AZ$11:$AZ$4010,0)),""))</f>
        <v/>
      </c>
      <c r="AI789" s="15" t="str">
        <f>IF(AE789="","",IFERROR(INDEX($AR$11:$AR$4010,MATCH(779,$AZ$11:$AZ$4010,0)),""))</f>
        <v/>
      </c>
      <c r="AJ789" s="15" t="str">
        <f>IF(AE789="","",IFERROR(INDEX($AT$11:$AT$4010,MATCH(779,$AZ$11:$AZ$4010,0)),""))</f>
        <v/>
      </c>
      <c r="AL789" s="17"/>
      <c r="AM789" s="12"/>
      <c r="AN789" s="18"/>
      <c r="AO789" s="18"/>
      <c r="AP789" s="10"/>
      <c r="AQ789" s="10"/>
      <c r="AR789" s="19"/>
      <c r="AS789" s="20"/>
      <c r="AT789" s="19"/>
      <c r="AV789" s="21">
        <f>IF(AND($AL789&lt;&gt;"",COUNTIF($AL$11:$AL789,$AL789)=1),1,0)</f>
        <v>0</v>
      </c>
      <c r="AW789" s="21">
        <f t="shared" si="111"/>
        <v>2</v>
      </c>
      <c r="AX789" s="21" t="str">
        <f t="shared" si="110"/>
        <v/>
      </c>
      <c r="AY789" s="21" t="str">
        <f>IF(AND($AM789&lt;&gt;"",$AS789&lt;&gt;"✓"),SUMPRODUCT(($AM$11:$AM789&lt;&gt;"")*($AS$11:$AS789&lt;&gt;"✓")),"")</f>
        <v/>
      </c>
      <c r="AZ789" s="21" t="str">
        <f>IF(AND($AM789&lt;&gt;"",$AS789="✓"),SUMPRODUCT(($AM$11:$AM789&lt;&gt;"")*($AS$11:$AS789="✓")),"")</f>
        <v/>
      </c>
      <c r="BA789" s="21" t="str">
        <f>IF($AL789="","",$AL789&amp;"|"&amp;COUNTIF($AL$11:$AL789,$AL789))</f>
        <v/>
      </c>
    </row>
    <row r="790" spans="23:53" ht="15" customHeight="1" x14ac:dyDescent="0.25">
      <c r="W790" s="28" t="str">
        <f>IF(X790="","",IFERROR(INDEX($AL$11:$AL$4010,MATCH(780,$AY$11:$AY$4010,0)),""))</f>
        <v/>
      </c>
      <c r="X790" s="26" t="str">
        <f>IFERROR(INDEX($AM$11:$AM$4010,MATCH(780,$AY$11:$AY$4010,0)),"")</f>
        <v/>
      </c>
      <c r="Y790" s="25" t="str">
        <f>IF(X790="","",IFERROR(INDEX($AN$11:$AN$4010,MATCH(780,$AY$11:$AY$4010,0)),""))</f>
        <v/>
      </c>
      <c r="Z790" s="25" t="str">
        <f>IF(X790="","",IFERROR(INDEX($AO$11:$AO$4010,MATCH(780,$AY$11:$AY$4010,0)),""))</f>
        <v/>
      </c>
      <c r="AA790" s="24" t="str">
        <f>IF(X790="","",IFERROR(INDEX($AQ$11:$AQ$4010,MATCH(780,$AY$11:$AY$4010,0)),""))</f>
        <v/>
      </c>
      <c r="AB790" s="29" t="str">
        <f>IF(X790="","",IFERROR(INDEX($AR$11:$AR$4010,MATCH(780,$AY$11:$AY$4010,0)),""))</f>
        <v/>
      </c>
      <c r="AD790" s="30" t="str">
        <f>IF(AE790="","",IFERROR(INDEX($AL$11:$AL$4010,MATCH(780,$AZ$11:$AZ$4010,0)),""))</f>
        <v/>
      </c>
      <c r="AE790" s="26" t="str">
        <f>IFERROR(INDEX($AM$11:$AM$4010,MATCH(780,$AZ$11:$AZ$4010,0)),"")</f>
        <v/>
      </c>
      <c r="AF790" s="25" t="str">
        <f>IF(AE790="","",IFERROR(INDEX($AN$11:$AN$4010,MATCH(780,$AZ$11:$AZ$4010,0)),""))</f>
        <v/>
      </c>
      <c r="AG790" s="25" t="str">
        <f>IF(AE790="","",IFERROR(INDEX($AO$11:$AO$4010,MATCH(780,$AZ$11:$AZ$4010,0)),""))</f>
        <v/>
      </c>
      <c r="AH790" s="24" t="str">
        <f>IF(AE790="","",IFERROR(INDEX($AQ$11:$AQ$4010,MATCH(780,$AZ$11:$AZ$4010,0)),""))</f>
        <v/>
      </c>
      <c r="AI790" s="29" t="str">
        <f>IF(AE790="","",IFERROR(INDEX($AR$11:$AR$4010,MATCH(780,$AZ$11:$AZ$4010,0)),""))</f>
        <v/>
      </c>
      <c r="AJ790" s="29" t="str">
        <f>IF(AE790="","",IFERROR(INDEX($AT$11:$AT$4010,MATCH(780,$AZ$11:$AZ$4010,0)),""))</f>
        <v/>
      </c>
      <c r="AL790" s="31"/>
      <c r="AM790" s="26"/>
      <c r="AN790" s="32"/>
      <c r="AO790" s="32"/>
      <c r="AP790" s="24"/>
      <c r="AQ790" s="24"/>
      <c r="AR790" s="33"/>
      <c r="AS790" s="34"/>
      <c r="AT790" s="33"/>
      <c r="AV790" s="21">
        <f>IF(AND($AL790&lt;&gt;"",COUNTIF($AL$11:$AL790,$AL790)=1),1,0)</f>
        <v>0</v>
      </c>
      <c r="AW790" s="21">
        <f t="shared" si="111"/>
        <v>2</v>
      </c>
      <c r="AX790" s="21" t="str">
        <f t="shared" si="110"/>
        <v/>
      </c>
      <c r="AY790" s="21" t="str">
        <f>IF(AND($AM790&lt;&gt;"",$AS790&lt;&gt;"✓"),SUMPRODUCT(($AM$11:$AM790&lt;&gt;"")*($AS$11:$AS790&lt;&gt;"✓")),"")</f>
        <v/>
      </c>
      <c r="AZ790" s="21" t="str">
        <f>IF(AND($AM790&lt;&gt;"",$AS790="✓"),SUMPRODUCT(($AM$11:$AM790&lt;&gt;"")*($AS$11:$AS790="✓")),"")</f>
        <v/>
      </c>
      <c r="BA790" s="21" t="str">
        <f>IF($AL790="","",$AL790&amp;"|"&amp;COUNTIF($AL$11:$AL790,$AL790))</f>
        <v/>
      </c>
    </row>
    <row r="791" spans="23:53" ht="15" customHeight="1" x14ac:dyDescent="0.25">
      <c r="W791" s="14" t="str">
        <f>IF(X791="","",IFERROR(INDEX($AL$11:$AL$4010,MATCH(781,$AY$11:$AY$4010,0)),""))</f>
        <v/>
      </c>
      <c r="X791" s="12" t="str">
        <f>IFERROR(INDEX($AM$11:$AM$4010,MATCH(781,$AY$11:$AY$4010,0)),"")</f>
        <v/>
      </c>
      <c r="Y791" s="11" t="str">
        <f>IF(X791="","",IFERROR(INDEX($AN$11:$AN$4010,MATCH(781,$AY$11:$AY$4010,0)),""))</f>
        <v/>
      </c>
      <c r="Z791" s="11" t="str">
        <f>IF(X791="","",IFERROR(INDEX($AO$11:$AO$4010,MATCH(781,$AY$11:$AY$4010,0)),""))</f>
        <v/>
      </c>
      <c r="AA791" s="10" t="str">
        <f>IF(X791="","",IFERROR(INDEX($AQ$11:$AQ$4010,MATCH(781,$AY$11:$AY$4010,0)),""))</f>
        <v/>
      </c>
      <c r="AB791" s="15" t="str">
        <f>IF(X791="","",IFERROR(INDEX($AR$11:$AR$4010,MATCH(781,$AY$11:$AY$4010,0)),""))</f>
        <v/>
      </c>
      <c r="AD791" s="16" t="str">
        <f>IF(AE791="","",IFERROR(INDEX($AL$11:$AL$4010,MATCH(781,$AZ$11:$AZ$4010,0)),""))</f>
        <v/>
      </c>
      <c r="AE791" s="12" t="str">
        <f>IFERROR(INDEX($AM$11:$AM$4010,MATCH(781,$AZ$11:$AZ$4010,0)),"")</f>
        <v/>
      </c>
      <c r="AF791" s="11" t="str">
        <f>IF(AE791="","",IFERROR(INDEX($AN$11:$AN$4010,MATCH(781,$AZ$11:$AZ$4010,0)),""))</f>
        <v/>
      </c>
      <c r="AG791" s="11" t="str">
        <f>IF(AE791="","",IFERROR(INDEX($AO$11:$AO$4010,MATCH(781,$AZ$11:$AZ$4010,0)),""))</f>
        <v/>
      </c>
      <c r="AH791" s="10" t="str">
        <f>IF(AE791="","",IFERROR(INDEX($AQ$11:$AQ$4010,MATCH(781,$AZ$11:$AZ$4010,0)),""))</f>
        <v/>
      </c>
      <c r="AI791" s="15" t="str">
        <f>IF(AE791="","",IFERROR(INDEX($AR$11:$AR$4010,MATCH(781,$AZ$11:$AZ$4010,0)),""))</f>
        <v/>
      </c>
      <c r="AJ791" s="15" t="str">
        <f>IF(AE791="","",IFERROR(INDEX($AT$11:$AT$4010,MATCH(781,$AZ$11:$AZ$4010,0)),""))</f>
        <v/>
      </c>
      <c r="AL791" s="17"/>
      <c r="AM791" s="12"/>
      <c r="AN791" s="18"/>
      <c r="AO791" s="18"/>
      <c r="AP791" s="10"/>
      <c r="AQ791" s="10"/>
      <c r="AR791" s="19"/>
      <c r="AS791" s="20"/>
      <c r="AT791" s="19"/>
      <c r="AV791" s="21">
        <f>IF(AND($AL791&lt;&gt;"",COUNTIF($AL$11:$AL791,$AL791)=1),1,0)</f>
        <v>0</v>
      </c>
      <c r="AW791" s="21">
        <f t="shared" si="111"/>
        <v>2</v>
      </c>
      <c r="AX791" s="21" t="str">
        <f t="shared" si="110"/>
        <v/>
      </c>
      <c r="AY791" s="21" t="str">
        <f>IF(AND($AM791&lt;&gt;"",$AS791&lt;&gt;"✓"),SUMPRODUCT(($AM$11:$AM791&lt;&gt;"")*($AS$11:$AS791&lt;&gt;"✓")),"")</f>
        <v/>
      </c>
      <c r="AZ791" s="21" t="str">
        <f>IF(AND($AM791&lt;&gt;"",$AS791="✓"),SUMPRODUCT(($AM$11:$AM791&lt;&gt;"")*($AS$11:$AS791="✓")),"")</f>
        <v/>
      </c>
      <c r="BA791" s="21" t="str">
        <f>IF($AL791="","",$AL791&amp;"|"&amp;COUNTIF($AL$11:$AL791,$AL791))</f>
        <v/>
      </c>
    </row>
    <row r="792" spans="23:53" ht="15" customHeight="1" x14ac:dyDescent="0.25">
      <c r="W792" s="28" t="str">
        <f>IF(X792="","",IFERROR(INDEX($AL$11:$AL$4010,MATCH(782,$AY$11:$AY$4010,0)),""))</f>
        <v/>
      </c>
      <c r="X792" s="26" t="str">
        <f>IFERROR(INDEX($AM$11:$AM$4010,MATCH(782,$AY$11:$AY$4010,0)),"")</f>
        <v/>
      </c>
      <c r="Y792" s="25" t="str">
        <f>IF(X792="","",IFERROR(INDEX($AN$11:$AN$4010,MATCH(782,$AY$11:$AY$4010,0)),""))</f>
        <v/>
      </c>
      <c r="Z792" s="25" t="str">
        <f>IF(X792="","",IFERROR(INDEX($AO$11:$AO$4010,MATCH(782,$AY$11:$AY$4010,0)),""))</f>
        <v/>
      </c>
      <c r="AA792" s="24" t="str">
        <f>IF(X792="","",IFERROR(INDEX($AQ$11:$AQ$4010,MATCH(782,$AY$11:$AY$4010,0)),""))</f>
        <v/>
      </c>
      <c r="AB792" s="29" t="str">
        <f>IF(X792="","",IFERROR(INDEX($AR$11:$AR$4010,MATCH(782,$AY$11:$AY$4010,0)),""))</f>
        <v/>
      </c>
      <c r="AD792" s="30" t="str">
        <f>IF(AE792="","",IFERROR(INDEX($AL$11:$AL$4010,MATCH(782,$AZ$11:$AZ$4010,0)),""))</f>
        <v/>
      </c>
      <c r="AE792" s="26" t="str">
        <f>IFERROR(INDEX($AM$11:$AM$4010,MATCH(782,$AZ$11:$AZ$4010,0)),"")</f>
        <v/>
      </c>
      <c r="AF792" s="25" t="str">
        <f>IF(AE792="","",IFERROR(INDEX($AN$11:$AN$4010,MATCH(782,$AZ$11:$AZ$4010,0)),""))</f>
        <v/>
      </c>
      <c r="AG792" s="25" t="str">
        <f>IF(AE792="","",IFERROR(INDEX($AO$11:$AO$4010,MATCH(782,$AZ$11:$AZ$4010,0)),""))</f>
        <v/>
      </c>
      <c r="AH792" s="24" t="str">
        <f>IF(AE792="","",IFERROR(INDEX($AQ$11:$AQ$4010,MATCH(782,$AZ$11:$AZ$4010,0)),""))</f>
        <v/>
      </c>
      <c r="AI792" s="29" t="str">
        <f>IF(AE792="","",IFERROR(INDEX($AR$11:$AR$4010,MATCH(782,$AZ$11:$AZ$4010,0)),""))</f>
        <v/>
      </c>
      <c r="AJ792" s="29" t="str">
        <f>IF(AE792="","",IFERROR(INDEX($AT$11:$AT$4010,MATCH(782,$AZ$11:$AZ$4010,0)),""))</f>
        <v/>
      </c>
      <c r="AL792" s="31"/>
      <c r="AM792" s="26"/>
      <c r="AN792" s="32"/>
      <c r="AO792" s="32"/>
      <c r="AP792" s="24"/>
      <c r="AQ792" s="24"/>
      <c r="AR792" s="33"/>
      <c r="AS792" s="34"/>
      <c r="AT792" s="33"/>
      <c r="AV792" s="21">
        <f>IF(AND($AL792&lt;&gt;"",COUNTIF($AL$11:$AL792,$AL792)=1),1,0)</f>
        <v>0</v>
      </c>
      <c r="AW792" s="21">
        <f t="shared" si="111"/>
        <v>2</v>
      </c>
      <c r="AX792" s="21" t="str">
        <f t="shared" si="110"/>
        <v/>
      </c>
      <c r="AY792" s="21" t="str">
        <f>IF(AND($AM792&lt;&gt;"",$AS792&lt;&gt;"✓"),SUMPRODUCT(($AM$11:$AM792&lt;&gt;"")*($AS$11:$AS792&lt;&gt;"✓")),"")</f>
        <v/>
      </c>
      <c r="AZ792" s="21" t="str">
        <f>IF(AND($AM792&lt;&gt;"",$AS792="✓"),SUMPRODUCT(($AM$11:$AM792&lt;&gt;"")*($AS$11:$AS792="✓")),"")</f>
        <v/>
      </c>
      <c r="BA792" s="21" t="str">
        <f>IF($AL792="","",$AL792&amp;"|"&amp;COUNTIF($AL$11:$AL792,$AL792))</f>
        <v/>
      </c>
    </row>
    <row r="793" spans="23:53" ht="15" customHeight="1" x14ac:dyDescent="0.25">
      <c r="W793" s="14" t="str">
        <f>IF(X793="","",IFERROR(INDEX($AL$11:$AL$4010,MATCH(783,$AY$11:$AY$4010,0)),""))</f>
        <v/>
      </c>
      <c r="X793" s="12" t="str">
        <f>IFERROR(INDEX($AM$11:$AM$4010,MATCH(783,$AY$11:$AY$4010,0)),"")</f>
        <v/>
      </c>
      <c r="Y793" s="11" t="str">
        <f>IF(X793="","",IFERROR(INDEX($AN$11:$AN$4010,MATCH(783,$AY$11:$AY$4010,0)),""))</f>
        <v/>
      </c>
      <c r="Z793" s="11" t="str">
        <f>IF(X793="","",IFERROR(INDEX($AO$11:$AO$4010,MATCH(783,$AY$11:$AY$4010,0)),""))</f>
        <v/>
      </c>
      <c r="AA793" s="10" t="str">
        <f>IF(X793="","",IFERROR(INDEX($AQ$11:$AQ$4010,MATCH(783,$AY$11:$AY$4010,0)),""))</f>
        <v/>
      </c>
      <c r="AB793" s="15" t="str">
        <f>IF(X793="","",IFERROR(INDEX($AR$11:$AR$4010,MATCH(783,$AY$11:$AY$4010,0)),""))</f>
        <v/>
      </c>
      <c r="AD793" s="16" t="str">
        <f>IF(AE793="","",IFERROR(INDEX($AL$11:$AL$4010,MATCH(783,$AZ$11:$AZ$4010,0)),""))</f>
        <v/>
      </c>
      <c r="AE793" s="12" t="str">
        <f>IFERROR(INDEX($AM$11:$AM$4010,MATCH(783,$AZ$11:$AZ$4010,0)),"")</f>
        <v/>
      </c>
      <c r="AF793" s="11" t="str">
        <f>IF(AE793="","",IFERROR(INDEX($AN$11:$AN$4010,MATCH(783,$AZ$11:$AZ$4010,0)),""))</f>
        <v/>
      </c>
      <c r="AG793" s="11" t="str">
        <f>IF(AE793="","",IFERROR(INDEX($AO$11:$AO$4010,MATCH(783,$AZ$11:$AZ$4010,0)),""))</f>
        <v/>
      </c>
      <c r="AH793" s="10" t="str">
        <f>IF(AE793="","",IFERROR(INDEX($AQ$11:$AQ$4010,MATCH(783,$AZ$11:$AZ$4010,0)),""))</f>
        <v/>
      </c>
      <c r="AI793" s="15" t="str">
        <f>IF(AE793="","",IFERROR(INDEX($AR$11:$AR$4010,MATCH(783,$AZ$11:$AZ$4010,0)),""))</f>
        <v/>
      </c>
      <c r="AJ793" s="15" t="str">
        <f>IF(AE793="","",IFERROR(INDEX($AT$11:$AT$4010,MATCH(783,$AZ$11:$AZ$4010,0)),""))</f>
        <v/>
      </c>
      <c r="AL793" s="17"/>
      <c r="AM793" s="12"/>
      <c r="AN793" s="18"/>
      <c r="AO793" s="18"/>
      <c r="AP793" s="10"/>
      <c r="AQ793" s="10"/>
      <c r="AR793" s="19"/>
      <c r="AS793" s="20"/>
      <c r="AT793" s="19"/>
      <c r="AV793" s="21">
        <f>IF(AND($AL793&lt;&gt;"",COUNTIF($AL$11:$AL793,$AL793)=1),1,0)</f>
        <v>0</v>
      </c>
      <c r="AW793" s="21">
        <f t="shared" si="111"/>
        <v>2</v>
      </c>
      <c r="AX793" s="21" t="str">
        <f t="shared" si="110"/>
        <v/>
      </c>
      <c r="AY793" s="21" t="str">
        <f>IF(AND($AM793&lt;&gt;"",$AS793&lt;&gt;"✓"),SUMPRODUCT(($AM$11:$AM793&lt;&gt;"")*($AS$11:$AS793&lt;&gt;"✓")),"")</f>
        <v/>
      </c>
      <c r="AZ793" s="21" t="str">
        <f>IF(AND($AM793&lt;&gt;"",$AS793="✓"),SUMPRODUCT(($AM$11:$AM793&lt;&gt;"")*($AS$11:$AS793="✓")),"")</f>
        <v/>
      </c>
      <c r="BA793" s="21" t="str">
        <f>IF($AL793="","",$AL793&amp;"|"&amp;COUNTIF($AL$11:$AL793,$AL793))</f>
        <v/>
      </c>
    </row>
    <row r="794" spans="23:53" ht="15" customHeight="1" x14ac:dyDescent="0.25">
      <c r="W794" s="28" t="str">
        <f>IF(X794="","",IFERROR(INDEX($AL$11:$AL$4010,MATCH(784,$AY$11:$AY$4010,0)),""))</f>
        <v/>
      </c>
      <c r="X794" s="26" t="str">
        <f>IFERROR(INDEX($AM$11:$AM$4010,MATCH(784,$AY$11:$AY$4010,0)),"")</f>
        <v/>
      </c>
      <c r="Y794" s="25" t="str">
        <f>IF(X794="","",IFERROR(INDEX($AN$11:$AN$4010,MATCH(784,$AY$11:$AY$4010,0)),""))</f>
        <v/>
      </c>
      <c r="Z794" s="25" t="str">
        <f>IF(X794="","",IFERROR(INDEX($AO$11:$AO$4010,MATCH(784,$AY$11:$AY$4010,0)),""))</f>
        <v/>
      </c>
      <c r="AA794" s="24" t="str">
        <f>IF(X794="","",IFERROR(INDEX($AQ$11:$AQ$4010,MATCH(784,$AY$11:$AY$4010,0)),""))</f>
        <v/>
      </c>
      <c r="AB794" s="29" t="str">
        <f>IF(X794="","",IFERROR(INDEX($AR$11:$AR$4010,MATCH(784,$AY$11:$AY$4010,0)),""))</f>
        <v/>
      </c>
      <c r="AD794" s="30" t="str">
        <f>IF(AE794="","",IFERROR(INDEX($AL$11:$AL$4010,MATCH(784,$AZ$11:$AZ$4010,0)),""))</f>
        <v/>
      </c>
      <c r="AE794" s="26" t="str">
        <f>IFERROR(INDEX($AM$11:$AM$4010,MATCH(784,$AZ$11:$AZ$4010,0)),"")</f>
        <v/>
      </c>
      <c r="AF794" s="25" t="str">
        <f>IF(AE794="","",IFERROR(INDEX($AN$11:$AN$4010,MATCH(784,$AZ$11:$AZ$4010,0)),""))</f>
        <v/>
      </c>
      <c r="AG794" s="25" t="str">
        <f>IF(AE794="","",IFERROR(INDEX($AO$11:$AO$4010,MATCH(784,$AZ$11:$AZ$4010,0)),""))</f>
        <v/>
      </c>
      <c r="AH794" s="24" t="str">
        <f>IF(AE794="","",IFERROR(INDEX($AQ$11:$AQ$4010,MATCH(784,$AZ$11:$AZ$4010,0)),""))</f>
        <v/>
      </c>
      <c r="AI794" s="29" t="str">
        <f>IF(AE794="","",IFERROR(INDEX($AR$11:$AR$4010,MATCH(784,$AZ$11:$AZ$4010,0)),""))</f>
        <v/>
      </c>
      <c r="AJ794" s="29" t="str">
        <f>IF(AE794="","",IFERROR(INDEX($AT$11:$AT$4010,MATCH(784,$AZ$11:$AZ$4010,0)),""))</f>
        <v/>
      </c>
      <c r="AL794" s="31"/>
      <c r="AM794" s="26"/>
      <c r="AN794" s="32"/>
      <c r="AO794" s="32"/>
      <c r="AP794" s="24"/>
      <c r="AQ794" s="24"/>
      <c r="AR794" s="33"/>
      <c r="AS794" s="34"/>
      <c r="AT794" s="33"/>
      <c r="AV794" s="21">
        <f>IF(AND($AL794&lt;&gt;"",COUNTIF($AL$11:$AL794,$AL794)=1),1,0)</f>
        <v>0</v>
      </c>
      <c r="AW794" s="21">
        <f t="shared" si="111"/>
        <v>2</v>
      </c>
      <c r="AX794" s="21" t="str">
        <f t="shared" si="110"/>
        <v/>
      </c>
      <c r="AY794" s="21" t="str">
        <f>IF(AND($AM794&lt;&gt;"",$AS794&lt;&gt;"✓"),SUMPRODUCT(($AM$11:$AM794&lt;&gt;"")*($AS$11:$AS794&lt;&gt;"✓")),"")</f>
        <v/>
      </c>
      <c r="AZ794" s="21" t="str">
        <f>IF(AND($AM794&lt;&gt;"",$AS794="✓"),SUMPRODUCT(($AM$11:$AM794&lt;&gt;"")*($AS$11:$AS794="✓")),"")</f>
        <v/>
      </c>
      <c r="BA794" s="21" t="str">
        <f>IF($AL794="","",$AL794&amp;"|"&amp;COUNTIF($AL$11:$AL794,$AL794))</f>
        <v/>
      </c>
    </row>
    <row r="795" spans="23:53" ht="15" customHeight="1" x14ac:dyDescent="0.25">
      <c r="W795" s="14" t="str">
        <f>IF(X795="","",IFERROR(INDEX($AL$11:$AL$4010,MATCH(785,$AY$11:$AY$4010,0)),""))</f>
        <v/>
      </c>
      <c r="X795" s="12" t="str">
        <f>IFERROR(INDEX($AM$11:$AM$4010,MATCH(785,$AY$11:$AY$4010,0)),"")</f>
        <v/>
      </c>
      <c r="Y795" s="11" t="str">
        <f>IF(X795="","",IFERROR(INDEX($AN$11:$AN$4010,MATCH(785,$AY$11:$AY$4010,0)),""))</f>
        <v/>
      </c>
      <c r="Z795" s="11" t="str">
        <f>IF(X795="","",IFERROR(INDEX($AO$11:$AO$4010,MATCH(785,$AY$11:$AY$4010,0)),""))</f>
        <v/>
      </c>
      <c r="AA795" s="10" t="str">
        <f>IF(X795="","",IFERROR(INDEX($AQ$11:$AQ$4010,MATCH(785,$AY$11:$AY$4010,0)),""))</f>
        <v/>
      </c>
      <c r="AB795" s="15" t="str">
        <f>IF(X795="","",IFERROR(INDEX($AR$11:$AR$4010,MATCH(785,$AY$11:$AY$4010,0)),""))</f>
        <v/>
      </c>
      <c r="AD795" s="16" t="str">
        <f>IF(AE795="","",IFERROR(INDEX($AL$11:$AL$4010,MATCH(785,$AZ$11:$AZ$4010,0)),""))</f>
        <v/>
      </c>
      <c r="AE795" s="12" t="str">
        <f>IFERROR(INDEX($AM$11:$AM$4010,MATCH(785,$AZ$11:$AZ$4010,0)),"")</f>
        <v/>
      </c>
      <c r="AF795" s="11" t="str">
        <f>IF(AE795="","",IFERROR(INDEX($AN$11:$AN$4010,MATCH(785,$AZ$11:$AZ$4010,0)),""))</f>
        <v/>
      </c>
      <c r="AG795" s="11" t="str">
        <f>IF(AE795="","",IFERROR(INDEX($AO$11:$AO$4010,MATCH(785,$AZ$11:$AZ$4010,0)),""))</f>
        <v/>
      </c>
      <c r="AH795" s="10" t="str">
        <f>IF(AE795="","",IFERROR(INDEX($AQ$11:$AQ$4010,MATCH(785,$AZ$11:$AZ$4010,0)),""))</f>
        <v/>
      </c>
      <c r="AI795" s="15" t="str">
        <f>IF(AE795="","",IFERROR(INDEX($AR$11:$AR$4010,MATCH(785,$AZ$11:$AZ$4010,0)),""))</f>
        <v/>
      </c>
      <c r="AJ795" s="15" t="str">
        <f>IF(AE795="","",IFERROR(INDEX($AT$11:$AT$4010,MATCH(785,$AZ$11:$AZ$4010,0)),""))</f>
        <v/>
      </c>
      <c r="AL795" s="17"/>
      <c r="AM795" s="12"/>
      <c r="AN795" s="18"/>
      <c r="AO795" s="18"/>
      <c r="AP795" s="10"/>
      <c r="AQ795" s="10"/>
      <c r="AR795" s="19"/>
      <c r="AS795" s="20"/>
      <c r="AT795" s="19"/>
      <c r="AV795" s="21">
        <f>IF(AND($AL795&lt;&gt;"",COUNTIF($AL$11:$AL795,$AL795)=1),1,0)</f>
        <v>0</v>
      </c>
      <c r="AW795" s="21">
        <f t="shared" si="111"/>
        <v>2</v>
      </c>
      <c r="AX795" s="21" t="str">
        <f t="shared" si="110"/>
        <v/>
      </c>
      <c r="AY795" s="21" t="str">
        <f>IF(AND($AM795&lt;&gt;"",$AS795&lt;&gt;"✓"),SUMPRODUCT(($AM$11:$AM795&lt;&gt;"")*($AS$11:$AS795&lt;&gt;"✓")),"")</f>
        <v/>
      </c>
      <c r="AZ795" s="21" t="str">
        <f>IF(AND($AM795&lt;&gt;"",$AS795="✓"),SUMPRODUCT(($AM$11:$AM795&lt;&gt;"")*($AS$11:$AS795="✓")),"")</f>
        <v/>
      </c>
      <c r="BA795" s="21" t="str">
        <f>IF($AL795="","",$AL795&amp;"|"&amp;COUNTIF($AL$11:$AL795,$AL795))</f>
        <v/>
      </c>
    </row>
    <row r="796" spans="23:53" ht="15" customHeight="1" x14ac:dyDescent="0.25">
      <c r="W796" s="28" t="str">
        <f>IF(X796="","",IFERROR(INDEX($AL$11:$AL$4010,MATCH(786,$AY$11:$AY$4010,0)),""))</f>
        <v/>
      </c>
      <c r="X796" s="26" t="str">
        <f>IFERROR(INDEX($AM$11:$AM$4010,MATCH(786,$AY$11:$AY$4010,0)),"")</f>
        <v/>
      </c>
      <c r="Y796" s="25" t="str">
        <f>IF(X796="","",IFERROR(INDEX($AN$11:$AN$4010,MATCH(786,$AY$11:$AY$4010,0)),""))</f>
        <v/>
      </c>
      <c r="Z796" s="25" t="str">
        <f>IF(X796="","",IFERROR(INDEX($AO$11:$AO$4010,MATCH(786,$AY$11:$AY$4010,0)),""))</f>
        <v/>
      </c>
      <c r="AA796" s="24" t="str">
        <f>IF(X796="","",IFERROR(INDEX($AQ$11:$AQ$4010,MATCH(786,$AY$11:$AY$4010,0)),""))</f>
        <v/>
      </c>
      <c r="AB796" s="29" t="str">
        <f>IF(X796="","",IFERROR(INDEX($AR$11:$AR$4010,MATCH(786,$AY$11:$AY$4010,0)),""))</f>
        <v/>
      </c>
      <c r="AD796" s="30" t="str">
        <f>IF(AE796="","",IFERROR(INDEX($AL$11:$AL$4010,MATCH(786,$AZ$11:$AZ$4010,0)),""))</f>
        <v/>
      </c>
      <c r="AE796" s="26" t="str">
        <f>IFERROR(INDEX($AM$11:$AM$4010,MATCH(786,$AZ$11:$AZ$4010,0)),"")</f>
        <v/>
      </c>
      <c r="AF796" s="25" t="str">
        <f>IF(AE796="","",IFERROR(INDEX($AN$11:$AN$4010,MATCH(786,$AZ$11:$AZ$4010,0)),""))</f>
        <v/>
      </c>
      <c r="AG796" s="25" t="str">
        <f>IF(AE796="","",IFERROR(INDEX($AO$11:$AO$4010,MATCH(786,$AZ$11:$AZ$4010,0)),""))</f>
        <v/>
      </c>
      <c r="AH796" s="24" t="str">
        <f>IF(AE796="","",IFERROR(INDEX($AQ$11:$AQ$4010,MATCH(786,$AZ$11:$AZ$4010,0)),""))</f>
        <v/>
      </c>
      <c r="AI796" s="29" t="str">
        <f>IF(AE796="","",IFERROR(INDEX($AR$11:$AR$4010,MATCH(786,$AZ$11:$AZ$4010,0)),""))</f>
        <v/>
      </c>
      <c r="AJ796" s="29" t="str">
        <f>IF(AE796="","",IFERROR(INDEX($AT$11:$AT$4010,MATCH(786,$AZ$11:$AZ$4010,0)),""))</f>
        <v/>
      </c>
      <c r="AL796" s="31"/>
      <c r="AM796" s="26"/>
      <c r="AN796" s="32"/>
      <c r="AO796" s="32"/>
      <c r="AP796" s="24"/>
      <c r="AQ796" s="24"/>
      <c r="AR796" s="33"/>
      <c r="AS796" s="34"/>
      <c r="AT796" s="33"/>
      <c r="AV796" s="21">
        <f>IF(AND($AL796&lt;&gt;"",COUNTIF($AL$11:$AL796,$AL796)=1),1,0)</f>
        <v>0</v>
      </c>
      <c r="AW796" s="21">
        <f t="shared" si="111"/>
        <v>2</v>
      </c>
      <c r="AX796" s="21" t="str">
        <f t="shared" si="110"/>
        <v/>
      </c>
      <c r="AY796" s="21" t="str">
        <f>IF(AND($AM796&lt;&gt;"",$AS796&lt;&gt;"✓"),SUMPRODUCT(($AM$11:$AM796&lt;&gt;"")*($AS$11:$AS796&lt;&gt;"✓")),"")</f>
        <v/>
      </c>
      <c r="AZ796" s="21" t="str">
        <f>IF(AND($AM796&lt;&gt;"",$AS796="✓"),SUMPRODUCT(($AM$11:$AM796&lt;&gt;"")*($AS$11:$AS796="✓")),"")</f>
        <v/>
      </c>
      <c r="BA796" s="21" t="str">
        <f>IF($AL796="","",$AL796&amp;"|"&amp;COUNTIF($AL$11:$AL796,$AL796))</f>
        <v/>
      </c>
    </row>
    <row r="797" spans="23:53" ht="15" customHeight="1" x14ac:dyDescent="0.25">
      <c r="W797" s="14" t="str">
        <f>IF(X797="","",IFERROR(INDEX($AL$11:$AL$4010,MATCH(787,$AY$11:$AY$4010,0)),""))</f>
        <v/>
      </c>
      <c r="X797" s="12" t="str">
        <f>IFERROR(INDEX($AM$11:$AM$4010,MATCH(787,$AY$11:$AY$4010,0)),"")</f>
        <v/>
      </c>
      <c r="Y797" s="11" t="str">
        <f>IF(X797="","",IFERROR(INDEX($AN$11:$AN$4010,MATCH(787,$AY$11:$AY$4010,0)),""))</f>
        <v/>
      </c>
      <c r="Z797" s="11" t="str">
        <f>IF(X797="","",IFERROR(INDEX($AO$11:$AO$4010,MATCH(787,$AY$11:$AY$4010,0)),""))</f>
        <v/>
      </c>
      <c r="AA797" s="10" t="str">
        <f>IF(X797="","",IFERROR(INDEX($AQ$11:$AQ$4010,MATCH(787,$AY$11:$AY$4010,0)),""))</f>
        <v/>
      </c>
      <c r="AB797" s="15" t="str">
        <f>IF(X797="","",IFERROR(INDEX($AR$11:$AR$4010,MATCH(787,$AY$11:$AY$4010,0)),""))</f>
        <v/>
      </c>
      <c r="AD797" s="16" t="str">
        <f>IF(AE797="","",IFERROR(INDEX($AL$11:$AL$4010,MATCH(787,$AZ$11:$AZ$4010,0)),""))</f>
        <v/>
      </c>
      <c r="AE797" s="12" t="str">
        <f>IFERROR(INDEX($AM$11:$AM$4010,MATCH(787,$AZ$11:$AZ$4010,0)),"")</f>
        <v/>
      </c>
      <c r="AF797" s="11" t="str">
        <f>IF(AE797="","",IFERROR(INDEX($AN$11:$AN$4010,MATCH(787,$AZ$11:$AZ$4010,0)),""))</f>
        <v/>
      </c>
      <c r="AG797" s="11" t="str">
        <f>IF(AE797="","",IFERROR(INDEX($AO$11:$AO$4010,MATCH(787,$AZ$11:$AZ$4010,0)),""))</f>
        <v/>
      </c>
      <c r="AH797" s="10" t="str">
        <f>IF(AE797="","",IFERROR(INDEX($AQ$11:$AQ$4010,MATCH(787,$AZ$11:$AZ$4010,0)),""))</f>
        <v/>
      </c>
      <c r="AI797" s="15" t="str">
        <f>IF(AE797="","",IFERROR(INDEX($AR$11:$AR$4010,MATCH(787,$AZ$11:$AZ$4010,0)),""))</f>
        <v/>
      </c>
      <c r="AJ797" s="15" t="str">
        <f>IF(AE797="","",IFERROR(INDEX($AT$11:$AT$4010,MATCH(787,$AZ$11:$AZ$4010,0)),""))</f>
        <v/>
      </c>
      <c r="AL797" s="17"/>
      <c r="AM797" s="12"/>
      <c r="AN797" s="18"/>
      <c r="AO797" s="18"/>
      <c r="AP797" s="10"/>
      <c r="AQ797" s="10"/>
      <c r="AR797" s="19"/>
      <c r="AS797" s="20"/>
      <c r="AT797" s="19"/>
      <c r="AV797" s="21">
        <f>IF(AND($AL797&lt;&gt;"",COUNTIF($AL$11:$AL797,$AL797)=1),1,0)</f>
        <v>0</v>
      </c>
      <c r="AW797" s="21">
        <f t="shared" si="111"/>
        <v>2</v>
      </c>
      <c r="AX797" s="21" t="str">
        <f t="shared" si="110"/>
        <v/>
      </c>
      <c r="AY797" s="21" t="str">
        <f>IF(AND($AM797&lt;&gt;"",$AS797&lt;&gt;"✓"),SUMPRODUCT(($AM$11:$AM797&lt;&gt;"")*($AS$11:$AS797&lt;&gt;"✓")),"")</f>
        <v/>
      </c>
      <c r="AZ797" s="21" t="str">
        <f>IF(AND($AM797&lt;&gt;"",$AS797="✓"),SUMPRODUCT(($AM$11:$AM797&lt;&gt;"")*($AS$11:$AS797="✓")),"")</f>
        <v/>
      </c>
      <c r="BA797" s="21" t="str">
        <f>IF($AL797="","",$AL797&amp;"|"&amp;COUNTIF($AL$11:$AL797,$AL797))</f>
        <v/>
      </c>
    </row>
    <row r="798" spans="23:53" ht="15" customHeight="1" x14ac:dyDescent="0.25">
      <c r="W798" s="28" t="str">
        <f>IF(X798="","",IFERROR(INDEX($AL$11:$AL$4010,MATCH(788,$AY$11:$AY$4010,0)),""))</f>
        <v/>
      </c>
      <c r="X798" s="26" t="str">
        <f>IFERROR(INDEX($AM$11:$AM$4010,MATCH(788,$AY$11:$AY$4010,0)),"")</f>
        <v/>
      </c>
      <c r="Y798" s="25" t="str">
        <f>IF(X798="","",IFERROR(INDEX($AN$11:$AN$4010,MATCH(788,$AY$11:$AY$4010,0)),""))</f>
        <v/>
      </c>
      <c r="Z798" s="25" t="str">
        <f>IF(X798="","",IFERROR(INDEX($AO$11:$AO$4010,MATCH(788,$AY$11:$AY$4010,0)),""))</f>
        <v/>
      </c>
      <c r="AA798" s="24" t="str">
        <f>IF(X798="","",IFERROR(INDEX($AQ$11:$AQ$4010,MATCH(788,$AY$11:$AY$4010,0)),""))</f>
        <v/>
      </c>
      <c r="AB798" s="29" t="str">
        <f>IF(X798="","",IFERROR(INDEX($AR$11:$AR$4010,MATCH(788,$AY$11:$AY$4010,0)),""))</f>
        <v/>
      </c>
      <c r="AD798" s="30" t="str">
        <f>IF(AE798="","",IFERROR(INDEX($AL$11:$AL$4010,MATCH(788,$AZ$11:$AZ$4010,0)),""))</f>
        <v/>
      </c>
      <c r="AE798" s="26" t="str">
        <f>IFERROR(INDEX($AM$11:$AM$4010,MATCH(788,$AZ$11:$AZ$4010,0)),"")</f>
        <v/>
      </c>
      <c r="AF798" s="25" t="str">
        <f>IF(AE798="","",IFERROR(INDEX($AN$11:$AN$4010,MATCH(788,$AZ$11:$AZ$4010,0)),""))</f>
        <v/>
      </c>
      <c r="AG798" s="25" t="str">
        <f>IF(AE798="","",IFERROR(INDEX($AO$11:$AO$4010,MATCH(788,$AZ$11:$AZ$4010,0)),""))</f>
        <v/>
      </c>
      <c r="AH798" s="24" t="str">
        <f>IF(AE798="","",IFERROR(INDEX($AQ$11:$AQ$4010,MATCH(788,$AZ$11:$AZ$4010,0)),""))</f>
        <v/>
      </c>
      <c r="AI798" s="29" t="str">
        <f>IF(AE798="","",IFERROR(INDEX($AR$11:$AR$4010,MATCH(788,$AZ$11:$AZ$4010,0)),""))</f>
        <v/>
      </c>
      <c r="AJ798" s="29" t="str">
        <f>IF(AE798="","",IFERROR(INDEX($AT$11:$AT$4010,MATCH(788,$AZ$11:$AZ$4010,0)),""))</f>
        <v/>
      </c>
      <c r="AL798" s="31"/>
      <c r="AM798" s="26"/>
      <c r="AN798" s="32"/>
      <c r="AO798" s="32"/>
      <c r="AP798" s="24"/>
      <c r="AQ798" s="24"/>
      <c r="AR798" s="33"/>
      <c r="AS798" s="34"/>
      <c r="AT798" s="33"/>
      <c r="AV798" s="21">
        <f>IF(AND($AL798&lt;&gt;"",COUNTIF($AL$11:$AL798,$AL798)=1),1,0)</f>
        <v>0</v>
      </c>
      <c r="AW798" s="21">
        <f t="shared" si="111"/>
        <v>2</v>
      </c>
      <c r="AX798" s="21" t="str">
        <f t="shared" si="110"/>
        <v/>
      </c>
      <c r="AY798" s="21" t="str">
        <f>IF(AND($AM798&lt;&gt;"",$AS798&lt;&gt;"✓"),SUMPRODUCT(($AM$11:$AM798&lt;&gt;"")*($AS$11:$AS798&lt;&gt;"✓")),"")</f>
        <v/>
      </c>
      <c r="AZ798" s="21" t="str">
        <f>IF(AND($AM798&lt;&gt;"",$AS798="✓"),SUMPRODUCT(($AM$11:$AM798&lt;&gt;"")*($AS$11:$AS798="✓")),"")</f>
        <v/>
      </c>
      <c r="BA798" s="21" t="str">
        <f>IF($AL798="","",$AL798&amp;"|"&amp;COUNTIF($AL$11:$AL798,$AL798))</f>
        <v/>
      </c>
    </row>
    <row r="799" spans="23:53" ht="15" customHeight="1" x14ac:dyDescent="0.25">
      <c r="W799" s="14" t="str">
        <f>IF(X799="","",IFERROR(INDEX($AL$11:$AL$4010,MATCH(789,$AY$11:$AY$4010,0)),""))</f>
        <v/>
      </c>
      <c r="X799" s="12" t="str">
        <f>IFERROR(INDEX($AM$11:$AM$4010,MATCH(789,$AY$11:$AY$4010,0)),"")</f>
        <v/>
      </c>
      <c r="Y799" s="11" t="str">
        <f>IF(X799="","",IFERROR(INDEX($AN$11:$AN$4010,MATCH(789,$AY$11:$AY$4010,0)),""))</f>
        <v/>
      </c>
      <c r="Z799" s="11" t="str">
        <f>IF(X799="","",IFERROR(INDEX($AO$11:$AO$4010,MATCH(789,$AY$11:$AY$4010,0)),""))</f>
        <v/>
      </c>
      <c r="AA799" s="10" t="str">
        <f>IF(X799="","",IFERROR(INDEX($AQ$11:$AQ$4010,MATCH(789,$AY$11:$AY$4010,0)),""))</f>
        <v/>
      </c>
      <c r="AB799" s="15" t="str">
        <f>IF(X799="","",IFERROR(INDEX($AR$11:$AR$4010,MATCH(789,$AY$11:$AY$4010,0)),""))</f>
        <v/>
      </c>
      <c r="AD799" s="16" t="str">
        <f>IF(AE799="","",IFERROR(INDEX($AL$11:$AL$4010,MATCH(789,$AZ$11:$AZ$4010,0)),""))</f>
        <v/>
      </c>
      <c r="AE799" s="12" t="str">
        <f>IFERROR(INDEX($AM$11:$AM$4010,MATCH(789,$AZ$11:$AZ$4010,0)),"")</f>
        <v/>
      </c>
      <c r="AF799" s="11" t="str">
        <f>IF(AE799="","",IFERROR(INDEX($AN$11:$AN$4010,MATCH(789,$AZ$11:$AZ$4010,0)),""))</f>
        <v/>
      </c>
      <c r="AG799" s="11" t="str">
        <f>IF(AE799="","",IFERROR(INDEX($AO$11:$AO$4010,MATCH(789,$AZ$11:$AZ$4010,0)),""))</f>
        <v/>
      </c>
      <c r="AH799" s="10" t="str">
        <f>IF(AE799="","",IFERROR(INDEX($AQ$11:$AQ$4010,MATCH(789,$AZ$11:$AZ$4010,0)),""))</f>
        <v/>
      </c>
      <c r="AI799" s="15" t="str">
        <f>IF(AE799="","",IFERROR(INDEX($AR$11:$AR$4010,MATCH(789,$AZ$11:$AZ$4010,0)),""))</f>
        <v/>
      </c>
      <c r="AJ799" s="15" t="str">
        <f>IF(AE799="","",IFERROR(INDEX($AT$11:$AT$4010,MATCH(789,$AZ$11:$AZ$4010,0)),""))</f>
        <v/>
      </c>
      <c r="AL799" s="17"/>
      <c r="AM799" s="12"/>
      <c r="AN799" s="18"/>
      <c r="AO799" s="18"/>
      <c r="AP799" s="10"/>
      <c r="AQ799" s="10"/>
      <c r="AR799" s="19"/>
      <c r="AS799" s="20"/>
      <c r="AT799" s="19"/>
      <c r="AV799" s="21">
        <f>IF(AND($AL799&lt;&gt;"",COUNTIF($AL$11:$AL799,$AL799)=1),1,0)</f>
        <v>0</v>
      </c>
      <c r="AW799" s="21">
        <f t="shared" si="111"/>
        <v>2</v>
      </c>
      <c r="AX799" s="21" t="str">
        <f t="shared" si="110"/>
        <v/>
      </c>
      <c r="AY799" s="21" t="str">
        <f>IF(AND($AM799&lt;&gt;"",$AS799&lt;&gt;"✓"),SUMPRODUCT(($AM$11:$AM799&lt;&gt;"")*($AS$11:$AS799&lt;&gt;"✓")),"")</f>
        <v/>
      </c>
      <c r="AZ799" s="21" t="str">
        <f>IF(AND($AM799&lt;&gt;"",$AS799="✓"),SUMPRODUCT(($AM$11:$AM799&lt;&gt;"")*($AS$11:$AS799="✓")),"")</f>
        <v/>
      </c>
      <c r="BA799" s="21" t="str">
        <f>IF($AL799="","",$AL799&amp;"|"&amp;COUNTIF($AL$11:$AL799,$AL799))</f>
        <v/>
      </c>
    </row>
    <row r="800" spans="23:53" ht="15" customHeight="1" x14ac:dyDescent="0.25">
      <c r="W800" s="28" t="str">
        <f>IF(X800="","",IFERROR(INDEX($AL$11:$AL$4010,MATCH(790,$AY$11:$AY$4010,0)),""))</f>
        <v/>
      </c>
      <c r="X800" s="26" t="str">
        <f>IFERROR(INDEX($AM$11:$AM$4010,MATCH(790,$AY$11:$AY$4010,0)),"")</f>
        <v/>
      </c>
      <c r="Y800" s="25" t="str">
        <f>IF(X800="","",IFERROR(INDEX($AN$11:$AN$4010,MATCH(790,$AY$11:$AY$4010,0)),""))</f>
        <v/>
      </c>
      <c r="Z800" s="25" t="str">
        <f>IF(X800="","",IFERROR(INDEX($AO$11:$AO$4010,MATCH(790,$AY$11:$AY$4010,0)),""))</f>
        <v/>
      </c>
      <c r="AA800" s="24" t="str">
        <f>IF(X800="","",IFERROR(INDEX($AQ$11:$AQ$4010,MATCH(790,$AY$11:$AY$4010,0)),""))</f>
        <v/>
      </c>
      <c r="AB800" s="29" t="str">
        <f>IF(X800="","",IFERROR(INDEX($AR$11:$AR$4010,MATCH(790,$AY$11:$AY$4010,0)),""))</f>
        <v/>
      </c>
      <c r="AD800" s="30" t="str">
        <f>IF(AE800="","",IFERROR(INDEX($AL$11:$AL$4010,MATCH(790,$AZ$11:$AZ$4010,0)),""))</f>
        <v/>
      </c>
      <c r="AE800" s="26" t="str">
        <f>IFERROR(INDEX($AM$11:$AM$4010,MATCH(790,$AZ$11:$AZ$4010,0)),"")</f>
        <v/>
      </c>
      <c r="AF800" s="25" t="str">
        <f>IF(AE800="","",IFERROR(INDEX($AN$11:$AN$4010,MATCH(790,$AZ$11:$AZ$4010,0)),""))</f>
        <v/>
      </c>
      <c r="AG800" s="25" t="str">
        <f>IF(AE800="","",IFERROR(INDEX($AO$11:$AO$4010,MATCH(790,$AZ$11:$AZ$4010,0)),""))</f>
        <v/>
      </c>
      <c r="AH800" s="24" t="str">
        <f>IF(AE800="","",IFERROR(INDEX($AQ$11:$AQ$4010,MATCH(790,$AZ$11:$AZ$4010,0)),""))</f>
        <v/>
      </c>
      <c r="AI800" s="29" t="str">
        <f>IF(AE800="","",IFERROR(INDEX($AR$11:$AR$4010,MATCH(790,$AZ$11:$AZ$4010,0)),""))</f>
        <v/>
      </c>
      <c r="AJ800" s="29" t="str">
        <f>IF(AE800="","",IFERROR(INDEX($AT$11:$AT$4010,MATCH(790,$AZ$11:$AZ$4010,0)),""))</f>
        <v/>
      </c>
      <c r="AL800" s="31"/>
      <c r="AM800" s="26"/>
      <c r="AN800" s="32"/>
      <c r="AO800" s="32"/>
      <c r="AP800" s="24"/>
      <c r="AQ800" s="24"/>
      <c r="AR800" s="33"/>
      <c r="AS800" s="34"/>
      <c r="AT800" s="33"/>
      <c r="AV800" s="21">
        <f>IF(AND($AL800&lt;&gt;"",COUNTIF($AL$11:$AL800,$AL800)=1),1,0)</f>
        <v>0</v>
      </c>
      <c r="AW800" s="21">
        <f t="shared" si="111"/>
        <v>2</v>
      </c>
      <c r="AX800" s="21" t="str">
        <f t="shared" si="110"/>
        <v/>
      </c>
      <c r="AY800" s="21" t="str">
        <f>IF(AND($AM800&lt;&gt;"",$AS800&lt;&gt;"✓"),SUMPRODUCT(($AM$11:$AM800&lt;&gt;"")*($AS$11:$AS800&lt;&gt;"✓")),"")</f>
        <v/>
      </c>
      <c r="AZ800" s="21" t="str">
        <f>IF(AND($AM800&lt;&gt;"",$AS800="✓"),SUMPRODUCT(($AM$11:$AM800&lt;&gt;"")*($AS$11:$AS800="✓")),"")</f>
        <v/>
      </c>
      <c r="BA800" s="21" t="str">
        <f>IF($AL800="","",$AL800&amp;"|"&amp;COUNTIF($AL$11:$AL800,$AL800))</f>
        <v/>
      </c>
    </row>
    <row r="801" spans="23:53" ht="15" customHeight="1" x14ac:dyDescent="0.25">
      <c r="W801" s="14" t="str">
        <f>IF(X801="","",IFERROR(INDEX($AL$11:$AL$4010,MATCH(791,$AY$11:$AY$4010,0)),""))</f>
        <v/>
      </c>
      <c r="X801" s="12" t="str">
        <f>IFERROR(INDEX($AM$11:$AM$4010,MATCH(791,$AY$11:$AY$4010,0)),"")</f>
        <v/>
      </c>
      <c r="Y801" s="11" t="str">
        <f>IF(X801="","",IFERROR(INDEX($AN$11:$AN$4010,MATCH(791,$AY$11:$AY$4010,0)),""))</f>
        <v/>
      </c>
      <c r="Z801" s="11" t="str">
        <f>IF(X801="","",IFERROR(INDEX($AO$11:$AO$4010,MATCH(791,$AY$11:$AY$4010,0)),""))</f>
        <v/>
      </c>
      <c r="AA801" s="10" t="str">
        <f>IF(X801="","",IFERROR(INDEX($AQ$11:$AQ$4010,MATCH(791,$AY$11:$AY$4010,0)),""))</f>
        <v/>
      </c>
      <c r="AB801" s="15" t="str">
        <f>IF(X801="","",IFERROR(INDEX($AR$11:$AR$4010,MATCH(791,$AY$11:$AY$4010,0)),""))</f>
        <v/>
      </c>
      <c r="AD801" s="16" t="str">
        <f>IF(AE801="","",IFERROR(INDEX($AL$11:$AL$4010,MATCH(791,$AZ$11:$AZ$4010,0)),""))</f>
        <v/>
      </c>
      <c r="AE801" s="12" t="str">
        <f>IFERROR(INDEX($AM$11:$AM$4010,MATCH(791,$AZ$11:$AZ$4010,0)),"")</f>
        <v/>
      </c>
      <c r="AF801" s="11" t="str">
        <f>IF(AE801="","",IFERROR(INDEX($AN$11:$AN$4010,MATCH(791,$AZ$11:$AZ$4010,0)),""))</f>
        <v/>
      </c>
      <c r="AG801" s="11" t="str">
        <f>IF(AE801="","",IFERROR(INDEX($AO$11:$AO$4010,MATCH(791,$AZ$11:$AZ$4010,0)),""))</f>
        <v/>
      </c>
      <c r="AH801" s="10" t="str">
        <f>IF(AE801="","",IFERROR(INDEX($AQ$11:$AQ$4010,MATCH(791,$AZ$11:$AZ$4010,0)),""))</f>
        <v/>
      </c>
      <c r="AI801" s="15" t="str">
        <f>IF(AE801="","",IFERROR(INDEX($AR$11:$AR$4010,MATCH(791,$AZ$11:$AZ$4010,0)),""))</f>
        <v/>
      </c>
      <c r="AJ801" s="15" t="str">
        <f>IF(AE801="","",IFERROR(INDEX($AT$11:$AT$4010,MATCH(791,$AZ$11:$AZ$4010,0)),""))</f>
        <v/>
      </c>
      <c r="AL801" s="17"/>
      <c r="AM801" s="12"/>
      <c r="AN801" s="18"/>
      <c r="AO801" s="18"/>
      <c r="AP801" s="10"/>
      <c r="AQ801" s="10"/>
      <c r="AR801" s="19"/>
      <c r="AS801" s="20"/>
      <c r="AT801" s="19"/>
      <c r="AV801" s="21">
        <f>IF(AND($AL801&lt;&gt;"",COUNTIF($AL$11:$AL801,$AL801)=1),1,0)</f>
        <v>0</v>
      </c>
      <c r="AW801" s="21">
        <f t="shared" si="111"/>
        <v>2</v>
      </c>
      <c r="AX801" s="21" t="str">
        <f t="shared" si="110"/>
        <v/>
      </c>
      <c r="AY801" s="21" t="str">
        <f>IF(AND($AM801&lt;&gt;"",$AS801&lt;&gt;"✓"),SUMPRODUCT(($AM$11:$AM801&lt;&gt;"")*($AS$11:$AS801&lt;&gt;"✓")),"")</f>
        <v/>
      </c>
      <c r="AZ801" s="21" t="str">
        <f>IF(AND($AM801&lt;&gt;"",$AS801="✓"),SUMPRODUCT(($AM$11:$AM801&lt;&gt;"")*($AS$11:$AS801="✓")),"")</f>
        <v/>
      </c>
      <c r="BA801" s="21" t="str">
        <f>IF($AL801="","",$AL801&amp;"|"&amp;COUNTIF($AL$11:$AL801,$AL801))</f>
        <v/>
      </c>
    </row>
    <row r="802" spans="23:53" ht="15" customHeight="1" x14ac:dyDescent="0.25">
      <c r="W802" s="28" t="str">
        <f>IF(X802="","",IFERROR(INDEX($AL$11:$AL$4010,MATCH(792,$AY$11:$AY$4010,0)),""))</f>
        <v/>
      </c>
      <c r="X802" s="26" t="str">
        <f>IFERROR(INDEX($AM$11:$AM$4010,MATCH(792,$AY$11:$AY$4010,0)),"")</f>
        <v/>
      </c>
      <c r="Y802" s="25" t="str">
        <f>IF(X802="","",IFERROR(INDEX($AN$11:$AN$4010,MATCH(792,$AY$11:$AY$4010,0)),""))</f>
        <v/>
      </c>
      <c r="Z802" s="25" t="str">
        <f>IF(X802="","",IFERROR(INDEX($AO$11:$AO$4010,MATCH(792,$AY$11:$AY$4010,0)),""))</f>
        <v/>
      </c>
      <c r="AA802" s="24" t="str">
        <f>IF(X802="","",IFERROR(INDEX($AQ$11:$AQ$4010,MATCH(792,$AY$11:$AY$4010,0)),""))</f>
        <v/>
      </c>
      <c r="AB802" s="29" t="str">
        <f>IF(X802="","",IFERROR(INDEX($AR$11:$AR$4010,MATCH(792,$AY$11:$AY$4010,0)),""))</f>
        <v/>
      </c>
      <c r="AD802" s="30" t="str">
        <f>IF(AE802="","",IFERROR(INDEX($AL$11:$AL$4010,MATCH(792,$AZ$11:$AZ$4010,0)),""))</f>
        <v/>
      </c>
      <c r="AE802" s="26" t="str">
        <f>IFERROR(INDEX($AM$11:$AM$4010,MATCH(792,$AZ$11:$AZ$4010,0)),"")</f>
        <v/>
      </c>
      <c r="AF802" s="25" t="str">
        <f>IF(AE802="","",IFERROR(INDEX($AN$11:$AN$4010,MATCH(792,$AZ$11:$AZ$4010,0)),""))</f>
        <v/>
      </c>
      <c r="AG802" s="25" t="str">
        <f>IF(AE802="","",IFERROR(INDEX($AO$11:$AO$4010,MATCH(792,$AZ$11:$AZ$4010,0)),""))</f>
        <v/>
      </c>
      <c r="AH802" s="24" t="str">
        <f>IF(AE802="","",IFERROR(INDEX($AQ$11:$AQ$4010,MATCH(792,$AZ$11:$AZ$4010,0)),""))</f>
        <v/>
      </c>
      <c r="AI802" s="29" t="str">
        <f>IF(AE802="","",IFERROR(INDEX($AR$11:$AR$4010,MATCH(792,$AZ$11:$AZ$4010,0)),""))</f>
        <v/>
      </c>
      <c r="AJ802" s="29" t="str">
        <f>IF(AE802="","",IFERROR(INDEX($AT$11:$AT$4010,MATCH(792,$AZ$11:$AZ$4010,0)),""))</f>
        <v/>
      </c>
      <c r="AL802" s="31"/>
      <c r="AM802" s="26"/>
      <c r="AN802" s="32"/>
      <c r="AO802" s="32"/>
      <c r="AP802" s="24"/>
      <c r="AQ802" s="24"/>
      <c r="AR802" s="33"/>
      <c r="AS802" s="34"/>
      <c r="AT802" s="33"/>
      <c r="AV802" s="21">
        <f>IF(AND($AL802&lt;&gt;"",COUNTIF($AL$11:$AL802,$AL802)=1),1,0)</f>
        <v>0</v>
      </c>
      <c r="AW802" s="21">
        <f t="shared" si="111"/>
        <v>2</v>
      </c>
      <c r="AX802" s="21" t="str">
        <f t="shared" si="110"/>
        <v/>
      </c>
      <c r="AY802" s="21" t="str">
        <f>IF(AND($AM802&lt;&gt;"",$AS802&lt;&gt;"✓"),SUMPRODUCT(($AM$11:$AM802&lt;&gt;"")*($AS$11:$AS802&lt;&gt;"✓")),"")</f>
        <v/>
      </c>
      <c r="AZ802" s="21" t="str">
        <f>IF(AND($AM802&lt;&gt;"",$AS802="✓"),SUMPRODUCT(($AM$11:$AM802&lt;&gt;"")*($AS$11:$AS802="✓")),"")</f>
        <v/>
      </c>
      <c r="BA802" s="21" t="str">
        <f>IF($AL802="","",$AL802&amp;"|"&amp;COUNTIF($AL$11:$AL802,$AL802))</f>
        <v/>
      </c>
    </row>
    <row r="803" spans="23:53" ht="15" customHeight="1" x14ac:dyDescent="0.25">
      <c r="W803" s="14" t="str">
        <f>IF(X803="","",IFERROR(INDEX($AL$11:$AL$4010,MATCH(793,$AY$11:$AY$4010,0)),""))</f>
        <v/>
      </c>
      <c r="X803" s="12" t="str">
        <f>IFERROR(INDEX($AM$11:$AM$4010,MATCH(793,$AY$11:$AY$4010,0)),"")</f>
        <v/>
      </c>
      <c r="Y803" s="11" t="str">
        <f>IF(X803="","",IFERROR(INDEX($AN$11:$AN$4010,MATCH(793,$AY$11:$AY$4010,0)),""))</f>
        <v/>
      </c>
      <c r="Z803" s="11" t="str">
        <f>IF(X803="","",IFERROR(INDEX($AO$11:$AO$4010,MATCH(793,$AY$11:$AY$4010,0)),""))</f>
        <v/>
      </c>
      <c r="AA803" s="10" t="str">
        <f>IF(X803="","",IFERROR(INDEX($AQ$11:$AQ$4010,MATCH(793,$AY$11:$AY$4010,0)),""))</f>
        <v/>
      </c>
      <c r="AB803" s="15" t="str">
        <f>IF(X803="","",IFERROR(INDEX($AR$11:$AR$4010,MATCH(793,$AY$11:$AY$4010,0)),""))</f>
        <v/>
      </c>
      <c r="AD803" s="16" t="str">
        <f>IF(AE803="","",IFERROR(INDEX($AL$11:$AL$4010,MATCH(793,$AZ$11:$AZ$4010,0)),""))</f>
        <v/>
      </c>
      <c r="AE803" s="12" t="str">
        <f>IFERROR(INDEX($AM$11:$AM$4010,MATCH(793,$AZ$11:$AZ$4010,0)),"")</f>
        <v/>
      </c>
      <c r="AF803" s="11" t="str">
        <f>IF(AE803="","",IFERROR(INDEX($AN$11:$AN$4010,MATCH(793,$AZ$11:$AZ$4010,0)),""))</f>
        <v/>
      </c>
      <c r="AG803" s="11" t="str">
        <f>IF(AE803="","",IFERROR(INDEX($AO$11:$AO$4010,MATCH(793,$AZ$11:$AZ$4010,0)),""))</f>
        <v/>
      </c>
      <c r="AH803" s="10" t="str">
        <f>IF(AE803="","",IFERROR(INDEX($AQ$11:$AQ$4010,MATCH(793,$AZ$11:$AZ$4010,0)),""))</f>
        <v/>
      </c>
      <c r="AI803" s="15" t="str">
        <f>IF(AE803="","",IFERROR(INDEX($AR$11:$AR$4010,MATCH(793,$AZ$11:$AZ$4010,0)),""))</f>
        <v/>
      </c>
      <c r="AJ803" s="15" t="str">
        <f>IF(AE803="","",IFERROR(INDEX($AT$11:$AT$4010,MATCH(793,$AZ$11:$AZ$4010,0)),""))</f>
        <v/>
      </c>
      <c r="AL803" s="17"/>
      <c r="AM803" s="12"/>
      <c r="AN803" s="18"/>
      <c r="AO803" s="18"/>
      <c r="AP803" s="10"/>
      <c r="AQ803" s="10"/>
      <c r="AR803" s="19"/>
      <c r="AS803" s="20"/>
      <c r="AT803" s="19"/>
      <c r="AV803" s="21">
        <f>IF(AND($AL803&lt;&gt;"",COUNTIF($AL$11:$AL803,$AL803)=1),1,0)</f>
        <v>0</v>
      </c>
      <c r="AW803" s="21">
        <f t="shared" si="111"/>
        <v>2</v>
      </c>
      <c r="AX803" s="21" t="str">
        <f t="shared" si="110"/>
        <v/>
      </c>
      <c r="AY803" s="21" t="str">
        <f>IF(AND($AM803&lt;&gt;"",$AS803&lt;&gt;"✓"),SUMPRODUCT(($AM$11:$AM803&lt;&gt;"")*($AS$11:$AS803&lt;&gt;"✓")),"")</f>
        <v/>
      </c>
      <c r="AZ803" s="21" t="str">
        <f>IF(AND($AM803&lt;&gt;"",$AS803="✓"),SUMPRODUCT(($AM$11:$AM803&lt;&gt;"")*($AS$11:$AS803="✓")),"")</f>
        <v/>
      </c>
      <c r="BA803" s="21" t="str">
        <f>IF($AL803="","",$AL803&amp;"|"&amp;COUNTIF($AL$11:$AL803,$AL803))</f>
        <v/>
      </c>
    </row>
    <row r="804" spans="23:53" ht="15" customHeight="1" x14ac:dyDescent="0.25">
      <c r="W804" s="28" t="str">
        <f>IF(X804="","",IFERROR(INDEX($AL$11:$AL$4010,MATCH(794,$AY$11:$AY$4010,0)),""))</f>
        <v/>
      </c>
      <c r="X804" s="26" t="str">
        <f>IFERROR(INDEX($AM$11:$AM$4010,MATCH(794,$AY$11:$AY$4010,0)),"")</f>
        <v/>
      </c>
      <c r="Y804" s="25" t="str">
        <f>IF(X804="","",IFERROR(INDEX($AN$11:$AN$4010,MATCH(794,$AY$11:$AY$4010,0)),""))</f>
        <v/>
      </c>
      <c r="Z804" s="25" t="str">
        <f>IF(X804="","",IFERROR(INDEX($AO$11:$AO$4010,MATCH(794,$AY$11:$AY$4010,0)),""))</f>
        <v/>
      </c>
      <c r="AA804" s="24" t="str">
        <f>IF(X804="","",IFERROR(INDEX($AQ$11:$AQ$4010,MATCH(794,$AY$11:$AY$4010,0)),""))</f>
        <v/>
      </c>
      <c r="AB804" s="29" t="str">
        <f>IF(X804="","",IFERROR(INDEX($AR$11:$AR$4010,MATCH(794,$AY$11:$AY$4010,0)),""))</f>
        <v/>
      </c>
      <c r="AD804" s="30" t="str">
        <f>IF(AE804="","",IFERROR(INDEX($AL$11:$AL$4010,MATCH(794,$AZ$11:$AZ$4010,0)),""))</f>
        <v/>
      </c>
      <c r="AE804" s="26" t="str">
        <f>IFERROR(INDEX($AM$11:$AM$4010,MATCH(794,$AZ$11:$AZ$4010,0)),"")</f>
        <v/>
      </c>
      <c r="AF804" s="25" t="str">
        <f>IF(AE804="","",IFERROR(INDEX($AN$11:$AN$4010,MATCH(794,$AZ$11:$AZ$4010,0)),""))</f>
        <v/>
      </c>
      <c r="AG804" s="25" t="str">
        <f>IF(AE804="","",IFERROR(INDEX($AO$11:$AO$4010,MATCH(794,$AZ$11:$AZ$4010,0)),""))</f>
        <v/>
      </c>
      <c r="AH804" s="24" t="str">
        <f>IF(AE804="","",IFERROR(INDEX($AQ$11:$AQ$4010,MATCH(794,$AZ$11:$AZ$4010,0)),""))</f>
        <v/>
      </c>
      <c r="AI804" s="29" t="str">
        <f>IF(AE804="","",IFERROR(INDEX($AR$11:$AR$4010,MATCH(794,$AZ$11:$AZ$4010,0)),""))</f>
        <v/>
      </c>
      <c r="AJ804" s="29" t="str">
        <f>IF(AE804="","",IFERROR(INDEX($AT$11:$AT$4010,MATCH(794,$AZ$11:$AZ$4010,0)),""))</f>
        <v/>
      </c>
      <c r="AL804" s="31"/>
      <c r="AM804" s="26"/>
      <c r="AN804" s="32"/>
      <c r="AO804" s="32"/>
      <c r="AP804" s="24"/>
      <c r="AQ804" s="24"/>
      <c r="AR804" s="33"/>
      <c r="AS804" s="34"/>
      <c r="AT804" s="33"/>
      <c r="AV804" s="21">
        <f>IF(AND($AL804&lt;&gt;"",COUNTIF($AL$11:$AL804,$AL804)=1),1,0)</f>
        <v>0</v>
      </c>
      <c r="AW804" s="21">
        <f t="shared" si="111"/>
        <v>2</v>
      </c>
      <c r="AX804" s="21" t="str">
        <f t="shared" si="110"/>
        <v/>
      </c>
      <c r="AY804" s="21" t="str">
        <f>IF(AND($AM804&lt;&gt;"",$AS804&lt;&gt;"✓"),SUMPRODUCT(($AM$11:$AM804&lt;&gt;"")*($AS$11:$AS804&lt;&gt;"✓")),"")</f>
        <v/>
      </c>
      <c r="AZ804" s="21" t="str">
        <f>IF(AND($AM804&lt;&gt;"",$AS804="✓"),SUMPRODUCT(($AM$11:$AM804&lt;&gt;"")*($AS$11:$AS804="✓")),"")</f>
        <v/>
      </c>
      <c r="BA804" s="21" t="str">
        <f>IF($AL804="","",$AL804&amp;"|"&amp;COUNTIF($AL$11:$AL804,$AL804))</f>
        <v/>
      </c>
    </row>
    <row r="805" spans="23:53" ht="15" customHeight="1" x14ac:dyDescent="0.25">
      <c r="W805" s="14" t="str">
        <f>IF(X805="","",IFERROR(INDEX($AL$11:$AL$4010,MATCH(795,$AY$11:$AY$4010,0)),""))</f>
        <v/>
      </c>
      <c r="X805" s="12" t="str">
        <f>IFERROR(INDEX($AM$11:$AM$4010,MATCH(795,$AY$11:$AY$4010,0)),"")</f>
        <v/>
      </c>
      <c r="Y805" s="11" t="str">
        <f>IF(X805="","",IFERROR(INDEX($AN$11:$AN$4010,MATCH(795,$AY$11:$AY$4010,0)),""))</f>
        <v/>
      </c>
      <c r="Z805" s="11" t="str">
        <f>IF(X805="","",IFERROR(INDEX($AO$11:$AO$4010,MATCH(795,$AY$11:$AY$4010,0)),""))</f>
        <v/>
      </c>
      <c r="AA805" s="10" t="str">
        <f>IF(X805="","",IFERROR(INDEX($AQ$11:$AQ$4010,MATCH(795,$AY$11:$AY$4010,0)),""))</f>
        <v/>
      </c>
      <c r="AB805" s="15" t="str">
        <f>IF(X805="","",IFERROR(INDEX($AR$11:$AR$4010,MATCH(795,$AY$11:$AY$4010,0)),""))</f>
        <v/>
      </c>
      <c r="AD805" s="16" t="str">
        <f>IF(AE805="","",IFERROR(INDEX($AL$11:$AL$4010,MATCH(795,$AZ$11:$AZ$4010,0)),""))</f>
        <v/>
      </c>
      <c r="AE805" s="12" t="str">
        <f>IFERROR(INDEX($AM$11:$AM$4010,MATCH(795,$AZ$11:$AZ$4010,0)),"")</f>
        <v/>
      </c>
      <c r="AF805" s="11" t="str">
        <f>IF(AE805="","",IFERROR(INDEX($AN$11:$AN$4010,MATCH(795,$AZ$11:$AZ$4010,0)),""))</f>
        <v/>
      </c>
      <c r="AG805" s="11" t="str">
        <f>IF(AE805="","",IFERROR(INDEX($AO$11:$AO$4010,MATCH(795,$AZ$11:$AZ$4010,0)),""))</f>
        <v/>
      </c>
      <c r="AH805" s="10" t="str">
        <f>IF(AE805="","",IFERROR(INDEX($AQ$11:$AQ$4010,MATCH(795,$AZ$11:$AZ$4010,0)),""))</f>
        <v/>
      </c>
      <c r="AI805" s="15" t="str">
        <f>IF(AE805="","",IFERROR(INDEX($AR$11:$AR$4010,MATCH(795,$AZ$11:$AZ$4010,0)),""))</f>
        <v/>
      </c>
      <c r="AJ805" s="15" t="str">
        <f>IF(AE805="","",IFERROR(INDEX($AT$11:$AT$4010,MATCH(795,$AZ$11:$AZ$4010,0)),""))</f>
        <v/>
      </c>
      <c r="AL805" s="17"/>
      <c r="AM805" s="12"/>
      <c r="AN805" s="18"/>
      <c r="AO805" s="18"/>
      <c r="AP805" s="10"/>
      <c r="AQ805" s="10"/>
      <c r="AR805" s="19"/>
      <c r="AS805" s="20"/>
      <c r="AT805" s="19"/>
      <c r="AV805" s="21">
        <f>IF(AND($AL805&lt;&gt;"",COUNTIF($AL$11:$AL805,$AL805)=1),1,0)</f>
        <v>0</v>
      </c>
      <c r="AW805" s="21">
        <f t="shared" si="111"/>
        <v>2</v>
      </c>
      <c r="AX805" s="21" t="str">
        <f t="shared" si="110"/>
        <v/>
      </c>
      <c r="AY805" s="21" t="str">
        <f>IF(AND($AM805&lt;&gt;"",$AS805&lt;&gt;"✓"),SUMPRODUCT(($AM$11:$AM805&lt;&gt;"")*($AS$11:$AS805&lt;&gt;"✓")),"")</f>
        <v/>
      </c>
      <c r="AZ805" s="21" t="str">
        <f>IF(AND($AM805&lt;&gt;"",$AS805="✓"),SUMPRODUCT(($AM$11:$AM805&lt;&gt;"")*($AS$11:$AS805="✓")),"")</f>
        <v/>
      </c>
      <c r="BA805" s="21" t="str">
        <f>IF($AL805="","",$AL805&amp;"|"&amp;COUNTIF($AL$11:$AL805,$AL805))</f>
        <v/>
      </c>
    </row>
    <row r="806" spans="23:53" ht="15" customHeight="1" x14ac:dyDescent="0.25">
      <c r="W806" s="28" t="str">
        <f>IF(X806="","",IFERROR(INDEX($AL$11:$AL$4010,MATCH(796,$AY$11:$AY$4010,0)),""))</f>
        <v/>
      </c>
      <c r="X806" s="26" t="str">
        <f>IFERROR(INDEX($AM$11:$AM$4010,MATCH(796,$AY$11:$AY$4010,0)),"")</f>
        <v/>
      </c>
      <c r="Y806" s="25" t="str">
        <f>IF(X806="","",IFERROR(INDEX($AN$11:$AN$4010,MATCH(796,$AY$11:$AY$4010,0)),""))</f>
        <v/>
      </c>
      <c r="Z806" s="25" t="str">
        <f>IF(X806="","",IFERROR(INDEX($AO$11:$AO$4010,MATCH(796,$AY$11:$AY$4010,0)),""))</f>
        <v/>
      </c>
      <c r="AA806" s="24" t="str">
        <f>IF(X806="","",IFERROR(INDEX($AQ$11:$AQ$4010,MATCH(796,$AY$11:$AY$4010,0)),""))</f>
        <v/>
      </c>
      <c r="AB806" s="29" t="str">
        <f>IF(X806="","",IFERROR(INDEX($AR$11:$AR$4010,MATCH(796,$AY$11:$AY$4010,0)),""))</f>
        <v/>
      </c>
      <c r="AD806" s="30" t="str">
        <f>IF(AE806="","",IFERROR(INDEX($AL$11:$AL$4010,MATCH(796,$AZ$11:$AZ$4010,0)),""))</f>
        <v/>
      </c>
      <c r="AE806" s="26" t="str">
        <f>IFERROR(INDEX($AM$11:$AM$4010,MATCH(796,$AZ$11:$AZ$4010,0)),"")</f>
        <v/>
      </c>
      <c r="AF806" s="25" t="str">
        <f>IF(AE806="","",IFERROR(INDEX($AN$11:$AN$4010,MATCH(796,$AZ$11:$AZ$4010,0)),""))</f>
        <v/>
      </c>
      <c r="AG806" s="25" t="str">
        <f>IF(AE806="","",IFERROR(INDEX($AO$11:$AO$4010,MATCH(796,$AZ$11:$AZ$4010,0)),""))</f>
        <v/>
      </c>
      <c r="AH806" s="24" t="str">
        <f>IF(AE806="","",IFERROR(INDEX($AQ$11:$AQ$4010,MATCH(796,$AZ$11:$AZ$4010,0)),""))</f>
        <v/>
      </c>
      <c r="AI806" s="29" t="str">
        <f>IF(AE806="","",IFERROR(INDEX($AR$11:$AR$4010,MATCH(796,$AZ$11:$AZ$4010,0)),""))</f>
        <v/>
      </c>
      <c r="AJ806" s="29" t="str">
        <f>IF(AE806="","",IFERROR(INDEX($AT$11:$AT$4010,MATCH(796,$AZ$11:$AZ$4010,0)),""))</f>
        <v/>
      </c>
      <c r="AL806" s="31"/>
      <c r="AM806" s="26"/>
      <c r="AN806" s="32"/>
      <c r="AO806" s="32"/>
      <c r="AP806" s="24"/>
      <c r="AQ806" s="24"/>
      <c r="AR806" s="33"/>
      <c r="AS806" s="34"/>
      <c r="AT806" s="33"/>
      <c r="AV806" s="21">
        <f>IF(AND($AL806&lt;&gt;"",COUNTIF($AL$11:$AL806,$AL806)=1),1,0)</f>
        <v>0</v>
      </c>
      <c r="AW806" s="21">
        <f t="shared" si="111"/>
        <v>2</v>
      </c>
      <c r="AX806" s="21" t="str">
        <f t="shared" si="110"/>
        <v/>
      </c>
      <c r="AY806" s="21" t="str">
        <f>IF(AND($AM806&lt;&gt;"",$AS806&lt;&gt;"✓"),SUMPRODUCT(($AM$11:$AM806&lt;&gt;"")*($AS$11:$AS806&lt;&gt;"✓")),"")</f>
        <v/>
      </c>
      <c r="AZ806" s="21" t="str">
        <f>IF(AND($AM806&lt;&gt;"",$AS806="✓"),SUMPRODUCT(($AM$11:$AM806&lt;&gt;"")*($AS$11:$AS806="✓")),"")</f>
        <v/>
      </c>
      <c r="BA806" s="21" t="str">
        <f>IF($AL806="","",$AL806&amp;"|"&amp;COUNTIF($AL$11:$AL806,$AL806))</f>
        <v/>
      </c>
    </row>
    <row r="807" spans="23:53" ht="15" customHeight="1" x14ac:dyDescent="0.25">
      <c r="W807" s="14" t="str">
        <f>IF(X807="","",IFERROR(INDEX($AL$11:$AL$4010,MATCH(797,$AY$11:$AY$4010,0)),""))</f>
        <v/>
      </c>
      <c r="X807" s="12" t="str">
        <f>IFERROR(INDEX($AM$11:$AM$4010,MATCH(797,$AY$11:$AY$4010,0)),"")</f>
        <v/>
      </c>
      <c r="Y807" s="11" t="str">
        <f>IF(X807="","",IFERROR(INDEX($AN$11:$AN$4010,MATCH(797,$AY$11:$AY$4010,0)),""))</f>
        <v/>
      </c>
      <c r="Z807" s="11" t="str">
        <f>IF(X807="","",IFERROR(INDEX($AO$11:$AO$4010,MATCH(797,$AY$11:$AY$4010,0)),""))</f>
        <v/>
      </c>
      <c r="AA807" s="10" t="str">
        <f>IF(X807="","",IFERROR(INDEX($AQ$11:$AQ$4010,MATCH(797,$AY$11:$AY$4010,0)),""))</f>
        <v/>
      </c>
      <c r="AB807" s="15" t="str">
        <f>IF(X807="","",IFERROR(INDEX($AR$11:$AR$4010,MATCH(797,$AY$11:$AY$4010,0)),""))</f>
        <v/>
      </c>
      <c r="AD807" s="16" t="str">
        <f>IF(AE807="","",IFERROR(INDEX($AL$11:$AL$4010,MATCH(797,$AZ$11:$AZ$4010,0)),""))</f>
        <v/>
      </c>
      <c r="AE807" s="12" t="str">
        <f>IFERROR(INDEX($AM$11:$AM$4010,MATCH(797,$AZ$11:$AZ$4010,0)),"")</f>
        <v/>
      </c>
      <c r="AF807" s="11" t="str">
        <f>IF(AE807="","",IFERROR(INDEX($AN$11:$AN$4010,MATCH(797,$AZ$11:$AZ$4010,0)),""))</f>
        <v/>
      </c>
      <c r="AG807" s="11" t="str">
        <f>IF(AE807="","",IFERROR(INDEX($AO$11:$AO$4010,MATCH(797,$AZ$11:$AZ$4010,0)),""))</f>
        <v/>
      </c>
      <c r="AH807" s="10" t="str">
        <f>IF(AE807="","",IFERROR(INDEX($AQ$11:$AQ$4010,MATCH(797,$AZ$11:$AZ$4010,0)),""))</f>
        <v/>
      </c>
      <c r="AI807" s="15" t="str">
        <f>IF(AE807="","",IFERROR(INDEX($AR$11:$AR$4010,MATCH(797,$AZ$11:$AZ$4010,0)),""))</f>
        <v/>
      </c>
      <c r="AJ807" s="15" t="str">
        <f>IF(AE807="","",IFERROR(INDEX($AT$11:$AT$4010,MATCH(797,$AZ$11:$AZ$4010,0)),""))</f>
        <v/>
      </c>
      <c r="AL807" s="17"/>
      <c r="AM807" s="12"/>
      <c r="AN807" s="18"/>
      <c r="AO807" s="18"/>
      <c r="AP807" s="10"/>
      <c r="AQ807" s="10"/>
      <c r="AR807" s="19"/>
      <c r="AS807" s="20"/>
      <c r="AT807" s="19"/>
      <c r="AV807" s="21">
        <f>IF(AND($AL807&lt;&gt;"",COUNTIF($AL$11:$AL807,$AL807)=1),1,0)</f>
        <v>0</v>
      </c>
      <c r="AW807" s="21">
        <f t="shared" si="111"/>
        <v>2</v>
      </c>
      <c r="AX807" s="21" t="str">
        <f t="shared" si="110"/>
        <v/>
      </c>
      <c r="AY807" s="21" t="str">
        <f>IF(AND($AM807&lt;&gt;"",$AS807&lt;&gt;"✓"),SUMPRODUCT(($AM$11:$AM807&lt;&gt;"")*($AS$11:$AS807&lt;&gt;"✓")),"")</f>
        <v/>
      </c>
      <c r="AZ807" s="21" t="str">
        <f>IF(AND($AM807&lt;&gt;"",$AS807="✓"),SUMPRODUCT(($AM$11:$AM807&lt;&gt;"")*($AS$11:$AS807="✓")),"")</f>
        <v/>
      </c>
      <c r="BA807" s="21" t="str">
        <f>IF($AL807="","",$AL807&amp;"|"&amp;COUNTIF($AL$11:$AL807,$AL807))</f>
        <v/>
      </c>
    </row>
    <row r="808" spans="23:53" ht="15" customHeight="1" x14ac:dyDescent="0.25">
      <c r="W808" s="28" t="str">
        <f>IF(X808="","",IFERROR(INDEX($AL$11:$AL$4010,MATCH(798,$AY$11:$AY$4010,0)),""))</f>
        <v/>
      </c>
      <c r="X808" s="26" t="str">
        <f>IFERROR(INDEX($AM$11:$AM$4010,MATCH(798,$AY$11:$AY$4010,0)),"")</f>
        <v/>
      </c>
      <c r="Y808" s="25" t="str">
        <f>IF(X808="","",IFERROR(INDEX($AN$11:$AN$4010,MATCH(798,$AY$11:$AY$4010,0)),""))</f>
        <v/>
      </c>
      <c r="Z808" s="25" t="str">
        <f>IF(X808="","",IFERROR(INDEX($AO$11:$AO$4010,MATCH(798,$AY$11:$AY$4010,0)),""))</f>
        <v/>
      </c>
      <c r="AA808" s="24" t="str">
        <f>IF(X808="","",IFERROR(INDEX($AQ$11:$AQ$4010,MATCH(798,$AY$11:$AY$4010,0)),""))</f>
        <v/>
      </c>
      <c r="AB808" s="29" t="str">
        <f>IF(X808="","",IFERROR(INDEX($AR$11:$AR$4010,MATCH(798,$AY$11:$AY$4010,0)),""))</f>
        <v/>
      </c>
      <c r="AD808" s="30" t="str">
        <f>IF(AE808="","",IFERROR(INDEX($AL$11:$AL$4010,MATCH(798,$AZ$11:$AZ$4010,0)),""))</f>
        <v/>
      </c>
      <c r="AE808" s="26" t="str">
        <f>IFERROR(INDEX($AM$11:$AM$4010,MATCH(798,$AZ$11:$AZ$4010,0)),"")</f>
        <v/>
      </c>
      <c r="AF808" s="25" t="str">
        <f>IF(AE808="","",IFERROR(INDEX($AN$11:$AN$4010,MATCH(798,$AZ$11:$AZ$4010,0)),""))</f>
        <v/>
      </c>
      <c r="AG808" s="25" t="str">
        <f>IF(AE808="","",IFERROR(INDEX($AO$11:$AO$4010,MATCH(798,$AZ$11:$AZ$4010,0)),""))</f>
        <v/>
      </c>
      <c r="AH808" s="24" t="str">
        <f>IF(AE808="","",IFERROR(INDEX($AQ$11:$AQ$4010,MATCH(798,$AZ$11:$AZ$4010,0)),""))</f>
        <v/>
      </c>
      <c r="AI808" s="29" t="str">
        <f>IF(AE808="","",IFERROR(INDEX($AR$11:$AR$4010,MATCH(798,$AZ$11:$AZ$4010,0)),""))</f>
        <v/>
      </c>
      <c r="AJ808" s="29" t="str">
        <f>IF(AE808="","",IFERROR(INDEX($AT$11:$AT$4010,MATCH(798,$AZ$11:$AZ$4010,0)),""))</f>
        <v/>
      </c>
      <c r="AL808" s="31"/>
      <c r="AM808" s="26"/>
      <c r="AN808" s="32"/>
      <c r="AO808" s="32"/>
      <c r="AP808" s="24"/>
      <c r="AQ808" s="24"/>
      <c r="AR808" s="33"/>
      <c r="AS808" s="34"/>
      <c r="AT808" s="33"/>
      <c r="AV808" s="21">
        <f>IF(AND($AL808&lt;&gt;"",COUNTIF($AL$11:$AL808,$AL808)=1),1,0)</f>
        <v>0</v>
      </c>
      <c r="AW808" s="21">
        <f t="shared" si="111"/>
        <v>2</v>
      </c>
      <c r="AX808" s="21" t="str">
        <f t="shared" si="110"/>
        <v/>
      </c>
      <c r="AY808" s="21" t="str">
        <f>IF(AND($AM808&lt;&gt;"",$AS808&lt;&gt;"✓"),SUMPRODUCT(($AM$11:$AM808&lt;&gt;"")*($AS$11:$AS808&lt;&gt;"✓")),"")</f>
        <v/>
      </c>
      <c r="AZ808" s="21" t="str">
        <f>IF(AND($AM808&lt;&gt;"",$AS808="✓"),SUMPRODUCT(($AM$11:$AM808&lt;&gt;"")*($AS$11:$AS808="✓")),"")</f>
        <v/>
      </c>
      <c r="BA808" s="21" t="str">
        <f>IF($AL808="","",$AL808&amp;"|"&amp;COUNTIF($AL$11:$AL808,$AL808))</f>
        <v/>
      </c>
    </row>
    <row r="809" spans="23:53" ht="15" customHeight="1" x14ac:dyDescent="0.25">
      <c r="W809" s="14" t="str">
        <f>IF(X809="","",IFERROR(INDEX($AL$11:$AL$4010,MATCH(799,$AY$11:$AY$4010,0)),""))</f>
        <v/>
      </c>
      <c r="X809" s="12" t="str">
        <f>IFERROR(INDEX($AM$11:$AM$4010,MATCH(799,$AY$11:$AY$4010,0)),"")</f>
        <v/>
      </c>
      <c r="Y809" s="11" t="str">
        <f>IF(X809="","",IFERROR(INDEX($AN$11:$AN$4010,MATCH(799,$AY$11:$AY$4010,0)),""))</f>
        <v/>
      </c>
      <c r="Z809" s="11" t="str">
        <f>IF(X809="","",IFERROR(INDEX($AO$11:$AO$4010,MATCH(799,$AY$11:$AY$4010,0)),""))</f>
        <v/>
      </c>
      <c r="AA809" s="10" t="str">
        <f>IF(X809="","",IFERROR(INDEX($AQ$11:$AQ$4010,MATCH(799,$AY$11:$AY$4010,0)),""))</f>
        <v/>
      </c>
      <c r="AB809" s="15" t="str">
        <f>IF(X809="","",IFERROR(INDEX($AR$11:$AR$4010,MATCH(799,$AY$11:$AY$4010,0)),""))</f>
        <v/>
      </c>
      <c r="AD809" s="16" t="str">
        <f>IF(AE809="","",IFERROR(INDEX($AL$11:$AL$4010,MATCH(799,$AZ$11:$AZ$4010,0)),""))</f>
        <v/>
      </c>
      <c r="AE809" s="12" t="str">
        <f>IFERROR(INDEX($AM$11:$AM$4010,MATCH(799,$AZ$11:$AZ$4010,0)),"")</f>
        <v/>
      </c>
      <c r="AF809" s="11" t="str">
        <f>IF(AE809="","",IFERROR(INDEX($AN$11:$AN$4010,MATCH(799,$AZ$11:$AZ$4010,0)),""))</f>
        <v/>
      </c>
      <c r="AG809" s="11" t="str">
        <f>IF(AE809="","",IFERROR(INDEX($AO$11:$AO$4010,MATCH(799,$AZ$11:$AZ$4010,0)),""))</f>
        <v/>
      </c>
      <c r="AH809" s="10" t="str">
        <f>IF(AE809="","",IFERROR(INDEX($AQ$11:$AQ$4010,MATCH(799,$AZ$11:$AZ$4010,0)),""))</f>
        <v/>
      </c>
      <c r="AI809" s="15" t="str">
        <f>IF(AE809="","",IFERROR(INDEX($AR$11:$AR$4010,MATCH(799,$AZ$11:$AZ$4010,0)),""))</f>
        <v/>
      </c>
      <c r="AJ809" s="15" t="str">
        <f>IF(AE809="","",IFERROR(INDEX($AT$11:$AT$4010,MATCH(799,$AZ$11:$AZ$4010,0)),""))</f>
        <v/>
      </c>
      <c r="AL809" s="17"/>
      <c r="AM809" s="12"/>
      <c r="AN809" s="18"/>
      <c r="AO809" s="18"/>
      <c r="AP809" s="10"/>
      <c r="AQ809" s="10"/>
      <c r="AR809" s="19"/>
      <c r="AS809" s="20"/>
      <c r="AT809" s="19"/>
      <c r="AV809" s="21">
        <f>IF(AND($AL809&lt;&gt;"",COUNTIF($AL$11:$AL809,$AL809)=1),1,0)</f>
        <v>0</v>
      </c>
      <c r="AW809" s="21">
        <f t="shared" si="111"/>
        <v>2</v>
      </c>
      <c r="AX809" s="21" t="str">
        <f t="shared" si="110"/>
        <v/>
      </c>
      <c r="AY809" s="21" t="str">
        <f>IF(AND($AM809&lt;&gt;"",$AS809&lt;&gt;"✓"),SUMPRODUCT(($AM$11:$AM809&lt;&gt;"")*($AS$11:$AS809&lt;&gt;"✓")),"")</f>
        <v/>
      </c>
      <c r="AZ809" s="21" t="str">
        <f>IF(AND($AM809&lt;&gt;"",$AS809="✓"),SUMPRODUCT(($AM$11:$AM809&lt;&gt;"")*($AS$11:$AS809="✓")),"")</f>
        <v/>
      </c>
      <c r="BA809" s="21" t="str">
        <f>IF($AL809="","",$AL809&amp;"|"&amp;COUNTIF($AL$11:$AL809,$AL809))</f>
        <v/>
      </c>
    </row>
    <row r="810" spans="23:53" ht="15" customHeight="1" x14ac:dyDescent="0.25">
      <c r="W810" s="28" t="str">
        <f>IF(X810="","",IFERROR(INDEX($AL$11:$AL$4010,MATCH(800,$AY$11:$AY$4010,0)),""))</f>
        <v/>
      </c>
      <c r="X810" s="26" t="str">
        <f>IFERROR(INDEX($AM$11:$AM$4010,MATCH(800,$AY$11:$AY$4010,0)),"")</f>
        <v/>
      </c>
      <c r="Y810" s="25" t="str">
        <f>IF(X810="","",IFERROR(INDEX($AN$11:$AN$4010,MATCH(800,$AY$11:$AY$4010,0)),""))</f>
        <v/>
      </c>
      <c r="Z810" s="25" t="str">
        <f>IF(X810="","",IFERROR(INDEX($AO$11:$AO$4010,MATCH(800,$AY$11:$AY$4010,0)),""))</f>
        <v/>
      </c>
      <c r="AA810" s="24" t="str">
        <f>IF(X810="","",IFERROR(INDEX($AQ$11:$AQ$4010,MATCH(800,$AY$11:$AY$4010,0)),""))</f>
        <v/>
      </c>
      <c r="AB810" s="29" t="str">
        <f>IF(X810="","",IFERROR(INDEX($AR$11:$AR$4010,MATCH(800,$AY$11:$AY$4010,0)),""))</f>
        <v/>
      </c>
      <c r="AD810" s="30" t="str">
        <f>IF(AE810="","",IFERROR(INDEX($AL$11:$AL$4010,MATCH(800,$AZ$11:$AZ$4010,0)),""))</f>
        <v/>
      </c>
      <c r="AE810" s="26" t="str">
        <f>IFERROR(INDEX($AM$11:$AM$4010,MATCH(800,$AZ$11:$AZ$4010,0)),"")</f>
        <v/>
      </c>
      <c r="AF810" s="25" t="str">
        <f>IF(AE810="","",IFERROR(INDEX($AN$11:$AN$4010,MATCH(800,$AZ$11:$AZ$4010,0)),""))</f>
        <v/>
      </c>
      <c r="AG810" s="25" t="str">
        <f>IF(AE810="","",IFERROR(INDEX($AO$11:$AO$4010,MATCH(800,$AZ$11:$AZ$4010,0)),""))</f>
        <v/>
      </c>
      <c r="AH810" s="24" t="str">
        <f>IF(AE810="","",IFERROR(INDEX($AQ$11:$AQ$4010,MATCH(800,$AZ$11:$AZ$4010,0)),""))</f>
        <v/>
      </c>
      <c r="AI810" s="29" t="str">
        <f>IF(AE810="","",IFERROR(INDEX($AR$11:$AR$4010,MATCH(800,$AZ$11:$AZ$4010,0)),""))</f>
        <v/>
      </c>
      <c r="AJ810" s="29" t="str">
        <f>IF(AE810="","",IFERROR(INDEX($AT$11:$AT$4010,MATCH(800,$AZ$11:$AZ$4010,0)),""))</f>
        <v/>
      </c>
      <c r="AL810" s="31"/>
      <c r="AM810" s="26"/>
      <c r="AN810" s="32"/>
      <c r="AO810" s="32"/>
      <c r="AP810" s="24"/>
      <c r="AQ810" s="24"/>
      <c r="AR810" s="33"/>
      <c r="AS810" s="34"/>
      <c r="AT810" s="33"/>
      <c r="AV810" s="21">
        <f>IF(AND($AL810&lt;&gt;"",COUNTIF($AL$11:$AL810,$AL810)=1),1,0)</f>
        <v>0</v>
      </c>
      <c r="AW810" s="21">
        <f t="shared" si="111"/>
        <v>2</v>
      </c>
      <c r="AX810" s="21" t="str">
        <f t="shared" si="110"/>
        <v/>
      </c>
      <c r="AY810" s="21" t="str">
        <f>IF(AND($AM810&lt;&gt;"",$AS810&lt;&gt;"✓"),SUMPRODUCT(($AM$11:$AM810&lt;&gt;"")*($AS$11:$AS810&lt;&gt;"✓")),"")</f>
        <v/>
      </c>
      <c r="AZ810" s="21" t="str">
        <f>IF(AND($AM810&lt;&gt;"",$AS810="✓"),SUMPRODUCT(($AM$11:$AM810&lt;&gt;"")*($AS$11:$AS810="✓")),"")</f>
        <v/>
      </c>
      <c r="BA810" s="21" t="str">
        <f>IF($AL810="","",$AL810&amp;"|"&amp;COUNTIF($AL$11:$AL810,$AL810))</f>
        <v/>
      </c>
    </row>
    <row r="811" spans="23:53" ht="15" customHeight="1" x14ac:dyDescent="0.25">
      <c r="W811" s="14" t="str">
        <f>IF(X811="","",IFERROR(INDEX($AL$11:$AL$4010,MATCH(801,$AY$11:$AY$4010,0)),""))</f>
        <v/>
      </c>
      <c r="X811" s="12" t="str">
        <f>IFERROR(INDEX($AM$11:$AM$4010,MATCH(801,$AY$11:$AY$4010,0)),"")</f>
        <v/>
      </c>
      <c r="Y811" s="11" t="str">
        <f>IF(X811="","",IFERROR(INDEX($AN$11:$AN$4010,MATCH(801,$AY$11:$AY$4010,0)),""))</f>
        <v/>
      </c>
      <c r="Z811" s="11" t="str">
        <f>IF(X811="","",IFERROR(INDEX($AO$11:$AO$4010,MATCH(801,$AY$11:$AY$4010,0)),""))</f>
        <v/>
      </c>
      <c r="AA811" s="10" t="str">
        <f>IF(X811="","",IFERROR(INDEX($AQ$11:$AQ$4010,MATCH(801,$AY$11:$AY$4010,0)),""))</f>
        <v/>
      </c>
      <c r="AB811" s="15" t="str">
        <f>IF(X811="","",IFERROR(INDEX($AR$11:$AR$4010,MATCH(801,$AY$11:$AY$4010,0)),""))</f>
        <v/>
      </c>
      <c r="AD811" s="16" t="str">
        <f>IF(AE811="","",IFERROR(INDEX($AL$11:$AL$4010,MATCH(801,$AZ$11:$AZ$4010,0)),""))</f>
        <v/>
      </c>
      <c r="AE811" s="12" t="str">
        <f>IFERROR(INDEX($AM$11:$AM$4010,MATCH(801,$AZ$11:$AZ$4010,0)),"")</f>
        <v/>
      </c>
      <c r="AF811" s="11" t="str">
        <f>IF(AE811="","",IFERROR(INDEX($AN$11:$AN$4010,MATCH(801,$AZ$11:$AZ$4010,0)),""))</f>
        <v/>
      </c>
      <c r="AG811" s="11" t="str">
        <f>IF(AE811="","",IFERROR(INDEX($AO$11:$AO$4010,MATCH(801,$AZ$11:$AZ$4010,0)),""))</f>
        <v/>
      </c>
      <c r="AH811" s="10" t="str">
        <f>IF(AE811="","",IFERROR(INDEX($AQ$11:$AQ$4010,MATCH(801,$AZ$11:$AZ$4010,0)),""))</f>
        <v/>
      </c>
      <c r="AI811" s="15" t="str">
        <f>IF(AE811="","",IFERROR(INDEX($AR$11:$AR$4010,MATCH(801,$AZ$11:$AZ$4010,0)),""))</f>
        <v/>
      </c>
      <c r="AJ811" s="15" t="str">
        <f>IF(AE811="","",IFERROR(INDEX($AT$11:$AT$4010,MATCH(801,$AZ$11:$AZ$4010,0)),""))</f>
        <v/>
      </c>
      <c r="AL811" s="17"/>
      <c r="AM811" s="12"/>
      <c r="AN811" s="18"/>
      <c r="AO811" s="18"/>
      <c r="AP811" s="10"/>
      <c r="AQ811" s="10"/>
      <c r="AR811" s="19"/>
      <c r="AS811" s="20"/>
      <c r="AT811" s="19"/>
      <c r="AV811" s="21">
        <f>IF(AND($AL811&lt;&gt;"",COUNTIF($AL$11:$AL811,$AL811)=1),1,0)</f>
        <v>0</v>
      </c>
      <c r="AW811" s="21">
        <f t="shared" si="111"/>
        <v>2</v>
      </c>
      <c r="AX811" s="21" t="str">
        <f t="shared" si="110"/>
        <v/>
      </c>
      <c r="AY811" s="21" t="str">
        <f>IF(AND($AM811&lt;&gt;"",$AS811&lt;&gt;"✓"),SUMPRODUCT(($AM$11:$AM811&lt;&gt;"")*($AS$11:$AS811&lt;&gt;"✓")),"")</f>
        <v/>
      </c>
      <c r="AZ811" s="21" t="str">
        <f>IF(AND($AM811&lt;&gt;"",$AS811="✓"),SUMPRODUCT(($AM$11:$AM811&lt;&gt;"")*($AS$11:$AS811="✓")),"")</f>
        <v/>
      </c>
      <c r="BA811" s="21" t="str">
        <f>IF($AL811="","",$AL811&amp;"|"&amp;COUNTIF($AL$11:$AL811,$AL811))</f>
        <v/>
      </c>
    </row>
    <row r="812" spans="23:53" ht="15" customHeight="1" x14ac:dyDescent="0.25">
      <c r="W812" s="28" t="str">
        <f>IF(X812="","",IFERROR(INDEX($AL$11:$AL$4010,MATCH(802,$AY$11:$AY$4010,0)),""))</f>
        <v/>
      </c>
      <c r="X812" s="26" t="str">
        <f>IFERROR(INDEX($AM$11:$AM$4010,MATCH(802,$AY$11:$AY$4010,0)),"")</f>
        <v/>
      </c>
      <c r="Y812" s="25" t="str">
        <f>IF(X812="","",IFERROR(INDEX($AN$11:$AN$4010,MATCH(802,$AY$11:$AY$4010,0)),""))</f>
        <v/>
      </c>
      <c r="Z812" s="25" t="str">
        <f>IF(X812="","",IFERROR(INDEX($AO$11:$AO$4010,MATCH(802,$AY$11:$AY$4010,0)),""))</f>
        <v/>
      </c>
      <c r="AA812" s="24" t="str">
        <f>IF(X812="","",IFERROR(INDEX($AQ$11:$AQ$4010,MATCH(802,$AY$11:$AY$4010,0)),""))</f>
        <v/>
      </c>
      <c r="AB812" s="29" t="str">
        <f>IF(X812="","",IFERROR(INDEX($AR$11:$AR$4010,MATCH(802,$AY$11:$AY$4010,0)),""))</f>
        <v/>
      </c>
      <c r="AD812" s="30" t="str">
        <f>IF(AE812="","",IFERROR(INDEX($AL$11:$AL$4010,MATCH(802,$AZ$11:$AZ$4010,0)),""))</f>
        <v/>
      </c>
      <c r="AE812" s="26" t="str">
        <f>IFERROR(INDEX($AM$11:$AM$4010,MATCH(802,$AZ$11:$AZ$4010,0)),"")</f>
        <v/>
      </c>
      <c r="AF812" s="25" t="str">
        <f>IF(AE812="","",IFERROR(INDEX($AN$11:$AN$4010,MATCH(802,$AZ$11:$AZ$4010,0)),""))</f>
        <v/>
      </c>
      <c r="AG812" s="25" t="str">
        <f>IF(AE812="","",IFERROR(INDEX($AO$11:$AO$4010,MATCH(802,$AZ$11:$AZ$4010,0)),""))</f>
        <v/>
      </c>
      <c r="AH812" s="24" t="str">
        <f>IF(AE812="","",IFERROR(INDEX($AQ$11:$AQ$4010,MATCH(802,$AZ$11:$AZ$4010,0)),""))</f>
        <v/>
      </c>
      <c r="AI812" s="29" t="str">
        <f>IF(AE812="","",IFERROR(INDEX($AR$11:$AR$4010,MATCH(802,$AZ$11:$AZ$4010,0)),""))</f>
        <v/>
      </c>
      <c r="AJ812" s="29" t="str">
        <f>IF(AE812="","",IFERROR(INDEX($AT$11:$AT$4010,MATCH(802,$AZ$11:$AZ$4010,0)),""))</f>
        <v/>
      </c>
      <c r="AL812" s="31"/>
      <c r="AM812" s="26"/>
      <c r="AN812" s="32"/>
      <c r="AO812" s="32"/>
      <c r="AP812" s="24"/>
      <c r="AQ812" s="24"/>
      <c r="AR812" s="33"/>
      <c r="AS812" s="34"/>
      <c r="AT812" s="33"/>
      <c r="AV812" s="21">
        <f>IF(AND($AL812&lt;&gt;"",COUNTIF($AL$11:$AL812,$AL812)=1),1,0)</f>
        <v>0</v>
      </c>
      <c r="AW812" s="21">
        <f t="shared" si="111"/>
        <v>2</v>
      </c>
      <c r="AX812" s="21" t="str">
        <f t="shared" si="110"/>
        <v/>
      </c>
      <c r="AY812" s="21" t="str">
        <f>IF(AND($AM812&lt;&gt;"",$AS812&lt;&gt;"✓"),SUMPRODUCT(($AM$11:$AM812&lt;&gt;"")*($AS$11:$AS812&lt;&gt;"✓")),"")</f>
        <v/>
      </c>
      <c r="AZ812" s="21" t="str">
        <f>IF(AND($AM812&lt;&gt;"",$AS812="✓"),SUMPRODUCT(($AM$11:$AM812&lt;&gt;"")*($AS$11:$AS812="✓")),"")</f>
        <v/>
      </c>
      <c r="BA812" s="21" t="str">
        <f>IF($AL812="","",$AL812&amp;"|"&amp;COUNTIF($AL$11:$AL812,$AL812))</f>
        <v/>
      </c>
    </row>
    <row r="813" spans="23:53" ht="15" customHeight="1" x14ac:dyDescent="0.25">
      <c r="W813" s="14" t="str">
        <f>IF(X813="","",IFERROR(INDEX($AL$11:$AL$4010,MATCH(803,$AY$11:$AY$4010,0)),""))</f>
        <v/>
      </c>
      <c r="X813" s="12" t="str">
        <f>IFERROR(INDEX($AM$11:$AM$4010,MATCH(803,$AY$11:$AY$4010,0)),"")</f>
        <v/>
      </c>
      <c r="Y813" s="11" t="str">
        <f>IF(X813="","",IFERROR(INDEX($AN$11:$AN$4010,MATCH(803,$AY$11:$AY$4010,0)),""))</f>
        <v/>
      </c>
      <c r="Z813" s="11" t="str">
        <f>IF(X813="","",IFERROR(INDEX($AO$11:$AO$4010,MATCH(803,$AY$11:$AY$4010,0)),""))</f>
        <v/>
      </c>
      <c r="AA813" s="10" t="str">
        <f>IF(X813="","",IFERROR(INDEX($AQ$11:$AQ$4010,MATCH(803,$AY$11:$AY$4010,0)),""))</f>
        <v/>
      </c>
      <c r="AB813" s="15" t="str">
        <f>IF(X813="","",IFERROR(INDEX($AR$11:$AR$4010,MATCH(803,$AY$11:$AY$4010,0)),""))</f>
        <v/>
      </c>
      <c r="AD813" s="16" t="str">
        <f>IF(AE813="","",IFERROR(INDEX($AL$11:$AL$4010,MATCH(803,$AZ$11:$AZ$4010,0)),""))</f>
        <v/>
      </c>
      <c r="AE813" s="12" t="str">
        <f>IFERROR(INDEX($AM$11:$AM$4010,MATCH(803,$AZ$11:$AZ$4010,0)),"")</f>
        <v/>
      </c>
      <c r="AF813" s="11" t="str">
        <f>IF(AE813="","",IFERROR(INDEX($AN$11:$AN$4010,MATCH(803,$AZ$11:$AZ$4010,0)),""))</f>
        <v/>
      </c>
      <c r="AG813" s="11" t="str">
        <f>IF(AE813="","",IFERROR(INDEX($AO$11:$AO$4010,MATCH(803,$AZ$11:$AZ$4010,0)),""))</f>
        <v/>
      </c>
      <c r="AH813" s="10" t="str">
        <f>IF(AE813="","",IFERROR(INDEX($AQ$11:$AQ$4010,MATCH(803,$AZ$11:$AZ$4010,0)),""))</f>
        <v/>
      </c>
      <c r="AI813" s="15" t="str">
        <f>IF(AE813="","",IFERROR(INDEX($AR$11:$AR$4010,MATCH(803,$AZ$11:$AZ$4010,0)),""))</f>
        <v/>
      </c>
      <c r="AJ813" s="15" t="str">
        <f>IF(AE813="","",IFERROR(INDEX($AT$11:$AT$4010,MATCH(803,$AZ$11:$AZ$4010,0)),""))</f>
        <v/>
      </c>
      <c r="AL813" s="17"/>
      <c r="AM813" s="12"/>
      <c r="AN813" s="18"/>
      <c r="AO813" s="18"/>
      <c r="AP813" s="10"/>
      <c r="AQ813" s="10"/>
      <c r="AR813" s="19"/>
      <c r="AS813" s="20"/>
      <c r="AT813" s="19"/>
      <c r="AV813" s="21">
        <f>IF(AND($AL813&lt;&gt;"",COUNTIF($AL$11:$AL813,$AL813)=1),1,0)</f>
        <v>0</v>
      </c>
      <c r="AW813" s="21">
        <f t="shared" si="111"/>
        <v>2</v>
      </c>
      <c r="AX813" s="21" t="str">
        <f t="shared" si="110"/>
        <v/>
      </c>
      <c r="AY813" s="21" t="str">
        <f>IF(AND($AM813&lt;&gt;"",$AS813&lt;&gt;"✓"),SUMPRODUCT(($AM$11:$AM813&lt;&gt;"")*($AS$11:$AS813&lt;&gt;"✓")),"")</f>
        <v/>
      </c>
      <c r="AZ813" s="21" t="str">
        <f>IF(AND($AM813&lt;&gt;"",$AS813="✓"),SUMPRODUCT(($AM$11:$AM813&lt;&gt;"")*($AS$11:$AS813="✓")),"")</f>
        <v/>
      </c>
      <c r="BA813" s="21" t="str">
        <f>IF($AL813="","",$AL813&amp;"|"&amp;COUNTIF($AL$11:$AL813,$AL813))</f>
        <v/>
      </c>
    </row>
    <row r="814" spans="23:53" ht="15" customHeight="1" x14ac:dyDescent="0.25">
      <c r="W814" s="28" t="str">
        <f>IF(X814="","",IFERROR(INDEX($AL$11:$AL$4010,MATCH(804,$AY$11:$AY$4010,0)),""))</f>
        <v/>
      </c>
      <c r="X814" s="26" t="str">
        <f>IFERROR(INDEX($AM$11:$AM$4010,MATCH(804,$AY$11:$AY$4010,0)),"")</f>
        <v/>
      </c>
      <c r="Y814" s="25" t="str">
        <f>IF(X814="","",IFERROR(INDEX($AN$11:$AN$4010,MATCH(804,$AY$11:$AY$4010,0)),""))</f>
        <v/>
      </c>
      <c r="Z814" s="25" t="str">
        <f>IF(X814="","",IFERROR(INDEX($AO$11:$AO$4010,MATCH(804,$AY$11:$AY$4010,0)),""))</f>
        <v/>
      </c>
      <c r="AA814" s="24" t="str">
        <f>IF(X814="","",IFERROR(INDEX($AQ$11:$AQ$4010,MATCH(804,$AY$11:$AY$4010,0)),""))</f>
        <v/>
      </c>
      <c r="AB814" s="29" t="str">
        <f>IF(X814="","",IFERROR(INDEX($AR$11:$AR$4010,MATCH(804,$AY$11:$AY$4010,0)),""))</f>
        <v/>
      </c>
      <c r="AD814" s="30" t="str">
        <f>IF(AE814="","",IFERROR(INDEX($AL$11:$AL$4010,MATCH(804,$AZ$11:$AZ$4010,0)),""))</f>
        <v/>
      </c>
      <c r="AE814" s="26" t="str">
        <f>IFERROR(INDEX($AM$11:$AM$4010,MATCH(804,$AZ$11:$AZ$4010,0)),"")</f>
        <v/>
      </c>
      <c r="AF814" s="25" t="str">
        <f>IF(AE814="","",IFERROR(INDEX($AN$11:$AN$4010,MATCH(804,$AZ$11:$AZ$4010,0)),""))</f>
        <v/>
      </c>
      <c r="AG814" s="25" t="str">
        <f>IF(AE814="","",IFERROR(INDEX($AO$11:$AO$4010,MATCH(804,$AZ$11:$AZ$4010,0)),""))</f>
        <v/>
      </c>
      <c r="AH814" s="24" t="str">
        <f>IF(AE814="","",IFERROR(INDEX($AQ$11:$AQ$4010,MATCH(804,$AZ$11:$AZ$4010,0)),""))</f>
        <v/>
      </c>
      <c r="AI814" s="29" t="str">
        <f>IF(AE814="","",IFERROR(INDEX($AR$11:$AR$4010,MATCH(804,$AZ$11:$AZ$4010,0)),""))</f>
        <v/>
      </c>
      <c r="AJ814" s="29" t="str">
        <f>IF(AE814="","",IFERROR(INDEX($AT$11:$AT$4010,MATCH(804,$AZ$11:$AZ$4010,0)),""))</f>
        <v/>
      </c>
      <c r="AL814" s="31"/>
      <c r="AM814" s="26"/>
      <c r="AN814" s="32"/>
      <c r="AO814" s="32"/>
      <c r="AP814" s="24"/>
      <c r="AQ814" s="24"/>
      <c r="AR814" s="33"/>
      <c r="AS814" s="34"/>
      <c r="AT814" s="33"/>
      <c r="AV814" s="21">
        <f>IF(AND($AL814&lt;&gt;"",COUNTIF($AL$11:$AL814,$AL814)=1),1,0)</f>
        <v>0</v>
      </c>
      <c r="AW814" s="21">
        <f t="shared" si="111"/>
        <v>2</v>
      </c>
      <c r="AX814" s="21" t="str">
        <f t="shared" si="110"/>
        <v/>
      </c>
      <c r="AY814" s="21" t="str">
        <f>IF(AND($AM814&lt;&gt;"",$AS814&lt;&gt;"✓"),SUMPRODUCT(($AM$11:$AM814&lt;&gt;"")*($AS$11:$AS814&lt;&gt;"✓")),"")</f>
        <v/>
      </c>
      <c r="AZ814" s="21" t="str">
        <f>IF(AND($AM814&lt;&gt;"",$AS814="✓"),SUMPRODUCT(($AM$11:$AM814&lt;&gt;"")*($AS$11:$AS814="✓")),"")</f>
        <v/>
      </c>
      <c r="BA814" s="21" t="str">
        <f>IF($AL814="","",$AL814&amp;"|"&amp;COUNTIF($AL$11:$AL814,$AL814))</f>
        <v/>
      </c>
    </row>
    <row r="815" spans="23:53" ht="15" customHeight="1" x14ac:dyDescent="0.25">
      <c r="W815" s="14" t="str">
        <f>IF(X815="","",IFERROR(INDEX($AL$11:$AL$4010,MATCH(805,$AY$11:$AY$4010,0)),""))</f>
        <v/>
      </c>
      <c r="X815" s="12" t="str">
        <f>IFERROR(INDEX($AM$11:$AM$4010,MATCH(805,$AY$11:$AY$4010,0)),"")</f>
        <v/>
      </c>
      <c r="Y815" s="11" t="str">
        <f>IF(X815="","",IFERROR(INDEX($AN$11:$AN$4010,MATCH(805,$AY$11:$AY$4010,0)),""))</f>
        <v/>
      </c>
      <c r="Z815" s="11" t="str">
        <f>IF(X815="","",IFERROR(INDEX($AO$11:$AO$4010,MATCH(805,$AY$11:$AY$4010,0)),""))</f>
        <v/>
      </c>
      <c r="AA815" s="10" t="str">
        <f>IF(X815="","",IFERROR(INDEX($AQ$11:$AQ$4010,MATCH(805,$AY$11:$AY$4010,0)),""))</f>
        <v/>
      </c>
      <c r="AB815" s="15" t="str">
        <f>IF(X815="","",IFERROR(INDEX($AR$11:$AR$4010,MATCH(805,$AY$11:$AY$4010,0)),""))</f>
        <v/>
      </c>
      <c r="AD815" s="16" t="str">
        <f>IF(AE815="","",IFERROR(INDEX($AL$11:$AL$4010,MATCH(805,$AZ$11:$AZ$4010,0)),""))</f>
        <v/>
      </c>
      <c r="AE815" s="12" t="str">
        <f>IFERROR(INDEX($AM$11:$AM$4010,MATCH(805,$AZ$11:$AZ$4010,0)),"")</f>
        <v/>
      </c>
      <c r="AF815" s="11" t="str">
        <f>IF(AE815="","",IFERROR(INDEX($AN$11:$AN$4010,MATCH(805,$AZ$11:$AZ$4010,0)),""))</f>
        <v/>
      </c>
      <c r="AG815" s="11" t="str">
        <f>IF(AE815="","",IFERROR(INDEX($AO$11:$AO$4010,MATCH(805,$AZ$11:$AZ$4010,0)),""))</f>
        <v/>
      </c>
      <c r="AH815" s="10" t="str">
        <f>IF(AE815="","",IFERROR(INDEX($AQ$11:$AQ$4010,MATCH(805,$AZ$11:$AZ$4010,0)),""))</f>
        <v/>
      </c>
      <c r="AI815" s="15" t="str">
        <f>IF(AE815="","",IFERROR(INDEX($AR$11:$AR$4010,MATCH(805,$AZ$11:$AZ$4010,0)),""))</f>
        <v/>
      </c>
      <c r="AJ815" s="15" t="str">
        <f>IF(AE815="","",IFERROR(INDEX($AT$11:$AT$4010,MATCH(805,$AZ$11:$AZ$4010,0)),""))</f>
        <v/>
      </c>
      <c r="AL815" s="17"/>
      <c r="AM815" s="12"/>
      <c r="AN815" s="18"/>
      <c r="AO815" s="18"/>
      <c r="AP815" s="10"/>
      <c r="AQ815" s="10"/>
      <c r="AR815" s="19"/>
      <c r="AS815" s="20"/>
      <c r="AT815" s="19"/>
      <c r="AV815" s="21">
        <f>IF(AND($AL815&lt;&gt;"",COUNTIF($AL$11:$AL815,$AL815)=1),1,0)</f>
        <v>0</v>
      </c>
      <c r="AW815" s="21">
        <f t="shared" si="111"/>
        <v>2</v>
      </c>
      <c r="AX815" s="21" t="str">
        <f t="shared" si="110"/>
        <v/>
      </c>
      <c r="AY815" s="21" t="str">
        <f>IF(AND($AM815&lt;&gt;"",$AS815&lt;&gt;"✓"),SUMPRODUCT(($AM$11:$AM815&lt;&gt;"")*($AS$11:$AS815&lt;&gt;"✓")),"")</f>
        <v/>
      </c>
      <c r="AZ815" s="21" t="str">
        <f>IF(AND($AM815&lt;&gt;"",$AS815="✓"),SUMPRODUCT(($AM$11:$AM815&lt;&gt;"")*($AS$11:$AS815="✓")),"")</f>
        <v/>
      </c>
      <c r="BA815" s="21" t="str">
        <f>IF($AL815="","",$AL815&amp;"|"&amp;COUNTIF($AL$11:$AL815,$AL815))</f>
        <v/>
      </c>
    </row>
    <row r="816" spans="23:53" ht="15" customHeight="1" x14ac:dyDescent="0.25">
      <c r="W816" s="28" t="str">
        <f>IF(X816="","",IFERROR(INDEX($AL$11:$AL$4010,MATCH(806,$AY$11:$AY$4010,0)),""))</f>
        <v/>
      </c>
      <c r="X816" s="26" t="str">
        <f>IFERROR(INDEX($AM$11:$AM$4010,MATCH(806,$AY$11:$AY$4010,0)),"")</f>
        <v/>
      </c>
      <c r="Y816" s="25" t="str">
        <f>IF(X816="","",IFERROR(INDEX($AN$11:$AN$4010,MATCH(806,$AY$11:$AY$4010,0)),""))</f>
        <v/>
      </c>
      <c r="Z816" s="25" t="str">
        <f>IF(X816="","",IFERROR(INDEX($AO$11:$AO$4010,MATCH(806,$AY$11:$AY$4010,0)),""))</f>
        <v/>
      </c>
      <c r="AA816" s="24" t="str">
        <f>IF(X816="","",IFERROR(INDEX($AQ$11:$AQ$4010,MATCH(806,$AY$11:$AY$4010,0)),""))</f>
        <v/>
      </c>
      <c r="AB816" s="29" t="str">
        <f>IF(X816="","",IFERROR(INDEX($AR$11:$AR$4010,MATCH(806,$AY$11:$AY$4010,0)),""))</f>
        <v/>
      </c>
      <c r="AD816" s="30" t="str">
        <f>IF(AE816="","",IFERROR(INDEX($AL$11:$AL$4010,MATCH(806,$AZ$11:$AZ$4010,0)),""))</f>
        <v/>
      </c>
      <c r="AE816" s="26" t="str">
        <f>IFERROR(INDEX($AM$11:$AM$4010,MATCH(806,$AZ$11:$AZ$4010,0)),"")</f>
        <v/>
      </c>
      <c r="AF816" s="25" t="str">
        <f>IF(AE816="","",IFERROR(INDEX($AN$11:$AN$4010,MATCH(806,$AZ$11:$AZ$4010,0)),""))</f>
        <v/>
      </c>
      <c r="AG816" s="25" t="str">
        <f>IF(AE816="","",IFERROR(INDEX($AO$11:$AO$4010,MATCH(806,$AZ$11:$AZ$4010,0)),""))</f>
        <v/>
      </c>
      <c r="AH816" s="24" t="str">
        <f>IF(AE816="","",IFERROR(INDEX($AQ$11:$AQ$4010,MATCH(806,$AZ$11:$AZ$4010,0)),""))</f>
        <v/>
      </c>
      <c r="AI816" s="29" t="str">
        <f>IF(AE816="","",IFERROR(INDEX($AR$11:$AR$4010,MATCH(806,$AZ$11:$AZ$4010,0)),""))</f>
        <v/>
      </c>
      <c r="AJ816" s="29" t="str">
        <f>IF(AE816="","",IFERROR(INDEX($AT$11:$AT$4010,MATCH(806,$AZ$11:$AZ$4010,0)),""))</f>
        <v/>
      </c>
      <c r="AL816" s="31"/>
      <c r="AM816" s="26"/>
      <c r="AN816" s="32"/>
      <c r="AO816" s="32"/>
      <c r="AP816" s="24"/>
      <c r="AQ816" s="24"/>
      <c r="AR816" s="33"/>
      <c r="AS816" s="34"/>
      <c r="AT816" s="33"/>
      <c r="AV816" s="21">
        <f>IF(AND($AL816&lt;&gt;"",COUNTIF($AL$11:$AL816,$AL816)=1),1,0)</f>
        <v>0</v>
      </c>
      <c r="AW816" s="21">
        <f t="shared" si="111"/>
        <v>2</v>
      </c>
      <c r="AX816" s="21" t="str">
        <f t="shared" si="110"/>
        <v/>
      </c>
      <c r="AY816" s="21" t="str">
        <f>IF(AND($AM816&lt;&gt;"",$AS816&lt;&gt;"✓"),SUMPRODUCT(($AM$11:$AM816&lt;&gt;"")*($AS$11:$AS816&lt;&gt;"✓")),"")</f>
        <v/>
      </c>
      <c r="AZ816" s="21" t="str">
        <f>IF(AND($AM816&lt;&gt;"",$AS816="✓"),SUMPRODUCT(($AM$11:$AM816&lt;&gt;"")*($AS$11:$AS816="✓")),"")</f>
        <v/>
      </c>
      <c r="BA816" s="21" t="str">
        <f>IF($AL816="","",$AL816&amp;"|"&amp;COUNTIF($AL$11:$AL816,$AL816))</f>
        <v/>
      </c>
    </row>
    <row r="817" spans="23:53" ht="15" customHeight="1" x14ac:dyDescent="0.25">
      <c r="W817" s="14" t="str">
        <f>IF(X817="","",IFERROR(INDEX($AL$11:$AL$4010,MATCH(807,$AY$11:$AY$4010,0)),""))</f>
        <v/>
      </c>
      <c r="X817" s="12" t="str">
        <f>IFERROR(INDEX($AM$11:$AM$4010,MATCH(807,$AY$11:$AY$4010,0)),"")</f>
        <v/>
      </c>
      <c r="Y817" s="11" t="str">
        <f>IF(X817="","",IFERROR(INDEX($AN$11:$AN$4010,MATCH(807,$AY$11:$AY$4010,0)),""))</f>
        <v/>
      </c>
      <c r="Z817" s="11" t="str">
        <f>IF(X817="","",IFERROR(INDEX($AO$11:$AO$4010,MATCH(807,$AY$11:$AY$4010,0)),""))</f>
        <v/>
      </c>
      <c r="AA817" s="10" t="str">
        <f>IF(X817="","",IFERROR(INDEX($AQ$11:$AQ$4010,MATCH(807,$AY$11:$AY$4010,0)),""))</f>
        <v/>
      </c>
      <c r="AB817" s="15" t="str">
        <f>IF(X817="","",IFERROR(INDEX($AR$11:$AR$4010,MATCH(807,$AY$11:$AY$4010,0)),""))</f>
        <v/>
      </c>
      <c r="AD817" s="16" t="str">
        <f>IF(AE817="","",IFERROR(INDEX($AL$11:$AL$4010,MATCH(807,$AZ$11:$AZ$4010,0)),""))</f>
        <v/>
      </c>
      <c r="AE817" s="12" t="str">
        <f>IFERROR(INDEX($AM$11:$AM$4010,MATCH(807,$AZ$11:$AZ$4010,0)),"")</f>
        <v/>
      </c>
      <c r="AF817" s="11" t="str">
        <f>IF(AE817="","",IFERROR(INDEX($AN$11:$AN$4010,MATCH(807,$AZ$11:$AZ$4010,0)),""))</f>
        <v/>
      </c>
      <c r="AG817" s="11" t="str">
        <f>IF(AE817="","",IFERROR(INDEX($AO$11:$AO$4010,MATCH(807,$AZ$11:$AZ$4010,0)),""))</f>
        <v/>
      </c>
      <c r="AH817" s="10" t="str">
        <f>IF(AE817="","",IFERROR(INDEX($AQ$11:$AQ$4010,MATCH(807,$AZ$11:$AZ$4010,0)),""))</f>
        <v/>
      </c>
      <c r="AI817" s="15" t="str">
        <f>IF(AE817="","",IFERROR(INDEX($AR$11:$AR$4010,MATCH(807,$AZ$11:$AZ$4010,0)),""))</f>
        <v/>
      </c>
      <c r="AJ817" s="15" t="str">
        <f>IF(AE817="","",IFERROR(INDEX($AT$11:$AT$4010,MATCH(807,$AZ$11:$AZ$4010,0)),""))</f>
        <v/>
      </c>
      <c r="AL817" s="17"/>
      <c r="AM817" s="12"/>
      <c r="AN817" s="18"/>
      <c r="AO817" s="18"/>
      <c r="AP817" s="10"/>
      <c r="AQ817" s="10"/>
      <c r="AR817" s="19"/>
      <c r="AS817" s="20"/>
      <c r="AT817" s="19"/>
      <c r="AV817" s="21">
        <f>IF(AND($AL817&lt;&gt;"",COUNTIF($AL$11:$AL817,$AL817)=1),1,0)</f>
        <v>0</v>
      </c>
      <c r="AW817" s="21">
        <f t="shared" si="111"/>
        <v>2</v>
      </c>
      <c r="AX817" s="21" t="str">
        <f t="shared" si="110"/>
        <v/>
      </c>
      <c r="AY817" s="21" t="str">
        <f>IF(AND($AM817&lt;&gt;"",$AS817&lt;&gt;"✓"),SUMPRODUCT(($AM$11:$AM817&lt;&gt;"")*($AS$11:$AS817&lt;&gt;"✓")),"")</f>
        <v/>
      </c>
      <c r="AZ817" s="21" t="str">
        <f>IF(AND($AM817&lt;&gt;"",$AS817="✓"),SUMPRODUCT(($AM$11:$AM817&lt;&gt;"")*($AS$11:$AS817="✓")),"")</f>
        <v/>
      </c>
      <c r="BA817" s="21" t="str">
        <f>IF($AL817="","",$AL817&amp;"|"&amp;COUNTIF($AL$11:$AL817,$AL817))</f>
        <v/>
      </c>
    </row>
    <row r="818" spans="23:53" ht="15" customHeight="1" x14ac:dyDescent="0.25">
      <c r="W818" s="28" t="str">
        <f>IF(X818="","",IFERROR(INDEX($AL$11:$AL$4010,MATCH(808,$AY$11:$AY$4010,0)),""))</f>
        <v/>
      </c>
      <c r="X818" s="26" t="str">
        <f>IFERROR(INDEX($AM$11:$AM$4010,MATCH(808,$AY$11:$AY$4010,0)),"")</f>
        <v/>
      </c>
      <c r="Y818" s="25" t="str">
        <f>IF(X818="","",IFERROR(INDEX($AN$11:$AN$4010,MATCH(808,$AY$11:$AY$4010,0)),""))</f>
        <v/>
      </c>
      <c r="Z818" s="25" t="str">
        <f>IF(X818="","",IFERROR(INDEX($AO$11:$AO$4010,MATCH(808,$AY$11:$AY$4010,0)),""))</f>
        <v/>
      </c>
      <c r="AA818" s="24" t="str">
        <f>IF(X818="","",IFERROR(INDEX($AQ$11:$AQ$4010,MATCH(808,$AY$11:$AY$4010,0)),""))</f>
        <v/>
      </c>
      <c r="AB818" s="29" t="str">
        <f>IF(X818="","",IFERROR(INDEX($AR$11:$AR$4010,MATCH(808,$AY$11:$AY$4010,0)),""))</f>
        <v/>
      </c>
      <c r="AD818" s="30" t="str">
        <f>IF(AE818="","",IFERROR(INDEX($AL$11:$AL$4010,MATCH(808,$AZ$11:$AZ$4010,0)),""))</f>
        <v/>
      </c>
      <c r="AE818" s="26" t="str">
        <f>IFERROR(INDEX($AM$11:$AM$4010,MATCH(808,$AZ$11:$AZ$4010,0)),"")</f>
        <v/>
      </c>
      <c r="AF818" s="25" t="str">
        <f>IF(AE818="","",IFERROR(INDEX($AN$11:$AN$4010,MATCH(808,$AZ$11:$AZ$4010,0)),""))</f>
        <v/>
      </c>
      <c r="AG818" s="25" t="str">
        <f>IF(AE818="","",IFERROR(INDEX($AO$11:$AO$4010,MATCH(808,$AZ$11:$AZ$4010,0)),""))</f>
        <v/>
      </c>
      <c r="AH818" s="24" t="str">
        <f>IF(AE818="","",IFERROR(INDEX($AQ$11:$AQ$4010,MATCH(808,$AZ$11:$AZ$4010,0)),""))</f>
        <v/>
      </c>
      <c r="AI818" s="29" t="str">
        <f>IF(AE818="","",IFERROR(INDEX($AR$11:$AR$4010,MATCH(808,$AZ$11:$AZ$4010,0)),""))</f>
        <v/>
      </c>
      <c r="AJ818" s="29" t="str">
        <f>IF(AE818="","",IFERROR(INDEX($AT$11:$AT$4010,MATCH(808,$AZ$11:$AZ$4010,0)),""))</f>
        <v/>
      </c>
      <c r="AL818" s="31"/>
      <c r="AM818" s="26"/>
      <c r="AN818" s="32"/>
      <c r="AO818" s="32"/>
      <c r="AP818" s="24"/>
      <c r="AQ818" s="24"/>
      <c r="AR818" s="33"/>
      <c r="AS818" s="34"/>
      <c r="AT818" s="33"/>
      <c r="AV818" s="21">
        <f>IF(AND($AL818&lt;&gt;"",COUNTIF($AL$11:$AL818,$AL818)=1),1,0)</f>
        <v>0</v>
      </c>
      <c r="AW818" s="21">
        <f t="shared" si="111"/>
        <v>2</v>
      </c>
      <c r="AX818" s="21" t="str">
        <f t="shared" si="110"/>
        <v/>
      </c>
      <c r="AY818" s="21" t="str">
        <f>IF(AND($AM818&lt;&gt;"",$AS818&lt;&gt;"✓"),SUMPRODUCT(($AM$11:$AM818&lt;&gt;"")*($AS$11:$AS818&lt;&gt;"✓")),"")</f>
        <v/>
      </c>
      <c r="AZ818" s="21" t="str">
        <f>IF(AND($AM818&lt;&gt;"",$AS818="✓"),SUMPRODUCT(($AM$11:$AM818&lt;&gt;"")*($AS$11:$AS818="✓")),"")</f>
        <v/>
      </c>
      <c r="BA818" s="21" t="str">
        <f>IF($AL818="","",$AL818&amp;"|"&amp;COUNTIF($AL$11:$AL818,$AL818))</f>
        <v/>
      </c>
    </row>
    <row r="819" spans="23:53" ht="15" customHeight="1" x14ac:dyDescent="0.25">
      <c r="W819" s="14" t="str">
        <f>IF(X819="","",IFERROR(INDEX($AL$11:$AL$4010,MATCH(809,$AY$11:$AY$4010,0)),""))</f>
        <v/>
      </c>
      <c r="X819" s="12" t="str">
        <f>IFERROR(INDEX($AM$11:$AM$4010,MATCH(809,$AY$11:$AY$4010,0)),"")</f>
        <v/>
      </c>
      <c r="Y819" s="11" t="str">
        <f>IF(X819="","",IFERROR(INDEX($AN$11:$AN$4010,MATCH(809,$AY$11:$AY$4010,0)),""))</f>
        <v/>
      </c>
      <c r="Z819" s="11" t="str">
        <f>IF(X819="","",IFERROR(INDEX($AO$11:$AO$4010,MATCH(809,$AY$11:$AY$4010,0)),""))</f>
        <v/>
      </c>
      <c r="AA819" s="10" t="str">
        <f>IF(X819="","",IFERROR(INDEX($AQ$11:$AQ$4010,MATCH(809,$AY$11:$AY$4010,0)),""))</f>
        <v/>
      </c>
      <c r="AB819" s="15" t="str">
        <f>IF(X819="","",IFERROR(INDEX($AR$11:$AR$4010,MATCH(809,$AY$11:$AY$4010,0)),""))</f>
        <v/>
      </c>
      <c r="AD819" s="16" t="str">
        <f>IF(AE819="","",IFERROR(INDEX($AL$11:$AL$4010,MATCH(809,$AZ$11:$AZ$4010,0)),""))</f>
        <v/>
      </c>
      <c r="AE819" s="12" t="str">
        <f>IFERROR(INDEX($AM$11:$AM$4010,MATCH(809,$AZ$11:$AZ$4010,0)),"")</f>
        <v/>
      </c>
      <c r="AF819" s="11" t="str">
        <f>IF(AE819="","",IFERROR(INDEX($AN$11:$AN$4010,MATCH(809,$AZ$11:$AZ$4010,0)),""))</f>
        <v/>
      </c>
      <c r="AG819" s="11" t="str">
        <f>IF(AE819="","",IFERROR(INDEX($AO$11:$AO$4010,MATCH(809,$AZ$11:$AZ$4010,0)),""))</f>
        <v/>
      </c>
      <c r="AH819" s="10" t="str">
        <f>IF(AE819="","",IFERROR(INDEX($AQ$11:$AQ$4010,MATCH(809,$AZ$11:$AZ$4010,0)),""))</f>
        <v/>
      </c>
      <c r="AI819" s="15" t="str">
        <f>IF(AE819="","",IFERROR(INDEX($AR$11:$AR$4010,MATCH(809,$AZ$11:$AZ$4010,0)),""))</f>
        <v/>
      </c>
      <c r="AJ819" s="15" t="str">
        <f>IF(AE819="","",IFERROR(INDEX($AT$11:$AT$4010,MATCH(809,$AZ$11:$AZ$4010,0)),""))</f>
        <v/>
      </c>
      <c r="AL819" s="17"/>
      <c r="AM819" s="12"/>
      <c r="AN819" s="18"/>
      <c r="AO819" s="18"/>
      <c r="AP819" s="10"/>
      <c r="AQ819" s="10"/>
      <c r="AR819" s="19"/>
      <c r="AS819" s="20"/>
      <c r="AT819" s="19"/>
      <c r="AV819" s="21">
        <f>IF(AND($AL819&lt;&gt;"",COUNTIF($AL$11:$AL819,$AL819)=1),1,0)</f>
        <v>0</v>
      </c>
      <c r="AW819" s="21">
        <f t="shared" si="111"/>
        <v>2</v>
      </c>
      <c r="AX819" s="21" t="str">
        <f t="shared" si="110"/>
        <v/>
      </c>
      <c r="AY819" s="21" t="str">
        <f>IF(AND($AM819&lt;&gt;"",$AS819&lt;&gt;"✓"),SUMPRODUCT(($AM$11:$AM819&lt;&gt;"")*($AS$11:$AS819&lt;&gt;"✓")),"")</f>
        <v/>
      </c>
      <c r="AZ819" s="21" t="str">
        <f>IF(AND($AM819&lt;&gt;"",$AS819="✓"),SUMPRODUCT(($AM$11:$AM819&lt;&gt;"")*($AS$11:$AS819="✓")),"")</f>
        <v/>
      </c>
      <c r="BA819" s="21" t="str">
        <f>IF($AL819="","",$AL819&amp;"|"&amp;COUNTIF($AL$11:$AL819,$AL819))</f>
        <v/>
      </c>
    </row>
    <row r="820" spans="23:53" ht="15" customHeight="1" x14ac:dyDescent="0.25">
      <c r="W820" s="28" t="str">
        <f>IF(X820="","",IFERROR(INDEX($AL$11:$AL$4010,MATCH(810,$AY$11:$AY$4010,0)),""))</f>
        <v/>
      </c>
      <c r="X820" s="26" t="str">
        <f>IFERROR(INDEX($AM$11:$AM$4010,MATCH(810,$AY$11:$AY$4010,0)),"")</f>
        <v/>
      </c>
      <c r="Y820" s="25" t="str">
        <f>IF(X820="","",IFERROR(INDEX($AN$11:$AN$4010,MATCH(810,$AY$11:$AY$4010,0)),""))</f>
        <v/>
      </c>
      <c r="Z820" s="25" t="str">
        <f>IF(X820="","",IFERROR(INDEX($AO$11:$AO$4010,MATCH(810,$AY$11:$AY$4010,0)),""))</f>
        <v/>
      </c>
      <c r="AA820" s="24" t="str">
        <f>IF(X820="","",IFERROR(INDEX($AQ$11:$AQ$4010,MATCH(810,$AY$11:$AY$4010,0)),""))</f>
        <v/>
      </c>
      <c r="AB820" s="29" t="str">
        <f>IF(X820="","",IFERROR(INDEX($AR$11:$AR$4010,MATCH(810,$AY$11:$AY$4010,0)),""))</f>
        <v/>
      </c>
      <c r="AD820" s="30" t="str">
        <f>IF(AE820="","",IFERROR(INDEX($AL$11:$AL$4010,MATCH(810,$AZ$11:$AZ$4010,0)),""))</f>
        <v/>
      </c>
      <c r="AE820" s="26" t="str">
        <f>IFERROR(INDEX($AM$11:$AM$4010,MATCH(810,$AZ$11:$AZ$4010,0)),"")</f>
        <v/>
      </c>
      <c r="AF820" s="25" t="str">
        <f>IF(AE820="","",IFERROR(INDEX($AN$11:$AN$4010,MATCH(810,$AZ$11:$AZ$4010,0)),""))</f>
        <v/>
      </c>
      <c r="AG820" s="25" t="str">
        <f>IF(AE820="","",IFERROR(INDEX($AO$11:$AO$4010,MATCH(810,$AZ$11:$AZ$4010,0)),""))</f>
        <v/>
      </c>
      <c r="AH820" s="24" t="str">
        <f>IF(AE820="","",IFERROR(INDEX($AQ$11:$AQ$4010,MATCH(810,$AZ$11:$AZ$4010,0)),""))</f>
        <v/>
      </c>
      <c r="AI820" s="29" t="str">
        <f>IF(AE820="","",IFERROR(INDEX($AR$11:$AR$4010,MATCH(810,$AZ$11:$AZ$4010,0)),""))</f>
        <v/>
      </c>
      <c r="AJ820" s="29" t="str">
        <f>IF(AE820="","",IFERROR(INDEX($AT$11:$AT$4010,MATCH(810,$AZ$11:$AZ$4010,0)),""))</f>
        <v/>
      </c>
      <c r="AL820" s="31"/>
      <c r="AM820" s="26"/>
      <c r="AN820" s="32"/>
      <c r="AO820" s="32"/>
      <c r="AP820" s="24"/>
      <c r="AQ820" s="24"/>
      <c r="AR820" s="33"/>
      <c r="AS820" s="34"/>
      <c r="AT820" s="33"/>
      <c r="AV820" s="21">
        <f>IF(AND($AL820&lt;&gt;"",COUNTIF($AL$11:$AL820,$AL820)=1),1,0)</f>
        <v>0</v>
      </c>
      <c r="AW820" s="21">
        <f t="shared" si="111"/>
        <v>2</v>
      </c>
      <c r="AX820" s="21" t="str">
        <f t="shared" si="110"/>
        <v/>
      </c>
      <c r="AY820" s="21" t="str">
        <f>IF(AND($AM820&lt;&gt;"",$AS820&lt;&gt;"✓"),SUMPRODUCT(($AM$11:$AM820&lt;&gt;"")*($AS$11:$AS820&lt;&gt;"✓")),"")</f>
        <v/>
      </c>
      <c r="AZ820" s="21" t="str">
        <f>IF(AND($AM820&lt;&gt;"",$AS820="✓"),SUMPRODUCT(($AM$11:$AM820&lt;&gt;"")*($AS$11:$AS820="✓")),"")</f>
        <v/>
      </c>
      <c r="BA820" s="21" t="str">
        <f>IF($AL820="","",$AL820&amp;"|"&amp;COUNTIF($AL$11:$AL820,$AL820))</f>
        <v/>
      </c>
    </row>
    <row r="821" spans="23:53" ht="15" customHeight="1" x14ac:dyDescent="0.25">
      <c r="W821" s="14" t="str">
        <f>IF(X821="","",IFERROR(INDEX($AL$11:$AL$4010,MATCH(811,$AY$11:$AY$4010,0)),""))</f>
        <v/>
      </c>
      <c r="X821" s="12" t="str">
        <f>IFERROR(INDEX($AM$11:$AM$4010,MATCH(811,$AY$11:$AY$4010,0)),"")</f>
        <v/>
      </c>
      <c r="Y821" s="11" t="str">
        <f>IF(X821="","",IFERROR(INDEX($AN$11:$AN$4010,MATCH(811,$AY$11:$AY$4010,0)),""))</f>
        <v/>
      </c>
      <c r="Z821" s="11" t="str">
        <f>IF(X821="","",IFERROR(INDEX($AO$11:$AO$4010,MATCH(811,$AY$11:$AY$4010,0)),""))</f>
        <v/>
      </c>
      <c r="AA821" s="10" t="str">
        <f>IF(X821="","",IFERROR(INDEX($AQ$11:$AQ$4010,MATCH(811,$AY$11:$AY$4010,0)),""))</f>
        <v/>
      </c>
      <c r="AB821" s="15" t="str">
        <f>IF(X821="","",IFERROR(INDEX($AR$11:$AR$4010,MATCH(811,$AY$11:$AY$4010,0)),""))</f>
        <v/>
      </c>
      <c r="AD821" s="16" t="str">
        <f>IF(AE821="","",IFERROR(INDEX($AL$11:$AL$4010,MATCH(811,$AZ$11:$AZ$4010,0)),""))</f>
        <v/>
      </c>
      <c r="AE821" s="12" t="str">
        <f>IFERROR(INDEX($AM$11:$AM$4010,MATCH(811,$AZ$11:$AZ$4010,0)),"")</f>
        <v/>
      </c>
      <c r="AF821" s="11" t="str">
        <f>IF(AE821="","",IFERROR(INDEX($AN$11:$AN$4010,MATCH(811,$AZ$11:$AZ$4010,0)),""))</f>
        <v/>
      </c>
      <c r="AG821" s="11" t="str">
        <f>IF(AE821="","",IFERROR(INDEX($AO$11:$AO$4010,MATCH(811,$AZ$11:$AZ$4010,0)),""))</f>
        <v/>
      </c>
      <c r="AH821" s="10" t="str">
        <f>IF(AE821="","",IFERROR(INDEX($AQ$11:$AQ$4010,MATCH(811,$AZ$11:$AZ$4010,0)),""))</f>
        <v/>
      </c>
      <c r="AI821" s="15" t="str">
        <f>IF(AE821="","",IFERROR(INDEX($AR$11:$AR$4010,MATCH(811,$AZ$11:$AZ$4010,0)),""))</f>
        <v/>
      </c>
      <c r="AJ821" s="15" t="str">
        <f>IF(AE821="","",IFERROR(INDEX($AT$11:$AT$4010,MATCH(811,$AZ$11:$AZ$4010,0)),""))</f>
        <v/>
      </c>
      <c r="AL821" s="17"/>
      <c r="AM821" s="12"/>
      <c r="AN821" s="18"/>
      <c r="AO821" s="18"/>
      <c r="AP821" s="10"/>
      <c r="AQ821" s="10"/>
      <c r="AR821" s="19"/>
      <c r="AS821" s="20"/>
      <c r="AT821" s="19"/>
      <c r="AV821" s="21">
        <f>IF(AND($AL821&lt;&gt;"",COUNTIF($AL$11:$AL821,$AL821)=1),1,0)</f>
        <v>0</v>
      </c>
      <c r="AW821" s="21">
        <f t="shared" si="111"/>
        <v>2</v>
      </c>
      <c r="AX821" s="21" t="str">
        <f t="shared" si="110"/>
        <v/>
      </c>
      <c r="AY821" s="21" t="str">
        <f>IF(AND($AM821&lt;&gt;"",$AS821&lt;&gt;"✓"),SUMPRODUCT(($AM$11:$AM821&lt;&gt;"")*($AS$11:$AS821&lt;&gt;"✓")),"")</f>
        <v/>
      </c>
      <c r="AZ821" s="21" t="str">
        <f>IF(AND($AM821&lt;&gt;"",$AS821="✓"),SUMPRODUCT(($AM$11:$AM821&lt;&gt;"")*($AS$11:$AS821="✓")),"")</f>
        <v/>
      </c>
      <c r="BA821" s="21" t="str">
        <f>IF($AL821="","",$AL821&amp;"|"&amp;COUNTIF($AL$11:$AL821,$AL821))</f>
        <v/>
      </c>
    </row>
    <row r="822" spans="23:53" ht="15" customHeight="1" x14ac:dyDescent="0.25">
      <c r="W822" s="28" t="str">
        <f>IF(X822="","",IFERROR(INDEX($AL$11:$AL$4010,MATCH(812,$AY$11:$AY$4010,0)),""))</f>
        <v/>
      </c>
      <c r="X822" s="26" t="str">
        <f>IFERROR(INDEX($AM$11:$AM$4010,MATCH(812,$AY$11:$AY$4010,0)),"")</f>
        <v/>
      </c>
      <c r="Y822" s="25" t="str">
        <f>IF(X822="","",IFERROR(INDEX($AN$11:$AN$4010,MATCH(812,$AY$11:$AY$4010,0)),""))</f>
        <v/>
      </c>
      <c r="Z822" s="25" t="str">
        <f>IF(X822="","",IFERROR(INDEX($AO$11:$AO$4010,MATCH(812,$AY$11:$AY$4010,0)),""))</f>
        <v/>
      </c>
      <c r="AA822" s="24" t="str">
        <f>IF(X822="","",IFERROR(INDEX($AQ$11:$AQ$4010,MATCH(812,$AY$11:$AY$4010,0)),""))</f>
        <v/>
      </c>
      <c r="AB822" s="29" t="str">
        <f>IF(X822="","",IFERROR(INDEX($AR$11:$AR$4010,MATCH(812,$AY$11:$AY$4010,0)),""))</f>
        <v/>
      </c>
      <c r="AD822" s="30" t="str">
        <f>IF(AE822="","",IFERROR(INDEX($AL$11:$AL$4010,MATCH(812,$AZ$11:$AZ$4010,0)),""))</f>
        <v/>
      </c>
      <c r="AE822" s="26" t="str">
        <f>IFERROR(INDEX($AM$11:$AM$4010,MATCH(812,$AZ$11:$AZ$4010,0)),"")</f>
        <v/>
      </c>
      <c r="AF822" s="25" t="str">
        <f>IF(AE822="","",IFERROR(INDEX($AN$11:$AN$4010,MATCH(812,$AZ$11:$AZ$4010,0)),""))</f>
        <v/>
      </c>
      <c r="AG822" s="25" t="str">
        <f>IF(AE822="","",IFERROR(INDEX($AO$11:$AO$4010,MATCH(812,$AZ$11:$AZ$4010,0)),""))</f>
        <v/>
      </c>
      <c r="AH822" s="24" t="str">
        <f>IF(AE822="","",IFERROR(INDEX($AQ$11:$AQ$4010,MATCH(812,$AZ$11:$AZ$4010,0)),""))</f>
        <v/>
      </c>
      <c r="AI822" s="29" t="str">
        <f>IF(AE822="","",IFERROR(INDEX($AR$11:$AR$4010,MATCH(812,$AZ$11:$AZ$4010,0)),""))</f>
        <v/>
      </c>
      <c r="AJ822" s="29" t="str">
        <f>IF(AE822="","",IFERROR(INDEX($AT$11:$AT$4010,MATCH(812,$AZ$11:$AZ$4010,0)),""))</f>
        <v/>
      </c>
      <c r="AL822" s="31"/>
      <c r="AM822" s="26"/>
      <c r="AN822" s="32"/>
      <c r="AO822" s="32"/>
      <c r="AP822" s="24"/>
      <c r="AQ822" s="24"/>
      <c r="AR822" s="33"/>
      <c r="AS822" s="34"/>
      <c r="AT822" s="33"/>
      <c r="AV822" s="21">
        <f>IF(AND($AL822&lt;&gt;"",COUNTIF($AL$11:$AL822,$AL822)=1),1,0)</f>
        <v>0</v>
      </c>
      <c r="AW822" s="21">
        <f t="shared" si="111"/>
        <v>2</v>
      </c>
      <c r="AX822" s="21" t="str">
        <f t="shared" si="110"/>
        <v/>
      </c>
      <c r="AY822" s="21" t="str">
        <f>IF(AND($AM822&lt;&gt;"",$AS822&lt;&gt;"✓"),SUMPRODUCT(($AM$11:$AM822&lt;&gt;"")*($AS$11:$AS822&lt;&gt;"✓")),"")</f>
        <v/>
      </c>
      <c r="AZ822" s="21" t="str">
        <f>IF(AND($AM822&lt;&gt;"",$AS822="✓"),SUMPRODUCT(($AM$11:$AM822&lt;&gt;"")*($AS$11:$AS822="✓")),"")</f>
        <v/>
      </c>
      <c r="BA822" s="21" t="str">
        <f>IF($AL822="","",$AL822&amp;"|"&amp;COUNTIF($AL$11:$AL822,$AL822))</f>
        <v/>
      </c>
    </row>
    <row r="823" spans="23:53" ht="15" customHeight="1" x14ac:dyDescent="0.25">
      <c r="W823" s="14" t="str">
        <f>IF(X823="","",IFERROR(INDEX($AL$11:$AL$4010,MATCH(813,$AY$11:$AY$4010,0)),""))</f>
        <v/>
      </c>
      <c r="X823" s="12" t="str">
        <f>IFERROR(INDEX($AM$11:$AM$4010,MATCH(813,$AY$11:$AY$4010,0)),"")</f>
        <v/>
      </c>
      <c r="Y823" s="11" t="str">
        <f>IF(X823="","",IFERROR(INDEX($AN$11:$AN$4010,MATCH(813,$AY$11:$AY$4010,0)),""))</f>
        <v/>
      </c>
      <c r="Z823" s="11" t="str">
        <f>IF(X823="","",IFERROR(INDEX($AO$11:$AO$4010,MATCH(813,$AY$11:$AY$4010,0)),""))</f>
        <v/>
      </c>
      <c r="AA823" s="10" t="str">
        <f>IF(X823="","",IFERROR(INDEX($AQ$11:$AQ$4010,MATCH(813,$AY$11:$AY$4010,0)),""))</f>
        <v/>
      </c>
      <c r="AB823" s="15" t="str">
        <f>IF(X823="","",IFERROR(INDEX($AR$11:$AR$4010,MATCH(813,$AY$11:$AY$4010,0)),""))</f>
        <v/>
      </c>
      <c r="AD823" s="16" t="str">
        <f>IF(AE823="","",IFERROR(INDEX($AL$11:$AL$4010,MATCH(813,$AZ$11:$AZ$4010,0)),""))</f>
        <v/>
      </c>
      <c r="AE823" s="12" t="str">
        <f>IFERROR(INDEX($AM$11:$AM$4010,MATCH(813,$AZ$11:$AZ$4010,0)),"")</f>
        <v/>
      </c>
      <c r="AF823" s="11" t="str">
        <f>IF(AE823="","",IFERROR(INDEX($AN$11:$AN$4010,MATCH(813,$AZ$11:$AZ$4010,0)),""))</f>
        <v/>
      </c>
      <c r="AG823" s="11" t="str">
        <f>IF(AE823="","",IFERROR(INDEX($AO$11:$AO$4010,MATCH(813,$AZ$11:$AZ$4010,0)),""))</f>
        <v/>
      </c>
      <c r="AH823" s="10" t="str">
        <f>IF(AE823="","",IFERROR(INDEX($AQ$11:$AQ$4010,MATCH(813,$AZ$11:$AZ$4010,0)),""))</f>
        <v/>
      </c>
      <c r="AI823" s="15" t="str">
        <f>IF(AE823="","",IFERROR(INDEX($AR$11:$AR$4010,MATCH(813,$AZ$11:$AZ$4010,0)),""))</f>
        <v/>
      </c>
      <c r="AJ823" s="15" t="str">
        <f>IF(AE823="","",IFERROR(INDEX($AT$11:$AT$4010,MATCH(813,$AZ$11:$AZ$4010,0)),""))</f>
        <v/>
      </c>
      <c r="AL823" s="17"/>
      <c r="AM823" s="12"/>
      <c r="AN823" s="18"/>
      <c r="AO823" s="18"/>
      <c r="AP823" s="10"/>
      <c r="AQ823" s="10"/>
      <c r="AR823" s="19"/>
      <c r="AS823" s="20"/>
      <c r="AT823" s="19"/>
      <c r="AV823" s="21">
        <f>IF(AND($AL823&lt;&gt;"",COUNTIF($AL$11:$AL823,$AL823)=1),1,0)</f>
        <v>0</v>
      </c>
      <c r="AW823" s="21">
        <f t="shared" si="111"/>
        <v>2</v>
      </c>
      <c r="AX823" s="21" t="str">
        <f t="shared" si="110"/>
        <v/>
      </c>
      <c r="AY823" s="21" t="str">
        <f>IF(AND($AM823&lt;&gt;"",$AS823&lt;&gt;"✓"),SUMPRODUCT(($AM$11:$AM823&lt;&gt;"")*($AS$11:$AS823&lt;&gt;"✓")),"")</f>
        <v/>
      </c>
      <c r="AZ823" s="21" t="str">
        <f>IF(AND($AM823&lt;&gt;"",$AS823="✓"),SUMPRODUCT(($AM$11:$AM823&lt;&gt;"")*($AS$11:$AS823="✓")),"")</f>
        <v/>
      </c>
      <c r="BA823" s="21" t="str">
        <f>IF($AL823="","",$AL823&amp;"|"&amp;COUNTIF($AL$11:$AL823,$AL823))</f>
        <v/>
      </c>
    </row>
    <row r="824" spans="23:53" ht="15" customHeight="1" x14ac:dyDescent="0.25">
      <c r="W824" s="28" t="str">
        <f>IF(X824="","",IFERROR(INDEX($AL$11:$AL$4010,MATCH(814,$AY$11:$AY$4010,0)),""))</f>
        <v/>
      </c>
      <c r="X824" s="26" t="str">
        <f>IFERROR(INDEX($AM$11:$AM$4010,MATCH(814,$AY$11:$AY$4010,0)),"")</f>
        <v/>
      </c>
      <c r="Y824" s="25" t="str">
        <f>IF(X824="","",IFERROR(INDEX($AN$11:$AN$4010,MATCH(814,$AY$11:$AY$4010,0)),""))</f>
        <v/>
      </c>
      <c r="Z824" s="25" t="str">
        <f>IF(X824="","",IFERROR(INDEX($AO$11:$AO$4010,MATCH(814,$AY$11:$AY$4010,0)),""))</f>
        <v/>
      </c>
      <c r="AA824" s="24" t="str">
        <f>IF(X824="","",IFERROR(INDEX($AQ$11:$AQ$4010,MATCH(814,$AY$11:$AY$4010,0)),""))</f>
        <v/>
      </c>
      <c r="AB824" s="29" t="str">
        <f>IF(X824="","",IFERROR(INDEX($AR$11:$AR$4010,MATCH(814,$AY$11:$AY$4010,0)),""))</f>
        <v/>
      </c>
      <c r="AD824" s="30" t="str">
        <f>IF(AE824="","",IFERROR(INDEX($AL$11:$AL$4010,MATCH(814,$AZ$11:$AZ$4010,0)),""))</f>
        <v/>
      </c>
      <c r="AE824" s="26" t="str">
        <f>IFERROR(INDEX($AM$11:$AM$4010,MATCH(814,$AZ$11:$AZ$4010,0)),"")</f>
        <v/>
      </c>
      <c r="AF824" s="25" t="str">
        <f>IF(AE824="","",IFERROR(INDEX($AN$11:$AN$4010,MATCH(814,$AZ$11:$AZ$4010,0)),""))</f>
        <v/>
      </c>
      <c r="AG824" s="25" t="str">
        <f>IF(AE824="","",IFERROR(INDEX($AO$11:$AO$4010,MATCH(814,$AZ$11:$AZ$4010,0)),""))</f>
        <v/>
      </c>
      <c r="AH824" s="24" t="str">
        <f>IF(AE824="","",IFERROR(INDEX($AQ$11:$AQ$4010,MATCH(814,$AZ$11:$AZ$4010,0)),""))</f>
        <v/>
      </c>
      <c r="AI824" s="29" t="str">
        <f>IF(AE824="","",IFERROR(INDEX($AR$11:$AR$4010,MATCH(814,$AZ$11:$AZ$4010,0)),""))</f>
        <v/>
      </c>
      <c r="AJ824" s="29" t="str">
        <f>IF(AE824="","",IFERROR(INDEX($AT$11:$AT$4010,MATCH(814,$AZ$11:$AZ$4010,0)),""))</f>
        <v/>
      </c>
      <c r="AL824" s="31"/>
      <c r="AM824" s="26"/>
      <c r="AN824" s="32"/>
      <c r="AO824" s="32"/>
      <c r="AP824" s="24"/>
      <c r="AQ824" s="24"/>
      <c r="AR824" s="33"/>
      <c r="AS824" s="34"/>
      <c r="AT824" s="33"/>
      <c r="AV824" s="21">
        <f>IF(AND($AL824&lt;&gt;"",COUNTIF($AL$11:$AL824,$AL824)=1),1,0)</f>
        <v>0</v>
      </c>
      <c r="AW824" s="21">
        <f t="shared" si="111"/>
        <v>2</v>
      </c>
      <c r="AX824" s="21" t="str">
        <f t="shared" si="110"/>
        <v/>
      </c>
      <c r="AY824" s="21" t="str">
        <f>IF(AND($AM824&lt;&gt;"",$AS824&lt;&gt;"✓"),SUMPRODUCT(($AM$11:$AM824&lt;&gt;"")*($AS$11:$AS824&lt;&gt;"✓")),"")</f>
        <v/>
      </c>
      <c r="AZ824" s="21" t="str">
        <f>IF(AND($AM824&lt;&gt;"",$AS824="✓"),SUMPRODUCT(($AM$11:$AM824&lt;&gt;"")*($AS$11:$AS824="✓")),"")</f>
        <v/>
      </c>
      <c r="BA824" s="21" t="str">
        <f>IF($AL824="","",$AL824&amp;"|"&amp;COUNTIF($AL$11:$AL824,$AL824))</f>
        <v/>
      </c>
    </row>
    <row r="825" spans="23:53" ht="15" customHeight="1" x14ac:dyDescent="0.25">
      <c r="W825" s="14" t="str">
        <f>IF(X825="","",IFERROR(INDEX($AL$11:$AL$4010,MATCH(815,$AY$11:$AY$4010,0)),""))</f>
        <v/>
      </c>
      <c r="X825" s="12" t="str">
        <f>IFERROR(INDEX($AM$11:$AM$4010,MATCH(815,$AY$11:$AY$4010,0)),"")</f>
        <v/>
      </c>
      <c r="Y825" s="11" t="str">
        <f>IF(X825="","",IFERROR(INDEX($AN$11:$AN$4010,MATCH(815,$AY$11:$AY$4010,0)),""))</f>
        <v/>
      </c>
      <c r="Z825" s="11" t="str">
        <f>IF(X825="","",IFERROR(INDEX($AO$11:$AO$4010,MATCH(815,$AY$11:$AY$4010,0)),""))</f>
        <v/>
      </c>
      <c r="AA825" s="10" t="str">
        <f>IF(X825="","",IFERROR(INDEX($AQ$11:$AQ$4010,MATCH(815,$AY$11:$AY$4010,0)),""))</f>
        <v/>
      </c>
      <c r="AB825" s="15" t="str">
        <f>IF(X825="","",IFERROR(INDEX($AR$11:$AR$4010,MATCH(815,$AY$11:$AY$4010,0)),""))</f>
        <v/>
      </c>
      <c r="AD825" s="16" t="str">
        <f>IF(AE825="","",IFERROR(INDEX($AL$11:$AL$4010,MATCH(815,$AZ$11:$AZ$4010,0)),""))</f>
        <v/>
      </c>
      <c r="AE825" s="12" t="str">
        <f>IFERROR(INDEX($AM$11:$AM$4010,MATCH(815,$AZ$11:$AZ$4010,0)),"")</f>
        <v/>
      </c>
      <c r="AF825" s="11" t="str">
        <f>IF(AE825="","",IFERROR(INDEX($AN$11:$AN$4010,MATCH(815,$AZ$11:$AZ$4010,0)),""))</f>
        <v/>
      </c>
      <c r="AG825" s="11" t="str">
        <f>IF(AE825="","",IFERROR(INDEX($AO$11:$AO$4010,MATCH(815,$AZ$11:$AZ$4010,0)),""))</f>
        <v/>
      </c>
      <c r="AH825" s="10" t="str">
        <f>IF(AE825="","",IFERROR(INDEX($AQ$11:$AQ$4010,MATCH(815,$AZ$11:$AZ$4010,0)),""))</f>
        <v/>
      </c>
      <c r="AI825" s="15" t="str">
        <f>IF(AE825="","",IFERROR(INDEX($AR$11:$AR$4010,MATCH(815,$AZ$11:$AZ$4010,0)),""))</f>
        <v/>
      </c>
      <c r="AJ825" s="15" t="str">
        <f>IF(AE825="","",IFERROR(INDEX($AT$11:$AT$4010,MATCH(815,$AZ$11:$AZ$4010,0)),""))</f>
        <v/>
      </c>
      <c r="AL825" s="17"/>
      <c r="AM825" s="12"/>
      <c r="AN825" s="18"/>
      <c r="AO825" s="18"/>
      <c r="AP825" s="10"/>
      <c r="AQ825" s="10"/>
      <c r="AR825" s="19"/>
      <c r="AS825" s="20"/>
      <c r="AT825" s="19"/>
      <c r="AV825" s="21">
        <f>IF(AND($AL825&lt;&gt;"",COUNTIF($AL$11:$AL825,$AL825)=1),1,0)</f>
        <v>0</v>
      </c>
      <c r="AW825" s="21">
        <f t="shared" si="111"/>
        <v>2</v>
      </c>
      <c r="AX825" s="21" t="str">
        <f t="shared" si="110"/>
        <v/>
      </c>
      <c r="AY825" s="21" t="str">
        <f>IF(AND($AM825&lt;&gt;"",$AS825&lt;&gt;"✓"),SUMPRODUCT(($AM$11:$AM825&lt;&gt;"")*($AS$11:$AS825&lt;&gt;"✓")),"")</f>
        <v/>
      </c>
      <c r="AZ825" s="21" t="str">
        <f>IF(AND($AM825&lt;&gt;"",$AS825="✓"),SUMPRODUCT(($AM$11:$AM825&lt;&gt;"")*($AS$11:$AS825="✓")),"")</f>
        <v/>
      </c>
      <c r="BA825" s="21" t="str">
        <f>IF($AL825="","",$AL825&amp;"|"&amp;COUNTIF($AL$11:$AL825,$AL825))</f>
        <v/>
      </c>
    </row>
    <row r="826" spans="23:53" ht="15" customHeight="1" x14ac:dyDescent="0.25">
      <c r="W826" s="28" t="str">
        <f>IF(X826="","",IFERROR(INDEX($AL$11:$AL$4010,MATCH(816,$AY$11:$AY$4010,0)),""))</f>
        <v/>
      </c>
      <c r="X826" s="26" t="str">
        <f>IFERROR(INDEX($AM$11:$AM$4010,MATCH(816,$AY$11:$AY$4010,0)),"")</f>
        <v/>
      </c>
      <c r="Y826" s="25" t="str">
        <f>IF(X826="","",IFERROR(INDEX($AN$11:$AN$4010,MATCH(816,$AY$11:$AY$4010,0)),""))</f>
        <v/>
      </c>
      <c r="Z826" s="25" t="str">
        <f>IF(X826="","",IFERROR(INDEX($AO$11:$AO$4010,MATCH(816,$AY$11:$AY$4010,0)),""))</f>
        <v/>
      </c>
      <c r="AA826" s="24" t="str">
        <f>IF(X826="","",IFERROR(INDEX($AQ$11:$AQ$4010,MATCH(816,$AY$11:$AY$4010,0)),""))</f>
        <v/>
      </c>
      <c r="AB826" s="29" t="str">
        <f>IF(X826="","",IFERROR(INDEX($AR$11:$AR$4010,MATCH(816,$AY$11:$AY$4010,0)),""))</f>
        <v/>
      </c>
      <c r="AD826" s="30" t="str">
        <f>IF(AE826="","",IFERROR(INDEX($AL$11:$AL$4010,MATCH(816,$AZ$11:$AZ$4010,0)),""))</f>
        <v/>
      </c>
      <c r="AE826" s="26" t="str">
        <f>IFERROR(INDEX($AM$11:$AM$4010,MATCH(816,$AZ$11:$AZ$4010,0)),"")</f>
        <v/>
      </c>
      <c r="AF826" s="25" t="str">
        <f>IF(AE826="","",IFERROR(INDEX($AN$11:$AN$4010,MATCH(816,$AZ$11:$AZ$4010,0)),""))</f>
        <v/>
      </c>
      <c r="AG826" s="25" t="str">
        <f>IF(AE826="","",IFERROR(INDEX($AO$11:$AO$4010,MATCH(816,$AZ$11:$AZ$4010,0)),""))</f>
        <v/>
      </c>
      <c r="AH826" s="24" t="str">
        <f>IF(AE826="","",IFERROR(INDEX($AQ$11:$AQ$4010,MATCH(816,$AZ$11:$AZ$4010,0)),""))</f>
        <v/>
      </c>
      <c r="AI826" s="29" t="str">
        <f>IF(AE826="","",IFERROR(INDEX($AR$11:$AR$4010,MATCH(816,$AZ$11:$AZ$4010,0)),""))</f>
        <v/>
      </c>
      <c r="AJ826" s="29" t="str">
        <f>IF(AE826="","",IFERROR(INDEX($AT$11:$AT$4010,MATCH(816,$AZ$11:$AZ$4010,0)),""))</f>
        <v/>
      </c>
      <c r="AL826" s="31"/>
      <c r="AM826" s="26"/>
      <c r="AN826" s="32"/>
      <c r="AO826" s="32"/>
      <c r="AP826" s="24"/>
      <c r="AQ826" s="24"/>
      <c r="AR826" s="33"/>
      <c r="AS826" s="34"/>
      <c r="AT826" s="33"/>
      <c r="AV826" s="21">
        <f>IF(AND($AL826&lt;&gt;"",COUNTIF($AL$11:$AL826,$AL826)=1),1,0)</f>
        <v>0</v>
      </c>
      <c r="AW826" s="21">
        <f t="shared" si="111"/>
        <v>2</v>
      </c>
      <c r="AX826" s="21" t="str">
        <f t="shared" si="110"/>
        <v/>
      </c>
      <c r="AY826" s="21" t="str">
        <f>IF(AND($AM826&lt;&gt;"",$AS826&lt;&gt;"✓"),SUMPRODUCT(($AM$11:$AM826&lt;&gt;"")*($AS$11:$AS826&lt;&gt;"✓")),"")</f>
        <v/>
      </c>
      <c r="AZ826" s="21" t="str">
        <f>IF(AND($AM826&lt;&gt;"",$AS826="✓"),SUMPRODUCT(($AM$11:$AM826&lt;&gt;"")*($AS$11:$AS826="✓")),"")</f>
        <v/>
      </c>
      <c r="BA826" s="21" t="str">
        <f>IF($AL826="","",$AL826&amp;"|"&amp;COUNTIF($AL$11:$AL826,$AL826))</f>
        <v/>
      </c>
    </row>
    <row r="827" spans="23:53" ht="15" customHeight="1" x14ac:dyDescent="0.25">
      <c r="W827" s="14" t="str">
        <f>IF(X827="","",IFERROR(INDEX($AL$11:$AL$4010,MATCH(817,$AY$11:$AY$4010,0)),""))</f>
        <v/>
      </c>
      <c r="X827" s="12" t="str">
        <f>IFERROR(INDEX($AM$11:$AM$4010,MATCH(817,$AY$11:$AY$4010,0)),"")</f>
        <v/>
      </c>
      <c r="Y827" s="11" t="str">
        <f>IF(X827="","",IFERROR(INDEX($AN$11:$AN$4010,MATCH(817,$AY$11:$AY$4010,0)),""))</f>
        <v/>
      </c>
      <c r="Z827" s="11" t="str">
        <f>IF(X827="","",IFERROR(INDEX($AO$11:$AO$4010,MATCH(817,$AY$11:$AY$4010,0)),""))</f>
        <v/>
      </c>
      <c r="AA827" s="10" t="str">
        <f>IF(X827="","",IFERROR(INDEX($AQ$11:$AQ$4010,MATCH(817,$AY$11:$AY$4010,0)),""))</f>
        <v/>
      </c>
      <c r="AB827" s="15" t="str">
        <f>IF(X827="","",IFERROR(INDEX($AR$11:$AR$4010,MATCH(817,$AY$11:$AY$4010,0)),""))</f>
        <v/>
      </c>
      <c r="AD827" s="16" t="str">
        <f>IF(AE827="","",IFERROR(INDEX($AL$11:$AL$4010,MATCH(817,$AZ$11:$AZ$4010,0)),""))</f>
        <v/>
      </c>
      <c r="AE827" s="12" t="str">
        <f>IFERROR(INDEX($AM$11:$AM$4010,MATCH(817,$AZ$11:$AZ$4010,0)),"")</f>
        <v/>
      </c>
      <c r="AF827" s="11" t="str">
        <f>IF(AE827="","",IFERROR(INDEX($AN$11:$AN$4010,MATCH(817,$AZ$11:$AZ$4010,0)),""))</f>
        <v/>
      </c>
      <c r="AG827" s="11" t="str">
        <f>IF(AE827="","",IFERROR(INDEX($AO$11:$AO$4010,MATCH(817,$AZ$11:$AZ$4010,0)),""))</f>
        <v/>
      </c>
      <c r="AH827" s="10" t="str">
        <f>IF(AE827="","",IFERROR(INDEX($AQ$11:$AQ$4010,MATCH(817,$AZ$11:$AZ$4010,0)),""))</f>
        <v/>
      </c>
      <c r="AI827" s="15" t="str">
        <f>IF(AE827="","",IFERROR(INDEX($AR$11:$AR$4010,MATCH(817,$AZ$11:$AZ$4010,0)),""))</f>
        <v/>
      </c>
      <c r="AJ827" s="15" t="str">
        <f>IF(AE827="","",IFERROR(INDEX($AT$11:$AT$4010,MATCH(817,$AZ$11:$AZ$4010,0)),""))</f>
        <v/>
      </c>
      <c r="AL827" s="17"/>
      <c r="AM827" s="12"/>
      <c r="AN827" s="18"/>
      <c r="AO827" s="18"/>
      <c r="AP827" s="10"/>
      <c r="AQ827" s="10"/>
      <c r="AR827" s="19"/>
      <c r="AS827" s="20"/>
      <c r="AT827" s="19"/>
      <c r="AV827" s="21">
        <f>IF(AND($AL827&lt;&gt;"",COUNTIF($AL$11:$AL827,$AL827)=1),1,0)</f>
        <v>0</v>
      </c>
      <c r="AW827" s="21">
        <f t="shared" si="111"/>
        <v>2</v>
      </c>
      <c r="AX827" s="21" t="str">
        <f t="shared" si="110"/>
        <v/>
      </c>
      <c r="AY827" s="21" t="str">
        <f>IF(AND($AM827&lt;&gt;"",$AS827&lt;&gt;"✓"),SUMPRODUCT(($AM$11:$AM827&lt;&gt;"")*($AS$11:$AS827&lt;&gt;"✓")),"")</f>
        <v/>
      </c>
      <c r="AZ827" s="21" t="str">
        <f>IF(AND($AM827&lt;&gt;"",$AS827="✓"),SUMPRODUCT(($AM$11:$AM827&lt;&gt;"")*($AS$11:$AS827="✓")),"")</f>
        <v/>
      </c>
      <c r="BA827" s="21" t="str">
        <f>IF($AL827="","",$AL827&amp;"|"&amp;COUNTIF($AL$11:$AL827,$AL827))</f>
        <v/>
      </c>
    </row>
    <row r="828" spans="23:53" ht="15" customHeight="1" x14ac:dyDescent="0.25">
      <c r="W828" s="28" t="str">
        <f>IF(X828="","",IFERROR(INDEX($AL$11:$AL$4010,MATCH(818,$AY$11:$AY$4010,0)),""))</f>
        <v/>
      </c>
      <c r="X828" s="26" t="str">
        <f>IFERROR(INDEX($AM$11:$AM$4010,MATCH(818,$AY$11:$AY$4010,0)),"")</f>
        <v/>
      </c>
      <c r="Y828" s="25" t="str">
        <f>IF(X828="","",IFERROR(INDEX($AN$11:$AN$4010,MATCH(818,$AY$11:$AY$4010,0)),""))</f>
        <v/>
      </c>
      <c r="Z828" s="25" t="str">
        <f>IF(X828="","",IFERROR(INDEX($AO$11:$AO$4010,MATCH(818,$AY$11:$AY$4010,0)),""))</f>
        <v/>
      </c>
      <c r="AA828" s="24" t="str">
        <f>IF(X828="","",IFERROR(INDEX($AQ$11:$AQ$4010,MATCH(818,$AY$11:$AY$4010,0)),""))</f>
        <v/>
      </c>
      <c r="AB828" s="29" t="str">
        <f>IF(X828="","",IFERROR(INDEX($AR$11:$AR$4010,MATCH(818,$AY$11:$AY$4010,0)),""))</f>
        <v/>
      </c>
      <c r="AD828" s="30" t="str">
        <f>IF(AE828="","",IFERROR(INDEX($AL$11:$AL$4010,MATCH(818,$AZ$11:$AZ$4010,0)),""))</f>
        <v/>
      </c>
      <c r="AE828" s="26" t="str">
        <f>IFERROR(INDEX($AM$11:$AM$4010,MATCH(818,$AZ$11:$AZ$4010,0)),"")</f>
        <v/>
      </c>
      <c r="AF828" s="25" t="str">
        <f>IF(AE828="","",IFERROR(INDEX($AN$11:$AN$4010,MATCH(818,$AZ$11:$AZ$4010,0)),""))</f>
        <v/>
      </c>
      <c r="AG828" s="25" t="str">
        <f>IF(AE828="","",IFERROR(INDEX($AO$11:$AO$4010,MATCH(818,$AZ$11:$AZ$4010,0)),""))</f>
        <v/>
      </c>
      <c r="AH828" s="24" t="str">
        <f>IF(AE828="","",IFERROR(INDEX($AQ$11:$AQ$4010,MATCH(818,$AZ$11:$AZ$4010,0)),""))</f>
        <v/>
      </c>
      <c r="AI828" s="29" t="str">
        <f>IF(AE828="","",IFERROR(INDEX($AR$11:$AR$4010,MATCH(818,$AZ$11:$AZ$4010,0)),""))</f>
        <v/>
      </c>
      <c r="AJ828" s="29" t="str">
        <f>IF(AE828="","",IFERROR(INDEX($AT$11:$AT$4010,MATCH(818,$AZ$11:$AZ$4010,0)),""))</f>
        <v/>
      </c>
      <c r="AL828" s="31"/>
      <c r="AM828" s="26"/>
      <c r="AN828" s="32"/>
      <c r="AO828" s="32"/>
      <c r="AP828" s="24"/>
      <c r="AQ828" s="24"/>
      <c r="AR828" s="33"/>
      <c r="AS828" s="34"/>
      <c r="AT828" s="33"/>
      <c r="AV828" s="21">
        <f>IF(AND($AL828&lt;&gt;"",COUNTIF($AL$11:$AL828,$AL828)=1),1,0)</f>
        <v>0</v>
      </c>
      <c r="AW828" s="21">
        <f t="shared" si="111"/>
        <v>2</v>
      </c>
      <c r="AX828" s="21" t="str">
        <f t="shared" si="110"/>
        <v/>
      </c>
      <c r="AY828" s="21" t="str">
        <f>IF(AND($AM828&lt;&gt;"",$AS828&lt;&gt;"✓"),SUMPRODUCT(($AM$11:$AM828&lt;&gt;"")*($AS$11:$AS828&lt;&gt;"✓")),"")</f>
        <v/>
      </c>
      <c r="AZ828" s="21" t="str">
        <f>IF(AND($AM828&lt;&gt;"",$AS828="✓"),SUMPRODUCT(($AM$11:$AM828&lt;&gt;"")*($AS$11:$AS828="✓")),"")</f>
        <v/>
      </c>
      <c r="BA828" s="21" t="str">
        <f>IF($AL828="","",$AL828&amp;"|"&amp;COUNTIF($AL$11:$AL828,$AL828))</f>
        <v/>
      </c>
    </row>
    <row r="829" spans="23:53" ht="15" customHeight="1" x14ac:dyDescent="0.25">
      <c r="W829" s="14" t="str">
        <f>IF(X829="","",IFERROR(INDEX($AL$11:$AL$4010,MATCH(819,$AY$11:$AY$4010,0)),""))</f>
        <v/>
      </c>
      <c r="X829" s="12" t="str">
        <f>IFERROR(INDEX($AM$11:$AM$4010,MATCH(819,$AY$11:$AY$4010,0)),"")</f>
        <v/>
      </c>
      <c r="Y829" s="11" t="str">
        <f>IF(X829="","",IFERROR(INDEX($AN$11:$AN$4010,MATCH(819,$AY$11:$AY$4010,0)),""))</f>
        <v/>
      </c>
      <c r="Z829" s="11" t="str">
        <f>IF(X829="","",IFERROR(INDEX($AO$11:$AO$4010,MATCH(819,$AY$11:$AY$4010,0)),""))</f>
        <v/>
      </c>
      <c r="AA829" s="10" t="str">
        <f>IF(X829="","",IFERROR(INDEX($AQ$11:$AQ$4010,MATCH(819,$AY$11:$AY$4010,0)),""))</f>
        <v/>
      </c>
      <c r="AB829" s="15" t="str">
        <f>IF(X829="","",IFERROR(INDEX($AR$11:$AR$4010,MATCH(819,$AY$11:$AY$4010,0)),""))</f>
        <v/>
      </c>
      <c r="AD829" s="16" t="str">
        <f>IF(AE829="","",IFERROR(INDEX($AL$11:$AL$4010,MATCH(819,$AZ$11:$AZ$4010,0)),""))</f>
        <v/>
      </c>
      <c r="AE829" s="12" t="str">
        <f>IFERROR(INDEX($AM$11:$AM$4010,MATCH(819,$AZ$11:$AZ$4010,0)),"")</f>
        <v/>
      </c>
      <c r="AF829" s="11" t="str">
        <f>IF(AE829="","",IFERROR(INDEX($AN$11:$AN$4010,MATCH(819,$AZ$11:$AZ$4010,0)),""))</f>
        <v/>
      </c>
      <c r="AG829" s="11" t="str">
        <f>IF(AE829="","",IFERROR(INDEX($AO$11:$AO$4010,MATCH(819,$AZ$11:$AZ$4010,0)),""))</f>
        <v/>
      </c>
      <c r="AH829" s="10" t="str">
        <f>IF(AE829="","",IFERROR(INDEX($AQ$11:$AQ$4010,MATCH(819,$AZ$11:$AZ$4010,0)),""))</f>
        <v/>
      </c>
      <c r="AI829" s="15" t="str">
        <f>IF(AE829="","",IFERROR(INDEX($AR$11:$AR$4010,MATCH(819,$AZ$11:$AZ$4010,0)),""))</f>
        <v/>
      </c>
      <c r="AJ829" s="15" t="str">
        <f>IF(AE829="","",IFERROR(INDEX($AT$11:$AT$4010,MATCH(819,$AZ$11:$AZ$4010,0)),""))</f>
        <v/>
      </c>
      <c r="AL829" s="17"/>
      <c r="AM829" s="12"/>
      <c r="AN829" s="18"/>
      <c r="AO829" s="18"/>
      <c r="AP829" s="10"/>
      <c r="AQ829" s="10"/>
      <c r="AR829" s="19"/>
      <c r="AS829" s="20"/>
      <c r="AT829" s="19"/>
      <c r="AV829" s="21">
        <f>IF(AND($AL829&lt;&gt;"",COUNTIF($AL$11:$AL829,$AL829)=1),1,0)</f>
        <v>0</v>
      </c>
      <c r="AW829" s="21">
        <f t="shared" si="111"/>
        <v>2</v>
      </c>
      <c r="AX829" s="21" t="str">
        <f t="shared" si="110"/>
        <v/>
      </c>
      <c r="AY829" s="21" t="str">
        <f>IF(AND($AM829&lt;&gt;"",$AS829&lt;&gt;"✓"),SUMPRODUCT(($AM$11:$AM829&lt;&gt;"")*($AS$11:$AS829&lt;&gt;"✓")),"")</f>
        <v/>
      </c>
      <c r="AZ829" s="21" t="str">
        <f>IF(AND($AM829&lt;&gt;"",$AS829="✓"),SUMPRODUCT(($AM$11:$AM829&lt;&gt;"")*($AS$11:$AS829="✓")),"")</f>
        <v/>
      </c>
      <c r="BA829" s="21" t="str">
        <f>IF($AL829="","",$AL829&amp;"|"&amp;COUNTIF($AL$11:$AL829,$AL829))</f>
        <v/>
      </c>
    </row>
    <row r="830" spans="23:53" ht="15" customHeight="1" x14ac:dyDescent="0.25">
      <c r="W830" s="28" t="str">
        <f>IF(X830="","",IFERROR(INDEX($AL$11:$AL$4010,MATCH(820,$AY$11:$AY$4010,0)),""))</f>
        <v/>
      </c>
      <c r="X830" s="26" t="str">
        <f>IFERROR(INDEX($AM$11:$AM$4010,MATCH(820,$AY$11:$AY$4010,0)),"")</f>
        <v/>
      </c>
      <c r="Y830" s="25" t="str">
        <f>IF(X830="","",IFERROR(INDEX($AN$11:$AN$4010,MATCH(820,$AY$11:$AY$4010,0)),""))</f>
        <v/>
      </c>
      <c r="Z830" s="25" t="str">
        <f>IF(X830="","",IFERROR(INDEX($AO$11:$AO$4010,MATCH(820,$AY$11:$AY$4010,0)),""))</f>
        <v/>
      </c>
      <c r="AA830" s="24" t="str">
        <f>IF(X830="","",IFERROR(INDEX($AQ$11:$AQ$4010,MATCH(820,$AY$11:$AY$4010,0)),""))</f>
        <v/>
      </c>
      <c r="AB830" s="29" t="str">
        <f>IF(X830="","",IFERROR(INDEX($AR$11:$AR$4010,MATCH(820,$AY$11:$AY$4010,0)),""))</f>
        <v/>
      </c>
      <c r="AD830" s="30" t="str">
        <f>IF(AE830="","",IFERROR(INDEX($AL$11:$AL$4010,MATCH(820,$AZ$11:$AZ$4010,0)),""))</f>
        <v/>
      </c>
      <c r="AE830" s="26" t="str">
        <f>IFERROR(INDEX($AM$11:$AM$4010,MATCH(820,$AZ$11:$AZ$4010,0)),"")</f>
        <v/>
      </c>
      <c r="AF830" s="25" t="str">
        <f>IF(AE830="","",IFERROR(INDEX($AN$11:$AN$4010,MATCH(820,$AZ$11:$AZ$4010,0)),""))</f>
        <v/>
      </c>
      <c r="AG830" s="25" t="str">
        <f>IF(AE830="","",IFERROR(INDEX($AO$11:$AO$4010,MATCH(820,$AZ$11:$AZ$4010,0)),""))</f>
        <v/>
      </c>
      <c r="AH830" s="24" t="str">
        <f>IF(AE830="","",IFERROR(INDEX($AQ$11:$AQ$4010,MATCH(820,$AZ$11:$AZ$4010,0)),""))</f>
        <v/>
      </c>
      <c r="AI830" s="29" t="str">
        <f>IF(AE830="","",IFERROR(INDEX($AR$11:$AR$4010,MATCH(820,$AZ$11:$AZ$4010,0)),""))</f>
        <v/>
      </c>
      <c r="AJ830" s="29" t="str">
        <f>IF(AE830="","",IFERROR(INDEX($AT$11:$AT$4010,MATCH(820,$AZ$11:$AZ$4010,0)),""))</f>
        <v/>
      </c>
      <c r="AL830" s="31"/>
      <c r="AM830" s="26"/>
      <c r="AN830" s="32"/>
      <c r="AO830" s="32"/>
      <c r="AP830" s="24"/>
      <c r="AQ830" s="24"/>
      <c r="AR830" s="33"/>
      <c r="AS830" s="34"/>
      <c r="AT830" s="33"/>
      <c r="AV830" s="21">
        <f>IF(AND($AL830&lt;&gt;"",COUNTIF($AL$11:$AL830,$AL830)=1),1,0)</f>
        <v>0</v>
      </c>
      <c r="AW830" s="21">
        <f t="shared" si="111"/>
        <v>2</v>
      </c>
      <c r="AX830" s="21" t="str">
        <f t="shared" si="110"/>
        <v/>
      </c>
      <c r="AY830" s="21" t="str">
        <f>IF(AND($AM830&lt;&gt;"",$AS830&lt;&gt;"✓"),SUMPRODUCT(($AM$11:$AM830&lt;&gt;"")*($AS$11:$AS830&lt;&gt;"✓")),"")</f>
        <v/>
      </c>
      <c r="AZ830" s="21" t="str">
        <f>IF(AND($AM830&lt;&gt;"",$AS830="✓"),SUMPRODUCT(($AM$11:$AM830&lt;&gt;"")*($AS$11:$AS830="✓")),"")</f>
        <v/>
      </c>
      <c r="BA830" s="21" t="str">
        <f>IF($AL830="","",$AL830&amp;"|"&amp;COUNTIF($AL$11:$AL830,$AL830))</f>
        <v/>
      </c>
    </row>
    <row r="831" spans="23:53" ht="15" customHeight="1" x14ac:dyDescent="0.25">
      <c r="W831" s="14" t="str">
        <f>IF(X831="","",IFERROR(INDEX($AL$11:$AL$4010,MATCH(821,$AY$11:$AY$4010,0)),""))</f>
        <v/>
      </c>
      <c r="X831" s="12" t="str">
        <f>IFERROR(INDEX($AM$11:$AM$4010,MATCH(821,$AY$11:$AY$4010,0)),"")</f>
        <v/>
      </c>
      <c r="Y831" s="11" t="str">
        <f>IF(X831="","",IFERROR(INDEX($AN$11:$AN$4010,MATCH(821,$AY$11:$AY$4010,0)),""))</f>
        <v/>
      </c>
      <c r="Z831" s="11" t="str">
        <f>IF(X831="","",IFERROR(INDEX($AO$11:$AO$4010,MATCH(821,$AY$11:$AY$4010,0)),""))</f>
        <v/>
      </c>
      <c r="AA831" s="10" t="str">
        <f>IF(X831="","",IFERROR(INDEX($AQ$11:$AQ$4010,MATCH(821,$AY$11:$AY$4010,0)),""))</f>
        <v/>
      </c>
      <c r="AB831" s="15" t="str">
        <f>IF(X831="","",IFERROR(INDEX($AR$11:$AR$4010,MATCH(821,$AY$11:$AY$4010,0)),""))</f>
        <v/>
      </c>
      <c r="AD831" s="16" t="str">
        <f>IF(AE831="","",IFERROR(INDEX($AL$11:$AL$4010,MATCH(821,$AZ$11:$AZ$4010,0)),""))</f>
        <v/>
      </c>
      <c r="AE831" s="12" t="str">
        <f>IFERROR(INDEX($AM$11:$AM$4010,MATCH(821,$AZ$11:$AZ$4010,0)),"")</f>
        <v/>
      </c>
      <c r="AF831" s="11" t="str">
        <f>IF(AE831="","",IFERROR(INDEX($AN$11:$AN$4010,MATCH(821,$AZ$11:$AZ$4010,0)),""))</f>
        <v/>
      </c>
      <c r="AG831" s="11" t="str">
        <f>IF(AE831="","",IFERROR(INDEX($AO$11:$AO$4010,MATCH(821,$AZ$11:$AZ$4010,0)),""))</f>
        <v/>
      </c>
      <c r="AH831" s="10" t="str">
        <f>IF(AE831="","",IFERROR(INDEX($AQ$11:$AQ$4010,MATCH(821,$AZ$11:$AZ$4010,0)),""))</f>
        <v/>
      </c>
      <c r="AI831" s="15" t="str">
        <f>IF(AE831="","",IFERROR(INDEX($AR$11:$AR$4010,MATCH(821,$AZ$11:$AZ$4010,0)),""))</f>
        <v/>
      </c>
      <c r="AJ831" s="15" t="str">
        <f>IF(AE831="","",IFERROR(INDEX($AT$11:$AT$4010,MATCH(821,$AZ$11:$AZ$4010,0)),""))</f>
        <v/>
      </c>
      <c r="AL831" s="17"/>
      <c r="AM831" s="12"/>
      <c r="AN831" s="18"/>
      <c r="AO831" s="18"/>
      <c r="AP831" s="10"/>
      <c r="AQ831" s="10"/>
      <c r="AR831" s="19"/>
      <c r="AS831" s="20"/>
      <c r="AT831" s="19"/>
      <c r="AV831" s="21">
        <f>IF(AND($AL831&lt;&gt;"",COUNTIF($AL$11:$AL831,$AL831)=1),1,0)</f>
        <v>0</v>
      </c>
      <c r="AW831" s="21">
        <f t="shared" si="111"/>
        <v>2</v>
      </c>
      <c r="AX831" s="21" t="str">
        <f t="shared" si="110"/>
        <v/>
      </c>
      <c r="AY831" s="21" t="str">
        <f>IF(AND($AM831&lt;&gt;"",$AS831&lt;&gt;"✓"),SUMPRODUCT(($AM$11:$AM831&lt;&gt;"")*($AS$11:$AS831&lt;&gt;"✓")),"")</f>
        <v/>
      </c>
      <c r="AZ831" s="21" t="str">
        <f>IF(AND($AM831&lt;&gt;"",$AS831="✓"),SUMPRODUCT(($AM$11:$AM831&lt;&gt;"")*($AS$11:$AS831="✓")),"")</f>
        <v/>
      </c>
      <c r="BA831" s="21" t="str">
        <f>IF($AL831="","",$AL831&amp;"|"&amp;COUNTIF($AL$11:$AL831,$AL831))</f>
        <v/>
      </c>
    </row>
    <row r="832" spans="23:53" ht="15" customHeight="1" x14ac:dyDescent="0.25">
      <c r="W832" s="28" t="str">
        <f>IF(X832="","",IFERROR(INDEX($AL$11:$AL$4010,MATCH(822,$AY$11:$AY$4010,0)),""))</f>
        <v/>
      </c>
      <c r="X832" s="26" t="str">
        <f>IFERROR(INDEX($AM$11:$AM$4010,MATCH(822,$AY$11:$AY$4010,0)),"")</f>
        <v/>
      </c>
      <c r="Y832" s="25" t="str">
        <f>IF(X832="","",IFERROR(INDEX($AN$11:$AN$4010,MATCH(822,$AY$11:$AY$4010,0)),""))</f>
        <v/>
      </c>
      <c r="Z832" s="25" t="str">
        <f>IF(X832="","",IFERROR(INDEX($AO$11:$AO$4010,MATCH(822,$AY$11:$AY$4010,0)),""))</f>
        <v/>
      </c>
      <c r="AA832" s="24" t="str">
        <f>IF(X832="","",IFERROR(INDEX($AQ$11:$AQ$4010,MATCH(822,$AY$11:$AY$4010,0)),""))</f>
        <v/>
      </c>
      <c r="AB832" s="29" t="str">
        <f>IF(X832="","",IFERROR(INDEX($AR$11:$AR$4010,MATCH(822,$AY$11:$AY$4010,0)),""))</f>
        <v/>
      </c>
      <c r="AD832" s="30" t="str">
        <f>IF(AE832="","",IFERROR(INDEX($AL$11:$AL$4010,MATCH(822,$AZ$11:$AZ$4010,0)),""))</f>
        <v/>
      </c>
      <c r="AE832" s="26" t="str">
        <f>IFERROR(INDEX($AM$11:$AM$4010,MATCH(822,$AZ$11:$AZ$4010,0)),"")</f>
        <v/>
      </c>
      <c r="AF832" s="25" t="str">
        <f>IF(AE832="","",IFERROR(INDEX($AN$11:$AN$4010,MATCH(822,$AZ$11:$AZ$4010,0)),""))</f>
        <v/>
      </c>
      <c r="AG832" s="25" t="str">
        <f>IF(AE832="","",IFERROR(INDEX($AO$11:$AO$4010,MATCH(822,$AZ$11:$AZ$4010,0)),""))</f>
        <v/>
      </c>
      <c r="AH832" s="24" t="str">
        <f>IF(AE832="","",IFERROR(INDEX($AQ$11:$AQ$4010,MATCH(822,$AZ$11:$AZ$4010,0)),""))</f>
        <v/>
      </c>
      <c r="AI832" s="29" t="str">
        <f>IF(AE832="","",IFERROR(INDEX($AR$11:$AR$4010,MATCH(822,$AZ$11:$AZ$4010,0)),""))</f>
        <v/>
      </c>
      <c r="AJ832" s="29" t="str">
        <f>IF(AE832="","",IFERROR(INDEX($AT$11:$AT$4010,MATCH(822,$AZ$11:$AZ$4010,0)),""))</f>
        <v/>
      </c>
      <c r="AL832" s="31"/>
      <c r="AM832" s="26"/>
      <c r="AN832" s="32"/>
      <c r="AO832" s="32"/>
      <c r="AP832" s="24"/>
      <c r="AQ832" s="24"/>
      <c r="AR832" s="33"/>
      <c r="AS832" s="34"/>
      <c r="AT832" s="33"/>
      <c r="AV832" s="21">
        <f>IF(AND($AL832&lt;&gt;"",COUNTIF($AL$11:$AL832,$AL832)=1),1,0)</f>
        <v>0</v>
      </c>
      <c r="AW832" s="21">
        <f t="shared" si="111"/>
        <v>2</v>
      </c>
      <c r="AX832" s="21" t="str">
        <f t="shared" si="110"/>
        <v/>
      </c>
      <c r="AY832" s="21" t="str">
        <f>IF(AND($AM832&lt;&gt;"",$AS832&lt;&gt;"✓"),SUMPRODUCT(($AM$11:$AM832&lt;&gt;"")*($AS$11:$AS832&lt;&gt;"✓")),"")</f>
        <v/>
      </c>
      <c r="AZ832" s="21" t="str">
        <f>IF(AND($AM832&lt;&gt;"",$AS832="✓"),SUMPRODUCT(($AM$11:$AM832&lt;&gt;"")*($AS$11:$AS832="✓")),"")</f>
        <v/>
      </c>
      <c r="BA832" s="21" t="str">
        <f>IF($AL832="","",$AL832&amp;"|"&amp;COUNTIF($AL$11:$AL832,$AL832))</f>
        <v/>
      </c>
    </row>
    <row r="833" spans="23:53" ht="15" customHeight="1" x14ac:dyDescent="0.25">
      <c r="W833" s="14" t="str">
        <f>IF(X833="","",IFERROR(INDEX($AL$11:$AL$4010,MATCH(823,$AY$11:$AY$4010,0)),""))</f>
        <v/>
      </c>
      <c r="X833" s="12" t="str">
        <f>IFERROR(INDEX($AM$11:$AM$4010,MATCH(823,$AY$11:$AY$4010,0)),"")</f>
        <v/>
      </c>
      <c r="Y833" s="11" t="str">
        <f>IF(X833="","",IFERROR(INDEX($AN$11:$AN$4010,MATCH(823,$AY$11:$AY$4010,0)),""))</f>
        <v/>
      </c>
      <c r="Z833" s="11" t="str">
        <f>IF(X833="","",IFERROR(INDEX($AO$11:$AO$4010,MATCH(823,$AY$11:$AY$4010,0)),""))</f>
        <v/>
      </c>
      <c r="AA833" s="10" t="str">
        <f>IF(X833="","",IFERROR(INDEX($AQ$11:$AQ$4010,MATCH(823,$AY$11:$AY$4010,0)),""))</f>
        <v/>
      </c>
      <c r="AB833" s="15" t="str">
        <f>IF(X833="","",IFERROR(INDEX($AR$11:$AR$4010,MATCH(823,$AY$11:$AY$4010,0)),""))</f>
        <v/>
      </c>
      <c r="AD833" s="16" t="str">
        <f>IF(AE833="","",IFERROR(INDEX($AL$11:$AL$4010,MATCH(823,$AZ$11:$AZ$4010,0)),""))</f>
        <v/>
      </c>
      <c r="AE833" s="12" t="str">
        <f>IFERROR(INDEX($AM$11:$AM$4010,MATCH(823,$AZ$11:$AZ$4010,0)),"")</f>
        <v/>
      </c>
      <c r="AF833" s="11" t="str">
        <f>IF(AE833="","",IFERROR(INDEX($AN$11:$AN$4010,MATCH(823,$AZ$11:$AZ$4010,0)),""))</f>
        <v/>
      </c>
      <c r="AG833" s="11" t="str">
        <f>IF(AE833="","",IFERROR(INDEX($AO$11:$AO$4010,MATCH(823,$AZ$11:$AZ$4010,0)),""))</f>
        <v/>
      </c>
      <c r="AH833" s="10" t="str">
        <f>IF(AE833="","",IFERROR(INDEX($AQ$11:$AQ$4010,MATCH(823,$AZ$11:$AZ$4010,0)),""))</f>
        <v/>
      </c>
      <c r="AI833" s="15" t="str">
        <f>IF(AE833="","",IFERROR(INDEX($AR$11:$AR$4010,MATCH(823,$AZ$11:$AZ$4010,0)),""))</f>
        <v/>
      </c>
      <c r="AJ833" s="15" t="str">
        <f>IF(AE833="","",IFERROR(INDEX($AT$11:$AT$4010,MATCH(823,$AZ$11:$AZ$4010,0)),""))</f>
        <v/>
      </c>
      <c r="AL833" s="17"/>
      <c r="AM833" s="12"/>
      <c r="AN833" s="18"/>
      <c r="AO833" s="18"/>
      <c r="AP833" s="10"/>
      <c r="AQ833" s="10"/>
      <c r="AR833" s="19"/>
      <c r="AS833" s="20"/>
      <c r="AT833" s="19"/>
      <c r="AV833" s="21">
        <f>IF(AND($AL833&lt;&gt;"",COUNTIF($AL$11:$AL833,$AL833)=1),1,0)</f>
        <v>0</v>
      </c>
      <c r="AW833" s="21">
        <f t="shared" si="111"/>
        <v>2</v>
      </c>
      <c r="AX833" s="21" t="str">
        <f t="shared" si="110"/>
        <v/>
      </c>
      <c r="AY833" s="21" t="str">
        <f>IF(AND($AM833&lt;&gt;"",$AS833&lt;&gt;"✓"),SUMPRODUCT(($AM$11:$AM833&lt;&gt;"")*($AS$11:$AS833&lt;&gt;"✓")),"")</f>
        <v/>
      </c>
      <c r="AZ833" s="21" t="str">
        <f>IF(AND($AM833&lt;&gt;"",$AS833="✓"),SUMPRODUCT(($AM$11:$AM833&lt;&gt;"")*($AS$11:$AS833="✓")),"")</f>
        <v/>
      </c>
      <c r="BA833" s="21" t="str">
        <f>IF($AL833="","",$AL833&amp;"|"&amp;COUNTIF($AL$11:$AL833,$AL833))</f>
        <v/>
      </c>
    </row>
    <row r="834" spans="23:53" ht="15" customHeight="1" x14ac:dyDescent="0.25">
      <c r="W834" s="28" t="str">
        <f>IF(X834="","",IFERROR(INDEX($AL$11:$AL$4010,MATCH(824,$AY$11:$AY$4010,0)),""))</f>
        <v/>
      </c>
      <c r="X834" s="26" t="str">
        <f>IFERROR(INDEX($AM$11:$AM$4010,MATCH(824,$AY$11:$AY$4010,0)),"")</f>
        <v/>
      </c>
      <c r="Y834" s="25" t="str">
        <f>IF(X834="","",IFERROR(INDEX($AN$11:$AN$4010,MATCH(824,$AY$11:$AY$4010,0)),""))</f>
        <v/>
      </c>
      <c r="Z834" s="25" t="str">
        <f>IF(X834="","",IFERROR(INDEX($AO$11:$AO$4010,MATCH(824,$AY$11:$AY$4010,0)),""))</f>
        <v/>
      </c>
      <c r="AA834" s="24" t="str">
        <f>IF(X834="","",IFERROR(INDEX($AQ$11:$AQ$4010,MATCH(824,$AY$11:$AY$4010,0)),""))</f>
        <v/>
      </c>
      <c r="AB834" s="29" t="str">
        <f>IF(X834="","",IFERROR(INDEX($AR$11:$AR$4010,MATCH(824,$AY$11:$AY$4010,0)),""))</f>
        <v/>
      </c>
      <c r="AD834" s="30" t="str">
        <f>IF(AE834="","",IFERROR(INDEX($AL$11:$AL$4010,MATCH(824,$AZ$11:$AZ$4010,0)),""))</f>
        <v/>
      </c>
      <c r="AE834" s="26" t="str">
        <f>IFERROR(INDEX($AM$11:$AM$4010,MATCH(824,$AZ$11:$AZ$4010,0)),"")</f>
        <v/>
      </c>
      <c r="AF834" s="25" t="str">
        <f>IF(AE834="","",IFERROR(INDEX($AN$11:$AN$4010,MATCH(824,$AZ$11:$AZ$4010,0)),""))</f>
        <v/>
      </c>
      <c r="AG834" s="25" t="str">
        <f>IF(AE834="","",IFERROR(INDEX($AO$11:$AO$4010,MATCH(824,$AZ$11:$AZ$4010,0)),""))</f>
        <v/>
      </c>
      <c r="AH834" s="24" t="str">
        <f>IF(AE834="","",IFERROR(INDEX($AQ$11:$AQ$4010,MATCH(824,$AZ$11:$AZ$4010,0)),""))</f>
        <v/>
      </c>
      <c r="AI834" s="29" t="str">
        <f>IF(AE834="","",IFERROR(INDEX($AR$11:$AR$4010,MATCH(824,$AZ$11:$AZ$4010,0)),""))</f>
        <v/>
      </c>
      <c r="AJ834" s="29" t="str">
        <f>IF(AE834="","",IFERROR(INDEX($AT$11:$AT$4010,MATCH(824,$AZ$11:$AZ$4010,0)),""))</f>
        <v/>
      </c>
      <c r="AL834" s="31"/>
      <c r="AM834" s="26"/>
      <c r="AN834" s="32"/>
      <c r="AO834" s="32"/>
      <c r="AP834" s="24"/>
      <c r="AQ834" s="24"/>
      <c r="AR834" s="33"/>
      <c r="AS834" s="34"/>
      <c r="AT834" s="33"/>
      <c r="AV834" s="21">
        <f>IF(AND($AL834&lt;&gt;"",COUNTIF($AL$11:$AL834,$AL834)=1),1,0)</f>
        <v>0</v>
      </c>
      <c r="AW834" s="21">
        <f t="shared" si="111"/>
        <v>2</v>
      </c>
      <c r="AX834" s="21" t="str">
        <f t="shared" si="110"/>
        <v/>
      </c>
      <c r="AY834" s="21" t="str">
        <f>IF(AND($AM834&lt;&gt;"",$AS834&lt;&gt;"✓"),SUMPRODUCT(($AM$11:$AM834&lt;&gt;"")*($AS$11:$AS834&lt;&gt;"✓")),"")</f>
        <v/>
      </c>
      <c r="AZ834" s="21" t="str">
        <f>IF(AND($AM834&lt;&gt;"",$AS834="✓"),SUMPRODUCT(($AM$11:$AM834&lt;&gt;"")*($AS$11:$AS834="✓")),"")</f>
        <v/>
      </c>
      <c r="BA834" s="21" t="str">
        <f>IF($AL834="","",$AL834&amp;"|"&amp;COUNTIF($AL$11:$AL834,$AL834))</f>
        <v/>
      </c>
    </row>
    <row r="835" spans="23:53" ht="15" customHeight="1" x14ac:dyDescent="0.25">
      <c r="W835" s="14" t="str">
        <f>IF(X835="","",IFERROR(INDEX($AL$11:$AL$4010,MATCH(825,$AY$11:$AY$4010,0)),""))</f>
        <v/>
      </c>
      <c r="X835" s="12" t="str">
        <f>IFERROR(INDEX($AM$11:$AM$4010,MATCH(825,$AY$11:$AY$4010,0)),"")</f>
        <v/>
      </c>
      <c r="Y835" s="11" t="str">
        <f>IF(X835="","",IFERROR(INDEX($AN$11:$AN$4010,MATCH(825,$AY$11:$AY$4010,0)),""))</f>
        <v/>
      </c>
      <c r="Z835" s="11" t="str">
        <f>IF(X835="","",IFERROR(INDEX($AO$11:$AO$4010,MATCH(825,$AY$11:$AY$4010,0)),""))</f>
        <v/>
      </c>
      <c r="AA835" s="10" t="str">
        <f>IF(X835="","",IFERROR(INDEX($AQ$11:$AQ$4010,MATCH(825,$AY$11:$AY$4010,0)),""))</f>
        <v/>
      </c>
      <c r="AB835" s="15" t="str">
        <f>IF(X835="","",IFERROR(INDEX($AR$11:$AR$4010,MATCH(825,$AY$11:$AY$4010,0)),""))</f>
        <v/>
      </c>
      <c r="AD835" s="16" t="str">
        <f>IF(AE835="","",IFERROR(INDEX($AL$11:$AL$4010,MATCH(825,$AZ$11:$AZ$4010,0)),""))</f>
        <v/>
      </c>
      <c r="AE835" s="12" t="str">
        <f>IFERROR(INDEX($AM$11:$AM$4010,MATCH(825,$AZ$11:$AZ$4010,0)),"")</f>
        <v/>
      </c>
      <c r="AF835" s="11" t="str">
        <f>IF(AE835="","",IFERROR(INDEX($AN$11:$AN$4010,MATCH(825,$AZ$11:$AZ$4010,0)),""))</f>
        <v/>
      </c>
      <c r="AG835" s="11" t="str">
        <f>IF(AE835="","",IFERROR(INDEX($AO$11:$AO$4010,MATCH(825,$AZ$11:$AZ$4010,0)),""))</f>
        <v/>
      </c>
      <c r="AH835" s="10" t="str">
        <f>IF(AE835="","",IFERROR(INDEX($AQ$11:$AQ$4010,MATCH(825,$AZ$11:$AZ$4010,0)),""))</f>
        <v/>
      </c>
      <c r="AI835" s="15" t="str">
        <f>IF(AE835="","",IFERROR(INDEX($AR$11:$AR$4010,MATCH(825,$AZ$11:$AZ$4010,0)),""))</f>
        <v/>
      </c>
      <c r="AJ835" s="15" t="str">
        <f>IF(AE835="","",IFERROR(INDEX($AT$11:$AT$4010,MATCH(825,$AZ$11:$AZ$4010,0)),""))</f>
        <v/>
      </c>
      <c r="AL835" s="17"/>
      <c r="AM835" s="12"/>
      <c r="AN835" s="18"/>
      <c r="AO835" s="18"/>
      <c r="AP835" s="10"/>
      <c r="AQ835" s="10"/>
      <c r="AR835" s="19"/>
      <c r="AS835" s="20"/>
      <c r="AT835" s="19"/>
      <c r="AV835" s="21">
        <f>IF(AND($AL835&lt;&gt;"",COUNTIF($AL$11:$AL835,$AL835)=1),1,0)</f>
        <v>0</v>
      </c>
      <c r="AW835" s="21">
        <f t="shared" si="111"/>
        <v>2</v>
      </c>
      <c r="AX835" s="21" t="str">
        <f t="shared" si="110"/>
        <v/>
      </c>
      <c r="AY835" s="21" t="str">
        <f>IF(AND($AM835&lt;&gt;"",$AS835&lt;&gt;"✓"),SUMPRODUCT(($AM$11:$AM835&lt;&gt;"")*($AS$11:$AS835&lt;&gt;"✓")),"")</f>
        <v/>
      </c>
      <c r="AZ835" s="21" t="str">
        <f>IF(AND($AM835&lt;&gt;"",$AS835="✓"),SUMPRODUCT(($AM$11:$AM835&lt;&gt;"")*($AS$11:$AS835="✓")),"")</f>
        <v/>
      </c>
      <c r="BA835" s="21" t="str">
        <f>IF($AL835="","",$AL835&amp;"|"&amp;COUNTIF($AL$11:$AL835,$AL835))</f>
        <v/>
      </c>
    </row>
    <row r="836" spans="23:53" ht="15" customHeight="1" x14ac:dyDescent="0.25">
      <c r="W836" s="28" t="str">
        <f>IF(X836="","",IFERROR(INDEX($AL$11:$AL$4010,MATCH(826,$AY$11:$AY$4010,0)),""))</f>
        <v/>
      </c>
      <c r="X836" s="26" t="str">
        <f>IFERROR(INDEX($AM$11:$AM$4010,MATCH(826,$AY$11:$AY$4010,0)),"")</f>
        <v/>
      </c>
      <c r="Y836" s="25" t="str">
        <f>IF(X836="","",IFERROR(INDEX($AN$11:$AN$4010,MATCH(826,$AY$11:$AY$4010,0)),""))</f>
        <v/>
      </c>
      <c r="Z836" s="25" t="str">
        <f>IF(X836="","",IFERROR(INDEX($AO$11:$AO$4010,MATCH(826,$AY$11:$AY$4010,0)),""))</f>
        <v/>
      </c>
      <c r="AA836" s="24" t="str">
        <f>IF(X836="","",IFERROR(INDEX($AQ$11:$AQ$4010,MATCH(826,$AY$11:$AY$4010,0)),""))</f>
        <v/>
      </c>
      <c r="AB836" s="29" t="str">
        <f>IF(X836="","",IFERROR(INDEX($AR$11:$AR$4010,MATCH(826,$AY$11:$AY$4010,0)),""))</f>
        <v/>
      </c>
      <c r="AD836" s="30" t="str">
        <f>IF(AE836="","",IFERROR(INDEX($AL$11:$AL$4010,MATCH(826,$AZ$11:$AZ$4010,0)),""))</f>
        <v/>
      </c>
      <c r="AE836" s="26" t="str">
        <f>IFERROR(INDEX($AM$11:$AM$4010,MATCH(826,$AZ$11:$AZ$4010,0)),"")</f>
        <v/>
      </c>
      <c r="AF836" s="25" t="str">
        <f>IF(AE836="","",IFERROR(INDEX($AN$11:$AN$4010,MATCH(826,$AZ$11:$AZ$4010,0)),""))</f>
        <v/>
      </c>
      <c r="AG836" s="25" t="str">
        <f>IF(AE836="","",IFERROR(INDEX($AO$11:$AO$4010,MATCH(826,$AZ$11:$AZ$4010,0)),""))</f>
        <v/>
      </c>
      <c r="AH836" s="24" t="str">
        <f>IF(AE836="","",IFERROR(INDEX($AQ$11:$AQ$4010,MATCH(826,$AZ$11:$AZ$4010,0)),""))</f>
        <v/>
      </c>
      <c r="AI836" s="29" t="str">
        <f>IF(AE836="","",IFERROR(INDEX($AR$11:$AR$4010,MATCH(826,$AZ$11:$AZ$4010,0)),""))</f>
        <v/>
      </c>
      <c r="AJ836" s="29" t="str">
        <f>IF(AE836="","",IFERROR(INDEX($AT$11:$AT$4010,MATCH(826,$AZ$11:$AZ$4010,0)),""))</f>
        <v/>
      </c>
      <c r="AL836" s="31"/>
      <c r="AM836" s="26"/>
      <c r="AN836" s="32"/>
      <c r="AO836" s="32"/>
      <c r="AP836" s="24"/>
      <c r="AQ836" s="24"/>
      <c r="AR836" s="33"/>
      <c r="AS836" s="34"/>
      <c r="AT836" s="33"/>
      <c r="AV836" s="21">
        <f>IF(AND($AL836&lt;&gt;"",COUNTIF($AL$11:$AL836,$AL836)=1),1,0)</f>
        <v>0</v>
      </c>
      <c r="AW836" s="21">
        <f t="shared" si="111"/>
        <v>2</v>
      </c>
      <c r="AX836" s="21" t="str">
        <f t="shared" si="110"/>
        <v/>
      </c>
      <c r="AY836" s="21" t="str">
        <f>IF(AND($AM836&lt;&gt;"",$AS836&lt;&gt;"✓"),SUMPRODUCT(($AM$11:$AM836&lt;&gt;"")*($AS$11:$AS836&lt;&gt;"✓")),"")</f>
        <v/>
      </c>
      <c r="AZ836" s="21" t="str">
        <f>IF(AND($AM836&lt;&gt;"",$AS836="✓"),SUMPRODUCT(($AM$11:$AM836&lt;&gt;"")*($AS$11:$AS836="✓")),"")</f>
        <v/>
      </c>
      <c r="BA836" s="21" t="str">
        <f>IF($AL836="","",$AL836&amp;"|"&amp;COUNTIF($AL$11:$AL836,$AL836))</f>
        <v/>
      </c>
    </row>
    <row r="837" spans="23:53" ht="15" customHeight="1" x14ac:dyDescent="0.25">
      <c r="W837" s="14" t="str">
        <f>IF(X837="","",IFERROR(INDEX($AL$11:$AL$4010,MATCH(827,$AY$11:$AY$4010,0)),""))</f>
        <v/>
      </c>
      <c r="X837" s="12" t="str">
        <f>IFERROR(INDEX($AM$11:$AM$4010,MATCH(827,$AY$11:$AY$4010,0)),"")</f>
        <v/>
      </c>
      <c r="Y837" s="11" t="str">
        <f>IF(X837="","",IFERROR(INDEX($AN$11:$AN$4010,MATCH(827,$AY$11:$AY$4010,0)),""))</f>
        <v/>
      </c>
      <c r="Z837" s="11" t="str">
        <f>IF(X837="","",IFERROR(INDEX($AO$11:$AO$4010,MATCH(827,$AY$11:$AY$4010,0)),""))</f>
        <v/>
      </c>
      <c r="AA837" s="10" t="str">
        <f>IF(X837="","",IFERROR(INDEX($AQ$11:$AQ$4010,MATCH(827,$AY$11:$AY$4010,0)),""))</f>
        <v/>
      </c>
      <c r="AB837" s="15" t="str">
        <f>IF(X837="","",IFERROR(INDEX($AR$11:$AR$4010,MATCH(827,$AY$11:$AY$4010,0)),""))</f>
        <v/>
      </c>
      <c r="AD837" s="16" t="str">
        <f>IF(AE837="","",IFERROR(INDEX($AL$11:$AL$4010,MATCH(827,$AZ$11:$AZ$4010,0)),""))</f>
        <v/>
      </c>
      <c r="AE837" s="12" t="str">
        <f>IFERROR(INDEX($AM$11:$AM$4010,MATCH(827,$AZ$11:$AZ$4010,0)),"")</f>
        <v/>
      </c>
      <c r="AF837" s="11" t="str">
        <f>IF(AE837="","",IFERROR(INDEX($AN$11:$AN$4010,MATCH(827,$AZ$11:$AZ$4010,0)),""))</f>
        <v/>
      </c>
      <c r="AG837" s="11" t="str">
        <f>IF(AE837="","",IFERROR(INDEX($AO$11:$AO$4010,MATCH(827,$AZ$11:$AZ$4010,0)),""))</f>
        <v/>
      </c>
      <c r="AH837" s="10" t="str">
        <f>IF(AE837="","",IFERROR(INDEX($AQ$11:$AQ$4010,MATCH(827,$AZ$11:$AZ$4010,0)),""))</f>
        <v/>
      </c>
      <c r="AI837" s="15" t="str">
        <f>IF(AE837="","",IFERROR(INDEX($AR$11:$AR$4010,MATCH(827,$AZ$11:$AZ$4010,0)),""))</f>
        <v/>
      </c>
      <c r="AJ837" s="15" t="str">
        <f>IF(AE837="","",IFERROR(INDEX($AT$11:$AT$4010,MATCH(827,$AZ$11:$AZ$4010,0)),""))</f>
        <v/>
      </c>
      <c r="AL837" s="17"/>
      <c r="AM837" s="12"/>
      <c r="AN837" s="18"/>
      <c r="AO837" s="18"/>
      <c r="AP837" s="10"/>
      <c r="AQ837" s="10"/>
      <c r="AR837" s="19"/>
      <c r="AS837" s="20"/>
      <c r="AT837" s="19"/>
      <c r="AV837" s="21">
        <f>IF(AND($AL837&lt;&gt;"",COUNTIF($AL$11:$AL837,$AL837)=1),1,0)</f>
        <v>0</v>
      </c>
      <c r="AW837" s="21">
        <f t="shared" si="111"/>
        <v>2</v>
      </c>
      <c r="AX837" s="21" t="str">
        <f t="shared" si="110"/>
        <v/>
      </c>
      <c r="AY837" s="21" t="str">
        <f>IF(AND($AM837&lt;&gt;"",$AS837&lt;&gt;"✓"),SUMPRODUCT(($AM$11:$AM837&lt;&gt;"")*($AS$11:$AS837&lt;&gt;"✓")),"")</f>
        <v/>
      </c>
      <c r="AZ837" s="21" t="str">
        <f>IF(AND($AM837&lt;&gt;"",$AS837="✓"),SUMPRODUCT(($AM$11:$AM837&lt;&gt;"")*($AS$11:$AS837="✓")),"")</f>
        <v/>
      </c>
      <c r="BA837" s="21" t="str">
        <f>IF($AL837="","",$AL837&amp;"|"&amp;COUNTIF($AL$11:$AL837,$AL837))</f>
        <v/>
      </c>
    </row>
    <row r="838" spans="23:53" ht="15" customHeight="1" x14ac:dyDescent="0.25">
      <c r="W838" s="28" t="str">
        <f>IF(X838="","",IFERROR(INDEX($AL$11:$AL$4010,MATCH(828,$AY$11:$AY$4010,0)),""))</f>
        <v/>
      </c>
      <c r="X838" s="26" t="str">
        <f>IFERROR(INDEX($AM$11:$AM$4010,MATCH(828,$AY$11:$AY$4010,0)),"")</f>
        <v/>
      </c>
      <c r="Y838" s="25" t="str">
        <f>IF(X838="","",IFERROR(INDEX($AN$11:$AN$4010,MATCH(828,$AY$11:$AY$4010,0)),""))</f>
        <v/>
      </c>
      <c r="Z838" s="25" t="str">
        <f>IF(X838="","",IFERROR(INDEX($AO$11:$AO$4010,MATCH(828,$AY$11:$AY$4010,0)),""))</f>
        <v/>
      </c>
      <c r="AA838" s="24" t="str">
        <f>IF(X838="","",IFERROR(INDEX($AQ$11:$AQ$4010,MATCH(828,$AY$11:$AY$4010,0)),""))</f>
        <v/>
      </c>
      <c r="AB838" s="29" t="str">
        <f>IF(X838="","",IFERROR(INDEX($AR$11:$AR$4010,MATCH(828,$AY$11:$AY$4010,0)),""))</f>
        <v/>
      </c>
      <c r="AD838" s="30" t="str">
        <f>IF(AE838="","",IFERROR(INDEX($AL$11:$AL$4010,MATCH(828,$AZ$11:$AZ$4010,0)),""))</f>
        <v/>
      </c>
      <c r="AE838" s="26" t="str">
        <f>IFERROR(INDEX($AM$11:$AM$4010,MATCH(828,$AZ$11:$AZ$4010,0)),"")</f>
        <v/>
      </c>
      <c r="AF838" s="25" t="str">
        <f>IF(AE838="","",IFERROR(INDEX($AN$11:$AN$4010,MATCH(828,$AZ$11:$AZ$4010,0)),""))</f>
        <v/>
      </c>
      <c r="AG838" s="25" t="str">
        <f>IF(AE838="","",IFERROR(INDEX($AO$11:$AO$4010,MATCH(828,$AZ$11:$AZ$4010,0)),""))</f>
        <v/>
      </c>
      <c r="AH838" s="24" t="str">
        <f>IF(AE838="","",IFERROR(INDEX($AQ$11:$AQ$4010,MATCH(828,$AZ$11:$AZ$4010,0)),""))</f>
        <v/>
      </c>
      <c r="AI838" s="29" t="str">
        <f>IF(AE838="","",IFERROR(INDEX($AR$11:$AR$4010,MATCH(828,$AZ$11:$AZ$4010,0)),""))</f>
        <v/>
      </c>
      <c r="AJ838" s="29" t="str">
        <f>IF(AE838="","",IFERROR(INDEX($AT$11:$AT$4010,MATCH(828,$AZ$11:$AZ$4010,0)),""))</f>
        <v/>
      </c>
      <c r="AL838" s="31"/>
      <c r="AM838" s="26"/>
      <c r="AN838" s="32"/>
      <c r="AO838" s="32"/>
      <c r="AP838" s="24"/>
      <c r="AQ838" s="24"/>
      <c r="AR838" s="33"/>
      <c r="AS838" s="34"/>
      <c r="AT838" s="33"/>
      <c r="AV838" s="21">
        <f>IF(AND($AL838&lt;&gt;"",COUNTIF($AL$11:$AL838,$AL838)=1),1,0)</f>
        <v>0</v>
      </c>
      <c r="AW838" s="21">
        <f t="shared" si="111"/>
        <v>2</v>
      </c>
      <c r="AX838" s="21" t="str">
        <f t="shared" si="110"/>
        <v/>
      </c>
      <c r="AY838" s="21" t="str">
        <f>IF(AND($AM838&lt;&gt;"",$AS838&lt;&gt;"✓"),SUMPRODUCT(($AM$11:$AM838&lt;&gt;"")*($AS$11:$AS838&lt;&gt;"✓")),"")</f>
        <v/>
      </c>
      <c r="AZ838" s="21" t="str">
        <f>IF(AND($AM838&lt;&gt;"",$AS838="✓"),SUMPRODUCT(($AM$11:$AM838&lt;&gt;"")*($AS$11:$AS838="✓")),"")</f>
        <v/>
      </c>
      <c r="BA838" s="21" t="str">
        <f>IF($AL838="","",$AL838&amp;"|"&amp;COUNTIF($AL$11:$AL838,$AL838))</f>
        <v/>
      </c>
    </row>
    <row r="839" spans="23:53" ht="15" customHeight="1" x14ac:dyDescent="0.25">
      <c r="W839" s="14" t="str">
        <f>IF(X839="","",IFERROR(INDEX($AL$11:$AL$4010,MATCH(829,$AY$11:$AY$4010,0)),""))</f>
        <v/>
      </c>
      <c r="X839" s="12" t="str">
        <f>IFERROR(INDEX($AM$11:$AM$4010,MATCH(829,$AY$11:$AY$4010,0)),"")</f>
        <v/>
      </c>
      <c r="Y839" s="11" t="str">
        <f>IF(X839="","",IFERROR(INDEX($AN$11:$AN$4010,MATCH(829,$AY$11:$AY$4010,0)),""))</f>
        <v/>
      </c>
      <c r="Z839" s="11" t="str">
        <f>IF(X839="","",IFERROR(INDEX($AO$11:$AO$4010,MATCH(829,$AY$11:$AY$4010,0)),""))</f>
        <v/>
      </c>
      <c r="AA839" s="10" t="str">
        <f>IF(X839="","",IFERROR(INDEX($AQ$11:$AQ$4010,MATCH(829,$AY$11:$AY$4010,0)),""))</f>
        <v/>
      </c>
      <c r="AB839" s="15" t="str">
        <f>IF(X839="","",IFERROR(INDEX($AR$11:$AR$4010,MATCH(829,$AY$11:$AY$4010,0)),""))</f>
        <v/>
      </c>
      <c r="AD839" s="16" t="str">
        <f>IF(AE839="","",IFERROR(INDEX($AL$11:$AL$4010,MATCH(829,$AZ$11:$AZ$4010,0)),""))</f>
        <v/>
      </c>
      <c r="AE839" s="12" t="str">
        <f>IFERROR(INDEX($AM$11:$AM$4010,MATCH(829,$AZ$11:$AZ$4010,0)),"")</f>
        <v/>
      </c>
      <c r="AF839" s="11" t="str">
        <f>IF(AE839="","",IFERROR(INDEX($AN$11:$AN$4010,MATCH(829,$AZ$11:$AZ$4010,0)),""))</f>
        <v/>
      </c>
      <c r="AG839" s="11" t="str">
        <f>IF(AE839="","",IFERROR(INDEX($AO$11:$AO$4010,MATCH(829,$AZ$11:$AZ$4010,0)),""))</f>
        <v/>
      </c>
      <c r="AH839" s="10" t="str">
        <f>IF(AE839="","",IFERROR(INDEX($AQ$11:$AQ$4010,MATCH(829,$AZ$11:$AZ$4010,0)),""))</f>
        <v/>
      </c>
      <c r="AI839" s="15" t="str">
        <f>IF(AE839="","",IFERROR(INDEX($AR$11:$AR$4010,MATCH(829,$AZ$11:$AZ$4010,0)),""))</f>
        <v/>
      </c>
      <c r="AJ839" s="15" t="str">
        <f>IF(AE839="","",IFERROR(INDEX($AT$11:$AT$4010,MATCH(829,$AZ$11:$AZ$4010,0)),""))</f>
        <v/>
      </c>
      <c r="AL839" s="17"/>
      <c r="AM839" s="12"/>
      <c r="AN839" s="18"/>
      <c r="AO839" s="18"/>
      <c r="AP839" s="10"/>
      <c r="AQ839" s="10"/>
      <c r="AR839" s="19"/>
      <c r="AS839" s="20"/>
      <c r="AT839" s="19"/>
      <c r="AV839" s="21">
        <f>IF(AND($AL839&lt;&gt;"",COUNTIF($AL$11:$AL839,$AL839)=1),1,0)</f>
        <v>0</v>
      </c>
      <c r="AW839" s="21">
        <f t="shared" si="111"/>
        <v>2</v>
      </c>
      <c r="AX839" s="21" t="str">
        <f t="shared" si="110"/>
        <v/>
      </c>
      <c r="AY839" s="21" t="str">
        <f>IF(AND($AM839&lt;&gt;"",$AS839&lt;&gt;"✓"),SUMPRODUCT(($AM$11:$AM839&lt;&gt;"")*($AS$11:$AS839&lt;&gt;"✓")),"")</f>
        <v/>
      </c>
      <c r="AZ839" s="21" t="str">
        <f>IF(AND($AM839&lt;&gt;"",$AS839="✓"),SUMPRODUCT(($AM$11:$AM839&lt;&gt;"")*($AS$11:$AS839="✓")),"")</f>
        <v/>
      </c>
      <c r="BA839" s="21" t="str">
        <f>IF($AL839="","",$AL839&amp;"|"&amp;COUNTIF($AL$11:$AL839,$AL839))</f>
        <v/>
      </c>
    </row>
    <row r="840" spans="23:53" ht="15" customHeight="1" x14ac:dyDescent="0.25">
      <c r="W840" s="28" t="str">
        <f>IF(X840="","",IFERROR(INDEX($AL$11:$AL$4010,MATCH(830,$AY$11:$AY$4010,0)),""))</f>
        <v/>
      </c>
      <c r="X840" s="26" t="str">
        <f>IFERROR(INDEX($AM$11:$AM$4010,MATCH(830,$AY$11:$AY$4010,0)),"")</f>
        <v/>
      </c>
      <c r="Y840" s="25" t="str">
        <f>IF(X840="","",IFERROR(INDEX($AN$11:$AN$4010,MATCH(830,$AY$11:$AY$4010,0)),""))</f>
        <v/>
      </c>
      <c r="Z840" s="25" t="str">
        <f>IF(X840="","",IFERROR(INDEX($AO$11:$AO$4010,MATCH(830,$AY$11:$AY$4010,0)),""))</f>
        <v/>
      </c>
      <c r="AA840" s="24" t="str">
        <f>IF(X840="","",IFERROR(INDEX($AQ$11:$AQ$4010,MATCH(830,$AY$11:$AY$4010,0)),""))</f>
        <v/>
      </c>
      <c r="AB840" s="29" t="str">
        <f>IF(X840="","",IFERROR(INDEX($AR$11:$AR$4010,MATCH(830,$AY$11:$AY$4010,0)),""))</f>
        <v/>
      </c>
      <c r="AD840" s="30" t="str">
        <f>IF(AE840="","",IFERROR(INDEX($AL$11:$AL$4010,MATCH(830,$AZ$11:$AZ$4010,0)),""))</f>
        <v/>
      </c>
      <c r="AE840" s="26" t="str">
        <f>IFERROR(INDEX($AM$11:$AM$4010,MATCH(830,$AZ$11:$AZ$4010,0)),"")</f>
        <v/>
      </c>
      <c r="AF840" s="25" t="str">
        <f>IF(AE840="","",IFERROR(INDEX($AN$11:$AN$4010,MATCH(830,$AZ$11:$AZ$4010,0)),""))</f>
        <v/>
      </c>
      <c r="AG840" s="25" t="str">
        <f>IF(AE840="","",IFERROR(INDEX($AO$11:$AO$4010,MATCH(830,$AZ$11:$AZ$4010,0)),""))</f>
        <v/>
      </c>
      <c r="AH840" s="24" t="str">
        <f>IF(AE840="","",IFERROR(INDEX($AQ$11:$AQ$4010,MATCH(830,$AZ$11:$AZ$4010,0)),""))</f>
        <v/>
      </c>
      <c r="AI840" s="29" t="str">
        <f>IF(AE840="","",IFERROR(INDEX($AR$11:$AR$4010,MATCH(830,$AZ$11:$AZ$4010,0)),""))</f>
        <v/>
      </c>
      <c r="AJ840" s="29" t="str">
        <f>IF(AE840="","",IFERROR(INDEX($AT$11:$AT$4010,MATCH(830,$AZ$11:$AZ$4010,0)),""))</f>
        <v/>
      </c>
      <c r="AL840" s="31"/>
      <c r="AM840" s="26"/>
      <c r="AN840" s="32"/>
      <c r="AO840" s="32"/>
      <c r="AP840" s="24"/>
      <c r="AQ840" s="24"/>
      <c r="AR840" s="33"/>
      <c r="AS840" s="34"/>
      <c r="AT840" s="33"/>
      <c r="AV840" s="21">
        <f>IF(AND($AL840&lt;&gt;"",COUNTIF($AL$11:$AL840,$AL840)=1),1,0)</f>
        <v>0</v>
      </c>
      <c r="AW840" s="21">
        <f t="shared" si="111"/>
        <v>2</v>
      </c>
      <c r="AX840" s="21" t="str">
        <f t="shared" si="110"/>
        <v/>
      </c>
      <c r="AY840" s="21" t="str">
        <f>IF(AND($AM840&lt;&gt;"",$AS840&lt;&gt;"✓"),SUMPRODUCT(($AM$11:$AM840&lt;&gt;"")*($AS$11:$AS840&lt;&gt;"✓")),"")</f>
        <v/>
      </c>
      <c r="AZ840" s="21" t="str">
        <f>IF(AND($AM840&lt;&gt;"",$AS840="✓"),SUMPRODUCT(($AM$11:$AM840&lt;&gt;"")*($AS$11:$AS840="✓")),"")</f>
        <v/>
      </c>
      <c r="BA840" s="21" t="str">
        <f>IF($AL840="","",$AL840&amp;"|"&amp;COUNTIF($AL$11:$AL840,$AL840))</f>
        <v/>
      </c>
    </row>
    <row r="841" spans="23:53" ht="15" customHeight="1" x14ac:dyDescent="0.25">
      <c r="W841" s="14" t="str">
        <f>IF(X841="","",IFERROR(INDEX($AL$11:$AL$4010,MATCH(831,$AY$11:$AY$4010,0)),""))</f>
        <v/>
      </c>
      <c r="X841" s="12" t="str">
        <f>IFERROR(INDEX($AM$11:$AM$4010,MATCH(831,$AY$11:$AY$4010,0)),"")</f>
        <v/>
      </c>
      <c r="Y841" s="11" t="str">
        <f>IF(X841="","",IFERROR(INDEX($AN$11:$AN$4010,MATCH(831,$AY$11:$AY$4010,0)),""))</f>
        <v/>
      </c>
      <c r="Z841" s="11" t="str">
        <f>IF(X841="","",IFERROR(INDEX($AO$11:$AO$4010,MATCH(831,$AY$11:$AY$4010,0)),""))</f>
        <v/>
      </c>
      <c r="AA841" s="10" t="str">
        <f>IF(X841="","",IFERROR(INDEX($AQ$11:$AQ$4010,MATCH(831,$AY$11:$AY$4010,0)),""))</f>
        <v/>
      </c>
      <c r="AB841" s="15" t="str">
        <f>IF(X841="","",IFERROR(INDEX($AR$11:$AR$4010,MATCH(831,$AY$11:$AY$4010,0)),""))</f>
        <v/>
      </c>
      <c r="AD841" s="16" t="str">
        <f>IF(AE841="","",IFERROR(INDEX($AL$11:$AL$4010,MATCH(831,$AZ$11:$AZ$4010,0)),""))</f>
        <v/>
      </c>
      <c r="AE841" s="12" t="str">
        <f>IFERROR(INDEX($AM$11:$AM$4010,MATCH(831,$AZ$11:$AZ$4010,0)),"")</f>
        <v/>
      </c>
      <c r="AF841" s="11" t="str">
        <f>IF(AE841="","",IFERROR(INDEX($AN$11:$AN$4010,MATCH(831,$AZ$11:$AZ$4010,0)),""))</f>
        <v/>
      </c>
      <c r="AG841" s="11" t="str">
        <f>IF(AE841="","",IFERROR(INDEX($AO$11:$AO$4010,MATCH(831,$AZ$11:$AZ$4010,0)),""))</f>
        <v/>
      </c>
      <c r="AH841" s="10" t="str">
        <f>IF(AE841="","",IFERROR(INDEX($AQ$11:$AQ$4010,MATCH(831,$AZ$11:$AZ$4010,0)),""))</f>
        <v/>
      </c>
      <c r="AI841" s="15" t="str">
        <f>IF(AE841="","",IFERROR(INDEX($AR$11:$AR$4010,MATCH(831,$AZ$11:$AZ$4010,0)),""))</f>
        <v/>
      </c>
      <c r="AJ841" s="15" t="str">
        <f>IF(AE841="","",IFERROR(INDEX($AT$11:$AT$4010,MATCH(831,$AZ$11:$AZ$4010,0)),""))</f>
        <v/>
      </c>
      <c r="AL841" s="17"/>
      <c r="AM841" s="12"/>
      <c r="AN841" s="18"/>
      <c r="AO841" s="18"/>
      <c r="AP841" s="10"/>
      <c r="AQ841" s="10"/>
      <c r="AR841" s="19"/>
      <c r="AS841" s="20"/>
      <c r="AT841" s="19"/>
      <c r="AV841" s="21">
        <f>IF(AND($AL841&lt;&gt;"",COUNTIF($AL$11:$AL841,$AL841)=1),1,0)</f>
        <v>0</v>
      </c>
      <c r="AW841" s="21">
        <f t="shared" si="111"/>
        <v>2</v>
      </c>
      <c r="AX841" s="21" t="str">
        <f t="shared" si="110"/>
        <v/>
      </c>
      <c r="AY841" s="21" t="str">
        <f>IF(AND($AM841&lt;&gt;"",$AS841&lt;&gt;"✓"),SUMPRODUCT(($AM$11:$AM841&lt;&gt;"")*($AS$11:$AS841&lt;&gt;"✓")),"")</f>
        <v/>
      </c>
      <c r="AZ841" s="21" t="str">
        <f>IF(AND($AM841&lt;&gt;"",$AS841="✓"),SUMPRODUCT(($AM$11:$AM841&lt;&gt;"")*($AS$11:$AS841="✓")),"")</f>
        <v/>
      </c>
      <c r="BA841" s="21" t="str">
        <f>IF($AL841="","",$AL841&amp;"|"&amp;COUNTIF($AL$11:$AL841,$AL841))</f>
        <v/>
      </c>
    </row>
    <row r="842" spans="23:53" ht="15" customHeight="1" x14ac:dyDescent="0.25">
      <c r="W842" s="28" t="str">
        <f>IF(X842="","",IFERROR(INDEX($AL$11:$AL$4010,MATCH(832,$AY$11:$AY$4010,0)),""))</f>
        <v/>
      </c>
      <c r="X842" s="26" t="str">
        <f>IFERROR(INDEX($AM$11:$AM$4010,MATCH(832,$AY$11:$AY$4010,0)),"")</f>
        <v/>
      </c>
      <c r="Y842" s="25" t="str">
        <f>IF(X842="","",IFERROR(INDEX($AN$11:$AN$4010,MATCH(832,$AY$11:$AY$4010,0)),""))</f>
        <v/>
      </c>
      <c r="Z842" s="25" t="str">
        <f>IF(X842="","",IFERROR(INDEX($AO$11:$AO$4010,MATCH(832,$AY$11:$AY$4010,0)),""))</f>
        <v/>
      </c>
      <c r="AA842" s="24" t="str">
        <f>IF(X842="","",IFERROR(INDEX($AQ$11:$AQ$4010,MATCH(832,$AY$11:$AY$4010,0)),""))</f>
        <v/>
      </c>
      <c r="AB842" s="29" t="str">
        <f>IF(X842="","",IFERROR(INDEX($AR$11:$AR$4010,MATCH(832,$AY$11:$AY$4010,0)),""))</f>
        <v/>
      </c>
      <c r="AD842" s="30" t="str">
        <f>IF(AE842="","",IFERROR(INDEX($AL$11:$AL$4010,MATCH(832,$AZ$11:$AZ$4010,0)),""))</f>
        <v/>
      </c>
      <c r="AE842" s="26" t="str">
        <f>IFERROR(INDEX($AM$11:$AM$4010,MATCH(832,$AZ$11:$AZ$4010,0)),"")</f>
        <v/>
      </c>
      <c r="AF842" s="25" t="str">
        <f>IF(AE842="","",IFERROR(INDEX($AN$11:$AN$4010,MATCH(832,$AZ$11:$AZ$4010,0)),""))</f>
        <v/>
      </c>
      <c r="AG842" s="25" t="str">
        <f>IF(AE842="","",IFERROR(INDEX($AO$11:$AO$4010,MATCH(832,$AZ$11:$AZ$4010,0)),""))</f>
        <v/>
      </c>
      <c r="AH842" s="24" t="str">
        <f>IF(AE842="","",IFERROR(INDEX($AQ$11:$AQ$4010,MATCH(832,$AZ$11:$AZ$4010,0)),""))</f>
        <v/>
      </c>
      <c r="AI842" s="29" t="str">
        <f>IF(AE842="","",IFERROR(INDEX($AR$11:$AR$4010,MATCH(832,$AZ$11:$AZ$4010,0)),""))</f>
        <v/>
      </c>
      <c r="AJ842" s="29" t="str">
        <f>IF(AE842="","",IFERROR(INDEX($AT$11:$AT$4010,MATCH(832,$AZ$11:$AZ$4010,0)),""))</f>
        <v/>
      </c>
      <c r="AL842" s="31"/>
      <c r="AM842" s="26"/>
      <c r="AN842" s="32"/>
      <c r="AO842" s="32"/>
      <c r="AP842" s="24"/>
      <c r="AQ842" s="24"/>
      <c r="AR842" s="33"/>
      <c r="AS842" s="34"/>
      <c r="AT842" s="33"/>
      <c r="AV842" s="21">
        <f>IF(AND($AL842&lt;&gt;"",COUNTIF($AL$11:$AL842,$AL842)=1),1,0)</f>
        <v>0</v>
      </c>
      <c r="AW842" s="21">
        <f t="shared" si="111"/>
        <v>2</v>
      </c>
      <c r="AX842" s="21" t="str">
        <f t="shared" si="110"/>
        <v/>
      </c>
      <c r="AY842" s="21" t="str">
        <f>IF(AND($AM842&lt;&gt;"",$AS842&lt;&gt;"✓"),SUMPRODUCT(($AM$11:$AM842&lt;&gt;"")*($AS$11:$AS842&lt;&gt;"✓")),"")</f>
        <v/>
      </c>
      <c r="AZ842" s="21" t="str">
        <f>IF(AND($AM842&lt;&gt;"",$AS842="✓"),SUMPRODUCT(($AM$11:$AM842&lt;&gt;"")*($AS$11:$AS842="✓")),"")</f>
        <v/>
      </c>
      <c r="BA842" s="21" t="str">
        <f>IF($AL842="","",$AL842&amp;"|"&amp;COUNTIF($AL$11:$AL842,$AL842))</f>
        <v/>
      </c>
    </row>
    <row r="843" spans="23:53" ht="15" customHeight="1" x14ac:dyDescent="0.25">
      <c r="W843" s="14" t="str">
        <f>IF(X843="","",IFERROR(INDEX($AL$11:$AL$4010,MATCH(833,$AY$11:$AY$4010,0)),""))</f>
        <v/>
      </c>
      <c r="X843" s="12" t="str">
        <f>IFERROR(INDEX($AM$11:$AM$4010,MATCH(833,$AY$11:$AY$4010,0)),"")</f>
        <v/>
      </c>
      <c r="Y843" s="11" t="str">
        <f>IF(X843="","",IFERROR(INDEX($AN$11:$AN$4010,MATCH(833,$AY$11:$AY$4010,0)),""))</f>
        <v/>
      </c>
      <c r="Z843" s="11" t="str">
        <f>IF(X843="","",IFERROR(INDEX($AO$11:$AO$4010,MATCH(833,$AY$11:$AY$4010,0)),""))</f>
        <v/>
      </c>
      <c r="AA843" s="10" t="str">
        <f>IF(X843="","",IFERROR(INDEX($AQ$11:$AQ$4010,MATCH(833,$AY$11:$AY$4010,0)),""))</f>
        <v/>
      </c>
      <c r="AB843" s="15" t="str">
        <f>IF(X843="","",IFERROR(INDEX($AR$11:$AR$4010,MATCH(833,$AY$11:$AY$4010,0)),""))</f>
        <v/>
      </c>
      <c r="AD843" s="16" t="str">
        <f>IF(AE843="","",IFERROR(INDEX($AL$11:$AL$4010,MATCH(833,$AZ$11:$AZ$4010,0)),""))</f>
        <v/>
      </c>
      <c r="AE843" s="12" t="str">
        <f>IFERROR(INDEX($AM$11:$AM$4010,MATCH(833,$AZ$11:$AZ$4010,0)),"")</f>
        <v/>
      </c>
      <c r="AF843" s="11" t="str">
        <f>IF(AE843="","",IFERROR(INDEX($AN$11:$AN$4010,MATCH(833,$AZ$11:$AZ$4010,0)),""))</f>
        <v/>
      </c>
      <c r="AG843" s="11" t="str">
        <f>IF(AE843="","",IFERROR(INDEX($AO$11:$AO$4010,MATCH(833,$AZ$11:$AZ$4010,0)),""))</f>
        <v/>
      </c>
      <c r="AH843" s="10" t="str">
        <f>IF(AE843="","",IFERROR(INDEX($AQ$11:$AQ$4010,MATCH(833,$AZ$11:$AZ$4010,0)),""))</f>
        <v/>
      </c>
      <c r="AI843" s="15" t="str">
        <f>IF(AE843="","",IFERROR(INDEX($AR$11:$AR$4010,MATCH(833,$AZ$11:$AZ$4010,0)),""))</f>
        <v/>
      </c>
      <c r="AJ843" s="15" t="str">
        <f>IF(AE843="","",IFERROR(INDEX($AT$11:$AT$4010,MATCH(833,$AZ$11:$AZ$4010,0)),""))</f>
        <v/>
      </c>
      <c r="AL843" s="17"/>
      <c r="AM843" s="12"/>
      <c r="AN843" s="18"/>
      <c r="AO843" s="18"/>
      <c r="AP843" s="10"/>
      <c r="AQ843" s="10"/>
      <c r="AR843" s="19"/>
      <c r="AS843" s="20"/>
      <c r="AT843" s="19"/>
      <c r="AV843" s="21">
        <f>IF(AND($AL843&lt;&gt;"",COUNTIF($AL$11:$AL843,$AL843)=1),1,0)</f>
        <v>0</v>
      </c>
      <c r="AW843" s="21">
        <f t="shared" si="111"/>
        <v>2</v>
      </c>
      <c r="AX843" s="21" t="str">
        <f t="shared" ref="AX843:AX906" si="112">IF(AV843=1,AW843,"")</f>
        <v/>
      </c>
      <c r="AY843" s="21" t="str">
        <f>IF(AND($AM843&lt;&gt;"",$AS843&lt;&gt;"✓"),SUMPRODUCT(($AM$11:$AM843&lt;&gt;"")*($AS$11:$AS843&lt;&gt;"✓")),"")</f>
        <v/>
      </c>
      <c r="AZ843" s="21" t="str">
        <f>IF(AND($AM843&lt;&gt;"",$AS843="✓"),SUMPRODUCT(($AM$11:$AM843&lt;&gt;"")*($AS$11:$AS843="✓")),"")</f>
        <v/>
      </c>
      <c r="BA843" s="21" t="str">
        <f>IF($AL843="","",$AL843&amp;"|"&amp;COUNTIF($AL$11:$AL843,$AL843))</f>
        <v/>
      </c>
    </row>
    <row r="844" spans="23:53" ht="15" customHeight="1" x14ac:dyDescent="0.25">
      <c r="W844" s="28" t="str">
        <f>IF(X844="","",IFERROR(INDEX($AL$11:$AL$4010,MATCH(834,$AY$11:$AY$4010,0)),""))</f>
        <v/>
      </c>
      <c r="X844" s="26" t="str">
        <f>IFERROR(INDEX($AM$11:$AM$4010,MATCH(834,$AY$11:$AY$4010,0)),"")</f>
        <v/>
      </c>
      <c r="Y844" s="25" t="str">
        <f>IF(X844="","",IFERROR(INDEX($AN$11:$AN$4010,MATCH(834,$AY$11:$AY$4010,0)),""))</f>
        <v/>
      </c>
      <c r="Z844" s="25" t="str">
        <f>IF(X844="","",IFERROR(INDEX($AO$11:$AO$4010,MATCH(834,$AY$11:$AY$4010,0)),""))</f>
        <v/>
      </c>
      <c r="AA844" s="24" t="str">
        <f>IF(X844="","",IFERROR(INDEX($AQ$11:$AQ$4010,MATCH(834,$AY$11:$AY$4010,0)),""))</f>
        <v/>
      </c>
      <c r="AB844" s="29" t="str">
        <f>IF(X844="","",IFERROR(INDEX($AR$11:$AR$4010,MATCH(834,$AY$11:$AY$4010,0)),""))</f>
        <v/>
      </c>
      <c r="AD844" s="30" t="str">
        <f>IF(AE844="","",IFERROR(INDEX($AL$11:$AL$4010,MATCH(834,$AZ$11:$AZ$4010,0)),""))</f>
        <v/>
      </c>
      <c r="AE844" s="26" t="str">
        <f>IFERROR(INDEX($AM$11:$AM$4010,MATCH(834,$AZ$11:$AZ$4010,0)),"")</f>
        <v/>
      </c>
      <c r="AF844" s="25" t="str">
        <f>IF(AE844="","",IFERROR(INDEX($AN$11:$AN$4010,MATCH(834,$AZ$11:$AZ$4010,0)),""))</f>
        <v/>
      </c>
      <c r="AG844" s="25" t="str">
        <f>IF(AE844="","",IFERROR(INDEX($AO$11:$AO$4010,MATCH(834,$AZ$11:$AZ$4010,0)),""))</f>
        <v/>
      </c>
      <c r="AH844" s="24" t="str">
        <f>IF(AE844="","",IFERROR(INDEX($AQ$11:$AQ$4010,MATCH(834,$AZ$11:$AZ$4010,0)),""))</f>
        <v/>
      </c>
      <c r="AI844" s="29" t="str">
        <f>IF(AE844="","",IFERROR(INDEX($AR$11:$AR$4010,MATCH(834,$AZ$11:$AZ$4010,0)),""))</f>
        <v/>
      </c>
      <c r="AJ844" s="29" t="str">
        <f>IF(AE844="","",IFERROR(INDEX($AT$11:$AT$4010,MATCH(834,$AZ$11:$AZ$4010,0)),""))</f>
        <v/>
      </c>
      <c r="AL844" s="31"/>
      <c r="AM844" s="26"/>
      <c r="AN844" s="32"/>
      <c r="AO844" s="32"/>
      <c r="AP844" s="24"/>
      <c r="AQ844" s="24"/>
      <c r="AR844" s="33"/>
      <c r="AS844" s="34"/>
      <c r="AT844" s="33"/>
      <c r="AV844" s="21">
        <f>IF(AND($AL844&lt;&gt;"",COUNTIF($AL$11:$AL844,$AL844)=1),1,0)</f>
        <v>0</v>
      </c>
      <c r="AW844" s="21">
        <f t="shared" ref="AW844:AW907" si="113">AW843+AV844</f>
        <v>2</v>
      </c>
      <c r="AX844" s="21" t="str">
        <f t="shared" si="112"/>
        <v/>
      </c>
      <c r="AY844" s="21" t="str">
        <f>IF(AND($AM844&lt;&gt;"",$AS844&lt;&gt;"✓"),SUMPRODUCT(($AM$11:$AM844&lt;&gt;"")*($AS$11:$AS844&lt;&gt;"✓")),"")</f>
        <v/>
      </c>
      <c r="AZ844" s="21" t="str">
        <f>IF(AND($AM844&lt;&gt;"",$AS844="✓"),SUMPRODUCT(($AM$11:$AM844&lt;&gt;"")*($AS$11:$AS844="✓")),"")</f>
        <v/>
      </c>
      <c r="BA844" s="21" t="str">
        <f>IF($AL844="","",$AL844&amp;"|"&amp;COUNTIF($AL$11:$AL844,$AL844))</f>
        <v/>
      </c>
    </row>
    <row r="845" spans="23:53" ht="15" customHeight="1" x14ac:dyDescent="0.25">
      <c r="W845" s="14" t="str">
        <f>IF(X845="","",IFERROR(INDEX($AL$11:$AL$4010,MATCH(835,$AY$11:$AY$4010,0)),""))</f>
        <v/>
      </c>
      <c r="X845" s="12" t="str">
        <f>IFERROR(INDEX($AM$11:$AM$4010,MATCH(835,$AY$11:$AY$4010,0)),"")</f>
        <v/>
      </c>
      <c r="Y845" s="11" t="str">
        <f>IF(X845="","",IFERROR(INDEX($AN$11:$AN$4010,MATCH(835,$AY$11:$AY$4010,0)),""))</f>
        <v/>
      </c>
      <c r="Z845" s="11" t="str">
        <f>IF(X845="","",IFERROR(INDEX($AO$11:$AO$4010,MATCH(835,$AY$11:$AY$4010,0)),""))</f>
        <v/>
      </c>
      <c r="AA845" s="10" t="str">
        <f>IF(X845="","",IFERROR(INDEX($AQ$11:$AQ$4010,MATCH(835,$AY$11:$AY$4010,0)),""))</f>
        <v/>
      </c>
      <c r="AB845" s="15" t="str">
        <f>IF(X845="","",IFERROR(INDEX($AR$11:$AR$4010,MATCH(835,$AY$11:$AY$4010,0)),""))</f>
        <v/>
      </c>
      <c r="AD845" s="16" t="str">
        <f>IF(AE845="","",IFERROR(INDEX($AL$11:$AL$4010,MATCH(835,$AZ$11:$AZ$4010,0)),""))</f>
        <v/>
      </c>
      <c r="AE845" s="12" t="str">
        <f>IFERROR(INDEX($AM$11:$AM$4010,MATCH(835,$AZ$11:$AZ$4010,0)),"")</f>
        <v/>
      </c>
      <c r="AF845" s="11" t="str">
        <f>IF(AE845="","",IFERROR(INDEX($AN$11:$AN$4010,MATCH(835,$AZ$11:$AZ$4010,0)),""))</f>
        <v/>
      </c>
      <c r="AG845" s="11" t="str">
        <f>IF(AE845="","",IFERROR(INDEX($AO$11:$AO$4010,MATCH(835,$AZ$11:$AZ$4010,0)),""))</f>
        <v/>
      </c>
      <c r="AH845" s="10" t="str">
        <f>IF(AE845="","",IFERROR(INDEX($AQ$11:$AQ$4010,MATCH(835,$AZ$11:$AZ$4010,0)),""))</f>
        <v/>
      </c>
      <c r="AI845" s="15" t="str">
        <f>IF(AE845="","",IFERROR(INDEX($AR$11:$AR$4010,MATCH(835,$AZ$11:$AZ$4010,0)),""))</f>
        <v/>
      </c>
      <c r="AJ845" s="15" t="str">
        <f>IF(AE845="","",IFERROR(INDEX($AT$11:$AT$4010,MATCH(835,$AZ$11:$AZ$4010,0)),""))</f>
        <v/>
      </c>
      <c r="AL845" s="17"/>
      <c r="AM845" s="12"/>
      <c r="AN845" s="18"/>
      <c r="AO845" s="18"/>
      <c r="AP845" s="10"/>
      <c r="AQ845" s="10"/>
      <c r="AR845" s="19"/>
      <c r="AS845" s="20"/>
      <c r="AT845" s="19"/>
      <c r="AV845" s="21">
        <f>IF(AND($AL845&lt;&gt;"",COUNTIF($AL$11:$AL845,$AL845)=1),1,0)</f>
        <v>0</v>
      </c>
      <c r="AW845" s="21">
        <f t="shared" si="113"/>
        <v>2</v>
      </c>
      <c r="AX845" s="21" t="str">
        <f t="shared" si="112"/>
        <v/>
      </c>
      <c r="AY845" s="21" t="str">
        <f>IF(AND($AM845&lt;&gt;"",$AS845&lt;&gt;"✓"),SUMPRODUCT(($AM$11:$AM845&lt;&gt;"")*($AS$11:$AS845&lt;&gt;"✓")),"")</f>
        <v/>
      </c>
      <c r="AZ845" s="21" t="str">
        <f>IF(AND($AM845&lt;&gt;"",$AS845="✓"),SUMPRODUCT(($AM$11:$AM845&lt;&gt;"")*($AS$11:$AS845="✓")),"")</f>
        <v/>
      </c>
      <c r="BA845" s="21" t="str">
        <f>IF($AL845="","",$AL845&amp;"|"&amp;COUNTIF($AL$11:$AL845,$AL845))</f>
        <v/>
      </c>
    </row>
    <row r="846" spans="23:53" ht="15" customHeight="1" x14ac:dyDescent="0.25">
      <c r="W846" s="28" t="str">
        <f>IF(X846="","",IFERROR(INDEX($AL$11:$AL$4010,MATCH(836,$AY$11:$AY$4010,0)),""))</f>
        <v/>
      </c>
      <c r="X846" s="26" t="str">
        <f>IFERROR(INDEX($AM$11:$AM$4010,MATCH(836,$AY$11:$AY$4010,0)),"")</f>
        <v/>
      </c>
      <c r="Y846" s="25" t="str">
        <f>IF(X846="","",IFERROR(INDEX($AN$11:$AN$4010,MATCH(836,$AY$11:$AY$4010,0)),""))</f>
        <v/>
      </c>
      <c r="Z846" s="25" t="str">
        <f>IF(X846="","",IFERROR(INDEX($AO$11:$AO$4010,MATCH(836,$AY$11:$AY$4010,0)),""))</f>
        <v/>
      </c>
      <c r="AA846" s="24" t="str">
        <f>IF(X846="","",IFERROR(INDEX($AQ$11:$AQ$4010,MATCH(836,$AY$11:$AY$4010,0)),""))</f>
        <v/>
      </c>
      <c r="AB846" s="29" t="str">
        <f>IF(X846="","",IFERROR(INDEX($AR$11:$AR$4010,MATCH(836,$AY$11:$AY$4010,0)),""))</f>
        <v/>
      </c>
      <c r="AD846" s="30" t="str">
        <f>IF(AE846="","",IFERROR(INDEX($AL$11:$AL$4010,MATCH(836,$AZ$11:$AZ$4010,0)),""))</f>
        <v/>
      </c>
      <c r="AE846" s="26" t="str">
        <f>IFERROR(INDEX($AM$11:$AM$4010,MATCH(836,$AZ$11:$AZ$4010,0)),"")</f>
        <v/>
      </c>
      <c r="AF846" s="25" t="str">
        <f>IF(AE846="","",IFERROR(INDEX($AN$11:$AN$4010,MATCH(836,$AZ$11:$AZ$4010,0)),""))</f>
        <v/>
      </c>
      <c r="AG846" s="25" t="str">
        <f>IF(AE846="","",IFERROR(INDEX($AO$11:$AO$4010,MATCH(836,$AZ$11:$AZ$4010,0)),""))</f>
        <v/>
      </c>
      <c r="AH846" s="24" t="str">
        <f>IF(AE846="","",IFERROR(INDEX($AQ$11:$AQ$4010,MATCH(836,$AZ$11:$AZ$4010,0)),""))</f>
        <v/>
      </c>
      <c r="AI846" s="29" t="str">
        <f>IF(AE846="","",IFERROR(INDEX($AR$11:$AR$4010,MATCH(836,$AZ$11:$AZ$4010,0)),""))</f>
        <v/>
      </c>
      <c r="AJ846" s="29" t="str">
        <f>IF(AE846="","",IFERROR(INDEX($AT$11:$AT$4010,MATCH(836,$AZ$11:$AZ$4010,0)),""))</f>
        <v/>
      </c>
      <c r="AL846" s="31"/>
      <c r="AM846" s="26"/>
      <c r="AN846" s="32"/>
      <c r="AO846" s="32"/>
      <c r="AP846" s="24"/>
      <c r="AQ846" s="24"/>
      <c r="AR846" s="33"/>
      <c r="AS846" s="34"/>
      <c r="AT846" s="33"/>
      <c r="AV846" s="21">
        <f>IF(AND($AL846&lt;&gt;"",COUNTIF($AL$11:$AL846,$AL846)=1),1,0)</f>
        <v>0</v>
      </c>
      <c r="AW846" s="21">
        <f t="shared" si="113"/>
        <v>2</v>
      </c>
      <c r="AX846" s="21" t="str">
        <f t="shared" si="112"/>
        <v/>
      </c>
      <c r="AY846" s="21" t="str">
        <f>IF(AND($AM846&lt;&gt;"",$AS846&lt;&gt;"✓"),SUMPRODUCT(($AM$11:$AM846&lt;&gt;"")*($AS$11:$AS846&lt;&gt;"✓")),"")</f>
        <v/>
      </c>
      <c r="AZ846" s="21" t="str">
        <f>IF(AND($AM846&lt;&gt;"",$AS846="✓"),SUMPRODUCT(($AM$11:$AM846&lt;&gt;"")*($AS$11:$AS846="✓")),"")</f>
        <v/>
      </c>
      <c r="BA846" s="21" t="str">
        <f>IF($AL846="","",$AL846&amp;"|"&amp;COUNTIF($AL$11:$AL846,$AL846))</f>
        <v/>
      </c>
    </row>
    <row r="847" spans="23:53" ht="15" customHeight="1" x14ac:dyDescent="0.25">
      <c r="W847" s="14" t="str">
        <f>IF(X847="","",IFERROR(INDEX($AL$11:$AL$4010,MATCH(837,$AY$11:$AY$4010,0)),""))</f>
        <v/>
      </c>
      <c r="X847" s="12" t="str">
        <f>IFERROR(INDEX($AM$11:$AM$4010,MATCH(837,$AY$11:$AY$4010,0)),"")</f>
        <v/>
      </c>
      <c r="Y847" s="11" t="str">
        <f>IF(X847="","",IFERROR(INDEX($AN$11:$AN$4010,MATCH(837,$AY$11:$AY$4010,0)),""))</f>
        <v/>
      </c>
      <c r="Z847" s="11" t="str">
        <f>IF(X847="","",IFERROR(INDEX($AO$11:$AO$4010,MATCH(837,$AY$11:$AY$4010,0)),""))</f>
        <v/>
      </c>
      <c r="AA847" s="10" t="str">
        <f>IF(X847="","",IFERROR(INDEX($AQ$11:$AQ$4010,MATCH(837,$AY$11:$AY$4010,0)),""))</f>
        <v/>
      </c>
      <c r="AB847" s="15" t="str">
        <f>IF(X847="","",IFERROR(INDEX($AR$11:$AR$4010,MATCH(837,$AY$11:$AY$4010,0)),""))</f>
        <v/>
      </c>
      <c r="AD847" s="16" t="str">
        <f>IF(AE847="","",IFERROR(INDEX($AL$11:$AL$4010,MATCH(837,$AZ$11:$AZ$4010,0)),""))</f>
        <v/>
      </c>
      <c r="AE847" s="12" t="str">
        <f>IFERROR(INDEX($AM$11:$AM$4010,MATCH(837,$AZ$11:$AZ$4010,0)),"")</f>
        <v/>
      </c>
      <c r="AF847" s="11" t="str">
        <f>IF(AE847="","",IFERROR(INDEX($AN$11:$AN$4010,MATCH(837,$AZ$11:$AZ$4010,0)),""))</f>
        <v/>
      </c>
      <c r="AG847" s="11" t="str">
        <f>IF(AE847="","",IFERROR(INDEX($AO$11:$AO$4010,MATCH(837,$AZ$11:$AZ$4010,0)),""))</f>
        <v/>
      </c>
      <c r="AH847" s="10" t="str">
        <f>IF(AE847="","",IFERROR(INDEX($AQ$11:$AQ$4010,MATCH(837,$AZ$11:$AZ$4010,0)),""))</f>
        <v/>
      </c>
      <c r="AI847" s="15" t="str">
        <f>IF(AE847="","",IFERROR(INDEX($AR$11:$AR$4010,MATCH(837,$AZ$11:$AZ$4010,0)),""))</f>
        <v/>
      </c>
      <c r="AJ847" s="15" t="str">
        <f>IF(AE847="","",IFERROR(INDEX($AT$11:$AT$4010,MATCH(837,$AZ$11:$AZ$4010,0)),""))</f>
        <v/>
      </c>
      <c r="AL847" s="17"/>
      <c r="AM847" s="12"/>
      <c r="AN847" s="18"/>
      <c r="AO847" s="18"/>
      <c r="AP847" s="10"/>
      <c r="AQ847" s="10"/>
      <c r="AR847" s="19"/>
      <c r="AS847" s="20"/>
      <c r="AT847" s="19"/>
      <c r="AV847" s="21">
        <f>IF(AND($AL847&lt;&gt;"",COUNTIF($AL$11:$AL847,$AL847)=1),1,0)</f>
        <v>0</v>
      </c>
      <c r="AW847" s="21">
        <f t="shared" si="113"/>
        <v>2</v>
      </c>
      <c r="AX847" s="21" t="str">
        <f t="shared" si="112"/>
        <v/>
      </c>
      <c r="AY847" s="21" t="str">
        <f>IF(AND($AM847&lt;&gt;"",$AS847&lt;&gt;"✓"),SUMPRODUCT(($AM$11:$AM847&lt;&gt;"")*($AS$11:$AS847&lt;&gt;"✓")),"")</f>
        <v/>
      </c>
      <c r="AZ847" s="21" t="str">
        <f>IF(AND($AM847&lt;&gt;"",$AS847="✓"),SUMPRODUCT(($AM$11:$AM847&lt;&gt;"")*($AS$11:$AS847="✓")),"")</f>
        <v/>
      </c>
      <c r="BA847" s="21" t="str">
        <f>IF($AL847="","",$AL847&amp;"|"&amp;COUNTIF($AL$11:$AL847,$AL847))</f>
        <v/>
      </c>
    </row>
    <row r="848" spans="23:53" ht="15" customHeight="1" x14ac:dyDescent="0.25">
      <c r="W848" s="28" t="str">
        <f>IF(X848="","",IFERROR(INDEX($AL$11:$AL$4010,MATCH(838,$AY$11:$AY$4010,0)),""))</f>
        <v/>
      </c>
      <c r="X848" s="26" t="str">
        <f>IFERROR(INDEX($AM$11:$AM$4010,MATCH(838,$AY$11:$AY$4010,0)),"")</f>
        <v/>
      </c>
      <c r="Y848" s="25" t="str">
        <f>IF(X848="","",IFERROR(INDEX($AN$11:$AN$4010,MATCH(838,$AY$11:$AY$4010,0)),""))</f>
        <v/>
      </c>
      <c r="Z848" s="25" t="str">
        <f>IF(X848="","",IFERROR(INDEX($AO$11:$AO$4010,MATCH(838,$AY$11:$AY$4010,0)),""))</f>
        <v/>
      </c>
      <c r="AA848" s="24" t="str">
        <f>IF(X848="","",IFERROR(INDEX($AQ$11:$AQ$4010,MATCH(838,$AY$11:$AY$4010,0)),""))</f>
        <v/>
      </c>
      <c r="AB848" s="29" t="str">
        <f>IF(X848="","",IFERROR(INDEX($AR$11:$AR$4010,MATCH(838,$AY$11:$AY$4010,0)),""))</f>
        <v/>
      </c>
      <c r="AD848" s="30" t="str">
        <f>IF(AE848="","",IFERROR(INDEX($AL$11:$AL$4010,MATCH(838,$AZ$11:$AZ$4010,0)),""))</f>
        <v/>
      </c>
      <c r="AE848" s="26" t="str">
        <f>IFERROR(INDEX($AM$11:$AM$4010,MATCH(838,$AZ$11:$AZ$4010,0)),"")</f>
        <v/>
      </c>
      <c r="AF848" s="25" t="str">
        <f>IF(AE848="","",IFERROR(INDEX($AN$11:$AN$4010,MATCH(838,$AZ$11:$AZ$4010,0)),""))</f>
        <v/>
      </c>
      <c r="AG848" s="25" t="str">
        <f>IF(AE848="","",IFERROR(INDEX($AO$11:$AO$4010,MATCH(838,$AZ$11:$AZ$4010,0)),""))</f>
        <v/>
      </c>
      <c r="AH848" s="24" t="str">
        <f>IF(AE848="","",IFERROR(INDEX($AQ$11:$AQ$4010,MATCH(838,$AZ$11:$AZ$4010,0)),""))</f>
        <v/>
      </c>
      <c r="AI848" s="29" t="str">
        <f>IF(AE848="","",IFERROR(INDEX($AR$11:$AR$4010,MATCH(838,$AZ$11:$AZ$4010,0)),""))</f>
        <v/>
      </c>
      <c r="AJ848" s="29" t="str">
        <f>IF(AE848="","",IFERROR(INDEX($AT$11:$AT$4010,MATCH(838,$AZ$11:$AZ$4010,0)),""))</f>
        <v/>
      </c>
      <c r="AL848" s="31"/>
      <c r="AM848" s="26"/>
      <c r="AN848" s="32"/>
      <c r="AO848" s="32"/>
      <c r="AP848" s="24"/>
      <c r="AQ848" s="24"/>
      <c r="AR848" s="33"/>
      <c r="AS848" s="34"/>
      <c r="AT848" s="33"/>
      <c r="AV848" s="21">
        <f>IF(AND($AL848&lt;&gt;"",COUNTIF($AL$11:$AL848,$AL848)=1),1,0)</f>
        <v>0</v>
      </c>
      <c r="AW848" s="21">
        <f t="shared" si="113"/>
        <v>2</v>
      </c>
      <c r="AX848" s="21" t="str">
        <f t="shared" si="112"/>
        <v/>
      </c>
      <c r="AY848" s="21" t="str">
        <f>IF(AND($AM848&lt;&gt;"",$AS848&lt;&gt;"✓"),SUMPRODUCT(($AM$11:$AM848&lt;&gt;"")*($AS$11:$AS848&lt;&gt;"✓")),"")</f>
        <v/>
      </c>
      <c r="AZ848" s="21" t="str">
        <f>IF(AND($AM848&lt;&gt;"",$AS848="✓"),SUMPRODUCT(($AM$11:$AM848&lt;&gt;"")*($AS$11:$AS848="✓")),"")</f>
        <v/>
      </c>
      <c r="BA848" s="21" t="str">
        <f>IF($AL848="","",$AL848&amp;"|"&amp;COUNTIF($AL$11:$AL848,$AL848))</f>
        <v/>
      </c>
    </row>
    <row r="849" spans="23:53" ht="15" customHeight="1" x14ac:dyDescent="0.25">
      <c r="W849" s="14" t="str">
        <f>IF(X849="","",IFERROR(INDEX($AL$11:$AL$4010,MATCH(839,$AY$11:$AY$4010,0)),""))</f>
        <v/>
      </c>
      <c r="X849" s="12" t="str">
        <f>IFERROR(INDEX($AM$11:$AM$4010,MATCH(839,$AY$11:$AY$4010,0)),"")</f>
        <v/>
      </c>
      <c r="Y849" s="11" t="str">
        <f>IF(X849="","",IFERROR(INDEX($AN$11:$AN$4010,MATCH(839,$AY$11:$AY$4010,0)),""))</f>
        <v/>
      </c>
      <c r="Z849" s="11" t="str">
        <f>IF(X849="","",IFERROR(INDEX($AO$11:$AO$4010,MATCH(839,$AY$11:$AY$4010,0)),""))</f>
        <v/>
      </c>
      <c r="AA849" s="10" t="str">
        <f>IF(X849="","",IFERROR(INDEX($AQ$11:$AQ$4010,MATCH(839,$AY$11:$AY$4010,0)),""))</f>
        <v/>
      </c>
      <c r="AB849" s="15" t="str">
        <f>IF(X849="","",IFERROR(INDEX($AR$11:$AR$4010,MATCH(839,$AY$11:$AY$4010,0)),""))</f>
        <v/>
      </c>
      <c r="AD849" s="16" t="str">
        <f>IF(AE849="","",IFERROR(INDEX($AL$11:$AL$4010,MATCH(839,$AZ$11:$AZ$4010,0)),""))</f>
        <v/>
      </c>
      <c r="AE849" s="12" t="str">
        <f>IFERROR(INDEX($AM$11:$AM$4010,MATCH(839,$AZ$11:$AZ$4010,0)),"")</f>
        <v/>
      </c>
      <c r="AF849" s="11" t="str">
        <f>IF(AE849="","",IFERROR(INDEX($AN$11:$AN$4010,MATCH(839,$AZ$11:$AZ$4010,0)),""))</f>
        <v/>
      </c>
      <c r="AG849" s="11" t="str">
        <f>IF(AE849="","",IFERROR(INDEX($AO$11:$AO$4010,MATCH(839,$AZ$11:$AZ$4010,0)),""))</f>
        <v/>
      </c>
      <c r="AH849" s="10" t="str">
        <f>IF(AE849="","",IFERROR(INDEX($AQ$11:$AQ$4010,MATCH(839,$AZ$11:$AZ$4010,0)),""))</f>
        <v/>
      </c>
      <c r="AI849" s="15" t="str">
        <f>IF(AE849="","",IFERROR(INDEX($AR$11:$AR$4010,MATCH(839,$AZ$11:$AZ$4010,0)),""))</f>
        <v/>
      </c>
      <c r="AJ849" s="15" t="str">
        <f>IF(AE849="","",IFERROR(INDEX($AT$11:$AT$4010,MATCH(839,$AZ$11:$AZ$4010,0)),""))</f>
        <v/>
      </c>
      <c r="AL849" s="17"/>
      <c r="AM849" s="12"/>
      <c r="AN849" s="18"/>
      <c r="AO849" s="18"/>
      <c r="AP849" s="10"/>
      <c r="AQ849" s="10"/>
      <c r="AR849" s="19"/>
      <c r="AS849" s="20"/>
      <c r="AT849" s="19"/>
      <c r="AV849" s="21">
        <f>IF(AND($AL849&lt;&gt;"",COUNTIF($AL$11:$AL849,$AL849)=1),1,0)</f>
        <v>0</v>
      </c>
      <c r="AW849" s="21">
        <f t="shared" si="113"/>
        <v>2</v>
      </c>
      <c r="AX849" s="21" t="str">
        <f t="shared" si="112"/>
        <v/>
      </c>
      <c r="AY849" s="21" t="str">
        <f>IF(AND($AM849&lt;&gt;"",$AS849&lt;&gt;"✓"),SUMPRODUCT(($AM$11:$AM849&lt;&gt;"")*($AS$11:$AS849&lt;&gt;"✓")),"")</f>
        <v/>
      </c>
      <c r="AZ849" s="21" t="str">
        <f>IF(AND($AM849&lt;&gt;"",$AS849="✓"),SUMPRODUCT(($AM$11:$AM849&lt;&gt;"")*($AS$11:$AS849="✓")),"")</f>
        <v/>
      </c>
      <c r="BA849" s="21" t="str">
        <f>IF($AL849="","",$AL849&amp;"|"&amp;COUNTIF($AL$11:$AL849,$AL849))</f>
        <v/>
      </c>
    </row>
    <row r="850" spans="23:53" ht="15" customHeight="1" x14ac:dyDescent="0.25">
      <c r="W850" s="28" t="str">
        <f>IF(X850="","",IFERROR(INDEX($AL$11:$AL$4010,MATCH(840,$AY$11:$AY$4010,0)),""))</f>
        <v/>
      </c>
      <c r="X850" s="26" t="str">
        <f>IFERROR(INDEX($AM$11:$AM$4010,MATCH(840,$AY$11:$AY$4010,0)),"")</f>
        <v/>
      </c>
      <c r="Y850" s="25" t="str">
        <f>IF(X850="","",IFERROR(INDEX($AN$11:$AN$4010,MATCH(840,$AY$11:$AY$4010,0)),""))</f>
        <v/>
      </c>
      <c r="Z850" s="25" t="str">
        <f>IF(X850="","",IFERROR(INDEX($AO$11:$AO$4010,MATCH(840,$AY$11:$AY$4010,0)),""))</f>
        <v/>
      </c>
      <c r="AA850" s="24" t="str">
        <f>IF(X850="","",IFERROR(INDEX($AQ$11:$AQ$4010,MATCH(840,$AY$11:$AY$4010,0)),""))</f>
        <v/>
      </c>
      <c r="AB850" s="29" t="str">
        <f>IF(X850="","",IFERROR(INDEX($AR$11:$AR$4010,MATCH(840,$AY$11:$AY$4010,0)),""))</f>
        <v/>
      </c>
      <c r="AD850" s="30" t="str">
        <f>IF(AE850="","",IFERROR(INDEX($AL$11:$AL$4010,MATCH(840,$AZ$11:$AZ$4010,0)),""))</f>
        <v/>
      </c>
      <c r="AE850" s="26" t="str">
        <f>IFERROR(INDEX($AM$11:$AM$4010,MATCH(840,$AZ$11:$AZ$4010,0)),"")</f>
        <v/>
      </c>
      <c r="AF850" s="25" t="str">
        <f>IF(AE850="","",IFERROR(INDEX($AN$11:$AN$4010,MATCH(840,$AZ$11:$AZ$4010,0)),""))</f>
        <v/>
      </c>
      <c r="AG850" s="25" t="str">
        <f>IF(AE850="","",IFERROR(INDEX($AO$11:$AO$4010,MATCH(840,$AZ$11:$AZ$4010,0)),""))</f>
        <v/>
      </c>
      <c r="AH850" s="24" t="str">
        <f>IF(AE850="","",IFERROR(INDEX($AQ$11:$AQ$4010,MATCH(840,$AZ$11:$AZ$4010,0)),""))</f>
        <v/>
      </c>
      <c r="AI850" s="29" t="str">
        <f>IF(AE850="","",IFERROR(INDEX($AR$11:$AR$4010,MATCH(840,$AZ$11:$AZ$4010,0)),""))</f>
        <v/>
      </c>
      <c r="AJ850" s="29" t="str">
        <f>IF(AE850="","",IFERROR(INDEX($AT$11:$AT$4010,MATCH(840,$AZ$11:$AZ$4010,0)),""))</f>
        <v/>
      </c>
      <c r="AL850" s="31"/>
      <c r="AM850" s="26"/>
      <c r="AN850" s="32"/>
      <c r="AO850" s="32"/>
      <c r="AP850" s="24"/>
      <c r="AQ850" s="24"/>
      <c r="AR850" s="33"/>
      <c r="AS850" s="34"/>
      <c r="AT850" s="33"/>
      <c r="AV850" s="21">
        <f>IF(AND($AL850&lt;&gt;"",COUNTIF($AL$11:$AL850,$AL850)=1),1,0)</f>
        <v>0</v>
      </c>
      <c r="AW850" s="21">
        <f t="shared" si="113"/>
        <v>2</v>
      </c>
      <c r="AX850" s="21" t="str">
        <f t="shared" si="112"/>
        <v/>
      </c>
      <c r="AY850" s="21" t="str">
        <f>IF(AND($AM850&lt;&gt;"",$AS850&lt;&gt;"✓"),SUMPRODUCT(($AM$11:$AM850&lt;&gt;"")*($AS$11:$AS850&lt;&gt;"✓")),"")</f>
        <v/>
      </c>
      <c r="AZ850" s="21" t="str">
        <f>IF(AND($AM850&lt;&gt;"",$AS850="✓"),SUMPRODUCT(($AM$11:$AM850&lt;&gt;"")*($AS$11:$AS850="✓")),"")</f>
        <v/>
      </c>
      <c r="BA850" s="21" t="str">
        <f>IF($AL850="","",$AL850&amp;"|"&amp;COUNTIF($AL$11:$AL850,$AL850))</f>
        <v/>
      </c>
    </row>
    <row r="851" spans="23:53" ht="15" customHeight="1" x14ac:dyDescent="0.25">
      <c r="W851" s="14" t="str">
        <f>IF(X851="","",IFERROR(INDEX($AL$11:$AL$4010,MATCH(841,$AY$11:$AY$4010,0)),""))</f>
        <v/>
      </c>
      <c r="X851" s="12" t="str">
        <f>IFERROR(INDEX($AM$11:$AM$4010,MATCH(841,$AY$11:$AY$4010,0)),"")</f>
        <v/>
      </c>
      <c r="Y851" s="11" t="str">
        <f>IF(X851="","",IFERROR(INDEX($AN$11:$AN$4010,MATCH(841,$AY$11:$AY$4010,0)),""))</f>
        <v/>
      </c>
      <c r="Z851" s="11" t="str">
        <f>IF(X851="","",IFERROR(INDEX($AO$11:$AO$4010,MATCH(841,$AY$11:$AY$4010,0)),""))</f>
        <v/>
      </c>
      <c r="AA851" s="10" t="str">
        <f>IF(X851="","",IFERROR(INDEX($AQ$11:$AQ$4010,MATCH(841,$AY$11:$AY$4010,0)),""))</f>
        <v/>
      </c>
      <c r="AB851" s="15" t="str">
        <f>IF(X851="","",IFERROR(INDEX($AR$11:$AR$4010,MATCH(841,$AY$11:$AY$4010,0)),""))</f>
        <v/>
      </c>
      <c r="AD851" s="16" t="str">
        <f>IF(AE851="","",IFERROR(INDEX($AL$11:$AL$4010,MATCH(841,$AZ$11:$AZ$4010,0)),""))</f>
        <v/>
      </c>
      <c r="AE851" s="12" t="str">
        <f>IFERROR(INDEX($AM$11:$AM$4010,MATCH(841,$AZ$11:$AZ$4010,0)),"")</f>
        <v/>
      </c>
      <c r="AF851" s="11" t="str">
        <f>IF(AE851="","",IFERROR(INDEX($AN$11:$AN$4010,MATCH(841,$AZ$11:$AZ$4010,0)),""))</f>
        <v/>
      </c>
      <c r="AG851" s="11" t="str">
        <f>IF(AE851="","",IFERROR(INDEX($AO$11:$AO$4010,MATCH(841,$AZ$11:$AZ$4010,0)),""))</f>
        <v/>
      </c>
      <c r="AH851" s="10" t="str">
        <f>IF(AE851="","",IFERROR(INDEX($AQ$11:$AQ$4010,MATCH(841,$AZ$11:$AZ$4010,0)),""))</f>
        <v/>
      </c>
      <c r="AI851" s="15" t="str">
        <f>IF(AE851="","",IFERROR(INDEX($AR$11:$AR$4010,MATCH(841,$AZ$11:$AZ$4010,0)),""))</f>
        <v/>
      </c>
      <c r="AJ851" s="15" t="str">
        <f>IF(AE851="","",IFERROR(INDEX($AT$11:$AT$4010,MATCH(841,$AZ$11:$AZ$4010,0)),""))</f>
        <v/>
      </c>
      <c r="AL851" s="17"/>
      <c r="AM851" s="12"/>
      <c r="AN851" s="18"/>
      <c r="AO851" s="18"/>
      <c r="AP851" s="10"/>
      <c r="AQ851" s="10"/>
      <c r="AR851" s="19"/>
      <c r="AS851" s="20"/>
      <c r="AT851" s="19"/>
      <c r="AV851" s="21">
        <f>IF(AND($AL851&lt;&gt;"",COUNTIF($AL$11:$AL851,$AL851)=1),1,0)</f>
        <v>0</v>
      </c>
      <c r="AW851" s="21">
        <f t="shared" si="113"/>
        <v>2</v>
      </c>
      <c r="AX851" s="21" t="str">
        <f t="shared" si="112"/>
        <v/>
      </c>
      <c r="AY851" s="21" t="str">
        <f>IF(AND($AM851&lt;&gt;"",$AS851&lt;&gt;"✓"),SUMPRODUCT(($AM$11:$AM851&lt;&gt;"")*($AS$11:$AS851&lt;&gt;"✓")),"")</f>
        <v/>
      </c>
      <c r="AZ851" s="21" t="str">
        <f>IF(AND($AM851&lt;&gt;"",$AS851="✓"),SUMPRODUCT(($AM$11:$AM851&lt;&gt;"")*($AS$11:$AS851="✓")),"")</f>
        <v/>
      </c>
      <c r="BA851" s="21" t="str">
        <f>IF($AL851="","",$AL851&amp;"|"&amp;COUNTIF($AL$11:$AL851,$AL851))</f>
        <v/>
      </c>
    </row>
    <row r="852" spans="23:53" ht="15" customHeight="1" x14ac:dyDescent="0.25">
      <c r="W852" s="28" t="str">
        <f>IF(X852="","",IFERROR(INDEX($AL$11:$AL$4010,MATCH(842,$AY$11:$AY$4010,0)),""))</f>
        <v/>
      </c>
      <c r="X852" s="26" t="str">
        <f>IFERROR(INDEX($AM$11:$AM$4010,MATCH(842,$AY$11:$AY$4010,0)),"")</f>
        <v/>
      </c>
      <c r="Y852" s="25" t="str">
        <f>IF(X852="","",IFERROR(INDEX($AN$11:$AN$4010,MATCH(842,$AY$11:$AY$4010,0)),""))</f>
        <v/>
      </c>
      <c r="Z852" s="25" t="str">
        <f>IF(X852="","",IFERROR(INDEX($AO$11:$AO$4010,MATCH(842,$AY$11:$AY$4010,0)),""))</f>
        <v/>
      </c>
      <c r="AA852" s="24" t="str">
        <f>IF(X852="","",IFERROR(INDEX($AQ$11:$AQ$4010,MATCH(842,$AY$11:$AY$4010,0)),""))</f>
        <v/>
      </c>
      <c r="AB852" s="29" t="str">
        <f>IF(X852="","",IFERROR(INDEX($AR$11:$AR$4010,MATCH(842,$AY$11:$AY$4010,0)),""))</f>
        <v/>
      </c>
      <c r="AD852" s="30" t="str">
        <f>IF(AE852="","",IFERROR(INDEX($AL$11:$AL$4010,MATCH(842,$AZ$11:$AZ$4010,0)),""))</f>
        <v/>
      </c>
      <c r="AE852" s="26" t="str">
        <f>IFERROR(INDEX($AM$11:$AM$4010,MATCH(842,$AZ$11:$AZ$4010,0)),"")</f>
        <v/>
      </c>
      <c r="AF852" s="25" t="str">
        <f>IF(AE852="","",IFERROR(INDEX($AN$11:$AN$4010,MATCH(842,$AZ$11:$AZ$4010,0)),""))</f>
        <v/>
      </c>
      <c r="AG852" s="25" t="str">
        <f>IF(AE852="","",IFERROR(INDEX($AO$11:$AO$4010,MATCH(842,$AZ$11:$AZ$4010,0)),""))</f>
        <v/>
      </c>
      <c r="AH852" s="24" t="str">
        <f>IF(AE852="","",IFERROR(INDEX($AQ$11:$AQ$4010,MATCH(842,$AZ$11:$AZ$4010,0)),""))</f>
        <v/>
      </c>
      <c r="AI852" s="29" t="str">
        <f>IF(AE852="","",IFERROR(INDEX($AR$11:$AR$4010,MATCH(842,$AZ$11:$AZ$4010,0)),""))</f>
        <v/>
      </c>
      <c r="AJ852" s="29" t="str">
        <f>IF(AE852="","",IFERROR(INDEX($AT$11:$AT$4010,MATCH(842,$AZ$11:$AZ$4010,0)),""))</f>
        <v/>
      </c>
      <c r="AL852" s="31"/>
      <c r="AM852" s="26"/>
      <c r="AN852" s="32"/>
      <c r="AO852" s="32"/>
      <c r="AP852" s="24"/>
      <c r="AQ852" s="24"/>
      <c r="AR852" s="33"/>
      <c r="AS852" s="34"/>
      <c r="AT852" s="33"/>
      <c r="AV852" s="21">
        <f>IF(AND($AL852&lt;&gt;"",COUNTIF($AL$11:$AL852,$AL852)=1),1,0)</f>
        <v>0</v>
      </c>
      <c r="AW852" s="21">
        <f t="shared" si="113"/>
        <v>2</v>
      </c>
      <c r="AX852" s="21" t="str">
        <f t="shared" si="112"/>
        <v/>
      </c>
      <c r="AY852" s="21" t="str">
        <f>IF(AND($AM852&lt;&gt;"",$AS852&lt;&gt;"✓"),SUMPRODUCT(($AM$11:$AM852&lt;&gt;"")*($AS$11:$AS852&lt;&gt;"✓")),"")</f>
        <v/>
      </c>
      <c r="AZ852" s="21" t="str">
        <f>IF(AND($AM852&lt;&gt;"",$AS852="✓"),SUMPRODUCT(($AM$11:$AM852&lt;&gt;"")*($AS$11:$AS852="✓")),"")</f>
        <v/>
      </c>
      <c r="BA852" s="21" t="str">
        <f>IF($AL852="","",$AL852&amp;"|"&amp;COUNTIF($AL$11:$AL852,$AL852))</f>
        <v/>
      </c>
    </row>
    <row r="853" spans="23:53" ht="15" customHeight="1" x14ac:dyDescent="0.25">
      <c r="W853" s="14" t="str">
        <f>IF(X853="","",IFERROR(INDEX($AL$11:$AL$4010,MATCH(843,$AY$11:$AY$4010,0)),""))</f>
        <v/>
      </c>
      <c r="X853" s="12" t="str">
        <f>IFERROR(INDEX($AM$11:$AM$4010,MATCH(843,$AY$11:$AY$4010,0)),"")</f>
        <v/>
      </c>
      <c r="Y853" s="11" t="str">
        <f>IF(X853="","",IFERROR(INDEX($AN$11:$AN$4010,MATCH(843,$AY$11:$AY$4010,0)),""))</f>
        <v/>
      </c>
      <c r="Z853" s="11" t="str">
        <f>IF(X853="","",IFERROR(INDEX($AO$11:$AO$4010,MATCH(843,$AY$11:$AY$4010,0)),""))</f>
        <v/>
      </c>
      <c r="AA853" s="10" t="str">
        <f>IF(X853="","",IFERROR(INDEX($AQ$11:$AQ$4010,MATCH(843,$AY$11:$AY$4010,0)),""))</f>
        <v/>
      </c>
      <c r="AB853" s="15" t="str">
        <f>IF(X853="","",IFERROR(INDEX($AR$11:$AR$4010,MATCH(843,$AY$11:$AY$4010,0)),""))</f>
        <v/>
      </c>
      <c r="AD853" s="16" t="str">
        <f>IF(AE853="","",IFERROR(INDEX($AL$11:$AL$4010,MATCH(843,$AZ$11:$AZ$4010,0)),""))</f>
        <v/>
      </c>
      <c r="AE853" s="12" t="str">
        <f>IFERROR(INDEX($AM$11:$AM$4010,MATCH(843,$AZ$11:$AZ$4010,0)),"")</f>
        <v/>
      </c>
      <c r="AF853" s="11" t="str">
        <f>IF(AE853="","",IFERROR(INDEX($AN$11:$AN$4010,MATCH(843,$AZ$11:$AZ$4010,0)),""))</f>
        <v/>
      </c>
      <c r="AG853" s="11" t="str">
        <f>IF(AE853="","",IFERROR(INDEX($AO$11:$AO$4010,MATCH(843,$AZ$11:$AZ$4010,0)),""))</f>
        <v/>
      </c>
      <c r="AH853" s="10" t="str">
        <f>IF(AE853="","",IFERROR(INDEX($AQ$11:$AQ$4010,MATCH(843,$AZ$11:$AZ$4010,0)),""))</f>
        <v/>
      </c>
      <c r="AI853" s="15" t="str">
        <f>IF(AE853="","",IFERROR(INDEX($AR$11:$AR$4010,MATCH(843,$AZ$11:$AZ$4010,0)),""))</f>
        <v/>
      </c>
      <c r="AJ853" s="15" t="str">
        <f>IF(AE853="","",IFERROR(INDEX($AT$11:$AT$4010,MATCH(843,$AZ$11:$AZ$4010,0)),""))</f>
        <v/>
      </c>
      <c r="AL853" s="17"/>
      <c r="AM853" s="12"/>
      <c r="AN853" s="18"/>
      <c r="AO853" s="18"/>
      <c r="AP853" s="10"/>
      <c r="AQ853" s="10"/>
      <c r="AR853" s="19"/>
      <c r="AS853" s="20"/>
      <c r="AT853" s="19"/>
      <c r="AV853" s="21">
        <f>IF(AND($AL853&lt;&gt;"",COUNTIF($AL$11:$AL853,$AL853)=1),1,0)</f>
        <v>0</v>
      </c>
      <c r="AW853" s="21">
        <f t="shared" si="113"/>
        <v>2</v>
      </c>
      <c r="AX853" s="21" t="str">
        <f t="shared" si="112"/>
        <v/>
      </c>
      <c r="AY853" s="21" t="str">
        <f>IF(AND($AM853&lt;&gt;"",$AS853&lt;&gt;"✓"),SUMPRODUCT(($AM$11:$AM853&lt;&gt;"")*($AS$11:$AS853&lt;&gt;"✓")),"")</f>
        <v/>
      </c>
      <c r="AZ853" s="21" t="str">
        <f>IF(AND($AM853&lt;&gt;"",$AS853="✓"),SUMPRODUCT(($AM$11:$AM853&lt;&gt;"")*($AS$11:$AS853="✓")),"")</f>
        <v/>
      </c>
      <c r="BA853" s="21" t="str">
        <f>IF($AL853="","",$AL853&amp;"|"&amp;COUNTIF($AL$11:$AL853,$AL853))</f>
        <v/>
      </c>
    </row>
    <row r="854" spans="23:53" ht="15" customHeight="1" x14ac:dyDescent="0.25">
      <c r="W854" s="28" t="str">
        <f>IF(X854="","",IFERROR(INDEX($AL$11:$AL$4010,MATCH(844,$AY$11:$AY$4010,0)),""))</f>
        <v/>
      </c>
      <c r="X854" s="26" t="str">
        <f>IFERROR(INDEX($AM$11:$AM$4010,MATCH(844,$AY$11:$AY$4010,0)),"")</f>
        <v/>
      </c>
      <c r="Y854" s="25" t="str">
        <f>IF(X854="","",IFERROR(INDEX($AN$11:$AN$4010,MATCH(844,$AY$11:$AY$4010,0)),""))</f>
        <v/>
      </c>
      <c r="Z854" s="25" t="str">
        <f>IF(X854="","",IFERROR(INDEX($AO$11:$AO$4010,MATCH(844,$AY$11:$AY$4010,0)),""))</f>
        <v/>
      </c>
      <c r="AA854" s="24" t="str">
        <f>IF(X854="","",IFERROR(INDEX($AQ$11:$AQ$4010,MATCH(844,$AY$11:$AY$4010,0)),""))</f>
        <v/>
      </c>
      <c r="AB854" s="29" t="str">
        <f>IF(X854="","",IFERROR(INDEX($AR$11:$AR$4010,MATCH(844,$AY$11:$AY$4010,0)),""))</f>
        <v/>
      </c>
      <c r="AD854" s="30" t="str">
        <f>IF(AE854="","",IFERROR(INDEX($AL$11:$AL$4010,MATCH(844,$AZ$11:$AZ$4010,0)),""))</f>
        <v/>
      </c>
      <c r="AE854" s="26" t="str">
        <f>IFERROR(INDEX($AM$11:$AM$4010,MATCH(844,$AZ$11:$AZ$4010,0)),"")</f>
        <v/>
      </c>
      <c r="AF854" s="25" t="str">
        <f>IF(AE854="","",IFERROR(INDEX($AN$11:$AN$4010,MATCH(844,$AZ$11:$AZ$4010,0)),""))</f>
        <v/>
      </c>
      <c r="AG854" s="25" t="str">
        <f>IF(AE854="","",IFERROR(INDEX($AO$11:$AO$4010,MATCH(844,$AZ$11:$AZ$4010,0)),""))</f>
        <v/>
      </c>
      <c r="AH854" s="24" t="str">
        <f>IF(AE854="","",IFERROR(INDEX($AQ$11:$AQ$4010,MATCH(844,$AZ$11:$AZ$4010,0)),""))</f>
        <v/>
      </c>
      <c r="AI854" s="29" t="str">
        <f>IF(AE854="","",IFERROR(INDEX($AR$11:$AR$4010,MATCH(844,$AZ$11:$AZ$4010,0)),""))</f>
        <v/>
      </c>
      <c r="AJ854" s="29" t="str">
        <f>IF(AE854="","",IFERROR(INDEX($AT$11:$AT$4010,MATCH(844,$AZ$11:$AZ$4010,0)),""))</f>
        <v/>
      </c>
      <c r="AL854" s="31"/>
      <c r="AM854" s="26"/>
      <c r="AN854" s="32"/>
      <c r="AO854" s="32"/>
      <c r="AP854" s="24"/>
      <c r="AQ854" s="24"/>
      <c r="AR854" s="33"/>
      <c r="AS854" s="34"/>
      <c r="AT854" s="33"/>
      <c r="AV854" s="21">
        <f>IF(AND($AL854&lt;&gt;"",COUNTIF($AL$11:$AL854,$AL854)=1),1,0)</f>
        <v>0</v>
      </c>
      <c r="AW854" s="21">
        <f t="shared" si="113"/>
        <v>2</v>
      </c>
      <c r="AX854" s="21" t="str">
        <f t="shared" si="112"/>
        <v/>
      </c>
      <c r="AY854" s="21" t="str">
        <f>IF(AND($AM854&lt;&gt;"",$AS854&lt;&gt;"✓"),SUMPRODUCT(($AM$11:$AM854&lt;&gt;"")*($AS$11:$AS854&lt;&gt;"✓")),"")</f>
        <v/>
      </c>
      <c r="AZ854" s="21" t="str">
        <f>IF(AND($AM854&lt;&gt;"",$AS854="✓"),SUMPRODUCT(($AM$11:$AM854&lt;&gt;"")*($AS$11:$AS854="✓")),"")</f>
        <v/>
      </c>
      <c r="BA854" s="21" t="str">
        <f>IF($AL854="","",$AL854&amp;"|"&amp;COUNTIF($AL$11:$AL854,$AL854))</f>
        <v/>
      </c>
    </row>
    <row r="855" spans="23:53" ht="15" customHeight="1" x14ac:dyDescent="0.25">
      <c r="W855" s="14" t="str">
        <f>IF(X855="","",IFERROR(INDEX($AL$11:$AL$4010,MATCH(845,$AY$11:$AY$4010,0)),""))</f>
        <v/>
      </c>
      <c r="X855" s="12" t="str">
        <f>IFERROR(INDEX($AM$11:$AM$4010,MATCH(845,$AY$11:$AY$4010,0)),"")</f>
        <v/>
      </c>
      <c r="Y855" s="11" t="str">
        <f>IF(X855="","",IFERROR(INDEX($AN$11:$AN$4010,MATCH(845,$AY$11:$AY$4010,0)),""))</f>
        <v/>
      </c>
      <c r="Z855" s="11" t="str">
        <f>IF(X855="","",IFERROR(INDEX($AO$11:$AO$4010,MATCH(845,$AY$11:$AY$4010,0)),""))</f>
        <v/>
      </c>
      <c r="AA855" s="10" t="str">
        <f>IF(X855="","",IFERROR(INDEX($AQ$11:$AQ$4010,MATCH(845,$AY$11:$AY$4010,0)),""))</f>
        <v/>
      </c>
      <c r="AB855" s="15" t="str">
        <f>IF(X855="","",IFERROR(INDEX($AR$11:$AR$4010,MATCH(845,$AY$11:$AY$4010,0)),""))</f>
        <v/>
      </c>
      <c r="AD855" s="16" t="str">
        <f>IF(AE855="","",IFERROR(INDEX($AL$11:$AL$4010,MATCH(845,$AZ$11:$AZ$4010,0)),""))</f>
        <v/>
      </c>
      <c r="AE855" s="12" t="str">
        <f>IFERROR(INDEX($AM$11:$AM$4010,MATCH(845,$AZ$11:$AZ$4010,0)),"")</f>
        <v/>
      </c>
      <c r="AF855" s="11" t="str">
        <f>IF(AE855="","",IFERROR(INDEX($AN$11:$AN$4010,MATCH(845,$AZ$11:$AZ$4010,0)),""))</f>
        <v/>
      </c>
      <c r="AG855" s="11" t="str">
        <f>IF(AE855="","",IFERROR(INDEX($AO$11:$AO$4010,MATCH(845,$AZ$11:$AZ$4010,0)),""))</f>
        <v/>
      </c>
      <c r="AH855" s="10" t="str">
        <f>IF(AE855="","",IFERROR(INDEX($AQ$11:$AQ$4010,MATCH(845,$AZ$11:$AZ$4010,0)),""))</f>
        <v/>
      </c>
      <c r="AI855" s="15" t="str">
        <f>IF(AE855="","",IFERROR(INDEX($AR$11:$AR$4010,MATCH(845,$AZ$11:$AZ$4010,0)),""))</f>
        <v/>
      </c>
      <c r="AJ855" s="15" t="str">
        <f>IF(AE855="","",IFERROR(INDEX($AT$11:$AT$4010,MATCH(845,$AZ$11:$AZ$4010,0)),""))</f>
        <v/>
      </c>
      <c r="AL855" s="17"/>
      <c r="AM855" s="12"/>
      <c r="AN855" s="18"/>
      <c r="AO855" s="18"/>
      <c r="AP855" s="10"/>
      <c r="AQ855" s="10"/>
      <c r="AR855" s="19"/>
      <c r="AS855" s="20"/>
      <c r="AT855" s="19"/>
      <c r="AV855" s="21">
        <f>IF(AND($AL855&lt;&gt;"",COUNTIF($AL$11:$AL855,$AL855)=1),1,0)</f>
        <v>0</v>
      </c>
      <c r="AW855" s="21">
        <f t="shared" si="113"/>
        <v>2</v>
      </c>
      <c r="AX855" s="21" t="str">
        <f t="shared" si="112"/>
        <v/>
      </c>
      <c r="AY855" s="21" t="str">
        <f>IF(AND($AM855&lt;&gt;"",$AS855&lt;&gt;"✓"),SUMPRODUCT(($AM$11:$AM855&lt;&gt;"")*($AS$11:$AS855&lt;&gt;"✓")),"")</f>
        <v/>
      </c>
      <c r="AZ855" s="21" t="str">
        <f>IF(AND($AM855&lt;&gt;"",$AS855="✓"),SUMPRODUCT(($AM$11:$AM855&lt;&gt;"")*($AS$11:$AS855="✓")),"")</f>
        <v/>
      </c>
      <c r="BA855" s="21" t="str">
        <f>IF($AL855="","",$AL855&amp;"|"&amp;COUNTIF($AL$11:$AL855,$AL855))</f>
        <v/>
      </c>
    </row>
    <row r="856" spans="23:53" ht="15" customHeight="1" x14ac:dyDescent="0.25">
      <c r="W856" s="28" t="str">
        <f>IF(X856="","",IFERROR(INDEX($AL$11:$AL$4010,MATCH(846,$AY$11:$AY$4010,0)),""))</f>
        <v/>
      </c>
      <c r="X856" s="26" t="str">
        <f>IFERROR(INDEX($AM$11:$AM$4010,MATCH(846,$AY$11:$AY$4010,0)),"")</f>
        <v/>
      </c>
      <c r="Y856" s="25" t="str">
        <f>IF(X856="","",IFERROR(INDEX($AN$11:$AN$4010,MATCH(846,$AY$11:$AY$4010,0)),""))</f>
        <v/>
      </c>
      <c r="Z856" s="25" t="str">
        <f>IF(X856="","",IFERROR(INDEX($AO$11:$AO$4010,MATCH(846,$AY$11:$AY$4010,0)),""))</f>
        <v/>
      </c>
      <c r="AA856" s="24" t="str">
        <f>IF(X856="","",IFERROR(INDEX($AQ$11:$AQ$4010,MATCH(846,$AY$11:$AY$4010,0)),""))</f>
        <v/>
      </c>
      <c r="AB856" s="29" t="str">
        <f>IF(X856="","",IFERROR(INDEX($AR$11:$AR$4010,MATCH(846,$AY$11:$AY$4010,0)),""))</f>
        <v/>
      </c>
      <c r="AD856" s="30" t="str">
        <f>IF(AE856="","",IFERROR(INDEX($AL$11:$AL$4010,MATCH(846,$AZ$11:$AZ$4010,0)),""))</f>
        <v/>
      </c>
      <c r="AE856" s="26" t="str">
        <f>IFERROR(INDEX($AM$11:$AM$4010,MATCH(846,$AZ$11:$AZ$4010,0)),"")</f>
        <v/>
      </c>
      <c r="AF856" s="25" t="str">
        <f>IF(AE856="","",IFERROR(INDEX($AN$11:$AN$4010,MATCH(846,$AZ$11:$AZ$4010,0)),""))</f>
        <v/>
      </c>
      <c r="AG856" s="25" t="str">
        <f>IF(AE856="","",IFERROR(INDEX($AO$11:$AO$4010,MATCH(846,$AZ$11:$AZ$4010,0)),""))</f>
        <v/>
      </c>
      <c r="AH856" s="24" t="str">
        <f>IF(AE856="","",IFERROR(INDEX($AQ$11:$AQ$4010,MATCH(846,$AZ$11:$AZ$4010,0)),""))</f>
        <v/>
      </c>
      <c r="AI856" s="29" t="str">
        <f>IF(AE856="","",IFERROR(INDEX($AR$11:$AR$4010,MATCH(846,$AZ$11:$AZ$4010,0)),""))</f>
        <v/>
      </c>
      <c r="AJ856" s="29" t="str">
        <f>IF(AE856="","",IFERROR(INDEX($AT$11:$AT$4010,MATCH(846,$AZ$11:$AZ$4010,0)),""))</f>
        <v/>
      </c>
      <c r="AL856" s="31"/>
      <c r="AM856" s="26"/>
      <c r="AN856" s="32"/>
      <c r="AO856" s="32"/>
      <c r="AP856" s="24"/>
      <c r="AQ856" s="24"/>
      <c r="AR856" s="33"/>
      <c r="AS856" s="34"/>
      <c r="AT856" s="33"/>
      <c r="AV856" s="21">
        <f>IF(AND($AL856&lt;&gt;"",COUNTIF($AL$11:$AL856,$AL856)=1),1,0)</f>
        <v>0</v>
      </c>
      <c r="AW856" s="21">
        <f t="shared" si="113"/>
        <v>2</v>
      </c>
      <c r="AX856" s="21" t="str">
        <f t="shared" si="112"/>
        <v/>
      </c>
      <c r="AY856" s="21" t="str">
        <f>IF(AND($AM856&lt;&gt;"",$AS856&lt;&gt;"✓"),SUMPRODUCT(($AM$11:$AM856&lt;&gt;"")*($AS$11:$AS856&lt;&gt;"✓")),"")</f>
        <v/>
      </c>
      <c r="AZ856" s="21" t="str">
        <f>IF(AND($AM856&lt;&gt;"",$AS856="✓"),SUMPRODUCT(($AM$11:$AM856&lt;&gt;"")*($AS$11:$AS856="✓")),"")</f>
        <v/>
      </c>
      <c r="BA856" s="21" t="str">
        <f>IF($AL856="","",$AL856&amp;"|"&amp;COUNTIF($AL$11:$AL856,$AL856))</f>
        <v/>
      </c>
    </row>
    <row r="857" spans="23:53" ht="15" customHeight="1" x14ac:dyDescent="0.25">
      <c r="W857" s="14" t="str">
        <f>IF(X857="","",IFERROR(INDEX($AL$11:$AL$4010,MATCH(847,$AY$11:$AY$4010,0)),""))</f>
        <v/>
      </c>
      <c r="X857" s="12" t="str">
        <f>IFERROR(INDEX($AM$11:$AM$4010,MATCH(847,$AY$11:$AY$4010,0)),"")</f>
        <v/>
      </c>
      <c r="Y857" s="11" t="str">
        <f>IF(X857="","",IFERROR(INDEX($AN$11:$AN$4010,MATCH(847,$AY$11:$AY$4010,0)),""))</f>
        <v/>
      </c>
      <c r="Z857" s="11" t="str">
        <f>IF(X857="","",IFERROR(INDEX($AO$11:$AO$4010,MATCH(847,$AY$11:$AY$4010,0)),""))</f>
        <v/>
      </c>
      <c r="AA857" s="10" t="str">
        <f>IF(X857="","",IFERROR(INDEX($AQ$11:$AQ$4010,MATCH(847,$AY$11:$AY$4010,0)),""))</f>
        <v/>
      </c>
      <c r="AB857" s="15" t="str">
        <f>IF(X857="","",IFERROR(INDEX($AR$11:$AR$4010,MATCH(847,$AY$11:$AY$4010,0)),""))</f>
        <v/>
      </c>
      <c r="AD857" s="16" t="str">
        <f>IF(AE857="","",IFERROR(INDEX($AL$11:$AL$4010,MATCH(847,$AZ$11:$AZ$4010,0)),""))</f>
        <v/>
      </c>
      <c r="AE857" s="12" t="str">
        <f>IFERROR(INDEX($AM$11:$AM$4010,MATCH(847,$AZ$11:$AZ$4010,0)),"")</f>
        <v/>
      </c>
      <c r="AF857" s="11" t="str">
        <f>IF(AE857="","",IFERROR(INDEX($AN$11:$AN$4010,MATCH(847,$AZ$11:$AZ$4010,0)),""))</f>
        <v/>
      </c>
      <c r="AG857" s="11" t="str">
        <f>IF(AE857="","",IFERROR(INDEX($AO$11:$AO$4010,MATCH(847,$AZ$11:$AZ$4010,0)),""))</f>
        <v/>
      </c>
      <c r="AH857" s="10" t="str">
        <f>IF(AE857="","",IFERROR(INDEX($AQ$11:$AQ$4010,MATCH(847,$AZ$11:$AZ$4010,0)),""))</f>
        <v/>
      </c>
      <c r="AI857" s="15" t="str">
        <f>IF(AE857="","",IFERROR(INDEX($AR$11:$AR$4010,MATCH(847,$AZ$11:$AZ$4010,0)),""))</f>
        <v/>
      </c>
      <c r="AJ857" s="15" t="str">
        <f>IF(AE857="","",IFERROR(INDEX($AT$11:$AT$4010,MATCH(847,$AZ$11:$AZ$4010,0)),""))</f>
        <v/>
      </c>
      <c r="AL857" s="17"/>
      <c r="AM857" s="12"/>
      <c r="AN857" s="18"/>
      <c r="AO857" s="18"/>
      <c r="AP857" s="10"/>
      <c r="AQ857" s="10"/>
      <c r="AR857" s="19"/>
      <c r="AS857" s="20"/>
      <c r="AT857" s="19"/>
      <c r="AV857" s="21">
        <f>IF(AND($AL857&lt;&gt;"",COUNTIF($AL$11:$AL857,$AL857)=1),1,0)</f>
        <v>0</v>
      </c>
      <c r="AW857" s="21">
        <f t="shared" si="113"/>
        <v>2</v>
      </c>
      <c r="AX857" s="21" t="str">
        <f t="shared" si="112"/>
        <v/>
      </c>
      <c r="AY857" s="21" t="str">
        <f>IF(AND($AM857&lt;&gt;"",$AS857&lt;&gt;"✓"),SUMPRODUCT(($AM$11:$AM857&lt;&gt;"")*($AS$11:$AS857&lt;&gt;"✓")),"")</f>
        <v/>
      </c>
      <c r="AZ857" s="21" t="str">
        <f>IF(AND($AM857&lt;&gt;"",$AS857="✓"),SUMPRODUCT(($AM$11:$AM857&lt;&gt;"")*($AS$11:$AS857="✓")),"")</f>
        <v/>
      </c>
      <c r="BA857" s="21" t="str">
        <f>IF($AL857="","",$AL857&amp;"|"&amp;COUNTIF($AL$11:$AL857,$AL857))</f>
        <v/>
      </c>
    </row>
    <row r="858" spans="23:53" ht="15" customHeight="1" x14ac:dyDescent="0.25">
      <c r="W858" s="28" t="str">
        <f>IF(X858="","",IFERROR(INDEX($AL$11:$AL$4010,MATCH(848,$AY$11:$AY$4010,0)),""))</f>
        <v/>
      </c>
      <c r="X858" s="26" t="str">
        <f>IFERROR(INDEX($AM$11:$AM$4010,MATCH(848,$AY$11:$AY$4010,0)),"")</f>
        <v/>
      </c>
      <c r="Y858" s="25" t="str">
        <f>IF(X858="","",IFERROR(INDEX($AN$11:$AN$4010,MATCH(848,$AY$11:$AY$4010,0)),""))</f>
        <v/>
      </c>
      <c r="Z858" s="25" t="str">
        <f>IF(X858="","",IFERROR(INDEX($AO$11:$AO$4010,MATCH(848,$AY$11:$AY$4010,0)),""))</f>
        <v/>
      </c>
      <c r="AA858" s="24" t="str">
        <f>IF(X858="","",IFERROR(INDEX($AQ$11:$AQ$4010,MATCH(848,$AY$11:$AY$4010,0)),""))</f>
        <v/>
      </c>
      <c r="AB858" s="29" t="str">
        <f>IF(X858="","",IFERROR(INDEX($AR$11:$AR$4010,MATCH(848,$AY$11:$AY$4010,0)),""))</f>
        <v/>
      </c>
      <c r="AD858" s="30" t="str">
        <f>IF(AE858="","",IFERROR(INDEX($AL$11:$AL$4010,MATCH(848,$AZ$11:$AZ$4010,0)),""))</f>
        <v/>
      </c>
      <c r="AE858" s="26" t="str">
        <f>IFERROR(INDEX($AM$11:$AM$4010,MATCH(848,$AZ$11:$AZ$4010,0)),"")</f>
        <v/>
      </c>
      <c r="AF858" s="25" t="str">
        <f>IF(AE858="","",IFERROR(INDEX($AN$11:$AN$4010,MATCH(848,$AZ$11:$AZ$4010,0)),""))</f>
        <v/>
      </c>
      <c r="AG858" s="25" t="str">
        <f>IF(AE858="","",IFERROR(INDEX($AO$11:$AO$4010,MATCH(848,$AZ$11:$AZ$4010,0)),""))</f>
        <v/>
      </c>
      <c r="AH858" s="24" t="str">
        <f>IF(AE858="","",IFERROR(INDEX($AQ$11:$AQ$4010,MATCH(848,$AZ$11:$AZ$4010,0)),""))</f>
        <v/>
      </c>
      <c r="AI858" s="29" t="str">
        <f>IF(AE858="","",IFERROR(INDEX($AR$11:$AR$4010,MATCH(848,$AZ$11:$AZ$4010,0)),""))</f>
        <v/>
      </c>
      <c r="AJ858" s="29" t="str">
        <f>IF(AE858="","",IFERROR(INDEX($AT$11:$AT$4010,MATCH(848,$AZ$11:$AZ$4010,0)),""))</f>
        <v/>
      </c>
      <c r="AL858" s="31"/>
      <c r="AM858" s="26"/>
      <c r="AN858" s="32"/>
      <c r="AO858" s="32"/>
      <c r="AP858" s="24"/>
      <c r="AQ858" s="24"/>
      <c r="AR858" s="33"/>
      <c r="AS858" s="34"/>
      <c r="AT858" s="33"/>
      <c r="AV858" s="21">
        <f>IF(AND($AL858&lt;&gt;"",COUNTIF($AL$11:$AL858,$AL858)=1),1,0)</f>
        <v>0</v>
      </c>
      <c r="AW858" s="21">
        <f t="shared" si="113"/>
        <v>2</v>
      </c>
      <c r="AX858" s="21" t="str">
        <f t="shared" si="112"/>
        <v/>
      </c>
      <c r="AY858" s="21" t="str">
        <f>IF(AND($AM858&lt;&gt;"",$AS858&lt;&gt;"✓"),SUMPRODUCT(($AM$11:$AM858&lt;&gt;"")*($AS$11:$AS858&lt;&gt;"✓")),"")</f>
        <v/>
      </c>
      <c r="AZ858" s="21" t="str">
        <f>IF(AND($AM858&lt;&gt;"",$AS858="✓"),SUMPRODUCT(($AM$11:$AM858&lt;&gt;"")*($AS$11:$AS858="✓")),"")</f>
        <v/>
      </c>
      <c r="BA858" s="21" t="str">
        <f>IF($AL858="","",$AL858&amp;"|"&amp;COUNTIF($AL$11:$AL858,$AL858))</f>
        <v/>
      </c>
    </row>
    <row r="859" spans="23:53" ht="15" customHeight="1" x14ac:dyDescent="0.25">
      <c r="W859" s="14" t="str">
        <f>IF(X859="","",IFERROR(INDEX($AL$11:$AL$4010,MATCH(849,$AY$11:$AY$4010,0)),""))</f>
        <v/>
      </c>
      <c r="X859" s="12" t="str">
        <f>IFERROR(INDEX($AM$11:$AM$4010,MATCH(849,$AY$11:$AY$4010,0)),"")</f>
        <v/>
      </c>
      <c r="Y859" s="11" t="str">
        <f>IF(X859="","",IFERROR(INDEX($AN$11:$AN$4010,MATCH(849,$AY$11:$AY$4010,0)),""))</f>
        <v/>
      </c>
      <c r="Z859" s="11" t="str">
        <f>IF(X859="","",IFERROR(INDEX($AO$11:$AO$4010,MATCH(849,$AY$11:$AY$4010,0)),""))</f>
        <v/>
      </c>
      <c r="AA859" s="10" t="str">
        <f>IF(X859="","",IFERROR(INDEX($AQ$11:$AQ$4010,MATCH(849,$AY$11:$AY$4010,0)),""))</f>
        <v/>
      </c>
      <c r="AB859" s="15" t="str">
        <f>IF(X859="","",IFERROR(INDEX($AR$11:$AR$4010,MATCH(849,$AY$11:$AY$4010,0)),""))</f>
        <v/>
      </c>
      <c r="AD859" s="16" t="str">
        <f>IF(AE859="","",IFERROR(INDEX($AL$11:$AL$4010,MATCH(849,$AZ$11:$AZ$4010,0)),""))</f>
        <v/>
      </c>
      <c r="AE859" s="12" t="str">
        <f>IFERROR(INDEX($AM$11:$AM$4010,MATCH(849,$AZ$11:$AZ$4010,0)),"")</f>
        <v/>
      </c>
      <c r="AF859" s="11" t="str">
        <f>IF(AE859="","",IFERROR(INDEX($AN$11:$AN$4010,MATCH(849,$AZ$11:$AZ$4010,0)),""))</f>
        <v/>
      </c>
      <c r="AG859" s="11" t="str">
        <f>IF(AE859="","",IFERROR(INDEX($AO$11:$AO$4010,MATCH(849,$AZ$11:$AZ$4010,0)),""))</f>
        <v/>
      </c>
      <c r="AH859" s="10" t="str">
        <f>IF(AE859="","",IFERROR(INDEX($AQ$11:$AQ$4010,MATCH(849,$AZ$11:$AZ$4010,0)),""))</f>
        <v/>
      </c>
      <c r="AI859" s="15" t="str">
        <f>IF(AE859="","",IFERROR(INDEX($AR$11:$AR$4010,MATCH(849,$AZ$11:$AZ$4010,0)),""))</f>
        <v/>
      </c>
      <c r="AJ859" s="15" t="str">
        <f>IF(AE859="","",IFERROR(INDEX($AT$11:$AT$4010,MATCH(849,$AZ$11:$AZ$4010,0)),""))</f>
        <v/>
      </c>
      <c r="AL859" s="17"/>
      <c r="AM859" s="12"/>
      <c r="AN859" s="18"/>
      <c r="AO859" s="18"/>
      <c r="AP859" s="10"/>
      <c r="AQ859" s="10"/>
      <c r="AR859" s="19"/>
      <c r="AS859" s="20"/>
      <c r="AT859" s="19"/>
      <c r="AV859" s="21">
        <f>IF(AND($AL859&lt;&gt;"",COUNTIF($AL$11:$AL859,$AL859)=1),1,0)</f>
        <v>0</v>
      </c>
      <c r="AW859" s="21">
        <f t="shared" si="113"/>
        <v>2</v>
      </c>
      <c r="AX859" s="21" t="str">
        <f t="shared" si="112"/>
        <v/>
      </c>
      <c r="AY859" s="21" t="str">
        <f>IF(AND($AM859&lt;&gt;"",$AS859&lt;&gt;"✓"),SUMPRODUCT(($AM$11:$AM859&lt;&gt;"")*($AS$11:$AS859&lt;&gt;"✓")),"")</f>
        <v/>
      </c>
      <c r="AZ859" s="21" t="str">
        <f>IF(AND($AM859&lt;&gt;"",$AS859="✓"),SUMPRODUCT(($AM$11:$AM859&lt;&gt;"")*($AS$11:$AS859="✓")),"")</f>
        <v/>
      </c>
      <c r="BA859" s="21" t="str">
        <f>IF($AL859="","",$AL859&amp;"|"&amp;COUNTIF($AL$11:$AL859,$AL859))</f>
        <v/>
      </c>
    </row>
    <row r="860" spans="23:53" ht="15" customHeight="1" x14ac:dyDescent="0.25">
      <c r="W860" s="28" t="str">
        <f>IF(X860="","",IFERROR(INDEX($AL$11:$AL$4010,MATCH(850,$AY$11:$AY$4010,0)),""))</f>
        <v/>
      </c>
      <c r="X860" s="26" t="str">
        <f>IFERROR(INDEX($AM$11:$AM$4010,MATCH(850,$AY$11:$AY$4010,0)),"")</f>
        <v/>
      </c>
      <c r="Y860" s="25" t="str">
        <f>IF(X860="","",IFERROR(INDEX($AN$11:$AN$4010,MATCH(850,$AY$11:$AY$4010,0)),""))</f>
        <v/>
      </c>
      <c r="Z860" s="25" t="str">
        <f>IF(X860="","",IFERROR(INDEX($AO$11:$AO$4010,MATCH(850,$AY$11:$AY$4010,0)),""))</f>
        <v/>
      </c>
      <c r="AA860" s="24" t="str">
        <f>IF(X860="","",IFERROR(INDEX($AQ$11:$AQ$4010,MATCH(850,$AY$11:$AY$4010,0)),""))</f>
        <v/>
      </c>
      <c r="AB860" s="29" t="str">
        <f>IF(X860="","",IFERROR(INDEX($AR$11:$AR$4010,MATCH(850,$AY$11:$AY$4010,0)),""))</f>
        <v/>
      </c>
      <c r="AD860" s="30" t="str">
        <f>IF(AE860="","",IFERROR(INDEX($AL$11:$AL$4010,MATCH(850,$AZ$11:$AZ$4010,0)),""))</f>
        <v/>
      </c>
      <c r="AE860" s="26" t="str">
        <f>IFERROR(INDEX($AM$11:$AM$4010,MATCH(850,$AZ$11:$AZ$4010,0)),"")</f>
        <v/>
      </c>
      <c r="AF860" s="25" t="str">
        <f>IF(AE860="","",IFERROR(INDEX($AN$11:$AN$4010,MATCH(850,$AZ$11:$AZ$4010,0)),""))</f>
        <v/>
      </c>
      <c r="AG860" s="25" t="str">
        <f>IF(AE860="","",IFERROR(INDEX($AO$11:$AO$4010,MATCH(850,$AZ$11:$AZ$4010,0)),""))</f>
        <v/>
      </c>
      <c r="AH860" s="24" t="str">
        <f>IF(AE860="","",IFERROR(INDEX($AQ$11:$AQ$4010,MATCH(850,$AZ$11:$AZ$4010,0)),""))</f>
        <v/>
      </c>
      <c r="AI860" s="29" t="str">
        <f>IF(AE860="","",IFERROR(INDEX($AR$11:$AR$4010,MATCH(850,$AZ$11:$AZ$4010,0)),""))</f>
        <v/>
      </c>
      <c r="AJ860" s="29" t="str">
        <f>IF(AE860="","",IFERROR(INDEX($AT$11:$AT$4010,MATCH(850,$AZ$11:$AZ$4010,0)),""))</f>
        <v/>
      </c>
      <c r="AL860" s="31"/>
      <c r="AM860" s="26"/>
      <c r="AN860" s="32"/>
      <c r="AO860" s="32"/>
      <c r="AP860" s="24"/>
      <c r="AQ860" s="24"/>
      <c r="AR860" s="33"/>
      <c r="AS860" s="34"/>
      <c r="AT860" s="33"/>
      <c r="AV860" s="21">
        <f>IF(AND($AL860&lt;&gt;"",COUNTIF($AL$11:$AL860,$AL860)=1),1,0)</f>
        <v>0</v>
      </c>
      <c r="AW860" s="21">
        <f t="shared" si="113"/>
        <v>2</v>
      </c>
      <c r="AX860" s="21" t="str">
        <f t="shared" si="112"/>
        <v/>
      </c>
      <c r="AY860" s="21" t="str">
        <f>IF(AND($AM860&lt;&gt;"",$AS860&lt;&gt;"✓"),SUMPRODUCT(($AM$11:$AM860&lt;&gt;"")*($AS$11:$AS860&lt;&gt;"✓")),"")</f>
        <v/>
      </c>
      <c r="AZ860" s="21" t="str">
        <f>IF(AND($AM860&lt;&gt;"",$AS860="✓"),SUMPRODUCT(($AM$11:$AM860&lt;&gt;"")*($AS$11:$AS860="✓")),"")</f>
        <v/>
      </c>
      <c r="BA860" s="21" t="str">
        <f>IF($AL860="","",$AL860&amp;"|"&amp;COUNTIF($AL$11:$AL860,$AL860))</f>
        <v/>
      </c>
    </row>
    <row r="861" spans="23:53" ht="15" customHeight="1" x14ac:dyDescent="0.25">
      <c r="W861" s="14" t="str">
        <f>IF(X861="","",IFERROR(INDEX($AL$11:$AL$4010,MATCH(851,$AY$11:$AY$4010,0)),""))</f>
        <v/>
      </c>
      <c r="X861" s="12" t="str">
        <f>IFERROR(INDEX($AM$11:$AM$4010,MATCH(851,$AY$11:$AY$4010,0)),"")</f>
        <v/>
      </c>
      <c r="Y861" s="11" t="str">
        <f>IF(X861="","",IFERROR(INDEX($AN$11:$AN$4010,MATCH(851,$AY$11:$AY$4010,0)),""))</f>
        <v/>
      </c>
      <c r="Z861" s="11" t="str">
        <f>IF(X861="","",IFERROR(INDEX($AO$11:$AO$4010,MATCH(851,$AY$11:$AY$4010,0)),""))</f>
        <v/>
      </c>
      <c r="AA861" s="10" t="str">
        <f>IF(X861="","",IFERROR(INDEX($AQ$11:$AQ$4010,MATCH(851,$AY$11:$AY$4010,0)),""))</f>
        <v/>
      </c>
      <c r="AB861" s="15" t="str">
        <f>IF(X861="","",IFERROR(INDEX($AR$11:$AR$4010,MATCH(851,$AY$11:$AY$4010,0)),""))</f>
        <v/>
      </c>
      <c r="AD861" s="16" t="str">
        <f>IF(AE861="","",IFERROR(INDEX($AL$11:$AL$4010,MATCH(851,$AZ$11:$AZ$4010,0)),""))</f>
        <v/>
      </c>
      <c r="AE861" s="12" t="str">
        <f>IFERROR(INDEX($AM$11:$AM$4010,MATCH(851,$AZ$11:$AZ$4010,0)),"")</f>
        <v/>
      </c>
      <c r="AF861" s="11" t="str">
        <f>IF(AE861="","",IFERROR(INDEX($AN$11:$AN$4010,MATCH(851,$AZ$11:$AZ$4010,0)),""))</f>
        <v/>
      </c>
      <c r="AG861" s="11" t="str">
        <f>IF(AE861="","",IFERROR(INDEX($AO$11:$AO$4010,MATCH(851,$AZ$11:$AZ$4010,0)),""))</f>
        <v/>
      </c>
      <c r="AH861" s="10" t="str">
        <f>IF(AE861="","",IFERROR(INDEX($AQ$11:$AQ$4010,MATCH(851,$AZ$11:$AZ$4010,0)),""))</f>
        <v/>
      </c>
      <c r="AI861" s="15" t="str">
        <f>IF(AE861="","",IFERROR(INDEX($AR$11:$AR$4010,MATCH(851,$AZ$11:$AZ$4010,0)),""))</f>
        <v/>
      </c>
      <c r="AJ861" s="15" t="str">
        <f>IF(AE861="","",IFERROR(INDEX($AT$11:$AT$4010,MATCH(851,$AZ$11:$AZ$4010,0)),""))</f>
        <v/>
      </c>
      <c r="AL861" s="17"/>
      <c r="AM861" s="12"/>
      <c r="AN861" s="18"/>
      <c r="AO861" s="18"/>
      <c r="AP861" s="10"/>
      <c r="AQ861" s="10"/>
      <c r="AR861" s="19"/>
      <c r="AS861" s="20"/>
      <c r="AT861" s="19"/>
      <c r="AV861" s="21">
        <f>IF(AND($AL861&lt;&gt;"",COUNTIF($AL$11:$AL861,$AL861)=1),1,0)</f>
        <v>0</v>
      </c>
      <c r="AW861" s="21">
        <f t="shared" si="113"/>
        <v>2</v>
      </c>
      <c r="AX861" s="21" t="str">
        <f t="shared" si="112"/>
        <v/>
      </c>
      <c r="AY861" s="21" t="str">
        <f>IF(AND($AM861&lt;&gt;"",$AS861&lt;&gt;"✓"),SUMPRODUCT(($AM$11:$AM861&lt;&gt;"")*($AS$11:$AS861&lt;&gt;"✓")),"")</f>
        <v/>
      </c>
      <c r="AZ861" s="21" t="str">
        <f>IF(AND($AM861&lt;&gt;"",$AS861="✓"),SUMPRODUCT(($AM$11:$AM861&lt;&gt;"")*($AS$11:$AS861="✓")),"")</f>
        <v/>
      </c>
      <c r="BA861" s="21" t="str">
        <f>IF($AL861="","",$AL861&amp;"|"&amp;COUNTIF($AL$11:$AL861,$AL861))</f>
        <v/>
      </c>
    </row>
    <row r="862" spans="23:53" ht="15" customHeight="1" x14ac:dyDescent="0.25">
      <c r="W862" s="28" t="str">
        <f>IF(X862="","",IFERROR(INDEX($AL$11:$AL$4010,MATCH(852,$AY$11:$AY$4010,0)),""))</f>
        <v/>
      </c>
      <c r="X862" s="26" t="str">
        <f>IFERROR(INDEX($AM$11:$AM$4010,MATCH(852,$AY$11:$AY$4010,0)),"")</f>
        <v/>
      </c>
      <c r="Y862" s="25" t="str">
        <f>IF(X862="","",IFERROR(INDEX($AN$11:$AN$4010,MATCH(852,$AY$11:$AY$4010,0)),""))</f>
        <v/>
      </c>
      <c r="Z862" s="25" t="str">
        <f>IF(X862="","",IFERROR(INDEX($AO$11:$AO$4010,MATCH(852,$AY$11:$AY$4010,0)),""))</f>
        <v/>
      </c>
      <c r="AA862" s="24" t="str">
        <f>IF(X862="","",IFERROR(INDEX($AQ$11:$AQ$4010,MATCH(852,$AY$11:$AY$4010,0)),""))</f>
        <v/>
      </c>
      <c r="AB862" s="29" t="str">
        <f>IF(X862="","",IFERROR(INDEX($AR$11:$AR$4010,MATCH(852,$AY$11:$AY$4010,0)),""))</f>
        <v/>
      </c>
      <c r="AD862" s="30" t="str">
        <f>IF(AE862="","",IFERROR(INDEX($AL$11:$AL$4010,MATCH(852,$AZ$11:$AZ$4010,0)),""))</f>
        <v/>
      </c>
      <c r="AE862" s="26" t="str">
        <f>IFERROR(INDEX($AM$11:$AM$4010,MATCH(852,$AZ$11:$AZ$4010,0)),"")</f>
        <v/>
      </c>
      <c r="AF862" s="25" t="str">
        <f>IF(AE862="","",IFERROR(INDEX($AN$11:$AN$4010,MATCH(852,$AZ$11:$AZ$4010,0)),""))</f>
        <v/>
      </c>
      <c r="AG862" s="25" t="str">
        <f>IF(AE862="","",IFERROR(INDEX($AO$11:$AO$4010,MATCH(852,$AZ$11:$AZ$4010,0)),""))</f>
        <v/>
      </c>
      <c r="AH862" s="24" t="str">
        <f>IF(AE862="","",IFERROR(INDEX($AQ$11:$AQ$4010,MATCH(852,$AZ$11:$AZ$4010,0)),""))</f>
        <v/>
      </c>
      <c r="AI862" s="29" t="str">
        <f>IF(AE862="","",IFERROR(INDEX($AR$11:$AR$4010,MATCH(852,$AZ$11:$AZ$4010,0)),""))</f>
        <v/>
      </c>
      <c r="AJ862" s="29" t="str">
        <f>IF(AE862="","",IFERROR(INDEX($AT$11:$AT$4010,MATCH(852,$AZ$11:$AZ$4010,0)),""))</f>
        <v/>
      </c>
      <c r="AL862" s="31"/>
      <c r="AM862" s="26"/>
      <c r="AN862" s="32"/>
      <c r="AO862" s="32"/>
      <c r="AP862" s="24"/>
      <c r="AQ862" s="24"/>
      <c r="AR862" s="33"/>
      <c r="AS862" s="34"/>
      <c r="AT862" s="33"/>
      <c r="AV862" s="21">
        <f>IF(AND($AL862&lt;&gt;"",COUNTIF($AL$11:$AL862,$AL862)=1),1,0)</f>
        <v>0</v>
      </c>
      <c r="AW862" s="21">
        <f t="shared" si="113"/>
        <v>2</v>
      </c>
      <c r="AX862" s="21" t="str">
        <f t="shared" si="112"/>
        <v/>
      </c>
      <c r="AY862" s="21" t="str">
        <f>IF(AND($AM862&lt;&gt;"",$AS862&lt;&gt;"✓"),SUMPRODUCT(($AM$11:$AM862&lt;&gt;"")*($AS$11:$AS862&lt;&gt;"✓")),"")</f>
        <v/>
      </c>
      <c r="AZ862" s="21" t="str">
        <f>IF(AND($AM862&lt;&gt;"",$AS862="✓"),SUMPRODUCT(($AM$11:$AM862&lt;&gt;"")*($AS$11:$AS862="✓")),"")</f>
        <v/>
      </c>
      <c r="BA862" s="21" t="str">
        <f>IF($AL862="","",$AL862&amp;"|"&amp;COUNTIF($AL$11:$AL862,$AL862))</f>
        <v/>
      </c>
    </row>
    <row r="863" spans="23:53" ht="15" customHeight="1" x14ac:dyDescent="0.25">
      <c r="W863" s="14" t="str">
        <f>IF(X863="","",IFERROR(INDEX($AL$11:$AL$4010,MATCH(853,$AY$11:$AY$4010,0)),""))</f>
        <v/>
      </c>
      <c r="X863" s="12" t="str">
        <f>IFERROR(INDEX($AM$11:$AM$4010,MATCH(853,$AY$11:$AY$4010,0)),"")</f>
        <v/>
      </c>
      <c r="Y863" s="11" t="str">
        <f>IF(X863="","",IFERROR(INDEX($AN$11:$AN$4010,MATCH(853,$AY$11:$AY$4010,0)),""))</f>
        <v/>
      </c>
      <c r="Z863" s="11" t="str">
        <f>IF(X863="","",IFERROR(INDEX($AO$11:$AO$4010,MATCH(853,$AY$11:$AY$4010,0)),""))</f>
        <v/>
      </c>
      <c r="AA863" s="10" t="str">
        <f>IF(X863="","",IFERROR(INDEX($AQ$11:$AQ$4010,MATCH(853,$AY$11:$AY$4010,0)),""))</f>
        <v/>
      </c>
      <c r="AB863" s="15" t="str">
        <f>IF(X863="","",IFERROR(INDEX($AR$11:$AR$4010,MATCH(853,$AY$11:$AY$4010,0)),""))</f>
        <v/>
      </c>
      <c r="AD863" s="16" t="str">
        <f>IF(AE863="","",IFERROR(INDEX($AL$11:$AL$4010,MATCH(853,$AZ$11:$AZ$4010,0)),""))</f>
        <v/>
      </c>
      <c r="AE863" s="12" t="str">
        <f>IFERROR(INDEX($AM$11:$AM$4010,MATCH(853,$AZ$11:$AZ$4010,0)),"")</f>
        <v/>
      </c>
      <c r="AF863" s="11" t="str">
        <f>IF(AE863="","",IFERROR(INDEX($AN$11:$AN$4010,MATCH(853,$AZ$11:$AZ$4010,0)),""))</f>
        <v/>
      </c>
      <c r="AG863" s="11" t="str">
        <f>IF(AE863="","",IFERROR(INDEX($AO$11:$AO$4010,MATCH(853,$AZ$11:$AZ$4010,0)),""))</f>
        <v/>
      </c>
      <c r="AH863" s="10" t="str">
        <f>IF(AE863="","",IFERROR(INDEX($AQ$11:$AQ$4010,MATCH(853,$AZ$11:$AZ$4010,0)),""))</f>
        <v/>
      </c>
      <c r="AI863" s="15" t="str">
        <f>IF(AE863="","",IFERROR(INDEX($AR$11:$AR$4010,MATCH(853,$AZ$11:$AZ$4010,0)),""))</f>
        <v/>
      </c>
      <c r="AJ863" s="15" t="str">
        <f>IF(AE863="","",IFERROR(INDEX($AT$11:$AT$4010,MATCH(853,$AZ$11:$AZ$4010,0)),""))</f>
        <v/>
      </c>
      <c r="AL863" s="17"/>
      <c r="AM863" s="12"/>
      <c r="AN863" s="18"/>
      <c r="AO863" s="18"/>
      <c r="AP863" s="10"/>
      <c r="AQ863" s="10"/>
      <c r="AR863" s="19"/>
      <c r="AS863" s="20"/>
      <c r="AT863" s="19"/>
      <c r="AV863" s="21">
        <f>IF(AND($AL863&lt;&gt;"",COUNTIF($AL$11:$AL863,$AL863)=1),1,0)</f>
        <v>0</v>
      </c>
      <c r="AW863" s="21">
        <f t="shared" si="113"/>
        <v>2</v>
      </c>
      <c r="AX863" s="21" t="str">
        <f t="shared" si="112"/>
        <v/>
      </c>
      <c r="AY863" s="21" t="str">
        <f>IF(AND($AM863&lt;&gt;"",$AS863&lt;&gt;"✓"),SUMPRODUCT(($AM$11:$AM863&lt;&gt;"")*($AS$11:$AS863&lt;&gt;"✓")),"")</f>
        <v/>
      </c>
      <c r="AZ863" s="21" t="str">
        <f>IF(AND($AM863&lt;&gt;"",$AS863="✓"),SUMPRODUCT(($AM$11:$AM863&lt;&gt;"")*($AS$11:$AS863="✓")),"")</f>
        <v/>
      </c>
      <c r="BA863" s="21" t="str">
        <f>IF($AL863="","",$AL863&amp;"|"&amp;COUNTIF($AL$11:$AL863,$AL863))</f>
        <v/>
      </c>
    </row>
    <row r="864" spans="23:53" ht="15" customHeight="1" x14ac:dyDescent="0.25">
      <c r="W864" s="28" t="str">
        <f>IF(X864="","",IFERROR(INDEX($AL$11:$AL$4010,MATCH(854,$AY$11:$AY$4010,0)),""))</f>
        <v/>
      </c>
      <c r="X864" s="26" t="str">
        <f>IFERROR(INDEX($AM$11:$AM$4010,MATCH(854,$AY$11:$AY$4010,0)),"")</f>
        <v/>
      </c>
      <c r="Y864" s="25" t="str">
        <f>IF(X864="","",IFERROR(INDEX($AN$11:$AN$4010,MATCH(854,$AY$11:$AY$4010,0)),""))</f>
        <v/>
      </c>
      <c r="Z864" s="25" t="str">
        <f>IF(X864="","",IFERROR(INDEX($AO$11:$AO$4010,MATCH(854,$AY$11:$AY$4010,0)),""))</f>
        <v/>
      </c>
      <c r="AA864" s="24" t="str">
        <f>IF(X864="","",IFERROR(INDEX($AQ$11:$AQ$4010,MATCH(854,$AY$11:$AY$4010,0)),""))</f>
        <v/>
      </c>
      <c r="AB864" s="29" t="str">
        <f>IF(X864="","",IFERROR(INDEX($AR$11:$AR$4010,MATCH(854,$AY$11:$AY$4010,0)),""))</f>
        <v/>
      </c>
      <c r="AD864" s="30" t="str">
        <f>IF(AE864="","",IFERROR(INDEX($AL$11:$AL$4010,MATCH(854,$AZ$11:$AZ$4010,0)),""))</f>
        <v/>
      </c>
      <c r="AE864" s="26" t="str">
        <f>IFERROR(INDEX($AM$11:$AM$4010,MATCH(854,$AZ$11:$AZ$4010,0)),"")</f>
        <v/>
      </c>
      <c r="AF864" s="25" t="str">
        <f>IF(AE864="","",IFERROR(INDEX($AN$11:$AN$4010,MATCH(854,$AZ$11:$AZ$4010,0)),""))</f>
        <v/>
      </c>
      <c r="AG864" s="25" t="str">
        <f>IF(AE864="","",IFERROR(INDEX($AO$11:$AO$4010,MATCH(854,$AZ$11:$AZ$4010,0)),""))</f>
        <v/>
      </c>
      <c r="AH864" s="24" t="str">
        <f>IF(AE864="","",IFERROR(INDEX($AQ$11:$AQ$4010,MATCH(854,$AZ$11:$AZ$4010,0)),""))</f>
        <v/>
      </c>
      <c r="AI864" s="29" t="str">
        <f>IF(AE864="","",IFERROR(INDEX($AR$11:$AR$4010,MATCH(854,$AZ$11:$AZ$4010,0)),""))</f>
        <v/>
      </c>
      <c r="AJ864" s="29" t="str">
        <f>IF(AE864="","",IFERROR(INDEX($AT$11:$AT$4010,MATCH(854,$AZ$11:$AZ$4010,0)),""))</f>
        <v/>
      </c>
      <c r="AL864" s="31"/>
      <c r="AM864" s="26"/>
      <c r="AN864" s="32"/>
      <c r="AO864" s="32"/>
      <c r="AP864" s="24"/>
      <c r="AQ864" s="24"/>
      <c r="AR864" s="33"/>
      <c r="AS864" s="34"/>
      <c r="AT864" s="33"/>
      <c r="AV864" s="21">
        <f>IF(AND($AL864&lt;&gt;"",COUNTIF($AL$11:$AL864,$AL864)=1),1,0)</f>
        <v>0</v>
      </c>
      <c r="AW864" s="21">
        <f t="shared" si="113"/>
        <v>2</v>
      </c>
      <c r="AX864" s="21" t="str">
        <f t="shared" si="112"/>
        <v/>
      </c>
      <c r="AY864" s="21" t="str">
        <f>IF(AND($AM864&lt;&gt;"",$AS864&lt;&gt;"✓"),SUMPRODUCT(($AM$11:$AM864&lt;&gt;"")*($AS$11:$AS864&lt;&gt;"✓")),"")</f>
        <v/>
      </c>
      <c r="AZ864" s="21" t="str">
        <f>IF(AND($AM864&lt;&gt;"",$AS864="✓"),SUMPRODUCT(($AM$11:$AM864&lt;&gt;"")*($AS$11:$AS864="✓")),"")</f>
        <v/>
      </c>
      <c r="BA864" s="21" t="str">
        <f>IF($AL864="","",$AL864&amp;"|"&amp;COUNTIF($AL$11:$AL864,$AL864))</f>
        <v/>
      </c>
    </row>
    <row r="865" spans="23:53" ht="15" customHeight="1" x14ac:dyDescent="0.25">
      <c r="W865" s="14" t="str">
        <f>IF(X865="","",IFERROR(INDEX($AL$11:$AL$4010,MATCH(855,$AY$11:$AY$4010,0)),""))</f>
        <v/>
      </c>
      <c r="X865" s="12" t="str">
        <f>IFERROR(INDEX($AM$11:$AM$4010,MATCH(855,$AY$11:$AY$4010,0)),"")</f>
        <v/>
      </c>
      <c r="Y865" s="11" t="str">
        <f>IF(X865="","",IFERROR(INDEX($AN$11:$AN$4010,MATCH(855,$AY$11:$AY$4010,0)),""))</f>
        <v/>
      </c>
      <c r="Z865" s="11" t="str">
        <f>IF(X865="","",IFERROR(INDEX($AO$11:$AO$4010,MATCH(855,$AY$11:$AY$4010,0)),""))</f>
        <v/>
      </c>
      <c r="AA865" s="10" t="str">
        <f>IF(X865="","",IFERROR(INDEX($AQ$11:$AQ$4010,MATCH(855,$AY$11:$AY$4010,0)),""))</f>
        <v/>
      </c>
      <c r="AB865" s="15" t="str">
        <f>IF(X865="","",IFERROR(INDEX($AR$11:$AR$4010,MATCH(855,$AY$11:$AY$4010,0)),""))</f>
        <v/>
      </c>
      <c r="AD865" s="16" t="str">
        <f>IF(AE865="","",IFERROR(INDEX($AL$11:$AL$4010,MATCH(855,$AZ$11:$AZ$4010,0)),""))</f>
        <v/>
      </c>
      <c r="AE865" s="12" t="str">
        <f>IFERROR(INDEX($AM$11:$AM$4010,MATCH(855,$AZ$11:$AZ$4010,0)),"")</f>
        <v/>
      </c>
      <c r="AF865" s="11" t="str">
        <f>IF(AE865="","",IFERROR(INDEX($AN$11:$AN$4010,MATCH(855,$AZ$11:$AZ$4010,0)),""))</f>
        <v/>
      </c>
      <c r="AG865" s="11" t="str">
        <f>IF(AE865="","",IFERROR(INDEX($AO$11:$AO$4010,MATCH(855,$AZ$11:$AZ$4010,0)),""))</f>
        <v/>
      </c>
      <c r="AH865" s="10" t="str">
        <f>IF(AE865="","",IFERROR(INDEX($AQ$11:$AQ$4010,MATCH(855,$AZ$11:$AZ$4010,0)),""))</f>
        <v/>
      </c>
      <c r="AI865" s="15" t="str">
        <f>IF(AE865="","",IFERROR(INDEX($AR$11:$AR$4010,MATCH(855,$AZ$11:$AZ$4010,0)),""))</f>
        <v/>
      </c>
      <c r="AJ865" s="15" t="str">
        <f>IF(AE865="","",IFERROR(INDEX($AT$11:$AT$4010,MATCH(855,$AZ$11:$AZ$4010,0)),""))</f>
        <v/>
      </c>
      <c r="AL865" s="17"/>
      <c r="AM865" s="12"/>
      <c r="AN865" s="18"/>
      <c r="AO865" s="18"/>
      <c r="AP865" s="10"/>
      <c r="AQ865" s="10"/>
      <c r="AR865" s="19"/>
      <c r="AS865" s="20"/>
      <c r="AT865" s="19"/>
      <c r="AV865" s="21">
        <f>IF(AND($AL865&lt;&gt;"",COUNTIF($AL$11:$AL865,$AL865)=1),1,0)</f>
        <v>0</v>
      </c>
      <c r="AW865" s="21">
        <f t="shared" si="113"/>
        <v>2</v>
      </c>
      <c r="AX865" s="21" t="str">
        <f t="shared" si="112"/>
        <v/>
      </c>
      <c r="AY865" s="21" t="str">
        <f>IF(AND($AM865&lt;&gt;"",$AS865&lt;&gt;"✓"),SUMPRODUCT(($AM$11:$AM865&lt;&gt;"")*($AS$11:$AS865&lt;&gt;"✓")),"")</f>
        <v/>
      </c>
      <c r="AZ865" s="21" t="str">
        <f>IF(AND($AM865&lt;&gt;"",$AS865="✓"),SUMPRODUCT(($AM$11:$AM865&lt;&gt;"")*($AS$11:$AS865="✓")),"")</f>
        <v/>
      </c>
      <c r="BA865" s="21" t="str">
        <f>IF($AL865="","",$AL865&amp;"|"&amp;COUNTIF($AL$11:$AL865,$AL865))</f>
        <v/>
      </c>
    </row>
    <row r="866" spans="23:53" ht="15" customHeight="1" x14ac:dyDescent="0.25">
      <c r="W866" s="28" t="str">
        <f>IF(X866="","",IFERROR(INDEX($AL$11:$AL$4010,MATCH(856,$AY$11:$AY$4010,0)),""))</f>
        <v/>
      </c>
      <c r="X866" s="26" t="str">
        <f>IFERROR(INDEX($AM$11:$AM$4010,MATCH(856,$AY$11:$AY$4010,0)),"")</f>
        <v/>
      </c>
      <c r="Y866" s="25" t="str">
        <f>IF(X866="","",IFERROR(INDEX($AN$11:$AN$4010,MATCH(856,$AY$11:$AY$4010,0)),""))</f>
        <v/>
      </c>
      <c r="Z866" s="25" t="str">
        <f>IF(X866="","",IFERROR(INDEX($AO$11:$AO$4010,MATCH(856,$AY$11:$AY$4010,0)),""))</f>
        <v/>
      </c>
      <c r="AA866" s="24" t="str">
        <f>IF(X866="","",IFERROR(INDEX($AQ$11:$AQ$4010,MATCH(856,$AY$11:$AY$4010,0)),""))</f>
        <v/>
      </c>
      <c r="AB866" s="29" t="str">
        <f>IF(X866="","",IFERROR(INDEX($AR$11:$AR$4010,MATCH(856,$AY$11:$AY$4010,0)),""))</f>
        <v/>
      </c>
      <c r="AD866" s="30" t="str">
        <f>IF(AE866="","",IFERROR(INDEX($AL$11:$AL$4010,MATCH(856,$AZ$11:$AZ$4010,0)),""))</f>
        <v/>
      </c>
      <c r="AE866" s="26" t="str">
        <f>IFERROR(INDEX($AM$11:$AM$4010,MATCH(856,$AZ$11:$AZ$4010,0)),"")</f>
        <v/>
      </c>
      <c r="AF866" s="25" t="str">
        <f>IF(AE866="","",IFERROR(INDEX($AN$11:$AN$4010,MATCH(856,$AZ$11:$AZ$4010,0)),""))</f>
        <v/>
      </c>
      <c r="AG866" s="25" t="str">
        <f>IF(AE866="","",IFERROR(INDEX($AO$11:$AO$4010,MATCH(856,$AZ$11:$AZ$4010,0)),""))</f>
        <v/>
      </c>
      <c r="AH866" s="24" t="str">
        <f>IF(AE866="","",IFERROR(INDEX($AQ$11:$AQ$4010,MATCH(856,$AZ$11:$AZ$4010,0)),""))</f>
        <v/>
      </c>
      <c r="AI866" s="29" t="str">
        <f>IF(AE866="","",IFERROR(INDEX($AR$11:$AR$4010,MATCH(856,$AZ$11:$AZ$4010,0)),""))</f>
        <v/>
      </c>
      <c r="AJ866" s="29" t="str">
        <f>IF(AE866="","",IFERROR(INDEX($AT$11:$AT$4010,MATCH(856,$AZ$11:$AZ$4010,0)),""))</f>
        <v/>
      </c>
      <c r="AL866" s="31"/>
      <c r="AM866" s="26"/>
      <c r="AN866" s="32"/>
      <c r="AO866" s="32"/>
      <c r="AP866" s="24"/>
      <c r="AQ866" s="24"/>
      <c r="AR866" s="33"/>
      <c r="AS866" s="34"/>
      <c r="AT866" s="33"/>
      <c r="AV866" s="21">
        <f>IF(AND($AL866&lt;&gt;"",COUNTIF($AL$11:$AL866,$AL866)=1),1,0)</f>
        <v>0</v>
      </c>
      <c r="AW866" s="21">
        <f t="shared" si="113"/>
        <v>2</v>
      </c>
      <c r="AX866" s="21" t="str">
        <f t="shared" si="112"/>
        <v/>
      </c>
      <c r="AY866" s="21" t="str">
        <f>IF(AND($AM866&lt;&gt;"",$AS866&lt;&gt;"✓"),SUMPRODUCT(($AM$11:$AM866&lt;&gt;"")*($AS$11:$AS866&lt;&gt;"✓")),"")</f>
        <v/>
      </c>
      <c r="AZ866" s="21" t="str">
        <f>IF(AND($AM866&lt;&gt;"",$AS866="✓"),SUMPRODUCT(($AM$11:$AM866&lt;&gt;"")*($AS$11:$AS866="✓")),"")</f>
        <v/>
      </c>
      <c r="BA866" s="21" t="str">
        <f>IF($AL866="","",$AL866&amp;"|"&amp;COUNTIF($AL$11:$AL866,$AL866))</f>
        <v/>
      </c>
    </row>
    <row r="867" spans="23:53" ht="15" customHeight="1" x14ac:dyDescent="0.25">
      <c r="W867" s="14" t="str">
        <f>IF(X867="","",IFERROR(INDEX($AL$11:$AL$4010,MATCH(857,$AY$11:$AY$4010,0)),""))</f>
        <v/>
      </c>
      <c r="X867" s="12" t="str">
        <f>IFERROR(INDEX($AM$11:$AM$4010,MATCH(857,$AY$11:$AY$4010,0)),"")</f>
        <v/>
      </c>
      <c r="Y867" s="11" t="str">
        <f>IF(X867="","",IFERROR(INDEX($AN$11:$AN$4010,MATCH(857,$AY$11:$AY$4010,0)),""))</f>
        <v/>
      </c>
      <c r="Z867" s="11" t="str">
        <f>IF(X867="","",IFERROR(INDEX($AO$11:$AO$4010,MATCH(857,$AY$11:$AY$4010,0)),""))</f>
        <v/>
      </c>
      <c r="AA867" s="10" t="str">
        <f>IF(X867="","",IFERROR(INDEX($AQ$11:$AQ$4010,MATCH(857,$AY$11:$AY$4010,0)),""))</f>
        <v/>
      </c>
      <c r="AB867" s="15" t="str">
        <f>IF(X867="","",IFERROR(INDEX($AR$11:$AR$4010,MATCH(857,$AY$11:$AY$4010,0)),""))</f>
        <v/>
      </c>
      <c r="AD867" s="16" t="str">
        <f>IF(AE867="","",IFERROR(INDEX($AL$11:$AL$4010,MATCH(857,$AZ$11:$AZ$4010,0)),""))</f>
        <v/>
      </c>
      <c r="AE867" s="12" t="str">
        <f>IFERROR(INDEX($AM$11:$AM$4010,MATCH(857,$AZ$11:$AZ$4010,0)),"")</f>
        <v/>
      </c>
      <c r="AF867" s="11" t="str">
        <f>IF(AE867="","",IFERROR(INDEX($AN$11:$AN$4010,MATCH(857,$AZ$11:$AZ$4010,0)),""))</f>
        <v/>
      </c>
      <c r="AG867" s="11" t="str">
        <f>IF(AE867="","",IFERROR(INDEX($AO$11:$AO$4010,MATCH(857,$AZ$11:$AZ$4010,0)),""))</f>
        <v/>
      </c>
      <c r="AH867" s="10" t="str">
        <f>IF(AE867="","",IFERROR(INDEX($AQ$11:$AQ$4010,MATCH(857,$AZ$11:$AZ$4010,0)),""))</f>
        <v/>
      </c>
      <c r="AI867" s="15" t="str">
        <f>IF(AE867="","",IFERROR(INDEX($AR$11:$AR$4010,MATCH(857,$AZ$11:$AZ$4010,0)),""))</f>
        <v/>
      </c>
      <c r="AJ867" s="15" t="str">
        <f>IF(AE867="","",IFERROR(INDEX($AT$11:$AT$4010,MATCH(857,$AZ$11:$AZ$4010,0)),""))</f>
        <v/>
      </c>
      <c r="AL867" s="17"/>
      <c r="AM867" s="12"/>
      <c r="AN867" s="18"/>
      <c r="AO867" s="18"/>
      <c r="AP867" s="10"/>
      <c r="AQ867" s="10"/>
      <c r="AR867" s="19"/>
      <c r="AS867" s="20"/>
      <c r="AT867" s="19"/>
      <c r="AV867" s="21">
        <f>IF(AND($AL867&lt;&gt;"",COUNTIF($AL$11:$AL867,$AL867)=1),1,0)</f>
        <v>0</v>
      </c>
      <c r="AW867" s="21">
        <f t="shared" si="113"/>
        <v>2</v>
      </c>
      <c r="AX867" s="21" t="str">
        <f t="shared" si="112"/>
        <v/>
      </c>
      <c r="AY867" s="21" t="str">
        <f>IF(AND($AM867&lt;&gt;"",$AS867&lt;&gt;"✓"),SUMPRODUCT(($AM$11:$AM867&lt;&gt;"")*($AS$11:$AS867&lt;&gt;"✓")),"")</f>
        <v/>
      </c>
      <c r="AZ867" s="21" t="str">
        <f>IF(AND($AM867&lt;&gt;"",$AS867="✓"),SUMPRODUCT(($AM$11:$AM867&lt;&gt;"")*($AS$11:$AS867="✓")),"")</f>
        <v/>
      </c>
      <c r="BA867" s="21" t="str">
        <f>IF($AL867="","",$AL867&amp;"|"&amp;COUNTIF($AL$11:$AL867,$AL867))</f>
        <v/>
      </c>
    </row>
    <row r="868" spans="23:53" ht="15" customHeight="1" x14ac:dyDescent="0.25">
      <c r="W868" s="28" t="str">
        <f>IF(X868="","",IFERROR(INDEX($AL$11:$AL$4010,MATCH(858,$AY$11:$AY$4010,0)),""))</f>
        <v/>
      </c>
      <c r="X868" s="26" t="str">
        <f>IFERROR(INDEX($AM$11:$AM$4010,MATCH(858,$AY$11:$AY$4010,0)),"")</f>
        <v/>
      </c>
      <c r="Y868" s="25" t="str">
        <f>IF(X868="","",IFERROR(INDEX($AN$11:$AN$4010,MATCH(858,$AY$11:$AY$4010,0)),""))</f>
        <v/>
      </c>
      <c r="Z868" s="25" t="str">
        <f>IF(X868="","",IFERROR(INDEX($AO$11:$AO$4010,MATCH(858,$AY$11:$AY$4010,0)),""))</f>
        <v/>
      </c>
      <c r="AA868" s="24" t="str">
        <f>IF(X868="","",IFERROR(INDEX($AQ$11:$AQ$4010,MATCH(858,$AY$11:$AY$4010,0)),""))</f>
        <v/>
      </c>
      <c r="AB868" s="29" t="str">
        <f>IF(X868="","",IFERROR(INDEX($AR$11:$AR$4010,MATCH(858,$AY$11:$AY$4010,0)),""))</f>
        <v/>
      </c>
      <c r="AD868" s="30" t="str">
        <f>IF(AE868="","",IFERROR(INDEX($AL$11:$AL$4010,MATCH(858,$AZ$11:$AZ$4010,0)),""))</f>
        <v/>
      </c>
      <c r="AE868" s="26" t="str">
        <f>IFERROR(INDEX($AM$11:$AM$4010,MATCH(858,$AZ$11:$AZ$4010,0)),"")</f>
        <v/>
      </c>
      <c r="AF868" s="25" t="str">
        <f>IF(AE868="","",IFERROR(INDEX($AN$11:$AN$4010,MATCH(858,$AZ$11:$AZ$4010,0)),""))</f>
        <v/>
      </c>
      <c r="AG868" s="25" t="str">
        <f>IF(AE868="","",IFERROR(INDEX($AO$11:$AO$4010,MATCH(858,$AZ$11:$AZ$4010,0)),""))</f>
        <v/>
      </c>
      <c r="AH868" s="24" t="str">
        <f>IF(AE868="","",IFERROR(INDEX($AQ$11:$AQ$4010,MATCH(858,$AZ$11:$AZ$4010,0)),""))</f>
        <v/>
      </c>
      <c r="AI868" s="29" t="str">
        <f>IF(AE868="","",IFERROR(INDEX($AR$11:$AR$4010,MATCH(858,$AZ$11:$AZ$4010,0)),""))</f>
        <v/>
      </c>
      <c r="AJ868" s="29" t="str">
        <f>IF(AE868="","",IFERROR(INDEX($AT$11:$AT$4010,MATCH(858,$AZ$11:$AZ$4010,0)),""))</f>
        <v/>
      </c>
      <c r="AL868" s="31"/>
      <c r="AM868" s="26"/>
      <c r="AN868" s="32"/>
      <c r="AO868" s="32"/>
      <c r="AP868" s="24"/>
      <c r="AQ868" s="24"/>
      <c r="AR868" s="33"/>
      <c r="AS868" s="34"/>
      <c r="AT868" s="33"/>
      <c r="AV868" s="21">
        <f>IF(AND($AL868&lt;&gt;"",COUNTIF($AL$11:$AL868,$AL868)=1),1,0)</f>
        <v>0</v>
      </c>
      <c r="AW868" s="21">
        <f t="shared" si="113"/>
        <v>2</v>
      </c>
      <c r="AX868" s="21" t="str">
        <f t="shared" si="112"/>
        <v/>
      </c>
      <c r="AY868" s="21" t="str">
        <f>IF(AND($AM868&lt;&gt;"",$AS868&lt;&gt;"✓"),SUMPRODUCT(($AM$11:$AM868&lt;&gt;"")*($AS$11:$AS868&lt;&gt;"✓")),"")</f>
        <v/>
      </c>
      <c r="AZ868" s="21" t="str">
        <f>IF(AND($AM868&lt;&gt;"",$AS868="✓"),SUMPRODUCT(($AM$11:$AM868&lt;&gt;"")*($AS$11:$AS868="✓")),"")</f>
        <v/>
      </c>
      <c r="BA868" s="21" t="str">
        <f>IF($AL868="","",$AL868&amp;"|"&amp;COUNTIF($AL$11:$AL868,$AL868))</f>
        <v/>
      </c>
    </row>
    <row r="869" spans="23:53" ht="15" customHeight="1" x14ac:dyDescent="0.25">
      <c r="W869" s="14" t="str">
        <f>IF(X869="","",IFERROR(INDEX($AL$11:$AL$4010,MATCH(859,$AY$11:$AY$4010,0)),""))</f>
        <v/>
      </c>
      <c r="X869" s="12" t="str">
        <f>IFERROR(INDEX($AM$11:$AM$4010,MATCH(859,$AY$11:$AY$4010,0)),"")</f>
        <v/>
      </c>
      <c r="Y869" s="11" t="str">
        <f>IF(X869="","",IFERROR(INDEX($AN$11:$AN$4010,MATCH(859,$AY$11:$AY$4010,0)),""))</f>
        <v/>
      </c>
      <c r="Z869" s="11" t="str">
        <f>IF(X869="","",IFERROR(INDEX($AO$11:$AO$4010,MATCH(859,$AY$11:$AY$4010,0)),""))</f>
        <v/>
      </c>
      <c r="AA869" s="10" t="str">
        <f>IF(X869="","",IFERROR(INDEX($AQ$11:$AQ$4010,MATCH(859,$AY$11:$AY$4010,0)),""))</f>
        <v/>
      </c>
      <c r="AB869" s="15" t="str">
        <f>IF(X869="","",IFERROR(INDEX($AR$11:$AR$4010,MATCH(859,$AY$11:$AY$4010,0)),""))</f>
        <v/>
      </c>
      <c r="AD869" s="16" t="str">
        <f>IF(AE869="","",IFERROR(INDEX($AL$11:$AL$4010,MATCH(859,$AZ$11:$AZ$4010,0)),""))</f>
        <v/>
      </c>
      <c r="AE869" s="12" t="str">
        <f>IFERROR(INDEX($AM$11:$AM$4010,MATCH(859,$AZ$11:$AZ$4010,0)),"")</f>
        <v/>
      </c>
      <c r="AF869" s="11" t="str">
        <f>IF(AE869="","",IFERROR(INDEX($AN$11:$AN$4010,MATCH(859,$AZ$11:$AZ$4010,0)),""))</f>
        <v/>
      </c>
      <c r="AG869" s="11" t="str">
        <f>IF(AE869="","",IFERROR(INDEX($AO$11:$AO$4010,MATCH(859,$AZ$11:$AZ$4010,0)),""))</f>
        <v/>
      </c>
      <c r="AH869" s="10" t="str">
        <f>IF(AE869="","",IFERROR(INDEX($AQ$11:$AQ$4010,MATCH(859,$AZ$11:$AZ$4010,0)),""))</f>
        <v/>
      </c>
      <c r="AI869" s="15" t="str">
        <f>IF(AE869="","",IFERROR(INDEX($AR$11:$AR$4010,MATCH(859,$AZ$11:$AZ$4010,0)),""))</f>
        <v/>
      </c>
      <c r="AJ869" s="15" t="str">
        <f>IF(AE869="","",IFERROR(INDEX($AT$11:$AT$4010,MATCH(859,$AZ$11:$AZ$4010,0)),""))</f>
        <v/>
      </c>
      <c r="AL869" s="17"/>
      <c r="AM869" s="12"/>
      <c r="AN869" s="18"/>
      <c r="AO869" s="18"/>
      <c r="AP869" s="10"/>
      <c r="AQ869" s="10"/>
      <c r="AR869" s="19"/>
      <c r="AS869" s="20"/>
      <c r="AT869" s="19"/>
      <c r="AV869" s="21">
        <f>IF(AND($AL869&lt;&gt;"",COUNTIF($AL$11:$AL869,$AL869)=1),1,0)</f>
        <v>0</v>
      </c>
      <c r="AW869" s="21">
        <f t="shared" si="113"/>
        <v>2</v>
      </c>
      <c r="AX869" s="21" t="str">
        <f t="shared" si="112"/>
        <v/>
      </c>
      <c r="AY869" s="21" t="str">
        <f>IF(AND($AM869&lt;&gt;"",$AS869&lt;&gt;"✓"),SUMPRODUCT(($AM$11:$AM869&lt;&gt;"")*($AS$11:$AS869&lt;&gt;"✓")),"")</f>
        <v/>
      </c>
      <c r="AZ869" s="21" t="str">
        <f>IF(AND($AM869&lt;&gt;"",$AS869="✓"),SUMPRODUCT(($AM$11:$AM869&lt;&gt;"")*($AS$11:$AS869="✓")),"")</f>
        <v/>
      </c>
      <c r="BA869" s="21" t="str">
        <f>IF($AL869="","",$AL869&amp;"|"&amp;COUNTIF($AL$11:$AL869,$AL869))</f>
        <v/>
      </c>
    </row>
    <row r="870" spans="23:53" ht="15" customHeight="1" x14ac:dyDescent="0.25">
      <c r="W870" s="28" t="str">
        <f>IF(X870="","",IFERROR(INDEX($AL$11:$AL$4010,MATCH(860,$AY$11:$AY$4010,0)),""))</f>
        <v/>
      </c>
      <c r="X870" s="26" t="str">
        <f>IFERROR(INDEX($AM$11:$AM$4010,MATCH(860,$AY$11:$AY$4010,0)),"")</f>
        <v/>
      </c>
      <c r="Y870" s="25" t="str">
        <f>IF(X870="","",IFERROR(INDEX($AN$11:$AN$4010,MATCH(860,$AY$11:$AY$4010,0)),""))</f>
        <v/>
      </c>
      <c r="Z870" s="25" t="str">
        <f>IF(X870="","",IFERROR(INDEX($AO$11:$AO$4010,MATCH(860,$AY$11:$AY$4010,0)),""))</f>
        <v/>
      </c>
      <c r="AA870" s="24" t="str">
        <f>IF(X870="","",IFERROR(INDEX($AQ$11:$AQ$4010,MATCH(860,$AY$11:$AY$4010,0)),""))</f>
        <v/>
      </c>
      <c r="AB870" s="29" t="str">
        <f>IF(X870="","",IFERROR(INDEX($AR$11:$AR$4010,MATCH(860,$AY$11:$AY$4010,0)),""))</f>
        <v/>
      </c>
      <c r="AD870" s="30" t="str">
        <f>IF(AE870="","",IFERROR(INDEX($AL$11:$AL$4010,MATCH(860,$AZ$11:$AZ$4010,0)),""))</f>
        <v/>
      </c>
      <c r="AE870" s="26" t="str">
        <f>IFERROR(INDEX($AM$11:$AM$4010,MATCH(860,$AZ$11:$AZ$4010,0)),"")</f>
        <v/>
      </c>
      <c r="AF870" s="25" t="str">
        <f>IF(AE870="","",IFERROR(INDEX($AN$11:$AN$4010,MATCH(860,$AZ$11:$AZ$4010,0)),""))</f>
        <v/>
      </c>
      <c r="AG870" s="25" t="str">
        <f>IF(AE870="","",IFERROR(INDEX($AO$11:$AO$4010,MATCH(860,$AZ$11:$AZ$4010,0)),""))</f>
        <v/>
      </c>
      <c r="AH870" s="24" t="str">
        <f>IF(AE870="","",IFERROR(INDEX($AQ$11:$AQ$4010,MATCH(860,$AZ$11:$AZ$4010,0)),""))</f>
        <v/>
      </c>
      <c r="AI870" s="29" t="str">
        <f>IF(AE870="","",IFERROR(INDEX($AR$11:$AR$4010,MATCH(860,$AZ$11:$AZ$4010,0)),""))</f>
        <v/>
      </c>
      <c r="AJ870" s="29" t="str">
        <f>IF(AE870="","",IFERROR(INDEX($AT$11:$AT$4010,MATCH(860,$AZ$11:$AZ$4010,0)),""))</f>
        <v/>
      </c>
      <c r="AL870" s="31"/>
      <c r="AM870" s="26"/>
      <c r="AN870" s="32"/>
      <c r="AO870" s="32"/>
      <c r="AP870" s="24"/>
      <c r="AQ870" s="24"/>
      <c r="AR870" s="33"/>
      <c r="AS870" s="34"/>
      <c r="AT870" s="33"/>
      <c r="AV870" s="21">
        <f>IF(AND($AL870&lt;&gt;"",COUNTIF($AL$11:$AL870,$AL870)=1),1,0)</f>
        <v>0</v>
      </c>
      <c r="AW870" s="21">
        <f t="shared" si="113"/>
        <v>2</v>
      </c>
      <c r="AX870" s="21" t="str">
        <f t="shared" si="112"/>
        <v/>
      </c>
      <c r="AY870" s="21" t="str">
        <f>IF(AND($AM870&lt;&gt;"",$AS870&lt;&gt;"✓"),SUMPRODUCT(($AM$11:$AM870&lt;&gt;"")*($AS$11:$AS870&lt;&gt;"✓")),"")</f>
        <v/>
      </c>
      <c r="AZ870" s="21" t="str">
        <f>IF(AND($AM870&lt;&gt;"",$AS870="✓"),SUMPRODUCT(($AM$11:$AM870&lt;&gt;"")*($AS$11:$AS870="✓")),"")</f>
        <v/>
      </c>
      <c r="BA870" s="21" t="str">
        <f>IF($AL870="","",$AL870&amp;"|"&amp;COUNTIF($AL$11:$AL870,$AL870))</f>
        <v/>
      </c>
    </row>
    <row r="871" spans="23:53" ht="15" customHeight="1" x14ac:dyDescent="0.25">
      <c r="W871" s="14" t="str">
        <f>IF(X871="","",IFERROR(INDEX($AL$11:$AL$4010,MATCH(861,$AY$11:$AY$4010,0)),""))</f>
        <v/>
      </c>
      <c r="X871" s="12" t="str">
        <f>IFERROR(INDEX($AM$11:$AM$4010,MATCH(861,$AY$11:$AY$4010,0)),"")</f>
        <v/>
      </c>
      <c r="Y871" s="11" t="str">
        <f>IF(X871="","",IFERROR(INDEX($AN$11:$AN$4010,MATCH(861,$AY$11:$AY$4010,0)),""))</f>
        <v/>
      </c>
      <c r="Z871" s="11" t="str">
        <f>IF(X871="","",IFERROR(INDEX($AO$11:$AO$4010,MATCH(861,$AY$11:$AY$4010,0)),""))</f>
        <v/>
      </c>
      <c r="AA871" s="10" t="str">
        <f>IF(X871="","",IFERROR(INDEX($AQ$11:$AQ$4010,MATCH(861,$AY$11:$AY$4010,0)),""))</f>
        <v/>
      </c>
      <c r="AB871" s="15" t="str">
        <f>IF(X871="","",IFERROR(INDEX($AR$11:$AR$4010,MATCH(861,$AY$11:$AY$4010,0)),""))</f>
        <v/>
      </c>
      <c r="AD871" s="16" t="str">
        <f>IF(AE871="","",IFERROR(INDEX($AL$11:$AL$4010,MATCH(861,$AZ$11:$AZ$4010,0)),""))</f>
        <v/>
      </c>
      <c r="AE871" s="12" t="str">
        <f>IFERROR(INDEX($AM$11:$AM$4010,MATCH(861,$AZ$11:$AZ$4010,0)),"")</f>
        <v/>
      </c>
      <c r="AF871" s="11" t="str">
        <f>IF(AE871="","",IFERROR(INDEX($AN$11:$AN$4010,MATCH(861,$AZ$11:$AZ$4010,0)),""))</f>
        <v/>
      </c>
      <c r="AG871" s="11" t="str">
        <f>IF(AE871="","",IFERROR(INDEX($AO$11:$AO$4010,MATCH(861,$AZ$11:$AZ$4010,0)),""))</f>
        <v/>
      </c>
      <c r="AH871" s="10" t="str">
        <f>IF(AE871="","",IFERROR(INDEX($AQ$11:$AQ$4010,MATCH(861,$AZ$11:$AZ$4010,0)),""))</f>
        <v/>
      </c>
      <c r="AI871" s="15" t="str">
        <f>IF(AE871="","",IFERROR(INDEX($AR$11:$AR$4010,MATCH(861,$AZ$11:$AZ$4010,0)),""))</f>
        <v/>
      </c>
      <c r="AJ871" s="15" t="str">
        <f>IF(AE871="","",IFERROR(INDEX($AT$11:$AT$4010,MATCH(861,$AZ$11:$AZ$4010,0)),""))</f>
        <v/>
      </c>
      <c r="AL871" s="17"/>
      <c r="AM871" s="12"/>
      <c r="AN871" s="18"/>
      <c r="AO871" s="18"/>
      <c r="AP871" s="10"/>
      <c r="AQ871" s="10"/>
      <c r="AR871" s="19"/>
      <c r="AS871" s="20"/>
      <c r="AT871" s="19"/>
      <c r="AV871" s="21">
        <f>IF(AND($AL871&lt;&gt;"",COUNTIF($AL$11:$AL871,$AL871)=1),1,0)</f>
        <v>0</v>
      </c>
      <c r="AW871" s="21">
        <f t="shared" si="113"/>
        <v>2</v>
      </c>
      <c r="AX871" s="21" t="str">
        <f t="shared" si="112"/>
        <v/>
      </c>
      <c r="AY871" s="21" t="str">
        <f>IF(AND($AM871&lt;&gt;"",$AS871&lt;&gt;"✓"),SUMPRODUCT(($AM$11:$AM871&lt;&gt;"")*($AS$11:$AS871&lt;&gt;"✓")),"")</f>
        <v/>
      </c>
      <c r="AZ871" s="21" t="str">
        <f>IF(AND($AM871&lt;&gt;"",$AS871="✓"),SUMPRODUCT(($AM$11:$AM871&lt;&gt;"")*($AS$11:$AS871="✓")),"")</f>
        <v/>
      </c>
      <c r="BA871" s="21" t="str">
        <f>IF($AL871="","",$AL871&amp;"|"&amp;COUNTIF($AL$11:$AL871,$AL871))</f>
        <v/>
      </c>
    </row>
    <row r="872" spans="23:53" ht="15" customHeight="1" x14ac:dyDescent="0.25">
      <c r="W872" s="28" t="str">
        <f>IF(X872="","",IFERROR(INDEX($AL$11:$AL$4010,MATCH(862,$AY$11:$AY$4010,0)),""))</f>
        <v/>
      </c>
      <c r="X872" s="26" t="str">
        <f>IFERROR(INDEX($AM$11:$AM$4010,MATCH(862,$AY$11:$AY$4010,0)),"")</f>
        <v/>
      </c>
      <c r="Y872" s="25" t="str">
        <f>IF(X872="","",IFERROR(INDEX($AN$11:$AN$4010,MATCH(862,$AY$11:$AY$4010,0)),""))</f>
        <v/>
      </c>
      <c r="Z872" s="25" t="str">
        <f>IF(X872="","",IFERROR(INDEX($AO$11:$AO$4010,MATCH(862,$AY$11:$AY$4010,0)),""))</f>
        <v/>
      </c>
      <c r="AA872" s="24" t="str">
        <f>IF(X872="","",IFERROR(INDEX($AQ$11:$AQ$4010,MATCH(862,$AY$11:$AY$4010,0)),""))</f>
        <v/>
      </c>
      <c r="AB872" s="29" t="str">
        <f>IF(X872="","",IFERROR(INDEX($AR$11:$AR$4010,MATCH(862,$AY$11:$AY$4010,0)),""))</f>
        <v/>
      </c>
      <c r="AD872" s="30" t="str">
        <f>IF(AE872="","",IFERROR(INDEX($AL$11:$AL$4010,MATCH(862,$AZ$11:$AZ$4010,0)),""))</f>
        <v/>
      </c>
      <c r="AE872" s="26" t="str">
        <f>IFERROR(INDEX($AM$11:$AM$4010,MATCH(862,$AZ$11:$AZ$4010,0)),"")</f>
        <v/>
      </c>
      <c r="AF872" s="25" t="str">
        <f>IF(AE872="","",IFERROR(INDEX($AN$11:$AN$4010,MATCH(862,$AZ$11:$AZ$4010,0)),""))</f>
        <v/>
      </c>
      <c r="AG872" s="25" t="str">
        <f>IF(AE872="","",IFERROR(INDEX($AO$11:$AO$4010,MATCH(862,$AZ$11:$AZ$4010,0)),""))</f>
        <v/>
      </c>
      <c r="AH872" s="24" t="str">
        <f>IF(AE872="","",IFERROR(INDEX($AQ$11:$AQ$4010,MATCH(862,$AZ$11:$AZ$4010,0)),""))</f>
        <v/>
      </c>
      <c r="AI872" s="29" t="str">
        <f>IF(AE872="","",IFERROR(INDEX($AR$11:$AR$4010,MATCH(862,$AZ$11:$AZ$4010,0)),""))</f>
        <v/>
      </c>
      <c r="AJ872" s="29" t="str">
        <f>IF(AE872="","",IFERROR(INDEX($AT$11:$AT$4010,MATCH(862,$AZ$11:$AZ$4010,0)),""))</f>
        <v/>
      </c>
      <c r="AL872" s="31"/>
      <c r="AM872" s="26"/>
      <c r="AN872" s="32"/>
      <c r="AO872" s="32"/>
      <c r="AP872" s="24"/>
      <c r="AQ872" s="24"/>
      <c r="AR872" s="33"/>
      <c r="AS872" s="34"/>
      <c r="AT872" s="33"/>
      <c r="AV872" s="21">
        <f>IF(AND($AL872&lt;&gt;"",COUNTIF($AL$11:$AL872,$AL872)=1),1,0)</f>
        <v>0</v>
      </c>
      <c r="AW872" s="21">
        <f t="shared" si="113"/>
        <v>2</v>
      </c>
      <c r="AX872" s="21" t="str">
        <f t="shared" si="112"/>
        <v/>
      </c>
      <c r="AY872" s="21" t="str">
        <f>IF(AND($AM872&lt;&gt;"",$AS872&lt;&gt;"✓"),SUMPRODUCT(($AM$11:$AM872&lt;&gt;"")*($AS$11:$AS872&lt;&gt;"✓")),"")</f>
        <v/>
      </c>
      <c r="AZ872" s="21" t="str">
        <f>IF(AND($AM872&lt;&gt;"",$AS872="✓"),SUMPRODUCT(($AM$11:$AM872&lt;&gt;"")*($AS$11:$AS872="✓")),"")</f>
        <v/>
      </c>
      <c r="BA872" s="21" t="str">
        <f>IF($AL872="","",$AL872&amp;"|"&amp;COUNTIF($AL$11:$AL872,$AL872))</f>
        <v/>
      </c>
    </row>
    <row r="873" spans="23:53" ht="15" customHeight="1" x14ac:dyDescent="0.25">
      <c r="W873" s="14" t="str">
        <f>IF(X873="","",IFERROR(INDEX($AL$11:$AL$4010,MATCH(863,$AY$11:$AY$4010,0)),""))</f>
        <v/>
      </c>
      <c r="X873" s="12" t="str">
        <f>IFERROR(INDEX($AM$11:$AM$4010,MATCH(863,$AY$11:$AY$4010,0)),"")</f>
        <v/>
      </c>
      <c r="Y873" s="11" t="str">
        <f>IF(X873="","",IFERROR(INDEX($AN$11:$AN$4010,MATCH(863,$AY$11:$AY$4010,0)),""))</f>
        <v/>
      </c>
      <c r="Z873" s="11" t="str">
        <f>IF(X873="","",IFERROR(INDEX($AO$11:$AO$4010,MATCH(863,$AY$11:$AY$4010,0)),""))</f>
        <v/>
      </c>
      <c r="AA873" s="10" t="str">
        <f>IF(X873="","",IFERROR(INDEX($AQ$11:$AQ$4010,MATCH(863,$AY$11:$AY$4010,0)),""))</f>
        <v/>
      </c>
      <c r="AB873" s="15" t="str">
        <f>IF(X873="","",IFERROR(INDEX($AR$11:$AR$4010,MATCH(863,$AY$11:$AY$4010,0)),""))</f>
        <v/>
      </c>
      <c r="AD873" s="16" t="str">
        <f>IF(AE873="","",IFERROR(INDEX($AL$11:$AL$4010,MATCH(863,$AZ$11:$AZ$4010,0)),""))</f>
        <v/>
      </c>
      <c r="AE873" s="12" t="str">
        <f>IFERROR(INDEX($AM$11:$AM$4010,MATCH(863,$AZ$11:$AZ$4010,0)),"")</f>
        <v/>
      </c>
      <c r="AF873" s="11" t="str">
        <f>IF(AE873="","",IFERROR(INDEX($AN$11:$AN$4010,MATCH(863,$AZ$11:$AZ$4010,0)),""))</f>
        <v/>
      </c>
      <c r="AG873" s="11" t="str">
        <f>IF(AE873="","",IFERROR(INDEX($AO$11:$AO$4010,MATCH(863,$AZ$11:$AZ$4010,0)),""))</f>
        <v/>
      </c>
      <c r="AH873" s="10" t="str">
        <f>IF(AE873="","",IFERROR(INDEX($AQ$11:$AQ$4010,MATCH(863,$AZ$11:$AZ$4010,0)),""))</f>
        <v/>
      </c>
      <c r="AI873" s="15" t="str">
        <f>IF(AE873="","",IFERROR(INDEX($AR$11:$AR$4010,MATCH(863,$AZ$11:$AZ$4010,0)),""))</f>
        <v/>
      </c>
      <c r="AJ873" s="15" t="str">
        <f>IF(AE873="","",IFERROR(INDEX($AT$11:$AT$4010,MATCH(863,$AZ$11:$AZ$4010,0)),""))</f>
        <v/>
      </c>
      <c r="AL873" s="17"/>
      <c r="AM873" s="12"/>
      <c r="AN873" s="18"/>
      <c r="AO873" s="18"/>
      <c r="AP873" s="10"/>
      <c r="AQ873" s="10"/>
      <c r="AR873" s="19"/>
      <c r="AS873" s="20"/>
      <c r="AT873" s="19"/>
      <c r="AV873" s="21">
        <f>IF(AND($AL873&lt;&gt;"",COUNTIF($AL$11:$AL873,$AL873)=1),1,0)</f>
        <v>0</v>
      </c>
      <c r="AW873" s="21">
        <f t="shared" si="113"/>
        <v>2</v>
      </c>
      <c r="AX873" s="21" t="str">
        <f t="shared" si="112"/>
        <v/>
      </c>
      <c r="AY873" s="21" t="str">
        <f>IF(AND($AM873&lt;&gt;"",$AS873&lt;&gt;"✓"),SUMPRODUCT(($AM$11:$AM873&lt;&gt;"")*($AS$11:$AS873&lt;&gt;"✓")),"")</f>
        <v/>
      </c>
      <c r="AZ873" s="21" t="str">
        <f>IF(AND($AM873&lt;&gt;"",$AS873="✓"),SUMPRODUCT(($AM$11:$AM873&lt;&gt;"")*($AS$11:$AS873="✓")),"")</f>
        <v/>
      </c>
      <c r="BA873" s="21" t="str">
        <f>IF($AL873="","",$AL873&amp;"|"&amp;COUNTIF($AL$11:$AL873,$AL873))</f>
        <v/>
      </c>
    </row>
    <row r="874" spans="23:53" ht="15" customHeight="1" x14ac:dyDescent="0.25">
      <c r="W874" s="28" t="str">
        <f>IF(X874="","",IFERROR(INDEX($AL$11:$AL$4010,MATCH(864,$AY$11:$AY$4010,0)),""))</f>
        <v/>
      </c>
      <c r="X874" s="26" t="str">
        <f>IFERROR(INDEX($AM$11:$AM$4010,MATCH(864,$AY$11:$AY$4010,0)),"")</f>
        <v/>
      </c>
      <c r="Y874" s="25" t="str">
        <f>IF(X874="","",IFERROR(INDEX($AN$11:$AN$4010,MATCH(864,$AY$11:$AY$4010,0)),""))</f>
        <v/>
      </c>
      <c r="Z874" s="25" t="str">
        <f>IF(X874="","",IFERROR(INDEX($AO$11:$AO$4010,MATCH(864,$AY$11:$AY$4010,0)),""))</f>
        <v/>
      </c>
      <c r="AA874" s="24" t="str">
        <f>IF(X874="","",IFERROR(INDEX($AQ$11:$AQ$4010,MATCH(864,$AY$11:$AY$4010,0)),""))</f>
        <v/>
      </c>
      <c r="AB874" s="29" t="str">
        <f>IF(X874="","",IFERROR(INDEX($AR$11:$AR$4010,MATCH(864,$AY$11:$AY$4010,0)),""))</f>
        <v/>
      </c>
      <c r="AD874" s="30" t="str">
        <f>IF(AE874="","",IFERROR(INDEX($AL$11:$AL$4010,MATCH(864,$AZ$11:$AZ$4010,0)),""))</f>
        <v/>
      </c>
      <c r="AE874" s="26" t="str">
        <f>IFERROR(INDEX($AM$11:$AM$4010,MATCH(864,$AZ$11:$AZ$4010,0)),"")</f>
        <v/>
      </c>
      <c r="AF874" s="25" t="str">
        <f>IF(AE874="","",IFERROR(INDEX($AN$11:$AN$4010,MATCH(864,$AZ$11:$AZ$4010,0)),""))</f>
        <v/>
      </c>
      <c r="AG874" s="25" t="str">
        <f>IF(AE874="","",IFERROR(INDEX($AO$11:$AO$4010,MATCH(864,$AZ$11:$AZ$4010,0)),""))</f>
        <v/>
      </c>
      <c r="AH874" s="24" t="str">
        <f>IF(AE874="","",IFERROR(INDEX($AQ$11:$AQ$4010,MATCH(864,$AZ$11:$AZ$4010,0)),""))</f>
        <v/>
      </c>
      <c r="AI874" s="29" t="str">
        <f>IF(AE874="","",IFERROR(INDEX($AR$11:$AR$4010,MATCH(864,$AZ$11:$AZ$4010,0)),""))</f>
        <v/>
      </c>
      <c r="AJ874" s="29" t="str">
        <f>IF(AE874="","",IFERROR(INDEX($AT$11:$AT$4010,MATCH(864,$AZ$11:$AZ$4010,0)),""))</f>
        <v/>
      </c>
      <c r="AL874" s="31"/>
      <c r="AM874" s="26"/>
      <c r="AN874" s="32"/>
      <c r="AO874" s="32"/>
      <c r="AP874" s="24"/>
      <c r="AQ874" s="24"/>
      <c r="AR874" s="33"/>
      <c r="AS874" s="34"/>
      <c r="AT874" s="33"/>
      <c r="AV874" s="21">
        <f>IF(AND($AL874&lt;&gt;"",COUNTIF($AL$11:$AL874,$AL874)=1),1,0)</f>
        <v>0</v>
      </c>
      <c r="AW874" s="21">
        <f t="shared" si="113"/>
        <v>2</v>
      </c>
      <c r="AX874" s="21" t="str">
        <f t="shared" si="112"/>
        <v/>
      </c>
      <c r="AY874" s="21" t="str">
        <f>IF(AND($AM874&lt;&gt;"",$AS874&lt;&gt;"✓"),SUMPRODUCT(($AM$11:$AM874&lt;&gt;"")*($AS$11:$AS874&lt;&gt;"✓")),"")</f>
        <v/>
      </c>
      <c r="AZ874" s="21" t="str">
        <f>IF(AND($AM874&lt;&gt;"",$AS874="✓"),SUMPRODUCT(($AM$11:$AM874&lt;&gt;"")*($AS$11:$AS874="✓")),"")</f>
        <v/>
      </c>
      <c r="BA874" s="21" t="str">
        <f>IF($AL874="","",$AL874&amp;"|"&amp;COUNTIF($AL$11:$AL874,$AL874))</f>
        <v/>
      </c>
    </row>
    <row r="875" spans="23:53" ht="15" customHeight="1" x14ac:dyDescent="0.25">
      <c r="W875" s="14" t="str">
        <f>IF(X875="","",IFERROR(INDEX($AL$11:$AL$4010,MATCH(865,$AY$11:$AY$4010,0)),""))</f>
        <v/>
      </c>
      <c r="X875" s="12" t="str">
        <f>IFERROR(INDEX($AM$11:$AM$4010,MATCH(865,$AY$11:$AY$4010,0)),"")</f>
        <v/>
      </c>
      <c r="Y875" s="11" t="str">
        <f>IF(X875="","",IFERROR(INDEX($AN$11:$AN$4010,MATCH(865,$AY$11:$AY$4010,0)),""))</f>
        <v/>
      </c>
      <c r="Z875" s="11" t="str">
        <f>IF(X875="","",IFERROR(INDEX($AO$11:$AO$4010,MATCH(865,$AY$11:$AY$4010,0)),""))</f>
        <v/>
      </c>
      <c r="AA875" s="10" t="str">
        <f>IF(X875="","",IFERROR(INDEX($AQ$11:$AQ$4010,MATCH(865,$AY$11:$AY$4010,0)),""))</f>
        <v/>
      </c>
      <c r="AB875" s="15" t="str">
        <f>IF(X875="","",IFERROR(INDEX($AR$11:$AR$4010,MATCH(865,$AY$11:$AY$4010,0)),""))</f>
        <v/>
      </c>
      <c r="AD875" s="16" t="str">
        <f>IF(AE875="","",IFERROR(INDEX($AL$11:$AL$4010,MATCH(865,$AZ$11:$AZ$4010,0)),""))</f>
        <v/>
      </c>
      <c r="AE875" s="12" t="str">
        <f>IFERROR(INDEX($AM$11:$AM$4010,MATCH(865,$AZ$11:$AZ$4010,0)),"")</f>
        <v/>
      </c>
      <c r="AF875" s="11" t="str">
        <f>IF(AE875="","",IFERROR(INDEX($AN$11:$AN$4010,MATCH(865,$AZ$11:$AZ$4010,0)),""))</f>
        <v/>
      </c>
      <c r="AG875" s="11" t="str">
        <f>IF(AE875="","",IFERROR(INDEX($AO$11:$AO$4010,MATCH(865,$AZ$11:$AZ$4010,0)),""))</f>
        <v/>
      </c>
      <c r="AH875" s="10" t="str">
        <f>IF(AE875="","",IFERROR(INDEX($AQ$11:$AQ$4010,MATCH(865,$AZ$11:$AZ$4010,0)),""))</f>
        <v/>
      </c>
      <c r="AI875" s="15" t="str">
        <f>IF(AE875="","",IFERROR(INDEX($AR$11:$AR$4010,MATCH(865,$AZ$11:$AZ$4010,0)),""))</f>
        <v/>
      </c>
      <c r="AJ875" s="15" t="str">
        <f>IF(AE875="","",IFERROR(INDEX($AT$11:$AT$4010,MATCH(865,$AZ$11:$AZ$4010,0)),""))</f>
        <v/>
      </c>
      <c r="AL875" s="17"/>
      <c r="AM875" s="12"/>
      <c r="AN875" s="18"/>
      <c r="AO875" s="18"/>
      <c r="AP875" s="10"/>
      <c r="AQ875" s="10"/>
      <c r="AR875" s="19"/>
      <c r="AS875" s="20"/>
      <c r="AT875" s="19"/>
      <c r="AV875" s="21">
        <f>IF(AND($AL875&lt;&gt;"",COUNTIF($AL$11:$AL875,$AL875)=1),1,0)</f>
        <v>0</v>
      </c>
      <c r="AW875" s="21">
        <f t="shared" si="113"/>
        <v>2</v>
      </c>
      <c r="AX875" s="21" t="str">
        <f t="shared" si="112"/>
        <v/>
      </c>
      <c r="AY875" s="21" t="str">
        <f>IF(AND($AM875&lt;&gt;"",$AS875&lt;&gt;"✓"),SUMPRODUCT(($AM$11:$AM875&lt;&gt;"")*($AS$11:$AS875&lt;&gt;"✓")),"")</f>
        <v/>
      </c>
      <c r="AZ875" s="21" t="str">
        <f>IF(AND($AM875&lt;&gt;"",$AS875="✓"),SUMPRODUCT(($AM$11:$AM875&lt;&gt;"")*($AS$11:$AS875="✓")),"")</f>
        <v/>
      </c>
      <c r="BA875" s="21" t="str">
        <f>IF($AL875="","",$AL875&amp;"|"&amp;COUNTIF($AL$11:$AL875,$AL875))</f>
        <v/>
      </c>
    </row>
    <row r="876" spans="23:53" ht="15" customHeight="1" x14ac:dyDescent="0.25">
      <c r="W876" s="28" t="str">
        <f>IF(X876="","",IFERROR(INDEX($AL$11:$AL$4010,MATCH(866,$AY$11:$AY$4010,0)),""))</f>
        <v/>
      </c>
      <c r="X876" s="26" t="str">
        <f>IFERROR(INDEX($AM$11:$AM$4010,MATCH(866,$AY$11:$AY$4010,0)),"")</f>
        <v/>
      </c>
      <c r="Y876" s="25" t="str">
        <f>IF(X876="","",IFERROR(INDEX($AN$11:$AN$4010,MATCH(866,$AY$11:$AY$4010,0)),""))</f>
        <v/>
      </c>
      <c r="Z876" s="25" t="str">
        <f>IF(X876="","",IFERROR(INDEX($AO$11:$AO$4010,MATCH(866,$AY$11:$AY$4010,0)),""))</f>
        <v/>
      </c>
      <c r="AA876" s="24" t="str">
        <f>IF(X876="","",IFERROR(INDEX($AQ$11:$AQ$4010,MATCH(866,$AY$11:$AY$4010,0)),""))</f>
        <v/>
      </c>
      <c r="AB876" s="29" t="str">
        <f>IF(X876="","",IFERROR(INDEX($AR$11:$AR$4010,MATCH(866,$AY$11:$AY$4010,0)),""))</f>
        <v/>
      </c>
      <c r="AD876" s="30" t="str">
        <f>IF(AE876="","",IFERROR(INDEX($AL$11:$AL$4010,MATCH(866,$AZ$11:$AZ$4010,0)),""))</f>
        <v/>
      </c>
      <c r="AE876" s="26" t="str">
        <f>IFERROR(INDEX($AM$11:$AM$4010,MATCH(866,$AZ$11:$AZ$4010,0)),"")</f>
        <v/>
      </c>
      <c r="AF876" s="25" t="str">
        <f>IF(AE876="","",IFERROR(INDEX($AN$11:$AN$4010,MATCH(866,$AZ$11:$AZ$4010,0)),""))</f>
        <v/>
      </c>
      <c r="AG876" s="25" t="str">
        <f>IF(AE876="","",IFERROR(INDEX($AO$11:$AO$4010,MATCH(866,$AZ$11:$AZ$4010,0)),""))</f>
        <v/>
      </c>
      <c r="AH876" s="24" t="str">
        <f>IF(AE876="","",IFERROR(INDEX($AQ$11:$AQ$4010,MATCH(866,$AZ$11:$AZ$4010,0)),""))</f>
        <v/>
      </c>
      <c r="AI876" s="29" t="str">
        <f>IF(AE876="","",IFERROR(INDEX($AR$11:$AR$4010,MATCH(866,$AZ$11:$AZ$4010,0)),""))</f>
        <v/>
      </c>
      <c r="AJ876" s="29" t="str">
        <f>IF(AE876="","",IFERROR(INDEX($AT$11:$AT$4010,MATCH(866,$AZ$11:$AZ$4010,0)),""))</f>
        <v/>
      </c>
      <c r="AL876" s="31"/>
      <c r="AM876" s="26"/>
      <c r="AN876" s="32"/>
      <c r="AO876" s="32"/>
      <c r="AP876" s="24"/>
      <c r="AQ876" s="24"/>
      <c r="AR876" s="33"/>
      <c r="AS876" s="34"/>
      <c r="AT876" s="33"/>
      <c r="AV876" s="21">
        <f>IF(AND($AL876&lt;&gt;"",COUNTIF($AL$11:$AL876,$AL876)=1),1,0)</f>
        <v>0</v>
      </c>
      <c r="AW876" s="21">
        <f t="shared" si="113"/>
        <v>2</v>
      </c>
      <c r="AX876" s="21" t="str">
        <f t="shared" si="112"/>
        <v/>
      </c>
      <c r="AY876" s="21" t="str">
        <f>IF(AND($AM876&lt;&gt;"",$AS876&lt;&gt;"✓"),SUMPRODUCT(($AM$11:$AM876&lt;&gt;"")*($AS$11:$AS876&lt;&gt;"✓")),"")</f>
        <v/>
      </c>
      <c r="AZ876" s="21" t="str">
        <f>IF(AND($AM876&lt;&gt;"",$AS876="✓"),SUMPRODUCT(($AM$11:$AM876&lt;&gt;"")*($AS$11:$AS876="✓")),"")</f>
        <v/>
      </c>
      <c r="BA876" s="21" t="str">
        <f>IF($AL876="","",$AL876&amp;"|"&amp;COUNTIF($AL$11:$AL876,$AL876))</f>
        <v/>
      </c>
    </row>
    <row r="877" spans="23:53" ht="15" customHeight="1" x14ac:dyDescent="0.25">
      <c r="W877" s="14" t="str">
        <f>IF(X877="","",IFERROR(INDEX($AL$11:$AL$4010,MATCH(867,$AY$11:$AY$4010,0)),""))</f>
        <v/>
      </c>
      <c r="X877" s="12" t="str">
        <f>IFERROR(INDEX($AM$11:$AM$4010,MATCH(867,$AY$11:$AY$4010,0)),"")</f>
        <v/>
      </c>
      <c r="Y877" s="11" t="str">
        <f>IF(X877="","",IFERROR(INDEX($AN$11:$AN$4010,MATCH(867,$AY$11:$AY$4010,0)),""))</f>
        <v/>
      </c>
      <c r="Z877" s="11" t="str">
        <f>IF(X877="","",IFERROR(INDEX($AO$11:$AO$4010,MATCH(867,$AY$11:$AY$4010,0)),""))</f>
        <v/>
      </c>
      <c r="AA877" s="10" t="str">
        <f>IF(X877="","",IFERROR(INDEX($AQ$11:$AQ$4010,MATCH(867,$AY$11:$AY$4010,0)),""))</f>
        <v/>
      </c>
      <c r="AB877" s="15" t="str">
        <f>IF(X877="","",IFERROR(INDEX($AR$11:$AR$4010,MATCH(867,$AY$11:$AY$4010,0)),""))</f>
        <v/>
      </c>
      <c r="AD877" s="16" t="str">
        <f>IF(AE877="","",IFERROR(INDEX($AL$11:$AL$4010,MATCH(867,$AZ$11:$AZ$4010,0)),""))</f>
        <v/>
      </c>
      <c r="AE877" s="12" t="str">
        <f>IFERROR(INDEX($AM$11:$AM$4010,MATCH(867,$AZ$11:$AZ$4010,0)),"")</f>
        <v/>
      </c>
      <c r="AF877" s="11" t="str">
        <f>IF(AE877="","",IFERROR(INDEX($AN$11:$AN$4010,MATCH(867,$AZ$11:$AZ$4010,0)),""))</f>
        <v/>
      </c>
      <c r="AG877" s="11" t="str">
        <f>IF(AE877="","",IFERROR(INDEX($AO$11:$AO$4010,MATCH(867,$AZ$11:$AZ$4010,0)),""))</f>
        <v/>
      </c>
      <c r="AH877" s="10" t="str">
        <f>IF(AE877="","",IFERROR(INDEX($AQ$11:$AQ$4010,MATCH(867,$AZ$11:$AZ$4010,0)),""))</f>
        <v/>
      </c>
      <c r="AI877" s="15" t="str">
        <f>IF(AE877="","",IFERROR(INDEX($AR$11:$AR$4010,MATCH(867,$AZ$11:$AZ$4010,0)),""))</f>
        <v/>
      </c>
      <c r="AJ877" s="15" t="str">
        <f>IF(AE877="","",IFERROR(INDEX($AT$11:$AT$4010,MATCH(867,$AZ$11:$AZ$4010,0)),""))</f>
        <v/>
      </c>
      <c r="AL877" s="17"/>
      <c r="AM877" s="12"/>
      <c r="AN877" s="18"/>
      <c r="AO877" s="18"/>
      <c r="AP877" s="10"/>
      <c r="AQ877" s="10"/>
      <c r="AR877" s="19"/>
      <c r="AS877" s="20"/>
      <c r="AT877" s="19"/>
      <c r="AV877" s="21">
        <f>IF(AND($AL877&lt;&gt;"",COUNTIF($AL$11:$AL877,$AL877)=1),1,0)</f>
        <v>0</v>
      </c>
      <c r="AW877" s="21">
        <f t="shared" si="113"/>
        <v>2</v>
      </c>
      <c r="AX877" s="21" t="str">
        <f t="shared" si="112"/>
        <v/>
      </c>
      <c r="AY877" s="21" t="str">
        <f>IF(AND($AM877&lt;&gt;"",$AS877&lt;&gt;"✓"),SUMPRODUCT(($AM$11:$AM877&lt;&gt;"")*($AS$11:$AS877&lt;&gt;"✓")),"")</f>
        <v/>
      </c>
      <c r="AZ877" s="21" t="str">
        <f>IF(AND($AM877&lt;&gt;"",$AS877="✓"),SUMPRODUCT(($AM$11:$AM877&lt;&gt;"")*($AS$11:$AS877="✓")),"")</f>
        <v/>
      </c>
      <c r="BA877" s="21" t="str">
        <f>IF($AL877="","",$AL877&amp;"|"&amp;COUNTIF($AL$11:$AL877,$AL877))</f>
        <v/>
      </c>
    </row>
    <row r="878" spans="23:53" ht="15" customHeight="1" x14ac:dyDescent="0.25">
      <c r="W878" s="28" t="str">
        <f>IF(X878="","",IFERROR(INDEX($AL$11:$AL$4010,MATCH(868,$AY$11:$AY$4010,0)),""))</f>
        <v/>
      </c>
      <c r="X878" s="26" t="str">
        <f>IFERROR(INDEX($AM$11:$AM$4010,MATCH(868,$AY$11:$AY$4010,0)),"")</f>
        <v/>
      </c>
      <c r="Y878" s="25" t="str">
        <f>IF(X878="","",IFERROR(INDEX($AN$11:$AN$4010,MATCH(868,$AY$11:$AY$4010,0)),""))</f>
        <v/>
      </c>
      <c r="Z878" s="25" t="str">
        <f>IF(X878="","",IFERROR(INDEX($AO$11:$AO$4010,MATCH(868,$AY$11:$AY$4010,0)),""))</f>
        <v/>
      </c>
      <c r="AA878" s="24" t="str">
        <f>IF(X878="","",IFERROR(INDEX($AQ$11:$AQ$4010,MATCH(868,$AY$11:$AY$4010,0)),""))</f>
        <v/>
      </c>
      <c r="AB878" s="29" t="str">
        <f>IF(X878="","",IFERROR(INDEX($AR$11:$AR$4010,MATCH(868,$AY$11:$AY$4010,0)),""))</f>
        <v/>
      </c>
      <c r="AD878" s="30" t="str">
        <f>IF(AE878="","",IFERROR(INDEX($AL$11:$AL$4010,MATCH(868,$AZ$11:$AZ$4010,0)),""))</f>
        <v/>
      </c>
      <c r="AE878" s="26" t="str">
        <f>IFERROR(INDEX($AM$11:$AM$4010,MATCH(868,$AZ$11:$AZ$4010,0)),"")</f>
        <v/>
      </c>
      <c r="AF878" s="25" t="str">
        <f>IF(AE878="","",IFERROR(INDEX($AN$11:$AN$4010,MATCH(868,$AZ$11:$AZ$4010,0)),""))</f>
        <v/>
      </c>
      <c r="AG878" s="25" t="str">
        <f>IF(AE878="","",IFERROR(INDEX($AO$11:$AO$4010,MATCH(868,$AZ$11:$AZ$4010,0)),""))</f>
        <v/>
      </c>
      <c r="AH878" s="24" t="str">
        <f>IF(AE878="","",IFERROR(INDEX($AQ$11:$AQ$4010,MATCH(868,$AZ$11:$AZ$4010,0)),""))</f>
        <v/>
      </c>
      <c r="AI878" s="29" t="str">
        <f>IF(AE878="","",IFERROR(INDEX($AR$11:$AR$4010,MATCH(868,$AZ$11:$AZ$4010,0)),""))</f>
        <v/>
      </c>
      <c r="AJ878" s="29" t="str">
        <f>IF(AE878="","",IFERROR(INDEX($AT$11:$AT$4010,MATCH(868,$AZ$11:$AZ$4010,0)),""))</f>
        <v/>
      </c>
      <c r="AL878" s="31"/>
      <c r="AM878" s="26"/>
      <c r="AN878" s="32"/>
      <c r="AO878" s="32"/>
      <c r="AP878" s="24"/>
      <c r="AQ878" s="24"/>
      <c r="AR878" s="33"/>
      <c r="AS878" s="34"/>
      <c r="AT878" s="33"/>
      <c r="AV878" s="21">
        <f>IF(AND($AL878&lt;&gt;"",COUNTIF($AL$11:$AL878,$AL878)=1),1,0)</f>
        <v>0</v>
      </c>
      <c r="AW878" s="21">
        <f t="shared" si="113"/>
        <v>2</v>
      </c>
      <c r="AX878" s="21" t="str">
        <f t="shared" si="112"/>
        <v/>
      </c>
      <c r="AY878" s="21" t="str">
        <f>IF(AND($AM878&lt;&gt;"",$AS878&lt;&gt;"✓"),SUMPRODUCT(($AM$11:$AM878&lt;&gt;"")*($AS$11:$AS878&lt;&gt;"✓")),"")</f>
        <v/>
      </c>
      <c r="AZ878" s="21" t="str">
        <f>IF(AND($AM878&lt;&gt;"",$AS878="✓"),SUMPRODUCT(($AM$11:$AM878&lt;&gt;"")*($AS$11:$AS878="✓")),"")</f>
        <v/>
      </c>
      <c r="BA878" s="21" t="str">
        <f>IF($AL878="","",$AL878&amp;"|"&amp;COUNTIF($AL$11:$AL878,$AL878))</f>
        <v/>
      </c>
    </row>
    <row r="879" spans="23:53" ht="15" customHeight="1" x14ac:dyDescent="0.25">
      <c r="W879" s="14" t="str">
        <f>IF(X879="","",IFERROR(INDEX($AL$11:$AL$4010,MATCH(869,$AY$11:$AY$4010,0)),""))</f>
        <v/>
      </c>
      <c r="X879" s="12" t="str">
        <f>IFERROR(INDEX($AM$11:$AM$4010,MATCH(869,$AY$11:$AY$4010,0)),"")</f>
        <v/>
      </c>
      <c r="Y879" s="11" t="str">
        <f>IF(X879="","",IFERROR(INDEX($AN$11:$AN$4010,MATCH(869,$AY$11:$AY$4010,0)),""))</f>
        <v/>
      </c>
      <c r="Z879" s="11" t="str">
        <f>IF(X879="","",IFERROR(INDEX($AO$11:$AO$4010,MATCH(869,$AY$11:$AY$4010,0)),""))</f>
        <v/>
      </c>
      <c r="AA879" s="10" t="str">
        <f>IF(X879="","",IFERROR(INDEX($AQ$11:$AQ$4010,MATCH(869,$AY$11:$AY$4010,0)),""))</f>
        <v/>
      </c>
      <c r="AB879" s="15" t="str">
        <f>IF(X879="","",IFERROR(INDEX($AR$11:$AR$4010,MATCH(869,$AY$11:$AY$4010,0)),""))</f>
        <v/>
      </c>
      <c r="AD879" s="16" t="str">
        <f>IF(AE879="","",IFERROR(INDEX($AL$11:$AL$4010,MATCH(869,$AZ$11:$AZ$4010,0)),""))</f>
        <v/>
      </c>
      <c r="AE879" s="12" t="str">
        <f>IFERROR(INDEX($AM$11:$AM$4010,MATCH(869,$AZ$11:$AZ$4010,0)),"")</f>
        <v/>
      </c>
      <c r="AF879" s="11" t="str">
        <f>IF(AE879="","",IFERROR(INDEX($AN$11:$AN$4010,MATCH(869,$AZ$11:$AZ$4010,0)),""))</f>
        <v/>
      </c>
      <c r="AG879" s="11" t="str">
        <f>IF(AE879="","",IFERROR(INDEX($AO$11:$AO$4010,MATCH(869,$AZ$11:$AZ$4010,0)),""))</f>
        <v/>
      </c>
      <c r="AH879" s="10" t="str">
        <f>IF(AE879="","",IFERROR(INDEX($AQ$11:$AQ$4010,MATCH(869,$AZ$11:$AZ$4010,0)),""))</f>
        <v/>
      </c>
      <c r="AI879" s="15" t="str">
        <f>IF(AE879="","",IFERROR(INDEX($AR$11:$AR$4010,MATCH(869,$AZ$11:$AZ$4010,0)),""))</f>
        <v/>
      </c>
      <c r="AJ879" s="15" t="str">
        <f>IF(AE879="","",IFERROR(INDEX($AT$11:$AT$4010,MATCH(869,$AZ$11:$AZ$4010,0)),""))</f>
        <v/>
      </c>
      <c r="AL879" s="17"/>
      <c r="AM879" s="12"/>
      <c r="AN879" s="18"/>
      <c r="AO879" s="18"/>
      <c r="AP879" s="10"/>
      <c r="AQ879" s="10"/>
      <c r="AR879" s="19"/>
      <c r="AS879" s="20"/>
      <c r="AT879" s="19"/>
      <c r="AV879" s="21">
        <f>IF(AND($AL879&lt;&gt;"",COUNTIF($AL$11:$AL879,$AL879)=1),1,0)</f>
        <v>0</v>
      </c>
      <c r="AW879" s="21">
        <f t="shared" si="113"/>
        <v>2</v>
      </c>
      <c r="AX879" s="21" t="str">
        <f t="shared" si="112"/>
        <v/>
      </c>
      <c r="AY879" s="21" t="str">
        <f>IF(AND($AM879&lt;&gt;"",$AS879&lt;&gt;"✓"),SUMPRODUCT(($AM$11:$AM879&lt;&gt;"")*($AS$11:$AS879&lt;&gt;"✓")),"")</f>
        <v/>
      </c>
      <c r="AZ879" s="21" t="str">
        <f>IF(AND($AM879&lt;&gt;"",$AS879="✓"),SUMPRODUCT(($AM$11:$AM879&lt;&gt;"")*($AS$11:$AS879="✓")),"")</f>
        <v/>
      </c>
      <c r="BA879" s="21" t="str">
        <f>IF($AL879="","",$AL879&amp;"|"&amp;COUNTIF($AL$11:$AL879,$AL879))</f>
        <v/>
      </c>
    </row>
    <row r="880" spans="23:53" ht="15" customHeight="1" x14ac:dyDescent="0.25">
      <c r="W880" s="28" t="str">
        <f>IF(X880="","",IFERROR(INDEX($AL$11:$AL$4010,MATCH(870,$AY$11:$AY$4010,0)),""))</f>
        <v/>
      </c>
      <c r="X880" s="26" t="str">
        <f>IFERROR(INDEX($AM$11:$AM$4010,MATCH(870,$AY$11:$AY$4010,0)),"")</f>
        <v/>
      </c>
      <c r="Y880" s="25" t="str">
        <f>IF(X880="","",IFERROR(INDEX($AN$11:$AN$4010,MATCH(870,$AY$11:$AY$4010,0)),""))</f>
        <v/>
      </c>
      <c r="Z880" s="25" t="str">
        <f>IF(X880="","",IFERROR(INDEX($AO$11:$AO$4010,MATCH(870,$AY$11:$AY$4010,0)),""))</f>
        <v/>
      </c>
      <c r="AA880" s="24" t="str">
        <f>IF(X880="","",IFERROR(INDEX($AQ$11:$AQ$4010,MATCH(870,$AY$11:$AY$4010,0)),""))</f>
        <v/>
      </c>
      <c r="AB880" s="29" t="str">
        <f>IF(X880="","",IFERROR(INDEX($AR$11:$AR$4010,MATCH(870,$AY$11:$AY$4010,0)),""))</f>
        <v/>
      </c>
      <c r="AD880" s="30" t="str">
        <f>IF(AE880="","",IFERROR(INDEX($AL$11:$AL$4010,MATCH(870,$AZ$11:$AZ$4010,0)),""))</f>
        <v/>
      </c>
      <c r="AE880" s="26" t="str">
        <f>IFERROR(INDEX($AM$11:$AM$4010,MATCH(870,$AZ$11:$AZ$4010,0)),"")</f>
        <v/>
      </c>
      <c r="AF880" s="25" t="str">
        <f>IF(AE880="","",IFERROR(INDEX($AN$11:$AN$4010,MATCH(870,$AZ$11:$AZ$4010,0)),""))</f>
        <v/>
      </c>
      <c r="AG880" s="25" t="str">
        <f>IF(AE880="","",IFERROR(INDEX($AO$11:$AO$4010,MATCH(870,$AZ$11:$AZ$4010,0)),""))</f>
        <v/>
      </c>
      <c r="AH880" s="24" t="str">
        <f>IF(AE880="","",IFERROR(INDEX($AQ$11:$AQ$4010,MATCH(870,$AZ$11:$AZ$4010,0)),""))</f>
        <v/>
      </c>
      <c r="AI880" s="29" t="str">
        <f>IF(AE880="","",IFERROR(INDEX($AR$11:$AR$4010,MATCH(870,$AZ$11:$AZ$4010,0)),""))</f>
        <v/>
      </c>
      <c r="AJ880" s="29" t="str">
        <f>IF(AE880="","",IFERROR(INDEX($AT$11:$AT$4010,MATCH(870,$AZ$11:$AZ$4010,0)),""))</f>
        <v/>
      </c>
      <c r="AL880" s="31"/>
      <c r="AM880" s="26"/>
      <c r="AN880" s="32"/>
      <c r="AO880" s="32"/>
      <c r="AP880" s="24"/>
      <c r="AQ880" s="24"/>
      <c r="AR880" s="33"/>
      <c r="AS880" s="34"/>
      <c r="AT880" s="33"/>
      <c r="AV880" s="21">
        <f>IF(AND($AL880&lt;&gt;"",COUNTIF($AL$11:$AL880,$AL880)=1),1,0)</f>
        <v>0</v>
      </c>
      <c r="AW880" s="21">
        <f t="shared" si="113"/>
        <v>2</v>
      </c>
      <c r="AX880" s="21" t="str">
        <f t="shared" si="112"/>
        <v/>
      </c>
      <c r="AY880" s="21" t="str">
        <f>IF(AND($AM880&lt;&gt;"",$AS880&lt;&gt;"✓"),SUMPRODUCT(($AM$11:$AM880&lt;&gt;"")*($AS$11:$AS880&lt;&gt;"✓")),"")</f>
        <v/>
      </c>
      <c r="AZ880" s="21" t="str">
        <f>IF(AND($AM880&lt;&gt;"",$AS880="✓"),SUMPRODUCT(($AM$11:$AM880&lt;&gt;"")*($AS$11:$AS880="✓")),"")</f>
        <v/>
      </c>
      <c r="BA880" s="21" t="str">
        <f>IF($AL880="","",$AL880&amp;"|"&amp;COUNTIF($AL$11:$AL880,$AL880))</f>
        <v/>
      </c>
    </row>
    <row r="881" spans="23:53" ht="15" customHeight="1" x14ac:dyDescent="0.25">
      <c r="W881" s="14" t="str">
        <f>IF(X881="","",IFERROR(INDEX($AL$11:$AL$4010,MATCH(871,$AY$11:$AY$4010,0)),""))</f>
        <v/>
      </c>
      <c r="X881" s="12" t="str">
        <f>IFERROR(INDEX($AM$11:$AM$4010,MATCH(871,$AY$11:$AY$4010,0)),"")</f>
        <v/>
      </c>
      <c r="Y881" s="11" t="str">
        <f>IF(X881="","",IFERROR(INDEX($AN$11:$AN$4010,MATCH(871,$AY$11:$AY$4010,0)),""))</f>
        <v/>
      </c>
      <c r="Z881" s="11" t="str">
        <f>IF(X881="","",IFERROR(INDEX($AO$11:$AO$4010,MATCH(871,$AY$11:$AY$4010,0)),""))</f>
        <v/>
      </c>
      <c r="AA881" s="10" t="str">
        <f>IF(X881="","",IFERROR(INDEX($AQ$11:$AQ$4010,MATCH(871,$AY$11:$AY$4010,0)),""))</f>
        <v/>
      </c>
      <c r="AB881" s="15" t="str">
        <f>IF(X881="","",IFERROR(INDEX($AR$11:$AR$4010,MATCH(871,$AY$11:$AY$4010,0)),""))</f>
        <v/>
      </c>
      <c r="AD881" s="16" t="str">
        <f>IF(AE881="","",IFERROR(INDEX($AL$11:$AL$4010,MATCH(871,$AZ$11:$AZ$4010,0)),""))</f>
        <v/>
      </c>
      <c r="AE881" s="12" t="str">
        <f>IFERROR(INDEX($AM$11:$AM$4010,MATCH(871,$AZ$11:$AZ$4010,0)),"")</f>
        <v/>
      </c>
      <c r="AF881" s="11" t="str">
        <f>IF(AE881="","",IFERROR(INDEX($AN$11:$AN$4010,MATCH(871,$AZ$11:$AZ$4010,0)),""))</f>
        <v/>
      </c>
      <c r="AG881" s="11" t="str">
        <f>IF(AE881="","",IFERROR(INDEX($AO$11:$AO$4010,MATCH(871,$AZ$11:$AZ$4010,0)),""))</f>
        <v/>
      </c>
      <c r="AH881" s="10" t="str">
        <f>IF(AE881="","",IFERROR(INDEX($AQ$11:$AQ$4010,MATCH(871,$AZ$11:$AZ$4010,0)),""))</f>
        <v/>
      </c>
      <c r="AI881" s="15" t="str">
        <f>IF(AE881="","",IFERROR(INDEX($AR$11:$AR$4010,MATCH(871,$AZ$11:$AZ$4010,0)),""))</f>
        <v/>
      </c>
      <c r="AJ881" s="15" t="str">
        <f>IF(AE881="","",IFERROR(INDEX($AT$11:$AT$4010,MATCH(871,$AZ$11:$AZ$4010,0)),""))</f>
        <v/>
      </c>
      <c r="AL881" s="17"/>
      <c r="AM881" s="12"/>
      <c r="AN881" s="18"/>
      <c r="AO881" s="18"/>
      <c r="AP881" s="10"/>
      <c r="AQ881" s="10"/>
      <c r="AR881" s="19"/>
      <c r="AS881" s="20"/>
      <c r="AT881" s="19"/>
      <c r="AV881" s="21">
        <f>IF(AND($AL881&lt;&gt;"",COUNTIF($AL$11:$AL881,$AL881)=1),1,0)</f>
        <v>0</v>
      </c>
      <c r="AW881" s="21">
        <f t="shared" si="113"/>
        <v>2</v>
      </c>
      <c r="AX881" s="21" t="str">
        <f t="shared" si="112"/>
        <v/>
      </c>
      <c r="AY881" s="21" t="str">
        <f>IF(AND($AM881&lt;&gt;"",$AS881&lt;&gt;"✓"),SUMPRODUCT(($AM$11:$AM881&lt;&gt;"")*($AS$11:$AS881&lt;&gt;"✓")),"")</f>
        <v/>
      </c>
      <c r="AZ881" s="21" t="str">
        <f>IF(AND($AM881&lt;&gt;"",$AS881="✓"),SUMPRODUCT(($AM$11:$AM881&lt;&gt;"")*($AS$11:$AS881="✓")),"")</f>
        <v/>
      </c>
      <c r="BA881" s="21" t="str">
        <f>IF($AL881="","",$AL881&amp;"|"&amp;COUNTIF($AL$11:$AL881,$AL881))</f>
        <v/>
      </c>
    </row>
    <row r="882" spans="23:53" ht="15" customHeight="1" x14ac:dyDescent="0.25">
      <c r="W882" s="28" t="str">
        <f>IF(X882="","",IFERROR(INDEX($AL$11:$AL$4010,MATCH(872,$AY$11:$AY$4010,0)),""))</f>
        <v/>
      </c>
      <c r="X882" s="26" t="str">
        <f>IFERROR(INDEX($AM$11:$AM$4010,MATCH(872,$AY$11:$AY$4010,0)),"")</f>
        <v/>
      </c>
      <c r="Y882" s="25" t="str">
        <f>IF(X882="","",IFERROR(INDEX($AN$11:$AN$4010,MATCH(872,$AY$11:$AY$4010,0)),""))</f>
        <v/>
      </c>
      <c r="Z882" s="25" t="str">
        <f>IF(X882="","",IFERROR(INDEX($AO$11:$AO$4010,MATCH(872,$AY$11:$AY$4010,0)),""))</f>
        <v/>
      </c>
      <c r="AA882" s="24" t="str">
        <f>IF(X882="","",IFERROR(INDEX($AQ$11:$AQ$4010,MATCH(872,$AY$11:$AY$4010,0)),""))</f>
        <v/>
      </c>
      <c r="AB882" s="29" t="str">
        <f>IF(X882="","",IFERROR(INDEX($AR$11:$AR$4010,MATCH(872,$AY$11:$AY$4010,0)),""))</f>
        <v/>
      </c>
      <c r="AD882" s="30" t="str">
        <f>IF(AE882="","",IFERROR(INDEX($AL$11:$AL$4010,MATCH(872,$AZ$11:$AZ$4010,0)),""))</f>
        <v/>
      </c>
      <c r="AE882" s="26" t="str">
        <f>IFERROR(INDEX($AM$11:$AM$4010,MATCH(872,$AZ$11:$AZ$4010,0)),"")</f>
        <v/>
      </c>
      <c r="AF882" s="25" t="str">
        <f>IF(AE882="","",IFERROR(INDEX($AN$11:$AN$4010,MATCH(872,$AZ$11:$AZ$4010,0)),""))</f>
        <v/>
      </c>
      <c r="AG882" s="25" t="str">
        <f>IF(AE882="","",IFERROR(INDEX($AO$11:$AO$4010,MATCH(872,$AZ$11:$AZ$4010,0)),""))</f>
        <v/>
      </c>
      <c r="AH882" s="24" t="str">
        <f>IF(AE882="","",IFERROR(INDEX($AQ$11:$AQ$4010,MATCH(872,$AZ$11:$AZ$4010,0)),""))</f>
        <v/>
      </c>
      <c r="AI882" s="29" t="str">
        <f>IF(AE882="","",IFERROR(INDEX($AR$11:$AR$4010,MATCH(872,$AZ$11:$AZ$4010,0)),""))</f>
        <v/>
      </c>
      <c r="AJ882" s="29" t="str">
        <f>IF(AE882="","",IFERROR(INDEX($AT$11:$AT$4010,MATCH(872,$AZ$11:$AZ$4010,0)),""))</f>
        <v/>
      </c>
      <c r="AL882" s="31"/>
      <c r="AM882" s="26"/>
      <c r="AN882" s="32"/>
      <c r="AO882" s="32"/>
      <c r="AP882" s="24"/>
      <c r="AQ882" s="24"/>
      <c r="AR882" s="33"/>
      <c r="AS882" s="34"/>
      <c r="AT882" s="33"/>
      <c r="AV882" s="21">
        <f>IF(AND($AL882&lt;&gt;"",COUNTIF($AL$11:$AL882,$AL882)=1),1,0)</f>
        <v>0</v>
      </c>
      <c r="AW882" s="21">
        <f t="shared" si="113"/>
        <v>2</v>
      </c>
      <c r="AX882" s="21" t="str">
        <f t="shared" si="112"/>
        <v/>
      </c>
      <c r="AY882" s="21" t="str">
        <f>IF(AND($AM882&lt;&gt;"",$AS882&lt;&gt;"✓"),SUMPRODUCT(($AM$11:$AM882&lt;&gt;"")*($AS$11:$AS882&lt;&gt;"✓")),"")</f>
        <v/>
      </c>
      <c r="AZ882" s="21" t="str">
        <f>IF(AND($AM882&lt;&gt;"",$AS882="✓"),SUMPRODUCT(($AM$11:$AM882&lt;&gt;"")*($AS$11:$AS882="✓")),"")</f>
        <v/>
      </c>
      <c r="BA882" s="21" t="str">
        <f>IF($AL882="","",$AL882&amp;"|"&amp;COUNTIF($AL$11:$AL882,$AL882))</f>
        <v/>
      </c>
    </row>
    <row r="883" spans="23:53" ht="15" customHeight="1" x14ac:dyDescent="0.25">
      <c r="W883" s="14" t="str">
        <f>IF(X883="","",IFERROR(INDEX($AL$11:$AL$4010,MATCH(873,$AY$11:$AY$4010,0)),""))</f>
        <v/>
      </c>
      <c r="X883" s="12" t="str">
        <f>IFERROR(INDEX($AM$11:$AM$4010,MATCH(873,$AY$11:$AY$4010,0)),"")</f>
        <v/>
      </c>
      <c r="Y883" s="11" t="str">
        <f>IF(X883="","",IFERROR(INDEX($AN$11:$AN$4010,MATCH(873,$AY$11:$AY$4010,0)),""))</f>
        <v/>
      </c>
      <c r="Z883" s="11" t="str">
        <f>IF(X883="","",IFERROR(INDEX($AO$11:$AO$4010,MATCH(873,$AY$11:$AY$4010,0)),""))</f>
        <v/>
      </c>
      <c r="AA883" s="10" t="str">
        <f>IF(X883="","",IFERROR(INDEX($AQ$11:$AQ$4010,MATCH(873,$AY$11:$AY$4010,0)),""))</f>
        <v/>
      </c>
      <c r="AB883" s="15" t="str">
        <f>IF(X883="","",IFERROR(INDEX($AR$11:$AR$4010,MATCH(873,$AY$11:$AY$4010,0)),""))</f>
        <v/>
      </c>
      <c r="AD883" s="16" t="str">
        <f>IF(AE883="","",IFERROR(INDEX($AL$11:$AL$4010,MATCH(873,$AZ$11:$AZ$4010,0)),""))</f>
        <v/>
      </c>
      <c r="AE883" s="12" t="str">
        <f>IFERROR(INDEX($AM$11:$AM$4010,MATCH(873,$AZ$11:$AZ$4010,0)),"")</f>
        <v/>
      </c>
      <c r="AF883" s="11" t="str">
        <f>IF(AE883="","",IFERROR(INDEX($AN$11:$AN$4010,MATCH(873,$AZ$11:$AZ$4010,0)),""))</f>
        <v/>
      </c>
      <c r="AG883" s="11" t="str">
        <f>IF(AE883="","",IFERROR(INDEX($AO$11:$AO$4010,MATCH(873,$AZ$11:$AZ$4010,0)),""))</f>
        <v/>
      </c>
      <c r="AH883" s="10" t="str">
        <f>IF(AE883="","",IFERROR(INDEX($AQ$11:$AQ$4010,MATCH(873,$AZ$11:$AZ$4010,0)),""))</f>
        <v/>
      </c>
      <c r="AI883" s="15" t="str">
        <f>IF(AE883="","",IFERROR(INDEX($AR$11:$AR$4010,MATCH(873,$AZ$11:$AZ$4010,0)),""))</f>
        <v/>
      </c>
      <c r="AJ883" s="15" t="str">
        <f>IF(AE883="","",IFERROR(INDEX($AT$11:$AT$4010,MATCH(873,$AZ$11:$AZ$4010,0)),""))</f>
        <v/>
      </c>
      <c r="AL883" s="17"/>
      <c r="AM883" s="12"/>
      <c r="AN883" s="18"/>
      <c r="AO883" s="18"/>
      <c r="AP883" s="10"/>
      <c r="AQ883" s="10"/>
      <c r="AR883" s="19"/>
      <c r="AS883" s="20"/>
      <c r="AT883" s="19"/>
      <c r="AV883" s="21">
        <f>IF(AND($AL883&lt;&gt;"",COUNTIF($AL$11:$AL883,$AL883)=1),1,0)</f>
        <v>0</v>
      </c>
      <c r="AW883" s="21">
        <f t="shared" si="113"/>
        <v>2</v>
      </c>
      <c r="AX883" s="21" t="str">
        <f t="shared" si="112"/>
        <v/>
      </c>
      <c r="AY883" s="21" t="str">
        <f>IF(AND($AM883&lt;&gt;"",$AS883&lt;&gt;"✓"),SUMPRODUCT(($AM$11:$AM883&lt;&gt;"")*($AS$11:$AS883&lt;&gt;"✓")),"")</f>
        <v/>
      </c>
      <c r="AZ883" s="21" t="str">
        <f>IF(AND($AM883&lt;&gt;"",$AS883="✓"),SUMPRODUCT(($AM$11:$AM883&lt;&gt;"")*($AS$11:$AS883="✓")),"")</f>
        <v/>
      </c>
      <c r="BA883" s="21" t="str">
        <f>IF($AL883="","",$AL883&amp;"|"&amp;COUNTIF($AL$11:$AL883,$AL883))</f>
        <v/>
      </c>
    </row>
    <row r="884" spans="23:53" ht="15" customHeight="1" x14ac:dyDescent="0.25">
      <c r="W884" s="28" t="str">
        <f>IF(X884="","",IFERROR(INDEX($AL$11:$AL$4010,MATCH(874,$AY$11:$AY$4010,0)),""))</f>
        <v/>
      </c>
      <c r="X884" s="26" t="str">
        <f>IFERROR(INDEX($AM$11:$AM$4010,MATCH(874,$AY$11:$AY$4010,0)),"")</f>
        <v/>
      </c>
      <c r="Y884" s="25" t="str">
        <f>IF(X884="","",IFERROR(INDEX($AN$11:$AN$4010,MATCH(874,$AY$11:$AY$4010,0)),""))</f>
        <v/>
      </c>
      <c r="Z884" s="25" t="str">
        <f>IF(X884="","",IFERROR(INDEX($AO$11:$AO$4010,MATCH(874,$AY$11:$AY$4010,0)),""))</f>
        <v/>
      </c>
      <c r="AA884" s="24" t="str">
        <f>IF(X884="","",IFERROR(INDEX($AQ$11:$AQ$4010,MATCH(874,$AY$11:$AY$4010,0)),""))</f>
        <v/>
      </c>
      <c r="AB884" s="29" t="str">
        <f>IF(X884="","",IFERROR(INDEX($AR$11:$AR$4010,MATCH(874,$AY$11:$AY$4010,0)),""))</f>
        <v/>
      </c>
      <c r="AD884" s="30" t="str">
        <f>IF(AE884="","",IFERROR(INDEX($AL$11:$AL$4010,MATCH(874,$AZ$11:$AZ$4010,0)),""))</f>
        <v/>
      </c>
      <c r="AE884" s="26" t="str">
        <f>IFERROR(INDEX($AM$11:$AM$4010,MATCH(874,$AZ$11:$AZ$4010,0)),"")</f>
        <v/>
      </c>
      <c r="AF884" s="25" t="str">
        <f>IF(AE884="","",IFERROR(INDEX($AN$11:$AN$4010,MATCH(874,$AZ$11:$AZ$4010,0)),""))</f>
        <v/>
      </c>
      <c r="AG884" s="25" t="str">
        <f>IF(AE884="","",IFERROR(INDEX($AO$11:$AO$4010,MATCH(874,$AZ$11:$AZ$4010,0)),""))</f>
        <v/>
      </c>
      <c r="AH884" s="24" t="str">
        <f>IF(AE884="","",IFERROR(INDEX($AQ$11:$AQ$4010,MATCH(874,$AZ$11:$AZ$4010,0)),""))</f>
        <v/>
      </c>
      <c r="AI884" s="29" t="str">
        <f>IF(AE884="","",IFERROR(INDEX($AR$11:$AR$4010,MATCH(874,$AZ$11:$AZ$4010,0)),""))</f>
        <v/>
      </c>
      <c r="AJ884" s="29" t="str">
        <f>IF(AE884="","",IFERROR(INDEX($AT$11:$AT$4010,MATCH(874,$AZ$11:$AZ$4010,0)),""))</f>
        <v/>
      </c>
      <c r="AL884" s="31"/>
      <c r="AM884" s="26"/>
      <c r="AN884" s="32"/>
      <c r="AO884" s="32"/>
      <c r="AP884" s="24"/>
      <c r="AQ884" s="24"/>
      <c r="AR884" s="33"/>
      <c r="AS884" s="34"/>
      <c r="AT884" s="33"/>
      <c r="AV884" s="21">
        <f>IF(AND($AL884&lt;&gt;"",COUNTIF($AL$11:$AL884,$AL884)=1),1,0)</f>
        <v>0</v>
      </c>
      <c r="AW884" s="21">
        <f t="shared" si="113"/>
        <v>2</v>
      </c>
      <c r="AX884" s="21" t="str">
        <f t="shared" si="112"/>
        <v/>
      </c>
      <c r="AY884" s="21" t="str">
        <f>IF(AND($AM884&lt;&gt;"",$AS884&lt;&gt;"✓"),SUMPRODUCT(($AM$11:$AM884&lt;&gt;"")*($AS$11:$AS884&lt;&gt;"✓")),"")</f>
        <v/>
      </c>
      <c r="AZ884" s="21" t="str">
        <f>IF(AND($AM884&lt;&gt;"",$AS884="✓"),SUMPRODUCT(($AM$11:$AM884&lt;&gt;"")*($AS$11:$AS884="✓")),"")</f>
        <v/>
      </c>
      <c r="BA884" s="21" t="str">
        <f>IF($AL884="","",$AL884&amp;"|"&amp;COUNTIF($AL$11:$AL884,$AL884))</f>
        <v/>
      </c>
    </row>
    <row r="885" spans="23:53" ht="15" customHeight="1" x14ac:dyDescent="0.25">
      <c r="W885" s="14" t="str">
        <f>IF(X885="","",IFERROR(INDEX($AL$11:$AL$4010,MATCH(875,$AY$11:$AY$4010,0)),""))</f>
        <v/>
      </c>
      <c r="X885" s="12" t="str">
        <f>IFERROR(INDEX($AM$11:$AM$4010,MATCH(875,$AY$11:$AY$4010,0)),"")</f>
        <v/>
      </c>
      <c r="Y885" s="11" t="str">
        <f>IF(X885="","",IFERROR(INDEX($AN$11:$AN$4010,MATCH(875,$AY$11:$AY$4010,0)),""))</f>
        <v/>
      </c>
      <c r="Z885" s="11" t="str">
        <f>IF(X885="","",IFERROR(INDEX($AO$11:$AO$4010,MATCH(875,$AY$11:$AY$4010,0)),""))</f>
        <v/>
      </c>
      <c r="AA885" s="10" t="str">
        <f>IF(X885="","",IFERROR(INDEX($AQ$11:$AQ$4010,MATCH(875,$AY$11:$AY$4010,0)),""))</f>
        <v/>
      </c>
      <c r="AB885" s="15" t="str">
        <f>IF(X885="","",IFERROR(INDEX($AR$11:$AR$4010,MATCH(875,$AY$11:$AY$4010,0)),""))</f>
        <v/>
      </c>
      <c r="AD885" s="16" t="str">
        <f>IF(AE885="","",IFERROR(INDEX($AL$11:$AL$4010,MATCH(875,$AZ$11:$AZ$4010,0)),""))</f>
        <v/>
      </c>
      <c r="AE885" s="12" t="str">
        <f>IFERROR(INDEX($AM$11:$AM$4010,MATCH(875,$AZ$11:$AZ$4010,0)),"")</f>
        <v/>
      </c>
      <c r="AF885" s="11" t="str">
        <f>IF(AE885="","",IFERROR(INDEX($AN$11:$AN$4010,MATCH(875,$AZ$11:$AZ$4010,0)),""))</f>
        <v/>
      </c>
      <c r="AG885" s="11" t="str">
        <f>IF(AE885="","",IFERROR(INDEX($AO$11:$AO$4010,MATCH(875,$AZ$11:$AZ$4010,0)),""))</f>
        <v/>
      </c>
      <c r="AH885" s="10" t="str">
        <f>IF(AE885="","",IFERROR(INDEX($AQ$11:$AQ$4010,MATCH(875,$AZ$11:$AZ$4010,0)),""))</f>
        <v/>
      </c>
      <c r="AI885" s="15" t="str">
        <f>IF(AE885="","",IFERROR(INDEX($AR$11:$AR$4010,MATCH(875,$AZ$11:$AZ$4010,0)),""))</f>
        <v/>
      </c>
      <c r="AJ885" s="15" t="str">
        <f>IF(AE885="","",IFERROR(INDEX($AT$11:$AT$4010,MATCH(875,$AZ$11:$AZ$4010,0)),""))</f>
        <v/>
      </c>
      <c r="AL885" s="17"/>
      <c r="AM885" s="12"/>
      <c r="AN885" s="18"/>
      <c r="AO885" s="18"/>
      <c r="AP885" s="10"/>
      <c r="AQ885" s="10"/>
      <c r="AR885" s="19"/>
      <c r="AS885" s="20"/>
      <c r="AT885" s="19"/>
      <c r="AV885" s="21">
        <f>IF(AND($AL885&lt;&gt;"",COUNTIF($AL$11:$AL885,$AL885)=1),1,0)</f>
        <v>0</v>
      </c>
      <c r="AW885" s="21">
        <f t="shared" si="113"/>
        <v>2</v>
      </c>
      <c r="AX885" s="21" t="str">
        <f t="shared" si="112"/>
        <v/>
      </c>
      <c r="AY885" s="21" t="str">
        <f>IF(AND($AM885&lt;&gt;"",$AS885&lt;&gt;"✓"),SUMPRODUCT(($AM$11:$AM885&lt;&gt;"")*($AS$11:$AS885&lt;&gt;"✓")),"")</f>
        <v/>
      </c>
      <c r="AZ885" s="21" t="str">
        <f>IF(AND($AM885&lt;&gt;"",$AS885="✓"),SUMPRODUCT(($AM$11:$AM885&lt;&gt;"")*($AS$11:$AS885="✓")),"")</f>
        <v/>
      </c>
      <c r="BA885" s="21" t="str">
        <f>IF($AL885="","",$AL885&amp;"|"&amp;COUNTIF($AL$11:$AL885,$AL885))</f>
        <v/>
      </c>
    </row>
    <row r="886" spans="23:53" ht="15" customHeight="1" x14ac:dyDescent="0.25">
      <c r="W886" s="28" t="str">
        <f>IF(X886="","",IFERROR(INDEX($AL$11:$AL$4010,MATCH(876,$AY$11:$AY$4010,0)),""))</f>
        <v/>
      </c>
      <c r="X886" s="26" t="str">
        <f>IFERROR(INDEX($AM$11:$AM$4010,MATCH(876,$AY$11:$AY$4010,0)),"")</f>
        <v/>
      </c>
      <c r="Y886" s="25" t="str">
        <f>IF(X886="","",IFERROR(INDEX($AN$11:$AN$4010,MATCH(876,$AY$11:$AY$4010,0)),""))</f>
        <v/>
      </c>
      <c r="Z886" s="25" t="str">
        <f>IF(X886="","",IFERROR(INDEX($AO$11:$AO$4010,MATCH(876,$AY$11:$AY$4010,0)),""))</f>
        <v/>
      </c>
      <c r="AA886" s="24" t="str">
        <f>IF(X886="","",IFERROR(INDEX($AQ$11:$AQ$4010,MATCH(876,$AY$11:$AY$4010,0)),""))</f>
        <v/>
      </c>
      <c r="AB886" s="29" t="str">
        <f>IF(X886="","",IFERROR(INDEX($AR$11:$AR$4010,MATCH(876,$AY$11:$AY$4010,0)),""))</f>
        <v/>
      </c>
      <c r="AD886" s="30" t="str">
        <f>IF(AE886="","",IFERROR(INDEX($AL$11:$AL$4010,MATCH(876,$AZ$11:$AZ$4010,0)),""))</f>
        <v/>
      </c>
      <c r="AE886" s="26" t="str">
        <f>IFERROR(INDEX($AM$11:$AM$4010,MATCH(876,$AZ$11:$AZ$4010,0)),"")</f>
        <v/>
      </c>
      <c r="AF886" s="25" t="str">
        <f>IF(AE886="","",IFERROR(INDEX($AN$11:$AN$4010,MATCH(876,$AZ$11:$AZ$4010,0)),""))</f>
        <v/>
      </c>
      <c r="AG886" s="25" t="str">
        <f>IF(AE886="","",IFERROR(INDEX($AO$11:$AO$4010,MATCH(876,$AZ$11:$AZ$4010,0)),""))</f>
        <v/>
      </c>
      <c r="AH886" s="24" t="str">
        <f>IF(AE886="","",IFERROR(INDEX($AQ$11:$AQ$4010,MATCH(876,$AZ$11:$AZ$4010,0)),""))</f>
        <v/>
      </c>
      <c r="AI886" s="29" t="str">
        <f>IF(AE886="","",IFERROR(INDEX($AR$11:$AR$4010,MATCH(876,$AZ$11:$AZ$4010,0)),""))</f>
        <v/>
      </c>
      <c r="AJ886" s="29" t="str">
        <f>IF(AE886="","",IFERROR(INDEX($AT$11:$AT$4010,MATCH(876,$AZ$11:$AZ$4010,0)),""))</f>
        <v/>
      </c>
      <c r="AL886" s="31"/>
      <c r="AM886" s="26"/>
      <c r="AN886" s="32"/>
      <c r="AO886" s="32"/>
      <c r="AP886" s="24"/>
      <c r="AQ886" s="24"/>
      <c r="AR886" s="33"/>
      <c r="AS886" s="34"/>
      <c r="AT886" s="33"/>
      <c r="AV886" s="21">
        <f>IF(AND($AL886&lt;&gt;"",COUNTIF($AL$11:$AL886,$AL886)=1),1,0)</f>
        <v>0</v>
      </c>
      <c r="AW886" s="21">
        <f t="shared" si="113"/>
        <v>2</v>
      </c>
      <c r="AX886" s="21" t="str">
        <f t="shared" si="112"/>
        <v/>
      </c>
      <c r="AY886" s="21" t="str">
        <f>IF(AND($AM886&lt;&gt;"",$AS886&lt;&gt;"✓"),SUMPRODUCT(($AM$11:$AM886&lt;&gt;"")*($AS$11:$AS886&lt;&gt;"✓")),"")</f>
        <v/>
      </c>
      <c r="AZ886" s="21" t="str">
        <f>IF(AND($AM886&lt;&gt;"",$AS886="✓"),SUMPRODUCT(($AM$11:$AM886&lt;&gt;"")*($AS$11:$AS886="✓")),"")</f>
        <v/>
      </c>
      <c r="BA886" s="21" t="str">
        <f>IF($AL886="","",$AL886&amp;"|"&amp;COUNTIF($AL$11:$AL886,$AL886))</f>
        <v/>
      </c>
    </row>
    <row r="887" spans="23:53" ht="15" customHeight="1" x14ac:dyDescent="0.25">
      <c r="W887" s="14" t="str">
        <f>IF(X887="","",IFERROR(INDEX($AL$11:$AL$4010,MATCH(877,$AY$11:$AY$4010,0)),""))</f>
        <v/>
      </c>
      <c r="X887" s="12" t="str">
        <f>IFERROR(INDEX($AM$11:$AM$4010,MATCH(877,$AY$11:$AY$4010,0)),"")</f>
        <v/>
      </c>
      <c r="Y887" s="11" t="str">
        <f>IF(X887="","",IFERROR(INDEX($AN$11:$AN$4010,MATCH(877,$AY$11:$AY$4010,0)),""))</f>
        <v/>
      </c>
      <c r="Z887" s="11" t="str">
        <f>IF(X887="","",IFERROR(INDEX($AO$11:$AO$4010,MATCH(877,$AY$11:$AY$4010,0)),""))</f>
        <v/>
      </c>
      <c r="AA887" s="10" t="str">
        <f>IF(X887="","",IFERROR(INDEX($AQ$11:$AQ$4010,MATCH(877,$AY$11:$AY$4010,0)),""))</f>
        <v/>
      </c>
      <c r="AB887" s="15" t="str">
        <f>IF(X887="","",IFERROR(INDEX($AR$11:$AR$4010,MATCH(877,$AY$11:$AY$4010,0)),""))</f>
        <v/>
      </c>
      <c r="AD887" s="16" t="str">
        <f>IF(AE887="","",IFERROR(INDEX($AL$11:$AL$4010,MATCH(877,$AZ$11:$AZ$4010,0)),""))</f>
        <v/>
      </c>
      <c r="AE887" s="12" t="str">
        <f>IFERROR(INDEX($AM$11:$AM$4010,MATCH(877,$AZ$11:$AZ$4010,0)),"")</f>
        <v/>
      </c>
      <c r="AF887" s="11" t="str">
        <f>IF(AE887="","",IFERROR(INDEX($AN$11:$AN$4010,MATCH(877,$AZ$11:$AZ$4010,0)),""))</f>
        <v/>
      </c>
      <c r="AG887" s="11" t="str">
        <f>IF(AE887="","",IFERROR(INDEX($AO$11:$AO$4010,MATCH(877,$AZ$11:$AZ$4010,0)),""))</f>
        <v/>
      </c>
      <c r="AH887" s="10" t="str">
        <f>IF(AE887="","",IFERROR(INDEX($AQ$11:$AQ$4010,MATCH(877,$AZ$11:$AZ$4010,0)),""))</f>
        <v/>
      </c>
      <c r="AI887" s="15" t="str">
        <f>IF(AE887="","",IFERROR(INDEX($AR$11:$AR$4010,MATCH(877,$AZ$11:$AZ$4010,0)),""))</f>
        <v/>
      </c>
      <c r="AJ887" s="15" t="str">
        <f>IF(AE887="","",IFERROR(INDEX($AT$11:$AT$4010,MATCH(877,$AZ$11:$AZ$4010,0)),""))</f>
        <v/>
      </c>
      <c r="AL887" s="17"/>
      <c r="AM887" s="12"/>
      <c r="AN887" s="18"/>
      <c r="AO887" s="18"/>
      <c r="AP887" s="10"/>
      <c r="AQ887" s="10"/>
      <c r="AR887" s="19"/>
      <c r="AS887" s="20"/>
      <c r="AT887" s="19"/>
      <c r="AV887" s="21">
        <f>IF(AND($AL887&lt;&gt;"",COUNTIF($AL$11:$AL887,$AL887)=1),1,0)</f>
        <v>0</v>
      </c>
      <c r="AW887" s="21">
        <f t="shared" si="113"/>
        <v>2</v>
      </c>
      <c r="AX887" s="21" t="str">
        <f t="shared" si="112"/>
        <v/>
      </c>
      <c r="AY887" s="21" t="str">
        <f>IF(AND($AM887&lt;&gt;"",$AS887&lt;&gt;"✓"),SUMPRODUCT(($AM$11:$AM887&lt;&gt;"")*($AS$11:$AS887&lt;&gt;"✓")),"")</f>
        <v/>
      </c>
      <c r="AZ887" s="21" t="str">
        <f>IF(AND($AM887&lt;&gt;"",$AS887="✓"),SUMPRODUCT(($AM$11:$AM887&lt;&gt;"")*($AS$11:$AS887="✓")),"")</f>
        <v/>
      </c>
      <c r="BA887" s="21" t="str">
        <f>IF($AL887="","",$AL887&amp;"|"&amp;COUNTIF($AL$11:$AL887,$AL887))</f>
        <v/>
      </c>
    </row>
    <row r="888" spans="23:53" ht="15" customHeight="1" x14ac:dyDescent="0.25">
      <c r="W888" s="28" t="str">
        <f>IF(X888="","",IFERROR(INDEX($AL$11:$AL$4010,MATCH(878,$AY$11:$AY$4010,0)),""))</f>
        <v/>
      </c>
      <c r="X888" s="26" t="str">
        <f>IFERROR(INDEX($AM$11:$AM$4010,MATCH(878,$AY$11:$AY$4010,0)),"")</f>
        <v/>
      </c>
      <c r="Y888" s="25" t="str">
        <f>IF(X888="","",IFERROR(INDEX($AN$11:$AN$4010,MATCH(878,$AY$11:$AY$4010,0)),""))</f>
        <v/>
      </c>
      <c r="Z888" s="25" t="str">
        <f>IF(X888="","",IFERROR(INDEX($AO$11:$AO$4010,MATCH(878,$AY$11:$AY$4010,0)),""))</f>
        <v/>
      </c>
      <c r="AA888" s="24" t="str">
        <f>IF(X888="","",IFERROR(INDEX($AQ$11:$AQ$4010,MATCH(878,$AY$11:$AY$4010,0)),""))</f>
        <v/>
      </c>
      <c r="AB888" s="29" t="str">
        <f>IF(X888="","",IFERROR(INDEX($AR$11:$AR$4010,MATCH(878,$AY$11:$AY$4010,0)),""))</f>
        <v/>
      </c>
      <c r="AD888" s="30" t="str">
        <f>IF(AE888="","",IFERROR(INDEX($AL$11:$AL$4010,MATCH(878,$AZ$11:$AZ$4010,0)),""))</f>
        <v/>
      </c>
      <c r="AE888" s="26" t="str">
        <f>IFERROR(INDEX($AM$11:$AM$4010,MATCH(878,$AZ$11:$AZ$4010,0)),"")</f>
        <v/>
      </c>
      <c r="AF888" s="25" t="str">
        <f>IF(AE888="","",IFERROR(INDEX($AN$11:$AN$4010,MATCH(878,$AZ$11:$AZ$4010,0)),""))</f>
        <v/>
      </c>
      <c r="AG888" s="25" t="str">
        <f>IF(AE888="","",IFERROR(INDEX($AO$11:$AO$4010,MATCH(878,$AZ$11:$AZ$4010,0)),""))</f>
        <v/>
      </c>
      <c r="AH888" s="24" t="str">
        <f>IF(AE888="","",IFERROR(INDEX($AQ$11:$AQ$4010,MATCH(878,$AZ$11:$AZ$4010,0)),""))</f>
        <v/>
      </c>
      <c r="AI888" s="29" t="str">
        <f>IF(AE888="","",IFERROR(INDEX($AR$11:$AR$4010,MATCH(878,$AZ$11:$AZ$4010,0)),""))</f>
        <v/>
      </c>
      <c r="AJ888" s="29" t="str">
        <f>IF(AE888="","",IFERROR(INDEX($AT$11:$AT$4010,MATCH(878,$AZ$11:$AZ$4010,0)),""))</f>
        <v/>
      </c>
      <c r="AL888" s="31"/>
      <c r="AM888" s="26"/>
      <c r="AN888" s="32"/>
      <c r="AO888" s="32"/>
      <c r="AP888" s="24"/>
      <c r="AQ888" s="24"/>
      <c r="AR888" s="33"/>
      <c r="AS888" s="34"/>
      <c r="AT888" s="33"/>
      <c r="AV888" s="21">
        <f>IF(AND($AL888&lt;&gt;"",COUNTIF($AL$11:$AL888,$AL888)=1),1,0)</f>
        <v>0</v>
      </c>
      <c r="AW888" s="21">
        <f t="shared" si="113"/>
        <v>2</v>
      </c>
      <c r="AX888" s="21" t="str">
        <f t="shared" si="112"/>
        <v/>
      </c>
      <c r="AY888" s="21" t="str">
        <f>IF(AND($AM888&lt;&gt;"",$AS888&lt;&gt;"✓"),SUMPRODUCT(($AM$11:$AM888&lt;&gt;"")*($AS$11:$AS888&lt;&gt;"✓")),"")</f>
        <v/>
      </c>
      <c r="AZ888" s="21" t="str">
        <f>IF(AND($AM888&lt;&gt;"",$AS888="✓"),SUMPRODUCT(($AM$11:$AM888&lt;&gt;"")*($AS$11:$AS888="✓")),"")</f>
        <v/>
      </c>
      <c r="BA888" s="21" t="str">
        <f>IF($AL888="","",$AL888&amp;"|"&amp;COUNTIF($AL$11:$AL888,$AL888))</f>
        <v/>
      </c>
    </row>
    <row r="889" spans="23:53" ht="15" customHeight="1" x14ac:dyDescent="0.25">
      <c r="W889" s="14" t="str">
        <f>IF(X889="","",IFERROR(INDEX($AL$11:$AL$4010,MATCH(879,$AY$11:$AY$4010,0)),""))</f>
        <v/>
      </c>
      <c r="X889" s="12" t="str">
        <f>IFERROR(INDEX($AM$11:$AM$4010,MATCH(879,$AY$11:$AY$4010,0)),"")</f>
        <v/>
      </c>
      <c r="Y889" s="11" t="str">
        <f>IF(X889="","",IFERROR(INDEX($AN$11:$AN$4010,MATCH(879,$AY$11:$AY$4010,0)),""))</f>
        <v/>
      </c>
      <c r="Z889" s="11" t="str">
        <f>IF(X889="","",IFERROR(INDEX($AO$11:$AO$4010,MATCH(879,$AY$11:$AY$4010,0)),""))</f>
        <v/>
      </c>
      <c r="AA889" s="10" t="str">
        <f>IF(X889="","",IFERROR(INDEX($AQ$11:$AQ$4010,MATCH(879,$AY$11:$AY$4010,0)),""))</f>
        <v/>
      </c>
      <c r="AB889" s="15" t="str">
        <f>IF(X889="","",IFERROR(INDEX($AR$11:$AR$4010,MATCH(879,$AY$11:$AY$4010,0)),""))</f>
        <v/>
      </c>
      <c r="AD889" s="16" t="str">
        <f>IF(AE889="","",IFERROR(INDEX($AL$11:$AL$4010,MATCH(879,$AZ$11:$AZ$4010,0)),""))</f>
        <v/>
      </c>
      <c r="AE889" s="12" t="str">
        <f>IFERROR(INDEX($AM$11:$AM$4010,MATCH(879,$AZ$11:$AZ$4010,0)),"")</f>
        <v/>
      </c>
      <c r="AF889" s="11" t="str">
        <f>IF(AE889="","",IFERROR(INDEX($AN$11:$AN$4010,MATCH(879,$AZ$11:$AZ$4010,0)),""))</f>
        <v/>
      </c>
      <c r="AG889" s="11" t="str">
        <f>IF(AE889="","",IFERROR(INDEX($AO$11:$AO$4010,MATCH(879,$AZ$11:$AZ$4010,0)),""))</f>
        <v/>
      </c>
      <c r="AH889" s="10" t="str">
        <f>IF(AE889="","",IFERROR(INDEX($AQ$11:$AQ$4010,MATCH(879,$AZ$11:$AZ$4010,0)),""))</f>
        <v/>
      </c>
      <c r="AI889" s="15" t="str">
        <f>IF(AE889="","",IFERROR(INDEX($AR$11:$AR$4010,MATCH(879,$AZ$11:$AZ$4010,0)),""))</f>
        <v/>
      </c>
      <c r="AJ889" s="15" t="str">
        <f>IF(AE889="","",IFERROR(INDEX($AT$11:$AT$4010,MATCH(879,$AZ$11:$AZ$4010,0)),""))</f>
        <v/>
      </c>
      <c r="AL889" s="17"/>
      <c r="AM889" s="12"/>
      <c r="AN889" s="18"/>
      <c r="AO889" s="18"/>
      <c r="AP889" s="10"/>
      <c r="AQ889" s="10"/>
      <c r="AR889" s="19"/>
      <c r="AS889" s="20"/>
      <c r="AT889" s="19"/>
      <c r="AV889" s="21">
        <f>IF(AND($AL889&lt;&gt;"",COUNTIF($AL$11:$AL889,$AL889)=1),1,0)</f>
        <v>0</v>
      </c>
      <c r="AW889" s="21">
        <f t="shared" si="113"/>
        <v>2</v>
      </c>
      <c r="AX889" s="21" t="str">
        <f t="shared" si="112"/>
        <v/>
      </c>
      <c r="AY889" s="21" t="str">
        <f>IF(AND($AM889&lt;&gt;"",$AS889&lt;&gt;"✓"),SUMPRODUCT(($AM$11:$AM889&lt;&gt;"")*($AS$11:$AS889&lt;&gt;"✓")),"")</f>
        <v/>
      </c>
      <c r="AZ889" s="21" t="str">
        <f>IF(AND($AM889&lt;&gt;"",$AS889="✓"),SUMPRODUCT(($AM$11:$AM889&lt;&gt;"")*($AS$11:$AS889="✓")),"")</f>
        <v/>
      </c>
      <c r="BA889" s="21" t="str">
        <f>IF($AL889="","",$AL889&amp;"|"&amp;COUNTIF($AL$11:$AL889,$AL889))</f>
        <v/>
      </c>
    </row>
    <row r="890" spans="23:53" ht="15" customHeight="1" x14ac:dyDescent="0.25">
      <c r="W890" s="28" t="str">
        <f>IF(X890="","",IFERROR(INDEX($AL$11:$AL$4010,MATCH(880,$AY$11:$AY$4010,0)),""))</f>
        <v/>
      </c>
      <c r="X890" s="26" t="str">
        <f>IFERROR(INDEX($AM$11:$AM$4010,MATCH(880,$AY$11:$AY$4010,0)),"")</f>
        <v/>
      </c>
      <c r="Y890" s="25" t="str">
        <f>IF(X890="","",IFERROR(INDEX($AN$11:$AN$4010,MATCH(880,$AY$11:$AY$4010,0)),""))</f>
        <v/>
      </c>
      <c r="Z890" s="25" t="str">
        <f>IF(X890="","",IFERROR(INDEX($AO$11:$AO$4010,MATCH(880,$AY$11:$AY$4010,0)),""))</f>
        <v/>
      </c>
      <c r="AA890" s="24" t="str">
        <f>IF(X890="","",IFERROR(INDEX($AQ$11:$AQ$4010,MATCH(880,$AY$11:$AY$4010,0)),""))</f>
        <v/>
      </c>
      <c r="AB890" s="29" t="str">
        <f>IF(X890="","",IFERROR(INDEX($AR$11:$AR$4010,MATCH(880,$AY$11:$AY$4010,0)),""))</f>
        <v/>
      </c>
      <c r="AD890" s="30" t="str">
        <f>IF(AE890="","",IFERROR(INDEX($AL$11:$AL$4010,MATCH(880,$AZ$11:$AZ$4010,0)),""))</f>
        <v/>
      </c>
      <c r="AE890" s="26" t="str">
        <f>IFERROR(INDEX($AM$11:$AM$4010,MATCH(880,$AZ$11:$AZ$4010,0)),"")</f>
        <v/>
      </c>
      <c r="AF890" s="25" t="str">
        <f>IF(AE890="","",IFERROR(INDEX($AN$11:$AN$4010,MATCH(880,$AZ$11:$AZ$4010,0)),""))</f>
        <v/>
      </c>
      <c r="AG890" s="25" t="str">
        <f>IF(AE890="","",IFERROR(INDEX($AO$11:$AO$4010,MATCH(880,$AZ$11:$AZ$4010,0)),""))</f>
        <v/>
      </c>
      <c r="AH890" s="24" t="str">
        <f>IF(AE890="","",IFERROR(INDEX($AQ$11:$AQ$4010,MATCH(880,$AZ$11:$AZ$4010,0)),""))</f>
        <v/>
      </c>
      <c r="AI890" s="29" t="str">
        <f>IF(AE890="","",IFERROR(INDEX($AR$11:$AR$4010,MATCH(880,$AZ$11:$AZ$4010,0)),""))</f>
        <v/>
      </c>
      <c r="AJ890" s="29" t="str">
        <f>IF(AE890="","",IFERROR(INDEX($AT$11:$AT$4010,MATCH(880,$AZ$11:$AZ$4010,0)),""))</f>
        <v/>
      </c>
      <c r="AL890" s="31"/>
      <c r="AM890" s="26"/>
      <c r="AN890" s="32"/>
      <c r="AO890" s="32"/>
      <c r="AP890" s="24"/>
      <c r="AQ890" s="24"/>
      <c r="AR890" s="33"/>
      <c r="AS890" s="34"/>
      <c r="AT890" s="33"/>
      <c r="AV890" s="21">
        <f>IF(AND($AL890&lt;&gt;"",COUNTIF($AL$11:$AL890,$AL890)=1),1,0)</f>
        <v>0</v>
      </c>
      <c r="AW890" s="21">
        <f t="shared" si="113"/>
        <v>2</v>
      </c>
      <c r="AX890" s="21" t="str">
        <f t="shared" si="112"/>
        <v/>
      </c>
      <c r="AY890" s="21" t="str">
        <f>IF(AND($AM890&lt;&gt;"",$AS890&lt;&gt;"✓"),SUMPRODUCT(($AM$11:$AM890&lt;&gt;"")*($AS$11:$AS890&lt;&gt;"✓")),"")</f>
        <v/>
      </c>
      <c r="AZ890" s="21" t="str">
        <f>IF(AND($AM890&lt;&gt;"",$AS890="✓"),SUMPRODUCT(($AM$11:$AM890&lt;&gt;"")*($AS$11:$AS890="✓")),"")</f>
        <v/>
      </c>
      <c r="BA890" s="21" t="str">
        <f>IF($AL890="","",$AL890&amp;"|"&amp;COUNTIF($AL$11:$AL890,$AL890))</f>
        <v/>
      </c>
    </row>
    <row r="891" spans="23:53" ht="15" customHeight="1" x14ac:dyDescent="0.25">
      <c r="W891" s="14" t="str">
        <f>IF(X891="","",IFERROR(INDEX($AL$11:$AL$4010,MATCH(881,$AY$11:$AY$4010,0)),""))</f>
        <v/>
      </c>
      <c r="X891" s="12" t="str">
        <f>IFERROR(INDEX($AM$11:$AM$4010,MATCH(881,$AY$11:$AY$4010,0)),"")</f>
        <v/>
      </c>
      <c r="Y891" s="11" t="str">
        <f>IF(X891="","",IFERROR(INDEX($AN$11:$AN$4010,MATCH(881,$AY$11:$AY$4010,0)),""))</f>
        <v/>
      </c>
      <c r="Z891" s="11" t="str">
        <f>IF(X891="","",IFERROR(INDEX($AO$11:$AO$4010,MATCH(881,$AY$11:$AY$4010,0)),""))</f>
        <v/>
      </c>
      <c r="AA891" s="10" t="str">
        <f>IF(X891="","",IFERROR(INDEX($AQ$11:$AQ$4010,MATCH(881,$AY$11:$AY$4010,0)),""))</f>
        <v/>
      </c>
      <c r="AB891" s="15" t="str">
        <f>IF(X891="","",IFERROR(INDEX($AR$11:$AR$4010,MATCH(881,$AY$11:$AY$4010,0)),""))</f>
        <v/>
      </c>
      <c r="AD891" s="16" t="str">
        <f>IF(AE891="","",IFERROR(INDEX($AL$11:$AL$4010,MATCH(881,$AZ$11:$AZ$4010,0)),""))</f>
        <v/>
      </c>
      <c r="AE891" s="12" t="str">
        <f>IFERROR(INDEX($AM$11:$AM$4010,MATCH(881,$AZ$11:$AZ$4010,0)),"")</f>
        <v/>
      </c>
      <c r="AF891" s="11" t="str">
        <f>IF(AE891="","",IFERROR(INDEX($AN$11:$AN$4010,MATCH(881,$AZ$11:$AZ$4010,0)),""))</f>
        <v/>
      </c>
      <c r="AG891" s="11" t="str">
        <f>IF(AE891="","",IFERROR(INDEX($AO$11:$AO$4010,MATCH(881,$AZ$11:$AZ$4010,0)),""))</f>
        <v/>
      </c>
      <c r="AH891" s="10" t="str">
        <f>IF(AE891="","",IFERROR(INDEX($AQ$11:$AQ$4010,MATCH(881,$AZ$11:$AZ$4010,0)),""))</f>
        <v/>
      </c>
      <c r="AI891" s="15" t="str">
        <f>IF(AE891="","",IFERROR(INDEX($AR$11:$AR$4010,MATCH(881,$AZ$11:$AZ$4010,0)),""))</f>
        <v/>
      </c>
      <c r="AJ891" s="15" t="str">
        <f>IF(AE891="","",IFERROR(INDEX($AT$11:$AT$4010,MATCH(881,$AZ$11:$AZ$4010,0)),""))</f>
        <v/>
      </c>
      <c r="AL891" s="17"/>
      <c r="AM891" s="12"/>
      <c r="AN891" s="18"/>
      <c r="AO891" s="18"/>
      <c r="AP891" s="10"/>
      <c r="AQ891" s="10"/>
      <c r="AR891" s="19"/>
      <c r="AS891" s="20"/>
      <c r="AT891" s="19"/>
      <c r="AV891" s="21">
        <f>IF(AND($AL891&lt;&gt;"",COUNTIF($AL$11:$AL891,$AL891)=1),1,0)</f>
        <v>0</v>
      </c>
      <c r="AW891" s="21">
        <f t="shared" si="113"/>
        <v>2</v>
      </c>
      <c r="AX891" s="21" t="str">
        <f t="shared" si="112"/>
        <v/>
      </c>
      <c r="AY891" s="21" t="str">
        <f>IF(AND($AM891&lt;&gt;"",$AS891&lt;&gt;"✓"),SUMPRODUCT(($AM$11:$AM891&lt;&gt;"")*($AS$11:$AS891&lt;&gt;"✓")),"")</f>
        <v/>
      </c>
      <c r="AZ891" s="21" t="str">
        <f>IF(AND($AM891&lt;&gt;"",$AS891="✓"),SUMPRODUCT(($AM$11:$AM891&lt;&gt;"")*($AS$11:$AS891="✓")),"")</f>
        <v/>
      </c>
      <c r="BA891" s="21" t="str">
        <f>IF($AL891="","",$AL891&amp;"|"&amp;COUNTIF($AL$11:$AL891,$AL891))</f>
        <v/>
      </c>
    </row>
    <row r="892" spans="23:53" ht="15" customHeight="1" x14ac:dyDescent="0.25">
      <c r="W892" s="28" t="str">
        <f>IF(X892="","",IFERROR(INDEX($AL$11:$AL$4010,MATCH(882,$AY$11:$AY$4010,0)),""))</f>
        <v/>
      </c>
      <c r="X892" s="26" t="str">
        <f>IFERROR(INDEX($AM$11:$AM$4010,MATCH(882,$AY$11:$AY$4010,0)),"")</f>
        <v/>
      </c>
      <c r="Y892" s="25" t="str">
        <f>IF(X892="","",IFERROR(INDEX($AN$11:$AN$4010,MATCH(882,$AY$11:$AY$4010,0)),""))</f>
        <v/>
      </c>
      <c r="Z892" s="25" t="str">
        <f>IF(X892="","",IFERROR(INDEX($AO$11:$AO$4010,MATCH(882,$AY$11:$AY$4010,0)),""))</f>
        <v/>
      </c>
      <c r="AA892" s="24" t="str">
        <f>IF(X892="","",IFERROR(INDEX($AQ$11:$AQ$4010,MATCH(882,$AY$11:$AY$4010,0)),""))</f>
        <v/>
      </c>
      <c r="AB892" s="29" t="str">
        <f>IF(X892="","",IFERROR(INDEX($AR$11:$AR$4010,MATCH(882,$AY$11:$AY$4010,0)),""))</f>
        <v/>
      </c>
      <c r="AD892" s="30" t="str">
        <f>IF(AE892="","",IFERROR(INDEX($AL$11:$AL$4010,MATCH(882,$AZ$11:$AZ$4010,0)),""))</f>
        <v/>
      </c>
      <c r="AE892" s="26" t="str">
        <f>IFERROR(INDEX($AM$11:$AM$4010,MATCH(882,$AZ$11:$AZ$4010,0)),"")</f>
        <v/>
      </c>
      <c r="AF892" s="25" t="str">
        <f>IF(AE892="","",IFERROR(INDEX($AN$11:$AN$4010,MATCH(882,$AZ$11:$AZ$4010,0)),""))</f>
        <v/>
      </c>
      <c r="AG892" s="25" t="str">
        <f>IF(AE892="","",IFERROR(INDEX($AO$11:$AO$4010,MATCH(882,$AZ$11:$AZ$4010,0)),""))</f>
        <v/>
      </c>
      <c r="AH892" s="24" t="str">
        <f>IF(AE892="","",IFERROR(INDEX($AQ$11:$AQ$4010,MATCH(882,$AZ$11:$AZ$4010,0)),""))</f>
        <v/>
      </c>
      <c r="AI892" s="29" t="str">
        <f>IF(AE892="","",IFERROR(INDEX($AR$11:$AR$4010,MATCH(882,$AZ$11:$AZ$4010,0)),""))</f>
        <v/>
      </c>
      <c r="AJ892" s="29" t="str">
        <f>IF(AE892="","",IFERROR(INDEX($AT$11:$AT$4010,MATCH(882,$AZ$11:$AZ$4010,0)),""))</f>
        <v/>
      </c>
      <c r="AL892" s="31"/>
      <c r="AM892" s="26"/>
      <c r="AN892" s="32"/>
      <c r="AO892" s="32"/>
      <c r="AP892" s="24"/>
      <c r="AQ892" s="24"/>
      <c r="AR892" s="33"/>
      <c r="AS892" s="34"/>
      <c r="AT892" s="33"/>
      <c r="AV892" s="21">
        <f>IF(AND($AL892&lt;&gt;"",COUNTIF($AL$11:$AL892,$AL892)=1),1,0)</f>
        <v>0</v>
      </c>
      <c r="AW892" s="21">
        <f t="shared" si="113"/>
        <v>2</v>
      </c>
      <c r="AX892" s="21" t="str">
        <f t="shared" si="112"/>
        <v/>
      </c>
      <c r="AY892" s="21" t="str">
        <f>IF(AND($AM892&lt;&gt;"",$AS892&lt;&gt;"✓"),SUMPRODUCT(($AM$11:$AM892&lt;&gt;"")*($AS$11:$AS892&lt;&gt;"✓")),"")</f>
        <v/>
      </c>
      <c r="AZ892" s="21" t="str">
        <f>IF(AND($AM892&lt;&gt;"",$AS892="✓"),SUMPRODUCT(($AM$11:$AM892&lt;&gt;"")*($AS$11:$AS892="✓")),"")</f>
        <v/>
      </c>
      <c r="BA892" s="21" t="str">
        <f>IF($AL892="","",$AL892&amp;"|"&amp;COUNTIF($AL$11:$AL892,$AL892))</f>
        <v/>
      </c>
    </row>
    <row r="893" spans="23:53" ht="15" customHeight="1" x14ac:dyDescent="0.25">
      <c r="W893" s="14" t="str">
        <f>IF(X893="","",IFERROR(INDEX($AL$11:$AL$4010,MATCH(883,$AY$11:$AY$4010,0)),""))</f>
        <v/>
      </c>
      <c r="X893" s="12" t="str">
        <f>IFERROR(INDEX($AM$11:$AM$4010,MATCH(883,$AY$11:$AY$4010,0)),"")</f>
        <v/>
      </c>
      <c r="Y893" s="11" t="str">
        <f>IF(X893="","",IFERROR(INDEX($AN$11:$AN$4010,MATCH(883,$AY$11:$AY$4010,0)),""))</f>
        <v/>
      </c>
      <c r="Z893" s="11" t="str">
        <f>IF(X893="","",IFERROR(INDEX($AO$11:$AO$4010,MATCH(883,$AY$11:$AY$4010,0)),""))</f>
        <v/>
      </c>
      <c r="AA893" s="10" t="str">
        <f>IF(X893="","",IFERROR(INDEX($AQ$11:$AQ$4010,MATCH(883,$AY$11:$AY$4010,0)),""))</f>
        <v/>
      </c>
      <c r="AB893" s="15" t="str">
        <f>IF(X893="","",IFERROR(INDEX($AR$11:$AR$4010,MATCH(883,$AY$11:$AY$4010,0)),""))</f>
        <v/>
      </c>
      <c r="AD893" s="16" t="str">
        <f>IF(AE893="","",IFERROR(INDEX($AL$11:$AL$4010,MATCH(883,$AZ$11:$AZ$4010,0)),""))</f>
        <v/>
      </c>
      <c r="AE893" s="12" t="str">
        <f>IFERROR(INDEX($AM$11:$AM$4010,MATCH(883,$AZ$11:$AZ$4010,0)),"")</f>
        <v/>
      </c>
      <c r="AF893" s="11" t="str">
        <f>IF(AE893="","",IFERROR(INDEX($AN$11:$AN$4010,MATCH(883,$AZ$11:$AZ$4010,0)),""))</f>
        <v/>
      </c>
      <c r="AG893" s="11" t="str">
        <f>IF(AE893="","",IFERROR(INDEX($AO$11:$AO$4010,MATCH(883,$AZ$11:$AZ$4010,0)),""))</f>
        <v/>
      </c>
      <c r="AH893" s="10" t="str">
        <f>IF(AE893="","",IFERROR(INDEX($AQ$11:$AQ$4010,MATCH(883,$AZ$11:$AZ$4010,0)),""))</f>
        <v/>
      </c>
      <c r="AI893" s="15" t="str">
        <f>IF(AE893="","",IFERROR(INDEX($AR$11:$AR$4010,MATCH(883,$AZ$11:$AZ$4010,0)),""))</f>
        <v/>
      </c>
      <c r="AJ893" s="15" t="str">
        <f>IF(AE893="","",IFERROR(INDEX($AT$11:$AT$4010,MATCH(883,$AZ$11:$AZ$4010,0)),""))</f>
        <v/>
      </c>
      <c r="AL893" s="17"/>
      <c r="AM893" s="12"/>
      <c r="AN893" s="18"/>
      <c r="AO893" s="18"/>
      <c r="AP893" s="10"/>
      <c r="AQ893" s="10"/>
      <c r="AR893" s="19"/>
      <c r="AS893" s="20"/>
      <c r="AT893" s="19"/>
      <c r="AV893" s="21">
        <f>IF(AND($AL893&lt;&gt;"",COUNTIF($AL$11:$AL893,$AL893)=1),1,0)</f>
        <v>0</v>
      </c>
      <c r="AW893" s="21">
        <f t="shared" si="113"/>
        <v>2</v>
      </c>
      <c r="AX893" s="21" t="str">
        <f t="shared" si="112"/>
        <v/>
      </c>
      <c r="AY893" s="21" t="str">
        <f>IF(AND($AM893&lt;&gt;"",$AS893&lt;&gt;"✓"),SUMPRODUCT(($AM$11:$AM893&lt;&gt;"")*($AS$11:$AS893&lt;&gt;"✓")),"")</f>
        <v/>
      </c>
      <c r="AZ893" s="21" t="str">
        <f>IF(AND($AM893&lt;&gt;"",$AS893="✓"),SUMPRODUCT(($AM$11:$AM893&lt;&gt;"")*($AS$11:$AS893="✓")),"")</f>
        <v/>
      </c>
      <c r="BA893" s="21" t="str">
        <f>IF($AL893="","",$AL893&amp;"|"&amp;COUNTIF($AL$11:$AL893,$AL893))</f>
        <v/>
      </c>
    </row>
    <row r="894" spans="23:53" ht="15" customHeight="1" x14ac:dyDescent="0.25">
      <c r="W894" s="28" t="str">
        <f>IF(X894="","",IFERROR(INDEX($AL$11:$AL$4010,MATCH(884,$AY$11:$AY$4010,0)),""))</f>
        <v/>
      </c>
      <c r="X894" s="26" t="str">
        <f>IFERROR(INDEX($AM$11:$AM$4010,MATCH(884,$AY$11:$AY$4010,0)),"")</f>
        <v/>
      </c>
      <c r="Y894" s="25" t="str">
        <f>IF(X894="","",IFERROR(INDEX($AN$11:$AN$4010,MATCH(884,$AY$11:$AY$4010,0)),""))</f>
        <v/>
      </c>
      <c r="Z894" s="25" t="str">
        <f>IF(X894="","",IFERROR(INDEX($AO$11:$AO$4010,MATCH(884,$AY$11:$AY$4010,0)),""))</f>
        <v/>
      </c>
      <c r="AA894" s="24" t="str">
        <f>IF(X894="","",IFERROR(INDEX($AQ$11:$AQ$4010,MATCH(884,$AY$11:$AY$4010,0)),""))</f>
        <v/>
      </c>
      <c r="AB894" s="29" t="str">
        <f>IF(X894="","",IFERROR(INDEX($AR$11:$AR$4010,MATCH(884,$AY$11:$AY$4010,0)),""))</f>
        <v/>
      </c>
      <c r="AD894" s="30" t="str">
        <f>IF(AE894="","",IFERROR(INDEX($AL$11:$AL$4010,MATCH(884,$AZ$11:$AZ$4010,0)),""))</f>
        <v/>
      </c>
      <c r="AE894" s="26" t="str">
        <f>IFERROR(INDEX($AM$11:$AM$4010,MATCH(884,$AZ$11:$AZ$4010,0)),"")</f>
        <v/>
      </c>
      <c r="AF894" s="25" t="str">
        <f>IF(AE894="","",IFERROR(INDEX($AN$11:$AN$4010,MATCH(884,$AZ$11:$AZ$4010,0)),""))</f>
        <v/>
      </c>
      <c r="AG894" s="25" t="str">
        <f>IF(AE894="","",IFERROR(INDEX($AO$11:$AO$4010,MATCH(884,$AZ$11:$AZ$4010,0)),""))</f>
        <v/>
      </c>
      <c r="AH894" s="24" t="str">
        <f>IF(AE894="","",IFERROR(INDEX($AQ$11:$AQ$4010,MATCH(884,$AZ$11:$AZ$4010,0)),""))</f>
        <v/>
      </c>
      <c r="AI894" s="29" t="str">
        <f>IF(AE894="","",IFERROR(INDEX($AR$11:$AR$4010,MATCH(884,$AZ$11:$AZ$4010,0)),""))</f>
        <v/>
      </c>
      <c r="AJ894" s="29" t="str">
        <f>IF(AE894="","",IFERROR(INDEX($AT$11:$AT$4010,MATCH(884,$AZ$11:$AZ$4010,0)),""))</f>
        <v/>
      </c>
      <c r="AL894" s="31"/>
      <c r="AM894" s="26"/>
      <c r="AN894" s="32"/>
      <c r="AO894" s="32"/>
      <c r="AP894" s="24"/>
      <c r="AQ894" s="24"/>
      <c r="AR894" s="33"/>
      <c r="AS894" s="34"/>
      <c r="AT894" s="33"/>
      <c r="AV894" s="21">
        <f>IF(AND($AL894&lt;&gt;"",COUNTIF($AL$11:$AL894,$AL894)=1),1,0)</f>
        <v>0</v>
      </c>
      <c r="AW894" s="21">
        <f t="shared" si="113"/>
        <v>2</v>
      </c>
      <c r="AX894" s="21" t="str">
        <f t="shared" si="112"/>
        <v/>
      </c>
      <c r="AY894" s="21" t="str">
        <f>IF(AND($AM894&lt;&gt;"",$AS894&lt;&gt;"✓"),SUMPRODUCT(($AM$11:$AM894&lt;&gt;"")*($AS$11:$AS894&lt;&gt;"✓")),"")</f>
        <v/>
      </c>
      <c r="AZ894" s="21" t="str">
        <f>IF(AND($AM894&lt;&gt;"",$AS894="✓"),SUMPRODUCT(($AM$11:$AM894&lt;&gt;"")*($AS$11:$AS894="✓")),"")</f>
        <v/>
      </c>
      <c r="BA894" s="21" t="str">
        <f>IF($AL894="","",$AL894&amp;"|"&amp;COUNTIF($AL$11:$AL894,$AL894))</f>
        <v/>
      </c>
    </row>
    <row r="895" spans="23:53" ht="15" customHeight="1" x14ac:dyDescent="0.25">
      <c r="W895" s="14" t="str">
        <f>IF(X895="","",IFERROR(INDEX($AL$11:$AL$4010,MATCH(885,$AY$11:$AY$4010,0)),""))</f>
        <v/>
      </c>
      <c r="X895" s="12" t="str">
        <f>IFERROR(INDEX($AM$11:$AM$4010,MATCH(885,$AY$11:$AY$4010,0)),"")</f>
        <v/>
      </c>
      <c r="Y895" s="11" t="str">
        <f>IF(X895="","",IFERROR(INDEX($AN$11:$AN$4010,MATCH(885,$AY$11:$AY$4010,0)),""))</f>
        <v/>
      </c>
      <c r="Z895" s="11" t="str">
        <f>IF(X895="","",IFERROR(INDEX($AO$11:$AO$4010,MATCH(885,$AY$11:$AY$4010,0)),""))</f>
        <v/>
      </c>
      <c r="AA895" s="10" t="str">
        <f>IF(X895="","",IFERROR(INDEX($AQ$11:$AQ$4010,MATCH(885,$AY$11:$AY$4010,0)),""))</f>
        <v/>
      </c>
      <c r="AB895" s="15" t="str">
        <f>IF(X895="","",IFERROR(INDEX($AR$11:$AR$4010,MATCH(885,$AY$11:$AY$4010,0)),""))</f>
        <v/>
      </c>
      <c r="AD895" s="16" t="str">
        <f>IF(AE895="","",IFERROR(INDEX($AL$11:$AL$4010,MATCH(885,$AZ$11:$AZ$4010,0)),""))</f>
        <v/>
      </c>
      <c r="AE895" s="12" t="str">
        <f>IFERROR(INDEX($AM$11:$AM$4010,MATCH(885,$AZ$11:$AZ$4010,0)),"")</f>
        <v/>
      </c>
      <c r="AF895" s="11" t="str">
        <f>IF(AE895="","",IFERROR(INDEX($AN$11:$AN$4010,MATCH(885,$AZ$11:$AZ$4010,0)),""))</f>
        <v/>
      </c>
      <c r="AG895" s="11" t="str">
        <f>IF(AE895="","",IFERROR(INDEX($AO$11:$AO$4010,MATCH(885,$AZ$11:$AZ$4010,0)),""))</f>
        <v/>
      </c>
      <c r="AH895" s="10" t="str">
        <f>IF(AE895="","",IFERROR(INDEX($AQ$11:$AQ$4010,MATCH(885,$AZ$11:$AZ$4010,0)),""))</f>
        <v/>
      </c>
      <c r="AI895" s="15" t="str">
        <f>IF(AE895="","",IFERROR(INDEX($AR$11:$AR$4010,MATCH(885,$AZ$11:$AZ$4010,0)),""))</f>
        <v/>
      </c>
      <c r="AJ895" s="15" t="str">
        <f>IF(AE895="","",IFERROR(INDEX($AT$11:$AT$4010,MATCH(885,$AZ$11:$AZ$4010,0)),""))</f>
        <v/>
      </c>
      <c r="AL895" s="17"/>
      <c r="AM895" s="12"/>
      <c r="AN895" s="18"/>
      <c r="AO895" s="18"/>
      <c r="AP895" s="10"/>
      <c r="AQ895" s="10"/>
      <c r="AR895" s="19"/>
      <c r="AS895" s="20"/>
      <c r="AT895" s="19"/>
      <c r="AV895" s="21">
        <f>IF(AND($AL895&lt;&gt;"",COUNTIF($AL$11:$AL895,$AL895)=1),1,0)</f>
        <v>0</v>
      </c>
      <c r="AW895" s="21">
        <f t="shared" si="113"/>
        <v>2</v>
      </c>
      <c r="AX895" s="21" t="str">
        <f t="shared" si="112"/>
        <v/>
      </c>
      <c r="AY895" s="21" t="str">
        <f>IF(AND($AM895&lt;&gt;"",$AS895&lt;&gt;"✓"),SUMPRODUCT(($AM$11:$AM895&lt;&gt;"")*($AS$11:$AS895&lt;&gt;"✓")),"")</f>
        <v/>
      </c>
      <c r="AZ895" s="21" t="str">
        <f>IF(AND($AM895&lt;&gt;"",$AS895="✓"),SUMPRODUCT(($AM$11:$AM895&lt;&gt;"")*($AS$11:$AS895="✓")),"")</f>
        <v/>
      </c>
      <c r="BA895" s="21" t="str">
        <f>IF($AL895="","",$AL895&amp;"|"&amp;COUNTIF($AL$11:$AL895,$AL895))</f>
        <v/>
      </c>
    </row>
    <row r="896" spans="23:53" ht="15" customHeight="1" x14ac:dyDescent="0.25">
      <c r="W896" s="28" t="str">
        <f>IF(X896="","",IFERROR(INDEX($AL$11:$AL$4010,MATCH(886,$AY$11:$AY$4010,0)),""))</f>
        <v/>
      </c>
      <c r="X896" s="26" t="str">
        <f>IFERROR(INDEX($AM$11:$AM$4010,MATCH(886,$AY$11:$AY$4010,0)),"")</f>
        <v/>
      </c>
      <c r="Y896" s="25" t="str">
        <f>IF(X896="","",IFERROR(INDEX($AN$11:$AN$4010,MATCH(886,$AY$11:$AY$4010,0)),""))</f>
        <v/>
      </c>
      <c r="Z896" s="25" t="str">
        <f>IF(X896="","",IFERROR(INDEX($AO$11:$AO$4010,MATCH(886,$AY$11:$AY$4010,0)),""))</f>
        <v/>
      </c>
      <c r="AA896" s="24" t="str">
        <f>IF(X896="","",IFERROR(INDEX($AQ$11:$AQ$4010,MATCH(886,$AY$11:$AY$4010,0)),""))</f>
        <v/>
      </c>
      <c r="AB896" s="29" t="str">
        <f>IF(X896="","",IFERROR(INDEX($AR$11:$AR$4010,MATCH(886,$AY$11:$AY$4010,0)),""))</f>
        <v/>
      </c>
      <c r="AD896" s="30" t="str">
        <f>IF(AE896="","",IFERROR(INDEX($AL$11:$AL$4010,MATCH(886,$AZ$11:$AZ$4010,0)),""))</f>
        <v/>
      </c>
      <c r="AE896" s="26" t="str">
        <f>IFERROR(INDEX($AM$11:$AM$4010,MATCH(886,$AZ$11:$AZ$4010,0)),"")</f>
        <v/>
      </c>
      <c r="AF896" s="25" t="str">
        <f>IF(AE896="","",IFERROR(INDEX($AN$11:$AN$4010,MATCH(886,$AZ$11:$AZ$4010,0)),""))</f>
        <v/>
      </c>
      <c r="AG896" s="25" t="str">
        <f>IF(AE896="","",IFERROR(INDEX($AO$11:$AO$4010,MATCH(886,$AZ$11:$AZ$4010,0)),""))</f>
        <v/>
      </c>
      <c r="AH896" s="24" t="str">
        <f>IF(AE896="","",IFERROR(INDEX($AQ$11:$AQ$4010,MATCH(886,$AZ$11:$AZ$4010,0)),""))</f>
        <v/>
      </c>
      <c r="AI896" s="29" t="str">
        <f>IF(AE896="","",IFERROR(INDEX($AR$11:$AR$4010,MATCH(886,$AZ$11:$AZ$4010,0)),""))</f>
        <v/>
      </c>
      <c r="AJ896" s="29" t="str">
        <f>IF(AE896="","",IFERROR(INDEX($AT$11:$AT$4010,MATCH(886,$AZ$11:$AZ$4010,0)),""))</f>
        <v/>
      </c>
      <c r="AL896" s="31"/>
      <c r="AM896" s="26"/>
      <c r="AN896" s="32"/>
      <c r="AO896" s="32"/>
      <c r="AP896" s="24"/>
      <c r="AQ896" s="24"/>
      <c r="AR896" s="33"/>
      <c r="AS896" s="34"/>
      <c r="AT896" s="33"/>
      <c r="AV896" s="21">
        <f>IF(AND($AL896&lt;&gt;"",COUNTIF($AL$11:$AL896,$AL896)=1),1,0)</f>
        <v>0</v>
      </c>
      <c r="AW896" s="21">
        <f t="shared" si="113"/>
        <v>2</v>
      </c>
      <c r="AX896" s="21" t="str">
        <f t="shared" si="112"/>
        <v/>
      </c>
      <c r="AY896" s="21" t="str">
        <f>IF(AND($AM896&lt;&gt;"",$AS896&lt;&gt;"✓"),SUMPRODUCT(($AM$11:$AM896&lt;&gt;"")*($AS$11:$AS896&lt;&gt;"✓")),"")</f>
        <v/>
      </c>
      <c r="AZ896" s="21" t="str">
        <f>IF(AND($AM896&lt;&gt;"",$AS896="✓"),SUMPRODUCT(($AM$11:$AM896&lt;&gt;"")*($AS$11:$AS896="✓")),"")</f>
        <v/>
      </c>
      <c r="BA896" s="21" t="str">
        <f>IF($AL896="","",$AL896&amp;"|"&amp;COUNTIF($AL$11:$AL896,$AL896))</f>
        <v/>
      </c>
    </row>
    <row r="897" spans="23:53" ht="15" customHeight="1" x14ac:dyDescent="0.25">
      <c r="W897" s="14" t="str">
        <f>IF(X897="","",IFERROR(INDEX($AL$11:$AL$4010,MATCH(887,$AY$11:$AY$4010,0)),""))</f>
        <v/>
      </c>
      <c r="X897" s="12" t="str">
        <f>IFERROR(INDEX($AM$11:$AM$4010,MATCH(887,$AY$11:$AY$4010,0)),"")</f>
        <v/>
      </c>
      <c r="Y897" s="11" t="str">
        <f>IF(X897="","",IFERROR(INDEX($AN$11:$AN$4010,MATCH(887,$AY$11:$AY$4010,0)),""))</f>
        <v/>
      </c>
      <c r="Z897" s="11" t="str">
        <f>IF(X897="","",IFERROR(INDEX($AO$11:$AO$4010,MATCH(887,$AY$11:$AY$4010,0)),""))</f>
        <v/>
      </c>
      <c r="AA897" s="10" t="str">
        <f>IF(X897="","",IFERROR(INDEX($AQ$11:$AQ$4010,MATCH(887,$AY$11:$AY$4010,0)),""))</f>
        <v/>
      </c>
      <c r="AB897" s="15" t="str">
        <f>IF(X897="","",IFERROR(INDEX($AR$11:$AR$4010,MATCH(887,$AY$11:$AY$4010,0)),""))</f>
        <v/>
      </c>
      <c r="AD897" s="16" t="str">
        <f>IF(AE897="","",IFERROR(INDEX($AL$11:$AL$4010,MATCH(887,$AZ$11:$AZ$4010,0)),""))</f>
        <v/>
      </c>
      <c r="AE897" s="12" t="str">
        <f>IFERROR(INDEX($AM$11:$AM$4010,MATCH(887,$AZ$11:$AZ$4010,0)),"")</f>
        <v/>
      </c>
      <c r="AF897" s="11" t="str">
        <f>IF(AE897="","",IFERROR(INDEX($AN$11:$AN$4010,MATCH(887,$AZ$11:$AZ$4010,0)),""))</f>
        <v/>
      </c>
      <c r="AG897" s="11" t="str">
        <f>IF(AE897="","",IFERROR(INDEX($AO$11:$AO$4010,MATCH(887,$AZ$11:$AZ$4010,0)),""))</f>
        <v/>
      </c>
      <c r="AH897" s="10" t="str">
        <f>IF(AE897="","",IFERROR(INDEX($AQ$11:$AQ$4010,MATCH(887,$AZ$11:$AZ$4010,0)),""))</f>
        <v/>
      </c>
      <c r="AI897" s="15" t="str">
        <f>IF(AE897="","",IFERROR(INDEX($AR$11:$AR$4010,MATCH(887,$AZ$11:$AZ$4010,0)),""))</f>
        <v/>
      </c>
      <c r="AJ897" s="15" t="str">
        <f>IF(AE897="","",IFERROR(INDEX($AT$11:$AT$4010,MATCH(887,$AZ$11:$AZ$4010,0)),""))</f>
        <v/>
      </c>
      <c r="AL897" s="17"/>
      <c r="AM897" s="12"/>
      <c r="AN897" s="18"/>
      <c r="AO897" s="18"/>
      <c r="AP897" s="10"/>
      <c r="AQ897" s="10"/>
      <c r="AR897" s="19"/>
      <c r="AS897" s="20"/>
      <c r="AT897" s="19"/>
      <c r="AV897" s="21">
        <f>IF(AND($AL897&lt;&gt;"",COUNTIF($AL$11:$AL897,$AL897)=1),1,0)</f>
        <v>0</v>
      </c>
      <c r="AW897" s="21">
        <f t="shared" si="113"/>
        <v>2</v>
      </c>
      <c r="AX897" s="21" t="str">
        <f t="shared" si="112"/>
        <v/>
      </c>
      <c r="AY897" s="21" t="str">
        <f>IF(AND($AM897&lt;&gt;"",$AS897&lt;&gt;"✓"),SUMPRODUCT(($AM$11:$AM897&lt;&gt;"")*($AS$11:$AS897&lt;&gt;"✓")),"")</f>
        <v/>
      </c>
      <c r="AZ897" s="21" t="str">
        <f>IF(AND($AM897&lt;&gt;"",$AS897="✓"),SUMPRODUCT(($AM$11:$AM897&lt;&gt;"")*($AS$11:$AS897="✓")),"")</f>
        <v/>
      </c>
      <c r="BA897" s="21" t="str">
        <f>IF($AL897="","",$AL897&amp;"|"&amp;COUNTIF($AL$11:$AL897,$AL897))</f>
        <v/>
      </c>
    </row>
    <row r="898" spans="23:53" ht="15" customHeight="1" x14ac:dyDescent="0.25">
      <c r="W898" s="28" t="str">
        <f>IF(X898="","",IFERROR(INDEX($AL$11:$AL$4010,MATCH(888,$AY$11:$AY$4010,0)),""))</f>
        <v/>
      </c>
      <c r="X898" s="26" t="str">
        <f>IFERROR(INDEX($AM$11:$AM$4010,MATCH(888,$AY$11:$AY$4010,0)),"")</f>
        <v/>
      </c>
      <c r="Y898" s="25" t="str">
        <f>IF(X898="","",IFERROR(INDEX($AN$11:$AN$4010,MATCH(888,$AY$11:$AY$4010,0)),""))</f>
        <v/>
      </c>
      <c r="Z898" s="25" t="str">
        <f>IF(X898="","",IFERROR(INDEX($AO$11:$AO$4010,MATCH(888,$AY$11:$AY$4010,0)),""))</f>
        <v/>
      </c>
      <c r="AA898" s="24" t="str">
        <f>IF(X898="","",IFERROR(INDEX($AQ$11:$AQ$4010,MATCH(888,$AY$11:$AY$4010,0)),""))</f>
        <v/>
      </c>
      <c r="AB898" s="29" t="str">
        <f>IF(X898="","",IFERROR(INDEX($AR$11:$AR$4010,MATCH(888,$AY$11:$AY$4010,0)),""))</f>
        <v/>
      </c>
      <c r="AD898" s="30" t="str">
        <f>IF(AE898="","",IFERROR(INDEX($AL$11:$AL$4010,MATCH(888,$AZ$11:$AZ$4010,0)),""))</f>
        <v/>
      </c>
      <c r="AE898" s="26" t="str">
        <f>IFERROR(INDEX($AM$11:$AM$4010,MATCH(888,$AZ$11:$AZ$4010,0)),"")</f>
        <v/>
      </c>
      <c r="AF898" s="25" t="str">
        <f>IF(AE898="","",IFERROR(INDEX($AN$11:$AN$4010,MATCH(888,$AZ$11:$AZ$4010,0)),""))</f>
        <v/>
      </c>
      <c r="AG898" s="25" t="str">
        <f>IF(AE898="","",IFERROR(INDEX($AO$11:$AO$4010,MATCH(888,$AZ$11:$AZ$4010,0)),""))</f>
        <v/>
      </c>
      <c r="AH898" s="24" t="str">
        <f>IF(AE898="","",IFERROR(INDEX($AQ$11:$AQ$4010,MATCH(888,$AZ$11:$AZ$4010,0)),""))</f>
        <v/>
      </c>
      <c r="AI898" s="29" t="str">
        <f>IF(AE898="","",IFERROR(INDEX($AR$11:$AR$4010,MATCH(888,$AZ$11:$AZ$4010,0)),""))</f>
        <v/>
      </c>
      <c r="AJ898" s="29" t="str">
        <f>IF(AE898="","",IFERROR(INDEX($AT$11:$AT$4010,MATCH(888,$AZ$11:$AZ$4010,0)),""))</f>
        <v/>
      </c>
      <c r="AL898" s="31"/>
      <c r="AM898" s="26"/>
      <c r="AN898" s="32"/>
      <c r="AO898" s="32"/>
      <c r="AP898" s="24"/>
      <c r="AQ898" s="24"/>
      <c r="AR898" s="33"/>
      <c r="AS898" s="34"/>
      <c r="AT898" s="33"/>
      <c r="AV898" s="21">
        <f>IF(AND($AL898&lt;&gt;"",COUNTIF($AL$11:$AL898,$AL898)=1),1,0)</f>
        <v>0</v>
      </c>
      <c r="AW898" s="21">
        <f t="shared" si="113"/>
        <v>2</v>
      </c>
      <c r="AX898" s="21" t="str">
        <f t="shared" si="112"/>
        <v/>
      </c>
      <c r="AY898" s="21" t="str">
        <f>IF(AND($AM898&lt;&gt;"",$AS898&lt;&gt;"✓"),SUMPRODUCT(($AM$11:$AM898&lt;&gt;"")*($AS$11:$AS898&lt;&gt;"✓")),"")</f>
        <v/>
      </c>
      <c r="AZ898" s="21" t="str">
        <f>IF(AND($AM898&lt;&gt;"",$AS898="✓"),SUMPRODUCT(($AM$11:$AM898&lt;&gt;"")*($AS$11:$AS898="✓")),"")</f>
        <v/>
      </c>
      <c r="BA898" s="21" t="str">
        <f>IF($AL898="","",$AL898&amp;"|"&amp;COUNTIF($AL$11:$AL898,$AL898))</f>
        <v/>
      </c>
    </row>
    <row r="899" spans="23:53" ht="15" customHeight="1" x14ac:dyDescent="0.25">
      <c r="W899" s="14" t="str">
        <f>IF(X899="","",IFERROR(INDEX($AL$11:$AL$4010,MATCH(889,$AY$11:$AY$4010,0)),""))</f>
        <v/>
      </c>
      <c r="X899" s="12" t="str">
        <f>IFERROR(INDEX($AM$11:$AM$4010,MATCH(889,$AY$11:$AY$4010,0)),"")</f>
        <v/>
      </c>
      <c r="Y899" s="11" t="str">
        <f>IF(X899="","",IFERROR(INDEX($AN$11:$AN$4010,MATCH(889,$AY$11:$AY$4010,0)),""))</f>
        <v/>
      </c>
      <c r="Z899" s="11" t="str">
        <f>IF(X899="","",IFERROR(INDEX($AO$11:$AO$4010,MATCH(889,$AY$11:$AY$4010,0)),""))</f>
        <v/>
      </c>
      <c r="AA899" s="10" t="str">
        <f>IF(X899="","",IFERROR(INDEX($AQ$11:$AQ$4010,MATCH(889,$AY$11:$AY$4010,0)),""))</f>
        <v/>
      </c>
      <c r="AB899" s="15" t="str">
        <f>IF(X899="","",IFERROR(INDEX($AR$11:$AR$4010,MATCH(889,$AY$11:$AY$4010,0)),""))</f>
        <v/>
      </c>
      <c r="AD899" s="16" t="str">
        <f>IF(AE899="","",IFERROR(INDEX($AL$11:$AL$4010,MATCH(889,$AZ$11:$AZ$4010,0)),""))</f>
        <v/>
      </c>
      <c r="AE899" s="12" t="str">
        <f>IFERROR(INDEX($AM$11:$AM$4010,MATCH(889,$AZ$11:$AZ$4010,0)),"")</f>
        <v/>
      </c>
      <c r="AF899" s="11" t="str">
        <f>IF(AE899="","",IFERROR(INDEX($AN$11:$AN$4010,MATCH(889,$AZ$11:$AZ$4010,0)),""))</f>
        <v/>
      </c>
      <c r="AG899" s="11" t="str">
        <f>IF(AE899="","",IFERROR(INDEX($AO$11:$AO$4010,MATCH(889,$AZ$11:$AZ$4010,0)),""))</f>
        <v/>
      </c>
      <c r="AH899" s="10" t="str">
        <f>IF(AE899="","",IFERROR(INDEX($AQ$11:$AQ$4010,MATCH(889,$AZ$11:$AZ$4010,0)),""))</f>
        <v/>
      </c>
      <c r="AI899" s="15" t="str">
        <f>IF(AE899="","",IFERROR(INDEX($AR$11:$AR$4010,MATCH(889,$AZ$11:$AZ$4010,0)),""))</f>
        <v/>
      </c>
      <c r="AJ899" s="15" t="str">
        <f>IF(AE899="","",IFERROR(INDEX($AT$11:$AT$4010,MATCH(889,$AZ$11:$AZ$4010,0)),""))</f>
        <v/>
      </c>
      <c r="AL899" s="17"/>
      <c r="AM899" s="12"/>
      <c r="AN899" s="18"/>
      <c r="AO899" s="18"/>
      <c r="AP899" s="10"/>
      <c r="AQ899" s="10"/>
      <c r="AR899" s="19"/>
      <c r="AS899" s="20"/>
      <c r="AT899" s="19"/>
      <c r="AV899" s="21">
        <f>IF(AND($AL899&lt;&gt;"",COUNTIF($AL$11:$AL899,$AL899)=1),1,0)</f>
        <v>0</v>
      </c>
      <c r="AW899" s="21">
        <f t="shared" si="113"/>
        <v>2</v>
      </c>
      <c r="AX899" s="21" t="str">
        <f t="shared" si="112"/>
        <v/>
      </c>
      <c r="AY899" s="21" t="str">
        <f>IF(AND($AM899&lt;&gt;"",$AS899&lt;&gt;"✓"),SUMPRODUCT(($AM$11:$AM899&lt;&gt;"")*($AS$11:$AS899&lt;&gt;"✓")),"")</f>
        <v/>
      </c>
      <c r="AZ899" s="21" t="str">
        <f>IF(AND($AM899&lt;&gt;"",$AS899="✓"),SUMPRODUCT(($AM$11:$AM899&lt;&gt;"")*($AS$11:$AS899="✓")),"")</f>
        <v/>
      </c>
      <c r="BA899" s="21" t="str">
        <f>IF($AL899="","",$AL899&amp;"|"&amp;COUNTIF($AL$11:$AL899,$AL899))</f>
        <v/>
      </c>
    </row>
    <row r="900" spans="23:53" ht="15" customHeight="1" x14ac:dyDescent="0.25">
      <c r="W900" s="28" t="str">
        <f>IF(X900="","",IFERROR(INDEX($AL$11:$AL$4010,MATCH(890,$AY$11:$AY$4010,0)),""))</f>
        <v/>
      </c>
      <c r="X900" s="26" t="str">
        <f>IFERROR(INDEX($AM$11:$AM$4010,MATCH(890,$AY$11:$AY$4010,0)),"")</f>
        <v/>
      </c>
      <c r="Y900" s="25" t="str">
        <f>IF(X900="","",IFERROR(INDEX($AN$11:$AN$4010,MATCH(890,$AY$11:$AY$4010,0)),""))</f>
        <v/>
      </c>
      <c r="Z900" s="25" t="str">
        <f>IF(X900="","",IFERROR(INDEX($AO$11:$AO$4010,MATCH(890,$AY$11:$AY$4010,0)),""))</f>
        <v/>
      </c>
      <c r="AA900" s="24" t="str">
        <f>IF(X900="","",IFERROR(INDEX($AQ$11:$AQ$4010,MATCH(890,$AY$11:$AY$4010,0)),""))</f>
        <v/>
      </c>
      <c r="AB900" s="29" t="str">
        <f>IF(X900="","",IFERROR(INDEX($AR$11:$AR$4010,MATCH(890,$AY$11:$AY$4010,0)),""))</f>
        <v/>
      </c>
      <c r="AD900" s="30" t="str">
        <f>IF(AE900="","",IFERROR(INDEX($AL$11:$AL$4010,MATCH(890,$AZ$11:$AZ$4010,0)),""))</f>
        <v/>
      </c>
      <c r="AE900" s="26" t="str">
        <f>IFERROR(INDEX($AM$11:$AM$4010,MATCH(890,$AZ$11:$AZ$4010,0)),"")</f>
        <v/>
      </c>
      <c r="AF900" s="25" t="str">
        <f>IF(AE900="","",IFERROR(INDEX($AN$11:$AN$4010,MATCH(890,$AZ$11:$AZ$4010,0)),""))</f>
        <v/>
      </c>
      <c r="AG900" s="25" t="str">
        <f>IF(AE900="","",IFERROR(INDEX($AO$11:$AO$4010,MATCH(890,$AZ$11:$AZ$4010,0)),""))</f>
        <v/>
      </c>
      <c r="AH900" s="24" t="str">
        <f>IF(AE900="","",IFERROR(INDEX($AQ$11:$AQ$4010,MATCH(890,$AZ$11:$AZ$4010,0)),""))</f>
        <v/>
      </c>
      <c r="AI900" s="29" t="str">
        <f>IF(AE900="","",IFERROR(INDEX($AR$11:$AR$4010,MATCH(890,$AZ$11:$AZ$4010,0)),""))</f>
        <v/>
      </c>
      <c r="AJ900" s="29" t="str">
        <f>IF(AE900="","",IFERROR(INDEX($AT$11:$AT$4010,MATCH(890,$AZ$11:$AZ$4010,0)),""))</f>
        <v/>
      </c>
      <c r="AL900" s="31"/>
      <c r="AM900" s="26"/>
      <c r="AN900" s="32"/>
      <c r="AO900" s="32"/>
      <c r="AP900" s="24"/>
      <c r="AQ900" s="24"/>
      <c r="AR900" s="33"/>
      <c r="AS900" s="34"/>
      <c r="AT900" s="33"/>
      <c r="AV900" s="21">
        <f>IF(AND($AL900&lt;&gt;"",COUNTIF($AL$11:$AL900,$AL900)=1),1,0)</f>
        <v>0</v>
      </c>
      <c r="AW900" s="21">
        <f t="shared" si="113"/>
        <v>2</v>
      </c>
      <c r="AX900" s="21" t="str">
        <f t="shared" si="112"/>
        <v/>
      </c>
      <c r="AY900" s="21" t="str">
        <f>IF(AND($AM900&lt;&gt;"",$AS900&lt;&gt;"✓"),SUMPRODUCT(($AM$11:$AM900&lt;&gt;"")*($AS$11:$AS900&lt;&gt;"✓")),"")</f>
        <v/>
      </c>
      <c r="AZ900" s="21" t="str">
        <f>IF(AND($AM900&lt;&gt;"",$AS900="✓"),SUMPRODUCT(($AM$11:$AM900&lt;&gt;"")*($AS$11:$AS900="✓")),"")</f>
        <v/>
      </c>
      <c r="BA900" s="21" t="str">
        <f>IF($AL900="","",$AL900&amp;"|"&amp;COUNTIF($AL$11:$AL900,$AL900))</f>
        <v/>
      </c>
    </row>
    <row r="901" spans="23:53" ht="15" customHeight="1" x14ac:dyDescent="0.25">
      <c r="W901" s="14" t="str">
        <f>IF(X901="","",IFERROR(INDEX($AL$11:$AL$4010,MATCH(891,$AY$11:$AY$4010,0)),""))</f>
        <v/>
      </c>
      <c r="X901" s="12" t="str">
        <f>IFERROR(INDEX($AM$11:$AM$4010,MATCH(891,$AY$11:$AY$4010,0)),"")</f>
        <v/>
      </c>
      <c r="Y901" s="11" t="str">
        <f>IF(X901="","",IFERROR(INDEX($AN$11:$AN$4010,MATCH(891,$AY$11:$AY$4010,0)),""))</f>
        <v/>
      </c>
      <c r="Z901" s="11" t="str">
        <f>IF(X901="","",IFERROR(INDEX($AO$11:$AO$4010,MATCH(891,$AY$11:$AY$4010,0)),""))</f>
        <v/>
      </c>
      <c r="AA901" s="10" t="str">
        <f>IF(X901="","",IFERROR(INDEX($AQ$11:$AQ$4010,MATCH(891,$AY$11:$AY$4010,0)),""))</f>
        <v/>
      </c>
      <c r="AB901" s="15" t="str">
        <f>IF(X901="","",IFERROR(INDEX($AR$11:$AR$4010,MATCH(891,$AY$11:$AY$4010,0)),""))</f>
        <v/>
      </c>
      <c r="AD901" s="16" t="str">
        <f>IF(AE901="","",IFERROR(INDEX($AL$11:$AL$4010,MATCH(891,$AZ$11:$AZ$4010,0)),""))</f>
        <v/>
      </c>
      <c r="AE901" s="12" t="str">
        <f>IFERROR(INDEX($AM$11:$AM$4010,MATCH(891,$AZ$11:$AZ$4010,0)),"")</f>
        <v/>
      </c>
      <c r="AF901" s="11" t="str">
        <f>IF(AE901="","",IFERROR(INDEX($AN$11:$AN$4010,MATCH(891,$AZ$11:$AZ$4010,0)),""))</f>
        <v/>
      </c>
      <c r="AG901" s="11" t="str">
        <f>IF(AE901="","",IFERROR(INDEX($AO$11:$AO$4010,MATCH(891,$AZ$11:$AZ$4010,0)),""))</f>
        <v/>
      </c>
      <c r="AH901" s="10" t="str">
        <f>IF(AE901="","",IFERROR(INDEX($AQ$11:$AQ$4010,MATCH(891,$AZ$11:$AZ$4010,0)),""))</f>
        <v/>
      </c>
      <c r="AI901" s="15" t="str">
        <f>IF(AE901="","",IFERROR(INDEX($AR$11:$AR$4010,MATCH(891,$AZ$11:$AZ$4010,0)),""))</f>
        <v/>
      </c>
      <c r="AJ901" s="15" t="str">
        <f>IF(AE901="","",IFERROR(INDEX($AT$11:$AT$4010,MATCH(891,$AZ$11:$AZ$4010,0)),""))</f>
        <v/>
      </c>
      <c r="AL901" s="17"/>
      <c r="AM901" s="12"/>
      <c r="AN901" s="18"/>
      <c r="AO901" s="18"/>
      <c r="AP901" s="10"/>
      <c r="AQ901" s="10"/>
      <c r="AR901" s="19"/>
      <c r="AS901" s="20"/>
      <c r="AT901" s="19"/>
      <c r="AV901" s="21">
        <f>IF(AND($AL901&lt;&gt;"",COUNTIF($AL$11:$AL901,$AL901)=1),1,0)</f>
        <v>0</v>
      </c>
      <c r="AW901" s="21">
        <f t="shared" si="113"/>
        <v>2</v>
      </c>
      <c r="AX901" s="21" t="str">
        <f t="shared" si="112"/>
        <v/>
      </c>
      <c r="AY901" s="21" t="str">
        <f>IF(AND($AM901&lt;&gt;"",$AS901&lt;&gt;"✓"),SUMPRODUCT(($AM$11:$AM901&lt;&gt;"")*($AS$11:$AS901&lt;&gt;"✓")),"")</f>
        <v/>
      </c>
      <c r="AZ901" s="21" t="str">
        <f>IF(AND($AM901&lt;&gt;"",$AS901="✓"),SUMPRODUCT(($AM$11:$AM901&lt;&gt;"")*($AS$11:$AS901="✓")),"")</f>
        <v/>
      </c>
      <c r="BA901" s="21" t="str">
        <f>IF($AL901="","",$AL901&amp;"|"&amp;COUNTIF($AL$11:$AL901,$AL901))</f>
        <v/>
      </c>
    </row>
    <row r="902" spans="23:53" ht="15" customHeight="1" x14ac:dyDescent="0.25">
      <c r="W902" s="28" t="str">
        <f>IF(X902="","",IFERROR(INDEX($AL$11:$AL$4010,MATCH(892,$AY$11:$AY$4010,0)),""))</f>
        <v/>
      </c>
      <c r="X902" s="26" t="str">
        <f>IFERROR(INDEX($AM$11:$AM$4010,MATCH(892,$AY$11:$AY$4010,0)),"")</f>
        <v/>
      </c>
      <c r="Y902" s="25" t="str">
        <f>IF(X902="","",IFERROR(INDEX($AN$11:$AN$4010,MATCH(892,$AY$11:$AY$4010,0)),""))</f>
        <v/>
      </c>
      <c r="Z902" s="25" t="str">
        <f>IF(X902="","",IFERROR(INDEX($AO$11:$AO$4010,MATCH(892,$AY$11:$AY$4010,0)),""))</f>
        <v/>
      </c>
      <c r="AA902" s="24" t="str">
        <f>IF(X902="","",IFERROR(INDEX($AQ$11:$AQ$4010,MATCH(892,$AY$11:$AY$4010,0)),""))</f>
        <v/>
      </c>
      <c r="AB902" s="29" t="str">
        <f>IF(X902="","",IFERROR(INDEX($AR$11:$AR$4010,MATCH(892,$AY$11:$AY$4010,0)),""))</f>
        <v/>
      </c>
      <c r="AD902" s="30" t="str">
        <f>IF(AE902="","",IFERROR(INDEX($AL$11:$AL$4010,MATCH(892,$AZ$11:$AZ$4010,0)),""))</f>
        <v/>
      </c>
      <c r="AE902" s="26" t="str">
        <f>IFERROR(INDEX($AM$11:$AM$4010,MATCH(892,$AZ$11:$AZ$4010,0)),"")</f>
        <v/>
      </c>
      <c r="AF902" s="25" t="str">
        <f>IF(AE902="","",IFERROR(INDEX($AN$11:$AN$4010,MATCH(892,$AZ$11:$AZ$4010,0)),""))</f>
        <v/>
      </c>
      <c r="AG902" s="25" t="str">
        <f>IF(AE902="","",IFERROR(INDEX($AO$11:$AO$4010,MATCH(892,$AZ$11:$AZ$4010,0)),""))</f>
        <v/>
      </c>
      <c r="AH902" s="24" t="str">
        <f>IF(AE902="","",IFERROR(INDEX($AQ$11:$AQ$4010,MATCH(892,$AZ$11:$AZ$4010,0)),""))</f>
        <v/>
      </c>
      <c r="AI902" s="29" t="str">
        <f>IF(AE902="","",IFERROR(INDEX($AR$11:$AR$4010,MATCH(892,$AZ$11:$AZ$4010,0)),""))</f>
        <v/>
      </c>
      <c r="AJ902" s="29" t="str">
        <f>IF(AE902="","",IFERROR(INDEX($AT$11:$AT$4010,MATCH(892,$AZ$11:$AZ$4010,0)),""))</f>
        <v/>
      </c>
      <c r="AL902" s="31"/>
      <c r="AM902" s="26"/>
      <c r="AN902" s="32"/>
      <c r="AO902" s="32"/>
      <c r="AP902" s="24"/>
      <c r="AQ902" s="24"/>
      <c r="AR902" s="33"/>
      <c r="AS902" s="34"/>
      <c r="AT902" s="33"/>
      <c r="AV902" s="21">
        <f>IF(AND($AL902&lt;&gt;"",COUNTIF($AL$11:$AL902,$AL902)=1),1,0)</f>
        <v>0</v>
      </c>
      <c r="AW902" s="21">
        <f t="shared" si="113"/>
        <v>2</v>
      </c>
      <c r="AX902" s="21" t="str">
        <f t="shared" si="112"/>
        <v/>
      </c>
      <c r="AY902" s="21" t="str">
        <f>IF(AND($AM902&lt;&gt;"",$AS902&lt;&gt;"✓"),SUMPRODUCT(($AM$11:$AM902&lt;&gt;"")*($AS$11:$AS902&lt;&gt;"✓")),"")</f>
        <v/>
      </c>
      <c r="AZ902" s="21" t="str">
        <f>IF(AND($AM902&lt;&gt;"",$AS902="✓"),SUMPRODUCT(($AM$11:$AM902&lt;&gt;"")*($AS$11:$AS902="✓")),"")</f>
        <v/>
      </c>
      <c r="BA902" s="21" t="str">
        <f>IF($AL902="","",$AL902&amp;"|"&amp;COUNTIF($AL$11:$AL902,$AL902))</f>
        <v/>
      </c>
    </row>
    <row r="903" spans="23:53" ht="15" customHeight="1" x14ac:dyDescent="0.25">
      <c r="W903" s="14" t="str">
        <f>IF(X903="","",IFERROR(INDEX($AL$11:$AL$4010,MATCH(893,$AY$11:$AY$4010,0)),""))</f>
        <v/>
      </c>
      <c r="X903" s="12" t="str">
        <f>IFERROR(INDEX($AM$11:$AM$4010,MATCH(893,$AY$11:$AY$4010,0)),"")</f>
        <v/>
      </c>
      <c r="Y903" s="11" t="str">
        <f>IF(X903="","",IFERROR(INDEX($AN$11:$AN$4010,MATCH(893,$AY$11:$AY$4010,0)),""))</f>
        <v/>
      </c>
      <c r="Z903" s="11" t="str">
        <f>IF(X903="","",IFERROR(INDEX($AO$11:$AO$4010,MATCH(893,$AY$11:$AY$4010,0)),""))</f>
        <v/>
      </c>
      <c r="AA903" s="10" t="str">
        <f>IF(X903="","",IFERROR(INDEX($AQ$11:$AQ$4010,MATCH(893,$AY$11:$AY$4010,0)),""))</f>
        <v/>
      </c>
      <c r="AB903" s="15" t="str">
        <f>IF(X903="","",IFERROR(INDEX($AR$11:$AR$4010,MATCH(893,$AY$11:$AY$4010,0)),""))</f>
        <v/>
      </c>
      <c r="AD903" s="16" t="str">
        <f>IF(AE903="","",IFERROR(INDEX($AL$11:$AL$4010,MATCH(893,$AZ$11:$AZ$4010,0)),""))</f>
        <v/>
      </c>
      <c r="AE903" s="12" t="str">
        <f>IFERROR(INDEX($AM$11:$AM$4010,MATCH(893,$AZ$11:$AZ$4010,0)),"")</f>
        <v/>
      </c>
      <c r="AF903" s="11" t="str">
        <f>IF(AE903="","",IFERROR(INDEX($AN$11:$AN$4010,MATCH(893,$AZ$11:$AZ$4010,0)),""))</f>
        <v/>
      </c>
      <c r="AG903" s="11" t="str">
        <f>IF(AE903="","",IFERROR(INDEX($AO$11:$AO$4010,MATCH(893,$AZ$11:$AZ$4010,0)),""))</f>
        <v/>
      </c>
      <c r="AH903" s="10" t="str">
        <f>IF(AE903="","",IFERROR(INDEX($AQ$11:$AQ$4010,MATCH(893,$AZ$11:$AZ$4010,0)),""))</f>
        <v/>
      </c>
      <c r="AI903" s="15" t="str">
        <f>IF(AE903="","",IFERROR(INDEX($AR$11:$AR$4010,MATCH(893,$AZ$11:$AZ$4010,0)),""))</f>
        <v/>
      </c>
      <c r="AJ903" s="15" t="str">
        <f>IF(AE903="","",IFERROR(INDEX($AT$11:$AT$4010,MATCH(893,$AZ$11:$AZ$4010,0)),""))</f>
        <v/>
      </c>
      <c r="AL903" s="17"/>
      <c r="AM903" s="12"/>
      <c r="AN903" s="18"/>
      <c r="AO903" s="18"/>
      <c r="AP903" s="10"/>
      <c r="AQ903" s="10"/>
      <c r="AR903" s="19"/>
      <c r="AS903" s="20"/>
      <c r="AT903" s="19"/>
      <c r="AV903" s="21">
        <f>IF(AND($AL903&lt;&gt;"",COUNTIF($AL$11:$AL903,$AL903)=1),1,0)</f>
        <v>0</v>
      </c>
      <c r="AW903" s="21">
        <f t="shared" si="113"/>
        <v>2</v>
      </c>
      <c r="AX903" s="21" t="str">
        <f t="shared" si="112"/>
        <v/>
      </c>
      <c r="AY903" s="21" t="str">
        <f>IF(AND($AM903&lt;&gt;"",$AS903&lt;&gt;"✓"),SUMPRODUCT(($AM$11:$AM903&lt;&gt;"")*($AS$11:$AS903&lt;&gt;"✓")),"")</f>
        <v/>
      </c>
      <c r="AZ903" s="21" t="str">
        <f>IF(AND($AM903&lt;&gt;"",$AS903="✓"),SUMPRODUCT(($AM$11:$AM903&lt;&gt;"")*($AS$11:$AS903="✓")),"")</f>
        <v/>
      </c>
      <c r="BA903" s="21" t="str">
        <f>IF($AL903="","",$AL903&amp;"|"&amp;COUNTIF($AL$11:$AL903,$AL903))</f>
        <v/>
      </c>
    </row>
    <row r="904" spans="23:53" ht="15" customHeight="1" x14ac:dyDescent="0.25">
      <c r="W904" s="28" t="str">
        <f>IF(X904="","",IFERROR(INDEX($AL$11:$AL$4010,MATCH(894,$AY$11:$AY$4010,0)),""))</f>
        <v/>
      </c>
      <c r="X904" s="26" t="str">
        <f>IFERROR(INDEX($AM$11:$AM$4010,MATCH(894,$AY$11:$AY$4010,0)),"")</f>
        <v/>
      </c>
      <c r="Y904" s="25" t="str">
        <f>IF(X904="","",IFERROR(INDEX($AN$11:$AN$4010,MATCH(894,$AY$11:$AY$4010,0)),""))</f>
        <v/>
      </c>
      <c r="Z904" s="25" t="str">
        <f>IF(X904="","",IFERROR(INDEX($AO$11:$AO$4010,MATCH(894,$AY$11:$AY$4010,0)),""))</f>
        <v/>
      </c>
      <c r="AA904" s="24" t="str">
        <f>IF(X904="","",IFERROR(INDEX($AQ$11:$AQ$4010,MATCH(894,$AY$11:$AY$4010,0)),""))</f>
        <v/>
      </c>
      <c r="AB904" s="29" t="str">
        <f>IF(X904="","",IFERROR(INDEX($AR$11:$AR$4010,MATCH(894,$AY$11:$AY$4010,0)),""))</f>
        <v/>
      </c>
      <c r="AD904" s="30" t="str">
        <f>IF(AE904="","",IFERROR(INDEX($AL$11:$AL$4010,MATCH(894,$AZ$11:$AZ$4010,0)),""))</f>
        <v/>
      </c>
      <c r="AE904" s="26" t="str">
        <f>IFERROR(INDEX($AM$11:$AM$4010,MATCH(894,$AZ$11:$AZ$4010,0)),"")</f>
        <v/>
      </c>
      <c r="AF904" s="25" t="str">
        <f>IF(AE904="","",IFERROR(INDEX($AN$11:$AN$4010,MATCH(894,$AZ$11:$AZ$4010,0)),""))</f>
        <v/>
      </c>
      <c r="AG904" s="25" t="str">
        <f>IF(AE904="","",IFERROR(INDEX($AO$11:$AO$4010,MATCH(894,$AZ$11:$AZ$4010,0)),""))</f>
        <v/>
      </c>
      <c r="AH904" s="24" t="str">
        <f>IF(AE904="","",IFERROR(INDEX($AQ$11:$AQ$4010,MATCH(894,$AZ$11:$AZ$4010,0)),""))</f>
        <v/>
      </c>
      <c r="AI904" s="29" t="str">
        <f>IF(AE904="","",IFERROR(INDEX($AR$11:$AR$4010,MATCH(894,$AZ$11:$AZ$4010,0)),""))</f>
        <v/>
      </c>
      <c r="AJ904" s="29" t="str">
        <f>IF(AE904="","",IFERROR(INDEX($AT$11:$AT$4010,MATCH(894,$AZ$11:$AZ$4010,0)),""))</f>
        <v/>
      </c>
      <c r="AL904" s="31"/>
      <c r="AM904" s="26"/>
      <c r="AN904" s="32"/>
      <c r="AO904" s="32"/>
      <c r="AP904" s="24"/>
      <c r="AQ904" s="24"/>
      <c r="AR904" s="33"/>
      <c r="AS904" s="34"/>
      <c r="AT904" s="33"/>
      <c r="AV904" s="21">
        <f>IF(AND($AL904&lt;&gt;"",COUNTIF($AL$11:$AL904,$AL904)=1),1,0)</f>
        <v>0</v>
      </c>
      <c r="AW904" s="21">
        <f t="shared" si="113"/>
        <v>2</v>
      </c>
      <c r="AX904" s="21" t="str">
        <f t="shared" si="112"/>
        <v/>
      </c>
      <c r="AY904" s="21" t="str">
        <f>IF(AND($AM904&lt;&gt;"",$AS904&lt;&gt;"✓"),SUMPRODUCT(($AM$11:$AM904&lt;&gt;"")*($AS$11:$AS904&lt;&gt;"✓")),"")</f>
        <v/>
      </c>
      <c r="AZ904" s="21" t="str">
        <f>IF(AND($AM904&lt;&gt;"",$AS904="✓"),SUMPRODUCT(($AM$11:$AM904&lt;&gt;"")*($AS$11:$AS904="✓")),"")</f>
        <v/>
      </c>
      <c r="BA904" s="21" t="str">
        <f>IF($AL904="","",$AL904&amp;"|"&amp;COUNTIF($AL$11:$AL904,$AL904))</f>
        <v/>
      </c>
    </row>
    <row r="905" spans="23:53" ht="15" customHeight="1" x14ac:dyDescent="0.25">
      <c r="W905" s="14" t="str">
        <f>IF(X905="","",IFERROR(INDEX($AL$11:$AL$4010,MATCH(895,$AY$11:$AY$4010,0)),""))</f>
        <v/>
      </c>
      <c r="X905" s="12" t="str">
        <f>IFERROR(INDEX($AM$11:$AM$4010,MATCH(895,$AY$11:$AY$4010,0)),"")</f>
        <v/>
      </c>
      <c r="Y905" s="11" t="str">
        <f>IF(X905="","",IFERROR(INDEX($AN$11:$AN$4010,MATCH(895,$AY$11:$AY$4010,0)),""))</f>
        <v/>
      </c>
      <c r="Z905" s="11" t="str">
        <f>IF(X905="","",IFERROR(INDEX($AO$11:$AO$4010,MATCH(895,$AY$11:$AY$4010,0)),""))</f>
        <v/>
      </c>
      <c r="AA905" s="10" t="str">
        <f>IF(X905="","",IFERROR(INDEX($AQ$11:$AQ$4010,MATCH(895,$AY$11:$AY$4010,0)),""))</f>
        <v/>
      </c>
      <c r="AB905" s="15" t="str">
        <f>IF(X905="","",IFERROR(INDEX($AR$11:$AR$4010,MATCH(895,$AY$11:$AY$4010,0)),""))</f>
        <v/>
      </c>
      <c r="AD905" s="16" t="str">
        <f>IF(AE905="","",IFERROR(INDEX($AL$11:$AL$4010,MATCH(895,$AZ$11:$AZ$4010,0)),""))</f>
        <v/>
      </c>
      <c r="AE905" s="12" t="str">
        <f>IFERROR(INDEX($AM$11:$AM$4010,MATCH(895,$AZ$11:$AZ$4010,0)),"")</f>
        <v/>
      </c>
      <c r="AF905" s="11" t="str">
        <f>IF(AE905="","",IFERROR(INDEX($AN$11:$AN$4010,MATCH(895,$AZ$11:$AZ$4010,0)),""))</f>
        <v/>
      </c>
      <c r="AG905" s="11" t="str">
        <f>IF(AE905="","",IFERROR(INDEX($AO$11:$AO$4010,MATCH(895,$AZ$11:$AZ$4010,0)),""))</f>
        <v/>
      </c>
      <c r="AH905" s="10" t="str">
        <f>IF(AE905="","",IFERROR(INDEX($AQ$11:$AQ$4010,MATCH(895,$AZ$11:$AZ$4010,0)),""))</f>
        <v/>
      </c>
      <c r="AI905" s="15" t="str">
        <f>IF(AE905="","",IFERROR(INDEX($AR$11:$AR$4010,MATCH(895,$AZ$11:$AZ$4010,0)),""))</f>
        <v/>
      </c>
      <c r="AJ905" s="15" t="str">
        <f>IF(AE905="","",IFERROR(INDEX($AT$11:$AT$4010,MATCH(895,$AZ$11:$AZ$4010,0)),""))</f>
        <v/>
      </c>
      <c r="AL905" s="17"/>
      <c r="AM905" s="12"/>
      <c r="AN905" s="18"/>
      <c r="AO905" s="18"/>
      <c r="AP905" s="10"/>
      <c r="AQ905" s="10"/>
      <c r="AR905" s="19"/>
      <c r="AS905" s="20"/>
      <c r="AT905" s="19"/>
      <c r="AV905" s="21">
        <f>IF(AND($AL905&lt;&gt;"",COUNTIF($AL$11:$AL905,$AL905)=1),1,0)</f>
        <v>0</v>
      </c>
      <c r="AW905" s="21">
        <f t="shared" si="113"/>
        <v>2</v>
      </c>
      <c r="AX905" s="21" t="str">
        <f t="shared" si="112"/>
        <v/>
      </c>
      <c r="AY905" s="21" t="str">
        <f>IF(AND($AM905&lt;&gt;"",$AS905&lt;&gt;"✓"),SUMPRODUCT(($AM$11:$AM905&lt;&gt;"")*($AS$11:$AS905&lt;&gt;"✓")),"")</f>
        <v/>
      </c>
      <c r="AZ905" s="21" t="str">
        <f>IF(AND($AM905&lt;&gt;"",$AS905="✓"),SUMPRODUCT(($AM$11:$AM905&lt;&gt;"")*($AS$11:$AS905="✓")),"")</f>
        <v/>
      </c>
      <c r="BA905" s="21" t="str">
        <f>IF($AL905="","",$AL905&amp;"|"&amp;COUNTIF($AL$11:$AL905,$AL905))</f>
        <v/>
      </c>
    </row>
    <row r="906" spans="23:53" ht="15" customHeight="1" x14ac:dyDescent="0.25">
      <c r="W906" s="28" t="str">
        <f>IF(X906="","",IFERROR(INDEX($AL$11:$AL$4010,MATCH(896,$AY$11:$AY$4010,0)),""))</f>
        <v/>
      </c>
      <c r="X906" s="26" t="str">
        <f>IFERROR(INDEX($AM$11:$AM$4010,MATCH(896,$AY$11:$AY$4010,0)),"")</f>
        <v/>
      </c>
      <c r="Y906" s="25" t="str">
        <f>IF(X906="","",IFERROR(INDEX($AN$11:$AN$4010,MATCH(896,$AY$11:$AY$4010,0)),""))</f>
        <v/>
      </c>
      <c r="Z906" s="25" t="str">
        <f>IF(X906="","",IFERROR(INDEX($AO$11:$AO$4010,MATCH(896,$AY$11:$AY$4010,0)),""))</f>
        <v/>
      </c>
      <c r="AA906" s="24" t="str">
        <f>IF(X906="","",IFERROR(INDEX($AQ$11:$AQ$4010,MATCH(896,$AY$11:$AY$4010,0)),""))</f>
        <v/>
      </c>
      <c r="AB906" s="29" t="str">
        <f>IF(X906="","",IFERROR(INDEX($AR$11:$AR$4010,MATCH(896,$AY$11:$AY$4010,0)),""))</f>
        <v/>
      </c>
      <c r="AD906" s="30" t="str">
        <f>IF(AE906="","",IFERROR(INDEX($AL$11:$AL$4010,MATCH(896,$AZ$11:$AZ$4010,0)),""))</f>
        <v/>
      </c>
      <c r="AE906" s="26" t="str">
        <f>IFERROR(INDEX($AM$11:$AM$4010,MATCH(896,$AZ$11:$AZ$4010,0)),"")</f>
        <v/>
      </c>
      <c r="AF906" s="25" t="str">
        <f>IF(AE906="","",IFERROR(INDEX($AN$11:$AN$4010,MATCH(896,$AZ$11:$AZ$4010,0)),""))</f>
        <v/>
      </c>
      <c r="AG906" s="25" t="str">
        <f>IF(AE906="","",IFERROR(INDEX($AO$11:$AO$4010,MATCH(896,$AZ$11:$AZ$4010,0)),""))</f>
        <v/>
      </c>
      <c r="AH906" s="24" t="str">
        <f>IF(AE906="","",IFERROR(INDEX($AQ$11:$AQ$4010,MATCH(896,$AZ$11:$AZ$4010,0)),""))</f>
        <v/>
      </c>
      <c r="AI906" s="29" t="str">
        <f>IF(AE906="","",IFERROR(INDEX($AR$11:$AR$4010,MATCH(896,$AZ$11:$AZ$4010,0)),""))</f>
        <v/>
      </c>
      <c r="AJ906" s="29" t="str">
        <f>IF(AE906="","",IFERROR(INDEX($AT$11:$AT$4010,MATCH(896,$AZ$11:$AZ$4010,0)),""))</f>
        <v/>
      </c>
      <c r="AL906" s="31"/>
      <c r="AM906" s="26"/>
      <c r="AN906" s="32"/>
      <c r="AO906" s="32"/>
      <c r="AP906" s="24"/>
      <c r="AQ906" s="24"/>
      <c r="AR906" s="33"/>
      <c r="AS906" s="34"/>
      <c r="AT906" s="33"/>
      <c r="AV906" s="21">
        <f>IF(AND($AL906&lt;&gt;"",COUNTIF($AL$11:$AL906,$AL906)=1),1,0)</f>
        <v>0</v>
      </c>
      <c r="AW906" s="21">
        <f t="shared" si="113"/>
        <v>2</v>
      </c>
      <c r="AX906" s="21" t="str">
        <f t="shared" si="112"/>
        <v/>
      </c>
      <c r="AY906" s="21" t="str">
        <f>IF(AND($AM906&lt;&gt;"",$AS906&lt;&gt;"✓"),SUMPRODUCT(($AM$11:$AM906&lt;&gt;"")*($AS$11:$AS906&lt;&gt;"✓")),"")</f>
        <v/>
      </c>
      <c r="AZ906" s="21" t="str">
        <f>IF(AND($AM906&lt;&gt;"",$AS906="✓"),SUMPRODUCT(($AM$11:$AM906&lt;&gt;"")*($AS$11:$AS906="✓")),"")</f>
        <v/>
      </c>
      <c r="BA906" s="21" t="str">
        <f>IF($AL906="","",$AL906&amp;"|"&amp;COUNTIF($AL$11:$AL906,$AL906))</f>
        <v/>
      </c>
    </row>
    <row r="907" spans="23:53" ht="15" customHeight="1" x14ac:dyDescent="0.25">
      <c r="W907" s="14" t="str">
        <f>IF(X907="","",IFERROR(INDEX($AL$11:$AL$4010,MATCH(897,$AY$11:$AY$4010,0)),""))</f>
        <v/>
      </c>
      <c r="X907" s="12" t="str">
        <f>IFERROR(INDEX($AM$11:$AM$4010,MATCH(897,$AY$11:$AY$4010,0)),"")</f>
        <v/>
      </c>
      <c r="Y907" s="11" t="str">
        <f>IF(X907="","",IFERROR(INDEX($AN$11:$AN$4010,MATCH(897,$AY$11:$AY$4010,0)),""))</f>
        <v/>
      </c>
      <c r="Z907" s="11" t="str">
        <f>IF(X907="","",IFERROR(INDEX($AO$11:$AO$4010,MATCH(897,$AY$11:$AY$4010,0)),""))</f>
        <v/>
      </c>
      <c r="AA907" s="10" t="str">
        <f>IF(X907="","",IFERROR(INDEX($AQ$11:$AQ$4010,MATCH(897,$AY$11:$AY$4010,0)),""))</f>
        <v/>
      </c>
      <c r="AB907" s="15" t="str">
        <f>IF(X907="","",IFERROR(INDEX($AR$11:$AR$4010,MATCH(897,$AY$11:$AY$4010,0)),""))</f>
        <v/>
      </c>
      <c r="AD907" s="16" t="str">
        <f>IF(AE907="","",IFERROR(INDEX($AL$11:$AL$4010,MATCH(897,$AZ$11:$AZ$4010,0)),""))</f>
        <v/>
      </c>
      <c r="AE907" s="12" t="str">
        <f>IFERROR(INDEX($AM$11:$AM$4010,MATCH(897,$AZ$11:$AZ$4010,0)),"")</f>
        <v/>
      </c>
      <c r="AF907" s="11" t="str">
        <f>IF(AE907="","",IFERROR(INDEX($AN$11:$AN$4010,MATCH(897,$AZ$11:$AZ$4010,0)),""))</f>
        <v/>
      </c>
      <c r="AG907" s="11" t="str">
        <f>IF(AE907="","",IFERROR(INDEX($AO$11:$AO$4010,MATCH(897,$AZ$11:$AZ$4010,0)),""))</f>
        <v/>
      </c>
      <c r="AH907" s="10" t="str">
        <f>IF(AE907="","",IFERROR(INDEX($AQ$11:$AQ$4010,MATCH(897,$AZ$11:$AZ$4010,0)),""))</f>
        <v/>
      </c>
      <c r="AI907" s="15" t="str">
        <f>IF(AE907="","",IFERROR(INDEX($AR$11:$AR$4010,MATCH(897,$AZ$11:$AZ$4010,0)),""))</f>
        <v/>
      </c>
      <c r="AJ907" s="15" t="str">
        <f>IF(AE907="","",IFERROR(INDEX($AT$11:$AT$4010,MATCH(897,$AZ$11:$AZ$4010,0)),""))</f>
        <v/>
      </c>
      <c r="AL907" s="17"/>
      <c r="AM907" s="12"/>
      <c r="AN907" s="18"/>
      <c r="AO907" s="18"/>
      <c r="AP907" s="10"/>
      <c r="AQ907" s="10"/>
      <c r="AR907" s="19"/>
      <c r="AS907" s="20"/>
      <c r="AT907" s="19"/>
      <c r="AV907" s="21">
        <f>IF(AND($AL907&lt;&gt;"",COUNTIF($AL$11:$AL907,$AL907)=1),1,0)</f>
        <v>0</v>
      </c>
      <c r="AW907" s="21">
        <f t="shared" si="113"/>
        <v>2</v>
      </c>
      <c r="AX907" s="21" t="str">
        <f t="shared" ref="AX907:AX970" si="114">IF(AV907=1,AW907,"")</f>
        <v/>
      </c>
      <c r="AY907" s="21" t="str">
        <f>IF(AND($AM907&lt;&gt;"",$AS907&lt;&gt;"✓"),SUMPRODUCT(($AM$11:$AM907&lt;&gt;"")*($AS$11:$AS907&lt;&gt;"✓")),"")</f>
        <v/>
      </c>
      <c r="AZ907" s="21" t="str">
        <f>IF(AND($AM907&lt;&gt;"",$AS907="✓"),SUMPRODUCT(($AM$11:$AM907&lt;&gt;"")*($AS$11:$AS907="✓")),"")</f>
        <v/>
      </c>
      <c r="BA907" s="21" t="str">
        <f>IF($AL907="","",$AL907&amp;"|"&amp;COUNTIF($AL$11:$AL907,$AL907))</f>
        <v/>
      </c>
    </row>
    <row r="908" spans="23:53" ht="15" customHeight="1" x14ac:dyDescent="0.25">
      <c r="W908" s="28" t="str">
        <f>IF(X908="","",IFERROR(INDEX($AL$11:$AL$4010,MATCH(898,$AY$11:$AY$4010,0)),""))</f>
        <v/>
      </c>
      <c r="X908" s="26" t="str">
        <f>IFERROR(INDEX($AM$11:$AM$4010,MATCH(898,$AY$11:$AY$4010,0)),"")</f>
        <v/>
      </c>
      <c r="Y908" s="25" t="str">
        <f>IF(X908="","",IFERROR(INDEX($AN$11:$AN$4010,MATCH(898,$AY$11:$AY$4010,0)),""))</f>
        <v/>
      </c>
      <c r="Z908" s="25" t="str">
        <f>IF(X908="","",IFERROR(INDEX($AO$11:$AO$4010,MATCH(898,$AY$11:$AY$4010,0)),""))</f>
        <v/>
      </c>
      <c r="AA908" s="24" t="str">
        <f>IF(X908="","",IFERROR(INDEX($AQ$11:$AQ$4010,MATCH(898,$AY$11:$AY$4010,0)),""))</f>
        <v/>
      </c>
      <c r="AB908" s="29" t="str">
        <f>IF(X908="","",IFERROR(INDEX($AR$11:$AR$4010,MATCH(898,$AY$11:$AY$4010,0)),""))</f>
        <v/>
      </c>
      <c r="AD908" s="30" t="str">
        <f>IF(AE908="","",IFERROR(INDEX($AL$11:$AL$4010,MATCH(898,$AZ$11:$AZ$4010,0)),""))</f>
        <v/>
      </c>
      <c r="AE908" s="26" t="str">
        <f>IFERROR(INDEX($AM$11:$AM$4010,MATCH(898,$AZ$11:$AZ$4010,0)),"")</f>
        <v/>
      </c>
      <c r="AF908" s="25" t="str">
        <f>IF(AE908="","",IFERROR(INDEX($AN$11:$AN$4010,MATCH(898,$AZ$11:$AZ$4010,0)),""))</f>
        <v/>
      </c>
      <c r="AG908" s="25" t="str">
        <f>IF(AE908="","",IFERROR(INDEX($AO$11:$AO$4010,MATCH(898,$AZ$11:$AZ$4010,0)),""))</f>
        <v/>
      </c>
      <c r="AH908" s="24" t="str">
        <f>IF(AE908="","",IFERROR(INDEX($AQ$11:$AQ$4010,MATCH(898,$AZ$11:$AZ$4010,0)),""))</f>
        <v/>
      </c>
      <c r="AI908" s="29" t="str">
        <f>IF(AE908="","",IFERROR(INDEX($AR$11:$AR$4010,MATCH(898,$AZ$11:$AZ$4010,0)),""))</f>
        <v/>
      </c>
      <c r="AJ908" s="29" t="str">
        <f>IF(AE908="","",IFERROR(INDEX($AT$11:$AT$4010,MATCH(898,$AZ$11:$AZ$4010,0)),""))</f>
        <v/>
      </c>
      <c r="AL908" s="31"/>
      <c r="AM908" s="26"/>
      <c r="AN908" s="32"/>
      <c r="AO908" s="32"/>
      <c r="AP908" s="24"/>
      <c r="AQ908" s="24"/>
      <c r="AR908" s="33"/>
      <c r="AS908" s="34"/>
      <c r="AT908" s="33"/>
      <c r="AV908" s="21">
        <f>IF(AND($AL908&lt;&gt;"",COUNTIF($AL$11:$AL908,$AL908)=1),1,0)</f>
        <v>0</v>
      </c>
      <c r="AW908" s="21">
        <f t="shared" ref="AW908:AW971" si="115">AW907+AV908</f>
        <v>2</v>
      </c>
      <c r="AX908" s="21" t="str">
        <f t="shared" si="114"/>
        <v/>
      </c>
      <c r="AY908" s="21" t="str">
        <f>IF(AND($AM908&lt;&gt;"",$AS908&lt;&gt;"✓"),SUMPRODUCT(($AM$11:$AM908&lt;&gt;"")*($AS$11:$AS908&lt;&gt;"✓")),"")</f>
        <v/>
      </c>
      <c r="AZ908" s="21" t="str">
        <f>IF(AND($AM908&lt;&gt;"",$AS908="✓"),SUMPRODUCT(($AM$11:$AM908&lt;&gt;"")*($AS$11:$AS908="✓")),"")</f>
        <v/>
      </c>
      <c r="BA908" s="21" t="str">
        <f>IF($AL908="","",$AL908&amp;"|"&amp;COUNTIF($AL$11:$AL908,$AL908))</f>
        <v/>
      </c>
    </row>
    <row r="909" spans="23:53" ht="15" customHeight="1" x14ac:dyDescent="0.25">
      <c r="W909" s="14" t="str">
        <f>IF(X909="","",IFERROR(INDEX($AL$11:$AL$4010,MATCH(899,$AY$11:$AY$4010,0)),""))</f>
        <v/>
      </c>
      <c r="X909" s="12" t="str">
        <f>IFERROR(INDEX($AM$11:$AM$4010,MATCH(899,$AY$11:$AY$4010,0)),"")</f>
        <v/>
      </c>
      <c r="Y909" s="11" t="str">
        <f>IF(X909="","",IFERROR(INDEX($AN$11:$AN$4010,MATCH(899,$AY$11:$AY$4010,0)),""))</f>
        <v/>
      </c>
      <c r="Z909" s="11" t="str">
        <f>IF(X909="","",IFERROR(INDEX($AO$11:$AO$4010,MATCH(899,$AY$11:$AY$4010,0)),""))</f>
        <v/>
      </c>
      <c r="AA909" s="10" t="str">
        <f>IF(X909="","",IFERROR(INDEX($AQ$11:$AQ$4010,MATCH(899,$AY$11:$AY$4010,0)),""))</f>
        <v/>
      </c>
      <c r="AB909" s="15" t="str">
        <f>IF(X909="","",IFERROR(INDEX($AR$11:$AR$4010,MATCH(899,$AY$11:$AY$4010,0)),""))</f>
        <v/>
      </c>
      <c r="AD909" s="16" t="str">
        <f>IF(AE909="","",IFERROR(INDEX($AL$11:$AL$4010,MATCH(899,$AZ$11:$AZ$4010,0)),""))</f>
        <v/>
      </c>
      <c r="AE909" s="12" t="str">
        <f>IFERROR(INDEX($AM$11:$AM$4010,MATCH(899,$AZ$11:$AZ$4010,0)),"")</f>
        <v/>
      </c>
      <c r="AF909" s="11" t="str">
        <f>IF(AE909="","",IFERROR(INDEX($AN$11:$AN$4010,MATCH(899,$AZ$11:$AZ$4010,0)),""))</f>
        <v/>
      </c>
      <c r="AG909" s="11" t="str">
        <f>IF(AE909="","",IFERROR(INDEX($AO$11:$AO$4010,MATCH(899,$AZ$11:$AZ$4010,0)),""))</f>
        <v/>
      </c>
      <c r="AH909" s="10" t="str">
        <f>IF(AE909="","",IFERROR(INDEX($AQ$11:$AQ$4010,MATCH(899,$AZ$11:$AZ$4010,0)),""))</f>
        <v/>
      </c>
      <c r="AI909" s="15" t="str">
        <f>IF(AE909="","",IFERROR(INDEX($AR$11:$AR$4010,MATCH(899,$AZ$11:$AZ$4010,0)),""))</f>
        <v/>
      </c>
      <c r="AJ909" s="15" t="str">
        <f>IF(AE909="","",IFERROR(INDEX($AT$11:$AT$4010,MATCH(899,$AZ$11:$AZ$4010,0)),""))</f>
        <v/>
      </c>
      <c r="AL909" s="17"/>
      <c r="AM909" s="12"/>
      <c r="AN909" s="18"/>
      <c r="AO909" s="18"/>
      <c r="AP909" s="10"/>
      <c r="AQ909" s="10"/>
      <c r="AR909" s="19"/>
      <c r="AS909" s="20"/>
      <c r="AT909" s="19"/>
      <c r="AV909" s="21">
        <f>IF(AND($AL909&lt;&gt;"",COUNTIF($AL$11:$AL909,$AL909)=1),1,0)</f>
        <v>0</v>
      </c>
      <c r="AW909" s="21">
        <f t="shared" si="115"/>
        <v>2</v>
      </c>
      <c r="AX909" s="21" t="str">
        <f t="shared" si="114"/>
        <v/>
      </c>
      <c r="AY909" s="21" t="str">
        <f>IF(AND($AM909&lt;&gt;"",$AS909&lt;&gt;"✓"),SUMPRODUCT(($AM$11:$AM909&lt;&gt;"")*($AS$11:$AS909&lt;&gt;"✓")),"")</f>
        <v/>
      </c>
      <c r="AZ909" s="21" t="str">
        <f>IF(AND($AM909&lt;&gt;"",$AS909="✓"),SUMPRODUCT(($AM$11:$AM909&lt;&gt;"")*($AS$11:$AS909="✓")),"")</f>
        <v/>
      </c>
      <c r="BA909" s="21" t="str">
        <f>IF($AL909="","",$AL909&amp;"|"&amp;COUNTIF($AL$11:$AL909,$AL909))</f>
        <v/>
      </c>
    </row>
    <row r="910" spans="23:53" ht="15" customHeight="1" x14ac:dyDescent="0.25">
      <c r="W910" s="28" t="str">
        <f>IF(X910="","",IFERROR(INDEX($AL$11:$AL$4010,MATCH(900,$AY$11:$AY$4010,0)),""))</f>
        <v/>
      </c>
      <c r="X910" s="26" t="str">
        <f>IFERROR(INDEX($AM$11:$AM$4010,MATCH(900,$AY$11:$AY$4010,0)),"")</f>
        <v/>
      </c>
      <c r="Y910" s="25" t="str">
        <f>IF(X910="","",IFERROR(INDEX($AN$11:$AN$4010,MATCH(900,$AY$11:$AY$4010,0)),""))</f>
        <v/>
      </c>
      <c r="Z910" s="25" t="str">
        <f>IF(X910="","",IFERROR(INDEX($AO$11:$AO$4010,MATCH(900,$AY$11:$AY$4010,0)),""))</f>
        <v/>
      </c>
      <c r="AA910" s="24" t="str">
        <f>IF(X910="","",IFERROR(INDEX($AQ$11:$AQ$4010,MATCH(900,$AY$11:$AY$4010,0)),""))</f>
        <v/>
      </c>
      <c r="AB910" s="29" t="str">
        <f>IF(X910="","",IFERROR(INDEX($AR$11:$AR$4010,MATCH(900,$AY$11:$AY$4010,0)),""))</f>
        <v/>
      </c>
      <c r="AD910" s="30" t="str">
        <f>IF(AE910="","",IFERROR(INDEX($AL$11:$AL$4010,MATCH(900,$AZ$11:$AZ$4010,0)),""))</f>
        <v/>
      </c>
      <c r="AE910" s="26" t="str">
        <f>IFERROR(INDEX($AM$11:$AM$4010,MATCH(900,$AZ$11:$AZ$4010,0)),"")</f>
        <v/>
      </c>
      <c r="AF910" s="25" t="str">
        <f>IF(AE910="","",IFERROR(INDEX($AN$11:$AN$4010,MATCH(900,$AZ$11:$AZ$4010,0)),""))</f>
        <v/>
      </c>
      <c r="AG910" s="25" t="str">
        <f>IF(AE910="","",IFERROR(INDEX($AO$11:$AO$4010,MATCH(900,$AZ$11:$AZ$4010,0)),""))</f>
        <v/>
      </c>
      <c r="AH910" s="24" t="str">
        <f>IF(AE910="","",IFERROR(INDEX($AQ$11:$AQ$4010,MATCH(900,$AZ$11:$AZ$4010,0)),""))</f>
        <v/>
      </c>
      <c r="AI910" s="29" t="str">
        <f>IF(AE910="","",IFERROR(INDEX($AR$11:$AR$4010,MATCH(900,$AZ$11:$AZ$4010,0)),""))</f>
        <v/>
      </c>
      <c r="AJ910" s="29" t="str">
        <f>IF(AE910="","",IFERROR(INDEX($AT$11:$AT$4010,MATCH(900,$AZ$11:$AZ$4010,0)),""))</f>
        <v/>
      </c>
      <c r="AL910" s="31"/>
      <c r="AM910" s="26"/>
      <c r="AN910" s="32"/>
      <c r="AO910" s="32"/>
      <c r="AP910" s="24"/>
      <c r="AQ910" s="24"/>
      <c r="AR910" s="33"/>
      <c r="AS910" s="34"/>
      <c r="AT910" s="33"/>
      <c r="AV910" s="21">
        <f>IF(AND($AL910&lt;&gt;"",COUNTIF($AL$11:$AL910,$AL910)=1),1,0)</f>
        <v>0</v>
      </c>
      <c r="AW910" s="21">
        <f t="shared" si="115"/>
        <v>2</v>
      </c>
      <c r="AX910" s="21" t="str">
        <f t="shared" si="114"/>
        <v/>
      </c>
      <c r="AY910" s="21" t="str">
        <f>IF(AND($AM910&lt;&gt;"",$AS910&lt;&gt;"✓"),SUMPRODUCT(($AM$11:$AM910&lt;&gt;"")*($AS$11:$AS910&lt;&gt;"✓")),"")</f>
        <v/>
      </c>
      <c r="AZ910" s="21" t="str">
        <f>IF(AND($AM910&lt;&gt;"",$AS910="✓"),SUMPRODUCT(($AM$11:$AM910&lt;&gt;"")*($AS$11:$AS910="✓")),"")</f>
        <v/>
      </c>
      <c r="BA910" s="21" t="str">
        <f>IF($AL910="","",$AL910&amp;"|"&amp;COUNTIF($AL$11:$AL910,$AL910))</f>
        <v/>
      </c>
    </row>
    <row r="911" spans="23:53" ht="15" customHeight="1" x14ac:dyDescent="0.25">
      <c r="W911" s="14" t="str">
        <f>IF(X911="","",IFERROR(INDEX($AL$11:$AL$4010,MATCH(901,$AY$11:$AY$4010,0)),""))</f>
        <v/>
      </c>
      <c r="X911" s="12" t="str">
        <f>IFERROR(INDEX($AM$11:$AM$4010,MATCH(901,$AY$11:$AY$4010,0)),"")</f>
        <v/>
      </c>
      <c r="Y911" s="11" t="str">
        <f>IF(X911="","",IFERROR(INDEX($AN$11:$AN$4010,MATCH(901,$AY$11:$AY$4010,0)),""))</f>
        <v/>
      </c>
      <c r="Z911" s="11" t="str">
        <f>IF(X911="","",IFERROR(INDEX($AO$11:$AO$4010,MATCH(901,$AY$11:$AY$4010,0)),""))</f>
        <v/>
      </c>
      <c r="AA911" s="10" t="str">
        <f>IF(X911="","",IFERROR(INDEX($AQ$11:$AQ$4010,MATCH(901,$AY$11:$AY$4010,0)),""))</f>
        <v/>
      </c>
      <c r="AB911" s="15" t="str">
        <f>IF(X911="","",IFERROR(INDEX($AR$11:$AR$4010,MATCH(901,$AY$11:$AY$4010,0)),""))</f>
        <v/>
      </c>
      <c r="AD911" s="16" t="str">
        <f>IF(AE911="","",IFERROR(INDEX($AL$11:$AL$4010,MATCH(901,$AZ$11:$AZ$4010,0)),""))</f>
        <v/>
      </c>
      <c r="AE911" s="12" t="str">
        <f>IFERROR(INDEX($AM$11:$AM$4010,MATCH(901,$AZ$11:$AZ$4010,0)),"")</f>
        <v/>
      </c>
      <c r="AF911" s="11" t="str">
        <f>IF(AE911="","",IFERROR(INDEX($AN$11:$AN$4010,MATCH(901,$AZ$11:$AZ$4010,0)),""))</f>
        <v/>
      </c>
      <c r="AG911" s="11" t="str">
        <f>IF(AE911="","",IFERROR(INDEX($AO$11:$AO$4010,MATCH(901,$AZ$11:$AZ$4010,0)),""))</f>
        <v/>
      </c>
      <c r="AH911" s="10" t="str">
        <f>IF(AE911="","",IFERROR(INDEX($AQ$11:$AQ$4010,MATCH(901,$AZ$11:$AZ$4010,0)),""))</f>
        <v/>
      </c>
      <c r="AI911" s="15" t="str">
        <f>IF(AE911="","",IFERROR(INDEX($AR$11:$AR$4010,MATCH(901,$AZ$11:$AZ$4010,0)),""))</f>
        <v/>
      </c>
      <c r="AJ911" s="15" t="str">
        <f>IF(AE911="","",IFERROR(INDEX($AT$11:$AT$4010,MATCH(901,$AZ$11:$AZ$4010,0)),""))</f>
        <v/>
      </c>
      <c r="AL911" s="17"/>
      <c r="AM911" s="12"/>
      <c r="AN911" s="18"/>
      <c r="AO911" s="18"/>
      <c r="AP911" s="10"/>
      <c r="AQ911" s="10"/>
      <c r="AR911" s="19"/>
      <c r="AS911" s="20"/>
      <c r="AT911" s="19"/>
      <c r="AV911" s="21">
        <f>IF(AND($AL911&lt;&gt;"",COUNTIF($AL$11:$AL911,$AL911)=1),1,0)</f>
        <v>0</v>
      </c>
      <c r="AW911" s="21">
        <f t="shared" si="115"/>
        <v>2</v>
      </c>
      <c r="AX911" s="21" t="str">
        <f t="shared" si="114"/>
        <v/>
      </c>
      <c r="AY911" s="21" t="str">
        <f>IF(AND($AM911&lt;&gt;"",$AS911&lt;&gt;"✓"),SUMPRODUCT(($AM$11:$AM911&lt;&gt;"")*($AS$11:$AS911&lt;&gt;"✓")),"")</f>
        <v/>
      </c>
      <c r="AZ911" s="21" t="str">
        <f>IF(AND($AM911&lt;&gt;"",$AS911="✓"),SUMPRODUCT(($AM$11:$AM911&lt;&gt;"")*($AS$11:$AS911="✓")),"")</f>
        <v/>
      </c>
      <c r="BA911" s="21" t="str">
        <f>IF($AL911="","",$AL911&amp;"|"&amp;COUNTIF($AL$11:$AL911,$AL911))</f>
        <v/>
      </c>
    </row>
    <row r="912" spans="23:53" ht="15" customHeight="1" x14ac:dyDescent="0.25">
      <c r="W912" s="28" t="str">
        <f>IF(X912="","",IFERROR(INDEX($AL$11:$AL$4010,MATCH(902,$AY$11:$AY$4010,0)),""))</f>
        <v/>
      </c>
      <c r="X912" s="26" t="str">
        <f>IFERROR(INDEX($AM$11:$AM$4010,MATCH(902,$AY$11:$AY$4010,0)),"")</f>
        <v/>
      </c>
      <c r="Y912" s="25" t="str">
        <f>IF(X912="","",IFERROR(INDEX($AN$11:$AN$4010,MATCH(902,$AY$11:$AY$4010,0)),""))</f>
        <v/>
      </c>
      <c r="Z912" s="25" t="str">
        <f>IF(X912="","",IFERROR(INDEX($AO$11:$AO$4010,MATCH(902,$AY$11:$AY$4010,0)),""))</f>
        <v/>
      </c>
      <c r="AA912" s="24" t="str">
        <f>IF(X912="","",IFERROR(INDEX($AQ$11:$AQ$4010,MATCH(902,$AY$11:$AY$4010,0)),""))</f>
        <v/>
      </c>
      <c r="AB912" s="29" t="str">
        <f>IF(X912="","",IFERROR(INDEX($AR$11:$AR$4010,MATCH(902,$AY$11:$AY$4010,0)),""))</f>
        <v/>
      </c>
      <c r="AD912" s="30" t="str">
        <f>IF(AE912="","",IFERROR(INDEX($AL$11:$AL$4010,MATCH(902,$AZ$11:$AZ$4010,0)),""))</f>
        <v/>
      </c>
      <c r="AE912" s="26" t="str">
        <f>IFERROR(INDEX($AM$11:$AM$4010,MATCH(902,$AZ$11:$AZ$4010,0)),"")</f>
        <v/>
      </c>
      <c r="AF912" s="25" t="str">
        <f>IF(AE912="","",IFERROR(INDEX($AN$11:$AN$4010,MATCH(902,$AZ$11:$AZ$4010,0)),""))</f>
        <v/>
      </c>
      <c r="AG912" s="25" t="str">
        <f>IF(AE912="","",IFERROR(INDEX($AO$11:$AO$4010,MATCH(902,$AZ$11:$AZ$4010,0)),""))</f>
        <v/>
      </c>
      <c r="AH912" s="24" t="str">
        <f>IF(AE912="","",IFERROR(INDEX($AQ$11:$AQ$4010,MATCH(902,$AZ$11:$AZ$4010,0)),""))</f>
        <v/>
      </c>
      <c r="AI912" s="29" t="str">
        <f>IF(AE912="","",IFERROR(INDEX($AR$11:$AR$4010,MATCH(902,$AZ$11:$AZ$4010,0)),""))</f>
        <v/>
      </c>
      <c r="AJ912" s="29" t="str">
        <f>IF(AE912="","",IFERROR(INDEX($AT$11:$AT$4010,MATCH(902,$AZ$11:$AZ$4010,0)),""))</f>
        <v/>
      </c>
      <c r="AL912" s="31"/>
      <c r="AM912" s="26"/>
      <c r="AN912" s="32"/>
      <c r="AO912" s="32"/>
      <c r="AP912" s="24"/>
      <c r="AQ912" s="24"/>
      <c r="AR912" s="33"/>
      <c r="AS912" s="34"/>
      <c r="AT912" s="33"/>
      <c r="AV912" s="21">
        <f>IF(AND($AL912&lt;&gt;"",COUNTIF($AL$11:$AL912,$AL912)=1),1,0)</f>
        <v>0</v>
      </c>
      <c r="AW912" s="21">
        <f t="shared" si="115"/>
        <v>2</v>
      </c>
      <c r="AX912" s="21" t="str">
        <f t="shared" si="114"/>
        <v/>
      </c>
      <c r="AY912" s="21" t="str">
        <f>IF(AND($AM912&lt;&gt;"",$AS912&lt;&gt;"✓"),SUMPRODUCT(($AM$11:$AM912&lt;&gt;"")*($AS$11:$AS912&lt;&gt;"✓")),"")</f>
        <v/>
      </c>
      <c r="AZ912" s="21" t="str">
        <f>IF(AND($AM912&lt;&gt;"",$AS912="✓"),SUMPRODUCT(($AM$11:$AM912&lt;&gt;"")*($AS$11:$AS912="✓")),"")</f>
        <v/>
      </c>
      <c r="BA912" s="21" t="str">
        <f>IF($AL912="","",$AL912&amp;"|"&amp;COUNTIF($AL$11:$AL912,$AL912))</f>
        <v/>
      </c>
    </row>
    <row r="913" spans="23:53" ht="15" customHeight="1" x14ac:dyDescent="0.25">
      <c r="W913" s="14" t="str">
        <f>IF(X913="","",IFERROR(INDEX($AL$11:$AL$4010,MATCH(903,$AY$11:$AY$4010,0)),""))</f>
        <v/>
      </c>
      <c r="X913" s="12" t="str">
        <f>IFERROR(INDEX($AM$11:$AM$4010,MATCH(903,$AY$11:$AY$4010,0)),"")</f>
        <v/>
      </c>
      <c r="Y913" s="11" t="str">
        <f>IF(X913="","",IFERROR(INDEX($AN$11:$AN$4010,MATCH(903,$AY$11:$AY$4010,0)),""))</f>
        <v/>
      </c>
      <c r="Z913" s="11" t="str">
        <f>IF(X913="","",IFERROR(INDEX($AO$11:$AO$4010,MATCH(903,$AY$11:$AY$4010,0)),""))</f>
        <v/>
      </c>
      <c r="AA913" s="10" t="str">
        <f>IF(X913="","",IFERROR(INDEX($AQ$11:$AQ$4010,MATCH(903,$AY$11:$AY$4010,0)),""))</f>
        <v/>
      </c>
      <c r="AB913" s="15" t="str">
        <f>IF(X913="","",IFERROR(INDEX($AR$11:$AR$4010,MATCH(903,$AY$11:$AY$4010,0)),""))</f>
        <v/>
      </c>
      <c r="AD913" s="16" t="str">
        <f>IF(AE913="","",IFERROR(INDEX($AL$11:$AL$4010,MATCH(903,$AZ$11:$AZ$4010,0)),""))</f>
        <v/>
      </c>
      <c r="AE913" s="12" t="str">
        <f>IFERROR(INDEX($AM$11:$AM$4010,MATCH(903,$AZ$11:$AZ$4010,0)),"")</f>
        <v/>
      </c>
      <c r="AF913" s="11" t="str">
        <f>IF(AE913="","",IFERROR(INDEX($AN$11:$AN$4010,MATCH(903,$AZ$11:$AZ$4010,0)),""))</f>
        <v/>
      </c>
      <c r="AG913" s="11" t="str">
        <f>IF(AE913="","",IFERROR(INDEX($AO$11:$AO$4010,MATCH(903,$AZ$11:$AZ$4010,0)),""))</f>
        <v/>
      </c>
      <c r="AH913" s="10" t="str">
        <f>IF(AE913="","",IFERROR(INDEX($AQ$11:$AQ$4010,MATCH(903,$AZ$11:$AZ$4010,0)),""))</f>
        <v/>
      </c>
      <c r="AI913" s="15" t="str">
        <f>IF(AE913="","",IFERROR(INDEX($AR$11:$AR$4010,MATCH(903,$AZ$11:$AZ$4010,0)),""))</f>
        <v/>
      </c>
      <c r="AJ913" s="15" t="str">
        <f>IF(AE913="","",IFERROR(INDEX($AT$11:$AT$4010,MATCH(903,$AZ$11:$AZ$4010,0)),""))</f>
        <v/>
      </c>
      <c r="AL913" s="17"/>
      <c r="AM913" s="12"/>
      <c r="AN913" s="18"/>
      <c r="AO913" s="18"/>
      <c r="AP913" s="10"/>
      <c r="AQ913" s="10"/>
      <c r="AR913" s="19"/>
      <c r="AS913" s="20"/>
      <c r="AT913" s="19"/>
      <c r="AV913" s="21">
        <f>IF(AND($AL913&lt;&gt;"",COUNTIF($AL$11:$AL913,$AL913)=1),1,0)</f>
        <v>0</v>
      </c>
      <c r="AW913" s="21">
        <f t="shared" si="115"/>
        <v>2</v>
      </c>
      <c r="AX913" s="21" t="str">
        <f t="shared" si="114"/>
        <v/>
      </c>
      <c r="AY913" s="21" t="str">
        <f>IF(AND($AM913&lt;&gt;"",$AS913&lt;&gt;"✓"),SUMPRODUCT(($AM$11:$AM913&lt;&gt;"")*($AS$11:$AS913&lt;&gt;"✓")),"")</f>
        <v/>
      </c>
      <c r="AZ913" s="21" t="str">
        <f>IF(AND($AM913&lt;&gt;"",$AS913="✓"),SUMPRODUCT(($AM$11:$AM913&lt;&gt;"")*($AS$11:$AS913="✓")),"")</f>
        <v/>
      </c>
      <c r="BA913" s="21" t="str">
        <f>IF($AL913="","",$AL913&amp;"|"&amp;COUNTIF($AL$11:$AL913,$AL913))</f>
        <v/>
      </c>
    </row>
    <row r="914" spans="23:53" ht="15" customHeight="1" x14ac:dyDescent="0.25">
      <c r="W914" s="28" t="str">
        <f>IF(X914="","",IFERROR(INDEX($AL$11:$AL$4010,MATCH(904,$AY$11:$AY$4010,0)),""))</f>
        <v/>
      </c>
      <c r="X914" s="26" t="str">
        <f>IFERROR(INDEX($AM$11:$AM$4010,MATCH(904,$AY$11:$AY$4010,0)),"")</f>
        <v/>
      </c>
      <c r="Y914" s="25" t="str">
        <f>IF(X914="","",IFERROR(INDEX($AN$11:$AN$4010,MATCH(904,$AY$11:$AY$4010,0)),""))</f>
        <v/>
      </c>
      <c r="Z914" s="25" t="str">
        <f>IF(X914="","",IFERROR(INDEX($AO$11:$AO$4010,MATCH(904,$AY$11:$AY$4010,0)),""))</f>
        <v/>
      </c>
      <c r="AA914" s="24" t="str">
        <f>IF(X914="","",IFERROR(INDEX($AQ$11:$AQ$4010,MATCH(904,$AY$11:$AY$4010,0)),""))</f>
        <v/>
      </c>
      <c r="AB914" s="29" t="str">
        <f>IF(X914="","",IFERROR(INDEX($AR$11:$AR$4010,MATCH(904,$AY$11:$AY$4010,0)),""))</f>
        <v/>
      </c>
      <c r="AD914" s="30" t="str">
        <f>IF(AE914="","",IFERROR(INDEX($AL$11:$AL$4010,MATCH(904,$AZ$11:$AZ$4010,0)),""))</f>
        <v/>
      </c>
      <c r="AE914" s="26" t="str">
        <f>IFERROR(INDEX($AM$11:$AM$4010,MATCH(904,$AZ$11:$AZ$4010,0)),"")</f>
        <v/>
      </c>
      <c r="AF914" s="25" t="str">
        <f>IF(AE914="","",IFERROR(INDEX($AN$11:$AN$4010,MATCH(904,$AZ$11:$AZ$4010,0)),""))</f>
        <v/>
      </c>
      <c r="AG914" s="25" t="str">
        <f>IF(AE914="","",IFERROR(INDEX($AO$11:$AO$4010,MATCH(904,$AZ$11:$AZ$4010,0)),""))</f>
        <v/>
      </c>
      <c r="AH914" s="24" t="str">
        <f>IF(AE914="","",IFERROR(INDEX($AQ$11:$AQ$4010,MATCH(904,$AZ$11:$AZ$4010,0)),""))</f>
        <v/>
      </c>
      <c r="AI914" s="29" t="str">
        <f>IF(AE914="","",IFERROR(INDEX($AR$11:$AR$4010,MATCH(904,$AZ$11:$AZ$4010,0)),""))</f>
        <v/>
      </c>
      <c r="AJ914" s="29" t="str">
        <f>IF(AE914="","",IFERROR(INDEX($AT$11:$AT$4010,MATCH(904,$AZ$11:$AZ$4010,0)),""))</f>
        <v/>
      </c>
      <c r="AL914" s="31"/>
      <c r="AM914" s="26"/>
      <c r="AN914" s="32"/>
      <c r="AO914" s="32"/>
      <c r="AP914" s="24"/>
      <c r="AQ914" s="24"/>
      <c r="AR914" s="33"/>
      <c r="AS914" s="34"/>
      <c r="AT914" s="33"/>
      <c r="AV914" s="21">
        <f>IF(AND($AL914&lt;&gt;"",COUNTIF($AL$11:$AL914,$AL914)=1),1,0)</f>
        <v>0</v>
      </c>
      <c r="AW914" s="21">
        <f t="shared" si="115"/>
        <v>2</v>
      </c>
      <c r="AX914" s="21" t="str">
        <f t="shared" si="114"/>
        <v/>
      </c>
      <c r="AY914" s="21" t="str">
        <f>IF(AND($AM914&lt;&gt;"",$AS914&lt;&gt;"✓"),SUMPRODUCT(($AM$11:$AM914&lt;&gt;"")*($AS$11:$AS914&lt;&gt;"✓")),"")</f>
        <v/>
      </c>
      <c r="AZ914" s="21" t="str">
        <f>IF(AND($AM914&lt;&gt;"",$AS914="✓"),SUMPRODUCT(($AM$11:$AM914&lt;&gt;"")*($AS$11:$AS914="✓")),"")</f>
        <v/>
      </c>
      <c r="BA914" s="21" t="str">
        <f>IF($AL914="","",$AL914&amp;"|"&amp;COUNTIF($AL$11:$AL914,$AL914))</f>
        <v/>
      </c>
    </row>
    <row r="915" spans="23:53" ht="15" customHeight="1" x14ac:dyDescent="0.25">
      <c r="W915" s="14" t="str">
        <f>IF(X915="","",IFERROR(INDEX($AL$11:$AL$4010,MATCH(905,$AY$11:$AY$4010,0)),""))</f>
        <v/>
      </c>
      <c r="X915" s="12" t="str">
        <f>IFERROR(INDEX($AM$11:$AM$4010,MATCH(905,$AY$11:$AY$4010,0)),"")</f>
        <v/>
      </c>
      <c r="Y915" s="11" t="str">
        <f>IF(X915="","",IFERROR(INDEX($AN$11:$AN$4010,MATCH(905,$AY$11:$AY$4010,0)),""))</f>
        <v/>
      </c>
      <c r="Z915" s="11" t="str">
        <f>IF(X915="","",IFERROR(INDEX($AO$11:$AO$4010,MATCH(905,$AY$11:$AY$4010,0)),""))</f>
        <v/>
      </c>
      <c r="AA915" s="10" t="str">
        <f>IF(X915="","",IFERROR(INDEX($AQ$11:$AQ$4010,MATCH(905,$AY$11:$AY$4010,0)),""))</f>
        <v/>
      </c>
      <c r="AB915" s="15" t="str">
        <f>IF(X915="","",IFERROR(INDEX($AR$11:$AR$4010,MATCH(905,$AY$11:$AY$4010,0)),""))</f>
        <v/>
      </c>
      <c r="AD915" s="16" t="str">
        <f>IF(AE915="","",IFERROR(INDEX($AL$11:$AL$4010,MATCH(905,$AZ$11:$AZ$4010,0)),""))</f>
        <v/>
      </c>
      <c r="AE915" s="12" t="str">
        <f>IFERROR(INDEX($AM$11:$AM$4010,MATCH(905,$AZ$11:$AZ$4010,0)),"")</f>
        <v/>
      </c>
      <c r="AF915" s="11" t="str">
        <f>IF(AE915="","",IFERROR(INDEX($AN$11:$AN$4010,MATCH(905,$AZ$11:$AZ$4010,0)),""))</f>
        <v/>
      </c>
      <c r="AG915" s="11" t="str">
        <f>IF(AE915="","",IFERROR(INDEX($AO$11:$AO$4010,MATCH(905,$AZ$11:$AZ$4010,0)),""))</f>
        <v/>
      </c>
      <c r="AH915" s="10" t="str">
        <f>IF(AE915="","",IFERROR(INDEX($AQ$11:$AQ$4010,MATCH(905,$AZ$11:$AZ$4010,0)),""))</f>
        <v/>
      </c>
      <c r="AI915" s="15" t="str">
        <f>IF(AE915="","",IFERROR(INDEX($AR$11:$AR$4010,MATCH(905,$AZ$11:$AZ$4010,0)),""))</f>
        <v/>
      </c>
      <c r="AJ915" s="15" t="str">
        <f>IF(AE915="","",IFERROR(INDEX($AT$11:$AT$4010,MATCH(905,$AZ$11:$AZ$4010,0)),""))</f>
        <v/>
      </c>
      <c r="AL915" s="17"/>
      <c r="AM915" s="12"/>
      <c r="AN915" s="18"/>
      <c r="AO915" s="18"/>
      <c r="AP915" s="10"/>
      <c r="AQ915" s="10"/>
      <c r="AR915" s="19"/>
      <c r="AS915" s="20"/>
      <c r="AT915" s="19"/>
      <c r="AV915" s="21">
        <f>IF(AND($AL915&lt;&gt;"",COUNTIF($AL$11:$AL915,$AL915)=1),1,0)</f>
        <v>0</v>
      </c>
      <c r="AW915" s="21">
        <f t="shared" si="115"/>
        <v>2</v>
      </c>
      <c r="AX915" s="21" t="str">
        <f t="shared" si="114"/>
        <v/>
      </c>
      <c r="AY915" s="21" t="str">
        <f>IF(AND($AM915&lt;&gt;"",$AS915&lt;&gt;"✓"),SUMPRODUCT(($AM$11:$AM915&lt;&gt;"")*($AS$11:$AS915&lt;&gt;"✓")),"")</f>
        <v/>
      </c>
      <c r="AZ915" s="21" t="str">
        <f>IF(AND($AM915&lt;&gt;"",$AS915="✓"),SUMPRODUCT(($AM$11:$AM915&lt;&gt;"")*($AS$11:$AS915="✓")),"")</f>
        <v/>
      </c>
      <c r="BA915" s="21" t="str">
        <f>IF($AL915="","",$AL915&amp;"|"&amp;COUNTIF($AL$11:$AL915,$AL915))</f>
        <v/>
      </c>
    </row>
    <row r="916" spans="23:53" ht="15" customHeight="1" x14ac:dyDescent="0.25">
      <c r="W916" s="28" t="str">
        <f>IF(X916="","",IFERROR(INDEX($AL$11:$AL$4010,MATCH(906,$AY$11:$AY$4010,0)),""))</f>
        <v/>
      </c>
      <c r="X916" s="26" t="str">
        <f>IFERROR(INDEX($AM$11:$AM$4010,MATCH(906,$AY$11:$AY$4010,0)),"")</f>
        <v/>
      </c>
      <c r="Y916" s="25" t="str">
        <f>IF(X916="","",IFERROR(INDEX($AN$11:$AN$4010,MATCH(906,$AY$11:$AY$4010,0)),""))</f>
        <v/>
      </c>
      <c r="Z916" s="25" t="str">
        <f>IF(X916="","",IFERROR(INDEX($AO$11:$AO$4010,MATCH(906,$AY$11:$AY$4010,0)),""))</f>
        <v/>
      </c>
      <c r="AA916" s="24" t="str">
        <f>IF(X916="","",IFERROR(INDEX($AQ$11:$AQ$4010,MATCH(906,$AY$11:$AY$4010,0)),""))</f>
        <v/>
      </c>
      <c r="AB916" s="29" t="str">
        <f>IF(X916="","",IFERROR(INDEX($AR$11:$AR$4010,MATCH(906,$AY$11:$AY$4010,0)),""))</f>
        <v/>
      </c>
      <c r="AD916" s="30" t="str">
        <f>IF(AE916="","",IFERROR(INDEX($AL$11:$AL$4010,MATCH(906,$AZ$11:$AZ$4010,0)),""))</f>
        <v/>
      </c>
      <c r="AE916" s="26" t="str">
        <f>IFERROR(INDEX($AM$11:$AM$4010,MATCH(906,$AZ$11:$AZ$4010,0)),"")</f>
        <v/>
      </c>
      <c r="AF916" s="25" t="str">
        <f>IF(AE916="","",IFERROR(INDEX($AN$11:$AN$4010,MATCH(906,$AZ$11:$AZ$4010,0)),""))</f>
        <v/>
      </c>
      <c r="AG916" s="25" t="str">
        <f>IF(AE916="","",IFERROR(INDEX($AO$11:$AO$4010,MATCH(906,$AZ$11:$AZ$4010,0)),""))</f>
        <v/>
      </c>
      <c r="AH916" s="24" t="str">
        <f>IF(AE916="","",IFERROR(INDEX($AQ$11:$AQ$4010,MATCH(906,$AZ$11:$AZ$4010,0)),""))</f>
        <v/>
      </c>
      <c r="AI916" s="29" t="str">
        <f>IF(AE916="","",IFERROR(INDEX($AR$11:$AR$4010,MATCH(906,$AZ$11:$AZ$4010,0)),""))</f>
        <v/>
      </c>
      <c r="AJ916" s="29" t="str">
        <f>IF(AE916="","",IFERROR(INDEX($AT$11:$AT$4010,MATCH(906,$AZ$11:$AZ$4010,0)),""))</f>
        <v/>
      </c>
      <c r="AL916" s="31"/>
      <c r="AM916" s="26"/>
      <c r="AN916" s="32"/>
      <c r="AO916" s="32"/>
      <c r="AP916" s="24"/>
      <c r="AQ916" s="24"/>
      <c r="AR916" s="33"/>
      <c r="AS916" s="34"/>
      <c r="AT916" s="33"/>
      <c r="AV916" s="21">
        <f>IF(AND($AL916&lt;&gt;"",COUNTIF($AL$11:$AL916,$AL916)=1),1,0)</f>
        <v>0</v>
      </c>
      <c r="AW916" s="21">
        <f t="shared" si="115"/>
        <v>2</v>
      </c>
      <c r="AX916" s="21" t="str">
        <f t="shared" si="114"/>
        <v/>
      </c>
      <c r="AY916" s="21" t="str">
        <f>IF(AND($AM916&lt;&gt;"",$AS916&lt;&gt;"✓"),SUMPRODUCT(($AM$11:$AM916&lt;&gt;"")*($AS$11:$AS916&lt;&gt;"✓")),"")</f>
        <v/>
      </c>
      <c r="AZ916" s="21" t="str">
        <f>IF(AND($AM916&lt;&gt;"",$AS916="✓"),SUMPRODUCT(($AM$11:$AM916&lt;&gt;"")*($AS$11:$AS916="✓")),"")</f>
        <v/>
      </c>
      <c r="BA916" s="21" t="str">
        <f>IF($AL916="","",$AL916&amp;"|"&amp;COUNTIF($AL$11:$AL916,$AL916))</f>
        <v/>
      </c>
    </row>
    <row r="917" spans="23:53" ht="15" customHeight="1" x14ac:dyDescent="0.25">
      <c r="W917" s="14" t="str">
        <f>IF(X917="","",IFERROR(INDEX($AL$11:$AL$4010,MATCH(907,$AY$11:$AY$4010,0)),""))</f>
        <v/>
      </c>
      <c r="X917" s="12" t="str">
        <f>IFERROR(INDEX($AM$11:$AM$4010,MATCH(907,$AY$11:$AY$4010,0)),"")</f>
        <v/>
      </c>
      <c r="Y917" s="11" t="str">
        <f>IF(X917="","",IFERROR(INDEX($AN$11:$AN$4010,MATCH(907,$AY$11:$AY$4010,0)),""))</f>
        <v/>
      </c>
      <c r="Z917" s="11" t="str">
        <f>IF(X917="","",IFERROR(INDEX($AO$11:$AO$4010,MATCH(907,$AY$11:$AY$4010,0)),""))</f>
        <v/>
      </c>
      <c r="AA917" s="10" t="str">
        <f>IF(X917="","",IFERROR(INDEX($AQ$11:$AQ$4010,MATCH(907,$AY$11:$AY$4010,0)),""))</f>
        <v/>
      </c>
      <c r="AB917" s="15" t="str">
        <f>IF(X917="","",IFERROR(INDEX($AR$11:$AR$4010,MATCH(907,$AY$11:$AY$4010,0)),""))</f>
        <v/>
      </c>
      <c r="AD917" s="16" t="str">
        <f>IF(AE917="","",IFERROR(INDEX($AL$11:$AL$4010,MATCH(907,$AZ$11:$AZ$4010,0)),""))</f>
        <v/>
      </c>
      <c r="AE917" s="12" t="str">
        <f>IFERROR(INDEX($AM$11:$AM$4010,MATCH(907,$AZ$11:$AZ$4010,0)),"")</f>
        <v/>
      </c>
      <c r="AF917" s="11" t="str">
        <f>IF(AE917="","",IFERROR(INDEX($AN$11:$AN$4010,MATCH(907,$AZ$11:$AZ$4010,0)),""))</f>
        <v/>
      </c>
      <c r="AG917" s="11" t="str">
        <f>IF(AE917="","",IFERROR(INDEX($AO$11:$AO$4010,MATCH(907,$AZ$11:$AZ$4010,0)),""))</f>
        <v/>
      </c>
      <c r="AH917" s="10" t="str">
        <f>IF(AE917="","",IFERROR(INDEX($AQ$11:$AQ$4010,MATCH(907,$AZ$11:$AZ$4010,0)),""))</f>
        <v/>
      </c>
      <c r="AI917" s="15" t="str">
        <f>IF(AE917="","",IFERROR(INDEX($AR$11:$AR$4010,MATCH(907,$AZ$11:$AZ$4010,0)),""))</f>
        <v/>
      </c>
      <c r="AJ917" s="15" t="str">
        <f>IF(AE917="","",IFERROR(INDEX($AT$11:$AT$4010,MATCH(907,$AZ$11:$AZ$4010,0)),""))</f>
        <v/>
      </c>
      <c r="AL917" s="17"/>
      <c r="AM917" s="12"/>
      <c r="AN917" s="18"/>
      <c r="AO917" s="18"/>
      <c r="AP917" s="10"/>
      <c r="AQ917" s="10"/>
      <c r="AR917" s="19"/>
      <c r="AS917" s="20"/>
      <c r="AT917" s="19"/>
      <c r="AV917" s="21">
        <f>IF(AND($AL917&lt;&gt;"",COUNTIF($AL$11:$AL917,$AL917)=1),1,0)</f>
        <v>0</v>
      </c>
      <c r="AW917" s="21">
        <f t="shared" si="115"/>
        <v>2</v>
      </c>
      <c r="AX917" s="21" t="str">
        <f t="shared" si="114"/>
        <v/>
      </c>
      <c r="AY917" s="21" t="str">
        <f>IF(AND($AM917&lt;&gt;"",$AS917&lt;&gt;"✓"),SUMPRODUCT(($AM$11:$AM917&lt;&gt;"")*($AS$11:$AS917&lt;&gt;"✓")),"")</f>
        <v/>
      </c>
      <c r="AZ917" s="21" t="str">
        <f>IF(AND($AM917&lt;&gt;"",$AS917="✓"),SUMPRODUCT(($AM$11:$AM917&lt;&gt;"")*($AS$11:$AS917="✓")),"")</f>
        <v/>
      </c>
      <c r="BA917" s="21" t="str">
        <f>IF($AL917="","",$AL917&amp;"|"&amp;COUNTIF($AL$11:$AL917,$AL917))</f>
        <v/>
      </c>
    </row>
    <row r="918" spans="23:53" ht="15" customHeight="1" x14ac:dyDescent="0.25">
      <c r="W918" s="28" t="str">
        <f>IF(X918="","",IFERROR(INDEX($AL$11:$AL$4010,MATCH(908,$AY$11:$AY$4010,0)),""))</f>
        <v/>
      </c>
      <c r="X918" s="26" t="str">
        <f>IFERROR(INDEX($AM$11:$AM$4010,MATCH(908,$AY$11:$AY$4010,0)),"")</f>
        <v/>
      </c>
      <c r="Y918" s="25" t="str">
        <f>IF(X918="","",IFERROR(INDEX($AN$11:$AN$4010,MATCH(908,$AY$11:$AY$4010,0)),""))</f>
        <v/>
      </c>
      <c r="Z918" s="25" t="str">
        <f>IF(X918="","",IFERROR(INDEX($AO$11:$AO$4010,MATCH(908,$AY$11:$AY$4010,0)),""))</f>
        <v/>
      </c>
      <c r="AA918" s="24" t="str">
        <f>IF(X918="","",IFERROR(INDEX($AQ$11:$AQ$4010,MATCH(908,$AY$11:$AY$4010,0)),""))</f>
        <v/>
      </c>
      <c r="AB918" s="29" t="str">
        <f>IF(X918="","",IFERROR(INDEX($AR$11:$AR$4010,MATCH(908,$AY$11:$AY$4010,0)),""))</f>
        <v/>
      </c>
      <c r="AD918" s="30" t="str">
        <f>IF(AE918="","",IFERROR(INDEX($AL$11:$AL$4010,MATCH(908,$AZ$11:$AZ$4010,0)),""))</f>
        <v/>
      </c>
      <c r="AE918" s="26" t="str">
        <f>IFERROR(INDEX($AM$11:$AM$4010,MATCH(908,$AZ$11:$AZ$4010,0)),"")</f>
        <v/>
      </c>
      <c r="AF918" s="25" t="str">
        <f>IF(AE918="","",IFERROR(INDEX($AN$11:$AN$4010,MATCH(908,$AZ$11:$AZ$4010,0)),""))</f>
        <v/>
      </c>
      <c r="AG918" s="25" t="str">
        <f>IF(AE918="","",IFERROR(INDEX($AO$11:$AO$4010,MATCH(908,$AZ$11:$AZ$4010,0)),""))</f>
        <v/>
      </c>
      <c r="AH918" s="24" t="str">
        <f>IF(AE918="","",IFERROR(INDEX($AQ$11:$AQ$4010,MATCH(908,$AZ$11:$AZ$4010,0)),""))</f>
        <v/>
      </c>
      <c r="AI918" s="29" t="str">
        <f>IF(AE918="","",IFERROR(INDEX($AR$11:$AR$4010,MATCH(908,$AZ$11:$AZ$4010,0)),""))</f>
        <v/>
      </c>
      <c r="AJ918" s="29" t="str">
        <f>IF(AE918="","",IFERROR(INDEX($AT$11:$AT$4010,MATCH(908,$AZ$11:$AZ$4010,0)),""))</f>
        <v/>
      </c>
      <c r="AL918" s="31"/>
      <c r="AM918" s="26"/>
      <c r="AN918" s="32"/>
      <c r="AO918" s="32"/>
      <c r="AP918" s="24"/>
      <c r="AQ918" s="24"/>
      <c r="AR918" s="33"/>
      <c r="AS918" s="34"/>
      <c r="AT918" s="33"/>
      <c r="AV918" s="21">
        <f>IF(AND($AL918&lt;&gt;"",COUNTIF($AL$11:$AL918,$AL918)=1),1,0)</f>
        <v>0</v>
      </c>
      <c r="AW918" s="21">
        <f t="shared" si="115"/>
        <v>2</v>
      </c>
      <c r="AX918" s="21" t="str">
        <f t="shared" si="114"/>
        <v/>
      </c>
      <c r="AY918" s="21" t="str">
        <f>IF(AND($AM918&lt;&gt;"",$AS918&lt;&gt;"✓"),SUMPRODUCT(($AM$11:$AM918&lt;&gt;"")*($AS$11:$AS918&lt;&gt;"✓")),"")</f>
        <v/>
      </c>
      <c r="AZ918" s="21" t="str">
        <f>IF(AND($AM918&lt;&gt;"",$AS918="✓"),SUMPRODUCT(($AM$11:$AM918&lt;&gt;"")*($AS$11:$AS918="✓")),"")</f>
        <v/>
      </c>
      <c r="BA918" s="21" t="str">
        <f>IF($AL918="","",$AL918&amp;"|"&amp;COUNTIF($AL$11:$AL918,$AL918))</f>
        <v/>
      </c>
    </row>
    <row r="919" spans="23:53" ht="15" customHeight="1" x14ac:dyDescent="0.25">
      <c r="W919" s="14" t="str">
        <f>IF(X919="","",IFERROR(INDEX($AL$11:$AL$4010,MATCH(909,$AY$11:$AY$4010,0)),""))</f>
        <v/>
      </c>
      <c r="X919" s="12" t="str">
        <f>IFERROR(INDEX($AM$11:$AM$4010,MATCH(909,$AY$11:$AY$4010,0)),"")</f>
        <v/>
      </c>
      <c r="Y919" s="11" t="str">
        <f>IF(X919="","",IFERROR(INDEX($AN$11:$AN$4010,MATCH(909,$AY$11:$AY$4010,0)),""))</f>
        <v/>
      </c>
      <c r="Z919" s="11" t="str">
        <f>IF(X919="","",IFERROR(INDEX($AO$11:$AO$4010,MATCH(909,$AY$11:$AY$4010,0)),""))</f>
        <v/>
      </c>
      <c r="AA919" s="10" t="str">
        <f>IF(X919="","",IFERROR(INDEX($AQ$11:$AQ$4010,MATCH(909,$AY$11:$AY$4010,0)),""))</f>
        <v/>
      </c>
      <c r="AB919" s="15" t="str">
        <f>IF(X919="","",IFERROR(INDEX($AR$11:$AR$4010,MATCH(909,$AY$11:$AY$4010,0)),""))</f>
        <v/>
      </c>
      <c r="AD919" s="16" t="str">
        <f>IF(AE919="","",IFERROR(INDEX($AL$11:$AL$4010,MATCH(909,$AZ$11:$AZ$4010,0)),""))</f>
        <v/>
      </c>
      <c r="AE919" s="12" t="str">
        <f>IFERROR(INDEX($AM$11:$AM$4010,MATCH(909,$AZ$11:$AZ$4010,0)),"")</f>
        <v/>
      </c>
      <c r="AF919" s="11" t="str">
        <f>IF(AE919="","",IFERROR(INDEX($AN$11:$AN$4010,MATCH(909,$AZ$11:$AZ$4010,0)),""))</f>
        <v/>
      </c>
      <c r="AG919" s="11" t="str">
        <f>IF(AE919="","",IFERROR(INDEX($AO$11:$AO$4010,MATCH(909,$AZ$11:$AZ$4010,0)),""))</f>
        <v/>
      </c>
      <c r="AH919" s="10" t="str">
        <f>IF(AE919="","",IFERROR(INDEX($AQ$11:$AQ$4010,MATCH(909,$AZ$11:$AZ$4010,0)),""))</f>
        <v/>
      </c>
      <c r="AI919" s="15" t="str">
        <f>IF(AE919="","",IFERROR(INDEX($AR$11:$AR$4010,MATCH(909,$AZ$11:$AZ$4010,0)),""))</f>
        <v/>
      </c>
      <c r="AJ919" s="15" t="str">
        <f>IF(AE919="","",IFERROR(INDEX($AT$11:$AT$4010,MATCH(909,$AZ$11:$AZ$4010,0)),""))</f>
        <v/>
      </c>
      <c r="AL919" s="17"/>
      <c r="AM919" s="12"/>
      <c r="AN919" s="18"/>
      <c r="AO919" s="18"/>
      <c r="AP919" s="10"/>
      <c r="AQ919" s="10"/>
      <c r="AR919" s="19"/>
      <c r="AS919" s="20"/>
      <c r="AT919" s="19"/>
      <c r="AV919" s="21">
        <f>IF(AND($AL919&lt;&gt;"",COUNTIF($AL$11:$AL919,$AL919)=1),1,0)</f>
        <v>0</v>
      </c>
      <c r="AW919" s="21">
        <f t="shared" si="115"/>
        <v>2</v>
      </c>
      <c r="AX919" s="21" t="str">
        <f t="shared" si="114"/>
        <v/>
      </c>
      <c r="AY919" s="21" t="str">
        <f>IF(AND($AM919&lt;&gt;"",$AS919&lt;&gt;"✓"),SUMPRODUCT(($AM$11:$AM919&lt;&gt;"")*($AS$11:$AS919&lt;&gt;"✓")),"")</f>
        <v/>
      </c>
      <c r="AZ919" s="21" t="str">
        <f>IF(AND($AM919&lt;&gt;"",$AS919="✓"),SUMPRODUCT(($AM$11:$AM919&lt;&gt;"")*($AS$11:$AS919="✓")),"")</f>
        <v/>
      </c>
      <c r="BA919" s="21" t="str">
        <f>IF($AL919="","",$AL919&amp;"|"&amp;COUNTIF($AL$11:$AL919,$AL919))</f>
        <v/>
      </c>
    </row>
    <row r="920" spans="23:53" ht="15" customHeight="1" x14ac:dyDescent="0.25">
      <c r="W920" s="28" t="str">
        <f>IF(X920="","",IFERROR(INDEX($AL$11:$AL$4010,MATCH(910,$AY$11:$AY$4010,0)),""))</f>
        <v/>
      </c>
      <c r="X920" s="26" t="str">
        <f>IFERROR(INDEX($AM$11:$AM$4010,MATCH(910,$AY$11:$AY$4010,0)),"")</f>
        <v/>
      </c>
      <c r="Y920" s="25" t="str">
        <f>IF(X920="","",IFERROR(INDEX($AN$11:$AN$4010,MATCH(910,$AY$11:$AY$4010,0)),""))</f>
        <v/>
      </c>
      <c r="Z920" s="25" t="str">
        <f>IF(X920="","",IFERROR(INDEX($AO$11:$AO$4010,MATCH(910,$AY$11:$AY$4010,0)),""))</f>
        <v/>
      </c>
      <c r="AA920" s="24" t="str">
        <f>IF(X920="","",IFERROR(INDEX($AQ$11:$AQ$4010,MATCH(910,$AY$11:$AY$4010,0)),""))</f>
        <v/>
      </c>
      <c r="AB920" s="29" t="str">
        <f>IF(X920="","",IFERROR(INDEX($AR$11:$AR$4010,MATCH(910,$AY$11:$AY$4010,0)),""))</f>
        <v/>
      </c>
      <c r="AD920" s="30" t="str">
        <f>IF(AE920="","",IFERROR(INDEX($AL$11:$AL$4010,MATCH(910,$AZ$11:$AZ$4010,0)),""))</f>
        <v/>
      </c>
      <c r="AE920" s="26" t="str">
        <f>IFERROR(INDEX($AM$11:$AM$4010,MATCH(910,$AZ$11:$AZ$4010,0)),"")</f>
        <v/>
      </c>
      <c r="AF920" s="25" t="str">
        <f>IF(AE920="","",IFERROR(INDEX($AN$11:$AN$4010,MATCH(910,$AZ$11:$AZ$4010,0)),""))</f>
        <v/>
      </c>
      <c r="AG920" s="25" t="str">
        <f>IF(AE920="","",IFERROR(INDEX($AO$11:$AO$4010,MATCH(910,$AZ$11:$AZ$4010,0)),""))</f>
        <v/>
      </c>
      <c r="AH920" s="24" t="str">
        <f>IF(AE920="","",IFERROR(INDEX($AQ$11:$AQ$4010,MATCH(910,$AZ$11:$AZ$4010,0)),""))</f>
        <v/>
      </c>
      <c r="AI920" s="29" t="str">
        <f>IF(AE920="","",IFERROR(INDEX($AR$11:$AR$4010,MATCH(910,$AZ$11:$AZ$4010,0)),""))</f>
        <v/>
      </c>
      <c r="AJ920" s="29" t="str">
        <f>IF(AE920="","",IFERROR(INDEX($AT$11:$AT$4010,MATCH(910,$AZ$11:$AZ$4010,0)),""))</f>
        <v/>
      </c>
      <c r="AL920" s="31"/>
      <c r="AM920" s="26"/>
      <c r="AN920" s="32"/>
      <c r="AO920" s="32"/>
      <c r="AP920" s="24"/>
      <c r="AQ920" s="24"/>
      <c r="AR920" s="33"/>
      <c r="AS920" s="34"/>
      <c r="AT920" s="33"/>
      <c r="AV920" s="21">
        <f>IF(AND($AL920&lt;&gt;"",COUNTIF($AL$11:$AL920,$AL920)=1),1,0)</f>
        <v>0</v>
      </c>
      <c r="AW920" s="21">
        <f t="shared" si="115"/>
        <v>2</v>
      </c>
      <c r="AX920" s="21" t="str">
        <f t="shared" si="114"/>
        <v/>
      </c>
      <c r="AY920" s="21" t="str">
        <f>IF(AND($AM920&lt;&gt;"",$AS920&lt;&gt;"✓"),SUMPRODUCT(($AM$11:$AM920&lt;&gt;"")*($AS$11:$AS920&lt;&gt;"✓")),"")</f>
        <v/>
      </c>
      <c r="AZ920" s="21" t="str">
        <f>IF(AND($AM920&lt;&gt;"",$AS920="✓"),SUMPRODUCT(($AM$11:$AM920&lt;&gt;"")*($AS$11:$AS920="✓")),"")</f>
        <v/>
      </c>
      <c r="BA920" s="21" t="str">
        <f>IF($AL920="","",$AL920&amp;"|"&amp;COUNTIF($AL$11:$AL920,$AL920))</f>
        <v/>
      </c>
    </row>
    <row r="921" spans="23:53" ht="15" customHeight="1" x14ac:dyDescent="0.25">
      <c r="W921" s="14" t="str">
        <f>IF(X921="","",IFERROR(INDEX($AL$11:$AL$4010,MATCH(911,$AY$11:$AY$4010,0)),""))</f>
        <v/>
      </c>
      <c r="X921" s="12" t="str">
        <f>IFERROR(INDEX($AM$11:$AM$4010,MATCH(911,$AY$11:$AY$4010,0)),"")</f>
        <v/>
      </c>
      <c r="Y921" s="11" t="str">
        <f>IF(X921="","",IFERROR(INDEX($AN$11:$AN$4010,MATCH(911,$AY$11:$AY$4010,0)),""))</f>
        <v/>
      </c>
      <c r="Z921" s="11" t="str">
        <f>IF(X921="","",IFERROR(INDEX($AO$11:$AO$4010,MATCH(911,$AY$11:$AY$4010,0)),""))</f>
        <v/>
      </c>
      <c r="AA921" s="10" t="str">
        <f>IF(X921="","",IFERROR(INDEX($AQ$11:$AQ$4010,MATCH(911,$AY$11:$AY$4010,0)),""))</f>
        <v/>
      </c>
      <c r="AB921" s="15" t="str">
        <f>IF(X921="","",IFERROR(INDEX($AR$11:$AR$4010,MATCH(911,$AY$11:$AY$4010,0)),""))</f>
        <v/>
      </c>
      <c r="AD921" s="16" t="str">
        <f>IF(AE921="","",IFERROR(INDEX($AL$11:$AL$4010,MATCH(911,$AZ$11:$AZ$4010,0)),""))</f>
        <v/>
      </c>
      <c r="AE921" s="12" t="str">
        <f>IFERROR(INDEX($AM$11:$AM$4010,MATCH(911,$AZ$11:$AZ$4010,0)),"")</f>
        <v/>
      </c>
      <c r="AF921" s="11" t="str">
        <f>IF(AE921="","",IFERROR(INDEX($AN$11:$AN$4010,MATCH(911,$AZ$11:$AZ$4010,0)),""))</f>
        <v/>
      </c>
      <c r="AG921" s="11" t="str">
        <f>IF(AE921="","",IFERROR(INDEX($AO$11:$AO$4010,MATCH(911,$AZ$11:$AZ$4010,0)),""))</f>
        <v/>
      </c>
      <c r="AH921" s="10" t="str">
        <f>IF(AE921="","",IFERROR(INDEX($AQ$11:$AQ$4010,MATCH(911,$AZ$11:$AZ$4010,0)),""))</f>
        <v/>
      </c>
      <c r="AI921" s="15" t="str">
        <f>IF(AE921="","",IFERROR(INDEX($AR$11:$AR$4010,MATCH(911,$AZ$11:$AZ$4010,0)),""))</f>
        <v/>
      </c>
      <c r="AJ921" s="15" t="str">
        <f>IF(AE921="","",IFERROR(INDEX($AT$11:$AT$4010,MATCH(911,$AZ$11:$AZ$4010,0)),""))</f>
        <v/>
      </c>
      <c r="AL921" s="17"/>
      <c r="AM921" s="12"/>
      <c r="AN921" s="18"/>
      <c r="AO921" s="18"/>
      <c r="AP921" s="10"/>
      <c r="AQ921" s="10"/>
      <c r="AR921" s="19"/>
      <c r="AS921" s="20"/>
      <c r="AT921" s="19"/>
      <c r="AV921" s="21">
        <f>IF(AND($AL921&lt;&gt;"",COUNTIF($AL$11:$AL921,$AL921)=1),1,0)</f>
        <v>0</v>
      </c>
      <c r="AW921" s="21">
        <f t="shared" si="115"/>
        <v>2</v>
      </c>
      <c r="AX921" s="21" t="str">
        <f t="shared" si="114"/>
        <v/>
      </c>
      <c r="AY921" s="21" t="str">
        <f>IF(AND($AM921&lt;&gt;"",$AS921&lt;&gt;"✓"),SUMPRODUCT(($AM$11:$AM921&lt;&gt;"")*($AS$11:$AS921&lt;&gt;"✓")),"")</f>
        <v/>
      </c>
      <c r="AZ921" s="21" t="str">
        <f>IF(AND($AM921&lt;&gt;"",$AS921="✓"),SUMPRODUCT(($AM$11:$AM921&lt;&gt;"")*($AS$11:$AS921="✓")),"")</f>
        <v/>
      </c>
      <c r="BA921" s="21" t="str">
        <f>IF($AL921="","",$AL921&amp;"|"&amp;COUNTIF($AL$11:$AL921,$AL921))</f>
        <v/>
      </c>
    </row>
    <row r="922" spans="23:53" ht="15" customHeight="1" x14ac:dyDescent="0.25">
      <c r="W922" s="28" t="str">
        <f>IF(X922="","",IFERROR(INDEX($AL$11:$AL$4010,MATCH(912,$AY$11:$AY$4010,0)),""))</f>
        <v/>
      </c>
      <c r="X922" s="26" t="str">
        <f>IFERROR(INDEX($AM$11:$AM$4010,MATCH(912,$AY$11:$AY$4010,0)),"")</f>
        <v/>
      </c>
      <c r="Y922" s="25" t="str">
        <f>IF(X922="","",IFERROR(INDEX($AN$11:$AN$4010,MATCH(912,$AY$11:$AY$4010,0)),""))</f>
        <v/>
      </c>
      <c r="Z922" s="25" t="str">
        <f>IF(X922="","",IFERROR(INDEX($AO$11:$AO$4010,MATCH(912,$AY$11:$AY$4010,0)),""))</f>
        <v/>
      </c>
      <c r="AA922" s="24" t="str">
        <f>IF(X922="","",IFERROR(INDEX($AQ$11:$AQ$4010,MATCH(912,$AY$11:$AY$4010,0)),""))</f>
        <v/>
      </c>
      <c r="AB922" s="29" t="str">
        <f>IF(X922="","",IFERROR(INDEX($AR$11:$AR$4010,MATCH(912,$AY$11:$AY$4010,0)),""))</f>
        <v/>
      </c>
      <c r="AD922" s="30" t="str">
        <f>IF(AE922="","",IFERROR(INDEX($AL$11:$AL$4010,MATCH(912,$AZ$11:$AZ$4010,0)),""))</f>
        <v/>
      </c>
      <c r="AE922" s="26" t="str">
        <f>IFERROR(INDEX($AM$11:$AM$4010,MATCH(912,$AZ$11:$AZ$4010,0)),"")</f>
        <v/>
      </c>
      <c r="AF922" s="25" t="str">
        <f>IF(AE922="","",IFERROR(INDEX($AN$11:$AN$4010,MATCH(912,$AZ$11:$AZ$4010,0)),""))</f>
        <v/>
      </c>
      <c r="AG922" s="25" t="str">
        <f>IF(AE922="","",IFERROR(INDEX($AO$11:$AO$4010,MATCH(912,$AZ$11:$AZ$4010,0)),""))</f>
        <v/>
      </c>
      <c r="AH922" s="24" t="str">
        <f>IF(AE922="","",IFERROR(INDEX($AQ$11:$AQ$4010,MATCH(912,$AZ$11:$AZ$4010,0)),""))</f>
        <v/>
      </c>
      <c r="AI922" s="29" t="str">
        <f>IF(AE922="","",IFERROR(INDEX($AR$11:$AR$4010,MATCH(912,$AZ$11:$AZ$4010,0)),""))</f>
        <v/>
      </c>
      <c r="AJ922" s="29" t="str">
        <f>IF(AE922="","",IFERROR(INDEX($AT$11:$AT$4010,MATCH(912,$AZ$11:$AZ$4010,0)),""))</f>
        <v/>
      </c>
      <c r="AL922" s="31"/>
      <c r="AM922" s="26"/>
      <c r="AN922" s="32"/>
      <c r="AO922" s="32"/>
      <c r="AP922" s="24"/>
      <c r="AQ922" s="24"/>
      <c r="AR922" s="33"/>
      <c r="AS922" s="34"/>
      <c r="AT922" s="33"/>
      <c r="AV922" s="21">
        <f>IF(AND($AL922&lt;&gt;"",COUNTIF($AL$11:$AL922,$AL922)=1),1,0)</f>
        <v>0</v>
      </c>
      <c r="AW922" s="21">
        <f t="shared" si="115"/>
        <v>2</v>
      </c>
      <c r="AX922" s="21" t="str">
        <f t="shared" si="114"/>
        <v/>
      </c>
      <c r="AY922" s="21" t="str">
        <f>IF(AND($AM922&lt;&gt;"",$AS922&lt;&gt;"✓"),SUMPRODUCT(($AM$11:$AM922&lt;&gt;"")*($AS$11:$AS922&lt;&gt;"✓")),"")</f>
        <v/>
      </c>
      <c r="AZ922" s="21" t="str">
        <f>IF(AND($AM922&lt;&gt;"",$AS922="✓"),SUMPRODUCT(($AM$11:$AM922&lt;&gt;"")*($AS$11:$AS922="✓")),"")</f>
        <v/>
      </c>
      <c r="BA922" s="21" t="str">
        <f>IF($AL922="","",$AL922&amp;"|"&amp;COUNTIF($AL$11:$AL922,$AL922))</f>
        <v/>
      </c>
    </row>
    <row r="923" spans="23:53" ht="15" customHeight="1" x14ac:dyDescent="0.25">
      <c r="W923" s="14" t="str">
        <f>IF(X923="","",IFERROR(INDEX($AL$11:$AL$4010,MATCH(913,$AY$11:$AY$4010,0)),""))</f>
        <v/>
      </c>
      <c r="X923" s="12" t="str">
        <f>IFERROR(INDEX($AM$11:$AM$4010,MATCH(913,$AY$11:$AY$4010,0)),"")</f>
        <v/>
      </c>
      <c r="Y923" s="11" t="str">
        <f>IF(X923="","",IFERROR(INDEX($AN$11:$AN$4010,MATCH(913,$AY$11:$AY$4010,0)),""))</f>
        <v/>
      </c>
      <c r="Z923" s="11" t="str">
        <f>IF(X923="","",IFERROR(INDEX($AO$11:$AO$4010,MATCH(913,$AY$11:$AY$4010,0)),""))</f>
        <v/>
      </c>
      <c r="AA923" s="10" t="str">
        <f>IF(X923="","",IFERROR(INDEX($AQ$11:$AQ$4010,MATCH(913,$AY$11:$AY$4010,0)),""))</f>
        <v/>
      </c>
      <c r="AB923" s="15" t="str">
        <f>IF(X923="","",IFERROR(INDEX($AR$11:$AR$4010,MATCH(913,$AY$11:$AY$4010,0)),""))</f>
        <v/>
      </c>
      <c r="AD923" s="16" t="str">
        <f>IF(AE923="","",IFERROR(INDEX($AL$11:$AL$4010,MATCH(913,$AZ$11:$AZ$4010,0)),""))</f>
        <v/>
      </c>
      <c r="AE923" s="12" t="str">
        <f>IFERROR(INDEX($AM$11:$AM$4010,MATCH(913,$AZ$11:$AZ$4010,0)),"")</f>
        <v/>
      </c>
      <c r="AF923" s="11" t="str">
        <f>IF(AE923="","",IFERROR(INDEX($AN$11:$AN$4010,MATCH(913,$AZ$11:$AZ$4010,0)),""))</f>
        <v/>
      </c>
      <c r="AG923" s="11" t="str">
        <f>IF(AE923="","",IFERROR(INDEX($AO$11:$AO$4010,MATCH(913,$AZ$11:$AZ$4010,0)),""))</f>
        <v/>
      </c>
      <c r="AH923" s="10" t="str">
        <f>IF(AE923="","",IFERROR(INDEX($AQ$11:$AQ$4010,MATCH(913,$AZ$11:$AZ$4010,0)),""))</f>
        <v/>
      </c>
      <c r="AI923" s="15" t="str">
        <f>IF(AE923="","",IFERROR(INDEX($AR$11:$AR$4010,MATCH(913,$AZ$11:$AZ$4010,0)),""))</f>
        <v/>
      </c>
      <c r="AJ923" s="15" t="str">
        <f>IF(AE923="","",IFERROR(INDEX($AT$11:$AT$4010,MATCH(913,$AZ$11:$AZ$4010,0)),""))</f>
        <v/>
      </c>
      <c r="AL923" s="17"/>
      <c r="AM923" s="12"/>
      <c r="AN923" s="18"/>
      <c r="AO923" s="18"/>
      <c r="AP923" s="10"/>
      <c r="AQ923" s="10"/>
      <c r="AR923" s="19"/>
      <c r="AS923" s="20"/>
      <c r="AT923" s="19"/>
      <c r="AV923" s="21">
        <f>IF(AND($AL923&lt;&gt;"",COUNTIF($AL$11:$AL923,$AL923)=1),1,0)</f>
        <v>0</v>
      </c>
      <c r="AW923" s="21">
        <f t="shared" si="115"/>
        <v>2</v>
      </c>
      <c r="AX923" s="21" t="str">
        <f t="shared" si="114"/>
        <v/>
      </c>
      <c r="AY923" s="21" t="str">
        <f>IF(AND($AM923&lt;&gt;"",$AS923&lt;&gt;"✓"),SUMPRODUCT(($AM$11:$AM923&lt;&gt;"")*($AS$11:$AS923&lt;&gt;"✓")),"")</f>
        <v/>
      </c>
      <c r="AZ923" s="21" t="str">
        <f>IF(AND($AM923&lt;&gt;"",$AS923="✓"),SUMPRODUCT(($AM$11:$AM923&lt;&gt;"")*($AS$11:$AS923="✓")),"")</f>
        <v/>
      </c>
      <c r="BA923" s="21" t="str">
        <f>IF($AL923="","",$AL923&amp;"|"&amp;COUNTIF($AL$11:$AL923,$AL923))</f>
        <v/>
      </c>
    </row>
    <row r="924" spans="23:53" ht="15" customHeight="1" x14ac:dyDescent="0.25">
      <c r="W924" s="28" t="str">
        <f>IF(X924="","",IFERROR(INDEX($AL$11:$AL$4010,MATCH(914,$AY$11:$AY$4010,0)),""))</f>
        <v/>
      </c>
      <c r="X924" s="26" t="str">
        <f>IFERROR(INDEX($AM$11:$AM$4010,MATCH(914,$AY$11:$AY$4010,0)),"")</f>
        <v/>
      </c>
      <c r="Y924" s="25" t="str">
        <f>IF(X924="","",IFERROR(INDEX($AN$11:$AN$4010,MATCH(914,$AY$11:$AY$4010,0)),""))</f>
        <v/>
      </c>
      <c r="Z924" s="25" t="str">
        <f>IF(X924="","",IFERROR(INDEX($AO$11:$AO$4010,MATCH(914,$AY$11:$AY$4010,0)),""))</f>
        <v/>
      </c>
      <c r="AA924" s="24" t="str">
        <f>IF(X924="","",IFERROR(INDEX($AQ$11:$AQ$4010,MATCH(914,$AY$11:$AY$4010,0)),""))</f>
        <v/>
      </c>
      <c r="AB924" s="29" t="str">
        <f>IF(X924="","",IFERROR(INDEX($AR$11:$AR$4010,MATCH(914,$AY$11:$AY$4010,0)),""))</f>
        <v/>
      </c>
      <c r="AD924" s="30" t="str">
        <f>IF(AE924="","",IFERROR(INDEX($AL$11:$AL$4010,MATCH(914,$AZ$11:$AZ$4010,0)),""))</f>
        <v/>
      </c>
      <c r="AE924" s="26" t="str">
        <f>IFERROR(INDEX($AM$11:$AM$4010,MATCH(914,$AZ$11:$AZ$4010,0)),"")</f>
        <v/>
      </c>
      <c r="AF924" s="25" t="str">
        <f>IF(AE924="","",IFERROR(INDEX($AN$11:$AN$4010,MATCH(914,$AZ$11:$AZ$4010,0)),""))</f>
        <v/>
      </c>
      <c r="AG924" s="25" t="str">
        <f>IF(AE924="","",IFERROR(INDEX($AO$11:$AO$4010,MATCH(914,$AZ$11:$AZ$4010,0)),""))</f>
        <v/>
      </c>
      <c r="AH924" s="24" t="str">
        <f>IF(AE924="","",IFERROR(INDEX($AQ$11:$AQ$4010,MATCH(914,$AZ$11:$AZ$4010,0)),""))</f>
        <v/>
      </c>
      <c r="AI924" s="29" t="str">
        <f>IF(AE924="","",IFERROR(INDEX($AR$11:$AR$4010,MATCH(914,$AZ$11:$AZ$4010,0)),""))</f>
        <v/>
      </c>
      <c r="AJ924" s="29" t="str">
        <f>IF(AE924="","",IFERROR(INDEX($AT$11:$AT$4010,MATCH(914,$AZ$11:$AZ$4010,0)),""))</f>
        <v/>
      </c>
      <c r="AL924" s="31"/>
      <c r="AM924" s="26"/>
      <c r="AN924" s="32"/>
      <c r="AO924" s="32"/>
      <c r="AP924" s="24"/>
      <c r="AQ924" s="24"/>
      <c r="AR924" s="33"/>
      <c r="AS924" s="34"/>
      <c r="AT924" s="33"/>
      <c r="AV924" s="21">
        <f>IF(AND($AL924&lt;&gt;"",COUNTIF($AL$11:$AL924,$AL924)=1),1,0)</f>
        <v>0</v>
      </c>
      <c r="AW924" s="21">
        <f t="shared" si="115"/>
        <v>2</v>
      </c>
      <c r="AX924" s="21" t="str">
        <f t="shared" si="114"/>
        <v/>
      </c>
      <c r="AY924" s="21" t="str">
        <f>IF(AND($AM924&lt;&gt;"",$AS924&lt;&gt;"✓"),SUMPRODUCT(($AM$11:$AM924&lt;&gt;"")*($AS$11:$AS924&lt;&gt;"✓")),"")</f>
        <v/>
      </c>
      <c r="AZ924" s="21" t="str">
        <f>IF(AND($AM924&lt;&gt;"",$AS924="✓"),SUMPRODUCT(($AM$11:$AM924&lt;&gt;"")*($AS$11:$AS924="✓")),"")</f>
        <v/>
      </c>
      <c r="BA924" s="21" t="str">
        <f>IF($AL924="","",$AL924&amp;"|"&amp;COUNTIF($AL$11:$AL924,$AL924))</f>
        <v/>
      </c>
    </row>
    <row r="925" spans="23:53" ht="15" customHeight="1" x14ac:dyDescent="0.25">
      <c r="W925" s="14" t="str">
        <f>IF(X925="","",IFERROR(INDEX($AL$11:$AL$4010,MATCH(915,$AY$11:$AY$4010,0)),""))</f>
        <v/>
      </c>
      <c r="X925" s="12" t="str">
        <f>IFERROR(INDEX($AM$11:$AM$4010,MATCH(915,$AY$11:$AY$4010,0)),"")</f>
        <v/>
      </c>
      <c r="Y925" s="11" t="str">
        <f>IF(X925="","",IFERROR(INDEX($AN$11:$AN$4010,MATCH(915,$AY$11:$AY$4010,0)),""))</f>
        <v/>
      </c>
      <c r="Z925" s="11" t="str">
        <f>IF(X925="","",IFERROR(INDEX($AO$11:$AO$4010,MATCH(915,$AY$11:$AY$4010,0)),""))</f>
        <v/>
      </c>
      <c r="AA925" s="10" t="str">
        <f>IF(X925="","",IFERROR(INDEX($AQ$11:$AQ$4010,MATCH(915,$AY$11:$AY$4010,0)),""))</f>
        <v/>
      </c>
      <c r="AB925" s="15" t="str">
        <f>IF(X925="","",IFERROR(INDEX($AR$11:$AR$4010,MATCH(915,$AY$11:$AY$4010,0)),""))</f>
        <v/>
      </c>
      <c r="AD925" s="16" t="str">
        <f>IF(AE925="","",IFERROR(INDEX($AL$11:$AL$4010,MATCH(915,$AZ$11:$AZ$4010,0)),""))</f>
        <v/>
      </c>
      <c r="AE925" s="12" t="str">
        <f>IFERROR(INDEX($AM$11:$AM$4010,MATCH(915,$AZ$11:$AZ$4010,0)),"")</f>
        <v/>
      </c>
      <c r="AF925" s="11" t="str">
        <f>IF(AE925="","",IFERROR(INDEX($AN$11:$AN$4010,MATCH(915,$AZ$11:$AZ$4010,0)),""))</f>
        <v/>
      </c>
      <c r="AG925" s="11" t="str">
        <f>IF(AE925="","",IFERROR(INDEX($AO$11:$AO$4010,MATCH(915,$AZ$11:$AZ$4010,0)),""))</f>
        <v/>
      </c>
      <c r="AH925" s="10" t="str">
        <f>IF(AE925="","",IFERROR(INDEX($AQ$11:$AQ$4010,MATCH(915,$AZ$11:$AZ$4010,0)),""))</f>
        <v/>
      </c>
      <c r="AI925" s="15" t="str">
        <f>IF(AE925="","",IFERROR(INDEX($AR$11:$AR$4010,MATCH(915,$AZ$11:$AZ$4010,0)),""))</f>
        <v/>
      </c>
      <c r="AJ925" s="15" t="str">
        <f>IF(AE925="","",IFERROR(INDEX($AT$11:$AT$4010,MATCH(915,$AZ$11:$AZ$4010,0)),""))</f>
        <v/>
      </c>
      <c r="AL925" s="17"/>
      <c r="AM925" s="12"/>
      <c r="AN925" s="18"/>
      <c r="AO925" s="18"/>
      <c r="AP925" s="10"/>
      <c r="AQ925" s="10"/>
      <c r="AR925" s="19"/>
      <c r="AS925" s="20"/>
      <c r="AT925" s="19"/>
      <c r="AV925" s="21">
        <f>IF(AND($AL925&lt;&gt;"",COUNTIF($AL$11:$AL925,$AL925)=1),1,0)</f>
        <v>0</v>
      </c>
      <c r="AW925" s="21">
        <f t="shared" si="115"/>
        <v>2</v>
      </c>
      <c r="AX925" s="21" t="str">
        <f t="shared" si="114"/>
        <v/>
      </c>
      <c r="AY925" s="21" t="str">
        <f>IF(AND($AM925&lt;&gt;"",$AS925&lt;&gt;"✓"),SUMPRODUCT(($AM$11:$AM925&lt;&gt;"")*($AS$11:$AS925&lt;&gt;"✓")),"")</f>
        <v/>
      </c>
      <c r="AZ925" s="21" t="str">
        <f>IF(AND($AM925&lt;&gt;"",$AS925="✓"),SUMPRODUCT(($AM$11:$AM925&lt;&gt;"")*($AS$11:$AS925="✓")),"")</f>
        <v/>
      </c>
      <c r="BA925" s="21" t="str">
        <f>IF($AL925="","",$AL925&amp;"|"&amp;COUNTIF($AL$11:$AL925,$AL925))</f>
        <v/>
      </c>
    </row>
    <row r="926" spans="23:53" ht="15" customHeight="1" x14ac:dyDescent="0.25">
      <c r="W926" s="28" t="str">
        <f>IF(X926="","",IFERROR(INDEX($AL$11:$AL$4010,MATCH(916,$AY$11:$AY$4010,0)),""))</f>
        <v/>
      </c>
      <c r="X926" s="26" t="str">
        <f>IFERROR(INDEX($AM$11:$AM$4010,MATCH(916,$AY$11:$AY$4010,0)),"")</f>
        <v/>
      </c>
      <c r="Y926" s="25" t="str">
        <f>IF(X926="","",IFERROR(INDEX($AN$11:$AN$4010,MATCH(916,$AY$11:$AY$4010,0)),""))</f>
        <v/>
      </c>
      <c r="Z926" s="25" t="str">
        <f>IF(X926="","",IFERROR(INDEX($AO$11:$AO$4010,MATCH(916,$AY$11:$AY$4010,0)),""))</f>
        <v/>
      </c>
      <c r="AA926" s="24" t="str">
        <f>IF(X926="","",IFERROR(INDEX($AQ$11:$AQ$4010,MATCH(916,$AY$11:$AY$4010,0)),""))</f>
        <v/>
      </c>
      <c r="AB926" s="29" t="str">
        <f>IF(X926="","",IFERROR(INDEX($AR$11:$AR$4010,MATCH(916,$AY$11:$AY$4010,0)),""))</f>
        <v/>
      </c>
      <c r="AD926" s="30" t="str">
        <f>IF(AE926="","",IFERROR(INDEX($AL$11:$AL$4010,MATCH(916,$AZ$11:$AZ$4010,0)),""))</f>
        <v/>
      </c>
      <c r="AE926" s="26" t="str">
        <f>IFERROR(INDEX($AM$11:$AM$4010,MATCH(916,$AZ$11:$AZ$4010,0)),"")</f>
        <v/>
      </c>
      <c r="AF926" s="25" t="str">
        <f>IF(AE926="","",IFERROR(INDEX($AN$11:$AN$4010,MATCH(916,$AZ$11:$AZ$4010,0)),""))</f>
        <v/>
      </c>
      <c r="AG926" s="25" t="str">
        <f>IF(AE926="","",IFERROR(INDEX($AO$11:$AO$4010,MATCH(916,$AZ$11:$AZ$4010,0)),""))</f>
        <v/>
      </c>
      <c r="AH926" s="24" t="str">
        <f>IF(AE926="","",IFERROR(INDEX($AQ$11:$AQ$4010,MATCH(916,$AZ$11:$AZ$4010,0)),""))</f>
        <v/>
      </c>
      <c r="AI926" s="29" t="str">
        <f>IF(AE926="","",IFERROR(INDEX($AR$11:$AR$4010,MATCH(916,$AZ$11:$AZ$4010,0)),""))</f>
        <v/>
      </c>
      <c r="AJ926" s="29" t="str">
        <f>IF(AE926="","",IFERROR(INDEX($AT$11:$AT$4010,MATCH(916,$AZ$11:$AZ$4010,0)),""))</f>
        <v/>
      </c>
      <c r="AL926" s="31"/>
      <c r="AM926" s="26"/>
      <c r="AN926" s="32"/>
      <c r="AO926" s="32"/>
      <c r="AP926" s="24"/>
      <c r="AQ926" s="24"/>
      <c r="AR926" s="33"/>
      <c r="AS926" s="34"/>
      <c r="AT926" s="33"/>
      <c r="AV926" s="21">
        <f>IF(AND($AL926&lt;&gt;"",COUNTIF($AL$11:$AL926,$AL926)=1),1,0)</f>
        <v>0</v>
      </c>
      <c r="AW926" s="21">
        <f t="shared" si="115"/>
        <v>2</v>
      </c>
      <c r="AX926" s="21" t="str">
        <f t="shared" si="114"/>
        <v/>
      </c>
      <c r="AY926" s="21" t="str">
        <f>IF(AND($AM926&lt;&gt;"",$AS926&lt;&gt;"✓"),SUMPRODUCT(($AM$11:$AM926&lt;&gt;"")*($AS$11:$AS926&lt;&gt;"✓")),"")</f>
        <v/>
      </c>
      <c r="AZ926" s="21" t="str">
        <f>IF(AND($AM926&lt;&gt;"",$AS926="✓"),SUMPRODUCT(($AM$11:$AM926&lt;&gt;"")*($AS$11:$AS926="✓")),"")</f>
        <v/>
      </c>
      <c r="BA926" s="21" t="str">
        <f>IF($AL926="","",$AL926&amp;"|"&amp;COUNTIF($AL$11:$AL926,$AL926))</f>
        <v/>
      </c>
    </row>
    <row r="927" spans="23:53" ht="15" customHeight="1" x14ac:dyDescent="0.25">
      <c r="W927" s="14" t="str">
        <f>IF(X927="","",IFERROR(INDEX($AL$11:$AL$4010,MATCH(917,$AY$11:$AY$4010,0)),""))</f>
        <v/>
      </c>
      <c r="X927" s="12" t="str">
        <f>IFERROR(INDEX($AM$11:$AM$4010,MATCH(917,$AY$11:$AY$4010,0)),"")</f>
        <v/>
      </c>
      <c r="Y927" s="11" t="str">
        <f>IF(X927="","",IFERROR(INDEX($AN$11:$AN$4010,MATCH(917,$AY$11:$AY$4010,0)),""))</f>
        <v/>
      </c>
      <c r="Z927" s="11" t="str">
        <f>IF(X927="","",IFERROR(INDEX($AO$11:$AO$4010,MATCH(917,$AY$11:$AY$4010,0)),""))</f>
        <v/>
      </c>
      <c r="AA927" s="10" t="str">
        <f>IF(X927="","",IFERROR(INDEX($AQ$11:$AQ$4010,MATCH(917,$AY$11:$AY$4010,0)),""))</f>
        <v/>
      </c>
      <c r="AB927" s="15" t="str">
        <f>IF(X927="","",IFERROR(INDEX($AR$11:$AR$4010,MATCH(917,$AY$11:$AY$4010,0)),""))</f>
        <v/>
      </c>
      <c r="AD927" s="16" t="str">
        <f>IF(AE927="","",IFERROR(INDEX($AL$11:$AL$4010,MATCH(917,$AZ$11:$AZ$4010,0)),""))</f>
        <v/>
      </c>
      <c r="AE927" s="12" t="str">
        <f>IFERROR(INDEX($AM$11:$AM$4010,MATCH(917,$AZ$11:$AZ$4010,0)),"")</f>
        <v/>
      </c>
      <c r="AF927" s="11" t="str">
        <f>IF(AE927="","",IFERROR(INDEX($AN$11:$AN$4010,MATCH(917,$AZ$11:$AZ$4010,0)),""))</f>
        <v/>
      </c>
      <c r="AG927" s="11" t="str">
        <f>IF(AE927="","",IFERROR(INDEX($AO$11:$AO$4010,MATCH(917,$AZ$11:$AZ$4010,0)),""))</f>
        <v/>
      </c>
      <c r="AH927" s="10" t="str">
        <f>IF(AE927="","",IFERROR(INDEX($AQ$11:$AQ$4010,MATCH(917,$AZ$11:$AZ$4010,0)),""))</f>
        <v/>
      </c>
      <c r="AI927" s="15" t="str">
        <f>IF(AE927="","",IFERROR(INDEX($AR$11:$AR$4010,MATCH(917,$AZ$11:$AZ$4010,0)),""))</f>
        <v/>
      </c>
      <c r="AJ927" s="15" t="str">
        <f>IF(AE927="","",IFERROR(INDEX($AT$11:$AT$4010,MATCH(917,$AZ$11:$AZ$4010,0)),""))</f>
        <v/>
      </c>
      <c r="AL927" s="17"/>
      <c r="AM927" s="12"/>
      <c r="AN927" s="18"/>
      <c r="AO927" s="18"/>
      <c r="AP927" s="10"/>
      <c r="AQ927" s="10"/>
      <c r="AR927" s="19"/>
      <c r="AS927" s="20"/>
      <c r="AT927" s="19"/>
      <c r="AV927" s="21">
        <f>IF(AND($AL927&lt;&gt;"",COUNTIF($AL$11:$AL927,$AL927)=1),1,0)</f>
        <v>0</v>
      </c>
      <c r="AW927" s="21">
        <f t="shared" si="115"/>
        <v>2</v>
      </c>
      <c r="AX927" s="21" t="str">
        <f t="shared" si="114"/>
        <v/>
      </c>
      <c r="AY927" s="21" t="str">
        <f>IF(AND($AM927&lt;&gt;"",$AS927&lt;&gt;"✓"),SUMPRODUCT(($AM$11:$AM927&lt;&gt;"")*($AS$11:$AS927&lt;&gt;"✓")),"")</f>
        <v/>
      </c>
      <c r="AZ927" s="21" t="str">
        <f>IF(AND($AM927&lt;&gt;"",$AS927="✓"),SUMPRODUCT(($AM$11:$AM927&lt;&gt;"")*($AS$11:$AS927="✓")),"")</f>
        <v/>
      </c>
      <c r="BA927" s="21" t="str">
        <f>IF($AL927="","",$AL927&amp;"|"&amp;COUNTIF($AL$11:$AL927,$AL927))</f>
        <v/>
      </c>
    </row>
    <row r="928" spans="23:53" ht="15" customHeight="1" x14ac:dyDescent="0.25">
      <c r="W928" s="28" t="str">
        <f>IF(X928="","",IFERROR(INDEX($AL$11:$AL$4010,MATCH(918,$AY$11:$AY$4010,0)),""))</f>
        <v/>
      </c>
      <c r="X928" s="26" t="str">
        <f>IFERROR(INDEX($AM$11:$AM$4010,MATCH(918,$AY$11:$AY$4010,0)),"")</f>
        <v/>
      </c>
      <c r="Y928" s="25" t="str">
        <f>IF(X928="","",IFERROR(INDEX($AN$11:$AN$4010,MATCH(918,$AY$11:$AY$4010,0)),""))</f>
        <v/>
      </c>
      <c r="Z928" s="25" t="str">
        <f>IF(X928="","",IFERROR(INDEX($AO$11:$AO$4010,MATCH(918,$AY$11:$AY$4010,0)),""))</f>
        <v/>
      </c>
      <c r="AA928" s="24" t="str">
        <f>IF(X928="","",IFERROR(INDEX($AQ$11:$AQ$4010,MATCH(918,$AY$11:$AY$4010,0)),""))</f>
        <v/>
      </c>
      <c r="AB928" s="29" t="str">
        <f>IF(X928="","",IFERROR(INDEX($AR$11:$AR$4010,MATCH(918,$AY$11:$AY$4010,0)),""))</f>
        <v/>
      </c>
      <c r="AD928" s="30" t="str">
        <f>IF(AE928="","",IFERROR(INDEX($AL$11:$AL$4010,MATCH(918,$AZ$11:$AZ$4010,0)),""))</f>
        <v/>
      </c>
      <c r="AE928" s="26" t="str">
        <f>IFERROR(INDEX($AM$11:$AM$4010,MATCH(918,$AZ$11:$AZ$4010,0)),"")</f>
        <v/>
      </c>
      <c r="AF928" s="25" t="str">
        <f>IF(AE928="","",IFERROR(INDEX($AN$11:$AN$4010,MATCH(918,$AZ$11:$AZ$4010,0)),""))</f>
        <v/>
      </c>
      <c r="AG928" s="25" t="str">
        <f>IF(AE928="","",IFERROR(INDEX($AO$11:$AO$4010,MATCH(918,$AZ$11:$AZ$4010,0)),""))</f>
        <v/>
      </c>
      <c r="AH928" s="24" t="str">
        <f>IF(AE928="","",IFERROR(INDEX($AQ$11:$AQ$4010,MATCH(918,$AZ$11:$AZ$4010,0)),""))</f>
        <v/>
      </c>
      <c r="AI928" s="29" t="str">
        <f>IF(AE928="","",IFERROR(INDEX($AR$11:$AR$4010,MATCH(918,$AZ$11:$AZ$4010,0)),""))</f>
        <v/>
      </c>
      <c r="AJ928" s="29" t="str">
        <f>IF(AE928="","",IFERROR(INDEX($AT$11:$AT$4010,MATCH(918,$AZ$11:$AZ$4010,0)),""))</f>
        <v/>
      </c>
      <c r="AL928" s="31"/>
      <c r="AM928" s="26"/>
      <c r="AN928" s="32"/>
      <c r="AO928" s="32"/>
      <c r="AP928" s="24"/>
      <c r="AQ928" s="24"/>
      <c r="AR928" s="33"/>
      <c r="AS928" s="34"/>
      <c r="AT928" s="33"/>
      <c r="AV928" s="21">
        <f>IF(AND($AL928&lt;&gt;"",COUNTIF($AL$11:$AL928,$AL928)=1),1,0)</f>
        <v>0</v>
      </c>
      <c r="AW928" s="21">
        <f t="shared" si="115"/>
        <v>2</v>
      </c>
      <c r="AX928" s="21" t="str">
        <f t="shared" si="114"/>
        <v/>
      </c>
      <c r="AY928" s="21" t="str">
        <f>IF(AND($AM928&lt;&gt;"",$AS928&lt;&gt;"✓"),SUMPRODUCT(($AM$11:$AM928&lt;&gt;"")*($AS$11:$AS928&lt;&gt;"✓")),"")</f>
        <v/>
      </c>
      <c r="AZ928" s="21" t="str">
        <f>IF(AND($AM928&lt;&gt;"",$AS928="✓"),SUMPRODUCT(($AM$11:$AM928&lt;&gt;"")*($AS$11:$AS928="✓")),"")</f>
        <v/>
      </c>
      <c r="BA928" s="21" t="str">
        <f>IF($AL928="","",$AL928&amp;"|"&amp;COUNTIF($AL$11:$AL928,$AL928))</f>
        <v/>
      </c>
    </row>
    <row r="929" spans="23:53" ht="15" customHeight="1" x14ac:dyDescent="0.25">
      <c r="W929" s="14" t="str">
        <f>IF(X929="","",IFERROR(INDEX($AL$11:$AL$4010,MATCH(919,$AY$11:$AY$4010,0)),""))</f>
        <v/>
      </c>
      <c r="X929" s="12" t="str">
        <f>IFERROR(INDEX($AM$11:$AM$4010,MATCH(919,$AY$11:$AY$4010,0)),"")</f>
        <v/>
      </c>
      <c r="Y929" s="11" t="str">
        <f>IF(X929="","",IFERROR(INDEX($AN$11:$AN$4010,MATCH(919,$AY$11:$AY$4010,0)),""))</f>
        <v/>
      </c>
      <c r="Z929" s="11" t="str">
        <f>IF(X929="","",IFERROR(INDEX($AO$11:$AO$4010,MATCH(919,$AY$11:$AY$4010,0)),""))</f>
        <v/>
      </c>
      <c r="AA929" s="10" t="str">
        <f>IF(X929="","",IFERROR(INDEX($AQ$11:$AQ$4010,MATCH(919,$AY$11:$AY$4010,0)),""))</f>
        <v/>
      </c>
      <c r="AB929" s="15" t="str">
        <f>IF(X929="","",IFERROR(INDEX($AR$11:$AR$4010,MATCH(919,$AY$11:$AY$4010,0)),""))</f>
        <v/>
      </c>
      <c r="AD929" s="16" t="str">
        <f>IF(AE929="","",IFERROR(INDEX($AL$11:$AL$4010,MATCH(919,$AZ$11:$AZ$4010,0)),""))</f>
        <v/>
      </c>
      <c r="AE929" s="12" t="str">
        <f>IFERROR(INDEX($AM$11:$AM$4010,MATCH(919,$AZ$11:$AZ$4010,0)),"")</f>
        <v/>
      </c>
      <c r="AF929" s="11" t="str">
        <f>IF(AE929="","",IFERROR(INDEX($AN$11:$AN$4010,MATCH(919,$AZ$11:$AZ$4010,0)),""))</f>
        <v/>
      </c>
      <c r="AG929" s="11" t="str">
        <f>IF(AE929="","",IFERROR(INDEX($AO$11:$AO$4010,MATCH(919,$AZ$11:$AZ$4010,0)),""))</f>
        <v/>
      </c>
      <c r="AH929" s="10" t="str">
        <f>IF(AE929="","",IFERROR(INDEX($AQ$11:$AQ$4010,MATCH(919,$AZ$11:$AZ$4010,0)),""))</f>
        <v/>
      </c>
      <c r="AI929" s="15" t="str">
        <f>IF(AE929="","",IFERROR(INDEX($AR$11:$AR$4010,MATCH(919,$AZ$11:$AZ$4010,0)),""))</f>
        <v/>
      </c>
      <c r="AJ929" s="15" t="str">
        <f>IF(AE929="","",IFERROR(INDEX($AT$11:$AT$4010,MATCH(919,$AZ$11:$AZ$4010,0)),""))</f>
        <v/>
      </c>
      <c r="AL929" s="17"/>
      <c r="AM929" s="12"/>
      <c r="AN929" s="18"/>
      <c r="AO929" s="18"/>
      <c r="AP929" s="10"/>
      <c r="AQ929" s="10"/>
      <c r="AR929" s="19"/>
      <c r="AS929" s="20"/>
      <c r="AT929" s="19"/>
      <c r="AV929" s="21">
        <f>IF(AND($AL929&lt;&gt;"",COUNTIF($AL$11:$AL929,$AL929)=1),1,0)</f>
        <v>0</v>
      </c>
      <c r="AW929" s="21">
        <f t="shared" si="115"/>
        <v>2</v>
      </c>
      <c r="AX929" s="21" t="str">
        <f t="shared" si="114"/>
        <v/>
      </c>
      <c r="AY929" s="21" t="str">
        <f>IF(AND($AM929&lt;&gt;"",$AS929&lt;&gt;"✓"),SUMPRODUCT(($AM$11:$AM929&lt;&gt;"")*($AS$11:$AS929&lt;&gt;"✓")),"")</f>
        <v/>
      </c>
      <c r="AZ929" s="21" t="str">
        <f>IF(AND($AM929&lt;&gt;"",$AS929="✓"),SUMPRODUCT(($AM$11:$AM929&lt;&gt;"")*($AS$11:$AS929="✓")),"")</f>
        <v/>
      </c>
      <c r="BA929" s="21" t="str">
        <f>IF($AL929="","",$AL929&amp;"|"&amp;COUNTIF($AL$11:$AL929,$AL929))</f>
        <v/>
      </c>
    </row>
    <row r="930" spans="23:53" ht="15" customHeight="1" x14ac:dyDescent="0.25">
      <c r="W930" s="28" t="str">
        <f>IF(X930="","",IFERROR(INDEX($AL$11:$AL$4010,MATCH(920,$AY$11:$AY$4010,0)),""))</f>
        <v/>
      </c>
      <c r="X930" s="26" t="str">
        <f>IFERROR(INDEX($AM$11:$AM$4010,MATCH(920,$AY$11:$AY$4010,0)),"")</f>
        <v/>
      </c>
      <c r="Y930" s="25" t="str">
        <f>IF(X930="","",IFERROR(INDEX($AN$11:$AN$4010,MATCH(920,$AY$11:$AY$4010,0)),""))</f>
        <v/>
      </c>
      <c r="Z930" s="25" t="str">
        <f>IF(X930="","",IFERROR(INDEX($AO$11:$AO$4010,MATCH(920,$AY$11:$AY$4010,0)),""))</f>
        <v/>
      </c>
      <c r="AA930" s="24" t="str">
        <f>IF(X930="","",IFERROR(INDEX($AQ$11:$AQ$4010,MATCH(920,$AY$11:$AY$4010,0)),""))</f>
        <v/>
      </c>
      <c r="AB930" s="29" t="str">
        <f>IF(X930="","",IFERROR(INDEX($AR$11:$AR$4010,MATCH(920,$AY$11:$AY$4010,0)),""))</f>
        <v/>
      </c>
      <c r="AD930" s="30" t="str">
        <f>IF(AE930="","",IFERROR(INDEX($AL$11:$AL$4010,MATCH(920,$AZ$11:$AZ$4010,0)),""))</f>
        <v/>
      </c>
      <c r="AE930" s="26" t="str">
        <f>IFERROR(INDEX($AM$11:$AM$4010,MATCH(920,$AZ$11:$AZ$4010,0)),"")</f>
        <v/>
      </c>
      <c r="AF930" s="25" t="str">
        <f>IF(AE930="","",IFERROR(INDEX($AN$11:$AN$4010,MATCH(920,$AZ$11:$AZ$4010,0)),""))</f>
        <v/>
      </c>
      <c r="AG930" s="25" t="str">
        <f>IF(AE930="","",IFERROR(INDEX($AO$11:$AO$4010,MATCH(920,$AZ$11:$AZ$4010,0)),""))</f>
        <v/>
      </c>
      <c r="AH930" s="24" t="str">
        <f>IF(AE930="","",IFERROR(INDEX($AQ$11:$AQ$4010,MATCH(920,$AZ$11:$AZ$4010,0)),""))</f>
        <v/>
      </c>
      <c r="AI930" s="29" t="str">
        <f>IF(AE930="","",IFERROR(INDEX($AR$11:$AR$4010,MATCH(920,$AZ$11:$AZ$4010,0)),""))</f>
        <v/>
      </c>
      <c r="AJ930" s="29" t="str">
        <f>IF(AE930="","",IFERROR(INDEX($AT$11:$AT$4010,MATCH(920,$AZ$11:$AZ$4010,0)),""))</f>
        <v/>
      </c>
      <c r="AL930" s="31"/>
      <c r="AM930" s="26"/>
      <c r="AN930" s="32"/>
      <c r="AO930" s="32"/>
      <c r="AP930" s="24"/>
      <c r="AQ930" s="24"/>
      <c r="AR930" s="33"/>
      <c r="AS930" s="34"/>
      <c r="AT930" s="33"/>
      <c r="AV930" s="21">
        <f>IF(AND($AL930&lt;&gt;"",COUNTIF($AL$11:$AL930,$AL930)=1),1,0)</f>
        <v>0</v>
      </c>
      <c r="AW930" s="21">
        <f t="shared" si="115"/>
        <v>2</v>
      </c>
      <c r="AX930" s="21" t="str">
        <f t="shared" si="114"/>
        <v/>
      </c>
      <c r="AY930" s="21" t="str">
        <f>IF(AND($AM930&lt;&gt;"",$AS930&lt;&gt;"✓"),SUMPRODUCT(($AM$11:$AM930&lt;&gt;"")*($AS$11:$AS930&lt;&gt;"✓")),"")</f>
        <v/>
      </c>
      <c r="AZ930" s="21" t="str">
        <f>IF(AND($AM930&lt;&gt;"",$AS930="✓"),SUMPRODUCT(($AM$11:$AM930&lt;&gt;"")*($AS$11:$AS930="✓")),"")</f>
        <v/>
      </c>
      <c r="BA930" s="21" t="str">
        <f>IF($AL930="","",$AL930&amp;"|"&amp;COUNTIF($AL$11:$AL930,$AL930))</f>
        <v/>
      </c>
    </row>
    <row r="931" spans="23:53" ht="15" customHeight="1" x14ac:dyDescent="0.25">
      <c r="W931" s="14" t="str">
        <f>IF(X931="","",IFERROR(INDEX($AL$11:$AL$4010,MATCH(921,$AY$11:$AY$4010,0)),""))</f>
        <v/>
      </c>
      <c r="X931" s="12" t="str">
        <f>IFERROR(INDEX($AM$11:$AM$4010,MATCH(921,$AY$11:$AY$4010,0)),"")</f>
        <v/>
      </c>
      <c r="Y931" s="11" t="str">
        <f>IF(X931="","",IFERROR(INDEX($AN$11:$AN$4010,MATCH(921,$AY$11:$AY$4010,0)),""))</f>
        <v/>
      </c>
      <c r="Z931" s="11" t="str">
        <f>IF(X931="","",IFERROR(INDEX($AO$11:$AO$4010,MATCH(921,$AY$11:$AY$4010,0)),""))</f>
        <v/>
      </c>
      <c r="AA931" s="10" t="str">
        <f>IF(X931="","",IFERROR(INDEX($AQ$11:$AQ$4010,MATCH(921,$AY$11:$AY$4010,0)),""))</f>
        <v/>
      </c>
      <c r="AB931" s="15" t="str">
        <f>IF(X931="","",IFERROR(INDEX($AR$11:$AR$4010,MATCH(921,$AY$11:$AY$4010,0)),""))</f>
        <v/>
      </c>
      <c r="AD931" s="16" t="str">
        <f>IF(AE931="","",IFERROR(INDEX($AL$11:$AL$4010,MATCH(921,$AZ$11:$AZ$4010,0)),""))</f>
        <v/>
      </c>
      <c r="AE931" s="12" t="str">
        <f>IFERROR(INDEX($AM$11:$AM$4010,MATCH(921,$AZ$11:$AZ$4010,0)),"")</f>
        <v/>
      </c>
      <c r="AF931" s="11" t="str">
        <f>IF(AE931="","",IFERROR(INDEX($AN$11:$AN$4010,MATCH(921,$AZ$11:$AZ$4010,0)),""))</f>
        <v/>
      </c>
      <c r="AG931" s="11" t="str">
        <f>IF(AE931="","",IFERROR(INDEX($AO$11:$AO$4010,MATCH(921,$AZ$11:$AZ$4010,0)),""))</f>
        <v/>
      </c>
      <c r="AH931" s="10" t="str">
        <f>IF(AE931="","",IFERROR(INDEX($AQ$11:$AQ$4010,MATCH(921,$AZ$11:$AZ$4010,0)),""))</f>
        <v/>
      </c>
      <c r="AI931" s="15" t="str">
        <f>IF(AE931="","",IFERROR(INDEX($AR$11:$AR$4010,MATCH(921,$AZ$11:$AZ$4010,0)),""))</f>
        <v/>
      </c>
      <c r="AJ931" s="15" t="str">
        <f>IF(AE931="","",IFERROR(INDEX($AT$11:$AT$4010,MATCH(921,$AZ$11:$AZ$4010,0)),""))</f>
        <v/>
      </c>
      <c r="AL931" s="17"/>
      <c r="AM931" s="12"/>
      <c r="AN931" s="18"/>
      <c r="AO931" s="18"/>
      <c r="AP931" s="10"/>
      <c r="AQ931" s="10"/>
      <c r="AR931" s="19"/>
      <c r="AS931" s="20"/>
      <c r="AT931" s="19"/>
      <c r="AV931" s="21">
        <f>IF(AND($AL931&lt;&gt;"",COUNTIF($AL$11:$AL931,$AL931)=1),1,0)</f>
        <v>0</v>
      </c>
      <c r="AW931" s="21">
        <f t="shared" si="115"/>
        <v>2</v>
      </c>
      <c r="AX931" s="21" t="str">
        <f t="shared" si="114"/>
        <v/>
      </c>
      <c r="AY931" s="21" t="str">
        <f>IF(AND($AM931&lt;&gt;"",$AS931&lt;&gt;"✓"),SUMPRODUCT(($AM$11:$AM931&lt;&gt;"")*($AS$11:$AS931&lt;&gt;"✓")),"")</f>
        <v/>
      </c>
      <c r="AZ931" s="21" t="str">
        <f>IF(AND($AM931&lt;&gt;"",$AS931="✓"),SUMPRODUCT(($AM$11:$AM931&lt;&gt;"")*($AS$11:$AS931="✓")),"")</f>
        <v/>
      </c>
      <c r="BA931" s="21" t="str">
        <f>IF($AL931="","",$AL931&amp;"|"&amp;COUNTIF($AL$11:$AL931,$AL931))</f>
        <v/>
      </c>
    </row>
    <row r="932" spans="23:53" ht="15" customHeight="1" x14ac:dyDescent="0.25">
      <c r="W932" s="28" t="str">
        <f>IF(X932="","",IFERROR(INDEX($AL$11:$AL$4010,MATCH(922,$AY$11:$AY$4010,0)),""))</f>
        <v/>
      </c>
      <c r="X932" s="26" t="str">
        <f>IFERROR(INDEX($AM$11:$AM$4010,MATCH(922,$AY$11:$AY$4010,0)),"")</f>
        <v/>
      </c>
      <c r="Y932" s="25" t="str">
        <f>IF(X932="","",IFERROR(INDEX($AN$11:$AN$4010,MATCH(922,$AY$11:$AY$4010,0)),""))</f>
        <v/>
      </c>
      <c r="Z932" s="25" t="str">
        <f>IF(X932="","",IFERROR(INDEX($AO$11:$AO$4010,MATCH(922,$AY$11:$AY$4010,0)),""))</f>
        <v/>
      </c>
      <c r="AA932" s="24" t="str">
        <f>IF(X932="","",IFERROR(INDEX($AQ$11:$AQ$4010,MATCH(922,$AY$11:$AY$4010,0)),""))</f>
        <v/>
      </c>
      <c r="AB932" s="29" t="str">
        <f>IF(X932="","",IFERROR(INDEX($AR$11:$AR$4010,MATCH(922,$AY$11:$AY$4010,0)),""))</f>
        <v/>
      </c>
      <c r="AD932" s="30" t="str">
        <f>IF(AE932="","",IFERROR(INDEX($AL$11:$AL$4010,MATCH(922,$AZ$11:$AZ$4010,0)),""))</f>
        <v/>
      </c>
      <c r="AE932" s="26" t="str">
        <f>IFERROR(INDEX($AM$11:$AM$4010,MATCH(922,$AZ$11:$AZ$4010,0)),"")</f>
        <v/>
      </c>
      <c r="AF932" s="25" t="str">
        <f>IF(AE932="","",IFERROR(INDEX($AN$11:$AN$4010,MATCH(922,$AZ$11:$AZ$4010,0)),""))</f>
        <v/>
      </c>
      <c r="AG932" s="25" t="str">
        <f>IF(AE932="","",IFERROR(INDEX($AO$11:$AO$4010,MATCH(922,$AZ$11:$AZ$4010,0)),""))</f>
        <v/>
      </c>
      <c r="AH932" s="24" t="str">
        <f>IF(AE932="","",IFERROR(INDEX($AQ$11:$AQ$4010,MATCH(922,$AZ$11:$AZ$4010,0)),""))</f>
        <v/>
      </c>
      <c r="AI932" s="29" t="str">
        <f>IF(AE932="","",IFERROR(INDEX($AR$11:$AR$4010,MATCH(922,$AZ$11:$AZ$4010,0)),""))</f>
        <v/>
      </c>
      <c r="AJ932" s="29" t="str">
        <f>IF(AE932="","",IFERROR(INDEX($AT$11:$AT$4010,MATCH(922,$AZ$11:$AZ$4010,0)),""))</f>
        <v/>
      </c>
      <c r="AL932" s="31"/>
      <c r="AM932" s="26"/>
      <c r="AN932" s="32"/>
      <c r="AO932" s="32"/>
      <c r="AP932" s="24"/>
      <c r="AQ932" s="24"/>
      <c r="AR932" s="33"/>
      <c r="AS932" s="34"/>
      <c r="AT932" s="33"/>
      <c r="AV932" s="21">
        <f>IF(AND($AL932&lt;&gt;"",COUNTIF($AL$11:$AL932,$AL932)=1),1,0)</f>
        <v>0</v>
      </c>
      <c r="AW932" s="21">
        <f t="shared" si="115"/>
        <v>2</v>
      </c>
      <c r="AX932" s="21" t="str">
        <f t="shared" si="114"/>
        <v/>
      </c>
      <c r="AY932" s="21" t="str">
        <f>IF(AND($AM932&lt;&gt;"",$AS932&lt;&gt;"✓"),SUMPRODUCT(($AM$11:$AM932&lt;&gt;"")*($AS$11:$AS932&lt;&gt;"✓")),"")</f>
        <v/>
      </c>
      <c r="AZ932" s="21" t="str">
        <f>IF(AND($AM932&lt;&gt;"",$AS932="✓"),SUMPRODUCT(($AM$11:$AM932&lt;&gt;"")*($AS$11:$AS932="✓")),"")</f>
        <v/>
      </c>
      <c r="BA932" s="21" t="str">
        <f>IF($AL932="","",$AL932&amp;"|"&amp;COUNTIF($AL$11:$AL932,$AL932))</f>
        <v/>
      </c>
    </row>
    <row r="933" spans="23:53" ht="15" customHeight="1" x14ac:dyDescent="0.25">
      <c r="W933" s="14" t="str">
        <f>IF(X933="","",IFERROR(INDEX($AL$11:$AL$4010,MATCH(923,$AY$11:$AY$4010,0)),""))</f>
        <v/>
      </c>
      <c r="X933" s="12" t="str">
        <f>IFERROR(INDEX($AM$11:$AM$4010,MATCH(923,$AY$11:$AY$4010,0)),"")</f>
        <v/>
      </c>
      <c r="Y933" s="11" t="str">
        <f>IF(X933="","",IFERROR(INDEX($AN$11:$AN$4010,MATCH(923,$AY$11:$AY$4010,0)),""))</f>
        <v/>
      </c>
      <c r="Z933" s="11" t="str">
        <f>IF(X933="","",IFERROR(INDEX($AO$11:$AO$4010,MATCH(923,$AY$11:$AY$4010,0)),""))</f>
        <v/>
      </c>
      <c r="AA933" s="10" t="str">
        <f>IF(X933="","",IFERROR(INDEX($AQ$11:$AQ$4010,MATCH(923,$AY$11:$AY$4010,0)),""))</f>
        <v/>
      </c>
      <c r="AB933" s="15" t="str">
        <f>IF(X933="","",IFERROR(INDEX($AR$11:$AR$4010,MATCH(923,$AY$11:$AY$4010,0)),""))</f>
        <v/>
      </c>
      <c r="AD933" s="16" t="str">
        <f>IF(AE933="","",IFERROR(INDEX($AL$11:$AL$4010,MATCH(923,$AZ$11:$AZ$4010,0)),""))</f>
        <v/>
      </c>
      <c r="AE933" s="12" t="str">
        <f>IFERROR(INDEX($AM$11:$AM$4010,MATCH(923,$AZ$11:$AZ$4010,0)),"")</f>
        <v/>
      </c>
      <c r="AF933" s="11" t="str">
        <f>IF(AE933="","",IFERROR(INDEX($AN$11:$AN$4010,MATCH(923,$AZ$11:$AZ$4010,0)),""))</f>
        <v/>
      </c>
      <c r="AG933" s="11" t="str">
        <f>IF(AE933="","",IFERROR(INDEX($AO$11:$AO$4010,MATCH(923,$AZ$11:$AZ$4010,0)),""))</f>
        <v/>
      </c>
      <c r="AH933" s="10" t="str">
        <f>IF(AE933="","",IFERROR(INDEX($AQ$11:$AQ$4010,MATCH(923,$AZ$11:$AZ$4010,0)),""))</f>
        <v/>
      </c>
      <c r="AI933" s="15" t="str">
        <f>IF(AE933="","",IFERROR(INDEX($AR$11:$AR$4010,MATCH(923,$AZ$11:$AZ$4010,0)),""))</f>
        <v/>
      </c>
      <c r="AJ933" s="15" t="str">
        <f>IF(AE933="","",IFERROR(INDEX($AT$11:$AT$4010,MATCH(923,$AZ$11:$AZ$4010,0)),""))</f>
        <v/>
      </c>
      <c r="AL933" s="17"/>
      <c r="AM933" s="12"/>
      <c r="AN933" s="18"/>
      <c r="AO933" s="18"/>
      <c r="AP933" s="10"/>
      <c r="AQ933" s="10"/>
      <c r="AR933" s="19"/>
      <c r="AS933" s="20"/>
      <c r="AT933" s="19"/>
      <c r="AV933" s="21">
        <f>IF(AND($AL933&lt;&gt;"",COUNTIF($AL$11:$AL933,$AL933)=1),1,0)</f>
        <v>0</v>
      </c>
      <c r="AW933" s="21">
        <f t="shared" si="115"/>
        <v>2</v>
      </c>
      <c r="AX933" s="21" t="str">
        <f t="shared" si="114"/>
        <v/>
      </c>
      <c r="AY933" s="21" t="str">
        <f>IF(AND($AM933&lt;&gt;"",$AS933&lt;&gt;"✓"),SUMPRODUCT(($AM$11:$AM933&lt;&gt;"")*($AS$11:$AS933&lt;&gt;"✓")),"")</f>
        <v/>
      </c>
      <c r="AZ933" s="21" t="str">
        <f>IF(AND($AM933&lt;&gt;"",$AS933="✓"),SUMPRODUCT(($AM$11:$AM933&lt;&gt;"")*($AS$11:$AS933="✓")),"")</f>
        <v/>
      </c>
      <c r="BA933" s="21" t="str">
        <f>IF($AL933="","",$AL933&amp;"|"&amp;COUNTIF($AL$11:$AL933,$AL933))</f>
        <v/>
      </c>
    </row>
    <row r="934" spans="23:53" ht="15" customHeight="1" x14ac:dyDescent="0.25">
      <c r="W934" s="28" t="str">
        <f>IF(X934="","",IFERROR(INDEX($AL$11:$AL$4010,MATCH(924,$AY$11:$AY$4010,0)),""))</f>
        <v/>
      </c>
      <c r="X934" s="26" t="str">
        <f>IFERROR(INDEX($AM$11:$AM$4010,MATCH(924,$AY$11:$AY$4010,0)),"")</f>
        <v/>
      </c>
      <c r="Y934" s="25" t="str">
        <f>IF(X934="","",IFERROR(INDEX($AN$11:$AN$4010,MATCH(924,$AY$11:$AY$4010,0)),""))</f>
        <v/>
      </c>
      <c r="Z934" s="25" t="str">
        <f>IF(X934="","",IFERROR(INDEX($AO$11:$AO$4010,MATCH(924,$AY$11:$AY$4010,0)),""))</f>
        <v/>
      </c>
      <c r="AA934" s="24" t="str">
        <f>IF(X934="","",IFERROR(INDEX($AQ$11:$AQ$4010,MATCH(924,$AY$11:$AY$4010,0)),""))</f>
        <v/>
      </c>
      <c r="AB934" s="29" t="str">
        <f>IF(X934="","",IFERROR(INDEX($AR$11:$AR$4010,MATCH(924,$AY$11:$AY$4010,0)),""))</f>
        <v/>
      </c>
      <c r="AD934" s="30" t="str">
        <f>IF(AE934="","",IFERROR(INDEX($AL$11:$AL$4010,MATCH(924,$AZ$11:$AZ$4010,0)),""))</f>
        <v/>
      </c>
      <c r="AE934" s="26" t="str">
        <f>IFERROR(INDEX($AM$11:$AM$4010,MATCH(924,$AZ$11:$AZ$4010,0)),"")</f>
        <v/>
      </c>
      <c r="AF934" s="25" t="str">
        <f>IF(AE934="","",IFERROR(INDEX($AN$11:$AN$4010,MATCH(924,$AZ$11:$AZ$4010,0)),""))</f>
        <v/>
      </c>
      <c r="AG934" s="25" t="str">
        <f>IF(AE934="","",IFERROR(INDEX($AO$11:$AO$4010,MATCH(924,$AZ$11:$AZ$4010,0)),""))</f>
        <v/>
      </c>
      <c r="AH934" s="24" t="str">
        <f>IF(AE934="","",IFERROR(INDEX($AQ$11:$AQ$4010,MATCH(924,$AZ$11:$AZ$4010,0)),""))</f>
        <v/>
      </c>
      <c r="AI934" s="29" t="str">
        <f>IF(AE934="","",IFERROR(INDEX($AR$11:$AR$4010,MATCH(924,$AZ$11:$AZ$4010,0)),""))</f>
        <v/>
      </c>
      <c r="AJ934" s="29" t="str">
        <f>IF(AE934="","",IFERROR(INDEX($AT$11:$AT$4010,MATCH(924,$AZ$11:$AZ$4010,0)),""))</f>
        <v/>
      </c>
      <c r="AL934" s="31"/>
      <c r="AM934" s="26"/>
      <c r="AN934" s="32"/>
      <c r="AO934" s="32"/>
      <c r="AP934" s="24"/>
      <c r="AQ934" s="24"/>
      <c r="AR934" s="33"/>
      <c r="AS934" s="34"/>
      <c r="AT934" s="33"/>
      <c r="AV934" s="21">
        <f>IF(AND($AL934&lt;&gt;"",COUNTIF($AL$11:$AL934,$AL934)=1),1,0)</f>
        <v>0</v>
      </c>
      <c r="AW934" s="21">
        <f t="shared" si="115"/>
        <v>2</v>
      </c>
      <c r="AX934" s="21" t="str">
        <f t="shared" si="114"/>
        <v/>
      </c>
      <c r="AY934" s="21" t="str">
        <f>IF(AND($AM934&lt;&gt;"",$AS934&lt;&gt;"✓"),SUMPRODUCT(($AM$11:$AM934&lt;&gt;"")*($AS$11:$AS934&lt;&gt;"✓")),"")</f>
        <v/>
      </c>
      <c r="AZ934" s="21" t="str">
        <f>IF(AND($AM934&lt;&gt;"",$AS934="✓"),SUMPRODUCT(($AM$11:$AM934&lt;&gt;"")*($AS$11:$AS934="✓")),"")</f>
        <v/>
      </c>
      <c r="BA934" s="21" t="str">
        <f>IF($AL934="","",$AL934&amp;"|"&amp;COUNTIF($AL$11:$AL934,$AL934))</f>
        <v/>
      </c>
    </row>
    <row r="935" spans="23:53" ht="15" customHeight="1" x14ac:dyDescent="0.25">
      <c r="W935" s="14" t="str">
        <f>IF(X935="","",IFERROR(INDEX($AL$11:$AL$4010,MATCH(925,$AY$11:$AY$4010,0)),""))</f>
        <v/>
      </c>
      <c r="X935" s="12" t="str">
        <f>IFERROR(INDEX($AM$11:$AM$4010,MATCH(925,$AY$11:$AY$4010,0)),"")</f>
        <v/>
      </c>
      <c r="Y935" s="11" t="str">
        <f>IF(X935="","",IFERROR(INDEX($AN$11:$AN$4010,MATCH(925,$AY$11:$AY$4010,0)),""))</f>
        <v/>
      </c>
      <c r="Z935" s="11" t="str">
        <f>IF(X935="","",IFERROR(INDEX($AO$11:$AO$4010,MATCH(925,$AY$11:$AY$4010,0)),""))</f>
        <v/>
      </c>
      <c r="AA935" s="10" t="str">
        <f>IF(X935="","",IFERROR(INDEX($AQ$11:$AQ$4010,MATCH(925,$AY$11:$AY$4010,0)),""))</f>
        <v/>
      </c>
      <c r="AB935" s="15" t="str">
        <f>IF(X935="","",IFERROR(INDEX($AR$11:$AR$4010,MATCH(925,$AY$11:$AY$4010,0)),""))</f>
        <v/>
      </c>
      <c r="AD935" s="16" t="str">
        <f>IF(AE935="","",IFERROR(INDEX($AL$11:$AL$4010,MATCH(925,$AZ$11:$AZ$4010,0)),""))</f>
        <v/>
      </c>
      <c r="AE935" s="12" t="str">
        <f>IFERROR(INDEX($AM$11:$AM$4010,MATCH(925,$AZ$11:$AZ$4010,0)),"")</f>
        <v/>
      </c>
      <c r="AF935" s="11" t="str">
        <f>IF(AE935="","",IFERROR(INDEX($AN$11:$AN$4010,MATCH(925,$AZ$11:$AZ$4010,0)),""))</f>
        <v/>
      </c>
      <c r="AG935" s="11" t="str">
        <f>IF(AE935="","",IFERROR(INDEX($AO$11:$AO$4010,MATCH(925,$AZ$11:$AZ$4010,0)),""))</f>
        <v/>
      </c>
      <c r="AH935" s="10" t="str">
        <f>IF(AE935="","",IFERROR(INDEX($AQ$11:$AQ$4010,MATCH(925,$AZ$11:$AZ$4010,0)),""))</f>
        <v/>
      </c>
      <c r="AI935" s="15" t="str">
        <f>IF(AE935="","",IFERROR(INDEX($AR$11:$AR$4010,MATCH(925,$AZ$11:$AZ$4010,0)),""))</f>
        <v/>
      </c>
      <c r="AJ935" s="15" t="str">
        <f>IF(AE935="","",IFERROR(INDEX($AT$11:$AT$4010,MATCH(925,$AZ$11:$AZ$4010,0)),""))</f>
        <v/>
      </c>
      <c r="AL935" s="17"/>
      <c r="AM935" s="12"/>
      <c r="AN935" s="18"/>
      <c r="AO935" s="18"/>
      <c r="AP935" s="10"/>
      <c r="AQ935" s="10"/>
      <c r="AR935" s="19"/>
      <c r="AS935" s="20"/>
      <c r="AT935" s="19"/>
      <c r="AV935" s="21">
        <f>IF(AND($AL935&lt;&gt;"",COUNTIF($AL$11:$AL935,$AL935)=1),1,0)</f>
        <v>0</v>
      </c>
      <c r="AW935" s="21">
        <f t="shared" si="115"/>
        <v>2</v>
      </c>
      <c r="AX935" s="21" t="str">
        <f t="shared" si="114"/>
        <v/>
      </c>
      <c r="AY935" s="21" t="str">
        <f>IF(AND($AM935&lt;&gt;"",$AS935&lt;&gt;"✓"),SUMPRODUCT(($AM$11:$AM935&lt;&gt;"")*($AS$11:$AS935&lt;&gt;"✓")),"")</f>
        <v/>
      </c>
      <c r="AZ935" s="21" t="str">
        <f>IF(AND($AM935&lt;&gt;"",$AS935="✓"),SUMPRODUCT(($AM$11:$AM935&lt;&gt;"")*($AS$11:$AS935="✓")),"")</f>
        <v/>
      </c>
      <c r="BA935" s="21" t="str">
        <f>IF($AL935="","",$AL935&amp;"|"&amp;COUNTIF($AL$11:$AL935,$AL935))</f>
        <v/>
      </c>
    </row>
    <row r="936" spans="23:53" ht="15" customHeight="1" x14ac:dyDescent="0.25">
      <c r="W936" s="28" t="str">
        <f>IF(X936="","",IFERROR(INDEX($AL$11:$AL$4010,MATCH(926,$AY$11:$AY$4010,0)),""))</f>
        <v/>
      </c>
      <c r="X936" s="26" t="str">
        <f>IFERROR(INDEX($AM$11:$AM$4010,MATCH(926,$AY$11:$AY$4010,0)),"")</f>
        <v/>
      </c>
      <c r="Y936" s="25" t="str">
        <f>IF(X936="","",IFERROR(INDEX($AN$11:$AN$4010,MATCH(926,$AY$11:$AY$4010,0)),""))</f>
        <v/>
      </c>
      <c r="Z936" s="25" t="str">
        <f>IF(X936="","",IFERROR(INDEX($AO$11:$AO$4010,MATCH(926,$AY$11:$AY$4010,0)),""))</f>
        <v/>
      </c>
      <c r="AA936" s="24" t="str">
        <f>IF(X936="","",IFERROR(INDEX($AQ$11:$AQ$4010,MATCH(926,$AY$11:$AY$4010,0)),""))</f>
        <v/>
      </c>
      <c r="AB936" s="29" t="str">
        <f>IF(X936="","",IFERROR(INDEX($AR$11:$AR$4010,MATCH(926,$AY$11:$AY$4010,0)),""))</f>
        <v/>
      </c>
      <c r="AD936" s="30" t="str">
        <f>IF(AE936="","",IFERROR(INDEX($AL$11:$AL$4010,MATCH(926,$AZ$11:$AZ$4010,0)),""))</f>
        <v/>
      </c>
      <c r="AE936" s="26" t="str">
        <f>IFERROR(INDEX($AM$11:$AM$4010,MATCH(926,$AZ$11:$AZ$4010,0)),"")</f>
        <v/>
      </c>
      <c r="AF936" s="25" t="str">
        <f>IF(AE936="","",IFERROR(INDEX($AN$11:$AN$4010,MATCH(926,$AZ$11:$AZ$4010,0)),""))</f>
        <v/>
      </c>
      <c r="AG936" s="25" t="str">
        <f>IF(AE936="","",IFERROR(INDEX($AO$11:$AO$4010,MATCH(926,$AZ$11:$AZ$4010,0)),""))</f>
        <v/>
      </c>
      <c r="AH936" s="24" t="str">
        <f>IF(AE936="","",IFERROR(INDEX($AQ$11:$AQ$4010,MATCH(926,$AZ$11:$AZ$4010,0)),""))</f>
        <v/>
      </c>
      <c r="AI936" s="29" t="str">
        <f>IF(AE936="","",IFERROR(INDEX($AR$11:$AR$4010,MATCH(926,$AZ$11:$AZ$4010,0)),""))</f>
        <v/>
      </c>
      <c r="AJ936" s="29" t="str">
        <f>IF(AE936="","",IFERROR(INDEX($AT$11:$AT$4010,MATCH(926,$AZ$11:$AZ$4010,0)),""))</f>
        <v/>
      </c>
      <c r="AL936" s="31"/>
      <c r="AM936" s="26"/>
      <c r="AN936" s="32"/>
      <c r="AO936" s="32"/>
      <c r="AP936" s="24"/>
      <c r="AQ936" s="24"/>
      <c r="AR936" s="33"/>
      <c r="AS936" s="34"/>
      <c r="AT936" s="33"/>
      <c r="AV936" s="21">
        <f>IF(AND($AL936&lt;&gt;"",COUNTIF($AL$11:$AL936,$AL936)=1),1,0)</f>
        <v>0</v>
      </c>
      <c r="AW936" s="21">
        <f t="shared" si="115"/>
        <v>2</v>
      </c>
      <c r="AX936" s="21" t="str">
        <f t="shared" si="114"/>
        <v/>
      </c>
      <c r="AY936" s="21" t="str">
        <f>IF(AND($AM936&lt;&gt;"",$AS936&lt;&gt;"✓"),SUMPRODUCT(($AM$11:$AM936&lt;&gt;"")*($AS$11:$AS936&lt;&gt;"✓")),"")</f>
        <v/>
      </c>
      <c r="AZ936" s="21" t="str">
        <f>IF(AND($AM936&lt;&gt;"",$AS936="✓"),SUMPRODUCT(($AM$11:$AM936&lt;&gt;"")*($AS$11:$AS936="✓")),"")</f>
        <v/>
      </c>
      <c r="BA936" s="21" t="str">
        <f>IF($AL936="","",$AL936&amp;"|"&amp;COUNTIF($AL$11:$AL936,$AL936))</f>
        <v/>
      </c>
    </row>
    <row r="937" spans="23:53" ht="15" customHeight="1" x14ac:dyDescent="0.25">
      <c r="W937" s="14" t="str">
        <f>IF(X937="","",IFERROR(INDEX($AL$11:$AL$4010,MATCH(927,$AY$11:$AY$4010,0)),""))</f>
        <v/>
      </c>
      <c r="X937" s="12" t="str">
        <f>IFERROR(INDEX($AM$11:$AM$4010,MATCH(927,$AY$11:$AY$4010,0)),"")</f>
        <v/>
      </c>
      <c r="Y937" s="11" t="str">
        <f>IF(X937="","",IFERROR(INDEX($AN$11:$AN$4010,MATCH(927,$AY$11:$AY$4010,0)),""))</f>
        <v/>
      </c>
      <c r="Z937" s="11" t="str">
        <f>IF(X937="","",IFERROR(INDEX($AO$11:$AO$4010,MATCH(927,$AY$11:$AY$4010,0)),""))</f>
        <v/>
      </c>
      <c r="AA937" s="10" t="str">
        <f>IF(X937="","",IFERROR(INDEX($AQ$11:$AQ$4010,MATCH(927,$AY$11:$AY$4010,0)),""))</f>
        <v/>
      </c>
      <c r="AB937" s="15" t="str">
        <f>IF(X937="","",IFERROR(INDEX($AR$11:$AR$4010,MATCH(927,$AY$11:$AY$4010,0)),""))</f>
        <v/>
      </c>
      <c r="AD937" s="16" t="str">
        <f>IF(AE937="","",IFERROR(INDEX($AL$11:$AL$4010,MATCH(927,$AZ$11:$AZ$4010,0)),""))</f>
        <v/>
      </c>
      <c r="AE937" s="12" t="str">
        <f>IFERROR(INDEX($AM$11:$AM$4010,MATCH(927,$AZ$11:$AZ$4010,0)),"")</f>
        <v/>
      </c>
      <c r="AF937" s="11" t="str">
        <f>IF(AE937="","",IFERROR(INDEX($AN$11:$AN$4010,MATCH(927,$AZ$11:$AZ$4010,0)),""))</f>
        <v/>
      </c>
      <c r="AG937" s="11" t="str">
        <f>IF(AE937="","",IFERROR(INDEX($AO$11:$AO$4010,MATCH(927,$AZ$11:$AZ$4010,0)),""))</f>
        <v/>
      </c>
      <c r="AH937" s="10" t="str">
        <f>IF(AE937="","",IFERROR(INDEX($AQ$11:$AQ$4010,MATCH(927,$AZ$11:$AZ$4010,0)),""))</f>
        <v/>
      </c>
      <c r="AI937" s="15" t="str">
        <f>IF(AE937="","",IFERROR(INDEX($AR$11:$AR$4010,MATCH(927,$AZ$11:$AZ$4010,0)),""))</f>
        <v/>
      </c>
      <c r="AJ937" s="15" t="str">
        <f>IF(AE937="","",IFERROR(INDEX($AT$11:$AT$4010,MATCH(927,$AZ$11:$AZ$4010,0)),""))</f>
        <v/>
      </c>
      <c r="AL937" s="17"/>
      <c r="AM937" s="12"/>
      <c r="AN937" s="18"/>
      <c r="AO937" s="18"/>
      <c r="AP937" s="10"/>
      <c r="AQ937" s="10"/>
      <c r="AR937" s="19"/>
      <c r="AS937" s="20"/>
      <c r="AT937" s="19"/>
      <c r="AV937" s="21">
        <f>IF(AND($AL937&lt;&gt;"",COUNTIF($AL$11:$AL937,$AL937)=1),1,0)</f>
        <v>0</v>
      </c>
      <c r="AW937" s="21">
        <f t="shared" si="115"/>
        <v>2</v>
      </c>
      <c r="AX937" s="21" t="str">
        <f t="shared" si="114"/>
        <v/>
      </c>
      <c r="AY937" s="21" t="str">
        <f>IF(AND($AM937&lt;&gt;"",$AS937&lt;&gt;"✓"),SUMPRODUCT(($AM$11:$AM937&lt;&gt;"")*($AS$11:$AS937&lt;&gt;"✓")),"")</f>
        <v/>
      </c>
      <c r="AZ937" s="21" t="str">
        <f>IF(AND($AM937&lt;&gt;"",$AS937="✓"),SUMPRODUCT(($AM$11:$AM937&lt;&gt;"")*($AS$11:$AS937="✓")),"")</f>
        <v/>
      </c>
      <c r="BA937" s="21" t="str">
        <f>IF($AL937="","",$AL937&amp;"|"&amp;COUNTIF($AL$11:$AL937,$AL937))</f>
        <v/>
      </c>
    </row>
    <row r="938" spans="23:53" ht="15" customHeight="1" x14ac:dyDescent="0.25">
      <c r="W938" s="28" t="str">
        <f>IF(X938="","",IFERROR(INDEX($AL$11:$AL$4010,MATCH(928,$AY$11:$AY$4010,0)),""))</f>
        <v/>
      </c>
      <c r="X938" s="26" t="str">
        <f>IFERROR(INDEX($AM$11:$AM$4010,MATCH(928,$AY$11:$AY$4010,0)),"")</f>
        <v/>
      </c>
      <c r="Y938" s="25" t="str">
        <f>IF(X938="","",IFERROR(INDEX($AN$11:$AN$4010,MATCH(928,$AY$11:$AY$4010,0)),""))</f>
        <v/>
      </c>
      <c r="Z938" s="25" t="str">
        <f>IF(X938="","",IFERROR(INDEX($AO$11:$AO$4010,MATCH(928,$AY$11:$AY$4010,0)),""))</f>
        <v/>
      </c>
      <c r="AA938" s="24" t="str">
        <f>IF(X938="","",IFERROR(INDEX($AQ$11:$AQ$4010,MATCH(928,$AY$11:$AY$4010,0)),""))</f>
        <v/>
      </c>
      <c r="AB938" s="29" t="str">
        <f>IF(X938="","",IFERROR(INDEX($AR$11:$AR$4010,MATCH(928,$AY$11:$AY$4010,0)),""))</f>
        <v/>
      </c>
      <c r="AD938" s="30" t="str">
        <f>IF(AE938="","",IFERROR(INDEX($AL$11:$AL$4010,MATCH(928,$AZ$11:$AZ$4010,0)),""))</f>
        <v/>
      </c>
      <c r="AE938" s="26" t="str">
        <f>IFERROR(INDEX($AM$11:$AM$4010,MATCH(928,$AZ$11:$AZ$4010,0)),"")</f>
        <v/>
      </c>
      <c r="AF938" s="25" t="str">
        <f>IF(AE938="","",IFERROR(INDEX($AN$11:$AN$4010,MATCH(928,$AZ$11:$AZ$4010,0)),""))</f>
        <v/>
      </c>
      <c r="AG938" s="25" t="str">
        <f>IF(AE938="","",IFERROR(INDEX($AO$11:$AO$4010,MATCH(928,$AZ$11:$AZ$4010,0)),""))</f>
        <v/>
      </c>
      <c r="AH938" s="24" t="str">
        <f>IF(AE938="","",IFERROR(INDEX($AQ$11:$AQ$4010,MATCH(928,$AZ$11:$AZ$4010,0)),""))</f>
        <v/>
      </c>
      <c r="AI938" s="29" t="str">
        <f>IF(AE938="","",IFERROR(INDEX($AR$11:$AR$4010,MATCH(928,$AZ$11:$AZ$4010,0)),""))</f>
        <v/>
      </c>
      <c r="AJ938" s="29" t="str">
        <f>IF(AE938="","",IFERROR(INDEX($AT$11:$AT$4010,MATCH(928,$AZ$11:$AZ$4010,0)),""))</f>
        <v/>
      </c>
      <c r="AL938" s="31"/>
      <c r="AM938" s="26"/>
      <c r="AN938" s="32"/>
      <c r="AO938" s="32"/>
      <c r="AP938" s="24"/>
      <c r="AQ938" s="24"/>
      <c r="AR938" s="33"/>
      <c r="AS938" s="34"/>
      <c r="AT938" s="33"/>
      <c r="AV938" s="21">
        <f>IF(AND($AL938&lt;&gt;"",COUNTIF($AL$11:$AL938,$AL938)=1),1,0)</f>
        <v>0</v>
      </c>
      <c r="AW938" s="21">
        <f t="shared" si="115"/>
        <v>2</v>
      </c>
      <c r="AX938" s="21" t="str">
        <f t="shared" si="114"/>
        <v/>
      </c>
      <c r="AY938" s="21" t="str">
        <f>IF(AND($AM938&lt;&gt;"",$AS938&lt;&gt;"✓"),SUMPRODUCT(($AM$11:$AM938&lt;&gt;"")*($AS$11:$AS938&lt;&gt;"✓")),"")</f>
        <v/>
      </c>
      <c r="AZ938" s="21" t="str">
        <f>IF(AND($AM938&lt;&gt;"",$AS938="✓"),SUMPRODUCT(($AM$11:$AM938&lt;&gt;"")*($AS$11:$AS938="✓")),"")</f>
        <v/>
      </c>
      <c r="BA938" s="21" t="str">
        <f>IF($AL938="","",$AL938&amp;"|"&amp;COUNTIF($AL$11:$AL938,$AL938))</f>
        <v/>
      </c>
    </row>
    <row r="939" spans="23:53" ht="15" customHeight="1" x14ac:dyDescent="0.25">
      <c r="W939" s="14" t="str">
        <f>IF(X939="","",IFERROR(INDEX($AL$11:$AL$4010,MATCH(929,$AY$11:$AY$4010,0)),""))</f>
        <v/>
      </c>
      <c r="X939" s="12" t="str">
        <f>IFERROR(INDEX($AM$11:$AM$4010,MATCH(929,$AY$11:$AY$4010,0)),"")</f>
        <v/>
      </c>
      <c r="Y939" s="11" t="str">
        <f>IF(X939="","",IFERROR(INDEX($AN$11:$AN$4010,MATCH(929,$AY$11:$AY$4010,0)),""))</f>
        <v/>
      </c>
      <c r="Z939" s="11" t="str">
        <f>IF(X939="","",IFERROR(INDEX($AO$11:$AO$4010,MATCH(929,$AY$11:$AY$4010,0)),""))</f>
        <v/>
      </c>
      <c r="AA939" s="10" t="str">
        <f>IF(X939="","",IFERROR(INDEX($AQ$11:$AQ$4010,MATCH(929,$AY$11:$AY$4010,0)),""))</f>
        <v/>
      </c>
      <c r="AB939" s="15" t="str">
        <f>IF(X939="","",IFERROR(INDEX($AR$11:$AR$4010,MATCH(929,$AY$11:$AY$4010,0)),""))</f>
        <v/>
      </c>
      <c r="AD939" s="16" t="str">
        <f>IF(AE939="","",IFERROR(INDEX($AL$11:$AL$4010,MATCH(929,$AZ$11:$AZ$4010,0)),""))</f>
        <v/>
      </c>
      <c r="AE939" s="12" t="str">
        <f>IFERROR(INDEX($AM$11:$AM$4010,MATCH(929,$AZ$11:$AZ$4010,0)),"")</f>
        <v/>
      </c>
      <c r="AF939" s="11" t="str">
        <f>IF(AE939="","",IFERROR(INDEX($AN$11:$AN$4010,MATCH(929,$AZ$11:$AZ$4010,0)),""))</f>
        <v/>
      </c>
      <c r="AG939" s="11" t="str">
        <f>IF(AE939="","",IFERROR(INDEX($AO$11:$AO$4010,MATCH(929,$AZ$11:$AZ$4010,0)),""))</f>
        <v/>
      </c>
      <c r="AH939" s="10" t="str">
        <f>IF(AE939="","",IFERROR(INDEX($AQ$11:$AQ$4010,MATCH(929,$AZ$11:$AZ$4010,0)),""))</f>
        <v/>
      </c>
      <c r="AI939" s="15" t="str">
        <f>IF(AE939="","",IFERROR(INDEX($AR$11:$AR$4010,MATCH(929,$AZ$11:$AZ$4010,0)),""))</f>
        <v/>
      </c>
      <c r="AJ939" s="15" t="str">
        <f>IF(AE939="","",IFERROR(INDEX($AT$11:$AT$4010,MATCH(929,$AZ$11:$AZ$4010,0)),""))</f>
        <v/>
      </c>
      <c r="AL939" s="17"/>
      <c r="AM939" s="12"/>
      <c r="AN939" s="18"/>
      <c r="AO939" s="18"/>
      <c r="AP939" s="10"/>
      <c r="AQ939" s="10"/>
      <c r="AR939" s="19"/>
      <c r="AS939" s="20"/>
      <c r="AT939" s="19"/>
      <c r="AV939" s="21">
        <f>IF(AND($AL939&lt;&gt;"",COUNTIF($AL$11:$AL939,$AL939)=1),1,0)</f>
        <v>0</v>
      </c>
      <c r="AW939" s="21">
        <f t="shared" si="115"/>
        <v>2</v>
      </c>
      <c r="AX939" s="21" t="str">
        <f t="shared" si="114"/>
        <v/>
      </c>
      <c r="AY939" s="21" t="str">
        <f>IF(AND($AM939&lt;&gt;"",$AS939&lt;&gt;"✓"),SUMPRODUCT(($AM$11:$AM939&lt;&gt;"")*($AS$11:$AS939&lt;&gt;"✓")),"")</f>
        <v/>
      </c>
      <c r="AZ939" s="21" t="str">
        <f>IF(AND($AM939&lt;&gt;"",$AS939="✓"),SUMPRODUCT(($AM$11:$AM939&lt;&gt;"")*($AS$11:$AS939="✓")),"")</f>
        <v/>
      </c>
      <c r="BA939" s="21" t="str">
        <f>IF($AL939="","",$AL939&amp;"|"&amp;COUNTIF($AL$11:$AL939,$AL939))</f>
        <v/>
      </c>
    </row>
    <row r="940" spans="23:53" ht="15" customHeight="1" x14ac:dyDescent="0.25">
      <c r="W940" s="28" t="str">
        <f>IF(X940="","",IFERROR(INDEX($AL$11:$AL$4010,MATCH(930,$AY$11:$AY$4010,0)),""))</f>
        <v/>
      </c>
      <c r="X940" s="26" t="str">
        <f>IFERROR(INDEX($AM$11:$AM$4010,MATCH(930,$AY$11:$AY$4010,0)),"")</f>
        <v/>
      </c>
      <c r="Y940" s="25" t="str">
        <f>IF(X940="","",IFERROR(INDEX($AN$11:$AN$4010,MATCH(930,$AY$11:$AY$4010,0)),""))</f>
        <v/>
      </c>
      <c r="Z940" s="25" t="str">
        <f>IF(X940="","",IFERROR(INDEX($AO$11:$AO$4010,MATCH(930,$AY$11:$AY$4010,0)),""))</f>
        <v/>
      </c>
      <c r="AA940" s="24" t="str">
        <f>IF(X940="","",IFERROR(INDEX($AQ$11:$AQ$4010,MATCH(930,$AY$11:$AY$4010,0)),""))</f>
        <v/>
      </c>
      <c r="AB940" s="29" t="str">
        <f>IF(X940="","",IFERROR(INDEX($AR$11:$AR$4010,MATCH(930,$AY$11:$AY$4010,0)),""))</f>
        <v/>
      </c>
      <c r="AD940" s="30" t="str">
        <f>IF(AE940="","",IFERROR(INDEX($AL$11:$AL$4010,MATCH(930,$AZ$11:$AZ$4010,0)),""))</f>
        <v/>
      </c>
      <c r="AE940" s="26" t="str">
        <f>IFERROR(INDEX($AM$11:$AM$4010,MATCH(930,$AZ$11:$AZ$4010,0)),"")</f>
        <v/>
      </c>
      <c r="AF940" s="25" t="str">
        <f>IF(AE940="","",IFERROR(INDEX($AN$11:$AN$4010,MATCH(930,$AZ$11:$AZ$4010,0)),""))</f>
        <v/>
      </c>
      <c r="AG940" s="25" t="str">
        <f>IF(AE940="","",IFERROR(INDEX($AO$11:$AO$4010,MATCH(930,$AZ$11:$AZ$4010,0)),""))</f>
        <v/>
      </c>
      <c r="AH940" s="24" t="str">
        <f>IF(AE940="","",IFERROR(INDEX($AQ$11:$AQ$4010,MATCH(930,$AZ$11:$AZ$4010,0)),""))</f>
        <v/>
      </c>
      <c r="AI940" s="29" t="str">
        <f>IF(AE940="","",IFERROR(INDEX($AR$11:$AR$4010,MATCH(930,$AZ$11:$AZ$4010,0)),""))</f>
        <v/>
      </c>
      <c r="AJ940" s="29" t="str">
        <f>IF(AE940="","",IFERROR(INDEX($AT$11:$AT$4010,MATCH(930,$AZ$11:$AZ$4010,0)),""))</f>
        <v/>
      </c>
      <c r="AL940" s="31"/>
      <c r="AM940" s="26"/>
      <c r="AN940" s="32"/>
      <c r="AO940" s="32"/>
      <c r="AP940" s="24"/>
      <c r="AQ940" s="24"/>
      <c r="AR940" s="33"/>
      <c r="AS940" s="34"/>
      <c r="AT940" s="33"/>
      <c r="AV940" s="21">
        <f>IF(AND($AL940&lt;&gt;"",COUNTIF($AL$11:$AL940,$AL940)=1),1,0)</f>
        <v>0</v>
      </c>
      <c r="AW940" s="21">
        <f t="shared" si="115"/>
        <v>2</v>
      </c>
      <c r="AX940" s="21" t="str">
        <f t="shared" si="114"/>
        <v/>
      </c>
      <c r="AY940" s="21" t="str">
        <f>IF(AND($AM940&lt;&gt;"",$AS940&lt;&gt;"✓"),SUMPRODUCT(($AM$11:$AM940&lt;&gt;"")*($AS$11:$AS940&lt;&gt;"✓")),"")</f>
        <v/>
      </c>
      <c r="AZ940" s="21" t="str">
        <f>IF(AND($AM940&lt;&gt;"",$AS940="✓"),SUMPRODUCT(($AM$11:$AM940&lt;&gt;"")*($AS$11:$AS940="✓")),"")</f>
        <v/>
      </c>
      <c r="BA940" s="21" t="str">
        <f>IF($AL940="","",$AL940&amp;"|"&amp;COUNTIF($AL$11:$AL940,$AL940))</f>
        <v/>
      </c>
    </row>
    <row r="941" spans="23:53" ht="15" customHeight="1" x14ac:dyDescent="0.25">
      <c r="W941" s="14" t="str">
        <f>IF(X941="","",IFERROR(INDEX($AL$11:$AL$4010,MATCH(931,$AY$11:$AY$4010,0)),""))</f>
        <v/>
      </c>
      <c r="X941" s="12" t="str">
        <f>IFERROR(INDEX($AM$11:$AM$4010,MATCH(931,$AY$11:$AY$4010,0)),"")</f>
        <v/>
      </c>
      <c r="Y941" s="11" t="str">
        <f>IF(X941="","",IFERROR(INDEX($AN$11:$AN$4010,MATCH(931,$AY$11:$AY$4010,0)),""))</f>
        <v/>
      </c>
      <c r="Z941" s="11" t="str">
        <f>IF(X941="","",IFERROR(INDEX($AO$11:$AO$4010,MATCH(931,$AY$11:$AY$4010,0)),""))</f>
        <v/>
      </c>
      <c r="AA941" s="10" t="str">
        <f>IF(X941="","",IFERROR(INDEX($AQ$11:$AQ$4010,MATCH(931,$AY$11:$AY$4010,0)),""))</f>
        <v/>
      </c>
      <c r="AB941" s="15" t="str">
        <f>IF(X941="","",IFERROR(INDEX($AR$11:$AR$4010,MATCH(931,$AY$11:$AY$4010,0)),""))</f>
        <v/>
      </c>
      <c r="AD941" s="16" t="str">
        <f>IF(AE941="","",IFERROR(INDEX($AL$11:$AL$4010,MATCH(931,$AZ$11:$AZ$4010,0)),""))</f>
        <v/>
      </c>
      <c r="AE941" s="12" t="str">
        <f>IFERROR(INDEX($AM$11:$AM$4010,MATCH(931,$AZ$11:$AZ$4010,0)),"")</f>
        <v/>
      </c>
      <c r="AF941" s="11" t="str">
        <f>IF(AE941="","",IFERROR(INDEX($AN$11:$AN$4010,MATCH(931,$AZ$11:$AZ$4010,0)),""))</f>
        <v/>
      </c>
      <c r="AG941" s="11" t="str">
        <f>IF(AE941="","",IFERROR(INDEX($AO$11:$AO$4010,MATCH(931,$AZ$11:$AZ$4010,0)),""))</f>
        <v/>
      </c>
      <c r="AH941" s="10" t="str">
        <f>IF(AE941="","",IFERROR(INDEX($AQ$11:$AQ$4010,MATCH(931,$AZ$11:$AZ$4010,0)),""))</f>
        <v/>
      </c>
      <c r="AI941" s="15" t="str">
        <f>IF(AE941="","",IFERROR(INDEX($AR$11:$AR$4010,MATCH(931,$AZ$11:$AZ$4010,0)),""))</f>
        <v/>
      </c>
      <c r="AJ941" s="15" t="str">
        <f>IF(AE941="","",IFERROR(INDEX($AT$11:$AT$4010,MATCH(931,$AZ$11:$AZ$4010,0)),""))</f>
        <v/>
      </c>
      <c r="AL941" s="17"/>
      <c r="AM941" s="12"/>
      <c r="AN941" s="18"/>
      <c r="AO941" s="18"/>
      <c r="AP941" s="10"/>
      <c r="AQ941" s="10"/>
      <c r="AR941" s="19"/>
      <c r="AS941" s="20"/>
      <c r="AT941" s="19"/>
      <c r="AV941" s="21">
        <f>IF(AND($AL941&lt;&gt;"",COUNTIF($AL$11:$AL941,$AL941)=1),1,0)</f>
        <v>0</v>
      </c>
      <c r="AW941" s="21">
        <f t="shared" si="115"/>
        <v>2</v>
      </c>
      <c r="AX941" s="21" t="str">
        <f t="shared" si="114"/>
        <v/>
      </c>
      <c r="AY941" s="21" t="str">
        <f>IF(AND($AM941&lt;&gt;"",$AS941&lt;&gt;"✓"),SUMPRODUCT(($AM$11:$AM941&lt;&gt;"")*($AS$11:$AS941&lt;&gt;"✓")),"")</f>
        <v/>
      </c>
      <c r="AZ941" s="21" t="str">
        <f>IF(AND($AM941&lt;&gt;"",$AS941="✓"),SUMPRODUCT(($AM$11:$AM941&lt;&gt;"")*($AS$11:$AS941="✓")),"")</f>
        <v/>
      </c>
      <c r="BA941" s="21" t="str">
        <f>IF($AL941="","",$AL941&amp;"|"&amp;COUNTIF($AL$11:$AL941,$AL941))</f>
        <v/>
      </c>
    </row>
    <row r="942" spans="23:53" ht="15" customHeight="1" x14ac:dyDescent="0.25">
      <c r="W942" s="28" t="str">
        <f>IF(X942="","",IFERROR(INDEX($AL$11:$AL$4010,MATCH(932,$AY$11:$AY$4010,0)),""))</f>
        <v/>
      </c>
      <c r="X942" s="26" t="str">
        <f>IFERROR(INDEX($AM$11:$AM$4010,MATCH(932,$AY$11:$AY$4010,0)),"")</f>
        <v/>
      </c>
      <c r="Y942" s="25" t="str">
        <f>IF(X942="","",IFERROR(INDEX($AN$11:$AN$4010,MATCH(932,$AY$11:$AY$4010,0)),""))</f>
        <v/>
      </c>
      <c r="Z942" s="25" t="str">
        <f>IF(X942="","",IFERROR(INDEX($AO$11:$AO$4010,MATCH(932,$AY$11:$AY$4010,0)),""))</f>
        <v/>
      </c>
      <c r="AA942" s="24" t="str">
        <f>IF(X942="","",IFERROR(INDEX($AQ$11:$AQ$4010,MATCH(932,$AY$11:$AY$4010,0)),""))</f>
        <v/>
      </c>
      <c r="AB942" s="29" t="str">
        <f>IF(X942="","",IFERROR(INDEX($AR$11:$AR$4010,MATCH(932,$AY$11:$AY$4010,0)),""))</f>
        <v/>
      </c>
      <c r="AD942" s="30" t="str">
        <f>IF(AE942="","",IFERROR(INDEX($AL$11:$AL$4010,MATCH(932,$AZ$11:$AZ$4010,0)),""))</f>
        <v/>
      </c>
      <c r="AE942" s="26" t="str">
        <f>IFERROR(INDEX($AM$11:$AM$4010,MATCH(932,$AZ$11:$AZ$4010,0)),"")</f>
        <v/>
      </c>
      <c r="AF942" s="25" t="str">
        <f>IF(AE942="","",IFERROR(INDEX($AN$11:$AN$4010,MATCH(932,$AZ$11:$AZ$4010,0)),""))</f>
        <v/>
      </c>
      <c r="AG942" s="25" t="str">
        <f>IF(AE942="","",IFERROR(INDEX($AO$11:$AO$4010,MATCH(932,$AZ$11:$AZ$4010,0)),""))</f>
        <v/>
      </c>
      <c r="AH942" s="24" t="str">
        <f>IF(AE942="","",IFERROR(INDEX($AQ$11:$AQ$4010,MATCH(932,$AZ$11:$AZ$4010,0)),""))</f>
        <v/>
      </c>
      <c r="AI942" s="29" t="str">
        <f>IF(AE942="","",IFERROR(INDEX($AR$11:$AR$4010,MATCH(932,$AZ$11:$AZ$4010,0)),""))</f>
        <v/>
      </c>
      <c r="AJ942" s="29" t="str">
        <f>IF(AE942="","",IFERROR(INDEX($AT$11:$AT$4010,MATCH(932,$AZ$11:$AZ$4010,0)),""))</f>
        <v/>
      </c>
      <c r="AL942" s="31"/>
      <c r="AM942" s="26"/>
      <c r="AN942" s="32"/>
      <c r="AO942" s="32"/>
      <c r="AP942" s="24"/>
      <c r="AQ942" s="24"/>
      <c r="AR942" s="33"/>
      <c r="AS942" s="34"/>
      <c r="AT942" s="33"/>
      <c r="AV942" s="21">
        <f>IF(AND($AL942&lt;&gt;"",COUNTIF($AL$11:$AL942,$AL942)=1),1,0)</f>
        <v>0</v>
      </c>
      <c r="AW942" s="21">
        <f t="shared" si="115"/>
        <v>2</v>
      </c>
      <c r="AX942" s="21" t="str">
        <f t="shared" si="114"/>
        <v/>
      </c>
      <c r="AY942" s="21" t="str">
        <f>IF(AND($AM942&lt;&gt;"",$AS942&lt;&gt;"✓"),SUMPRODUCT(($AM$11:$AM942&lt;&gt;"")*($AS$11:$AS942&lt;&gt;"✓")),"")</f>
        <v/>
      </c>
      <c r="AZ942" s="21" t="str">
        <f>IF(AND($AM942&lt;&gt;"",$AS942="✓"),SUMPRODUCT(($AM$11:$AM942&lt;&gt;"")*($AS$11:$AS942="✓")),"")</f>
        <v/>
      </c>
      <c r="BA942" s="21" t="str">
        <f>IF($AL942="","",$AL942&amp;"|"&amp;COUNTIF($AL$11:$AL942,$AL942))</f>
        <v/>
      </c>
    </row>
    <row r="943" spans="23:53" ht="15" customHeight="1" x14ac:dyDescent="0.25">
      <c r="W943" s="14" t="str">
        <f>IF(X943="","",IFERROR(INDEX($AL$11:$AL$4010,MATCH(933,$AY$11:$AY$4010,0)),""))</f>
        <v/>
      </c>
      <c r="X943" s="12" t="str">
        <f>IFERROR(INDEX($AM$11:$AM$4010,MATCH(933,$AY$11:$AY$4010,0)),"")</f>
        <v/>
      </c>
      <c r="Y943" s="11" t="str">
        <f>IF(X943="","",IFERROR(INDEX($AN$11:$AN$4010,MATCH(933,$AY$11:$AY$4010,0)),""))</f>
        <v/>
      </c>
      <c r="Z943" s="11" t="str">
        <f>IF(X943="","",IFERROR(INDEX($AO$11:$AO$4010,MATCH(933,$AY$11:$AY$4010,0)),""))</f>
        <v/>
      </c>
      <c r="AA943" s="10" t="str">
        <f>IF(X943="","",IFERROR(INDEX($AQ$11:$AQ$4010,MATCH(933,$AY$11:$AY$4010,0)),""))</f>
        <v/>
      </c>
      <c r="AB943" s="15" t="str">
        <f>IF(X943="","",IFERROR(INDEX($AR$11:$AR$4010,MATCH(933,$AY$11:$AY$4010,0)),""))</f>
        <v/>
      </c>
      <c r="AD943" s="16" t="str">
        <f>IF(AE943="","",IFERROR(INDEX($AL$11:$AL$4010,MATCH(933,$AZ$11:$AZ$4010,0)),""))</f>
        <v/>
      </c>
      <c r="AE943" s="12" t="str">
        <f>IFERROR(INDEX($AM$11:$AM$4010,MATCH(933,$AZ$11:$AZ$4010,0)),"")</f>
        <v/>
      </c>
      <c r="AF943" s="11" t="str">
        <f>IF(AE943="","",IFERROR(INDEX($AN$11:$AN$4010,MATCH(933,$AZ$11:$AZ$4010,0)),""))</f>
        <v/>
      </c>
      <c r="AG943" s="11" t="str">
        <f>IF(AE943="","",IFERROR(INDEX($AO$11:$AO$4010,MATCH(933,$AZ$11:$AZ$4010,0)),""))</f>
        <v/>
      </c>
      <c r="AH943" s="10" t="str">
        <f>IF(AE943="","",IFERROR(INDEX($AQ$11:$AQ$4010,MATCH(933,$AZ$11:$AZ$4010,0)),""))</f>
        <v/>
      </c>
      <c r="AI943" s="15" t="str">
        <f>IF(AE943="","",IFERROR(INDEX($AR$11:$AR$4010,MATCH(933,$AZ$11:$AZ$4010,0)),""))</f>
        <v/>
      </c>
      <c r="AJ943" s="15" t="str">
        <f>IF(AE943="","",IFERROR(INDEX($AT$11:$AT$4010,MATCH(933,$AZ$11:$AZ$4010,0)),""))</f>
        <v/>
      </c>
      <c r="AL943" s="17"/>
      <c r="AM943" s="12"/>
      <c r="AN943" s="18"/>
      <c r="AO943" s="18"/>
      <c r="AP943" s="10"/>
      <c r="AQ943" s="10"/>
      <c r="AR943" s="19"/>
      <c r="AS943" s="20"/>
      <c r="AT943" s="19"/>
      <c r="AV943" s="21">
        <f>IF(AND($AL943&lt;&gt;"",COUNTIF($AL$11:$AL943,$AL943)=1),1,0)</f>
        <v>0</v>
      </c>
      <c r="AW943" s="21">
        <f t="shared" si="115"/>
        <v>2</v>
      </c>
      <c r="AX943" s="21" t="str">
        <f t="shared" si="114"/>
        <v/>
      </c>
      <c r="AY943" s="21" t="str">
        <f>IF(AND($AM943&lt;&gt;"",$AS943&lt;&gt;"✓"),SUMPRODUCT(($AM$11:$AM943&lt;&gt;"")*($AS$11:$AS943&lt;&gt;"✓")),"")</f>
        <v/>
      </c>
      <c r="AZ943" s="21" t="str">
        <f>IF(AND($AM943&lt;&gt;"",$AS943="✓"),SUMPRODUCT(($AM$11:$AM943&lt;&gt;"")*($AS$11:$AS943="✓")),"")</f>
        <v/>
      </c>
      <c r="BA943" s="21" t="str">
        <f>IF($AL943="","",$AL943&amp;"|"&amp;COUNTIF($AL$11:$AL943,$AL943))</f>
        <v/>
      </c>
    </row>
    <row r="944" spans="23:53" ht="15" customHeight="1" x14ac:dyDescent="0.25">
      <c r="W944" s="28" t="str">
        <f>IF(X944="","",IFERROR(INDEX($AL$11:$AL$4010,MATCH(934,$AY$11:$AY$4010,0)),""))</f>
        <v/>
      </c>
      <c r="X944" s="26" t="str">
        <f>IFERROR(INDEX($AM$11:$AM$4010,MATCH(934,$AY$11:$AY$4010,0)),"")</f>
        <v/>
      </c>
      <c r="Y944" s="25" t="str">
        <f>IF(X944="","",IFERROR(INDEX($AN$11:$AN$4010,MATCH(934,$AY$11:$AY$4010,0)),""))</f>
        <v/>
      </c>
      <c r="Z944" s="25" t="str">
        <f>IF(X944="","",IFERROR(INDEX($AO$11:$AO$4010,MATCH(934,$AY$11:$AY$4010,0)),""))</f>
        <v/>
      </c>
      <c r="AA944" s="24" t="str">
        <f>IF(X944="","",IFERROR(INDEX($AQ$11:$AQ$4010,MATCH(934,$AY$11:$AY$4010,0)),""))</f>
        <v/>
      </c>
      <c r="AB944" s="29" t="str">
        <f>IF(X944="","",IFERROR(INDEX($AR$11:$AR$4010,MATCH(934,$AY$11:$AY$4010,0)),""))</f>
        <v/>
      </c>
      <c r="AD944" s="30" t="str">
        <f>IF(AE944="","",IFERROR(INDEX($AL$11:$AL$4010,MATCH(934,$AZ$11:$AZ$4010,0)),""))</f>
        <v/>
      </c>
      <c r="AE944" s="26" t="str">
        <f>IFERROR(INDEX($AM$11:$AM$4010,MATCH(934,$AZ$11:$AZ$4010,0)),"")</f>
        <v/>
      </c>
      <c r="AF944" s="25" t="str">
        <f>IF(AE944="","",IFERROR(INDEX($AN$11:$AN$4010,MATCH(934,$AZ$11:$AZ$4010,0)),""))</f>
        <v/>
      </c>
      <c r="AG944" s="25" t="str">
        <f>IF(AE944="","",IFERROR(INDEX($AO$11:$AO$4010,MATCH(934,$AZ$11:$AZ$4010,0)),""))</f>
        <v/>
      </c>
      <c r="AH944" s="24" t="str">
        <f>IF(AE944="","",IFERROR(INDEX($AQ$11:$AQ$4010,MATCH(934,$AZ$11:$AZ$4010,0)),""))</f>
        <v/>
      </c>
      <c r="AI944" s="29" t="str">
        <f>IF(AE944="","",IFERROR(INDEX($AR$11:$AR$4010,MATCH(934,$AZ$11:$AZ$4010,0)),""))</f>
        <v/>
      </c>
      <c r="AJ944" s="29" t="str">
        <f>IF(AE944="","",IFERROR(INDEX($AT$11:$AT$4010,MATCH(934,$AZ$11:$AZ$4010,0)),""))</f>
        <v/>
      </c>
      <c r="AL944" s="31"/>
      <c r="AM944" s="26"/>
      <c r="AN944" s="32"/>
      <c r="AO944" s="32"/>
      <c r="AP944" s="24"/>
      <c r="AQ944" s="24"/>
      <c r="AR944" s="33"/>
      <c r="AS944" s="34"/>
      <c r="AT944" s="33"/>
      <c r="AV944" s="21">
        <f>IF(AND($AL944&lt;&gt;"",COUNTIF($AL$11:$AL944,$AL944)=1),1,0)</f>
        <v>0</v>
      </c>
      <c r="AW944" s="21">
        <f t="shared" si="115"/>
        <v>2</v>
      </c>
      <c r="AX944" s="21" t="str">
        <f t="shared" si="114"/>
        <v/>
      </c>
      <c r="AY944" s="21" t="str">
        <f>IF(AND($AM944&lt;&gt;"",$AS944&lt;&gt;"✓"),SUMPRODUCT(($AM$11:$AM944&lt;&gt;"")*($AS$11:$AS944&lt;&gt;"✓")),"")</f>
        <v/>
      </c>
      <c r="AZ944" s="21" t="str">
        <f>IF(AND($AM944&lt;&gt;"",$AS944="✓"),SUMPRODUCT(($AM$11:$AM944&lt;&gt;"")*($AS$11:$AS944="✓")),"")</f>
        <v/>
      </c>
      <c r="BA944" s="21" t="str">
        <f>IF($AL944="","",$AL944&amp;"|"&amp;COUNTIF($AL$11:$AL944,$AL944))</f>
        <v/>
      </c>
    </row>
    <row r="945" spans="23:53" ht="15" customHeight="1" x14ac:dyDescent="0.25">
      <c r="W945" s="14" t="str">
        <f>IF(X945="","",IFERROR(INDEX($AL$11:$AL$4010,MATCH(935,$AY$11:$AY$4010,0)),""))</f>
        <v/>
      </c>
      <c r="X945" s="12" t="str">
        <f>IFERROR(INDEX($AM$11:$AM$4010,MATCH(935,$AY$11:$AY$4010,0)),"")</f>
        <v/>
      </c>
      <c r="Y945" s="11" t="str">
        <f>IF(X945="","",IFERROR(INDEX($AN$11:$AN$4010,MATCH(935,$AY$11:$AY$4010,0)),""))</f>
        <v/>
      </c>
      <c r="Z945" s="11" t="str">
        <f>IF(X945="","",IFERROR(INDEX($AO$11:$AO$4010,MATCH(935,$AY$11:$AY$4010,0)),""))</f>
        <v/>
      </c>
      <c r="AA945" s="10" t="str">
        <f>IF(X945="","",IFERROR(INDEX($AQ$11:$AQ$4010,MATCH(935,$AY$11:$AY$4010,0)),""))</f>
        <v/>
      </c>
      <c r="AB945" s="15" t="str">
        <f>IF(X945="","",IFERROR(INDEX($AR$11:$AR$4010,MATCH(935,$AY$11:$AY$4010,0)),""))</f>
        <v/>
      </c>
      <c r="AD945" s="16" t="str">
        <f>IF(AE945="","",IFERROR(INDEX($AL$11:$AL$4010,MATCH(935,$AZ$11:$AZ$4010,0)),""))</f>
        <v/>
      </c>
      <c r="AE945" s="12" t="str">
        <f>IFERROR(INDEX($AM$11:$AM$4010,MATCH(935,$AZ$11:$AZ$4010,0)),"")</f>
        <v/>
      </c>
      <c r="AF945" s="11" t="str">
        <f>IF(AE945="","",IFERROR(INDEX($AN$11:$AN$4010,MATCH(935,$AZ$11:$AZ$4010,0)),""))</f>
        <v/>
      </c>
      <c r="AG945" s="11" t="str">
        <f>IF(AE945="","",IFERROR(INDEX($AO$11:$AO$4010,MATCH(935,$AZ$11:$AZ$4010,0)),""))</f>
        <v/>
      </c>
      <c r="AH945" s="10" t="str">
        <f>IF(AE945="","",IFERROR(INDEX($AQ$11:$AQ$4010,MATCH(935,$AZ$11:$AZ$4010,0)),""))</f>
        <v/>
      </c>
      <c r="AI945" s="15" t="str">
        <f>IF(AE945="","",IFERROR(INDEX($AR$11:$AR$4010,MATCH(935,$AZ$11:$AZ$4010,0)),""))</f>
        <v/>
      </c>
      <c r="AJ945" s="15" t="str">
        <f>IF(AE945="","",IFERROR(INDEX($AT$11:$AT$4010,MATCH(935,$AZ$11:$AZ$4010,0)),""))</f>
        <v/>
      </c>
      <c r="AL945" s="17"/>
      <c r="AM945" s="12"/>
      <c r="AN945" s="18"/>
      <c r="AO945" s="18"/>
      <c r="AP945" s="10"/>
      <c r="AQ945" s="10"/>
      <c r="AR945" s="19"/>
      <c r="AS945" s="20"/>
      <c r="AT945" s="19"/>
      <c r="AV945" s="21">
        <f>IF(AND($AL945&lt;&gt;"",COUNTIF($AL$11:$AL945,$AL945)=1),1,0)</f>
        <v>0</v>
      </c>
      <c r="AW945" s="21">
        <f t="shared" si="115"/>
        <v>2</v>
      </c>
      <c r="AX945" s="21" t="str">
        <f t="shared" si="114"/>
        <v/>
      </c>
      <c r="AY945" s="21" t="str">
        <f>IF(AND($AM945&lt;&gt;"",$AS945&lt;&gt;"✓"),SUMPRODUCT(($AM$11:$AM945&lt;&gt;"")*($AS$11:$AS945&lt;&gt;"✓")),"")</f>
        <v/>
      </c>
      <c r="AZ945" s="21" t="str">
        <f>IF(AND($AM945&lt;&gt;"",$AS945="✓"),SUMPRODUCT(($AM$11:$AM945&lt;&gt;"")*($AS$11:$AS945="✓")),"")</f>
        <v/>
      </c>
      <c r="BA945" s="21" t="str">
        <f>IF($AL945="","",$AL945&amp;"|"&amp;COUNTIF($AL$11:$AL945,$AL945))</f>
        <v/>
      </c>
    </row>
    <row r="946" spans="23:53" ht="15" customHeight="1" x14ac:dyDescent="0.25">
      <c r="W946" s="28" t="str">
        <f>IF(X946="","",IFERROR(INDEX($AL$11:$AL$4010,MATCH(936,$AY$11:$AY$4010,0)),""))</f>
        <v/>
      </c>
      <c r="X946" s="26" t="str">
        <f>IFERROR(INDEX($AM$11:$AM$4010,MATCH(936,$AY$11:$AY$4010,0)),"")</f>
        <v/>
      </c>
      <c r="Y946" s="25" t="str">
        <f>IF(X946="","",IFERROR(INDEX($AN$11:$AN$4010,MATCH(936,$AY$11:$AY$4010,0)),""))</f>
        <v/>
      </c>
      <c r="Z946" s="25" t="str">
        <f>IF(X946="","",IFERROR(INDEX($AO$11:$AO$4010,MATCH(936,$AY$11:$AY$4010,0)),""))</f>
        <v/>
      </c>
      <c r="AA946" s="24" t="str">
        <f>IF(X946="","",IFERROR(INDEX($AQ$11:$AQ$4010,MATCH(936,$AY$11:$AY$4010,0)),""))</f>
        <v/>
      </c>
      <c r="AB946" s="29" t="str">
        <f>IF(X946="","",IFERROR(INDEX($AR$11:$AR$4010,MATCH(936,$AY$11:$AY$4010,0)),""))</f>
        <v/>
      </c>
      <c r="AD946" s="30" t="str">
        <f>IF(AE946="","",IFERROR(INDEX($AL$11:$AL$4010,MATCH(936,$AZ$11:$AZ$4010,0)),""))</f>
        <v/>
      </c>
      <c r="AE946" s="26" t="str">
        <f>IFERROR(INDEX($AM$11:$AM$4010,MATCH(936,$AZ$11:$AZ$4010,0)),"")</f>
        <v/>
      </c>
      <c r="AF946" s="25" t="str">
        <f>IF(AE946="","",IFERROR(INDEX($AN$11:$AN$4010,MATCH(936,$AZ$11:$AZ$4010,0)),""))</f>
        <v/>
      </c>
      <c r="AG946" s="25" t="str">
        <f>IF(AE946="","",IFERROR(INDEX($AO$11:$AO$4010,MATCH(936,$AZ$11:$AZ$4010,0)),""))</f>
        <v/>
      </c>
      <c r="AH946" s="24" t="str">
        <f>IF(AE946="","",IFERROR(INDEX($AQ$11:$AQ$4010,MATCH(936,$AZ$11:$AZ$4010,0)),""))</f>
        <v/>
      </c>
      <c r="AI946" s="29" t="str">
        <f>IF(AE946="","",IFERROR(INDEX($AR$11:$AR$4010,MATCH(936,$AZ$11:$AZ$4010,0)),""))</f>
        <v/>
      </c>
      <c r="AJ946" s="29" t="str">
        <f>IF(AE946="","",IFERROR(INDEX($AT$11:$AT$4010,MATCH(936,$AZ$11:$AZ$4010,0)),""))</f>
        <v/>
      </c>
      <c r="AL946" s="31"/>
      <c r="AM946" s="26"/>
      <c r="AN946" s="32"/>
      <c r="AO946" s="32"/>
      <c r="AP946" s="24"/>
      <c r="AQ946" s="24"/>
      <c r="AR946" s="33"/>
      <c r="AS946" s="34"/>
      <c r="AT946" s="33"/>
      <c r="AV946" s="21">
        <f>IF(AND($AL946&lt;&gt;"",COUNTIF($AL$11:$AL946,$AL946)=1),1,0)</f>
        <v>0</v>
      </c>
      <c r="AW946" s="21">
        <f t="shared" si="115"/>
        <v>2</v>
      </c>
      <c r="AX946" s="21" t="str">
        <f t="shared" si="114"/>
        <v/>
      </c>
      <c r="AY946" s="21" t="str">
        <f>IF(AND($AM946&lt;&gt;"",$AS946&lt;&gt;"✓"),SUMPRODUCT(($AM$11:$AM946&lt;&gt;"")*($AS$11:$AS946&lt;&gt;"✓")),"")</f>
        <v/>
      </c>
      <c r="AZ946" s="21" t="str">
        <f>IF(AND($AM946&lt;&gt;"",$AS946="✓"),SUMPRODUCT(($AM$11:$AM946&lt;&gt;"")*($AS$11:$AS946="✓")),"")</f>
        <v/>
      </c>
      <c r="BA946" s="21" t="str">
        <f>IF($AL946="","",$AL946&amp;"|"&amp;COUNTIF($AL$11:$AL946,$AL946))</f>
        <v/>
      </c>
    </row>
    <row r="947" spans="23:53" ht="15" customHeight="1" x14ac:dyDescent="0.25">
      <c r="W947" s="14" t="str">
        <f>IF(X947="","",IFERROR(INDEX($AL$11:$AL$4010,MATCH(937,$AY$11:$AY$4010,0)),""))</f>
        <v/>
      </c>
      <c r="X947" s="12" t="str">
        <f>IFERROR(INDEX($AM$11:$AM$4010,MATCH(937,$AY$11:$AY$4010,0)),"")</f>
        <v/>
      </c>
      <c r="Y947" s="11" t="str">
        <f>IF(X947="","",IFERROR(INDEX($AN$11:$AN$4010,MATCH(937,$AY$11:$AY$4010,0)),""))</f>
        <v/>
      </c>
      <c r="Z947" s="11" t="str">
        <f>IF(X947="","",IFERROR(INDEX($AO$11:$AO$4010,MATCH(937,$AY$11:$AY$4010,0)),""))</f>
        <v/>
      </c>
      <c r="AA947" s="10" t="str">
        <f>IF(X947="","",IFERROR(INDEX($AQ$11:$AQ$4010,MATCH(937,$AY$11:$AY$4010,0)),""))</f>
        <v/>
      </c>
      <c r="AB947" s="15" t="str">
        <f>IF(X947="","",IFERROR(INDEX($AR$11:$AR$4010,MATCH(937,$AY$11:$AY$4010,0)),""))</f>
        <v/>
      </c>
      <c r="AD947" s="16" t="str">
        <f>IF(AE947="","",IFERROR(INDEX($AL$11:$AL$4010,MATCH(937,$AZ$11:$AZ$4010,0)),""))</f>
        <v/>
      </c>
      <c r="AE947" s="12" t="str">
        <f>IFERROR(INDEX($AM$11:$AM$4010,MATCH(937,$AZ$11:$AZ$4010,0)),"")</f>
        <v/>
      </c>
      <c r="AF947" s="11" t="str">
        <f>IF(AE947="","",IFERROR(INDEX($AN$11:$AN$4010,MATCH(937,$AZ$11:$AZ$4010,0)),""))</f>
        <v/>
      </c>
      <c r="AG947" s="11" t="str">
        <f>IF(AE947="","",IFERROR(INDEX($AO$11:$AO$4010,MATCH(937,$AZ$11:$AZ$4010,0)),""))</f>
        <v/>
      </c>
      <c r="AH947" s="10" t="str">
        <f>IF(AE947="","",IFERROR(INDEX($AQ$11:$AQ$4010,MATCH(937,$AZ$11:$AZ$4010,0)),""))</f>
        <v/>
      </c>
      <c r="AI947" s="15" t="str">
        <f>IF(AE947="","",IFERROR(INDEX($AR$11:$AR$4010,MATCH(937,$AZ$11:$AZ$4010,0)),""))</f>
        <v/>
      </c>
      <c r="AJ947" s="15" t="str">
        <f>IF(AE947="","",IFERROR(INDEX($AT$11:$AT$4010,MATCH(937,$AZ$11:$AZ$4010,0)),""))</f>
        <v/>
      </c>
      <c r="AL947" s="17"/>
      <c r="AM947" s="12"/>
      <c r="AN947" s="18"/>
      <c r="AO947" s="18"/>
      <c r="AP947" s="10"/>
      <c r="AQ947" s="10"/>
      <c r="AR947" s="19"/>
      <c r="AS947" s="20"/>
      <c r="AT947" s="19"/>
      <c r="AV947" s="21">
        <f>IF(AND($AL947&lt;&gt;"",COUNTIF($AL$11:$AL947,$AL947)=1),1,0)</f>
        <v>0</v>
      </c>
      <c r="AW947" s="21">
        <f t="shared" si="115"/>
        <v>2</v>
      </c>
      <c r="AX947" s="21" t="str">
        <f t="shared" si="114"/>
        <v/>
      </c>
      <c r="AY947" s="21" t="str">
        <f>IF(AND($AM947&lt;&gt;"",$AS947&lt;&gt;"✓"),SUMPRODUCT(($AM$11:$AM947&lt;&gt;"")*($AS$11:$AS947&lt;&gt;"✓")),"")</f>
        <v/>
      </c>
      <c r="AZ947" s="21" t="str">
        <f>IF(AND($AM947&lt;&gt;"",$AS947="✓"),SUMPRODUCT(($AM$11:$AM947&lt;&gt;"")*($AS$11:$AS947="✓")),"")</f>
        <v/>
      </c>
      <c r="BA947" s="21" t="str">
        <f>IF($AL947="","",$AL947&amp;"|"&amp;COUNTIF($AL$11:$AL947,$AL947))</f>
        <v/>
      </c>
    </row>
    <row r="948" spans="23:53" ht="15" customHeight="1" x14ac:dyDescent="0.25">
      <c r="W948" s="28" t="str">
        <f>IF(X948="","",IFERROR(INDEX($AL$11:$AL$4010,MATCH(938,$AY$11:$AY$4010,0)),""))</f>
        <v/>
      </c>
      <c r="X948" s="26" t="str">
        <f>IFERROR(INDEX($AM$11:$AM$4010,MATCH(938,$AY$11:$AY$4010,0)),"")</f>
        <v/>
      </c>
      <c r="Y948" s="25" t="str">
        <f>IF(X948="","",IFERROR(INDEX($AN$11:$AN$4010,MATCH(938,$AY$11:$AY$4010,0)),""))</f>
        <v/>
      </c>
      <c r="Z948" s="25" t="str">
        <f>IF(X948="","",IFERROR(INDEX($AO$11:$AO$4010,MATCH(938,$AY$11:$AY$4010,0)),""))</f>
        <v/>
      </c>
      <c r="AA948" s="24" t="str">
        <f>IF(X948="","",IFERROR(INDEX($AQ$11:$AQ$4010,MATCH(938,$AY$11:$AY$4010,0)),""))</f>
        <v/>
      </c>
      <c r="AB948" s="29" t="str">
        <f>IF(X948="","",IFERROR(INDEX($AR$11:$AR$4010,MATCH(938,$AY$11:$AY$4010,0)),""))</f>
        <v/>
      </c>
      <c r="AD948" s="30" t="str">
        <f>IF(AE948="","",IFERROR(INDEX($AL$11:$AL$4010,MATCH(938,$AZ$11:$AZ$4010,0)),""))</f>
        <v/>
      </c>
      <c r="AE948" s="26" t="str">
        <f>IFERROR(INDEX($AM$11:$AM$4010,MATCH(938,$AZ$11:$AZ$4010,0)),"")</f>
        <v/>
      </c>
      <c r="AF948" s="25" t="str">
        <f>IF(AE948="","",IFERROR(INDEX($AN$11:$AN$4010,MATCH(938,$AZ$11:$AZ$4010,0)),""))</f>
        <v/>
      </c>
      <c r="AG948" s="25" t="str">
        <f>IF(AE948="","",IFERROR(INDEX($AO$11:$AO$4010,MATCH(938,$AZ$11:$AZ$4010,0)),""))</f>
        <v/>
      </c>
      <c r="AH948" s="24" t="str">
        <f>IF(AE948="","",IFERROR(INDEX($AQ$11:$AQ$4010,MATCH(938,$AZ$11:$AZ$4010,0)),""))</f>
        <v/>
      </c>
      <c r="AI948" s="29" t="str">
        <f>IF(AE948="","",IFERROR(INDEX($AR$11:$AR$4010,MATCH(938,$AZ$11:$AZ$4010,0)),""))</f>
        <v/>
      </c>
      <c r="AJ948" s="29" t="str">
        <f>IF(AE948="","",IFERROR(INDEX($AT$11:$AT$4010,MATCH(938,$AZ$11:$AZ$4010,0)),""))</f>
        <v/>
      </c>
      <c r="AL948" s="31"/>
      <c r="AM948" s="26"/>
      <c r="AN948" s="32"/>
      <c r="AO948" s="32"/>
      <c r="AP948" s="24"/>
      <c r="AQ948" s="24"/>
      <c r="AR948" s="33"/>
      <c r="AS948" s="34"/>
      <c r="AT948" s="33"/>
      <c r="AV948" s="21">
        <f>IF(AND($AL948&lt;&gt;"",COUNTIF($AL$11:$AL948,$AL948)=1),1,0)</f>
        <v>0</v>
      </c>
      <c r="AW948" s="21">
        <f t="shared" si="115"/>
        <v>2</v>
      </c>
      <c r="AX948" s="21" t="str">
        <f t="shared" si="114"/>
        <v/>
      </c>
      <c r="AY948" s="21" t="str">
        <f>IF(AND($AM948&lt;&gt;"",$AS948&lt;&gt;"✓"),SUMPRODUCT(($AM$11:$AM948&lt;&gt;"")*($AS$11:$AS948&lt;&gt;"✓")),"")</f>
        <v/>
      </c>
      <c r="AZ948" s="21" t="str">
        <f>IF(AND($AM948&lt;&gt;"",$AS948="✓"),SUMPRODUCT(($AM$11:$AM948&lt;&gt;"")*($AS$11:$AS948="✓")),"")</f>
        <v/>
      </c>
      <c r="BA948" s="21" t="str">
        <f>IF($AL948="","",$AL948&amp;"|"&amp;COUNTIF($AL$11:$AL948,$AL948))</f>
        <v/>
      </c>
    </row>
    <row r="949" spans="23:53" ht="15" customHeight="1" x14ac:dyDescent="0.25">
      <c r="W949" s="14" t="str">
        <f>IF(X949="","",IFERROR(INDEX($AL$11:$AL$4010,MATCH(939,$AY$11:$AY$4010,0)),""))</f>
        <v/>
      </c>
      <c r="X949" s="12" t="str">
        <f>IFERROR(INDEX($AM$11:$AM$4010,MATCH(939,$AY$11:$AY$4010,0)),"")</f>
        <v/>
      </c>
      <c r="Y949" s="11" t="str">
        <f>IF(X949="","",IFERROR(INDEX($AN$11:$AN$4010,MATCH(939,$AY$11:$AY$4010,0)),""))</f>
        <v/>
      </c>
      <c r="Z949" s="11" t="str">
        <f>IF(X949="","",IFERROR(INDEX($AO$11:$AO$4010,MATCH(939,$AY$11:$AY$4010,0)),""))</f>
        <v/>
      </c>
      <c r="AA949" s="10" t="str">
        <f>IF(X949="","",IFERROR(INDEX($AQ$11:$AQ$4010,MATCH(939,$AY$11:$AY$4010,0)),""))</f>
        <v/>
      </c>
      <c r="AB949" s="15" t="str">
        <f>IF(X949="","",IFERROR(INDEX($AR$11:$AR$4010,MATCH(939,$AY$11:$AY$4010,0)),""))</f>
        <v/>
      </c>
      <c r="AD949" s="16" t="str">
        <f>IF(AE949="","",IFERROR(INDEX($AL$11:$AL$4010,MATCH(939,$AZ$11:$AZ$4010,0)),""))</f>
        <v/>
      </c>
      <c r="AE949" s="12" t="str">
        <f>IFERROR(INDEX($AM$11:$AM$4010,MATCH(939,$AZ$11:$AZ$4010,0)),"")</f>
        <v/>
      </c>
      <c r="AF949" s="11" t="str">
        <f>IF(AE949="","",IFERROR(INDEX($AN$11:$AN$4010,MATCH(939,$AZ$11:$AZ$4010,0)),""))</f>
        <v/>
      </c>
      <c r="AG949" s="11" t="str">
        <f>IF(AE949="","",IFERROR(INDEX($AO$11:$AO$4010,MATCH(939,$AZ$11:$AZ$4010,0)),""))</f>
        <v/>
      </c>
      <c r="AH949" s="10" t="str">
        <f>IF(AE949="","",IFERROR(INDEX($AQ$11:$AQ$4010,MATCH(939,$AZ$11:$AZ$4010,0)),""))</f>
        <v/>
      </c>
      <c r="AI949" s="15" t="str">
        <f>IF(AE949="","",IFERROR(INDEX($AR$11:$AR$4010,MATCH(939,$AZ$11:$AZ$4010,0)),""))</f>
        <v/>
      </c>
      <c r="AJ949" s="15" t="str">
        <f>IF(AE949="","",IFERROR(INDEX($AT$11:$AT$4010,MATCH(939,$AZ$11:$AZ$4010,0)),""))</f>
        <v/>
      </c>
      <c r="AL949" s="17"/>
      <c r="AM949" s="12"/>
      <c r="AN949" s="18"/>
      <c r="AO949" s="18"/>
      <c r="AP949" s="10"/>
      <c r="AQ949" s="10"/>
      <c r="AR949" s="19"/>
      <c r="AS949" s="20"/>
      <c r="AT949" s="19"/>
      <c r="AV949" s="21">
        <f>IF(AND($AL949&lt;&gt;"",COUNTIF($AL$11:$AL949,$AL949)=1),1,0)</f>
        <v>0</v>
      </c>
      <c r="AW949" s="21">
        <f t="shared" si="115"/>
        <v>2</v>
      </c>
      <c r="AX949" s="21" t="str">
        <f t="shared" si="114"/>
        <v/>
      </c>
      <c r="AY949" s="21" t="str">
        <f>IF(AND($AM949&lt;&gt;"",$AS949&lt;&gt;"✓"),SUMPRODUCT(($AM$11:$AM949&lt;&gt;"")*($AS$11:$AS949&lt;&gt;"✓")),"")</f>
        <v/>
      </c>
      <c r="AZ949" s="21" t="str">
        <f>IF(AND($AM949&lt;&gt;"",$AS949="✓"),SUMPRODUCT(($AM$11:$AM949&lt;&gt;"")*($AS$11:$AS949="✓")),"")</f>
        <v/>
      </c>
      <c r="BA949" s="21" t="str">
        <f>IF($AL949="","",$AL949&amp;"|"&amp;COUNTIF($AL$11:$AL949,$AL949))</f>
        <v/>
      </c>
    </row>
    <row r="950" spans="23:53" ht="15" customHeight="1" x14ac:dyDescent="0.25">
      <c r="W950" s="28" t="str">
        <f>IF(X950="","",IFERROR(INDEX($AL$11:$AL$4010,MATCH(940,$AY$11:$AY$4010,0)),""))</f>
        <v/>
      </c>
      <c r="X950" s="26" t="str">
        <f>IFERROR(INDEX($AM$11:$AM$4010,MATCH(940,$AY$11:$AY$4010,0)),"")</f>
        <v/>
      </c>
      <c r="Y950" s="25" t="str">
        <f>IF(X950="","",IFERROR(INDEX($AN$11:$AN$4010,MATCH(940,$AY$11:$AY$4010,0)),""))</f>
        <v/>
      </c>
      <c r="Z950" s="25" t="str">
        <f>IF(X950="","",IFERROR(INDEX($AO$11:$AO$4010,MATCH(940,$AY$11:$AY$4010,0)),""))</f>
        <v/>
      </c>
      <c r="AA950" s="24" t="str">
        <f>IF(X950="","",IFERROR(INDEX($AQ$11:$AQ$4010,MATCH(940,$AY$11:$AY$4010,0)),""))</f>
        <v/>
      </c>
      <c r="AB950" s="29" t="str">
        <f>IF(X950="","",IFERROR(INDEX($AR$11:$AR$4010,MATCH(940,$AY$11:$AY$4010,0)),""))</f>
        <v/>
      </c>
      <c r="AD950" s="30" t="str">
        <f>IF(AE950="","",IFERROR(INDEX($AL$11:$AL$4010,MATCH(940,$AZ$11:$AZ$4010,0)),""))</f>
        <v/>
      </c>
      <c r="AE950" s="26" t="str">
        <f>IFERROR(INDEX($AM$11:$AM$4010,MATCH(940,$AZ$11:$AZ$4010,0)),"")</f>
        <v/>
      </c>
      <c r="AF950" s="25" t="str">
        <f>IF(AE950="","",IFERROR(INDEX($AN$11:$AN$4010,MATCH(940,$AZ$11:$AZ$4010,0)),""))</f>
        <v/>
      </c>
      <c r="AG950" s="25" t="str">
        <f>IF(AE950="","",IFERROR(INDEX($AO$11:$AO$4010,MATCH(940,$AZ$11:$AZ$4010,0)),""))</f>
        <v/>
      </c>
      <c r="AH950" s="24" t="str">
        <f>IF(AE950="","",IFERROR(INDEX($AQ$11:$AQ$4010,MATCH(940,$AZ$11:$AZ$4010,0)),""))</f>
        <v/>
      </c>
      <c r="AI950" s="29" t="str">
        <f>IF(AE950="","",IFERROR(INDEX($AR$11:$AR$4010,MATCH(940,$AZ$11:$AZ$4010,0)),""))</f>
        <v/>
      </c>
      <c r="AJ950" s="29" t="str">
        <f>IF(AE950="","",IFERROR(INDEX($AT$11:$AT$4010,MATCH(940,$AZ$11:$AZ$4010,0)),""))</f>
        <v/>
      </c>
      <c r="AL950" s="31"/>
      <c r="AM950" s="26"/>
      <c r="AN950" s="32"/>
      <c r="AO950" s="32"/>
      <c r="AP950" s="24"/>
      <c r="AQ950" s="24"/>
      <c r="AR950" s="33"/>
      <c r="AS950" s="34"/>
      <c r="AT950" s="33"/>
      <c r="AV950" s="21">
        <f>IF(AND($AL950&lt;&gt;"",COUNTIF($AL$11:$AL950,$AL950)=1),1,0)</f>
        <v>0</v>
      </c>
      <c r="AW950" s="21">
        <f t="shared" si="115"/>
        <v>2</v>
      </c>
      <c r="AX950" s="21" t="str">
        <f t="shared" si="114"/>
        <v/>
      </c>
      <c r="AY950" s="21" t="str">
        <f>IF(AND($AM950&lt;&gt;"",$AS950&lt;&gt;"✓"),SUMPRODUCT(($AM$11:$AM950&lt;&gt;"")*($AS$11:$AS950&lt;&gt;"✓")),"")</f>
        <v/>
      </c>
      <c r="AZ950" s="21" t="str">
        <f>IF(AND($AM950&lt;&gt;"",$AS950="✓"),SUMPRODUCT(($AM$11:$AM950&lt;&gt;"")*($AS$11:$AS950="✓")),"")</f>
        <v/>
      </c>
      <c r="BA950" s="21" t="str">
        <f>IF($AL950="","",$AL950&amp;"|"&amp;COUNTIF($AL$11:$AL950,$AL950))</f>
        <v/>
      </c>
    </row>
    <row r="951" spans="23:53" ht="15" customHeight="1" x14ac:dyDescent="0.25">
      <c r="W951" s="14" t="str">
        <f>IF(X951="","",IFERROR(INDEX($AL$11:$AL$4010,MATCH(941,$AY$11:$AY$4010,0)),""))</f>
        <v/>
      </c>
      <c r="X951" s="12" t="str">
        <f>IFERROR(INDEX($AM$11:$AM$4010,MATCH(941,$AY$11:$AY$4010,0)),"")</f>
        <v/>
      </c>
      <c r="Y951" s="11" t="str">
        <f>IF(X951="","",IFERROR(INDEX($AN$11:$AN$4010,MATCH(941,$AY$11:$AY$4010,0)),""))</f>
        <v/>
      </c>
      <c r="Z951" s="11" t="str">
        <f>IF(X951="","",IFERROR(INDEX($AO$11:$AO$4010,MATCH(941,$AY$11:$AY$4010,0)),""))</f>
        <v/>
      </c>
      <c r="AA951" s="10" t="str">
        <f>IF(X951="","",IFERROR(INDEX($AQ$11:$AQ$4010,MATCH(941,$AY$11:$AY$4010,0)),""))</f>
        <v/>
      </c>
      <c r="AB951" s="15" t="str">
        <f>IF(X951="","",IFERROR(INDEX($AR$11:$AR$4010,MATCH(941,$AY$11:$AY$4010,0)),""))</f>
        <v/>
      </c>
      <c r="AD951" s="16" t="str">
        <f>IF(AE951="","",IFERROR(INDEX($AL$11:$AL$4010,MATCH(941,$AZ$11:$AZ$4010,0)),""))</f>
        <v/>
      </c>
      <c r="AE951" s="12" t="str">
        <f>IFERROR(INDEX($AM$11:$AM$4010,MATCH(941,$AZ$11:$AZ$4010,0)),"")</f>
        <v/>
      </c>
      <c r="AF951" s="11" t="str">
        <f>IF(AE951="","",IFERROR(INDEX($AN$11:$AN$4010,MATCH(941,$AZ$11:$AZ$4010,0)),""))</f>
        <v/>
      </c>
      <c r="AG951" s="11" t="str">
        <f>IF(AE951="","",IFERROR(INDEX($AO$11:$AO$4010,MATCH(941,$AZ$11:$AZ$4010,0)),""))</f>
        <v/>
      </c>
      <c r="AH951" s="10" t="str">
        <f>IF(AE951="","",IFERROR(INDEX($AQ$11:$AQ$4010,MATCH(941,$AZ$11:$AZ$4010,0)),""))</f>
        <v/>
      </c>
      <c r="AI951" s="15" t="str">
        <f>IF(AE951="","",IFERROR(INDEX($AR$11:$AR$4010,MATCH(941,$AZ$11:$AZ$4010,0)),""))</f>
        <v/>
      </c>
      <c r="AJ951" s="15" t="str">
        <f>IF(AE951="","",IFERROR(INDEX($AT$11:$AT$4010,MATCH(941,$AZ$11:$AZ$4010,0)),""))</f>
        <v/>
      </c>
      <c r="AL951" s="17"/>
      <c r="AM951" s="12"/>
      <c r="AN951" s="18"/>
      <c r="AO951" s="18"/>
      <c r="AP951" s="10"/>
      <c r="AQ951" s="10"/>
      <c r="AR951" s="19"/>
      <c r="AS951" s="20"/>
      <c r="AT951" s="19"/>
      <c r="AV951" s="21">
        <f>IF(AND($AL951&lt;&gt;"",COUNTIF($AL$11:$AL951,$AL951)=1),1,0)</f>
        <v>0</v>
      </c>
      <c r="AW951" s="21">
        <f t="shared" si="115"/>
        <v>2</v>
      </c>
      <c r="AX951" s="21" t="str">
        <f t="shared" si="114"/>
        <v/>
      </c>
      <c r="AY951" s="21" t="str">
        <f>IF(AND($AM951&lt;&gt;"",$AS951&lt;&gt;"✓"),SUMPRODUCT(($AM$11:$AM951&lt;&gt;"")*($AS$11:$AS951&lt;&gt;"✓")),"")</f>
        <v/>
      </c>
      <c r="AZ951" s="21" t="str">
        <f>IF(AND($AM951&lt;&gt;"",$AS951="✓"),SUMPRODUCT(($AM$11:$AM951&lt;&gt;"")*($AS$11:$AS951="✓")),"")</f>
        <v/>
      </c>
      <c r="BA951" s="21" t="str">
        <f>IF($AL951="","",$AL951&amp;"|"&amp;COUNTIF($AL$11:$AL951,$AL951))</f>
        <v/>
      </c>
    </row>
    <row r="952" spans="23:53" ht="15" customHeight="1" x14ac:dyDescent="0.25">
      <c r="W952" s="28" t="str">
        <f>IF(X952="","",IFERROR(INDEX($AL$11:$AL$4010,MATCH(942,$AY$11:$AY$4010,0)),""))</f>
        <v/>
      </c>
      <c r="X952" s="26" t="str">
        <f>IFERROR(INDEX($AM$11:$AM$4010,MATCH(942,$AY$11:$AY$4010,0)),"")</f>
        <v/>
      </c>
      <c r="Y952" s="25" t="str">
        <f>IF(X952="","",IFERROR(INDEX($AN$11:$AN$4010,MATCH(942,$AY$11:$AY$4010,0)),""))</f>
        <v/>
      </c>
      <c r="Z952" s="25" t="str">
        <f>IF(X952="","",IFERROR(INDEX($AO$11:$AO$4010,MATCH(942,$AY$11:$AY$4010,0)),""))</f>
        <v/>
      </c>
      <c r="AA952" s="24" t="str">
        <f>IF(X952="","",IFERROR(INDEX($AQ$11:$AQ$4010,MATCH(942,$AY$11:$AY$4010,0)),""))</f>
        <v/>
      </c>
      <c r="AB952" s="29" t="str">
        <f>IF(X952="","",IFERROR(INDEX($AR$11:$AR$4010,MATCH(942,$AY$11:$AY$4010,0)),""))</f>
        <v/>
      </c>
      <c r="AD952" s="30" t="str">
        <f>IF(AE952="","",IFERROR(INDEX($AL$11:$AL$4010,MATCH(942,$AZ$11:$AZ$4010,0)),""))</f>
        <v/>
      </c>
      <c r="AE952" s="26" t="str">
        <f>IFERROR(INDEX($AM$11:$AM$4010,MATCH(942,$AZ$11:$AZ$4010,0)),"")</f>
        <v/>
      </c>
      <c r="AF952" s="25" t="str">
        <f>IF(AE952="","",IFERROR(INDEX($AN$11:$AN$4010,MATCH(942,$AZ$11:$AZ$4010,0)),""))</f>
        <v/>
      </c>
      <c r="AG952" s="25" t="str">
        <f>IF(AE952="","",IFERROR(INDEX($AO$11:$AO$4010,MATCH(942,$AZ$11:$AZ$4010,0)),""))</f>
        <v/>
      </c>
      <c r="AH952" s="24" t="str">
        <f>IF(AE952="","",IFERROR(INDEX($AQ$11:$AQ$4010,MATCH(942,$AZ$11:$AZ$4010,0)),""))</f>
        <v/>
      </c>
      <c r="AI952" s="29" t="str">
        <f>IF(AE952="","",IFERROR(INDEX($AR$11:$AR$4010,MATCH(942,$AZ$11:$AZ$4010,0)),""))</f>
        <v/>
      </c>
      <c r="AJ952" s="29" t="str">
        <f>IF(AE952="","",IFERROR(INDEX($AT$11:$AT$4010,MATCH(942,$AZ$11:$AZ$4010,0)),""))</f>
        <v/>
      </c>
      <c r="AL952" s="31"/>
      <c r="AM952" s="26"/>
      <c r="AN952" s="32"/>
      <c r="AO952" s="32"/>
      <c r="AP952" s="24"/>
      <c r="AQ952" s="24"/>
      <c r="AR952" s="33"/>
      <c r="AS952" s="34"/>
      <c r="AT952" s="33"/>
      <c r="AV952" s="21">
        <f>IF(AND($AL952&lt;&gt;"",COUNTIF($AL$11:$AL952,$AL952)=1),1,0)</f>
        <v>0</v>
      </c>
      <c r="AW952" s="21">
        <f t="shared" si="115"/>
        <v>2</v>
      </c>
      <c r="AX952" s="21" t="str">
        <f t="shared" si="114"/>
        <v/>
      </c>
      <c r="AY952" s="21" t="str">
        <f>IF(AND($AM952&lt;&gt;"",$AS952&lt;&gt;"✓"),SUMPRODUCT(($AM$11:$AM952&lt;&gt;"")*($AS$11:$AS952&lt;&gt;"✓")),"")</f>
        <v/>
      </c>
      <c r="AZ952" s="21" t="str">
        <f>IF(AND($AM952&lt;&gt;"",$AS952="✓"),SUMPRODUCT(($AM$11:$AM952&lt;&gt;"")*($AS$11:$AS952="✓")),"")</f>
        <v/>
      </c>
      <c r="BA952" s="21" t="str">
        <f>IF($AL952="","",$AL952&amp;"|"&amp;COUNTIF($AL$11:$AL952,$AL952))</f>
        <v/>
      </c>
    </row>
    <row r="953" spans="23:53" ht="15" customHeight="1" x14ac:dyDescent="0.25">
      <c r="W953" s="14" t="str">
        <f>IF(X953="","",IFERROR(INDEX($AL$11:$AL$4010,MATCH(943,$AY$11:$AY$4010,0)),""))</f>
        <v/>
      </c>
      <c r="X953" s="12" t="str">
        <f>IFERROR(INDEX($AM$11:$AM$4010,MATCH(943,$AY$11:$AY$4010,0)),"")</f>
        <v/>
      </c>
      <c r="Y953" s="11" t="str">
        <f>IF(X953="","",IFERROR(INDEX($AN$11:$AN$4010,MATCH(943,$AY$11:$AY$4010,0)),""))</f>
        <v/>
      </c>
      <c r="Z953" s="11" t="str">
        <f>IF(X953="","",IFERROR(INDEX($AO$11:$AO$4010,MATCH(943,$AY$11:$AY$4010,0)),""))</f>
        <v/>
      </c>
      <c r="AA953" s="10" t="str">
        <f>IF(X953="","",IFERROR(INDEX($AQ$11:$AQ$4010,MATCH(943,$AY$11:$AY$4010,0)),""))</f>
        <v/>
      </c>
      <c r="AB953" s="15" t="str">
        <f>IF(X953="","",IFERROR(INDEX($AR$11:$AR$4010,MATCH(943,$AY$11:$AY$4010,0)),""))</f>
        <v/>
      </c>
      <c r="AD953" s="16" t="str">
        <f>IF(AE953="","",IFERROR(INDEX($AL$11:$AL$4010,MATCH(943,$AZ$11:$AZ$4010,0)),""))</f>
        <v/>
      </c>
      <c r="AE953" s="12" t="str">
        <f>IFERROR(INDEX($AM$11:$AM$4010,MATCH(943,$AZ$11:$AZ$4010,0)),"")</f>
        <v/>
      </c>
      <c r="AF953" s="11" t="str">
        <f>IF(AE953="","",IFERROR(INDEX($AN$11:$AN$4010,MATCH(943,$AZ$11:$AZ$4010,0)),""))</f>
        <v/>
      </c>
      <c r="AG953" s="11" t="str">
        <f>IF(AE953="","",IFERROR(INDEX($AO$11:$AO$4010,MATCH(943,$AZ$11:$AZ$4010,0)),""))</f>
        <v/>
      </c>
      <c r="AH953" s="10" t="str">
        <f>IF(AE953="","",IFERROR(INDEX($AQ$11:$AQ$4010,MATCH(943,$AZ$11:$AZ$4010,0)),""))</f>
        <v/>
      </c>
      <c r="AI953" s="15" t="str">
        <f>IF(AE953="","",IFERROR(INDEX($AR$11:$AR$4010,MATCH(943,$AZ$11:$AZ$4010,0)),""))</f>
        <v/>
      </c>
      <c r="AJ953" s="15" t="str">
        <f>IF(AE953="","",IFERROR(INDEX($AT$11:$AT$4010,MATCH(943,$AZ$11:$AZ$4010,0)),""))</f>
        <v/>
      </c>
      <c r="AL953" s="17"/>
      <c r="AM953" s="12"/>
      <c r="AN953" s="18"/>
      <c r="AO953" s="18"/>
      <c r="AP953" s="10"/>
      <c r="AQ953" s="10"/>
      <c r="AR953" s="19"/>
      <c r="AS953" s="20"/>
      <c r="AT953" s="19"/>
      <c r="AV953" s="21">
        <f>IF(AND($AL953&lt;&gt;"",COUNTIF($AL$11:$AL953,$AL953)=1),1,0)</f>
        <v>0</v>
      </c>
      <c r="AW953" s="21">
        <f t="shared" si="115"/>
        <v>2</v>
      </c>
      <c r="AX953" s="21" t="str">
        <f t="shared" si="114"/>
        <v/>
      </c>
      <c r="AY953" s="21" t="str">
        <f>IF(AND($AM953&lt;&gt;"",$AS953&lt;&gt;"✓"),SUMPRODUCT(($AM$11:$AM953&lt;&gt;"")*($AS$11:$AS953&lt;&gt;"✓")),"")</f>
        <v/>
      </c>
      <c r="AZ953" s="21" t="str">
        <f>IF(AND($AM953&lt;&gt;"",$AS953="✓"),SUMPRODUCT(($AM$11:$AM953&lt;&gt;"")*($AS$11:$AS953="✓")),"")</f>
        <v/>
      </c>
      <c r="BA953" s="21" t="str">
        <f>IF($AL953="","",$AL953&amp;"|"&amp;COUNTIF($AL$11:$AL953,$AL953))</f>
        <v/>
      </c>
    </row>
    <row r="954" spans="23:53" ht="15" customHeight="1" x14ac:dyDescent="0.25">
      <c r="W954" s="28" t="str">
        <f>IF(X954="","",IFERROR(INDEX($AL$11:$AL$4010,MATCH(944,$AY$11:$AY$4010,0)),""))</f>
        <v/>
      </c>
      <c r="X954" s="26" t="str">
        <f>IFERROR(INDEX($AM$11:$AM$4010,MATCH(944,$AY$11:$AY$4010,0)),"")</f>
        <v/>
      </c>
      <c r="Y954" s="25" t="str">
        <f>IF(X954="","",IFERROR(INDEX($AN$11:$AN$4010,MATCH(944,$AY$11:$AY$4010,0)),""))</f>
        <v/>
      </c>
      <c r="Z954" s="25" t="str">
        <f>IF(X954="","",IFERROR(INDEX($AO$11:$AO$4010,MATCH(944,$AY$11:$AY$4010,0)),""))</f>
        <v/>
      </c>
      <c r="AA954" s="24" t="str">
        <f>IF(X954="","",IFERROR(INDEX($AQ$11:$AQ$4010,MATCH(944,$AY$11:$AY$4010,0)),""))</f>
        <v/>
      </c>
      <c r="AB954" s="29" t="str">
        <f>IF(X954="","",IFERROR(INDEX($AR$11:$AR$4010,MATCH(944,$AY$11:$AY$4010,0)),""))</f>
        <v/>
      </c>
      <c r="AD954" s="30" t="str">
        <f>IF(AE954="","",IFERROR(INDEX($AL$11:$AL$4010,MATCH(944,$AZ$11:$AZ$4010,0)),""))</f>
        <v/>
      </c>
      <c r="AE954" s="26" t="str">
        <f>IFERROR(INDEX($AM$11:$AM$4010,MATCH(944,$AZ$11:$AZ$4010,0)),"")</f>
        <v/>
      </c>
      <c r="AF954" s="25" t="str">
        <f>IF(AE954="","",IFERROR(INDEX($AN$11:$AN$4010,MATCH(944,$AZ$11:$AZ$4010,0)),""))</f>
        <v/>
      </c>
      <c r="AG954" s="25" t="str">
        <f>IF(AE954="","",IFERROR(INDEX($AO$11:$AO$4010,MATCH(944,$AZ$11:$AZ$4010,0)),""))</f>
        <v/>
      </c>
      <c r="AH954" s="24" t="str">
        <f>IF(AE954="","",IFERROR(INDEX($AQ$11:$AQ$4010,MATCH(944,$AZ$11:$AZ$4010,0)),""))</f>
        <v/>
      </c>
      <c r="AI954" s="29" t="str">
        <f>IF(AE954="","",IFERROR(INDEX($AR$11:$AR$4010,MATCH(944,$AZ$11:$AZ$4010,0)),""))</f>
        <v/>
      </c>
      <c r="AJ954" s="29" t="str">
        <f>IF(AE954="","",IFERROR(INDEX($AT$11:$AT$4010,MATCH(944,$AZ$11:$AZ$4010,0)),""))</f>
        <v/>
      </c>
      <c r="AL954" s="31"/>
      <c r="AM954" s="26"/>
      <c r="AN954" s="32"/>
      <c r="AO954" s="32"/>
      <c r="AP954" s="24"/>
      <c r="AQ954" s="24"/>
      <c r="AR954" s="33"/>
      <c r="AS954" s="34"/>
      <c r="AT954" s="33"/>
      <c r="AV954" s="21">
        <f>IF(AND($AL954&lt;&gt;"",COUNTIF($AL$11:$AL954,$AL954)=1),1,0)</f>
        <v>0</v>
      </c>
      <c r="AW954" s="21">
        <f t="shared" si="115"/>
        <v>2</v>
      </c>
      <c r="AX954" s="21" t="str">
        <f t="shared" si="114"/>
        <v/>
      </c>
      <c r="AY954" s="21" t="str">
        <f>IF(AND($AM954&lt;&gt;"",$AS954&lt;&gt;"✓"),SUMPRODUCT(($AM$11:$AM954&lt;&gt;"")*($AS$11:$AS954&lt;&gt;"✓")),"")</f>
        <v/>
      </c>
      <c r="AZ954" s="21" t="str">
        <f>IF(AND($AM954&lt;&gt;"",$AS954="✓"),SUMPRODUCT(($AM$11:$AM954&lt;&gt;"")*($AS$11:$AS954="✓")),"")</f>
        <v/>
      </c>
      <c r="BA954" s="21" t="str">
        <f>IF($AL954="","",$AL954&amp;"|"&amp;COUNTIF($AL$11:$AL954,$AL954))</f>
        <v/>
      </c>
    </row>
    <row r="955" spans="23:53" ht="15" customHeight="1" x14ac:dyDescent="0.25">
      <c r="W955" s="14" t="str">
        <f>IF(X955="","",IFERROR(INDEX($AL$11:$AL$4010,MATCH(945,$AY$11:$AY$4010,0)),""))</f>
        <v/>
      </c>
      <c r="X955" s="12" t="str">
        <f>IFERROR(INDEX($AM$11:$AM$4010,MATCH(945,$AY$11:$AY$4010,0)),"")</f>
        <v/>
      </c>
      <c r="Y955" s="11" t="str">
        <f>IF(X955="","",IFERROR(INDEX($AN$11:$AN$4010,MATCH(945,$AY$11:$AY$4010,0)),""))</f>
        <v/>
      </c>
      <c r="Z955" s="11" t="str">
        <f>IF(X955="","",IFERROR(INDEX($AO$11:$AO$4010,MATCH(945,$AY$11:$AY$4010,0)),""))</f>
        <v/>
      </c>
      <c r="AA955" s="10" t="str">
        <f>IF(X955="","",IFERROR(INDEX($AQ$11:$AQ$4010,MATCH(945,$AY$11:$AY$4010,0)),""))</f>
        <v/>
      </c>
      <c r="AB955" s="15" t="str">
        <f>IF(X955="","",IFERROR(INDEX($AR$11:$AR$4010,MATCH(945,$AY$11:$AY$4010,0)),""))</f>
        <v/>
      </c>
      <c r="AD955" s="16" t="str">
        <f>IF(AE955="","",IFERROR(INDEX($AL$11:$AL$4010,MATCH(945,$AZ$11:$AZ$4010,0)),""))</f>
        <v/>
      </c>
      <c r="AE955" s="12" t="str">
        <f>IFERROR(INDEX($AM$11:$AM$4010,MATCH(945,$AZ$11:$AZ$4010,0)),"")</f>
        <v/>
      </c>
      <c r="AF955" s="11" t="str">
        <f>IF(AE955="","",IFERROR(INDEX($AN$11:$AN$4010,MATCH(945,$AZ$11:$AZ$4010,0)),""))</f>
        <v/>
      </c>
      <c r="AG955" s="11" t="str">
        <f>IF(AE955="","",IFERROR(INDEX($AO$11:$AO$4010,MATCH(945,$AZ$11:$AZ$4010,0)),""))</f>
        <v/>
      </c>
      <c r="AH955" s="10" t="str">
        <f>IF(AE955="","",IFERROR(INDEX($AQ$11:$AQ$4010,MATCH(945,$AZ$11:$AZ$4010,0)),""))</f>
        <v/>
      </c>
      <c r="AI955" s="15" t="str">
        <f>IF(AE955="","",IFERROR(INDEX($AR$11:$AR$4010,MATCH(945,$AZ$11:$AZ$4010,0)),""))</f>
        <v/>
      </c>
      <c r="AJ955" s="15" t="str">
        <f>IF(AE955="","",IFERROR(INDEX($AT$11:$AT$4010,MATCH(945,$AZ$11:$AZ$4010,0)),""))</f>
        <v/>
      </c>
      <c r="AL955" s="17"/>
      <c r="AM955" s="12"/>
      <c r="AN955" s="18"/>
      <c r="AO955" s="18"/>
      <c r="AP955" s="10"/>
      <c r="AQ955" s="10"/>
      <c r="AR955" s="19"/>
      <c r="AS955" s="20"/>
      <c r="AT955" s="19"/>
      <c r="AV955" s="21">
        <f>IF(AND($AL955&lt;&gt;"",COUNTIF($AL$11:$AL955,$AL955)=1),1,0)</f>
        <v>0</v>
      </c>
      <c r="AW955" s="21">
        <f t="shared" si="115"/>
        <v>2</v>
      </c>
      <c r="AX955" s="21" t="str">
        <f t="shared" si="114"/>
        <v/>
      </c>
      <c r="AY955" s="21" t="str">
        <f>IF(AND($AM955&lt;&gt;"",$AS955&lt;&gt;"✓"),SUMPRODUCT(($AM$11:$AM955&lt;&gt;"")*($AS$11:$AS955&lt;&gt;"✓")),"")</f>
        <v/>
      </c>
      <c r="AZ955" s="21" t="str">
        <f>IF(AND($AM955&lt;&gt;"",$AS955="✓"),SUMPRODUCT(($AM$11:$AM955&lt;&gt;"")*($AS$11:$AS955="✓")),"")</f>
        <v/>
      </c>
      <c r="BA955" s="21" t="str">
        <f>IF($AL955="","",$AL955&amp;"|"&amp;COUNTIF($AL$11:$AL955,$AL955))</f>
        <v/>
      </c>
    </row>
    <row r="956" spans="23:53" ht="15" customHeight="1" x14ac:dyDescent="0.25">
      <c r="W956" s="28" t="str">
        <f>IF(X956="","",IFERROR(INDEX($AL$11:$AL$4010,MATCH(946,$AY$11:$AY$4010,0)),""))</f>
        <v/>
      </c>
      <c r="X956" s="26" t="str">
        <f>IFERROR(INDEX($AM$11:$AM$4010,MATCH(946,$AY$11:$AY$4010,0)),"")</f>
        <v/>
      </c>
      <c r="Y956" s="25" t="str">
        <f>IF(X956="","",IFERROR(INDEX($AN$11:$AN$4010,MATCH(946,$AY$11:$AY$4010,0)),""))</f>
        <v/>
      </c>
      <c r="Z956" s="25" t="str">
        <f>IF(X956="","",IFERROR(INDEX($AO$11:$AO$4010,MATCH(946,$AY$11:$AY$4010,0)),""))</f>
        <v/>
      </c>
      <c r="AA956" s="24" t="str">
        <f>IF(X956="","",IFERROR(INDEX($AQ$11:$AQ$4010,MATCH(946,$AY$11:$AY$4010,0)),""))</f>
        <v/>
      </c>
      <c r="AB956" s="29" t="str">
        <f>IF(X956="","",IFERROR(INDEX($AR$11:$AR$4010,MATCH(946,$AY$11:$AY$4010,0)),""))</f>
        <v/>
      </c>
      <c r="AD956" s="30" t="str">
        <f>IF(AE956="","",IFERROR(INDEX($AL$11:$AL$4010,MATCH(946,$AZ$11:$AZ$4010,0)),""))</f>
        <v/>
      </c>
      <c r="AE956" s="26" t="str">
        <f>IFERROR(INDEX($AM$11:$AM$4010,MATCH(946,$AZ$11:$AZ$4010,0)),"")</f>
        <v/>
      </c>
      <c r="AF956" s="25" t="str">
        <f>IF(AE956="","",IFERROR(INDEX($AN$11:$AN$4010,MATCH(946,$AZ$11:$AZ$4010,0)),""))</f>
        <v/>
      </c>
      <c r="AG956" s="25" t="str">
        <f>IF(AE956="","",IFERROR(INDEX($AO$11:$AO$4010,MATCH(946,$AZ$11:$AZ$4010,0)),""))</f>
        <v/>
      </c>
      <c r="AH956" s="24" t="str">
        <f>IF(AE956="","",IFERROR(INDEX($AQ$11:$AQ$4010,MATCH(946,$AZ$11:$AZ$4010,0)),""))</f>
        <v/>
      </c>
      <c r="AI956" s="29" t="str">
        <f>IF(AE956="","",IFERROR(INDEX($AR$11:$AR$4010,MATCH(946,$AZ$11:$AZ$4010,0)),""))</f>
        <v/>
      </c>
      <c r="AJ956" s="29" t="str">
        <f>IF(AE956="","",IFERROR(INDEX($AT$11:$AT$4010,MATCH(946,$AZ$11:$AZ$4010,0)),""))</f>
        <v/>
      </c>
      <c r="AL956" s="31"/>
      <c r="AM956" s="26"/>
      <c r="AN956" s="32"/>
      <c r="AO956" s="32"/>
      <c r="AP956" s="24"/>
      <c r="AQ956" s="24"/>
      <c r="AR956" s="33"/>
      <c r="AS956" s="34"/>
      <c r="AT956" s="33"/>
      <c r="AV956" s="21">
        <f>IF(AND($AL956&lt;&gt;"",COUNTIF($AL$11:$AL956,$AL956)=1),1,0)</f>
        <v>0</v>
      </c>
      <c r="AW956" s="21">
        <f t="shared" si="115"/>
        <v>2</v>
      </c>
      <c r="AX956" s="21" t="str">
        <f t="shared" si="114"/>
        <v/>
      </c>
      <c r="AY956" s="21" t="str">
        <f>IF(AND($AM956&lt;&gt;"",$AS956&lt;&gt;"✓"),SUMPRODUCT(($AM$11:$AM956&lt;&gt;"")*($AS$11:$AS956&lt;&gt;"✓")),"")</f>
        <v/>
      </c>
      <c r="AZ956" s="21" t="str">
        <f>IF(AND($AM956&lt;&gt;"",$AS956="✓"),SUMPRODUCT(($AM$11:$AM956&lt;&gt;"")*($AS$11:$AS956="✓")),"")</f>
        <v/>
      </c>
      <c r="BA956" s="21" t="str">
        <f>IF($AL956="","",$AL956&amp;"|"&amp;COUNTIF($AL$11:$AL956,$AL956))</f>
        <v/>
      </c>
    </row>
    <row r="957" spans="23:53" ht="15" customHeight="1" x14ac:dyDescent="0.25">
      <c r="W957" s="14" t="str">
        <f>IF(X957="","",IFERROR(INDEX($AL$11:$AL$4010,MATCH(947,$AY$11:$AY$4010,0)),""))</f>
        <v/>
      </c>
      <c r="X957" s="12" t="str">
        <f>IFERROR(INDEX($AM$11:$AM$4010,MATCH(947,$AY$11:$AY$4010,0)),"")</f>
        <v/>
      </c>
      <c r="Y957" s="11" t="str">
        <f>IF(X957="","",IFERROR(INDEX($AN$11:$AN$4010,MATCH(947,$AY$11:$AY$4010,0)),""))</f>
        <v/>
      </c>
      <c r="Z957" s="11" t="str">
        <f>IF(X957="","",IFERROR(INDEX($AO$11:$AO$4010,MATCH(947,$AY$11:$AY$4010,0)),""))</f>
        <v/>
      </c>
      <c r="AA957" s="10" t="str">
        <f>IF(X957="","",IFERROR(INDEX($AQ$11:$AQ$4010,MATCH(947,$AY$11:$AY$4010,0)),""))</f>
        <v/>
      </c>
      <c r="AB957" s="15" t="str">
        <f>IF(X957="","",IFERROR(INDEX($AR$11:$AR$4010,MATCH(947,$AY$11:$AY$4010,0)),""))</f>
        <v/>
      </c>
      <c r="AD957" s="16" t="str">
        <f>IF(AE957="","",IFERROR(INDEX($AL$11:$AL$4010,MATCH(947,$AZ$11:$AZ$4010,0)),""))</f>
        <v/>
      </c>
      <c r="AE957" s="12" t="str">
        <f>IFERROR(INDEX($AM$11:$AM$4010,MATCH(947,$AZ$11:$AZ$4010,0)),"")</f>
        <v/>
      </c>
      <c r="AF957" s="11" t="str">
        <f>IF(AE957="","",IFERROR(INDEX($AN$11:$AN$4010,MATCH(947,$AZ$11:$AZ$4010,0)),""))</f>
        <v/>
      </c>
      <c r="AG957" s="11" t="str">
        <f>IF(AE957="","",IFERROR(INDEX($AO$11:$AO$4010,MATCH(947,$AZ$11:$AZ$4010,0)),""))</f>
        <v/>
      </c>
      <c r="AH957" s="10" t="str">
        <f>IF(AE957="","",IFERROR(INDEX($AQ$11:$AQ$4010,MATCH(947,$AZ$11:$AZ$4010,0)),""))</f>
        <v/>
      </c>
      <c r="AI957" s="15" t="str">
        <f>IF(AE957="","",IFERROR(INDEX($AR$11:$AR$4010,MATCH(947,$AZ$11:$AZ$4010,0)),""))</f>
        <v/>
      </c>
      <c r="AJ957" s="15" t="str">
        <f>IF(AE957="","",IFERROR(INDEX($AT$11:$AT$4010,MATCH(947,$AZ$11:$AZ$4010,0)),""))</f>
        <v/>
      </c>
      <c r="AL957" s="17"/>
      <c r="AM957" s="12"/>
      <c r="AN957" s="18"/>
      <c r="AO957" s="18"/>
      <c r="AP957" s="10"/>
      <c r="AQ957" s="10"/>
      <c r="AR957" s="19"/>
      <c r="AS957" s="20"/>
      <c r="AT957" s="19"/>
      <c r="AV957" s="21">
        <f>IF(AND($AL957&lt;&gt;"",COUNTIF($AL$11:$AL957,$AL957)=1),1,0)</f>
        <v>0</v>
      </c>
      <c r="AW957" s="21">
        <f t="shared" si="115"/>
        <v>2</v>
      </c>
      <c r="AX957" s="21" t="str">
        <f t="shared" si="114"/>
        <v/>
      </c>
      <c r="AY957" s="21" t="str">
        <f>IF(AND($AM957&lt;&gt;"",$AS957&lt;&gt;"✓"),SUMPRODUCT(($AM$11:$AM957&lt;&gt;"")*($AS$11:$AS957&lt;&gt;"✓")),"")</f>
        <v/>
      </c>
      <c r="AZ957" s="21" t="str">
        <f>IF(AND($AM957&lt;&gt;"",$AS957="✓"),SUMPRODUCT(($AM$11:$AM957&lt;&gt;"")*($AS$11:$AS957="✓")),"")</f>
        <v/>
      </c>
      <c r="BA957" s="21" t="str">
        <f>IF($AL957="","",$AL957&amp;"|"&amp;COUNTIF($AL$11:$AL957,$AL957))</f>
        <v/>
      </c>
    </row>
    <row r="958" spans="23:53" ht="15" customHeight="1" x14ac:dyDescent="0.25">
      <c r="W958" s="28" t="str">
        <f>IF(X958="","",IFERROR(INDEX($AL$11:$AL$4010,MATCH(948,$AY$11:$AY$4010,0)),""))</f>
        <v/>
      </c>
      <c r="X958" s="26" t="str">
        <f>IFERROR(INDEX($AM$11:$AM$4010,MATCH(948,$AY$11:$AY$4010,0)),"")</f>
        <v/>
      </c>
      <c r="Y958" s="25" t="str">
        <f>IF(X958="","",IFERROR(INDEX($AN$11:$AN$4010,MATCH(948,$AY$11:$AY$4010,0)),""))</f>
        <v/>
      </c>
      <c r="Z958" s="25" t="str">
        <f>IF(X958="","",IFERROR(INDEX($AO$11:$AO$4010,MATCH(948,$AY$11:$AY$4010,0)),""))</f>
        <v/>
      </c>
      <c r="AA958" s="24" t="str">
        <f>IF(X958="","",IFERROR(INDEX($AQ$11:$AQ$4010,MATCH(948,$AY$11:$AY$4010,0)),""))</f>
        <v/>
      </c>
      <c r="AB958" s="29" t="str">
        <f>IF(X958="","",IFERROR(INDEX($AR$11:$AR$4010,MATCH(948,$AY$11:$AY$4010,0)),""))</f>
        <v/>
      </c>
      <c r="AD958" s="30" t="str">
        <f>IF(AE958="","",IFERROR(INDEX($AL$11:$AL$4010,MATCH(948,$AZ$11:$AZ$4010,0)),""))</f>
        <v/>
      </c>
      <c r="AE958" s="26" t="str">
        <f>IFERROR(INDEX($AM$11:$AM$4010,MATCH(948,$AZ$11:$AZ$4010,0)),"")</f>
        <v/>
      </c>
      <c r="AF958" s="25" t="str">
        <f>IF(AE958="","",IFERROR(INDEX($AN$11:$AN$4010,MATCH(948,$AZ$11:$AZ$4010,0)),""))</f>
        <v/>
      </c>
      <c r="AG958" s="25" t="str">
        <f>IF(AE958="","",IFERROR(INDEX($AO$11:$AO$4010,MATCH(948,$AZ$11:$AZ$4010,0)),""))</f>
        <v/>
      </c>
      <c r="AH958" s="24" t="str">
        <f>IF(AE958="","",IFERROR(INDEX($AQ$11:$AQ$4010,MATCH(948,$AZ$11:$AZ$4010,0)),""))</f>
        <v/>
      </c>
      <c r="AI958" s="29" t="str">
        <f>IF(AE958="","",IFERROR(INDEX($AR$11:$AR$4010,MATCH(948,$AZ$11:$AZ$4010,0)),""))</f>
        <v/>
      </c>
      <c r="AJ958" s="29" t="str">
        <f>IF(AE958="","",IFERROR(INDEX($AT$11:$AT$4010,MATCH(948,$AZ$11:$AZ$4010,0)),""))</f>
        <v/>
      </c>
      <c r="AL958" s="31"/>
      <c r="AM958" s="26"/>
      <c r="AN958" s="32"/>
      <c r="AO958" s="32"/>
      <c r="AP958" s="24"/>
      <c r="AQ958" s="24"/>
      <c r="AR958" s="33"/>
      <c r="AS958" s="34"/>
      <c r="AT958" s="33"/>
      <c r="AV958" s="21">
        <f>IF(AND($AL958&lt;&gt;"",COUNTIF($AL$11:$AL958,$AL958)=1),1,0)</f>
        <v>0</v>
      </c>
      <c r="AW958" s="21">
        <f t="shared" si="115"/>
        <v>2</v>
      </c>
      <c r="AX958" s="21" t="str">
        <f t="shared" si="114"/>
        <v/>
      </c>
      <c r="AY958" s="21" t="str">
        <f>IF(AND($AM958&lt;&gt;"",$AS958&lt;&gt;"✓"),SUMPRODUCT(($AM$11:$AM958&lt;&gt;"")*($AS$11:$AS958&lt;&gt;"✓")),"")</f>
        <v/>
      </c>
      <c r="AZ958" s="21" t="str">
        <f>IF(AND($AM958&lt;&gt;"",$AS958="✓"),SUMPRODUCT(($AM$11:$AM958&lt;&gt;"")*($AS$11:$AS958="✓")),"")</f>
        <v/>
      </c>
      <c r="BA958" s="21" t="str">
        <f>IF($AL958="","",$AL958&amp;"|"&amp;COUNTIF($AL$11:$AL958,$AL958))</f>
        <v/>
      </c>
    </row>
    <row r="959" spans="23:53" ht="15" customHeight="1" x14ac:dyDescent="0.25">
      <c r="W959" s="14" t="str">
        <f>IF(X959="","",IFERROR(INDEX($AL$11:$AL$4010,MATCH(949,$AY$11:$AY$4010,0)),""))</f>
        <v/>
      </c>
      <c r="X959" s="12" t="str">
        <f>IFERROR(INDEX($AM$11:$AM$4010,MATCH(949,$AY$11:$AY$4010,0)),"")</f>
        <v/>
      </c>
      <c r="Y959" s="11" t="str">
        <f>IF(X959="","",IFERROR(INDEX($AN$11:$AN$4010,MATCH(949,$AY$11:$AY$4010,0)),""))</f>
        <v/>
      </c>
      <c r="Z959" s="11" t="str">
        <f>IF(X959="","",IFERROR(INDEX($AO$11:$AO$4010,MATCH(949,$AY$11:$AY$4010,0)),""))</f>
        <v/>
      </c>
      <c r="AA959" s="10" t="str">
        <f>IF(X959="","",IFERROR(INDEX($AQ$11:$AQ$4010,MATCH(949,$AY$11:$AY$4010,0)),""))</f>
        <v/>
      </c>
      <c r="AB959" s="15" t="str">
        <f>IF(X959="","",IFERROR(INDEX($AR$11:$AR$4010,MATCH(949,$AY$11:$AY$4010,0)),""))</f>
        <v/>
      </c>
      <c r="AD959" s="16" t="str">
        <f>IF(AE959="","",IFERROR(INDEX($AL$11:$AL$4010,MATCH(949,$AZ$11:$AZ$4010,0)),""))</f>
        <v/>
      </c>
      <c r="AE959" s="12" t="str">
        <f>IFERROR(INDEX($AM$11:$AM$4010,MATCH(949,$AZ$11:$AZ$4010,0)),"")</f>
        <v/>
      </c>
      <c r="AF959" s="11" t="str">
        <f>IF(AE959="","",IFERROR(INDEX($AN$11:$AN$4010,MATCH(949,$AZ$11:$AZ$4010,0)),""))</f>
        <v/>
      </c>
      <c r="AG959" s="11" t="str">
        <f>IF(AE959="","",IFERROR(INDEX($AO$11:$AO$4010,MATCH(949,$AZ$11:$AZ$4010,0)),""))</f>
        <v/>
      </c>
      <c r="AH959" s="10" t="str">
        <f>IF(AE959="","",IFERROR(INDEX($AQ$11:$AQ$4010,MATCH(949,$AZ$11:$AZ$4010,0)),""))</f>
        <v/>
      </c>
      <c r="AI959" s="15" t="str">
        <f>IF(AE959="","",IFERROR(INDEX($AR$11:$AR$4010,MATCH(949,$AZ$11:$AZ$4010,0)),""))</f>
        <v/>
      </c>
      <c r="AJ959" s="15" t="str">
        <f>IF(AE959="","",IFERROR(INDEX($AT$11:$AT$4010,MATCH(949,$AZ$11:$AZ$4010,0)),""))</f>
        <v/>
      </c>
      <c r="AL959" s="17"/>
      <c r="AM959" s="12"/>
      <c r="AN959" s="18"/>
      <c r="AO959" s="18"/>
      <c r="AP959" s="10"/>
      <c r="AQ959" s="10"/>
      <c r="AR959" s="19"/>
      <c r="AS959" s="20"/>
      <c r="AT959" s="19"/>
      <c r="AV959" s="21">
        <f>IF(AND($AL959&lt;&gt;"",COUNTIF($AL$11:$AL959,$AL959)=1),1,0)</f>
        <v>0</v>
      </c>
      <c r="AW959" s="21">
        <f t="shared" si="115"/>
        <v>2</v>
      </c>
      <c r="AX959" s="21" t="str">
        <f t="shared" si="114"/>
        <v/>
      </c>
      <c r="AY959" s="21" t="str">
        <f>IF(AND($AM959&lt;&gt;"",$AS959&lt;&gt;"✓"),SUMPRODUCT(($AM$11:$AM959&lt;&gt;"")*($AS$11:$AS959&lt;&gt;"✓")),"")</f>
        <v/>
      </c>
      <c r="AZ959" s="21" t="str">
        <f>IF(AND($AM959&lt;&gt;"",$AS959="✓"),SUMPRODUCT(($AM$11:$AM959&lt;&gt;"")*($AS$11:$AS959="✓")),"")</f>
        <v/>
      </c>
      <c r="BA959" s="21" t="str">
        <f>IF($AL959="","",$AL959&amp;"|"&amp;COUNTIF($AL$11:$AL959,$AL959))</f>
        <v/>
      </c>
    </row>
    <row r="960" spans="23:53" ht="15" customHeight="1" x14ac:dyDescent="0.25">
      <c r="W960" s="28" t="str">
        <f>IF(X960="","",IFERROR(INDEX($AL$11:$AL$4010,MATCH(950,$AY$11:$AY$4010,0)),""))</f>
        <v/>
      </c>
      <c r="X960" s="26" t="str">
        <f>IFERROR(INDEX($AM$11:$AM$4010,MATCH(950,$AY$11:$AY$4010,0)),"")</f>
        <v/>
      </c>
      <c r="Y960" s="25" t="str">
        <f>IF(X960="","",IFERROR(INDEX($AN$11:$AN$4010,MATCH(950,$AY$11:$AY$4010,0)),""))</f>
        <v/>
      </c>
      <c r="Z960" s="25" t="str">
        <f>IF(X960="","",IFERROR(INDEX($AO$11:$AO$4010,MATCH(950,$AY$11:$AY$4010,0)),""))</f>
        <v/>
      </c>
      <c r="AA960" s="24" t="str">
        <f>IF(X960="","",IFERROR(INDEX($AQ$11:$AQ$4010,MATCH(950,$AY$11:$AY$4010,0)),""))</f>
        <v/>
      </c>
      <c r="AB960" s="29" t="str">
        <f>IF(X960="","",IFERROR(INDEX($AR$11:$AR$4010,MATCH(950,$AY$11:$AY$4010,0)),""))</f>
        <v/>
      </c>
      <c r="AD960" s="30" t="str">
        <f>IF(AE960="","",IFERROR(INDEX($AL$11:$AL$4010,MATCH(950,$AZ$11:$AZ$4010,0)),""))</f>
        <v/>
      </c>
      <c r="AE960" s="26" t="str">
        <f>IFERROR(INDEX($AM$11:$AM$4010,MATCH(950,$AZ$11:$AZ$4010,0)),"")</f>
        <v/>
      </c>
      <c r="AF960" s="25" t="str">
        <f>IF(AE960="","",IFERROR(INDEX($AN$11:$AN$4010,MATCH(950,$AZ$11:$AZ$4010,0)),""))</f>
        <v/>
      </c>
      <c r="AG960" s="25" t="str">
        <f>IF(AE960="","",IFERROR(INDEX($AO$11:$AO$4010,MATCH(950,$AZ$11:$AZ$4010,0)),""))</f>
        <v/>
      </c>
      <c r="AH960" s="24" t="str">
        <f>IF(AE960="","",IFERROR(INDEX($AQ$11:$AQ$4010,MATCH(950,$AZ$11:$AZ$4010,0)),""))</f>
        <v/>
      </c>
      <c r="AI960" s="29" t="str">
        <f>IF(AE960="","",IFERROR(INDEX($AR$11:$AR$4010,MATCH(950,$AZ$11:$AZ$4010,0)),""))</f>
        <v/>
      </c>
      <c r="AJ960" s="29" t="str">
        <f>IF(AE960="","",IFERROR(INDEX($AT$11:$AT$4010,MATCH(950,$AZ$11:$AZ$4010,0)),""))</f>
        <v/>
      </c>
      <c r="AL960" s="31"/>
      <c r="AM960" s="26"/>
      <c r="AN960" s="32"/>
      <c r="AO960" s="32"/>
      <c r="AP960" s="24"/>
      <c r="AQ960" s="24"/>
      <c r="AR960" s="33"/>
      <c r="AS960" s="34"/>
      <c r="AT960" s="33"/>
      <c r="AV960" s="21">
        <f>IF(AND($AL960&lt;&gt;"",COUNTIF($AL$11:$AL960,$AL960)=1),1,0)</f>
        <v>0</v>
      </c>
      <c r="AW960" s="21">
        <f t="shared" si="115"/>
        <v>2</v>
      </c>
      <c r="AX960" s="21" t="str">
        <f t="shared" si="114"/>
        <v/>
      </c>
      <c r="AY960" s="21" t="str">
        <f>IF(AND($AM960&lt;&gt;"",$AS960&lt;&gt;"✓"),SUMPRODUCT(($AM$11:$AM960&lt;&gt;"")*($AS$11:$AS960&lt;&gt;"✓")),"")</f>
        <v/>
      </c>
      <c r="AZ960" s="21" t="str">
        <f>IF(AND($AM960&lt;&gt;"",$AS960="✓"),SUMPRODUCT(($AM$11:$AM960&lt;&gt;"")*($AS$11:$AS960="✓")),"")</f>
        <v/>
      </c>
      <c r="BA960" s="21" t="str">
        <f>IF($AL960="","",$AL960&amp;"|"&amp;COUNTIF($AL$11:$AL960,$AL960))</f>
        <v/>
      </c>
    </row>
    <row r="961" spans="23:53" ht="15" customHeight="1" x14ac:dyDescent="0.25">
      <c r="W961" s="14" t="str">
        <f>IF(X961="","",IFERROR(INDEX($AL$11:$AL$4010,MATCH(951,$AY$11:$AY$4010,0)),""))</f>
        <v/>
      </c>
      <c r="X961" s="12" t="str">
        <f>IFERROR(INDEX($AM$11:$AM$4010,MATCH(951,$AY$11:$AY$4010,0)),"")</f>
        <v/>
      </c>
      <c r="Y961" s="11" t="str">
        <f>IF(X961="","",IFERROR(INDEX($AN$11:$AN$4010,MATCH(951,$AY$11:$AY$4010,0)),""))</f>
        <v/>
      </c>
      <c r="Z961" s="11" t="str">
        <f>IF(X961="","",IFERROR(INDEX($AO$11:$AO$4010,MATCH(951,$AY$11:$AY$4010,0)),""))</f>
        <v/>
      </c>
      <c r="AA961" s="10" t="str">
        <f>IF(X961="","",IFERROR(INDEX($AQ$11:$AQ$4010,MATCH(951,$AY$11:$AY$4010,0)),""))</f>
        <v/>
      </c>
      <c r="AB961" s="15" t="str">
        <f>IF(X961="","",IFERROR(INDEX($AR$11:$AR$4010,MATCH(951,$AY$11:$AY$4010,0)),""))</f>
        <v/>
      </c>
      <c r="AD961" s="16" t="str">
        <f>IF(AE961="","",IFERROR(INDEX($AL$11:$AL$4010,MATCH(951,$AZ$11:$AZ$4010,0)),""))</f>
        <v/>
      </c>
      <c r="AE961" s="12" t="str">
        <f>IFERROR(INDEX($AM$11:$AM$4010,MATCH(951,$AZ$11:$AZ$4010,0)),"")</f>
        <v/>
      </c>
      <c r="AF961" s="11" t="str">
        <f>IF(AE961="","",IFERROR(INDEX($AN$11:$AN$4010,MATCH(951,$AZ$11:$AZ$4010,0)),""))</f>
        <v/>
      </c>
      <c r="AG961" s="11" t="str">
        <f>IF(AE961="","",IFERROR(INDEX($AO$11:$AO$4010,MATCH(951,$AZ$11:$AZ$4010,0)),""))</f>
        <v/>
      </c>
      <c r="AH961" s="10" t="str">
        <f>IF(AE961="","",IFERROR(INDEX($AQ$11:$AQ$4010,MATCH(951,$AZ$11:$AZ$4010,0)),""))</f>
        <v/>
      </c>
      <c r="AI961" s="15" t="str">
        <f>IF(AE961="","",IFERROR(INDEX($AR$11:$AR$4010,MATCH(951,$AZ$11:$AZ$4010,0)),""))</f>
        <v/>
      </c>
      <c r="AJ961" s="15" t="str">
        <f>IF(AE961="","",IFERROR(INDEX($AT$11:$AT$4010,MATCH(951,$AZ$11:$AZ$4010,0)),""))</f>
        <v/>
      </c>
      <c r="AL961" s="17"/>
      <c r="AM961" s="12"/>
      <c r="AN961" s="18"/>
      <c r="AO961" s="18"/>
      <c r="AP961" s="10"/>
      <c r="AQ961" s="10"/>
      <c r="AR961" s="19"/>
      <c r="AS961" s="20"/>
      <c r="AT961" s="19"/>
      <c r="AV961" s="21">
        <f>IF(AND($AL961&lt;&gt;"",COUNTIF($AL$11:$AL961,$AL961)=1),1,0)</f>
        <v>0</v>
      </c>
      <c r="AW961" s="21">
        <f t="shared" si="115"/>
        <v>2</v>
      </c>
      <c r="AX961" s="21" t="str">
        <f t="shared" si="114"/>
        <v/>
      </c>
      <c r="AY961" s="21" t="str">
        <f>IF(AND($AM961&lt;&gt;"",$AS961&lt;&gt;"✓"),SUMPRODUCT(($AM$11:$AM961&lt;&gt;"")*($AS$11:$AS961&lt;&gt;"✓")),"")</f>
        <v/>
      </c>
      <c r="AZ961" s="21" t="str">
        <f>IF(AND($AM961&lt;&gt;"",$AS961="✓"),SUMPRODUCT(($AM$11:$AM961&lt;&gt;"")*($AS$11:$AS961="✓")),"")</f>
        <v/>
      </c>
      <c r="BA961" s="21" t="str">
        <f>IF($AL961="","",$AL961&amp;"|"&amp;COUNTIF($AL$11:$AL961,$AL961))</f>
        <v/>
      </c>
    </row>
    <row r="962" spans="23:53" ht="15" customHeight="1" x14ac:dyDescent="0.25">
      <c r="W962" s="28" t="str">
        <f>IF(X962="","",IFERROR(INDEX($AL$11:$AL$4010,MATCH(952,$AY$11:$AY$4010,0)),""))</f>
        <v/>
      </c>
      <c r="X962" s="26" t="str">
        <f>IFERROR(INDEX($AM$11:$AM$4010,MATCH(952,$AY$11:$AY$4010,0)),"")</f>
        <v/>
      </c>
      <c r="Y962" s="25" t="str">
        <f>IF(X962="","",IFERROR(INDEX($AN$11:$AN$4010,MATCH(952,$AY$11:$AY$4010,0)),""))</f>
        <v/>
      </c>
      <c r="Z962" s="25" t="str">
        <f>IF(X962="","",IFERROR(INDEX($AO$11:$AO$4010,MATCH(952,$AY$11:$AY$4010,0)),""))</f>
        <v/>
      </c>
      <c r="AA962" s="24" t="str">
        <f>IF(X962="","",IFERROR(INDEX($AQ$11:$AQ$4010,MATCH(952,$AY$11:$AY$4010,0)),""))</f>
        <v/>
      </c>
      <c r="AB962" s="29" t="str">
        <f>IF(X962="","",IFERROR(INDEX($AR$11:$AR$4010,MATCH(952,$AY$11:$AY$4010,0)),""))</f>
        <v/>
      </c>
      <c r="AD962" s="30" t="str">
        <f>IF(AE962="","",IFERROR(INDEX($AL$11:$AL$4010,MATCH(952,$AZ$11:$AZ$4010,0)),""))</f>
        <v/>
      </c>
      <c r="AE962" s="26" t="str">
        <f>IFERROR(INDEX($AM$11:$AM$4010,MATCH(952,$AZ$11:$AZ$4010,0)),"")</f>
        <v/>
      </c>
      <c r="AF962" s="25" t="str">
        <f>IF(AE962="","",IFERROR(INDEX($AN$11:$AN$4010,MATCH(952,$AZ$11:$AZ$4010,0)),""))</f>
        <v/>
      </c>
      <c r="AG962" s="25" t="str">
        <f>IF(AE962="","",IFERROR(INDEX($AO$11:$AO$4010,MATCH(952,$AZ$11:$AZ$4010,0)),""))</f>
        <v/>
      </c>
      <c r="AH962" s="24" t="str">
        <f>IF(AE962="","",IFERROR(INDEX($AQ$11:$AQ$4010,MATCH(952,$AZ$11:$AZ$4010,0)),""))</f>
        <v/>
      </c>
      <c r="AI962" s="29" t="str">
        <f>IF(AE962="","",IFERROR(INDEX($AR$11:$AR$4010,MATCH(952,$AZ$11:$AZ$4010,0)),""))</f>
        <v/>
      </c>
      <c r="AJ962" s="29" t="str">
        <f>IF(AE962="","",IFERROR(INDEX($AT$11:$AT$4010,MATCH(952,$AZ$11:$AZ$4010,0)),""))</f>
        <v/>
      </c>
      <c r="AL962" s="31"/>
      <c r="AM962" s="26"/>
      <c r="AN962" s="32"/>
      <c r="AO962" s="32"/>
      <c r="AP962" s="24"/>
      <c r="AQ962" s="24"/>
      <c r="AR962" s="33"/>
      <c r="AS962" s="34"/>
      <c r="AT962" s="33"/>
      <c r="AV962" s="21">
        <f>IF(AND($AL962&lt;&gt;"",COUNTIF($AL$11:$AL962,$AL962)=1),1,0)</f>
        <v>0</v>
      </c>
      <c r="AW962" s="21">
        <f t="shared" si="115"/>
        <v>2</v>
      </c>
      <c r="AX962" s="21" t="str">
        <f t="shared" si="114"/>
        <v/>
      </c>
      <c r="AY962" s="21" t="str">
        <f>IF(AND($AM962&lt;&gt;"",$AS962&lt;&gt;"✓"),SUMPRODUCT(($AM$11:$AM962&lt;&gt;"")*($AS$11:$AS962&lt;&gt;"✓")),"")</f>
        <v/>
      </c>
      <c r="AZ962" s="21" t="str">
        <f>IF(AND($AM962&lt;&gt;"",$AS962="✓"),SUMPRODUCT(($AM$11:$AM962&lt;&gt;"")*($AS$11:$AS962="✓")),"")</f>
        <v/>
      </c>
      <c r="BA962" s="21" t="str">
        <f>IF($AL962="","",$AL962&amp;"|"&amp;COUNTIF($AL$11:$AL962,$AL962))</f>
        <v/>
      </c>
    </row>
    <row r="963" spans="23:53" ht="15" customHeight="1" x14ac:dyDescent="0.25">
      <c r="W963" s="14" t="str">
        <f>IF(X963="","",IFERROR(INDEX($AL$11:$AL$4010,MATCH(953,$AY$11:$AY$4010,0)),""))</f>
        <v/>
      </c>
      <c r="X963" s="12" t="str">
        <f>IFERROR(INDEX($AM$11:$AM$4010,MATCH(953,$AY$11:$AY$4010,0)),"")</f>
        <v/>
      </c>
      <c r="Y963" s="11" t="str">
        <f>IF(X963="","",IFERROR(INDEX($AN$11:$AN$4010,MATCH(953,$AY$11:$AY$4010,0)),""))</f>
        <v/>
      </c>
      <c r="Z963" s="11" t="str">
        <f>IF(X963="","",IFERROR(INDEX($AO$11:$AO$4010,MATCH(953,$AY$11:$AY$4010,0)),""))</f>
        <v/>
      </c>
      <c r="AA963" s="10" t="str">
        <f>IF(X963="","",IFERROR(INDEX($AQ$11:$AQ$4010,MATCH(953,$AY$11:$AY$4010,0)),""))</f>
        <v/>
      </c>
      <c r="AB963" s="15" t="str">
        <f>IF(X963="","",IFERROR(INDEX($AR$11:$AR$4010,MATCH(953,$AY$11:$AY$4010,0)),""))</f>
        <v/>
      </c>
      <c r="AD963" s="16" t="str">
        <f>IF(AE963="","",IFERROR(INDEX($AL$11:$AL$4010,MATCH(953,$AZ$11:$AZ$4010,0)),""))</f>
        <v/>
      </c>
      <c r="AE963" s="12" t="str">
        <f>IFERROR(INDEX($AM$11:$AM$4010,MATCH(953,$AZ$11:$AZ$4010,0)),"")</f>
        <v/>
      </c>
      <c r="AF963" s="11" t="str">
        <f>IF(AE963="","",IFERROR(INDEX($AN$11:$AN$4010,MATCH(953,$AZ$11:$AZ$4010,0)),""))</f>
        <v/>
      </c>
      <c r="AG963" s="11" t="str">
        <f>IF(AE963="","",IFERROR(INDEX($AO$11:$AO$4010,MATCH(953,$AZ$11:$AZ$4010,0)),""))</f>
        <v/>
      </c>
      <c r="AH963" s="10" t="str">
        <f>IF(AE963="","",IFERROR(INDEX($AQ$11:$AQ$4010,MATCH(953,$AZ$11:$AZ$4010,0)),""))</f>
        <v/>
      </c>
      <c r="AI963" s="15" t="str">
        <f>IF(AE963="","",IFERROR(INDEX($AR$11:$AR$4010,MATCH(953,$AZ$11:$AZ$4010,0)),""))</f>
        <v/>
      </c>
      <c r="AJ963" s="15" t="str">
        <f>IF(AE963="","",IFERROR(INDEX($AT$11:$AT$4010,MATCH(953,$AZ$11:$AZ$4010,0)),""))</f>
        <v/>
      </c>
      <c r="AL963" s="17"/>
      <c r="AM963" s="12"/>
      <c r="AN963" s="18"/>
      <c r="AO963" s="18"/>
      <c r="AP963" s="10"/>
      <c r="AQ963" s="10"/>
      <c r="AR963" s="19"/>
      <c r="AS963" s="20"/>
      <c r="AT963" s="19"/>
      <c r="AV963" s="21">
        <f>IF(AND($AL963&lt;&gt;"",COUNTIF($AL$11:$AL963,$AL963)=1),1,0)</f>
        <v>0</v>
      </c>
      <c r="AW963" s="21">
        <f t="shared" si="115"/>
        <v>2</v>
      </c>
      <c r="AX963" s="21" t="str">
        <f t="shared" si="114"/>
        <v/>
      </c>
      <c r="AY963" s="21" t="str">
        <f>IF(AND($AM963&lt;&gt;"",$AS963&lt;&gt;"✓"),SUMPRODUCT(($AM$11:$AM963&lt;&gt;"")*($AS$11:$AS963&lt;&gt;"✓")),"")</f>
        <v/>
      </c>
      <c r="AZ963" s="21" t="str">
        <f>IF(AND($AM963&lt;&gt;"",$AS963="✓"),SUMPRODUCT(($AM$11:$AM963&lt;&gt;"")*($AS$11:$AS963="✓")),"")</f>
        <v/>
      </c>
      <c r="BA963" s="21" t="str">
        <f>IF($AL963="","",$AL963&amp;"|"&amp;COUNTIF($AL$11:$AL963,$AL963))</f>
        <v/>
      </c>
    </row>
    <row r="964" spans="23:53" ht="15" customHeight="1" x14ac:dyDescent="0.25">
      <c r="W964" s="28" t="str">
        <f>IF(X964="","",IFERROR(INDEX($AL$11:$AL$4010,MATCH(954,$AY$11:$AY$4010,0)),""))</f>
        <v/>
      </c>
      <c r="X964" s="26" t="str">
        <f>IFERROR(INDEX($AM$11:$AM$4010,MATCH(954,$AY$11:$AY$4010,0)),"")</f>
        <v/>
      </c>
      <c r="Y964" s="25" t="str">
        <f>IF(X964="","",IFERROR(INDEX($AN$11:$AN$4010,MATCH(954,$AY$11:$AY$4010,0)),""))</f>
        <v/>
      </c>
      <c r="Z964" s="25" t="str">
        <f>IF(X964="","",IFERROR(INDEX($AO$11:$AO$4010,MATCH(954,$AY$11:$AY$4010,0)),""))</f>
        <v/>
      </c>
      <c r="AA964" s="24" t="str">
        <f>IF(X964="","",IFERROR(INDEX($AQ$11:$AQ$4010,MATCH(954,$AY$11:$AY$4010,0)),""))</f>
        <v/>
      </c>
      <c r="AB964" s="29" t="str">
        <f>IF(X964="","",IFERROR(INDEX($AR$11:$AR$4010,MATCH(954,$AY$11:$AY$4010,0)),""))</f>
        <v/>
      </c>
      <c r="AD964" s="30" t="str">
        <f>IF(AE964="","",IFERROR(INDEX($AL$11:$AL$4010,MATCH(954,$AZ$11:$AZ$4010,0)),""))</f>
        <v/>
      </c>
      <c r="AE964" s="26" t="str">
        <f>IFERROR(INDEX($AM$11:$AM$4010,MATCH(954,$AZ$11:$AZ$4010,0)),"")</f>
        <v/>
      </c>
      <c r="AF964" s="25" t="str">
        <f>IF(AE964="","",IFERROR(INDEX($AN$11:$AN$4010,MATCH(954,$AZ$11:$AZ$4010,0)),""))</f>
        <v/>
      </c>
      <c r="AG964" s="25" t="str">
        <f>IF(AE964="","",IFERROR(INDEX($AO$11:$AO$4010,MATCH(954,$AZ$11:$AZ$4010,0)),""))</f>
        <v/>
      </c>
      <c r="AH964" s="24" t="str">
        <f>IF(AE964="","",IFERROR(INDEX($AQ$11:$AQ$4010,MATCH(954,$AZ$11:$AZ$4010,0)),""))</f>
        <v/>
      </c>
      <c r="AI964" s="29" t="str">
        <f>IF(AE964="","",IFERROR(INDEX($AR$11:$AR$4010,MATCH(954,$AZ$11:$AZ$4010,0)),""))</f>
        <v/>
      </c>
      <c r="AJ964" s="29" t="str">
        <f>IF(AE964="","",IFERROR(INDEX($AT$11:$AT$4010,MATCH(954,$AZ$11:$AZ$4010,0)),""))</f>
        <v/>
      </c>
      <c r="AL964" s="31"/>
      <c r="AM964" s="26"/>
      <c r="AN964" s="32"/>
      <c r="AO964" s="32"/>
      <c r="AP964" s="24"/>
      <c r="AQ964" s="24"/>
      <c r="AR964" s="33"/>
      <c r="AS964" s="34"/>
      <c r="AT964" s="33"/>
      <c r="AV964" s="21">
        <f>IF(AND($AL964&lt;&gt;"",COUNTIF($AL$11:$AL964,$AL964)=1),1,0)</f>
        <v>0</v>
      </c>
      <c r="AW964" s="21">
        <f t="shared" si="115"/>
        <v>2</v>
      </c>
      <c r="AX964" s="21" t="str">
        <f t="shared" si="114"/>
        <v/>
      </c>
      <c r="AY964" s="21" t="str">
        <f>IF(AND($AM964&lt;&gt;"",$AS964&lt;&gt;"✓"),SUMPRODUCT(($AM$11:$AM964&lt;&gt;"")*($AS$11:$AS964&lt;&gt;"✓")),"")</f>
        <v/>
      </c>
      <c r="AZ964" s="21" t="str">
        <f>IF(AND($AM964&lt;&gt;"",$AS964="✓"),SUMPRODUCT(($AM$11:$AM964&lt;&gt;"")*($AS$11:$AS964="✓")),"")</f>
        <v/>
      </c>
      <c r="BA964" s="21" t="str">
        <f>IF($AL964="","",$AL964&amp;"|"&amp;COUNTIF($AL$11:$AL964,$AL964))</f>
        <v/>
      </c>
    </row>
    <row r="965" spans="23:53" ht="15" customHeight="1" x14ac:dyDescent="0.25">
      <c r="W965" s="14" t="str">
        <f>IF(X965="","",IFERROR(INDEX($AL$11:$AL$4010,MATCH(955,$AY$11:$AY$4010,0)),""))</f>
        <v/>
      </c>
      <c r="X965" s="12" t="str">
        <f>IFERROR(INDEX($AM$11:$AM$4010,MATCH(955,$AY$11:$AY$4010,0)),"")</f>
        <v/>
      </c>
      <c r="Y965" s="11" t="str">
        <f>IF(X965="","",IFERROR(INDEX($AN$11:$AN$4010,MATCH(955,$AY$11:$AY$4010,0)),""))</f>
        <v/>
      </c>
      <c r="Z965" s="11" t="str">
        <f>IF(X965="","",IFERROR(INDEX($AO$11:$AO$4010,MATCH(955,$AY$11:$AY$4010,0)),""))</f>
        <v/>
      </c>
      <c r="AA965" s="10" t="str">
        <f>IF(X965="","",IFERROR(INDEX($AQ$11:$AQ$4010,MATCH(955,$AY$11:$AY$4010,0)),""))</f>
        <v/>
      </c>
      <c r="AB965" s="15" t="str">
        <f>IF(X965="","",IFERROR(INDEX($AR$11:$AR$4010,MATCH(955,$AY$11:$AY$4010,0)),""))</f>
        <v/>
      </c>
      <c r="AD965" s="16" t="str">
        <f>IF(AE965="","",IFERROR(INDEX($AL$11:$AL$4010,MATCH(955,$AZ$11:$AZ$4010,0)),""))</f>
        <v/>
      </c>
      <c r="AE965" s="12" t="str">
        <f>IFERROR(INDEX($AM$11:$AM$4010,MATCH(955,$AZ$11:$AZ$4010,0)),"")</f>
        <v/>
      </c>
      <c r="AF965" s="11" t="str">
        <f>IF(AE965="","",IFERROR(INDEX($AN$11:$AN$4010,MATCH(955,$AZ$11:$AZ$4010,0)),""))</f>
        <v/>
      </c>
      <c r="AG965" s="11" t="str">
        <f>IF(AE965="","",IFERROR(INDEX($AO$11:$AO$4010,MATCH(955,$AZ$11:$AZ$4010,0)),""))</f>
        <v/>
      </c>
      <c r="AH965" s="10" t="str">
        <f>IF(AE965="","",IFERROR(INDEX($AQ$11:$AQ$4010,MATCH(955,$AZ$11:$AZ$4010,0)),""))</f>
        <v/>
      </c>
      <c r="AI965" s="15" t="str">
        <f>IF(AE965="","",IFERROR(INDEX($AR$11:$AR$4010,MATCH(955,$AZ$11:$AZ$4010,0)),""))</f>
        <v/>
      </c>
      <c r="AJ965" s="15" t="str">
        <f>IF(AE965="","",IFERROR(INDEX($AT$11:$AT$4010,MATCH(955,$AZ$11:$AZ$4010,0)),""))</f>
        <v/>
      </c>
      <c r="AL965" s="17"/>
      <c r="AM965" s="12"/>
      <c r="AN965" s="18"/>
      <c r="AO965" s="18"/>
      <c r="AP965" s="10"/>
      <c r="AQ965" s="10"/>
      <c r="AR965" s="19"/>
      <c r="AS965" s="20"/>
      <c r="AT965" s="19"/>
      <c r="AV965" s="21">
        <f>IF(AND($AL965&lt;&gt;"",COUNTIF($AL$11:$AL965,$AL965)=1),1,0)</f>
        <v>0</v>
      </c>
      <c r="AW965" s="21">
        <f t="shared" si="115"/>
        <v>2</v>
      </c>
      <c r="AX965" s="21" t="str">
        <f t="shared" si="114"/>
        <v/>
      </c>
      <c r="AY965" s="21" t="str">
        <f>IF(AND($AM965&lt;&gt;"",$AS965&lt;&gt;"✓"),SUMPRODUCT(($AM$11:$AM965&lt;&gt;"")*($AS$11:$AS965&lt;&gt;"✓")),"")</f>
        <v/>
      </c>
      <c r="AZ965" s="21" t="str">
        <f>IF(AND($AM965&lt;&gt;"",$AS965="✓"),SUMPRODUCT(($AM$11:$AM965&lt;&gt;"")*($AS$11:$AS965="✓")),"")</f>
        <v/>
      </c>
      <c r="BA965" s="21" t="str">
        <f>IF($AL965="","",$AL965&amp;"|"&amp;COUNTIF($AL$11:$AL965,$AL965))</f>
        <v/>
      </c>
    </row>
    <row r="966" spans="23:53" ht="15" customHeight="1" x14ac:dyDescent="0.25">
      <c r="W966" s="28" t="str">
        <f>IF(X966="","",IFERROR(INDEX($AL$11:$AL$4010,MATCH(956,$AY$11:$AY$4010,0)),""))</f>
        <v/>
      </c>
      <c r="X966" s="26" t="str">
        <f>IFERROR(INDEX($AM$11:$AM$4010,MATCH(956,$AY$11:$AY$4010,0)),"")</f>
        <v/>
      </c>
      <c r="Y966" s="25" t="str">
        <f>IF(X966="","",IFERROR(INDEX($AN$11:$AN$4010,MATCH(956,$AY$11:$AY$4010,0)),""))</f>
        <v/>
      </c>
      <c r="Z966" s="25" t="str">
        <f>IF(X966="","",IFERROR(INDEX($AO$11:$AO$4010,MATCH(956,$AY$11:$AY$4010,0)),""))</f>
        <v/>
      </c>
      <c r="AA966" s="24" t="str">
        <f>IF(X966="","",IFERROR(INDEX($AQ$11:$AQ$4010,MATCH(956,$AY$11:$AY$4010,0)),""))</f>
        <v/>
      </c>
      <c r="AB966" s="29" t="str">
        <f>IF(X966="","",IFERROR(INDEX($AR$11:$AR$4010,MATCH(956,$AY$11:$AY$4010,0)),""))</f>
        <v/>
      </c>
      <c r="AD966" s="30" t="str">
        <f>IF(AE966="","",IFERROR(INDEX($AL$11:$AL$4010,MATCH(956,$AZ$11:$AZ$4010,0)),""))</f>
        <v/>
      </c>
      <c r="AE966" s="26" t="str">
        <f>IFERROR(INDEX($AM$11:$AM$4010,MATCH(956,$AZ$11:$AZ$4010,0)),"")</f>
        <v/>
      </c>
      <c r="AF966" s="25" t="str">
        <f>IF(AE966="","",IFERROR(INDEX($AN$11:$AN$4010,MATCH(956,$AZ$11:$AZ$4010,0)),""))</f>
        <v/>
      </c>
      <c r="AG966" s="25" t="str">
        <f>IF(AE966="","",IFERROR(INDEX($AO$11:$AO$4010,MATCH(956,$AZ$11:$AZ$4010,0)),""))</f>
        <v/>
      </c>
      <c r="AH966" s="24" t="str">
        <f>IF(AE966="","",IFERROR(INDEX($AQ$11:$AQ$4010,MATCH(956,$AZ$11:$AZ$4010,0)),""))</f>
        <v/>
      </c>
      <c r="AI966" s="29" t="str">
        <f>IF(AE966="","",IFERROR(INDEX($AR$11:$AR$4010,MATCH(956,$AZ$11:$AZ$4010,0)),""))</f>
        <v/>
      </c>
      <c r="AJ966" s="29" t="str">
        <f>IF(AE966="","",IFERROR(INDEX($AT$11:$AT$4010,MATCH(956,$AZ$11:$AZ$4010,0)),""))</f>
        <v/>
      </c>
      <c r="AL966" s="31"/>
      <c r="AM966" s="26"/>
      <c r="AN966" s="32"/>
      <c r="AO966" s="32"/>
      <c r="AP966" s="24"/>
      <c r="AQ966" s="24"/>
      <c r="AR966" s="33"/>
      <c r="AS966" s="34"/>
      <c r="AT966" s="33"/>
      <c r="AV966" s="21">
        <f>IF(AND($AL966&lt;&gt;"",COUNTIF($AL$11:$AL966,$AL966)=1),1,0)</f>
        <v>0</v>
      </c>
      <c r="AW966" s="21">
        <f t="shared" si="115"/>
        <v>2</v>
      </c>
      <c r="AX966" s="21" t="str">
        <f t="shared" si="114"/>
        <v/>
      </c>
      <c r="AY966" s="21" t="str">
        <f>IF(AND($AM966&lt;&gt;"",$AS966&lt;&gt;"✓"),SUMPRODUCT(($AM$11:$AM966&lt;&gt;"")*($AS$11:$AS966&lt;&gt;"✓")),"")</f>
        <v/>
      </c>
      <c r="AZ966" s="21" t="str">
        <f>IF(AND($AM966&lt;&gt;"",$AS966="✓"),SUMPRODUCT(($AM$11:$AM966&lt;&gt;"")*($AS$11:$AS966="✓")),"")</f>
        <v/>
      </c>
      <c r="BA966" s="21" t="str">
        <f>IF($AL966="","",$AL966&amp;"|"&amp;COUNTIF($AL$11:$AL966,$AL966))</f>
        <v/>
      </c>
    </row>
    <row r="967" spans="23:53" ht="15" customHeight="1" x14ac:dyDescent="0.25">
      <c r="W967" s="14" t="str">
        <f>IF(X967="","",IFERROR(INDEX($AL$11:$AL$4010,MATCH(957,$AY$11:$AY$4010,0)),""))</f>
        <v/>
      </c>
      <c r="X967" s="12" t="str">
        <f>IFERROR(INDEX($AM$11:$AM$4010,MATCH(957,$AY$11:$AY$4010,0)),"")</f>
        <v/>
      </c>
      <c r="Y967" s="11" t="str">
        <f>IF(X967="","",IFERROR(INDEX($AN$11:$AN$4010,MATCH(957,$AY$11:$AY$4010,0)),""))</f>
        <v/>
      </c>
      <c r="Z967" s="11" t="str">
        <f>IF(X967="","",IFERROR(INDEX($AO$11:$AO$4010,MATCH(957,$AY$11:$AY$4010,0)),""))</f>
        <v/>
      </c>
      <c r="AA967" s="10" t="str">
        <f>IF(X967="","",IFERROR(INDEX($AQ$11:$AQ$4010,MATCH(957,$AY$11:$AY$4010,0)),""))</f>
        <v/>
      </c>
      <c r="AB967" s="15" t="str">
        <f>IF(X967="","",IFERROR(INDEX($AR$11:$AR$4010,MATCH(957,$AY$11:$AY$4010,0)),""))</f>
        <v/>
      </c>
      <c r="AD967" s="16" t="str">
        <f>IF(AE967="","",IFERROR(INDEX($AL$11:$AL$4010,MATCH(957,$AZ$11:$AZ$4010,0)),""))</f>
        <v/>
      </c>
      <c r="AE967" s="12" t="str">
        <f>IFERROR(INDEX($AM$11:$AM$4010,MATCH(957,$AZ$11:$AZ$4010,0)),"")</f>
        <v/>
      </c>
      <c r="AF967" s="11" t="str">
        <f>IF(AE967="","",IFERROR(INDEX($AN$11:$AN$4010,MATCH(957,$AZ$11:$AZ$4010,0)),""))</f>
        <v/>
      </c>
      <c r="AG967" s="11" t="str">
        <f>IF(AE967="","",IFERROR(INDEX($AO$11:$AO$4010,MATCH(957,$AZ$11:$AZ$4010,0)),""))</f>
        <v/>
      </c>
      <c r="AH967" s="10" t="str">
        <f>IF(AE967="","",IFERROR(INDEX($AQ$11:$AQ$4010,MATCH(957,$AZ$11:$AZ$4010,0)),""))</f>
        <v/>
      </c>
      <c r="AI967" s="15" t="str">
        <f>IF(AE967="","",IFERROR(INDEX($AR$11:$AR$4010,MATCH(957,$AZ$11:$AZ$4010,0)),""))</f>
        <v/>
      </c>
      <c r="AJ967" s="15" t="str">
        <f>IF(AE967="","",IFERROR(INDEX($AT$11:$AT$4010,MATCH(957,$AZ$11:$AZ$4010,0)),""))</f>
        <v/>
      </c>
      <c r="AL967" s="17"/>
      <c r="AM967" s="12"/>
      <c r="AN967" s="18"/>
      <c r="AO967" s="18"/>
      <c r="AP967" s="10"/>
      <c r="AQ967" s="10"/>
      <c r="AR967" s="19"/>
      <c r="AS967" s="20"/>
      <c r="AT967" s="19"/>
      <c r="AV967" s="21">
        <f>IF(AND($AL967&lt;&gt;"",COUNTIF($AL$11:$AL967,$AL967)=1),1,0)</f>
        <v>0</v>
      </c>
      <c r="AW967" s="21">
        <f t="shared" si="115"/>
        <v>2</v>
      </c>
      <c r="AX967" s="21" t="str">
        <f t="shared" si="114"/>
        <v/>
      </c>
      <c r="AY967" s="21" t="str">
        <f>IF(AND($AM967&lt;&gt;"",$AS967&lt;&gt;"✓"),SUMPRODUCT(($AM$11:$AM967&lt;&gt;"")*($AS$11:$AS967&lt;&gt;"✓")),"")</f>
        <v/>
      </c>
      <c r="AZ967" s="21" t="str">
        <f>IF(AND($AM967&lt;&gt;"",$AS967="✓"),SUMPRODUCT(($AM$11:$AM967&lt;&gt;"")*($AS$11:$AS967="✓")),"")</f>
        <v/>
      </c>
      <c r="BA967" s="21" t="str">
        <f>IF($AL967="","",$AL967&amp;"|"&amp;COUNTIF($AL$11:$AL967,$AL967))</f>
        <v/>
      </c>
    </row>
    <row r="968" spans="23:53" ht="15" customHeight="1" x14ac:dyDescent="0.25">
      <c r="W968" s="28" t="str">
        <f>IF(X968="","",IFERROR(INDEX($AL$11:$AL$4010,MATCH(958,$AY$11:$AY$4010,0)),""))</f>
        <v/>
      </c>
      <c r="X968" s="26" t="str">
        <f>IFERROR(INDEX($AM$11:$AM$4010,MATCH(958,$AY$11:$AY$4010,0)),"")</f>
        <v/>
      </c>
      <c r="Y968" s="25" t="str">
        <f>IF(X968="","",IFERROR(INDEX($AN$11:$AN$4010,MATCH(958,$AY$11:$AY$4010,0)),""))</f>
        <v/>
      </c>
      <c r="Z968" s="25" t="str">
        <f>IF(X968="","",IFERROR(INDEX($AO$11:$AO$4010,MATCH(958,$AY$11:$AY$4010,0)),""))</f>
        <v/>
      </c>
      <c r="AA968" s="24" t="str">
        <f>IF(X968="","",IFERROR(INDEX($AQ$11:$AQ$4010,MATCH(958,$AY$11:$AY$4010,0)),""))</f>
        <v/>
      </c>
      <c r="AB968" s="29" t="str">
        <f>IF(X968="","",IFERROR(INDEX($AR$11:$AR$4010,MATCH(958,$AY$11:$AY$4010,0)),""))</f>
        <v/>
      </c>
      <c r="AD968" s="30" t="str">
        <f>IF(AE968="","",IFERROR(INDEX($AL$11:$AL$4010,MATCH(958,$AZ$11:$AZ$4010,0)),""))</f>
        <v/>
      </c>
      <c r="AE968" s="26" t="str">
        <f>IFERROR(INDEX($AM$11:$AM$4010,MATCH(958,$AZ$11:$AZ$4010,0)),"")</f>
        <v/>
      </c>
      <c r="AF968" s="25" t="str">
        <f>IF(AE968="","",IFERROR(INDEX($AN$11:$AN$4010,MATCH(958,$AZ$11:$AZ$4010,0)),""))</f>
        <v/>
      </c>
      <c r="AG968" s="25" t="str">
        <f>IF(AE968="","",IFERROR(INDEX($AO$11:$AO$4010,MATCH(958,$AZ$11:$AZ$4010,0)),""))</f>
        <v/>
      </c>
      <c r="AH968" s="24" t="str">
        <f>IF(AE968="","",IFERROR(INDEX($AQ$11:$AQ$4010,MATCH(958,$AZ$11:$AZ$4010,0)),""))</f>
        <v/>
      </c>
      <c r="AI968" s="29" t="str">
        <f>IF(AE968="","",IFERROR(INDEX($AR$11:$AR$4010,MATCH(958,$AZ$11:$AZ$4010,0)),""))</f>
        <v/>
      </c>
      <c r="AJ968" s="29" t="str">
        <f>IF(AE968="","",IFERROR(INDEX($AT$11:$AT$4010,MATCH(958,$AZ$11:$AZ$4010,0)),""))</f>
        <v/>
      </c>
      <c r="AL968" s="31"/>
      <c r="AM968" s="26"/>
      <c r="AN968" s="32"/>
      <c r="AO968" s="32"/>
      <c r="AP968" s="24"/>
      <c r="AQ968" s="24"/>
      <c r="AR968" s="33"/>
      <c r="AS968" s="34"/>
      <c r="AT968" s="33"/>
      <c r="AV968" s="21">
        <f>IF(AND($AL968&lt;&gt;"",COUNTIF($AL$11:$AL968,$AL968)=1),1,0)</f>
        <v>0</v>
      </c>
      <c r="AW968" s="21">
        <f t="shared" si="115"/>
        <v>2</v>
      </c>
      <c r="AX968" s="21" t="str">
        <f t="shared" si="114"/>
        <v/>
      </c>
      <c r="AY968" s="21" t="str">
        <f>IF(AND($AM968&lt;&gt;"",$AS968&lt;&gt;"✓"),SUMPRODUCT(($AM$11:$AM968&lt;&gt;"")*($AS$11:$AS968&lt;&gt;"✓")),"")</f>
        <v/>
      </c>
      <c r="AZ968" s="21" t="str">
        <f>IF(AND($AM968&lt;&gt;"",$AS968="✓"),SUMPRODUCT(($AM$11:$AM968&lt;&gt;"")*($AS$11:$AS968="✓")),"")</f>
        <v/>
      </c>
      <c r="BA968" s="21" t="str">
        <f>IF($AL968="","",$AL968&amp;"|"&amp;COUNTIF($AL$11:$AL968,$AL968))</f>
        <v/>
      </c>
    </row>
    <row r="969" spans="23:53" ht="15" customHeight="1" x14ac:dyDescent="0.25">
      <c r="W969" s="14" t="str">
        <f>IF(X969="","",IFERROR(INDEX($AL$11:$AL$4010,MATCH(959,$AY$11:$AY$4010,0)),""))</f>
        <v/>
      </c>
      <c r="X969" s="12" t="str">
        <f>IFERROR(INDEX($AM$11:$AM$4010,MATCH(959,$AY$11:$AY$4010,0)),"")</f>
        <v/>
      </c>
      <c r="Y969" s="11" t="str">
        <f>IF(X969="","",IFERROR(INDEX($AN$11:$AN$4010,MATCH(959,$AY$11:$AY$4010,0)),""))</f>
        <v/>
      </c>
      <c r="Z969" s="11" t="str">
        <f>IF(X969="","",IFERROR(INDEX($AO$11:$AO$4010,MATCH(959,$AY$11:$AY$4010,0)),""))</f>
        <v/>
      </c>
      <c r="AA969" s="10" t="str">
        <f>IF(X969="","",IFERROR(INDEX($AQ$11:$AQ$4010,MATCH(959,$AY$11:$AY$4010,0)),""))</f>
        <v/>
      </c>
      <c r="AB969" s="15" t="str">
        <f>IF(X969="","",IFERROR(INDEX($AR$11:$AR$4010,MATCH(959,$AY$11:$AY$4010,0)),""))</f>
        <v/>
      </c>
      <c r="AD969" s="16" t="str">
        <f>IF(AE969="","",IFERROR(INDEX($AL$11:$AL$4010,MATCH(959,$AZ$11:$AZ$4010,0)),""))</f>
        <v/>
      </c>
      <c r="AE969" s="12" t="str">
        <f>IFERROR(INDEX($AM$11:$AM$4010,MATCH(959,$AZ$11:$AZ$4010,0)),"")</f>
        <v/>
      </c>
      <c r="AF969" s="11" t="str">
        <f>IF(AE969="","",IFERROR(INDEX($AN$11:$AN$4010,MATCH(959,$AZ$11:$AZ$4010,0)),""))</f>
        <v/>
      </c>
      <c r="AG969" s="11" t="str">
        <f>IF(AE969="","",IFERROR(INDEX($AO$11:$AO$4010,MATCH(959,$AZ$11:$AZ$4010,0)),""))</f>
        <v/>
      </c>
      <c r="AH969" s="10" t="str">
        <f>IF(AE969="","",IFERROR(INDEX($AQ$11:$AQ$4010,MATCH(959,$AZ$11:$AZ$4010,0)),""))</f>
        <v/>
      </c>
      <c r="AI969" s="15" t="str">
        <f>IF(AE969="","",IFERROR(INDEX($AR$11:$AR$4010,MATCH(959,$AZ$11:$AZ$4010,0)),""))</f>
        <v/>
      </c>
      <c r="AJ969" s="15" t="str">
        <f>IF(AE969="","",IFERROR(INDEX($AT$11:$AT$4010,MATCH(959,$AZ$11:$AZ$4010,0)),""))</f>
        <v/>
      </c>
      <c r="AL969" s="17"/>
      <c r="AM969" s="12"/>
      <c r="AN969" s="18"/>
      <c r="AO969" s="18"/>
      <c r="AP969" s="10"/>
      <c r="AQ969" s="10"/>
      <c r="AR969" s="19"/>
      <c r="AS969" s="20"/>
      <c r="AT969" s="19"/>
      <c r="AV969" s="21">
        <f>IF(AND($AL969&lt;&gt;"",COUNTIF($AL$11:$AL969,$AL969)=1),1,0)</f>
        <v>0</v>
      </c>
      <c r="AW969" s="21">
        <f t="shared" si="115"/>
        <v>2</v>
      </c>
      <c r="AX969" s="21" t="str">
        <f t="shared" si="114"/>
        <v/>
      </c>
      <c r="AY969" s="21" t="str">
        <f>IF(AND($AM969&lt;&gt;"",$AS969&lt;&gt;"✓"),SUMPRODUCT(($AM$11:$AM969&lt;&gt;"")*($AS$11:$AS969&lt;&gt;"✓")),"")</f>
        <v/>
      </c>
      <c r="AZ969" s="21" t="str">
        <f>IF(AND($AM969&lt;&gt;"",$AS969="✓"),SUMPRODUCT(($AM$11:$AM969&lt;&gt;"")*($AS$11:$AS969="✓")),"")</f>
        <v/>
      </c>
      <c r="BA969" s="21" t="str">
        <f>IF($AL969="","",$AL969&amp;"|"&amp;COUNTIF($AL$11:$AL969,$AL969))</f>
        <v/>
      </c>
    </row>
    <row r="970" spans="23:53" ht="15" customHeight="1" x14ac:dyDescent="0.25">
      <c r="W970" s="28" t="str">
        <f>IF(X970="","",IFERROR(INDEX($AL$11:$AL$4010,MATCH(960,$AY$11:$AY$4010,0)),""))</f>
        <v/>
      </c>
      <c r="X970" s="26" t="str">
        <f>IFERROR(INDEX($AM$11:$AM$4010,MATCH(960,$AY$11:$AY$4010,0)),"")</f>
        <v/>
      </c>
      <c r="Y970" s="25" t="str">
        <f>IF(X970="","",IFERROR(INDEX($AN$11:$AN$4010,MATCH(960,$AY$11:$AY$4010,0)),""))</f>
        <v/>
      </c>
      <c r="Z970" s="25" t="str">
        <f>IF(X970="","",IFERROR(INDEX($AO$11:$AO$4010,MATCH(960,$AY$11:$AY$4010,0)),""))</f>
        <v/>
      </c>
      <c r="AA970" s="24" t="str">
        <f>IF(X970="","",IFERROR(INDEX($AQ$11:$AQ$4010,MATCH(960,$AY$11:$AY$4010,0)),""))</f>
        <v/>
      </c>
      <c r="AB970" s="29" t="str">
        <f>IF(X970="","",IFERROR(INDEX($AR$11:$AR$4010,MATCH(960,$AY$11:$AY$4010,0)),""))</f>
        <v/>
      </c>
      <c r="AD970" s="30" t="str">
        <f>IF(AE970="","",IFERROR(INDEX($AL$11:$AL$4010,MATCH(960,$AZ$11:$AZ$4010,0)),""))</f>
        <v/>
      </c>
      <c r="AE970" s="26" t="str">
        <f>IFERROR(INDEX($AM$11:$AM$4010,MATCH(960,$AZ$11:$AZ$4010,0)),"")</f>
        <v/>
      </c>
      <c r="AF970" s="25" t="str">
        <f>IF(AE970="","",IFERROR(INDEX($AN$11:$AN$4010,MATCH(960,$AZ$11:$AZ$4010,0)),""))</f>
        <v/>
      </c>
      <c r="AG970" s="25" t="str">
        <f>IF(AE970="","",IFERROR(INDEX($AO$11:$AO$4010,MATCH(960,$AZ$11:$AZ$4010,0)),""))</f>
        <v/>
      </c>
      <c r="AH970" s="24" t="str">
        <f>IF(AE970="","",IFERROR(INDEX($AQ$11:$AQ$4010,MATCH(960,$AZ$11:$AZ$4010,0)),""))</f>
        <v/>
      </c>
      <c r="AI970" s="29" t="str">
        <f>IF(AE970="","",IFERROR(INDEX($AR$11:$AR$4010,MATCH(960,$AZ$11:$AZ$4010,0)),""))</f>
        <v/>
      </c>
      <c r="AJ970" s="29" t="str">
        <f>IF(AE970="","",IFERROR(INDEX($AT$11:$AT$4010,MATCH(960,$AZ$11:$AZ$4010,0)),""))</f>
        <v/>
      </c>
      <c r="AL970" s="31"/>
      <c r="AM970" s="26"/>
      <c r="AN970" s="32"/>
      <c r="AO970" s="32"/>
      <c r="AP970" s="24"/>
      <c r="AQ970" s="24"/>
      <c r="AR970" s="33"/>
      <c r="AS970" s="34"/>
      <c r="AT970" s="33"/>
      <c r="AV970" s="21">
        <f>IF(AND($AL970&lt;&gt;"",COUNTIF($AL$11:$AL970,$AL970)=1),1,0)</f>
        <v>0</v>
      </c>
      <c r="AW970" s="21">
        <f t="shared" si="115"/>
        <v>2</v>
      </c>
      <c r="AX970" s="21" t="str">
        <f t="shared" si="114"/>
        <v/>
      </c>
      <c r="AY970" s="21" t="str">
        <f>IF(AND($AM970&lt;&gt;"",$AS970&lt;&gt;"✓"),SUMPRODUCT(($AM$11:$AM970&lt;&gt;"")*($AS$11:$AS970&lt;&gt;"✓")),"")</f>
        <v/>
      </c>
      <c r="AZ970" s="21" t="str">
        <f>IF(AND($AM970&lt;&gt;"",$AS970="✓"),SUMPRODUCT(($AM$11:$AM970&lt;&gt;"")*($AS$11:$AS970="✓")),"")</f>
        <v/>
      </c>
      <c r="BA970" s="21" t="str">
        <f>IF($AL970="","",$AL970&amp;"|"&amp;COUNTIF($AL$11:$AL970,$AL970))</f>
        <v/>
      </c>
    </row>
    <row r="971" spans="23:53" ht="15" customHeight="1" x14ac:dyDescent="0.25">
      <c r="W971" s="14" t="str">
        <f>IF(X971="","",IFERROR(INDEX($AL$11:$AL$4010,MATCH(961,$AY$11:$AY$4010,0)),""))</f>
        <v/>
      </c>
      <c r="X971" s="12" t="str">
        <f>IFERROR(INDEX($AM$11:$AM$4010,MATCH(961,$AY$11:$AY$4010,0)),"")</f>
        <v/>
      </c>
      <c r="Y971" s="11" t="str">
        <f>IF(X971="","",IFERROR(INDEX($AN$11:$AN$4010,MATCH(961,$AY$11:$AY$4010,0)),""))</f>
        <v/>
      </c>
      <c r="Z971" s="11" t="str">
        <f>IF(X971="","",IFERROR(INDEX($AO$11:$AO$4010,MATCH(961,$AY$11:$AY$4010,0)),""))</f>
        <v/>
      </c>
      <c r="AA971" s="10" t="str">
        <f>IF(X971="","",IFERROR(INDEX($AQ$11:$AQ$4010,MATCH(961,$AY$11:$AY$4010,0)),""))</f>
        <v/>
      </c>
      <c r="AB971" s="15" t="str">
        <f>IF(X971="","",IFERROR(INDEX($AR$11:$AR$4010,MATCH(961,$AY$11:$AY$4010,0)),""))</f>
        <v/>
      </c>
      <c r="AD971" s="16" t="str">
        <f>IF(AE971="","",IFERROR(INDEX($AL$11:$AL$4010,MATCH(961,$AZ$11:$AZ$4010,0)),""))</f>
        <v/>
      </c>
      <c r="AE971" s="12" t="str">
        <f>IFERROR(INDEX($AM$11:$AM$4010,MATCH(961,$AZ$11:$AZ$4010,0)),"")</f>
        <v/>
      </c>
      <c r="AF971" s="11" t="str">
        <f>IF(AE971="","",IFERROR(INDEX($AN$11:$AN$4010,MATCH(961,$AZ$11:$AZ$4010,0)),""))</f>
        <v/>
      </c>
      <c r="AG971" s="11" t="str">
        <f>IF(AE971="","",IFERROR(INDEX($AO$11:$AO$4010,MATCH(961,$AZ$11:$AZ$4010,0)),""))</f>
        <v/>
      </c>
      <c r="AH971" s="10" t="str">
        <f>IF(AE971="","",IFERROR(INDEX($AQ$11:$AQ$4010,MATCH(961,$AZ$11:$AZ$4010,0)),""))</f>
        <v/>
      </c>
      <c r="AI971" s="15" t="str">
        <f>IF(AE971="","",IFERROR(INDEX($AR$11:$AR$4010,MATCH(961,$AZ$11:$AZ$4010,0)),""))</f>
        <v/>
      </c>
      <c r="AJ971" s="15" t="str">
        <f>IF(AE971="","",IFERROR(INDEX($AT$11:$AT$4010,MATCH(961,$AZ$11:$AZ$4010,0)),""))</f>
        <v/>
      </c>
      <c r="AL971" s="17"/>
      <c r="AM971" s="12"/>
      <c r="AN971" s="18"/>
      <c r="AO971" s="18"/>
      <c r="AP971" s="10"/>
      <c r="AQ971" s="10"/>
      <c r="AR971" s="19"/>
      <c r="AS971" s="20"/>
      <c r="AT971" s="19"/>
      <c r="AV971" s="21">
        <f>IF(AND($AL971&lt;&gt;"",COUNTIF($AL$11:$AL971,$AL971)=1),1,0)</f>
        <v>0</v>
      </c>
      <c r="AW971" s="21">
        <f t="shared" si="115"/>
        <v>2</v>
      </c>
      <c r="AX971" s="21" t="str">
        <f t="shared" ref="AX971:AX1034" si="116">IF(AV971=1,AW971,"")</f>
        <v/>
      </c>
      <c r="AY971" s="21" t="str">
        <f>IF(AND($AM971&lt;&gt;"",$AS971&lt;&gt;"✓"),SUMPRODUCT(($AM$11:$AM971&lt;&gt;"")*($AS$11:$AS971&lt;&gt;"✓")),"")</f>
        <v/>
      </c>
      <c r="AZ971" s="21" t="str">
        <f>IF(AND($AM971&lt;&gt;"",$AS971="✓"),SUMPRODUCT(($AM$11:$AM971&lt;&gt;"")*($AS$11:$AS971="✓")),"")</f>
        <v/>
      </c>
      <c r="BA971" s="21" t="str">
        <f>IF($AL971="","",$AL971&amp;"|"&amp;COUNTIF($AL$11:$AL971,$AL971))</f>
        <v/>
      </c>
    </row>
    <row r="972" spans="23:53" ht="15" customHeight="1" x14ac:dyDescent="0.25">
      <c r="W972" s="28" t="str">
        <f>IF(X972="","",IFERROR(INDEX($AL$11:$AL$4010,MATCH(962,$AY$11:$AY$4010,0)),""))</f>
        <v/>
      </c>
      <c r="X972" s="26" t="str">
        <f>IFERROR(INDEX($AM$11:$AM$4010,MATCH(962,$AY$11:$AY$4010,0)),"")</f>
        <v/>
      </c>
      <c r="Y972" s="25" t="str">
        <f>IF(X972="","",IFERROR(INDEX($AN$11:$AN$4010,MATCH(962,$AY$11:$AY$4010,0)),""))</f>
        <v/>
      </c>
      <c r="Z972" s="25" t="str">
        <f>IF(X972="","",IFERROR(INDEX($AO$11:$AO$4010,MATCH(962,$AY$11:$AY$4010,0)),""))</f>
        <v/>
      </c>
      <c r="AA972" s="24" t="str">
        <f>IF(X972="","",IFERROR(INDEX($AQ$11:$AQ$4010,MATCH(962,$AY$11:$AY$4010,0)),""))</f>
        <v/>
      </c>
      <c r="AB972" s="29" t="str">
        <f>IF(X972="","",IFERROR(INDEX($AR$11:$AR$4010,MATCH(962,$AY$11:$AY$4010,0)),""))</f>
        <v/>
      </c>
      <c r="AD972" s="30" t="str">
        <f>IF(AE972="","",IFERROR(INDEX($AL$11:$AL$4010,MATCH(962,$AZ$11:$AZ$4010,0)),""))</f>
        <v/>
      </c>
      <c r="AE972" s="26" t="str">
        <f>IFERROR(INDEX($AM$11:$AM$4010,MATCH(962,$AZ$11:$AZ$4010,0)),"")</f>
        <v/>
      </c>
      <c r="AF972" s="25" t="str">
        <f>IF(AE972="","",IFERROR(INDEX($AN$11:$AN$4010,MATCH(962,$AZ$11:$AZ$4010,0)),""))</f>
        <v/>
      </c>
      <c r="AG972" s="25" t="str">
        <f>IF(AE972="","",IFERROR(INDEX($AO$11:$AO$4010,MATCH(962,$AZ$11:$AZ$4010,0)),""))</f>
        <v/>
      </c>
      <c r="AH972" s="24" t="str">
        <f>IF(AE972="","",IFERROR(INDEX($AQ$11:$AQ$4010,MATCH(962,$AZ$11:$AZ$4010,0)),""))</f>
        <v/>
      </c>
      <c r="AI972" s="29" t="str">
        <f>IF(AE972="","",IFERROR(INDEX($AR$11:$AR$4010,MATCH(962,$AZ$11:$AZ$4010,0)),""))</f>
        <v/>
      </c>
      <c r="AJ972" s="29" t="str">
        <f>IF(AE972="","",IFERROR(INDEX($AT$11:$AT$4010,MATCH(962,$AZ$11:$AZ$4010,0)),""))</f>
        <v/>
      </c>
      <c r="AL972" s="31"/>
      <c r="AM972" s="26"/>
      <c r="AN972" s="32"/>
      <c r="AO972" s="32"/>
      <c r="AP972" s="24"/>
      <c r="AQ972" s="24"/>
      <c r="AR972" s="33"/>
      <c r="AS972" s="34"/>
      <c r="AT972" s="33"/>
      <c r="AV972" s="21">
        <f>IF(AND($AL972&lt;&gt;"",COUNTIF($AL$11:$AL972,$AL972)=1),1,0)</f>
        <v>0</v>
      </c>
      <c r="AW972" s="21">
        <f t="shared" ref="AW972:AW1035" si="117">AW971+AV972</f>
        <v>2</v>
      </c>
      <c r="AX972" s="21" t="str">
        <f t="shared" si="116"/>
        <v/>
      </c>
      <c r="AY972" s="21" t="str">
        <f>IF(AND($AM972&lt;&gt;"",$AS972&lt;&gt;"✓"),SUMPRODUCT(($AM$11:$AM972&lt;&gt;"")*($AS$11:$AS972&lt;&gt;"✓")),"")</f>
        <v/>
      </c>
      <c r="AZ972" s="21" t="str">
        <f>IF(AND($AM972&lt;&gt;"",$AS972="✓"),SUMPRODUCT(($AM$11:$AM972&lt;&gt;"")*($AS$11:$AS972="✓")),"")</f>
        <v/>
      </c>
      <c r="BA972" s="21" t="str">
        <f>IF($AL972="","",$AL972&amp;"|"&amp;COUNTIF($AL$11:$AL972,$AL972))</f>
        <v/>
      </c>
    </row>
    <row r="973" spans="23:53" ht="15" customHeight="1" x14ac:dyDescent="0.25">
      <c r="W973" s="14" t="str">
        <f>IF(X973="","",IFERROR(INDEX($AL$11:$AL$4010,MATCH(963,$AY$11:$AY$4010,0)),""))</f>
        <v/>
      </c>
      <c r="X973" s="12" t="str">
        <f>IFERROR(INDEX($AM$11:$AM$4010,MATCH(963,$AY$11:$AY$4010,0)),"")</f>
        <v/>
      </c>
      <c r="Y973" s="11" t="str">
        <f>IF(X973="","",IFERROR(INDEX($AN$11:$AN$4010,MATCH(963,$AY$11:$AY$4010,0)),""))</f>
        <v/>
      </c>
      <c r="Z973" s="11" t="str">
        <f>IF(X973="","",IFERROR(INDEX($AO$11:$AO$4010,MATCH(963,$AY$11:$AY$4010,0)),""))</f>
        <v/>
      </c>
      <c r="AA973" s="10" t="str">
        <f>IF(X973="","",IFERROR(INDEX($AQ$11:$AQ$4010,MATCH(963,$AY$11:$AY$4010,0)),""))</f>
        <v/>
      </c>
      <c r="AB973" s="15" t="str">
        <f>IF(X973="","",IFERROR(INDEX($AR$11:$AR$4010,MATCH(963,$AY$11:$AY$4010,0)),""))</f>
        <v/>
      </c>
      <c r="AD973" s="16" t="str">
        <f>IF(AE973="","",IFERROR(INDEX($AL$11:$AL$4010,MATCH(963,$AZ$11:$AZ$4010,0)),""))</f>
        <v/>
      </c>
      <c r="AE973" s="12" t="str">
        <f>IFERROR(INDEX($AM$11:$AM$4010,MATCH(963,$AZ$11:$AZ$4010,0)),"")</f>
        <v/>
      </c>
      <c r="AF973" s="11" t="str">
        <f>IF(AE973="","",IFERROR(INDEX($AN$11:$AN$4010,MATCH(963,$AZ$11:$AZ$4010,0)),""))</f>
        <v/>
      </c>
      <c r="AG973" s="11" t="str">
        <f>IF(AE973="","",IFERROR(INDEX($AO$11:$AO$4010,MATCH(963,$AZ$11:$AZ$4010,0)),""))</f>
        <v/>
      </c>
      <c r="AH973" s="10" t="str">
        <f>IF(AE973="","",IFERROR(INDEX($AQ$11:$AQ$4010,MATCH(963,$AZ$11:$AZ$4010,0)),""))</f>
        <v/>
      </c>
      <c r="AI973" s="15" t="str">
        <f>IF(AE973="","",IFERROR(INDEX($AR$11:$AR$4010,MATCH(963,$AZ$11:$AZ$4010,0)),""))</f>
        <v/>
      </c>
      <c r="AJ973" s="15" t="str">
        <f>IF(AE973="","",IFERROR(INDEX($AT$11:$AT$4010,MATCH(963,$AZ$11:$AZ$4010,0)),""))</f>
        <v/>
      </c>
      <c r="AL973" s="17"/>
      <c r="AM973" s="12"/>
      <c r="AN973" s="18"/>
      <c r="AO973" s="18"/>
      <c r="AP973" s="10"/>
      <c r="AQ973" s="10"/>
      <c r="AR973" s="19"/>
      <c r="AS973" s="20"/>
      <c r="AT973" s="19"/>
      <c r="AV973" s="21">
        <f>IF(AND($AL973&lt;&gt;"",COUNTIF($AL$11:$AL973,$AL973)=1),1,0)</f>
        <v>0</v>
      </c>
      <c r="AW973" s="21">
        <f t="shared" si="117"/>
        <v>2</v>
      </c>
      <c r="AX973" s="21" t="str">
        <f t="shared" si="116"/>
        <v/>
      </c>
      <c r="AY973" s="21" t="str">
        <f>IF(AND($AM973&lt;&gt;"",$AS973&lt;&gt;"✓"),SUMPRODUCT(($AM$11:$AM973&lt;&gt;"")*($AS$11:$AS973&lt;&gt;"✓")),"")</f>
        <v/>
      </c>
      <c r="AZ973" s="21" t="str">
        <f>IF(AND($AM973&lt;&gt;"",$AS973="✓"),SUMPRODUCT(($AM$11:$AM973&lt;&gt;"")*($AS$11:$AS973="✓")),"")</f>
        <v/>
      </c>
      <c r="BA973" s="21" t="str">
        <f>IF($AL973="","",$AL973&amp;"|"&amp;COUNTIF($AL$11:$AL973,$AL973))</f>
        <v/>
      </c>
    </row>
    <row r="974" spans="23:53" ht="15" customHeight="1" x14ac:dyDescent="0.25">
      <c r="W974" s="28" t="str">
        <f>IF(X974="","",IFERROR(INDEX($AL$11:$AL$4010,MATCH(964,$AY$11:$AY$4010,0)),""))</f>
        <v/>
      </c>
      <c r="X974" s="26" t="str">
        <f>IFERROR(INDEX($AM$11:$AM$4010,MATCH(964,$AY$11:$AY$4010,0)),"")</f>
        <v/>
      </c>
      <c r="Y974" s="25" t="str">
        <f>IF(X974="","",IFERROR(INDEX($AN$11:$AN$4010,MATCH(964,$AY$11:$AY$4010,0)),""))</f>
        <v/>
      </c>
      <c r="Z974" s="25" t="str">
        <f>IF(X974="","",IFERROR(INDEX($AO$11:$AO$4010,MATCH(964,$AY$11:$AY$4010,0)),""))</f>
        <v/>
      </c>
      <c r="AA974" s="24" t="str">
        <f>IF(X974="","",IFERROR(INDEX($AQ$11:$AQ$4010,MATCH(964,$AY$11:$AY$4010,0)),""))</f>
        <v/>
      </c>
      <c r="AB974" s="29" t="str">
        <f>IF(X974="","",IFERROR(INDEX($AR$11:$AR$4010,MATCH(964,$AY$11:$AY$4010,0)),""))</f>
        <v/>
      </c>
      <c r="AD974" s="30" t="str">
        <f>IF(AE974="","",IFERROR(INDEX($AL$11:$AL$4010,MATCH(964,$AZ$11:$AZ$4010,0)),""))</f>
        <v/>
      </c>
      <c r="AE974" s="26" t="str">
        <f>IFERROR(INDEX($AM$11:$AM$4010,MATCH(964,$AZ$11:$AZ$4010,0)),"")</f>
        <v/>
      </c>
      <c r="AF974" s="25" t="str">
        <f>IF(AE974="","",IFERROR(INDEX($AN$11:$AN$4010,MATCH(964,$AZ$11:$AZ$4010,0)),""))</f>
        <v/>
      </c>
      <c r="AG974" s="25" t="str">
        <f>IF(AE974="","",IFERROR(INDEX($AO$11:$AO$4010,MATCH(964,$AZ$11:$AZ$4010,0)),""))</f>
        <v/>
      </c>
      <c r="AH974" s="24" t="str">
        <f>IF(AE974="","",IFERROR(INDEX($AQ$11:$AQ$4010,MATCH(964,$AZ$11:$AZ$4010,0)),""))</f>
        <v/>
      </c>
      <c r="AI974" s="29" t="str">
        <f>IF(AE974="","",IFERROR(INDEX($AR$11:$AR$4010,MATCH(964,$AZ$11:$AZ$4010,0)),""))</f>
        <v/>
      </c>
      <c r="AJ974" s="29" t="str">
        <f>IF(AE974="","",IFERROR(INDEX($AT$11:$AT$4010,MATCH(964,$AZ$11:$AZ$4010,0)),""))</f>
        <v/>
      </c>
      <c r="AL974" s="31"/>
      <c r="AM974" s="26"/>
      <c r="AN974" s="32"/>
      <c r="AO974" s="32"/>
      <c r="AP974" s="24"/>
      <c r="AQ974" s="24"/>
      <c r="AR974" s="33"/>
      <c r="AS974" s="34"/>
      <c r="AT974" s="33"/>
      <c r="AV974" s="21">
        <f>IF(AND($AL974&lt;&gt;"",COUNTIF($AL$11:$AL974,$AL974)=1),1,0)</f>
        <v>0</v>
      </c>
      <c r="AW974" s="21">
        <f t="shared" si="117"/>
        <v>2</v>
      </c>
      <c r="AX974" s="21" t="str">
        <f t="shared" si="116"/>
        <v/>
      </c>
      <c r="AY974" s="21" t="str">
        <f>IF(AND($AM974&lt;&gt;"",$AS974&lt;&gt;"✓"),SUMPRODUCT(($AM$11:$AM974&lt;&gt;"")*($AS$11:$AS974&lt;&gt;"✓")),"")</f>
        <v/>
      </c>
      <c r="AZ974" s="21" t="str">
        <f>IF(AND($AM974&lt;&gt;"",$AS974="✓"),SUMPRODUCT(($AM$11:$AM974&lt;&gt;"")*($AS$11:$AS974="✓")),"")</f>
        <v/>
      </c>
      <c r="BA974" s="21" t="str">
        <f>IF($AL974="","",$AL974&amp;"|"&amp;COUNTIF($AL$11:$AL974,$AL974))</f>
        <v/>
      </c>
    </row>
    <row r="975" spans="23:53" ht="15" customHeight="1" x14ac:dyDescent="0.25">
      <c r="W975" s="14" t="str">
        <f>IF(X975="","",IFERROR(INDEX($AL$11:$AL$4010,MATCH(965,$AY$11:$AY$4010,0)),""))</f>
        <v/>
      </c>
      <c r="X975" s="12" t="str">
        <f>IFERROR(INDEX($AM$11:$AM$4010,MATCH(965,$AY$11:$AY$4010,0)),"")</f>
        <v/>
      </c>
      <c r="Y975" s="11" t="str">
        <f>IF(X975="","",IFERROR(INDEX($AN$11:$AN$4010,MATCH(965,$AY$11:$AY$4010,0)),""))</f>
        <v/>
      </c>
      <c r="Z975" s="11" t="str">
        <f>IF(X975="","",IFERROR(INDEX($AO$11:$AO$4010,MATCH(965,$AY$11:$AY$4010,0)),""))</f>
        <v/>
      </c>
      <c r="AA975" s="10" t="str">
        <f>IF(X975="","",IFERROR(INDEX($AQ$11:$AQ$4010,MATCH(965,$AY$11:$AY$4010,0)),""))</f>
        <v/>
      </c>
      <c r="AB975" s="15" t="str">
        <f>IF(X975="","",IFERROR(INDEX($AR$11:$AR$4010,MATCH(965,$AY$11:$AY$4010,0)),""))</f>
        <v/>
      </c>
      <c r="AD975" s="16" t="str">
        <f>IF(AE975="","",IFERROR(INDEX($AL$11:$AL$4010,MATCH(965,$AZ$11:$AZ$4010,0)),""))</f>
        <v/>
      </c>
      <c r="AE975" s="12" t="str">
        <f>IFERROR(INDEX($AM$11:$AM$4010,MATCH(965,$AZ$11:$AZ$4010,0)),"")</f>
        <v/>
      </c>
      <c r="AF975" s="11" t="str">
        <f>IF(AE975="","",IFERROR(INDEX($AN$11:$AN$4010,MATCH(965,$AZ$11:$AZ$4010,0)),""))</f>
        <v/>
      </c>
      <c r="AG975" s="11" t="str">
        <f>IF(AE975="","",IFERROR(INDEX($AO$11:$AO$4010,MATCH(965,$AZ$11:$AZ$4010,0)),""))</f>
        <v/>
      </c>
      <c r="AH975" s="10" t="str">
        <f>IF(AE975="","",IFERROR(INDEX($AQ$11:$AQ$4010,MATCH(965,$AZ$11:$AZ$4010,0)),""))</f>
        <v/>
      </c>
      <c r="AI975" s="15" t="str">
        <f>IF(AE975="","",IFERROR(INDEX($AR$11:$AR$4010,MATCH(965,$AZ$11:$AZ$4010,0)),""))</f>
        <v/>
      </c>
      <c r="AJ975" s="15" t="str">
        <f>IF(AE975="","",IFERROR(INDEX($AT$11:$AT$4010,MATCH(965,$AZ$11:$AZ$4010,0)),""))</f>
        <v/>
      </c>
      <c r="AL975" s="17"/>
      <c r="AM975" s="12"/>
      <c r="AN975" s="18"/>
      <c r="AO975" s="18"/>
      <c r="AP975" s="10"/>
      <c r="AQ975" s="10"/>
      <c r="AR975" s="19"/>
      <c r="AS975" s="20"/>
      <c r="AT975" s="19"/>
      <c r="AV975" s="21">
        <f>IF(AND($AL975&lt;&gt;"",COUNTIF($AL$11:$AL975,$AL975)=1),1,0)</f>
        <v>0</v>
      </c>
      <c r="AW975" s="21">
        <f t="shared" si="117"/>
        <v>2</v>
      </c>
      <c r="AX975" s="21" t="str">
        <f t="shared" si="116"/>
        <v/>
      </c>
      <c r="AY975" s="21" t="str">
        <f>IF(AND($AM975&lt;&gt;"",$AS975&lt;&gt;"✓"),SUMPRODUCT(($AM$11:$AM975&lt;&gt;"")*($AS$11:$AS975&lt;&gt;"✓")),"")</f>
        <v/>
      </c>
      <c r="AZ975" s="21" t="str">
        <f>IF(AND($AM975&lt;&gt;"",$AS975="✓"),SUMPRODUCT(($AM$11:$AM975&lt;&gt;"")*($AS$11:$AS975="✓")),"")</f>
        <v/>
      </c>
      <c r="BA975" s="21" t="str">
        <f>IF($AL975="","",$AL975&amp;"|"&amp;COUNTIF($AL$11:$AL975,$AL975))</f>
        <v/>
      </c>
    </row>
    <row r="976" spans="23:53" ht="15" customHeight="1" x14ac:dyDescent="0.25">
      <c r="W976" s="28" t="str">
        <f>IF(X976="","",IFERROR(INDEX($AL$11:$AL$4010,MATCH(966,$AY$11:$AY$4010,0)),""))</f>
        <v/>
      </c>
      <c r="X976" s="26" t="str">
        <f>IFERROR(INDEX($AM$11:$AM$4010,MATCH(966,$AY$11:$AY$4010,0)),"")</f>
        <v/>
      </c>
      <c r="Y976" s="25" t="str">
        <f>IF(X976="","",IFERROR(INDEX($AN$11:$AN$4010,MATCH(966,$AY$11:$AY$4010,0)),""))</f>
        <v/>
      </c>
      <c r="Z976" s="25" t="str">
        <f>IF(X976="","",IFERROR(INDEX($AO$11:$AO$4010,MATCH(966,$AY$11:$AY$4010,0)),""))</f>
        <v/>
      </c>
      <c r="AA976" s="24" t="str">
        <f>IF(X976="","",IFERROR(INDEX($AQ$11:$AQ$4010,MATCH(966,$AY$11:$AY$4010,0)),""))</f>
        <v/>
      </c>
      <c r="AB976" s="29" t="str">
        <f>IF(X976="","",IFERROR(INDEX($AR$11:$AR$4010,MATCH(966,$AY$11:$AY$4010,0)),""))</f>
        <v/>
      </c>
      <c r="AD976" s="30" t="str">
        <f>IF(AE976="","",IFERROR(INDEX($AL$11:$AL$4010,MATCH(966,$AZ$11:$AZ$4010,0)),""))</f>
        <v/>
      </c>
      <c r="AE976" s="26" t="str">
        <f>IFERROR(INDEX($AM$11:$AM$4010,MATCH(966,$AZ$11:$AZ$4010,0)),"")</f>
        <v/>
      </c>
      <c r="AF976" s="25" t="str">
        <f>IF(AE976="","",IFERROR(INDEX($AN$11:$AN$4010,MATCH(966,$AZ$11:$AZ$4010,0)),""))</f>
        <v/>
      </c>
      <c r="AG976" s="25" t="str">
        <f>IF(AE976="","",IFERROR(INDEX($AO$11:$AO$4010,MATCH(966,$AZ$11:$AZ$4010,0)),""))</f>
        <v/>
      </c>
      <c r="AH976" s="24" t="str">
        <f>IF(AE976="","",IFERROR(INDEX($AQ$11:$AQ$4010,MATCH(966,$AZ$11:$AZ$4010,0)),""))</f>
        <v/>
      </c>
      <c r="AI976" s="29" t="str">
        <f>IF(AE976="","",IFERROR(INDEX($AR$11:$AR$4010,MATCH(966,$AZ$11:$AZ$4010,0)),""))</f>
        <v/>
      </c>
      <c r="AJ976" s="29" t="str">
        <f>IF(AE976="","",IFERROR(INDEX($AT$11:$AT$4010,MATCH(966,$AZ$11:$AZ$4010,0)),""))</f>
        <v/>
      </c>
      <c r="AL976" s="31"/>
      <c r="AM976" s="26"/>
      <c r="AN976" s="32"/>
      <c r="AO976" s="32"/>
      <c r="AP976" s="24"/>
      <c r="AQ976" s="24"/>
      <c r="AR976" s="33"/>
      <c r="AS976" s="34"/>
      <c r="AT976" s="33"/>
      <c r="AV976" s="21">
        <f>IF(AND($AL976&lt;&gt;"",COUNTIF($AL$11:$AL976,$AL976)=1),1,0)</f>
        <v>0</v>
      </c>
      <c r="AW976" s="21">
        <f t="shared" si="117"/>
        <v>2</v>
      </c>
      <c r="AX976" s="21" t="str">
        <f t="shared" si="116"/>
        <v/>
      </c>
      <c r="AY976" s="21" t="str">
        <f>IF(AND($AM976&lt;&gt;"",$AS976&lt;&gt;"✓"),SUMPRODUCT(($AM$11:$AM976&lt;&gt;"")*($AS$11:$AS976&lt;&gt;"✓")),"")</f>
        <v/>
      </c>
      <c r="AZ976" s="21" t="str">
        <f>IF(AND($AM976&lt;&gt;"",$AS976="✓"),SUMPRODUCT(($AM$11:$AM976&lt;&gt;"")*($AS$11:$AS976="✓")),"")</f>
        <v/>
      </c>
      <c r="BA976" s="21" t="str">
        <f>IF($AL976="","",$AL976&amp;"|"&amp;COUNTIF($AL$11:$AL976,$AL976))</f>
        <v/>
      </c>
    </row>
    <row r="977" spans="23:53" ht="15" customHeight="1" x14ac:dyDescent="0.25">
      <c r="W977" s="14" t="str">
        <f>IF(X977="","",IFERROR(INDEX($AL$11:$AL$4010,MATCH(967,$AY$11:$AY$4010,0)),""))</f>
        <v/>
      </c>
      <c r="X977" s="12" t="str">
        <f>IFERROR(INDEX($AM$11:$AM$4010,MATCH(967,$AY$11:$AY$4010,0)),"")</f>
        <v/>
      </c>
      <c r="Y977" s="11" t="str">
        <f>IF(X977="","",IFERROR(INDEX($AN$11:$AN$4010,MATCH(967,$AY$11:$AY$4010,0)),""))</f>
        <v/>
      </c>
      <c r="Z977" s="11" t="str">
        <f>IF(X977="","",IFERROR(INDEX($AO$11:$AO$4010,MATCH(967,$AY$11:$AY$4010,0)),""))</f>
        <v/>
      </c>
      <c r="AA977" s="10" t="str">
        <f>IF(X977="","",IFERROR(INDEX($AQ$11:$AQ$4010,MATCH(967,$AY$11:$AY$4010,0)),""))</f>
        <v/>
      </c>
      <c r="AB977" s="15" t="str">
        <f>IF(X977="","",IFERROR(INDEX($AR$11:$AR$4010,MATCH(967,$AY$11:$AY$4010,0)),""))</f>
        <v/>
      </c>
      <c r="AD977" s="16" t="str">
        <f>IF(AE977="","",IFERROR(INDEX($AL$11:$AL$4010,MATCH(967,$AZ$11:$AZ$4010,0)),""))</f>
        <v/>
      </c>
      <c r="AE977" s="12" t="str">
        <f>IFERROR(INDEX($AM$11:$AM$4010,MATCH(967,$AZ$11:$AZ$4010,0)),"")</f>
        <v/>
      </c>
      <c r="AF977" s="11" t="str">
        <f>IF(AE977="","",IFERROR(INDEX($AN$11:$AN$4010,MATCH(967,$AZ$11:$AZ$4010,0)),""))</f>
        <v/>
      </c>
      <c r="AG977" s="11" t="str">
        <f>IF(AE977="","",IFERROR(INDEX($AO$11:$AO$4010,MATCH(967,$AZ$11:$AZ$4010,0)),""))</f>
        <v/>
      </c>
      <c r="AH977" s="10" t="str">
        <f>IF(AE977="","",IFERROR(INDEX($AQ$11:$AQ$4010,MATCH(967,$AZ$11:$AZ$4010,0)),""))</f>
        <v/>
      </c>
      <c r="AI977" s="15" t="str">
        <f>IF(AE977="","",IFERROR(INDEX($AR$11:$AR$4010,MATCH(967,$AZ$11:$AZ$4010,0)),""))</f>
        <v/>
      </c>
      <c r="AJ977" s="15" t="str">
        <f>IF(AE977="","",IFERROR(INDEX($AT$11:$AT$4010,MATCH(967,$AZ$11:$AZ$4010,0)),""))</f>
        <v/>
      </c>
      <c r="AL977" s="17"/>
      <c r="AM977" s="12"/>
      <c r="AN977" s="18"/>
      <c r="AO977" s="18"/>
      <c r="AP977" s="10"/>
      <c r="AQ977" s="10"/>
      <c r="AR977" s="19"/>
      <c r="AS977" s="20"/>
      <c r="AT977" s="19"/>
      <c r="AV977" s="21">
        <f>IF(AND($AL977&lt;&gt;"",COUNTIF($AL$11:$AL977,$AL977)=1),1,0)</f>
        <v>0</v>
      </c>
      <c r="AW977" s="21">
        <f t="shared" si="117"/>
        <v>2</v>
      </c>
      <c r="AX977" s="21" t="str">
        <f t="shared" si="116"/>
        <v/>
      </c>
      <c r="AY977" s="21" t="str">
        <f>IF(AND($AM977&lt;&gt;"",$AS977&lt;&gt;"✓"),SUMPRODUCT(($AM$11:$AM977&lt;&gt;"")*($AS$11:$AS977&lt;&gt;"✓")),"")</f>
        <v/>
      </c>
      <c r="AZ977" s="21" t="str">
        <f>IF(AND($AM977&lt;&gt;"",$AS977="✓"),SUMPRODUCT(($AM$11:$AM977&lt;&gt;"")*($AS$11:$AS977="✓")),"")</f>
        <v/>
      </c>
      <c r="BA977" s="21" t="str">
        <f>IF($AL977="","",$AL977&amp;"|"&amp;COUNTIF($AL$11:$AL977,$AL977))</f>
        <v/>
      </c>
    </row>
    <row r="978" spans="23:53" ht="15" customHeight="1" x14ac:dyDescent="0.25">
      <c r="W978" s="28" t="str">
        <f>IF(X978="","",IFERROR(INDEX($AL$11:$AL$4010,MATCH(968,$AY$11:$AY$4010,0)),""))</f>
        <v/>
      </c>
      <c r="X978" s="26" t="str">
        <f>IFERROR(INDEX($AM$11:$AM$4010,MATCH(968,$AY$11:$AY$4010,0)),"")</f>
        <v/>
      </c>
      <c r="Y978" s="25" t="str">
        <f>IF(X978="","",IFERROR(INDEX($AN$11:$AN$4010,MATCH(968,$AY$11:$AY$4010,0)),""))</f>
        <v/>
      </c>
      <c r="Z978" s="25" t="str">
        <f>IF(X978="","",IFERROR(INDEX($AO$11:$AO$4010,MATCH(968,$AY$11:$AY$4010,0)),""))</f>
        <v/>
      </c>
      <c r="AA978" s="24" t="str">
        <f>IF(X978="","",IFERROR(INDEX($AQ$11:$AQ$4010,MATCH(968,$AY$11:$AY$4010,0)),""))</f>
        <v/>
      </c>
      <c r="AB978" s="29" t="str">
        <f>IF(X978="","",IFERROR(INDEX($AR$11:$AR$4010,MATCH(968,$AY$11:$AY$4010,0)),""))</f>
        <v/>
      </c>
      <c r="AD978" s="30" t="str">
        <f>IF(AE978="","",IFERROR(INDEX($AL$11:$AL$4010,MATCH(968,$AZ$11:$AZ$4010,0)),""))</f>
        <v/>
      </c>
      <c r="AE978" s="26" t="str">
        <f>IFERROR(INDEX($AM$11:$AM$4010,MATCH(968,$AZ$11:$AZ$4010,0)),"")</f>
        <v/>
      </c>
      <c r="AF978" s="25" t="str">
        <f>IF(AE978="","",IFERROR(INDEX($AN$11:$AN$4010,MATCH(968,$AZ$11:$AZ$4010,0)),""))</f>
        <v/>
      </c>
      <c r="AG978" s="25" t="str">
        <f>IF(AE978="","",IFERROR(INDEX($AO$11:$AO$4010,MATCH(968,$AZ$11:$AZ$4010,0)),""))</f>
        <v/>
      </c>
      <c r="AH978" s="24" t="str">
        <f>IF(AE978="","",IFERROR(INDEX($AQ$11:$AQ$4010,MATCH(968,$AZ$11:$AZ$4010,0)),""))</f>
        <v/>
      </c>
      <c r="AI978" s="29" t="str">
        <f>IF(AE978="","",IFERROR(INDEX($AR$11:$AR$4010,MATCH(968,$AZ$11:$AZ$4010,0)),""))</f>
        <v/>
      </c>
      <c r="AJ978" s="29" t="str">
        <f>IF(AE978="","",IFERROR(INDEX($AT$11:$AT$4010,MATCH(968,$AZ$11:$AZ$4010,0)),""))</f>
        <v/>
      </c>
      <c r="AL978" s="31"/>
      <c r="AM978" s="26"/>
      <c r="AN978" s="32"/>
      <c r="AO978" s="32"/>
      <c r="AP978" s="24"/>
      <c r="AQ978" s="24"/>
      <c r="AR978" s="33"/>
      <c r="AS978" s="34"/>
      <c r="AT978" s="33"/>
      <c r="AV978" s="21">
        <f>IF(AND($AL978&lt;&gt;"",COUNTIF($AL$11:$AL978,$AL978)=1),1,0)</f>
        <v>0</v>
      </c>
      <c r="AW978" s="21">
        <f t="shared" si="117"/>
        <v>2</v>
      </c>
      <c r="AX978" s="21" t="str">
        <f t="shared" si="116"/>
        <v/>
      </c>
      <c r="AY978" s="21" t="str">
        <f>IF(AND($AM978&lt;&gt;"",$AS978&lt;&gt;"✓"),SUMPRODUCT(($AM$11:$AM978&lt;&gt;"")*($AS$11:$AS978&lt;&gt;"✓")),"")</f>
        <v/>
      </c>
      <c r="AZ978" s="21" t="str">
        <f>IF(AND($AM978&lt;&gt;"",$AS978="✓"),SUMPRODUCT(($AM$11:$AM978&lt;&gt;"")*($AS$11:$AS978="✓")),"")</f>
        <v/>
      </c>
      <c r="BA978" s="21" t="str">
        <f>IF($AL978="","",$AL978&amp;"|"&amp;COUNTIF($AL$11:$AL978,$AL978))</f>
        <v/>
      </c>
    </row>
    <row r="979" spans="23:53" ht="15" customHeight="1" x14ac:dyDescent="0.25">
      <c r="W979" s="14" t="str">
        <f>IF(X979="","",IFERROR(INDEX($AL$11:$AL$4010,MATCH(969,$AY$11:$AY$4010,0)),""))</f>
        <v/>
      </c>
      <c r="X979" s="12" t="str">
        <f>IFERROR(INDEX($AM$11:$AM$4010,MATCH(969,$AY$11:$AY$4010,0)),"")</f>
        <v/>
      </c>
      <c r="Y979" s="11" t="str">
        <f>IF(X979="","",IFERROR(INDEX($AN$11:$AN$4010,MATCH(969,$AY$11:$AY$4010,0)),""))</f>
        <v/>
      </c>
      <c r="Z979" s="11" t="str">
        <f>IF(X979="","",IFERROR(INDEX($AO$11:$AO$4010,MATCH(969,$AY$11:$AY$4010,0)),""))</f>
        <v/>
      </c>
      <c r="AA979" s="10" t="str">
        <f>IF(X979="","",IFERROR(INDEX($AQ$11:$AQ$4010,MATCH(969,$AY$11:$AY$4010,0)),""))</f>
        <v/>
      </c>
      <c r="AB979" s="15" t="str">
        <f>IF(X979="","",IFERROR(INDEX($AR$11:$AR$4010,MATCH(969,$AY$11:$AY$4010,0)),""))</f>
        <v/>
      </c>
      <c r="AD979" s="16" t="str">
        <f>IF(AE979="","",IFERROR(INDEX($AL$11:$AL$4010,MATCH(969,$AZ$11:$AZ$4010,0)),""))</f>
        <v/>
      </c>
      <c r="AE979" s="12" t="str">
        <f>IFERROR(INDEX($AM$11:$AM$4010,MATCH(969,$AZ$11:$AZ$4010,0)),"")</f>
        <v/>
      </c>
      <c r="AF979" s="11" t="str">
        <f>IF(AE979="","",IFERROR(INDEX($AN$11:$AN$4010,MATCH(969,$AZ$11:$AZ$4010,0)),""))</f>
        <v/>
      </c>
      <c r="AG979" s="11" t="str">
        <f>IF(AE979="","",IFERROR(INDEX($AO$11:$AO$4010,MATCH(969,$AZ$11:$AZ$4010,0)),""))</f>
        <v/>
      </c>
      <c r="AH979" s="10" t="str">
        <f>IF(AE979="","",IFERROR(INDEX($AQ$11:$AQ$4010,MATCH(969,$AZ$11:$AZ$4010,0)),""))</f>
        <v/>
      </c>
      <c r="AI979" s="15" t="str">
        <f>IF(AE979="","",IFERROR(INDEX($AR$11:$AR$4010,MATCH(969,$AZ$11:$AZ$4010,0)),""))</f>
        <v/>
      </c>
      <c r="AJ979" s="15" t="str">
        <f>IF(AE979="","",IFERROR(INDEX($AT$11:$AT$4010,MATCH(969,$AZ$11:$AZ$4010,0)),""))</f>
        <v/>
      </c>
      <c r="AL979" s="17"/>
      <c r="AM979" s="12"/>
      <c r="AN979" s="18"/>
      <c r="AO979" s="18"/>
      <c r="AP979" s="10"/>
      <c r="AQ979" s="10"/>
      <c r="AR979" s="19"/>
      <c r="AS979" s="20"/>
      <c r="AT979" s="19"/>
      <c r="AV979" s="21">
        <f>IF(AND($AL979&lt;&gt;"",COUNTIF($AL$11:$AL979,$AL979)=1),1,0)</f>
        <v>0</v>
      </c>
      <c r="AW979" s="21">
        <f t="shared" si="117"/>
        <v>2</v>
      </c>
      <c r="AX979" s="21" t="str">
        <f t="shared" si="116"/>
        <v/>
      </c>
      <c r="AY979" s="21" t="str">
        <f>IF(AND($AM979&lt;&gt;"",$AS979&lt;&gt;"✓"),SUMPRODUCT(($AM$11:$AM979&lt;&gt;"")*($AS$11:$AS979&lt;&gt;"✓")),"")</f>
        <v/>
      </c>
      <c r="AZ979" s="21" t="str">
        <f>IF(AND($AM979&lt;&gt;"",$AS979="✓"),SUMPRODUCT(($AM$11:$AM979&lt;&gt;"")*($AS$11:$AS979="✓")),"")</f>
        <v/>
      </c>
      <c r="BA979" s="21" t="str">
        <f>IF($AL979="","",$AL979&amp;"|"&amp;COUNTIF($AL$11:$AL979,$AL979))</f>
        <v/>
      </c>
    </row>
    <row r="980" spans="23:53" ht="15" customHeight="1" x14ac:dyDescent="0.25">
      <c r="W980" s="28" t="str">
        <f>IF(X980="","",IFERROR(INDEX($AL$11:$AL$4010,MATCH(970,$AY$11:$AY$4010,0)),""))</f>
        <v/>
      </c>
      <c r="X980" s="26" t="str">
        <f>IFERROR(INDEX($AM$11:$AM$4010,MATCH(970,$AY$11:$AY$4010,0)),"")</f>
        <v/>
      </c>
      <c r="Y980" s="25" t="str">
        <f>IF(X980="","",IFERROR(INDEX($AN$11:$AN$4010,MATCH(970,$AY$11:$AY$4010,0)),""))</f>
        <v/>
      </c>
      <c r="Z980" s="25" t="str">
        <f>IF(X980="","",IFERROR(INDEX($AO$11:$AO$4010,MATCH(970,$AY$11:$AY$4010,0)),""))</f>
        <v/>
      </c>
      <c r="AA980" s="24" t="str">
        <f>IF(X980="","",IFERROR(INDEX($AQ$11:$AQ$4010,MATCH(970,$AY$11:$AY$4010,0)),""))</f>
        <v/>
      </c>
      <c r="AB980" s="29" t="str">
        <f>IF(X980="","",IFERROR(INDEX($AR$11:$AR$4010,MATCH(970,$AY$11:$AY$4010,0)),""))</f>
        <v/>
      </c>
      <c r="AD980" s="30" t="str">
        <f>IF(AE980="","",IFERROR(INDEX($AL$11:$AL$4010,MATCH(970,$AZ$11:$AZ$4010,0)),""))</f>
        <v/>
      </c>
      <c r="AE980" s="26" t="str">
        <f>IFERROR(INDEX($AM$11:$AM$4010,MATCH(970,$AZ$11:$AZ$4010,0)),"")</f>
        <v/>
      </c>
      <c r="AF980" s="25" t="str">
        <f>IF(AE980="","",IFERROR(INDEX($AN$11:$AN$4010,MATCH(970,$AZ$11:$AZ$4010,0)),""))</f>
        <v/>
      </c>
      <c r="AG980" s="25" t="str">
        <f>IF(AE980="","",IFERROR(INDEX($AO$11:$AO$4010,MATCH(970,$AZ$11:$AZ$4010,0)),""))</f>
        <v/>
      </c>
      <c r="AH980" s="24" t="str">
        <f>IF(AE980="","",IFERROR(INDEX($AQ$11:$AQ$4010,MATCH(970,$AZ$11:$AZ$4010,0)),""))</f>
        <v/>
      </c>
      <c r="AI980" s="29" t="str">
        <f>IF(AE980="","",IFERROR(INDEX($AR$11:$AR$4010,MATCH(970,$AZ$11:$AZ$4010,0)),""))</f>
        <v/>
      </c>
      <c r="AJ980" s="29" t="str">
        <f>IF(AE980="","",IFERROR(INDEX($AT$11:$AT$4010,MATCH(970,$AZ$11:$AZ$4010,0)),""))</f>
        <v/>
      </c>
      <c r="AL980" s="31"/>
      <c r="AM980" s="26"/>
      <c r="AN980" s="32"/>
      <c r="AO980" s="32"/>
      <c r="AP980" s="24"/>
      <c r="AQ980" s="24"/>
      <c r="AR980" s="33"/>
      <c r="AS980" s="34"/>
      <c r="AT980" s="33"/>
      <c r="AV980" s="21">
        <f>IF(AND($AL980&lt;&gt;"",COUNTIF($AL$11:$AL980,$AL980)=1),1,0)</f>
        <v>0</v>
      </c>
      <c r="AW980" s="21">
        <f t="shared" si="117"/>
        <v>2</v>
      </c>
      <c r="AX980" s="21" t="str">
        <f t="shared" si="116"/>
        <v/>
      </c>
      <c r="AY980" s="21" t="str">
        <f>IF(AND($AM980&lt;&gt;"",$AS980&lt;&gt;"✓"),SUMPRODUCT(($AM$11:$AM980&lt;&gt;"")*($AS$11:$AS980&lt;&gt;"✓")),"")</f>
        <v/>
      </c>
      <c r="AZ980" s="21" t="str">
        <f>IF(AND($AM980&lt;&gt;"",$AS980="✓"),SUMPRODUCT(($AM$11:$AM980&lt;&gt;"")*($AS$11:$AS980="✓")),"")</f>
        <v/>
      </c>
      <c r="BA980" s="21" t="str">
        <f>IF($AL980="","",$AL980&amp;"|"&amp;COUNTIF($AL$11:$AL980,$AL980))</f>
        <v/>
      </c>
    </row>
    <row r="981" spans="23:53" ht="15" customHeight="1" x14ac:dyDescent="0.25">
      <c r="W981" s="14" t="str">
        <f>IF(X981="","",IFERROR(INDEX($AL$11:$AL$4010,MATCH(971,$AY$11:$AY$4010,0)),""))</f>
        <v/>
      </c>
      <c r="X981" s="12" t="str">
        <f>IFERROR(INDEX($AM$11:$AM$4010,MATCH(971,$AY$11:$AY$4010,0)),"")</f>
        <v/>
      </c>
      <c r="Y981" s="11" t="str">
        <f>IF(X981="","",IFERROR(INDEX($AN$11:$AN$4010,MATCH(971,$AY$11:$AY$4010,0)),""))</f>
        <v/>
      </c>
      <c r="Z981" s="11" t="str">
        <f>IF(X981="","",IFERROR(INDEX($AO$11:$AO$4010,MATCH(971,$AY$11:$AY$4010,0)),""))</f>
        <v/>
      </c>
      <c r="AA981" s="10" t="str">
        <f>IF(X981="","",IFERROR(INDEX($AQ$11:$AQ$4010,MATCH(971,$AY$11:$AY$4010,0)),""))</f>
        <v/>
      </c>
      <c r="AB981" s="15" t="str">
        <f>IF(X981="","",IFERROR(INDEX($AR$11:$AR$4010,MATCH(971,$AY$11:$AY$4010,0)),""))</f>
        <v/>
      </c>
      <c r="AD981" s="16" t="str">
        <f>IF(AE981="","",IFERROR(INDEX($AL$11:$AL$4010,MATCH(971,$AZ$11:$AZ$4010,0)),""))</f>
        <v/>
      </c>
      <c r="AE981" s="12" t="str">
        <f>IFERROR(INDEX($AM$11:$AM$4010,MATCH(971,$AZ$11:$AZ$4010,0)),"")</f>
        <v/>
      </c>
      <c r="AF981" s="11" t="str">
        <f>IF(AE981="","",IFERROR(INDEX($AN$11:$AN$4010,MATCH(971,$AZ$11:$AZ$4010,0)),""))</f>
        <v/>
      </c>
      <c r="AG981" s="11" t="str">
        <f>IF(AE981="","",IFERROR(INDEX($AO$11:$AO$4010,MATCH(971,$AZ$11:$AZ$4010,0)),""))</f>
        <v/>
      </c>
      <c r="AH981" s="10" t="str">
        <f>IF(AE981="","",IFERROR(INDEX($AQ$11:$AQ$4010,MATCH(971,$AZ$11:$AZ$4010,0)),""))</f>
        <v/>
      </c>
      <c r="AI981" s="15" t="str">
        <f>IF(AE981="","",IFERROR(INDEX($AR$11:$AR$4010,MATCH(971,$AZ$11:$AZ$4010,0)),""))</f>
        <v/>
      </c>
      <c r="AJ981" s="15" t="str">
        <f>IF(AE981="","",IFERROR(INDEX($AT$11:$AT$4010,MATCH(971,$AZ$11:$AZ$4010,0)),""))</f>
        <v/>
      </c>
      <c r="AL981" s="17"/>
      <c r="AM981" s="12"/>
      <c r="AN981" s="18"/>
      <c r="AO981" s="18"/>
      <c r="AP981" s="10"/>
      <c r="AQ981" s="10"/>
      <c r="AR981" s="19"/>
      <c r="AS981" s="20"/>
      <c r="AT981" s="19"/>
      <c r="AV981" s="21">
        <f>IF(AND($AL981&lt;&gt;"",COUNTIF($AL$11:$AL981,$AL981)=1),1,0)</f>
        <v>0</v>
      </c>
      <c r="AW981" s="21">
        <f t="shared" si="117"/>
        <v>2</v>
      </c>
      <c r="AX981" s="21" t="str">
        <f t="shared" si="116"/>
        <v/>
      </c>
      <c r="AY981" s="21" t="str">
        <f>IF(AND($AM981&lt;&gt;"",$AS981&lt;&gt;"✓"),SUMPRODUCT(($AM$11:$AM981&lt;&gt;"")*($AS$11:$AS981&lt;&gt;"✓")),"")</f>
        <v/>
      </c>
      <c r="AZ981" s="21" t="str">
        <f>IF(AND($AM981&lt;&gt;"",$AS981="✓"),SUMPRODUCT(($AM$11:$AM981&lt;&gt;"")*($AS$11:$AS981="✓")),"")</f>
        <v/>
      </c>
      <c r="BA981" s="21" t="str">
        <f>IF($AL981="","",$AL981&amp;"|"&amp;COUNTIF($AL$11:$AL981,$AL981))</f>
        <v/>
      </c>
    </row>
    <row r="982" spans="23:53" ht="15" customHeight="1" x14ac:dyDescent="0.25">
      <c r="W982" s="28" t="str">
        <f>IF(X982="","",IFERROR(INDEX($AL$11:$AL$4010,MATCH(972,$AY$11:$AY$4010,0)),""))</f>
        <v/>
      </c>
      <c r="X982" s="26" t="str">
        <f>IFERROR(INDEX($AM$11:$AM$4010,MATCH(972,$AY$11:$AY$4010,0)),"")</f>
        <v/>
      </c>
      <c r="Y982" s="25" t="str">
        <f>IF(X982="","",IFERROR(INDEX($AN$11:$AN$4010,MATCH(972,$AY$11:$AY$4010,0)),""))</f>
        <v/>
      </c>
      <c r="Z982" s="25" t="str">
        <f>IF(X982="","",IFERROR(INDEX($AO$11:$AO$4010,MATCH(972,$AY$11:$AY$4010,0)),""))</f>
        <v/>
      </c>
      <c r="AA982" s="24" t="str">
        <f>IF(X982="","",IFERROR(INDEX($AQ$11:$AQ$4010,MATCH(972,$AY$11:$AY$4010,0)),""))</f>
        <v/>
      </c>
      <c r="AB982" s="29" t="str">
        <f>IF(X982="","",IFERROR(INDEX($AR$11:$AR$4010,MATCH(972,$AY$11:$AY$4010,0)),""))</f>
        <v/>
      </c>
      <c r="AD982" s="30" t="str">
        <f>IF(AE982="","",IFERROR(INDEX($AL$11:$AL$4010,MATCH(972,$AZ$11:$AZ$4010,0)),""))</f>
        <v/>
      </c>
      <c r="AE982" s="26" t="str">
        <f>IFERROR(INDEX($AM$11:$AM$4010,MATCH(972,$AZ$11:$AZ$4010,0)),"")</f>
        <v/>
      </c>
      <c r="AF982" s="25" t="str">
        <f>IF(AE982="","",IFERROR(INDEX($AN$11:$AN$4010,MATCH(972,$AZ$11:$AZ$4010,0)),""))</f>
        <v/>
      </c>
      <c r="AG982" s="25" t="str">
        <f>IF(AE982="","",IFERROR(INDEX($AO$11:$AO$4010,MATCH(972,$AZ$11:$AZ$4010,0)),""))</f>
        <v/>
      </c>
      <c r="AH982" s="24" t="str">
        <f>IF(AE982="","",IFERROR(INDEX($AQ$11:$AQ$4010,MATCH(972,$AZ$11:$AZ$4010,0)),""))</f>
        <v/>
      </c>
      <c r="AI982" s="29" t="str">
        <f>IF(AE982="","",IFERROR(INDEX($AR$11:$AR$4010,MATCH(972,$AZ$11:$AZ$4010,0)),""))</f>
        <v/>
      </c>
      <c r="AJ982" s="29" t="str">
        <f>IF(AE982="","",IFERROR(INDEX($AT$11:$AT$4010,MATCH(972,$AZ$11:$AZ$4010,0)),""))</f>
        <v/>
      </c>
      <c r="AL982" s="31"/>
      <c r="AM982" s="26"/>
      <c r="AN982" s="32"/>
      <c r="AO982" s="32"/>
      <c r="AP982" s="24"/>
      <c r="AQ982" s="24"/>
      <c r="AR982" s="33"/>
      <c r="AS982" s="34"/>
      <c r="AT982" s="33"/>
      <c r="AV982" s="21">
        <f>IF(AND($AL982&lt;&gt;"",COUNTIF($AL$11:$AL982,$AL982)=1),1,0)</f>
        <v>0</v>
      </c>
      <c r="AW982" s="21">
        <f t="shared" si="117"/>
        <v>2</v>
      </c>
      <c r="AX982" s="21" t="str">
        <f t="shared" si="116"/>
        <v/>
      </c>
      <c r="AY982" s="21" t="str">
        <f>IF(AND($AM982&lt;&gt;"",$AS982&lt;&gt;"✓"),SUMPRODUCT(($AM$11:$AM982&lt;&gt;"")*($AS$11:$AS982&lt;&gt;"✓")),"")</f>
        <v/>
      </c>
      <c r="AZ982" s="21" t="str">
        <f>IF(AND($AM982&lt;&gt;"",$AS982="✓"),SUMPRODUCT(($AM$11:$AM982&lt;&gt;"")*($AS$11:$AS982="✓")),"")</f>
        <v/>
      </c>
      <c r="BA982" s="21" t="str">
        <f>IF($AL982="","",$AL982&amp;"|"&amp;COUNTIF($AL$11:$AL982,$AL982))</f>
        <v/>
      </c>
    </row>
    <row r="983" spans="23:53" ht="15" customHeight="1" x14ac:dyDescent="0.25">
      <c r="W983" s="14" t="str">
        <f>IF(X983="","",IFERROR(INDEX($AL$11:$AL$4010,MATCH(973,$AY$11:$AY$4010,0)),""))</f>
        <v/>
      </c>
      <c r="X983" s="12" t="str">
        <f>IFERROR(INDEX($AM$11:$AM$4010,MATCH(973,$AY$11:$AY$4010,0)),"")</f>
        <v/>
      </c>
      <c r="Y983" s="11" t="str">
        <f>IF(X983="","",IFERROR(INDEX($AN$11:$AN$4010,MATCH(973,$AY$11:$AY$4010,0)),""))</f>
        <v/>
      </c>
      <c r="Z983" s="11" t="str">
        <f>IF(X983="","",IFERROR(INDEX($AO$11:$AO$4010,MATCH(973,$AY$11:$AY$4010,0)),""))</f>
        <v/>
      </c>
      <c r="AA983" s="10" t="str">
        <f>IF(X983="","",IFERROR(INDEX($AQ$11:$AQ$4010,MATCH(973,$AY$11:$AY$4010,0)),""))</f>
        <v/>
      </c>
      <c r="AB983" s="15" t="str">
        <f>IF(X983="","",IFERROR(INDEX($AR$11:$AR$4010,MATCH(973,$AY$11:$AY$4010,0)),""))</f>
        <v/>
      </c>
      <c r="AD983" s="16" t="str">
        <f>IF(AE983="","",IFERROR(INDEX($AL$11:$AL$4010,MATCH(973,$AZ$11:$AZ$4010,0)),""))</f>
        <v/>
      </c>
      <c r="AE983" s="12" t="str">
        <f>IFERROR(INDEX($AM$11:$AM$4010,MATCH(973,$AZ$11:$AZ$4010,0)),"")</f>
        <v/>
      </c>
      <c r="AF983" s="11" t="str">
        <f>IF(AE983="","",IFERROR(INDEX($AN$11:$AN$4010,MATCH(973,$AZ$11:$AZ$4010,0)),""))</f>
        <v/>
      </c>
      <c r="AG983" s="11" t="str">
        <f>IF(AE983="","",IFERROR(INDEX($AO$11:$AO$4010,MATCH(973,$AZ$11:$AZ$4010,0)),""))</f>
        <v/>
      </c>
      <c r="AH983" s="10" t="str">
        <f>IF(AE983="","",IFERROR(INDEX($AQ$11:$AQ$4010,MATCH(973,$AZ$11:$AZ$4010,0)),""))</f>
        <v/>
      </c>
      <c r="AI983" s="15" t="str">
        <f>IF(AE983="","",IFERROR(INDEX($AR$11:$AR$4010,MATCH(973,$AZ$11:$AZ$4010,0)),""))</f>
        <v/>
      </c>
      <c r="AJ983" s="15" t="str">
        <f>IF(AE983="","",IFERROR(INDEX($AT$11:$AT$4010,MATCH(973,$AZ$11:$AZ$4010,0)),""))</f>
        <v/>
      </c>
      <c r="AL983" s="17"/>
      <c r="AM983" s="12"/>
      <c r="AN983" s="18"/>
      <c r="AO983" s="18"/>
      <c r="AP983" s="10"/>
      <c r="AQ983" s="10"/>
      <c r="AR983" s="19"/>
      <c r="AS983" s="20"/>
      <c r="AT983" s="19"/>
      <c r="AV983" s="21">
        <f>IF(AND($AL983&lt;&gt;"",COUNTIF($AL$11:$AL983,$AL983)=1),1,0)</f>
        <v>0</v>
      </c>
      <c r="AW983" s="21">
        <f t="shared" si="117"/>
        <v>2</v>
      </c>
      <c r="AX983" s="21" t="str">
        <f t="shared" si="116"/>
        <v/>
      </c>
      <c r="AY983" s="21" t="str">
        <f>IF(AND($AM983&lt;&gt;"",$AS983&lt;&gt;"✓"),SUMPRODUCT(($AM$11:$AM983&lt;&gt;"")*($AS$11:$AS983&lt;&gt;"✓")),"")</f>
        <v/>
      </c>
      <c r="AZ983" s="21" t="str">
        <f>IF(AND($AM983&lt;&gt;"",$AS983="✓"),SUMPRODUCT(($AM$11:$AM983&lt;&gt;"")*($AS$11:$AS983="✓")),"")</f>
        <v/>
      </c>
      <c r="BA983" s="21" t="str">
        <f>IF($AL983="","",$AL983&amp;"|"&amp;COUNTIF($AL$11:$AL983,$AL983))</f>
        <v/>
      </c>
    </row>
    <row r="984" spans="23:53" ht="15" customHeight="1" x14ac:dyDescent="0.25">
      <c r="W984" s="28" t="str">
        <f>IF(X984="","",IFERROR(INDEX($AL$11:$AL$4010,MATCH(974,$AY$11:$AY$4010,0)),""))</f>
        <v/>
      </c>
      <c r="X984" s="26" t="str">
        <f>IFERROR(INDEX($AM$11:$AM$4010,MATCH(974,$AY$11:$AY$4010,0)),"")</f>
        <v/>
      </c>
      <c r="Y984" s="25" t="str">
        <f>IF(X984="","",IFERROR(INDEX($AN$11:$AN$4010,MATCH(974,$AY$11:$AY$4010,0)),""))</f>
        <v/>
      </c>
      <c r="Z984" s="25" t="str">
        <f>IF(X984="","",IFERROR(INDEX($AO$11:$AO$4010,MATCH(974,$AY$11:$AY$4010,0)),""))</f>
        <v/>
      </c>
      <c r="AA984" s="24" t="str">
        <f>IF(X984="","",IFERROR(INDEX($AQ$11:$AQ$4010,MATCH(974,$AY$11:$AY$4010,0)),""))</f>
        <v/>
      </c>
      <c r="AB984" s="29" t="str">
        <f>IF(X984="","",IFERROR(INDEX($AR$11:$AR$4010,MATCH(974,$AY$11:$AY$4010,0)),""))</f>
        <v/>
      </c>
      <c r="AD984" s="30" t="str">
        <f>IF(AE984="","",IFERROR(INDEX($AL$11:$AL$4010,MATCH(974,$AZ$11:$AZ$4010,0)),""))</f>
        <v/>
      </c>
      <c r="AE984" s="26" t="str">
        <f>IFERROR(INDEX($AM$11:$AM$4010,MATCH(974,$AZ$11:$AZ$4010,0)),"")</f>
        <v/>
      </c>
      <c r="AF984" s="25" t="str">
        <f>IF(AE984="","",IFERROR(INDEX($AN$11:$AN$4010,MATCH(974,$AZ$11:$AZ$4010,0)),""))</f>
        <v/>
      </c>
      <c r="AG984" s="25" t="str">
        <f>IF(AE984="","",IFERROR(INDEX($AO$11:$AO$4010,MATCH(974,$AZ$11:$AZ$4010,0)),""))</f>
        <v/>
      </c>
      <c r="AH984" s="24" t="str">
        <f>IF(AE984="","",IFERROR(INDEX($AQ$11:$AQ$4010,MATCH(974,$AZ$11:$AZ$4010,0)),""))</f>
        <v/>
      </c>
      <c r="AI984" s="29" t="str">
        <f>IF(AE984="","",IFERROR(INDEX($AR$11:$AR$4010,MATCH(974,$AZ$11:$AZ$4010,0)),""))</f>
        <v/>
      </c>
      <c r="AJ984" s="29" t="str">
        <f>IF(AE984="","",IFERROR(INDEX($AT$11:$AT$4010,MATCH(974,$AZ$11:$AZ$4010,0)),""))</f>
        <v/>
      </c>
      <c r="AL984" s="31"/>
      <c r="AM984" s="26"/>
      <c r="AN984" s="32"/>
      <c r="AO984" s="32"/>
      <c r="AP984" s="24"/>
      <c r="AQ984" s="24"/>
      <c r="AR984" s="33"/>
      <c r="AS984" s="34"/>
      <c r="AT984" s="33"/>
      <c r="AV984" s="21">
        <f>IF(AND($AL984&lt;&gt;"",COUNTIF($AL$11:$AL984,$AL984)=1),1,0)</f>
        <v>0</v>
      </c>
      <c r="AW984" s="21">
        <f t="shared" si="117"/>
        <v>2</v>
      </c>
      <c r="AX984" s="21" t="str">
        <f t="shared" si="116"/>
        <v/>
      </c>
      <c r="AY984" s="21" t="str">
        <f>IF(AND($AM984&lt;&gt;"",$AS984&lt;&gt;"✓"),SUMPRODUCT(($AM$11:$AM984&lt;&gt;"")*($AS$11:$AS984&lt;&gt;"✓")),"")</f>
        <v/>
      </c>
      <c r="AZ984" s="21" t="str">
        <f>IF(AND($AM984&lt;&gt;"",$AS984="✓"),SUMPRODUCT(($AM$11:$AM984&lt;&gt;"")*($AS$11:$AS984="✓")),"")</f>
        <v/>
      </c>
      <c r="BA984" s="21" t="str">
        <f>IF($AL984="","",$AL984&amp;"|"&amp;COUNTIF($AL$11:$AL984,$AL984))</f>
        <v/>
      </c>
    </row>
    <row r="985" spans="23:53" ht="15" customHeight="1" x14ac:dyDescent="0.25">
      <c r="W985" s="14" t="str">
        <f>IF(X985="","",IFERROR(INDEX($AL$11:$AL$4010,MATCH(975,$AY$11:$AY$4010,0)),""))</f>
        <v/>
      </c>
      <c r="X985" s="12" t="str">
        <f>IFERROR(INDEX($AM$11:$AM$4010,MATCH(975,$AY$11:$AY$4010,0)),"")</f>
        <v/>
      </c>
      <c r="Y985" s="11" t="str">
        <f>IF(X985="","",IFERROR(INDEX($AN$11:$AN$4010,MATCH(975,$AY$11:$AY$4010,0)),""))</f>
        <v/>
      </c>
      <c r="Z985" s="11" t="str">
        <f>IF(X985="","",IFERROR(INDEX($AO$11:$AO$4010,MATCH(975,$AY$11:$AY$4010,0)),""))</f>
        <v/>
      </c>
      <c r="AA985" s="10" t="str">
        <f>IF(X985="","",IFERROR(INDEX($AQ$11:$AQ$4010,MATCH(975,$AY$11:$AY$4010,0)),""))</f>
        <v/>
      </c>
      <c r="AB985" s="15" t="str">
        <f>IF(X985="","",IFERROR(INDEX($AR$11:$AR$4010,MATCH(975,$AY$11:$AY$4010,0)),""))</f>
        <v/>
      </c>
      <c r="AD985" s="16" t="str">
        <f>IF(AE985="","",IFERROR(INDEX($AL$11:$AL$4010,MATCH(975,$AZ$11:$AZ$4010,0)),""))</f>
        <v/>
      </c>
      <c r="AE985" s="12" t="str">
        <f>IFERROR(INDEX($AM$11:$AM$4010,MATCH(975,$AZ$11:$AZ$4010,0)),"")</f>
        <v/>
      </c>
      <c r="AF985" s="11" t="str">
        <f>IF(AE985="","",IFERROR(INDEX($AN$11:$AN$4010,MATCH(975,$AZ$11:$AZ$4010,0)),""))</f>
        <v/>
      </c>
      <c r="AG985" s="11" t="str">
        <f>IF(AE985="","",IFERROR(INDEX($AO$11:$AO$4010,MATCH(975,$AZ$11:$AZ$4010,0)),""))</f>
        <v/>
      </c>
      <c r="AH985" s="10" t="str">
        <f>IF(AE985="","",IFERROR(INDEX($AQ$11:$AQ$4010,MATCH(975,$AZ$11:$AZ$4010,0)),""))</f>
        <v/>
      </c>
      <c r="AI985" s="15" t="str">
        <f>IF(AE985="","",IFERROR(INDEX($AR$11:$AR$4010,MATCH(975,$AZ$11:$AZ$4010,0)),""))</f>
        <v/>
      </c>
      <c r="AJ985" s="15" t="str">
        <f>IF(AE985="","",IFERROR(INDEX($AT$11:$AT$4010,MATCH(975,$AZ$11:$AZ$4010,0)),""))</f>
        <v/>
      </c>
      <c r="AL985" s="17"/>
      <c r="AM985" s="12"/>
      <c r="AN985" s="18"/>
      <c r="AO985" s="18"/>
      <c r="AP985" s="10"/>
      <c r="AQ985" s="10"/>
      <c r="AR985" s="19"/>
      <c r="AS985" s="20"/>
      <c r="AT985" s="19"/>
      <c r="AV985" s="21">
        <f>IF(AND($AL985&lt;&gt;"",COUNTIF($AL$11:$AL985,$AL985)=1),1,0)</f>
        <v>0</v>
      </c>
      <c r="AW985" s="21">
        <f t="shared" si="117"/>
        <v>2</v>
      </c>
      <c r="AX985" s="21" t="str">
        <f t="shared" si="116"/>
        <v/>
      </c>
      <c r="AY985" s="21" t="str">
        <f>IF(AND($AM985&lt;&gt;"",$AS985&lt;&gt;"✓"),SUMPRODUCT(($AM$11:$AM985&lt;&gt;"")*($AS$11:$AS985&lt;&gt;"✓")),"")</f>
        <v/>
      </c>
      <c r="AZ985" s="21" t="str">
        <f>IF(AND($AM985&lt;&gt;"",$AS985="✓"),SUMPRODUCT(($AM$11:$AM985&lt;&gt;"")*($AS$11:$AS985="✓")),"")</f>
        <v/>
      </c>
      <c r="BA985" s="21" t="str">
        <f>IF($AL985="","",$AL985&amp;"|"&amp;COUNTIF($AL$11:$AL985,$AL985))</f>
        <v/>
      </c>
    </row>
    <row r="986" spans="23:53" ht="15" customHeight="1" x14ac:dyDescent="0.25">
      <c r="W986" s="28" t="str">
        <f>IF(X986="","",IFERROR(INDEX($AL$11:$AL$4010,MATCH(976,$AY$11:$AY$4010,0)),""))</f>
        <v/>
      </c>
      <c r="X986" s="26" t="str">
        <f>IFERROR(INDEX($AM$11:$AM$4010,MATCH(976,$AY$11:$AY$4010,0)),"")</f>
        <v/>
      </c>
      <c r="Y986" s="25" t="str">
        <f>IF(X986="","",IFERROR(INDEX($AN$11:$AN$4010,MATCH(976,$AY$11:$AY$4010,0)),""))</f>
        <v/>
      </c>
      <c r="Z986" s="25" t="str">
        <f>IF(X986="","",IFERROR(INDEX($AO$11:$AO$4010,MATCH(976,$AY$11:$AY$4010,0)),""))</f>
        <v/>
      </c>
      <c r="AA986" s="24" t="str">
        <f>IF(X986="","",IFERROR(INDEX($AQ$11:$AQ$4010,MATCH(976,$AY$11:$AY$4010,0)),""))</f>
        <v/>
      </c>
      <c r="AB986" s="29" t="str">
        <f>IF(X986="","",IFERROR(INDEX($AR$11:$AR$4010,MATCH(976,$AY$11:$AY$4010,0)),""))</f>
        <v/>
      </c>
      <c r="AD986" s="30" t="str">
        <f>IF(AE986="","",IFERROR(INDEX($AL$11:$AL$4010,MATCH(976,$AZ$11:$AZ$4010,0)),""))</f>
        <v/>
      </c>
      <c r="AE986" s="26" t="str">
        <f>IFERROR(INDEX($AM$11:$AM$4010,MATCH(976,$AZ$11:$AZ$4010,0)),"")</f>
        <v/>
      </c>
      <c r="AF986" s="25" t="str">
        <f>IF(AE986="","",IFERROR(INDEX($AN$11:$AN$4010,MATCH(976,$AZ$11:$AZ$4010,0)),""))</f>
        <v/>
      </c>
      <c r="AG986" s="25" t="str">
        <f>IF(AE986="","",IFERROR(INDEX($AO$11:$AO$4010,MATCH(976,$AZ$11:$AZ$4010,0)),""))</f>
        <v/>
      </c>
      <c r="AH986" s="24" t="str">
        <f>IF(AE986="","",IFERROR(INDEX($AQ$11:$AQ$4010,MATCH(976,$AZ$11:$AZ$4010,0)),""))</f>
        <v/>
      </c>
      <c r="AI986" s="29" t="str">
        <f>IF(AE986="","",IFERROR(INDEX($AR$11:$AR$4010,MATCH(976,$AZ$11:$AZ$4010,0)),""))</f>
        <v/>
      </c>
      <c r="AJ986" s="29" t="str">
        <f>IF(AE986="","",IFERROR(INDEX($AT$11:$AT$4010,MATCH(976,$AZ$11:$AZ$4010,0)),""))</f>
        <v/>
      </c>
      <c r="AL986" s="31"/>
      <c r="AM986" s="26"/>
      <c r="AN986" s="32"/>
      <c r="AO986" s="32"/>
      <c r="AP986" s="24"/>
      <c r="AQ986" s="24"/>
      <c r="AR986" s="33"/>
      <c r="AS986" s="34"/>
      <c r="AT986" s="33"/>
      <c r="AV986" s="21">
        <f>IF(AND($AL986&lt;&gt;"",COUNTIF($AL$11:$AL986,$AL986)=1),1,0)</f>
        <v>0</v>
      </c>
      <c r="AW986" s="21">
        <f t="shared" si="117"/>
        <v>2</v>
      </c>
      <c r="AX986" s="21" t="str">
        <f t="shared" si="116"/>
        <v/>
      </c>
      <c r="AY986" s="21" t="str">
        <f>IF(AND($AM986&lt;&gt;"",$AS986&lt;&gt;"✓"),SUMPRODUCT(($AM$11:$AM986&lt;&gt;"")*($AS$11:$AS986&lt;&gt;"✓")),"")</f>
        <v/>
      </c>
      <c r="AZ986" s="21" t="str">
        <f>IF(AND($AM986&lt;&gt;"",$AS986="✓"),SUMPRODUCT(($AM$11:$AM986&lt;&gt;"")*($AS$11:$AS986="✓")),"")</f>
        <v/>
      </c>
      <c r="BA986" s="21" t="str">
        <f>IF($AL986="","",$AL986&amp;"|"&amp;COUNTIF($AL$11:$AL986,$AL986))</f>
        <v/>
      </c>
    </row>
    <row r="987" spans="23:53" ht="15" customHeight="1" x14ac:dyDescent="0.25">
      <c r="W987" s="14" t="str">
        <f>IF(X987="","",IFERROR(INDEX($AL$11:$AL$4010,MATCH(977,$AY$11:$AY$4010,0)),""))</f>
        <v/>
      </c>
      <c r="X987" s="12" t="str">
        <f>IFERROR(INDEX($AM$11:$AM$4010,MATCH(977,$AY$11:$AY$4010,0)),"")</f>
        <v/>
      </c>
      <c r="Y987" s="11" t="str">
        <f>IF(X987="","",IFERROR(INDEX($AN$11:$AN$4010,MATCH(977,$AY$11:$AY$4010,0)),""))</f>
        <v/>
      </c>
      <c r="Z987" s="11" t="str">
        <f>IF(X987="","",IFERROR(INDEX($AO$11:$AO$4010,MATCH(977,$AY$11:$AY$4010,0)),""))</f>
        <v/>
      </c>
      <c r="AA987" s="10" t="str">
        <f>IF(X987="","",IFERROR(INDEX($AQ$11:$AQ$4010,MATCH(977,$AY$11:$AY$4010,0)),""))</f>
        <v/>
      </c>
      <c r="AB987" s="15" t="str">
        <f>IF(X987="","",IFERROR(INDEX($AR$11:$AR$4010,MATCH(977,$AY$11:$AY$4010,0)),""))</f>
        <v/>
      </c>
      <c r="AD987" s="16" t="str">
        <f>IF(AE987="","",IFERROR(INDEX($AL$11:$AL$4010,MATCH(977,$AZ$11:$AZ$4010,0)),""))</f>
        <v/>
      </c>
      <c r="AE987" s="12" t="str">
        <f>IFERROR(INDEX($AM$11:$AM$4010,MATCH(977,$AZ$11:$AZ$4010,0)),"")</f>
        <v/>
      </c>
      <c r="AF987" s="11" t="str">
        <f>IF(AE987="","",IFERROR(INDEX($AN$11:$AN$4010,MATCH(977,$AZ$11:$AZ$4010,0)),""))</f>
        <v/>
      </c>
      <c r="AG987" s="11" t="str">
        <f>IF(AE987="","",IFERROR(INDEX($AO$11:$AO$4010,MATCH(977,$AZ$11:$AZ$4010,0)),""))</f>
        <v/>
      </c>
      <c r="AH987" s="10" t="str">
        <f>IF(AE987="","",IFERROR(INDEX($AQ$11:$AQ$4010,MATCH(977,$AZ$11:$AZ$4010,0)),""))</f>
        <v/>
      </c>
      <c r="AI987" s="15" t="str">
        <f>IF(AE987="","",IFERROR(INDEX($AR$11:$AR$4010,MATCH(977,$AZ$11:$AZ$4010,0)),""))</f>
        <v/>
      </c>
      <c r="AJ987" s="15" t="str">
        <f>IF(AE987="","",IFERROR(INDEX($AT$11:$AT$4010,MATCH(977,$AZ$11:$AZ$4010,0)),""))</f>
        <v/>
      </c>
      <c r="AL987" s="17"/>
      <c r="AM987" s="12"/>
      <c r="AN987" s="18"/>
      <c r="AO987" s="18"/>
      <c r="AP987" s="10"/>
      <c r="AQ987" s="10"/>
      <c r="AR987" s="19"/>
      <c r="AS987" s="20"/>
      <c r="AT987" s="19"/>
      <c r="AV987" s="21">
        <f>IF(AND($AL987&lt;&gt;"",COUNTIF($AL$11:$AL987,$AL987)=1),1,0)</f>
        <v>0</v>
      </c>
      <c r="AW987" s="21">
        <f t="shared" si="117"/>
        <v>2</v>
      </c>
      <c r="AX987" s="21" t="str">
        <f t="shared" si="116"/>
        <v/>
      </c>
      <c r="AY987" s="21" t="str">
        <f>IF(AND($AM987&lt;&gt;"",$AS987&lt;&gt;"✓"),SUMPRODUCT(($AM$11:$AM987&lt;&gt;"")*($AS$11:$AS987&lt;&gt;"✓")),"")</f>
        <v/>
      </c>
      <c r="AZ987" s="21" t="str">
        <f>IF(AND($AM987&lt;&gt;"",$AS987="✓"),SUMPRODUCT(($AM$11:$AM987&lt;&gt;"")*($AS$11:$AS987="✓")),"")</f>
        <v/>
      </c>
      <c r="BA987" s="21" t="str">
        <f>IF($AL987="","",$AL987&amp;"|"&amp;COUNTIF($AL$11:$AL987,$AL987))</f>
        <v/>
      </c>
    </row>
    <row r="988" spans="23:53" ht="15" customHeight="1" x14ac:dyDescent="0.25">
      <c r="W988" s="28" t="str">
        <f>IF(X988="","",IFERROR(INDEX($AL$11:$AL$4010,MATCH(978,$AY$11:$AY$4010,0)),""))</f>
        <v/>
      </c>
      <c r="X988" s="26" t="str">
        <f>IFERROR(INDEX($AM$11:$AM$4010,MATCH(978,$AY$11:$AY$4010,0)),"")</f>
        <v/>
      </c>
      <c r="Y988" s="25" t="str">
        <f>IF(X988="","",IFERROR(INDEX($AN$11:$AN$4010,MATCH(978,$AY$11:$AY$4010,0)),""))</f>
        <v/>
      </c>
      <c r="Z988" s="25" t="str">
        <f>IF(X988="","",IFERROR(INDEX($AO$11:$AO$4010,MATCH(978,$AY$11:$AY$4010,0)),""))</f>
        <v/>
      </c>
      <c r="AA988" s="24" t="str">
        <f>IF(X988="","",IFERROR(INDEX($AQ$11:$AQ$4010,MATCH(978,$AY$11:$AY$4010,0)),""))</f>
        <v/>
      </c>
      <c r="AB988" s="29" t="str">
        <f>IF(X988="","",IFERROR(INDEX($AR$11:$AR$4010,MATCH(978,$AY$11:$AY$4010,0)),""))</f>
        <v/>
      </c>
      <c r="AD988" s="30" t="str">
        <f>IF(AE988="","",IFERROR(INDEX($AL$11:$AL$4010,MATCH(978,$AZ$11:$AZ$4010,0)),""))</f>
        <v/>
      </c>
      <c r="AE988" s="26" t="str">
        <f>IFERROR(INDEX($AM$11:$AM$4010,MATCH(978,$AZ$11:$AZ$4010,0)),"")</f>
        <v/>
      </c>
      <c r="AF988" s="25" t="str">
        <f>IF(AE988="","",IFERROR(INDEX($AN$11:$AN$4010,MATCH(978,$AZ$11:$AZ$4010,0)),""))</f>
        <v/>
      </c>
      <c r="AG988" s="25" t="str">
        <f>IF(AE988="","",IFERROR(INDEX($AO$11:$AO$4010,MATCH(978,$AZ$11:$AZ$4010,0)),""))</f>
        <v/>
      </c>
      <c r="AH988" s="24" t="str">
        <f>IF(AE988="","",IFERROR(INDEX($AQ$11:$AQ$4010,MATCH(978,$AZ$11:$AZ$4010,0)),""))</f>
        <v/>
      </c>
      <c r="AI988" s="29" t="str">
        <f>IF(AE988="","",IFERROR(INDEX($AR$11:$AR$4010,MATCH(978,$AZ$11:$AZ$4010,0)),""))</f>
        <v/>
      </c>
      <c r="AJ988" s="29" t="str">
        <f>IF(AE988="","",IFERROR(INDEX($AT$11:$AT$4010,MATCH(978,$AZ$11:$AZ$4010,0)),""))</f>
        <v/>
      </c>
      <c r="AL988" s="31"/>
      <c r="AM988" s="26"/>
      <c r="AN988" s="32"/>
      <c r="AO988" s="32"/>
      <c r="AP988" s="24"/>
      <c r="AQ988" s="24"/>
      <c r="AR988" s="33"/>
      <c r="AS988" s="34"/>
      <c r="AT988" s="33"/>
      <c r="AV988" s="21">
        <f>IF(AND($AL988&lt;&gt;"",COUNTIF($AL$11:$AL988,$AL988)=1),1,0)</f>
        <v>0</v>
      </c>
      <c r="AW988" s="21">
        <f t="shared" si="117"/>
        <v>2</v>
      </c>
      <c r="AX988" s="21" t="str">
        <f t="shared" si="116"/>
        <v/>
      </c>
      <c r="AY988" s="21" t="str">
        <f>IF(AND($AM988&lt;&gt;"",$AS988&lt;&gt;"✓"),SUMPRODUCT(($AM$11:$AM988&lt;&gt;"")*($AS$11:$AS988&lt;&gt;"✓")),"")</f>
        <v/>
      </c>
      <c r="AZ988" s="21" t="str">
        <f>IF(AND($AM988&lt;&gt;"",$AS988="✓"),SUMPRODUCT(($AM$11:$AM988&lt;&gt;"")*($AS$11:$AS988="✓")),"")</f>
        <v/>
      </c>
      <c r="BA988" s="21" t="str">
        <f>IF($AL988="","",$AL988&amp;"|"&amp;COUNTIF($AL$11:$AL988,$AL988))</f>
        <v/>
      </c>
    </row>
    <row r="989" spans="23:53" ht="15" customHeight="1" x14ac:dyDescent="0.25">
      <c r="W989" s="14" t="str">
        <f>IF(X989="","",IFERROR(INDEX($AL$11:$AL$4010,MATCH(979,$AY$11:$AY$4010,0)),""))</f>
        <v/>
      </c>
      <c r="X989" s="12" t="str">
        <f>IFERROR(INDEX($AM$11:$AM$4010,MATCH(979,$AY$11:$AY$4010,0)),"")</f>
        <v/>
      </c>
      <c r="Y989" s="11" t="str">
        <f>IF(X989="","",IFERROR(INDEX($AN$11:$AN$4010,MATCH(979,$AY$11:$AY$4010,0)),""))</f>
        <v/>
      </c>
      <c r="Z989" s="11" t="str">
        <f>IF(X989="","",IFERROR(INDEX($AO$11:$AO$4010,MATCH(979,$AY$11:$AY$4010,0)),""))</f>
        <v/>
      </c>
      <c r="AA989" s="10" t="str">
        <f>IF(X989="","",IFERROR(INDEX($AQ$11:$AQ$4010,MATCH(979,$AY$11:$AY$4010,0)),""))</f>
        <v/>
      </c>
      <c r="AB989" s="15" t="str">
        <f>IF(X989="","",IFERROR(INDEX($AR$11:$AR$4010,MATCH(979,$AY$11:$AY$4010,0)),""))</f>
        <v/>
      </c>
      <c r="AD989" s="16" t="str">
        <f>IF(AE989="","",IFERROR(INDEX($AL$11:$AL$4010,MATCH(979,$AZ$11:$AZ$4010,0)),""))</f>
        <v/>
      </c>
      <c r="AE989" s="12" t="str">
        <f>IFERROR(INDEX($AM$11:$AM$4010,MATCH(979,$AZ$11:$AZ$4010,0)),"")</f>
        <v/>
      </c>
      <c r="AF989" s="11" t="str">
        <f>IF(AE989="","",IFERROR(INDEX($AN$11:$AN$4010,MATCH(979,$AZ$11:$AZ$4010,0)),""))</f>
        <v/>
      </c>
      <c r="AG989" s="11" t="str">
        <f>IF(AE989="","",IFERROR(INDEX($AO$11:$AO$4010,MATCH(979,$AZ$11:$AZ$4010,0)),""))</f>
        <v/>
      </c>
      <c r="AH989" s="10" t="str">
        <f>IF(AE989="","",IFERROR(INDEX($AQ$11:$AQ$4010,MATCH(979,$AZ$11:$AZ$4010,0)),""))</f>
        <v/>
      </c>
      <c r="AI989" s="15" t="str">
        <f>IF(AE989="","",IFERROR(INDEX($AR$11:$AR$4010,MATCH(979,$AZ$11:$AZ$4010,0)),""))</f>
        <v/>
      </c>
      <c r="AJ989" s="15" t="str">
        <f>IF(AE989="","",IFERROR(INDEX($AT$11:$AT$4010,MATCH(979,$AZ$11:$AZ$4010,0)),""))</f>
        <v/>
      </c>
      <c r="AL989" s="17"/>
      <c r="AM989" s="12"/>
      <c r="AN989" s="18"/>
      <c r="AO989" s="18"/>
      <c r="AP989" s="10"/>
      <c r="AQ989" s="10"/>
      <c r="AR989" s="19"/>
      <c r="AS989" s="20"/>
      <c r="AT989" s="19"/>
      <c r="AV989" s="21">
        <f>IF(AND($AL989&lt;&gt;"",COUNTIF($AL$11:$AL989,$AL989)=1),1,0)</f>
        <v>0</v>
      </c>
      <c r="AW989" s="21">
        <f t="shared" si="117"/>
        <v>2</v>
      </c>
      <c r="AX989" s="21" t="str">
        <f t="shared" si="116"/>
        <v/>
      </c>
      <c r="AY989" s="21" t="str">
        <f>IF(AND($AM989&lt;&gt;"",$AS989&lt;&gt;"✓"),SUMPRODUCT(($AM$11:$AM989&lt;&gt;"")*($AS$11:$AS989&lt;&gt;"✓")),"")</f>
        <v/>
      </c>
      <c r="AZ989" s="21" t="str">
        <f>IF(AND($AM989&lt;&gt;"",$AS989="✓"),SUMPRODUCT(($AM$11:$AM989&lt;&gt;"")*($AS$11:$AS989="✓")),"")</f>
        <v/>
      </c>
      <c r="BA989" s="21" t="str">
        <f>IF($AL989="","",$AL989&amp;"|"&amp;COUNTIF($AL$11:$AL989,$AL989))</f>
        <v/>
      </c>
    </row>
    <row r="990" spans="23:53" ht="15" customHeight="1" x14ac:dyDescent="0.25">
      <c r="W990" s="28" t="str">
        <f>IF(X990="","",IFERROR(INDEX($AL$11:$AL$4010,MATCH(980,$AY$11:$AY$4010,0)),""))</f>
        <v/>
      </c>
      <c r="X990" s="26" t="str">
        <f>IFERROR(INDEX($AM$11:$AM$4010,MATCH(980,$AY$11:$AY$4010,0)),"")</f>
        <v/>
      </c>
      <c r="Y990" s="25" t="str">
        <f>IF(X990="","",IFERROR(INDEX($AN$11:$AN$4010,MATCH(980,$AY$11:$AY$4010,0)),""))</f>
        <v/>
      </c>
      <c r="Z990" s="25" t="str">
        <f>IF(X990="","",IFERROR(INDEX($AO$11:$AO$4010,MATCH(980,$AY$11:$AY$4010,0)),""))</f>
        <v/>
      </c>
      <c r="AA990" s="24" t="str">
        <f>IF(X990="","",IFERROR(INDEX($AQ$11:$AQ$4010,MATCH(980,$AY$11:$AY$4010,0)),""))</f>
        <v/>
      </c>
      <c r="AB990" s="29" t="str">
        <f>IF(X990="","",IFERROR(INDEX($AR$11:$AR$4010,MATCH(980,$AY$11:$AY$4010,0)),""))</f>
        <v/>
      </c>
      <c r="AD990" s="30" t="str">
        <f>IF(AE990="","",IFERROR(INDEX($AL$11:$AL$4010,MATCH(980,$AZ$11:$AZ$4010,0)),""))</f>
        <v/>
      </c>
      <c r="AE990" s="26" t="str">
        <f>IFERROR(INDEX($AM$11:$AM$4010,MATCH(980,$AZ$11:$AZ$4010,0)),"")</f>
        <v/>
      </c>
      <c r="AF990" s="25" t="str">
        <f>IF(AE990="","",IFERROR(INDEX($AN$11:$AN$4010,MATCH(980,$AZ$11:$AZ$4010,0)),""))</f>
        <v/>
      </c>
      <c r="AG990" s="25" t="str">
        <f>IF(AE990="","",IFERROR(INDEX($AO$11:$AO$4010,MATCH(980,$AZ$11:$AZ$4010,0)),""))</f>
        <v/>
      </c>
      <c r="AH990" s="24" t="str">
        <f>IF(AE990="","",IFERROR(INDEX($AQ$11:$AQ$4010,MATCH(980,$AZ$11:$AZ$4010,0)),""))</f>
        <v/>
      </c>
      <c r="AI990" s="29" t="str">
        <f>IF(AE990="","",IFERROR(INDEX($AR$11:$AR$4010,MATCH(980,$AZ$11:$AZ$4010,0)),""))</f>
        <v/>
      </c>
      <c r="AJ990" s="29" t="str">
        <f>IF(AE990="","",IFERROR(INDEX($AT$11:$AT$4010,MATCH(980,$AZ$11:$AZ$4010,0)),""))</f>
        <v/>
      </c>
      <c r="AL990" s="31"/>
      <c r="AM990" s="26"/>
      <c r="AN990" s="32"/>
      <c r="AO990" s="32"/>
      <c r="AP990" s="24"/>
      <c r="AQ990" s="24"/>
      <c r="AR990" s="33"/>
      <c r="AS990" s="34"/>
      <c r="AT990" s="33"/>
      <c r="AV990" s="21">
        <f>IF(AND($AL990&lt;&gt;"",COUNTIF($AL$11:$AL990,$AL990)=1),1,0)</f>
        <v>0</v>
      </c>
      <c r="AW990" s="21">
        <f t="shared" si="117"/>
        <v>2</v>
      </c>
      <c r="AX990" s="21" t="str">
        <f t="shared" si="116"/>
        <v/>
      </c>
      <c r="AY990" s="21" t="str">
        <f>IF(AND($AM990&lt;&gt;"",$AS990&lt;&gt;"✓"),SUMPRODUCT(($AM$11:$AM990&lt;&gt;"")*($AS$11:$AS990&lt;&gt;"✓")),"")</f>
        <v/>
      </c>
      <c r="AZ990" s="21" t="str">
        <f>IF(AND($AM990&lt;&gt;"",$AS990="✓"),SUMPRODUCT(($AM$11:$AM990&lt;&gt;"")*($AS$11:$AS990="✓")),"")</f>
        <v/>
      </c>
      <c r="BA990" s="21" t="str">
        <f>IF($AL990="","",$AL990&amp;"|"&amp;COUNTIF($AL$11:$AL990,$AL990))</f>
        <v/>
      </c>
    </row>
    <row r="991" spans="23:53" ht="15" customHeight="1" x14ac:dyDescent="0.25">
      <c r="W991" s="14" t="str">
        <f>IF(X991="","",IFERROR(INDEX($AL$11:$AL$4010,MATCH(981,$AY$11:$AY$4010,0)),""))</f>
        <v/>
      </c>
      <c r="X991" s="12" t="str">
        <f>IFERROR(INDEX($AM$11:$AM$4010,MATCH(981,$AY$11:$AY$4010,0)),"")</f>
        <v/>
      </c>
      <c r="Y991" s="11" t="str">
        <f>IF(X991="","",IFERROR(INDEX($AN$11:$AN$4010,MATCH(981,$AY$11:$AY$4010,0)),""))</f>
        <v/>
      </c>
      <c r="Z991" s="11" t="str">
        <f>IF(X991="","",IFERROR(INDEX($AO$11:$AO$4010,MATCH(981,$AY$11:$AY$4010,0)),""))</f>
        <v/>
      </c>
      <c r="AA991" s="10" t="str">
        <f>IF(X991="","",IFERROR(INDEX($AQ$11:$AQ$4010,MATCH(981,$AY$11:$AY$4010,0)),""))</f>
        <v/>
      </c>
      <c r="AB991" s="15" t="str">
        <f>IF(X991="","",IFERROR(INDEX($AR$11:$AR$4010,MATCH(981,$AY$11:$AY$4010,0)),""))</f>
        <v/>
      </c>
      <c r="AD991" s="16" t="str">
        <f>IF(AE991="","",IFERROR(INDEX($AL$11:$AL$4010,MATCH(981,$AZ$11:$AZ$4010,0)),""))</f>
        <v/>
      </c>
      <c r="AE991" s="12" t="str">
        <f>IFERROR(INDEX($AM$11:$AM$4010,MATCH(981,$AZ$11:$AZ$4010,0)),"")</f>
        <v/>
      </c>
      <c r="AF991" s="11" t="str">
        <f>IF(AE991="","",IFERROR(INDEX($AN$11:$AN$4010,MATCH(981,$AZ$11:$AZ$4010,0)),""))</f>
        <v/>
      </c>
      <c r="AG991" s="11" t="str">
        <f>IF(AE991="","",IFERROR(INDEX($AO$11:$AO$4010,MATCH(981,$AZ$11:$AZ$4010,0)),""))</f>
        <v/>
      </c>
      <c r="AH991" s="10" t="str">
        <f>IF(AE991="","",IFERROR(INDEX($AQ$11:$AQ$4010,MATCH(981,$AZ$11:$AZ$4010,0)),""))</f>
        <v/>
      </c>
      <c r="AI991" s="15" t="str">
        <f>IF(AE991="","",IFERROR(INDEX($AR$11:$AR$4010,MATCH(981,$AZ$11:$AZ$4010,0)),""))</f>
        <v/>
      </c>
      <c r="AJ991" s="15" t="str">
        <f>IF(AE991="","",IFERROR(INDEX($AT$11:$AT$4010,MATCH(981,$AZ$11:$AZ$4010,0)),""))</f>
        <v/>
      </c>
      <c r="AL991" s="17"/>
      <c r="AM991" s="12"/>
      <c r="AN991" s="18"/>
      <c r="AO991" s="18"/>
      <c r="AP991" s="10"/>
      <c r="AQ991" s="10"/>
      <c r="AR991" s="19"/>
      <c r="AS991" s="20"/>
      <c r="AT991" s="19"/>
      <c r="AV991" s="21">
        <f>IF(AND($AL991&lt;&gt;"",COUNTIF($AL$11:$AL991,$AL991)=1),1,0)</f>
        <v>0</v>
      </c>
      <c r="AW991" s="21">
        <f t="shared" si="117"/>
        <v>2</v>
      </c>
      <c r="AX991" s="21" t="str">
        <f t="shared" si="116"/>
        <v/>
      </c>
      <c r="AY991" s="21" t="str">
        <f>IF(AND($AM991&lt;&gt;"",$AS991&lt;&gt;"✓"),SUMPRODUCT(($AM$11:$AM991&lt;&gt;"")*($AS$11:$AS991&lt;&gt;"✓")),"")</f>
        <v/>
      </c>
      <c r="AZ991" s="21" t="str">
        <f>IF(AND($AM991&lt;&gt;"",$AS991="✓"),SUMPRODUCT(($AM$11:$AM991&lt;&gt;"")*($AS$11:$AS991="✓")),"")</f>
        <v/>
      </c>
      <c r="BA991" s="21" t="str">
        <f>IF($AL991="","",$AL991&amp;"|"&amp;COUNTIF($AL$11:$AL991,$AL991))</f>
        <v/>
      </c>
    </row>
    <row r="992" spans="23:53" ht="15" customHeight="1" x14ac:dyDescent="0.25">
      <c r="W992" s="28" t="str">
        <f>IF(X992="","",IFERROR(INDEX($AL$11:$AL$4010,MATCH(982,$AY$11:$AY$4010,0)),""))</f>
        <v/>
      </c>
      <c r="X992" s="26" t="str">
        <f>IFERROR(INDEX($AM$11:$AM$4010,MATCH(982,$AY$11:$AY$4010,0)),"")</f>
        <v/>
      </c>
      <c r="Y992" s="25" t="str">
        <f>IF(X992="","",IFERROR(INDEX($AN$11:$AN$4010,MATCH(982,$AY$11:$AY$4010,0)),""))</f>
        <v/>
      </c>
      <c r="Z992" s="25" t="str">
        <f>IF(X992="","",IFERROR(INDEX($AO$11:$AO$4010,MATCH(982,$AY$11:$AY$4010,0)),""))</f>
        <v/>
      </c>
      <c r="AA992" s="24" t="str">
        <f>IF(X992="","",IFERROR(INDEX($AQ$11:$AQ$4010,MATCH(982,$AY$11:$AY$4010,0)),""))</f>
        <v/>
      </c>
      <c r="AB992" s="29" t="str">
        <f>IF(X992="","",IFERROR(INDEX($AR$11:$AR$4010,MATCH(982,$AY$11:$AY$4010,0)),""))</f>
        <v/>
      </c>
      <c r="AD992" s="30" t="str">
        <f>IF(AE992="","",IFERROR(INDEX($AL$11:$AL$4010,MATCH(982,$AZ$11:$AZ$4010,0)),""))</f>
        <v/>
      </c>
      <c r="AE992" s="26" t="str">
        <f>IFERROR(INDEX($AM$11:$AM$4010,MATCH(982,$AZ$11:$AZ$4010,0)),"")</f>
        <v/>
      </c>
      <c r="AF992" s="25" t="str">
        <f>IF(AE992="","",IFERROR(INDEX($AN$11:$AN$4010,MATCH(982,$AZ$11:$AZ$4010,0)),""))</f>
        <v/>
      </c>
      <c r="AG992" s="25" t="str">
        <f>IF(AE992="","",IFERROR(INDEX($AO$11:$AO$4010,MATCH(982,$AZ$11:$AZ$4010,0)),""))</f>
        <v/>
      </c>
      <c r="AH992" s="24" t="str">
        <f>IF(AE992="","",IFERROR(INDEX($AQ$11:$AQ$4010,MATCH(982,$AZ$11:$AZ$4010,0)),""))</f>
        <v/>
      </c>
      <c r="AI992" s="29" t="str">
        <f>IF(AE992="","",IFERROR(INDEX($AR$11:$AR$4010,MATCH(982,$AZ$11:$AZ$4010,0)),""))</f>
        <v/>
      </c>
      <c r="AJ992" s="29" t="str">
        <f>IF(AE992="","",IFERROR(INDEX($AT$11:$AT$4010,MATCH(982,$AZ$11:$AZ$4010,0)),""))</f>
        <v/>
      </c>
      <c r="AL992" s="31"/>
      <c r="AM992" s="26"/>
      <c r="AN992" s="32"/>
      <c r="AO992" s="32"/>
      <c r="AP992" s="24"/>
      <c r="AQ992" s="24"/>
      <c r="AR992" s="33"/>
      <c r="AS992" s="34"/>
      <c r="AT992" s="33"/>
      <c r="AV992" s="21">
        <f>IF(AND($AL992&lt;&gt;"",COUNTIF($AL$11:$AL992,$AL992)=1),1,0)</f>
        <v>0</v>
      </c>
      <c r="AW992" s="21">
        <f t="shared" si="117"/>
        <v>2</v>
      </c>
      <c r="AX992" s="21" t="str">
        <f t="shared" si="116"/>
        <v/>
      </c>
      <c r="AY992" s="21" t="str">
        <f>IF(AND($AM992&lt;&gt;"",$AS992&lt;&gt;"✓"),SUMPRODUCT(($AM$11:$AM992&lt;&gt;"")*($AS$11:$AS992&lt;&gt;"✓")),"")</f>
        <v/>
      </c>
      <c r="AZ992" s="21" t="str">
        <f>IF(AND($AM992&lt;&gt;"",$AS992="✓"),SUMPRODUCT(($AM$11:$AM992&lt;&gt;"")*($AS$11:$AS992="✓")),"")</f>
        <v/>
      </c>
      <c r="BA992" s="21" t="str">
        <f>IF($AL992="","",$AL992&amp;"|"&amp;COUNTIF($AL$11:$AL992,$AL992))</f>
        <v/>
      </c>
    </row>
    <row r="993" spans="23:53" ht="15" customHeight="1" x14ac:dyDescent="0.25">
      <c r="W993" s="14" t="str">
        <f>IF(X993="","",IFERROR(INDEX($AL$11:$AL$4010,MATCH(983,$AY$11:$AY$4010,0)),""))</f>
        <v/>
      </c>
      <c r="X993" s="12" t="str">
        <f>IFERROR(INDEX($AM$11:$AM$4010,MATCH(983,$AY$11:$AY$4010,0)),"")</f>
        <v/>
      </c>
      <c r="Y993" s="11" t="str">
        <f>IF(X993="","",IFERROR(INDEX($AN$11:$AN$4010,MATCH(983,$AY$11:$AY$4010,0)),""))</f>
        <v/>
      </c>
      <c r="Z993" s="11" t="str">
        <f>IF(X993="","",IFERROR(INDEX($AO$11:$AO$4010,MATCH(983,$AY$11:$AY$4010,0)),""))</f>
        <v/>
      </c>
      <c r="AA993" s="10" t="str">
        <f>IF(X993="","",IFERROR(INDEX($AQ$11:$AQ$4010,MATCH(983,$AY$11:$AY$4010,0)),""))</f>
        <v/>
      </c>
      <c r="AB993" s="15" t="str">
        <f>IF(X993="","",IFERROR(INDEX($AR$11:$AR$4010,MATCH(983,$AY$11:$AY$4010,0)),""))</f>
        <v/>
      </c>
      <c r="AD993" s="16" t="str">
        <f>IF(AE993="","",IFERROR(INDEX($AL$11:$AL$4010,MATCH(983,$AZ$11:$AZ$4010,0)),""))</f>
        <v/>
      </c>
      <c r="AE993" s="12" t="str">
        <f>IFERROR(INDEX($AM$11:$AM$4010,MATCH(983,$AZ$11:$AZ$4010,0)),"")</f>
        <v/>
      </c>
      <c r="AF993" s="11" t="str">
        <f>IF(AE993="","",IFERROR(INDEX($AN$11:$AN$4010,MATCH(983,$AZ$11:$AZ$4010,0)),""))</f>
        <v/>
      </c>
      <c r="AG993" s="11" t="str">
        <f>IF(AE993="","",IFERROR(INDEX($AO$11:$AO$4010,MATCH(983,$AZ$11:$AZ$4010,0)),""))</f>
        <v/>
      </c>
      <c r="AH993" s="10" t="str">
        <f>IF(AE993="","",IFERROR(INDEX($AQ$11:$AQ$4010,MATCH(983,$AZ$11:$AZ$4010,0)),""))</f>
        <v/>
      </c>
      <c r="AI993" s="15" t="str">
        <f>IF(AE993="","",IFERROR(INDEX($AR$11:$AR$4010,MATCH(983,$AZ$11:$AZ$4010,0)),""))</f>
        <v/>
      </c>
      <c r="AJ993" s="15" t="str">
        <f>IF(AE993="","",IFERROR(INDEX($AT$11:$AT$4010,MATCH(983,$AZ$11:$AZ$4010,0)),""))</f>
        <v/>
      </c>
      <c r="AL993" s="17"/>
      <c r="AM993" s="12"/>
      <c r="AN993" s="18"/>
      <c r="AO993" s="18"/>
      <c r="AP993" s="10"/>
      <c r="AQ993" s="10"/>
      <c r="AR993" s="19"/>
      <c r="AS993" s="20"/>
      <c r="AT993" s="19"/>
      <c r="AV993" s="21">
        <f>IF(AND($AL993&lt;&gt;"",COUNTIF($AL$11:$AL993,$AL993)=1),1,0)</f>
        <v>0</v>
      </c>
      <c r="AW993" s="21">
        <f t="shared" si="117"/>
        <v>2</v>
      </c>
      <c r="AX993" s="21" t="str">
        <f t="shared" si="116"/>
        <v/>
      </c>
      <c r="AY993" s="21" t="str">
        <f>IF(AND($AM993&lt;&gt;"",$AS993&lt;&gt;"✓"),SUMPRODUCT(($AM$11:$AM993&lt;&gt;"")*($AS$11:$AS993&lt;&gt;"✓")),"")</f>
        <v/>
      </c>
      <c r="AZ993" s="21" t="str">
        <f>IF(AND($AM993&lt;&gt;"",$AS993="✓"),SUMPRODUCT(($AM$11:$AM993&lt;&gt;"")*($AS$11:$AS993="✓")),"")</f>
        <v/>
      </c>
      <c r="BA993" s="21" t="str">
        <f>IF($AL993="","",$AL993&amp;"|"&amp;COUNTIF($AL$11:$AL993,$AL993))</f>
        <v/>
      </c>
    </row>
    <row r="994" spans="23:53" ht="15" customHeight="1" x14ac:dyDescent="0.25">
      <c r="W994" s="28" t="str">
        <f>IF(X994="","",IFERROR(INDEX($AL$11:$AL$4010,MATCH(984,$AY$11:$AY$4010,0)),""))</f>
        <v/>
      </c>
      <c r="X994" s="26" t="str">
        <f>IFERROR(INDEX($AM$11:$AM$4010,MATCH(984,$AY$11:$AY$4010,0)),"")</f>
        <v/>
      </c>
      <c r="Y994" s="25" t="str">
        <f>IF(X994="","",IFERROR(INDEX($AN$11:$AN$4010,MATCH(984,$AY$11:$AY$4010,0)),""))</f>
        <v/>
      </c>
      <c r="Z994" s="25" t="str">
        <f>IF(X994="","",IFERROR(INDEX($AO$11:$AO$4010,MATCH(984,$AY$11:$AY$4010,0)),""))</f>
        <v/>
      </c>
      <c r="AA994" s="24" t="str">
        <f>IF(X994="","",IFERROR(INDEX($AQ$11:$AQ$4010,MATCH(984,$AY$11:$AY$4010,0)),""))</f>
        <v/>
      </c>
      <c r="AB994" s="29" t="str">
        <f>IF(X994="","",IFERROR(INDEX($AR$11:$AR$4010,MATCH(984,$AY$11:$AY$4010,0)),""))</f>
        <v/>
      </c>
      <c r="AD994" s="30" t="str">
        <f>IF(AE994="","",IFERROR(INDEX($AL$11:$AL$4010,MATCH(984,$AZ$11:$AZ$4010,0)),""))</f>
        <v/>
      </c>
      <c r="AE994" s="26" t="str">
        <f>IFERROR(INDEX($AM$11:$AM$4010,MATCH(984,$AZ$11:$AZ$4010,0)),"")</f>
        <v/>
      </c>
      <c r="AF994" s="25" t="str">
        <f>IF(AE994="","",IFERROR(INDEX($AN$11:$AN$4010,MATCH(984,$AZ$11:$AZ$4010,0)),""))</f>
        <v/>
      </c>
      <c r="AG994" s="25" t="str">
        <f>IF(AE994="","",IFERROR(INDEX($AO$11:$AO$4010,MATCH(984,$AZ$11:$AZ$4010,0)),""))</f>
        <v/>
      </c>
      <c r="AH994" s="24" t="str">
        <f>IF(AE994="","",IFERROR(INDEX($AQ$11:$AQ$4010,MATCH(984,$AZ$11:$AZ$4010,0)),""))</f>
        <v/>
      </c>
      <c r="AI994" s="29" t="str">
        <f>IF(AE994="","",IFERROR(INDEX($AR$11:$AR$4010,MATCH(984,$AZ$11:$AZ$4010,0)),""))</f>
        <v/>
      </c>
      <c r="AJ994" s="29" t="str">
        <f>IF(AE994="","",IFERROR(INDEX($AT$11:$AT$4010,MATCH(984,$AZ$11:$AZ$4010,0)),""))</f>
        <v/>
      </c>
      <c r="AL994" s="31"/>
      <c r="AM994" s="26"/>
      <c r="AN994" s="32"/>
      <c r="AO994" s="32"/>
      <c r="AP994" s="24"/>
      <c r="AQ994" s="24"/>
      <c r="AR994" s="33"/>
      <c r="AS994" s="34"/>
      <c r="AT994" s="33"/>
      <c r="AV994" s="21">
        <f>IF(AND($AL994&lt;&gt;"",COUNTIF($AL$11:$AL994,$AL994)=1),1,0)</f>
        <v>0</v>
      </c>
      <c r="AW994" s="21">
        <f t="shared" si="117"/>
        <v>2</v>
      </c>
      <c r="AX994" s="21" t="str">
        <f t="shared" si="116"/>
        <v/>
      </c>
      <c r="AY994" s="21" t="str">
        <f>IF(AND($AM994&lt;&gt;"",$AS994&lt;&gt;"✓"),SUMPRODUCT(($AM$11:$AM994&lt;&gt;"")*($AS$11:$AS994&lt;&gt;"✓")),"")</f>
        <v/>
      </c>
      <c r="AZ994" s="21" t="str">
        <f>IF(AND($AM994&lt;&gt;"",$AS994="✓"),SUMPRODUCT(($AM$11:$AM994&lt;&gt;"")*($AS$11:$AS994="✓")),"")</f>
        <v/>
      </c>
      <c r="BA994" s="21" t="str">
        <f>IF($AL994="","",$AL994&amp;"|"&amp;COUNTIF($AL$11:$AL994,$AL994))</f>
        <v/>
      </c>
    </row>
    <row r="995" spans="23:53" ht="15" customHeight="1" x14ac:dyDescent="0.25">
      <c r="W995" s="14" t="str">
        <f>IF(X995="","",IFERROR(INDEX($AL$11:$AL$4010,MATCH(985,$AY$11:$AY$4010,0)),""))</f>
        <v/>
      </c>
      <c r="X995" s="12" t="str">
        <f>IFERROR(INDEX($AM$11:$AM$4010,MATCH(985,$AY$11:$AY$4010,0)),"")</f>
        <v/>
      </c>
      <c r="Y995" s="11" t="str">
        <f>IF(X995="","",IFERROR(INDEX($AN$11:$AN$4010,MATCH(985,$AY$11:$AY$4010,0)),""))</f>
        <v/>
      </c>
      <c r="Z995" s="11" t="str">
        <f>IF(X995="","",IFERROR(INDEX($AO$11:$AO$4010,MATCH(985,$AY$11:$AY$4010,0)),""))</f>
        <v/>
      </c>
      <c r="AA995" s="10" t="str">
        <f>IF(X995="","",IFERROR(INDEX($AQ$11:$AQ$4010,MATCH(985,$AY$11:$AY$4010,0)),""))</f>
        <v/>
      </c>
      <c r="AB995" s="15" t="str">
        <f>IF(X995="","",IFERROR(INDEX($AR$11:$AR$4010,MATCH(985,$AY$11:$AY$4010,0)),""))</f>
        <v/>
      </c>
      <c r="AD995" s="16" t="str">
        <f>IF(AE995="","",IFERROR(INDEX($AL$11:$AL$4010,MATCH(985,$AZ$11:$AZ$4010,0)),""))</f>
        <v/>
      </c>
      <c r="AE995" s="12" t="str">
        <f>IFERROR(INDEX($AM$11:$AM$4010,MATCH(985,$AZ$11:$AZ$4010,0)),"")</f>
        <v/>
      </c>
      <c r="AF995" s="11" t="str">
        <f>IF(AE995="","",IFERROR(INDEX($AN$11:$AN$4010,MATCH(985,$AZ$11:$AZ$4010,0)),""))</f>
        <v/>
      </c>
      <c r="AG995" s="11" t="str">
        <f>IF(AE995="","",IFERROR(INDEX($AO$11:$AO$4010,MATCH(985,$AZ$11:$AZ$4010,0)),""))</f>
        <v/>
      </c>
      <c r="AH995" s="10" t="str">
        <f>IF(AE995="","",IFERROR(INDEX($AQ$11:$AQ$4010,MATCH(985,$AZ$11:$AZ$4010,0)),""))</f>
        <v/>
      </c>
      <c r="AI995" s="15" t="str">
        <f>IF(AE995="","",IFERROR(INDEX($AR$11:$AR$4010,MATCH(985,$AZ$11:$AZ$4010,0)),""))</f>
        <v/>
      </c>
      <c r="AJ995" s="15" t="str">
        <f>IF(AE995="","",IFERROR(INDEX($AT$11:$AT$4010,MATCH(985,$AZ$11:$AZ$4010,0)),""))</f>
        <v/>
      </c>
      <c r="AL995" s="17"/>
      <c r="AM995" s="12"/>
      <c r="AN995" s="18"/>
      <c r="AO995" s="18"/>
      <c r="AP995" s="10"/>
      <c r="AQ995" s="10"/>
      <c r="AR995" s="19"/>
      <c r="AS995" s="20"/>
      <c r="AT995" s="19"/>
      <c r="AV995" s="21">
        <f>IF(AND($AL995&lt;&gt;"",COUNTIF($AL$11:$AL995,$AL995)=1),1,0)</f>
        <v>0</v>
      </c>
      <c r="AW995" s="21">
        <f t="shared" si="117"/>
        <v>2</v>
      </c>
      <c r="AX995" s="21" t="str">
        <f t="shared" si="116"/>
        <v/>
      </c>
      <c r="AY995" s="21" t="str">
        <f>IF(AND($AM995&lt;&gt;"",$AS995&lt;&gt;"✓"),SUMPRODUCT(($AM$11:$AM995&lt;&gt;"")*($AS$11:$AS995&lt;&gt;"✓")),"")</f>
        <v/>
      </c>
      <c r="AZ995" s="21" t="str">
        <f>IF(AND($AM995&lt;&gt;"",$AS995="✓"),SUMPRODUCT(($AM$11:$AM995&lt;&gt;"")*($AS$11:$AS995="✓")),"")</f>
        <v/>
      </c>
      <c r="BA995" s="21" t="str">
        <f>IF($AL995="","",$AL995&amp;"|"&amp;COUNTIF($AL$11:$AL995,$AL995))</f>
        <v/>
      </c>
    </row>
    <row r="996" spans="23:53" ht="15" customHeight="1" x14ac:dyDescent="0.25">
      <c r="W996" s="28" t="str">
        <f>IF(X996="","",IFERROR(INDEX($AL$11:$AL$4010,MATCH(986,$AY$11:$AY$4010,0)),""))</f>
        <v/>
      </c>
      <c r="X996" s="26" t="str">
        <f>IFERROR(INDEX($AM$11:$AM$4010,MATCH(986,$AY$11:$AY$4010,0)),"")</f>
        <v/>
      </c>
      <c r="Y996" s="25" t="str">
        <f>IF(X996="","",IFERROR(INDEX($AN$11:$AN$4010,MATCH(986,$AY$11:$AY$4010,0)),""))</f>
        <v/>
      </c>
      <c r="Z996" s="25" t="str">
        <f>IF(X996="","",IFERROR(INDEX($AO$11:$AO$4010,MATCH(986,$AY$11:$AY$4010,0)),""))</f>
        <v/>
      </c>
      <c r="AA996" s="24" t="str">
        <f>IF(X996="","",IFERROR(INDEX($AQ$11:$AQ$4010,MATCH(986,$AY$11:$AY$4010,0)),""))</f>
        <v/>
      </c>
      <c r="AB996" s="29" t="str">
        <f>IF(X996="","",IFERROR(INDEX($AR$11:$AR$4010,MATCH(986,$AY$11:$AY$4010,0)),""))</f>
        <v/>
      </c>
      <c r="AD996" s="30" t="str">
        <f>IF(AE996="","",IFERROR(INDEX($AL$11:$AL$4010,MATCH(986,$AZ$11:$AZ$4010,0)),""))</f>
        <v/>
      </c>
      <c r="AE996" s="26" t="str">
        <f>IFERROR(INDEX($AM$11:$AM$4010,MATCH(986,$AZ$11:$AZ$4010,0)),"")</f>
        <v/>
      </c>
      <c r="AF996" s="25" t="str">
        <f>IF(AE996="","",IFERROR(INDEX($AN$11:$AN$4010,MATCH(986,$AZ$11:$AZ$4010,0)),""))</f>
        <v/>
      </c>
      <c r="AG996" s="25" t="str">
        <f>IF(AE996="","",IFERROR(INDEX($AO$11:$AO$4010,MATCH(986,$AZ$11:$AZ$4010,0)),""))</f>
        <v/>
      </c>
      <c r="AH996" s="24" t="str">
        <f>IF(AE996="","",IFERROR(INDEX($AQ$11:$AQ$4010,MATCH(986,$AZ$11:$AZ$4010,0)),""))</f>
        <v/>
      </c>
      <c r="AI996" s="29" t="str">
        <f>IF(AE996="","",IFERROR(INDEX($AR$11:$AR$4010,MATCH(986,$AZ$11:$AZ$4010,0)),""))</f>
        <v/>
      </c>
      <c r="AJ996" s="29" t="str">
        <f>IF(AE996="","",IFERROR(INDEX($AT$11:$AT$4010,MATCH(986,$AZ$11:$AZ$4010,0)),""))</f>
        <v/>
      </c>
      <c r="AL996" s="31"/>
      <c r="AM996" s="26"/>
      <c r="AN996" s="32"/>
      <c r="AO996" s="32"/>
      <c r="AP996" s="24"/>
      <c r="AQ996" s="24"/>
      <c r="AR996" s="33"/>
      <c r="AS996" s="34"/>
      <c r="AT996" s="33"/>
      <c r="AV996" s="21">
        <f>IF(AND($AL996&lt;&gt;"",COUNTIF($AL$11:$AL996,$AL996)=1),1,0)</f>
        <v>0</v>
      </c>
      <c r="AW996" s="21">
        <f t="shared" si="117"/>
        <v>2</v>
      </c>
      <c r="AX996" s="21" t="str">
        <f t="shared" si="116"/>
        <v/>
      </c>
      <c r="AY996" s="21" t="str">
        <f>IF(AND($AM996&lt;&gt;"",$AS996&lt;&gt;"✓"),SUMPRODUCT(($AM$11:$AM996&lt;&gt;"")*($AS$11:$AS996&lt;&gt;"✓")),"")</f>
        <v/>
      </c>
      <c r="AZ996" s="21" t="str">
        <f>IF(AND($AM996&lt;&gt;"",$AS996="✓"),SUMPRODUCT(($AM$11:$AM996&lt;&gt;"")*($AS$11:$AS996="✓")),"")</f>
        <v/>
      </c>
      <c r="BA996" s="21" t="str">
        <f>IF($AL996="","",$AL996&amp;"|"&amp;COUNTIF($AL$11:$AL996,$AL996))</f>
        <v/>
      </c>
    </row>
    <row r="997" spans="23:53" ht="15" customHeight="1" x14ac:dyDescent="0.25">
      <c r="W997" s="14" t="str">
        <f>IF(X997="","",IFERROR(INDEX($AL$11:$AL$4010,MATCH(987,$AY$11:$AY$4010,0)),""))</f>
        <v/>
      </c>
      <c r="X997" s="12" t="str">
        <f>IFERROR(INDEX($AM$11:$AM$4010,MATCH(987,$AY$11:$AY$4010,0)),"")</f>
        <v/>
      </c>
      <c r="Y997" s="11" t="str">
        <f>IF(X997="","",IFERROR(INDEX($AN$11:$AN$4010,MATCH(987,$AY$11:$AY$4010,0)),""))</f>
        <v/>
      </c>
      <c r="Z997" s="11" t="str">
        <f>IF(X997="","",IFERROR(INDEX($AO$11:$AO$4010,MATCH(987,$AY$11:$AY$4010,0)),""))</f>
        <v/>
      </c>
      <c r="AA997" s="10" t="str">
        <f>IF(X997="","",IFERROR(INDEX($AQ$11:$AQ$4010,MATCH(987,$AY$11:$AY$4010,0)),""))</f>
        <v/>
      </c>
      <c r="AB997" s="15" t="str">
        <f>IF(X997="","",IFERROR(INDEX($AR$11:$AR$4010,MATCH(987,$AY$11:$AY$4010,0)),""))</f>
        <v/>
      </c>
      <c r="AD997" s="16" t="str">
        <f>IF(AE997="","",IFERROR(INDEX($AL$11:$AL$4010,MATCH(987,$AZ$11:$AZ$4010,0)),""))</f>
        <v/>
      </c>
      <c r="AE997" s="12" t="str">
        <f>IFERROR(INDEX($AM$11:$AM$4010,MATCH(987,$AZ$11:$AZ$4010,0)),"")</f>
        <v/>
      </c>
      <c r="AF997" s="11" t="str">
        <f>IF(AE997="","",IFERROR(INDEX($AN$11:$AN$4010,MATCH(987,$AZ$11:$AZ$4010,0)),""))</f>
        <v/>
      </c>
      <c r="AG997" s="11" t="str">
        <f>IF(AE997="","",IFERROR(INDEX($AO$11:$AO$4010,MATCH(987,$AZ$11:$AZ$4010,0)),""))</f>
        <v/>
      </c>
      <c r="AH997" s="10" t="str">
        <f>IF(AE997="","",IFERROR(INDEX($AQ$11:$AQ$4010,MATCH(987,$AZ$11:$AZ$4010,0)),""))</f>
        <v/>
      </c>
      <c r="AI997" s="15" t="str">
        <f>IF(AE997="","",IFERROR(INDEX($AR$11:$AR$4010,MATCH(987,$AZ$11:$AZ$4010,0)),""))</f>
        <v/>
      </c>
      <c r="AJ997" s="15" t="str">
        <f>IF(AE997="","",IFERROR(INDEX($AT$11:$AT$4010,MATCH(987,$AZ$11:$AZ$4010,0)),""))</f>
        <v/>
      </c>
      <c r="AL997" s="17"/>
      <c r="AM997" s="12"/>
      <c r="AN997" s="18"/>
      <c r="AO997" s="18"/>
      <c r="AP997" s="10"/>
      <c r="AQ997" s="10"/>
      <c r="AR997" s="19"/>
      <c r="AS997" s="20"/>
      <c r="AT997" s="19"/>
      <c r="AV997" s="21">
        <f>IF(AND($AL997&lt;&gt;"",COUNTIF($AL$11:$AL997,$AL997)=1),1,0)</f>
        <v>0</v>
      </c>
      <c r="AW997" s="21">
        <f t="shared" si="117"/>
        <v>2</v>
      </c>
      <c r="AX997" s="21" t="str">
        <f t="shared" si="116"/>
        <v/>
      </c>
      <c r="AY997" s="21" t="str">
        <f>IF(AND($AM997&lt;&gt;"",$AS997&lt;&gt;"✓"),SUMPRODUCT(($AM$11:$AM997&lt;&gt;"")*($AS$11:$AS997&lt;&gt;"✓")),"")</f>
        <v/>
      </c>
      <c r="AZ997" s="21" t="str">
        <f>IF(AND($AM997&lt;&gt;"",$AS997="✓"),SUMPRODUCT(($AM$11:$AM997&lt;&gt;"")*($AS$11:$AS997="✓")),"")</f>
        <v/>
      </c>
      <c r="BA997" s="21" t="str">
        <f>IF($AL997="","",$AL997&amp;"|"&amp;COUNTIF($AL$11:$AL997,$AL997))</f>
        <v/>
      </c>
    </row>
    <row r="998" spans="23:53" ht="15" customHeight="1" x14ac:dyDescent="0.25">
      <c r="W998" s="28" t="str">
        <f>IF(X998="","",IFERROR(INDEX($AL$11:$AL$4010,MATCH(988,$AY$11:$AY$4010,0)),""))</f>
        <v/>
      </c>
      <c r="X998" s="26" t="str">
        <f>IFERROR(INDEX($AM$11:$AM$4010,MATCH(988,$AY$11:$AY$4010,0)),"")</f>
        <v/>
      </c>
      <c r="Y998" s="25" t="str">
        <f>IF(X998="","",IFERROR(INDEX($AN$11:$AN$4010,MATCH(988,$AY$11:$AY$4010,0)),""))</f>
        <v/>
      </c>
      <c r="Z998" s="25" t="str">
        <f>IF(X998="","",IFERROR(INDEX($AO$11:$AO$4010,MATCH(988,$AY$11:$AY$4010,0)),""))</f>
        <v/>
      </c>
      <c r="AA998" s="24" t="str">
        <f>IF(X998="","",IFERROR(INDEX($AQ$11:$AQ$4010,MATCH(988,$AY$11:$AY$4010,0)),""))</f>
        <v/>
      </c>
      <c r="AB998" s="29" t="str">
        <f>IF(X998="","",IFERROR(INDEX($AR$11:$AR$4010,MATCH(988,$AY$11:$AY$4010,0)),""))</f>
        <v/>
      </c>
      <c r="AD998" s="30" t="str">
        <f>IF(AE998="","",IFERROR(INDEX($AL$11:$AL$4010,MATCH(988,$AZ$11:$AZ$4010,0)),""))</f>
        <v/>
      </c>
      <c r="AE998" s="26" t="str">
        <f>IFERROR(INDEX($AM$11:$AM$4010,MATCH(988,$AZ$11:$AZ$4010,0)),"")</f>
        <v/>
      </c>
      <c r="AF998" s="25" t="str">
        <f>IF(AE998="","",IFERROR(INDEX($AN$11:$AN$4010,MATCH(988,$AZ$11:$AZ$4010,0)),""))</f>
        <v/>
      </c>
      <c r="AG998" s="25" t="str">
        <f>IF(AE998="","",IFERROR(INDEX($AO$11:$AO$4010,MATCH(988,$AZ$11:$AZ$4010,0)),""))</f>
        <v/>
      </c>
      <c r="AH998" s="24" t="str">
        <f>IF(AE998="","",IFERROR(INDEX($AQ$11:$AQ$4010,MATCH(988,$AZ$11:$AZ$4010,0)),""))</f>
        <v/>
      </c>
      <c r="AI998" s="29" t="str">
        <f>IF(AE998="","",IFERROR(INDEX($AR$11:$AR$4010,MATCH(988,$AZ$11:$AZ$4010,0)),""))</f>
        <v/>
      </c>
      <c r="AJ998" s="29" t="str">
        <f>IF(AE998="","",IFERROR(INDEX($AT$11:$AT$4010,MATCH(988,$AZ$11:$AZ$4010,0)),""))</f>
        <v/>
      </c>
      <c r="AL998" s="31"/>
      <c r="AM998" s="26"/>
      <c r="AN998" s="32"/>
      <c r="AO998" s="32"/>
      <c r="AP998" s="24"/>
      <c r="AQ998" s="24"/>
      <c r="AR998" s="33"/>
      <c r="AS998" s="34"/>
      <c r="AT998" s="33"/>
      <c r="AV998" s="21">
        <f>IF(AND($AL998&lt;&gt;"",COUNTIF($AL$11:$AL998,$AL998)=1),1,0)</f>
        <v>0</v>
      </c>
      <c r="AW998" s="21">
        <f t="shared" si="117"/>
        <v>2</v>
      </c>
      <c r="AX998" s="21" t="str">
        <f t="shared" si="116"/>
        <v/>
      </c>
      <c r="AY998" s="21" t="str">
        <f>IF(AND($AM998&lt;&gt;"",$AS998&lt;&gt;"✓"),SUMPRODUCT(($AM$11:$AM998&lt;&gt;"")*($AS$11:$AS998&lt;&gt;"✓")),"")</f>
        <v/>
      </c>
      <c r="AZ998" s="21" t="str">
        <f>IF(AND($AM998&lt;&gt;"",$AS998="✓"),SUMPRODUCT(($AM$11:$AM998&lt;&gt;"")*($AS$11:$AS998="✓")),"")</f>
        <v/>
      </c>
      <c r="BA998" s="21" t="str">
        <f>IF($AL998="","",$AL998&amp;"|"&amp;COUNTIF($AL$11:$AL998,$AL998))</f>
        <v/>
      </c>
    </row>
    <row r="999" spans="23:53" ht="15" customHeight="1" x14ac:dyDescent="0.25">
      <c r="W999" s="14" t="str">
        <f>IF(X999="","",IFERROR(INDEX($AL$11:$AL$4010,MATCH(989,$AY$11:$AY$4010,0)),""))</f>
        <v/>
      </c>
      <c r="X999" s="12" t="str">
        <f>IFERROR(INDEX($AM$11:$AM$4010,MATCH(989,$AY$11:$AY$4010,0)),"")</f>
        <v/>
      </c>
      <c r="Y999" s="11" t="str">
        <f>IF(X999="","",IFERROR(INDEX($AN$11:$AN$4010,MATCH(989,$AY$11:$AY$4010,0)),""))</f>
        <v/>
      </c>
      <c r="Z999" s="11" t="str">
        <f>IF(X999="","",IFERROR(INDEX($AO$11:$AO$4010,MATCH(989,$AY$11:$AY$4010,0)),""))</f>
        <v/>
      </c>
      <c r="AA999" s="10" t="str">
        <f>IF(X999="","",IFERROR(INDEX($AQ$11:$AQ$4010,MATCH(989,$AY$11:$AY$4010,0)),""))</f>
        <v/>
      </c>
      <c r="AB999" s="15" t="str">
        <f>IF(X999="","",IFERROR(INDEX($AR$11:$AR$4010,MATCH(989,$AY$11:$AY$4010,0)),""))</f>
        <v/>
      </c>
      <c r="AD999" s="16" t="str">
        <f>IF(AE999="","",IFERROR(INDEX($AL$11:$AL$4010,MATCH(989,$AZ$11:$AZ$4010,0)),""))</f>
        <v/>
      </c>
      <c r="AE999" s="12" t="str">
        <f>IFERROR(INDEX($AM$11:$AM$4010,MATCH(989,$AZ$11:$AZ$4010,0)),"")</f>
        <v/>
      </c>
      <c r="AF999" s="11" t="str">
        <f>IF(AE999="","",IFERROR(INDEX($AN$11:$AN$4010,MATCH(989,$AZ$11:$AZ$4010,0)),""))</f>
        <v/>
      </c>
      <c r="AG999" s="11" t="str">
        <f>IF(AE999="","",IFERROR(INDEX($AO$11:$AO$4010,MATCH(989,$AZ$11:$AZ$4010,0)),""))</f>
        <v/>
      </c>
      <c r="AH999" s="10" t="str">
        <f>IF(AE999="","",IFERROR(INDEX($AQ$11:$AQ$4010,MATCH(989,$AZ$11:$AZ$4010,0)),""))</f>
        <v/>
      </c>
      <c r="AI999" s="15" t="str">
        <f>IF(AE999="","",IFERROR(INDEX($AR$11:$AR$4010,MATCH(989,$AZ$11:$AZ$4010,0)),""))</f>
        <v/>
      </c>
      <c r="AJ999" s="15" t="str">
        <f>IF(AE999="","",IFERROR(INDEX($AT$11:$AT$4010,MATCH(989,$AZ$11:$AZ$4010,0)),""))</f>
        <v/>
      </c>
      <c r="AL999" s="17"/>
      <c r="AM999" s="12"/>
      <c r="AN999" s="18"/>
      <c r="AO999" s="18"/>
      <c r="AP999" s="10"/>
      <c r="AQ999" s="10"/>
      <c r="AR999" s="19"/>
      <c r="AS999" s="20"/>
      <c r="AT999" s="19"/>
      <c r="AV999" s="21">
        <f>IF(AND($AL999&lt;&gt;"",COUNTIF($AL$11:$AL999,$AL999)=1),1,0)</f>
        <v>0</v>
      </c>
      <c r="AW999" s="21">
        <f t="shared" si="117"/>
        <v>2</v>
      </c>
      <c r="AX999" s="21" t="str">
        <f t="shared" si="116"/>
        <v/>
      </c>
      <c r="AY999" s="21" t="str">
        <f>IF(AND($AM999&lt;&gt;"",$AS999&lt;&gt;"✓"),SUMPRODUCT(($AM$11:$AM999&lt;&gt;"")*($AS$11:$AS999&lt;&gt;"✓")),"")</f>
        <v/>
      </c>
      <c r="AZ999" s="21" t="str">
        <f>IF(AND($AM999&lt;&gt;"",$AS999="✓"),SUMPRODUCT(($AM$11:$AM999&lt;&gt;"")*($AS$11:$AS999="✓")),"")</f>
        <v/>
      </c>
      <c r="BA999" s="21" t="str">
        <f>IF($AL999="","",$AL999&amp;"|"&amp;COUNTIF($AL$11:$AL999,$AL999))</f>
        <v/>
      </c>
    </row>
    <row r="1000" spans="23:53" ht="15" customHeight="1" x14ac:dyDescent="0.25">
      <c r="W1000" s="28" t="str">
        <f>IF(X1000="","",IFERROR(INDEX($AL$11:$AL$4010,MATCH(990,$AY$11:$AY$4010,0)),""))</f>
        <v/>
      </c>
      <c r="X1000" s="26" t="str">
        <f>IFERROR(INDEX($AM$11:$AM$4010,MATCH(990,$AY$11:$AY$4010,0)),"")</f>
        <v/>
      </c>
      <c r="Y1000" s="25" t="str">
        <f>IF(X1000="","",IFERROR(INDEX($AN$11:$AN$4010,MATCH(990,$AY$11:$AY$4010,0)),""))</f>
        <v/>
      </c>
      <c r="Z1000" s="25" t="str">
        <f>IF(X1000="","",IFERROR(INDEX($AO$11:$AO$4010,MATCH(990,$AY$11:$AY$4010,0)),""))</f>
        <v/>
      </c>
      <c r="AA1000" s="24" t="str">
        <f>IF(X1000="","",IFERROR(INDEX($AQ$11:$AQ$4010,MATCH(990,$AY$11:$AY$4010,0)),""))</f>
        <v/>
      </c>
      <c r="AB1000" s="29" t="str">
        <f>IF(X1000="","",IFERROR(INDEX($AR$11:$AR$4010,MATCH(990,$AY$11:$AY$4010,0)),""))</f>
        <v/>
      </c>
      <c r="AD1000" s="30" t="str">
        <f>IF(AE1000="","",IFERROR(INDEX($AL$11:$AL$4010,MATCH(990,$AZ$11:$AZ$4010,0)),""))</f>
        <v/>
      </c>
      <c r="AE1000" s="26" t="str">
        <f>IFERROR(INDEX($AM$11:$AM$4010,MATCH(990,$AZ$11:$AZ$4010,0)),"")</f>
        <v/>
      </c>
      <c r="AF1000" s="25" t="str">
        <f>IF(AE1000="","",IFERROR(INDEX($AN$11:$AN$4010,MATCH(990,$AZ$11:$AZ$4010,0)),""))</f>
        <v/>
      </c>
      <c r="AG1000" s="25" t="str">
        <f>IF(AE1000="","",IFERROR(INDEX($AO$11:$AO$4010,MATCH(990,$AZ$11:$AZ$4010,0)),""))</f>
        <v/>
      </c>
      <c r="AH1000" s="24" t="str">
        <f>IF(AE1000="","",IFERROR(INDEX($AQ$11:$AQ$4010,MATCH(990,$AZ$11:$AZ$4010,0)),""))</f>
        <v/>
      </c>
      <c r="AI1000" s="29" t="str">
        <f>IF(AE1000="","",IFERROR(INDEX($AR$11:$AR$4010,MATCH(990,$AZ$11:$AZ$4010,0)),""))</f>
        <v/>
      </c>
      <c r="AJ1000" s="29" t="str">
        <f>IF(AE1000="","",IFERROR(INDEX($AT$11:$AT$4010,MATCH(990,$AZ$11:$AZ$4010,0)),""))</f>
        <v/>
      </c>
      <c r="AL1000" s="31"/>
      <c r="AM1000" s="26"/>
      <c r="AN1000" s="32"/>
      <c r="AO1000" s="32"/>
      <c r="AP1000" s="24"/>
      <c r="AQ1000" s="24"/>
      <c r="AR1000" s="33"/>
      <c r="AS1000" s="34"/>
      <c r="AT1000" s="33"/>
      <c r="AV1000" s="21">
        <f>IF(AND($AL1000&lt;&gt;"",COUNTIF($AL$11:$AL1000,$AL1000)=1),1,0)</f>
        <v>0</v>
      </c>
      <c r="AW1000" s="21">
        <f t="shared" si="117"/>
        <v>2</v>
      </c>
      <c r="AX1000" s="21" t="str">
        <f t="shared" si="116"/>
        <v/>
      </c>
      <c r="AY1000" s="21" t="str">
        <f>IF(AND($AM1000&lt;&gt;"",$AS1000&lt;&gt;"✓"),SUMPRODUCT(($AM$11:$AM1000&lt;&gt;"")*($AS$11:$AS1000&lt;&gt;"✓")),"")</f>
        <v/>
      </c>
      <c r="AZ1000" s="21" t="str">
        <f>IF(AND($AM1000&lt;&gt;"",$AS1000="✓"),SUMPRODUCT(($AM$11:$AM1000&lt;&gt;"")*($AS$11:$AS1000="✓")),"")</f>
        <v/>
      </c>
      <c r="BA1000" s="21" t="str">
        <f>IF($AL1000="","",$AL1000&amp;"|"&amp;COUNTIF($AL$11:$AL1000,$AL1000))</f>
        <v/>
      </c>
    </row>
    <row r="1001" spans="23:53" ht="15" customHeight="1" x14ac:dyDescent="0.25">
      <c r="W1001" s="14" t="str">
        <f>IF(X1001="","",IFERROR(INDEX($AL$11:$AL$4010,MATCH(991,$AY$11:$AY$4010,0)),""))</f>
        <v/>
      </c>
      <c r="X1001" s="12" t="str">
        <f>IFERROR(INDEX($AM$11:$AM$4010,MATCH(991,$AY$11:$AY$4010,0)),"")</f>
        <v/>
      </c>
      <c r="Y1001" s="11" t="str">
        <f>IF(X1001="","",IFERROR(INDEX($AN$11:$AN$4010,MATCH(991,$AY$11:$AY$4010,0)),""))</f>
        <v/>
      </c>
      <c r="Z1001" s="11" t="str">
        <f>IF(X1001="","",IFERROR(INDEX($AO$11:$AO$4010,MATCH(991,$AY$11:$AY$4010,0)),""))</f>
        <v/>
      </c>
      <c r="AA1001" s="10" t="str">
        <f>IF(X1001="","",IFERROR(INDEX($AQ$11:$AQ$4010,MATCH(991,$AY$11:$AY$4010,0)),""))</f>
        <v/>
      </c>
      <c r="AB1001" s="15" t="str">
        <f>IF(X1001="","",IFERROR(INDEX($AR$11:$AR$4010,MATCH(991,$AY$11:$AY$4010,0)),""))</f>
        <v/>
      </c>
      <c r="AD1001" s="16" t="str">
        <f>IF(AE1001="","",IFERROR(INDEX($AL$11:$AL$4010,MATCH(991,$AZ$11:$AZ$4010,0)),""))</f>
        <v/>
      </c>
      <c r="AE1001" s="12" t="str">
        <f>IFERROR(INDEX($AM$11:$AM$4010,MATCH(991,$AZ$11:$AZ$4010,0)),"")</f>
        <v/>
      </c>
      <c r="AF1001" s="11" t="str">
        <f>IF(AE1001="","",IFERROR(INDEX($AN$11:$AN$4010,MATCH(991,$AZ$11:$AZ$4010,0)),""))</f>
        <v/>
      </c>
      <c r="AG1001" s="11" t="str">
        <f>IF(AE1001="","",IFERROR(INDEX($AO$11:$AO$4010,MATCH(991,$AZ$11:$AZ$4010,0)),""))</f>
        <v/>
      </c>
      <c r="AH1001" s="10" t="str">
        <f>IF(AE1001="","",IFERROR(INDEX($AQ$11:$AQ$4010,MATCH(991,$AZ$11:$AZ$4010,0)),""))</f>
        <v/>
      </c>
      <c r="AI1001" s="15" t="str">
        <f>IF(AE1001="","",IFERROR(INDEX($AR$11:$AR$4010,MATCH(991,$AZ$11:$AZ$4010,0)),""))</f>
        <v/>
      </c>
      <c r="AJ1001" s="15" t="str">
        <f>IF(AE1001="","",IFERROR(INDEX($AT$11:$AT$4010,MATCH(991,$AZ$11:$AZ$4010,0)),""))</f>
        <v/>
      </c>
      <c r="AL1001" s="17"/>
      <c r="AM1001" s="12"/>
      <c r="AN1001" s="18"/>
      <c r="AO1001" s="18"/>
      <c r="AP1001" s="10"/>
      <c r="AQ1001" s="10"/>
      <c r="AR1001" s="19"/>
      <c r="AS1001" s="20"/>
      <c r="AT1001" s="19"/>
      <c r="AV1001" s="21">
        <f>IF(AND($AL1001&lt;&gt;"",COUNTIF($AL$11:$AL1001,$AL1001)=1),1,0)</f>
        <v>0</v>
      </c>
      <c r="AW1001" s="21">
        <f t="shared" si="117"/>
        <v>2</v>
      </c>
      <c r="AX1001" s="21" t="str">
        <f t="shared" si="116"/>
        <v/>
      </c>
      <c r="AY1001" s="21" t="str">
        <f>IF(AND($AM1001&lt;&gt;"",$AS1001&lt;&gt;"✓"),SUMPRODUCT(($AM$11:$AM1001&lt;&gt;"")*($AS$11:$AS1001&lt;&gt;"✓")),"")</f>
        <v/>
      </c>
      <c r="AZ1001" s="21" t="str">
        <f>IF(AND($AM1001&lt;&gt;"",$AS1001="✓"),SUMPRODUCT(($AM$11:$AM1001&lt;&gt;"")*($AS$11:$AS1001="✓")),"")</f>
        <v/>
      </c>
      <c r="BA1001" s="21" t="str">
        <f>IF($AL1001="","",$AL1001&amp;"|"&amp;COUNTIF($AL$11:$AL1001,$AL1001))</f>
        <v/>
      </c>
    </row>
    <row r="1002" spans="23:53" ht="15" customHeight="1" x14ac:dyDescent="0.25">
      <c r="W1002" s="28" t="str">
        <f>IF(X1002="","",IFERROR(INDEX($AL$11:$AL$4010,MATCH(992,$AY$11:$AY$4010,0)),""))</f>
        <v/>
      </c>
      <c r="X1002" s="26" t="str">
        <f>IFERROR(INDEX($AM$11:$AM$4010,MATCH(992,$AY$11:$AY$4010,0)),"")</f>
        <v/>
      </c>
      <c r="Y1002" s="25" t="str">
        <f>IF(X1002="","",IFERROR(INDEX($AN$11:$AN$4010,MATCH(992,$AY$11:$AY$4010,0)),""))</f>
        <v/>
      </c>
      <c r="Z1002" s="25" t="str">
        <f>IF(X1002="","",IFERROR(INDEX($AO$11:$AO$4010,MATCH(992,$AY$11:$AY$4010,0)),""))</f>
        <v/>
      </c>
      <c r="AA1002" s="24" t="str">
        <f>IF(X1002="","",IFERROR(INDEX($AQ$11:$AQ$4010,MATCH(992,$AY$11:$AY$4010,0)),""))</f>
        <v/>
      </c>
      <c r="AB1002" s="29" t="str">
        <f>IF(X1002="","",IFERROR(INDEX($AR$11:$AR$4010,MATCH(992,$AY$11:$AY$4010,0)),""))</f>
        <v/>
      </c>
      <c r="AD1002" s="30" t="str">
        <f>IF(AE1002="","",IFERROR(INDEX($AL$11:$AL$4010,MATCH(992,$AZ$11:$AZ$4010,0)),""))</f>
        <v/>
      </c>
      <c r="AE1002" s="26" t="str">
        <f>IFERROR(INDEX($AM$11:$AM$4010,MATCH(992,$AZ$11:$AZ$4010,0)),"")</f>
        <v/>
      </c>
      <c r="AF1002" s="25" t="str">
        <f>IF(AE1002="","",IFERROR(INDEX($AN$11:$AN$4010,MATCH(992,$AZ$11:$AZ$4010,0)),""))</f>
        <v/>
      </c>
      <c r="AG1002" s="25" t="str">
        <f>IF(AE1002="","",IFERROR(INDEX($AO$11:$AO$4010,MATCH(992,$AZ$11:$AZ$4010,0)),""))</f>
        <v/>
      </c>
      <c r="AH1002" s="24" t="str">
        <f>IF(AE1002="","",IFERROR(INDEX($AQ$11:$AQ$4010,MATCH(992,$AZ$11:$AZ$4010,0)),""))</f>
        <v/>
      </c>
      <c r="AI1002" s="29" t="str">
        <f>IF(AE1002="","",IFERROR(INDEX($AR$11:$AR$4010,MATCH(992,$AZ$11:$AZ$4010,0)),""))</f>
        <v/>
      </c>
      <c r="AJ1002" s="29" t="str">
        <f>IF(AE1002="","",IFERROR(INDEX($AT$11:$AT$4010,MATCH(992,$AZ$11:$AZ$4010,0)),""))</f>
        <v/>
      </c>
      <c r="AL1002" s="31"/>
      <c r="AM1002" s="26"/>
      <c r="AN1002" s="32"/>
      <c r="AO1002" s="32"/>
      <c r="AP1002" s="24"/>
      <c r="AQ1002" s="24"/>
      <c r="AR1002" s="33"/>
      <c r="AS1002" s="34"/>
      <c r="AT1002" s="33"/>
      <c r="AV1002" s="21">
        <f>IF(AND($AL1002&lt;&gt;"",COUNTIF($AL$11:$AL1002,$AL1002)=1),1,0)</f>
        <v>0</v>
      </c>
      <c r="AW1002" s="21">
        <f t="shared" si="117"/>
        <v>2</v>
      </c>
      <c r="AX1002" s="21" t="str">
        <f t="shared" si="116"/>
        <v/>
      </c>
      <c r="AY1002" s="21" t="str">
        <f>IF(AND($AM1002&lt;&gt;"",$AS1002&lt;&gt;"✓"),SUMPRODUCT(($AM$11:$AM1002&lt;&gt;"")*($AS$11:$AS1002&lt;&gt;"✓")),"")</f>
        <v/>
      </c>
      <c r="AZ1002" s="21" t="str">
        <f>IF(AND($AM1002&lt;&gt;"",$AS1002="✓"),SUMPRODUCT(($AM$11:$AM1002&lt;&gt;"")*($AS$11:$AS1002="✓")),"")</f>
        <v/>
      </c>
      <c r="BA1002" s="21" t="str">
        <f>IF($AL1002="","",$AL1002&amp;"|"&amp;COUNTIF($AL$11:$AL1002,$AL1002))</f>
        <v/>
      </c>
    </row>
    <row r="1003" spans="23:53" ht="15" customHeight="1" x14ac:dyDescent="0.25">
      <c r="W1003" s="14" t="str">
        <f>IF(X1003="","",IFERROR(INDEX($AL$11:$AL$4010,MATCH(993,$AY$11:$AY$4010,0)),""))</f>
        <v/>
      </c>
      <c r="X1003" s="12" t="str">
        <f>IFERROR(INDEX($AM$11:$AM$4010,MATCH(993,$AY$11:$AY$4010,0)),"")</f>
        <v/>
      </c>
      <c r="Y1003" s="11" t="str">
        <f>IF(X1003="","",IFERROR(INDEX($AN$11:$AN$4010,MATCH(993,$AY$11:$AY$4010,0)),""))</f>
        <v/>
      </c>
      <c r="Z1003" s="11" t="str">
        <f>IF(X1003="","",IFERROR(INDEX($AO$11:$AO$4010,MATCH(993,$AY$11:$AY$4010,0)),""))</f>
        <v/>
      </c>
      <c r="AA1003" s="10" t="str">
        <f>IF(X1003="","",IFERROR(INDEX($AQ$11:$AQ$4010,MATCH(993,$AY$11:$AY$4010,0)),""))</f>
        <v/>
      </c>
      <c r="AB1003" s="15" t="str">
        <f>IF(X1003="","",IFERROR(INDEX($AR$11:$AR$4010,MATCH(993,$AY$11:$AY$4010,0)),""))</f>
        <v/>
      </c>
      <c r="AD1003" s="16" t="str">
        <f>IF(AE1003="","",IFERROR(INDEX($AL$11:$AL$4010,MATCH(993,$AZ$11:$AZ$4010,0)),""))</f>
        <v/>
      </c>
      <c r="AE1003" s="12" t="str">
        <f>IFERROR(INDEX($AM$11:$AM$4010,MATCH(993,$AZ$11:$AZ$4010,0)),"")</f>
        <v/>
      </c>
      <c r="AF1003" s="11" t="str">
        <f>IF(AE1003="","",IFERROR(INDEX($AN$11:$AN$4010,MATCH(993,$AZ$11:$AZ$4010,0)),""))</f>
        <v/>
      </c>
      <c r="AG1003" s="11" t="str">
        <f>IF(AE1003="","",IFERROR(INDEX($AO$11:$AO$4010,MATCH(993,$AZ$11:$AZ$4010,0)),""))</f>
        <v/>
      </c>
      <c r="AH1003" s="10" t="str">
        <f>IF(AE1003="","",IFERROR(INDEX($AQ$11:$AQ$4010,MATCH(993,$AZ$11:$AZ$4010,0)),""))</f>
        <v/>
      </c>
      <c r="AI1003" s="15" t="str">
        <f>IF(AE1003="","",IFERROR(INDEX($AR$11:$AR$4010,MATCH(993,$AZ$11:$AZ$4010,0)),""))</f>
        <v/>
      </c>
      <c r="AJ1003" s="15" t="str">
        <f>IF(AE1003="","",IFERROR(INDEX($AT$11:$AT$4010,MATCH(993,$AZ$11:$AZ$4010,0)),""))</f>
        <v/>
      </c>
      <c r="AL1003" s="17"/>
      <c r="AM1003" s="12"/>
      <c r="AN1003" s="18"/>
      <c r="AO1003" s="18"/>
      <c r="AP1003" s="10"/>
      <c r="AQ1003" s="10"/>
      <c r="AR1003" s="19"/>
      <c r="AS1003" s="20"/>
      <c r="AT1003" s="19"/>
      <c r="AV1003" s="21">
        <f>IF(AND($AL1003&lt;&gt;"",COUNTIF($AL$11:$AL1003,$AL1003)=1),1,0)</f>
        <v>0</v>
      </c>
      <c r="AW1003" s="21">
        <f t="shared" si="117"/>
        <v>2</v>
      </c>
      <c r="AX1003" s="21" t="str">
        <f t="shared" si="116"/>
        <v/>
      </c>
      <c r="AY1003" s="21" t="str">
        <f>IF(AND($AM1003&lt;&gt;"",$AS1003&lt;&gt;"✓"),SUMPRODUCT(($AM$11:$AM1003&lt;&gt;"")*($AS$11:$AS1003&lt;&gt;"✓")),"")</f>
        <v/>
      </c>
      <c r="AZ1003" s="21" t="str">
        <f>IF(AND($AM1003&lt;&gt;"",$AS1003="✓"),SUMPRODUCT(($AM$11:$AM1003&lt;&gt;"")*($AS$11:$AS1003="✓")),"")</f>
        <v/>
      </c>
      <c r="BA1003" s="21" t="str">
        <f>IF($AL1003="","",$AL1003&amp;"|"&amp;COUNTIF($AL$11:$AL1003,$AL1003))</f>
        <v/>
      </c>
    </row>
    <row r="1004" spans="23:53" ht="15" customHeight="1" x14ac:dyDescent="0.25">
      <c r="W1004" s="28" t="str">
        <f>IF(X1004="","",IFERROR(INDEX($AL$11:$AL$4010,MATCH(994,$AY$11:$AY$4010,0)),""))</f>
        <v/>
      </c>
      <c r="X1004" s="26" t="str">
        <f>IFERROR(INDEX($AM$11:$AM$4010,MATCH(994,$AY$11:$AY$4010,0)),"")</f>
        <v/>
      </c>
      <c r="Y1004" s="25" t="str">
        <f>IF(X1004="","",IFERROR(INDEX($AN$11:$AN$4010,MATCH(994,$AY$11:$AY$4010,0)),""))</f>
        <v/>
      </c>
      <c r="Z1004" s="25" t="str">
        <f>IF(X1004="","",IFERROR(INDEX($AO$11:$AO$4010,MATCH(994,$AY$11:$AY$4010,0)),""))</f>
        <v/>
      </c>
      <c r="AA1004" s="24" t="str">
        <f>IF(X1004="","",IFERROR(INDEX($AQ$11:$AQ$4010,MATCH(994,$AY$11:$AY$4010,0)),""))</f>
        <v/>
      </c>
      <c r="AB1004" s="29" t="str">
        <f>IF(X1004="","",IFERROR(INDEX($AR$11:$AR$4010,MATCH(994,$AY$11:$AY$4010,0)),""))</f>
        <v/>
      </c>
      <c r="AD1004" s="30" t="str">
        <f>IF(AE1004="","",IFERROR(INDEX($AL$11:$AL$4010,MATCH(994,$AZ$11:$AZ$4010,0)),""))</f>
        <v/>
      </c>
      <c r="AE1004" s="26" t="str">
        <f>IFERROR(INDEX($AM$11:$AM$4010,MATCH(994,$AZ$11:$AZ$4010,0)),"")</f>
        <v/>
      </c>
      <c r="AF1004" s="25" t="str">
        <f>IF(AE1004="","",IFERROR(INDEX($AN$11:$AN$4010,MATCH(994,$AZ$11:$AZ$4010,0)),""))</f>
        <v/>
      </c>
      <c r="AG1004" s="25" t="str">
        <f>IF(AE1004="","",IFERROR(INDEX($AO$11:$AO$4010,MATCH(994,$AZ$11:$AZ$4010,0)),""))</f>
        <v/>
      </c>
      <c r="AH1004" s="24" t="str">
        <f>IF(AE1004="","",IFERROR(INDEX($AQ$11:$AQ$4010,MATCH(994,$AZ$11:$AZ$4010,0)),""))</f>
        <v/>
      </c>
      <c r="AI1004" s="29" t="str">
        <f>IF(AE1004="","",IFERROR(INDEX($AR$11:$AR$4010,MATCH(994,$AZ$11:$AZ$4010,0)),""))</f>
        <v/>
      </c>
      <c r="AJ1004" s="29" t="str">
        <f>IF(AE1004="","",IFERROR(INDEX($AT$11:$AT$4010,MATCH(994,$AZ$11:$AZ$4010,0)),""))</f>
        <v/>
      </c>
      <c r="AL1004" s="31"/>
      <c r="AM1004" s="26"/>
      <c r="AN1004" s="32"/>
      <c r="AO1004" s="32"/>
      <c r="AP1004" s="24"/>
      <c r="AQ1004" s="24"/>
      <c r="AR1004" s="33"/>
      <c r="AS1004" s="34"/>
      <c r="AT1004" s="33"/>
      <c r="AV1004" s="21">
        <f>IF(AND($AL1004&lt;&gt;"",COUNTIF($AL$11:$AL1004,$AL1004)=1),1,0)</f>
        <v>0</v>
      </c>
      <c r="AW1004" s="21">
        <f t="shared" si="117"/>
        <v>2</v>
      </c>
      <c r="AX1004" s="21" t="str">
        <f t="shared" si="116"/>
        <v/>
      </c>
      <c r="AY1004" s="21" t="str">
        <f>IF(AND($AM1004&lt;&gt;"",$AS1004&lt;&gt;"✓"),SUMPRODUCT(($AM$11:$AM1004&lt;&gt;"")*($AS$11:$AS1004&lt;&gt;"✓")),"")</f>
        <v/>
      </c>
      <c r="AZ1004" s="21" t="str">
        <f>IF(AND($AM1004&lt;&gt;"",$AS1004="✓"),SUMPRODUCT(($AM$11:$AM1004&lt;&gt;"")*($AS$11:$AS1004="✓")),"")</f>
        <v/>
      </c>
      <c r="BA1004" s="21" t="str">
        <f>IF($AL1004="","",$AL1004&amp;"|"&amp;COUNTIF($AL$11:$AL1004,$AL1004))</f>
        <v/>
      </c>
    </row>
    <row r="1005" spans="23:53" ht="15" customHeight="1" x14ac:dyDescent="0.25">
      <c r="W1005" s="14" t="str">
        <f>IF(X1005="","",IFERROR(INDEX($AL$11:$AL$4010,MATCH(995,$AY$11:$AY$4010,0)),""))</f>
        <v/>
      </c>
      <c r="X1005" s="12" t="str">
        <f>IFERROR(INDEX($AM$11:$AM$4010,MATCH(995,$AY$11:$AY$4010,0)),"")</f>
        <v/>
      </c>
      <c r="Y1005" s="11" t="str">
        <f>IF(X1005="","",IFERROR(INDEX($AN$11:$AN$4010,MATCH(995,$AY$11:$AY$4010,0)),""))</f>
        <v/>
      </c>
      <c r="Z1005" s="11" t="str">
        <f>IF(X1005="","",IFERROR(INDEX($AO$11:$AO$4010,MATCH(995,$AY$11:$AY$4010,0)),""))</f>
        <v/>
      </c>
      <c r="AA1005" s="10" t="str">
        <f>IF(X1005="","",IFERROR(INDEX($AQ$11:$AQ$4010,MATCH(995,$AY$11:$AY$4010,0)),""))</f>
        <v/>
      </c>
      <c r="AB1005" s="15" t="str">
        <f>IF(X1005="","",IFERROR(INDEX($AR$11:$AR$4010,MATCH(995,$AY$11:$AY$4010,0)),""))</f>
        <v/>
      </c>
      <c r="AD1005" s="16" t="str">
        <f>IF(AE1005="","",IFERROR(INDEX($AL$11:$AL$4010,MATCH(995,$AZ$11:$AZ$4010,0)),""))</f>
        <v/>
      </c>
      <c r="AE1005" s="12" t="str">
        <f>IFERROR(INDEX($AM$11:$AM$4010,MATCH(995,$AZ$11:$AZ$4010,0)),"")</f>
        <v/>
      </c>
      <c r="AF1005" s="11" t="str">
        <f>IF(AE1005="","",IFERROR(INDEX($AN$11:$AN$4010,MATCH(995,$AZ$11:$AZ$4010,0)),""))</f>
        <v/>
      </c>
      <c r="AG1005" s="11" t="str">
        <f>IF(AE1005="","",IFERROR(INDEX($AO$11:$AO$4010,MATCH(995,$AZ$11:$AZ$4010,0)),""))</f>
        <v/>
      </c>
      <c r="AH1005" s="10" t="str">
        <f>IF(AE1005="","",IFERROR(INDEX($AQ$11:$AQ$4010,MATCH(995,$AZ$11:$AZ$4010,0)),""))</f>
        <v/>
      </c>
      <c r="AI1005" s="15" t="str">
        <f>IF(AE1005="","",IFERROR(INDEX($AR$11:$AR$4010,MATCH(995,$AZ$11:$AZ$4010,0)),""))</f>
        <v/>
      </c>
      <c r="AJ1005" s="15" t="str">
        <f>IF(AE1005="","",IFERROR(INDEX($AT$11:$AT$4010,MATCH(995,$AZ$11:$AZ$4010,0)),""))</f>
        <v/>
      </c>
      <c r="AL1005" s="17"/>
      <c r="AM1005" s="12"/>
      <c r="AN1005" s="18"/>
      <c r="AO1005" s="18"/>
      <c r="AP1005" s="10"/>
      <c r="AQ1005" s="10"/>
      <c r="AR1005" s="19"/>
      <c r="AS1005" s="20"/>
      <c r="AT1005" s="19"/>
      <c r="AV1005" s="21">
        <f>IF(AND($AL1005&lt;&gt;"",COUNTIF($AL$11:$AL1005,$AL1005)=1),1,0)</f>
        <v>0</v>
      </c>
      <c r="AW1005" s="21">
        <f t="shared" si="117"/>
        <v>2</v>
      </c>
      <c r="AX1005" s="21" t="str">
        <f t="shared" si="116"/>
        <v/>
      </c>
      <c r="AY1005" s="21" t="str">
        <f>IF(AND($AM1005&lt;&gt;"",$AS1005&lt;&gt;"✓"),SUMPRODUCT(($AM$11:$AM1005&lt;&gt;"")*($AS$11:$AS1005&lt;&gt;"✓")),"")</f>
        <v/>
      </c>
      <c r="AZ1005" s="21" t="str">
        <f>IF(AND($AM1005&lt;&gt;"",$AS1005="✓"),SUMPRODUCT(($AM$11:$AM1005&lt;&gt;"")*($AS$11:$AS1005="✓")),"")</f>
        <v/>
      </c>
      <c r="BA1005" s="21" t="str">
        <f>IF($AL1005="","",$AL1005&amp;"|"&amp;COUNTIF($AL$11:$AL1005,$AL1005))</f>
        <v/>
      </c>
    </row>
    <row r="1006" spans="23:53" ht="15" customHeight="1" x14ac:dyDescent="0.25">
      <c r="W1006" s="28" t="str">
        <f>IF(X1006="","",IFERROR(INDEX($AL$11:$AL$4010,MATCH(996,$AY$11:$AY$4010,0)),""))</f>
        <v/>
      </c>
      <c r="X1006" s="26" t="str">
        <f>IFERROR(INDEX($AM$11:$AM$4010,MATCH(996,$AY$11:$AY$4010,0)),"")</f>
        <v/>
      </c>
      <c r="Y1006" s="25" t="str">
        <f>IF(X1006="","",IFERROR(INDEX($AN$11:$AN$4010,MATCH(996,$AY$11:$AY$4010,0)),""))</f>
        <v/>
      </c>
      <c r="Z1006" s="25" t="str">
        <f>IF(X1006="","",IFERROR(INDEX($AO$11:$AO$4010,MATCH(996,$AY$11:$AY$4010,0)),""))</f>
        <v/>
      </c>
      <c r="AA1006" s="24" t="str">
        <f>IF(X1006="","",IFERROR(INDEX($AQ$11:$AQ$4010,MATCH(996,$AY$11:$AY$4010,0)),""))</f>
        <v/>
      </c>
      <c r="AB1006" s="29" t="str">
        <f>IF(X1006="","",IFERROR(INDEX($AR$11:$AR$4010,MATCH(996,$AY$11:$AY$4010,0)),""))</f>
        <v/>
      </c>
      <c r="AD1006" s="30" t="str">
        <f>IF(AE1006="","",IFERROR(INDEX($AL$11:$AL$4010,MATCH(996,$AZ$11:$AZ$4010,0)),""))</f>
        <v/>
      </c>
      <c r="AE1006" s="26" t="str">
        <f>IFERROR(INDEX($AM$11:$AM$4010,MATCH(996,$AZ$11:$AZ$4010,0)),"")</f>
        <v/>
      </c>
      <c r="AF1006" s="25" t="str">
        <f>IF(AE1006="","",IFERROR(INDEX($AN$11:$AN$4010,MATCH(996,$AZ$11:$AZ$4010,0)),""))</f>
        <v/>
      </c>
      <c r="AG1006" s="25" t="str">
        <f>IF(AE1006="","",IFERROR(INDEX($AO$11:$AO$4010,MATCH(996,$AZ$11:$AZ$4010,0)),""))</f>
        <v/>
      </c>
      <c r="AH1006" s="24" t="str">
        <f>IF(AE1006="","",IFERROR(INDEX($AQ$11:$AQ$4010,MATCH(996,$AZ$11:$AZ$4010,0)),""))</f>
        <v/>
      </c>
      <c r="AI1006" s="29" t="str">
        <f>IF(AE1006="","",IFERROR(INDEX($AR$11:$AR$4010,MATCH(996,$AZ$11:$AZ$4010,0)),""))</f>
        <v/>
      </c>
      <c r="AJ1006" s="29" t="str">
        <f>IF(AE1006="","",IFERROR(INDEX($AT$11:$AT$4010,MATCH(996,$AZ$11:$AZ$4010,0)),""))</f>
        <v/>
      </c>
      <c r="AL1006" s="31"/>
      <c r="AM1006" s="26"/>
      <c r="AN1006" s="32"/>
      <c r="AO1006" s="32"/>
      <c r="AP1006" s="24"/>
      <c r="AQ1006" s="24"/>
      <c r="AR1006" s="33"/>
      <c r="AS1006" s="34"/>
      <c r="AT1006" s="33"/>
      <c r="AV1006" s="21">
        <f>IF(AND($AL1006&lt;&gt;"",COUNTIF($AL$11:$AL1006,$AL1006)=1),1,0)</f>
        <v>0</v>
      </c>
      <c r="AW1006" s="21">
        <f t="shared" si="117"/>
        <v>2</v>
      </c>
      <c r="AX1006" s="21" t="str">
        <f t="shared" si="116"/>
        <v/>
      </c>
      <c r="AY1006" s="21" t="str">
        <f>IF(AND($AM1006&lt;&gt;"",$AS1006&lt;&gt;"✓"),SUMPRODUCT(($AM$11:$AM1006&lt;&gt;"")*($AS$11:$AS1006&lt;&gt;"✓")),"")</f>
        <v/>
      </c>
      <c r="AZ1006" s="21" t="str">
        <f>IF(AND($AM1006&lt;&gt;"",$AS1006="✓"),SUMPRODUCT(($AM$11:$AM1006&lt;&gt;"")*($AS$11:$AS1006="✓")),"")</f>
        <v/>
      </c>
      <c r="BA1006" s="21" t="str">
        <f>IF($AL1006="","",$AL1006&amp;"|"&amp;COUNTIF($AL$11:$AL1006,$AL1006))</f>
        <v/>
      </c>
    </row>
    <row r="1007" spans="23:53" ht="15" customHeight="1" x14ac:dyDescent="0.25">
      <c r="W1007" s="14" t="str">
        <f>IF(X1007="","",IFERROR(INDEX($AL$11:$AL$4010,MATCH(997,$AY$11:$AY$4010,0)),""))</f>
        <v/>
      </c>
      <c r="X1007" s="12" t="str">
        <f>IFERROR(INDEX($AM$11:$AM$4010,MATCH(997,$AY$11:$AY$4010,0)),"")</f>
        <v/>
      </c>
      <c r="Y1007" s="11" t="str">
        <f>IF(X1007="","",IFERROR(INDEX($AN$11:$AN$4010,MATCH(997,$AY$11:$AY$4010,0)),""))</f>
        <v/>
      </c>
      <c r="Z1007" s="11" t="str">
        <f>IF(X1007="","",IFERROR(INDEX($AO$11:$AO$4010,MATCH(997,$AY$11:$AY$4010,0)),""))</f>
        <v/>
      </c>
      <c r="AA1007" s="10" t="str">
        <f>IF(X1007="","",IFERROR(INDEX($AQ$11:$AQ$4010,MATCH(997,$AY$11:$AY$4010,0)),""))</f>
        <v/>
      </c>
      <c r="AB1007" s="15" t="str">
        <f>IF(X1007="","",IFERROR(INDEX($AR$11:$AR$4010,MATCH(997,$AY$11:$AY$4010,0)),""))</f>
        <v/>
      </c>
      <c r="AD1007" s="16" t="str">
        <f>IF(AE1007="","",IFERROR(INDEX($AL$11:$AL$4010,MATCH(997,$AZ$11:$AZ$4010,0)),""))</f>
        <v/>
      </c>
      <c r="AE1007" s="12" t="str">
        <f>IFERROR(INDEX($AM$11:$AM$4010,MATCH(997,$AZ$11:$AZ$4010,0)),"")</f>
        <v/>
      </c>
      <c r="AF1007" s="11" t="str">
        <f>IF(AE1007="","",IFERROR(INDEX($AN$11:$AN$4010,MATCH(997,$AZ$11:$AZ$4010,0)),""))</f>
        <v/>
      </c>
      <c r="AG1007" s="11" t="str">
        <f>IF(AE1007="","",IFERROR(INDEX($AO$11:$AO$4010,MATCH(997,$AZ$11:$AZ$4010,0)),""))</f>
        <v/>
      </c>
      <c r="AH1007" s="10" t="str">
        <f>IF(AE1007="","",IFERROR(INDEX($AQ$11:$AQ$4010,MATCH(997,$AZ$11:$AZ$4010,0)),""))</f>
        <v/>
      </c>
      <c r="AI1007" s="15" t="str">
        <f>IF(AE1007="","",IFERROR(INDEX($AR$11:$AR$4010,MATCH(997,$AZ$11:$AZ$4010,0)),""))</f>
        <v/>
      </c>
      <c r="AJ1007" s="15" t="str">
        <f>IF(AE1007="","",IFERROR(INDEX($AT$11:$AT$4010,MATCH(997,$AZ$11:$AZ$4010,0)),""))</f>
        <v/>
      </c>
      <c r="AL1007" s="17"/>
      <c r="AM1007" s="12"/>
      <c r="AN1007" s="18"/>
      <c r="AO1007" s="18"/>
      <c r="AP1007" s="10"/>
      <c r="AQ1007" s="10"/>
      <c r="AR1007" s="19"/>
      <c r="AS1007" s="20"/>
      <c r="AT1007" s="19"/>
      <c r="AV1007" s="21">
        <f>IF(AND($AL1007&lt;&gt;"",COUNTIF($AL$11:$AL1007,$AL1007)=1),1,0)</f>
        <v>0</v>
      </c>
      <c r="AW1007" s="21">
        <f t="shared" si="117"/>
        <v>2</v>
      </c>
      <c r="AX1007" s="21" t="str">
        <f t="shared" si="116"/>
        <v/>
      </c>
      <c r="AY1007" s="21" t="str">
        <f>IF(AND($AM1007&lt;&gt;"",$AS1007&lt;&gt;"✓"),SUMPRODUCT(($AM$11:$AM1007&lt;&gt;"")*($AS$11:$AS1007&lt;&gt;"✓")),"")</f>
        <v/>
      </c>
      <c r="AZ1007" s="21" t="str">
        <f>IF(AND($AM1007&lt;&gt;"",$AS1007="✓"),SUMPRODUCT(($AM$11:$AM1007&lt;&gt;"")*($AS$11:$AS1007="✓")),"")</f>
        <v/>
      </c>
      <c r="BA1007" s="21" t="str">
        <f>IF($AL1007="","",$AL1007&amp;"|"&amp;COUNTIF($AL$11:$AL1007,$AL1007))</f>
        <v/>
      </c>
    </row>
    <row r="1008" spans="23:53" ht="15" customHeight="1" x14ac:dyDescent="0.25">
      <c r="W1008" s="28" t="str">
        <f>IF(X1008="","",IFERROR(INDEX($AL$11:$AL$4010,MATCH(998,$AY$11:$AY$4010,0)),""))</f>
        <v/>
      </c>
      <c r="X1008" s="26" t="str">
        <f>IFERROR(INDEX($AM$11:$AM$4010,MATCH(998,$AY$11:$AY$4010,0)),"")</f>
        <v/>
      </c>
      <c r="Y1008" s="25" t="str">
        <f>IF(X1008="","",IFERROR(INDEX($AN$11:$AN$4010,MATCH(998,$AY$11:$AY$4010,0)),""))</f>
        <v/>
      </c>
      <c r="Z1008" s="25" t="str">
        <f>IF(X1008="","",IFERROR(INDEX($AO$11:$AO$4010,MATCH(998,$AY$11:$AY$4010,0)),""))</f>
        <v/>
      </c>
      <c r="AA1008" s="24" t="str">
        <f>IF(X1008="","",IFERROR(INDEX($AQ$11:$AQ$4010,MATCH(998,$AY$11:$AY$4010,0)),""))</f>
        <v/>
      </c>
      <c r="AB1008" s="29" t="str">
        <f>IF(X1008="","",IFERROR(INDEX($AR$11:$AR$4010,MATCH(998,$AY$11:$AY$4010,0)),""))</f>
        <v/>
      </c>
      <c r="AD1008" s="30" t="str">
        <f>IF(AE1008="","",IFERROR(INDEX($AL$11:$AL$4010,MATCH(998,$AZ$11:$AZ$4010,0)),""))</f>
        <v/>
      </c>
      <c r="AE1008" s="26" t="str">
        <f>IFERROR(INDEX($AM$11:$AM$4010,MATCH(998,$AZ$11:$AZ$4010,0)),"")</f>
        <v/>
      </c>
      <c r="AF1008" s="25" t="str">
        <f>IF(AE1008="","",IFERROR(INDEX($AN$11:$AN$4010,MATCH(998,$AZ$11:$AZ$4010,0)),""))</f>
        <v/>
      </c>
      <c r="AG1008" s="25" t="str">
        <f>IF(AE1008="","",IFERROR(INDEX($AO$11:$AO$4010,MATCH(998,$AZ$11:$AZ$4010,0)),""))</f>
        <v/>
      </c>
      <c r="AH1008" s="24" t="str">
        <f>IF(AE1008="","",IFERROR(INDEX($AQ$11:$AQ$4010,MATCH(998,$AZ$11:$AZ$4010,0)),""))</f>
        <v/>
      </c>
      <c r="AI1008" s="29" t="str">
        <f>IF(AE1008="","",IFERROR(INDEX($AR$11:$AR$4010,MATCH(998,$AZ$11:$AZ$4010,0)),""))</f>
        <v/>
      </c>
      <c r="AJ1008" s="29" t="str">
        <f>IF(AE1008="","",IFERROR(INDEX($AT$11:$AT$4010,MATCH(998,$AZ$11:$AZ$4010,0)),""))</f>
        <v/>
      </c>
      <c r="AL1008" s="31"/>
      <c r="AM1008" s="26"/>
      <c r="AN1008" s="32"/>
      <c r="AO1008" s="32"/>
      <c r="AP1008" s="24"/>
      <c r="AQ1008" s="24"/>
      <c r="AR1008" s="33"/>
      <c r="AS1008" s="34"/>
      <c r="AT1008" s="33"/>
      <c r="AV1008" s="21">
        <f>IF(AND($AL1008&lt;&gt;"",COUNTIF($AL$11:$AL1008,$AL1008)=1),1,0)</f>
        <v>0</v>
      </c>
      <c r="AW1008" s="21">
        <f t="shared" si="117"/>
        <v>2</v>
      </c>
      <c r="AX1008" s="21" t="str">
        <f t="shared" si="116"/>
        <v/>
      </c>
      <c r="AY1008" s="21" t="str">
        <f>IF(AND($AM1008&lt;&gt;"",$AS1008&lt;&gt;"✓"),SUMPRODUCT(($AM$11:$AM1008&lt;&gt;"")*($AS$11:$AS1008&lt;&gt;"✓")),"")</f>
        <v/>
      </c>
      <c r="AZ1008" s="21" t="str">
        <f>IF(AND($AM1008&lt;&gt;"",$AS1008="✓"),SUMPRODUCT(($AM$11:$AM1008&lt;&gt;"")*($AS$11:$AS1008="✓")),"")</f>
        <v/>
      </c>
      <c r="BA1008" s="21" t="str">
        <f>IF($AL1008="","",$AL1008&amp;"|"&amp;COUNTIF($AL$11:$AL1008,$AL1008))</f>
        <v/>
      </c>
    </row>
    <row r="1009" spans="23:53" ht="15" customHeight="1" x14ac:dyDescent="0.25">
      <c r="W1009" s="14" t="str">
        <f>IF(X1009="","",IFERROR(INDEX($AL$11:$AL$4010,MATCH(999,$AY$11:$AY$4010,0)),""))</f>
        <v/>
      </c>
      <c r="X1009" s="12" t="str">
        <f>IFERROR(INDEX($AM$11:$AM$4010,MATCH(999,$AY$11:$AY$4010,0)),"")</f>
        <v/>
      </c>
      <c r="Y1009" s="11" t="str">
        <f>IF(X1009="","",IFERROR(INDEX($AN$11:$AN$4010,MATCH(999,$AY$11:$AY$4010,0)),""))</f>
        <v/>
      </c>
      <c r="Z1009" s="11" t="str">
        <f>IF(X1009="","",IFERROR(INDEX($AO$11:$AO$4010,MATCH(999,$AY$11:$AY$4010,0)),""))</f>
        <v/>
      </c>
      <c r="AA1009" s="10" t="str">
        <f>IF(X1009="","",IFERROR(INDEX($AQ$11:$AQ$4010,MATCH(999,$AY$11:$AY$4010,0)),""))</f>
        <v/>
      </c>
      <c r="AB1009" s="15" t="str">
        <f>IF(X1009="","",IFERROR(INDEX($AR$11:$AR$4010,MATCH(999,$AY$11:$AY$4010,0)),""))</f>
        <v/>
      </c>
      <c r="AD1009" s="16" t="str">
        <f>IF(AE1009="","",IFERROR(INDEX($AL$11:$AL$4010,MATCH(999,$AZ$11:$AZ$4010,0)),""))</f>
        <v/>
      </c>
      <c r="AE1009" s="12" t="str">
        <f>IFERROR(INDEX($AM$11:$AM$4010,MATCH(999,$AZ$11:$AZ$4010,0)),"")</f>
        <v/>
      </c>
      <c r="AF1009" s="11" t="str">
        <f>IF(AE1009="","",IFERROR(INDEX($AN$11:$AN$4010,MATCH(999,$AZ$11:$AZ$4010,0)),""))</f>
        <v/>
      </c>
      <c r="AG1009" s="11" t="str">
        <f>IF(AE1009="","",IFERROR(INDEX($AO$11:$AO$4010,MATCH(999,$AZ$11:$AZ$4010,0)),""))</f>
        <v/>
      </c>
      <c r="AH1009" s="10" t="str">
        <f>IF(AE1009="","",IFERROR(INDEX($AQ$11:$AQ$4010,MATCH(999,$AZ$11:$AZ$4010,0)),""))</f>
        <v/>
      </c>
      <c r="AI1009" s="15" t="str">
        <f>IF(AE1009="","",IFERROR(INDEX($AR$11:$AR$4010,MATCH(999,$AZ$11:$AZ$4010,0)),""))</f>
        <v/>
      </c>
      <c r="AJ1009" s="15" t="str">
        <f>IF(AE1009="","",IFERROR(INDEX($AT$11:$AT$4010,MATCH(999,$AZ$11:$AZ$4010,0)),""))</f>
        <v/>
      </c>
      <c r="AL1009" s="17"/>
      <c r="AM1009" s="12"/>
      <c r="AN1009" s="18"/>
      <c r="AO1009" s="18"/>
      <c r="AP1009" s="10"/>
      <c r="AQ1009" s="10"/>
      <c r="AR1009" s="19"/>
      <c r="AS1009" s="20"/>
      <c r="AT1009" s="19"/>
      <c r="AV1009" s="21">
        <f>IF(AND($AL1009&lt;&gt;"",COUNTIF($AL$11:$AL1009,$AL1009)=1),1,0)</f>
        <v>0</v>
      </c>
      <c r="AW1009" s="21">
        <f t="shared" si="117"/>
        <v>2</v>
      </c>
      <c r="AX1009" s="21" t="str">
        <f t="shared" si="116"/>
        <v/>
      </c>
      <c r="AY1009" s="21" t="str">
        <f>IF(AND($AM1009&lt;&gt;"",$AS1009&lt;&gt;"✓"),SUMPRODUCT(($AM$11:$AM1009&lt;&gt;"")*($AS$11:$AS1009&lt;&gt;"✓")),"")</f>
        <v/>
      </c>
      <c r="AZ1009" s="21" t="str">
        <f>IF(AND($AM1009&lt;&gt;"",$AS1009="✓"),SUMPRODUCT(($AM$11:$AM1009&lt;&gt;"")*($AS$11:$AS1009="✓")),"")</f>
        <v/>
      </c>
      <c r="BA1009" s="21" t="str">
        <f>IF($AL1009="","",$AL1009&amp;"|"&amp;COUNTIF($AL$11:$AL1009,$AL1009))</f>
        <v/>
      </c>
    </row>
    <row r="1010" spans="23:53" ht="15" customHeight="1" x14ac:dyDescent="0.25">
      <c r="W1010" s="28" t="str">
        <f>IF(X1010="","",IFERROR(INDEX($AL$11:$AL$4010,MATCH(1000,$AY$11:$AY$4010,0)),""))</f>
        <v/>
      </c>
      <c r="X1010" s="26" t="str">
        <f>IFERROR(INDEX($AM$11:$AM$4010,MATCH(1000,$AY$11:$AY$4010,0)),"")</f>
        <v/>
      </c>
      <c r="Y1010" s="25" t="str">
        <f>IF(X1010="","",IFERROR(INDEX($AN$11:$AN$4010,MATCH(1000,$AY$11:$AY$4010,0)),""))</f>
        <v/>
      </c>
      <c r="Z1010" s="25" t="str">
        <f>IF(X1010="","",IFERROR(INDEX($AO$11:$AO$4010,MATCH(1000,$AY$11:$AY$4010,0)),""))</f>
        <v/>
      </c>
      <c r="AA1010" s="24" t="str">
        <f>IF(X1010="","",IFERROR(INDEX($AQ$11:$AQ$4010,MATCH(1000,$AY$11:$AY$4010,0)),""))</f>
        <v/>
      </c>
      <c r="AB1010" s="29" t="str">
        <f>IF(X1010="","",IFERROR(INDEX($AR$11:$AR$4010,MATCH(1000,$AY$11:$AY$4010,0)),""))</f>
        <v/>
      </c>
      <c r="AD1010" s="30" t="str">
        <f>IF(AE1010="","",IFERROR(INDEX($AL$11:$AL$4010,MATCH(1000,$AZ$11:$AZ$4010,0)),""))</f>
        <v/>
      </c>
      <c r="AE1010" s="26" t="str">
        <f>IFERROR(INDEX($AM$11:$AM$4010,MATCH(1000,$AZ$11:$AZ$4010,0)),"")</f>
        <v/>
      </c>
      <c r="AF1010" s="25" t="str">
        <f>IF(AE1010="","",IFERROR(INDEX($AN$11:$AN$4010,MATCH(1000,$AZ$11:$AZ$4010,0)),""))</f>
        <v/>
      </c>
      <c r="AG1010" s="25" t="str">
        <f>IF(AE1010="","",IFERROR(INDEX($AO$11:$AO$4010,MATCH(1000,$AZ$11:$AZ$4010,0)),""))</f>
        <v/>
      </c>
      <c r="AH1010" s="24" t="str">
        <f>IF(AE1010="","",IFERROR(INDEX($AQ$11:$AQ$4010,MATCH(1000,$AZ$11:$AZ$4010,0)),""))</f>
        <v/>
      </c>
      <c r="AI1010" s="29" t="str">
        <f>IF(AE1010="","",IFERROR(INDEX($AR$11:$AR$4010,MATCH(1000,$AZ$11:$AZ$4010,0)),""))</f>
        <v/>
      </c>
      <c r="AJ1010" s="29" t="str">
        <f>IF(AE1010="","",IFERROR(INDEX($AT$11:$AT$4010,MATCH(1000,$AZ$11:$AZ$4010,0)),""))</f>
        <v/>
      </c>
      <c r="AL1010" s="31"/>
      <c r="AM1010" s="26"/>
      <c r="AN1010" s="32"/>
      <c r="AO1010" s="32"/>
      <c r="AP1010" s="24"/>
      <c r="AQ1010" s="24"/>
      <c r="AR1010" s="33"/>
      <c r="AS1010" s="34"/>
      <c r="AT1010" s="33"/>
      <c r="AV1010" s="21">
        <f>IF(AND($AL1010&lt;&gt;"",COUNTIF($AL$11:$AL1010,$AL1010)=1),1,0)</f>
        <v>0</v>
      </c>
      <c r="AW1010" s="21">
        <f t="shared" si="117"/>
        <v>2</v>
      </c>
      <c r="AX1010" s="21" t="str">
        <f t="shared" si="116"/>
        <v/>
      </c>
      <c r="AY1010" s="21" t="str">
        <f>IF(AND($AM1010&lt;&gt;"",$AS1010&lt;&gt;"✓"),SUMPRODUCT(($AM$11:$AM1010&lt;&gt;"")*($AS$11:$AS1010&lt;&gt;"✓")),"")</f>
        <v/>
      </c>
      <c r="AZ1010" s="21" t="str">
        <f>IF(AND($AM1010&lt;&gt;"",$AS1010="✓"),SUMPRODUCT(($AM$11:$AM1010&lt;&gt;"")*($AS$11:$AS1010="✓")),"")</f>
        <v/>
      </c>
      <c r="BA1010" s="21" t="str">
        <f>IF($AL1010="","",$AL1010&amp;"|"&amp;COUNTIF($AL$11:$AL1010,$AL1010))</f>
        <v/>
      </c>
    </row>
    <row r="1011" spans="23:53" ht="15" customHeight="1" x14ac:dyDescent="0.25">
      <c r="AL1011" s="17"/>
      <c r="AM1011" s="12"/>
      <c r="AN1011" s="18"/>
      <c r="AO1011" s="18"/>
      <c r="AP1011" s="10"/>
      <c r="AQ1011" s="10"/>
      <c r="AR1011" s="19"/>
      <c r="AS1011" s="20"/>
      <c r="AT1011" s="19"/>
      <c r="AV1011" s="21">
        <f>IF(AND($AL1011&lt;&gt;"",COUNTIF($AL$11:$AL1011,$AL1011)=1),1,0)</f>
        <v>0</v>
      </c>
      <c r="AW1011" s="21">
        <f t="shared" si="117"/>
        <v>2</v>
      </c>
      <c r="AX1011" s="21" t="str">
        <f t="shared" si="116"/>
        <v/>
      </c>
      <c r="AY1011" s="21" t="str">
        <f>IF(AND($AM1011&lt;&gt;"",$AS1011&lt;&gt;"✓"),SUMPRODUCT(($AM$11:$AM1011&lt;&gt;"")*($AS$11:$AS1011&lt;&gt;"✓")),"")</f>
        <v/>
      </c>
      <c r="AZ1011" s="21" t="str">
        <f>IF(AND($AM1011&lt;&gt;"",$AS1011="✓"),SUMPRODUCT(($AM$11:$AM1011&lt;&gt;"")*($AS$11:$AS1011="✓")),"")</f>
        <v/>
      </c>
      <c r="BA1011" s="21" t="str">
        <f>IF($AL1011="","",$AL1011&amp;"|"&amp;COUNTIF($AL$11:$AL1011,$AL1011))</f>
        <v/>
      </c>
    </row>
    <row r="1012" spans="23:53" ht="15" customHeight="1" x14ac:dyDescent="0.25">
      <c r="AL1012" s="31"/>
      <c r="AM1012" s="26"/>
      <c r="AN1012" s="32"/>
      <c r="AO1012" s="32"/>
      <c r="AP1012" s="24"/>
      <c r="AQ1012" s="24"/>
      <c r="AR1012" s="33"/>
      <c r="AS1012" s="34"/>
      <c r="AT1012" s="33"/>
      <c r="AV1012" s="21">
        <f>IF(AND($AL1012&lt;&gt;"",COUNTIF($AL$11:$AL1012,$AL1012)=1),1,0)</f>
        <v>0</v>
      </c>
      <c r="AW1012" s="21">
        <f t="shared" si="117"/>
        <v>2</v>
      </c>
      <c r="AX1012" s="21" t="str">
        <f t="shared" si="116"/>
        <v/>
      </c>
      <c r="AY1012" s="21" t="str">
        <f>IF(AND($AM1012&lt;&gt;"",$AS1012&lt;&gt;"✓"),SUMPRODUCT(($AM$11:$AM1012&lt;&gt;"")*($AS$11:$AS1012&lt;&gt;"✓")),"")</f>
        <v/>
      </c>
      <c r="AZ1012" s="21" t="str">
        <f>IF(AND($AM1012&lt;&gt;"",$AS1012="✓"),SUMPRODUCT(($AM$11:$AM1012&lt;&gt;"")*($AS$11:$AS1012="✓")),"")</f>
        <v/>
      </c>
      <c r="BA1012" s="21" t="str">
        <f>IF($AL1012="","",$AL1012&amp;"|"&amp;COUNTIF($AL$11:$AL1012,$AL1012))</f>
        <v/>
      </c>
    </row>
    <row r="1013" spans="23:53" ht="15" customHeight="1" x14ac:dyDescent="0.25">
      <c r="AL1013" s="17"/>
      <c r="AM1013" s="12"/>
      <c r="AN1013" s="18"/>
      <c r="AO1013" s="18"/>
      <c r="AP1013" s="10"/>
      <c r="AQ1013" s="10"/>
      <c r="AR1013" s="19"/>
      <c r="AS1013" s="20"/>
      <c r="AT1013" s="19"/>
      <c r="AV1013" s="21">
        <f>IF(AND($AL1013&lt;&gt;"",COUNTIF($AL$11:$AL1013,$AL1013)=1),1,0)</f>
        <v>0</v>
      </c>
      <c r="AW1013" s="21">
        <f t="shared" si="117"/>
        <v>2</v>
      </c>
      <c r="AX1013" s="21" t="str">
        <f t="shared" si="116"/>
        <v/>
      </c>
      <c r="AY1013" s="21" t="str">
        <f>IF(AND($AM1013&lt;&gt;"",$AS1013&lt;&gt;"✓"),SUMPRODUCT(($AM$11:$AM1013&lt;&gt;"")*($AS$11:$AS1013&lt;&gt;"✓")),"")</f>
        <v/>
      </c>
      <c r="AZ1013" s="21" t="str">
        <f>IF(AND($AM1013&lt;&gt;"",$AS1013="✓"),SUMPRODUCT(($AM$11:$AM1013&lt;&gt;"")*($AS$11:$AS1013="✓")),"")</f>
        <v/>
      </c>
      <c r="BA1013" s="21" t="str">
        <f>IF($AL1013="","",$AL1013&amp;"|"&amp;COUNTIF($AL$11:$AL1013,$AL1013))</f>
        <v/>
      </c>
    </row>
    <row r="1014" spans="23:53" ht="15" customHeight="1" x14ac:dyDescent="0.25">
      <c r="AL1014" s="31"/>
      <c r="AM1014" s="26"/>
      <c r="AN1014" s="32"/>
      <c r="AO1014" s="32"/>
      <c r="AP1014" s="24"/>
      <c r="AQ1014" s="24"/>
      <c r="AR1014" s="33"/>
      <c r="AS1014" s="34"/>
      <c r="AT1014" s="33"/>
      <c r="AV1014" s="21">
        <f>IF(AND($AL1014&lt;&gt;"",COUNTIF($AL$11:$AL1014,$AL1014)=1),1,0)</f>
        <v>0</v>
      </c>
      <c r="AW1014" s="21">
        <f t="shared" si="117"/>
        <v>2</v>
      </c>
      <c r="AX1014" s="21" t="str">
        <f t="shared" si="116"/>
        <v/>
      </c>
      <c r="AY1014" s="21" t="str">
        <f>IF(AND($AM1014&lt;&gt;"",$AS1014&lt;&gt;"✓"),SUMPRODUCT(($AM$11:$AM1014&lt;&gt;"")*($AS$11:$AS1014&lt;&gt;"✓")),"")</f>
        <v/>
      </c>
      <c r="AZ1014" s="21" t="str">
        <f>IF(AND($AM1014&lt;&gt;"",$AS1014="✓"),SUMPRODUCT(($AM$11:$AM1014&lt;&gt;"")*($AS$11:$AS1014="✓")),"")</f>
        <v/>
      </c>
      <c r="BA1014" s="21" t="str">
        <f>IF($AL1014="","",$AL1014&amp;"|"&amp;COUNTIF($AL$11:$AL1014,$AL1014))</f>
        <v/>
      </c>
    </row>
    <row r="1015" spans="23:53" ht="15" customHeight="1" x14ac:dyDescent="0.25">
      <c r="AL1015" s="17"/>
      <c r="AM1015" s="12"/>
      <c r="AN1015" s="18"/>
      <c r="AO1015" s="18"/>
      <c r="AP1015" s="10"/>
      <c r="AQ1015" s="10"/>
      <c r="AR1015" s="19"/>
      <c r="AS1015" s="20"/>
      <c r="AT1015" s="19"/>
      <c r="AV1015" s="21">
        <f>IF(AND($AL1015&lt;&gt;"",COUNTIF($AL$11:$AL1015,$AL1015)=1),1,0)</f>
        <v>0</v>
      </c>
      <c r="AW1015" s="21">
        <f t="shared" si="117"/>
        <v>2</v>
      </c>
      <c r="AX1015" s="21" t="str">
        <f t="shared" si="116"/>
        <v/>
      </c>
      <c r="AY1015" s="21" t="str">
        <f>IF(AND($AM1015&lt;&gt;"",$AS1015&lt;&gt;"✓"),SUMPRODUCT(($AM$11:$AM1015&lt;&gt;"")*($AS$11:$AS1015&lt;&gt;"✓")),"")</f>
        <v/>
      </c>
      <c r="AZ1015" s="21" t="str">
        <f>IF(AND($AM1015&lt;&gt;"",$AS1015="✓"),SUMPRODUCT(($AM$11:$AM1015&lt;&gt;"")*($AS$11:$AS1015="✓")),"")</f>
        <v/>
      </c>
      <c r="BA1015" s="21" t="str">
        <f>IF($AL1015="","",$AL1015&amp;"|"&amp;COUNTIF($AL$11:$AL1015,$AL1015))</f>
        <v/>
      </c>
    </row>
    <row r="1016" spans="23:53" ht="15" customHeight="1" x14ac:dyDescent="0.25">
      <c r="AL1016" s="31"/>
      <c r="AM1016" s="26"/>
      <c r="AN1016" s="32"/>
      <c r="AO1016" s="32"/>
      <c r="AP1016" s="24"/>
      <c r="AQ1016" s="24"/>
      <c r="AR1016" s="33"/>
      <c r="AS1016" s="34"/>
      <c r="AT1016" s="33"/>
      <c r="AV1016" s="21">
        <f>IF(AND($AL1016&lt;&gt;"",COUNTIF($AL$11:$AL1016,$AL1016)=1),1,0)</f>
        <v>0</v>
      </c>
      <c r="AW1016" s="21">
        <f t="shared" si="117"/>
        <v>2</v>
      </c>
      <c r="AX1016" s="21" t="str">
        <f t="shared" si="116"/>
        <v/>
      </c>
      <c r="AY1016" s="21" t="str">
        <f>IF(AND($AM1016&lt;&gt;"",$AS1016&lt;&gt;"✓"),SUMPRODUCT(($AM$11:$AM1016&lt;&gt;"")*($AS$11:$AS1016&lt;&gt;"✓")),"")</f>
        <v/>
      </c>
      <c r="AZ1016" s="21" t="str">
        <f>IF(AND($AM1016&lt;&gt;"",$AS1016="✓"),SUMPRODUCT(($AM$11:$AM1016&lt;&gt;"")*($AS$11:$AS1016="✓")),"")</f>
        <v/>
      </c>
      <c r="BA1016" s="21" t="str">
        <f>IF($AL1016="","",$AL1016&amp;"|"&amp;COUNTIF($AL$11:$AL1016,$AL1016))</f>
        <v/>
      </c>
    </row>
    <row r="1017" spans="23:53" ht="15" customHeight="1" x14ac:dyDescent="0.25">
      <c r="AL1017" s="17"/>
      <c r="AM1017" s="12"/>
      <c r="AN1017" s="18"/>
      <c r="AO1017" s="18"/>
      <c r="AP1017" s="10"/>
      <c r="AQ1017" s="10"/>
      <c r="AR1017" s="19"/>
      <c r="AS1017" s="20"/>
      <c r="AT1017" s="19"/>
      <c r="AV1017" s="21">
        <f>IF(AND($AL1017&lt;&gt;"",COUNTIF($AL$11:$AL1017,$AL1017)=1),1,0)</f>
        <v>0</v>
      </c>
      <c r="AW1017" s="21">
        <f t="shared" si="117"/>
        <v>2</v>
      </c>
      <c r="AX1017" s="21" t="str">
        <f t="shared" si="116"/>
        <v/>
      </c>
      <c r="AY1017" s="21" t="str">
        <f>IF(AND($AM1017&lt;&gt;"",$AS1017&lt;&gt;"✓"),SUMPRODUCT(($AM$11:$AM1017&lt;&gt;"")*($AS$11:$AS1017&lt;&gt;"✓")),"")</f>
        <v/>
      </c>
      <c r="AZ1017" s="21" t="str">
        <f>IF(AND($AM1017&lt;&gt;"",$AS1017="✓"),SUMPRODUCT(($AM$11:$AM1017&lt;&gt;"")*($AS$11:$AS1017="✓")),"")</f>
        <v/>
      </c>
      <c r="BA1017" s="21" t="str">
        <f>IF($AL1017="","",$AL1017&amp;"|"&amp;COUNTIF($AL$11:$AL1017,$AL1017))</f>
        <v/>
      </c>
    </row>
    <row r="1018" spans="23:53" ht="15" customHeight="1" x14ac:dyDescent="0.25">
      <c r="AL1018" s="31"/>
      <c r="AM1018" s="26"/>
      <c r="AN1018" s="32"/>
      <c r="AO1018" s="32"/>
      <c r="AP1018" s="24"/>
      <c r="AQ1018" s="24"/>
      <c r="AR1018" s="33"/>
      <c r="AS1018" s="34"/>
      <c r="AT1018" s="33"/>
      <c r="AV1018" s="21">
        <f>IF(AND($AL1018&lt;&gt;"",COUNTIF($AL$11:$AL1018,$AL1018)=1),1,0)</f>
        <v>0</v>
      </c>
      <c r="AW1018" s="21">
        <f t="shared" si="117"/>
        <v>2</v>
      </c>
      <c r="AX1018" s="21" t="str">
        <f t="shared" si="116"/>
        <v/>
      </c>
      <c r="AY1018" s="21" t="str">
        <f>IF(AND($AM1018&lt;&gt;"",$AS1018&lt;&gt;"✓"),SUMPRODUCT(($AM$11:$AM1018&lt;&gt;"")*($AS$11:$AS1018&lt;&gt;"✓")),"")</f>
        <v/>
      </c>
      <c r="AZ1018" s="21" t="str">
        <f>IF(AND($AM1018&lt;&gt;"",$AS1018="✓"),SUMPRODUCT(($AM$11:$AM1018&lt;&gt;"")*($AS$11:$AS1018="✓")),"")</f>
        <v/>
      </c>
      <c r="BA1018" s="21" t="str">
        <f>IF($AL1018="","",$AL1018&amp;"|"&amp;COUNTIF($AL$11:$AL1018,$AL1018))</f>
        <v/>
      </c>
    </row>
    <row r="1019" spans="23:53" ht="15" customHeight="1" x14ac:dyDescent="0.25">
      <c r="AL1019" s="17"/>
      <c r="AM1019" s="12"/>
      <c r="AN1019" s="18"/>
      <c r="AO1019" s="18"/>
      <c r="AP1019" s="10"/>
      <c r="AQ1019" s="10"/>
      <c r="AR1019" s="19"/>
      <c r="AS1019" s="20"/>
      <c r="AT1019" s="19"/>
      <c r="AV1019" s="21">
        <f>IF(AND($AL1019&lt;&gt;"",COUNTIF($AL$11:$AL1019,$AL1019)=1),1,0)</f>
        <v>0</v>
      </c>
      <c r="AW1019" s="21">
        <f t="shared" si="117"/>
        <v>2</v>
      </c>
      <c r="AX1019" s="21" t="str">
        <f t="shared" si="116"/>
        <v/>
      </c>
      <c r="AY1019" s="21" t="str">
        <f>IF(AND($AM1019&lt;&gt;"",$AS1019&lt;&gt;"✓"),SUMPRODUCT(($AM$11:$AM1019&lt;&gt;"")*($AS$11:$AS1019&lt;&gt;"✓")),"")</f>
        <v/>
      </c>
      <c r="AZ1019" s="21" t="str">
        <f>IF(AND($AM1019&lt;&gt;"",$AS1019="✓"),SUMPRODUCT(($AM$11:$AM1019&lt;&gt;"")*($AS$11:$AS1019="✓")),"")</f>
        <v/>
      </c>
      <c r="BA1019" s="21" t="str">
        <f>IF($AL1019="","",$AL1019&amp;"|"&amp;COUNTIF($AL$11:$AL1019,$AL1019))</f>
        <v/>
      </c>
    </row>
    <row r="1020" spans="23:53" ht="15" customHeight="1" x14ac:dyDescent="0.25">
      <c r="AL1020" s="31"/>
      <c r="AM1020" s="26"/>
      <c r="AN1020" s="32"/>
      <c r="AO1020" s="32"/>
      <c r="AP1020" s="24"/>
      <c r="AQ1020" s="24"/>
      <c r="AR1020" s="33"/>
      <c r="AS1020" s="34"/>
      <c r="AT1020" s="33"/>
      <c r="AV1020" s="21">
        <f>IF(AND($AL1020&lt;&gt;"",COUNTIF($AL$11:$AL1020,$AL1020)=1),1,0)</f>
        <v>0</v>
      </c>
      <c r="AW1020" s="21">
        <f t="shared" si="117"/>
        <v>2</v>
      </c>
      <c r="AX1020" s="21" t="str">
        <f t="shared" si="116"/>
        <v/>
      </c>
      <c r="AY1020" s="21" t="str">
        <f>IF(AND($AM1020&lt;&gt;"",$AS1020&lt;&gt;"✓"),SUMPRODUCT(($AM$11:$AM1020&lt;&gt;"")*($AS$11:$AS1020&lt;&gt;"✓")),"")</f>
        <v/>
      </c>
      <c r="AZ1020" s="21" t="str">
        <f>IF(AND($AM1020&lt;&gt;"",$AS1020="✓"),SUMPRODUCT(($AM$11:$AM1020&lt;&gt;"")*($AS$11:$AS1020="✓")),"")</f>
        <v/>
      </c>
      <c r="BA1020" s="21" t="str">
        <f>IF($AL1020="","",$AL1020&amp;"|"&amp;COUNTIF($AL$11:$AL1020,$AL1020))</f>
        <v/>
      </c>
    </row>
    <row r="1021" spans="23:53" ht="15" customHeight="1" x14ac:dyDescent="0.25">
      <c r="AL1021" s="17"/>
      <c r="AM1021" s="12"/>
      <c r="AN1021" s="18"/>
      <c r="AO1021" s="18"/>
      <c r="AP1021" s="10"/>
      <c r="AQ1021" s="10"/>
      <c r="AR1021" s="19"/>
      <c r="AS1021" s="20"/>
      <c r="AT1021" s="19"/>
      <c r="AV1021" s="21">
        <f>IF(AND($AL1021&lt;&gt;"",COUNTIF($AL$11:$AL1021,$AL1021)=1),1,0)</f>
        <v>0</v>
      </c>
      <c r="AW1021" s="21">
        <f t="shared" si="117"/>
        <v>2</v>
      </c>
      <c r="AX1021" s="21" t="str">
        <f t="shared" si="116"/>
        <v/>
      </c>
      <c r="AY1021" s="21" t="str">
        <f>IF(AND($AM1021&lt;&gt;"",$AS1021&lt;&gt;"✓"),SUMPRODUCT(($AM$11:$AM1021&lt;&gt;"")*($AS$11:$AS1021&lt;&gt;"✓")),"")</f>
        <v/>
      </c>
      <c r="AZ1021" s="21" t="str">
        <f>IF(AND($AM1021&lt;&gt;"",$AS1021="✓"),SUMPRODUCT(($AM$11:$AM1021&lt;&gt;"")*($AS$11:$AS1021="✓")),"")</f>
        <v/>
      </c>
      <c r="BA1021" s="21" t="str">
        <f>IF($AL1021="","",$AL1021&amp;"|"&amp;COUNTIF($AL$11:$AL1021,$AL1021))</f>
        <v/>
      </c>
    </row>
    <row r="1022" spans="23:53" ht="15" customHeight="1" x14ac:dyDescent="0.25">
      <c r="AL1022" s="31"/>
      <c r="AM1022" s="26"/>
      <c r="AN1022" s="32"/>
      <c r="AO1022" s="32"/>
      <c r="AP1022" s="24"/>
      <c r="AQ1022" s="24"/>
      <c r="AR1022" s="33"/>
      <c r="AS1022" s="34"/>
      <c r="AT1022" s="33"/>
      <c r="AV1022" s="21">
        <f>IF(AND($AL1022&lt;&gt;"",COUNTIF($AL$11:$AL1022,$AL1022)=1),1,0)</f>
        <v>0</v>
      </c>
      <c r="AW1022" s="21">
        <f t="shared" si="117"/>
        <v>2</v>
      </c>
      <c r="AX1022" s="21" t="str">
        <f t="shared" si="116"/>
        <v/>
      </c>
      <c r="AY1022" s="21" t="str">
        <f>IF(AND($AM1022&lt;&gt;"",$AS1022&lt;&gt;"✓"),SUMPRODUCT(($AM$11:$AM1022&lt;&gt;"")*($AS$11:$AS1022&lt;&gt;"✓")),"")</f>
        <v/>
      </c>
      <c r="AZ1022" s="21" t="str">
        <f>IF(AND($AM1022&lt;&gt;"",$AS1022="✓"),SUMPRODUCT(($AM$11:$AM1022&lt;&gt;"")*($AS$11:$AS1022="✓")),"")</f>
        <v/>
      </c>
      <c r="BA1022" s="21" t="str">
        <f>IF($AL1022="","",$AL1022&amp;"|"&amp;COUNTIF($AL$11:$AL1022,$AL1022))</f>
        <v/>
      </c>
    </row>
    <row r="1023" spans="23:53" ht="15" customHeight="1" x14ac:dyDescent="0.25">
      <c r="AL1023" s="17"/>
      <c r="AM1023" s="12"/>
      <c r="AN1023" s="18"/>
      <c r="AO1023" s="18"/>
      <c r="AP1023" s="10"/>
      <c r="AQ1023" s="10"/>
      <c r="AR1023" s="19"/>
      <c r="AS1023" s="20"/>
      <c r="AT1023" s="19"/>
      <c r="AV1023" s="21">
        <f>IF(AND($AL1023&lt;&gt;"",COUNTIF($AL$11:$AL1023,$AL1023)=1),1,0)</f>
        <v>0</v>
      </c>
      <c r="AW1023" s="21">
        <f t="shared" si="117"/>
        <v>2</v>
      </c>
      <c r="AX1023" s="21" t="str">
        <f t="shared" si="116"/>
        <v/>
      </c>
      <c r="AY1023" s="21" t="str">
        <f>IF(AND($AM1023&lt;&gt;"",$AS1023&lt;&gt;"✓"),SUMPRODUCT(($AM$11:$AM1023&lt;&gt;"")*($AS$11:$AS1023&lt;&gt;"✓")),"")</f>
        <v/>
      </c>
      <c r="AZ1023" s="21" t="str">
        <f>IF(AND($AM1023&lt;&gt;"",$AS1023="✓"),SUMPRODUCT(($AM$11:$AM1023&lt;&gt;"")*($AS$11:$AS1023="✓")),"")</f>
        <v/>
      </c>
      <c r="BA1023" s="21" t="str">
        <f>IF($AL1023="","",$AL1023&amp;"|"&amp;COUNTIF($AL$11:$AL1023,$AL1023))</f>
        <v/>
      </c>
    </row>
    <row r="1024" spans="23:53" ht="15" customHeight="1" x14ac:dyDescent="0.25">
      <c r="AL1024" s="31"/>
      <c r="AM1024" s="26"/>
      <c r="AN1024" s="32"/>
      <c r="AO1024" s="32"/>
      <c r="AP1024" s="24"/>
      <c r="AQ1024" s="24"/>
      <c r="AR1024" s="33"/>
      <c r="AS1024" s="34"/>
      <c r="AT1024" s="33"/>
      <c r="AV1024" s="21">
        <f>IF(AND($AL1024&lt;&gt;"",COUNTIF($AL$11:$AL1024,$AL1024)=1),1,0)</f>
        <v>0</v>
      </c>
      <c r="AW1024" s="21">
        <f t="shared" si="117"/>
        <v>2</v>
      </c>
      <c r="AX1024" s="21" t="str">
        <f t="shared" si="116"/>
        <v/>
      </c>
      <c r="AY1024" s="21" t="str">
        <f>IF(AND($AM1024&lt;&gt;"",$AS1024&lt;&gt;"✓"),SUMPRODUCT(($AM$11:$AM1024&lt;&gt;"")*($AS$11:$AS1024&lt;&gt;"✓")),"")</f>
        <v/>
      </c>
      <c r="AZ1024" s="21" t="str">
        <f>IF(AND($AM1024&lt;&gt;"",$AS1024="✓"),SUMPRODUCT(($AM$11:$AM1024&lt;&gt;"")*($AS$11:$AS1024="✓")),"")</f>
        <v/>
      </c>
      <c r="BA1024" s="21" t="str">
        <f>IF($AL1024="","",$AL1024&amp;"|"&amp;COUNTIF($AL$11:$AL1024,$AL1024))</f>
        <v/>
      </c>
    </row>
    <row r="1025" spans="38:53" ht="15" customHeight="1" x14ac:dyDescent="0.25">
      <c r="AL1025" s="17"/>
      <c r="AM1025" s="12"/>
      <c r="AN1025" s="18"/>
      <c r="AO1025" s="18"/>
      <c r="AP1025" s="10"/>
      <c r="AQ1025" s="10"/>
      <c r="AR1025" s="19"/>
      <c r="AS1025" s="20"/>
      <c r="AT1025" s="19"/>
      <c r="AV1025" s="21">
        <f>IF(AND($AL1025&lt;&gt;"",COUNTIF($AL$11:$AL1025,$AL1025)=1),1,0)</f>
        <v>0</v>
      </c>
      <c r="AW1025" s="21">
        <f t="shared" si="117"/>
        <v>2</v>
      </c>
      <c r="AX1025" s="21" t="str">
        <f t="shared" si="116"/>
        <v/>
      </c>
      <c r="AY1025" s="21" t="str">
        <f>IF(AND($AM1025&lt;&gt;"",$AS1025&lt;&gt;"✓"),SUMPRODUCT(($AM$11:$AM1025&lt;&gt;"")*($AS$11:$AS1025&lt;&gt;"✓")),"")</f>
        <v/>
      </c>
      <c r="AZ1025" s="21" t="str">
        <f>IF(AND($AM1025&lt;&gt;"",$AS1025="✓"),SUMPRODUCT(($AM$11:$AM1025&lt;&gt;"")*($AS$11:$AS1025="✓")),"")</f>
        <v/>
      </c>
      <c r="BA1025" s="21" t="str">
        <f>IF($AL1025="","",$AL1025&amp;"|"&amp;COUNTIF($AL$11:$AL1025,$AL1025))</f>
        <v/>
      </c>
    </row>
    <row r="1026" spans="38:53" ht="15" customHeight="1" x14ac:dyDescent="0.25">
      <c r="AL1026" s="31"/>
      <c r="AM1026" s="26"/>
      <c r="AN1026" s="32"/>
      <c r="AO1026" s="32"/>
      <c r="AP1026" s="24"/>
      <c r="AQ1026" s="24"/>
      <c r="AR1026" s="33"/>
      <c r="AS1026" s="34"/>
      <c r="AT1026" s="33"/>
      <c r="AV1026" s="21">
        <f>IF(AND($AL1026&lt;&gt;"",COUNTIF($AL$11:$AL1026,$AL1026)=1),1,0)</f>
        <v>0</v>
      </c>
      <c r="AW1026" s="21">
        <f t="shared" si="117"/>
        <v>2</v>
      </c>
      <c r="AX1026" s="21" t="str">
        <f t="shared" si="116"/>
        <v/>
      </c>
      <c r="AY1026" s="21" t="str">
        <f>IF(AND($AM1026&lt;&gt;"",$AS1026&lt;&gt;"✓"),SUMPRODUCT(($AM$11:$AM1026&lt;&gt;"")*($AS$11:$AS1026&lt;&gt;"✓")),"")</f>
        <v/>
      </c>
      <c r="AZ1026" s="21" t="str">
        <f>IF(AND($AM1026&lt;&gt;"",$AS1026="✓"),SUMPRODUCT(($AM$11:$AM1026&lt;&gt;"")*($AS$11:$AS1026="✓")),"")</f>
        <v/>
      </c>
      <c r="BA1026" s="21" t="str">
        <f>IF($AL1026="","",$AL1026&amp;"|"&amp;COUNTIF($AL$11:$AL1026,$AL1026))</f>
        <v/>
      </c>
    </row>
    <row r="1027" spans="38:53" ht="15" customHeight="1" x14ac:dyDescent="0.25">
      <c r="AL1027" s="17"/>
      <c r="AM1027" s="12"/>
      <c r="AN1027" s="18"/>
      <c r="AO1027" s="18"/>
      <c r="AP1027" s="10"/>
      <c r="AQ1027" s="10"/>
      <c r="AR1027" s="19"/>
      <c r="AS1027" s="20"/>
      <c r="AT1027" s="19"/>
      <c r="AV1027" s="21">
        <f>IF(AND($AL1027&lt;&gt;"",COUNTIF($AL$11:$AL1027,$AL1027)=1),1,0)</f>
        <v>0</v>
      </c>
      <c r="AW1027" s="21">
        <f t="shared" si="117"/>
        <v>2</v>
      </c>
      <c r="AX1027" s="21" t="str">
        <f t="shared" si="116"/>
        <v/>
      </c>
      <c r="AY1027" s="21" t="str">
        <f>IF(AND($AM1027&lt;&gt;"",$AS1027&lt;&gt;"✓"),SUMPRODUCT(($AM$11:$AM1027&lt;&gt;"")*($AS$11:$AS1027&lt;&gt;"✓")),"")</f>
        <v/>
      </c>
      <c r="AZ1027" s="21" t="str">
        <f>IF(AND($AM1027&lt;&gt;"",$AS1027="✓"),SUMPRODUCT(($AM$11:$AM1027&lt;&gt;"")*($AS$11:$AS1027="✓")),"")</f>
        <v/>
      </c>
      <c r="BA1027" s="21" t="str">
        <f>IF($AL1027="","",$AL1027&amp;"|"&amp;COUNTIF($AL$11:$AL1027,$AL1027))</f>
        <v/>
      </c>
    </row>
    <row r="1028" spans="38:53" ht="15" customHeight="1" x14ac:dyDescent="0.25">
      <c r="AL1028" s="31"/>
      <c r="AM1028" s="26"/>
      <c r="AN1028" s="32"/>
      <c r="AO1028" s="32"/>
      <c r="AP1028" s="24"/>
      <c r="AQ1028" s="24"/>
      <c r="AR1028" s="33"/>
      <c r="AS1028" s="34"/>
      <c r="AT1028" s="33"/>
      <c r="AV1028" s="21">
        <f>IF(AND($AL1028&lt;&gt;"",COUNTIF($AL$11:$AL1028,$AL1028)=1),1,0)</f>
        <v>0</v>
      </c>
      <c r="AW1028" s="21">
        <f t="shared" si="117"/>
        <v>2</v>
      </c>
      <c r="AX1028" s="21" t="str">
        <f t="shared" si="116"/>
        <v/>
      </c>
      <c r="AY1028" s="21" t="str">
        <f>IF(AND($AM1028&lt;&gt;"",$AS1028&lt;&gt;"✓"),SUMPRODUCT(($AM$11:$AM1028&lt;&gt;"")*($AS$11:$AS1028&lt;&gt;"✓")),"")</f>
        <v/>
      </c>
      <c r="AZ1028" s="21" t="str">
        <f>IF(AND($AM1028&lt;&gt;"",$AS1028="✓"),SUMPRODUCT(($AM$11:$AM1028&lt;&gt;"")*($AS$11:$AS1028="✓")),"")</f>
        <v/>
      </c>
      <c r="BA1028" s="21" t="str">
        <f>IF($AL1028="","",$AL1028&amp;"|"&amp;COUNTIF($AL$11:$AL1028,$AL1028))</f>
        <v/>
      </c>
    </row>
    <row r="1029" spans="38:53" ht="15" customHeight="1" x14ac:dyDescent="0.25">
      <c r="AL1029" s="17"/>
      <c r="AM1029" s="12"/>
      <c r="AN1029" s="18"/>
      <c r="AO1029" s="18"/>
      <c r="AP1029" s="10"/>
      <c r="AQ1029" s="10"/>
      <c r="AR1029" s="19"/>
      <c r="AS1029" s="20"/>
      <c r="AT1029" s="19"/>
      <c r="AV1029" s="21">
        <f>IF(AND($AL1029&lt;&gt;"",COUNTIF($AL$11:$AL1029,$AL1029)=1),1,0)</f>
        <v>0</v>
      </c>
      <c r="AW1029" s="21">
        <f t="shared" si="117"/>
        <v>2</v>
      </c>
      <c r="AX1029" s="21" t="str">
        <f t="shared" si="116"/>
        <v/>
      </c>
      <c r="AY1029" s="21" t="str">
        <f>IF(AND($AM1029&lt;&gt;"",$AS1029&lt;&gt;"✓"),SUMPRODUCT(($AM$11:$AM1029&lt;&gt;"")*($AS$11:$AS1029&lt;&gt;"✓")),"")</f>
        <v/>
      </c>
      <c r="AZ1029" s="21" t="str">
        <f>IF(AND($AM1029&lt;&gt;"",$AS1029="✓"),SUMPRODUCT(($AM$11:$AM1029&lt;&gt;"")*($AS$11:$AS1029="✓")),"")</f>
        <v/>
      </c>
      <c r="BA1029" s="21" t="str">
        <f>IF($AL1029="","",$AL1029&amp;"|"&amp;COUNTIF($AL$11:$AL1029,$AL1029))</f>
        <v/>
      </c>
    </row>
    <row r="1030" spans="38:53" ht="15" customHeight="1" x14ac:dyDescent="0.25">
      <c r="AL1030" s="31"/>
      <c r="AM1030" s="26"/>
      <c r="AN1030" s="32"/>
      <c r="AO1030" s="32"/>
      <c r="AP1030" s="24"/>
      <c r="AQ1030" s="24"/>
      <c r="AR1030" s="33"/>
      <c r="AS1030" s="34"/>
      <c r="AT1030" s="33"/>
      <c r="AV1030" s="21">
        <f>IF(AND($AL1030&lt;&gt;"",COUNTIF($AL$11:$AL1030,$AL1030)=1),1,0)</f>
        <v>0</v>
      </c>
      <c r="AW1030" s="21">
        <f t="shared" si="117"/>
        <v>2</v>
      </c>
      <c r="AX1030" s="21" t="str">
        <f t="shared" si="116"/>
        <v/>
      </c>
      <c r="AY1030" s="21" t="str">
        <f>IF(AND($AM1030&lt;&gt;"",$AS1030&lt;&gt;"✓"),SUMPRODUCT(($AM$11:$AM1030&lt;&gt;"")*($AS$11:$AS1030&lt;&gt;"✓")),"")</f>
        <v/>
      </c>
      <c r="AZ1030" s="21" t="str">
        <f>IF(AND($AM1030&lt;&gt;"",$AS1030="✓"),SUMPRODUCT(($AM$11:$AM1030&lt;&gt;"")*($AS$11:$AS1030="✓")),"")</f>
        <v/>
      </c>
      <c r="BA1030" s="21" t="str">
        <f>IF($AL1030="","",$AL1030&amp;"|"&amp;COUNTIF($AL$11:$AL1030,$AL1030))</f>
        <v/>
      </c>
    </row>
    <row r="1031" spans="38:53" ht="15" customHeight="1" x14ac:dyDescent="0.25">
      <c r="AL1031" s="17"/>
      <c r="AM1031" s="12"/>
      <c r="AN1031" s="18"/>
      <c r="AO1031" s="18"/>
      <c r="AP1031" s="10"/>
      <c r="AQ1031" s="10"/>
      <c r="AR1031" s="19"/>
      <c r="AS1031" s="20"/>
      <c r="AT1031" s="19"/>
      <c r="AV1031" s="21">
        <f>IF(AND($AL1031&lt;&gt;"",COUNTIF($AL$11:$AL1031,$AL1031)=1),1,0)</f>
        <v>0</v>
      </c>
      <c r="AW1031" s="21">
        <f t="shared" si="117"/>
        <v>2</v>
      </c>
      <c r="AX1031" s="21" t="str">
        <f t="shared" si="116"/>
        <v/>
      </c>
      <c r="AY1031" s="21" t="str">
        <f>IF(AND($AM1031&lt;&gt;"",$AS1031&lt;&gt;"✓"),SUMPRODUCT(($AM$11:$AM1031&lt;&gt;"")*($AS$11:$AS1031&lt;&gt;"✓")),"")</f>
        <v/>
      </c>
      <c r="AZ1031" s="21" t="str">
        <f>IF(AND($AM1031&lt;&gt;"",$AS1031="✓"),SUMPRODUCT(($AM$11:$AM1031&lt;&gt;"")*($AS$11:$AS1031="✓")),"")</f>
        <v/>
      </c>
      <c r="BA1031" s="21" t="str">
        <f>IF($AL1031="","",$AL1031&amp;"|"&amp;COUNTIF($AL$11:$AL1031,$AL1031))</f>
        <v/>
      </c>
    </row>
    <row r="1032" spans="38:53" ht="15" customHeight="1" x14ac:dyDescent="0.25">
      <c r="AL1032" s="31"/>
      <c r="AM1032" s="26"/>
      <c r="AN1032" s="32"/>
      <c r="AO1032" s="32"/>
      <c r="AP1032" s="24"/>
      <c r="AQ1032" s="24"/>
      <c r="AR1032" s="33"/>
      <c r="AS1032" s="34"/>
      <c r="AT1032" s="33"/>
      <c r="AV1032" s="21">
        <f>IF(AND($AL1032&lt;&gt;"",COUNTIF($AL$11:$AL1032,$AL1032)=1),1,0)</f>
        <v>0</v>
      </c>
      <c r="AW1032" s="21">
        <f t="shared" si="117"/>
        <v>2</v>
      </c>
      <c r="AX1032" s="21" t="str">
        <f t="shared" si="116"/>
        <v/>
      </c>
      <c r="AY1032" s="21" t="str">
        <f>IF(AND($AM1032&lt;&gt;"",$AS1032&lt;&gt;"✓"),SUMPRODUCT(($AM$11:$AM1032&lt;&gt;"")*($AS$11:$AS1032&lt;&gt;"✓")),"")</f>
        <v/>
      </c>
      <c r="AZ1032" s="21" t="str">
        <f>IF(AND($AM1032&lt;&gt;"",$AS1032="✓"),SUMPRODUCT(($AM$11:$AM1032&lt;&gt;"")*($AS$11:$AS1032="✓")),"")</f>
        <v/>
      </c>
      <c r="BA1032" s="21" t="str">
        <f>IF($AL1032="","",$AL1032&amp;"|"&amp;COUNTIF($AL$11:$AL1032,$AL1032))</f>
        <v/>
      </c>
    </row>
    <row r="1033" spans="38:53" ht="15" customHeight="1" x14ac:dyDescent="0.25">
      <c r="AL1033" s="17"/>
      <c r="AM1033" s="12"/>
      <c r="AN1033" s="18"/>
      <c r="AO1033" s="18"/>
      <c r="AP1033" s="10"/>
      <c r="AQ1033" s="10"/>
      <c r="AR1033" s="19"/>
      <c r="AS1033" s="20"/>
      <c r="AT1033" s="19"/>
      <c r="AV1033" s="21">
        <f>IF(AND($AL1033&lt;&gt;"",COUNTIF($AL$11:$AL1033,$AL1033)=1),1,0)</f>
        <v>0</v>
      </c>
      <c r="AW1033" s="21">
        <f t="shared" si="117"/>
        <v>2</v>
      </c>
      <c r="AX1033" s="21" t="str">
        <f t="shared" si="116"/>
        <v/>
      </c>
      <c r="AY1033" s="21" t="str">
        <f>IF(AND($AM1033&lt;&gt;"",$AS1033&lt;&gt;"✓"),SUMPRODUCT(($AM$11:$AM1033&lt;&gt;"")*($AS$11:$AS1033&lt;&gt;"✓")),"")</f>
        <v/>
      </c>
      <c r="AZ1033" s="21" t="str">
        <f>IF(AND($AM1033&lt;&gt;"",$AS1033="✓"),SUMPRODUCT(($AM$11:$AM1033&lt;&gt;"")*($AS$11:$AS1033="✓")),"")</f>
        <v/>
      </c>
      <c r="BA1033" s="21" t="str">
        <f>IF($AL1033="","",$AL1033&amp;"|"&amp;COUNTIF($AL$11:$AL1033,$AL1033))</f>
        <v/>
      </c>
    </row>
    <row r="1034" spans="38:53" ht="15" customHeight="1" x14ac:dyDescent="0.25">
      <c r="AL1034" s="31"/>
      <c r="AM1034" s="26"/>
      <c r="AN1034" s="32"/>
      <c r="AO1034" s="32"/>
      <c r="AP1034" s="24"/>
      <c r="AQ1034" s="24"/>
      <c r="AR1034" s="33"/>
      <c r="AS1034" s="34"/>
      <c r="AT1034" s="33"/>
      <c r="AV1034" s="21">
        <f>IF(AND($AL1034&lt;&gt;"",COUNTIF($AL$11:$AL1034,$AL1034)=1),1,0)</f>
        <v>0</v>
      </c>
      <c r="AW1034" s="21">
        <f t="shared" si="117"/>
        <v>2</v>
      </c>
      <c r="AX1034" s="21" t="str">
        <f t="shared" si="116"/>
        <v/>
      </c>
      <c r="AY1034" s="21" t="str">
        <f>IF(AND($AM1034&lt;&gt;"",$AS1034&lt;&gt;"✓"),SUMPRODUCT(($AM$11:$AM1034&lt;&gt;"")*($AS$11:$AS1034&lt;&gt;"✓")),"")</f>
        <v/>
      </c>
      <c r="AZ1034" s="21" t="str">
        <f>IF(AND($AM1034&lt;&gt;"",$AS1034="✓"),SUMPRODUCT(($AM$11:$AM1034&lt;&gt;"")*($AS$11:$AS1034="✓")),"")</f>
        <v/>
      </c>
      <c r="BA1034" s="21" t="str">
        <f>IF($AL1034="","",$AL1034&amp;"|"&amp;COUNTIF($AL$11:$AL1034,$AL1034))</f>
        <v/>
      </c>
    </row>
    <row r="1035" spans="38:53" ht="15" customHeight="1" x14ac:dyDescent="0.25">
      <c r="AL1035" s="17"/>
      <c r="AM1035" s="12"/>
      <c r="AN1035" s="18"/>
      <c r="AO1035" s="18"/>
      <c r="AP1035" s="10"/>
      <c r="AQ1035" s="10"/>
      <c r="AR1035" s="19"/>
      <c r="AS1035" s="20"/>
      <c r="AT1035" s="19"/>
      <c r="AV1035" s="21">
        <f>IF(AND($AL1035&lt;&gt;"",COUNTIF($AL$11:$AL1035,$AL1035)=1),1,0)</f>
        <v>0</v>
      </c>
      <c r="AW1035" s="21">
        <f t="shared" si="117"/>
        <v>2</v>
      </c>
      <c r="AX1035" s="21" t="str">
        <f t="shared" ref="AX1035:AX1098" si="118">IF(AV1035=1,AW1035,"")</f>
        <v/>
      </c>
      <c r="AY1035" s="21" t="str">
        <f>IF(AND($AM1035&lt;&gt;"",$AS1035&lt;&gt;"✓"),SUMPRODUCT(($AM$11:$AM1035&lt;&gt;"")*($AS$11:$AS1035&lt;&gt;"✓")),"")</f>
        <v/>
      </c>
      <c r="AZ1035" s="21" t="str">
        <f>IF(AND($AM1035&lt;&gt;"",$AS1035="✓"),SUMPRODUCT(($AM$11:$AM1035&lt;&gt;"")*($AS$11:$AS1035="✓")),"")</f>
        <v/>
      </c>
      <c r="BA1035" s="21" t="str">
        <f>IF($AL1035="","",$AL1035&amp;"|"&amp;COUNTIF($AL$11:$AL1035,$AL1035))</f>
        <v/>
      </c>
    </row>
    <row r="1036" spans="38:53" ht="15" customHeight="1" x14ac:dyDescent="0.25">
      <c r="AL1036" s="31"/>
      <c r="AM1036" s="26"/>
      <c r="AN1036" s="32"/>
      <c r="AO1036" s="32"/>
      <c r="AP1036" s="24"/>
      <c r="AQ1036" s="24"/>
      <c r="AR1036" s="33"/>
      <c r="AS1036" s="34"/>
      <c r="AT1036" s="33"/>
      <c r="AV1036" s="21">
        <f>IF(AND($AL1036&lt;&gt;"",COUNTIF($AL$11:$AL1036,$AL1036)=1),1,0)</f>
        <v>0</v>
      </c>
      <c r="AW1036" s="21">
        <f t="shared" ref="AW1036:AW1099" si="119">AW1035+AV1036</f>
        <v>2</v>
      </c>
      <c r="AX1036" s="21" t="str">
        <f t="shared" si="118"/>
        <v/>
      </c>
      <c r="AY1036" s="21" t="str">
        <f>IF(AND($AM1036&lt;&gt;"",$AS1036&lt;&gt;"✓"),SUMPRODUCT(($AM$11:$AM1036&lt;&gt;"")*($AS$11:$AS1036&lt;&gt;"✓")),"")</f>
        <v/>
      </c>
      <c r="AZ1036" s="21" t="str">
        <f>IF(AND($AM1036&lt;&gt;"",$AS1036="✓"),SUMPRODUCT(($AM$11:$AM1036&lt;&gt;"")*($AS$11:$AS1036="✓")),"")</f>
        <v/>
      </c>
      <c r="BA1036" s="21" t="str">
        <f>IF($AL1036="","",$AL1036&amp;"|"&amp;COUNTIF($AL$11:$AL1036,$AL1036))</f>
        <v/>
      </c>
    </row>
    <row r="1037" spans="38:53" ht="15" customHeight="1" x14ac:dyDescent="0.25">
      <c r="AL1037" s="17"/>
      <c r="AM1037" s="12"/>
      <c r="AN1037" s="18"/>
      <c r="AO1037" s="18"/>
      <c r="AP1037" s="10"/>
      <c r="AQ1037" s="10"/>
      <c r="AR1037" s="19"/>
      <c r="AS1037" s="20"/>
      <c r="AT1037" s="19"/>
      <c r="AV1037" s="21">
        <f>IF(AND($AL1037&lt;&gt;"",COUNTIF($AL$11:$AL1037,$AL1037)=1),1,0)</f>
        <v>0</v>
      </c>
      <c r="AW1037" s="21">
        <f t="shared" si="119"/>
        <v>2</v>
      </c>
      <c r="AX1037" s="21" t="str">
        <f t="shared" si="118"/>
        <v/>
      </c>
      <c r="AY1037" s="21" t="str">
        <f>IF(AND($AM1037&lt;&gt;"",$AS1037&lt;&gt;"✓"),SUMPRODUCT(($AM$11:$AM1037&lt;&gt;"")*($AS$11:$AS1037&lt;&gt;"✓")),"")</f>
        <v/>
      </c>
      <c r="AZ1037" s="21" t="str">
        <f>IF(AND($AM1037&lt;&gt;"",$AS1037="✓"),SUMPRODUCT(($AM$11:$AM1037&lt;&gt;"")*($AS$11:$AS1037="✓")),"")</f>
        <v/>
      </c>
      <c r="BA1037" s="21" t="str">
        <f>IF($AL1037="","",$AL1037&amp;"|"&amp;COUNTIF($AL$11:$AL1037,$AL1037))</f>
        <v/>
      </c>
    </row>
    <row r="1038" spans="38:53" ht="15" customHeight="1" x14ac:dyDescent="0.25">
      <c r="AL1038" s="31"/>
      <c r="AM1038" s="26"/>
      <c r="AN1038" s="32"/>
      <c r="AO1038" s="32"/>
      <c r="AP1038" s="24"/>
      <c r="AQ1038" s="24"/>
      <c r="AR1038" s="33"/>
      <c r="AS1038" s="34"/>
      <c r="AT1038" s="33"/>
      <c r="AV1038" s="21">
        <f>IF(AND($AL1038&lt;&gt;"",COUNTIF($AL$11:$AL1038,$AL1038)=1),1,0)</f>
        <v>0</v>
      </c>
      <c r="AW1038" s="21">
        <f t="shared" si="119"/>
        <v>2</v>
      </c>
      <c r="AX1038" s="21" t="str">
        <f t="shared" si="118"/>
        <v/>
      </c>
      <c r="AY1038" s="21" t="str">
        <f>IF(AND($AM1038&lt;&gt;"",$AS1038&lt;&gt;"✓"),SUMPRODUCT(($AM$11:$AM1038&lt;&gt;"")*($AS$11:$AS1038&lt;&gt;"✓")),"")</f>
        <v/>
      </c>
      <c r="AZ1038" s="21" t="str">
        <f>IF(AND($AM1038&lt;&gt;"",$AS1038="✓"),SUMPRODUCT(($AM$11:$AM1038&lt;&gt;"")*($AS$11:$AS1038="✓")),"")</f>
        <v/>
      </c>
      <c r="BA1038" s="21" t="str">
        <f>IF($AL1038="","",$AL1038&amp;"|"&amp;COUNTIF($AL$11:$AL1038,$AL1038))</f>
        <v/>
      </c>
    </row>
    <row r="1039" spans="38:53" ht="15" customHeight="1" x14ac:dyDescent="0.25">
      <c r="AL1039" s="17"/>
      <c r="AM1039" s="12"/>
      <c r="AN1039" s="18"/>
      <c r="AO1039" s="18"/>
      <c r="AP1039" s="10"/>
      <c r="AQ1039" s="10"/>
      <c r="AR1039" s="19"/>
      <c r="AS1039" s="20"/>
      <c r="AT1039" s="19"/>
      <c r="AV1039" s="21">
        <f>IF(AND($AL1039&lt;&gt;"",COUNTIF($AL$11:$AL1039,$AL1039)=1),1,0)</f>
        <v>0</v>
      </c>
      <c r="AW1039" s="21">
        <f t="shared" si="119"/>
        <v>2</v>
      </c>
      <c r="AX1039" s="21" t="str">
        <f t="shared" si="118"/>
        <v/>
      </c>
      <c r="AY1039" s="21" t="str">
        <f>IF(AND($AM1039&lt;&gt;"",$AS1039&lt;&gt;"✓"),SUMPRODUCT(($AM$11:$AM1039&lt;&gt;"")*($AS$11:$AS1039&lt;&gt;"✓")),"")</f>
        <v/>
      </c>
      <c r="AZ1039" s="21" t="str">
        <f>IF(AND($AM1039&lt;&gt;"",$AS1039="✓"),SUMPRODUCT(($AM$11:$AM1039&lt;&gt;"")*($AS$11:$AS1039="✓")),"")</f>
        <v/>
      </c>
      <c r="BA1039" s="21" t="str">
        <f>IF($AL1039="","",$AL1039&amp;"|"&amp;COUNTIF($AL$11:$AL1039,$AL1039))</f>
        <v/>
      </c>
    </row>
    <row r="1040" spans="38:53" ht="15" customHeight="1" x14ac:dyDescent="0.25">
      <c r="AL1040" s="31"/>
      <c r="AM1040" s="26"/>
      <c r="AN1040" s="32"/>
      <c r="AO1040" s="32"/>
      <c r="AP1040" s="24"/>
      <c r="AQ1040" s="24"/>
      <c r="AR1040" s="33"/>
      <c r="AS1040" s="34"/>
      <c r="AT1040" s="33"/>
      <c r="AV1040" s="21">
        <f>IF(AND($AL1040&lt;&gt;"",COUNTIF($AL$11:$AL1040,$AL1040)=1),1,0)</f>
        <v>0</v>
      </c>
      <c r="AW1040" s="21">
        <f t="shared" si="119"/>
        <v>2</v>
      </c>
      <c r="AX1040" s="21" t="str">
        <f t="shared" si="118"/>
        <v/>
      </c>
      <c r="AY1040" s="21" t="str">
        <f>IF(AND($AM1040&lt;&gt;"",$AS1040&lt;&gt;"✓"),SUMPRODUCT(($AM$11:$AM1040&lt;&gt;"")*($AS$11:$AS1040&lt;&gt;"✓")),"")</f>
        <v/>
      </c>
      <c r="AZ1040" s="21" t="str">
        <f>IF(AND($AM1040&lt;&gt;"",$AS1040="✓"),SUMPRODUCT(($AM$11:$AM1040&lt;&gt;"")*($AS$11:$AS1040="✓")),"")</f>
        <v/>
      </c>
      <c r="BA1040" s="21" t="str">
        <f>IF($AL1040="","",$AL1040&amp;"|"&amp;COUNTIF($AL$11:$AL1040,$AL1040))</f>
        <v/>
      </c>
    </row>
    <row r="1041" spans="38:53" ht="15" customHeight="1" x14ac:dyDescent="0.25">
      <c r="AL1041" s="17"/>
      <c r="AM1041" s="12"/>
      <c r="AN1041" s="18"/>
      <c r="AO1041" s="18"/>
      <c r="AP1041" s="10"/>
      <c r="AQ1041" s="10"/>
      <c r="AR1041" s="19"/>
      <c r="AS1041" s="20"/>
      <c r="AT1041" s="19"/>
      <c r="AV1041" s="21">
        <f>IF(AND($AL1041&lt;&gt;"",COUNTIF($AL$11:$AL1041,$AL1041)=1),1,0)</f>
        <v>0</v>
      </c>
      <c r="AW1041" s="21">
        <f t="shared" si="119"/>
        <v>2</v>
      </c>
      <c r="AX1041" s="21" t="str">
        <f t="shared" si="118"/>
        <v/>
      </c>
      <c r="AY1041" s="21" t="str">
        <f>IF(AND($AM1041&lt;&gt;"",$AS1041&lt;&gt;"✓"),SUMPRODUCT(($AM$11:$AM1041&lt;&gt;"")*($AS$11:$AS1041&lt;&gt;"✓")),"")</f>
        <v/>
      </c>
      <c r="AZ1041" s="21" t="str">
        <f>IF(AND($AM1041&lt;&gt;"",$AS1041="✓"),SUMPRODUCT(($AM$11:$AM1041&lt;&gt;"")*($AS$11:$AS1041="✓")),"")</f>
        <v/>
      </c>
      <c r="BA1041" s="21" t="str">
        <f>IF($AL1041="","",$AL1041&amp;"|"&amp;COUNTIF($AL$11:$AL1041,$AL1041))</f>
        <v/>
      </c>
    </row>
    <row r="1042" spans="38:53" ht="15" customHeight="1" x14ac:dyDescent="0.25">
      <c r="AL1042" s="31"/>
      <c r="AM1042" s="26"/>
      <c r="AN1042" s="32"/>
      <c r="AO1042" s="32"/>
      <c r="AP1042" s="24"/>
      <c r="AQ1042" s="24"/>
      <c r="AR1042" s="33"/>
      <c r="AS1042" s="34"/>
      <c r="AT1042" s="33"/>
      <c r="AV1042" s="21">
        <f>IF(AND($AL1042&lt;&gt;"",COUNTIF($AL$11:$AL1042,$AL1042)=1),1,0)</f>
        <v>0</v>
      </c>
      <c r="AW1042" s="21">
        <f t="shared" si="119"/>
        <v>2</v>
      </c>
      <c r="AX1042" s="21" t="str">
        <f t="shared" si="118"/>
        <v/>
      </c>
      <c r="AY1042" s="21" t="str">
        <f>IF(AND($AM1042&lt;&gt;"",$AS1042&lt;&gt;"✓"),SUMPRODUCT(($AM$11:$AM1042&lt;&gt;"")*($AS$11:$AS1042&lt;&gt;"✓")),"")</f>
        <v/>
      </c>
      <c r="AZ1042" s="21" t="str">
        <f>IF(AND($AM1042&lt;&gt;"",$AS1042="✓"),SUMPRODUCT(($AM$11:$AM1042&lt;&gt;"")*($AS$11:$AS1042="✓")),"")</f>
        <v/>
      </c>
      <c r="BA1042" s="21" t="str">
        <f>IF($AL1042="","",$AL1042&amp;"|"&amp;COUNTIF($AL$11:$AL1042,$AL1042))</f>
        <v/>
      </c>
    </row>
    <row r="1043" spans="38:53" ht="15" customHeight="1" x14ac:dyDescent="0.25">
      <c r="AL1043" s="17"/>
      <c r="AM1043" s="12"/>
      <c r="AN1043" s="18"/>
      <c r="AO1043" s="18"/>
      <c r="AP1043" s="10"/>
      <c r="AQ1043" s="10"/>
      <c r="AR1043" s="19"/>
      <c r="AS1043" s="20"/>
      <c r="AT1043" s="19"/>
      <c r="AV1043" s="21">
        <f>IF(AND($AL1043&lt;&gt;"",COUNTIF($AL$11:$AL1043,$AL1043)=1),1,0)</f>
        <v>0</v>
      </c>
      <c r="AW1043" s="21">
        <f t="shared" si="119"/>
        <v>2</v>
      </c>
      <c r="AX1043" s="21" t="str">
        <f t="shared" si="118"/>
        <v/>
      </c>
      <c r="AY1043" s="21" t="str">
        <f>IF(AND($AM1043&lt;&gt;"",$AS1043&lt;&gt;"✓"),SUMPRODUCT(($AM$11:$AM1043&lt;&gt;"")*($AS$11:$AS1043&lt;&gt;"✓")),"")</f>
        <v/>
      </c>
      <c r="AZ1043" s="21" t="str">
        <f>IF(AND($AM1043&lt;&gt;"",$AS1043="✓"),SUMPRODUCT(($AM$11:$AM1043&lt;&gt;"")*($AS$11:$AS1043="✓")),"")</f>
        <v/>
      </c>
      <c r="BA1043" s="21" t="str">
        <f>IF($AL1043="","",$AL1043&amp;"|"&amp;COUNTIF($AL$11:$AL1043,$AL1043))</f>
        <v/>
      </c>
    </row>
    <row r="1044" spans="38:53" ht="15" customHeight="1" x14ac:dyDescent="0.25">
      <c r="AL1044" s="31"/>
      <c r="AM1044" s="26"/>
      <c r="AN1044" s="32"/>
      <c r="AO1044" s="32"/>
      <c r="AP1044" s="24"/>
      <c r="AQ1044" s="24"/>
      <c r="AR1044" s="33"/>
      <c r="AS1044" s="34"/>
      <c r="AT1044" s="33"/>
      <c r="AV1044" s="21">
        <f>IF(AND($AL1044&lt;&gt;"",COUNTIF($AL$11:$AL1044,$AL1044)=1),1,0)</f>
        <v>0</v>
      </c>
      <c r="AW1044" s="21">
        <f t="shared" si="119"/>
        <v>2</v>
      </c>
      <c r="AX1044" s="21" t="str">
        <f t="shared" si="118"/>
        <v/>
      </c>
      <c r="AY1044" s="21" t="str">
        <f>IF(AND($AM1044&lt;&gt;"",$AS1044&lt;&gt;"✓"),SUMPRODUCT(($AM$11:$AM1044&lt;&gt;"")*($AS$11:$AS1044&lt;&gt;"✓")),"")</f>
        <v/>
      </c>
      <c r="AZ1044" s="21" t="str">
        <f>IF(AND($AM1044&lt;&gt;"",$AS1044="✓"),SUMPRODUCT(($AM$11:$AM1044&lt;&gt;"")*($AS$11:$AS1044="✓")),"")</f>
        <v/>
      </c>
      <c r="BA1044" s="21" t="str">
        <f>IF($AL1044="","",$AL1044&amp;"|"&amp;COUNTIF($AL$11:$AL1044,$AL1044))</f>
        <v/>
      </c>
    </row>
    <row r="1045" spans="38:53" ht="15" customHeight="1" x14ac:dyDescent="0.25">
      <c r="AL1045" s="17"/>
      <c r="AM1045" s="12"/>
      <c r="AN1045" s="18"/>
      <c r="AO1045" s="18"/>
      <c r="AP1045" s="10"/>
      <c r="AQ1045" s="10"/>
      <c r="AR1045" s="19"/>
      <c r="AS1045" s="20"/>
      <c r="AT1045" s="19"/>
      <c r="AV1045" s="21">
        <f>IF(AND($AL1045&lt;&gt;"",COUNTIF($AL$11:$AL1045,$AL1045)=1),1,0)</f>
        <v>0</v>
      </c>
      <c r="AW1045" s="21">
        <f t="shared" si="119"/>
        <v>2</v>
      </c>
      <c r="AX1045" s="21" t="str">
        <f t="shared" si="118"/>
        <v/>
      </c>
      <c r="AY1045" s="21" t="str">
        <f>IF(AND($AM1045&lt;&gt;"",$AS1045&lt;&gt;"✓"),SUMPRODUCT(($AM$11:$AM1045&lt;&gt;"")*($AS$11:$AS1045&lt;&gt;"✓")),"")</f>
        <v/>
      </c>
      <c r="AZ1045" s="21" t="str">
        <f>IF(AND($AM1045&lt;&gt;"",$AS1045="✓"),SUMPRODUCT(($AM$11:$AM1045&lt;&gt;"")*($AS$11:$AS1045="✓")),"")</f>
        <v/>
      </c>
      <c r="BA1045" s="21" t="str">
        <f>IF($AL1045="","",$AL1045&amp;"|"&amp;COUNTIF($AL$11:$AL1045,$AL1045))</f>
        <v/>
      </c>
    </row>
    <row r="1046" spans="38:53" ht="15" customHeight="1" x14ac:dyDescent="0.25">
      <c r="AL1046" s="31"/>
      <c r="AM1046" s="26"/>
      <c r="AN1046" s="32"/>
      <c r="AO1046" s="32"/>
      <c r="AP1046" s="24"/>
      <c r="AQ1046" s="24"/>
      <c r="AR1046" s="33"/>
      <c r="AS1046" s="34"/>
      <c r="AT1046" s="33"/>
      <c r="AV1046" s="21">
        <f>IF(AND($AL1046&lt;&gt;"",COUNTIF($AL$11:$AL1046,$AL1046)=1),1,0)</f>
        <v>0</v>
      </c>
      <c r="AW1046" s="21">
        <f t="shared" si="119"/>
        <v>2</v>
      </c>
      <c r="AX1046" s="21" t="str">
        <f t="shared" si="118"/>
        <v/>
      </c>
      <c r="AY1046" s="21" t="str">
        <f>IF(AND($AM1046&lt;&gt;"",$AS1046&lt;&gt;"✓"),SUMPRODUCT(($AM$11:$AM1046&lt;&gt;"")*($AS$11:$AS1046&lt;&gt;"✓")),"")</f>
        <v/>
      </c>
      <c r="AZ1046" s="21" t="str">
        <f>IF(AND($AM1046&lt;&gt;"",$AS1046="✓"),SUMPRODUCT(($AM$11:$AM1046&lt;&gt;"")*($AS$11:$AS1046="✓")),"")</f>
        <v/>
      </c>
      <c r="BA1046" s="21" t="str">
        <f>IF($AL1046="","",$AL1046&amp;"|"&amp;COUNTIF($AL$11:$AL1046,$AL1046))</f>
        <v/>
      </c>
    </row>
    <row r="1047" spans="38:53" ht="15" customHeight="1" x14ac:dyDescent="0.25">
      <c r="AL1047" s="17"/>
      <c r="AM1047" s="12"/>
      <c r="AN1047" s="18"/>
      <c r="AO1047" s="18"/>
      <c r="AP1047" s="10"/>
      <c r="AQ1047" s="10"/>
      <c r="AR1047" s="19"/>
      <c r="AS1047" s="20"/>
      <c r="AT1047" s="19"/>
      <c r="AV1047" s="21">
        <f>IF(AND($AL1047&lt;&gt;"",COUNTIF($AL$11:$AL1047,$AL1047)=1),1,0)</f>
        <v>0</v>
      </c>
      <c r="AW1047" s="21">
        <f t="shared" si="119"/>
        <v>2</v>
      </c>
      <c r="AX1047" s="21" t="str">
        <f t="shared" si="118"/>
        <v/>
      </c>
      <c r="AY1047" s="21" t="str">
        <f>IF(AND($AM1047&lt;&gt;"",$AS1047&lt;&gt;"✓"),SUMPRODUCT(($AM$11:$AM1047&lt;&gt;"")*($AS$11:$AS1047&lt;&gt;"✓")),"")</f>
        <v/>
      </c>
      <c r="AZ1047" s="21" t="str">
        <f>IF(AND($AM1047&lt;&gt;"",$AS1047="✓"),SUMPRODUCT(($AM$11:$AM1047&lt;&gt;"")*($AS$11:$AS1047="✓")),"")</f>
        <v/>
      </c>
      <c r="BA1047" s="21" t="str">
        <f>IF($AL1047="","",$AL1047&amp;"|"&amp;COUNTIF($AL$11:$AL1047,$AL1047))</f>
        <v/>
      </c>
    </row>
    <row r="1048" spans="38:53" ht="15" customHeight="1" x14ac:dyDescent="0.25">
      <c r="AL1048" s="31"/>
      <c r="AM1048" s="26"/>
      <c r="AN1048" s="32"/>
      <c r="AO1048" s="32"/>
      <c r="AP1048" s="24"/>
      <c r="AQ1048" s="24"/>
      <c r="AR1048" s="33"/>
      <c r="AS1048" s="34"/>
      <c r="AT1048" s="33"/>
      <c r="AV1048" s="21">
        <f>IF(AND($AL1048&lt;&gt;"",COUNTIF($AL$11:$AL1048,$AL1048)=1),1,0)</f>
        <v>0</v>
      </c>
      <c r="AW1048" s="21">
        <f t="shared" si="119"/>
        <v>2</v>
      </c>
      <c r="AX1048" s="21" t="str">
        <f t="shared" si="118"/>
        <v/>
      </c>
      <c r="AY1048" s="21" t="str">
        <f>IF(AND($AM1048&lt;&gt;"",$AS1048&lt;&gt;"✓"),SUMPRODUCT(($AM$11:$AM1048&lt;&gt;"")*($AS$11:$AS1048&lt;&gt;"✓")),"")</f>
        <v/>
      </c>
      <c r="AZ1048" s="21" t="str">
        <f>IF(AND($AM1048&lt;&gt;"",$AS1048="✓"),SUMPRODUCT(($AM$11:$AM1048&lt;&gt;"")*($AS$11:$AS1048="✓")),"")</f>
        <v/>
      </c>
      <c r="BA1048" s="21" t="str">
        <f>IF($AL1048="","",$AL1048&amp;"|"&amp;COUNTIF($AL$11:$AL1048,$AL1048))</f>
        <v/>
      </c>
    </row>
    <row r="1049" spans="38:53" ht="15" customHeight="1" x14ac:dyDescent="0.25">
      <c r="AL1049" s="17"/>
      <c r="AM1049" s="12"/>
      <c r="AN1049" s="18"/>
      <c r="AO1049" s="18"/>
      <c r="AP1049" s="10"/>
      <c r="AQ1049" s="10"/>
      <c r="AR1049" s="19"/>
      <c r="AS1049" s="20"/>
      <c r="AT1049" s="19"/>
      <c r="AV1049" s="21">
        <f>IF(AND($AL1049&lt;&gt;"",COUNTIF($AL$11:$AL1049,$AL1049)=1),1,0)</f>
        <v>0</v>
      </c>
      <c r="AW1049" s="21">
        <f t="shared" si="119"/>
        <v>2</v>
      </c>
      <c r="AX1049" s="21" t="str">
        <f t="shared" si="118"/>
        <v/>
      </c>
      <c r="AY1049" s="21" t="str">
        <f>IF(AND($AM1049&lt;&gt;"",$AS1049&lt;&gt;"✓"),SUMPRODUCT(($AM$11:$AM1049&lt;&gt;"")*($AS$11:$AS1049&lt;&gt;"✓")),"")</f>
        <v/>
      </c>
      <c r="AZ1049" s="21" t="str">
        <f>IF(AND($AM1049&lt;&gt;"",$AS1049="✓"),SUMPRODUCT(($AM$11:$AM1049&lt;&gt;"")*($AS$11:$AS1049="✓")),"")</f>
        <v/>
      </c>
      <c r="BA1049" s="21" t="str">
        <f>IF($AL1049="","",$AL1049&amp;"|"&amp;COUNTIF($AL$11:$AL1049,$AL1049))</f>
        <v/>
      </c>
    </row>
    <row r="1050" spans="38:53" ht="15" customHeight="1" x14ac:dyDescent="0.25">
      <c r="AL1050" s="31"/>
      <c r="AM1050" s="26"/>
      <c r="AN1050" s="32"/>
      <c r="AO1050" s="32"/>
      <c r="AP1050" s="24"/>
      <c r="AQ1050" s="24"/>
      <c r="AR1050" s="33"/>
      <c r="AS1050" s="34"/>
      <c r="AT1050" s="33"/>
      <c r="AV1050" s="21">
        <f>IF(AND($AL1050&lt;&gt;"",COUNTIF($AL$11:$AL1050,$AL1050)=1),1,0)</f>
        <v>0</v>
      </c>
      <c r="AW1050" s="21">
        <f t="shared" si="119"/>
        <v>2</v>
      </c>
      <c r="AX1050" s="21" t="str">
        <f t="shared" si="118"/>
        <v/>
      </c>
      <c r="AY1050" s="21" t="str">
        <f>IF(AND($AM1050&lt;&gt;"",$AS1050&lt;&gt;"✓"),SUMPRODUCT(($AM$11:$AM1050&lt;&gt;"")*($AS$11:$AS1050&lt;&gt;"✓")),"")</f>
        <v/>
      </c>
      <c r="AZ1050" s="21" t="str">
        <f>IF(AND($AM1050&lt;&gt;"",$AS1050="✓"),SUMPRODUCT(($AM$11:$AM1050&lt;&gt;"")*($AS$11:$AS1050="✓")),"")</f>
        <v/>
      </c>
      <c r="BA1050" s="21" t="str">
        <f>IF($AL1050="","",$AL1050&amp;"|"&amp;COUNTIF($AL$11:$AL1050,$AL1050))</f>
        <v/>
      </c>
    </row>
    <row r="1051" spans="38:53" ht="15" customHeight="1" x14ac:dyDescent="0.25">
      <c r="AL1051" s="17"/>
      <c r="AM1051" s="12"/>
      <c r="AN1051" s="18"/>
      <c r="AO1051" s="18"/>
      <c r="AP1051" s="10"/>
      <c r="AQ1051" s="10"/>
      <c r="AR1051" s="19"/>
      <c r="AS1051" s="20"/>
      <c r="AT1051" s="19"/>
      <c r="AV1051" s="21">
        <f>IF(AND($AL1051&lt;&gt;"",COUNTIF($AL$11:$AL1051,$AL1051)=1),1,0)</f>
        <v>0</v>
      </c>
      <c r="AW1051" s="21">
        <f t="shared" si="119"/>
        <v>2</v>
      </c>
      <c r="AX1051" s="21" t="str">
        <f t="shared" si="118"/>
        <v/>
      </c>
      <c r="AY1051" s="21" t="str">
        <f>IF(AND($AM1051&lt;&gt;"",$AS1051&lt;&gt;"✓"),SUMPRODUCT(($AM$11:$AM1051&lt;&gt;"")*($AS$11:$AS1051&lt;&gt;"✓")),"")</f>
        <v/>
      </c>
      <c r="AZ1051" s="21" t="str">
        <f>IF(AND($AM1051&lt;&gt;"",$AS1051="✓"),SUMPRODUCT(($AM$11:$AM1051&lt;&gt;"")*($AS$11:$AS1051="✓")),"")</f>
        <v/>
      </c>
      <c r="BA1051" s="21" t="str">
        <f>IF($AL1051="","",$AL1051&amp;"|"&amp;COUNTIF($AL$11:$AL1051,$AL1051))</f>
        <v/>
      </c>
    </row>
    <row r="1052" spans="38:53" ht="15" customHeight="1" x14ac:dyDescent="0.25">
      <c r="AL1052" s="31"/>
      <c r="AM1052" s="26"/>
      <c r="AN1052" s="32"/>
      <c r="AO1052" s="32"/>
      <c r="AP1052" s="24"/>
      <c r="AQ1052" s="24"/>
      <c r="AR1052" s="33"/>
      <c r="AS1052" s="34"/>
      <c r="AT1052" s="33"/>
      <c r="AV1052" s="21">
        <f>IF(AND($AL1052&lt;&gt;"",COUNTIF($AL$11:$AL1052,$AL1052)=1),1,0)</f>
        <v>0</v>
      </c>
      <c r="AW1052" s="21">
        <f t="shared" si="119"/>
        <v>2</v>
      </c>
      <c r="AX1052" s="21" t="str">
        <f t="shared" si="118"/>
        <v/>
      </c>
      <c r="AY1052" s="21" t="str">
        <f>IF(AND($AM1052&lt;&gt;"",$AS1052&lt;&gt;"✓"),SUMPRODUCT(($AM$11:$AM1052&lt;&gt;"")*($AS$11:$AS1052&lt;&gt;"✓")),"")</f>
        <v/>
      </c>
      <c r="AZ1052" s="21" t="str">
        <f>IF(AND($AM1052&lt;&gt;"",$AS1052="✓"),SUMPRODUCT(($AM$11:$AM1052&lt;&gt;"")*($AS$11:$AS1052="✓")),"")</f>
        <v/>
      </c>
      <c r="BA1052" s="21" t="str">
        <f>IF($AL1052="","",$AL1052&amp;"|"&amp;COUNTIF($AL$11:$AL1052,$AL1052))</f>
        <v/>
      </c>
    </row>
    <row r="1053" spans="38:53" ht="15" customHeight="1" x14ac:dyDescent="0.25">
      <c r="AL1053" s="17"/>
      <c r="AM1053" s="12"/>
      <c r="AN1053" s="18"/>
      <c r="AO1053" s="18"/>
      <c r="AP1053" s="10"/>
      <c r="AQ1053" s="10"/>
      <c r="AR1053" s="19"/>
      <c r="AS1053" s="20"/>
      <c r="AT1053" s="19"/>
      <c r="AV1053" s="21">
        <f>IF(AND($AL1053&lt;&gt;"",COUNTIF($AL$11:$AL1053,$AL1053)=1),1,0)</f>
        <v>0</v>
      </c>
      <c r="AW1053" s="21">
        <f t="shared" si="119"/>
        <v>2</v>
      </c>
      <c r="AX1053" s="21" t="str">
        <f t="shared" si="118"/>
        <v/>
      </c>
      <c r="AY1053" s="21" t="str">
        <f>IF(AND($AM1053&lt;&gt;"",$AS1053&lt;&gt;"✓"),SUMPRODUCT(($AM$11:$AM1053&lt;&gt;"")*($AS$11:$AS1053&lt;&gt;"✓")),"")</f>
        <v/>
      </c>
      <c r="AZ1053" s="21" t="str">
        <f>IF(AND($AM1053&lt;&gt;"",$AS1053="✓"),SUMPRODUCT(($AM$11:$AM1053&lt;&gt;"")*($AS$11:$AS1053="✓")),"")</f>
        <v/>
      </c>
      <c r="BA1053" s="21" t="str">
        <f>IF($AL1053="","",$AL1053&amp;"|"&amp;COUNTIF($AL$11:$AL1053,$AL1053))</f>
        <v/>
      </c>
    </row>
    <row r="1054" spans="38:53" ht="15" customHeight="1" x14ac:dyDescent="0.25">
      <c r="AL1054" s="31"/>
      <c r="AM1054" s="26"/>
      <c r="AN1054" s="32"/>
      <c r="AO1054" s="32"/>
      <c r="AP1054" s="24"/>
      <c r="AQ1054" s="24"/>
      <c r="AR1054" s="33"/>
      <c r="AS1054" s="34"/>
      <c r="AT1054" s="33"/>
      <c r="AV1054" s="21">
        <f>IF(AND($AL1054&lt;&gt;"",COUNTIF($AL$11:$AL1054,$AL1054)=1),1,0)</f>
        <v>0</v>
      </c>
      <c r="AW1054" s="21">
        <f t="shared" si="119"/>
        <v>2</v>
      </c>
      <c r="AX1054" s="21" t="str">
        <f t="shared" si="118"/>
        <v/>
      </c>
      <c r="AY1054" s="21" t="str">
        <f>IF(AND($AM1054&lt;&gt;"",$AS1054&lt;&gt;"✓"),SUMPRODUCT(($AM$11:$AM1054&lt;&gt;"")*($AS$11:$AS1054&lt;&gt;"✓")),"")</f>
        <v/>
      </c>
      <c r="AZ1054" s="21" t="str">
        <f>IF(AND($AM1054&lt;&gt;"",$AS1054="✓"),SUMPRODUCT(($AM$11:$AM1054&lt;&gt;"")*($AS$11:$AS1054="✓")),"")</f>
        <v/>
      </c>
      <c r="BA1054" s="21" t="str">
        <f>IF($AL1054="","",$AL1054&amp;"|"&amp;COUNTIF($AL$11:$AL1054,$AL1054))</f>
        <v/>
      </c>
    </row>
    <row r="1055" spans="38:53" ht="15" customHeight="1" x14ac:dyDescent="0.25">
      <c r="AL1055" s="17"/>
      <c r="AM1055" s="12"/>
      <c r="AN1055" s="18"/>
      <c r="AO1055" s="18"/>
      <c r="AP1055" s="10"/>
      <c r="AQ1055" s="10"/>
      <c r="AR1055" s="19"/>
      <c r="AS1055" s="20"/>
      <c r="AT1055" s="19"/>
      <c r="AV1055" s="21">
        <f>IF(AND($AL1055&lt;&gt;"",COUNTIF($AL$11:$AL1055,$AL1055)=1),1,0)</f>
        <v>0</v>
      </c>
      <c r="AW1055" s="21">
        <f t="shared" si="119"/>
        <v>2</v>
      </c>
      <c r="AX1055" s="21" t="str">
        <f t="shared" si="118"/>
        <v/>
      </c>
      <c r="AY1055" s="21" t="str">
        <f>IF(AND($AM1055&lt;&gt;"",$AS1055&lt;&gt;"✓"),SUMPRODUCT(($AM$11:$AM1055&lt;&gt;"")*($AS$11:$AS1055&lt;&gt;"✓")),"")</f>
        <v/>
      </c>
      <c r="AZ1055" s="21" t="str">
        <f>IF(AND($AM1055&lt;&gt;"",$AS1055="✓"),SUMPRODUCT(($AM$11:$AM1055&lt;&gt;"")*($AS$11:$AS1055="✓")),"")</f>
        <v/>
      </c>
      <c r="BA1055" s="21" t="str">
        <f>IF($AL1055="","",$AL1055&amp;"|"&amp;COUNTIF($AL$11:$AL1055,$AL1055))</f>
        <v/>
      </c>
    </row>
    <row r="1056" spans="38:53" ht="15" customHeight="1" x14ac:dyDescent="0.25">
      <c r="AL1056" s="31"/>
      <c r="AM1056" s="26"/>
      <c r="AN1056" s="32"/>
      <c r="AO1056" s="32"/>
      <c r="AP1056" s="24"/>
      <c r="AQ1056" s="24"/>
      <c r="AR1056" s="33"/>
      <c r="AS1056" s="34"/>
      <c r="AT1056" s="33"/>
      <c r="AV1056" s="21">
        <f>IF(AND($AL1056&lt;&gt;"",COUNTIF($AL$11:$AL1056,$AL1056)=1),1,0)</f>
        <v>0</v>
      </c>
      <c r="AW1056" s="21">
        <f t="shared" si="119"/>
        <v>2</v>
      </c>
      <c r="AX1056" s="21" t="str">
        <f t="shared" si="118"/>
        <v/>
      </c>
      <c r="AY1056" s="21" t="str">
        <f>IF(AND($AM1056&lt;&gt;"",$AS1056&lt;&gt;"✓"),SUMPRODUCT(($AM$11:$AM1056&lt;&gt;"")*($AS$11:$AS1056&lt;&gt;"✓")),"")</f>
        <v/>
      </c>
      <c r="AZ1056" s="21" t="str">
        <f>IF(AND($AM1056&lt;&gt;"",$AS1056="✓"),SUMPRODUCT(($AM$11:$AM1056&lt;&gt;"")*($AS$11:$AS1056="✓")),"")</f>
        <v/>
      </c>
      <c r="BA1056" s="21" t="str">
        <f>IF($AL1056="","",$AL1056&amp;"|"&amp;COUNTIF($AL$11:$AL1056,$AL1056))</f>
        <v/>
      </c>
    </row>
    <row r="1057" spans="38:53" ht="15" customHeight="1" x14ac:dyDescent="0.25">
      <c r="AL1057" s="17"/>
      <c r="AM1057" s="12"/>
      <c r="AN1057" s="18"/>
      <c r="AO1057" s="18"/>
      <c r="AP1057" s="10"/>
      <c r="AQ1057" s="10"/>
      <c r="AR1057" s="19"/>
      <c r="AS1057" s="20"/>
      <c r="AT1057" s="19"/>
      <c r="AV1057" s="21">
        <f>IF(AND($AL1057&lt;&gt;"",COUNTIF($AL$11:$AL1057,$AL1057)=1),1,0)</f>
        <v>0</v>
      </c>
      <c r="AW1057" s="21">
        <f t="shared" si="119"/>
        <v>2</v>
      </c>
      <c r="AX1057" s="21" t="str">
        <f t="shared" si="118"/>
        <v/>
      </c>
      <c r="AY1057" s="21" t="str">
        <f>IF(AND($AM1057&lt;&gt;"",$AS1057&lt;&gt;"✓"),SUMPRODUCT(($AM$11:$AM1057&lt;&gt;"")*($AS$11:$AS1057&lt;&gt;"✓")),"")</f>
        <v/>
      </c>
      <c r="AZ1057" s="21" t="str">
        <f>IF(AND($AM1057&lt;&gt;"",$AS1057="✓"),SUMPRODUCT(($AM$11:$AM1057&lt;&gt;"")*($AS$11:$AS1057="✓")),"")</f>
        <v/>
      </c>
      <c r="BA1057" s="21" t="str">
        <f>IF($AL1057="","",$AL1057&amp;"|"&amp;COUNTIF($AL$11:$AL1057,$AL1057))</f>
        <v/>
      </c>
    </row>
    <row r="1058" spans="38:53" ht="15" customHeight="1" x14ac:dyDescent="0.25">
      <c r="AL1058" s="31"/>
      <c r="AM1058" s="26"/>
      <c r="AN1058" s="32"/>
      <c r="AO1058" s="32"/>
      <c r="AP1058" s="24"/>
      <c r="AQ1058" s="24"/>
      <c r="AR1058" s="33"/>
      <c r="AS1058" s="34"/>
      <c r="AT1058" s="33"/>
      <c r="AV1058" s="21">
        <f>IF(AND($AL1058&lt;&gt;"",COUNTIF($AL$11:$AL1058,$AL1058)=1),1,0)</f>
        <v>0</v>
      </c>
      <c r="AW1058" s="21">
        <f t="shared" si="119"/>
        <v>2</v>
      </c>
      <c r="AX1058" s="21" t="str">
        <f t="shared" si="118"/>
        <v/>
      </c>
      <c r="AY1058" s="21" t="str">
        <f>IF(AND($AM1058&lt;&gt;"",$AS1058&lt;&gt;"✓"),SUMPRODUCT(($AM$11:$AM1058&lt;&gt;"")*($AS$11:$AS1058&lt;&gt;"✓")),"")</f>
        <v/>
      </c>
      <c r="AZ1058" s="21" t="str">
        <f>IF(AND($AM1058&lt;&gt;"",$AS1058="✓"),SUMPRODUCT(($AM$11:$AM1058&lt;&gt;"")*($AS$11:$AS1058="✓")),"")</f>
        <v/>
      </c>
      <c r="BA1058" s="21" t="str">
        <f>IF($AL1058="","",$AL1058&amp;"|"&amp;COUNTIF($AL$11:$AL1058,$AL1058))</f>
        <v/>
      </c>
    </row>
    <row r="1059" spans="38:53" ht="15" customHeight="1" x14ac:dyDescent="0.25">
      <c r="AL1059" s="17"/>
      <c r="AM1059" s="12"/>
      <c r="AN1059" s="18"/>
      <c r="AO1059" s="18"/>
      <c r="AP1059" s="10"/>
      <c r="AQ1059" s="10"/>
      <c r="AR1059" s="19"/>
      <c r="AS1059" s="20"/>
      <c r="AT1059" s="19"/>
      <c r="AV1059" s="21">
        <f>IF(AND($AL1059&lt;&gt;"",COUNTIF($AL$11:$AL1059,$AL1059)=1),1,0)</f>
        <v>0</v>
      </c>
      <c r="AW1059" s="21">
        <f t="shared" si="119"/>
        <v>2</v>
      </c>
      <c r="AX1059" s="21" t="str">
        <f t="shared" si="118"/>
        <v/>
      </c>
      <c r="AY1059" s="21" t="str">
        <f>IF(AND($AM1059&lt;&gt;"",$AS1059&lt;&gt;"✓"),SUMPRODUCT(($AM$11:$AM1059&lt;&gt;"")*($AS$11:$AS1059&lt;&gt;"✓")),"")</f>
        <v/>
      </c>
      <c r="AZ1059" s="21" t="str">
        <f>IF(AND($AM1059&lt;&gt;"",$AS1059="✓"),SUMPRODUCT(($AM$11:$AM1059&lt;&gt;"")*($AS$11:$AS1059="✓")),"")</f>
        <v/>
      </c>
      <c r="BA1059" s="21" t="str">
        <f>IF($AL1059="","",$AL1059&amp;"|"&amp;COUNTIF($AL$11:$AL1059,$AL1059))</f>
        <v/>
      </c>
    </row>
    <row r="1060" spans="38:53" ht="15" customHeight="1" x14ac:dyDescent="0.25">
      <c r="AL1060" s="31"/>
      <c r="AM1060" s="26"/>
      <c r="AN1060" s="32"/>
      <c r="AO1060" s="32"/>
      <c r="AP1060" s="24"/>
      <c r="AQ1060" s="24"/>
      <c r="AR1060" s="33"/>
      <c r="AS1060" s="34"/>
      <c r="AT1060" s="33"/>
      <c r="AV1060" s="21">
        <f>IF(AND($AL1060&lt;&gt;"",COUNTIF($AL$11:$AL1060,$AL1060)=1),1,0)</f>
        <v>0</v>
      </c>
      <c r="AW1060" s="21">
        <f t="shared" si="119"/>
        <v>2</v>
      </c>
      <c r="AX1060" s="21" t="str">
        <f t="shared" si="118"/>
        <v/>
      </c>
      <c r="AY1060" s="21" t="str">
        <f>IF(AND($AM1060&lt;&gt;"",$AS1060&lt;&gt;"✓"),SUMPRODUCT(($AM$11:$AM1060&lt;&gt;"")*($AS$11:$AS1060&lt;&gt;"✓")),"")</f>
        <v/>
      </c>
      <c r="AZ1060" s="21" t="str">
        <f>IF(AND($AM1060&lt;&gt;"",$AS1060="✓"),SUMPRODUCT(($AM$11:$AM1060&lt;&gt;"")*($AS$11:$AS1060="✓")),"")</f>
        <v/>
      </c>
      <c r="BA1060" s="21" t="str">
        <f>IF($AL1060="","",$AL1060&amp;"|"&amp;COUNTIF($AL$11:$AL1060,$AL1060))</f>
        <v/>
      </c>
    </row>
    <row r="1061" spans="38:53" ht="15" customHeight="1" x14ac:dyDescent="0.25">
      <c r="AL1061" s="17"/>
      <c r="AM1061" s="12"/>
      <c r="AN1061" s="18"/>
      <c r="AO1061" s="18"/>
      <c r="AP1061" s="10"/>
      <c r="AQ1061" s="10"/>
      <c r="AR1061" s="19"/>
      <c r="AS1061" s="20"/>
      <c r="AT1061" s="19"/>
      <c r="AV1061" s="21">
        <f>IF(AND($AL1061&lt;&gt;"",COUNTIF($AL$11:$AL1061,$AL1061)=1),1,0)</f>
        <v>0</v>
      </c>
      <c r="AW1061" s="21">
        <f t="shared" si="119"/>
        <v>2</v>
      </c>
      <c r="AX1061" s="21" t="str">
        <f t="shared" si="118"/>
        <v/>
      </c>
      <c r="AY1061" s="21" t="str">
        <f>IF(AND($AM1061&lt;&gt;"",$AS1061&lt;&gt;"✓"),SUMPRODUCT(($AM$11:$AM1061&lt;&gt;"")*($AS$11:$AS1061&lt;&gt;"✓")),"")</f>
        <v/>
      </c>
      <c r="AZ1061" s="21" t="str">
        <f>IF(AND($AM1061&lt;&gt;"",$AS1061="✓"),SUMPRODUCT(($AM$11:$AM1061&lt;&gt;"")*($AS$11:$AS1061="✓")),"")</f>
        <v/>
      </c>
      <c r="BA1061" s="21" t="str">
        <f>IF($AL1061="","",$AL1061&amp;"|"&amp;COUNTIF($AL$11:$AL1061,$AL1061))</f>
        <v/>
      </c>
    </row>
    <row r="1062" spans="38:53" ht="15" customHeight="1" x14ac:dyDescent="0.25">
      <c r="AL1062" s="31"/>
      <c r="AM1062" s="26"/>
      <c r="AN1062" s="32"/>
      <c r="AO1062" s="32"/>
      <c r="AP1062" s="24"/>
      <c r="AQ1062" s="24"/>
      <c r="AR1062" s="33"/>
      <c r="AS1062" s="34"/>
      <c r="AT1062" s="33"/>
      <c r="AV1062" s="21">
        <f>IF(AND($AL1062&lt;&gt;"",COUNTIF($AL$11:$AL1062,$AL1062)=1),1,0)</f>
        <v>0</v>
      </c>
      <c r="AW1062" s="21">
        <f t="shared" si="119"/>
        <v>2</v>
      </c>
      <c r="AX1062" s="21" t="str">
        <f t="shared" si="118"/>
        <v/>
      </c>
      <c r="AY1062" s="21" t="str">
        <f>IF(AND($AM1062&lt;&gt;"",$AS1062&lt;&gt;"✓"),SUMPRODUCT(($AM$11:$AM1062&lt;&gt;"")*($AS$11:$AS1062&lt;&gt;"✓")),"")</f>
        <v/>
      </c>
      <c r="AZ1062" s="21" t="str">
        <f>IF(AND($AM1062&lt;&gt;"",$AS1062="✓"),SUMPRODUCT(($AM$11:$AM1062&lt;&gt;"")*($AS$11:$AS1062="✓")),"")</f>
        <v/>
      </c>
      <c r="BA1062" s="21" t="str">
        <f>IF($AL1062="","",$AL1062&amp;"|"&amp;COUNTIF($AL$11:$AL1062,$AL1062))</f>
        <v/>
      </c>
    </row>
    <row r="1063" spans="38:53" ht="15" customHeight="1" x14ac:dyDescent="0.25">
      <c r="AL1063" s="17"/>
      <c r="AM1063" s="12"/>
      <c r="AN1063" s="18"/>
      <c r="AO1063" s="18"/>
      <c r="AP1063" s="10"/>
      <c r="AQ1063" s="10"/>
      <c r="AR1063" s="19"/>
      <c r="AS1063" s="20"/>
      <c r="AT1063" s="19"/>
      <c r="AV1063" s="21">
        <f>IF(AND($AL1063&lt;&gt;"",COUNTIF($AL$11:$AL1063,$AL1063)=1),1,0)</f>
        <v>0</v>
      </c>
      <c r="AW1063" s="21">
        <f t="shared" si="119"/>
        <v>2</v>
      </c>
      <c r="AX1063" s="21" t="str">
        <f t="shared" si="118"/>
        <v/>
      </c>
      <c r="AY1063" s="21" t="str">
        <f>IF(AND($AM1063&lt;&gt;"",$AS1063&lt;&gt;"✓"),SUMPRODUCT(($AM$11:$AM1063&lt;&gt;"")*($AS$11:$AS1063&lt;&gt;"✓")),"")</f>
        <v/>
      </c>
      <c r="AZ1063" s="21" t="str">
        <f>IF(AND($AM1063&lt;&gt;"",$AS1063="✓"),SUMPRODUCT(($AM$11:$AM1063&lt;&gt;"")*($AS$11:$AS1063="✓")),"")</f>
        <v/>
      </c>
      <c r="BA1063" s="21" t="str">
        <f>IF($AL1063="","",$AL1063&amp;"|"&amp;COUNTIF($AL$11:$AL1063,$AL1063))</f>
        <v/>
      </c>
    </row>
    <row r="1064" spans="38:53" ht="15" customHeight="1" x14ac:dyDescent="0.25">
      <c r="AL1064" s="31"/>
      <c r="AM1064" s="26"/>
      <c r="AN1064" s="32"/>
      <c r="AO1064" s="32"/>
      <c r="AP1064" s="24"/>
      <c r="AQ1064" s="24"/>
      <c r="AR1064" s="33"/>
      <c r="AS1064" s="34"/>
      <c r="AT1064" s="33"/>
      <c r="AV1064" s="21">
        <f>IF(AND($AL1064&lt;&gt;"",COUNTIF($AL$11:$AL1064,$AL1064)=1),1,0)</f>
        <v>0</v>
      </c>
      <c r="AW1064" s="21">
        <f t="shared" si="119"/>
        <v>2</v>
      </c>
      <c r="AX1064" s="21" t="str">
        <f t="shared" si="118"/>
        <v/>
      </c>
      <c r="AY1064" s="21" t="str">
        <f>IF(AND($AM1064&lt;&gt;"",$AS1064&lt;&gt;"✓"),SUMPRODUCT(($AM$11:$AM1064&lt;&gt;"")*($AS$11:$AS1064&lt;&gt;"✓")),"")</f>
        <v/>
      </c>
      <c r="AZ1064" s="21" t="str">
        <f>IF(AND($AM1064&lt;&gt;"",$AS1064="✓"),SUMPRODUCT(($AM$11:$AM1064&lt;&gt;"")*($AS$11:$AS1064="✓")),"")</f>
        <v/>
      </c>
      <c r="BA1064" s="21" t="str">
        <f>IF($AL1064="","",$AL1064&amp;"|"&amp;COUNTIF($AL$11:$AL1064,$AL1064))</f>
        <v/>
      </c>
    </row>
    <row r="1065" spans="38:53" ht="15" customHeight="1" x14ac:dyDescent="0.25">
      <c r="AL1065" s="17"/>
      <c r="AM1065" s="12"/>
      <c r="AN1065" s="18"/>
      <c r="AO1065" s="18"/>
      <c r="AP1065" s="10"/>
      <c r="AQ1065" s="10"/>
      <c r="AR1065" s="19"/>
      <c r="AS1065" s="20"/>
      <c r="AT1065" s="19"/>
      <c r="AV1065" s="21">
        <f>IF(AND($AL1065&lt;&gt;"",COUNTIF($AL$11:$AL1065,$AL1065)=1),1,0)</f>
        <v>0</v>
      </c>
      <c r="AW1065" s="21">
        <f t="shared" si="119"/>
        <v>2</v>
      </c>
      <c r="AX1065" s="21" t="str">
        <f t="shared" si="118"/>
        <v/>
      </c>
      <c r="AY1065" s="21" t="str">
        <f>IF(AND($AM1065&lt;&gt;"",$AS1065&lt;&gt;"✓"),SUMPRODUCT(($AM$11:$AM1065&lt;&gt;"")*($AS$11:$AS1065&lt;&gt;"✓")),"")</f>
        <v/>
      </c>
      <c r="AZ1065" s="21" t="str">
        <f>IF(AND($AM1065&lt;&gt;"",$AS1065="✓"),SUMPRODUCT(($AM$11:$AM1065&lt;&gt;"")*($AS$11:$AS1065="✓")),"")</f>
        <v/>
      </c>
      <c r="BA1065" s="21" t="str">
        <f>IF($AL1065="","",$AL1065&amp;"|"&amp;COUNTIF($AL$11:$AL1065,$AL1065))</f>
        <v/>
      </c>
    </row>
    <row r="1066" spans="38:53" ht="15" customHeight="1" x14ac:dyDescent="0.25">
      <c r="AL1066" s="31"/>
      <c r="AM1066" s="26"/>
      <c r="AN1066" s="32"/>
      <c r="AO1066" s="32"/>
      <c r="AP1066" s="24"/>
      <c r="AQ1066" s="24"/>
      <c r="AR1066" s="33"/>
      <c r="AS1066" s="34"/>
      <c r="AT1066" s="33"/>
      <c r="AV1066" s="21">
        <f>IF(AND($AL1066&lt;&gt;"",COUNTIF($AL$11:$AL1066,$AL1066)=1),1,0)</f>
        <v>0</v>
      </c>
      <c r="AW1066" s="21">
        <f t="shared" si="119"/>
        <v>2</v>
      </c>
      <c r="AX1066" s="21" t="str">
        <f t="shared" si="118"/>
        <v/>
      </c>
      <c r="AY1066" s="21" t="str">
        <f>IF(AND($AM1066&lt;&gt;"",$AS1066&lt;&gt;"✓"),SUMPRODUCT(($AM$11:$AM1066&lt;&gt;"")*($AS$11:$AS1066&lt;&gt;"✓")),"")</f>
        <v/>
      </c>
      <c r="AZ1066" s="21" t="str">
        <f>IF(AND($AM1066&lt;&gt;"",$AS1066="✓"),SUMPRODUCT(($AM$11:$AM1066&lt;&gt;"")*($AS$11:$AS1066="✓")),"")</f>
        <v/>
      </c>
      <c r="BA1066" s="21" t="str">
        <f>IF($AL1066="","",$AL1066&amp;"|"&amp;COUNTIF($AL$11:$AL1066,$AL1066))</f>
        <v/>
      </c>
    </row>
    <row r="1067" spans="38:53" ht="15" customHeight="1" x14ac:dyDescent="0.25">
      <c r="AL1067" s="17"/>
      <c r="AM1067" s="12"/>
      <c r="AN1067" s="18"/>
      <c r="AO1067" s="18"/>
      <c r="AP1067" s="10"/>
      <c r="AQ1067" s="10"/>
      <c r="AR1067" s="19"/>
      <c r="AS1067" s="20"/>
      <c r="AT1067" s="19"/>
      <c r="AV1067" s="21">
        <f>IF(AND($AL1067&lt;&gt;"",COUNTIF($AL$11:$AL1067,$AL1067)=1),1,0)</f>
        <v>0</v>
      </c>
      <c r="AW1067" s="21">
        <f t="shared" si="119"/>
        <v>2</v>
      </c>
      <c r="AX1067" s="21" t="str">
        <f t="shared" si="118"/>
        <v/>
      </c>
      <c r="AY1067" s="21" t="str">
        <f>IF(AND($AM1067&lt;&gt;"",$AS1067&lt;&gt;"✓"),SUMPRODUCT(($AM$11:$AM1067&lt;&gt;"")*($AS$11:$AS1067&lt;&gt;"✓")),"")</f>
        <v/>
      </c>
      <c r="AZ1067" s="21" t="str">
        <f>IF(AND($AM1067&lt;&gt;"",$AS1067="✓"),SUMPRODUCT(($AM$11:$AM1067&lt;&gt;"")*($AS$11:$AS1067="✓")),"")</f>
        <v/>
      </c>
      <c r="BA1067" s="21" t="str">
        <f>IF($AL1067="","",$AL1067&amp;"|"&amp;COUNTIF($AL$11:$AL1067,$AL1067))</f>
        <v/>
      </c>
    </row>
    <row r="1068" spans="38:53" ht="15" customHeight="1" x14ac:dyDescent="0.25">
      <c r="AL1068" s="31"/>
      <c r="AM1068" s="26"/>
      <c r="AN1068" s="32"/>
      <c r="AO1068" s="32"/>
      <c r="AP1068" s="24"/>
      <c r="AQ1068" s="24"/>
      <c r="AR1068" s="33"/>
      <c r="AS1068" s="34"/>
      <c r="AT1068" s="33"/>
      <c r="AV1068" s="21">
        <f>IF(AND($AL1068&lt;&gt;"",COUNTIF($AL$11:$AL1068,$AL1068)=1),1,0)</f>
        <v>0</v>
      </c>
      <c r="AW1068" s="21">
        <f t="shared" si="119"/>
        <v>2</v>
      </c>
      <c r="AX1068" s="21" t="str">
        <f t="shared" si="118"/>
        <v/>
      </c>
      <c r="AY1068" s="21" t="str">
        <f>IF(AND($AM1068&lt;&gt;"",$AS1068&lt;&gt;"✓"),SUMPRODUCT(($AM$11:$AM1068&lt;&gt;"")*($AS$11:$AS1068&lt;&gt;"✓")),"")</f>
        <v/>
      </c>
      <c r="AZ1068" s="21" t="str">
        <f>IF(AND($AM1068&lt;&gt;"",$AS1068="✓"),SUMPRODUCT(($AM$11:$AM1068&lt;&gt;"")*($AS$11:$AS1068="✓")),"")</f>
        <v/>
      </c>
      <c r="BA1068" s="21" t="str">
        <f>IF($AL1068="","",$AL1068&amp;"|"&amp;COUNTIF($AL$11:$AL1068,$AL1068))</f>
        <v/>
      </c>
    </row>
    <row r="1069" spans="38:53" ht="15" customHeight="1" x14ac:dyDescent="0.25">
      <c r="AL1069" s="17"/>
      <c r="AM1069" s="12"/>
      <c r="AN1069" s="18"/>
      <c r="AO1069" s="18"/>
      <c r="AP1069" s="10"/>
      <c r="AQ1069" s="10"/>
      <c r="AR1069" s="19"/>
      <c r="AS1069" s="20"/>
      <c r="AT1069" s="19"/>
      <c r="AV1069" s="21">
        <f>IF(AND($AL1069&lt;&gt;"",COUNTIF($AL$11:$AL1069,$AL1069)=1),1,0)</f>
        <v>0</v>
      </c>
      <c r="AW1069" s="21">
        <f t="shared" si="119"/>
        <v>2</v>
      </c>
      <c r="AX1069" s="21" t="str">
        <f t="shared" si="118"/>
        <v/>
      </c>
      <c r="AY1069" s="21" t="str">
        <f>IF(AND($AM1069&lt;&gt;"",$AS1069&lt;&gt;"✓"),SUMPRODUCT(($AM$11:$AM1069&lt;&gt;"")*($AS$11:$AS1069&lt;&gt;"✓")),"")</f>
        <v/>
      </c>
      <c r="AZ1069" s="21" t="str">
        <f>IF(AND($AM1069&lt;&gt;"",$AS1069="✓"),SUMPRODUCT(($AM$11:$AM1069&lt;&gt;"")*($AS$11:$AS1069="✓")),"")</f>
        <v/>
      </c>
      <c r="BA1069" s="21" t="str">
        <f>IF($AL1069="","",$AL1069&amp;"|"&amp;COUNTIF($AL$11:$AL1069,$AL1069))</f>
        <v/>
      </c>
    </row>
    <row r="1070" spans="38:53" ht="15" customHeight="1" x14ac:dyDescent="0.25">
      <c r="AL1070" s="31"/>
      <c r="AM1070" s="26"/>
      <c r="AN1070" s="32"/>
      <c r="AO1070" s="32"/>
      <c r="AP1070" s="24"/>
      <c r="AQ1070" s="24"/>
      <c r="AR1070" s="33"/>
      <c r="AS1070" s="34"/>
      <c r="AT1070" s="33"/>
      <c r="AV1070" s="21">
        <f>IF(AND($AL1070&lt;&gt;"",COUNTIF($AL$11:$AL1070,$AL1070)=1),1,0)</f>
        <v>0</v>
      </c>
      <c r="AW1070" s="21">
        <f t="shared" si="119"/>
        <v>2</v>
      </c>
      <c r="AX1070" s="21" t="str">
        <f t="shared" si="118"/>
        <v/>
      </c>
      <c r="AY1070" s="21" t="str">
        <f>IF(AND($AM1070&lt;&gt;"",$AS1070&lt;&gt;"✓"),SUMPRODUCT(($AM$11:$AM1070&lt;&gt;"")*($AS$11:$AS1070&lt;&gt;"✓")),"")</f>
        <v/>
      </c>
      <c r="AZ1070" s="21" t="str">
        <f>IF(AND($AM1070&lt;&gt;"",$AS1070="✓"),SUMPRODUCT(($AM$11:$AM1070&lt;&gt;"")*($AS$11:$AS1070="✓")),"")</f>
        <v/>
      </c>
      <c r="BA1070" s="21" t="str">
        <f>IF($AL1070="","",$AL1070&amp;"|"&amp;COUNTIF($AL$11:$AL1070,$AL1070))</f>
        <v/>
      </c>
    </row>
    <row r="1071" spans="38:53" ht="15" customHeight="1" x14ac:dyDescent="0.25">
      <c r="AL1071" s="17"/>
      <c r="AM1071" s="12"/>
      <c r="AN1071" s="18"/>
      <c r="AO1071" s="18"/>
      <c r="AP1071" s="10"/>
      <c r="AQ1071" s="10"/>
      <c r="AR1071" s="19"/>
      <c r="AS1071" s="20"/>
      <c r="AT1071" s="19"/>
      <c r="AV1071" s="21">
        <f>IF(AND($AL1071&lt;&gt;"",COUNTIF($AL$11:$AL1071,$AL1071)=1),1,0)</f>
        <v>0</v>
      </c>
      <c r="AW1071" s="21">
        <f t="shared" si="119"/>
        <v>2</v>
      </c>
      <c r="AX1071" s="21" t="str">
        <f t="shared" si="118"/>
        <v/>
      </c>
      <c r="AY1071" s="21" t="str">
        <f>IF(AND($AM1071&lt;&gt;"",$AS1071&lt;&gt;"✓"),SUMPRODUCT(($AM$11:$AM1071&lt;&gt;"")*($AS$11:$AS1071&lt;&gt;"✓")),"")</f>
        <v/>
      </c>
      <c r="AZ1071" s="21" t="str">
        <f>IF(AND($AM1071&lt;&gt;"",$AS1071="✓"),SUMPRODUCT(($AM$11:$AM1071&lt;&gt;"")*($AS$11:$AS1071="✓")),"")</f>
        <v/>
      </c>
      <c r="BA1071" s="21" t="str">
        <f>IF($AL1071="","",$AL1071&amp;"|"&amp;COUNTIF($AL$11:$AL1071,$AL1071))</f>
        <v/>
      </c>
    </row>
    <row r="1072" spans="38:53" ht="15" customHeight="1" x14ac:dyDescent="0.25">
      <c r="AL1072" s="31"/>
      <c r="AM1072" s="26"/>
      <c r="AN1072" s="32"/>
      <c r="AO1072" s="32"/>
      <c r="AP1072" s="24"/>
      <c r="AQ1072" s="24"/>
      <c r="AR1072" s="33"/>
      <c r="AS1072" s="34"/>
      <c r="AT1072" s="33"/>
      <c r="AV1072" s="21">
        <f>IF(AND($AL1072&lt;&gt;"",COUNTIF($AL$11:$AL1072,$AL1072)=1),1,0)</f>
        <v>0</v>
      </c>
      <c r="AW1072" s="21">
        <f t="shared" si="119"/>
        <v>2</v>
      </c>
      <c r="AX1072" s="21" t="str">
        <f t="shared" si="118"/>
        <v/>
      </c>
      <c r="AY1072" s="21" t="str">
        <f>IF(AND($AM1072&lt;&gt;"",$AS1072&lt;&gt;"✓"),SUMPRODUCT(($AM$11:$AM1072&lt;&gt;"")*($AS$11:$AS1072&lt;&gt;"✓")),"")</f>
        <v/>
      </c>
      <c r="AZ1072" s="21" t="str">
        <f>IF(AND($AM1072&lt;&gt;"",$AS1072="✓"),SUMPRODUCT(($AM$11:$AM1072&lt;&gt;"")*($AS$11:$AS1072="✓")),"")</f>
        <v/>
      </c>
      <c r="BA1072" s="21" t="str">
        <f>IF($AL1072="","",$AL1072&amp;"|"&amp;COUNTIF($AL$11:$AL1072,$AL1072))</f>
        <v/>
      </c>
    </row>
    <row r="1073" spans="38:53" ht="15" customHeight="1" x14ac:dyDescent="0.25">
      <c r="AL1073" s="17"/>
      <c r="AM1073" s="12"/>
      <c r="AN1073" s="18"/>
      <c r="AO1073" s="18"/>
      <c r="AP1073" s="10"/>
      <c r="AQ1073" s="10"/>
      <c r="AR1073" s="19"/>
      <c r="AS1073" s="20"/>
      <c r="AT1073" s="19"/>
      <c r="AV1073" s="21">
        <f>IF(AND($AL1073&lt;&gt;"",COUNTIF($AL$11:$AL1073,$AL1073)=1),1,0)</f>
        <v>0</v>
      </c>
      <c r="AW1073" s="21">
        <f t="shared" si="119"/>
        <v>2</v>
      </c>
      <c r="AX1073" s="21" t="str">
        <f t="shared" si="118"/>
        <v/>
      </c>
      <c r="AY1073" s="21" t="str">
        <f>IF(AND($AM1073&lt;&gt;"",$AS1073&lt;&gt;"✓"),SUMPRODUCT(($AM$11:$AM1073&lt;&gt;"")*($AS$11:$AS1073&lt;&gt;"✓")),"")</f>
        <v/>
      </c>
      <c r="AZ1073" s="21" t="str">
        <f>IF(AND($AM1073&lt;&gt;"",$AS1073="✓"),SUMPRODUCT(($AM$11:$AM1073&lt;&gt;"")*($AS$11:$AS1073="✓")),"")</f>
        <v/>
      </c>
      <c r="BA1073" s="21" t="str">
        <f>IF($AL1073="","",$AL1073&amp;"|"&amp;COUNTIF($AL$11:$AL1073,$AL1073))</f>
        <v/>
      </c>
    </row>
    <row r="1074" spans="38:53" ht="15" customHeight="1" x14ac:dyDescent="0.25">
      <c r="AL1074" s="31"/>
      <c r="AM1074" s="26"/>
      <c r="AN1074" s="32"/>
      <c r="AO1074" s="32"/>
      <c r="AP1074" s="24"/>
      <c r="AQ1074" s="24"/>
      <c r="AR1074" s="33"/>
      <c r="AS1074" s="34"/>
      <c r="AT1074" s="33"/>
      <c r="AV1074" s="21">
        <f>IF(AND($AL1074&lt;&gt;"",COUNTIF($AL$11:$AL1074,$AL1074)=1),1,0)</f>
        <v>0</v>
      </c>
      <c r="AW1074" s="21">
        <f t="shared" si="119"/>
        <v>2</v>
      </c>
      <c r="AX1074" s="21" t="str">
        <f t="shared" si="118"/>
        <v/>
      </c>
      <c r="AY1074" s="21" t="str">
        <f>IF(AND($AM1074&lt;&gt;"",$AS1074&lt;&gt;"✓"),SUMPRODUCT(($AM$11:$AM1074&lt;&gt;"")*($AS$11:$AS1074&lt;&gt;"✓")),"")</f>
        <v/>
      </c>
      <c r="AZ1074" s="21" t="str">
        <f>IF(AND($AM1074&lt;&gt;"",$AS1074="✓"),SUMPRODUCT(($AM$11:$AM1074&lt;&gt;"")*($AS$11:$AS1074="✓")),"")</f>
        <v/>
      </c>
      <c r="BA1074" s="21" t="str">
        <f>IF($AL1074="","",$AL1074&amp;"|"&amp;COUNTIF($AL$11:$AL1074,$AL1074))</f>
        <v/>
      </c>
    </row>
    <row r="1075" spans="38:53" ht="15" customHeight="1" x14ac:dyDescent="0.25">
      <c r="AL1075" s="17"/>
      <c r="AM1075" s="12"/>
      <c r="AN1075" s="18"/>
      <c r="AO1075" s="18"/>
      <c r="AP1075" s="10"/>
      <c r="AQ1075" s="10"/>
      <c r="AR1075" s="19"/>
      <c r="AS1075" s="20"/>
      <c r="AT1075" s="19"/>
      <c r="AV1075" s="21">
        <f>IF(AND($AL1075&lt;&gt;"",COUNTIF($AL$11:$AL1075,$AL1075)=1),1,0)</f>
        <v>0</v>
      </c>
      <c r="AW1075" s="21">
        <f t="shared" si="119"/>
        <v>2</v>
      </c>
      <c r="AX1075" s="21" t="str">
        <f t="shared" si="118"/>
        <v/>
      </c>
      <c r="AY1075" s="21" t="str">
        <f>IF(AND($AM1075&lt;&gt;"",$AS1075&lt;&gt;"✓"),SUMPRODUCT(($AM$11:$AM1075&lt;&gt;"")*($AS$11:$AS1075&lt;&gt;"✓")),"")</f>
        <v/>
      </c>
      <c r="AZ1075" s="21" t="str">
        <f>IF(AND($AM1075&lt;&gt;"",$AS1075="✓"),SUMPRODUCT(($AM$11:$AM1075&lt;&gt;"")*($AS$11:$AS1075="✓")),"")</f>
        <v/>
      </c>
      <c r="BA1075" s="21" t="str">
        <f>IF($AL1075="","",$AL1075&amp;"|"&amp;COUNTIF($AL$11:$AL1075,$AL1075))</f>
        <v/>
      </c>
    </row>
    <row r="1076" spans="38:53" ht="15" customHeight="1" x14ac:dyDescent="0.25">
      <c r="AL1076" s="31"/>
      <c r="AM1076" s="26"/>
      <c r="AN1076" s="32"/>
      <c r="AO1076" s="32"/>
      <c r="AP1076" s="24"/>
      <c r="AQ1076" s="24"/>
      <c r="AR1076" s="33"/>
      <c r="AS1076" s="34"/>
      <c r="AT1076" s="33"/>
      <c r="AV1076" s="21">
        <f>IF(AND($AL1076&lt;&gt;"",COUNTIF($AL$11:$AL1076,$AL1076)=1),1,0)</f>
        <v>0</v>
      </c>
      <c r="AW1076" s="21">
        <f t="shared" si="119"/>
        <v>2</v>
      </c>
      <c r="AX1076" s="21" t="str">
        <f t="shared" si="118"/>
        <v/>
      </c>
      <c r="AY1076" s="21" t="str">
        <f>IF(AND($AM1076&lt;&gt;"",$AS1076&lt;&gt;"✓"),SUMPRODUCT(($AM$11:$AM1076&lt;&gt;"")*($AS$11:$AS1076&lt;&gt;"✓")),"")</f>
        <v/>
      </c>
      <c r="AZ1076" s="21" t="str">
        <f>IF(AND($AM1076&lt;&gt;"",$AS1076="✓"),SUMPRODUCT(($AM$11:$AM1076&lt;&gt;"")*($AS$11:$AS1076="✓")),"")</f>
        <v/>
      </c>
      <c r="BA1076" s="21" t="str">
        <f>IF($AL1076="","",$AL1076&amp;"|"&amp;COUNTIF($AL$11:$AL1076,$AL1076))</f>
        <v/>
      </c>
    </row>
    <row r="1077" spans="38:53" ht="15" customHeight="1" x14ac:dyDescent="0.25">
      <c r="AL1077" s="17"/>
      <c r="AM1077" s="12"/>
      <c r="AN1077" s="18"/>
      <c r="AO1077" s="18"/>
      <c r="AP1077" s="10"/>
      <c r="AQ1077" s="10"/>
      <c r="AR1077" s="19"/>
      <c r="AS1077" s="20"/>
      <c r="AT1077" s="19"/>
      <c r="AV1077" s="21">
        <f>IF(AND($AL1077&lt;&gt;"",COUNTIF($AL$11:$AL1077,$AL1077)=1),1,0)</f>
        <v>0</v>
      </c>
      <c r="AW1077" s="21">
        <f t="shared" si="119"/>
        <v>2</v>
      </c>
      <c r="AX1077" s="21" t="str">
        <f t="shared" si="118"/>
        <v/>
      </c>
      <c r="AY1077" s="21" t="str">
        <f>IF(AND($AM1077&lt;&gt;"",$AS1077&lt;&gt;"✓"),SUMPRODUCT(($AM$11:$AM1077&lt;&gt;"")*($AS$11:$AS1077&lt;&gt;"✓")),"")</f>
        <v/>
      </c>
      <c r="AZ1077" s="21" t="str">
        <f>IF(AND($AM1077&lt;&gt;"",$AS1077="✓"),SUMPRODUCT(($AM$11:$AM1077&lt;&gt;"")*($AS$11:$AS1077="✓")),"")</f>
        <v/>
      </c>
      <c r="BA1077" s="21" t="str">
        <f>IF($AL1077="","",$AL1077&amp;"|"&amp;COUNTIF($AL$11:$AL1077,$AL1077))</f>
        <v/>
      </c>
    </row>
    <row r="1078" spans="38:53" ht="15" customHeight="1" x14ac:dyDescent="0.25">
      <c r="AL1078" s="31"/>
      <c r="AM1078" s="26"/>
      <c r="AN1078" s="32"/>
      <c r="AO1078" s="32"/>
      <c r="AP1078" s="24"/>
      <c r="AQ1078" s="24"/>
      <c r="AR1078" s="33"/>
      <c r="AS1078" s="34"/>
      <c r="AT1078" s="33"/>
      <c r="AV1078" s="21">
        <f>IF(AND($AL1078&lt;&gt;"",COUNTIF($AL$11:$AL1078,$AL1078)=1),1,0)</f>
        <v>0</v>
      </c>
      <c r="AW1078" s="21">
        <f t="shared" si="119"/>
        <v>2</v>
      </c>
      <c r="AX1078" s="21" t="str">
        <f t="shared" si="118"/>
        <v/>
      </c>
      <c r="AY1078" s="21" t="str">
        <f>IF(AND($AM1078&lt;&gt;"",$AS1078&lt;&gt;"✓"),SUMPRODUCT(($AM$11:$AM1078&lt;&gt;"")*($AS$11:$AS1078&lt;&gt;"✓")),"")</f>
        <v/>
      </c>
      <c r="AZ1078" s="21" t="str">
        <f>IF(AND($AM1078&lt;&gt;"",$AS1078="✓"),SUMPRODUCT(($AM$11:$AM1078&lt;&gt;"")*($AS$11:$AS1078="✓")),"")</f>
        <v/>
      </c>
      <c r="BA1078" s="21" t="str">
        <f>IF($AL1078="","",$AL1078&amp;"|"&amp;COUNTIF($AL$11:$AL1078,$AL1078))</f>
        <v/>
      </c>
    </row>
    <row r="1079" spans="38:53" ht="15" customHeight="1" x14ac:dyDescent="0.25">
      <c r="AL1079" s="17"/>
      <c r="AM1079" s="12"/>
      <c r="AN1079" s="18"/>
      <c r="AO1079" s="18"/>
      <c r="AP1079" s="10"/>
      <c r="AQ1079" s="10"/>
      <c r="AR1079" s="19"/>
      <c r="AS1079" s="20"/>
      <c r="AT1079" s="19"/>
      <c r="AV1079" s="21">
        <f>IF(AND($AL1079&lt;&gt;"",COUNTIF($AL$11:$AL1079,$AL1079)=1),1,0)</f>
        <v>0</v>
      </c>
      <c r="AW1079" s="21">
        <f t="shared" si="119"/>
        <v>2</v>
      </c>
      <c r="AX1079" s="21" t="str">
        <f t="shared" si="118"/>
        <v/>
      </c>
      <c r="AY1079" s="21" t="str">
        <f>IF(AND($AM1079&lt;&gt;"",$AS1079&lt;&gt;"✓"),SUMPRODUCT(($AM$11:$AM1079&lt;&gt;"")*($AS$11:$AS1079&lt;&gt;"✓")),"")</f>
        <v/>
      </c>
      <c r="AZ1079" s="21" t="str">
        <f>IF(AND($AM1079&lt;&gt;"",$AS1079="✓"),SUMPRODUCT(($AM$11:$AM1079&lt;&gt;"")*($AS$11:$AS1079="✓")),"")</f>
        <v/>
      </c>
      <c r="BA1079" s="21" t="str">
        <f>IF($AL1079="","",$AL1079&amp;"|"&amp;COUNTIF($AL$11:$AL1079,$AL1079))</f>
        <v/>
      </c>
    </row>
    <row r="1080" spans="38:53" ht="15" customHeight="1" x14ac:dyDescent="0.25">
      <c r="AL1080" s="31"/>
      <c r="AM1080" s="26"/>
      <c r="AN1080" s="32"/>
      <c r="AO1080" s="32"/>
      <c r="AP1080" s="24"/>
      <c r="AQ1080" s="24"/>
      <c r="AR1080" s="33"/>
      <c r="AS1080" s="34"/>
      <c r="AT1080" s="33"/>
      <c r="AV1080" s="21">
        <f>IF(AND($AL1080&lt;&gt;"",COUNTIF($AL$11:$AL1080,$AL1080)=1),1,0)</f>
        <v>0</v>
      </c>
      <c r="AW1080" s="21">
        <f t="shared" si="119"/>
        <v>2</v>
      </c>
      <c r="AX1080" s="21" t="str">
        <f t="shared" si="118"/>
        <v/>
      </c>
      <c r="AY1080" s="21" t="str">
        <f>IF(AND($AM1080&lt;&gt;"",$AS1080&lt;&gt;"✓"),SUMPRODUCT(($AM$11:$AM1080&lt;&gt;"")*($AS$11:$AS1080&lt;&gt;"✓")),"")</f>
        <v/>
      </c>
      <c r="AZ1080" s="21" t="str">
        <f>IF(AND($AM1080&lt;&gt;"",$AS1080="✓"),SUMPRODUCT(($AM$11:$AM1080&lt;&gt;"")*($AS$11:$AS1080="✓")),"")</f>
        <v/>
      </c>
      <c r="BA1080" s="21" t="str">
        <f>IF($AL1080="","",$AL1080&amp;"|"&amp;COUNTIF($AL$11:$AL1080,$AL1080))</f>
        <v/>
      </c>
    </row>
    <row r="1081" spans="38:53" ht="15" customHeight="1" x14ac:dyDescent="0.25">
      <c r="AL1081" s="17"/>
      <c r="AM1081" s="12"/>
      <c r="AN1081" s="18"/>
      <c r="AO1081" s="18"/>
      <c r="AP1081" s="10"/>
      <c r="AQ1081" s="10"/>
      <c r="AR1081" s="19"/>
      <c r="AS1081" s="20"/>
      <c r="AT1081" s="19"/>
      <c r="AV1081" s="21">
        <f>IF(AND($AL1081&lt;&gt;"",COUNTIF($AL$11:$AL1081,$AL1081)=1),1,0)</f>
        <v>0</v>
      </c>
      <c r="AW1081" s="21">
        <f t="shared" si="119"/>
        <v>2</v>
      </c>
      <c r="AX1081" s="21" t="str">
        <f t="shared" si="118"/>
        <v/>
      </c>
      <c r="AY1081" s="21" t="str">
        <f>IF(AND($AM1081&lt;&gt;"",$AS1081&lt;&gt;"✓"),SUMPRODUCT(($AM$11:$AM1081&lt;&gt;"")*($AS$11:$AS1081&lt;&gt;"✓")),"")</f>
        <v/>
      </c>
      <c r="AZ1081" s="21" t="str">
        <f>IF(AND($AM1081&lt;&gt;"",$AS1081="✓"),SUMPRODUCT(($AM$11:$AM1081&lt;&gt;"")*($AS$11:$AS1081="✓")),"")</f>
        <v/>
      </c>
      <c r="BA1081" s="21" t="str">
        <f>IF($AL1081="","",$AL1081&amp;"|"&amp;COUNTIF($AL$11:$AL1081,$AL1081))</f>
        <v/>
      </c>
    </row>
    <row r="1082" spans="38:53" ht="15" customHeight="1" x14ac:dyDescent="0.25">
      <c r="AL1082" s="31"/>
      <c r="AM1082" s="26"/>
      <c r="AN1082" s="32"/>
      <c r="AO1082" s="32"/>
      <c r="AP1082" s="24"/>
      <c r="AQ1082" s="24"/>
      <c r="AR1082" s="33"/>
      <c r="AS1082" s="34"/>
      <c r="AT1082" s="33"/>
      <c r="AV1082" s="21">
        <f>IF(AND($AL1082&lt;&gt;"",COUNTIF($AL$11:$AL1082,$AL1082)=1),1,0)</f>
        <v>0</v>
      </c>
      <c r="AW1082" s="21">
        <f t="shared" si="119"/>
        <v>2</v>
      </c>
      <c r="AX1082" s="21" t="str">
        <f t="shared" si="118"/>
        <v/>
      </c>
      <c r="AY1082" s="21" t="str">
        <f>IF(AND($AM1082&lt;&gt;"",$AS1082&lt;&gt;"✓"),SUMPRODUCT(($AM$11:$AM1082&lt;&gt;"")*($AS$11:$AS1082&lt;&gt;"✓")),"")</f>
        <v/>
      </c>
      <c r="AZ1082" s="21" t="str">
        <f>IF(AND($AM1082&lt;&gt;"",$AS1082="✓"),SUMPRODUCT(($AM$11:$AM1082&lt;&gt;"")*($AS$11:$AS1082="✓")),"")</f>
        <v/>
      </c>
      <c r="BA1082" s="21" t="str">
        <f>IF($AL1082="","",$AL1082&amp;"|"&amp;COUNTIF($AL$11:$AL1082,$AL1082))</f>
        <v/>
      </c>
    </row>
    <row r="1083" spans="38:53" ht="15" customHeight="1" x14ac:dyDescent="0.25">
      <c r="AL1083" s="17"/>
      <c r="AM1083" s="12"/>
      <c r="AN1083" s="18"/>
      <c r="AO1083" s="18"/>
      <c r="AP1083" s="10"/>
      <c r="AQ1083" s="10"/>
      <c r="AR1083" s="19"/>
      <c r="AS1083" s="20"/>
      <c r="AT1083" s="19"/>
      <c r="AV1083" s="21">
        <f>IF(AND($AL1083&lt;&gt;"",COUNTIF($AL$11:$AL1083,$AL1083)=1),1,0)</f>
        <v>0</v>
      </c>
      <c r="AW1083" s="21">
        <f t="shared" si="119"/>
        <v>2</v>
      </c>
      <c r="AX1083" s="21" t="str">
        <f t="shared" si="118"/>
        <v/>
      </c>
      <c r="AY1083" s="21" t="str">
        <f>IF(AND($AM1083&lt;&gt;"",$AS1083&lt;&gt;"✓"),SUMPRODUCT(($AM$11:$AM1083&lt;&gt;"")*($AS$11:$AS1083&lt;&gt;"✓")),"")</f>
        <v/>
      </c>
      <c r="AZ1083" s="21" t="str">
        <f>IF(AND($AM1083&lt;&gt;"",$AS1083="✓"),SUMPRODUCT(($AM$11:$AM1083&lt;&gt;"")*($AS$11:$AS1083="✓")),"")</f>
        <v/>
      </c>
      <c r="BA1083" s="21" t="str">
        <f>IF($AL1083="","",$AL1083&amp;"|"&amp;COUNTIF($AL$11:$AL1083,$AL1083))</f>
        <v/>
      </c>
    </row>
    <row r="1084" spans="38:53" ht="15" customHeight="1" x14ac:dyDescent="0.25">
      <c r="AL1084" s="31"/>
      <c r="AM1084" s="26"/>
      <c r="AN1084" s="32"/>
      <c r="AO1084" s="32"/>
      <c r="AP1084" s="24"/>
      <c r="AQ1084" s="24"/>
      <c r="AR1084" s="33"/>
      <c r="AS1084" s="34"/>
      <c r="AT1084" s="33"/>
      <c r="AV1084" s="21">
        <f>IF(AND($AL1084&lt;&gt;"",COUNTIF($AL$11:$AL1084,$AL1084)=1),1,0)</f>
        <v>0</v>
      </c>
      <c r="AW1084" s="21">
        <f t="shared" si="119"/>
        <v>2</v>
      </c>
      <c r="AX1084" s="21" t="str">
        <f t="shared" si="118"/>
        <v/>
      </c>
      <c r="AY1084" s="21" t="str">
        <f>IF(AND($AM1084&lt;&gt;"",$AS1084&lt;&gt;"✓"),SUMPRODUCT(($AM$11:$AM1084&lt;&gt;"")*($AS$11:$AS1084&lt;&gt;"✓")),"")</f>
        <v/>
      </c>
      <c r="AZ1084" s="21" t="str">
        <f>IF(AND($AM1084&lt;&gt;"",$AS1084="✓"),SUMPRODUCT(($AM$11:$AM1084&lt;&gt;"")*($AS$11:$AS1084="✓")),"")</f>
        <v/>
      </c>
      <c r="BA1084" s="21" t="str">
        <f>IF($AL1084="","",$AL1084&amp;"|"&amp;COUNTIF($AL$11:$AL1084,$AL1084))</f>
        <v/>
      </c>
    </row>
    <row r="1085" spans="38:53" ht="15" customHeight="1" x14ac:dyDescent="0.25">
      <c r="AL1085" s="17"/>
      <c r="AM1085" s="12"/>
      <c r="AN1085" s="18"/>
      <c r="AO1085" s="18"/>
      <c r="AP1085" s="10"/>
      <c r="AQ1085" s="10"/>
      <c r="AR1085" s="19"/>
      <c r="AS1085" s="20"/>
      <c r="AT1085" s="19"/>
      <c r="AV1085" s="21">
        <f>IF(AND($AL1085&lt;&gt;"",COUNTIF($AL$11:$AL1085,$AL1085)=1),1,0)</f>
        <v>0</v>
      </c>
      <c r="AW1085" s="21">
        <f t="shared" si="119"/>
        <v>2</v>
      </c>
      <c r="AX1085" s="21" t="str">
        <f t="shared" si="118"/>
        <v/>
      </c>
      <c r="AY1085" s="21" t="str">
        <f>IF(AND($AM1085&lt;&gt;"",$AS1085&lt;&gt;"✓"),SUMPRODUCT(($AM$11:$AM1085&lt;&gt;"")*($AS$11:$AS1085&lt;&gt;"✓")),"")</f>
        <v/>
      </c>
      <c r="AZ1085" s="21" t="str">
        <f>IF(AND($AM1085&lt;&gt;"",$AS1085="✓"),SUMPRODUCT(($AM$11:$AM1085&lt;&gt;"")*($AS$11:$AS1085="✓")),"")</f>
        <v/>
      </c>
      <c r="BA1085" s="21" t="str">
        <f>IF($AL1085="","",$AL1085&amp;"|"&amp;COUNTIF($AL$11:$AL1085,$AL1085))</f>
        <v/>
      </c>
    </row>
    <row r="1086" spans="38:53" ht="15" customHeight="1" x14ac:dyDescent="0.25">
      <c r="AL1086" s="31"/>
      <c r="AM1086" s="26"/>
      <c r="AN1086" s="32"/>
      <c r="AO1086" s="32"/>
      <c r="AP1086" s="24"/>
      <c r="AQ1086" s="24"/>
      <c r="AR1086" s="33"/>
      <c r="AS1086" s="34"/>
      <c r="AT1086" s="33"/>
      <c r="AV1086" s="21">
        <f>IF(AND($AL1086&lt;&gt;"",COUNTIF($AL$11:$AL1086,$AL1086)=1),1,0)</f>
        <v>0</v>
      </c>
      <c r="AW1086" s="21">
        <f t="shared" si="119"/>
        <v>2</v>
      </c>
      <c r="AX1086" s="21" t="str">
        <f t="shared" si="118"/>
        <v/>
      </c>
      <c r="AY1086" s="21" t="str">
        <f>IF(AND($AM1086&lt;&gt;"",$AS1086&lt;&gt;"✓"),SUMPRODUCT(($AM$11:$AM1086&lt;&gt;"")*($AS$11:$AS1086&lt;&gt;"✓")),"")</f>
        <v/>
      </c>
      <c r="AZ1086" s="21" t="str">
        <f>IF(AND($AM1086&lt;&gt;"",$AS1086="✓"),SUMPRODUCT(($AM$11:$AM1086&lt;&gt;"")*($AS$11:$AS1086="✓")),"")</f>
        <v/>
      </c>
      <c r="BA1086" s="21" t="str">
        <f>IF($AL1086="","",$AL1086&amp;"|"&amp;COUNTIF($AL$11:$AL1086,$AL1086))</f>
        <v/>
      </c>
    </row>
    <row r="1087" spans="38:53" ht="15" customHeight="1" x14ac:dyDescent="0.25">
      <c r="AL1087" s="17"/>
      <c r="AM1087" s="12"/>
      <c r="AN1087" s="18"/>
      <c r="AO1087" s="18"/>
      <c r="AP1087" s="10"/>
      <c r="AQ1087" s="10"/>
      <c r="AR1087" s="19"/>
      <c r="AS1087" s="20"/>
      <c r="AT1087" s="19"/>
      <c r="AV1087" s="21">
        <f>IF(AND($AL1087&lt;&gt;"",COUNTIF($AL$11:$AL1087,$AL1087)=1),1,0)</f>
        <v>0</v>
      </c>
      <c r="AW1087" s="21">
        <f t="shared" si="119"/>
        <v>2</v>
      </c>
      <c r="AX1087" s="21" t="str">
        <f t="shared" si="118"/>
        <v/>
      </c>
      <c r="AY1087" s="21" t="str">
        <f>IF(AND($AM1087&lt;&gt;"",$AS1087&lt;&gt;"✓"),SUMPRODUCT(($AM$11:$AM1087&lt;&gt;"")*($AS$11:$AS1087&lt;&gt;"✓")),"")</f>
        <v/>
      </c>
      <c r="AZ1087" s="21" t="str">
        <f>IF(AND($AM1087&lt;&gt;"",$AS1087="✓"),SUMPRODUCT(($AM$11:$AM1087&lt;&gt;"")*($AS$11:$AS1087="✓")),"")</f>
        <v/>
      </c>
      <c r="BA1087" s="21" t="str">
        <f>IF($AL1087="","",$AL1087&amp;"|"&amp;COUNTIF($AL$11:$AL1087,$AL1087))</f>
        <v/>
      </c>
    </row>
    <row r="1088" spans="38:53" ht="15" customHeight="1" x14ac:dyDescent="0.25">
      <c r="AL1088" s="31"/>
      <c r="AM1088" s="26"/>
      <c r="AN1088" s="32"/>
      <c r="AO1088" s="32"/>
      <c r="AP1088" s="24"/>
      <c r="AQ1088" s="24"/>
      <c r="AR1088" s="33"/>
      <c r="AS1088" s="34"/>
      <c r="AT1088" s="33"/>
      <c r="AV1088" s="21">
        <f>IF(AND($AL1088&lt;&gt;"",COUNTIF($AL$11:$AL1088,$AL1088)=1),1,0)</f>
        <v>0</v>
      </c>
      <c r="AW1088" s="21">
        <f t="shared" si="119"/>
        <v>2</v>
      </c>
      <c r="AX1088" s="21" t="str">
        <f t="shared" si="118"/>
        <v/>
      </c>
      <c r="AY1088" s="21" t="str">
        <f>IF(AND($AM1088&lt;&gt;"",$AS1088&lt;&gt;"✓"),SUMPRODUCT(($AM$11:$AM1088&lt;&gt;"")*($AS$11:$AS1088&lt;&gt;"✓")),"")</f>
        <v/>
      </c>
      <c r="AZ1088" s="21" t="str">
        <f>IF(AND($AM1088&lt;&gt;"",$AS1088="✓"),SUMPRODUCT(($AM$11:$AM1088&lt;&gt;"")*($AS$11:$AS1088="✓")),"")</f>
        <v/>
      </c>
      <c r="BA1088" s="21" t="str">
        <f>IF($AL1088="","",$AL1088&amp;"|"&amp;COUNTIF($AL$11:$AL1088,$AL1088))</f>
        <v/>
      </c>
    </row>
    <row r="1089" spans="38:53" ht="15" customHeight="1" x14ac:dyDescent="0.25">
      <c r="AL1089" s="17"/>
      <c r="AM1089" s="12"/>
      <c r="AN1089" s="18"/>
      <c r="AO1089" s="18"/>
      <c r="AP1089" s="10"/>
      <c r="AQ1089" s="10"/>
      <c r="AR1089" s="19"/>
      <c r="AS1089" s="20"/>
      <c r="AT1089" s="19"/>
      <c r="AV1089" s="21">
        <f>IF(AND($AL1089&lt;&gt;"",COUNTIF($AL$11:$AL1089,$AL1089)=1),1,0)</f>
        <v>0</v>
      </c>
      <c r="AW1089" s="21">
        <f t="shared" si="119"/>
        <v>2</v>
      </c>
      <c r="AX1089" s="21" t="str">
        <f t="shared" si="118"/>
        <v/>
      </c>
      <c r="AY1089" s="21" t="str">
        <f>IF(AND($AM1089&lt;&gt;"",$AS1089&lt;&gt;"✓"),SUMPRODUCT(($AM$11:$AM1089&lt;&gt;"")*($AS$11:$AS1089&lt;&gt;"✓")),"")</f>
        <v/>
      </c>
      <c r="AZ1089" s="21" t="str">
        <f>IF(AND($AM1089&lt;&gt;"",$AS1089="✓"),SUMPRODUCT(($AM$11:$AM1089&lt;&gt;"")*($AS$11:$AS1089="✓")),"")</f>
        <v/>
      </c>
      <c r="BA1089" s="21" t="str">
        <f>IF($AL1089="","",$AL1089&amp;"|"&amp;COUNTIF($AL$11:$AL1089,$AL1089))</f>
        <v/>
      </c>
    </row>
    <row r="1090" spans="38:53" ht="15" customHeight="1" x14ac:dyDescent="0.25">
      <c r="AL1090" s="31"/>
      <c r="AM1090" s="26"/>
      <c r="AN1090" s="32"/>
      <c r="AO1090" s="32"/>
      <c r="AP1090" s="24"/>
      <c r="AQ1090" s="24"/>
      <c r="AR1090" s="33"/>
      <c r="AS1090" s="34"/>
      <c r="AT1090" s="33"/>
      <c r="AV1090" s="21">
        <f>IF(AND($AL1090&lt;&gt;"",COUNTIF($AL$11:$AL1090,$AL1090)=1),1,0)</f>
        <v>0</v>
      </c>
      <c r="AW1090" s="21">
        <f t="shared" si="119"/>
        <v>2</v>
      </c>
      <c r="AX1090" s="21" t="str">
        <f t="shared" si="118"/>
        <v/>
      </c>
      <c r="AY1090" s="21" t="str">
        <f>IF(AND($AM1090&lt;&gt;"",$AS1090&lt;&gt;"✓"),SUMPRODUCT(($AM$11:$AM1090&lt;&gt;"")*($AS$11:$AS1090&lt;&gt;"✓")),"")</f>
        <v/>
      </c>
      <c r="AZ1090" s="21" t="str">
        <f>IF(AND($AM1090&lt;&gt;"",$AS1090="✓"),SUMPRODUCT(($AM$11:$AM1090&lt;&gt;"")*($AS$11:$AS1090="✓")),"")</f>
        <v/>
      </c>
      <c r="BA1090" s="21" t="str">
        <f>IF($AL1090="","",$AL1090&amp;"|"&amp;COUNTIF($AL$11:$AL1090,$AL1090))</f>
        <v/>
      </c>
    </row>
    <row r="1091" spans="38:53" ht="15" customHeight="1" x14ac:dyDescent="0.25">
      <c r="AL1091" s="17"/>
      <c r="AM1091" s="12"/>
      <c r="AN1091" s="18"/>
      <c r="AO1091" s="18"/>
      <c r="AP1091" s="10"/>
      <c r="AQ1091" s="10"/>
      <c r="AR1091" s="19"/>
      <c r="AS1091" s="20"/>
      <c r="AT1091" s="19"/>
      <c r="AV1091" s="21">
        <f>IF(AND($AL1091&lt;&gt;"",COUNTIF($AL$11:$AL1091,$AL1091)=1),1,0)</f>
        <v>0</v>
      </c>
      <c r="AW1091" s="21">
        <f t="shared" si="119"/>
        <v>2</v>
      </c>
      <c r="AX1091" s="21" t="str">
        <f t="shared" si="118"/>
        <v/>
      </c>
      <c r="AY1091" s="21" t="str">
        <f>IF(AND($AM1091&lt;&gt;"",$AS1091&lt;&gt;"✓"),SUMPRODUCT(($AM$11:$AM1091&lt;&gt;"")*($AS$11:$AS1091&lt;&gt;"✓")),"")</f>
        <v/>
      </c>
      <c r="AZ1091" s="21" t="str">
        <f>IF(AND($AM1091&lt;&gt;"",$AS1091="✓"),SUMPRODUCT(($AM$11:$AM1091&lt;&gt;"")*($AS$11:$AS1091="✓")),"")</f>
        <v/>
      </c>
      <c r="BA1091" s="21" t="str">
        <f>IF($AL1091="","",$AL1091&amp;"|"&amp;COUNTIF($AL$11:$AL1091,$AL1091))</f>
        <v/>
      </c>
    </row>
    <row r="1092" spans="38:53" ht="15" customHeight="1" x14ac:dyDescent="0.25">
      <c r="AL1092" s="31"/>
      <c r="AM1092" s="26"/>
      <c r="AN1092" s="32"/>
      <c r="AO1092" s="32"/>
      <c r="AP1092" s="24"/>
      <c r="AQ1092" s="24"/>
      <c r="AR1092" s="33"/>
      <c r="AS1092" s="34"/>
      <c r="AT1092" s="33"/>
      <c r="AV1092" s="21">
        <f>IF(AND($AL1092&lt;&gt;"",COUNTIF($AL$11:$AL1092,$AL1092)=1),1,0)</f>
        <v>0</v>
      </c>
      <c r="AW1092" s="21">
        <f t="shared" si="119"/>
        <v>2</v>
      </c>
      <c r="AX1092" s="21" t="str">
        <f t="shared" si="118"/>
        <v/>
      </c>
      <c r="AY1092" s="21" t="str">
        <f>IF(AND($AM1092&lt;&gt;"",$AS1092&lt;&gt;"✓"),SUMPRODUCT(($AM$11:$AM1092&lt;&gt;"")*($AS$11:$AS1092&lt;&gt;"✓")),"")</f>
        <v/>
      </c>
      <c r="AZ1092" s="21" t="str">
        <f>IF(AND($AM1092&lt;&gt;"",$AS1092="✓"),SUMPRODUCT(($AM$11:$AM1092&lt;&gt;"")*($AS$11:$AS1092="✓")),"")</f>
        <v/>
      </c>
      <c r="BA1092" s="21" t="str">
        <f>IF($AL1092="","",$AL1092&amp;"|"&amp;COUNTIF($AL$11:$AL1092,$AL1092))</f>
        <v/>
      </c>
    </row>
    <row r="1093" spans="38:53" ht="15" customHeight="1" x14ac:dyDescent="0.25">
      <c r="AL1093" s="17"/>
      <c r="AM1093" s="12"/>
      <c r="AN1093" s="18"/>
      <c r="AO1093" s="18"/>
      <c r="AP1093" s="10"/>
      <c r="AQ1093" s="10"/>
      <c r="AR1093" s="19"/>
      <c r="AS1093" s="20"/>
      <c r="AT1093" s="19"/>
      <c r="AV1093" s="21">
        <f>IF(AND($AL1093&lt;&gt;"",COUNTIF($AL$11:$AL1093,$AL1093)=1),1,0)</f>
        <v>0</v>
      </c>
      <c r="AW1093" s="21">
        <f t="shared" si="119"/>
        <v>2</v>
      </c>
      <c r="AX1093" s="21" t="str">
        <f t="shared" si="118"/>
        <v/>
      </c>
      <c r="AY1093" s="21" t="str">
        <f>IF(AND($AM1093&lt;&gt;"",$AS1093&lt;&gt;"✓"),SUMPRODUCT(($AM$11:$AM1093&lt;&gt;"")*($AS$11:$AS1093&lt;&gt;"✓")),"")</f>
        <v/>
      </c>
      <c r="AZ1093" s="21" t="str">
        <f>IF(AND($AM1093&lt;&gt;"",$AS1093="✓"),SUMPRODUCT(($AM$11:$AM1093&lt;&gt;"")*($AS$11:$AS1093="✓")),"")</f>
        <v/>
      </c>
      <c r="BA1093" s="21" t="str">
        <f>IF($AL1093="","",$AL1093&amp;"|"&amp;COUNTIF($AL$11:$AL1093,$AL1093))</f>
        <v/>
      </c>
    </row>
    <row r="1094" spans="38:53" ht="15" customHeight="1" x14ac:dyDescent="0.25">
      <c r="AL1094" s="31"/>
      <c r="AM1094" s="26"/>
      <c r="AN1094" s="32"/>
      <c r="AO1094" s="32"/>
      <c r="AP1094" s="24"/>
      <c r="AQ1094" s="24"/>
      <c r="AR1094" s="33"/>
      <c r="AS1094" s="34"/>
      <c r="AT1094" s="33"/>
      <c r="AV1094" s="21">
        <f>IF(AND($AL1094&lt;&gt;"",COUNTIF($AL$11:$AL1094,$AL1094)=1),1,0)</f>
        <v>0</v>
      </c>
      <c r="AW1094" s="21">
        <f t="shared" si="119"/>
        <v>2</v>
      </c>
      <c r="AX1094" s="21" t="str">
        <f t="shared" si="118"/>
        <v/>
      </c>
      <c r="AY1094" s="21" t="str">
        <f>IF(AND($AM1094&lt;&gt;"",$AS1094&lt;&gt;"✓"),SUMPRODUCT(($AM$11:$AM1094&lt;&gt;"")*($AS$11:$AS1094&lt;&gt;"✓")),"")</f>
        <v/>
      </c>
      <c r="AZ1094" s="21" t="str">
        <f>IF(AND($AM1094&lt;&gt;"",$AS1094="✓"),SUMPRODUCT(($AM$11:$AM1094&lt;&gt;"")*($AS$11:$AS1094="✓")),"")</f>
        <v/>
      </c>
      <c r="BA1094" s="21" t="str">
        <f>IF($AL1094="","",$AL1094&amp;"|"&amp;COUNTIF($AL$11:$AL1094,$AL1094))</f>
        <v/>
      </c>
    </row>
    <row r="1095" spans="38:53" ht="15" customHeight="1" x14ac:dyDescent="0.25">
      <c r="AL1095" s="17"/>
      <c r="AM1095" s="12"/>
      <c r="AN1095" s="18"/>
      <c r="AO1095" s="18"/>
      <c r="AP1095" s="10"/>
      <c r="AQ1095" s="10"/>
      <c r="AR1095" s="19"/>
      <c r="AS1095" s="20"/>
      <c r="AT1095" s="19"/>
      <c r="AV1095" s="21">
        <f>IF(AND($AL1095&lt;&gt;"",COUNTIF($AL$11:$AL1095,$AL1095)=1),1,0)</f>
        <v>0</v>
      </c>
      <c r="AW1095" s="21">
        <f t="shared" si="119"/>
        <v>2</v>
      </c>
      <c r="AX1095" s="21" t="str">
        <f t="shared" si="118"/>
        <v/>
      </c>
      <c r="AY1095" s="21" t="str">
        <f>IF(AND($AM1095&lt;&gt;"",$AS1095&lt;&gt;"✓"),SUMPRODUCT(($AM$11:$AM1095&lt;&gt;"")*($AS$11:$AS1095&lt;&gt;"✓")),"")</f>
        <v/>
      </c>
      <c r="AZ1095" s="21" t="str">
        <f>IF(AND($AM1095&lt;&gt;"",$AS1095="✓"),SUMPRODUCT(($AM$11:$AM1095&lt;&gt;"")*($AS$11:$AS1095="✓")),"")</f>
        <v/>
      </c>
      <c r="BA1095" s="21" t="str">
        <f>IF($AL1095="","",$AL1095&amp;"|"&amp;COUNTIF($AL$11:$AL1095,$AL1095))</f>
        <v/>
      </c>
    </row>
    <row r="1096" spans="38:53" ht="15" customHeight="1" x14ac:dyDescent="0.25">
      <c r="AL1096" s="31"/>
      <c r="AM1096" s="26"/>
      <c r="AN1096" s="32"/>
      <c r="AO1096" s="32"/>
      <c r="AP1096" s="24"/>
      <c r="AQ1096" s="24"/>
      <c r="AR1096" s="33"/>
      <c r="AS1096" s="34"/>
      <c r="AT1096" s="33"/>
      <c r="AV1096" s="21">
        <f>IF(AND($AL1096&lt;&gt;"",COUNTIF($AL$11:$AL1096,$AL1096)=1),1,0)</f>
        <v>0</v>
      </c>
      <c r="AW1096" s="21">
        <f t="shared" si="119"/>
        <v>2</v>
      </c>
      <c r="AX1096" s="21" t="str">
        <f t="shared" si="118"/>
        <v/>
      </c>
      <c r="AY1096" s="21" t="str">
        <f>IF(AND($AM1096&lt;&gt;"",$AS1096&lt;&gt;"✓"),SUMPRODUCT(($AM$11:$AM1096&lt;&gt;"")*($AS$11:$AS1096&lt;&gt;"✓")),"")</f>
        <v/>
      </c>
      <c r="AZ1096" s="21" t="str">
        <f>IF(AND($AM1096&lt;&gt;"",$AS1096="✓"),SUMPRODUCT(($AM$11:$AM1096&lt;&gt;"")*($AS$11:$AS1096="✓")),"")</f>
        <v/>
      </c>
      <c r="BA1096" s="21" t="str">
        <f>IF($AL1096="","",$AL1096&amp;"|"&amp;COUNTIF($AL$11:$AL1096,$AL1096))</f>
        <v/>
      </c>
    </row>
    <row r="1097" spans="38:53" ht="15" customHeight="1" x14ac:dyDescent="0.25">
      <c r="AL1097" s="17"/>
      <c r="AM1097" s="12"/>
      <c r="AN1097" s="18"/>
      <c r="AO1097" s="18"/>
      <c r="AP1097" s="10"/>
      <c r="AQ1097" s="10"/>
      <c r="AR1097" s="19"/>
      <c r="AS1097" s="20"/>
      <c r="AT1097" s="19"/>
      <c r="AV1097" s="21">
        <f>IF(AND($AL1097&lt;&gt;"",COUNTIF($AL$11:$AL1097,$AL1097)=1),1,0)</f>
        <v>0</v>
      </c>
      <c r="AW1097" s="21">
        <f t="shared" si="119"/>
        <v>2</v>
      </c>
      <c r="AX1097" s="21" t="str">
        <f t="shared" si="118"/>
        <v/>
      </c>
      <c r="AY1097" s="21" t="str">
        <f>IF(AND($AM1097&lt;&gt;"",$AS1097&lt;&gt;"✓"),SUMPRODUCT(($AM$11:$AM1097&lt;&gt;"")*($AS$11:$AS1097&lt;&gt;"✓")),"")</f>
        <v/>
      </c>
      <c r="AZ1097" s="21" t="str">
        <f>IF(AND($AM1097&lt;&gt;"",$AS1097="✓"),SUMPRODUCT(($AM$11:$AM1097&lt;&gt;"")*($AS$11:$AS1097="✓")),"")</f>
        <v/>
      </c>
      <c r="BA1097" s="21" t="str">
        <f>IF($AL1097="","",$AL1097&amp;"|"&amp;COUNTIF($AL$11:$AL1097,$AL1097))</f>
        <v/>
      </c>
    </row>
    <row r="1098" spans="38:53" ht="15" customHeight="1" x14ac:dyDescent="0.25">
      <c r="AL1098" s="31"/>
      <c r="AM1098" s="26"/>
      <c r="AN1098" s="32"/>
      <c r="AO1098" s="32"/>
      <c r="AP1098" s="24"/>
      <c r="AQ1098" s="24"/>
      <c r="AR1098" s="33"/>
      <c r="AS1098" s="34"/>
      <c r="AT1098" s="33"/>
      <c r="AV1098" s="21">
        <f>IF(AND($AL1098&lt;&gt;"",COUNTIF($AL$11:$AL1098,$AL1098)=1),1,0)</f>
        <v>0</v>
      </c>
      <c r="AW1098" s="21">
        <f t="shared" si="119"/>
        <v>2</v>
      </c>
      <c r="AX1098" s="21" t="str">
        <f t="shared" si="118"/>
        <v/>
      </c>
      <c r="AY1098" s="21" t="str">
        <f>IF(AND($AM1098&lt;&gt;"",$AS1098&lt;&gt;"✓"),SUMPRODUCT(($AM$11:$AM1098&lt;&gt;"")*($AS$11:$AS1098&lt;&gt;"✓")),"")</f>
        <v/>
      </c>
      <c r="AZ1098" s="21" t="str">
        <f>IF(AND($AM1098&lt;&gt;"",$AS1098="✓"),SUMPRODUCT(($AM$11:$AM1098&lt;&gt;"")*($AS$11:$AS1098="✓")),"")</f>
        <v/>
      </c>
      <c r="BA1098" s="21" t="str">
        <f>IF($AL1098="","",$AL1098&amp;"|"&amp;COUNTIF($AL$11:$AL1098,$AL1098))</f>
        <v/>
      </c>
    </row>
    <row r="1099" spans="38:53" ht="15" customHeight="1" x14ac:dyDescent="0.25">
      <c r="AL1099" s="17"/>
      <c r="AM1099" s="12"/>
      <c r="AN1099" s="18"/>
      <c r="AO1099" s="18"/>
      <c r="AP1099" s="10"/>
      <c r="AQ1099" s="10"/>
      <c r="AR1099" s="19"/>
      <c r="AS1099" s="20"/>
      <c r="AT1099" s="19"/>
      <c r="AV1099" s="21">
        <f>IF(AND($AL1099&lt;&gt;"",COUNTIF($AL$11:$AL1099,$AL1099)=1),1,0)</f>
        <v>0</v>
      </c>
      <c r="AW1099" s="21">
        <f t="shared" si="119"/>
        <v>2</v>
      </c>
      <c r="AX1099" s="21" t="str">
        <f t="shared" ref="AX1099:AX1162" si="120">IF(AV1099=1,AW1099,"")</f>
        <v/>
      </c>
      <c r="AY1099" s="21" t="str">
        <f>IF(AND($AM1099&lt;&gt;"",$AS1099&lt;&gt;"✓"),SUMPRODUCT(($AM$11:$AM1099&lt;&gt;"")*($AS$11:$AS1099&lt;&gt;"✓")),"")</f>
        <v/>
      </c>
      <c r="AZ1099" s="21" t="str">
        <f>IF(AND($AM1099&lt;&gt;"",$AS1099="✓"),SUMPRODUCT(($AM$11:$AM1099&lt;&gt;"")*($AS$11:$AS1099="✓")),"")</f>
        <v/>
      </c>
      <c r="BA1099" s="21" t="str">
        <f>IF($AL1099="","",$AL1099&amp;"|"&amp;COUNTIF($AL$11:$AL1099,$AL1099))</f>
        <v/>
      </c>
    </row>
    <row r="1100" spans="38:53" ht="15" customHeight="1" x14ac:dyDescent="0.25">
      <c r="AL1100" s="31"/>
      <c r="AM1100" s="26"/>
      <c r="AN1100" s="32"/>
      <c r="AO1100" s="32"/>
      <c r="AP1100" s="24"/>
      <c r="AQ1100" s="24"/>
      <c r="AR1100" s="33"/>
      <c r="AS1100" s="34"/>
      <c r="AT1100" s="33"/>
      <c r="AV1100" s="21">
        <f>IF(AND($AL1100&lt;&gt;"",COUNTIF($AL$11:$AL1100,$AL1100)=1),1,0)</f>
        <v>0</v>
      </c>
      <c r="AW1100" s="21">
        <f t="shared" ref="AW1100:AW1163" si="121">AW1099+AV1100</f>
        <v>2</v>
      </c>
      <c r="AX1100" s="21" t="str">
        <f t="shared" si="120"/>
        <v/>
      </c>
      <c r="AY1100" s="21" t="str">
        <f>IF(AND($AM1100&lt;&gt;"",$AS1100&lt;&gt;"✓"),SUMPRODUCT(($AM$11:$AM1100&lt;&gt;"")*($AS$11:$AS1100&lt;&gt;"✓")),"")</f>
        <v/>
      </c>
      <c r="AZ1100" s="21" t="str">
        <f>IF(AND($AM1100&lt;&gt;"",$AS1100="✓"),SUMPRODUCT(($AM$11:$AM1100&lt;&gt;"")*($AS$11:$AS1100="✓")),"")</f>
        <v/>
      </c>
      <c r="BA1100" s="21" t="str">
        <f>IF($AL1100="","",$AL1100&amp;"|"&amp;COUNTIF($AL$11:$AL1100,$AL1100))</f>
        <v/>
      </c>
    </row>
    <row r="1101" spans="38:53" ht="15" customHeight="1" x14ac:dyDescent="0.25">
      <c r="AL1101" s="17"/>
      <c r="AM1101" s="12"/>
      <c r="AN1101" s="18"/>
      <c r="AO1101" s="18"/>
      <c r="AP1101" s="10"/>
      <c r="AQ1101" s="10"/>
      <c r="AR1101" s="19"/>
      <c r="AS1101" s="20"/>
      <c r="AT1101" s="19"/>
      <c r="AV1101" s="21">
        <f>IF(AND($AL1101&lt;&gt;"",COUNTIF($AL$11:$AL1101,$AL1101)=1),1,0)</f>
        <v>0</v>
      </c>
      <c r="AW1101" s="21">
        <f t="shared" si="121"/>
        <v>2</v>
      </c>
      <c r="AX1101" s="21" t="str">
        <f t="shared" si="120"/>
        <v/>
      </c>
      <c r="AY1101" s="21" t="str">
        <f>IF(AND($AM1101&lt;&gt;"",$AS1101&lt;&gt;"✓"),SUMPRODUCT(($AM$11:$AM1101&lt;&gt;"")*($AS$11:$AS1101&lt;&gt;"✓")),"")</f>
        <v/>
      </c>
      <c r="AZ1101" s="21" t="str">
        <f>IF(AND($AM1101&lt;&gt;"",$AS1101="✓"),SUMPRODUCT(($AM$11:$AM1101&lt;&gt;"")*($AS$11:$AS1101="✓")),"")</f>
        <v/>
      </c>
      <c r="BA1101" s="21" t="str">
        <f>IF($AL1101="","",$AL1101&amp;"|"&amp;COUNTIF($AL$11:$AL1101,$AL1101))</f>
        <v/>
      </c>
    </row>
    <row r="1102" spans="38:53" ht="15" customHeight="1" x14ac:dyDescent="0.25">
      <c r="AL1102" s="31"/>
      <c r="AM1102" s="26"/>
      <c r="AN1102" s="32"/>
      <c r="AO1102" s="32"/>
      <c r="AP1102" s="24"/>
      <c r="AQ1102" s="24"/>
      <c r="AR1102" s="33"/>
      <c r="AS1102" s="34"/>
      <c r="AT1102" s="33"/>
      <c r="AV1102" s="21">
        <f>IF(AND($AL1102&lt;&gt;"",COUNTIF($AL$11:$AL1102,$AL1102)=1),1,0)</f>
        <v>0</v>
      </c>
      <c r="AW1102" s="21">
        <f t="shared" si="121"/>
        <v>2</v>
      </c>
      <c r="AX1102" s="21" t="str">
        <f t="shared" si="120"/>
        <v/>
      </c>
      <c r="AY1102" s="21" t="str">
        <f>IF(AND($AM1102&lt;&gt;"",$AS1102&lt;&gt;"✓"),SUMPRODUCT(($AM$11:$AM1102&lt;&gt;"")*($AS$11:$AS1102&lt;&gt;"✓")),"")</f>
        <v/>
      </c>
      <c r="AZ1102" s="21" t="str">
        <f>IF(AND($AM1102&lt;&gt;"",$AS1102="✓"),SUMPRODUCT(($AM$11:$AM1102&lt;&gt;"")*($AS$11:$AS1102="✓")),"")</f>
        <v/>
      </c>
      <c r="BA1102" s="21" t="str">
        <f>IF($AL1102="","",$AL1102&amp;"|"&amp;COUNTIF($AL$11:$AL1102,$AL1102))</f>
        <v/>
      </c>
    </row>
    <row r="1103" spans="38:53" ht="15" customHeight="1" x14ac:dyDescent="0.25">
      <c r="AL1103" s="17"/>
      <c r="AM1103" s="12"/>
      <c r="AN1103" s="18"/>
      <c r="AO1103" s="18"/>
      <c r="AP1103" s="10"/>
      <c r="AQ1103" s="10"/>
      <c r="AR1103" s="19"/>
      <c r="AS1103" s="20"/>
      <c r="AT1103" s="19"/>
      <c r="AV1103" s="21">
        <f>IF(AND($AL1103&lt;&gt;"",COUNTIF($AL$11:$AL1103,$AL1103)=1),1,0)</f>
        <v>0</v>
      </c>
      <c r="AW1103" s="21">
        <f t="shared" si="121"/>
        <v>2</v>
      </c>
      <c r="AX1103" s="21" t="str">
        <f t="shared" si="120"/>
        <v/>
      </c>
      <c r="AY1103" s="21" t="str">
        <f>IF(AND($AM1103&lt;&gt;"",$AS1103&lt;&gt;"✓"),SUMPRODUCT(($AM$11:$AM1103&lt;&gt;"")*($AS$11:$AS1103&lt;&gt;"✓")),"")</f>
        <v/>
      </c>
      <c r="AZ1103" s="21" t="str">
        <f>IF(AND($AM1103&lt;&gt;"",$AS1103="✓"),SUMPRODUCT(($AM$11:$AM1103&lt;&gt;"")*($AS$11:$AS1103="✓")),"")</f>
        <v/>
      </c>
      <c r="BA1103" s="21" t="str">
        <f>IF($AL1103="","",$AL1103&amp;"|"&amp;COUNTIF($AL$11:$AL1103,$AL1103))</f>
        <v/>
      </c>
    </row>
    <row r="1104" spans="38:53" ht="15" customHeight="1" x14ac:dyDescent="0.25">
      <c r="AL1104" s="31"/>
      <c r="AM1104" s="26"/>
      <c r="AN1104" s="32"/>
      <c r="AO1104" s="32"/>
      <c r="AP1104" s="24"/>
      <c r="AQ1104" s="24"/>
      <c r="AR1104" s="33"/>
      <c r="AS1104" s="34"/>
      <c r="AT1104" s="33"/>
      <c r="AV1104" s="21">
        <f>IF(AND($AL1104&lt;&gt;"",COUNTIF($AL$11:$AL1104,$AL1104)=1),1,0)</f>
        <v>0</v>
      </c>
      <c r="AW1104" s="21">
        <f t="shared" si="121"/>
        <v>2</v>
      </c>
      <c r="AX1104" s="21" t="str">
        <f t="shared" si="120"/>
        <v/>
      </c>
      <c r="AY1104" s="21" t="str">
        <f>IF(AND($AM1104&lt;&gt;"",$AS1104&lt;&gt;"✓"),SUMPRODUCT(($AM$11:$AM1104&lt;&gt;"")*($AS$11:$AS1104&lt;&gt;"✓")),"")</f>
        <v/>
      </c>
      <c r="AZ1104" s="21" t="str">
        <f>IF(AND($AM1104&lt;&gt;"",$AS1104="✓"),SUMPRODUCT(($AM$11:$AM1104&lt;&gt;"")*($AS$11:$AS1104="✓")),"")</f>
        <v/>
      </c>
      <c r="BA1104" s="21" t="str">
        <f>IF($AL1104="","",$AL1104&amp;"|"&amp;COUNTIF($AL$11:$AL1104,$AL1104))</f>
        <v/>
      </c>
    </row>
    <row r="1105" spans="38:53" ht="15" customHeight="1" x14ac:dyDescent="0.25">
      <c r="AL1105" s="17"/>
      <c r="AM1105" s="12"/>
      <c r="AN1105" s="18"/>
      <c r="AO1105" s="18"/>
      <c r="AP1105" s="10"/>
      <c r="AQ1105" s="10"/>
      <c r="AR1105" s="19"/>
      <c r="AS1105" s="20"/>
      <c r="AT1105" s="19"/>
      <c r="AV1105" s="21">
        <f>IF(AND($AL1105&lt;&gt;"",COUNTIF($AL$11:$AL1105,$AL1105)=1),1,0)</f>
        <v>0</v>
      </c>
      <c r="AW1105" s="21">
        <f t="shared" si="121"/>
        <v>2</v>
      </c>
      <c r="AX1105" s="21" t="str">
        <f t="shared" si="120"/>
        <v/>
      </c>
      <c r="AY1105" s="21" t="str">
        <f>IF(AND($AM1105&lt;&gt;"",$AS1105&lt;&gt;"✓"),SUMPRODUCT(($AM$11:$AM1105&lt;&gt;"")*($AS$11:$AS1105&lt;&gt;"✓")),"")</f>
        <v/>
      </c>
      <c r="AZ1105" s="21" t="str">
        <f>IF(AND($AM1105&lt;&gt;"",$AS1105="✓"),SUMPRODUCT(($AM$11:$AM1105&lt;&gt;"")*($AS$11:$AS1105="✓")),"")</f>
        <v/>
      </c>
      <c r="BA1105" s="21" t="str">
        <f>IF($AL1105="","",$AL1105&amp;"|"&amp;COUNTIF($AL$11:$AL1105,$AL1105))</f>
        <v/>
      </c>
    </row>
    <row r="1106" spans="38:53" ht="15" customHeight="1" x14ac:dyDescent="0.25">
      <c r="AL1106" s="31"/>
      <c r="AM1106" s="26"/>
      <c r="AN1106" s="32"/>
      <c r="AO1106" s="32"/>
      <c r="AP1106" s="24"/>
      <c r="AQ1106" s="24"/>
      <c r="AR1106" s="33"/>
      <c r="AS1106" s="34"/>
      <c r="AT1106" s="33"/>
      <c r="AV1106" s="21">
        <f>IF(AND($AL1106&lt;&gt;"",COUNTIF($AL$11:$AL1106,$AL1106)=1),1,0)</f>
        <v>0</v>
      </c>
      <c r="AW1106" s="21">
        <f t="shared" si="121"/>
        <v>2</v>
      </c>
      <c r="AX1106" s="21" t="str">
        <f t="shared" si="120"/>
        <v/>
      </c>
      <c r="AY1106" s="21" t="str">
        <f>IF(AND($AM1106&lt;&gt;"",$AS1106&lt;&gt;"✓"),SUMPRODUCT(($AM$11:$AM1106&lt;&gt;"")*($AS$11:$AS1106&lt;&gt;"✓")),"")</f>
        <v/>
      </c>
      <c r="AZ1106" s="21" t="str">
        <f>IF(AND($AM1106&lt;&gt;"",$AS1106="✓"),SUMPRODUCT(($AM$11:$AM1106&lt;&gt;"")*($AS$11:$AS1106="✓")),"")</f>
        <v/>
      </c>
      <c r="BA1106" s="21" t="str">
        <f>IF($AL1106="","",$AL1106&amp;"|"&amp;COUNTIF($AL$11:$AL1106,$AL1106))</f>
        <v/>
      </c>
    </row>
    <row r="1107" spans="38:53" ht="15" customHeight="1" x14ac:dyDescent="0.25">
      <c r="AL1107" s="17"/>
      <c r="AM1107" s="12"/>
      <c r="AN1107" s="18"/>
      <c r="AO1107" s="18"/>
      <c r="AP1107" s="10"/>
      <c r="AQ1107" s="10"/>
      <c r="AR1107" s="19"/>
      <c r="AS1107" s="20"/>
      <c r="AT1107" s="19"/>
      <c r="AV1107" s="21">
        <f>IF(AND($AL1107&lt;&gt;"",COUNTIF($AL$11:$AL1107,$AL1107)=1),1,0)</f>
        <v>0</v>
      </c>
      <c r="AW1107" s="21">
        <f t="shared" si="121"/>
        <v>2</v>
      </c>
      <c r="AX1107" s="21" t="str">
        <f t="shared" si="120"/>
        <v/>
      </c>
      <c r="AY1107" s="21" t="str">
        <f>IF(AND($AM1107&lt;&gt;"",$AS1107&lt;&gt;"✓"),SUMPRODUCT(($AM$11:$AM1107&lt;&gt;"")*($AS$11:$AS1107&lt;&gt;"✓")),"")</f>
        <v/>
      </c>
      <c r="AZ1107" s="21" t="str">
        <f>IF(AND($AM1107&lt;&gt;"",$AS1107="✓"),SUMPRODUCT(($AM$11:$AM1107&lt;&gt;"")*($AS$11:$AS1107="✓")),"")</f>
        <v/>
      </c>
      <c r="BA1107" s="21" t="str">
        <f>IF($AL1107="","",$AL1107&amp;"|"&amp;COUNTIF($AL$11:$AL1107,$AL1107))</f>
        <v/>
      </c>
    </row>
    <row r="1108" spans="38:53" ht="15" customHeight="1" x14ac:dyDescent="0.25">
      <c r="AL1108" s="31"/>
      <c r="AM1108" s="26"/>
      <c r="AN1108" s="32"/>
      <c r="AO1108" s="32"/>
      <c r="AP1108" s="24"/>
      <c r="AQ1108" s="24"/>
      <c r="AR1108" s="33"/>
      <c r="AS1108" s="34"/>
      <c r="AT1108" s="33"/>
      <c r="AV1108" s="21">
        <f>IF(AND($AL1108&lt;&gt;"",COUNTIF($AL$11:$AL1108,$AL1108)=1),1,0)</f>
        <v>0</v>
      </c>
      <c r="AW1108" s="21">
        <f t="shared" si="121"/>
        <v>2</v>
      </c>
      <c r="AX1108" s="21" t="str">
        <f t="shared" si="120"/>
        <v/>
      </c>
      <c r="AY1108" s="21" t="str">
        <f>IF(AND($AM1108&lt;&gt;"",$AS1108&lt;&gt;"✓"),SUMPRODUCT(($AM$11:$AM1108&lt;&gt;"")*($AS$11:$AS1108&lt;&gt;"✓")),"")</f>
        <v/>
      </c>
      <c r="AZ1108" s="21" t="str">
        <f>IF(AND($AM1108&lt;&gt;"",$AS1108="✓"),SUMPRODUCT(($AM$11:$AM1108&lt;&gt;"")*($AS$11:$AS1108="✓")),"")</f>
        <v/>
      </c>
      <c r="BA1108" s="21" t="str">
        <f>IF($AL1108="","",$AL1108&amp;"|"&amp;COUNTIF($AL$11:$AL1108,$AL1108))</f>
        <v/>
      </c>
    </row>
    <row r="1109" spans="38:53" ht="15" customHeight="1" x14ac:dyDescent="0.25">
      <c r="AL1109" s="17"/>
      <c r="AM1109" s="12"/>
      <c r="AN1109" s="18"/>
      <c r="AO1109" s="18"/>
      <c r="AP1109" s="10"/>
      <c r="AQ1109" s="10"/>
      <c r="AR1109" s="19"/>
      <c r="AS1109" s="20"/>
      <c r="AT1109" s="19"/>
      <c r="AV1109" s="21">
        <f>IF(AND($AL1109&lt;&gt;"",COUNTIF($AL$11:$AL1109,$AL1109)=1),1,0)</f>
        <v>0</v>
      </c>
      <c r="AW1109" s="21">
        <f t="shared" si="121"/>
        <v>2</v>
      </c>
      <c r="AX1109" s="21" t="str">
        <f t="shared" si="120"/>
        <v/>
      </c>
      <c r="AY1109" s="21" t="str">
        <f>IF(AND($AM1109&lt;&gt;"",$AS1109&lt;&gt;"✓"),SUMPRODUCT(($AM$11:$AM1109&lt;&gt;"")*($AS$11:$AS1109&lt;&gt;"✓")),"")</f>
        <v/>
      </c>
      <c r="AZ1109" s="21" t="str">
        <f>IF(AND($AM1109&lt;&gt;"",$AS1109="✓"),SUMPRODUCT(($AM$11:$AM1109&lt;&gt;"")*($AS$11:$AS1109="✓")),"")</f>
        <v/>
      </c>
      <c r="BA1109" s="21" t="str">
        <f>IF($AL1109="","",$AL1109&amp;"|"&amp;COUNTIF($AL$11:$AL1109,$AL1109))</f>
        <v/>
      </c>
    </row>
    <row r="1110" spans="38:53" ht="15" customHeight="1" x14ac:dyDescent="0.25">
      <c r="AL1110" s="31"/>
      <c r="AM1110" s="26"/>
      <c r="AN1110" s="32"/>
      <c r="AO1110" s="32"/>
      <c r="AP1110" s="24"/>
      <c r="AQ1110" s="24"/>
      <c r="AR1110" s="33"/>
      <c r="AS1110" s="34"/>
      <c r="AT1110" s="33"/>
      <c r="AV1110" s="21">
        <f>IF(AND($AL1110&lt;&gt;"",COUNTIF($AL$11:$AL1110,$AL1110)=1),1,0)</f>
        <v>0</v>
      </c>
      <c r="AW1110" s="21">
        <f t="shared" si="121"/>
        <v>2</v>
      </c>
      <c r="AX1110" s="21" t="str">
        <f t="shared" si="120"/>
        <v/>
      </c>
      <c r="AY1110" s="21" t="str">
        <f>IF(AND($AM1110&lt;&gt;"",$AS1110&lt;&gt;"✓"),SUMPRODUCT(($AM$11:$AM1110&lt;&gt;"")*($AS$11:$AS1110&lt;&gt;"✓")),"")</f>
        <v/>
      </c>
      <c r="AZ1110" s="21" t="str">
        <f>IF(AND($AM1110&lt;&gt;"",$AS1110="✓"),SUMPRODUCT(($AM$11:$AM1110&lt;&gt;"")*($AS$11:$AS1110="✓")),"")</f>
        <v/>
      </c>
      <c r="BA1110" s="21" t="str">
        <f>IF($AL1110="","",$AL1110&amp;"|"&amp;COUNTIF($AL$11:$AL1110,$AL1110))</f>
        <v/>
      </c>
    </row>
    <row r="1111" spans="38:53" ht="15" customHeight="1" x14ac:dyDescent="0.25">
      <c r="AL1111" s="17"/>
      <c r="AM1111" s="12"/>
      <c r="AN1111" s="18"/>
      <c r="AO1111" s="18"/>
      <c r="AP1111" s="10"/>
      <c r="AQ1111" s="10"/>
      <c r="AR1111" s="19"/>
      <c r="AS1111" s="20"/>
      <c r="AT1111" s="19"/>
      <c r="AV1111" s="21">
        <f>IF(AND($AL1111&lt;&gt;"",COUNTIF($AL$11:$AL1111,$AL1111)=1),1,0)</f>
        <v>0</v>
      </c>
      <c r="AW1111" s="21">
        <f t="shared" si="121"/>
        <v>2</v>
      </c>
      <c r="AX1111" s="21" t="str">
        <f t="shared" si="120"/>
        <v/>
      </c>
      <c r="AY1111" s="21" t="str">
        <f>IF(AND($AM1111&lt;&gt;"",$AS1111&lt;&gt;"✓"),SUMPRODUCT(($AM$11:$AM1111&lt;&gt;"")*($AS$11:$AS1111&lt;&gt;"✓")),"")</f>
        <v/>
      </c>
      <c r="AZ1111" s="21" t="str">
        <f>IF(AND($AM1111&lt;&gt;"",$AS1111="✓"),SUMPRODUCT(($AM$11:$AM1111&lt;&gt;"")*($AS$11:$AS1111="✓")),"")</f>
        <v/>
      </c>
      <c r="BA1111" s="21" t="str">
        <f>IF($AL1111="","",$AL1111&amp;"|"&amp;COUNTIF($AL$11:$AL1111,$AL1111))</f>
        <v/>
      </c>
    </row>
    <row r="1112" spans="38:53" ht="15" customHeight="1" x14ac:dyDescent="0.25">
      <c r="AL1112" s="31"/>
      <c r="AM1112" s="26"/>
      <c r="AN1112" s="32"/>
      <c r="AO1112" s="32"/>
      <c r="AP1112" s="24"/>
      <c r="AQ1112" s="24"/>
      <c r="AR1112" s="33"/>
      <c r="AS1112" s="34"/>
      <c r="AT1112" s="33"/>
      <c r="AV1112" s="21">
        <f>IF(AND($AL1112&lt;&gt;"",COUNTIF($AL$11:$AL1112,$AL1112)=1),1,0)</f>
        <v>0</v>
      </c>
      <c r="AW1112" s="21">
        <f t="shared" si="121"/>
        <v>2</v>
      </c>
      <c r="AX1112" s="21" t="str">
        <f t="shared" si="120"/>
        <v/>
      </c>
      <c r="AY1112" s="21" t="str">
        <f>IF(AND($AM1112&lt;&gt;"",$AS1112&lt;&gt;"✓"),SUMPRODUCT(($AM$11:$AM1112&lt;&gt;"")*($AS$11:$AS1112&lt;&gt;"✓")),"")</f>
        <v/>
      </c>
      <c r="AZ1112" s="21" t="str">
        <f>IF(AND($AM1112&lt;&gt;"",$AS1112="✓"),SUMPRODUCT(($AM$11:$AM1112&lt;&gt;"")*($AS$11:$AS1112="✓")),"")</f>
        <v/>
      </c>
      <c r="BA1112" s="21" t="str">
        <f>IF($AL1112="","",$AL1112&amp;"|"&amp;COUNTIF($AL$11:$AL1112,$AL1112))</f>
        <v/>
      </c>
    </row>
    <row r="1113" spans="38:53" ht="15" customHeight="1" x14ac:dyDescent="0.25">
      <c r="AL1113" s="17"/>
      <c r="AM1113" s="12"/>
      <c r="AN1113" s="18"/>
      <c r="AO1113" s="18"/>
      <c r="AP1113" s="10"/>
      <c r="AQ1113" s="10"/>
      <c r="AR1113" s="19"/>
      <c r="AS1113" s="20"/>
      <c r="AT1113" s="19"/>
      <c r="AV1113" s="21">
        <f>IF(AND($AL1113&lt;&gt;"",COUNTIF($AL$11:$AL1113,$AL1113)=1),1,0)</f>
        <v>0</v>
      </c>
      <c r="AW1113" s="21">
        <f t="shared" si="121"/>
        <v>2</v>
      </c>
      <c r="AX1113" s="21" t="str">
        <f t="shared" si="120"/>
        <v/>
      </c>
      <c r="AY1113" s="21" t="str">
        <f>IF(AND($AM1113&lt;&gt;"",$AS1113&lt;&gt;"✓"),SUMPRODUCT(($AM$11:$AM1113&lt;&gt;"")*($AS$11:$AS1113&lt;&gt;"✓")),"")</f>
        <v/>
      </c>
      <c r="AZ1113" s="21" t="str">
        <f>IF(AND($AM1113&lt;&gt;"",$AS1113="✓"),SUMPRODUCT(($AM$11:$AM1113&lt;&gt;"")*($AS$11:$AS1113="✓")),"")</f>
        <v/>
      </c>
      <c r="BA1113" s="21" t="str">
        <f>IF($AL1113="","",$AL1113&amp;"|"&amp;COUNTIF($AL$11:$AL1113,$AL1113))</f>
        <v/>
      </c>
    </row>
    <row r="1114" spans="38:53" ht="15" customHeight="1" x14ac:dyDescent="0.25">
      <c r="AL1114" s="31"/>
      <c r="AM1114" s="26"/>
      <c r="AN1114" s="32"/>
      <c r="AO1114" s="32"/>
      <c r="AP1114" s="24"/>
      <c r="AQ1114" s="24"/>
      <c r="AR1114" s="33"/>
      <c r="AS1114" s="34"/>
      <c r="AT1114" s="33"/>
      <c r="AV1114" s="21">
        <f>IF(AND($AL1114&lt;&gt;"",COUNTIF($AL$11:$AL1114,$AL1114)=1),1,0)</f>
        <v>0</v>
      </c>
      <c r="AW1114" s="21">
        <f t="shared" si="121"/>
        <v>2</v>
      </c>
      <c r="AX1114" s="21" t="str">
        <f t="shared" si="120"/>
        <v/>
      </c>
      <c r="AY1114" s="21" t="str">
        <f>IF(AND($AM1114&lt;&gt;"",$AS1114&lt;&gt;"✓"),SUMPRODUCT(($AM$11:$AM1114&lt;&gt;"")*($AS$11:$AS1114&lt;&gt;"✓")),"")</f>
        <v/>
      </c>
      <c r="AZ1114" s="21" t="str">
        <f>IF(AND($AM1114&lt;&gt;"",$AS1114="✓"),SUMPRODUCT(($AM$11:$AM1114&lt;&gt;"")*($AS$11:$AS1114="✓")),"")</f>
        <v/>
      </c>
      <c r="BA1114" s="21" t="str">
        <f>IF($AL1114="","",$AL1114&amp;"|"&amp;COUNTIF($AL$11:$AL1114,$AL1114))</f>
        <v/>
      </c>
    </row>
    <row r="1115" spans="38:53" ht="15" customHeight="1" x14ac:dyDescent="0.25">
      <c r="AL1115" s="17"/>
      <c r="AM1115" s="12"/>
      <c r="AN1115" s="18"/>
      <c r="AO1115" s="18"/>
      <c r="AP1115" s="10"/>
      <c r="AQ1115" s="10"/>
      <c r="AR1115" s="19"/>
      <c r="AS1115" s="20"/>
      <c r="AT1115" s="19"/>
      <c r="AV1115" s="21">
        <f>IF(AND($AL1115&lt;&gt;"",COUNTIF($AL$11:$AL1115,$AL1115)=1),1,0)</f>
        <v>0</v>
      </c>
      <c r="AW1115" s="21">
        <f t="shared" si="121"/>
        <v>2</v>
      </c>
      <c r="AX1115" s="21" t="str">
        <f t="shared" si="120"/>
        <v/>
      </c>
      <c r="AY1115" s="21" t="str">
        <f>IF(AND($AM1115&lt;&gt;"",$AS1115&lt;&gt;"✓"),SUMPRODUCT(($AM$11:$AM1115&lt;&gt;"")*($AS$11:$AS1115&lt;&gt;"✓")),"")</f>
        <v/>
      </c>
      <c r="AZ1115" s="21" t="str">
        <f>IF(AND($AM1115&lt;&gt;"",$AS1115="✓"),SUMPRODUCT(($AM$11:$AM1115&lt;&gt;"")*($AS$11:$AS1115="✓")),"")</f>
        <v/>
      </c>
      <c r="BA1115" s="21" t="str">
        <f>IF($AL1115="","",$AL1115&amp;"|"&amp;COUNTIF($AL$11:$AL1115,$AL1115))</f>
        <v/>
      </c>
    </row>
    <row r="1116" spans="38:53" ht="15" customHeight="1" x14ac:dyDescent="0.25">
      <c r="AL1116" s="31"/>
      <c r="AM1116" s="26"/>
      <c r="AN1116" s="32"/>
      <c r="AO1116" s="32"/>
      <c r="AP1116" s="24"/>
      <c r="AQ1116" s="24"/>
      <c r="AR1116" s="33"/>
      <c r="AS1116" s="34"/>
      <c r="AT1116" s="33"/>
      <c r="AV1116" s="21">
        <f>IF(AND($AL1116&lt;&gt;"",COUNTIF($AL$11:$AL1116,$AL1116)=1),1,0)</f>
        <v>0</v>
      </c>
      <c r="AW1116" s="21">
        <f t="shared" si="121"/>
        <v>2</v>
      </c>
      <c r="AX1116" s="21" t="str">
        <f t="shared" si="120"/>
        <v/>
      </c>
      <c r="AY1116" s="21" t="str">
        <f>IF(AND($AM1116&lt;&gt;"",$AS1116&lt;&gt;"✓"),SUMPRODUCT(($AM$11:$AM1116&lt;&gt;"")*($AS$11:$AS1116&lt;&gt;"✓")),"")</f>
        <v/>
      </c>
      <c r="AZ1116" s="21" t="str">
        <f>IF(AND($AM1116&lt;&gt;"",$AS1116="✓"),SUMPRODUCT(($AM$11:$AM1116&lt;&gt;"")*($AS$11:$AS1116="✓")),"")</f>
        <v/>
      </c>
      <c r="BA1116" s="21" t="str">
        <f>IF($AL1116="","",$AL1116&amp;"|"&amp;COUNTIF($AL$11:$AL1116,$AL1116))</f>
        <v/>
      </c>
    </row>
    <row r="1117" spans="38:53" ht="15" customHeight="1" x14ac:dyDescent="0.25">
      <c r="AL1117" s="17"/>
      <c r="AM1117" s="12"/>
      <c r="AN1117" s="18"/>
      <c r="AO1117" s="18"/>
      <c r="AP1117" s="10"/>
      <c r="AQ1117" s="10"/>
      <c r="AR1117" s="19"/>
      <c r="AS1117" s="20"/>
      <c r="AT1117" s="19"/>
      <c r="AV1117" s="21">
        <f>IF(AND($AL1117&lt;&gt;"",COUNTIF($AL$11:$AL1117,$AL1117)=1),1,0)</f>
        <v>0</v>
      </c>
      <c r="AW1117" s="21">
        <f t="shared" si="121"/>
        <v>2</v>
      </c>
      <c r="AX1117" s="21" t="str">
        <f t="shared" si="120"/>
        <v/>
      </c>
      <c r="AY1117" s="21" t="str">
        <f>IF(AND($AM1117&lt;&gt;"",$AS1117&lt;&gt;"✓"),SUMPRODUCT(($AM$11:$AM1117&lt;&gt;"")*($AS$11:$AS1117&lt;&gt;"✓")),"")</f>
        <v/>
      </c>
      <c r="AZ1117" s="21" t="str">
        <f>IF(AND($AM1117&lt;&gt;"",$AS1117="✓"),SUMPRODUCT(($AM$11:$AM1117&lt;&gt;"")*($AS$11:$AS1117="✓")),"")</f>
        <v/>
      </c>
      <c r="BA1117" s="21" t="str">
        <f>IF($AL1117="","",$AL1117&amp;"|"&amp;COUNTIF($AL$11:$AL1117,$AL1117))</f>
        <v/>
      </c>
    </row>
    <row r="1118" spans="38:53" ht="15" customHeight="1" x14ac:dyDescent="0.25">
      <c r="AL1118" s="31"/>
      <c r="AM1118" s="26"/>
      <c r="AN1118" s="32"/>
      <c r="AO1118" s="32"/>
      <c r="AP1118" s="24"/>
      <c r="AQ1118" s="24"/>
      <c r="AR1118" s="33"/>
      <c r="AS1118" s="34"/>
      <c r="AT1118" s="33"/>
      <c r="AV1118" s="21">
        <f>IF(AND($AL1118&lt;&gt;"",COUNTIF($AL$11:$AL1118,$AL1118)=1),1,0)</f>
        <v>0</v>
      </c>
      <c r="AW1118" s="21">
        <f t="shared" si="121"/>
        <v>2</v>
      </c>
      <c r="AX1118" s="21" t="str">
        <f t="shared" si="120"/>
        <v/>
      </c>
      <c r="AY1118" s="21" t="str">
        <f>IF(AND($AM1118&lt;&gt;"",$AS1118&lt;&gt;"✓"),SUMPRODUCT(($AM$11:$AM1118&lt;&gt;"")*($AS$11:$AS1118&lt;&gt;"✓")),"")</f>
        <v/>
      </c>
      <c r="AZ1118" s="21" t="str">
        <f>IF(AND($AM1118&lt;&gt;"",$AS1118="✓"),SUMPRODUCT(($AM$11:$AM1118&lt;&gt;"")*($AS$11:$AS1118="✓")),"")</f>
        <v/>
      </c>
      <c r="BA1118" s="21" t="str">
        <f>IF($AL1118="","",$AL1118&amp;"|"&amp;COUNTIF($AL$11:$AL1118,$AL1118))</f>
        <v/>
      </c>
    </row>
    <row r="1119" spans="38:53" ht="15" customHeight="1" x14ac:dyDescent="0.25">
      <c r="AL1119" s="17"/>
      <c r="AM1119" s="12"/>
      <c r="AN1119" s="18"/>
      <c r="AO1119" s="18"/>
      <c r="AP1119" s="10"/>
      <c r="AQ1119" s="10"/>
      <c r="AR1119" s="19"/>
      <c r="AS1119" s="20"/>
      <c r="AT1119" s="19"/>
      <c r="AV1119" s="21">
        <f>IF(AND($AL1119&lt;&gt;"",COUNTIF($AL$11:$AL1119,$AL1119)=1),1,0)</f>
        <v>0</v>
      </c>
      <c r="AW1119" s="21">
        <f t="shared" si="121"/>
        <v>2</v>
      </c>
      <c r="AX1119" s="21" t="str">
        <f t="shared" si="120"/>
        <v/>
      </c>
      <c r="AY1119" s="21" t="str">
        <f>IF(AND($AM1119&lt;&gt;"",$AS1119&lt;&gt;"✓"),SUMPRODUCT(($AM$11:$AM1119&lt;&gt;"")*($AS$11:$AS1119&lt;&gt;"✓")),"")</f>
        <v/>
      </c>
      <c r="AZ1119" s="21" t="str">
        <f>IF(AND($AM1119&lt;&gt;"",$AS1119="✓"),SUMPRODUCT(($AM$11:$AM1119&lt;&gt;"")*($AS$11:$AS1119="✓")),"")</f>
        <v/>
      </c>
      <c r="BA1119" s="21" t="str">
        <f>IF($AL1119="","",$AL1119&amp;"|"&amp;COUNTIF($AL$11:$AL1119,$AL1119))</f>
        <v/>
      </c>
    </row>
    <row r="1120" spans="38:53" ht="15" customHeight="1" x14ac:dyDescent="0.25">
      <c r="AL1120" s="31"/>
      <c r="AM1120" s="26"/>
      <c r="AN1120" s="32"/>
      <c r="AO1120" s="32"/>
      <c r="AP1120" s="24"/>
      <c r="AQ1120" s="24"/>
      <c r="AR1120" s="33"/>
      <c r="AS1120" s="34"/>
      <c r="AT1120" s="33"/>
      <c r="AV1120" s="21">
        <f>IF(AND($AL1120&lt;&gt;"",COUNTIF($AL$11:$AL1120,$AL1120)=1),1,0)</f>
        <v>0</v>
      </c>
      <c r="AW1120" s="21">
        <f t="shared" si="121"/>
        <v>2</v>
      </c>
      <c r="AX1120" s="21" t="str">
        <f t="shared" si="120"/>
        <v/>
      </c>
      <c r="AY1120" s="21" t="str">
        <f>IF(AND($AM1120&lt;&gt;"",$AS1120&lt;&gt;"✓"),SUMPRODUCT(($AM$11:$AM1120&lt;&gt;"")*($AS$11:$AS1120&lt;&gt;"✓")),"")</f>
        <v/>
      </c>
      <c r="AZ1120" s="21" t="str">
        <f>IF(AND($AM1120&lt;&gt;"",$AS1120="✓"),SUMPRODUCT(($AM$11:$AM1120&lt;&gt;"")*($AS$11:$AS1120="✓")),"")</f>
        <v/>
      </c>
      <c r="BA1120" s="21" t="str">
        <f>IF($AL1120="","",$AL1120&amp;"|"&amp;COUNTIF($AL$11:$AL1120,$AL1120))</f>
        <v/>
      </c>
    </row>
    <row r="1121" spans="38:53" ht="15" customHeight="1" x14ac:dyDescent="0.25">
      <c r="AL1121" s="17"/>
      <c r="AM1121" s="12"/>
      <c r="AN1121" s="18"/>
      <c r="AO1121" s="18"/>
      <c r="AP1121" s="10"/>
      <c r="AQ1121" s="10"/>
      <c r="AR1121" s="19"/>
      <c r="AS1121" s="20"/>
      <c r="AT1121" s="19"/>
      <c r="AV1121" s="21">
        <f>IF(AND($AL1121&lt;&gt;"",COUNTIF($AL$11:$AL1121,$AL1121)=1),1,0)</f>
        <v>0</v>
      </c>
      <c r="AW1121" s="21">
        <f t="shared" si="121"/>
        <v>2</v>
      </c>
      <c r="AX1121" s="21" t="str">
        <f t="shared" si="120"/>
        <v/>
      </c>
      <c r="AY1121" s="21" t="str">
        <f>IF(AND($AM1121&lt;&gt;"",$AS1121&lt;&gt;"✓"),SUMPRODUCT(($AM$11:$AM1121&lt;&gt;"")*($AS$11:$AS1121&lt;&gt;"✓")),"")</f>
        <v/>
      </c>
      <c r="AZ1121" s="21" t="str">
        <f>IF(AND($AM1121&lt;&gt;"",$AS1121="✓"),SUMPRODUCT(($AM$11:$AM1121&lt;&gt;"")*($AS$11:$AS1121="✓")),"")</f>
        <v/>
      </c>
      <c r="BA1121" s="21" t="str">
        <f>IF($AL1121="","",$AL1121&amp;"|"&amp;COUNTIF($AL$11:$AL1121,$AL1121))</f>
        <v/>
      </c>
    </row>
    <row r="1122" spans="38:53" ht="15" customHeight="1" x14ac:dyDescent="0.25">
      <c r="AL1122" s="31"/>
      <c r="AM1122" s="26"/>
      <c r="AN1122" s="32"/>
      <c r="AO1122" s="32"/>
      <c r="AP1122" s="24"/>
      <c r="AQ1122" s="24"/>
      <c r="AR1122" s="33"/>
      <c r="AS1122" s="34"/>
      <c r="AT1122" s="33"/>
      <c r="AV1122" s="21">
        <f>IF(AND($AL1122&lt;&gt;"",COUNTIF($AL$11:$AL1122,$AL1122)=1),1,0)</f>
        <v>0</v>
      </c>
      <c r="AW1122" s="21">
        <f t="shared" si="121"/>
        <v>2</v>
      </c>
      <c r="AX1122" s="21" t="str">
        <f t="shared" si="120"/>
        <v/>
      </c>
      <c r="AY1122" s="21" t="str">
        <f>IF(AND($AM1122&lt;&gt;"",$AS1122&lt;&gt;"✓"),SUMPRODUCT(($AM$11:$AM1122&lt;&gt;"")*($AS$11:$AS1122&lt;&gt;"✓")),"")</f>
        <v/>
      </c>
      <c r="AZ1122" s="21" t="str">
        <f>IF(AND($AM1122&lt;&gt;"",$AS1122="✓"),SUMPRODUCT(($AM$11:$AM1122&lt;&gt;"")*($AS$11:$AS1122="✓")),"")</f>
        <v/>
      </c>
      <c r="BA1122" s="21" t="str">
        <f>IF($AL1122="","",$AL1122&amp;"|"&amp;COUNTIF($AL$11:$AL1122,$AL1122))</f>
        <v/>
      </c>
    </row>
    <row r="1123" spans="38:53" ht="15" customHeight="1" x14ac:dyDescent="0.25">
      <c r="AL1123" s="17"/>
      <c r="AM1123" s="12"/>
      <c r="AN1123" s="18"/>
      <c r="AO1123" s="18"/>
      <c r="AP1123" s="10"/>
      <c r="AQ1123" s="10"/>
      <c r="AR1123" s="19"/>
      <c r="AS1123" s="20"/>
      <c r="AT1123" s="19"/>
      <c r="AV1123" s="21">
        <f>IF(AND($AL1123&lt;&gt;"",COUNTIF($AL$11:$AL1123,$AL1123)=1),1,0)</f>
        <v>0</v>
      </c>
      <c r="AW1123" s="21">
        <f t="shared" si="121"/>
        <v>2</v>
      </c>
      <c r="AX1123" s="21" t="str">
        <f t="shared" si="120"/>
        <v/>
      </c>
      <c r="AY1123" s="21" t="str">
        <f>IF(AND($AM1123&lt;&gt;"",$AS1123&lt;&gt;"✓"),SUMPRODUCT(($AM$11:$AM1123&lt;&gt;"")*($AS$11:$AS1123&lt;&gt;"✓")),"")</f>
        <v/>
      </c>
      <c r="AZ1123" s="21" t="str">
        <f>IF(AND($AM1123&lt;&gt;"",$AS1123="✓"),SUMPRODUCT(($AM$11:$AM1123&lt;&gt;"")*($AS$11:$AS1123="✓")),"")</f>
        <v/>
      </c>
      <c r="BA1123" s="21" t="str">
        <f>IF($AL1123="","",$AL1123&amp;"|"&amp;COUNTIF($AL$11:$AL1123,$AL1123))</f>
        <v/>
      </c>
    </row>
    <row r="1124" spans="38:53" ht="15" customHeight="1" x14ac:dyDescent="0.25">
      <c r="AL1124" s="31"/>
      <c r="AM1124" s="26"/>
      <c r="AN1124" s="32"/>
      <c r="AO1124" s="32"/>
      <c r="AP1124" s="24"/>
      <c r="AQ1124" s="24"/>
      <c r="AR1124" s="33"/>
      <c r="AS1124" s="34"/>
      <c r="AT1124" s="33"/>
      <c r="AV1124" s="21">
        <f>IF(AND($AL1124&lt;&gt;"",COUNTIF($AL$11:$AL1124,$AL1124)=1),1,0)</f>
        <v>0</v>
      </c>
      <c r="AW1124" s="21">
        <f t="shared" si="121"/>
        <v>2</v>
      </c>
      <c r="AX1124" s="21" t="str">
        <f t="shared" si="120"/>
        <v/>
      </c>
      <c r="AY1124" s="21" t="str">
        <f>IF(AND($AM1124&lt;&gt;"",$AS1124&lt;&gt;"✓"),SUMPRODUCT(($AM$11:$AM1124&lt;&gt;"")*($AS$11:$AS1124&lt;&gt;"✓")),"")</f>
        <v/>
      </c>
      <c r="AZ1124" s="21" t="str">
        <f>IF(AND($AM1124&lt;&gt;"",$AS1124="✓"),SUMPRODUCT(($AM$11:$AM1124&lt;&gt;"")*($AS$11:$AS1124="✓")),"")</f>
        <v/>
      </c>
      <c r="BA1124" s="21" t="str">
        <f>IF($AL1124="","",$AL1124&amp;"|"&amp;COUNTIF($AL$11:$AL1124,$AL1124))</f>
        <v/>
      </c>
    </row>
    <row r="1125" spans="38:53" ht="15" customHeight="1" x14ac:dyDescent="0.25">
      <c r="AL1125" s="17"/>
      <c r="AM1125" s="12"/>
      <c r="AN1125" s="18"/>
      <c r="AO1125" s="18"/>
      <c r="AP1125" s="10"/>
      <c r="AQ1125" s="10"/>
      <c r="AR1125" s="19"/>
      <c r="AS1125" s="20"/>
      <c r="AT1125" s="19"/>
      <c r="AV1125" s="21">
        <f>IF(AND($AL1125&lt;&gt;"",COUNTIF($AL$11:$AL1125,$AL1125)=1),1,0)</f>
        <v>0</v>
      </c>
      <c r="AW1125" s="21">
        <f t="shared" si="121"/>
        <v>2</v>
      </c>
      <c r="AX1125" s="21" t="str">
        <f t="shared" si="120"/>
        <v/>
      </c>
      <c r="AY1125" s="21" t="str">
        <f>IF(AND($AM1125&lt;&gt;"",$AS1125&lt;&gt;"✓"),SUMPRODUCT(($AM$11:$AM1125&lt;&gt;"")*($AS$11:$AS1125&lt;&gt;"✓")),"")</f>
        <v/>
      </c>
      <c r="AZ1125" s="21" t="str">
        <f>IF(AND($AM1125&lt;&gt;"",$AS1125="✓"),SUMPRODUCT(($AM$11:$AM1125&lt;&gt;"")*($AS$11:$AS1125="✓")),"")</f>
        <v/>
      </c>
      <c r="BA1125" s="21" t="str">
        <f>IF($AL1125="","",$AL1125&amp;"|"&amp;COUNTIF($AL$11:$AL1125,$AL1125))</f>
        <v/>
      </c>
    </row>
    <row r="1126" spans="38:53" ht="15" customHeight="1" x14ac:dyDescent="0.25">
      <c r="AL1126" s="31"/>
      <c r="AM1126" s="26"/>
      <c r="AN1126" s="32"/>
      <c r="AO1126" s="32"/>
      <c r="AP1126" s="24"/>
      <c r="AQ1126" s="24"/>
      <c r="AR1126" s="33"/>
      <c r="AS1126" s="34"/>
      <c r="AT1126" s="33"/>
      <c r="AV1126" s="21">
        <f>IF(AND($AL1126&lt;&gt;"",COUNTIF($AL$11:$AL1126,$AL1126)=1),1,0)</f>
        <v>0</v>
      </c>
      <c r="AW1126" s="21">
        <f t="shared" si="121"/>
        <v>2</v>
      </c>
      <c r="AX1126" s="21" t="str">
        <f t="shared" si="120"/>
        <v/>
      </c>
      <c r="AY1126" s="21" t="str">
        <f>IF(AND($AM1126&lt;&gt;"",$AS1126&lt;&gt;"✓"),SUMPRODUCT(($AM$11:$AM1126&lt;&gt;"")*($AS$11:$AS1126&lt;&gt;"✓")),"")</f>
        <v/>
      </c>
      <c r="AZ1126" s="21" t="str">
        <f>IF(AND($AM1126&lt;&gt;"",$AS1126="✓"),SUMPRODUCT(($AM$11:$AM1126&lt;&gt;"")*($AS$11:$AS1126="✓")),"")</f>
        <v/>
      </c>
      <c r="BA1126" s="21" t="str">
        <f>IF($AL1126="","",$AL1126&amp;"|"&amp;COUNTIF($AL$11:$AL1126,$AL1126))</f>
        <v/>
      </c>
    </row>
    <row r="1127" spans="38:53" ht="15" customHeight="1" x14ac:dyDescent="0.25">
      <c r="AL1127" s="17"/>
      <c r="AM1127" s="12"/>
      <c r="AN1127" s="18"/>
      <c r="AO1127" s="18"/>
      <c r="AP1127" s="10"/>
      <c r="AQ1127" s="10"/>
      <c r="AR1127" s="19"/>
      <c r="AS1127" s="20"/>
      <c r="AT1127" s="19"/>
      <c r="AV1127" s="21">
        <f>IF(AND($AL1127&lt;&gt;"",COUNTIF($AL$11:$AL1127,$AL1127)=1),1,0)</f>
        <v>0</v>
      </c>
      <c r="AW1127" s="21">
        <f t="shared" si="121"/>
        <v>2</v>
      </c>
      <c r="AX1127" s="21" t="str">
        <f t="shared" si="120"/>
        <v/>
      </c>
      <c r="AY1127" s="21" t="str">
        <f>IF(AND($AM1127&lt;&gt;"",$AS1127&lt;&gt;"✓"),SUMPRODUCT(($AM$11:$AM1127&lt;&gt;"")*($AS$11:$AS1127&lt;&gt;"✓")),"")</f>
        <v/>
      </c>
      <c r="AZ1127" s="21" t="str">
        <f>IF(AND($AM1127&lt;&gt;"",$AS1127="✓"),SUMPRODUCT(($AM$11:$AM1127&lt;&gt;"")*($AS$11:$AS1127="✓")),"")</f>
        <v/>
      </c>
      <c r="BA1127" s="21" t="str">
        <f>IF($AL1127="","",$AL1127&amp;"|"&amp;COUNTIF($AL$11:$AL1127,$AL1127))</f>
        <v/>
      </c>
    </row>
    <row r="1128" spans="38:53" ht="15" customHeight="1" x14ac:dyDescent="0.25">
      <c r="AL1128" s="31"/>
      <c r="AM1128" s="26"/>
      <c r="AN1128" s="32"/>
      <c r="AO1128" s="32"/>
      <c r="AP1128" s="24"/>
      <c r="AQ1128" s="24"/>
      <c r="AR1128" s="33"/>
      <c r="AS1128" s="34"/>
      <c r="AT1128" s="33"/>
      <c r="AV1128" s="21">
        <f>IF(AND($AL1128&lt;&gt;"",COUNTIF($AL$11:$AL1128,$AL1128)=1),1,0)</f>
        <v>0</v>
      </c>
      <c r="AW1128" s="21">
        <f t="shared" si="121"/>
        <v>2</v>
      </c>
      <c r="AX1128" s="21" t="str">
        <f t="shared" si="120"/>
        <v/>
      </c>
      <c r="AY1128" s="21" t="str">
        <f>IF(AND($AM1128&lt;&gt;"",$AS1128&lt;&gt;"✓"),SUMPRODUCT(($AM$11:$AM1128&lt;&gt;"")*($AS$11:$AS1128&lt;&gt;"✓")),"")</f>
        <v/>
      </c>
      <c r="AZ1128" s="21" t="str">
        <f>IF(AND($AM1128&lt;&gt;"",$AS1128="✓"),SUMPRODUCT(($AM$11:$AM1128&lt;&gt;"")*($AS$11:$AS1128="✓")),"")</f>
        <v/>
      </c>
      <c r="BA1128" s="21" t="str">
        <f>IF($AL1128="","",$AL1128&amp;"|"&amp;COUNTIF($AL$11:$AL1128,$AL1128))</f>
        <v/>
      </c>
    </row>
    <row r="1129" spans="38:53" ht="15" customHeight="1" x14ac:dyDescent="0.25">
      <c r="AL1129" s="17"/>
      <c r="AM1129" s="12"/>
      <c r="AN1129" s="18"/>
      <c r="AO1129" s="18"/>
      <c r="AP1129" s="10"/>
      <c r="AQ1129" s="10"/>
      <c r="AR1129" s="19"/>
      <c r="AS1129" s="20"/>
      <c r="AT1129" s="19"/>
      <c r="AV1129" s="21">
        <f>IF(AND($AL1129&lt;&gt;"",COUNTIF($AL$11:$AL1129,$AL1129)=1),1,0)</f>
        <v>0</v>
      </c>
      <c r="AW1129" s="21">
        <f t="shared" si="121"/>
        <v>2</v>
      </c>
      <c r="AX1129" s="21" t="str">
        <f t="shared" si="120"/>
        <v/>
      </c>
      <c r="AY1129" s="21" t="str">
        <f>IF(AND($AM1129&lt;&gt;"",$AS1129&lt;&gt;"✓"),SUMPRODUCT(($AM$11:$AM1129&lt;&gt;"")*($AS$11:$AS1129&lt;&gt;"✓")),"")</f>
        <v/>
      </c>
      <c r="AZ1129" s="21" t="str">
        <f>IF(AND($AM1129&lt;&gt;"",$AS1129="✓"),SUMPRODUCT(($AM$11:$AM1129&lt;&gt;"")*($AS$11:$AS1129="✓")),"")</f>
        <v/>
      </c>
      <c r="BA1129" s="21" t="str">
        <f>IF($AL1129="","",$AL1129&amp;"|"&amp;COUNTIF($AL$11:$AL1129,$AL1129))</f>
        <v/>
      </c>
    </row>
    <row r="1130" spans="38:53" ht="15" customHeight="1" x14ac:dyDescent="0.25">
      <c r="AL1130" s="31"/>
      <c r="AM1130" s="26"/>
      <c r="AN1130" s="32"/>
      <c r="AO1130" s="32"/>
      <c r="AP1130" s="24"/>
      <c r="AQ1130" s="24"/>
      <c r="AR1130" s="33"/>
      <c r="AS1130" s="34"/>
      <c r="AT1130" s="33"/>
      <c r="AV1130" s="21">
        <f>IF(AND($AL1130&lt;&gt;"",COUNTIF($AL$11:$AL1130,$AL1130)=1),1,0)</f>
        <v>0</v>
      </c>
      <c r="AW1130" s="21">
        <f t="shared" si="121"/>
        <v>2</v>
      </c>
      <c r="AX1130" s="21" t="str">
        <f t="shared" si="120"/>
        <v/>
      </c>
      <c r="AY1130" s="21" t="str">
        <f>IF(AND($AM1130&lt;&gt;"",$AS1130&lt;&gt;"✓"),SUMPRODUCT(($AM$11:$AM1130&lt;&gt;"")*($AS$11:$AS1130&lt;&gt;"✓")),"")</f>
        <v/>
      </c>
      <c r="AZ1130" s="21" t="str">
        <f>IF(AND($AM1130&lt;&gt;"",$AS1130="✓"),SUMPRODUCT(($AM$11:$AM1130&lt;&gt;"")*($AS$11:$AS1130="✓")),"")</f>
        <v/>
      </c>
      <c r="BA1130" s="21" t="str">
        <f>IF($AL1130="","",$AL1130&amp;"|"&amp;COUNTIF($AL$11:$AL1130,$AL1130))</f>
        <v/>
      </c>
    </row>
    <row r="1131" spans="38:53" ht="15" customHeight="1" x14ac:dyDescent="0.25">
      <c r="AL1131" s="17"/>
      <c r="AM1131" s="12"/>
      <c r="AN1131" s="18"/>
      <c r="AO1131" s="18"/>
      <c r="AP1131" s="10"/>
      <c r="AQ1131" s="10"/>
      <c r="AR1131" s="19"/>
      <c r="AS1131" s="20"/>
      <c r="AT1131" s="19"/>
      <c r="AV1131" s="21">
        <f>IF(AND($AL1131&lt;&gt;"",COUNTIF($AL$11:$AL1131,$AL1131)=1),1,0)</f>
        <v>0</v>
      </c>
      <c r="AW1131" s="21">
        <f t="shared" si="121"/>
        <v>2</v>
      </c>
      <c r="AX1131" s="21" t="str">
        <f t="shared" si="120"/>
        <v/>
      </c>
      <c r="AY1131" s="21" t="str">
        <f>IF(AND($AM1131&lt;&gt;"",$AS1131&lt;&gt;"✓"),SUMPRODUCT(($AM$11:$AM1131&lt;&gt;"")*($AS$11:$AS1131&lt;&gt;"✓")),"")</f>
        <v/>
      </c>
      <c r="AZ1131" s="21" t="str">
        <f>IF(AND($AM1131&lt;&gt;"",$AS1131="✓"),SUMPRODUCT(($AM$11:$AM1131&lt;&gt;"")*($AS$11:$AS1131="✓")),"")</f>
        <v/>
      </c>
      <c r="BA1131" s="21" t="str">
        <f>IF($AL1131="","",$AL1131&amp;"|"&amp;COUNTIF($AL$11:$AL1131,$AL1131))</f>
        <v/>
      </c>
    </row>
    <row r="1132" spans="38:53" ht="15" customHeight="1" x14ac:dyDescent="0.25">
      <c r="AL1132" s="31"/>
      <c r="AM1132" s="26"/>
      <c r="AN1132" s="32"/>
      <c r="AO1132" s="32"/>
      <c r="AP1132" s="24"/>
      <c r="AQ1132" s="24"/>
      <c r="AR1132" s="33"/>
      <c r="AS1132" s="34"/>
      <c r="AT1132" s="33"/>
      <c r="AV1132" s="21">
        <f>IF(AND($AL1132&lt;&gt;"",COUNTIF($AL$11:$AL1132,$AL1132)=1),1,0)</f>
        <v>0</v>
      </c>
      <c r="AW1132" s="21">
        <f t="shared" si="121"/>
        <v>2</v>
      </c>
      <c r="AX1132" s="21" t="str">
        <f t="shared" si="120"/>
        <v/>
      </c>
      <c r="AY1132" s="21" t="str">
        <f>IF(AND($AM1132&lt;&gt;"",$AS1132&lt;&gt;"✓"),SUMPRODUCT(($AM$11:$AM1132&lt;&gt;"")*($AS$11:$AS1132&lt;&gt;"✓")),"")</f>
        <v/>
      </c>
      <c r="AZ1132" s="21" t="str">
        <f>IF(AND($AM1132&lt;&gt;"",$AS1132="✓"),SUMPRODUCT(($AM$11:$AM1132&lt;&gt;"")*($AS$11:$AS1132="✓")),"")</f>
        <v/>
      </c>
      <c r="BA1132" s="21" t="str">
        <f>IF($AL1132="","",$AL1132&amp;"|"&amp;COUNTIF($AL$11:$AL1132,$AL1132))</f>
        <v/>
      </c>
    </row>
    <row r="1133" spans="38:53" ht="15" customHeight="1" x14ac:dyDescent="0.25">
      <c r="AL1133" s="17"/>
      <c r="AM1133" s="12"/>
      <c r="AN1133" s="18"/>
      <c r="AO1133" s="18"/>
      <c r="AP1133" s="10"/>
      <c r="AQ1133" s="10"/>
      <c r="AR1133" s="19"/>
      <c r="AS1133" s="20"/>
      <c r="AT1133" s="19"/>
      <c r="AV1133" s="21">
        <f>IF(AND($AL1133&lt;&gt;"",COUNTIF($AL$11:$AL1133,$AL1133)=1),1,0)</f>
        <v>0</v>
      </c>
      <c r="AW1133" s="21">
        <f t="shared" si="121"/>
        <v>2</v>
      </c>
      <c r="AX1133" s="21" t="str">
        <f t="shared" si="120"/>
        <v/>
      </c>
      <c r="AY1133" s="21" t="str">
        <f>IF(AND($AM1133&lt;&gt;"",$AS1133&lt;&gt;"✓"),SUMPRODUCT(($AM$11:$AM1133&lt;&gt;"")*($AS$11:$AS1133&lt;&gt;"✓")),"")</f>
        <v/>
      </c>
      <c r="AZ1133" s="21" t="str">
        <f>IF(AND($AM1133&lt;&gt;"",$AS1133="✓"),SUMPRODUCT(($AM$11:$AM1133&lt;&gt;"")*($AS$11:$AS1133="✓")),"")</f>
        <v/>
      </c>
      <c r="BA1133" s="21" t="str">
        <f>IF($AL1133="","",$AL1133&amp;"|"&amp;COUNTIF($AL$11:$AL1133,$AL1133))</f>
        <v/>
      </c>
    </row>
    <row r="1134" spans="38:53" ht="15" customHeight="1" x14ac:dyDescent="0.25">
      <c r="AL1134" s="31"/>
      <c r="AM1134" s="26"/>
      <c r="AN1134" s="32"/>
      <c r="AO1134" s="32"/>
      <c r="AP1134" s="24"/>
      <c r="AQ1134" s="24"/>
      <c r="AR1134" s="33"/>
      <c r="AS1134" s="34"/>
      <c r="AT1134" s="33"/>
      <c r="AV1134" s="21">
        <f>IF(AND($AL1134&lt;&gt;"",COUNTIF($AL$11:$AL1134,$AL1134)=1),1,0)</f>
        <v>0</v>
      </c>
      <c r="AW1134" s="21">
        <f t="shared" si="121"/>
        <v>2</v>
      </c>
      <c r="AX1134" s="21" t="str">
        <f t="shared" si="120"/>
        <v/>
      </c>
      <c r="AY1134" s="21" t="str">
        <f>IF(AND($AM1134&lt;&gt;"",$AS1134&lt;&gt;"✓"),SUMPRODUCT(($AM$11:$AM1134&lt;&gt;"")*($AS$11:$AS1134&lt;&gt;"✓")),"")</f>
        <v/>
      </c>
      <c r="AZ1134" s="21" t="str">
        <f>IF(AND($AM1134&lt;&gt;"",$AS1134="✓"),SUMPRODUCT(($AM$11:$AM1134&lt;&gt;"")*($AS$11:$AS1134="✓")),"")</f>
        <v/>
      </c>
      <c r="BA1134" s="21" t="str">
        <f>IF($AL1134="","",$AL1134&amp;"|"&amp;COUNTIF($AL$11:$AL1134,$AL1134))</f>
        <v/>
      </c>
    </row>
    <row r="1135" spans="38:53" ht="15" customHeight="1" x14ac:dyDescent="0.25">
      <c r="AL1135" s="17"/>
      <c r="AM1135" s="12"/>
      <c r="AN1135" s="18"/>
      <c r="AO1135" s="18"/>
      <c r="AP1135" s="10"/>
      <c r="AQ1135" s="10"/>
      <c r="AR1135" s="19"/>
      <c r="AS1135" s="20"/>
      <c r="AT1135" s="19"/>
      <c r="AV1135" s="21">
        <f>IF(AND($AL1135&lt;&gt;"",COUNTIF($AL$11:$AL1135,$AL1135)=1),1,0)</f>
        <v>0</v>
      </c>
      <c r="AW1135" s="21">
        <f t="shared" si="121"/>
        <v>2</v>
      </c>
      <c r="AX1135" s="21" t="str">
        <f t="shared" si="120"/>
        <v/>
      </c>
      <c r="AY1135" s="21" t="str">
        <f>IF(AND($AM1135&lt;&gt;"",$AS1135&lt;&gt;"✓"),SUMPRODUCT(($AM$11:$AM1135&lt;&gt;"")*($AS$11:$AS1135&lt;&gt;"✓")),"")</f>
        <v/>
      </c>
      <c r="AZ1135" s="21" t="str">
        <f>IF(AND($AM1135&lt;&gt;"",$AS1135="✓"),SUMPRODUCT(($AM$11:$AM1135&lt;&gt;"")*($AS$11:$AS1135="✓")),"")</f>
        <v/>
      </c>
      <c r="BA1135" s="21" t="str">
        <f>IF($AL1135="","",$AL1135&amp;"|"&amp;COUNTIF($AL$11:$AL1135,$AL1135))</f>
        <v/>
      </c>
    </row>
    <row r="1136" spans="38:53" ht="15" customHeight="1" x14ac:dyDescent="0.25">
      <c r="AL1136" s="31"/>
      <c r="AM1136" s="26"/>
      <c r="AN1136" s="32"/>
      <c r="AO1136" s="32"/>
      <c r="AP1136" s="24"/>
      <c r="AQ1136" s="24"/>
      <c r="AR1136" s="33"/>
      <c r="AS1136" s="34"/>
      <c r="AT1136" s="33"/>
      <c r="AV1136" s="21">
        <f>IF(AND($AL1136&lt;&gt;"",COUNTIF($AL$11:$AL1136,$AL1136)=1),1,0)</f>
        <v>0</v>
      </c>
      <c r="AW1136" s="21">
        <f t="shared" si="121"/>
        <v>2</v>
      </c>
      <c r="AX1136" s="21" t="str">
        <f t="shared" si="120"/>
        <v/>
      </c>
      <c r="AY1136" s="21" t="str">
        <f>IF(AND($AM1136&lt;&gt;"",$AS1136&lt;&gt;"✓"),SUMPRODUCT(($AM$11:$AM1136&lt;&gt;"")*($AS$11:$AS1136&lt;&gt;"✓")),"")</f>
        <v/>
      </c>
      <c r="AZ1136" s="21" t="str">
        <f>IF(AND($AM1136&lt;&gt;"",$AS1136="✓"),SUMPRODUCT(($AM$11:$AM1136&lt;&gt;"")*($AS$11:$AS1136="✓")),"")</f>
        <v/>
      </c>
      <c r="BA1136" s="21" t="str">
        <f>IF($AL1136="","",$AL1136&amp;"|"&amp;COUNTIF($AL$11:$AL1136,$AL1136))</f>
        <v/>
      </c>
    </row>
    <row r="1137" spans="38:53" ht="15" customHeight="1" x14ac:dyDescent="0.25">
      <c r="AL1137" s="17"/>
      <c r="AM1137" s="12"/>
      <c r="AN1137" s="18"/>
      <c r="AO1137" s="18"/>
      <c r="AP1137" s="10"/>
      <c r="AQ1137" s="10"/>
      <c r="AR1137" s="19"/>
      <c r="AS1137" s="20"/>
      <c r="AT1137" s="19"/>
      <c r="AV1137" s="21">
        <f>IF(AND($AL1137&lt;&gt;"",COUNTIF($AL$11:$AL1137,$AL1137)=1),1,0)</f>
        <v>0</v>
      </c>
      <c r="AW1137" s="21">
        <f t="shared" si="121"/>
        <v>2</v>
      </c>
      <c r="AX1137" s="21" t="str">
        <f t="shared" si="120"/>
        <v/>
      </c>
      <c r="AY1137" s="21" t="str">
        <f>IF(AND($AM1137&lt;&gt;"",$AS1137&lt;&gt;"✓"),SUMPRODUCT(($AM$11:$AM1137&lt;&gt;"")*($AS$11:$AS1137&lt;&gt;"✓")),"")</f>
        <v/>
      </c>
      <c r="AZ1137" s="21" t="str">
        <f>IF(AND($AM1137&lt;&gt;"",$AS1137="✓"),SUMPRODUCT(($AM$11:$AM1137&lt;&gt;"")*($AS$11:$AS1137="✓")),"")</f>
        <v/>
      </c>
      <c r="BA1137" s="21" t="str">
        <f>IF($AL1137="","",$AL1137&amp;"|"&amp;COUNTIF($AL$11:$AL1137,$AL1137))</f>
        <v/>
      </c>
    </row>
    <row r="1138" spans="38:53" ht="15" customHeight="1" x14ac:dyDescent="0.25">
      <c r="AL1138" s="31"/>
      <c r="AM1138" s="26"/>
      <c r="AN1138" s="32"/>
      <c r="AO1138" s="32"/>
      <c r="AP1138" s="24"/>
      <c r="AQ1138" s="24"/>
      <c r="AR1138" s="33"/>
      <c r="AS1138" s="34"/>
      <c r="AT1138" s="33"/>
      <c r="AV1138" s="21">
        <f>IF(AND($AL1138&lt;&gt;"",COUNTIF($AL$11:$AL1138,$AL1138)=1),1,0)</f>
        <v>0</v>
      </c>
      <c r="AW1138" s="21">
        <f t="shared" si="121"/>
        <v>2</v>
      </c>
      <c r="AX1138" s="21" t="str">
        <f t="shared" si="120"/>
        <v/>
      </c>
      <c r="AY1138" s="21" t="str">
        <f>IF(AND($AM1138&lt;&gt;"",$AS1138&lt;&gt;"✓"),SUMPRODUCT(($AM$11:$AM1138&lt;&gt;"")*($AS$11:$AS1138&lt;&gt;"✓")),"")</f>
        <v/>
      </c>
      <c r="AZ1138" s="21" t="str">
        <f>IF(AND($AM1138&lt;&gt;"",$AS1138="✓"),SUMPRODUCT(($AM$11:$AM1138&lt;&gt;"")*($AS$11:$AS1138="✓")),"")</f>
        <v/>
      </c>
      <c r="BA1138" s="21" t="str">
        <f>IF($AL1138="","",$AL1138&amp;"|"&amp;COUNTIF($AL$11:$AL1138,$AL1138))</f>
        <v/>
      </c>
    </row>
    <row r="1139" spans="38:53" ht="15" customHeight="1" x14ac:dyDescent="0.25">
      <c r="AL1139" s="17"/>
      <c r="AM1139" s="12"/>
      <c r="AN1139" s="18"/>
      <c r="AO1139" s="18"/>
      <c r="AP1139" s="10"/>
      <c r="AQ1139" s="10"/>
      <c r="AR1139" s="19"/>
      <c r="AS1139" s="20"/>
      <c r="AT1139" s="19"/>
      <c r="AV1139" s="21">
        <f>IF(AND($AL1139&lt;&gt;"",COUNTIF($AL$11:$AL1139,$AL1139)=1),1,0)</f>
        <v>0</v>
      </c>
      <c r="AW1139" s="21">
        <f t="shared" si="121"/>
        <v>2</v>
      </c>
      <c r="AX1139" s="21" t="str">
        <f t="shared" si="120"/>
        <v/>
      </c>
      <c r="AY1139" s="21" t="str">
        <f>IF(AND($AM1139&lt;&gt;"",$AS1139&lt;&gt;"✓"),SUMPRODUCT(($AM$11:$AM1139&lt;&gt;"")*($AS$11:$AS1139&lt;&gt;"✓")),"")</f>
        <v/>
      </c>
      <c r="AZ1139" s="21" t="str">
        <f>IF(AND($AM1139&lt;&gt;"",$AS1139="✓"),SUMPRODUCT(($AM$11:$AM1139&lt;&gt;"")*($AS$11:$AS1139="✓")),"")</f>
        <v/>
      </c>
      <c r="BA1139" s="21" t="str">
        <f>IF($AL1139="","",$AL1139&amp;"|"&amp;COUNTIF($AL$11:$AL1139,$AL1139))</f>
        <v/>
      </c>
    </row>
    <row r="1140" spans="38:53" ht="15" customHeight="1" x14ac:dyDescent="0.25">
      <c r="AL1140" s="31"/>
      <c r="AM1140" s="26"/>
      <c r="AN1140" s="32"/>
      <c r="AO1140" s="32"/>
      <c r="AP1140" s="24"/>
      <c r="AQ1140" s="24"/>
      <c r="AR1140" s="33"/>
      <c r="AS1140" s="34"/>
      <c r="AT1140" s="33"/>
      <c r="AV1140" s="21">
        <f>IF(AND($AL1140&lt;&gt;"",COUNTIF($AL$11:$AL1140,$AL1140)=1),1,0)</f>
        <v>0</v>
      </c>
      <c r="AW1140" s="21">
        <f t="shared" si="121"/>
        <v>2</v>
      </c>
      <c r="AX1140" s="21" t="str">
        <f t="shared" si="120"/>
        <v/>
      </c>
      <c r="AY1140" s="21" t="str">
        <f>IF(AND($AM1140&lt;&gt;"",$AS1140&lt;&gt;"✓"),SUMPRODUCT(($AM$11:$AM1140&lt;&gt;"")*($AS$11:$AS1140&lt;&gt;"✓")),"")</f>
        <v/>
      </c>
      <c r="AZ1140" s="21" t="str">
        <f>IF(AND($AM1140&lt;&gt;"",$AS1140="✓"),SUMPRODUCT(($AM$11:$AM1140&lt;&gt;"")*($AS$11:$AS1140="✓")),"")</f>
        <v/>
      </c>
      <c r="BA1140" s="21" t="str">
        <f>IF($AL1140="","",$AL1140&amp;"|"&amp;COUNTIF($AL$11:$AL1140,$AL1140))</f>
        <v/>
      </c>
    </row>
    <row r="1141" spans="38:53" ht="15" customHeight="1" x14ac:dyDescent="0.25">
      <c r="AL1141" s="17"/>
      <c r="AM1141" s="12"/>
      <c r="AN1141" s="18"/>
      <c r="AO1141" s="18"/>
      <c r="AP1141" s="10"/>
      <c r="AQ1141" s="10"/>
      <c r="AR1141" s="19"/>
      <c r="AS1141" s="20"/>
      <c r="AT1141" s="19"/>
      <c r="AV1141" s="21">
        <f>IF(AND($AL1141&lt;&gt;"",COUNTIF($AL$11:$AL1141,$AL1141)=1),1,0)</f>
        <v>0</v>
      </c>
      <c r="AW1141" s="21">
        <f t="shared" si="121"/>
        <v>2</v>
      </c>
      <c r="AX1141" s="21" t="str">
        <f t="shared" si="120"/>
        <v/>
      </c>
      <c r="AY1141" s="21" t="str">
        <f>IF(AND($AM1141&lt;&gt;"",$AS1141&lt;&gt;"✓"),SUMPRODUCT(($AM$11:$AM1141&lt;&gt;"")*($AS$11:$AS1141&lt;&gt;"✓")),"")</f>
        <v/>
      </c>
      <c r="AZ1141" s="21" t="str">
        <f>IF(AND($AM1141&lt;&gt;"",$AS1141="✓"),SUMPRODUCT(($AM$11:$AM1141&lt;&gt;"")*($AS$11:$AS1141="✓")),"")</f>
        <v/>
      </c>
      <c r="BA1141" s="21" t="str">
        <f>IF($AL1141="","",$AL1141&amp;"|"&amp;COUNTIF($AL$11:$AL1141,$AL1141))</f>
        <v/>
      </c>
    </row>
    <row r="1142" spans="38:53" ht="15" customHeight="1" x14ac:dyDescent="0.25">
      <c r="AL1142" s="31"/>
      <c r="AM1142" s="26"/>
      <c r="AN1142" s="32"/>
      <c r="AO1142" s="32"/>
      <c r="AP1142" s="24"/>
      <c r="AQ1142" s="24"/>
      <c r="AR1142" s="33"/>
      <c r="AS1142" s="34"/>
      <c r="AT1142" s="33"/>
      <c r="AV1142" s="21">
        <f>IF(AND($AL1142&lt;&gt;"",COUNTIF($AL$11:$AL1142,$AL1142)=1),1,0)</f>
        <v>0</v>
      </c>
      <c r="AW1142" s="21">
        <f t="shared" si="121"/>
        <v>2</v>
      </c>
      <c r="AX1142" s="21" t="str">
        <f t="shared" si="120"/>
        <v/>
      </c>
      <c r="AY1142" s="21" t="str">
        <f>IF(AND($AM1142&lt;&gt;"",$AS1142&lt;&gt;"✓"),SUMPRODUCT(($AM$11:$AM1142&lt;&gt;"")*($AS$11:$AS1142&lt;&gt;"✓")),"")</f>
        <v/>
      </c>
      <c r="AZ1142" s="21" t="str">
        <f>IF(AND($AM1142&lt;&gt;"",$AS1142="✓"),SUMPRODUCT(($AM$11:$AM1142&lt;&gt;"")*($AS$11:$AS1142="✓")),"")</f>
        <v/>
      </c>
      <c r="BA1142" s="21" t="str">
        <f>IF($AL1142="","",$AL1142&amp;"|"&amp;COUNTIF($AL$11:$AL1142,$AL1142))</f>
        <v/>
      </c>
    </row>
    <row r="1143" spans="38:53" ht="15" customHeight="1" x14ac:dyDescent="0.25">
      <c r="AL1143" s="17"/>
      <c r="AM1143" s="12"/>
      <c r="AN1143" s="18"/>
      <c r="AO1143" s="18"/>
      <c r="AP1143" s="10"/>
      <c r="AQ1143" s="10"/>
      <c r="AR1143" s="19"/>
      <c r="AS1143" s="20"/>
      <c r="AT1143" s="19"/>
      <c r="AV1143" s="21">
        <f>IF(AND($AL1143&lt;&gt;"",COUNTIF($AL$11:$AL1143,$AL1143)=1),1,0)</f>
        <v>0</v>
      </c>
      <c r="AW1143" s="21">
        <f t="shared" si="121"/>
        <v>2</v>
      </c>
      <c r="AX1143" s="21" t="str">
        <f t="shared" si="120"/>
        <v/>
      </c>
      <c r="AY1143" s="21" t="str">
        <f>IF(AND($AM1143&lt;&gt;"",$AS1143&lt;&gt;"✓"),SUMPRODUCT(($AM$11:$AM1143&lt;&gt;"")*($AS$11:$AS1143&lt;&gt;"✓")),"")</f>
        <v/>
      </c>
      <c r="AZ1143" s="21" t="str">
        <f>IF(AND($AM1143&lt;&gt;"",$AS1143="✓"),SUMPRODUCT(($AM$11:$AM1143&lt;&gt;"")*($AS$11:$AS1143="✓")),"")</f>
        <v/>
      </c>
      <c r="BA1143" s="21" t="str">
        <f>IF($AL1143="","",$AL1143&amp;"|"&amp;COUNTIF($AL$11:$AL1143,$AL1143))</f>
        <v/>
      </c>
    </row>
    <row r="1144" spans="38:53" ht="15" customHeight="1" x14ac:dyDescent="0.25">
      <c r="AL1144" s="31"/>
      <c r="AM1144" s="26"/>
      <c r="AN1144" s="32"/>
      <c r="AO1144" s="32"/>
      <c r="AP1144" s="24"/>
      <c r="AQ1144" s="24"/>
      <c r="AR1144" s="33"/>
      <c r="AS1144" s="34"/>
      <c r="AT1144" s="33"/>
      <c r="AV1144" s="21">
        <f>IF(AND($AL1144&lt;&gt;"",COUNTIF($AL$11:$AL1144,$AL1144)=1),1,0)</f>
        <v>0</v>
      </c>
      <c r="AW1144" s="21">
        <f t="shared" si="121"/>
        <v>2</v>
      </c>
      <c r="AX1144" s="21" t="str">
        <f t="shared" si="120"/>
        <v/>
      </c>
      <c r="AY1144" s="21" t="str">
        <f>IF(AND($AM1144&lt;&gt;"",$AS1144&lt;&gt;"✓"),SUMPRODUCT(($AM$11:$AM1144&lt;&gt;"")*($AS$11:$AS1144&lt;&gt;"✓")),"")</f>
        <v/>
      </c>
      <c r="AZ1144" s="21" t="str">
        <f>IF(AND($AM1144&lt;&gt;"",$AS1144="✓"),SUMPRODUCT(($AM$11:$AM1144&lt;&gt;"")*($AS$11:$AS1144="✓")),"")</f>
        <v/>
      </c>
      <c r="BA1144" s="21" t="str">
        <f>IF($AL1144="","",$AL1144&amp;"|"&amp;COUNTIF($AL$11:$AL1144,$AL1144))</f>
        <v/>
      </c>
    </row>
    <row r="1145" spans="38:53" ht="15" customHeight="1" x14ac:dyDescent="0.25">
      <c r="AL1145" s="17"/>
      <c r="AM1145" s="12"/>
      <c r="AN1145" s="18"/>
      <c r="AO1145" s="18"/>
      <c r="AP1145" s="10"/>
      <c r="AQ1145" s="10"/>
      <c r="AR1145" s="19"/>
      <c r="AS1145" s="20"/>
      <c r="AT1145" s="19"/>
      <c r="AV1145" s="21">
        <f>IF(AND($AL1145&lt;&gt;"",COUNTIF($AL$11:$AL1145,$AL1145)=1),1,0)</f>
        <v>0</v>
      </c>
      <c r="AW1145" s="21">
        <f t="shared" si="121"/>
        <v>2</v>
      </c>
      <c r="AX1145" s="21" t="str">
        <f t="shared" si="120"/>
        <v/>
      </c>
      <c r="AY1145" s="21" t="str">
        <f>IF(AND($AM1145&lt;&gt;"",$AS1145&lt;&gt;"✓"),SUMPRODUCT(($AM$11:$AM1145&lt;&gt;"")*($AS$11:$AS1145&lt;&gt;"✓")),"")</f>
        <v/>
      </c>
      <c r="AZ1145" s="21" t="str">
        <f>IF(AND($AM1145&lt;&gt;"",$AS1145="✓"),SUMPRODUCT(($AM$11:$AM1145&lt;&gt;"")*($AS$11:$AS1145="✓")),"")</f>
        <v/>
      </c>
      <c r="BA1145" s="21" t="str">
        <f>IF($AL1145="","",$AL1145&amp;"|"&amp;COUNTIF($AL$11:$AL1145,$AL1145))</f>
        <v/>
      </c>
    </row>
    <row r="1146" spans="38:53" ht="15" customHeight="1" x14ac:dyDescent="0.25">
      <c r="AL1146" s="31"/>
      <c r="AM1146" s="26"/>
      <c r="AN1146" s="32"/>
      <c r="AO1146" s="32"/>
      <c r="AP1146" s="24"/>
      <c r="AQ1146" s="24"/>
      <c r="AR1146" s="33"/>
      <c r="AS1146" s="34"/>
      <c r="AT1146" s="33"/>
      <c r="AV1146" s="21">
        <f>IF(AND($AL1146&lt;&gt;"",COUNTIF($AL$11:$AL1146,$AL1146)=1),1,0)</f>
        <v>0</v>
      </c>
      <c r="AW1146" s="21">
        <f t="shared" si="121"/>
        <v>2</v>
      </c>
      <c r="AX1146" s="21" t="str">
        <f t="shared" si="120"/>
        <v/>
      </c>
      <c r="AY1146" s="21" t="str">
        <f>IF(AND($AM1146&lt;&gt;"",$AS1146&lt;&gt;"✓"),SUMPRODUCT(($AM$11:$AM1146&lt;&gt;"")*($AS$11:$AS1146&lt;&gt;"✓")),"")</f>
        <v/>
      </c>
      <c r="AZ1146" s="21" t="str">
        <f>IF(AND($AM1146&lt;&gt;"",$AS1146="✓"),SUMPRODUCT(($AM$11:$AM1146&lt;&gt;"")*($AS$11:$AS1146="✓")),"")</f>
        <v/>
      </c>
      <c r="BA1146" s="21" t="str">
        <f>IF($AL1146="","",$AL1146&amp;"|"&amp;COUNTIF($AL$11:$AL1146,$AL1146))</f>
        <v/>
      </c>
    </row>
    <row r="1147" spans="38:53" ht="15" customHeight="1" x14ac:dyDescent="0.25">
      <c r="AL1147" s="17"/>
      <c r="AM1147" s="12"/>
      <c r="AN1147" s="18"/>
      <c r="AO1147" s="18"/>
      <c r="AP1147" s="10"/>
      <c r="AQ1147" s="10"/>
      <c r="AR1147" s="19"/>
      <c r="AS1147" s="20"/>
      <c r="AT1147" s="19"/>
      <c r="AV1147" s="21">
        <f>IF(AND($AL1147&lt;&gt;"",COUNTIF($AL$11:$AL1147,$AL1147)=1),1,0)</f>
        <v>0</v>
      </c>
      <c r="AW1147" s="21">
        <f t="shared" si="121"/>
        <v>2</v>
      </c>
      <c r="AX1147" s="21" t="str">
        <f t="shared" si="120"/>
        <v/>
      </c>
      <c r="AY1147" s="21" t="str">
        <f>IF(AND($AM1147&lt;&gt;"",$AS1147&lt;&gt;"✓"),SUMPRODUCT(($AM$11:$AM1147&lt;&gt;"")*($AS$11:$AS1147&lt;&gt;"✓")),"")</f>
        <v/>
      </c>
      <c r="AZ1147" s="21" t="str">
        <f>IF(AND($AM1147&lt;&gt;"",$AS1147="✓"),SUMPRODUCT(($AM$11:$AM1147&lt;&gt;"")*($AS$11:$AS1147="✓")),"")</f>
        <v/>
      </c>
      <c r="BA1147" s="21" t="str">
        <f>IF($AL1147="","",$AL1147&amp;"|"&amp;COUNTIF($AL$11:$AL1147,$AL1147))</f>
        <v/>
      </c>
    </row>
    <row r="1148" spans="38:53" ht="15" customHeight="1" x14ac:dyDescent="0.25">
      <c r="AL1148" s="31"/>
      <c r="AM1148" s="26"/>
      <c r="AN1148" s="32"/>
      <c r="AO1148" s="32"/>
      <c r="AP1148" s="24"/>
      <c r="AQ1148" s="24"/>
      <c r="AR1148" s="33"/>
      <c r="AS1148" s="34"/>
      <c r="AT1148" s="33"/>
      <c r="AV1148" s="21">
        <f>IF(AND($AL1148&lt;&gt;"",COUNTIF($AL$11:$AL1148,$AL1148)=1),1,0)</f>
        <v>0</v>
      </c>
      <c r="AW1148" s="21">
        <f t="shared" si="121"/>
        <v>2</v>
      </c>
      <c r="AX1148" s="21" t="str">
        <f t="shared" si="120"/>
        <v/>
      </c>
      <c r="AY1148" s="21" t="str">
        <f>IF(AND($AM1148&lt;&gt;"",$AS1148&lt;&gt;"✓"),SUMPRODUCT(($AM$11:$AM1148&lt;&gt;"")*($AS$11:$AS1148&lt;&gt;"✓")),"")</f>
        <v/>
      </c>
      <c r="AZ1148" s="21" t="str">
        <f>IF(AND($AM1148&lt;&gt;"",$AS1148="✓"),SUMPRODUCT(($AM$11:$AM1148&lt;&gt;"")*($AS$11:$AS1148="✓")),"")</f>
        <v/>
      </c>
      <c r="BA1148" s="21" t="str">
        <f>IF($AL1148="","",$AL1148&amp;"|"&amp;COUNTIF($AL$11:$AL1148,$AL1148))</f>
        <v/>
      </c>
    </row>
    <row r="1149" spans="38:53" ht="15" customHeight="1" x14ac:dyDescent="0.25">
      <c r="AL1149" s="17"/>
      <c r="AM1149" s="12"/>
      <c r="AN1149" s="18"/>
      <c r="AO1149" s="18"/>
      <c r="AP1149" s="10"/>
      <c r="AQ1149" s="10"/>
      <c r="AR1149" s="19"/>
      <c r="AS1149" s="20"/>
      <c r="AT1149" s="19"/>
      <c r="AV1149" s="21">
        <f>IF(AND($AL1149&lt;&gt;"",COUNTIF($AL$11:$AL1149,$AL1149)=1),1,0)</f>
        <v>0</v>
      </c>
      <c r="AW1149" s="21">
        <f t="shared" si="121"/>
        <v>2</v>
      </c>
      <c r="AX1149" s="21" t="str">
        <f t="shared" si="120"/>
        <v/>
      </c>
      <c r="AY1149" s="21" t="str">
        <f>IF(AND($AM1149&lt;&gt;"",$AS1149&lt;&gt;"✓"),SUMPRODUCT(($AM$11:$AM1149&lt;&gt;"")*($AS$11:$AS1149&lt;&gt;"✓")),"")</f>
        <v/>
      </c>
      <c r="AZ1149" s="21" t="str">
        <f>IF(AND($AM1149&lt;&gt;"",$AS1149="✓"),SUMPRODUCT(($AM$11:$AM1149&lt;&gt;"")*($AS$11:$AS1149="✓")),"")</f>
        <v/>
      </c>
      <c r="BA1149" s="21" t="str">
        <f>IF($AL1149="","",$AL1149&amp;"|"&amp;COUNTIF($AL$11:$AL1149,$AL1149))</f>
        <v/>
      </c>
    </row>
    <row r="1150" spans="38:53" ht="15" customHeight="1" x14ac:dyDescent="0.25">
      <c r="AL1150" s="31"/>
      <c r="AM1150" s="26"/>
      <c r="AN1150" s="32"/>
      <c r="AO1150" s="32"/>
      <c r="AP1150" s="24"/>
      <c r="AQ1150" s="24"/>
      <c r="AR1150" s="33"/>
      <c r="AS1150" s="34"/>
      <c r="AT1150" s="33"/>
      <c r="AV1150" s="21">
        <f>IF(AND($AL1150&lt;&gt;"",COUNTIF($AL$11:$AL1150,$AL1150)=1),1,0)</f>
        <v>0</v>
      </c>
      <c r="AW1150" s="21">
        <f t="shared" si="121"/>
        <v>2</v>
      </c>
      <c r="AX1150" s="21" t="str">
        <f t="shared" si="120"/>
        <v/>
      </c>
      <c r="AY1150" s="21" t="str">
        <f>IF(AND($AM1150&lt;&gt;"",$AS1150&lt;&gt;"✓"),SUMPRODUCT(($AM$11:$AM1150&lt;&gt;"")*($AS$11:$AS1150&lt;&gt;"✓")),"")</f>
        <v/>
      </c>
      <c r="AZ1150" s="21" t="str">
        <f>IF(AND($AM1150&lt;&gt;"",$AS1150="✓"),SUMPRODUCT(($AM$11:$AM1150&lt;&gt;"")*($AS$11:$AS1150="✓")),"")</f>
        <v/>
      </c>
      <c r="BA1150" s="21" t="str">
        <f>IF($AL1150="","",$AL1150&amp;"|"&amp;COUNTIF($AL$11:$AL1150,$AL1150))</f>
        <v/>
      </c>
    </row>
    <row r="1151" spans="38:53" ht="15" customHeight="1" x14ac:dyDescent="0.25">
      <c r="AL1151" s="17"/>
      <c r="AM1151" s="12"/>
      <c r="AN1151" s="18"/>
      <c r="AO1151" s="18"/>
      <c r="AP1151" s="10"/>
      <c r="AQ1151" s="10"/>
      <c r="AR1151" s="19"/>
      <c r="AS1151" s="20"/>
      <c r="AT1151" s="19"/>
      <c r="AV1151" s="21">
        <f>IF(AND($AL1151&lt;&gt;"",COUNTIF($AL$11:$AL1151,$AL1151)=1),1,0)</f>
        <v>0</v>
      </c>
      <c r="AW1151" s="21">
        <f t="shared" si="121"/>
        <v>2</v>
      </c>
      <c r="AX1151" s="21" t="str">
        <f t="shared" si="120"/>
        <v/>
      </c>
      <c r="AY1151" s="21" t="str">
        <f>IF(AND($AM1151&lt;&gt;"",$AS1151&lt;&gt;"✓"),SUMPRODUCT(($AM$11:$AM1151&lt;&gt;"")*($AS$11:$AS1151&lt;&gt;"✓")),"")</f>
        <v/>
      </c>
      <c r="AZ1151" s="21" t="str">
        <f>IF(AND($AM1151&lt;&gt;"",$AS1151="✓"),SUMPRODUCT(($AM$11:$AM1151&lt;&gt;"")*($AS$11:$AS1151="✓")),"")</f>
        <v/>
      </c>
      <c r="BA1151" s="21" t="str">
        <f>IF($AL1151="","",$AL1151&amp;"|"&amp;COUNTIF($AL$11:$AL1151,$AL1151))</f>
        <v/>
      </c>
    </row>
    <row r="1152" spans="38:53" ht="15" customHeight="1" x14ac:dyDescent="0.25">
      <c r="AL1152" s="31"/>
      <c r="AM1152" s="26"/>
      <c r="AN1152" s="32"/>
      <c r="AO1152" s="32"/>
      <c r="AP1152" s="24"/>
      <c r="AQ1152" s="24"/>
      <c r="AR1152" s="33"/>
      <c r="AS1152" s="34"/>
      <c r="AT1152" s="33"/>
      <c r="AV1152" s="21">
        <f>IF(AND($AL1152&lt;&gt;"",COUNTIF($AL$11:$AL1152,$AL1152)=1),1,0)</f>
        <v>0</v>
      </c>
      <c r="AW1152" s="21">
        <f t="shared" si="121"/>
        <v>2</v>
      </c>
      <c r="AX1152" s="21" t="str">
        <f t="shared" si="120"/>
        <v/>
      </c>
      <c r="AY1152" s="21" t="str">
        <f>IF(AND($AM1152&lt;&gt;"",$AS1152&lt;&gt;"✓"),SUMPRODUCT(($AM$11:$AM1152&lt;&gt;"")*($AS$11:$AS1152&lt;&gt;"✓")),"")</f>
        <v/>
      </c>
      <c r="AZ1152" s="21" t="str">
        <f>IF(AND($AM1152&lt;&gt;"",$AS1152="✓"),SUMPRODUCT(($AM$11:$AM1152&lt;&gt;"")*($AS$11:$AS1152="✓")),"")</f>
        <v/>
      </c>
      <c r="BA1152" s="21" t="str">
        <f>IF($AL1152="","",$AL1152&amp;"|"&amp;COUNTIF($AL$11:$AL1152,$AL1152))</f>
        <v/>
      </c>
    </row>
    <row r="1153" spans="38:53" ht="15" customHeight="1" x14ac:dyDescent="0.25">
      <c r="AL1153" s="17"/>
      <c r="AM1153" s="12"/>
      <c r="AN1153" s="18"/>
      <c r="AO1153" s="18"/>
      <c r="AP1153" s="10"/>
      <c r="AQ1153" s="10"/>
      <c r="AR1153" s="19"/>
      <c r="AS1153" s="20"/>
      <c r="AT1153" s="19"/>
      <c r="AV1153" s="21">
        <f>IF(AND($AL1153&lt;&gt;"",COUNTIF($AL$11:$AL1153,$AL1153)=1),1,0)</f>
        <v>0</v>
      </c>
      <c r="AW1153" s="21">
        <f t="shared" si="121"/>
        <v>2</v>
      </c>
      <c r="AX1153" s="21" t="str">
        <f t="shared" si="120"/>
        <v/>
      </c>
      <c r="AY1153" s="21" t="str">
        <f>IF(AND($AM1153&lt;&gt;"",$AS1153&lt;&gt;"✓"),SUMPRODUCT(($AM$11:$AM1153&lt;&gt;"")*($AS$11:$AS1153&lt;&gt;"✓")),"")</f>
        <v/>
      </c>
      <c r="AZ1153" s="21" t="str">
        <f>IF(AND($AM1153&lt;&gt;"",$AS1153="✓"),SUMPRODUCT(($AM$11:$AM1153&lt;&gt;"")*($AS$11:$AS1153="✓")),"")</f>
        <v/>
      </c>
      <c r="BA1153" s="21" t="str">
        <f>IF($AL1153="","",$AL1153&amp;"|"&amp;COUNTIF($AL$11:$AL1153,$AL1153))</f>
        <v/>
      </c>
    </row>
    <row r="1154" spans="38:53" ht="15" customHeight="1" x14ac:dyDescent="0.25">
      <c r="AL1154" s="31"/>
      <c r="AM1154" s="26"/>
      <c r="AN1154" s="32"/>
      <c r="AO1154" s="32"/>
      <c r="AP1154" s="24"/>
      <c r="AQ1154" s="24"/>
      <c r="AR1154" s="33"/>
      <c r="AS1154" s="34"/>
      <c r="AT1154" s="33"/>
      <c r="AV1154" s="21">
        <f>IF(AND($AL1154&lt;&gt;"",COUNTIF($AL$11:$AL1154,$AL1154)=1),1,0)</f>
        <v>0</v>
      </c>
      <c r="AW1154" s="21">
        <f t="shared" si="121"/>
        <v>2</v>
      </c>
      <c r="AX1154" s="21" t="str">
        <f t="shared" si="120"/>
        <v/>
      </c>
      <c r="AY1154" s="21" t="str">
        <f>IF(AND($AM1154&lt;&gt;"",$AS1154&lt;&gt;"✓"),SUMPRODUCT(($AM$11:$AM1154&lt;&gt;"")*($AS$11:$AS1154&lt;&gt;"✓")),"")</f>
        <v/>
      </c>
      <c r="AZ1154" s="21" t="str">
        <f>IF(AND($AM1154&lt;&gt;"",$AS1154="✓"),SUMPRODUCT(($AM$11:$AM1154&lt;&gt;"")*($AS$11:$AS1154="✓")),"")</f>
        <v/>
      </c>
      <c r="BA1154" s="21" t="str">
        <f>IF($AL1154="","",$AL1154&amp;"|"&amp;COUNTIF($AL$11:$AL1154,$AL1154))</f>
        <v/>
      </c>
    </row>
    <row r="1155" spans="38:53" ht="15" customHeight="1" x14ac:dyDescent="0.25">
      <c r="AL1155" s="17"/>
      <c r="AM1155" s="12"/>
      <c r="AN1155" s="18"/>
      <c r="AO1155" s="18"/>
      <c r="AP1155" s="10"/>
      <c r="AQ1155" s="10"/>
      <c r="AR1155" s="19"/>
      <c r="AS1155" s="20"/>
      <c r="AT1155" s="19"/>
      <c r="AV1155" s="21">
        <f>IF(AND($AL1155&lt;&gt;"",COUNTIF($AL$11:$AL1155,$AL1155)=1),1,0)</f>
        <v>0</v>
      </c>
      <c r="AW1155" s="21">
        <f t="shared" si="121"/>
        <v>2</v>
      </c>
      <c r="AX1155" s="21" t="str">
        <f t="shared" si="120"/>
        <v/>
      </c>
      <c r="AY1155" s="21" t="str">
        <f>IF(AND($AM1155&lt;&gt;"",$AS1155&lt;&gt;"✓"),SUMPRODUCT(($AM$11:$AM1155&lt;&gt;"")*($AS$11:$AS1155&lt;&gt;"✓")),"")</f>
        <v/>
      </c>
      <c r="AZ1155" s="21" t="str">
        <f>IF(AND($AM1155&lt;&gt;"",$AS1155="✓"),SUMPRODUCT(($AM$11:$AM1155&lt;&gt;"")*($AS$11:$AS1155="✓")),"")</f>
        <v/>
      </c>
      <c r="BA1155" s="21" t="str">
        <f>IF($AL1155="","",$AL1155&amp;"|"&amp;COUNTIF($AL$11:$AL1155,$AL1155))</f>
        <v/>
      </c>
    </row>
    <row r="1156" spans="38:53" ht="15" customHeight="1" x14ac:dyDescent="0.25">
      <c r="AL1156" s="31"/>
      <c r="AM1156" s="26"/>
      <c r="AN1156" s="32"/>
      <c r="AO1156" s="32"/>
      <c r="AP1156" s="24"/>
      <c r="AQ1156" s="24"/>
      <c r="AR1156" s="33"/>
      <c r="AS1156" s="34"/>
      <c r="AT1156" s="33"/>
      <c r="AV1156" s="21">
        <f>IF(AND($AL1156&lt;&gt;"",COUNTIF($AL$11:$AL1156,$AL1156)=1),1,0)</f>
        <v>0</v>
      </c>
      <c r="AW1156" s="21">
        <f t="shared" si="121"/>
        <v>2</v>
      </c>
      <c r="AX1156" s="21" t="str">
        <f t="shared" si="120"/>
        <v/>
      </c>
      <c r="AY1156" s="21" t="str">
        <f>IF(AND($AM1156&lt;&gt;"",$AS1156&lt;&gt;"✓"),SUMPRODUCT(($AM$11:$AM1156&lt;&gt;"")*($AS$11:$AS1156&lt;&gt;"✓")),"")</f>
        <v/>
      </c>
      <c r="AZ1156" s="21" t="str">
        <f>IF(AND($AM1156&lt;&gt;"",$AS1156="✓"),SUMPRODUCT(($AM$11:$AM1156&lt;&gt;"")*($AS$11:$AS1156="✓")),"")</f>
        <v/>
      </c>
      <c r="BA1156" s="21" t="str">
        <f>IF($AL1156="","",$AL1156&amp;"|"&amp;COUNTIF($AL$11:$AL1156,$AL1156))</f>
        <v/>
      </c>
    </row>
    <row r="1157" spans="38:53" ht="15" customHeight="1" x14ac:dyDescent="0.25">
      <c r="AL1157" s="17"/>
      <c r="AM1157" s="12"/>
      <c r="AN1157" s="18"/>
      <c r="AO1157" s="18"/>
      <c r="AP1157" s="10"/>
      <c r="AQ1157" s="10"/>
      <c r="AR1157" s="19"/>
      <c r="AS1157" s="20"/>
      <c r="AT1157" s="19"/>
      <c r="AV1157" s="21">
        <f>IF(AND($AL1157&lt;&gt;"",COUNTIF($AL$11:$AL1157,$AL1157)=1),1,0)</f>
        <v>0</v>
      </c>
      <c r="AW1157" s="21">
        <f t="shared" si="121"/>
        <v>2</v>
      </c>
      <c r="AX1157" s="21" t="str">
        <f t="shared" si="120"/>
        <v/>
      </c>
      <c r="AY1157" s="21" t="str">
        <f>IF(AND($AM1157&lt;&gt;"",$AS1157&lt;&gt;"✓"),SUMPRODUCT(($AM$11:$AM1157&lt;&gt;"")*($AS$11:$AS1157&lt;&gt;"✓")),"")</f>
        <v/>
      </c>
      <c r="AZ1157" s="21" t="str">
        <f>IF(AND($AM1157&lt;&gt;"",$AS1157="✓"),SUMPRODUCT(($AM$11:$AM1157&lt;&gt;"")*($AS$11:$AS1157="✓")),"")</f>
        <v/>
      </c>
      <c r="BA1157" s="21" t="str">
        <f>IF($AL1157="","",$AL1157&amp;"|"&amp;COUNTIF($AL$11:$AL1157,$AL1157))</f>
        <v/>
      </c>
    </row>
    <row r="1158" spans="38:53" ht="15" customHeight="1" x14ac:dyDescent="0.25">
      <c r="AL1158" s="31"/>
      <c r="AM1158" s="26"/>
      <c r="AN1158" s="32"/>
      <c r="AO1158" s="32"/>
      <c r="AP1158" s="24"/>
      <c r="AQ1158" s="24"/>
      <c r="AR1158" s="33"/>
      <c r="AS1158" s="34"/>
      <c r="AT1158" s="33"/>
      <c r="AV1158" s="21">
        <f>IF(AND($AL1158&lt;&gt;"",COUNTIF($AL$11:$AL1158,$AL1158)=1),1,0)</f>
        <v>0</v>
      </c>
      <c r="AW1158" s="21">
        <f t="shared" si="121"/>
        <v>2</v>
      </c>
      <c r="AX1158" s="21" t="str">
        <f t="shared" si="120"/>
        <v/>
      </c>
      <c r="AY1158" s="21" t="str">
        <f>IF(AND($AM1158&lt;&gt;"",$AS1158&lt;&gt;"✓"),SUMPRODUCT(($AM$11:$AM1158&lt;&gt;"")*($AS$11:$AS1158&lt;&gt;"✓")),"")</f>
        <v/>
      </c>
      <c r="AZ1158" s="21" t="str">
        <f>IF(AND($AM1158&lt;&gt;"",$AS1158="✓"),SUMPRODUCT(($AM$11:$AM1158&lt;&gt;"")*($AS$11:$AS1158="✓")),"")</f>
        <v/>
      </c>
      <c r="BA1158" s="21" t="str">
        <f>IF($AL1158="","",$AL1158&amp;"|"&amp;COUNTIF($AL$11:$AL1158,$AL1158))</f>
        <v/>
      </c>
    </row>
    <row r="1159" spans="38:53" ht="15" customHeight="1" x14ac:dyDescent="0.25">
      <c r="AL1159" s="17"/>
      <c r="AM1159" s="12"/>
      <c r="AN1159" s="18"/>
      <c r="AO1159" s="18"/>
      <c r="AP1159" s="10"/>
      <c r="AQ1159" s="10"/>
      <c r="AR1159" s="19"/>
      <c r="AS1159" s="20"/>
      <c r="AT1159" s="19"/>
      <c r="AV1159" s="21">
        <f>IF(AND($AL1159&lt;&gt;"",COUNTIF($AL$11:$AL1159,$AL1159)=1),1,0)</f>
        <v>0</v>
      </c>
      <c r="AW1159" s="21">
        <f t="shared" si="121"/>
        <v>2</v>
      </c>
      <c r="AX1159" s="21" t="str">
        <f t="shared" si="120"/>
        <v/>
      </c>
      <c r="AY1159" s="21" t="str">
        <f>IF(AND($AM1159&lt;&gt;"",$AS1159&lt;&gt;"✓"),SUMPRODUCT(($AM$11:$AM1159&lt;&gt;"")*($AS$11:$AS1159&lt;&gt;"✓")),"")</f>
        <v/>
      </c>
      <c r="AZ1159" s="21" t="str">
        <f>IF(AND($AM1159&lt;&gt;"",$AS1159="✓"),SUMPRODUCT(($AM$11:$AM1159&lt;&gt;"")*($AS$11:$AS1159="✓")),"")</f>
        <v/>
      </c>
      <c r="BA1159" s="21" t="str">
        <f>IF($AL1159="","",$AL1159&amp;"|"&amp;COUNTIF($AL$11:$AL1159,$AL1159))</f>
        <v/>
      </c>
    </row>
    <row r="1160" spans="38:53" ht="15" customHeight="1" x14ac:dyDescent="0.25">
      <c r="AL1160" s="31"/>
      <c r="AM1160" s="26"/>
      <c r="AN1160" s="32"/>
      <c r="AO1160" s="32"/>
      <c r="AP1160" s="24"/>
      <c r="AQ1160" s="24"/>
      <c r="AR1160" s="33"/>
      <c r="AS1160" s="34"/>
      <c r="AT1160" s="33"/>
      <c r="AV1160" s="21">
        <f>IF(AND($AL1160&lt;&gt;"",COUNTIF($AL$11:$AL1160,$AL1160)=1),1,0)</f>
        <v>0</v>
      </c>
      <c r="AW1160" s="21">
        <f t="shared" si="121"/>
        <v>2</v>
      </c>
      <c r="AX1160" s="21" t="str">
        <f t="shared" si="120"/>
        <v/>
      </c>
      <c r="AY1160" s="21" t="str">
        <f>IF(AND($AM1160&lt;&gt;"",$AS1160&lt;&gt;"✓"),SUMPRODUCT(($AM$11:$AM1160&lt;&gt;"")*($AS$11:$AS1160&lt;&gt;"✓")),"")</f>
        <v/>
      </c>
      <c r="AZ1160" s="21" t="str">
        <f>IF(AND($AM1160&lt;&gt;"",$AS1160="✓"),SUMPRODUCT(($AM$11:$AM1160&lt;&gt;"")*($AS$11:$AS1160="✓")),"")</f>
        <v/>
      </c>
      <c r="BA1160" s="21" t="str">
        <f>IF($AL1160="","",$AL1160&amp;"|"&amp;COUNTIF($AL$11:$AL1160,$AL1160))</f>
        <v/>
      </c>
    </row>
    <row r="1161" spans="38:53" ht="15" customHeight="1" x14ac:dyDescent="0.25">
      <c r="AL1161" s="17"/>
      <c r="AM1161" s="12"/>
      <c r="AN1161" s="18"/>
      <c r="AO1161" s="18"/>
      <c r="AP1161" s="10"/>
      <c r="AQ1161" s="10"/>
      <c r="AR1161" s="19"/>
      <c r="AS1161" s="20"/>
      <c r="AT1161" s="19"/>
      <c r="AV1161" s="21">
        <f>IF(AND($AL1161&lt;&gt;"",COUNTIF($AL$11:$AL1161,$AL1161)=1),1,0)</f>
        <v>0</v>
      </c>
      <c r="AW1161" s="21">
        <f t="shared" si="121"/>
        <v>2</v>
      </c>
      <c r="AX1161" s="21" t="str">
        <f t="shared" si="120"/>
        <v/>
      </c>
      <c r="AY1161" s="21" t="str">
        <f>IF(AND($AM1161&lt;&gt;"",$AS1161&lt;&gt;"✓"),SUMPRODUCT(($AM$11:$AM1161&lt;&gt;"")*($AS$11:$AS1161&lt;&gt;"✓")),"")</f>
        <v/>
      </c>
      <c r="AZ1161" s="21" t="str">
        <f>IF(AND($AM1161&lt;&gt;"",$AS1161="✓"),SUMPRODUCT(($AM$11:$AM1161&lt;&gt;"")*($AS$11:$AS1161="✓")),"")</f>
        <v/>
      </c>
      <c r="BA1161" s="21" t="str">
        <f>IF($AL1161="","",$AL1161&amp;"|"&amp;COUNTIF($AL$11:$AL1161,$AL1161))</f>
        <v/>
      </c>
    </row>
    <row r="1162" spans="38:53" ht="15" customHeight="1" x14ac:dyDescent="0.25">
      <c r="AL1162" s="31"/>
      <c r="AM1162" s="26"/>
      <c r="AN1162" s="32"/>
      <c r="AO1162" s="32"/>
      <c r="AP1162" s="24"/>
      <c r="AQ1162" s="24"/>
      <c r="AR1162" s="33"/>
      <c r="AS1162" s="34"/>
      <c r="AT1162" s="33"/>
      <c r="AV1162" s="21">
        <f>IF(AND($AL1162&lt;&gt;"",COUNTIF($AL$11:$AL1162,$AL1162)=1),1,0)</f>
        <v>0</v>
      </c>
      <c r="AW1162" s="21">
        <f t="shared" si="121"/>
        <v>2</v>
      </c>
      <c r="AX1162" s="21" t="str">
        <f t="shared" si="120"/>
        <v/>
      </c>
      <c r="AY1162" s="21" t="str">
        <f>IF(AND($AM1162&lt;&gt;"",$AS1162&lt;&gt;"✓"),SUMPRODUCT(($AM$11:$AM1162&lt;&gt;"")*($AS$11:$AS1162&lt;&gt;"✓")),"")</f>
        <v/>
      </c>
      <c r="AZ1162" s="21" t="str">
        <f>IF(AND($AM1162&lt;&gt;"",$AS1162="✓"),SUMPRODUCT(($AM$11:$AM1162&lt;&gt;"")*($AS$11:$AS1162="✓")),"")</f>
        <v/>
      </c>
      <c r="BA1162" s="21" t="str">
        <f>IF($AL1162="","",$AL1162&amp;"|"&amp;COUNTIF($AL$11:$AL1162,$AL1162))</f>
        <v/>
      </c>
    </row>
    <row r="1163" spans="38:53" ht="15" customHeight="1" x14ac:dyDescent="0.25">
      <c r="AL1163" s="17"/>
      <c r="AM1163" s="12"/>
      <c r="AN1163" s="18"/>
      <c r="AO1163" s="18"/>
      <c r="AP1163" s="10"/>
      <c r="AQ1163" s="10"/>
      <c r="AR1163" s="19"/>
      <c r="AS1163" s="20"/>
      <c r="AT1163" s="19"/>
      <c r="AV1163" s="21">
        <f>IF(AND($AL1163&lt;&gt;"",COUNTIF($AL$11:$AL1163,$AL1163)=1),1,0)</f>
        <v>0</v>
      </c>
      <c r="AW1163" s="21">
        <f t="shared" si="121"/>
        <v>2</v>
      </c>
      <c r="AX1163" s="21" t="str">
        <f t="shared" ref="AX1163:AX1226" si="122">IF(AV1163=1,AW1163,"")</f>
        <v/>
      </c>
      <c r="AY1163" s="21" t="str">
        <f>IF(AND($AM1163&lt;&gt;"",$AS1163&lt;&gt;"✓"),SUMPRODUCT(($AM$11:$AM1163&lt;&gt;"")*($AS$11:$AS1163&lt;&gt;"✓")),"")</f>
        <v/>
      </c>
      <c r="AZ1163" s="21" t="str">
        <f>IF(AND($AM1163&lt;&gt;"",$AS1163="✓"),SUMPRODUCT(($AM$11:$AM1163&lt;&gt;"")*($AS$11:$AS1163="✓")),"")</f>
        <v/>
      </c>
      <c r="BA1163" s="21" t="str">
        <f>IF($AL1163="","",$AL1163&amp;"|"&amp;COUNTIF($AL$11:$AL1163,$AL1163))</f>
        <v/>
      </c>
    </row>
    <row r="1164" spans="38:53" ht="15" customHeight="1" x14ac:dyDescent="0.25">
      <c r="AL1164" s="31"/>
      <c r="AM1164" s="26"/>
      <c r="AN1164" s="32"/>
      <c r="AO1164" s="32"/>
      <c r="AP1164" s="24"/>
      <c r="AQ1164" s="24"/>
      <c r="AR1164" s="33"/>
      <c r="AS1164" s="34"/>
      <c r="AT1164" s="33"/>
      <c r="AV1164" s="21">
        <f>IF(AND($AL1164&lt;&gt;"",COUNTIF($AL$11:$AL1164,$AL1164)=1),1,0)</f>
        <v>0</v>
      </c>
      <c r="AW1164" s="21">
        <f t="shared" ref="AW1164:AW1227" si="123">AW1163+AV1164</f>
        <v>2</v>
      </c>
      <c r="AX1164" s="21" t="str">
        <f t="shared" si="122"/>
        <v/>
      </c>
      <c r="AY1164" s="21" t="str">
        <f>IF(AND($AM1164&lt;&gt;"",$AS1164&lt;&gt;"✓"),SUMPRODUCT(($AM$11:$AM1164&lt;&gt;"")*($AS$11:$AS1164&lt;&gt;"✓")),"")</f>
        <v/>
      </c>
      <c r="AZ1164" s="21" t="str">
        <f>IF(AND($AM1164&lt;&gt;"",$AS1164="✓"),SUMPRODUCT(($AM$11:$AM1164&lt;&gt;"")*($AS$11:$AS1164="✓")),"")</f>
        <v/>
      </c>
      <c r="BA1164" s="21" t="str">
        <f>IF($AL1164="","",$AL1164&amp;"|"&amp;COUNTIF($AL$11:$AL1164,$AL1164))</f>
        <v/>
      </c>
    </row>
    <row r="1165" spans="38:53" ht="15" customHeight="1" x14ac:dyDescent="0.25">
      <c r="AL1165" s="17"/>
      <c r="AM1165" s="12"/>
      <c r="AN1165" s="18"/>
      <c r="AO1165" s="18"/>
      <c r="AP1165" s="10"/>
      <c r="AQ1165" s="10"/>
      <c r="AR1165" s="19"/>
      <c r="AS1165" s="20"/>
      <c r="AT1165" s="19"/>
      <c r="AV1165" s="21">
        <f>IF(AND($AL1165&lt;&gt;"",COUNTIF($AL$11:$AL1165,$AL1165)=1),1,0)</f>
        <v>0</v>
      </c>
      <c r="AW1165" s="21">
        <f t="shared" si="123"/>
        <v>2</v>
      </c>
      <c r="AX1165" s="21" t="str">
        <f t="shared" si="122"/>
        <v/>
      </c>
      <c r="AY1165" s="21" t="str">
        <f>IF(AND($AM1165&lt;&gt;"",$AS1165&lt;&gt;"✓"),SUMPRODUCT(($AM$11:$AM1165&lt;&gt;"")*($AS$11:$AS1165&lt;&gt;"✓")),"")</f>
        <v/>
      </c>
      <c r="AZ1165" s="21" t="str">
        <f>IF(AND($AM1165&lt;&gt;"",$AS1165="✓"),SUMPRODUCT(($AM$11:$AM1165&lt;&gt;"")*($AS$11:$AS1165="✓")),"")</f>
        <v/>
      </c>
      <c r="BA1165" s="21" t="str">
        <f>IF($AL1165="","",$AL1165&amp;"|"&amp;COUNTIF($AL$11:$AL1165,$AL1165))</f>
        <v/>
      </c>
    </row>
    <row r="1166" spans="38:53" ht="15" customHeight="1" x14ac:dyDescent="0.25">
      <c r="AL1166" s="31"/>
      <c r="AM1166" s="26"/>
      <c r="AN1166" s="32"/>
      <c r="AO1166" s="32"/>
      <c r="AP1166" s="24"/>
      <c r="AQ1166" s="24"/>
      <c r="AR1166" s="33"/>
      <c r="AS1166" s="34"/>
      <c r="AT1166" s="33"/>
      <c r="AV1166" s="21">
        <f>IF(AND($AL1166&lt;&gt;"",COUNTIF($AL$11:$AL1166,$AL1166)=1),1,0)</f>
        <v>0</v>
      </c>
      <c r="AW1166" s="21">
        <f t="shared" si="123"/>
        <v>2</v>
      </c>
      <c r="AX1166" s="21" t="str">
        <f t="shared" si="122"/>
        <v/>
      </c>
      <c r="AY1166" s="21" t="str">
        <f>IF(AND($AM1166&lt;&gt;"",$AS1166&lt;&gt;"✓"),SUMPRODUCT(($AM$11:$AM1166&lt;&gt;"")*($AS$11:$AS1166&lt;&gt;"✓")),"")</f>
        <v/>
      </c>
      <c r="AZ1166" s="21" t="str">
        <f>IF(AND($AM1166&lt;&gt;"",$AS1166="✓"),SUMPRODUCT(($AM$11:$AM1166&lt;&gt;"")*($AS$11:$AS1166="✓")),"")</f>
        <v/>
      </c>
      <c r="BA1166" s="21" t="str">
        <f>IF($AL1166="","",$AL1166&amp;"|"&amp;COUNTIF($AL$11:$AL1166,$AL1166))</f>
        <v/>
      </c>
    </row>
    <row r="1167" spans="38:53" ht="15" customHeight="1" x14ac:dyDescent="0.25">
      <c r="AL1167" s="17"/>
      <c r="AM1167" s="12"/>
      <c r="AN1167" s="18"/>
      <c r="AO1167" s="18"/>
      <c r="AP1167" s="10"/>
      <c r="AQ1167" s="10"/>
      <c r="AR1167" s="19"/>
      <c r="AS1167" s="20"/>
      <c r="AT1167" s="19"/>
      <c r="AV1167" s="21">
        <f>IF(AND($AL1167&lt;&gt;"",COUNTIF($AL$11:$AL1167,$AL1167)=1),1,0)</f>
        <v>0</v>
      </c>
      <c r="AW1167" s="21">
        <f t="shared" si="123"/>
        <v>2</v>
      </c>
      <c r="AX1167" s="21" t="str">
        <f t="shared" si="122"/>
        <v/>
      </c>
      <c r="AY1167" s="21" t="str">
        <f>IF(AND($AM1167&lt;&gt;"",$AS1167&lt;&gt;"✓"),SUMPRODUCT(($AM$11:$AM1167&lt;&gt;"")*($AS$11:$AS1167&lt;&gt;"✓")),"")</f>
        <v/>
      </c>
      <c r="AZ1167" s="21" t="str">
        <f>IF(AND($AM1167&lt;&gt;"",$AS1167="✓"),SUMPRODUCT(($AM$11:$AM1167&lt;&gt;"")*($AS$11:$AS1167="✓")),"")</f>
        <v/>
      </c>
      <c r="BA1167" s="21" t="str">
        <f>IF($AL1167="","",$AL1167&amp;"|"&amp;COUNTIF($AL$11:$AL1167,$AL1167))</f>
        <v/>
      </c>
    </row>
    <row r="1168" spans="38:53" ht="15" customHeight="1" x14ac:dyDescent="0.25">
      <c r="AL1168" s="31"/>
      <c r="AM1168" s="26"/>
      <c r="AN1168" s="32"/>
      <c r="AO1168" s="32"/>
      <c r="AP1168" s="24"/>
      <c r="AQ1168" s="24"/>
      <c r="AR1168" s="33"/>
      <c r="AS1168" s="34"/>
      <c r="AT1168" s="33"/>
      <c r="AV1168" s="21">
        <f>IF(AND($AL1168&lt;&gt;"",COUNTIF($AL$11:$AL1168,$AL1168)=1),1,0)</f>
        <v>0</v>
      </c>
      <c r="AW1168" s="21">
        <f t="shared" si="123"/>
        <v>2</v>
      </c>
      <c r="AX1168" s="21" t="str">
        <f t="shared" si="122"/>
        <v/>
      </c>
      <c r="AY1168" s="21" t="str">
        <f>IF(AND($AM1168&lt;&gt;"",$AS1168&lt;&gt;"✓"),SUMPRODUCT(($AM$11:$AM1168&lt;&gt;"")*($AS$11:$AS1168&lt;&gt;"✓")),"")</f>
        <v/>
      </c>
      <c r="AZ1168" s="21" t="str">
        <f>IF(AND($AM1168&lt;&gt;"",$AS1168="✓"),SUMPRODUCT(($AM$11:$AM1168&lt;&gt;"")*($AS$11:$AS1168="✓")),"")</f>
        <v/>
      </c>
      <c r="BA1168" s="21" t="str">
        <f>IF($AL1168="","",$AL1168&amp;"|"&amp;COUNTIF($AL$11:$AL1168,$AL1168))</f>
        <v/>
      </c>
    </row>
    <row r="1169" spans="38:53" ht="15" customHeight="1" x14ac:dyDescent="0.25">
      <c r="AL1169" s="17"/>
      <c r="AM1169" s="12"/>
      <c r="AN1169" s="18"/>
      <c r="AO1169" s="18"/>
      <c r="AP1169" s="10"/>
      <c r="AQ1169" s="10"/>
      <c r="AR1169" s="19"/>
      <c r="AS1169" s="20"/>
      <c r="AT1169" s="19"/>
      <c r="AV1169" s="21">
        <f>IF(AND($AL1169&lt;&gt;"",COUNTIF($AL$11:$AL1169,$AL1169)=1),1,0)</f>
        <v>0</v>
      </c>
      <c r="AW1169" s="21">
        <f t="shared" si="123"/>
        <v>2</v>
      </c>
      <c r="AX1169" s="21" t="str">
        <f t="shared" si="122"/>
        <v/>
      </c>
      <c r="AY1169" s="21" t="str">
        <f>IF(AND($AM1169&lt;&gt;"",$AS1169&lt;&gt;"✓"),SUMPRODUCT(($AM$11:$AM1169&lt;&gt;"")*($AS$11:$AS1169&lt;&gt;"✓")),"")</f>
        <v/>
      </c>
      <c r="AZ1169" s="21" t="str">
        <f>IF(AND($AM1169&lt;&gt;"",$AS1169="✓"),SUMPRODUCT(($AM$11:$AM1169&lt;&gt;"")*($AS$11:$AS1169="✓")),"")</f>
        <v/>
      </c>
      <c r="BA1169" s="21" t="str">
        <f>IF($AL1169="","",$AL1169&amp;"|"&amp;COUNTIF($AL$11:$AL1169,$AL1169))</f>
        <v/>
      </c>
    </row>
    <row r="1170" spans="38:53" ht="15" customHeight="1" x14ac:dyDescent="0.25">
      <c r="AL1170" s="31"/>
      <c r="AM1170" s="26"/>
      <c r="AN1170" s="32"/>
      <c r="AO1170" s="32"/>
      <c r="AP1170" s="24"/>
      <c r="AQ1170" s="24"/>
      <c r="AR1170" s="33"/>
      <c r="AS1170" s="34"/>
      <c r="AT1170" s="33"/>
      <c r="AV1170" s="21">
        <f>IF(AND($AL1170&lt;&gt;"",COUNTIF($AL$11:$AL1170,$AL1170)=1),1,0)</f>
        <v>0</v>
      </c>
      <c r="AW1170" s="21">
        <f t="shared" si="123"/>
        <v>2</v>
      </c>
      <c r="AX1170" s="21" t="str">
        <f t="shared" si="122"/>
        <v/>
      </c>
      <c r="AY1170" s="21" t="str">
        <f>IF(AND($AM1170&lt;&gt;"",$AS1170&lt;&gt;"✓"),SUMPRODUCT(($AM$11:$AM1170&lt;&gt;"")*($AS$11:$AS1170&lt;&gt;"✓")),"")</f>
        <v/>
      </c>
      <c r="AZ1170" s="21" t="str">
        <f>IF(AND($AM1170&lt;&gt;"",$AS1170="✓"),SUMPRODUCT(($AM$11:$AM1170&lt;&gt;"")*($AS$11:$AS1170="✓")),"")</f>
        <v/>
      </c>
      <c r="BA1170" s="21" t="str">
        <f>IF($AL1170="","",$AL1170&amp;"|"&amp;COUNTIF($AL$11:$AL1170,$AL1170))</f>
        <v/>
      </c>
    </row>
    <row r="1171" spans="38:53" ht="15" customHeight="1" x14ac:dyDescent="0.25">
      <c r="AL1171" s="17"/>
      <c r="AM1171" s="12"/>
      <c r="AN1171" s="18"/>
      <c r="AO1171" s="18"/>
      <c r="AP1171" s="10"/>
      <c r="AQ1171" s="10"/>
      <c r="AR1171" s="19"/>
      <c r="AS1171" s="20"/>
      <c r="AT1171" s="19"/>
      <c r="AV1171" s="21">
        <f>IF(AND($AL1171&lt;&gt;"",COUNTIF($AL$11:$AL1171,$AL1171)=1),1,0)</f>
        <v>0</v>
      </c>
      <c r="AW1171" s="21">
        <f t="shared" si="123"/>
        <v>2</v>
      </c>
      <c r="AX1171" s="21" t="str">
        <f t="shared" si="122"/>
        <v/>
      </c>
      <c r="AY1171" s="21" t="str">
        <f>IF(AND($AM1171&lt;&gt;"",$AS1171&lt;&gt;"✓"),SUMPRODUCT(($AM$11:$AM1171&lt;&gt;"")*($AS$11:$AS1171&lt;&gt;"✓")),"")</f>
        <v/>
      </c>
      <c r="AZ1171" s="21" t="str">
        <f>IF(AND($AM1171&lt;&gt;"",$AS1171="✓"),SUMPRODUCT(($AM$11:$AM1171&lt;&gt;"")*($AS$11:$AS1171="✓")),"")</f>
        <v/>
      </c>
      <c r="BA1171" s="21" t="str">
        <f>IF($AL1171="","",$AL1171&amp;"|"&amp;COUNTIF($AL$11:$AL1171,$AL1171))</f>
        <v/>
      </c>
    </row>
    <row r="1172" spans="38:53" ht="15" customHeight="1" x14ac:dyDescent="0.25">
      <c r="AL1172" s="31"/>
      <c r="AM1172" s="26"/>
      <c r="AN1172" s="32"/>
      <c r="AO1172" s="32"/>
      <c r="AP1172" s="24"/>
      <c r="AQ1172" s="24"/>
      <c r="AR1172" s="33"/>
      <c r="AS1172" s="34"/>
      <c r="AT1172" s="33"/>
      <c r="AV1172" s="21">
        <f>IF(AND($AL1172&lt;&gt;"",COUNTIF($AL$11:$AL1172,$AL1172)=1),1,0)</f>
        <v>0</v>
      </c>
      <c r="AW1172" s="21">
        <f t="shared" si="123"/>
        <v>2</v>
      </c>
      <c r="AX1172" s="21" t="str">
        <f t="shared" si="122"/>
        <v/>
      </c>
      <c r="AY1172" s="21" t="str">
        <f>IF(AND($AM1172&lt;&gt;"",$AS1172&lt;&gt;"✓"),SUMPRODUCT(($AM$11:$AM1172&lt;&gt;"")*($AS$11:$AS1172&lt;&gt;"✓")),"")</f>
        <v/>
      </c>
      <c r="AZ1172" s="21" t="str">
        <f>IF(AND($AM1172&lt;&gt;"",$AS1172="✓"),SUMPRODUCT(($AM$11:$AM1172&lt;&gt;"")*($AS$11:$AS1172="✓")),"")</f>
        <v/>
      </c>
      <c r="BA1172" s="21" t="str">
        <f>IF($AL1172="","",$AL1172&amp;"|"&amp;COUNTIF($AL$11:$AL1172,$AL1172))</f>
        <v/>
      </c>
    </row>
    <row r="1173" spans="38:53" ht="15" customHeight="1" x14ac:dyDescent="0.25">
      <c r="AL1173" s="17"/>
      <c r="AM1173" s="12"/>
      <c r="AN1173" s="18"/>
      <c r="AO1173" s="18"/>
      <c r="AP1173" s="10"/>
      <c r="AQ1173" s="10"/>
      <c r="AR1173" s="19"/>
      <c r="AS1173" s="20"/>
      <c r="AT1173" s="19"/>
      <c r="AV1173" s="21">
        <f>IF(AND($AL1173&lt;&gt;"",COUNTIF($AL$11:$AL1173,$AL1173)=1),1,0)</f>
        <v>0</v>
      </c>
      <c r="AW1173" s="21">
        <f t="shared" si="123"/>
        <v>2</v>
      </c>
      <c r="AX1173" s="21" t="str">
        <f t="shared" si="122"/>
        <v/>
      </c>
      <c r="AY1173" s="21" t="str">
        <f>IF(AND($AM1173&lt;&gt;"",$AS1173&lt;&gt;"✓"),SUMPRODUCT(($AM$11:$AM1173&lt;&gt;"")*($AS$11:$AS1173&lt;&gt;"✓")),"")</f>
        <v/>
      </c>
      <c r="AZ1173" s="21" t="str">
        <f>IF(AND($AM1173&lt;&gt;"",$AS1173="✓"),SUMPRODUCT(($AM$11:$AM1173&lt;&gt;"")*($AS$11:$AS1173="✓")),"")</f>
        <v/>
      </c>
      <c r="BA1173" s="21" t="str">
        <f>IF($AL1173="","",$AL1173&amp;"|"&amp;COUNTIF($AL$11:$AL1173,$AL1173))</f>
        <v/>
      </c>
    </row>
    <row r="1174" spans="38:53" ht="15" customHeight="1" x14ac:dyDescent="0.25">
      <c r="AL1174" s="31"/>
      <c r="AM1174" s="26"/>
      <c r="AN1174" s="32"/>
      <c r="AO1174" s="32"/>
      <c r="AP1174" s="24"/>
      <c r="AQ1174" s="24"/>
      <c r="AR1174" s="33"/>
      <c r="AS1174" s="34"/>
      <c r="AT1174" s="33"/>
      <c r="AV1174" s="21">
        <f>IF(AND($AL1174&lt;&gt;"",COUNTIF($AL$11:$AL1174,$AL1174)=1),1,0)</f>
        <v>0</v>
      </c>
      <c r="AW1174" s="21">
        <f t="shared" si="123"/>
        <v>2</v>
      </c>
      <c r="AX1174" s="21" t="str">
        <f t="shared" si="122"/>
        <v/>
      </c>
      <c r="AY1174" s="21" t="str">
        <f>IF(AND($AM1174&lt;&gt;"",$AS1174&lt;&gt;"✓"),SUMPRODUCT(($AM$11:$AM1174&lt;&gt;"")*($AS$11:$AS1174&lt;&gt;"✓")),"")</f>
        <v/>
      </c>
      <c r="AZ1174" s="21" t="str">
        <f>IF(AND($AM1174&lt;&gt;"",$AS1174="✓"),SUMPRODUCT(($AM$11:$AM1174&lt;&gt;"")*($AS$11:$AS1174="✓")),"")</f>
        <v/>
      </c>
      <c r="BA1174" s="21" t="str">
        <f>IF($AL1174="","",$AL1174&amp;"|"&amp;COUNTIF($AL$11:$AL1174,$AL1174))</f>
        <v/>
      </c>
    </row>
    <row r="1175" spans="38:53" ht="15" customHeight="1" x14ac:dyDescent="0.25">
      <c r="AL1175" s="17"/>
      <c r="AM1175" s="12"/>
      <c r="AN1175" s="18"/>
      <c r="AO1175" s="18"/>
      <c r="AP1175" s="10"/>
      <c r="AQ1175" s="10"/>
      <c r="AR1175" s="19"/>
      <c r="AS1175" s="20"/>
      <c r="AT1175" s="19"/>
      <c r="AV1175" s="21">
        <f>IF(AND($AL1175&lt;&gt;"",COUNTIF($AL$11:$AL1175,$AL1175)=1),1,0)</f>
        <v>0</v>
      </c>
      <c r="AW1175" s="21">
        <f t="shared" si="123"/>
        <v>2</v>
      </c>
      <c r="AX1175" s="21" t="str">
        <f t="shared" si="122"/>
        <v/>
      </c>
      <c r="AY1175" s="21" t="str">
        <f>IF(AND($AM1175&lt;&gt;"",$AS1175&lt;&gt;"✓"),SUMPRODUCT(($AM$11:$AM1175&lt;&gt;"")*($AS$11:$AS1175&lt;&gt;"✓")),"")</f>
        <v/>
      </c>
      <c r="AZ1175" s="21" t="str">
        <f>IF(AND($AM1175&lt;&gt;"",$AS1175="✓"),SUMPRODUCT(($AM$11:$AM1175&lt;&gt;"")*($AS$11:$AS1175="✓")),"")</f>
        <v/>
      </c>
      <c r="BA1175" s="21" t="str">
        <f>IF($AL1175="","",$AL1175&amp;"|"&amp;COUNTIF($AL$11:$AL1175,$AL1175))</f>
        <v/>
      </c>
    </row>
    <row r="1176" spans="38:53" ht="15" customHeight="1" x14ac:dyDescent="0.25">
      <c r="AL1176" s="31"/>
      <c r="AM1176" s="26"/>
      <c r="AN1176" s="32"/>
      <c r="AO1176" s="32"/>
      <c r="AP1176" s="24"/>
      <c r="AQ1176" s="24"/>
      <c r="AR1176" s="33"/>
      <c r="AS1176" s="34"/>
      <c r="AT1176" s="33"/>
      <c r="AV1176" s="21">
        <f>IF(AND($AL1176&lt;&gt;"",COUNTIF($AL$11:$AL1176,$AL1176)=1),1,0)</f>
        <v>0</v>
      </c>
      <c r="AW1176" s="21">
        <f t="shared" si="123"/>
        <v>2</v>
      </c>
      <c r="AX1176" s="21" t="str">
        <f t="shared" si="122"/>
        <v/>
      </c>
      <c r="AY1176" s="21" t="str">
        <f>IF(AND($AM1176&lt;&gt;"",$AS1176&lt;&gt;"✓"),SUMPRODUCT(($AM$11:$AM1176&lt;&gt;"")*($AS$11:$AS1176&lt;&gt;"✓")),"")</f>
        <v/>
      </c>
      <c r="AZ1176" s="21" t="str">
        <f>IF(AND($AM1176&lt;&gt;"",$AS1176="✓"),SUMPRODUCT(($AM$11:$AM1176&lt;&gt;"")*($AS$11:$AS1176="✓")),"")</f>
        <v/>
      </c>
      <c r="BA1176" s="21" t="str">
        <f>IF($AL1176="","",$AL1176&amp;"|"&amp;COUNTIF($AL$11:$AL1176,$AL1176))</f>
        <v/>
      </c>
    </row>
    <row r="1177" spans="38:53" ht="15" customHeight="1" x14ac:dyDescent="0.25">
      <c r="AL1177" s="17"/>
      <c r="AM1177" s="12"/>
      <c r="AN1177" s="18"/>
      <c r="AO1177" s="18"/>
      <c r="AP1177" s="10"/>
      <c r="AQ1177" s="10"/>
      <c r="AR1177" s="19"/>
      <c r="AS1177" s="20"/>
      <c r="AT1177" s="19"/>
      <c r="AV1177" s="21">
        <f>IF(AND($AL1177&lt;&gt;"",COUNTIF($AL$11:$AL1177,$AL1177)=1),1,0)</f>
        <v>0</v>
      </c>
      <c r="AW1177" s="21">
        <f t="shared" si="123"/>
        <v>2</v>
      </c>
      <c r="AX1177" s="21" t="str">
        <f t="shared" si="122"/>
        <v/>
      </c>
      <c r="AY1177" s="21" t="str">
        <f>IF(AND($AM1177&lt;&gt;"",$AS1177&lt;&gt;"✓"),SUMPRODUCT(($AM$11:$AM1177&lt;&gt;"")*($AS$11:$AS1177&lt;&gt;"✓")),"")</f>
        <v/>
      </c>
      <c r="AZ1177" s="21" t="str">
        <f>IF(AND($AM1177&lt;&gt;"",$AS1177="✓"),SUMPRODUCT(($AM$11:$AM1177&lt;&gt;"")*($AS$11:$AS1177="✓")),"")</f>
        <v/>
      </c>
      <c r="BA1177" s="21" t="str">
        <f>IF($AL1177="","",$AL1177&amp;"|"&amp;COUNTIF($AL$11:$AL1177,$AL1177))</f>
        <v/>
      </c>
    </row>
    <row r="1178" spans="38:53" ht="15" customHeight="1" x14ac:dyDescent="0.25">
      <c r="AL1178" s="31"/>
      <c r="AM1178" s="26"/>
      <c r="AN1178" s="32"/>
      <c r="AO1178" s="32"/>
      <c r="AP1178" s="24"/>
      <c r="AQ1178" s="24"/>
      <c r="AR1178" s="33"/>
      <c r="AS1178" s="34"/>
      <c r="AT1178" s="33"/>
      <c r="AV1178" s="21">
        <f>IF(AND($AL1178&lt;&gt;"",COUNTIF($AL$11:$AL1178,$AL1178)=1),1,0)</f>
        <v>0</v>
      </c>
      <c r="AW1178" s="21">
        <f t="shared" si="123"/>
        <v>2</v>
      </c>
      <c r="AX1178" s="21" t="str">
        <f t="shared" si="122"/>
        <v/>
      </c>
      <c r="AY1178" s="21" t="str">
        <f>IF(AND($AM1178&lt;&gt;"",$AS1178&lt;&gt;"✓"),SUMPRODUCT(($AM$11:$AM1178&lt;&gt;"")*($AS$11:$AS1178&lt;&gt;"✓")),"")</f>
        <v/>
      </c>
      <c r="AZ1178" s="21" t="str">
        <f>IF(AND($AM1178&lt;&gt;"",$AS1178="✓"),SUMPRODUCT(($AM$11:$AM1178&lt;&gt;"")*($AS$11:$AS1178="✓")),"")</f>
        <v/>
      </c>
      <c r="BA1178" s="21" t="str">
        <f>IF($AL1178="","",$AL1178&amp;"|"&amp;COUNTIF($AL$11:$AL1178,$AL1178))</f>
        <v/>
      </c>
    </row>
    <row r="1179" spans="38:53" ht="15" customHeight="1" x14ac:dyDescent="0.25">
      <c r="AL1179" s="17"/>
      <c r="AM1179" s="12"/>
      <c r="AN1179" s="18"/>
      <c r="AO1179" s="18"/>
      <c r="AP1179" s="10"/>
      <c r="AQ1179" s="10"/>
      <c r="AR1179" s="19"/>
      <c r="AS1179" s="20"/>
      <c r="AT1179" s="19"/>
      <c r="AV1179" s="21">
        <f>IF(AND($AL1179&lt;&gt;"",COUNTIF($AL$11:$AL1179,$AL1179)=1),1,0)</f>
        <v>0</v>
      </c>
      <c r="AW1179" s="21">
        <f t="shared" si="123"/>
        <v>2</v>
      </c>
      <c r="AX1179" s="21" t="str">
        <f t="shared" si="122"/>
        <v/>
      </c>
      <c r="AY1179" s="21" t="str">
        <f>IF(AND($AM1179&lt;&gt;"",$AS1179&lt;&gt;"✓"),SUMPRODUCT(($AM$11:$AM1179&lt;&gt;"")*($AS$11:$AS1179&lt;&gt;"✓")),"")</f>
        <v/>
      </c>
      <c r="AZ1179" s="21" t="str">
        <f>IF(AND($AM1179&lt;&gt;"",$AS1179="✓"),SUMPRODUCT(($AM$11:$AM1179&lt;&gt;"")*($AS$11:$AS1179="✓")),"")</f>
        <v/>
      </c>
      <c r="BA1179" s="21" t="str">
        <f>IF($AL1179="","",$AL1179&amp;"|"&amp;COUNTIF($AL$11:$AL1179,$AL1179))</f>
        <v/>
      </c>
    </row>
    <row r="1180" spans="38:53" ht="15" customHeight="1" x14ac:dyDescent="0.25">
      <c r="AL1180" s="31"/>
      <c r="AM1180" s="26"/>
      <c r="AN1180" s="32"/>
      <c r="AO1180" s="32"/>
      <c r="AP1180" s="24"/>
      <c r="AQ1180" s="24"/>
      <c r="AR1180" s="33"/>
      <c r="AS1180" s="34"/>
      <c r="AT1180" s="33"/>
      <c r="AV1180" s="21">
        <f>IF(AND($AL1180&lt;&gt;"",COUNTIF($AL$11:$AL1180,$AL1180)=1),1,0)</f>
        <v>0</v>
      </c>
      <c r="AW1180" s="21">
        <f t="shared" si="123"/>
        <v>2</v>
      </c>
      <c r="AX1180" s="21" t="str">
        <f t="shared" si="122"/>
        <v/>
      </c>
      <c r="AY1180" s="21" t="str">
        <f>IF(AND($AM1180&lt;&gt;"",$AS1180&lt;&gt;"✓"),SUMPRODUCT(($AM$11:$AM1180&lt;&gt;"")*($AS$11:$AS1180&lt;&gt;"✓")),"")</f>
        <v/>
      </c>
      <c r="AZ1180" s="21" t="str">
        <f>IF(AND($AM1180&lt;&gt;"",$AS1180="✓"),SUMPRODUCT(($AM$11:$AM1180&lt;&gt;"")*($AS$11:$AS1180="✓")),"")</f>
        <v/>
      </c>
      <c r="BA1180" s="21" t="str">
        <f>IF($AL1180="","",$AL1180&amp;"|"&amp;COUNTIF($AL$11:$AL1180,$AL1180))</f>
        <v/>
      </c>
    </row>
    <row r="1181" spans="38:53" ht="15" customHeight="1" x14ac:dyDescent="0.25">
      <c r="AL1181" s="17"/>
      <c r="AM1181" s="12"/>
      <c r="AN1181" s="18"/>
      <c r="AO1181" s="18"/>
      <c r="AP1181" s="10"/>
      <c r="AQ1181" s="10"/>
      <c r="AR1181" s="19"/>
      <c r="AS1181" s="20"/>
      <c r="AT1181" s="19"/>
      <c r="AV1181" s="21">
        <f>IF(AND($AL1181&lt;&gt;"",COUNTIF($AL$11:$AL1181,$AL1181)=1),1,0)</f>
        <v>0</v>
      </c>
      <c r="AW1181" s="21">
        <f t="shared" si="123"/>
        <v>2</v>
      </c>
      <c r="AX1181" s="21" t="str">
        <f t="shared" si="122"/>
        <v/>
      </c>
      <c r="AY1181" s="21" t="str">
        <f>IF(AND($AM1181&lt;&gt;"",$AS1181&lt;&gt;"✓"),SUMPRODUCT(($AM$11:$AM1181&lt;&gt;"")*($AS$11:$AS1181&lt;&gt;"✓")),"")</f>
        <v/>
      </c>
      <c r="AZ1181" s="21" t="str">
        <f>IF(AND($AM1181&lt;&gt;"",$AS1181="✓"),SUMPRODUCT(($AM$11:$AM1181&lt;&gt;"")*($AS$11:$AS1181="✓")),"")</f>
        <v/>
      </c>
      <c r="BA1181" s="21" t="str">
        <f>IF($AL1181="","",$AL1181&amp;"|"&amp;COUNTIF($AL$11:$AL1181,$AL1181))</f>
        <v/>
      </c>
    </row>
    <row r="1182" spans="38:53" ht="15" customHeight="1" x14ac:dyDescent="0.25">
      <c r="AL1182" s="31"/>
      <c r="AM1182" s="26"/>
      <c r="AN1182" s="32"/>
      <c r="AO1182" s="32"/>
      <c r="AP1182" s="24"/>
      <c r="AQ1182" s="24"/>
      <c r="AR1182" s="33"/>
      <c r="AS1182" s="34"/>
      <c r="AT1182" s="33"/>
      <c r="AV1182" s="21">
        <f>IF(AND($AL1182&lt;&gt;"",COUNTIF($AL$11:$AL1182,$AL1182)=1),1,0)</f>
        <v>0</v>
      </c>
      <c r="AW1182" s="21">
        <f t="shared" si="123"/>
        <v>2</v>
      </c>
      <c r="AX1182" s="21" t="str">
        <f t="shared" si="122"/>
        <v/>
      </c>
      <c r="AY1182" s="21" t="str">
        <f>IF(AND($AM1182&lt;&gt;"",$AS1182&lt;&gt;"✓"),SUMPRODUCT(($AM$11:$AM1182&lt;&gt;"")*($AS$11:$AS1182&lt;&gt;"✓")),"")</f>
        <v/>
      </c>
      <c r="AZ1182" s="21" t="str">
        <f>IF(AND($AM1182&lt;&gt;"",$AS1182="✓"),SUMPRODUCT(($AM$11:$AM1182&lt;&gt;"")*($AS$11:$AS1182="✓")),"")</f>
        <v/>
      </c>
      <c r="BA1182" s="21" t="str">
        <f>IF($AL1182="","",$AL1182&amp;"|"&amp;COUNTIF($AL$11:$AL1182,$AL1182))</f>
        <v/>
      </c>
    </row>
    <row r="1183" spans="38:53" ht="15" customHeight="1" x14ac:dyDescent="0.25">
      <c r="AL1183" s="17"/>
      <c r="AM1183" s="12"/>
      <c r="AN1183" s="18"/>
      <c r="AO1183" s="18"/>
      <c r="AP1183" s="10"/>
      <c r="AQ1183" s="10"/>
      <c r="AR1183" s="19"/>
      <c r="AS1183" s="20"/>
      <c r="AT1183" s="19"/>
      <c r="AV1183" s="21">
        <f>IF(AND($AL1183&lt;&gt;"",COUNTIF($AL$11:$AL1183,$AL1183)=1),1,0)</f>
        <v>0</v>
      </c>
      <c r="AW1183" s="21">
        <f t="shared" si="123"/>
        <v>2</v>
      </c>
      <c r="AX1183" s="21" t="str">
        <f t="shared" si="122"/>
        <v/>
      </c>
      <c r="AY1183" s="21" t="str">
        <f>IF(AND($AM1183&lt;&gt;"",$AS1183&lt;&gt;"✓"),SUMPRODUCT(($AM$11:$AM1183&lt;&gt;"")*($AS$11:$AS1183&lt;&gt;"✓")),"")</f>
        <v/>
      </c>
      <c r="AZ1183" s="21" t="str">
        <f>IF(AND($AM1183&lt;&gt;"",$AS1183="✓"),SUMPRODUCT(($AM$11:$AM1183&lt;&gt;"")*($AS$11:$AS1183="✓")),"")</f>
        <v/>
      </c>
      <c r="BA1183" s="21" t="str">
        <f>IF($AL1183="","",$AL1183&amp;"|"&amp;COUNTIF($AL$11:$AL1183,$AL1183))</f>
        <v/>
      </c>
    </row>
    <row r="1184" spans="38:53" ht="15" customHeight="1" x14ac:dyDescent="0.25">
      <c r="AL1184" s="31"/>
      <c r="AM1184" s="26"/>
      <c r="AN1184" s="32"/>
      <c r="AO1184" s="32"/>
      <c r="AP1184" s="24"/>
      <c r="AQ1184" s="24"/>
      <c r="AR1184" s="33"/>
      <c r="AS1184" s="34"/>
      <c r="AT1184" s="33"/>
      <c r="AV1184" s="21">
        <f>IF(AND($AL1184&lt;&gt;"",COUNTIF($AL$11:$AL1184,$AL1184)=1),1,0)</f>
        <v>0</v>
      </c>
      <c r="AW1184" s="21">
        <f t="shared" si="123"/>
        <v>2</v>
      </c>
      <c r="AX1184" s="21" t="str">
        <f t="shared" si="122"/>
        <v/>
      </c>
      <c r="AY1184" s="21" t="str">
        <f>IF(AND($AM1184&lt;&gt;"",$AS1184&lt;&gt;"✓"),SUMPRODUCT(($AM$11:$AM1184&lt;&gt;"")*($AS$11:$AS1184&lt;&gt;"✓")),"")</f>
        <v/>
      </c>
      <c r="AZ1184" s="21" t="str">
        <f>IF(AND($AM1184&lt;&gt;"",$AS1184="✓"),SUMPRODUCT(($AM$11:$AM1184&lt;&gt;"")*($AS$11:$AS1184="✓")),"")</f>
        <v/>
      </c>
      <c r="BA1184" s="21" t="str">
        <f>IF($AL1184="","",$AL1184&amp;"|"&amp;COUNTIF($AL$11:$AL1184,$AL1184))</f>
        <v/>
      </c>
    </row>
    <row r="1185" spans="38:53" ht="15" customHeight="1" x14ac:dyDescent="0.25">
      <c r="AL1185" s="17"/>
      <c r="AM1185" s="12"/>
      <c r="AN1185" s="18"/>
      <c r="AO1185" s="18"/>
      <c r="AP1185" s="10"/>
      <c r="AQ1185" s="10"/>
      <c r="AR1185" s="19"/>
      <c r="AS1185" s="20"/>
      <c r="AT1185" s="19"/>
      <c r="AV1185" s="21">
        <f>IF(AND($AL1185&lt;&gt;"",COUNTIF($AL$11:$AL1185,$AL1185)=1),1,0)</f>
        <v>0</v>
      </c>
      <c r="AW1185" s="21">
        <f t="shared" si="123"/>
        <v>2</v>
      </c>
      <c r="AX1185" s="21" t="str">
        <f t="shared" si="122"/>
        <v/>
      </c>
      <c r="AY1185" s="21" t="str">
        <f>IF(AND($AM1185&lt;&gt;"",$AS1185&lt;&gt;"✓"),SUMPRODUCT(($AM$11:$AM1185&lt;&gt;"")*($AS$11:$AS1185&lt;&gt;"✓")),"")</f>
        <v/>
      </c>
      <c r="AZ1185" s="21" t="str">
        <f>IF(AND($AM1185&lt;&gt;"",$AS1185="✓"),SUMPRODUCT(($AM$11:$AM1185&lt;&gt;"")*($AS$11:$AS1185="✓")),"")</f>
        <v/>
      </c>
      <c r="BA1185" s="21" t="str">
        <f>IF($AL1185="","",$AL1185&amp;"|"&amp;COUNTIF($AL$11:$AL1185,$AL1185))</f>
        <v/>
      </c>
    </row>
    <row r="1186" spans="38:53" ht="15" customHeight="1" x14ac:dyDescent="0.25">
      <c r="AL1186" s="31"/>
      <c r="AM1186" s="26"/>
      <c r="AN1186" s="32"/>
      <c r="AO1186" s="32"/>
      <c r="AP1186" s="24"/>
      <c r="AQ1186" s="24"/>
      <c r="AR1186" s="33"/>
      <c r="AS1186" s="34"/>
      <c r="AT1186" s="33"/>
      <c r="AV1186" s="21">
        <f>IF(AND($AL1186&lt;&gt;"",COUNTIF($AL$11:$AL1186,$AL1186)=1),1,0)</f>
        <v>0</v>
      </c>
      <c r="AW1186" s="21">
        <f t="shared" si="123"/>
        <v>2</v>
      </c>
      <c r="AX1186" s="21" t="str">
        <f t="shared" si="122"/>
        <v/>
      </c>
      <c r="AY1186" s="21" t="str">
        <f>IF(AND($AM1186&lt;&gt;"",$AS1186&lt;&gt;"✓"),SUMPRODUCT(($AM$11:$AM1186&lt;&gt;"")*($AS$11:$AS1186&lt;&gt;"✓")),"")</f>
        <v/>
      </c>
      <c r="AZ1186" s="21" t="str">
        <f>IF(AND($AM1186&lt;&gt;"",$AS1186="✓"),SUMPRODUCT(($AM$11:$AM1186&lt;&gt;"")*($AS$11:$AS1186="✓")),"")</f>
        <v/>
      </c>
      <c r="BA1186" s="21" t="str">
        <f>IF($AL1186="","",$AL1186&amp;"|"&amp;COUNTIF($AL$11:$AL1186,$AL1186))</f>
        <v/>
      </c>
    </row>
    <row r="1187" spans="38:53" ht="15" customHeight="1" x14ac:dyDescent="0.25">
      <c r="AL1187" s="17"/>
      <c r="AM1187" s="12"/>
      <c r="AN1187" s="18"/>
      <c r="AO1187" s="18"/>
      <c r="AP1187" s="10"/>
      <c r="AQ1187" s="10"/>
      <c r="AR1187" s="19"/>
      <c r="AS1187" s="20"/>
      <c r="AT1187" s="19"/>
      <c r="AV1187" s="21">
        <f>IF(AND($AL1187&lt;&gt;"",COUNTIF($AL$11:$AL1187,$AL1187)=1),1,0)</f>
        <v>0</v>
      </c>
      <c r="AW1187" s="21">
        <f t="shared" si="123"/>
        <v>2</v>
      </c>
      <c r="AX1187" s="21" t="str">
        <f t="shared" si="122"/>
        <v/>
      </c>
      <c r="AY1187" s="21" t="str">
        <f>IF(AND($AM1187&lt;&gt;"",$AS1187&lt;&gt;"✓"),SUMPRODUCT(($AM$11:$AM1187&lt;&gt;"")*($AS$11:$AS1187&lt;&gt;"✓")),"")</f>
        <v/>
      </c>
      <c r="AZ1187" s="21" t="str">
        <f>IF(AND($AM1187&lt;&gt;"",$AS1187="✓"),SUMPRODUCT(($AM$11:$AM1187&lt;&gt;"")*($AS$11:$AS1187="✓")),"")</f>
        <v/>
      </c>
      <c r="BA1187" s="21" t="str">
        <f>IF($AL1187="","",$AL1187&amp;"|"&amp;COUNTIF($AL$11:$AL1187,$AL1187))</f>
        <v/>
      </c>
    </row>
    <row r="1188" spans="38:53" ht="15" customHeight="1" x14ac:dyDescent="0.25">
      <c r="AL1188" s="31"/>
      <c r="AM1188" s="26"/>
      <c r="AN1188" s="32"/>
      <c r="AO1188" s="32"/>
      <c r="AP1188" s="24"/>
      <c r="AQ1188" s="24"/>
      <c r="AR1188" s="33"/>
      <c r="AS1188" s="34"/>
      <c r="AT1188" s="33"/>
      <c r="AV1188" s="21">
        <f>IF(AND($AL1188&lt;&gt;"",COUNTIF($AL$11:$AL1188,$AL1188)=1),1,0)</f>
        <v>0</v>
      </c>
      <c r="AW1188" s="21">
        <f t="shared" si="123"/>
        <v>2</v>
      </c>
      <c r="AX1188" s="21" t="str">
        <f t="shared" si="122"/>
        <v/>
      </c>
      <c r="AY1188" s="21" t="str">
        <f>IF(AND($AM1188&lt;&gt;"",$AS1188&lt;&gt;"✓"),SUMPRODUCT(($AM$11:$AM1188&lt;&gt;"")*($AS$11:$AS1188&lt;&gt;"✓")),"")</f>
        <v/>
      </c>
      <c r="AZ1188" s="21" t="str">
        <f>IF(AND($AM1188&lt;&gt;"",$AS1188="✓"),SUMPRODUCT(($AM$11:$AM1188&lt;&gt;"")*($AS$11:$AS1188="✓")),"")</f>
        <v/>
      </c>
      <c r="BA1188" s="21" t="str">
        <f>IF($AL1188="","",$AL1188&amp;"|"&amp;COUNTIF($AL$11:$AL1188,$AL1188))</f>
        <v/>
      </c>
    </row>
    <row r="1189" spans="38:53" ht="15" customHeight="1" x14ac:dyDescent="0.25">
      <c r="AL1189" s="17"/>
      <c r="AM1189" s="12"/>
      <c r="AN1189" s="18"/>
      <c r="AO1189" s="18"/>
      <c r="AP1189" s="10"/>
      <c r="AQ1189" s="10"/>
      <c r="AR1189" s="19"/>
      <c r="AS1189" s="20"/>
      <c r="AT1189" s="19"/>
      <c r="AV1189" s="21">
        <f>IF(AND($AL1189&lt;&gt;"",COUNTIF($AL$11:$AL1189,$AL1189)=1),1,0)</f>
        <v>0</v>
      </c>
      <c r="AW1189" s="21">
        <f t="shared" si="123"/>
        <v>2</v>
      </c>
      <c r="AX1189" s="21" t="str">
        <f t="shared" si="122"/>
        <v/>
      </c>
      <c r="AY1189" s="21" t="str">
        <f>IF(AND($AM1189&lt;&gt;"",$AS1189&lt;&gt;"✓"),SUMPRODUCT(($AM$11:$AM1189&lt;&gt;"")*($AS$11:$AS1189&lt;&gt;"✓")),"")</f>
        <v/>
      </c>
      <c r="AZ1189" s="21" t="str">
        <f>IF(AND($AM1189&lt;&gt;"",$AS1189="✓"),SUMPRODUCT(($AM$11:$AM1189&lt;&gt;"")*($AS$11:$AS1189="✓")),"")</f>
        <v/>
      </c>
      <c r="BA1189" s="21" t="str">
        <f>IF($AL1189="","",$AL1189&amp;"|"&amp;COUNTIF($AL$11:$AL1189,$AL1189))</f>
        <v/>
      </c>
    </row>
    <row r="1190" spans="38:53" ht="15" customHeight="1" x14ac:dyDescent="0.25">
      <c r="AL1190" s="31"/>
      <c r="AM1190" s="26"/>
      <c r="AN1190" s="32"/>
      <c r="AO1190" s="32"/>
      <c r="AP1190" s="24"/>
      <c r="AQ1190" s="24"/>
      <c r="AR1190" s="33"/>
      <c r="AS1190" s="34"/>
      <c r="AT1190" s="33"/>
      <c r="AV1190" s="21">
        <f>IF(AND($AL1190&lt;&gt;"",COUNTIF($AL$11:$AL1190,$AL1190)=1),1,0)</f>
        <v>0</v>
      </c>
      <c r="AW1190" s="21">
        <f t="shared" si="123"/>
        <v>2</v>
      </c>
      <c r="AX1190" s="21" t="str">
        <f t="shared" si="122"/>
        <v/>
      </c>
      <c r="AY1190" s="21" t="str">
        <f>IF(AND($AM1190&lt;&gt;"",$AS1190&lt;&gt;"✓"),SUMPRODUCT(($AM$11:$AM1190&lt;&gt;"")*($AS$11:$AS1190&lt;&gt;"✓")),"")</f>
        <v/>
      </c>
      <c r="AZ1190" s="21" t="str">
        <f>IF(AND($AM1190&lt;&gt;"",$AS1190="✓"),SUMPRODUCT(($AM$11:$AM1190&lt;&gt;"")*($AS$11:$AS1190="✓")),"")</f>
        <v/>
      </c>
      <c r="BA1190" s="21" t="str">
        <f>IF($AL1190="","",$AL1190&amp;"|"&amp;COUNTIF($AL$11:$AL1190,$AL1190))</f>
        <v/>
      </c>
    </row>
    <row r="1191" spans="38:53" ht="15" customHeight="1" x14ac:dyDescent="0.25">
      <c r="AL1191" s="17"/>
      <c r="AM1191" s="12"/>
      <c r="AN1191" s="18"/>
      <c r="AO1191" s="18"/>
      <c r="AP1191" s="10"/>
      <c r="AQ1191" s="10"/>
      <c r="AR1191" s="19"/>
      <c r="AS1191" s="20"/>
      <c r="AT1191" s="19"/>
      <c r="AV1191" s="21">
        <f>IF(AND($AL1191&lt;&gt;"",COUNTIF($AL$11:$AL1191,$AL1191)=1),1,0)</f>
        <v>0</v>
      </c>
      <c r="AW1191" s="21">
        <f t="shared" si="123"/>
        <v>2</v>
      </c>
      <c r="AX1191" s="21" t="str">
        <f t="shared" si="122"/>
        <v/>
      </c>
      <c r="AY1191" s="21" t="str">
        <f>IF(AND($AM1191&lt;&gt;"",$AS1191&lt;&gt;"✓"),SUMPRODUCT(($AM$11:$AM1191&lt;&gt;"")*($AS$11:$AS1191&lt;&gt;"✓")),"")</f>
        <v/>
      </c>
      <c r="AZ1191" s="21" t="str">
        <f>IF(AND($AM1191&lt;&gt;"",$AS1191="✓"),SUMPRODUCT(($AM$11:$AM1191&lt;&gt;"")*($AS$11:$AS1191="✓")),"")</f>
        <v/>
      </c>
      <c r="BA1191" s="21" t="str">
        <f>IF($AL1191="","",$AL1191&amp;"|"&amp;COUNTIF($AL$11:$AL1191,$AL1191))</f>
        <v/>
      </c>
    </row>
    <row r="1192" spans="38:53" ht="15" customHeight="1" x14ac:dyDescent="0.25">
      <c r="AL1192" s="31"/>
      <c r="AM1192" s="26"/>
      <c r="AN1192" s="32"/>
      <c r="AO1192" s="32"/>
      <c r="AP1192" s="24"/>
      <c r="AQ1192" s="24"/>
      <c r="AR1192" s="33"/>
      <c r="AS1192" s="34"/>
      <c r="AT1192" s="33"/>
      <c r="AV1192" s="21">
        <f>IF(AND($AL1192&lt;&gt;"",COUNTIF($AL$11:$AL1192,$AL1192)=1),1,0)</f>
        <v>0</v>
      </c>
      <c r="AW1192" s="21">
        <f t="shared" si="123"/>
        <v>2</v>
      </c>
      <c r="AX1192" s="21" t="str">
        <f t="shared" si="122"/>
        <v/>
      </c>
      <c r="AY1192" s="21" t="str">
        <f>IF(AND($AM1192&lt;&gt;"",$AS1192&lt;&gt;"✓"),SUMPRODUCT(($AM$11:$AM1192&lt;&gt;"")*($AS$11:$AS1192&lt;&gt;"✓")),"")</f>
        <v/>
      </c>
      <c r="AZ1192" s="21" t="str">
        <f>IF(AND($AM1192&lt;&gt;"",$AS1192="✓"),SUMPRODUCT(($AM$11:$AM1192&lt;&gt;"")*($AS$11:$AS1192="✓")),"")</f>
        <v/>
      </c>
      <c r="BA1192" s="21" t="str">
        <f>IF($AL1192="","",$AL1192&amp;"|"&amp;COUNTIF($AL$11:$AL1192,$AL1192))</f>
        <v/>
      </c>
    </row>
    <row r="1193" spans="38:53" ht="15" customHeight="1" x14ac:dyDescent="0.25">
      <c r="AL1193" s="17"/>
      <c r="AM1193" s="12"/>
      <c r="AN1193" s="18"/>
      <c r="AO1193" s="18"/>
      <c r="AP1193" s="10"/>
      <c r="AQ1193" s="10"/>
      <c r="AR1193" s="19"/>
      <c r="AS1193" s="20"/>
      <c r="AT1193" s="19"/>
      <c r="AV1193" s="21">
        <f>IF(AND($AL1193&lt;&gt;"",COUNTIF($AL$11:$AL1193,$AL1193)=1),1,0)</f>
        <v>0</v>
      </c>
      <c r="AW1193" s="21">
        <f t="shared" si="123"/>
        <v>2</v>
      </c>
      <c r="AX1193" s="21" t="str">
        <f t="shared" si="122"/>
        <v/>
      </c>
      <c r="AY1193" s="21" t="str">
        <f>IF(AND($AM1193&lt;&gt;"",$AS1193&lt;&gt;"✓"),SUMPRODUCT(($AM$11:$AM1193&lt;&gt;"")*($AS$11:$AS1193&lt;&gt;"✓")),"")</f>
        <v/>
      </c>
      <c r="AZ1193" s="21" t="str">
        <f>IF(AND($AM1193&lt;&gt;"",$AS1193="✓"),SUMPRODUCT(($AM$11:$AM1193&lt;&gt;"")*($AS$11:$AS1193="✓")),"")</f>
        <v/>
      </c>
      <c r="BA1193" s="21" t="str">
        <f>IF($AL1193="","",$AL1193&amp;"|"&amp;COUNTIF($AL$11:$AL1193,$AL1193))</f>
        <v/>
      </c>
    </row>
    <row r="1194" spans="38:53" ht="15" customHeight="1" x14ac:dyDescent="0.25">
      <c r="AL1194" s="31"/>
      <c r="AM1194" s="26"/>
      <c r="AN1194" s="32"/>
      <c r="AO1194" s="32"/>
      <c r="AP1194" s="24"/>
      <c r="AQ1194" s="24"/>
      <c r="AR1194" s="33"/>
      <c r="AS1194" s="34"/>
      <c r="AT1194" s="33"/>
      <c r="AV1194" s="21">
        <f>IF(AND($AL1194&lt;&gt;"",COUNTIF($AL$11:$AL1194,$AL1194)=1),1,0)</f>
        <v>0</v>
      </c>
      <c r="AW1194" s="21">
        <f t="shared" si="123"/>
        <v>2</v>
      </c>
      <c r="AX1194" s="21" t="str">
        <f t="shared" si="122"/>
        <v/>
      </c>
      <c r="AY1194" s="21" t="str">
        <f>IF(AND($AM1194&lt;&gt;"",$AS1194&lt;&gt;"✓"),SUMPRODUCT(($AM$11:$AM1194&lt;&gt;"")*($AS$11:$AS1194&lt;&gt;"✓")),"")</f>
        <v/>
      </c>
      <c r="AZ1194" s="21" t="str">
        <f>IF(AND($AM1194&lt;&gt;"",$AS1194="✓"),SUMPRODUCT(($AM$11:$AM1194&lt;&gt;"")*($AS$11:$AS1194="✓")),"")</f>
        <v/>
      </c>
      <c r="BA1194" s="21" t="str">
        <f>IF($AL1194="","",$AL1194&amp;"|"&amp;COUNTIF($AL$11:$AL1194,$AL1194))</f>
        <v/>
      </c>
    </row>
    <row r="1195" spans="38:53" ht="15" customHeight="1" x14ac:dyDescent="0.25">
      <c r="AL1195" s="17"/>
      <c r="AM1195" s="12"/>
      <c r="AN1195" s="18"/>
      <c r="AO1195" s="18"/>
      <c r="AP1195" s="10"/>
      <c r="AQ1195" s="10"/>
      <c r="AR1195" s="19"/>
      <c r="AS1195" s="20"/>
      <c r="AT1195" s="19"/>
      <c r="AV1195" s="21">
        <f>IF(AND($AL1195&lt;&gt;"",COUNTIF($AL$11:$AL1195,$AL1195)=1),1,0)</f>
        <v>0</v>
      </c>
      <c r="AW1195" s="21">
        <f t="shared" si="123"/>
        <v>2</v>
      </c>
      <c r="AX1195" s="21" t="str">
        <f t="shared" si="122"/>
        <v/>
      </c>
      <c r="AY1195" s="21" t="str">
        <f>IF(AND($AM1195&lt;&gt;"",$AS1195&lt;&gt;"✓"),SUMPRODUCT(($AM$11:$AM1195&lt;&gt;"")*($AS$11:$AS1195&lt;&gt;"✓")),"")</f>
        <v/>
      </c>
      <c r="AZ1195" s="21" t="str">
        <f>IF(AND($AM1195&lt;&gt;"",$AS1195="✓"),SUMPRODUCT(($AM$11:$AM1195&lt;&gt;"")*($AS$11:$AS1195="✓")),"")</f>
        <v/>
      </c>
      <c r="BA1195" s="21" t="str">
        <f>IF($AL1195="","",$AL1195&amp;"|"&amp;COUNTIF($AL$11:$AL1195,$AL1195))</f>
        <v/>
      </c>
    </row>
    <row r="1196" spans="38:53" ht="15" customHeight="1" x14ac:dyDescent="0.25">
      <c r="AL1196" s="31"/>
      <c r="AM1196" s="26"/>
      <c r="AN1196" s="32"/>
      <c r="AO1196" s="32"/>
      <c r="AP1196" s="24"/>
      <c r="AQ1196" s="24"/>
      <c r="AR1196" s="33"/>
      <c r="AS1196" s="34"/>
      <c r="AT1196" s="33"/>
      <c r="AV1196" s="21">
        <f>IF(AND($AL1196&lt;&gt;"",COUNTIF($AL$11:$AL1196,$AL1196)=1),1,0)</f>
        <v>0</v>
      </c>
      <c r="AW1196" s="21">
        <f t="shared" si="123"/>
        <v>2</v>
      </c>
      <c r="AX1196" s="21" t="str">
        <f t="shared" si="122"/>
        <v/>
      </c>
      <c r="AY1196" s="21" t="str">
        <f>IF(AND($AM1196&lt;&gt;"",$AS1196&lt;&gt;"✓"),SUMPRODUCT(($AM$11:$AM1196&lt;&gt;"")*($AS$11:$AS1196&lt;&gt;"✓")),"")</f>
        <v/>
      </c>
      <c r="AZ1196" s="21" t="str">
        <f>IF(AND($AM1196&lt;&gt;"",$AS1196="✓"),SUMPRODUCT(($AM$11:$AM1196&lt;&gt;"")*($AS$11:$AS1196="✓")),"")</f>
        <v/>
      </c>
      <c r="BA1196" s="21" t="str">
        <f>IF($AL1196="","",$AL1196&amp;"|"&amp;COUNTIF($AL$11:$AL1196,$AL1196))</f>
        <v/>
      </c>
    </row>
    <row r="1197" spans="38:53" ht="15" customHeight="1" x14ac:dyDescent="0.25">
      <c r="AL1197" s="17"/>
      <c r="AM1197" s="12"/>
      <c r="AN1197" s="18"/>
      <c r="AO1197" s="18"/>
      <c r="AP1197" s="10"/>
      <c r="AQ1197" s="10"/>
      <c r="AR1197" s="19"/>
      <c r="AS1197" s="20"/>
      <c r="AT1197" s="19"/>
      <c r="AV1197" s="21">
        <f>IF(AND($AL1197&lt;&gt;"",COUNTIF($AL$11:$AL1197,$AL1197)=1),1,0)</f>
        <v>0</v>
      </c>
      <c r="AW1197" s="21">
        <f t="shared" si="123"/>
        <v>2</v>
      </c>
      <c r="AX1197" s="21" t="str">
        <f t="shared" si="122"/>
        <v/>
      </c>
      <c r="AY1197" s="21" t="str">
        <f>IF(AND($AM1197&lt;&gt;"",$AS1197&lt;&gt;"✓"),SUMPRODUCT(($AM$11:$AM1197&lt;&gt;"")*($AS$11:$AS1197&lt;&gt;"✓")),"")</f>
        <v/>
      </c>
      <c r="AZ1197" s="21" t="str">
        <f>IF(AND($AM1197&lt;&gt;"",$AS1197="✓"),SUMPRODUCT(($AM$11:$AM1197&lt;&gt;"")*($AS$11:$AS1197="✓")),"")</f>
        <v/>
      </c>
      <c r="BA1197" s="21" t="str">
        <f>IF($AL1197="","",$AL1197&amp;"|"&amp;COUNTIF($AL$11:$AL1197,$AL1197))</f>
        <v/>
      </c>
    </row>
    <row r="1198" spans="38:53" ht="15" customHeight="1" x14ac:dyDescent="0.25">
      <c r="AL1198" s="31"/>
      <c r="AM1198" s="26"/>
      <c r="AN1198" s="32"/>
      <c r="AO1198" s="32"/>
      <c r="AP1198" s="24"/>
      <c r="AQ1198" s="24"/>
      <c r="AR1198" s="33"/>
      <c r="AS1198" s="34"/>
      <c r="AT1198" s="33"/>
      <c r="AV1198" s="21">
        <f>IF(AND($AL1198&lt;&gt;"",COUNTIF($AL$11:$AL1198,$AL1198)=1),1,0)</f>
        <v>0</v>
      </c>
      <c r="AW1198" s="21">
        <f t="shared" si="123"/>
        <v>2</v>
      </c>
      <c r="AX1198" s="21" t="str">
        <f t="shared" si="122"/>
        <v/>
      </c>
      <c r="AY1198" s="21" t="str">
        <f>IF(AND($AM1198&lt;&gt;"",$AS1198&lt;&gt;"✓"),SUMPRODUCT(($AM$11:$AM1198&lt;&gt;"")*($AS$11:$AS1198&lt;&gt;"✓")),"")</f>
        <v/>
      </c>
      <c r="AZ1198" s="21" t="str">
        <f>IF(AND($AM1198&lt;&gt;"",$AS1198="✓"),SUMPRODUCT(($AM$11:$AM1198&lt;&gt;"")*($AS$11:$AS1198="✓")),"")</f>
        <v/>
      </c>
      <c r="BA1198" s="21" t="str">
        <f>IF($AL1198="","",$AL1198&amp;"|"&amp;COUNTIF($AL$11:$AL1198,$AL1198))</f>
        <v/>
      </c>
    </row>
    <row r="1199" spans="38:53" ht="15" customHeight="1" x14ac:dyDescent="0.25">
      <c r="AL1199" s="17"/>
      <c r="AM1199" s="12"/>
      <c r="AN1199" s="18"/>
      <c r="AO1199" s="18"/>
      <c r="AP1199" s="10"/>
      <c r="AQ1199" s="10"/>
      <c r="AR1199" s="19"/>
      <c r="AS1199" s="20"/>
      <c r="AT1199" s="19"/>
      <c r="AV1199" s="21">
        <f>IF(AND($AL1199&lt;&gt;"",COUNTIF($AL$11:$AL1199,$AL1199)=1),1,0)</f>
        <v>0</v>
      </c>
      <c r="AW1199" s="21">
        <f t="shared" si="123"/>
        <v>2</v>
      </c>
      <c r="AX1199" s="21" t="str">
        <f t="shared" si="122"/>
        <v/>
      </c>
      <c r="AY1199" s="21" t="str">
        <f>IF(AND($AM1199&lt;&gt;"",$AS1199&lt;&gt;"✓"),SUMPRODUCT(($AM$11:$AM1199&lt;&gt;"")*($AS$11:$AS1199&lt;&gt;"✓")),"")</f>
        <v/>
      </c>
      <c r="AZ1199" s="21" t="str">
        <f>IF(AND($AM1199&lt;&gt;"",$AS1199="✓"),SUMPRODUCT(($AM$11:$AM1199&lt;&gt;"")*($AS$11:$AS1199="✓")),"")</f>
        <v/>
      </c>
      <c r="BA1199" s="21" t="str">
        <f>IF($AL1199="","",$AL1199&amp;"|"&amp;COUNTIF($AL$11:$AL1199,$AL1199))</f>
        <v/>
      </c>
    </row>
    <row r="1200" spans="38:53" ht="15" customHeight="1" x14ac:dyDescent="0.25">
      <c r="AL1200" s="31"/>
      <c r="AM1200" s="26"/>
      <c r="AN1200" s="32"/>
      <c r="AO1200" s="32"/>
      <c r="AP1200" s="24"/>
      <c r="AQ1200" s="24"/>
      <c r="AR1200" s="33"/>
      <c r="AS1200" s="34"/>
      <c r="AT1200" s="33"/>
      <c r="AV1200" s="21">
        <f>IF(AND($AL1200&lt;&gt;"",COUNTIF($AL$11:$AL1200,$AL1200)=1),1,0)</f>
        <v>0</v>
      </c>
      <c r="AW1200" s="21">
        <f t="shared" si="123"/>
        <v>2</v>
      </c>
      <c r="AX1200" s="21" t="str">
        <f t="shared" si="122"/>
        <v/>
      </c>
      <c r="AY1200" s="21" t="str">
        <f>IF(AND($AM1200&lt;&gt;"",$AS1200&lt;&gt;"✓"),SUMPRODUCT(($AM$11:$AM1200&lt;&gt;"")*($AS$11:$AS1200&lt;&gt;"✓")),"")</f>
        <v/>
      </c>
      <c r="AZ1200" s="21" t="str">
        <f>IF(AND($AM1200&lt;&gt;"",$AS1200="✓"),SUMPRODUCT(($AM$11:$AM1200&lt;&gt;"")*($AS$11:$AS1200="✓")),"")</f>
        <v/>
      </c>
      <c r="BA1200" s="21" t="str">
        <f>IF($AL1200="","",$AL1200&amp;"|"&amp;COUNTIF($AL$11:$AL1200,$AL1200))</f>
        <v/>
      </c>
    </row>
    <row r="1201" spans="38:53" ht="15" customHeight="1" x14ac:dyDescent="0.25">
      <c r="AL1201" s="17"/>
      <c r="AM1201" s="12"/>
      <c r="AN1201" s="18"/>
      <c r="AO1201" s="18"/>
      <c r="AP1201" s="10"/>
      <c r="AQ1201" s="10"/>
      <c r="AR1201" s="19"/>
      <c r="AS1201" s="20"/>
      <c r="AT1201" s="19"/>
      <c r="AV1201" s="21">
        <f>IF(AND($AL1201&lt;&gt;"",COUNTIF($AL$11:$AL1201,$AL1201)=1),1,0)</f>
        <v>0</v>
      </c>
      <c r="AW1201" s="21">
        <f t="shared" si="123"/>
        <v>2</v>
      </c>
      <c r="AX1201" s="21" t="str">
        <f t="shared" si="122"/>
        <v/>
      </c>
      <c r="AY1201" s="21" t="str">
        <f>IF(AND($AM1201&lt;&gt;"",$AS1201&lt;&gt;"✓"),SUMPRODUCT(($AM$11:$AM1201&lt;&gt;"")*($AS$11:$AS1201&lt;&gt;"✓")),"")</f>
        <v/>
      </c>
      <c r="AZ1201" s="21" t="str">
        <f>IF(AND($AM1201&lt;&gt;"",$AS1201="✓"),SUMPRODUCT(($AM$11:$AM1201&lt;&gt;"")*($AS$11:$AS1201="✓")),"")</f>
        <v/>
      </c>
      <c r="BA1201" s="21" t="str">
        <f>IF($AL1201="","",$AL1201&amp;"|"&amp;COUNTIF($AL$11:$AL1201,$AL1201))</f>
        <v/>
      </c>
    </row>
    <row r="1202" spans="38:53" ht="15" customHeight="1" x14ac:dyDescent="0.25">
      <c r="AL1202" s="31"/>
      <c r="AM1202" s="26"/>
      <c r="AN1202" s="32"/>
      <c r="AO1202" s="32"/>
      <c r="AP1202" s="24"/>
      <c r="AQ1202" s="24"/>
      <c r="AR1202" s="33"/>
      <c r="AS1202" s="34"/>
      <c r="AT1202" s="33"/>
      <c r="AV1202" s="21">
        <f>IF(AND($AL1202&lt;&gt;"",COUNTIF($AL$11:$AL1202,$AL1202)=1),1,0)</f>
        <v>0</v>
      </c>
      <c r="AW1202" s="21">
        <f t="shared" si="123"/>
        <v>2</v>
      </c>
      <c r="AX1202" s="21" t="str">
        <f t="shared" si="122"/>
        <v/>
      </c>
      <c r="AY1202" s="21" t="str">
        <f>IF(AND($AM1202&lt;&gt;"",$AS1202&lt;&gt;"✓"),SUMPRODUCT(($AM$11:$AM1202&lt;&gt;"")*($AS$11:$AS1202&lt;&gt;"✓")),"")</f>
        <v/>
      </c>
      <c r="AZ1202" s="21" t="str">
        <f>IF(AND($AM1202&lt;&gt;"",$AS1202="✓"),SUMPRODUCT(($AM$11:$AM1202&lt;&gt;"")*($AS$11:$AS1202="✓")),"")</f>
        <v/>
      </c>
      <c r="BA1202" s="21" t="str">
        <f>IF($AL1202="","",$AL1202&amp;"|"&amp;COUNTIF($AL$11:$AL1202,$AL1202))</f>
        <v/>
      </c>
    </row>
    <row r="1203" spans="38:53" ht="15" customHeight="1" x14ac:dyDescent="0.25">
      <c r="AL1203" s="17"/>
      <c r="AM1203" s="12"/>
      <c r="AN1203" s="18"/>
      <c r="AO1203" s="18"/>
      <c r="AP1203" s="10"/>
      <c r="AQ1203" s="10"/>
      <c r="AR1203" s="19"/>
      <c r="AS1203" s="20"/>
      <c r="AT1203" s="19"/>
      <c r="AV1203" s="21">
        <f>IF(AND($AL1203&lt;&gt;"",COUNTIF($AL$11:$AL1203,$AL1203)=1),1,0)</f>
        <v>0</v>
      </c>
      <c r="AW1203" s="21">
        <f t="shared" si="123"/>
        <v>2</v>
      </c>
      <c r="AX1203" s="21" t="str">
        <f t="shared" si="122"/>
        <v/>
      </c>
      <c r="AY1203" s="21" t="str">
        <f>IF(AND($AM1203&lt;&gt;"",$AS1203&lt;&gt;"✓"),SUMPRODUCT(($AM$11:$AM1203&lt;&gt;"")*($AS$11:$AS1203&lt;&gt;"✓")),"")</f>
        <v/>
      </c>
      <c r="AZ1203" s="21" t="str">
        <f>IF(AND($AM1203&lt;&gt;"",$AS1203="✓"),SUMPRODUCT(($AM$11:$AM1203&lt;&gt;"")*($AS$11:$AS1203="✓")),"")</f>
        <v/>
      </c>
      <c r="BA1203" s="21" t="str">
        <f>IF($AL1203="","",$AL1203&amp;"|"&amp;COUNTIF($AL$11:$AL1203,$AL1203))</f>
        <v/>
      </c>
    </row>
    <row r="1204" spans="38:53" ht="15" customHeight="1" x14ac:dyDescent="0.25">
      <c r="AL1204" s="31"/>
      <c r="AM1204" s="26"/>
      <c r="AN1204" s="32"/>
      <c r="AO1204" s="32"/>
      <c r="AP1204" s="24"/>
      <c r="AQ1204" s="24"/>
      <c r="AR1204" s="33"/>
      <c r="AS1204" s="34"/>
      <c r="AT1204" s="33"/>
      <c r="AV1204" s="21">
        <f>IF(AND($AL1204&lt;&gt;"",COUNTIF($AL$11:$AL1204,$AL1204)=1),1,0)</f>
        <v>0</v>
      </c>
      <c r="AW1204" s="21">
        <f t="shared" si="123"/>
        <v>2</v>
      </c>
      <c r="AX1204" s="21" t="str">
        <f t="shared" si="122"/>
        <v/>
      </c>
      <c r="AY1204" s="21" t="str">
        <f>IF(AND($AM1204&lt;&gt;"",$AS1204&lt;&gt;"✓"),SUMPRODUCT(($AM$11:$AM1204&lt;&gt;"")*($AS$11:$AS1204&lt;&gt;"✓")),"")</f>
        <v/>
      </c>
      <c r="AZ1204" s="21" t="str">
        <f>IF(AND($AM1204&lt;&gt;"",$AS1204="✓"),SUMPRODUCT(($AM$11:$AM1204&lt;&gt;"")*($AS$11:$AS1204="✓")),"")</f>
        <v/>
      </c>
      <c r="BA1204" s="21" t="str">
        <f>IF($AL1204="","",$AL1204&amp;"|"&amp;COUNTIF($AL$11:$AL1204,$AL1204))</f>
        <v/>
      </c>
    </row>
    <row r="1205" spans="38:53" ht="15" customHeight="1" x14ac:dyDescent="0.25">
      <c r="AL1205" s="17"/>
      <c r="AM1205" s="12"/>
      <c r="AN1205" s="18"/>
      <c r="AO1205" s="18"/>
      <c r="AP1205" s="10"/>
      <c r="AQ1205" s="10"/>
      <c r="AR1205" s="19"/>
      <c r="AS1205" s="20"/>
      <c r="AT1205" s="19"/>
      <c r="AV1205" s="21">
        <f>IF(AND($AL1205&lt;&gt;"",COUNTIF($AL$11:$AL1205,$AL1205)=1),1,0)</f>
        <v>0</v>
      </c>
      <c r="AW1205" s="21">
        <f t="shared" si="123"/>
        <v>2</v>
      </c>
      <c r="AX1205" s="21" t="str">
        <f t="shared" si="122"/>
        <v/>
      </c>
      <c r="AY1205" s="21" t="str">
        <f>IF(AND($AM1205&lt;&gt;"",$AS1205&lt;&gt;"✓"),SUMPRODUCT(($AM$11:$AM1205&lt;&gt;"")*($AS$11:$AS1205&lt;&gt;"✓")),"")</f>
        <v/>
      </c>
      <c r="AZ1205" s="21" t="str">
        <f>IF(AND($AM1205&lt;&gt;"",$AS1205="✓"),SUMPRODUCT(($AM$11:$AM1205&lt;&gt;"")*($AS$11:$AS1205="✓")),"")</f>
        <v/>
      </c>
      <c r="BA1205" s="21" t="str">
        <f>IF($AL1205="","",$AL1205&amp;"|"&amp;COUNTIF($AL$11:$AL1205,$AL1205))</f>
        <v/>
      </c>
    </row>
    <row r="1206" spans="38:53" ht="15" customHeight="1" x14ac:dyDescent="0.25">
      <c r="AL1206" s="31"/>
      <c r="AM1206" s="26"/>
      <c r="AN1206" s="32"/>
      <c r="AO1206" s="32"/>
      <c r="AP1206" s="24"/>
      <c r="AQ1206" s="24"/>
      <c r="AR1206" s="33"/>
      <c r="AS1206" s="34"/>
      <c r="AT1206" s="33"/>
      <c r="AV1206" s="21">
        <f>IF(AND($AL1206&lt;&gt;"",COUNTIF($AL$11:$AL1206,$AL1206)=1),1,0)</f>
        <v>0</v>
      </c>
      <c r="AW1206" s="21">
        <f t="shared" si="123"/>
        <v>2</v>
      </c>
      <c r="AX1206" s="21" t="str">
        <f t="shared" si="122"/>
        <v/>
      </c>
      <c r="AY1206" s="21" t="str">
        <f>IF(AND($AM1206&lt;&gt;"",$AS1206&lt;&gt;"✓"),SUMPRODUCT(($AM$11:$AM1206&lt;&gt;"")*($AS$11:$AS1206&lt;&gt;"✓")),"")</f>
        <v/>
      </c>
      <c r="AZ1206" s="21" t="str">
        <f>IF(AND($AM1206&lt;&gt;"",$AS1206="✓"),SUMPRODUCT(($AM$11:$AM1206&lt;&gt;"")*($AS$11:$AS1206="✓")),"")</f>
        <v/>
      </c>
      <c r="BA1206" s="21" t="str">
        <f>IF($AL1206="","",$AL1206&amp;"|"&amp;COUNTIF($AL$11:$AL1206,$AL1206))</f>
        <v/>
      </c>
    </row>
    <row r="1207" spans="38:53" ht="15" customHeight="1" x14ac:dyDescent="0.25">
      <c r="AL1207" s="17"/>
      <c r="AM1207" s="12"/>
      <c r="AN1207" s="18"/>
      <c r="AO1207" s="18"/>
      <c r="AP1207" s="10"/>
      <c r="AQ1207" s="10"/>
      <c r="AR1207" s="19"/>
      <c r="AS1207" s="20"/>
      <c r="AT1207" s="19"/>
      <c r="AV1207" s="21">
        <f>IF(AND($AL1207&lt;&gt;"",COUNTIF($AL$11:$AL1207,$AL1207)=1),1,0)</f>
        <v>0</v>
      </c>
      <c r="AW1207" s="21">
        <f t="shared" si="123"/>
        <v>2</v>
      </c>
      <c r="AX1207" s="21" t="str">
        <f t="shared" si="122"/>
        <v/>
      </c>
      <c r="AY1207" s="21" t="str">
        <f>IF(AND($AM1207&lt;&gt;"",$AS1207&lt;&gt;"✓"),SUMPRODUCT(($AM$11:$AM1207&lt;&gt;"")*($AS$11:$AS1207&lt;&gt;"✓")),"")</f>
        <v/>
      </c>
      <c r="AZ1207" s="21" t="str">
        <f>IF(AND($AM1207&lt;&gt;"",$AS1207="✓"),SUMPRODUCT(($AM$11:$AM1207&lt;&gt;"")*($AS$11:$AS1207="✓")),"")</f>
        <v/>
      </c>
      <c r="BA1207" s="21" t="str">
        <f>IF($AL1207="","",$AL1207&amp;"|"&amp;COUNTIF($AL$11:$AL1207,$AL1207))</f>
        <v/>
      </c>
    </row>
    <row r="1208" spans="38:53" ht="15" customHeight="1" x14ac:dyDescent="0.25">
      <c r="AL1208" s="31"/>
      <c r="AM1208" s="26"/>
      <c r="AN1208" s="32"/>
      <c r="AO1208" s="32"/>
      <c r="AP1208" s="24"/>
      <c r="AQ1208" s="24"/>
      <c r="AR1208" s="33"/>
      <c r="AS1208" s="34"/>
      <c r="AT1208" s="33"/>
      <c r="AV1208" s="21">
        <f>IF(AND($AL1208&lt;&gt;"",COUNTIF($AL$11:$AL1208,$AL1208)=1),1,0)</f>
        <v>0</v>
      </c>
      <c r="AW1208" s="21">
        <f t="shared" si="123"/>
        <v>2</v>
      </c>
      <c r="AX1208" s="21" t="str">
        <f t="shared" si="122"/>
        <v/>
      </c>
      <c r="AY1208" s="21" t="str">
        <f>IF(AND($AM1208&lt;&gt;"",$AS1208&lt;&gt;"✓"),SUMPRODUCT(($AM$11:$AM1208&lt;&gt;"")*($AS$11:$AS1208&lt;&gt;"✓")),"")</f>
        <v/>
      </c>
      <c r="AZ1208" s="21" t="str">
        <f>IF(AND($AM1208&lt;&gt;"",$AS1208="✓"),SUMPRODUCT(($AM$11:$AM1208&lt;&gt;"")*($AS$11:$AS1208="✓")),"")</f>
        <v/>
      </c>
      <c r="BA1208" s="21" t="str">
        <f>IF($AL1208="","",$AL1208&amp;"|"&amp;COUNTIF($AL$11:$AL1208,$AL1208))</f>
        <v/>
      </c>
    </row>
    <row r="1209" spans="38:53" ht="15" customHeight="1" x14ac:dyDescent="0.25">
      <c r="AL1209" s="17"/>
      <c r="AM1209" s="12"/>
      <c r="AN1209" s="18"/>
      <c r="AO1209" s="18"/>
      <c r="AP1209" s="10"/>
      <c r="AQ1209" s="10"/>
      <c r="AR1209" s="19"/>
      <c r="AS1209" s="20"/>
      <c r="AT1209" s="19"/>
      <c r="AV1209" s="21">
        <f>IF(AND($AL1209&lt;&gt;"",COUNTIF($AL$11:$AL1209,$AL1209)=1),1,0)</f>
        <v>0</v>
      </c>
      <c r="AW1209" s="21">
        <f t="shared" si="123"/>
        <v>2</v>
      </c>
      <c r="AX1209" s="21" t="str">
        <f t="shared" si="122"/>
        <v/>
      </c>
      <c r="AY1209" s="21" t="str">
        <f>IF(AND($AM1209&lt;&gt;"",$AS1209&lt;&gt;"✓"),SUMPRODUCT(($AM$11:$AM1209&lt;&gt;"")*($AS$11:$AS1209&lt;&gt;"✓")),"")</f>
        <v/>
      </c>
      <c r="AZ1209" s="21" t="str">
        <f>IF(AND($AM1209&lt;&gt;"",$AS1209="✓"),SUMPRODUCT(($AM$11:$AM1209&lt;&gt;"")*($AS$11:$AS1209="✓")),"")</f>
        <v/>
      </c>
      <c r="BA1209" s="21" t="str">
        <f>IF($AL1209="","",$AL1209&amp;"|"&amp;COUNTIF($AL$11:$AL1209,$AL1209))</f>
        <v/>
      </c>
    </row>
    <row r="1210" spans="38:53" ht="15" customHeight="1" x14ac:dyDescent="0.25">
      <c r="AL1210" s="31"/>
      <c r="AM1210" s="26"/>
      <c r="AN1210" s="32"/>
      <c r="AO1210" s="32"/>
      <c r="AP1210" s="24"/>
      <c r="AQ1210" s="24"/>
      <c r="AR1210" s="33"/>
      <c r="AS1210" s="34"/>
      <c r="AT1210" s="33"/>
      <c r="AV1210" s="21">
        <f>IF(AND($AL1210&lt;&gt;"",COUNTIF($AL$11:$AL1210,$AL1210)=1),1,0)</f>
        <v>0</v>
      </c>
      <c r="AW1210" s="21">
        <f t="shared" si="123"/>
        <v>2</v>
      </c>
      <c r="AX1210" s="21" t="str">
        <f t="shared" si="122"/>
        <v/>
      </c>
      <c r="AY1210" s="21" t="str">
        <f>IF(AND($AM1210&lt;&gt;"",$AS1210&lt;&gt;"✓"),SUMPRODUCT(($AM$11:$AM1210&lt;&gt;"")*($AS$11:$AS1210&lt;&gt;"✓")),"")</f>
        <v/>
      </c>
      <c r="AZ1210" s="21" t="str">
        <f>IF(AND($AM1210&lt;&gt;"",$AS1210="✓"),SUMPRODUCT(($AM$11:$AM1210&lt;&gt;"")*($AS$11:$AS1210="✓")),"")</f>
        <v/>
      </c>
      <c r="BA1210" s="21" t="str">
        <f>IF($AL1210="","",$AL1210&amp;"|"&amp;COUNTIF($AL$11:$AL1210,$AL1210))</f>
        <v/>
      </c>
    </row>
    <row r="1211" spans="38:53" ht="15" customHeight="1" x14ac:dyDescent="0.25">
      <c r="AL1211" s="17"/>
      <c r="AM1211" s="12"/>
      <c r="AN1211" s="18"/>
      <c r="AO1211" s="18"/>
      <c r="AP1211" s="10"/>
      <c r="AQ1211" s="10"/>
      <c r="AR1211" s="19"/>
      <c r="AS1211" s="20"/>
      <c r="AT1211" s="19"/>
      <c r="AV1211" s="21">
        <f>IF(AND($AL1211&lt;&gt;"",COUNTIF($AL$11:$AL1211,$AL1211)=1),1,0)</f>
        <v>0</v>
      </c>
      <c r="AW1211" s="21">
        <f t="shared" si="123"/>
        <v>2</v>
      </c>
      <c r="AX1211" s="21" t="str">
        <f t="shared" si="122"/>
        <v/>
      </c>
      <c r="AY1211" s="21" t="str">
        <f>IF(AND($AM1211&lt;&gt;"",$AS1211&lt;&gt;"✓"),SUMPRODUCT(($AM$11:$AM1211&lt;&gt;"")*($AS$11:$AS1211&lt;&gt;"✓")),"")</f>
        <v/>
      </c>
      <c r="AZ1211" s="21" t="str">
        <f>IF(AND($AM1211&lt;&gt;"",$AS1211="✓"),SUMPRODUCT(($AM$11:$AM1211&lt;&gt;"")*($AS$11:$AS1211="✓")),"")</f>
        <v/>
      </c>
      <c r="BA1211" s="21" t="str">
        <f>IF($AL1211="","",$AL1211&amp;"|"&amp;COUNTIF($AL$11:$AL1211,$AL1211))</f>
        <v/>
      </c>
    </row>
    <row r="1212" spans="38:53" ht="15" customHeight="1" x14ac:dyDescent="0.25">
      <c r="AL1212" s="31"/>
      <c r="AM1212" s="26"/>
      <c r="AN1212" s="32"/>
      <c r="AO1212" s="32"/>
      <c r="AP1212" s="24"/>
      <c r="AQ1212" s="24"/>
      <c r="AR1212" s="33"/>
      <c r="AS1212" s="34"/>
      <c r="AT1212" s="33"/>
      <c r="AV1212" s="21">
        <f>IF(AND($AL1212&lt;&gt;"",COUNTIF($AL$11:$AL1212,$AL1212)=1),1,0)</f>
        <v>0</v>
      </c>
      <c r="AW1212" s="21">
        <f t="shared" si="123"/>
        <v>2</v>
      </c>
      <c r="AX1212" s="21" t="str">
        <f t="shared" si="122"/>
        <v/>
      </c>
      <c r="AY1212" s="21" t="str">
        <f>IF(AND($AM1212&lt;&gt;"",$AS1212&lt;&gt;"✓"),SUMPRODUCT(($AM$11:$AM1212&lt;&gt;"")*($AS$11:$AS1212&lt;&gt;"✓")),"")</f>
        <v/>
      </c>
      <c r="AZ1212" s="21" t="str">
        <f>IF(AND($AM1212&lt;&gt;"",$AS1212="✓"),SUMPRODUCT(($AM$11:$AM1212&lt;&gt;"")*($AS$11:$AS1212="✓")),"")</f>
        <v/>
      </c>
      <c r="BA1212" s="21" t="str">
        <f>IF($AL1212="","",$AL1212&amp;"|"&amp;COUNTIF($AL$11:$AL1212,$AL1212))</f>
        <v/>
      </c>
    </row>
    <row r="1213" spans="38:53" ht="15" customHeight="1" x14ac:dyDescent="0.25">
      <c r="AL1213" s="17"/>
      <c r="AM1213" s="12"/>
      <c r="AN1213" s="18"/>
      <c r="AO1213" s="18"/>
      <c r="AP1213" s="10"/>
      <c r="AQ1213" s="10"/>
      <c r="AR1213" s="19"/>
      <c r="AS1213" s="20"/>
      <c r="AT1213" s="19"/>
      <c r="AV1213" s="21">
        <f>IF(AND($AL1213&lt;&gt;"",COUNTIF($AL$11:$AL1213,$AL1213)=1),1,0)</f>
        <v>0</v>
      </c>
      <c r="AW1213" s="21">
        <f t="shared" si="123"/>
        <v>2</v>
      </c>
      <c r="AX1213" s="21" t="str">
        <f t="shared" si="122"/>
        <v/>
      </c>
      <c r="AY1213" s="21" t="str">
        <f>IF(AND($AM1213&lt;&gt;"",$AS1213&lt;&gt;"✓"),SUMPRODUCT(($AM$11:$AM1213&lt;&gt;"")*($AS$11:$AS1213&lt;&gt;"✓")),"")</f>
        <v/>
      </c>
      <c r="AZ1213" s="21" t="str">
        <f>IF(AND($AM1213&lt;&gt;"",$AS1213="✓"),SUMPRODUCT(($AM$11:$AM1213&lt;&gt;"")*($AS$11:$AS1213="✓")),"")</f>
        <v/>
      </c>
      <c r="BA1213" s="21" t="str">
        <f>IF($AL1213="","",$AL1213&amp;"|"&amp;COUNTIF($AL$11:$AL1213,$AL1213))</f>
        <v/>
      </c>
    </row>
    <row r="1214" spans="38:53" ht="15" customHeight="1" x14ac:dyDescent="0.25">
      <c r="AL1214" s="31"/>
      <c r="AM1214" s="26"/>
      <c r="AN1214" s="32"/>
      <c r="AO1214" s="32"/>
      <c r="AP1214" s="24"/>
      <c r="AQ1214" s="24"/>
      <c r="AR1214" s="33"/>
      <c r="AS1214" s="34"/>
      <c r="AT1214" s="33"/>
      <c r="AV1214" s="21">
        <f>IF(AND($AL1214&lt;&gt;"",COUNTIF($AL$11:$AL1214,$AL1214)=1),1,0)</f>
        <v>0</v>
      </c>
      <c r="AW1214" s="21">
        <f t="shared" si="123"/>
        <v>2</v>
      </c>
      <c r="AX1214" s="21" t="str">
        <f t="shared" si="122"/>
        <v/>
      </c>
      <c r="AY1214" s="21" t="str">
        <f>IF(AND($AM1214&lt;&gt;"",$AS1214&lt;&gt;"✓"),SUMPRODUCT(($AM$11:$AM1214&lt;&gt;"")*($AS$11:$AS1214&lt;&gt;"✓")),"")</f>
        <v/>
      </c>
      <c r="AZ1214" s="21" t="str">
        <f>IF(AND($AM1214&lt;&gt;"",$AS1214="✓"),SUMPRODUCT(($AM$11:$AM1214&lt;&gt;"")*($AS$11:$AS1214="✓")),"")</f>
        <v/>
      </c>
      <c r="BA1214" s="21" t="str">
        <f>IF($AL1214="","",$AL1214&amp;"|"&amp;COUNTIF($AL$11:$AL1214,$AL1214))</f>
        <v/>
      </c>
    </row>
    <row r="1215" spans="38:53" ht="15" customHeight="1" x14ac:dyDescent="0.25">
      <c r="AL1215" s="17"/>
      <c r="AM1215" s="12"/>
      <c r="AN1215" s="18"/>
      <c r="AO1215" s="18"/>
      <c r="AP1215" s="10"/>
      <c r="AQ1215" s="10"/>
      <c r="AR1215" s="19"/>
      <c r="AS1215" s="20"/>
      <c r="AT1215" s="19"/>
      <c r="AV1215" s="21">
        <f>IF(AND($AL1215&lt;&gt;"",COUNTIF($AL$11:$AL1215,$AL1215)=1),1,0)</f>
        <v>0</v>
      </c>
      <c r="AW1215" s="21">
        <f t="shared" si="123"/>
        <v>2</v>
      </c>
      <c r="AX1215" s="21" t="str">
        <f t="shared" si="122"/>
        <v/>
      </c>
      <c r="AY1215" s="21" t="str">
        <f>IF(AND($AM1215&lt;&gt;"",$AS1215&lt;&gt;"✓"),SUMPRODUCT(($AM$11:$AM1215&lt;&gt;"")*($AS$11:$AS1215&lt;&gt;"✓")),"")</f>
        <v/>
      </c>
      <c r="AZ1215" s="21" t="str">
        <f>IF(AND($AM1215&lt;&gt;"",$AS1215="✓"),SUMPRODUCT(($AM$11:$AM1215&lt;&gt;"")*($AS$11:$AS1215="✓")),"")</f>
        <v/>
      </c>
      <c r="BA1215" s="21" t="str">
        <f>IF($AL1215="","",$AL1215&amp;"|"&amp;COUNTIF($AL$11:$AL1215,$AL1215))</f>
        <v/>
      </c>
    </row>
    <row r="1216" spans="38:53" ht="15" customHeight="1" x14ac:dyDescent="0.25">
      <c r="AL1216" s="31"/>
      <c r="AM1216" s="26"/>
      <c r="AN1216" s="32"/>
      <c r="AO1216" s="32"/>
      <c r="AP1216" s="24"/>
      <c r="AQ1216" s="24"/>
      <c r="AR1216" s="33"/>
      <c r="AS1216" s="34"/>
      <c r="AT1216" s="33"/>
      <c r="AV1216" s="21">
        <f>IF(AND($AL1216&lt;&gt;"",COUNTIF($AL$11:$AL1216,$AL1216)=1),1,0)</f>
        <v>0</v>
      </c>
      <c r="AW1216" s="21">
        <f t="shared" si="123"/>
        <v>2</v>
      </c>
      <c r="AX1216" s="21" t="str">
        <f t="shared" si="122"/>
        <v/>
      </c>
      <c r="AY1216" s="21" t="str">
        <f>IF(AND($AM1216&lt;&gt;"",$AS1216&lt;&gt;"✓"),SUMPRODUCT(($AM$11:$AM1216&lt;&gt;"")*($AS$11:$AS1216&lt;&gt;"✓")),"")</f>
        <v/>
      </c>
      <c r="AZ1216" s="21" t="str">
        <f>IF(AND($AM1216&lt;&gt;"",$AS1216="✓"),SUMPRODUCT(($AM$11:$AM1216&lt;&gt;"")*($AS$11:$AS1216="✓")),"")</f>
        <v/>
      </c>
      <c r="BA1216" s="21" t="str">
        <f>IF($AL1216="","",$AL1216&amp;"|"&amp;COUNTIF($AL$11:$AL1216,$AL1216))</f>
        <v/>
      </c>
    </row>
    <row r="1217" spans="38:53" ht="15" customHeight="1" x14ac:dyDescent="0.25">
      <c r="AL1217" s="17"/>
      <c r="AM1217" s="12"/>
      <c r="AN1217" s="18"/>
      <c r="AO1217" s="18"/>
      <c r="AP1217" s="10"/>
      <c r="AQ1217" s="10"/>
      <c r="AR1217" s="19"/>
      <c r="AS1217" s="20"/>
      <c r="AT1217" s="19"/>
      <c r="AV1217" s="21">
        <f>IF(AND($AL1217&lt;&gt;"",COUNTIF($AL$11:$AL1217,$AL1217)=1),1,0)</f>
        <v>0</v>
      </c>
      <c r="AW1217" s="21">
        <f t="shared" si="123"/>
        <v>2</v>
      </c>
      <c r="AX1217" s="21" t="str">
        <f t="shared" si="122"/>
        <v/>
      </c>
      <c r="AY1217" s="21" t="str">
        <f>IF(AND($AM1217&lt;&gt;"",$AS1217&lt;&gt;"✓"),SUMPRODUCT(($AM$11:$AM1217&lt;&gt;"")*($AS$11:$AS1217&lt;&gt;"✓")),"")</f>
        <v/>
      </c>
      <c r="AZ1217" s="21" t="str">
        <f>IF(AND($AM1217&lt;&gt;"",$AS1217="✓"),SUMPRODUCT(($AM$11:$AM1217&lt;&gt;"")*($AS$11:$AS1217="✓")),"")</f>
        <v/>
      </c>
      <c r="BA1217" s="21" t="str">
        <f>IF($AL1217="","",$AL1217&amp;"|"&amp;COUNTIF($AL$11:$AL1217,$AL1217))</f>
        <v/>
      </c>
    </row>
    <row r="1218" spans="38:53" ht="15" customHeight="1" x14ac:dyDescent="0.25">
      <c r="AL1218" s="31"/>
      <c r="AM1218" s="26"/>
      <c r="AN1218" s="32"/>
      <c r="AO1218" s="32"/>
      <c r="AP1218" s="24"/>
      <c r="AQ1218" s="24"/>
      <c r="AR1218" s="33"/>
      <c r="AS1218" s="34"/>
      <c r="AT1218" s="33"/>
      <c r="AV1218" s="21">
        <f>IF(AND($AL1218&lt;&gt;"",COUNTIF($AL$11:$AL1218,$AL1218)=1),1,0)</f>
        <v>0</v>
      </c>
      <c r="AW1218" s="21">
        <f t="shared" si="123"/>
        <v>2</v>
      </c>
      <c r="AX1218" s="21" t="str">
        <f t="shared" si="122"/>
        <v/>
      </c>
      <c r="AY1218" s="21" t="str">
        <f>IF(AND($AM1218&lt;&gt;"",$AS1218&lt;&gt;"✓"),SUMPRODUCT(($AM$11:$AM1218&lt;&gt;"")*($AS$11:$AS1218&lt;&gt;"✓")),"")</f>
        <v/>
      </c>
      <c r="AZ1218" s="21" t="str">
        <f>IF(AND($AM1218&lt;&gt;"",$AS1218="✓"),SUMPRODUCT(($AM$11:$AM1218&lt;&gt;"")*($AS$11:$AS1218="✓")),"")</f>
        <v/>
      </c>
      <c r="BA1218" s="21" t="str">
        <f>IF($AL1218="","",$AL1218&amp;"|"&amp;COUNTIF($AL$11:$AL1218,$AL1218))</f>
        <v/>
      </c>
    </row>
    <row r="1219" spans="38:53" ht="15" customHeight="1" x14ac:dyDescent="0.25">
      <c r="AL1219" s="17"/>
      <c r="AM1219" s="12"/>
      <c r="AN1219" s="18"/>
      <c r="AO1219" s="18"/>
      <c r="AP1219" s="10"/>
      <c r="AQ1219" s="10"/>
      <c r="AR1219" s="19"/>
      <c r="AS1219" s="20"/>
      <c r="AT1219" s="19"/>
      <c r="AV1219" s="21">
        <f>IF(AND($AL1219&lt;&gt;"",COUNTIF($AL$11:$AL1219,$AL1219)=1),1,0)</f>
        <v>0</v>
      </c>
      <c r="AW1219" s="21">
        <f t="shared" si="123"/>
        <v>2</v>
      </c>
      <c r="AX1219" s="21" t="str">
        <f t="shared" si="122"/>
        <v/>
      </c>
      <c r="AY1219" s="21" t="str">
        <f>IF(AND($AM1219&lt;&gt;"",$AS1219&lt;&gt;"✓"),SUMPRODUCT(($AM$11:$AM1219&lt;&gt;"")*($AS$11:$AS1219&lt;&gt;"✓")),"")</f>
        <v/>
      </c>
      <c r="AZ1219" s="21" t="str">
        <f>IF(AND($AM1219&lt;&gt;"",$AS1219="✓"),SUMPRODUCT(($AM$11:$AM1219&lt;&gt;"")*($AS$11:$AS1219="✓")),"")</f>
        <v/>
      </c>
      <c r="BA1219" s="21" t="str">
        <f>IF($AL1219="","",$AL1219&amp;"|"&amp;COUNTIF($AL$11:$AL1219,$AL1219))</f>
        <v/>
      </c>
    </row>
    <row r="1220" spans="38:53" ht="15" customHeight="1" x14ac:dyDescent="0.25">
      <c r="AL1220" s="31"/>
      <c r="AM1220" s="26"/>
      <c r="AN1220" s="32"/>
      <c r="AO1220" s="32"/>
      <c r="AP1220" s="24"/>
      <c r="AQ1220" s="24"/>
      <c r="AR1220" s="33"/>
      <c r="AS1220" s="34"/>
      <c r="AT1220" s="33"/>
      <c r="AV1220" s="21">
        <f>IF(AND($AL1220&lt;&gt;"",COUNTIF($AL$11:$AL1220,$AL1220)=1),1,0)</f>
        <v>0</v>
      </c>
      <c r="AW1220" s="21">
        <f t="shared" si="123"/>
        <v>2</v>
      </c>
      <c r="AX1220" s="21" t="str">
        <f t="shared" si="122"/>
        <v/>
      </c>
      <c r="AY1220" s="21" t="str">
        <f>IF(AND($AM1220&lt;&gt;"",$AS1220&lt;&gt;"✓"),SUMPRODUCT(($AM$11:$AM1220&lt;&gt;"")*($AS$11:$AS1220&lt;&gt;"✓")),"")</f>
        <v/>
      </c>
      <c r="AZ1220" s="21" t="str">
        <f>IF(AND($AM1220&lt;&gt;"",$AS1220="✓"),SUMPRODUCT(($AM$11:$AM1220&lt;&gt;"")*($AS$11:$AS1220="✓")),"")</f>
        <v/>
      </c>
      <c r="BA1220" s="21" t="str">
        <f>IF($AL1220="","",$AL1220&amp;"|"&amp;COUNTIF($AL$11:$AL1220,$AL1220))</f>
        <v/>
      </c>
    </row>
    <row r="1221" spans="38:53" ht="15" customHeight="1" x14ac:dyDescent="0.25">
      <c r="AL1221" s="17"/>
      <c r="AM1221" s="12"/>
      <c r="AN1221" s="18"/>
      <c r="AO1221" s="18"/>
      <c r="AP1221" s="10"/>
      <c r="AQ1221" s="10"/>
      <c r="AR1221" s="19"/>
      <c r="AS1221" s="20"/>
      <c r="AT1221" s="19"/>
      <c r="AV1221" s="21">
        <f>IF(AND($AL1221&lt;&gt;"",COUNTIF($AL$11:$AL1221,$AL1221)=1),1,0)</f>
        <v>0</v>
      </c>
      <c r="AW1221" s="21">
        <f t="shared" si="123"/>
        <v>2</v>
      </c>
      <c r="AX1221" s="21" t="str">
        <f t="shared" si="122"/>
        <v/>
      </c>
      <c r="AY1221" s="21" t="str">
        <f>IF(AND($AM1221&lt;&gt;"",$AS1221&lt;&gt;"✓"),SUMPRODUCT(($AM$11:$AM1221&lt;&gt;"")*($AS$11:$AS1221&lt;&gt;"✓")),"")</f>
        <v/>
      </c>
      <c r="AZ1221" s="21" t="str">
        <f>IF(AND($AM1221&lt;&gt;"",$AS1221="✓"),SUMPRODUCT(($AM$11:$AM1221&lt;&gt;"")*($AS$11:$AS1221="✓")),"")</f>
        <v/>
      </c>
      <c r="BA1221" s="21" t="str">
        <f>IF($AL1221="","",$AL1221&amp;"|"&amp;COUNTIF($AL$11:$AL1221,$AL1221))</f>
        <v/>
      </c>
    </row>
    <row r="1222" spans="38:53" ht="15" customHeight="1" x14ac:dyDescent="0.25">
      <c r="AL1222" s="31"/>
      <c r="AM1222" s="26"/>
      <c r="AN1222" s="32"/>
      <c r="AO1222" s="32"/>
      <c r="AP1222" s="24"/>
      <c r="AQ1222" s="24"/>
      <c r="AR1222" s="33"/>
      <c r="AS1222" s="34"/>
      <c r="AT1222" s="33"/>
      <c r="AV1222" s="21">
        <f>IF(AND($AL1222&lt;&gt;"",COUNTIF($AL$11:$AL1222,$AL1222)=1),1,0)</f>
        <v>0</v>
      </c>
      <c r="AW1222" s="21">
        <f t="shared" si="123"/>
        <v>2</v>
      </c>
      <c r="AX1222" s="21" t="str">
        <f t="shared" si="122"/>
        <v/>
      </c>
      <c r="AY1222" s="21" t="str">
        <f>IF(AND($AM1222&lt;&gt;"",$AS1222&lt;&gt;"✓"),SUMPRODUCT(($AM$11:$AM1222&lt;&gt;"")*($AS$11:$AS1222&lt;&gt;"✓")),"")</f>
        <v/>
      </c>
      <c r="AZ1222" s="21" t="str">
        <f>IF(AND($AM1222&lt;&gt;"",$AS1222="✓"),SUMPRODUCT(($AM$11:$AM1222&lt;&gt;"")*($AS$11:$AS1222="✓")),"")</f>
        <v/>
      </c>
      <c r="BA1222" s="21" t="str">
        <f>IF($AL1222="","",$AL1222&amp;"|"&amp;COUNTIF($AL$11:$AL1222,$AL1222))</f>
        <v/>
      </c>
    </row>
    <row r="1223" spans="38:53" ht="15" customHeight="1" x14ac:dyDescent="0.25">
      <c r="AL1223" s="17"/>
      <c r="AM1223" s="12"/>
      <c r="AN1223" s="18"/>
      <c r="AO1223" s="18"/>
      <c r="AP1223" s="10"/>
      <c r="AQ1223" s="10"/>
      <c r="AR1223" s="19"/>
      <c r="AS1223" s="20"/>
      <c r="AT1223" s="19"/>
      <c r="AV1223" s="21">
        <f>IF(AND($AL1223&lt;&gt;"",COUNTIF($AL$11:$AL1223,$AL1223)=1),1,0)</f>
        <v>0</v>
      </c>
      <c r="AW1223" s="21">
        <f t="shared" si="123"/>
        <v>2</v>
      </c>
      <c r="AX1223" s="21" t="str">
        <f t="shared" si="122"/>
        <v/>
      </c>
      <c r="AY1223" s="21" t="str">
        <f>IF(AND($AM1223&lt;&gt;"",$AS1223&lt;&gt;"✓"),SUMPRODUCT(($AM$11:$AM1223&lt;&gt;"")*($AS$11:$AS1223&lt;&gt;"✓")),"")</f>
        <v/>
      </c>
      <c r="AZ1223" s="21" t="str">
        <f>IF(AND($AM1223&lt;&gt;"",$AS1223="✓"),SUMPRODUCT(($AM$11:$AM1223&lt;&gt;"")*($AS$11:$AS1223="✓")),"")</f>
        <v/>
      </c>
      <c r="BA1223" s="21" t="str">
        <f>IF($AL1223="","",$AL1223&amp;"|"&amp;COUNTIF($AL$11:$AL1223,$AL1223))</f>
        <v/>
      </c>
    </row>
    <row r="1224" spans="38:53" ht="15" customHeight="1" x14ac:dyDescent="0.25">
      <c r="AL1224" s="31"/>
      <c r="AM1224" s="26"/>
      <c r="AN1224" s="32"/>
      <c r="AO1224" s="32"/>
      <c r="AP1224" s="24"/>
      <c r="AQ1224" s="24"/>
      <c r="AR1224" s="33"/>
      <c r="AS1224" s="34"/>
      <c r="AT1224" s="33"/>
      <c r="AV1224" s="21">
        <f>IF(AND($AL1224&lt;&gt;"",COUNTIF($AL$11:$AL1224,$AL1224)=1),1,0)</f>
        <v>0</v>
      </c>
      <c r="AW1224" s="21">
        <f t="shared" si="123"/>
        <v>2</v>
      </c>
      <c r="AX1224" s="21" t="str">
        <f t="shared" si="122"/>
        <v/>
      </c>
      <c r="AY1224" s="21" t="str">
        <f>IF(AND($AM1224&lt;&gt;"",$AS1224&lt;&gt;"✓"),SUMPRODUCT(($AM$11:$AM1224&lt;&gt;"")*($AS$11:$AS1224&lt;&gt;"✓")),"")</f>
        <v/>
      </c>
      <c r="AZ1224" s="21" t="str">
        <f>IF(AND($AM1224&lt;&gt;"",$AS1224="✓"),SUMPRODUCT(($AM$11:$AM1224&lt;&gt;"")*($AS$11:$AS1224="✓")),"")</f>
        <v/>
      </c>
      <c r="BA1224" s="21" t="str">
        <f>IF($AL1224="","",$AL1224&amp;"|"&amp;COUNTIF($AL$11:$AL1224,$AL1224))</f>
        <v/>
      </c>
    </row>
    <row r="1225" spans="38:53" ht="15" customHeight="1" x14ac:dyDescent="0.25">
      <c r="AL1225" s="17"/>
      <c r="AM1225" s="12"/>
      <c r="AN1225" s="18"/>
      <c r="AO1225" s="18"/>
      <c r="AP1225" s="10"/>
      <c r="AQ1225" s="10"/>
      <c r="AR1225" s="19"/>
      <c r="AS1225" s="20"/>
      <c r="AT1225" s="19"/>
      <c r="AV1225" s="21">
        <f>IF(AND($AL1225&lt;&gt;"",COUNTIF($AL$11:$AL1225,$AL1225)=1),1,0)</f>
        <v>0</v>
      </c>
      <c r="AW1225" s="21">
        <f t="shared" si="123"/>
        <v>2</v>
      </c>
      <c r="AX1225" s="21" t="str">
        <f t="shared" si="122"/>
        <v/>
      </c>
      <c r="AY1225" s="21" t="str">
        <f>IF(AND($AM1225&lt;&gt;"",$AS1225&lt;&gt;"✓"),SUMPRODUCT(($AM$11:$AM1225&lt;&gt;"")*($AS$11:$AS1225&lt;&gt;"✓")),"")</f>
        <v/>
      </c>
      <c r="AZ1225" s="21" t="str">
        <f>IF(AND($AM1225&lt;&gt;"",$AS1225="✓"),SUMPRODUCT(($AM$11:$AM1225&lt;&gt;"")*($AS$11:$AS1225="✓")),"")</f>
        <v/>
      </c>
      <c r="BA1225" s="21" t="str">
        <f>IF($AL1225="","",$AL1225&amp;"|"&amp;COUNTIF($AL$11:$AL1225,$AL1225))</f>
        <v/>
      </c>
    </row>
    <row r="1226" spans="38:53" ht="15" customHeight="1" x14ac:dyDescent="0.25">
      <c r="AL1226" s="31"/>
      <c r="AM1226" s="26"/>
      <c r="AN1226" s="32"/>
      <c r="AO1226" s="32"/>
      <c r="AP1226" s="24"/>
      <c r="AQ1226" s="24"/>
      <c r="AR1226" s="33"/>
      <c r="AS1226" s="34"/>
      <c r="AT1226" s="33"/>
      <c r="AV1226" s="21">
        <f>IF(AND($AL1226&lt;&gt;"",COUNTIF($AL$11:$AL1226,$AL1226)=1),1,0)</f>
        <v>0</v>
      </c>
      <c r="AW1226" s="21">
        <f t="shared" si="123"/>
        <v>2</v>
      </c>
      <c r="AX1226" s="21" t="str">
        <f t="shared" si="122"/>
        <v/>
      </c>
      <c r="AY1226" s="21" t="str">
        <f>IF(AND($AM1226&lt;&gt;"",$AS1226&lt;&gt;"✓"),SUMPRODUCT(($AM$11:$AM1226&lt;&gt;"")*($AS$11:$AS1226&lt;&gt;"✓")),"")</f>
        <v/>
      </c>
      <c r="AZ1226" s="21" t="str">
        <f>IF(AND($AM1226&lt;&gt;"",$AS1226="✓"),SUMPRODUCT(($AM$11:$AM1226&lt;&gt;"")*($AS$11:$AS1226="✓")),"")</f>
        <v/>
      </c>
      <c r="BA1226" s="21" t="str">
        <f>IF($AL1226="","",$AL1226&amp;"|"&amp;COUNTIF($AL$11:$AL1226,$AL1226))</f>
        <v/>
      </c>
    </row>
    <row r="1227" spans="38:53" ht="15" customHeight="1" x14ac:dyDescent="0.25">
      <c r="AL1227" s="17"/>
      <c r="AM1227" s="12"/>
      <c r="AN1227" s="18"/>
      <c r="AO1227" s="18"/>
      <c r="AP1227" s="10"/>
      <c r="AQ1227" s="10"/>
      <c r="AR1227" s="19"/>
      <c r="AS1227" s="20"/>
      <c r="AT1227" s="19"/>
      <c r="AV1227" s="21">
        <f>IF(AND($AL1227&lt;&gt;"",COUNTIF($AL$11:$AL1227,$AL1227)=1),1,0)</f>
        <v>0</v>
      </c>
      <c r="AW1227" s="21">
        <f t="shared" si="123"/>
        <v>2</v>
      </c>
      <c r="AX1227" s="21" t="str">
        <f t="shared" ref="AX1227:AX1290" si="124">IF(AV1227=1,AW1227,"")</f>
        <v/>
      </c>
      <c r="AY1227" s="21" t="str">
        <f>IF(AND($AM1227&lt;&gt;"",$AS1227&lt;&gt;"✓"),SUMPRODUCT(($AM$11:$AM1227&lt;&gt;"")*($AS$11:$AS1227&lt;&gt;"✓")),"")</f>
        <v/>
      </c>
      <c r="AZ1227" s="21" t="str">
        <f>IF(AND($AM1227&lt;&gt;"",$AS1227="✓"),SUMPRODUCT(($AM$11:$AM1227&lt;&gt;"")*($AS$11:$AS1227="✓")),"")</f>
        <v/>
      </c>
      <c r="BA1227" s="21" t="str">
        <f>IF($AL1227="","",$AL1227&amp;"|"&amp;COUNTIF($AL$11:$AL1227,$AL1227))</f>
        <v/>
      </c>
    </row>
    <row r="1228" spans="38:53" ht="15" customHeight="1" x14ac:dyDescent="0.25">
      <c r="AL1228" s="31"/>
      <c r="AM1228" s="26"/>
      <c r="AN1228" s="32"/>
      <c r="AO1228" s="32"/>
      <c r="AP1228" s="24"/>
      <c r="AQ1228" s="24"/>
      <c r="AR1228" s="33"/>
      <c r="AS1228" s="34"/>
      <c r="AT1228" s="33"/>
      <c r="AV1228" s="21">
        <f>IF(AND($AL1228&lt;&gt;"",COUNTIF($AL$11:$AL1228,$AL1228)=1),1,0)</f>
        <v>0</v>
      </c>
      <c r="AW1228" s="21">
        <f t="shared" ref="AW1228:AW1291" si="125">AW1227+AV1228</f>
        <v>2</v>
      </c>
      <c r="AX1228" s="21" t="str">
        <f t="shared" si="124"/>
        <v/>
      </c>
      <c r="AY1228" s="21" t="str">
        <f>IF(AND($AM1228&lt;&gt;"",$AS1228&lt;&gt;"✓"),SUMPRODUCT(($AM$11:$AM1228&lt;&gt;"")*($AS$11:$AS1228&lt;&gt;"✓")),"")</f>
        <v/>
      </c>
      <c r="AZ1228" s="21" t="str">
        <f>IF(AND($AM1228&lt;&gt;"",$AS1228="✓"),SUMPRODUCT(($AM$11:$AM1228&lt;&gt;"")*($AS$11:$AS1228="✓")),"")</f>
        <v/>
      </c>
      <c r="BA1228" s="21" t="str">
        <f>IF($AL1228="","",$AL1228&amp;"|"&amp;COUNTIF($AL$11:$AL1228,$AL1228))</f>
        <v/>
      </c>
    </row>
    <row r="1229" spans="38:53" ht="15" customHeight="1" x14ac:dyDescent="0.25">
      <c r="AL1229" s="17"/>
      <c r="AM1229" s="12"/>
      <c r="AN1229" s="18"/>
      <c r="AO1229" s="18"/>
      <c r="AP1229" s="10"/>
      <c r="AQ1229" s="10"/>
      <c r="AR1229" s="19"/>
      <c r="AS1229" s="20"/>
      <c r="AT1229" s="19"/>
      <c r="AV1229" s="21">
        <f>IF(AND($AL1229&lt;&gt;"",COUNTIF($AL$11:$AL1229,$AL1229)=1),1,0)</f>
        <v>0</v>
      </c>
      <c r="AW1229" s="21">
        <f t="shared" si="125"/>
        <v>2</v>
      </c>
      <c r="AX1229" s="21" t="str">
        <f t="shared" si="124"/>
        <v/>
      </c>
      <c r="AY1229" s="21" t="str">
        <f>IF(AND($AM1229&lt;&gt;"",$AS1229&lt;&gt;"✓"),SUMPRODUCT(($AM$11:$AM1229&lt;&gt;"")*($AS$11:$AS1229&lt;&gt;"✓")),"")</f>
        <v/>
      </c>
      <c r="AZ1229" s="21" t="str">
        <f>IF(AND($AM1229&lt;&gt;"",$AS1229="✓"),SUMPRODUCT(($AM$11:$AM1229&lt;&gt;"")*($AS$11:$AS1229="✓")),"")</f>
        <v/>
      </c>
      <c r="BA1229" s="21" t="str">
        <f>IF($AL1229="","",$AL1229&amp;"|"&amp;COUNTIF($AL$11:$AL1229,$AL1229))</f>
        <v/>
      </c>
    </row>
    <row r="1230" spans="38:53" ht="15" customHeight="1" x14ac:dyDescent="0.25">
      <c r="AL1230" s="31"/>
      <c r="AM1230" s="26"/>
      <c r="AN1230" s="32"/>
      <c r="AO1230" s="32"/>
      <c r="AP1230" s="24"/>
      <c r="AQ1230" s="24"/>
      <c r="AR1230" s="33"/>
      <c r="AS1230" s="34"/>
      <c r="AT1230" s="33"/>
      <c r="AV1230" s="21">
        <f>IF(AND($AL1230&lt;&gt;"",COUNTIF($AL$11:$AL1230,$AL1230)=1),1,0)</f>
        <v>0</v>
      </c>
      <c r="AW1230" s="21">
        <f t="shared" si="125"/>
        <v>2</v>
      </c>
      <c r="AX1230" s="21" t="str">
        <f t="shared" si="124"/>
        <v/>
      </c>
      <c r="AY1230" s="21" t="str">
        <f>IF(AND($AM1230&lt;&gt;"",$AS1230&lt;&gt;"✓"),SUMPRODUCT(($AM$11:$AM1230&lt;&gt;"")*($AS$11:$AS1230&lt;&gt;"✓")),"")</f>
        <v/>
      </c>
      <c r="AZ1230" s="21" t="str">
        <f>IF(AND($AM1230&lt;&gt;"",$AS1230="✓"),SUMPRODUCT(($AM$11:$AM1230&lt;&gt;"")*($AS$11:$AS1230="✓")),"")</f>
        <v/>
      </c>
      <c r="BA1230" s="21" t="str">
        <f>IF($AL1230="","",$AL1230&amp;"|"&amp;COUNTIF($AL$11:$AL1230,$AL1230))</f>
        <v/>
      </c>
    </row>
    <row r="1231" spans="38:53" ht="15" customHeight="1" x14ac:dyDescent="0.25">
      <c r="AL1231" s="17"/>
      <c r="AM1231" s="12"/>
      <c r="AN1231" s="18"/>
      <c r="AO1231" s="18"/>
      <c r="AP1231" s="10"/>
      <c r="AQ1231" s="10"/>
      <c r="AR1231" s="19"/>
      <c r="AS1231" s="20"/>
      <c r="AT1231" s="19"/>
      <c r="AV1231" s="21">
        <f>IF(AND($AL1231&lt;&gt;"",COUNTIF($AL$11:$AL1231,$AL1231)=1),1,0)</f>
        <v>0</v>
      </c>
      <c r="AW1231" s="21">
        <f t="shared" si="125"/>
        <v>2</v>
      </c>
      <c r="AX1231" s="21" t="str">
        <f t="shared" si="124"/>
        <v/>
      </c>
      <c r="AY1231" s="21" t="str">
        <f>IF(AND($AM1231&lt;&gt;"",$AS1231&lt;&gt;"✓"),SUMPRODUCT(($AM$11:$AM1231&lt;&gt;"")*($AS$11:$AS1231&lt;&gt;"✓")),"")</f>
        <v/>
      </c>
      <c r="AZ1231" s="21" t="str">
        <f>IF(AND($AM1231&lt;&gt;"",$AS1231="✓"),SUMPRODUCT(($AM$11:$AM1231&lt;&gt;"")*($AS$11:$AS1231="✓")),"")</f>
        <v/>
      </c>
      <c r="BA1231" s="21" t="str">
        <f>IF($AL1231="","",$AL1231&amp;"|"&amp;COUNTIF($AL$11:$AL1231,$AL1231))</f>
        <v/>
      </c>
    </row>
    <row r="1232" spans="38:53" ht="15" customHeight="1" x14ac:dyDescent="0.25">
      <c r="AL1232" s="31"/>
      <c r="AM1232" s="26"/>
      <c r="AN1232" s="32"/>
      <c r="AO1232" s="32"/>
      <c r="AP1232" s="24"/>
      <c r="AQ1232" s="24"/>
      <c r="AR1232" s="33"/>
      <c r="AS1232" s="34"/>
      <c r="AT1232" s="33"/>
      <c r="AV1232" s="21">
        <f>IF(AND($AL1232&lt;&gt;"",COUNTIF($AL$11:$AL1232,$AL1232)=1),1,0)</f>
        <v>0</v>
      </c>
      <c r="AW1232" s="21">
        <f t="shared" si="125"/>
        <v>2</v>
      </c>
      <c r="AX1232" s="21" t="str">
        <f t="shared" si="124"/>
        <v/>
      </c>
      <c r="AY1232" s="21" t="str">
        <f>IF(AND($AM1232&lt;&gt;"",$AS1232&lt;&gt;"✓"),SUMPRODUCT(($AM$11:$AM1232&lt;&gt;"")*($AS$11:$AS1232&lt;&gt;"✓")),"")</f>
        <v/>
      </c>
      <c r="AZ1232" s="21" t="str">
        <f>IF(AND($AM1232&lt;&gt;"",$AS1232="✓"),SUMPRODUCT(($AM$11:$AM1232&lt;&gt;"")*($AS$11:$AS1232="✓")),"")</f>
        <v/>
      </c>
      <c r="BA1232" s="21" t="str">
        <f>IF($AL1232="","",$AL1232&amp;"|"&amp;COUNTIF($AL$11:$AL1232,$AL1232))</f>
        <v/>
      </c>
    </row>
    <row r="1233" spans="38:53" ht="15" customHeight="1" x14ac:dyDescent="0.25">
      <c r="AL1233" s="17"/>
      <c r="AM1233" s="12"/>
      <c r="AN1233" s="18"/>
      <c r="AO1233" s="18"/>
      <c r="AP1233" s="10"/>
      <c r="AQ1233" s="10"/>
      <c r="AR1233" s="19"/>
      <c r="AS1233" s="20"/>
      <c r="AT1233" s="19"/>
      <c r="AV1233" s="21">
        <f>IF(AND($AL1233&lt;&gt;"",COUNTIF($AL$11:$AL1233,$AL1233)=1),1,0)</f>
        <v>0</v>
      </c>
      <c r="AW1233" s="21">
        <f t="shared" si="125"/>
        <v>2</v>
      </c>
      <c r="AX1233" s="21" t="str">
        <f t="shared" si="124"/>
        <v/>
      </c>
      <c r="AY1233" s="21" t="str">
        <f>IF(AND($AM1233&lt;&gt;"",$AS1233&lt;&gt;"✓"),SUMPRODUCT(($AM$11:$AM1233&lt;&gt;"")*($AS$11:$AS1233&lt;&gt;"✓")),"")</f>
        <v/>
      </c>
      <c r="AZ1233" s="21" t="str">
        <f>IF(AND($AM1233&lt;&gt;"",$AS1233="✓"),SUMPRODUCT(($AM$11:$AM1233&lt;&gt;"")*($AS$11:$AS1233="✓")),"")</f>
        <v/>
      </c>
      <c r="BA1233" s="21" t="str">
        <f>IF($AL1233="","",$AL1233&amp;"|"&amp;COUNTIF($AL$11:$AL1233,$AL1233))</f>
        <v/>
      </c>
    </row>
    <row r="1234" spans="38:53" ht="15" customHeight="1" x14ac:dyDescent="0.25">
      <c r="AL1234" s="31"/>
      <c r="AM1234" s="26"/>
      <c r="AN1234" s="32"/>
      <c r="AO1234" s="32"/>
      <c r="AP1234" s="24"/>
      <c r="AQ1234" s="24"/>
      <c r="AR1234" s="33"/>
      <c r="AS1234" s="34"/>
      <c r="AT1234" s="33"/>
      <c r="AV1234" s="21">
        <f>IF(AND($AL1234&lt;&gt;"",COUNTIF($AL$11:$AL1234,$AL1234)=1),1,0)</f>
        <v>0</v>
      </c>
      <c r="AW1234" s="21">
        <f t="shared" si="125"/>
        <v>2</v>
      </c>
      <c r="AX1234" s="21" t="str">
        <f t="shared" si="124"/>
        <v/>
      </c>
      <c r="AY1234" s="21" t="str">
        <f>IF(AND($AM1234&lt;&gt;"",$AS1234&lt;&gt;"✓"),SUMPRODUCT(($AM$11:$AM1234&lt;&gt;"")*($AS$11:$AS1234&lt;&gt;"✓")),"")</f>
        <v/>
      </c>
      <c r="AZ1234" s="21" t="str">
        <f>IF(AND($AM1234&lt;&gt;"",$AS1234="✓"),SUMPRODUCT(($AM$11:$AM1234&lt;&gt;"")*($AS$11:$AS1234="✓")),"")</f>
        <v/>
      </c>
      <c r="BA1234" s="21" t="str">
        <f>IF($AL1234="","",$AL1234&amp;"|"&amp;COUNTIF($AL$11:$AL1234,$AL1234))</f>
        <v/>
      </c>
    </row>
    <row r="1235" spans="38:53" ht="15" customHeight="1" x14ac:dyDescent="0.25">
      <c r="AL1235" s="17"/>
      <c r="AM1235" s="12"/>
      <c r="AN1235" s="18"/>
      <c r="AO1235" s="18"/>
      <c r="AP1235" s="10"/>
      <c r="AQ1235" s="10"/>
      <c r="AR1235" s="19"/>
      <c r="AS1235" s="20"/>
      <c r="AT1235" s="19"/>
      <c r="AV1235" s="21">
        <f>IF(AND($AL1235&lt;&gt;"",COUNTIF($AL$11:$AL1235,$AL1235)=1),1,0)</f>
        <v>0</v>
      </c>
      <c r="AW1235" s="21">
        <f t="shared" si="125"/>
        <v>2</v>
      </c>
      <c r="AX1235" s="21" t="str">
        <f t="shared" si="124"/>
        <v/>
      </c>
      <c r="AY1235" s="21" t="str">
        <f>IF(AND($AM1235&lt;&gt;"",$AS1235&lt;&gt;"✓"),SUMPRODUCT(($AM$11:$AM1235&lt;&gt;"")*($AS$11:$AS1235&lt;&gt;"✓")),"")</f>
        <v/>
      </c>
      <c r="AZ1235" s="21" t="str">
        <f>IF(AND($AM1235&lt;&gt;"",$AS1235="✓"),SUMPRODUCT(($AM$11:$AM1235&lt;&gt;"")*($AS$11:$AS1235="✓")),"")</f>
        <v/>
      </c>
      <c r="BA1235" s="21" t="str">
        <f>IF($AL1235="","",$AL1235&amp;"|"&amp;COUNTIF($AL$11:$AL1235,$AL1235))</f>
        <v/>
      </c>
    </row>
    <row r="1236" spans="38:53" ht="15" customHeight="1" x14ac:dyDescent="0.25">
      <c r="AL1236" s="31"/>
      <c r="AM1236" s="26"/>
      <c r="AN1236" s="32"/>
      <c r="AO1236" s="32"/>
      <c r="AP1236" s="24"/>
      <c r="AQ1236" s="24"/>
      <c r="AR1236" s="33"/>
      <c r="AS1236" s="34"/>
      <c r="AT1236" s="33"/>
      <c r="AV1236" s="21">
        <f>IF(AND($AL1236&lt;&gt;"",COUNTIF($AL$11:$AL1236,$AL1236)=1),1,0)</f>
        <v>0</v>
      </c>
      <c r="AW1236" s="21">
        <f t="shared" si="125"/>
        <v>2</v>
      </c>
      <c r="AX1236" s="21" t="str">
        <f t="shared" si="124"/>
        <v/>
      </c>
      <c r="AY1236" s="21" t="str">
        <f>IF(AND($AM1236&lt;&gt;"",$AS1236&lt;&gt;"✓"),SUMPRODUCT(($AM$11:$AM1236&lt;&gt;"")*($AS$11:$AS1236&lt;&gt;"✓")),"")</f>
        <v/>
      </c>
      <c r="AZ1236" s="21" t="str">
        <f>IF(AND($AM1236&lt;&gt;"",$AS1236="✓"),SUMPRODUCT(($AM$11:$AM1236&lt;&gt;"")*($AS$11:$AS1236="✓")),"")</f>
        <v/>
      </c>
      <c r="BA1236" s="21" t="str">
        <f>IF($AL1236="","",$AL1236&amp;"|"&amp;COUNTIF($AL$11:$AL1236,$AL1236))</f>
        <v/>
      </c>
    </row>
    <row r="1237" spans="38:53" ht="15" customHeight="1" x14ac:dyDescent="0.25">
      <c r="AL1237" s="17"/>
      <c r="AM1237" s="12"/>
      <c r="AN1237" s="18"/>
      <c r="AO1237" s="18"/>
      <c r="AP1237" s="10"/>
      <c r="AQ1237" s="10"/>
      <c r="AR1237" s="19"/>
      <c r="AS1237" s="20"/>
      <c r="AT1237" s="19"/>
      <c r="AV1237" s="21">
        <f>IF(AND($AL1237&lt;&gt;"",COUNTIF($AL$11:$AL1237,$AL1237)=1),1,0)</f>
        <v>0</v>
      </c>
      <c r="AW1237" s="21">
        <f t="shared" si="125"/>
        <v>2</v>
      </c>
      <c r="AX1237" s="21" t="str">
        <f t="shared" si="124"/>
        <v/>
      </c>
      <c r="AY1237" s="21" t="str">
        <f>IF(AND($AM1237&lt;&gt;"",$AS1237&lt;&gt;"✓"),SUMPRODUCT(($AM$11:$AM1237&lt;&gt;"")*($AS$11:$AS1237&lt;&gt;"✓")),"")</f>
        <v/>
      </c>
      <c r="AZ1237" s="21" t="str">
        <f>IF(AND($AM1237&lt;&gt;"",$AS1237="✓"),SUMPRODUCT(($AM$11:$AM1237&lt;&gt;"")*($AS$11:$AS1237="✓")),"")</f>
        <v/>
      </c>
      <c r="BA1237" s="21" t="str">
        <f>IF($AL1237="","",$AL1237&amp;"|"&amp;COUNTIF($AL$11:$AL1237,$AL1237))</f>
        <v/>
      </c>
    </row>
    <row r="1238" spans="38:53" ht="15" customHeight="1" x14ac:dyDescent="0.25">
      <c r="AL1238" s="31"/>
      <c r="AM1238" s="26"/>
      <c r="AN1238" s="32"/>
      <c r="AO1238" s="32"/>
      <c r="AP1238" s="24"/>
      <c r="AQ1238" s="24"/>
      <c r="AR1238" s="33"/>
      <c r="AS1238" s="34"/>
      <c r="AT1238" s="33"/>
      <c r="AV1238" s="21">
        <f>IF(AND($AL1238&lt;&gt;"",COUNTIF($AL$11:$AL1238,$AL1238)=1),1,0)</f>
        <v>0</v>
      </c>
      <c r="AW1238" s="21">
        <f t="shared" si="125"/>
        <v>2</v>
      </c>
      <c r="AX1238" s="21" t="str">
        <f t="shared" si="124"/>
        <v/>
      </c>
      <c r="AY1238" s="21" t="str">
        <f>IF(AND($AM1238&lt;&gt;"",$AS1238&lt;&gt;"✓"),SUMPRODUCT(($AM$11:$AM1238&lt;&gt;"")*($AS$11:$AS1238&lt;&gt;"✓")),"")</f>
        <v/>
      </c>
      <c r="AZ1238" s="21" t="str">
        <f>IF(AND($AM1238&lt;&gt;"",$AS1238="✓"),SUMPRODUCT(($AM$11:$AM1238&lt;&gt;"")*($AS$11:$AS1238="✓")),"")</f>
        <v/>
      </c>
      <c r="BA1238" s="21" t="str">
        <f>IF($AL1238="","",$AL1238&amp;"|"&amp;COUNTIF($AL$11:$AL1238,$AL1238))</f>
        <v/>
      </c>
    </row>
    <row r="1239" spans="38:53" ht="15" customHeight="1" x14ac:dyDescent="0.25">
      <c r="AL1239" s="17"/>
      <c r="AM1239" s="12"/>
      <c r="AN1239" s="18"/>
      <c r="AO1239" s="18"/>
      <c r="AP1239" s="10"/>
      <c r="AQ1239" s="10"/>
      <c r="AR1239" s="19"/>
      <c r="AS1239" s="20"/>
      <c r="AT1239" s="19"/>
      <c r="AV1239" s="21">
        <f>IF(AND($AL1239&lt;&gt;"",COUNTIF($AL$11:$AL1239,$AL1239)=1),1,0)</f>
        <v>0</v>
      </c>
      <c r="AW1239" s="21">
        <f t="shared" si="125"/>
        <v>2</v>
      </c>
      <c r="AX1239" s="21" t="str">
        <f t="shared" si="124"/>
        <v/>
      </c>
      <c r="AY1239" s="21" t="str">
        <f>IF(AND($AM1239&lt;&gt;"",$AS1239&lt;&gt;"✓"),SUMPRODUCT(($AM$11:$AM1239&lt;&gt;"")*($AS$11:$AS1239&lt;&gt;"✓")),"")</f>
        <v/>
      </c>
      <c r="AZ1239" s="21" t="str">
        <f>IF(AND($AM1239&lt;&gt;"",$AS1239="✓"),SUMPRODUCT(($AM$11:$AM1239&lt;&gt;"")*($AS$11:$AS1239="✓")),"")</f>
        <v/>
      </c>
      <c r="BA1239" s="21" t="str">
        <f>IF($AL1239="","",$AL1239&amp;"|"&amp;COUNTIF($AL$11:$AL1239,$AL1239))</f>
        <v/>
      </c>
    </row>
    <row r="1240" spans="38:53" ht="15" customHeight="1" x14ac:dyDescent="0.25">
      <c r="AL1240" s="31"/>
      <c r="AM1240" s="26"/>
      <c r="AN1240" s="32"/>
      <c r="AO1240" s="32"/>
      <c r="AP1240" s="24"/>
      <c r="AQ1240" s="24"/>
      <c r="AR1240" s="33"/>
      <c r="AS1240" s="34"/>
      <c r="AT1240" s="33"/>
      <c r="AV1240" s="21">
        <f>IF(AND($AL1240&lt;&gt;"",COUNTIF($AL$11:$AL1240,$AL1240)=1),1,0)</f>
        <v>0</v>
      </c>
      <c r="AW1240" s="21">
        <f t="shared" si="125"/>
        <v>2</v>
      </c>
      <c r="AX1240" s="21" t="str">
        <f t="shared" si="124"/>
        <v/>
      </c>
      <c r="AY1240" s="21" t="str">
        <f>IF(AND($AM1240&lt;&gt;"",$AS1240&lt;&gt;"✓"),SUMPRODUCT(($AM$11:$AM1240&lt;&gt;"")*($AS$11:$AS1240&lt;&gt;"✓")),"")</f>
        <v/>
      </c>
      <c r="AZ1240" s="21" t="str">
        <f>IF(AND($AM1240&lt;&gt;"",$AS1240="✓"),SUMPRODUCT(($AM$11:$AM1240&lt;&gt;"")*($AS$11:$AS1240="✓")),"")</f>
        <v/>
      </c>
      <c r="BA1240" s="21" t="str">
        <f>IF($AL1240="","",$AL1240&amp;"|"&amp;COUNTIF($AL$11:$AL1240,$AL1240))</f>
        <v/>
      </c>
    </row>
    <row r="1241" spans="38:53" ht="15" customHeight="1" x14ac:dyDescent="0.25">
      <c r="AL1241" s="17"/>
      <c r="AM1241" s="12"/>
      <c r="AN1241" s="18"/>
      <c r="AO1241" s="18"/>
      <c r="AP1241" s="10"/>
      <c r="AQ1241" s="10"/>
      <c r="AR1241" s="19"/>
      <c r="AS1241" s="20"/>
      <c r="AT1241" s="19"/>
      <c r="AV1241" s="21">
        <f>IF(AND($AL1241&lt;&gt;"",COUNTIF($AL$11:$AL1241,$AL1241)=1),1,0)</f>
        <v>0</v>
      </c>
      <c r="AW1241" s="21">
        <f t="shared" si="125"/>
        <v>2</v>
      </c>
      <c r="AX1241" s="21" t="str">
        <f t="shared" si="124"/>
        <v/>
      </c>
      <c r="AY1241" s="21" t="str">
        <f>IF(AND($AM1241&lt;&gt;"",$AS1241&lt;&gt;"✓"),SUMPRODUCT(($AM$11:$AM1241&lt;&gt;"")*($AS$11:$AS1241&lt;&gt;"✓")),"")</f>
        <v/>
      </c>
      <c r="AZ1241" s="21" t="str">
        <f>IF(AND($AM1241&lt;&gt;"",$AS1241="✓"),SUMPRODUCT(($AM$11:$AM1241&lt;&gt;"")*($AS$11:$AS1241="✓")),"")</f>
        <v/>
      </c>
      <c r="BA1241" s="21" t="str">
        <f>IF($AL1241="","",$AL1241&amp;"|"&amp;COUNTIF($AL$11:$AL1241,$AL1241))</f>
        <v/>
      </c>
    </row>
    <row r="1242" spans="38:53" ht="15" customHeight="1" x14ac:dyDescent="0.25">
      <c r="AL1242" s="31"/>
      <c r="AM1242" s="26"/>
      <c r="AN1242" s="32"/>
      <c r="AO1242" s="32"/>
      <c r="AP1242" s="24"/>
      <c r="AQ1242" s="24"/>
      <c r="AR1242" s="33"/>
      <c r="AS1242" s="34"/>
      <c r="AT1242" s="33"/>
      <c r="AV1242" s="21">
        <f>IF(AND($AL1242&lt;&gt;"",COUNTIF($AL$11:$AL1242,$AL1242)=1),1,0)</f>
        <v>0</v>
      </c>
      <c r="AW1242" s="21">
        <f t="shared" si="125"/>
        <v>2</v>
      </c>
      <c r="AX1242" s="21" t="str">
        <f t="shared" si="124"/>
        <v/>
      </c>
      <c r="AY1242" s="21" t="str">
        <f>IF(AND($AM1242&lt;&gt;"",$AS1242&lt;&gt;"✓"),SUMPRODUCT(($AM$11:$AM1242&lt;&gt;"")*($AS$11:$AS1242&lt;&gt;"✓")),"")</f>
        <v/>
      </c>
      <c r="AZ1242" s="21" t="str">
        <f>IF(AND($AM1242&lt;&gt;"",$AS1242="✓"),SUMPRODUCT(($AM$11:$AM1242&lt;&gt;"")*($AS$11:$AS1242="✓")),"")</f>
        <v/>
      </c>
      <c r="BA1242" s="21" t="str">
        <f>IF($AL1242="","",$AL1242&amp;"|"&amp;COUNTIF($AL$11:$AL1242,$AL1242))</f>
        <v/>
      </c>
    </row>
    <row r="1243" spans="38:53" ht="15" customHeight="1" x14ac:dyDescent="0.25">
      <c r="AL1243" s="17"/>
      <c r="AM1243" s="12"/>
      <c r="AN1243" s="18"/>
      <c r="AO1243" s="18"/>
      <c r="AP1243" s="10"/>
      <c r="AQ1243" s="10"/>
      <c r="AR1243" s="19"/>
      <c r="AS1243" s="20"/>
      <c r="AT1243" s="19"/>
      <c r="AV1243" s="21">
        <f>IF(AND($AL1243&lt;&gt;"",COUNTIF($AL$11:$AL1243,$AL1243)=1),1,0)</f>
        <v>0</v>
      </c>
      <c r="AW1243" s="21">
        <f t="shared" si="125"/>
        <v>2</v>
      </c>
      <c r="AX1243" s="21" t="str">
        <f t="shared" si="124"/>
        <v/>
      </c>
      <c r="AY1243" s="21" t="str">
        <f>IF(AND($AM1243&lt;&gt;"",$AS1243&lt;&gt;"✓"),SUMPRODUCT(($AM$11:$AM1243&lt;&gt;"")*($AS$11:$AS1243&lt;&gt;"✓")),"")</f>
        <v/>
      </c>
      <c r="AZ1243" s="21" t="str">
        <f>IF(AND($AM1243&lt;&gt;"",$AS1243="✓"),SUMPRODUCT(($AM$11:$AM1243&lt;&gt;"")*($AS$11:$AS1243="✓")),"")</f>
        <v/>
      </c>
      <c r="BA1243" s="21" t="str">
        <f>IF($AL1243="","",$AL1243&amp;"|"&amp;COUNTIF($AL$11:$AL1243,$AL1243))</f>
        <v/>
      </c>
    </row>
    <row r="1244" spans="38:53" ht="15" customHeight="1" x14ac:dyDescent="0.25">
      <c r="AL1244" s="31"/>
      <c r="AM1244" s="26"/>
      <c r="AN1244" s="32"/>
      <c r="AO1244" s="32"/>
      <c r="AP1244" s="24"/>
      <c r="AQ1244" s="24"/>
      <c r="AR1244" s="33"/>
      <c r="AS1244" s="34"/>
      <c r="AT1244" s="33"/>
      <c r="AV1244" s="21">
        <f>IF(AND($AL1244&lt;&gt;"",COUNTIF($AL$11:$AL1244,$AL1244)=1),1,0)</f>
        <v>0</v>
      </c>
      <c r="AW1244" s="21">
        <f t="shared" si="125"/>
        <v>2</v>
      </c>
      <c r="AX1244" s="21" t="str">
        <f t="shared" si="124"/>
        <v/>
      </c>
      <c r="AY1244" s="21" t="str">
        <f>IF(AND($AM1244&lt;&gt;"",$AS1244&lt;&gt;"✓"),SUMPRODUCT(($AM$11:$AM1244&lt;&gt;"")*($AS$11:$AS1244&lt;&gt;"✓")),"")</f>
        <v/>
      </c>
      <c r="AZ1244" s="21" t="str">
        <f>IF(AND($AM1244&lt;&gt;"",$AS1244="✓"),SUMPRODUCT(($AM$11:$AM1244&lt;&gt;"")*($AS$11:$AS1244="✓")),"")</f>
        <v/>
      </c>
      <c r="BA1244" s="21" t="str">
        <f>IF($AL1244="","",$AL1244&amp;"|"&amp;COUNTIF($AL$11:$AL1244,$AL1244))</f>
        <v/>
      </c>
    </row>
    <row r="1245" spans="38:53" ht="15" customHeight="1" x14ac:dyDescent="0.25">
      <c r="AL1245" s="17"/>
      <c r="AM1245" s="12"/>
      <c r="AN1245" s="18"/>
      <c r="AO1245" s="18"/>
      <c r="AP1245" s="10"/>
      <c r="AQ1245" s="10"/>
      <c r="AR1245" s="19"/>
      <c r="AS1245" s="20"/>
      <c r="AT1245" s="19"/>
      <c r="AV1245" s="21">
        <f>IF(AND($AL1245&lt;&gt;"",COUNTIF($AL$11:$AL1245,$AL1245)=1),1,0)</f>
        <v>0</v>
      </c>
      <c r="AW1245" s="21">
        <f t="shared" si="125"/>
        <v>2</v>
      </c>
      <c r="AX1245" s="21" t="str">
        <f t="shared" si="124"/>
        <v/>
      </c>
      <c r="AY1245" s="21" t="str">
        <f>IF(AND($AM1245&lt;&gt;"",$AS1245&lt;&gt;"✓"),SUMPRODUCT(($AM$11:$AM1245&lt;&gt;"")*($AS$11:$AS1245&lt;&gt;"✓")),"")</f>
        <v/>
      </c>
      <c r="AZ1245" s="21" t="str">
        <f>IF(AND($AM1245&lt;&gt;"",$AS1245="✓"),SUMPRODUCT(($AM$11:$AM1245&lt;&gt;"")*($AS$11:$AS1245="✓")),"")</f>
        <v/>
      </c>
      <c r="BA1245" s="21" t="str">
        <f>IF($AL1245="","",$AL1245&amp;"|"&amp;COUNTIF($AL$11:$AL1245,$AL1245))</f>
        <v/>
      </c>
    </row>
    <row r="1246" spans="38:53" ht="15" customHeight="1" x14ac:dyDescent="0.25">
      <c r="AL1246" s="31"/>
      <c r="AM1246" s="26"/>
      <c r="AN1246" s="32"/>
      <c r="AO1246" s="32"/>
      <c r="AP1246" s="24"/>
      <c r="AQ1246" s="24"/>
      <c r="AR1246" s="33"/>
      <c r="AS1246" s="34"/>
      <c r="AT1246" s="33"/>
      <c r="AV1246" s="21">
        <f>IF(AND($AL1246&lt;&gt;"",COUNTIF($AL$11:$AL1246,$AL1246)=1),1,0)</f>
        <v>0</v>
      </c>
      <c r="AW1246" s="21">
        <f t="shared" si="125"/>
        <v>2</v>
      </c>
      <c r="AX1246" s="21" t="str">
        <f t="shared" si="124"/>
        <v/>
      </c>
      <c r="AY1246" s="21" t="str">
        <f>IF(AND($AM1246&lt;&gt;"",$AS1246&lt;&gt;"✓"),SUMPRODUCT(($AM$11:$AM1246&lt;&gt;"")*($AS$11:$AS1246&lt;&gt;"✓")),"")</f>
        <v/>
      </c>
      <c r="AZ1246" s="21" t="str">
        <f>IF(AND($AM1246&lt;&gt;"",$AS1246="✓"),SUMPRODUCT(($AM$11:$AM1246&lt;&gt;"")*($AS$11:$AS1246="✓")),"")</f>
        <v/>
      </c>
      <c r="BA1246" s="21" t="str">
        <f>IF($AL1246="","",$AL1246&amp;"|"&amp;COUNTIF($AL$11:$AL1246,$AL1246))</f>
        <v/>
      </c>
    </row>
    <row r="1247" spans="38:53" ht="15" customHeight="1" x14ac:dyDescent="0.25">
      <c r="AL1247" s="17"/>
      <c r="AM1247" s="12"/>
      <c r="AN1247" s="18"/>
      <c r="AO1247" s="18"/>
      <c r="AP1247" s="10"/>
      <c r="AQ1247" s="10"/>
      <c r="AR1247" s="19"/>
      <c r="AS1247" s="20"/>
      <c r="AT1247" s="19"/>
      <c r="AV1247" s="21">
        <f>IF(AND($AL1247&lt;&gt;"",COUNTIF($AL$11:$AL1247,$AL1247)=1),1,0)</f>
        <v>0</v>
      </c>
      <c r="AW1247" s="21">
        <f t="shared" si="125"/>
        <v>2</v>
      </c>
      <c r="AX1247" s="21" t="str">
        <f t="shared" si="124"/>
        <v/>
      </c>
      <c r="AY1247" s="21" t="str">
        <f>IF(AND($AM1247&lt;&gt;"",$AS1247&lt;&gt;"✓"),SUMPRODUCT(($AM$11:$AM1247&lt;&gt;"")*($AS$11:$AS1247&lt;&gt;"✓")),"")</f>
        <v/>
      </c>
      <c r="AZ1247" s="21" t="str">
        <f>IF(AND($AM1247&lt;&gt;"",$AS1247="✓"),SUMPRODUCT(($AM$11:$AM1247&lt;&gt;"")*($AS$11:$AS1247="✓")),"")</f>
        <v/>
      </c>
      <c r="BA1247" s="21" t="str">
        <f>IF($AL1247="","",$AL1247&amp;"|"&amp;COUNTIF($AL$11:$AL1247,$AL1247))</f>
        <v/>
      </c>
    </row>
    <row r="1248" spans="38:53" ht="15" customHeight="1" x14ac:dyDescent="0.25">
      <c r="AL1248" s="31"/>
      <c r="AM1248" s="26"/>
      <c r="AN1248" s="32"/>
      <c r="AO1248" s="32"/>
      <c r="AP1248" s="24"/>
      <c r="AQ1248" s="24"/>
      <c r="AR1248" s="33"/>
      <c r="AS1248" s="34"/>
      <c r="AT1248" s="33"/>
      <c r="AV1248" s="21">
        <f>IF(AND($AL1248&lt;&gt;"",COUNTIF($AL$11:$AL1248,$AL1248)=1),1,0)</f>
        <v>0</v>
      </c>
      <c r="AW1248" s="21">
        <f t="shared" si="125"/>
        <v>2</v>
      </c>
      <c r="AX1248" s="21" t="str">
        <f t="shared" si="124"/>
        <v/>
      </c>
      <c r="AY1248" s="21" t="str">
        <f>IF(AND($AM1248&lt;&gt;"",$AS1248&lt;&gt;"✓"),SUMPRODUCT(($AM$11:$AM1248&lt;&gt;"")*($AS$11:$AS1248&lt;&gt;"✓")),"")</f>
        <v/>
      </c>
      <c r="AZ1248" s="21" t="str">
        <f>IF(AND($AM1248&lt;&gt;"",$AS1248="✓"),SUMPRODUCT(($AM$11:$AM1248&lt;&gt;"")*($AS$11:$AS1248="✓")),"")</f>
        <v/>
      </c>
      <c r="BA1248" s="21" t="str">
        <f>IF($AL1248="","",$AL1248&amp;"|"&amp;COUNTIF($AL$11:$AL1248,$AL1248))</f>
        <v/>
      </c>
    </row>
    <row r="1249" spans="38:53" ht="15" customHeight="1" x14ac:dyDescent="0.25">
      <c r="AL1249" s="17"/>
      <c r="AM1249" s="12"/>
      <c r="AN1249" s="18"/>
      <c r="AO1249" s="18"/>
      <c r="AP1249" s="10"/>
      <c r="AQ1249" s="10"/>
      <c r="AR1249" s="19"/>
      <c r="AS1249" s="20"/>
      <c r="AT1249" s="19"/>
      <c r="AV1249" s="21">
        <f>IF(AND($AL1249&lt;&gt;"",COUNTIF($AL$11:$AL1249,$AL1249)=1),1,0)</f>
        <v>0</v>
      </c>
      <c r="AW1249" s="21">
        <f t="shared" si="125"/>
        <v>2</v>
      </c>
      <c r="AX1249" s="21" t="str">
        <f t="shared" si="124"/>
        <v/>
      </c>
      <c r="AY1249" s="21" t="str">
        <f>IF(AND($AM1249&lt;&gt;"",$AS1249&lt;&gt;"✓"),SUMPRODUCT(($AM$11:$AM1249&lt;&gt;"")*($AS$11:$AS1249&lt;&gt;"✓")),"")</f>
        <v/>
      </c>
      <c r="AZ1249" s="21" t="str">
        <f>IF(AND($AM1249&lt;&gt;"",$AS1249="✓"),SUMPRODUCT(($AM$11:$AM1249&lt;&gt;"")*($AS$11:$AS1249="✓")),"")</f>
        <v/>
      </c>
      <c r="BA1249" s="21" t="str">
        <f>IF($AL1249="","",$AL1249&amp;"|"&amp;COUNTIF($AL$11:$AL1249,$AL1249))</f>
        <v/>
      </c>
    </row>
    <row r="1250" spans="38:53" ht="15" customHeight="1" x14ac:dyDescent="0.25">
      <c r="AL1250" s="31"/>
      <c r="AM1250" s="26"/>
      <c r="AN1250" s="32"/>
      <c r="AO1250" s="32"/>
      <c r="AP1250" s="24"/>
      <c r="AQ1250" s="24"/>
      <c r="AR1250" s="33"/>
      <c r="AS1250" s="34"/>
      <c r="AT1250" s="33"/>
      <c r="AV1250" s="21">
        <f>IF(AND($AL1250&lt;&gt;"",COUNTIF($AL$11:$AL1250,$AL1250)=1),1,0)</f>
        <v>0</v>
      </c>
      <c r="AW1250" s="21">
        <f t="shared" si="125"/>
        <v>2</v>
      </c>
      <c r="AX1250" s="21" t="str">
        <f t="shared" si="124"/>
        <v/>
      </c>
      <c r="AY1250" s="21" t="str">
        <f>IF(AND($AM1250&lt;&gt;"",$AS1250&lt;&gt;"✓"),SUMPRODUCT(($AM$11:$AM1250&lt;&gt;"")*($AS$11:$AS1250&lt;&gt;"✓")),"")</f>
        <v/>
      </c>
      <c r="AZ1250" s="21" t="str">
        <f>IF(AND($AM1250&lt;&gt;"",$AS1250="✓"),SUMPRODUCT(($AM$11:$AM1250&lt;&gt;"")*($AS$11:$AS1250="✓")),"")</f>
        <v/>
      </c>
      <c r="BA1250" s="21" t="str">
        <f>IF($AL1250="","",$AL1250&amp;"|"&amp;COUNTIF($AL$11:$AL1250,$AL1250))</f>
        <v/>
      </c>
    </row>
    <row r="1251" spans="38:53" ht="15" customHeight="1" x14ac:dyDescent="0.25">
      <c r="AL1251" s="17"/>
      <c r="AM1251" s="12"/>
      <c r="AN1251" s="18"/>
      <c r="AO1251" s="18"/>
      <c r="AP1251" s="10"/>
      <c r="AQ1251" s="10"/>
      <c r="AR1251" s="19"/>
      <c r="AS1251" s="20"/>
      <c r="AT1251" s="19"/>
      <c r="AV1251" s="21">
        <f>IF(AND($AL1251&lt;&gt;"",COUNTIF($AL$11:$AL1251,$AL1251)=1),1,0)</f>
        <v>0</v>
      </c>
      <c r="AW1251" s="21">
        <f t="shared" si="125"/>
        <v>2</v>
      </c>
      <c r="AX1251" s="21" t="str">
        <f t="shared" si="124"/>
        <v/>
      </c>
      <c r="AY1251" s="21" t="str">
        <f>IF(AND($AM1251&lt;&gt;"",$AS1251&lt;&gt;"✓"),SUMPRODUCT(($AM$11:$AM1251&lt;&gt;"")*($AS$11:$AS1251&lt;&gt;"✓")),"")</f>
        <v/>
      </c>
      <c r="AZ1251" s="21" t="str">
        <f>IF(AND($AM1251&lt;&gt;"",$AS1251="✓"),SUMPRODUCT(($AM$11:$AM1251&lt;&gt;"")*($AS$11:$AS1251="✓")),"")</f>
        <v/>
      </c>
      <c r="BA1251" s="21" t="str">
        <f>IF($AL1251="","",$AL1251&amp;"|"&amp;COUNTIF($AL$11:$AL1251,$AL1251))</f>
        <v/>
      </c>
    </row>
    <row r="1252" spans="38:53" ht="15" customHeight="1" x14ac:dyDescent="0.25">
      <c r="AL1252" s="31"/>
      <c r="AM1252" s="26"/>
      <c r="AN1252" s="32"/>
      <c r="AO1252" s="32"/>
      <c r="AP1252" s="24"/>
      <c r="AQ1252" s="24"/>
      <c r="AR1252" s="33"/>
      <c r="AS1252" s="34"/>
      <c r="AT1252" s="33"/>
      <c r="AV1252" s="21">
        <f>IF(AND($AL1252&lt;&gt;"",COUNTIF($AL$11:$AL1252,$AL1252)=1),1,0)</f>
        <v>0</v>
      </c>
      <c r="AW1252" s="21">
        <f t="shared" si="125"/>
        <v>2</v>
      </c>
      <c r="AX1252" s="21" t="str">
        <f t="shared" si="124"/>
        <v/>
      </c>
      <c r="AY1252" s="21" t="str">
        <f>IF(AND($AM1252&lt;&gt;"",$AS1252&lt;&gt;"✓"),SUMPRODUCT(($AM$11:$AM1252&lt;&gt;"")*($AS$11:$AS1252&lt;&gt;"✓")),"")</f>
        <v/>
      </c>
      <c r="AZ1252" s="21" t="str">
        <f>IF(AND($AM1252&lt;&gt;"",$AS1252="✓"),SUMPRODUCT(($AM$11:$AM1252&lt;&gt;"")*($AS$11:$AS1252="✓")),"")</f>
        <v/>
      </c>
      <c r="BA1252" s="21" t="str">
        <f>IF($AL1252="","",$AL1252&amp;"|"&amp;COUNTIF($AL$11:$AL1252,$AL1252))</f>
        <v/>
      </c>
    </row>
    <row r="1253" spans="38:53" ht="15" customHeight="1" x14ac:dyDescent="0.25">
      <c r="AL1253" s="17"/>
      <c r="AM1253" s="12"/>
      <c r="AN1253" s="18"/>
      <c r="AO1253" s="18"/>
      <c r="AP1253" s="10"/>
      <c r="AQ1253" s="10"/>
      <c r="AR1253" s="19"/>
      <c r="AS1253" s="20"/>
      <c r="AT1253" s="19"/>
      <c r="AV1253" s="21">
        <f>IF(AND($AL1253&lt;&gt;"",COUNTIF($AL$11:$AL1253,$AL1253)=1),1,0)</f>
        <v>0</v>
      </c>
      <c r="AW1253" s="21">
        <f t="shared" si="125"/>
        <v>2</v>
      </c>
      <c r="AX1253" s="21" t="str">
        <f t="shared" si="124"/>
        <v/>
      </c>
      <c r="AY1253" s="21" t="str">
        <f>IF(AND($AM1253&lt;&gt;"",$AS1253&lt;&gt;"✓"),SUMPRODUCT(($AM$11:$AM1253&lt;&gt;"")*($AS$11:$AS1253&lt;&gt;"✓")),"")</f>
        <v/>
      </c>
      <c r="AZ1253" s="21" t="str">
        <f>IF(AND($AM1253&lt;&gt;"",$AS1253="✓"),SUMPRODUCT(($AM$11:$AM1253&lt;&gt;"")*($AS$11:$AS1253="✓")),"")</f>
        <v/>
      </c>
      <c r="BA1253" s="21" t="str">
        <f>IF($AL1253="","",$AL1253&amp;"|"&amp;COUNTIF($AL$11:$AL1253,$AL1253))</f>
        <v/>
      </c>
    </row>
    <row r="1254" spans="38:53" ht="15" customHeight="1" x14ac:dyDescent="0.25">
      <c r="AL1254" s="31"/>
      <c r="AM1254" s="26"/>
      <c r="AN1254" s="32"/>
      <c r="AO1254" s="32"/>
      <c r="AP1254" s="24"/>
      <c r="AQ1254" s="24"/>
      <c r="AR1254" s="33"/>
      <c r="AS1254" s="34"/>
      <c r="AT1254" s="33"/>
      <c r="AV1254" s="21">
        <f>IF(AND($AL1254&lt;&gt;"",COUNTIF($AL$11:$AL1254,$AL1254)=1),1,0)</f>
        <v>0</v>
      </c>
      <c r="AW1254" s="21">
        <f t="shared" si="125"/>
        <v>2</v>
      </c>
      <c r="AX1254" s="21" t="str">
        <f t="shared" si="124"/>
        <v/>
      </c>
      <c r="AY1254" s="21" t="str">
        <f>IF(AND($AM1254&lt;&gt;"",$AS1254&lt;&gt;"✓"),SUMPRODUCT(($AM$11:$AM1254&lt;&gt;"")*($AS$11:$AS1254&lt;&gt;"✓")),"")</f>
        <v/>
      </c>
      <c r="AZ1254" s="21" t="str">
        <f>IF(AND($AM1254&lt;&gt;"",$AS1254="✓"),SUMPRODUCT(($AM$11:$AM1254&lt;&gt;"")*($AS$11:$AS1254="✓")),"")</f>
        <v/>
      </c>
      <c r="BA1254" s="21" t="str">
        <f>IF($AL1254="","",$AL1254&amp;"|"&amp;COUNTIF($AL$11:$AL1254,$AL1254))</f>
        <v/>
      </c>
    </row>
    <row r="1255" spans="38:53" ht="15" customHeight="1" x14ac:dyDescent="0.25">
      <c r="AL1255" s="17"/>
      <c r="AM1255" s="12"/>
      <c r="AN1255" s="18"/>
      <c r="AO1255" s="18"/>
      <c r="AP1255" s="10"/>
      <c r="AQ1255" s="10"/>
      <c r="AR1255" s="19"/>
      <c r="AS1255" s="20"/>
      <c r="AT1255" s="19"/>
      <c r="AV1255" s="21">
        <f>IF(AND($AL1255&lt;&gt;"",COUNTIF($AL$11:$AL1255,$AL1255)=1),1,0)</f>
        <v>0</v>
      </c>
      <c r="AW1255" s="21">
        <f t="shared" si="125"/>
        <v>2</v>
      </c>
      <c r="AX1255" s="21" t="str">
        <f t="shared" si="124"/>
        <v/>
      </c>
      <c r="AY1255" s="21" t="str">
        <f>IF(AND($AM1255&lt;&gt;"",$AS1255&lt;&gt;"✓"),SUMPRODUCT(($AM$11:$AM1255&lt;&gt;"")*($AS$11:$AS1255&lt;&gt;"✓")),"")</f>
        <v/>
      </c>
      <c r="AZ1255" s="21" t="str">
        <f>IF(AND($AM1255&lt;&gt;"",$AS1255="✓"),SUMPRODUCT(($AM$11:$AM1255&lt;&gt;"")*($AS$11:$AS1255="✓")),"")</f>
        <v/>
      </c>
      <c r="BA1255" s="21" t="str">
        <f>IF($AL1255="","",$AL1255&amp;"|"&amp;COUNTIF($AL$11:$AL1255,$AL1255))</f>
        <v/>
      </c>
    </row>
    <row r="1256" spans="38:53" ht="15" customHeight="1" x14ac:dyDescent="0.25">
      <c r="AL1256" s="31"/>
      <c r="AM1256" s="26"/>
      <c r="AN1256" s="32"/>
      <c r="AO1256" s="32"/>
      <c r="AP1256" s="24"/>
      <c r="AQ1256" s="24"/>
      <c r="AR1256" s="33"/>
      <c r="AS1256" s="34"/>
      <c r="AT1256" s="33"/>
      <c r="AV1256" s="21">
        <f>IF(AND($AL1256&lt;&gt;"",COUNTIF($AL$11:$AL1256,$AL1256)=1),1,0)</f>
        <v>0</v>
      </c>
      <c r="AW1256" s="21">
        <f t="shared" si="125"/>
        <v>2</v>
      </c>
      <c r="AX1256" s="21" t="str">
        <f t="shared" si="124"/>
        <v/>
      </c>
      <c r="AY1256" s="21" t="str">
        <f>IF(AND($AM1256&lt;&gt;"",$AS1256&lt;&gt;"✓"),SUMPRODUCT(($AM$11:$AM1256&lt;&gt;"")*($AS$11:$AS1256&lt;&gt;"✓")),"")</f>
        <v/>
      </c>
      <c r="AZ1256" s="21" t="str">
        <f>IF(AND($AM1256&lt;&gt;"",$AS1256="✓"),SUMPRODUCT(($AM$11:$AM1256&lt;&gt;"")*($AS$11:$AS1256="✓")),"")</f>
        <v/>
      </c>
      <c r="BA1256" s="21" t="str">
        <f>IF($AL1256="","",$AL1256&amp;"|"&amp;COUNTIF($AL$11:$AL1256,$AL1256))</f>
        <v/>
      </c>
    </row>
    <row r="1257" spans="38:53" ht="15" customHeight="1" x14ac:dyDescent="0.25">
      <c r="AL1257" s="17"/>
      <c r="AM1257" s="12"/>
      <c r="AN1257" s="18"/>
      <c r="AO1257" s="18"/>
      <c r="AP1257" s="10"/>
      <c r="AQ1257" s="10"/>
      <c r="AR1257" s="19"/>
      <c r="AS1257" s="20"/>
      <c r="AT1257" s="19"/>
      <c r="AV1257" s="21">
        <f>IF(AND($AL1257&lt;&gt;"",COUNTIF($AL$11:$AL1257,$AL1257)=1),1,0)</f>
        <v>0</v>
      </c>
      <c r="AW1257" s="21">
        <f t="shared" si="125"/>
        <v>2</v>
      </c>
      <c r="AX1257" s="21" t="str">
        <f t="shared" si="124"/>
        <v/>
      </c>
      <c r="AY1257" s="21" t="str">
        <f>IF(AND($AM1257&lt;&gt;"",$AS1257&lt;&gt;"✓"),SUMPRODUCT(($AM$11:$AM1257&lt;&gt;"")*($AS$11:$AS1257&lt;&gt;"✓")),"")</f>
        <v/>
      </c>
      <c r="AZ1257" s="21" t="str">
        <f>IF(AND($AM1257&lt;&gt;"",$AS1257="✓"),SUMPRODUCT(($AM$11:$AM1257&lt;&gt;"")*($AS$11:$AS1257="✓")),"")</f>
        <v/>
      </c>
      <c r="BA1257" s="21" t="str">
        <f>IF($AL1257="","",$AL1257&amp;"|"&amp;COUNTIF($AL$11:$AL1257,$AL1257))</f>
        <v/>
      </c>
    </row>
    <row r="1258" spans="38:53" ht="15" customHeight="1" x14ac:dyDescent="0.25">
      <c r="AL1258" s="31"/>
      <c r="AM1258" s="26"/>
      <c r="AN1258" s="32"/>
      <c r="AO1258" s="32"/>
      <c r="AP1258" s="24"/>
      <c r="AQ1258" s="24"/>
      <c r="AR1258" s="33"/>
      <c r="AS1258" s="34"/>
      <c r="AT1258" s="33"/>
      <c r="AV1258" s="21">
        <f>IF(AND($AL1258&lt;&gt;"",COUNTIF($AL$11:$AL1258,$AL1258)=1),1,0)</f>
        <v>0</v>
      </c>
      <c r="AW1258" s="21">
        <f t="shared" si="125"/>
        <v>2</v>
      </c>
      <c r="AX1258" s="21" t="str">
        <f t="shared" si="124"/>
        <v/>
      </c>
      <c r="AY1258" s="21" t="str">
        <f>IF(AND($AM1258&lt;&gt;"",$AS1258&lt;&gt;"✓"),SUMPRODUCT(($AM$11:$AM1258&lt;&gt;"")*($AS$11:$AS1258&lt;&gt;"✓")),"")</f>
        <v/>
      </c>
      <c r="AZ1258" s="21" t="str">
        <f>IF(AND($AM1258&lt;&gt;"",$AS1258="✓"),SUMPRODUCT(($AM$11:$AM1258&lt;&gt;"")*($AS$11:$AS1258="✓")),"")</f>
        <v/>
      </c>
      <c r="BA1258" s="21" t="str">
        <f>IF($AL1258="","",$AL1258&amp;"|"&amp;COUNTIF($AL$11:$AL1258,$AL1258))</f>
        <v/>
      </c>
    </row>
    <row r="1259" spans="38:53" ht="15" customHeight="1" x14ac:dyDescent="0.25">
      <c r="AL1259" s="17"/>
      <c r="AM1259" s="12"/>
      <c r="AN1259" s="18"/>
      <c r="AO1259" s="18"/>
      <c r="AP1259" s="10"/>
      <c r="AQ1259" s="10"/>
      <c r="AR1259" s="19"/>
      <c r="AS1259" s="20"/>
      <c r="AT1259" s="19"/>
      <c r="AV1259" s="21">
        <f>IF(AND($AL1259&lt;&gt;"",COUNTIF($AL$11:$AL1259,$AL1259)=1),1,0)</f>
        <v>0</v>
      </c>
      <c r="AW1259" s="21">
        <f t="shared" si="125"/>
        <v>2</v>
      </c>
      <c r="AX1259" s="21" t="str">
        <f t="shared" si="124"/>
        <v/>
      </c>
      <c r="AY1259" s="21" t="str">
        <f>IF(AND($AM1259&lt;&gt;"",$AS1259&lt;&gt;"✓"),SUMPRODUCT(($AM$11:$AM1259&lt;&gt;"")*($AS$11:$AS1259&lt;&gt;"✓")),"")</f>
        <v/>
      </c>
      <c r="AZ1259" s="21" t="str">
        <f>IF(AND($AM1259&lt;&gt;"",$AS1259="✓"),SUMPRODUCT(($AM$11:$AM1259&lt;&gt;"")*($AS$11:$AS1259="✓")),"")</f>
        <v/>
      </c>
      <c r="BA1259" s="21" t="str">
        <f>IF($AL1259="","",$AL1259&amp;"|"&amp;COUNTIF($AL$11:$AL1259,$AL1259))</f>
        <v/>
      </c>
    </row>
    <row r="1260" spans="38:53" ht="15" customHeight="1" x14ac:dyDescent="0.25">
      <c r="AL1260" s="31"/>
      <c r="AM1260" s="26"/>
      <c r="AN1260" s="32"/>
      <c r="AO1260" s="32"/>
      <c r="AP1260" s="24"/>
      <c r="AQ1260" s="24"/>
      <c r="AR1260" s="33"/>
      <c r="AS1260" s="34"/>
      <c r="AT1260" s="33"/>
      <c r="AV1260" s="21">
        <f>IF(AND($AL1260&lt;&gt;"",COUNTIF($AL$11:$AL1260,$AL1260)=1),1,0)</f>
        <v>0</v>
      </c>
      <c r="AW1260" s="21">
        <f t="shared" si="125"/>
        <v>2</v>
      </c>
      <c r="AX1260" s="21" t="str">
        <f t="shared" si="124"/>
        <v/>
      </c>
      <c r="AY1260" s="21" t="str">
        <f>IF(AND($AM1260&lt;&gt;"",$AS1260&lt;&gt;"✓"),SUMPRODUCT(($AM$11:$AM1260&lt;&gt;"")*($AS$11:$AS1260&lt;&gt;"✓")),"")</f>
        <v/>
      </c>
      <c r="AZ1260" s="21" t="str">
        <f>IF(AND($AM1260&lt;&gt;"",$AS1260="✓"),SUMPRODUCT(($AM$11:$AM1260&lt;&gt;"")*($AS$11:$AS1260="✓")),"")</f>
        <v/>
      </c>
      <c r="BA1260" s="21" t="str">
        <f>IF($AL1260="","",$AL1260&amp;"|"&amp;COUNTIF($AL$11:$AL1260,$AL1260))</f>
        <v/>
      </c>
    </row>
    <row r="1261" spans="38:53" ht="15" customHeight="1" x14ac:dyDescent="0.25">
      <c r="AL1261" s="17"/>
      <c r="AM1261" s="12"/>
      <c r="AN1261" s="18"/>
      <c r="AO1261" s="18"/>
      <c r="AP1261" s="10"/>
      <c r="AQ1261" s="10"/>
      <c r="AR1261" s="19"/>
      <c r="AS1261" s="20"/>
      <c r="AT1261" s="19"/>
      <c r="AV1261" s="21">
        <f>IF(AND($AL1261&lt;&gt;"",COUNTIF($AL$11:$AL1261,$AL1261)=1),1,0)</f>
        <v>0</v>
      </c>
      <c r="AW1261" s="21">
        <f t="shared" si="125"/>
        <v>2</v>
      </c>
      <c r="AX1261" s="21" t="str">
        <f t="shared" si="124"/>
        <v/>
      </c>
      <c r="AY1261" s="21" t="str">
        <f>IF(AND($AM1261&lt;&gt;"",$AS1261&lt;&gt;"✓"),SUMPRODUCT(($AM$11:$AM1261&lt;&gt;"")*($AS$11:$AS1261&lt;&gt;"✓")),"")</f>
        <v/>
      </c>
      <c r="AZ1261" s="21" t="str">
        <f>IF(AND($AM1261&lt;&gt;"",$AS1261="✓"),SUMPRODUCT(($AM$11:$AM1261&lt;&gt;"")*($AS$11:$AS1261="✓")),"")</f>
        <v/>
      </c>
      <c r="BA1261" s="21" t="str">
        <f>IF($AL1261="","",$AL1261&amp;"|"&amp;COUNTIF($AL$11:$AL1261,$AL1261))</f>
        <v/>
      </c>
    </row>
    <row r="1262" spans="38:53" ht="15" customHeight="1" x14ac:dyDescent="0.25">
      <c r="AL1262" s="31"/>
      <c r="AM1262" s="26"/>
      <c r="AN1262" s="32"/>
      <c r="AO1262" s="32"/>
      <c r="AP1262" s="24"/>
      <c r="AQ1262" s="24"/>
      <c r="AR1262" s="33"/>
      <c r="AS1262" s="34"/>
      <c r="AT1262" s="33"/>
      <c r="AV1262" s="21">
        <f>IF(AND($AL1262&lt;&gt;"",COUNTIF($AL$11:$AL1262,$AL1262)=1),1,0)</f>
        <v>0</v>
      </c>
      <c r="AW1262" s="21">
        <f t="shared" si="125"/>
        <v>2</v>
      </c>
      <c r="AX1262" s="21" t="str">
        <f t="shared" si="124"/>
        <v/>
      </c>
      <c r="AY1262" s="21" t="str">
        <f>IF(AND($AM1262&lt;&gt;"",$AS1262&lt;&gt;"✓"),SUMPRODUCT(($AM$11:$AM1262&lt;&gt;"")*($AS$11:$AS1262&lt;&gt;"✓")),"")</f>
        <v/>
      </c>
      <c r="AZ1262" s="21" t="str">
        <f>IF(AND($AM1262&lt;&gt;"",$AS1262="✓"),SUMPRODUCT(($AM$11:$AM1262&lt;&gt;"")*($AS$11:$AS1262="✓")),"")</f>
        <v/>
      </c>
      <c r="BA1262" s="21" t="str">
        <f>IF($AL1262="","",$AL1262&amp;"|"&amp;COUNTIF($AL$11:$AL1262,$AL1262))</f>
        <v/>
      </c>
    </row>
    <row r="1263" spans="38:53" ht="15" customHeight="1" x14ac:dyDescent="0.25">
      <c r="AL1263" s="17"/>
      <c r="AM1263" s="12"/>
      <c r="AN1263" s="18"/>
      <c r="AO1263" s="18"/>
      <c r="AP1263" s="10"/>
      <c r="AQ1263" s="10"/>
      <c r="AR1263" s="19"/>
      <c r="AS1263" s="20"/>
      <c r="AT1263" s="19"/>
      <c r="AV1263" s="21">
        <f>IF(AND($AL1263&lt;&gt;"",COUNTIF($AL$11:$AL1263,$AL1263)=1),1,0)</f>
        <v>0</v>
      </c>
      <c r="AW1263" s="21">
        <f t="shared" si="125"/>
        <v>2</v>
      </c>
      <c r="AX1263" s="21" t="str">
        <f t="shared" si="124"/>
        <v/>
      </c>
      <c r="AY1263" s="21" t="str">
        <f>IF(AND($AM1263&lt;&gt;"",$AS1263&lt;&gt;"✓"),SUMPRODUCT(($AM$11:$AM1263&lt;&gt;"")*($AS$11:$AS1263&lt;&gt;"✓")),"")</f>
        <v/>
      </c>
      <c r="AZ1263" s="21" t="str">
        <f>IF(AND($AM1263&lt;&gt;"",$AS1263="✓"),SUMPRODUCT(($AM$11:$AM1263&lt;&gt;"")*($AS$11:$AS1263="✓")),"")</f>
        <v/>
      </c>
      <c r="BA1263" s="21" t="str">
        <f>IF($AL1263="","",$AL1263&amp;"|"&amp;COUNTIF($AL$11:$AL1263,$AL1263))</f>
        <v/>
      </c>
    </row>
    <row r="1264" spans="38:53" ht="15" customHeight="1" x14ac:dyDescent="0.25">
      <c r="AL1264" s="31"/>
      <c r="AM1264" s="26"/>
      <c r="AN1264" s="32"/>
      <c r="AO1264" s="32"/>
      <c r="AP1264" s="24"/>
      <c r="AQ1264" s="24"/>
      <c r="AR1264" s="33"/>
      <c r="AS1264" s="34"/>
      <c r="AT1264" s="33"/>
      <c r="AV1264" s="21">
        <f>IF(AND($AL1264&lt;&gt;"",COUNTIF($AL$11:$AL1264,$AL1264)=1),1,0)</f>
        <v>0</v>
      </c>
      <c r="AW1264" s="21">
        <f t="shared" si="125"/>
        <v>2</v>
      </c>
      <c r="AX1264" s="21" t="str">
        <f t="shared" si="124"/>
        <v/>
      </c>
      <c r="AY1264" s="21" t="str">
        <f>IF(AND($AM1264&lt;&gt;"",$AS1264&lt;&gt;"✓"),SUMPRODUCT(($AM$11:$AM1264&lt;&gt;"")*($AS$11:$AS1264&lt;&gt;"✓")),"")</f>
        <v/>
      </c>
      <c r="AZ1264" s="21" t="str">
        <f>IF(AND($AM1264&lt;&gt;"",$AS1264="✓"),SUMPRODUCT(($AM$11:$AM1264&lt;&gt;"")*($AS$11:$AS1264="✓")),"")</f>
        <v/>
      </c>
      <c r="BA1264" s="21" t="str">
        <f>IF($AL1264="","",$AL1264&amp;"|"&amp;COUNTIF($AL$11:$AL1264,$AL1264))</f>
        <v/>
      </c>
    </row>
    <row r="1265" spans="38:53" ht="15" customHeight="1" x14ac:dyDescent="0.25">
      <c r="AL1265" s="17"/>
      <c r="AM1265" s="12"/>
      <c r="AN1265" s="18"/>
      <c r="AO1265" s="18"/>
      <c r="AP1265" s="10"/>
      <c r="AQ1265" s="10"/>
      <c r="AR1265" s="19"/>
      <c r="AS1265" s="20"/>
      <c r="AT1265" s="19"/>
      <c r="AV1265" s="21">
        <f>IF(AND($AL1265&lt;&gt;"",COUNTIF($AL$11:$AL1265,$AL1265)=1),1,0)</f>
        <v>0</v>
      </c>
      <c r="AW1265" s="21">
        <f t="shared" si="125"/>
        <v>2</v>
      </c>
      <c r="AX1265" s="21" t="str">
        <f t="shared" si="124"/>
        <v/>
      </c>
      <c r="AY1265" s="21" t="str">
        <f>IF(AND($AM1265&lt;&gt;"",$AS1265&lt;&gt;"✓"),SUMPRODUCT(($AM$11:$AM1265&lt;&gt;"")*($AS$11:$AS1265&lt;&gt;"✓")),"")</f>
        <v/>
      </c>
      <c r="AZ1265" s="21" t="str">
        <f>IF(AND($AM1265&lt;&gt;"",$AS1265="✓"),SUMPRODUCT(($AM$11:$AM1265&lt;&gt;"")*($AS$11:$AS1265="✓")),"")</f>
        <v/>
      </c>
      <c r="BA1265" s="21" t="str">
        <f>IF($AL1265="","",$AL1265&amp;"|"&amp;COUNTIF($AL$11:$AL1265,$AL1265))</f>
        <v/>
      </c>
    </row>
    <row r="1266" spans="38:53" ht="15" customHeight="1" x14ac:dyDescent="0.25">
      <c r="AL1266" s="31"/>
      <c r="AM1266" s="26"/>
      <c r="AN1266" s="32"/>
      <c r="AO1266" s="32"/>
      <c r="AP1266" s="24"/>
      <c r="AQ1266" s="24"/>
      <c r="AR1266" s="33"/>
      <c r="AS1266" s="34"/>
      <c r="AT1266" s="33"/>
      <c r="AV1266" s="21">
        <f>IF(AND($AL1266&lt;&gt;"",COUNTIF($AL$11:$AL1266,$AL1266)=1),1,0)</f>
        <v>0</v>
      </c>
      <c r="AW1266" s="21">
        <f t="shared" si="125"/>
        <v>2</v>
      </c>
      <c r="AX1266" s="21" t="str">
        <f t="shared" si="124"/>
        <v/>
      </c>
      <c r="AY1266" s="21" t="str">
        <f>IF(AND($AM1266&lt;&gt;"",$AS1266&lt;&gt;"✓"),SUMPRODUCT(($AM$11:$AM1266&lt;&gt;"")*($AS$11:$AS1266&lt;&gt;"✓")),"")</f>
        <v/>
      </c>
      <c r="AZ1266" s="21" t="str">
        <f>IF(AND($AM1266&lt;&gt;"",$AS1266="✓"),SUMPRODUCT(($AM$11:$AM1266&lt;&gt;"")*($AS$11:$AS1266="✓")),"")</f>
        <v/>
      </c>
      <c r="BA1266" s="21" t="str">
        <f>IF($AL1266="","",$AL1266&amp;"|"&amp;COUNTIF($AL$11:$AL1266,$AL1266))</f>
        <v/>
      </c>
    </row>
    <row r="1267" spans="38:53" ht="15" customHeight="1" x14ac:dyDescent="0.25">
      <c r="AL1267" s="17"/>
      <c r="AM1267" s="12"/>
      <c r="AN1267" s="18"/>
      <c r="AO1267" s="18"/>
      <c r="AP1267" s="10"/>
      <c r="AQ1267" s="10"/>
      <c r="AR1267" s="19"/>
      <c r="AS1267" s="20"/>
      <c r="AT1267" s="19"/>
      <c r="AV1267" s="21">
        <f>IF(AND($AL1267&lt;&gt;"",COUNTIF($AL$11:$AL1267,$AL1267)=1),1,0)</f>
        <v>0</v>
      </c>
      <c r="AW1267" s="21">
        <f t="shared" si="125"/>
        <v>2</v>
      </c>
      <c r="AX1267" s="21" t="str">
        <f t="shared" si="124"/>
        <v/>
      </c>
      <c r="AY1267" s="21" t="str">
        <f>IF(AND($AM1267&lt;&gt;"",$AS1267&lt;&gt;"✓"),SUMPRODUCT(($AM$11:$AM1267&lt;&gt;"")*($AS$11:$AS1267&lt;&gt;"✓")),"")</f>
        <v/>
      </c>
      <c r="AZ1267" s="21" t="str">
        <f>IF(AND($AM1267&lt;&gt;"",$AS1267="✓"),SUMPRODUCT(($AM$11:$AM1267&lt;&gt;"")*($AS$11:$AS1267="✓")),"")</f>
        <v/>
      </c>
      <c r="BA1267" s="21" t="str">
        <f>IF($AL1267="","",$AL1267&amp;"|"&amp;COUNTIF($AL$11:$AL1267,$AL1267))</f>
        <v/>
      </c>
    </row>
    <row r="1268" spans="38:53" ht="15" customHeight="1" x14ac:dyDescent="0.25">
      <c r="AL1268" s="31"/>
      <c r="AM1268" s="26"/>
      <c r="AN1268" s="32"/>
      <c r="AO1268" s="32"/>
      <c r="AP1268" s="24"/>
      <c r="AQ1268" s="24"/>
      <c r="AR1268" s="33"/>
      <c r="AS1268" s="34"/>
      <c r="AT1268" s="33"/>
      <c r="AV1268" s="21">
        <f>IF(AND($AL1268&lt;&gt;"",COUNTIF($AL$11:$AL1268,$AL1268)=1),1,0)</f>
        <v>0</v>
      </c>
      <c r="AW1268" s="21">
        <f t="shared" si="125"/>
        <v>2</v>
      </c>
      <c r="AX1268" s="21" t="str">
        <f t="shared" si="124"/>
        <v/>
      </c>
      <c r="AY1268" s="21" t="str">
        <f>IF(AND($AM1268&lt;&gt;"",$AS1268&lt;&gt;"✓"),SUMPRODUCT(($AM$11:$AM1268&lt;&gt;"")*($AS$11:$AS1268&lt;&gt;"✓")),"")</f>
        <v/>
      </c>
      <c r="AZ1268" s="21" t="str">
        <f>IF(AND($AM1268&lt;&gt;"",$AS1268="✓"),SUMPRODUCT(($AM$11:$AM1268&lt;&gt;"")*($AS$11:$AS1268="✓")),"")</f>
        <v/>
      </c>
      <c r="BA1268" s="21" t="str">
        <f>IF($AL1268="","",$AL1268&amp;"|"&amp;COUNTIF($AL$11:$AL1268,$AL1268))</f>
        <v/>
      </c>
    </row>
    <row r="1269" spans="38:53" ht="15" customHeight="1" x14ac:dyDescent="0.25">
      <c r="AL1269" s="17"/>
      <c r="AM1269" s="12"/>
      <c r="AN1269" s="18"/>
      <c r="AO1269" s="18"/>
      <c r="AP1269" s="10"/>
      <c r="AQ1269" s="10"/>
      <c r="AR1269" s="19"/>
      <c r="AS1269" s="20"/>
      <c r="AT1269" s="19"/>
      <c r="AV1269" s="21">
        <f>IF(AND($AL1269&lt;&gt;"",COUNTIF($AL$11:$AL1269,$AL1269)=1),1,0)</f>
        <v>0</v>
      </c>
      <c r="AW1269" s="21">
        <f t="shared" si="125"/>
        <v>2</v>
      </c>
      <c r="AX1269" s="21" t="str">
        <f t="shared" si="124"/>
        <v/>
      </c>
      <c r="AY1269" s="21" t="str">
        <f>IF(AND($AM1269&lt;&gt;"",$AS1269&lt;&gt;"✓"),SUMPRODUCT(($AM$11:$AM1269&lt;&gt;"")*($AS$11:$AS1269&lt;&gt;"✓")),"")</f>
        <v/>
      </c>
      <c r="AZ1269" s="21" t="str">
        <f>IF(AND($AM1269&lt;&gt;"",$AS1269="✓"),SUMPRODUCT(($AM$11:$AM1269&lt;&gt;"")*($AS$11:$AS1269="✓")),"")</f>
        <v/>
      </c>
      <c r="BA1269" s="21" t="str">
        <f>IF($AL1269="","",$AL1269&amp;"|"&amp;COUNTIF($AL$11:$AL1269,$AL1269))</f>
        <v/>
      </c>
    </row>
    <row r="1270" spans="38:53" ht="15" customHeight="1" x14ac:dyDescent="0.25">
      <c r="AL1270" s="31"/>
      <c r="AM1270" s="26"/>
      <c r="AN1270" s="32"/>
      <c r="AO1270" s="32"/>
      <c r="AP1270" s="24"/>
      <c r="AQ1270" s="24"/>
      <c r="AR1270" s="33"/>
      <c r="AS1270" s="34"/>
      <c r="AT1270" s="33"/>
      <c r="AV1270" s="21">
        <f>IF(AND($AL1270&lt;&gt;"",COUNTIF($AL$11:$AL1270,$AL1270)=1),1,0)</f>
        <v>0</v>
      </c>
      <c r="AW1270" s="21">
        <f t="shared" si="125"/>
        <v>2</v>
      </c>
      <c r="AX1270" s="21" t="str">
        <f t="shared" si="124"/>
        <v/>
      </c>
      <c r="AY1270" s="21" t="str">
        <f>IF(AND($AM1270&lt;&gt;"",$AS1270&lt;&gt;"✓"),SUMPRODUCT(($AM$11:$AM1270&lt;&gt;"")*($AS$11:$AS1270&lt;&gt;"✓")),"")</f>
        <v/>
      </c>
      <c r="AZ1270" s="21" t="str">
        <f>IF(AND($AM1270&lt;&gt;"",$AS1270="✓"),SUMPRODUCT(($AM$11:$AM1270&lt;&gt;"")*($AS$11:$AS1270="✓")),"")</f>
        <v/>
      </c>
      <c r="BA1270" s="21" t="str">
        <f>IF($AL1270="","",$AL1270&amp;"|"&amp;COUNTIF($AL$11:$AL1270,$AL1270))</f>
        <v/>
      </c>
    </row>
    <row r="1271" spans="38:53" ht="15" customHeight="1" x14ac:dyDescent="0.25">
      <c r="AL1271" s="17"/>
      <c r="AM1271" s="12"/>
      <c r="AN1271" s="18"/>
      <c r="AO1271" s="18"/>
      <c r="AP1271" s="10"/>
      <c r="AQ1271" s="10"/>
      <c r="AR1271" s="19"/>
      <c r="AS1271" s="20"/>
      <c r="AT1271" s="19"/>
      <c r="AV1271" s="21">
        <f>IF(AND($AL1271&lt;&gt;"",COUNTIF($AL$11:$AL1271,$AL1271)=1),1,0)</f>
        <v>0</v>
      </c>
      <c r="AW1271" s="21">
        <f t="shared" si="125"/>
        <v>2</v>
      </c>
      <c r="AX1271" s="21" t="str">
        <f t="shared" si="124"/>
        <v/>
      </c>
      <c r="AY1271" s="21" t="str">
        <f>IF(AND($AM1271&lt;&gt;"",$AS1271&lt;&gt;"✓"),SUMPRODUCT(($AM$11:$AM1271&lt;&gt;"")*($AS$11:$AS1271&lt;&gt;"✓")),"")</f>
        <v/>
      </c>
      <c r="AZ1271" s="21" t="str">
        <f>IF(AND($AM1271&lt;&gt;"",$AS1271="✓"),SUMPRODUCT(($AM$11:$AM1271&lt;&gt;"")*($AS$11:$AS1271="✓")),"")</f>
        <v/>
      </c>
      <c r="BA1271" s="21" t="str">
        <f>IF($AL1271="","",$AL1271&amp;"|"&amp;COUNTIF($AL$11:$AL1271,$AL1271))</f>
        <v/>
      </c>
    </row>
    <row r="1272" spans="38:53" ht="15" customHeight="1" x14ac:dyDescent="0.25">
      <c r="AL1272" s="31"/>
      <c r="AM1272" s="26"/>
      <c r="AN1272" s="32"/>
      <c r="AO1272" s="32"/>
      <c r="AP1272" s="24"/>
      <c r="AQ1272" s="24"/>
      <c r="AR1272" s="33"/>
      <c r="AS1272" s="34"/>
      <c r="AT1272" s="33"/>
      <c r="AV1272" s="21">
        <f>IF(AND($AL1272&lt;&gt;"",COUNTIF($AL$11:$AL1272,$AL1272)=1),1,0)</f>
        <v>0</v>
      </c>
      <c r="AW1272" s="21">
        <f t="shared" si="125"/>
        <v>2</v>
      </c>
      <c r="AX1272" s="21" t="str">
        <f t="shared" si="124"/>
        <v/>
      </c>
      <c r="AY1272" s="21" t="str">
        <f>IF(AND($AM1272&lt;&gt;"",$AS1272&lt;&gt;"✓"),SUMPRODUCT(($AM$11:$AM1272&lt;&gt;"")*($AS$11:$AS1272&lt;&gt;"✓")),"")</f>
        <v/>
      </c>
      <c r="AZ1272" s="21" t="str">
        <f>IF(AND($AM1272&lt;&gt;"",$AS1272="✓"),SUMPRODUCT(($AM$11:$AM1272&lt;&gt;"")*($AS$11:$AS1272="✓")),"")</f>
        <v/>
      </c>
      <c r="BA1272" s="21" t="str">
        <f>IF($AL1272="","",$AL1272&amp;"|"&amp;COUNTIF($AL$11:$AL1272,$AL1272))</f>
        <v/>
      </c>
    </row>
    <row r="1273" spans="38:53" ht="15" customHeight="1" x14ac:dyDescent="0.25">
      <c r="AL1273" s="17"/>
      <c r="AM1273" s="12"/>
      <c r="AN1273" s="18"/>
      <c r="AO1273" s="18"/>
      <c r="AP1273" s="10"/>
      <c r="AQ1273" s="10"/>
      <c r="AR1273" s="19"/>
      <c r="AS1273" s="20"/>
      <c r="AT1273" s="19"/>
      <c r="AV1273" s="21">
        <f>IF(AND($AL1273&lt;&gt;"",COUNTIF($AL$11:$AL1273,$AL1273)=1),1,0)</f>
        <v>0</v>
      </c>
      <c r="AW1273" s="21">
        <f t="shared" si="125"/>
        <v>2</v>
      </c>
      <c r="AX1273" s="21" t="str">
        <f t="shared" si="124"/>
        <v/>
      </c>
      <c r="AY1273" s="21" t="str">
        <f>IF(AND($AM1273&lt;&gt;"",$AS1273&lt;&gt;"✓"),SUMPRODUCT(($AM$11:$AM1273&lt;&gt;"")*($AS$11:$AS1273&lt;&gt;"✓")),"")</f>
        <v/>
      </c>
      <c r="AZ1273" s="21" t="str">
        <f>IF(AND($AM1273&lt;&gt;"",$AS1273="✓"),SUMPRODUCT(($AM$11:$AM1273&lt;&gt;"")*($AS$11:$AS1273="✓")),"")</f>
        <v/>
      </c>
      <c r="BA1273" s="21" t="str">
        <f>IF($AL1273="","",$AL1273&amp;"|"&amp;COUNTIF($AL$11:$AL1273,$AL1273))</f>
        <v/>
      </c>
    </row>
    <row r="1274" spans="38:53" ht="15" customHeight="1" x14ac:dyDescent="0.25">
      <c r="AL1274" s="31"/>
      <c r="AM1274" s="26"/>
      <c r="AN1274" s="32"/>
      <c r="AO1274" s="32"/>
      <c r="AP1274" s="24"/>
      <c r="AQ1274" s="24"/>
      <c r="AR1274" s="33"/>
      <c r="AS1274" s="34"/>
      <c r="AT1274" s="33"/>
      <c r="AV1274" s="21">
        <f>IF(AND($AL1274&lt;&gt;"",COUNTIF($AL$11:$AL1274,$AL1274)=1),1,0)</f>
        <v>0</v>
      </c>
      <c r="AW1274" s="21">
        <f t="shared" si="125"/>
        <v>2</v>
      </c>
      <c r="AX1274" s="21" t="str">
        <f t="shared" si="124"/>
        <v/>
      </c>
      <c r="AY1274" s="21" t="str">
        <f>IF(AND($AM1274&lt;&gt;"",$AS1274&lt;&gt;"✓"),SUMPRODUCT(($AM$11:$AM1274&lt;&gt;"")*($AS$11:$AS1274&lt;&gt;"✓")),"")</f>
        <v/>
      </c>
      <c r="AZ1274" s="21" t="str">
        <f>IF(AND($AM1274&lt;&gt;"",$AS1274="✓"),SUMPRODUCT(($AM$11:$AM1274&lt;&gt;"")*($AS$11:$AS1274="✓")),"")</f>
        <v/>
      </c>
      <c r="BA1274" s="21" t="str">
        <f>IF($AL1274="","",$AL1274&amp;"|"&amp;COUNTIF($AL$11:$AL1274,$AL1274))</f>
        <v/>
      </c>
    </row>
    <row r="1275" spans="38:53" ht="15" customHeight="1" x14ac:dyDescent="0.25">
      <c r="AL1275" s="17"/>
      <c r="AM1275" s="12"/>
      <c r="AN1275" s="18"/>
      <c r="AO1275" s="18"/>
      <c r="AP1275" s="10"/>
      <c r="AQ1275" s="10"/>
      <c r="AR1275" s="19"/>
      <c r="AS1275" s="20"/>
      <c r="AT1275" s="19"/>
      <c r="AV1275" s="21">
        <f>IF(AND($AL1275&lt;&gt;"",COUNTIF($AL$11:$AL1275,$AL1275)=1),1,0)</f>
        <v>0</v>
      </c>
      <c r="AW1275" s="21">
        <f t="shared" si="125"/>
        <v>2</v>
      </c>
      <c r="AX1275" s="21" t="str">
        <f t="shared" si="124"/>
        <v/>
      </c>
      <c r="AY1275" s="21" t="str">
        <f>IF(AND($AM1275&lt;&gt;"",$AS1275&lt;&gt;"✓"),SUMPRODUCT(($AM$11:$AM1275&lt;&gt;"")*($AS$11:$AS1275&lt;&gt;"✓")),"")</f>
        <v/>
      </c>
      <c r="AZ1275" s="21" t="str">
        <f>IF(AND($AM1275&lt;&gt;"",$AS1275="✓"),SUMPRODUCT(($AM$11:$AM1275&lt;&gt;"")*($AS$11:$AS1275="✓")),"")</f>
        <v/>
      </c>
      <c r="BA1275" s="21" t="str">
        <f>IF($AL1275="","",$AL1275&amp;"|"&amp;COUNTIF($AL$11:$AL1275,$AL1275))</f>
        <v/>
      </c>
    </row>
    <row r="1276" spans="38:53" ht="15" customHeight="1" x14ac:dyDescent="0.25">
      <c r="AL1276" s="31"/>
      <c r="AM1276" s="26"/>
      <c r="AN1276" s="32"/>
      <c r="AO1276" s="32"/>
      <c r="AP1276" s="24"/>
      <c r="AQ1276" s="24"/>
      <c r="AR1276" s="33"/>
      <c r="AS1276" s="34"/>
      <c r="AT1276" s="33"/>
      <c r="AV1276" s="21">
        <f>IF(AND($AL1276&lt;&gt;"",COUNTIF($AL$11:$AL1276,$AL1276)=1),1,0)</f>
        <v>0</v>
      </c>
      <c r="AW1276" s="21">
        <f t="shared" si="125"/>
        <v>2</v>
      </c>
      <c r="AX1276" s="21" t="str">
        <f t="shared" si="124"/>
        <v/>
      </c>
      <c r="AY1276" s="21" t="str">
        <f>IF(AND($AM1276&lt;&gt;"",$AS1276&lt;&gt;"✓"),SUMPRODUCT(($AM$11:$AM1276&lt;&gt;"")*($AS$11:$AS1276&lt;&gt;"✓")),"")</f>
        <v/>
      </c>
      <c r="AZ1276" s="21" t="str">
        <f>IF(AND($AM1276&lt;&gt;"",$AS1276="✓"),SUMPRODUCT(($AM$11:$AM1276&lt;&gt;"")*($AS$11:$AS1276="✓")),"")</f>
        <v/>
      </c>
      <c r="BA1276" s="21" t="str">
        <f>IF($AL1276="","",$AL1276&amp;"|"&amp;COUNTIF($AL$11:$AL1276,$AL1276))</f>
        <v/>
      </c>
    </row>
    <row r="1277" spans="38:53" ht="15" customHeight="1" x14ac:dyDescent="0.25">
      <c r="AL1277" s="17"/>
      <c r="AM1277" s="12"/>
      <c r="AN1277" s="18"/>
      <c r="AO1277" s="18"/>
      <c r="AP1277" s="10"/>
      <c r="AQ1277" s="10"/>
      <c r="AR1277" s="19"/>
      <c r="AS1277" s="20"/>
      <c r="AT1277" s="19"/>
      <c r="AV1277" s="21">
        <f>IF(AND($AL1277&lt;&gt;"",COUNTIF($AL$11:$AL1277,$AL1277)=1),1,0)</f>
        <v>0</v>
      </c>
      <c r="AW1277" s="21">
        <f t="shared" si="125"/>
        <v>2</v>
      </c>
      <c r="AX1277" s="21" t="str">
        <f t="shared" si="124"/>
        <v/>
      </c>
      <c r="AY1277" s="21" t="str">
        <f>IF(AND($AM1277&lt;&gt;"",$AS1277&lt;&gt;"✓"),SUMPRODUCT(($AM$11:$AM1277&lt;&gt;"")*($AS$11:$AS1277&lt;&gt;"✓")),"")</f>
        <v/>
      </c>
      <c r="AZ1277" s="21" t="str">
        <f>IF(AND($AM1277&lt;&gt;"",$AS1277="✓"),SUMPRODUCT(($AM$11:$AM1277&lt;&gt;"")*($AS$11:$AS1277="✓")),"")</f>
        <v/>
      </c>
      <c r="BA1277" s="21" t="str">
        <f>IF($AL1277="","",$AL1277&amp;"|"&amp;COUNTIF($AL$11:$AL1277,$AL1277))</f>
        <v/>
      </c>
    </row>
    <row r="1278" spans="38:53" ht="15" customHeight="1" x14ac:dyDescent="0.25">
      <c r="AL1278" s="31"/>
      <c r="AM1278" s="26"/>
      <c r="AN1278" s="32"/>
      <c r="AO1278" s="32"/>
      <c r="AP1278" s="24"/>
      <c r="AQ1278" s="24"/>
      <c r="AR1278" s="33"/>
      <c r="AS1278" s="34"/>
      <c r="AT1278" s="33"/>
      <c r="AV1278" s="21">
        <f>IF(AND($AL1278&lt;&gt;"",COUNTIF($AL$11:$AL1278,$AL1278)=1),1,0)</f>
        <v>0</v>
      </c>
      <c r="AW1278" s="21">
        <f t="shared" si="125"/>
        <v>2</v>
      </c>
      <c r="AX1278" s="21" t="str">
        <f t="shared" si="124"/>
        <v/>
      </c>
      <c r="AY1278" s="21" t="str">
        <f>IF(AND($AM1278&lt;&gt;"",$AS1278&lt;&gt;"✓"),SUMPRODUCT(($AM$11:$AM1278&lt;&gt;"")*($AS$11:$AS1278&lt;&gt;"✓")),"")</f>
        <v/>
      </c>
      <c r="AZ1278" s="21" t="str">
        <f>IF(AND($AM1278&lt;&gt;"",$AS1278="✓"),SUMPRODUCT(($AM$11:$AM1278&lt;&gt;"")*($AS$11:$AS1278="✓")),"")</f>
        <v/>
      </c>
      <c r="BA1278" s="21" t="str">
        <f>IF($AL1278="","",$AL1278&amp;"|"&amp;COUNTIF($AL$11:$AL1278,$AL1278))</f>
        <v/>
      </c>
    </row>
    <row r="1279" spans="38:53" ht="15" customHeight="1" x14ac:dyDescent="0.25">
      <c r="AL1279" s="17"/>
      <c r="AM1279" s="12"/>
      <c r="AN1279" s="18"/>
      <c r="AO1279" s="18"/>
      <c r="AP1279" s="10"/>
      <c r="AQ1279" s="10"/>
      <c r="AR1279" s="19"/>
      <c r="AS1279" s="20"/>
      <c r="AT1279" s="19"/>
      <c r="AV1279" s="21">
        <f>IF(AND($AL1279&lt;&gt;"",COUNTIF($AL$11:$AL1279,$AL1279)=1),1,0)</f>
        <v>0</v>
      </c>
      <c r="AW1279" s="21">
        <f t="shared" si="125"/>
        <v>2</v>
      </c>
      <c r="AX1279" s="21" t="str">
        <f t="shared" si="124"/>
        <v/>
      </c>
      <c r="AY1279" s="21" t="str">
        <f>IF(AND($AM1279&lt;&gt;"",$AS1279&lt;&gt;"✓"),SUMPRODUCT(($AM$11:$AM1279&lt;&gt;"")*($AS$11:$AS1279&lt;&gt;"✓")),"")</f>
        <v/>
      </c>
      <c r="AZ1279" s="21" t="str">
        <f>IF(AND($AM1279&lt;&gt;"",$AS1279="✓"),SUMPRODUCT(($AM$11:$AM1279&lt;&gt;"")*($AS$11:$AS1279="✓")),"")</f>
        <v/>
      </c>
      <c r="BA1279" s="21" t="str">
        <f>IF($AL1279="","",$AL1279&amp;"|"&amp;COUNTIF($AL$11:$AL1279,$AL1279))</f>
        <v/>
      </c>
    </row>
    <row r="1280" spans="38:53" ht="15" customHeight="1" x14ac:dyDescent="0.25">
      <c r="AL1280" s="31"/>
      <c r="AM1280" s="26"/>
      <c r="AN1280" s="32"/>
      <c r="AO1280" s="32"/>
      <c r="AP1280" s="24"/>
      <c r="AQ1280" s="24"/>
      <c r="AR1280" s="33"/>
      <c r="AS1280" s="34"/>
      <c r="AT1280" s="33"/>
      <c r="AV1280" s="21">
        <f>IF(AND($AL1280&lt;&gt;"",COUNTIF($AL$11:$AL1280,$AL1280)=1),1,0)</f>
        <v>0</v>
      </c>
      <c r="AW1280" s="21">
        <f t="shared" si="125"/>
        <v>2</v>
      </c>
      <c r="AX1280" s="21" t="str">
        <f t="shared" si="124"/>
        <v/>
      </c>
      <c r="AY1280" s="21" t="str">
        <f>IF(AND($AM1280&lt;&gt;"",$AS1280&lt;&gt;"✓"),SUMPRODUCT(($AM$11:$AM1280&lt;&gt;"")*($AS$11:$AS1280&lt;&gt;"✓")),"")</f>
        <v/>
      </c>
      <c r="AZ1280" s="21" t="str">
        <f>IF(AND($AM1280&lt;&gt;"",$AS1280="✓"),SUMPRODUCT(($AM$11:$AM1280&lt;&gt;"")*($AS$11:$AS1280="✓")),"")</f>
        <v/>
      </c>
      <c r="BA1280" s="21" t="str">
        <f>IF($AL1280="","",$AL1280&amp;"|"&amp;COUNTIF($AL$11:$AL1280,$AL1280))</f>
        <v/>
      </c>
    </row>
    <row r="1281" spans="38:53" ht="15" customHeight="1" x14ac:dyDescent="0.25">
      <c r="AL1281" s="17"/>
      <c r="AM1281" s="12"/>
      <c r="AN1281" s="18"/>
      <c r="AO1281" s="18"/>
      <c r="AP1281" s="10"/>
      <c r="AQ1281" s="10"/>
      <c r="AR1281" s="19"/>
      <c r="AS1281" s="20"/>
      <c r="AT1281" s="19"/>
      <c r="AV1281" s="21">
        <f>IF(AND($AL1281&lt;&gt;"",COUNTIF($AL$11:$AL1281,$AL1281)=1),1,0)</f>
        <v>0</v>
      </c>
      <c r="AW1281" s="21">
        <f t="shared" si="125"/>
        <v>2</v>
      </c>
      <c r="AX1281" s="21" t="str">
        <f t="shared" si="124"/>
        <v/>
      </c>
      <c r="AY1281" s="21" t="str">
        <f>IF(AND($AM1281&lt;&gt;"",$AS1281&lt;&gt;"✓"),SUMPRODUCT(($AM$11:$AM1281&lt;&gt;"")*($AS$11:$AS1281&lt;&gt;"✓")),"")</f>
        <v/>
      </c>
      <c r="AZ1281" s="21" t="str">
        <f>IF(AND($AM1281&lt;&gt;"",$AS1281="✓"),SUMPRODUCT(($AM$11:$AM1281&lt;&gt;"")*($AS$11:$AS1281="✓")),"")</f>
        <v/>
      </c>
      <c r="BA1281" s="21" t="str">
        <f>IF($AL1281="","",$AL1281&amp;"|"&amp;COUNTIF($AL$11:$AL1281,$AL1281))</f>
        <v/>
      </c>
    </row>
    <row r="1282" spans="38:53" ht="15" customHeight="1" x14ac:dyDescent="0.25">
      <c r="AL1282" s="31"/>
      <c r="AM1282" s="26"/>
      <c r="AN1282" s="32"/>
      <c r="AO1282" s="32"/>
      <c r="AP1282" s="24"/>
      <c r="AQ1282" s="24"/>
      <c r="AR1282" s="33"/>
      <c r="AS1282" s="34"/>
      <c r="AT1282" s="33"/>
      <c r="AV1282" s="21">
        <f>IF(AND($AL1282&lt;&gt;"",COUNTIF($AL$11:$AL1282,$AL1282)=1),1,0)</f>
        <v>0</v>
      </c>
      <c r="AW1282" s="21">
        <f t="shared" si="125"/>
        <v>2</v>
      </c>
      <c r="AX1282" s="21" t="str">
        <f t="shared" si="124"/>
        <v/>
      </c>
      <c r="AY1282" s="21" t="str">
        <f>IF(AND($AM1282&lt;&gt;"",$AS1282&lt;&gt;"✓"),SUMPRODUCT(($AM$11:$AM1282&lt;&gt;"")*($AS$11:$AS1282&lt;&gt;"✓")),"")</f>
        <v/>
      </c>
      <c r="AZ1282" s="21" t="str">
        <f>IF(AND($AM1282&lt;&gt;"",$AS1282="✓"),SUMPRODUCT(($AM$11:$AM1282&lt;&gt;"")*($AS$11:$AS1282="✓")),"")</f>
        <v/>
      </c>
      <c r="BA1282" s="21" t="str">
        <f>IF($AL1282="","",$AL1282&amp;"|"&amp;COUNTIF($AL$11:$AL1282,$AL1282))</f>
        <v/>
      </c>
    </row>
    <row r="1283" spans="38:53" ht="15" customHeight="1" x14ac:dyDescent="0.25">
      <c r="AL1283" s="17"/>
      <c r="AM1283" s="12"/>
      <c r="AN1283" s="18"/>
      <c r="AO1283" s="18"/>
      <c r="AP1283" s="10"/>
      <c r="AQ1283" s="10"/>
      <c r="AR1283" s="19"/>
      <c r="AS1283" s="20"/>
      <c r="AT1283" s="19"/>
      <c r="AV1283" s="21">
        <f>IF(AND($AL1283&lt;&gt;"",COUNTIF($AL$11:$AL1283,$AL1283)=1),1,0)</f>
        <v>0</v>
      </c>
      <c r="AW1283" s="21">
        <f t="shared" si="125"/>
        <v>2</v>
      </c>
      <c r="AX1283" s="21" t="str">
        <f t="shared" si="124"/>
        <v/>
      </c>
      <c r="AY1283" s="21" t="str">
        <f>IF(AND($AM1283&lt;&gt;"",$AS1283&lt;&gt;"✓"),SUMPRODUCT(($AM$11:$AM1283&lt;&gt;"")*($AS$11:$AS1283&lt;&gt;"✓")),"")</f>
        <v/>
      </c>
      <c r="AZ1283" s="21" t="str">
        <f>IF(AND($AM1283&lt;&gt;"",$AS1283="✓"),SUMPRODUCT(($AM$11:$AM1283&lt;&gt;"")*($AS$11:$AS1283="✓")),"")</f>
        <v/>
      </c>
      <c r="BA1283" s="21" t="str">
        <f>IF($AL1283="","",$AL1283&amp;"|"&amp;COUNTIF($AL$11:$AL1283,$AL1283))</f>
        <v/>
      </c>
    </row>
    <row r="1284" spans="38:53" ht="15" customHeight="1" x14ac:dyDescent="0.25">
      <c r="AL1284" s="31"/>
      <c r="AM1284" s="26"/>
      <c r="AN1284" s="32"/>
      <c r="AO1284" s="32"/>
      <c r="AP1284" s="24"/>
      <c r="AQ1284" s="24"/>
      <c r="AR1284" s="33"/>
      <c r="AS1284" s="34"/>
      <c r="AT1284" s="33"/>
      <c r="AV1284" s="21">
        <f>IF(AND($AL1284&lt;&gt;"",COUNTIF($AL$11:$AL1284,$AL1284)=1),1,0)</f>
        <v>0</v>
      </c>
      <c r="AW1284" s="21">
        <f t="shared" si="125"/>
        <v>2</v>
      </c>
      <c r="AX1284" s="21" t="str">
        <f t="shared" si="124"/>
        <v/>
      </c>
      <c r="AY1284" s="21" t="str">
        <f>IF(AND($AM1284&lt;&gt;"",$AS1284&lt;&gt;"✓"),SUMPRODUCT(($AM$11:$AM1284&lt;&gt;"")*($AS$11:$AS1284&lt;&gt;"✓")),"")</f>
        <v/>
      </c>
      <c r="AZ1284" s="21" t="str">
        <f>IF(AND($AM1284&lt;&gt;"",$AS1284="✓"),SUMPRODUCT(($AM$11:$AM1284&lt;&gt;"")*($AS$11:$AS1284="✓")),"")</f>
        <v/>
      </c>
      <c r="BA1284" s="21" t="str">
        <f>IF($AL1284="","",$AL1284&amp;"|"&amp;COUNTIF($AL$11:$AL1284,$AL1284))</f>
        <v/>
      </c>
    </row>
    <row r="1285" spans="38:53" ht="15" customHeight="1" x14ac:dyDescent="0.25">
      <c r="AL1285" s="17"/>
      <c r="AM1285" s="12"/>
      <c r="AN1285" s="18"/>
      <c r="AO1285" s="18"/>
      <c r="AP1285" s="10"/>
      <c r="AQ1285" s="10"/>
      <c r="AR1285" s="19"/>
      <c r="AS1285" s="20"/>
      <c r="AT1285" s="19"/>
      <c r="AV1285" s="21">
        <f>IF(AND($AL1285&lt;&gt;"",COUNTIF($AL$11:$AL1285,$AL1285)=1),1,0)</f>
        <v>0</v>
      </c>
      <c r="AW1285" s="21">
        <f t="shared" si="125"/>
        <v>2</v>
      </c>
      <c r="AX1285" s="21" t="str">
        <f t="shared" si="124"/>
        <v/>
      </c>
      <c r="AY1285" s="21" t="str">
        <f>IF(AND($AM1285&lt;&gt;"",$AS1285&lt;&gt;"✓"),SUMPRODUCT(($AM$11:$AM1285&lt;&gt;"")*($AS$11:$AS1285&lt;&gt;"✓")),"")</f>
        <v/>
      </c>
      <c r="AZ1285" s="21" t="str">
        <f>IF(AND($AM1285&lt;&gt;"",$AS1285="✓"),SUMPRODUCT(($AM$11:$AM1285&lt;&gt;"")*($AS$11:$AS1285="✓")),"")</f>
        <v/>
      </c>
      <c r="BA1285" s="21" t="str">
        <f>IF($AL1285="","",$AL1285&amp;"|"&amp;COUNTIF($AL$11:$AL1285,$AL1285))</f>
        <v/>
      </c>
    </row>
    <row r="1286" spans="38:53" ht="15" customHeight="1" x14ac:dyDescent="0.25">
      <c r="AL1286" s="31"/>
      <c r="AM1286" s="26"/>
      <c r="AN1286" s="32"/>
      <c r="AO1286" s="32"/>
      <c r="AP1286" s="24"/>
      <c r="AQ1286" s="24"/>
      <c r="AR1286" s="33"/>
      <c r="AS1286" s="34"/>
      <c r="AT1286" s="33"/>
      <c r="AV1286" s="21">
        <f>IF(AND($AL1286&lt;&gt;"",COUNTIF($AL$11:$AL1286,$AL1286)=1),1,0)</f>
        <v>0</v>
      </c>
      <c r="AW1286" s="21">
        <f t="shared" si="125"/>
        <v>2</v>
      </c>
      <c r="AX1286" s="21" t="str">
        <f t="shared" si="124"/>
        <v/>
      </c>
      <c r="AY1286" s="21" t="str">
        <f>IF(AND($AM1286&lt;&gt;"",$AS1286&lt;&gt;"✓"),SUMPRODUCT(($AM$11:$AM1286&lt;&gt;"")*($AS$11:$AS1286&lt;&gt;"✓")),"")</f>
        <v/>
      </c>
      <c r="AZ1286" s="21" t="str">
        <f>IF(AND($AM1286&lt;&gt;"",$AS1286="✓"),SUMPRODUCT(($AM$11:$AM1286&lt;&gt;"")*($AS$11:$AS1286="✓")),"")</f>
        <v/>
      </c>
      <c r="BA1286" s="21" t="str">
        <f>IF($AL1286="","",$AL1286&amp;"|"&amp;COUNTIF($AL$11:$AL1286,$AL1286))</f>
        <v/>
      </c>
    </row>
    <row r="1287" spans="38:53" ht="15" customHeight="1" x14ac:dyDescent="0.25">
      <c r="AL1287" s="17"/>
      <c r="AM1287" s="12"/>
      <c r="AN1287" s="18"/>
      <c r="AO1287" s="18"/>
      <c r="AP1287" s="10"/>
      <c r="AQ1287" s="10"/>
      <c r="AR1287" s="19"/>
      <c r="AS1287" s="20"/>
      <c r="AT1287" s="19"/>
      <c r="AV1287" s="21">
        <f>IF(AND($AL1287&lt;&gt;"",COUNTIF($AL$11:$AL1287,$AL1287)=1),1,0)</f>
        <v>0</v>
      </c>
      <c r="AW1287" s="21">
        <f t="shared" si="125"/>
        <v>2</v>
      </c>
      <c r="AX1287" s="21" t="str">
        <f t="shared" si="124"/>
        <v/>
      </c>
      <c r="AY1287" s="21" t="str">
        <f>IF(AND($AM1287&lt;&gt;"",$AS1287&lt;&gt;"✓"),SUMPRODUCT(($AM$11:$AM1287&lt;&gt;"")*($AS$11:$AS1287&lt;&gt;"✓")),"")</f>
        <v/>
      </c>
      <c r="AZ1287" s="21" t="str">
        <f>IF(AND($AM1287&lt;&gt;"",$AS1287="✓"),SUMPRODUCT(($AM$11:$AM1287&lt;&gt;"")*($AS$11:$AS1287="✓")),"")</f>
        <v/>
      </c>
      <c r="BA1287" s="21" t="str">
        <f>IF($AL1287="","",$AL1287&amp;"|"&amp;COUNTIF($AL$11:$AL1287,$AL1287))</f>
        <v/>
      </c>
    </row>
    <row r="1288" spans="38:53" ht="15" customHeight="1" x14ac:dyDescent="0.25">
      <c r="AL1288" s="31"/>
      <c r="AM1288" s="26"/>
      <c r="AN1288" s="32"/>
      <c r="AO1288" s="32"/>
      <c r="AP1288" s="24"/>
      <c r="AQ1288" s="24"/>
      <c r="AR1288" s="33"/>
      <c r="AS1288" s="34"/>
      <c r="AT1288" s="33"/>
      <c r="AV1288" s="21">
        <f>IF(AND($AL1288&lt;&gt;"",COUNTIF($AL$11:$AL1288,$AL1288)=1),1,0)</f>
        <v>0</v>
      </c>
      <c r="AW1288" s="21">
        <f t="shared" si="125"/>
        <v>2</v>
      </c>
      <c r="AX1288" s="21" t="str">
        <f t="shared" si="124"/>
        <v/>
      </c>
      <c r="AY1288" s="21" t="str">
        <f>IF(AND($AM1288&lt;&gt;"",$AS1288&lt;&gt;"✓"),SUMPRODUCT(($AM$11:$AM1288&lt;&gt;"")*($AS$11:$AS1288&lt;&gt;"✓")),"")</f>
        <v/>
      </c>
      <c r="AZ1288" s="21" t="str">
        <f>IF(AND($AM1288&lt;&gt;"",$AS1288="✓"),SUMPRODUCT(($AM$11:$AM1288&lt;&gt;"")*($AS$11:$AS1288="✓")),"")</f>
        <v/>
      </c>
      <c r="BA1288" s="21" t="str">
        <f>IF($AL1288="","",$AL1288&amp;"|"&amp;COUNTIF($AL$11:$AL1288,$AL1288))</f>
        <v/>
      </c>
    </row>
    <row r="1289" spans="38:53" ht="15" customHeight="1" x14ac:dyDescent="0.25">
      <c r="AL1289" s="17"/>
      <c r="AM1289" s="12"/>
      <c r="AN1289" s="18"/>
      <c r="AO1289" s="18"/>
      <c r="AP1289" s="10"/>
      <c r="AQ1289" s="10"/>
      <c r="AR1289" s="19"/>
      <c r="AS1289" s="20"/>
      <c r="AT1289" s="19"/>
      <c r="AV1289" s="21">
        <f>IF(AND($AL1289&lt;&gt;"",COUNTIF($AL$11:$AL1289,$AL1289)=1),1,0)</f>
        <v>0</v>
      </c>
      <c r="AW1289" s="21">
        <f t="shared" si="125"/>
        <v>2</v>
      </c>
      <c r="AX1289" s="21" t="str">
        <f t="shared" si="124"/>
        <v/>
      </c>
      <c r="AY1289" s="21" t="str">
        <f>IF(AND($AM1289&lt;&gt;"",$AS1289&lt;&gt;"✓"),SUMPRODUCT(($AM$11:$AM1289&lt;&gt;"")*($AS$11:$AS1289&lt;&gt;"✓")),"")</f>
        <v/>
      </c>
      <c r="AZ1289" s="21" t="str">
        <f>IF(AND($AM1289&lt;&gt;"",$AS1289="✓"),SUMPRODUCT(($AM$11:$AM1289&lt;&gt;"")*($AS$11:$AS1289="✓")),"")</f>
        <v/>
      </c>
      <c r="BA1289" s="21" t="str">
        <f>IF($AL1289="","",$AL1289&amp;"|"&amp;COUNTIF($AL$11:$AL1289,$AL1289))</f>
        <v/>
      </c>
    </row>
    <row r="1290" spans="38:53" ht="15" customHeight="1" x14ac:dyDescent="0.25">
      <c r="AL1290" s="31"/>
      <c r="AM1290" s="26"/>
      <c r="AN1290" s="32"/>
      <c r="AO1290" s="32"/>
      <c r="AP1290" s="24"/>
      <c r="AQ1290" s="24"/>
      <c r="AR1290" s="33"/>
      <c r="AS1290" s="34"/>
      <c r="AT1290" s="33"/>
      <c r="AV1290" s="21">
        <f>IF(AND($AL1290&lt;&gt;"",COUNTIF($AL$11:$AL1290,$AL1290)=1),1,0)</f>
        <v>0</v>
      </c>
      <c r="AW1290" s="21">
        <f t="shared" si="125"/>
        <v>2</v>
      </c>
      <c r="AX1290" s="21" t="str">
        <f t="shared" si="124"/>
        <v/>
      </c>
      <c r="AY1290" s="21" t="str">
        <f>IF(AND($AM1290&lt;&gt;"",$AS1290&lt;&gt;"✓"),SUMPRODUCT(($AM$11:$AM1290&lt;&gt;"")*($AS$11:$AS1290&lt;&gt;"✓")),"")</f>
        <v/>
      </c>
      <c r="AZ1290" s="21" t="str">
        <f>IF(AND($AM1290&lt;&gt;"",$AS1290="✓"),SUMPRODUCT(($AM$11:$AM1290&lt;&gt;"")*($AS$11:$AS1290="✓")),"")</f>
        <v/>
      </c>
      <c r="BA1290" s="21" t="str">
        <f>IF($AL1290="","",$AL1290&amp;"|"&amp;COUNTIF($AL$11:$AL1290,$AL1290))</f>
        <v/>
      </c>
    </row>
    <row r="1291" spans="38:53" ht="15" customHeight="1" x14ac:dyDescent="0.25">
      <c r="AL1291" s="17"/>
      <c r="AM1291" s="12"/>
      <c r="AN1291" s="18"/>
      <c r="AO1291" s="18"/>
      <c r="AP1291" s="10"/>
      <c r="AQ1291" s="10"/>
      <c r="AR1291" s="19"/>
      <c r="AS1291" s="20"/>
      <c r="AT1291" s="19"/>
      <c r="AV1291" s="21">
        <f>IF(AND($AL1291&lt;&gt;"",COUNTIF($AL$11:$AL1291,$AL1291)=1),1,0)</f>
        <v>0</v>
      </c>
      <c r="AW1291" s="21">
        <f t="shared" si="125"/>
        <v>2</v>
      </c>
      <c r="AX1291" s="21" t="str">
        <f t="shared" ref="AX1291:AX1354" si="126">IF(AV1291=1,AW1291,"")</f>
        <v/>
      </c>
      <c r="AY1291" s="21" t="str">
        <f>IF(AND($AM1291&lt;&gt;"",$AS1291&lt;&gt;"✓"),SUMPRODUCT(($AM$11:$AM1291&lt;&gt;"")*($AS$11:$AS1291&lt;&gt;"✓")),"")</f>
        <v/>
      </c>
      <c r="AZ1291" s="21" t="str">
        <f>IF(AND($AM1291&lt;&gt;"",$AS1291="✓"),SUMPRODUCT(($AM$11:$AM1291&lt;&gt;"")*($AS$11:$AS1291="✓")),"")</f>
        <v/>
      </c>
      <c r="BA1291" s="21" t="str">
        <f>IF($AL1291="","",$AL1291&amp;"|"&amp;COUNTIF($AL$11:$AL1291,$AL1291))</f>
        <v/>
      </c>
    </row>
    <row r="1292" spans="38:53" ht="15" customHeight="1" x14ac:dyDescent="0.25">
      <c r="AL1292" s="31"/>
      <c r="AM1292" s="26"/>
      <c r="AN1292" s="32"/>
      <c r="AO1292" s="32"/>
      <c r="AP1292" s="24"/>
      <c r="AQ1292" s="24"/>
      <c r="AR1292" s="33"/>
      <c r="AS1292" s="34"/>
      <c r="AT1292" s="33"/>
      <c r="AV1292" s="21">
        <f>IF(AND($AL1292&lt;&gt;"",COUNTIF($AL$11:$AL1292,$AL1292)=1),1,0)</f>
        <v>0</v>
      </c>
      <c r="AW1292" s="21">
        <f t="shared" ref="AW1292:AW1355" si="127">AW1291+AV1292</f>
        <v>2</v>
      </c>
      <c r="AX1292" s="21" t="str">
        <f t="shared" si="126"/>
        <v/>
      </c>
      <c r="AY1292" s="21" t="str">
        <f>IF(AND($AM1292&lt;&gt;"",$AS1292&lt;&gt;"✓"),SUMPRODUCT(($AM$11:$AM1292&lt;&gt;"")*($AS$11:$AS1292&lt;&gt;"✓")),"")</f>
        <v/>
      </c>
      <c r="AZ1292" s="21" t="str">
        <f>IF(AND($AM1292&lt;&gt;"",$AS1292="✓"),SUMPRODUCT(($AM$11:$AM1292&lt;&gt;"")*($AS$11:$AS1292="✓")),"")</f>
        <v/>
      </c>
      <c r="BA1292" s="21" t="str">
        <f>IF($AL1292="","",$AL1292&amp;"|"&amp;COUNTIF($AL$11:$AL1292,$AL1292))</f>
        <v/>
      </c>
    </row>
    <row r="1293" spans="38:53" ht="15" customHeight="1" x14ac:dyDescent="0.25">
      <c r="AL1293" s="17"/>
      <c r="AM1293" s="12"/>
      <c r="AN1293" s="18"/>
      <c r="AO1293" s="18"/>
      <c r="AP1293" s="10"/>
      <c r="AQ1293" s="10"/>
      <c r="AR1293" s="19"/>
      <c r="AS1293" s="20"/>
      <c r="AT1293" s="19"/>
      <c r="AV1293" s="21">
        <f>IF(AND($AL1293&lt;&gt;"",COUNTIF($AL$11:$AL1293,$AL1293)=1),1,0)</f>
        <v>0</v>
      </c>
      <c r="AW1293" s="21">
        <f t="shared" si="127"/>
        <v>2</v>
      </c>
      <c r="AX1293" s="21" t="str">
        <f t="shared" si="126"/>
        <v/>
      </c>
      <c r="AY1293" s="21" t="str">
        <f>IF(AND($AM1293&lt;&gt;"",$AS1293&lt;&gt;"✓"),SUMPRODUCT(($AM$11:$AM1293&lt;&gt;"")*($AS$11:$AS1293&lt;&gt;"✓")),"")</f>
        <v/>
      </c>
      <c r="AZ1293" s="21" t="str">
        <f>IF(AND($AM1293&lt;&gt;"",$AS1293="✓"),SUMPRODUCT(($AM$11:$AM1293&lt;&gt;"")*($AS$11:$AS1293="✓")),"")</f>
        <v/>
      </c>
      <c r="BA1293" s="21" t="str">
        <f>IF($AL1293="","",$AL1293&amp;"|"&amp;COUNTIF($AL$11:$AL1293,$AL1293))</f>
        <v/>
      </c>
    </row>
    <row r="1294" spans="38:53" ht="15" customHeight="1" x14ac:dyDescent="0.25">
      <c r="AL1294" s="31"/>
      <c r="AM1294" s="26"/>
      <c r="AN1294" s="32"/>
      <c r="AO1294" s="32"/>
      <c r="AP1294" s="24"/>
      <c r="AQ1294" s="24"/>
      <c r="AR1294" s="33"/>
      <c r="AS1294" s="34"/>
      <c r="AT1294" s="33"/>
      <c r="AV1294" s="21">
        <f>IF(AND($AL1294&lt;&gt;"",COUNTIF($AL$11:$AL1294,$AL1294)=1),1,0)</f>
        <v>0</v>
      </c>
      <c r="AW1294" s="21">
        <f t="shared" si="127"/>
        <v>2</v>
      </c>
      <c r="AX1294" s="21" t="str">
        <f t="shared" si="126"/>
        <v/>
      </c>
      <c r="AY1294" s="21" t="str">
        <f>IF(AND($AM1294&lt;&gt;"",$AS1294&lt;&gt;"✓"),SUMPRODUCT(($AM$11:$AM1294&lt;&gt;"")*($AS$11:$AS1294&lt;&gt;"✓")),"")</f>
        <v/>
      </c>
      <c r="AZ1294" s="21" t="str">
        <f>IF(AND($AM1294&lt;&gt;"",$AS1294="✓"),SUMPRODUCT(($AM$11:$AM1294&lt;&gt;"")*($AS$11:$AS1294="✓")),"")</f>
        <v/>
      </c>
      <c r="BA1294" s="21" t="str">
        <f>IF($AL1294="","",$AL1294&amp;"|"&amp;COUNTIF($AL$11:$AL1294,$AL1294))</f>
        <v/>
      </c>
    </row>
    <row r="1295" spans="38:53" ht="15" customHeight="1" x14ac:dyDescent="0.25">
      <c r="AL1295" s="17"/>
      <c r="AM1295" s="12"/>
      <c r="AN1295" s="18"/>
      <c r="AO1295" s="18"/>
      <c r="AP1295" s="10"/>
      <c r="AQ1295" s="10"/>
      <c r="AR1295" s="19"/>
      <c r="AS1295" s="20"/>
      <c r="AT1295" s="19"/>
      <c r="AV1295" s="21">
        <f>IF(AND($AL1295&lt;&gt;"",COUNTIF($AL$11:$AL1295,$AL1295)=1),1,0)</f>
        <v>0</v>
      </c>
      <c r="AW1295" s="21">
        <f t="shared" si="127"/>
        <v>2</v>
      </c>
      <c r="AX1295" s="21" t="str">
        <f t="shared" si="126"/>
        <v/>
      </c>
      <c r="AY1295" s="21" t="str">
        <f>IF(AND($AM1295&lt;&gt;"",$AS1295&lt;&gt;"✓"),SUMPRODUCT(($AM$11:$AM1295&lt;&gt;"")*($AS$11:$AS1295&lt;&gt;"✓")),"")</f>
        <v/>
      </c>
      <c r="AZ1295" s="21" t="str">
        <f>IF(AND($AM1295&lt;&gt;"",$AS1295="✓"),SUMPRODUCT(($AM$11:$AM1295&lt;&gt;"")*($AS$11:$AS1295="✓")),"")</f>
        <v/>
      </c>
      <c r="BA1295" s="21" t="str">
        <f>IF($AL1295="","",$AL1295&amp;"|"&amp;COUNTIF($AL$11:$AL1295,$AL1295))</f>
        <v/>
      </c>
    </row>
    <row r="1296" spans="38:53" ht="15" customHeight="1" x14ac:dyDescent="0.25">
      <c r="AL1296" s="31"/>
      <c r="AM1296" s="26"/>
      <c r="AN1296" s="32"/>
      <c r="AO1296" s="32"/>
      <c r="AP1296" s="24"/>
      <c r="AQ1296" s="24"/>
      <c r="AR1296" s="33"/>
      <c r="AS1296" s="34"/>
      <c r="AT1296" s="33"/>
      <c r="AV1296" s="21">
        <f>IF(AND($AL1296&lt;&gt;"",COUNTIF($AL$11:$AL1296,$AL1296)=1),1,0)</f>
        <v>0</v>
      </c>
      <c r="AW1296" s="21">
        <f t="shared" si="127"/>
        <v>2</v>
      </c>
      <c r="AX1296" s="21" t="str">
        <f t="shared" si="126"/>
        <v/>
      </c>
      <c r="AY1296" s="21" t="str">
        <f>IF(AND($AM1296&lt;&gt;"",$AS1296&lt;&gt;"✓"),SUMPRODUCT(($AM$11:$AM1296&lt;&gt;"")*($AS$11:$AS1296&lt;&gt;"✓")),"")</f>
        <v/>
      </c>
      <c r="AZ1296" s="21" t="str">
        <f>IF(AND($AM1296&lt;&gt;"",$AS1296="✓"),SUMPRODUCT(($AM$11:$AM1296&lt;&gt;"")*($AS$11:$AS1296="✓")),"")</f>
        <v/>
      </c>
      <c r="BA1296" s="21" t="str">
        <f>IF($AL1296="","",$AL1296&amp;"|"&amp;COUNTIF($AL$11:$AL1296,$AL1296))</f>
        <v/>
      </c>
    </row>
    <row r="1297" spans="38:53" ht="15" customHeight="1" x14ac:dyDescent="0.25">
      <c r="AL1297" s="17"/>
      <c r="AM1297" s="12"/>
      <c r="AN1297" s="18"/>
      <c r="AO1297" s="18"/>
      <c r="AP1297" s="10"/>
      <c r="AQ1297" s="10"/>
      <c r="AR1297" s="19"/>
      <c r="AS1297" s="20"/>
      <c r="AT1297" s="19"/>
      <c r="AV1297" s="21">
        <f>IF(AND($AL1297&lt;&gt;"",COUNTIF($AL$11:$AL1297,$AL1297)=1),1,0)</f>
        <v>0</v>
      </c>
      <c r="AW1297" s="21">
        <f t="shared" si="127"/>
        <v>2</v>
      </c>
      <c r="AX1297" s="21" t="str">
        <f t="shared" si="126"/>
        <v/>
      </c>
      <c r="AY1297" s="21" t="str">
        <f>IF(AND($AM1297&lt;&gt;"",$AS1297&lt;&gt;"✓"),SUMPRODUCT(($AM$11:$AM1297&lt;&gt;"")*($AS$11:$AS1297&lt;&gt;"✓")),"")</f>
        <v/>
      </c>
      <c r="AZ1297" s="21" t="str">
        <f>IF(AND($AM1297&lt;&gt;"",$AS1297="✓"),SUMPRODUCT(($AM$11:$AM1297&lt;&gt;"")*($AS$11:$AS1297="✓")),"")</f>
        <v/>
      </c>
      <c r="BA1297" s="21" t="str">
        <f>IF($AL1297="","",$AL1297&amp;"|"&amp;COUNTIF($AL$11:$AL1297,$AL1297))</f>
        <v/>
      </c>
    </row>
    <row r="1298" spans="38:53" ht="15" customHeight="1" x14ac:dyDescent="0.25">
      <c r="AL1298" s="31"/>
      <c r="AM1298" s="26"/>
      <c r="AN1298" s="32"/>
      <c r="AO1298" s="32"/>
      <c r="AP1298" s="24"/>
      <c r="AQ1298" s="24"/>
      <c r="AR1298" s="33"/>
      <c r="AS1298" s="34"/>
      <c r="AT1298" s="33"/>
      <c r="AV1298" s="21">
        <f>IF(AND($AL1298&lt;&gt;"",COUNTIF($AL$11:$AL1298,$AL1298)=1),1,0)</f>
        <v>0</v>
      </c>
      <c r="AW1298" s="21">
        <f t="shared" si="127"/>
        <v>2</v>
      </c>
      <c r="AX1298" s="21" t="str">
        <f t="shared" si="126"/>
        <v/>
      </c>
      <c r="AY1298" s="21" t="str">
        <f>IF(AND($AM1298&lt;&gt;"",$AS1298&lt;&gt;"✓"),SUMPRODUCT(($AM$11:$AM1298&lt;&gt;"")*($AS$11:$AS1298&lt;&gt;"✓")),"")</f>
        <v/>
      </c>
      <c r="AZ1298" s="21" t="str">
        <f>IF(AND($AM1298&lt;&gt;"",$AS1298="✓"),SUMPRODUCT(($AM$11:$AM1298&lt;&gt;"")*($AS$11:$AS1298="✓")),"")</f>
        <v/>
      </c>
      <c r="BA1298" s="21" t="str">
        <f>IF($AL1298="","",$AL1298&amp;"|"&amp;COUNTIF($AL$11:$AL1298,$AL1298))</f>
        <v/>
      </c>
    </row>
    <row r="1299" spans="38:53" ht="15" customHeight="1" x14ac:dyDescent="0.25">
      <c r="AL1299" s="17"/>
      <c r="AM1299" s="12"/>
      <c r="AN1299" s="18"/>
      <c r="AO1299" s="18"/>
      <c r="AP1299" s="10"/>
      <c r="AQ1299" s="10"/>
      <c r="AR1299" s="19"/>
      <c r="AS1299" s="20"/>
      <c r="AT1299" s="19"/>
      <c r="AV1299" s="21">
        <f>IF(AND($AL1299&lt;&gt;"",COUNTIF($AL$11:$AL1299,$AL1299)=1),1,0)</f>
        <v>0</v>
      </c>
      <c r="AW1299" s="21">
        <f t="shared" si="127"/>
        <v>2</v>
      </c>
      <c r="AX1299" s="21" t="str">
        <f t="shared" si="126"/>
        <v/>
      </c>
      <c r="AY1299" s="21" t="str">
        <f>IF(AND($AM1299&lt;&gt;"",$AS1299&lt;&gt;"✓"),SUMPRODUCT(($AM$11:$AM1299&lt;&gt;"")*($AS$11:$AS1299&lt;&gt;"✓")),"")</f>
        <v/>
      </c>
      <c r="AZ1299" s="21" t="str">
        <f>IF(AND($AM1299&lt;&gt;"",$AS1299="✓"),SUMPRODUCT(($AM$11:$AM1299&lt;&gt;"")*($AS$11:$AS1299="✓")),"")</f>
        <v/>
      </c>
      <c r="BA1299" s="21" t="str">
        <f>IF($AL1299="","",$AL1299&amp;"|"&amp;COUNTIF($AL$11:$AL1299,$AL1299))</f>
        <v/>
      </c>
    </row>
    <row r="1300" spans="38:53" ht="15" customHeight="1" x14ac:dyDescent="0.25">
      <c r="AL1300" s="31"/>
      <c r="AM1300" s="26"/>
      <c r="AN1300" s="32"/>
      <c r="AO1300" s="32"/>
      <c r="AP1300" s="24"/>
      <c r="AQ1300" s="24"/>
      <c r="AR1300" s="33"/>
      <c r="AS1300" s="34"/>
      <c r="AT1300" s="33"/>
      <c r="AV1300" s="21">
        <f>IF(AND($AL1300&lt;&gt;"",COUNTIF($AL$11:$AL1300,$AL1300)=1),1,0)</f>
        <v>0</v>
      </c>
      <c r="AW1300" s="21">
        <f t="shared" si="127"/>
        <v>2</v>
      </c>
      <c r="AX1300" s="21" t="str">
        <f t="shared" si="126"/>
        <v/>
      </c>
      <c r="AY1300" s="21" t="str">
        <f>IF(AND($AM1300&lt;&gt;"",$AS1300&lt;&gt;"✓"),SUMPRODUCT(($AM$11:$AM1300&lt;&gt;"")*($AS$11:$AS1300&lt;&gt;"✓")),"")</f>
        <v/>
      </c>
      <c r="AZ1300" s="21" t="str">
        <f>IF(AND($AM1300&lt;&gt;"",$AS1300="✓"),SUMPRODUCT(($AM$11:$AM1300&lt;&gt;"")*($AS$11:$AS1300="✓")),"")</f>
        <v/>
      </c>
      <c r="BA1300" s="21" t="str">
        <f>IF($AL1300="","",$AL1300&amp;"|"&amp;COUNTIF($AL$11:$AL1300,$AL1300))</f>
        <v/>
      </c>
    </row>
    <row r="1301" spans="38:53" ht="15" customHeight="1" x14ac:dyDescent="0.25">
      <c r="AL1301" s="17"/>
      <c r="AM1301" s="12"/>
      <c r="AN1301" s="18"/>
      <c r="AO1301" s="18"/>
      <c r="AP1301" s="10"/>
      <c r="AQ1301" s="10"/>
      <c r="AR1301" s="19"/>
      <c r="AS1301" s="20"/>
      <c r="AT1301" s="19"/>
      <c r="AV1301" s="21">
        <f>IF(AND($AL1301&lt;&gt;"",COUNTIF($AL$11:$AL1301,$AL1301)=1),1,0)</f>
        <v>0</v>
      </c>
      <c r="AW1301" s="21">
        <f t="shared" si="127"/>
        <v>2</v>
      </c>
      <c r="AX1301" s="21" t="str">
        <f t="shared" si="126"/>
        <v/>
      </c>
      <c r="AY1301" s="21" t="str">
        <f>IF(AND($AM1301&lt;&gt;"",$AS1301&lt;&gt;"✓"),SUMPRODUCT(($AM$11:$AM1301&lt;&gt;"")*($AS$11:$AS1301&lt;&gt;"✓")),"")</f>
        <v/>
      </c>
      <c r="AZ1301" s="21" t="str">
        <f>IF(AND($AM1301&lt;&gt;"",$AS1301="✓"),SUMPRODUCT(($AM$11:$AM1301&lt;&gt;"")*($AS$11:$AS1301="✓")),"")</f>
        <v/>
      </c>
      <c r="BA1301" s="21" t="str">
        <f>IF($AL1301="","",$AL1301&amp;"|"&amp;COUNTIF($AL$11:$AL1301,$AL1301))</f>
        <v/>
      </c>
    </row>
    <row r="1302" spans="38:53" ht="15" customHeight="1" x14ac:dyDescent="0.25">
      <c r="AL1302" s="31"/>
      <c r="AM1302" s="26"/>
      <c r="AN1302" s="32"/>
      <c r="AO1302" s="32"/>
      <c r="AP1302" s="24"/>
      <c r="AQ1302" s="24"/>
      <c r="AR1302" s="33"/>
      <c r="AS1302" s="34"/>
      <c r="AT1302" s="33"/>
      <c r="AV1302" s="21">
        <f>IF(AND($AL1302&lt;&gt;"",COUNTIF($AL$11:$AL1302,$AL1302)=1),1,0)</f>
        <v>0</v>
      </c>
      <c r="AW1302" s="21">
        <f t="shared" si="127"/>
        <v>2</v>
      </c>
      <c r="AX1302" s="21" t="str">
        <f t="shared" si="126"/>
        <v/>
      </c>
      <c r="AY1302" s="21" t="str">
        <f>IF(AND($AM1302&lt;&gt;"",$AS1302&lt;&gt;"✓"),SUMPRODUCT(($AM$11:$AM1302&lt;&gt;"")*($AS$11:$AS1302&lt;&gt;"✓")),"")</f>
        <v/>
      </c>
      <c r="AZ1302" s="21" t="str">
        <f>IF(AND($AM1302&lt;&gt;"",$AS1302="✓"),SUMPRODUCT(($AM$11:$AM1302&lt;&gt;"")*($AS$11:$AS1302="✓")),"")</f>
        <v/>
      </c>
      <c r="BA1302" s="21" t="str">
        <f>IF($AL1302="","",$AL1302&amp;"|"&amp;COUNTIF($AL$11:$AL1302,$AL1302))</f>
        <v/>
      </c>
    </row>
    <row r="1303" spans="38:53" ht="15" customHeight="1" x14ac:dyDescent="0.25">
      <c r="AL1303" s="17"/>
      <c r="AM1303" s="12"/>
      <c r="AN1303" s="18"/>
      <c r="AO1303" s="18"/>
      <c r="AP1303" s="10"/>
      <c r="AQ1303" s="10"/>
      <c r="AR1303" s="19"/>
      <c r="AS1303" s="20"/>
      <c r="AT1303" s="19"/>
      <c r="AV1303" s="21">
        <f>IF(AND($AL1303&lt;&gt;"",COUNTIF($AL$11:$AL1303,$AL1303)=1),1,0)</f>
        <v>0</v>
      </c>
      <c r="AW1303" s="21">
        <f t="shared" si="127"/>
        <v>2</v>
      </c>
      <c r="AX1303" s="21" t="str">
        <f t="shared" si="126"/>
        <v/>
      </c>
      <c r="AY1303" s="21" t="str">
        <f>IF(AND($AM1303&lt;&gt;"",$AS1303&lt;&gt;"✓"),SUMPRODUCT(($AM$11:$AM1303&lt;&gt;"")*($AS$11:$AS1303&lt;&gt;"✓")),"")</f>
        <v/>
      </c>
      <c r="AZ1303" s="21" t="str">
        <f>IF(AND($AM1303&lt;&gt;"",$AS1303="✓"),SUMPRODUCT(($AM$11:$AM1303&lt;&gt;"")*($AS$11:$AS1303="✓")),"")</f>
        <v/>
      </c>
      <c r="BA1303" s="21" t="str">
        <f>IF($AL1303="","",$AL1303&amp;"|"&amp;COUNTIF($AL$11:$AL1303,$AL1303))</f>
        <v/>
      </c>
    </row>
    <row r="1304" spans="38:53" ht="15" customHeight="1" x14ac:dyDescent="0.25">
      <c r="AL1304" s="31"/>
      <c r="AM1304" s="26"/>
      <c r="AN1304" s="32"/>
      <c r="AO1304" s="32"/>
      <c r="AP1304" s="24"/>
      <c r="AQ1304" s="24"/>
      <c r="AR1304" s="33"/>
      <c r="AS1304" s="34"/>
      <c r="AT1304" s="33"/>
      <c r="AV1304" s="21">
        <f>IF(AND($AL1304&lt;&gt;"",COUNTIF($AL$11:$AL1304,$AL1304)=1),1,0)</f>
        <v>0</v>
      </c>
      <c r="AW1304" s="21">
        <f t="shared" si="127"/>
        <v>2</v>
      </c>
      <c r="AX1304" s="21" t="str">
        <f t="shared" si="126"/>
        <v/>
      </c>
      <c r="AY1304" s="21" t="str">
        <f>IF(AND($AM1304&lt;&gt;"",$AS1304&lt;&gt;"✓"),SUMPRODUCT(($AM$11:$AM1304&lt;&gt;"")*($AS$11:$AS1304&lt;&gt;"✓")),"")</f>
        <v/>
      </c>
      <c r="AZ1304" s="21" t="str">
        <f>IF(AND($AM1304&lt;&gt;"",$AS1304="✓"),SUMPRODUCT(($AM$11:$AM1304&lt;&gt;"")*($AS$11:$AS1304="✓")),"")</f>
        <v/>
      </c>
      <c r="BA1304" s="21" t="str">
        <f>IF($AL1304="","",$AL1304&amp;"|"&amp;COUNTIF($AL$11:$AL1304,$AL1304))</f>
        <v/>
      </c>
    </row>
    <row r="1305" spans="38:53" ht="15" customHeight="1" x14ac:dyDescent="0.25">
      <c r="AL1305" s="17"/>
      <c r="AM1305" s="12"/>
      <c r="AN1305" s="18"/>
      <c r="AO1305" s="18"/>
      <c r="AP1305" s="10"/>
      <c r="AQ1305" s="10"/>
      <c r="AR1305" s="19"/>
      <c r="AS1305" s="20"/>
      <c r="AT1305" s="19"/>
      <c r="AV1305" s="21">
        <f>IF(AND($AL1305&lt;&gt;"",COUNTIF($AL$11:$AL1305,$AL1305)=1),1,0)</f>
        <v>0</v>
      </c>
      <c r="AW1305" s="21">
        <f t="shared" si="127"/>
        <v>2</v>
      </c>
      <c r="AX1305" s="21" t="str">
        <f t="shared" si="126"/>
        <v/>
      </c>
      <c r="AY1305" s="21" t="str">
        <f>IF(AND($AM1305&lt;&gt;"",$AS1305&lt;&gt;"✓"),SUMPRODUCT(($AM$11:$AM1305&lt;&gt;"")*($AS$11:$AS1305&lt;&gt;"✓")),"")</f>
        <v/>
      </c>
      <c r="AZ1305" s="21" t="str">
        <f>IF(AND($AM1305&lt;&gt;"",$AS1305="✓"),SUMPRODUCT(($AM$11:$AM1305&lt;&gt;"")*($AS$11:$AS1305="✓")),"")</f>
        <v/>
      </c>
      <c r="BA1305" s="21" t="str">
        <f>IF($AL1305="","",$AL1305&amp;"|"&amp;COUNTIF($AL$11:$AL1305,$AL1305))</f>
        <v/>
      </c>
    </row>
    <row r="1306" spans="38:53" ht="15" customHeight="1" x14ac:dyDescent="0.25">
      <c r="AL1306" s="31"/>
      <c r="AM1306" s="26"/>
      <c r="AN1306" s="32"/>
      <c r="AO1306" s="32"/>
      <c r="AP1306" s="24"/>
      <c r="AQ1306" s="24"/>
      <c r="AR1306" s="33"/>
      <c r="AS1306" s="34"/>
      <c r="AT1306" s="33"/>
      <c r="AV1306" s="21">
        <f>IF(AND($AL1306&lt;&gt;"",COUNTIF($AL$11:$AL1306,$AL1306)=1),1,0)</f>
        <v>0</v>
      </c>
      <c r="AW1306" s="21">
        <f t="shared" si="127"/>
        <v>2</v>
      </c>
      <c r="AX1306" s="21" t="str">
        <f t="shared" si="126"/>
        <v/>
      </c>
      <c r="AY1306" s="21" t="str">
        <f>IF(AND($AM1306&lt;&gt;"",$AS1306&lt;&gt;"✓"),SUMPRODUCT(($AM$11:$AM1306&lt;&gt;"")*($AS$11:$AS1306&lt;&gt;"✓")),"")</f>
        <v/>
      </c>
      <c r="AZ1306" s="21" t="str">
        <f>IF(AND($AM1306&lt;&gt;"",$AS1306="✓"),SUMPRODUCT(($AM$11:$AM1306&lt;&gt;"")*($AS$11:$AS1306="✓")),"")</f>
        <v/>
      </c>
      <c r="BA1306" s="21" t="str">
        <f>IF($AL1306="","",$AL1306&amp;"|"&amp;COUNTIF($AL$11:$AL1306,$AL1306))</f>
        <v/>
      </c>
    </row>
    <row r="1307" spans="38:53" ht="15" customHeight="1" x14ac:dyDescent="0.25">
      <c r="AL1307" s="17"/>
      <c r="AM1307" s="12"/>
      <c r="AN1307" s="18"/>
      <c r="AO1307" s="18"/>
      <c r="AP1307" s="10"/>
      <c r="AQ1307" s="10"/>
      <c r="AR1307" s="19"/>
      <c r="AS1307" s="20"/>
      <c r="AT1307" s="19"/>
      <c r="AV1307" s="21">
        <f>IF(AND($AL1307&lt;&gt;"",COUNTIF($AL$11:$AL1307,$AL1307)=1),1,0)</f>
        <v>0</v>
      </c>
      <c r="AW1307" s="21">
        <f t="shared" si="127"/>
        <v>2</v>
      </c>
      <c r="AX1307" s="21" t="str">
        <f t="shared" si="126"/>
        <v/>
      </c>
      <c r="AY1307" s="21" t="str">
        <f>IF(AND($AM1307&lt;&gt;"",$AS1307&lt;&gt;"✓"),SUMPRODUCT(($AM$11:$AM1307&lt;&gt;"")*($AS$11:$AS1307&lt;&gt;"✓")),"")</f>
        <v/>
      </c>
      <c r="AZ1307" s="21" t="str">
        <f>IF(AND($AM1307&lt;&gt;"",$AS1307="✓"),SUMPRODUCT(($AM$11:$AM1307&lt;&gt;"")*($AS$11:$AS1307="✓")),"")</f>
        <v/>
      </c>
      <c r="BA1307" s="21" t="str">
        <f>IF($AL1307="","",$AL1307&amp;"|"&amp;COUNTIF($AL$11:$AL1307,$AL1307))</f>
        <v/>
      </c>
    </row>
    <row r="1308" spans="38:53" ht="15" customHeight="1" x14ac:dyDescent="0.25">
      <c r="AL1308" s="31"/>
      <c r="AM1308" s="26"/>
      <c r="AN1308" s="32"/>
      <c r="AO1308" s="32"/>
      <c r="AP1308" s="24"/>
      <c r="AQ1308" s="24"/>
      <c r="AR1308" s="33"/>
      <c r="AS1308" s="34"/>
      <c r="AT1308" s="33"/>
      <c r="AV1308" s="21">
        <f>IF(AND($AL1308&lt;&gt;"",COUNTIF($AL$11:$AL1308,$AL1308)=1),1,0)</f>
        <v>0</v>
      </c>
      <c r="AW1308" s="21">
        <f t="shared" si="127"/>
        <v>2</v>
      </c>
      <c r="AX1308" s="21" t="str">
        <f t="shared" si="126"/>
        <v/>
      </c>
      <c r="AY1308" s="21" t="str">
        <f>IF(AND($AM1308&lt;&gt;"",$AS1308&lt;&gt;"✓"),SUMPRODUCT(($AM$11:$AM1308&lt;&gt;"")*($AS$11:$AS1308&lt;&gt;"✓")),"")</f>
        <v/>
      </c>
      <c r="AZ1308" s="21" t="str">
        <f>IF(AND($AM1308&lt;&gt;"",$AS1308="✓"),SUMPRODUCT(($AM$11:$AM1308&lt;&gt;"")*($AS$11:$AS1308="✓")),"")</f>
        <v/>
      </c>
      <c r="BA1308" s="21" t="str">
        <f>IF($AL1308="","",$AL1308&amp;"|"&amp;COUNTIF($AL$11:$AL1308,$AL1308))</f>
        <v/>
      </c>
    </row>
    <row r="1309" spans="38:53" ht="15" customHeight="1" x14ac:dyDescent="0.25">
      <c r="AL1309" s="17"/>
      <c r="AM1309" s="12"/>
      <c r="AN1309" s="18"/>
      <c r="AO1309" s="18"/>
      <c r="AP1309" s="10"/>
      <c r="AQ1309" s="10"/>
      <c r="AR1309" s="19"/>
      <c r="AS1309" s="20"/>
      <c r="AT1309" s="19"/>
      <c r="AV1309" s="21">
        <f>IF(AND($AL1309&lt;&gt;"",COUNTIF($AL$11:$AL1309,$AL1309)=1),1,0)</f>
        <v>0</v>
      </c>
      <c r="AW1309" s="21">
        <f t="shared" si="127"/>
        <v>2</v>
      </c>
      <c r="AX1309" s="21" t="str">
        <f t="shared" si="126"/>
        <v/>
      </c>
      <c r="AY1309" s="21" t="str">
        <f>IF(AND($AM1309&lt;&gt;"",$AS1309&lt;&gt;"✓"),SUMPRODUCT(($AM$11:$AM1309&lt;&gt;"")*($AS$11:$AS1309&lt;&gt;"✓")),"")</f>
        <v/>
      </c>
      <c r="AZ1309" s="21" t="str">
        <f>IF(AND($AM1309&lt;&gt;"",$AS1309="✓"),SUMPRODUCT(($AM$11:$AM1309&lt;&gt;"")*($AS$11:$AS1309="✓")),"")</f>
        <v/>
      </c>
      <c r="BA1309" s="21" t="str">
        <f>IF($AL1309="","",$AL1309&amp;"|"&amp;COUNTIF($AL$11:$AL1309,$AL1309))</f>
        <v/>
      </c>
    </row>
    <row r="1310" spans="38:53" ht="15" customHeight="1" x14ac:dyDescent="0.25">
      <c r="AL1310" s="31"/>
      <c r="AM1310" s="26"/>
      <c r="AN1310" s="32"/>
      <c r="AO1310" s="32"/>
      <c r="AP1310" s="24"/>
      <c r="AQ1310" s="24"/>
      <c r="AR1310" s="33"/>
      <c r="AS1310" s="34"/>
      <c r="AT1310" s="33"/>
      <c r="AV1310" s="21">
        <f>IF(AND($AL1310&lt;&gt;"",COUNTIF($AL$11:$AL1310,$AL1310)=1),1,0)</f>
        <v>0</v>
      </c>
      <c r="AW1310" s="21">
        <f t="shared" si="127"/>
        <v>2</v>
      </c>
      <c r="AX1310" s="21" t="str">
        <f t="shared" si="126"/>
        <v/>
      </c>
      <c r="AY1310" s="21" t="str">
        <f>IF(AND($AM1310&lt;&gt;"",$AS1310&lt;&gt;"✓"),SUMPRODUCT(($AM$11:$AM1310&lt;&gt;"")*($AS$11:$AS1310&lt;&gt;"✓")),"")</f>
        <v/>
      </c>
      <c r="AZ1310" s="21" t="str">
        <f>IF(AND($AM1310&lt;&gt;"",$AS1310="✓"),SUMPRODUCT(($AM$11:$AM1310&lt;&gt;"")*($AS$11:$AS1310="✓")),"")</f>
        <v/>
      </c>
      <c r="BA1310" s="21" t="str">
        <f>IF($AL1310="","",$AL1310&amp;"|"&amp;COUNTIF($AL$11:$AL1310,$AL1310))</f>
        <v/>
      </c>
    </row>
    <row r="1311" spans="38:53" ht="15" customHeight="1" x14ac:dyDescent="0.25">
      <c r="AL1311" s="17"/>
      <c r="AM1311" s="12"/>
      <c r="AN1311" s="18"/>
      <c r="AO1311" s="18"/>
      <c r="AP1311" s="10"/>
      <c r="AQ1311" s="10"/>
      <c r="AR1311" s="19"/>
      <c r="AS1311" s="20"/>
      <c r="AT1311" s="19"/>
      <c r="AV1311" s="21">
        <f>IF(AND($AL1311&lt;&gt;"",COUNTIF($AL$11:$AL1311,$AL1311)=1),1,0)</f>
        <v>0</v>
      </c>
      <c r="AW1311" s="21">
        <f t="shared" si="127"/>
        <v>2</v>
      </c>
      <c r="AX1311" s="21" t="str">
        <f t="shared" si="126"/>
        <v/>
      </c>
      <c r="AY1311" s="21" t="str">
        <f>IF(AND($AM1311&lt;&gt;"",$AS1311&lt;&gt;"✓"),SUMPRODUCT(($AM$11:$AM1311&lt;&gt;"")*($AS$11:$AS1311&lt;&gt;"✓")),"")</f>
        <v/>
      </c>
      <c r="AZ1311" s="21" t="str">
        <f>IF(AND($AM1311&lt;&gt;"",$AS1311="✓"),SUMPRODUCT(($AM$11:$AM1311&lt;&gt;"")*($AS$11:$AS1311="✓")),"")</f>
        <v/>
      </c>
      <c r="BA1311" s="21" t="str">
        <f>IF($AL1311="","",$AL1311&amp;"|"&amp;COUNTIF($AL$11:$AL1311,$AL1311))</f>
        <v/>
      </c>
    </row>
    <row r="1312" spans="38:53" ht="15" customHeight="1" x14ac:dyDescent="0.25">
      <c r="AL1312" s="31"/>
      <c r="AM1312" s="26"/>
      <c r="AN1312" s="32"/>
      <c r="AO1312" s="32"/>
      <c r="AP1312" s="24"/>
      <c r="AQ1312" s="24"/>
      <c r="AR1312" s="33"/>
      <c r="AS1312" s="34"/>
      <c r="AT1312" s="33"/>
      <c r="AV1312" s="21">
        <f>IF(AND($AL1312&lt;&gt;"",COUNTIF($AL$11:$AL1312,$AL1312)=1),1,0)</f>
        <v>0</v>
      </c>
      <c r="AW1312" s="21">
        <f t="shared" si="127"/>
        <v>2</v>
      </c>
      <c r="AX1312" s="21" t="str">
        <f t="shared" si="126"/>
        <v/>
      </c>
      <c r="AY1312" s="21" t="str">
        <f>IF(AND($AM1312&lt;&gt;"",$AS1312&lt;&gt;"✓"),SUMPRODUCT(($AM$11:$AM1312&lt;&gt;"")*($AS$11:$AS1312&lt;&gt;"✓")),"")</f>
        <v/>
      </c>
      <c r="AZ1312" s="21" t="str">
        <f>IF(AND($AM1312&lt;&gt;"",$AS1312="✓"),SUMPRODUCT(($AM$11:$AM1312&lt;&gt;"")*($AS$11:$AS1312="✓")),"")</f>
        <v/>
      </c>
      <c r="BA1312" s="21" t="str">
        <f>IF($AL1312="","",$AL1312&amp;"|"&amp;COUNTIF($AL$11:$AL1312,$AL1312))</f>
        <v/>
      </c>
    </row>
    <row r="1313" spans="38:53" ht="15" customHeight="1" x14ac:dyDescent="0.25">
      <c r="AL1313" s="17"/>
      <c r="AM1313" s="12"/>
      <c r="AN1313" s="18"/>
      <c r="AO1313" s="18"/>
      <c r="AP1313" s="10"/>
      <c r="AQ1313" s="10"/>
      <c r="AR1313" s="19"/>
      <c r="AS1313" s="20"/>
      <c r="AT1313" s="19"/>
      <c r="AV1313" s="21">
        <f>IF(AND($AL1313&lt;&gt;"",COUNTIF($AL$11:$AL1313,$AL1313)=1),1,0)</f>
        <v>0</v>
      </c>
      <c r="AW1313" s="21">
        <f t="shared" si="127"/>
        <v>2</v>
      </c>
      <c r="AX1313" s="21" t="str">
        <f t="shared" si="126"/>
        <v/>
      </c>
      <c r="AY1313" s="21" t="str">
        <f>IF(AND($AM1313&lt;&gt;"",$AS1313&lt;&gt;"✓"),SUMPRODUCT(($AM$11:$AM1313&lt;&gt;"")*($AS$11:$AS1313&lt;&gt;"✓")),"")</f>
        <v/>
      </c>
      <c r="AZ1313" s="21" t="str">
        <f>IF(AND($AM1313&lt;&gt;"",$AS1313="✓"),SUMPRODUCT(($AM$11:$AM1313&lt;&gt;"")*($AS$11:$AS1313="✓")),"")</f>
        <v/>
      </c>
      <c r="BA1313" s="21" t="str">
        <f>IF($AL1313="","",$AL1313&amp;"|"&amp;COUNTIF($AL$11:$AL1313,$AL1313))</f>
        <v/>
      </c>
    </row>
    <row r="1314" spans="38:53" ht="15" customHeight="1" x14ac:dyDescent="0.25">
      <c r="AL1314" s="31"/>
      <c r="AM1314" s="26"/>
      <c r="AN1314" s="32"/>
      <c r="AO1314" s="32"/>
      <c r="AP1314" s="24"/>
      <c r="AQ1314" s="24"/>
      <c r="AR1314" s="33"/>
      <c r="AS1314" s="34"/>
      <c r="AT1314" s="33"/>
      <c r="AV1314" s="21">
        <f>IF(AND($AL1314&lt;&gt;"",COUNTIF($AL$11:$AL1314,$AL1314)=1),1,0)</f>
        <v>0</v>
      </c>
      <c r="AW1314" s="21">
        <f t="shared" si="127"/>
        <v>2</v>
      </c>
      <c r="AX1314" s="21" t="str">
        <f t="shared" si="126"/>
        <v/>
      </c>
      <c r="AY1314" s="21" t="str">
        <f>IF(AND($AM1314&lt;&gt;"",$AS1314&lt;&gt;"✓"),SUMPRODUCT(($AM$11:$AM1314&lt;&gt;"")*($AS$11:$AS1314&lt;&gt;"✓")),"")</f>
        <v/>
      </c>
      <c r="AZ1314" s="21" t="str">
        <f>IF(AND($AM1314&lt;&gt;"",$AS1314="✓"),SUMPRODUCT(($AM$11:$AM1314&lt;&gt;"")*($AS$11:$AS1314="✓")),"")</f>
        <v/>
      </c>
      <c r="BA1314" s="21" t="str">
        <f>IF($AL1314="","",$AL1314&amp;"|"&amp;COUNTIF($AL$11:$AL1314,$AL1314))</f>
        <v/>
      </c>
    </row>
    <row r="1315" spans="38:53" ht="15" customHeight="1" x14ac:dyDescent="0.25">
      <c r="AL1315" s="17"/>
      <c r="AM1315" s="12"/>
      <c r="AN1315" s="18"/>
      <c r="AO1315" s="18"/>
      <c r="AP1315" s="10"/>
      <c r="AQ1315" s="10"/>
      <c r="AR1315" s="19"/>
      <c r="AS1315" s="20"/>
      <c r="AT1315" s="19"/>
      <c r="AV1315" s="21">
        <f>IF(AND($AL1315&lt;&gt;"",COUNTIF($AL$11:$AL1315,$AL1315)=1),1,0)</f>
        <v>0</v>
      </c>
      <c r="AW1315" s="21">
        <f t="shared" si="127"/>
        <v>2</v>
      </c>
      <c r="AX1315" s="21" t="str">
        <f t="shared" si="126"/>
        <v/>
      </c>
      <c r="AY1315" s="21" t="str">
        <f>IF(AND($AM1315&lt;&gt;"",$AS1315&lt;&gt;"✓"),SUMPRODUCT(($AM$11:$AM1315&lt;&gt;"")*($AS$11:$AS1315&lt;&gt;"✓")),"")</f>
        <v/>
      </c>
      <c r="AZ1315" s="21" t="str">
        <f>IF(AND($AM1315&lt;&gt;"",$AS1315="✓"),SUMPRODUCT(($AM$11:$AM1315&lt;&gt;"")*($AS$11:$AS1315="✓")),"")</f>
        <v/>
      </c>
      <c r="BA1315" s="21" t="str">
        <f>IF($AL1315="","",$AL1315&amp;"|"&amp;COUNTIF($AL$11:$AL1315,$AL1315))</f>
        <v/>
      </c>
    </row>
    <row r="1316" spans="38:53" ht="15" customHeight="1" x14ac:dyDescent="0.25">
      <c r="AL1316" s="31"/>
      <c r="AM1316" s="26"/>
      <c r="AN1316" s="32"/>
      <c r="AO1316" s="32"/>
      <c r="AP1316" s="24"/>
      <c r="AQ1316" s="24"/>
      <c r="AR1316" s="33"/>
      <c r="AS1316" s="34"/>
      <c r="AT1316" s="33"/>
      <c r="AV1316" s="21">
        <f>IF(AND($AL1316&lt;&gt;"",COUNTIF($AL$11:$AL1316,$AL1316)=1),1,0)</f>
        <v>0</v>
      </c>
      <c r="AW1316" s="21">
        <f t="shared" si="127"/>
        <v>2</v>
      </c>
      <c r="AX1316" s="21" t="str">
        <f t="shared" si="126"/>
        <v/>
      </c>
      <c r="AY1316" s="21" t="str">
        <f>IF(AND($AM1316&lt;&gt;"",$AS1316&lt;&gt;"✓"),SUMPRODUCT(($AM$11:$AM1316&lt;&gt;"")*($AS$11:$AS1316&lt;&gt;"✓")),"")</f>
        <v/>
      </c>
      <c r="AZ1316" s="21" t="str">
        <f>IF(AND($AM1316&lt;&gt;"",$AS1316="✓"),SUMPRODUCT(($AM$11:$AM1316&lt;&gt;"")*($AS$11:$AS1316="✓")),"")</f>
        <v/>
      </c>
      <c r="BA1316" s="21" t="str">
        <f>IF($AL1316="","",$AL1316&amp;"|"&amp;COUNTIF($AL$11:$AL1316,$AL1316))</f>
        <v/>
      </c>
    </row>
    <row r="1317" spans="38:53" ht="15" customHeight="1" x14ac:dyDescent="0.25">
      <c r="AL1317" s="17"/>
      <c r="AM1317" s="12"/>
      <c r="AN1317" s="18"/>
      <c r="AO1317" s="18"/>
      <c r="AP1317" s="10"/>
      <c r="AQ1317" s="10"/>
      <c r="AR1317" s="19"/>
      <c r="AS1317" s="20"/>
      <c r="AT1317" s="19"/>
      <c r="AV1317" s="21">
        <f>IF(AND($AL1317&lt;&gt;"",COUNTIF($AL$11:$AL1317,$AL1317)=1),1,0)</f>
        <v>0</v>
      </c>
      <c r="AW1317" s="21">
        <f t="shared" si="127"/>
        <v>2</v>
      </c>
      <c r="AX1317" s="21" t="str">
        <f t="shared" si="126"/>
        <v/>
      </c>
      <c r="AY1317" s="21" t="str">
        <f>IF(AND($AM1317&lt;&gt;"",$AS1317&lt;&gt;"✓"),SUMPRODUCT(($AM$11:$AM1317&lt;&gt;"")*($AS$11:$AS1317&lt;&gt;"✓")),"")</f>
        <v/>
      </c>
      <c r="AZ1317" s="21" t="str">
        <f>IF(AND($AM1317&lt;&gt;"",$AS1317="✓"),SUMPRODUCT(($AM$11:$AM1317&lt;&gt;"")*($AS$11:$AS1317="✓")),"")</f>
        <v/>
      </c>
      <c r="BA1317" s="21" t="str">
        <f>IF($AL1317="","",$AL1317&amp;"|"&amp;COUNTIF($AL$11:$AL1317,$AL1317))</f>
        <v/>
      </c>
    </row>
    <row r="1318" spans="38:53" ht="15" customHeight="1" x14ac:dyDescent="0.25">
      <c r="AL1318" s="31"/>
      <c r="AM1318" s="26"/>
      <c r="AN1318" s="32"/>
      <c r="AO1318" s="32"/>
      <c r="AP1318" s="24"/>
      <c r="AQ1318" s="24"/>
      <c r="AR1318" s="33"/>
      <c r="AS1318" s="34"/>
      <c r="AT1318" s="33"/>
      <c r="AV1318" s="21">
        <f>IF(AND($AL1318&lt;&gt;"",COUNTIF($AL$11:$AL1318,$AL1318)=1),1,0)</f>
        <v>0</v>
      </c>
      <c r="AW1318" s="21">
        <f t="shared" si="127"/>
        <v>2</v>
      </c>
      <c r="AX1318" s="21" t="str">
        <f t="shared" si="126"/>
        <v/>
      </c>
      <c r="AY1318" s="21" t="str">
        <f>IF(AND($AM1318&lt;&gt;"",$AS1318&lt;&gt;"✓"),SUMPRODUCT(($AM$11:$AM1318&lt;&gt;"")*($AS$11:$AS1318&lt;&gt;"✓")),"")</f>
        <v/>
      </c>
      <c r="AZ1318" s="21" t="str">
        <f>IF(AND($AM1318&lt;&gt;"",$AS1318="✓"),SUMPRODUCT(($AM$11:$AM1318&lt;&gt;"")*($AS$11:$AS1318="✓")),"")</f>
        <v/>
      </c>
      <c r="BA1318" s="21" t="str">
        <f>IF($AL1318="","",$AL1318&amp;"|"&amp;COUNTIF($AL$11:$AL1318,$AL1318))</f>
        <v/>
      </c>
    </row>
    <row r="1319" spans="38:53" ht="15" customHeight="1" x14ac:dyDescent="0.25">
      <c r="AL1319" s="17"/>
      <c r="AM1319" s="12"/>
      <c r="AN1319" s="18"/>
      <c r="AO1319" s="18"/>
      <c r="AP1319" s="10"/>
      <c r="AQ1319" s="10"/>
      <c r="AR1319" s="19"/>
      <c r="AS1319" s="20"/>
      <c r="AT1319" s="19"/>
      <c r="AV1319" s="21">
        <f>IF(AND($AL1319&lt;&gt;"",COUNTIF($AL$11:$AL1319,$AL1319)=1),1,0)</f>
        <v>0</v>
      </c>
      <c r="AW1319" s="21">
        <f t="shared" si="127"/>
        <v>2</v>
      </c>
      <c r="AX1319" s="21" t="str">
        <f t="shared" si="126"/>
        <v/>
      </c>
      <c r="AY1319" s="21" t="str">
        <f>IF(AND($AM1319&lt;&gt;"",$AS1319&lt;&gt;"✓"),SUMPRODUCT(($AM$11:$AM1319&lt;&gt;"")*($AS$11:$AS1319&lt;&gt;"✓")),"")</f>
        <v/>
      </c>
      <c r="AZ1319" s="21" t="str">
        <f>IF(AND($AM1319&lt;&gt;"",$AS1319="✓"),SUMPRODUCT(($AM$11:$AM1319&lt;&gt;"")*($AS$11:$AS1319="✓")),"")</f>
        <v/>
      </c>
      <c r="BA1319" s="21" t="str">
        <f>IF($AL1319="","",$AL1319&amp;"|"&amp;COUNTIF($AL$11:$AL1319,$AL1319))</f>
        <v/>
      </c>
    </row>
    <row r="1320" spans="38:53" ht="15" customHeight="1" x14ac:dyDescent="0.25">
      <c r="AL1320" s="31"/>
      <c r="AM1320" s="26"/>
      <c r="AN1320" s="32"/>
      <c r="AO1320" s="32"/>
      <c r="AP1320" s="24"/>
      <c r="AQ1320" s="24"/>
      <c r="AR1320" s="33"/>
      <c r="AS1320" s="34"/>
      <c r="AT1320" s="33"/>
      <c r="AV1320" s="21">
        <f>IF(AND($AL1320&lt;&gt;"",COUNTIF($AL$11:$AL1320,$AL1320)=1),1,0)</f>
        <v>0</v>
      </c>
      <c r="AW1320" s="21">
        <f t="shared" si="127"/>
        <v>2</v>
      </c>
      <c r="AX1320" s="21" t="str">
        <f t="shared" si="126"/>
        <v/>
      </c>
      <c r="AY1320" s="21" t="str">
        <f>IF(AND($AM1320&lt;&gt;"",$AS1320&lt;&gt;"✓"),SUMPRODUCT(($AM$11:$AM1320&lt;&gt;"")*($AS$11:$AS1320&lt;&gt;"✓")),"")</f>
        <v/>
      </c>
      <c r="AZ1320" s="21" t="str">
        <f>IF(AND($AM1320&lt;&gt;"",$AS1320="✓"),SUMPRODUCT(($AM$11:$AM1320&lt;&gt;"")*($AS$11:$AS1320="✓")),"")</f>
        <v/>
      </c>
      <c r="BA1320" s="21" t="str">
        <f>IF($AL1320="","",$AL1320&amp;"|"&amp;COUNTIF($AL$11:$AL1320,$AL1320))</f>
        <v/>
      </c>
    </row>
    <row r="1321" spans="38:53" ht="15" customHeight="1" x14ac:dyDescent="0.25">
      <c r="AL1321" s="17"/>
      <c r="AM1321" s="12"/>
      <c r="AN1321" s="18"/>
      <c r="AO1321" s="18"/>
      <c r="AP1321" s="10"/>
      <c r="AQ1321" s="10"/>
      <c r="AR1321" s="19"/>
      <c r="AS1321" s="20"/>
      <c r="AT1321" s="19"/>
      <c r="AV1321" s="21">
        <f>IF(AND($AL1321&lt;&gt;"",COUNTIF($AL$11:$AL1321,$AL1321)=1),1,0)</f>
        <v>0</v>
      </c>
      <c r="AW1321" s="21">
        <f t="shared" si="127"/>
        <v>2</v>
      </c>
      <c r="AX1321" s="21" t="str">
        <f t="shared" si="126"/>
        <v/>
      </c>
      <c r="AY1321" s="21" t="str">
        <f>IF(AND($AM1321&lt;&gt;"",$AS1321&lt;&gt;"✓"),SUMPRODUCT(($AM$11:$AM1321&lt;&gt;"")*($AS$11:$AS1321&lt;&gt;"✓")),"")</f>
        <v/>
      </c>
      <c r="AZ1321" s="21" t="str">
        <f>IF(AND($AM1321&lt;&gt;"",$AS1321="✓"),SUMPRODUCT(($AM$11:$AM1321&lt;&gt;"")*($AS$11:$AS1321="✓")),"")</f>
        <v/>
      </c>
      <c r="BA1321" s="21" t="str">
        <f>IF($AL1321="","",$AL1321&amp;"|"&amp;COUNTIF($AL$11:$AL1321,$AL1321))</f>
        <v/>
      </c>
    </row>
    <row r="1322" spans="38:53" ht="15" customHeight="1" x14ac:dyDescent="0.25">
      <c r="AL1322" s="31"/>
      <c r="AM1322" s="26"/>
      <c r="AN1322" s="32"/>
      <c r="AO1322" s="32"/>
      <c r="AP1322" s="24"/>
      <c r="AQ1322" s="24"/>
      <c r="AR1322" s="33"/>
      <c r="AS1322" s="34"/>
      <c r="AT1322" s="33"/>
      <c r="AV1322" s="21">
        <f>IF(AND($AL1322&lt;&gt;"",COUNTIF($AL$11:$AL1322,$AL1322)=1),1,0)</f>
        <v>0</v>
      </c>
      <c r="AW1322" s="21">
        <f t="shared" si="127"/>
        <v>2</v>
      </c>
      <c r="AX1322" s="21" t="str">
        <f t="shared" si="126"/>
        <v/>
      </c>
      <c r="AY1322" s="21" t="str">
        <f>IF(AND($AM1322&lt;&gt;"",$AS1322&lt;&gt;"✓"),SUMPRODUCT(($AM$11:$AM1322&lt;&gt;"")*($AS$11:$AS1322&lt;&gt;"✓")),"")</f>
        <v/>
      </c>
      <c r="AZ1322" s="21" t="str">
        <f>IF(AND($AM1322&lt;&gt;"",$AS1322="✓"),SUMPRODUCT(($AM$11:$AM1322&lt;&gt;"")*($AS$11:$AS1322="✓")),"")</f>
        <v/>
      </c>
      <c r="BA1322" s="21" t="str">
        <f>IF($AL1322="","",$AL1322&amp;"|"&amp;COUNTIF($AL$11:$AL1322,$AL1322))</f>
        <v/>
      </c>
    </row>
    <row r="1323" spans="38:53" ht="15" customHeight="1" x14ac:dyDescent="0.25">
      <c r="AL1323" s="17"/>
      <c r="AM1323" s="12"/>
      <c r="AN1323" s="18"/>
      <c r="AO1323" s="18"/>
      <c r="AP1323" s="10"/>
      <c r="AQ1323" s="10"/>
      <c r="AR1323" s="19"/>
      <c r="AS1323" s="20"/>
      <c r="AT1323" s="19"/>
      <c r="AV1323" s="21">
        <f>IF(AND($AL1323&lt;&gt;"",COUNTIF($AL$11:$AL1323,$AL1323)=1),1,0)</f>
        <v>0</v>
      </c>
      <c r="AW1323" s="21">
        <f t="shared" si="127"/>
        <v>2</v>
      </c>
      <c r="AX1323" s="21" t="str">
        <f t="shared" si="126"/>
        <v/>
      </c>
      <c r="AY1323" s="21" t="str">
        <f>IF(AND($AM1323&lt;&gt;"",$AS1323&lt;&gt;"✓"),SUMPRODUCT(($AM$11:$AM1323&lt;&gt;"")*($AS$11:$AS1323&lt;&gt;"✓")),"")</f>
        <v/>
      </c>
      <c r="AZ1323" s="21" t="str">
        <f>IF(AND($AM1323&lt;&gt;"",$AS1323="✓"),SUMPRODUCT(($AM$11:$AM1323&lt;&gt;"")*($AS$11:$AS1323="✓")),"")</f>
        <v/>
      </c>
      <c r="BA1323" s="21" t="str">
        <f>IF($AL1323="","",$AL1323&amp;"|"&amp;COUNTIF($AL$11:$AL1323,$AL1323))</f>
        <v/>
      </c>
    </row>
    <row r="1324" spans="38:53" ht="15" customHeight="1" x14ac:dyDescent="0.25">
      <c r="AL1324" s="31"/>
      <c r="AM1324" s="26"/>
      <c r="AN1324" s="32"/>
      <c r="AO1324" s="32"/>
      <c r="AP1324" s="24"/>
      <c r="AQ1324" s="24"/>
      <c r="AR1324" s="33"/>
      <c r="AS1324" s="34"/>
      <c r="AT1324" s="33"/>
      <c r="AV1324" s="21">
        <f>IF(AND($AL1324&lt;&gt;"",COUNTIF($AL$11:$AL1324,$AL1324)=1),1,0)</f>
        <v>0</v>
      </c>
      <c r="AW1324" s="21">
        <f t="shared" si="127"/>
        <v>2</v>
      </c>
      <c r="AX1324" s="21" t="str">
        <f t="shared" si="126"/>
        <v/>
      </c>
      <c r="AY1324" s="21" t="str">
        <f>IF(AND($AM1324&lt;&gt;"",$AS1324&lt;&gt;"✓"),SUMPRODUCT(($AM$11:$AM1324&lt;&gt;"")*($AS$11:$AS1324&lt;&gt;"✓")),"")</f>
        <v/>
      </c>
      <c r="AZ1324" s="21" t="str">
        <f>IF(AND($AM1324&lt;&gt;"",$AS1324="✓"),SUMPRODUCT(($AM$11:$AM1324&lt;&gt;"")*($AS$11:$AS1324="✓")),"")</f>
        <v/>
      </c>
      <c r="BA1324" s="21" t="str">
        <f>IF($AL1324="","",$AL1324&amp;"|"&amp;COUNTIF($AL$11:$AL1324,$AL1324))</f>
        <v/>
      </c>
    </row>
    <row r="1325" spans="38:53" ht="15" customHeight="1" x14ac:dyDescent="0.25">
      <c r="AL1325" s="17"/>
      <c r="AM1325" s="12"/>
      <c r="AN1325" s="18"/>
      <c r="AO1325" s="18"/>
      <c r="AP1325" s="10"/>
      <c r="AQ1325" s="10"/>
      <c r="AR1325" s="19"/>
      <c r="AS1325" s="20"/>
      <c r="AT1325" s="19"/>
      <c r="AV1325" s="21">
        <f>IF(AND($AL1325&lt;&gt;"",COUNTIF($AL$11:$AL1325,$AL1325)=1),1,0)</f>
        <v>0</v>
      </c>
      <c r="AW1325" s="21">
        <f t="shared" si="127"/>
        <v>2</v>
      </c>
      <c r="AX1325" s="21" t="str">
        <f t="shared" si="126"/>
        <v/>
      </c>
      <c r="AY1325" s="21" t="str">
        <f>IF(AND($AM1325&lt;&gt;"",$AS1325&lt;&gt;"✓"),SUMPRODUCT(($AM$11:$AM1325&lt;&gt;"")*($AS$11:$AS1325&lt;&gt;"✓")),"")</f>
        <v/>
      </c>
      <c r="AZ1325" s="21" t="str">
        <f>IF(AND($AM1325&lt;&gt;"",$AS1325="✓"),SUMPRODUCT(($AM$11:$AM1325&lt;&gt;"")*($AS$11:$AS1325="✓")),"")</f>
        <v/>
      </c>
      <c r="BA1325" s="21" t="str">
        <f>IF($AL1325="","",$AL1325&amp;"|"&amp;COUNTIF($AL$11:$AL1325,$AL1325))</f>
        <v/>
      </c>
    </row>
    <row r="1326" spans="38:53" ht="15" customHeight="1" x14ac:dyDescent="0.25">
      <c r="AL1326" s="31"/>
      <c r="AM1326" s="26"/>
      <c r="AN1326" s="32"/>
      <c r="AO1326" s="32"/>
      <c r="AP1326" s="24"/>
      <c r="AQ1326" s="24"/>
      <c r="AR1326" s="33"/>
      <c r="AS1326" s="34"/>
      <c r="AT1326" s="33"/>
      <c r="AV1326" s="21">
        <f>IF(AND($AL1326&lt;&gt;"",COUNTIF($AL$11:$AL1326,$AL1326)=1),1,0)</f>
        <v>0</v>
      </c>
      <c r="AW1326" s="21">
        <f t="shared" si="127"/>
        <v>2</v>
      </c>
      <c r="AX1326" s="21" t="str">
        <f t="shared" si="126"/>
        <v/>
      </c>
      <c r="AY1326" s="21" t="str">
        <f>IF(AND($AM1326&lt;&gt;"",$AS1326&lt;&gt;"✓"),SUMPRODUCT(($AM$11:$AM1326&lt;&gt;"")*($AS$11:$AS1326&lt;&gt;"✓")),"")</f>
        <v/>
      </c>
      <c r="AZ1326" s="21" t="str">
        <f>IF(AND($AM1326&lt;&gt;"",$AS1326="✓"),SUMPRODUCT(($AM$11:$AM1326&lt;&gt;"")*($AS$11:$AS1326="✓")),"")</f>
        <v/>
      </c>
      <c r="BA1326" s="21" t="str">
        <f>IF($AL1326="","",$AL1326&amp;"|"&amp;COUNTIF($AL$11:$AL1326,$AL1326))</f>
        <v/>
      </c>
    </row>
    <row r="1327" spans="38:53" ht="15" customHeight="1" x14ac:dyDescent="0.25">
      <c r="AL1327" s="17"/>
      <c r="AM1327" s="12"/>
      <c r="AN1327" s="18"/>
      <c r="AO1327" s="18"/>
      <c r="AP1327" s="10"/>
      <c r="AQ1327" s="10"/>
      <c r="AR1327" s="19"/>
      <c r="AS1327" s="20"/>
      <c r="AT1327" s="19"/>
      <c r="AV1327" s="21">
        <f>IF(AND($AL1327&lt;&gt;"",COUNTIF($AL$11:$AL1327,$AL1327)=1),1,0)</f>
        <v>0</v>
      </c>
      <c r="AW1327" s="21">
        <f t="shared" si="127"/>
        <v>2</v>
      </c>
      <c r="AX1327" s="21" t="str">
        <f t="shared" si="126"/>
        <v/>
      </c>
      <c r="AY1327" s="21" t="str">
        <f>IF(AND($AM1327&lt;&gt;"",$AS1327&lt;&gt;"✓"),SUMPRODUCT(($AM$11:$AM1327&lt;&gt;"")*($AS$11:$AS1327&lt;&gt;"✓")),"")</f>
        <v/>
      </c>
      <c r="AZ1327" s="21" t="str">
        <f>IF(AND($AM1327&lt;&gt;"",$AS1327="✓"),SUMPRODUCT(($AM$11:$AM1327&lt;&gt;"")*($AS$11:$AS1327="✓")),"")</f>
        <v/>
      </c>
      <c r="BA1327" s="21" t="str">
        <f>IF($AL1327="","",$AL1327&amp;"|"&amp;COUNTIF($AL$11:$AL1327,$AL1327))</f>
        <v/>
      </c>
    </row>
    <row r="1328" spans="38:53" ht="15" customHeight="1" x14ac:dyDescent="0.25">
      <c r="AL1328" s="31"/>
      <c r="AM1328" s="26"/>
      <c r="AN1328" s="32"/>
      <c r="AO1328" s="32"/>
      <c r="AP1328" s="24"/>
      <c r="AQ1328" s="24"/>
      <c r="AR1328" s="33"/>
      <c r="AS1328" s="34"/>
      <c r="AT1328" s="33"/>
      <c r="AV1328" s="21">
        <f>IF(AND($AL1328&lt;&gt;"",COUNTIF($AL$11:$AL1328,$AL1328)=1),1,0)</f>
        <v>0</v>
      </c>
      <c r="AW1328" s="21">
        <f t="shared" si="127"/>
        <v>2</v>
      </c>
      <c r="AX1328" s="21" t="str">
        <f t="shared" si="126"/>
        <v/>
      </c>
      <c r="AY1328" s="21" t="str">
        <f>IF(AND($AM1328&lt;&gt;"",$AS1328&lt;&gt;"✓"),SUMPRODUCT(($AM$11:$AM1328&lt;&gt;"")*($AS$11:$AS1328&lt;&gt;"✓")),"")</f>
        <v/>
      </c>
      <c r="AZ1328" s="21" t="str">
        <f>IF(AND($AM1328&lt;&gt;"",$AS1328="✓"),SUMPRODUCT(($AM$11:$AM1328&lt;&gt;"")*($AS$11:$AS1328="✓")),"")</f>
        <v/>
      </c>
      <c r="BA1328" s="21" t="str">
        <f>IF($AL1328="","",$AL1328&amp;"|"&amp;COUNTIF($AL$11:$AL1328,$AL1328))</f>
        <v/>
      </c>
    </row>
    <row r="1329" spans="38:53" ht="15" customHeight="1" x14ac:dyDescent="0.25">
      <c r="AL1329" s="17"/>
      <c r="AM1329" s="12"/>
      <c r="AN1329" s="18"/>
      <c r="AO1329" s="18"/>
      <c r="AP1329" s="10"/>
      <c r="AQ1329" s="10"/>
      <c r="AR1329" s="19"/>
      <c r="AS1329" s="20"/>
      <c r="AT1329" s="19"/>
      <c r="AV1329" s="21">
        <f>IF(AND($AL1329&lt;&gt;"",COUNTIF($AL$11:$AL1329,$AL1329)=1),1,0)</f>
        <v>0</v>
      </c>
      <c r="AW1329" s="21">
        <f t="shared" si="127"/>
        <v>2</v>
      </c>
      <c r="AX1329" s="21" t="str">
        <f t="shared" si="126"/>
        <v/>
      </c>
      <c r="AY1329" s="21" t="str">
        <f>IF(AND($AM1329&lt;&gt;"",$AS1329&lt;&gt;"✓"),SUMPRODUCT(($AM$11:$AM1329&lt;&gt;"")*($AS$11:$AS1329&lt;&gt;"✓")),"")</f>
        <v/>
      </c>
      <c r="AZ1329" s="21" t="str">
        <f>IF(AND($AM1329&lt;&gt;"",$AS1329="✓"),SUMPRODUCT(($AM$11:$AM1329&lt;&gt;"")*($AS$11:$AS1329="✓")),"")</f>
        <v/>
      </c>
      <c r="BA1329" s="21" t="str">
        <f>IF($AL1329="","",$AL1329&amp;"|"&amp;COUNTIF($AL$11:$AL1329,$AL1329))</f>
        <v/>
      </c>
    </row>
    <row r="1330" spans="38:53" ht="15" customHeight="1" x14ac:dyDescent="0.25">
      <c r="AL1330" s="31"/>
      <c r="AM1330" s="26"/>
      <c r="AN1330" s="32"/>
      <c r="AO1330" s="32"/>
      <c r="AP1330" s="24"/>
      <c r="AQ1330" s="24"/>
      <c r="AR1330" s="33"/>
      <c r="AS1330" s="34"/>
      <c r="AT1330" s="33"/>
      <c r="AV1330" s="21">
        <f>IF(AND($AL1330&lt;&gt;"",COUNTIF($AL$11:$AL1330,$AL1330)=1),1,0)</f>
        <v>0</v>
      </c>
      <c r="AW1330" s="21">
        <f t="shared" si="127"/>
        <v>2</v>
      </c>
      <c r="AX1330" s="21" t="str">
        <f t="shared" si="126"/>
        <v/>
      </c>
      <c r="AY1330" s="21" t="str">
        <f>IF(AND($AM1330&lt;&gt;"",$AS1330&lt;&gt;"✓"),SUMPRODUCT(($AM$11:$AM1330&lt;&gt;"")*($AS$11:$AS1330&lt;&gt;"✓")),"")</f>
        <v/>
      </c>
      <c r="AZ1330" s="21" t="str">
        <f>IF(AND($AM1330&lt;&gt;"",$AS1330="✓"),SUMPRODUCT(($AM$11:$AM1330&lt;&gt;"")*($AS$11:$AS1330="✓")),"")</f>
        <v/>
      </c>
      <c r="BA1330" s="21" t="str">
        <f>IF($AL1330="","",$AL1330&amp;"|"&amp;COUNTIF($AL$11:$AL1330,$AL1330))</f>
        <v/>
      </c>
    </row>
    <row r="1331" spans="38:53" ht="15" customHeight="1" x14ac:dyDescent="0.25">
      <c r="AL1331" s="17"/>
      <c r="AM1331" s="12"/>
      <c r="AN1331" s="18"/>
      <c r="AO1331" s="18"/>
      <c r="AP1331" s="10"/>
      <c r="AQ1331" s="10"/>
      <c r="AR1331" s="19"/>
      <c r="AS1331" s="20"/>
      <c r="AT1331" s="19"/>
      <c r="AV1331" s="21">
        <f>IF(AND($AL1331&lt;&gt;"",COUNTIF($AL$11:$AL1331,$AL1331)=1),1,0)</f>
        <v>0</v>
      </c>
      <c r="AW1331" s="21">
        <f t="shared" si="127"/>
        <v>2</v>
      </c>
      <c r="AX1331" s="21" t="str">
        <f t="shared" si="126"/>
        <v/>
      </c>
      <c r="AY1331" s="21" t="str">
        <f>IF(AND($AM1331&lt;&gt;"",$AS1331&lt;&gt;"✓"),SUMPRODUCT(($AM$11:$AM1331&lt;&gt;"")*($AS$11:$AS1331&lt;&gt;"✓")),"")</f>
        <v/>
      </c>
      <c r="AZ1331" s="21" t="str">
        <f>IF(AND($AM1331&lt;&gt;"",$AS1331="✓"),SUMPRODUCT(($AM$11:$AM1331&lt;&gt;"")*($AS$11:$AS1331="✓")),"")</f>
        <v/>
      </c>
      <c r="BA1331" s="21" t="str">
        <f>IF($AL1331="","",$AL1331&amp;"|"&amp;COUNTIF($AL$11:$AL1331,$AL1331))</f>
        <v/>
      </c>
    </row>
    <row r="1332" spans="38:53" ht="15" customHeight="1" x14ac:dyDescent="0.25">
      <c r="AL1332" s="31"/>
      <c r="AM1332" s="26"/>
      <c r="AN1332" s="32"/>
      <c r="AO1332" s="32"/>
      <c r="AP1332" s="24"/>
      <c r="AQ1332" s="24"/>
      <c r="AR1332" s="33"/>
      <c r="AS1332" s="34"/>
      <c r="AT1332" s="33"/>
      <c r="AV1332" s="21">
        <f>IF(AND($AL1332&lt;&gt;"",COUNTIF($AL$11:$AL1332,$AL1332)=1),1,0)</f>
        <v>0</v>
      </c>
      <c r="AW1332" s="21">
        <f t="shared" si="127"/>
        <v>2</v>
      </c>
      <c r="AX1332" s="21" t="str">
        <f t="shared" si="126"/>
        <v/>
      </c>
      <c r="AY1332" s="21" t="str">
        <f>IF(AND($AM1332&lt;&gt;"",$AS1332&lt;&gt;"✓"),SUMPRODUCT(($AM$11:$AM1332&lt;&gt;"")*($AS$11:$AS1332&lt;&gt;"✓")),"")</f>
        <v/>
      </c>
      <c r="AZ1332" s="21" t="str">
        <f>IF(AND($AM1332&lt;&gt;"",$AS1332="✓"),SUMPRODUCT(($AM$11:$AM1332&lt;&gt;"")*($AS$11:$AS1332="✓")),"")</f>
        <v/>
      </c>
      <c r="BA1332" s="21" t="str">
        <f>IF($AL1332="","",$AL1332&amp;"|"&amp;COUNTIF($AL$11:$AL1332,$AL1332))</f>
        <v/>
      </c>
    </row>
    <row r="1333" spans="38:53" ht="15" customHeight="1" x14ac:dyDescent="0.25">
      <c r="AL1333" s="17"/>
      <c r="AM1333" s="12"/>
      <c r="AN1333" s="18"/>
      <c r="AO1333" s="18"/>
      <c r="AP1333" s="10"/>
      <c r="AQ1333" s="10"/>
      <c r="AR1333" s="19"/>
      <c r="AS1333" s="20"/>
      <c r="AT1333" s="19"/>
      <c r="AV1333" s="21">
        <f>IF(AND($AL1333&lt;&gt;"",COUNTIF($AL$11:$AL1333,$AL1333)=1),1,0)</f>
        <v>0</v>
      </c>
      <c r="AW1333" s="21">
        <f t="shared" si="127"/>
        <v>2</v>
      </c>
      <c r="AX1333" s="21" t="str">
        <f t="shared" si="126"/>
        <v/>
      </c>
      <c r="AY1333" s="21" t="str">
        <f>IF(AND($AM1333&lt;&gt;"",$AS1333&lt;&gt;"✓"),SUMPRODUCT(($AM$11:$AM1333&lt;&gt;"")*($AS$11:$AS1333&lt;&gt;"✓")),"")</f>
        <v/>
      </c>
      <c r="AZ1333" s="21" t="str">
        <f>IF(AND($AM1333&lt;&gt;"",$AS1333="✓"),SUMPRODUCT(($AM$11:$AM1333&lt;&gt;"")*($AS$11:$AS1333="✓")),"")</f>
        <v/>
      </c>
      <c r="BA1333" s="21" t="str">
        <f>IF($AL1333="","",$AL1333&amp;"|"&amp;COUNTIF($AL$11:$AL1333,$AL1333))</f>
        <v/>
      </c>
    </row>
    <row r="1334" spans="38:53" ht="15" customHeight="1" x14ac:dyDescent="0.25">
      <c r="AL1334" s="31"/>
      <c r="AM1334" s="26"/>
      <c r="AN1334" s="32"/>
      <c r="AO1334" s="32"/>
      <c r="AP1334" s="24"/>
      <c r="AQ1334" s="24"/>
      <c r="AR1334" s="33"/>
      <c r="AS1334" s="34"/>
      <c r="AT1334" s="33"/>
      <c r="AV1334" s="21">
        <f>IF(AND($AL1334&lt;&gt;"",COUNTIF($AL$11:$AL1334,$AL1334)=1),1,0)</f>
        <v>0</v>
      </c>
      <c r="AW1334" s="21">
        <f t="shared" si="127"/>
        <v>2</v>
      </c>
      <c r="AX1334" s="21" t="str">
        <f t="shared" si="126"/>
        <v/>
      </c>
      <c r="AY1334" s="21" t="str">
        <f>IF(AND($AM1334&lt;&gt;"",$AS1334&lt;&gt;"✓"),SUMPRODUCT(($AM$11:$AM1334&lt;&gt;"")*($AS$11:$AS1334&lt;&gt;"✓")),"")</f>
        <v/>
      </c>
      <c r="AZ1334" s="21" t="str">
        <f>IF(AND($AM1334&lt;&gt;"",$AS1334="✓"),SUMPRODUCT(($AM$11:$AM1334&lt;&gt;"")*($AS$11:$AS1334="✓")),"")</f>
        <v/>
      </c>
      <c r="BA1334" s="21" t="str">
        <f>IF($AL1334="","",$AL1334&amp;"|"&amp;COUNTIF($AL$11:$AL1334,$AL1334))</f>
        <v/>
      </c>
    </row>
    <row r="1335" spans="38:53" ht="15" customHeight="1" x14ac:dyDescent="0.25">
      <c r="AL1335" s="17"/>
      <c r="AM1335" s="12"/>
      <c r="AN1335" s="18"/>
      <c r="AO1335" s="18"/>
      <c r="AP1335" s="10"/>
      <c r="AQ1335" s="10"/>
      <c r="AR1335" s="19"/>
      <c r="AS1335" s="20"/>
      <c r="AT1335" s="19"/>
      <c r="AV1335" s="21">
        <f>IF(AND($AL1335&lt;&gt;"",COUNTIF($AL$11:$AL1335,$AL1335)=1),1,0)</f>
        <v>0</v>
      </c>
      <c r="AW1335" s="21">
        <f t="shared" si="127"/>
        <v>2</v>
      </c>
      <c r="AX1335" s="21" t="str">
        <f t="shared" si="126"/>
        <v/>
      </c>
      <c r="AY1335" s="21" t="str">
        <f>IF(AND($AM1335&lt;&gt;"",$AS1335&lt;&gt;"✓"),SUMPRODUCT(($AM$11:$AM1335&lt;&gt;"")*($AS$11:$AS1335&lt;&gt;"✓")),"")</f>
        <v/>
      </c>
      <c r="AZ1335" s="21" t="str">
        <f>IF(AND($AM1335&lt;&gt;"",$AS1335="✓"),SUMPRODUCT(($AM$11:$AM1335&lt;&gt;"")*($AS$11:$AS1335="✓")),"")</f>
        <v/>
      </c>
      <c r="BA1335" s="21" t="str">
        <f>IF($AL1335="","",$AL1335&amp;"|"&amp;COUNTIF($AL$11:$AL1335,$AL1335))</f>
        <v/>
      </c>
    </row>
    <row r="1336" spans="38:53" ht="15" customHeight="1" x14ac:dyDescent="0.25">
      <c r="AL1336" s="31"/>
      <c r="AM1336" s="26"/>
      <c r="AN1336" s="32"/>
      <c r="AO1336" s="32"/>
      <c r="AP1336" s="24"/>
      <c r="AQ1336" s="24"/>
      <c r="AR1336" s="33"/>
      <c r="AS1336" s="34"/>
      <c r="AT1336" s="33"/>
      <c r="AV1336" s="21">
        <f>IF(AND($AL1336&lt;&gt;"",COUNTIF($AL$11:$AL1336,$AL1336)=1),1,0)</f>
        <v>0</v>
      </c>
      <c r="AW1336" s="21">
        <f t="shared" si="127"/>
        <v>2</v>
      </c>
      <c r="AX1336" s="21" t="str">
        <f t="shared" si="126"/>
        <v/>
      </c>
      <c r="AY1336" s="21" t="str">
        <f>IF(AND($AM1336&lt;&gt;"",$AS1336&lt;&gt;"✓"),SUMPRODUCT(($AM$11:$AM1336&lt;&gt;"")*($AS$11:$AS1336&lt;&gt;"✓")),"")</f>
        <v/>
      </c>
      <c r="AZ1336" s="21" t="str">
        <f>IF(AND($AM1336&lt;&gt;"",$AS1336="✓"),SUMPRODUCT(($AM$11:$AM1336&lt;&gt;"")*($AS$11:$AS1336="✓")),"")</f>
        <v/>
      </c>
      <c r="BA1336" s="21" t="str">
        <f>IF($AL1336="","",$AL1336&amp;"|"&amp;COUNTIF($AL$11:$AL1336,$AL1336))</f>
        <v/>
      </c>
    </row>
    <row r="1337" spans="38:53" ht="15" customHeight="1" x14ac:dyDescent="0.25">
      <c r="AL1337" s="17"/>
      <c r="AM1337" s="12"/>
      <c r="AN1337" s="18"/>
      <c r="AO1337" s="18"/>
      <c r="AP1337" s="10"/>
      <c r="AQ1337" s="10"/>
      <c r="AR1337" s="19"/>
      <c r="AS1337" s="20"/>
      <c r="AT1337" s="19"/>
      <c r="AV1337" s="21">
        <f>IF(AND($AL1337&lt;&gt;"",COUNTIF($AL$11:$AL1337,$AL1337)=1),1,0)</f>
        <v>0</v>
      </c>
      <c r="AW1337" s="21">
        <f t="shared" si="127"/>
        <v>2</v>
      </c>
      <c r="AX1337" s="21" t="str">
        <f t="shared" si="126"/>
        <v/>
      </c>
      <c r="AY1337" s="21" t="str">
        <f>IF(AND($AM1337&lt;&gt;"",$AS1337&lt;&gt;"✓"),SUMPRODUCT(($AM$11:$AM1337&lt;&gt;"")*($AS$11:$AS1337&lt;&gt;"✓")),"")</f>
        <v/>
      </c>
      <c r="AZ1337" s="21" t="str">
        <f>IF(AND($AM1337&lt;&gt;"",$AS1337="✓"),SUMPRODUCT(($AM$11:$AM1337&lt;&gt;"")*($AS$11:$AS1337="✓")),"")</f>
        <v/>
      </c>
      <c r="BA1337" s="21" t="str">
        <f>IF($AL1337="","",$AL1337&amp;"|"&amp;COUNTIF($AL$11:$AL1337,$AL1337))</f>
        <v/>
      </c>
    </row>
    <row r="1338" spans="38:53" ht="15" customHeight="1" x14ac:dyDescent="0.25">
      <c r="AL1338" s="31"/>
      <c r="AM1338" s="26"/>
      <c r="AN1338" s="32"/>
      <c r="AO1338" s="32"/>
      <c r="AP1338" s="24"/>
      <c r="AQ1338" s="24"/>
      <c r="AR1338" s="33"/>
      <c r="AS1338" s="34"/>
      <c r="AT1338" s="33"/>
      <c r="AV1338" s="21">
        <f>IF(AND($AL1338&lt;&gt;"",COUNTIF($AL$11:$AL1338,$AL1338)=1),1,0)</f>
        <v>0</v>
      </c>
      <c r="AW1338" s="21">
        <f t="shared" si="127"/>
        <v>2</v>
      </c>
      <c r="AX1338" s="21" t="str">
        <f t="shared" si="126"/>
        <v/>
      </c>
      <c r="AY1338" s="21" t="str">
        <f>IF(AND($AM1338&lt;&gt;"",$AS1338&lt;&gt;"✓"),SUMPRODUCT(($AM$11:$AM1338&lt;&gt;"")*($AS$11:$AS1338&lt;&gt;"✓")),"")</f>
        <v/>
      </c>
      <c r="AZ1338" s="21" t="str">
        <f>IF(AND($AM1338&lt;&gt;"",$AS1338="✓"),SUMPRODUCT(($AM$11:$AM1338&lt;&gt;"")*($AS$11:$AS1338="✓")),"")</f>
        <v/>
      </c>
      <c r="BA1338" s="21" t="str">
        <f>IF($AL1338="","",$AL1338&amp;"|"&amp;COUNTIF($AL$11:$AL1338,$AL1338))</f>
        <v/>
      </c>
    </row>
    <row r="1339" spans="38:53" ht="15" customHeight="1" x14ac:dyDescent="0.25">
      <c r="AL1339" s="17"/>
      <c r="AM1339" s="12"/>
      <c r="AN1339" s="18"/>
      <c r="AO1339" s="18"/>
      <c r="AP1339" s="10"/>
      <c r="AQ1339" s="10"/>
      <c r="AR1339" s="19"/>
      <c r="AS1339" s="20"/>
      <c r="AT1339" s="19"/>
      <c r="AV1339" s="21">
        <f>IF(AND($AL1339&lt;&gt;"",COUNTIF($AL$11:$AL1339,$AL1339)=1),1,0)</f>
        <v>0</v>
      </c>
      <c r="AW1339" s="21">
        <f t="shared" si="127"/>
        <v>2</v>
      </c>
      <c r="AX1339" s="21" t="str">
        <f t="shared" si="126"/>
        <v/>
      </c>
      <c r="AY1339" s="21" t="str">
        <f>IF(AND($AM1339&lt;&gt;"",$AS1339&lt;&gt;"✓"),SUMPRODUCT(($AM$11:$AM1339&lt;&gt;"")*($AS$11:$AS1339&lt;&gt;"✓")),"")</f>
        <v/>
      </c>
      <c r="AZ1339" s="21" t="str">
        <f>IF(AND($AM1339&lt;&gt;"",$AS1339="✓"),SUMPRODUCT(($AM$11:$AM1339&lt;&gt;"")*($AS$11:$AS1339="✓")),"")</f>
        <v/>
      </c>
      <c r="BA1339" s="21" t="str">
        <f>IF($AL1339="","",$AL1339&amp;"|"&amp;COUNTIF($AL$11:$AL1339,$AL1339))</f>
        <v/>
      </c>
    </row>
    <row r="1340" spans="38:53" ht="15" customHeight="1" x14ac:dyDescent="0.25">
      <c r="AL1340" s="31"/>
      <c r="AM1340" s="26"/>
      <c r="AN1340" s="32"/>
      <c r="AO1340" s="32"/>
      <c r="AP1340" s="24"/>
      <c r="AQ1340" s="24"/>
      <c r="AR1340" s="33"/>
      <c r="AS1340" s="34"/>
      <c r="AT1340" s="33"/>
      <c r="AV1340" s="21">
        <f>IF(AND($AL1340&lt;&gt;"",COUNTIF($AL$11:$AL1340,$AL1340)=1),1,0)</f>
        <v>0</v>
      </c>
      <c r="AW1340" s="21">
        <f t="shared" si="127"/>
        <v>2</v>
      </c>
      <c r="AX1340" s="21" t="str">
        <f t="shared" si="126"/>
        <v/>
      </c>
      <c r="AY1340" s="21" t="str">
        <f>IF(AND($AM1340&lt;&gt;"",$AS1340&lt;&gt;"✓"),SUMPRODUCT(($AM$11:$AM1340&lt;&gt;"")*($AS$11:$AS1340&lt;&gt;"✓")),"")</f>
        <v/>
      </c>
      <c r="AZ1340" s="21" t="str">
        <f>IF(AND($AM1340&lt;&gt;"",$AS1340="✓"),SUMPRODUCT(($AM$11:$AM1340&lt;&gt;"")*($AS$11:$AS1340="✓")),"")</f>
        <v/>
      </c>
      <c r="BA1340" s="21" t="str">
        <f>IF($AL1340="","",$AL1340&amp;"|"&amp;COUNTIF($AL$11:$AL1340,$AL1340))</f>
        <v/>
      </c>
    </row>
    <row r="1341" spans="38:53" ht="15" customHeight="1" x14ac:dyDescent="0.25">
      <c r="AL1341" s="17"/>
      <c r="AM1341" s="12"/>
      <c r="AN1341" s="18"/>
      <c r="AO1341" s="18"/>
      <c r="AP1341" s="10"/>
      <c r="AQ1341" s="10"/>
      <c r="AR1341" s="19"/>
      <c r="AS1341" s="20"/>
      <c r="AT1341" s="19"/>
      <c r="AV1341" s="21">
        <f>IF(AND($AL1341&lt;&gt;"",COUNTIF($AL$11:$AL1341,$AL1341)=1),1,0)</f>
        <v>0</v>
      </c>
      <c r="AW1341" s="21">
        <f t="shared" si="127"/>
        <v>2</v>
      </c>
      <c r="AX1341" s="21" t="str">
        <f t="shared" si="126"/>
        <v/>
      </c>
      <c r="AY1341" s="21" t="str">
        <f>IF(AND($AM1341&lt;&gt;"",$AS1341&lt;&gt;"✓"),SUMPRODUCT(($AM$11:$AM1341&lt;&gt;"")*($AS$11:$AS1341&lt;&gt;"✓")),"")</f>
        <v/>
      </c>
      <c r="AZ1341" s="21" t="str">
        <f>IF(AND($AM1341&lt;&gt;"",$AS1341="✓"),SUMPRODUCT(($AM$11:$AM1341&lt;&gt;"")*($AS$11:$AS1341="✓")),"")</f>
        <v/>
      </c>
      <c r="BA1341" s="21" t="str">
        <f>IF($AL1341="","",$AL1341&amp;"|"&amp;COUNTIF($AL$11:$AL1341,$AL1341))</f>
        <v/>
      </c>
    </row>
    <row r="1342" spans="38:53" ht="15" customHeight="1" x14ac:dyDescent="0.25">
      <c r="AL1342" s="31"/>
      <c r="AM1342" s="26"/>
      <c r="AN1342" s="32"/>
      <c r="AO1342" s="32"/>
      <c r="AP1342" s="24"/>
      <c r="AQ1342" s="24"/>
      <c r="AR1342" s="33"/>
      <c r="AS1342" s="34"/>
      <c r="AT1342" s="33"/>
      <c r="AV1342" s="21">
        <f>IF(AND($AL1342&lt;&gt;"",COUNTIF($AL$11:$AL1342,$AL1342)=1),1,0)</f>
        <v>0</v>
      </c>
      <c r="AW1342" s="21">
        <f t="shared" si="127"/>
        <v>2</v>
      </c>
      <c r="AX1342" s="21" t="str">
        <f t="shared" si="126"/>
        <v/>
      </c>
      <c r="AY1342" s="21" t="str">
        <f>IF(AND($AM1342&lt;&gt;"",$AS1342&lt;&gt;"✓"),SUMPRODUCT(($AM$11:$AM1342&lt;&gt;"")*($AS$11:$AS1342&lt;&gt;"✓")),"")</f>
        <v/>
      </c>
      <c r="AZ1342" s="21" t="str">
        <f>IF(AND($AM1342&lt;&gt;"",$AS1342="✓"),SUMPRODUCT(($AM$11:$AM1342&lt;&gt;"")*($AS$11:$AS1342="✓")),"")</f>
        <v/>
      </c>
      <c r="BA1342" s="21" t="str">
        <f>IF($AL1342="","",$AL1342&amp;"|"&amp;COUNTIF($AL$11:$AL1342,$AL1342))</f>
        <v/>
      </c>
    </row>
    <row r="1343" spans="38:53" ht="15" customHeight="1" x14ac:dyDescent="0.25">
      <c r="AL1343" s="17"/>
      <c r="AM1343" s="12"/>
      <c r="AN1343" s="18"/>
      <c r="AO1343" s="18"/>
      <c r="AP1343" s="10"/>
      <c r="AQ1343" s="10"/>
      <c r="AR1343" s="19"/>
      <c r="AS1343" s="20"/>
      <c r="AT1343" s="19"/>
      <c r="AV1343" s="21">
        <f>IF(AND($AL1343&lt;&gt;"",COUNTIF($AL$11:$AL1343,$AL1343)=1),1,0)</f>
        <v>0</v>
      </c>
      <c r="AW1343" s="21">
        <f t="shared" si="127"/>
        <v>2</v>
      </c>
      <c r="AX1343" s="21" t="str">
        <f t="shared" si="126"/>
        <v/>
      </c>
      <c r="AY1343" s="21" t="str">
        <f>IF(AND($AM1343&lt;&gt;"",$AS1343&lt;&gt;"✓"),SUMPRODUCT(($AM$11:$AM1343&lt;&gt;"")*($AS$11:$AS1343&lt;&gt;"✓")),"")</f>
        <v/>
      </c>
      <c r="AZ1343" s="21" t="str">
        <f>IF(AND($AM1343&lt;&gt;"",$AS1343="✓"),SUMPRODUCT(($AM$11:$AM1343&lt;&gt;"")*($AS$11:$AS1343="✓")),"")</f>
        <v/>
      </c>
      <c r="BA1343" s="21" t="str">
        <f>IF($AL1343="","",$AL1343&amp;"|"&amp;COUNTIF($AL$11:$AL1343,$AL1343))</f>
        <v/>
      </c>
    </row>
    <row r="1344" spans="38:53" ht="15" customHeight="1" x14ac:dyDescent="0.25">
      <c r="AL1344" s="31"/>
      <c r="AM1344" s="26"/>
      <c r="AN1344" s="32"/>
      <c r="AO1344" s="32"/>
      <c r="AP1344" s="24"/>
      <c r="AQ1344" s="24"/>
      <c r="AR1344" s="33"/>
      <c r="AS1344" s="34"/>
      <c r="AT1344" s="33"/>
      <c r="AV1344" s="21">
        <f>IF(AND($AL1344&lt;&gt;"",COUNTIF($AL$11:$AL1344,$AL1344)=1),1,0)</f>
        <v>0</v>
      </c>
      <c r="AW1344" s="21">
        <f t="shared" si="127"/>
        <v>2</v>
      </c>
      <c r="AX1344" s="21" t="str">
        <f t="shared" si="126"/>
        <v/>
      </c>
      <c r="AY1344" s="21" t="str">
        <f>IF(AND($AM1344&lt;&gt;"",$AS1344&lt;&gt;"✓"),SUMPRODUCT(($AM$11:$AM1344&lt;&gt;"")*($AS$11:$AS1344&lt;&gt;"✓")),"")</f>
        <v/>
      </c>
      <c r="AZ1344" s="21" t="str">
        <f>IF(AND($AM1344&lt;&gt;"",$AS1344="✓"),SUMPRODUCT(($AM$11:$AM1344&lt;&gt;"")*($AS$11:$AS1344="✓")),"")</f>
        <v/>
      </c>
      <c r="BA1344" s="21" t="str">
        <f>IF($AL1344="","",$AL1344&amp;"|"&amp;COUNTIF($AL$11:$AL1344,$AL1344))</f>
        <v/>
      </c>
    </row>
    <row r="1345" spans="38:53" ht="15" customHeight="1" x14ac:dyDescent="0.25">
      <c r="AL1345" s="17"/>
      <c r="AM1345" s="12"/>
      <c r="AN1345" s="18"/>
      <c r="AO1345" s="18"/>
      <c r="AP1345" s="10"/>
      <c r="AQ1345" s="10"/>
      <c r="AR1345" s="19"/>
      <c r="AS1345" s="20"/>
      <c r="AT1345" s="19"/>
      <c r="AV1345" s="21">
        <f>IF(AND($AL1345&lt;&gt;"",COUNTIF($AL$11:$AL1345,$AL1345)=1),1,0)</f>
        <v>0</v>
      </c>
      <c r="AW1345" s="21">
        <f t="shared" si="127"/>
        <v>2</v>
      </c>
      <c r="AX1345" s="21" t="str">
        <f t="shared" si="126"/>
        <v/>
      </c>
      <c r="AY1345" s="21" t="str">
        <f>IF(AND($AM1345&lt;&gt;"",$AS1345&lt;&gt;"✓"),SUMPRODUCT(($AM$11:$AM1345&lt;&gt;"")*($AS$11:$AS1345&lt;&gt;"✓")),"")</f>
        <v/>
      </c>
      <c r="AZ1345" s="21" t="str">
        <f>IF(AND($AM1345&lt;&gt;"",$AS1345="✓"),SUMPRODUCT(($AM$11:$AM1345&lt;&gt;"")*($AS$11:$AS1345="✓")),"")</f>
        <v/>
      </c>
      <c r="BA1345" s="21" t="str">
        <f>IF($AL1345="","",$AL1345&amp;"|"&amp;COUNTIF($AL$11:$AL1345,$AL1345))</f>
        <v/>
      </c>
    </row>
    <row r="1346" spans="38:53" ht="15" customHeight="1" x14ac:dyDescent="0.25">
      <c r="AL1346" s="31"/>
      <c r="AM1346" s="26"/>
      <c r="AN1346" s="32"/>
      <c r="AO1346" s="32"/>
      <c r="AP1346" s="24"/>
      <c r="AQ1346" s="24"/>
      <c r="AR1346" s="33"/>
      <c r="AS1346" s="34"/>
      <c r="AT1346" s="33"/>
      <c r="AV1346" s="21">
        <f>IF(AND($AL1346&lt;&gt;"",COUNTIF($AL$11:$AL1346,$AL1346)=1),1,0)</f>
        <v>0</v>
      </c>
      <c r="AW1346" s="21">
        <f t="shared" si="127"/>
        <v>2</v>
      </c>
      <c r="AX1346" s="21" t="str">
        <f t="shared" si="126"/>
        <v/>
      </c>
      <c r="AY1346" s="21" t="str">
        <f>IF(AND($AM1346&lt;&gt;"",$AS1346&lt;&gt;"✓"),SUMPRODUCT(($AM$11:$AM1346&lt;&gt;"")*($AS$11:$AS1346&lt;&gt;"✓")),"")</f>
        <v/>
      </c>
      <c r="AZ1346" s="21" t="str">
        <f>IF(AND($AM1346&lt;&gt;"",$AS1346="✓"),SUMPRODUCT(($AM$11:$AM1346&lt;&gt;"")*($AS$11:$AS1346="✓")),"")</f>
        <v/>
      </c>
      <c r="BA1346" s="21" t="str">
        <f>IF($AL1346="","",$AL1346&amp;"|"&amp;COUNTIF($AL$11:$AL1346,$AL1346))</f>
        <v/>
      </c>
    </row>
    <row r="1347" spans="38:53" ht="15" customHeight="1" x14ac:dyDescent="0.25">
      <c r="AL1347" s="17"/>
      <c r="AM1347" s="12"/>
      <c r="AN1347" s="18"/>
      <c r="AO1347" s="18"/>
      <c r="AP1347" s="10"/>
      <c r="AQ1347" s="10"/>
      <c r="AR1347" s="19"/>
      <c r="AS1347" s="20"/>
      <c r="AT1347" s="19"/>
      <c r="AV1347" s="21">
        <f>IF(AND($AL1347&lt;&gt;"",COUNTIF($AL$11:$AL1347,$AL1347)=1),1,0)</f>
        <v>0</v>
      </c>
      <c r="AW1347" s="21">
        <f t="shared" si="127"/>
        <v>2</v>
      </c>
      <c r="AX1347" s="21" t="str">
        <f t="shared" si="126"/>
        <v/>
      </c>
      <c r="AY1347" s="21" t="str">
        <f>IF(AND($AM1347&lt;&gt;"",$AS1347&lt;&gt;"✓"),SUMPRODUCT(($AM$11:$AM1347&lt;&gt;"")*($AS$11:$AS1347&lt;&gt;"✓")),"")</f>
        <v/>
      </c>
      <c r="AZ1347" s="21" t="str">
        <f>IF(AND($AM1347&lt;&gt;"",$AS1347="✓"),SUMPRODUCT(($AM$11:$AM1347&lt;&gt;"")*($AS$11:$AS1347="✓")),"")</f>
        <v/>
      </c>
      <c r="BA1347" s="21" t="str">
        <f>IF($AL1347="","",$AL1347&amp;"|"&amp;COUNTIF($AL$11:$AL1347,$AL1347))</f>
        <v/>
      </c>
    </row>
    <row r="1348" spans="38:53" ht="15" customHeight="1" x14ac:dyDescent="0.25">
      <c r="AL1348" s="31"/>
      <c r="AM1348" s="26"/>
      <c r="AN1348" s="32"/>
      <c r="AO1348" s="32"/>
      <c r="AP1348" s="24"/>
      <c r="AQ1348" s="24"/>
      <c r="AR1348" s="33"/>
      <c r="AS1348" s="34"/>
      <c r="AT1348" s="33"/>
      <c r="AV1348" s="21">
        <f>IF(AND($AL1348&lt;&gt;"",COUNTIF($AL$11:$AL1348,$AL1348)=1),1,0)</f>
        <v>0</v>
      </c>
      <c r="AW1348" s="21">
        <f t="shared" si="127"/>
        <v>2</v>
      </c>
      <c r="AX1348" s="21" t="str">
        <f t="shared" si="126"/>
        <v/>
      </c>
      <c r="AY1348" s="21" t="str">
        <f>IF(AND($AM1348&lt;&gt;"",$AS1348&lt;&gt;"✓"),SUMPRODUCT(($AM$11:$AM1348&lt;&gt;"")*($AS$11:$AS1348&lt;&gt;"✓")),"")</f>
        <v/>
      </c>
      <c r="AZ1348" s="21" t="str">
        <f>IF(AND($AM1348&lt;&gt;"",$AS1348="✓"),SUMPRODUCT(($AM$11:$AM1348&lt;&gt;"")*($AS$11:$AS1348="✓")),"")</f>
        <v/>
      </c>
      <c r="BA1348" s="21" t="str">
        <f>IF($AL1348="","",$AL1348&amp;"|"&amp;COUNTIF($AL$11:$AL1348,$AL1348))</f>
        <v/>
      </c>
    </row>
    <row r="1349" spans="38:53" ht="15" customHeight="1" x14ac:dyDescent="0.25">
      <c r="AL1349" s="17"/>
      <c r="AM1349" s="12"/>
      <c r="AN1349" s="18"/>
      <c r="AO1349" s="18"/>
      <c r="AP1349" s="10"/>
      <c r="AQ1349" s="10"/>
      <c r="AR1349" s="19"/>
      <c r="AS1349" s="20"/>
      <c r="AT1349" s="19"/>
      <c r="AV1349" s="21">
        <f>IF(AND($AL1349&lt;&gt;"",COUNTIF($AL$11:$AL1349,$AL1349)=1),1,0)</f>
        <v>0</v>
      </c>
      <c r="AW1349" s="21">
        <f t="shared" si="127"/>
        <v>2</v>
      </c>
      <c r="AX1349" s="21" t="str">
        <f t="shared" si="126"/>
        <v/>
      </c>
      <c r="AY1349" s="21" t="str">
        <f>IF(AND($AM1349&lt;&gt;"",$AS1349&lt;&gt;"✓"),SUMPRODUCT(($AM$11:$AM1349&lt;&gt;"")*($AS$11:$AS1349&lt;&gt;"✓")),"")</f>
        <v/>
      </c>
      <c r="AZ1349" s="21" t="str">
        <f>IF(AND($AM1349&lt;&gt;"",$AS1349="✓"),SUMPRODUCT(($AM$11:$AM1349&lt;&gt;"")*($AS$11:$AS1349="✓")),"")</f>
        <v/>
      </c>
      <c r="BA1349" s="21" t="str">
        <f>IF($AL1349="","",$AL1349&amp;"|"&amp;COUNTIF($AL$11:$AL1349,$AL1349))</f>
        <v/>
      </c>
    </row>
    <row r="1350" spans="38:53" ht="15" customHeight="1" x14ac:dyDescent="0.25">
      <c r="AL1350" s="31"/>
      <c r="AM1350" s="26"/>
      <c r="AN1350" s="32"/>
      <c r="AO1350" s="32"/>
      <c r="AP1350" s="24"/>
      <c r="AQ1350" s="24"/>
      <c r="AR1350" s="33"/>
      <c r="AS1350" s="34"/>
      <c r="AT1350" s="33"/>
      <c r="AV1350" s="21">
        <f>IF(AND($AL1350&lt;&gt;"",COUNTIF($AL$11:$AL1350,$AL1350)=1),1,0)</f>
        <v>0</v>
      </c>
      <c r="AW1350" s="21">
        <f t="shared" si="127"/>
        <v>2</v>
      </c>
      <c r="AX1350" s="21" t="str">
        <f t="shared" si="126"/>
        <v/>
      </c>
      <c r="AY1350" s="21" t="str">
        <f>IF(AND($AM1350&lt;&gt;"",$AS1350&lt;&gt;"✓"),SUMPRODUCT(($AM$11:$AM1350&lt;&gt;"")*($AS$11:$AS1350&lt;&gt;"✓")),"")</f>
        <v/>
      </c>
      <c r="AZ1350" s="21" t="str">
        <f>IF(AND($AM1350&lt;&gt;"",$AS1350="✓"),SUMPRODUCT(($AM$11:$AM1350&lt;&gt;"")*($AS$11:$AS1350="✓")),"")</f>
        <v/>
      </c>
      <c r="BA1350" s="21" t="str">
        <f>IF($AL1350="","",$AL1350&amp;"|"&amp;COUNTIF($AL$11:$AL1350,$AL1350))</f>
        <v/>
      </c>
    </row>
    <row r="1351" spans="38:53" ht="15" customHeight="1" x14ac:dyDescent="0.25">
      <c r="AL1351" s="17"/>
      <c r="AM1351" s="12"/>
      <c r="AN1351" s="18"/>
      <c r="AO1351" s="18"/>
      <c r="AP1351" s="10"/>
      <c r="AQ1351" s="10"/>
      <c r="AR1351" s="19"/>
      <c r="AS1351" s="20"/>
      <c r="AT1351" s="19"/>
      <c r="AV1351" s="21">
        <f>IF(AND($AL1351&lt;&gt;"",COUNTIF($AL$11:$AL1351,$AL1351)=1),1,0)</f>
        <v>0</v>
      </c>
      <c r="AW1351" s="21">
        <f t="shared" si="127"/>
        <v>2</v>
      </c>
      <c r="AX1351" s="21" t="str">
        <f t="shared" si="126"/>
        <v/>
      </c>
      <c r="AY1351" s="21" t="str">
        <f>IF(AND($AM1351&lt;&gt;"",$AS1351&lt;&gt;"✓"),SUMPRODUCT(($AM$11:$AM1351&lt;&gt;"")*($AS$11:$AS1351&lt;&gt;"✓")),"")</f>
        <v/>
      </c>
      <c r="AZ1351" s="21" t="str">
        <f>IF(AND($AM1351&lt;&gt;"",$AS1351="✓"),SUMPRODUCT(($AM$11:$AM1351&lt;&gt;"")*($AS$11:$AS1351="✓")),"")</f>
        <v/>
      </c>
      <c r="BA1351" s="21" t="str">
        <f>IF($AL1351="","",$AL1351&amp;"|"&amp;COUNTIF($AL$11:$AL1351,$AL1351))</f>
        <v/>
      </c>
    </row>
    <row r="1352" spans="38:53" ht="15" customHeight="1" x14ac:dyDescent="0.25">
      <c r="AL1352" s="31"/>
      <c r="AM1352" s="26"/>
      <c r="AN1352" s="32"/>
      <c r="AO1352" s="32"/>
      <c r="AP1352" s="24"/>
      <c r="AQ1352" s="24"/>
      <c r="AR1352" s="33"/>
      <c r="AS1352" s="34"/>
      <c r="AT1352" s="33"/>
      <c r="AV1352" s="21">
        <f>IF(AND($AL1352&lt;&gt;"",COUNTIF($AL$11:$AL1352,$AL1352)=1),1,0)</f>
        <v>0</v>
      </c>
      <c r="AW1352" s="21">
        <f t="shared" si="127"/>
        <v>2</v>
      </c>
      <c r="AX1352" s="21" t="str">
        <f t="shared" si="126"/>
        <v/>
      </c>
      <c r="AY1352" s="21" t="str">
        <f>IF(AND($AM1352&lt;&gt;"",$AS1352&lt;&gt;"✓"),SUMPRODUCT(($AM$11:$AM1352&lt;&gt;"")*($AS$11:$AS1352&lt;&gt;"✓")),"")</f>
        <v/>
      </c>
      <c r="AZ1352" s="21" t="str">
        <f>IF(AND($AM1352&lt;&gt;"",$AS1352="✓"),SUMPRODUCT(($AM$11:$AM1352&lt;&gt;"")*($AS$11:$AS1352="✓")),"")</f>
        <v/>
      </c>
      <c r="BA1352" s="21" t="str">
        <f>IF($AL1352="","",$AL1352&amp;"|"&amp;COUNTIF($AL$11:$AL1352,$AL1352))</f>
        <v/>
      </c>
    </row>
    <row r="1353" spans="38:53" ht="15" customHeight="1" x14ac:dyDescent="0.25">
      <c r="AL1353" s="17"/>
      <c r="AM1353" s="12"/>
      <c r="AN1353" s="18"/>
      <c r="AO1353" s="18"/>
      <c r="AP1353" s="10"/>
      <c r="AQ1353" s="10"/>
      <c r="AR1353" s="19"/>
      <c r="AS1353" s="20"/>
      <c r="AT1353" s="19"/>
      <c r="AV1353" s="21">
        <f>IF(AND($AL1353&lt;&gt;"",COUNTIF($AL$11:$AL1353,$AL1353)=1),1,0)</f>
        <v>0</v>
      </c>
      <c r="AW1353" s="21">
        <f t="shared" si="127"/>
        <v>2</v>
      </c>
      <c r="AX1353" s="21" t="str">
        <f t="shared" si="126"/>
        <v/>
      </c>
      <c r="AY1353" s="21" t="str">
        <f>IF(AND($AM1353&lt;&gt;"",$AS1353&lt;&gt;"✓"),SUMPRODUCT(($AM$11:$AM1353&lt;&gt;"")*($AS$11:$AS1353&lt;&gt;"✓")),"")</f>
        <v/>
      </c>
      <c r="AZ1353" s="21" t="str">
        <f>IF(AND($AM1353&lt;&gt;"",$AS1353="✓"),SUMPRODUCT(($AM$11:$AM1353&lt;&gt;"")*($AS$11:$AS1353="✓")),"")</f>
        <v/>
      </c>
      <c r="BA1353" s="21" t="str">
        <f>IF($AL1353="","",$AL1353&amp;"|"&amp;COUNTIF($AL$11:$AL1353,$AL1353))</f>
        <v/>
      </c>
    </row>
    <row r="1354" spans="38:53" ht="15" customHeight="1" x14ac:dyDescent="0.25">
      <c r="AL1354" s="31"/>
      <c r="AM1354" s="26"/>
      <c r="AN1354" s="32"/>
      <c r="AO1354" s="32"/>
      <c r="AP1354" s="24"/>
      <c r="AQ1354" s="24"/>
      <c r="AR1354" s="33"/>
      <c r="AS1354" s="34"/>
      <c r="AT1354" s="33"/>
      <c r="AV1354" s="21">
        <f>IF(AND($AL1354&lt;&gt;"",COUNTIF($AL$11:$AL1354,$AL1354)=1),1,0)</f>
        <v>0</v>
      </c>
      <c r="AW1354" s="21">
        <f t="shared" si="127"/>
        <v>2</v>
      </c>
      <c r="AX1354" s="21" t="str">
        <f t="shared" si="126"/>
        <v/>
      </c>
      <c r="AY1354" s="21" t="str">
        <f>IF(AND($AM1354&lt;&gt;"",$AS1354&lt;&gt;"✓"),SUMPRODUCT(($AM$11:$AM1354&lt;&gt;"")*($AS$11:$AS1354&lt;&gt;"✓")),"")</f>
        <v/>
      </c>
      <c r="AZ1354" s="21" t="str">
        <f>IF(AND($AM1354&lt;&gt;"",$AS1354="✓"),SUMPRODUCT(($AM$11:$AM1354&lt;&gt;"")*($AS$11:$AS1354="✓")),"")</f>
        <v/>
      </c>
      <c r="BA1354" s="21" t="str">
        <f>IF($AL1354="","",$AL1354&amp;"|"&amp;COUNTIF($AL$11:$AL1354,$AL1354))</f>
        <v/>
      </c>
    </row>
    <row r="1355" spans="38:53" ht="15" customHeight="1" x14ac:dyDescent="0.25">
      <c r="AL1355" s="17"/>
      <c r="AM1355" s="12"/>
      <c r="AN1355" s="18"/>
      <c r="AO1355" s="18"/>
      <c r="AP1355" s="10"/>
      <c r="AQ1355" s="10"/>
      <c r="AR1355" s="19"/>
      <c r="AS1355" s="20"/>
      <c r="AT1355" s="19"/>
      <c r="AV1355" s="21">
        <f>IF(AND($AL1355&lt;&gt;"",COUNTIF($AL$11:$AL1355,$AL1355)=1),1,0)</f>
        <v>0</v>
      </c>
      <c r="AW1355" s="21">
        <f t="shared" si="127"/>
        <v>2</v>
      </c>
      <c r="AX1355" s="21" t="str">
        <f t="shared" ref="AX1355:AX1418" si="128">IF(AV1355=1,AW1355,"")</f>
        <v/>
      </c>
      <c r="AY1355" s="21" t="str">
        <f>IF(AND($AM1355&lt;&gt;"",$AS1355&lt;&gt;"✓"),SUMPRODUCT(($AM$11:$AM1355&lt;&gt;"")*($AS$11:$AS1355&lt;&gt;"✓")),"")</f>
        <v/>
      </c>
      <c r="AZ1355" s="21" t="str">
        <f>IF(AND($AM1355&lt;&gt;"",$AS1355="✓"),SUMPRODUCT(($AM$11:$AM1355&lt;&gt;"")*($AS$11:$AS1355="✓")),"")</f>
        <v/>
      </c>
      <c r="BA1355" s="21" t="str">
        <f>IF($AL1355="","",$AL1355&amp;"|"&amp;COUNTIF($AL$11:$AL1355,$AL1355))</f>
        <v/>
      </c>
    </row>
    <row r="1356" spans="38:53" ht="15" customHeight="1" x14ac:dyDescent="0.25">
      <c r="AL1356" s="31"/>
      <c r="AM1356" s="26"/>
      <c r="AN1356" s="32"/>
      <c r="AO1356" s="32"/>
      <c r="AP1356" s="24"/>
      <c r="AQ1356" s="24"/>
      <c r="AR1356" s="33"/>
      <c r="AS1356" s="34"/>
      <c r="AT1356" s="33"/>
      <c r="AV1356" s="21">
        <f>IF(AND($AL1356&lt;&gt;"",COUNTIF($AL$11:$AL1356,$AL1356)=1),1,0)</f>
        <v>0</v>
      </c>
      <c r="AW1356" s="21">
        <f t="shared" ref="AW1356:AW1419" si="129">AW1355+AV1356</f>
        <v>2</v>
      </c>
      <c r="AX1356" s="21" t="str">
        <f t="shared" si="128"/>
        <v/>
      </c>
      <c r="AY1356" s="21" t="str">
        <f>IF(AND($AM1356&lt;&gt;"",$AS1356&lt;&gt;"✓"),SUMPRODUCT(($AM$11:$AM1356&lt;&gt;"")*($AS$11:$AS1356&lt;&gt;"✓")),"")</f>
        <v/>
      </c>
      <c r="AZ1356" s="21" t="str">
        <f>IF(AND($AM1356&lt;&gt;"",$AS1356="✓"),SUMPRODUCT(($AM$11:$AM1356&lt;&gt;"")*($AS$11:$AS1356="✓")),"")</f>
        <v/>
      </c>
      <c r="BA1356" s="21" t="str">
        <f>IF($AL1356="","",$AL1356&amp;"|"&amp;COUNTIF($AL$11:$AL1356,$AL1356))</f>
        <v/>
      </c>
    </row>
    <row r="1357" spans="38:53" ht="15" customHeight="1" x14ac:dyDescent="0.25">
      <c r="AL1357" s="17"/>
      <c r="AM1357" s="12"/>
      <c r="AN1357" s="18"/>
      <c r="AO1357" s="18"/>
      <c r="AP1357" s="10"/>
      <c r="AQ1357" s="10"/>
      <c r="AR1357" s="19"/>
      <c r="AS1357" s="20"/>
      <c r="AT1357" s="19"/>
      <c r="AV1357" s="21">
        <f>IF(AND($AL1357&lt;&gt;"",COUNTIF($AL$11:$AL1357,$AL1357)=1),1,0)</f>
        <v>0</v>
      </c>
      <c r="AW1357" s="21">
        <f t="shared" si="129"/>
        <v>2</v>
      </c>
      <c r="AX1357" s="21" t="str">
        <f t="shared" si="128"/>
        <v/>
      </c>
      <c r="AY1357" s="21" t="str">
        <f>IF(AND($AM1357&lt;&gt;"",$AS1357&lt;&gt;"✓"),SUMPRODUCT(($AM$11:$AM1357&lt;&gt;"")*($AS$11:$AS1357&lt;&gt;"✓")),"")</f>
        <v/>
      </c>
      <c r="AZ1357" s="21" t="str">
        <f>IF(AND($AM1357&lt;&gt;"",$AS1357="✓"),SUMPRODUCT(($AM$11:$AM1357&lt;&gt;"")*($AS$11:$AS1357="✓")),"")</f>
        <v/>
      </c>
      <c r="BA1357" s="21" t="str">
        <f>IF($AL1357="","",$AL1357&amp;"|"&amp;COUNTIF($AL$11:$AL1357,$AL1357))</f>
        <v/>
      </c>
    </row>
    <row r="1358" spans="38:53" ht="15" customHeight="1" x14ac:dyDescent="0.25">
      <c r="AL1358" s="31"/>
      <c r="AM1358" s="26"/>
      <c r="AN1358" s="32"/>
      <c r="AO1358" s="32"/>
      <c r="AP1358" s="24"/>
      <c r="AQ1358" s="24"/>
      <c r="AR1358" s="33"/>
      <c r="AS1358" s="34"/>
      <c r="AT1358" s="33"/>
      <c r="AV1358" s="21">
        <f>IF(AND($AL1358&lt;&gt;"",COUNTIF($AL$11:$AL1358,$AL1358)=1),1,0)</f>
        <v>0</v>
      </c>
      <c r="AW1358" s="21">
        <f t="shared" si="129"/>
        <v>2</v>
      </c>
      <c r="AX1358" s="21" t="str">
        <f t="shared" si="128"/>
        <v/>
      </c>
      <c r="AY1358" s="21" t="str">
        <f>IF(AND($AM1358&lt;&gt;"",$AS1358&lt;&gt;"✓"),SUMPRODUCT(($AM$11:$AM1358&lt;&gt;"")*($AS$11:$AS1358&lt;&gt;"✓")),"")</f>
        <v/>
      </c>
      <c r="AZ1358" s="21" t="str">
        <f>IF(AND($AM1358&lt;&gt;"",$AS1358="✓"),SUMPRODUCT(($AM$11:$AM1358&lt;&gt;"")*($AS$11:$AS1358="✓")),"")</f>
        <v/>
      </c>
      <c r="BA1358" s="21" t="str">
        <f>IF($AL1358="","",$AL1358&amp;"|"&amp;COUNTIF($AL$11:$AL1358,$AL1358))</f>
        <v/>
      </c>
    </row>
    <row r="1359" spans="38:53" ht="15" customHeight="1" x14ac:dyDescent="0.25">
      <c r="AL1359" s="17"/>
      <c r="AM1359" s="12"/>
      <c r="AN1359" s="18"/>
      <c r="AO1359" s="18"/>
      <c r="AP1359" s="10"/>
      <c r="AQ1359" s="10"/>
      <c r="AR1359" s="19"/>
      <c r="AS1359" s="20"/>
      <c r="AT1359" s="19"/>
      <c r="AV1359" s="21">
        <f>IF(AND($AL1359&lt;&gt;"",COUNTIF($AL$11:$AL1359,$AL1359)=1),1,0)</f>
        <v>0</v>
      </c>
      <c r="AW1359" s="21">
        <f t="shared" si="129"/>
        <v>2</v>
      </c>
      <c r="AX1359" s="21" t="str">
        <f t="shared" si="128"/>
        <v/>
      </c>
      <c r="AY1359" s="21" t="str">
        <f>IF(AND($AM1359&lt;&gt;"",$AS1359&lt;&gt;"✓"),SUMPRODUCT(($AM$11:$AM1359&lt;&gt;"")*($AS$11:$AS1359&lt;&gt;"✓")),"")</f>
        <v/>
      </c>
      <c r="AZ1359" s="21" t="str">
        <f>IF(AND($AM1359&lt;&gt;"",$AS1359="✓"),SUMPRODUCT(($AM$11:$AM1359&lt;&gt;"")*($AS$11:$AS1359="✓")),"")</f>
        <v/>
      </c>
      <c r="BA1359" s="21" t="str">
        <f>IF($AL1359="","",$AL1359&amp;"|"&amp;COUNTIF($AL$11:$AL1359,$AL1359))</f>
        <v/>
      </c>
    </row>
    <row r="1360" spans="38:53" ht="15" customHeight="1" x14ac:dyDescent="0.25">
      <c r="AL1360" s="31"/>
      <c r="AM1360" s="26"/>
      <c r="AN1360" s="32"/>
      <c r="AO1360" s="32"/>
      <c r="AP1360" s="24"/>
      <c r="AQ1360" s="24"/>
      <c r="AR1360" s="33"/>
      <c r="AS1360" s="34"/>
      <c r="AT1360" s="33"/>
      <c r="AV1360" s="21">
        <f>IF(AND($AL1360&lt;&gt;"",COUNTIF($AL$11:$AL1360,$AL1360)=1),1,0)</f>
        <v>0</v>
      </c>
      <c r="AW1360" s="21">
        <f t="shared" si="129"/>
        <v>2</v>
      </c>
      <c r="AX1360" s="21" t="str">
        <f t="shared" si="128"/>
        <v/>
      </c>
      <c r="AY1360" s="21" t="str">
        <f>IF(AND($AM1360&lt;&gt;"",$AS1360&lt;&gt;"✓"),SUMPRODUCT(($AM$11:$AM1360&lt;&gt;"")*($AS$11:$AS1360&lt;&gt;"✓")),"")</f>
        <v/>
      </c>
      <c r="AZ1360" s="21" t="str">
        <f>IF(AND($AM1360&lt;&gt;"",$AS1360="✓"),SUMPRODUCT(($AM$11:$AM1360&lt;&gt;"")*($AS$11:$AS1360="✓")),"")</f>
        <v/>
      </c>
      <c r="BA1360" s="21" t="str">
        <f>IF($AL1360="","",$AL1360&amp;"|"&amp;COUNTIF($AL$11:$AL1360,$AL1360))</f>
        <v/>
      </c>
    </row>
    <row r="1361" spans="38:53" ht="15" customHeight="1" x14ac:dyDescent="0.25">
      <c r="AL1361" s="17"/>
      <c r="AM1361" s="12"/>
      <c r="AN1361" s="18"/>
      <c r="AO1361" s="18"/>
      <c r="AP1361" s="10"/>
      <c r="AQ1361" s="10"/>
      <c r="AR1361" s="19"/>
      <c r="AS1361" s="20"/>
      <c r="AT1361" s="19"/>
      <c r="AV1361" s="21">
        <f>IF(AND($AL1361&lt;&gt;"",COUNTIF($AL$11:$AL1361,$AL1361)=1),1,0)</f>
        <v>0</v>
      </c>
      <c r="AW1361" s="21">
        <f t="shared" si="129"/>
        <v>2</v>
      </c>
      <c r="AX1361" s="21" t="str">
        <f t="shared" si="128"/>
        <v/>
      </c>
      <c r="AY1361" s="21" t="str">
        <f>IF(AND($AM1361&lt;&gt;"",$AS1361&lt;&gt;"✓"),SUMPRODUCT(($AM$11:$AM1361&lt;&gt;"")*($AS$11:$AS1361&lt;&gt;"✓")),"")</f>
        <v/>
      </c>
      <c r="AZ1361" s="21" t="str">
        <f>IF(AND($AM1361&lt;&gt;"",$AS1361="✓"),SUMPRODUCT(($AM$11:$AM1361&lt;&gt;"")*($AS$11:$AS1361="✓")),"")</f>
        <v/>
      </c>
      <c r="BA1361" s="21" t="str">
        <f>IF($AL1361="","",$AL1361&amp;"|"&amp;COUNTIF($AL$11:$AL1361,$AL1361))</f>
        <v/>
      </c>
    </row>
    <row r="1362" spans="38:53" ht="15" customHeight="1" x14ac:dyDescent="0.25">
      <c r="AL1362" s="31"/>
      <c r="AM1362" s="26"/>
      <c r="AN1362" s="32"/>
      <c r="AO1362" s="32"/>
      <c r="AP1362" s="24"/>
      <c r="AQ1362" s="24"/>
      <c r="AR1362" s="33"/>
      <c r="AS1362" s="34"/>
      <c r="AT1362" s="33"/>
      <c r="AV1362" s="21">
        <f>IF(AND($AL1362&lt;&gt;"",COUNTIF($AL$11:$AL1362,$AL1362)=1),1,0)</f>
        <v>0</v>
      </c>
      <c r="AW1362" s="21">
        <f t="shared" si="129"/>
        <v>2</v>
      </c>
      <c r="AX1362" s="21" t="str">
        <f t="shared" si="128"/>
        <v/>
      </c>
      <c r="AY1362" s="21" t="str">
        <f>IF(AND($AM1362&lt;&gt;"",$AS1362&lt;&gt;"✓"),SUMPRODUCT(($AM$11:$AM1362&lt;&gt;"")*($AS$11:$AS1362&lt;&gt;"✓")),"")</f>
        <v/>
      </c>
      <c r="AZ1362" s="21" t="str">
        <f>IF(AND($AM1362&lt;&gt;"",$AS1362="✓"),SUMPRODUCT(($AM$11:$AM1362&lt;&gt;"")*($AS$11:$AS1362="✓")),"")</f>
        <v/>
      </c>
      <c r="BA1362" s="21" t="str">
        <f>IF($AL1362="","",$AL1362&amp;"|"&amp;COUNTIF($AL$11:$AL1362,$AL1362))</f>
        <v/>
      </c>
    </row>
    <row r="1363" spans="38:53" ht="15" customHeight="1" x14ac:dyDescent="0.25">
      <c r="AL1363" s="17"/>
      <c r="AM1363" s="12"/>
      <c r="AN1363" s="18"/>
      <c r="AO1363" s="18"/>
      <c r="AP1363" s="10"/>
      <c r="AQ1363" s="10"/>
      <c r="AR1363" s="19"/>
      <c r="AS1363" s="20"/>
      <c r="AT1363" s="19"/>
      <c r="AV1363" s="21">
        <f>IF(AND($AL1363&lt;&gt;"",COUNTIF($AL$11:$AL1363,$AL1363)=1),1,0)</f>
        <v>0</v>
      </c>
      <c r="AW1363" s="21">
        <f t="shared" si="129"/>
        <v>2</v>
      </c>
      <c r="AX1363" s="21" t="str">
        <f t="shared" si="128"/>
        <v/>
      </c>
      <c r="AY1363" s="21" t="str">
        <f>IF(AND($AM1363&lt;&gt;"",$AS1363&lt;&gt;"✓"),SUMPRODUCT(($AM$11:$AM1363&lt;&gt;"")*($AS$11:$AS1363&lt;&gt;"✓")),"")</f>
        <v/>
      </c>
      <c r="AZ1363" s="21" t="str">
        <f>IF(AND($AM1363&lt;&gt;"",$AS1363="✓"),SUMPRODUCT(($AM$11:$AM1363&lt;&gt;"")*($AS$11:$AS1363="✓")),"")</f>
        <v/>
      </c>
      <c r="BA1363" s="21" t="str">
        <f>IF($AL1363="","",$AL1363&amp;"|"&amp;COUNTIF($AL$11:$AL1363,$AL1363))</f>
        <v/>
      </c>
    </row>
    <row r="1364" spans="38:53" ht="15" customHeight="1" x14ac:dyDescent="0.25">
      <c r="AL1364" s="31"/>
      <c r="AM1364" s="26"/>
      <c r="AN1364" s="32"/>
      <c r="AO1364" s="32"/>
      <c r="AP1364" s="24"/>
      <c r="AQ1364" s="24"/>
      <c r="AR1364" s="33"/>
      <c r="AS1364" s="34"/>
      <c r="AT1364" s="33"/>
      <c r="AV1364" s="21">
        <f>IF(AND($AL1364&lt;&gt;"",COUNTIF($AL$11:$AL1364,$AL1364)=1),1,0)</f>
        <v>0</v>
      </c>
      <c r="AW1364" s="21">
        <f t="shared" si="129"/>
        <v>2</v>
      </c>
      <c r="AX1364" s="21" t="str">
        <f t="shared" si="128"/>
        <v/>
      </c>
      <c r="AY1364" s="21" t="str">
        <f>IF(AND($AM1364&lt;&gt;"",$AS1364&lt;&gt;"✓"),SUMPRODUCT(($AM$11:$AM1364&lt;&gt;"")*($AS$11:$AS1364&lt;&gt;"✓")),"")</f>
        <v/>
      </c>
      <c r="AZ1364" s="21" t="str">
        <f>IF(AND($AM1364&lt;&gt;"",$AS1364="✓"),SUMPRODUCT(($AM$11:$AM1364&lt;&gt;"")*($AS$11:$AS1364="✓")),"")</f>
        <v/>
      </c>
      <c r="BA1364" s="21" t="str">
        <f>IF($AL1364="","",$AL1364&amp;"|"&amp;COUNTIF($AL$11:$AL1364,$AL1364))</f>
        <v/>
      </c>
    </row>
    <row r="1365" spans="38:53" ht="15" customHeight="1" x14ac:dyDescent="0.25">
      <c r="AL1365" s="17"/>
      <c r="AM1365" s="12"/>
      <c r="AN1365" s="18"/>
      <c r="AO1365" s="18"/>
      <c r="AP1365" s="10"/>
      <c r="AQ1365" s="10"/>
      <c r="AR1365" s="19"/>
      <c r="AS1365" s="20"/>
      <c r="AT1365" s="19"/>
      <c r="AV1365" s="21">
        <f>IF(AND($AL1365&lt;&gt;"",COUNTIF($AL$11:$AL1365,$AL1365)=1),1,0)</f>
        <v>0</v>
      </c>
      <c r="AW1365" s="21">
        <f t="shared" si="129"/>
        <v>2</v>
      </c>
      <c r="AX1365" s="21" t="str">
        <f t="shared" si="128"/>
        <v/>
      </c>
      <c r="AY1365" s="21" t="str">
        <f>IF(AND($AM1365&lt;&gt;"",$AS1365&lt;&gt;"✓"),SUMPRODUCT(($AM$11:$AM1365&lt;&gt;"")*($AS$11:$AS1365&lt;&gt;"✓")),"")</f>
        <v/>
      </c>
      <c r="AZ1365" s="21" t="str">
        <f>IF(AND($AM1365&lt;&gt;"",$AS1365="✓"),SUMPRODUCT(($AM$11:$AM1365&lt;&gt;"")*($AS$11:$AS1365="✓")),"")</f>
        <v/>
      </c>
      <c r="BA1365" s="21" t="str">
        <f>IF($AL1365="","",$AL1365&amp;"|"&amp;COUNTIF($AL$11:$AL1365,$AL1365))</f>
        <v/>
      </c>
    </row>
    <row r="1366" spans="38:53" ht="15" customHeight="1" x14ac:dyDescent="0.25">
      <c r="AL1366" s="31"/>
      <c r="AM1366" s="26"/>
      <c r="AN1366" s="32"/>
      <c r="AO1366" s="32"/>
      <c r="AP1366" s="24"/>
      <c r="AQ1366" s="24"/>
      <c r="AR1366" s="33"/>
      <c r="AS1366" s="34"/>
      <c r="AT1366" s="33"/>
      <c r="AV1366" s="21">
        <f>IF(AND($AL1366&lt;&gt;"",COUNTIF($AL$11:$AL1366,$AL1366)=1),1,0)</f>
        <v>0</v>
      </c>
      <c r="AW1366" s="21">
        <f t="shared" si="129"/>
        <v>2</v>
      </c>
      <c r="AX1366" s="21" t="str">
        <f t="shared" si="128"/>
        <v/>
      </c>
      <c r="AY1366" s="21" t="str">
        <f>IF(AND($AM1366&lt;&gt;"",$AS1366&lt;&gt;"✓"),SUMPRODUCT(($AM$11:$AM1366&lt;&gt;"")*($AS$11:$AS1366&lt;&gt;"✓")),"")</f>
        <v/>
      </c>
      <c r="AZ1366" s="21" t="str">
        <f>IF(AND($AM1366&lt;&gt;"",$AS1366="✓"),SUMPRODUCT(($AM$11:$AM1366&lt;&gt;"")*($AS$11:$AS1366="✓")),"")</f>
        <v/>
      </c>
      <c r="BA1366" s="21" t="str">
        <f>IF($AL1366="","",$AL1366&amp;"|"&amp;COUNTIF($AL$11:$AL1366,$AL1366))</f>
        <v/>
      </c>
    </row>
    <row r="1367" spans="38:53" ht="15" customHeight="1" x14ac:dyDescent="0.25">
      <c r="AL1367" s="17"/>
      <c r="AM1367" s="12"/>
      <c r="AN1367" s="18"/>
      <c r="AO1367" s="18"/>
      <c r="AP1367" s="10"/>
      <c r="AQ1367" s="10"/>
      <c r="AR1367" s="19"/>
      <c r="AS1367" s="20"/>
      <c r="AT1367" s="19"/>
      <c r="AV1367" s="21">
        <f>IF(AND($AL1367&lt;&gt;"",COUNTIF($AL$11:$AL1367,$AL1367)=1),1,0)</f>
        <v>0</v>
      </c>
      <c r="AW1367" s="21">
        <f t="shared" si="129"/>
        <v>2</v>
      </c>
      <c r="AX1367" s="21" t="str">
        <f t="shared" si="128"/>
        <v/>
      </c>
      <c r="AY1367" s="21" t="str">
        <f>IF(AND($AM1367&lt;&gt;"",$AS1367&lt;&gt;"✓"),SUMPRODUCT(($AM$11:$AM1367&lt;&gt;"")*($AS$11:$AS1367&lt;&gt;"✓")),"")</f>
        <v/>
      </c>
      <c r="AZ1367" s="21" t="str">
        <f>IF(AND($AM1367&lt;&gt;"",$AS1367="✓"),SUMPRODUCT(($AM$11:$AM1367&lt;&gt;"")*($AS$11:$AS1367="✓")),"")</f>
        <v/>
      </c>
      <c r="BA1367" s="21" t="str">
        <f>IF($AL1367="","",$AL1367&amp;"|"&amp;COUNTIF($AL$11:$AL1367,$AL1367))</f>
        <v/>
      </c>
    </row>
    <row r="1368" spans="38:53" ht="15" customHeight="1" x14ac:dyDescent="0.25">
      <c r="AL1368" s="31"/>
      <c r="AM1368" s="26"/>
      <c r="AN1368" s="32"/>
      <c r="AO1368" s="32"/>
      <c r="AP1368" s="24"/>
      <c r="AQ1368" s="24"/>
      <c r="AR1368" s="33"/>
      <c r="AS1368" s="34"/>
      <c r="AT1368" s="33"/>
      <c r="AV1368" s="21">
        <f>IF(AND($AL1368&lt;&gt;"",COUNTIF($AL$11:$AL1368,$AL1368)=1),1,0)</f>
        <v>0</v>
      </c>
      <c r="AW1368" s="21">
        <f t="shared" si="129"/>
        <v>2</v>
      </c>
      <c r="AX1368" s="21" t="str">
        <f t="shared" si="128"/>
        <v/>
      </c>
      <c r="AY1368" s="21" t="str">
        <f>IF(AND($AM1368&lt;&gt;"",$AS1368&lt;&gt;"✓"),SUMPRODUCT(($AM$11:$AM1368&lt;&gt;"")*($AS$11:$AS1368&lt;&gt;"✓")),"")</f>
        <v/>
      </c>
      <c r="AZ1368" s="21" t="str">
        <f>IF(AND($AM1368&lt;&gt;"",$AS1368="✓"),SUMPRODUCT(($AM$11:$AM1368&lt;&gt;"")*($AS$11:$AS1368="✓")),"")</f>
        <v/>
      </c>
      <c r="BA1368" s="21" t="str">
        <f>IF($AL1368="","",$AL1368&amp;"|"&amp;COUNTIF($AL$11:$AL1368,$AL1368))</f>
        <v/>
      </c>
    </row>
    <row r="1369" spans="38:53" ht="15" customHeight="1" x14ac:dyDescent="0.25">
      <c r="AL1369" s="17"/>
      <c r="AM1369" s="12"/>
      <c r="AN1369" s="18"/>
      <c r="AO1369" s="18"/>
      <c r="AP1369" s="10"/>
      <c r="AQ1369" s="10"/>
      <c r="AR1369" s="19"/>
      <c r="AS1369" s="20"/>
      <c r="AT1369" s="19"/>
      <c r="AV1369" s="21">
        <f>IF(AND($AL1369&lt;&gt;"",COUNTIF($AL$11:$AL1369,$AL1369)=1),1,0)</f>
        <v>0</v>
      </c>
      <c r="AW1369" s="21">
        <f t="shared" si="129"/>
        <v>2</v>
      </c>
      <c r="AX1369" s="21" t="str">
        <f t="shared" si="128"/>
        <v/>
      </c>
      <c r="AY1369" s="21" t="str">
        <f>IF(AND($AM1369&lt;&gt;"",$AS1369&lt;&gt;"✓"),SUMPRODUCT(($AM$11:$AM1369&lt;&gt;"")*($AS$11:$AS1369&lt;&gt;"✓")),"")</f>
        <v/>
      </c>
      <c r="AZ1369" s="21" t="str">
        <f>IF(AND($AM1369&lt;&gt;"",$AS1369="✓"),SUMPRODUCT(($AM$11:$AM1369&lt;&gt;"")*($AS$11:$AS1369="✓")),"")</f>
        <v/>
      </c>
      <c r="BA1369" s="21" t="str">
        <f>IF($AL1369="","",$AL1369&amp;"|"&amp;COUNTIF($AL$11:$AL1369,$AL1369))</f>
        <v/>
      </c>
    </row>
    <row r="1370" spans="38:53" ht="15" customHeight="1" x14ac:dyDescent="0.25">
      <c r="AL1370" s="31"/>
      <c r="AM1370" s="26"/>
      <c r="AN1370" s="32"/>
      <c r="AO1370" s="32"/>
      <c r="AP1370" s="24"/>
      <c r="AQ1370" s="24"/>
      <c r="AR1370" s="33"/>
      <c r="AS1370" s="34"/>
      <c r="AT1370" s="33"/>
      <c r="AV1370" s="21">
        <f>IF(AND($AL1370&lt;&gt;"",COUNTIF($AL$11:$AL1370,$AL1370)=1),1,0)</f>
        <v>0</v>
      </c>
      <c r="AW1370" s="21">
        <f t="shared" si="129"/>
        <v>2</v>
      </c>
      <c r="AX1370" s="21" t="str">
        <f t="shared" si="128"/>
        <v/>
      </c>
      <c r="AY1370" s="21" t="str">
        <f>IF(AND($AM1370&lt;&gt;"",$AS1370&lt;&gt;"✓"),SUMPRODUCT(($AM$11:$AM1370&lt;&gt;"")*($AS$11:$AS1370&lt;&gt;"✓")),"")</f>
        <v/>
      </c>
      <c r="AZ1370" s="21" t="str">
        <f>IF(AND($AM1370&lt;&gt;"",$AS1370="✓"),SUMPRODUCT(($AM$11:$AM1370&lt;&gt;"")*($AS$11:$AS1370="✓")),"")</f>
        <v/>
      </c>
      <c r="BA1370" s="21" t="str">
        <f>IF($AL1370="","",$AL1370&amp;"|"&amp;COUNTIF($AL$11:$AL1370,$AL1370))</f>
        <v/>
      </c>
    </row>
    <row r="1371" spans="38:53" ht="15" customHeight="1" x14ac:dyDescent="0.25">
      <c r="AL1371" s="17"/>
      <c r="AM1371" s="12"/>
      <c r="AN1371" s="18"/>
      <c r="AO1371" s="18"/>
      <c r="AP1371" s="10"/>
      <c r="AQ1371" s="10"/>
      <c r="AR1371" s="19"/>
      <c r="AS1371" s="20"/>
      <c r="AT1371" s="19"/>
      <c r="AV1371" s="21">
        <f>IF(AND($AL1371&lt;&gt;"",COUNTIF($AL$11:$AL1371,$AL1371)=1),1,0)</f>
        <v>0</v>
      </c>
      <c r="AW1371" s="21">
        <f t="shared" si="129"/>
        <v>2</v>
      </c>
      <c r="AX1371" s="21" t="str">
        <f t="shared" si="128"/>
        <v/>
      </c>
      <c r="AY1371" s="21" t="str">
        <f>IF(AND($AM1371&lt;&gt;"",$AS1371&lt;&gt;"✓"),SUMPRODUCT(($AM$11:$AM1371&lt;&gt;"")*($AS$11:$AS1371&lt;&gt;"✓")),"")</f>
        <v/>
      </c>
      <c r="AZ1371" s="21" t="str">
        <f>IF(AND($AM1371&lt;&gt;"",$AS1371="✓"),SUMPRODUCT(($AM$11:$AM1371&lt;&gt;"")*($AS$11:$AS1371="✓")),"")</f>
        <v/>
      </c>
      <c r="BA1371" s="21" t="str">
        <f>IF($AL1371="","",$AL1371&amp;"|"&amp;COUNTIF($AL$11:$AL1371,$AL1371))</f>
        <v/>
      </c>
    </row>
    <row r="1372" spans="38:53" ht="15" customHeight="1" x14ac:dyDescent="0.25">
      <c r="AL1372" s="31"/>
      <c r="AM1372" s="26"/>
      <c r="AN1372" s="32"/>
      <c r="AO1372" s="32"/>
      <c r="AP1372" s="24"/>
      <c r="AQ1372" s="24"/>
      <c r="AR1372" s="33"/>
      <c r="AS1372" s="34"/>
      <c r="AT1372" s="33"/>
      <c r="AV1372" s="21">
        <f>IF(AND($AL1372&lt;&gt;"",COUNTIF($AL$11:$AL1372,$AL1372)=1),1,0)</f>
        <v>0</v>
      </c>
      <c r="AW1372" s="21">
        <f t="shared" si="129"/>
        <v>2</v>
      </c>
      <c r="AX1372" s="21" t="str">
        <f t="shared" si="128"/>
        <v/>
      </c>
      <c r="AY1372" s="21" t="str">
        <f>IF(AND($AM1372&lt;&gt;"",$AS1372&lt;&gt;"✓"),SUMPRODUCT(($AM$11:$AM1372&lt;&gt;"")*($AS$11:$AS1372&lt;&gt;"✓")),"")</f>
        <v/>
      </c>
      <c r="AZ1372" s="21" t="str">
        <f>IF(AND($AM1372&lt;&gt;"",$AS1372="✓"),SUMPRODUCT(($AM$11:$AM1372&lt;&gt;"")*($AS$11:$AS1372="✓")),"")</f>
        <v/>
      </c>
      <c r="BA1372" s="21" t="str">
        <f>IF($AL1372="","",$AL1372&amp;"|"&amp;COUNTIF($AL$11:$AL1372,$AL1372))</f>
        <v/>
      </c>
    </row>
    <row r="1373" spans="38:53" ht="15" customHeight="1" x14ac:dyDescent="0.25">
      <c r="AL1373" s="17"/>
      <c r="AM1373" s="12"/>
      <c r="AN1373" s="18"/>
      <c r="AO1373" s="18"/>
      <c r="AP1373" s="10"/>
      <c r="AQ1373" s="10"/>
      <c r="AR1373" s="19"/>
      <c r="AS1373" s="20"/>
      <c r="AT1373" s="19"/>
      <c r="AV1373" s="21">
        <f>IF(AND($AL1373&lt;&gt;"",COUNTIF($AL$11:$AL1373,$AL1373)=1),1,0)</f>
        <v>0</v>
      </c>
      <c r="AW1373" s="21">
        <f t="shared" si="129"/>
        <v>2</v>
      </c>
      <c r="AX1373" s="21" t="str">
        <f t="shared" si="128"/>
        <v/>
      </c>
      <c r="AY1373" s="21" t="str">
        <f>IF(AND($AM1373&lt;&gt;"",$AS1373&lt;&gt;"✓"),SUMPRODUCT(($AM$11:$AM1373&lt;&gt;"")*($AS$11:$AS1373&lt;&gt;"✓")),"")</f>
        <v/>
      </c>
      <c r="AZ1373" s="21" t="str">
        <f>IF(AND($AM1373&lt;&gt;"",$AS1373="✓"),SUMPRODUCT(($AM$11:$AM1373&lt;&gt;"")*($AS$11:$AS1373="✓")),"")</f>
        <v/>
      </c>
      <c r="BA1373" s="21" t="str">
        <f>IF($AL1373="","",$AL1373&amp;"|"&amp;COUNTIF($AL$11:$AL1373,$AL1373))</f>
        <v/>
      </c>
    </row>
    <row r="1374" spans="38:53" ht="15" customHeight="1" x14ac:dyDescent="0.25">
      <c r="AL1374" s="31"/>
      <c r="AM1374" s="26"/>
      <c r="AN1374" s="32"/>
      <c r="AO1374" s="32"/>
      <c r="AP1374" s="24"/>
      <c r="AQ1374" s="24"/>
      <c r="AR1374" s="33"/>
      <c r="AS1374" s="34"/>
      <c r="AT1374" s="33"/>
      <c r="AV1374" s="21">
        <f>IF(AND($AL1374&lt;&gt;"",COUNTIF($AL$11:$AL1374,$AL1374)=1),1,0)</f>
        <v>0</v>
      </c>
      <c r="AW1374" s="21">
        <f t="shared" si="129"/>
        <v>2</v>
      </c>
      <c r="AX1374" s="21" t="str">
        <f t="shared" si="128"/>
        <v/>
      </c>
      <c r="AY1374" s="21" t="str">
        <f>IF(AND($AM1374&lt;&gt;"",$AS1374&lt;&gt;"✓"),SUMPRODUCT(($AM$11:$AM1374&lt;&gt;"")*($AS$11:$AS1374&lt;&gt;"✓")),"")</f>
        <v/>
      </c>
      <c r="AZ1374" s="21" t="str">
        <f>IF(AND($AM1374&lt;&gt;"",$AS1374="✓"),SUMPRODUCT(($AM$11:$AM1374&lt;&gt;"")*($AS$11:$AS1374="✓")),"")</f>
        <v/>
      </c>
      <c r="BA1374" s="21" t="str">
        <f>IF($AL1374="","",$AL1374&amp;"|"&amp;COUNTIF($AL$11:$AL1374,$AL1374))</f>
        <v/>
      </c>
    </row>
    <row r="1375" spans="38:53" ht="15" customHeight="1" x14ac:dyDescent="0.25">
      <c r="AL1375" s="17"/>
      <c r="AM1375" s="12"/>
      <c r="AN1375" s="18"/>
      <c r="AO1375" s="18"/>
      <c r="AP1375" s="10"/>
      <c r="AQ1375" s="10"/>
      <c r="AR1375" s="19"/>
      <c r="AS1375" s="20"/>
      <c r="AT1375" s="19"/>
      <c r="AV1375" s="21">
        <f>IF(AND($AL1375&lt;&gt;"",COUNTIF($AL$11:$AL1375,$AL1375)=1),1,0)</f>
        <v>0</v>
      </c>
      <c r="AW1375" s="21">
        <f t="shared" si="129"/>
        <v>2</v>
      </c>
      <c r="AX1375" s="21" t="str">
        <f t="shared" si="128"/>
        <v/>
      </c>
      <c r="AY1375" s="21" t="str">
        <f>IF(AND($AM1375&lt;&gt;"",$AS1375&lt;&gt;"✓"),SUMPRODUCT(($AM$11:$AM1375&lt;&gt;"")*($AS$11:$AS1375&lt;&gt;"✓")),"")</f>
        <v/>
      </c>
      <c r="AZ1375" s="21" t="str">
        <f>IF(AND($AM1375&lt;&gt;"",$AS1375="✓"),SUMPRODUCT(($AM$11:$AM1375&lt;&gt;"")*($AS$11:$AS1375="✓")),"")</f>
        <v/>
      </c>
      <c r="BA1375" s="21" t="str">
        <f>IF($AL1375="","",$AL1375&amp;"|"&amp;COUNTIF($AL$11:$AL1375,$AL1375))</f>
        <v/>
      </c>
    </row>
    <row r="1376" spans="38:53" ht="15" customHeight="1" x14ac:dyDescent="0.25">
      <c r="AL1376" s="31"/>
      <c r="AM1376" s="26"/>
      <c r="AN1376" s="32"/>
      <c r="AO1376" s="32"/>
      <c r="AP1376" s="24"/>
      <c r="AQ1376" s="24"/>
      <c r="AR1376" s="33"/>
      <c r="AS1376" s="34"/>
      <c r="AT1376" s="33"/>
      <c r="AV1376" s="21">
        <f>IF(AND($AL1376&lt;&gt;"",COUNTIF($AL$11:$AL1376,$AL1376)=1),1,0)</f>
        <v>0</v>
      </c>
      <c r="AW1376" s="21">
        <f t="shared" si="129"/>
        <v>2</v>
      </c>
      <c r="AX1376" s="21" t="str">
        <f t="shared" si="128"/>
        <v/>
      </c>
      <c r="AY1376" s="21" t="str">
        <f>IF(AND($AM1376&lt;&gt;"",$AS1376&lt;&gt;"✓"),SUMPRODUCT(($AM$11:$AM1376&lt;&gt;"")*($AS$11:$AS1376&lt;&gt;"✓")),"")</f>
        <v/>
      </c>
      <c r="AZ1376" s="21" t="str">
        <f>IF(AND($AM1376&lt;&gt;"",$AS1376="✓"),SUMPRODUCT(($AM$11:$AM1376&lt;&gt;"")*($AS$11:$AS1376="✓")),"")</f>
        <v/>
      </c>
      <c r="BA1376" s="21" t="str">
        <f>IF($AL1376="","",$AL1376&amp;"|"&amp;COUNTIF($AL$11:$AL1376,$AL1376))</f>
        <v/>
      </c>
    </row>
    <row r="1377" spans="38:53" ht="15" customHeight="1" x14ac:dyDescent="0.25">
      <c r="AL1377" s="17"/>
      <c r="AM1377" s="12"/>
      <c r="AN1377" s="18"/>
      <c r="AO1377" s="18"/>
      <c r="AP1377" s="10"/>
      <c r="AQ1377" s="10"/>
      <c r="AR1377" s="19"/>
      <c r="AS1377" s="20"/>
      <c r="AT1377" s="19"/>
      <c r="AV1377" s="21">
        <f>IF(AND($AL1377&lt;&gt;"",COUNTIF($AL$11:$AL1377,$AL1377)=1),1,0)</f>
        <v>0</v>
      </c>
      <c r="AW1377" s="21">
        <f t="shared" si="129"/>
        <v>2</v>
      </c>
      <c r="AX1377" s="21" t="str">
        <f t="shared" si="128"/>
        <v/>
      </c>
      <c r="AY1377" s="21" t="str">
        <f>IF(AND($AM1377&lt;&gt;"",$AS1377&lt;&gt;"✓"),SUMPRODUCT(($AM$11:$AM1377&lt;&gt;"")*($AS$11:$AS1377&lt;&gt;"✓")),"")</f>
        <v/>
      </c>
      <c r="AZ1377" s="21" t="str">
        <f>IF(AND($AM1377&lt;&gt;"",$AS1377="✓"),SUMPRODUCT(($AM$11:$AM1377&lt;&gt;"")*($AS$11:$AS1377="✓")),"")</f>
        <v/>
      </c>
      <c r="BA1377" s="21" t="str">
        <f>IF($AL1377="","",$AL1377&amp;"|"&amp;COUNTIF($AL$11:$AL1377,$AL1377))</f>
        <v/>
      </c>
    </row>
    <row r="1378" spans="38:53" ht="15" customHeight="1" x14ac:dyDescent="0.25">
      <c r="AL1378" s="31"/>
      <c r="AM1378" s="26"/>
      <c r="AN1378" s="32"/>
      <c r="AO1378" s="32"/>
      <c r="AP1378" s="24"/>
      <c r="AQ1378" s="24"/>
      <c r="AR1378" s="33"/>
      <c r="AS1378" s="34"/>
      <c r="AT1378" s="33"/>
      <c r="AV1378" s="21">
        <f>IF(AND($AL1378&lt;&gt;"",COUNTIF($AL$11:$AL1378,$AL1378)=1),1,0)</f>
        <v>0</v>
      </c>
      <c r="AW1378" s="21">
        <f t="shared" si="129"/>
        <v>2</v>
      </c>
      <c r="AX1378" s="21" t="str">
        <f t="shared" si="128"/>
        <v/>
      </c>
      <c r="AY1378" s="21" t="str">
        <f>IF(AND($AM1378&lt;&gt;"",$AS1378&lt;&gt;"✓"),SUMPRODUCT(($AM$11:$AM1378&lt;&gt;"")*($AS$11:$AS1378&lt;&gt;"✓")),"")</f>
        <v/>
      </c>
      <c r="AZ1378" s="21" t="str">
        <f>IF(AND($AM1378&lt;&gt;"",$AS1378="✓"),SUMPRODUCT(($AM$11:$AM1378&lt;&gt;"")*($AS$11:$AS1378="✓")),"")</f>
        <v/>
      </c>
      <c r="BA1378" s="21" t="str">
        <f>IF($AL1378="","",$AL1378&amp;"|"&amp;COUNTIF($AL$11:$AL1378,$AL1378))</f>
        <v/>
      </c>
    </row>
    <row r="1379" spans="38:53" ht="15" customHeight="1" x14ac:dyDescent="0.25">
      <c r="AL1379" s="17"/>
      <c r="AM1379" s="12"/>
      <c r="AN1379" s="18"/>
      <c r="AO1379" s="18"/>
      <c r="AP1379" s="10"/>
      <c r="AQ1379" s="10"/>
      <c r="AR1379" s="19"/>
      <c r="AS1379" s="20"/>
      <c r="AT1379" s="19"/>
      <c r="AV1379" s="21">
        <f>IF(AND($AL1379&lt;&gt;"",COUNTIF($AL$11:$AL1379,$AL1379)=1),1,0)</f>
        <v>0</v>
      </c>
      <c r="AW1379" s="21">
        <f t="shared" si="129"/>
        <v>2</v>
      </c>
      <c r="AX1379" s="21" t="str">
        <f t="shared" si="128"/>
        <v/>
      </c>
      <c r="AY1379" s="21" t="str">
        <f>IF(AND($AM1379&lt;&gt;"",$AS1379&lt;&gt;"✓"),SUMPRODUCT(($AM$11:$AM1379&lt;&gt;"")*($AS$11:$AS1379&lt;&gt;"✓")),"")</f>
        <v/>
      </c>
      <c r="AZ1379" s="21" t="str">
        <f>IF(AND($AM1379&lt;&gt;"",$AS1379="✓"),SUMPRODUCT(($AM$11:$AM1379&lt;&gt;"")*($AS$11:$AS1379="✓")),"")</f>
        <v/>
      </c>
      <c r="BA1379" s="21" t="str">
        <f>IF($AL1379="","",$AL1379&amp;"|"&amp;COUNTIF($AL$11:$AL1379,$AL1379))</f>
        <v/>
      </c>
    </row>
    <row r="1380" spans="38:53" ht="15" customHeight="1" x14ac:dyDescent="0.25">
      <c r="AL1380" s="31"/>
      <c r="AM1380" s="26"/>
      <c r="AN1380" s="32"/>
      <c r="AO1380" s="32"/>
      <c r="AP1380" s="24"/>
      <c r="AQ1380" s="24"/>
      <c r="AR1380" s="33"/>
      <c r="AS1380" s="34"/>
      <c r="AT1380" s="33"/>
      <c r="AV1380" s="21">
        <f>IF(AND($AL1380&lt;&gt;"",COUNTIF($AL$11:$AL1380,$AL1380)=1),1,0)</f>
        <v>0</v>
      </c>
      <c r="AW1380" s="21">
        <f t="shared" si="129"/>
        <v>2</v>
      </c>
      <c r="AX1380" s="21" t="str">
        <f t="shared" si="128"/>
        <v/>
      </c>
      <c r="AY1380" s="21" t="str">
        <f>IF(AND($AM1380&lt;&gt;"",$AS1380&lt;&gt;"✓"),SUMPRODUCT(($AM$11:$AM1380&lt;&gt;"")*($AS$11:$AS1380&lt;&gt;"✓")),"")</f>
        <v/>
      </c>
      <c r="AZ1380" s="21" t="str">
        <f>IF(AND($AM1380&lt;&gt;"",$AS1380="✓"),SUMPRODUCT(($AM$11:$AM1380&lt;&gt;"")*($AS$11:$AS1380="✓")),"")</f>
        <v/>
      </c>
      <c r="BA1380" s="21" t="str">
        <f>IF($AL1380="","",$AL1380&amp;"|"&amp;COUNTIF($AL$11:$AL1380,$AL1380))</f>
        <v/>
      </c>
    </row>
    <row r="1381" spans="38:53" ht="15" customHeight="1" x14ac:dyDescent="0.25">
      <c r="AL1381" s="17"/>
      <c r="AM1381" s="12"/>
      <c r="AN1381" s="18"/>
      <c r="AO1381" s="18"/>
      <c r="AP1381" s="10"/>
      <c r="AQ1381" s="10"/>
      <c r="AR1381" s="19"/>
      <c r="AS1381" s="20"/>
      <c r="AT1381" s="19"/>
      <c r="AV1381" s="21">
        <f>IF(AND($AL1381&lt;&gt;"",COUNTIF($AL$11:$AL1381,$AL1381)=1),1,0)</f>
        <v>0</v>
      </c>
      <c r="AW1381" s="21">
        <f t="shared" si="129"/>
        <v>2</v>
      </c>
      <c r="AX1381" s="21" t="str">
        <f t="shared" si="128"/>
        <v/>
      </c>
      <c r="AY1381" s="21" t="str">
        <f>IF(AND($AM1381&lt;&gt;"",$AS1381&lt;&gt;"✓"),SUMPRODUCT(($AM$11:$AM1381&lt;&gt;"")*($AS$11:$AS1381&lt;&gt;"✓")),"")</f>
        <v/>
      </c>
      <c r="AZ1381" s="21" t="str">
        <f>IF(AND($AM1381&lt;&gt;"",$AS1381="✓"),SUMPRODUCT(($AM$11:$AM1381&lt;&gt;"")*($AS$11:$AS1381="✓")),"")</f>
        <v/>
      </c>
      <c r="BA1381" s="21" t="str">
        <f>IF($AL1381="","",$AL1381&amp;"|"&amp;COUNTIF($AL$11:$AL1381,$AL1381))</f>
        <v/>
      </c>
    </row>
    <row r="1382" spans="38:53" ht="15" customHeight="1" x14ac:dyDescent="0.25">
      <c r="AL1382" s="31"/>
      <c r="AM1382" s="26"/>
      <c r="AN1382" s="32"/>
      <c r="AO1382" s="32"/>
      <c r="AP1382" s="24"/>
      <c r="AQ1382" s="24"/>
      <c r="AR1382" s="33"/>
      <c r="AS1382" s="34"/>
      <c r="AT1382" s="33"/>
      <c r="AV1382" s="21">
        <f>IF(AND($AL1382&lt;&gt;"",COUNTIF($AL$11:$AL1382,$AL1382)=1),1,0)</f>
        <v>0</v>
      </c>
      <c r="AW1382" s="21">
        <f t="shared" si="129"/>
        <v>2</v>
      </c>
      <c r="AX1382" s="21" t="str">
        <f t="shared" si="128"/>
        <v/>
      </c>
      <c r="AY1382" s="21" t="str">
        <f>IF(AND($AM1382&lt;&gt;"",$AS1382&lt;&gt;"✓"),SUMPRODUCT(($AM$11:$AM1382&lt;&gt;"")*($AS$11:$AS1382&lt;&gt;"✓")),"")</f>
        <v/>
      </c>
      <c r="AZ1382" s="21" t="str">
        <f>IF(AND($AM1382&lt;&gt;"",$AS1382="✓"),SUMPRODUCT(($AM$11:$AM1382&lt;&gt;"")*($AS$11:$AS1382="✓")),"")</f>
        <v/>
      </c>
      <c r="BA1382" s="21" t="str">
        <f>IF($AL1382="","",$AL1382&amp;"|"&amp;COUNTIF($AL$11:$AL1382,$AL1382))</f>
        <v/>
      </c>
    </row>
    <row r="1383" spans="38:53" ht="15" customHeight="1" x14ac:dyDescent="0.25">
      <c r="AL1383" s="17"/>
      <c r="AM1383" s="12"/>
      <c r="AN1383" s="18"/>
      <c r="AO1383" s="18"/>
      <c r="AP1383" s="10"/>
      <c r="AQ1383" s="10"/>
      <c r="AR1383" s="19"/>
      <c r="AS1383" s="20"/>
      <c r="AT1383" s="19"/>
      <c r="AV1383" s="21">
        <f>IF(AND($AL1383&lt;&gt;"",COUNTIF($AL$11:$AL1383,$AL1383)=1),1,0)</f>
        <v>0</v>
      </c>
      <c r="AW1383" s="21">
        <f t="shared" si="129"/>
        <v>2</v>
      </c>
      <c r="AX1383" s="21" t="str">
        <f t="shared" si="128"/>
        <v/>
      </c>
      <c r="AY1383" s="21" t="str">
        <f>IF(AND($AM1383&lt;&gt;"",$AS1383&lt;&gt;"✓"),SUMPRODUCT(($AM$11:$AM1383&lt;&gt;"")*($AS$11:$AS1383&lt;&gt;"✓")),"")</f>
        <v/>
      </c>
      <c r="AZ1383" s="21" t="str">
        <f>IF(AND($AM1383&lt;&gt;"",$AS1383="✓"),SUMPRODUCT(($AM$11:$AM1383&lt;&gt;"")*($AS$11:$AS1383="✓")),"")</f>
        <v/>
      </c>
      <c r="BA1383" s="21" t="str">
        <f>IF($AL1383="","",$AL1383&amp;"|"&amp;COUNTIF($AL$11:$AL1383,$AL1383))</f>
        <v/>
      </c>
    </row>
    <row r="1384" spans="38:53" ht="15" customHeight="1" x14ac:dyDescent="0.25">
      <c r="AL1384" s="31"/>
      <c r="AM1384" s="26"/>
      <c r="AN1384" s="32"/>
      <c r="AO1384" s="32"/>
      <c r="AP1384" s="24"/>
      <c r="AQ1384" s="24"/>
      <c r="AR1384" s="33"/>
      <c r="AS1384" s="34"/>
      <c r="AT1384" s="33"/>
      <c r="AV1384" s="21">
        <f>IF(AND($AL1384&lt;&gt;"",COUNTIF($AL$11:$AL1384,$AL1384)=1),1,0)</f>
        <v>0</v>
      </c>
      <c r="AW1384" s="21">
        <f t="shared" si="129"/>
        <v>2</v>
      </c>
      <c r="AX1384" s="21" t="str">
        <f t="shared" si="128"/>
        <v/>
      </c>
      <c r="AY1384" s="21" t="str">
        <f>IF(AND($AM1384&lt;&gt;"",$AS1384&lt;&gt;"✓"),SUMPRODUCT(($AM$11:$AM1384&lt;&gt;"")*($AS$11:$AS1384&lt;&gt;"✓")),"")</f>
        <v/>
      </c>
      <c r="AZ1384" s="21" t="str">
        <f>IF(AND($AM1384&lt;&gt;"",$AS1384="✓"),SUMPRODUCT(($AM$11:$AM1384&lt;&gt;"")*($AS$11:$AS1384="✓")),"")</f>
        <v/>
      </c>
      <c r="BA1384" s="21" t="str">
        <f>IF($AL1384="","",$AL1384&amp;"|"&amp;COUNTIF($AL$11:$AL1384,$AL1384))</f>
        <v/>
      </c>
    </row>
    <row r="1385" spans="38:53" ht="15" customHeight="1" x14ac:dyDescent="0.25">
      <c r="AL1385" s="17"/>
      <c r="AM1385" s="12"/>
      <c r="AN1385" s="18"/>
      <c r="AO1385" s="18"/>
      <c r="AP1385" s="10"/>
      <c r="AQ1385" s="10"/>
      <c r="AR1385" s="19"/>
      <c r="AS1385" s="20"/>
      <c r="AT1385" s="19"/>
      <c r="AV1385" s="21">
        <f>IF(AND($AL1385&lt;&gt;"",COUNTIF($AL$11:$AL1385,$AL1385)=1),1,0)</f>
        <v>0</v>
      </c>
      <c r="AW1385" s="21">
        <f t="shared" si="129"/>
        <v>2</v>
      </c>
      <c r="AX1385" s="21" t="str">
        <f t="shared" si="128"/>
        <v/>
      </c>
      <c r="AY1385" s="21" t="str">
        <f>IF(AND($AM1385&lt;&gt;"",$AS1385&lt;&gt;"✓"),SUMPRODUCT(($AM$11:$AM1385&lt;&gt;"")*($AS$11:$AS1385&lt;&gt;"✓")),"")</f>
        <v/>
      </c>
      <c r="AZ1385" s="21" t="str">
        <f>IF(AND($AM1385&lt;&gt;"",$AS1385="✓"),SUMPRODUCT(($AM$11:$AM1385&lt;&gt;"")*($AS$11:$AS1385="✓")),"")</f>
        <v/>
      </c>
      <c r="BA1385" s="21" t="str">
        <f>IF($AL1385="","",$AL1385&amp;"|"&amp;COUNTIF($AL$11:$AL1385,$AL1385))</f>
        <v/>
      </c>
    </row>
    <row r="1386" spans="38:53" ht="15" customHeight="1" x14ac:dyDescent="0.25">
      <c r="AL1386" s="31"/>
      <c r="AM1386" s="26"/>
      <c r="AN1386" s="32"/>
      <c r="AO1386" s="32"/>
      <c r="AP1386" s="24"/>
      <c r="AQ1386" s="24"/>
      <c r="AR1386" s="33"/>
      <c r="AS1386" s="34"/>
      <c r="AT1386" s="33"/>
      <c r="AV1386" s="21">
        <f>IF(AND($AL1386&lt;&gt;"",COUNTIF($AL$11:$AL1386,$AL1386)=1),1,0)</f>
        <v>0</v>
      </c>
      <c r="AW1386" s="21">
        <f t="shared" si="129"/>
        <v>2</v>
      </c>
      <c r="AX1386" s="21" t="str">
        <f t="shared" si="128"/>
        <v/>
      </c>
      <c r="AY1386" s="21" t="str">
        <f>IF(AND($AM1386&lt;&gt;"",$AS1386&lt;&gt;"✓"),SUMPRODUCT(($AM$11:$AM1386&lt;&gt;"")*($AS$11:$AS1386&lt;&gt;"✓")),"")</f>
        <v/>
      </c>
      <c r="AZ1386" s="21" t="str">
        <f>IF(AND($AM1386&lt;&gt;"",$AS1386="✓"),SUMPRODUCT(($AM$11:$AM1386&lt;&gt;"")*($AS$11:$AS1386="✓")),"")</f>
        <v/>
      </c>
      <c r="BA1386" s="21" t="str">
        <f>IF($AL1386="","",$AL1386&amp;"|"&amp;COUNTIF($AL$11:$AL1386,$AL1386))</f>
        <v/>
      </c>
    </row>
    <row r="1387" spans="38:53" ht="15" customHeight="1" x14ac:dyDescent="0.25">
      <c r="AL1387" s="17"/>
      <c r="AM1387" s="12"/>
      <c r="AN1387" s="18"/>
      <c r="AO1387" s="18"/>
      <c r="AP1387" s="10"/>
      <c r="AQ1387" s="10"/>
      <c r="AR1387" s="19"/>
      <c r="AS1387" s="20"/>
      <c r="AT1387" s="19"/>
      <c r="AV1387" s="21">
        <f>IF(AND($AL1387&lt;&gt;"",COUNTIF($AL$11:$AL1387,$AL1387)=1),1,0)</f>
        <v>0</v>
      </c>
      <c r="AW1387" s="21">
        <f t="shared" si="129"/>
        <v>2</v>
      </c>
      <c r="AX1387" s="21" t="str">
        <f t="shared" si="128"/>
        <v/>
      </c>
      <c r="AY1387" s="21" t="str">
        <f>IF(AND($AM1387&lt;&gt;"",$AS1387&lt;&gt;"✓"),SUMPRODUCT(($AM$11:$AM1387&lt;&gt;"")*($AS$11:$AS1387&lt;&gt;"✓")),"")</f>
        <v/>
      </c>
      <c r="AZ1387" s="21" t="str">
        <f>IF(AND($AM1387&lt;&gt;"",$AS1387="✓"),SUMPRODUCT(($AM$11:$AM1387&lt;&gt;"")*($AS$11:$AS1387="✓")),"")</f>
        <v/>
      </c>
      <c r="BA1387" s="21" t="str">
        <f>IF($AL1387="","",$AL1387&amp;"|"&amp;COUNTIF($AL$11:$AL1387,$AL1387))</f>
        <v/>
      </c>
    </row>
    <row r="1388" spans="38:53" ht="15" customHeight="1" x14ac:dyDescent="0.25">
      <c r="AL1388" s="31"/>
      <c r="AM1388" s="26"/>
      <c r="AN1388" s="32"/>
      <c r="AO1388" s="32"/>
      <c r="AP1388" s="24"/>
      <c r="AQ1388" s="24"/>
      <c r="AR1388" s="33"/>
      <c r="AS1388" s="34"/>
      <c r="AT1388" s="33"/>
      <c r="AV1388" s="21">
        <f>IF(AND($AL1388&lt;&gt;"",COUNTIF($AL$11:$AL1388,$AL1388)=1),1,0)</f>
        <v>0</v>
      </c>
      <c r="AW1388" s="21">
        <f t="shared" si="129"/>
        <v>2</v>
      </c>
      <c r="AX1388" s="21" t="str">
        <f t="shared" si="128"/>
        <v/>
      </c>
      <c r="AY1388" s="21" t="str">
        <f>IF(AND($AM1388&lt;&gt;"",$AS1388&lt;&gt;"✓"),SUMPRODUCT(($AM$11:$AM1388&lt;&gt;"")*($AS$11:$AS1388&lt;&gt;"✓")),"")</f>
        <v/>
      </c>
      <c r="AZ1388" s="21" t="str">
        <f>IF(AND($AM1388&lt;&gt;"",$AS1388="✓"),SUMPRODUCT(($AM$11:$AM1388&lt;&gt;"")*($AS$11:$AS1388="✓")),"")</f>
        <v/>
      </c>
      <c r="BA1388" s="21" t="str">
        <f>IF($AL1388="","",$AL1388&amp;"|"&amp;COUNTIF($AL$11:$AL1388,$AL1388))</f>
        <v/>
      </c>
    </row>
    <row r="1389" spans="38:53" ht="15" customHeight="1" x14ac:dyDescent="0.25">
      <c r="AL1389" s="17"/>
      <c r="AM1389" s="12"/>
      <c r="AN1389" s="18"/>
      <c r="AO1389" s="18"/>
      <c r="AP1389" s="10"/>
      <c r="AQ1389" s="10"/>
      <c r="AR1389" s="19"/>
      <c r="AS1389" s="20"/>
      <c r="AT1389" s="19"/>
      <c r="AV1389" s="21">
        <f>IF(AND($AL1389&lt;&gt;"",COUNTIF($AL$11:$AL1389,$AL1389)=1),1,0)</f>
        <v>0</v>
      </c>
      <c r="AW1389" s="21">
        <f t="shared" si="129"/>
        <v>2</v>
      </c>
      <c r="AX1389" s="21" t="str">
        <f t="shared" si="128"/>
        <v/>
      </c>
      <c r="AY1389" s="21" t="str">
        <f>IF(AND($AM1389&lt;&gt;"",$AS1389&lt;&gt;"✓"),SUMPRODUCT(($AM$11:$AM1389&lt;&gt;"")*($AS$11:$AS1389&lt;&gt;"✓")),"")</f>
        <v/>
      </c>
      <c r="AZ1389" s="21" t="str">
        <f>IF(AND($AM1389&lt;&gt;"",$AS1389="✓"),SUMPRODUCT(($AM$11:$AM1389&lt;&gt;"")*($AS$11:$AS1389="✓")),"")</f>
        <v/>
      </c>
      <c r="BA1389" s="21" t="str">
        <f>IF($AL1389="","",$AL1389&amp;"|"&amp;COUNTIF($AL$11:$AL1389,$AL1389))</f>
        <v/>
      </c>
    </row>
    <row r="1390" spans="38:53" ht="15" customHeight="1" x14ac:dyDescent="0.25">
      <c r="AL1390" s="31"/>
      <c r="AM1390" s="26"/>
      <c r="AN1390" s="32"/>
      <c r="AO1390" s="32"/>
      <c r="AP1390" s="24"/>
      <c r="AQ1390" s="24"/>
      <c r="AR1390" s="33"/>
      <c r="AS1390" s="34"/>
      <c r="AT1390" s="33"/>
      <c r="AV1390" s="21">
        <f>IF(AND($AL1390&lt;&gt;"",COUNTIF($AL$11:$AL1390,$AL1390)=1),1,0)</f>
        <v>0</v>
      </c>
      <c r="AW1390" s="21">
        <f t="shared" si="129"/>
        <v>2</v>
      </c>
      <c r="AX1390" s="21" t="str">
        <f t="shared" si="128"/>
        <v/>
      </c>
      <c r="AY1390" s="21" t="str">
        <f>IF(AND($AM1390&lt;&gt;"",$AS1390&lt;&gt;"✓"),SUMPRODUCT(($AM$11:$AM1390&lt;&gt;"")*($AS$11:$AS1390&lt;&gt;"✓")),"")</f>
        <v/>
      </c>
      <c r="AZ1390" s="21" t="str">
        <f>IF(AND($AM1390&lt;&gt;"",$AS1390="✓"),SUMPRODUCT(($AM$11:$AM1390&lt;&gt;"")*($AS$11:$AS1390="✓")),"")</f>
        <v/>
      </c>
      <c r="BA1390" s="21" t="str">
        <f>IF($AL1390="","",$AL1390&amp;"|"&amp;COUNTIF($AL$11:$AL1390,$AL1390))</f>
        <v/>
      </c>
    </row>
    <row r="1391" spans="38:53" ht="15" customHeight="1" x14ac:dyDescent="0.25">
      <c r="AL1391" s="17"/>
      <c r="AM1391" s="12"/>
      <c r="AN1391" s="18"/>
      <c r="AO1391" s="18"/>
      <c r="AP1391" s="10"/>
      <c r="AQ1391" s="10"/>
      <c r="AR1391" s="19"/>
      <c r="AS1391" s="20"/>
      <c r="AT1391" s="19"/>
      <c r="AV1391" s="21">
        <f>IF(AND($AL1391&lt;&gt;"",COUNTIF($AL$11:$AL1391,$AL1391)=1),1,0)</f>
        <v>0</v>
      </c>
      <c r="AW1391" s="21">
        <f t="shared" si="129"/>
        <v>2</v>
      </c>
      <c r="AX1391" s="21" t="str">
        <f t="shared" si="128"/>
        <v/>
      </c>
      <c r="AY1391" s="21" t="str">
        <f>IF(AND($AM1391&lt;&gt;"",$AS1391&lt;&gt;"✓"),SUMPRODUCT(($AM$11:$AM1391&lt;&gt;"")*($AS$11:$AS1391&lt;&gt;"✓")),"")</f>
        <v/>
      </c>
      <c r="AZ1391" s="21" t="str">
        <f>IF(AND($AM1391&lt;&gt;"",$AS1391="✓"),SUMPRODUCT(($AM$11:$AM1391&lt;&gt;"")*($AS$11:$AS1391="✓")),"")</f>
        <v/>
      </c>
      <c r="BA1391" s="21" t="str">
        <f>IF($AL1391="","",$AL1391&amp;"|"&amp;COUNTIF($AL$11:$AL1391,$AL1391))</f>
        <v/>
      </c>
    </row>
    <row r="1392" spans="38:53" ht="15" customHeight="1" x14ac:dyDescent="0.25">
      <c r="AL1392" s="31"/>
      <c r="AM1392" s="26"/>
      <c r="AN1392" s="32"/>
      <c r="AO1392" s="32"/>
      <c r="AP1392" s="24"/>
      <c r="AQ1392" s="24"/>
      <c r="AR1392" s="33"/>
      <c r="AS1392" s="34"/>
      <c r="AT1392" s="33"/>
      <c r="AV1392" s="21">
        <f>IF(AND($AL1392&lt;&gt;"",COUNTIF($AL$11:$AL1392,$AL1392)=1),1,0)</f>
        <v>0</v>
      </c>
      <c r="AW1392" s="21">
        <f t="shared" si="129"/>
        <v>2</v>
      </c>
      <c r="AX1392" s="21" t="str">
        <f t="shared" si="128"/>
        <v/>
      </c>
      <c r="AY1392" s="21" t="str">
        <f>IF(AND($AM1392&lt;&gt;"",$AS1392&lt;&gt;"✓"),SUMPRODUCT(($AM$11:$AM1392&lt;&gt;"")*($AS$11:$AS1392&lt;&gt;"✓")),"")</f>
        <v/>
      </c>
      <c r="AZ1392" s="21" t="str">
        <f>IF(AND($AM1392&lt;&gt;"",$AS1392="✓"),SUMPRODUCT(($AM$11:$AM1392&lt;&gt;"")*($AS$11:$AS1392="✓")),"")</f>
        <v/>
      </c>
      <c r="BA1392" s="21" t="str">
        <f>IF($AL1392="","",$AL1392&amp;"|"&amp;COUNTIF($AL$11:$AL1392,$AL1392))</f>
        <v/>
      </c>
    </row>
    <row r="1393" spans="38:53" ht="15" customHeight="1" x14ac:dyDescent="0.25">
      <c r="AL1393" s="17"/>
      <c r="AM1393" s="12"/>
      <c r="AN1393" s="18"/>
      <c r="AO1393" s="18"/>
      <c r="AP1393" s="10"/>
      <c r="AQ1393" s="10"/>
      <c r="AR1393" s="19"/>
      <c r="AS1393" s="20"/>
      <c r="AT1393" s="19"/>
      <c r="AV1393" s="21">
        <f>IF(AND($AL1393&lt;&gt;"",COUNTIF($AL$11:$AL1393,$AL1393)=1),1,0)</f>
        <v>0</v>
      </c>
      <c r="AW1393" s="21">
        <f t="shared" si="129"/>
        <v>2</v>
      </c>
      <c r="AX1393" s="21" t="str">
        <f t="shared" si="128"/>
        <v/>
      </c>
      <c r="AY1393" s="21" t="str">
        <f>IF(AND($AM1393&lt;&gt;"",$AS1393&lt;&gt;"✓"),SUMPRODUCT(($AM$11:$AM1393&lt;&gt;"")*($AS$11:$AS1393&lt;&gt;"✓")),"")</f>
        <v/>
      </c>
      <c r="AZ1393" s="21" t="str">
        <f>IF(AND($AM1393&lt;&gt;"",$AS1393="✓"),SUMPRODUCT(($AM$11:$AM1393&lt;&gt;"")*($AS$11:$AS1393="✓")),"")</f>
        <v/>
      </c>
      <c r="BA1393" s="21" t="str">
        <f>IF($AL1393="","",$AL1393&amp;"|"&amp;COUNTIF($AL$11:$AL1393,$AL1393))</f>
        <v/>
      </c>
    </row>
    <row r="1394" spans="38:53" ht="15" customHeight="1" x14ac:dyDescent="0.25">
      <c r="AL1394" s="31"/>
      <c r="AM1394" s="26"/>
      <c r="AN1394" s="32"/>
      <c r="AO1394" s="32"/>
      <c r="AP1394" s="24"/>
      <c r="AQ1394" s="24"/>
      <c r="AR1394" s="33"/>
      <c r="AS1394" s="34"/>
      <c r="AT1394" s="33"/>
      <c r="AV1394" s="21">
        <f>IF(AND($AL1394&lt;&gt;"",COUNTIF($AL$11:$AL1394,$AL1394)=1),1,0)</f>
        <v>0</v>
      </c>
      <c r="AW1394" s="21">
        <f t="shared" si="129"/>
        <v>2</v>
      </c>
      <c r="AX1394" s="21" t="str">
        <f t="shared" si="128"/>
        <v/>
      </c>
      <c r="AY1394" s="21" t="str">
        <f>IF(AND($AM1394&lt;&gt;"",$AS1394&lt;&gt;"✓"),SUMPRODUCT(($AM$11:$AM1394&lt;&gt;"")*($AS$11:$AS1394&lt;&gt;"✓")),"")</f>
        <v/>
      </c>
      <c r="AZ1394" s="21" t="str">
        <f>IF(AND($AM1394&lt;&gt;"",$AS1394="✓"),SUMPRODUCT(($AM$11:$AM1394&lt;&gt;"")*($AS$11:$AS1394="✓")),"")</f>
        <v/>
      </c>
      <c r="BA1394" s="21" t="str">
        <f>IF($AL1394="","",$AL1394&amp;"|"&amp;COUNTIF($AL$11:$AL1394,$AL1394))</f>
        <v/>
      </c>
    </row>
    <row r="1395" spans="38:53" ht="15" customHeight="1" x14ac:dyDescent="0.25">
      <c r="AL1395" s="17"/>
      <c r="AM1395" s="12"/>
      <c r="AN1395" s="18"/>
      <c r="AO1395" s="18"/>
      <c r="AP1395" s="10"/>
      <c r="AQ1395" s="10"/>
      <c r="AR1395" s="19"/>
      <c r="AS1395" s="20"/>
      <c r="AT1395" s="19"/>
      <c r="AV1395" s="21">
        <f>IF(AND($AL1395&lt;&gt;"",COUNTIF($AL$11:$AL1395,$AL1395)=1),1,0)</f>
        <v>0</v>
      </c>
      <c r="AW1395" s="21">
        <f t="shared" si="129"/>
        <v>2</v>
      </c>
      <c r="AX1395" s="21" t="str">
        <f t="shared" si="128"/>
        <v/>
      </c>
      <c r="AY1395" s="21" t="str">
        <f>IF(AND($AM1395&lt;&gt;"",$AS1395&lt;&gt;"✓"),SUMPRODUCT(($AM$11:$AM1395&lt;&gt;"")*($AS$11:$AS1395&lt;&gt;"✓")),"")</f>
        <v/>
      </c>
      <c r="AZ1395" s="21" t="str">
        <f>IF(AND($AM1395&lt;&gt;"",$AS1395="✓"),SUMPRODUCT(($AM$11:$AM1395&lt;&gt;"")*($AS$11:$AS1395="✓")),"")</f>
        <v/>
      </c>
      <c r="BA1395" s="21" t="str">
        <f>IF($AL1395="","",$AL1395&amp;"|"&amp;COUNTIF($AL$11:$AL1395,$AL1395))</f>
        <v/>
      </c>
    </row>
    <row r="1396" spans="38:53" ht="15" customHeight="1" x14ac:dyDescent="0.25">
      <c r="AL1396" s="31"/>
      <c r="AM1396" s="26"/>
      <c r="AN1396" s="32"/>
      <c r="AO1396" s="32"/>
      <c r="AP1396" s="24"/>
      <c r="AQ1396" s="24"/>
      <c r="AR1396" s="33"/>
      <c r="AS1396" s="34"/>
      <c r="AT1396" s="33"/>
      <c r="AV1396" s="21">
        <f>IF(AND($AL1396&lt;&gt;"",COUNTIF($AL$11:$AL1396,$AL1396)=1),1,0)</f>
        <v>0</v>
      </c>
      <c r="AW1396" s="21">
        <f t="shared" si="129"/>
        <v>2</v>
      </c>
      <c r="AX1396" s="21" t="str">
        <f t="shared" si="128"/>
        <v/>
      </c>
      <c r="AY1396" s="21" t="str">
        <f>IF(AND($AM1396&lt;&gt;"",$AS1396&lt;&gt;"✓"),SUMPRODUCT(($AM$11:$AM1396&lt;&gt;"")*($AS$11:$AS1396&lt;&gt;"✓")),"")</f>
        <v/>
      </c>
      <c r="AZ1396" s="21" t="str">
        <f>IF(AND($AM1396&lt;&gt;"",$AS1396="✓"),SUMPRODUCT(($AM$11:$AM1396&lt;&gt;"")*($AS$11:$AS1396="✓")),"")</f>
        <v/>
      </c>
      <c r="BA1396" s="21" t="str">
        <f>IF($AL1396="","",$AL1396&amp;"|"&amp;COUNTIF($AL$11:$AL1396,$AL1396))</f>
        <v/>
      </c>
    </row>
    <row r="1397" spans="38:53" ht="15" customHeight="1" x14ac:dyDescent="0.25">
      <c r="AL1397" s="17"/>
      <c r="AM1397" s="12"/>
      <c r="AN1397" s="18"/>
      <c r="AO1397" s="18"/>
      <c r="AP1397" s="10"/>
      <c r="AQ1397" s="10"/>
      <c r="AR1397" s="19"/>
      <c r="AS1397" s="20"/>
      <c r="AT1397" s="19"/>
      <c r="AV1397" s="21">
        <f>IF(AND($AL1397&lt;&gt;"",COUNTIF($AL$11:$AL1397,$AL1397)=1),1,0)</f>
        <v>0</v>
      </c>
      <c r="AW1397" s="21">
        <f t="shared" si="129"/>
        <v>2</v>
      </c>
      <c r="AX1397" s="21" t="str">
        <f t="shared" si="128"/>
        <v/>
      </c>
      <c r="AY1397" s="21" t="str">
        <f>IF(AND($AM1397&lt;&gt;"",$AS1397&lt;&gt;"✓"),SUMPRODUCT(($AM$11:$AM1397&lt;&gt;"")*($AS$11:$AS1397&lt;&gt;"✓")),"")</f>
        <v/>
      </c>
      <c r="AZ1397" s="21" t="str">
        <f>IF(AND($AM1397&lt;&gt;"",$AS1397="✓"),SUMPRODUCT(($AM$11:$AM1397&lt;&gt;"")*($AS$11:$AS1397="✓")),"")</f>
        <v/>
      </c>
      <c r="BA1397" s="21" t="str">
        <f>IF($AL1397="","",$AL1397&amp;"|"&amp;COUNTIF($AL$11:$AL1397,$AL1397))</f>
        <v/>
      </c>
    </row>
    <row r="1398" spans="38:53" ht="15" customHeight="1" x14ac:dyDescent="0.25">
      <c r="AL1398" s="31"/>
      <c r="AM1398" s="26"/>
      <c r="AN1398" s="32"/>
      <c r="AO1398" s="32"/>
      <c r="AP1398" s="24"/>
      <c r="AQ1398" s="24"/>
      <c r="AR1398" s="33"/>
      <c r="AS1398" s="34"/>
      <c r="AT1398" s="33"/>
      <c r="AV1398" s="21">
        <f>IF(AND($AL1398&lt;&gt;"",COUNTIF($AL$11:$AL1398,$AL1398)=1),1,0)</f>
        <v>0</v>
      </c>
      <c r="AW1398" s="21">
        <f t="shared" si="129"/>
        <v>2</v>
      </c>
      <c r="AX1398" s="21" t="str">
        <f t="shared" si="128"/>
        <v/>
      </c>
      <c r="AY1398" s="21" t="str">
        <f>IF(AND($AM1398&lt;&gt;"",$AS1398&lt;&gt;"✓"),SUMPRODUCT(($AM$11:$AM1398&lt;&gt;"")*($AS$11:$AS1398&lt;&gt;"✓")),"")</f>
        <v/>
      </c>
      <c r="AZ1398" s="21" t="str">
        <f>IF(AND($AM1398&lt;&gt;"",$AS1398="✓"),SUMPRODUCT(($AM$11:$AM1398&lt;&gt;"")*($AS$11:$AS1398="✓")),"")</f>
        <v/>
      </c>
      <c r="BA1398" s="21" t="str">
        <f>IF($AL1398="","",$AL1398&amp;"|"&amp;COUNTIF($AL$11:$AL1398,$AL1398))</f>
        <v/>
      </c>
    </row>
    <row r="1399" spans="38:53" ht="15" customHeight="1" x14ac:dyDescent="0.25">
      <c r="AL1399" s="17"/>
      <c r="AM1399" s="12"/>
      <c r="AN1399" s="18"/>
      <c r="AO1399" s="18"/>
      <c r="AP1399" s="10"/>
      <c r="AQ1399" s="10"/>
      <c r="AR1399" s="19"/>
      <c r="AS1399" s="20"/>
      <c r="AT1399" s="19"/>
      <c r="AV1399" s="21">
        <f>IF(AND($AL1399&lt;&gt;"",COUNTIF($AL$11:$AL1399,$AL1399)=1),1,0)</f>
        <v>0</v>
      </c>
      <c r="AW1399" s="21">
        <f t="shared" si="129"/>
        <v>2</v>
      </c>
      <c r="AX1399" s="21" t="str">
        <f t="shared" si="128"/>
        <v/>
      </c>
      <c r="AY1399" s="21" t="str">
        <f>IF(AND($AM1399&lt;&gt;"",$AS1399&lt;&gt;"✓"),SUMPRODUCT(($AM$11:$AM1399&lt;&gt;"")*($AS$11:$AS1399&lt;&gt;"✓")),"")</f>
        <v/>
      </c>
      <c r="AZ1399" s="21" t="str">
        <f>IF(AND($AM1399&lt;&gt;"",$AS1399="✓"),SUMPRODUCT(($AM$11:$AM1399&lt;&gt;"")*($AS$11:$AS1399="✓")),"")</f>
        <v/>
      </c>
      <c r="BA1399" s="21" t="str">
        <f>IF($AL1399="","",$AL1399&amp;"|"&amp;COUNTIF($AL$11:$AL1399,$AL1399))</f>
        <v/>
      </c>
    </row>
    <row r="1400" spans="38:53" ht="15" customHeight="1" x14ac:dyDescent="0.25">
      <c r="AL1400" s="31"/>
      <c r="AM1400" s="26"/>
      <c r="AN1400" s="32"/>
      <c r="AO1400" s="32"/>
      <c r="AP1400" s="24"/>
      <c r="AQ1400" s="24"/>
      <c r="AR1400" s="33"/>
      <c r="AS1400" s="34"/>
      <c r="AT1400" s="33"/>
      <c r="AV1400" s="21">
        <f>IF(AND($AL1400&lt;&gt;"",COUNTIF($AL$11:$AL1400,$AL1400)=1),1,0)</f>
        <v>0</v>
      </c>
      <c r="AW1400" s="21">
        <f t="shared" si="129"/>
        <v>2</v>
      </c>
      <c r="AX1400" s="21" t="str">
        <f t="shared" si="128"/>
        <v/>
      </c>
      <c r="AY1400" s="21" t="str">
        <f>IF(AND($AM1400&lt;&gt;"",$AS1400&lt;&gt;"✓"),SUMPRODUCT(($AM$11:$AM1400&lt;&gt;"")*($AS$11:$AS1400&lt;&gt;"✓")),"")</f>
        <v/>
      </c>
      <c r="AZ1400" s="21" t="str">
        <f>IF(AND($AM1400&lt;&gt;"",$AS1400="✓"),SUMPRODUCT(($AM$11:$AM1400&lt;&gt;"")*($AS$11:$AS1400="✓")),"")</f>
        <v/>
      </c>
      <c r="BA1400" s="21" t="str">
        <f>IF($AL1400="","",$AL1400&amp;"|"&amp;COUNTIF($AL$11:$AL1400,$AL1400))</f>
        <v/>
      </c>
    </row>
    <row r="1401" spans="38:53" ht="15" customHeight="1" x14ac:dyDescent="0.25">
      <c r="AL1401" s="17"/>
      <c r="AM1401" s="12"/>
      <c r="AN1401" s="18"/>
      <c r="AO1401" s="18"/>
      <c r="AP1401" s="10"/>
      <c r="AQ1401" s="10"/>
      <c r="AR1401" s="19"/>
      <c r="AS1401" s="20"/>
      <c r="AT1401" s="19"/>
      <c r="AV1401" s="21">
        <f>IF(AND($AL1401&lt;&gt;"",COUNTIF($AL$11:$AL1401,$AL1401)=1),1,0)</f>
        <v>0</v>
      </c>
      <c r="AW1401" s="21">
        <f t="shared" si="129"/>
        <v>2</v>
      </c>
      <c r="AX1401" s="21" t="str">
        <f t="shared" si="128"/>
        <v/>
      </c>
      <c r="AY1401" s="21" t="str">
        <f>IF(AND($AM1401&lt;&gt;"",$AS1401&lt;&gt;"✓"),SUMPRODUCT(($AM$11:$AM1401&lt;&gt;"")*($AS$11:$AS1401&lt;&gt;"✓")),"")</f>
        <v/>
      </c>
      <c r="AZ1401" s="21" t="str">
        <f>IF(AND($AM1401&lt;&gt;"",$AS1401="✓"),SUMPRODUCT(($AM$11:$AM1401&lt;&gt;"")*($AS$11:$AS1401="✓")),"")</f>
        <v/>
      </c>
      <c r="BA1401" s="21" t="str">
        <f>IF($AL1401="","",$AL1401&amp;"|"&amp;COUNTIF($AL$11:$AL1401,$AL1401))</f>
        <v/>
      </c>
    </row>
    <row r="1402" spans="38:53" ht="15" customHeight="1" x14ac:dyDescent="0.25">
      <c r="AL1402" s="31"/>
      <c r="AM1402" s="26"/>
      <c r="AN1402" s="32"/>
      <c r="AO1402" s="32"/>
      <c r="AP1402" s="24"/>
      <c r="AQ1402" s="24"/>
      <c r="AR1402" s="33"/>
      <c r="AS1402" s="34"/>
      <c r="AT1402" s="33"/>
      <c r="AV1402" s="21">
        <f>IF(AND($AL1402&lt;&gt;"",COUNTIF($AL$11:$AL1402,$AL1402)=1),1,0)</f>
        <v>0</v>
      </c>
      <c r="AW1402" s="21">
        <f t="shared" si="129"/>
        <v>2</v>
      </c>
      <c r="AX1402" s="21" t="str">
        <f t="shared" si="128"/>
        <v/>
      </c>
      <c r="AY1402" s="21" t="str">
        <f>IF(AND($AM1402&lt;&gt;"",$AS1402&lt;&gt;"✓"),SUMPRODUCT(($AM$11:$AM1402&lt;&gt;"")*($AS$11:$AS1402&lt;&gt;"✓")),"")</f>
        <v/>
      </c>
      <c r="AZ1402" s="21" t="str">
        <f>IF(AND($AM1402&lt;&gt;"",$AS1402="✓"),SUMPRODUCT(($AM$11:$AM1402&lt;&gt;"")*($AS$11:$AS1402="✓")),"")</f>
        <v/>
      </c>
      <c r="BA1402" s="21" t="str">
        <f>IF($AL1402="","",$AL1402&amp;"|"&amp;COUNTIF($AL$11:$AL1402,$AL1402))</f>
        <v/>
      </c>
    </row>
    <row r="1403" spans="38:53" ht="15" customHeight="1" x14ac:dyDescent="0.25">
      <c r="AL1403" s="17"/>
      <c r="AM1403" s="12"/>
      <c r="AN1403" s="18"/>
      <c r="AO1403" s="18"/>
      <c r="AP1403" s="10"/>
      <c r="AQ1403" s="10"/>
      <c r="AR1403" s="19"/>
      <c r="AS1403" s="20"/>
      <c r="AT1403" s="19"/>
      <c r="AV1403" s="21">
        <f>IF(AND($AL1403&lt;&gt;"",COUNTIF($AL$11:$AL1403,$AL1403)=1),1,0)</f>
        <v>0</v>
      </c>
      <c r="AW1403" s="21">
        <f t="shared" si="129"/>
        <v>2</v>
      </c>
      <c r="AX1403" s="21" t="str">
        <f t="shared" si="128"/>
        <v/>
      </c>
      <c r="AY1403" s="21" t="str">
        <f>IF(AND($AM1403&lt;&gt;"",$AS1403&lt;&gt;"✓"),SUMPRODUCT(($AM$11:$AM1403&lt;&gt;"")*($AS$11:$AS1403&lt;&gt;"✓")),"")</f>
        <v/>
      </c>
      <c r="AZ1403" s="21" t="str">
        <f>IF(AND($AM1403&lt;&gt;"",$AS1403="✓"),SUMPRODUCT(($AM$11:$AM1403&lt;&gt;"")*($AS$11:$AS1403="✓")),"")</f>
        <v/>
      </c>
      <c r="BA1403" s="21" t="str">
        <f>IF($AL1403="","",$AL1403&amp;"|"&amp;COUNTIF($AL$11:$AL1403,$AL1403))</f>
        <v/>
      </c>
    </row>
    <row r="1404" spans="38:53" ht="15" customHeight="1" x14ac:dyDescent="0.25">
      <c r="AL1404" s="31"/>
      <c r="AM1404" s="26"/>
      <c r="AN1404" s="32"/>
      <c r="AO1404" s="32"/>
      <c r="AP1404" s="24"/>
      <c r="AQ1404" s="24"/>
      <c r="AR1404" s="33"/>
      <c r="AS1404" s="34"/>
      <c r="AT1404" s="33"/>
      <c r="AV1404" s="21">
        <f>IF(AND($AL1404&lt;&gt;"",COUNTIF($AL$11:$AL1404,$AL1404)=1),1,0)</f>
        <v>0</v>
      </c>
      <c r="AW1404" s="21">
        <f t="shared" si="129"/>
        <v>2</v>
      </c>
      <c r="AX1404" s="21" t="str">
        <f t="shared" si="128"/>
        <v/>
      </c>
      <c r="AY1404" s="21" t="str">
        <f>IF(AND($AM1404&lt;&gt;"",$AS1404&lt;&gt;"✓"),SUMPRODUCT(($AM$11:$AM1404&lt;&gt;"")*($AS$11:$AS1404&lt;&gt;"✓")),"")</f>
        <v/>
      </c>
      <c r="AZ1404" s="21" t="str">
        <f>IF(AND($AM1404&lt;&gt;"",$AS1404="✓"),SUMPRODUCT(($AM$11:$AM1404&lt;&gt;"")*($AS$11:$AS1404="✓")),"")</f>
        <v/>
      </c>
      <c r="BA1404" s="21" t="str">
        <f>IF($AL1404="","",$AL1404&amp;"|"&amp;COUNTIF($AL$11:$AL1404,$AL1404))</f>
        <v/>
      </c>
    </row>
    <row r="1405" spans="38:53" ht="15" customHeight="1" x14ac:dyDescent="0.25">
      <c r="AL1405" s="17"/>
      <c r="AM1405" s="12"/>
      <c r="AN1405" s="18"/>
      <c r="AO1405" s="18"/>
      <c r="AP1405" s="10"/>
      <c r="AQ1405" s="10"/>
      <c r="AR1405" s="19"/>
      <c r="AS1405" s="20"/>
      <c r="AT1405" s="19"/>
      <c r="AV1405" s="21">
        <f>IF(AND($AL1405&lt;&gt;"",COUNTIF($AL$11:$AL1405,$AL1405)=1),1,0)</f>
        <v>0</v>
      </c>
      <c r="AW1405" s="21">
        <f t="shared" si="129"/>
        <v>2</v>
      </c>
      <c r="AX1405" s="21" t="str">
        <f t="shared" si="128"/>
        <v/>
      </c>
      <c r="AY1405" s="21" t="str">
        <f>IF(AND($AM1405&lt;&gt;"",$AS1405&lt;&gt;"✓"),SUMPRODUCT(($AM$11:$AM1405&lt;&gt;"")*($AS$11:$AS1405&lt;&gt;"✓")),"")</f>
        <v/>
      </c>
      <c r="AZ1405" s="21" t="str">
        <f>IF(AND($AM1405&lt;&gt;"",$AS1405="✓"),SUMPRODUCT(($AM$11:$AM1405&lt;&gt;"")*($AS$11:$AS1405="✓")),"")</f>
        <v/>
      </c>
      <c r="BA1405" s="21" t="str">
        <f>IF($AL1405="","",$AL1405&amp;"|"&amp;COUNTIF($AL$11:$AL1405,$AL1405))</f>
        <v/>
      </c>
    </row>
    <row r="1406" spans="38:53" ht="15" customHeight="1" x14ac:dyDescent="0.25">
      <c r="AL1406" s="31"/>
      <c r="AM1406" s="26"/>
      <c r="AN1406" s="32"/>
      <c r="AO1406" s="32"/>
      <c r="AP1406" s="24"/>
      <c r="AQ1406" s="24"/>
      <c r="AR1406" s="33"/>
      <c r="AS1406" s="34"/>
      <c r="AT1406" s="33"/>
      <c r="AV1406" s="21">
        <f>IF(AND($AL1406&lt;&gt;"",COUNTIF($AL$11:$AL1406,$AL1406)=1),1,0)</f>
        <v>0</v>
      </c>
      <c r="AW1406" s="21">
        <f t="shared" si="129"/>
        <v>2</v>
      </c>
      <c r="AX1406" s="21" t="str">
        <f t="shared" si="128"/>
        <v/>
      </c>
      <c r="AY1406" s="21" t="str">
        <f>IF(AND($AM1406&lt;&gt;"",$AS1406&lt;&gt;"✓"),SUMPRODUCT(($AM$11:$AM1406&lt;&gt;"")*($AS$11:$AS1406&lt;&gt;"✓")),"")</f>
        <v/>
      </c>
      <c r="AZ1406" s="21" t="str">
        <f>IF(AND($AM1406&lt;&gt;"",$AS1406="✓"),SUMPRODUCT(($AM$11:$AM1406&lt;&gt;"")*($AS$11:$AS1406="✓")),"")</f>
        <v/>
      </c>
      <c r="BA1406" s="21" t="str">
        <f>IF($AL1406="","",$AL1406&amp;"|"&amp;COUNTIF($AL$11:$AL1406,$AL1406))</f>
        <v/>
      </c>
    </row>
    <row r="1407" spans="38:53" ht="15" customHeight="1" x14ac:dyDescent="0.25">
      <c r="AL1407" s="17"/>
      <c r="AM1407" s="12"/>
      <c r="AN1407" s="18"/>
      <c r="AO1407" s="18"/>
      <c r="AP1407" s="10"/>
      <c r="AQ1407" s="10"/>
      <c r="AR1407" s="19"/>
      <c r="AS1407" s="20"/>
      <c r="AT1407" s="19"/>
      <c r="AV1407" s="21">
        <f>IF(AND($AL1407&lt;&gt;"",COUNTIF($AL$11:$AL1407,$AL1407)=1),1,0)</f>
        <v>0</v>
      </c>
      <c r="AW1407" s="21">
        <f t="shared" si="129"/>
        <v>2</v>
      </c>
      <c r="AX1407" s="21" t="str">
        <f t="shared" si="128"/>
        <v/>
      </c>
      <c r="AY1407" s="21" t="str">
        <f>IF(AND($AM1407&lt;&gt;"",$AS1407&lt;&gt;"✓"),SUMPRODUCT(($AM$11:$AM1407&lt;&gt;"")*($AS$11:$AS1407&lt;&gt;"✓")),"")</f>
        <v/>
      </c>
      <c r="AZ1407" s="21" t="str">
        <f>IF(AND($AM1407&lt;&gt;"",$AS1407="✓"),SUMPRODUCT(($AM$11:$AM1407&lt;&gt;"")*($AS$11:$AS1407="✓")),"")</f>
        <v/>
      </c>
      <c r="BA1407" s="21" t="str">
        <f>IF($AL1407="","",$AL1407&amp;"|"&amp;COUNTIF($AL$11:$AL1407,$AL1407))</f>
        <v/>
      </c>
    </row>
    <row r="1408" spans="38:53" ht="15" customHeight="1" x14ac:dyDescent="0.25">
      <c r="AL1408" s="31"/>
      <c r="AM1408" s="26"/>
      <c r="AN1408" s="32"/>
      <c r="AO1408" s="32"/>
      <c r="AP1408" s="24"/>
      <c r="AQ1408" s="24"/>
      <c r="AR1408" s="33"/>
      <c r="AS1408" s="34"/>
      <c r="AT1408" s="33"/>
      <c r="AV1408" s="21">
        <f>IF(AND($AL1408&lt;&gt;"",COUNTIF($AL$11:$AL1408,$AL1408)=1),1,0)</f>
        <v>0</v>
      </c>
      <c r="AW1408" s="21">
        <f t="shared" si="129"/>
        <v>2</v>
      </c>
      <c r="AX1408" s="21" t="str">
        <f t="shared" si="128"/>
        <v/>
      </c>
      <c r="AY1408" s="21" t="str">
        <f>IF(AND($AM1408&lt;&gt;"",$AS1408&lt;&gt;"✓"),SUMPRODUCT(($AM$11:$AM1408&lt;&gt;"")*($AS$11:$AS1408&lt;&gt;"✓")),"")</f>
        <v/>
      </c>
      <c r="AZ1408" s="21" t="str">
        <f>IF(AND($AM1408&lt;&gt;"",$AS1408="✓"),SUMPRODUCT(($AM$11:$AM1408&lt;&gt;"")*($AS$11:$AS1408="✓")),"")</f>
        <v/>
      </c>
      <c r="BA1408" s="21" t="str">
        <f>IF($AL1408="","",$AL1408&amp;"|"&amp;COUNTIF($AL$11:$AL1408,$AL1408))</f>
        <v/>
      </c>
    </row>
    <row r="1409" spans="38:53" ht="15" customHeight="1" x14ac:dyDescent="0.25">
      <c r="AL1409" s="17"/>
      <c r="AM1409" s="12"/>
      <c r="AN1409" s="18"/>
      <c r="AO1409" s="18"/>
      <c r="AP1409" s="10"/>
      <c r="AQ1409" s="10"/>
      <c r="AR1409" s="19"/>
      <c r="AS1409" s="20"/>
      <c r="AT1409" s="19"/>
      <c r="AV1409" s="21">
        <f>IF(AND($AL1409&lt;&gt;"",COUNTIF($AL$11:$AL1409,$AL1409)=1),1,0)</f>
        <v>0</v>
      </c>
      <c r="AW1409" s="21">
        <f t="shared" si="129"/>
        <v>2</v>
      </c>
      <c r="AX1409" s="21" t="str">
        <f t="shared" si="128"/>
        <v/>
      </c>
      <c r="AY1409" s="21" t="str">
        <f>IF(AND($AM1409&lt;&gt;"",$AS1409&lt;&gt;"✓"),SUMPRODUCT(($AM$11:$AM1409&lt;&gt;"")*($AS$11:$AS1409&lt;&gt;"✓")),"")</f>
        <v/>
      </c>
      <c r="AZ1409" s="21" t="str">
        <f>IF(AND($AM1409&lt;&gt;"",$AS1409="✓"),SUMPRODUCT(($AM$11:$AM1409&lt;&gt;"")*($AS$11:$AS1409="✓")),"")</f>
        <v/>
      </c>
      <c r="BA1409" s="21" t="str">
        <f>IF($AL1409="","",$AL1409&amp;"|"&amp;COUNTIF($AL$11:$AL1409,$AL1409))</f>
        <v/>
      </c>
    </row>
    <row r="1410" spans="38:53" ht="15" customHeight="1" x14ac:dyDescent="0.25">
      <c r="AL1410" s="31"/>
      <c r="AM1410" s="26"/>
      <c r="AN1410" s="32"/>
      <c r="AO1410" s="32"/>
      <c r="AP1410" s="24"/>
      <c r="AQ1410" s="24"/>
      <c r="AR1410" s="33"/>
      <c r="AS1410" s="34"/>
      <c r="AT1410" s="33"/>
      <c r="AV1410" s="21">
        <f>IF(AND($AL1410&lt;&gt;"",COUNTIF($AL$11:$AL1410,$AL1410)=1),1,0)</f>
        <v>0</v>
      </c>
      <c r="AW1410" s="21">
        <f t="shared" si="129"/>
        <v>2</v>
      </c>
      <c r="AX1410" s="21" t="str">
        <f t="shared" si="128"/>
        <v/>
      </c>
      <c r="AY1410" s="21" t="str">
        <f>IF(AND($AM1410&lt;&gt;"",$AS1410&lt;&gt;"✓"),SUMPRODUCT(($AM$11:$AM1410&lt;&gt;"")*($AS$11:$AS1410&lt;&gt;"✓")),"")</f>
        <v/>
      </c>
      <c r="AZ1410" s="21" t="str">
        <f>IF(AND($AM1410&lt;&gt;"",$AS1410="✓"),SUMPRODUCT(($AM$11:$AM1410&lt;&gt;"")*($AS$11:$AS1410="✓")),"")</f>
        <v/>
      </c>
      <c r="BA1410" s="21" t="str">
        <f>IF($AL1410="","",$AL1410&amp;"|"&amp;COUNTIF($AL$11:$AL1410,$AL1410))</f>
        <v/>
      </c>
    </row>
    <row r="1411" spans="38:53" ht="15" customHeight="1" x14ac:dyDescent="0.25">
      <c r="AL1411" s="17"/>
      <c r="AM1411" s="12"/>
      <c r="AN1411" s="18"/>
      <c r="AO1411" s="18"/>
      <c r="AP1411" s="10"/>
      <c r="AQ1411" s="10"/>
      <c r="AR1411" s="19"/>
      <c r="AS1411" s="20"/>
      <c r="AT1411" s="19"/>
      <c r="AV1411" s="21">
        <f>IF(AND($AL1411&lt;&gt;"",COUNTIF($AL$11:$AL1411,$AL1411)=1),1,0)</f>
        <v>0</v>
      </c>
      <c r="AW1411" s="21">
        <f t="shared" si="129"/>
        <v>2</v>
      </c>
      <c r="AX1411" s="21" t="str">
        <f t="shared" si="128"/>
        <v/>
      </c>
      <c r="AY1411" s="21" t="str">
        <f>IF(AND($AM1411&lt;&gt;"",$AS1411&lt;&gt;"✓"),SUMPRODUCT(($AM$11:$AM1411&lt;&gt;"")*($AS$11:$AS1411&lt;&gt;"✓")),"")</f>
        <v/>
      </c>
      <c r="AZ1411" s="21" t="str">
        <f>IF(AND($AM1411&lt;&gt;"",$AS1411="✓"),SUMPRODUCT(($AM$11:$AM1411&lt;&gt;"")*($AS$11:$AS1411="✓")),"")</f>
        <v/>
      </c>
      <c r="BA1411" s="21" t="str">
        <f>IF($AL1411="","",$AL1411&amp;"|"&amp;COUNTIF($AL$11:$AL1411,$AL1411))</f>
        <v/>
      </c>
    </row>
    <row r="1412" spans="38:53" ht="15" customHeight="1" x14ac:dyDescent="0.25">
      <c r="AL1412" s="31"/>
      <c r="AM1412" s="26"/>
      <c r="AN1412" s="32"/>
      <c r="AO1412" s="32"/>
      <c r="AP1412" s="24"/>
      <c r="AQ1412" s="24"/>
      <c r="AR1412" s="33"/>
      <c r="AS1412" s="34"/>
      <c r="AT1412" s="33"/>
      <c r="AV1412" s="21">
        <f>IF(AND($AL1412&lt;&gt;"",COUNTIF($AL$11:$AL1412,$AL1412)=1),1,0)</f>
        <v>0</v>
      </c>
      <c r="AW1412" s="21">
        <f t="shared" si="129"/>
        <v>2</v>
      </c>
      <c r="AX1412" s="21" t="str">
        <f t="shared" si="128"/>
        <v/>
      </c>
      <c r="AY1412" s="21" t="str">
        <f>IF(AND($AM1412&lt;&gt;"",$AS1412&lt;&gt;"✓"),SUMPRODUCT(($AM$11:$AM1412&lt;&gt;"")*($AS$11:$AS1412&lt;&gt;"✓")),"")</f>
        <v/>
      </c>
      <c r="AZ1412" s="21" t="str">
        <f>IF(AND($AM1412&lt;&gt;"",$AS1412="✓"),SUMPRODUCT(($AM$11:$AM1412&lt;&gt;"")*($AS$11:$AS1412="✓")),"")</f>
        <v/>
      </c>
      <c r="BA1412" s="21" t="str">
        <f>IF($AL1412="","",$AL1412&amp;"|"&amp;COUNTIF($AL$11:$AL1412,$AL1412))</f>
        <v/>
      </c>
    </row>
    <row r="1413" spans="38:53" ht="15" customHeight="1" x14ac:dyDescent="0.25">
      <c r="AL1413" s="17"/>
      <c r="AM1413" s="12"/>
      <c r="AN1413" s="18"/>
      <c r="AO1413" s="18"/>
      <c r="AP1413" s="10"/>
      <c r="AQ1413" s="10"/>
      <c r="AR1413" s="19"/>
      <c r="AS1413" s="20"/>
      <c r="AT1413" s="19"/>
      <c r="AV1413" s="21">
        <f>IF(AND($AL1413&lt;&gt;"",COUNTIF($AL$11:$AL1413,$AL1413)=1),1,0)</f>
        <v>0</v>
      </c>
      <c r="AW1413" s="21">
        <f t="shared" si="129"/>
        <v>2</v>
      </c>
      <c r="AX1413" s="21" t="str">
        <f t="shared" si="128"/>
        <v/>
      </c>
      <c r="AY1413" s="21" t="str">
        <f>IF(AND($AM1413&lt;&gt;"",$AS1413&lt;&gt;"✓"),SUMPRODUCT(($AM$11:$AM1413&lt;&gt;"")*($AS$11:$AS1413&lt;&gt;"✓")),"")</f>
        <v/>
      </c>
      <c r="AZ1413" s="21" t="str">
        <f>IF(AND($AM1413&lt;&gt;"",$AS1413="✓"),SUMPRODUCT(($AM$11:$AM1413&lt;&gt;"")*($AS$11:$AS1413="✓")),"")</f>
        <v/>
      </c>
      <c r="BA1413" s="21" t="str">
        <f>IF($AL1413="","",$AL1413&amp;"|"&amp;COUNTIF($AL$11:$AL1413,$AL1413))</f>
        <v/>
      </c>
    </row>
    <row r="1414" spans="38:53" ht="15" customHeight="1" x14ac:dyDescent="0.25">
      <c r="AL1414" s="31"/>
      <c r="AM1414" s="26"/>
      <c r="AN1414" s="32"/>
      <c r="AO1414" s="32"/>
      <c r="AP1414" s="24"/>
      <c r="AQ1414" s="24"/>
      <c r="AR1414" s="33"/>
      <c r="AS1414" s="34"/>
      <c r="AT1414" s="33"/>
      <c r="AV1414" s="21">
        <f>IF(AND($AL1414&lt;&gt;"",COUNTIF($AL$11:$AL1414,$AL1414)=1),1,0)</f>
        <v>0</v>
      </c>
      <c r="AW1414" s="21">
        <f t="shared" si="129"/>
        <v>2</v>
      </c>
      <c r="AX1414" s="21" t="str">
        <f t="shared" si="128"/>
        <v/>
      </c>
      <c r="AY1414" s="21" t="str">
        <f>IF(AND($AM1414&lt;&gt;"",$AS1414&lt;&gt;"✓"),SUMPRODUCT(($AM$11:$AM1414&lt;&gt;"")*($AS$11:$AS1414&lt;&gt;"✓")),"")</f>
        <v/>
      </c>
      <c r="AZ1414" s="21" t="str">
        <f>IF(AND($AM1414&lt;&gt;"",$AS1414="✓"),SUMPRODUCT(($AM$11:$AM1414&lt;&gt;"")*($AS$11:$AS1414="✓")),"")</f>
        <v/>
      </c>
      <c r="BA1414" s="21" t="str">
        <f>IF($AL1414="","",$AL1414&amp;"|"&amp;COUNTIF($AL$11:$AL1414,$AL1414))</f>
        <v/>
      </c>
    </row>
    <row r="1415" spans="38:53" ht="15" customHeight="1" x14ac:dyDescent="0.25">
      <c r="AL1415" s="17"/>
      <c r="AM1415" s="12"/>
      <c r="AN1415" s="18"/>
      <c r="AO1415" s="18"/>
      <c r="AP1415" s="10"/>
      <c r="AQ1415" s="10"/>
      <c r="AR1415" s="19"/>
      <c r="AS1415" s="20"/>
      <c r="AT1415" s="19"/>
      <c r="AV1415" s="21">
        <f>IF(AND($AL1415&lt;&gt;"",COUNTIF($AL$11:$AL1415,$AL1415)=1),1,0)</f>
        <v>0</v>
      </c>
      <c r="AW1415" s="21">
        <f t="shared" si="129"/>
        <v>2</v>
      </c>
      <c r="AX1415" s="21" t="str">
        <f t="shared" si="128"/>
        <v/>
      </c>
      <c r="AY1415" s="21" t="str">
        <f>IF(AND($AM1415&lt;&gt;"",$AS1415&lt;&gt;"✓"),SUMPRODUCT(($AM$11:$AM1415&lt;&gt;"")*($AS$11:$AS1415&lt;&gt;"✓")),"")</f>
        <v/>
      </c>
      <c r="AZ1415" s="21" t="str">
        <f>IF(AND($AM1415&lt;&gt;"",$AS1415="✓"),SUMPRODUCT(($AM$11:$AM1415&lt;&gt;"")*($AS$11:$AS1415="✓")),"")</f>
        <v/>
      </c>
      <c r="BA1415" s="21" t="str">
        <f>IF($AL1415="","",$AL1415&amp;"|"&amp;COUNTIF($AL$11:$AL1415,$AL1415))</f>
        <v/>
      </c>
    </row>
    <row r="1416" spans="38:53" ht="15" customHeight="1" x14ac:dyDescent="0.25">
      <c r="AL1416" s="31"/>
      <c r="AM1416" s="26"/>
      <c r="AN1416" s="32"/>
      <c r="AO1416" s="32"/>
      <c r="AP1416" s="24"/>
      <c r="AQ1416" s="24"/>
      <c r="AR1416" s="33"/>
      <c r="AS1416" s="34"/>
      <c r="AT1416" s="33"/>
      <c r="AV1416" s="21">
        <f>IF(AND($AL1416&lt;&gt;"",COUNTIF($AL$11:$AL1416,$AL1416)=1),1,0)</f>
        <v>0</v>
      </c>
      <c r="AW1416" s="21">
        <f t="shared" si="129"/>
        <v>2</v>
      </c>
      <c r="AX1416" s="21" t="str">
        <f t="shared" si="128"/>
        <v/>
      </c>
      <c r="AY1416" s="21" t="str">
        <f>IF(AND($AM1416&lt;&gt;"",$AS1416&lt;&gt;"✓"),SUMPRODUCT(($AM$11:$AM1416&lt;&gt;"")*($AS$11:$AS1416&lt;&gt;"✓")),"")</f>
        <v/>
      </c>
      <c r="AZ1416" s="21" t="str">
        <f>IF(AND($AM1416&lt;&gt;"",$AS1416="✓"),SUMPRODUCT(($AM$11:$AM1416&lt;&gt;"")*($AS$11:$AS1416="✓")),"")</f>
        <v/>
      </c>
      <c r="BA1416" s="21" t="str">
        <f>IF($AL1416="","",$AL1416&amp;"|"&amp;COUNTIF($AL$11:$AL1416,$AL1416))</f>
        <v/>
      </c>
    </row>
    <row r="1417" spans="38:53" ht="15" customHeight="1" x14ac:dyDescent="0.25">
      <c r="AL1417" s="17"/>
      <c r="AM1417" s="12"/>
      <c r="AN1417" s="18"/>
      <c r="AO1417" s="18"/>
      <c r="AP1417" s="10"/>
      <c r="AQ1417" s="10"/>
      <c r="AR1417" s="19"/>
      <c r="AS1417" s="20"/>
      <c r="AT1417" s="19"/>
      <c r="AV1417" s="21">
        <f>IF(AND($AL1417&lt;&gt;"",COUNTIF($AL$11:$AL1417,$AL1417)=1),1,0)</f>
        <v>0</v>
      </c>
      <c r="AW1417" s="21">
        <f t="shared" si="129"/>
        <v>2</v>
      </c>
      <c r="AX1417" s="21" t="str">
        <f t="shared" si="128"/>
        <v/>
      </c>
      <c r="AY1417" s="21" t="str">
        <f>IF(AND($AM1417&lt;&gt;"",$AS1417&lt;&gt;"✓"),SUMPRODUCT(($AM$11:$AM1417&lt;&gt;"")*($AS$11:$AS1417&lt;&gt;"✓")),"")</f>
        <v/>
      </c>
      <c r="AZ1417" s="21" t="str">
        <f>IF(AND($AM1417&lt;&gt;"",$AS1417="✓"),SUMPRODUCT(($AM$11:$AM1417&lt;&gt;"")*($AS$11:$AS1417="✓")),"")</f>
        <v/>
      </c>
      <c r="BA1417" s="21" t="str">
        <f>IF($AL1417="","",$AL1417&amp;"|"&amp;COUNTIF($AL$11:$AL1417,$AL1417))</f>
        <v/>
      </c>
    </row>
    <row r="1418" spans="38:53" ht="15" customHeight="1" x14ac:dyDescent="0.25">
      <c r="AL1418" s="31"/>
      <c r="AM1418" s="26"/>
      <c r="AN1418" s="32"/>
      <c r="AO1418" s="32"/>
      <c r="AP1418" s="24"/>
      <c r="AQ1418" s="24"/>
      <c r="AR1418" s="33"/>
      <c r="AS1418" s="34"/>
      <c r="AT1418" s="33"/>
      <c r="AV1418" s="21">
        <f>IF(AND($AL1418&lt;&gt;"",COUNTIF($AL$11:$AL1418,$AL1418)=1),1,0)</f>
        <v>0</v>
      </c>
      <c r="AW1418" s="21">
        <f t="shared" si="129"/>
        <v>2</v>
      </c>
      <c r="AX1418" s="21" t="str">
        <f t="shared" si="128"/>
        <v/>
      </c>
      <c r="AY1418" s="21" t="str">
        <f>IF(AND($AM1418&lt;&gt;"",$AS1418&lt;&gt;"✓"),SUMPRODUCT(($AM$11:$AM1418&lt;&gt;"")*($AS$11:$AS1418&lt;&gt;"✓")),"")</f>
        <v/>
      </c>
      <c r="AZ1418" s="21" t="str">
        <f>IF(AND($AM1418&lt;&gt;"",$AS1418="✓"),SUMPRODUCT(($AM$11:$AM1418&lt;&gt;"")*($AS$11:$AS1418="✓")),"")</f>
        <v/>
      </c>
      <c r="BA1418" s="21" t="str">
        <f>IF($AL1418="","",$AL1418&amp;"|"&amp;COUNTIF($AL$11:$AL1418,$AL1418))</f>
        <v/>
      </c>
    </row>
    <row r="1419" spans="38:53" ht="15" customHeight="1" x14ac:dyDescent="0.25">
      <c r="AL1419" s="17"/>
      <c r="AM1419" s="12"/>
      <c r="AN1419" s="18"/>
      <c r="AO1419" s="18"/>
      <c r="AP1419" s="10"/>
      <c r="AQ1419" s="10"/>
      <c r="AR1419" s="19"/>
      <c r="AS1419" s="20"/>
      <c r="AT1419" s="19"/>
      <c r="AV1419" s="21">
        <f>IF(AND($AL1419&lt;&gt;"",COUNTIF($AL$11:$AL1419,$AL1419)=1),1,0)</f>
        <v>0</v>
      </c>
      <c r="AW1419" s="21">
        <f t="shared" si="129"/>
        <v>2</v>
      </c>
      <c r="AX1419" s="21" t="str">
        <f t="shared" ref="AX1419:AX1482" si="130">IF(AV1419=1,AW1419,"")</f>
        <v/>
      </c>
      <c r="AY1419" s="21" t="str">
        <f>IF(AND($AM1419&lt;&gt;"",$AS1419&lt;&gt;"✓"),SUMPRODUCT(($AM$11:$AM1419&lt;&gt;"")*($AS$11:$AS1419&lt;&gt;"✓")),"")</f>
        <v/>
      </c>
      <c r="AZ1419" s="21" t="str">
        <f>IF(AND($AM1419&lt;&gt;"",$AS1419="✓"),SUMPRODUCT(($AM$11:$AM1419&lt;&gt;"")*($AS$11:$AS1419="✓")),"")</f>
        <v/>
      </c>
      <c r="BA1419" s="21" t="str">
        <f>IF($AL1419="","",$AL1419&amp;"|"&amp;COUNTIF($AL$11:$AL1419,$AL1419))</f>
        <v/>
      </c>
    </row>
    <row r="1420" spans="38:53" ht="15" customHeight="1" x14ac:dyDescent="0.25">
      <c r="AL1420" s="31"/>
      <c r="AM1420" s="26"/>
      <c r="AN1420" s="32"/>
      <c r="AO1420" s="32"/>
      <c r="AP1420" s="24"/>
      <c r="AQ1420" s="24"/>
      <c r="AR1420" s="33"/>
      <c r="AS1420" s="34"/>
      <c r="AT1420" s="33"/>
      <c r="AV1420" s="21">
        <f>IF(AND($AL1420&lt;&gt;"",COUNTIF($AL$11:$AL1420,$AL1420)=1),1,0)</f>
        <v>0</v>
      </c>
      <c r="AW1420" s="21">
        <f t="shared" ref="AW1420:AW1483" si="131">AW1419+AV1420</f>
        <v>2</v>
      </c>
      <c r="AX1420" s="21" t="str">
        <f t="shared" si="130"/>
        <v/>
      </c>
      <c r="AY1420" s="21" t="str">
        <f>IF(AND($AM1420&lt;&gt;"",$AS1420&lt;&gt;"✓"),SUMPRODUCT(($AM$11:$AM1420&lt;&gt;"")*($AS$11:$AS1420&lt;&gt;"✓")),"")</f>
        <v/>
      </c>
      <c r="AZ1420" s="21" t="str">
        <f>IF(AND($AM1420&lt;&gt;"",$AS1420="✓"),SUMPRODUCT(($AM$11:$AM1420&lt;&gt;"")*($AS$11:$AS1420="✓")),"")</f>
        <v/>
      </c>
      <c r="BA1420" s="21" t="str">
        <f>IF($AL1420="","",$AL1420&amp;"|"&amp;COUNTIF($AL$11:$AL1420,$AL1420))</f>
        <v/>
      </c>
    </row>
    <row r="1421" spans="38:53" ht="15" customHeight="1" x14ac:dyDescent="0.25">
      <c r="AL1421" s="17"/>
      <c r="AM1421" s="12"/>
      <c r="AN1421" s="18"/>
      <c r="AO1421" s="18"/>
      <c r="AP1421" s="10"/>
      <c r="AQ1421" s="10"/>
      <c r="AR1421" s="19"/>
      <c r="AS1421" s="20"/>
      <c r="AT1421" s="19"/>
      <c r="AV1421" s="21">
        <f>IF(AND($AL1421&lt;&gt;"",COUNTIF($AL$11:$AL1421,$AL1421)=1),1,0)</f>
        <v>0</v>
      </c>
      <c r="AW1421" s="21">
        <f t="shared" si="131"/>
        <v>2</v>
      </c>
      <c r="AX1421" s="21" t="str">
        <f t="shared" si="130"/>
        <v/>
      </c>
      <c r="AY1421" s="21" t="str">
        <f>IF(AND($AM1421&lt;&gt;"",$AS1421&lt;&gt;"✓"),SUMPRODUCT(($AM$11:$AM1421&lt;&gt;"")*($AS$11:$AS1421&lt;&gt;"✓")),"")</f>
        <v/>
      </c>
      <c r="AZ1421" s="21" t="str">
        <f>IF(AND($AM1421&lt;&gt;"",$AS1421="✓"),SUMPRODUCT(($AM$11:$AM1421&lt;&gt;"")*($AS$11:$AS1421="✓")),"")</f>
        <v/>
      </c>
      <c r="BA1421" s="21" t="str">
        <f>IF($AL1421="","",$AL1421&amp;"|"&amp;COUNTIF($AL$11:$AL1421,$AL1421))</f>
        <v/>
      </c>
    </row>
    <row r="1422" spans="38:53" ht="15" customHeight="1" x14ac:dyDescent="0.25">
      <c r="AL1422" s="31"/>
      <c r="AM1422" s="26"/>
      <c r="AN1422" s="32"/>
      <c r="AO1422" s="32"/>
      <c r="AP1422" s="24"/>
      <c r="AQ1422" s="24"/>
      <c r="AR1422" s="33"/>
      <c r="AS1422" s="34"/>
      <c r="AT1422" s="33"/>
      <c r="AV1422" s="21">
        <f>IF(AND($AL1422&lt;&gt;"",COUNTIF($AL$11:$AL1422,$AL1422)=1),1,0)</f>
        <v>0</v>
      </c>
      <c r="AW1422" s="21">
        <f t="shared" si="131"/>
        <v>2</v>
      </c>
      <c r="AX1422" s="21" t="str">
        <f t="shared" si="130"/>
        <v/>
      </c>
      <c r="AY1422" s="21" t="str">
        <f>IF(AND($AM1422&lt;&gt;"",$AS1422&lt;&gt;"✓"),SUMPRODUCT(($AM$11:$AM1422&lt;&gt;"")*($AS$11:$AS1422&lt;&gt;"✓")),"")</f>
        <v/>
      </c>
      <c r="AZ1422" s="21" t="str">
        <f>IF(AND($AM1422&lt;&gt;"",$AS1422="✓"),SUMPRODUCT(($AM$11:$AM1422&lt;&gt;"")*($AS$11:$AS1422="✓")),"")</f>
        <v/>
      </c>
      <c r="BA1422" s="21" t="str">
        <f>IF($AL1422="","",$AL1422&amp;"|"&amp;COUNTIF($AL$11:$AL1422,$AL1422))</f>
        <v/>
      </c>
    </row>
    <row r="1423" spans="38:53" ht="15" customHeight="1" x14ac:dyDescent="0.25">
      <c r="AL1423" s="17"/>
      <c r="AM1423" s="12"/>
      <c r="AN1423" s="18"/>
      <c r="AO1423" s="18"/>
      <c r="AP1423" s="10"/>
      <c r="AQ1423" s="10"/>
      <c r="AR1423" s="19"/>
      <c r="AS1423" s="20"/>
      <c r="AT1423" s="19"/>
      <c r="AV1423" s="21">
        <f>IF(AND($AL1423&lt;&gt;"",COUNTIF($AL$11:$AL1423,$AL1423)=1),1,0)</f>
        <v>0</v>
      </c>
      <c r="AW1423" s="21">
        <f t="shared" si="131"/>
        <v>2</v>
      </c>
      <c r="AX1423" s="21" t="str">
        <f t="shared" si="130"/>
        <v/>
      </c>
      <c r="AY1423" s="21" t="str">
        <f>IF(AND($AM1423&lt;&gt;"",$AS1423&lt;&gt;"✓"),SUMPRODUCT(($AM$11:$AM1423&lt;&gt;"")*($AS$11:$AS1423&lt;&gt;"✓")),"")</f>
        <v/>
      </c>
      <c r="AZ1423" s="21" t="str">
        <f>IF(AND($AM1423&lt;&gt;"",$AS1423="✓"),SUMPRODUCT(($AM$11:$AM1423&lt;&gt;"")*($AS$11:$AS1423="✓")),"")</f>
        <v/>
      </c>
      <c r="BA1423" s="21" t="str">
        <f>IF($AL1423="","",$AL1423&amp;"|"&amp;COUNTIF($AL$11:$AL1423,$AL1423))</f>
        <v/>
      </c>
    </row>
    <row r="1424" spans="38:53" ht="15" customHeight="1" x14ac:dyDescent="0.25">
      <c r="AL1424" s="31"/>
      <c r="AM1424" s="26"/>
      <c r="AN1424" s="32"/>
      <c r="AO1424" s="32"/>
      <c r="AP1424" s="24"/>
      <c r="AQ1424" s="24"/>
      <c r="AR1424" s="33"/>
      <c r="AS1424" s="34"/>
      <c r="AT1424" s="33"/>
      <c r="AV1424" s="21">
        <f>IF(AND($AL1424&lt;&gt;"",COUNTIF($AL$11:$AL1424,$AL1424)=1),1,0)</f>
        <v>0</v>
      </c>
      <c r="AW1424" s="21">
        <f t="shared" si="131"/>
        <v>2</v>
      </c>
      <c r="AX1424" s="21" t="str">
        <f t="shared" si="130"/>
        <v/>
      </c>
      <c r="AY1424" s="21" t="str">
        <f>IF(AND($AM1424&lt;&gt;"",$AS1424&lt;&gt;"✓"),SUMPRODUCT(($AM$11:$AM1424&lt;&gt;"")*($AS$11:$AS1424&lt;&gt;"✓")),"")</f>
        <v/>
      </c>
      <c r="AZ1424" s="21" t="str">
        <f>IF(AND($AM1424&lt;&gt;"",$AS1424="✓"),SUMPRODUCT(($AM$11:$AM1424&lt;&gt;"")*($AS$11:$AS1424="✓")),"")</f>
        <v/>
      </c>
      <c r="BA1424" s="21" t="str">
        <f>IF($AL1424="","",$AL1424&amp;"|"&amp;COUNTIF($AL$11:$AL1424,$AL1424))</f>
        <v/>
      </c>
    </row>
    <row r="1425" spans="38:53" ht="15" customHeight="1" x14ac:dyDescent="0.25">
      <c r="AL1425" s="17"/>
      <c r="AM1425" s="12"/>
      <c r="AN1425" s="18"/>
      <c r="AO1425" s="18"/>
      <c r="AP1425" s="10"/>
      <c r="AQ1425" s="10"/>
      <c r="AR1425" s="19"/>
      <c r="AS1425" s="20"/>
      <c r="AT1425" s="19"/>
      <c r="AV1425" s="21">
        <f>IF(AND($AL1425&lt;&gt;"",COUNTIF($AL$11:$AL1425,$AL1425)=1),1,0)</f>
        <v>0</v>
      </c>
      <c r="AW1425" s="21">
        <f t="shared" si="131"/>
        <v>2</v>
      </c>
      <c r="AX1425" s="21" t="str">
        <f t="shared" si="130"/>
        <v/>
      </c>
      <c r="AY1425" s="21" t="str">
        <f>IF(AND($AM1425&lt;&gt;"",$AS1425&lt;&gt;"✓"),SUMPRODUCT(($AM$11:$AM1425&lt;&gt;"")*($AS$11:$AS1425&lt;&gt;"✓")),"")</f>
        <v/>
      </c>
      <c r="AZ1425" s="21" t="str">
        <f>IF(AND($AM1425&lt;&gt;"",$AS1425="✓"),SUMPRODUCT(($AM$11:$AM1425&lt;&gt;"")*($AS$11:$AS1425="✓")),"")</f>
        <v/>
      </c>
      <c r="BA1425" s="21" t="str">
        <f>IF($AL1425="","",$AL1425&amp;"|"&amp;COUNTIF($AL$11:$AL1425,$AL1425))</f>
        <v/>
      </c>
    </row>
    <row r="1426" spans="38:53" ht="15" customHeight="1" x14ac:dyDescent="0.25">
      <c r="AL1426" s="31"/>
      <c r="AM1426" s="26"/>
      <c r="AN1426" s="32"/>
      <c r="AO1426" s="32"/>
      <c r="AP1426" s="24"/>
      <c r="AQ1426" s="24"/>
      <c r="AR1426" s="33"/>
      <c r="AS1426" s="34"/>
      <c r="AT1426" s="33"/>
      <c r="AV1426" s="21">
        <f>IF(AND($AL1426&lt;&gt;"",COUNTIF($AL$11:$AL1426,$AL1426)=1),1,0)</f>
        <v>0</v>
      </c>
      <c r="AW1426" s="21">
        <f t="shared" si="131"/>
        <v>2</v>
      </c>
      <c r="AX1426" s="21" t="str">
        <f t="shared" si="130"/>
        <v/>
      </c>
      <c r="AY1426" s="21" t="str">
        <f>IF(AND($AM1426&lt;&gt;"",$AS1426&lt;&gt;"✓"),SUMPRODUCT(($AM$11:$AM1426&lt;&gt;"")*($AS$11:$AS1426&lt;&gt;"✓")),"")</f>
        <v/>
      </c>
      <c r="AZ1426" s="21" t="str">
        <f>IF(AND($AM1426&lt;&gt;"",$AS1426="✓"),SUMPRODUCT(($AM$11:$AM1426&lt;&gt;"")*($AS$11:$AS1426="✓")),"")</f>
        <v/>
      </c>
      <c r="BA1426" s="21" t="str">
        <f>IF($AL1426="","",$AL1426&amp;"|"&amp;COUNTIF($AL$11:$AL1426,$AL1426))</f>
        <v/>
      </c>
    </row>
    <row r="1427" spans="38:53" ht="15" customHeight="1" x14ac:dyDescent="0.25">
      <c r="AL1427" s="17"/>
      <c r="AM1427" s="12"/>
      <c r="AN1427" s="18"/>
      <c r="AO1427" s="18"/>
      <c r="AP1427" s="10"/>
      <c r="AQ1427" s="10"/>
      <c r="AR1427" s="19"/>
      <c r="AS1427" s="20"/>
      <c r="AT1427" s="19"/>
      <c r="AV1427" s="21">
        <f>IF(AND($AL1427&lt;&gt;"",COUNTIF($AL$11:$AL1427,$AL1427)=1),1,0)</f>
        <v>0</v>
      </c>
      <c r="AW1427" s="21">
        <f t="shared" si="131"/>
        <v>2</v>
      </c>
      <c r="AX1427" s="21" t="str">
        <f t="shared" si="130"/>
        <v/>
      </c>
      <c r="AY1427" s="21" t="str">
        <f>IF(AND($AM1427&lt;&gt;"",$AS1427&lt;&gt;"✓"),SUMPRODUCT(($AM$11:$AM1427&lt;&gt;"")*($AS$11:$AS1427&lt;&gt;"✓")),"")</f>
        <v/>
      </c>
      <c r="AZ1427" s="21" t="str">
        <f>IF(AND($AM1427&lt;&gt;"",$AS1427="✓"),SUMPRODUCT(($AM$11:$AM1427&lt;&gt;"")*($AS$11:$AS1427="✓")),"")</f>
        <v/>
      </c>
      <c r="BA1427" s="21" t="str">
        <f>IF($AL1427="","",$AL1427&amp;"|"&amp;COUNTIF($AL$11:$AL1427,$AL1427))</f>
        <v/>
      </c>
    </row>
    <row r="1428" spans="38:53" ht="15" customHeight="1" x14ac:dyDescent="0.25">
      <c r="AL1428" s="31"/>
      <c r="AM1428" s="26"/>
      <c r="AN1428" s="32"/>
      <c r="AO1428" s="32"/>
      <c r="AP1428" s="24"/>
      <c r="AQ1428" s="24"/>
      <c r="AR1428" s="33"/>
      <c r="AS1428" s="34"/>
      <c r="AT1428" s="33"/>
      <c r="AV1428" s="21">
        <f>IF(AND($AL1428&lt;&gt;"",COUNTIF($AL$11:$AL1428,$AL1428)=1),1,0)</f>
        <v>0</v>
      </c>
      <c r="AW1428" s="21">
        <f t="shared" si="131"/>
        <v>2</v>
      </c>
      <c r="AX1428" s="21" t="str">
        <f t="shared" si="130"/>
        <v/>
      </c>
      <c r="AY1428" s="21" t="str">
        <f>IF(AND($AM1428&lt;&gt;"",$AS1428&lt;&gt;"✓"),SUMPRODUCT(($AM$11:$AM1428&lt;&gt;"")*($AS$11:$AS1428&lt;&gt;"✓")),"")</f>
        <v/>
      </c>
      <c r="AZ1428" s="21" t="str">
        <f>IF(AND($AM1428&lt;&gt;"",$AS1428="✓"),SUMPRODUCT(($AM$11:$AM1428&lt;&gt;"")*($AS$11:$AS1428="✓")),"")</f>
        <v/>
      </c>
      <c r="BA1428" s="21" t="str">
        <f>IF($AL1428="","",$AL1428&amp;"|"&amp;COUNTIF($AL$11:$AL1428,$AL1428))</f>
        <v/>
      </c>
    </row>
    <row r="1429" spans="38:53" ht="15" customHeight="1" x14ac:dyDescent="0.25">
      <c r="AL1429" s="17"/>
      <c r="AM1429" s="12"/>
      <c r="AN1429" s="18"/>
      <c r="AO1429" s="18"/>
      <c r="AP1429" s="10"/>
      <c r="AQ1429" s="10"/>
      <c r="AR1429" s="19"/>
      <c r="AS1429" s="20"/>
      <c r="AT1429" s="19"/>
      <c r="AV1429" s="21">
        <f>IF(AND($AL1429&lt;&gt;"",COUNTIF($AL$11:$AL1429,$AL1429)=1),1,0)</f>
        <v>0</v>
      </c>
      <c r="AW1429" s="21">
        <f t="shared" si="131"/>
        <v>2</v>
      </c>
      <c r="AX1429" s="21" t="str">
        <f t="shared" si="130"/>
        <v/>
      </c>
      <c r="AY1429" s="21" t="str">
        <f>IF(AND($AM1429&lt;&gt;"",$AS1429&lt;&gt;"✓"),SUMPRODUCT(($AM$11:$AM1429&lt;&gt;"")*($AS$11:$AS1429&lt;&gt;"✓")),"")</f>
        <v/>
      </c>
      <c r="AZ1429" s="21" t="str">
        <f>IF(AND($AM1429&lt;&gt;"",$AS1429="✓"),SUMPRODUCT(($AM$11:$AM1429&lt;&gt;"")*($AS$11:$AS1429="✓")),"")</f>
        <v/>
      </c>
      <c r="BA1429" s="21" t="str">
        <f>IF($AL1429="","",$AL1429&amp;"|"&amp;COUNTIF($AL$11:$AL1429,$AL1429))</f>
        <v/>
      </c>
    </row>
    <row r="1430" spans="38:53" ht="15" customHeight="1" x14ac:dyDescent="0.25">
      <c r="AL1430" s="31"/>
      <c r="AM1430" s="26"/>
      <c r="AN1430" s="32"/>
      <c r="AO1430" s="32"/>
      <c r="AP1430" s="24"/>
      <c r="AQ1430" s="24"/>
      <c r="AR1430" s="33"/>
      <c r="AS1430" s="34"/>
      <c r="AT1430" s="33"/>
      <c r="AV1430" s="21">
        <f>IF(AND($AL1430&lt;&gt;"",COUNTIF($AL$11:$AL1430,$AL1430)=1),1,0)</f>
        <v>0</v>
      </c>
      <c r="AW1430" s="21">
        <f t="shared" si="131"/>
        <v>2</v>
      </c>
      <c r="AX1430" s="21" t="str">
        <f t="shared" si="130"/>
        <v/>
      </c>
      <c r="AY1430" s="21" t="str">
        <f>IF(AND($AM1430&lt;&gt;"",$AS1430&lt;&gt;"✓"),SUMPRODUCT(($AM$11:$AM1430&lt;&gt;"")*($AS$11:$AS1430&lt;&gt;"✓")),"")</f>
        <v/>
      </c>
      <c r="AZ1430" s="21" t="str">
        <f>IF(AND($AM1430&lt;&gt;"",$AS1430="✓"),SUMPRODUCT(($AM$11:$AM1430&lt;&gt;"")*($AS$11:$AS1430="✓")),"")</f>
        <v/>
      </c>
      <c r="BA1430" s="21" t="str">
        <f>IF($AL1430="","",$AL1430&amp;"|"&amp;COUNTIF($AL$11:$AL1430,$AL1430))</f>
        <v/>
      </c>
    </row>
    <row r="1431" spans="38:53" ht="15" customHeight="1" x14ac:dyDescent="0.25">
      <c r="AL1431" s="17"/>
      <c r="AM1431" s="12"/>
      <c r="AN1431" s="18"/>
      <c r="AO1431" s="18"/>
      <c r="AP1431" s="10"/>
      <c r="AQ1431" s="10"/>
      <c r="AR1431" s="19"/>
      <c r="AS1431" s="20"/>
      <c r="AT1431" s="19"/>
      <c r="AV1431" s="21">
        <f>IF(AND($AL1431&lt;&gt;"",COUNTIF($AL$11:$AL1431,$AL1431)=1),1,0)</f>
        <v>0</v>
      </c>
      <c r="AW1431" s="21">
        <f t="shared" si="131"/>
        <v>2</v>
      </c>
      <c r="AX1431" s="21" t="str">
        <f t="shared" si="130"/>
        <v/>
      </c>
      <c r="AY1431" s="21" t="str">
        <f>IF(AND($AM1431&lt;&gt;"",$AS1431&lt;&gt;"✓"),SUMPRODUCT(($AM$11:$AM1431&lt;&gt;"")*($AS$11:$AS1431&lt;&gt;"✓")),"")</f>
        <v/>
      </c>
      <c r="AZ1431" s="21" t="str">
        <f>IF(AND($AM1431&lt;&gt;"",$AS1431="✓"),SUMPRODUCT(($AM$11:$AM1431&lt;&gt;"")*($AS$11:$AS1431="✓")),"")</f>
        <v/>
      </c>
      <c r="BA1431" s="21" t="str">
        <f>IF($AL1431="","",$AL1431&amp;"|"&amp;COUNTIF($AL$11:$AL1431,$AL1431))</f>
        <v/>
      </c>
    </row>
    <row r="1432" spans="38:53" ht="15" customHeight="1" x14ac:dyDescent="0.25">
      <c r="AL1432" s="31"/>
      <c r="AM1432" s="26"/>
      <c r="AN1432" s="32"/>
      <c r="AO1432" s="32"/>
      <c r="AP1432" s="24"/>
      <c r="AQ1432" s="24"/>
      <c r="AR1432" s="33"/>
      <c r="AS1432" s="34"/>
      <c r="AT1432" s="33"/>
      <c r="AV1432" s="21">
        <f>IF(AND($AL1432&lt;&gt;"",COUNTIF($AL$11:$AL1432,$AL1432)=1),1,0)</f>
        <v>0</v>
      </c>
      <c r="AW1432" s="21">
        <f t="shared" si="131"/>
        <v>2</v>
      </c>
      <c r="AX1432" s="21" t="str">
        <f t="shared" si="130"/>
        <v/>
      </c>
      <c r="AY1432" s="21" t="str">
        <f>IF(AND($AM1432&lt;&gt;"",$AS1432&lt;&gt;"✓"),SUMPRODUCT(($AM$11:$AM1432&lt;&gt;"")*($AS$11:$AS1432&lt;&gt;"✓")),"")</f>
        <v/>
      </c>
      <c r="AZ1432" s="21" t="str">
        <f>IF(AND($AM1432&lt;&gt;"",$AS1432="✓"),SUMPRODUCT(($AM$11:$AM1432&lt;&gt;"")*($AS$11:$AS1432="✓")),"")</f>
        <v/>
      </c>
      <c r="BA1432" s="21" t="str">
        <f>IF($AL1432="","",$AL1432&amp;"|"&amp;COUNTIF($AL$11:$AL1432,$AL1432))</f>
        <v/>
      </c>
    </row>
    <row r="1433" spans="38:53" ht="15" customHeight="1" x14ac:dyDescent="0.25">
      <c r="AL1433" s="17"/>
      <c r="AM1433" s="12"/>
      <c r="AN1433" s="18"/>
      <c r="AO1433" s="18"/>
      <c r="AP1433" s="10"/>
      <c r="AQ1433" s="10"/>
      <c r="AR1433" s="19"/>
      <c r="AS1433" s="20"/>
      <c r="AT1433" s="19"/>
      <c r="AV1433" s="21">
        <f>IF(AND($AL1433&lt;&gt;"",COUNTIF($AL$11:$AL1433,$AL1433)=1),1,0)</f>
        <v>0</v>
      </c>
      <c r="AW1433" s="21">
        <f t="shared" si="131"/>
        <v>2</v>
      </c>
      <c r="AX1433" s="21" t="str">
        <f t="shared" si="130"/>
        <v/>
      </c>
      <c r="AY1433" s="21" t="str">
        <f>IF(AND($AM1433&lt;&gt;"",$AS1433&lt;&gt;"✓"),SUMPRODUCT(($AM$11:$AM1433&lt;&gt;"")*($AS$11:$AS1433&lt;&gt;"✓")),"")</f>
        <v/>
      </c>
      <c r="AZ1433" s="21" t="str">
        <f>IF(AND($AM1433&lt;&gt;"",$AS1433="✓"),SUMPRODUCT(($AM$11:$AM1433&lt;&gt;"")*($AS$11:$AS1433="✓")),"")</f>
        <v/>
      </c>
      <c r="BA1433" s="21" t="str">
        <f>IF($AL1433="","",$AL1433&amp;"|"&amp;COUNTIF($AL$11:$AL1433,$AL1433))</f>
        <v/>
      </c>
    </row>
    <row r="1434" spans="38:53" ht="15" customHeight="1" x14ac:dyDescent="0.25">
      <c r="AL1434" s="31"/>
      <c r="AM1434" s="26"/>
      <c r="AN1434" s="32"/>
      <c r="AO1434" s="32"/>
      <c r="AP1434" s="24"/>
      <c r="AQ1434" s="24"/>
      <c r="AR1434" s="33"/>
      <c r="AS1434" s="34"/>
      <c r="AT1434" s="33"/>
      <c r="AV1434" s="21">
        <f>IF(AND($AL1434&lt;&gt;"",COUNTIF($AL$11:$AL1434,$AL1434)=1),1,0)</f>
        <v>0</v>
      </c>
      <c r="AW1434" s="21">
        <f t="shared" si="131"/>
        <v>2</v>
      </c>
      <c r="AX1434" s="21" t="str">
        <f t="shared" si="130"/>
        <v/>
      </c>
      <c r="AY1434" s="21" t="str">
        <f>IF(AND($AM1434&lt;&gt;"",$AS1434&lt;&gt;"✓"),SUMPRODUCT(($AM$11:$AM1434&lt;&gt;"")*($AS$11:$AS1434&lt;&gt;"✓")),"")</f>
        <v/>
      </c>
      <c r="AZ1434" s="21" t="str">
        <f>IF(AND($AM1434&lt;&gt;"",$AS1434="✓"),SUMPRODUCT(($AM$11:$AM1434&lt;&gt;"")*($AS$11:$AS1434="✓")),"")</f>
        <v/>
      </c>
      <c r="BA1434" s="21" t="str">
        <f>IF($AL1434="","",$AL1434&amp;"|"&amp;COUNTIF($AL$11:$AL1434,$AL1434))</f>
        <v/>
      </c>
    </row>
    <row r="1435" spans="38:53" ht="15" customHeight="1" x14ac:dyDescent="0.25">
      <c r="AL1435" s="17"/>
      <c r="AM1435" s="12"/>
      <c r="AN1435" s="18"/>
      <c r="AO1435" s="18"/>
      <c r="AP1435" s="10"/>
      <c r="AQ1435" s="10"/>
      <c r="AR1435" s="19"/>
      <c r="AS1435" s="20"/>
      <c r="AT1435" s="19"/>
      <c r="AV1435" s="21">
        <f>IF(AND($AL1435&lt;&gt;"",COUNTIF($AL$11:$AL1435,$AL1435)=1),1,0)</f>
        <v>0</v>
      </c>
      <c r="AW1435" s="21">
        <f t="shared" si="131"/>
        <v>2</v>
      </c>
      <c r="AX1435" s="21" t="str">
        <f t="shared" si="130"/>
        <v/>
      </c>
      <c r="AY1435" s="21" t="str">
        <f>IF(AND($AM1435&lt;&gt;"",$AS1435&lt;&gt;"✓"),SUMPRODUCT(($AM$11:$AM1435&lt;&gt;"")*($AS$11:$AS1435&lt;&gt;"✓")),"")</f>
        <v/>
      </c>
      <c r="AZ1435" s="21" t="str">
        <f>IF(AND($AM1435&lt;&gt;"",$AS1435="✓"),SUMPRODUCT(($AM$11:$AM1435&lt;&gt;"")*($AS$11:$AS1435="✓")),"")</f>
        <v/>
      </c>
      <c r="BA1435" s="21" t="str">
        <f>IF($AL1435="","",$AL1435&amp;"|"&amp;COUNTIF($AL$11:$AL1435,$AL1435))</f>
        <v/>
      </c>
    </row>
    <row r="1436" spans="38:53" ht="15" customHeight="1" x14ac:dyDescent="0.25">
      <c r="AL1436" s="31"/>
      <c r="AM1436" s="26"/>
      <c r="AN1436" s="32"/>
      <c r="AO1436" s="32"/>
      <c r="AP1436" s="24"/>
      <c r="AQ1436" s="24"/>
      <c r="AR1436" s="33"/>
      <c r="AS1436" s="34"/>
      <c r="AT1436" s="33"/>
      <c r="AV1436" s="21">
        <f>IF(AND($AL1436&lt;&gt;"",COUNTIF($AL$11:$AL1436,$AL1436)=1),1,0)</f>
        <v>0</v>
      </c>
      <c r="AW1436" s="21">
        <f t="shared" si="131"/>
        <v>2</v>
      </c>
      <c r="AX1436" s="21" t="str">
        <f t="shared" si="130"/>
        <v/>
      </c>
      <c r="AY1436" s="21" t="str">
        <f>IF(AND($AM1436&lt;&gt;"",$AS1436&lt;&gt;"✓"),SUMPRODUCT(($AM$11:$AM1436&lt;&gt;"")*($AS$11:$AS1436&lt;&gt;"✓")),"")</f>
        <v/>
      </c>
      <c r="AZ1436" s="21" t="str">
        <f>IF(AND($AM1436&lt;&gt;"",$AS1436="✓"),SUMPRODUCT(($AM$11:$AM1436&lt;&gt;"")*($AS$11:$AS1436="✓")),"")</f>
        <v/>
      </c>
      <c r="BA1436" s="21" t="str">
        <f>IF($AL1436="","",$AL1436&amp;"|"&amp;COUNTIF($AL$11:$AL1436,$AL1436))</f>
        <v/>
      </c>
    </row>
    <row r="1437" spans="38:53" ht="15" customHeight="1" x14ac:dyDescent="0.25">
      <c r="AL1437" s="17"/>
      <c r="AM1437" s="12"/>
      <c r="AN1437" s="18"/>
      <c r="AO1437" s="18"/>
      <c r="AP1437" s="10"/>
      <c r="AQ1437" s="10"/>
      <c r="AR1437" s="19"/>
      <c r="AS1437" s="20"/>
      <c r="AT1437" s="19"/>
      <c r="AV1437" s="21">
        <f>IF(AND($AL1437&lt;&gt;"",COUNTIF($AL$11:$AL1437,$AL1437)=1),1,0)</f>
        <v>0</v>
      </c>
      <c r="AW1437" s="21">
        <f t="shared" si="131"/>
        <v>2</v>
      </c>
      <c r="AX1437" s="21" t="str">
        <f t="shared" si="130"/>
        <v/>
      </c>
      <c r="AY1437" s="21" t="str">
        <f>IF(AND($AM1437&lt;&gt;"",$AS1437&lt;&gt;"✓"),SUMPRODUCT(($AM$11:$AM1437&lt;&gt;"")*($AS$11:$AS1437&lt;&gt;"✓")),"")</f>
        <v/>
      </c>
      <c r="AZ1437" s="21" t="str">
        <f>IF(AND($AM1437&lt;&gt;"",$AS1437="✓"),SUMPRODUCT(($AM$11:$AM1437&lt;&gt;"")*($AS$11:$AS1437="✓")),"")</f>
        <v/>
      </c>
      <c r="BA1437" s="21" t="str">
        <f>IF($AL1437="","",$AL1437&amp;"|"&amp;COUNTIF($AL$11:$AL1437,$AL1437))</f>
        <v/>
      </c>
    </row>
    <row r="1438" spans="38:53" ht="15" customHeight="1" x14ac:dyDescent="0.25">
      <c r="AL1438" s="31"/>
      <c r="AM1438" s="26"/>
      <c r="AN1438" s="32"/>
      <c r="AO1438" s="32"/>
      <c r="AP1438" s="24"/>
      <c r="AQ1438" s="24"/>
      <c r="AR1438" s="33"/>
      <c r="AS1438" s="34"/>
      <c r="AT1438" s="33"/>
      <c r="AV1438" s="21">
        <f>IF(AND($AL1438&lt;&gt;"",COUNTIF($AL$11:$AL1438,$AL1438)=1),1,0)</f>
        <v>0</v>
      </c>
      <c r="AW1438" s="21">
        <f t="shared" si="131"/>
        <v>2</v>
      </c>
      <c r="AX1438" s="21" t="str">
        <f t="shared" si="130"/>
        <v/>
      </c>
      <c r="AY1438" s="21" t="str">
        <f>IF(AND($AM1438&lt;&gt;"",$AS1438&lt;&gt;"✓"),SUMPRODUCT(($AM$11:$AM1438&lt;&gt;"")*($AS$11:$AS1438&lt;&gt;"✓")),"")</f>
        <v/>
      </c>
      <c r="AZ1438" s="21" t="str">
        <f>IF(AND($AM1438&lt;&gt;"",$AS1438="✓"),SUMPRODUCT(($AM$11:$AM1438&lt;&gt;"")*($AS$11:$AS1438="✓")),"")</f>
        <v/>
      </c>
      <c r="BA1438" s="21" t="str">
        <f>IF($AL1438="","",$AL1438&amp;"|"&amp;COUNTIF($AL$11:$AL1438,$AL1438))</f>
        <v/>
      </c>
    </row>
    <row r="1439" spans="38:53" ht="15" customHeight="1" x14ac:dyDescent="0.25">
      <c r="AL1439" s="17"/>
      <c r="AM1439" s="12"/>
      <c r="AN1439" s="18"/>
      <c r="AO1439" s="18"/>
      <c r="AP1439" s="10"/>
      <c r="AQ1439" s="10"/>
      <c r="AR1439" s="19"/>
      <c r="AS1439" s="20"/>
      <c r="AT1439" s="19"/>
      <c r="AV1439" s="21">
        <f>IF(AND($AL1439&lt;&gt;"",COUNTIF($AL$11:$AL1439,$AL1439)=1),1,0)</f>
        <v>0</v>
      </c>
      <c r="AW1439" s="21">
        <f t="shared" si="131"/>
        <v>2</v>
      </c>
      <c r="AX1439" s="21" t="str">
        <f t="shared" si="130"/>
        <v/>
      </c>
      <c r="AY1439" s="21" t="str">
        <f>IF(AND($AM1439&lt;&gt;"",$AS1439&lt;&gt;"✓"),SUMPRODUCT(($AM$11:$AM1439&lt;&gt;"")*($AS$11:$AS1439&lt;&gt;"✓")),"")</f>
        <v/>
      </c>
      <c r="AZ1439" s="21" t="str">
        <f>IF(AND($AM1439&lt;&gt;"",$AS1439="✓"),SUMPRODUCT(($AM$11:$AM1439&lt;&gt;"")*($AS$11:$AS1439="✓")),"")</f>
        <v/>
      </c>
      <c r="BA1439" s="21" t="str">
        <f>IF($AL1439="","",$AL1439&amp;"|"&amp;COUNTIF($AL$11:$AL1439,$AL1439))</f>
        <v/>
      </c>
    </row>
    <row r="1440" spans="38:53" ht="15" customHeight="1" x14ac:dyDescent="0.25">
      <c r="AL1440" s="31"/>
      <c r="AM1440" s="26"/>
      <c r="AN1440" s="32"/>
      <c r="AO1440" s="32"/>
      <c r="AP1440" s="24"/>
      <c r="AQ1440" s="24"/>
      <c r="AR1440" s="33"/>
      <c r="AS1440" s="34"/>
      <c r="AT1440" s="33"/>
      <c r="AV1440" s="21">
        <f>IF(AND($AL1440&lt;&gt;"",COUNTIF($AL$11:$AL1440,$AL1440)=1),1,0)</f>
        <v>0</v>
      </c>
      <c r="AW1440" s="21">
        <f t="shared" si="131"/>
        <v>2</v>
      </c>
      <c r="AX1440" s="21" t="str">
        <f t="shared" si="130"/>
        <v/>
      </c>
      <c r="AY1440" s="21" t="str">
        <f>IF(AND($AM1440&lt;&gt;"",$AS1440&lt;&gt;"✓"),SUMPRODUCT(($AM$11:$AM1440&lt;&gt;"")*($AS$11:$AS1440&lt;&gt;"✓")),"")</f>
        <v/>
      </c>
      <c r="AZ1440" s="21" t="str">
        <f>IF(AND($AM1440&lt;&gt;"",$AS1440="✓"),SUMPRODUCT(($AM$11:$AM1440&lt;&gt;"")*($AS$11:$AS1440="✓")),"")</f>
        <v/>
      </c>
      <c r="BA1440" s="21" t="str">
        <f>IF($AL1440="","",$AL1440&amp;"|"&amp;COUNTIF($AL$11:$AL1440,$AL1440))</f>
        <v/>
      </c>
    </row>
    <row r="1441" spans="38:53" ht="15" customHeight="1" x14ac:dyDescent="0.25">
      <c r="AL1441" s="17"/>
      <c r="AM1441" s="12"/>
      <c r="AN1441" s="18"/>
      <c r="AO1441" s="18"/>
      <c r="AP1441" s="10"/>
      <c r="AQ1441" s="10"/>
      <c r="AR1441" s="19"/>
      <c r="AS1441" s="20"/>
      <c r="AT1441" s="19"/>
      <c r="AV1441" s="21">
        <f>IF(AND($AL1441&lt;&gt;"",COUNTIF($AL$11:$AL1441,$AL1441)=1),1,0)</f>
        <v>0</v>
      </c>
      <c r="AW1441" s="21">
        <f t="shared" si="131"/>
        <v>2</v>
      </c>
      <c r="AX1441" s="21" t="str">
        <f t="shared" si="130"/>
        <v/>
      </c>
      <c r="AY1441" s="21" t="str">
        <f>IF(AND($AM1441&lt;&gt;"",$AS1441&lt;&gt;"✓"),SUMPRODUCT(($AM$11:$AM1441&lt;&gt;"")*($AS$11:$AS1441&lt;&gt;"✓")),"")</f>
        <v/>
      </c>
      <c r="AZ1441" s="21" t="str">
        <f>IF(AND($AM1441&lt;&gt;"",$AS1441="✓"),SUMPRODUCT(($AM$11:$AM1441&lt;&gt;"")*($AS$11:$AS1441="✓")),"")</f>
        <v/>
      </c>
      <c r="BA1441" s="21" t="str">
        <f>IF($AL1441="","",$AL1441&amp;"|"&amp;COUNTIF($AL$11:$AL1441,$AL1441))</f>
        <v/>
      </c>
    </row>
    <row r="1442" spans="38:53" ht="15" customHeight="1" x14ac:dyDescent="0.25">
      <c r="AL1442" s="31"/>
      <c r="AM1442" s="26"/>
      <c r="AN1442" s="32"/>
      <c r="AO1442" s="32"/>
      <c r="AP1442" s="24"/>
      <c r="AQ1442" s="24"/>
      <c r="AR1442" s="33"/>
      <c r="AS1442" s="34"/>
      <c r="AT1442" s="33"/>
      <c r="AV1442" s="21">
        <f>IF(AND($AL1442&lt;&gt;"",COUNTIF($AL$11:$AL1442,$AL1442)=1),1,0)</f>
        <v>0</v>
      </c>
      <c r="AW1442" s="21">
        <f t="shared" si="131"/>
        <v>2</v>
      </c>
      <c r="AX1442" s="21" t="str">
        <f t="shared" si="130"/>
        <v/>
      </c>
      <c r="AY1442" s="21" t="str">
        <f>IF(AND($AM1442&lt;&gt;"",$AS1442&lt;&gt;"✓"),SUMPRODUCT(($AM$11:$AM1442&lt;&gt;"")*($AS$11:$AS1442&lt;&gt;"✓")),"")</f>
        <v/>
      </c>
      <c r="AZ1442" s="21" t="str">
        <f>IF(AND($AM1442&lt;&gt;"",$AS1442="✓"),SUMPRODUCT(($AM$11:$AM1442&lt;&gt;"")*($AS$11:$AS1442="✓")),"")</f>
        <v/>
      </c>
      <c r="BA1442" s="21" t="str">
        <f>IF($AL1442="","",$AL1442&amp;"|"&amp;COUNTIF($AL$11:$AL1442,$AL1442))</f>
        <v/>
      </c>
    </row>
    <row r="1443" spans="38:53" ht="15" customHeight="1" x14ac:dyDescent="0.25">
      <c r="AL1443" s="17"/>
      <c r="AM1443" s="12"/>
      <c r="AN1443" s="18"/>
      <c r="AO1443" s="18"/>
      <c r="AP1443" s="10"/>
      <c r="AQ1443" s="10"/>
      <c r="AR1443" s="19"/>
      <c r="AS1443" s="20"/>
      <c r="AT1443" s="19"/>
      <c r="AV1443" s="21">
        <f>IF(AND($AL1443&lt;&gt;"",COUNTIF($AL$11:$AL1443,$AL1443)=1),1,0)</f>
        <v>0</v>
      </c>
      <c r="AW1443" s="21">
        <f t="shared" si="131"/>
        <v>2</v>
      </c>
      <c r="AX1443" s="21" t="str">
        <f t="shared" si="130"/>
        <v/>
      </c>
      <c r="AY1443" s="21" t="str">
        <f>IF(AND($AM1443&lt;&gt;"",$AS1443&lt;&gt;"✓"),SUMPRODUCT(($AM$11:$AM1443&lt;&gt;"")*($AS$11:$AS1443&lt;&gt;"✓")),"")</f>
        <v/>
      </c>
      <c r="AZ1443" s="21" t="str">
        <f>IF(AND($AM1443&lt;&gt;"",$AS1443="✓"),SUMPRODUCT(($AM$11:$AM1443&lt;&gt;"")*($AS$11:$AS1443="✓")),"")</f>
        <v/>
      </c>
      <c r="BA1443" s="21" t="str">
        <f>IF($AL1443="","",$AL1443&amp;"|"&amp;COUNTIF($AL$11:$AL1443,$AL1443))</f>
        <v/>
      </c>
    </row>
    <row r="1444" spans="38:53" ht="15" customHeight="1" x14ac:dyDescent="0.25">
      <c r="AL1444" s="31"/>
      <c r="AM1444" s="26"/>
      <c r="AN1444" s="32"/>
      <c r="AO1444" s="32"/>
      <c r="AP1444" s="24"/>
      <c r="AQ1444" s="24"/>
      <c r="AR1444" s="33"/>
      <c r="AS1444" s="34"/>
      <c r="AT1444" s="33"/>
      <c r="AV1444" s="21">
        <f>IF(AND($AL1444&lt;&gt;"",COUNTIF($AL$11:$AL1444,$AL1444)=1),1,0)</f>
        <v>0</v>
      </c>
      <c r="AW1444" s="21">
        <f t="shared" si="131"/>
        <v>2</v>
      </c>
      <c r="AX1444" s="21" t="str">
        <f t="shared" si="130"/>
        <v/>
      </c>
      <c r="AY1444" s="21" t="str">
        <f>IF(AND($AM1444&lt;&gt;"",$AS1444&lt;&gt;"✓"),SUMPRODUCT(($AM$11:$AM1444&lt;&gt;"")*($AS$11:$AS1444&lt;&gt;"✓")),"")</f>
        <v/>
      </c>
      <c r="AZ1444" s="21" t="str">
        <f>IF(AND($AM1444&lt;&gt;"",$AS1444="✓"),SUMPRODUCT(($AM$11:$AM1444&lt;&gt;"")*($AS$11:$AS1444="✓")),"")</f>
        <v/>
      </c>
      <c r="BA1444" s="21" t="str">
        <f>IF($AL1444="","",$AL1444&amp;"|"&amp;COUNTIF($AL$11:$AL1444,$AL1444))</f>
        <v/>
      </c>
    </row>
    <row r="1445" spans="38:53" ht="15" customHeight="1" x14ac:dyDescent="0.25">
      <c r="AL1445" s="17"/>
      <c r="AM1445" s="12"/>
      <c r="AN1445" s="18"/>
      <c r="AO1445" s="18"/>
      <c r="AP1445" s="10"/>
      <c r="AQ1445" s="10"/>
      <c r="AR1445" s="19"/>
      <c r="AS1445" s="20"/>
      <c r="AT1445" s="19"/>
      <c r="AV1445" s="21">
        <f>IF(AND($AL1445&lt;&gt;"",COUNTIF($AL$11:$AL1445,$AL1445)=1),1,0)</f>
        <v>0</v>
      </c>
      <c r="AW1445" s="21">
        <f t="shared" si="131"/>
        <v>2</v>
      </c>
      <c r="AX1445" s="21" t="str">
        <f t="shared" si="130"/>
        <v/>
      </c>
      <c r="AY1445" s="21" t="str">
        <f>IF(AND($AM1445&lt;&gt;"",$AS1445&lt;&gt;"✓"),SUMPRODUCT(($AM$11:$AM1445&lt;&gt;"")*($AS$11:$AS1445&lt;&gt;"✓")),"")</f>
        <v/>
      </c>
      <c r="AZ1445" s="21" t="str">
        <f>IF(AND($AM1445&lt;&gt;"",$AS1445="✓"),SUMPRODUCT(($AM$11:$AM1445&lt;&gt;"")*($AS$11:$AS1445="✓")),"")</f>
        <v/>
      </c>
      <c r="BA1445" s="21" t="str">
        <f>IF($AL1445="","",$AL1445&amp;"|"&amp;COUNTIF($AL$11:$AL1445,$AL1445))</f>
        <v/>
      </c>
    </row>
    <row r="1446" spans="38:53" ht="15" customHeight="1" x14ac:dyDescent="0.25">
      <c r="AL1446" s="31"/>
      <c r="AM1446" s="26"/>
      <c r="AN1446" s="32"/>
      <c r="AO1446" s="32"/>
      <c r="AP1446" s="24"/>
      <c r="AQ1446" s="24"/>
      <c r="AR1446" s="33"/>
      <c r="AS1446" s="34"/>
      <c r="AT1446" s="33"/>
      <c r="AV1446" s="21">
        <f>IF(AND($AL1446&lt;&gt;"",COUNTIF($AL$11:$AL1446,$AL1446)=1),1,0)</f>
        <v>0</v>
      </c>
      <c r="AW1446" s="21">
        <f t="shared" si="131"/>
        <v>2</v>
      </c>
      <c r="AX1446" s="21" t="str">
        <f t="shared" si="130"/>
        <v/>
      </c>
      <c r="AY1446" s="21" t="str">
        <f>IF(AND($AM1446&lt;&gt;"",$AS1446&lt;&gt;"✓"),SUMPRODUCT(($AM$11:$AM1446&lt;&gt;"")*($AS$11:$AS1446&lt;&gt;"✓")),"")</f>
        <v/>
      </c>
      <c r="AZ1446" s="21" t="str">
        <f>IF(AND($AM1446&lt;&gt;"",$AS1446="✓"),SUMPRODUCT(($AM$11:$AM1446&lt;&gt;"")*($AS$11:$AS1446="✓")),"")</f>
        <v/>
      </c>
      <c r="BA1446" s="21" t="str">
        <f>IF($AL1446="","",$AL1446&amp;"|"&amp;COUNTIF($AL$11:$AL1446,$AL1446))</f>
        <v/>
      </c>
    </row>
    <row r="1447" spans="38:53" ht="15" customHeight="1" x14ac:dyDescent="0.25">
      <c r="AL1447" s="17"/>
      <c r="AM1447" s="12"/>
      <c r="AN1447" s="18"/>
      <c r="AO1447" s="18"/>
      <c r="AP1447" s="10"/>
      <c r="AQ1447" s="10"/>
      <c r="AR1447" s="19"/>
      <c r="AS1447" s="20"/>
      <c r="AT1447" s="19"/>
      <c r="AV1447" s="21">
        <f>IF(AND($AL1447&lt;&gt;"",COUNTIF($AL$11:$AL1447,$AL1447)=1),1,0)</f>
        <v>0</v>
      </c>
      <c r="AW1447" s="21">
        <f t="shared" si="131"/>
        <v>2</v>
      </c>
      <c r="AX1447" s="21" t="str">
        <f t="shared" si="130"/>
        <v/>
      </c>
      <c r="AY1447" s="21" t="str">
        <f>IF(AND($AM1447&lt;&gt;"",$AS1447&lt;&gt;"✓"),SUMPRODUCT(($AM$11:$AM1447&lt;&gt;"")*($AS$11:$AS1447&lt;&gt;"✓")),"")</f>
        <v/>
      </c>
      <c r="AZ1447" s="21" t="str">
        <f>IF(AND($AM1447&lt;&gt;"",$AS1447="✓"),SUMPRODUCT(($AM$11:$AM1447&lt;&gt;"")*($AS$11:$AS1447="✓")),"")</f>
        <v/>
      </c>
      <c r="BA1447" s="21" t="str">
        <f>IF($AL1447="","",$AL1447&amp;"|"&amp;COUNTIF($AL$11:$AL1447,$AL1447))</f>
        <v/>
      </c>
    </row>
    <row r="1448" spans="38:53" ht="15" customHeight="1" x14ac:dyDescent="0.25">
      <c r="AL1448" s="31"/>
      <c r="AM1448" s="26"/>
      <c r="AN1448" s="32"/>
      <c r="AO1448" s="32"/>
      <c r="AP1448" s="24"/>
      <c r="AQ1448" s="24"/>
      <c r="AR1448" s="33"/>
      <c r="AS1448" s="34"/>
      <c r="AT1448" s="33"/>
      <c r="AV1448" s="21">
        <f>IF(AND($AL1448&lt;&gt;"",COUNTIF($AL$11:$AL1448,$AL1448)=1),1,0)</f>
        <v>0</v>
      </c>
      <c r="AW1448" s="21">
        <f t="shared" si="131"/>
        <v>2</v>
      </c>
      <c r="AX1448" s="21" t="str">
        <f t="shared" si="130"/>
        <v/>
      </c>
      <c r="AY1448" s="21" t="str">
        <f>IF(AND($AM1448&lt;&gt;"",$AS1448&lt;&gt;"✓"),SUMPRODUCT(($AM$11:$AM1448&lt;&gt;"")*($AS$11:$AS1448&lt;&gt;"✓")),"")</f>
        <v/>
      </c>
      <c r="AZ1448" s="21" t="str">
        <f>IF(AND($AM1448&lt;&gt;"",$AS1448="✓"),SUMPRODUCT(($AM$11:$AM1448&lt;&gt;"")*($AS$11:$AS1448="✓")),"")</f>
        <v/>
      </c>
      <c r="BA1448" s="21" t="str">
        <f>IF($AL1448="","",$AL1448&amp;"|"&amp;COUNTIF($AL$11:$AL1448,$AL1448))</f>
        <v/>
      </c>
    </row>
    <row r="1449" spans="38:53" ht="15" customHeight="1" x14ac:dyDescent="0.25">
      <c r="AL1449" s="17"/>
      <c r="AM1449" s="12"/>
      <c r="AN1449" s="18"/>
      <c r="AO1449" s="18"/>
      <c r="AP1449" s="10"/>
      <c r="AQ1449" s="10"/>
      <c r="AR1449" s="19"/>
      <c r="AS1449" s="20"/>
      <c r="AT1449" s="19"/>
      <c r="AV1449" s="21">
        <f>IF(AND($AL1449&lt;&gt;"",COUNTIF($AL$11:$AL1449,$AL1449)=1),1,0)</f>
        <v>0</v>
      </c>
      <c r="AW1449" s="21">
        <f t="shared" si="131"/>
        <v>2</v>
      </c>
      <c r="AX1449" s="21" t="str">
        <f t="shared" si="130"/>
        <v/>
      </c>
      <c r="AY1449" s="21" t="str">
        <f>IF(AND($AM1449&lt;&gt;"",$AS1449&lt;&gt;"✓"),SUMPRODUCT(($AM$11:$AM1449&lt;&gt;"")*($AS$11:$AS1449&lt;&gt;"✓")),"")</f>
        <v/>
      </c>
      <c r="AZ1449" s="21" t="str">
        <f>IF(AND($AM1449&lt;&gt;"",$AS1449="✓"),SUMPRODUCT(($AM$11:$AM1449&lt;&gt;"")*($AS$11:$AS1449="✓")),"")</f>
        <v/>
      </c>
      <c r="BA1449" s="21" t="str">
        <f>IF($AL1449="","",$AL1449&amp;"|"&amp;COUNTIF($AL$11:$AL1449,$AL1449))</f>
        <v/>
      </c>
    </row>
    <row r="1450" spans="38:53" ht="15" customHeight="1" x14ac:dyDescent="0.25">
      <c r="AL1450" s="31"/>
      <c r="AM1450" s="26"/>
      <c r="AN1450" s="32"/>
      <c r="AO1450" s="32"/>
      <c r="AP1450" s="24"/>
      <c r="AQ1450" s="24"/>
      <c r="AR1450" s="33"/>
      <c r="AS1450" s="34"/>
      <c r="AT1450" s="33"/>
      <c r="AV1450" s="21">
        <f>IF(AND($AL1450&lt;&gt;"",COUNTIF($AL$11:$AL1450,$AL1450)=1),1,0)</f>
        <v>0</v>
      </c>
      <c r="AW1450" s="21">
        <f t="shared" si="131"/>
        <v>2</v>
      </c>
      <c r="AX1450" s="21" t="str">
        <f t="shared" si="130"/>
        <v/>
      </c>
      <c r="AY1450" s="21" t="str">
        <f>IF(AND($AM1450&lt;&gt;"",$AS1450&lt;&gt;"✓"),SUMPRODUCT(($AM$11:$AM1450&lt;&gt;"")*($AS$11:$AS1450&lt;&gt;"✓")),"")</f>
        <v/>
      </c>
      <c r="AZ1450" s="21" t="str">
        <f>IF(AND($AM1450&lt;&gt;"",$AS1450="✓"),SUMPRODUCT(($AM$11:$AM1450&lt;&gt;"")*($AS$11:$AS1450="✓")),"")</f>
        <v/>
      </c>
      <c r="BA1450" s="21" t="str">
        <f>IF($AL1450="","",$AL1450&amp;"|"&amp;COUNTIF($AL$11:$AL1450,$AL1450))</f>
        <v/>
      </c>
    </row>
    <row r="1451" spans="38:53" ht="15" customHeight="1" x14ac:dyDescent="0.25">
      <c r="AL1451" s="17"/>
      <c r="AM1451" s="12"/>
      <c r="AN1451" s="18"/>
      <c r="AO1451" s="18"/>
      <c r="AP1451" s="10"/>
      <c r="AQ1451" s="10"/>
      <c r="AR1451" s="19"/>
      <c r="AS1451" s="20"/>
      <c r="AT1451" s="19"/>
      <c r="AV1451" s="21">
        <f>IF(AND($AL1451&lt;&gt;"",COUNTIF($AL$11:$AL1451,$AL1451)=1),1,0)</f>
        <v>0</v>
      </c>
      <c r="AW1451" s="21">
        <f t="shared" si="131"/>
        <v>2</v>
      </c>
      <c r="AX1451" s="21" t="str">
        <f t="shared" si="130"/>
        <v/>
      </c>
      <c r="AY1451" s="21" t="str">
        <f>IF(AND($AM1451&lt;&gt;"",$AS1451&lt;&gt;"✓"),SUMPRODUCT(($AM$11:$AM1451&lt;&gt;"")*($AS$11:$AS1451&lt;&gt;"✓")),"")</f>
        <v/>
      </c>
      <c r="AZ1451" s="21" t="str">
        <f>IF(AND($AM1451&lt;&gt;"",$AS1451="✓"),SUMPRODUCT(($AM$11:$AM1451&lt;&gt;"")*($AS$11:$AS1451="✓")),"")</f>
        <v/>
      </c>
      <c r="BA1451" s="21" t="str">
        <f>IF($AL1451="","",$AL1451&amp;"|"&amp;COUNTIF($AL$11:$AL1451,$AL1451))</f>
        <v/>
      </c>
    </row>
    <row r="1452" spans="38:53" ht="15" customHeight="1" x14ac:dyDescent="0.25">
      <c r="AL1452" s="31"/>
      <c r="AM1452" s="26"/>
      <c r="AN1452" s="32"/>
      <c r="AO1452" s="32"/>
      <c r="AP1452" s="24"/>
      <c r="AQ1452" s="24"/>
      <c r="AR1452" s="33"/>
      <c r="AS1452" s="34"/>
      <c r="AT1452" s="33"/>
      <c r="AV1452" s="21">
        <f>IF(AND($AL1452&lt;&gt;"",COUNTIF($AL$11:$AL1452,$AL1452)=1),1,0)</f>
        <v>0</v>
      </c>
      <c r="AW1452" s="21">
        <f t="shared" si="131"/>
        <v>2</v>
      </c>
      <c r="AX1452" s="21" t="str">
        <f t="shared" si="130"/>
        <v/>
      </c>
      <c r="AY1452" s="21" t="str">
        <f>IF(AND($AM1452&lt;&gt;"",$AS1452&lt;&gt;"✓"),SUMPRODUCT(($AM$11:$AM1452&lt;&gt;"")*($AS$11:$AS1452&lt;&gt;"✓")),"")</f>
        <v/>
      </c>
      <c r="AZ1452" s="21" t="str">
        <f>IF(AND($AM1452&lt;&gt;"",$AS1452="✓"),SUMPRODUCT(($AM$11:$AM1452&lt;&gt;"")*($AS$11:$AS1452="✓")),"")</f>
        <v/>
      </c>
      <c r="BA1452" s="21" t="str">
        <f>IF($AL1452="","",$AL1452&amp;"|"&amp;COUNTIF($AL$11:$AL1452,$AL1452))</f>
        <v/>
      </c>
    </row>
    <row r="1453" spans="38:53" ht="15" customHeight="1" x14ac:dyDescent="0.25">
      <c r="AL1453" s="17"/>
      <c r="AM1453" s="12"/>
      <c r="AN1453" s="18"/>
      <c r="AO1453" s="18"/>
      <c r="AP1453" s="10"/>
      <c r="AQ1453" s="10"/>
      <c r="AR1453" s="19"/>
      <c r="AS1453" s="20"/>
      <c r="AT1453" s="19"/>
      <c r="AV1453" s="21">
        <f>IF(AND($AL1453&lt;&gt;"",COUNTIF($AL$11:$AL1453,$AL1453)=1),1,0)</f>
        <v>0</v>
      </c>
      <c r="AW1453" s="21">
        <f t="shared" si="131"/>
        <v>2</v>
      </c>
      <c r="AX1453" s="21" t="str">
        <f t="shared" si="130"/>
        <v/>
      </c>
      <c r="AY1453" s="21" t="str">
        <f>IF(AND($AM1453&lt;&gt;"",$AS1453&lt;&gt;"✓"),SUMPRODUCT(($AM$11:$AM1453&lt;&gt;"")*($AS$11:$AS1453&lt;&gt;"✓")),"")</f>
        <v/>
      </c>
      <c r="AZ1453" s="21" t="str">
        <f>IF(AND($AM1453&lt;&gt;"",$AS1453="✓"),SUMPRODUCT(($AM$11:$AM1453&lt;&gt;"")*($AS$11:$AS1453="✓")),"")</f>
        <v/>
      </c>
      <c r="BA1453" s="21" t="str">
        <f>IF($AL1453="","",$AL1453&amp;"|"&amp;COUNTIF($AL$11:$AL1453,$AL1453))</f>
        <v/>
      </c>
    </row>
    <row r="1454" spans="38:53" ht="15" customHeight="1" x14ac:dyDescent="0.25">
      <c r="AL1454" s="31"/>
      <c r="AM1454" s="26"/>
      <c r="AN1454" s="32"/>
      <c r="AO1454" s="32"/>
      <c r="AP1454" s="24"/>
      <c r="AQ1454" s="24"/>
      <c r="AR1454" s="33"/>
      <c r="AS1454" s="34"/>
      <c r="AT1454" s="33"/>
      <c r="AV1454" s="21">
        <f>IF(AND($AL1454&lt;&gt;"",COUNTIF($AL$11:$AL1454,$AL1454)=1),1,0)</f>
        <v>0</v>
      </c>
      <c r="AW1454" s="21">
        <f t="shared" si="131"/>
        <v>2</v>
      </c>
      <c r="AX1454" s="21" t="str">
        <f t="shared" si="130"/>
        <v/>
      </c>
      <c r="AY1454" s="21" t="str">
        <f>IF(AND($AM1454&lt;&gt;"",$AS1454&lt;&gt;"✓"),SUMPRODUCT(($AM$11:$AM1454&lt;&gt;"")*($AS$11:$AS1454&lt;&gt;"✓")),"")</f>
        <v/>
      </c>
      <c r="AZ1454" s="21" t="str">
        <f>IF(AND($AM1454&lt;&gt;"",$AS1454="✓"),SUMPRODUCT(($AM$11:$AM1454&lt;&gt;"")*($AS$11:$AS1454="✓")),"")</f>
        <v/>
      </c>
      <c r="BA1454" s="21" t="str">
        <f>IF($AL1454="","",$AL1454&amp;"|"&amp;COUNTIF($AL$11:$AL1454,$AL1454))</f>
        <v/>
      </c>
    </row>
    <row r="1455" spans="38:53" ht="15" customHeight="1" x14ac:dyDescent="0.25">
      <c r="AL1455" s="17"/>
      <c r="AM1455" s="12"/>
      <c r="AN1455" s="18"/>
      <c r="AO1455" s="18"/>
      <c r="AP1455" s="10"/>
      <c r="AQ1455" s="10"/>
      <c r="AR1455" s="19"/>
      <c r="AS1455" s="20"/>
      <c r="AT1455" s="19"/>
      <c r="AV1455" s="21">
        <f>IF(AND($AL1455&lt;&gt;"",COUNTIF($AL$11:$AL1455,$AL1455)=1),1,0)</f>
        <v>0</v>
      </c>
      <c r="AW1455" s="21">
        <f t="shared" si="131"/>
        <v>2</v>
      </c>
      <c r="AX1455" s="21" t="str">
        <f t="shared" si="130"/>
        <v/>
      </c>
      <c r="AY1455" s="21" t="str">
        <f>IF(AND($AM1455&lt;&gt;"",$AS1455&lt;&gt;"✓"),SUMPRODUCT(($AM$11:$AM1455&lt;&gt;"")*($AS$11:$AS1455&lt;&gt;"✓")),"")</f>
        <v/>
      </c>
      <c r="AZ1455" s="21" t="str">
        <f>IF(AND($AM1455&lt;&gt;"",$AS1455="✓"),SUMPRODUCT(($AM$11:$AM1455&lt;&gt;"")*($AS$11:$AS1455="✓")),"")</f>
        <v/>
      </c>
      <c r="BA1455" s="21" t="str">
        <f>IF($AL1455="","",$AL1455&amp;"|"&amp;COUNTIF($AL$11:$AL1455,$AL1455))</f>
        <v/>
      </c>
    </row>
    <row r="1456" spans="38:53" ht="15" customHeight="1" x14ac:dyDescent="0.25">
      <c r="AL1456" s="31"/>
      <c r="AM1456" s="26"/>
      <c r="AN1456" s="32"/>
      <c r="AO1456" s="32"/>
      <c r="AP1456" s="24"/>
      <c r="AQ1456" s="24"/>
      <c r="AR1456" s="33"/>
      <c r="AS1456" s="34"/>
      <c r="AT1456" s="33"/>
      <c r="AV1456" s="21">
        <f>IF(AND($AL1456&lt;&gt;"",COUNTIF($AL$11:$AL1456,$AL1456)=1),1,0)</f>
        <v>0</v>
      </c>
      <c r="AW1456" s="21">
        <f t="shared" si="131"/>
        <v>2</v>
      </c>
      <c r="AX1456" s="21" t="str">
        <f t="shared" si="130"/>
        <v/>
      </c>
      <c r="AY1456" s="21" t="str">
        <f>IF(AND($AM1456&lt;&gt;"",$AS1456&lt;&gt;"✓"),SUMPRODUCT(($AM$11:$AM1456&lt;&gt;"")*($AS$11:$AS1456&lt;&gt;"✓")),"")</f>
        <v/>
      </c>
      <c r="AZ1456" s="21" t="str">
        <f>IF(AND($AM1456&lt;&gt;"",$AS1456="✓"),SUMPRODUCT(($AM$11:$AM1456&lt;&gt;"")*($AS$11:$AS1456="✓")),"")</f>
        <v/>
      </c>
      <c r="BA1456" s="21" t="str">
        <f>IF($AL1456="","",$AL1456&amp;"|"&amp;COUNTIF($AL$11:$AL1456,$AL1456))</f>
        <v/>
      </c>
    </row>
    <row r="1457" spans="38:53" ht="15" customHeight="1" x14ac:dyDescent="0.25">
      <c r="AL1457" s="17"/>
      <c r="AM1457" s="12"/>
      <c r="AN1457" s="18"/>
      <c r="AO1457" s="18"/>
      <c r="AP1457" s="10"/>
      <c r="AQ1457" s="10"/>
      <c r="AR1457" s="19"/>
      <c r="AS1457" s="20"/>
      <c r="AT1457" s="19"/>
      <c r="AV1457" s="21">
        <f>IF(AND($AL1457&lt;&gt;"",COUNTIF($AL$11:$AL1457,$AL1457)=1),1,0)</f>
        <v>0</v>
      </c>
      <c r="AW1457" s="21">
        <f t="shared" si="131"/>
        <v>2</v>
      </c>
      <c r="AX1457" s="21" t="str">
        <f t="shared" si="130"/>
        <v/>
      </c>
      <c r="AY1457" s="21" t="str">
        <f>IF(AND($AM1457&lt;&gt;"",$AS1457&lt;&gt;"✓"),SUMPRODUCT(($AM$11:$AM1457&lt;&gt;"")*($AS$11:$AS1457&lt;&gt;"✓")),"")</f>
        <v/>
      </c>
      <c r="AZ1457" s="21" t="str">
        <f>IF(AND($AM1457&lt;&gt;"",$AS1457="✓"),SUMPRODUCT(($AM$11:$AM1457&lt;&gt;"")*($AS$11:$AS1457="✓")),"")</f>
        <v/>
      </c>
      <c r="BA1457" s="21" t="str">
        <f>IF($AL1457="","",$AL1457&amp;"|"&amp;COUNTIF($AL$11:$AL1457,$AL1457))</f>
        <v/>
      </c>
    </row>
    <row r="1458" spans="38:53" ht="15" customHeight="1" x14ac:dyDescent="0.25">
      <c r="AL1458" s="31"/>
      <c r="AM1458" s="26"/>
      <c r="AN1458" s="32"/>
      <c r="AO1458" s="32"/>
      <c r="AP1458" s="24"/>
      <c r="AQ1458" s="24"/>
      <c r="AR1458" s="33"/>
      <c r="AS1458" s="34"/>
      <c r="AT1458" s="33"/>
      <c r="AV1458" s="21">
        <f>IF(AND($AL1458&lt;&gt;"",COUNTIF($AL$11:$AL1458,$AL1458)=1),1,0)</f>
        <v>0</v>
      </c>
      <c r="AW1458" s="21">
        <f t="shared" si="131"/>
        <v>2</v>
      </c>
      <c r="AX1458" s="21" t="str">
        <f t="shared" si="130"/>
        <v/>
      </c>
      <c r="AY1458" s="21" t="str">
        <f>IF(AND($AM1458&lt;&gt;"",$AS1458&lt;&gt;"✓"),SUMPRODUCT(($AM$11:$AM1458&lt;&gt;"")*($AS$11:$AS1458&lt;&gt;"✓")),"")</f>
        <v/>
      </c>
      <c r="AZ1458" s="21" t="str">
        <f>IF(AND($AM1458&lt;&gt;"",$AS1458="✓"),SUMPRODUCT(($AM$11:$AM1458&lt;&gt;"")*($AS$11:$AS1458="✓")),"")</f>
        <v/>
      </c>
      <c r="BA1458" s="21" t="str">
        <f>IF($AL1458="","",$AL1458&amp;"|"&amp;COUNTIF($AL$11:$AL1458,$AL1458))</f>
        <v/>
      </c>
    </row>
    <row r="1459" spans="38:53" ht="15" customHeight="1" x14ac:dyDescent="0.25">
      <c r="AL1459" s="17"/>
      <c r="AM1459" s="12"/>
      <c r="AN1459" s="18"/>
      <c r="AO1459" s="18"/>
      <c r="AP1459" s="10"/>
      <c r="AQ1459" s="10"/>
      <c r="AR1459" s="19"/>
      <c r="AS1459" s="20"/>
      <c r="AT1459" s="19"/>
      <c r="AV1459" s="21">
        <f>IF(AND($AL1459&lt;&gt;"",COUNTIF($AL$11:$AL1459,$AL1459)=1),1,0)</f>
        <v>0</v>
      </c>
      <c r="AW1459" s="21">
        <f t="shared" si="131"/>
        <v>2</v>
      </c>
      <c r="AX1459" s="21" t="str">
        <f t="shared" si="130"/>
        <v/>
      </c>
      <c r="AY1459" s="21" t="str">
        <f>IF(AND($AM1459&lt;&gt;"",$AS1459&lt;&gt;"✓"),SUMPRODUCT(($AM$11:$AM1459&lt;&gt;"")*($AS$11:$AS1459&lt;&gt;"✓")),"")</f>
        <v/>
      </c>
      <c r="AZ1459" s="21" t="str">
        <f>IF(AND($AM1459&lt;&gt;"",$AS1459="✓"),SUMPRODUCT(($AM$11:$AM1459&lt;&gt;"")*($AS$11:$AS1459="✓")),"")</f>
        <v/>
      </c>
      <c r="BA1459" s="21" t="str">
        <f>IF($AL1459="","",$AL1459&amp;"|"&amp;COUNTIF($AL$11:$AL1459,$AL1459))</f>
        <v/>
      </c>
    </row>
    <row r="1460" spans="38:53" ht="15" customHeight="1" x14ac:dyDescent="0.25">
      <c r="AL1460" s="31"/>
      <c r="AM1460" s="26"/>
      <c r="AN1460" s="32"/>
      <c r="AO1460" s="32"/>
      <c r="AP1460" s="24"/>
      <c r="AQ1460" s="24"/>
      <c r="AR1460" s="33"/>
      <c r="AS1460" s="34"/>
      <c r="AT1460" s="33"/>
      <c r="AV1460" s="21">
        <f>IF(AND($AL1460&lt;&gt;"",COUNTIF($AL$11:$AL1460,$AL1460)=1),1,0)</f>
        <v>0</v>
      </c>
      <c r="AW1460" s="21">
        <f t="shared" si="131"/>
        <v>2</v>
      </c>
      <c r="AX1460" s="21" t="str">
        <f t="shared" si="130"/>
        <v/>
      </c>
      <c r="AY1460" s="21" t="str">
        <f>IF(AND($AM1460&lt;&gt;"",$AS1460&lt;&gt;"✓"),SUMPRODUCT(($AM$11:$AM1460&lt;&gt;"")*($AS$11:$AS1460&lt;&gt;"✓")),"")</f>
        <v/>
      </c>
      <c r="AZ1460" s="21" t="str">
        <f>IF(AND($AM1460&lt;&gt;"",$AS1460="✓"),SUMPRODUCT(($AM$11:$AM1460&lt;&gt;"")*($AS$11:$AS1460="✓")),"")</f>
        <v/>
      </c>
      <c r="BA1460" s="21" t="str">
        <f>IF($AL1460="","",$AL1460&amp;"|"&amp;COUNTIF($AL$11:$AL1460,$AL1460))</f>
        <v/>
      </c>
    </row>
    <row r="1461" spans="38:53" ht="15" customHeight="1" x14ac:dyDescent="0.25">
      <c r="AL1461" s="17"/>
      <c r="AM1461" s="12"/>
      <c r="AN1461" s="18"/>
      <c r="AO1461" s="18"/>
      <c r="AP1461" s="10"/>
      <c r="AQ1461" s="10"/>
      <c r="AR1461" s="19"/>
      <c r="AS1461" s="20"/>
      <c r="AT1461" s="19"/>
      <c r="AV1461" s="21">
        <f>IF(AND($AL1461&lt;&gt;"",COUNTIF($AL$11:$AL1461,$AL1461)=1),1,0)</f>
        <v>0</v>
      </c>
      <c r="AW1461" s="21">
        <f t="shared" si="131"/>
        <v>2</v>
      </c>
      <c r="AX1461" s="21" t="str">
        <f t="shared" si="130"/>
        <v/>
      </c>
      <c r="AY1461" s="21" t="str">
        <f>IF(AND($AM1461&lt;&gt;"",$AS1461&lt;&gt;"✓"),SUMPRODUCT(($AM$11:$AM1461&lt;&gt;"")*($AS$11:$AS1461&lt;&gt;"✓")),"")</f>
        <v/>
      </c>
      <c r="AZ1461" s="21" t="str">
        <f>IF(AND($AM1461&lt;&gt;"",$AS1461="✓"),SUMPRODUCT(($AM$11:$AM1461&lt;&gt;"")*($AS$11:$AS1461="✓")),"")</f>
        <v/>
      </c>
      <c r="BA1461" s="21" t="str">
        <f>IF($AL1461="","",$AL1461&amp;"|"&amp;COUNTIF($AL$11:$AL1461,$AL1461))</f>
        <v/>
      </c>
    </row>
    <row r="1462" spans="38:53" ht="15" customHeight="1" x14ac:dyDescent="0.25">
      <c r="AL1462" s="31"/>
      <c r="AM1462" s="26"/>
      <c r="AN1462" s="32"/>
      <c r="AO1462" s="32"/>
      <c r="AP1462" s="24"/>
      <c r="AQ1462" s="24"/>
      <c r="AR1462" s="33"/>
      <c r="AS1462" s="34"/>
      <c r="AT1462" s="33"/>
      <c r="AV1462" s="21">
        <f>IF(AND($AL1462&lt;&gt;"",COUNTIF($AL$11:$AL1462,$AL1462)=1),1,0)</f>
        <v>0</v>
      </c>
      <c r="AW1462" s="21">
        <f t="shared" si="131"/>
        <v>2</v>
      </c>
      <c r="AX1462" s="21" t="str">
        <f t="shared" si="130"/>
        <v/>
      </c>
      <c r="AY1462" s="21" t="str">
        <f>IF(AND($AM1462&lt;&gt;"",$AS1462&lt;&gt;"✓"),SUMPRODUCT(($AM$11:$AM1462&lt;&gt;"")*($AS$11:$AS1462&lt;&gt;"✓")),"")</f>
        <v/>
      </c>
      <c r="AZ1462" s="21" t="str">
        <f>IF(AND($AM1462&lt;&gt;"",$AS1462="✓"),SUMPRODUCT(($AM$11:$AM1462&lt;&gt;"")*($AS$11:$AS1462="✓")),"")</f>
        <v/>
      </c>
      <c r="BA1462" s="21" t="str">
        <f>IF($AL1462="","",$AL1462&amp;"|"&amp;COUNTIF($AL$11:$AL1462,$AL1462))</f>
        <v/>
      </c>
    </row>
    <row r="1463" spans="38:53" ht="15" customHeight="1" x14ac:dyDescent="0.25">
      <c r="AL1463" s="17"/>
      <c r="AM1463" s="12"/>
      <c r="AN1463" s="18"/>
      <c r="AO1463" s="18"/>
      <c r="AP1463" s="10"/>
      <c r="AQ1463" s="10"/>
      <c r="AR1463" s="19"/>
      <c r="AS1463" s="20"/>
      <c r="AT1463" s="19"/>
      <c r="AV1463" s="21">
        <f>IF(AND($AL1463&lt;&gt;"",COUNTIF($AL$11:$AL1463,$AL1463)=1),1,0)</f>
        <v>0</v>
      </c>
      <c r="AW1463" s="21">
        <f t="shared" si="131"/>
        <v>2</v>
      </c>
      <c r="AX1463" s="21" t="str">
        <f t="shared" si="130"/>
        <v/>
      </c>
      <c r="AY1463" s="21" t="str">
        <f>IF(AND($AM1463&lt;&gt;"",$AS1463&lt;&gt;"✓"),SUMPRODUCT(($AM$11:$AM1463&lt;&gt;"")*($AS$11:$AS1463&lt;&gt;"✓")),"")</f>
        <v/>
      </c>
      <c r="AZ1463" s="21" t="str">
        <f>IF(AND($AM1463&lt;&gt;"",$AS1463="✓"),SUMPRODUCT(($AM$11:$AM1463&lt;&gt;"")*($AS$11:$AS1463="✓")),"")</f>
        <v/>
      </c>
      <c r="BA1463" s="21" t="str">
        <f>IF($AL1463="","",$AL1463&amp;"|"&amp;COUNTIF($AL$11:$AL1463,$AL1463))</f>
        <v/>
      </c>
    </row>
    <row r="1464" spans="38:53" ht="15" customHeight="1" x14ac:dyDescent="0.25">
      <c r="AL1464" s="31"/>
      <c r="AM1464" s="26"/>
      <c r="AN1464" s="32"/>
      <c r="AO1464" s="32"/>
      <c r="AP1464" s="24"/>
      <c r="AQ1464" s="24"/>
      <c r="AR1464" s="33"/>
      <c r="AS1464" s="34"/>
      <c r="AT1464" s="33"/>
      <c r="AV1464" s="21">
        <f>IF(AND($AL1464&lt;&gt;"",COUNTIF($AL$11:$AL1464,$AL1464)=1),1,0)</f>
        <v>0</v>
      </c>
      <c r="AW1464" s="21">
        <f t="shared" si="131"/>
        <v>2</v>
      </c>
      <c r="AX1464" s="21" t="str">
        <f t="shared" si="130"/>
        <v/>
      </c>
      <c r="AY1464" s="21" t="str">
        <f>IF(AND($AM1464&lt;&gt;"",$AS1464&lt;&gt;"✓"),SUMPRODUCT(($AM$11:$AM1464&lt;&gt;"")*($AS$11:$AS1464&lt;&gt;"✓")),"")</f>
        <v/>
      </c>
      <c r="AZ1464" s="21" t="str">
        <f>IF(AND($AM1464&lt;&gt;"",$AS1464="✓"),SUMPRODUCT(($AM$11:$AM1464&lt;&gt;"")*($AS$11:$AS1464="✓")),"")</f>
        <v/>
      </c>
      <c r="BA1464" s="21" t="str">
        <f>IF($AL1464="","",$AL1464&amp;"|"&amp;COUNTIF($AL$11:$AL1464,$AL1464))</f>
        <v/>
      </c>
    </row>
    <row r="1465" spans="38:53" ht="15" customHeight="1" x14ac:dyDescent="0.25">
      <c r="AL1465" s="17"/>
      <c r="AM1465" s="12"/>
      <c r="AN1465" s="18"/>
      <c r="AO1465" s="18"/>
      <c r="AP1465" s="10"/>
      <c r="AQ1465" s="10"/>
      <c r="AR1465" s="19"/>
      <c r="AS1465" s="20"/>
      <c r="AT1465" s="19"/>
      <c r="AV1465" s="21">
        <f>IF(AND($AL1465&lt;&gt;"",COUNTIF($AL$11:$AL1465,$AL1465)=1),1,0)</f>
        <v>0</v>
      </c>
      <c r="AW1465" s="21">
        <f t="shared" si="131"/>
        <v>2</v>
      </c>
      <c r="AX1465" s="21" t="str">
        <f t="shared" si="130"/>
        <v/>
      </c>
      <c r="AY1465" s="21" t="str">
        <f>IF(AND($AM1465&lt;&gt;"",$AS1465&lt;&gt;"✓"),SUMPRODUCT(($AM$11:$AM1465&lt;&gt;"")*($AS$11:$AS1465&lt;&gt;"✓")),"")</f>
        <v/>
      </c>
      <c r="AZ1465" s="21" t="str">
        <f>IF(AND($AM1465&lt;&gt;"",$AS1465="✓"),SUMPRODUCT(($AM$11:$AM1465&lt;&gt;"")*($AS$11:$AS1465="✓")),"")</f>
        <v/>
      </c>
      <c r="BA1465" s="21" t="str">
        <f>IF($AL1465="","",$AL1465&amp;"|"&amp;COUNTIF($AL$11:$AL1465,$AL1465))</f>
        <v/>
      </c>
    </row>
    <row r="1466" spans="38:53" ht="15" customHeight="1" x14ac:dyDescent="0.25">
      <c r="AL1466" s="31"/>
      <c r="AM1466" s="26"/>
      <c r="AN1466" s="32"/>
      <c r="AO1466" s="32"/>
      <c r="AP1466" s="24"/>
      <c r="AQ1466" s="24"/>
      <c r="AR1466" s="33"/>
      <c r="AS1466" s="34"/>
      <c r="AT1466" s="33"/>
      <c r="AV1466" s="21">
        <f>IF(AND($AL1466&lt;&gt;"",COUNTIF($AL$11:$AL1466,$AL1466)=1),1,0)</f>
        <v>0</v>
      </c>
      <c r="AW1466" s="21">
        <f t="shared" si="131"/>
        <v>2</v>
      </c>
      <c r="AX1466" s="21" t="str">
        <f t="shared" si="130"/>
        <v/>
      </c>
      <c r="AY1466" s="21" t="str">
        <f>IF(AND($AM1466&lt;&gt;"",$AS1466&lt;&gt;"✓"),SUMPRODUCT(($AM$11:$AM1466&lt;&gt;"")*($AS$11:$AS1466&lt;&gt;"✓")),"")</f>
        <v/>
      </c>
      <c r="AZ1466" s="21" t="str">
        <f>IF(AND($AM1466&lt;&gt;"",$AS1466="✓"),SUMPRODUCT(($AM$11:$AM1466&lt;&gt;"")*($AS$11:$AS1466="✓")),"")</f>
        <v/>
      </c>
      <c r="BA1466" s="21" t="str">
        <f>IF($AL1466="","",$AL1466&amp;"|"&amp;COUNTIF($AL$11:$AL1466,$AL1466))</f>
        <v/>
      </c>
    </row>
    <row r="1467" spans="38:53" ht="15" customHeight="1" x14ac:dyDescent="0.25">
      <c r="AL1467" s="17"/>
      <c r="AM1467" s="12"/>
      <c r="AN1467" s="18"/>
      <c r="AO1467" s="18"/>
      <c r="AP1467" s="10"/>
      <c r="AQ1467" s="10"/>
      <c r="AR1467" s="19"/>
      <c r="AS1467" s="20"/>
      <c r="AT1467" s="19"/>
      <c r="AV1467" s="21">
        <f>IF(AND($AL1467&lt;&gt;"",COUNTIF($AL$11:$AL1467,$AL1467)=1),1,0)</f>
        <v>0</v>
      </c>
      <c r="AW1467" s="21">
        <f t="shared" si="131"/>
        <v>2</v>
      </c>
      <c r="AX1467" s="21" t="str">
        <f t="shared" si="130"/>
        <v/>
      </c>
      <c r="AY1467" s="21" t="str">
        <f>IF(AND($AM1467&lt;&gt;"",$AS1467&lt;&gt;"✓"),SUMPRODUCT(($AM$11:$AM1467&lt;&gt;"")*($AS$11:$AS1467&lt;&gt;"✓")),"")</f>
        <v/>
      </c>
      <c r="AZ1467" s="21" t="str">
        <f>IF(AND($AM1467&lt;&gt;"",$AS1467="✓"),SUMPRODUCT(($AM$11:$AM1467&lt;&gt;"")*($AS$11:$AS1467="✓")),"")</f>
        <v/>
      </c>
      <c r="BA1467" s="21" t="str">
        <f>IF($AL1467="","",$AL1467&amp;"|"&amp;COUNTIF($AL$11:$AL1467,$AL1467))</f>
        <v/>
      </c>
    </row>
    <row r="1468" spans="38:53" ht="15" customHeight="1" x14ac:dyDescent="0.25">
      <c r="AL1468" s="31"/>
      <c r="AM1468" s="26"/>
      <c r="AN1468" s="32"/>
      <c r="AO1468" s="32"/>
      <c r="AP1468" s="24"/>
      <c r="AQ1468" s="24"/>
      <c r="AR1468" s="33"/>
      <c r="AS1468" s="34"/>
      <c r="AT1468" s="33"/>
      <c r="AV1468" s="21">
        <f>IF(AND($AL1468&lt;&gt;"",COUNTIF($AL$11:$AL1468,$AL1468)=1),1,0)</f>
        <v>0</v>
      </c>
      <c r="AW1468" s="21">
        <f t="shared" si="131"/>
        <v>2</v>
      </c>
      <c r="AX1468" s="21" t="str">
        <f t="shared" si="130"/>
        <v/>
      </c>
      <c r="AY1468" s="21" t="str">
        <f>IF(AND($AM1468&lt;&gt;"",$AS1468&lt;&gt;"✓"),SUMPRODUCT(($AM$11:$AM1468&lt;&gt;"")*($AS$11:$AS1468&lt;&gt;"✓")),"")</f>
        <v/>
      </c>
      <c r="AZ1468" s="21" t="str">
        <f>IF(AND($AM1468&lt;&gt;"",$AS1468="✓"),SUMPRODUCT(($AM$11:$AM1468&lt;&gt;"")*($AS$11:$AS1468="✓")),"")</f>
        <v/>
      </c>
      <c r="BA1468" s="21" t="str">
        <f>IF($AL1468="","",$AL1468&amp;"|"&amp;COUNTIF($AL$11:$AL1468,$AL1468))</f>
        <v/>
      </c>
    </row>
    <row r="1469" spans="38:53" ht="15" customHeight="1" x14ac:dyDescent="0.25">
      <c r="AL1469" s="17"/>
      <c r="AM1469" s="12"/>
      <c r="AN1469" s="18"/>
      <c r="AO1469" s="18"/>
      <c r="AP1469" s="10"/>
      <c r="AQ1469" s="10"/>
      <c r="AR1469" s="19"/>
      <c r="AS1469" s="20"/>
      <c r="AT1469" s="19"/>
      <c r="AV1469" s="21">
        <f>IF(AND($AL1469&lt;&gt;"",COUNTIF($AL$11:$AL1469,$AL1469)=1),1,0)</f>
        <v>0</v>
      </c>
      <c r="AW1469" s="21">
        <f t="shared" si="131"/>
        <v>2</v>
      </c>
      <c r="AX1469" s="21" t="str">
        <f t="shared" si="130"/>
        <v/>
      </c>
      <c r="AY1469" s="21" t="str">
        <f>IF(AND($AM1469&lt;&gt;"",$AS1469&lt;&gt;"✓"),SUMPRODUCT(($AM$11:$AM1469&lt;&gt;"")*($AS$11:$AS1469&lt;&gt;"✓")),"")</f>
        <v/>
      </c>
      <c r="AZ1469" s="21" t="str">
        <f>IF(AND($AM1469&lt;&gt;"",$AS1469="✓"),SUMPRODUCT(($AM$11:$AM1469&lt;&gt;"")*($AS$11:$AS1469="✓")),"")</f>
        <v/>
      </c>
      <c r="BA1469" s="21" t="str">
        <f>IF($AL1469="","",$AL1469&amp;"|"&amp;COUNTIF($AL$11:$AL1469,$AL1469))</f>
        <v/>
      </c>
    </row>
    <row r="1470" spans="38:53" ht="15" customHeight="1" x14ac:dyDescent="0.25">
      <c r="AL1470" s="31"/>
      <c r="AM1470" s="26"/>
      <c r="AN1470" s="32"/>
      <c r="AO1470" s="32"/>
      <c r="AP1470" s="24"/>
      <c r="AQ1470" s="24"/>
      <c r="AR1470" s="33"/>
      <c r="AS1470" s="34"/>
      <c r="AT1470" s="33"/>
      <c r="AV1470" s="21">
        <f>IF(AND($AL1470&lt;&gt;"",COUNTIF($AL$11:$AL1470,$AL1470)=1),1,0)</f>
        <v>0</v>
      </c>
      <c r="AW1470" s="21">
        <f t="shared" si="131"/>
        <v>2</v>
      </c>
      <c r="AX1470" s="21" t="str">
        <f t="shared" si="130"/>
        <v/>
      </c>
      <c r="AY1470" s="21" t="str">
        <f>IF(AND($AM1470&lt;&gt;"",$AS1470&lt;&gt;"✓"),SUMPRODUCT(($AM$11:$AM1470&lt;&gt;"")*($AS$11:$AS1470&lt;&gt;"✓")),"")</f>
        <v/>
      </c>
      <c r="AZ1470" s="21" t="str">
        <f>IF(AND($AM1470&lt;&gt;"",$AS1470="✓"),SUMPRODUCT(($AM$11:$AM1470&lt;&gt;"")*($AS$11:$AS1470="✓")),"")</f>
        <v/>
      </c>
      <c r="BA1470" s="21" t="str">
        <f>IF($AL1470="","",$AL1470&amp;"|"&amp;COUNTIF($AL$11:$AL1470,$AL1470))</f>
        <v/>
      </c>
    </row>
    <row r="1471" spans="38:53" ht="15" customHeight="1" x14ac:dyDescent="0.25">
      <c r="AL1471" s="17"/>
      <c r="AM1471" s="12"/>
      <c r="AN1471" s="18"/>
      <c r="AO1471" s="18"/>
      <c r="AP1471" s="10"/>
      <c r="AQ1471" s="10"/>
      <c r="AR1471" s="19"/>
      <c r="AS1471" s="20"/>
      <c r="AT1471" s="19"/>
      <c r="AV1471" s="21">
        <f>IF(AND($AL1471&lt;&gt;"",COUNTIF($AL$11:$AL1471,$AL1471)=1),1,0)</f>
        <v>0</v>
      </c>
      <c r="AW1471" s="21">
        <f t="shared" si="131"/>
        <v>2</v>
      </c>
      <c r="AX1471" s="21" t="str">
        <f t="shared" si="130"/>
        <v/>
      </c>
      <c r="AY1471" s="21" t="str">
        <f>IF(AND($AM1471&lt;&gt;"",$AS1471&lt;&gt;"✓"),SUMPRODUCT(($AM$11:$AM1471&lt;&gt;"")*($AS$11:$AS1471&lt;&gt;"✓")),"")</f>
        <v/>
      </c>
      <c r="AZ1471" s="21" t="str">
        <f>IF(AND($AM1471&lt;&gt;"",$AS1471="✓"),SUMPRODUCT(($AM$11:$AM1471&lt;&gt;"")*($AS$11:$AS1471="✓")),"")</f>
        <v/>
      </c>
      <c r="BA1471" s="21" t="str">
        <f>IF($AL1471="","",$AL1471&amp;"|"&amp;COUNTIF($AL$11:$AL1471,$AL1471))</f>
        <v/>
      </c>
    </row>
    <row r="1472" spans="38:53" ht="15" customHeight="1" x14ac:dyDescent="0.25">
      <c r="AL1472" s="31"/>
      <c r="AM1472" s="26"/>
      <c r="AN1472" s="32"/>
      <c r="AO1472" s="32"/>
      <c r="AP1472" s="24"/>
      <c r="AQ1472" s="24"/>
      <c r="AR1472" s="33"/>
      <c r="AS1472" s="34"/>
      <c r="AT1472" s="33"/>
      <c r="AV1472" s="21">
        <f>IF(AND($AL1472&lt;&gt;"",COUNTIF($AL$11:$AL1472,$AL1472)=1),1,0)</f>
        <v>0</v>
      </c>
      <c r="AW1472" s="21">
        <f t="shared" si="131"/>
        <v>2</v>
      </c>
      <c r="AX1472" s="21" t="str">
        <f t="shared" si="130"/>
        <v/>
      </c>
      <c r="AY1472" s="21" t="str">
        <f>IF(AND($AM1472&lt;&gt;"",$AS1472&lt;&gt;"✓"),SUMPRODUCT(($AM$11:$AM1472&lt;&gt;"")*($AS$11:$AS1472&lt;&gt;"✓")),"")</f>
        <v/>
      </c>
      <c r="AZ1472" s="21" t="str">
        <f>IF(AND($AM1472&lt;&gt;"",$AS1472="✓"),SUMPRODUCT(($AM$11:$AM1472&lt;&gt;"")*($AS$11:$AS1472="✓")),"")</f>
        <v/>
      </c>
      <c r="BA1472" s="21" t="str">
        <f>IF($AL1472="","",$AL1472&amp;"|"&amp;COUNTIF($AL$11:$AL1472,$AL1472))</f>
        <v/>
      </c>
    </row>
    <row r="1473" spans="38:53" ht="15" customHeight="1" x14ac:dyDescent="0.25">
      <c r="AL1473" s="17"/>
      <c r="AM1473" s="12"/>
      <c r="AN1473" s="18"/>
      <c r="AO1473" s="18"/>
      <c r="AP1473" s="10"/>
      <c r="AQ1473" s="10"/>
      <c r="AR1473" s="19"/>
      <c r="AS1473" s="20"/>
      <c r="AT1473" s="19"/>
      <c r="AV1473" s="21">
        <f>IF(AND($AL1473&lt;&gt;"",COUNTIF($AL$11:$AL1473,$AL1473)=1),1,0)</f>
        <v>0</v>
      </c>
      <c r="AW1473" s="21">
        <f t="shared" si="131"/>
        <v>2</v>
      </c>
      <c r="AX1473" s="21" t="str">
        <f t="shared" si="130"/>
        <v/>
      </c>
      <c r="AY1473" s="21" t="str">
        <f>IF(AND($AM1473&lt;&gt;"",$AS1473&lt;&gt;"✓"),SUMPRODUCT(($AM$11:$AM1473&lt;&gt;"")*($AS$11:$AS1473&lt;&gt;"✓")),"")</f>
        <v/>
      </c>
      <c r="AZ1473" s="21" t="str">
        <f>IF(AND($AM1473&lt;&gt;"",$AS1473="✓"),SUMPRODUCT(($AM$11:$AM1473&lt;&gt;"")*($AS$11:$AS1473="✓")),"")</f>
        <v/>
      </c>
      <c r="BA1473" s="21" t="str">
        <f>IF($AL1473="","",$AL1473&amp;"|"&amp;COUNTIF($AL$11:$AL1473,$AL1473))</f>
        <v/>
      </c>
    </row>
    <row r="1474" spans="38:53" ht="15" customHeight="1" x14ac:dyDescent="0.25">
      <c r="AL1474" s="31"/>
      <c r="AM1474" s="26"/>
      <c r="AN1474" s="32"/>
      <c r="AO1474" s="32"/>
      <c r="AP1474" s="24"/>
      <c r="AQ1474" s="24"/>
      <c r="AR1474" s="33"/>
      <c r="AS1474" s="34"/>
      <c r="AT1474" s="33"/>
      <c r="AV1474" s="21">
        <f>IF(AND($AL1474&lt;&gt;"",COUNTIF($AL$11:$AL1474,$AL1474)=1),1,0)</f>
        <v>0</v>
      </c>
      <c r="AW1474" s="21">
        <f t="shared" si="131"/>
        <v>2</v>
      </c>
      <c r="AX1474" s="21" t="str">
        <f t="shared" si="130"/>
        <v/>
      </c>
      <c r="AY1474" s="21" t="str">
        <f>IF(AND($AM1474&lt;&gt;"",$AS1474&lt;&gt;"✓"),SUMPRODUCT(($AM$11:$AM1474&lt;&gt;"")*($AS$11:$AS1474&lt;&gt;"✓")),"")</f>
        <v/>
      </c>
      <c r="AZ1474" s="21" t="str">
        <f>IF(AND($AM1474&lt;&gt;"",$AS1474="✓"),SUMPRODUCT(($AM$11:$AM1474&lt;&gt;"")*($AS$11:$AS1474="✓")),"")</f>
        <v/>
      </c>
      <c r="BA1474" s="21" t="str">
        <f>IF($AL1474="","",$AL1474&amp;"|"&amp;COUNTIF($AL$11:$AL1474,$AL1474))</f>
        <v/>
      </c>
    </row>
    <row r="1475" spans="38:53" ht="15" customHeight="1" x14ac:dyDescent="0.25">
      <c r="AL1475" s="17"/>
      <c r="AM1475" s="12"/>
      <c r="AN1475" s="18"/>
      <c r="AO1475" s="18"/>
      <c r="AP1475" s="10"/>
      <c r="AQ1475" s="10"/>
      <c r="AR1475" s="19"/>
      <c r="AS1475" s="20"/>
      <c r="AT1475" s="19"/>
      <c r="AV1475" s="21">
        <f>IF(AND($AL1475&lt;&gt;"",COUNTIF($AL$11:$AL1475,$AL1475)=1),1,0)</f>
        <v>0</v>
      </c>
      <c r="AW1475" s="21">
        <f t="shared" si="131"/>
        <v>2</v>
      </c>
      <c r="AX1475" s="21" t="str">
        <f t="shared" si="130"/>
        <v/>
      </c>
      <c r="AY1475" s="21" t="str">
        <f>IF(AND($AM1475&lt;&gt;"",$AS1475&lt;&gt;"✓"),SUMPRODUCT(($AM$11:$AM1475&lt;&gt;"")*($AS$11:$AS1475&lt;&gt;"✓")),"")</f>
        <v/>
      </c>
      <c r="AZ1475" s="21" t="str">
        <f>IF(AND($AM1475&lt;&gt;"",$AS1475="✓"),SUMPRODUCT(($AM$11:$AM1475&lt;&gt;"")*($AS$11:$AS1475="✓")),"")</f>
        <v/>
      </c>
      <c r="BA1475" s="21" t="str">
        <f>IF($AL1475="","",$AL1475&amp;"|"&amp;COUNTIF($AL$11:$AL1475,$AL1475))</f>
        <v/>
      </c>
    </row>
    <row r="1476" spans="38:53" ht="15" customHeight="1" x14ac:dyDescent="0.25">
      <c r="AL1476" s="31"/>
      <c r="AM1476" s="26"/>
      <c r="AN1476" s="32"/>
      <c r="AO1476" s="32"/>
      <c r="AP1476" s="24"/>
      <c r="AQ1476" s="24"/>
      <c r="AR1476" s="33"/>
      <c r="AS1476" s="34"/>
      <c r="AT1476" s="33"/>
      <c r="AV1476" s="21">
        <f>IF(AND($AL1476&lt;&gt;"",COUNTIF($AL$11:$AL1476,$AL1476)=1),1,0)</f>
        <v>0</v>
      </c>
      <c r="AW1476" s="21">
        <f t="shared" si="131"/>
        <v>2</v>
      </c>
      <c r="AX1476" s="21" t="str">
        <f t="shared" si="130"/>
        <v/>
      </c>
      <c r="AY1476" s="21" t="str">
        <f>IF(AND($AM1476&lt;&gt;"",$AS1476&lt;&gt;"✓"),SUMPRODUCT(($AM$11:$AM1476&lt;&gt;"")*($AS$11:$AS1476&lt;&gt;"✓")),"")</f>
        <v/>
      </c>
      <c r="AZ1476" s="21" t="str">
        <f>IF(AND($AM1476&lt;&gt;"",$AS1476="✓"),SUMPRODUCT(($AM$11:$AM1476&lt;&gt;"")*($AS$11:$AS1476="✓")),"")</f>
        <v/>
      </c>
      <c r="BA1476" s="21" t="str">
        <f>IF($AL1476="","",$AL1476&amp;"|"&amp;COUNTIF($AL$11:$AL1476,$AL1476))</f>
        <v/>
      </c>
    </row>
    <row r="1477" spans="38:53" ht="15" customHeight="1" x14ac:dyDescent="0.25">
      <c r="AL1477" s="17"/>
      <c r="AM1477" s="12"/>
      <c r="AN1477" s="18"/>
      <c r="AO1477" s="18"/>
      <c r="AP1477" s="10"/>
      <c r="AQ1477" s="10"/>
      <c r="AR1477" s="19"/>
      <c r="AS1477" s="20"/>
      <c r="AT1477" s="19"/>
      <c r="AV1477" s="21">
        <f>IF(AND($AL1477&lt;&gt;"",COUNTIF($AL$11:$AL1477,$AL1477)=1),1,0)</f>
        <v>0</v>
      </c>
      <c r="AW1477" s="21">
        <f t="shared" si="131"/>
        <v>2</v>
      </c>
      <c r="AX1477" s="21" t="str">
        <f t="shared" si="130"/>
        <v/>
      </c>
      <c r="AY1477" s="21" t="str">
        <f>IF(AND($AM1477&lt;&gt;"",$AS1477&lt;&gt;"✓"),SUMPRODUCT(($AM$11:$AM1477&lt;&gt;"")*($AS$11:$AS1477&lt;&gt;"✓")),"")</f>
        <v/>
      </c>
      <c r="AZ1477" s="21" t="str">
        <f>IF(AND($AM1477&lt;&gt;"",$AS1477="✓"),SUMPRODUCT(($AM$11:$AM1477&lt;&gt;"")*($AS$11:$AS1477="✓")),"")</f>
        <v/>
      </c>
      <c r="BA1477" s="21" t="str">
        <f>IF($AL1477="","",$AL1477&amp;"|"&amp;COUNTIF($AL$11:$AL1477,$AL1477))</f>
        <v/>
      </c>
    </row>
    <row r="1478" spans="38:53" ht="15" customHeight="1" x14ac:dyDescent="0.25">
      <c r="AL1478" s="31"/>
      <c r="AM1478" s="26"/>
      <c r="AN1478" s="32"/>
      <c r="AO1478" s="32"/>
      <c r="AP1478" s="24"/>
      <c r="AQ1478" s="24"/>
      <c r="AR1478" s="33"/>
      <c r="AS1478" s="34"/>
      <c r="AT1478" s="33"/>
      <c r="AV1478" s="21">
        <f>IF(AND($AL1478&lt;&gt;"",COUNTIF($AL$11:$AL1478,$AL1478)=1),1,0)</f>
        <v>0</v>
      </c>
      <c r="AW1478" s="21">
        <f t="shared" si="131"/>
        <v>2</v>
      </c>
      <c r="AX1478" s="21" t="str">
        <f t="shared" si="130"/>
        <v/>
      </c>
      <c r="AY1478" s="21" t="str">
        <f>IF(AND($AM1478&lt;&gt;"",$AS1478&lt;&gt;"✓"),SUMPRODUCT(($AM$11:$AM1478&lt;&gt;"")*($AS$11:$AS1478&lt;&gt;"✓")),"")</f>
        <v/>
      </c>
      <c r="AZ1478" s="21" t="str">
        <f>IF(AND($AM1478&lt;&gt;"",$AS1478="✓"),SUMPRODUCT(($AM$11:$AM1478&lt;&gt;"")*($AS$11:$AS1478="✓")),"")</f>
        <v/>
      </c>
      <c r="BA1478" s="21" t="str">
        <f>IF($AL1478="","",$AL1478&amp;"|"&amp;COUNTIF($AL$11:$AL1478,$AL1478))</f>
        <v/>
      </c>
    </row>
    <row r="1479" spans="38:53" ht="15" customHeight="1" x14ac:dyDescent="0.25">
      <c r="AL1479" s="17"/>
      <c r="AM1479" s="12"/>
      <c r="AN1479" s="18"/>
      <c r="AO1479" s="18"/>
      <c r="AP1479" s="10"/>
      <c r="AQ1479" s="10"/>
      <c r="AR1479" s="19"/>
      <c r="AS1479" s="20"/>
      <c r="AT1479" s="19"/>
      <c r="AV1479" s="21">
        <f>IF(AND($AL1479&lt;&gt;"",COUNTIF($AL$11:$AL1479,$AL1479)=1),1,0)</f>
        <v>0</v>
      </c>
      <c r="AW1479" s="21">
        <f t="shared" si="131"/>
        <v>2</v>
      </c>
      <c r="AX1479" s="21" t="str">
        <f t="shared" si="130"/>
        <v/>
      </c>
      <c r="AY1479" s="21" t="str">
        <f>IF(AND($AM1479&lt;&gt;"",$AS1479&lt;&gt;"✓"),SUMPRODUCT(($AM$11:$AM1479&lt;&gt;"")*($AS$11:$AS1479&lt;&gt;"✓")),"")</f>
        <v/>
      </c>
      <c r="AZ1479" s="21" t="str">
        <f>IF(AND($AM1479&lt;&gt;"",$AS1479="✓"),SUMPRODUCT(($AM$11:$AM1479&lt;&gt;"")*($AS$11:$AS1479="✓")),"")</f>
        <v/>
      </c>
      <c r="BA1479" s="21" t="str">
        <f>IF($AL1479="","",$AL1479&amp;"|"&amp;COUNTIF($AL$11:$AL1479,$AL1479))</f>
        <v/>
      </c>
    </row>
    <row r="1480" spans="38:53" ht="15" customHeight="1" x14ac:dyDescent="0.25">
      <c r="AL1480" s="31"/>
      <c r="AM1480" s="26"/>
      <c r="AN1480" s="32"/>
      <c r="AO1480" s="32"/>
      <c r="AP1480" s="24"/>
      <c r="AQ1480" s="24"/>
      <c r="AR1480" s="33"/>
      <c r="AS1480" s="34"/>
      <c r="AT1480" s="33"/>
      <c r="AV1480" s="21">
        <f>IF(AND($AL1480&lt;&gt;"",COUNTIF($AL$11:$AL1480,$AL1480)=1),1,0)</f>
        <v>0</v>
      </c>
      <c r="AW1480" s="21">
        <f t="shared" si="131"/>
        <v>2</v>
      </c>
      <c r="AX1480" s="21" t="str">
        <f t="shared" si="130"/>
        <v/>
      </c>
      <c r="AY1480" s="21" t="str">
        <f>IF(AND($AM1480&lt;&gt;"",$AS1480&lt;&gt;"✓"),SUMPRODUCT(($AM$11:$AM1480&lt;&gt;"")*($AS$11:$AS1480&lt;&gt;"✓")),"")</f>
        <v/>
      </c>
      <c r="AZ1480" s="21" t="str">
        <f>IF(AND($AM1480&lt;&gt;"",$AS1480="✓"),SUMPRODUCT(($AM$11:$AM1480&lt;&gt;"")*($AS$11:$AS1480="✓")),"")</f>
        <v/>
      </c>
      <c r="BA1480" s="21" t="str">
        <f>IF($AL1480="","",$AL1480&amp;"|"&amp;COUNTIF($AL$11:$AL1480,$AL1480))</f>
        <v/>
      </c>
    </row>
    <row r="1481" spans="38:53" ht="15" customHeight="1" x14ac:dyDescent="0.25">
      <c r="AL1481" s="17"/>
      <c r="AM1481" s="12"/>
      <c r="AN1481" s="18"/>
      <c r="AO1481" s="18"/>
      <c r="AP1481" s="10"/>
      <c r="AQ1481" s="10"/>
      <c r="AR1481" s="19"/>
      <c r="AS1481" s="20"/>
      <c r="AT1481" s="19"/>
      <c r="AV1481" s="21">
        <f>IF(AND($AL1481&lt;&gt;"",COUNTIF($AL$11:$AL1481,$AL1481)=1),1,0)</f>
        <v>0</v>
      </c>
      <c r="AW1481" s="21">
        <f t="shared" si="131"/>
        <v>2</v>
      </c>
      <c r="AX1481" s="21" t="str">
        <f t="shared" si="130"/>
        <v/>
      </c>
      <c r="AY1481" s="21" t="str">
        <f>IF(AND($AM1481&lt;&gt;"",$AS1481&lt;&gt;"✓"),SUMPRODUCT(($AM$11:$AM1481&lt;&gt;"")*($AS$11:$AS1481&lt;&gt;"✓")),"")</f>
        <v/>
      </c>
      <c r="AZ1481" s="21" t="str">
        <f>IF(AND($AM1481&lt;&gt;"",$AS1481="✓"),SUMPRODUCT(($AM$11:$AM1481&lt;&gt;"")*($AS$11:$AS1481="✓")),"")</f>
        <v/>
      </c>
      <c r="BA1481" s="21" t="str">
        <f>IF($AL1481="","",$AL1481&amp;"|"&amp;COUNTIF($AL$11:$AL1481,$AL1481))</f>
        <v/>
      </c>
    </row>
    <row r="1482" spans="38:53" ht="15" customHeight="1" x14ac:dyDescent="0.25">
      <c r="AL1482" s="31"/>
      <c r="AM1482" s="26"/>
      <c r="AN1482" s="32"/>
      <c r="AO1482" s="32"/>
      <c r="AP1482" s="24"/>
      <c r="AQ1482" s="24"/>
      <c r="AR1482" s="33"/>
      <c r="AS1482" s="34"/>
      <c r="AT1482" s="33"/>
      <c r="AV1482" s="21">
        <f>IF(AND($AL1482&lt;&gt;"",COUNTIF($AL$11:$AL1482,$AL1482)=1),1,0)</f>
        <v>0</v>
      </c>
      <c r="AW1482" s="21">
        <f t="shared" si="131"/>
        <v>2</v>
      </c>
      <c r="AX1482" s="21" t="str">
        <f t="shared" si="130"/>
        <v/>
      </c>
      <c r="AY1482" s="21" t="str">
        <f>IF(AND($AM1482&lt;&gt;"",$AS1482&lt;&gt;"✓"),SUMPRODUCT(($AM$11:$AM1482&lt;&gt;"")*($AS$11:$AS1482&lt;&gt;"✓")),"")</f>
        <v/>
      </c>
      <c r="AZ1482" s="21" t="str">
        <f>IF(AND($AM1482&lt;&gt;"",$AS1482="✓"),SUMPRODUCT(($AM$11:$AM1482&lt;&gt;"")*($AS$11:$AS1482="✓")),"")</f>
        <v/>
      </c>
      <c r="BA1482" s="21" t="str">
        <f>IF($AL1482="","",$AL1482&amp;"|"&amp;COUNTIF($AL$11:$AL1482,$AL1482))</f>
        <v/>
      </c>
    </row>
    <row r="1483" spans="38:53" ht="15" customHeight="1" x14ac:dyDescent="0.25">
      <c r="AL1483" s="17"/>
      <c r="AM1483" s="12"/>
      <c r="AN1483" s="18"/>
      <c r="AO1483" s="18"/>
      <c r="AP1483" s="10"/>
      <c r="AQ1483" s="10"/>
      <c r="AR1483" s="19"/>
      <c r="AS1483" s="20"/>
      <c r="AT1483" s="19"/>
      <c r="AV1483" s="21">
        <f>IF(AND($AL1483&lt;&gt;"",COUNTIF($AL$11:$AL1483,$AL1483)=1),1,0)</f>
        <v>0</v>
      </c>
      <c r="AW1483" s="21">
        <f t="shared" si="131"/>
        <v>2</v>
      </c>
      <c r="AX1483" s="21" t="str">
        <f t="shared" ref="AX1483:AX1546" si="132">IF(AV1483=1,AW1483,"")</f>
        <v/>
      </c>
      <c r="AY1483" s="21" t="str">
        <f>IF(AND($AM1483&lt;&gt;"",$AS1483&lt;&gt;"✓"),SUMPRODUCT(($AM$11:$AM1483&lt;&gt;"")*($AS$11:$AS1483&lt;&gt;"✓")),"")</f>
        <v/>
      </c>
      <c r="AZ1483" s="21" t="str">
        <f>IF(AND($AM1483&lt;&gt;"",$AS1483="✓"),SUMPRODUCT(($AM$11:$AM1483&lt;&gt;"")*($AS$11:$AS1483="✓")),"")</f>
        <v/>
      </c>
      <c r="BA1483" s="21" t="str">
        <f>IF($AL1483="","",$AL1483&amp;"|"&amp;COUNTIF($AL$11:$AL1483,$AL1483))</f>
        <v/>
      </c>
    </row>
    <row r="1484" spans="38:53" ht="15" customHeight="1" x14ac:dyDescent="0.25">
      <c r="AL1484" s="31"/>
      <c r="AM1484" s="26"/>
      <c r="AN1484" s="32"/>
      <c r="AO1484" s="32"/>
      <c r="AP1484" s="24"/>
      <c r="AQ1484" s="24"/>
      <c r="AR1484" s="33"/>
      <c r="AS1484" s="34"/>
      <c r="AT1484" s="33"/>
      <c r="AV1484" s="21">
        <f>IF(AND($AL1484&lt;&gt;"",COUNTIF($AL$11:$AL1484,$AL1484)=1),1,0)</f>
        <v>0</v>
      </c>
      <c r="AW1484" s="21">
        <f t="shared" ref="AW1484:AW1547" si="133">AW1483+AV1484</f>
        <v>2</v>
      </c>
      <c r="AX1484" s="21" t="str">
        <f t="shared" si="132"/>
        <v/>
      </c>
      <c r="AY1484" s="21" t="str">
        <f>IF(AND($AM1484&lt;&gt;"",$AS1484&lt;&gt;"✓"),SUMPRODUCT(($AM$11:$AM1484&lt;&gt;"")*($AS$11:$AS1484&lt;&gt;"✓")),"")</f>
        <v/>
      </c>
      <c r="AZ1484" s="21" t="str">
        <f>IF(AND($AM1484&lt;&gt;"",$AS1484="✓"),SUMPRODUCT(($AM$11:$AM1484&lt;&gt;"")*($AS$11:$AS1484="✓")),"")</f>
        <v/>
      </c>
      <c r="BA1484" s="21" t="str">
        <f>IF($AL1484="","",$AL1484&amp;"|"&amp;COUNTIF($AL$11:$AL1484,$AL1484))</f>
        <v/>
      </c>
    </row>
    <row r="1485" spans="38:53" ht="15" customHeight="1" x14ac:dyDescent="0.25">
      <c r="AL1485" s="17"/>
      <c r="AM1485" s="12"/>
      <c r="AN1485" s="18"/>
      <c r="AO1485" s="18"/>
      <c r="AP1485" s="10"/>
      <c r="AQ1485" s="10"/>
      <c r="AR1485" s="19"/>
      <c r="AS1485" s="20"/>
      <c r="AT1485" s="19"/>
      <c r="AV1485" s="21">
        <f>IF(AND($AL1485&lt;&gt;"",COUNTIF($AL$11:$AL1485,$AL1485)=1),1,0)</f>
        <v>0</v>
      </c>
      <c r="AW1485" s="21">
        <f t="shared" si="133"/>
        <v>2</v>
      </c>
      <c r="AX1485" s="21" t="str">
        <f t="shared" si="132"/>
        <v/>
      </c>
      <c r="AY1485" s="21" t="str">
        <f>IF(AND($AM1485&lt;&gt;"",$AS1485&lt;&gt;"✓"),SUMPRODUCT(($AM$11:$AM1485&lt;&gt;"")*($AS$11:$AS1485&lt;&gt;"✓")),"")</f>
        <v/>
      </c>
      <c r="AZ1485" s="21" t="str">
        <f>IF(AND($AM1485&lt;&gt;"",$AS1485="✓"),SUMPRODUCT(($AM$11:$AM1485&lt;&gt;"")*($AS$11:$AS1485="✓")),"")</f>
        <v/>
      </c>
      <c r="BA1485" s="21" t="str">
        <f>IF($AL1485="","",$AL1485&amp;"|"&amp;COUNTIF($AL$11:$AL1485,$AL1485))</f>
        <v/>
      </c>
    </row>
    <row r="1486" spans="38:53" ht="15" customHeight="1" x14ac:dyDescent="0.25">
      <c r="AL1486" s="31"/>
      <c r="AM1486" s="26"/>
      <c r="AN1486" s="32"/>
      <c r="AO1486" s="32"/>
      <c r="AP1486" s="24"/>
      <c r="AQ1486" s="24"/>
      <c r="AR1486" s="33"/>
      <c r="AS1486" s="34"/>
      <c r="AT1486" s="33"/>
      <c r="AV1486" s="21">
        <f>IF(AND($AL1486&lt;&gt;"",COUNTIF($AL$11:$AL1486,$AL1486)=1),1,0)</f>
        <v>0</v>
      </c>
      <c r="AW1486" s="21">
        <f t="shared" si="133"/>
        <v>2</v>
      </c>
      <c r="AX1486" s="21" t="str">
        <f t="shared" si="132"/>
        <v/>
      </c>
      <c r="AY1486" s="21" t="str">
        <f>IF(AND($AM1486&lt;&gt;"",$AS1486&lt;&gt;"✓"),SUMPRODUCT(($AM$11:$AM1486&lt;&gt;"")*($AS$11:$AS1486&lt;&gt;"✓")),"")</f>
        <v/>
      </c>
      <c r="AZ1486" s="21" t="str">
        <f>IF(AND($AM1486&lt;&gt;"",$AS1486="✓"),SUMPRODUCT(($AM$11:$AM1486&lt;&gt;"")*($AS$11:$AS1486="✓")),"")</f>
        <v/>
      </c>
      <c r="BA1486" s="21" t="str">
        <f>IF($AL1486="","",$AL1486&amp;"|"&amp;COUNTIF($AL$11:$AL1486,$AL1486))</f>
        <v/>
      </c>
    </row>
    <row r="1487" spans="38:53" ht="15" customHeight="1" x14ac:dyDescent="0.25">
      <c r="AL1487" s="17"/>
      <c r="AM1487" s="12"/>
      <c r="AN1487" s="18"/>
      <c r="AO1487" s="18"/>
      <c r="AP1487" s="10"/>
      <c r="AQ1487" s="10"/>
      <c r="AR1487" s="19"/>
      <c r="AS1487" s="20"/>
      <c r="AT1487" s="19"/>
      <c r="AV1487" s="21">
        <f>IF(AND($AL1487&lt;&gt;"",COUNTIF($AL$11:$AL1487,$AL1487)=1),1,0)</f>
        <v>0</v>
      </c>
      <c r="AW1487" s="21">
        <f t="shared" si="133"/>
        <v>2</v>
      </c>
      <c r="AX1487" s="21" t="str">
        <f t="shared" si="132"/>
        <v/>
      </c>
      <c r="AY1487" s="21" t="str">
        <f>IF(AND($AM1487&lt;&gt;"",$AS1487&lt;&gt;"✓"),SUMPRODUCT(($AM$11:$AM1487&lt;&gt;"")*($AS$11:$AS1487&lt;&gt;"✓")),"")</f>
        <v/>
      </c>
      <c r="AZ1487" s="21" t="str">
        <f>IF(AND($AM1487&lt;&gt;"",$AS1487="✓"),SUMPRODUCT(($AM$11:$AM1487&lt;&gt;"")*($AS$11:$AS1487="✓")),"")</f>
        <v/>
      </c>
      <c r="BA1487" s="21" t="str">
        <f>IF($AL1487="","",$AL1487&amp;"|"&amp;COUNTIF($AL$11:$AL1487,$AL1487))</f>
        <v/>
      </c>
    </row>
    <row r="1488" spans="38:53" ht="15" customHeight="1" x14ac:dyDescent="0.25">
      <c r="AL1488" s="31"/>
      <c r="AM1488" s="26"/>
      <c r="AN1488" s="32"/>
      <c r="AO1488" s="32"/>
      <c r="AP1488" s="24"/>
      <c r="AQ1488" s="24"/>
      <c r="AR1488" s="33"/>
      <c r="AS1488" s="34"/>
      <c r="AT1488" s="33"/>
      <c r="AV1488" s="21">
        <f>IF(AND($AL1488&lt;&gt;"",COUNTIF($AL$11:$AL1488,$AL1488)=1),1,0)</f>
        <v>0</v>
      </c>
      <c r="AW1488" s="21">
        <f t="shared" si="133"/>
        <v>2</v>
      </c>
      <c r="AX1488" s="21" t="str">
        <f t="shared" si="132"/>
        <v/>
      </c>
      <c r="AY1488" s="21" t="str">
        <f>IF(AND($AM1488&lt;&gt;"",$AS1488&lt;&gt;"✓"),SUMPRODUCT(($AM$11:$AM1488&lt;&gt;"")*($AS$11:$AS1488&lt;&gt;"✓")),"")</f>
        <v/>
      </c>
      <c r="AZ1488" s="21" t="str">
        <f>IF(AND($AM1488&lt;&gt;"",$AS1488="✓"),SUMPRODUCT(($AM$11:$AM1488&lt;&gt;"")*($AS$11:$AS1488="✓")),"")</f>
        <v/>
      </c>
      <c r="BA1488" s="21" t="str">
        <f>IF($AL1488="","",$AL1488&amp;"|"&amp;COUNTIF($AL$11:$AL1488,$AL1488))</f>
        <v/>
      </c>
    </row>
    <row r="1489" spans="38:53" ht="15" customHeight="1" x14ac:dyDescent="0.25">
      <c r="AL1489" s="17"/>
      <c r="AM1489" s="12"/>
      <c r="AN1489" s="18"/>
      <c r="AO1489" s="18"/>
      <c r="AP1489" s="10"/>
      <c r="AQ1489" s="10"/>
      <c r="AR1489" s="19"/>
      <c r="AS1489" s="20"/>
      <c r="AT1489" s="19"/>
      <c r="AV1489" s="21">
        <f>IF(AND($AL1489&lt;&gt;"",COUNTIF($AL$11:$AL1489,$AL1489)=1),1,0)</f>
        <v>0</v>
      </c>
      <c r="AW1489" s="21">
        <f t="shared" si="133"/>
        <v>2</v>
      </c>
      <c r="AX1489" s="21" t="str">
        <f t="shared" si="132"/>
        <v/>
      </c>
      <c r="AY1489" s="21" t="str">
        <f>IF(AND($AM1489&lt;&gt;"",$AS1489&lt;&gt;"✓"),SUMPRODUCT(($AM$11:$AM1489&lt;&gt;"")*($AS$11:$AS1489&lt;&gt;"✓")),"")</f>
        <v/>
      </c>
      <c r="AZ1489" s="21" t="str">
        <f>IF(AND($AM1489&lt;&gt;"",$AS1489="✓"),SUMPRODUCT(($AM$11:$AM1489&lt;&gt;"")*($AS$11:$AS1489="✓")),"")</f>
        <v/>
      </c>
      <c r="BA1489" s="21" t="str">
        <f>IF($AL1489="","",$AL1489&amp;"|"&amp;COUNTIF($AL$11:$AL1489,$AL1489))</f>
        <v/>
      </c>
    </row>
    <row r="1490" spans="38:53" ht="15" customHeight="1" x14ac:dyDescent="0.25">
      <c r="AL1490" s="31"/>
      <c r="AM1490" s="26"/>
      <c r="AN1490" s="32"/>
      <c r="AO1490" s="32"/>
      <c r="AP1490" s="24"/>
      <c r="AQ1490" s="24"/>
      <c r="AR1490" s="33"/>
      <c r="AS1490" s="34"/>
      <c r="AT1490" s="33"/>
      <c r="AV1490" s="21">
        <f>IF(AND($AL1490&lt;&gt;"",COUNTIF($AL$11:$AL1490,$AL1490)=1),1,0)</f>
        <v>0</v>
      </c>
      <c r="AW1490" s="21">
        <f t="shared" si="133"/>
        <v>2</v>
      </c>
      <c r="AX1490" s="21" t="str">
        <f t="shared" si="132"/>
        <v/>
      </c>
      <c r="AY1490" s="21" t="str">
        <f>IF(AND($AM1490&lt;&gt;"",$AS1490&lt;&gt;"✓"),SUMPRODUCT(($AM$11:$AM1490&lt;&gt;"")*($AS$11:$AS1490&lt;&gt;"✓")),"")</f>
        <v/>
      </c>
      <c r="AZ1490" s="21" t="str">
        <f>IF(AND($AM1490&lt;&gt;"",$AS1490="✓"),SUMPRODUCT(($AM$11:$AM1490&lt;&gt;"")*($AS$11:$AS1490="✓")),"")</f>
        <v/>
      </c>
      <c r="BA1490" s="21" t="str">
        <f>IF($AL1490="","",$AL1490&amp;"|"&amp;COUNTIF($AL$11:$AL1490,$AL1490))</f>
        <v/>
      </c>
    </row>
    <row r="1491" spans="38:53" ht="15" customHeight="1" x14ac:dyDescent="0.25">
      <c r="AL1491" s="17"/>
      <c r="AM1491" s="12"/>
      <c r="AN1491" s="18"/>
      <c r="AO1491" s="18"/>
      <c r="AP1491" s="10"/>
      <c r="AQ1491" s="10"/>
      <c r="AR1491" s="19"/>
      <c r="AS1491" s="20"/>
      <c r="AT1491" s="19"/>
      <c r="AV1491" s="21">
        <f>IF(AND($AL1491&lt;&gt;"",COUNTIF($AL$11:$AL1491,$AL1491)=1),1,0)</f>
        <v>0</v>
      </c>
      <c r="AW1491" s="21">
        <f t="shared" si="133"/>
        <v>2</v>
      </c>
      <c r="AX1491" s="21" t="str">
        <f t="shared" si="132"/>
        <v/>
      </c>
      <c r="AY1491" s="21" t="str">
        <f>IF(AND($AM1491&lt;&gt;"",$AS1491&lt;&gt;"✓"),SUMPRODUCT(($AM$11:$AM1491&lt;&gt;"")*($AS$11:$AS1491&lt;&gt;"✓")),"")</f>
        <v/>
      </c>
      <c r="AZ1491" s="21" t="str">
        <f>IF(AND($AM1491&lt;&gt;"",$AS1491="✓"),SUMPRODUCT(($AM$11:$AM1491&lt;&gt;"")*($AS$11:$AS1491="✓")),"")</f>
        <v/>
      </c>
      <c r="BA1491" s="21" t="str">
        <f>IF($AL1491="","",$AL1491&amp;"|"&amp;COUNTIF($AL$11:$AL1491,$AL1491))</f>
        <v/>
      </c>
    </row>
    <row r="1492" spans="38:53" ht="15" customHeight="1" x14ac:dyDescent="0.25">
      <c r="AL1492" s="31"/>
      <c r="AM1492" s="26"/>
      <c r="AN1492" s="32"/>
      <c r="AO1492" s="32"/>
      <c r="AP1492" s="24"/>
      <c r="AQ1492" s="24"/>
      <c r="AR1492" s="33"/>
      <c r="AS1492" s="34"/>
      <c r="AT1492" s="33"/>
      <c r="AV1492" s="21">
        <f>IF(AND($AL1492&lt;&gt;"",COUNTIF($AL$11:$AL1492,$AL1492)=1),1,0)</f>
        <v>0</v>
      </c>
      <c r="AW1492" s="21">
        <f t="shared" si="133"/>
        <v>2</v>
      </c>
      <c r="AX1492" s="21" t="str">
        <f t="shared" si="132"/>
        <v/>
      </c>
      <c r="AY1492" s="21" t="str">
        <f>IF(AND($AM1492&lt;&gt;"",$AS1492&lt;&gt;"✓"),SUMPRODUCT(($AM$11:$AM1492&lt;&gt;"")*($AS$11:$AS1492&lt;&gt;"✓")),"")</f>
        <v/>
      </c>
      <c r="AZ1492" s="21" t="str">
        <f>IF(AND($AM1492&lt;&gt;"",$AS1492="✓"),SUMPRODUCT(($AM$11:$AM1492&lt;&gt;"")*($AS$11:$AS1492="✓")),"")</f>
        <v/>
      </c>
      <c r="BA1492" s="21" t="str">
        <f>IF($AL1492="","",$AL1492&amp;"|"&amp;COUNTIF($AL$11:$AL1492,$AL1492))</f>
        <v/>
      </c>
    </row>
    <row r="1493" spans="38:53" ht="15" customHeight="1" x14ac:dyDescent="0.25">
      <c r="AL1493" s="17"/>
      <c r="AM1493" s="12"/>
      <c r="AN1493" s="18"/>
      <c r="AO1493" s="18"/>
      <c r="AP1493" s="10"/>
      <c r="AQ1493" s="10"/>
      <c r="AR1493" s="19"/>
      <c r="AS1493" s="20"/>
      <c r="AT1493" s="19"/>
      <c r="AV1493" s="21">
        <f>IF(AND($AL1493&lt;&gt;"",COUNTIF($AL$11:$AL1493,$AL1493)=1),1,0)</f>
        <v>0</v>
      </c>
      <c r="AW1493" s="21">
        <f t="shared" si="133"/>
        <v>2</v>
      </c>
      <c r="AX1493" s="21" t="str">
        <f t="shared" si="132"/>
        <v/>
      </c>
      <c r="AY1493" s="21" t="str">
        <f>IF(AND($AM1493&lt;&gt;"",$AS1493&lt;&gt;"✓"),SUMPRODUCT(($AM$11:$AM1493&lt;&gt;"")*($AS$11:$AS1493&lt;&gt;"✓")),"")</f>
        <v/>
      </c>
      <c r="AZ1493" s="21" t="str">
        <f>IF(AND($AM1493&lt;&gt;"",$AS1493="✓"),SUMPRODUCT(($AM$11:$AM1493&lt;&gt;"")*($AS$11:$AS1493="✓")),"")</f>
        <v/>
      </c>
      <c r="BA1493" s="21" t="str">
        <f>IF($AL1493="","",$AL1493&amp;"|"&amp;COUNTIF($AL$11:$AL1493,$AL1493))</f>
        <v/>
      </c>
    </row>
    <row r="1494" spans="38:53" ht="15" customHeight="1" x14ac:dyDescent="0.25">
      <c r="AL1494" s="31"/>
      <c r="AM1494" s="26"/>
      <c r="AN1494" s="32"/>
      <c r="AO1494" s="32"/>
      <c r="AP1494" s="24"/>
      <c r="AQ1494" s="24"/>
      <c r="AR1494" s="33"/>
      <c r="AS1494" s="34"/>
      <c r="AT1494" s="33"/>
      <c r="AV1494" s="21">
        <f>IF(AND($AL1494&lt;&gt;"",COUNTIF($AL$11:$AL1494,$AL1494)=1),1,0)</f>
        <v>0</v>
      </c>
      <c r="AW1494" s="21">
        <f t="shared" si="133"/>
        <v>2</v>
      </c>
      <c r="AX1494" s="21" t="str">
        <f t="shared" si="132"/>
        <v/>
      </c>
      <c r="AY1494" s="21" t="str">
        <f>IF(AND($AM1494&lt;&gt;"",$AS1494&lt;&gt;"✓"),SUMPRODUCT(($AM$11:$AM1494&lt;&gt;"")*($AS$11:$AS1494&lt;&gt;"✓")),"")</f>
        <v/>
      </c>
      <c r="AZ1494" s="21" t="str">
        <f>IF(AND($AM1494&lt;&gt;"",$AS1494="✓"),SUMPRODUCT(($AM$11:$AM1494&lt;&gt;"")*($AS$11:$AS1494="✓")),"")</f>
        <v/>
      </c>
      <c r="BA1494" s="21" t="str">
        <f>IF($AL1494="","",$AL1494&amp;"|"&amp;COUNTIF($AL$11:$AL1494,$AL1494))</f>
        <v/>
      </c>
    </row>
    <row r="1495" spans="38:53" ht="15" customHeight="1" x14ac:dyDescent="0.25">
      <c r="AL1495" s="17"/>
      <c r="AM1495" s="12"/>
      <c r="AN1495" s="18"/>
      <c r="AO1495" s="18"/>
      <c r="AP1495" s="10"/>
      <c r="AQ1495" s="10"/>
      <c r="AR1495" s="19"/>
      <c r="AS1495" s="20"/>
      <c r="AT1495" s="19"/>
      <c r="AV1495" s="21">
        <f>IF(AND($AL1495&lt;&gt;"",COUNTIF($AL$11:$AL1495,$AL1495)=1),1,0)</f>
        <v>0</v>
      </c>
      <c r="AW1495" s="21">
        <f t="shared" si="133"/>
        <v>2</v>
      </c>
      <c r="AX1495" s="21" t="str">
        <f t="shared" si="132"/>
        <v/>
      </c>
      <c r="AY1495" s="21" t="str">
        <f>IF(AND($AM1495&lt;&gt;"",$AS1495&lt;&gt;"✓"),SUMPRODUCT(($AM$11:$AM1495&lt;&gt;"")*($AS$11:$AS1495&lt;&gt;"✓")),"")</f>
        <v/>
      </c>
      <c r="AZ1495" s="21" t="str">
        <f>IF(AND($AM1495&lt;&gt;"",$AS1495="✓"),SUMPRODUCT(($AM$11:$AM1495&lt;&gt;"")*($AS$11:$AS1495="✓")),"")</f>
        <v/>
      </c>
      <c r="BA1495" s="21" t="str">
        <f>IF($AL1495="","",$AL1495&amp;"|"&amp;COUNTIF($AL$11:$AL1495,$AL1495))</f>
        <v/>
      </c>
    </row>
    <row r="1496" spans="38:53" ht="15" customHeight="1" x14ac:dyDescent="0.25">
      <c r="AL1496" s="31"/>
      <c r="AM1496" s="26"/>
      <c r="AN1496" s="32"/>
      <c r="AO1496" s="32"/>
      <c r="AP1496" s="24"/>
      <c r="AQ1496" s="24"/>
      <c r="AR1496" s="33"/>
      <c r="AS1496" s="34"/>
      <c r="AT1496" s="33"/>
      <c r="AV1496" s="21">
        <f>IF(AND($AL1496&lt;&gt;"",COUNTIF($AL$11:$AL1496,$AL1496)=1),1,0)</f>
        <v>0</v>
      </c>
      <c r="AW1496" s="21">
        <f t="shared" si="133"/>
        <v>2</v>
      </c>
      <c r="AX1496" s="21" t="str">
        <f t="shared" si="132"/>
        <v/>
      </c>
      <c r="AY1496" s="21" t="str">
        <f>IF(AND($AM1496&lt;&gt;"",$AS1496&lt;&gt;"✓"),SUMPRODUCT(($AM$11:$AM1496&lt;&gt;"")*($AS$11:$AS1496&lt;&gt;"✓")),"")</f>
        <v/>
      </c>
      <c r="AZ1496" s="21" t="str">
        <f>IF(AND($AM1496&lt;&gt;"",$AS1496="✓"),SUMPRODUCT(($AM$11:$AM1496&lt;&gt;"")*($AS$11:$AS1496="✓")),"")</f>
        <v/>
      </c>
      <c r="BA1496" s="21" t="str">
        <f>IF($AL1496="","",$AL1496&amp;"|"&amp;COUNTIF($AL$11:$AL1496,$AL1496))</f>
        <v/>
      </c>
    </row>
    <row r="1497" spans="38:53" ht="15" customHeight="1" x14ac:dyDescent="0.25">
      <c r="AL1497" s="17"/>
      <c r="AM1497" s="12"/>
      <c r="AN1497" s="18"/>
      <c r="AO1497" s="18"/>
      <c r="AP1497" s="10"/>
      <c r="AQ1497" s="10"/>
      <c r="AR1497" s="19"/>
      <c r="AS1497" s="20"/>
      <c r="AT1497" s="19"/>
      <c r="AV1497" s="21">
        <f>IF(AND($AL1497&lt;&gt;"",COUNTIF($AL$11:$AL1497,$AL1497)=1),1,0)</f>
        <v>0</v>
      </c>
      <c r="AW1497" s="21">
        <f t="shared" si="133"/>
        <v>2</v>
      </c>
      <c r="AX1497" s="21" t="str">
        <f t="shared" si="132"/>
        <v/>
      </c>
      <c r="AY1497" s="21" t="str">
        <f>IF(AND($AM1497&lt;&gt;"",$AS1497&lt;&gt;"✓"),SUMPRODUCT(($AM$11:$AM1497&lt;&gt;"")*($AS$11:$AS1497&lt;&gt;"✓")),"")</f>
        <v/>
      </c>
      <c r="AZ1497" s="21" t="str">
        <f>IF(AND($AM1497&lt;&gt;"",$AS1497="✓"),SUMPRODUCT(($AM$11:$AM1497&lt;&gt;"")*($AS$11:$AS1497="✓")),"")</f>
        <v/>
      </c>
      <c r="BA1497" s="21" t="str">
        <f>IF($AL1497="","",$AL1497&amp;"|"&amp;COUNTIF($AL$11:$AL1497,$AL1497))</f>
        <v/>
      </c>
    </row>
    <row r="1498" spans="38:53" ht="15" customHeight="1" x14ac:dyDescent="0.25">
      <c r="AL1498" s="31"/>
      <c r="AM1498" s="26"/>
      <c r="AN1498" s="32"/>
      <c r="AO1498" s="32"/>
      <c r="AP1498" s="24"/>
      <c r="AQ1498" s="24"/>
      <c r="AR1498" s="33"/>
      <c r="AS1498" s="34"/>
      <c r="AT1498" s="33"/>
      <c r="AV1498" s="21">
        <f>IF(AND($AL1498&lt;&gt;"",COUNTIF($AL$11:$AL1498,$AL1498)=1),1,0)</f>
        <v>0</v>
      </c>
      <c r="AW1498" s="21">
        <f t="shared" si="133"/>
        <v>2</v>
      </c>
      <c r="AX1498" s="21" t="str">
        <f t="shared" si="132"/>
        <v/>
      </c>
      <c r="AY1498" s="21" t="str">
        <f>IF(AND($AM1498&lt;&gt;"",$AS1498&lt;&gt;"✓"),SUMPRODUCT(($AM$11:$AM1498&lt;&gt;"")*($AS$11:$AS1498&lt;&gt;"✓")),"")</f>
        <v/>
      </c>
      <c r="AZ1498" s="21" t="str">
        <f>IF(AND($AM1498&lt;&gt;"",$AS1498="✓"),SUMPRODUCT(($AM$11:$AM1498&lt;&gt;"")*($AS$11:$AS1498="✓")),"")</f>
        <v/>
      </c>
      <c r="BA1498" s="21" t="str">
        <f>IF($AL1498="","",$AL1498&amp;"|"&amp;COUNTIF($AL$11:$AL1498,$AL1498))</f>
        <v/>
      </c>
    </row>
    <row r="1499" spans="38:53" ht="15" customHeight="1" x14ac:dyDescent="0.25">
      <c r="AL1499" s="17"/>
      <c r="AM1499" s="12"/>
      <c r="AN1499" s="18"/>
      <c r="AO1499" s="18"/>
      <c r="AP1499" s="10"/>
      <c r="AQ1499" s="10"/>
      <c r="AR1499" s="19"/>
      <c r="AS1499" s="20"/>
      <c r="AT1499" s="19"/>
      <c r="AV1499" s="21">
        <f>IF(AND($AL1499&lt;&gt;"",COUNTIF($AL$11:$AL1499,$AL1499)=1),1,0)</f>
        <v>0</v>
      </c>
      <c r="AW1499" s="21">
        <f t="shared" si="133"/>
        <v>2</v>
      </c>
      <c r="AX1499" s="21" t="str">
        <f t="shared" si="132"/>
        <v/>
      </c>
      <c r="AY1499" s="21" t="str">
        <f>IF(AND($AM1499&lt;&gt;"",$AS1499&lt;&gt;"✓"),SUMPRODUCT(($AM$11:$AM1499&lt;&gt;"")*($AS$11:$AS1499&lt;&gt;"✓")),"")</f>
        <v/>
      </c>
      <c r="AZ1499" s="21" t="str">
        <f>IF(AND($AM1499&lt;&gt;"",$AS1499="✓"),SUMPRODUCT(($AM$11:$AM1499&lt;&gt;"")*($AS$11:$AS1499="✓")),"")</f>
        <v/>
      </c>
      <c r="BA1499" s="21" t="str">
        <f>IF($AL1499="","",$AL1499&amp;"|"&amp;COUNTIF($AL$11:$AL1499,$AL1499))</f>
        <v/>
      </c>
    </row>
    <row r="1500" spans="38:53" ht="15" customHeight="1" x14ac:dyDescent="0.25">
      <c r="AL1500" s="31"/>
      <c r="AM1500" s="26"/>
      <c r="AN1500" s="32"/>
      <c r="AO1500" s="32"/>
      <c r="AP1500" s="24"/>
      <c r="AQ1500" s="24"/>
      <c r="AR1500" s="33"/>
      <c r="AS1500" s="34"/>
      <c r="AT1500" s="33"/>
      <c r="AV1500" s="21">
        <f>IF(AND($AL1500&lt;&gt;"",COUNTIF($AL$11:$AL1500,$AL1500)=1),1,0)</f>
        <v>0</v>
      </c>
      <c r="AW1500" s="21">
        <f t="shared" si="133"/>
        <v>2</v>
      </c>
      <c r="AX1500" s="21" t="str">
        <f t="shared" si="132"/>
        <v/>
      </c>
      <c r="AY1500" s="21" t="str">
        <f>IF(AND($AM1500&lt;&gt;"",$AS1500&lt;&gt;"✓"),SUMPRODUCT(($AM$11:$AM1500&lt;&gt;"")*($AS$11:$AS1500&lt;&gt;"✓")),"")</f>
        <v/>
      </c>
      <c r="AZ1500" s="21" t="str">
        <f>IF(AND($AM1500&lt;&gt;"",$AS1500="✓"),SUMPRODUCT(($AM$11:$AM1500&lt;&gt;"")*($AS$11:$AS1500="✓")),"")</f>
        <v/>
      </c>
      <c r="BA1500" s="21" t="str">
        <f>IF($AL1500="","",$AL1500&amp;"|"&amp;COUNTIF($AL$11:$AL1500,$AL1500))</f>
        <v/>
      </c>
    </row>
    <row r="1501" spans="38:53" ht="15" customHeight="1" x14ac:dyDescent="0.25">
      <c r="AL1501" s="17"/>
      <c r="AM1501" s="12"/>
      <c r="AN1501" s="18"/>
      <c r="AO1501" s="18"/>
      <c r="AP1501" s="10"/>
      <c r="AQ1501" s="10"/>
      <c r="AR1501" s="19"/>
      <c r="AS1501" s="20"/>
      <c r="AT1501" s="19"/>
      <c r="AV1501" s="21">
        <f>IF(AND($AL1501&lt;&gt;"",COUNTIF($AL$11:$AL1501,$AL1501)=1),1,0)</f>
        <v>0</v>
      </c>
      <c r="AW1501" s="21">
        <f t="shared" si="133"/>
        <v>2</v>
      </c>
      <c r="AX1501" s="21" t="str">
        <f t="shared" si="132"/>
        <v/>
      </c>
      <c r="AY1501" s="21" t="str">
        <f>IF(AND($AM1501&lt;&gt;"",$AS1501&lt;&gt;"✓"),SUMPRODUCT(($AM$11:$AM1501&lt;&gt;"")*($AS$11:$AS1501&lt;&gt;"✓")),"")</f>
        <v/>
      </c>
      <c r="AZ1501" s="21" t="str">
        <f>IF(AND($AM1501&lt;&gt;"",$AS1501="✓"),SUMPRODUCT(($AM$11:$AM1501&lt;&gt;"")*($AS$11:$AS1501="✓")),"")</f>
        <v/>
      </c>
      <c r="BA1501" s="21" t="str">
        <f>IF($AL1501="","",$AL1501&amp;"|"&amp;COUNTIF($AL$11:$AL1501,$AL1501))</f>
        <v/>
      </c>
    </row>
    <row r="1502" spans="38:53" ht="15" customHeight="1" x14ac:dyDescent="0.25">
      <c r="AL1502" s="31"/>
      <c r="AM1502" s="26"/>
      <c r="AN1502" s="32"/>
      <c r="AO1502" s="32"/>
      <c r="AP1502" s="24"/>
      <c r="AQ1502" s="24"/>
      <c r="AR1502" s="33"/>
      <c r="AS1502" s="34"/>
      <c r="AT1502" s="33"/>
      <c r="AV1502" s="21">
        <f>IF(AND($AL1502&lt;&gt;"",COUNTIF($AL$11:$AL1502,$AL1502)=1),1,0)</f>
        <v>0</v>
      </c>
      <c r="AW1502" s="21">
        <f t="shared" si="133"/>
        <v>2</v>
      </c>
      <c r="AX1502" s="21" t="str">
        <f t="shared" si="132"/>
        <v/>
      </c>
      <c r="AY1502" s="21" t="str">
        <f>IF(AND($AM1502&lt;&gt;"",$AS1502&lt;&gt;"✓"),SUMPRODUCT(($AM$11:$AM1502&lt;&gt;"")*($AS$11:$AS1502&lt;&gt;"✓")),"")</f>
        <v/>
      </c>
      <c r="AZ1502" s="21" t="str">
        <f>IF(AND($AM1502&lt;&gt;"",$AS1502="✓"),SUMPRODUCT(($AM$11:$AM1502&lt;&gt;"")*($AS$11:$AS1502="✓")),"")</f>
        <v/>
      </c>
      <c r="BA1502" s="21" t="str">
        <f>IF($AL1502="","",$AL1502&amp;"|"&amp;COUNTIF($AL$11:$AL1502,$AL1502))</f>
        <v/>
      </c>
    </row>
    <row r="1503" spans="38:53" ht="15" customHeight="1" x14ac:dyDescent="0.25">
      <c r="AL1503" s="17"/>
      <c r="AM1503" s="12"/>
      <c r="AN1503" s="18"/>
      <c r="AO1503" s="18"/>
      <c r="AP1503" s="10"/>
      <c r="AQ1503" s="10"/>
      <c r="AR1503" s="19"/>
      <c r="AS1503" s="20"/>
      <c r="AT1503" s="19"/>
      <c r="AV1503" s="21">
        <f>IF(AND($AL1503&lt;&gt;"",COUNTIF($AL$11:$AL1503,$AL1503)=1),1,0)</f>
        <v>0</v>
      </c>
      <c r="AW1503" s="21">
        <f t="shared" si="133"/>
        <v>2</v>
      </c>
      <c r="AX1503" s="21" t="str">
        <f t="shared" si="132"/>
        <v/>
      </c>
      <c r="AY1503" s="21" t="str">
        <f>IF(AND($AM1503&lt;&gt;"",$AS1503&lt;&gt;"✓"),SUMPRODUCT(($AM$11:$AM1503&lt;&gt;"")*($AS$11:$AS1503&lt;&gt;"✓")),"")</f>
        <v/>
      </c>
      <c r="AZ1503" s="21" t="str">
        <f>IF(AND($AM1503&lt;&gt;"",$AS1503="✓"),SUMPRODUCT(($AM$11:$AM1503&lt;&gt;"")*($AS$11:$AS1503="✓")),"")</f>
        <v/>
      </c>
      <c r="BA1503" s="21" t="str">
        <f>IF($AL1503="","",$AL1503&amp;"|"&amp;COUNTIF($AL$11:$AL1503,$AL1503))</f>
        <v/>
      </c>
    </row>
    <row r="1504" spans="38:53" ht="15" customHeight="1" x14ac:dyDescent="0.25">
      <c r="AL1504" s="31"/>
      <c r="AM1504" s="26"/>
      <c r="AN1504" s="32"/>
      <c r="AO1504" s="32"/>
      <c r="AP1504" s="24"/>
      <c r="AQ1504" s="24"/>
      <c r="AR1504" s="33"/>
      <c r="AS1504" s="34"/>
      <c r="AT1504" s="33"/>
      <c r="AV1504" s="21">
        <f>IF(AND($AL1504&lt;&gt;"",COUNTIF($AL$11:$AL1504,$AL1504)=1),1,0)</f>
        <v>0</v>
      </c>
      <c r="AW1504" s="21">
        <f t="shared" si="133"/>
        <v>2</v>
      </c>
      <c r="AX1504" s="21" t="str">
        <f t="shared" si="132"/>
        <v/>
      </c>
      <c r="AY1504" s="21" t="str">
        <f>IF(AND($AM1504&lt;&gt;"",$AS1504&lt;&gt;"✓"),SUMPRODUCT(($AM$11:$AM1504&lt;&gt;"")*($AS$11:$AS1504&lt;&gt;"✓")),"")</f>
        <v/>
      </c>
      <c r="AZ1504" s="21" t="str">
        <f>IF(AND($AM1504&lt;&gt;"",$AS1504="✓"),SUMPRODUCT(($AM$11:$AM1504&lt;&gt;"")*($AS$11:$AS1504="✓")),"")</f>
        <v/>
      </c>
      <c r="BA1504" s="21" t="str">
        <f>IF($AL1504="","",$AL1504&amp;"|"&amp;COUNTIF($AL$11:$AL1504,$AL1504))</f>
        <v/>
      </c>
    </row>
    <row r="1505" spans="38:53" ht="15" customHeight="1" x14ac:dyDescent="0.25">
      <c r="AL1505" s="17"/>
      <c r="AM1505" s="12"/>
      <c r="AN1505" s="18"/>
      <c r="AO1505" s="18"/>
      <c r="AP1505" s="10"/>
      <c r="AQ1505" s="10"/>
      <c r="AR1505" s="19"/>
      <c r="AS1505" s="20"/>
      <c r="AT1505" s="19"/>
      <c r="AV1505" s="21">
        <f>IF(AND($AL1505&lt;&gt;"",COUNTIF($AL$11:$AL1505,$AL1505)=1),1,0)</f>
        <v>0</v>
      </c>
      <c r="AW1505" s="21">
        <f t="shared" si="133"/>
        <v>2</v>
      </c>
      <c r="AX1505" s="21" t="str">
        <f t="shared" si="132"/>
        <v/>
      </c>
      <c r="AY1505" s="21" t="str">
        <f>IF(AND($AM1505&lt;&gt;"",$AS1505&lt;&gt;"✓"),SUMPRODUCT(($AM$11:$AM1505&lt;&gt;"")*($AS$11:$AS1505&lt;&gt;"✓")),"")</f>
        <v/>
      </c>
      <c r="AZ1505" s="21" t="str">
        <f>IF(AND($AM1505&lt;&gt;"",$AS1505="✓"),SUMPRODUCT(($AM$11:$AM1505&lt;&gt;"")*($AS$11:$AS1505="✓")),"")</f>
        <v/>
      </c>
      <c r="BA1505" s="21" t="str">
        <f>IF($AL1505="","",$AL1505&amp;"|"&amp;COUNTIF($AL$11:$AL1505,$AL1505))</f>
        <v/>
      </c>
    </row>
    <row r="1506" spans="38:53" ht="15" customHeight="1" x14ac:dyDescent="0.25">
      <c r="AL1506" s="31"/>
      <c r="AM1506" s="26"/>
      <c r="AN1506" s="32"/>
      <c r="AO1506" s="32"/>
      <c r="AP1506" s="24"/>
      <c r="AQ1506" s="24"/>
      <c r="AR1506" s="33"/>
      <c r="AS1506" s="34"/>
      <c r="AT1506" s="33"/>
      <c r="AV1506" s="21">
        <f>IF(AND($AL1506&lt;&gt;"",COUNTIF($AL$11:$AL1506,$AL1506)=1),1,0)</f>
        <v>0</v>
      </c>
      <c r="AW1506" s="21">
        <f t="shared" si="133"/>
        <v>2</v>
      </c>
      <c r="AX1506" s="21" t="str">
        <f t="shared" si="132"/>
        <v/>
      </c>
      <c r="AY1506" s="21" t="str">
        <f>IF(AND($AM1506&lt;&gt;"",$AS1506&lt;&gt;"✓"),SUMPRODUCT(($AM$11:$AM1506&lt;&gt;"")*($AS$11:$AS1506&lt;&gt;"✓")),"")</f>
        <v/>
      </c>
      <c r="AZ1506" s="21" t="str">
        <f>IF(AND($AM1506&lt;&gt;"",$AS1506="✓"),SUMPRODUCT(($AM$11:$AM1506&lt;&gt;"")*($AS$11:$AS1506="✓")),"")</f>
        <v/>
      </c>
      <c r="BA1506" s="21" t="str">
        <f>IF($AL1506="","",$AL1506&amp;"|"&amp;COUNTIF($AL$11:$AL1506,$AL1506))</f>
        <v/>
      </c>
    </row>
    <row r="1507" spans="38:53" ht="15" customHeight="1" x14ac:dyDescent="0.25">
      <c r="AL1507" s="17"/>
      <c r="AM1507" s="12"/>
      <c r="AN1507" s="18"/>
      <c r="AO1507" s="18"/>
      <c r="AP1507" s="10"/>
      <c r="AQ1507" s="10"/>
      <c r="AR1507" s="19"/>
      <c r="AS1507" s="20"/>
      <c r="AT1507" s="19"/>
      <c r="AV1507" s="21">
        <f>IF(AND($AL1507&lt;&gt;"",COUNTIF($AL$11:$AL1507,$AL1507)=1),1,0)</f>
        <v>0</v>
      </c>
      <c r="AW1507" s="21">
        <f t="shared" si="133"/>
        <v>2</v>
      </c>
      <c r="AX1507" s="21" t="str">
        <f t="shared" si="132"/>
        <v/>
      </c>
      <c r="AY1507" s="21" t="str">
        <f>IF(AND($AM1507&lt;&gt;"",$AS1507&lt;&gt;"✓"),SUMPRODUCT(($AM$11:$AM1507&lt;&gt;"")*($AS$11:$AS1507&lt;&gt;"✓")),"")</f>
        <v/>
      </c>
      <c r="AZ1507" s="21" t="str">
        <f>IF(AND($AM1507&lt;&gt;"",$AS1507="✓"),SUMPRODUCT(($AM$11:$AM1507&lt;&gt;"")*($AS$11:$AS1507="✓")),"")</f>
        <v/>
      </c>
      <c r="BA1507" s="21" t="str">
        <f>IF($AL1507="","",$AL1507&amp;"|"&amp;COUNTIF($AL$11:$AL1507,$AL1507))</f>
        <v/>
      </c>
    </row>
    <row r="1508" spans="38:53" ht="15" customHeight="1" x14ac:dyDescent="0.25">
      <c r="AL1508" s="31"/>
      <c r="AM1508" s="26"/>
      <c r="AN1508" s="32"/>
      <c r="AO1508" s="32"/>
      <c r="AP1508" s="24"/>
      <c r="AQ1508" s="24"/>
      <c r="AR1508" s="33"/>
      <c r="AS1508" s="34"/>
      <c r="AT1508" s="33"/>
      <c r="AV1508" s="21">
        <f>IF(AND($AL1508&lt;&gt;"",COUNTIF($AL$11:$AL1508,$AL1508)=1),1,0)</f>
        <v>0</v>
      </c>
      <c r="AW1508" s="21">
        <f t="shared" si="133"/>
        <v>2</v>
      </c>
      <c r="AX1508" s="21" t="str">
        <f t="shared" si="132"/>
        <v/>
      </c>
      <c r="AY1508" s="21" t="str">
        <f>IF(AND($AM1508&lt;&gt;"",$AS1508&lt;&gt;"✓"),SUMPRODUCT(($AM$11:$AM1508&lt;&gt;"")*($AS$11:$AS1508&lt;&gt;"✓")),"")</f>
        <v/>
      </c>
      <c r="AZ1508" s="21" t="str">
        <f>IF(AND($AM1508&lt;&gt;"",$AS1508="✓"),SUMPRODUCT(($AM$11:$AM1508&lt;&gt;"")*($AS$11:$AS1508="✓")),"")</f>
        <v/>
      </c>
      <c r="BA1508" s="21" t="str">
        <f>IF($AL1508="","",$AL1508&amp;"|"&amp;COUNTIF($AL$11:$AL1508,$AL1508))</f>
        <v/>
      </c>
    </row>
    <row r="1509" spans="38:53" ht="15" customHeight="1" x14ac:dyDescent="0.25">
      <c r="AL1509" s="17"/>
      <c r="AM1509" s="12"/>
      <c r="AN1509" s="18"/>
      <c r="AO1509" s="18"/>
      <c r="AP1509" s="10"/>
      <c r="AQ1509" s="10"/>
      <c r="AR1509" s="19"/>
      <c r="AS1509" s="20"/>
      <c r="AT1509" s="19"/>
      <c r="AV1509" s="21">
        <f>IF(AND($AL1509&lt;&gt;"",COUNTIF($AL$11:$AL1509,$AL1509)=1),1,0)</f>
        <v>0</v>
      </c>
      <c r="AW1509" s="21">
        <f t="shared" si="133"/>
        <v>2</v>
      </c>
      <c r="AX1509" s="21" t="str">
        <f t="shared" si="132"/>
        <v/>
      </c>
      <c r="AY1509" s="21" t="str">
        <f>IF(AND($AM1509&lt;&gt;"",$AS1509&lt;&gt;"✓"),SUMPRODUCT(($AM$11:$AM1509&lt;&gt;"")*($AS$11:$AS1509&lt;&gt;"✓")),"")</f>
        <v/>
      </c>
      <c r="AZ1509" s="21" t="str">
        <f>IF(AND($AM1509&lt;&gt;"",$AS1509="✓"),SUMPRODUCT(($AM$11:$AM1509&lt;&gt;"")*($AS$11:$AS1509="✓")),"")</f>
        <v/>
      </c>
      <c r="BA1509" s="21" t="str">
        <f>IF($AL1509="","",$AL1509&amp;"|"&amp;COUNTIF($AL$11:$AL1509,$AL1509))</f>
        <v/>
      </c>
    </row>
    <row r="1510" spans="38:53" ht="15" customHeight="1" x14ac:dyDescent="0.25">
      <c r="AL1510" s="31"/>
      <c r="AM1510" s="26"/>
      <c r="AN1510" s="32"/>
      <c r="AO1510" s="32"/>
      <c r="AP1510" s="24"/>
      <c r="AQ1510" s="24"/>
      <c r="AR1510" s="33"/>
      <c r="AS1510" s="34"/>
      <c r="AT1510" s="33"/>
      <c r="AV1510" s="21">
        <f>IF(AND($AL1510&lt;&gt;"",COUNTIF($AL$11:$AL1510,$AL1510)=1),1,0)</f>
        <v>0</v>
      </c>
      <c r="AW1510" s="21">
        <f t="shared" si="133"/>
        <v>2</v>
      </c>
      <c r="AX1510" s="21" t="str">
        <f t="shared" si="132"/>
        <v/>
      </c>
      <c r="AY1510" s="21" t="str">
        <f>IF(AND($AM1510&lt;&gt;"",$AS1510&lt;&gt;"✓"),SUMPRODUCT(($AM$11:$AM1510&lt;&gt;"")*($AS$11:$AS1510&lt;&gt;"✓")),"")</f>
        <v/>
      </c>
      <c r="AZ1510" s="21" t="str">
        <f>IF(AND($AM1510&lt;&gt;"",$AS1510="✓"),SUMPRODUCT(($AM$11:$AM1510&lt;&gt;"")*($AS$11:$AS1510="✓")),"")</f>
        <v/>
      </c>
      <c r="BA1510" s="21" t="str">
        <f>IF($AL1510="","",$AL1510&amp;"|"&amp;COUNTIF($AL$11:$AL1510,$AL1510))</f>
        <v/>
      </c>
    </row>
    <row r="1511" spans="38:53" ht="15" customHeight="1" x14ac:dyDescent="0.25">
      <c r="AL1511" s="17"/>
      <c r="AM1511" s="12"/>
      <c r="AN1511" s="18"/>
      <c r="AO1511" s="18"/>
      <c r="AP1511" s="10"/>
      <c r="AQ1511" s="10"/>
      <c r="AR1511" s="19"/>
      <c r="AS1511" s="20"/>
      <c r="AT1511" s="19"/>
      <c r="AV1511" s="21">
        <f>IF(AND($AL1511&lt;&gt;"",COUNTIF($AL$11:$AL1511,$AL1511)=1),1,0)</f>
        <v>0</v>
      </c>
      <c r="AW1511" s="21">
        <f t="shared" si="133"/>
        <v>2</v>
      </c>
      <c r="AX1511" s="21" t="str">
        <f t="shared" si="132"/>
        <v/>
      </c>
      <c r="AY1511" s="21" t="str">
        <f>IF(AND($AM1511&lt;&gt;"",$AS1511&lt;&gt;"✓"),SUMPRODUCT(($AM$11:$AM1511&lt;&gt;"")*($AS$11:$AS1511&lt;&gt;"✓")),"")</f>
        <v/>
      </c>
      <c r="AZ1511" s="21" t="str">
        <f>IF(AND($AM1511&lt;&gt;"",$AS1511="✓"),SUMPRODUCT(($AM$11:$AM1511&lt;&gt;"")*($AS$11:$AS1511="✓")),"")</f>
        <v/>
      </c>
      <c r="BA1511" s="21" t="str">
        <f>IF($AL1511="","",$AL1511&amp;"|"&amp;COUNTIF($AL$11:$AL1511,$AL1511))</f>
        <v/>
      </c>
    </row>
    <row r="1512" spans="38:53" ht="15" customHeight="1" x14ac:dyDescent="0.25">
      <c r="AL1512" s="31"/>
      <c r="AM1512" s="26"/>
      <c r="AN1512" s="32"/>
      <c r="AO1512" s="32"/>
      <c r="AP1512" s="24"/>
      <c r="AQ1512" s="24"/>
      <c r="AR1512" s="33"/>
      <c r="AS1512" s="34"/>
      <c r="AT1512" s="33"/>
      <c r="AV1512" s="21">
        <f>IF(AND($AL1512&lt;&gt;"",COUNTIF($AL$11:$AL1512,$AL1512)=1),1,0)</f>
        <v>0</v>
      </c>
      <c r="AW1512" s="21">
        <f t="shared" si="133"/>
        <v>2</v>
      </c>
      <c r="AX1512" s="21" t="str">
        <f t="shared" si="132"/>
        <v/>
      </c>
      <c r="AY1512" s="21" t="str">
        <f>IF(AND($AM1512&lt;&gt;"",$AS1512&lt;&gt;"✓"),SUMPRODUCT(($AM$11:$AM1512&lt;&gt;"")*($AS$11:$AS1512&lt;&gt;"✓")),"")</f>
        <v/>
      </c>
      <c r="AZ1512" s="21" t="str">
        <f>IF(AND($AM1512&lt;&gt;"",$AS1512="✓"),SUMPRODUCT(($AM$11:$AM1512&lt;&gt;"")*($AS$11:$AS1512="✓")),"")</f>
        <v/>
      </c>
      <c r="BA1512" s="21" t="str">
        <f>IF($AL1512="","",$AL1512&amp;"|"&amp;COUNTIF($AL$11:$AL1512,$AL1512))</f>
        <v/>
      </c>
    </row>
    <row r="1513" spans="38:53" ht="15" customHeight="1" x14ac:dyDescent="0.25">
      <c r="AL1513" s="17"/>
      <c r="AM1513" s="12"/>
      <c r="AN1513" s="18"/>
      <c r="AO1513" s="18"/>
      <c r="AP1513" s="10"/>
      <c r="AQ1513" s="10"/>
      <c r="AR1513" s="19"/>
      <c r="AS1513" s="20"/>
      <c r="AT1513" s="19"/>
      <c r="AV1513" s="21">
        <f>IF(AND($AL1513&lt;&gt;"",COUNTIF($AL$11:$AL1513,$AL1513)=1),1,0)</f>
        <v>0</v>
      </c>
      <c r="AW1513" s="21">
        <f t="shared" si="133"/>
        <v>2</v>
      </c>
      <c r="AX1513" s="21" t="str">
        <f t="shared" si="132"/>
        <v/>
      </c>
      <c r="AY1513" s="21" t="str">
        <f>IF(AND($AM1513&lt;&gt;"",$AS1513&lt;&gt;"✓"),SUMPRODUCT(($AM$11:$AM1513&lt;&gt;"")*($AS$11:$AS1513&lt;&gt;"✓")),"")</f>
        <v/>
      </c>
      <c r="AZ1513" s="21" t="str">
        <f>IF(AND($AM1513&lt;&gt;"",$AS1513="✓"),SUMPRODUCT(($AM$11:$AM1513&lt;&gt;"")*($AS$11:$AS1513="✓")),"")</f>
        <v/>
      </c>
      <c r="BA1513" s="21" t="str">
        <f>IF($AL1513="","",$AL1513&amp;"|"&amp;COUNTIF($AL$11:$AL1513,$AL1513))</f>
        <v/>
      </c>
    </row>
    <row r="1514" spans="38:53" ht="15" customHeight="1" x14ac:dyDescent="0.25">
      <c r="AL1514" s="31"/>
      <c r="AM1514" s="26"/>
      <c r="AN1514" s="32"/>
      <c r="AO1514" s="32"/>
      <c r="AP1514" s="24"/>
      <c r="AQ1514" s="24"/>
      <c r="AR1514" s="33"/>
      <c r="AS1514" s="34"/>
      <c r="AT1514" s="33"/>
      <c r="AV1514" s="21">
        <f>IF(AND($AL1514&lt;&gt;"",COUNTIF($AL$11:$AL1514,$AL1514)=1),1,0)</f>
        <v>0</v>
      </c>
      <c r="AW1514" s="21">
        <f t="shared" si="133"/>
        <v>2</v>
      </c>
      <c r="AX1514" s="21" t="str">
        <f t="shared" si="132"/>
        <v/>
      </c>
      <c r="AY1514" s="21" t="str">
        <f>IF(AND($AM1514&lt;&gt;"",$AS1514&lt;&gt;"✓"),SUMPRODUCT(($AM$11:$AM1514&lt;&gt;"")*($AS$11:$AS1514&lt;&gt;"✓")),"")</f>
        <v/>
      </c>
      <c r="AZ1514" s="21" t="str">
        <f>IF(AND($AM1514&lt;&gt;"",$AS1514="✓"),SUMPRODUCT(($AM$11:$AM1514&lt;&gt;"")*($AS$11:$AS1514="✓")),"")</f>
        <v/>
      </c>
      <c r="BA1514" s="21" t="str">
        <f>IF($AL1514="","",$AL1514&amp;"|"&amp;COUNTIF($AL$11:$AL1514,$AL1514))</f>
        <v/>
      </c>
    </row>
    <row r="1515" spans="38:53" ht="15" customHeight="1" x14ac:dyDescent="0.25">
      <c r="AL1515" s="17"/>
      <c r="AM1515" s="12"/>
      <c r="AN1515" s="18"/>
      <c r="AO1515" s="18"/>
      <c r="AP1515" s="10"/>
      <c r="AQ1515" s="10"/>
      <c r="AR1515" s="19"/>
      <c r="AS1515" s="20"/>
      <c r="AT1515" s="19"/>
      <c r="AV1515" s="21">
        <f>IF(AND($AL1515&lt;&gt;"",COUNTIF($AL$11:$AL1515,$AL1515)=1),1,0)</f>
        <v>0</v>
      </c>
      <c r="AW1515" s="21">
        <f t="shared" si="133"/>
        <v>2</v>
      </c>
      <c r="AX1515" s="21" t="str">
        <f t="shared" si="132"/>
        <v/>
      </c>
      <c r="AY1515" s="21" t="str">
        <f>IF(AND($AM1515&lt;&gt;"",$AS1515&lt;&gt;"✓"),SUMPRODUCT(($AM$11:$AM1515&lt;&gt;"")*($AS$11:$AS1515&lt;&gt;"✓")),"")</f>
        <v/>
      </c>
      <c r="AZ1515" s="21" t="str">
        <f>IF(AND($AM1515&lt;&gt;"",$AS1515="✓"),SUMPRODUCT(($AM$11:$AM1515&lt;&gt;"")*($AS$11:$AS1515="✓")),"")</f>
        <v/>
      </c>
      <c r="BA1515" s="21" t="str">
        <f>IF($AL1515="","",$AL1515&amp;"|"&amp;COUNTIF($AL$11:$AL1515,$AL1515))</f>
        <v/>
      </c>
    </row>
    <row r="1516" spans="38:53" ht="15" customHeight="1" x14ac:dyDescent="0.25">
      <c r="AL1516" s="31"/>
      <c r="AM1516" s="26"/>
      <c r="AN1516" s="32"/>
      <c r="AO1516" s="32"/>
      <c r="AP1516" s="24"/>
      <c r="AQ1516" s="24"/>
      <c r="AR1516" s="33"/>
      <c r="AS1516" s="34"/>
      <c r="AT1516" s="33"/>
      <c r="AV1516" s="21">
        <f>IF(AND($AL1516&lt;&gt;"",COUNTIF($AL$11:$AL1516,$AL1516)=1),1,0)</f>
        <v>0</v>
      </c>
      <c r="AW1516" s="21">
        <f t="shared" si="133"/>
        <v>2</v>
      </c>
      <c r="AX1516" s="21" t="str">
        <f t="shared" si="132"/>
        <v/>
      </c>
      <c r="AY1516" s="21" t="str">
        <f>IF(AND($AM1516&lt;&gt;"",$AS1516&lt;&gt;"✓"),SUMPRODUCT(($AM$11:$AM1516&lt;&gt;"")*($AS$11:$AS1516&lt;&gt;"✓")),"")</f>
        <v/>
      </c>
      <c r="AZ1516" s="21" t="str">
        <f>IF(AND($AM1516&lt;&gt;"",$AS1516="✓"),SUMPRODUCT(($AM$11:$AM1516&lt;&gt;"")*($AS$11:$AS1516="✓")),"")</f>
        <v/>
      </c>
      <c r="BA1516" s="21" t="str">
        <f>IF($AL1516="","",$AL1516&amp;"|"&amp;COUNTIF($AL$11:$AL1516,$AL1516))</f>
        <v/>
      </c>
    </row>
    <row r="1517" spans="38:53" ht="15" customHeight="1" x14ac:dyDescent="0.25">
      <c r="AL1517" s="17"/>
      <c r="AM1517" s="12"/>
      <c r="AN1517" s="18"/>
      <c r="AO1517" s="18"/>
      <c r="AP1517" s="10"/>
      <c r="AQ1517" s="10"/>
      <c r="AR1517" s="19"/>
      <c r="AS1517" s="20"/>
      <c r="AT1517" s="19"/>
      <c r="AV1517" s="21">
        <f>IF(AND($AL1517&lt;&gt;"",COUNTIF($AL$11:$AL1517,$AL1517)=1),1,0)</f>
        <v>0</v>
      </c>
      <c r="AW1517" s="21">
        <f t="shared" si="133"/>
        <v>2</v>
      </c>
      <c r="AX1517" s="21" t="str">
        <f t="shared" si="132"/>
        <v/>
      </c>
      <c r="AY1517" s="21" t="str">
        <f>IF(AND($AM1517&lt;&gt;"",$AS1517&lt;&gt;"✓"),SUMPRODUCT(($AM$11:$AM1517&lt;&gt;"")*($AS$11:$AS1517&lt;&gt;"✓")),"")</f>
        <v/>
      </c>
      <c r="AZ1517" s="21" t="str">
        <f>IF(AND($AM1517&lt;&gt;"",$AS1517="✓"),SUMPRODUCT(($AM$11:$AM1517&lt;&gt;"")*($AS$11:$AS1517="✓")),"")</f>
        <v/>
      </c>
      <c r="BA1517" s="21" t="str">
        <f>IF($AL1517="","",$AL1517&amp;"|"&amp;COUNTIF($AL$11:$AL1517,$AL1517))</f>
        <v/>
      </c>
    </row>
    <row r="1518" spans="38:53" ht="15" customHeight="1" x14ac:dyDescent="0.25">
      <c r="AL1518" s="31"/>
      <c r="AM1518" s="26"/>
      <c r="AN1518" s="32"/>
      <c r="AO1518" s="32"/>
      <c r="AP1518" s="24"/>
      <c r="AQ1518" s="24"/>
      <c r="AR1518" s="33"/>
      <c r="AS1518" s="34"/>
      <c r="AT1518" s="33"/>
      <c r="AV1518" s="21">
        <f>IF(AND($AL1518&lt;&gt;"",COUNTIF($AL$11:$AL1518,$AL1518)=1),1,0)</f>
        <v>0</v>
      </c>
      <c r="AW1518" s="21">
        <f t="shared" si="133"/>
        <v>2</v>
      </c>
      <c r="AX1518" s="21" t="str">
        <f t="shared" si="132"/>
        <v/>
      </c>
      <c r="AY1518" s="21" t="str">
        <f>IF(AND($AM1518&lt;&gt;"",$AS1518&lt;&gt;"✓"),SUMPRODUCT(($AM$11:$AM1518&lt;&gt;"")*($AS$11:$AS1518&lt;&gt;"✓")),"")</f>
        <v/>
      </c>
      <c r="AZ1518" s="21" t="str">
        <f>IF(AND($AM1518&lt;&gt;"",$AS1518="✓"),SUMPRODUCT(($AM$11:$AM1518&lt;&gt;"")*($AS$11:$AS1518="✓")),"")</f>
        <v/>
      </c>
      <c r="BA1518" s="21" t="str">
        <f>IF($AL1518="","",$AL1518&amp;"|"&amp;COUNTIF($AL$11:$AL1518,$AL1518))</f>
        <v/>
      </c>
    </row>
    <row r="1519" spans="38:53" ht="15" customHeight="1" x14ac:dyDescent="0.25">
      <c r="AL1519" s="17"/>
      <c r="AM1519" s="12"/>
      <c r="AN1519" s="18"/>
      <c r="AO1519" s="18"/>
      <c r="AP1519" s="10"/>
      <c r="AQ1519" s="10"/>
      <c r="AR1519" s="19"/>
      <c r="AS1519" s="20"/>
      <c r="AT1519" s="19"/>
      <c r="AV1519" s="21">
        <f>IF(AND($AL1519&lt;&gt;"",COUNTIF($AL$11:$AL1519,$AL1519)=1),1,0)</f>
        <v>0</v>
      </c>
      <c r="AW1519" s="21">
        <f t="shared" si="133"/>
        <v>2</v>
      </c>
      <c r="AX1519" s="21" t="str">
        <f t="shared" si="132"/>
        <v/>
      </c>
      <c r="AY1519" s="21" t="str">
        <f>IF(AND($AM1519&lt;&gt;"",$AS1519&lt;&gt;"✓"),SUMPRODUCT(($AM$11:$AM1519&lt;&gt;"")*($AS$11:$AS1519&lt;&gt;"✓")),"")</f>
        <v/>
      </c>
      <c r="AZ1519" s="21" t="str">
        <f>IF(AND($AM1519&lt;&gt;"",$AS1519="✓"),SUMPRODUCT(($AM$11:$AM1519&lt;&gt;"")*($AS$11:$AS1519="✓")),"")</f>
        <v/>
      </c>
      <c r="BA1519" s="21" t="str">
        <f>IF($AL1519="","",$AL1519&amp;"|"&amp;COUNTIF($AL$11:$AL1519,$AL1519))</f>
        <v/>
      </c>
    </row>
    <row r="1520" spans="38:53" ht="15" customHeight="1" x14ac:dyDescent="0.25">
      <c r="AL1520" s="31"/>
      <c r="AM1520" s="26"/>
      <c r="AN1520" s="32"/>
      <c r="AO1520" s="32"/>
      <c r="AP1520" s="24"/>
      <c r="AQ1520" s="24"/>
      <c r="AR1520" s="33"/>
      <c r="AS1520" s="34"/>
      <c r="AT1520" s="33"/>
      <c r="AV1520" s="21">
        <f>IF(AND($AL1520&lt;&gt;"",COUNTIF($AL$11:$AL1520,$AL1520)=1),1,0)</f>
        <v>0</v>
      </c>
      <c r="AW1520" s="21">
        <f t="shared" si="133"/>
        <v>2</v>
      </c>
      <c r="AX1520" s="21" t="str">
        <f t="shared" si="132"/>
        <v/>
      </c>
      <c r="AY1520" s="21" t="str">
        <f>IF(AND($AM1520&lt;&gt;"",$AS1520&lt;&gt;"✓"),SUMPRODUCT(($AM$11:$AM1520&lt;&gt;"")*($AS$11:$AS1520&lt;&gt;"✓")),"")</f>
        <v/>
      </c>
      <c r="AZ1520" s="21" t="str">
        <f>IF(AND($AM1520&lt;&gt;"",$AS1520="✓"),SUMPRODUCT(($AM$11:$AM1520&lt;&gt;"")*($AS$11:$AS1520="✓")),"")</f>
        <v/>
      </c>
      <c r="BA1520" s="21" t="str">
        <f>IF($AL1520="","",$AL1520&amp;"|"&amp;COUNTIF($AL$11:$AL1520,$AL1520))</f>
        <v/>
      </c>
    </row>
    <row r="1521" spans="38:53" ht="15" customHeight="1" x14ac:dyDescent="0.25">
      <c r="AL1521" s="17"/>
      <c r="AM1521" s="12"/>
      <c r="AN1521" s="18"/>
      <c r="AO1521" s="18"/>
      <c r="AP1521" s="10"/>
      <c r="AQ1521" s="10"/>
      <c r="AR1521" s="19"/>
      <c r="AS1521" s="20"/>
      <c r="AT1521" s="19"/>
      <c r="AV1521" s="21">
        <f>IF(AND($AL1521&lt;&gt;"",COUNTIF($AL$11:$AL1521,$AL1521)=1),1,0)</f>
        <v>0</v>
      </c>
      <c r="AW1521" s="21">
        <f t="shared" si="133"/>
        <v>2</v>
      </c>
      <c r="AX1521" s="21" t="str">
        <f t="shared" si="132"/>
        <v/>
      </c>
      <c r="AY1521" s="21" t="str">
        <f>IF(AND($AM1521&lt;&gt;"",$AS1521&lt;&gt;"✓"),SUMPRODUCT(($AM$11:$AM1521&lt;&gt;"")*($AS$11:$AS1521&lt;&gt;"✓")),"")</f>
        <v/>
      </c>
      <c r="AZ1521" s="21" t="str">
        <f>IF(AND($AM1521&lt;&gt;"",$AS1521="✓"),SUMPRODUCT(($AM$11:$AM1521&lt;&gt;"")*($AS$11:$AS1521="✓")),"")</f>
        <v/>
      </c>
      <c r="BA1521" s="21" t="str">
        <f>IF($AL1521="","",$AL1521&amp;"|"&amp;COUNTIF($AL$11:$AL1521,$AL1521))</f>
        <v/>
      </c>
    </row>
    <row r="1522" spans="38:53" ht="15" customHeight="1" x14ac:dyDescent="0.25">
      <c r="AL1522" s="31"/>
      <c r="AM1522" s="26"/>
      <c r="AN1522" s="32"/>
      <c r="AO1522" s="32"/>
      <c r="AP1522" s="24"/>
      <c r="AQ1522" s="24"/>
      <c r="AR1522" s="33"/>
      <c r="AS1522" s="34"/>
      <c r="AT1522" s="33"/>
      <c r="AV1522" s="21">
        <f>IF(AND($AL1522&lt;&gt;"",COUNTIF($AL$11:$AL1522,$AL1522)=1),1,0)</f>
        <v>0</v>
      </c>
      <c r="AW1522" s="21">
        <f t="shared" si="133"/>
        <v>2</v>
      </c>
      <c r="AX1522" s="21" t="str">
        <f t="shared" si="132"/>
        <v/>
      </c>
      <c r="AY1522" s="21" t="str">
        <f>IF(AND($AM1522&lt;&gt;"",$AS1522&lt;&gt;"✓"),SUMPRODUCT(($AM$11:$AM1522&lt;&gt;"")*($AS$11:$AS1522&lt;&gt;"✓")),"")</f>
        <v/>
      </c>
      <c r="AZ1522" s="21" t="str">
        <f>IF(AND($AM1522&lt;&gt;"",$AS1522="✓"),SUMPRODUCT(($AM$11:$AM1522&lt;&gt;"")*($AS$11:$AS1522="✓")),"")</f>
        <v/>
      </c>
      <c r="BA1522" s="21" t="str">
        <f>IF($AL1522="","",$AL1522&amp;"|"&amp;COUNTIF($AL$11:$AL1522,$AL1522))</f>
        <v/>
      </c>
    </row>
    <row r="1523" spans="38:53" ht="15" customHeight="1" x14ac:dyDescent="0.25">
      <c r="AL1523" s="17"/>
      <c r="AM1523" s="12"/>
      <c r="AN1523" s="18"/>
      <c r="AO1523" s="18"/>
      <c r="AP1523" s="10"/>
      <c r="AQ1523" s="10"/>
      <c r="AR1523" s="19"/>
      <c r="AS1523" s="20"/>
      <c r="AT1523" s="19"/>
      <c r="AV1523" s="21">
        <f>IF(AND($AL1523&lt;&gt;"",COUNTIF($AL$11:$AL1523,$AL1523)=1),1,0)</f>
        <v>0</v>
      </c>
      <c r="AW1523" s="21">
        <f t="shared" si="133"/>
        <v>2</v>
      </c>
      <c r="AX1523" s="21" t="str">
        <f t="shared" si="132"/>
        <v/>
      </c>
      <c r="AY1523" s="21" t="str">
        <f>IF(AND($AM1523&lt;&gt;"",$AS1523&lt;&gt;"✓"),SUMPRODUCT(($AM$11:$AM1523&lt;&gt;"")*($AS$11:$AS1523&lt;&gt;"✓")),"")</f>
        <v/>
      </c>
      <c r="AZ1523" s="21" t="str">
        <f>IF(AND($AM1523&lt;&gt;"",$AS1523="✓"),SUMPRODUCT(($AM$11:$AM1523&lt;&gt;"")*($AS$11:$AS1523="✓")),"")</f>
        <v/>
      </c>
      <c r="BA1523" s="21" t="str">
        <f>IF($AL1523="","",$AL1523&amp;"|"&amp;COUNTIF($AL$11:$AL1523,$AL1523))</f>
        <v/>
      </c>
    </row>
    <row r="1524" spans="38:53" ht="15" customHeight="1" x14ac:dyDescent="0.25">
      <c r="AL1524" s="31"/>
      <c r="AM1524" s="26"/>
      <c r="AN1524" s="32"/>
      <c r="AO1524" s="32"/>
      <c r="AP1524" s="24"/>
      <c r="AQ1524" s="24"/>
      <c r="AR1524" s="33"/>
      <c r="AS1524" s="34"/>
      <c r="AT1524" s="33"/>
      <c r="AV1524" s="21">
        <f>IF(AND($AL1524&lt;&gt;"",COUNTIF($AL$11:$AL1524,$AL1524)=1),1,0)</f>
        <v>0</v>
      </c>
      <c r="AW1524" s="21">
        <f t="shared" si="133"/>
        <v>2</v>
      </c>
      <c r="AX1524" s="21" t="str">
        <f t="shared" si="132"/>
        <v/>
      </c>
      <c r="AY1524" s="21" t="str">
        <f>IF(AND($AM1524&lt;&gt;"",$AS1524&lt;&gt;"✓"),SUMPRODUCT(($AM$11:$AM1524&lt;&gt;"")*($AS$11:$AS1524&lt;&gt;"✓")),"")</f>
        <v/>
      </c>
      <c r="AZ1524" s="21" t="str">
        <f>IF(AND($AM1524&lt;&gt;"",$AS1524="✓"),SUMPRODUCT(($AM$11:$AM1524&lt;&gt;"")*($AS$11:$AS1524="✓")),"")</f>
        <v/>
      </c>
      <c r="BA1524" s="21" t="str">
        <f>IF($AL1524="","",$AL1524&amp;"|"&amp;COUNTIF($AL$11:$AL1524,$AL1524))</f>
        <v/>
      </c>
    </row>
    <row r="1525" spans="38:53" ht="15" customHeight="1" x14ac:dyDescent="0.25">
      <c r="AL1525" s="17"/>
      <c r="AM1525" s="12"/>
      <c r="AN1525" s="18"/>
      <c r="AO1525" s="18"/>
      <c r="AP1525" s="10"/>
      <c r="AQ1525" s="10"/>
      <c r="AR1525" s="19"/>
      <c r="AS1525" s="20"/>
      <c r="AT1525" s="19"/>
      <c r="AV1525" s="21">
        <f>IF(AND($AL1525&lt;&gt;"",COUNTIF($AL$11:$AL1525,$AL1525)=1),1,0)</f>
        <v>0</v>
      </c>
      <c r="AW1525" s="21">
        <f t="shared" si="133"/>
        <v>2</v>
      </c>
      <c r="AX1525" s="21" t="str">
        <f t="shared" si="132"/>
        <v/>
      </c>
      <c r="AY1525" s="21" t="str">
        <f>IF(AND($AM1525&lt;&gt;"",$AS1525&lt;&gt;"✓"),SUMPRODUCT(($AM$11:$AM1525&lt;&gt;"")*($AS$11:$AS1525&lt;&gt;"✓")),"")</f>
        <v/>
      </c>
      <c r="AZ1525" s="21" t="str">
        <f>IF(AND($AM1525&lt;&gt;"",$AS1525="✓"),SUMPRODUCT(($AM$11:$AM1525&lt;&gt;"")*($AS$11:$AS1525="✓")),"")</f>
        <v/>
      </c>
      <c r="BA1525" s="21" t="str">
        <f>IF($AL1525="","",$AL1525&amp;"|"&amp;COUNTIF($AL$11:$AL1525,$AL1525))</f>
        <v/>
      </c>
    </row>
    <row r="1526" spans="38:53" ht="15" customHeight="1" x14ac:dyDescent="0.25">
      <c r="AL1526" s="31"/>
      <c r="AM1526" s="26"/>
      <c r="AN1526" s="32"/>
      <c r="AO1526" s="32"/>
      <c r="AP1526" s="24"/>
      <c r="AQ1526" s="24"/>
      <c r="AR1526" s="33"/>
      <c r="AS1526" s="34"/>
      <c r="AT1526" s="33"/>
      <c r="AV1526" s="21">
        <f>IF(AND($AL1526&lt;&gt;"",COUNTIF($AL$11:$AL1526,$AL1526)=1),1,0)</f>
        <v>0</v>
      </c>
      <c r="AW1526" s="21">
        <f t="shared" si="133"/>
        <v>2</v>
      </c>
      <c r="AX1526" s="21" t="str">
        <f t="shared" si="132"/>
        <v/>
      </c>
      <c r="AY1526" s="21" t="str">
        <f>IF(AND($AM1526&lt;&gt;"",$AS1526&lt;&gt;"✓"),SUMPRODUCT(($AM$11:$AM1526&lt;&gt;"")*($AS$11:$AS1526&lt;&gt;"✓")),"")</f>
        <v/>
      </c>
      <c r="AZ1526" s="21" t="str">
        <f>IF(AND($AM1526&lt;&gt;"",$AS1526="✓"),SUMPRODUCT(($AM$11:$AM1526&lt;&gt;"")*($AS$11:$AS1526="✓")),"")</f>
        <v/>
      </c>
      <c r="BA1526" s="21" t="str">
        <f>IF($AL1526="","",$AL1526&amp;"|"&amp;COUNTIF($AL$11:$AL1526,$AL1526))</f>
        <v/>
      </c>
    </row>
    <row r="1527" spans="38:53" ht="15" customHeight="1" x14ac:dyDescent="0.25">
      <c r="AL1527" s="17"/>
      <c r="AM1527" s="12"/>
      <c r="AN1527" s="18"/>
      <c r="AO1527" s="18"/>
      <c r="AP1527" s="10"/>
      <c r="AQ1527" s="10"/>
      <c r="AR1527" s="19"/>
      <c r="AS1527" s="20"/>
      <c r="AT1527" s="19"/>
      <c r="AV1527" s="21">
        <f>IF(AND($AL1527&lt;&gt;"",COUNTIF($AL$11:$AL1527,$AL1527)=1),1,0)</f>
        <v>0</v>
      </c>
      <c r="AW1527" s="21">
        <f t="shared" si="133"/>
        <v>2</v>
      </c>
      <c r="AX1527" s="21" t="str">
        <f t="shared" si="132"/>
        <v/>
      </c>
      <c r="AY1527" s="21" t="str">
        <f>IF(AND($AM1527&lt;&gt;"",$AS1527&lt;&gt;"✓"),SUMPRODUCT(($AM$11:$AM1527&lt;&gt;"")*($AS$11:$AS1527&lt;&gt;"✓")),"")</f>
        <v/>
      </c>
      <c r="AZ1527" s="21" t="str">
        <f>IF(AND($AM1527&lt;&gt;"",$AS1527="✓"),SUMPRODUCT(($AM$11:$AM1527&lt;&gt;"")*($AS$11:$AS1527="✓")),"")</f>
        <v/>
      </c>
      <c r="BA1527" s="21" t="str">
        <f>IF($AL1527="","",$AL1527&amp;"|"&amp;COUNTIF($AL$11:$AL1527,$AL1527))</f>
        <v/>
      </c>
    </row>
    <row r="1528" spans="38:53" ht="15" customHeight="1" x14ac:dyDescent="0.25">
      <c r="AL1528" s="31"/>
      <c r="AM1528" s="26"/>
      <c r="AN1528" s="32"/>
      <c r="AO1528" s="32"/>
      <c r="AP1528" s="24"/>
      <c r="AQ1528" s="24"/>
      <c r="AR1528" s="33"/>
      <c r="AS1528" s="34"/>
      <c r="AT1528" s="33"/>
      <c r="AV1528" s="21">
        <f>IF(AND($AL1528&lt;&gt;"",COUNTIF($AL$11:$AL1528,$AL1528)=1),1,0)</f>
        <v>0</v>
      </c>
      <c r="AW1528" s="21">
        <f t="shared" si="133"/>
        <v>2</v>
      </c>
      <c r="AX1528" s="21" t="str">
        <f t="shared" si="132"/>
        <v/>
      </c>
      <c r="AY1528" s="21" t="str">
        <f>IF(AND($AM1528&lt;&gt;"",$AS1528&lt;&gt;"✓"),SUMPRODUCT(($AM$11:$AM1528&lt;&gt;"")*($AS$11:$AS1528&lt;&gt;"✓")),"")</f>
        <v/>
      </c>
      <c r="AZ1528" s="21" t="str">
        <f>IF(AND($AM1528&lt;&gt;"",$AS1528="✓"),SUMPRODUCT(($AM$11:$AM1528&lt;&gt;"")*($AS$11:$AS1528="✓")),"")</f>
        <v/>
      </c>
      <c r="BA1528" s="21" t="str">
        <f>IF($AL1528="","",$AL1528&amp;"|"&amp;COUNTIF($AL$11:$AL1528,$AL1528))</f>
        <v/>
      </c>
    </row>
    <row r="1529" spans="38:53" ht="15" customHeight="1" x14ac:dyDescent="0.25">
      <c r="AL1529" s="17"/>
      <c r="AM1529" s="12"/>
      <c r="AN1529" s="18"/>
      <c r="AO1529" s="18"/>
      <c r="AP1529" s="10"/>
      <c r="AQ1529" s="10"/>
      <c r="AR1529" s="19"/>
      <c r="AS1529" s="20"/>
      <c r="AT1529" s="19"/>
      <c r="AV1529" s="21">
        <f>IF(AND($AL1529&lt;&gt;"",COUNTIF($AL$11:$AL1529,$AL1529)=1),1,0)</f>
        <v>0</v>
      </c>
      <c r="AW1529" s="21">
        <f t="shared" si="133"/>
        <v>2</v>
      </c>
      <c r="AX1529" s="21" t="str">
        <f t="shared" si="132"/>
        <v/>
      </c>
      <c r="AY1529" s="21" t="str">
        <f>IF(AND($AM1529&lt;&gt;"",$AS1529&lt;&gt;"✓"),SUMPRODUCT(($AM$11:$AM1529&lt;&gt;"")*($AS$11:$AS1529&lt;&gt;"✓")),"")</f>
        <v/>
      </c>
      <c r="AZ1529" s="21" t="str">
        <f>IF(AND($AM1529&lt;&gt;"",$AS1529="✓"),SUMPRODUCT(($AM$11:$AM1529&lt;&gt;"")*($AS$11:$AS1529="✓")),"")</f>
        <v/>
      </c>
      <c r="BA1529" s="21" t="str">
        <f>IF($AL1529="","",$AL1529&amp;"|"&amp;COUNTIF($AL$11:$AL1529,$AL1529))</f>
        <v/>
      </c>
    </row>
    <row r="1530" spans="38:53" ht="15" customHeight="1" x14ac:dyDescent="0.25">
      <c r="AL1530" s="31"/>
      <c r="AM1530" s="26"/>
      <c r="AN1530" s="32"/>
      <c r="AO1530" s="32"/>
      <c r="AP1530" s="24"/>
      <c r="AQ1530" s="24"/>
      <c r="AR1530" s="33"/>
      <c r="AS1530" s="34"/>
      <c r="AT1530" s="33"/>
      <c r="AV1530" s="21">
        <f>IF(AND($AL1530&lt;&gt;"",COUNTIF($AL$11:$AL1530,$AL1530)=1),1,0)</f>
        <v>0</v>
      </c>
      <c r="AW1530" s="21">
        <f t="shared" si="133"/>
        <v>2</v>
      </c>
      <c r="AX1530" s="21" t="str">
        <f t="shared" si="132"/>
        <v/>
      </c>
      <c r="AY1530" s="21" t="str">
        <f>IF(AND($AM1530&lt;&gt;"",$AS1530&lt;&gt;"✓"),SUMPRODUCT(($AM$11:$AM1530&lt;&gt;"")*($AS$11:$AS1530&lt;&gt;"✓")),"")</f>
        <v/>
      </c>
      <c r="AZ1530" s="21" t="str">
        <f>IF(AND($AM1530&lt;&gt;"",$AS1530="✓"),SUMPRODUCT(($AM$11:$AM1530&lt;&gt;"")*($AS$11:$AS1530="✓")),"")</f>
        <v/>
      </c>
      <c r="BA1530" s="21" t="str">
        <f>IF($AL1530="","",$AL1530&amp;"|"&amp;COUNTIF($AL$11:$AL1530,$AL1530))</f>
        <v/>
      </c>
    </row>
    <row r="1531" spans="38:53" ht="15" customHeight="1" x14ac:dyDescent="0.25">
      <c r="AL1531" s="17"/>
      <c r="AM1531" s="12"/>
      <c r="AN1531" s="18"/>
      <c r="AO1531" s="18"/>
      <c r="AP1531" s="10"/>
      <c r="AQ1531" s="10"/>
      <c r="AR1531" s="19"/>
      <c r="AS1531" s="20"/>
      <c r="AT1531" s="19"/>
      <c r="AV1531" s="21">
        <f>IF(AND($AL1531&lt;&gt;"",COUNTIF($AL$11:$AL1531,$AL1531)=1),1,0)</f>
        <v>0</v>
      </c>
      <c r="AW1531" s="21">
        <f t="shared" si="133"/>
        <v>2</v>
      </c>
      <c r="AX1531" s="21" t="str">
        <f t="shared" si="132"/>
        <v/>
      </c>
      <c r="AY1531" s="21" t="str">
        <f>IF(AND($AM1531&lt;&gt;"",$AS1531&lt;&gt;"✓"),SUMPRODUCT(($AM$11:$AM1531&lt;&gt;"")*($AS$11:$AS1531&lt;&gt;"✓")),"")</f>
        <v/>
      </c>
      <c r="AZ1531" s="21" t="str">
        <f>IF(AND($AM1531&lt;&gt;"",$AS1531="✓"),SUMPRODUCT(($AM$11:$AM1531&lt;&gt;"")*($AS$11:$AS1531="✓")),"")</f>
        <v/>
      </c>
      <c r="BA1531" s="21" t="str">
        <f>IF($AL1531="","",$AL1531&amp;"|"&amp;COUNTIF($AL$11:$AL1531,$AL1531))</f>
        <v/>
      </c>
    </row>
    <row r="1532" spans="38:53" ht="15" customHeight="1" x14ac:dyDescent="0.25">
      <c r="AL1532" s="31"/>
      <c r="AM1532" s="26"/>
      <c r="AN1532" s="32"/>
      <c r="AO1532" s="32"/>
      <c r="AP1532" s="24"/>
      <c r="AQ1532" s="24"/>
      <c r="AR1532" s="33"/>
      <c r="AS1532" s="34"/>
      <c r="AT1532" s="33"/>
      <c r="AV1532" s="21">
        <f>IF(AND($AL1532&lt;&gt;"",COUNTIF($AL$11:$AL1532,$AL1532)=1),1,0)</f>
        <v>0</v>
      </c>
      <c r="AW1532" s="21">
        <f t="shared" si="133"/>
        <v>2</v>
      </c>
      <c r="AX1532" s="21" t="str">
        <f t="shared" si="132"/>
        <v/>
      </c>
      <c r="AY1532" s="21" t="str">
        <f>IF(AND($AM1532&lt;&gt;"",$AS1532&lt;&gt;"✓"),SUMPRODUCT(($AM$11:$AM1532&lt;&gt;"")*($AS$11:$AS1532&lt;&gt;"✓")),"")</f>
        <v/>
      </c>
      <c r="AZ1532" s="21" t="str">
        <f>IF(AND($AM1532&lt;&gt;"",$AS1532="✓"),SUMPRODUCT(($AM$11:$AM1532&lt;&gt;"")*($AS$11:$AS1532="✓")),"")</f>
        <v/>
      </c>
      <c r="BA1532" s="21" t="str">
        <f>IF($AL1532="","",$AL1532&amp;"|"&amp;COUNTIF($AL$11:$AL1532,$AL1532))</f>
        <v/>
      </c>
    </row>
    <row r="1533" spans="38:53" ht="15" customHeight="1" x14ac:dyDescent="0.25">
      <c r="AL1533" s="17"/>
      <c r="AM1533" s="12"/>
      <c r="AN1533" s="18"/>
      <c r="AO1533" s="18"/>
      <c r="AP1533" s="10"/>
      <c r="AQ1533" s="10"/>
      <c r="AR1533" s="19"/>
      <c r="AS1533" s="20"/>
      <c r="AT1533" s="19"/>
      <c r="AV1533" s="21">
        <f>IF(AND($AL1533&lt;&gt;"",COUNTIF($AL$11:$AL1533,$AL1533)=1),1,0)</f>
        <v>0</v>
      </c>
      <c r="AW1533" s="21">
        <f t="shared" si="133"/>
        <v>2</v>
      </c>
      <c r="AX1533" s="21" t="str">
        <f t="shared" si="132"/>
        <v/>
      </c>
      <c r="AY1533" s="21" t="str">
        <f>IF(AND($AM1533&lt;&gt;"",$AS1533&lt;&gt;"✓"),SUMPRODUCT(($AM$11:$AM1533&lt;&gt;"")*($AS$11:$AS1533&lt;&gt;"✓")),"")</f>
        <v/>
      </c>
      <c r="AZ1533" s="21" t="str">
        <f>IF(AND($AM1533&lt;&gt;"",$AS1533="✓"),SUMPRODUCT(($AM$11:$AM1533&lt;&gt;"")*($AS$11:$AS1533="✓")),"")</f>
        <v/>
      </c>
      <c r="BA1533" s="21" t="str">
        <f>IF($AL1533="","",$AL1533&amp;"|"&amp;COUNTIF($AL$11:$AL1533,$AL1533))</f>
        <v/>
      </c>
    </row>
    <row r="1534" spans="38:53" ht="15" customHeight="1" x14ac:dyDescent="0.25">
      <c r="AL1534" s="31"/>
      <c r="AM1534" s="26"/>
      <c r="AN1534" s="32"/>
      <c r="AO1534" s="32"/>
      <c r="AP1534" s="24"/>
      <c r="AQ1534" s="24"/>
      <c r="AR1534" s="33"/>
      <c r="AS1534" s="34"/>
      <c r="AT1534" s="33"/>
      <c r="AV1534" s="21">
        <f>IF(AND($AL1534&lt;&gt;"",COUNTIF($AL$11:$AL1534,$AL1534)=1),1,0)</f>
        <v>0</v>
      </c>
      <c r="AW1534" s="21">
        <f t="shared" si="133"/>
        <v>2</v>
      </c>
      <c r="AX1534" s="21" t="str">
        <f t="shared" si="132"/>
        <v/>
      </c>
      <c r="AY1534" s="21" t="str">
        <f>IF(AND($AM1534&lt;&gt;"",$AS1534&lt;&gt;"✓"),SUMPRODUCT(($AM$11:$AM1534&lt;&gt;"")*($AS$11:$AS1534&lt;&gt;"✓")),"")</f>
        <v/>
      </c>
      <c r="AZ1534" s="21" t="str">
        <f>IF(AND($AM1534&lt;&gt;"",$AS1534="✓"),SUMPRODUCT(($AM$11:$AM1534&lt;&gt;"")*($AS$11:$AS1534="✓")),"")</f>
        <v/>
      </c>
      <c r="BA1534" s="21" t="str">
        <f>IF($AL1534="","",$AL1534&amp;"|"&amp;COUNTIF($AL$11:$AL1534,$AL1534))</f>
        <v/>
      </c>
    </row>
    <row r="1535" spans="38:53" ht="15" customHeight="1" x14ac:dyDescent="0.25">
      <c r="AL1535" s="17"/>
      <c r="AM1535" s="12"/>
      <c r="AN1535" s="18"/>
      <c r="AO1535" s="18"/>
      <c r="AP1535" s="10"/>
      <c r="AQ1535" s="10"/>
      <c r="AR1535" s="19"/>
      <c r="AS1535" s="20"/>
      <c r="AT1535" s="19"/>
      <c r="AV1535" s="21">
        <f>IF(AND($AL1535&lt;&gt;"",COUNTIF($AL$11:$AL1535,$AL1535)=1),1,0)</f>
        <v>0</v>
      </c>
      <c r="AW1535" s="21">
        <f t="shared" si="133"/>
        <v>2</v>
      </c>
      <c r="AX1535" s="21" t="str">
        <f t="shared" si="132"/>
        <v/>
      </c>
      <c r="AY1535" s="21" t="str">
        <f>IF(AND($AM1535&lt;&gt;"",$AS1535&lt;&gt;"✓"),SUMPRODUCT(($AM$11:$AM1535&lt;&gt;"")*($AS$11:$AS1535&lt;&gt;"✓")),"")</f>
        <v/>
      </c>
      <c r="AZ1535" s="21" t="str">
        <f>IF(AND($AM1535&lt;&gt;"",$AS1535="✓"),SUMPRODUCT(($AM$11:$AM1535&lt;&gt;"")*($AS$11:$AS1535="✓")),"")</f>
        <v/>
      </c>
      <c r="BA1535" s="21" t="str">
        <f>IF($AL1535="","",$AL1535&amp;"|"&amp;COUNTIF($AL$11:$AL1535,$AL1535))</f>
        <v/>
      </c>
    </row>
    <row r="1536" spans="38:53" ht="15" customHeight="1" x14ac:dyDescent="0.25">
      <c r="AL1536" s="31"/>
      <c r="AM1536" s="26"/>
      <c r="AN1536" s="32"/>
      <c r="AO1536" s="32"/>
      <c r="AP1536" s="24"/>
      <c r="AQ1536" s="24"/>
      <c r="AR1536" s="33"/>
      <c r="AS1536" s="34"/>
      <c r="AT1536" s="33"/>
      <c r="AV1536" s="21">
        <f>IF(AND($AL1536&lt;&gt;"",COUNTIF($AL$11:$AL1536,$AL1536)=1),1,0)</f>
        <v>0</v>
      </c>
      <c r="AW1536" s="21">
        <f t="shared" si="133"/>
        <v>2</v>
      </c>
      <c r="AX1536" s="21" t="str">
        <f t="shared" si="132"/>
        <v/>
      </c>
      <c r="AY1536" s="21" t="str">
        <f>IF(AND($AM1536&lt;&gt;"",$AS1536&lt;&gt;"✓"),SUMPRODUCT(($AM$11:$AM1536&lt;&gt;"")*($AS$11:$AS1536&lt;&gt;"✓")),"")</f>
        <v/>
      </c>
      <c r="AZ1536" s="21" t="str">
        <f>IF(AND($AM1536&lt;&gt;"",$AS1536="✓"),SUMPRODUCT(($AM$11:$AM1536&lt;&gt;"")*($AS$11:$AS1536="✓")),"")</f>
        <v/>
      </c>
      <c r="BA1536" s="21" t="str">
        <f>IF($AL1536="","",$AL1536&amp;"|"&amp;COUNTIF($AL$11:$AL1536,$AL1536))</f>
        <v/>
      </c>
    </row>
    <row r="1537" spans="38:53" ht="15" customHeight="1" x14ac:dyDescent="0.25">
      <c r="AL1537" s="17"/>
      <c r="AM1537" s="12"/>
      <c r="AN1537" s="18"/>
      <c r="AO1537" s="18"/>
      <c r="AP1537" s="10"/>
      <c r="AQ1537" s="10"/>
      <c r="AR1537" s="19"/>
      <c r="AS1537" s="20"/>
      <c r="AT1537" s="19"/>
      <c r="AV1537" s="21">
        <f>IF(AND($AL1537&lt;&gt;"",COUNTIF($AL$11:$AL1537,$AL1537)=1),1,0)</f>
        <v>0</v>
      </c>
      <c r="AW1537" s="21">
        <f t="shared" si="133"/>
        <v>2</v>
      </c>
      <c r="AX1537" s="21" t="str">
        <f t="shared" si="132"/>
        <v/>
      </c>
      <c r="AY1537" s="21" t="str">
        <f>IF(AND($AM1537&lt;&gt;"",$AS1537&lt;&gt;"✓"),SUMPRODUCT(($AM$11:$AM1537&lt;&gt;"")*($AS$11:$AS1537&lt;&gt;"✓")),"")</f>
        <v/>
      </c>
      <c r="AZ1537" s="21" t="str">
        <f>IF(AND($AM1537&lt;&gt;"",$AS1537="✓"),SUMPRODUCT(($AM$11:$AM1537&lt;&gt;"")*($AS$11:$AS1537="✓")),"")</f>
        <v/>
      </c>
      <c r="BA1537" s="21" t="str">
        <f>IF($AL1537="","",$AL1537&amp;"|"&amp;COUNTIF($AL$11:$AL1537,$AL1537))</f>
        <v/>
      </c>
    </row>
    <row r="1538" spans="38:53" ht="15" customHeight="1" x14ac:dyDescent="0.25">
      <c r="AL1538" s="31"/>
      <c r="AM1538" s="26"/>
      <c r="AN1538" s="32"/>
      <c r="AO1538" s="32"/>
      <c r="AP1538" s="24"/>
      <c r="AQ1538" s="24"/>
      <c r="AR1538" s="33"/>
      <c r="AS1538" s="34"/>
      <c r="AT1538" s="33"/>
      <c r="AV1538" s="21">
        <f>IF(AND($AL1538&lt;&gt;"",COUNTIF($AL$11:$AL1538,$AL1538)=1),1,0)</f>
        <v>0</v>
      </c>
      <c r="AW1538" s="21">
        <f t="shared" si="133"/>
        <v>2</v>
      </c>
      <c r="AX1538" s="21" t="str">
        <f t="shared" si="132"/>
        <v/>
      </c>
      <c r="AY1538" s="21" t="str">
        <f>IF(AND($AM1538&lt;&gt;"",$AS1538&lt;&gt;"✓"),SUMPRODUCT(($AM$11:$AM1538&lt;&gt;"")*($AS$11:$AS1538&lt;&gt;"✓")),"")</f>
        <v/>
      </c>
      <c r="AZ1538" s="21" t="str">
        <f>IF(AND($AM1538&lt;&gt;"",$AS1538="✓"),SUMPRODUCT(($AM$11:$AM1538&lt;&gt;"")*($AS$11:$AS1538="✓")),"")</f>
        <v/>
      </c>
      <c r="BA1538" s="21" t="str">
        <f>IF($AL1538="","",$AL1538&amp;"|"&amp;COUNTIF($AL$11:$AL1538,$AL1538))</f>
        <v/>
      </c>
    </row>
    <row r="1539" spans="38:53" ht="15" customHeight="1" x14ac:dyDescent="0.25">
      <c r="AL1539" s="17"/>
      <c r="AM1539" s="12"/>
      <c r="AN1539" s="18"/>
      <c r="AO1539" s="18"/>
      <c r="AP1539" s="10"/>
      <c r="AQ1539" s="10"/>
      <c r="AR1539" s="19"/>
      <c r="AS1539" s="20"/>
      <c r="AT1539" s="19"/>
      <c r="AV1539" s="21">
        <f>IF(AND($AL1539&lt;&gt;"",COUNTIF($AL$11:$AL1539,$AL1539)=1),1,0)</f>
        <v>0</v>
      </c>
      <c r="AW1539" s="21">
        <f t="shared" si="133"/>
        <v>2</v>
      </c>
      <c r="AX1539" s="21" t="str">
        <f t="shared" si="132"/>
        <v/>
      </c>
      <c r="AY1539" s="21" t="str">
        <f>IF(AND($AM1539&lt;&gt;"",$AS1539&lt;&gt;"✓"),SUMPRODUCT(($AM$11:$AM1539&lt;&gt;"")*($AS$11:$AS1539&lt;&gt;"✓")),"")</f>
        <v/>
      </c>
      <c r="AZ1539" s="21" t="str">
        <f>IF(AND($AM1539&lt;&gt;"",$AS1539="✓"),SUMPRODUCT(($AM$11:$AM1539&lt;&gt;"")*($AS$11:$AS1539="✓")),"")</f>
        <v/>
      </c>
      <c r="BA1539" s="21" t="str">
        <f>IF($AL1539="","",$AL1539&amp;"|"&amp;COUNTIF($AL$11:$AL1539,$AL1539))</f>
        <v/>
      </c>
    </row>
    <row r="1540" spans="38:53" ht="15" customHeight="1" x14ac:dyDescent="0.25">
      <c r="AL1540" s="31"/>
      <c r="AM1540" s="26"/>
      <c r="AN1540" s="32"/>
      <c r="AO1540" s="32"/>
      <c r="AP1540" s="24"/>
      <c r="AQ1540" s="24"/>
      <c r="AR1540" s="33"/>
      <c r="AS1540" s="34"/>
      <c r="AT1540" s="33"/>
      <c r="AV1540" s="21">
        <f>IF(AND($AL1540&lt;&gt;"",COUNTIF($AL$11:$AL1540,$AL1540)=1),1,0)</f>
        <v>0</v>
      </c>
      <c r="AW1540" s="21">
        <f t="shared" si="133"/>
        <v>2</v>
      </c>
      <c r="AX1540" s="21" t="str">
        <f t="shared" si="132"/>
        <v/>
      </c>
      <c r="AY1540" s="21" t="str">
        <f>IF(AND($AM1540&lt;&gt;"",$AS1540&lt;&gt;"✓"),SUMPRODUCT(($AM$11:$AM1540&lt;&gt;"")*($AS$11:$AS1540&lt;&gt;"✓")),"")</f>
        <v/>
      </c>
      <c r="AZ1540" s="21" t="str">
        <f>IF(AND($AM1540&lt;&gt;"",$AS1540="✓"),SUMPRODUCT(($AM$11:$AM1540&lt;&gt;"")*($AS$11:$AS1540="✓")),"")</f>
        <v/>
      </c>
      <c r="BA1540" s="21" t="str">
        <f>IF($AL1540="","",$AL1540&amp;"|"&amp;COUNTIF($AL$11:$AL1540,$AL1540))</f>
        <v/>
      </c>
    </row>
    <row r="1541" spans="38:53" ht="15" customHeight="1" x14ac:dyDescent="0.25">
      <c r="AL1541" s="17"/>
      <c r="AM1541" s="12"/>
      <c r="AN1541" s="18"/>
      <c r="AO1541" s="18"/>
      <c r="AP1541" s="10"/>
      <c r="AQ1541" s="10"/>
      <c r="AR1541" s="19"/>
      <c r="AS1541" s="20"/>
      <c r="AT1541" s="19"/>
      <c r="AV1541" s="21">
        <f>IF(AND($AL1541&lt;&gt;"",COUNTIF($AL$11:$AL1541,$AL1541)=1),1,0)</f>
        <v>0</v>
      </c>
      <c r="AW1541" s="21">
        <f t="shared" si="133"/>
        <v>2</v>
      </c>
      <c r="AX1541" s="21" t="str">
        <f t="shared" si="132"/>
        <v/>
      </c>
      <c r="AY1541" s="21" t="str">
        <f>IF(AND($AM1541&lt;&gt;"",$AS1541&lt;&gt;"✓"),SUMPRODUCT(($AM$11:$AM1541&lt;&gt;"")*($AS$11:$AS1541&lt;&gt;"✓")),"")</f>
        <v/>
      </c>
      <c r="AZ1541" s="21" t="str">
        <f>IF(AND($AM1541&lt;&gt;"",$AS1541="✓"),SUMPRODUCT(($AM$11:$AM1541&lt;&gt;"")*($AS$11:$AS1541="✓")),"")</f>
        <v/>
      </c>
      <c r="BA1541" s="21" t="str">
        <f>IF($AL1541="","",$AL1541&amp;"|"&amp;COUNTIF($AL$11:$AL1541,$AL1541))</f>
        <v/>
      </c>
    </row>
    <row r="1542" spans="38:53" ht="15" customHeight="1" x14ac:dyDescent="0.25">
      <c r="AL1542" s="31"/>
      <c r="AM1542" s="26"/>
      <c r="AN1542" s="32"/>
      <c r="AO1542" s="32"/>
      <c r="AP1542" s="24"/>
      <c r="AQ1542" s="24"/>
      <c r="AR1542" s="33"/>
      <c r="AS1542" s="34"/>
      <c r="AT1542" s="33"/>
      <c r="AV1542" s="21">
        <f>IF(AND($AL1542&lt;&gt;"",COUNTIF($AL$11:$AL1542,$AL1542)=1),1,0)</f>
        <v>0</v>
      </c>
      <c r="AW1542" s="21">
        <f t="shared" si="133"/>
        <v>2</v>
      </c>
      <c r="AX1542" s="21" t="str">
        <f t="shared" si="132"/>
        <v/>
      </c>
      <c r="AY1542" s="21" t="str">
        <f>IF(AND($AM1542&lt;&gt;"",$AS1542&lt;&gt;"✓"),SUMPRODUCT(($AM$11:$AM1542&lt;&gt;"")*($AS$11:$AS1542&lt;&gt;"✓")),"")</f>
        <v/>
      </c>
      <c r="AZ1542" s="21" t="str">
        <f>IF(AND($AM1542&lt;&gt;"",$AS1542="✓"),SUMPRODUCT(($AM$11:$AM1542&lt;&gt;"")*($AS$11:$AS1542="✓")),"")</f>
        <v/>
      </c>
      <c r="BA1542" s="21" t="str">
        <f>IF($AL1542="","",$AL1542&amp;"|"&amp;COUNTIF($AL$11:$AL1542,$AL1542))</f>
        <v/>
      </c>
    </row>
    <row r="1543" spans="38:53" ht="15" customHeight="1" x14ac:dyDescent="0.25">
      <c r="AL1543" s="17"/>
      <c r="AM1543" s="12"/>
      <c r="AN1543" s="18"/>
      <c r="AO1543" s="18"/>
      <c r="AP1543" s="10"/>
      <c r="AQ1543" s="10"/>
      <c r="AR1543" s="19"/>
      <c r="AS1543" s="20"/>
      <c r="AT1543" s="19"/>
      <c r="AV1543" s="21">
        <f>IF(AND($AL1543&lt;&gt;"",COUNTIF($AL$11:$AL1543,$AL1543)=1),1,0)</f>
        <v>0</v>
      </c>
      <c r="AW1543" s="21">
        <f t="shared" si="133"/>
        <v>2</v>
      </c>
      <c r="AX1543" s="21" t="str">
        <f t="shared" si="132"/>
        <v/>
      </c>
      <c r="AY1543" s="21" t="str">
        <f>IF(AND($AM1543&lt;&gt;"",$AS1543&lt;&gt;"✓"),SUMPRODUCT(($AM$11:$AM1543&lt;&gt;"")*($AS$11:$AS1543&lt;&gt;"✓")),"")</f>
        <v/>
      </c>
      <c r="AZ1543" s="21" t="str">
        <f>IF(AND($AM1543&lt;&gt;"",$AS1543="✓"),SUMPRODUCT(($AM$11:$AM1543&lt;&gt;"")*($AS$11:$AS1543="✓")),"")</f>
        <v/>
      </c>
      <c r="BA1543" s="21" t="str">
        <f>IF($AL1543="","",$AL1543&amp;"|"&amp;COUNTIF($AL$11:$AL1543,$AL1543))</f>
        <v/>
      </c>
    </row>
    <row r="1544" spans="38:53" ht="15" customHeight="1" x14ac:dyDescent="0.25">
      <c r="AL1544" s="31"/>
      <c r="AM1544" s="26"/>
      <c r="AN1544" s="32"/>
      <c r="AO1544" s="32"/>
      <c r="AP1544" s="24"/>
      <c r="AQ1544" s="24"/>
      <c r="AR1544" s="33"/>
      <c r="AS1544" s="34"/>
      <c r="AT1544" s="33"/>
      <c r="AV1544" s="21">
        <f>IF(AND($AL1544&lt;&gt;"",COUNTIF($AL$11:$AL1544,$AL1544)=1),1,0)</f>
        <v>0</v>
      </c>
      <c r="AW1544" s="21">
        <f t="shared" si="133"/>
        <v>2</v>
      </c>
      <c r="AX1544" s="21" t="str">
        <f t="shared" si="132"/>
        <v/>
      </c>
      <c r="AY1544" s="21" t="str">
        <f>IF(AND($AM1544&lt;&gt;"",$AS1544&lt;&gt;"✓"),SUMPRODUCT(($AM$11:$AM1544&lt;&gt;"")*($AS$11:$AS1544&lt;&gt;"✓")),"")</f>
        <v/>
      </c>
      <c r="AZ1544" s="21" t="str">
        <f>IF(AND($AM1544&lt;&gt;"",$AS1544="✓"),SUMPRODUCT(($AM$11:$AM1544&lt;&gt;"")*($AS$11:$AS1544="✓")),"")</f>
        <v/>
      </c>
      <c r="BA1544" s="21" t="str">
        <f>IF($AL1544="","",$AL1544&amp;"|"&amp;COUNTIF($AL$11:$AL1544,$AL1544))</f>
        <v/>
      </c>
    </row>
    <row r="1545" spans="38:53" ht="15" customHeight="1" x14ac:dyDescent="0.25">
      <c r="AL1545" s="17"/>
      <c r="AM1545" s="12"/>
      <c r="AN1545" s="18"/>
      <c r="AO1545" s="18"/>
      <c r="AP1545" s="10"/>
      <c r="AQ1545" s="10"/>
      <c r="AR1545" s="19"/>
      <c r="AS1545" s="20"/>
      <c r="AT1545" s="19"/>
      <c r="AV1545" s="21">
        <f>IF(AND($AL1545&lt;&gt;"",COUNTIF($AL$11:$AL1545,$AL1545)=1),1,0)</f>
        <v>0</v>
      </c>
      <c r="AW1545" s="21">
        <f t="shared" si="133"/>
        <v>2</v>
      </c>
      <c r="AX1545" s="21" t="str">
        <f t="shared" si="132"/>
        <v/>
      </c>
      <c r="AY1545" s="21" t="str">
        <f>IF(AND($AM1545&lt;&gt;"",$AS1545&lt;&gt;"✓"),SUMPRODUCT(($AM$11:$AM1545&lt;&gt;"")*($AS$11:$AS1545&lt;&gt;"✓")),"")</f>
        <v/>
      </c>
      <c r="AZ1545" s="21" t="str">
        <f>IF(AND($AM1545&lt;&gt;"",$AS1545="✓"),SUMPRODUCT(($AM$11:$AM1545&lt;&gt;"")*($AS$11:$AS1545="✓")),"")</f>
        <v/>
      </c>
      <c r="BA1545" s="21" t="str">
        <f>IF($AL1545="","",$AL1545&amp;"|"&amp;COUNTIF($AL$11:$AL1545,$AL1545))</f>
        <v/>
      </c>
    </row>
    <row r="1546" spans="38:53" ht="15" customHeight="1" x14ac:dyDescent="0.25">
      <c r="AL1546" s="31"/>
      <c r="AM1546" s="26"/>
      <c r="AN1546" s="32"/>
      <c r="AO1546" s="32"/>
      <c r="AP1546" s="24"/>
      <c r="AQ1546" s="24"/>
      <c r="AR1546" s="33"/>
      <c r="AS1546" s="34"/>
      <c r="AT1546" s="33"/>
      <c r="AV1546" s="21">
        <f>IF(AND($AL1546&lt;&gt;"",COUNTIF($AL$11:$AL1546,$AL1546)=1),1,0)</f>
        <v>0</v>
      </c>
      <c r="AW1546" s="21">
        <f t="shared" si="133"/>
        <v>2</v>
      </c>
      <c r="AX1546" s="21" t="str">
        <f t="shared" si="132"/>
        <v/>
      </c>
      <c r="AY1546" s="21" t="str">
        <f>IF(AND($AM1546&lt;&gt;"",$AS1546&lt;&gt;"✓"),SUMPRODUCT(($AM$11:$AM1546&lt;&gt;"")*($AS$11:$AS1546&lt;&gt;"✓")),"")</f>
        <v/>
      </c>
      <c r="AZ1546" s="21" t="str">
        <f>IF(AND($AM1546&lt;&gt;"",$AS1546="✓"),SUMPRODUCT(($AM$11:$AM1546&lt;&gt;"")*($AS$11:$AS1546="✓")),"")</f>
        <v/>
      </c>
      <c r="BA1546" s="21" t="str">
        <f>IF($AL1546="","",$AL1546&amp;"|"&amp;COUNTIF($AL$11:$AL1546,$AL1546))</f>
        <v/>
      </c>
    </row>
    <row r="1547" spans="38:53" ht="15" customHeight="1" x14ac:dyDescent="0.25">
      <c r="AL1547" s="17"/>
      <c r="AM1547" s="12"/>
      <c r="AN1547" s="18"/>
      <c r="AO1547" s="18"/>
      <c r="AP1547" s="10"/>
      <c r="AQ1547" s="10"/>
      <c r="AR1547" s="19"/>
      <c r="AS1547" s="20"/>
      <c r="AT1547" s="19"/>
      <c r="AV1547" s="21">
        <f>IF(AND($AL1547&lt;&gt;"",COUNTIF($AL$11:$AL1547,$AL1547)=1),1,0)</f>
        <v>0</v>
      </c>
      <c r="AW1547" s="21">
        <f t="shared" si="133"/>
        <v>2</v>
      </c>
      <c r="AX1547" s="21" t="str">
        <f t="shared" ref="AX1547:AX1610" si="134">IF(AV1547=1,AW1547,"")</f>
        <v/>
      </c>
      <c r="AY1547" s="21" t="str">
        <f>IF(AND($AM1547&lt;&gt;"",$AS1547&lt;&gt;"✓"),SUMPRODUCT(($AM$11:$AM1547&lt;&gt;"")*($AS$11:$AS1547&lt;&gt;"✓")),"")</f>
        <v/>
      </c>
      <c r="AZ1547" s="21" t="str">
        <f>IF(AND($AM1547&lt;&gt;"",$AS1547="✓"),SUMPRODUCT(($AM$11:$AM1547&lt;&gt;"")*($AS$11:$AS1547="✓")),"")</f>
        <v/>
      </c>
      <c r="BA1547" s="21" t="str">
        <f>IF($AL1547="","",$AL1547&amp;"|"&amp;COUNTIF($AL$11:$AL1547,$AL1547))</f>
        <v/>
      </c>
    </row>
    <row r="1548" spans="38:53" ht="15" customHeight="1" x14ac:dyDescent="0.25">
      <c r="AL1548" s="31"/>
      <c r="AM1548" s="26"/>
      <c r="AN1548" s="32"/>
      <c r="AO1548" s="32"/>
      <c r="AP1548" s="24"/>
      <c r="AQ1548" s="24"/>
      <c r="AR1548" s="33"/>
      <c r="AS1548" s="34"/>
      <c r="AT1548" s="33"/>
      <c r="AV1548" s="21">
        <f>IF(AND($AL1548&lt;&gt;"",COUNTIF($AL$11:$AL1548,$AL1548)=1),1,0)</f>
        <v>0</v>
      </c>
      <c r="AW1548" s="21">
        <f t="shared" ref="AW1548:AW1611" si="135">AW1547+AV1548</f>
        <v>2</v>
      </c>
      <c r="AX1548" s="21" t="str">
        <f t="shared" si="134"/>
        <v/>
      </c>
      <c r="AY1548" s="21" t="str">
        <f>IF(AND($AM1548&lt;&gt;"",$AS1548&lt;&gt;"✓"),SUMPRODUCT(($AM$11:$AM1548&lt;&gt;"")*($AS$11:$AS1548&lt;&gt;"✓")),"")</f>
        <v/>
      </c>
      <c r="AZ1548" s="21" t="str">
        <f>IF(AND($AM1548&lt;&gt;"",$AS1548="✓"),SUMPRODUCT(($AM$11:$AM1548&lt;&gt;"")*($AS$11:$AS1548="✓")),"")</f>
        <v/>
      </c>
      <c r="BA1548" s="21" t="str">
        <f>IF($AL1548="","",$AL1548&amp;"|"&amp;COUNTIF($AL$11:$AL1548,$AL1548))</f>
        <v/>
      </c>
    </row>
    <row r="1549" spans="38:53" ht="15" customHeight="1" x14ac:dyDescent="0.25">
      <c r="AL1549" s="17"/>
      <c r="AM1549" s="12"/>
      <c r="AN1549" s="18"/>
      <c r="AO1549" s="18"/>
      <c r="AP1549" s="10"/>
      <c r="AQ1549" s="10"/>
      <c r="AR1549" s="19"/>
      <c r="AS1549" s="20"/>
      <c r="AT1549" s="19"/>
      <c r="AV1549" s="21">
        <f>IF(AND($AL1549&lt;&gt;"",COUNTIF($AL$11:$AL1549,$AL1549)=1),1,0)</f>
        <v>0</v>
      </c>
      <c r="AW1549" s="21">
        <f t="shared" si="135"/>
        <v>2</v>
      </c>
      <c r="AX1549" s="21" t="str">
        <f t="shared" si="134"/>
        <v/>
      </c>
      <c r="AY1549" s="21" t="str">
        <f>IF(AND($AM1549&lt;&gt;"",$AS1549&lt;&gt;"✓"),SUMPRODUCT(($AM$11:$AM1549&lt;&gt;"")*($AS$11:$AS1549&lt;&gt;"✓")),"")</f>
        <v/>
      </c>
      <c r="AZ1549" s="21" t="str">
        <f>IF(AND($AM1549&lt;&gt;"",$AS1549="✓"),SUMPRODUCT(($AM$11:$AM1549&lt;&gt;"")*($AS$11:$AS1549="✓")),"")</f>
        <v/>
      </c>
      <c r="BA1549" s="21" t="str">
        <f>IF($AL1549="","",$AL1549&amp;"|"&amp;COUNTIF($AL$11:$AL1549,$AL1549))</f>
        <v/>
      </c>
    </row>
    <row r="1550" spans="38:53" ht="15" customHeight="1" x14ac:dyDescent="0.25">
      <c r="AL1550" s="31"/>
      <c r="AM1550" s="26"/>
      <c r="AN1550" s="32"/>
      <c r="AO1550" s="32"/>
      <c r="AP1550" s="24"/>
      <c r="AQ1550" s="24"/>
      <c r="AR1550" s="33"/>
      <c r="AS1550" s="34"/>
      <c r="AT1550" s="33"/>
      <c r="AV1550" s="21">
        <f>IF(AND($AL1550&lt;&gt;"",COUNTIF($AL$11:$AL1550,$AL1550)=1),1,0)</f>
        <v>0</v>
      </c>
      <c r="AW1550" s="21">
        <f t="shared" si="135"/>
        <v>2</v>
      </c>
      <c r="AX1550" s="21" t="str">
        <f t="shared" si="134"/>
        <v/>
      </c>
      <c r="AY1550" s="21" t="str">
        <f>IF(AND($AM1550&lt;&gt;"",$AS1550&lt;&gt;"✓"),SUMPRODUCT(($AM$11:$AM1550&lt;&gt;"")*($AS$11:$AS1550&lt;&gt;"✓")),"")</f>
        <v/>
      </c>
      <c r="AZ1550" s="21" t="str">
        <f>IF(AND($AM1550&lt;&gt;"",$AS1550="✓"),SUMPRODUCT(($AM$11:$AM1550&lt;&gt;"")*($AS$11:$AS1550="✓")),"")</f>
        <v/>
      </c>
      <c r="BA1550" s="21" t="str">
        <f>IF($AL1550="","",$AL1550&amp;"|"&amp;COUNTIF($AL$11:$AL1550,$AL1550))</f>
        <v/>
      </c>
    </row>
    <row r="1551" spans="38:53" ht="15" customHeight="1" x14ac:dyDescent="0.25">
      <c r="AL1551" s="17"/>
      <c r="AM1551" s="12"/>
      <c r="AN1551" s="18"/>
      <c r="AO1551" s="18"/>
      <c r="AP1551" s="10"/>
      <c r="AQ1551" s="10"/>
      <c r="AR1551" s="19"/>
      <c r="AS1551" s="20"/>
      <c r="AT1551" s="19"/>
      <c r="AV1551" s="21">
        <f>IF(AND($AL1551&lt;&gt;"",COUNTIF($AL$11:$AL1551,$AL1551)=1),1,0)</f>
        <v>0</v>
      </c>
      <c r="AW1551" s="21">
        <f t="shared" si="135"/>
        <v>2</v>
      </c>
      <c r="AX1551" s="21" t="str">
        <f t="shared" si="134"/>
        <v/>
      </c>
      <c r="AY1551" s="21" t="str">
        <f>IF(AND($AM1551&lt;&gt;"",$AS1551&lt;&gt;"✓"),SUMPRODUCT(($AM$11:$AM1551&lt;&gt;"")*($AS$11:$AS1551&lt;&gt;"✓")),"")</f>
        <v/>
      </c>
      <c r="AZ1551" s="21" t="str">
        <f>IF(AND($AM1551&lt;&gt;"",$AS1551="✓"),SUMPRODUCT(($AM$11:$AM1551&lt;&gt;"")*($AS$11:$AS1551="✓")),"")</f>
        <v/>
      </c>
      <c r="BA1551" s="21" t="str">
        <f>IF($AL1551="","",$AL1551&amp;"|"&amp;COUNTIF($AL$11:$AL1551,$AL1551))</f>
        <v/>
      </c>
    </row>
    <row r="1552" spans="38:53" ht="15" customHeight="1" x14ac:dyDescent="0.25">
      <c r="AL1552" s="31"/>
      <c r="AM1552" s="26"/>
      <c r="AN1552" s="32"/>
      <c r="AO1552" s="32"/>
      <c r="AP1552" s="24"/>
      <c r="AQ1552" s="24"/>
      <c r="AR1552" s="33"/>
      <c r="AS1552" s="34"/>
      <c r="AT1552" s="33"/>
      <c r="AV1552" s="21">
        <f>IF(AND($AL1552&lt;&gt;"",COUNTIF($AL$11:$AL1552,$AL1552)=1),1,0)</f>
        <v>0</v>
      </c>
      <c r="AW1552" s="21">
        <f t="shared" si="135"/>
        <v>2</v>
      </c>
      <c r="AX1552" s="21" t="str">
        <f t="shared" si="134"/>
        <v/>
      </c>
      <c r="AY1552" s="21" t="str">
        <f>IF(AND($AM1552&lt;&gt;"",$AS1552&lt;&gt;"✓"),SUMPRODUCT(($AM$11:$AM1552&lt;&gt;"")*($AS$11:$AS1552&lt;&gt;"✓")),"")</f>
        <v/>
      </c>
      <c r="AZ1552" s="21" t="str">
        <f>IF(AND($AM1552&lt;&gt;"",$AS1552="✓"),SUMPRODUCT(($AM$11:$AM1552&lt;&gt;"")*($AS$11:$AS1552="✓")),"")</f>
        <v/>
      </c>
      <c r="BA1552" s="21" t="str">
        <f>IF($AL1552="","",$AL1552&amp;"|"&amp;COUNTIF($AL$11:$AL1552,$AL1552))</f>
        <v/>
      </c>
    </row>
    <row r="1553" spans="38:53" ht="15" customHeight="1" x14ac:dyDescent="0.25">
      <c r="AL1553" s="17"/>
      <c r="AM1553" s="12"/>
      <c r="AN1553" s="18"/>
      <c r="AO1553" s="18"/>
      <c r="AP1553" s="10"/>
      <c r="AQ1553" s="10"/>
      <c r="AR1553" s="19"/>
      <c r="AS1553" s="20"/>
      <c r="AT1553" s="19"/>
      <c r="AV1553" s="21">
        <f>IF(AND($AL1553&lt;&gt;"",COUNTIF($AL$11:$AL1553,$AL1553)=1),1,0)</f>
        <v>0</v>
      </c>
      <c r="AW1553" s="21">
        <f t="shared" si="135"/>
        <v>2</v>
      </c>
      <c r="AX1553" s="21" t="str">
        <f t="shared" si="134"/>
        <v/>
      </c>
      <c r="AY1553" s="21" t="str">
        <f>IF(AND($AM1553&lt;&gt;"",$AS1553&lt;&gt;"✓"),SUMPRODUCT(($AM$11:$AM1553&lt;&gt;"")*($AS$11:$AS1553&lt;&gt;"✓")),"")</f>
        <v/>
      </c>
      <c r="AZ1553" s="21" t="str">
        <f>IF(AND($AM1553&lt;&gt;"",$AS1553="✓"),SUMPRODUCT(($AM$11:$AM1553&lt;&gt;"")*($AS$11:$AS1553="✓")),"")</f>
        <v/>
      </c>
      <c r="BA1553" s="21" t="str">
        <f>IF($AL1553="","",$AL1553&amp;"|"&amp;COUNTIF($AL$11:$AL1553,$AL1553))</f>
        <v/>
      </c>
    </row>
    <row r="1554" spans="38:53" ht="15" customHeight="1" x14ac:dyDescent="0.25">
      <c r="AL1554" s="31"/>
      <c r="AM1554" s="26"/>
      <c r="AN1554" s="32"/>
      <c r="AO1554" s="32"/>
      <c r="AP1554" s="24"/>
      <c r="AQ1554" s="24"/>
      <c r="AR1554" s="33"/>
      <c r="AS1554" s="34"/>
      <c r="AT1554" s="33"/>
      <c r="AV1554" s="21">
        <f>IF(AND($AL1554&lt;&gt;"",COUNTIF($AL$11:$AL1554,$AL1554)=1),1,0)</f>
        <v>0</v>
      </c>
      <c r="AW1554" s="21">
        <f t="shared" si="135"/>
        <v>2</v>
      </c>
      <c r="AX1554" s="21" t="str">
        <f t="shared" si="134"/>
        <v/>
      </c>
      <c r="AY1554" s="21" t="str">
        <f>IF(AND($AM1554&lt;&gt;"",$AS1554&lt;&gt;"✓"),SUMPRODUCT(($AM$11:$AM1554&lt;&gt;"")*($AS$11:$AS1554&lt;&gt;"✓")),"")</f>
        <v/>
      </c>
      <c r="AZ1554" s="21" t="str">
        <f>IF(AND($AM1554&lt;&gt;"",$AS1554="✓"),SUMPRODUCT(($AM$11:$AM1554&lt;&gt;"")*($AS$11:$AS1554="✓")),"")</f>
        <v/>
      </c>
      <c r="BA1554" s="21" t="str">
        <f>IF($AL1554="","",$AL1554&amp;"|"&amp;COUNTIF($AL$11:$AL1554,$AL1554))</f>
        <v/>
      </c>
    </row>
    <row r="1555" spans="38:53" ht="15" customHeight="1" x14ac:dyDescent="0.25">
      <c r="AL1555" s="17"/>
      <c r="AM1555" s="12"/>
      <c r="AN1555" s="18"/>
      <c r="AO1555" s="18"/>
      <c r="AP1555" s="10"/>
      <c r="AQ1555" s="10"/>
      <c r="AR1555" s="19"/>
      <c r="AS1555" s="20"/>
      <c r="AT1555" s="19"/>
      <c r="AV1555" s="21">
        <f>IF(AND($AL1555&lt;&gt;"",COUNTIF($AL$11:$AL1555,$AL1555)=1),1,0)</f>
        <v>0</v>
      </c>
      <c r="AW1555" s="21">
        <f t="shared" si="135"/>
        <v>2</v>
      </c>
      <c r="AX1555" s="21" t="str">
        <f t="shared" si="134"/>
        <v/>
      </c>
      <c r="AY1555" s="21" t="str">
        <f>IF(AND($AM1555&lt;&gt;"",$AS1555&lt;&gt;"✓"),SUMPRODUCT(($AM$11:$AM1555&lt;&gt;"")*($AS$11:$AS1555&lt;&gt;"✓")),"")</f>
        <v/>
      </c>
      <c r="AZ1555" s="21" t="str">
        <f>IF(AND($AM1555&lt;&gt;"",$AS1555="✓"),SUMPRODUCT(($AM$11:$AM1555&lt;&gt;"")*($AS$11:$AS1555="✓")),"")</f>
        <v/>
      </c>
      <c r="BA1555" s="21" t="str">
        <f>IF($AL1555="","",$AL1555&amp;"|"&amp;COUNTIF($AL$11:$AL1555,$AL1555))</f>
        <v/>
      </c>
    </row>
    <row r="1556" spans="38:53" ht="15" customHeight="1" x14ac:dyDescent="0.25">
      <c r="AL1556" s="31"/>
      <c r="AM1556" s="26"/>
      <c r="AN1556" s="32"/>
      <c r="AO1556" s="32"/>
      <c r="AP1556" s="24"/>
      <c r="AQ1556" s="24"/>
      <c r="AR1556" s="33"/>
      <c r="AS1556" s="34"/>
      <c r="AT1556" s="33"/>
      <c r="AV1556" s="21">
        <f>IF(AND($AL1556&lt;&gt;"",COUNTIF($AL$11:$AL1556,$AL1556)=1),1,0)</f>
        <v>0</v>
      </c>
      <c r="AW1556" s="21">
        <f t="shared" si="135"/>
        <v>2</v>
      </c>
      <c r="AX1556" s="21" t="str">
        <f t="shared" si="134"/>
        <v/>
      </c>
      <c r="AY1556" s="21" t="str">
        <f>IF(AND($AM1556&lt;&gt;"",$AS1556&lt;&gt;"✓"),SUMPRODUCT(($AM$11:$AM1556&lt;&gt;"")*($AS$11:$AS1556&lt;&gt;"✓")),"")</f>
        <v/>
      </c>
      <c r="AZ1556" s="21" t="str">
        <f>IF(AND($AM1556&lt;&gt;"",$AS1556="✓"),SUMPRODUCT(($AM$11:$AM1556&lt;&gt;"")*($AS$11:$AS1556="✓")),"")</f>
        <v/>
      </c>
      <c r="BA1556" s="21" t="str">
        <f>IF($AL1556="","",$AL1556&amp;"|"&amp;COUNTIF($AL$11:$AL1556,$AL1556))</f>
        <v/>
      </c>
    </row>
    <row r="1557" spans="38:53" ht="15" customHeight="1" x14ac:dyDescent="0.25">
      <c r="AL1557" s="17"/>
      <c r="AM1557" s="12"/>
      <c r="AN1557" s="18"/>
      <c r="AO1557" s="18"/>
      <c r="AP1557" s="10"/>
      <c r="AQ1557" s="10"/>
      <c r="AR1557" s="19"/>
      <c r="AS1557" s="20"/>
      <c r="AT1557" s="19"/>
      <c r="AV1557" s="21">
        <f>IF(AND($AL1557&lt;&gt;"",COUNTIF($AL$11:$AL1557,$AL1557)=1),1,0)</f>
        <v>0</v>
      </c>
      <c r="AW1557" s="21">
        <f t="shared" si="135"/>
        <v>2</v>
      </c>
      <c r="AX1557" s="21" t="str">
        <f t="shared" si="134"/>
        <v/>
      </c>
      <c r="AY1557" s="21" t="str">
        <f>IF(AND($AM1557&lt;&gt;"",$AS1557&lt;&gt;"✓"),SUMPRODUCT(($AM$11:$AM1557&lt;&gt;"")*($AS$11:$AS1557&lt;&gt;"✓")),"")</f>
        <v/>
      </c>
      <c r="AZ1557" s="21" t="str">
        <f>IF(AND($AM1557&lt;&gt;"",$AS1557="✓"),SUMPRODUCT(($AM$11:$AM1557&lt;&gt;"")*($AS$11:$AS1557="✓")),"")</f>
        <v/>
      </c>
      <c r="BA1557" s="21" t="str">
        <f>IF($AL1557="","",$AL1557&amp;"|"&amp;COUNTIF($AL$11:$AL1557,$AL1557))</f>
        <v/>
      </c>
    </row>
    <row r="1558" spans="38:53" ht="15" customHeight="1" x14ac:dyDescent="0.25">
      <c r="AL1558" s="31"/>
      <c r="AM1558" s="26"/>
      <c r="AN1558" s="32"/>
      <c r="AO1558" s="32"/>
      <c r="AP1558" s="24"/>
      <c r="AQ1558" s="24"/>
      <c r="AR1558" s="33"/>
      <c r="AS1558" s="34"/>
      <c r="AT1558" s="33"/>
      <c r="AV1558" s="21">
        <f>IF(AND($AL1558&lt;&gt;"",COUNTIF($AL$11:$AL1558,$AL1558)=1),1,0)</f>
        <v>0</v>
      </c>
      <c r="AW1558" s="21">
        <f t="shared" si="135"/>
        <v>2</v>
      </c>
      <c r="AX1558" s="21" t="str">
        <f t="shared" si="134"/>
        <v/>
      </c>
      <c r="AY1558" s="21" t="str">
        <f>IF(AND($AM1558&lt;&gt;"",$AS1558&lt;&gt;"✓"),SUMPRODUCT(($AM$11:$AM1558&lt;&gt;"")*($AS$11:$AS1558&lt;&gt;"✓")),"")</f>
        <v/>
      </c>
      <c r="AZ1558" s="21" t="str">
        <f>IF(AND($AM1558&lt;&gt;"",$AS1558="✓"),SUMPRODUCT(($AM$11:$AM1558&lt;&gt;"")*($AS$11:$AS1558="✓")),"")</f>
        <v/>
      </c>
      <c r="BA1558" s="21" t="str">
        <f>IF($AL1558="","",$AL1558&amp;"|"&amp;COUNTIF($AL$11:$AL1558,$AL1558))</f>
        <v/>
      </c>
    </row>
    <row r="1559" spans="38:53" ht="15" customHeight="1" x14ac:dyDescent="0.25">
      <c r="AL1559" s="17"/>
      <c r="AM1559" s="12"/>
      <c r="AN1559" s="18"/>
      <c r="AO1559" s="18"/>
      <c r="AP1559" s="10"/>
      <c r="AQ1559" s="10"/>
      <c r="AR1559" s="19"/>
      <c r="AS1559" s="20"/>
      <c r="AT1559" s="19"/>
      <c r="AV1559" s="21">
        <f>IF(AND($AL1559&lt;&gt;"",COUNTIF($AL$11:$AL1559,$AL1559)=1),1,0)</f>
        <v>0</v>
      </c>
      <c r="AW1559" s="21">
        <f t="shared" si="135"/>
        <v>2</v>
      </c>
      <c r="AX1559" s="21" t="str">
        <f t="shared" si="134"/>
        <v/>
      </c>
      <c r="AY1559" s="21" t="str">
        <f>IF(AND($AM1559&lt;&gt;"",$AS1559&lt;&gt;"✓"),SUMPRODUCT(($AM$11:$AM1559&lt;&gt;"")*($AS$11:$AS1559&lt;&gt;"✓")),"")</f>
        <v/>
      </c>
      <c r="AZ1559" s="21" t="str">
        <f>IF(AND($AM1559&lt;&gt;"",$AS1559="✓"),SUMPRODUCT(($AM$11:$AM1559&lt;&gt;"")*($AS$11:$AS1559="✓")),"")</f>
        <v/>
      </c>
      <c r="BA1559" s="21" t="str">
        <f>IF($AL1559="","",$AL1559&amp;"|"&amp;COUNTIF($AL$11:$AL1559,$AL1559))</f>
        <v/>
      </c>
    </row>
    <row r="1560" spans="38:53" ht="15" customHeight="1" x14ac:dyDescent="0.25">
      <c r="AL1560" s="31"/>
      <c r="AM1560" s="26"/>
      <c r="AN1560" s="32"/>
      <c r="AO1560" s="32"/>
      <c r="AP1560" s="24"/>
      <c r="AQ1560" s="24"/>
      <c r="AR1560" s="33"/>
      <c r="AS1560" s="34"/>
      <c r="AT1560" s="33"/>
      <c r="AV1560" s="21">
        <f>IF(AND($AL1560&lt;&gt;"",COUNTIF($AL$11:$AL1560,$AL1560)=1),1,0)</f>
        <v>0</v>
      </c>
      <c r="AW1560" s="21">
        <f t="shared" si="135"/>
        <v>2</v>
      </c>
      <c r="AX1560" s="21" t="str">
        <f t="shared" si="134"/>
        <v/>
      </c>
      <c r="AY1560" s="21" t="str">
        <f>IF(AND($AM1560&lt;&gt;"",$AS1560&lt;&gt;"✓"),SUMPRODUCT(($AM$11:$AM1560&lt;&gt;"")*($AS$11:$AS1560&lt;&gt;"✓")),"")</f>
        <v/>
      </c>
      <c r="AZ1560" s="21" t="str">
        <f>IF(AND($AM1560&lt;&gt;"",$AS1560="✓"),SUMPRODUCT(($AM$11:$AM1560&lt;&gt;"")*($AS$11:$AS1560="✓")),"")</f>
        <v/>
      </c>
      <c r="BA1560" s="21" t="str">
        <f>IF($AL1560="","",$AL1560&amp;"|"&amp;COUNTIF($AL$11:$AL1560,$AL1560))</f>
        <v/>
      </c>
    </row>
    <row r="1561" spans="38:53" ht="15" customHeight="1" x14ac:dyDescent="0.25">
      <c r="AL1561" s="17"/>
      <c r="AM1561" s="12"/>
      <c r="AN1561" s="18"/>
      <c r="AO1561" s="18"/>
      <c r="AP1561" s="10"/>
      <c r="AQ1561" s="10"/>
      <c r="AR1561" s="19"/>
      <c r="AS1561" s="20"/>
      <c r="AT1561" s="19"/>
      <c r="AV1561" s="21">
        <f>IF(AND($AL1561&lt;&gt;"",COUNTIF($AL$11:$AL1561,$AL1561)=1),1,0)</f>
        <v>0</v>
      </c>
      <c r="AW1561" s="21">
        <f t="shared" si="135"/>
        <v>2</v>
      </c>
      <c r="AX1561" s="21" t="str">
        <f t="shared" si="134"/>
        <v/>
      </c>
      <c r="AY1561" s="21" t="str">
        <f>IF(AND($AM1561&lt;&gt;"",$AS1561&lt;&gt;"✓"),SUMPRODUCT(($AM$11:$AM1561&lt;&gt;"")*($AS$11:$AS1561&lt;&gt;"✓")),"")</f>
        <v/>
      </c>
      <c r="AZ1561" s="21" t="str">
        <f>IF(AND($AM1561&lt;&gt;"",$AS1561="✓"),SUMPRODUCT(($AM$11:$AM1561&lt;&gt;"")*($AS$11:$AS1561="✓")),"")</f>
        <v/>
      </c>
      <c r="BA1561" s="21" t="str">
        <f>IF($AL1561="","",$AL1561&amp;"|"&amp;COUNTIF($AL$11:$AL1561,$AL1561))</f>
        <v/>
      </c>
    </row>
    <row r="1562" spans="38:53" ht="15" customHeight="1" x14ac:dyDescent="0.25">
      <c r="AL1562" s="31"/>
      <c r="AM1562" s="26"/>
      <c r="AN1562" s="32"/>
      <c r="AO1562" s="32"/>
      <c r="AP1562" s="24"/>
      <c r="AQ1562" s="24"/>
      <c r="AR1562" s="33"/>
      <c r="AS1562" s="34"/>
      <c r="AT1562" s="33"/>
      <c r="AV1562" s="21">
        <f>IF(AND($AL1562&lt;&gt;"",COUNTIF($AL$11:$AL1562,$AL1562)=1),1,0)</f>
        <v>0</v>
      </c>
      <c r="AW1562" s="21">
        <f t="shared" si="135"/>
        <v>2</v>
      </c>
      <c r="AX1562" s="21" t="str">
        <f t="shared" si="134"/>
        <v/>
      </c>
      <c r="AY1562" s="21" t="str">
        <f>IF(AND($AM1562&lt;&gt;"",$AS1562&lt;&gt;"✓"),SUMPRODUCT(($AM$11:$AM1562&lt;&gt;"")*($AS$11:$AS1562&lt;&gt;"✓")),"")</f>
        <v/>
      </c>
      <c r="AZ1562" s="21" t="str">
        <f>IF(AND($AM1562&lt;&gt;"",$AS1562="✓"),SUMPRODUCT(($AM$11:$AM1562&lt;&gt;"")*($AS$11:$AS1562="✓")),"")</f>
        <v/>
      </c>
      <c r="BA1562" s="21" t="str">
        <f>IF($AL1562="","",$AL1562&amp;"|"&amp;COUNTIF($AL$11:$AL1562,$AL1562))</f>
        <v/>
      </c>
    </row>
    <row r="1563" spans="38:53" ht="15" customHeight="1" x14ac:dyDescent="0.25">
      <c r="AL1563" s="17"/>
      <c r="AM1563" s="12"/>
      <c r="AN1563" s="18"/>
      <c r="AO1563" s="18"/>
      <c r="AP1563" s="10"/>
      <c r="AQ1563" s="10"/>
      <c r="AR1563" s="19"/>
      <c r="AS1563" s="20"/>
      <c r="AT1563" s="19"/>
      <c r="AV1563" s="21">
        <f>IF(AND($AL1563&lt;&gt;"",COUNTIF($AL$11:$AL1563,$AL1563)=1),1,0)</f>
        <v>0</v>
      </c>
      <c r="AW1563" s="21">
        <f t="shared" si="135"/>
        <v>2</v>
      </c>
      <c r="AX1563" s="21" t="str">
        <f t="shared" si="134"/>
        <v/>
      </c>
      <c r="AY1563" s="21" t="str">
        <f>IF(AND($AM1563&lt;&gt;"",$AS1563&lt;&gt;"✓"),SUMPRODUCT(($AM$11:$AM1563&lt;&gt;"")*($AS$11:$AS1563&lt;&gt;"✓")),"")</f>
        <v/>
      </c>
      <c r="AZ1563" s="21" t="str">
        <f>IF(AND($AM1563&lt;&gt;"",$AS1563="✓"),SUMPRODUCT(($AM$11:$AM1563&lt;&gt;"")*($AS$11:$AS1563="✓")),"")</f>
        <v/>
      </c>
      <c r="BA1563" s="21" t="str">
        <f>IF($AL1563="","",$AL1563&amp;"|"&amp;COUNTIF($AL$11:$AL1563,$AL1563))</f>
        <v/>
      </c>
    </row>
    <row r="1564" spans="38:53" ht="15" customHeight="1" x14ac:dyDescent="0.25">
      <c r="AL1564" s="31"/>
      <c r="AM1564" s="26"/>
      <c r="AN1564" s="32"/>
      <c r="AO1564" s="32"/>
      <c r="AP1564" s="24"/>
      <c r="AQ1564" s="24"/>
      <c r="AR1564" s="33"/>
      <c r="AS1564" s="34"/>
      <c r="AT1564" s="33"/>
      <c r="AV1564" s="21">
        <f>IF(AND($AL1564&lt;&gt;"",COUNTIF($AL$11:$AL1564,$AL1564)=1),1,0)</f>
        <v>0</v>
      </c>
      <c r="AW1564" s="21">
        <f t="shared" si="135"/>
        <v>2</v>
      </c>
      <c r="AX1564" s="21" t="str">
        <f t="shared" si="134"/>
        <v/>
      </c>
      <c r="AY1564" s="21" t="str">
        <f>IF(AND($AM1564&lt;&gt;"",$AS1564&lt;&gt;"✓"),SUMPRODUCT(($AM$11:$AM1564&lt;&gt;"")*($AS$11:$AS1564&lt;&gt;"✓")),"")</f>
        <v/>
      </c>
      <c r="AZ1564" s="21" t="str">
        <f>IF(AND($AM1564&lt;&gt;"",$AS1564="✓"),SUMPRODUCT(($AM$11:$AM1564&lt;&gt;"")*($AS$11:$AS1564="✓")),"")</f>
        <v/>
      </c>
      <c r="BA1564" s="21" t="str">
        <f>IF($AL1564="","",$AL1564&amp;"|"&amp;COUNTIF($AL$11:$AL1564,$AL1564))</f>
        <v/>
      </c>
    </row>
    <row r="1565" spans="38:53" ht="15" customHeight="1" x14ac:dyDescent="0.25">
      <c r="AL1565" s="17"/>
      <c r="AM1565" s="12"/>
      <c r="AN1565" s="18"/>
      <c r="AO1565" s="18"/>
      <c r="AP1565" s="10"/>
      <c r="AQ1565" s="10"/>
      <c r="AR1565" s="19"/>
      <c r="AS1565" s="20"/>
      <c r="AT1565" s="19"/>
      <c r="AV1565" s="21">
        <f>IF(AND($AL1565&lt;&gt;"",COUNTIF($AL$11:$AL1565,$AL1565)=1),1,0)</f>
        <v>0</v>
      </c>
      <c r="AW1565" s="21">
        <f t="shared" si="135"/>
        <v>2</v>
      </c>
      <c r="AX1565" s="21" t="str">
        <f t="shared" si="134"/>
        <v/>
      </c>
      <c r="AY1565" s="21" t="str">
        <f>IF(AND($AM1565&lt;&gt;"",$AS1565&lt;&gt;"✓"),SUMPRODUCT(($AM$11:$AM1565&lt;&gt;"")*($AS$11:$AS1565&lt;&gt;"✓")),"")</f>
        <v/>
      </c>
      <c r="AZ1565" s="21" t="str">
        <f>IF(AND($AM1565&lt;&gt;"",$AS1565="✓"),SUMPRODUCT(($AM$11:$AM1565&lt;&gt;"")*($AS$11:$AS1565="✓")),"")</f>
        <v/>
      </c>
      <c r="BA1565" s="21" t="str">
        <f>IF($AL1565="","",$AL1565&amp;"|"&amp;COUNTIF($AL$11:$AL1565,$AL1565))</f>
        <v/>
      </c>
    </row>
    <row r="1566" spans="38:53" ht="15" customHeight="1" x14ac:dyDescent="0.25">
      <c r="AL1566" s="31"/>
      <c r="AM1566" s="26"/>
      <c r="AN1566" s="32"/>
      <c r="AO1566" s="32"/>
      <c r="AP1566" s="24"/>
      <c r="AQ1566" s="24"/>
      <c r="AR1566" s="33"/>
      <c r="AS1566" s="34"/>
      <c r="AT1566" s="33"/>
      <c r="AV1566" s="21">
        <f>IF(AND($AL1566&lt;&gt;"",COUNTIF($AL$11:$AL1566,$AL1566)=1),1,0)</f>
        <v>0</v>
      </c>
      <c r="AW1566" s="21">
        <f t="shared" si="135"/>
        <v>2</v>
      </c>
      <c r="AX1566" s="21" t="str">
        <f t="shared" si="134"/>
        <v/>
      </c>
      <c r="AY1566" s="21" t="str">
        <f>IF(AND($AM1566&lt;&gt;"",$AS1566&lt;&gt;"✓"),SUMPRODUCT(($AM$11:$AM1566&lt;&gt;"")*($AS$11:$AS1566&lt;&gt;"✓")),"")</f>
        <v/>
      </c>
      <c r="AZ1566" s="21" t="str">
        <f>IF(AND($AM1566&lt;&gt;"",$AS1566="✓"),SUMPRODUCT(($AM$11:$AM1566&lt;&gt;"")*($AS$11:$AS1566="✓")),"")</f>
        <v/>
      </c>
      <c r="BA1566" s="21" t="str">
        <f>IF($AL1566="","",$AL1566&amp;"|"&amp;COUNTIF($AL$11:$AL1566,$AL1566))</f>
        <v/>
      </c>
    </row>
    <row r="1567" spans="38:53" ht="15" customHeight="1" x14ac:dyDescent="0.25">
      <c r="AL1567" s="17"/>
      <c r="AM1567" s="12"/>
      <c r="AN1567" s="18"/>
      <c r="AO1567" s="18"/>
      <c r="AP1567" s="10"/>
      <c r="AQ1567" s="10"/>
      <c r="AR1567" s="19"/>
      <c r="AS1567" s="20"/>
      <c r="AT1567" s="19"/>
      <c r="AV1567" s="21">
        <f>IF(AND($AL1567&lt;&gt;"",COUNTIF($AL$11:$AL1567,$AL1567)=1),1,0)</f>
        <v>0</v>
      </c>
      <c r="AW1567" s="21">
        <f t="shared" si="135"/>
        <v>2</v>
      </c>
      <c r="AX1567" s="21" t="str">
        <f t="shared" si="134"/>
        <v/>
      </c>
      <c r="AY1567" s="21" t="str">
        <f>IF(AND($AM1567&lt;&gt;"",$AS1567&lt;&gt;"✓"),SUMPRODUCT(($AM$11:$AM1567&lt;&gt;"")*($AS$11:$AS1567&lt;&gt;"✓")),"")</f>
        <v/>
      </c>
      <c r="AZ1567" s="21" t="str">
        <f>IF(AND($AM1567&lt;&gt;"",$AS1567="✓"),SUMPRODUCT(($AM$11:$AM1567&lt;&gt;"")*($AS$11:$AS1567="✓")),"")</f>
        <v/>
      </c>
      <c r="BA1567" s="21" t="str">
        <f>IF($AL1567="","",$AL1567&amp;"|"&amp;COUNTIF($AL$11:$AL1567,$AL1567))</f>
        <v/>
      </c>
    </row>
    <row r="1568" spans="38:53" ht="15" customHeight="1" x14ac:dyDescent="0.25">
      <c r="AL1568" s="31"/>
      <c r="AM1568" s="26"/>
      <c r="AN1568" s="32"/>
      <c r="AO1568" s="32"/>
      <c r="AP1568" s="24"/>
      <c r="AQ1568" s="24"/>
      <c r="AR1568" s="33"/>
      <c r="AS1568" s="34"/>
      <c r="AT1568" s="33"/>
      <c r="AV1568" s="21">
        <f>IF(AND($AL1568&lt;&gt;"",COUNTIF($AL$11:$AL1568,$AL1568)=1),1,0)</f>
        <v>0</v>
      </c>
      <c r="AW1568" s="21">
        <f t="shared" si="135"/>
        <v>2</v>
      </c>
      <c r="AX1568" s="21" t="str">
        <f t="shared" si="134"/>
        <v/>
      </c>
      <c r="AY1568" s="21" t="str">
        <f>IF(AND($AM1568&lt;&gt;"",$AS1568&lt;&gt;"✓"),SUMPRODUCT(($AM$11:$AM1568&lt;&gt;"")*($AS$11:$AS1568&lt;&gt;"✓")),"")</f>
        <v/>
      </c>
      <c r="AZ1568" s="21" t="str">
        <f>IF(AND($AM1568&lt;&gt;"",$AS1568="✓"),SUMPRODUCT(($AM$11:$AM1568&lt;&gt;"")*($AS$11:$AS1568="✓")),"")</f>
        <v/>
      </c>
      <c r="BA1568" s="21" t="str">
        <f>IF($AL1568="","",$AL1568&amp;"|"&amp;COUNTIF($AL$11:$AL1568,$AL1568))</f>
        <v/>
      </c>
    </row>
    <row r="1569" spans="38:53" ht="15" customHeight="1" x14ac:dyDescent="0.25">
      <c r="AL1569" s="17"/>
      <c r="AM1569" s="12"/>
      <c r="AN1569" s="18"/>
      <c r="AO1569" s="18"/>
      <c r="AP1569" s="10"/>
      <c r="AQ1569" s="10"/>
      <c r="AR1569" s="19"/>
      <c r="AS1569" s="20"/>
      <c r="AT1569" s="19"/>
      <c r="AV1569" s="21">
        <f>IF(AND($AL1569&lt;&gt;"",COUNTIF($AL$11:$AL1569,$AL1569)=1),1,0)</f>
        <v>0</v>
      </c>
      <c r="AW1569" s="21">
        <f t="shared" si="135"/>
        <v>2</v>
      </c>
      <c r="AX1569" s="21" t="str">
        <f t="shared" si="134"/>
        <v/>
      </c>
      <c r="AY1569" s="21" t="str">
        <f>IF(AND($AM1569&lt;&gt;"",$AS1569&lt;&gt;"✓"),SUMPRODUCT(($AM$11:$AM1569&lt;&gt;"")*($AS$11:$AS1569&lt;&gt;"✓")),"")</f>
        <v/>
      </c>
      <c r="AZ1569" s="21" t="str">
        <f>IF(AND($AM1569&lt;&gt;"",$AS1569="✓"),SUMPRODUCT(($AM$11:$AM1569&lt;&gt;"")*($AS$11:$AS1569="✓")),"")</f>
        <v/>
      </c>
      <c r="BA1569" s="21" t="str">
        <f>IF($AL1569="","",$AL1569&amp;"|"&amp;COUNTIF($AL$11:$AL1569,$AL1569))</f>
        <v/>
      </c>
    </row>
    <row r="1570" spans="38:53" ht="15" customHeight="1" x14ac:dyDescent="0.25">
      <c r="AL1570" s="31"/>
      <c r="AM1570" s="26"/>
      <c r="AN1570" s="32"/>
      <c r="AO1570" s="32"/>
      <c r="AP1570" s="24"/>
      <c r="AQ1570" s="24"/>
      <c r="AR1570" s="33"/>
      <c r="AS1570" s="34"/>
      <c r="AT1570" s="33"/>
      <c r="AV1570" s="21">
        <f>IF(AND($AL1570&lt;&gt;"",COUNTIF($AL$11:$AL1570,$AL1570)=1),1,0)</f>
        <v>0</v>
      </c>
      <c r="AW1570" s="21">
        <f t="shared" si="135"/>
        <v>2</v>
      </c>
      <c r="AX1570" s="21" t="str">
        <f t="shared" si="134"/>
        <v/>
      </c>
      <c r="AY1570" s="21" t="str">
        <f>IF(AND($AM1570&lt;&gt;"",$AS1570&lt;&gt;"✓"),SUMPRODUCT(($AM$11:$AM1570&lt;&gt;"")*($AS$11:$AS1570&lt;&gt;"✓")),"")</f>
        <v/>
      </c>
      <c r="AZ1570" s="21" t="str">
        <f>IF(AND($AM1570&lt;&gt;"",$AS1570="✓"),SUMPRODUCT(($AM$11:$AM1570&lt;&gt;"")*($AS$11:$AS1570="✓")),"")</f>
        <v/>
      </c>
      <c r="BA1570" s="21" t="str">
        <f>IF($AL1570="","",$AL1570&amp;"|"&amp;COUNTIF($AL$11:$AL1570,$AL1570))</f>
        <v/>
      </c>
    </row>
    <row r="1571" spans="38:53" ht="15" customHeight="1" x14ac:dyDescent="0.25">
      <c r="AL1571" s="17"/>
      <c r="AM1571" s="12"/>
      <c r="AN1571" s="18"/>
      <c r="AO1571" s="18"/>
      <c r="AP1571" s="10"/>
      <c r="AQ1571" s="10"/>
      <c r="AR1571" s="19"/>
      <c r="AS1571" s="20"/>
      <c r="AT1571" s="19"/>
      <c r="AV1571" s="21">
        <f>IF(AND($AL1571&lt;&gt;"",COUNTIF($AL$11:$AL1571,$AL1571)=1),1,0)</f>
        <v>0</v>
      </c>
      <c r="AW1571" s="21">
        <f t="shared" si="135"/>
        <v>2</v>
      </c>
      <c r="AX1571" s="21" t="str">
        <f t="shared" si="134"/>
        <v/>
      </c>
      <c r="AY1571" s="21" t="str">
        <f>IF(AND($AM1571&lt;&gt;"",$AS1571&lt;&gt;"✓"),SUMPRODUCT(($AM$11:$AM1571&lt;&gt;"")*($AS$11:$AS1571&lt;&gt;"✓")),"")</f>
        <v/>
      </c>
      <c r="AZ1571" s="21" t="str">
        <f>IF(AND($AM1571&lt;&gt;"",$AS1571="✓"),SUMPRODUCT(($AM$11:$AM1571&lt;&gt;"")*($AS$11:$AS1571="✓")),"")</f>
        <v/>
      </c>
      <c r="BA1571" s="21" t="str">
        <f>IF($AL1571="","",$AL1571&amp;"|"&amp;COUNTIF($AL$11:$AL1571,$AL1571))</f>
        <v/>
      </c>
    </row>
    <row r="1572" spans="38:53" ht="15" customHeight="1" x14ac:dyDescent="0.25">
      <c r="AL1572" s="31"/>
      <c r="AM1572" s="26"/>
      <c r="AN1572" s="32"/>
      <c r="AO1572" s="32"/>
      <c r="AP1572" s="24"/>
      <c r="AQ1572" s="24"/>
      <c r="AR1572" s="33"/>
      <c r="AS1572" s="34"/>
      <c r="AT1572" s="33"/>
      <c r="AV1572" s="21">
        <f>IF(AND($AL1572&lt;&gt;"",COUNTIF($AL$11:$AL1572,$AL1572)=1),1,0)</f>
        <v>0</v>
      </c>
      <c r="AW1572" s="21">
        <f t="shared" si="135"/>
        <v>2</v>
      </c>
      <c r="AX1572" s="21" t="str">
        <f t="shared" si="134"/>
        <v/>
      </c>
      <c r="AY1572" s="21" t="str">
        <f>IF(AND($AM1572&lt;&gt;"",$AS1572&lt;&gt;"✓"),SUMPRODUCT(($AM$11:$AM1572&lt;&gt;"")*($AS$11:$AS1572&lt;&gt;"✓")),"")</f>
        <v/>
      </c>
      <c r="AZ1572" s="21" t="str">
        <f>IF(AND($AM1572&lt;&gt;"",$AS1572="✓"),SUMPRODUCT(($AM$11:$AM1572&lt;&gt;"")*($AS$11:$AS1572="✓")),"")</f>
        <v/>
      </c>
      <c r="BA1572" s="21" t="str">
        <f>IF($AL1572="","",$AL1572&amp;"|"&amp;COUNTIF($AL$11:$AL1572,$AL1572))</f>
        <v/>
      </c>
    </row>
    <row r="1573" spans="38:53" ht="15" customHeight="1" x14ac:dyDescent="0.25">
      <c r="AL1573" s="17"/>
      <c r="AM1573" s="12"/>
      <c r="AN1573" s="18"/>
      <c r="AO1573" s="18"/>
      <c r="AP1573" s="10"/>
      <c r="AQ1573" s="10"/>
      <c r="AR1573" s="19"/>
      <c r="AS1573" s="20"/>
      <c r="AT1573" s="19"/>
      <c r="AV1573" s="21">
        <f>IF(AND($AL1573&lt;&gt;"",COUNTIF($AL$11:$AL1573,$AL1573)=1),1,0)</f>
        <v>0</v>
      </c>
      <c r="AW1573" s="21">
        <f t="shared" si="135"/>
        <v>2</v>
      </c>
      <c r="AX1573" s="21" t="str">
        <f t="shared" si="134"/>
        <v/>
      </c>
      <c r="AY1573" s="21" t="str">
        <f>IF(AND($AM1573&lt;&gt;"",$AS1573&lt;&gt;"✓"),SUMPRODUCT(($AM$11:$AM1573&lt;&gt;"")*($AS$11:$AS1573&lt;&gt;"✓")),"")</f>
        <v/>
      </c>
      <c r="AZ1573" s="21" t="str">
        <f>IF(AND($AM1573&lt;&gt;"",$AS1573="✓"),SUMPRODUCT(($AM$11:$AM1573&lt;&gt;"")*($AS$11:$AS1573="✓")),"")</f>
        <v/>
      </c>
      <c r="BA1573" s="21" t="str">
        <f>IF($AL1573="","",$AL1573&amp;"|"&amp;COUNTIF($AL$11:$AL1573,$AL1573))</f>
        <v/>
      </c>
    </row>
    <row r="1574" spans="38:53" ht="15" customHeight="1" x14ac:dyDescent="0.25">
      <c r="AL1574" s="31"/>
      <c r="AM1574" s="26"/>
      <c r="AN1574" s="32"/>
      <c r="AO1574" s="32"/>
      <c r="AP1574" s="24"/>
      <c r="AQ1574" s="24"/>
      <c r="AR1574" s="33"/>
      <c r="AS1574" s="34"/>
      <c r="AT1574" s="33"/>
      <c r="AV1574" s="21">
        <f>IF(AND($AL1574&lt;&gt;"",COUNTIF($AL$11:$AL1574,$AL1574)=1),1,0)</f>
        <v>0</v>
      </c>
      <c r="AW1574" s="21">
        <f t="shared" si="135"/>
        <v>2</v>
      </c>
      <c r="AX1574" s="21" t="str">
        <f t="shared" si="134"/>
        <v/>
      </c>
      <c r="AY1574" s="21" t="str">
        <f>IF(AND($AM1574&lt;&gt;"",$AS1574&lt;&gt;"✓"),SUMPRODUCT(($AM$11:$AM1574&lt;&gt;"")*($AS$11:$AS1574&lt;&gt;"✓")),"")</f>
        <v/>
      </c>
      <c r="AZ1574" s="21" t="str">
        <f>IF(AND($AM1574&lt;&gt;"",$AS1574="✓"),SUMPRODUCT(($AM$11:$AM1574&lt;&gt;"")*($AS$11:$AS1574="✓")),"")</f>
        <v/>
      </c>
      <c r="BA1574" s="21" t="str">
        <f>IF($AL1574="","",$AL1574&amp;"|"&amp;COUNTIF($AL$11:$AL1574,$AL1574))</f>
        <v/>
      </c>
    </row>
    <row r="1575" spans="38:53" ht="15" customHeight="1" x14ac:dyDescent="0.25">
      <c r="AL1575" s="17"/>
      <c r="AM1575" s="12"/>
      <c r="AN1575" s="18"/>
      <c r="AO1575" s="18"/>
      <c r="AP1575" s="10"/>
      <c r="AQ1575" s="10"/>
      <c r="AR1575" s="19"/>
      <c r="AS1575" s="20"/>
      <c r="AT1575" s="19"/>
      <c r="AV1575" s="21">
        <f>IF(AND($AL1575&lt;&gt;"",COUNTIF($AL$11:$AL1575,$AL1575)=1),1,0)</f>
        <v>0</v>
      </c>
      <c r="AW1575" s="21">
        <f t="shared" si="135"/>
        <v>2</v>
      </c>
      <c r="AX1575" s="21" t="str">
        <f t="shared" si="134"/>
        <v/>
      </c>
      <c r="AY1575" s="21" t="str">
        <f>IF(AND($AM1575&lt;&gt;"",$AS1575&lt;&gt;"✓"),SUMPRODUCT(($AM$11:$AM1575&lt;&gt;"")*($AS$11:$AS1575&lt;&gt;"✓")),"")</f>
        <v/>
      </c>
      <c r="AZ1575" s="21" t="str">
        <f>IF(AND($AM1575&lt;&gt;"",$AS1575="✓"),SUMPRODUCT(($AM$11:$AM1575&lt;&gt;"")*($AS$11:$AS1575="✓")),"")</f>
        <v/>
      </c>
      <c r="BA1575" s="21" t="str">
        <f>IF($AL1575="","",$AL1575&amp;"|"&amp;COUNTIF($AL$11:$AL1575,$AL1575))</f>
        <v/>
      </c>
    </row>
    <row r="1576" spans="38:53" ht="15" customHeight="1" x14ac:dyDescent="0.25">
      <c r="AL1576" s="31"/>
      <c r="AM1576" s="26"/>
      <c r="AN1576" s="32"/>
      <c r="AO1576" s="32"/>
      <c r="AP1576" s="24"/>
      <c r="AQ1576" s="24"/>
      <c r="AR1576" s="33"/>
      <c r="AS1576" s="34"/>
      <c r="AT1576" s="33"/>
      <c r="AV1576" s="21">
        <f>IF(AND($AL1576&lt;&gt;"",COUNTIF($AL$11:$AL1576,$AL1576)=1),1,0)</f>
        <v>0</v>
      </c>
      <c r="AW1576" s="21">
        <f t="shared" si="135"/>
        <v>2</v>
      </c>
      <c r="AX1576" s="21" t="str">
        <f t="shared" si="134"/>
        <v/>
      </c>
      <c r="AY1576" s="21" t="str">
        <f>IF(AND($AM1576&lt;&gt;"",$AS1576&lt;&gt;"✓"),SUMPRODUCT(($AM$11:$AM1576&lt;&gt;"")*($AS$11:$AS1576&lt;&gt;"✓")),"")</f>
        <v/>
      </c>
      <c r="AZ1576" s="21" t="str">
        <f>IF(AND($AM1576&lt;&gt;"",$AS1576="✓"),SUMPRODUCT(($AM$11:$AM1576&lt;&gt;"")*($AS$11:$AS1576="✓")),"")</f>
        <v/>
      </c>
      <c r="BA1576" s="21" t="str">
        <f>IF($AL1576="","",$AL1576&amp;"|"&amp;COUNTIF($AL$11:$AL1576,$AL1576))</f>
        <v/>
      </c>
    </row>
    <row r="1577" spans="38:53" ht="15" customHeight="1" x14ac:dyDescent="0.25">
      <c r="AL1577" s="17"/>
      <c r="AM1577" s="12"/>
      <c r="AN1577" s="18"/>
      <c r="AO1577" s="18"/>
      <c r="AP1577" s="10"/>
      <c r="AQ1577" s="10"/>
      <c r="AR1577" s="19"/>
      <c r="AS1577" s="20"/>
      <c r="AT1577" s="19"/>
      <c r="AV1577" s="21">
        <f>IF(AND($AL1577&lt;&gt;"",COUNTIF($AL$11:$AL1577,$AL1577)=1),1,0)</f>
        <v>0</v>
      </c>
      <c r="AW1577" s="21">
        <f t="shared" si="135"/>
        <v>2</v>
      </c>
      <c r="AX1577" s="21" t="str">
        <f t="shared" si="134"/>
        <v/>
      </c>
      <c r="AY1577" s="21" t="str">
        <f>IF(AND($AM1577&lt;&gt;"",$AS1577&lt;&gt;"✓"),SUMPRODUCT(($AM$11:$AM1577&lt;&gt;"")*($AS$11:$AS1577&lt;&gt;"✓")),"")</f>
        <v/>
      </c>
      <c r="AZ1577" s="21" t="str">
        <f>IF(AND($AM1577&lt;&gt;"",$AS1577="✓"),SUMPRODUCT(($AM$11:$AM1577&lt;&gt;"")*($AS$11:$AS1577="✓")),"")</f>
        <v/>
      </c>
      <c r="BA1577" s="21" t="str">
        <f>IF($AL1577="","",$AL1577&amp;"|"&amp;COUNTIF($AL$11:$AL1577,$AL1577))</f>
        <v/>
      </c>
    </row>
    <row r="1578" spans="38:53" ht="15" customHeight="1" x14ac:dyDescent="0.25">
      <c r="AL1578" s="31"/>
      <c r="AM1578" s="26"/>
      <c r="AN1578" s="32"/>
      <c r="AO1578" s="32"/>
      <c r="AP1578" s="24"/>
      <c r="AQ1578" s="24"/>
      <c r="AR1578" s="33"/>
      <c r="AS1578" s="34"/>
      <c r="AT1578" s="33"/>
      <c r="AV1578" s="21">
        <f>IF(AND($AL1578&lt;&gt;"",COUNTIF($AL$11:$AL1578,$AL1578)=1),1,0)</f>
        <v>0</v>
      </c>
      <c r="AW1578" s="21">
        <f t="shared" si="135"/>
        <v>2</v>
      </c>
      <c r="AX1578" s="21" t="str">
        <f t="shared" si="134"/>
        <v/>
      </c>
      <c r="AY1578" s="21" t="str">
        <f>IF(AND($AM1578&lt;&gt;"",$AS1578&lt;&gt;"✓"),SUMPRODUCT(($AM$11:$AM1578&lt;&gt;"")*($AS$11:$AS1578&lt;&gt;"✓")),"")</f>
        <v/>
      </c>
      <c r="AZ1578" s="21" t="str">
        <f>IF(AND($AM1578&lt;&gt;"",$AS1578="✓"),SUMPRODUCT(($AM$11:$AM1578&lt;&gt;"")*($AS$11:$AS1578="✓")),"")</f>
        <v/>
      </c>
      <c r="BA1578" s="21" t="str">
        <f>IF($AL1578="","",$AL1578&amp;"|"&amp;COUNTIF($AL$11:$AL1578,$AL1578))</f>
        <v/>
      </c>
    </row>
    <row r="1579" spans="38:53" ht="15" customHeight="1" x14ac:dyDescent="0.25">
      <c r="AL1579" s="17"/>
      <c r="AM1579" s="12"/>
      <c r="AN1579" s="18"/>
      <c r="AO1579" s="18"/>
      <c r="AP1579" s="10"/>
      <c r="AQ1579" s="10"/>
      <c r="AR1579" s="19"/>
      <c r="AS1579" s="20"/>
      <c r="AT1579" s="19"/>
      <c r="AV1579" s="21">
        <f>IF(AND($AL1579&lt;&gt;"",COUNTIF($AL$11:$AL1579,$AL1579)=1),1,0)</f>
        <v>0</v>
      </c>
      <c r="AW1579" s="21">
        <f t="shared" si="135"/>
        <v>2</v>
      </c>
      <c r="AX1579" s="21" t="str">
        <f t="shared" si="134"/>
        <v/>
      </c>
      <c r="AY1579" s="21" t="str">
        <f>IF(AND($AM1579&lt;&gt;"",$AS1579&lt;&gt;"✓"),SUMPRODUCT(($AM$11:$AM1579&lt;&gt;"")*($AS$11:$AS1579&lt;&gt;"✓")),"")</f>
        <v/>
      </c>
      <c r="AZ1579" s="21" t="str">
        <f>IF(AND($AM1579&lt;&gt;"",$AS1579="✓"),SUMPRODUCT(($AM$11:$AM1579&lt;&gt;"")*($AS$11:$AS1579="✓")),"")</f>
        <v/>
      </c>
      <c r="BA1579" s="21" t="str">
        <f>IF($AL1579="","",$AL1579&amp;"|"&amp;COUNTIF($AL$11:$AL1579,$AL1579))</f>
        <v/>
      </c>
    </row>
    <row r="1580" spans="38:53" ht="15" customHeight="1" x14ac:dyDescent="0.25">
      <c r="AL1580" s="31"/>
      <c r="AM1580" s="26"/>
      <c r="AN1580" s="32"/>
      <c r="AO1580" s="32"/>
      <c r="AP1580" s="24"/>
      <c r="AQ1580" s="24"/>
      <c r="AR1580" s="33"/>
      <c r="AS1580" s="34"/>
      <c r="AT1580" s="33"/>
      <c r="AV1580" s="21">
        <f>IF(AND($AL1580&lt;&gt;"",COUNTIF($AL$11:$AL1580,$AL1580)=1),1,0)</f>
        <v>0</v>
      </c>
      <c r="AW1580" s="21">
        <f t="shared" si="135"/>
        <v>2</v>
      </c>
      <c r="AX1580" s="21" t="str">
        <f t="shared" si="134"/>
        <v/>
      </c>
      <c r="AY1580" s="21" t="str">
        <f>IF(AND($AM1580&lt;&gt;"",$AS1580&lt;&gt;"✓"),SUMPRODUCT(($AM$11:$AM1580&lt;&gt;"")*($AS$11:$AS1580&lt;&gt;"✓")),"")</f>
        <v/>
      </c>
      <c r="AZ1580" s="21" t="str">
        <f>IF(AND($AM1580&lt;&gt;"",$AS1580="✓"),SUMPRODUCT(($AM$11:$AM1580&lt;&gt;"")*($AS$11:$AS1580="✓")),"")</f>
        <v/>
      </c>
      <c r="BA1580" s="21" t="str">
        <f>IF($AL1580="","",$AL1580&amp;"|"&amp;COUNTIF($AL$11:$AL1580,$AL1580))</f>
        <v/>
      </c>
    </row>
    <row r="1581" spans="38:53" ht="15" customHeight="1" x14ac:dyDescent="0.25">
      <c r="AL1581" s="17"/>
      <c r="AM1581" s="12"/>
      <c r="AN1581" s="18"/>
      <c r="AO1581" s="18"/>
      <c r="AP1581" s="10"/>
      <c r="AQ1581" s="10"/>
      <c r="AR1581" s="19"/>
      <c r="AS1581" s="20"/>
      <c r="AT1581" s="19"/>
      <c r="AV1581" s="21">
        <f>IF(AND($AL1581&lt;&gt;"",COUNTIF($AL$11:$AL1581,$AL1581)=1),1,0)</f>
        <v>0</v>
      </c>
      <c r="AW1581" s="21">
        <f t="shared" si="135"/>
        <v>2</v>
      </c>
      <c r="AX1581" s="21" t="str">
        <f t="shared" si="134"/>
        <v/>
      </c>
      <c r="AY1581" s="21" t="str">
        <f>IF(AND($AM1581&lt;&gt;"",$AS1581&lt;&gt;"✓"),SUMPRODUCT(($AM$11:$AM1581&lt;&gt;"")*($AS$11:$AS1581&lt;&gt;"✓")),"")</f>
        <v/>
      </c>
      <c r="AZ1581" s="21" t="str">
        <f>IF(AND($AM1581&lt;&gt;"",$AS1581="✓"),SUMPRODUCT(($AM$11:$AM1581&lt;&gt;"")*($AS$11:$AS1581="✓")),"")</f>
        <v/>
      </c>
      <c r="BA1581" s="21" t="str">
        <f>IF($AL1581="","",$AL1581&amp;"|"&amp;COUNTIF($AL$11:$AL1581,$AL1581))</f>
        <v/>
      </c>
    </row>
    <row r="1582" spans="38:53" ht="15" customHeight="1" x14ac:dyDescent="0.25">
      <c r="AL1582" s="31"/>
      <c r="AM1582" s="26"/>
      <c r="AN1582" s="32"/>
      <c r="AO1582" s="32"/>
      <c r="AP1582" s="24"/>
      <c r="AQ1582" s="24"/>
      <c r="AR1582" s="33"/>
      <c r="AS1582" s="34"/>
      <c r="AT1582" s="33"/>
      <c r="AV1582" s="21">
        <f>IF(AND($AL1582&lt;&gt;"",COUNTIF($AL$11:$AL1582,$AL1582)=1),1,0)</f>
        <v>0</v>
      </c>
      <c r="AW1582" s="21">
        <f t="shared" si="135"/>
        <v>2</v>
      </c>
      <c r="AX1582" s="21" t="str">
        <f t="shared" si="134"/>
        <v/>
      </c>
      <c r="AY1582" s="21" t="str">
        <f>IF(AND($AM1582&lt;&gt;"",$AS1582&lt;&gt;"✓"),SUMPRODUCT(($AM$11:$AM1582&lt;&gt;"")*($AS$11:$AS1582&lt;&gt;"✓")),"")</f>
        <v/>
      </c>
      <c r="AZ1582" s="21" t="str">
        <f>IF(AND($AM1582&lt;&gt;"",$AS1582="✓"),SUMPRODUCT(($AM$11:$AM1582&lt;&gt;"")*($AS$11:$AS1582="✓")),"")</f>
        <v/>
      </c>
      <c r="BA1582" s="21" t="str">
        <f>IF($AL1582="","",$AL1582&amp;"|"&amp;COUNTIF($AL$11:$AL1582,$AL1582))</f>
        <v/>
      </c>
    </row>
    <row r="1583" spans="38:53" ht="15" customHeight="1" x14ac:dyDescent="0.25">
      <c r="AL1583" s="17"/>
      <c r="AM1583" s="12"/>
      <c r="AN1583" s="18"/>
      <c r="AO1583" s="18"/>
      <c r="AP1583" s="10"/>
      <c r="AQ1583" s="10"/>
      <c r="AR1583" s="19"/>
      <c r="AS1583" s="20"/>
      <c r="AT1583" s="19"/>
      <c r="AV1583" s="21">
        <f>IF(AND($AL1583&lt;&gt;"",COUNTIF($AL$11:$AL1583,$AL1583)=1),1,0)</f>
        <v>0</v>
      </c>
      <c r="AW1583" s="21">
        <f t="shared" si="135"/>
        <v>2</v>
      </c>
      <c r="AX1583" s="21" t="str">
        <f t="shared" si="134"/>
        <v/>
      </c>
      <c r="AY1583" s="21" t="str">
        <f>IF(AND($AM1583&lt;&gt;"",$AS1583&lt;&gt;"✓"),SUMPRODUCT(($AM$11:$AM1583&lt;&gt;"")*($AS$11:$AS1583&lt;&gt;"✓")),"")</f>
        <v/>
      </c>
      <c r="AZ1583" s="21" t="str">
        <f>IF(AND($AM1583&lt;&gt;"",$AS1583="✓"),SUMPRODUCT(($AM$11:$AM1583&lt;&gt;"")*($AS$11:$AS1583="✓")),"")</f>
        <v/>
      </c>
      <c r="BA1583" s="21" t="str">
        <f>IF($AL1583="","",$AL1583&amp;"|"&amp;COUNTIF($AL$11:$AL1583,$AL1583))</f>
        <v/>
      </c>
    </row>
    <row r="1584" spans="38:53" ht="15" customHeight="1" x14ac:dyDescent="0.25">
      <c r="AL1584" s="31"/>
      <c r="AM1584" s="26"/>
      <c r="AN1584" s="32"/>
      <c r="AO1584" s="32"/>
      <c r="AP1584" s="24"/>
      <c r="AQ1584" s="24"/>
      <c r="AR1584" s="33"/>
      <c r="AS1584" s="34"/>
      <c r="AT1584" s="33"/>
      <c r="AV1584" s="21">
        <f>IF(AND($AL1584&lt;&gt;"",COUNTIF($AL$11:$AL1584,$AL1584)=1),1,0)</f>
        <v>0</v>
      </c>
      <c r="AW1584" s="21">
        <f t="shared" si="135"/>
        <v>2</v>
      </c>
      <c r="AX1584" s="21" t="str">
        <f t="shared" si="134"/>
        <v/>
      </c>
      <c r="AY1584" s="21" t="str">
        <f>IF(AND($AM1584&lt;&gt;"",$AS1584&lt;&gt;"✓"),SUMPRODUCT(($AM$11:$AM1584&lt;&gt;"")*($AS$11:$AS1584&lt;&gt;"✓")),"")</f>
        <v/>
      </c>
      <c r="AZ1584" s="21" t="str">
        <f>IF(AND($AM1584&lt;&gt;"",$AS1584="✓"),SUMPRODUCT(($AM$11:$AM1584&lt;&gt;"")*($AS$11:$AS1584="✓")),"")</f>
        <v/>
      </c>
      <c r="BA1584" s="21" t="str">
        <f>IF($AL1584="","",$AL1584&amp;"|"&amp;COUNTIF($AL$11:$AL1584,$AL1584))</f>
        <v/>
      </c>
    </row>
    <row r="1585" spans="38:53" ht="15" customHeight="1" x14ac:dyDescent="0.25">
      <c r="AL1585" s="17"/>
      <c r="AM1585" s="12"/>
      <c r="AN1585" s="18"/>
      <c r="AO1585" s="18"/>
      <c r="AP1585" s="10"/>
      <c r="AQ1585" s="10"/>
      <c r="AR1585" s="19"/>
      <c r="AS1585" s="20"/>
      <c r="AT1585" s="19"/>
      <c r="AV1585" s="21">
        <f>IF(AND($AL1585&lt;&gt;"",COUNTIF($AL$11:$AL1585,$AL1585)=1),1,0)</f>
        <v>0</v>
      </c>
      <c r="AW1585" s="21">
        <f t="shared" si="135"/>
        <v>2</v>
      </c>
      <c r="AX1585" s="21" t="str">
        <f t="shared" si="134"/>
        <v/>
      </c>
      <c r="AY1585" s="21" t="str">
        <f>IF(AND($AM1585&lt;&gt;"",$AS1585&lt;&gt;"✓"),SUMPRODUCT(($AM$11:$AM1585&lt;&gt;"")*($AS$11:$AS1585&lt;&gt;"✓")),"")</f>
        <v/>
      </c>
      <c r="AZ1585" s="21" t="str">
        <f>IF(AND($AM1585&lt;&gt;"",$AS1585="✓"),SUMPRODUCT(($AM$11:$AM1585&lt;&gt;"")*($AS$11:$AS1585="✓")),"")</f>
        <v/>
      </c>
      <c r="BA1585" s="21" t="str">
        <f>IF($AL1585="","",$AL1585&amp;"|"&amp;COUNTIF($AL$11:$AL1585,$AL1585))</f>
        <v/>
      </c>
    </row>
    <row r="1586" spans="38:53" ht="15" customHeight="1" x14ac:dyDescent="0.25">
      <c r="AL1586" s="31"/>
      <c r="AM1586" s="26"/>
      <c r="AN1586" s="32"/>
      <c r="AO1586" s="32"/>
      <c r="AP1586" s="24"/>
      <c r="AQ1586" s="24"/>
      <c r="AR1586" s="33"/>
      <c r="AS1586" s="34"/>
      <c r="AT1586" s="33"/>
      <c r="AV1586" s="21">
        <f>IF(AND($AL1586&lt;&gt;"",COUNTIF($AL$11:$AL1586,$AL1586)=1),1,0)</f>
        <v>0</v>
      </c>
      <c r="AW1586" s="21">
        <f t="shared" si="135"/>
        <v>2</v>
      </c>
      <c r="AX1586" s="21" t="str">
        <f t="shared" si="134"/>
        <v/>
      </c>
      <c r="AY1586" s="21" t="str">
        <f>IF(AND($AM1586&lt;&gt;"",$AS1586&lt;&gt;"✓"),SUMPRODUCT(($AM$11:$AM1586&lt;&gt;"")*($AS$11:$AS1586&lt;&gt;"✓")),"")</f>
        <v/>
      </c>
      <c r="AZ1586" s="21" t="str">
        <f>IF(AND($AM1586&lt;&gt;"",$AS1586="✓"),SUMPRODUCT(($AM$11:$AM1586&lt;&gt;"")*($AS$11:$AS1586="✓")),"")</f>
        <v/>
      </c>
      <c r="BA1586" s="21" t="str">
        <f>IF($AL1586="","",$AL1586&amp;"|"&amp;COUNTIF($AL$11:$AL1586,$AL1586))</f>
        <v/>
      </c>
    </row>
    <row r="1587" spans="38:53" ht="15" customHeight="1" x14ac:dyDescent="0.25">
      <c r="AL1587" s="17"/>
      <c r="AM1587" s="12"/>
      <c r="AN1587" s="18"/>
      <c r="AO1587" s="18"/>
      <c r="AP1587" s="10"/>
      <c r="AQ1587" s="10"/>
      <c r="AR1587" s="19"/>
      <c r="AS1587" s="20"/>
      <c r="AT1587" s="19"/>
      <c r="AV1587" s="21">
        <f>IF(AND($AL1587&lt;&gt;"",COUNTIF($AL$11:$AL1587,$AL1587)=1),1,0)</f>
        <v>0</v>
      </c>
      <c r="AW1587" s="21">
        <f t="shared" si="135"/>
        <v>2</v>
      </c>
      <c r="AX1587" s="21" t="str">
        <f t="shared" si="134"/>
        <v/>
      </c>
      <c r="AY1587" s="21" t="str">
        <f>IF(AND($AM1587&lt;&gt;"",$AS1587&lt;&gt;"✓"),SUMPRODUCT(($AM$11:$AM1587&lt;&gt;"")*($AS$11:$AS1587&lt;&gt;"✓")),"")</f>
        <v/>
      </c>
      <c r="AZ1587" s="21" t="str">
        <f>IF(AND($AM1587&lt;&gt;"",$AS1587="✓"),SUMPRODUCT(($AM$11:$AM1587&lt;&gt;"")*($AS$11:$AS1587="✓")),"")</f>
        <v/>
      </c>
      <c r="BA1587" s="21" t="str">
        <f>IF($AL1587="","",$AL1587&amp;"|"&amp;COUNTIF($AL$11:$AL1587,$AL1587))</f>
        <v/>
      </c>
    </row>
    <row r="1588" spans="38:53" ht="15" customHeight="1" x14ac:dyDescent="0.25">
      <c r="AL1588" s="31"/>
      <c r="AM1588" s="26"/>
      <c r="AN1588" s="32"/>
      <c r="AO1588" s="32"/>
      <c r="AP1588" s="24"/>
      <c r="AQ1588" s="24"/>
      <c r="AR1588" s="33"/>
      <c r="AS1588" s="34"/>
      <c r="AT1588" s="33"/>
      <c r="AV1588" s="21">
        <f>IF(AND($AL1588&lt;&gt;"",COUNTIF($AL$11:$AL1588,$AL1588)=1),1,0)</f>
        <v>0</v>
      </c>
      <c r="AW1588" s="21">
        <f t="shared" si="135"/>
        <v>2</v>
      </c>
      <c r="AX1588" s="21" t="str">
        <f t="shared" si="134"/>
        <v/>
      </c>
      <c r="AY1588" s="21" t="str">
        <f>IF(AND($AM1588&lt;&gt;"",$AS1588&lt;&gt;"✓"),SUMPRODUCT(($AM$11:$AM1588&lt;&gt;"")*($AS$11:$AS1588&lt;&gt;"✓")),"")</f>
        <v/>
      </c>
      <c r="AZ1588" s="21" t="str">
        <f>IF(AND($AM1588&lt;&gt;"",$AS1588="✓"),SUMPRODUCT(($AM$11:$AM1588&lt;&gt;"")*($AS$11:$AS1588="✓")),"")</f>
        <v/>
      </c>
      <c r="BA1588" s="21" t="str">
        <f>IF($AL1588="","",$AL1588&amp;"|"&amp;COUNTIF($AL$11:$AL1588,$AL1588))</f>
        <v/>
      </c>
    </row>
    <row r="1589" spans="38:53" ht="15" customHeight="1" x14ac:dyDescent="0.25">
      <c r="AL1589" s="17"/>
      <c r="AM1589" s="12"/>
      <c r="AN1589" s="18"/>
      <c r="AO1589" s="18"/>
      <c r="AP1589" s="10"/>
      <c r="AQ1589" s="10"/>
      <c r="AR1589" s="19"/>
      <c r="AS1589" s="20"/>
      <c r="AT1589" s="19"/>
      <c r="AV1589" s="21">
        <f>IF(AND($AL1589&lt;&gt;"",COUNTIF($AL$11:$AL1589,$AL1589)=1),1,0)</f>
        <v>0</v>
      </c>
      <c r="AW1589" s="21">
        <f t="shared" si="135"/>
        <v>2</v>
      </c>
      <c r="AX1589" s="21" t="str">
        <f t="shared" si="134"/>
        <v/>
      </c>
      <c r="AY1589" s="21" t="str">
        <f>IF(AND($AM1589&lt;&gt;"",$AS1589&lt;&gt;"✓"),SUMPRODUCT(($AM$11:$AM1589&lt;&gt;"")*($AS$11:$AS1589&lt;&gt;"✓")),"")</f>
        <v/>
      </c>
      <c r="AZ1589" s="21" t="str">
        <f>IF(AND($AM1589&lt;&gt;"",$AS1589="✓"),SUMPRODUCT(($AM$11:$AM1589&lt;&gt;"")*($AS$11:$AS1589="✓")),"")</f>
        <v/>
      </c>
      <c r="BA1589" s="21" t="str">
        <f>IF($AL1589="","",$AL1589&amp;"|"&amp;COUNTIF($AL$11:$AL1589,$AL1589))</f>
        <v/>
      </c>
    </row>
    <row r="1590" spans="38:53" ht="15" customHeight="1" x14ac:dyDescent="0.25">
      <c r="AL1590" s="31"/>
      <c r="AM1590" s="26"/>
      <c r="AN1590" s="32"/>
      <c r="AO1590" s="32"/>
      <c r="AP1590" s="24"/>
      <c r="AQ1590" s="24"/>
      <c r="AR1590" s="33"/>
      <c r="AS1590" s="34"/>
      <c r="AT1590" s="33"/>
      <c r="AV1590" s="21">
        <f>IF(AND($AL1590&lt;&gt;"",COUNTIF($AL$11:$AL1590,$AL1590)=1),1,0)</f>
        <v>0</v>
      </c>
      <c r="AW1590" s="21">
        <f t="shared" si="135"/>
        <v>2</v>
      </c>
      <c r="AX1590" s="21" t="str">
        <f t="shared" si="134"/>
        <v/>
      </c>
      <c r="AY1590" s="21" t="str">
        <f>IF(AND($AM1590&lt;&gt;"",$AS1590&lt;&gt;"✓"),SUMPRODUCT(($AM$11:$AM1590&lt;&gt;"")*($AS$11:$AS1590&lt;&gt;"✓")),"")</f>
        <v/>
      </c>
      <c r="AZ1590" s="21" t="str">
        <f>IF(AND($AM1590&lt;&gt;"",$AS1590="✓"),SUMPRODUCT(($AM$11:$AM1590&lt;&gt;"")*($AS$11:$AS1590="✓")),"")</f>
        <v/>
      </c>
      <c r="BA1590" s="21" t="str">
        <f>IF($AL1590="","",$AL1590&amp;"|"&amp;COUNTIF($AL$11:$AL1590,$AL1590))</f>
        <v/>
      </c>
    </row>
    <row r="1591" spans="38:53" ht="15" customHeight="1" x14ac:dyDescent="0.25">
      <c r="AL1591" s="17"/>
      <c r="AM1591" s="12"/>
      <c r="AN1591" s="18"/>
      <c r="AO1591" s="18"/>
      <c r="AP1591" s="10"/>
      <c r="AQ1591" s="10"/>
      <c r="AR1591" s="19"/>
      <c r="AS1591" s="20"/>
      <c r="AT1591" s="19"/>
      <c r="AV1591" s="21">
        <f>IF(AND($AL1591&lt;&gt;"",COUNTIF($AL$11:$AL1591,$AL1591)=1),1,0)</f>
        <v>0</v>
      </c>
      <c r="AW1591" s="21">
        <f t="shared" si="135"/>
        <v>2</v>
      </c>
      <c r="AX1591" s="21" t="str">
        <f t="shared" si="134"/>
        <v/>
      </c>
      <c r="AY1591" s="21" t="str">
        <f>IF(AND($AM1591&lt;&gt;"",$AS1591&lt;&gt;"✓"),SUMPRODUCT(($AM$11:$AM1591&lt;&gt;"")*($AS$11:$AS1591&lt;&gt;"✓")),"")</f>
        <v/>
      </c>
      <c r="AZ1591" s="21" t="str">
        <f>IF(AND($AM1591&lt;&gt;"",$AS1591="✓"),SUMPRODUCT(($AM$11:$AM1591&lt;&gt;"")*($AS$11:$AS1591="✓")),"")</f>
        <v/>
      </c>
      <c r="BA1591" s="21" t="str">
        <f>IF($AL1591="","",$AL1591&amp;"|"&amp;COUNTIF($AL$11:$AL1591,$AL1591))</f>
        <v/>
      </c>
    </row>
    <row r="1592" spans="38:53" ht="15" customHeight="1" x14ac:dyDescent="0.25">
      <c r="AL1592" s="31"/>
      <c r="AM1592" s="26"/>
      <c r="AN1592" s="32"/>
      <c r="AO1592" s="32"/>
      <c r="AP1592" s="24"/>
      <c r="AQ1592" s="24"/>
      <c r="AR1592" s="33"/>
      <c r="AS1592" s="34"/>
      <c r="AT1592" s="33"/>
      <c r="AV1592" s="21">
        <f>IF(AND($AL1592&lt;&gt;"",COUNTIF($AL$11:$AL1592,$AL1592)=1),1,0)</f>
        <v>0</v>
      </c>
      <c r="AW1592" s="21">
        <f t="shared" si="135"/>
        <v>2</v>
      </c>
      <c r="AX1592" s="21" t="str">
        <f t="shared" si="134"/>
        <v/>
      </c>
      <c r="AY1592" s="21" t="str">
        <f>IF(AND($AM1592&lt;&gt;"",$AS1592&lt;&gt;"✓"),SUMPRODUCT(($AM$11:$AM1592&lt;&gt;"")*($AS$11:$AS1592&lt;&gt;"✓")),"")</f>
        <v/>
      </c>
      <c r="AZ1592" s="21" t="str">
        <f>IF(AND($AM1592&lt;&gt;"",$AS1592="✓"),SUMPRODUCT(($AM$11:$AM1592&lt;&gt;"")*($AS$11:$AS1592="✓")),"")</f>
        <v/>
      </c>
      <c r="BA1592" s="21" t="str">
        <f>IF($AL1592="","",$AL1592&amp;"|"&amp;COUNTIF($AL$11:$AL1592,$AL1592))</f>
        <v/>
      </c>
    </row>
    <row r="1593" spans="38:53" ht="15" customHeight="1" x14ac:dyDescent="0.25">
      <c r="AL1593" s="17"/>
      <c r="AM1593" s="12"/>
      <c r="AN1593" s="18"/>
      <c r="AO1593" s="18"/>
      <c r="AP1593" s="10"/>
      <c r="AQ1593" s="10"/>
      <c r="AR1593" s="19"/>
      <c r="AS1593" s="20"/>
      <c r="AT1593" s="19"/>
      <c r="AV1593" s="21">
        <f>IF(AND($AL1593&lt;&gt;"",COUNTIF($AL$11:$AL1593,$AL1593)=1),1,0)</f>
        <v>0</v>
      </c>
      <c r="AW1593" s="21">
        <f t="shared" si="135"/>
        <v>2</v>
      </c>
      <c r="AX1593" s="21" t="str">
        <f t="shared" si="134"/>
        <v/>
      </c>
      <c r="AY1593" s="21" t="str">
        <f>IF(AND($AM1593&lt;&gt;"",$AS1593&lt;&gt;"✓"),SUMPRODUCT(($AM$11:$AM1593&lt;&gt;"")*($AS$11:$AS1593&lt;&gt;"✓")),"")</f>
        <v/>
      </c>
      <c r="AZ1593" s="21" t="str">
        <f>IF(AND($AM1593&lt;&gt;"",$AS1593="✓"),SUMPRODUCT(($AM$11:$AM1593&lt;&gt;"")*($AS$11:$AS1593="✓")),"")</f>
        <v/>
      </c>
      <c r="BA1593" s="21" t="str">
        <f>IF($AL1593="","",$AL1593&amp;"|"&amp;COUNTIF($AL$11:$AL1593,$AL1593))</f>
        <v/>
      </c>
    </row>
    <row r="1594" spans="38:53" ht="15" customHeight="1" x14ac:dyDescent="0.25">
      <c r="AL1594" s="31"/>
      <c r="AM1594" s="26"/>
      <c r="AN1594" s="32"/>
      <c r="AO1594" s="32"/>
      <c r="AP1594" s="24"/>
      <c r="AQ1594" s="24"/>
      <c r="AR1594" s="33"/>
      <c r="AS1594" s="34"/>
      <c r="AT1594" s="33"/>
      <c r="AV1594" s="21">
        <f>IF(AND($AL1594&lt;&gt;"",COUNTIF($AL$11:$AL1594,$AL1594)=1),1,0)</f>
        <v>0</v>
      </c>
      <c r="AW1594" s="21">
        <f t="shared" si="135"/>
        <v>2</v>
      </c>
      <c r="AX1594" s="21" t="str">
        <f t="shared" si="134"/>
        <v/>
      </c>
      <c r="AY1594" s="21" t="str">
        <f>IF(AND($AM1594&lt;&gt;"",$AS1594&lt;&gt;"✓"),SUMPRODUCT(($AM$11:$AM1594&lt;&gt;"")*($AS$11:$AS1594&lt;&gt;"✓")),"")</f>
        <v/>
      </c>
      <c r="AZ1594" s="21" t="str">
        <f>IF(AND($AM1594&lt;&gt;"",$AS1594="✓"),SUMPRODUCT(($AM$11:$AM1594&lt;&gt;"")*($AS$11:$AS1594="✓")),"")</f>
        <v/>
      </c>
      <c r="BA1594" s="21" t="str">
        <f>IF($AL1594="","",$AL1594&amp;"|"&amp;COUNTIF($AL$11:$AL1594,$AL1594))</f>
        <v/>
      </c>
    </row>
    <row r="1595" spans="38:53" ht="15" customHeight="1" x14ac:dyDescent="0.25">
      <c r="AL1595" s="17"/>
      <c r="AM1595" s="12"/>
      <c r="AN1595" s="18"/>
      <c r="AO1595" s="18"/>
      <c r="AP1595" s="10"/>
      <c r="AQ1595" s="10"/>
      <c r="AR1595" s="19"/>
      <c r="AS1595" s="20"/>
      <c r="AT1595" s="19"/>
      <c r="AV1595" s="21">
        <f>IF(AND($AL1595&lt;&gt;"",COUNTIF($AL$11:$AL1595,$AL1595)=1),1,0)</f>
        <v>0</v>
      </c>
      <c r="AW1595" s="21">
        <f t="shared" si="135"/>
        <v>2</v>
      </c>
      <c r="AX1595" s="21" t="str">
        <f t="shared" si="134"/>
        <v/>
      </c>
      <c r="AY1595" s="21" t="str">
        <f>IF(AND($AM1595&lt;&gt;"",$AS1595&lt;&gt;"✓"),SUMPRODUCT(($AM$11:$AM1595&lt;&gt;"")*($AS$11:$AS1595&lt;&gt;"✓")),"")</f>
        <v/>
      </c>
      <c r="AZ1595" s="21" t="str">
        <f>IF(AND($AM1595&lt;&gt;"",$AS1595="✓"),SUMPRODUCT(($AM$11:$AM1595&lt;&gt;"")*($AS$11:$AS1595="✓")),"")</f>
        <v/>
      </c>
      <c r="BA1595" s="21" t="str">
        <f>IF($AL1595="","",$AL1595&amp;"|"&amp;COUNTIF($AL$11:$AL1595,$AL1595))</f>
        <v/>
      </c>
    </row>
    <row r="1596" spans="38:53" ht="15" customHeight="1" x14ac:dyDescent="0.25">
      <c r="AL1596" s="31"/>
      <c r="AM1596" s="26"/>
      <c r="AN1596" s="32"/>
      <c r="AO1596" s="32"/>
      <c r="AP1596" s="24"/>
      <c r="AQ1596" s="24"/>
      <c r="AR1596" s="33"/>
      <c r="AS1596" s="34"/>
      <c r="AT1596" s="33"/>
      <c r="AV1596" s="21">
        <f>IF(AND($AL1596&lt;&gt;"",COUNTIF($AL$11:$AL1596,$AL1596)=1),1,0)</f>
        <v>0</v>
      </c>
      <c r="AW1596" s="21">
        <f t="shared" si="135"/>
        <v>2</v>
      </c>
      <c r="AX1596" s="21" t="str">
        <f t="shared" si="134"/>
        <v/>
      </c>
      <c r="AY1596" s="21" t="str">
        <f>IF(AND($AM1596&lt;&gt;"",$AS1596&lt;&gt;"✓"),SUMPRODUCT(($AM$11:$AM1596&lt;&gt;"")*($AS$11:$AS1596&lt;&gt;"✓")),"")</f>
        <v/>
      </c>
      <c r="AZ1596" s="21" t="str">
        <f>IF(AND($AM1596&lt;&gt;"",$AS1596="✓"),SUMPRODUCT(($AM$11:$AM1596&lt;&gt;"")*($AS$11:$AS1596="✓")),"")</f>
        <v/>
      </c>
      <c r="BA1596" s="21" t="str">
        <f>IF($AL1596="","",$AL1596&amp;"|"&amp;COUNTIF($AL$11:$AL1596,$AL1596))</f>
        <v/>
      </c>
    </row>
    <row r="1597" spans="38:53" ht="15" customHeight="1" x14ac:dyDescent="0.25">
      <c r="AL1597" s="17"/>
      <c r="AM1597" s="12"/>
      <c r="AN1597" s="18"/>
      <c r="AO1597" s="18"/>
      <c r="AP1597" s="10"/>
      <c r="AQ1597" s="10"/>
      <c r="AR1597" s="19"/>
      <c r="AS1597" s="20"/>
      <c r="AT1597" s="19"/>
      <c r="AV1597" s="21">
        <f>IF(AND($AL1597&lt;&gt;"",COUNTIF($AL$11:$AL1597,$AL1597)=1),1,0)</f>
        <v>0</v>
      </c>
      <c r="AW1597" s="21">
        <f t="shared" si="135"/>
        <v>2</v>
      </c>
      <c r="AX1597" s="21" t="str">
        <f t="shared" si="134"/>
        <v/>
      </c>
      <c r="AY1597" s="21" t="str">
        <f>IF(AND($AM1597&lt;&gt;"",$AS1597&lt;&gt;"✓"),SUMPRODUCT(($AM$11:$AM1597&lt;&gt;"")*($AS$11:$AS1597&lt;&gt;"✓")),"")</f>
        <v/>
      </c>
      <c r="AZ1597" s="21" t="str">
        <f>IF(AND($AM1597&lt;&gt;"",$AS1597="✓"),SUMPRODUCT(($AM$11:$AM1597&lt;&gt;"")*($AS$11:$AS1597="✓")),"")</f>
        <v/>
      </c>
      <c r="BA1597" s="21" t="str">
        <f>IF($AL1597="","",$AL1597&amp;"|"&amp;COUNTIF($AL$11:$AL1597,$AL1597))</f>
        <v/>
      </c>
    </row>
    <row r="1598" spans="38:53" ht="15" customHeight="1" x14ac:dyDescent="0.25">
      <c r="AL1598" s="31"/>
      <c r="AM1598" s="26"/>
      <c r="AN1598" s="32"/>
      <c r="AO1598" s="32"/>
      <c r="AP1598" s="24"/>
      <c r="AQ1598" s="24"/>
      <c r="AR1598" s="33"/>
      <c r="AS1598" s="34"/>
      <c r="AT1598" s="33"/>
      <c r="AV1598" s="21">
        <f>IF(AND($AL1598&lt;&gt;"",COUNTIF($AL$11:$AL1598,$AL1598)=1),1,0)</f>
        <v>0</v>
      </c>
      <c r="AW1598" s="21">
        <f t="shared" si="135"/>
        <v>2</v>
      </c>
      <c r="AX1598" s="21" t="str">
        <f t="shared" si="134"/>
        <v/>
      </c>
      <c r="AY1598" s="21" t="str">
        <f>IF(AND($AM1598&lt;&gt;"",$AS1598&lt;&gt;"✓"),SUMPRODUCT(($AM$11:$AM1598&lt;&gt;"")*($AS$11:$AS1598&lt;&gt;"✓")),"")</f>
        <v/>
      </c>
      <c r="AZ1598" s="21" t="str">
        <f>IF(AND($AM1598&lt;&gt;"",$AS1598="✓"),SUMPRODUCT(($AM$11:$AM1598&lt;&gt;"")*($AS$11:$AS1598="✓")),"")</f>
        <v/>
      </c>
      <c r="BA1598" s="21" t="str">
        <f>IF($AL1598="","",$AL1598&amp;"|"&amp;COUNTIF($AL$11:$AL1598,$AL1598))</f>
        <v/>
      </c>
    </row>
    <row r="1599" spans="38:53" ht="15" customHeight="1" x14ac:dyDescent="0.25">
      <c r="AL1599" s="17"/>
      <c r="AM1599" s="12"/>
      <c r="AN1599" s="18"/>
      <c r="AO1599" s="18"/>
      <c r="AP1599" s="10"/>
      <c r="AQ1599" s="10"/>
      <c r="AR1599" s="19"/>
      <c r="AS1599" s="20"/>
      <c r="AT1599" s="19"/>
      <c r="AV1599" s="21">
        <f>IF(AND($AL1599&lt;&gt;"",COUNTIF($AL$11:$AL1599,$AL1599)=1),1,0)</f>
        <v>0</v>
      </c>
      <c r="AW1599" s="21">
        <f t="shared" si="135"/>
        <v>2</v>
      </c>
      <c r="AX1599" s="21" t="str">
        <f t="shared" si="134"/>
        <v/>
      </c>
      <c r="AY1599" s="21" t="str">
        <f>IF(AND($AM1599&lt;&gt;"",$AS1599&lt;&gt;"✓"),SUMPRODUCT(($AM$11:$AM1599&lt;&gt;"")*($AS$11:$AS1599&lt;&gt;"✓")),"")</f>
        <v/>
      </c>
      <c r="AZ1599" s="21" t="str">
        <f>IF(AND($AM1599&lt;&gt;"",$AS1599="✓"),SUMPRODUCT(($AM$11:$AM1599&lt;&gt;"")*($AS$11:$AS1599="✓")),"")</f>
        <v/>
      </c>
      <c r="BA1599" s="21" t="str">
        <f>IF($AL1599="","",$AL1599&amp;"|"&amp;COUNTIF($AL$11:$AL1599,$AL1599))</f>
        <v/>
      </c>
    </row>
    <row r="1600" spans="38:53" ht="15" customHeight="1" x14ac:dyDescent="0.25">
      <c r="AL1600" s="31"/>
      <c r="AM1600" s="26"/>
      <c r="AN1600" s="32"/>
      <c r="AO1600" s="32"/>
      <c r="AP1600" s="24"/>
      <c r="AQ1600" s="24"/>
      <c r="AR1600" s="33"/>
      <c r="AS1600" s="34"/>
      <c r="AT1600" s="33"/>
      <c r="AV1600" s="21">
        <f>IF(AND($AL1600&lt;&gt;"",COUNTIF($AL$11:$AL1600,$AL1600)=1),1,0)</f>
        <v>0</v>
      </c>
      <c r="AW1600" s="21">
        <f t="shared" si="135"/>
        <v>2</v>
      </c>
      <c r="AX1600" s="21" t="str">
        <f t="shared" si="134"/>
        <v/>
      </c>
      <c r="AY1600" s="21" t="str">
        <f>IF(AND($AM1600&lt;&gt;"",$AS1600&lt;&gt;"✓"),SUMPRODUCT(($AM$11:$AM1600&lt;&gt;"")*($AS$11:$AS1600&lt;&gt;"✓")),"")</f>
        <v/>
      </c>
      <c r="AZ1600" s="21" t="str">
        <f>IF(AND($AM1600&lt;&gt;"",$AS1600="✓"),SUMPRODUCT(($AM$11:$AM1600&lt;&gt;"")*($AS$11:$AS1600="✓")),"")</f>
        <v/>
      </c>
      <c r="BA1600" s="21" t="str">
        <f>IF($AL1600="","",$AL1600&amp;"|"&amp;COUNTIF($AL$11:$AL1600,$AL1600))</f>
        <v/>
      </c>
    </row>
    <row r="1601" spans="38:53" ht="15" customHeight="1" x14ac:dyDescent="0.25">
      <c r="AL1601" s="17"/>
      <c r="AM1601" s="12"/>
      <c r="AN1601" s="18"/>
      <c r="AO1601" s="18"/>
      <c r="AP1601" s="10"/>
      <c r="AQ1601" s="10"/>
      <c r="AR1601" s="19"/>
      <c r="AS1601" s="20"/>
      <c r="AT1601" s="19"/>
      <c r="AV1601" s="21">
        <f>IF(AND($AL1601&lt;&gt;"",COUNTIF($AL$11:$AL1601,$AL1601)=1),1,0)</f>
        <v>0</v>
      </c>
      <c r="AW1601" s="21">
        <f t="shared" si="135"/>
        <v>2</v>
      </c>
      <c r="AX1601" s="21" t="str">
        <f t="shared" si="134"/>
        <v/>
      </c>
      <c r="AY1601" s="21" t="str">
        <f>IF(AND($AM1601&lt;&gt;"",$AS1601&lt;&gt;"✓"),SUMPRODUCT(($AM$11:$AM1601&lt;&gt;"")*($AS$11:$AS1601&lt;&gt;"✓")),"")</f>
        <v/>
      </c>
      <c r="AZ1601" s="21" t="str">
        <f>IF(AND($AM1601&lt;&gt;"",$AS1601="✓"),SUMPRODUCT(($AM$11:$AM1601&lt;&gt;"")*($AS$11:$AS1601="✓")),"")</f>
        <v/>
      </c>
      <c r="BA1601" s="21" t="str">
        <f>IF($AL1601="","",$AL1601&amp;"|"&amp;COUNTIF($AL$11:$AL1601,$AL1601))</f>
        <v/>
      </c>
    </row>
    <row r="1602" spans="38:53" ht="15" customHeight="1" x14ac:dyDescent="0.25">
      <c r="AL1602" s="31"/>
      <c r="AM1602" s="26"/>
      <c r="AN1602" s="32"/>
      <c r="AO1602" s="32"/>
      <c r="AP1602" s="24"/>
      <c r="AQ1602" s="24"/>
      <c r="AR1602" s="33"/>
      <c r="AS1602" s="34"/>
      <c r="AT1602" s="33"/>
      <c r="AV1602" s="21">
        <f>IF(AND($AL1602&lt;&gt;"",COUNTIF($AL$11:$AL1602,$AL1602)=1),1,0)</f>
        <v>0</v>
      </c>
      <c r="AW1602" s="21">
        <f t="shared" si="135"/>
        <v>2</v>
      </c>
      <c r="AX1602" s="21" t="str">
        <f t="shared" si="134"/>
        <v/>
      </c>
      <c r="AY1602" s="21" t="str">
        <f>IF(AND($AM1602&lt;&gt;"",$AS1602&lt;&gt;"✓"),SUMPRODUCT(($AM$11:$AM1602&lt;&gt;"")*($AS$11:$AS1602&lt;&gt;"✓")),"")</f>
        <v/>
      </c>
      <c r="AZ1602" s="21" t="str">
        <f>IF(AND($AM1602&lt;&gt;"",$AS1602="✓"),SUMPRODUCT(($AM$11:$AM1602&lt;&gt;"")*($AS$11:$AS1602="✓")),"")</f>
        <v/>
      </c>
      <c r="BA1602" s="21" t="str">
        <f>IF($AL1602="","",$AL1602&amp;"|"&amp;COUNTIF($AL$11:$AL1602,$AL1602))</f>
        <v/>
      </c>
    </row>
    <row r="1603" spans="38:53" ht="15" customHeight="1" x14ac:dyDescent="0.25">
      <c r="AL1603" s="17"/>
      <c r="AM1603" s="12"/>
      <c r="AN1603" s="18"/>
      <c r="AO1603" s="18"/>
      <c r="AP1603" s="10"/>
      <c r="AQ1603" s="10"/>
      <c r="AR1603" s="19"/>
      <c r="AS1603" s="20"/>
      <c r="AT1603" s="19"/>
      <c r="AV1603" s="21">
        <f>IF(AND($AL1603&lt;&gt;"",COUNTIF($AL$11:$AL1603,$AL1603)=1),1,0)</f>
        <v>0</v>
      </c>
      <c r="AW1603" s="21">
        <f t="shared" si="135"/>
        <v>2</v>
      </c>
      <c r="AX1603" s="21" t="str">
        <f t="shared" si="134"/>
        <v/>
      </c>
      <c r="AY1603" s="21" t="str">
        <f>IF(AND($AM1603&lt;&gt;"",$AS1603&lt;&gt;"✓"),SUMPRODUCT(($AM$11:$AM1603&lt;&gt;"")*($AS$11:$AS1603&lt;&gt;"✓")),"")</f>
        <v/>
      </c>
      <c r="AZ1603" s="21" t="str">
        <f>IF(AND($AM1603&lt;&gt;"",$AS1603="✓"),SUMPRODUCT(($AM$11:$AM1603&lt;&gt;"")*($AS$11:$AS1603="✓")),"")</f>
        <v/>
      </c>
      <c r="BA1603" s="21" t="str">
        <f>IF($AL1603="","",$AL1603&amp;"|"&amp;COUNTIF($AL$11:$AL1603,$AL1603))</f>
        <v/>
      </c>
    </row>
    <row r="1604" spans="38:53" ht="15" customHeight="1" x14ac:dyDescent="0.25">
      <c r="AL1604" s="31"/>
      <c r="AM1604" s="26"/>
      <c r="AN1604" s="32"/>
      <c r="AO1604" s="32"/>
      <c r="AP1604" s="24"/>
      <c r="AQ1604" s="24"/>
      <c r="AR1604" s="33"/>
      <c r="AS1604" s="34"/>
      <c r="AT1604" s="33"/>
      <c r="AV1604" s="21">
        <f>IF(AND($AL1604&lt;&gt;"",COUNTIF($AL$11:$AL1604,$AL1604)=1),1,0)</f>
        <v>0</v>
      </c>
      <c r="AW1604" s="21">
        <f t="shared" si="135"/>
        <v>2</v>
      </c>
      <c r="AX1604" s="21" t="str">
        <f t="shared" si="134"/>
        <v/>
      </c>
      <c r="AY1604" s="21" t="str">
        <f>IF(AND($AM1604&lt;&gt;"",$AS1604&lt;&gt;"✓"),SUMPRODUCT(($AM$11:$AM1604&lt;&gt;"")*($AS$11:$AS1604&lt;&gt;"✓")),"")</f>
        <v/>
      </c>
      <c r="AZ1604" s="21" t="str">
        <f>IF(AND($AM1604&lt;&gt;"",$AS1604="✓"),SUMPRODUCT(($AM$11:$AM1604&lt;&gt;"")*($AS$11:$AS1604="✓")),"")</f>
        <v/>
      </c>
      <c r="BA1604" s="21" t="str">
        <f>IF($AL1604="","",$AL1604&amp;"|"&amp;COUNTIF($AL$11:$AL1604,$AL1604))</f>
        <v/>
      </c>
    </row>
    <row r="1605" spans="38:53" ht="15" customHeight="1" x14ac:dyDescent="0.25">
      <c r="AL1605" s="17"/>
      <c r="AM1605" s="12"/>
      <c r="AN1605" s="18"/>
      <c r="AO1605" s="18"/>
      <c r="AP1605" s="10"/>
      <c r="AQ1605" s="10"/>
      <c r="AR1605" s="19"/>
      <c r="AS1605" s="20"/>
      <c r="AT1605" s="19"/>
      <c r="AV1605" s="21">
        <f>IF(AND($AL1605&lt;&gt;"",COUNTIF($AL$11:$AL1605,$AL1605)=1),1,0)</f>
        <v>0</v>
      </c>
      <c r="AW1605" s="21">
        <f t="shared" si="135"/>
        <v>2</v>
      </c>
      <c r="AX1605" s="21" t="str">
        <f t="shared" si="134"/>
        <v/>
      </c>
      <c r="AY1605" s="21" t="str">
        <f>IF(AND($AM1605&lt;&gt;"",$AS1605&lt;&gt;"✓"),SUMPRODUCT(($AM$11:$AM1605&lt;&gt;"")*($AS$11:$AS1605&lt;&gt;"✓")),"")</f>
        <v/>
      </c>
      <c r="AZ1605" s="21" t="str">
        <f>IF(AND($AM1605&lt;&gt;"",$AS1605="✓"),SUMPRODUCT(($AM$11:$AM1605&lt;&gt;"")*($AS$11:$AS1605="✓")),"")</f>
        <v/>
      </c>
      <c r="BA1605" s="21" t="str">
        <f>IF($AL1605="","",$AL1605&amp;"|"&amp;COUNTIF($AL$11:$AL1605,$AL1605))</f>
        <v/>
      </c>
    </row>
    <row r="1606" spans="38:53" ht="15" customHeight="1" x14ac:dyDescent="0.25">
      <c r="AL1606" s="31"/>
      <c r="AM1606" s="26"/>
      <c r="AN1606" s="32"/>
      <c r="AO1606" s="32"/>
      <c r="AP1606" s="24"/>
      <c r="AQ1606" s="24"/>
      <c r="AR1606" s="33"/>
      <c r="AS1606" s="34"/>
      <c r="AT1606" s="33"/>
      <c r="AV1606" s="21">
        <f>IF(AND($AL1606&lt;&gt;"",COUNTIF($AL$11:$AL1606,$AL1606)=1),1,0)</f>
        <v>0</v>
      </c>
      <c r="AW1606" s="21">
        <f t="shared" si="135"/>
        <v>2</v>
      </c>
      <c r="AX1606" s="21" t="str">
        <f t="shared" si="134"/>
        <v/>
      </c>
      <c r="AY1606" s="21" t="str">
        <f>IF(AND($AM1606&lt;&gt;"",$AS1606&lt;&gt;"✓"),SUMPRODUCT(($AM$11:$AM1606&lt;&gt;"")*($AS$11:$AS1606&lt;&gt;"✓")),"")</f>
        <v/>
      </c>
      <c r="AZ1606" s="21" t="str">
        <f>IF(AND($AM1606&lt;&gt;"",$AS1606="✓"),SUMPRODUCT(($AM$11:$AM1606&lt;&gt;"")*($AS$11:$AS1606="✓")),"")</f>
        <v/>
      </c>
      <c r="BA1606" s="21" t="str">
        <f>IF($AL1606="","",$AL1606&amp;"|"&amp;COUNTIF($AL$11:$AL1606,$AL1606))</f>
        <v/>
      </c>
    </row>
    <row r="1607" spans="38:53" ht="15" customHeight="1" x14ac:dyDescent="0.25">
      <c r="AL1607" s="17"/>
      <c r="AM1607" s="12"/>
      <c r="AN1607" s="18"/>
      <c r="AO1607" s="18"/>
      <c r="AP1607" s="10"/>
      <c r="AQ1607" s="10"/>
      <c r="AR1607" s="19"/>
      <c r="AS1607" s="20"/>
      <c r="AT1607" s="19"/>
      <c r="AV1607" s="21">
        <f>IF(AND($AL1607&lt;&gt;"",COUNTIF($AL$11:$AL1607,$AL1607)=1),1,0)</f>
        <v>0</v>
      </c>
      <c r="AW1607" s="21">
        <f t="shared" si="135"/>
        <v>2</v>
      </c>
      <c r="AX1607" s="21" t="str">
        <f t="shared" si="134"/>
        <v/>
      </c>
      <c r="AY1607" s="21" t="str">
        <f>IF(AND($AM1607&lt;&gt;"",$AS1607&lt;&gt;"✓"),SUMPRODUCT(($AM$11:$AM1607&lt;&gt;"")*($AS$11:$AS1607&lt;&gt;"✓")),"")</f>
        <v/>
      </c>
      <c r="AZ1607" s="21" t="str">
        <f>IF(AND($AM1607&lt;&gt;"",$AS1607="✓"),SUMPRODUCT(($AM$11:$AM1607&lt;&gt;"")*($AS$11:$AS1607="✓")),"")</f>
        <v/>
      </c>
      <c r="BA1607" s="21" t="str">
        <f>IF($AL1607="","",$AL1607&amp;"|"&amp;COUNTIF($AL$11:$AL1607,$AL1607))</f>
        <v/>
      </c>
    </row>
    <row r="1608" spans="38:53" ht="15" customHeight="1" x14ac:dyDescent="0.25">
      <c r="AL1608" s="31"/>
      <c r="AM1608" s="26"/>
      <c r="AN1608" s="32"/>
      <c r="AO1608" s="32"/>
      <c r="AP1608" s="24"/>
      <c r="AQ1608" s="24"/>
      <c r="AR1608" s="33"/>
      <c r="AS1608" s="34"/>
      <c r="AT1608" s="33"/>
      <c r="AV1608" s="21">
        <f>IF(AND($AL1608&lt;&gt;"",COUNTIF($AL$11:$AL1608,$AL1608)=1),1,0)</f>
        <v>0</v>
      </c>
      <c r="AW1608" s="21">
        <f t="shared" si="135"/>
        <v>2</v>
      </c>
      <c r="AX1608" s="21" t="str">
        <f t="shared" si="134"/>
        <v/>
      </c>
      <c r="AY1608" s="21" t="str">
        <f>IF(AND($AM1608&lt;&gt;"",$AS1608&lt;&gt;"✓"),SUMPRODUCT(($AM$11:$AM1608&lt;&gt;"")*($AS$11:$AS1608&lt;&gt;"✓")),"")</f>
        <v/>
      </c>
      <c r="AZ1608" s="21" t="str">
        <f>IF(AND($AM1608&lt;&gt;"",$AS1608="✓"),SUMPRODUCT(($AM$11:$AM1608&lt;&gt;"")*($AS$11:$AS1608="✓")),"")</f>
        <v/>
      </c>
      <c r="BA1608" s="21" t="str">
        <f>IF($AL1608="","",$AL1608&amp;"|"&amp;COUNTIF($AL$11:$AL1608,$AL1608))</f>
        <v/>
      </c>
    </row>
    <row r="1609" spans="38:53" ht="15" customHeight="1" x14ac:dyDescent="0.25">
      <c r="AL1609" s="17"/>
      <c r="AM1609" s="12"/>
      <c r="AN1609" s="18"/>
      <c r="AO1609" s="18"/>
      <c r="AP1609" s="10"/>
      <c r="AQ1609" s="10"/>
      <c r="AR1609" s="19"/>
      <c r="AS1609" s="20"/>
      <c r="AT1609" s="19"/>
      <c r="AV1609" s="21">
        <f>IF(AND($AL1609&lt;&gt;"",COUNTIF($AL$11:$AL1609,$AL1609)=1),1,0)</f>
        <v>0</v>
      </c>
      <c r="AW1609" s="21">
        <f t="shared" si="135"/>
        <v>2</v>
      </c>
      <c r="AX1609" s="21" t="str">
        <f t="shared" si="134"/>
        <v/>
      </c>
      <c r="AY1609" s="21" t="str">
        <f>IF(AND($AM1609&lt;&gt;"",$AS1609&lt;&gt;"✓"),SUMPRODUCT(($AM$11:$AM1609&lt;&gt;"")*($AS$11:$AS1609&lt;&gt;"✓")),"")</f>
        <v/>
      </c>
      <c r="AZ1609" s="21" t="str">
        <f>IF(AND($AM1609&lt;&gt;"",$AS1609="✓"),SUMPRODUCT(($AM$11:$AM1609&lt;&gt;"")*($AS$11:$AS1609="✓")),"")</f>
        <v/>
      </c>
      <c r="BA1609" s="21" t="str">
        <f>IF($AL1609="","",$AL1609&amp;"|"&amp;COUNTIF($AL$11:$AL1609,$AL1609))</f>
        <v/>
      </c>
    </row>
    <row r="1610" spans="38:53" ht="15" customHeight="1" x14ac:dyDescent="0.25">
      <c r="AL1610" s="31"/>
      <c r="AM1610" s="26"/>
      <c r="AN1610" s="32"/>
      <c r="AO1610" s="32"/>
      <c r="AP1610" s="24"/>
      <c r="AQ1610" s="24"/>
      <c r="AR1610" s="33"/>
      <c r="AS1610" s="34"/>
      <c r="AT1610" s="33"/>
      <c r="AV1610" s="21">
        <f>IF(AND($AL1610&lt;&gt;"",COUNTIF($AL$11:$AL1610,$AL1610)=1),1,0)</f>
        <v>0</v>
      </c>
      <c r="AW1610" s="21">
        <f t="shared" si="135"/>
        <v>2</v>
      </c>
      <c r="AX1610" s="21" t="str">
        <f t="shared" si="134"/>
        <v/>
      </c>
      <c r="AY1610" s="21" t="str">
        <f>IF(AND($AM1610&lt;&gt;"",$AS1610&lt;&gt;"✓"),SUMPRODUCT(($AM$11:$AM1610&lt;&gt;"")*($AS$11:$AS1610&lt;&gt;"✓")),"")</f>
        <v/>
      </c>
      <c r="AZ1610" s="21" t="str">
        <f>IF(AND($AM1610&lt;&gt;"",$AS1610="✓"),SUMPRODUCT(($AM$11:$AM1610&lt;&gt;"")*($AS$11:$AS1610="✓")),"")</f>
        <v/>
      </c>
      <c r="BA1610" s="21" t="str">
        <f>IF($AL1610="","",$AL1610&amp;"|"&amp;COUNTIF($AL$11:$AL1610,$AL1610))</f>
        <v/>
      </c>
    </row>
    <row r="1611" spans="38:53" ht="15" customHeight="1" x14ac:dyDescent="0.25">
      <c r="AL1611" s="17"/>
      <c r="AM1611" s="12"/>
      <c r="AN1611" s="18"/>
      <c r="AO1611" s="18"/>
      <c r="AP1611" s="10"/>
      <c r="AQ1611" s="10"/>
      <c r="AR1611" s="19"/>
      <c r="AS1611" s="20"/>
      <c r="AT1611" s="19"/>
      <c r="AV1611" s="21">
        <f>IF(AND($AL1611&lt;&gt;"",COUNTIF($AL$11:$AL1611,$AL1611)=1),1,0)</f>
        <v>0</v>
      </c>
      <c r="AW1611" s="21">
        <f t="shared" si="135"/>
        <v>2</v>
      </c>
      <c r="AX1611" s="21" t="str">
        <f t="shared" ref="AX1611:AX1674" si="136">IF(AV1611=1,AW1611,"")</f>
        <v/>
      </c>
      <c r="AY1611" s="21" t="str">
        <f>IF(AND($AM1611&lt;&gt;"",$AS1611&lt;&gt;"✓"),SUMPRODUCT(($AM$11:$AM1611&lt;&gt;"")*($AS$11:$AS1611&lt;&gt;"✓")),"")</f>
        <v/>
      </c>
      <c r="AZ1611" s="21" t="str">
        <f>IF(AND($AM1611&lt;&gt;"",$AS1611="✓"),SUMPRODUCT(($AM$11:$AM1611&lt;&gt;"")*($AS$11:$AS1611="✓")),"")</f>
        <v/>
      </c>
      <c r="BA1611" s="21" t="str">
        <f>IF($AL1611="","",$AL1611&amp;"|"&amp;COUNTIF($AL$11:$AL1611,$AL1611))</f>
        <v/>
      </c>
    </row>
    <row r="1612" spans="38:53" ht="15" customHeight="1" x14ac:dyDescent="0.25">
      <c r="AL1612" s="31"/>
      <c r="AM1612" s="26"/>
      <c r="AN1612" s="32"/>
      <c r="AO1612" s="32"/>
      <c r="AP1612" s="24"/>
      <c r="AQ1612" s="24"/>
      <c r="AR1612" s="33"/>
      <c r="AS1612" s="34"/>
      <c r="AT1612" s="33"/>
      <c r="AV1612" s="21">
        <f>IF(AND($AL1612&lt;&gt;"",COUNTIF($AL$11:$AL1612,$AL1612)=1),1,0)</f>
        <v>0</v>
      </c>
      <c r="AW1612" s="21">
        <f t="shared" ref="AW1612:AW1675" si="137">AW1611+AV1612</f>
        <v>2</v>
      </c>
      <c r="AX1612" s="21" t="str">
        <f t="shared" si="136"/>
        <v/>
      </c>
      <c r="AY1612" s="21" t="str">
        <f>IF(AND($AM1612&lt;&gt;"",$AS1612&lt;&gt;"✓"),SUMPRODUCT(($AM$11:$AM1612&lt;&gt;"")*($AS$11:$AS1612&lt;&gt;"✓")),"")</f>
        <v/>
      </c>
      <c r="AZ1612" s="21" t="str">
        <f>IF(AND($AM1612&lt;&gt;"",$AS1612="✓"),SUMPRODUCT(($AM$11:$AM1612&lt;&gt;"")*($AS$11:$AS1612="✓")),"")</f>
        <v/>
      </c>
      <c r="BA1612" s="21" t="str">
        <f>IF($AL1612="","",$AL1612&amp;"|"&amp;COUNTIF($AL$11:$AL1612,$AL1612))</f>
        <v/>
      </c>
    </row>
    <row r="1613" spans="38:53" ht="15" customHeight="1" x14ac:dyDescent="0.25">
      <c r="AL1613" s="17"/>
      <c r="AM1613" s="12"/>
      <c r="AN1613" s="18"/>
      <c r="AO1613" s="18"/>
      <c r="AP1613" s="10"/>
      <c r="AQ1613" s="10"/>
      <c r="AR1613" s="19"/>
      <c r="AS1613" s="20"/>
      <c r="AT1613" s="19"/>
      <c r="AV1613" s="21">
        <f>IF(AND($AL1613&lt;&gt;"",COUNTIF($AL$11:$AL1613,$AL1613)=1),1,0)</f>
        <v>0</v>
      </c>
      <c r="AW1613" s="21">
        <f t="shared" si="137"/>
        <v>2</v>
      </c>
      <c r="AX1613" s="21" t="str">
        <f t="shared" si="136"/>
        <v/>
      </c>
      <c r="AY1613" s="21" t="str">
        <f>IF(AND($AM1613&lt;&gt;"",$AS1613&lt;&gt;"✓"),SUMPRODUCT(($AM$11:$AM1613&lt;&gt;"")*($AS$11:$AS1613&lt;&gt;"✓")),"")</f>
        <v/>
      </c>
      <c r="AZ1613" s="21" t="str">
        <f>IF(AND($AM1613&lt;&gt;"",$AS1613="✓"),SUMPRODUCT(($AM$11:$AM1613&lt;&gt;"")*($AS$11:$AS1613="✓")),"")</f>
        <v/>
      </c>
      <c r="BA1613" s="21" t="str">
        <f>IF($AL1613="","",$AL1613&amp;"|"&amp;COUNTIF($AL$11:$AL1613,$AL1613))</f>
        <v/>
      </c>
    </row>
    <row r="1614" spans="38:53" ht="15" customHeight="1" x14ac:dyDescent="0.25">
      <c r="AL1614" s="31"/>
      <c r="AM1614" s="26"/>
      <c r="AN1614" s="32"/>
      <c r="AO1614" s="32"/>
      <c r="AP1614" s="24"/>
      <c r="AQ1614" s="24"/>
      <c r="AR1614" s="33"/>
      <c r="AS1614" s="34"/>
      <c r="AT1614" s="33"/>
      <c r="AV1614" s="21">
        <f>IF(AND($AL1614&lt;&gt;"",COUNTIF($AL$11:$AL1614,$AL1614)=1),1,0)</f>
        <v>0</v>
      </c>
      <c r="AW1614" s="21">
        <f t="shared" si="137"/>
        <v>2</v>
      </c>
      <c r="AX1614" s="21" t="str">
        <f t="shared" si="136"/>
        <v/>
      </c>
      <c r="AY1614" s="21" t="str">
        <f>IF(AND($AM1614&lt;&gt;"",$AS1614&lt;&gt;"✓"),SUMPRODUCT(($AM$11:$AM1614&lt;&gt;"")*($AS$11:$AS1614&lt;&gt;"✓")),"")</f>
        <v/>
      </c>
      <c r="AZ1614" s="21" t="str">
        <f>IF(AND($AM1614&lt;&gt;"",$AS1614="✓"),SUMPRODUCT(($AM$11:$AM1614&lt;&gt;"")*($AS$11:$AS1614="✓")),"")</f>
        <v/>
      </c>
      <c r="BA1614" s="21" t="str">
        <f>IF($AL1614="","",$AL1614&amp;"|"&amp;COUNTIF($AL$11:$AL1614,$AL1614))</f>
        <v/>
      </c>
    </row>
    <row r="1615" spans="38:53" ht="15" customHeight="1" x14ac:dyDescent="0.25">
      <c r="AL1615" s="17"/>
      <c r="AM1615" s="12"/>
      <c r="AN1615" s="18"/>
      <c r="AO1615" s="18"/>
      <c r="AP1615" s="10"/>
      <c r="AQ1615" s="10"/>
      <c r="AR1615" s="19"/>
      <c r="AS1615" s="20"/>
      <c r="AT1615" s="19"/>
      <c r="AV1615" s="21">
        <f>IF(AND($AL1615&lt;&gt;"",COUNTIF($AL$11:$AL1615,$AL1615)=1),1,0)</f>
        <v>0</v>
      </c>
      <c r="AW1615" s="21">
        <f t="shared" si="137"/>
        <v>2</v>
      </c>
      <c r="AX1615" s="21" t="str">
        <f t="shared" si="136"/>
        <v/>
      </c>
      <c r="AY1615" s="21" t="str">
        <f>IF(AND($AM1615&lt;&gt;"",$AS1615&lt;&gt;"✓"),SUMPRODUCT(($AM$11:$AM1615&lt;&gt;"")*($AS$11:$AS1615&lt;&gt;"✓")),"")</f>
        <v/>
      </c>
      <c r="AZ1615" s="21" t="str">
        <f>IF(AND($AM1615&lt;&gt;"",$AS1615="✓"),SUMPRODUCT(($AM$11:$AM1615&lt;&gt;"")*($AS$11:$AS1615="✓")),"")</f>
        <v/>
      </c>
      <c r="BA1615" s="21" t="str">
        <f>IF($AL1615="","",$AL1615&amp;"|"&amp;COUNTIF($AL$11:$AL1615,$AL1615))</f>
        <v/>
      </c>
    </row>
    <row r="1616" spans="38:53" ht="15" customHeight="1" x14ac:dyDescent="0.25">
      <c r="AL1616" s="31"/>
      <c r="AM1616" s="26"/>
      <c r="AN1616" s="32"/>
      <c r="AO1616" s="32"/>
      <c r="AP1616" s="24"/>
      <c r="AQ1616" s="24"/>
      <c r="AR1616" s="33"/>
      <c r="AS1616" s="34"/>
      <c r="AT1616" s="33"/>
      <c r="AV1616" s="21">
        <f>IF(AND($AL1616&lt;&gt;"",COUNTIF($AL$11:$AL1616,$AL1616)=1),1,0)</f>
        <v>0</v>
      </c>
      <c r="AW1616" s="21">
        <f t="shared" si="137"/>
        <v>2</v>
      </c>
      <c r="AX1616" s="21" t="str">
        <f t="shared" si="136"/>
        <v/>
      </c>
      <c r="AY1616" s="21" t="str">
        <f>IF(AND($AM1616&lt;&gt;"",$AS1616&lt;&gt;"✓"),SUMPRODUCT(($AM$11:$AM1616&lt;&gt;"")*($AS$11:$AS1616&lt;&gt;"✓")),"")</f>
        <v/>
      </c>
      <c r="AZ1616" s="21" t="str">
        <f>IF(AND($AM1616&lt;&gt;"",$AS1616="✓"),SUMPRODUCT(($AM$11:$AM1616&lt;&gt;"")*($AS$11:$AS1616="✓")),"")</f>
        <v/>
      </c>
      <c r="BA1616" s="21" t="str">
        <f>IF($AL1616="","",$AL1616&amp;"|"&amp;COUNTIF($AL$11:$AL1616,$AL1616))</f>
        <v/>
      </c>
    </row>
    <row r="1617" spans="38:53" ht="15" customHeight="1" x14ac:dyDescent="0.25">
      <c r="AL1617" s="17"/>
      <c r="AM1617" s="12"/>
      <c r="AN1617" s="18"/>
      <c r="AO1617" s="18"/>
      <c r="AP1617" s="10"/>
      <c r="AQ1617" s="10"/>
      <c r="AR1617" s="19"/>
      <c r="AS1617" s="20"/>
      <c r="AT1617" s="19"/>
      <c r="AV1617" s="21">
        <f>IF(AND($AL1617&lt;&gt;"",COUNTIF($AL$11:$AL1617,$AL1617)=1),1,0)</f>
        <v>0</v>
      </c>
      <c r="AW1617" s="21">
        <f t="shared" si="137"/>
        <v>2</v>
      </c>
      <c r="AX1617" s="21" t="str">
        <f t="shared" si="136"/>
        <v/>
      </c>
      <c r="AY1617" s="21" t="str">
        <f>IF(AND($AM1617&lt;&gt;"",$AS1617&lt;&gt;"✓"),SUMPRODUCT(($AM$11:$AM1617&lt;&gt;"")*($AS$11:$AS1617&lt;&gt;"✓")),"")</f>
        <v/>
      </c>
      <c r="AZ1617" s="21" t="str">
        <f>IF(AND($AM1617&lt;&gt;"",$AS1617="✓"),SUMPRODUCT(($AM$11:$AM1617&lt;&gt;"")*($AS$11:$AS1617="✓")),"")</f>
        <v/>
      </c>
      <c r="BA1617" s="21" t="str">
        <f>IF($AL1617="","",$AL1617&amp;"|"&amp;COUNTIF($AL$11:$AL1617,$AL1617))</f>
        <v/>
      </c>
    </row>
    <row r="1618" spans="38:53" ht="15" customHeight="1" x14ac:dyDescent="0.25">
      <c r="AL1618" s="31"/>
      <c r="AM1618" s="26"/>
      <c r="AN1618" s="32"/>
      <c r="AO1618" s="32"/>
      <c r="AP1618" s="24"/>
      <c r="AQ1618" s="24"/>
      <c r="AR1618" s="33"/>
      <c r="AS1618" s="34"/>
      <c r="AT1618" s="33"/>
      <c r="AV1618" s="21">
        <f>IF(AND($AL1618&lt;&gt;"",COUNTIF($AL$11:$AL1618,$AL1618)=1),1,0)</f>
        <v>0</v>
      </c>
      <c r="AW1618" s="21">
        <f t="shared" si="137"/>
        <v>2</v>
      </c>
      <c r="AX1618" s="21" t="str">
        <f t="shared" si="136"/>
        <v/>
      </c>
      <c r="AY1618" s="21" t="str">
        <f>IF(AND($AM1618&lt;&gt;"",$AS1618&lt;&gt;"✓"),SUMPRODUCT(($AM$11:$AM1618&lt;&gt;"")*($AS$11:$AS1618&lt;&gt;"✓")),"")</f>
        <v/>
      </c>
      <c r="AZ1618" s="21" t="str">
        <f>IF(AND($AM1618&lt;&gt;"",$AS1618="✓"),SUMPRODUCT(($AM$11:$AM1618&lt;&gt;"")*($AS$11:$AS1618="✓")),"")</f>
        <v/>
      </c>
      <c r="BA1618" s="21" t="str">
        <f>IF($AL1618="","",$AL1618&amp;"|"&amp;COUNTIF($AL$11:$AL1618,$AL1618))</f>
        <v/>
      </c>
    </row>
    <row r="1619" spans="38:53" ht="15" customHeight="1" x14ac:dyDescent="0.25">
      <c r="AL1619" s="17"/>
      <c r="AM1619" s="12"/>
      <c r="AN1619" s="18"/>
      <c r="AO1619" s="18"/>
      <c r="AP1619" s="10"/>
      <c r="AQ1619" s="10"/>
      <c r="AR1619" s="19"/>
      <c r="AS1619" s="20"/>
      <c r="AT1619" s="19"/>
      <c r="AV1619" s="21">
        <f>IF(AND($AL1619&lt;&gt;"",COUNTIF($AL$11:$AL1619,$AL1619)=1),1,0)</f>
        <v>0</v>
      </c>
      <c r="AW1619" s="21">
        <f t="shared" si="137"/>
        <v>2</v>
      </c>
      <c r="AX1619" s="21" t="str">
        <f t="shared" si="136"/>
        <v/>
      </c>
      <c r="AY1619" s="21" t="str">
        <f>IF(AND($AM1619&lt;&gt;"",$AS1619&lt;&gt;"✓"),SUMPRODUCT(($AM$11:$AM1619&lt;&gt;"")*($AS$11:$AS1619&lt;&gt;"✓")),"")</f>
        <v/>
      </c>
      <c r="AZ1619" s="21" t="str">
        <f>IF(AND($AM1619&lt;&gt;"",$AS1619="✓"),SUMPRODUCT(($AM$11:$AM1619&lt;&gt;"")*($AS$11:$AS1619="✓")),"")</f>
        <v/>
      </c>
      <c r="BA1619" s="21" t="str">
        <f>IF($AL1619="","",$AL1619&amp;"|"&amp;COUNTIF($AL$11:$AL1619,$AL1619))</f>
        <v/>
      </c>
    </row>
    <row r="1620" spans="38:53" ht="15" customHeight="1" x14ac:dyDescent="0.25">
      <c r="AL1620" s="31"/>
      <c r="AM1620" s="26"/>
      <c r="AN1620" s="32"/>
      <c r="AO1620" s="32"/>
      <c r="AP1620" s="24"/>
      <c r="AQ1620" s="24"/>
      <c r="AR1620" s="33"/>
      <c r="AS1620" s="34"/>
      <c r="AT1620" s="33"/>
      <c r="AV1620" s="21">
        <f>IF(AND($AL1620&lt;&gt;"",COUNTIF($AL$11:$AL1620,$AL1620)=1),1,0)</f>
        <v>0</v>
      </c>
      <c r="AW1620" s="21">
        <f t="shared" si="137"/>
        <v>2</v>
      </c>
      <c r="AX1620" s="21" t="str">
        <f t="shared" si="136"/>
        <v/>
      </c>
      <c r="AY1620" s="21" t="str">
        <f>IF(AND($AM1620&lt;&gt;"",$AS1620&lt;&gt;"✓"),SUMPRODUCT(($AM$11:$AM1620&lt;&gt;"")*($AS$11:$AS1620&lt;&gt;"✓")),"")</f>
        <v/>
      </c>
      <c r="AZ1620" s="21" t="str">
        <f>IF(AND($AM1620&lt;&gt;"",$AS1620="✓"),SUMPRODUCT(($AM$11:$AM1620&lt;&gt;"")*($AS$11:$AS1620="✓")),"")</f>
        <v/>
      </c>
      <c r="BA1620" s="21" t="str">
        <f>IF($AL1620="","",$AL1620&amp;"|"&amp;COUNTIF($AL$11:$AL1620,$AL1620))</f>
        <v/>
      </c>
    </row>
    <row r="1621" spans="38:53" ht="15" customHeight="1" x14ac:dyDescent="0.25">
      <c r="AL1621" s="17"/>
      <c r="AM1621" s="12"/>
      <c r="AN1621" s="18"/>
      <c r="AO1621" s="18"/>
      <c r="AP1621" s="10"/>
      <c r="AQ1621" s="10"/>
      <c r="AR1621" s="19"/>
      <c r="AS1621" s="20"/>
      <c r="AT1621" s="19"/>
      <c r="AV1621" s="21">
        <f>IF(AND($AL1621&lt;&gt;"",COUNTIF($AL$11:$AL1621,$AL1621)=1),1,0)</f>
        <v>0</v>
      </c>
      <c r="AW1621" s="21">
        <f t="shared" si="137"/>
        <v>2</v>
      </c>
      <c r="AX1621" s="21" t="str">
        <f t="shared" si="136"/>
        <v/>
      </c>
      <c r="AY1621" s="21" t="str">
        <f>IF(AND($AM1621&lt;&gt;"",$AS1621&lt;&gt;"✓"),SUMPRODUCT(($AM$11:$AM1621&lt;&gt;"")*($AS$11:$AS1621&lt;&gt;"✓")),"")</f>
        <v/>
      </c>
      <c r="AZ1621" s="21" t="str">
        <f>IF(AND($AM1621&lt;&gt;"",$AS1621="✓"),SUMPRODUCT(($AM$11:$AM1621&lt;&gt;"")*($AS$11:$AS1621="✓")),"")</f>
        <v/>
      </c>
      <c r="BA1621" s="21" t="str">
        <f>IF($AL1621="","",$AL1621&amp;"|"&amp;COUNTIF($AL$11:$AL1621,$AL1621))</f>
        <v/>
      </c>
    </row>
    <row r="1622" spans="38:53" ht="15" customHeight="1" x14ac:dyDescent="0.25">
      <c r="AL1622" s="31"/>
      <c r="AM1622" s="26"/>
      <c r="AN1622" s="32"/>
      <c r="AO1622" s="32"/>
      <c r="AP1622" s="24"/>
      <c r="AQ1622" s="24"/>
      <c r="AR1622" s="33"/>
      <c r="AS1622" s="34"/>
      <c r="AT1622" s="33"/>
      <c r="AV1622" s="21">
        <f>IF(AND($AL1622&lt;&gt;"",COUNTIF($AL$11:$AL1622,$AL1622)=1),1,0)</f>
        <v>0</v>
      </c>
      <c r="AW1622" s="21">
        <f t="shared" si="137"/>
        <v>2</v>
      </c>
      <c r="AX1622" s="21" t="str">
        <f t="shared" si="136"/>
        <v/>
      </c>
      <c r="AY1622" s="21" t="str">
        <f>IF(AND($AM1622&lt;&gt;"",$AS1622&lt;&gt;"✓"),SUMPRODUCT(($AM$11:$AM1622&lt;&gt;"")*($AS$11:$AS1622&lt;&gt;"✓")),"")</f>
        <v/>
      </c>
      <c r="AZ1622" s="21" t="str">
        <f>IF(AND($AM1622&lt;&gt;"",$AS1622="✓"),SUMPRODUCT(($AM$11:$AM1622&lt;&gt;"")*($AS$11:$AS1622="✓")),"")</f>
        <v/>
      </c>
      <c r="BA1622" s="21" t="str">
        <f>IF($AL1622="","",$AL1622&amp;"|"&amp;COUNTIF($AL$11:$AL1622,$AL1622))</f>
        <v/>
      </c>
    </row>
    <row r="1623" spans="38:53" ht="15" customHeight="1" x14ac:dyDescent="0.25">
      <c r="AL1623" s="17"/>
      <c r="AM1623" s="12"/>
      <c r="AN1623" s="18"/>
      <c r="AO1623" s="18"/>
      <c r="AP1623" s="10"/>
      <c r="AQ1623" s="10"/>
      <c r="AR1623" s="19"/>
      <c r="AS1623" s="20"/>
      <c r="AT1623" s="19"/>
      <c r="AV1623" s="21">
        <f>IF(AND($AL1623&lt;&gt;"",COUNTIF($AL$11:$AL1623,$AL1623)=1),1,0)</f>
        <v>0</v>
      </c>
      <c r="AW1623" s="21">
        <f t="shared" si="137"/>
        <v>2</v>
      </c>
      <c r="AX1623" s="21" t="str">
        <f t="shared" si="136"/>
        <v/>
      </c>
      <c r="AY1623" s="21" t="str">
        <f>IF(AND($AM1623&lt;&gt;"",$AS1623&lt;&gt;"✓"),SUMPRODUCT(($AM$11:$AM1623&lt;&gt;"")*($AS$11:$AS1623&lt;&gt;"✓")),"")</f>
        <v/>
      </c>
      <c r="AZ1623" s="21" t="str">
        <f>IF(AND($AM1623&lt;&gt;"",$AS1623="✓"),SUMPRODUCT(($AM$11:$AM1623&lt;&gt;"")*($AS$11:$AS1623="✓")),"")</f>
        <v/>
      </c>
      <c r="BA1623" s="21" t="str">
        <f>IF($AL1623="","",$AL1623&amp;"|"&amp;COUNTIF($AL$11:$AL1623,$AL1623))</f>
        <v/>
      </c>
    </row>
    <row r="1624" spans="38:53" ht="15" customHeight="1" x14ac:dyDescent="0.25">
      <c r="AL1624" s="31"/>
      <c r="AM1624" s="26"/>
      <c r="AN1624" s="32"/>
      <c r="AO1624" s="32"/>
      <c r="AP1624" s="24"/>
      <c r="AQ1624" s="24"/>
      <c r="AR1624" s="33"/>
      <c r="AS1624" s="34"/>
      <c r="AT1624" s="33"/>
      <c r="AV1624" s="21">
        <f>IF(AND($AL1624&lt;&gt;"",COUNTIF($AL$11:$AL1624,$AL1624)=1),1,0)</f>
        <v>0</v>
      </c>
      <c r="AW1624" s="21">
        <f t="shared" si="137"/>
        <v>2</v>
      </c>
      <c r="AX1624" s="21" t="str">
        <f t="shared" si="136"/>
        <v/>
      </c>
      <c r="AY1624" s="21" t="str">
        <f>IF(AND($AM1624&lt;&gt;"",$AS1624&lt;&gt;"✓"),SUMPRODUCT(($AM$11:$AM1624&lt;&gt;"")*($AS$11:$AS1624&lt;&gt;"✓")),"")</f>
        <v/>
      </c>
      <c r="AZ1624" s="21" t="str">
        <f>IF(AND($AM1624&lt;&gt;"",$AS1624="✓"),SUMPRODUCT(($AM$11:$AM1624&lt;&gt;"")*($AS$11:$AS1624="✓")),"")</f>
        <v/>
      </c>
      <c r="BA1624" s="21" t="str">
        <f>IF($AL1624="","",$AL1624&amp;"|"&amp;COUNTIF($AL$11:$AL1624,$AL1624))</f>
        <v/>
      </c>
    </row>
    <row r="1625" spans="38:53" ht="15" customHeight="1" x14ac:dyDescent="0.25">
      <c r="AL1625" s="17"/>
      <c r="AM1625" s="12"/>
      <c r="AN1625" s="18"/>
      <c r="AO1625" s="18"/>
      <c r="AP1625" s="10"/>
      <c r="AQ1625" s="10"/>
      <c r="AR1625" s="19"/>
      <c r="AS1625" s="20"/>
      <c r="AT1625" s="19"/>
      <c r="AV1625" s="21">
        <f>IF(AND($AL1625&lt;&gt;"",COUNTIF($AL$11:$AL1625,$AL1625)=1),1,0)</f>
        <v>0</v>
      </c>
      <c r="AW1625" s="21">
        <f t="shared" si="137"/>
        <v>2</v>
      </c>
      <c r="AX1625" s="21" t="str">
        <f t="shared" si="136"/>
        <v/>
      </c>
      <c r="AY1625" s="21" t="str">
        <f>IF(AND($AM1625&lt;&gt;"",$AS1625&lt;&gt;"✓"),SUMPRODUCT(($AM$11:$AM1625&lt;&gt;"")*($AS$11:$AS1625&lt;&gt;"✓")),"")</f>
        <v/>
      </c>
      <c r="AZ1625" s="21" t="str">
        <f>IF(AND($AM1625&lt;&gt;"",$AS1625="✓"),SUMPRODUCT(($AM$11:$AM1625&lt;&gt;"")*($AS$11:$AS1625="✓")),"")</f>
        <v/>
      </c>
      <c r="BA1625" s="21" t="str">
        <f>IF($AL1625="","",$AL1625&amp;"|"&amp;COUNTIF($AL$11:$AL1625,$AL1625))</f>
        <v/>
      </c>
    </row>
    <row r="1626" spans="38:53" ht="15" customHeight="1" x14ac:dyDescent="0.25">
      <c r="AL1626" s="31"/>
      <c r="AM1626" s="26"/>
      <c r="AN1626" s="32"/>
      <c r="AO1626" s="32"/>
      <c r="AP1626" s="24"/>
      <c r="AQ1626" s="24"/>
      <c r="AR1626" s="33"/>
      <c r="AS1626" s="34"/>
      <c r="AT1626" s="33"/>
      <c r="AV1626" s="21">
        <f>IF(AND($AL1626&lt;&gt;"",COUNTIF($AL$11:$AL1626,$AL1626)=1),1,0)</f>
        <v>0</v>
      </c>
      <c r="AW1626" s="21">
        <f t="shared" si="137"/>
        <v>2</v>
      </c>
      <c r="AX1626" s="21" t="str">
        <f t="shared" si="136"/>
        <v/>
      </c>
      <c r="AY1626" s="21" t="str">
        <f>IF(AND($AM1626&lt;&gt;"",$AS1626&lt;&gt;"✓"),SUMPRODUCT(($AM$11:$AM1626&lt;&gt;"")*($AS$11:$AS1626&lt;&gt;"✓")),"")</f>
        <v/>
      </c>
      <c r="AZ1626" s="21" t="str">
        <f>IF(AND($AM1626&lt;&gt;"",$AS1626="✓"),SUMPRODUCT(($AM$11:$AM1626&lt;&gt;"")*($AS$11:$AS1626="✓")),"")</f>
        <v/>
      </c>
      <c r="BA1626" s="21" t="str">
        <f>IF($AL1626="","",$AL1626&amp;"|"&amp;COUNTIF($AL$11:$AL1626,$AL1626))</f>
        <v/>
      </c>
    </row>
    <row r="1627" spans="38:53" ht="15" customHeight="1" x14ac:dyDescent="0.25">
      <c r="AL1627" s="17"/>
      <c r="AM1627" s="12"/>
      <c r="AN1627" s="18"/>
      <c r="AO1627" s="18"/>
      <c r="AP1627" s="10"/>
      <c r="AQ1627" s="10"/>
      <c r="AR1627" s="19"/>
      <c r="AS1627" s="20"/>
      <c r="AT1627" s="19"/>
      <c r="AV1627" s="21">
        <f>IF(AND($AL1627&lt;&gt;"",COUNTIF($AL$11:$AL1627,$AL1627)=1),1,0)</f>
        <v>0</v>
      </c>
      <c r="AW1627" s="21">
        <f t="shared" si="137"/>
        <v>2</v>
      </c>
      <c r="AX1627" s="21" t="str">
        <f t="shared" si="136"/>
        <v/>
      </c>
      <c r="AY1627" s="21" t="str">
        <f>IF(AND($AM1627&lt;&gt;"",$AS1627&lt;&gt;"✓"),SUMPRODUCT(($AM$11:$AM1627&lt;&gt;"")*($AS$11:$AS1627&lt;&gt;"✓")),"")</f>
        <v/>
      </c>
      <c r="AZ1627" s="21" t="str">
        <f>IF(AND($AM1627&lt;&gt;"",$AS1627="✓"),SUMPRODUCT(($AM$11:$AM1627&lt;&gt;"")*($AS$11:$AS1627="✓")),"")</f>
        <v/>
      </c>
      <c r="BA1627" s="21" t="str">
        <f>IF($AL1627="","",$AL1627&amp;"|"&amp;COUNTIF($AL$11:$AL1627,$AL1627))</f>
        <v/>
      </c>
    </row>
    <row r="1628" spans="38:53" ht="15" customHeight="1" x14ac:dyDescent="0.25">
      <c r="AL1628" s="31"/>
      <c r="AM1628" s="26"/>
      <c r="AN1628" s="32"/>
      <c r="AO1628" s="32"/>
      <c r="AP1628" s="24"/>
      <c r="AQ1628" s="24"/>
      <c r="AR1628" s="33"/>
      <c r="AS1628" s="34"/>
      <c r="AT1628" s="33"/>
      <c r="AV1628" s="21">
        <f>IF(AND($AL1628&lt;&gt;"",COUNTIF($AL$11:$AL1628,$AL1628)=1),1,0)</f>
        <v>0</v>
      </c>
      <c r="AW1628" s="21">
        <f t="shared" si="137"/>
        <v>2</v>
      </c>
      <c r="AX1628" s="21" t="str">
        <f t="shared" si="136"/>
        <v/>
      </c>
      <c r="AY1628" s="21" t="str">
        <f>IF(AND($AM1628&lt;&gt;"",$AS1628&lt;&gt;"✓"),SUMPRODUCT(($AM$11:$AM1628&lt;&gt;"")*($AS$11:$AS1628&lt;&gt;"✓")),"")</f>
        <v/>
      </c>
      <c r="AZ1628" s="21" t="str">
        <f>IF(AND($AM1628&lt;&gt;"",$AS1628="✓"),SUMPRODUCT(($AM$11:$AM1628&lt;&gt;"")*($AS$11:$AS1628="✓")),"")</f>
        <v/>
      </c>
      <c r="BA1628" s="21" t="str">
        <f>IF($AL1628="","",$AL1628&amp;"|"&amp;COUNTIF($AL$11:$AL1628,$AL1628))</f>
        <v/>
      </c>
    </row>
    <row r="1629" spans="38:53" ht="15" customHeight="1" x14ac:dyDescent="0.25">
      <c r="AL1629" s="17"/>
      <c r="AM1629" s="12"/>
      <c r="AN1629" s="18"/>
      <c r="AO1629" s="18"/>
      <c r="AP1629" s="10"/>
      <c r="AQ1629" s="10"/>
      <c r="AR1629" s="19"/>
      <c r="AS1629" s="20"/>
      <c r="AT1629" s="19"/>
      <c r="AV1629" s="21">
        <f>IF(AND($AL1629&lt;&gt;"",COUNTIF($AL$11:$AL1629,$AL1629)=1),1,0)</f>
        <v>0</v>
      </c>
      <c r="AW1629" s="21">
        <f t="shared" si="137"/>
        <v>2</v>
      </c>
      <c r="AX1629" s="21" t="str">
        <f t="shared" si="136"/>
        <v/>
      </c>
      <c r="AY1629" s="21" t="str">
        <f>IF(AND($AM1629&lt;&gt;"",$AS1629&lt;&gt;"✓"),SUMPRODUCT(($AM$11:$AM1629&lt;&gt;"")*($AS$11:$AS1629&lt;&gt;"✓")),"")</f>
        <v/>
      </c>
      <c r="AZ1629" s="21" t="str">
        <f>IF(AND($AM1629&lt;&gt;"",$AS1629="✓"),SUMPRODUCT(($AM$11:$AM1629&lt;&gt;"")*($AS$11:$AS1629="✓")),"")</f>
        <v/>
      </c>
      <c r="BA1629" s="21" t="str">
        <f>IF($AL1629="","",$AL1629&amp;"|"&amp;COUNTIF($AL$11:$AL1629,$AL1629))</f>
        <v/>
      </c>
    </row>
    <row r="1630" spans="38:53" ht="15" customHeight="1" x14ac:dyDescent="0.25">
      <c r="AL1630" s="31"/>
      <c r="AM1630" s="26"/>
      <c r="AN1630" s="32"/>
      <c r="AO1630" s="32"/>
      <c r="AP1630" s="24"/>
      <c r="AQ1630" s="24"/>
      <c r="AR1630" s="33"/>
      <c r="AS1630" s="34"/>
      <c r="AT1630" s="33"/>
      <c r="AV1630" s="21">
        <f>IF(AND($AL1630&lt;&gt;"",COUNTIF($AL$11:$AL1630,$AL1630)=1),1,0)</f>
        <v>0</v>
      </c>
      <c r="AW1630" s="21">
        <f t="shared" si="137"/>
        <v>2</v>
      </c>
      <c r="AX1630" s="21" t="str">
        <f t="shared" si="136"/>
        <v/>
      </c>
      <c r="AY1630" s="21" t="str">
        <f>IF(AND($AM1630&lt;&gt;"",$AS1630&lt;&gt;"✓"),SUMPRODUCT(($AM$11:$AM1630&lt;&gt;"")*($AS$11:$AS1630&lt;&gt;"✓")),"")</f>
        <v/>
      </c>
      <c r="AZ1630" s="21" t="str">
        <f>IF(AND($AM1630&lt;&gt;"",$AS1630="✓"),SUMPRODUCT(($AM$11:$AM1630&lt;&gt;"")*($AS$11:$AS1630="✓")),"")</f>
        <v/>
      </c>
      <c r="BA1630" s="21" t="str">
        <f>IF($AL1630="","",$AL1630&amp;"|"&amp;COUNTIF($AL$11:$AL1630,$AL1630))</f>
        <v/>
      </c>
    </row>
    <row r="1631" spans="38:53" ht="15" customHeight="1" x14ac:dyDescent="0.25">
      <c r="AL1631" s="17"/>
      <c r="AM1631" s="12"/>
      <c r="AN1631" s="18"/>
      <c r="AO1631" s="18"/>
      <c r="AP1631" s="10"/>
      <c r="AQ1631" s="10"/>
      <c r="AR1631" s="19"/>
      <c r="AS1631" s="20"/>
      <c r="AT1631" s="19"/>
      <c r="AV1631" s="21">
        <f>IF(AND($AL1631&lt;&gt;"",COUNTIF($AL$11:$AL1631,$AL1631)=1),1,0)</f>
        <v>0</v>
      </c>
      <c r="AW1631" s="21">
        <f t="shared" si="137"/>
        <v>2</v>
      </c>
      <c r="AX1631" s="21" t="str">
        <f t="shared" si="136"/>
        <v/>
      </c>
      <c r="AY1631" s="21" t="str">
        <f>IF(AND($AM1631&lt;&gt;"",$AS1631&lt;&gt;"✓"),SUMPRODUCT(($AM$11:$AM1631&lt;&gt;"")*($AS$11:$AS1631&lt;&gt;"✓")),"")</f>
        <v/>
      </c>
      <c r="AZ1631" s="21" t="str">
        <f>IF(AND($AM1631&lt;&gt;"",$AS1631="✓"),SUMPRODUCT(($AM$11:$AM1631&lt;&gt;"")*($AS$11:$AS1631="✓")),"")</f>
        <v/>
      </c>
      <c r="BA1631" s="21" t="str">
        <f>IF($AL1631="","",$AL1631&amp;"|"&amp;COUNTIF($AL$11:$AL1631,$AL1631))</f>
        <v/>
      </c>
    </row>
    <row r="1632" spans="38:53" ht="15" customHeight="1" x14ac:dyDescent="0.25">
      <c r="AL1632" s="31"/>
      <c r="AM1632" s="26"/>
      <c r="AN1632" s="32"/>
      <c r="AO1632" s="32"/>
      <c r="AP1632" s="24"/>
      <c r="AQ1632" s="24"/>
      <c r="AR1632" s="33"/>
      <c r="AS1632" s="34"/>
      <c r="AT1632" s="33"/>
      <c r="AV1632" s="21">
        <f>IF(AND($AL1632&lt;&gt;"",COUNTIF($AL$11:$AL1632,$AL1632)=1),1,0)</f>
        <v>0</v>
      </c>
      <c r="AW1632" s="21">
        <f t="shared" si="137"/>
        <v>2</v>
      </c>
      <c r="AX1632" s="21" t="str">
        <f t="shared" si="136"/>
        <v/>
      </c>
      <c r="AY1632" s="21" t="str">
        <f>IF(AND($AM1632&lt;&gt;"",$AS1632&lt;&gt;"✓"),SUMPRODUCT(($AM$11:$AM1632&lt;&gt;"")*($AS$11:$AS1632&lt;&gt;"✓")),"")</f>
        <v/>
      </c>
      <c r="AZ1632" s="21" t="str">
        <f>IF(AND($AM1632&lt;&gt;"",$AS1632="✓"),SUMPRODUCT(($AM$11:$AM1632&lt;&gt;"")*($AS$11:$AS1632="✓")),"")</f>
        <v/>
      </c>
      <c r="BA1632" s="21" t="str">
        <f>IF($AL1632="","",$AL1632&amp;"|"&amp;COUNTIF($AL$11:$AL1632,$AL1632))</f>
        <v/>
      </c>
    </row>
    <row r="1633" spans="38:53" ht="15" customHeight="1" x14ac:dyDescent="0.25">
      <c r="AL1633" s="17"/>
      <c r="AM1633" s="12"/>
      <c r="AN1633" s="18"/>
      <c r="AO1633" s="18"/>
      <c r="AP1633" s="10"/>
      <c r="AQ1633" s="10"/>
      <c r="AR1633" s="19"/>
      <c r="AS1633" s="20"/>
      <c r="AT1633" s="19"/>
      <c r="AV1633" s="21">
        <f>IF(AND($AL1633&lt;&gt;"",COUNTIF($AL$11:$AL1633,$AL1633)=1),1,0)</f>
        <v>0</v>
      </c>
      <c r="AW1633" s="21">
        <f t="shared" si="137"/>
        <v>2</v>
      </c>
      <c r="AX1633" s="21" t="str">
        <f t="shared" si="136"/>
        <v/>
      </c>
      <c r="AY1633" s="21" t="str">
        <f>IF(AND($AM1633&lt;&gt;"",$AS1633&lt;&gt;"✓"),SUMPRODUCT(($AM$11:$AM1633&lt;&gt;"")*($AS$11:$AS1633&lt;&gt;"✓")),"")</f>
        <v/>
      </c>
      <c r="AZ1633" s="21" t="str">
        <f>IF(AND($AM1633&lt;&gt;"",$AS1633="✓"),SUMPRODUCT(($AM$11:$AM1633&lt;&gt;"")*($AS$11:$AS1633="✓")),"")</f>
        <v/>
      </c>
      <c r="BA1633" s="21" t="str">
        <f>IF($AL1633="","",$AL1633&amp;"|"&amp;COUNTIF($AL$11:$AL1633,$AL1633))</f>
        <v/>
      </c>
    </row>
    <row r="1634" spans="38:53" ht="15" customHeight="1" x14ac:dyDescent="0.25">
      <c r="AL1634" s="31"/>
      <c r="AM1634" s="26"/>
      <c r="AN1634" s="32"/>
      <c r="AO1634" s="32"/>
      <c r="AP1634" s="24"/>
      <c r="AQ1634" s="24"/>
      <c r="AR1634" s="33"/>
      <c r="AS1634" s="34"/>
      <c r="AT1634" s="33"/>
      <c r="AV1634" s="21">
        <f>IF(AND($AL1634&lt;&gt;"",COUNTIF($AL$11:$AL1634,$AL1634)=1),1,0)</f>
        <v>0</v>
      </c>
      <c r="AW1634" s="21">
        <f t="shared" si="137"/>
        <v>2</v>
      </c>
      <c r="AX1634" s="21" t="str">
        <f t="shared" si="136"/>
        <v/>
      </c>
      <c r="AY1634" s="21" t="str">
        <f>IF(AND($AM1634&lt;&gt;"",$AS1634&lt;&gt;"✓"),SUMPRODUCT(($AM$11:$AM1634&lt;&gt;"")*($AS$11:$AS1634&lt;&gt;"✓")),"")</f>
        <v/>
      </c>
      <c r="AZ1634" s="21" t="str">
        <f>IF(AND($AM1634&lt;&gt;"",$AS1634="✓"),SUMPRODUCT(($AM$11:$AM1634&lt;&gt;"")*($AS$11:$AS1634="✓")),"")</f>
        <v/>
      </c>
      <c r="BA1634" s="21" t="str">
        <f>IF($AL1634="","",$AL1634&amp;"|"&amp;COUNTIF($AL$11:$AL1634,$AL1634))</f>
        <v/>
      </c>
    </row>
    <row r="1635" spans="38:53" ht="15" customHeight="1" x14ac:dyDescent="0.25">
      <c r="AL1635" s="17"/>
      <c r="AM1635" s="12"/>
      <c r="AN1635" s="18"/>
      <c r="AO1635" s="18"/>
      <c r="AP1635" s="10"/>
      <c r="AQ1635" s="10"/>
      <c r="AR1635" s="19"/>
      <c r="AS1635" s="20"/>
      <c r="AT1635" s="19"/>
      <c r="AV1635" s="21">
        <f>IF(AND($AL1635&lt;&gt;"",COUNTIF($AL$11:$AL1635,$AL1635)=1),1,0)</f>
        <v>0</v>
      </c>
      <c r="AW1635" s="21">
        <f t="shared" si="137"/>
        <v>2</v>
      </c>
      <c r="AX1635" s="21" t="str">
        <f t="shared" si="136"/>
        <v/>
      </c>
      <c r="AY1635" s="21" t="str">
        <f>IF(AND($AM1635&lt;&gt;"",$AS1635&lt;&gt;"✓"),SUMPRODUCT(($AM$11:$AM1635&lt;&gt;"")*($AS$11:$AS1635&lt;&gt;"✓")),"")</f>
        <v/>
      </c>
      <c r="AZ1635" s="21" t="str">
        <f>IF(AND($AM1635&lt;&gt;"",$AS1635="✓"),SUMPRODUCT(($AM$11:$AM1635&lt;&gt;"")*($AS$11:$AS1635="✓")),"")</f>
        <v/>
      </c>
      <c r="BA1635" s="21" t="str">
        <f>IF($AL1635="","",$AL1635&amp;"|"&amp;COUNTIF($AL$11:$AL1635,$AL1635))</f>
        <v/>
      </c>
    </row>
    <row r="1636" spans="38:53" ht="15" customHeight="1" x14ac:dyDescent="0.25">
      <c r="AL1636" s="31"/>
      <c r="AM1636" s="26"/>
      <c r="AN1636" s="32"/>
      <c r="AO1636" s="32"/>
      <c r="AP1636" s="24"/>
      <c r="AQ1636" s="24"/>
      <c r="AR1636" s="33"/>
      <c r="AS1636" s="34"/>
      <c r="AT1636" s="33"/>
      <c r="AV1636" s="21">
        <f>IF(AND($AL1636&lt;&gt;"",COUNTIF($AL$11:$AL1636,$AL1636)=1),1,0)</f>
        <v>0</v>
      </c>
      <c r="AW1636" s="21">
        <f t="shared" si="137"/>
        <v>2</v>
      </c>
      <c r="AX1636" s="21" t="str">
        <f t="shared" si="136"/>
        <v/>
      </c>
      <c r="AY1636" s="21" t="str">
        <f>IF(AND($AM1636&lt;&gt;"",$AS1636&lt;&gt;"✓"),SUMPRODUCT(($AM$11:$AM1636&lt;&gt;"")*($AS$11:$AS1636&lt;&gt;"✓")),"")</f>
        <v/>
      </c>
      <c r="AZ1636" s="21" t="str">
        <f>IF(AND($AM1636&lt;&gt;"",$AS1636="✓"),SUMPRODUCT(($AM$11:$AM1636&lt;&gt;"")*($AS$11:$AS1636="✓")),"")</f>
        <v/>
      </c>
      <c r="BA1636" s="21" t="str">
        <f>IF($AL1636="","",$AL1636&amp;"|"&amp;COUNTIF($AL$11:$AL1636,$AL1636))</f>
        <v/>
      </c>
    </row>
    <row r="1637" spans="38:53" ht="15" customHeight="1" x14ac:dyDescent="0.25">
      <c r="AL1637" s="17"/>
      <c r="AM1637" s="12"/>
      <c r="AN1637" s="18"/>
      <c r="AO1637" s="18"/>
      <c r="AP1637" s="10"/>
      <c r="AQ1637" s="10"/>
      <c r="AR1637" s="19"/>
      <c r="AS1637" s="20"/>
      <c r="AT1637" s="19"/>
      <c r="AV1637" s="21">
        <f>IF(AND($AL1637&lt;&gt;"",COUNTIF($AL$11:$AL1637,$AL1637)=1),1,0)</f>
        <v>0</v>
      </c>
      <c r="AW1637" s="21">
        <f t="shared" si="137"/>
        <v>2</v>
      </c>
      <c r="AX1637" s="21" t="str">
        <f t="shared" si="136"/>
        <v/>
      </c>
      <c r="AY1637" s="21" t="str">
        <f>IF(AND($AM1637&lt;&gt;"",$AS1637&lt;&gt;"✓"),SUMPRODUCT(($AM$11:$AM1637&lt;&gt;"")*($AS$11:$AS1637&lt;&gt;"✓")),"")</f>
        <v/>
      </c>
      <c r="AZ1637" s="21" t="str">
        <f>IF(AND($AM1637&lt;&gt;"",$AS1637="✓"),SUMPRODUCT(($AM$11:$AM1637&lt;&gt;"")*($AS$11:$AS1637="✓")),"")</f>
        <v/>
      </c>
      <c r="BA1637" s="21" t="str">
        <f>IF($AL1637="","",$AL1637&amp;"|"&amp;COUNTIF($AL$11:$AL1637,$AL1637))</f>
        <v/>
      </c>
    </row>
    <row r="1638" spans="38:53" ht="15" customHeight="1" x14ac:dyDescent="0.25">
      <c r="AL1638" s="31"/>
      <c r="AM1638" s="26"/>
      <c r="AN1638" s="32"/>
      <c r="AO1638" s="32"/>
      <c r="AP1638" s="24"/>
      <c r="AQ1638" s="24"/>
      <c r="AR1638" s="33"/>
      <c r="AS1638" s="34"/>
      <c r="AT1638" s="33"/>
      <c r="AV1638" s="21">
        <f>IF(AND($AL1638&lt;&gt;"",COUNTIF($AL$11:$AL1638,$AL1638)=1),1,0)</f>
        <v>0</v>
      </c>
      <c r="AW1638" s="21">
        <f t="shared" si="137"/>
        <v>2</v>
      </c>
      <c r="AX1638" s="21" t="str">
        <f t="shared" si="136"/>
        <v/>
      </c>
      <c r="AY1638" s="21" t="str">
        <f>IF(AND($AM1638&lt;&gt;"",$AS1638&lt;&gt;"✓"),SUMPRODUCT(($AM$11:$AM1638&lt;&gt;"")*($AS$11:$AS1638&lt;&gt;"✓")),"")</f>
        <v/>
      </c>
      <c r="AZ1638" s="21" t="str">
        <f>IF(AND($AM1638&lt;&gt;"",$AS1638="✓"),SUMPRODUCT(($AM$11:$AM1638&lt;&gt;"")*($AS$11:$AS1638="✓")),"")</f>
        <v/>
      </c>
      <c r="BA1638" s="21" t="str">
        <f>IF($AL1638="","",$AL1638&amp;"|"&amp;COUNTIF($AL$11:$AL1638,$AL1638))</f>
        <v/>
      </c>
    </row>
    <row r="1639" spans="38:53" ht="15" customHeight="1" x14ac:dyDescent="0.25">
      <c r="AL1639" s="17"/>
      <c r="AM1639" s="12"/>
      <c r="AN1639" s="18"/>
      <c r="AO1639" s="18"/>
      <c r="AP1639" s="10"/>
      <c r="AQ1639" s="10"/>
      <c r="AR1639" s="19"/>
      <c r="AS1639" s="20"/>
      <c r="AT1639" s="19"/>
      <c r="AV1639" s="21">
        <f>IF(AND($AL1639&lt;&gt;"",COUNTIF($AL$11:$AL1639,$AL1639)=1),1,0)</f>
        <v>0</v>
      </c>
      <c r="AW1639" s="21">
        <f t="shared" si="137"/>
        <v>2</v>
      </c>
      <c r="AX1639" s="21" t="str">
        <f t="shared" si="136"/>
        <v/>
      </c>
      <c r="AY1639" s="21" t="str">
        <f>IF(AND($AM1639&lt;&gt;"",$AS1639&lt;&gt;"✓"),SUMPRODUCT(($AM$11:$AM1639&lt;&gt;"")*($AS$11:$AS1639&lt;&gt;"✓")),"")</f>
        <v/>
      </c>
      <c r="AZ1639" s="21" t="str">
        <f>IF(AND($AM1639&lt;&gt;"",$AS1639="✓"),SUMPRODUCT(($AM$11:$AM1639&lt;&gt;"")*($AS$11:$AS1639="✓")),"")</f>
        <v/>
      </c>
      <c r="BA1639" s="21" t="str">
        <f>IF($AL1639="","",$AL1639&amp;"|"&amp;COUNTIF($AL$11:$AL1639,$AL1639))</f>
        <v/>
      </c>
    </row>
    <row r="1640" spans="38:53" ht="15" customHeight="1" x14ac:dyDescent="0.25">
      <c r="AL1640" s="31"/>
      <c r="AM1640" s="26"/>
      <c r="AN1640" s="32"/>
      <c r="AO1640" s="32"/>
      <c r="AP1640" s="24"/>
      <c r="AQ1640" s="24"/>
      <c r="AR1640" s="33"/>
      <c r="AS1640" s="34"/>
      <c r="AT1640" s="33"/>
      <c r="AV1640" s="21">
        <f>IF(AND($AL1640&lt;&gt;"",COUNTIF($AL$11:$AL1640,$AL1640)=1),1,0)</f>
        <v>0</v>
      </c>
      <c r="AW1640" s="21">
        <f t="shared" si="137"/>
        <v>2</v>
      </c>
      <c r="AX1640" s="21" t="str">
        <f t="shared" si="136"/>
        <v/>
      </c>
      <c r="AY1640" s="21" t="str">
        <f>IF(AND($AM1640&lt;&gt;"",$AS1640&lt;&gt;"✓"),SUMPRODUCT(($AM$11:$AM1640&lt;&gt;"")*($AS$11:$AS1640&lt;&gt;"✓")),"")</f>
        <v/>
      </c>
      <c r="AZ1640" s="21" t="str">
        <f>IF(AND($AM1640&lt;&gt;"",$AS1640="✓"),SUMPRODUCT(($AM$11:$AM1640&lt;&gt;"")*($AS$11:$AS1640="✓")),"")</f>
        <v/>
      </c>
      <c r="BA1640" s="21" t="str">
        <f>IF($AL1640="","",$AL1640&amp;"|"&amp;COUNTIF($AL$11:$AL1640,$AL1640))</f>
        <v/>
      </c>
    </row>
    <row r="1641" spans="38:53" ht="15" customHeight="1" x14ac:dyDescent="0.25">
      <c r="AL1641" s="17"/>
      <c r="AM1641" s="12"/>
      <c r="AN1641" s="18"/>
      <c r="AO1641" s="18"/>
      <c r="AP1641" s="10"/>
      <c r="AQ1641" s="10"/>
      <c r="AR1641" s="19"/>
      <c r="AS1641" s="20"/>
      <c r="AT1641" s="19"/>
      <c r="AV1641" s="21">
        <f>IF(AND($AL1641&lt;&gt;"",COUNTIF($AL$11:$AL1641,$AL1641)=1),1,0)</f>
        <v>0</v>
      </c>
      <c r="AW1641" s="21">
        <f t="shared" si="137"/>
        <v>2</v>
      </c>
      <c r="AX1641" s="21" t="str">
        <f t="shared" si="136"/>
        <v/>
      </c>
      <c r="AY1641" s="21" t="str">
        <f>IF(AND($AM1641&lt;&gt;"",$AS1641&lt;&gt;"✓"),SUMPRODUCT(($AM$11:$AM1641&lt;&gt;"")*($AS$11:$AS1641&lt;&gt;"✓")),"")</f>
        <v/>
      </c>
      <c r="AZ1641" s="21" t="str">
        <f>IF(AND($AM1641&lt;&gt;"",$AS1641="✓"),SUMPRODUCT(($AM$11:$AM1641&lt;&gt;"")*($AS$11:$AS1641="✓")),"")</f>
        <v/>
      </c>
      <c r="BA1641" s="21" t="str">
        <f>IF($AL1641="","",$AL1641&amp;"|"&amp;COUNTIF($AL$11:$AL1641,$AL1641))</f>
        <v/>
      </c>
    </row>
    <row r="1642" spans="38:53" ht="15" customHeight="1" x14ac:dyDescent="0.25">
      <c r="AL1642" s="31"/>
      <c r="AM1642" s="26"/>
      <c r="AN1642" s="32"/>
      <c r="AO1642" s="32"/>
      <c r="AP1642" s="24"/>
      <c r="AQ1642" s="24"/>
      <c r="AR1642" s="33"/>
      <c r="AS1642" s="34"/>
      <c r="AT1642" s="33"/>
      <c r="AV1642" s="21">
        <f>IF(AND($AL1642&lt;&gt;"",COUNTIF($AL$11:$AL1642,$AL1642)=1),1,0)</f>
        <v>0</v>
      </c>
      <c r="AW1642" s="21">
        <f t="shared" si="137"/>
        <v>2</v>
      </c>
      <c r="AX1642" s="21" t="str">
        <f t="shared" si="136"/>
        <v/>
      </c>
      <c r="AY1642" s="21" t="str">
        <f>IF(AND($AM1642&lt;&gt;"",$AS1642&lt;&gt;"✓"),SUMPRODUCT(($AM$11:$AM1642&lt;&gt;"")*($AS$11:$AS1642&lt;&gt;"✓")),"")</f>
        <v/>
      </c>
      <c r="AZ1642" s="21" t="str">
        <f>IF(AND($AM1642&lt;&gt;"",$AS1642="✓"),SUMPRODUCT(($AM$11:$AM1642&lt;&gt;"")*($AS$11:$AS1642="✓")),"")</f>
        <v/>
      </c>
      <c r="BA1642" s="21" t="str">
        <f>IF($AL1642="","",$AL1642&amp;"|"&amp;COUNTIF($AL$11:$AL1642,$AL1642))</f>
        <v/>
      </c>
    </row>
    <row r="1643" spans="38:53" ht="15" customHeight="1" x14ac:dyDescent="0.25">
      <c r="AL1643" s="17"/>
      <c r="AM1643" s="12"/>
      <c r="AN1643" s="18"/>
      <c r="AO1643" s="18"/>
      <c r="AP1643" s="10"/>
      <c r="AQ1643" s="10"/>
      <c r="AR1643" s="19"/>
      <c r="AS1643" s="20"/>
      <c r="AT1643" s="19"/>
      <c r="AV1643" s="21">
        <f>IF(AND($AL1643&lt;&gt;"",COUNTIF($AL$11:$AL1643,$AL1643)=1),1,0)</f>
        <v>0</v>
      </c>
      <c r="AW1643" s="21">
        <f t="shared" si="137"/>
        <v>2</v>
      </c>
      <c r="AX1643" s="21" t="str">
        <f t="shared" si="136"/>
        <v/>
      </c>
      <c r="AY1643" s="21" t="str">
        <f>IF(AND($AM1643&lt;&gt;"",$AS1643&lt;&gt;"✓"),SUMPRODUCT(($AM$11:$AM1643&lt;&gt;"")*($AS$11:$AS1643&lt;&gt;"✓")),"")</f>
        <v/>
      </c>
      <c r="AZ1643" s="21" t="str">
        <f>IF(AND($AM1643&lt;&gt;"",$AS1643="✓"),SUMPRODUCT(($AM$11:$AM1643&lt;&gt;"")*($AS$11:$AS1643="✓")),"")</f>
        <v/>
      </c>
      <c r="BA1643" s="21" t="str">
        <f>IF($AL1643="","",$AL1643&amp;"|"&amp;COUNTIF($AL$11:$AL1643,$AL1643))</f>
        <v/>
      </c>
    </row>
    <row r="1644" spans="38:53" ht="15" customHeight="1" x14ac:dyDescent="0.25">
      <c r="AL1644" s="31"/>
      <c r="AM1644" s="26"/>
      <c r="AN1644" s="32"/>
      <c r="AO1644" s="32"/>
      <c r="AP1644" s="24"/>
      <c r="AQ1644" s="24"/>
      <c r="AR1644" s="33"/>
      <c r="AS1644" s="34"/>
      <c r="AT1644" s="33"/>
      <c r="AV1644" s="21">
        <f>IF(AND($AL1644&lt;&gt;"",COUNTIF($AL$11:$AL1644,$AL1644)=1),1,0)</f>
        <v>0</v>
      </c>
      <c r="AW1644" s="21">
        <f t="shared" si="137"/>
        <v>2</v>
      </c>
      <c r="AX1644" s="21" t="str">
        <f t="shared" si="136"/>
        <v/>
      </c>
      <c r="AY1644" s="21" t="str">
        <f>IF(AND($AM1644&lt;&gt;"",$AS1644&lt;&gt;"✓"),SUMPRODUCT(($AM$11:$AM1644&lt;&gt;"")*($AS$11:$AS1644&lt;&gt;"✓")),"")</f>
        <v/>
      </c>
      <c r="AZ1644" s="21" t="str">
        <f>IF(AND($AM1644&lt;&gt;"",$AS1644="✓"),SUMPRODUCT(($AM$11:$AM1644&lt;&gt;"")*($AS$11:$AS1644="✓")),"")</f>
        <v/>
      </c>
      <c r="BA1644" s="21" t="str">
        <f>IF($AL1644="","",$AL1644&amp;"|"&amp;COUNTIF($AL$11:$AL1644,$AL1644))</f>
        <v/>
      </c>
    </row>
    <row r="1645" spans="38:53" ht="15" customHeight="1" x14ac:dyDescent="0.25">
      <c r="AL1645" s="17"/>
      <c r="AM1645" s="12"/>
      <c r="AN1645" s="18"/>
      <c r="AO1645" s="18"/>
      <c r="AP1645" s="10"/>
      <c r="AQ1645" s="10"/>
      <c r="AR1645" s="19"/>
      <c r="AS1645" s="20"/>
      <c r="AT1645" s="19"/>
      <c r="AV1645" s="21">
        <f>IF(AND($AL1645&lt;&gt;"",COUNTIF($AL$11:$AL1645,$AL1645)=1),1,0)</f>
        <v>0</v>
      </c>
      <c r="AW1645" s="21">
        <f t="shared" si="137"/>
        <v>2</v>
      </c>
      <c r="AX1645" s="21" t="str">
        <f t="shared" si="136"/>
        <v/>
      </c>
      <c r="AY1645" s="21" t="str">
        <f>IF(AND($AM1645&lt;&gt;"",$AS1645&lt;&gt;"✓"),SUMPRODUCT(($AM$11:$AM1645&lt;&gt;"")*($AS$11:$AS1645&lt;&gt;"✓")),"")</f>
        <v/>
      </c>
      <c r="AZ1645" s="21" t="str">
        <f>IF(AND($AM1645&lt;&gt;"",$AS1645="✓"),SUMPRODUCT(($AM$11:$AM1645&lt;&gt;"")*($AS$11:$AS1645="✓")),"")</f>
        <v/>
      </c>
      <c r="BA1645" s="21" t="str">
        <f>IF($AL1645="","",$AL1645&amp;"|"&amp;COUNTIF($AL$11:$AL1645,$AL1645))</f>
        <v/>
      </c>
    </row>
    <row r="1646" spans="38:53" ht="15" customHeight="1" x14ac:dyDescent="0.25">
      <c r="AL1646" s="31"/>
      <c r="AM1646" s="26"/>
      <c r="AN1646" s="32"/>
      <c r="AO1646" s="32"/>
      <c r="AP1646" s="24"/>
      <c r="AQ1646" s="24"/>
      <c r="AR1646" s="33"/>
      <c r="AS1646" s="34"/>
      <c r="AT1646" s="33"/>
      <c r="AV1646" s="21">
        <f>IF(AND($AL1646&lt;&gt;"",COUNTIF($AL$11:$AL1646,$AL1646)=1),1,0)</f>
        <v>0</v>
      </c>
      <c r="AW1646" s="21">
        <f t="shared" si="137"/>
        <v>2</v>
      </c>
      <c r="AX1646" s="21" t="str">
        <f t="shared" si="136"/>
        <v/>
      </c>
      <c r="AY1646" s="21" t="str">
        <f>IF(AND($AM1646&lt;&gt;"",$AS1646&lt;&gt;"✓"),SUMPRODUCT(($AM$11:$AM1646&lt;&gt;"")*($AS$11:$AS1646&lt;&gt;"✓")),"")</f>
        <v/>
      </c>
      <c r="AZ1646" s="21" t="str">
        <f>IF(AND($AM1646&lt;&gt;"",$AS1646="✓"),SUMPRODUCT(($AM$11:$AM1646&lt;&gt;"")*($AS$11:$AS1646="✓")),"")</f>
        <v/>
      </c>
      <c r="BA1646" s="21" t="str">
        <f>IF($AL1646="","",$AL1646&amp;"|"&amp;COUNTIF($AL$11:$AL1646,$AL1646))</f>
        <v/>
      </c>
    </row>
    <row r="1647" spans="38:53" ht="15" customHeight="1" x14ac:dyDescent="0.25">
      <c r="AL1647" s="17"/>
      <c r="AM1647" s="12"/>
      <c r="AN1647" s="18"/>
      <c r="AO1647" s="18"/>
      <c r="AP1647" s="10"/>
      <c r="AQ1647" s="10"/>
      <c r="AR1647" s="19"/>
      <c r="AS1647" s="20"/>
      <c r="AT1647" s="19"/>
      <c r="AV1647" s="21">
        <f>IF(AND($AL1647&lt;&gt;"",COUNTIF($AL$11:$AL1647,$AL1647)=1),1,0)</f>
        <v>0</v>
      </c>
      <c r="AW1647" s="21">
        <f t="shared" si="137"/>
        <v>2</v>
      </c>
      <c r="AX1647" s="21" t="str">
        <f t="shared" si="136"/>
        <v/>
      </c>
      <c r="AY1647" s="21" t="str">
        <f>IF(AND($AM1647&lt;&gt;"",$AS1647&lt;&gt;"✓"),SUMPRODUCT(($AM$11:$AM1647&lt;&gt;"")*($AS$11:$AS1647&lt;&gt;"✓")),"")</f>
        <v/>
      </c>
      <c r="AZ1647" s="21" t="str">
        <f>IF(AND($AM1647&lt;&gt;"",$AS1647="✓"),SUMPRODUCT(($AM$11:$AM1647&lt;&gt;"")*($AS$11:$AS1647="✓")),"")</f>
        <v/>
      </c>
      <c r="BA1647" s="21" t="str">
        <f>IF($AL1647="","",$AL1647&amp;"|"&amp;COUNTIF($AL$11:$AL1647,$AL1647))</f>
        <v/>
      </c>
    </row>
    <row r="1648" spans="38:53" ht="15" customHeight="1" x14ac:dyDescent="0.25">
      <c r="AL1648" s="31"/>
      <c r="AM1648" s="26"/>
      <c r="AN1648" s="32"/>
      <c r="AO1648" s="32"/>
      <c r="AP1648" s="24"/>
      <c r="AQ1648" s="24"/>
      <c r="AR1648" s="33"/>
      <c r="AS1648" s="34"/>
      <c r="AT1648" s="33"/>
      <c r="AV1648" s="21">
        <f>IF(AND($AL1648&lt;&gt;"",COUNTIF($AL$11:$AL1648,$AL1648)=1),1,0)</f>
        <v>0</v>
      </c>
      <c r="AW1648" s="21">
        <f t="shared" si="137"/>
        <v>2</v>
      </c>
      <c r="AX1648" s="21" t="str">
        <f t="shared" si="136"/>
        <v/>
      </c>
      <c r="AY1648" s="21" t="str">
        <f>IF(AND($AM1648&lt;&gt;"",$AS1648&lt;&gt;"✓"),SUMPRODUCT(($AM$11:$AM1648&lt;&gt;"")*($AS$11:$AS1648&lt;&gt;"✓")),"")</f>
        <v/>
      </c>
      <c r="AZ1648" s="21" t="str">
        <f>IF(AND($AM1648&lt;&gt;"",$AS1648="✓"),SUMPRODUCT(($AM$11:$AM1648&lt;&gt;"")*($AS$11:$AS1648="✓")),"")</f>
        <v/>
      </c>
      <c r="BA1648" s="21" t="str">
        <f>IF($AL1648="","",$AL1648&amp;"|"&amp;COUNTIF($AL$11:$AL1648,$AL1648))</f>
        <v/>
      </c>
    </row>
    <row r="1649" spans="38:53" ht="15" customHeight="1" x14ac:dyDescent="0.25">
      <c r="AL1649" s="17"/>
      <c r="AM1649" s="12"/>
      <c r="AN1649" s="18"/>
      <c r="AO1649" s="18"/>
      <c r="AP1649" s="10"/>
      <c r="AQ1649" s="10"/>
      <c r="AR1649" s="19"/>
      <c r="AS1649" s="20"/>
      <c r="AT1649" s="19"/>
      <c r="AV1649" s="21">
        <f>IF(AND($AL1649&lt;&gt;"",COUNTIF($AL$11:$AL1649,$AL1649)=1),1,0)</f>
        <v>0</v>
      </c>
      <c r="AW1649" s="21">
        <f t="shared" si="137"/>
        <v>2</v>
      </c>
      <c r="AX1649" s="21" t="str">
        <f t="shared" si="136"/>
        <v/>
      </c>
      <c r="AY1649" s="21" t="str">
        <f>IF(AND($AM1649&lt;&gt;"",$AS1649&lt;&gt;"✓"),SUMPRODUCT(($AM$11:$AM1649&lt;&gt;"")*($AS$11:$AS1649&lt;&gt;"✓")),"")</f>
        <v/>
      </c>
      <c r="AZ1649" s="21" t="str">
        <f>IF(AND($AM1649&lt;&gt;"",$AS1649="✓"),SUMPRODUCT(($AM$11:$AM1649&lt;&gt;"")*($AS$11:$AS1649="✓")),"")</f>
        <v/>
      </c>
      <c r="BA1649" s="21" t="str">
        <f>IF($AL1649="","",$AL1649&amp;"|"&amp;COUNTIF($AL$11:$AL1649,$AL1649))</f>
        <v/>
      </c>
    </row>
    <row r="1650" spans="38:53" ht="15" customHeight="1" x14ac:dyDescent="0.25">
      <c r="AL1650" s="31"/>
      <c r="AM1650" s="26"/>
      <c r="AN1650" s="32"/>
      <c r="AO1650" s="32"/>
      <c r="AP1650" s="24"/>
      <c r="AQ1650" s="24"/>
      <c r="AR1650" s="33"/>
      <c r="AS1650" s="34"/>
      <c r="AT1650" s="33"/>
      <c r="AV1650" s="21">
        <f>IF(AND($AL1650&lt;&gt;"",COUNTIF($AL$11:$AL1650,$AL1650)=1),1,0)</f>
        <v>0</v>
      </c>
      <c r="AW1650" s="21">
        <f t="shared" si="137"/>
        <v>2</v>
      </c>
      <c r="AX1650" s="21" t="str">
        <f t="shared" si="136"/>
        <v/>
      </c>
      <c r="AY1650" s="21" t="str">
        <f>IF(AND($AM1650&lt;&gt;"",$AS1650&lt;&gt;"✓"),SUMPRODUCT(($AM$11:$AM1650&lt;&gt;"")*($AS$11:$AS1650&lt;&gt;"✓")),"")</f>
        <v/>
      </c>
      <c r="AZ1650" s="21" t="str">
        <f>IF(AND($AM1650&lt;&gt;"",$AS1650="✓"),SUMPRODUCT(($AM$11:$AM1650&lt;&gt;"")*($AS$11:$AS1650="✓")),"")</f>
        <v/>
      </c>
      <c r="BA1650" s="21" t="str">
        <f>IF($AL1650="","",$AL1650&amp;"|"&amp;COUNTIF($AL$11:$AL1650,$AL1650))</f>
        <v/>
      </c>
    </row>
    <row r="1651" spans="38:53" ht="15" customHeight="1" x14ac:dyDescent="0.25">
      <c r="AL1651" s="17"/>
      <c r="AM1651" s="12"/>
      <c r="AN1651" s="18"/>
      <c r="AO1651" s="18"/>
      <c r="AP1651" s="10"/>
      <c r="AQ1651" s="10"/>
      <c r="AR1651" s="19"/>
      <c r="AS1651" s="20"/>
      <c r="AT1651" s="19"/>
      <c r="AV1651" s="21">
        <f>IF(AND($AL1651&lt;&gt;"",COUNTIF($AL$11:$AL1651,$AL1651)=1),1,0)</f>
        <v>0</v>
      </c>
      <c r="AW1651" s="21">
        <f t="shared" si="137"/>
        <v>2</v>
      </c>
      <c r="AX1651" s="21" t="str">
        <f t="shared" si="136"/>
        <v/>
      </c>
      <c r="AY1651" s="21" t="str">
        <f>IF(AND($AM1651&lt;&gt;"",$AS1651&lt;&gt;"✓"),SUMPRODUCT(($AM$11:$AM1651&lt;&gt;"")*($AS$11:$AS1651&lt;&gt;"✓")),"")</f>
        <v/>
      </c>
      <c r="AZ1651" s="21" t="str">
        <f>IF(AND($AM1651&lt;&gt;"",$AS1651="✓"),SUMPRODUCT(($AM$11:$AM1651&lt;&gt;"")*($AS$11:$AS1651="✓")),"")</f>
        <v/>
      </c>
      <c r="BA1651" s="21" t="str">
        <f>IF($AL1651="","",$AL1651&amp;"|"&amp;COUNTIF($AL$11:$AL1651,$AL1651))</f>
        <v/>
      </c>
    </row>
    <row r="1652" spans="38:53" ht="15" customHeight="1" x14ac:dyDescent="0.25">
      <c r="AL1652" s="31"/>
      <c r="AM1652" s="26"/>
      <c r="AN1652" s="32"/>
      <c r="AO1652" s="32"/>
      <c r="AP1652" s="24"/>
      <c r="AQ1652" s="24"/>
      <c r="AR1652" s="33"/>
      <c r="AS1652" s="34"/>
      <c r="AT1652" s="33"/>
      <c r="AV1652" s="21">
        <f>IF(AND($AL1652&lt;&gt;"",COUNTIF($AL$11:$AL1652,$AL1652)=1),1,0)</f>
        <v>0</v>
      </c>
      <c r="AW1652" s="21">
        <f t="shared" si="137"/>
        <v>2</v>
      </c>
      <c r="AX1652" s="21" t="str">
        <f t="shared" si="136"/>
        <v/>
      </c>
      <c r="AY1652" s="21" t="str">
        <f>IF(AND($AM1652&lt;&gt;"",$AS1652&lt;&gt;"✓"),SUMPRODUCT(($AM$11:$AM1652&lt;&gt;"")*($AS$11:$AS1652&lt;&gt;"✓")),"")</f>
        <v/>
      </c>
      <c r="AZ1652" s="21" t="str">
        <f>IF(AND($AM1652&lt;&gt;"",$AS1652="✓"),SUMPRODUCT(($AM$11:$AM1652&lt;&gt;"")*($AS$11:$AS1652="✓")),"")</f>
        <v/>
      </c>
      <c r="BA1652" s="21" t="str">
        <f>IF($AL1652="","",$AL1652&amp;"|"&amp;COUNTIF($AL$11:$AL1652,$AL1652))</f>
        <v/>
      </c>
    </row>
    <row r="1653" spans="38:53" ht="15" customHeight="1" x14ac:dyDescent="0.25">
      <c r="AL1653" s="17"/>
      <c r="AM1653" s="12"/>
      <c r="AN1653" s="18"/>
      <c r="AO1653" s="18"/>
      <c r="AP1653" s="10"/>
      <c r="AQ1653" s="10"/>
      <c r="AR1653" s="19"/>
      <c r="AS1653" s="20"/>
      <c r="AT1653" s="19"/>
      <c r="AV1653" s="21">
        <f>IF(AND($AL1653&lt;&gt;"",COUNTIF($AL$11:$AL1653,$AL1653)=1),1,0)</f>
        <v>0</v>
      </c>
      <c r="AW1653" s="21">
        <f t="shared" si="137"/>
        <v>2</v>
      </c>
      <c r="AX1653" s="21" t="str">
        <f t="shared" si="136"/>
        <v/>
      </c>
      <c r="AY1653" s="21" t="str">
        <f>IF(AND($AM1653&lt;&gt;"",$AS1653&lt;&gt;"✓"),SUMPRODUCT(($AM$11:$AM1653&lt;&gt;"")*($AS$11:$AS1653&lt;&gt;"✓")),"")</f>
        <v/>
      </c>
      <c r="AZ1653" s="21" t="str">
        <f>IF(AND($AM1653&lt;&gt;"",$AS1653="✓"),SUMPRODUCT(($AM$11:$AM1653&lt;&gt;"")*($AS$11:$AS1653="✓")),"")</f>
        <v/>
      </c>
      <c r="BA1653" s="21" t="str">
        <f>IF($AL1653="","",$AL1653&amp;"|"&amp;COUNTIF($AL$11:$AL1653,$AL1653))</f>
        <v/>
      </c>
    </row>
    <row r="1654" spans="38:53" ht="15" customHeight="1" x14ac:dyDescent="0.25">
      <c r="AL1654" s="31"/>
      <c r="AM1654" s="26"/>
      <c r="AN1654" s="32"/>
      <c r="AO1654" s="32"/>
      <c r="AP1654" s="24"/>
      <c r="AQ1654" s="24"/>
      <c r="AR1654" s="33"/>
      <c r="AS1654" s="34"/>
      <c r="AT1654" s="33"/>
      <c r="AV1654" s="21">
        <f>IF(AND($AL1654&lt;&gt;"",COUNTIF($AL$11:$AL1654,$AL1654)=1),1,0)</f>
        <v>0</v>
      </c>
      <c r="AW1654" s="21">
        <f t="shared" si="137"/>
        <v>2</v>
      </c>
      <c r="AX1654" s="21" t="str">
        <f t="shared" si="136"/>
        <v/>
      </c>
      <c r="AY1654" s="21" t="str">
        <f>IF(AND($AM1654&lt;&gt;"",$AS1654&lt;&gt;"✓"),SUMPRODUCT(($AM$11:$AM1654&lt;&gt;"")*($AS$11:$AS1654&lt;&gt;"✓")),"")</f>
        <v/>
      </c>
      <c r="AZ1654" s="21" t="str">
        <f>IF(AND($AM1654&lt;&gt;"",$AS1654="✓"),SUMPRODUCT(($AM$11:$AM1654&lt;&gt;"")*($AS$11:$AS1654="✓")),"")</f>
        <v/>
      </c>
      <c r="BA1654" s="21" t="str">
        <f>IF($AL1654="","",$AL1654&amp;"|"&amp;COUNTIF($AL$11:$AL1654,$AL1654))</f>
        <v/>
      </c>
    </row>
    <row r="1655" spans="38:53" ht="15" customHeight="1" x14ac:dyDescent="0.25">
      <c r="AL1655" s="17"/>
      <c r="AM1655" s="12"/>
      <c r="AN1655" s="18"/>
      <c r="AO1655" s="18"/>
      <c r="AP1655" s="10"/>
      <c r="AQ1655" s="10"/>
      <c r="AR1655" s="19"/>
      <c r="AS1655" s="20"/>
      <c r="AT1655" s="19"/>
      <c r="AV1655" s="21">
        <f>IF(AND($AL1655&lt;&gt;"",COUNTIF($AL$11:$AL1655,$AL1655)=1),1,0)</f>
        <v>0</v>
      </c>
      <c r="AW1655" s="21">
        <f t="shared" si="137"/>
        <v>2</v>
      </c>
      <c r="AX1655" s="21" t="str">
        <f t="shared" si="136"/>
        <v/>
      </c>
      <c r="AY1655" s="21" t="str">
        <f>IF(AND($AM1655&lt;&gt;"",$AS1655&lt;&gt;"✓"),SUMPRODUCT(($AM$11:$AM1655&lt;&gt;"")*($AS$11:$AS1655&lt;&gt;"✓")),"")</f>
        <v/>
      </c>
      <c r="AZ1655" s="21" t="str">
        <f>IF(AND($AM1655&lt;&gt;"",$AS1655="✓"),SUMPRODUCT(($AM$11:$AM1655&lt;&gt;"")*($AS$11:$AS1655="✓")),"")</f>
        <v/>
      </c>
      <c r="BA1655" s="21" t="str">
        <f>IF($AL1655="","",$AL1655&amp;"|"&amp;COUNTIF($AL$11:$AL1655,$AL1655))</f>
        <v/>
      </c>
    </row>
    <row r="1656" spans="38:53" ht="15" customHeight="1" x14ac:dyDescent="0.25">
      <c r="AL1656" s="31"/>
      <c r="AM1656" s="26"/>
      <c r="AN1656" s="32"/>
      <c r="AO1656" s="32"/>
      <c r="AP1656" s="24"/>
      <c r="AQ1656" s="24"/>
      <c r="AR1656" s="33"/>
      <c r="AS1656" s="34"/>
      <c r="AT1656" s="33"/>
      <c r="AV1656" s="21">
        <f>IF(AND($AL1656&lt;&gt;"",COUNTIF($AL$11:$AL1656,$AL1656)=1),1,0)</f>
        <v>0</v>
      </c>
      <c r="AW1656" s="21">
        <f t="shared" si="137"/>
        <v>2</v>
      </c>
      <c r="AX1656" s="21" t="str">
        <f t="shared" si="136"/>
        <v/>
      </c>
      <c r="AY1656" s="21" t="str">
        <f>IF(AND($AM1656&lt;&gt;"",$AS1656&lt;&gt;"✓"),SUMPRODUCT(($AM$11:$AM1656&lt;&gt;"")*($AS$11:$AS1656&lt;&gt;"✓")),"")</f>
        <v/>
      </c>
      <c r="AZ1656" s="21" t="str">
        <f>IF(AND($AM1656&lt;&gt;"",$AS1656="✓"),SUMPRODUCT(($AM$11:$AM1656&lt;&gt;"")*($AS$11:$AS1656="✓")),"")</f>
        <v/>
      </c>
      <c r="BA1656" s="21" t="str">
        <f>IF($AL1656="","",$AL1656&amp;"|"&amp;COUNTIF($AL$11:$AL1656,$AL1656))</f>
        <v/>
      </c>
    </row>
    <row r="1657" spans="38:53" ht="15" customHeight="1" x14ac:dyDescent="0.25">
      <c r="AL1657" s="17"/>
      <c r="AM1657" s="12"/>
      <c r="AN1657" s="18"/>
      <c r="AO1657" s="18"/>
      <c r="AP1657" s="10"/>
      <c r="AQ1657" s="10"/>
      <c r="AR1657" s="19"/>
      <c r="AS1657" s="20"/>
      <c r="AT1657" s="19"/>
      <c r="AV1657" s="21">
        <f>IF(AND($AL1657&lt;&gt;"",COUNTIF($AL$11:$AL1657,$AL1657)=1),1,0)</f>
        <v>0</v>
      </c>
      <c r="AW1657" s="21">
        <f t="shared" si="137"/>
        <v>2</v>
      </c>
      <c r="AX1657" s="21" t="str">
        <f t="shared" si="136"/>
        <v/>
      </c>
      <c r="AY1657" s="21" t="str">
        <f>IF(AND($AM1657&lt;&gt;"",$AS1657&lt;&gt;"✓"),SUMPRODUCT(($AM$11:$AM1657&lt;&gt;"")*($AS$11:$AS1657&lt;&gt;"✓")),"")</f>
        <v/>
      </c>
      <c r="AZ1657" s="21" t="str">
        <f>IF(AND($AM1657&lt;&gt;"",$AS1657="✓"),SUMPRODUCT(($AM$11:$AM1657&lt;&gt;"")*($AS$11:$AS1657="✓")),"")</f>
        <v/>
      </c>
      <c r="BA1657" s="21" t="str">
        <f>IF($AL1657="","",$AL1657&amp;"|"&amp;COUNTIF($AL$11:$AL1657,$AL1657))</f>
        <v/>
      </c>
    </row>
    <row r="1658" spans="38:53" ht="15" customHeight="1" x14ac:dyDescent="0.25">
      <c r="AL1658" s="31"/>
      <c r="AM1658" s="26"/>
      <c r="AN1658" s="32"/>
      <c r="AO1658" s="32"/>
      <c r="AP1658" s="24"/>
      <c r="AQ1658" s="24"/>
      <c r="AR1658" s="33"/>
      <c r="AS1658" s="34"/>
      <c r="AT1658" s="33"/>
      <c r="AV1658" s="21">
        <f>IF(AND($AL1658&lt;&gt;"",COUNTIF($AL$11:$AL1658,$AL1658)=1),1,0)</f>
        <v>0</v>
      </c>
      <c r="AW1658" s="21">
        <f t="shared" si="137"/>
        <v>2</v>
      </c>
      <c r="AX1658" s="21" t="str">
        <f t="shared" si="136"/>
        <v/>
      </c>
      <c r="AY1658" s="21" t="str">
        <f>IF(AND($AM1658&lt;&gt;"",$AS1658&lt;&gt;"✓"),SUMPRODUCT(($AM$11:$AM1658&lt;&gt;"")*($AS$11:$AS1658&lt;&gt;"✓")),"")</f>
        <v/>
      </c>
      <c r="AZ1658" s="21" t="str">
        <f>IF(AND($AM1658&lt;&gt;"",$AS1658="✓"),SUMPRODUCT(($AM$11:$AM1658&lt;&gt;"")*($AS$11:$AS1658="✓")),"")</f>
        <v/>
      </c>
      <c r="BA1658" s="21" t="str">
        <f>IF($AL1658="","",$AL1658&amp;"|"&amp;COUNTIF($AL$11:$AL1658,$AL1658))</f>
        <v/>
      </c>
    </row>
    <row r="1659" spans="38:53" ht="15" customHeight="1" x14ac:dyDescent="0.25">
      <c r="AL1659" s="17"/>
      <c r="AM1659" s="12"/>
      <c r="AN1659" s="18"/>
      <c r="AO1659" s="18"/>
      <c r="AP1659" s="10"/>
      <c r="AQ1659" s="10"/>
      <c r="AR1659" s="19"/>
      <c r="AS1659" s="20"/>
      <c r="AT1659" s="19"/>
      <c r="AV1659" s="21">
        <f>IF(AND($AL1659&lt;&gt;"",COUNTIF($AL$11:$AL1659,$AL1659)=1),1,0)</f>
        <v>0</v>
      </c>
      <c r="AW1659" s="21">
        <f t="shared" si="137"/>
        <v>2</v>
      </c>
      <c r="AX1659" s="21" t="str">
        <f t="shared" si="136"/>
        <v/>
      </c>
      <c r="AY1659" s="21" t="str">
        <f>IF(AND($AM1659&lt;&gt;"",$AS1659&lt;&gt;"✓"),SUMPRODUCT(($AM$11:$AM1659&lt;&gt;"")*($AS$11:$AS1659&lt;&gt;"✓")),"")</f>
        <v/>
      </c>
      <c r="AZ1659" s="21" t="str">
        <f>IF(AND($AM1659&lt;&gt;"",$AS1659="✓"),SUMPRODUCT(($AM$11:$AM1659&lt;&gt;"")*($AS$11:$AS1659="✓")),"")</f>
        <v/>
      </c>
      <c r="BA1659" s="21" t="str">
        <f>IF($AL1659="","",$AL1659&amp;"|"&amp;COUNTIF($AL$11:$AL1659,$AL1659))</f>
        <v/>
      </c>
    </row>
    <row r="1660" spans="38:53" ht="15" customHeight="1" x14ac:dyDescent="0.25">
      <c r="AL1660" s="31"/>
      <c r="AM1660" s="26"/>
      <c r="AN1660" s="32"/>
      <c r="AO1660" s="32"/>
      <c r="AP1660" s="24"/>
      <c r="AQ1660" s="24"/>
      <c r="AR1660" s="33"/>
      <c r="AS1660" s="34"/>
      <c r="AT1660" s="33"/>
      <c r="AV1660" s="21">
        <f>IF(AND($AL1660&lt;&gt;"",COUNTIF($AL$11:$AL1660,$AL1660)=1),1,0)</f>
        <v>0</v>
      </c>
      <c r="AW1660" s="21">
        <f t="shared" si="137"/>
        <v>2</v>
      </c>
      <c r="AX1660" s="21" t="str">
        <f t="shared" si="136"/>
        <v/>
      </c>
      <c r="AY1660" s="21" t="str">
        <f>IF(AND($AM1660&lt;&gt;"",$AS1660&lt;&gt;"✓"),SUMPRODUCT(($AM$11:$AM1660&lt;&gt;"")*($AS$11:$AS1660&lt;&gt;"✓")),"")</f>
        <v/>
      </c>
      <c r="AZ1660" s="21" t="str">
        <f>IF(AND($AM1660&lt;&gt;"",$AS1660="✓"),SUMPRODUCT(($AM$11:$AM1660&lt;&gt;"")*($AS$11:$AS1660="✓")),"")</f>
        <v/>
      </c>
      <c r="BA1660" s="21" t="str">
        <f>IF($AL1660="","",$AL1660&amp;"|"&amp;COUNTIF($AL$11:$AL1660,$AL1660))</f>
        <v/>
      </c>
    </row>
    <row r="1661" spans="38:53" ht="15" customHeight="1" x14ac:dyDescent="0.25">
      <c r="AL1661" s="17"/>
      <c r="AM1661" s="12"/>
      <c r="AN1661" s="18"/>
      <c r="AO1661" s="18"/>
      <c r="AP1661" s="10"/>
      <c r="AQ1661" s="10"/>
      <c r="AR1661" s="19"/>
      <c r="AS1661" s="20"/>
      <c r="AT1661" s="19"/>
      <c r="AV1661" s="21">
        <f>IF(AND($AL1661&lt;&gt;"",COUNTIF($AL$11:$AL1661,$AL1661)=1),1,0)</f>
        <v>0</v>
      </c>
      <c r="AW1661" s="21">
        <f t="shared" si="137"/>
        <v>2</v>
      </c>
      <c r="AX1661" s="21" t="str">
        <f t="shared" si="136"/>
        <v/>
      </c>
      <c r="AY1661" s="21" t="str">
        <f>IF(AND($AM1661&lt;&gt;"",$AS1661&lt;&gt;"✓"),SUMPRODUCT(($AM$11:$AM1661&lt;&gt;"")*($AS$11:$AS1661&lt;&gt;"✓")),"")</f>
        <v/>
      </c>
      <c r="AZ1661" s="21" t="str">
        <f>IF(AND($AM1661&lt;&gt;"",$AS1661="✓"),SUMPRODUCT(($AM$11:$AM1661&lt;&gt;"")*($AS$11:$AS1661="✓")),"")</f>
        <v/>
      </c>
      <c r="BA1661" s="21" t="str">
        <f>IF($AL1661="","",$AL1661&amp;"|"&amp;COUNTIF($AL$11:$AL1661,$AL1661))</f>
        <v/>
      </c>
    </row>
    <row r="1662" spans="38:53" ht="15" customHeight="1" x14ac:dyDescent="0.25">
      <c r="AL1662" s="31"/>
      <c r="AM1662" s="26"/>
      <c r="AN1662" s="32"/>
      <c r="AO1662" s="32"/>
      <c r="AP1662" s="24"/>
      <c r="AQ1662" s="24"/>
      <c r="AR1662" s="33"/>
      <c r="AS1662" s="34"/>
      <c r="AT1662" s="33"/>
      <c r="AV1662" s="21">
        <f>IF(AND($AL1662&lt;&gt;"",COUNTIF($AL$11:$AL1662,$AL1662)=1),1,0)</f>
        <v>0</v>
      </c>
      <c r="AW1662" s="21">
        <f t="shared" si="137"/>
        <v>2</v>
      </c>
      <c r="AX1662" s="21" t="str">
        <f t="shared" si="136"/>
        <v/>
      </c>
      <c r="AY1662" s="21" t="str">
        <f>IF(AND($AM1662&lt;&gt;"",$AS1662&lt;&gt;"✓"),SUMPRODUCT(($AM$11:$AM1662&lt;&gt;"")*($AS$11:$AS1662&lt;&gt;"✓")),"")</f>
        <v/>
      </c>
      <c r="AZ1662" s="21" t="str">
        <f>IF(AND($AM1662&lt;&gt;"",$AS1662="✓"),SUMPRODUCT(($AM$11:$AM1662&lt;&gt;"")*($AS$11:$AS1662="✓")),"")</f>
        <v/>
      </c>
      <c r="BA1662" s="21" t="str">
        <f>IF($AL1662="","",$AL1662&amp;"|"&amp;COUNTIF($AL$11:$AL1662,$AL1662))</f>
        <v/>
      </c>
    </row>
    <row r="1663" spans="38:53" ht="15" customHeight="1" x14ac:dyDescent="0.25">
      <c r="AL1663" s="17"/>
      <c r="AM1663" s="12"/>
      <c r="AN1663" s="18"/>
      <c r="AO1663" s="18"/>
      <c r="AP1663" s="10"/>
      <c r="AQ1663" s="10"/>
      <c r="AR1663" s="19"/>
      <c r="AS1663" s="20"/>
      <c r="AT1663" s="19"/>
      <c r="AV1663" s="21">
        <f>IF(AND($AL1663&lt;&gt;"",COUNTIF($AL$11:$AL1663,$AL1663)=1),1,0)</f>
        <v>0</v>
      </c>
      <c r="AW1663" s="21">
        <f t="shared" si="137"/>
        <v>2</v>
      </c>
      <c r="AX1663" s="21" t="str">
        <f t="shared" si="136"/>
        <v/>
      </c>
      <c r="AY1663" s="21" t="str">
        <f>IF(AND($AM1663&lt;&gt;"",$AS1663&lt;&gt;"✓"),SUMPRODUCT(($AM$11:$AM1663&lt;&gt;"")*($AS$11:$AS1663&lt;&gt;"✓")),"")</f>
        <v/>
      </c>
      <c r="AZ1663" s="21" t="str">
        <f>IF(AND($AM1663&lt;&gt;"",$AS1663="✓"),SUMPRODUCT(($AM$11:$AM1663&lt;&gt;"")*($AS$11:$AS1663="✓")),"")</f>
        <v/>
      </c>
      <c r="BA1663" s="21" t="str">
        <f>IF($AL1663="","",$AL1663&amp;"|"&amp;COUNTIF($AL$11:$AL1663,$AL1663))</f>
        <v/>
      </c>
    </row>
    <row r="1664" spans="38:53" ht="15" customHeight="1" x14ac:dyDescent="0.25">
      <c r="AL1664" s="31"/>
      <c r="AM1664" s="26"/>
      <c r="AN1664" s="32"/>
      <c r="AO1664" s="32"/>
      <c r="AP1664" s="24"/>
      <c r="AQ1664" s="24"/>
      <c r="AR1664" s="33"/>
      <c r="AS1664" s="34"/>
      <c r="AT1664" s="33"/>
      <c r="AV1664" s="21">
        <f>IF(AND($AL1664&lt;&gt;"",COUNTIF($AL$11:$AL1664,$AL1664)=1),1,0)</f>
        <v>0</v>
      </c>
      <c r="AW1664" s="21">
        <f t="shared" si="137"/>
        <v>2</v>
      </c>
      <c r="AX1664" s="21" t="str">
        <f t="shared" si="136"/>
        <v/>
      </c>
      <c r="AY1664" s="21" t="str">
        <f>IF(AND($AM1664&lt;&gt;"",$AS1664&lt;&gt;"✓"),SUMPRODUCT(($AM$11:$AM1664&lt;&gt;"")*($AS$11:$AS1664&lt;&gt;"✓")),"")</f>
        <v/>
      </c>
      <c r="AZ1664" s="21" t="str">
        <f>IF(AND($AM1664&lt;&gt;"",$AS1664="✓"),SUMPRODUCT(($AM$11:$AM1664&lt;&gt;"")*($AS$11:$AS1664="✓")),"")</f>
        <v/>
      </c>
      <c r="BA1664" s="21" t="str">
        <f>IF($AL1664="","",$AL1664&amp;"|"&amp;COUNTIF($AL$11:$AL1664,$AL1664))</f>
        <v/>
      </c>
    </row>
    <row r="1665" spans="38:53" ht="15" customHeight="1" x14ac:dyDescent="0.25">
      <c r="AL1665" s="17"/>
      <c r="AM1665" s="12"/>
      <c r="AN1665" s="18"/>
      <c r="AO1665" s="18"/>
      <c r="AP1665" s="10"/>
      <c r="AQ1665" s="10"/>
      <c r="AR1665" s="19"/>
      <c r="AS1665" s="20"/>
      <c r="AT1665" s="19"/>
      <c r="AV1665" s="21">
        <f>IF(AND($AL1665&lt;&gt;"",COUNTIF($AL$11:$AL1665,$AL1665)=1),1,0)</f>
        <v>0</v>
      </c>
      <c r="AW1665" s="21">
        <f t="shared" si="137"/>
        <v>2</v>
      </c>
      <c r="AX1665" s="21" t="str">
        <f t="shared" si="136"/>
        <v/>
      </c>
      <c r="AY1665" s="21" t="str">
        <f>IF(AND($AM1665&lt;&gt;"",$AS1665&lt;&gt;"✓"),SUMPRODUCT(($AM$11:$AM1665&lt;&gt;"")*($AS$11:$AS1665&lt;&gt;"✓")),"")</f>
        <v/>
      </c>
      <c r="AZ1665" s="21" t="str">
        <f>IF(AND($AM1665&lt;&gt;"",$AS1665="✓"),SUMPRODUCT(($AM$11:$AM1665&lt;&gt;"")*($AS$11:$AS1665="✓")),"")</f>
        <v/>
      </c>
      <c r="BA1665" s="21" t="str">
        <f>IF($AL1665="","",$AL1665&amp;"|"&amp;COUNTIF($AL$11:$AL1665,$AL1665))</f>
        <v/>
      </c>
    </row>
    <row r="1666" spans="38:53" ht="15" customHeight="1" x14ac:dyDescent="0.25">
      <c r="AL1666" s="31"/>
      <c r="AM1666" s="26"/>
      <c r="AN1666" s="32"/>
      <c r="AO1666" s="32"/>
      <c r="AP1666" s="24"/>
      <c r="AQ1666" s="24"/>
      <c r="AR1666" s="33"/>
      <c r="AS1666" s="34"/>
      <c r="AT1666" s="33"/>
      <c r="AV1666" s="21">
        <f>IF(AND($AL1666&lt;&gt;"",COUNTIF($AL$11:$AL1666,$AL1666)=1),1,0)</f>
        <v>0</v>
      </c>
      <c r="AW1666" s="21">
        <f t="shared" si="137"/>
        <v>2</v>
      </c>
      <c r="AX1666" s="21" t="str">
        <f t="shared" si="136"/>
        <v/>
      </c>
      <c r="AY1666" s="21" t="str">
        <f>IF(AND($AM1666&lt;&gt;"",$AS1666&lt;&gt;"✓"),SUMPRODUCT(($AM$11:$AM1666&lt;&gt;"")*($AS$11:$AS1666&lt;&gt;"✓")),"")</f>
        <v/>
      </c>
      <c r="AZ1666" s="21" t="str">
        <f>IF(AND($AM1666&lt;&gt;"",$AS1666="✓"),SUMPRODUCT(($AM$11:$AM1666&lt;&gt;"")*($AS$11:$AS1666="✓")),"")</f>
        <v/>
      </c>
      <c r="BA1666" s="21" t="str">
        <f>IF($AL1666="","",$AL1666&amp;"|"&amp;COUNTIF($AL$11:$AL1666,$AL1666))</f>
        <v/>
      </c>
    </row>
    <row r="1667" spans="38:53" ht="15" customHeight="1" x14ac:dyDescent="0.25">
      <c r="AL1667" s="17"/>
      <c r="AM1667" s="12"/>
      <c r="AN1667" s="18"/>
      <c r="AO1667" s="18"/>
      <c r="AP1667" s="10"/>
      <c r="AQ1667" s="10"/>
      <c r="AR1667" s="19"/>
      <c r="AS1667" s="20"/>
      <c r="AT1667" s="19"/>
      <c r="AV1667" s="21">
        <f>IF(AND($AL1667&lt;&gt;"",COUNTIF($AL$11:$AL1667,$AL1667)=1),1,0)</f>
        <v>0</v>
      </c>
      <c r="AW1667" s="21">
        <f t="shared" si="137"/>
        <v>2</v>
      </c>
      <c r="AX1667" s="21" t="str">
        <f t="shared" si="136"/>
        <v/>
      </c>
      <c r="AY1667" s="21" t="str">
        <f>IF(AND($AM1667&lt;&gt;"",$AS1667&lt;&gt;"✓"),SUMPRODUCT(($AM$11:$AM1667&lt;&gt;"")*($AS$11:$AS1667&lt;&gt;"✓")),"")</f>
        <v/>
      </c>
      <c r="AZ1667" s="21" t="str">
        <f>IF(AND($AM1667&lt;&gt;"",$AS1667="✓"),SUMPRODUCT(($AM$11:$AM1667&lt;&gt;"")*($AS$11:$AS1667="✓")),"")</f>
        <v/>
      </c>
      <c r="BA1667" s="21" t="str">
        <f>IF($AL1667="","",$AL1667&amp;"|"&amp;COUNTIF($AL$11:$AL1667,$AL1667))</f>
        <v/>
      </c>
    </row>
    <row r="1668" spans="38:53" ht="15" customHeight="1" x14ac:dyDescent="0.25">
      <c r="AL1668" s="31"/>
      <c r="AM1668" s="26"/>
      <c r="AN1668" s="32"/>
      <c r="AO1668" s="32"/>
      <c r="AP1668" s="24"/>
      <c r="AQ1668" s="24"/>
      <c r="AR1668" s="33"/>
      <c r="AS1668" s="34"/>
      <c r="AT1668" s="33"/>
      <c r="AV1668" s="21">
        <f>IF(AND($AL1668&lt;&gt;"",COUNTIF($AL$11:$AL1668,$AL1668)=1),1,0)</f>
        <v>0</v>
      </c>
      <c r="AW1668" s="21">
        <f t="shared" si="137"/>
        <v>2</v>
      </c>
      <c r="AX1668" s="21" t="str">
        <f t="shared" si="136"/>
        <v/>
      </c>
      <c r="AY1668" s="21" t="str">
        <f>IF(AND($AM1668&lt;&gt;"",$AS1668&lt;&gt;"✓"),SUMPRODUCT(($AM$11:$AM1668&lt;&gt;"")*($AS$11:$AS1668&lt;&gt;"✓")),"")</f>
        <v/>
      </c>
      <c r="AZ1668" s="21" t="str">
        <f>IF(AND($AM1668&lt;&gt;"",$AS1668="✓"),SUMPRODUCT(($AM$11:$AM1668&lt;&gt;"")*($AS$11:$AS1668="✓")),"")</f>
        <v/>
      </c>
      <c r="BA1668" s="21" t="str">
        <f>IF($AL1668="","",$AL1668&amp;"|"&amp;COUNTIF($AL$11:$AL1668,$AL1668))</f>
        <v/>
      </c>
    </row>
    <row r="1669" spans="38:53" ht="15" customHeight="1" x14ac:dyDescent="0.25">
      <c r="AL1669" s="17"/>
      <c r="AM1669" s="12"/>
      <c r="AN1669" s="18"/>
      <c r="AO1669" s="18"/>
      <c r="AP1669" s="10"/>
      <c r="AQ1669" s="10"/>
      <c r="AR1669" s="19"/>
      <c r="AS1669" s="20"/>
      <c r="AT1669" s="19"/>
      <c r="AV1669" s="21">
        <f>IF(AND($AL1669&lt;&gt;"",COUNTIF($AL$11:$AL1669,$AL1669)=1),1,0)</f>
        <v>0</v>
      </c>
      <c r="AW1669" s="21">
        <f t="shared" si="137"/>
        <v>2</v>
      </c>
      <c r="AX1669" s="21" t="str">
        <f t="shared" si="136"/>
        <v/>
      </c>
      <c r="AY1669" s="21" t="str">
        <f>IF(AND($AM1669&lt;&gt;"",$AS1669&lt;&gt;"✓"),SUMPRODUCT(($AM$11:$AM1669&lt;&gt;"")*($AS$11:$AS1669&lt;&gt;"✓")),"")</f>
        <v/>
      </c>
      <c r="AZ1669" s="21" t="str">
        <f>IF(AND($AM1669&lt;&gt;"",$AS1669="✓"),SUMPRODUCT(($AM$11:$AM1669&lt;&gt;"")*($AS$11:$AS1669="✓")),"")</f>
        <v/>
      </c>
      <c r="BA1669" s="21" t="str">
        <f>IF($AL1669="","",$AL1669&amp;"|"&amp;COUNTIF($AL$11:$AL1669,$AL1669))</f>
        <v/>
      </c>
    </row>
    <row r="1670" spans="38:53" ht="15" customHeight="1" x14ac:dyDescent="0.25">
      <c r="AL1670" s="31"/>
      <c r="AM1670" s="26"/>
      <c r="AN1670" s="32"/>
      <c r="AO1670" s="32"/>
      <c r="AP1670" s="24"/>
      <c r="AQ1670" s="24"/>
      <c r="AR1670" s="33"/>
      <c r="AS1670" s="34"/>
      <c r="AT1670" s="33"/>
      <c r="AV1670" s="21">
        <f>IF(AND($AL1670&lt;&gt;"",COUNTIF($AL$11:$AL1670,$AL1670)=1),1,0)</f>
        <v>0</v>
      </c>
      <c r="AW1670" s="21">
        <f t="shared" si="137"/>
        <v>2</v>
      </c>
      <c r="AX1670" s="21" t="str">
        <f t="shared" si="136"/>
        <v/>
      </c>
      <c r="AY1670" s="21" t="str">
        <f>IF(AND($AM1670&lt;&gt;"",$AS1670&lt;&gt;"✓"),SUMPRODUCT(($AM$11:$AM1670&lt;&gt;"")*($AS$11:$AS1670&lt;&gt;"✓")),"")</f>
        <v/>
      </c>
      <c r="AZ1670" s="21" t="str">
        <f>IF(AND($AM1670&lt;&gt;"",$AS1670="✓"),SUMPRODUCT(($AM$11:$AM1670&lt;&gt;"")*($AS$11:$AS1670="✓")),"")</f>
        <v/>
      </c>
      <c r="BA1670" s="21" t="str">
        <f>IF($AL1670="","",$AL1670&amp;"|"&amp;COUNTIF($AL$11:$AL1670,$AL1670))</f>
        <v/>
      </c>
    </row>
    <row r="1671" spans="38:53" ht="15" customHeight="1" x14ac:dyDescent="0.25">
      <c r="AL1671" s="17"/>
      <c r="AM1671" s="12"/>
      <c r="AN1671" s="18"/>
      <c r="AO1671" s="18"/>
      <c r="AP1671" s="10"/>
      <c r="AQ1671" s="10"/>
      <c r="AR1671" s="19"/>
      <c r="AS1671" s="20"/>
      <c r="AT1671" s="19"/>
      <c r="AV1671" s="21">
        <f>IF(AND($AL1671&lt;&gt;"",COUNTIF($AL$11:$AL1671,$AL1671)=1),1,0)</f>
        <v>0</v>
      </c>
      <c r="AW1671" s="21">
        <f t="shared" si="137"/>
        <v>2</v>
      </c>
      <c r="AX1671" s="21" t="str">
        <f t="shared" si="136"/>
        <v/>
      </c>
      <c r="AY1671" s="21" t="str">
        <f>IF(AND($AM1671&lt;&gt;"",$AS1671&lt;&gt;"✓"),SUMPRODUCT(($AM$11:$AM1671&lt;&gt;"")*($AS$11:$AS1671&lt;&gt;"✓")),"")</f>
        <v/>
      </c>
      <c r="AZ1671" s="21" t="str">
        <f>IF(AND($AM1671&lt;&gt;"",$AS1671="✓"),SUMPRODUCT(($AM$11:$AM1671&lt;&gt;"")*($AS$11:$AS1671="✓")),"")</f>
        <v/>
      </c>
      <c r="BA1671" s="21" t="str">
        <f>IF($AL1671="","",$AL1671&amp;"|"&amp;COUNTIF($AL$11:$AL1671,$AL1671))</f>
        <v/>
      </c>
    </row>
    <row r="1672" spans="38:53" ht="15" customHeight="1" x14ac:dyDescent="0.25">
      <c r="AL1672" s="31"/>
      <c r="AM1672" s="26"/>
      <c r="AN1672" s="32"/>
      <c r="AO1672" s="32"/>
      <c r="AP1672" s="24"/>
      <c r="AQ1672" s="24"/>
      <c r="AR1672" s="33"/>
      <c r="AS1672" s="34"/>
      <c r="AT1672" s="33"/>
      <c r="AV1672" s="21">
        <f>IF(AND($AL1672&lt;&gt;"",COUNTIF($AL$11:$AL1672,$AL1672)=1),1,0)</f>
        <v>0</v>
      </c>
      <c r="AW1672" s="21">
        <f t="shared" si="137"/>
        <v>2</v>
      </c>
      <c r="AX1672" s="21" t="str">
        <f t="shared" si="136"/>
        <v/>
      </c>
      <c r="AY1672" s="21" t="str">
        <f>IF(AND($AM1672&lt;&gt;"",$AS1672&lt;&gt;"✓"),SUMPRODUCT(($AM$11:$AM1672&lt;&gt;"")*($AS$11:$AS1672&lt;&gt;"✓")),"")</f>
        <v/>
      </c>
      <c r="AZ1672" s="21" t="str">
        <f>IF(AND($AM1672&lt;&gt;"",$AS1672="✓"),SUMPRODUCT(($AM$11:$AM1672&lt;&gt;"")*($AS$11:$AS1672="✓")),"")</f>
        <v/>
      </c>
      <c r="BA1672" s="21" t="str">
        <f>IF($AL1672="","",$AL1672&amp;"|"&amp;COUNTIF($AL$11:$AL1672,$AL1672))</f>
        <v/>
      </c>
    </row>
    <row r="1673" spans="38:53" ht="15" customHeight="1" x14ac:dyDescent="0.25">
      <c r="AL1673" s="17"/>
      <c r="AM1673" s="12"/>
      <c r="AN1673" s="18"/>
      <c r="AO1673" s="18"/>
      <c r="AP1673" s="10"/>
      <c r="AQ1673" s="10"/>
      <c r="AR1673" s="19"/>
      <c r="AS1673" s="20"/>
      <c r="AT1673" s="19"/>
      <c r="AV1673" s="21">
        <f>IF(AND($AL1673&lt;&gt;"",COUNTIF($AL$11:$AL1673,$AL1673)=1),1,0)</f>
        <v>0</v>
      </c>
      <c r="AW1673" s="21">
        <f t="shared" si="137"/>
        <v>2</v>
      </c>
      <c r="AX1673" s="21" t="str">
        <f t="shared" si="136"/>
        <v/>
      </c>
      <c r="AY1673" s="21" t="str">
        <f>IF(AND($AM1673&lt;&gt;"",$AS1673&lt;&gt;"✓"),SUMPRODUCT(($AM$11:$AM1673&lt;&gt;"")*($AS$11:$AS1673&lt;&gt;"✓")),"")</f>
        <v/>
      </c>
      <c r="AZ1673" s="21" t="str">
        <f>IF(AND($AM1673&lt;&gt;"",$AS1673="✓"),SUMPRODUCT(($AM$11:$AM1673&lt;&gt;"")*($AS$11:$AS1673="✓")),"")</f>
        <v/>
      </c>
      <c r="BA1673" s="21" t="str">
        <f>IF($AL1673="","",$AL1673&amp;"|"&amp;COUNTIF($AL$11:$AL1673,$AL1673))</f>
        <v/>
      </c>
    </row>
    <row r="1674" spans="38:53" ht="15" customHeight="1" x14ac:dyDescent="0.25">
      <c r="AL1674" s="31"/>
      <c r="AM1674" s="26"/>
      <c r="AN1674" s="32"/>
      <c r="AO1674" s="32"/>
      <c r="AP1674" s="24"/>
      <c r="AQ1674" s="24"/>
      <c r="AR1674" s="33"/>
      <c r="AS1674" s="34"/>
      <c r="AT1674" s="33"/>
      <c r="AV1674" s="21">
        <f>IF(AND($AL1674&lt;&gt;"",COUNTIF($AL$11:$AL1674,$AL1674)=1),1,0)</f>
        <v>0</v>
      </c>
      <c r="AW1674" s="21">
        <f t="shared" si="137"/>
        <v>2</v>
      </c>
      <c r="AX1674" s="21" t="str">
        <f t="shared" si="136"/>
        <v/>
      </c>
      <c r="AY1674" s="21" t="str">
        <f>IF(AND($AM1674&lt;&gt;"",$AS1674&lt;&gt;"✓"),SUMPRODUCT(($AM$11:$AM1674&lt;&gt;"")*($AS$11:$AS1674&lt;&gt;"✓")),"")</f>
        <v/>
      </c>
      <c r="AZ1674" s="21" t="str">
        <f>IF(AND($AM1674&lt;&gt;"",$AS1674="✓"),SUMPRODUCT(($AM$11:$AM1674&lt;&gt;"")*($AS$11:$AS1674="✓")),"")</f>
        <v/>
      </c>
      <c r="BA1674" s="21" t="str">
        <f>IF($AL1674="","",$AL1674&amp;"|"&amp;COUNTIF($AL$11:$AL1674,$AL1674))</f>
        <v/>
      </c>
    </row>
    <row r="1675" spans="38:53" ht="15" customHeight="1" x14ac:dyDescent="0.25">
      <c r="AL1675" s="17"/>
      <c r="AM1675" s="12"/>
      <c r="AN1675" s="18"/>
      <c r="AO1675" s="18"/>
      <c r="AP1675" s="10"/>
      <c r="AQ1675" s="10"/>
      <c r="AR1675" s="19"/>
      <c r="AS1675" s="20"/>
      <c r="AT1675" s="19"/>
      <c r="AV1675" s="21">
        <f>IF(AND($AL1675&lt;&gt;"",COUNTIF($AL$11:$AL1675,$AL1675)=1),1,0)</f>
        <v>0</v>
      </c>
      <c r="AW1675" s="21">
        <f t="shared" si="137"/>
        <v>2</v>
      </c>
      <c r="AX1675" s="21" t="str">
        <f t="shared" ref="AX1675:AX1738" si="138">IF(AV1675=1,AW1675,"")</f>
        <v/>
      </c>
      <c r="AY1675" s="21" t="str">
        <f>IF(AND($AM1675&lt;&gt;"",$AS1675&lt;&gt;"✓"),SUMPRODUCT(($AM$11:$AM1675&lt;&gt;"")*($AS$11:$AS1675&lt;&gt;"✓")),"")</f>
        <v/>
      </c>
      <c r="AZ1675" s="21" t="str">
        <f>IF(AND($AM1675&lt;&gt;"",$AS1675="✓"),SUMPRODUCT(($AM$11:$AM1675&lt;&gt;"")*($AS$11:$AS1675="✓")),"")</f>
        <v/>
      </c>
      <c r="BA1675" s="21" t="str">
        <f>IF($AL1675="","",$AL1675&amp;"|"&amp;COUNTIF($AL$11:$AL1675,$AL1675))</f>
        <v/>
      </c>
    </row>
    <row r="1676" spans="38:53" ht="15" customHeight="1" x14ac:dyDescent="0.25">
      <c r="AL1676" s="31"/>
      <c r="AM1676" s="26"/>
      <c r="AN1676" s="32"/>
      <c r="AO1676" s="32"/>
      <c r="AP1676" s="24"/>
      <c r="AQ1676" s="24"/>
      <c r="AR1676" s="33"/>
      <c r="AS1676" s="34"/>
      <c r="AT1676" s="33"/>
      <c r="AV1676" s="21">
        <f>IF(AND($AL1676&lt;&gt;"",COUNTIF($AL$11:$AL1676,$AL1676)=1),1,0)</f>
        <v>0</v>
      </c>
      <c r="AW1676" s="21">
        <f t="shared" ref="AW1676:AW1739" si="139">AW1675+AV1676</f>
        <v>2</v>
      </c>
      <c r="AX1676" s="21" t="str">
        <f t="shared" si="138"/>
        <v/>
      </c>
      <c r="AY1676" s="21" t="str">
        <f>IF(AND($AM1676&lt;&gt;"",$AS1676&lt;&gt;"✓"),SUMPRODUCT(($AM$11:$AM1676&lt;&gt;"")*($AS$11:$AS1676&lt;&gt;"✓")),"")</f>
        <v/>
      </c>
      <c r="AZ1676" s="21" t="str">
        <f>IF(AND($AM1676&lt;&gt;"",$AS1676="✓"),SUMPRODUCT(($AM$11:$AM1676&lt;&gt;"")*($AS$11:$AS1676="✓")),"")</f>
        <v/>
      </c>
      <c r="BA1676" s="21" t="str">
        <f>IF($AL1676="","",$AL1676&amp;"|"&amp;COUNTIF($AL$11:$AL1676,$AL1676))</f>
        <v/>
      </c>
    </row>
    <row r="1677" spans="38:53" ht="15" customHeight="1" x14ac:dyDescent="0.25">
      <c r="AL1677" s="17"/>
      <c r="AM1677" s="12"/>
      <c r="AN1677" s="18"/>
      <c r="AO1677" s="18"/>
      <c r="AP1677" s="10"/>
      <c r="AQ1677" s="10"/>
      <c r="AR1677" s="19"/>
      <c r="AS1677" s="20"/>
      <c r="AT1677" s="19"/>
      <c r="AV1677" s="21">
        <f>IF(AND($AL1677&lt;&gt;"",COUNTIF($AL$11:$AL1677,$AL1677)=1),1,0)</f>
        <v>0</v>
      </c>
      <c r="AW1677" s="21">
        <f t="shared" si="139"/>
        <v>2</v>
      </c>
      <c r="AX1677" s="21" t="str">
        <f t="shared" si="138"/>
        <v/>
      </c>
      <c r="AY1677" s="21" t="str">
        <f>IF(AND($AM1677&lt;&gt;"",$AS1677&lt;&gt;"✓"),SUMPRODUCT(($AM$11:$AM1677&lt;&gt;"")*($AS$11:$AS1677&lt;&gt;"✓")),"")</f>
        <v/>
      </c>
      <c r="AZ1677" s="21" t="str">
        <f>IF(AND($AM1677&lt;&gt;"",$AS1677="✓"),SUMPRODUCT(($AM$11:$AM1677&lt;&gt;"")*($AS$11:$AS1677="✓")),"")</f>
        <v/>
      </c>
      <c r="BA1677" s="21" t="str">
        <f>IF($AL1677="","",$AL1677&amp;"|"&amp;COUNTIF($AL$11:$AL1677,$AL1677))</f>
        <v/>
      </c>
    </row>
    <row r="1678" spans="38:53" ht="15" customHeight="1" x14ac:dyDescent="0.25">
      <c r="AL1678" s="31"/>
      <c r="AM1678" s="26"/>
      <c r="AN1678" s="32"/>
      <c r="AO1678" s="32"/>
      <c r="AP1678" s="24"/>
      <c r="AQ1678" s="24"/>
      <c r="AR1678" s="33"/>
      <c r="AS1678" s="34"/>
      <c r="AT1678" s="33"/>
      <c r="AV1678" s="21">
        <f>IF(AND($AL1678&lt;&gt;"",COUNTIF($AL$11:$AL1678,$AL1678)=1),1,0)</f>
        <v>0</v>
      </c>
      <c r="AW1678" s="21">
        <f t="shared" si="139"/>
        <v>2</v>
      </c>
      <c r="AX1678" s="21" t="str">
        <f t="shared" si="138"/>
        <v/>
      </c>
      <c r="AY1678" s="21" t="str">
        <f>IF(AND($AM1678&lt;&gt;"",$AS1678&lt;&gt;"✓"),SUMPRODUCT(($AM$11:$AM1678&lt;&gt;"")*($AS$11:$AS1678&lt;&gt;"✓")),"")</f>
        <v/>
      </c>
      <c r="AZ1678" s="21" t="str">
        <f>IF(AND($AM1678&lt;&gt;"",$AS1678="✓"),SUMPRODUCT(($AM$11:$AM1678&lt;&gt;"")*($AS$11:$AS1678="✓")),"")</f>
        <v/>
      </c>
      <c r="BA1678" s="21" t="str">
        <f>IF($AL1678="","",$AL1678&amp;"|"&amp;COUNTIF($AL$11:$AL1678,$AL1678))</f>
        <v/>
      </c>
    </row>
    <row r="1679" spans="38:53" ht="15" customHeight="1" x14ac:dyDescent="0.25">
      <c r="AL1679" s="17"/>
      <c r="AM1679" s="12"/>
      <c r="AN1679" s="18"/>
      <c r="AO1679" s="18"/>
      <c r="AP1679" s="10"/>
      <c r="AQ1679" s="10"/>
      <c r="AR1679" s="19"/>
      <c r="AS1679" s="20"/>
      <c r="AT1679" s="19"/>
      <c r="AV1679" s="21">
        <f>IF(AND($AL1679&lt;&gt;"",COUNTIF($AL$11:$AL1679,$AL1679)=1),1,0)</f>
        <v>0</v>
      </c>
      <c r="AW1679" s="21">
        <f t="shared" si="139"/>
        <v>2</v>
      </c>
      <c r="AX1679" s="21" t="str">
        <f t="shared" si="138"/>
        <v/>
      </c>
      <c r="AY1679" s="21" t="str">
        <f>IF(AND($AM1679&lt;&gt;"",$AS1679&lt;&gt;"✓"),SUMPRODUCT(($AM$11:$AM1679&lt;&gt;"")*($AS$11:$AS1679&lt;&gt;"✓")),"")</f>
        <v/>
      </c>
      <c r="AZ1679" s="21" t="str">
        <f>IF(AND($AM1679&lt;&gt;"",$AS1679="✓"),SUMPRODUCT(($AM$11:$AM1679&lt;&gt;"")*($AS$11:$AS1679="✓")),"")</f>
        <v/>
      </c>
      <c r="BA1679" s="21" t="str">
        <f>IF($AL1679="","",$AL1679&amp;"|"&amp;COUNTIF($AL$11:$AL1679,$AL1679))</f>
        <v/>
      </c>
    </row>
    <row r="1680" spans="38:53" ht="15" customHeight="1" x14ac:dyDescent="0.25">
      <c r="AL1680" s="31"/>
      <c r="AM1680" s="26"/>
      <c r="AN1680" s="32"/>
      <c r="AO1680" s="32"/>
      <c r="AP1680" s="24"/>
      <c r="AQ1680" s="24"/>
      <c r="AR1680" s="33"/>
      <c r="AS1680" s="34"/>
      <c r="AT1680" s="33"/>
      <c r="AV1680" s="21">
        <f>IF(AND($AL1680&lt;&gt;"",COUNTIF($AL$11:$AL1680,$AL1680)=1),1,0)</f>
        <v>0</v>
      </c>
      <c r="AW1680" s="21">
        <f t="shared" si="139"/>
        <v>2</v>
      </c>
      <c r="AX1680" s="21" t="str">
        <f t="shared" si="138"/>
        <v/>
      </c>
      <c r="AY1680" s="21" t="str">
        <f>IF(AND($AM1680&lt;&gt;"",$AS1680&lt;&gt;"✓"),SUMPRODUCT(($AM$11:$AM1680&lt;&gt;"")*($AS$11:$AS1680&lt;&gt;"✓")),"")</f>
        <v/>
      </c>
      <c r="AZ1680" s="21" t="str">
        <f>IF(AND($AM1680&lt;&gt;"",$AS1680="✓"),SUMPRODUCT(($AM$11:$AM1680&lt;&gt;"")*($AS$11:$AS1680="✓")),"")</f>
        <v/>
      </c>
      <c r="BA1680" s="21" t="str">
        <f>IF($AL1680="","",$AL1680&amp;"|"&amp;COUNTIF($AL$11:$AL1680,$AL1680))</f>
        <v/>
      </c>
    </row>
    <row r="1681" spans="38:53" ht="15" customHeight="1" x14ac:dyDescent="0.25">
      <c r="AL1681" s="17"/>
      <c r="AM1681" s="12"/>
      <c r="AN1681" s="18"/>
      <c r="AO1681" s="18"/>
      <c r="AP1681" s="10"/>
      <c r="AQ1681" s="10"/>
      <c r="AR1681" s="19"/>
      <c r="AS1681" s="20"/>
      <c r="AT1681" s="19"/>
      <c r="AV1681" s="21">
        <f>IF(AND($AL1681&lt;&gt;"",COUNTIF($AL$11:$AL1681,$AL1681)=1),1,0)</f>
        <v>0</v>
      </c>
      <c r="AW1681" s="21">
        <f t="shared" si="139"/>
        <v>2</v>
      </c>
      <c r="AX1681" s="21" t="str">
        <f t="shared" si="138"/>
        <v/>
      </c>
      <c r="AY1681" s="21" t="str">
        <f>IF(AND($AM1681&lt;&gt;"",$AS1681&lt;&gt;"✓"),SUMPRODUCT(($AM$11:$AM1681&lt;&gt;"")*($AS$11:$AS1681&lt;&gt;"✓")),"")</f>
        <v/>
      </c>
      <c r="AZ1681" s="21" t="str">
        <f>IF(AND($AM1681&lt;&gt;"",$AS1681="✓"),SUMPRODUCT(($AM$11:$AM1681&lt;&gt;"")*($AS$11:$AS1681="✓")),"")</f>
        <v/>
      </c>
      <c r="BA1681" s="21" t="str">
        <f>IF($AL1681="","",$AL1681&amp;"|"&amp;COUNTIF($AL$11:$AL1681,$AL1681))</f>
        <v/>
      </c>
    </row>
    <row r="1682" spans="38:53" ht="15" customHeight="1" x14ac:dyDescent="0.25">
      <c r="AL1682" s="31"/>
      <c r="AM1682" s="26"/>
      <c r="AN1682" s="32"/>
      <c r="AO1682" s="32"/>
      <c r="AP1682" s="24"/>
      <c r="AQ1682" s="24"/>
      <c r="AR1682" s="33"/>
      <c r="AS1682" s="34"/>
      <c r="AT1682" s="33"/>
      <c r="AV1682" s="21">
        <f>IF(AND($AL1682&lt;&gt;"",COUNTIF($AL$11:$AL1682,$AL1682)=1),1,0)</f>
        <v>0</v>
      </c>
      <c r="AW1682" s="21">
        <f t="shared" si="139"/>
        <v>2</v>
      </c>
      <c r="AX1682" s="21" t="str">
        <f t="shared" si="138"/>
        <v/>
      </c>
      <c r="AY1682" s="21" t="str">
        <f>IF(AND($AM1682&lt;&gt;"",$AS1682&lt;&gt;"✓"),SUMPRODUCT(($AM$11:$AM1682&lt;&gt;"")*($AS$11:$AS1682&lt;&gt;"✓")),"")</f>
        <v/>
      </c>
      <c r="AZ1682" s="21" t="str">
        <f>IF(AND($AM1682&lt;&gt;"",$AS1682="✓"),SUMPRODUCT(($AM$11:$AM1682&lt;&gt;"")*($AS$11:$AS1682="✓")),"")</f>
        <v/>
      </c>
      <c r="BA1682" s="21" t="str">
        <f>IF($AL1682="","",$AL1682&amp;"|"&amp;COUNTIF($AL$11:$AL1682,$AL1682))</f>
        <v/>
      </c>
    </row>
    <row r="1683" spans="38:53" ht="15" customHeight="1" x14ac:dyDescent="0.25">
      <c r="AL1683" s="17"/>
      <c r="AM1683" s="12"/>
      <c r="AN1683" s="18"/>
      <c r="AO1683" s="18"/>
      <c r="AP1683" s="10"/>
      <c r="AQ1683" s="10"/>
      <c r="AR1683" s="19"/>
      <c r="AS1683" s="20"/>
      <c r="AT1683" s="19"/>
      <c r="AV1683" s="21">
        <f>IF(AND($AL1683&lt;&gt;"",COUNTIF($AL$11:$AL1683,$AL1683)=1),1,0)</f>
        <v>0</v>
      </c>
      <c r="AW1683" s="21">
        <f t="shared" si="139"/>
        <v>2</v>
      </c>
      <c r="AX1683" s="21" t="str">
        <f t="shared" si="138"/>
        <v/>
      </c>
      <c r="AY1683" s="21" t="str">
        <f>IF(AND($AM1683&lt;&gt;"",$AS1683&lt;&gt;"✓"),SUMPRODUCT(($AM$11:$AM1683&lt;&gt;"")*($AS$11:$AS1683&lt;&gt;"✓")),"")</f>
        <v/>
      </c>
      <c r="AZ1683" s="21" t="str">
        <f>IF(AND($AM1683&lt;&gt;"",$AS1683="✓"),SUMPRODUCT(($AM$11:$AM1683&lt;&gt;"")*($AS$11:$AS1683="✓")),"")</f>
        <v/>
      </c>
      <c r="BA1683" s="21" t="str">
        <f>IF($AL1683="","",$AL1683&amp;"|"&amp;COUNTIF($AL$11:$AL1683,$AL1683))</f>
        <v/>
      </c>
    </row>
    <row r="1684" spans="38:53" ht="15" customHeight="1" x14ac:dyDescent="0.25">
      <c r="AL1684" s="31"/>
      <c r="AM1684" s="26"/>
      <c r="AN1684" s="32"/>
      <c r="AO1684" s="32"/>
      <c r="AP1684" s="24"/>
      <c r="AQ1684" s="24"/>
      <c r="AR1684" s="33"/>
      <c r="AS1684" s="34"/>
      <c r="AT1684" s="33"/>
      <c r="AV1684" s="21">
        <f>IF(AND($AL1684&lt;&gt;"",COUNTIF($AL$11:$AL1684,$AL1684)=1),1,0)</f>
        <v>0</v>
      </c>
      <c r="AW1684" s="21">
        <f t="shared" si="139"/>
        <v>2</v>
      </c>
      <c r="AX1684" s="21" t="str">
        <f t="shared" si="138"/>
        <v/>
      </c>
      <c r="AY1684" s="21" t="str">
        <f>IF(AND($AM1684&lt;&gt;"",$AS1684&lt;&gt;"✓"),SUMPRODUCT(($AM$11:$AM1684&lt;&gt;"")*($AS$11:$AS1684&lt;&gt;"✓")),"")</f>
        <v/>
      </c>
      <c r="AZ1684" s="21" t="str">
        <f>IF(AND($AM1684&lt;&gt;"",$AS1684="✓"),SUMPRODUCT(($AM$11:$AM1684&lt;&gt;"")*($AS$11:$AS1684="✓")),"")</f>
        <v/>
      </c>
      <c r="BA1684" s="21" t="str">
        <f>IF($AL1684="","",$AL1684&amp;"|"&amp;COUNTIF($AL$11:$AL1684,$AL1684))</f>
        <v/>
      </c>
    </row>
    <row r="1685" spans="38:53" ht="15" customHeight="1" x14ac:dyDescent="0.25">
      <c r="AL1685" s="17"/>
      <c r="AM1685" s="12"/>
      <c r="AN1685" s="18"/>
      <c r="AO1685" s="18"/>
      <c r="AP1685" s="10"/>
      <c r="AQ1685" s="10"/>
      <c r="AR1685" s="19"/>
      <c r="AS1685" s="20"/>
      <c r="AT1685" s="19"/>
      <c r="AV1685" s="21">
        <f>IF(AND($AL1685&lt;&gt;"",COUNTIF($AL$11:$AL1685,$AL1685)=1),1,0)</f>
        <v>0</v>
      </c>
      <c r="AW1685" s="21">
        <f t="shared" si="139"/>
        <v>2</v>
      </c>
      <c r="AX1685" s="21" t="str">
        <f t="shared" si="138"/>
        <v/>
      </c>
      <c r="AY1685" s="21" t="str">
        <f>IF(AND($AM1685&lt;&gt;"",$AS1685&lt;&gt;"✓"),SUMPRODUCT(($AM$11:$AM1685&lt;&gt;"")*($AS$11:$AS1685&lt;&gt;"✓")),"")</f>
        <v/>
      </c>
      <c r="AZ1685" s="21" t="str">
        <f>IF(AND($AM1685&lt;&gt;"",$AS1685="✓"),SUMPRODUCT(($AM$11:$AM1685&lt;&gt;"")*($AS$11:$AS1685="✓")),"")</f>
        <v/>
      </c>
      <c r="BA1685" s="21" t="str">
        <f>IF($AL1685="","",$AL1685&amp;"|"&amp;COUNTIF($AL$11:$AL1685,$AL1685))</f>
        <v/>
      </c>
    </row>
    <row r="1686" spans="38:53" ht="15" customHeight="1" x14ac:dyDescent="0.25">
      <c r="AL1686" s="31"/>
      <c r="AM1686" s="26"/>
      <c r="AN1686" s="32"/>
      <c r="AO1686" s="32"/>
      <c r="AP1686" s="24"/>
      <c r="AQ1686" s="24"/>
      <c r="AR1686" s="33"/>
      <c r="AS1686" s="34"/>
      <c r="AT1686" s="33"/>
      <c r="AV1686" s="21">
        <f>IF(AND($AL1686&lt;&gt;"",COUNTIF($AL$11:$AL1686,$AL1686)=1),1,0)</f>
        <v>0</v>
      </c>
      <c r="AW1686" s="21">
        <f t="shared" si="139"/>
        <v>2</v>
      </c>
      <c r="AX1686" s="21" t="str">
        <f t="shared" si="138"/>
        <v/>
      </c>
      <c r="AY1686" s="21" t="str">
        <f>IF(AND($AM1686&lt;&gt;"",$AS1686&lt;&gt;"✓"),SUMPRODUCT(($AM$11:$AM1686&lt;&gt;"")*($AS$11:$AS1686&lt;&gt;"✓")),"")</f>
        <v/>
      </c>
      <c r="AZ1686" s="21" t="str">
        <f>IF(AND($AM1686&lt;&gt;"",$AS1686="✓"),SUMPRODUCT(($AM$11:$AM1686&lt;&gt;"")*($AS$11:$AS1686="✓")),"")</f>
        <v/>
      </c>
      <c r="BA1686" s="21" t="str">
        <f>IF($AL1686="","",$AL1686&amp;"|"&amp;COUNTIF($AL$11:$AL1686,$AL1686))</f>
        <v/>
      </c>
    </row>
    <row r="1687" spans="38:53" ht="15" customHeight="1" x14ac:dyDescent="0.25">
      <c r="AL1687" s="17"/>
      <c r="AM1687" s="12"/>
      <c r="AN1687" s="18"/>
      <c r="AO1687" s="18"/>
      <c r="AP1687" s="10"/>
      <c r="AQ1687" s="10"/>
      <c r="AR1687" s="19"/>
      <c r="AS1687" s="20"/>
      <c r="AT1687" s="19"/>
      <c r="AV1687" s="21">
        <f>IF(AND($AL1687&lt;&gt;"",COUNTIF($AL$11:$AL1687,$AL1687)=1),1,0)</f>
        <v>0</v>
      </c>
      <c r="AW1687" s="21">
        <f t="shared" si="139"/>
        <v>2</v>
      </c>
      <c r="AX1687" s="21" t="str">
        <f t="shared" si="138"/>
        <v/>
      </c>
      <c r="AY1687" s="21" t="str">
        <f>IF(AND($AM1687&lt;&gt;"",$AS1687&lt;&gt;"✓"),SUMPRODUCT(($AM$11:$AM1687&lt;&gt;"")*($AS$11:$AS1687&lt;&gt;"✓")),"")</f>
        <v/>
      </c>
      <c r="AZ1687" s="21" t="str">
        <f>IF(AND($AM1687&lt;&gt;"",$AS1687="✓"),SUMPRODUCT(($AM$11:$AM1687&lt;&gt;"")*($AS$11:$AS1687="✓")),"")</f>
        <v/>
      </c>
      <c r="BA1687" s="21" t="str">
        <f>IF($AL1687="","",$AL1687&amp;"|"&amp;COUNTIF($AL$11:$AL1687,$AL1687))</f>
        <v/>
      </c>
    </row>
    <row r="1688" spans="38:53" ht="15" customHeight="1" x14ac:dyDescent="0.25">
      <c r="AL1688" s="31"/>
      <c r="AM1688" s="26"/>
      <c r="AN1688" s="32"/>
      <c r="AO1688" s="32"/>
      <c r="AP1688" s="24"/>
      <c r="AQ1688" s="24"/>
      <c r="AR1688" s="33"/>
      <c r="AS1688" s="34"/>
      <c r="AT1688" s="33"/>
      <c r="AV1688" s="21">
        <f>IF(AND($AL1688&lt;&gt;"",COUNTIF($AL$11:$AL1688,$AL1688)=1),1,0)</f>
        <v>0</v>
      </c>
      <c r="AW1688" s="21">
        <f t="shared" si="139"/>
        <v>2</v>
      </c>
      <c r="AX1688" s="21" t="str">
        <f t="shared" si="138"/>
        <v/>
      </c>
      <c r="AY1688" s="21" t="str">
        <f>IF(AND($AM1688&lt;&gt;"",$AS1688&lt;&gt;"✓"),SUMPRODUCT(($AM$11:$AM1688&lt;&gt;"")*($AS$11:$AS1688&lt;&gt;"✓")),"")</f>
        <v/>
      </c>
      <c r="AZ1688" s="21" t="str">
        <f>IF(AND($AM1688&lt;&gt;"",$AS1688="✓"),SUMPRODUCT(($AM$11:$AM1688&lt;&gt;"")*($AS$11:$AS1688="✓")),"")</f>
        <v/>
      </c>
      <c r="BA1688" s="21" t="str">
        <f>IF($AL1688="","",$AL1688&amp;"|"&amp;COUNTIF($AL$11:$AL1688,$AL1688))</f>
        <v/>
      </c>
    </row>
    <row r="1689" spans="38:53" ht="15" customHeight="1" x14ac:dyDescent="0.25">
      <c r="AL1689" s="17"/>
      <c r="AM1689" s="12"/>
      <c r="AN1689" s="18"/>
      <c r="AO1689" s="18"/>
      <c r="AP1689" s="10"/>
      <c r="AQ1689" s="10"/>
      <c r="AR1689" s="19"/>
      <c r="AS1689" s="20"/>
      <c r="AT1689" s="19"/>
      <c r="AV1689" s="21">
        <f>IF(AND($AL1689&lt;&gt;"",COUNTIF($AL$11:$AL1689,$AL1689)=1),1,0)</f>
        <v>0</v>
      </c>
      <c r="AW1689" s="21">
        <f t="shared" si="139"/>
        <v>2</v>
      </c>
      <c r="AX1689" s="21" t="str">
        <f t="shared" si="138"/>
        <v/>
      </c>
      <c r="AY1689" s="21" t="str">
        <f>IF(AND($AM1689&lt;&gt;"",$AS1689&lt;&gt;"✓"),SUMPRODUCT(($AM$11:$AM1689&lt;&gt;"")*($AS$11:$AS1689&lt;&gt;"✓")),"")</f>
        <v/>
      </c>
      <c r="AZ1689" s="21" t="str">
        <f>IF(AND($AM1689&lt;&gt;"",$AS1689="✓"),SUMPRODUCT(($AM$11:$AM1689&lt;&gt;"")*($AS$11:$AS1689="✓")),"")</f>
        <v/>
      </c>
      <c r="BA1689" s="21" t="str">
        <f>IF($AL1689="","",$AL1689&amp;"|"&amp;COUNTIF($AL$11:$AL1689,$AL1689))</f>
        <v/>
      </c>
    </row>
    <row r="1690" spans="38:53" ht="15" customHeight="1" x14ac:dyDescent="0.25">
      <c r="AL1690" s="31"/>
      <c r="AM1690" s="26"/>
      <c r="AN1690" s="32"/>
      <c r="AO1690" s="32"/>
      <c r="AP1690" s="24"/>
      <c r="AQ1690" s="24"/>
      <c r="AR1690" s="33"/>
      <c r="AS1690" s="34"/>
      <c r="AT1690" s="33"/>
      <c r="AV1690" s="21">
        <f>IF(AND($AL1690&lt;&gt;"",COUNTIF($AL$11:$AL1690,$AL1690)=1),1,0)</f>
        <v>0</v>
      </c>
      <c r="AW1690" s="21">
        <f t="shared" si="139"/>
        <v>2</v>
      </c>
      <c r="AX1690" s="21" t="str">
        <f t="shared" si="138"/>
        <v/>
      </c>
      <c r="AY1690" s="21" t="str">
        <f>IF(AND($AM1690&lt;&gt;"",$AS1690&lt;&gt;"✓"),SUMPRODUCT(($AM$11:$AM1690&lt;&gt;"")*($AS$11:$AS1690&lt;&gt;"✓")),"")</f>
        <v/>
      </c>
      <c r="AZ1690" s="21" t="str">
        <f>IF(AND($AM1690&lt;&gt;"",$AS1690="✓"),SUMPRODUCT(($AM$11:$AM1690&lt;&gt;"")*($AS$11:$AS1690="✓")),"")</f>
        <v/>
      </c>
      <c r="BA1690" s="21" t="str">
        <f>IF($AL1690="","",$AL1690&amp;"|"&amp;COUNTIF($AL$11:$AL1690,$AL1690))</f>
        <v/>
      </c>
    </row>
    <row r="1691" spans="38:53" ht="15" customHeight="1" x14ac:dyDescent="0.25">
      <c r="AL1691" s="17"/>
      <c r="AM1691" s="12"/>
      <c r="AN1691" s="18"/>
      <c r="AO1691" s="18"/>
      <c r="AP1691" s="10"/>
      <c r="AQ1691" s="10"/>
      <c r="AR1691" s="19"/>
      <c r="AS1691" s="20"/>
      <c r="AT1691" s="19"/>
      <c r="AV1691" s="21">
        <f>IF(AND($AL1691&lt;&gt;"",COUNTIF($AL$11:$AL1691,$AL1691)=1),1,0)</f>
        <v>0</v>
      </c>
      <c r="AW1691" s="21">
        <f t="shared" si="139"/>
        <v>2</v>
      </c>
      <c r="AX1691" s="21" t="str">
        <f t="shared" si="138"/>
        <v/>
      </c>
      <c r="AY1691" s="21" t="str">
        <f>IF(AND($AM1691&lt;&gt;"",$AS1691&lt;&gt;"✓"),SUMPRODUCT(($AM$11:$AM1691&lt;&gt;"")*($AS$11:$AS1691&lt;&gt;"✓")),"")</f>
        <v/>
      </c>
      <c r="AZ1691" s="21" t="str">
        <f>IF(AND($AM1691&lt;&gt;"",$AS1691="✓"),SUMPRODUCT(($AM$11:$AM1691&lt;&gt;"")*($AS$11:$AS1691="✓")),"")</f>
        <v/>
      </c>
      <c r="BA1691" s="21" t="str">
        <f>IF($AL1691="","",$AL1691&amp;"|"&amp;COUNTIF($AL$11:$AL1691,$AL1691))</f>
        <v/>
      </c>
    </row>
    <row r="1692" spans="38:53" ht="15" customHeight="1" x14ac:dyDescent="0.25">
      <c r="AL1692" s="31"/>
      <c r="AM1692" s="26"/>
      <c r="AN1692" s="32"/>
      <c r="AO1692" s="32"/>
      <c r="AP1692" s="24"/>
      <c r="AQ1692" s="24"/>
      <c r="AR1692" s="33"/>
      <c r="AS1692" s="34"/>
      <c r="AT1692" s="33"/>
      <c r="AV1692" s="21">
        <f>IF(AND($AL1692&lt;&gt;"",COUNTIF($AL$11:$AL1692,$AL1692)=1),1,0)</f>
        <v>0</v>
      </c>
      <c r="AW1692" s="21">
        <f t="shared" si="139"/>
        <v>2</v>
      </c>
      <c r="AX1692" s="21" t="str">
        <f t="shared" si="138"/>
        <v/>
      </c>
      <c r="AY1692" s="21" t="str">
        <f>IF(AND($AM1692&lt;&gt;"",$AS1692&lt;&gt;"✓"),SUMPRODUCT(($AM$11:$AM1692&lt;&gt;"")*($AS$11:$AS1692&lt;&gt;"✓")),"")</f>
        <v/>
      </c>
      <c r="AZ1692" s="21" t="str">
        <f>IF(AND($AM1692&lt;&gt;"",$AS1692="✓"),SUMPRODUCT(($AM$11:$AM1692&lt;&gt;"")*($AS$11:$AS1692="✓")),"")</f>
        <v/>
      </c>
      <c r="BA1692" s="21" t="str">
        <f>IF($AL1692="","",$AL1692&amp;"|"&amp;COUNTIF($AL$11:$AL1692,$AL1692))</f>
        <v/>
      </c>
    </row>
    <row r="1693" spans="38:53" ht="15" customHeight="1" x14ac:dyDescent="0.25">
      <c r="AL1693" s="17"/>
      <c r="AM1693" s="12"/>
      <c r="AN1693" s="18"/>
      <c r="AO1693" s="18"/>
      <c r="AP1693" s="10"/>
      <c r="AQ1693" s="10"/>
      <c r="AR1693" s="19"/>
      <c r="AS1693" s="20"/>
      <c r="AT1693" s="19"/>
      <c r="AV1693" s="21">
        <f>IF(AND($AL1693&lt;&gt;"",COUNTIF($AL$11:$AL1693,$AL1693)=1),1,0)</f>
        <v>0</v>
      </c>
      <c r="AW1693" s="21">
        <f t="shared" si="139"/>
        <v>2</v>
      </c>
      <c r="AX1693" s="21" t="str">
        <f t="shared" si="138"/>
        <v/>
      </c>
      <c r="AY1693" s="21" t="str">
        <f>IF(AND($AM1693&lt;&gt;"",$AS1693&lt;&gt;"✓"),SUMPRODUCT(($AM$11:$AM1693&lt;&gt;"")*($AS$11:$AS1693&lt;&gt;"✓")),"")</f>
        <v/>
      </c>
      <c r="AZ1693" s="21" t="str">
        <f>IF(AND($AM1693&lt;&gt;"",$AS1693="✓"),SUMPRODUCT(($AM$11:$AM1693&lt;&gt;"")*($AS$11:$AS1693="✓")),"")</f>
        <v/>
      </c>
      <c r="BA1693" s="21" t="str">
        <f>IF($AL1693="","",$AL1693&amp;"|"&amp;COUNTIF($AL$11:$AL1693,$AL1693))</f>
        <v/>
      </c>
    </row>
    <row r="1694" spans="38:53" ht="15" customHeight="1" x14ac:dyDescent="0.25">
      <c r="AL1694" s="31"/>
      <c r="AM1694" s="26"/>
      <c r="AN1694" s="32"/>
      <c r="AO1694" s="32"/>
      <c r="AP1694" s="24"/>
      <c r="AQ1694" s="24"/>
      <c r="AR1694" s="33"/>
      <c r="AS1694" s="34"/>
      <c r="AT1694" s="33"/>
      <c r="AV1694" s="21">
        <f>IF(AND($AL1694&lt;&gt;"",COUNTIF($AL$11:$AL1694,$AL1694)=1),1,0)</f>
        <v>0</v>
      </c>
      <c r="AW1694" s="21">
        <f t="shared" si="139"/>
        <v>2</v>
      </c>
      <c r="AX1694" s="21" t="str">
        <f t="shared" si="138"/>
        <v/>
      </c>
      <c r="AY1694" s="21" t="str">
        <f>IF(AND($AM1694&lt;&gt;"",$AS1694&lt;&gt;"✓"),SUMPRODUCT(($AM$11:$AM1694&lt;&gt;"")*($AS$11:$AS1694&lt;&gt;"✓")),"")</f>
        <v/>
      </c>
      <c r="AZ1694" s="21" t="str">
        <f>IF(AND($AM1694&lt;&gt;"",$AS1694="✓"),SUMPRODUCT(($AM$11:$AM1694&lt;&gt;"")*($AS$11:$AS1694="✓")),"")</f>
        <v/>
      </c>
      <c r="BA1694" s="21" t="str">
        <f>IF($AL1694="","",$AL1694&amp;"|"&amp;COUNTIF($AL$11:$AL1694,$AL1694))</f>
        <v/>
      </c>
    </row>
    <row r="1695" spans="38:53" ht="15" customHeight="1" x14ac:dyDescent="0.25">
      <c r="AL1695" s="17"/>
      <c r="AM1695" s="12"/>
      <c r="AN1695" s="18"/>
      <c r="AO1695" s="18"/>
      <c r="AP1695" s="10"/>
      <c r="AQ1695" s="10"/>
      <c r="AR1695" s="19"/>
      <c r="AS1695" s="20"/>
      <c r="AT1695" s="19"/>
      <c r="AV1695" s="21">
        <f>IF(AND($AL1695&lt;&gt;"",COUNTIF($AL$11:$AL1695,$AL1695)=1),1,0)</f>
        <v>0</v>
      </c>
      <c r="AW1695" s="21">
        <f t="shared" si="139"/>
        <v>2</v>
      </c>
      <c r="AX1695" s="21" t="str">
        <f t="shared" si="138"/>
        <v/>
      </c>
      <c r="AY1695" s="21" t="str">
        <f>IF(AND($AM1695&lt;&gt;"",$AS1695&lt;&gt;"✓"),SUMPRODUCT(($AM$11:$AM1695&lt;&gt;"")*($AS$11:$AS1695&lt;&gt;"✓")),"")</f>
        <v/>
      </c>
      <c r="AZ1695" s="21" t="str">
        <f>IF(AND($AM1695&lt;&gt;"",$AS1695="✓"),SUMPRODUCT(($AM$11:$AM1695&lt;&gt;"")*($AS$11:$AS1695="✓")),"")</f>
        <v/>
      </c>
      <c r="BA1695" s="21" t="str">
        <f>IF($AL1695="","",$AL1695&amp;"|"&amp;COUNTIF($AL$11:$AL1695,$AL1695))</f>
        <v/>
      </c>
    </row>
    <row r="1696" spans="38:53" ht="15" customHeight="1" x14ac:dyDescent="0.25">
      <c r="AL1696" s="31"/>
      <c r="AM1696" s="26"/>
      <c r="AN1696" s="32"/>
      <c r="AO1696" s="32"/>
      <c r="AP1696" s="24"/>
      <c r="AQ1696" s="24"/>
      <c r="AR1696" s="33"/>
      <c r="AS1696" s="34"/>
      <c r="AT1696" s="33"/>
      <c r="AV1696" s="21">
        <f>IF(AND($AL1696&lt;&gt;"",COUNTIF($AL$11:$AL1696,$AL1696)=1),1,0)</f>
        <v>0</v>
      </c>
      <c r="AW1696" s="21">
        <f t="shared" si="139"/>
        <v>2</v>
      </c>
      <c r="AX1696" s="21" t="str">
        <f t="shared" si="138"/>
        <v/>
      </c>
      <c r="AY1696" s="21" t="str">
        <f>IF(AND($AM1696&lt;&gt;"",$AS1696&lt;&gt;"✓"),SUMPRODUCT(($AM$11:$AM1696&lt;&gt;"")*($AS$11:$AS1696&lt;&gt;"✓")),"")</f>
        <v/>
      </c>
      <c r="AZ1696" s="21" t="str">
        <f>IF(AND($AM1696&lt;&gt;"",$AS1696="✓"),SUMPRODUCT(($AM$11:$AM1696&lt;&gt;"")*($AS$11:$AS1696="✓")),"")</f>
        <v/>
      </c>
      <c r="BA1696" s="21" t="str">
        <f>IF($AL1696="","",$AL1696&amp;"|"&amp;COUNTIF($AL$11:$AL1696,$AL1696))</f>
        <v/>
      </c>
    </row>
    <row r="1697" spans="38:53" ht="15" customHeight="1" x14ac:dyDescent="0.25">
      <c r="AL1697" s="17"/>
      <c r="AM1697" s="12"/>
      <c r="AN1697" s="18"/>
      <c r="AO1697" s="18"/>
      <c r="AP1697" s="10"/>
      <c r="AQ1697" s="10"/>
      <c r="AR1697" s="19"/>
      <c r="AS1697" s="20"/>
      <c r="AT1697" s="19"/>
      <c r="AV1697" s="21">
        <f>IF(AND($AL1697&lt;&gt;"",COUNTIF($AL$11:$AL1697,$AL1697)=1),1,0)</f>
        <v>0</v>
      </c>
      <c r="AW1697" s="21">
        <f t="shared" si="139"/>
        <v>2</v>
      </c>
      <c r="AX1697" s="21" t="str">
        <f t="shared" si="138"/>
        <v/>
      </c>
      <c r="AY1697" s="21" t="str">
        <f>IF(AND($AM1697&lt;&gt;"",$AS1697&lt;&gt;"✓"),SUMPRODUCT(($AM$11:$AM1697&lt;&gt;"")*($AS$11:$AS1697&lt;&gt;"✓")),"")</f>
        <v/>
      </c>
      <c r="AZ1697" s="21" t="str">
        <f>IF(AND($AM1697&lt;&gt;"",$AS1697="✓"),SUMPRODUCT(($AM$11:$AM1697&lt;&gt;"")*($AS$11:$AS1697="✓")),"")</f>
        <v/>
      </c>
      <c r="BA1697" s="21" t="str">
        <f>IF($AL1697="","",$AL1697&amp;"|"&amp;COUNTIF($AL$11:$AL1697,$AL1697))</f>
        <v/>
      </c>
    </row>
    <row r="1698" spans="38:53" ht="15" customHeight="1" x14ac:dyDescent="0.25">
      <c r="AL1698" s="31"/>
      <c r="AM1698" s="26"/>
      <c r="AN1698" s="32"/>
      <c r="AO1698" s="32"/>
      <c r="AP1698" s="24"/>
      <c r="AQ1698" s="24"/>
      <c r="AR1698" s="33"/>
      <c r="AS1698" s="34"/>
      <c r="AT1698" s="33"/>
      <c r="AV1698" s="21">
        <f>IF(AND($AL1698&lt;&gt;"",COUNTIF($AL$11:$AL1698,$AL1698)=1),1,0)</f>
        <v>0</v>
      </c>
      <c r="AW1698" s="21">
        <f t="shared" si="139"/>
        <v>2</v>
      </c>
      <c r="AX1698" s="21" t="str">
        <f t="shared" si="138"/>
        <v/>
      </c>
      <c r="AY1698" s="21" t="str">
        <f>IF(AND($AM1698&lt;&gt;"",$AS1698&lt;&gt;"✓"),SUMPRODUCT(($AM$11:$AM1698&lt;&gt;"")*($AS$11:$AS1698&lt;&gt;"✓")),"")</f>
        <v/>
      </c>
      <c r="AZ1698" s="21" t="str">
        <f>IF(AND($AM1698&lt;&gt;"",$AS1698="✓"),SUMPRODUCT(($AM$11:$AM1698&lt;&gt;"")*($AS$11:$AS1698="✓")),"")</f>
        <v/>
      </c>
      <c r="BA1698" s="21" t="str">
        <f>IF($AL1698="","",$AL1698&amp;"|"&amp;COUNTIF($AL$11:$AL1698,$AL1698))</f>
        <v/>
      </c>
    </row>
    <row r="1699" spans="38:53" ht="15" customHeight="1" x14ac:dyDescent="0.25">
      <c r="AL1699" s="17"/>
      <c r="AM1699" s="12"/>
      <c r="AN1699" s="18"/>
      <c r="AO1699" s="18"/>
      <c r="AP1699" s="10"/>
      <c r="AQ1699" s="10"/>
      <c r="AR1699" s="19"/>
      <c r="AS1699" s="20"/>
      <c r="AT1699" s="19"/>
      <c r="AV1699" s="21">
        <f>IF(AND($AL1699&lt;&gt;"",COUNTIF($AL$11:$AL1699,$AL1699)=1),1,0)</f>
        <v>0</v>
      </c>
      <c r="AW1699" s="21">
        <f t="shared" si="139"/>
        <v>2</v>
      </c>
      <c r="AX1699" s="21" t="str">
        <f t="shared" si="138"/>
        <v/>
      </c>
      <c r="AY1699" s="21" t="str">
        <f>IF(AND($AM1699&lt;&gt;"",$AS1699&lt;&gt;"✓"),SUMPRODUCT(($AM$11:$AM1699&lt;&gt;"")*($AS$11:$AS1699&lt;&gt;"✓")),"")</f>
        <v/>
      </c>
      <c r="AZ1699" s="21" t="str">
        <f>IF(AND($AM1699&lt;&gt;"",$AS1699="✓"),SUMPRODUCT(($AM$11:$AM1699&lt;&gt;"")*($AS$11:$AS1699="✓")),"")</f>
        <v/>
      </c>
      <c r="BA1699" s="21" t="str">
        <f>IF($AL1699="","",$AL1699&amp;"|"&amp;COUNTIF($AL$11:$AL1699,$AL1699))</f>
        <v/>
      </c>
    </row>
    <row r="1700" spans="38:53" ht="15" customHeight="1" x14ac:dyDescent="0.25">
      <c r="AL1700" s="31"/>
      <c r="AM1700" s="26"/>
      <c r="AN1700" s="32"/>
      <c r="AO1700" s="32"/>
      <c r="AP1700" s="24"/>
      <c r="AQ1700" s="24"/>
      <c r="AR1700" s="33"/>
      <c r="AS1700" s="34"/>
      <c r="AT1700" s="33"/>
      <c r="AV1700" s="21">
        <f>IF(AND($AL1700&lt;&gt;"",COUNTIF($AL$11:$AL1700,$AL1700)=1),1,0)</f>
        <v>0</v>
      </c>
      <c r="AW1700" s="21">
        <f t="shared" si="139"/>
        <v>2</v>
      </c>
      <c r="AX1700" s="21" t="str">
        <f t="shared" si="138"/>
        <v/>
      </c>
      <c r="AY1700" s="21" t="str">
        <f>IF(AND($AM1700&lt;&gt;"",$AS1700&lt;&gt;"✓"),SUMPRODUCT(($AM$11:$AM1700&lt;&gt;"")*($AS$11:$AS1700&lt;&gt;"✓")),"")</f>
        <v/>
      </c>
      <c r="AZ1700" s="21" t="str">
        <f>IF(AND($AM1700&lt;&gt;"",$AS1700="✓"),SUMPRODUCT(($AM$11:$AM1700&lt;&gt;"")*($AS$11:$AS1700="✓")),"")</f>
        <v/>
      </c>
      <c r="BA1700" s="21" t="str">
        <f>IF($AL1700="","",$AL1700&amp;"|"&amp;COUNTIF($AL$11:$AL1700,$AL1700))</f>
        <v/>
      </c>
    </row>
    <row r="1701" spans="38:53" ht="15" customHeight="1" x14ac:dyDescent="0.25">
      <c r="AL1701" s="17"/>
      <c r="AM1701" s="12"/>
      <c r="AN1701" s="18"/>
      <c r="AO1701" s="18"/>
      <c r="AP1701" s="10"/>
      <c r="AQ1701" s="10"/>
      <c r="AR1701" s="19"/>
      <c r="AS1701" s="20"/>
      <c r="AT1701" s="19"/>
      <c r="AV1701" s="21">
        <f>IF(AND($AL1701&lt;&gt;"",COUNTIF($AL$11:$AL1701,$AL1701)=1),1,0)</f>
        <v>0</v>
      </c>
      <c r="AW1701" s="21">
        <f t="shared" si="139"/>
        <v>2</v>
      </c>
      <c r="AX1701" s="21" t="str">
        <f t="shared" si="138"/>
        <v/>
      </c>
      <c r="AY1701" s="21" t="str">
        <f>IF(AND($AM1701&lt;&gt;"",$AS1701&lt;&gt;"✓"),SUMPRODUCT(($AM$11:$AM1701&lt;&gt;"")*($AS$11:$AS1701&lt;&gt;"✓")),"")</f>
        <v/>
      </c>
      <c r="AZ1701" s="21" t="str">
        <f>IF(AND($AM1701&lt;&gt;"",$AS1701="✓"),SUMPRODUCT(($AM$11:$AM1701&lt;&gt;"")*($AS$11:$AS1701="✓")),"")</f>
        <v/>
      </c>
      <c r="BA1701" s="21" t="str">
        <f>IF($AL1701="","",$AL1701&amp;"|"&amp;COUNTIF($AL$11:$AL1701,$AL1701))</f>
        <v/>
      </c>
    </row>
    <row r="1702" spans="38:53" ht="15" customHeight="1" x14ac:dyDescent="0.25">
      <c r="AL1702" s="31"/>
      <c r="AM1702" s="26"/>
      <c r="AN1702" s="32"/>
      <c r="AO1702" s="32"/>
      <c r="AP1702" s="24"/>
      <c r="AQ1702" s="24"/>
      <c r="AR1702" s="33"/>
      <c r="AS1702" s="34"/>
      <c r="AT1702" s="33"/>
      <c r="AV1702" s="21">
        <f>IF(AND($AL1702&lt;&gt;"",COUNTIF($AL$11:$AL1702,$AL1702)=1),1,0)</f>
        <v>0</v>
      </c>
      <c r="AW1702" s="21">
        <f t="shared" si="139"/>
        <v>2</v>
      </c>
      <c r="AX1702" s="21" t="str">
        <f t="shared" si="138"/>
        <v/>
      </c>
      <c r="AY1702" s="21" t="str">
        <f>IF(AND($AM1702&lt;&gt;"",$AS1702&lt;&gt;"✓"),SUMPRODUCT(($AM$11:$AM1702&lt;&gt;"")*($AS$11:$AS1702&lt;&gt;"✓")),"")</f>
        <v/>
      </c>
      <c r="AZ1702" s="21" t="str">
        <f>IF(AND($AM1702&lt;&gt;"",$AS1702="✓"),SUMPRODUCT(($AM$11:$AM1702&lt;&gt;"")*($AS$11:$AS1702="✓")),"")</f>
        <v/>
      </c>
      <c r="BA1702" s="21" t="str">
        <f>IF($AL1702="","",$AL1702&amp;"|"&amp;COUNTIF($AL$11:$AL1702,$AL1702))</f>
        <v/>
      </c>
    </row>
    <row r="1703" spans="38:53" ht="15" customHeight="1" x14ac:dyDescent="0.25">
      <c r="AL1703" s="17"/>
      <c r="AM1703" s="12"/>
      <c r="AN1703" s="18"/>
      <c r="AO1703" s="18"/>
      <c r="AP1703" s="10"/>
      <c r="AQ1703" s="10"/>
      <c r="AR1703" s="19"/>
      <c r="AS1703" s="20"/>
      <c r="AT1703" s="19"/>
      <c r="AV1703" s="21">
        <f>IF(AND($AL1703&lt;&gt;"",COUNTIF($AL$11:$AL1703,$AL1703)=1),1,0)</f>
        <v>0</v>
      </c>
      <c r="AW1703" s="21">
        <f t="shared" si="139"/>
        <v>2</v>
      </c>
      <c r="AX1703" s="21" t="str">
        <f t="shared" si="138"/>
        <v/>
      </c>
      <c r="AY1703" s="21" t="str">
        <f>IF(AND($AM1703&lt;&gt;"",$AS1703&lt;&gt;"✓"),SUMPRODUCT(($AM$11:$AM1703&lt;&gt;"")*($AS$11:$AS1703&lt;&gt;"✓")),"")</f>
        <v/>
      </c>
      <c r="AZ1703" s="21" t="str">
        <f>IF(AND($AM1703&lt;&gt;"",$AS1703="✓"),SUMPRODUCT(($AM$11:$AM1703&lt;&gt;"")*($AS$11:$AS1703="✓")),"")</f>
        <v/>
      </c>
      <c r="BA1703" s="21" t="str">
        <f>IF($AL1703="","",$AL1703&amp;"|"&amp;COUNTIF($AL$11:$AL1703,$AL1703))</f>
        <v/>
      </c>
    </row>
    <row r="1704" spans="38:53" ht="15" customHeight="1" x14ac:dyDescent="0.25">
      <c r="AL1704" s="31"/>
      <c r="AM1704" s="26"/>
      <c r="AN1704" s="32"/>
      <c r="AO1704" s="32"/>
      <c r="AP1704" s="24"/>
      <c r="AQ1704" s="24"/>
      <c r="AR1704" s="33"/>
      <c r="AS1704" s="34"/>
      <c r="AT1704" s="33"/>
      <c r="AV1704" s="21">
        <f>IF(AND($AL1704&lt;&gt;"",COUNTIF($AL$11:$AL1704,$AL1704)=1),1,0)</f>
        <v>0</v>
      </c>
      <c r="AW1704" s="21">
        <f t="shared" si="139"/>
        <v>2</v>
      </c>
      <c r="AX1704" s="21" t="str">
        <f t="shared" si="138"/>
        <v/>
      </c>
      <c r="AY1704" s="21" t="str">
        <f>IF(AND($AM1704&lt;&gt;"",$AS1704&lt;&gt;"✓"),SUMPRODUCT(($AM$11:$AM1704&lt;&gt;"")*($AS$11:$AS1704&lt;&gt;"✓")),"")</f>
        <v/>
      </c>
      <c r="AZ1704" s="21" t="str">
        <f>IF(AND($AM1704&lt;&gt;"",$AS1704="✓"),SUMPRODUCT(($AM$11:$AM1704&lt;&gt;"")*($AS$11:$AS1704="✓")),"")</f>
        <v/>
      </c>
      <c r="BA1704" s="21" t="str">
        <f>IF($AL1704="","",$AL1704&amp;"|"&amp;COUNTIF($AL$11:$AL1704,$AL1704))</f>
        <v/>
      </c>
    </row>
    <row r="1705" spans="38:53" ht="15" customHeight="1" x14ac:dyDescent="0.25">
      <c r="AL1705" s="17"/>
      <c r="AM1705" s="12"/>
      <c r="AN1705" s="18"/>
      <c r="AO1705" s="18"/>
      <c r="AP1705" s="10"/>
      <c r="AQ1705" s="10"/>
      <c r="AR1705" s="19"/>
      <c r="AS1705" s="20"/>
      <c r="AT1705" s="19"/>
      <c r="AV1705" s="21">
        <f>IF(AND($AL1705&lt;&gt;"",COUNTIF($AL$11:$AL1705,$AL1705)=1),1,0)</f>
        <v>0</v>
      </c>
      <c r="AW1705" s="21">
        <f t="shared" si="139"/>
        <v>2</v>
      </c>
      <c r="AX1705" s="21" t="str">
        <f t="shared" si="138"/>
        <v/>
      </c>
      <c r="AY1705" s="21" t="str">
        <f>IF(AND($AM1705&lt;&gt;"",$AS1705&lt;&gt;"✓"),SUMPRODUCT(($AM$11:$AM1705&lt;&gt;"")*($AS$11:$AS1705&lt;&gt;"✓")),"")</f>
        <v/>
      </c>
      <c r="AZ1705" s="21" t="str">
        <f>IF(AND($AM1705&lt;&gt;"",$AS1705="✓"),SUMPRODUCT(($AM$11:$AM1705&lt;&gt;"")*($AS$11:$AS1705="✓")),"")</f>
        <v/>
      </c>
      <c r="BA1705" s="21" t="str">
        <f>IF($AL1705="","",$AL1705&amp;"|"&amp;COUNTIF($AL$11:$AL1705,$AL1705))</f>
        <v/>
      </c>
    </row>
    <row r="1706" spans="38:53" ht="15" customHeight="1" x14ac:dyDescent="0.25">
      <c r="AL1706" s="31"/>
      <c r="AM1706" s="26"/>
      <c r="AN1706" s="32"/>
      <c r="AO1706" s="32"/>
      <c r="AP1706" s="24"/>
      <c r="AQ1706" s="24"/>
      <c r="AR1706" s="33"/>
      <c r="AS1706" s="34"/>
      <c r="AT1706" s="33"/>
      <c r="AV1706" s="21">
        <f>IF(AND($AL1706&lt;&gt;"",COUNTIF($AL$11:$AL1706,$AL1706)=1),1,0)</f>
        <v>0</v>
      </c>
      <c r="AW1706" s="21">
        <f t="shared" si="139"/>
        <v>2</v>
      </c>
      <c r="AX1706" s="21" t="str">
        <f t="shared" si="138"/>
        <v/>
      </c>
      <c r="AY1706" s="21" t="str">
        <f>IF(AND($AM1706&lt;&gt;"",$AS1706&lt;&gt;"✓"),SUMPRODUCT(($AM$11:$AM1706&lt;&gt;"")*($AS$11:$AS1706&lt;&gt;"✓")),"")</f>
        <v/>
      </c>
      <c r="AZ1706" s="21" t="str">
        <f>IF(AND($AM1706&lt;&gt;"",$AS1706="✓"),SUMPRODUCT(($AM$11:$AM1706&lt;&gt;"")*($AS$11:$AS1706="✓")),"")</f>
        <v/>
      </c>
      <c r="BA1706" s="21" t="str">
        <f>IF($AL1706="","",$AL1706&amp;"|"&amp;COUNTIF($AL$11:$AL1706,$AL1706))</f>
        <v/>
      </c>
    </row>
    <row r="1707" spans="38:53" ht="15" customHeight="1" x14ac:dyDescent="0.25">
      <c r="AL1707" s="17"/>
      <c r="AM1707" s="12"/>
      <c r="AN1707" s="18"/>
      <c r="AO1707" s="18"/>
      <c r="AP1707" s="10"/>
      <c r="AQ1707" s="10"/>
      <c r="AR1707" s="19"/>
      <c r="AS1707" s="20"/>
      <c r="AT1707" s="19"/>
      <c r="AV1707" s="21">
        <f>IF(AND($AL1707&lt;&gt;"",COUNTIF($AL$11:$AL1707,$AL1707)=1),1,0)</f>
        <v>0</v>
      </c>
      <c r="AW1707" s="21">
        <f t="shared" si="139"/>
        <v>2</v>
      </c>
      <c r="AX1707" s="21" t="str">
        <f t="shared" si="138"/>
        <v/>
      </c>
      <c r="AY1707" s="21" t="str">
        <f>IF(AND($AM1707&lt;&gt;"",$AS1707&lt;&gt;"✓"),SUMPRODUCT(($AM$11:$AM1707&lt;&gt;"")*($AS$11:$AS1707&lt;&gt;"✓")),"")</f>
        <v/>
      </c>
      <c r="AZ1707" s="21" t="str">
        <f>IF(AND($AM1707&lt;&gt;"",$AS1707="✓"),SUMPRODUCT(($AM$11:$AM1707&lt;&gt;"")*($AS$11:$AS1707="✓")),"")</f>
        <v/>
      </c>
      <c r="BA1707" s="21" t="str">
        <f>IF($AL1707="","",$AL1707&amp;"|"&amp;COUNTIF($AL$11:$AL1707,$AL1707))</f>
        <v/>
      </c>
    </row>
    <row r="1708" spans="38:53" ht="15" customHeight="1" x14ac:dyDescent="0.25">
      <c r="AL1708" s="31"/>
      <c r="AM1708" s="26"/>
      <c r="AN1708" s="32"/>
      <c r="AO1708" s="32"/>
      <c r="AP1708" s="24"/>
      <c r="AQ1708" s="24"/>
      <c r="AR1708" s="33"/>
      <c r="AS1708" s="34"/>
      <c r="AT1708" s="33"/>
      <c r="AV1708" s="21">
        <f>IF(AND($AL1708&lt;&gt;"",COUNTIF($AL$11:$AL1708,$AL1708)=1),1,0)</f>
        <v>0</v>
      </c>
      <c r="AW1708" s="21">
        <f t="shared" si="139"/>
        <v>2</v>
      </c>
      <c r="AX1708" s="21" t="str">
        <f t="shared" si="138"/>
        <v/>
      </c>
      <c r="AY1708" s="21" t="str">
        <f>IF(AND($AM1708&lt;&gt;"",$AS1708&lt;&gt;"✓"),SUMPRODUCT(($AM$11:$AM1708&lt;&gt;"")*($AS$11:$AS1708&lt;&gt;"✓")),"")</f>
        <v/>
      </c>
      <c r="AZ1708" s="21" t="str">
        <f>IF(AND($AM1708&lt;&gt;"",$AS1708="✓"),SUMPRODUCT(($AM$11:$AM1708&lt;&gt;"")*($AS$11:$AS1708="✓")),"")</f>
        <v/>
      </c>
      <c r="BA1708" s="21" t="str">
        <f>IF($AL1708="","",$AL1708&amp;"|"&amp;COUNTIF($AL$11:$AL1708,$AL1708))</f>
        <v/>
      </c>
    </row>
    <row r="1709" spans="38:53" ht="15" customHeight="1" x14ac:dyDescent="0.25">
      <c r="AL1709" s="17"/>
      <c r="AM1709" s="12"/>
      <c r="AN1709" s="18"/>
      <c r="AO1709" s="18"/>
      <c r="AP1709" s="10"/>
      <c r="AQ1709" s="10"/>
      <c r="AR1709" s="19"/>
      <c r="AS1709" s="20"/>
      <c r="AT1709" s="19"/>
      <c r="AV1709" s="21">
        <f>IF(AND($AL1709&lt;&gt;"",COUNTIF($AL$11:$AL1709,$AL1709)=1),1,0)</f>
        <v>0</v>
      </c>
      <c r="AW1709" s="21">
        <f t="shared" si="139"/>
        <v>2</v>
      </c>
      <c r="AX1709" s="21" t="str">
        <f t="shared" si="138"/>
        <v/>
      </c>
      <c r="AY1709" s="21" t="str">
        <f>IF(AND($AM1709&lt;&gt;"",$AS1709&lt;&gt;"✓"),SUMPRODUCT(($AM$11:$AM1709&lt;&gt;"")*($AS$11:$AS1709&lt;&gt;"✓")),"")</f>
        <v/>
      </c>
      <c r="AZ1709" s="21" t="str">
        <f>IF(AND($AM1709&lt;&gt;"",$AS1709="✓"),SUMPRODUCT(($AM$11:$AM1709&lt;&gt;"")*($AS$11:$AS1709="✓")),"")</f>
        <v/>
      </c>
      <c r="BA1709" s="21" t="str">
        <f>IF($AL1709="","",$AL1709&amp;"|"&amp;COUNTIF($AL$11:$AL1709,$AL1709))</f>
        <v/>
      </c>
    </row>
    <row r="1710" spans="38:53" ht="15" customHeight="1" x14ac:dyDescent="0.25">
      <c r="AL1710" s="31"/>
      <c r="AM1710" s="26"/>
      <c r="AN1710" s="32"/>
      <c r="AO1710" s="32"/>
      <c r="AP1710" s="24"/>
      <c r="AQ1710" s="24"/>
      <c r="AR1710" s="33"/>
      <c r="AS1710" s="34"/>
      <c r="AT1710" s="33"/>
      <c r="AV1710" s="21">
        <f>IF(AND($AL1710&lt;&gt;"",COUNTIF($AL$11:$AL1710,$AL1710)=1),1,0)</f>
        <v>0</v>
      </c>
      <c r="AW1710" s="21">
        <f t="shared" si="139"/>
        <v>2</v>
      </c>
      <c r="AX1710" s="21" t="str">
        <f t="shared" si="138"/>
        <v/>
      </c>
      <c r="AY1710" s="21" t="str">
        <f>IF(AND($AM1710&lt;&gt;"",$AS1710&lt;&gt;"✓"),SUMPRODUCT(($AM$11:$AM1710&lt;&gt;"")*($AS$11:$AS1710&lt;&gt;"✓")),"")</f>
        <v/>
      </c>
      <c r="AZ1710" s="21" t="str">
        <f>IF(AND($AM1710&lt;&gt;"",$AS1710="✓"),SUMPRODUCT(($AM$11:$AM1710&lt;&gt;"")*($AS$11:$AS1710="✓")),"")</f>
        <v/>
      </c>
      <c r="BA1710" s="21" t="str">
        <f>IF($AL1710="","",$AL1710&amp;"|"&amp;COUNTIF($AL$11:$AL1710,$AL1710))</f>
        <v/>
      </c>
    </row>
    <row r="1711" spans="38:53" ht="15" customHeight="1" x14ac:dyDescent="0.25">
      <c r="AL1711" s="17"/>
      <c r="AM1711" s="12"/>
      <c r="AN1711" s="18"/>
      <c r="AO1711" s="18"/>
      <c r="AP1711" s="10"/>
      <c r="AQ1711" s="10"/>
      <c r="AR1711" s="19"/>
      <c r="AS1711" s="20"/>
      <c r="AT1711" s="19"/>
      <c r="AV1711" s="21">
        <f>IF(AND($AL1711&lt;&gt;"",COUNTIF($AL$11:$AL1711,$AL1711)=1),1,0)</f>
        <v>0</v>
      </c>
      <c r="AW1711" s="21">
        <f t="shared" si="139"/>
        <v>2</v>
      </c>
      <c r="AX1711" s="21" t="str">
        <f t="shared" si="138"/>
        <v/>
      </c>
      <c r="AY1711" s="21" t="str">
        <f>IF(AND($AM1711&lt;&gt;"",$AS1711&lt;&gt;"✓"),SUMPRODUCT(($AM$11:$AM1711&lt;&gt;"")*($AS$11:$AS1711&lt;&gt;"✓")),"")</f>
        <v/>
      </c>
      <c r="AZ1711" s="21" t="str">
        <f>IF(AND($AM1711&lt;&gt;"",$AS1711="✓"),SUMPRODUCT(($AM$11:$AM1711&lt;&gt;"")*($AS$11:$AS1711="✓")),"")</f>
        <v/>
      </c>
      <c r="BA1711" s="21" t="str">
        <f>IF($AL1711="","",$AL1711&amp;"|"&amp;COUNTIF($AL$11:$AL1711,$AL1711))</f>
        <v/>
      </c>
    </row>
    <row r="1712" spans="38:53" ht="15" customHeight="1" x14ac:dyDescent="0.25">
      <c r="AL1712" s="31"/>
      <c r="AM1712" s="26"/>
      <c r="AN1712" s="32"/>
      <c r="AO1712" s="32"/>
      <c r="AP1712" s="24"/>
      <c r="AQ1712" s="24"/>
      <c r="AR1712" s="33"/>
      <c r="AS1712" s="34"/>
      <c r="AT1712" s="33"/>
      <c r="AV1712" s="21">
        <f>IF(AND($AL1712&lt;&gt;"",COUNTIF($AL$11:$AL1712,$AL1712)=1),1,0)</f>
        <v>0</v>
      </c>
      <c r="AW1712" s="21">
        <f t="shared" si="139"/>
        <v>2</v>
      </c>
      <c r="AX1712" s="21" t="str">
        <f t="shared" si="138"/>
        <v/>
      </c>
      <c r="AY1712" s="21" t="str">
        <f>IF(AND($AM1712&lt;&gt;"",$AS1712&lt;&gt;"✓"),SUMPRODUCT(($AM$11:$AM1712&lt;&gt;"")*($AS$11:$AS1712&lt;&gt;"✓")),"")</f>
        <v/>
      </c>
      <c r="AZ1712" s="21" t="str">
        <f>IF(AND($AM1712&lt;&gt;"",$AS1712="✓"),SUMPRODUCT(($AM$11:$AM1712&lt;&gt;"")*($AS$11:$AS1712="✓")),"")</f>
        <v/>
      </c>
      <c r="BA1712" s="21" t="str">
        <f>IF($AL1712="","",$AL1712&amp;"|"&amp;COUNTIF($AL$11:$AL1712,$AL1712))</f>
        <v/>
      </c>
    </row>
    <row r="1713" spans="38:53" ht="15" customHeight="1" x14ac:dyDescent="0.25">
      <c r="AL1713" s="17"/>
      <c r="AM1713" s="12"/>
      <c r="AN1713" s="18"/>
      <c r="AO1713" s="18"/>
      <c r="AP1713" s="10"/>
      <c r="AQ1713" s="10"/>
      <c r="AR1713" s="19"/>
      <c r="AS1713" s="20"/>
      <c r="AT1713" s="19"/>
      <c r="AV1713" s="21">
        <f>IF(AND($AL1713&lt;&gt;"",COUNTIF($AL$11:$AL1713,$AL1713)=1),1,0)</f>
        <v>0</v>
      </c>
      <c r="AW1713" s="21">
        <f t="shared" si="139"/>
        <v>2</v>
      </c>
      <c r="AX1713" s="21" t="str">
        <f t="shared" si="138"/>
        <v/>
      </c>
      <c r="AY1713" s="21" t="str">
        <f>IF(AND($AM1713&lt;&gt;"",$AS1713&lt;&gt;"✓"),SUMPRODUCT(($AM$11:$AM1713&lt;&gt;"")*($AS$11:$AS1713&lt;&gt;"✓")),"")</f>
        <v/>
      </c>
      <c r="AZ1713" s="21" t="str">
        <f>IF(AND($AM1713&lt;&gt;"",$AS1713="✓"),SUMPRODUCT(($AM$11:$AM1713&lt;&gt;"")*($AS$11:$AS1713="✓")),"")</f>
        <v/>
      </c>
      <c r="BA1713" s="21" t="str">
        <f>IF($AL1713="","",$AL1713&amp;"|"&amp;COUNTIF($AL$11:$AL1713,$AL1713))</f>
        <v/>
      </c>
    </row>
    <row r="1714" spans="38:53" ht="15" customHeight="1" x14ac:dyDescent="0.25">
      <c r="AL1714" s="31"/>
      <c r="AM1714" s="26"/>
      <c r="AN1714" s="32"/>
      <c r="AO1714" s="32"/>
      <c r="AP1714" s="24"/>
      <c r="AQ1714" s="24"/>
      <c r="AR1714" s="33"/>
      <c r="AS1714" s="34"/>
      <c r="AT1714" s="33"/>
      <c r="AV1714" s="21">
        <f>IF(AND($AL1714&lt;&gt;"",COUNTIF($AL$11:$AL1714,$AL1714)=1),1,0)</f>
        <v>0</v>
      </c>
      <c r="AW1714" s="21">
        <f t="shared" si="139"/>
        <v>2</v>
      </c>
      <c r="AX1714" s="21" t="str">
        <f t="shared" si="138"/>
        <v/>
      </c>
      <c r="AY1714" s="21" t="str">
        <f>IF(AND($AM1714&lt;&gt;"",$AS1714&lt;&gt;"✓"),SUMPRODUCT(($AM$11:$AM1714&lt;&gt;"")*($AS$11:$AS1714&lt;&gt;"✓")),"")</f>
        <v/>
      </c>
      <c r="AZ1714" s="21" t="str">
        <f>IF(AND($AM1714&lt;&gt;"",$AS1714="✓"),SUMPRODUCT(($AM$11:$AM1714&lt;&gt;"")*($AS$11:$AS1714="✓")),"")</f>
        <v/>
      </c>
      <c r="BA1714" s="21" t="str">
        <f>IF($AL1714="","",$AL1714&amp;"|"&amp;COUNTIF($AL$11:$AL1714,$AL1714))</f>
        <v/>
      </c>
    </row>
    <row r="1715" spans="38:53" ht="15" customHeight="1" x14ac:dyDescent="0.25">
      <c r="AL1715" s="17"/>
      <c r="AM1715" s="12"/>
      <c r="AN1715" s="18"/>
      <c r="AO1715" s="18"/>
      <c r="AP1715" s="10"/>
      <c r="AQ1715" s="10"/>
      <c r="AR1715" s="19"/>
      <c r="AS1715" s="20"/>
      <c r="AT1715" s="19"/>
      <c r="AV1715" s="21">
        <f>IF(AND($AL1715&lt;&gt;"",COUNTIF($AL$11:$AL1715,$AL1715)=1),1,0)</f>
        <v>0</v>
      </c>
      <c r="AW1715" s="21">
        <f t="shared" si="139"/>
        <v>2</v>
      </c>
      <c r="AX1715" s="21" t="str">
        <f t="shared" si="138"/>
        <v/>
      </c>
      <c r="AY1715" s="21" t="str">
        <f>IF(AND($AM1715&lt;&gt;"",$AS1715&lt;&gt;"✓"),SUMPRODUCT(($AM$11:$AM1715&lt;&gt;"")*($AS$11:$AS1715&lt;&gt;"✓")),"")</f>
        <v/>
      </c>
      <c r="AZ1715" s="21" t="str">
        <f>IF(AND($AM1715&lt;&gt;"",$AS1715="✓"),SUMPRODUCT(($AM$11:$AM1715&lt;&gt;"")*($AS$11:$AS1715="✓")),"")</f>
        <v/>
      </c>
      <c r="BA1715" s="21" t="str">
        <f>IF($AL1715="","",$AL1715&amp;"|"&amp;COUNTIF($AL$11:$AL1715,$AL1715))</f>
        <v/>
      </c>
    </row>
    <row r="1716" spans="38:53" ht="15" customHeight="1" x14ac:dyDescent="0.25">
      <c r="AL1716" s="31"/>
      <c r="AM1716" s="26"/>
      <c r="AN1716" s="32"/>
      <c r="AO1716" s="32"/>
      <c r="AP1716" s="24"/>
      <c r="AQ1716" s="24"/>
      <c r="AR1716" s="33"/>
      <c r="AS1716" s="34"/>
      <c r="AT1716" s="33"/>
      <c r="AV1716" s="21">
        <f>IF(AND($AL1716&lt;&gt;"",COUNTIF($AL$11:$AL1716,$AL1716)=1),1,0)</f>
        <v>0</v>
      </c>
      <c r="AW1716" s="21">
        <f t="shared" si="139"/>
        <v>2</v>
      </c>
      <c r="AX1716" s="21" t="str">
        <f t="shared" si="138"/>
        <v/>
      </c>
      <c r="AY1716" s="21" t="str">
        <f>IF(AND($AM1716&lt;&gt;"",$AS1716&lt;&gt;"✓"),SUMPRODUCT(($AM$11:$AM1716&lt;&gt;"")*($AS$11:$AS1716&lt;&gt;"✓")),"")</f>
        <v/>
      </c>
      <c r="AZ1716" s="21" t="str">
        <f>IF(AND($AM1716&lt;&gt;"",$AS1716="✓"),SUMPRODUCT(($AM$11:$AM1716&lt;&gt;"")*($AS$11:$AS1716="✓")),"")</f>
        <v/>
      </c>
      <c r="BA1716" s="21" t="str">
        <f>IF($AL1716="","",$AL1716&amp;"|"&amp;COUNTIF($AL$11:$AL1716,$AL1716))</f>
        <v/>
      </c>
    </row>
    <row r="1717" spans="38:53" ht="15" customHeight="1" x14ac:dyDescent="0.25">
      <c r="AL1717" s="17"/>
      <c r="AM1717" s="12"/>
      <c r="AN1717" s="18"/>
      <c r="AO1717" s="18"/>
      <c r="AP1717" s="10"/>
      <c r="AQ1717" s="10"/>
      <c r="AR1717" s="19"/>
      <c r="AS1717" s="20"/>
      <c r="AT1717" s="19"/>
      <c r="AV1717" s="21">
        <f>IF(AND($AL1717&lt;&gt;"",COUNTIF($AL$11:$AL1717,$AL1717)=1),1,0)</f>
        <v>0</v>
      </c>
      <c r="AW1717" s="21">
        <f t="shared" si="139"/>
        <v>2</v>
      </c>
      <c r="AX1717" s="21" t="str">
        <f t="shared" si="138"/>
        <v/>
      </c>
      <c r="AY1717" s="21" t="str">
        <f>IF(AND($AM1717&lt;&gt;"",$AS1717&lt;&gt;"✓"),SUMPRODUCT(($AM$11:$AM1717&lt;&gt;"")*($AS$11:$AS1717&lt;&gt;"✓")),"")</f>
        <v/>
      </c>
      <c r="AZ1717" s="21" t="str">
        <f>IF(AND($AM1717&lt;&gt;"",$AS1717="✓"),SUMPRODUCT(($AM$11:$AM1717&lt;&gt;"")*($AS$11:$AS1717="✓")),"")</f>
        <v/>
      </c>
      <c r="BA1717" s="21" t="str">
        <f>IF($AL1717="","",$AL1717&amp;"|"&amp;COUNTIF($AL$11:$AL1717,$AL1717))</f>
        <v/>
      </c>
    </row>
    <row r="1718" spans="38:53" ht="15" customHeight="1" x14ac:dyDescent="0.25">
      <c r="AL1718" s="31"/>
      <c r="AM1718" s="26"/>
      <c r="AN1718" s="32"/>
      <c r="AO1718" s="32"/>
      <c r="AP1718" s="24"/>
      <c r="AQ1718" s="24"/>
      <c r="AR1718" s="33"/>
      <c r="AS1718" s="34"/>
      <c r="AT1718" s="33"/>
      <c r="AV1718" s="21">
        <f>IF(AND($AL1718&lt;&gt;"",COUNTIF($AL$11:$AL1718,$AL1718)=1),1,0)</f>
        <v>0</v>
      </c>
      <c r="AW1718" s="21">
        <f t="shared" si="139"/>
        <v>2</v>
      </c>
      <c r="AX1718" s="21" t="str">
        <f t="shared" si="138"/>
        <v/>
      </c>
      <c r="AY1718" s="21" t="str">
        <f>IF(AND($AM1718&lt;&gt;"",$AS1718&lt;&gt;"✓"),SUMPRODUCT(($AM$11:$AM1718&lt;&gt;"")*($AS$11:$AS1718&lt;&gt;"✓")),"")</f>
        <v/>
      </c>
      <c r="AZ1718" s="21" t="str">
        <f>IF(AND($AM1718&lt;&gt;"",$AS1718="✓"),SUMPRODUCT(($AM$11:$AM1718&lt;&gt;"")*($AS$11:$AS1718="✓")),"")</f>
        <v/>
      </c>
      <c r="BA1718" s="21" t="str">
        <f>IF($AL1718="","",$AL1718&amp;"|"&amp;COUNTIF($AL$11:$AL1718,$AL1718))</f>
        <v/>
      </c>
    </row>
    <row r="1719" spans="38:53" ht="15" customHeight="1" x14ac:dyDescent="0.25">
      <c r="AL1719" s="17"/>
      <c r="AM1719" s="12"/>
      <c r="AN1719" s="18"/>
      <c r="AO1719" s="18"/>
      <c r="AP1719" s="10"/>
      <c r="AQ1719" s="10"/>
      <c r="AR1719" s="19"/>
      <c r="AS1719" s="20"/>
      <c r="AT1719" s="19"/>
      <c r="AV1719" s="21">
        <f>IF(AND($AL1719&lt;&gt;"",COUNTIF($AL$11:$AL1719,$AL1719)=1),1,0)</f>
        <v>0</v>
      </c>
      <c r="AW1719" s="21">
        <f t="shared" si="139"/>
        <v>2</v>
      </c>
      <c r="AX1719" s="21" t="str">
        <f t="shared" si="138"/>
        <v/>
      </c>
      <c r="AY1719" s="21" t="str">
        <f>IF(AND($AM1719&lt;&gt;"",$AS1719&lt;&gt;"✓"),SUMPRODUCT(($AM$11:$AM1719&lt;&gt;"")*($AS$11:$AS1719&lt;&gt;"✓")),"")</f>
        <v/>
      </c>
      <c r="AZ1719" s="21" t="str">
        <f>IF(AND($AM1719&lt;&gt;"",$AS1719="✓"),SUMPRODUCT(($AM$11:$AM1719&lt;&gt;"")*($AS$11:$AS1719="✓")),"")</f>
        <v/>
      </c>
      <c r="BA1719" s="21" t="str">
        <f>IF($AL1719="","",$AL1719&amp;"|"&amp;COUNTIF($AL$11:$AL1719,$AL1719))</f>
        <v/>
      </c>
    </row>
    <row r="1720" spans="38:53" ht="15" customHeight="1" x14ac:dyDescent="0.25">
      <c r="AL1720" s="31"/>
      <c r="AM1720" s="26"/>
      <c r="AN1720" s="32"/>
      <c r="AO1720" s="32"/>
      <c r="AP1720" s="24"/>
      <c r="AQ1720" s="24"/>
      <c r="AR1720" s="33"/>
      <c r="AS1720" s="34"/>
      <c r="AT1720" s="33"/>
      <c r="AV1720" s="21">
        <f>IF(AND($AL1720&lt;&gt;"",COUNTIF($AL$11:$AL1720,$AL1720)=1),1,0)</f>
        <v>0</v>
      </c>
      <c r="AW1720" s="21">
        <f t="shared" si="139"/>
        <v>2</v>
      </c>
      <c r="AX1720" s="21" t="str">
        <f t="shared" si="138"/>
        <v/>
      </c>
      <c r="AY1720" s="21" t="str">
        <f>IF(AND($AM1720&lt;&gt;"",$AS1720&lt;&gt;"✓"),SUMPRODUCT(($AM$11:$AM1720&lt;&gt;"")*($AS$11:$AS1720&lt;&gt;"✓")),"")</f>
        <v/>
      </c>
      <c r="AZ1720" s="21" t="str">
        <f>IF(AND($AM1720&lt;&gt;"",$AS1720="✓"),SUMPRODUCT(($AM$11:$AM1720&lt;&gt;"")*($AS$11:$AS1720="✓")),"")</f>
        <v/>
      </c>
      <c r="BA1720" s="21" t="str">
        <f>IF($AL1720="","",$AL1720&amp;"|"&amp;COUNTIF($AL$11:$AL1720,$AL1720))</f>
        <v/>
      </c>
    </row>
    <row r="1721" spans="38:53" ht="15" customHeight="1" x14ac:dyDescent="0.25">
      <c r="AL1721" s="17"/>
      <c r="AM1721" s="12"/>
      <c r="AN1721" s="18"/>
      <c r="AO1721" s="18"/>
      <c r="AP1721" s="10"/>
      <c r="AQ1721" s="10"/>
      <c r="AR1721" s="19"/>
      <c r="AS1721" s="20"/>
      <c r="AT1721" s="19"/>
      <c r="AV1721" s="21">
        <f>IF(AND($AL1721&lt;&gt;"",COUNTIF($AL$11:$AL1721,$AL1721)=1),1,0)</f>
        <v>0</v>
      </c>
      <c r="AW1721" s="21">
        <f t="shared" si="139"/>
        <v>2</v>
      </c>
      <c r="AX1721" s="21" t="str">
        <f t="shared" si="138"/>
        <v/>
      </c>
      <c r="AY1721" s="21" t="str">
        <f>IF(AND($AM1721&lt;&gt;"",$AS1721&lt;&gt;"✓"),SUMPRODUCT(($AM$11:$AM1721&lt;&gt;"")*($AS$11:$AS1721&lt;&gt;"✓")),"")</f>
        <v/>
      </c>
      <c r="AZ1721" s="21" t="str">
        <f>IF(AND($AM1721&lt;&gt;"",$AS1721="✓"),SUMPRODUCT(($AM$11:$AM1721&lt;&gt;"")*($AS$11:$AS1721="✓")),"")</f>
        <v/>
      </c>
      <c r="BA1721" s="21" t="str">
        <f>IF($AL1721="","",$AL1721&amp;"|"&amp;COUNTIF($AL$11:$AL1721,$AL1721))</f>
        <v/>
      </c>
    </row>
    <row r="1722" spans="38:53" ht="15" customHeight="1" x14ac:dyDescent="0.25">
      <c r="AL1722" s="31"/>
      <c r="AM1722" s="26"/>
      <c r="AN1722" s="32"/>
      <c r="AO1722" s="32"/>
      <c r="AP1722" s="24"/>
      <c r="AQ1722" s="24"/>
      <c r="AR1722" s="33"/>
      <c r="AS1722" s="34"/>
      <c r="AT1722" s="33"/>
      <c r="AV1722" s="21">
        <f>IF(AND($AL1722&lt;&gt;"",COUNTIF($AL$11:$AL1722,$AL1722)=1),1,0)</f>
        <v>0</v>
      </c>
      <c r="AW1722" s="21">
        <f t="shared" si="139"/>
        <v>2</v>
      </c>
      <c r="AX1722" s="21" t="str">
        <f t="shared" si="138"/>
        <v/>
      </c>
      <c r="AY1722" s="21" t="str">
        <f>IF(AND($AM1722&lt;&gt;"",$AS1722&lt;&gt;"✓"),SUMPRODUCT(($AM$11:$AM1722&lt;&gt;"")*($AS$11:$AS1722&lt;&gt;"✓")),"")</f>
        <v/>
      </c>
      <c r="AZ1722" s="21" t="str">
        <f>IF(AND($AM1722&lt;&gt;"",$AS1722="✓"),SUMPRODUCT(($AM$11:$AM1722&lt;&gt;"")*($AS$11:$AS1722="✓")),"")</f>
        <v/>
      </c>
      <c r="BA1722" s="21" t="str">
        <f>IF($AL1722="","",$AL1722&amp;"|"&amp;COUNTIF($AL$11:$AL1722,$AL1722))</f>
        <v/>
      </c>
    </row>
    <row r="1723" spans="38:53" ht="15" customHeight="1" x14ac:dyDescent="0.25">
      <c r="AL1723" s="17"/>
      <c r="AM1723" s="12"/>
      <c r="AN1723" s="18"/>
      <c r="AO1723" s="18"/>
      <c r="AP1723" s="10"/>
      <c r="AQ1723" s="10"/>
      <c r="AR1723" s="19"/>
      <c r="AS1723" s="20"/>
      <c r="AT1723" s="19"/>
      <c r="AV1723" s="21">
        <f>IF(AND($AL1723&lt;&gt;"",COUNTIF($AL$11:$AL1723,$AL1723)=1),1,0)</f>
        <v>0</v>
      </c>
      <c r="AW1723" s="21">
        <f t="shared" si="139"/>
        <v>2</v>
      </c>
      <c r="AX1723" s="21" t="str">
        <f t="shared" si="138"/>
        <v/>
      </c>
      <c r="AY1723" s="21" t="str">
        <f>IF(AND($AM1723&lt;&gt;"",$AS1723&lt;&gt;"✓"),SUMPRODUCT(($AM$11:$AM1723&lt;&gt;"")*($AS$11:$AS1723&lt;&gt;"✓")),"")</f>
        <v/>
      </c>
      <c r="AZ1723" s="21" t="str">
        <f>IF(AND($AM1723&lt;&gt;"",$AS1723="✓"),SUMPRODUCT(($AM$11:$AM1723&lt;&gt;"")*($AS$11:$AS1723="✓")),"")</f>
        <v/>
      </c>
      <c r="BA1723" s="21" t="str">
        <f>IF($AL1723="","",$AL1723&amp;"|"&amp;COUNTIF($AL$11:$AL1723,$AL1723))</f>
        <v/>
      </c>
    </row>
    <row r="1724" spans="38:53" ht="15" customHeight="1" x14ac:dyDescent="0.25">
      <c r="AL1724" s="31"/>
      <c r="AM1724" s="26"/>
      <c r="AN1724" s="32"/>
      <c r="AO1724" s="32"/>
      <c r="AP1724" s="24"/>
      <c r="AQ1724" s="24"/>
      <c r="AR1724" s="33"/>
      <c r="AS1724" s="34"/>
      <c r="AT1724" s="33"/>
      <c r="AV1724" s="21">
        <f>IF(AND($AL1724&lt;&gt;"",COUNTIF($AL$11:$AL1724,$AL1724)=1),1,0)</f>
        <v>0</v>
      </c>
      <c r="AW1724" s="21">
        <f t="shared" si="139"/>
        <v>2</v>
      </c>
      <c r="AX1724" s="21" t="str">
        <f t="shared" si="138"/>
        <v/>
      </c>
      <c r="AY1724" s="21" t="str">
        <f>IF(AND($AM1724&lt;&gt;"",$AS1724&lt;&gt;"✓"),SUMPRODUCT(($AM$11:$AM1724&lt;&gt;"")*($AS$11:$AS1724&lt;&gt;"✓")),"")</f>
        <v/>
      </c>
      <c r="AZ1724" s="21" t="str">
        <f>IF(AND($AM1724&lt;&gt;"",$AS1724="✓"),SUMPRODUCT(($AM$11:$AM1724&lt;&gt;"")*($AS$11:$AS1724="✓")),"")</f>
        <v/>
      </c>
      <c r="BA1724" s="21" t="str">
        <f>IF($AL1724="","",$AL1724&amp;"|"&amp;COUNTIF($AL$11:$AL1724,$AL1724))</f>
        <v/>
      </c>
    </row>
    <row r="1725" spans="38:53" ht="15" customHeight="1" x14ac:dyDescent="0.25">
      <c r="AL1725" s="17"/>
      <c r="AM1725" s="12"/>
      <c r="AN1725" s="18"/>
      <c r="AO1725" s="18"/>
      <c r="AP1725" s="10"/>
      <c r="AQ1725" s="10"/>
      <c r="AR1725" s="19"/>
      <c r="AS1725" s="20"/>
      <c r="AT1725" s="19"/>
      <c r="AV1725" s="21">
        <f>IF(AND($AL1725&lt;&gt;"",COUNTIF($AL$11:$AL1725,$AL1725)=1),1,0)</f>
        <v>0</v>
      </c>
      <c r="AW1725" s="21">
        <f t="shared" si="139"/>
        <v>2</v>
      </c>
      <c r="AX1725" s="21" t="str">
        <f t="shared" si="138"/>
        <v/>
      </c>
      <c r="AY1725" s="21" t="str">
        <f>IF(AND($AM1725&lt;&gt;"",$AS1725&lt;&gt;"✓"),SUMPRODUCT(($AM$11:$AM1725&lt;&gt;"")*($AS$11:$AS1725&lt;&gt;"✓")),"")</f>
        <v/>
      </c>
      <c r="AZ1725" s="21" t="str">
        <f>IF(AND($AM1725&lt;&gt;"",$AS1725="✓"),SUMPRODUCT(($AM$11:$AM1725&lt;&gt;"")*($AS$11:$AS1725="✓")),"")</f>
        <v/>
      </c>
      <c r="BA1725" s="21" t="str">
        <f>IF($AL1725="","",$AL1725&amp;"|"&amp;COUNTIF($AL$11:$AL1725,$AL1725))</f>
        <v/>
      </c>
    </row>
    <row r="1726" spans="38:53" ht="15" customHeight="1" x14ac:dyDescent="0.25">
      <c r="AL1726" s="31"/>
      <c r="AM1726" s="26"/>
      <c r="AN1726" s="32"/>
      <c r="AO1726" s="32"/>
      <c r="AP1726" s="24"/>
      <c r="AQ1726" s="24"/>
      <c r="AR1726" s="33"/>
      <c r="AS1726" s="34"/>
      <c r="AT1726" s="33"/>
      <c r="AV1726" s="21">
        <f>IF(AND($AL1726&lt;&gt;"",COUNTIF($AL$11:$AL1726,$AL1726)=1),1,0)</f>
        <v>0</v>
      </c>
      <c r="AW1726" s="21">
        <f t="shared" si="139"/>
        <v>2</v>
      </c>
      <c r="AX1726" s="21" t="str">
        <f t="shared" si="138"/>
        <v/>
      </c>
      <c r="AY1726" s="21" t="str">
        <f>IF(AND($AM1726&lt;&gt;"",$AS1726&lt;&gt;"✓"),SUMPRODUCT(($AM$11:$AM1726&lt;&gt;"")*($AS$11:$AS1726&lt;&gt;"✓")),"")</f>
        <v/>
      </c>
      <c r="AZ1726" s="21" t="str">
        <f>IF(AND($AM1726&lt;&gt;"",$AS1726="✓"),SUMPRODUCT(($AM$11:$AM1726&lt;&gt;"")*($AS$11:$AS1726="✓")),"")</f>
        <v/>
      </c>
      <c r="BA1726" s="21" t="str">
        <f>IF($AL1726="","",$AL1726&amp;"|"&amp;COUNTIF($AL$11:$AL1726,$AL1726))</f>
        <v/>
      </c>
    </row>
    <row r="1727" spans="38:53" ht="15" customHeight="1" x14ac:dyDescent="0.25">
      <c r="AL1727" s="17"/>
      <c r="AM1727" s="12"/>
      <c r="AN1727" s="18"/>
      <c r="AO1727" s="18"/>
      <c r="AP1727" s="10"/>
      <c r="AQ1727" s="10"/>
      <c r="AR1727" s="19"/>
      <c r="AS1727" s="20"/>
      <c r="AT1727" s="19"/>
      <c r="AV1727" s="21">
        <f>IF(AND($AL1727&lt;&gt;"",COUNTIF($AL$11:$AL1727,$AL1727)=1),1,0)</f>
        <v>0</v>
      </c>
      <c r="AW1727" s="21">
        <f t="shared" si="139"/>
        <v>2</v>
      </c>
      <c r="AX1727" s="21" t="str">
        <f t="shared" si="138"/>
        <v/>
      </c>
      <c r="AY1727" s="21" t="str">
        <f>IF(AND($AM1727&lt;&gt;"",$AS1727&lt;&gt;"✓"),SUMPRODUCT(($AM$11:$AM1727&lt;&gt;"")*($AS$11:$AS1727&lt;&gt;"✓")),"")</f>
        <v/>
      </c>
      <c r="AZ1727" s="21" t="str">
        <f>IF(AND($AM1727&lt;&gt;"",$AS1727="✓"),SUMPRODUCT(($AM$11:$AM1727&lt;&gt;"")*($AS$11:$AS1727="✓")),"")</f>
        <v/>
      </c>
      <c r="BA1727" s="21" t="str">
        <f>IF($AL1727="","",$AL1727&amp;"|"&amp;COUNTIF($AL$11:$AL1727,$AL1727))</f>
        <v/>
      </c>
    </row>
    <row r="1728" spans="38:53" ht="15" customHeight="1" x14ac:dyDescent="0.25">
      <c r="AL1728" s="31"/>
      <c r="AM1728" s="26"/>
      <c r="AN1728" s="32"/>
      <c r="AO1728" s="32"/>
      <c r="AP1728" s="24"/>
      <c r="AQ1728" s="24"/>
      <c r="AR1728" s="33"/>
      <c r="AS1728" s="34"/>
      <c r="AT1728" s="33"/>
      <c r="AV1728" s="21">
        <f>IF(AND($AL1728&lt;&gt;"",COUNTIF($AL$11:$AL1728,$AL1728)=1),1,0)</f>
        <v>0</v>
      </c>
      <c r="AW1728" s="21">
        <f t="shared" si="139"/>
        <v>2</v>
      </c>
      <c r="AX1728" s="21" t="str">
        <f t="shared" si="138"/>
        <v/>
      </c>
      <c r="AY1728" s="21" t="str">
        <f>IF(AND($AM1728&lt;&gt;"",$AS1728&lt;&gt;"✓"),SUMPRODUCT(($AM$11:$AM1728&lt;&gt;"")*($AS$11:$AS1728&lt;&gt;"✓")),"")</f>
        <v/>
      </c>
      <c r="AZ1728" s="21" t="str">
        <f>IF(AND($AM1728&lt;&gt;"",$AS1728="✓"),SUMPRODUCT(($AM$11:$AM1728&lt;&gt;"")*($AS$11:$AS1728="✓")),"")</f>
        <v/>
      </c>
      <c r="BA1728" s="21" t="str">
        <f>IF($AL1728="","",$AL1728&amp;"|"&amp;COUNTIF($AL$11:$AL1728,$AL1728))</f>
        <v/>
      </c>
    </row>
    <row r="1729" spans="38:53" ht="15" customHeight="1" x14ac:dyDescent="0.25">
      <c r="AL1729" s="17"/>
      <c r="AM1729" s="12"/>
      <c r="AN1729" s="18"/>
      <c r="AO1729" s="18"/>
      <c r="AP1729" s="10"/>
      <c r="AQ1729" s="10"/>
      <c r="AR1729" s="19"/>
      <c r="AS1729" s="20"/>
      <c r="AT1729" s="19"/>
      <c r="AV1729" s="21">
        <f>IF(AND($AL1729&lt;&gt;"",COUNTIF($AL$11:$AL1729,$AL1729)=1),1,0)</f>
        <v>0</v>
      </c>
      <c r="AW1729" s="21">
        <f t="shared" si="139"/>
        <v>2</v>
      </c>
      <c r="AX1729" s="21" t="str">
        <f t="shared" si="138"/>
        <v/>
      </c>
      <c r="AY1729" s="21" t="str">
        <f>IF(AND($AM1729&lt;&gt;"",$AS1729&lt;&gt;"✓"),SUMPRODUCT(($AM$11:$AM1729&lt;&gt;"")*($AS$11:$AS1729&lt;&gt;"✓")),"")</f>
        <v/>
      </c>
      <c r="AZ1729" s="21" t="str">
        <f>IF(AND($AM1729&lt;&gt;"",$AS1729="✓"),SUMPRODUCT(($AM$11:$AM1729&lt;&gt;"")*($AS$11:$AS1729="✓")),"")</f>
        <v/>
      </c>
      <c r="BA1729" s="21" t="str">
        <f>IF($AL1729="","",$AL1729&amp;"|"&amp;COUNTIF($AL$11:$AL1729,$AL1729))</f>
        <v/>
      </c>
    </row>
    <row r="1730" spans="38:53" ht="15" customHeight="1" x14ac:dyDescent="0.25">
      <c r="AL1730" s="31"/>
      <c r="AM1730" s="26"/>
      <c r="AN1730" s="32"/>
      <c r="AO1730" s="32"/>
      <c r="AP1730" s="24"/>
      <c r="AQ1730" s="24"/>
      <c r="AR1730" s="33"/>
      <c r="AS1730" s="34"/>
      <c r="AT1730" s="33"/>
      <c r="AV1730" s="21">
        <f>IF(AND($AL1730&lt;&gt;"",COUNTIF($AL$11:$AL1730,$AL1730)=1),1,0)</f>
        <v>0</v>
      </c>
      <c r="AW1730" s="21">
        <f t="shared" si="139"/>
        <v>2</v>
      </c>
      <c r="AX1730" s="21" t="str">
        <f t="shared" si="138"/>
        <v/>
      </c>
      <c r="AY1730" s="21" t="str">
        <f>IF(AND($AM1730&lt;&gt;"",$AS1730&lt;&gt;"✓"),SUMPRODUCT(($AM$11:$AM1730&lt;&gt;"")*($AS$11:$AS1730&lt;&gt;"✓")),"")</f>
        <v/>
      </c>
      <c r="AZ1730" s="21" t="str">
        <f>IF(AND($AM1730&lt;&gt;"",$AS1730="✓"),SUMPRODUCT(($AM$11:$AM1730&lt;&gt;"")*($AS$11:$AS1730="✓")),"")</f>
        <v/>
      </c>
      <c r="BA1730" s="21" t="str">
        <f>IF($AL1730="","",$AL1730&amp;"|"&amp;COUNTIF($AL$11:$AL1730,$AL1730))</f>
        <v/>
      </c>
    </row>
    <row r="1731" spans="38:53" ht="15" customHeight="1" x14ac:dyDescent="0.25">
      <c r="AL1731" s="17"/>
      <c r="AM1731" s="12"/>
      <c r="AN1731" s="18"/>
      <c r="AO1731" s="18"/>
      <c r="AP1731" s="10"/>
      <c r="AQ1731" s="10"/>
      <c r="AR1731" s="19"/>
      <c r="AS1731" s="20"/>
      <c r="AT1731" s="19"/>
      <c r="AV1731" s="21">
        <f>IF(AND($AL1731&lt;&gt;"",COUNTIF($AL$11:$AL1731,$AL1731)=1),1,0)</f>
        <v>0</v>
      </c>
      <c r="AW1731" s="21">
        <f t="shared" si="139"/>
        <v>2</v>
      </c>
      <c r="AX1731" s="21" t="str">
        <f t="shared" si="138"/>
        <v/>
      </c>
      <c r="AY1731" s="21" t="str">
        <f>IF(AND($AM1731&lt;&gt;"",$AS1731&lt;&gt;"✓"),SUMPRODUCT(($AM$11:$AM1731&lt;&gt;"")*($AS$11:$AS1731&lt;&gt;"✓")),"")</f>
        <v/>
      </c>
      <c r="AZ1731" s="21" t="str">
        <f>IF(AND($AM1731&lt;&gt;"",$AS1731="✓"),SUMPRODUCT(($AM$11:$AM1731&lt;&gt;"")*($AS$11:$AS1731="✓")),"")</f>
        <v/>
      </c>
      <c r="BA1731" s="21" t="str">
        <f>IF($AL1731="","",$AL1731&amp;"|"&amp;COUNTIF($AL$11:$AL1731,$AL1731))</f>
        <v/>
      </c>
    </row>
    <row r="1732" spans="38:53" ht="15" customHeight="1" x14ac:dyDescent="0.25">
      <c r="AL1732" s="31"/>
      <c r="AM1732" s="26"/>
      <c r="AN1732" s="32"/>
      <c r="AO1732" s="32"/>
      <c r="AP1732" s="24"/>
      <c r="AQ1732" s="24"/>
      <c r="AR1732" s="33"/>
      <c r="AS1732" s="34"/>
      <c r="AT1732" s="33"/>
      <c r="AV1732" s="21">
        <f>IF(AND($AL1732&lt;&gt;"",COUNTIF($AL$11:$AL1732,$AL1732)=1),1,0)</f>
        <v>0</v>
      </c>
      <c r="AW1732" s="21">
        <f t="shared" si="139"/>
        <v>2</v>
      </c>
      <c r="AX1732" s="21" t="str">
        <f t="shared" si="138"/>
        <v/>
      </c>
      <c r="AY1732" s="21" t="str">
        <f>IF(AND($AM1732&lt;&gt;"",$AS1732&lt;&gt;"✓"),SUMPRODUCT(($AM$11:$AM1732&lt;&gt;"")*($AS$11:$AS1732&lt;&gt;"✓")),"")</f>
        <v/>
      </c>
      <c r="AZ1732" s="21" t="str">
        <f>IF(AND($AM1732&lt;&gt;"",$AS1732="✓"),SUMPRODUCT(($AM$11:$AM1732&lt;&gt;"")*($AS$11:$AS1732="✓")),"")</f>
        <v/>
      </c>
      <c r="BA1732" s="21" t="str">
        <f>IF($AL1732="","",$AL1732&amp;"|"&amp;COUNTIF($AL$11:$AL1732,$AL1732))</f>
        <v/>
      </c>
    </row>
    <row r="1733" spans="38:53" ht="15" customHeight="1" x14ac:dyDescent="0.25">
      <c r="AL1733" s="17"/>
      <c r="AM1733" s="12"/>
      <c r="AN1733" s="18"/>
      <c r="AO1733" s="18"/>
      <c r="AP1733" s="10"/>
      <c r="AQ1733" s="10"/>
      <c r="AR1733" s="19"/>
      <c r="AS1733" s="20"/>
      <c r="AT1733" s="19"/>
      <c r="AV1733" s="21">
        <f>IF(AND($AL1733&lt;&gt;"",COUNTIF($AL$11:$AL1733,$AL1733)=1),1,0)</f>
        <v>0</v>
      </c>
      <c r="AW1733" s="21">
        <f t="shared" si="139"/>
        <v>2</v>
      </c>
      <c r="AX1733" s="21" t="str">
        <f t="shared" si="138"/>
        <v/>
      </c>
      <c r="AY1733" s="21" t="str">
        <f>IF(AND($AM1733&lt;&gt;"",$AS1733&lt;&gt;"✓"),SUMPRODUCT(($AM$11:$AM1733&lt;&gt;"")*($AS$11:$AS1733&lt;&gt;"✓")),"")</f>
        <v/>
      </c>
      <c r="AZ1733" s="21" t="str">
        <f>IF(AND($AM1733&lt;&gt;"",$AS1733="✓"),SUMPRODUCT(($AM$11:$AM1733&lt;&gt;"")*($AS$11:$AS1733="✓")),"")</f>
        <v/>
      </c>
      <c r="BA1733" s="21" t="str">
        <f>IF($AL1733="","",$AL1733&amp;"|"&amp;COUNTIF($AL$11:$AL1733,$AL1733))</f>
        <v/>
      </c>
    </row>
    <row r="1734" spans="38:53" ht="15" customHeight="1" x14ac:dyDescent="0.25">
      <c r="AL1734" s="31"/>
      <c r="AM1734" s="26"/>
      <c r="AN1734" s="32"/>
      <c r="AO1734" s="32"/>
      <c r="AP1734" s="24"/>
      <c r="AQ1734" s="24"/>
      <c r="AR1734" s="33"/>
      <c r="AS1734" s="34"/>
      <c r="AT1734" s="33"/>
      <c r="AV1734" s="21">
        <f>IF(AND($AL1734&lt;&gt;"",COUNTIF($AL$11:$AL1734,$AL1734)=1),1,0)</f>
        <v>0</v>
      </c>
      <c r="AW1734" s="21">
        <f t="shared" si="139"/>
        <v>2</v>
      </c>
      <c r="AX1734" s="21" t="str">
        <f t="shared" si="138"/>
        <v/>
      </c>
      <c r="AY1734" s="21" t="str">
        <f>IF(AND($AM1734&lt;&gt;"",$AS1734&lt;&gt;"✓"),SUMPRODUCT(($AM$11:$AM1734&lt;&gt;"")*($AS$11:$AS1734&lt;&gt;"✓")),"")</f>
        <v/>
      </c>
      <c r="AZ1734" s="21" t="str">
        <f>IF(AND($AM1734&lt;&gt;"",$AS1734="✓"),SUMPRODUCT(($AM$11:$AM1734&lt;&gt;"")*($AS$11:$AS1734="✓")),"")</f>
        <v/>
      </c>
      <c r="BA1734" s="21" t="str">
        <f>IF($AL1734="","",$AL1734&amp;"|"&amp;COUNTIF($AL$11:$AL1734,$AL1734))</f>
        <v/>
      </c>
    </row>
    <row r="1735" spans="38:53" ht="15" customHeight="1" x14ac:dyDescent="0.25">
      <c r="AL1735" s="17"/>
      <c r="AM1735" s="12"/>
      <c r="AN1735" s="18"/>
      <c r="AO1735" s="18"/>
      <c r="AP1735" s="10"/>
      <c r="AQ1735" s="10"/>
      <c r="AR1735" s="19"/>
      <c r="AS1735" s="20"/>
      <c r="AT1735" s="19"/>
      <c r="AV1735" s="21">
        <f>IF(AND($AL1735&lt;&gt;"",COUNTIF($AL$11:$AL1735,$AL1735)=1),1,0)</f>
        <v>0</v>
      </c>
      <c r="AW1735" s="21">
        <f t="shared" si="139"/>
        <v>2</v>
      </c>
      <c r="AX1735" s="21" t="str">
        <f t="shared" si="138"/>
        <v/>
      </c>
      <c r="AY1735" s="21" t="str">
        <f>IF(AND($AM1735&lt;&gt;"",$AS1735&lt;&gt;"✓"),SUMPRODUCT(($AM$11:$AM1735&lt;&gt;"")*($AS$11:$AS1735&lt;&gt;"✓")),"")</f>
        <v/>
      </c>
      <c r="AZ1735" s="21" t="str">
        <f>IF(AND($AM1735&lt;&gt;"",$AS1735="✓"),SUMPRODUCT(($AM$11:$AM1735&lt;&gt;"")*($AS$11:$AS1735="✓")),"")</f>
        <v/>
      </c>
      <c r="BA1735" s="21" t="str">
        <f>IF($AL1735="","",$AL1735&amp;"|"&amp;COUNTIF($AL$11:$AL1735,$AL1735))</f>
        <v/>
      </c>
    </row>
    <row r="1736" spans="38:53" ht="15" customHeight="1" x14ac:dyDescent="0.25">
      <c r="AL1736" s="31"/>
      <c r="AM1736" s="26"/>
      <c r="AN1736" s="32"/>
      <c r="AO1736" s="32"/>
      <c r="AP1736" s="24"/>
      <c r="AQ1736" s="24"/>
      <c r="AR1736" s="33"/>
      <c r="AS1736" s="34"/>
      <c r="AT1736" s="33"/>
      <c r="AV1736" s="21">
        <f>IF(AND($AL1736&lt;&gt;"",COUNTIF($AL$11:$AL1736,$AL1736)=1),1,0)</f>
        <v>0</v>
      </c>
      <c r="AW1736" s="21">
        <f t="shared" si="139"/>
        <v>2</v>
      </c>
      <c r="AX1736" s="21" t="str">
        <f t="shared" si="138"/>
        <v/>
      </c>
      <c r="AY1736" s="21" t="str">
        <f>IF(AND($AM1736&lt;&gt;"",$AS1736&lt;&gt;"✓"),SUMPRODUCT(($AM$11:$AM1736&lt;&gt;"")*($AS$11:$AS1736&lt;&gt;"✓")),"")</f>
        <v/>
      </c>
      <c r="AZ1736" s="21" t="str">
        <f>IF(AND($AM1736&lt;&gt;"",$AS1736="✓"),SUMPRODUCT(($AM$11:$AM1736&lt;&gt;"")*($AS$11:$AS1736="✓")),"")</f>
        <v/>
      </c>
      <c r="BA1736" s="21" t="str">
        <f>IF($AL1736="","",$AL1736&amp;"|"&amp;COUNTIF($AL$11:$AL1736,$AL1736))</f>
        <v/>
      </c>
    </row>
    <row r="1737" spans="38:53" ht="15" customHeight="1" x14ac:dyDescent="0.25">
      <c r="AL1737" s="17"/>
      <c r="AM1737" s="12"/>
      <c r="AN1737" s="18"/>
      <c r="AO1737" s="18"/>
      <c r="AP1737" s="10"/>
      <c r="AQ1737" s="10"/>
      <c r="AR1737" s="19"/>
      <c r="AS1737" s="20"/>
      <c r="AT1737" s="19"/>
      <c r="AV1737" s="21">
        <f>IF(AND($AL1737&lt;&gt;"",COUNTIF($AL$11:$AL1737,$AL1737)=1),1,0)</f>
        <v>0</v>
      </c>
      <c r="AW1737" s="21">
        <f t="shared" si="139"/>
        <v>2</v>
      </c>
      <c r="AX1737" s="21" t="str">
        <f t="shared" si="138"/>
        <v/>
      </c>
      <c r="AY1737" s="21" t="str">
        <f>IF(AND($AM1737&lt;&gt;"",$AS1737&lt;&gt;"✓"),SUMPRODUCT(($AM$11:$AM1737&lt;&gt;"")*($AS$11:$AS1737&lt;&gt;"✓")),"")</f>
        <v/>
      </c>
      <c r="AZ1737" s="21" t="str">
        <f>IF(AND($AM1737&lt;&gt;"",$AS1737="✓"),SUMPRODUCT(($AM$11:$AM1737&lt;&gt;"")*($AS$11:$AS1737="✓")),"")</f>
        <v/>
      </c>
      <c r="BA1737" s="21" t="str">
        <f>IF($AL1737="","",$AL1737&amp;"|"&amp;COUNTIF($AL$11:$AL1737,$AL1737))</f>
        <v/>
      </c>
    </row>
    <row r="1738" spans="38:53" ht="15" customHeight="1" x14ac:dyDescent="0.25">
      <c r="AL1738" s="31"/>
      <c r="AM1738" s="26"/>
      <c r="AN1738" s="32"/>
      <c r="AO1738" s="32"/>
      <c r="AP1738" s="24"/>
      <c r="AQ1738" s="24"/>
      <c r="AR1738" s="33"/>
      <c r="AS1738" s="34"/>
      <c r="AT1738" s="33"/>
      <c r="AV1738" s="21">
        <f>IF(AND($AL1738&lt;&gt;"",COUNTIF($AL$11:$AL1738,$AL1738)=1),1,0)</f>
        <v>0</v>
      </c>
      <c r="AW1738" s="21">
        <f t="shared" si="139"/>
        <v>2</v>
      </c>
      <c r="AX1738" s="21" t="str">
        <f t="shared" si="138"/>
        <v/>
      </c>
      <c r="AY1738" s="21" t="str">
        <f>IF(AND($AM1738&lt;&gt;"",$AS1738&lt;&gt;"✓"),SUMPRODUCT(($AM$11:$AM1738&lt;&gt;"")*($AS$11:$AS1738&lt;&gt;"✓")),"")</f>
        <v/>
      </c>
      <c r="AZ1738" s="21" t="str">
        <f>IF(AND($AM1738&lt;&gt;"",$AS1738="✓"),SUMPRODUCT(($AM$11:$AM1738&lt;&gt;"")*($AS$11:$AS1738="✓")),"")</f>
        <v/>
      </c>
      <c r="BA1738" s="21" t="str">
        <f>IF($AL1738="","",$AL1738&amp;"|"&amp;COUNTIF($AL$11:$AL1738,$AL1738))</f>
        <v/>
      </c>
    </row>
    <row r="1739" spans="38:53" ht="15" customHeight="1" x14ac:dyDescent="0.25">
      <c r="AL1739" s="17"/>
      <c r="AM1739" s="12"/>
      <c r="AN1739" s="18"/>
      <c r="AO1739" s="18"/>
      <c r="AP1739" s="10"/>
      <c r="AQ1739" s="10"/>
      <c r="AR1739" s="19"/>
      <c r="AS1739" s="20"/>
      <c r="AT1739" s="19"/>
      <c r="AV1739" s="21">
        <f>IF(AND($AL1739&lt;&gt;"",COUNTIF($AL$11:$AL1739,$AL1739)=1),1,0)</f>
        <v>0</v>
      </c>
      <c r="AW1739" s="21">
        <f t="shared" si="139"/>
        <v>2</v>
      </c>
      <c r="AX1739" s="21" t="str">
        <f t="shared" ref="AX1739:AX1802" si="140">IF(AV1739=1,AW1739,"")</f>
        <v/>
      </c>
      <c r="AY1739" s="21" t="str">
        <f>IF(AND($AM1739&lt;&gt;"",$AS1739&lt;&gt;"✓"),SUMPRODUCT(($AM$11:$AM1739&lt;&gt;"")*($AS$11:$AS1739&lt;&gt;"✓")),"")</f>
        <v/>
      </c>
      <c r="AZ1739" s="21" t="str">
        <f>IF(AND($AM1739&lt;&gt;"",$AS1739="✓"),SUMPRODUCT(($AM$11:$AM1739&lt;&gt;"")*($AS$11:$AS1739="✓")),"")</f>
        <v/>
      </c>
      <c r="BA1739" s="21" t="str">
        <f>IF($AL1739="","",$AL1739&amp;"|"&amp;COUNTIF($AL$11:$AL1739,$AL1739))</f>
        <v/>
      </c>
    </row>
    <row r="1740" spans="38:53" ht="15" customHeight="1" x14ac:dyDescent="0.25">
      <c r="AL1740" s="31"/>
      <c r="AM1740" s="26"/>
      <c r="AN1740" s="32"/>
      <c r="AO1740" s="32"/>
      <c r="AP1740" s="24"/>
      <c r="AQ1740" s="24"/>
      <c r="AR1740" s="33"/>
      <c r="AS1740" s="34"/>
      <c r="AT1740" s="33"/>
      <c r="AV1740" s="21">
        <f>IF(AND($AL1740&lt;&gt;"",COUNTIF($AL$11:$AL1740,$AL1740)=1),1,0)</f>
        <v>0</v>
      </c>
      <c r="AW1740" s="21">
        <f t="shared" ref="AW1740:AW1803" si="141">AW1739+AV1740</f>
        <v>2</v>
      </c>
      <c r="AX1740" s="21" t="str">
        <f t="shared" si="140"/>
        <v/>
      </c>
      <c r="AY1740" s="21" t="str">
        <f>IF(AND($AM1740&lt;&gt;"",$AS1740&lt;&gt;"✓"),SUMPRODUCT(($AM$11:$AM1740&lt;&gt;"")*($AS$11:$AS1740&lt;&gt;"✓")),"")</f>
        <v/>
      </c>
      <c r="AZ1740" s="21" t="str">
        <f>IF(AND($AM1740&lt;&gt;"",$AS1740="✓"),SUMPRODUCT(($AM$11:$AM1740&lt;&gt;"")*($AS$11:$AS1740="✓")),"")</f>
        <v/>
      </c>
      <c r="BA1740" s="21" t="str">
        <f>IF($AL1740="","",$AL1740&amp;"|"&amp;COUNTIF($AL$11:$AL1740,$AL1740))</f>
        <v/>
      </c>
    </row>
    <row r="1741" spans="38:53" ht="15" customHeight="1" x14ac:dyDescent="0.25">
      <c r="AL1741" s="17"/>
      <c r="AM1741" s="12"/>
      <c r="AN1741" s="18"/>
      <c r="AO1741" s="18"/>
      <c r="AP1741" s="10"/>
      <c r="AQ1741" s="10"/>
      <c r="AR1741" s="19"/>
      <c r="AS1741" s="20"/>
      <c r="AT1741" s="19"/>
      <c r="AV1741" s="21">
        <f>IF(AND($AL1741&lt;&gt;"",COUNTIF($AL$11:$AL1741,$AL1741)=1),1,0)</f>
        <v>0</v>
      </c>
      <c r="AW1741" s="21">
        <f t="shared" si="141"/>
        <v>2</v>
      </c>
      <c r="AX1741" s="21" t="str">
        <f t="shared" si="140"/>
        <v/>
      </c>
      <c r="AY1741" s="21" t="str">
        <f>IF(AND($AM1741&lt;&gt;"",$AS1741&lt;&gt;"✓"),SUMPRODUCT(($AM$11:$AM1741&lt;&gt;"")*($AS$11:$AS1741&lt;&gt;"✓")),"")</f>
        <v/>
      </c>
      <c r="AZ1741" s="21" t="str">
        <f>IF(AND($AM1741&lt;&gt;"",$AS1741="✓"),SUMPRODUCT(($AM$11:$AM1741&lt;&gt;"")*($AS$11:$AS1741="✓")),"")</f>
        <v/>
      </c>
      <c r="BA1741" s="21" t="str">
        <f>IF($AL1741="","",$AL1741&amp;"|"&amp;COUNTIF($AL$11:$AL1741,$AL1741))</f>
        <v/>
      </c>
    </row>
    <row r="1742" spans="38:53" ht="15" customHeight="1" x14ac:dyDescent="0.25">
      <c r="AL1742" s="31"/>
      <c r="AM1742" s="26"/>
      <c r="AN1742" s="32"/>
      <c r="AO1742" s="32"/>
      <c r="AP1742" s="24"/>
      <c r="AQ1742" s="24"/>
      <c r="AR1742" s="33"/>
      <c r="AS1742" s="34"/>
      <c r="AT1742" s="33"/>
      <c r="AV1742" s="21">
        <f>IF(AND($AL1742&lt;&gt;"",COUNTIF($AL$11:$AL1742,$AL1742)=1),1,0)</f>
        <v>0</v>
      </c>
      <c r="AW1742" s="21">
        <f t="shared" si="141"/>
        <v>2</v>
      </c>
      <c r="AX1742" s="21" t="str">
        <f t="shared" si="140"/>
        <v/>
      </c>
      <c r="AY1742" s="21" t="str">
        <f>IF(AND($AM1742&lt;&gt;"",$AS1742&lt;&gt;"✓"),SUMPRODUCT(($AM$11:$AM1742&lt;&gt;"")*($AS$11:$AS1742&lt;&gt;"✓")),"")</f>
        <v/>
      </c>
      <c r="AZ1742" s="21" t="str">
        <f>IF(AND($AM1742&lt;&gt;"",$AS1742="✓"),SUMPRODUCT(($AM$11:$AM1742&lt;&gt;"")*($AS$11:$AS1742="✓")),"")</f>
        <v/>
      </c>
      <c r="BA1742" s="21" t="str">
        <f>IF($AL1742="","",$AL1742&amp;"|"&amp;COUNTIF($AL$11:$AL1742,$AL1742))</f>
        <v/>
      </c>
    </row>
    <row r="1743" spans="38:53" ht="15" customHeight="1" x14ac:dyDescent="0.25">
      <c r="AL1743" s="17"/>
      <c r="AM1743" s="12"/>
      <c r="AN1743" s="18"/>
      <c r="AO1743" s="18"/>
      <c r="AP1743" s="10"/>
      <c r="AQ1743" s="10"/>
      <c r="AR1743" s="19"/>
      <c r="AS1743" s="20"/>
      <c r="AT1743" s="19"/>
      <c r="AV1743" s="21">
        <f>IF(AND($AL1743&lt;&gt;"",COUNTIF($AL$11:$AL1743,$AL1743)=1),1,0)</f>
        <v>0</v>
      </c>
      <c r="AW1743" s="21">
        <f t="shared" si="141"/>
        <v>2</v>
      </c>
      <c r="AX1743" s="21" t="str">
        <f t="shared" si="140"/>
        <v/>
      </c>
      <c r="AY1743" s="21" t="str">
        <f>IF(AND($AM1743&lt;&gt;"",$AS1743&lt;&gt;"✓"),SUMPRODUCT(($AM$11:$AM1743&lt;&gt;"")*($AS$11:$AS1743&lt;&gt;"✓")),"")</f>
        <v/>
      </c>
      <c r="AZ1743" s="21" t="str">
        <f>IF(AND($AM1743&lt;&gt;"",$AS1743="✓"),SUMPRODUCT(($AM$11:$AM1743&lt;&gt;"")*($AS$11:$AS1743="✓")),"")</f>
        <v/>
      </c>
      <c r="BA1743" s="21" t="str">
        <f>IF($AL1743="","",$AL1743&amp;"|"&amp;COUNTIF($AL$11:$AL1743,$AL1743))</f>
        <v/>
      </c>
    </row>
    <row r="1744" spans="38:53" ht="15" customHeight="1" x14ac:dyDescent="0.25">
      <c r="AL1744" s="31"/>
      <c r="AM1744" s="26"/>
      <c r="AN1744" s="32"/>
      <c r="AO1744" s="32"/>
      <c r="AP1744" s="24"/>
      <c r="AQ1744" s="24"/>
      <c r="AR1744" s="33"/>
      <c r="AS1744" s="34"/>
      <c r="AT1744" s="33"/>
      <c r="AV1744" s="21">
        <f>IF(AND($AL1744&lt;&gt;"",COUNTIF($AL$11:$AL1744,$AL1744)=1),1,0)</f>
        <v>0</v>
      </c>
      <c r="AW1744" s="21">
        <f t="shared" si="141"/>
        <v>2</v>
      </c>
      <c r="AX1744" s="21" t="str">
        <f t="shared" si="140"/>
        <v/>
      </c>
      <c r="AY1744" s="21" t="str">
        <f>IF(AND($AM1744&lt;&gt;"",$AS1744&lt;&gt;"✓"),SUMPRODUCT(($AM$11:$AM1744&lt;&gt;"")*($AS$11:$AS1744&lt;&gt;"✓")),"")</f>
        <v/>
      </c>
      <c r="AZ1744" s="21" t="str">
        <f>IF(AND($AM1744&lt;&gt;"",$AS1744="✓"),SUMPRODUCT(($AM$11:$AM1744&lt;&gt;"")*($AS$11:$AS1744="✓")),"")</f>
        <v/>
      </c>
      <c r="BA1744" s="21" t="str">
        <f>IF($AL1744="","",$AL1744&amp;"|"&amp;COUNTIF($AL$11:$AL1744,$AL1744))</f>
        <v/>
      </c>
    </row>
    <row r="1745" spans="38:53" ht="15" customHeight="1" x14ac:dyDescent="0.25">
      <c r="AL1745" s="17"/>
      <c r="AM1745" s="12"/>
      <c r="AN1745" s="18"/>
      <c r="AO1745" s="18"/>
      <c r="AP1745" s="10"/>
      <c r="AQ1745" s="10"/>
      <c r="AR1745" s="19"/>
      <c r="AS1745" s="20"/>
      <c r="AT1745" s="19"/>
      <c r="AV1745" s="21">
        <f>IF(AND($AL1745&lt;&gt;"",COUNTIF($AL$11:$AL1745,$AL1745)=1),1,0)</f>
        <v>0</v>
      </c>
      <c r="AW1745" s="21">
        <f t="shared" si="141"/>
        <v>2</v>
      </c>
      <c r="AX1745" s="21" t="str">
        <f t="shared" si="140"/>
        <v/>
      </c>
      <c r="AY1745" s="21" t="str">
        <f>IF(AND($AM1745&lt;&gt;"",$AS1745&lt;&gt;"✓"),SUMPRODUCT(($AM$11:$AM1745&lt;&gt;"")*($AS$11:$AS1745&lt;&gt;"✓")),"")</f>
        <v/>
      </c>
      <c r="AZ1745" s="21" t="str">
        <f>IF(AND($AM1745&lt;&gt;"",$AS1745="✓"),SUMPRODUCT(($AM$11:$AM1745&lt;&gt;"")*($AS$11:$AS1745="✓")),"")</f>
        <v/>
      </c>
      <c r="BA1745" s="21" t="str">
        <f>IF($AL1745="","",$AL1745&amp;"|"&amp;COUNTIF($AL$11:$AL1745,$AL1745))</f>
        <v/>
      </c>
    </row>
    <row r="1746" spans="38:53" ht="15" customHeight="1" x14ac:dyDescent="0.25">
      <c r="AL1746" s="31"/>
      <c r="AM1746" s="26"/>
      <c r="AN1746" s="32"/>
      <c r="AO1746" s="32"/>
      <c r="AP1746" s="24"/>
      <c r="AQ1746" s="24"/>
      <c r="AR1746" s="33"/>
      <c r="AS1746" s="34"/>
      <c r="AT1746" s="33"/>
      <c r="AV1746" s="21">
        <f>IF(AND($AL1746&lt;&gt;"",COUNTIF($AL$11:$AL1746,$AL1746)=1),1,0)</f>
        <v>0</v>
      </c>
      <c r="AW1746" s="21">
        <f t="shared" si="141"/>
        <v>2</v>
      </c>
      <c r="AX1746" s="21" t="str">
        <f t="shared" si="140"/>
        <v/>
      </c>
      <c r="AY1746" s="21" t="str">
        <f>IF(AND($AM1746&lt;&gt;"",$AS1746&lt;&gt;"✓"),SUMPRODUCT(($AM$11:$AM1746&lt;&gt;"")*($AS$11:$AS1746&lt;&gt;"✓")),"")</f>
        <v/>
      </c>
      <c r="AZ1746" s="21" t="str">
        <f>IF(AND($AM1746&lt;&gt;"",$AS1746="✓"),SUMPRODUCT(($AM$11:$AM1746&lt;&gt;"")*($AS$11:$AS1746="✓")),"")</f>
        <v/>
      </c>
      <c r="BA1746" s="21" t="str">
        <f>IF($AL1746="","",$AL1746&amp;"|"&amp;COUNTIF($AL$11:$AL1746,$AL1746))</f>
        <v/>
      </c>
    </row>
    <row r="1747" spans="38:53" ht="15" customHeight="1" x14ac:dyDescent="0.25">
      <c r="AL1747" s="17"/>
      <c r="AM1747" s="12"/>
      <c r="AN1747" s="18"/>
      <c r="AO1747" s="18"/>
      <c r="AP1747" s="10"/>
      <c r="AQ1747" s="10"/>
      <c r="AR1747" s="19"/>
      <c r="AS1747" s="20"/>
      <c r="AT1747" s="19"/>
      <c r="AV1747" s="21">
        <f>IF(AND($AL1747&lt;&gt;"",COUNTIF($AL$11:$AL1747,$AL1747)=1),1,0)</f>
        <v>0</v>
      </c>
      <c r="AW1747" s="21">
        <f t="shared" si="141"/>
        <v>2</v>
      </c>
      <c r="AX1747" s="21" t="str">
        <f t="shared" si="140"/>
        <v/>
      </c>
      <c r="AY1747" s="21" t="str">
        <f>IF(AND($AM1747&lt;&gt;"",$AS1747&lt;&gt;"✓"),SUMPRODUCT(($AM$11:$AM1747&lt;&gt;"")*($AS$11:$AS1747&lt;&gt;"✓")),"")</f>
        <v/>
      </c>
      <c r="AZ1747" s="21" t="str">
        <f>IF(AND($AM1747&lt;&gt;"",$AS1747="✓"),SUMPRODUCT(($AM$11:$AM1747&lt;&gt;"")*($AS$11:$AS1747="✓")),"")</f>
        <v/>
      </c>
      <c r="BA1747" s="21" t="str">
        <f>IF($AL1747="","",$AL1747&amp;"|"&amp;COUNTIF($AL$11:$AL1747,$AL1747))</f>
        <v/>
      </c>
    </row>
    <row r="1748" spans="38:53" ht="15" customHeight="1" x14ac:dyDescent="0.25">
      <c r="AL1748" s="31"/>
      <c r="AM1748" s="26"/>
      <c r="AN1748" s="32"/>
      <c r="AO1748" s="32"/>
      <c r="AP1748" s="24"/>
      <c r="AQ1748" s="24"/>
      <c r="AR1748" s="33"/>
      <c r="AS1748" s="34"/>
      <c r="AT1748" s="33"/>
      <c r="AV1748" s="21">
        <f>IF(AND($AL1748&lt;&gt;"",COUNTIF($AL$11:$AL1748,$AL1748)=1),1,0)</f>
        <v>0</v>
      </c>
      <c r="AW1748" s="21">
        <f t="shared" si="141"/>
        <v>2</v>
      </c>
      <c r="AX1748" s="21" t="str">
        <f t="shared" si="140"/>
        <v/>
      </c>
      <c r="AY1748" s="21" t="str">
        <f>IF(AND($AM1748&lt;&gt;"",$AS1748&lt;&gt;"✓"),SUMPRODUCT(($AM$11:$AM1748&lt;&gt;"")*($AS$11:$AS1748&lt;&gt;"✓")),"")</f>
        <v/>
      </c>
      <c r="AZ1748" s="21" t="str">
        <f>IF(AND($AM1748&lt;&gt;"",$AS1748="✓"),SUMPRODUCT(($AM$11:$AM1748&lt;&gt;"")*($AS$11:$AS1748="✓")),"")</f>
        <v/>
      </c>
      <c r="BA1748" s="21" t="str">
        <f>IF($AL1748="","",$AL1748&amp;"|"&amp;COUNTIF($AL$11:$AL1748,$AL1748))</f>
        <v/>
      </c>
    </row>
    <row r="1749" spans="38:53" ht="15" customHeight="1" x14ac:dyDescent="0.25">
      <c r="AL1749" s="17"/>
      <c r="AM1749" s="12"/>
      <c r="AN1749" s="18"/>
      <c r="AO1749" s="18"/>
      <c r="AP1749" s="10"/>
      <c r="AQ1749" s="10"/>
      <c r="AR1749" s="19"/>
      <c r="AS1749" s="20"/>
      <c r="AT1749" s="19"/>
      <c r="AV1749" s="21">
        <f>IF(AND($AL1749&lt;&gt;"",COUNTIF($AL$11:$AL1749,$AL1749)=1),1,0)</f>
        <v>0</v>
      </c>
      <c r="AW1749" s="21">
        <f t="shared" si="141"/>
        <v>2</v>
      </c>
      <c r="AX1749" s="21" t="str">
        <f t="shared" si="140"/>
        <v/>
      </c>
      <c r="AY1749" s="21" t="str">
        <f>IF(AND($AM1749&lt;&gt;"",$AS1749&lt;&gt;"✓"),SUMPRODUCT(($AM$11:$AM1749&lt;&gt;"")*($AS$11:$AS1749&lt;&gt;"✓")),"")</f>
        <v/>
      </c>
      <c r="AZ1749" s="21" t="str">
        <f>IF(AND($AM1749&lt;&gt;"",$AS1749="✓"),SUMPRODUCT(($AM$11:$AM1749&lt;&gt;"")*($AS$11:$AS1749="✓")),"")</f>
        <v/>
      </c>
      <c r="BA1749" s="21" t="str">
        <f>IF($AL1749="","",$AL1749&amp;"|"&amp;COUNTIF($AL$11:$AL1749,$AL1749))</f>
        <v/>
      </c>
    </row>
    <row r="1750" spans="38:53" ht="15" customHeight="1" x14ac:dyDescent="0.25">
      <c r="AL1750" s="31"/>
      <c r="AM1750" s="26"/>
      <c r="AN1750" s="32"/>
      <c r="AO1750" s="32"/>
      <c r="AP1750" s="24"/>
      <c r="AQ1750" s="24"/>
      <c r="AR1750" s="33"/>
      <c r="AS1750" s="34"/>
      <c r="AT1750" s="33"/>
      <c r="AV1750" s="21">
        <f>IF(AND($AL1750&lt;&gt;"",COUNTIF($AL$11:$AL1750,$AL1750)=1),1,0)</f>
        <v>0</v>
      </c>
      <c r="AW1750" s="21">
        <f t="shared" si="141"/>
        <v>2</v>
      </c>
      <c r="AX1750" s="21" t="str">
        <f t="shared" si="140"/>
        <v/>
      </c>
      <c r="AY1750" s="21" t="str">
        <f>IF(AND($AM1750&lt;&gt;"",$AS1750&lt;&gt;"✓"),SUMPRODUCT(($AM$11:$AM1750&lt;&gt;"")*($AS$11:$AS1750&lt;&gt;"✓")),"")</f>
        <v/>
      </c>
      <c r="AZ1750" s="21" t="str">
        <f>IF(AND($AM1750&lt;&gt;"",$AS1750="✓"),SUMPRODUCT(($AM$11:$AM1750&lt;&gt;"")*($AS$11:$AS1750="✓")),"")</f>
        <v/>
      </c>
      <c r="BA1750" s="21" t="str">
        <f>IF($AL1750="","",$AL1750&amp;"|"&amp;COUNTIF($AL$11:$AL1750,$AL1750))</f>
        <v/>
      </c>
    </row>
    <row r="1751" spans="38:53" ht="15" customHeight="1" x14ac:dyDescent="0.25">
      <c r="AL1751" s="17"/>
      <c r="AM1751" s="12"/>
      <c r="AN1751" s="18"/>
      <c r="AO1751" s="18"/>
      <c r="AP1751" s="10"/>
      <c r="AQ1751" s="10"/>
      <c r="AR1751" s="19"/>
      <c r="AS1751" s="20"/>
      <c r="AT1751" s="19"/>
      <c r="AV1751" s="21">
        <f>IF(AND($AL1751&lt;&gt;"",COUNTIF($AL$11:$AL1751,$AL1751)=1),1,0)</f>
        <v>0</v>
      </c>
      <c r="AW1751" s="21">
        <f t="shared" si="141"/>
        <v>2</v>
      </c>
      <c r="AX1751" s="21" t="str">
        <f t="shared" si="140"/>
        <v/>
      </c>
      <c r="AY1751" s="21" t="str">
        <f>IF(AND($AM1751&lt;&gt;"",$AS1751&lt;&gt;"✓"),SUMPRODUCT(($AM$11:$AM1751&lt;&gt;"")*($AS$11:$AS1751&lt;&gt;"✓")),"")</f>
        <v/>
      </c>
      <c r="AZ1751" s="21" t="str">
        <f>IF(AND($AM1751&lt;&gt;"",$AS1751="✓"),SUMPRODUCT(($AM$11:$AM1751&lt;&gt;"")*($AS$11:$AS1751="✓")),"")</f>
        <v/>
      </c>
      <c r="BA1751" s="21" t="str">
        <f>IF($AL1751="","",$AL1751&amp;"|"&amp;COUNTIF($AL$11:$AL1751,$AL1751))</f>
        <v/>
      </c>
    </row>
    <row r="1752" spans="38:53" ht="15" customHeight="1" x14ac:dyDescent="0.25">
      <c r="AL1752" s="31"/>
      <c r="AM1752" s="26"/>
      <c r="AN1752" s="32"/>
      <c r="AO1752" s="32"/>
      <c r="AP1752" s="24"/>
      <c r="AQ1752" s="24"/>
      <c r="AR1752" s="33"/>
      <c r="AS1752" s="34"/>
      <c r="AT1752" s="33"/>
      <c r="AV1752" s="21">
        <f>IF(AND($AL1752&lt;&gt;"",COUNTIF($AL$11:$AL1752,$AL1752)=1),1,0)</f>
        <v>0</v>
      </c>
      <c r="AW1752" s="21">
        <f t="shared" si="141"/>
        <v>2</v>
      </c>
      <c r="AX1752" s="21" t="str">
        <f t="shared" si="140"/>
        <v/>
      </c>
      <c r="AY1752" s="21" t="str">
        <f>IF(AND($AM1752&lt;&gt;"",$AS1752&lt;&gt;"✓"),SUMPRODUCT(($AM$11:$AM1752&lt;&gt;"")*($AS$11:$AS1752&lt;&gt;"✓")),"")</f>
        <v/>
      </c>
      <c r="AZ1752" s="21" t="str">
        <f>IF(AND($AM1752&lt;&gt;"",$AS1752="✓"),SUMPRODUCT(($AM$11:$AM1752&lt;&gt;"")*($AS$11:$AS1752="✓")),"")</f>
        <v/>
      </c>
      <c r="BA1752" s="21" t="str">
        <f>IF($AL1752="","",$AL1752&amp;"|"&amp;COUNTIF($AL$11:$AL1752,$AL1752))</f>
        <v/>
      </c>
    </row>
    <row r="1753" spans="38:53" ht="15" customHeight="1" x14ac:dyDescent="0.25">
      <c r="AL1753" s="17"/>
      <c r="AM1753" s="12"/>
      <c r="AN1753" s="18"/>
      <c r="AO1753" s="18"/>
      <c r="AP1753" s="10"/>
      <c r="AQ1753" s="10"/>
      <c r="AR1753" s="19"/>
      <c r="AS1753" s="20"/>
      <c r="AT1753" s="19"/>
      <c r="AV1753" s="21">
        <f>IF(AND($AL1753&lt;&gt;"",COUNTIF($AL$11:$AL1753,$AL1753)=1),1,0)</f>
        <v>0</v>
      </c>
      <c r="AW1753" s="21">
        <f t="shared" si="141"/>
        <v>2</v>
      </c>
      <c r="AX1753" s="21" t="str">
        <f t="shared" si="140"/>
        <v/>
      </c>
      <c r="AY1753" s="21" t="str">
        <f>IF(AND($AM1753&lt;&gt;"",$AS1753&lt;&gt;"✓"),SUMPRODUCT(($AM$11:$AM1753&lt;&gt;"")*($AS$11:$AS1753&lt;&gt;"✓")),"")</f>
        <v/>
      </c>
      <c r="AZ1753" s="21" t="str">
        <f>IF(AND($AM1753&lt;&gt;"",$AS1753="✓"),SUMPRODUCT(($AM$11:$AM1753&lt;&gt;"")*($AS$11:$AS1753="✓")),"")</f>
        <v/>
      </c>
      <c r="BA1753" s="21" t="str">
        <f>IF($AL1753="","",$AL1753&amp;"|"&amp;COUNTIF($AL$11:$AL1753,$AL1753))</f>
        <v/>
      </c>
    </row>
    <row r="1754" spans="38:53" ht="15" customHeight="1" x14ac:dyDescent="0.25">
      <c r="AL1754" s="31"/>
      <c r="AM1754" s="26"/>
      <c r="AN1754" s="32"/>
      <c r="AO1754" s="32"/>
      <c r="AP1754" s="24"/>
      <c r="AQ1754" s="24"/>
      <c r="AR1754" s="33"/>
      <c r="AS1754" s="34"/>
      <c r="AT1754" s="33"/>
      <c r="AV1754" s="21">
        <f>IF(AND($AL1754&lt;&gt;"",COUNTIF($AL$11:$AL1754,$AL1754)=1),1,0)</f>
        <v>0</v>
      </c>
      <c r="AW1754" s="21">
        <f t="shared" si="141"/>
        <v>2</v>
      </c>
      <c r="AX1754" s="21" t="str">
        <f t="shared" si="140"/>
        <v/>
      </c>
      <c r="AY1754" s="21" t="str">
        <f>IF(AND($AM1754&lt;&gt;"",$AS1754&lt;&gt;"✓"),SUMPRODUCT(($AM$11:$AM1754&lt;&gt;"")*($AS$11:$AS1754&lt;&gt;"✓")),"")</f>
        <v/>
      </c>
      <c r="AZ1754" s="21" t="str">
        <f>IF(AND($AM1754&lt;&gt;"",$AS1754="✓"),SUMPRODUCT(($AM$11:$AM1754&lt;&gt;"")*($AS$11:$AS1754="✓")),"")</f>
        <v/>
      </c>
      <c r="BA1754" s="21" t="str">
        <f>IF($AL1754="","",$AL1754&amp;"|"&amp;COUNTIF($AL$11:$AL1754,$AL1754))</f>
        <v/>
      </c>
    </row>
    <row r="1755" spans="38:53" ht="15" customHeight="1" x14ac:dyDescent="0.25">
      <c r="AL1755" s="17"/>
      <c r="AM1755" s="12"/>
      <c r="AN1755" s="18"/>
      <c r="AO1755" s="18"/>
      <c r="AP1755" s="10"/>
      <c r="AQ1755" s="10"/>
      <c r="AR1755" s="19"/>
      <c r="AS1755" s="20"/>
      <c r="AT1755" s="19"/>
      <c r="AV1755" s="21">
        <f>IF(AND($AL1755&lt;&gt;"",COUNTIF($AL$11:$AL1755,$AL1755)=1),1,0)</f>
        <v>0</v>
      </c>
      <c r="AW1755" s="21">
        <f t="shared" si="141"/>
        <v>2</v>
      </c>
      <c r="AX1755" s="21" t="str">
        <f t="shared" si="140"/>
        <v/>
      </c>
      <c r="AY1755" s="21" t="str">
        <f>IF(AND($AM1755&lt;&gt;"",$AS1755&lt;&gt;"✓"),SUMPRODUCT(($AM$11:$AM1755&lt;&gt;"")*($AS$11:$AS1755&lt;&gt;"✓")),"")</f>
        <v/>
      </c>
      <c r="AZ1755" s="21" t="str">
        <f>IF(AND($AM1755&lt;&gt;"",$AS1755="✓"),SUMPRODUCT(($AM$11:$AM1755&lt;&gt;"")*($AS$11:$AS1755="✓")),"")</f>
        <v/>
      </c>
      <c r="BA1755" s="21" t="str">
        <f>IF($AL1755="","",$AL1755&amp;"|"&amp;COUNTIF($AL$11:$AL1755,$AL1755))</f>
        <v/>
      </c>
    </row>
    <row r="1756" spans="38:53" ht="15" customHeight="1" x14ac:dyDescent="0.25">
      <c r="AL1756" s="31"/>
      <c r="AM1756" s="26"/>
      <c r="AN1756" s="32"/>
      <c r="AO1756" s="32"/>
      <c r="AP1756" s="24"/>
      <c r="AQ1756" s="24"/>
      <c r="AR1756" s="33"/>
      <c r="AS1756" s="34"/>
      <c r="AT1756" s="33"/>
      <c r="AV1756" s="21">
        <f>IF(AND($AL1756&lt;&gt;"",COUNTIF($AL$11:$AL1756,$AL1756)=1),1,0)</f>
        <v>0</v>
      </c>
      <c r="AW1756" s="21">
        <f t="shared" si="141"/>
        <v>2</v>
      </c>
      <c r="AX1756" s="21" t="str">
        <f t="shared" si="140"/>
        <v/>
      </c>
      <c r="AY1756" s="21" t="str">
        <f>IF(AND($AM1756&lt;&gt;"",$AS1756&lt;&gt;"✓"),SUMPRODUCT(($AM$11:$AM1756&lt;&gt;"")*($AS$11:$AS1756&lt;&gt;"✓")),"")</f>
        <v/>
      </c>
      <c r="AZ1756" s="21" t="str">
        <f>IF(AND($AM1756&lt;&gt;"",$AS1756="✓"),SUMPRODUCT(($AM$11:$AM1756&lt;&gt;"")*($AS$11:$AS1756="✓")),"")</f>
        <v/>
      </c>
      <c r="BA1756" s="21" t="str">
        <f>IF($AL1756="","",$AL1756&amp;"|"&amp;COUNTIF($AL$11:$AL1756,$AL1756))</f>
        <v/>
      </c>
    </row>
    <row r="1757" spans="38:53" ht="15" customHeight="1" x14ac:dyDescent="0.25">
      <c r="AL1757" s="17"/>
      <c r="AM1757" s="12"/>
      <c r="AN1757" s="18"/>
      <c r="AO1757" s="18"/>
      <c r="AP1757" s="10"/>
      <c r="AQ1757" s="10"/>
      <c r="AR1757" s="19"/>
      <c r="AS1757" s="20"/>
      <c r="AT1757" s="19"/>
      <c r="AV1757" s="21">
        <f>IF(AND($AL1757&lt;&gt;"",COUNTIF($AL$11:$AL1757,$AL1757)=1),1,0)</f>
        <v>0</v>
      </c>
      <c r="AW1757" s="21">
        <f t="shared" si="141"/>
        <v>2</v>
      </c>
      <c r="AX1757" s="21" t="str">
        <f t="shared" si="140"/>
        <v/>
      </c>
      <c r="AY1757" s="21" t="str">
        <f>IF(AND($AM1757&lt;&gt;"",$AS1757&lt;&gt;"✓"),SUMPRODUCT(($AM$11:$AM1757&lt;&gt;"")*($AS$11:$AS1757&lt;&gt;"✓")),"")</f>
        <v/>
      </c>
      <c r="AZ1757" s="21" t="str">
        <f>IF(AND($AM1757&lt;&gt;"",$AS1757="✓"),SUMPRODUCT(($AM$11:$AM1757&lt;&gt;"")*($AS$11:$AS1757="✓")),"")</f>
        <v/>
      </c>
      <c r="BA1757" s="21" t="str">
        <f>IF($AL1757="","",$AL1757&amp;"|"&amp;COUNTIF($AL$11:$AL1757,$AL1757))</f>
        <v/>
      </c>
    </row>
    <row r="1758" spans="38:53" ht="15" customHeight="1" x14ac:dyDescent="0.25">
      <c r="AL1758" s="31"/>
      <c r="AM1758" s="26"/>
      <c r="AN1758" s="32"/>
      <c r="AO1758" s="32"/>
      <c r="AP1758" s="24"/>
      <c r="AQ1758" s="24"/>
      <c r="AR1758" s="33"/>
      <c r="AS1758" s="34"/>
      <c r="AT1758" s="33"/>
      <c r="AV1758" s="21">
        <f>IF(AND($AL1758&lt;&gt;"",COUNTIF($AL$11:$AL1758,$AL1758)=1),1,0)</f>
        <v>0</v>
      </c>
      <c r="AW1758" s="21">
        <f t="shared" si="141"/>
        <v>2</v>
      </c>
      <c r="AX1758" s="21" t="str">
        <f t="shared" si="140"/>
        <v/>
      </c>
      <c r="AY1758" s="21" t="str">
        <f>IF(AND($AM1758&lt;&gt;"",$AS1758&lt;&gt;"✓"),SUMPRODUCT(($AM$11:$AM1758&lt;&gt;"")*($AS$11:$AS1758&lt;&gt;"✓")),"")</f>
        <v/>
      </c>
      <c r="AZ1758" s="21" t="str">
        <f>IF(AND($AM1758&lt;&gt;"",$AS1758="✓"),SUMPRODUCT(($AM$11:$AM1758&lt;&gt;"")*($AS$11:$AS1758="✓")),"")</f>
        <v/>
      </c>
      <c r="BA1758" s="21" t="str">
        <f>IF($AL1758="","",$AL1758&amp;"|"&amp;COUNTIF($AL$11:$AL1758,$AL1758))</f>
        <v/>
      </c>
    </row>
    <row r="1759" spans="38:53" ht="15" customHeight="1" x14ac:dyDescent="0.25">
      <c r="AL1759" s="17"/>
      <c r="AM1759" s="12"/>
      <c r="AN1759" s="18"/>
      <c r="AO1759" s="18"/>
      <c r="AP1759" s="10"/>
      <c r="AQ1759" s="10"/>
      <c r="AR1759" s="19"/>
      <c r="AS1759" s="20"/>
      <c r="AT1759" s="19"/>
      <c r="AV1759" s="21">
        <f>IF(AND($AL1759&lt;&gt;"",COUNTIF($AL$11:$AL1759,$AL1759)=1),1,0)</f>
        <v>0</v>
      </c>
      <c r="AW1759" s="21">
        <f t="shared" si="141"/>
        <v>2</v>
      </c>
      <c r="AX1759" s="21" t="str">
        <f t="shared" si="140"/>
        <v/>
      </c>
      <c r="AY1759" s="21" t="str">
        <f>IF(AND($AM1759&lt;&gt;"",$AS1759&lt;&gt;"✓"),SUMPRODUCT(($AM$11:$AM1759&lt;&gt;"")*($AS$11:$AS1759&lt;&gt;"✓")),"")</f>
        <v/>
      </c>
      <c r="AZ1759" s="21" t="str">
        <f>IF(AND($AM1759&lt;&gt;"",$AS1759="✓"),SUMPRODUCT(($AM$11:$AM1759&lt;&gt;"")*($AS$11:$AS1759="✓")),"")</f>
        <v/>
      </c>
      <c r="BA1759" s="21" t="str">
        <f>IF($AL1759="","",$AL1759&amp;"|"&amp;COUNTIF($AL$11:$AL1759,$AL1759))</f>
        <v/>
      </c>
    </row>
    <row r="1760" spans="38:53" ht="15" customHeight="1" x14ac:dyDescent="0.25">
      <c r="AL1760" s="31"/>
      <c r="AM1760" s="26"/>
      <c r="AN1760" s="32"/>
      <c r="AO1760" s="32"/>
      <c r="AP1760" s="24"/>
      <c r="AQ1760" s="24"/>
      <c r="AR1760" s="33"/>
      <c r="AS1760" s="34"/>
      <c r="AT1760" s="33"/>
      <c r="AV1760" s="21">
        <f>IF(AND($AL1760&lt;&gt;"",COUNTIF($AL$11:$AL1760,$AL1760)=1),1,0)</f>
        <v>0</v>
      </c>
      <c r="AW1760" s="21">
        <f t="shared" si="141"/>
        <v>2</v>
      </c>
      <c r="AX1760" s="21" t="str">
        <f t="shared" si="140"/>
        <v/>
      </c>
      <c r="AY1760" s="21" t="str">
        <f>IF(AND($AM1760&lt;&gt;"",$AS1760&lt;&gt;"✓"),SUMPRODUCT(($AM$11:$AM1760&lt;&gt;"")*($AS$11:$AS1760&lt;&gt;"✓")),"")</f>
        <v/>
      </c>
      <c r="AZ1760" s="21" t="str">
        <f>IF(AND($AM1760&lt;&gt;"",$AS1760="✓"),SUMPRODUCT(($AM$11:$AM1760&lt;&gt;"")*($AS$11:$AS1760="✓")),"")</f>
        <v/>
      </c>
      <c r="BA1760" s="21" t="str">
        <f>IF($AL1760="","",$AL1760&amp;"|"&amp;COUNTIF($AL$11:$AL1760,$AL1760))</f>
        <v/>
      </c>
    </row>
    <row r="1761" spans="38:53" ht="15" customHeight="1" x14ac:dyDescent="0.25">
      <c r="AL1761" s="17"/>
      <c r="AM1761" s="12"/>
      <c r="AN1761" s="18"/>
      <c r="AO1761" s="18"/>
      <c r="AP1761" s="10"/>
      <c r="AQ1761" s="10"/>
      <c r="AR1761" s="19"/>
      <c r="AS1761" s="20"/>
      <c r="AT1761" s="19"/>
      <c r="AV1761" s="21">
        <f>IF(AND($AL1761&lt;&gt;"",COUNTIF($AL$11:$AL1761,$AL1761)=1),1,0)</f>
        <v>0</v>
      </c>
      <c r="AW1761" s="21">
        <f t="shared" si="141"/>
        <v>2</v>
      </c>
      <c r="AX1761" s="21" t="str">
        <f t="shared" si="140"/>
        <v/>
      </c>
      <c r="AY1761" s="21" t="str">
        <f>IF(AND($AM1761&lt;&gt;"",$AS1761&lt;&gt;"✓"),SUMPRODUCT(($AM$11:$AM1761&lt;&gt;"")*($AS$11:$AS1761&lt;&gt;"✓")),"")</f>
        <v/>
      </c>
      <c r="AZ1761" s="21" t="str">
        <f>IF(AND($AM1761&lt;&gt;"",$AS1761="✓"),SUMPRODUCT(($AM$11:$AM1761&lt;&gt;"")*($AS$11:$AS1761="✓")),"")</f>
        <v/>
      </c>
      <c r="BA1761" s="21" t="str">
        <f>IF($AL1761="","",$AL1761&amp;"|"&amp;COUNTIF($AL$11:$AL1761,$AL1761))</f>
        <v/>
      </c>
    </row>
    <row r="1762" spans="38:53" ht="15" customHeight="1" x14ac:dyDescent="0.25">
      <c r="AL1762" s="31"/>
      <c r="AM1762" s="26"/>
      <c r="AN1762" s="32"/>
      <c r="AO1762" s="32"/>
      <c r="AP1762" s="24"/>
      <c r="AQ1762" s="24"/>
      <c r="AR1762" s="33"/>
      <c r="AS1762" s="34"/>
      <c r="AT1762" s="33"/>
      <c r="AV1762" s="21">
        <f>IF(AND($AL1762&lt;&gt;"",COUNTIF($AL$11:$AL1762,$AL1762)=1),1,0)</f>
        <v>0</v>
      </c>
      <c r="AW1762" s="21">
        <f t="shared" si="141"/>
        <v>2</v>
      </c>
      <c r="AX1762" s="21" t="str">
        <f t="shared" si="140"/>
        <v/>
      </c>
      <c r="AY1762" s="21" t="str">
        <f>IF(AND($AM1762&lt;&gt;"",$AS1762&lt;&gt;"✓"),SUMPRODUCT(($AM$11:$AM1762&lt;&gt;"")*($AS$11:$AS1762&lt;&gt;"✓")),"")</f>
        <v/>
      </c>
      <c r="AZ1762" s="21" t="str">
        <f>IF(AND($AM1762&lt;&gt;"",$AS1762="✓"),SUMPRODUCT(($AM$11:$AM1762&lt;&gt;"")*($AS$11:$AS1762="✓")),"")</f>
        <v/>
      </c>
      <c r="BA1762" s="21" t="str">
        <f>IF($AL1762="","",$AL1762&amp;"|"&amp;COUNTIF($AL$11:$AL1762,$AL1762))</f>
        <v/>
      </c>
    </row>
    <row r="1763" spans="38:53" ht="15" customHeight="1" x14ac:dyDescent="0.25">
      <c r="AL1763" s="17"/>
      <c r="AM1763" s="12"/>
      <c r="AN1763" s="18"/>
      <c r="AO1763" s="18"/>
      <c r="AP1763" s="10"/>
      <c r="AQ1763" s="10"/>
      <c r="AR1763" s="19"/>
      <c r="AS1763" s="20"/>
      <c r="AT1763" s="19"/>
      <c r="AV1763" s="21">
        <f>IF(AND($AL1763&lt;&gt;"",COUNTIF($AL$11:$AL1763,$AL1763)=1),1,0)</f>
        <v>0</v>
      </c>
      <c r="AW1763" s="21">
        <f t="shared" si="141"/>
        <v>2</v>
      </c>
      <c r="AX1763" s="21" t="str">
        <f t="shared" si="140"/>
        <v/>
      </c>
      <c r="AY1763" s="21" t="str">
        <f>IF(AND($AM1763&lt;&gt;"",$AS1763&lt;&gt;"✓"),SUMPRODUCT(($AM$11:$AM1763&lt;&gt;"")*($AS$11:$AS1763&lt;&gt;"✓")),"")</f>
        <v/>
      </c>
      <c r="AZ1763" s="21" t="str">
        <f>IF(AND($AM1763&lt;&gt;"",$AS1763="✓"),SUMPRODUCT(($AM$11:$AM1763&lt;&gt;"")*($AS$11:$AS1763="✓")),"")</f>
        <v/>
      </c>
      <c r="BA1763" s="21" t="str">
        <f>IF($AL1763="","",$AL1763&amp;"|"&amp;COUNTIF($AL$11:$AL1763,$AL1763))</f>
        <v/>
      </c>
    </row>
    <row r="1764" spans="38:53" ht="15" customHeight="1" x14ac:dyDescent="0.25">
      <c r="AL1764" s="31"/>
      <c r="AM1764" s="26"/>
      <c r="AN1764" s="32"/>
      <c r="AO1764" s="32"/>
      <c r="AP1764" s="24"/>
      <c r="AQ1764" s="24"/>
      <c r="AR1764" s="33"/>
      <c r="AS1764" s="34"/>
      <c r="AT1764" s="33"/>
      <c r="AV1764" s="21">
        <f>IF(AND($AL1764&lt;&gt;"",COUNTIF($AL$11:$AL1764,$AL1764)=1),1,0)</f>
        <v>0</v>
      </c>
      <c r="AW1764" s="21">
        <f t="shared" si="141"/>
        <v>2</v>
      </c>
      <c r="AX1764" s="21" t="str">
        <f t="shared" si="140"/>
        <v/>
      </c>
      <c r="AY1764" s="21" t="str">
        <f>IF(AND($AM1764&lt;&gt;"",$AS1764&lt;&gt;"✓"),SUMPRODUCT(($AM$11:$AM1764&lt;&gt;"")*($AS$11:$AS1764&lt;&gt;"✓")),"")</f>
        <v/>
      </c>
      <c r="AZ1764" s="21" t="str">
        <f>IF(AND($AM1764&lt;&gt;"",$AS1764="✓"),SUMPRODUCT(($AM$11:$AM1764&lt;&gt;"")*($AS$11:$AS1764="✓")),"")</f>
        <v/>
      </c>
      <c r="BA1764" s="21" t="str">
        <f>IF($AL1764="","",$AL1764&amp;"|"&amp;COUNTIF($AL$11:$AL1764,$AL1764))</f>
        <v/>
      </c>
    </row>
    <row r="1765" spans="38:53" ht="15" customHeight="1" x14ac:dyDescent="0.25">
      <c r="AL1765" s="17"/>
      <c r="AM1765" s="12"/>
      <c r="AN1765" s="18"/>
      <c r="AO1765" s="18"/>
      <c r="AP1765" s="10"/>
      <c r="AQ1765" s="10"/>
      <c r="AR1765" s="19"/>
      <c r="AS1765" s="20"/>
      <c r="AT1765" s="19"/>
      <c r="AV1765" s="21">
        <f>IF(AND($AL1765&lt;&gt;"",COUNTIF($AL$11:$AL1765,$AL1765)=1),1,0)</f>
        <v>0</v>
      </c>
      <c r="AW1765" s="21">
        <f t="shared" si="141"/>
        <v>2</v>
      </c>
      <c r="AX1765" s="21" t="str">
        <f t="shared" si="140"/>
        <v/>
      </c>
      <c r="AY1765" s="21" t="str">
        <f>IF(AND($AM1765&lt;&gt;"",$AS1765&lt;&gt;"✓"),SUMPRODUCT(($AM$11:$AM1765&lt;&gt;"")*($AS$11:$AS1765&lt;&gt;"✓")),"")</f>
        <v/>
      </c>
      <c r="AZ1765" s="21" t="str">
        <f>IF(AND($AM1765&lt;&gt;"",$AS1765="✓"),SUMPRODUCT(($AM$11:$AM1765&lt;&gt;"")*($AS$11:$AS1765="✓")),"")</f>
        <v/>
      </c>
      <c r="BA1765" s="21" t="str">
        <f>IF($AL1765="","",$AL1765&amp;"|"&amp;COUNTIF($AL$11:$AL1765,$AL1765))</f>
        <v/>
      </c>
    </row>
    <row r="1766" spans="38:53" ht="15" customHeight="1" x14ac:dyDescent="0.25">
      <c r="AL1766" s="31"/>
      <c r="AM1766" s="26"/>
      <c r="AN1766" s="32"/>
      <c r="AO1766" s="32"/>
      <c r="AP1766" s="24"/>
      <c r="AQ1766" s="24"/>
      <c r="AR1766" s="33"/>
      <c r="AS1766" s="34"/>
      <c r="AT1766" s="33"/>
      <c r="AV1766" s="21">
        <f>IF(AND($AL1766&lt;&gt;"",COUNTIF($AL$11:$AL1766,$AL1766)=1),1,0)</f>
        <v>0</v>
      </c>
      <c r="AW1766" s="21">
        <f t="shared" si="141"/>
        <v>2</v>
      </c>
      <c r="AX1766" s="21" t="str">
        <f t="shared" si="140"/>
        <v/>
      </c>
      <c r="AY1766" s="21" t="str">
        <f>IF(AND($AM1766&lt;&gt;"",$AS1766&lt;&gt;"✓"),SUMPRODUCT(($AM$11:$AM1766&lt;&gt;"")*($AS$11:$AS1766&lt;&gt;"✓")),"")</f>
        <v/>
      </c>
      <c r="AZ1766" s="21" t="str">
        <f>IF(AND($AM1766&lt;&gt;"",$AS1766="✓"),SUMPRODUCT(($AM$11:$AM1766&lt;&gt;"")*($AS$11:$AS1766="✓")),"")</f>
        <v/>
      </c>
      <c r="BA1766" s="21" t="str">
        <f>IF($AL1766="","",$AL1766&amp;"|"&amp;COUNTIF($AL$11:$AL1766,$AL1766))</f>
        <v/>
      </c>
    </row>
    <row r="1767" spans="38:53" ht="15" customHeight="1" x14ac:dyDescent="0.25">
      <c r="AL1767" s="17"/>
      <c r="AM1767" s="12"/>
      <c r="AN1767" s="18"/>
      <c r="AO1767" s="18"/>
      <c r="AP1767" s="10"/>
      <c r="AQ1767" s="10"/>
      <c r="AR1767" s="19"/>
      <c r="AS1767" s="20"/>
      <c r="AT1767" s="19"/>
      <c r="AV1767" s="21">
        <f>IF(AND($AL1767&lt;&gt;"",COUNTIF($AL$11:$AL1767,$AL1767)=1),1,0)</f>
        <v>0</v>
      </c>
      <c r="AW1767" s="21">
        <f t="shared" si="141"/>
        <v>2</v>
      </c>
      <c r="AX1767" s="21" t="str">
        <f t="shared" si="140"/>
        <v/>
      </c>
      <c r="AY1767" s="21" t="str">
        <f>IF(AND($AM1767&lt;&gt;"",$AS1767&lt;&gt;"✓"),SUMPRODUCT(($AM$11:$AM1767&lt;&gt;"")*($AS$11:$AS1767&lt;&gt;"✓")),"")</f>
        <v/>
      </c>
      <c r="AZ1767" s="21" t="str">
        <f>IF(AND($AM1767&lt;&gt;"",$AS1767="✓"),SUMPRODUCT(($AM$11:$AM1767&lt;&gt;"")*($AS$11:$AS1767="✓")),"")</f>
        <v/>
      </c>
      <c r="BA1767" s="21" t="str">
        <f>IF($AL1767="","",$AL1767&amp;"|"&amp;COUNTIF($AL$11:$AL1767,$AL1767))</f>
        <v/>
      </c>
    </row>
    <row r="1768" spans="38:53" ht="15" customHeight="1" x14ac:dyDescent="0.25">
      <c r="AL1768" s="31"/>
      <c r="AM1768" s="26"/>
      <c r="AN1768" s="32"/>
      <c r="AO1768" s="32"/>
      <c r="AP1768" s="24"/>
      <c r="AQ1768" s="24"/>
      <c r="AR1768" s="33"/>
      <c r="AS1768" s="34"/>
      <c r="AT1768" s="33"/>
      <c r="AV1768" s="21">
        <f>IF(AND($AL1768&lt;&gt;"",COUNTIF($AL$11:$AL1768,$AL1768)=1),1,0)</f>
        <v>0</v>
      </c>
      <c r="AW1768" s="21">
        <f t="shared" si="141"/>
        <v>2</v>
      </c>
      <c r="AX1768" s="21" t="str">
        <f t="shared" si="140"/>
        <v/>
      </c>
      <c r="AY1768" s="21" t="str">
        <f>IF(AND($AM1768&lt;&gt;"",$AS1768&lt;&gt;"✓"),SUMPRODUCT(($AM$11:$AM1768&lt;&gt;"")*($AS$11:$AS1768&lt;&gt;"✓")),"")</f>
        <v/>
      </c>
      <c r="AZ1768" s="21" t="str">
        <f>IF(AND($AM1768&lt;&gt;"",$AS1768="✓"),SUMPRODUCT(($AM$11:$AM1768&lt;&gt;"")*($AS$11:$AS1768="✓")),"")</f>
        <v/>
      </c>
      <c r="BA1768" s="21" t="str">
        <f>IF($AL1768="","",$AL1768&amp;"|"&amp;COUNTIF($AL$11:$AL1768,$AL1768))</f>
        <v/>
      </c>
    </row>
    <row r="1769" spans="38:53" ht="15" customHeight="1" x14ac:dyDescent="0.25">
      <c r="AL1769" s="17"/>
      <c r="AM1769" s="12"/>
      <c r="AN1769" s="18"/>
      <c r="AO1769" s="18"/>
      <c r="AP1769" s="10"/>
      <c r="AQ1769" s="10"/>
      <c r="AR1769" s="19"/>
      <c r="AS1769" s="20"/>
      <c r="AT1769" s="19"/>
      <c r="AV1769" s="21">
        <f>IF(AND($AL1769&lt;&gt;"",COUNTIF($AL$11:$AL1769,$AL1769)=1),1,0)</f>
        <v>0</v>
      </c>
      <c r="AW1769" s="21">
        <f t="shared" si="141"/>
        <v>2</v>
      </c>
      <c r="AX1769" s="21" t="str">
        <f t="shared" si="140"/>
        <v/>
      </c>
      <c r="AY1769" s="21" t="str">
        <f>IF(AND($AM1769&lt;&gt;"",$AS1769&lt;&gt;"✓"),SUMPRODUCT(($AM$11:$AM1769&lt;&gt;"")*($AS$11:$AS1769&lt;&gt;"✓")),"")</f>
        <v/>
      </c>
      <c r="AZ1769" s="21" t="str">
        <f>IF(AND($AM1769&lt;&gt;"",$AS1769="✓"),SUMPRODUCT(($AM$11:$AM1769&lt;&gt;"")*($AS$11:$AS1769="✓")),"")</f>
        <v/>
      </c>
      <c r="BA1769" s="21" t="str">
        <f>IF($AL1769="","",$AL1769&amp;"|"&amp;COUNTIF($AL$11:$AL1769,$AL1769))</f>
        <v/>
      </c>
    </row>
    <row r="1770" spans="38:53" ht="15" customHeight="1" x14ac:dyDescent="0.25">
      <c r="AL1770" s="31"/>
      <c r="AM1770" s="26"/>
      <c r="AN1770" s="32"/>
      <c r="AO1770" s="32"/>
      <c r="AP1770" s="24"/>
      <c r="AQ1770" s="24"/>
      <c r="AR1770" s="33"/>
      <c r="AS1770" s="34"/>
      <c r="AT1770" s="33"/>
      <c r="AV1770" s="21">
        <f>IF(AND($AL1770&lt;&gt;"",COUNTIF($AL$11:$AL1770,$AL1770)=1),1,0)</f>
        <v>0</v>
      </c>
      <c r="AW1770" s="21">
        <f t="shared" si="141"/>
        <v>2</v>
      </c>
      <c r="AX1770" s="21" t="str">
        <f t="shared" si="140"/>
        <v/>
      </c>
      <c r="AY1770" s="21" t="str">
        <f>IF(AND($AM1770&lt;&gt;"",$AS1770&lt;&gt;"✓"),SUMPRODUCT(($AM$11:$AM1770&lt;&gt;"")*($AS$11:$AS1770&lt;&gt;"✓")),"")</f>
        <v/>
      </c>
      <c r="AZ1770" s="21" t="str">
        <f>IF(AND($AM1770&lt;&gt;"",$AS1770="✓"),SUMPRODUCT(($AM$11:$AM1770&lt;&gt;"")*($AS$11:$AS1770="✓")),"")</f>
        <v/>
      </c>
      <c r="BA1770" s="21" t="str">
        <f>IF($AL1770="","",$AL1770&amp;"|"&amp;COUNTIF($AL$11:$AL1770,$AL1770))</f>
        <v/>
      </c>
    </row>
    <row r="1771" spans="38:53" ht="15" customHeight="1" x14ac:dyDescent="0.25">
      <c r="AL1771" s="17"/>
      <c r="AM1771" s="12"/>
      <c r="AN1771" s="18"/>
      <c r="AO1771" s="18"/>
      <c r="AP1771" s="10"/>
      <c r="AQ1771" s="10"/>
      <c r="AR1771" s="19"/>
      <c r="AS1771" s="20"/>
      <c r="AT1771" s="19"/>
      <c r="AV1771" s="21">
        <f>IF(AND($AL1771&lt;&gt;"",COUNTIF($AL$11:$AL1771,$AL1771)=1),1,0)</f>
        <v>0</v>
      </c>
      <c r="AW1771" s="21">
        <f t="shared" si="141"/>
        <v>2</v>
      </c>
      <c r="AX1771" s="21" t="str">
        <f t="shared" si="140"/>
        <v/>
      </c>
      <c r="AY1771" s="21" t="str">
        <f>IF(AND($AM1771&lt;&gt;"",$AS1771&lt;&gt;"✓"),SUMPRODUCT(($AM$11:$AM1771&lt;&gt;"")*($AS$11:$AS1771&lt;&gt;"✓")),"")</f>
        <v/>
      </c>
      <c r="AZ1771" s="21" t="str">
        <f>IF(AND($AM1771&lt;&gt;"",$AS1771="✓"),SUMPRODUCT(($AM$11:$AM1771&lt;&gt;"")*($AS$11:$AS1771="✓")),"")</f>
        <v/>
      </c>
      <c r="BA1771" s="21" t="str">
        <f>IF($AL1771="","",$AL1771&amp;"|"&amp;COUNTIF($AL$11:$AL1771,$AL1771))</f>
        <v/>
      </c>
    </row>
    <row r="1772" spans="38:53" ht="15" customHeight="1" x14ac:dyDescent="0.25">
      <c r="AL1772" s="31"/>
      <c r="AM1772" s="26"/>
      <c r="AN1772" s="32"/>
      <c r="AO1772" s="32"/>
      <c r="AP1772" s="24"/>
      <c r="AQ1772" s="24"/>
      <c r="AR1772" s="33"/>
      <c r="AS1772" s="34"/>
      <c r="AT1772" s="33"/>
      <c r="AV1772" s="21">
        <f>IF(AND($AL1772&lt;&gt;"",COUNTIF($AL$11:$AL1772,$AL1772)=1),1,0)</f>
        <v>0</v>
      </c>
      <c r="AW1772" s="21">
        <f t="shared" si="141"/>
        <v>2</v>
      </c>
      <c r="AX1772" s="21" t="str">
        <f t="shared" si="140"/>
        <v/>
      </c>
      <c r="AY1772" s="21" t="str">
        <f>IF(AND($AM1772&lt;&gt;"",$AS1772&lt;&gt;"✓"),SUMPRODUCT(($AM$11:$AM1772&lt;&gt;"")*($AS$11:$AS1772&lt;&gt;"✓")),"")</f>
        <v/>
      </c>
      <c r="AZ1772" s="21" t="str">
        <f>IF(AND($AM1772&lt;&gt;"",$AS1772="✓"),SUMPRODUCT(($AM$11:$AM1772&lt;&gt;"")*($AS$11:$AS1772="✓")),"")</f>
        <v/>
      </c>
      <c r="BA1772" s="21" t="str">
        <f>IF($AL1772="","",$AL1772&amp;"|"&amp;COUNTIF($AL$11:$AL1772,$AL1772))</f>
        <v/>
      </c>
    </row>
    <row r="1773" spans="38:53" ht="15" customHeight="1" x14ac:dyDescent="0.25">
      <c r="AL1773" s="17"/>
      <c r="AM1773" s="12"/>
      <c r="AN1773" s="18"/>
      <c r="AO1773" s="18"/>
      <c r="AP1773" s="10"/>
      <c r="AQ1773" s="10"/>
      <c r="AR1773" s="19"/>
      <c r="AS1773" s="20"/>
      <c r="AT1773" s="19"/>
      <c r="AV1773" s="21">
        <f>IF(AND($AL1773&lt;&gt;"",COUNTIF($AL$11:$AL1773,$AL1773)=1),1,0)</f>
        <v>0</v>
      </c>
      <c r="AW1773" s="21">
        <f t="shared" si="141"/>
        <v>2</v>
      </c>
      <c r="AX1773" s="21" t="str">
        <f t="shared" si="140"/>
        <v/>
      </c>
      <c r="AY1773" s="21" t="str">
        <f>IF(AND($AM1773&lt;&gt;"",$AS1773&lt;&gt;"✓"),SUMPRODUCT(($AM$11:$AM1773&lt;&gt;"")*($AS$11:$AS1773&lt;&gt;"✓")),"")</f>
        <v/>
      </c>
      <c r="AZ1773" s="21" t="str">
        <f>IF(AND($AM1773&lt;&gt;"",$AS1773="✓"),SUMPRODUCT(($AM$11:$AM1773&lt;&gt;"")*($AS$11:$AS1773="✓")),"")</f>
        <v/>
      </c>
      <c r="BA1773" s="21" t="str">
        <f>IF($AL1773="","",$AL1773&amp;"|"&amp;COUNTIF($AL$11:$AL1773,$AL1773))</f>
        <v/>
      </c>
    </row>
    <row r="1774" spans="38:53" ht="15" customHeight="1" x14ac:dyDescent="0.25">
      <c r="AL1774" s="31"/>
      <c r="AM1774" s="26"/>
      <c r="AN1774" s="32"/>
      <c r="AO1774" s="32"/>
      <c r="AP1774" s="24"/>
      <c r="AQ1774" s="24"/>
      <c r="AR1774" s="33"/>
      <c r="AS1774" s="34"/>
      <c r="AT1774" s="33"/>
      <c r="AV1774" s="21">
        <f>IF(AND($AL1774&lt;&gt;"",COUNTIF($AL$11:$AL1774,$AL1774)=1),1,0)</f>
        <v>0</v>
      </c>
      <c r="AW1774" s="21">
        <f t="shared" si="141"/>
        <v>2</v>
      </c>
      <c r="AX1774" s="21" t="str">
        <f t="shared" si="140"/>
        <v/>
      </c>
      <c r="AY1774" s="21" t="str">
        <f>IF(AND($AM1774&lt;&gt;"",$AS1774&lt;&gt;"✓"),SUMPRODUCT(($AM$11:$AM1774&lt;&gt;"")*($AS$11:$AS1774&lt;&gt;"✓")),"")</f>
        <v/>
      </c>
      <c r="AZ1774" s="21" t="str">
        <f>IF(AND($AM1774&lt;&gt;"",$AS1774="✓"),SUMPRODUCT(($AM$11:$AM1774&lt;&gt;"")*($AS$11:$AS1774="✓")),"")</f>
        <v/>
      </c>
      <c r="BA1774" s="21" t="str">
        <f>IF($AL1774="","",$AL1774&amp;"|"&amp;COUNTIF($AL$11:$AL1774,$AL1774))</f>
        <v/>
      </c>
    </row>
    <row r="1775" spans="38:53" ht="15" customHeight="1" x14ac:dyDescent="0.25">
      <c r="AL1775" s="17"/>
      <c r="AM1775" s="12"/>
      <c r="AN1775" s="18"/>
      <c r="AO1775" s="18"/>
      <c r="AP1775" s="10"/>
      <c r="AQ1775" s="10"/>
      <c r="AR1775" s="19"/>
      <c r="AS1775" s="20"/>
      <c r="AT1775" s="19"/>
      <c r="AV1775" s="21">
        <f>IF(AND($AL1775&lt;&gt;"",COUNTIF($AL$11:$AL1775,$AL1775)=1),1,0)</f>
        <v>0</v>
      </c>
      <c r="AW1775" s="21">
        <f t="shared" si="141"/>
        <v>2</v>
      </c>
      <c r="AX1775" s="21" t="str">
        <f t="shared" si="140"/>
        <v/>
      </c>
      <c r="AY1775" s="21" t="str">
        <f>IF(AND($AM1775&lt;&gt;"",$AS1775&lt;&gt;"✓"),SUMPRODUCT(($AM$11:$AM1775&lt;&gt;"")*($AS$11:$AS1775&lt;&gt;"✓")),"")</f>
        <v/>
      </c>
      <c r="AZ1775" s="21" t="str">
        <f>IF(AND($AM1775&lt;&gt;"",$AS1775="✓"),SUMPRODUCT(($AM$11:$AM1775&lt;&gt;"")*($AS$11:$AS1775="✓")),"")</f>
        <v/>
      </c>
      <c r="BA1775" s="21" t="str">
        <f>IF($AL1775="","",$AL1775&amp;"|"&amp;COUNTIF($AL$11:$AL1775,$AL1775))</f>
        <v/>
      </c>
    </row>
    <row r="1776" spans="38:53" ht="15" customHeight="1" x14ac:dyDescent="0.25">
      <c r="AL1776" s="31"/>
      <c r="AM1776" s="26"/>
      <c r="AN1776" s="32"/>
      <c r="AO1776" s="32"/>
      <c r="AP1776" s="24"/>
      <c r="AQ1776" s="24"/>
      <c r="AR1776" s="33"/>
      <c r="AS1776" s="34"/>
      <c r="AT1776" s="33"/>
      <c r="AV1776" s="21">
        <f>IF(AND($AL1776&lt;&gt;"",COUNTIF($AL$11:$AL1776,$AL1776)=1),1,0)</f>
        <v>0</v>
      </c>
      <c r="AW1776" s="21">
        <f t="shared" si="141"/>
        <v>2</v>
      </c>
      <c r="AX1776" s="21" t="str">
        <f t="shared" si="140"/>
        <v/>
      </c>
      <c r="AY1776" s="21" t="str">
        <f>IF(AND($AM1776&lt;&gt;"",$AS1776&lt;&gt;"✓"),SUMPRODUCT(($AM$11:$AM1776&lt;&gt;"")*($AS$11:$AS1776&lt;&gt;"✓")),"")</f>
        <v/>
      </c>
      <c r="AZ1776" s="21" t="str">
        <f>IF(AND($AM1776&lt;&gt;"",$AS1776="✓"),SUMPRODUCT(($AM$11:$AM1776&lt;&gt;"")*($AS$11:$AS1776="✓")),"")</f>
        <v/>
      </c>
      <c r="BA1776" s="21" t="str">
        <f>IF($AL1776="","",$AL1776&amp;"|"&amp;COUNTIF($AL$11:$AL1776,$AL1776))</f>
        <v/>
      </c>
    </row>
    <row r="1777" spans="38:53" ht="15" customHeight="1" x14ac:dyDescent="0.25">
      <c r="AL1777" s="17"/>
      <c r="AM1777" s="12"/>
      <c r="AN1777" s="18"/>
      <c r="AO1777" s="18"/>
      <c r="AP1777" s="10"/>
      <c r="AQ1777" s="10"/>
      <c r="AR1777" s="19"/>
      <c r="AS1777" s="20"/>
      <c r="AT1777" s="19"/>
      <c r="AV1777" s="21">
        <f>IF(AND($AL1777&lt;&gt;"",COUNTIF($AL$11:$AL1777,$AL1777)=1),1,0)</f>
        <v>0</v>
      </c>
      <c r="AW1777" s="21">
        <f t="shared" si="141"/>
        <v>2</v>
      </c>
      <c r="AX1777" s="21" t="str">
        <f t="shared" si="140"/>
        <v/>
      </c>
      <c r="AY1777" s="21" t="str">
        <f>IF(AND($AM1777&lt;&gt;"",$AS1777&lt;&gt;"✓"),SUMPRODUCT(($AM$11:$AM1777&lt;&gt;"")*($AS$11:$AS1777&lt;&gt;"✓")),"")</f>
        <v/>
      </c>
      <c r="AZ1777" s="21" t="str">
        <f>IF(AND($AM1777&lt;&gt;"",$AS1777="✓"),SUMPRODUCT(($AM$11:$AM1777&lt;&gt;"")*($AS$11:$AS1777="✓")),"")</f>
        <v/>
      </c>
      <c r="BA1777" s="21" t="str">
        <f>IF($AL1777="","",$AL1777&amp;"|"&amp;COUNTIF($AL$11:$AL1777,$AL1777))</f>
        <v/>
      </c>
    </row>
    <row r="1778" spans="38:53" ht="15" customHeight="1" x14ac:dyDescent="0.25">
      <c r="AL1778" s="31"/>
      <c r="AM1778" s="26"/>
      <c r="AN1778" s="32"/>
      <c r="AO1778" s="32"/>
      <c r="AP1778" s="24"/>
      <c r="AQ1778" s="24"/>
      <c r="AR1778" s="33"/>
      <c r="AS1778" s="34"/>
      <c r="AT1778" s="33"/>
      <c r="AV1778" s="21">
        <f>IF(AND($AL1778&lt;&gt;"",COUNTIF($AL$11:$AL1778,$AL1778)=1),1,0)</f>
        <v>0</v>
      </c>
      <c r="AW1778" s="21">
        <f t="shared" si="141"/>
        <v>2</v>
      </c>
      <c r="AX1778" s="21" t="str">
        <f t="shared" si="140"/>
        <v/>
      </c>
      <c r="AY1778" s="21" t="str">
        <f>IF(AND($AM1778&lt;&gt;"",$AS1778&lt;&gt;"✓"),SUMPRODUCT(($AM$11:$AM1778&lt;&gt;"")*($AS$11:$AS1778&lt;&gt;"✓")),"")</f>
        <v/>
      </c>
      <c r="AZ1778" s="21" t="str">
        <f>IF(AND($AM1778&lt;&gt;"",$AS1778="✓"),SUMPRODUCT(($AM$11:$AM1778&lt;&gt;"")*($AS$11:$AS1778="✓")),"")</f>
        <v/>
      </c>
      <c r="BA1778" s="21" t="str">
        <f>IF($AL1778="","",$AL1778&amp;"|"&amp;COUNTIF($AL$11:$AL1778,$AL1778))</f>
        <v/>
      </c>
    </row>
    <row r="1779" spans="38:53" ht="15" customHeight="1" x14ac:dyDescent="0.25">
      <c r="AL1779" s="17"/>
      <c r="AM1779" s="12"/>
      <c r="AN1779" s="18"/>
      <c r="AO1779" s="18"/>
      <c r="AP1779" s="10"/>
      <c r="AQ1779" s="10"/>
      <c r="AR1779" s="19"/>
      <c r="AS1779" s="20"/>
      <c r="AT1779" s="19"/>
      <c r="AV1779" s="21">
        <f>IF(AND($AL1779&lt;&gt;"",COUNTIF($AL$11:$AL1779,$AL1779)=1),1,0)</f>
        <v>0</v>
      </c>
      <c r="AW1779" s="21">
        <f t="shared" si="141"/>
        <v>2</v>
      </c>
      <c r="AX1779" s="21" t="str">
        <f t="shared" si="140"/>
        <v/>
      </c>
      <c r="AY1779" s="21" t="str">
        <f>IF(AND($AM1779&lt;&gt;"",$AS1779&lt;&gt;"✓"),SUMPRODUCT(($AM$11:$AM1779&lt;&gt;"")*($AS$11:$AS1779&lt;&gt;"✓")),"")</f>
        <v/>
      </c>
      <c r="AZ1779" s="21" t="str">
        <f>IF(AND($AM1779&lt;&gt;"",$AS1779="✓"),SUMPRODUCT(($AM$11:$AM1779&lt;&gt;"")*($AS$11:$AS1779="✓")),"")</f>
        <v/>
      </c>
      <c r="BA1779" s="21" t="str">
        <f>IF($AL1779="","",$AL1779&amp;"|"&amp;COUNTIF($AL$11:$AL1779,$AL1779))</f>
        <v/>
      </c>
    </row>
    <row r="1780" spans="38:53" ht="15" customHeight="1" x14ac:dyDescent="0.25">
      <c r="AL1780" s="31"/>
      <c r="AM1780" s="26"/>
      <c r="AN1780" s="32"/>
      <c r="AO1780" s="32"/>
      <c r="AP1780" s="24"/>
      <c r="AQ1780" s="24"/>
      <c r="AR1780" s="33"/>
      <c r="AS1780" s="34"/>
      <c r="AT1780" s="33"/>
      <c r="AV1780" s="21">
        <f>IF(AND($AL1780&lt;&gt;"",COUNTIF($AL$11:$AL1780,$AL1780)=1),1,0)</f>
        <v>0</v>
      </c>
      <c r="AW1780" s="21">
        <f t="shared" si="141"/>
        <v>2</v>
      </c>
      <c r="AX1780" s="21" t="str">
        <f t="shared" si="140"/>
        <v/>
      </c>
      <c r="AY1780" s="21" t="str">
        <f>IF(AND($AM1780&lt;&gt;"",$AS1780&lt;&gt;"✓"),SUMPRODUCT(($AM$11:$AM1780&lt;&gt;"")*($AS$11:$AS1780&lt;&gt;"✓")),"")</f>
        <v/>
      </c>
      <c r="AZ1780" s="21" t="str">
        <f>IF(AND($AM1780&lt;&gt;"",$AS1780="✓"),SUMPRODUCT(($AM$11:$AM1780&lt;&gt;"")*($AS$11:$AS1780="✓")),"")</f>
        <v/>
      </c>
      <c r="BA1780" s="21" t="str">
        <f>IF($AL1780="","",$AL1780&amp;"|"&amp;COUNTIF($AL$11:$AL1780,$AL1780))</f>
        <v/>
      </c>
    </row>
    <row r="1781" spans="38:53" ht="15" customHeight="1" x14ac:dyDescent="0.25">
      <c r="AL1781" s="17"/>
      <c r="AM1781" s="12"/>
      <c r="AN1781" s="18"/>
      <c r="AO1781" s="18"/>
      <c r="AP1781" s="10"/>
      <c r="AQ1781" s="10"/>
      <c r="AR1781" s="19"/>
      <c r="AS1781" s="20"/>
      <c r="AT1781" s="19"/>
      <c r="AV1781" s="21">
        <f>IF(AND($AL1781&lt;&gt;"",COUNTIF($AL$11:$AL1781,$AL1781)=1),1,0)</f>
        <v>0</v>
      </c>
      <c r="AW1781" s="21">
        <f t="shared" si="141"/>
        <v>2</v>
      </c>
      <c r="AX1781" s="21" t="str">
        <f t="shared" si="140"/>
        <v/>
      </c>
      <c r="AY1781" s="21" t="str">
        <f>IF(AND($AM1781&lt;&gt;"",$AS1781&lt;&gt;"✓"),SUMPRODUCT(($AM$11:$AM1781&lt;&gt;"")*($AS$11:$AS1781&lt;&gt;"✓")),"")</f>
        <v/>
      </c>
      <c r="AZ1781" s="21" t="str">
        <f>IF(AND($AM1781&lt;&gt;"",$AS1781="✓"),SUMPRODUCT(($AM$11:$AM1781&lt;&gt;"")*($AS$11:$AS1781="✓")),"")</f>
        <v/>
      </c>
      <c r="BA1781" s="21" t="str">
        <f>IF($AL1781="","",$AL1781&amp;"|"&amp;COUNTIF($AL$11:$AL1781,$AL1781))</f>
        <v/>
      </c>
    </row>
    <row r="1782" spans="38:53" ht="15" customHeight="1" x14ac:dyDescent="0.25">
      <c r="AL1782" s="31"/>
      <c r="AM1782" s="26"/>
      <c r="AN1782" s="32"/>
      <c r="AO1782" s="32"/>
      <c r="AP1782" s="24"/>
      <c r="AQ1782" s="24"/>
      <c r="AR1782" s="33"/>
      <c r="AS1782" s="34"/>
      <c r="AT1782" s="33"/>
      <c r="AV1782" s="21">
        <f>IF(AND($AL1782&lt;&gt;"",COUNTIF($AL$11:$AL1782,$AL1782)=1),1,0)</f>
        <v>0</v>
      </c>
      <c r="AW1782" s="21">
        <f t="shared" si="141"/>
        <v>2</v>
      </c>
      <c r="AX1782" s="21" t="str">
        <f t="shared" si="140"/>
        <v/>
      </c>
      <c r="AY1782" s="21" t="str">
        <f>IF(AND($AM1782&lt;&gt;"",$AS1782&lt;&gt;"✓"),SUMPRODUCT(($AM$11:$AM1782&lt;&gt;"")*($AS$11:$AS1782&lt;&gt;"✓")),"")</f>
        <v/>
      </c>
      <c r="AZ1782" s="21" t="str">
        <f>IF(AND($AM1782&lt;&gt;"",$AS1782="✓"),SUMPRODUCT(($AM$11:$AM1782&lt;&gt;"")*($AS$11:$AS1782="✓")),"")</f>
        <v/>
      </c>
      <c r="BA1782" s="21" t="str">
        <f>IF($AL1782="","",$AL1782&amp;"|"&amp;COUNTIF($AL$11:$AL1782,$AL1782))</f>
        <v/>
      </c>
    </row>
    <row r="1783" spans="38:53" ht="15" customHeight="1" x14ac:dyDescent="0.25">
      <c r="AL1783" s="17"/>
      <c r="AM1783" s="12"/>
      <c r="AN1783" s="18"/>
      <c r="AO1783" s="18"/>
      <c r="AP1783" s="10"/>
      <c r="AQ1783" s="10"/>
      <c r="AR1783" s="19"/>
      <c r="AS1783" s="20"/>
      <c r="AT1783" s="19"/>
      <c r="AV1783" s="21">
        <f>IF(AND($AL1783&lt;&gt;"",COUNTIF($AL$11:$AL1783,$AL1783)=1),1,0)</f>
        <v>0</v>
      </c>
      <c r="AW1783" s="21">
        <f t="shared" si="141"/>
        <v>2</v>
      </c>
      <c r="AX1783" s="21" t="str">
        <f t="shared" si="140"/>
        <v/>
      </c>
      <c r="AY1783" s="21" t="str">
        <f>IF(AND($AM1783&lt;&gt;"",$AS1783&lt;&gt;"✓"),SUMPRODUCT(($AM$11:$AM1783&lt;&gt;"")*($AS$11:$AS1783&lt;&gt;"✓")),"")</f>
        <v/>
      </c>
      <c r="AZ1783" s="21" t="str">
        <f>IF(AND($AM1783&lt;&gt;"",$AS1783="✓"),SUMPRODUCT(($AM$11:$AM1783&lt;&gt;"")*($AS$11:$AS1783="✓")),"")</f>
        <v/>
      </c>
      <c r="BA1783" s="21" t="str">
        <f>IF($AL1783="","",$AL1783&amp;"|"&amp;COUNTIF($AL$11:$AL1783,$AL1783))</f>
        <v/>
      </c>
    </row>
    <row r="1784" spans="38:53" ht="15" customHeight="1" x14ac:dyDescent="0.25">
      <c r="AL1784" s="31"/>
      <c r="AM1784" s="26"/>
      <c r="AN1784" s="32"/>
      <c r="AO1784" s="32"/>
      <c r="AP1784" s="24"/>
      <c r="AQ1784" s="24"/>
      <c r="AR1784" s="33"/>
      <c r="AS1784" s="34"/>
      <c r="AT1784" s="33"/>
      <c r="AV1784" s="21">
        <f>IF(AND($AL1784&lt;&gt;"",COUNTIF($AL$11:$AL1784,$AL1784)=1),1,0)</f>
        <v>0</v>
      </c>
      <c r="AW1784" s="21">
        <f t="shared" si="141"/>
        <v>2</v>
      </c>
      <c r="AX1784" s="21" t="str">
        <f t="shared" si="140"/>
        <v/>
      </c>
      <c r="AY1784" s="21" t="str">
        <f>IF(AND($AM1784&lt;&gt;"",$AS1784&lt;&gt;"✓"),SUMPRODUCT(($AM$11:$AM1784&lt;&gt;"")*($AS$11:$AS1784&lt;&gt;"✓")),"")</f>
        <v/>
      </c>
      <c r="AZ1784" s="21" t="str">
        <f>IF(AND($AM1784&lt;&gt;"",$AS1784="✓"),SUMPRODUCT(($AM$11:$AM1784&lt;&gt;"")*($AS$11:$AS1784="✓")),"")</f>
        <v/>
      </c>
      <c r="BA1784" s="21" t="str">
        <f>IF($AL1784="","",$AL1784&amp;"|"&amp;COUNTIF($AL$11:$AL1784,$AL1784))</f>
        <v/>
      </c>
    </row>
    <row r="1785" spans="38:53" ht="15" customHeight="1" x14ac:dyDescent="0.25">
      <c r="AL1785" s="17"/>
      <c r="AM1785" s="12"/>
      <c r="AN1785" s="18"/>
      <c r="AO1785" s="18"/>
      <c r="AP1785" s="10"/>
      <c r="AQ1785" s="10"/>
      <c r="AR1785" s="19"/>
      <c r="AS1785" s="20"/>
      <c r="AT1785" s="19"/>
      <c r="AV1785" s="21">
        <f>IF(AND($AL1785&lt;&gt;"",COUNTIF($AL$11:$AL1785,$AL1785)=1),1,0)</f>
        <v>0</v>
      </c>
      <c r="AW1785" s="21">
        <f t="shared" si="141"/>
        <v>2</v>
      </c>
      <c r="AX1785" s="21" t="str">
        <f t="shared" si="140"/>
        <v/>
      </c>
      <c r="AY1785" s="21" t="str">
        <f>IF(AND($AM1785&lt;&gt;"",$AS1785&lt;&gt;"✓"),SUMPRODUCT(($AM$11:$AM1785&lt;&gt;"")*($AS$11:$AS1785&lt;&gt;"✓")),"")</f>
        <v/>
      </c>
      <c r="AZ1785" s="21" t="str">
        <f>IF(AND($AM1785&lt;&gt;"",$AS1785="✓"),SUMPRODUCT(($AM$11:$AM1785&lt;&gt;"")*($AS$11:$AS1785="✓")),"")</f>
        <v/>
      </c>
      <c r="BA1785" s="21" t="str">
        <f>IF($AL1785="","",$AL1785&amp;"|"&amp;COUNTIF($AL$11:$AL1785,$AL1785))</f>
        <v/>
      </c>
    </row>
    <row r="1786" spans="38:53" ht="15" customHeight="1" x14ac:dyDescent="0.25">
      <c r="AL1786" s="31"/>
      <c r="AM1786" s="26"/>
      <c r="AN1786" s="32"/>
      <c r="AO1786" s="32"/>
      <c r="AP1786" s="24"/>
      <c r="AQ1786" s="24"/>
      <c r="AR1786" s="33"/>
      <c r="AS1786" s="34"/>
      <c r="AT1786" s="33"/>
      <c r="AV1786" s="21">
        <f>IF(AND($AL1786&lt;&gt;"",COUNTIF($AL$11:$AL1786,$AL1786)=1),1,0)</f>
        <v>0</v>
      </c>
      <c r="AW1786" s="21">
        <f t="shared" si="141"/>
        <v>2</v>
      </c>
      <c r="AX1786" s="21" t="str">
        <f t="shared" si="140"/>
        <v/>
      </c>
      <c r="AY1786" s="21" t="str">
        <f>IF(AND($AM1786&lt;&gt;"",$AS1786&lt;&gt;"✓"),SUMPRODUCT(($AM$11:$AM1786&lt;&gt;"")*($AS$11:$AS1786&lt;&gt;"✓")),"")</f>
        <v/>
      </c>
      <c r="AZ1786" s="21" t="str">
        <f>IF(AND($AM1786&lt;&gt;"",$AS1786="✓"),SUMPRODUCT(($AM$11:$AM1786&lt;&gt;"")*($AS$11:$AS1786="✓")),"")</f>
        <v/>
      </c>
      <c r="BA1786" s="21" t="str">
        <f>IF($AL1786="","",$AL1786&amp;"|"&amp;COUNTIF($AL$11:$AL1786,$AL1786))</f>
        <v/>
      </c>
    </row>
    <row r="1787" spans="38:53" ht="15" customHeight="1" x14ac:dyDescent="0.25">
      <c r="AL1787" s="17"/>
      <c r="AM1787" s="12"/>
      <c r="AN1787" s="18"/>
      <c r="AO1787" s="18"/>
      <c r="AP1787" s="10"/>
      <c r="AQ1787" s="10"/>
      <c r="AR1787" s="19"/>
      <c r="AS1787" s="20"/>
      <c r="AT1787" s="19"/>
      <c r="AV1787" s="21">
        <f>IF(AND($AL1787&lt;&gt;"",COUNTIF($AL$11:$AL1787,$AL1787)=1),1,0)</f>
        <v>0</v>
      </c>
      <c r="AW1787" s="21">
        <f t="shared" si="141"/>
        <v>2</v>
      </c>
      <c r="AX1787" s="21" t="str">
        <f t="shared" si="140"/>
        <v/>
      </c>
      <c r="AY1787" s="21" t="str">
        <f>IF(AND($AM1787&lt;&gt;"",$AS1787&lt;&gt;"✓"),SUMPRODUCT(($AM$11:$AM1787&lt;&gt;"")*($AS$11:$AS1787&lt;&gt;"✓")),"")</f>
        <v/>
      </c>
      <c r="AZ1787" s="21" t="str">
        <f>IF(AND($AM1787&lt;&gt;"",$AS1787="✓"),SUMPRODUCT(($AM$11:$AM1787&lt;&gt;"")*($AS$11:$AS1787="✓")),"")</f>
        <v/>
      </c>
      <c r="BA1787" s="21" t="str">
        <f>IF($AL1787="","",$AL1787&amp;"|"&amp;COUNTIF($AL$11:$AL1787,$AL1787))</f>
        <v/>
      </c>
    </row>
    <row r="1788" spans="38:53" ht="15" customHeight="1" x14ac:dyDescent="0.25">
      <c r="AL1788" s="31"/>
      <c r="AM1788" s="26"/>
      <c r="AN1788" s="32"/>
      <c r="AO1788" s="32"/>
      <c r="AP1788" s="24"/>
      <c r="AQ1788" s="24"/>
      <c r="AR1788" s="33"/>
      <c r="AS1788" s="34"/>
      <c r="AT1788" s="33"/>
      <c r="AV1788" s="21">
        <f>IF(AND($AL1788&lt;&gt;"",COUNTIF($AL$11:$AL1788,$AL1788)=1),1,0)</f>
        <v>0</v>
      </c>
      <c r="AW1788" s="21">
        <f t="shared" si="141"/>
        <v>2</v>
      </c>
      <c r="AX1788" s="21" t="str">
        <f t="shared" si="140"/>
        <v/>
      </c>
      <c r="AY1788" s="21" t="str">
        <f>IF(AND($AM1788&lt;&gt;"",$AS1788&lt;&gt;"✓"),SUMPRODUCT(($AM$11:$AM1788&lt;&gt;"")*($AS$11:$AS1788&lt;&gt;"✓")),"")</f>
        <v/>
      </c>
      <c r="AZ1788" s="21" t="str">
        <f>IF(AND($AM1788&lt;&gt;"",$AS1788="✓"),SUMPRODUCT(($AM$11:$AM1788&lt;&gt;"")*($AS$11:$AS1788="✓")),"")</f>
        <v/>
      </c>
      <c r="BA1788" s="21" t="str">
        <f>IF($AL1788="","",$AL1788&amp;"|"&amp;COUNTIF($AL$11:$AL1788,$AL1788))</f>
        <v/>
      </c>
    </row>
    <row r="1789" spans="38:53" ht="15" customHeight="1" x14ac:dyDescent="0.25">
      <c r="AL1789" s="17"/>
      <c r="AM1789" s="12"/>
      <c r="AN1789" s="18"/>
      <c r="AO1789" s="18"/>
      <c r="AP1789" s="10"/>
      <c r="AQ1789" s="10"/>
      <c r="AR1789" s="19"/>
      <c r="AS1789" s="20"/>
      <c r="AT1789" s="19"/>
      <c r="AV1789" s="21">
        <f>IF(AND($AL1789&lt;&gt;"",COUNTIF($AL$11:$AL1789,$AL1789)=1),1,0)</f>
        <v>0</v>
      </c>
      <c r="AW1789" s="21">
        <f t="shared" si="141"/>
        <v>2</v>
      </c>
      <c r="AX1789" s="21" t="str">
        <f t="shared" si="140"/>
        <v/>
      </c>
      <c r="AY1789" s="21" t="str">
        <f>IF(AND($AM1789&lt;&gt;"",$AS1789&lt;&gt;"✓"),SUMPRODUCT(($AM$11:$AM1789&lt;&gt;"")*($AS$11:$AS1789&lt;&gt;"✓")),"")</f>
        <v/>
      </c>
      <c r="AZ1789" s="21" t="str">
        <f>IF(AND($AM1789&lt;&gt;"",$AS1789="✓"),SUMPRODUCT(($AM$11:$AM1789&lt;&gt;"")*($AS$11:$AS1789="✓")),"")</f>
        <v/>
      </c>
      <c r="BA1789" s="21" t="str">
        <f>IF($AL1789="","",$AL1789&amp;"|"&amp;COUNTIF($AL$11:$AL1789,$AL1789))</f>
        <v/>
      </c>
    </row>
    <row r="1790" spans="38:53" ht="15" customHeight="1" x14ac:dyDescent="0.25">
      <c r="AL1790" s="31"/>
      <c r="AM1790" s="26"/>
      <c r="AN1790" s="32"/>
      <c r="AO1790" s="32"/>
      <c r="AP1790" s="24"/>
      <c r="AQ1790" s="24"/>
      <c r="AR1790" s="33"/>
      <c r="AS1790" s="34"/>
      <c r="AT1790" s="33"/>
      <c r="AV1790" s="21">
        <f>IF(AND($AL1790&lt;&gt;"",COUNTIF($AL$11:$AL1790,$AL1790)=1),1,0)</f>
        <v>0</v>
      </c>
      <c r="AW1790" s="21">
        <f t="shared" si="141"/>
        <v>2</v>
      </c>
      <c r="AX1790" s="21" t="str">
        <f t="shared" si="140"/>
        <v/>
      </c>
      <c r="AY1790" s="21" t="str">
        <f>IF(AND($AM1790&lt;&gt;"",$AS1790&lt;&gt;"✓"),SUMPRODUCT(($AM$11:$AM1790&lt;&gt;"")*($AS$11:$AS1790&lt;&gt;"✓")),"")</f>
        <v/>
      </c>
      <c r="AZ1790" s="21" t="str">
        <f>IF(AND($AM1790&lt;&gt;"",$AS1790="✓"),SUMPRODUCT(($AM$11:$AM1790&lt;&gt;"")*($AS$11:$AS1790="✓")),"")</f>
        <v/>
      </c>
      <c r="BA1790" s="21" t="str">
        <f>IF($AL1790="","",$AL1790&amp;"|"&amp;COUNTIF($AL$11:$AL1790,$AL1790))</f>
        <v/>
      </c>
    </row>
    <row r="1791" spans="38:53" ht="15" customHeight="1" x14ac:dyDescent="0.25">
      <c r="AL1791" s="17"/>
      <c r="AM1791" s="12"/>
      <c r="AN1791" s="18"/>
      <c r="AO1791" s="18"/>
      <c r="AP1791" s="10"/>
      <c r="AQ1791" s="10"/>
      <c r="AR1791" s="19"/>
      <c r="AS1791" s="20"/>
      <c r="AT1791" s="19"/>
      <c r="AV1791" s="21">
        <f>IF(AND($AL1791&lt;&gt;"",COUNTIF($AL$11:$AL1791,$AL1791)=1),1,0)</f>
        <v>0</v>
      </c>
      <c r="AW1791" s="21">
        <f t="shared" si="141"/>
        <v>2</v>
      </c>
      <c r="AX1791" s="21" t="str">
        <f t="shared" si="140"/>
        <v/>
      </c>
      <c r="AY1791" s="21" t="str">
        <f>IF(AND($AM1791&lt;&gt;"",$AS1791&lt;&gt;"✓"),SUMPRODUCT(($AM$11:$AM1791&lt;&gt;"")*($AS$11:$AS1791&lt;&gt;"✓")),"")</f>
        <v/>
      </c>
      <c r="AZ1791" s="21" t="str">
        <f>IF(AND($AM1791&lt;&gt;"",$AS1791="✓"),SUMPRODUCT(($AM$11:$AM1791&lt;&gt;"")*($AS$11:$AS1791="✓")),"")</f>
        <v/>
      </c>
      <c r="BA1791" s="21" t="str">
        <f>IF($AL1791="","",$AL1791&amp;"|"&amp;COUNTIF($AL$11:$AL1791,$AL1791))</f>
        <v/>
      </c>
    </row>
    <row r="1792" spans="38:53" ht="15" customHeight="1" x14ac:dyDescent="0.25">
      <c r="AL1792" s="31"/>
      <c r="AM1792" s="26"/>
      <c r="AN1792" s="32"/>
      <c r="AO1792" s="32"/>
      <c r="AP1792" s="24"/>
      <c r="AQ1792" s="24"/>
      <c r="AR1792" s="33"/>
      <c r="AS1792" s="34"/>
      <c r="AT1792" s="33"/>
      <c r="AV1792" s="21">
        <f>IF(AND($AL1792&lt;&gt;"",COUNTIF($AL$11:$AL1792,$AL1792)=1),1,0)</f>
        <v>0</v>
      </c>
      <c r="AW1792" s="21">
        <f t="shared" si="141"/>
        <v>2</v>
      </c>
      <c r="AX1792" s="21" t="str">
        <f t="shared" si="140"/>
        <v/>
      </c>
      <c r="AY1792" s="21" t="str">
        <f>IF(AND($AM1792&lt;&gt;"",$AS1792&lt;&gt;"✓"),SUMPRODUCT(($AM$11:$AM1792&lt;&gt;"")*($AS$11:$AS1792&lt;&gt;"✓")),"")</f>
        <v/>
      </c>
      <c r="AZ1792" s="21" t="str">
        <f>IF(AND($AM1792&lt;&gt;"",$AS1792="✓"),SUMPRODUCT(($AM$11:$AM1792&lt;&gt;"")*($AS$11:$AS1792="✓")),"")</f>
        <v/>
      </c>
      <c r="BA1792" s="21" t="str">
        <f>IF($AL1792="","",$AL1792&amp;"|"&amp;COUNTIF($AL$11:$AL1792,$AL1792))</f>
        <v/>
      </c>
    </row>
    <row r="1793" spans="38:53" ht="15" customHeight="1" x14ac:dyDescent="0.25">
      <c r="AL1793" s="17"/>
      <c r="AM1793" s="12"/>
      <c r="AN1793" s="18"/>
      <c r="AO1793" s="18"/>
      <c r="AP1793" s="10"/>
      <c r="AQ1793" s="10"/>
      <c r="AR1793" s="19"/>
      <c r="AS1793" s="20"/>
      <c r="AT1793" s="19"/>
      <c r="AV1793" s="21">
        <f>IF(AND($AL1793&lt;&gt;"",COUNTIF($AL$11:$AL1793,$AL1793)=1),1,0)</f>
        <v>0</v>
      </c>
      <c r="AW1793" s="21">
        <f t="shared" si="141"/>
        <v>2</v>
      </c>
      <c r="AX1793" s="21" t="str">
        <f t="shared" si="140"/>
        <v/>
      </c>
      <c r="AY1793" s="21" t="str">
        <f>IF(AND($AM1793&lt;&gt;"",$AS1793&lt;&gt;"✓"),SUMPRODUCT(($AM$11:$AM1793&lt;&gt;"")*($AS$11:$AS1793&lt;&gt;"✓")),"")</f>
        <v/>
      </c>
      <c r="AZ1793" s="21" t="str">
        <f>IF(AND($AM1793&lt;&gt;"",$AS1793="✓"),SUMPRODUCT(($AM$11:$AM1793&lt;&gt;"")*($AS$11:$AS1793="✓")),"")</f>
        <v/>
      </c>
      <c r="BA1793" s="21" t="str">
        <f>IF($AL1793="","",$AL1793&amp;"|"&amp;COUNTIF($AL$11:$AL1793,$AL1793))</f>
        <v/>
      </c>
    </row>
    <row r="1794" spans="38:53" ht="15" customHeight="1" x14ac:dyDescent="0.25">
      <c r="AL1794" s="31"/>
      <c r="AM1794" s="26"/>
      <c r="AN1794" s="32"/>
      <c r="AO1794" s="32"/>
      <c r="AP1794" s="24"/>
      <c r="AQ1794" s="24"/>
      <c r="AR1794" s="33"/>
      <c r="AS1794" s="34"/>
      <c r="AT1794" s="33"/>
      <c r="AV1794" s="21">
        <f>IF(AND($AL1794&lt;&gt;"",COUNTIF($AL$11:$AL1794,$AL1794)=1),1,0)</f>
        <v>0</v>
      </c>
      <c r="AW1794" s="21">
        <f t="shared" si="141"/>
        <v>2</v>
      </c>
      <c r="AX1794" s="21" t="str">
        <f t="shared" si="140"/>
        <v/>
      </c>
      <c r="AY1794" s="21" t="str">
        <f>IF(AND($AM1794&lt;&gt;"",$AS1794&lt;&gt;"✓"),SUMPRODUCT(($AM$11:$AM1794&lt;&gt;"")*($AS$11:$AS1794&lt;&gt;"✓")),"")</f>
        <v/>
      </c>
      <c r="AZ1794" s="21" t="str">
        <f>IF(AND($AM1794&lt;&gt;"",$AS1794="✓"),SUMPRODUCT(($AM$11:$AM1794&lt;&gt;"")*($AS$11:$AS1794="✓")),"")</f>
        <v/>
      </c>
      <c r="BA1794" s="21" t="str">
        <f>IF($AL1794="","",$AL1794&amp;"|"&amp;COUNTIF($AL$11:$AL1794,$AL1794))</f>
        <v/>
      </c>
    </row>
    <row r="1795" spans="38:53" ht="15" customHeight="1" x14ac:dyDescent="0.25">
      <c r="AL1795" s="17"/>
      <c r="AM1795" s="12"/>
      <c r="AN1795" s="18"/>
      <c r="AO1795" s="18"/>
      <c r="AP1795" s="10"/>
      <c r="AQ1795" s="10"/>
      <c r="AR1795" s="19"/>
      <c r="AS1795" s="20"/>
      <c r="AT1795" s="19"/>
      <c r="AV1795" s="21">
        <f>IF(AND($AL1795&lt;&gt;"",COUNTIF($AL$11:$AL1795,$AL1795)=1),1,0)</f>
        <v>0</v>
      </c>
      <c r="AW1795" s="21">
        <f t="shared" si="141"/>
        <v>2</v>
      </c>
      <c r="AX1795" s="21" t="str">
        <f t="shared" si="140"/>
        <v/>
      </c>
      <c r="AY1795" s="21" t="str">
        <f>IF(AND($AM1795&lt;&gt;"",$AS1795&lt;&gt;"✓"),SUMPRODUCT(($AM$11:$AM1795&lt;&gt;"")*($AS$11:$AS1795&lt;&gt;"✓")),"")</f>
        <v/>
      </c>
      <c r="AZ1795" s="21" t="str">
        <f>IF(AND($AM1795&lt;&gt;"",$AS1795="✓"),SUMPRODUCT(($AM$11:$AM1795&lt;&gt;"")*($AS$11:$AS1795="✓")),"")</f>
        <v/>
      </c>
      <c r="BA1795" s="21" t="str">
        <f>IF($AL1795="","",$AL1795&amp;"|"&amp;COUNTIF($AL$11:$AL1795,$AL1795))</f>
        <v/>
      </c>
    </row>
    <row r="1796" spans="38:53" ht="15" customHeight="1" x14ac:dyDescent="0.25">
      <c r="AL1796" s="31"/>
      <c r="AM1796" s="26"/>
      <c r="AN1796" s="32"/>
      <c r="AO1796" s="32"/>
      <c r="AP1796" s="24"/>
      <c r="AQ1796" s="24"/>
      <c r="AR1796" s="33"/>
      <c r="AS1796" s="34"/>
      <c r="AT1796" s="33"/>
      <c r="AV1796" s="21">
        <f>IF(AND($AL1796&lt;&gt;"",COUNTIF($AL$11:$AL1796,$AL1796)=1),1,0)</f>
        <v>0</v>
      </c>
      <c r="AW1796" s="21">
        <f t="shared" si="141"/>
        <v>2</v>
      </c>
      <c r="AX1796" s="21" t="str">
        <f t="shared" si="140"/>
        <v/>
      </c>
      <c r="AY1796" s="21" t="str">
        <f>IF(AND($AM1796&lt;&gt;"",$AS1796&lt;&gt;"✓"),SUMPRODUCT(($AM$11:$AM1796&lt;&gt;"")*($AS$11:$AS1796&lt;&gt;"✓")),"")</f>
        <v/>
      </c>
      <c r="AZ1796" s="21" t="str">
        <f>IF(AND($AM1796&lt;&gt;"",$AS1796="✓"),SUMPRODUCT(($AM$11:$AM1796&lt;&gt;"")*($AS$11:$AS1796="✓")),"")</f>
        <v/>
      </c>
      <c r="BA1796" s="21" t="str">
        <f>IF($AL1796="","",$AL1796&amp;"|"&amp;COUNTIF($AL$11:$AL1796,$AL1796))</f>
        <v/>
      </c>
    </row>
    <row r="1797" spans="38:53" ht="15" customHeight="1" x14ac:dyDescent="0.25">
      <c r="AL1797" s="17"/>
      <c r="AM1797" s="12"/>
      <c r="AN1797" s="18"/>
      <c r="AO1797" s="18"/>
      <c r="AP1797" s="10"/>
      <c r="AQ1797" s="10"/>
      <c r="AR1797" s="19"/>
      <c r="AS1797" s="20"/>
      <c r="AT1797" s="19"/>
      <c r="AV1797" s="21">
        <f>IF(AND($AL1797&lt;&gt;"",COUNTIF($AL$11:$AL1797,$AL1797)=1),1,0)</f>
        <v>0</v>
      </c>
      <c r="AW1797" s="21">
        <f t="shared" si="141"/>
        <v>2</v>
      </c>
      <c r="AX1797" s="21" t="str">
        <f t="shared" si="140"/>
        <v/>
      </c>
      <c r="AY1797" s="21" t="str">
        <f>IF(AND($AM1797&lt;&gt;"",$AS1797&lt;&gt;"✓"),SUMPRODUCT(($AM$11:$AM1797&lt;&gt;"")*($AS$11:$AS1797&lt;&gt;"✓")),"")</f>
        <v/>
      </c>
      <c r="AZ1797" s="21" t="str">
        <f>IF(AND($AM1797&lt;&gt;"",$AS1797="✓"),SUMPRODUCT(($AM$11:$AM1797&lt;&gt;"")*($AS$11:$AS1797="✓")),"")</f>
        <v/>
      </c>
      <c r="BA1797" s="21" t="str">
        <f>IF($AL1797="","",$AL1797&amp;"|"&amp;COUNTIF($AL$11:$AL1797,$AL1797))</f>
        <v/>
      </c>
    </row>
    <row r="1798" spans="38:53" ht="15" customHeight="1" x14ac:dyDescent="0.25">
      <c r="AL1798" s="31"/>
      <c r="AM1798" s="26"/>
      <c r="AN1798" s="32"/>
      <c r="AO1798" s="32"/>
      <c r="AP1798" s="24"/>
      <c r="AQ1798" s="24"/>
      <c r="AR1798" s="33"/>
      <c r="AS1798" s="34"/>
      <c r="AT1798" s="33"/>
      <c r="AV1798" s="21">
        <f>IF(AND($AL1798&lt;&gt;"",COUNTIF($AL$11:$AL1798,$AL1798)=1),1,0)</f>
        <v>0</v>
      </c>
      <c r="AW1798" s="21">
        <f t="shared" si="141"/>
        <v>2</v>
      </c>
      <c r="AX1798" s="21" t="str">
        <f t="shared" si="140"/>
        <v/>
      </c>
      <c r="AY1798" s="21" t="str">
        <f>IF(AND($AM1798&lt;&gt;"",$AS1798&lt;&gt;"✓"),SUMPRODUCT(($AM$11:$AM1798&lt;&gt;"")*($AS$11:$AS1798&lt;&gt;"✓")),"")</f>
        <v/>
      </c>
      <c r="AZ1798" s="21" t="str">
        <f>IF(AND($AM1798&lt;&gt;"",$AS1798="✓"),SUMPRODUCT(($AM$11:$AM1798&lt;&gt;"")*($AS$11:$AS1798="✓")),"")</f>
        <v/>
      </c>
      <c r="BA1798" s="21" t="str">
        <f>IF($AL1798="","",$AL1798&amp;"|"&amp;COUNTIF($AL$11:$AL1798,$AL1798))</f>
        <v/>
      </c>
    </row>
    <row r="1799" spans="38:53" ht="15" customHeight="1" x14ac:dyDescent="0.25">
      <c r="AL1799" s="17"/>
      <c r="AM1799" s="12"/>
      <c r="AN1799" s="18"/>
      <c r="AO1799" s="18"/>
      <c r="AP1799" s="10"/>
      <c r="AQ1799" s="10"/>
      <c r="AR1799" s="19"/>
      <c r="AS1799" s="20"/>
      <c r="AT1799" s="19"/>
      <c r="AV1799" s="21">
        <f>IF(AND($AL1799&lt;&gt;"",COUNTIF($AL$11:$AL1799,$AL1799)=1),1,0)</f>
        <v>0</v>
      </c>
      <c r="AW1799" s="21">
        <f t="shared" si="141"/>
        <v>2</v>
      </c>
      <c r="AX1799" s="21" t="str">
        <f t="shared" si="140"/>
        <v/>
      </c>
      <c r="AY1799" s="21" t="str">
        <f>IF(AND($AM1799&lt;&gt;"",$AS1799&lt;&gt;"✓"),SUMPRODUCT(($AM$11:$AM1799&lt;&gt;"")*($AS$11:$AS1799&lt;&gt;"✓")),"")</f>
        <v/>
      </c>
      <c r="AZ1799" s="21" t="str">
        <f>IF(AND($AM1799&lt;&gt;"",$AS1799="✓"),SUMPRODUCT(($AM$11:$AM1799&lt;&gt;"")*($AS$11:$AS1799="✓")),"")</f>
        <v/>
      </c>
      <c r="BA1799" s="21" t="str">
        <f>IF($AL1799="","",$AL1799&amp;"|"&amp;COUNTIF($AL$11:$AL1799,$AL1799))</f>
        <v/>
      </c>
    </row>
    <row r="1800" spans="38:53" ht="15" customHeight="1" x14ac:dyDescent="0.25">
      <c r="AL1800" s="31"/>
      <c r="AM1800" s="26"/>
      <c r="AN1800" s="32"/>
      <c r="AO1800" s="32"/>
      <c r="AP1800" s="24"/>
      <c r="AQ1800" s="24"/>
      <c r="AR1800" s="33"/>
      <c r="AS1800" s="34"/>
      <c r="AT1800" s="33"/>
      <c r="AV1800" s="21">
        <f>IF(AND($AL1800&lt;&gt;"",COUNTIF($AL$11:$AL1800,$AL1800)=1),1,0)</f>
        <v>0</v>
      </c>
      <c r="AW1800" s="21">
        <f t="shared" si="141"/>
        <v>2</v>
      </c>
      <c r="AX1800" s="21" t="str">
        <f t="shared" si="140"/>
        <v/>
      </c>
      <c r="AY1800" s="21" t="str">
        <f>IF(AND($AM1800&lt;&gt;"",$AS1800&lt;&gt;"✓"),SUMPRODUCT(($AM$11:$AM1800&lt;&gt;"")*($AS$11:$AS1800&lt;&gt;"✓")),"")</f>
        <v/>
      </c>
      <c r="AZ1800" s="21" t="str">
        <f>IF(AND($AM1800&lt;&gt;"",$AS1800="✓"),SUMPRODUCT(($AM$11:$AM1800&lt;&gt;"")*($AS$11:$AS1800="✓")),"")</f>
        <v/>
      </c>
      <c r="BA1800" s="21" t="str">
        <f>IF($AL1800="","",$AL1800&amp;"|"&amp;COUNTIF($AL$11:$AL1800,$AL1800))</f>
        <v/>
      </c>
    </row>
    <row r="1801" spans="38:53" ht="15" customHeight="1" x14ac:dyDescent="0.25">
      <c r="AL1801" s="17"/>
      <c r="AM1801" s="12"/>
      <c r="AN1801" s="18"/>
      <c r="AO1801" s="18"/>
      <c r="AP1801" s="10"/>
      <c r="AQ1801" s="10"/>
      <c r="AR1801" s="19"/>
      <c r="AS1801" s="20"/>
      <c r="AT1801" s="19"/>
      <c r="AV1801" s="21">
        <f>IF(AND($AL1801&lt;&gt;"",COUNTIF($AL$11:$AL1801,$AL1801)=1),1,0)</f>
        <v>0</v>
      </c>
      <c r="AW1801" s="21">
        <f t="shared" si="141"/>
        <v>2</v>
      </c>
      <c r="AX1801" s="21" t="str">
        <f t="shared" si="140"/>
        <v/>
      </c>
      <c r="AY1801" s="21" t="str">
        <f>IF(AND($AM1801&lt;&gt;"",$AS1801&lt;&gt;"✓"),SUMPRODUCT(($AM$11:$AM1801&lt;&gt;"")*($AS$11:$AS1801&lt;&gt;"✓")),"")</f>
        <v/>
      </c>
      <c r="AZ1801" s="21" t="str">
        <f>IF(AND($AM1801&lt;&gt;"",$AS1801="✓"),SUMPRODUCT(($AM$11:$AM1801&lt;&gt;"")*($AS$11:$AS1801="✓")),"")</f>
        <v/>
      </c>
      <c r="BA1801" s="21" t="str">
        <f>IF($AL1801="","",$AL1801&amp;"|"&amp;COUNTIF($AL$11:$AL1801,$AL1801))</f>
        <v/>
      </c>
    </row>
    <row r="1802" spans="38:53" ht="15" customHeight="1" x14ac:dyDescent="0.25">
      <c r="AL1802" s="31"/>
      <c r="AM1802" s="26"/>
      <c r="AN1802" s="32"/>
      <c r="AO1802" s="32"/>
      <c r="AP1802" s="24"/>
      <c r="AQ1802" s="24"/>
      <c r="AR1802" s="33"/>
      <c r="AS1802" s="34"/>
      <c r="AT1802" s="33"/>
      <c r="AV1802" s="21">
        <f>IF(AND($AL1802&lt;&gt;"",COUNTIF($AL$11:$AL1802,$AL1802)=1),1,0)</f>
        <v>0</v>
      </c>
      <c r="AW1802" s="21">
        <f t="shared" si="141"/>
        <v>2</v>
      </c>
      <c r="AX1802" s="21" t="str">
        <f t="shared" si="140"/>
        <v/>
      </c>
      <c r="AY1802" s="21" t="str">
        <f>IF(AND($AM1802&lt;&gt;"",$AS1802&lt;&gt;"✓"),SUMPRODUCT(($AM$11:$AM1802&lt;&gt;"")*($AS$11:$AS1802&lt;&gt;"✓")),"")</f>
        <v/>
      </c>
      <c r="AZ1802" s="21" t="str">
        <f>IF(AND($AM1802&lt;&gt;"",$AS1802="✓"),SUMPRODUCT(($AM$11:$AM1802&lt;&gt;"")*($AS$11:$AS1802="✓")),"")</f>
        <v/>
      </c>
      <c r="BA1802" s="21" t="str">
        <f>IF($AL1802="","",$AL1802&amp;"|"&amp;COUNTIF($AL$11:$AL1802,$AL1802))</f>
        <v/>
      </c>
    </row>
    <row r="1803" spans="38:53" ht="15" customHeight="1" x14ac:dyDescent="0.25">
      <c r="AL1803" s="17"/>
      <c r="AM1803" s="12"/>
      <c r="AN1803" s="18"/>
      <c r="AO1803" s="18"/>
      <c r="AP1803" s="10"/>
      <c r="AQ1803" s="10"/>
      <c r="AR1803" s="19"/>
      <c r="AS1803" s="20"/>
      <c r="AT1803" s="19"/>
      <c r="AV1803" s="21">
        <f>IF(AND($AL1803&lt;&gt;"",COUNTIF($AL$11:$AL1803,$AL1803)=1),1,0)</f>
        <v>0</v>
      </c>
      <c r="AW1803" s="21">
        <f t="shared" si="141"/>
        <v>2</v>
      </c>
      <c r="AX1803" s="21" t="str">
        <f t="shared" ref="AX1803:AX1866" si="142">IF(AV1803=1,AW1803,"")</f>
        <v/>
      </c>
      <c r="AY1803" s="21" t="str">
        <f>IF(AND($AM1803&lt;&gt;"",$AS1803&lt;&gt;"✓"),SUMPRODUCT(($AM$11:$AM1803&lt;&gt;"")*($AS$11:$AS1803&lt;&gt;"✓")),"")</f>
        <v/>
      </c>
      <c r="AZ1803" s="21" t="str">
        <f>IF(AND($AM1803&lt;&gt;"",$AS1803="✓"),SUMPRODUCT(($AM$11:$AM1803&lt;&gt;"")*($AS$11:$AS1803="✓")),"")</f>
        <v/>
      </c>
      <c r="BA1803" s="21" t="str">
        <f>IF($AL1803="","",$AL1803&amp;"|"&amp;COUNTIF($AL$11:$AL1803,$AL1803))</f>
        <v/>
      </c>
    </row>
    <row r="1804" spans="38:53" ht="15" customHeight="1" x14ac:dyDescent="0.25">
      <c r="AL1804" s="31"/>
      <c r="AM1804" s="26"/>
      <c r="AN1804" s="32"/>
      <c r="AO1804" s="32"/>
      <c r="AP1804" s="24"/>
      <c r="AQ1804" s="24"/>
      <c r="AR1804" s="33"/>
      <c r="AS1804" s="34"/>
      <c r="AT1804" s="33"/>
      <c r="AV1804" s="21">
        <f>IF(AND($AL1804&lt;&gt;"",COUNTIF($AL$11:$AL1804,$AL1804)=1),1,0)</f>
        <v>0</v>
      </c>
      <c r="AW1804" s="21">
        <f t="shared" ref="AW1804:AW1867" si="143">AW1803+AV1804</f>
        <v>2</v>
      </c>
      <c r="AX1804" s="21" t="str">
        <f t="shared" si="142"/>
        <v/>
      </c>
      <c r="AY1804" s="21" t="str">
        <f>IF(AND($AM1804&lt;&gt;"",$AS1804&lt;&gt;"✓"),SUMPRODUCT(($AM$11:$AM1804&lt;&gt;"")*($AS$11:$AS1804&lt;&gt;"✓")),"")</f>
        <v/>
      </c>
      <c r="AZ1804" s="21" t="str">
        <f>IF(AND($AM1804&lt;&gt;"",$AS1804="✓"),SUMPRODUCT(($AM$11:$AM1804&lt;&gt;"")*($AS$11:$AS1804="✓")),"")</f>
        <v/>
      </c>
      <c r="BA1804" s="21" t="str">
        <f>IF($AL1804="","",$AL1804&amp;"|"&amp;COUNTIF($AL$11:$AL1804,$AL1804))</f>
        <v/>
      </c>
    </row>
    <row r="1805" spans="38:53" ht="15" customHeight="1" x14ac:dyDescent="0.25">
      <c r="AL1805" s="17"/>
      <c r="AM1805" s="12"/>
      <c r="AN1805" s="18"/>
      <c r="AO1805" s="18"/>
      <c r="AP1805" s="10"/>
      <c r="AQ1805" s="10"/>
      <c r="AR1805" s="19"/>
      <c r="AS1805" s="20"/>
      <c r="AT1805" s="19"/>
      <c r="AV1805" s="21">
        <f>IF(AND($AL1805&lt;&gt;"",COUNTIF($AL$11:$AL1805,$AL1805)=1),1,0)</f>
        <v>0</v>
      </c>
      <c r="AW1805" s="21">
        <f t="shared" si="143"/>
        <v>2</v>
      </c>
      <c r="AX1805" s="21" t="str">
        <f t="shared" si="142"/>
        <v/>
      </c>
      <c r="AY1805" s="21" t="str">
        <f>IF(AND($AM1805&lt;&gt;"",$AS1805&lt;&gt;"✓"),SUMPRODUCT(($AM$11:$AM1805&lt;&gt;"")*($AS$11:$AS1805&lt;&gt;"✓")),"")</f>
        <v/>
      </c>
      <c r="AZ1805" s="21" t="str">
        <f>IF(AND($AM1805&lt;&gt;"",$AS1805="✓"),SUMPRODUCT(($AM$11:$AM1805&lt;&gt;"")*($AS$11:$AS1805="✓")),"")</f>
        <v/>
      </c>
      <c r="BA1805" s="21" t="str">
        <f>IF($AL1805="","",$AL1805&amp;"|"&amp;COUNTIF($AL$11:$AL1805,$AL1805))</f>
        <v/>
      </c>
    </row>
    <row r="1806" spans="38:53" ht="15" customHeight="1" x14ac:dyDescent="0.25">
      <c r="AL1806" s="31"/>
      <c r="AM1806" s="26"/>
      <c r="AN1806" s="32"/>
      <c r="AO1806" s="32"/>
      <c r="AP1806" s="24"/>
      <c r="AQ1806" s="24"/>
      <c r="AR1806" s="33"/>
      <c r="AS1806" s="34"/>
      <c r="AT1806" s="33"/>
      <c r="AV1806" s="21">
        <f>IF(AND($AL1806&lt;&gt;"",COUNTIF($AL$11:$AL1806,$AL1806)=1),1,0)</f>
        <v>0</v>
      </c>
      <c r="AW1806" s="21">
        <f t="shared" si="143"/>
        <v>2</v>
      </c>
      <c r="AX1806" s="21" t="str">
        <f t="shared" si="142"/>
        <v/>
      </c>
      <c r="AY1806" s="21" t="str">
        <f>IF(AND($AM1806&lt;&gt;"",$AS1806&lt;&gt;"✓"),SUMPRODUCT(($AM$11:$AM1806&lt;&gt;"")*($AS$11:$AS1806&lt;&gt;"✓")),"")</f>
        <v/>
      </c>
      <c r="AZ1806" s="21" t="str">
        <f>IF(AND($AM1806&lt;&gt;"",$AS1806="✓"),SUMPRODUCT(($AM$11:$AM1806&lt;&gt;"")*($AS$11:$AS1806="✓")),"")</f>
        <v/>
      </c>
      <c r="BA1806" s="21" t="str">
        <f>IF($AL1806="","",$AL1806&amp;"|"&amp;COUNTIF($AL$11:$AL1806,$AL1806))</f>
        <v/>
      </c>
    </row>
    <row r="1807" spans="38:53" ht="15" customHeight="1" x14ac:dyDescent="0.25">
      <c r="AL1807" s="17"/>
      <c r="AM1807" s="12"/>
      <c r="AN1807" s="18"/>
      <c r="AO1807" s="18"/>
      <c r="AP1807" s="10"/>
      <c r="AQ1807" s="10"/>
      <c r="AR1807" s="19"/>
      <c r="AS1807" s="20"/>
      <c r="AT1807" s="19"/>
      <c r="AV1807" s="21">
        <f>IF(AND($AL1807&lt;&gt;"",COUNTIF($AL$11:$AL1807,$AL1807)=1),1,0)</f>
        <v>0</v>
      </c>
      <c r="AW1807" s="21">
        <f t="shared" si="143"/>
        <v>2</v>
      </c>
      <c r="AX1807" s="21" t="str">
        <f t="shared" si="142"/>
        <v/>
      </c>
      <c r="AY1807" s="21" t="str">
        <f>IF(AND($AM1807&lt;&gt;"",$AS1807&lt;&gt;"✓"),SUMPRODUCT(($AM$11:$AM1807&lt;&gt;"")*($AS$11:$AS1807&lt;&gt;"✓")),"")</f>
        <v/>
      </c>
      <c r="AZ1807" s="21" t="str">
        <f>IF(AND($AM1807&lt;&gt;"",$AS1807="✓"),SUMPRODUCT(($AM$11:$AM1807&lt;&gt;"")*($AS$11:$AS1807="✓")),"")</f>
        <v/>
      </c>
      <c r="BA1807" s="21" t="str">
        <f>IF($AL1807="","",$AL1807&amp;"|"&amp;COUNTIF($AL$11:$AL1807,$AL1807))</f>
        <v/>
      </c>
    </row>
    <row r="1808" spans="38:53" ht="15" customHeight="1" x14ac:dyDescent="0.25">
      <c r="AL1808" s="31"/>
      <c r="AM1808" s="26"/>
      <c r="AN1808" s="32"/>
      <c r="AO1808" s="32"/>
      <c r="AP1808" s="24"/>
      <c r="AQ1808" s="24"/>
      <c r="AR1808" s="33"/>
      <c r="AS1808" s="34"/>
      <c r="AT1808" s="33"/>
      <c r="AV1808" s="21">
        <f>IF(AND($AL1808&lt;&gt;"",COUNTIF($AL$11:$AL1808,$AL1808)=1),1,0)</f>
        <v>0</v>
      </c>
      <c r="AW1808" s="21">
        <f t="shared" si="143"/>
        <v>2</v>
      </c>
      <c r="AX1808" s="21" t="str">
        <f t="shared" si="142"/>
        <v/>
      </c>
      <c r="AY1808" s="21" t="str">
        <f>IF(AND($AM1808&lt;&gt;"",$AS1808&lt;&gt;"✓"),SUMPRODUCT(($AM$11:$AM1808&lt;&gt;"")*($AS$11:$AS1808&lt;&gt;"✓")),"")</f>
        <v/>
      </c>
      <c r="AZ1808" s="21" t="str">
        <f>IF(AND($AM1808&lt;&gt;"",$AS1808="✓"),SUMPRODUCT(($AM$11:$AM1808&lt;&gt;"")*($AS$11:$AS1808="✓")),"")</f>
        <v/>
      </c>
      <c r="BA1808" s="21" t="str">
        <f>IF($AL1808="","",$AL1808&amp;"|"&amp;COUNTIF($AL$11:$AL1808,$AL1808))</f>
        <v/>
      </c>
    </row>
    <row r="1809" spans="38:53" ht="15" customHeight="1" x14ac:dyDescent="0.25">
      <c r="AL1809" s="17"/>
      <c r="AM1809" s="12"/>
      <c r="AN1809" s="18"/>
      <c r="AO1809" s="18"/>
      <c r="AP1809" s="10"/>
      <c r="AQ1809" s="10"/>
      <c r="AR1809" s="19"/>
      <c r="AS1809" s="20"/>
      <c r="AT1809" s="19"/>
      <c r="AV1809" s="21">
        <f>IF(AND($AL1809&lt;&gt;"",COUNTIF($AL$11:$AL1809,$AL1809)=1),1,0)</f>
        <v>0</v>
      </c>
      <c r="AW1809" s="21">
        <f t="shared" si="143"/>
        <v>2</v>
      </c>
      <c r="AX1809" s="21" t="str">
        <f t="shared" si="142"/>
        <v/>
      </c>
      <c r="AY1809" s="21" t="str">
        <f>IF(AND($AM1809&lt;&gt;"",$AS1809&lt;&gt;"✓"),SUMPRODUCT(($AM$11:$AM1809&lt;&gt;"")*($AS$11:$AS1809&lt;&gt;"✓")),"")</f>
        <v/>
      </c>
      <c r="AZ1809" s="21" t="str">
        <f>IF(AND($AM1809&lt;&gt;"",$AS1809="✓"),SUMPRODUCT(($AM$11:$AM1809&lt;&gt;"")*($AS$11:$AS1809="✓")),"")</f>
        <v/>
      </c>
      <c r="BA1809" s="21" t="str">
        <f>IF($AL1809="","",$AL1809&amp;"|"&amp;COUNTIF($AL$11:$AL1809,$AL1809))</f>
        <v/>
      </c>
    </row>
    <row r="1810" spans="38:53" ht="15" customHeight="1" x14ac:dyDescent="0.25">
      <c r="AL1810" s="31"/>
      <c r="AM1810" s="26"/>
      <c r="AN1810" s="32"/>
      <c r="AO1810" s="32"/>
      <c r="AP1810" s="24"/>
      <c r="AQ1810" s="24"/>
      <c r="AR1810" s="33"/>
      <c r="AS1810" s="34"/>
      <c r="AT1810" s="33"/>
      <c r="AV1810" s="21">
        <f>IF(AND($AL1810&lt;&gt;"",COUNTIF($AL$11:$AL1810,$AL1810)=1),1,0)</f>
        <v>0</v>
      </c>
      <c r="AW1810" s="21">
        <f t="shared" si="143"/>
        <v>2</v>
      </c>
      <c r="AX1810" s="21" t="str">
        <f t="shared" si="142"/>
        <v/>
      </c>
      <c r="AY1810" s="21" t="str">
        <f>IF(AND($AM1810&lt;&gt;"",$AS1810&lt;&gt;"✓"),SUMPRODUCT(($AM$11:$AM1810&lt;&gt;"")*($AS$11:$AS1810&lt;&gt;"✓")),"")</f>
        <v/>
      </c>
      <c r="AZ1810" s="21" t="str">
        <f>IF(AND($AM1810&lt;&gt;"",$AS1810="✓"),SUMPRODUCT(($AM$11:$AM1810&lt;&gt;"")*($AS$11:$AS1810="✓")),"")</f>
        <v/>
      </c>
      <c r="BA1810" s="21" t="str">
        <f>IF($AL1810="","",$AL1810&amp;"|"&amp;COUNTIF($AL$11:$AL1810,$AL1810))</f>
        <v/>
      </c>
    </row>
    <row r="1811" spans="38:53" ht="15" customHeight="1" x14ac:dyDescent="0.25">
      <c r="AL1811" s="17"/>
      <c r="AM1811" s="12"/>
      <c r="AN1811" s="18"/>
      <c r="AO1811" s="18"/>
      <c r="AP1811" s="10"/>
      <c r="AQ1811" s="10"/>
      <c r="AR1811" s="19"/>
      <c r="AS1811" s="20"/>
      <c r="AT1811" s="19"/>
      <c r="AV1811" s="21">
        <f>IF(AND($AL1811&lt;&gt;"",COUNTIF($AL$11:$AL1811,$AL1811)=1),1,0)</f>
        <v>0</v>
      </c>
      <c r="AW1811" s="21">
        <f t="shared" si="143"/>
        <v>2</v>
      </c>
      <c r="AX1811" s="21" t="str">
        <f t="shared" si="142"/>
        <v/>
      </c>
      <c r="AY1811" s="21" t="str">
        <f>IF(AND($AM1811&lt;&gt;"",$AS1811&lt;&gt;"✓"),SUMPRODUCT(($AM$11:$AM1811&lt;&gt;"")*($AS$11:$AS1811&lt;&gt;"✓")),"")</f>
        <v/>
      </c>
      <c r="AZ1811" s="21" t="str">
        <f>IF(AND($AM1811&lt;&gt;"",$AS1811="✓"),SUMPRODUCT(($AM$11:$AM1811&lt;&gt;"")*($AS$11:$AS1811="✓")),"")</f>
        <v/>
      </c>
      <c r="BA1811" s="21" t="str">
        <f>IF($AL1811="","",$AL1811&amp;"|"&amp;COUNTIF($AL$11:$AL1811,$AL1811))</f>
        <v/>
      </c>
    </row>
    <row r="1812" spans="38:53" ht="15" customHeight="1" x14ac:dyDescent="0.25">
      <c r="AL1812" s="31"/>
      <c r="AM1812" s="26"/>
      <c r="AN1812" s="32"/>
      <c r="AO1812" s="32"/>
      <c r="AP1812" s="24"/>
      <c r="AQ1812" s="24"/>
      <c r="AR1812" s="33"/>
      <c r="AS1812" s="34"/>
      <c r="AT1812" s="33"/>
      <c r="AV1812" s="21">
        <f>IF(AND($AL1812&lt;&gt;"",COUNTIF($AL$11:$AL1812,$AL1812)=1),1,0)</f>
        <v>0</v>
      </c>
      <c r="AW1812" s="21">
        <f t="shared" si="143"/>
        <v>2</v>
      </c>
      <c r="AX1812" s="21" t="str">
        <f t="shared" si="142"/>
        <v/>
      </c>
      <c r="AY1812" s="21" t="str">
        <f>IF(AND($AM1812&lt;&gt;"",$AS1812&lt;&gt;"✓"),SUMPRODUCT(($AM$11:$AM1812&lt;&gt;"")*($AS$11:$AS1812&lt;&gt;"✓")),"")</f>
        <v/>
      </c>
      <c r="AZ1812" s="21" t="str">
        <f>IF(AND($AM1812&lt;&gt;"",$AS1812="✓"),SUMPRODUCT(($AM$11:$AM1812&lt;&gt;"")*($AS$11:$AS1812="✓")),"")</f>
        <v/>
      </c>
      <c r="BA1812" s="21" t="str">
        <f>IF($AL1812="","",$AL1812&amp;"|"&amp;COUNTIF($AL$11:$AL1812,$AL1812))</f>
        <v/>
      </c>
    </row>
    <row r="1813" spans="38:53" ht="15" customHeight="1" x14ac:dyDescent="0.25">
      <c r="AL1813" s="17"/>
      <c r="AM1813" s="12"/>
      <c r="AN1813" s="18"/>
      <c r="AO1813" s="18"/>
      <c r="AP1813" s="10"/>
      <c r="AQ1813" s="10"/>
      <c r="AR1813" s="19"/>
      <c r="AS1813" s="20"/>
      <c r="AT1813" s="19"/>
      <c r="AV1813" s="21">
        <f>IF(AND($AL1813&lt;&gt;"",COUNTIF($AL$11:$AL1813,$AL1813)=1),1,0)</f>
        <v>0</v>
      </c>
      <c r="AW1813" s="21">
        <f t="shared" si="143"/>
        <v>2</v>
      </c>
      <c r="AX1813" s="21" t="str">
        <f t="shared" si="142"/>
        <v/>
      </c>
      <c r="AY1813" s="21" t="str">
        <f>IF(AND($AM1813&lt;&gt;"",$AS1813&lt;&gt;"✓"),SUMPRODUCT(($AM$11:$AM1813&lt;&gt;"")*($AS$11:$AS1813&lt;&gt;"✓")),"")</f>
        <v/>
      </c>
      <c r="AZ1813" s="21" t="str">
        <f>IF(AND($AM1813&lt;&gt;"",$AS1813="✓"),SUMPRODUCT(($AM$11:$AM1813&lt;&gt;"")*($AS$11:$AS1813="✓")),"")</f>
        <v/>
      </c>
      <c r="BA1813" s="21" t="str">
        <f>IF($AL1813="","",$AL1813&amp;"|"&amp;COUNTIF($AL$11:$AL1813,$AL1813))</f>
        <v/>
      </c>
    </row>
    <row r="1814" spans="38:53" ht="15" customHeight="1" x14ac:dyDescent="0.25">
      <c r="AL1814" s="31"/>
      <c r="AM1814" s="26"/>
      <c r="AN1814" s="32"/>
      <c r="AO1814" s="32"/>
      <c r="AP1814" s="24"/>
      <c r="AQ1814" s="24"/>
      <c r="AR1814" s="33"/>
      <c r="AS1814" s="34"/>
      <c r="AT1814" s="33"/>
      <c r="AV1814" s="21">
        <f>IF(AND($AL1814&lt;&gt;"",COUNTIF($AL$11:$AL1814,$AL1814)=1),1,0)</f>
        <v>0</v>
      </c>
      <c r="AW1814" s="21">
        <f t="shared" si="143"/>
        <v>2</v>
      </c>
      <c r="AX1814" s="21" t="str">
        <f t="shared" si="142"/>
        <v/>
      </c>
      <c r="AY1814" s="21" t="str">
        <f>IF(AND($AM1814&lt;&gt;"",$AS1814&lt;&gt;"✓"),SUMPRODUCT(($AM$11:$AM1814&lt;&gt;"")*($AS$11:$AS1814&lt;&gt;"✓")),"")</f>
        <v/>
      </c>
      <c r="AZ1814" s="21" t="str">
        <f>IF(AND($AM1814&lt;&gt;"",$AS1814="✓"),SUMPRODUCT(($AM$11:$AM1814&lt;&gt;"")*($AS$11:$AS1814="✓")),"")</f>
        <v/>
      </c>
      <c r="BA1814" s="21" t="str">
        <f>IF($AL1814="","",$AL1814&amp;"|"&amp;COUNTIF($AL$11:$AL1814,$AL1814))</f>
        <v/>
      </c>
    </row>
    <row r="1815" spans="38:53" ht="15" customHeight="1" x14ac:dyDescent="0.25">
      <c r="AL1815" s="17"/>
      <c r="AM1815" s="12"/>
      <c r="AN1815" s="18"/>
      <c r="AO1815" s="18"/>
      <c r="AP1815" s="10"/>
      <c r="AQ1815" s="10"/>
      <c r="AR1815" s="19"/>
      <c r="AS1815" s="20"/>
      <c r="AT1815" s="19"/>
      <c r="AV1815" s="21">
        <f>IF(AND($AL1815&lt;&gt;"",COUNTIF($AL$11:$AL1815,$AL1815)=1),1,0)</f>
        <v>0</v>
      </c>
      <c r="AW1815" s="21">
        <f t="shared" si="143"/>
        <v>2</v>
      </c>
      <c r="AX1815" s="21" t="str">
        <f t="shared" si="142"/>
        <v/>
      </c>
      <c r="AY1815" s="21" t="str">
        <f>IF(AND($AM1815&lt;&gt;"",$AS1815&lt;&gt;"✓"),SUMPRODUCT(($AM$11:$AM1815&lt;&gt;"")*($AS$11:$AS1815&lt;&gt;"✓")),"")</f>
        <v/>
      </c>
      <c r="AZ1815" s="21" t="str">
        <f>IF(AND($AM1815&lt;&gt;"",$AS1815="✓"),SUMPRODUCT(($AM$11:$AM1815&lt;&gt;"")*($AS$11:$AS1815="✓")),"")</f>
        <v/>
      </c>
      <c r="BA1815" s="21" t="str">
        <f>IF($AL1815="","",$AL1815&amp;"|"&amp;COUNTIF($AL$11:$AL1815,$AL1815))</f>
        <v/>
      </c>
    </row>
    <row r="1816" spans="38:53" ht="15" customHeight="1" x14ac:dyDescent="0.25">
      <c r="AL1816" s="31"/>
      <c r="AM1816" s="26"/>
      <c r="AN1816" s="32"/>
      <c r="AO1816" s="32"/>
      <c r="AP1816" s="24"/>
      <c r="AQ1816" s="24"/>
      <c r="AR1816" s="33"/>
      <c r="AS1816" s="34"/>
      <c r="AT1816" s="33"/>
      <c r="AV1816" s="21">
        <f>IF(AND($AL1816&lt;&gt;"",COUNTIF($AL$11:$AL1816,$AL1816)=1),1,0)</f>
        <v>0</v>
      </c>
      <c r="AW1816" s="21">
        <f t="shared" si="143"/>
        <v>2</v>
      </c>
      <c r="AX1816" s="21" t="str">
        <f t="shared" si="142"/>
        <v/>
      </c>
      <c r="AY1816" s="21" t="str">
        <f>IF(AND($AM1816&lt;&gt;"",$AS1816&lt;&gt;"✓"),SUMPRODUCT(($AM$11:$AM1816&lt;&gt;"")*($AS$11:$AS1816&lt;&gt;"✓")),"")</f>
        <v/>
      </c>
      <c r="AZ1816" s="21" t="str">
        <f>IF(AND($AM1816&lt;&gt;"",$AS1816="✓"),SUMPRODUCT(($AM$11:$AM1816&lt;&gt;"")*($AS$11:$AS1816="✓")),"")</f>
        <v/>
      </c>
      <c r="BA1816" s="21" t="str">
        <f>IF($AL1816="","",$AL1816&amp;"|"&amp;COUNTIF($AL$11:$AL1816,$AL1816))</f>
        <v/>
      </c>
    </row>
    <row r="1817" spans="38:53" ht="15" customHeight="1" x14ac:dyDescent="0.25">
      <c r="AL1817" s="17"/>
      <c r="AM1817" s="12"/>
      <c r="AN1817" s="18"/>
      <c r="AO1817" s="18"/>
      <c r="AP1817" s="10"/>
      <c r="AQ1817" s="10"/>
      <c r="AR1817" s="19"/>
      <c r="AS1817" s="20"/>
      <c r="AT1817" s="19"/>
      <c r="AV1817" s="21">
        <f>IF(AND($AL1817&lt;&gt;"",COUNTIF($AL$11:$AL1817,$AL1817)=1),1,0)</f>
        <v>0</v>
      </c>
      <c r="AW1817" s="21">
        <f t="shared" si="143"/>
        <v>2</v>
      </c>
      <c r="AX1817" s="21" t="str">
        <f t="shared" si="142"/>
        <v/>
      </c>
      <c r="AY1817" s="21" t="str">
        <f>IF(AND($AM1817&lt;&gt;"",$AS1817&lt;&gt;"✓"),SUMPRODUCT(($AM$11:$AM1817&lt;&gt;"")*($AS$11:$AS1817&lt;&gt;"✓")),"")</f>
        <v/>
      </c>
      <c r="AZ1817" s="21" t="str">
        <f>IF(AND($AM1817&lt;&gt;"",$AS1817="✓"),SUMPRODUCT(($AM$11:$AM1817&lt;&gt;"")*($AS$11:$AS1817="✓")),"")</f>
        <v/>
      </c>
      <c r="BA1817" s="21" t="str">
        <f>IF($AL1817="","",$AL1817&amp;"|"&amp;COUNTIF($AL$11:$AL1817,$AL1817))</f>
        <v/>
      </c>
    </row>
    <row r="1818" spans="38:53" ht="15" customHeight="1" x14ac:dyDescent="0.25">
      <c r="AL1818" s="31"/>
      <c r="AM1818" s="26"/>
      <c r="AN1818" s="32"/>
      <c r="AO1818" s="32"/>
      <c r="AP1818" s="24"/>
      <c r="AQ1818" s="24"/>
      <c r="AR1818" s="33"/>
      <c r="AS1818" s="34"/>
      <c r="AT1818" s="33"/>
      <c r="AV1818" s="21">
        <f>IF(AND($AL1818&lt;&gt;"",COUNTIF($AL$11:$AL1818,$AL1818)=1),1,0)</f>
        <v>0</v>
      </c>
      <c r="AW1818" s="21">
        <f t="shared" si="143"/>
        <v>2</v>
      </c>
      <c r="AX1818" s="21" t="str">
        <f t="shared" si="142"/>
        <v/>
      </c>
      <c r="AY1818" s="21" t="str">
        <f>IF(AND($AM1818&lt;&gt;"",$AS1818&lt;&gt;"✓"),SUMPRODUCT(($AM$11:$AM1818&lt;&gt;"")*($AS$11:$AS1818&lt;&gt;"✓")),"")</f>
        <v/>
      </c>
      <c r="AZ1818" s="21" t="str">
        <f>IF(AND($AM1818&lt;&gt;"",$AS1818="✓"),SUMPRODUCT(($AM$11:$AM1818&lt;&gt;"")*($AS$11:$AS1818="✓")),"")</f>
        <v/>
      </c>
      <c r="BA1818" s="21" t="str">
        <f>IF($AL1818="","",$AL1818&amp;"|"&amp;COUNTIF($AL$11:$AL1818,$AL1818))</f>
        <v/>
      </c>
    </row>
    <row r="1819" spans="38:53" ht="15" customHeight="1" x14ac:dyDescent="0.25">
      <c r="AL1819" s="17"/>
      <c r="AM1819" s="12"/>
      <c r="AN1819" s="18"/>
      <c r="AO1819" s="18"/>
      <c r="AP1819" s="10"/>
      <c r="AQ1819" s="10"/>
      <c r="AR1819" s="19"/>
      <c r="AS1819" s="20"/>
      <c r="AT1819" s="19"/>
      <c r="AV1819" s="21">
        <f>IF(AND($AL1819&lt;&gt;"",COUNTIF($AL$11:$AL1819,$AL1819)=1),1,0)</f>
        <v>0</v>
      </c>
      <c r="AW1819" s="21">
        <f t="shared" si="143"/>
        <v>2</v>
      </c>
      <c r="AX1819" s="21" t="str">
        <f t="shared" si="142"/>
        <v/>
      </c>
      <c r="AY1819" s="21" t="str">
        <f>IF(AND($AM1819&lt;&gt;"",$AS1819&lt;&gt;"✓"),SUMPRODUCT(($AM$11:$AM1819&lt;&gt;"")*($AS$11:$AS1819&lt;&gt;"✓")),"")</f>
        <v/>
      </c>
      <c r="AZ1819" s="21" t="str">
        <f>IF(AND($AM1819&lt;&gt;"",$AS1819="✓"),SUMPRODUCT(($AM$11:$AM1819&lt;&gt;"")*($AS$11:$AS1819="✓")),"")</f>
        <v/>
      </c>
      <c r="BA1819" s="21" t="str">
        <f>IF($AL1819="","",$AL1819&amp;"|"&amp;COUNTIF($AL$11:$AL1819,$AL1819))</f>
        <v/>
      </c>
    </row>
    <row r="1820" spans="38:53" ht="15" customHeight="1" x14ac:dyDescent="0.25">
      <c r="AL1820" s="31"/>
      <c r="AM1820" s="26"/>
      <c r="AN1820" s="32"/>
      <c r="AO1820" s="32"/>
      <c r="AP1820" s="24"/>
      <c r="AQ1820" s="24"/>
      <c r="AR1820" s="33"/>
      <c r="AS1820" s="34"/>
      <c r="AT1820" s="33"/>
      <c r="AV1820" s="21">
        <f>IF(AND($AL1820&lt;&gt;"",COUNTIF($AL$11:$AL1820,$AL1820)=1),1,0)</f>
        <v>0</v>
      </c>
      <c r="AW1820" s="21">
        <f t="shared" si="143"/>
        <v>2</v>
      </c>
      <c r="AX1820" s="21" t="str">
        <f t="shared" si="142"/>
        <v/>
      </c>
      <c r="AY1820" s="21" t="str">
        <f>IF(AND($AM1820&lt;&gt;"",$AS1820&lt;&gt;"✓"),SUMPRODUCT(($AM$11:$AM1820&lt;&gt;"")*($AS$11:$AS1820&lt;&gt;"✓")),"")</f>
        <v/>
      </c>
      <c r="AZ1820" s="21" t="str">
        <f>IF(AND($AM1820&lt;&gt;"",$AS1820="✓"),SUMPRODUCT(($AM$11:$AM1820&lt;&gt;"")*($AS$11:$AS1820="✓")),"")</f>
        <v/>
      </c>
      <c r="BA1820" s="21" t="str">
        <f>IF($AL1820="","",$AL1820&amp;"|"&amp;COUNTIF($AL$11:$AL1820,$AL1820))</f>
        <v/>
      </c>
    </row>
    <row r="1821" spans="38:53" ht="15" customHeight="1" x14ac:dyDescent="0.25">
      <c r="AL1821" s="17"/>
      <c r="AM1821" s="12"/>
      <c r="AN1821" s="18"/>
      <c r="AO1821" s="18"/>
      <c r="AP1821" s="10"/>
      <c r="AQ1821" s="10"/>
      <c r="AR1821" s="19"/>
      <c r="AS1821" s="20"/>
      <c r="AT1821" s="19"/>
      <c r="AV1821" s="21">
        <f>IF(AND($AL1821&lt;&gt;"",COUNTIF($AL$11:$AL1821,$AL1821)=1),1,0)</f>
        <v>0</v>
      </c>
      <c r="AW1821" s="21">
        <f t="shared" si="143"/>
        <v>2</v>
      </c>
      <c r="AX1821" s="21" t="str">
        <f t="shared" si="142"/>
        <v/>
      </c>
      <c r="AY1821" s="21" t="str">
        <f>IF(AND($AM1821&lt;&gt;"",$AS1821&lt;&gt;"✓"),SUMPRODUCT(($AM$11:$AM1821&lt;&gt;"")*($AS$11:$AS1821&lt;&gt;"✓")),"")</f>
        <v/>
      </c>
      <c r="AZ1821" s="21" t="str">
        <f>IF(AND($AM1821&lt;&gt;"",$AS1821="✓"),SUMPRODUCT(($AM$11:$AM1821&lt;&gt;"")*($AS$11:$AS1821="✓")),"")</f>
        <v/>
      </c>
      <c r="BA1821" s="21" t="str">
        <f>IF($AL1821="","",$AL1821&amp;"|"&amp;COUNTIF($AL$11:$AL1821,$AL1821))</f>
        <v/>
      </c>
    </row>
    <row r="1822" spans="38:53" ht="15" customHeight="1" x14ac:dyDescent="0.25">
      <c r="AL1822" s="31"/>
      <c r="AM1822" s="26"/>
      <c r="AN1822" s="32"/>
      <c r="AO1822" s="32"/>
      <c r="AP1822" s="24"/>
      <c r="AQ1822" s="24"/>
      <c r="AR1822" s="33"/>
      <c r="AS1822" s="34"/>
      <c r="AT1822" s="33"/>
      <c r="AV1822" s="21">
        <f>IF(AND($AL1822&lt;&gt;"",COUNTIF($AL$11:$AL1822,$AL1822)=1),1,0)</f>
        <v>0</v>
      </c>
      <c r="AW1822" s="21">
        <f t="shared" si="143"/>
        <v>2</v>
      </c>
      <c r="AX1822" s="21" t="str">
        <f t="shared" si="142"/>
        <v/>
      </c>
      <c r="AY1822" s="21" t="str">
        <f>IF(AND($AM1822&lt;&gt;"",$AS1822&lt;&gt;"✓"),SUMPRODUCT(($AM$11:$AM1822&lt;&gt;"")*($AS$11:$AS1822&lt;&gt;"✓")),"")</f>
        <v/>
      </c>
      <c r="AZ1822" s="21" t="str">
        <f>IF(AND($AM1822&lt;&gt;"",$AS1822="✓"),SUMPRODUCT(($AM$11:$AM1822&lt;&gt;"")*($AS$11:$AS1822="✓")),"")</f>
        <v/>
      </c>
      <c r="BA1822" s="21" t="str">
        <f>IF($AL1822="","",$AL1822&amp;"|"&amp;COUNTIF($AL$11:$AL1822,$AL1822))</f>
        <v/>
      </c>
    </row>
    <row r="1823" spans="38:53" ht="15" customHeight="1" x14ac:dyDescent="0.25">
      <c r="AL1823" s="17"/>
      <c r="AM1823" s="12"/>
      <c r="AN1823" s="18"/>
      <c r="AO1823" s="18"/>
      <c r="AP1823" s="10"/>
      <c r="AQ1823" s="10"/>
      <c r="AR1823" s="19"/>
      <c r="AS1823" s="20"/>
      <c r="AT1823" s="19"/>
      <c r="AV1823" s="21">
        <f>IF(AND($AL1823&lt;&gt;"",COUNTIF($AL$11:$AL1823,$AL1823)=1),1,0)</f>
        <v>0</v>
      </c>
      <c r="AW1823" s="21">
        <f t="shared" si="143"/>
        <v>2</v>
      </c>
      <c r="AX1823" s="21" t="str">
        <f t="shared" si="142"/>
        <v/>
      </c>
      <c r="AY1823" s="21" t="str">
        <f>IF(AND($AM1823&lt;&gt;"",$AS1823&lt;&gt;"✓"),SUMPRODUCT(($AM$11:$AM1823&lt;&gt;"")*($AS$11:$AS1823&lt;&gt;"✓")),"")</f>
        <v/>
      </c>
      <c r="AZ1823" s="21" t="str">
        <f>IF(AND($AM1823&lt;&gt;"",$AS1823="✓"),SUMPRODUCT(($AM$11:$AM1823&lt;&gt;"")*($AS$11:$AS1823="✓")),"")</f>
        <v/>
      </c>
      <c r="BA1823" s="21" t="str">
        <f>IF($AL1823="","",$AL1823&amp;"|"&amp;COUNTIF($AL$11:$AL1823,$AL1823))</f>
        <v/>
      </c>
    </row>
    <row r="1824" spans="38:53" ht="15" customHeight="1" x14ac:dyDescent="0.25">
      <c r="AL1824" s="31"/>
      <c r="AM1824" s="26"/>
      <c r="AN1824" s="32"/>
      <c r="AO1824" s="32"/>
      <c r="AP1824" s="24"/>
      <c r="AQ1824" s="24"/>
      <c r="AR1824" s="33"/>
      <c r="AS1824" s="34"/>
      <c r="AT1824" s="33"/>
      <c r="AV1824" s="21">
        <f>IF(AND($AL1824&lt;&gt;"",COUNTIF($AL$11:$AL1824,$AL1824)=1),1,0)</f>
        <v>0</v>
      </c>
      <c r="AW1824" s="21">
        <f t="shared" si="143"/>
        <v>2</v>
      </c>
      <c r="AX1824" s="21" t="str">
        <f t="shared" si="142"/>
        <v/>
      </c>
      <c r="AY1824" s="21" t="str">
        <f>IF(AND($AM1824&lt;&gt;"",$AS1824&lt;&gt;"✓"),SUMPRODUCT(($AM$11:$AM1824&lt;&gt;"")*($AS$11:$AS1824&lt;&gt;"✓")),"")</f>
        <v/>
      </c>
      <c r="AZ1824" s="21" t="str">
        <f>IF(AND($AM1824&lt;&gt;"",$AS1824="✓"),SUMPRODUCT(($AM$11:$AM1824&lt;&gt;"")*($AS$11:$AS1824="✓")),"")</f>
        <v/>
      </c>
      <c r="BA1824" s="21" t="str">
        <f>IF($AL1824="","",$AL1824&amp;"|"&amp;COUNTIF($AL$11:$AL1824,$AL1824))</f>
        <v/>
      </c>
    </row>
    <row r="1825" spans="38:53" ht="15" customHeight="1" x14ac:dyDescent="0.25">
      <c r="AL1825" s="17"/>
      <c r="AM1825" s="12"/>
      <c r="AN1825" s="18"/>
      <c r="AO1825" s="18"/>
      <c r="AP1825" s="10"/>
      <c r="AQ1825" s="10"/>
      <c r="AR1825" s="19"/>
      <c r="AS1825" s="20"/>
      <c r="AT1825" s="19"/>
      <c r="AV1825" s="21">
        <f>IF(AND($AL1825&lt;&gt;"",COUNTIF($AL$11:$AL1825,$AL1825)=1),1,0)</f>
        <v>0</v>
      </c>
      <c r="AW1825" s="21">
        <f t="shared" si="143"/>
        <v>2</v>
      </c>
      <c r="AX1825" s="21" t="str">
        <f t="shared" si="142"/>
        <v/>
      </c>
      <c r="AY1825" s="21" t="str">
        <f>IF(AND($AM1825&lt;&gt;"",$AS1825&lt;&gt;"✓"),SUMPRODUCT(($AM$11:$AM1825&lt;&gt;"")*($AS$11:$AS1825&lt;&gt;"✓")),"")</f>
        <v/>
      </c>
      <c r="AZ1825" s="21" t="str">
        <f>IF(AND($AM1825&lt;&gt;"",$AS1825="✓"),SUMPRODUCT(($AM$11:$AM1825&lt;&gt;"")*($AS$11:$AS1825="✓")),"")</f>
        <v/>
      </c>
      <c r="BA1825" s="21" t="str">
        <f>IF($AL1825="","",$AL1825&amp;"|"&amp;COUNTIF($AL$11:$AL1825,$AL1825))</f>
        <v/>
      </c>
    </row>
    <row r="1826" spans="38:53" ht="15" customHeight="1" x14ac:dyDescent="0.25">
      <c r="AL1826" s="31"/>
      <c r="AM1826" s="26"/>
      <c r="AN1826" s="32"/>
      <c r="AO1826" s="32"/>
      <c r="AP1826" s="24"/>
      <c r="AQ1826" s="24"/>
      <c r="AR1826" s="33"/>
      <c r="AS1826" s="34"/>
      <c r="AT1826" s="33"/>
      <c r="AV1826" s="21">
        <f>IF(AND($AL1826&lt;&gt;"",COUNTIF($AL$11:$AL1826,$AL1826)=1),1,0)</f>
        <v>0</v>
      </c>
      <c r="AW1826" s="21">
        <f t="shared" si="143"/>
        <v>2</v>
      </c>
      <c r="AX1826" s="21" t="str">
        <f t="shared" si="142"/>
        <v/>
      </c>
      <c r="AY1826" s="21" t="str">
        <f>IF(AND($AM1826&lt;&gt;"",$AS1826&lt;&gt;"✓"),SUMPRODUCT(($AM$11:$AM1826&lt;&gt;"")*($AS$11:$AS1826&lt;&gt;"✓")),"")</f>
        <v/>
      </c>
      <c r="AZ1826" s="21" t="str">
        <f>IF(AND($AM1826&lt;&gt;"",$AS1826="✓"),SUMPRODUCT(($AM$11:$AM1826&lt;&gt;"")*($AS$11:$AS1826="✓")),"")</f>
        <v/>
      </c>
      <c r="BA1826" s="21" t="str">
        <f>IF($AL1826="","",$AL1826&amp;"|"&amp;COUNTIF($AL$11:$AL1826,$AL1826))</f>
        <v/>
      </c>
    </row>
    <row r="1827" spans="38:53" ht="15" customHeight="1" x14ac:dyDescent="0.25">
      <c r="AL1827" s="17"/>
      <c r="AM1827" s="12"/>
      <c r="AN1827" s="18"/>
      <c r="AO1827" s="18"/>
      <c r="AP1827" s="10"/>
      <c r="AQ1827" s="10"/>
      <c r="AR1827" s="19"/>
      <c r="AS1827" s="20"/>
      <c r="AT1827" s="19"/>
      <c r="AV1827" s="21">
        <f>IF(AND($AL1827&lt;&gt;"",COUNTIF($AL$11:$AL1827,$AL1827)=1),1,0)</f>
        <v>0</v>
      </c>
      <c r="AW1827" s="21">
        <f t="shared" si="143"/>
        <v>2</v>
      </c>
      <c r="AX1827" s="21" t="str">
        <f t="shared" si="142"/>
        <v/>
      </c>
      <c r="AY1827" s="21" t="str">
        <f>IF(AND($AM1827&lt;&gt;"",$AS1827&lt;&gt;"✓"),SUMPRODUCT(($AM$11:$AM1827&lt;&gt;"")*($AS$11:$AS1827&lt;&gt;"✓")),"")</f>
        <v/>
      </c>
      <c r="AZ1827" s="21" t="str">
        <f>IF(AND($AM1827&lt;&gt;"",$AS1827="✓"),SUMPRODUCT(($AM$11:$AM1827&lt;&gt;"")*($AS$11:$AS1827="✓")),"")</f>
        <v/>
      </c>
      <c r="BA1827" s="21" t="str">
        <f>IF($AL1827="","",$AL1827&amp;"|"&amp;COUNTIF($AL$11:$AL1827,$AL1827))</f>
        <v/>
      </c>
    </row>
    <row r="1828" spans="38:53" ht="15" customHeight="1" x14ac:dyDescent="0.25">
      <c r="AL1828" s="31"/>
      <c r="AM1828" s="26"/>
      <c r="AN1828" s="32"/>
      <c r="AO1828" s="32"/>
      <c r="AP1828" s="24"/>
      <c r="AQ1828" s="24"/>
      <c r="AR1828" s="33"/>
      <c r="AS1828" s="34"/>
      <c r="AT1828" s="33"/>
      <c r="AV1828" s="21">
        <f>IF(AND($AL1828&lt;&gt;"",COUNTIF($AL$11:$AL1828,$AL1828)=1),1,0)</f>
        <v>0</v>
      </c>
      <c r="AW1828" s="21">
        <f t="shared" si="143"/>
        <v>2</v>
      </c>
      <c r="AX1828" s="21" t="str">
        <f t="shared" si="142"/>
        <v/>
      </c>
      <c r="AY1828" s="21" t="str">
        <f>IF(AND($AM1828&lt;&gt;"",$AS1828&lt;&gt;"✓"),SUMPRODUCT(($AM$11:$AM1828&lt;&gt;"")*($AS$11:$AS1828&lt;&gt;"✓")),"")</f>
        <v/>
      </c>
      <c r="AZ1828" s="21" t="str">
        <f>IF(AND($AM1828&lt;&gt;"",$AS1828="✓"),SUMPRODUCT(($AM$11:$AM1828&lt;&gt;"")*($AS$11:$AS1828="✓")),"")</f>
        <v/>
      </c>
      <c r="BA1828" s="21" t="str">
        <f>IF($AL1828="","",$AL1828&amp;"|"&amp;COUNTIF($AL$11:$AL1828,$AL1828))</f>
        <v/>
      </c>
    </row>
    <row r="1829" spans="38:53" ht="15" customHeight="1" x14ac:dyDescent="0.25">
      <c r="AL1829" s="17"/>
      <c r="AM1829" s="12"/>
      <c r="AN1829" s="18"/>
      <c r="AO1829" s="18"/>
      <c r="AP1829" s="10"/>
      <c r="AQ1829" s="10"/>
      <c r="AR1829" s="19"/>
      <c r="AS1829" s="20"/>
      <c r="AT1829" s="19"/>
      <c r="AV1829" s="21">
        <f>IF(AND($AL1829&lt;&gt;"",COUNTIF($AL$11:$AL1829,$AL1829)=1),1,0)</f>
        <v>0</v>
      </c>
      <c r="AW1829" s="21">
        <f t="shared" si="143"/>
        <v>2</v>
      </c>
      <c r="AX1829" s="21" t="str">
        <f t="shared" si="142"/>
        <v/>
      </c>
      <c r="AY1829" s="21" t="str">
        <f>IF(AND($AM1829&lt;&gt;"",$AS1829&lt;&gt;"✓"),SUMPRODUCT(($AM$11:$AM1829&lt;&gt;"")*($AS$11:$AS1829&lt;&gt;"✓")),"")</f>
        <v/>
      </c>
      <c r="AZ1829" s="21" t="str">
        <f>IF(AND($AM1829&lt;&gt;"",$AS1829="✓"),SUMPRODUCT(($AM$11:$AM1829&lt;&gt;"")*($AS$11:$AS1829="✓")),"")</f>
        <v/>
      </c>
      <c r="BA1829" s="21" t="str">
        <f>IF($AL1829="","",$AL1829&amp;"|"&amp;COUNTIF($AL$11:$AL1829,$AL1829))</f>
        <v/>
      </c>
    </row>
    <row r="1830" spans="38:53" ht="15" customHeight="1" x14ac:dyDescent="0.25">
      <c r="AL1830" s="31"/>
      <c r="AM1830" s="26"/>
      <c r="AN1830" s="32"/>
      <c r="AO1830" s="32"/>
      <c r="AP1830" s="24"/>
      <c r="AQ1830" s="24"/>
      <c r="AR1830" s="33"/>
      <c r="AS1830" s="34"/>
      <c r="AT1830" s="33"/>
      <c r="AV1830" s="21">
        <f>IF(AND($AL1830&lt;&gt;"",COUNTIF($AL$11:$AL1830,$AL1830)=1),1,0)</f>
        <v>0</v>
      </c>
      <c r="AW1830" s="21">
        <f t="shared" si="143"/>
        <v>2</v>
      </c>
      <c r="AX1830" s="21" t="str">
        <f t="shared" si="142"/>
        <v/>
      </c>
      <c r="AY1830" s="21" t="str">
        <f>IF(AND($AM1830&lt;&gt;"",$AS1830&lt;&gt;"✓"),SUMPRODUCT(($AM$11:$AM1830&lt;&gt;"")*($AS$11:$AS1830&lt;&gt;"✓")),"")</f>
        <v/>
      </c>
      <c r="AZ1830" s="21" t="str">
        <f>IF(AND($AM1830&lt;&gt;"",$AS1830="✓"),SUMPRODUCT(($AM$11:$AM1830&lt;&gt;"")*($AS$11:$AS1830="✓")),"")</f>
        <v/>
      </c>
      <c r="BA1830" s="21" t="str">
        <f>IF($AL1830="","",$AL1830&amp;"|"&amp;COUNTIF($AL$11:$AL1830,$AL1830))</f>
        <v/>
      </c>
    </row>
    <row r="1831" spans="38:53" ht="15" customHeight="1" x14ac:dyDescent="0.25">
      <c r="AL1831" s="17"/>
      <c r="AM1831" s="12"/>
      <c r="AN1831" s="18"/>
      <c r="AO1831" s="18"/>
      <c r="AP1831" s="10"/>
      <c r="AQ1831" s="10"/>
      <c r="AR1831" s="19"/>
      <c r="AS1831" s="20"/>
      <c r="AT1831" s="19"/>
      <c r="AV1831" s="21">
        <f>IF(AND($AL1831&lt;&gt;"",COUNTIF($AL$11:$AL1831,$AL1831)=1),1,0)</f>
        <v>0</v>
      </c>
      <c r="AW1831" s="21">
        <f t="shared" si="143"/>
        <v>2</v>
      </c>
      <c r="AX1831" s="21" t="str">
        <f t="shared" si="142"/>
        <v/>
      </c>
      <c r="AY1831" s="21" t="str">
        <f>IF(AND($AM1831&lt;&gt;"",$AS1831&lt;&gt;"✓"),SUMPRODUCT(($AM$11:$AM1831&lt;&gt;"")*($AS$11:$AS1831&lt;&gt;"✓")),"")</f>
        <v/>
      </c>
      <c r="AZ1831" s="21" t="str">
        <f>IF(AND($AM1831&lt;&gt;"",$AS1831="✓"),SUMPRODUCT(($AM$11:$AM1831&lt;&gt;"")*($AS$11:$AS1831="✓")),"")</f>
        <v/>
      </c>
      <c r="BA1831" s="21" t="str">
        <f>IF($AL1831="","",$AL1831&amp;"|"&amp;COUNTIF($AL$11:$AL1831,$AL1831))</f>
        <v/>
      </c>
    </row>
    <row r="1832" spans="38:53" ht="15" customHeight="1" x14ac:dyDescent="0.25">
      <c r="AL1832" s="31"/>
      <c r="AM1832" s="26"/>
      <c r="AN1832" s="32"/>
      <c r="AO1832" s="32"/>
      <c r="AP1832" s="24"/>
      <c r="AQ1832" s="24"/>
      <c r="AR1832" s="33"/>
      <c r="AS1832" s="34"/>
      <c r="AT1832" s="33"/>
      <c r="AV1832" s="21">
        <f>IF(AND($AL1832&lt;&gt;"",COUNTIF($AL$11:$AL1832,$AL1832)=1),1,0)</f>
        <v>0</v>
      </c>
      <c r="AW1832" s="21">
        <f t="shared" si="143"/>
        <v>2</v>
      </c>
      <c r="AX1832" s="21" t="str">
        <f t="shared" si="142"/>
        <v/>
      </c>
      <c r="AY1832" s="21" t="str">
        <f>IF(AND($AM1832&lt;&gt;"",$AS1832&lt;&gt;"✓"),SUMPRODUCT(($AM$11:$AM1832&lt;&gt;"")*($AS$11:$AS1832&lt;&gt;"✓")),"")</f>
        <v/>
      </c>
      <c r="AZ1832" s="21" t="str">
        <f>IF(AND($AM1832&lt;&gt;"",$AS1832="✓"),SUMPRODUCT(($AM$11:$AM1832&lt;&gt;"")*($AS$11:$AS1832="✓")),"")</f>
        <v/>
      </c>
      <c r="BA1832" s="21" t="str">
        <f>IF($AL1832="","",$AL1832&amp;"|"&amp;COUNTIF($AL$11:$AL1832,$AL1832))</f>
        <v/>
      </c>
    </row>
    <row r="1833" spans="38:53" ht="15" customHeight="1" x14ac:dyDescent="0.25">
      <c r="AL1833" s="17"/>
      <c r="AM1833" s="12"/>
      <c r="AN1833" s="18"/>
      <c r="AO1833" s="18"/>
      <c r="AP1833" s="10"/>
      <c r="AQ1833" s="10"/>
      <c r="AR1833" s="19"/>
      <c r="AS1833" s="20"/>
      <c r="AT1833" s="19"/>
      <c r="AV1833" s="21">
        <f>IF(AND($AL1833&lt;&gt;"",COUNTIF($AL$11:$AL1833,$AL1833)=1),1,0)</f>
        <v>0</v>
      </c>
      <c r="AW1833" s="21">
        <f t="shared" si="143"/>
        <v>2</v>
      </c>
      <c r="AX1833" s="21" t="str">
        <f t="shared" si="142"/>
        <v/>
      </c>
      <c r="AY1833" s="21" t="str">
        <f>IF(AND($AM1833&lt;&gt;"",$AS1833&lt;&gt;"✓"),SUMPRODUCT(($AM$11:$AM1833&lt;&gt;"")*($AS$11:$AS1833&lt;&gt;"✓")),"")</f>
        <v/>
      </c>
      <c r="AZ1833" s="21" t="str">
        <f>IF(AND($AM1833&lt;&gt;"",$AS1833="✓"),SUMPRODUCT(($AM$11:$AM1833&lt;&gt;"")*($AS$11:$AS1833="✓")),"")</f>
        <v/>
      </c>
      <c r="BA1833" s="21" t="str">
        <f>IF($AL1833="","",$AL1833&amp;"|"&amp;COUNTIF($AL$11:$AL1833,$AL1833))</f>
        <v/>
      </c>
    </row>
    <row r="1834" spans="38:53" ht="15" customHeight="1" x14ac:dyDescent="0.25">
      <c r="AL1834" s="31"/>
      <c r="AM1834" s="26"/>
      <c r="AN1834" s="32"/>
      <c r="AO1834" s="32"/>
      <c r="AP1834" s="24"/>
      <c r="AQ1834" s="24"/>
      <c r="AR1834" s="33"/>
      <c r="AS1834" s="34"/>
      <c r="AT1834" s="33"/>
      <c r="AV1834" s="21">
        <f>IF(AND($AL1834&lt;&gt;"",COUNTIF($AL$11:$AL1834,$AL1834)=1),1,0)</f>
        <v>0</v>
      </c>
      <c r="AW1834" s="21">
        <f t="shared" si="143"/>
        <v>2</v>
      </c>
      <c r="AX1834" s="21" t="str">
        <f t="shared" si="142"/>
        <v/>
      </c>
      <c r="AY1834" s="21" t="str">
        <f>IF(AND($AM1834&lt;&gt;"",$AS1834&lt;&gt;"✓"),SUMPRODUCT(($AM$11:$AM1834&lt;&gt;"")*($AS$11:$AS1834&lt;&gt;"✓")),"")</f>
        <v/>
      </c>
      <c r="AZ1834" s="21" t="str">
        <f>IF(AND($AM1834&lt;&gt;"",$AS1834="✓"),SUMPRODUCT(($AM$11:$AM1834&lt;&gt;"")*($AS$11:$AS1834="✓")),"")</f>
        <v/>
      </c>
      <c r="BA1834" s="21" t="str">
        <f>IF($AL1834="","",$AL1834&amp;"|"&amp;COUNTIF($AL$11:$AL1834,$AL1834))</f>
        <v/>
      </c>
    </row>
    <row r="1835" spans="38:53" ht="15" customHeight="1" x14ac:dyDescent="0.25">
      <c r="AL1835" s="17"/>
      <c r="AM1835" s="12"/>
      <c r="AN1835" s="18"/>
      <c r="AO1835" s="18"/>
      <c r="AP1835" s="10"/>
      <c r="AQ1835" s="10"/>
      <c r="AR1835" s="19"/>
      <c r="AS1835" s="20"/>
      <c r="AT1835" s="19"/>
      <c r="AV1835" s="21">
        <f>IF(AND($AL1835&lt;&gt;"",COUNTIF($AL$11:$AL1835,$AL1835)=1),1,0)</f>
        <v>0</v>
      </c>
      <c r="AW1835" s="21">
        <f t="shared" si="143"/>
        <v>2</v>
      </c>
      <c r="AX1835" s="21" t="str">
        <f t="shared" si="142"/>
        <v/>
      </c>
      <c r="AY1835" s="21" t="str">
        <f>IF(AND($AM1835&lt;&gt;"",$AS1835&lt;&gt;"✓"),SUMPRODUCT(($AM$11:$AM1835&lt;&gt;"")*($AS$11:$AS1835&lt;&gt;"✓")),"")</f>
        <v/>
      </c>
      <c r="AZ1835" s="21" t="str">
        <f>IF(AND($AM1835&lt;&gt;"",$AS1835="✓"),SUMPRODUCT(($AM$11:$AM1835&lt;&gt;"")*($AS$11:$AS1835="✓")),"")</f>
        <v/>
      </c>
      <c r="BA1835" s="21" t="str">
        <f>IF($AL1835="","",$AL1835&amp;"|"&amp;COUNTIF($AL$11:$AL1835,$AL1835))</f>
        <v/>
      </c>
    </row>
    <row r="1836" spans="38:53" ht="15" customHeight="1" x14ac:dyDescent="0.25">
      <c r="AL1836" s="31"/>
      <c r="AM1836" s="26"/>
      <c r="AN1836" s="32"/>
      <c r="AO1836" s="32"/>
      <c r="AP1836" s="24"/>
      <c r="AQ1836" s="24"/>
      <c r="AR1836" s="33"/>
      <c r="AS1836" s="34"/>
      <c r="AT1836" s="33"/>
      <c r="AV1836" s="21">
        <f>IF(AND($AL1836&lt;&gt;"",COUNTIF($AL$11:$AL1836,$AL1836)=1),1,0)</f>
        <v>0</v>
      </c>
      <c r="AW1836" s="21">
        <f t="shared" si="143"/>
        <v>2</v>
      </c>
      <c r="AX1836" s="21" t="str">
        <f t="shared" si="142"/>
        <v/>
      </c>
      <c r="AY1836" s="21" t="str">
        <f>IF(AND($AM1836&lt;&gt;"",$AS1836&lt;&gt;"✓"),SUMPRODUCT(($AM$11:$AM1836&lt;&gt;"")*($AS$11:$AS1836&lt;&gt;"✓")),"")</f>
        <v/>
      </c>
      <c r="AZ1836" s="21" t="str">
        <f>IF(AND($AM1836&lt;&gt;"",$AS1836="✓"),SUMPRODUCT(($AM$11:$AM1836&lt;&gt;"")*($AS$11:$AS1836="✓")),"")</f>
        <v/>
      </c>
      <c r="BA1836" s="21" t="str">
        <f>IF($AL1836="","",$AL1836&amp;"|"&amp;COUNTIF($AL$11:$AL1836,$AL1836))</f>
        <v/>
      </c>
    </row>
    <row r="1837" spans="38:53" ht="15" customHeight="1" x14ac:dyDescent="0.25">
      <c r="AL1837" s="17"/>
      <c r="AM1837" s="12"/>
      <c r="AN1837" s="18"/>
      <c r="AO1837" s="18"/>
      <c r="AP1837" s="10"/>
      <c r="AQ1837" s="10"/>
      <c r="AR1837" s="19"/>
      <c r="AS1837" s="20"/>
      <c r="AT1837" s="19"/>
      <c r="AV1837" s="21">
        <f>IF(AND($AL1837&lt;&gt;"",COUNTIF($AL$11:$AL1837,$AL1837)=1),1,0)</f>
        <v>0</v>
      </c>
      <c r="AW1837" s="21">
        <f t="shared" si="143"/>
        <v>2</v>
      </c>
      <c r="AX1837" s="21" t="str">
        <f t="shared" si="142"/>
        <v/>
      </c>
      <c r="AY1837" s="21" t="str">
        <f>IF(AND($AM1837&lt;&gt;"",$AS1837&lt;&gt;"✓"),SUMPRODUCT(($AM$11:$AM1837&lt;&gt;"")*($AS$11:$AS1837&lt;&gt;"✓")),"")</f>
        <v/>
      </c>
      <c r="AZ1837" s="21" t="str">
        <f>IF(AND($AM1837&lt;&gt;"",$AS1837="✓"),SUMPRODUCT(($AM$11:$AM1837&lt;&gt;"")*($AS$11:$AS1837="✓")),"")</f>
        <v/>
      </c>
      <c r="BA1837" s="21" t="str">
        <f>IF($AL1837="","",$AL1837&amp;"|"&amp;COUNTIF($AL$11:$AL1837,$AL1837))</f>
        <v/>
      </c>
    </row>
    <row r="1838" spans="38:53" ht="15" customHeight="1" x14ac:dyDescent="0.25">
      <c r="AL1838" s="31"/>
      <c r="AM1838" s="26"/>
      <c r="AN1838" s="32"/>
      <c r="AO1838" s="32"/>
      <c r="AP1838" s="24"/>
      <c r="AQ1838" s="24"/>
      <c r="AR1838" s="33"/>
      <c r="AS1838" s="34"/>
      <c r="AT1838" s="33"/>
      <c r="AV1838" s="21">
        <f>IF(AND($AL1838&lt;&gt;"",COUNTIF($AL$11:$AL1838,$AL1838)=1),1,0)</f>
        <v>0</v>
      </c>
      <c r="AW1838" s="21">
        <f t="shared" si="143"/>
        <v>2</v>
      </c>
      <c r="AX1838" s="21" t="str">
        <f t="shared" si="142"/>
        <v/>
      </c>
      <c r="AY1838" s="21" t="str">
        <f>IF(AND($AM1838&lt;&gt;"",$AS1838&lt;&gt;"✓"),SUMPRODUCT(($AM$11:$AM1838&lt;&gt;"")*($AS$11:$AS1838&lt;&gt;"✓")),"")</f>
        <v/>
      </c>
      <c r="AZ1838" s="21" t="str">
        <f>IF(AND($AM1838&lt;&gt;"",$AS1838="✓"),SUMPRODUCT(($AM$11:$AM1838&lt;&gt;"")*($AS$11:$AS1838="✓")),"")</f>
        <v/>
      </c>
      <c r="BA1838" s="21" t="str">
        <f>IF($AL1838="","",$AL1838&amp;"|"&amp;COUNTIF($AL$11:$AL1838,$AL1838))</f>
        <v/>
      </c>
    </row>
    <row r="1839" spans="38:53" ht="15" customHeight="1" x14ac:dyDescent="0.25">
      <c r="AL1839" s="17"/>
      <c r="AM1839" s="12"/>
      <c r="AN1839" s="18"/>
      <c r="AO1839" s="18"/>
      <c r="AP1839" s="10"/>
      <c r="AQ1839" s="10"/>
      <c r="AR1839" s="19"/>
      <c r="AS1839" s="20"/>
      <c r="AT1839" s="19"/>
      <c r="AV1839" s="21">
        <f>IF(AND($AL1839&lt;&gt;"",COUNTIF($AL$11:$AL1839,$AL1839)=1),1,0)</f>
        <v>0</v>
      </c>
      <c r="AW1839" s="21">
        <f t="shared" si="143"/>
        <v>2</v>
      </c>
      <c r="AX1839" s="21" t="str">
        <f t="shared" si="142"/>
        <v/>
      </c>
      <c r="AY1839" s="21" t="str">
        <f>IF(AND($AM1839&lt;&gt;"",$AS1839&lt;&gt;"✓"),SUMPRODUCT(($AM$11:$AM1839&lt;&gt;"")*($AS$11:$AS1839&lt;&gt;"✓")),"")</f>
        <v/>
      </c>
      <c r="AZ1839" s="21" t="str">
        <f>IF(AND($AM1839&lt;&gt;"",$AS1839="✓"),SUMPRODUCT(($AM$11:$AM1839&lt;&gt;"")*($AS$11:$AS1839="✓")),"")</f>
        <v/>
      </c>
      <c r="BA1839" s="21" t="str">
        <f>IF($AL1839="","",$AL1839&amp;"|"&amp;COUNTIF($AL$11:$AL1839,$AL1839))</f>
        <v/>
      </c>
    </row>
    <row r="1840" spans="38:53" ht="15" customHeight="1" x14ac:dyDescent="0.25">
      <c r="AL1840" s="31"/>
      <c r="AM1840" s="26"/>
      <c r="AN1840" s="32"/>
      <c r="AO1840" s="32"/>
      <c r="AP1840" s="24"/>
      <c r="AQ1840" s="24"/>
      <c r="AR1840" s="33"/>
      <c r="AS1840" s="34"/>
      <c r="AT1840" s="33"/>
      <c r="AV1840" s="21">
        <f>IF(AND($AL1840&lt;&gt;"",COUNTIF($AL$11:$AL1840,$AL1840)=1),1,0)</f>
        <v>0</v>
      </c>
      <c r="AW1840" s="21">
        <f t="shared" si="143"/>
        <v>2</v>
      </c>
      <c r="AX1840" s="21" t="str">
        <f t="shared" si="142"/>
        <v/>
      </c>
      <c r="AY1840" s="21" t="str">
        <f>IF(AND($AM1840&lt;&gt;"",$AS1840&lt;&gt;"✓"),SUMPRODUCT(($AM$11:$AM1840&lt;&gt;"")*($AS$11:$AS1840&lt;&gt;"✓")),"")</f>
        <v/>
      </c>
      <c r="AZ1840" s="21" t="str">
        <f>IF(AND($AM1840&lt;&gt;"",$AS1840="✓"),SUMPRODUCT(($AM$11:$AM1840&lt;&gt;"")*($AS$11:$AS1840="✓")),"")</f>
        <v/>
      </c>
      <c r="BA1840" s="21" t="str">
        <f>IF($AL1840="","",$AL1840&amp;"|"&amp;COUNTIF($AL$11:$AL1840,$AL1840))</f>
        <v/>
      </c>
    </row>
    <row r="1841" spans="38:53" ht="15" customHeight="1" x14ac:dyDescent="0.25">
      <c r="AL1841" s="17"/>
      <c r="AM1841" s="12"/>
      <c r="AN1841" s="18"/>
      <c r="AO1841" s="18"/>
      <c r="AP1841" s="10"/>
      <c r="AQ1841" s="10"/>
      <c r="AR1841" s="19"/>
      <c r="AS1841" s="20"/>
      <c r="AT1841" s="19"/>
      <c r="AV1841" s="21">
        <f>IF(AND($AL1841&lt;&gt;"",COUNTIF($AL$11:$AL1841,$AL1841)=1),1,0)</f>
        <v>0</v>
      </c>
      <c r="AW1841" s="21">
        <f t="shared" si="143"/>
        <v>2</v>
      </c>
      <c r="AX1841" s="21" t="str">
        <f t="shared" si="142"/>
        <v/>
      </c>
      <c r="AY1841" s="21" t="str">
        <f>IF(AND($AM1841&lt;&gt;"",$AS1841&lt;&gt;"✓"),SUMPRODUCT(($AM$11:$AM1841&lt;&gt;"")*($AS$11:$AS1841&lt;&gt;"✓")),"")</f>
        <v/>
      </c>
      <c r="AZ1841" s="21" t="str">
        <f>IF(AND($AM1841&lt;&gt;"",$AS1841="✓"),SUMPRODUCT(($AM$11:$AM1841&lt;&gt;"")*($AS$11:$AS1841="✓")),"")</f>
        <v/>
      </c>
      <c r="BA1841" s="21" t="str">
        <f>IF($AL1841="","",$AL1841&amp;"|"&amp;COUNTIF($AL$11:$AL1841,$AL1841))</f>
        <v/>
      </c>
    </row>
    <row r="1842" spans="38:53" ht="15" customHeight="1" x14ac:dyDescent="0.25">
      <c r="AL1842" s="31"/>
      <c r="AM1842" s="26"/>
      <c r="AN1842" s="32"/>
      <c r="AO1842" s="32"/>
      <c r="AP1842" s="24"/>
      <c r="AQ1842" s="24"/>
      <c r="AR1842" s="33"/>
      <c r="AS1842" s="34"/>
      <c r="AT1842" s="33"/>
      <c r="AV1842" s="21">
        <f>IF(AND($AL1842&lt;&gt;"",COUNTIF($AL$11:$AL1842,$AL1842)=1),1,0)</f>
        <v>0</v>
      </c>
      <c r="AW1842" s="21">
        <f t="shared" si="143"/>
        <v>2</v>
      </c>
      <c r="AX1842" s="21" t="str">
        <f t="shared" si="142"/>
        <v/>
      </c>
      <c r="AY1842" s="21" t="str">
        <f>IF(AND($AM1842&lt;&gt;"",$AS1842&lt;&gt;"✓"),SUMPRODUCT(($AM$11:$AM1842&lt;&gt;"")*($AS$11:$AS1842&lt;&gt;"✓")),"")</f>
        <v/>
      </c>
      <c r="AZ1842" s="21" t="str">
        <f>IF(AND($AM1842&lt;&gt;"",$AS1842="✓"),SUMPRODUCT(($AM$11:$AM1842&lt;&gt;"")*($AS$11:$AS1842="✓")),"")</f>
        <v/>
      </c>
      <c r="BA1842" s="21" t="str">
        <f>IF($AL1842="","",$AL1842&amp;"|"&amp;COUNTIF($AL$11:$AL1842,$AL1842))</f>
        <v/>
      </c>
    </row>
    <row r="1843" spans="38:53" ht="15" customHeight="1" x14ac:dyDescent="0.25">
      <c r="AL1843" s="17"/>
      <c r="AM1843" s="12"/>
      <c r="AN1843" s="18"/>
      <c r="AO1843" s="18"/>
      <c r="AP1843" s="10"/>
      <c r="AQ1843" s="10"/>
      <c r="AR1843" s="19"/>
      <c r="AS1843" s="20"/>
      <c r="AT1843" s="19"/>
      <c r="AV1843" s="21">
        <f>IF(AND($AL1843&lt;&gt;"",COUNTIF($AL$11:$AL1843,$AL1843)=1),1,0)</f>
        <v>0</v>
      </c>
      <c r="AW1843" s="21">
        <f t="shared" si="143"/>
        <v>2</v>
      </c>
      <c r="AX1843" s="21" t="str">
        <f t="shared" si="142"/>
        <v/>
      </c>
      <c r="AY1843" s="21" t="str">
        <f>IF(AND($AM1843&lt;&gt;"",$AS1843&lt;&gt;"✓"),SUMPRODUCT(($AM$11:$AM1843&lt;&gt;"")*($AS$11:$AS1843&lt;&gt;"✓")),"")</f>
        <v/>
      </c>
      <c r="AZ1843" s="21" t="str">
        <f>IF(AND($AM1843&lt;&gt;"",$AS1843="✓"),SUMPRODUCT(($AM$11:$AM1843&lt;&gt;"")*($AS$11:$AS1843="✓")),"")</f>
        <v/>
      </c>
      <c r="BA1843" s="21" t="str">
        <f>IF($AL1843="","",$AL1843&amp;"|"&amp;COUNTIF($AL$11:$AL1843,$AL1843))</f>
        <v/>
      </c>
    </row>
    <row r="1844" spans="38:53" ht="15" customHeight="1" x14ac:dyDescent="0.25">
      <c r="AL1844" s="31"/>
      <c r="AM1844" s="26"/>
      <c r="AN1844" s="32"/>
      <c r="AO1844" s="32"/>
      <c r="AP1844" s="24"/>
      <c r="AQ1844" s="24"/>
      <c r="AR1844" s="33"/>
      <c r="AS1844" s="34"/>
      <c r="AT1844" s="33"/>
      <c r="AV1844" s="21">
        <f>IF(AND($AL1844&lt;&gt;"",COUNTIF($AL$11:$AL1844,$AL1844)=1),1,0)</f>
        <v>0</v>
      </c>
      <c r="AW1844" s="21">
        <f t="shared" si="143"/>
        <v>2</v>
      </c>
      <c r="AX1844" s="21" t="str">
        <f t="shared" si="142"/>
        <v/>
      </c>
      <c r="AY1844" s="21" t="str">
        <f>IF(AND($AM1844&lt;&gt;"",$AS1844&lt;&gt;"✓"),SUMPRODUCT(($AM$11:$AM1844&lt;&gt;"")*($AS$11:$AS1844&lt;&gt;"✓")),"")</f>
        <v/>
      </c>
      <c r="AZ1844" s="21" t="str">
        <f>IF(AND($AM1844&lt;&gt;"",$AS1844="✓"),SUMPRODUCT(($AM$11:$AM1844&lt;&gt;"")*($AS$11:$AS1844="✓")),"")</f>
        <v/>
      </c>
      <c r="BA1844" s="21" t="str">
        <f>IF($AL1844="","",$AL1844&amp;"|"&amp;COUNTIF($AL$11:$AL1844,$AL1844))</f>
        <v/>
      </c>
    </row>
    <row r="1845" spans="38:53" ht="15" customHeight="1" x14ac:dyDescent="0.25">
      <c r="AL1845" s="17"/>
      <c r="AM1845" s="12"/>
      <c r="AN1845" s="18"/>
      <c r="AO1845" s="18"/>
      <c r="AP1845" s="10"/>
      <c r="AQ1845" s="10"/>
      <c r="AR1845" s="19"/>
      <c r="AS1845" s="20"/>
      <c r="AT1845" s="19"/>
      <c r="AV1845" s="21">
        <f>IF(AND($AL1845&lt;&gt;"",COUNTIF($AL$11:$AL1845,$AL1845)=1),1,0)</f>
        <v>0</v>
      </c>
      <c r="AW1845" s="21">
        <f t="shared" si="143"/>
        <v>2</v>
      </c>
      <c r="AX1845" s="21" t="str">
        <f t="shared" si="142"/>
        <v/>
      </c>
      <c r="AY1845" s="21" t="str">
        <f>IF(AND($AM1845&lt;&gt;"",$AS1845&lt;&gt;"✓"),SUMPRODUCT(($AM$11:$AM1845&lt;&gt;"")*($AS$11:$AS1845&lt;&gt;"✓")),"")</f>
        <v/>
      </c>
      <c r="AZ1845" s="21" t="str">
        <f>IF(AND($AM1845&lt;&gt;"",$AS1845="✓"),SUMPRODUCT(($AM$11:$AM1845&lt;&gt;"")*($AS$11:$AS1845="✓")),"")</f>
        <v/>
      </c>
      <c r="BA1845" s="21" t="str">
        <f>IF($AL1845="","",$AL1845&amp;"|"&amp;COUNTIF($AL$11:$AL1845,$AL1845))</f>
        <v/>
      </c>
    </row>
    <row r="1846" spans="38:53" ht="15" customHeight="1" x14ac:dyDescent="0.25">
      <c r="AL1846" s="31"/>
      <c r="AM1846" s="26"/>
      <c r="AN1846" s="32"/>
      <c r="AO1846" s="32"/>
      <c r="AP1846" s="24"/>
      <c r="AQ1846" s="24"/>
      <c r="AR1846" s="33"/>
      <c r="AS1846" s="34"/>
      <c r="AT1846" s="33"/>
      <c r="AV1846" s="21">
        <f>IF(AND($AL1846&lt;&gt;"",COUNTIF($AL$11:$AL1846,$AL1846)=1),1,0)</f>
        <v>0</v>
      </c>
      <c r="AW1846" s="21">
        <f t="shared" si="143"/>
        <v>2</v>
      </c>
      <c r="AX1846" s="21" t="str">
        <f t="shared" si="142"/>
        <v/>
      </c>
      <c r="AY1846" s="21" t="str">
        <f>IF(AND($AM1846&lt;&gt;"",$AS1846&lt;&gt;"✓"),SUMPRODUCT(($AM$11:$AM1846&lt;&gt;"")*($AS$11:$AS1846&lt;&gt;"✓")),"")</f>
        <v/>
      </c>
      <c r="AZ1846" s="21" t="str">
        <f>IF(AND($AM1846&lt;&gt;"",$AS1846="✓"),SUMPRODUCT(($AM$11:$AM1846&lt;&gt;"")*($AS$11:$AS1846="✓")),"")</f>
        <v/>
      </c>
      <c r="BA1846" s="21" t="str">
        <f>IF($AL1846="","",$AL1846&amp;"|"&amp;COUNTIF($AL$11:$AL1846,$AL1846))</f>
        <v/>
      </c>
    </row>
    <row r="1847" spans="38:53" ht="15" customHeight="1" x14ac:dyDescent="0.25">
      <c r="AL1847" s="17"/>
      <c r="AM1847" s="12"/>
      <c r="AN1847" s="18"/>
      <c r="AO1847" s="18"/>
      <c r="AP1847" s="10"/>
      <c r="AQ1847" s="10"/>
      <c r="AR1847" s="19"/>
      <c r="AS1847" s="20"/>
      <c r="AT1847" s="19"/>
      <c r="AV1847" s="21">
        <f>IF(AND($AL1847&lt;&gt;"",COUNTIF($AL$11:$AL1847,$AL1847)=1),1,0)</f>
        <v>0</v>
      </c>
      <c r="AW1847" s="21">
        <f t="shared" si="143"/>
        <v>2</v>
      </c>
      <c r="AX1847" s="21" t="str">
        <f t="shared" si="142"/>
        <v/>
      </c>
      <c r="AY1847" s="21" t="str">
        <f>IF(AND($AM1847&lt;&gt;"",$AS1847&lt;&gt;"✓"),SUMPRODUCT(($AM$11:$AM1847&lt;&gt;"")*($AS$11:$AS1847&lt;&gt;"✓")),"")</f>
        <v/>
      </c>
      <c r="AZ1847" s="21" t="str">
        <f>IF(AND($AM1847&lt;&gt;"",$AS1847="✓"),SUMPRODUCT(($AM$11:$AM1847&lt;&gt;"")*($AS$11:$AS1847="✓")),"")</f>
        <v/>
      </c>
      <c r="BA1847" s="21" t="str">
        <f>IF($AL1847="","",$AL1847&amp;"|"&amp;COUNTIF($AL$11:$AL1847,$AL1847))</f>
        <v/>
      </c>
    </row>
    <row r="1848" spans="38:53" ht="15" customHeight="1" x14ac:dyDescent="0.25">
      <c r="AL1848" s="31"/>
      <c r="AM1848" s="26"/>
      <c r="AN1848" s="32"/>
      <c r="AO1848" s="32"/>
      <c r="AP1848" s="24"/>
      <c r="AQ1848" s="24"/>
      <c r="AR1848" s="33"/>
      <c r="AS1848" s="34"/>
      <c r="AT1848" s="33"/>
      <c r="AV1848" s="21">
        <f>IF(AND($AL1848&lt;&gt;"",COUNTIF($AL$11:$AL1848,$AL1848)=1),1,0)</f>
        <v>0</v>
      </c>
      <c r="AW1848" s="21">
        <f t="shared" si="143"/>
        <v>2</v>
      </c>
      <c r="AX1848" s="21" t="str">
        <f t="shared" si="142"/>
        <v/>
      </c>
      <c r="AY1848" s="21" t="str">
        <f>IF(AND($AM1848&lt;&gt;"",$AS1848&lt;&gt;"✓"),SUMPRODUCT(($AM$11:$AM1848&lt;&gt;"")*($AS$11:$AS1848&lt;&gt;"✓")),"")</f>
        <v/>
      </c>
      <c r="AZ1848" s="21" t="str">
        <f>IF(AND($AM1848&lt;&gt;"",$AS1848="✓"),SUMPRODUCT(($AM$11:$AM1848&lt;&gt;"")*($AS$11:$AS1848="✓")),"")</f>
        <v/>
      </c>
      <c r="BA1848" s="21" t="str">
        <f>IF($AL1848="","",$AL1848&amp;"|"&amp;COUNTIF($AL$11:$AL1848,$AL1848))</f>
        <v/>
      </c>
    </row>
    <row r="1849" spans="38:53" ht="15" customHeight="1" x14ac:dyDescent="0.25">
      <c r="AL1849" s="17"/>
      <c r="AM1849" s="12"/>
      <c r="AN1849" s="18"/>
      <c r="AO1849" s="18"/>
      <c r="AP1849" s="10"/>
      <c r="AQ1849" s="10"/>
      <c r="AR1849" s="19"/>
      <c r="AS1849" s="20"/>
      <c r="AT1849" s="19"/>
      <c r="AV1849" s="21">
        <f>IF(AND($AL1849&lt;&gt;"",COUNTIF($AL$11:$AL1849,$AL1849)=1),1,0)</f>
        <v>0</v>
      </c>
      <c r="AW1849" s="21">
        <f t="shared" si="143"/>
        <v>2</v>
      </c>
      <c r="AX1849" s="21" t="str">
        <f t="shared" si="142"/>
        <v/>
      </c>
      <c r="AY1849" s="21" t="str">
        <f>IF(AND($AM1849&lt;&gt;"",$AS1849&lt;&gt;"✓"),SUMPRODUCT(($AM$11:$AM1849&lt;&gt;"")*($AS$11:$AS1849&lt;&gt;"✓")),"")</f>
        <v/>
      </c>
      <c r="AZ1849" s="21" t="str">
        <f>IF(AND($AM1849&lt;&gt;"",$AS1849="✓"),SUMPRODUCT(($AM$11:$AM1849&lt;&gt;"")*($AS$11:$AS1849="✓")),"")</f>
        <v/>
      </c>
      <c r="BA1849" s="21" t="str">
        <f>IF($AL1849="","",$AL1849&amp;"|"&amp;COUNTIF($AL$11:$AL1849,$AL1849))</f>
        <v/>
      </c>
    </row>
    <row r="1850" spans="38:53" ht="15" customHeight="1" x14ac:dyDescent="0.25">
      <c r="AL1850" s="31"/>
      <c r="AM1850" s="26"/>
      <c r="AN1850" s="32"/>
      <c r="AO1850" s="32"/>
      <c r="AP1850" s="24"/>
      <c r="AQ1850" s="24"/>
      <c r="AR1850" s="33"/>
      <c r="AS1850" s="34"/>
      <c r="AT1850" s="33"/>
      <c r="AV1850" s="21">
        <f>IF(AND($AL1850&lt;&gt;"",COUNTIF($AL$11:$AL1850,$AL1850)=1),1,0)</f>
        <v>0</v>
      </c>
      <c r="AW1850" s="21">
        <f t="shared" si="143"/>
        <v>2</v>
      </c>
      <c r="AX1850" s="21" t="str">
        <f t="shared" si="142"/>
        <v/>
      </c>
      <c r="AY1850" s="21" t="str">
        <f>IF(AND($AM1850&lt;&gt;"",$AS1850&lt;&gt;"✓"),SUMPRODUCT(($AM$11:$AM1850&lt;&gt;"")*($AS$11:$AS1850&lt;&gt;"✓")),"")</f>
        <v/>
      </c>
      <c r="AZ1850" s="21" t="str">
        <f>IF(AND($AM1850&lt;&gt;"",$AS1850="✓"),SUMPRODUCT(($AM$11:$AM1850&lt;&gt;"")*($AS$11:$AS1850="✓")),"")</f>
        <v/>
      </c>
      <c r="BA1850" s="21" t="str">
        <f>IF($AL1850="","",$AL1850&amp;"|"&amp;COUNTIF($AL$11:$AL1850,$AL1850))</f>
        <v/>
      </c>
    </row>
    <row r="1851" spans="38:53" ht="15" customHeight="1" x14ac:dyDescent="0.25">
      <c r="AL1851" s="17"/>
      <c r="AM1851" s="12"/>
      <c r="AN1851" s="18"/>
      <c r="AO1851" s="18"/>
      <c r="AP1851" s="10"/>
      <c r="AQ1851" s="10"/>
      <c r="AR1851" s="19"/>
      <c r="AS1851" s="20"/>
      <c r="AT1851" s="19"/>
      <c r="AV1851" s="21">
        <f>IF(AND($AL1851&lt;&gt;"",COUNTIF($AL$11:$AL1851,$AL1851)=1),1,0)</f>
        <v>0</v>
      </c>
      <c r="AW1851" s="21">
        <f t="shared" si="143"/>
        <v>2</v>
      </c>
      <c r="AX1851" s="21" t="str">
        <f t="shared" si="142"/>
        <v/>
      </c>
      <c r="AY1851" s="21" t="str">
        <f>IF(AND($AM1851&lt;&gt;"",$AS1851&lt;&gt;"✓"),SUMPRODUCT(($AM$11:$AM1851&lt;&gt;"")*($AS$11:$AS1851&lt;&gt;"✓")),"")</f>
        <v/>
      </c>
      <c r="AZ1851" s="21" t="str">
        <f>IF(AND($AM1851&lt;&gt;"",$AS1851="✓"),SUMPRODUCT(($AM$11:$AM1851&lt;&gt;"")*($AS$11:$AS1851="✓")),"")</f>
        <v/>
      </c>
      <c r="BA1851" s="21" t="str">
        <f>IF($AL1851="","",$AL1851&amp;"|"&amp;COUNTIF($AL$11:$AL1851,$AL1851))</f>
        <v/>
      </c>
    </row>
    <row r="1852" spans="38:53" ht="15" customHeight="1" x14ac:dyDescent="0.25">
      <c r="AL1852" s="31"/>
      <c r="AM1852" s="26"/>
      <c r="AN1852" s="32"/>
      <c r="AO1852" s="32"/>
      <c r="AP1852" s="24"/>
      <c r="AQ1852" s="24"/>
      <c r="AR1852" s="33"/>
      <c r="AS1852" s="34"/>
      <c r="AT1852" s="33"/>
      <c r="AV1852" s="21">
        <f>IF(AND($AL1852&lt;&gt;"",COUNTIF($AL$11:$AL1852,$AL1852)=1),1,0)</f>
        <v>0</v>
      </c>
      <c r="AW1852" s="21">
        <f t="shared" si="143"/>
        <v>2</v>
      </c>
      <c r="AX1852" s="21" t="str">
        <f t="shared" si="142"/>
        <v/>
      </c>
      <c r="AY1852" s="21" t="str">
        <f>IF(AND($AM1852&lt;&gt;"",$AS1852&lt;&gt;"✓"),SUMPRODUCT(($AM$11:$AM1852&lt;&gt;"")*($AS$11:$AS1852&lt;&gt;"✓")),"")</f>
        <v/>
      </c>
      <c r="AZ1852" s="21" t="str">
        <f>IF(AND($AM1852&lt;&gt;"",$AS1852="✓"),SUMPRODUCT(($AM$11:$AM1852&lt;&gt;"")*($AS$11:$AS1852="✓")),"")</f>
        <v/>
      </c>
      <c r="BA1852" s="21" t="str">
        <f>IF($AL1852="","",$AL1852&amp;"|"&amp;COUNTIF($AL$11:$AL1852,$AL1852))</f>
        <v/>
      </c>
    </row>
    <row r="1853" spans="38:53" ht="15" customHeight="1" x14ac:dyDescent="0.25">
      <c r="AL1853" s="17"/>
      <c r="AM1853" s="12"/>
      <c r="AN1853" s="18"/>
      <c r="AO1853" s="18"/>
      <c r="AP1853" s="10"/>
      <c r="AQ1853" s="10"/>
      <c r="AR1853" s="19"/>
      <c r="AS1853" s="20"/>
      <c r="AT1853" s="19"/>
      <c r="AV1853" s="21">
        <f>IF(AND($AL1853&lt;&gt;"",COUNTIF($AL$11:$AL1853,$AL1853)=1),1,0)</f>
        <v>0</v>
      </c>
      <c r="AW1853" s="21">
        <f t="shared" si="143"/>
        <v>2</v>
      </c>
      <c r="AX1853" s="21" t="str">
        <f t="shared" si="142"/>
        <v/>
      </c>
      <c r="AY1853" s="21" t="str">
        <f>IF(AND($AM1853&lt;&gt;"",$AS1853&lt;&gt;"✓"),SUMPRODUCT(($AM$11:$AM1853&lt;&gt;"")*($AS$11:$AS1853&lt;&gt;"✓")),"")</f>
        <v/>
      </c>
      <c r="AZ1853" s="21" t="str">
        <f>IF(AND($AM1853&lt;&gt;"",$AS1853="✓"),SUMPRODUCT(($AM$11:$AM1853&lt;&gt;"")*($AS$11:$AS1853="✓")),"")</f>
        <v/>
      </c>
      <c r="BA1853" s="21" t="str">
        <f>IF($AL1853="","",$AL1853&amp;"|"&amp;COUNTIF($AL$11:$AL1853,$AL1853))</f>
        <v/>
      </c>
    </row>
    <row r="1854" spans="38:53" ht="15" customHeight="1" x14ac:dyDescent="0.25">
      <c r="AL1854" s="31"/>
      <c r="AM1854" s="26"/>
      <c r="AN1854" s="32"/>
      <c r="AO1854" s="32"/>
      <c r="AP1854" s="24"/>
      <c r="AQ1854" s="24"/>
      <c r="AR1854" s="33"/>
      <c r="AS1854" s="34"/>
      <c r="AT1854" s="33"/>
      <c r="AV1854" s="21">
        <f>IF(AND($AL1854&lt;&gt;"",COUNTIF($AL$11:$AL1854,$AL1854)=1),1,0)</f>
        <v>0</v>
      </c>
      <c r="AW1854" s="21">
        <f t="shared" si="143"/>
        <v>2</v>
      </c>
      <c r="AX1854" s="21" t="str">
        <f t="shared" si="142"/>
        <v/>
      </c>
      <c r="AY1854" s="21" t="str">
        <f>IF(AND($AM1854&lt;&gt;"",$AS1854&lt;&gt;"✓"),SUMPRODUCT(($AM$11:$AM1854&lt;&gt;"")*($AS$11:$AS1854&lt;&gt;"✓")),"")</f>
        <v/>
      </c>
      <c r="AZ1854" s="21" t="str">
        <f>IF(AND($AM1854&lt;&gt;"",$AS1854="✓"),SUMPRODUCT(($AM$11:$AM1854&lt;&gt;"")*($AS$11:$AS1854="✓")),"")</f>
        <v/>
      </c>
      <c r="BA1854" s="21" t="str">
        <f>IF($AL1854="","",$AL1854&amp;"|"&amp;COUNTIF($AL$11:$AL1854,$AL1854))</f>
        <v/>
      </c>
    </row>
    <row r="1855" spans="38:53" ht="15" customHeight="1" x14ac:dyDescent="0.25">
      <c r="AL1855" s="17"/>
      <c r="AM1855" s="12"/>
      <c r="AN1855" s="18"/>
      <c r="AO1855" s="18"/>
      <c r="AP1855" s="10"/>
      <c r="AQ1855" s="10"/>
      <c r="AR1855" s="19"/>
      <c r="AS1855" s="20"/>
      <c r="AT1855" s="19"/>
      <c r="AV1855" s="21">
        <f>IF(AND($AL1855&lt;&gt;"",COUNTIF($AL$11:$AL1855,$AL1855)=1),1,0)</f>
        <v>0</v>
      </c>
      <c r="AW1855" s="21">
        <f t="shared" si="143"/>
        <v>2</v>
      </c>
      <c r="AX1855" s="21" t="str">
        <f t="shared" si="142"/>
        <v/>
      </c>
      <c r="AY1855" s="21" t="str">
        <f>IF(AND($AM1855&lt;&gt;"",$AS1855&lt;&gt;"✓"),SUMPRODUCT(($AM$11:$AM1855&lt;&gt;"")*($AS$11:$AS1855&lt;&gt;"✓")),"")</f>
        <v/>
      </c>
      <c r="AZ1855" s="21" t="str">
        <f>IF(AND($AM1855&lt;&gt;"",$AS1855="✓"),SUMPRODUCT(($AM$11:$AM1855&lt;&gt;"")*($AS$11:$AS1855="✓")),"")</f>
        <v/>
      </c>
      <c r="BA1855" s="21" t="str">
        <f>IF($AL1855="","",$AL1855&amp;"|"&amp;COUNTIF($AL$11:$AL1855,$AL1855))</f>
        <v/>
      </c>
    </row>
    <row r="1856" spans="38:53" ht="15" customHeight="1" x14ac:dyDescent="0.25">
      <c r="AL1856" s="31"/>
      <c r="AM1856" s="26"/>
      <c r="AN1856" s="32"/>
      <c r="AO1856" s="32"/>
      <c r="AP1856" s="24"/>
      <c r="AQ1856" s="24"/>
      <c r="AR1856" s="33"/>
      <c r="AS1856" s="34"/>
      <c r="AT1856" s="33"/>
      <c r="AV1856" s="21">
        <f>IF(AND($AL1856&lt;&gt;"",COUNTIF($AL$11:$AL1856,$AL1856)=1),1,0)</f>
        <v>0</v>
      </c>
      <c r="AW1856" s="21">
        <f t="shared" si="143"/>
        <v>2</v>
      </c>
      <c r="AX1856" s="21" t="str">
        <f t="shared" si="142"/>
        <v/>
      </c>
      <c r="AY1856" s="21" t="str">
        <f>IF(AND($AM1856&lt;&gt;"",$AS1856&lt;&gt;"✓"),SUMPRODUCT(($AM$11:$AM1856&lt;&gt;"")*($AS$11:$AS1856&lt;&gt;"✓")),"")</f>
        <v/>
      </c>
      <c r="AZ1856" s="21" t="str">
        <f>IF(AND($AM1856&lt;&gt;"",$AS1856="✓"),SUMPRODUCT(($AM$11:$AM1856&lt;&gt;"")*($AS$11:$AS1856="✓")),"")</f>
        <v/>
      </c>
      <c r="BA1856" s="21" t="str">
        <f>IF($AL1856="","",$AL1856&amp;"|"&amp;COUNTIF($AL$11:$AL1856,$AL1856))</f>
        <v/>
      </c>
    </row>
    <row r="1857" spans="38:53" ht="15" customHeight="1" x14ac:dyDescent="0.25">
      <c r="AL1857" s="17"/>
      <c r="AM1857" s="12"/>
      <c r="AN1857" s="18"/>
      <c r="AO1857" s="18"/>
      <c r="AP1857" s="10"/>
      <c r="AQ1857" s="10"/>
      <c r="AR1857" s="19"/>
      <c r="AS1857" s="20"/>
      <c r="AT1857" s="19"/>
      <c r="AV1857" s="21">
        <f>IF(AND($AL1857&lt;&gt;"",COUNTIF($AL$11:$AL1857,$AL1857)=1),1,0)</f>
        <v>0</v>
      </c>
      <c r="AW1857" s="21">
        <f t="shared" si="143"/>
        <v>2</v>
      </c>
      <c r="AX1857" s="21" t="str">
        <f t="shared" si="142"/>
        <v/>
      </c>
      <c r="AY1857" s="21" t="str">
        <f>IF(AND($AM1857&lt;&gt;"",$AS1857&lt;&gt;"✓"),SUMPRODUCT(($AM$11:$AM1857&lt;&gt;"")*($AS$11:$AS1857&lt;&gt;"✓")),"")</f>
        <v/>
      </c>
      <c r="AZ1857" s="21" t="str">
        <f>IF(AND($AM1857&lt;&gt;"",$AS1857="✓"),SUMPRODUCT(($AM$11:$AM1857&lt;&gt;"")*($AS$11:$AS1857="✓")),"")</f>
        <v/>
      </c>
      <c r="BA1857" s="21" t="str">
        <f>IF($AL1857="","",$AL1857&amp;"|"&amp;COUNTIF($AL$11:$AL1857,$AL1857))</f>
        <v/>
      </c>
    </row>
    <row r="1858" spans="38:53" ht="15" customHeight="1" x14ac:dyDescent="0.25">
      <c r="AL1858" s="31"/>
      <c r="AM1858" s="26"/>
      <c r="AN1858" s="32"/>
      <c r="AO1858" s="32"/>
      <c r="AP1858" s="24"/>
      <c r="AQ1858" s="24"/>
      <c r="AR1858" s="33"/>
      <c r="AS1858" s="34"/>
      <c r="AT1858" s="33"/>
      <c r="AV1858" s="21">
        <f>IF(AND($AL1858&lt;&gt;"",COUNTIF($AL$11:$AL1858,$AL1858)=1),1,0)</f>
        <v>0</v>
      </c>
      <c r="AW1858" s="21">
        <f t="shared" si="143"/>
        <v>2</v>
      </c>
      <c r="AX1858" s="21" t="str">
        <f t="shared" si="142"/>
        <v/>
      </c>
      <c r="AY1858" s="21" t="str">
        <f>IF(AND($AM1858&lt;&gt;"",$AS1858&lt;&gt;"✓"),SUMPRODUCT(($AM$11:$AM1858&lt;&gt;"")*($AS$11:$AS1858&lt;&gt;"✓")),"")</f>
        <v/>
      </c>
      <c r="AZ1858" s="21" t="str">
        <f>IF(AND($AM1858&lt;&gt;"",$AS1858="✓"),SUMPRODUCT(($AM$11:$AM1858&lt;&gt;"")*($AS$11:$AS1858="✓")),"")</f>
        <v/>
      </c>
      <c r="BA1858" s="21" t="str">
        <f>IF($AL1858="","",$AL1858&amp;"|"&amp;COUNTIF($AL$11:$AL1858,$AL1858))</f>
        <v/>
      </c>
    </row>
    <row r="1859" spans="38:53" ht="15" customHeight="1" x14ac:dyDescent="0.25">
      <c r="AL1859" s="17"/>
      <c r="AM1859" s="12"/>
      <c r="AN1859" s="18"/>
      <c r="AO1859" s="18"/>
      <c r="AP1859" s="10"/>
      <c r="AQ1859" s="10"/>
      <c r="AR1859" s="19"/>
      <c r="AS1859" s="20"/>
      <c r="AT1859" s="19"/>
      <c r="AV1859" s="21">
        <f>IF(AND($AL1859&lt;&gt;"",COUNTIF($AL$11:$AL1859,$AL1859)=1),1,0)</f>
        <v>0</v>
      </c>
      <c r="AW1859" s="21">
        <f t="shared" si="143"/>
        <v>2</v>
      </c>
      <c r="AX1859" s="21" t="str">
        <f t="shared" si="142"/>
        <v/>
      </c>
      <c r="AY1859" s="21" t="str">
        <f>IF(AND($AM1859&lt;&gt;"",$AS1859&lt;&gt;"✓"),SUMPRODUCT(($AM$11:$AM1859&lt;&gt;"")*($AS$11:$AS1859&lt;&gt;"✓")),"")</f>
        <v/>
      </c>
      <c r="AZ1859" s="21" t="str">
        <f>IF(AND($AM1859&lt;&gt;"",$AS1859="✓"),SUMPRODUCT(($AM$11:$AM1859&lt;&gt;"")*($AS$11:$AS1859="✓")),"")</f>
        <v/>
      </c>
      <c r="BA1859" s="21" t="str">
        <f>IF($AL1859="","",$AL1859&amp;"|"&amp;COUNTIF($AL$11:$AL1859,$AL1859))</f>
        <v/>
      </c>
    </row>
    <row r="1860" spans="38:53" ht="15" customHeight="1" x14ac:dyDescent="0.25">
      <c r="AL1860" s="31"/>
      <c r="AM1860" s="26"/>
      <c r="AN1860" s="32"/>
      <c r="AO1860" s="32"/>
      <c r="AP1860" s="24"/>
      <c r="AQ1860" s="24"/>
      <c r="AR1860" s="33"/>
      <c r="AS1860" s="34"/>
      <c r="AT1860" s="33"/>
      <c r="AV1860" s="21">
        <f>IF(AND($AL1860&lt;&gt;"",COUNTIF($AL$11:$AL1860,$AL1860)=1),1,0)</f>
        <v>0</v>
      </c>
      <c r="AW1860" s="21">
        <f t="shared" si="143"/>
        <v>2</v>
      </c>
      <c r="AX1860" s="21" t="str">
        <f t="shared" si="142"/>
        <v/>
      </c>
      <c r="AY1860" s="21" t="str">
        <f>IF(AND($AM1860&lt;&gt;"",$AS1860&lt;&gt;"✓"),SUMPRODUCT(($AM$11:$AM1860&lt;&gt;"")*($AS$11:$AS1860&lt;&gt;"✓")),"")</f>
        <v/>
      </c>
      <c r="AZ1860" s="21" t="str">
        <f>IF(AND($AM1860&lt;&gt;"",$AS1860="✓"),SUMPRODUCT(($AM$11:$AM1860&lt;&gt;"")*($AS$11:$AS1860="✓")),"")</f>
        <v/>
      </c>
      <c r="BA1860" s="21" t="str">
        <f>IF($AL1860="","",$AL1860&amp;"|"&amp;COUNTIF($AL$11:$AL1860,$AL1860))</f>
        <v/>
      </c>
    </row>
    <row r="1861" spans="38:53" ht="15" customHeight="1" x14ac:dyDescent="0.25">
      <c r="AL1861" s="17"/>
      <c r="AM1861" s="12"/>
      <c r="AN1861" s="18"/>
      <c r="AO1861" s="18"/>
      <c r="AP1861" s="10"/>
      <c r="AQ1861" s="10"/>
      <c r="AR1861" s="19"/>
      <c r="AS1861" s="20"/>
      <c r="AT1861" s="19"/>
      <c r="AV1861" s="21">
        <f>IF(AND($AL1861&lt;&gt;"",COUNTIF($AL$11:$AL1861,$AL1861)=1),1,0)</f>
        <v>0</v>
      </c>
      <c r="AW1861" s="21">
        <f t="shared" si="143"/>
        <v>2</v>
      </c>
      <c r="AX1861" s="21" t="str">
        <f t="shared" si="142"/>
        <v/>
      </c>
      <c r="AY1861" s="21" t="str">
        <f>IF(AND($AM1861&lt;&gt;"",$AS1861&lt;&gt;"✓"),SUMPRODUCT(($AM$11:$AM1861&lt;&gt;"")*($AS$11:$AS1861&lt;&gt;"✓")),"")</f>
        <v/>
      </c>
      <c r="AZ1861" s="21" t="str">
        <f>IF(AND($AM1861&lt;&gt;"",$AS1861="✓"),SUMPRODUCT(($AM$11:$AM1861&lt;&gt;"")*($AS$11:$AS1861="✓")),"")</f>
        <v/>
      </c>
      <c r="BA1861" s="21" t="str">
        <f>IF($AL1861="","",$AL1861&amp;"|"&amp;COUNTIF($AL$11:$AL1861,$AL1861))</f>
        <v/>
      </c>
    </row>
    <row r="1862" spans="38:53" ht="15" customHeight="1" x14ac:dyDescent="0.25">
      <c r="AL1862" s="31"/>
      <c r="AM1862" s="26"/>
      <c r="AN1862" s="32"/>
      <c r="AO1862" s="32"/>
      <c r="AP1862" s="24"/>
      <c r="AQ1862" s="24"/>
      <c r="AR1862" s="33"/>
      <c r="AS1862" s="34"/>
      <c r="AT1862" s="33"/>
      <c r="AV1862" s="21">
        <f>IF(AND($AL1862&lt;&gt;"",COUNTIF($AL$11:$AL1862,$AL1862)=1),1,0)</f>
        <v>0</v>
      </c>
      <c r="AW1862" s="21">
        <f t="shared" si="143"/>
        <v>2</v>
      </c>
      <c r="AX1862" s="21" t="str">
        <f t="shared" si="142"/>
        <v/>
      </c>
      <c r="AY1862" s="21" t="str">
        <f>IF(AND($AM1862&lt;&gt;"",$AS1862&lt;&gt;"✓"),SUMPRODUCT(($AM$11:$AM1862&lt;&gt;"")*($AS$11:$AS1862&lt;&gt;"✓")),"")</f>
        <v/>
      </c>
      <c r="AZ1862" s="21" t="str">
        <f>IF(AND($AM1862&lt;&gt;"",$AS1862="✓"),SUMPRODUCT(($AM$11:$AM1862&lt;&gt;"")*($AS$11:$AS1862="✓")),"")</f>
        <v/>
      </c>
      <c r="BA1862" s="21" t="str">
        <f>IF($AL1862="","",$AL1862&amp;"|"&amp;COUNTIF($AL$11:$AL1862,$AL1862))</f>
        <v/>
      </c>
    </row>
    <row r="1863" spans="38:53" ht="15" customHeight="1" x14ac:dyDescent="0.25">
      <c r="AL1863" s="17"/>
      <c r="AM1863" s="12"/>
      <c r="AN1863" s="18"/>
      <c r="AO1863" s="18"/>
      <c r="AP1863" s="10"/>
      <c r="AQ1863" s="10"/>
      <c r="AR1863" s="19"/>
      <c r="AS1863" s="20"/>
      <c r="AT1863" s="19"/>
      <c r="AV1863" s="21">
        <f>IF(AND($AL1863&lt;&gt;"",COUNTIF($AL$11:$AL1863,$AL1863)=1),1,0)</f>
        <v>0</v>
      </c>
      <c r="AW1863" s="21">
        <f t="shared" si="143"/>
        <v>2</v>
      </c>
      <c r="AX1863" s="21" t="str">
        <f t="shared" si="142"/>
        <v/>
      </c>
      <c r="AY1863" s="21" t="str">
        <f>IF(AND($AM1863&lt;&gt;"",$AS1863&lt;&gt;"✓"),SUMPRODUCT(($AM$11:$AM1863&lt;&gt;"")*($AS$11:$AS1863&lt;&gt;"✓")),"")</f>
        <v/>
      </c>
      <c r="AZ1863" s="21" t="str">
        <f>IF(AND($AM1863&lt;&gt;"",$AS1863="✓"),SUMPRODUCT(($AM$11:$AM1863&lt;&gt;"")*($AS$11:$AS1863="✓")),"")</f>
        <v/>
      </c>
      <c r="BA1863" s="21" t="str">
        <f>IF($AL1863="","",$AL1863&amp;"|"&amp;COUNTIF($AL$11:$AL1863,$AL1863))</f>
        <v/>
      </c>
    </row>
    <row r="1864" spans="38:53" ht="15" customHeight="1" x14ac:dyDescent="0.25">
      <c r="AL1864" s="31"/>
      <c r="AM1864" s="26"/>
      <c r="AN1864" s="32"/>
      <c r="AO1864" s="32"/>
      <c r="AP1864" s="24"/>
      <c r="AQ1864" s="24"/>
      <c r="AR1864" s="33"/>
      <c r="AS1864" s="34"/>
      <c r="AT1864" s="33"/>
      <c r="AV1864" s="21">
        <f>IF(AND($AL1864&lt;&gt;"",COUNTIF($AL$11:$AL1864,$AL1864)=1),1,0)</f>
        <v>0</v>
      </c>
      <c r="AW1864" s="21">
        <f t="shared" si="143"/>
        <v>2</v>
      </c>
      <c r="AX1864" s="21" t="str">
        <f t="shared" si="142"/>
        <v/>
      </c>
      <c r="AY1864" s="21" t="str">
        <f>IF(AND($AM1864&lt;&gt;"",$AS1864&lt;&gt;"✓"),SUMPRODUCT(($AM$11:$AM1864&lt;&gt;"")*($AS$11:$AS1864&lt;&gt;"✓")),"")</f>
        <v/>
      </c>
      <c r="AZ1864" s="21" t="str">
        <f>IF(AND($AM1864&lt;&gt;"",$AS1864="✓"),SUMPRODUCT(($AM$11:$AM1864&lt;&gt;"")*($AS$11:$AS1864="✓")),"")</f>
        <v/>
      </c>
      <c r="BA1864" s="21" t="str">
        <f>IF($AL1864="","",$AL1864&amp;"|"&amp;COUNTIF($AL$11:$AL1864,$AL1864))</f>
        <v/>
      </c>
    </row>
    <row r="1865" spans="38:53" ht="15" customHeight="1" x14ac:dyDescent="0.25">
      <c r="AL1865" s="17"/>
      <c r="AM1865" s="12"/>
      <c r="AN1865" s="18"/>
      <c r="AO1865" s="18"/>
      <c r="AP1865" s="10"/>
      <c r="AQ1865" s="10"/>
      <c r="AR1865" s="19"/>
      <c r="AS1865" s="20"/>
      <c r="AT1865" s="19"/>
      <c r="AV1865" s="21">
        <f>IF(AND($AL1865&lt;&gt;"",COUNTIF($AL$11:$AL1865,$AL1865)=1),1,0)</f>
        <v>0</v>
      </c>
      <c r="AW1865" s="21">
        <f t="shared" si="143"/>
        <v>2</v>
      </c>
      <c r="AX1865" s="21" t="str">
        <f t="shared" si="142"/>
        <v/>
      </c>
      <c r="AY1865" s="21" t="str">
        <f>IF(AND($AM1865&lt;&gt;"",$AS1865&lt;&gt;"✓"),SUMPRODUCT(($AM$11:$AM1865&lt;&gt;"")*($AS$11:$AS1865&lt;&gt;"✓")),"")</f>
        <v/>
      </c>
      <c r="AZ1865" s="21" t="str">
        <f>IF(AND($AM1865&lt;&gt;"",$AS1865="✓"),SUMPRODUCT(($AM$11:$AM1865&lt;&gt;"")*($AS$11:$AS1865="✓")),"")</f>
        <v/>
      </c>
      <c r="BA1865" s="21" t="str">
        <f>IF($AL1865="","",$AL1865&amp;"|"&amp;COUNTIF($AL$11:$AL1865,$AL1865))</f>
        <v/>
      </c>
    </row>
    <row r="1866" spans="38:53" ht="15" customHeight="1" x14ac:dyDescent="0.25">
      <c r="AL1866" s="31"/>
      <c r="AM1866" s="26"/>
      <c r="AN1866" s="32"/>
      <c r="AO1866" s="32"/>
      <c r="AP1866" s="24"/>
      <c r="AQ1866" s="24"/>
      <c r="AR1866" s="33"/>
      <c r="AS1866" s="34"/>
      <c r="AT1866" s="33"/>
      <c r="AV1866" s="21">
        <f>IF(AND($AL1866&lt;&gt;"",COUNTIF($AL$11:$AL1866,$AL1866)=1),1,0)</f>
        <v>0</v>
      </c>
      <c r="AW1866" s="21">
        <f t="shared" si="143"/>
        <v>2</v>
      </c>
      <c r="AX1866" s="21" t="str">
        <f t="shared" si="142"/>
        <v/>
      </c>
      <c r="AY1866" s="21" t="str">
        <f>IF(AND($AM1866&lt;&gt;"",$AS1866&lt;&gt;"✓"),SUMPRODUCT(($AM$11:$AM1866&lt;&gt;"")*($AS$11:$AS1866&lt;&gt;"✓")),"")</f>
        <v/>
      </c>
      <c r="AZ1866" s="21" t="str">
        <f>IF(AND($AM1866&lt;&gt;"",$AS1866="✓"),SUMPRODUCT(($AM$11:$AM1866&lt;&gt;"")*($AS$11:$AS1866="✓")),"")</f>
        <v/>
      </c>
      <c r="BA1866" s="21" t="str">
        <f>IF($AL1866="","",$AL1866&amp;"|"&amp;COUNTIF($AL$11:$AL1866,$AL1866))</f>
        <v/>
      </c>
    </row>
    <row r="1867" spans="38:53" ht="15" customHeight="1" x14ac:dyDescent="0.25">
      <c r="AL1867" s="17"/>
      <c r="AM1867" s="12"/>
      <c r="AN1867" s="18"/>
      <c r="AO1867" s="18"/>
      <c r="AP1867" s="10"/>
      <c r="AQ1867" s="10"/>
      <c r="AR1867" s="19"/>
      <c r="AS1867" s="20"/>
      <c r="AT1867" s="19"/>
      <c r="AV1867" s="21">
        <f>IF(AND($AL1867&lt;&gt;"",COUNTIF($AL$11:$AL1867,$AL1867)=1),1,0)</f>
        <v>0</v>
      </c>
      <c r="AW1867" s="21">
        <f t="shared" si="143"/>
        <v>2</v>
      </c>
      <c r="AX1867" s="21" t="str">
        <f t="shared" ref="AX1867:AX1930" si="144">IF(AV1867=1,AW1867,"")</f>
        <v/>
      </c>
      <c r="AY1867" s="21" t="str">
        <f>IF(AND($AM1867&lt;&gt;"",$AS1867&lt;&gt;"✓"),SUMPRODUCT(($AM$11:$AM1867&lt;&gt;"")*($AS$11:$AS1867&lt;&gt;"✓")),"")</f>
        <v/>
      </c>
      <c r="AZ1867" s="21" t="str">
        <f>IF(AND($AM1867&lt;&gt;"",$AS1867="✓"),SUMPRODUCT(($AM$11:$AM1867&lt;&gt;"")*($AS$11:$AS1867="✓")),"")</f>
        <v/>
      </c>
      <c r="BA1867" s="21" t="str">
        <f>IF($AL1867="","",$AL1867&amp;"|"&amp;COUNTIF($AL$11:$AL1867,$AL1867))</f>
        <v/>
      </c>
    </row>
    <row r="1868" spans="38:53" ht="15" customHeight="1" x14ac:dyDescent="0.25">
      <c r="AL1868" s="31"/>
      <c r="AM1868" s="26"/>
      <c r="AN1868" s="32"/>
      <c r="AO1868" s="32"/>
      <c r="AP1868" s="24"/>
      <c r="AQ1868" s="24"/>
      <c r="AR1868" s="33"/>
      <c r="AS1868" s="34"/>
      <c r="AT1868" s="33"/>
      <c r="AV1868" s="21">
        <f>IF(AND($AL1868&lt;&gt;"",COUNTIF($AL$11:$AL1868,$AL1868)=1),1,0)</f>
        <v>0</v>
      </c>
      <c r="AW1868" s="21">
        <f t="shared" ref="AW1868:AW1931" si="145">AW1867+AV1868</f>
        <v>2</v>
      </c>
      <c r="AX1868" s="21" t="str">
        <f t="shared" si="144"/>
        <v/>
      </c>
      <c r="AY1868" s="21" t="str">
        <f>IF(AND($AM1868&lt;&gt;"",$AS1868&lt;&gt;"✓"),SUMPRODUCT(($AM$11:$AM1868&lt;&gt;"")*($AS$11:$AS1868&lt;&gt;"✓")),"")</f>
        <v/>
      </c>
      <c r="AZ1868" s="21" t="str">
        <f>IF(AND($AM1868&lt;&gt;"",$AS1868="✓"),SUMPRODUCT(($AM$11:$AM1868&lt;&gt;"")*($AS$11:$AS1868="✓")),"")</f>
        <v/>
      </c>
      <c r="BA1868" s="21" t="str">
        <f>IF($AL1868="","",$AL1868&amp;"|"&amp;COUNTIF($AL$11:$AL1868,$AL1868))</f>
        <v/>
      </c>
    </row>
    <row r="1869" spans="38:53" ht="15" customHeight="1" x14ac:dyDescent="0.25">
      <c r="AL1869" s="17"/>
      <c r="AM1869" s="12"/>
      <c r="AN1869" s="18"/>
      <c r="AO1869" s="18"/>
      <c r="AP1869" s="10"/>
      <c r="AQ1869" s="10"/>
      <c r="AR1869" s="19"/>
      <c r="AS1869" s="20"/>
      <c r="AT1869" s="19"/>
      <c r="AV1869" s="21">
        <f>IF(AND($AL1869&lt;&gt;"",COUNTIF($AL$11:$AL1869,$AL1869)=1),1,0)</f>
        <v>0</v>
      </c>
      <c r="AW1869" s="21">
        <f t="shared" si="145"/>
        <v>2</v>
      </c>
      <c r="AX1869" s="21" t="str">
        <f t="shared" si="144"/>
        <v/>
      </c>
      <c r="AY1869" s="21" t="str">
        <f>IF(AND($AM1869&lt;&gt;"",$AS1869&lt;&gt;"✓"),SUMPRODUCT(($AM$11:$AM1869&lt;&gt;"")*($AS$11:$AS1869&lt;&gt;"✓")),"")</f>
        <v/>
      </c>
      <c r="AZ1869" s="21" t="str">
        <f>IF(AND($AM1869&lt;&gt;"",$AS1869="✓"),SUMPRODUCT(($AM$11:$AM1869&lt;&gt;"")*($AS$11:$AS1869="✓")),"")</f>
        <v/>
      </c>
      <c r="BA1869" s="21" t="str">
        <f>IF($AL1869="","",$AL1869&amp;"|"&amp;COUNTIF($AL$11:$AL1869,$AL1869))</f>
        <v/>
      </c>
    </row>
    <row r="1870" spans="38:53" ht="15" customHeight="1" x14ac:dyDescent="0.25">
      <c r="AL1870" s="31"/>
      <c r="AM1870" s="26"/>
      <c r="AN1870" s="32"/>
      <c r="AO1870" s="32"/>
      <c r="AP1870" s="24"/>
      <c r="AQ1870" s="24"/>
      <c r="AR1870" s="33"/>
      <c r="AS1870" s="34"/>
      <c r="AT1870" s="33"/>
      <c r="AV1870" s="21">
        <f>IF(AND($AL1870&lt;&gt;"",COUNTIF($AL$11:$AL1870,$AL1870)=1),1,0)</f>
        <v>0</v>
      </c>
      <c r="AW1870" s="21">
        <f t="shared" si="145"/>
        <v>2</v>
      </c>
      <c r="AX1870" s="21" t="str">
        <f t="shared" si="144"/>
        <v/>
      </c>
      <c r="AY1870" s="21" t="str">
        <f>IF(AND($AM1870&lt;&gt;"",$AS1870&lt;&gt;"✓"),SUMPRODUCT(($AM$11:$AM1870&lt;&gt;"")*($AS$11:$AS1870&lt;&gt;"✓")),"")</f>
        <v/>
      </c>
      <c r="AZ1870" s="21" t="str">
        <f>IF(AND($AM1870&lt;&gt;"",$AS1870="✓"),SUMPRODUCT(($AM$11:$AM1870&lt;&gt;"")*($AS$11:$AS1870="✓")),"")</f>
        <v/>
      </c>
      <c r="BA1870" s="21" t="str">
        <f>IF($AL1870="","",$AL1870&amp;"|"&amp;COUNTIF($AL$11:$AL1870,$AL1870))</f>
        <v/>
      </c>
    </row>
    <row r="1871" spans="38:53" ht="15" customHeight="1" x14ac:dyDescent="0.25">
      <c r="AL1871" s="17"/>
      <c r="AM1871" s="12"/>
      <c r="AN1871" s="18"/>
      <c r="AO1871" s="18"/>
      <c r="AP1871" s="10"/>
      <c r="AQ1871" s="10"/>
      <c r="AR1871" s="19"/>
      <c r="AS1871" s="20"/>
      <c r="AT1871" s="19"/>
      <c r="AV1871" s="21">
        <f>IF(AND($AL1871&lt;&gt;"",COUNTIF($AL$11:$AL1871,$AL1871)=1),1,0)</f>
        <v>0</v>
      </c>
      <c r="AW1871" s="21">
        <f t="shared" si="145"/>
        <v>2</v>
      </c>
      <c r="AX1871" s="21" t="str">
        <f t="shared" si="144"/>
        <v/>
      </c>
      <c r="AY1871" s="21" t="str">
        <f>IF(AND($AM1871&lt;&gt;"",$AS1871&lt;&gt;"✓"),SUMPRODUCT(($AM$11:$AM1871&lt;&gt;"")*($AS$11:$AS1871&lt;&gt;"✓")),"")</f>
        <v/>
      </c>
      <c r="AZ1871" s="21" t="str">
        <f>IF(AND($AM1871&lt;&gt;"",$AS1871="✓"),SUMPRODUCT(($AM$11:$AM1871&lt;&gt;"")*($AS$11:$AS1871="✓")),"")</f>
        <v/>
      </c>
      <c r="BA1871" s="21" t="str">
        <f>IF($AL1871="","",$AL1871&amp;"|"&amp;COUNTIF($AL$11:$AL1871,$AL1871))</f>
        <v/>
      </c>
    </row>
    <row r="1872" spans="38:53" ht="15" customHeight="1" x14ac:dyDescent="0.25">
      <c r="AL1872" s="31"/>
      <c r="AM1872" s="26"/>
      <c r="AN1872" s="32"/>
      <c r="AO1872" s="32"/>
      <c r="AP1872" s="24"/>
      <c r="AQ1872" s="24"/>
      <c r="AR1872" s="33"/>
      <c r="AS1872" s="34"/>
      <c r="AT1872" s="33"/>
      <c r="AV1872" s="21">
        <f>IF(AND($AL1872&lt;&gt;"",COUNTIF($AL$11:$AL1872,$AL1872)=1),1,0)</f>
        <v>0</v>
      </c>
      <c r="AW1872" s="21">
        <f t="shared" si="145"/>
        <v>2</v>
      </c>
      <c r="AX1872" s="21" t="str">
        <f t="shared" si="144"/>
        <v/>
      </c>
      <c r="AY1872" s="21" t="str">
        <f>IF(AND($AM1872&lt;&gt;"",$AS1872&lt;&gt;"✓"),SUMPRODUCT(($AM$11:$AM1872&lt;&gt;"")*($AS$11:$AS1872&lt;&gt;"✓")),"")</f>
        <v/>
      </c>
      <c r="AZ1872" s="21" t="str">
        <f>IF(AND($AM1872&lt;&gt;"",$AS1872="✓"),SUMPRODUCT(($AM$11:$AM1872&lt;&gt;"")*($AS$11:$AS1872="✓")),"")</f>
        <v/>
      </c>
      <c r="BA1872" s="21" t="str">
        <f>IF($AL1872="","",$AL1872&amp;"|"&amp;COUNTIF($AL$11:$AL1872,$AL1872))</f>
        <v/>
      </c>
    </row>
    <row r="1873" spans="38:53" ht="15" customHeight="1" x14ac:dyDescent="0.25">
      <c r="AL1873" s="17"/>
      <c r="AM1873" s="12"/>
      <c r="AN1873" s="18"/>
      <c r="AO1873" s="18"/>
      <c r="AP1873" s="10"/>
      <c r="AQ1873" s="10"/>
      <c r="AR1873" s="19"/>
      <c r="AS1873" s="20"/>
      <c r="AT1873" s="19"/>
      <c r="AV1873" s="21">
        <f>IF(AND($AL1873&lt;&gt;"",COUNTIF($AL$11:$AL1873,$AL1873)=1),1,0)</f>
        <v>0</v>
      </c>
      <c r="AW1873" s="21">
        <f t="shared" si="145"/>
        <v>2</v>
      </c>
      <c r="AX1873" s="21" t="str">
        <f t="shared" si="144"/>
        <v/>
      </c>
      <c r="AY1873" s="21" t="str">
        <f>IF(AND($AM1873&lt;&gt;"",$AS1873&lt;&gt;"✓"),SUMPRODUCT(($AM$11:$AM1873&lt;&gt;"")*($AS$11:$AS1873&lt;&gt;"✓")),"")</f>
        <v/>
      </c>
      <c r="AZ1873" s="21" t="str">
        <f>IF(AND($AM1873&lt;&gt;"",$AS1873="✓"),SUMPRODUCT(($AM$11:$AM1873&lt;&gt;"")*($AS$11:$AS1873="✓")),"")</f>
        <v/>
      </c>
      <c r="BA1873" s="21" t="str">
        <f>IF($AL1873="","",$AL1873&amp;"|"&amp;COUNTIF($AL$11:$AL1873,$AL1873))</f>
        <v/>
      </c>
    </row>
    <row r="1874" spans="38:53" ht="15" customHeight="1" x14ac:dyDescent="0.25">
      <c r="AL1874" s="31"/>
      <c r="AM1874" s="26"/>
      <c r="AN1874" s="32"/>
      <c r="AO1874" s="32"/>
      <c r="AP1874" s="24"/>
      <c r="AQ1874" s="24"/>
      <c r="AR1874" s="33"/>
      <c r="AS1874" s="34"/>
      <c r="AT1874" s="33"/>
      <c r="AV1874" s="21">
        <f>IF(AND($AL1874&lt;&gt;"",COUNTIF($AL$11:$AL1874,$AL1874)=1),1,0)</f>
        <v>0</v>
      </c>
      <c r="AW1874" s="21">
        <f t="shared" si="145"/>
        <v>2</v>
      </c>
      <c r="AX1874" s="21" t="str">
        <f t="shared" si="144"/>
        <v/>
      </c>
      <c r="AY1874" s="21" t="str">
        <f>IF(AND($AM1874&lt;&gt;"",$AS1874&lt;&gt;"✓"),SUMPRODUCT(($AM$11:$AM1874&lt;&gt;"")*($AS$11:$AS1874&lt;&gt;"✓")),"")</f>
        <v/>
      </c>
      <c r="AZ1874" s="21" t="str">
        <f>IF(AND($AM1874&lt;&gt;"",$AS1874="✓"),SUMPRODUCT(($AM$11:$AM1874&lt;&gt;"")*($AS$11:$AS1874="✓")),"")</f>
        <v/>
      </c>
      <c r="BA1874" s="21" t="str">
        <f>IF($AL1874="","",$AL1874&amp;"|"&amp;COUNTIF($AL$11:$AL1874,$AL1874))</f>
        <v/>
      </c>
    </row>
    <row r="1875" spans="38:53" ht="15" customHeight="1" x14ac:dyDescent="0.25">
      <c r="AL1875" s="17"/>
      <c r="AM1875" s="12"/>
      <c r="AN1875" s="18"/>
      <c r="AO1875" s="18"/>
      <c r="AP1875" s="10"/>
      <c r="AQ1875" s="10"/>
      <c r="AR1875" s="19"/>
      <c r="AS1875" s="20"/>
      <c r="AT1875" s="19"/>
      <c r="AV1875" s="21">
        <f>IF(AND($AL1875&lt;&gt;"",COUNTIF($AL$11:$AL1875,$AL1875)=1),1,0)</f>
        <v>0</v>
      </c>
      <c r="AW1875" s="21">
        <f t="shared" si="145"/>
        <v>2</v>
      </c>
      <c r="AX1875" s="21" t="str">
        <f t="shared" si="144"/>
        <v/>
      </c>
      <c r="AY1875" s="21" t="str">
        <f>IF(AND($AM1875&lt;&gt;"",$AS1875&lt;&gt;"✓"),SUMPRODUCT(($AM$11:$AM1875&lt;&gt;"")*($AS$11:$AS1875&lt;&gt;"✓")),"")</f>
        <v/>
      </c>
      <c r="AZ1875" s="21" t="str">
        <f>IF(AND($AM1875&lt;&gt;"",$AS1875="✓"),SUMPRODUCT(($AM$11:$AM1875&lt;&gt;"")*($AS$11:$AS1875="✓")),"")</f>
        <v/>
      </c>
      <c r="BA1875" s="21" t="str">
        <f>IF($AL1875="","",$AL1875&amp;"|"&amp;COUNTIF($AL$11:$AL1875,$AL1875))</f>
        <v/>
      </c>
    </row>
    <row r="1876" spans="38:53" ht="15" customHeight="1" x14ac:dyDescent="0.25">
      <c r="AL1876" s="31"/>
      <c r="AM1876" s="26"/>
      <c r="AN1876" s="32"/>
      <c r="AO1876" s="32"/>
      <c r="AP1876" s="24"/>
      <c r="AQ1876" s="24"/>
      <c r="AR1876" s="33"/>
      <c r="AS1876" s="34"/>
      <c r="AT1876" s="33"/>
      <c r="AV1876" s="21">
        <f>IF(AND($AL1876&lt;&gt;"",COUNTIF($AL$11:$AL1876,$AL1876)=1),1,0)</f>
        <v>0</v>
      </c>
      <c r="AW1876" s="21">
        <f t="shared" si="145"/>
        <v>2</v>
      </c>
      <c r="AX1876" s="21" t="str">
        <f t="shared" si="144"/>
        <v/>
      </c>
      <c r="AY1876" s="21" t="str">
        <f>IF(AND($AM1876&lt;&gt;"",$AS1876&lt;&gt;"✓"),SUMPRODUCT(($AM$11:$AM1876&lt;&gt;"")*($AS$11:$AS1876&lt;&gt;"✓")),"")</f>
        <v/>
      </c>
      <c r="AZ1876" s="21" t="str">
        <f>IF(AND($AM1876&lt;&gt;"",$AS1876="✓"),SUMPRODUCT(($AM$11:$AM1876&lt;&gt;"")*($AS$11:$AS1876="✓")),"")</f>
        <v/>
      </c>
      <c r="BA1876" s="21" t="str">
        <f>IF($AL1876="","",$AL1876&amp;"|"&amp;COUNTIF($AL$11:$AL1876,$AL1876))</f>
        <v/>
      </c>
    </row>
    <row r="1877" spans="38:53" ht="15" customHeight="1" x14ac:dyDescent="0.25">
      <c r="AL1877" s="17"/>
      <c r="AM1877" s="12"/>
      <c r="AN1877" s="18"/>
      <c r="AO1877" s="18"/>
      <c r="AP1877" s="10"/>
      <c r="AQ1877" s="10"/>
      <c r="AR1877" s="19"/>
      <c r="AS1877" s="20"/>
      <c r="AT1877" s="19"/>
      <c r="AV1877" s="21">
        <f>IF(AND($AL1877&lt;&gt;"",COUNTIF($AL$11:$AL1877,$AL1877)=1),1,0)</f>
        <v>0</v>
      </c>
      <c r="AW1877" s="21">
        <f t="shared" si="145"/>
        <v>2</v>
      </c>
      <c r="AX1877" s="21" t="str">
        <f t="shared" si="144"/>
        <v/>
      </c>
      <c r="AY1877" s="21" t="str">
        <f>IF(AND($AM1877&lt;&gt;"",$AS1877&lt;&gt;"✓"),SUMPRODUCT(($AM$11:$AM1877&lt;&gt;"")*($AS$11:$AS1877&lt;&gt;"✓")),"")</f>
        <v/>
      </c>
      <c r="AZ1877" s="21" t="str">
        <f>IF(AND($AM1877&lt;&gt;"",$AS1877="✓"),SUMPRODUCT(($AM$11:$AM1877&lt;&gt;"")*($AS$11:$AS1877="✓")),"")</f>
        <v/>
      </c>
      <c r="BA1877" s="21" t="str">
        <f>IF($AL1877="","",$AL1877&amp;"|"&amp;COUNTIF($AL$11:$AL1877,$AL1877))</f>
        <v/>
      </c>
    </row>
    <row r="1878" spans="38:53" ht="15" customHeight="1" x14ac:dyDescent="0.25">
      <c r="AL1878" s="31"/>
      <c r="AM1878" s="26"/>
      <c r="AN1878" s="32"/>
      <c r="AO1878" s="32"/>
      <c r="AP1878" s="24"/>
      <c r="AQ1878" s="24"/>
      <c r="AR1878" s="33"/>
      <c r="AS1878" s="34"/>
      <c r="AT1878" s="33"/>
      <c r="AV1878" s="21">
        <f>IF(AND($AL1878&lt;&gt;"",COUNTIF($AL$11:$AL1878,$AL1878)=1),1,0)</f>
        <v>0</v>
      </c>
      <c r="AW1878" s="21">
        <f t="shared" si="145"/>
        <v>2</v>
      </c>
      <c r="AX1878" s="21" t="str">
        <f t="shared" si="144"/>
        <v/>
      </c>
      <c r="AY1878" s="21" t="str">
        <f>IF(AND($AM1878&lt;&gt;"",$AS1878&lt;&gt;"✓"),SUMPRODUCT(($AM$11:$AM1878&lt;&gt;"")*($AS$11:$AS1878&lt;&gt;"✓")),"")</f>
        <v/>
      </c>
      <c r="AZ1878" s="21" t="str">
        <f>IF(AND($AM1878&lt;&gt;"",$AS1878="✓"),SUMPRODUCT(($AM$11:$AM1878&lt;&gt;"")*($AS$11:$AS1878="✓")),"")</f>
        <v/>
      </c>
      <c r="BA1878" s="21" t="str">
        <f>IF($AL1878="","",$AL1878&amp;"|"&amp;COUNTIF($AL$11:$AL1878,$AL1878))</f>
        <v/>
      </c>
    </row>
    <row r="1879" spans="38:53" ht="15" customHeight="1" x14ac:dyDescent="0.25">
      <c r="AL1879" s="17"/>
      <c r="AM1879" s="12"/>
      <c r="AN1879" s="18"/>
      <c r="AO1879" s="18"/>
      <c r="AP1879" s="10"/>
      <c r="AQ1879" s="10"/>
      <c r="AR1879" s="19"/>
      <c r="AS1879" s="20"/>
      <c r="AT1879" s="19"/>
      <c r="AV1879" s="21">
        <f>IF(AND($AL1879&lt;&gt;"",COUNTIF($AL$11:$AL1879,$AL1879)=1),1,0)</f>
        <v>0</v>
      </c>
      <c r="AW1879" s="21">
        <f t="shared" si="145"/>
        <v>2</v>
      </c>
      <c r="AX1879" s="21" t="str">
        <f t="shared" si="144"/>
        <v/>
      </c>
      <c r="AY1879" s="21" t="str">
        <f>IF(AND($AM1879&lt;&gt;"",$AS1879&lt;&gt;"✓"),SUMPRODUCT(($AM$11:$AM1879&lt;&gt;"")*($AS$11:$AS1879&lt;&gt;"✓")),"")</f>
        <v/>
      </c>
      <c r="AZ1879" s="21" t="str">
        <f>IF(AND($AM1879&lt;&gt;"",$AS1879="✓"),SUMPRODUCT(($AM$11:$AM1879&lt;&gt;"")*($AS$11:$AS1879="✓")),"")</f>
        <v/>
      </c>
      <c r="BA1879" s="21" t="str">
        <f>IF($AL1879="","",$AL1879&amp;"|"&amp;COUNTIF($AL$11:$AL1879,$AL1879))</f>
        <v/>
      </c>
    </row>
    <row r="1880" spans="38:53" ht="15" customHeight="1" x14ac:dyDescent="0.25">
      <c r="AL1880" s="31"/>
      <c r="AM1880" s="26"/>
      <c r="AN1880" s="32"/>
      <c r="AO1880" s="32"/>
      <c r="AP1880" s="24"/>
      <c r="AQ1880" s="24"/>
      <c r="AR1880" s="33"/>
      <c r="AS1880" s="34"/>
      <c r="AT1880" s="33"/>
      <c r="AV1880" s="21">
        <f>IF(AND($AL1880&lt;&gt;"",COUNTIF($AL$11:$AL1880,$AL1880)=1),1,0)</f>
        <v>0</v>
      </c>
      <c r="AW1880" s="21">
        <f t="shared" si="145"/>
        <v>2</v>
      </c>
      <c r="AX1880" s="21" t="str">
        <f t="shared" si="144"/>
        <v/>
      </c>
      <c r="AY1880" s="21" t="str">
        <f>IF(AND($AM1880&lt;&gt;"",$AS1880&lt;&gt;"✓"),SUMPRODUCT(($AM$11:$AM1880&lt;&gt;"")*($AS$11:$AS1880&lt;&gt;"✓")),"")</f>
        <v/>
      </c>
      <c r="AZ1880" s="21" t="str">
        <f>IF(AND($AM1880&lt;&gt;"",$AS1880="✓"),SUMPRODUCT(($AM$11:$AM1880&lt;&gt;"")*($AS$11:$AS1880="✓")),"")</f>
        <v/>
      </c>
      <c r="BA1880" s="21" t="str">
        <f>IF($AL1880="","",$AL1880&amp;"|"&amp;COUNTIF($AL$11:$AL1880,$AL1880))</f>
        <v/>
      </c>
    </row>
    <row r="1881" spans="38:53" ht="15" customHeight="1" x14ac:dyDescent="0.25">
      <c r="AL1881" s="17"/>
      <c r="AM1881" s="12"/>
      <c r="AN1881" s="18"/>
      <c r="AO1881" s="18"/>
      <c r="AP1881" s="10"/>
      <c r="AQ1881" s="10"/>
      <c r="AR1881" s="19"/>
      <c r="AS1881" s="20"/>
      <c r="AT1881" s="19"/>
      <c r="AV1881" s="21">
        <f>IF(AND($AL1881&lt;&gt;"",COUNTIF($AL$11:$AL1881,$AL1881)=1),1,0)</f>
        <v>0</v>
      </c>
      <c r="AW1881" s="21">
        <f t="shared" si="145"/>
        <v>2</v>
      </c>
      <c r="AX1881" s="21" t="str">
        <f t="shared" si="144"/>
        <v/>
      </c>
      <c r="AY1881" s="21" t="str">
        <f>IF(AND($AM1881&lt;&gt;"",$AS1881&lt;&gt;"✓"),SUMPRODUCT(($AM$11:$AM1881&lt;&gt;"")*($AS$11:$AS1881&lt;&gt;"✓")),"")</f>
        <v/>
      </c>
      <c r="AZ1881" s="21" t="str">
        <f>IF(AND($AM1881&lt;&gt;"",$AS1881="✓"),SUMPRODUCT(($AM$11:$AM1881&lt;&gt;"")*($AS$11:$AS1881="✓")),"")</f>
        <v/>
      </c>
      <c r="BA1881" s="21" t="str">
        <f>IF($AL1881="","",$AL1881&amp;"|"&amp;COUNTIF($AL$11:$AL1881,$AL1881))</f>
        <v/>
      </c>
    </row>
    <row r="1882" spans="38:53" ht="15" customHeight="1" x14ac:dyDescent="0.25">
      <c r="AL1882" s="31"/>
      <c r="AM1882" s="26"/>
      <c r="AN1882" s="32"/>
      <c r="AO1882" s="32"/>
      <c r="AP1882" s="24"/>
      <c r="AQ1882" s="24"/>
      <c r="AR1882" s="33"/>
      <c r="AS1882" s="34"/>
      <c r="AT1882" s="33"/>
      <c r="AV1882" s="21">
        <f>IF(AND($AL1882&lt;&gt;"",COUNTIF($AL$11:$AL1882,$AL1882)=1),1,0)</f>
        <v>0</v>
      </c>
      <c r="AW1882" s="21">
        <f t="shared" si="145"/>
        <v>2</v>
      </c>
      <c r="AX1882" s="21" t="str">
        <f t="shared" si="144"/>
        <v/>
      </c>
      <c r="AY1882" s="21" t="str">
        <f>IF(AND($AM1882&lt;&gt;"",$AS1882&lt;&gt;"✓"),SUMPRODUCT(($AM$11:$AM1882&lt;&gt;"")*($AS$11:$AS1882&lt;&gt;"✓")),"")</f>
        <v/>
      </c>
      <c r="AZ1882" s="21" t="str">
        <f>IF(AND($AM1882&lt;&gt;"",$AS1882="✓"),SUMPRODUCT(($AM$11:$AM1882&lt;&gt;"")*($AS$11:$AS1882="✓")),"")</f>
        <v/>
      </c>
      <c r="BA1882" s="21" t="str">
        <f>IF($AL1882="","",$AL1882&amp;"|"&amp;COUNTIF($AL$11:$AL1882,$AL1882))</f>
        <v/>
      </c>
    </row>
    <row r="1883" spans="38:53" ht="15" customHeight="1" x14ac:dyDescent="0.25">
      <c r="AL1883" s="17"/>
      <c r="AM1883" s="12"/>
      <c r="AN1883" s="18"/>
      <c r="AO1883" s="18"/>
      <c r="AP1883" s="10"/>
      <c r="AQ1883" s="10"/>
      <c r="AR1883" s="19"/>
      <c r="AS1883" s="20"/>
      <c r="AT1883" s="19"/>
      <c r="AV1883" s="21">
        <f>IF(AND($AL1883&lt;&gt;"",COUNTIF($AL$11:$AL1883,$AL1883)=1),1,0)</f>
        <v>0</v>
      </c>
      <c r="AW1883" s="21">
        <f t="shared" si="145"/>
        <v>2</v>
      </c>
      <c r="AX1883" s="21" t="str">
        <f t="shared" si="144"/>
        <v/>
      </c>
      <c r="AY1883" s="21" t="str">
        <f>IF(AND($AM1883&lt;&gt;"",$AS1883&lt;&gt;"✓"),SUMPRODUCT(($AM$11:$AM1883&lt;&gt;"")*($AS$11:$AS1883&lt;&gt;"✓")),"")</f>
        <v/>
      </c>
      <c r="AZ1883" s="21" t="str">
        <f>IF(AND($AM1883&lt;&gt;"",$AS1883="✓"),SUMPRODUCT(($AM$11:$AM1883&lt;&gt;"")*($AS$11:$AS1883="✓")),"")</f>
        <v/>
      </c>
      <c r="BA1883" s="21" t="str">
        <f>IF($AL1883="","",$AL1883&amp;"|"&amp;COUNTIF($AL$11:$AL1883,$AL1883))</f>
        <v/>
      </c>
    </row>
    <row r="1884" spans="38:53" ht="15" customHeight="1" x14ac:dyDescent="0.25">
      <c r="AL1884" s="31"/>
      <c r="AM1884" s="26"/>
      <c r="AN1884" s="32"/>
      <c r="AO1884" s="32"/>
      <c r="AP1884" s="24"/>
      <c r="AQ1884" s="24"/>
      <c r="AR1884" s="33"/>
      <c r="AS1884" s="34"/>
      <c r="AT1884" s="33"/>
      <c r="AV1884" s="21">
        <f>IF(AND($AL1884&lt;&gt;"",COUNTIF($AL$11:$AL1884,$AL1884)=1),1,0)</f>
        <v>0</v>
      </c>
      <c r="AW1884" s="21">
        <f t="shared" si="145"/>
        <v>2</v>
      </c>
      <c r="AX1884" s="21" t="str">
        <f t="shared" si="144"/>
        <v/>
      </c>
      <c r="AY1884" s="21" t="str">
        <f>IF(AND($AM1884&lt;&gt;"",$AS1884&lt;&gt;"✓"),SUMPRODUCT(($AM$11:$AM1884&lt;&gt;"")*($AS$11:$AS1884&lt;&gt;"✓")),"")</f>
        <v/>
      </c>
      <c r="AZ1884" s="21" t="str">
        <f>IF(AND($AM1884&lt;&gt;"",$AS1884="✓"),SUMPRODUCT(($AM$11:$AM1884&lt;&gt;"")*($AS$11:$AS1884="✓")),"")</f>
        <v/>
      </c>
      <c r="BA1884" s="21" t="str">
        <f>IF($AL1884="","",$AL1884&amp;"|"&amp;COUNTIF($AL$11:$AL1884,$AL1884))</f>
        <v/>
      </c>
    </row>
    <row r="1885" spans="38:53" ht="15" customHeight="1" x14ac:dyDescent="0.25">
      <c r="AL1885" s="17"/>
      <c r="AM1885" s="12"/>
      <c r="AN1885" s="18"/>
      <c r="AO1885" s="18"/>
      <c r="AP1885" s="10"/>
      <c r="AQ1885" s="10"/>
      <c r="AR1885" s="19"/>
      <c r="AS1885" s="20"/>
      <c r="AT1885" s="19"/>
      <c r="AV1885" s="21">
        <f>IF(AND($AL1885&lt;&gt;"",COUNTIF($AL$11:$AL1885,$AL1885)=1),1,0)</f>
        <v>0</v>
      </c>
      <c r="AW1885" s="21">
        <f t="shared" si="145"/>
        <v>2</v>
      </c>
      <c r="AX1885" s="21" t="str">
        <f t="shared" si="144"/>
        <v/>
      </c>
      <c r="AY1885" s="21" t="str">
        <f>IF(AND($AM1885&lt;&gt;"",$AS1885&lt;&gt;"✓"),SUMPRODUCT(($AM$11:$AM1885&lt;&gt;"")*($AS$11:$AS1885&lt;&gt;"✓")),"")</f>
        <v/>
      </c>
      <c r="AZ1885" s="21" t="str">
        <f>IF(AND($AM1885&lt;&gt;"",$AS1885="✓"),SUMPRODUCT(($AM$11:$AM1885&lt;&gt;"")*($AS$11:$AS1885="✓")),"")</f>
        <v/>
      </c>
      <c r="BA1885" s="21" t="str">
        <f>IF($AL1885="","",$AL1885&amp;"|"&amp;COUNTIF($AL$11:$AL1885,$AL1885))</f>
        <v/>
      </c>
    </row>
    <row r="1886" spans="38:53" ht="15" customHeight="1" x14ac:dyDescent="0.25">
      <c r="AL1886" s="31"/>
      <c r="AM1886" s="26"/>
      <c r="AN1886" s="32"/>
      <c r="AO1886" s="32"/>
      <c r="AP1886" s="24"/>
      <c r="AQ1886" s="24"/>
      <c r="AR1886" s="33"/>
      <c r="AS1886" s="34"/>
      <c r="AT1886" s="33"/>
      <c r="AV1886" s="21">
        <f>IF(AND($AL1886&lt;&gt;"",COUNTIF($AL$11:$AL1886,$AL1886)=1),1,0)</f>
        <v>0</v>
      </c>
      <c r="AW1886" s="21">
        <f t="shared" si="145"/>
        <v>2</v>
      </c>
      <c r="AX1886" s="21" t="str">
        <f t="shared" si="144"/>
        <v/>
      </c>
      <c r="AY1886" s="21" t="str">
        <f>IF(AND($AM1886&lt;&gt;"",$AS1886&lt;&gt;"✓"),SUMPRODUCT(($AM$11:$AM1886&lt;&gt;"")*($AS$11:$AS1886&lt;&gt;"✓")),"")</f>
        <v/>
      </c>
      <c r="AZ1886" s="21" t="str">
        <f>IF(AND($AM1886&lt;&gt;"",$AS1886="✓"),SUMPRODUCT(($AM$11:$AM1886&lt;&gt;"")*($AS$11:$AS1886="✓")),"")</f>
        <v/>
      </c>
      <c r="BA1886" s="21" t="str">
        <f>IF($AL1886="","",$AL1886&amp;"|"&amp;COUNTIF($AL$11:$AL1886,$AL1886))</f>
        <v/>
      </c>
    </row>
    <row r="1887" spans="38:53" ht="15" customHeight="1" x14ac:dyDescent="0.25">
      <c r="AL1887" s="17"/>
      <c r="AM1887" s="12"/>
      <c r="AN1887" s="18"/>
      <c r="AO1887" s="18"/>
      <c r="AP1887" s="10"/>
      <c r="AQ1887" s="10"/>
      <c r="AR1887" s="19"/>
      <c r="AS1887" s="20"/>
      <c r="AT1887" s="19"/>
      <c r="AV1887" s="21">
        <f>IF(AND($AL1887&lt;&gt;"",COUNTIF($AL$11:$AL1887,$AL1887)=1),1,0)</f>
        <v>0</v>
      </c>
      <c r="AW1887" s="21">
        <f t="shared" si="145"/>
        <v>2</v>
      </c>
      <c r="AX1887" s="21" t="str">
        <f t="shared" si="144"/>
        <v/>
      </c>
      <c r="AY1887" s="21" t="str">
        <f>IF(AND($AM1887&lt;&gt;"",$AS1887&lt;&gt;"✓"),SUMPRODUCT(($AM$11:$AM1887&lt;&gt;"")*($AS$11:$AS1887&lt;&gt;"✓")),"")</f>
        <v/>
      </c>
      <c r="AZ1887" s="21" t="str">
        <f>IF(AND($AM1887&lt;&gt;"",$AS1887="✓"),SUMPRODUCT(($AM$11:$AM1887&lt;&gt;"")*($AS$11:$AS1887="✓")),"")</f>
        <v/>
      </c>
      <c r="BA1887" s="21" t="str">
        <f>IF($AL1887="","",$AL1887&amp;"|"&amp;COUNTIF($AL$11:$AL1887,$AL1887))</f>
        <v/>
      </c>
    </row>
    <row r="1888" spans="38:53" ht="15" customHeight="1" x14ac:dyDescent="0.25">
      <c r="AL1888" s="31"/>
      <c r="AM1888" s="26"/>
      <c r="AN1888" s="32"/>
      <c r="AO1888" s="32"/>
      <c r="AP1888" s="24"/>
      <c r="AQ1888" s="24"/>
      <c r="AR1888" s="33"/>
      <c r="AS1888" s="34"/>
      <c r="AT1888" s="33"/>
      <c r="AV1888" s="21">
        <f>IF(AND($AL1888&lt;&gt;"",COUNTIF($AL$11:$AL1888,$AL1888)=1),1,0)</f>
        <v>0</v>
      </c>
      <c r="AW1888" s="21">
        <f t="shared" si="145"/>
        <v>2</v>
      </c>
      <c r="AX1888" s="21" t="str">
        <f t="shared" si="144"/>
        <v/>
      </c>
      <c r="AY1888" s="21" t="str">
        <f>IF(AND($AM1888&lt;&gt;"",$AS1888&lt;&gt;"✓"),SUMPRODUCT(($AM$11:$AM1888&lt;&gt;"")*($AS$11:$AS1888&lt;&gt;"✓")),"")</f>
        <v/>
      </c>
      <c r="AZ1888" s="21" t="str">
        <f>IF(AND($AM1888&lt;&gt;"",$AS1888="✓"),SUMPRODUCT(($AM$11:$AM1888&lt;&gt;"")*($AS$11:$AS1888="✓")),"")</f>
        <v/>
      </c>
      <c r="BA1888" s="21" t="str">
        <f>IF($AL1888="","",$AL1888&amp;"|"&amp;COUNTIF($AL$11:$AL1888,$AL1888))</f>
        <v/>
      </c>
    </row>
    <row r="1889" spans="38:53" ht="15" customHeight="1" x14ac:dyDescent="0.25">
      <c r="AL1889" s="17"/>
      <c r="AM1889" s="12"/>
      <c r="AN1889" s="18"/>
      <c r="AO1889" s="18"/>
      <c r="AP1889" s="10"/>
      <c r="AQ1889" s="10"/>
      <c r="AR1889" s="19"/>
      <c r="AS1889" s="20"/>
      <c r="AT1889" s="19"/>
      <c r="AV1889" s="21">
        <f>IF(AND($AL1889&lt;&gt;"",COUNTIF($AL$11:$AL1889,$AL1889)=1),1,0)</f>
        <v>0</v>
      </c>
      <c r="AW1889" s="21">
        <f t="shared" si="145"/>
        <v>2</v>
      </c>
      <c r="AX1889" s="21" t="str">
        <f t="shared" si="144"/>
        <v/>
      </c>
      <c r="AY1889" s="21" t="str">
        <f>IF(AND($AM1889&lt;&gt;"",$AS1889&lt;&gt;"✓"),SUMPRODUCT(($AM$11:$AM1889&lt;&gt;"")*($AS$11:$AS1889&lt;&gt;"✓")),"")</f>
        <v/>
      </c>
      <c r="AZ1889" s="21" t="str">
        <f>IF(AND($AM1889&lt;&gt;"",$AS1889="✓"),SUMPRODUCT(($AM$11:$AM1889&lt;&gt;"")*($AS$11:$AS1889="✓")),"")</f>
        <v/>
      </c>
      <c r="BA1889" s="21" t="str">
        <f>IF($AL1889="","",$AL1889&amp;"|"&amp;COUNTIF($AL$11:$AL1889,$AL1889))</f>
        <v/>
      </c>
    </row>
    <row r="1890" spans="38:53" ht="15" customHeight="1" x14ac:dyDescent="0.25">
      <c r="AL1890" s="31"/>
      <c r="AM1890" s="26"/>
      <c r="AN1890" s="32"/>
      <c r="AO1890" s="32"/>
      <c r="AP1890" s="24"/>
      <c r="AQ1890" s="24"/>
      <c r="AR1890" s="33"/>
      <c r="AS1890" s="34"/>
      <c r="AT1890" s="33"/>
      <c r="AV1890" s="21">
        <f>IF(AND($AL1890&lt;&gt;"",COUNTIF($AL$11:$AL1890,$AL1890)=1),1,0)</f>
        <v>0</v>
      </c>
      <c r="AW1890" s="21">
        <f t="shared" si="145"/>
        <v>2</v>
      </c>
      <c r="AX1890" s="21" t="str">
        <f t="shared" si="144"/>
        <v/>
      </c>
      <c r="AY1890" s="21" t="str">
        <f>IF(AND($AM1890&lt;&gt;"",$AS1890&lt;&gt;"✓"),SUMPRODUCT(($AM$11:$AM1890&lt;&gt;"")*($AS$11:$AS1890&lt;&gt;"✓")),"")</f>
        <v/>
      </c>
      <c r="AZ1890" s="21" t="str">
        <f>IF(AND($AM1890&lt;&gt;"",$AS1890="✓"),SUMPRODUCT(($AM$11:$AM1890&lt;&gt;"")*($AS$11:$AS1890="✓")),"")</f>
        <v/>
      </c>
      <c r="BA1890" s="21" t="str">
        <f>IF($AL1890="","",$AL1890&amp;"|"&amp;COUNTIF($AL$11:$AL1890,$AL1890))</f>
        <v/>
      </c>
    </row>
    <row r="1891" spans="38:53" ht="15" customHeight="1" x14ac:dyDescent="0.25">
      <c r="AL1891" s="17"/>
      <c r="AM1891" s="12"/>
      <c r="AN1891" s="18"/>
      <c r="AO1891" s="18"/>
      <c r="AP1891" s="10"/>
      <c r="AQ1891" s="10"/>
      <c r="AR1891" s="19"/>
      <c r="AS1891" s="20"/>
      <c r="AT1891" s="19"/>
      <c r="AV1891" s="21">
        <f>IF(AND($AL1891&lt;&gt;"",COUNTIF($AL$11:$AL1891,$AL1891)=1),1,0)</f>
        <v>0</v>
      </c>
      <c r="AW1891" s="21">
        <f t="shared" si="145"/>
        <v>2</v>
      </c>
      <c r="AX1891" s="21" t="str">
        <f t="shared" si="144"/>
        <v/>
      </c>
      <c r="AY1891" s="21" t="str">
        <f>IF(AND($AM1891&lt;&gt;"",$AS1891&lt;&gt;"✓"),SUMPRODUCT(($AM$11:$AM1891&lt;&gt;"")*($AS$11:$AS1891&lt;&gt;"✓")),"")</f>
        <v/>
      </c>
      <c r="AZ1891" s="21" t="str">
        <f>IF(AND($AM1891&lt;&gt;"",$AS1891="✓"),SUMPRODUCT(($AM$11:$AM1891&lt;&gt;"")*($AS$11:$AS1891="✓")),"")</f>
        <v/>
      </c>
      <c r="BA1891" s="21" t="str">
        <f>IF($AL1891="","",$AL1891&amp;"|"&amp;COUNTIF($AL$11:$AL1891,$AL1891))</f>
        <v/>
      </c>
    </row>
    <row r="1892" spans="38:53" ht="15" customHeight="1" x14ac:dyDescent="0.25">
      <c r="AL1892" s="31"/>
      <c r="AM1892" s="26"/>
      <c r="AN1892" s="32"/>
      <c r="AO1892" s="32"/>
      <c r="AP1892" s="24"/>
      <c r="AQ1892" s="24"/>
      <c r="AR1892" s="33"/>
      <c r="AS1892" s="34"/>
      <c r="AT1892" s="33"/>
      <c r="AV1892" s="21">
        <f>IF(AND($AL1892&lt;&gt;"",COUNTIF($AL$11:$AL1892,$AL1892)=1),1,0)</f>
        <v>0</v>
      </c>
      <c r="AW1892" s="21">
        <f t="shared" si="145"/>
        <v>2</v>
      </c>
      <c r="AX1892" s="21" t="str">
        <f t="shared" si="144"/>
        <v/>
      </c>
      <c r="AY1892" s="21" t="str">
        <f>IF(AND($AM1892&lt;&gt;"",$AS1892&lt;&gt;"✓"),SUMPRODUCT(($AM$11:$AM1892&lt;&gt;"")*($AS$11:$AS1892&lt;&gt;"✓")),"")</f>
        <v/>
      </c>
      <c r="AZ1892" s="21" t="str">
        <f>IF(AND($AM1892&lt;&gt;"",$AS1892="✓"),SUMPRODUCT(($AM$11:$AM1892&lt;&gt;"")*($AS$11:$AS1892="✓")),"")</f>
        <v/>
      </c>
      <c r="BA1892" s="21" t="str">
        <f>IF($AL1892="","",$AL1892&amp;"|"&amp;COUNTIF($AL$11:$AL1892,$AL1892))</f>
        <v/>
      </c>
    </row>
    <row r="1893" spans="38:53" ht="15" customHeight="1" x14ac:dyDescent="0.25">
      <c r="AL1893" s="17"/>
      <c r="AM1893" s="12"/>
      <c r="AN1893" s="18"/>
      <c r="AO1893" s="18"/>
      <c r="AP1893" s="10"/>
      <c r="AQ1893" s="10"/>
      <c r="AR1893" s="19"/>
      <c r="AS1893" s="20"/>
      <c r="AT1893" s="19"/>
      <c r="AV1893" s="21">
        <f>IF(AND($AL1893&lt;&gt;"",COUNTIF($AL$11:$AL1893,$AL1893)=1),1,0)</f>
        <v>0</v>
      </c>
      <c r="AW1893" s="21">
        <f t="shared" si="145"/>
        <v>2</v>
      </c>
      <c r="AX1893" s="21" t="str">
        <f t="shared" si="144"/>
        <v/>
      </c>
      <c r="AY1893" s="21" t="str">
        <f>IF(AND($AM1893&lt;&gt;"",$AS1893&lt;&gt;"✓"),SUMPRODUCT(($AM$11:$AM1893&lt;&gt;"")*($AS$11:$AS1893&lt;&gt;"✓")),"")</f>
        <v/>
      </c>
      <c r="AZ1893" s="21" t="str">
        <f>IF(AND($AM1893&lt;&gt;"",$AS1893="✓"),SUMPRODUCT(($AM$11:$AM1893&lt;&gt;"")*($AS$11:$AS1893="✓")),"")</f>
        <v/>
      </c>
      <c r="BA1893" s="21" t="str">
        <f>IF($AL1893="","",$AL1893&amp;"|"&amp;COUNTIF($AL$11:$AL1893,$AL1893))</f>
        <v/>
      </c>
    </row>
    <row r="1894" spans="38:53" ht="15" customHeight="1" x14ac:dyDescent="0.25">
      <c r="AL1894" s="31"/>
      <c r="AM1894" s="26"/>
      <c r="AN1894" s="32"/>
      <c r="AO1894" s="32"/>
      <c r="AP1894" s="24"/>
      <c r="AQ1894" s="24"/>
      <c r="AR1894" s="33"/>
      <c r="AS1894" s="34"/>
      <c r="AT1894" s="33"/>
      <c r="AV1894" s="21">
        <f>IF(AND($AL1894&lt;&gt;"",COUNTIF($AL$11:$AL1894,$AL1894)=1),1,0)</f>
        <v>0</v>
      </c>
      <c r="AW1894" s="21">
        <f t="shared" si="145"/>
        <v>2</v>
      </c>
      <c r="AX1894" s="21" t="str">
        <f t="shared" si="144"/>
        <v/>
      </c>
      <c r="AY1894" s="21" t="str">
        <f>IF(AND($AM1894&lt;&gt;"",$AS1894&lt;&gt;"✓"),SUMPRODUCT(($AM$11:$AM1894&lt;&gt;"")*($AS$11:$AS1894&lt;&gt;"✓")),"")</f>
        <v/>
      </c>
      <c r="AZ1894" s="21" t="str">
        <f>IF(AND($AM1894&lt;&gt;"",$AS1894="✓"),SUMPRODUCT(($AM$11:$AM1894&lt;&gt;"")*($AS$11:$AS1894="✓")),"")</f>
        <v/>
      </c>
      <c r="BA1894" s="21" t="str">
        <f>IF($AL1894="","",$AL1894&amp;"|"&amp;COUNTIF($AL$11:$AL1894,$AL1894))</f>
        <v/>
      </c>
    </row>
    <row r="1895" spans="38:53" ht="15" customHeight="1" x14ac:dyDescent="0.25">
      <c r="AL1895" s="17"/>
      <c r="AM1895" s="12"/>
      <c r="AN1895" s="18"/>
      <c r="AO1895" s="18"/>
      <c r="AP1895" s="10"/>
      <c r="AQ1895" s="10"/>
      <c r="AR1895" s="19"/>
      <c r="AS1895" s="20"/>
      <c r="AT1895" s="19"/>
      <c r="AV1895" s="21">
        <f>IF(AND($AL1895&lt;&gt;"",COUNTIF($AL$11:$AL1895,$AL1895)=1),1,0)</f>
        <v>0</v>
      </c>
      <c r="AW1895" s="21">
        <f t="shared" si="145"/>
        <v>2</v>
      </c>
      <c r="AX1895" s="21" t="str">
        <f t="shared" si="144"/>
        <v/>
      </c>
      <c r="AY1895" s="21" t="str">
        <f>IF(AND($AM1895&lt;&gt;"",$AS1895&lt;&gt;"✓"),SUMPRODUCT(($AM$11:$AM1895&lt;&gt;"")*($AS$11:$AS1895&lt;&gt;"✓")),"")</f>
        <v/>
      </c>
      <c r="AZ1895" s="21" t="str">
        <f>IF(AND($AM1895&lt;&gt;"",$AS1895="✓"),SUMPRODUCT(($AM$11:$AM1895&lt;&gt;"")*($AS$11:$AS1895="✓")),"")</f>
        <v/>
      </c>
      <c r="BA1895" s="21" t="str">
        <f>IF($AL1895="","",$AL1895&amp;"|"&amp;COUNTIF($AL$11:$AL1895,$AL1895))</f>
        <v/>
      </c>
    </row>
    <row r="1896" spans="38:53" ht="15" customHeight="1" x14ac:dyDescent="0.25">
      <c r="AL1896" s="31"/>
      <c r="AM1896" s="26"/>
      <c r="AN1896" s="32"/>
      <c r="AO1896" s="32"/>
      <c r="AP1896" s="24"/>
      <c r="AQ1896" s="24"/>
      <c r="AR1896" s="33"/>
      <c r="AS1896" s="34"/>
      <c r="AT1896" s="33"/>
      <c r="AV1896" s="21">
        <f>IF(AND($AL1896&lt;&gt;"",COUNTIF($AL$11:$AL1896,$AL1896)=1),1,0)</f>
        <v>0</v>
      </c>
      <c r="AW1896" s="21">
        <f t="shared" si="145"/>
        <v>2</v>
      </c>
      <c r="AX1896" s="21" t="str">
        <f t="shared" si="144"/>
        <v/>
      </c>
      <c r="AY1896" s="21" t="str">
        <f>IF(AND($AM1896&lt;&gt;"",$AS1896&lt;&gt;"✓"),SUMPRODUCT(($AM$11:$AM1896&lt;&gt;"")*($AS$11:$AS1896&lt;&gt;"✓")),"")</f>
        <v/>
      </c>
      <c r="AZ1896" s="21" t="str">
        <f>IF(AND($AM1896&lt;&gt;"",$AS1896="✓"),SUMPRODUCT(($AM$11:$AM1896&lt;&gt;"")*($AS$11:$AS1896="✓")),"")</f>
        <v/>
      </c>
      <c r="BA1896" s="21" t="str">
        <f>IF($AL1896="","",$AL1896&amp;"|"&amp;COUNTIF($AL$11:$AL1896,$AL1896))</f>
        <v/>
      </c>
    </row>
    <row r="1897" spans="38:53" ht="15" customHeight="1" x14ac:dyDescent="0.25">
      <c r="AL1897" s="17"/>
      <c r="AM1897" s="12"/>
      <c r="AN1897" s="18"/>
      <c r="AO1897" s="18"/>
      <c r="AP1897" s="10"/>
      <c r="AQ1897" s="10"/>
      <c r="AR1897" s="19"/>
      <c r="AS1897" s="20"/>
      <c r="AT1897" s="19"/>
      <c r="AV1897" s="21">
        <f>IF(AND($AL1897&lt;&gt;"",COUNTIF($AL$11:$AL1897,$AL1897)=1),1,0)</f>
        <v>0</v>
      </c>
      <c r="AW1897" s="21">
        <f t="shared" si="145"/>
        <v>2</v>
      </c>
      <c r="AX1897" s="21" t="str">
        <f t="shared" si="144"/>
        <v/>
      </c>
      <c r="AY1897" s="21" t="str">
        <f>IF(AND($AM1897&lt;&gt;"",$AS1897&lt;&gt;"✓"),SUMPRODUCT(($AM$11:$AM1897&lt;&gt;"")*($AS$11:$AS1897&lt;&gt;"✓")),"")</f>
        <v/>
      </c>
      <c r="AZ1897" s="21" t="str">
        <f>IF(AND($AM1897&lt;&gt;"",$AS1897="✓"),SUMPRODUCT(($AM$11:$AM1897&lt;&gt;"")*($AS$11:$AS1897="✓")),"")</f>
        <v/>
      </c>
      <c r="BA1897" s="21" t="str">
        <f>IF($AL1897="","",$AL1897&amp;"|"&amp;COUNTIF($AL$11:$AL1897,$AL1897))</f>
        <v/>
      </c>
    </row>
    <row r="1898" spans="38:53" ht="15" customHeight="1" x14ac:dyDescent="0.25">
      <c r="AL1898" s="31"/>
      <c r="AM1898" s="26"/>
      <c r="AN1898" s="32"/>
      <c r="AO1898" s="32"/>
      <c r="AP1898" s="24"/>
      <c r="AQ1898" s="24"/>
      <c r="AR1898" s="33"/>
      <c r="AS1898" s="34"/>
      <c r="AT1898" s="33"/>
      <c r="AV1898" s="21">
        <f>IF(AND($AL1898&lt;&gt;"",COUNTIF($AL$11:$AL1898,$AL1898)=1),1,0)</f>
        <v>0</v>
      </c>
      <c r="AW1898" s="21">
        <f t="shared" si="145"/>
        <v>2</v>
      </c>
      <c r="AX1898" s="21" t="str">
        <f t="shared" si="144"/>
        <v/>
      </c>
      <c r="AY1898" s="21" t="str">
        <f>IF(AND($AM1898&lt;&gt;"",$AS1898&lt;&gt;"✓"),SUMPRODUCT(($AM$11:$AM1898&lt;&gt;"")*($AS$11:$AS1898&lt;&gt;"✓")),"")</f>
        <v/>
      </c>
      <c r="AZ1898" s="21" t="str">
        <f>IF(AND($AM1898&lt;&gt;"",$AS1898="✓"),SUMPRODUCT(($AM$11:$AM1898&lt;&gt;"")*($AS$11:$AS1898="✓")),"")</f>
        <v/>
      </c>
      <c r="BA1898" s="21" t="str">
        <f>IF($AL1898="","",$AL1898&amp;"|"&amp;COUNTIF($AL$11:$AL1898,$AL1898))</f>
        <v/>
      </c>
    </row>
    <row r="1899" spans="38:53" ht="15" customHeight="1" x14ac:dyDescent="0.25">
      <c r="AL1899" s="17"/>
      <c r="AM1899" s="12"/>
      <c r="AN1899" s="18"/>
      <c r="AO1899" s="18"/>
      <c r="AP1899" s="10"/>
      <c r="AQ1899" s="10"/>
      <c r="AR1899" s="19"/>
      <c r="AS1899" s="20"/>
      <c r="AT1899" s="19"/>
      <c r="AV1899" s="21">
        <f>IF(AND($AL1899&lt;&gt;"",COUNTIF($AL$11:$AL1899,$AL1899)=1),1,0)</f>
        <v>0</v>
      </c>
      <c r="AW1899" s="21">
        <f t="shared" si="145"/>
        <v>2</v>
      </c>
      <c r="AX1899" s="21" t="str">
        <f t="shared" si="144"/>
        <v/>
      </c>
      <c r="AY1899" s="21" t="str">
        <f>IF(AND($AM1899&lt;&gt;"",$AS1899&lt;&gt;"✓"),SUMPRODUCT(($AM$11:$AM1899&lt;&gt;"")*($AS$11:$AS1899&lt;&gt;"✓")),"")</f>
        <v/>
      </c>
      <c r="AZ1899" s="21" t="str">
        <f>IF(AND($AM1899&lt;&gt;"",$AS1899="✓"),SUMPRODUCT(($AM$11:$AM1899&lt;&gt;"")*($AS$11:$AS1899="✓")),"")</f>
        <v/>
      </c>
      <c r="BA1899" s="21" t="str">
        <f>IF($AL1899="","",$AL1899&amp;"|"&amp;COUNTIF($AL$11:$AL1899,$AL1899))</f>
        <v/>
      </c>
    </row>
    <row r="1900" spans="38:53" ht="15" customHeight="1" x14ac:dyDescent="0.25">
      <c r="AL1900" s="31"/>
      <c r="AM1900" s="26"/>
      <c r="AN1900" s="32"/>
      <c r="AO1900" s="32"/>
      <c r="AP1900" s="24"/>
      <c r="AQ1900" s="24"/>
      <c r="AR1900" s="33"/>
      <c r="AS1900" s="34"/>
      <c r="AT1900" s="33"/>
      <c r="AV1900" s="21">
        <f>IF(AND($AL1900&lt;&gt;"",COUNTIF($AL$11:$AL1900,$AL1900)=1),1,0)</f>
        <v>0</v>
      </c>
      <c r="AW1900" s="21">
        <f t="shared" si="145"/>
        <v>2</v>
      </c>
      <c r="AX1900" s="21" t="str">
        <f t="shared" si="144"/>
        <v/>
      </c>
      <c r="AY1900" s="21" t="str">
        <f>IF(AND($AM1900&lt;&gt;"",$AS1900&lt;&gt;"✓"),SUMPRODUCT(($AM$11:$AM1900&lt;&gt;"")*($AS$11:$AS1900&lt;&gt;"✓")),"")</f>
        <v/>
      </c>
      <c r="AZ1900" s="21" t="str">
        <f>IF(AND($AM1900&lt;&gt;"",$AS1900="✓"),SUMPRODUCT(($AM$11:$AM1900&lt;&gt;"")*($AS$11:$AS1900="✓")),"")</f>
        <v/>
      </c>
      <c r="BA1900" s="21" t="str">
        <f>IF($AL1900="","",$AL1900&amp;"|"&amp;COUNTIF($AL$11:$AL1900,$AL1900))</f>
        <v/>
      </c>
    </row>
    <row r="1901" spans="38:53" ht="15" customHeight="1" x14ac:dyDescent="0.25">
      <c r="AL1901" s="17"/>
      <c r="AM1901" s="12"/>
      <c r="AN1901" s="18"/>
      <c r="AO1901" s="18"/>
      <c r="AP1901" s="10"/>
      <c r="AQ1901" s="10"/>
      <c r="AR1901" s="19"/>
      <c r="AS1901" s="20"/>
      <c r="AT1901" s="19"/>
      <c r="AV1901" s="21">
        <f>IF(AND($AL1901&lt;&gt;"",COUNTIF($AL$11:$AL1901,$AL1901)=1),1,0)</f>
        <v>0</v>
      </c>
      <c r="AW1901" s="21">
        <f t="shared" si="145"/>
        <v>2</v>
      </c>
      <c r="AX1901" s="21" t="str">
        <f t="shared" si="144"/>
        <v/>
      </c>
      <c r="AY1901" s="21" t="str">
        <f>IF(AND($AM1901&lt;&gt;"",$AS1901&lt;&gt;"✓"),SUMPRODUCT(($AM$11:$AM1901&lt;&gt;"")*($AS$11:$AS1901&lt;&gt;"✓")),"")</f>
        <v/>
      </c>
      <c r="AZ1901" s="21" t="str">
        <f>IF(AND($AM1901&lt;&gt;"",$AS1901="✓"),SUMPRODUCT(($AM$11:$AM1901&lt;&gt;"")*($AS$11:$AS1901="✓")),"")</f>
        <v/>
      </c>
      <c r="BA1901" s="21" t="str">
        <f>IF($AL1901="","",$AL1901&amp;"|"&amp;COUNTIF($AL$11:$AL1901,$AL1901))</f>
        <v/>
      </c>
    </row>
    <row r="1902" spans="38:53" ht="15" customHeight="1" x14ac:dyDescent="0.25">
      <c r="AL1902" s="31"/>
      <c r="AM1902" s="26"/>
      <c r="AN1902" s="32"/>
      <c r="AO1902" s="32"/>
      <c r="AP1902" s="24"/>
      <c r="AQ1902" s="24"/>
      <c r="AR1902" s="33"/>
      <c r="AS1902" s="34"/>
      <c r="AT1902" s="33"/>
      <c r="AV1902" s="21">
        <f>IF(AND($AL1902&lt;&gt;"",COUNTIF($AL$11:$AL1902,$AL1902)=1),1,0)</f>
        <v>0</v>
      </c>
      <c r="AW1902" s="21">
        <f t="shared" si="145"/>
        <v>2</v>
      </c>
      <c r="AX1902" s="21" t="str">
        <f t="shared" si="144"/>
        <v/>
      </c>
      <c r="AY1902" s="21" t="str">
        <f>IF(AND($AM1902&lt;&gt;"",$AS1902&lt;&gt;"✓"),SUMPRODUCT(($AM$11:$AM1902&lt;&gt;"")*($AS$11:$AS1902&lt;&gt;"✓")),"")</f>
        <v/>
      </c>
      <c r="AZ1902" s="21" t="str">
        <f>IF(AND($AM1902&lt;&gt;"",$AS1902="✓"),SUMPRODUCT(($AM$11:$AM1902&lt;&gt;"")*($AS$11:$AS1902="✓")),"")</f>
        <v/>
      </c>
      <c r="BA1902" s="21" t="str">
        <f>IF($AL1902="","",$AL1902&amp;"|"&amp;COUNTIF($AL$11:$AL1902,$AL1902))</f>
        <v/>
      </c>
    </row>
    <row r="1903" spans="38:53" ht="15" customHeight="1" x14ac:dyDescent="0.25">
      <c r="AL1903" s="17"/>
      <c r="AM1903" s="12"/>
      <c r="AN1903" s="18"/>
      <c r="AO1903" s="18"/>
      <c r="AP1903" s="10"/>
      <c r="AQ1903" s="10"/>
      <c r="AR1903" s="19"/>
      <c r="AS1903" s="20"/>
      <c r="AT1903" s="19"/>
      <c r="AV1903" s="21">
        <f>IF(AND($AL1903&lt;&gt;"",COUNTIF($AL$11:$AL1903,$AL1903)=1),1,0)</f>
        <v>0</v>
      </c>
      <c r="AW1903" s="21">
        <f t="shared" si="145"/>
        <v>2</v>
      </c>
      <c r="AX1903" s="21" t="str">
        <f t="shared" si="144"/>
        <v/>
      </c>
      <c r="AY1903" s="21" t="str">
        <f>IF(AND($AM1903&lt;&gt;"",$AS1903&lt;&gt;"✓"),SUMPRODUCT(($AM$11:$AM1903&lt;&gt;"")*($AS$11:$AS1903&lt;&gt;"✓")),"")</f>
        <v/>
      </c>
      <c r="AZ1903" s="21" t="str">
        <f>IF(AND($AM1903&lt;&gt;"",$AS1903="✓"),SUMPRODUCT(($AM$11:$AM1903&lt;&gt;"")*($AS$11:$AS1903="✓")),"")</f>
        <v/>
      </c>
      <c r="BA1903" s="21" t="str">
        <f>IF($AL1903="","",$AL1903&amp;"|"&amp;COUNTIF($AL$11:$AL1903,$AL1903))</f>
        <v/>
      </c>
    </row>
    <row r="1904" spans="38:53" ht="15" customHeight="1" x14ac:dyDescent="0.25">
      <c r="AL1904" s="31"/>
      <c r="AM1904" s="26"/>
      <c r="AN1904" s="32"/>
      <c r="AO1904" s="32"/>
      <c r="AP1904" s="24"/>
      <c r="AQ1904" s="24"/>
      <c r="AR1904" s="33"/>
      <c r="AS1904" s="34"/>
      <c r="AT1904" s="33"/>
      <c r="AV1904" s="21">
        <f>IF(AND($AL1904&lt;&gt;"",COUNTIF($AL$11:$AL1904,$AL1904)=1),1,0)</f>
        <v>0</v>
      </c>
      <c r="AW1904" s="21">
        <f t="shared" si="145"/>
        <v>2</v>
      </c>
      <c r="AX1904" s="21" t="str">
        <f t="shared" si="144"/>
        <v/>
      </c>
      <c r="AY1904" s="21" t="str">
        <f>IF(AND($AM1904&lt;&gt;"",$AS1904&lt;&gt;"✓"),SUMPRODUCT(($AM$11:$AM1904&lt;&gt;"")*($AS$11:$AS1904&lt;&gt;"✓")),"")</f>
        <v/>
      </c>
      <c r="AZ1904" s="21" t="str">
        <f>IF(AND($AM1904&lt;&gt;"",$AS1904="✓"),SUMPRODUCT(($AM$11:$AM1904&lt;&gt;"")*($AS$11:$AS1904="✓")),"")</f>
        <v/>
      </c>
      <c r="BA1904" s="21" t="str">
        <f>IF($AL1904="","",$AL1904&amp;"|"&amp;COUNTIF($AL$11:$AL1904,$AL1904))</f>
        <v/>
      </c>
    </row>
    <row r="1905" spans="38:53" ht="15" customHeight="1" x14ac:dyDescent="0.25">
      <c r="AL1905" s="17"/>
      <c r="AM1905" s="12"/>
      <c r="AN1905" s="18"/>
      <c r="AO1905" s="18"/>
      <c r="AP1905" s="10"/>
      <c r="AQ1905" s="10"/>
      <c r="AR1905" s="19"/>
      <c r="AS1905" s="20"/>
      <c r="AT1905" s="19"/>
      <c r="AV1905" s="21">
        <f>IF(AND($AL1905&lt;&gt;"",COUNTIF($AL$11:$AL1905,$AL1905)=1),1,0)</f>
        <v>0</v>
      </c>
      <c r="AW1905" s="21">
        <f t="shared" si="145"/>
        <v>2</v>
      </c>
      <c r="AX1905" s="21" t="str">
        <f t="shared" si="144"/>
        <v/>
      </c>
      <c r="AY1905" s="21" t="str">
        <f>IF(AND($AM1905&lt;&gt;"",$AS1905&lt;&gt;"✓"),SUMPRODUCT(($AM$11:$AM1905&lt;&gt;"")*($AS$11:$AS1905&lt;&gt;"✓")),"")</f>
        <v/>
      </c>
      <c r="AZ1905" s="21" t="str">
        <f>IF(AND($AM1905&lt;&gt;"",$AS1905="✓"),SUMPRODUCT(($AM$11:$AM1905&lt;&gt;"")*($AS$11:$AS1905="✓")),"")</f>
        <v/>
      </c>
      <c r="BA1905" s="21" t="str">
        <f>IF($AL1905="","",$AL1905&amp;"|"&amp;COUNTIF($AL$11:$AL1905,$AL1905))</f>
        <v/>
      </c>
    </row>
    <row r="1906" spans="38:53" ht="15" customHeight="1" x14ac:dyDescent="0.25">
      <c r="AL1906" s="31"/>
      <c r="AM1906" s="26"/>
      <c r="AN1906" s="32"/>
      <c r="AO1906" s="32"/>
      <c r="AP1906" s="24"/>
      <c r="AQ1906" s="24"/>
      <c r="AR1906" s="33"/>
      <c r="AS1906" s="34"/>
      <c r="AT1906" s="33"/>
      <c r="AV1906" s="21">
        <f>IF(AND($AL1906&lt;&gt;"",COUNTIF($AL$11:$AL1906,$AL1906)=1),1,0)</f>
        <v>0</v>
      </c>
      <c r="AW1906" s="21">
        <f t="shared" si="145"/>
        <v>2</v>
      </c>
      <c r="AX1906" s="21" t="str">
        <f t="shared" si="144"/>
        <v/>
      </c>
      <c r="AY1906" s="21" t="str">
        <f>IF(AND($AM1906&lt;&gt;"",$AS1906&lt;&gt;"✓"),SUMPRODUCT(($AM$11:$AM1906&lt;&gt;"")*($AS$11:$AS1906&lt;&gt;"✓")),"")</f>
        <v/>
      </c>
      <c r="AZ1906" s="21" t="str">
        <f>IF(AND($AM1906&lt;&gt;"",$AS1906="✓"),SUMPRODUCT(($AM$11:$AM1906&lt;&gt;"")*($AS$11:$AS1906="✓")),"")</f>
        <v/>
      </c>
      <c r="BA1906" s="21" t="str">
        <f>IF($AL1906="","",$AL1906&amp;"|"&amp;COUNTIF($AL$11:$AL1906,$AL1906))</f>
        <v/>
      </c>
    </row>
    <row r="1907" spans="38:53" ht="15" customHeight="1" x14ac:dyDescent="0.25">
      <c r="AL1907" s="17"/>
      <c r="AM1907" s="12"/>
      <c r="AN1907" s="18"/>
      <c r="AO1907" s="18"/>
      <c r="AP1907" s="10"/>
      <c r="AQ1907" s="10"/>
      <c r="AR1907" s="19"/>
      <c r="AS1907" s="20"/>
      <c r="AT1907" s="19"/>
      <c r="AV1907" s="21">
        <f>IF(AND($AL1907&lt;&gt;"",COUNTIF($AL$11:$AL1907,$AL1907)=1),1,0)</f>
        <v>0</v>
      </c>
      <c r="AW1907" s="21">
        <f t="shared" si="145"/>
        <v>2</v>
      </c>
      <c r="AX1907" s="21" t="str">
        <f t="shared" si="144"/>
        <v/>
      </c>
      <c r="AY1907" s="21" t="str">
        <f>IF(AND($AM1907&lt;&gt;"",$AS1907&lt;&gt;"✓"),SUMPRODUCT(($AM$11:$AM1907&lt;&gt;"")*($AS$11:$AS1907&lt;&gt;"✓")),"")</f>
        <v/>
      </c>
      <c r="AZ1907" s="21" t="str">
        <f>IF(AND($AM1907&lt;&gt;"",$AS1907="✓"),SUMPRODUCT(($AM$11:$AM1907&lt;&gt;"")*($AS$11:$AS1907="✓")),"")</f>
        <v/>
      </c>
      <c r="BA1907" s="21" t="str">
        <f>IF($AL1907="","",$AL1907&amp;"|"&amp;COUNTIF($AL$11:$AL1907,$AL1907))</f>
        <v/>
      </c>
    </row>
    <row r="1908" spans="38:53" ht="15" customHeight="1" x14ac:dyDescent="0.25">
      <c r="AL1908" s="31"/>
      <c r="AM1908" s="26"/>
      <c r="AN1908" s="32"/>
      <c r="AO1908" s="32"/>
      <c r="AP1908" s="24"/>
      <c r="AQ1908" s="24"/>
      <c r="AR1908" s="33"/>
      <c r="AS1908" s="34"/>
      <c r="AT1908" s="33"/>
      <c r="AV1908" s="21">
        <f>IF(AND($AL1908&lt;&gt;"",COUNTIF($AL$11:$AL1908,$AL1908)=1),1,0)</f>
        <v>0</v>
      </c>
      <c r="AW1908" s="21">
        <f t="shared" si="145"/>
        <v>2</v>
      </c>
      <c r="AX1908" s="21" t="str">
        <f t="shared" si="144"/>
        <v/>
      </c>
      <c r="AY1908" s="21" t="str">
        <f>IF(AND($AM1908&lt;&gt;"",$AS1908&lt;&gt;"✓"),SUMPRODUCT(($AM$11:$AM1908&lt;&gt;"")*($AS$11:$AS1908&lt;&gt;"✓")),"")</f>
        <v/>
      </c>
      <c r="AZ1908" s="21" t="str">
        <f>IF(AND($AM1908&lt;&gt;"",$AS1908="✓"),SUMPRODUCT(($AM$11:$AM1908&lt;&gt;"")*($AS$11:$AS1908="✓")),"")</f>
        <v/>
      </c>
      <c r="BA1908" s="21" t="str">
        <f>IF($AL1908="","",$AL1908&amp;"|"&amp;COUNTIF($AL$11:$AL1908,$AL1908))</f>
        <v/>
      </c>
    </row>
    <row r="1909" spans="38:53" ht="15" customHeight="1" x14ac:dyDescent="0.25">
      <c r="AL1909" s="17"/>
      <c r="AM1909" s="12"/>
      <c r="AN1909" s="18"/>
      <c r="AO1909" s="18"/>
      <c r="AP1909" s="10"/>
      <c r="AQ1909" s="10"/>
      <c r="AR1909" s="19"/>
      <c r="AS1909" s="20"/>
      <c r="AT1909" s="19"/>
      <c r="AV1909" s="21">
        <f>IF(AND($AL1909&lt;&gt;"",COUNTIF($AL$11:$AL1909,$AL1909)=1),1,0)</f>
        <v>0</v>
      </c>
      <c r="AW1909" s="21">
        <f t="shared" si="145"/>
        <v>2</v>
      </c>
      <c r="AX1909" s="21" t="str">
        <f t="shared" si="144"/>
        <v/>
      </c>
      <c r="AY1909" s="21" t="str">
        <f>IF(AND($AM1909&lt;&gt;"",$AS1909&lt;&gt;"✓"),SUMPRODUCT(($AM$11:$AM1909&lt;&gt;"")*($AS$11:$AS1909&lt;&gt;"✓")),"")</f>
        <v/>
      </c>
      <c r="AZ1909" s="21" t="str">
        <f>IF(AND($AM1909&lt;&gt;"",$AS1909="✓"),SUMPRODUCT(($AM$11:$AM1909&lt;&gt;"")*($AS$11:$AS1909="✓")),"")</f>
        <v/>
      </c>
      <c r="BA1909" s="21" t="str">
        <f>IF($AL1909="","",$AL1909&amp;"|"&amp;COUNTIF($AL$11:$AL1909,$AL1909))</f>
        <v/>
      </c>
    </row>
    <row r="1910" spans="38:53" ht="15" customHeight="1" x14ac:dyDescent="0.25">
      <c r="AL1910" s="31"/>
      <c r="AM1910" s="26"/>
      <c r="AN1910" s="32"/>
      <c r="AO1910" s="32"/>
      <c r="AP1910" s="24"/>
      <c r="AQ1910" s="24"/>
      <c r="AR1910" s="33"/>
      <c r="AS1910" s="34"/>
      <c r="AT1910" s="33"/>
      <c r="AV1910" s="21">
        <f>IF(AND($AL1910&lt;&gt;"",COUNTIF($AL$11:$AL1910,$AL1910)=1),1,0)</f>
        <v>0</v>
      </c>
      <c r="AW1910" s="21">
        <f t="shared" si="145"/>
        <v>2</v>
      </c>
      <c r="AX1910" s="21" t="str">
        <f t="shared" si="144"/>
        <v/>
      </c>
      <c r="AY1910" s="21" t="str">
        <f>IF(AND($AM1910&lt;&gt;"",$AS1910&lt;&gt;"✓"),SUMPRODUCT(($AM$11:$AM1910&lt;&gt;"")*($AS$11:$AS1910&lt;&gt;"✓")),"")</f>
        <v/>
      </c>
      <c r="AZ1910" s="21" t="str">
        <f>IF(AND($AM1910&lt;&gt;"",$AS1910="✓"),SUMPRODUCT(($AM$11:$AM1910&lt;&gt;"")*($AS$11:$AS1910="✓")),"")</f>
        <v/>
      </c>
      <c r="BA1910" s="21" t="str">
        <f>IF($AL1910="","",$AL1910&amp;"|"&amp;COUNTIF($AL$11:$AL1910,$AL1910))</f>
        <v/>
      </c>
    </row>
    <row r="1911" spans="38:53" ht="15" customHeight="1" x14ac:dyDescent="0.25">
      <c r="AL1911" s="17"/>
      <c r="AM1911" s="12"/>
      <c r="AN1911" s="18"/>
      <c r="AO1911" s="18"/>
      <c r="AP1911" s="10"/>
      <c r="AQ1911" s="10"/>
      <c r="AR1911" s="19"/>
      <c r="AS1911" s="20"/>
      <c r="AT1911" s="19"/>
      <c r="AV1911" s="21">
        <f>IF(AND($AL1911&lt;&gt;"",COUNTIF($AL$11:$AL1911,$AL1911)=1),1,0)</f>
        <v>0</v>
      </c>
      <c r="AW1911" s="21">
        <f t="shared" si="145"/>
        <v>2</v>
      </c>
      <c r="AX1911" s="21" t="str">
        <f t="shared" si="144"/>
        <v/>
      </c>
      <c r="AY1911" s="21" t="str">
        <f>IF(AND($AM1911&lt;&gt;"",$AS1911&lt;&gt;"✓"),SUMPRODUCT(($AM$11:$AM1911&lt;&gt;"")*($AS$11:$AS1911&lt;&gt;"✓")),"")</f>
        <v/>
      </c>
      <c r="AZ1911" s="21" t="str">
        <f>IF(AND($AM1911&lt;&gt;"",$AS1911="✓"),SUMPRODUCT(($AM$11:$AM1911&lt;&gt;"")*($AS$11:$AS1911="✓")),"")</f>
        <v/>
      </c>
      <c r="BA1911" s="21" t="str">
        <f>IF($AL1911="","",$AL1911&amp;"|"&amp;COUNTIF($AL$11:$AL1911,$AL1911))</f>
        <v/>
      </c>
    </row>
    <row r="1912" spans="38:53" ht="15" customHeight="1" x14ac:dyDescent="0.25">
      <c r="AL1912" s="31"/>
      <c r="AM1912" s="26"/>
      <c r="AN1912" s="32"/>
      <c r="AO1912" s="32"/>
      <c r="AP1912" s="24"/>
      <c r="AQ1912" s="24"/>
      <c r="AR1912" s="33"/>
      <c r="AS1912" s="34"/>
      <c r="AT1912" s="33"/>
      <c r="AV1912" s="21">
        <f>IF(AND($AL1912&lt;&gt;"",COUNTIF($AL$11:$AL1912,$AL1912)=1),1,0)</f>
        <v>0</v>
      </c>
      <c r="AW1912" s="21">
        <f t="shared" si="145"/>
        <v>2</v>
      </c>
      <c r="AX1912" s="21" t="str">
        <f t="shared" si="144"/>
        <v/>
      </c>
      <c r="AY1912" s="21" t="str">
        <f>IF(AND($AM1912&lt;&gt;"",$AS1912&lt;&gt;"✓"),SUMPRODUCT(($AM$11:$AM1912&lt;&gt;"")*($AS$11:$AS1912&lt;&gt;"✓")),"")</f>
        <v/>
      </c>
      <c r="AZ1912" s="21" t="str">
        <f>IF(AND($AM1912&lt;&gt;"",$AS1912="✓"),SUMPRODUCT(($AM$11:$AM1912&lt;&gt;"")*($AS$11:$AS1912="✓")),"")</f>
        <v/>
      </c>
      <c r="BA1912" s="21" t="str">
        <f>IF($AL1912="","",$AL1912&amp;"|"&amp;COUNTIF($AL$11:$AL1912,$AL1912))</f>
        <v/>
      </c>
    </row>
    <row r="1913" spans="38:53" ht="15" customHeight="1" x14ac:dyDescent="0.25">
      <c r="AL1913" s="17"/>
      <c r="AM1913" s="12"/>
      <c r="AN1913" s="18"/>
      <c r="AO1913" s="18"/>
      <c r="AP1913" s="10"/>
      <c r="AQ1913" s="10"/>
      <c r="AR1913" s="19"/>
      <c r="AS1913" s="20"/>
      <c r="AT1913" s="19"/>
      <c r="AV1913" s="21">
        <f>IF(AND($AL1913&lt;&gt;"",COUNTIF($AL$11:$AL1913,$AL1913)=1),1,0)</f>
        <v>0</v>
      </c>
      <c r="AW1913" s="21">
        <f t="shared" si="145"/>
        <v>2</v>
      </c>
      <c r="AX1913" s="21" t="str">
        <f t="shared" si="144"/>
        <v/>
      </c>
      <c r="AY1913" s="21" t="str">
        <f>IF(AND($AM1913&lt;&gt;"",$AS1913&lt;&gt;"✓"),SUMPRODUCT(($AM$11:$AM1913&lt;&gt;"")*($AS$11:$AS1913&lt;&gt;"✓")),"")</f>
        <v/>
      </c>
      <c r="AZ1913" s="21" t="str">
        <f>IF(AND($AM1913&lt;&gt;"",$AS1913="✓"),SUMPRODUCT(($AM$11:$AM1913&lt;&gt;"")*($AS$11:$AS1913="✓")),"")</f>
        <v/>
      </c>
      <c r="BA1913" s="21" t="str">
        <f>IF($AL1913="","",$AL1913&amp;"|"&amp;COUNTIF($AL$11:$AL1913,$AL1913))</f>
        <v/>
      </c>
    </row>
    <row r="1914" spans="38:53" ht="15" customHeight="1" x14ac:dyDescent="0.25">
      <c r="AL1914" s="31"/>
      <c r="AM1914" s="26"/>
      <c r="AN1914" s="32"/>
      <c r="AO1914" s="32"/>
      <c r="AP1914" s="24"/>
      <c r="AQ1914" s="24"/>
      <c r="AR1914" s="33"/>
      <c r="AS1914" s="34"/>
      <c r="AT1914" s="33"/>
      <c r="AV1914" s="21">
        <f>IF(AND($AL1914&lt;&gt;"",COUNTIF($AL$11:$AL1914,$AL1914)=1),1,0)</f>
        <v>0</v>
      </c>
      <c r="AW1914" s="21">
        <f t="shared" si="145"/>
        <v>2</v>
      </c>
      <c r="AX1914" s="21" t="str">
        <f t="shared" si="144"/>
        <v/>
      </c>
      <c r="AY1914" s="21" t="str">
        <f>IF(AND($AM1914&lt;&gt;"",$AS1914&lt;&gt;"✓"),SUMPRODUCT(($AM$11:$AM1914&lt;&gt;"")*($AS$11:$AS1914&lt;&gt;"✓")),"")</f>
        <v/>
      </c>
      <c r="AZ1914" s="21" t="str">
        <f>IF(AND($AM1914&lt;&gt;"",$AS1914="✓"),SUMPRODUCT(($AM$11:$AM1914&lt;&gt;"")*($AS$11:$AS1914="✓")),"")</f>
        <v/>
      </c>
      <c r="BA1914" s="21" t="str">
        <f>IF($AL1914="","",$AL1914&amp;"|"&amp;COUNTIF($AL$11:$AL1914,$AL1914))</f>
        <v/>
      </c>
    </row>
    <row r="1915" spans="38:53" ht="15" customHeight="1" x14ac:dyDescent="0.25">
      <c r="AL1915" s="17"/>
      <c r="AM1915" s="12"/>
      <c r="AN1915" s="18"/>
      <c r="AO1915" s="18"/>
      <c r="AP1915" s="10"/>
      <c r="AQ1915" s="10"/>
      <c r="AR1915" s="19"/>
      <c r="AS1915" s="20"/>
      <c r="AT1915" s="19"/>
      <c r="AV1915" s="21">
        <f>IF(AND($AL1915&lt;&gt;"",COUNTIF($AL$11:$AL1915,$AL1915)=1),1,0)</f>
        <v>0</v>
      </c>
      <c r="AW1915" s="21">
        <f t="shared" si="145"/>
        <v>2</v>
      </c>
      <c r="AX1915" s="21" t="str">
        <f t="shared" si="144"/>
        <v/>
      </c>
      <c r="AY1915" s="21" t="str">
        <f>IF(AND($AM1915&lt;&gt;"",$AS1915&lt;&gt;"✓"),SUMPRODUCT(($AM$11:$AM1915&lt;&gt;"")*($AS$11:$AS1915&lt;&gt;"✓")),"")</f>
        <v/>
      </c>
      <c r="AZ1915" s="21" t="str">
        <f>IF(AND($AM1915&lt;&gt;"",$AS1915="✓"),SUMPRODUCT(($AM$11:$AM1915&lt;&gt;"")*($AS$11:$AS1915="✓")),"")</f>
        <v/>
      </c>
      <c r="BA1915" s="21" t="str">
        <f>IF($AL1915="","",$AL1915&amp;"|"&amp;COUNTIF($AL$11:$AL1915,$AL1915))</f>
        <v/>
      </c>
    </row>
    <row r="1916" spans="38:53" ht="15" customHeight="1" x14ac:dyDescent="0.25">
      <c r="AL1916" s="31"/>
      <c r="AM1916" s="26"/>
      <c r="AN1916" s="32"/>
      <c r="AO1916" s="32"/>
      <c r="AP1916" s="24"/>
      <c r="AQ1916" s="24"/>
      <c r="AR1916" s="33"/>
      <c r="AS1916" s="34"/>
      <c r="AT1916" s="33"/>
      <c r="AV1916" s="21">
        <f>IF(AND($AL1916&lt;&gt;"",COUNTIF($AL$11:$AL1916,$AL1916)=1),1,0)</f>
        <v>0</v>
      </c>
      <c r="AW1916" s="21">
        <f t="shared" si="145"/>
        <v>2</v>
      </c>
      <c r="AX1916" s="21" t="str">
        <f t="shared" si="144"/>
        <v/>
      </c>
      <c r="AY1916" s="21" t="str">
        <f>IF(AND($AM1916&lt;&gt;"",$AS1916&lt;&gt;"✓"),SUMPRODUCT(($AM$11:$AM1916&lt;&gt;"")*($AS$11:$AS1916&lt;&gt;"✓")),"")</f>
        <v/>
      </c>
      <c r="AZ1916" s="21" t="str">
        <f>IF(AND($AM1916&lt;&gt;"",$AS1916="✓"),SUMPRODUCT(($AM$11:$AM1916&lt;&gt;"")*($AS$11:$AS1916="✓")),"")</f>
        <v/>
      </c>
      <c r="BA1916" s="21" t="str">
        <f>IF($AL1916="","",$AL1916&amp;"|"&amp;COUNTIF($AL$11:$AL1916,$AL1916))</f>
        <v/>
      </c>
    </row>
    <row r="1917" spans="38:53" ht="15" customHeight="1" x14ac:dyDescent="0.25">
      <c r="AL1917" s="17"/>
      <c r="AM1917" s="12"/>
      <c r="AN1917" s="18"/>
      <c r="AO1917" s="18"/>
      <c r="AP1917" s="10"/>
      <c r="AQ1917" s="10"/>
      <c r="AR1917" s="19"/>
      <c r="AS1917" s="20"/>
      <c r="AT1917" s="19"/>
      <c r="AV1917" s="21">
        <f>IF(AND($AL1917&lt;&gt;"",COUNTIF($AL$11:$AL1917,$AL1917)=1),1,0)</f>
        <v>0</v>
      </c>
      <c r="AW1917" s="21">
        <f t="shared" si="145"/>
        <v>2</v>
      </c>
      <c r="AX1917" s="21" t="str">
        <f t="shared" si="144"/>
        <v/>
      </c>
      <c r="AY1917" s="21" t="str">
        <f>IF(AND($AM1917&lt;&gt;"",$AS1917&lt;&gt;"✓"),SUMPRODUCT(($AM$11:$AM1917&lt;&gt;"")*($AS$11:$AS1917&lt;&gt;"✓")),"")</f>
        <v/>
      </c>
      <c r="AZ1917" s="21" t="str">
        <f>IF(AND($AM1917&lt;&gt;"",$AS1917="✓"),SUMPRODUCT(($AM$11:$AM1917&lt;&gt;"")*($AS$11:$AS1917="✓")),"")</f>
        <v/>
      </c>
      <c r="BA1917" s="21" t="str">
        <f>IF($AL1917="","",$AL1917&amp;"|"&amp;COUNTIF($AL$11:$AL1917,$AL1917))</f>
        <v/>
      </c>
    </row>
    <row r="1918" spans="38:53" ht="15" customHeight="1" x14ac:dyDescent="0.25">
      <c r="AL1918" s="31"/>
      <c r="AM1918" s="26"/>
      <c r="AN1918" s="32"/>
      <c r="AO1918" s="32"/>
      <c r="AP1918" s="24"/>
      <c r="AQ1918" s="24"/>
      <c r="AR1918" s="33"/>
      <c r="AS1918" s="34"/>
      <c r="AT1918" s="33"/>
      <c r="AV1918" s="21">
        <f>IF(AND($AL1918&lt;&gt;"",COUNTIF($AL$11:$AL1918,$AL1918)=1),1,0)</f>
        <v>0</v>
      </c>
      <c r="AW1918" s="21">
        <f t="shared" si="145"/>
        <v>2</v>
      </c>
      <c r="AX1918" s="21" t="str">
        <f t="shared" si="144"/>
        <v/>
      </c>
      <c r="AY1918" s="21" t="str">
        <f>IF(AND($AM1918&lt;&gt;"",$AS1918&lt;&gt;"✓"),SUMPRODUCT(($AM$11:$AM1918&lt;&gt;"")*($AS$11:$AS1918&lt;&gt;"✓")),"")</f>
        <v/>
      </c>
      <c r="AZ1918" s="21" t="str">
        <f>IF(AND($AM1918&lt;&gt;"",$AS1918="✓"),SUMPRODUCT(($AM$11:$AM1918&lt;&gt;"")*($AS$11:$AS1918="✓")),"")</f>
        <v/>
      </c>
      <c r="BA1918" s="21" t="str">
        <f>IF($AL1918="","",$AL1918&amp;"|"&amp;COUNTIF($AL$11:$AL1918,$AL1918))</f>
        <v/>
      </c>
    </row>
    <row r="1919" spans="38:53" ht="15" customHeight="1" x14ac:dyDescent="0.25">
      <c r="AL1919" s="17"/>
      <c r="AM1919" s="12"/>
      <c r="AN1919" s="18"/>
      <c r="AO1919" s="18"/>
      <c r="AP1919" s="10"/>
      <c r="AQ1919" s="10"/>
      <c r="AR1919" s="19"/>
      <c r="AS1919" s="20"/>
      <c r="AT1919" s="19"/>
      <c r="AV1919" s="21">
        <f>IF(AND($AL1919&lt;&gt;"",COUNTIF($AL$11:$AL1919,$AL1919)=1),1,0)</f>
        <v>0</v>
      </c>
      <c r="AW1919" s="21">
        <f t="shared" si="145"/>
        <v>2</v>
      </c>
      <c r="AX1919" s="21" t="str">
        <f t="shared" si="144"/>
        <v/>
      </c>
      <c r="AY1919" s="21" t="str">
        <f>IF(AND($AM1919&lt;&gt;"",$AS1919&lt;&gt;"✓"),SUMPRODUCT(($AM$11:$AM1919&lt;&gt;"")*($AS$11:$AS1919&lt;&gt;"✓")),"")</f>
        <v/>
      </c>
      <c r="AZ1919" s="21" t="str">
        <f>IF(AND($AM1919&lt;&gt;"",$AS1919="✓"),SUMPRODUCT(($AM$11:$AM1919&lt;&gt;"")*($AS$11:$AS1919="✓")),"")</f>
        <v/>
      </c>
      <c r="BA1919" s="21" t="str">
        <f>IF($AL1919="","",$AL1919&amp;"|"&amp;COUNTIF($AL$11:$AL1919,$AL1919))</f>
        <v/>
      </c>
    </row>
    <row r="1920" spans="38:53" ht="15" customHeight="1" x14ac:dyDescent="0.25">
      <c r="AL1920" s="31"/>
      <c r="AM1920" s="26"/>
      <c r="AN1920" s="32"/>
      <c r="AO1920" s="32"/>
      <c r="AP1920" s="24"/>
      <c r="AQ1920" s="24"/>
      <c r="AR1920" s="33"/>
      <c r="AS1920" s="34"/>
      <c r="AT1920" s="33"/>
      <c r="AV1920" s="21">
        <f>IF(AND($AL1920&lt;&gt;"",COUNTIF($AL$11:$AL1920,$AL1920)=1),1,0)</f>
        <v>0</v>
      </c>
      <c r="AW1920" s="21">
        <f t="shared" si="145"/>
        <v>2</v>
      </c>
      <c r="AX1920" s="21" t="str">
        <f t="shared" si="144"/>
        <v/>
      </c>
      <c r="AY1920" s="21" t="str">
        <f>IF(AND($AM1920&lt;&gt;"",$AS1920&lt;&gt;"✓"),SUMPRODUCT(($AM$11:$AM1920&lt;&gt;"")*($AS$11:$AS1920&lt;&gt;"✓")),"")</f>
        <v/>
      </c>
      <c r="AZ1920" s="21" t="str">
        <f>IF(AND($AM1920&lt;&gt;"",$AS1920="✓"),SUMPRODUCT(($AM$11:$AM1920&lt;&gt;"")*($AS$11:$AS1920="✓")),"")</f>
        <v/>
      </c>
      <c r="BA1920" s="21" t="str">
        <f>IF($AL1920="","",$AL1920&amp;"|"&amp;COUNTIF($AL$11:$AL1920,$AL1920))</f>
        <v/>
      </c>
    </row>
    <row r="1921" spans="38:53" ht="15" customHeight="1" x14ac:dyDescent="0.25">
      <c r="AL1921" s="17"/>
      <c r="AM1921" s="12"/>
      <c r="AN1921" s="18"/>
      <c r="AO1921" s="18"/>
      <c r="AP1921" s="10"/>
      <c r="AQ1921" s="10"/>
      <c r="AR1921" s="19"/>
      <c r="AS1921" s="20"/>
      <c r="AT1921" s="19"/>
      <c r="AV1921" s="21">
        <f>IF(AND($AL1921&lt;&gt;"",COUNTIF($AL$11:$AL1921,$AL1921)=1),1,0)</f>
        <v>0</v>
      </c>
      <c r="AW1921" s="21">
        <f t="shared" si="145"/>
        <v>2</v>
      </c>
      <c r="AX1921" s="21" t="str">
        <f t="shared" si="144"/>
        <v/>
      </c>
      <c r="AY1921" s="21" t="str">
        <f>IF(AND($AM1921&lt;&gt;"",$AS1921&lt;&gt;"✓"),SUMPRODUCT(($AM$11:$AM1921&lt;&gt;"")*($AS$11:$AS1921&lt;&gt;"✓")),"")</f>
        <v/>
      </c>
      <c r="AZ1921" s="21" t="str">
        <f>IF(AND($AM1921&lt;&gt;"",$AS1921="✓"),SUMPRODUCT(($AM$11:$AM1921&lt;&gt;"")*($AS$11:$AS1921="✓")),"")</f>
        <v/>
      </c>
      <c r="BA1921" s="21" t="str">
        <f>IF($AL1921="","",$AL1921&amp;"|"&amp;COUNTIF($AL$11:$AL1921,$AL1921))</f>
        <v/>
      </c>
    </row>
    <row r="1922" spans="38:53" ht="15" customHeight="1" x14ac:dyDescent="0.25">
      <c r="AL1922" s="31"/>
      <c r="AM1922" s="26"/>
      <c r="AN1922" s="32"/>
      <c r="AO1922" s="32"/>
      <c r="AP1922" s="24"/>
      <c r="AQ1922" s="24"/>
      <c r="AR1922" s="33"/>
      <c r="AS1922" s="34"/>
      <c r="AT1922" s="33"/>
      <c r="AV1922" s="21">
        <f>IF(AND($AL1922&lt;&gt;"",COUNTIF($AL$11:$AL1922,$AL1922)=1),1,0)</f>
        <v>0</v>
      </c>
      <c r="AW1922" s="21">
        <f t="shared" si="145"/>
        <v>2</v>
      </c>
      <c r="AX1922" s="21" t="str">
        <f t="shared" si="144"/>
        <v/>
      </c>
      <c r="AY1922" s="21" t="str">
        <f>IF(AND($AM1922&lt;&gt;"",$AS1922&lt;&gt;"✓"),SUMPRODUCT(($AM$11:$AM1922&lt;&gt;"")*($AS$11:$AS1922&lt;&gt;"✓")),"")</f>
        <v/>
      </c>
      <c r="AZ1922" s="21" t="str">
        <f>IF(AND($AM1922&lt;&gt;"",$AS1922="✓"),SUMPRODUCT(($AM$11:$AM1922&lt;&gt;"")*($AS$11:$AS1922="✓")),"")</f>
        <v/>
      </c>
      <c r="BA1922" s="21" t="str">
        <f>IF($AL1922="","",$AL1922&amp;"|"&amp;COUNTIF($AL$11:$AL1922,$AL1922))</f>
        <v/>
      </c>
    </row>
    <row r="1923" spans="38:53" ht="15" customHeight="1" x14ac:dyDescent="0.25">
      <c r="AL1923" s="17"/>
      <c r="AM1923" s="12"/>
      <c r="AN1923" s="18"/>
      <c r="AO1923" s="18"/>
      <c r="AP1923" s="10"/>
      <c r="AQ1923" s="10"/>
      <c r="AR1923" s="19"/>
      <c r="AS1923" s="20"/>
      <c r="AT1923" s="19"/>
      <c r="AV1923" s="21">
        <f>IF(AND($AL1923&lt;&gt;"",COUNTIF($AL$11:$AL1923,$AL1923)=1),1,0)</f>
        <v>0</v>
      </c>
      <c r="AW1923" s="21">
        <f t="shared" si="145"/>
        <v>2</v>
      </c>
      <c r="AX1923" s="21" t="str">
        <f t="shared" si="144"/>
        <v/>
      </c>
      <c r="AY1923" s="21" t="str">
        <f>IF(AND($AM1923&lt;&gt;"",$AS1923&lt;&gt;"✓"),SUMPRODUCT(($AM$11:$AM1923&lt;&gt;"")*($AS$11:$AS1923&lt;&gt;"✓")),"")</f>
        <v/>
      </c>
      <c r="AZ1923" s="21" t="str">
        <f>IF(AND($AM1923&lt;&gt;"",$AS1923="✓"),SUMPRODUCT(($AM$11:$AM1923&lt;&gt;"")*($AS$11:$AS1923="✓")),"")</f>
        <v/>
      </c>
      <c r="BA1923" s="21" t="str">
        <f>IF($AL1923="","",$AL1923&amp;"|"&amp;COUNTIF($AL$11:$AL1923,$AL1923))</f>
        <v/>
      </c>
    </row>
    <row r="1924" spans="38:53" ht="15" customHeight="1" x14ac:dyDescent="0.25">
      <c r="AL1924" s="31"/>
      <c r="AM1924" s="26"/>
      <c r="AN1924" s="32"/>
      <c r="AO1924" s="32"/>
      <c r="AP1924" s="24"/>
      <c r="AQ1924" s="24"/>
      <c r="AR1924" s="33"/>
      <c r="AS1924" s="34"/>
      <c r="AT1924" s="33"/>
      <c r="AV1924" s="21">
        <f>IF(AND($AL1924&lt;&gt;"",COUNTIF($AL$11:$AL1924,$AL1924)=1),1,0)</f>
        <v>0</v>
      </c>
      <c r="AW1924" s="21">
        <f t="shared" si="145"/>
        <v>2</v>
      </c>
      <c r="AX1924" s="21" t="str">
        <f t="shared" si="144"/>
        <v/>
      </c>
      <c r="AY1924" s="21" t="str">
        <f>IF(AND($AM1924&lt;&gt;"",$AS1924&lt;&gt;"✓"),SUMPRODUCT(($AM$11:$AM1924&lt;&gt;"")*($AS$11:$AS1924&lt;&gt;"✓")),"")</f>
        <v/>
      </c>
      <c r="AZ1924" s="21" t="str">
        <f>IF(AND($AM1924&lt;&gt;"",$AS1924="✓"),SUMPRODUCT(($AM$11:$AM1924&lt;&gt;"")*($AS$11:$AS1924="✓")),"")</f>
        <v/>
      </c>
      <c r="BA1924" s="21" t="str">
        <f>IF($AL1924="","",$AL1924&amp;"|"&amp;COUNTIF($AL$11:$AL1924,$AL1924))</f>
        <v/>
      </c>
    </row>
    <row r="1925" spans="38:53" ht="15" customHeight="1" x14ac:dyDescent="0.25">
      <c r="AL1925" s="17"/>
      <c r="AM1925" s="12"/>
      <c r="AN1925" s="18"/>
      <c r="AO1925" s="18"/>
      <c r="AP1925" s="10"/>
      <c r="AQ1925" s="10"/>
      <c r="AR1925" s="19"/>
      <c r="AS1925" s="20"/>
      <c r="AT1925" s="19"/>
      <c r="AV1925" s="21">
        <f>IF(AND($AL1925&lt;&gt;"",COUNTIF($AL$11:$AL1925,$AL1925)=1),1,0)</f>
        <v>0</v>
      </c>
      <c r="AW1925" s="21">
        <f t="shared" si="145"/>
        <v>2</v>
      </c>
      <c r="AX1925" s="21" t="str">
        <f t="shared" si="144"/>
        <v/>
      </c>
      <c r="AY1925" s="21" t="str">
        <f>IF(AND($AM1925&lt;&gt;"",$AS1925&lt;&gt;"✓"),SUMPRODUCT(($AM$11:$AM1925&lt;&gt;"")*($AS$11:$AS1925&lt;&gt;"✓")),"")</f>
        <v/>
      </c>
      <c r="AZ1925" s="21" t="str">
        <f>IF(AND($AM1925&lt;&gt;"",$AS1925="✓"),SUMPRODUCT(($AM$11:$AM1925&lt;&gt;"")*($AS$11:$AS1925="✓")),"")</f>
        <v/>
      </c>
      <c r="BA1925" s="21" t="str">
        <f>IF($AL1925="","",$AL1925&amp;"|"&amp;COUNTIF($AL$11:$AL1925,$AL1925))</f>
        <v/>
      </c>
    </row>
    <row r="1926" spans="38:53" ht="15" customHeight="1" x14ac:dyDescent="0.25">
      <c r="AL1926" s="31"/>
      <c r="AM1926" s="26"/>
      <c r="AN1926" s="32"/>
      <c r="AO1926" s="32"/>
      <c r="AP1926" s="24"/>
      <c r="AQ1926" s="24"/>
      <c r="AR1926" s="33"/>
      <c r="AS1926" s="34"/>
      <c r="AT1926" s="33"/>
      <c r="AV1926" s="21">
        <f>IF(AND($AL1926&lt;&gt;"",COUNTIF($AL$11:$AL1926,$AL1926)=1),1,0)</f>
        <v>0</v>
      </c>
      <c r="AW1926" s="21">
        <f t="shared" si="145"/>
        <v>2</v>
      </c>
      <c r="AX1926" s="21" t="str">
        <f t="shared" si="144"/>
        <v/>
      </c>
      <c r="AY1926" s="21" t="str">
        <f>IF(AND($AM1926&lt;&gt;"",$AS1926&lt;&gt;"✓"),SUMPRODUCT(($AM$11:$AM1926&lt;&gt;"")*($AS$11:$AS1926&lt;&gt;"✓")),"")</f>
        <v/>
      </c>
      <c r="AZ1926" s="21" t="str">
        <f>IF(AND($AM1926&lt;&gt;"",$AS1926="✓"),SUMPRODUCT(($AM$11:$AM1926&lt;&gt;"")*($AS$11:$AS1926="✓")),"")</f>
        <v/>
      </c>
      <c r="BA1926" s="21" t="str">
        <f>IF($AL1926="","",$AL1926&amp;"|"&amp;COUNTIF($AL$11:$AL1926,$AL1926))</f>
        <v/>
      </c>
    </row>
    <row r="1927" spans="38:53" ht="15" customHeight="1" x14ac:dyDescent="0.25">
      <c r="AL1927" s="17"/>
      <c r="AM1927" s="12"/>
      <c r="AN1927" s="18"/>
      <c r="AO1927" s="18"/>
      <c r="AP1927" s="10"/>
      <c r="AQ1927" s="10"/>
      <c r="AR1927" s="19"/>
      <c r="AS1927" s="20"/>
      <c r="AT1927" s="19"/>
      <c r="AV1927" s="21">
        <f>IF(AND($AL1927&lt;&gt;"",COUNTIF($AL$11:$AL1927,$AL1927)=1),1,0)</f>
        <v>0</v>
      </c>
      <c r="AW1927" s="21">
        <f t="shared" si="145"/>
        <v>2</v>
      </c>
      <c r="AX1927" s="21" t="str">
        <f t="shared" si="144"/>
        <v/>
      </c>
      <c r="AY1927" s="21" t="str">
        <f>IF(AND($AM1927&lt;&gt;"",$AS1927&lt;&gt;"✓"),SUMPRODUCT(($AM$11:$AM1927&lt;&gt;"")*($AS$11:$AS1927&lt;&gt;"✓")),"")</f>
        <v/>
      </c>
      <c r="AZ1927" s="21" t="str">
        <f>IF(AND($AM1927&lt;&gt;"",$AS1927="✓"),SUMPRODUCT(($AM$11:$AM1927&lt;&gt;"")*($AS$11:$AS1927="✓")),"")</f>
        <v/>
      </c>
      <c r="BA1927" s="21" t="str">
        <f>IF($AL1927="","",$AL1927&amp;"|"&amp;COUNTIF($AL$11:$AL1927,$AL1927))</f>
        <v/>
      </c>
    </row>
    <row r="1928" spans="38:53" ht="15" customHeight="1" x14ac:dyDescent="0.25">
      <c r="AL1928" s="31"/>
      <c r="AM1928" s="26"/>
      <c r="AN1928" s="32"/>
      <c r="AO1928" s="32"/>
      <c r="AP1928" s="24"/>
      <c r="AQ1928" s="24"/>
      <c r="AR1928" s="33"/>
      <c r="AS1928" s="34"/>
      <c r="AT1928" s="33"/>
      <c r="AV1928" s="21">
        <f>IF(AND($AL1928&lt;&gt;"",COUNTIF($AL$11:$AL1928,$AL1928)=1),1,0)</f>
        <v>0</v>
      </c>
      <c r="AW1928" s="21">
        <f t="shared" si="145"/>
        <v>2</v>
      </c>
      <c r="AX1928" s="21" t="str">
        <f t="shared" si="144"/>
        <v/>
      </c>
      <c r="AY1928" s="21" t="str">
        <f>IF(AND($AM1928&lt;&gt;"",$AS1928&lt;&gt;"✓"),SUMPRODUCT(($AM$11:$AM1928&lt;&gt;"")*($AS$11:$AS1928&lt;&gt;"✓")),"")</f>
        <v/>
      </c>
      <c r="AZ1928" s="21" t="str">
        <f>IF(AND($AM1928&lt;&gt;"",$AS1928="✓"),SUMPRODUCT(($AM$11:$AM1928&lt;&gt;"")*($AS$11:$AS1928="✓")),"")</f>
        <v/>
      </c>
      <c r="BA1928" s="21" t="str">
        <f>IF($AL1928="","",$AL1928&amp;"|"&amp;COUNTIF($AL$11:$AL1928,$AL1928))</f>
        <v/>
      </c>
    </row>
    <row r="1929" spans="38:53" ht="15" customHeight="1" x14ac:dyDescent="0.25">
      <c r="AL1929" s="17"/>
      <c r="AM1929" s="12"/>
      <c r="AN1929" s="18"/>
      <c r="AO1929" s="18"/>
      <c r="AP1929" s="10"/>
      <c r="AQ1929" s="10"/>
      <c r="AR1929" s="19"/>
      <c r="AS1929" s="20"/>
      <c r="AT1929" s="19"/>
      <c r="AV1929" s="21">
        <f>IF(AND($AL1929&lt;&gt;"",COUNTIF($AL$11:$AL1929,$AL1929)=1),1,0)</f>
        <v>0</v>
      </c>
      <c r="AW1929" s="21">
        <f t="shared" si="145"/>
        <v>2</v>
      </c>
      <c r="AX1929" s="21" t="str">
        <f t="shared" si="144"/>
        <v/>
      </c>
      <c r="AY1929" s="21" t="str">
        <f>IF(AND($AM1929&lt;&gt;"",$AS1929&lt;&gt;"✓"),SUMPRODUCT(($AM$11:$AM1929&lt;&gt;"")*($AS$11:$AS1929&lt;&gt;"✓")),"")</f>
        <v/>
      </c>
      <c r="AZ1929" s="21" t="str">
        <f>IF(AND($AM1929&lt;&gt;"",$AS1929="✓"),SUMPRODUCT(($AM$11:$AM1929&lt;&gt;"")*($AS$11:$AS1929="✓")),"")</f>
        <v/>
      </c>
      <c r="BA1929" s="21" t="str">
        <f>IF($AL1929="","",$AL1929&amp;"|"&amp;COUNTIF($AL$11:$AL1929,$AL1929))</f>
        <v/>
      </c>
    </row>
    <row r="1930" spans="38:53" ht="15" customHeight="1" x14ac:dyDescent="0.25">
      <c r="AL1930" s="31"/>
      <c r="AM1930" s="26"/>
      <c r="AN1930" s="32"/>
      <c r="AO1930" s="32"/>
      <c r="AP1930" s="24"/>
      <c r="AQ1930" s="24"/>
      <c r="AR1930" s="33"/>
      <c r="AS1930" s="34"/>
      <c r="AT1930" s="33"/>
      <c r="AV1930" s="21">
        <f>IF(AND($AL1930&lt;&gt;"",COUNTIF($AL$11:$AL1930,$AL1930)=1),1,0)</f>
        <v>0</v>
      </c>
      <c r="AW1930" s="21">
        <f t="shared" si="145"/>
        <v>2</v>
      </c>
      <c r="AX1930" s="21" t="str">
        <f t="shared" si="144"/>
        <v/>
      </c>
      <c r="AY1930" s="21" t="str">
        <f>IF(AND($AM1930&lt;&gt;"",$AS1930&lt;&gt;"✓"),SUMPRODUCT(($AM$11:$AM1930&lt;&gt;"")*($AS$11:$AS1930&lt;&gt;"✓")),"")</f>
        <v/>
      </c>
      <c r="AZ1930" s="21" t="str">
        <f>IF(AND($AM1930&lt;&gt;"",$AS1930="✓"),SUMPRODUCT(($AM$11:$AM1930&lt;&gt;"")*($AS$11:$AS1930="✓")),"")</f>
        <v/>
      </c>
      <c r="BA1930" s="21" t="str">
        <f>IF($AL1930="","",$AL1930&amp;"|"&amp;COUNTIF($AL$11:$AL1930,$AL1930))</f>
        <v/>
      </c>
    </row>
    <row r="1931" spans="38:53" ht="15" customHeight="1" x14ac:dyDescent="0.25">
      <c r="AL1931" s="17"/>
      <c r="AM1931" s="12"/>
      <c r="AN1931" s="18"/>
      <c r="AO1931" s="18"/>
      <c r="AP1931" s="10"/>
      <c r="AQ1931" s="10"/>
      <c r="AR1931" s="19"/>
      <c r="AS1931" s="20"/>
      <c r="AT1931" s="19"/>
      <c r="AV1931" s="21">
        <f>IF(AND($AL1931&lt;&gt;"",COUNTIF($AL$11:$AL1931,$AL1931)=1),1,0)</f>
        <v>0</v>
      </c>
      <c r="AW1931" s="21">
        <f t="shared" si="145"/>
        <v>2</v>
      </c>
      <c r="AX1931" s="21" t="str">
        <f t="shared" ref="AX1931:AX1994" si="146">IF(AV1931=1,AW1931,"")</f>
        <v/>
      </c>
      <c r="AY1931" s="21" t="str">
        <f>IF(AND($AM1931&lt;&gt;"",$AS1931&lt;&gt;"✓"),SUMPRODUCT(($AM$11:$AM1931&lt;&gt;"")*($AS$11:$AS1931&lt;&gt;"✓")),"")</f>
        <v/>
      </c>
      <c r="AZ1931" s="21" t="str">
        <f>IF(AND($AM1931&lt;&gt;"",$AS1931="✓"),SUMPRODUCT(($AM$11:$AM1931&lt;&gt;"")*($AS$11:$AS1931="✓")),"")</f>
        <v/>
      </c>
      <c r="BA1931" s="21" t="str">
        <f>IF($AL1931="","",$AL1931&amp;"|"&amp;COUNTIF($AL$11:$AL1931,$AL1931))</f>
        <v/>
      </c>
    </row>
    <row r="1932" spans="38:53" ht="15" customHeight="1" x14ac:dyDescent="0.25">
      <c r="AL1932" s="31"/>
      <c r="AM1932" s="26"/>
      <c r="AN1932" s="32"/>
      <c r="AO1932" s="32"/>
      <c r="AP1932" s="24"/>
      <c r="AQ1932" s="24"/>
      <c r="AR1932" s="33"/>
      <c r="AS1932" s="34"/>
      <c r="AT1932" s="33"/>
      <c r="AV1932" s="21">
        <f>IF(AND($AL1932&lt;&gt;"",COUNTIF($AL$11:$AL1932,$AL1932)=1),1,0)</f>
        <v>0</v>
      </c>
      <c r="AW1932" s="21">
        <f t="shared" ref="AW1932:AW1995" si="147">AW1931+AV1932</f>
        <v>2</v>
      </c>
      <c r="AX1932" s="21" t="str">
        <f t="shared" si="146"/>
        <v/>
      </c>
      <c r="AY1932" s="21" t="str">
        <f>IF(AND($AM1932&lt;&gt;"",$AS1932&lt;&gt;"✓"),SUMPRODUCT(($AM$11:$AM1932&lt;&gt;"")*($AS$11:$AS1932&lt;&gt;"✓")),"")</f>
        <v/>
      </c>
      <c r="AZ1932" s="21" t="str">
        <f>IF(AND($AM1932&lt;&gt;"",$AS1932="✓"),SUMPRODUCT(($AM$11:$AM1932&lt;&gt;"")*($AS$11:$AS1932="✓")),"")</f>
        <v/>
      </c>
      <c r="BA1932" s="21" t="str">
        <f>IF($AL1932="","",$AL1932&amp;"|"&amp;COUNTIF($AL$11:$AL1932,$AL1932))</f>
        <v/>
      </c>
    </row>
    <row r="1933" spans="38:53" ht="15" customHeight="1" x14ac:dyDescent="0.25">
      <c r="AL1933" s="17"/>
      <c r="AM1933" s="12"/>
      <c r="AN1933" s="18"/>
      <c r="AO1933" s="18"/>
      <c r="AP1933" s="10"/>
      <c r="AQ1933" s="10"/>
      <c r="AR1933" s="19"/>
      <c r="AS1933" s="20"/>
      <c r="AT1933" s="19"/>
      <c r="AV1933" s="21">
        <f>IF(AND($AL1933&lt;&gt;"",COUNTIF($AL$11:$AL1933,$AL1933)=1),1,0)</f>
        <v>0</v>
      </c>
      <c r="AW1933" s="21">
        <f t="shared" si="147"/>
        <v>2</v>
      </c>
      <c r="AX1933" s="21" t="str">
        <f t="shared" si="146"/>
        <v/>
      </c>
      <c r="AY1933" s="21" t="str">
        <f>IF(AND($AM1933&lt;&gt;"",$AS1933&lt;&gt;"✓"),SUMPRODUCT(($AM$11:$AM1933&lt;&gt;"")*($AS$11:$AS1933&lt;&gt;"✓")),"")</f>
        <v/>
      </c>
      <c r="AZ1933" s="21" t="str">
        <f>IF(AND($AM1933&lt;&gt;"",$AS1933="✓"),SUMPRODUCT(($AM$11:$AM1933&lt;&gt;"")*($AS$11:$AS1933="✓")),"")</f>
        <v/>
      </c>
      <c r="BA1933" s="21" t="str">
        <f>IF($AL1933="","",$AL1933&amp;"|"&amp;COUNTIF($AL$11:$AL1933,$AL1933))</f>
        <v/>
      </c>
    </row>
    <row r="1934" spans="38:53" ht="15" customHeight="1" x14ac:dyDescent="0.25">
      <c r="AL1934" s="31"/>
      <c r="AM1934" s="26"/>
      <c r="AN1934" s="32"/>
      <c r="AO1934" s="32"/>
      <c r="AP1934" s="24"/>
      <c r="AQ1934" s="24"/>
      <c r="AR1934" s="33"/>
      <c r="AS1934" s="34"/>
      <c r="AT1934" s="33"/>
      <c r="AV1934" s="21">
        <f>IF(AND($AL1934&lt;&gt;"",COUNTIF($AL$11:$AL1934,$AL1934)=1),1,0)</f>
        <v>0</v>
      </c>
      <c r="AW1934" s="21">
        <f t="shared" si="147"/>
        <v>2</v>
      </c>
      <c r="AX1934" s="21" t="str">
        <f t="shared" si="146"/>
        <v/>
      </c>
      <c r="AY1934" s="21" t="str">
        <f>IF(AND($AM1934&lt;&gt;"",$AS1934&lt;&gt;"✓"),SUMPRODUCT(($AM$11:$AM1934&lt;&gt;"")*($AS$11:$AS1934&lt;&gt;"✓")),"")</f>
        <v/>
      </c>
      <c r="AZ1934" s="21" t="str">
        <f>IF(AND($AM1934&lt;&gt;"",$AS1934="✓"),SUMPRODUCT(($AM$11:$AM1934&lt;&gt;"")*($AS$11:$AS1934="✓")),"")</f>
        <v/>
      </c>
      <c r="BA1934" s="21" t="str">
        <f>IF($AL1934="","",$AL1934&amp;"|"&amp;COUNTIF($AL$11:$AL1934,$AL1934))</f>
        <v/>
      </c>
    </row>
    <row r="1935" spans="38:53" ht="15" customHeight="1" x14ac:dyDescent="0.25">
      <c r="AL1935" s="17"/>
      <c r="AM1935" s="12"/>
      <c r="AN1935" s="18"/>
      <c r="AO1935" s="18"/>
      <c r="AP1935" s="10"/>
      <c r="AQ1935" s="10"/>
      <c r="AR1935" s="19"/>
      <c r="AS1935" s="20"/>
      <c r="AT1935" s="19"/>
      <c r="AV1935" s="21">
        <f>IF(AND($AL1935&lt;&gt;"",COUNTIF($AL$11:$AL1935,$AL1935)=1),1,0)</f>
        <v>0</v>
      </c>
      <c r="AW1935" s="21">
        <f t="shared" si="147"/>
        <v>2</v>
      </c>
      <c r="AX1935" s="21" t="str">
        <f t="shared" si="146"/>
        <v/>
      </c>
      <c r="AY1935" s="21" t="str">
        <f>IF(AND($AM1935&lt;&gt;"",$AS1935&lt;&gt;"✓"),SUMPRODUCT(($AM$11:$AM1935&lt;&gt;"")*($AS$11:$AS1935&lt;&gt;"✓")),"")</f>
        <v/>
      </c>
      <c r="AZ1935" s="21" t="str">
        <f>IF(AND($AM1935&lt;&gt;"",$AS1935="✓"),SUMPRODUCT(($AM$11:$AM1935&lt;&gt;"")*($AS$11:$AS1935="✓")),"")</f>
        <v/>
      </c>
      <c r="BA1935" s="21" t="str">
        <f>IF($AL1935="","",$AL1935&amp;"|"&amp;COUNTIF($AL$11:$AL1935,$AL1935))</f>
        <v/>
      </c>
    </row>
    <row r="1936" spans="38:53" ht="15" customHeight="1" x14ac:dyDescent="0.25">
      <c r="AL1936" s="31"/>
      <c r="AM1936" s="26"/>
      <c r="AN1936" s="32"/>
      <c r="AO1936" s="32"/>
      <c r="AP1936" s="24"/>
      <c r="AQ1936" s="24"/>
      <c r="AR1936" s="33"/>
      <c r="AS1936" s="34"/>
      <c r="AT1936" s="33"/>
      <c r="AV1936" s="21">
        <f>IF(AND($AL1936&lt;&gt;"",COUNTIF($AL$11:$AL1936,$AL1936)=1),1,0)</f>
        <v>0</v>
      </c>
      <c r="AW1936" s="21">
        <f t="shared" si="147"/>
        <v>2</v>
      </c>
      <c r="AX1936" s="21" t="str">
        <f t="shared" si="146"/>
        <v/>
      </c>
      <c r="AY1936" s="21" t="str">
        <f>IF(AND($AM1936&lt;&gt;"",$AS1936&lt;&gt;"✓"),SUMPRODUCT(($AM$11:$AM1936&lt;&gt;"")*($AS$11:$AS1936&lt;&gt;"✓")),"")</f>
        <v/>
      </c>
      <c r="AZ1936" s="21" t="str">
        <f>IF(AND($AM1936&lt;&gt;"",$AS1936="✓"),SUMPRODUCT(($AM$11:$AM1936&lt;&gt;"")*($AS$11:$AS1936="✓")),"")</f>
        <v/>
      </c>
      <c r="BA1936" s="21" t="str">
        <f>IF($AL1936="","",$AL1936&amp;"|"&amp;COUNTIF($AL$11:$AL1936,$AL1936))</f>
        <v/>
      </c>
    </row>
    <row r="1937" spans="38:53" ht="15" customHeight="1" x14ac:dyDescent="0.25">
      <c r="AL1937" s="17"/>
      <c r="AM1937" s="12"/>
      <c r="AN1937" s="18"/>
      <c r="AO1937" s="18"/>
      <c r="AP1937" s="10"/>
      <c r="AQ1937" s="10"/>
      <c r="AR1937" s="19"/>
      <c r="AS1937" s="20"/>
      <c r="AT1937" s="19"/>
      <c r="AV1937" s="21">
        <f>IF(AND($AL1937&lt;&gt;"",COUNTIF($AL$11:$AL1937,$AL1937)=1),1,0)</f>
        <v>0</v>
      </c>
      <c r="AW1937" s="21">
        <f t="shared" si="147"/>
        <v>2</v>
      </c>
      <c r="AX1937" s="21" t="str">
        <f t="shared" si="146"/>
        <v/>
      </c>
      <c r="AY1937" s="21" t="str">
        <f>IF(AND($AM1937&lt;&gt;"",$AS1937&lt;&gt;"✓"),SUMPRODUCT(($AM$11:$AM1937&lt;&gt;"")*($AS$11:$AS1937&lt;&gt;"✓")),"")</f>
        <v/>
      </c>
      <c r="AZ1937" s="21" t="str">
        <f>IF(AND($AM1937&lt;&gt;"",$AS1937="✓"),SUMPRODUCT(($AM$11:$AM1937&lt;&gt;"")*($AS$11:$AS1937="✓")),"")</f>
        <v/>
      </c>
      <c r="BA1937" s="21" t="str">
        <f>IF($AL1937="","",$AL1937&amp;"|"&amp;COUNTIF($AL$11:$AL1937,$AL1937))</f>
        <v/>
      </c>
    </row>
    <row r="1938" spans="38:53" ht="15" customHeight="1" x14ac:dyDescent="0.25">
      <c r="AL1938" s="31"/>
      <c r="AM1938" s="26"/>
      <c r="AN1938" s="32"/>
      <c r="AO1938" s="32"/>
      <c r="AP1938" s="24"/>
      <c r="AQ1938" s="24"/>
      <c r="AR1938" s="33"/>
      <c r="AS1938" s="34"/>
      <c r="AT1938" s="33"/>
      <c r="AV1938" s="21">
        <f>IF(AND($AL1938&lt;&gt;"",COUNTIF($AL$11:$AL1938,$AL1938)=1),1,0)</f>
        <v>0</v>
      </c>
      <c r="AW1938" s="21">
        <f t="shared" si="147"/>
        <v>2</v>
      </c>
      <c r="AX1938" s="21" t="str">
        <f t="shared" si="146"/>
        <v/>
      </c>
      <c r="AY1938" s="21" t="str">
        <f>IF(AND($AM1938&lt;&gt;"",$AS1938&lt;&gt;"✓"),SUMPRODUCT(($AM$11:$AM1938&lt;&gt;"")*($AS$11:$AS1938&lt;&gt;"✓")),"")</f>
        <v/>
      </c>
      <c r="AZ1938" s="21" t="str">
        <f>IF(AND($AM1938&lt;&gt;"",$AS1938="✓"),SUMPRODUCT(($AM$11:$AM1938&lt;&gt;"")*($AS$11:$AS1938="✓")),"")</f>
        <v/>
      </c>
      <c r="BA1938" s="21" t="str">
        <f>IF($AL1938="","",$AL1938&amp;"|"&amp;COUNTIF($AL$11:$AL1938,$AL1938))</f>
        <v/>
      </c>
    </row>
    <row r="1939" spans="38:53" ht="15" customHeight="1" x14ac:dyDescent="0.25">
      <c r="AL1939" s="17"/>
      <c r="AM1939" s="12"/>
      <c r="AN1939" s="18"/>
      <c r="AO1939" s="18"/>
      <c r="AP1939" s="10"/>
      <c r="AQ1939" s="10"/>
      <c r="AR1939" s="19"/>
      <c r="AS1939" s="20"/>
      <c r="AT1939" s="19"/>
      <c r="AV1939" s="21">
        <f>IF(AND($AL1939&lt;&gt;"",COUNTIF($AL$11:$AL1939,$AL1939)=1),1,0)</f>
        <v>0</v>
      </c>
      <c r="AW1939" s="21">
        <f t="shared" si="147"/>
        <v>2</v>
      </c>
      <c r="AX1939" s="21" t="str">
        <f t="shared" si="146"/>
        <v/>
      </c>
      <c r="AY1939" s="21" t="str">
        <f>IF(AND($AM1939&lt;&gt;"",$AS1939&lt;&gt;"✓"),SUMPRODUCT(($AM$11:$AM1939&lt;&gt;"")*($AS$11:$AS1939&lt;&gt;"✓")),"")</f>
        <v/>
      </c>
      <c r="AZ1939" s="21" t="str">
        <f>IF(AND($AM1939&lt;&gt;"",$AS1939="✓"),SUMPRODUCT(($AM$11:$AM1939&lt;&gt;"")*($AS$11:$AS1939="✓")),"")</f>
        <v/>
      </c>
      <c r="BA1939" s="21" t="str">
        <f>IF($AL1939="","",$AL1939&amp;"|"&amp;COUNTIF($AL$11:$AL1939,$AL1939))</f>
        <v/>
      </c>
    </row>
    <row r="1940" spans="38:53" ht="15" customHeight="1" x14ac:dyDescent="0.25">
      <c r="AL1940" s="31"/>
      <c r="AM1940" s="26"/>
      <c r="AN1940" s="32"/>
      <c r="AO1940" s="32"/>
      <c r="AP1940" s="24"/>
      <c r="AQ1940" s="24"/>
      <c r="AR1940" s="33"/>
      <c r="AS1940" s="34"/>
      <c r="AT1940" s="33"/>
      <c r="AV1940" s="21">
        <f>IF(AND($AL1940&lt;&gt;"",COUNTIF($AL$11:$AL1940,$AL1940)=1),1,0)</f>
        <v>0</v>
      </c>
      <c r="AW1940" s="21">
        <f t="shared" si="147"/>
        <v>2</v>
      </c>
      <c r="AX1940" s="21" t="str">
        <f t="shared" si="146"/>
        <v/>
      </c>
      <c r="AY1940" s="21" t="str">
        <f>IF(AND($AM1940&lt;&gt;"",$AS1940&lt;&gt;"✓"),SUMPRODUCT(($AM$11:$AM1940&lt;&gt;"")*($AS$11:$AS1940&lt;&gt;"✓")),"")</f>
        <v/>
      </c>
      <c r="AZ1940" s="21" t="str">
        <f>IF(AND($AM1940&lt;&gt;"",$AS1940="✓"),SUMPRODUCT(($AM$11:$AM1940&lt;&gt;"")*($AS$11:$AS1940="✓")),"")</f>
        <v/>
      </c>
      <c r="BA1940" s="21" t="str">
        <f>IF($AL1940="","",$AL1940&amp;"|"&amp;COUNTIF($AL$11:$AL1940,$AL1940))</f>
        <v/>
      </c>
    </row>
    <row r="1941" spans="38:53" ht="15" customHeight="1" x14ac:dyDescent="0.25">
      <c r="AL1941" s="17"/>
      <c r="AM1941" s="12"/>
      <c r="AN1941" s="18"/>
      <c r="AO1941" s="18"/>
      <c r="AP1941" s="10"/>
      <c r="AQ1941" s="10"/>
      <c r="AR1941" s="19"/>
      <c r="AS1941" s="20"/>
      <c r="AT1941" s="19"/>
      <c r="AV1941" s="21">
        <f>IF(AND($AL1941&lt;&gt;"",COUNTIF($AL$11:$AL1941,$AL1941)=1),1,0)</f>
        <v>0</v>
      </c>
      <c r="AW1941" s="21">
        <f t="shared" si="147"/>
        <v>2</v>
      </c>
      <c r="AX1941" s="21" t="str">
        <f t="shared" si="146"/>
        <v/>
      </c>
      <c r="AY1941" s="21" t="str">
        <f>IF(AND($AM1941&lt;&gt;"",$AS1941&lt;&gt;"✓"),SUMPRODUCT(($AM$11:$AM1941&lt;&gt;"")*($AS$11:$AS1941&lt;&gt;"✓")),"")</f>
        <v/>
      </c>
      <c r="AZ1941" s="21" t="str">
        <f>IF(AND($AM1941&lt;&gt;"",$AS1941="✓"),SUMPRODUCT(($AM$11:$AM1941&lt;&gt;"")*($AS$11:$AS1941="✓")),"")</f>
        <v/>
      </c>
      <c r="BA1941" s="21" t="str">
        <f>IF($AL1941="","",$AL1941&amp;"|"&amp;COUNTIF($AL$11:$AL1941,$AL1941))</f>
        <v/>
      </c>
    </row>
    <row r="1942" spans="38:53" ht="15" customHeight="1" x14ac:dyDescent="0.25">
      <c r="AL1942" s="31"/>
      <c r="AM1942" s="26"/>
      <c r="AN1942" s="32"/>
      <c r="AO1942" s="32"/>
      <c r="AP1942" s="24"/>
      <c r="AQ1942" s="24"/>
      <c r="AR1942" s="33"/>
      <c r="AS1942" s="34"/>
      <c r="AT1942" s="33"/>
      <c r="AV1942" s="21">
        <f>IF(AND($AL1942&lt;&gt;"",COUNTIF($AL$11:$AL1942,$AL1942)=1),1,0)</f>
        <v>0</v>
      </c>
      <c r="AW1942" s="21">
        <f t="shared" si="147"/>
        <v>2</v>
      </c>
      <c r="AX1942" s="21" t="str">
        <f t="shared" si="146"/>
        <v/>
      </c>
      <c r="AY1942" s="21" t="str">
        <f>IF(AND($AM1942&lt;&gt;"",$AS1942&lt;&gt;"✓"),SUMPRODUCT(($AM$11:$AM1942&lt;&gt;"")*($AS$11:$AS1942&lt;&gt;"✓")),"")</f>
        <v/>
      </c>
      <c r="AZ1942" s="21" t="str">
        <f>IF(AND($AM1942&lt;&gt;"",$AS1942="✓"),SUMPRODUCT(($AM$11:$AM1942&lt;&gt;"")*($AS$11:$AS1942="✓")),"")</f>
        <v/>
      </c>
      <c r="BA1942" s="21" t="str">
        <f>IF($AL1942="","",$AL1942&amp;"|"&amp;COUNTIF($AL$11:$AL1942,$AL1942))</f>
        <v/>
      </c>
    </row>
    <row r="1943" spans="38:53" ht="15" customHeight="1" x14ac:dyDescent="0.25">
      <c r="AL1943" s="17"/>
      <c r="AM1943" s="12"/>
      <c r="AN1943" s="18"/>
      <c r="AO1943" s="18"/>
      <c r="AP1943" s="10"/>
      <c r="AQ1943" s="10"/>
      <c r="AR1943" s="19"/>
      <c r="AS1943" s="20"/>
      <c r="AT1943" s="19"/>
      <c r="AV1943" s="21">
        <f>IF(AND($AL1943&lt;&gt;"",COUNTIF($AL$11:$AL1943,$AL1943)=1),1,0)</f>
        <v>0</v>
      </c>
      <c r="AW1943" s="21">
        <f t="shared" si="147"/>
        <v>2</v>
      </c>
      <c r="AX1943" s="21" t="str">
        <f t="shared" si="146"/>
        <v/>
      </c>
      <c r="AY1943" s="21" t="str">
        <f>IF(AND($AM1943&lt;&gt;"",$AS1943&lt;&gt;"✓"),SUMPRODUCT(($AM$11:$AM1943&lt;&gt;"")*($AS$11:$AS1943&lt;&gt;"✓")),"")</f>
        <v/>
      </c>
      <c r="AZ1943" s="21" t="str">
        <f>IF(AND($AM1943&lt;&gt;"",$AS1943="✓"),SUMPRODUCT(($AM$11:$AM1943&lt;&gt;"")*($AS$11:$AS1943="✓")),"")</f>
        <v/>
      </c>
      <c r="BA1943" s="21" t="str">
        <f>IF($AL1943="","",$AL1943&amp;"|"&amp;COUNTIF($AL$11:$AL1943,$AL1943))</f>
        <v/>
      </c>
    </row>
    <row r="1944" spans="38:53" ht="15" customHeight="1" x14ac:dyDescent="0.25">
      <c r="AL1944" s="31"/>
      <c r="AM1944" s="26"/>
      <c r="AN1944" s="32"/>
      <c r="AO1944" s="32"/>
      <c r="AP1944" s="24"/>
      <c r="AQ1944" s="24"/>
      <c r="AR1944" s="33"/>
      <c r="AS1944" s="34"/>
      <c r="AT1944" s="33"/>
      <c r="AV1944" s="21">
        <f>IF(AND($AL1944&lt;&gt;"",COUNTIF($AL$11:$AL1944,$AL1944)=1),1,0)</f>
        <v>0</v>
      </c>
      <c r="AW1944" s="21">
        <f t="shared" si="147"/>
        <v>2</v>
      </c>
      <c r="AX1944" s="21" t="str">
        <f t="shared" si="146"/>
        <v/>
      </c>
      <c r="AY1944" s="21" t="str">
        <f>IF(AND($AM1944&lt;&gt;"",$AS1944&lt;&gt;"✓"),SUMPRODUCT(($AM$11:$AM1944&lt;&gt;"")*($AS$11:$AS1944&lt;&gt;"✓")),"")</f>
        <v/>
      </c>
      <c r="AZ1944" s="21" t="str">
        <f>IF(AND($AM1944&lt;&gt;"",$AS1944="✓"),SUMPRODUCT(($AM$11:$AM1944&lt;&gt;"")*($AS$11:$AS1944="✓")),"")</f>
        <v/>
      </c>
      <c r="BA1944" s="21" t="str">
        <f>IF($AL1944="","",$AL1944&amp;"|"&amp;COUNTIF($AL$11:$AL1944,$AL1944))</f>
        <v/>
      </c>
    </row>
    <row r="1945" spans="38:53" ht="15" customHeight="1" x14ac:dyDescent="0.25">
      <c r="AL1945" s="17"/>
      <c r="AM1945" s="12"/>
      <c r="AN1945" s="18"/>
      <c r="AO1945" s="18"/>
      <c r="AP1945" s="10"/>
      <c r="AQ1945" s="10"/>
      <c r="AR1945" s="19"/>
      <c r="AS1945" s="20"/>
      <c r="AT1945" s="19"/>
      <c r="AV1945" s="21">
        <f>IF(AND($AL1945&lt;&gt;"",COUNTIF($AL$11:$AL1945,$AL1945)=1),1,0)</f>
        <v>0</v>
      </c>
      <c r="AW1945" s="21">
        <f t="shared" si="147"/>
        <v>2</v>
      </c>
      <c r="AX1945" s="21" t="str">
        <f t="shared" si="146"/>
        <v/>
      </c>
      <c r="AY1945" s="21" t="str">
        <f>IF(AND($AM1945&lt;&gt;"",$AS1945&lt;&gt;"✓"),SUMPRODUCT(($AM$11:$AM1945&lt;&gt;"")*($AS$11:$AS1945&lt;&gt;"✓")),"")</f>
        <v/>
      </c>
      <c r="AZ1945" s="21" t="str">
        <f>IF(AND($AM1945&lt;&gt;"",$AS1945="✓"),SUMPRODUCT(($AM$11:$AM1945&lt;&gt;"")*($AS$11:$AS1945="✓")),"")</f>
        <v/>
      </c>
      <c r="BA1945" s="21" t="str">
        <f>IF($AL1945="","",$AL1945&amp;"|"&amp;COUNTIF($AL$11:$AL1945,$AL1945))</f>
        <v/>
      </c>
    </row>
    <row r="1946" spans="38:53" ht="15" customHeight="1" x14ac:dyDescent="0.25">
      <c r="AL1946" s="31"/>
      <c r="AM1946" s="26"/>
      <c r="AN1946" s="32"/>
      <c r="AO1946" s="32"/>
      <c r="AP1946" s="24"/>
      <c r="AQ1946" s="24"/>
      <c r="AR1946" s="33"/>
      <c r="AS1946" s="34"/>
      <c r="AT1946" s="33"/>
      <c r="AV1946" s="21">
        <f>IF(AND($AL1946&lt;&gt;"",COUNTIF($AL$11:$AL1946,$AL1946)=1),1,0)</f>
        <v>0</v>
      </c>
      <c r="AW1946" s="21">
        <f t="shared" si="147"/>
        <v>2</v>
      </c>
      <c r="AX1946" s="21" t="str">
        <f t="shared" si="146"/>
        <v/>
      </c>
      <c r="AY1946" s="21" t="str">
        <f>IF(AND($AM1946&lt;&gt;"",$AS1946&lt;&gt;"✓"),SUMPRODUCT(($AM$11:$AM1946&lt;&gt;"")*($AS$11:$AS1946&lt;&gt;"✓")),"")</f>
        <v/>
      </c>
      <c r="AZ1946" s="21" t="str">
        <f>IF(AND($AM1946&lt;&gt;"",$AS1946="✓"),SUMPRODUCT(($AM$11:$AM1946&lt;&gt;"")*($AS$11:$AS1946="✓")),"")</f>
        <v/>
      </c>
      <c r="BA1946" s="21" t="str">
        <f>IF($AL1946="","",$AL1946&amp;"|"&amp;COUNTIF($AL$11:$AL1946,$AL1946))</f>
        <v/>
      </c>
    </row>
    <row r="1947" spans="38:53" ht="15" customHeight="1" x14ac:dyDescent="0.25">
      <c r="AL1947" s="17"/>
      <c r="AM1947" s="12"/>
      <c r="AN1947" s="18"/>
      <c r="AO1947" s="18"/>
      <c r="AP1947" s="10"/>
      <c r="AQ1947" s="10"/>
      <c r="AR1947" s="19"/>
      <c r="AS1947" s="20"/>
      <c r="AT1947" s="19"/>
      <c r="AV1947" s="21">
        <f>IF(AND($AL1947&lt;&gt;"",COUNTIF($AL$11:$AL1947,$AL1947)=1),1,0)</f>
        <v>0</v>
      </c>
      <c r="AW1947" s="21">
        <f t="shared" si="147"/>
        <v>2</v>
      </c>
      <c r="AX1947" s="21" t="str">
        <f t="shared" si="146"/>
        <v/>
      </c>
      <c r="AY1947" s="21" t="str">
        <f>IF(AND($AM1947&lt;&gt;"",$AS1947&lt;&gt;"✓"),SUMPRODUCT(($AM$11:$AM1947&lt;&gt;"")*($AS$11:$AS1947&lt;&gt;"✓")),"")</f>
        <v/>
      </c>
      <c r="AZ1947" s="21" t="str">
        <f>IF(AND($AM1947&lt;&gt;"",$AS1947="✓"),SUMPRODUCT(($AM$11:$AM1947&lt;&gt;"")*($AS$11:$AS1947="✓")),"")</f>
        <v/>
      </c>
      <c r="BA1947" s="21" t="str">
        <f>IF($AL1947="","",$AL1947&amp;"|"&amp;COUNTIF($AL$11:$AL1947,$AL1947))</f>
        <v/>
      </c>
    </row>
    <row r="1948" spans="38:53" ht="15" customHeight="1" x14ac:dyDescent="0.25">
      <c r="AL1948" s="31"/>
      <c r="AM1948" s="26"/>
      <c r="AN1948" s="32"/>
      <c r="AO1948" s="32"/>
      <c r="AP1948" s="24"/>
      <c r="AQ1948" s="24"/>
      <c r="AR1948" s="33"/>
      <c r="AS1948" s="34"/>
      <c r="AT1948" s="33"/>
      <c r="AV1948" s="21">
        <f>IF(AND($AL1948&lt;&gt;"",COUNTIF($AL$11:$AL1948,$AL1948)=1),1,0)</f>
        <v>0</v>
      </c>
      <c r="AW1948" s="21">
        <f t="shared" si="147"/>
        <v>2</v>
      </c>
      <c r="AX1948" s="21" t="str">
        <f t="shared" si="146"/>
        <v/>
      </c>
      <c r="AY1948" s="21" t="str">
        <f>IF(AND($AM1948&lt;&gt;"",$AS1948&lt;&gt;"✓"),SUMPRODUCT(($AM$11:$AM1948&lt;&gt;"")*($AS$11:$AS1948&lt;&gt;"✓")),"")</f>
        <v/>
      </c>
      <c r="AZ1948" s="21" t="str">
        <f>IF(AND($AM1948&lt;&gt;"",$AS1948="✓"),SUMPRODUCT(($AM$11:$AM1948&lt;&gt;"")*($AS$11:$AS1948="✓")),"")</f>
        <v/>
      </c>
      <c r="BA1948" s="21" t="str">
        <f>IF($AL1948="","",$AL1948&amp;"|"&amp;COUNTIF($AL$11:$AL1948,$AL1948))</f>
        <v/>
      </c>
    </row>
    <row r="1949" spans="38:53" ht="15" customHeight="1" x14ac:dyDescent="0.25">
      <c r="AL1949" s="17"/>
      <c r="AM1949" s="12"/>
      <c r="AN1949" s="18"/>
      <c r="AO1949" s="18"/>
      <c r="AP1949" s="10"/>
      <c r="AQ1949" s="10"/>
      <c r="AR1949" s="19"/>
      <c r="AS1949" s="20"/>
      <c r="AT1949" s="19"/>
      <c r="AV1949" s="21">
        <f>IF(AND($AL1949&lt;&gt;"",COUNTIF($AL$11:$AL1949,$AL1949)=1),1,0)</f>
        <v>0</v>
      </c>
      <c r="AW1949" s="21">
        <f t="shared" si="147"/>
        <v>2</v>
      </c>
      <c r="AX1949" s="21" t="str">
        <f t="shared" si="146"/>
        <v/>
      </c>
      <c r="AY1949" s="21" t="str">
        <f>IF(AND($AM1949&lt;&gt;"",$AS1949&lt;&gt;"✓"),SUMPRODUCT(($AM$11:$AM1949&lt;&gt;"")*($AS$11:$AS1949&lt;&gt;"✓")),"")</f>
        <v/>
      </c>
      <c r="AZ1949" s="21" t="str">
        <f>IF(AND($AM1949&lt;&gt;"",$AS1949="✓"),SUMPRODUCT(($AM$11:$AM1949&lt;&gt;"")*($AS$11:$AS1949="✓")),"")</f>
        <v/>
      </c>
      <c r="BA1949" s="21" t="str">
        <f>IF($AL1949="","",$AL1949&amp;"|"&amp;COUNTIF($AL$11:$AL1949,$AL1949))</f>
        <v/>
      </c>
    </row>
    <row r="1950" spans="38:53" ht="15" customHeight="1" x14ac:dyDescent="0.25">
      <c r="AL1950" s="31"/>
      <c r="AM1950" s="26"/>
      <c r="AN1950" s="32"/>
      <c r="AO1950" s="32"/>
      <c r="AP1950" s="24"/>
      <c r="AQ1950" s="24"/>
      <c r="AR1950" s="33"/>
      <c r="AS1950" s="34"/>
      <c r="AT1950" s="33"/>
      <c r="AV1950" s="21">
        <f>IF(AND($AL1950&lt;&gt;"",COUNTIF($AL$11:$AL1950,$AL1950)=1),1,0)</f>
        <v>0</v>
      </c>
      <c r="AW1950" s="21">
        <f t="shared" si="147"/>
        <v>2</v>
      </c>
      <c r="AX1950" s="21" t="str">
        <f t="shared" si="146"/>
        <v/>
      </c>
      <c r="AY1950" s="21" t="str">
        <f>IF(AND($AM1950&lt;&gt;"",$AS1950&lt;&gt;"✓"),SUMPRODUCT(($AM$11:$AM1950&lt;&gt;"")*($AS$11:$AS1950&lt;&gt;"✓")),"")</f>
        <v/>
      </c>
      <c r="AZ1950" s="21" t="str">
        <f>IF(AND($AM1950&lt;&gt;"",$AS1950="✓"),SUMPRODUCT(($AM$11:$AM1950&lt;&gt;"")*($AS$11:$AS1950="✓")),"")</f>
        <v/>
      </c>
      <c r="BA1950" s="21" t="str">
        <f>IF($AL1950="","",$AL1950&amp;"|"&amp;COUNTIF($AL$11:$AL1950,$AL1950))</f>
        <v/>
      </c>
    </row>
    <row r="1951" spans="38:53" ht="15" customHeight="1" x14ac:dyDescent="0.25">
      <c r="AL1951" s="17"/>
      <c r="AM1951" s="12"/>
      <c r="AN1951" s="18"/>
      <c r="AO1951" s="18"/>
      <c r="AP1951" s="10"/>
      <c r="AQ1951" s="10"/>
      <c r="AR1951" s="19"/>
      <c r="AS1951" s="20"/>
      <c r="AT1951" s="19"/>
      <c r="AV1951" s="21">
        <f>IF(AND($AL1951&lt;&gt;"",COUNTIF($AL$11:$AL1951,$AL1951)=1),1,0)</f>
        <v>0</v>
      </c>
      <c r="AW1951" s="21">
        <f t="shared" si="147"/>
        <v>2</v>
      </c>
      <c r="AX1951" s="21" t="str">
        <f t="shared" si="146"/>
        <v/>
      </c>
      <c r="AY1951" s="21" t="str">
        <f>IF(AND($AM1951&lt;&gt;"",$AS1951&lt;&gt;"✓"),SUMPRODUCT(($AM$11:$AM1951&lt;&gt;"")*($AS$11:$AS1951&lt;&gt;"✓")),"")</f>
        <v/>
      </c>
      <c r="AZ1951" s="21" t="str">
        <f>IF(AND($AM1951&lt;&gt;"",$AS1951="✓"),SUMPRODUCT(($AM$11:$AM1951&lt;&gt;"")*($AS$11:$AS1951="✓")),"")</f>
        <v/>
      </c>
      <c r="BA1951" s="21" t="str">
        <f>IF($AL1951="","",$AL1951&amp;"|"&amp;COUNTIF($AL$11:$AL1951,$AL1951))</f>
        <v/>
      </c>
    </row>
    <row r="1952" spans="38:53" ht="15" customHeight="1" x14ac:dyDescent="0.25">
      <c r="AL1952" s="31"/>
      <c r="AM1952" s="26"/>
      <c r="AN1952" s="32"/>
      <c r="AO1952" s="32"/>
      <c r="AP1952" s="24"/>
      <c r="AQ1952" s="24"/>
      <c r="AR1952" s="33"/>
      <c r="AS1952" s="34"/>
      <c r="AT1952" s="33"/>
      <c r="AV1952" s="21">
        <f>IF(AND($AL1952&lt;&gt;"",COUNTIF($AL$11:$AL1952,$AL1952)=1),1,0)</f>
        <v>0</v>
      </c>
      <c r="AW1952" s="21">
        <f t="shared" si="147"/>
        <v>2</v>
      </c>
      <c r="AX1952" s="21" t="str">
        <f t="shared" si="146"/>
        <v/>
      </c>
      <c r="AY1952" s="21" t="str">
        <f>IF(AND($AM1952&lt;&gt;"",$AS1952&lt;&gt;"✓"),SUMPRODUCT(($AM$11:$AM1952&lt;&gt;"")*($AS$11:$AS1952&lt;&gt;"✓")),"")</f>
        <v/>
      </c>
      <c r="AZ1952" s="21" t="str">
        <f>IF(AND($AM1952&lt;&gt;"",$AS1952="✓"),SUMPRODUCT(($AM$11:$AM1952&lt;&gt;"")*($AS$11:$AS1952="✓")),"")</f>
        <v/>
      </c>
      <c r="BA1952" s="21" t="str">
        <f>IF($AL1952="","",$AL1952&amp;"|"&amp;COUNTIF($AL$11:$AL1952,$AL1952))</f>
        <v/>
      </c>
    </row>
    <row r="1953" spans="38:53" ht="15" customHeight="1" x14ac:dyDescent="0.25">
      <c r="AL1953" s="17"/>
      <c r="AM1953" s="12"/>
      <c r="AN1953" s="18"/>
      <c r="AO1953" s="18"/>
      <c r="AP1953" s="10"/>
      <c r="AQ1953" s="10"/>
      <c r="AR1953" s="19"/>
      <c r="AS1953" s="20"/>
      <c r="AT1953" s="19"/>
      <c r="AV1953" s="21">
        <f>IF(AND($AL1953&lt;&gt;"",COUNTIF($AL$11:$AL1953,$AL1953)=1),1,0)</f>
        <v>0</v>
      </c>
      <c r="AW1953" s="21">
        <f t="shared" si="147"/>
        <v>2</v>
      </c>
      <c r="AX1953" s="21" t="str">
        <f t="shared" si="146"/>
        <v/>
      </c>
      <c r="AY1953" s="21" t="str">
        <f>IF(AND($AM1953&lt;&gt;"",$AS1953&lt;&gt;"✓"),SUMPRODUCT(($AM$11:$AM1953&lt;&gt;"")*($AS$11:$AS1953&lt;&gt;"✓")),"")</f>
        <v/>
      </c>
      <c r="AZ1953" s="21" t="str">
        <f>IF(AND($AM1953&lt;&gt;"",$AS1953="✓"),SUMPRODUCT(($AM$11:$AM1953&lt;&gt;"")*($AS$11:$AS1953="✓")),"")</f>
        <v/>
      </c>
      <c r="BA1953" s="21" t="str">
        <f>IF($AL1953="","",$AL1953&amp;"|"&amp;COUNTIF($AL$11:$AL1953,$AL1953))</f>
        <v/>
      </c>
    </row>
    <row r="1954" spans="38:53" ht="15" customHeight="1" x14ac:dyDescent="0.25">
      <c r="AL1954" s="31"/>
      <c r="AM1954" s="26"/>
      <c r="AN1954" s="32"/>
      <c r="AO1954" s="32"/>
      <c r="AP1954" s="24"/>
      <c r="AQ1954" s="24"/>
      <c r="AR1954" s="33"/>
      <c r="AS1954" s="34"/>
      <c r="AT1954" s="33"/>
      <c r="AV1954" s="21">
        <f>IF(AND($AL1954&lt;&gt;"",COUNTIF($AL$11:$AL1954,$AL1954)=1),1,0)</f>
        <v>0</v>
      </c>
      <c r="AW1954" s="21">
        <f t="shared" si="147"/>
        <v>2</v>
      </c>
      <c r="AX1954" s="21" t="str">
        <f t="shared" si="146"/>
        <v/>
      </c>
      <c r="AY1954" s="21" t="str">
        <f>IF(AND($AM1954&lt;&gt;"",$AS1954&lt;&gt;"✓"),SUMPRODUCT(($AM$11:$AM1954&lt;&gt;"")*($AS$11:$AS1954&lt;&gt;"✓")),"")</f>
        <v/>
      </c>
      <c r="AZ1954" s="21" t="str">
        <f>IF(AND($AM1954&lt;&gt;"",$AS1954="✓"),SUMPRODUCT(($AM$11:$AM1954&lt;&gt;"")*($AS$11:$AS1954="✓")),"")</f>
        <v/>
      </c>
      <c r="BA1954" s="21" t="str">
        <f>IF($AL1954="","",$AL1954&amp;"|"&amp;COUNTIF($AL$11:$AL1954,$AL1954))</f>
        <v/>
      </c>
    </row>
    <row r="1955" spans="38:53" ht="15" customHeight="1" x14ac:dyDescent="0.25">
      <c r="AL1955" s="17"/>
      <c r="AM1955" s="12"/>
      <c r="AN1955" s="18"/>
      <c r="AO1955" s="18"/>
      <c r="AP1955" s="10"/>
      <c r="AQ1955" s="10"/>
      <c r="AR1955" s="19"/>
      <c r="AS1955" s="20"/>
      <c r="AT1955" s="19"/>
      <c r="AV1955" s="21">
        <f>IF(AND($AL1955&lt;&gt;"",COUNTIF($AL$11:$AL1955,$AL1955)=1),1,0)</f>
        <v>0</v>
      </c>
      <c r="AW1955" s="21">
        <f t="shared" si="147"/>
        <v>2</v>
      </c>
      <c r="AX1955" s="21" t="str">
        <f t="shared" si="146"/>
        <v/>
      </c>
      <c r="AY1955" s="21" t="str">
        <f>IF(AND($AM1955&lt;&gt;"",$AS1955&lt;&gt;"✓"),SUMPRODUCT(($AM$11:$AM1955&lt;&gt;"")*($AS$11:$AS1955&lt;&gt;"✓")),"")</f>
        <v/>
      </c>
      <c r="AZ1955" s="21" t="str">
        <f>IF(AND($AM1955&lt;&gt;"",$AS1955="✓"),SUMPRODUCT(($AM$11:$AM1955&lt;&gt;"")*($AS$11:$AS1955="✓")),"")</f>
        <v/>
      </c>
      <c r="BA1955" s="21" t="str">
        <f>IF($AL1955="","",$AL1955&amp;"|"&amp;COUNTIF($AL$11:$AL1955,$AL1955))</f>
        <v/>
      </c>
    </row>
    <row r="1956" spans="38:53" ht="15" customHeight="1" x14ac:dyDescent="0.25">
      <c r="AL1956" s="31"/>
      <c r="AM1956" s="26"/>
      <c r="AN1956" s="32"/>
      <c r="AO1956" s="32"/>
      <c r="AP1956" s="24"/>
      <c r="AQ1956" s="24"/>
      <c r="AR1956" s="33"/>
      <c r="AS1956" s="34"/>
      <c r="AT1956" s="33"/>
      <c r="AV1956" s="21">
        <f>IF(AND($AL1956&lt;&gt;"",COUNTIF($AL$11:$AL1956,$AL1956)=1),1,0)</f>
        <v>0</v>
      </c>
      <c r="AW1956" s="21">
        <f t="shared" si="147"/>
        <v>2</v>
      </c>
      <c r="AX1956" s="21" t="str">
        <f t="shared" si="146"/>
        <v/>
      </c>
      <c r="AY1956" s="21" t="str">
        <f>IF(AND($AM1956&lt;&gt;"",$AS1956&lt;&gt;"✓"),SUMPRODUCT(($AM$11:$AM1956&lt;&gt;"")*($AS$11:$AS1956&lt;&gt;"✓")),"")</f>
        <v/>
      </c>
      <c r="AZ1956" s="21" t="str">
        <f>IF(AND($AM1956&lt;&gt;"",$AS1956="✓"),SUMPRODUCT(($AM$11:$AM1956&lt;&gt;"")*($AS$11:$AS1956="✓")),"")</f>
        <v/>
      </c>
      <c r="BA1956" s="21" t="str">
        <f>IF($AL1956="","",$AL1956&amp;"|"&amp;COUNTIF($AL$11:$AL1956,$AL1956))</f>
        <v/>
      </c>
    </row>
    <row r="1957" spans="38:53" ht="15" customHeight="1" x14ac:dyDescent="0.25">
      <c r="AL1957" s="17"/>
      <c r="AM1957" s="12"/>
      <c r="AN1957" s="18"/>
      <c r="AO1957" s="18"/>
      <c r="AP1957" s="10"/>
      <c r="AQ1957" s="10"/>
      <c r="AR1957" s="19"/>
      <c r="AS1957" s="20"/>
      <c r="AT1957" s="19"/>
      <c r="AV1957" s="21">
        <f>IF(AND($AL1957&lt;&gt;"",COUNTIF($AL$11:$AL1957,$AL1957)=1),1,0)</f>
        <v>0</v>
      </c>
      <c r="AW1957" s="21">
        <f t="shared" si="147"/>
        <v>2</v>
      </c>
      <c r="AX1957" s="21" t="str">
        <f t="shared" si="146"/>
        <v/>
      </c>
      <c r="AY1957" s="21" t="str">
        <f>IF(AND($AM1957&lt;&gt;"",$AS1957&lt;&gt;"✓"),SUMPRODUCT(($AM$11:$AM1957&lt;&gt;"")*($AS$11:$AS1957&lt;&gt;"✓")),"")</f>
        <v/>
      </c>
      <c r="AZ1957" s="21" t="str">
        <f>IF(AND($AM1957&lt;&gt;"",$AS1957="✓"),SUMPRODUCT(($AM$11:$AM1957&lt;&gt;"")*($AS$11:$AS1957="✓")),"")</f>
        <v/>
      </c>
      <c r="BA1957" s="21" t="str">
        <f>IF($AL1957="","",$AL1957&amp;"|"&amp;COUNTIF($AL$11:$AL1957,$AL1957))</f>
        <v/>
      </c>
    </row>
    <row r="1958" spans="38:53" ht="15" customHeight="1" x14ac:dyDescent="0.25">
      <c r="AL1958" s="31"/>
      <c r="AM1958" s="26"/>
      <c r="AN1958" s="32"/>
      <c r="AO1958" s="32"/>
      <c r="AP1958" s="24"/>
      <c r="AQ1958" s="24"/>
      <c r="AR1958" s="33"/>
      <c r="AS1958" s="34"/>
      <c r="AT1958" s="33"/>
      <c r="AV1958" s="21">
        <f>IF(AND($AL1958&lt;&gt;"",COUNTIF($AL$11:$AL1958,$AL1958)=1),1,0)</f>
        <v>0</v>
      </c>
      <c r="AW1958" s="21">
        <f t="shared" si="147"/>
        <v>2</v>
      </c>
      <c r="AX1958" s="21" t="str">
        <f t="shared" si="146"/>
        <v/>
      </c>
      <c r="AY1958" s="21" t="str">
        <f>IF(AND($AM1958&lt;&gt;"",$AS1958&lt;&gt;"✓"),SUMPRODUCT(($AM$11:$AM1958&lt;&gt;"")*($AS$11:$AS1958&lt;&gt;"✓")),"")</f>
        <v/>
      </c>
      <c r="AZ1958" s="21" t="str">
        <f>IF(AND($AM1958&lt;&gt;"",$AS1958="✓"),SUMPRODUCT(($AM$11:$AM1958&lt;&gt;"")*($AS$11:$AS1958="✓")),"")</f>
        <v/>
      </c>
      <c r="BA1958" s="21" t="str">
        <f>IF($AL1958="","",$AL1958&amp;"|"&amp;COUNTIF($AL$11:$AL1958,$AL1958))</f>
        <v/>
      </c>
    </row>
    <row r="1959" spans="38:53" ht="15" customHeight="1" x14ac:dyDescent="0.25">
      <c r="AL1959" s="17"/>
      <c r="AM1959" s="12"/>
      <c r="AN1959" s="18"/>
      <c r="AO1959" s="18"/>
      <c r="AP1959" s="10"/>
      <c r="AQ1959" s="10"/>
      <c r="AR1959" s="19"/>
      <c r="AS1959" s="20"/>
      <c r="AT1959" s="19"/>
      <c r="AV1959" s="21">
        <f>IF(AND($AL1959&lt;&gt;"",COUNTIF($AL$11:$AL1959,$AL1959)=1),1,0)</f>
        <v>0</v>
      </c>
      <c r="AW1959" s="21">
        <f t="shared" si="147"/>
        <v>2</v>
      </c>
      <c r="AX1959" s="21" t="str">
        <f t="shared" si="146"/>
        <v/>
      </c>
      <c r="AY1959" s="21" t="str">
        <f>IF(AND($AM1959&lt;&gt;"",$AS1959&lt;&gt;"✓"),SUMPRODUCT(($AM$11:$AM1959&lt;&gt;"")*($AS$11:$AS1959&lt;&gt;"✓")),"")</f>
        <v/>
      </c>
      <c r="AZ1959" s="21" t="str">
        <f>IF(AND($AM1959&lt;&gt;"",$AS1959="✓"),SUMPRODUCT(($AM$11:$AM1959&lt;&gt;"")*($AS$11:$AS1959="✓")),"")</f>
        <v/>
      </c>
      <c r="BA1959" s="21" t="str">
        <f>IF($AL1959="","",$AL1959&amp;"|"&amp;COUNTIF($AL$11:$AL1959,$AL1959))</f>
        <v/>
      </c>
    </row>
    <row r="1960" spans="38:53" ht="15" customHeight="1" x14ac:dyDescent="0.25">
      <c r="AL1960" s="31"/>
      <c r="AM1960" s="26"/>
      <c r="AN1960" s="32"/>
      <c r="AO1960" s="32"/>
      <c r="AP1960" s="24"/>
      <c r="AQ1960" s="24"/>
      <c r="AR1960" s="33"/>
      <c r="AS1960" s="34"/>
      <c r="AT1960" s="33"/>
      <c r="AV1960" s="21">
        <f>IF(AND($AL1960&lt;&gt;"",COUNTIF($AL$11:$AL1960,$AL1960)=1),1,0)</f>
        <v>0</v>
      </c>
      <c r="AW1960" s="21">
        <f t="shared" si="147"/>
        <v>2</v>
      </c>
      <c r="AX1960" s="21" t="str">
        <f t="shared" si="146"/>
        <v/>
      </c>
      <c r="AY1960" s="21" t="str">
        <f>IF(AND($AM1960&lt;&gt;"",$AS1960&lt;&gt;"✓"),SUMPRODUCT(($AM$11:$AM1960&lt;&gt;"")*($AS$11:$AS1960&lt;&gt;"✓")),"")</f>
        <v/>
      </c>
      <c r="AZ1960" s="21" t="str">
        <f>IF(AND($AM1960&lt;&gt;"",$AS1960="✓"),SUMPRODUCT(($AM$11:$AM1960&lt;&gt;"")*($AS$11:$AS1960="✓")),"")</f>
        <v/>
      </c>
      <c r="BA1960" s="21" t="str">
        <f>IF($AL1960="","",$AL1960&amp;"|"&amp;COUNTIF($AL$11:$AL1960,$AL1960))</f>
        <v/>
      </c>
    </row>
    <row r="1961" spans="38:53" ht="15" customHeight="1" x14ac:dyDescent="0.25">
      <c r="AL1961" s="17"/>
      <c r="AM1961" s="12"/>
      <c r="AN1961" s="18"/>
      <c r="AO1961" s="18"/>
      <c r="AP1961" s="10"/>
      <c r="AQ1961" s="10"/>
      <c r="AR1961" s="19"/>
      <c r="AS1961" s="20"/>
      <c r="AT1961" s="19"/>
      <c r="AV1961" s="21">
        <f>IF(AND($AL1961&lt;&gt;"",COUNTIF($AL$11:$AL1961,$AL1961)=1),1,0)</f>
        <v>0</v>
      </c>
      <c r="AW1961" s="21">
        <f t="shared" si="147"/>
        <v>2</v>
      </c>
      <c r="AX1961" s="21" t="str">
        <f t="shared" si="146"/>
        <v/>
      </c>
      <c r="AY1961" s="21" t="str">
        <f>IF(AND($AM1961&lt;&gt;"",$AS1961&lt;&gt;"✓"),SUMPRODUCT(($AM$11:$AM1961&lt;&gt;"")*($AS$11:$AS1961&lt;&gt;"✓")),"")</f>
        <v/>
      </c>
      <c r="AZ1961" s="21" t="str">
        <f>IF(AND($AM1961&lt;&gt;"",$AS1961="✓"),SUMPRODUCT(($AM$11:$AM1961&lt;&gt;"")*($AS$11:$AS1961="✓")),"")</f>
        <v/>
      </c>
      <c r="BA1961" s="21" t="str">
        <f>IF($AL1961="","",$AL1961&amp;"|"&amp;COUNTIF($AL$11:$AL1961,$AL1961))</f>
        <v/>
      </c>
    </row>
    <row r="1962" spans="38:53" ht="15" customHeight="1" x14ac:dyDescent="0.25">
      <c r="AL1962" s="31"/>
      <c r="AM1962" s="26"/>
      <c r="AN1962" s="32"/>
      <c r="AO1962" s="32"/>
      <c r="AP1962" s="24"/>
      <c r="AQ1962" s="24"/>
      <c r="AR1962" s="33"/>
      <c r="AS1962" s="34"/>
      <c r="AT1962" s="33"/>
      <c r="AV1962" s="21">
        <f>IF(AND($AL1962&lt;&gt;"",COUNTIF($AL$11:$AL1962,$AL1962)=1),1,0)</f>
        <v>0</v>
      </c>
      <c r="AW1962" s="21">
        <f t="shared" si="147"/>
        <v>2</v>
      </c>
      <c r="AX1962" s="21" t="str">
        <f t="shared" si="146"/>
        <v/>
      </c>
      <c r="AY1962" s="21" t="str">
        <f>IF(AND($AM1962&lt;&gt;"",$AS1962&lt;&gt;"✓"),SUMPRODUCT(($AM$11:$AM1962&lt;&gt;"")*($AS$11:$AS1962&lt;&gt;"✓")),"")</f>
        <v/>
      </c>
      <c r="AZ1962" s="21" t="str">
        <f>IF(AND($AM1962&lt;&gt;"",$AS1962="✓"),SUMPRODUCT(($AM$11:$AM1962&lt;&gt;"")*($AS$11:$AS1962="✓")),"")</f>
        <v/>
      </c>
      <c r="BA1962" s="21" t="str">
        <f>IF($AL1962="","",$AL1962&amp;"|"&amp;COUNTIF($AL$11:$AL1962,$AL1962))</f>
        <v/>
      </c>
    </row>
    <row r="1963" spans="38:53" ht="15" customHeight="1" x14ac:dyDescent="0.25">
      <c r="AL1963" s="17"/>
      <c r="AM1963" s="12"/>
      <c r="AN1963" s="18"/>
      <c r="AO1963" s="18"/>
      <c r="AP1963" s="10"/>
      <c r="AQ1963" s="10"/>
      <c r="AR1963" s="19"/>
      <c r="AS1963" s="20"/>
      <c r="AT1963" s="19"/>
      <c r="AV1963" s="21">
        <f>IF(AND($AL1963&lt;&gt;"",COUNTIF($AL$11:$AL1963,$AL1963)=1),1,0)</f>
        <v>0</v>
      </c>
      <c r="AW1963" s="21">
        <f t="shared" si="147"/>
        <v>2</v>
      </c>
      <c r="AX1963" s="21" t="str">
        <f t="shared" si="146"/>
        <v/>
      </c>
      <c r="AY1963" s="21" t="str">
        <f>IF(AND($AM1963&lt;&gt;"",$AS1963&lt;&gt;"✓"),SUMPRODUCT(($AM$11:$AM1963&lt;&gt;"")*($AS$11:$AS1963&lt;&gt;"✓")),"")</f>
        <v/>
      </c>
      <c r="AZ1963" s="21" t="str">
        <f>IF(AND($AM1963&lt;&gt;"",$AS1963="✓"),SUMPRODUCT(($AM$11:$AM1963&lt;&gt;"")*($AS$11:$AS1963="✓")),"")</f>
        <v/>
      </c>
      <c r="BA1963" s="21" t="str">
        <f>IF($AL1963="","",$AL1963&amp;"|"&amp;COUNTIF($AL$11:$AL1963,$AL1963))</f>
        <v/>
      </c>
    </row>
    <row r="1964" spans="38:53" ht="15" customHeight="1" x14ac:dyDescent="0.25">
      <c r="AL1964" s="31"/>
      <c r="AM1964" s="26"/>
      <c r="AN1964" s="32"/>
      <c r="AO1964" s="32"/>
      <c r="AP1964" s="24"/>
      <c r="AQ1964" s="24"/>
      <c r="AR1964" s="33"/>
      <c r="AS1964" s="34"/>
      <c r="AT1964" s="33"/>
      <c r="AV1964" s="21">
        <f>IF(AND($AL1964&lt;&gt;"",COUNTIF($AL$11:$AL1964,$AL1964)=1),1,0)</f>
        <v>0</v>
      </c>
      <c r="AW1964" s="21">
        <f t="shared" si="147"/>
        <v>2</v>
      </c>
      <c r="AX1964" s="21" t="str">
        <f t="shared" si="146"/>
        <v/>
      </c>
      <c r="AY1964" s="21" t="str">
        <f>IF(AND($AM1964&lt;&gt;"",$AS1964&lt;&gt;"✓"),SUMPRODUCT(($AM$11:$AM1964&lt;&gt;"")*($AS$11:$AS1964&lt;&gt;"✓")),"")</f>
        <v/>
      </c>
      <c r="AZ1964" s="21" t="str">
        <f>IF(AND($AM1964&lt;&gt;"",$AS1964="✓"),SUMPRODUCT(($AM$11:$AM1964&lt;&gt;"")*($AS$11:$AS1964="✓")),"")</f>
        <v/>
      </c>
      <c r="BA1964" s="21" t="str">
        <f>IF($AL1964="","",$AL1964&amp;"|"&amp;COUNTIF($AL$11:$AL1964,$AL1964))</f>
        <v/>
      </c>
    </row>
    <row r="1965" spans="38:53" ht="15" customHeight="1" x14ac:dyDescent="0.25">
      <c r="AL1965" s="17"/>
      <c r="AM1965" s="12"/>
      <c r="AN1965" s="18"/>
      <c r="AO1965" s="18"/>
      <c r="AP1965" s="10"/>
      <c r="AQ1965" s="10"/>
      <c r="AR1965" s="19"/>
      <c r="AS1965" s="20"/>
      <c r="AT1965" s="19"/>
      <c r="AV1965" s="21">
        <f>IF(AND($AL1965&lt;&gt;"",COUNTIF($AL$11:$AL1965,$AL1965)=1),1,0)</f>
        <v>0</v>
      </c>
      <c r="AW1965" s="21">
        <f t="shared" si="147"/>
        <v>2</v>
      </c>
      <c r="AX1965" s="21" t="str">
        <f t="shared" si="146"/>
        <v/>
      </c>
      <c r="AY1965" s="21" t="str">
        <f>IF(AND($AM1965&lt;&gt;"",$AS1965&lt;&gt;"✓"),SUMPRODUCT(($AM$11:$AM1965&lt;&gt;"")*($AS$11:$AS1965&lt;&gt;"✓")),"")</f>
        <v/>
      </c>
      <c r="AZ1965" s="21" t="str">
        <f>IF(AND($AM1965&lt;&gt;"",$AS1965="✓"),SUMPRODUCT(($AM$11:$AM1965&lt;&gt;"")*($AS$11:$AS1965="✓")),"")</f>
        <v/>
      </c>
      <c r="BA1965" s="21" t="str">
        <f>IF($AL1965="","",$AL1965&amp;"|"&amp;COUNTIF($AL$11:$AL1965,$AL1965))</f>
        <v/>
      </c>
    </row>
    <row r="1966" spans="38:53" ht="15" customHeight="1" x14ac:dyDescent="0.25">
      <c r="AL1966" s="31"/>
      <c r="AM1966" s="26"/>
      <c r="AN1966" s="32"/>
      <c r="AO1966" s="32"/>
      <c r="AP1966" s="24"/>
      <c r="AQ1966" s="24"/>
      <c r="AR1966" s="33"/>
      <c r="AS1966" s="34"/>
      <c r="AT1966" s="33"/>
      <c r="AV1966" s="21">
        <f>IF(AND($AL1966&lt;&gt;"",COUNTIF($AL$11:$AL1966,$AL1966)=1),1,0)</f>
        <v>0</v>
      </c>
      <c r="AW1966" s="21">
        <f t="shared" si="147"/>
        <v>2</v>
      </c>
      <c r="AX1966" s="21" t="str">
        <f t="shared" si="146"/>
        <v/>
      </c>
      <c r="AY1966" s="21" t="str">
        <f>IF(AND($AM1966&lt;&gt;"",$AS1966&lt;&gt;"✓"),SUMPRODUCT(($AM$11:$AM1966&lt;&gt;"")*($AS$11:$AS1966&lt;&gt;"✓")),"")</f>
        <v/>
      </c>
      <c r="AZ1966" s="21" t="str">
        <f>IF(AND($AM1966&lt;&gt;"",$AS1966="✓"),SUMPRODUCT(($AM$11:$AM1966&lt;&gt;"")*($AS$11:$AS1966="✓")),"")</f>
        <v/>
      </c>
      <c r="BA1966" s="21" t="str">
        <f>IF($AL1966="","",$AL1966&amp;"|"&amp;COUNTIF($AL$11:$AL1966,$AL1966))</f>
        <v/>
      </c>
    </row>
    <row r="1967" spans="38:53" ht="15" customHeight="1" x14ac:dyDescent="0.25">
      <c r="AL1967" s="17"/>
      <c r="AM1967" s="12"/>
      <c r="AN1967" s="18"/>
      <c r="AO1967" s="18"/>
      <c r="AP1967" s="10"/>
      <c r="AQ1967" s="10"/>
      <c r="AR1967" s="19"/>
      <c r="AS1967" s="20"/>
      <c r="AT1967" s="19"/>
      <c r="AV1967" s="21">
        <f>IF(AND($AL1967&lt;&gt;"",COUNTIF($AL$11:$AL1967,$AL1967)=1),1,0)</f>
        <v>0</v>
      </c>
      <c r="AW1967" s="21">
        <f t="shared" si="147"/>
        <v>2</v>
      </c>
      <c r="AX1967" s="21" t="str">
        <f t="shared" si="146"/>
        <v/>
      </c>
      <c r="AY1967" s="21" t="str">
        <f>IF(AND($AM1967&lt;&gt;"",$AS1967&lt;&gt;"✓"),SUMPRODUCT(($AM$11:$AM1967&lt;&gt;"")*($AS$11:$AS1967&lt;&gt;"✓")),"")</f>
        <v/>
      </c>
      <c r="AZ1967" s="21" t="str">
        <f>IF(AND($AM1967&lt;&gt;"",$AS1967="✓"),SUMPRODUCT(($AM$11:$AM1967&lt;&gt;"")*($AS$11:$AS1967="✓")),"")</f>
        <v/>
      </c>
      <c r="BA1967" s="21" t="str">
        <f>IF($AL1967="","",$AL1967&amp;"|"&amp;COUNTIF($AL$11:$AL1967,$AL1967))</f>
        <v/>
      </c>
    </row>
    <row r="1968" spans="38:53" ht="15" customHeight="1" x14ac:dyDescent="0.25">
      <c r="AL1968" s="31"/>
      <c r="AM1968" s="26"/>
      <c r="AN1968" s="32"/>
      <c r="AO1968" s="32"/>
      <c r="AP1968" s="24"/>
      <c r="AQ1968" s="24"/>
      <c r="AR1968" s="33"/>
      <c r="AS1968" s="34"/>
      <c r="AT1968" s="33"/>
      <c r="AV1968" s="21">
        <f>IF(AND($AL1968&lt;&gt;"",COUNTIF($AL$11:$AL1968,$AL1968)=1),1,0)</f>
        <v>0</v>
      </c>
      <c r="AW1968" s="21">
        <f t="shared" si="147"/>
        <v>2</v>
      </c>
      <c r="AX1968" s="21" t="str">
        <f t="shared" si="146"/>
        <v/>
      </c>
      <c r="AY1968" s="21" t="str">
        <f>IF(AND($AM1968&lt;&gt;"",$AS1968&lt;&gt;"✓"),SUMPRODUCT(($AM$11:$AM1968&lt;&gt;"")*($AS$11:$AS1968&lt;&gt;"✓")),"")</f>
        <v/>
      </c>
      <c r="AZ1968" s="21" t="str">
        <f>IF(AND($AM1968&lt;&gt;"",$AS1968="✓"),SUMPRODUCT(($AM$11:$AM1968&lt;&gt;"")*($AS$11:$AS1968="✓")),"")</f>
        <v/>
      </c>
      <c r="BA1968" s="21" t="str">
        <f>IF($AL1968="","",$AL1968&amp;"|"&amp;COUNTIF($AL$11:$AL1968,$AL1968))</f>
        <v/>
      </c>
    </row>
    <row r="1969" spans="38:53" ht="15" customHeight="1" x14ac:dyDescent="0.25">
      <c r="AL1969" s="17"/>
      <c r="AM1969" s="12"/>
      <c r="AN1969" s="18"/>
      <c r="AO1969" s="18"/>
      <c r="AP1969" s="10"/>
      <c r="AQ1969" s="10"/>
      <c r="AR1969" s="19"/>
      <c r="AS1969" s="20"/>
      <c r="AT1969" s="19"/>
      <c r="AV1969" s="21">
        <f>IF(AND($AL1969&lt;&gt;"",COUNTIF($AL$11:$AL1969,$AL1969)=1),1,0)</f>
        <v>0</v>
      </c>
      <c r="AW1969" s="21">
        <f t="shared" si="147"/>
        <v>2</v>
      </c>
      <c r="AX1969" s="21" t="str">
        <f t="shared" si="146"/>
        <v/>
      </c>
      <c r="AY1969" s="21" t="str">
        <f>IF(AND($AM1969&lt;&gt;"",$AS1969&lt;&gt;"✓"),SUMPRODUCT(($AM$11:$AM1969&lt;&gt;"")*($AS$11:$AS1969&lt;&gt;"✓")),"")</f>
        <v/>
      </c>
      <c r="AZ1969" s="21" t="str">
        <f>IF(AND($AM1969&lt;&gt;"",$AS1969="✓"),SUMPRODUCT(($AM$11:$AM1969&lt;&gt;"")*($AS$11:$AS1969="✓")),"")</f>
        <v/>
      </c>
      <c r="BA1969" s="21" t="str">
        <f>IF($AL1969="","",$AL1969&amp;"|"&amp;COUNTIF($AL$11:$AL1969,$AL1969))</f>
        <v/>
      </c>
    </row>
    <row r="1970" spans="38:53" ht="15" customHeight="1" x14ac:dyDescent="0.25">
      <c r="AL1970" s="31"/>
      <c r="AM1970" s="26"/>
      <c r="AN1970" s="32"/>
      <c r="AO1970" s="32"/>
      <c r="AP1970" s="24"/>
      <c r="AQ1970" s="24"/>
      <c r="AR1970" s="33"/>
      <c r="AS1970" s="34"/>
      <c r="AT1970" s="33"/>
      <c r="AV1970" s="21">
        <f>IF(AND($AL1970&lt;&gt;"",COUNTIF($AL$11:$AL1970,$AL1970)=1),1,0)</f>
        <v>0</v>
      </c>
      <c r="AW1970" s="21">
        <f t="shared" si="147"/>
        <v>2</v>
      </c>
      <c r="AX1970" s="21" t="str">
        <f t="shared" si="146"/>
        <v/>
      </c>
      <c r="AY1970" s="21" t="str">
        <f>IF(AND($AM1970&lt;&gt;"",$AS1970&lt;&gt;"✓"),SUMPRODUCT(($AM$11:$AM1970&lt;&gt;"")*($AS$11:$AS1970&lt;&gt;"✓")),"")</f>
        <v/>
      </c>
      <c r="AZ1970" s="21" t="str">
        <f>IF(AND($AM1970&lt;&gt;"",$AS1970="✓"),SUMPRODUCT(($AM$11:$AM1970&lt;&gt;"")*($AS$11:$AS1970="✓")),"")</f>
        <v/>
      </c>
      <c r="BA1970" s="21" t="str">
        <f>IF($AL1970="","",$AL1970&amp;"|"&amp;COUNTIF($AL$11:$AL1970,$AL1970))</f>
        <v/>
      </c>
    </row>
    <row r="1971" spans="38:53" ht="15" customHeight="1" x14ac:dyDescent="0.25">
      <c r="AL1971" s="17"/>
      <c r="AM1971" s="12"/>
      <c r="AN1971" s="18"/>
      <c r="AO1971" s="18"/>
      <c r="AP1971" s="10"/>
      <c r="AQ1971" s="10"/>
      <c r="AR1971" s="19"/>
      <c r="AS1971" s="20"/>
      <c r="AT1971" s="19"/>
      <c r="AV1971" s="21">
        <f>IF(AND($AL1971&lt;&gt;"",COUNTIF($AL$11:$AL1971,$AL1971)=1),1,0)</f>
        <v>0</v>
      </c>
      <c r="AW1971" s="21">
        <f t="shared" si="147"/>
        <v>2</v>
      </c>
      <c r="AX1971" s="21" t="str">
        <f t="shared" si="146"/>
        <v/>
      </c>
      <c r="AY1971" s="21" t="str">
        <f>IF(AND($AM1971&lt;&gt;"",$AS1971&lt;&gt;"✓"),SUMPRODUCT(($AM$11:$AM1971&lt;&gt;"")*($AS$11:$AS1971&lt;&gt;"✓")),"")</f>
        <v/>
      </c>
      <c r="AZ1971" s="21" t="str">
        <f>IF(AND($AM1971&lt;&gt;"",$AS1971="✓"),SUMPRODUCT(($AM$11:$AM1971&lt;&gt;"")*($AS$11:$AS1971="✓")),"")</f>
        <v/>
      </c>
      <c r="BA1971" s="21" t="str">
        <f>IF($AL1971="","",$AL1971&amp;"|"&amp;COUNTIF($AL$11:$AL1971,$AL1971))</f>
        <v/>
      </c>
    </row>
    <row r="1972" spans="38:53" ht="15" customHeight="1" x14ac:dyDescent="0.25">
      <c r="AL1972" s="31"/>
      <c r="AM1972" s="26"/>
      <c r="AN1972" s="32"/>
      <c r="AO1972" s="32"/>
      <c r="AP1972" s="24"/>
      <c r="AQ1972" s="24"/>
      <c r="AR1972" s="33"/>
      <c r="AS1972" s="34"/>
      <c r="AT1972" s="33"/>
      <c r="AV1972" s="21">
        <f>IF(AND($AL1972&lt;&gt;"",COUNTIF($AL$11:$AL1972,$AL1972)=1),1,0)</f>
        <v>0</v>
      </c>
      <c r="AW1972" s="21">
        <f t="shared" si="147"/>
        <v>2</v>
      </c>
      <c r="AX1972" s="21" t="str">
        <f t="shared" si="146"/>
        <v/>
      </c>
      <c r="AY1972" s="21" t="str">
        <f>IF(AND($AM1972&lt;&gt;"",$AS1972&lt;&gt;"✓"),SUMPRODUCT(($AM$11:$AM1972&lt;&gt;"")*($AS$11:$AS1972&lt;&gt;"✓")),"")</f>
        <v/>
      </c>
      <c r="AZ1972" s="21" t="str">
        <f>IF(AND($AM1972&lt;&gt;"",$AS1972="✓"),SUMPRODUCT(($AM$11:$AM1972&lt;&gt;"")*($AS$11:$AS1972="✓")),"")</f>
        <v/>
      </c>
      <c r="BA1972" s="21" t="str">
        <f>IF($AL1972="","",$AL1972&amp;"|"&amp;COUNTIF($AL$11:$AL1972,$AL1972))</f>
        <v/>
      </c>
    </row>
    <row r="1973" spans="38:53" ht="15" customHeight="1" x14ac:dyDescent="0.25">
      <c r="AL1973" s="17"/>
      <c r="AM1973" s="12"/>
      <c r="AN1973" s="18"/>
      <c r="AO1973" s="18"/>
      <c r="AP1973" s="10"/>
      <c r="AQ1973" s="10"/>
      <c r="AR1973" s="19"/>
      <c r="AS1973" s="20"/>
      <c r="AT1973" s="19"/>
      <c r="AV1973" s="21">
        <f>IF(AND($AL1973&lt;&gt;"",COUNTIF($AL$11:$AL1973,$AL1973)=1),1,0)</f>
        <v>0</v>
      </c>
      <c r="AW1973" s="21">
        <f t="shared" si="147"/>
        <v>2</v>
      </c>
      <c r="AX1973" s="21" t="str">
        <f t="shared" si="146"/>
        <v/>
      </c>
      <c r="AY1973" s="21" t="str">
        <f>IF(AND($AM1973&lt;&gt;"",$AS1973&lt;&gt;"✓"),SUMPRODUCT(($AM$11:$AM1973&lt;&gt;"")*($AS$11:$AS1973&lt;&gt;"✓")),"")</f>
        <v/>
      </c>
      <c r="AZ1973" s="21" t="str">
        <f>IF(AND($AM1973&lt;&gt;"",$AS1973="✓"),SUMPRODUCT(($AM$11:$AM1973&lt;&gt;"")*($AS$11:$AS1973="✓")),"")</f>
        <v/>
      </c>
      <c r="BA1973" s="21" t="str">
        <f>IF($AL1973="","",$AL1973&amp;"|"&amp;COUNTIF($AL$11:$AL1973,$AL1973))</f>
        <v/>
      </c>
    </row>
    <row r="1974" spans="38:53" ht="15" customHeight="1" x14ac:dyDescent="0.25">
      <c r="AL1974" s="31"/>
      <c r="AM1974" s="26"/>
      <c r="AN1974" s="32"/>
      <c r="AO1974" s="32"/>
      <c r="AP1974" s="24"/>
      <c r="AQ1974" s="24"/>
      <c r="AR1974" s="33"/>
      <c r="AS1974" s="34"/>
      <c r="AT1974" s="33"/>
      <c r="AV1974" s="21">
        <f>IF(AND($AL1974&lt;&gt;"",COUNTIF($AL$11:$AL1974,$AL1974)=1),1,0)</f>
        <v>0</v>
      </c>
      <c r="AW1974" s="21">
        <f t="shared" si="147"/>
        <v>2</v>
      </c>
      <c r="AX1974" s="21" t="str">
        <f t="shared" si="146"/>
        <v/>
      </c>
      <c r="AY1974" s="21" t="str">
        <f>IF(AND($AM1974&lt;&gt;"",$AS1974&lt;&gt;"✓"),SUMPRODUCT(($AM$11:$AM1974&lt;&gt;"")*($AS$11:$AS1974&lt;&gt;"✓")),"")</f>
        <v/>
      </c>
      <c r="AZ1974" s="21" t="str">
        <f>IF(AND($AM1974&lt;&gt;"",$AS1974="✓"),SUMPRODUCT(($AM$11:$AM1974&lt;&gt;"")*($AS$11:$AS1974="✓")),"")</f>
        <v/>
      </c>
      <c r="BA1974" s="21" t="str">
        <f>IF($AL1974="","",$AL1974&amp;"|"&amp;COUNTIF($AL$11:$AL1974,$AL1974))</f>
        <v/>
      </c>
    </row>
    <row r="1975" spans="38:53" ht="15" customHeight="1" x14ac:dyDescent="0.25">
      <c r="AL1975" s="17"/>
      <c r="AM1975" s="12"/>
      <c r="AN1975" s="18"/>
      <c r="AO1975" s="18"/>
      <c r="AP1975" s="10"/>
      <c r="AQ1975" s="10"/>
      <c r="AR1975" s="19"/>
      <c r="AS1975" s="20"/>
      <c r="AT1975" s="19"/>
      <c r="AV1975" s="21">
        <f>IF(AND($AL1975&lt;&gt;"",COUNTIF($AL$11:$AL1975,$AL1975)=1),1,0)</f>
        <v>0</v>
      </c>
      <c r="AW1975" s="21">
        <f t="shared" si="147"/>
        <v>2</v>
      </c>
      <c r="AX1975" s="21" t="str">
        <f t="shared" si="146"/>
        <v/>
      </c>
      <c r="AY1975" s="21" t="str">
        <f>IF(AND($AM1975&lt;&gt;"",$AS1975&lt;&gt;"✓"),SUMPRODUCT(($AM$11:$AM1975&lt;&gt;"")*($AS$11:$AS1975&lt;&gt;"✓")),"")</f>
        <v/>
      </c>
      <c r="AZ1975" s="21" t="str">
        <f>IF(AND($AM1975&lt;&gt;"",$AS1975="✓"),SUMPRODUCT(($AM$11:$AM1975&lt;&gt;"")*($AS$11:$AS1975="✓")),"")</f>
        <v/>
      </c>
      <c r="BA1975" s="21" t="str">
        <f>IF($AL1975="","",$AL1975&amp;"|"&amp;COUNTIF($AL$11:$AL1975,$AL1975))</f>
        <v/>
      </c>
    </row>
    <row r="1976" spans="38:53" ht="15" customHeight="1" x14ac:dyDescent="0.25">
      <c r="AL1976" s="31"/>
      <c r="AM1976" s="26"/>
      <c r="AN1976" s="32"/>
      <c r="AO1976" s="32"/>
      <c r="AP1976" s="24"/>
      <c r="AQ1976" s="24"/>
      <c r="AR1976" s="33"/>
      <c r="AS1976" s="34"/>
      <c r="AT1976" s="33"/>
      <c r="AV1976" s="21">
        <f>IF(AND($AL1976&lt;&gt;"",COUNTIF($AL$11:$AL1976,$AL1976)=1),1,0)</f>
        <v>0</v>
      </c>
      <c r="AW1976" s="21">
        <f t="shared" si="147"/>
        <v>2</v>
      </c>
      <c r="AX1976" s="21" t="str">
        <f t="shared" si="146"/>
        <v/>
      </c>
      <c r="AY1976" s="21" t="str">
        <f>IF(AND($AM1976&lt;&gt;"",$AS1976&lt;&gt;"✓"),SUMPRODUCT(($AM$11:$AM1976&lt;&gt;"")*($AS$11:$AS1976&lt;&gt;"✓")),"")</f>
        <v/>
      </c>
      <c r="AZ1976" s="21" t="str">
        <f>IF(AND($AM1976&lt;&gt;"",$AS1976="✓"),SUMPRODUCT(($AM$11:$AM1976&lt;&gt;"")*($AS$11:$AS1976="✓")),"")</f>
        <v/>
      </c>
      <c r="BA1976" s="21" t="str">
        <f>IF($AL1976="","",$AL1976&amp;"|"&amp;COUNTIF($AL$11:$AL1976,$AL1976))</f>
        <v/>
      </c>
    </row>
    <row r="1977" spans="38:53" ht="15" customHeight="1" x14ac:dyDescent="0.25">
      <c r="AL1977" s="17"/>
      <c r="AM1977" s="12"/>
      <c r="AN1977" s="18"/>
      <c r="AO1977" s="18"/>
      <c r="AP1977" s="10"/>
      <c r="AQ1977" s="10"/>
      <c r="AR1977" s="19"/>
      <c r="AS1977" s="20"/>
      <c r="AT1977" s="19"/>
      <c r="AV1977" s="21">
        <f>IF(AND($AL1977&lt;&gt;"",COUNTIF($AL$11:$AL1977,$AL1977)=1),1,0)</f>
        <v>0</v>
      </c>
      <c r="AW1977" s="21">
        <f t="shared" si="147"/>
        <v>2</v>
      </c>
      <c r="AX1977" s="21" t="str">
        <f t="shared" si="146"/>
        <v/>
      </c>
      <c r="AY1977" s="21" t="str">
        <f>IF(AND($AM1977&lt;&gt;"",$AS1977&lt;&gt;"✓"),SUMPRODUCT(($AM$11:$AM1977&lt;&gt;"")*($AS$11:$AS1977&lt;&gt;"✓")),"")</f>
        <v/>
      </c>
      <c r="AZ1977" s="21" t="str">
        <f>IF(AND($AM1977&lt;&gt;"",$AS1977="✓"),SUMPRODUCT(($AM$11:$AM1977&lt;&gt;"")*($AS$11:$AS1977="✓")),"")</f>
        <v/>
      </c>
      <c r="BA1977" s="21" t="str">
        <f>IF($AL1977="","",$AL1977&amp;"|"&amp;COUNTIF($AL$11:$AL1977,$AL1977))</f>
        <v/>
      </c>
    </row>
    <row r="1978" spans="38:53" ht="15" customHeight="1" x14ac:dyDescent="0.25">
      <c r="AL1978" s="31"/>
      <c r="AM1978" s="26"/>
      <c r="AN1978" s="32"/>
      <c r="AO1978" s="32"/>
      <c r="AP1978" s="24"/>
      <c r="AQ1978" s="24"/>
      <c r="AR1978" s="33"/>
      <c r="AS1978" s="34"/>
      <c r="AT1978" s="33"/>
      <c r="AV1978" s="21">
        <f>IF(AND($AL1978&lt;&gt;"",COUNTIF($AL$11:$AL1978,$AL1978)=1),1,0)</f>
        <v>0</v>
      </c>
      <c r="AW1978" s="21">
        <f t="shared" si="147"/>
        <v>2</v>
      </c>
      <c r="AX1978" s="21" t="str">
        <f t="shared" si="146"/>
        <v/>
      </c>
      <c r="AY1978" s="21" t="str">
        <f>IF(AND($AM1978&lt;&gt;"",$AS1978&lt;&gt;"✓"),SUMPRODUCT(($AM$11:$AM1978&lt;&gt;"")*($AS$11:$AS1978&lt;&gt;"✓")),"")</f>
        <v/>
      </c>
      <c r="AZ1978" s="21" t="str">
        <f>IF(AND($AM1978&lt;&gt;"",$AS1978="✓"),SUMPRODUCT(($AM$11:$AM1978&lt;&gt;"")*($AS$11:$AS1978="✓")),"")</f>
        <v/>
      </c>
      <c r="BA1978" s="21" t="str">
        <f>IF($AL1978="","",$AL1978&amp;"|"&amp;COUNTIF($AL$11:$AL1978,$AL1978))</f>
        <v/>
      </c>
    </row>
    <row r="1979" spans="38:53" ht="15" customHeight="1" x14ac:dyDescent="0.25">
      <c r="AL1979" s="17"/>
      <c r="AM1979" s="12"/>
      <c r="AN1979" s="18"/>
      <c r="AO1979" s="18"/>
      <c r="AP1979" s="10"/>
      <c r="AQ1979" s="10"/>
      <c r="AR1979" s="19"/>
      <c r="AS1979" s="20"/>
      <c r="AT1979" s="19"/>
      <c r="AV1979" s="21">
        <f>IF(AND($AL1979&lt;&gt;"",COUNTIF($AL$11:$AL1979,$AL1979)=1),1,0)</f>
        <v>0</v>
      </c>
      <c r="AW1979" s="21">
        <f t="shared" si="147"/>
        <v>2</v>
      </c>
      <c r="AX1979" s="21" t="str">
        <f t="shared" si="146"/>
        <v/>
      </c>
      <c r="AY1979" s="21" t="str">
        <f>IF(AND($AM1979&lt;&gt;"",$AS1979&lt;&gt;"✓"),SUMPRODUCT(($AM$11:$AM1979&lt;&gt;"")*($AS$11:$AS1979&lt;&gt;"✓")),"")</f>
        <v/>
      </c>
      <c r="AZ1979" s="21" t="str">
        <f>IF(AND($AM1979&lt;&gt;"",$AS1979="✓"),SUMPRODUCT(($AM$11:$AM1979&lt;&gt;"")*($AS$11:$AS1979="✓")),"")</f>
        <v/>
      </c>
      <c r="BA1979" s="21" t="str">
        <f>IF($AL1979="","",$AL1979&amp;"|"&amp;COUNTIF($AL$11:$AL1979,$AL1979))</f>
        <v/>
      </c>
    </row>
    <row r="1980" spans="38:53" ht="15" customHeight="1" x14ac:dyDescent="0.25">
      <c r="AL1980" s="31"/>
      <c r="AM1980" s="26"/>
      <c r="AN1980" s="32"/>
      <c r="AO1980" s="32"/>
      <c r="AP1980" s="24"/>
      <c r="AQ1980" s="24"/>
      <c r="AR1980" s="33"/>
      <c r="AS1980" s="34"/>
      <c r="AT1980" s="33"/>
      <c r="AV1980" s="21">
        <f>IF(AND($AL1980&lt;&gt;"",COUNTIF($AL$11:$AL1980,$AL1980)=1),1,0)</f>
        <v>0</v>
      </c>
      <c r="AW1980" s="21">
        <f t="shared" si="147"/>
        <v>2</v>
      </c>
      <c r="AX1980" s="21" t="str">
        <f t="shared" si="146"/>
        <v/>
      </c>
      <c r="AY1980" s="21" t="str">
        <f>IF(AND($AM1980&lt;&gt;"",$AS1980&lt;&gt;"✓"),SUMPRODUCT(($AM$11:$AM1980&lt;&gt;"")*($AS$11:$AS1980&lt;&gt;"✓")),"")</f>
        <v/>
      </c>
      <c r="AZ1980" s="21" t="str">
        <f>IF(AND($AM1980&lt;&gt;"",$AS1980="✓"),SUMPRODUCT(($AM$11:$AM1980&lt;&gt;"")*($AS$11:$AS1980="✓")),"")</f>
        <v/>
      </c>
      <c r="BA1980" s="21" t="str">
        <f>IF($AL1980="","",$AL1980&amp;"|"&amp;COUNTIF($AL$11:$AL1980,$AL1980))</f>
        <v/>
      </c>
    </row>
    <row r="1981" spans="38:53" ht="15" customHeight="1" x14ac:dyDescent="0.25">
      <c r="AL1981" s="17"/>
      <c r="AM1981" s="12"/>
      <c r="AN1981" s="18"/>
      <c r="AO1981" s="18"/>
      <c r="AP1981" s="10"/>
      <c r="AQ1981" s="10"/>
      <c r="AR1981" s="19"/>
      <c r="AS1981" s="20"/>
      <c r="AT1981" s="19"/>
      <c r="AV1981" s="21">
        <f>IF(AND($AL1981&lt;&gt;"",COUNTIF($AL$11:$AL1981,$AL1981)=1),1,0)</f>
        <v>0</v>
      </c>
      <c r="AW1981" s="21">
        <f t="shared" si="147"/>
        <v>2</v>
      </c>
      <c r="AX1981" s="21" t="str">
        <f t="shared" si="146"/>
        <v/>
      </c>
      <c r="AY1981" s="21" t="str">
        <f>IF(AND($AM1981&lt;&gt;"",$AS1981&lt;&gt;"✓"),SUMPRODUCT(($AM$11:$AM1981&lt;&gt;"")*($AS$11:$AS1981&lt;&gt;"✓")),"")</f>
        <v/>
      </c>
      <c r="AZ1981" s="21" t="str">
        <f>IF(AND($AM1981&lt;&gt;"",$AS1981="✓"),SUMPRODUCT(($AM$11:$AM1981&lt;&gt;"")*($AS$11:$AS1981="✓")),"")</f>
        <v/>
      </c>
      <c r="BA1981" s="21" t="str">
        <f>IF($AL1981="","",$AL1981&amp;"|"&amp;COUNTIF($AL$11:$AL1981,$AL1981))</f>
        <v/>
      </c>
    </row>
    <row r="1982" spans="38:53" ht="15" customHeight="1" x14ac:dyDescent="0.25">
      <c r="AL1982" s="31"/>
      <c r="AM1982" s="26"/>
      <c r="AN1982" s="32"/>
      <c r="AO1982" s="32"/>
      <c r="AP1982" s="24"/>
      <c r="AQ1982" s="24"/>
      <c r="AR1982" s="33"/>
      <c r="AS1982" s="34"/>
      <c r="AT1982" s="33"/>
      <c r="AV1982" s="21">
        <f>IF(AND($AL1982&lt;&gt;"",COUNTIF($AL$11:$AL1982,$AL1982)=1),1,0)</f>
        <v>0</v>
      </c>
      <c r="AW1982" s="21">
        <f t="shared" si="147"/>
        <v>2</v>
      </c>
      <c r="AX1982" s="21" t="str">
        <f t="shared" si="146"/>
        <v/>
      </c>
      <c r="AY1982" s="21" t="str">
        <f>IF(AND($AM1982&lt;&gt;"",$AS1982&lt;&gt;"✓"),SUMPRODUCT(($AM$11:$AM1982&lt;&gt;"")*($AS$11:$AS1982&lt;&gt;"✓")),"")</f>
        <v/>
      </c>
      <c r="AZ1982" s="21" t="str">
        <f>IF(AND($AM1982&lt;&gt;"",$AS1982="✓"),SUMPRODUCT(($AM$11:$AM1982&lt;&gt;"")*($AS$11:$AS1982="✓")),"")</f>
        <v/>
      </c>
      <c r="BA1982" s="21" t="str">
        <f>IF($AL1982="","",$AL1982&amp;"|"&amp;COUNTIF($AL$11:$AL1982,$AL1982))</f>
        <v/>
      </c>
    </row>
    <row r="1983" spans="38:53" ht="15" customHeight="1" x14ac:dyDescent="0.25">
      <c r="AL1983" s="17"/>
      <c r="AM1983" s="12"/>
      <c r="AN1983" s="18"/>
      <c r="AO1983" s="18"/>
      <c r="AP1983" s="10"/>
      <c r="AQ1983" s="10"/>
      <c r="AR1983" s="19"/>
      <c r="AS1983" s="20"/>
      <c r="AT1983" s="19"/>
      <c r="AV1983" s="21">
        <f>IF(AND($AL1983&lt;&gt;"",COUNTIF($AL$11:$AL1983,$AL1983)=1),1,0)</f>
        <v>0</v>
      </c>
      <c r="AW1983" s="21">
        <f t="shared" si="147"/>
        <v>2</v>
      </c>
      <c r="AX1983" s="21" t="str">
        <f t="shared" si="146"/>
        <v/>
      </c>
      <c r="AY1983" s="21" t="str">
        <f>IF(AND($AM1983&lt;&gt;"",$AS1983&lt;&gt;"✓"),SUMPRODUCT(($AM$11:$AM1983&lt;&gt;"")*($AS$11:$AS1983&lt;&gt;"✓")),"")</f>
        <v/>
      </c>
      <c r="AZ1983" s="21" t="str">
        <f>IF(AND($AM1983&lt;&gt;"",$AS1983="✓"),SUMPRODUCT(($AM$11:$AM1983&lt;&gt;"")*($AS$11:$AS1983="✓")),"")</f>
        <v/>
      </c>
      <c r="BA1983" s="21" t="str">
        <f>IF($AL1983="","",$AL1983&amp;"|"&amp;COUNTIF($AL$11:$AL1983,$AL1983))</f>
        <v/>
      </c>
    </row>
    <row r="1984" spans="38:53" ht="15" customHeight="1" x14ac:dyDescent="0.25">
      <c r="AL1984" s="31"/>
      <c r="AM1984" s="26"/>
      <c r="AN1984" s="32"/>
      <c r="AO1984" s="32"/>
      <c r="AP1984" s="24"/>
      <c r="AQ1984" s="24"/>
      <c r="AR1984" s="33"/>
      <c r="AS1984" s="34"/>
      <c r="AT1984" s="33"/>
      <c r="AV1984" s="21">
        <f>IF(AND($AL1984&lt;&gt;"",COUNTIF($AL$11:$AL1984,$AL1984)=1),1,0)</f>
        <v>0</v>
      </c>
      <c r="AW1984" s="21">
        <f t="shared" si="147"/>
        <v>2</v>
      </c>
      <c r="AX1984" s="21" t="str">
        <f t="shared" si="146"/>
        <v/>
      </c>
      <c r="AY1984" s="21" t="str">
        <f>IF(AND($AM1984&lt;&gt;"",$AS1984&lt;&gt;"✓"),SUMPRODUCT(($AM$11:$AM1984&lt;&gt;"")*($AS$11:$AS1984&lt;&gt;"✓")),"")</f>
        <v/>
      </c>
      <c r="AZ1984" s="21" t="str">
        <f>IF(AND($AM1984&lt;&gt;"",$AS1984="✓"),SUMPRODUCT(($AM$11:$AM1984&lt;&gt;"")*($AS$11:$AS1984="✓")),"")</f>
        <v/>
      </c>
      <c r="BA1984" s="21" t="str">
        <f>IF($AL1984="","",$AL1984&amp;"|"&amp;COUNTIF($AL$11:$AL1984,$AL1984))</f>
        <v/>
      </c>
    </row>
    <row r="1985" spans="38:53" ht="15" customHeight="1" x14ac:dyDescent="0.25">
      <c r="AL1985" s="17"/>
      <c r="AM1985" s="12"/>
      <c r="AN1985" s="18"/>
      <c r="AO1985" s="18"/>
      <c r="AP1985" s="10"/>
      <c r="AQ1985" s="10"/>
      <c r="AR1985" s="19"/>
      <c r="AS1985" s="20"/>
      <c r="AT1985" s="19"/>
      <c r="AV1985" s="21">
        <f>IF(AND($AL1985&lt;&gt;"",COUNTIF($AL$11:$AL1985,$AL1985)=1),1,0)</f>
        <v>0</v>
      </c>
      <c r="AW1985" s="21">
        <f t="shared" si="147"/>
        <v>2</v>
      </c>
      <c r="AX1985" s="21" t="str">
        <f t="shared" si="146"/>
        <v/>
      </c>
      <c r="AY1985" s="21" t="str">
        <f>IF(AND($AM1985&lt;&gt;"",$AS1985&lt;&gt;"✓"),SUMPRODUCT(($AM$11:$AM1985&lt;&gt;"")*($AS$11:$AS1985&lt;&gt;"✓")),"")</f>
        <v/>
      </c>
      <c r="AZ1985" s="21" t="str">
        <f>IF(AND($AM1985&lt;&gt;"",$AS1985="✓"),SUMPRODUCT(($AM$11:$AM1985&lt;&gt;"")*($AS$11:$AS1985="✓")),"")</f>
        <v/>
      </c>
      <c r="BA1985" s="21" t="str">
        <f>IF($AL1985="","",$AL1985&amp;"|"&amp;COUNTIF($AL$11:$AL1985,$AL1985))</f>
        <v/>
      </c>
    </row>
    <row r="1986" spans="38:53" ht="15" customHeight="1" x14ac:dyDescent="0.25">
      <c r="AL1986" s="31"/>
      <c r="AM1986" s="26"/>
      <c r="AN1986" s="32"/>
      <c r="AO1986" s="32"/>
      <c r="AP1986" s="24"/>
      <c r="AQ1986" s="24"/>
      <c r="AR1986" s="33"/>
      <c r="AS1986" s="34"/>
      <c r="AT1986" s="33"/>
      <c r="AV1986" s="21">
        <f>IF(AND($AL1986&lt;&gt;"",COUNTIF($AL$11:$AL1986,$AL1986)=1),1,0)</f>
        <v>0</v>
      </c>
      <c r="AW1986" s="21">
        <f t="shared" si="147"/>
        <v>2</v>
      </c>
      <c r="AX1986" s="21" t="str">
        <f t="shared" si="146"/>
        <v/>
      </c>
      <c r="AY1986" s="21" t="str">
        <f>IF(AND($AM1986&lt;&gt;"",$AS1986&lt;&gt;"✓"),SUMPRODUCT(($AM$11:$AM1986&lt;&gt;"")*($AS$11:$AS1986&lt;&gt;"✓")),"")</f>
        <v/>
      </c>
      <c r="AZ1986" s="21" t="str">
        <f>IF(AND($AM1986&lt;&gt;"",$AS1986="✓"),SUMPRODUCT(($AM$11:$AM1986&lt;&gt;"")*($AS$11:$AS1986="✓")),"")</f>
        <v/>
      </c>
      <c r="BA1986" s="21" t="str">
        <f>IF($AL1986="","",$AL1986&amp;"|"&amp;COUNTIF($AL$11:$AL1986,$AL1986))</f>
        <v/>
      </c>
    </row>
    <row r="1987" spans="38:53" ht="15" customHeight="1" x14ac:dyDescent="0.25">
      <c r="AL1987" s="17"/>
      <c r="AM1987" s="12"/>
      <c r="AN1987" s="18"/>
      <c r="AO1987" s="18"/>
      <c r="AP1987" s="10"/>
      <c r="AQ1987" s="10"/>
      <c r="AR1987" s="19"/>
      <c r="AS1987" s="20"/>
      <c r="AT1987" s="19"/>
      <c r="AV1987" s="21">
        <f>IF(AND($AL1987&lt;&gt;"",COUNTIF($AL$11:$AL1987,$AL1987)=1),1,0)</f>
        <v>0</v>
      </c>
      <c r="AW1987" s="21">
        <f t="shared" si="147"/>
        <v>2</v>
      </c>
      <c r="AX1987" s="21" t="str">
        <f t="shared" si="146"/>
        <v/>
      </c>
      <c r="AY1987" s="21" t="str">
        <f>IF(AND($AM1987&lt;&gt;"",$AS1987&lt;&gt;"✓"),SUMPRODUCT(($AM$11:$AM1987&lt;&gt;"")*($AS$11:$AS1987&lt;&gt;"✓")),"")</f>
        <v/>
      </c>
      <c r="AZ1987" s="21" t="str">
        <f>IF(AND($AM1987&lt;&gt;"",$AS1987="✓"),SUMPRODUCT(($AM$11:$AM1987&lt;&gt;"")*($AS$11:$AS1987="✓")),"")</f>
        <v/>
      </c>
      <c r="BA1987" s="21" t="str">
        <f>IF($AL1987="","",$AL1987&amp;"|"&amp;COUNTIF($AL$11:$AL1987,$AL1987))</f>
        <v/>
      </c>
    </row>
    <row r="1988" spans="38:53" ht="15" customHeight="1" x14ac:dyDescent="0.25">
      <c r="AL1988" s="31"/>
      <c r="AM1988" s="26"/>
      <c r="AN1988" s="32"/>
      <c r="AO1988" s="32"/>
      <c r="AP1988" s="24"/>
      <c r="AQ1988" s="24"/>
      <c r="AR1988" s="33"/>
      <c r="AS1988" s="34"/>
      <c r="AT1988" s="33"/>
      <c r="AV1988" s="21">
        <f>IF(AND($AL1988&lt;&gt;"",COUNTIF($AL$11:$AL1988,$AL1988)=1),1,0)</f>
        <v>0</v>
      </c>
      <c r="AW1988" s="21">
        <f t="shared" si="147"/>
        <v>2</v>
      </c>
      <c r="AX1988" s="21" t="str">
        <f t="shared" si="146"/>
        <v/>
      </c>
      <c r="AY1988" s="21" t="str">
        <f>IF(AND($AM1988&lt;&gt;"",$AS1988&lt;&gt;"✓"),SUMPRODUCT(($AM$11:$AM1988&lt;&gt;"")*($AS$11:$AS1988&lt;&gt;"✓")),"")</f>
        <v/>
      </c>
      <c r="AZ1988" s="21" t="str">
        <f>IF(AND($AM1988&lt;&gt;"",$AS1988="✓"),SUMPRODUCT(($AM$11:$AM1988&lt;&gt;"")*($AS$11:$AS1988="✓")),"")</f>
        <v/>
      </c>
      <c r="BA1988" s="21" t="str">
        <f>IF($AL1988="","",$AL1988&amp;"|"&amp;COUNTIF($AL$11:$AL1988,$AL1988))</f>
        <v/>
      </c>
    </row>
    <row r="1989" spans="38:53" ht="15" customHeight="1" x14ac:dyDescent="0.25">
      <c r="AL1989" s="17"/>
      <c r="AM1989" s="12"/>
      <c r="AN1989" s="18"/>
      <c r="AO1989" s="18"/>
      <c r="AP1989" s="10"/>
      <c r="AQ1989" s="10"/>
      <c r="AR1989" s="19"/>
      <c r="AS1989" s="20"/>
      <c r="AT1989" s="19"/>
      <c r="AV1989" s="21">
        <f>IF(AND($AL1989&lt;&gt;"",COUNTIF($AL$11:$AL1989,$AL1989)=1),1,0)</f>
        <v>0</v>
      </c>
      <c r="AW1989" s="21">
        <f t="shared" si="147"/>
        <v>2</v>
      </c>
      <c r="AX1989" s="21" t="str">
        <f t="shared" si="146"/>
        <v/>
      </c>
      <c r="AY1989" s="21" t="str">
        <f>IF(AND($AM1989&lt;&gt;"",$AS1989&lt;&gt;"✓"),SUMPRODUCT(($AM$11:$AM1989&lt;&gt;"")*($AS$11:$AS1989&lt;&gt;"✓")),"")</f>
        <v/>
      </c>
      <c r="AZ1989" s="21" t="str">
        <f>IF(AND($AM1989&lt;&gt;"",$AS1989="✓"),SUMPRODUCT(($AM$11:$AM1989&lt;&gt;"")*($AS$11:$AS1989="✓")),"")</f>
        <v/>
      </c>
      <c r="BA1989" s="21" t="str">
        <f>IF($AL1989="","",$AL1989&amp;"|"&amp;COUNTIF($AL$11:$AL1989,$AL1989))</f>
        <v/>
      </c>
    </row>
    <row r="1990" spans="38:53" ht="15" customHeight="1" x14ac:dyDescent="0.25">
      <c r="AL1990" s="31"/>
      <c r="AM1990" s="26"/>
      <c r="AN1990" s="32"/>
      <c r="AO1990" s="32"/>
      <c r="AP1990" s="24"/>
      <c r="AQ1990" s="24"/>
      <c r="AR1990" s="33"/>
      <c r="AS1990" s="34"/>
      <c r="AT1990" s="33"/>
      <c r="AV1990" s="21">
        <f>IF(AND($AL1990&lt;&gt;"",COUNTIF($AL$11:$AL1990,$AL1990)=1),1,0)</f>
        <v>0</v>
      </c>
      <c r="AW1990" s="21">
        <f t="shared" si="147"/>
        <v>2</v>
      </c>
      <c r="AX1990" s="21" t="str">
        <f t="shared" si="146"/>
        <v/>
      </c>
      <c r="AY1990" s="21" t="str">
        <f>IF(AND($AM1990&lt;&gt;"",$AS1990&lt;&gt;"✓"),SUMPRODUCT(($AM$11:$AM1990&lt;&gt;"")*($AS$11:$AS1990&lt;&gt;"✓")),"")</f>
        <v/>
      </c>
      <c r="AZ1990" s="21" t="str">
        <f>IF(AND($AM1990&lt;&gt;"",$AS1990="✓"),SUMPRODUCT(($AM$11:$AM1990&lt;&gt;"")*($AS$11:$AS1990="✓")),"")</f>
        <v/>
      </c>
      <c r="BA1990" s="21" t="str">
        <f>IF($AL1990="","",$AL1990&amp;"|"&amp;COUNTIF($AL$11:$AL1990,$AL1990))</f>
        <v/>
      </c>
    </row>
    <row r="1991" spans="38:53" ht="15" customHeight="1" x14ac:dyDescent="0.25">
      <c r="AL1991" s="17"/>
      <c r="AM1991" s="12"/>
      <c r="AN1991" s="18"/>
      <c r="AO1991" s="18"/>
      <c r="AP1991" s="10"/>
      <c r="AQ1991" s="10"/>
      <c r="AR1991" s="19"/>
      <c r="AS1991" s="20"/>
      <c r="AT1991" s="19"/>
      <c r="AV1991" s="21">
        <f>IF(AND($AL1991&lt;&gt;"",COUNTIF($AL$11:$AL1991,$AL1991)=1),1,0)</f>
        <v>0</v>
      </c>
      <c r="AW1991" s="21">
        <f t="shared" si="147"/>
        <v>2</v>
      </c>
      <c r="AX1991" s="21" t="str">
        <f t="shared" si="146"/>
        <v/>
      </c>
      <c r="AY1991" s="21" t="str">
        <f>IF(AND($AM1991&lt;&gt;"",$AS1991&lt;&gt;"✓"),SUMPRODUCT(($AM$11:$AM1991&lt;&gt;"")*($AS$11:$AS1991&lt;&gt;"✓")),"")</f>
        <v/>
      </c>
      <c r="AZ1991" s="21" t="str">
        <f>IF(AND($AM1991&lt;&gt;"",$AS1991="✓"),SUMPRODUCT(($AM$11:$AM1991&lt;&gt;"")*($AS$11:$AS1991="✓")),"")</f>
        <v/>
      </c>
      <c r="BA1991" s="21" t="str">
        <f>IF($AL1991="","",$AL1991&amp;"|"&amp;COUNTIF($AL$11:$AL1991,$AL1991))</f>
        <v/>
      </c>
    </row>
    <row r="1992" spans="38:53" ht="15" customHeight="1" x14ac:dyDescent="0.25">
      <c r="AL1992" s="31"/>
      <c r="AM1992" s="26"/>
      <c r="AN1992" s="32"/>
      <c r="AO1992" s="32"/>
      <c r="AP1992" s="24"/>
      <c r="AQ1992" s="24"/>
      <c r="AR1992" s="33"/>
      <c r="AS1992" s="34"/>
      <c r="AT1992" s="33"/>
      <c r="AV1992" s="21">
        <f>IF(AND($AL1992&lt;&gt;"",COUNTIF($AL$11:$AL1992,$AL1992)=1),1,0)</f>
        <v>0</v>
      </c>
      <c r="AW1992" s="21">
        <f t="shared" si="147"/>
        <v>2</v>
      </c>
      <c r="AX1992" s="21" t="str">
        <f t="shared" si="146"/>
        <v/>
      </c>
      <c r="AY1992" s="21" t="str">
        <f>IF(AND($AM1992&lt;&gt;"",$AS1992&lt;&gt;"✓"),SUMPRODUCT(($AM$11:$AM1992&lt;&gt;"")*($AS$11:$AS1992&lt;&gt;"✓")),"")</f>
        <v/>
      </c>
      <c r="AZ1992" s="21" t="str">
        <f>IF(AND($AM1992&lt;&gt;"",$AS1992="✓"),SUMPRODUCT(($AM$11:$AM1992&lt;&gt;"")*($AS$11:$AS1992="✓")),"")</f>
        <v/>
      </c>
      <c r="BA1992" s="21" t="str">
        <f>IF($AL1992="","",$AL1992&amp;"|"&amp;COUNTIF($AL$11:$AL1992,$AL1992))</f>
        <v/>
      </c>
    </row>
    <row r="1993" spans="38:53" ht="15" customHeight="1" x14ac:dyDescent="0.25">
      <c r="AL1993" s="17"/>
      <c r="AM1993" s="12"/>
      <c r="AN1993" s="18"/>
      <c r="AO1993" s="18"/>
      <c r="AP1993" s="10"/>
      <c r="AQ1993" s="10"/>
      <c r="AR1993" s="19"/>
      <c r="AS1993" s="20"/>
      <c r="AT1993" s="19"/>
      <c r="AV1993" s="21">
        <f>IF(AND($AL1993&lt;&gt;"",COUNTIF($AL$11:$AL1993,$AL1993)=1),1,0)</f>
        <v>0</v>
      </c>
      <c r="AW1993" s="21">
        <f t="shared" si="147"/>
        <v>2</v>
      </c>
      <c r="AX1993" s="21" t="str">
        <f t="shared" si="146"/>
        <v/>
      </c>
      <c r="AY1993" s="21" t="str">
        <f>IF(AND($AM1993&lt;&gt;"",$AS1993&lt;&gt;"✓"),SUMPRODUCT(($AM$11:$AM1993&lt;&gt;"")*($AS$11:$AS1993&lt;&gt;"✓")),"")</f>
        <v/>
      </c>
      <c r="AZ1993" s="21" t="str">
        <f>IF(AND($AM1993&lt;&gt;"",$AS1993="✓"),SUMPRODUCT(($AM$11:$AM1993&lt;&gt;"")*($AS$11:$AS1993="✓")),"")</f>
        <v/>
      </c>
      <c r="BA1993" s="21" t="str">
        <f>IF($AL1993="","",$AL1993&amp;"|"&amp;COUNTIF($AL$11:$AL1993,$AL1993))</f>
        <v/>
      </c>
    </row>
    <row r="1994" spans="38:53" ht="15" customHeight="1" x14ac:dyDescent="0.25">
      <c r="AL1994" s="31"/>
      <c r="AM1994" s="26"/>
      <c r="AN1994" s="32"/>
      <c r="AO1994" s="32"/>
      <c r="AP1994" s="24"/>
      <c r="AQ1994" s="24"/>
      <c r="AR1994" s="33"/>
      <c r="AS1994" s="34"/>
      <c r="AT1994" s="33"/>
      <c r="AV1994" s="21">
        <f>IF(AND($AL1994&lt;&gt;"",COUNTIF($AL$11:$AL1994,$AL1994)=1),1,0)</f>
        <v>0</v>
      </c>
      <c r="AW1994" s="21">
        <f t="shared" si="147"/>
        <v>2</v>
      </c>
      <c r="AX1994" s="21" t="str">
        <f t="shared" si="146"/>
        <v/>
      </c>
      <c r="AY1994" s="21" t="str">
        <f>IF(AND($AM1994&lt;&gt;"",$AS1994&lt;&gt;"✓"),SUMPRODUCT(($AM$11:$AM1994&lt;&gt;"")*($AS$11:$AS1994&lt;&gt;"✓")),"")</f>
        <v/>
      </c>
      <c r="AZ1994" s="21" t="str">
        <f>IF(AND($AM1994&lt;&gt;"",$AS1994="✓"),SUMPRODUCT(($AM$11:$AM1994&lt;&gt;"")*($AS$11:$AS1994="✓")),"")</f>
        <v/>
      </c>
      <c r="BA1994" s="21" t="str">
        <f>IF($AL1994="","",$AL1994&amp;"|"&amp;COUNTIF($AL$11:$AL1994,$AL1994))</f>
        <v/>
      </c>
    </row>
    <row r="1995" spans="38:53" ht="15" customHeight="1" x14ac:dyDescent="0.25">
      <c r="AL1995" s="17"/>
      <c r="AM1995" s="12"/>
      <c r="AN1995" s="18"/>
      <c r="AO1995" s="18"/>
      <c r="AP1995" s="10"/>
      <c r="AQ1995" s="10"/>
      <c r="AR1995" s="19"/>
      <c r="AS1995" s="20"/>
      <c r="AT1995" s="19"/>
      <c r="AV1995" s="21">
        <f>IF(AND($AL1995&lt;&gt;"",COUNTIF($AL$11:$AL1995,$AL1995)=1),1,0)</f>
        <v>0</v>
      </c>
      <c r="AW1995" s="21">
        <f t="shared" si="147"/>
        <v>2</v>
      </c>
      <c r="AX1995" s="21" t="str">
        <f t="shared" ref="AX1995:AX2058" si="148">IF(AV1995=1,AW1995,"")</f>
        <v/>
      </c>
      <c r="AY1995" s="21" t="str">
        <f>IF(AND($AM1995&lt;&gt;"",$AS1995&lt;&gt;"✓"),SUMPRODUCT(($AM$11:$AM1995&lt;&gt;"")*($AS$11:$AS1995&lt;&gt;"✓")),"")</f>
        <v/>
      </c>
      <c r="AZ1995" s="21" t="str">
        <f>IF(AND($AM1995&lt;&gt;"",$AS1995="✓"),SUMPRODUCT(($AM$11:$AM1995&lt;&gt;"")*($AS$11:$AS1995="✓")),"")</f>
        <v/>
      </c>
      <c r="BA1995" s="21" t="str">
        <f>IF($AL1995="","",$AL1995&amp;"|"&amp;COUNTIF($AL$11:$AL1995,$AL1995))</f>
        <v/>
      </c>
    </row>
    <row r="1996" spans="38:53" ht="15" customHeight="1" x14ac:dyDescent="0.25">
      <c r="AL1996" s="31"/>
      <c r="AM1996" s="26"/>
      <c r="AN1996" s="32"/>
      <c r="AO1996" s="32"/>
      <c r="AP1996" s="24"/>
      <c r="AQ1996" s="24"/>
      <c r="AR1996" s="33"/>
      <c r="AS1996" s="34"/>
      <c r="AT1996" s="33"/>
      <c r="AV1996" s="21">
        <f>IF(AND($AL1996&lt;&gt;"",COUNTIF($AL$11:$AL1996,$AL1996)=1),1,0)</f>
        <v>0</v>
      </c>
      <c r="AW1996" s="21">
        <f t="shared" ref="AW1996:AW2059" si="149">AW1995+AV1996</f>
        <v>2</v>
      </c>
      <c r="AX1996" s="21" t="str">
        <f t="shared" si="148"/>
        <v/>
      </c>
      <c r="AY1996" s="21" t="str">
        <f>IF(AND($AM1996&lt;&gt;"",$AS1996&lt;&gt;"✓"),SUMPRODUCT(($AM$11:$AM1996&lt;&gt;"")*($AS$11:$AS1996&lt;&gt;"✓")),"")</f>
        <v/>
      </c>
      <c r="AZ1996" s="21" t="str">
        <f>IF(AND($AM1996&lt;&gt;"",$AS1996="✓"),SUMPRODUCT(($AM$11:$AM1996&lt;&gt;"")*($AS$11:$AS1996="✓")),"")</f>
        <v/>
      </c>
      <c r="BA1996" s="21" t="str">
        <f>IF($AL1996="","",$AL1996&amp;"|"&amp;COUNTIF($AL$11:$AL1996,$AL1996))</f>
        <v/>
      </c>
    </row>
    <row r="1997" spans="38:53" ht="15" customHeight="1" x14ac:dyDescent="0.25">
      <c r="AL1997" s="17"/>
      <c r="AM1997" s="12"/>
      <c r="AN1997" s="18"/>
      <c r="AO1997" s="18"/>
      <c r="AP1997" s="10"/>
      <c r="AQ1997" s="10"/>
      <c r="AR1997" s="19"/>
      <c r="AS1997" s="20"/>
      <c r="AT1997" s="19"/>
      <c r="AV1997" s="21">
        <f>IF(AND($AL1997&lt;&gt;"",COUNTIF($AL$11:$AL1997,$AL1997)=1),1,0)</f>
        <v>0</v>
      </c>
      <c r="AW1997" s="21">
        <f t="shared" si="149"/>
        <v>2</v>
      </c>
      <c r="AX1997" s="21" t="str">
        <f t="shared" si="148"/>
        <v/>
      </c>
      <c r="AY1997" s="21" t="str">
        <f>IF(AND($AM1997&lt;&gt;"",$AS1997&lt;&gt;"✓"),SUMPRODUCT(($AM$11:$AM1997&lt;&gt;"")*($AS$11:$AS1997&lt;&gt;"✓")),"")</f>
        <v/>
      </c>
      <c r="AZ1997" s="21" t="str">
        <f>IF(AND($AM1997&lt;&gt;"",$AS1997="✓"),SUMPRODUCT(($AM$11:$AM1997&lt;&gt;"")*($AS$11:$AS1997="✓")),"")</f>
        <v/>
      </c>
      <c r="BA1997" s="21" t="str">
        <f>IF($AL1997="","",$AL1997&amp;"|"&amp;COUNTIF($AL$11:$AL1997,$AL1997))</f>
        <v/>
      </c>
    </row>
    <row r="1998" spans="38:53" ht="15" customHeight="1" x14ac:dyDescent="0.25">
      <c r="AL1998" s="31"/>
      <c r="AM1998" s="26"/>
      <c r="AN1998" s="32"/>
      <c r="AO1998" s="32"/>
      <c r="AP1998" s="24"/>
      <c r="AQ1998" s="24"/>
      <c r="AR1998" s="33"/>
      <c r="AS1998" s="34"/>
      <c r="AT1998" s="33"/>
      <c r="AV1998" s="21">
        <f>IF(AND($AL1998&lt;&gt;"",COUNTIF($AL$11:$AL1998,$AL1998)=1),1,0)</f>
        <v>0</v>
      </c>
      <c r="AW1998" s="21">
        <f t="shared" si="149"/>
        <v>2</v>
      </c>
      <c r="AX1998" s="21" t="str">
        <f t="shared" si="148"/>
        <v/>
      </c>
      <c r="AY1998" s="21" t="str">
        <f>IF(AND($AM1998&lt;&gt;"",$AS1998&lt;&gt;"✓"),SUMPRODUCT(($AM$11:$AM1998&lt;&gt;"")*($AS$11:$AS1998&lt;&gt;"✓")),"")</f>
        <v/>
      </c>
      <c r="AZ1998" s="21" t="str">
        <f>IF(AND($AM1998&lt;&gt;"",$AS1998="✓"),SUMPRODUCT(($AM$11:$AM1998&lt;&gt;"")*($AS$11:$AS1998="✓")),"")</f>
        <v/>
      </c>
      <c r="BA1998" s="21" t="str">
        <f>IF($AL1998="","",$AL1998&amp;"|"&amp;COUNTIF($AL$11:$AL1998,$AL1998))</f>
        <v/>
      </c>
    </row>
    <row r="1999" spans="38:53" ht="15" customHeight="1" x14ac:dyDescent="0.25">
      <c r="AL1999" s="17"/>
      <c r="AM1999" s="12"/>
      <c r="AN1999" s="18"/>
      <c r="AO1999" s="18"/>
      <c r="AP1999" s="10"/>
      <c r="AQ1999" s="10"/>
      <c r="AR1999" s="19"/>
      <c r="AS1999" s="20"/>
      <c r="AT1999" s="19"/>
      <c r="AV1999" s="21">
        <f>IF(AND($AL1999&lt;&gt;"",COUNTIF($AL$11:$AL1999,$AL1999)=1),1,0)</f>
        <v>0</v>
      </c>
      <c r="AW1999" s="21">
        <f t="shared" si="149"/>
        <v>2</v>
      </c>
      <c r="AX1999" s="21" t="str">
        <f t="shared" si="148"/>
        <v/>
      </c>
      <c r="AY1999" s="21" t="str">
        <f>IF(AND($AM1999&lt;&gt;"",$AS1999&lt;&gt;"✓"),SUMPRODUCT(($AM$11:$AM1999&lt;&gt;"")*($AS$11:$AS1999&lt;&gt;"✓")),"")</f>
        <v/>
      </c>
      <c r="AZ1999" s="21" t="str">
        <f>IF(AND($AM1999&lt;&gt;"",$AS1999="✓"),SUMPRODUCT(($AM$11:$AM1999&lt;&gt;"")*($AS$11:$AS1999="✓")),"")</f>
        <v/>
      </c>
      <c r="BA1999" s="21" t="str">
        <f>IF($AL1999="","",$AL1999&amp;"|"&amp;COUNTIF($AL$11:$AL1999,$AL1999))</f>
        <v/>
      </c>
    </row>
    <row r="2000" spans="38:53" ht="15" customHeight="1" x14ac:dyDescent="0.25">
      <c r="AL2000" s="31"/>
      <c r="AM2000" s="26"/>
      <c r="AN2000" s="32"/>
      <c r="AO2000" s="32"/>
      <c r="AP2000" s="24"/>
      <c r="AQ2000" s="24"/>
      <c r="AR2000" s="33"/>
      <c r="AS2000" s="34"/>
      <c r="AT2000" s="33"/>
      <c r="AV2000" s="21">
        <f>IF(AND($AL2000&lt;&gt;"",COUNTIF($AL$11:$AL2000,$AL2000)=1),1,0)</f>
        <v>0</v>
      </c>
      <c r="AW2000" s="21">
        <f t="shared" si="149"/>
        <v>2</v>
      </c>
      <c r="AX2000" s="21" t="str">
        <f t="shared" si="148"/>
        <v/>
      </c>
      <c r="AY2000" s="21" t="str">
        <f>IF(AND($AM2000&lt;&gt;"",$AS2000&lt;&gt;"✓"),SUMPRODUCT(($AM$11:$AM2000&lt;&gt;"")*($AS$11:$AS2000&lt;&gt;"✓")),"")</f>
        <v/>
      </c>
      <c r="AZ2000" s="21" t="str">
        <f>IF(AND($AM2000&lt;&gt;"",$AS2000="✓"),SUMPRODUCT(($AM$11:$AM2000&lt;&gt;"")*($AS$11:$AS2000="✓")),"")</f>
        <v/>
      </c>
      <c r="BA2000" s="21" t="str">
        <f>IF($AL2000="","",$AL2000&amp;"|"&amp;COUNTIF($AL$11:$AL2000,$AL2000))</f>
        <v/>
      </c>
    </row>
    <row r="2001" spans="38:53" ht="15" customHeight="1" x14ac:dyDescent="0.25">
      <c r="AL2001" s="17"/>
      <c r="AM2001" s="12"/>
      <c r="AN2001" s="18"/>
      <c r="AO2001" s="18"/>
      <c r="AP2001" s="10"/>
      <c r="AQ2001" s="10"/>
      <c r="AR2001" s="19"/>
      <c r="AS2001" s="20"/>
      <c r="AT2001" s="19"/>
      <c r="AV2001" s="21">
        <f>IF(AND($AL2001&lt;&gt;"",COUNTIF($AL$11:$AL2001,$AL2001)=1),1,0)</f>
        <v>0</v>
      </c>
      <c r="AW2001" s="21">
        <f t="shared" si="149"/>
        <v>2</v>
      </c>
      <c r="AX2001" s="21" t="str">
        <f t="shared" si="148"/>
        <v/>
      </c>
      <c r="AY2001" s="21" t="str">
        <f>IF(AND($AM2001&lt;&gt;"",$AS2001&lt;&gt;"✓"),SUMPRODUCT(($AM$11:$AM2001&lt;&gt;"")*($AS$11:$AS2001&lt;&gt;"✓")),"")</f>
        <v/>
      </c>
      <c r="AZ2001" s="21" t="str">
        <f>IF(AND($AM2001&lt;&gt;"",$AS2001="✓"),SUMPRODUCT(($AM$11:$AM2001&lt;&gt;"")*($AS$11:$AS2001="✓")),"")</f>
        <v/>
      </c>
      <c r="BA2001" s="21" t="str">
        <f>IF($AL2001="","",$AL2001&amp;"|"&amp;COUNTIF($AL$11:$AL2001,$AL2001))</f>
        <v/>
      </c>
    </row>
    <row r="2002" spans="38:53" ht="15" customHeight="1" x14ac:dyDescent="0.25">
      <c r="AL2002" s="31"/>
      <c r="AM2002" s="26"/>
      <c r="AN2002" s="32"/>
      <c r="AO2002" s="32"/>
      <c r="AP2002" s="24"/>
      <c r="AQ2002" s="24"/>
      <c r="AR2002" s="33"/>
      <c r="AS2002" s="34"/>
      <c r="AT2002" s="33"/>
      <c r="AV2002" s="21">
        <f>IF(AND($AL2002&lt;&gt;"",COUNTIF($AL$11:$AL2002,$AL2002)=1),1,0)</f>
        <v>0</v>
      </c>
      <c r="AW2002" s="21">
        <f t="shared" si="149"/>
        <v>2</v>
      </c>
      <c r="AX2002" s="21" t="str">
        <f t="shared" si="148"/>
        <v/>
      </c>
      <c r="AY2002" s="21" t="str">
        <f>IF(AND($AM2002&lt;&gt;"",$AS2002&lt;&gt;"✓"),SUMPRODUCT(($AM$11:$AM2002&lt;&gt;"")*($AS$11:$AS2002&lt;&gt;"✓")),"")</f>
        <v/>
      </c>
      <c r="AZ2002" s="21" t="str">
        <f>IF(AND($AM2002&lt;&gt;"",$AS2002="✓"),SUMPRODUCT(($AM$11:$AM2002&lt;&gt;"")*($AS$11:$AS2002="✓")),"")</f>
        <v/>
      </c>
      <c r="BA2002" s="21" t="str">
        <f>IF($AL2002="","",$AL2002&amp;"|"&amp;COUNTIF($AL$11:$AL2002,$AL2002))</f>
        <v/>
      </c>
    </row>
    <row r="2003" spans="38:53" ht="15" customHeight="1" x14ac:dyDescent="0.25">
      <c r="AL2003" s="17"/>
      <c r="AM2003" s="12"/>
      <c r="AN2003" s="18"/>
      <c r="AO2003" s="18"/>
      <c r="AP2003" s="10"/>
      <c r="AQ2003" s="10"/>
      <c r="AR2003" s="19"/>
      <c r="AS2003" s="20"/>
      <c r="AT2003" s="19"/>
      <c r="AV2003" s="21">
        <f>IF(AND($AL2003&lt;&gt;"",COUNTIF($AL$11:$AL2003,$AL2003)=1),1,0)</f>
        <v>0</v>
      </c>
      <c r="AW2003" s="21">
        <f t="shared" si="149"/>
        <v>2</v>
      </c>
      <c r="AX2003" s="21" t="str">
        <f t="shared" si="148"/>
        <v/>
      </c>
      <c r="AY2003" s="21" t="str">
        <f>IF(AND($AM2003&lt;&gt;"",$AS2003&lt;&gt;"✓"),SUMPRODUCT(($AM$11:$AM2003&lt;&gt;"")*($AS$11:$AS2003&lt;&gt;"✓")),"")</f>
        <v/>
      </c>
      <c r="AZ2003" s="21" t="str">
        <f>IF(AND($AM2003&lt;&gt;"",$AS2003="✓"),SUMPRODUCT(($AM$11:$AM2003&lt;&gt;"")*($AS$11:$AS2003="✓")),"")</f>
        <v/>
      </c>
      <c r="BA2003" s="21" t="str">
        <f>IF($AL2003="","",$AL2003&amp;"|"&amp;COUNTIF($AL$11:$AL2003,$AL2003))</f>
        <v/>
      </c>
    </row>
    <row r="2004" spans="38:53" ht="15" customHeight="1" x14ac:dyDescent="0.25">
      <c r="AL2004" s="31"/>
      <c r="AM2004" s="26"/>
      <c r="AN2004" s="32"/>
      <c r="AO2004" s="32"/>
      <c r="AP2004" s="24"/>
      <c r="AQ2004" s="24"/>
      <c r="AR2004" s="33"/>
      <c r="AS2004" s="34"/>
      <c r="AT2004" s="33"/>
      <c r="AV2004" s="21">
        <f>IF(AND($AL2004&lt;&gt;"",COUNTIF($AL$11:$AL2004,$AL2004)=1),1,0)</f>
        <v>0</v>
      </c>
      <c r="AW2004" s="21">
        <f t="shared" si="149"/>
        <v>2</v>
      </c>
      <c r="AX2004" s="21" t="str">
        <f t="shared" si="148"/>
        <v/>
      </c>
      <c r="AY2004" s="21" t="str">
        <f>IF(AND($AM2004&lt;&gt;"",$AS2004&lt;&gt;"✓"),SUMPRODUCT(($AM$11:$AM2004&lt;&gt;"")*($AS$11:$AS2004&lt;&gt;"✓")),"")</f>
        <v/>
      </c>
      <c r="AZ2004" s="21" t="str">
        <f>IF(AND($AM2004&lt;&gt;"",$AS2004="✓"),SUMPRODUCT(($AM$11:$AM2004&lt;&gt;"")*($AS$11:$AS2004="✓")),"")</f>
        <v/>
      </c>
      <c r="BA2004" s="21" t="str">
        <f>IF($AL2004="","",$AL2004&amp;"|"&amp;COUNTIF($AL$11:$AL2004,$AL2004))</f>
        <v/>
      </c>
    </row>
    <row r="2005" spans="38:53" ht="15" customHeight="1" x14ac:dyDescent="0.25">
      <c r="AL2005" s="17"/>
      <c r="AM2005" s="12"/>
      <c r="AN2005" s="18"/>
      <c r="AO2005" s="18"/>
      <c r="AP2005" s="10"/>
      <c r="AQ2005" s="10"/>
      <c r="AR2005" s="19"/>
      <c r="AS2005" s="20"/>
      <c r="AT2005" s="19"/>
      <c r="AV2005" s="21">
        <f>IF(AND($AL2005&lt;&gt;"",COUNTIF($AL$11:$AL2005,$AL2005)=1),1,0)</f>
        <v>0</v>
      </c>
      <c r="AW2005" s="21">
        <f t="shared" si="149"/>
        <v>2</v>
      </c>
      <c r="AX2005" s="21" t="str">
        <f t="shared" si="148"/>
        <v/>
      </c>
      <c r="AY2005" s="21" t="str">
        <f>IF(AND($AM2005&lt;&gt;"",$AS2005&lt;&gt;"✓"),SUMPRODUCT(($AM$11:$AM2005&lt;&gt;"")*($AS$11:$AS2005&lt;&gt;"✓")),"")</f>
        <v/>
      </c>
      <c r="AZ2005" s="21" t="str">
        <f>IF(AND($AM2005&lt;&gt;"",$AS2005="✓"),SUMPRODUCT(($AM$11:$AM2005&lt;&gt;"")*($AS$11:$AS2005="✓")),"")</f>
        <v/>
      </c>
      <c r="BA2005" s="21" t="str">
        <f>IF($AL2005="","",$AL2005&amp;"|"&amp;COUNTIF($AL$11:$AL2005,$AL2005))</f>
        <v/>
      </c>
    </row>
    <row r="2006" spans="38:53" ht="15" customHeight="1" x14ac:dyDescent="0.25">
      <c r="AL2006" s="31"/>
      <c r="AM2006" s="26"/>
      <c r="AN2006" s="32"/>
      <c r="AO2006" s="32"/>
      <c r="AP2006" s="24"/>
      <c r="AQ2006" s="24"/>
      <c r="AR2006" s="33"/>
      <c r="AS2006" s="34"/>
      <c r="AT2006" s="33"/>
      <c r="AV2006" s="21">
        <f>IF(AND($AL2006&lt;&gt;"",COUNTIF($AL$11:$AL2006,$AL2006)=1),1,0)</f>
        <v>0</v>
      </c>
      <c r="AW2006" s="21">
        <f t="shared" si="149"/>
        <v>2</v>
      </c>
      <c r="AX2006" s="21" t="str">
        <f t="shared" si="148"/>
        <v/>
      </c>
      <c r="AY2006" s="21" t="str">
        <f>IF(AND($AM2006&lt;&gt;"",$AS2006&lt;&gt;"✓"),SUMPRODUCT(($AM$11:$AM2006&lt;&gt;"")*($AS$11:$AS2006&lt;&gt;"✓")),"")</f>
        <v/>
      </c>
      <c r="AZ2006" s="21" t="str">
        <f>IF(AND($AM2006&lt;&gt;"",$AS2006="✓"),SUMPRODUCT(($AM$11:$AM2006&lt;&gt;"")*($AS$11:$AS2006="✓")),"")</f>
        <v/>
      </c>
      <c r="BA2006" s="21" t="str">
        <f>IF($AL2006="","",$AL2006&amp;"|"&amp;COUNTIF($AL$11:$AL2006,$AL2006))</f>
        <v/>
      </c>
    </row>
    <row r="2007" spans="38:53" ht="15" customHeight="1" x14ac:dyDescent="0.25">
      <c r="AL2007" s="17"/>
      <c r="AM2007" s="12"/>
      <c r="AN2007" s="18"/>
      <c r="AO2007" s="18"/>
      <c r="AP2007" s="10"/>
      <c r="AQ2007" s="10"/>
      <c r="AR2007" s="19"/>
      <c r="AS2007" s="20"/>
      <c r="AT2007" s="19"/>
      <c r="AV2007" s="21">
        <f>IF(AND($AL2007&lt;&gt;"",COUNTIF($AL$11:$AL2007,$AL2007)=1),1,0)</f>
        <v>0</v>
      </c>
      <c r="AW2007" s="21">
        <f t="shared" si="149"/>
        <v>2</v>
      </c>
      <c r="AX2007" s="21" t="str">
        <f t="shared" si="148"/>
        <v/>
      </c>
      <c r="AY2007" s="21" t="str">
        <f>IF(AND($AM2007&lt;&gt;"",$AS2007&lt;&gt;"✓"),SUMPRODUCT(($AM$11:$AM2007&lt;&gt;"")*($AS$11:$AS2007&lt;&gt;"✓")),"")</f>
        <v/>
      </c>
      <c r="AZ2007" s="21" t="str">
        <f>IF(AND($AM2007&lt;&gt;"",$AS2007="✓"),SUMPRODUCT(($AM$11:$AM2007&lt;&gt;"")*($AS$11:$AS2007="✓")),"")</f>
        <v/>
      </c>
      <c r="BA2007" s="21" t="str">
        <f>IF($AL2007="","",$AL2007&amp;"|"&amp;COUNTIF($AL$11:$AL2007,$AL2007))</f>
        <v/>
      </c>
    </row>
    <row r="2008" spans="38:53" ht="15" customHeight="1" x14ac:dyDescent="0.25">
      <c r="AL2008" s="31"/>
      <c r="AM2008" s="26"/>
      <c r="AN2008" s="32"/>
      <c r="AO2008" s="32"/>
      <c r="AP2008" s="24"/>
      <c r="AQ2008" s="24"/>
      <c r="AR2008" s="33"/>
      <c r="AS2008" s="34"/>
      <c r="AT2008" s="33"/>
      <c r="AV2008" s="21">
        <f>IF(AND($AL2008&lt;&gt;"",COUNTIF($AL$11:$AL2008,$AL2008)=1),1,0)</f>
        <v>0</v>
      </c>
      <c r="AW2008" s="21">
        <f t="shared" si="149"/>
        <v>2</v>
      </c>
      <c r="AX2008" s="21" t="str">
        <f t="shared" si="148"/>
        <v/>
      </c>
      <c r="AY2008" s="21" t="str">
        <f>IF(AND($AM2008&lt;&gt;"",$AS2008&lt;&gt;"✓"),SUMPRODUCT(($AM$11:$AM2008&lt;&gt;"")*($AS$11:$AS2008&lt;&gt;"✓")),"")</f>
        <v/>
      </c>
      <c r="AZ2008" s="21" t="str">
        <f>IF(AND($AM2008&lt;&gt;"",$AS2008="✓"),SUMPRODUCT(($AM$11:$AM2008&lt;&gt;"")*($AS$11:$AS2008="✓")),"")</f>
        <v/>
      </c>
      <c r="BA2008" s="21" t="str">
        <f>IF($AL2008="","",$AL2008&amp;"|"&amp;COUNTIF($AL$11:$AL2008,$AL2008))</f>
        <v/>
      </c>
    </row>
    <row r="2009" spans="38:53" ht="15" customHeight="1" x14ac:dyDescent="0.25">
      <c r="AL2009" s="17"/>
      <c r="AM2009" s="12"/>
      <c r="AN2009" s="18"/>
      <c r="AO2009" s="18"/>
      <c r="AP2009" s="10"/>
      <c r="AQ2009" s="10"/>
      <c r="AR2009" s="19"/>
      <c r="AS2009" s="20"/>
      <c r="AT2009" s="19"/>
      <c r="AV2009" s="21">
        <f>IF(AND($AL2009&lt;&gt;"",COUNTIF($AL$11:$AL2009,$AL2009)=1),1,0)</f>
        <v>0</v>
      </c>
      <c r="AW2009" s="21">
        <f t="shared" si="149"/>
        <v>2</v>
      </c>
      <c r="AX2009" s="21" t="str">
        <f t="shared" si="148"/>
        <v/>
      </c>
      <c r="AY2009" s="21" t="str">
        <f>IF(AND($AM2009&lt;&gt;"",$AS2009&lt;&gt;"✓"),SUMPRODUCT(($AM$11:$AM2009&lt;&gt;"")*($AS$11:$AS2009&lt;&gt;"✓")),"")</f>
        <v/>
      </c>
      <c r="AZ2009" s="21" t="str">
        <f>IF(AND($AM2009&lt;&gt;"",$AS2009="✓"),SUMPRODUCT(($AM$11:$AM2009&lt;&gt;"")*($AS$11:$AS2009="✓")),"")</f>
        <v/>
      </c>
      <c r="BA2009" s="21" t="str">
        <f>IF($AL2009="","",$AL2009&amp;"|"&amp;COUNTIF($AL$11:$AL2009,$AL2009))</f>
        <v/>
      </c>
    </row>
    <row r="2010" spans="38:53" ht="15" customHeight="1" x14ac:dyDescent="0.25">
      <c r="AL2010" s="31"/>
      <c r="AM2010" s="26"/>
      <c r="AN2010" s="32"/>
      <c r="AO2010" s="32"/>
      <c r="AP2010" s="24"/>
      <c r="AQ2010" s="24"/>
      <c r="AR2010" s="33"/>
      <c r="AS2010" s="34"/>
      <c r="AT2010" s="33"/>
      <c r="AV2010" s="21">
        <f>IF(AND($AL2010&lt;&gt;"",COUNTIF($AL$11:$AL2010,$AL2010)=1),1,0)</f>
        <v>0</v>
      </c>
      <c r="AW2010" s="21">
        <f t="shared" si="149"/>
        <v>2</v>
      </c>
      <c r="AX2010" s="21" t="str">
        <f t="shared" si="148"/>
        <v/>
      </c>
      <c r="AY2010" s="21" t="str">
        <f>IF(AND($AM2010&lt;&gt;"",$AS2010&lt;&gt;"✓"),SUMPRODUCT(($AM$11:$AM2010&lt;&gt;"")*($AS$11:$AS2010&lt;&gt;"✓")),"")</f>
        <v/>
      </c>
      <c r="AZ2010" s="21" t="str">
        <f>IF(AND($AM2010&lt;&gt;"",$AS2010="✓"),SUMPRODUCT(($AM$11:$AM2010&lt;&gt;"")*($AS$11:$AS2010="✓")),"")</f>
        <v/>
      </c>
      <c r="BA2010" s="21" t="str">
        <f>IF($AL2010="","",$AL2010&amp;"|"&amp;COUNTIF($AL$11:$AL2010,$AL2010))</f>
        <v/>
      </c>
    </row>
    <row r="2011" spans="38:53" ht="15" customHeight="1" x14ac:dyDescent="0.25">
      <c r="AL2011" s="17"/>
      <c r="AM2011" s="12"/>
      <c r="AN2011" s="18"/>
      <c r="AO2011" s="18"/>
      <c r="AP2011" s="10"/>
      <c r="AQ2011" s="10"/>
      <c r="AR2011" s="19"/>
      <c r="AS2011" s="20"/>
      <c r="AT2011" s="19"/>
      <c r="AV2011" s="21">
        <f>IF(AND($AL2011&lt;&gt;"",COUNTIF($AL$11:$AL2011,$AL2011)=1),1,0)</f>
        <v>0</v>
      </c>
      <c r="AW2011" s="21">
        <f t="shared" si="149"/>
        <v>2</v>
      </c>
      <c r="AX2011" s="21" t="str">
        <f t="shared" si="148"/>
        <v/>
      </c>
      <c r="AY2011" s="21" t="str">
        <f>IF(AND($AM2011&lt;&gt;"",$AS2011&lt;&gt;"✓"),SUMPRODUCT(($AM$11:$AM2011&lt;&gt;"")*($AS$11:$AS2011&lt;&gt;"✓")),"")</f>
        <v/>
      </c>
      <c r="AZ2011" s="21" t="str">
        <f>IF(AND($AM2011&lt;&gt;"",$AS2011="✓"),SUMPRODUCT(($AM$11:$AM2011&lt;&gt;"")*($AS$11:$AS2011="✓")),"")</f>
        <v/>
      </c>
      <c r="BA2011" s="21" t="str">
        <f>IF($AL2011="","",$AL2011&amp;"|"&amp;COUNTIF($AL$11:$AL2011,$AL2011))</f>
        <v/>
      </c>
    </row>
    <row r="2012" spans="38:53" ht="15" customHeight="1" x14ac:dyDescent="0.25">
      <c r="AL2012" s="31"/>
      <c r="AM2012" s="26"/>
      <c r="AN2012" s="32"/>
      <c r="AO2012" s="32"/>
      <c r="AP2012" s="24"/>
      <c r="AQ2012" s="24"/>
      <c r="AR2012" s="33"/>
      <c r="AS2012" s="34"/>
      <c r="AT2012" s="33"/>
      <c r="AV2012" s="21">
        <f>IF(AND($AL2012&lt;&gt;"",COUNTIF($AL$11:$AL2012,$AL2012)=1),1,0)</f>
        <v>0</v>
      </c>
      <c r="AW2012" s="21">
        <f t="shared" si="149"/>
        <v>2</v>
      </c>
      <c r="AX2012" s="21" t="str">
        <f t="shared" si="148"/>
        <v/>
      </c>
      <c r="AY2012" s="21" t="str">
        <f>IF(AND($AM2012&lt;&gt;"",$AS2012&lt;&gt;"✓"),SUMPRODUCT(($AM$11:$AM2012&lt;&gt;"")*($AS$11:$AS2012&lt;&gt;"✓")),"")</f>
        <v/>
      </c>
      <c r="AZ2012" s="21" t="str">
        <f>IF(AND($AM2012&lt;&gt;"",$AS2012="✓"),SUMPRODUCT(($AM$11:$AM2012&lt;&gt;"")*($AS$11:$AS2012="✓")),"")</f>
        <v/>
      </c>
      <c r="BA2012" s="21" t="str">
        <f>IF($AL2012="","",$AL2012&amp;"|"&amp;COUNTIF($AL$11:$AL2012,$AL2012))</f>
        <v/>
      </c>
    </row>
    <row r="2013" spans="38:53" ht="15" customHeight="1" x14ac:dyDescent="0.25">
      <c r="AL2013" s="17"/>
      <c r="AM2013" s="12"/>
      <c r="AN2013" s="18"/>
      <c r="AO2013" s="18"/>
      <c r="AP2013" s="10"/>
      <c r="AQ2013" s="10"/>
      <c r="AR2013" s="19"/>
      <c r="AS2013" s="20"/>
      <c r="AT2013" s="19"/>
      <c r="AV2013" s="21">
        <f>IF(AND($AL2013&lt;&gt;"",COUNTIF($AL$11:$AL2013,$AL2013)=1),1,0)</f>
        <v>0</v>
      </c>
      <c r="AW2013" s="21">
        <f t="shared" si="149"/>
        <v>2</v>
      </c>
      <c r="AX2013" s="21" t="str">
        <f t="shared" si="148"/>
        <v/>
      </c>
      <c r="AY2013" s="21" t="str">
        <f>IF(AND($AM2013&lt;&gt;"",$AS2013&lt;&gt;"✓"),SUMPRODUCT(($AM$11:$AM2013&lt;&gt;"")*($AS$11:$AS2013&lt;&gt;"✓")),"")</f>
        <v/>
      </c>
      <c r="AZ2013" s="21" t="str">
        <f>IF(AND($AM2013&lt;&gt;"",$AS2013="✓"),SUMPRODUCT(($AM$11:$AM2013&lt;&gt;"")*($AS$11:$AS2013="✓")),"")</f>
        <v/>
      </c>
      <c r="BA2013" s="21" t="str">
        <f>IF($AL2013="","",$AL2013&amp;"|"&amp;COUNTIF($AL$11:$AL2013,$AL2013))</f>
        <v/>
      </c>
    </row>
    <row r="2014" spans="38:53" ht="15" customHeight="1" x14ac:dyDescent="0.25">
      <c r="AL2014" s="31"/>
      <c r="AM2014" s="26"/>
      <c r="AN2014" s="32"/>
      <c r="AO2014" s="32"/>
      <c r="AP2014" s="24"/>
      <c r="AQ2014" s="24"/>
      <c r="AR2014" s="33"/>
      <c r="AS2014" s="34"/>
      <c r="AT2014" s="33"/>
      <c r="AV2014" s="21">
        <f>IF(AND($AL2014&lt;&gt;"",COUNTIF($AL$11:$AL2014,$AL2014)=1),1,0)</f>
        <v>0</v>
      </c>
      <c r="AW2014" s="21">
        <f t="shared" si="149"/>
        <v>2</v>
      </c>
      <c r="AX2014" s="21" t="str">
        <f t="shared" si="148"/>
        <v/>
      </c>
      <c r="AY2014" s="21" t="str">
        <f>IF(AND($AM2014&lt;&gt;"",$AS2014&lt;&gt;"✓"),SUMPRODUCT(($AM$11:$AM2014&lt;&gt;"")*($AS$11:$AS2014&lt;&gt;"✓")),"")</f>
        <v/>
      </c>
      <c r="AZ2014" s="21" t="str">
        <f>IF(AND($AM2014&lt;&gt;"",$AS2014="✓"),SUMPRODUCT(($AM$11:$AM2014&lt;&gt;"")*($AS$11:$AS2014="✓")),"")</f>
        <v/>
      </c>
      <c r="BA2014" s="21" t="str">
        <f>IF($AL2014="","",$AL2014&amp;"|"&amp;COUNTIF($AL$11:$AL2014,$AL2014))</f>
        <v/>
      </c>
    </row>
    <row r="2015" spans="38:53" ht="15" customHeight="1" x14ac:dyDescent="0.25">
      <c r="AL2015" s="17"/>
      <c r="AM2015" s="12"/>
      <c r="AN2015" s="18"/>
      <c r="AO2015" s="18"/>
      <c r="AP2015" s="10"/>
      <c r="AQ2015" s="10"/>
      <c r="AR2015" s="19"/>
      <c r="AS2015" s="20"/>
      <c r="AT2015" s="19"/>
      <c r="AV2015" s="21">
        <f>IF(AND($AL2015&lt;&gt;"",COUNTIF($AL$11:$AL2015,$AL2015)=1),1,0)</f>
        <v>0</v>
      </c>
      <c r="AW2015" s="21">
        <f t="shared" si="149"/>
        <v>2</v>
      </c>
      <c r="AX2015" s="21" t="str">
        <f t="shared" si="148"/>
        <v/>
      </c>
      <c r="AY2015" s="21" t="str">
        <f>IF(AND($AM2015&lt;&gt;"",$AS2015&lt;&gt;"✓"),SUMPRODUCT(($AM$11:$AM2015&lt;&gt;"")*($AS$11:$AS2015&lt;&gt;"✓")),"")</f>
        <v/>
      </c>
      <c r="AZ2015" s="21" t="str">
        <f>IF(AND($AM2015&lt;&gt;"",$AS2015="✓"),SUMPRODUCT(($AM$11:$AM2015&lt;&gt;"")*($AS$11:$AS2015="✓")),"")</f>
        <v/>
      </c>
      <c r="BA2015" s="21" t="str">
        <f>IF($AL2015="","",$AL2015&amp;"|"&amp;COUNTIF($AL$11:$AL2015,$AL2015))</f>
        <v/>
      </c>
    </row>
    <row r="2016" spans="38:53" ht="15" customHeight="1" x14ac:dyDescent="0.25">
      <c r="AL2016" s="31"/>
      <c r="AM2016" s="26"/>
      <c r="AN2016" s="32"/>
      <c r="AO2016" s="32"/>
      <c r="AP2016" s="24"/>
      <c r="AQ2016" s="24"/>
      <c r="AR2016" s="33"/>
      <c r="AS2016" s="34"/>
      <c r="AT2016" s="33"/>
      <c r="AV2016" s="21">
        <f>IF(AND($AL2016&lt;&gt;"",COUNTIF($AL$11:$AL2016,$AL2016)=1),1,0)</f>
        <v>0</v>
      </c>
      <c r="AW2016" s="21">
        <f t="shared" si="149"/>
        <v>2</v>
      </c>
      <c r="AX2016" s="21" t="str">
        <f t="shared" si="148"/>
        <v/>
      </c>
      <c r="AY2016" s="21" t="str">
        <f>IF(AND($AM2016&lt;&gt;"",$AS2016&lt;&gt;"✓"),SUMPRODUCT(($AM$11:$AM2016&lt;&gt;"")*($AS$11:$AS2016&lt;&gt;"✓")),"")</f>
        <v/>
      </c>
      <c r="AZ2016" s="21" t="str">
        <f>IF(AND($AM2016&lt;&gt;"",$AS2016="✓"),SUMPRODUCT(($AM$11:$AM2016&lt;&gt;"")*($AS$11:$AS2016="✓")),"")</f>
        <v/>
      </c>
      <c r="BA2016" s="21" t="str">
        <f>IF($AL2016="","",$AL2016&amp;"|"&amp;COUNTIF($AL$11:$AL2016,$AL2016))</f>
        <v/>
      </c>
    </row>
    <row r="2017" spans="38:53" ht="15" customHeight="1" x14ac:dyDescent="0.25">
      <c r="AL2017" s="17"/>
      <c r="AM2017" s="12"/>
      <c r="AN2017" s="18"/>
      <c r="AO2017" s="18"/>
      <c r="AP2017" s="10"/>
      <c r="AQ2017" s="10"/>
      <c r="AR2017" s="19"/>
      <c r="AS2017" s="20"/>
      <c r="AT2017" s="19"/>
      <c r="AV2017" s="21">
        <f>IF(AND($AL2017&lt;&gt;"",COUNTIF($AL$11:$AL2017,$AL2017)=1),1,0)</f>
        <v>0</v>
      </c>
      <c r="AW2017" s="21">
        <f t="shared" si="149"/>
        <v>2</v>
      </c>
      <c r="AX2017" s="21" t="str">
        <f t="shared" si="148"/>
        <v/>
      </c>
      <c r="AY2017" s="21" t="str">
        <f>IF(AND($AM2017&lt;&gt;"",$AS2017&lt;&gt;"✓"),SUMPRODUCT(($AM$11:$AM2017&lt;&gt;"")*($AS$11:$AS2017&lt;&gt;"✓")),"")</f>
        <v/>
      </c>
      <c r="AZ2017" s="21" t="str">
        <f>IF(AND($AM2017&lt;&gt;"",$AS2017="✓"),SUMPRODUCT(($AM$11:$AM2017&lt;&gt;"")*($AS$11:$AS2017="✓")),"")</f>
        <v/>
      </c>
      <c r="BA2017" s="21" t="str">
        <f>IF($AL2017="","",$AL2017&amp;"|"&amp;COUNTIF($AL$11:$AL2017,$AL2017))</f>
        <v/>
      </c>
    </row>
    <row r="2018" spans="38:53" ht="15" customHeight="1" x14ac:dyDescent="0.25">
      <c r="AL2018" s="31"/>
      <c r="AM2018" s="26"/>
      <c r="AN2018" s="32"/>
      <c r="AO2018" s="32"/>
      <c r="AP2018" s="24"/>
      <c r="AQ2018" s="24"/>
      <c r="AR2018" s="33"/>
      <c r="AS2018" s="34"/>
      <c r="AT2018" s="33"/>
      <c r="AV2018" s="21">
        <f>IF(AND($AL2018&lt;&gt;"",COUNTIF($AL$11:$AL2018,$AL2018)=1),1,0)</f>
        <v>0</v>
      </c>
      <c r="AW2018" s="21">
        <f t="shared" si="149"/>
        <v>2</v>
      </c>
      <c r="AX2018" s="21" t="str">
        <f t="shared" si="148"/>
        <v/>
      </c>
      <c r="AY2018" s="21" t="str">
        <f>IF(AND($AM2018&lt;&gt;"",$AS2018&lt;&gt;"✓"),SUMPRODUCT(($AM$11:$AM2018&lt;&gt;"")*($AS$11:$AS2018&lt;&gt;"✓")),"")</f>
        <v/>
      </c>
      <c r="AZ2018" s="21" t="str">
        <f>IF(AND($AM2018&lt;&gt;"",$AS2018="✓"),SUMPRODUCT(($AM$11:$AM2018&lt;&gt;"")*($AS$11:$AS2018="✓")),"")</f>
        <v/>
      </c>
      <c r="BA2018" s="21" t="str">
        <f>IF($AL2018="","",$AL2018&amp;"|"&amp;COUNTIF($AL$11:$AL2018,$AL2018))</f>
        <v/>
      </c>
    </row>
    <row r="2019" spans="38:53" ht="15" customHeight="1" x14ac:dyDescent="0.25">
      <c r="AL2019" s="17"/>
      <c r="AM2019" s="12"/>
      <c r="AN2019" s="18"/>
      <c r="AO2019" s="18"/>
      <c r="AP2019" s="10"/>
      <c r="AQ2019" s="10"/>
      <c r="AR2019" s="19"/>
      <c r="AS2019" s="20"/>
      <c r="AT2019" s="19"/>
      <c r="AV2019" s="21">
        <f>IF(AND($AL2019&lt;&gt;"",COUNTIF($AL$11:$AL2019,$AL2019)=1),1,0)</f>
        <v>0</v>
      </c>
      <c r="AW2019" s="21">
        <f t="shared" si="149"/>
        <v>2</v>
      </c>
      <c r="AX2019" s="21" t="str">
        <f t="shared" si="148"/>
        <v/>
      </c>
      <c r="AY2019" s="21" t="str">
        <f>IF(AND($AM2019&lt;&gt;"",$AS2019&lt;&gt;"✓"),SUMPRODUCT(($AM$11:$AM2019&lt;&gt;"")*($AS$11:$AS2019&lt;&gt;"✓")),"")</f>
        <v/>
      </c>
      <c r="AZ2019" s="21" t="str">
        <f>IF(AND($AM2019&lt;&gt;"",$AS2019="✓"),SUMPRODUCT(($AM$11:$AM2019&lt;&gt;"")*($AS$11:$AS2019="✓")),"")</f>
        <v/>
      </c>
      <c r="BA2019" s="21" t="str">
        <f>IF($AL2019="","",$AL2019&amp;"|"&amp;COUNTIF($AL$11:$AL2019,$AL2019))</f>
        <v/>
      </c>
    </row>
    <row r="2020" spans="38:53" ht="15" customHeight="1" x14ac:dyDescent="0.25">
      <c r="AL2020" s="31"/>
      <c r="AM2020" s="26"/>
      <c r="AN2020" s="32"/>
      <c r="AO2020" s="32"/>
      <c r="AP2020" s="24"/>
      <c r="AQ2020" s="24"/>
      <c r="AR2020" s="33"/>
      <c r="AS2020" s="34"/>
      <c r="AT2020" s="33"/>
      <c r="AV2020" s="21">
        <f>IF(AND($AL2020&lt;&gt;"",COUNTIF($AL$11:$AL2020,$AL2020)=1),1,0)</f>
        <v>0</v>
      </c>
      <c r="AW2020" s="21">
        <f t="shared" si="149"/>
        <v>2</v>
      </c>
      <c r="AX2020" s="21" t="str">
        <f t="shared" si="148"/>
        <v/>
      </c>
      <c r="AY2020" s="21" t="str">
        <f>IF(AND($AM2020&lt;&gt;"",$AS2020&lt;&gt;"✓"),SUMPRODUCT(($AM$11:$AM2020&lt;&gt;"")*($AS$11:$AS2020&lt;&gt;"✓")),"")</f>
        <v/>
      </c>
      <c r="AZ2020" s="21" t="str">
        <f>IF(AND($AM2020&lt;&gt;"",$AS2020="✓"),SUMPRODUCT(($AM$11:$AM2020&lt;&gt;"")*($AS$11:$AS2020="✓")),"")</f>
        <v/>
      </c>
      <c r="BA2020" s="21" t="str">
        <f>IF($AL2020="","",$AL2020&amp;"|"&amp;COUNTIF($AL$11:$AL2020,$AL2020))</f>
        <v/>
      </c>
    </row>
    <row r="2021" spans="38:53" ht="15" customHeight="1" x14ac:dyDescent="0.25">
      <c r="AL2021" s="17"/>
      <c r="AM2021" s="12"/>
      <c r="AN2021" s="18"/>
      <c r="AO2021" s="18"/>
      <c r="AP2021" s="10"/>
      <c r="AQ2021" s="10"/>
      <c r="AR2021" s="19"/>
      <c r="AS2021" s="20"/>
      <c r="AT2021" s="19"/>
      <c r="AV2021" s="21">
        <f>IF(AND($AL2021&lt;&gt;"",COUNTIF($AL$11:$AL2021,$AL2021)=1),1,0)</f>
        <v>0</v>
      </c>
      <c r="AW2021" s="21">
        <f t="shared" si="149"/>
        <v>2</v>
      </c>
      <c r="AX2021" s="21" t="str">
        <f t="shared" si="148"/>
        <v/>
      </c>
      <c r="AY2021" s="21" t="str">
        <f>IF(AND($AM2021&lt;&gt;"",$AS2021&lt;&gt;"✓"),SUMPRODUCT(($AM$11:$AM2021&lt;&gt;"")*($AS$11:$AS2021&lt;&gt;"✓")),"")</f>
        <v/>
      </c>
      <c r="AZ2021" s="21" t="str">
        <f>IF(AND($AM2021&lt;&gt;"",$AS2021="✓"),SUMPRODUCT(($AM$11:$AM2021&lt;&gt;"")*($AS$11:$AS2021="✓")),"")</f>
        <v/>
      </c>
      <c r="BA2021" s="21" t="str">
        <f>IF($AL2021="","",$AL2021&amp;"|"&amp;COUNTIF($AL$11:$AL2021,$AL2021))</f>
        <v/>
      </c>
    </row>
    <row r="2022" spans="38:53" ht="15" customHeight="1" x14ac:dyDescent="0.25">
      <c r="AL2022" s="31"/>
      <c r="AM2022" s="26"/>
      <c r="AN2022" s="32"/>
      <c r="AO2022" s="32"/>
      <c r="AP2022" s="24"/>
      <c r="AQ2022" s="24"/>
      <c r="AR2022" s="33"/>
      <c r="AS2022" s="34"/>
      <c r="AT2022" s="33"/>
      <c r="AV2022" s="21">
        <f>IF(AND($AL2022&lt;&gt;"",COUNTIF($AL$11:$AL2022,$AL2022)=1),1,0)</f>
        <v>0</v>
      </c>
      <c r="AW2022" s="21">
        <f t="shared" si="149"/>
        <v>2</v>
      </c>
      <c r="AX2022" s="21" t="str">
        <f t="shared" si="148"/>
        <v/>
      </c>
      <c r="AY2022" s="21" t="str">
        <f>IF(AND($AM2022&lt;&gt;"",$AS2022&lt;&gt;"✓"),SUMPRODUCT(($AM$11:$AM2022&lt;&gt;"")*($AS$11:$AS2022&lt;&gt;"✓")),"")</f>
        <v/>
      </c>
      <c r="AZ2022" s="21" t="str">
        <f>IF(AND($AM2022&lt;&gt;"",$AS2022="✓"),SUMPRODUCT(($AM$11:$AM2022&lt;&gt;"")*($AS$11:$AS2022="✓")),"")</f>
        <v/>
      </c>
      <c r="BA2022" s="21" t="str">
        <f>IF($AL2022="","",$AL2022&amp;"|"&amp;COUNTIF($AL$11:$AL2022,$AL2022))</f>
        <v/>
      </c>
    </row>
    <row r="2023" spans="38:53" ht="15" customHeight="1" x14ac:dyDescent="0.25">
      <c r="AL2023" s="17"/>
      <c r="AM2023" s="12"/>
      <c r="AN2023" s="18"/>
      <c r="AO2023" s="18"/>
      <c r="AP2023" s="10"/>
      <c r="AQ2023" s="10"/>
      <c r="AR2023" s="19"/>
      <c r="AS2023" s="20"/>
      <c r="AT2023" s="19"/>
      <c r="AV2023" s="21">
        <f>IF(AND($AL2023&lt;&gt;"",COUNTIF($AL$11:$AL2023,$AL2023)=1),1,0)</f>
        <v>0</v>
      </c>
      <c r="AW2023" s="21">
        <f t="shared" si="149"/>
        <v>2</v>
      </c>
      <c r="AX2023" s="21" t="str">
        <f t="shared" si="148"/>
        <v/>
      </c>
      <c r="AY2023" s="21" t="str">
        <f>IF(AND($AM2023&lt;&gt;"",$AS2023&lt;&gt;"✓"),SUMPRODUCT(($AM$11:$AM2023&lt;&gt;"")*($AS$11:$AS2023&lt;&gt;"✓")),"")</f>
        <v/>
      </c>
      <c r="AZ2023" s="21" t="str">
        <f>IF(AND($AM2023&lt;&gt;"",$AS2023="✓"),SUMPRODUCT(($AM$11:$AM2023&lt;&gt;"")*($AS$11:$AS2023="✓")),"")</f>
        <v/>
      </c>
      <c r="BA2023" s="21" t="str">
        <f>IF($AL2023="","",$AL2023&amp;"|"&amp;COUNTIF($AL$11:$AL2023,$AL2023))</f>
        <v/>
      </c>
    </row>
    <row r="2024" spans="38:53" ht="15" customHeight="1" x14ac:dyDescent="0.25">
      <c r="AL2024" s="31"/>
      <c r="AM2024" s="26"/>
      <c r="AN2024" s="32"/>
      <c r="AO2024" s="32"/>
      <c r="AP2024" s="24"/>
      <c r="AQ2024" s="24"/>
      <c r="AR2024" s="33"/>
      <c r="AS2024" s="34"/>
      <c r="AT2024" s="33"/>
      <c r="AV2024" s="21">
        <f>IF(AND($AL2024&lt;&gt;"",COUNTIF($AL$11:$AL2024,$AL2024)=1),1,0)</f>
        <v>0</v>
      </c>
      <c r="AW2024" s="21">
        <f t="shared" si="149"/>
        <v>2</v>
      </c>
      <c r="AX2024" s="21" t="str">
        <f t="shared" si="148"/>
        <v/>
      </c>
      <c r="AY2024" s="21" t="str">
        <f>IF(AND($AM2024&lt;&gt;"",$AS2024&lt;&gt;"✓"),SUMPRODUCT(($AM$11:$AM2024&lt;&gt;"")*($AS$11:$AS2024&lt;&gt;"✓")),"")</f>
        <v/>
      </c>
      <c r="AZ2024" s="21" t="str">
        <f>IF(AND($AM2024&lt;&gt;"",$AS2024="✓"),SUMPRODUCT(($AM$11:$AM2024&lt;&gt;"")*($AS$11:$AS2024="✓")),"")</f>
        <v/>
      </c>
      <c r="BA2024" s="21" t="str">
        <f>IF($AL2024="","",$AL2024&amp;"|"&amp;COUNTIF($AL$11:$AL2024,$AL2024))</f>
        <v/>
      </c>
    </row>
    <row r="2025" spans="38:53" ht="15" customHeight="1" x14ac:dyDescent="0.25">
      <c r="AL2025" s="17"/>
      <c r="AM2025" s="12"/>
      <c r="AN2025" s="18"/>
      <c r="AO2025" s="18"/>
      <c r="AP2025" s="10"/>
      <c r="AQ2025" s="10"/>
      <c r="AR2025" s="19"/>
      <c r="AS2025" s="20"/>
      <c r="AT2025" s="19"/>
      <c r="AV2025" s="21">
        <f>IF(AND($AL2025&lt;&gt;"",COUNTIF($AL$11:$AL2025,$AL2025)=1),1,0)</f>
        <v>0</v>
      </c>
      <c r="AW2025" s="21">
        <f t="shared" si="149"/>
        <v>2</v>
      </c>
      <c r="AX2025" s="21" t="str">
        <f t="shared" si="148"/>
        <v/>
      </c>
      <c r="AY2025" s="21" t="str">
        <f>IF(AND($AM2025&lt;&gt;"",$AS2025&lt;&gt;"✓"),SUMPRODUCT(($AM$11:$AM2025&lt;&gt;"")*($AS$11:$AS2025&lt;&gt;"✓")),"")</f>
        <v/>
      </c>
      <c r="AZ2025" s="21" t="str">
        <f>IF(AND($AM2025&lt;&gt;"",$AS2025="✓"),SUMPRODUCT(($AM$11:$AM2025&lt;&gt;"")*($AS$11:$AS2025="✓")),"")</f>
        <v/>
      </c>
      <c r="BA2025" s="21" t="str">
        <f>IF($AL2025="","",$AL2025&amp;"|"&amp;COUNTIF($AL$11:$AL2025,$AL2025))</f>
        <v/>
      </c>
    </row>
    <row r="2026" spans="38:53" ht="15" customHeight="1" x14ac:dyDescent="0.25">
      <c r="AL2026" s="31"/>
      <c r="AM2026" s="26"/>
      <c r="AN2026" s="32"/>
      <c r="AO2026" s="32"/>
      <c r="AP2026" s="24"/>
      <c r="AQ2026" s="24"/>
      <c r="AR2026" s="33"/>
      <c r="AS2026" s="34"/>
      <c r="AT2026" s="33"/>
      <c r="AV2026" s="21">
        <f>IF(AND($AL2026&lt;&gt;"",COUNTIF($AL$11:$AL2026,$AL2026)=1),1,0)</f>
        <v>0</v>
      </c>
      <c r="AW2026" s="21">
        <f t="shared" si="149"/>
        <v>2</v>
      </c>
      <c r="AX2026" s="21" t="str">
        <f t="shared" si="148"/>
        <v/>
      </c>
      <c r="AY2026" s="21" t="str">
        <f>IF(AND($AM2026&lt;&gt;"",$AS2026&lt;&gt;"✓"),SUMPRODUCT(($AM$11:$AM2026&lt;&gt;"")*($AS$11:$AS2026&lt;&gt;"✓")),"")</f>
        <v/>
      </c>
      <c r="AZ2026" s="21" t="str">
        <f>IF(AND($AM2026&lt;&gt;"",$AS2026="✓"),SUMPRODUCT(($AM$11:$AM2026&lt;&gt;"")*($AS$11:$AS2026="✓")),"")</f>
        <v/>
      </c>
      <c r="BA2026" s="21" t="str">
        <f>IF($AL2026="","",$AL2026&amp;"|"&amp;COUNTIF($AL$11:$AL2026,$AL2026))</f>
        <v/>
      </c>
    </row>
    <row r="2027" spans="38:53" ht="15" customHeight="1" x14ac:dyDescent="0.25">
      <c r="AL2027" s="17"/>
      <c r="AM2027" s="12"/>
      <c r="AN2027" s="18"/>
      <c r="AO2027" s="18"/>
      <c r="AP2027" s="10"/>
      <c r="AQ2027" s="10"/>
      <c r="AR2027" s="19"/>
      <c r="AS2027" s="20"/>
      <c r="AT2027" s="19"/>
      <c r="AV2027" s="21">
        <f>IF(AND($AL2027&lt;&gt;"",COUNTIF($AL$11:$AL2027,$AL2027)=1),1,0)</f>
        <v>0</v>
      </c>
      <c r="AW2027" s="21">
        <f t="shared" si="149"/>
        <v>2</v>
      </c>
      <c r="AX2027" s="21" t="str">
        <f t="shared" si="148"/>
        <v/>
      </c>
      <c r="AY2027" s="21" t="str">
        <f>IF(AND($AM2027&lt;&gt;"",$AS2027&lt;&gt;"✓"),SUMPRODUCT(($AM$11:$AM2027&lt;&gt;"")*($AS$11:$AS2027&lt;&gt;"✓")),"")</f>
        <v/>
      </c>
      <c r="AZ2027" s="21" t="str">
        <f>IF(AND($AM2027&lt;&gt;"",$AS2027="✓"),SUMPRODUCT(($AM$11:$AM2027&lt;&gt;"")*($AS$11:$AS2027="✓")),"")</f>
        <v/>
      </c>
      <c r="BA2027" s="21" t="str">
        <f>IF($AL2027="","",$AL2027&amp;"|"&amp;COUNTIF($AL$11:$AL2027,$AL2027))</f>
        <v/>
      </c>
    </row>
    <row r="2028" spans="38:53" ht="15" customHeight="1" x14ac:dyDescent="0.25">
      <c r="AL2028" s="31"/>
      <c r="AM2028" s="26"/>
      <c r="AN2028" s="32"/>
      <c r="AO2028" s="32"/>
      <c r="AP2028" s="24"/>
      <c r="AQ2028" s="24"/>
      <c r="AR2028" s="33"/>
      <c r="AS2028" s="34"/>
      <c r="AT2028" s="33"/>
      <c r="AV2028" s="21">
        <f>IF(AND($AL2028&lt;&gt;"",COUNTIF($AL$11:$AL2028,$AL2028)=1),1,0)</f>
        <v>0</v>
      </c>
      <c r="AW2028" s="21">
        <f t="shared" si="149"/>
        <v>2</v>
      </c>
      <c r="AX2028" s="21" t="str">
        <f t="shared" si="148"/>
        <v/>
      </c>
      <c r="AY2028" s="21" t="str">
        <f>IF(AND($AM2028&lt;&gt;"",$AS2028&lt;&gt;"✓"),SUMPRODUCT(($AM$11:$AM2028&lt;&gt;"")*($AS$11:$AS2028&lt;&gt;"✓")),"")</f>
        <v/>
      </c>
      <c r="AZ2028" s="21" t="str">
        <f>IF(AND($AM2028&lt;&gt;"",$AS2028="✓"),SUMPRODUCT(($AM$11:$AM2028&lt;&gt;"")*($AS$11:$AS2028="✓")),"")</f>
        <v/>
      </c>
      <c r="BA2028" s="21" t="str">
        <f>IF($AL2028="","",$AL2028&amp;"|"&amp;COUNTIF($AL$11:$AL2028,$AL2028))</f>
        <v/>
      </c>
    </row>
    <row r="2029" spans="38:53" ht="15" customHeight="1" x14ac:dyDescent="0.25">
      <c r="AL2029" s="17"/>
      <c r="AM2029" s="12"/>
      <c r="AN2029" s="18"/>
      <c r="AO2029" s="18"/>
      <c r="AP2029" s="10"/>
      <c r="AQ2029" s="10"/>
      <c r="AR2029" s="19"/>
      <c r="AS2029" s="20"/>
      <c r="AT2029" s="19"/>
      <c r="AV2029" s="21">
        <f>IF(AND($AL2029&lt;&gt;"",COUNTIF($AL$11:$AL2029,$AL2029)=1),1,0)</f>
        <v>0</v>
      </c>
      <c r="AW2029" s="21">
        <f t="shared" si="149"/>
        <v>2</v>
      </c>
      <c r="AX2029" s="21" t="str">
        <f t="shared" si="148"/>
        <v/>
      </c>
      <c r="AY2029" s="21" t="str">
        <f>IF(AND($AM2029&lt;&gt;"",$AS2029&lt;&gt;"✓"),SUMPRODUCT(($AM$11:$AM2029&lt;&gt;"")*($AS$11:$AS2029&lt;&gt;"✓")),"")</f>
        <v/>
      </c>
      <c r="AZ2029" s="21" t="str">
        <f>IF(AND($AM2029&lt;&gt;"",$AS2029="✓"),SUMPRODUCT(($AM$11:$AM2029&lt;&gt;"")*($AS$11:$AS2029="✓")),"")</f>
        <v/>
      </c>
      <c r="BA2029" s="21" t="str">
        <f>IF($AL2029="","",$AL2029&amp;"|"&amp;COUNTIF($AL$11:$AL2029,$AL2029))</f>
        <v/>
      </c>
    </row>
    <row r="2030" spans="38:53" ht="15" customHeight="1" x14ac:dyDescent="0.25">
      <c r="AL2030" s="31"/>
      <c r="AM2030" s="26"/>
      <c r="AN2030" s="32"/>
      <c r="AO2030" s="32"/>
      <c r="AP2030" s="24"/>
      <c r="AQ2030" s="24"/>
      <c r="AR2030" s="33"/>
      <c r="AS2030" s="34"/>
      <c r="AT2030" s="33"/>
      <c r="AV2030" s="21">
        <f>IF(AND($AL2030&lt;&gt;"",COUNTIF($AL$11:$AL2030,$AL2030)=1),1,0)</f>
        <v>0</v>
      </c>
      <c r="AW2030" s="21">
        <f t="shared" si="149"/>
        <v>2</v>
      </c>
      <c r="AX2030" s="21" t="str">
        <f t="shared" si="148"/>
        <v/>
      </c>
      <c r="AY2030" s="21" t="str">
        <f>IF(AND($AM2030&lt;&gt;"",$AS2030&lt;&gt;"✓"),SUMPRODUCT(($AM$11:$AM2030&lt;&gt;"")*($AS$11:$AS2030&lt;&gt;"✓")),"")</f>
        <v/>
      </c>
      <c r="AZ2030" s="21" t="str">
        <f>IF(AND($AM2030&lt;&gt;"",$AS2030="✓"),SUMPRODUCT(($AM$11:$AM2030&lt;&gt;"")*($AS$11:$AS2030="✓")),"")</f>
        <v/>
      </c>
      <c r="BA2030" s="21" t="str">
        <f>IF($AL2030="","",$AL2030&amp;"|"&amp;COUNTIF($AL$11:$AL2030,$AL2030))</f>
        <v/>
      </c>
    </row>
    <row r="2031" spans="38:53" ht="15" customHeight="1" x14ac:dyDescent="0.25">
      <c r="AL2031" s="17"/>
      <c r="AM2031" s="12"/>
      <c r="AN2031" s="18"/>
      <c r="AO2031" s="18"/>
      <c r="AP2031" s="10"/>
      <c r="AQ2031" s="10"/>
      <c r="AR2031" s="19"/>
      <c r="AS2031" s="20"/>
      <c r="AT2031" s="19"/>
      <c r="AV2031" s="21">
        <f>IF(AND($AL2031&lt;&gt;"",COUNTIF($AL$11:$AL2031,$AL2031)=1),1,0)</f>
        <v>0</v>
      </c>
      <c r="AW2031" s="21">
        <f t="shared" si="149"/>
        <v>2</v>
      </c>
      <c r="AX2031" s="21" t="str">
        <f t="shared" si="148"/>
        <v/>
      </c>
      <c r="AY2031" s="21" t="str">
        <f>IF(AND($AM2031&lt;&gt;"",$AS2031&lt;&gt;"✓"),SUMPRODUCT(($AM$11:$AM2031&lt;&gt;"")*($AS$11:$AS2031&lt;&gt;"✓")),"")</f>
        <v/>
      </c>
      <c r="AZ2031" s="21" t="str">
        <f>IF(AND($AM2031&lt;&gt;"",$AS2031="✓"),SUMPRODUCT(($AM$11:$AM2031&lt;&gt;"")*($AS$11:$AS2031="✓")),"")</f>
        <v/>
      </c>
      <c r="BA2031" s="21" t="str">
        <f>IF($AL2031="","",$AL2031&amp;"|"&amp;COUNTIF($AL$11:$AL2031,$AL2031))</f>
        <v/>
      </c>
    </row>
    <row r="2032" spans="38:53" ht="15" customHeight="1" x14ac:dyDescent="0.25">
      <c r="AL2032" s="31"/>
      <c r="AM2032" s="26"/>
      <c r="AN2032" s="32"/>
      <c r="AO2032" s="32"/>
      <c r="AP2032" s="24"/>
      <c r="AQ2032" s="24"/>
      <c r="AR2032" s="33"/>
      <c r="AS2032" s="34"/>
      <c r="AT2032" s="33"/>
      <c r="AV2032" s="21">
        <f>IF(AND($AL2032&lt;&gt;"",COUNTIF($AL$11:$AL2032,$AL2032)=1),1,0)</f>
        <v>0</v>
      </c>
      <c r="AW2032" s="21">
        <f t="shared" si="149"/>
        <v>2</v>
      </c>
      <c r="AX2032" s="21" t="str">
        <f t="shared" si="148"/>
        <v/>
      </c>
      <c r="AY2032" s="21" t="str">
        <f>IF(AND($AM2032&lt;&gt;"",$AS2032&lt;&gt;"✓"),SUMPRODUCT(($AM$11:$AM2032&lt;&gt;"")*($AS$11:$AS2032&lt;&gt;"✓")),"")</f>
        <v/>
      </c>
      <c r="AZ2032" s="21" t="str">
        <f>IF(AND($AM2032&lt;&gt;"",$AS2032="✓"),SUMPRODUCT(($AM$11:$AM2032&lt;&gt;"")*($AS$11:$AS2032="✓")),"")</f>
        <v/>
      </c>
      <c r="BA2032" s="21" t="str">
        <f>IF($AL2032="","",$AL2032&amp;"|"&amp;COUNTIF($AL$11:$AL2032,$AL2032))</f>
        <v/>
      </c>
    </row>
    <row r="2033" spans="38:53" ht="15" customHeight="1" x14ac:dyDescent="0.25">
      <c r="AL2033" s="17"/>
      <c r="AM2033" s="12"/>
      <c r="AN2033" s="18"/>
      <c r="AO2033" s="18"/>
      <c r="AP2033" s="10"/>
      <c r="AQ2033" s="10"/>
      <c r="AR2033" s="19"/>
      <c r="AS2033" s="20"/>
      <c r="AT2033" s="19"/>
      <c r="AV2033" s="21">
        <f>IF(AND($AL2033&lt;&gt;"",COUNTIF($AL$11:$AL2033,$AL2033)=1),1,0)</f>
        <v>0</v>
      </c>
      <c r="AW2033" s="21">
        <f t="shared" si="149"/>
        <v>2</v>
      </c>
      <c r="AX2033" s="21" t="str">
        <f t="shared" si="148"/>
        <v/>
      </c>
      <c r="AY2033" s="21" t="str">
        <f>IF(AND($AM2033&lt;&gt;"",$AS2033&lt;&gt;"✓"),SUMPRODUCT(($AM$11:$AM2033&lt;&gt;"")*($AS$11:$AS2033&lt;&gt;"✓")),"")</f>
        <v/>
      </c>
      <c r="AZ2033" s="21" t="str">
        <f>IF(AND($AM2033&lt;&gt;"",$AS2033="✓"),SUMPRODUCT(($AM$11:$AM2033&lt;&gt;"")*($AS$11:$AS2033="✓")),"")</f>
        <v/>
      </c>
      <c r="BA2033" s="21" t="str">
        <f>IF($AL2033="","",$AL2033&amp;"|"&amp;COUNTIF($AL$11:$AL2033,$AL2033))</f>
        <v/>
      </c>
    </row>
    <row r="2034" spans="38:53" ht="15" customHeight="1" x14ac:dyDescent="0.25">
      <c r="AL2034" s="31"/>
      <c r="AM2034" s="26"/>
      <c r="AN2034" s="32"/>
      <c r="AO2034" s="32"/>
      <c r="AP2034" s="24"/>
      <c r="AQ2034" s="24"/>
      <c r="AR2034" s="33"/>
      <c r="AS2034" s="34"/>
      <c r="AT2034" s="33"/>
      <c r="AV2034" s="21">
        <f>IF(AND($AL2034&lt;&gt;"",COUNTIF($AL$11:$AL2034,$AL2034)=1),1,0)</f>
        <v>0</v>
      </c>
      <c r="AW2034" s="21">
        <f t="shared" si="149"/>
        <v>2</v>
      </c>
      <c r="AX2034" s="21" t="str">
        <f t="shared" si="148"/>
        <v/>
      </c>
      <c r="AY2034" s="21" t="str">
        <f>IF(AND($AM2034&lt;&gt;"",$AS2034&lt;&gt;"✓"),SUMPRODUCT(($AM$11:$AM2034&lt;&gt;"")*($AS$11:$AS2034&lt;&gt;"✓")),"")</f>
        <v/>
      </c>
      <c r="AZ2034" s="21" t="str">
        <f>IF(AND($AM2034&lt;&gt;"",$AS2034="✓"),SUMPRODUCT(($AM$11:$AM2034&lt;&gt;"")*($AS$11:$AS2034="✓")),"")</f>
        <v/>
      </c>
      <c r="BA2034" s="21" t="str">
        <f>IF($AL2034="","",$AL2034&amp;"|"&amp;COUNTIF($AL$11:$AL2034,$AL2034))</f>
        <v/>
      </c>
    </row>
    <row r="2035" spans="38:53" ht="15" customHeight="1" x14ac:dyDescent="0.25">
      <c r="AL2035" s="17"/>
      <c r="AM2035" s="12"/>
      <c r="AN2035" s="18"/>
      <c r="AO2035" s="18"/>
      <c r="AP2035" s="10"/>
      <c r="AQ2035" s="10"/>
      <c r="AR2035" s="19"/>
      <c r="AS2035" s="20"/>
      <c r="AT2035" s="19"/>
      <c r="AV2035" s="21">
        <f>IF(AND($AL2035&lt;&gt;"",COUNTIF($AL$11:$AL2035,$AL2035)=1),1,0)</f>
        <v>0</v>
      </c>
      <c r="AW2035" s="21">
        <f t="shared" si="149"/>
        <v>2</v>
      </c>
      <c r="AX2035" s="21" t="str">
        <f t="shared" si="148"/>
        <v/>
      </c>
      <c r="AY2035" s="21" t="str">
        <f>IF(AND($AM2035&lt;&gt;"",$AS2035&lt;&gt;"✓"),SUMPRODUCT(($AM$11:$AM2035&lt;&gt;"")*($AS$11:$AS2035&lt;&gt;"✓")),"")</f>
        <v/>
      </c>
      <c r="AZ2035" s="21" t="str">
        <f>IF(AND($AM2035&lt;&gt;"",$AS2035="✓"),SUMPRODUCT(($AM$11:$AM2035&lt;&gt;"")*($AS$11:$AS2035="✓")),"")</f>
        <v/>
      </c>
      <c r="BA2035" s="21" t="str">
        <f>IF($AL2035="","",$AL2035&amp;"|"&amp;COUNTIF($AL$11:$AL2035,$AL2035))</f>
        <v/>
      </c>
    </row>
    <row r="2036" spans="38:53" ht="15" customHeight="1" x14ac:dyDescent="0.25">
      <c r="AL2036" s="31"/>
      <c r="AM2036" s="26"/>
      <c r="AN2036" s="32"/>
      <c r="AO2036" s="32"/>
      <c r="AP2036" s="24"/>
      <c r="AQ2036" s="24"/>
      <c r="AR2036" s="33"/>
      <c r="AS2036" s="34"/>
      <c r="AT2036" s="33"/>
      <c r="AV2036" s="21">
        <f>IF(AND($AL2036&lt;&gt;"",COUNTIF($AL$11:$AL2036,$AL2036)=1),1,0)</f>
        <v>0</v>
      </c>
      <c r="AW2036" s="21">
        <f t="shared" si="149"/>
        <v>2</v>
      </c>
      <c r="AX2036" s="21" t="str">
        <f t="shared" si="148"/>
        <v/>
      </c>
      <c r="AY2036" s="21" t="str">
        <f>IF(AND($AM2036&lt;&gt;"",$AS2036&lt;&gt;"✓"),SUMPRODUCT(($AM$11:$AM2036&lt;&gt;"")*($AS$11:$AS2036&lt;&gt;"✓")),"")</f>
        <v/>
      </c>
      <c r="AZ2036" s="21" t="str">
        <f>IF(AND($AM2036&lt;&gt;"",$AS2036="✓"),SUMPRODUCT(($AM$11:$AM2036&lt;&gt;"")*($AS$11:$AS2036="✓")),"")</f>
        <v/>
      </c>
      <c r="BA2036" s="21" t="str">
        <f>IF($AL2036="","",$AL2036&amp;"|"&amp;COUNTIF($AL$11:$AL2036,$AL2036))</f>
        <v/>
      </c>
    </row>
    <row r="2037" spans="38:53" ht="15" customHeight="1" x14ac:dyDescent="0.25">
      <c r="AL2037" s="17"/>
      <c r="AM2037" s="12"/>
      <c r="AN2037" s="18"/>
      <c r="AO2037" s="18"/>
      <c r="AP2037" s="10"/>
      <c r="AQ2037" s="10"/>
      <c r="AR2037" s="19"/>
      <c r="AS2037" s="20"/>
      <c r="AT2037" s="19"/>
      <c r="AV2037" s="21">
        <f>IF(AND($AL2037&lt;&gt;"",COUNTIF($AL$11:$AL2037,$AL2037)=1),1,0)</f>
        <v>0</v>
      </c>
      <c r="AW2037" s="21">
        <f t="shared" si="149"/>
        <v>2</v>
      </c>
      <c r="AX2037" s="21" t="str">
        <f t="shared" si="148"/>
        <v/>
      </c>
      <c r="AY2037" s="21" t="str">
        <f>IF(AND($AM2037&lt;&gt;"",$AS2037&lt;&gt;"✓"),SUMPRODUCT(($AM$11:$AM2037&lt;&gt;"")*($AS$11:$AS2037&lt;&gt;"✓")),"")</f>
        <v/>
      </c>
      <c r="AZ2037" s="21" t="str">
        <f>IF(AND($AM2037&lt;&gt;"",$AS2037="✓"),SUMPRODUCT(($AM$11:$AM2037&lt;&gt;"")*($AS$11:$AS2037="✓")),"")</f>
        <v/>
      </c>
      <c r="BA2037" s="21" t="str">
        <f>IF($AL2037="","",$AL2037&amp;"|"&amp;COUNTIF($AL$11:$AL2037,$AL2037))</f>
        <v/>
      </c>
    </row>
    <row r="2038" spans="38:53" ht="15" customHeight="1" x14ac:dyDescent="0.25">
      <c r="AL2038" s="31"/>
      <c r="AM2038" s="26"/>
      <c r="AN2038" s="32"/>
      <c r="AO2038" s="32"/>
      <c r="AP2038" s="24"/>
      <c r="AQ2038" s="24"/>
      <c r="AR2038" s="33"/>
      <c r="AS2038" s="34"/>
      <c r="AT2038" s="33"/>
      <c r="AV2038" s="21">
        <f>IF(AND($AL2038&lt;&gt;"",COUNTIF($AL$11:$AL2038,$AL2038)=1),1,0)</f>
        <v>0</v>
      </c>
      <c r="AW2038" s="21">
        <f t="shared" si="149"/>
        <v>2</v>
      </c>
      <c r="AX2038" s="21" t="str">
        <f t="shared" si="148"/>
        <v/>
      </c>
      <c r="AY2038" s="21" t="str">
        <f>IF(AND($AM2038&lt;&gt;"",$AS2038&lt;&gt;"✓"),SUMPRODUCT(($AM$11:$AM2038&lt;&gt;"")*($AS$11:$AS2038&lt;&gt;"✓")),"")</f>
        <v/>
      </c>
      <c r="AZ2038" s="21" t="str">
        <f>IF(AND($AM2038&lt;&gt;"",$AS2038="✓"),SUMPRODUCT(($AM$11:$AM2038&lt;&gt;"")*($AS$11:$AS2038="✓")),"")</f>
        <v/>
      </c>
      <c r="BA2038" s="21" t="str">
        <f>IF($AL2038="","",$AL2038&amp;"|"&amp;COUNTIF($AL$11:$AL2038,$AL2038))</f>
        <v/>
      </c>
    </row>
    <row r="2039" spans="38:53" ht="15" customHeight="1" x14ac:dyDescent="0.25">
      <c r="AL2039" s="17"/>
      <c r="AM2039" s="12"/>
      <c r="AN2039" s="18"/>
      <c r="AO2039" s="18"/>
      <c r="AP2039" s="10"/>
      <c r="AQ2039" s="10"/>
      <c r="AR2039" s="19"/>
      <c r="AS2039" s="20"/>
      <c r="AT2039" s="19"/>
      <c r="AV2039" s="21">
        <f>IF(AND($AL2039&lt;&gt;"",COUNTIF($AL$11:$AL2039,$AL2039)=1),1,0)</f>
        <v>0</v>
      </c>
      <c r="AW2039" s="21">
        <f t="shared" si="149"/>
        <v>2</v>
      </c>
      <c r="AX2039" s="21" t="str">
        <f t="shared" si="148"/>
        <v/>
      </c>
      <c r="AY2039" s="21" t="str">
        <f>IF(AND($AM2039&lt;&gt;"",$AS2039&lt;&gt;"✓"),SUMPRODUCT(($AM$11:$AM2039&lt;&gt;"")*($AS$11:$AS2039&lt;&gt;"✓")),"")</f>
        <v/>
      </c>
      <c r="AZ2039" s="21" t="str">
        <f>IF(AND($AM2039&lt;&gt;"",$AS2039="✓"),SUMPRODUCT(($AM$11:$AM2039&lt;&gt;"")*($AS$11:$AS2039="✓")),"")</f>
        <v/>
      </c>
      <c r="BA2039" s="21" t="str">
        <f>IF($AL2039="","",$AL2039&amp;"|"&amp;COUNTIF($AL$11:$AL2039,$AL2039))</f>
        <v/>
      </c>
    </row>
    <row r="2040" spans="38:53" ht="15" customHeight="1" x14ac:dyDescent="0.25">
      <c r="AL2040" s="31"/>
      <c r="AM2040" s="26"/>
      <c r="AN2040" s="32"/>
      <c r="AO2040" s="32"/>
      <c r="AP2040" s="24"/>
      <c r="AQ2040" s="24"/>
      <c r="AR2040" s="33"/>
      <c r="AS2040" s="34"/>
      <c r="AT2040" s="33"/>
      <c r="AV2040" s="21">
        <f>IF(AND($AL2040&lt;&gt;"",COUNTIF($AL$11:$AL2040,$AL2040)=1),1,0)</f>
        <v>0</v>
      </c>
      <c r="AW2040" s="21">
        <f t="shared" si="149"/>
        <v>2</v>
      </c>
      <c r="AX2040" s="21" t="str">
        <f t="shared" si="148"/>
        <v/>
      </c>
      <c r="AY2040" s="21" t="str">
        <f>IF(AND($AM2040&lt;&gt;"",$AS2040&lt;&gt;"✓"),SUMPRODUCT(($AM$11:$AM2040&lt;&gt;"")*($AS$11:$AS2040&lt;&gt;"✓")),"")</f>
        <v/>
      </c>
      <c r="AZ2040" s="21" t="str">
        <f>IF(AND($AM2040&lt;&gt;"",$AS2040="✓"),SUMPRODUCT(($AM$11:$AM2040&lt;&gt;"")*($AS$11:$AS2040="✓")),"")</f>
        <v/>
      </c>
      <c r="BA2040" s="21" t="str">
        <f>IF($AL2040="","",$AL2040&amp;"|"&amp;COUNTIF($AL$11:$AL2040,$AL2040))</f>
        <v/>
      </c>
    </row>
    <row r="2041" spans="38:53" ht="15" customHeight="1" x14ac:dyDescent="0.25">
      <c r="AL2041" s="17"/>
      <c r="AM2041" s="12"/>
      <c r="AN2041" s="18"/>
      <c r="AO2041" s="18"/>
      <c r="AP2041" s="10"/>
      <c r="AQ2041" s="10"/>
      <c r="AR2041" s="19"/>
      <c r="AS2041" s="20"/>
      <c r="AT2041" s="19"/>
      <c r="AV2041" s="21">
        <f>IF(AND($AL2041&lt;&gt;"",COUNTIF($AL$11:$AL2041,$AL2041)=1),1,0)</f>
        <v>0</v>
      </c>
      <c r="AW2041" s="21">
        <f t="shared" si="149"/>
        <v>2</v>
      </c>
      <c r="AX2041" s="21" t="str">
        <f t="shared" si="148"/>
        <v/>
      </c>
      <c r="AY2041" s="21" t="str">
        <f>IF(AND($AM2041&lt;&gt;"",$AS2041&lt;&gt;"✓"),SUMPRODUCT(($AM$11:$AM2041&lt;&gt;"")*($AS$11:$AS2041&lt;&gt;"✓")),"")</f>
        <v/>
      </c>
      <c r="AZ2041" s="21" t="str">
        <f>IF(AND($AM2041&lt;&gt;"",$AS2041="✓"),SUMPRODUCT(($AM$11:$AM2041&lt;&gt;"")*($AS$11:$AS2041="✓")),"")</f>
        <v/>
      </c>
      <c r="BA2041" s="21" t="str">
        <f>IF($AL2041="","",$AL2041&amp;"|"&amp;COUNTIF($AL$11:$AL2041,$AL2041))</f>
        <v/>
      </c>
    </row>
    <row r="2042" spans="38:53" ht="15" customHeight="1" x14ac:dyDescent="0.25">
      <c r="AL2042" s="31"/>
      <c r="AM2042" s="26"/>
      <c r="AN2042" s="32"/>
      <c r="AO2042" s="32"/>
      <c r="AP2042" s="24"/>
      <c r="AQ2042" s="24"/>
      <c r="AR2042" s="33"/>
      <c r="AS2042" s="34"/>
      <c r="AT2042" s="33"/>
      <c r="AV2042" s="21">
        <f>IF(AND($AL2042&lt;&gt;"",COUNTIF($AL$11:$AL2042,$AL2042)=1),1,0)</f>
        <v>0</v>
      </c>
      <c r="AW2042" s="21">
        <f t="shared" si="149"/>
        <v>2</v>
      </c>
      <c r="AX2042" s="21" t="str">
        <f t="shared" si="148"/>
        <v/>
      </c>
      <c r="AY2042" s="21" t="str">
        <f>IF(AND($AM2042&lt;&gt;"",$AS2042&lt;&gt;"✓"),SUMPRODUCT(($AM$11:$AM2042&lt;&gt;"")*($AS$11:$AS2042&lt;&gt;"✓")),"")</f>
        <v/>
      </c>
      <c r="AZ2042" s="21" t="str">
        <f>IF(AND($AM2042&lt;&gt;"",$AS2042="✓"),SUMPRODUCT(($AM$11:$AM2042&lt;&gt;"")*($AS$11:$AS2042="✓")),"")</f>
        <v/>
      </c>
      <c r="BA2042" s="21" t="str">
        <f>IF($AL2042="","",$AL2042&amp;"|"&amp;COUNTIF($AL$11:$AL2042,$AL2042))</f>
        <v/>
      </c>
    </row>
    <row r="2043" spans="38:53" ht="15" customHeight="1" x14ac:dyDescent="0.25">
      <c r="AL2043" s="17"/>
      <c r="AM2043" s="12"/>
      <c r="AN2043" s="18"/>
      <c r="AO2043" s="18"/>
      <c r="AP2043" s="10"/>
      <c r="AQ2043" s="10"/>
      <c r="AR2043" s="19"/>
      <c r="AS2043" s="20"/>
      <c r="AT2043" s="19"/>
      <c r="AV2043" s="21">
        <f>IF(AND($AL2043&lt;&gt;"",COUNTIF($AL$11:$AL2043,$AL2043)=1),1,0)</f>
        <v>0</v>
      </c>
      <c r="AW2043" s="21">
        <f t="shared" si="149"/>
        <v>2</v>
      </c>
      <c r="AX2043" s="21" t="str">
        <f t="shared" si="148"/>
        <v/>
      </c>
      <c r="AY2043" s="21" t="str">
        <f>IF(AND($AM2043&lt;&gt;"",$AS2043&lt;&gt;"✓"),SUMPRODUCT(($AM$11:$AM2043&lt;&gt;"")*($AS$11:$AS2043&lt;&gt;"✓")),"")</f>
        <v/>
      </c>
      <c r="AZ2043" s="21" t="str">
        <f>IF(AND($AM2043&lt;&gt;"",$AS2043="✓"),SUMPRODUCT(($AM$11:$AM2043&lt;&gt;"")*($AS$11:$AS2043="✓")),"")</f>
        <v/>
      </c>
      <c r="BA2043" s="21" t="str">
        <f>IF($AL2043="","",$AL2043&amp;"|"&amp;COUNTIF($AL$11:$AL2043,$AL2043))</f>
        <v/>
      </c>
    </row>
    <row r="2044" spans="38:53" ht="15" customHeight="1" x14ac:dyDescent="0.25">
      <c r="AL2044" s="31"/>
      <c r="AM2044" s="26"/>
      <c r="AN2044" s="32"/>
      <c r="AO2044" s="32"/>
      <c r="AP2044" s="24"/>
      <c r="AQ2044" s="24"/>
      <c r="AR2044" s="33"/>
      <c r="AS2044" s="34"/>
      <c r="AT2044" s="33"/>
      <c r="AV2044" s="21">
        <f>IF(AND($AL2044&lt;&gt;"",COUNTIF($AL$11:$AL2044,$AL2044)=1),1,0)</f>
        <v>0</v>
      </c>
      <c r="AW2044" s="21">
        <f t="shared" si="149"/>
        <v>2</v>
      </c>
      <c r="AX2044" s="21" t="str">
        <f t="shared" si="148"/>
        <v/>
      </c>
      <c r="AY2044" s="21" t="str">
        <f>IF(AND($AM2044&lt;&gt;"",$AS2044&lt;&gt;"✓"),SUMPRODUCT(($AM$11:$AM2044&lt;&gt;"")*($AS$11:$AS2044&lt;&gt;"✓")),"")</f>
        <v/>
      </c>
      <c r="AZ2044" s="21" t="str">
        <f>IF(AND($AM2044&lt;&gt;"",$AS2044="✓"),SUMPRODUCT(($AM$11:$AM2044&lt;&gt;"")*($AS$11:$AS2044="✓")),"")</f>
        <v/>
      </c>
      <c r="BA2044" s="21" t="str">
        <f>IF($AL2044="","",$AL2044&amp;"|"&amp;COUNTIF($AL$11:$AL2044,$AL2044))</f>
        <v/>
      </c>
    </row>
    <row r="2045" spans="38:53" ht="15" customHeight="1" x14ac:dyDescent="0.25">
      <c r="AL2045" s="17"/>
      <c r="AM2045" s="12"/>
      <c r="AN2045" s="18"/>
      <c r="AO2045" s="18"/>
      <c r="AP2045" s="10"/>
      <c r="AQ2045" s="10"/>
      <c r="AR2045" s="19"/>
      <c r="AS2045" s="20"/>
      <c r="AT2045" s="19"/>
      <c r="AV2045" s="21">
        <f>IF(AND($AL2045&lt;&gt;"",COUNTIF($AL$11:$AL2045,$AL2045)=1),1,0)</f>
        <v>0</v>
      </c>
      <c r="AW2045" s="21">
        <f t="shared" si="149"/>
        <v>2</v>
      </c>
      <c r="AX2045" s="21" t="str">
        <f t="shared" si="148"/>
        <v/>
      </c>
      <c r="AY2045" s="21" t="str">
        <f>IF(AND($AM2045&lt;&gt;"",$AS2045&lt;&gt;"✓"),SUMPRODUCT(($AM$11:$AM2045&lt;&gt;"")*($AS$11:$AS2045&lt;&gt;"✓")),"")</f>
        <v/>
      </c>
      <c r="AZ2045" s="21" t="str">
        <f>IF(AND($AM2045&lt;&gt;"",$AS2045="✓"),SUMPRODUCT(($AM$11:$AM2045&lt;&gt;"")*($AS$11:$AS2045="✓")),"")</f>
        <v/>
      </c>
      <c r="BA2045" s="21" t="str">
        <f>IF($AL2045="","",$AL2045&amp;"|"&amp;COUNTIF($AL$11:$AL2045,$AL2045))</f>
        <v/>
      </c>
    </row>
    <row r="2046" spans="38:53" ht="15" customHeight="1" x14ac:dyDescent="0.25">
      <c r="AL2046" s="31"/>
      <c r="AM2046" s="26"/>
      <c r="AN2046" s="32"/>
      <c r="AO2046" s="32"/>
      <c r="AP2046" s="24"/>
      <c r="AQ2046" s="24"/>
      <c r="AR2046" s="33"/>
      <c r="AS2046" s="34"/>
      <c r="AT2046" s="33"/>
      <c r="AV2046" s="21">
        <f>IF(AND($AL2046&lt;&gt;"",COUNTIF($AL$11:$AL2046,$AL2046)=1),1,0)</f>
        <v>0</v>
      </c>
      <c r="AW2046" s="21">
        <f t="shared" si="149"/>
        <v>2</v>
      </c>
      <c r="AX2046" s="21" t="str">
        <f t="shared" si="148"/>
        <v/>
      </c>
      <c r="AY2046" s="21" t="str">
        <f>IF(AND($AM2046&lt;&gt;"",$AS2046&lt;&gt;"✓"),SUMPRODUCT(($AM$11:$AM2046&lt;&gt;"")*($AS$11:$AS2046&lt;&gt;"✓")),"")</f>
        <v/>
      </c>
      <c r="AZ2046" s="21" t="str">
        <f>IF(AND($AM2046&lt;&gt;"",$AS2046="✓"),SUMPRODUCT(($AM$11:$AM2046&lt;&gt;"")*($AS$11:$AS2046="✓")),"")</f>
        <v/>
      </c>
      <c r="BA2046" s="21" t="str">
        <f>IF($AL2046="","",$AL2046&amp;"|"&amp;COUNTIF($AL$11:$AL2046,$AL2046))</f>
        <v/>
      </c>
    </row>
    <row r="2047" spans="38:53" ht="15" customHeight="1" x14ac:dyDescent="0.25">
      <c r="AL2047" s="17"/>
      <c r="AM2047" s="12"/>
      <c r="AN2047" s="18"/>
      <c r="AO2047" s="18"/>
      <c r="AP2047" s="10"/>
      <c r="AQ2047" s="10"/>
      <c r="AR2047" s="19"/>
      <c r="AS2047" s="20"/>
      <c r="AT2047" s="19"/>
      <c r="AV2047" s="21">
        <f>IF(AND($AL2047&lt;&gt;"",COUNTIF($AL$11:$AL2047,$AL2047)=1),1,0)</f>
        <v>0</v>
      </c>
      <c r="AW2047" s="21">
        <f t="shared" si="149"/>
        <v>2</v>
      </c>
      <c r="AX2047" s="21" t="str">
        <f t="shared" si="148"/>
        <v/>
      </c>
      <c r="AY2047" s="21" t="str">
        <f>IF(AND($AM2047&lt;&gt;"",$AS2047&lt;&gt;"✓"),SUMPRODUCT(($AM$11:$AM2047&lt;&gt;"")*($AS$11:$AS2047&lt;&gt;"✓")),"")</f>
        <v/>
      </c>
      <c r="AZ2047" s="21" t="str">
        <f>IF(AND($AM2047&lt;&gt;"",$AS2047="✓"),SUMPRODUCT(($AM$11:$AM2047&lt;&gt;"")*($AS$11:$AS2047="✓")),"")</f>
        <v/>
      </c>
      <c r="BA2047" s="21" t="str">
        <f>IF($AL2047="","",$AL2047&amp;"|"&amp;COUNTIF($AL$11:$AL2047,$AL2047))</f>
        <v/>
      </c>
    </row>
    <row r="2048" spans="38:53" ht="15" customHeight="1" x14ac:dyDescent="0.25">
      <c r="AL2048" s="31"/>
      <c r="AM2048" s="26"/>
      <c r="AN2048" s="32"/>
      <c r="AO2048" s="32"/>
      <c r="AP2048" s="24"/>
      <c r="AQ2048" s="24"/>
      <c r="AR2048" s="33"/>
      <c r="AS2048" s="34"/>
      <c r="AT2048" s="33"/>
      <c r="AV2048" s="21">
        <f>IF(AND($AL2048&lt;&gt;"",COUNTIF($AL$11:$AL2048,$AL2048)=1),1,0)</f>
        <v>0</v>
      </c>
      <c r="AW2048" s="21">
        <f t="shared" si="149"/>
        <v>2</v>
      </c>
      <c r="AX2048" s="21" t="str">
        <f t="shared" si="148"/>
        <v/>
      </c>
      <c r="AY2048" s="21" t="str">
        <f>IF(AND($AM2048&lt;&gt;"",$AS2048&lt;&gt;"✓"),SUMPRODUCT(($AM$11:$AM2048&lt;&gt;"")*($AS$11:$AS2048&lt;&gt;"✓")),"")</f>
        <v/>
      </c>
      <c r="AZ2048" s="21" t="str">
        <f>IF(AND($AM2048&lt;&gt;"",$AS2048="✓"),SUMPRODUCT(($AM$11:$AM2048&lt;&gt;"")*($AS$11:$AS2048="✓")),"")</f>
        <v/>
      </c>
      <c r="BA2048" s="21" t="str">
        <f>IF($AL2048="","",$AL2048&amp;"|"&amp;COUNTIF($AL$11:$AL2048,$AL2048))</f>
        <v/>
      </c>
    </row>
    <row r="2049" spans="38:53" ht="15" customHeight="1" x14ac:dyDescent="0.25">
      <c r="AL2049" s="17"/>
      <c r="AM2049" s="12"/>
      <c r="AN2049" s="18"/>
      <c r="AO2049" s="18"/>
      <c r="AP2049" s="10"/>
      <c r="AQ2049" s="10"/>
      <c r="AR2049" s="19"/>
      <c r="AS2049" s="20"/>
      <c r="AT2049" s="19"/>
      <c r="AV2049" s="21">
        <f>IF(AND($AL2049&lt;&gt;"",COUNTIF($AL$11:$AL2049,$AL2049)=1),1,0)</f>
        <v>0</v>
      </c>
      <c r="AW2049" s="21">
        <f t="shared" si="149"/>
        <v>2</v>
      </c>
      <c r="AX2049" s="21" t="str">
        <f t="shared" si="148"/>
        <v/>
      </c>
      <c r="AY2049" s="21" t="str">
        <f>IF(AND($AM2049&lt;&gt;"",$AS2049&lt;&gt;"✓"),SUMPRODUCT(($AM$11:$AM2049&lt;&gt;"")*($AS$11:$AS2049&lt;&gt;"✓")),"")</f>
        <v/>
      </c>
      <c r="AZ2049" s="21" t="str">
        <f>IF(AND($AM2049&lt;&gt;"",$AS2049="✓"),SUMPRODUCT(($AM$11:$AM2049&lt;&gt;"")*($AS$11:$AS2049="✓")),"")</f>
        <v/>
      </c>
      <c r="BA2049" s="21" t="str">
        <f>IF($AL2049="","",$AL2049&amp;"|"&amp;COUNTIF($AL$11:$AL2049,$AL2049))</f>
        <v/>
      </c>
    </row>
    <row r="2050" spans="38:53" ht="15" customHeight="1" x14ac:dyDescent="0.25">
      <c r="AL2050" s="31"/>
      <c r="AM2050" s="26"/>
      <c r="AN2050" s="32"/>
      <c r="AO2050" s="32"/>
      <c r="AP2050" s="24"/>
      <c r="AQ2050" s="24"/>
      <c r="AR2050" s="33"/>
      <c r="AS2050" s="34"/>
      <c r="AT2050" s="33"/>
      <c r="AV2050" s="21">
        <f>IF(AND($AL2050&lt;&gt;"",COUNTIF($AL$11:$AL2050,$AL2050)=1),1,0)</f>
        <v>0</v>
      </c>
      <c r="AW2050" s="21">
        <f t="shared" si="149"/>
        <v>2</v>
      </c>
      <c r="AX2050" s="21" t="str">
        <f t="shared" si="148"/>
        <v/>
      </c>
      <c r="AY2050" s="21" t="str">
        <f>IF(AND($AM2050&lt;&gt;"",$AS2050&lt;&gt;"✓"),SUMPRODUCT(($AM$11:$AM2050&lt;&gt;"")*($AS$11:$AS2050&lt;&gt;"✓")),"")</f>
        <v/>
      </c>
      <c r="AZ2050" s="21" t="str">
        <f>IF(AND($AM2050&lt;&gt;"",$AS2050="✓"),SUMPRODUCT(($AM$11:$AM2050&lt;&gt;"")*($AS$11:$AS2050="✓")),"")</f>
        <v/>
      </c>
      <c r="BA2050" s="21" t="str">
        <f>IF($AL2050="","",$AL2050&amp;"|"&amp;COUNTIF($AL$11:$AL2050,$AL2050))</f>
        <v/>
      </c>
    </row>
    <row r="2051" spans="38:53" ht="15" customHeight="1" x14ac:dyDescent="0.25">
      <c r="AL2051" s="17"/>
      <c r="AM2051" s="12"/>
      <c r="AN2051" s="18"/>
      <c r="AO2051" s="18"/>
      <c r="AP2051" s="10"/>
      <c r="AQ2051" s="10"/>
      <c r="AR2051" s="19"/>
      <c r="AS2051" s="20"/>
      <c r="AT2051" s="19"/>
      <c r="AV2051" s="21">
        <f>IF(AND($AL2051&lt;&gt;"",COUNTIF($AL$11:$AL2051,$AL2051)=1),1,0)</f>
        <v>0</v>
      </c>
      <c r="AW2051" s="21">
        <f t="shared" si="149"/>
        <v>2</v>
      </c>
      <c r="AX2051" s="21" t="str">
        <f t="shared" si="148"/>
        <v/>
      </c>
      <c r="AY2051" s="21" t="str">
        <f>IF(AND($AM2051&lt;&gt;"",$AS2051&lt;&gt;"✓"),SUMPRODUCT(($AM$11:$AM2051&lt;&gt;"")*($AS$11:$AS2051&lt;&gt;"✓")),"")</f>
        <v/>
      </c>
      <c r="AZ2051" s="21" t="str">
        <f>IF(AND($AM2051&lt;&gt;"",$AS2051="✓"),SUMPRODUCT(($AM$11:$AM2051&lt;&gt;"")*($AS$11:$AS2051="✓")),"")</f>
        <v/>
      </c>
      <c r="BA2051" s="21" t="str">
        <f>IF($AL2051="","",$AL2051&amp;"|"&amp;COUNTIF($AL$11:$AL2051,$AL2051))</f>
        <v/>
      </c>
    </row>
    <row r="2052" spans="38:53" ht="15" customHeight="1" x14ac:dyDescent="0.25">
      <c r="AL2052" s="31"/>
      <c r="AM2052" s="26"/>
      <c r="AN2052" s="32"/>
      <c r="AO2052" s="32"/>
      <c r="AP2052" s="24"/>
      <c r="AQ2052" s="24"/>
      <c r="AR2052" s="33"/>
      <c r="AS2052" s="34"/>
      <c r="AT2052" s="33"/>
      <c r="AV2052" s="21">
        <f>IF(AND($AL2052&lt;&gt;"",COUNTIF($AL$11:$AL2052,$AL2052)=1),1,0)</f>
        <v>0</v>
      </c>
      <c r="AW2052" s="21">
        <f t="shared" si="149"/>
        <v>2</v>
      </c>
      <c r="AX2052" s="21" t="str">
        <f t="shared" si="148"/>
        <v/>
      </c>
      <c r="AY2052" s="21" t="str">
        <f>IF(AND($AM2052&lt;&gt;"",$AS2052&lt;&gt;"✓"),SUMPRODUCT(($AM$11:$AM2052&lt;&gt;"")*($AS$11:$AS2052&lt;&gt;"✓")),"")</f>
        <v/>
      </c>
      <c r="AZ2052" s="21" t="str">
        <f>IF(AND($AM2052&lt;&gt;"",$AS2052="✓"),SUMPRODUCT(($AM$11:$AM2052&lt;&gt;"")*($AS$11:$AS2052="✓")),"")</f>
        <v/>
      </c>
      <c r="BA2052" s="21" t="str">
        <f>IF($AL2052="","",$AL2052&amp;"|"&amp;COUNTIF($AL$11:$AL2052,$AL2052))</f>
        <v/>
      </c>
    </row>
    <row r="2053" spans="38:53" ht="15" customHeight="1" x14ac:dyDescent="0.25">
      <c r="AL2053" s="17"/>
      <c r="AM2053" s="12"/>
      <c r="AN2053" s="18"/>
      <c r="AO2053" s="18"/>
      <c r="AP2053" s="10"/>
      <c r="AQ2053" s="10"/>
      <c r="AR2053" s="19"/>
      <c r="AS2053" s="20"/>
      <c r="AT2053" s="19"/>
      <c r="AV2053" s="21">
        <f>IF(AND($AL2053&lt;&gt;"",COUNTIF($AL$11:$AL2053,$AL2053)=1),1,0)</f>
        <v>0</v>
      </c>
      <c r="AW2053" s="21">
        <f t="shared" si="149"/>
        <v>2</v>
      </c>
      <c r="AX2053" s="21" t="str">
        <f t="shared" si="148"/>
        <v/>
      </c>
      <c r="AY2053" s="21" t="str">
        <f>IF(AND($AM2053&lt;&gt;"",$AS2053&lt;&gt;"✓"),SUMPRODUCT(($AM$11:$AM2053&lt;&gt;"")*($AS$11:$AS2053&lt;&gt;"✓")),"")</f>
        <v/>
      </c>
      <c r="AZ2053" s="21" t="str">
        <f>IF(AND($AM2053&lt;&gt;"",$AS2053="✓"),SUMPRODUCT(($AM$11:$AM2053&lt;&gt;"")*($AS$11:$AS2053="✓")),"")</f>
        <v/>
      </c>
      <c r="BA2053" s="21" t="str">
        <f>IF($AL2053="","",$AL2053&amp;"|"&amp;COUNTIF($AL$11:$AL2053,$AL2053))</f>
        <v/>
      </c>
    </row>
    <row r="2054" spans="38:53" ht="15" customHeight="1" x14ac:dyDescent="0.25">
      <c r="AL2054" s="31"/>
      <c r="AM2054" s="26"/>
      <c r="AN2054" s="32"/>
      <c r="AO2054" s="32"/>
      <c r="AP2054" s="24"/>
      <c r="AQ2054" s="24"/>
      <c r="AR2054" s="33"/>
      <c r="AS2054" s="34"/>
      <c r="AT2054" s="33"/>
      <c r="AV2054" s="21">
        <f>IF(AND($AL2054&lt;&gt;"",COUNTIF($AL$11:$AL2054,$AL2054)=1),1,0)</f>
        <v>0</v>
      </c>
      <c r="AW2054" s="21">
        <f t="shared" si="149"/>
        <v>2</v>
      </c>
      <c r="AX2054" s="21" t="str">
        <f t="shared" si="148"/>
        <v/>
      </c>
      <c r="AY2054" s="21" t="str">
        <f>IF(AND($AM2054&lt;&gt;"",$AS2054&lt;&gt;"✓"),SUMPRODUCT(($AM$11:$AM2054&lt;&gt;"")*($AS$11:$AS2054&lt;&gt;"✓")),"")</f>
        <v/>
      </c>
      <c r="AZ2054" s="21" t="str">
        <f>IF(AND($AM2054&lt;&gt;"",$AS2054="✓"),SUMPRODUCT(($AM$11:$AM2054&lt;&gt;"")*($AS$11:$AS2054="✓")),"")</f>
        <v/>
      </c>
      <c r="BA2054" s="21" t="str">
        <f>IF($AL2054="","",$AL2054&amp;"|"&amp;COUNTIF($AL$11:$AL2054,$AL2054))</f>
        <v/>
      </c>
    </row>
    <row r="2055" spans="38:53" ht="15" customHeight="1" x14ac:dyDescent="0.25">
      <c r="AL2055" s="17"/>
      <c r="AM2055" s="12"/>
      <c r="AN2055" s="18"/>
      <c r="AO2055" s="18"/>
      <c r="AP2055" s="10"/>
      <c r="AQ2055" s="10"/>
      <c r="AR2055" s="19"/>
      <c r="AS2055" s="20"/>
      <c r="AT2055" s="19"/>
      <c r="AV2055" s="21">
        <f>IF(AND($AL2055&lt;&gt;"",COUNTIF($AL$11:$AL2055,$AL2055)=1),1,0)</f>
        <v>0</v>
      </c>
      <c r="AW2055" s="21">
        <f t="shared" si="149"/>
        <v>2</v>
      </c>
      <c r="AX2055" s="21" t="str">
        <f t="shared" si="148"/>
        <v/>
      </c>
      <c r="AY2055" s="21" t="str">
        <f>IF(AND($AM2055&lt;&gt;"",$AS2055&lt;&gt;"✓"),SUMPRODUCT(($AM$11:$AM2055&lt;&gt;"")*($AS$11:$AS2055&lt;&gt;"✓")),"")</f>
        <v/>
      </c>
      <c r="AZ2055" s="21" t="str">
        <f>IF(AND($AM2055&lt;&gt;"",$AS2055="✓"),SUMPRODUCT(($AM$11:$AM2055&lt;&gt;"")*($AS$11:$AS2055="✓")),"")</f>
        <v/>
      </c>
      <c r="BA2055" s="21" t="str">
        <f>IF($AL2055="","",$AL2055&amp;"|"&amp;COUNTIF($AL$11:$AL2055,$AL2055))</f>
        <v/>
      </c>
    </row>
    <row r="2056" spans="38:53" ht="15" customHeight="1" x14ac:dyDescent="0.25">
      <c r="AL2056" s="31"/>
      <c r="AM2056" s="26"/>
      <c r="AN2056" s="32"/>
      <c r="AO2056" s="32"/>
      <c r="AP2056" s="24"/>
      <c r="AQ2056" s="24"/>
      <c r="AR2056" s="33"/>
      <c r="AS2056" s="34"/>
      <c r="AT2056" s="33"/>
      <c r="AV2056" s="21">
        <f>IF(AND($AL2056&lt;&gt;"",COUNTIF($AL$11:$AL2056,$AL2056)=1),1,0)</f>
        <v>0</v>
      </c>
      <c r="AW2056" s="21">
        <f t="shared" si="149"/>
        <v>2</v>
      </c>
      <c r="AX2056" s="21" t="str">
        <f t="shared" si="148"/>
        <v/>
      </c>
      <c r="AY2056" s="21" t="str">
        <f>IF(AND($AM2056&lt;&gt;"",$AS2056&lt;&gt;"✓"),SUMPRODUCT(($AM$11:$AM2056&lt;&gt;"")*($AS$11:$AS2056&lt;&gt;"✓")),"")</f>
        <v/>
      </c>
      <c r="AZ2056" s="21" t="str">
        <f>IF(AND($AM2056&lt;&gt;"",$AS2056="✓"),SUMPRODUCT(($AM$11:$AM2056&lt;&gt;"")*($AS$11:$AS2056="✓")),"")</f>
        <v/>
      </c>
      <c r="BA2056" s="21" t="str">
        <f>IF($AL2056="","",$AL2056&amp;"|"&amp;COUNTIF($AL$11:$AL2056,$AL2056))</f>
        <v/>
      </c>
    </row>
    <row r="2057" spans="38:53" ht="15" customHeight="1" x14ac:dyDescent="0.25">
      <c r="AL2057" s="17"/>
      <c r="AM2057" s="12"/>
      <c r="AN2057" s="18"/>
      <c r="AO2057" s="18"/>
      <c r="AP2057" s="10"/>
      <c r="AQ2057" s="10"/>
      <c r="AR2057" s="19"/>
      <c r="AS2057" s="20"/>
      <c r="AT2057" s="19"/>
      <c r="AV2057" s="21">
        <f>IF(AND($AL2057&lt;&gt;"",COUNTIF($AL$11:$AL2057,$AL2057)=1),1,0)</f>
        <v>0</v>
      </c>
      <c r="AW2057" s="21">
        <f t="shared" si="149"/>
        <v>2</v>
      </c>
      <c r="AX2057" s="21" t="str">
        <f t="shared" si="148"/>
        <v/>
      </c>
      <c r="AY2057" s="21" t="str">
        <f>IF(AND($AM2057&lt;&gt;"",$AS2057&lt;&gt;"✓"),SUMPRODUCT(($AM$11:$AM2057&lt;&gt;"")*($AS$11:$AS2057&lt;&gt;"✓")),"")</f>
        <v/>
      </c>
      <c r="AZ2057" s="21" t="str">
        <f>IF(AND($AM2057&lt;&gt;"",$AS2057="✓"),SUMPRODUCT(($AM$11:$AM2057&lt;&gt;"")*($AS$11:$AS2057="✓")),"")</f>
        <v/>
      </c>
      <c r="BA2057" s="21" t="str">
        <f>IF($AL2057="","",$AL2057&amp;"|"&amp;COUNTIF($AL$11:$AL2057,$AL2057))</f>
        <v/>
      </c>
    </row>
    <row r="2058" spans="38:53" ht="15" customHeight="1" x14ac:dyDescent="0.25">
      <c r="AL2058" s="31"/>
      <c r="AM2058" s="26"/>
      <c r="AN2058" s="32"/>
      <c r="AO2058" s="32"/>
      <c r="AP2058" s="24"/>
      <c r="AQ2058" s="24"/>
      <c r="AR2058" s="33"/>
      <c r="AS2058" s="34"/>
      <c r="AT2058" s="33"/>
      <c r="AV2058" s="21">
        <f>IF(AND($AL2058&lt;&gt;"",COUNTIF($AL$11:$AL2058,$AL2058)=1),1,0)</f>
        <v>0</v>
      </c>
      <c r="AW2058" s="21">
        <f t="shared" si="149"/>
        <v>2</v>
      </c>
      <c r="AX2058" s="21" t="str">
        <f t="shared" si="148"/>
        <v/>
      </c>
      <c r="AY2058" s="21" t="str">
        <f>IF(AND($AM2058&lt;&gt;"",$AS2058&lt;&gt;"✓"),SUMPRODUCT(($AM$11:$AM2058&lt;&gt;"")*($AS$11:$AS2058&lt;&gt;"✓")),"")</f>
        <v/>
      </c>
      <c r="AZ2058" s="21" t="str">
        <f>IF(AND($AM2058&lt;&gt;"",$AS2058="✓"),SUMPRODUCT(($AM$11:$AM2058&lt;&gt;"")*($AS$11:$AS2058="✓")),"")</f>
        <v/>
      </c>
      <c r="BA2058" s="21" t="str">
        <f>IF($AL2058="","",$AL2058&amp;"|"&amp;COUNTIF($AL$11:$AL2058,$AL2058))</f>
        <v/>
      </c>
    </row>
    <row r="2059" spans="38:53" ht="15" customHeight="1" x14ac:dyDescent="0.25">
      <c r="AL2059" s="17"/>
      <c r="AM2059" s="12"/>
      <c r="AN2059" s="18"/>
      <c r="AO2059" s="18"/>
      <c r="AP2059" s="10"/>
      <c r="AQ2059" s="10"/>
      <c r="AR2059" s="19"/>
      <c r="AS2059" s="20"/>
      <c r="AT2059" s="19"/>
      <c r="AV2059" s="21">
        <f>IF(AND($AL2059&lt;&gt;"",COUNTIF($AL$11:$AL2059,$AL2059)=1),1,0)</f>
        <v>0</v>
      </c>
      <c r="AW2059" s="21">
        <f t="shared" si="149"/>
        <v>2</v>
      </c>
      <c r="AX2059" s="21" t="str">
        <f t="shared" ref="AX2059:AX2122" si="150">IF(AV2059=1,AW2059,"")</f>
        <v/>
      </c>
      <c r="AY2059" s="21" t="str">
        <f>IF(AND($AM2059&lt;&gt;"",$AS2059&lt;&gt;"✓"),SUMPRODUCT(($AM$11:$AM2059&lt;&gt;"")*($AS$11:$AS2059&lt;&gt;"✓")),"")</f>
        <v/>
      </c>
      <c r="AZ2059" s="21" t="str">
        <f>IF(AND($AM2059&lt;&gt;"",$AS2059="✓"),SUMPRODUCT(($AM$11:$AM2059&lt;&gt;"")*($AS$11:$AS2059="✓")),"")</f>
        <v/>
      </c>
      <c r="BA2059" s="21" t="str">
        <f>IF($AL2059="","",$AL2059&amp;"|"&amp;COUNTIF($AL$11:$AL2059,$AL2059))</f>
        <v/>
      </c>
    </row>
    <row r="2060" spans="38:53" ht="15" customHeight="1" x14ac:dyDescent="0.25">
      <c r="AL2060" s="31"/>
      <c r="AM2060" s="26"/>
      <c r="AN2060" s="32"/>
      <c r="AO2060" s="32"/>
      <c r="AP2060" s="24"/>
      <c r="AQ2060" s="24"/>
      <c r="AR2060" s="33"/>
      <c r="AS2060" s="34"/>
      <c r="AT2060" s="33"/>
      <c r="AV2060" s="21">
        <f>IF(AND($AL2060&lt;&gt;"",COUNTIF($AL$11:$AL2060,$AL2060)=1),1,0)</f>
        <v>0</v>
      </c>
      <c r="AW2060" s="21">
        <f t="shared" ref="AW2060:AW2123" si="151">AW2059+AV2060</f>
        <v>2</v>
      </c>
      <c r="AX2060" s="21" t="str">
        <f t="shared" si="150"/>
        <v/>
      </c>
      <c r="AY2060" s="21" t="str">
        <f>IF(AND($AM2060&lt;&gt;"",$AS2060&lt;&gt;"✓"),SUMPRODUCT(($AM$11:$AM2060&lt;&gt;"")*($AS$11:$AS2060&lt;&gt;"✓")),"")</f>
        <v/>
      </c>
      <c r="AZ2060" s="21" t="str">
        <f>IF(AND($AM2060&lt;&gt;"",$AS2060="✓"),SUMPRODUCT(($AM$11:$AM2060&lt;&gt;"")*($AS$11:$AS2060="✓")),"")</f>
        <v/>
      </c>
      <c r="BA2060" s="21" t="str">
        <f>IF($AL2060="","",$AL2060&amp;"|"&amp;COUNTIF($AL$11:$AL2060,$AL2060))</f>
        <v/>
      </c>
    </row>
    <row r="2061" spans="38:53" ht="15" customHeight="1" x14ac:dyDescent="0.25">
      <c r="AL2061" s="17"/>
      <c r="AM2061" s="12"/>
      <c r="AN2061" s="18"/>
      <c r="AO2061" s="18"/>
      <c r="AP2061" s="10"/>
      <c r="AQ2061" s="10"/>
      <c r="AR2061" s="19"/>
      <c r="AS2061" s="20"/>
      <c r="AT2061" s="19"/>
      <c r="AV2061" s="21">
        <f>IF(AND($AL2061&lt;&gt;"",COUNTIF($AL$11:$AL2061,$AL2061)=1),1,0)</f>
        <v>0</v>
      </c>
      <c r="AW2061" s="21">
        <f t="shared" si="151"/>
        <v>2</v>
      </c>
      <c r="AX2061" s="21" t="str">
        <f t="shared" si="150"/>
        <v/>
      </c>
      <c r="AY2061" s="21" t="str">
        <f>IF(AND($AM2061&lt;&gt;"",$AS2061&lt;&gt;"✓"),SUMPRODUCT(($AM$11:$AM2061&lt;&gt;"")*($AS$11:$AS2061&lt;&gt;"✓")),"")</f>
        <v/>
      </c>
      <c r="AZ2061" s="21" t="str">
        <f>IF(AND($AM2061&lt;&gt;"",$AS2061="✓"),SUMPRODUCT(($AM$11:$AM2061&lt;&gt;"")*($AS$11:$AS2061="✓")),"")</f>
        <v/>
      </c>
      <c r="BA2061" s="21" t="str">
        <f>IF($AL2061="","",$AL2061&amp;"|"&amp;COUNTIF($AL$11:$AL2061,$AL2061))</f>
        <v/>
      </c>
    </row>
    <row r="2062" spans="38:53" ht="15" customHeight="1" x14ac:dyDescent="0.25">
      <c r="AL2062" s="31"/>
      <c r="AM2062" s="26"/>
      <c r="AN2062" s="32"/>
      <c r="AO2062" s="32"/>
      <c r="AP2062" s="24"/>
      <c r="AQ2062" s="24"/>
      <c r="AR2062" s="33"/>
      <c r="AS2062" s="34"/>
      <c r="AT2062" s="33"/>
      <c r="AV2062" s="21">
        <f>IF(AND($AL2062&lt;&gt;"",COUNTIF($AL$11:$AL2062,$AL2062)=1),1,0)</f>
        <v>0</v>
      </c>
      <c r="AW2062" s="21">
        <f t="shared" si="151"/>
        <v>2</v>
      </c>
      <c r="AX2062" s="21" t="str">
        <f t="shared" si="150"/>
        <v/>
      </c>
      <c r="AY2062" s="21" t="str">
        <f>IF(AND($AM2062&lt;&gt;"",$AS2062&lt;&gt;"✓"),SUMPRODUCT(($AM$11:$AM2062&lt;&gt;"")*($AS$11:$AS2062&lt;&gt;"✓")),"")</f>
        <v/>
      </c>
      <c r="AZ2062" s="21" t="str">
        <f>IF(AND($AM2062&lt;&gt;"",$AS2062="✓"),SUMPRODUCT(($AM$11:$AM2062&lt;&gt;"")*($AS$11:$AS2062="✓")),"")</f>
        <v/>
      </c>
      <c r="BA2062" s="21" t="str">
        <f>IF($AL2062="","",$AL2062&amp;"|"&amp;COUNTIF($AL$11:$AL2062,$AL2062))</f>
        <v/>
      </c>
    </row>
    <row r="2063" spans="38:53" ht="15" customHeight="1" x14ac:dyDescent="0.25">
      <c r="AL2063" s="17"/>
      <c r="AM2063" s="12"/>
      <c r="AN2063" s="18"/>
      <c r="AO2063" s="18"/>
      <c r="AP2063" s="10"/>
      <c r="AQ2063" s="10"/>
      <c r="AR2063" s="19"/>
      <c r="AS2063" s="20"/>
      <c r="AT2063" s="19"/>
      <c r="AV2063" s="21">
        <f>IF(AND($AL2063&lt;&gt;"",COUNTIF($AL$11:$AL2063,$AL2063)=1),1,0)</f>
        <v>0</v>
      </c>
      <c r="AW2063" s="21">
        <f t="shared" si="151"/>
        <v>2</v>
      </c>
      <c r="AX2063" s="21" t="str">
        <f t="shared" si="150"/>
        <v/>
      </c>
      <c r="AY2063" s="21" t="str">
        <f>IF(AND($AM2063&lt;&gt;"",$AS2063&lt;&gt;"✓"),SUMPRODUCT(($AM$11:$AM2063&lt;&gt;"")*($AS$11:$AS2063&lt;&gt;"✓")),"")</f>
        <v/>
      </c>
      <c r="AZ2063" s="21" t="str">
        <f>IF(AND($AM2063&lt;&gt;"",$AS2063="✓"),SUMPRODUCT(($AM$11:$AM2063&lt;&gt;"")*($AS$11:$AS2063="✓")),"")</f>
        <v/>
      </c>
      <c r="BA2063" s="21" t="str">
        <f>IF($AL2063="","",$AL2063&amp;"|"&amp;COUNTIF($AL$11:$AL2063,$AL2063))</f>
        <v/>
      </c>
    </row>
    <row r="2064" spans="38:53" ht="15" customHeight="1" x14ac:dyDescent="0.25">
      <c r="AL2064" s="31"/>
      <c r="AM2064" s="26"/>
      <c r="AN2064" s="32"/>
      <c r="AO2064" s="32"/>
      <c r="AP2064" s="24"/>
      <c r="AQ2064" s="24"/>
      <c r="AR2064" s="33"/>
      <c r="AS2064" s="34"/>
      <c r="AT2064" s="33"/>
      <c r="AV2064" s="21">
        <f>IF(AND($AL2064&lt;&gt;"",COUNTIF($AL$11:$AL2064,$AL2064)=1),1,0)</f>
        <v>0</v>
      </c>
      <c r="AW2064" s="21">
        <f t="shared" si="151"/>
        <v>2</v>
      </c>
      <c r="AX2064" s="21" t="str">
        <f t="shared" si="150"/>
        <v/>
      </c>
      <c r="AY2064" s="21" t="str">
        <f>IF(AND($AM2064&lt;&gt;"",$AS2064&lt;&gt;"✓"),SUMPRODUCT(($AM$11:$AM2064&lt;&gt;"")*($AS$11:$AS2064&lt;&gt;"✓")),"")</f>
        <v/>
      </c>
      <c r="AZ2064" s="21" t="str">
        <f>IF(AND($AM2064&lt;&gt;"",$AS2064="✓"),SUMPRODUCT(($AM$11:$AM2064&lt;&gt;"")*($AS$11:$AS2064="✓")),"")</f>
        <v/>
      </c>
      <c r="BA2064" s="21" t="str">
        <f>IF($AL2064="","",$AL2064&amp;"|"&amp;COUNTIF($AL$11:$AL2064,$AL2064))</f>
        <v/>
      </c>
    </row>
    <row r="2065" spans="38:53" ht="15" customHeight="1" x14ac:dyDescent="0.25">
      <c r="AL2065" s="17"/>
      <c r="AM2065" s="12"/>
      <c r="AN2065" s="18"/>
      <c r="AO2065" s="18"/>
      <c r="AP2065" s="10"/>
      <c r="AQ2065" s="10"/>
      <c r="AR2065" s="19"/>
      <c r="AS2065" s="20"/>
      <c r="AT2065" s="19"/>
      <c r="AV2065" s="21">
        <f>IF(AND($AL2065&lt;&gt;"",COUNTIF($AL$11:$AL2065,$AL2065)=1),1,0)</f>
        <v>0</v>
      </c>
      <c r="AW2065" s="21">
        <f t="shared" si="151"/>
        <v>2</v>
      </c>
      <c r="AX2065" s="21" t="str">
        <f t="shared" si="150"/>
        <v/>
      </c>
      <c r="AY2065" s="21" t="str">
        <f>IF(AND($AM2065&lt;&gt;"",$AS2065&lt;&gt;"✓"),SUMPRODUCT(($AM$11:$AM2065&lt;&gt;"")*($AS$11:$AS2065&lt;&gt;"✓")),"")</f>
        <v/>
      </c>
      <c r="AZ2065" s="21" t="str">
        <f>IF(AND($AM2065&lt;&gt;"",$AS2065="✓"),SUMPRODUCT(($AM$11:$AM2065&lt;&gt;"")*($AS$11:$AS2065="✓")),"")</f>
        <v/>
      </c>
      <c r="BA2065" s="21" t="str">
        <f>IF($AL2065="","",$AL2065&amp;"|"&amp;COUNTIF($AL$11:$AL2065,$AL2065))</f>
        <v/>
      </c>
    </row>
    <row r="2066" spans="38:53" ht="15" customHeight="1" x14ac:dyDescent="0.25">
      <c r="AL2066" s="31"/>
      <c r="AM2066" s="26"/>
      <c r="AN2066" s="32"/>
      <c r="AO2066" s="32"/>
      <c r="AP2066" s="24"/>
      <c r="AQ2066" s="24"/>
      <c r="AR2066" s="33"/>
      <c r="AS2066" s="34"/>
      <c r="AT2066" s="33"/>
      <c r="AV2066" s="21">
        <f>IF(AND($AL2066&lt;&gt;"",COUNTIF($AL$11:$AL2066,$AL2066)=1),1,0)</f>
        <v>0</v>
      </c>
      <c r="AW2066" s="21">
        <f t="shared" si="151"/>
        <v>2</v>
      </c>
      <c r="AX2066" s="21" t="str">
        <f t="shared" si="150"/>
        <v/>
      </c>
      <c r="AY2066" s="21" t="str">
        <f>IF(AND($AM2066&lt;&gt;"",$AS2066&lt;&gt;"✓"),SUMPRODUCT(($AM$11:$AM2066&lt;&gt;"")*($AS$11:$AS2066&lt;&gt;"✓")),"")</f>
        <v/>
      </c>
      <c r="AZ2066" s="21" t="str">
        <f>IF(AND($AM2066&lt;&gt;"",$AS2066="✓"),SUMPRODUCT(($AM$11:$AM2066&lt;&gt;"")*($AS$11:$AS2066="✓")),"")</f>
        <v/>
      </c>
      <c r="BA2066" s="21" t="str">
        <f>IF($AL2066="","",$AL2066&amp;"|"&amp;COUNTIF($AL$11:$AL2066,$AL2066))</f>
        <v/>
      </c>
    </row>
    <row r="2067" spans="38:53" ht="15" customHeight="1" x14ac:dyDescent="0.25">
      <c r="AL2067" s="17"/>
      <c r="AM2067" s="12"/>
      <c r="AN2067" s="18"/>
      <c r="AO2067" s="18"/>
      <c r="AP2067" s="10"/>
      <c r="AQ2067" s="10"/>
      <c r="AR2067" s="19"/>
      <c r="AS2067" s="20"/>
      <c r="AT2067" s="19"/>
      <c r="AV2067" s="21">
        <f>IF(AND($AL2067&lt;&gt;"",COUNTIF($AL$11:$AL2067,$AL2067)=1),1,0)</f>
        <v>0</v>
      </c>
      <c r="AW2067" s="21">
        <f t="shared" si="151"/>
        <v>2</v>
      </c>
      <c r="AX2067" s="21" t="str">
        <f t="shared" si="150"/>
        <v/>
      </c>
      <c r="AY2067" s="21" t="str">
        <f>IF(AND($AM2067&lt;&gt;"",$AS2067&lt;&gt;"✓"),SUMPRODUCT(($AM$11:$AM2067&lt;&gt;"")*($AS$11:$AS2067&lt;&gt;"✓")),"")</f>
        <v/>
      </c>
      <c r="AZ2067" s="21" t="str">
        <f>IF(AND($AM2067&lt;&gt;"",$AS2067="✓"),SUMPRODUCT(($AM$11:$AM2067&lt;&gt;"")*($AS$11:$AS2067="✓")),"")</f>
        <v/>
      </c>
      <c r="BA2067" s="21" t="str">
        <f>IF($AL2067="","",$AL2067&amp;"|"&amp;COUNTIF($AL$11:$AL2067,$AL2067))</f>
        <v/>
      </c>
    </row>
    <row r="2068" spans="38:53" ht="15" customHeight="1" x14ac:dyDescent="0.25">
      <c r="AL2068" s="31"/>
      <c r="AM2068" s="26"/>
      <c r="AN2068" s="32"/>
      <c r="AO2068" s="32"/>
      <c r="AP2068" s="24"/>
      <c r="AQ2068" s="24"/>
      <c r="AR2068" s="33"/>
      <c r="AS2068" s="34"/>
      <c r="AT2068" s="33"/>
      <c r="AV2068" s="21">
        <f>IF(AND($AL2068&lt;&gt;"",COUNTIF($AL$11:$AL2068,$AL2068)=1),1,0)</f>
        <v>0</v>
      </c>
      <c r="AW2068" s="21">
        <f t="shared" si="151"/>
        <v>2</v>
      </c>
      <c r="AX2068" s="21" t="str">
        <f t="shared" si="150"/>
        <v/>
      </c>
      <c r="AY2068" s="21" t="str">
        <f>IF(AND($AM2068&lt;&gt;"",$AS2068&lt;&gt;"✓"),SUMPRODUCT(($AM$11:$AM2068&lt;&gt;"")*($AS$11:$AS2068&lt;&gt;"✓")),"")</f>
        <v/>
      </c>
      <c r="AZ2068" s="21" t="str">
        <f>IF(AND($AM2068&lt;&gt;"",$AS2068="✓"),SUMPRODUCT(($AM$11:$AM2068&lt;&gt;"")*($AS$11:$AS2068="✓")),"")</f>
        <v/>
      </c>
      <c r="BA2068" s="21" t="str">
        <f>IF($AL2068="","",$AL2068&amp;"|"&amp;COUNTIF($AL$11:$AL2068,$AL2068))</f>
        <v/>
      </c>
    </row>
    <row r="2069" spans="38:53" ht="15" customHeight="1" x14ac:dyDescent="0.25">
      <c r="AL2069" s="17"/>
      <c r="AM2069" s="12"/>
      <c r="AN2069" s="18"/>
      <c r="AO2069" s="18"/>
      <c r="AP2069" s="10"/>
      <c r="AQ2069" s="10"/>
      <c r="AR2069" s="19"/>
      <c r="AS2069" s="20"/>
      <c r="AT2069" s="19"/>
      <c r="AV2069" s="21">
        <f>IF(AND($AL2069&lt;&gt;"",COUNTIF($AL$11:$AL2069,$AL2069)=1),1,0)</f>
        <v>0</v>
      </c>
      <c r="AW2069" s="21">
        <f t="shared" si="151"/>
        <v>2</v>
      </c>
      <c r="AX2069" s="21" t="str">
        <f t="shared" si="150"/>
        <v/>
      </c>
      <c r="AY2069" s="21" t="str">
        <f>IF(AND($AM2069&lt;&gt;"",$AS2069&lt;&gt;"✓"),SUMPRODUCT(($AM$11:$AM2069&lt;&gt;"")*($AS$11:$AS2069&lt;&gt;"✓")),"")</f>
        <v/>
      </c>
      <c r="AZ2069" s="21" t="str">
        <f>IF(AND($AM2069&lt;&gt;"",$AS2069="✓"),SUMPRODUCT(($AM$11:$AM2069&lt;&gt;"")*($AS$11:$AS2069="✓")),"")</f>
        <v/>
      </c>
      <c r="BA2069" s="21" t="str">
        <f>IF($AL2069="","",$AL2069&amp;"|"&amp;COUNTIF($AL$11:$AL2069,$AL2069))</f>
        <v/>
      </c>
    </row>
    <row r="2070" spans="38:53" ht="15" customHeight="1" x14ac:dyDescent="0.25">
      <c r="AL2070" s="31"/>
      <c r="AM2070" s="26"/>
      <c r="AN2070" s="32"/>
      <c r="AO2070" s="32"/>
      <c r="AP2070" s="24"/>
      <c r="AQ2070" s="24"/>
      <c r="AR2070" s="33"/>
      <c r="AS2070" s="34"/>
      <c r="AT2070" s="33"/>
      <c r="AV2070" s="21">
        <f>IF(AND($AL2070&lt;&gt;"",COUNTIF($AL$11:$AL2070,$AL2070)=1),1,0)</f>
        <v>0</v>
      </c>
      <c r="AW2070" s="21">
        <f t="shared" si="151"/>
        <v>2</v>
      </c>
      <c r="AX2070" s="21" t="str">
        <f t="shared" si="150"/>
        <v/>
      </c>
      <c r="AY2070" s="21" t="str">
        <f>IF(AND($AM2070&lt;&gt;"",$AS2070&lt;&gt;"✓"),SUMPRODUCT(($AM$11:$AM2070&lt;&gt;"")*($AS$11:$AS2070&lt;&gt;"✓")),"")</f>
        <v/>
      </c>
      <c r="AZ2070" s="21" t="str">
        <f>IF(AND($AM2070&lt;&gt;"",$AS2070="✓"),SUMPRODUCT(($AM$11:$AM2070&lt;&gt;"")*($AS$11:$AS2070="✓")),"")</f>
        <v/>
      </c>
      <c r="BA2070" s="21" t="str">
        <f>IF($AL2070="","",$AL2070&amp;"|"&amp;COUNTIF($AL$11:$AL2070,$AL2070))</f>
        <v/>
      </c>
    </row>
    <row r="2071" spans="38:53" ht="15" customHeight="1" x14ac:dyDescent="0.25">
      <c r="AL2071" s="17"/>
      <c r="AM2071" s="12"/>
      <c r="AN2071" s="18"/>
      <c r="AO2071" s="18"/>
      <c r="AP2071" s="10"/>
      <c r="AQ2071" s="10"/>
      <c r="AR2071" s="19"/>
      <c r="AS2071" s="20"/>
      <c r="AT2071" s="19"/>
      <c r="AV2071" s="21">
        <f>IF(AND($AL2071&lt;&gt;"",COUNTIF($AL$11:$AL2071,$AL2071)=1),1,0)</f>
        <v>0</v>
      </c>
      <c r="AW2071" s="21">
        <f t="shared" si="151"/>
        <v>2</v>
      </c>
      <c r="AX2071" s="21" t="str">
        <f t="shared" si="150"/>
        <v/>
      </c>
      <c r="AY2071" s="21" t="str">
        <f>IF(AND($AM2071&lt;&gt;"",$AS2071&lt;&gt;"✓"),SUMPRODUCT(($AM$11:$AM2071&lt;&gt;"")*($AS$11:$AS2071&lt;&gt;"✓")),"")</f>
        <v/>
      </c>
      <c r="AZ2071" s="21" t="str">
        <f>IF(AND($AM2071&lt;&gt;"",$AS2071="✓"),SUMPRODUCT(($AM$11:$AM2071&lt;&gt;"")*($AS$11:$AS2071="✓")),"")</f>
        <v/>
      </c>
      <c r="BA2071" s="21" t="str">
        <f>IF($AL2071="","",$AL2071&amp;"|"&amp;COUNTIF($AL$11:$AL2071,$AL2071))</f>
        <v/>
      </c>
    </row>
    <row r="2072" spans="38:53" ht="15" customHeight="1" x14ac:dyDescent="0.25">
      <c r="AL2072" s="31"/>
      <c r="AM2072" s="26"/>
      <c r="AN2072" s="32"/>
      <c r="AO2072" s="32"/>
      <c r="AP2072" s="24"/>
      <c r="AQ2072" s="24"/>
      <c r="AR2072" s="33"/>
      <c r="AS2072" s="34"/>
      <c r="AT2072" s="33"/>
      <c r="AV2072" s="21">
        <f>IF(AND($AL2072&lt;&gt;"",COUNTIF($AL$11:$AL2072,$AL2072)=1),1,0)</f>
        <v>0</v>
      </c>
      <c r="AW2072" s="21">
        <f t="shared" si="151"/>
        <v>2</v>
      </c>
      <c r="AX2072" s="21" t="str">
        <f t="shared" si="150"/>
        <v/>
      </c>
      <c r="AY2072" s="21" t="str">
        <f>IF(AND($AM2072&lt;&gt;"",$AS2072&lt;&gt;"✓"),SUMPRODUCT(($AM$11:$AM2072&lt;&gt;"")*($AS$11:$AS2072&lt;&gt;"✓")),"")</f>
        <v/>
      </c>
      <c r="AZ2072" s="21" t="str">
        <f>IF(AND($AM2072&lt;&gt;"",$AS2072="✓"),SUMPRODUCT(($AM$11:$AM2072&lt;&gt;"")*($AS$11:$AS2072="✓")),"")</f>
        <v/>
      </c>
      <c r="BA2072" s="21" t="str">
        <f>IF($AL2072="","",$AL2072&amp;"|"&amp;COUNTIF($AL$11:$AL2072,$AL2072))</f>
        <v/>
      </c>
    </row>
    <row r="2073" spans="38:53" ht="15" customHeight="1" x14ac:dyDescent="0.25">
      <c r="AL2073" s="17"/>
      <c r="AM2073" s="12"/>
      <c r="AN2073" s="18"/>
      <c r="AO2073" s="18"/>
      <c r="AP2073" s="10"/>
      <c r="AQ2073" s="10"/>
      <c r="AR2073" s="19"/>
      <c r="AS2073" s="20"/>
      <c r="AT2073" s="19"/>
      <c r="AV2073" s="21">
        <f>IF(AND($AL2073&lt;&gt;"",COUNTIF($AL$11:$AL2073,$AL2073)=1),1,0)</f>
        <v>0</v>
      </c>
      <c r="AW2073" s="21">
        <f t="shared" si="151"/>
        <v>2</v>
      </c>
      <c r="AX2073" s="21" t="str">
        <f t="shared" si="150"/>
        <v/>
      </c>
      <c r="AY2073" s="21" t="str">
        <f>IF(AND($AM2073&lt;&gt;"",$AS2073&lt;&gt;"✓"),SUMPRODUCT(($AM$11:$AM2073&lt;&gt;"")*($AS$11:$AS2073&lt;&gt;"✓")),"")</f>
        <v/>
      </c>
      <c r="AZ2073" s="21" t="str">
        <f>IF(AND($AM2073&lt;&gt;"",$AS2073="✓"),SUMPRODUCT(($AM$11:$AM2073&lt;&gt;"")*($AS$11:$AS2073="✓")),"")</f>
        <v/>
      </c>
      <c r="BA2073" s="21" t="str">
        <f>IF($AL2073="","",$AL2073&amp;"|"&amp;COUNTIF($AL$11:$AL2073,$AL2073))</f>
        <v/>
      </c>
    </row>
    <row r="2074" spans="38:53" ht="15" customHeight="1" x14ac:dyDescent="0.25">
      <c r="AL2074" s="31"/>
      <c r="AM2074" s="26"/>
      <c r="AN2074" s="32"/>
      <c r="AO2074" s="32"/>
      <c r="AP2074" s="24"/>
      <c r="AQ2074" s="24"/>
      <c r="AR2074" s="33"/>
      <c r="AS2074" s="34"/>
      <c r="AT2074" s="33"/>
      <c r="AV2074" s="21">
        <f>IF(AND($AL2074&lt;&gt;"",COUNTIF($AL$11:$AL2074,$AL2074)=1),1,0)</f>
        <v>0</v>
      </c>
      <c r="AW2074" s="21">
        <f t="shared" si="151"/>
        <v>2</v>
      </c>
      <c r="AX2074" s="21" t="str">
        <f t="shared" si="150"/>
        <v/>
      </c>
      <c r="AY2074" s="21" t="str">
        <f>IF(AND($AM2074&lt;&gt;"",$AS2074&lt;&gt;"✓"),SUMPRODUCT(($AM$11:$AM2074&lt;&gt;"")*($AS$11:$AS2074&lt;&gt;"✓")),"")</f>
        <v/>
      </c>
      <c r="AZ2074" s="21" t="str">
        <f>IF(AND($AM2074&lt;&gt;"",$AS2074="✓"),SUMPRODUCT(($AM$11:$AM2074&lt;&gt;"")*($AS$11:$AS2074="✓")),"")</f>
        <v/>
      </c>
      <c r="BA2074" s="21" t="str">
        <f>IF($AL2074="","",$AL2074&amp;"|"&amp;COUNTIF($AL$11:$AL2074,$AL2074))</f>
        <v/>
      </c>
    </row>
    <row r="2075" spans="38:53" ht="15" customHeight="1" x14ac:dyDescent="0.25">
      <c r="AL2075" s="17"/>
      <c r="AM2075" s="12"/>
      <c r="AN2075" s="18"/>
      <c r="AO2075" s="18"/>
      <c r="AP2075" s="10"/>
      <c r="AQ2075" s="10"/>
      <c r="AR2075" s="19"/>
      <c r="AS2075" s="20"/>
      <c r="AT2075" s="19"/>
      <c r="AV2075" s="21">
        <f>IF(AND($AL2075&lt;&gt;"",COUNTIF($AL$11:$AL2075,$AL2075)=1),1,0)</f>
        <v>0</v>
      </c>
      <c r="AW2075" s="21">
        <f t="shared" si="151"/>
        <v>2</v>
      </c>
      <c r="AX2075" s="21" t="str">
        <f t="shared" si="150"/>
        <v/>
      </c>
      <c r="AY2075" s="21" t="str">
        <f>IF(AND($AM2075&lt;&gt;"",$AS2075&lt;&gt;"✓"),SUMPRODUCT(($AM$11:$AM2075&lt;&gt;"")*($AS$11:$AS2075&lt;&gt;"✓")),"")</f>
        <v/>
      </c>
      <c r="AZ2075" s="21" t="str">
        <f>IF(AND($AM2075&lt;&gt;"",$AS2075="✓"),SUMPRODUCT(($AM$11:$AM2075&lt;&gt;"")*($AS$11:$AS2075="✓")),"")</f>
        <v/>
      </c>
      <c r="BA2075" s="21" t="str">
        <f>IF($AL2075="","",$AL2075&amp;"|"&amp;COUNTIF($AL$11:$AL2075,$AL2075))</f>
        <v/>
      </c>
    </row>
    <row r="2076" spans="38:53" ht="15" customHeight="1" x14ac:dyDescent="0.25">
      <c r="AL2076" s="31"/>
      <c r="AM2076" s="26"/>
      <c r="AN2076" s="32"/>
      <c r="AO2076" s="32"/>
      <c r="AP2076" s="24"/>
      <c r="AQ2076" s="24"/>
      <c r="AR2076" s="33"/>
      <c r="AS2076" s="34"/>
      <c r="AT2076" s="33"/>
      <c r="AV2076" s="21">
        <f>IF(AND($AL2076&lt;&gt;"",COUNTIF($AL$11:$AL2076,$AL2076)=1),1,0)</f>
        <v>0</v>
      </c>
      <c r="AW2076" s="21">
        <f t="shared" si="151"/>
        <v>2</v>
      </c>
      <c r="AX2076" s="21" t="str">
        <f t="shared" si="150"/>
        <v/>
      </c>
      <c r="AY2076" s="21" t="str">
        <f>IF(AND($AM2076&lt;&gt;"",$AS2076&lt;&gt;"✓"),SUMPRODUCT(($AM$11:$AM2076&lt;&gt;"")*($AS$11:$AS2076&lt;&gt;"✓")),"")</f>
        <v/>
      </c>
      <c r="AZ2076" s="21" t="str">
        <f>IF(AND($AM2076&lt;&gt;"",$AS2076="✓"),SUMPRODUCT(($AM$11:$AM2076&lt;&gt;"")*($AS$11:$AS2076="✓")),"")</f>
        <v/>
      </c>
      <c r="BA2076" s="21" t="str">
        <f>IF($AL2076="","",$AL2076&amp;"|"&amp;COUNTIF($AL$11:$AL2076,$AL2076))</f>
        <v/>
      </c>
    </row>
    <row r="2077" spans="38:53" ht="15" customHeight="1" x14ac:dyDescent="0.25">
      <c r="AL2077" s="17"/>
      <c r="AM2077" s="12"/>
      <c r="AN2077" s="18"/>
      <c r="AO2077" s="18"/>
      <c r="AP2077" s="10"/>
      <c r="AQ2077" s="10"/>
      <c r="AR2077" s="19"/>
      <c r="AS2077" s="20"/>
      <c r="AT2077" s="19"/>
      <c r="AV2077" s="21">
        <f>IF(AND($AL2077&lt;&gt;"",COUNTIF($AL$11:$AL2077,$AL2077)=1),1,0)</f>
        <v>0</v>
      </c>
      <c r="AW2077" s="21">
        <f t="shared" si="151"/>
        <v>2</v>
      </c>
      <c r="AX2077" s="21" t="str">
        <f t="shared" si="150"/>
        <v/>
      </c>
      <c r="AY2077" s="21" t="str">
        <f>IF(AND($AM2077&lt;&gt;"",$AS2077&lt;&gt;"✓"),SUMPRODUCT(($AM$11:$AM2077&lt;&gt;"")*($AS$11:$AS2077&lt;&gt;"✓")),"")</f>
        <v/>
      </c>
      <c r="AZ2077" s="21" t="str">
        <f>IF(AND($AM2077&lt;&gt;"",$AS2077="✓"),SUMPRODUCT(($AM$11:$AM2077&lt;&gt;"")*($AS$11:$AS2077="✓")),"")</f>
        <v/>
      </c>
      <c r="BA2077" s="21" t="str">
        <f>IF($AL2077="","",$AL2077&amp;"|"&amp;COUNTIF($AL$11:$AL2077,$AL2077))</f>
        <v/>
      </c>
    </row>
    <row r="2078" spans="38:53" ht="15" customHeight="1" x14ac:dyDescent="0.25">
      <c r="AL2078" s="31"/>
      <c r="AM2078" s="26"/>
      <c r="AN2078" s="32"/>
      <c r="AO2078" s="32"/>
      <c r="AP2078" s="24"/>
      <c r="AQ2078" s="24"/>
      <c r="AR2078" s="33"/>
      <c r="AS2078" s="34"/>
      <c r="AT2078" s="33"/>
      <c r="AV2078" s="21">
        <f>IF(AND($AL2078&lt;&gt;"",COUNTIF($AL$11:$AL2078,$AL2078)=1),1,0)</f>
        <v>0</v>
      </c>
      <c r="AW2078" s="21">
        <f t="shared" si="151"/>
        <v>2</v>
      </c>
      <c r="AX2078" s="21" t="str">
        <f t="shared" si="150"/>
        <v/>
      </c>
      <c r="AY2078" s="21" t="str">
        <f>IF(AND($AM2078&lt;&gt;"",$AS2078&lt;&gt;"✓"),SUMPRODUCT(($AM$11:$AM2078&lt;&gt;"")*($AS$11:$AS2078&lt;&gt;"✓")),"")</f>
        <v/>
      </c>
      <c r="AZ2078" s="21" t="str">
        <f>IF(AND($AM2078&lt;&gt;"",$AS2078="✓"),SUMPRODUCT(($AM$11:$AM2078&lt;&gt;"")*($AS$11:$AS2078="✓")),"")</f>
        <v/>
      </c>
      <c r="BA2078" s="21" t="str">
        <f>IF($AL2078="","",$AL2078&amp;"|"&amp;COUNTIF($AL$11:$AL2078,$AL2078))</f>
        <v/>
      </c>
    </row>
    <row r="2079" spans="38:53" ht="15" customHeight="1" x14ac:dyDescent="0.25">
      <c r="AL2079" s="17"/>
      <c r="AM2079" s="12"/>
      <c r="AN2079" s="18"/>
      <c r="AO2079" s="18"/>
      <c r="AP2079" s="10"/>
      <c r="AQ2079" s="10"/>
      <c r="AR2079" s="19"/>
      <c r="AS2079" s="20"/>
      <c r="AT2079" s="19"/>
      <c r="AV2079" s="21">
        <f>IF(AND($AL2079&lt;&gt;"",COUNTIF($AL$11:$AL2079,$AL2079)=1),1,0)</f>
        <v>0</v>
      </c>
      <c r="AW2079" s="21">
        <f t="shared" si="151"/>
        <v>2</v>
      </c>
      <c r="AX2079" s="21" t="str">
        <f t="shared" si="150"/>
        <v/>
      </c>
      <c r="AY2079" s="21" t="str">
        <f>IF(AND($AM2079&lt;&gt;"",$AS2079&lt;&gt;"✓"),SUMPRODUCT(($AM$11:$AM2079&lt;&gt;"")*($AS$11:$AS2079&lt;&gt;"✓")),"")</f>
        <v/>
      </c>
      <c r="AZ2079" s="21" t="str">
        <f>IF(AND($AM2079&lt;&gt;"",$AS2079="✓"),SUMPRODUCT(($AM$11:$AM2079&lt;&gt;"")*($AS$11:$AS2079="✓")),"")</f>
        <v/>
      </c>
      <c r="BA2079" s="21" t="str">
        <f>IF($AL2079="","",$AL2079&amp;"|"&amp;COUNTIF($AL$11:$AL2079,$AL2079))</f>
        <v/>
      </c>
    </row>
    <row r="2080" spans="38:53" ht="15" customHeight="1" x14ac:dyDescent="0.25">
      <c r="AL2080" s="31"/>
      <c r="AM2080" s="26"/>
      <c r="AN2080" s="32"/>
      <c r="AO2080" s="32"/>
      <c r="AP2080" s="24"/>
      <c r="AQ2080" s="24"/>
      <c r="AR2080" s="33"/>
      <c r="AS2080" s="34"/>
      <c r="AT2080" s="33"/>
      <c r="AV2080" s="21">
        <f>IF(AND($AL2080&lt;&gt;"",COUNTIF($AL$11:$AL2080,$AL2080)=1),1,0)</f>
        <v>0</v>
      </c>
      <c r="AW2080" s="21">
        <f t="shared" si="151"/>
        <v>2</v>
      </c>
      <c r="AX2080" s="21" t="str">
        <f t="shared" si="150"/>
        <v/>
      </c>
      <c r="AY2080" s="21" t="str">
        <f>IF(AND($AM2080&lt;&gt;"",$AS2080&lt;&gt;"✓"),SUMPRODUCT(($AM$11:$AM2080&lt;&gt;"")*($AS$11:$AS2080&lt;&gt;"✓")),"")</f>
        <v/>
      </c>
      <c r="AZ2080" s="21" t="str">
        <f>IF(AND($AM2080&lt;&gt;"",$AS2080="✓"),SUMPRODUCT(($AM$11:$AM2080&lt;&gt;"")*($AS$11:$AS2080="✓")),"")</f>
        <v/>
      </c>
      <c r="BA2080" s="21" t="str">
        <f>IF($AL2080="","",$AL2080&amp;"|"&amp;COUNTIF($AL$11:$AL2080,$AL2080))</f>
        <v/>
      </c>
    </row>
    <row r="2081" spans="38:53" ht="15" customHeight="1" x14ac:dyDescent="0.25">
      <c r="AL2081" s="17"/>
      <c r="AM2081" s="12"/>
      <c r="AN2081" s="18"/>
      <c r="AO2081" s="18"/>
      <c r="AP2081" s="10"/>
      <c r="AQ2081" s="10"/>
      <c r="AR2081" s="19"/>
      <c r="AS2081" s="20"/>
      <c r="AT2081" s="19"/>
      <c r="AV2081" s="21">
        <f>IF(AND($AL2081&lt;&gt;"",COUNTIF($AL$11:$AL2081,$AL2081)=1),1,0)</f>
        <v>0</v>
      </c>
      <c r="AW2081" s="21">
        <f t="shared" si="151"/>
        <v>2</v>
      </c>
      <c r="AX2081" s="21" t="str">
        <f t="shared" si="150"/>
        <v/>
      </c>
      <c r="AY2081" s="21" t="str">
        <f>IF(AND($AM2081&lt;&gt;"",$AS2081&lt;&gt;"✓"),SUMPRODUCT(($AM$11:$AM2081&lt;&gt;"")*($AS$11:$AS2081&lt;&gt;"✓")),"")</f>
        <v/>
      </c>
      <c r="AZ2081" s="21" t="str">
        <f>IF(AND($AM2081&lt;&gt;"",$AS2081="✓"),SUMPRODUCT(($AM$11:$AM2081&lt;&gt;"")*($AS$11:$AS2081="✓")),"")</f>
        <v/>
      </c>
      <c r="BA2081" s="21" t="str">
        <f>IF($AL2081="","",$AL2081&amp;"|"&amp;COUNTIF($AL$11:$AL2081,$AL2081))</f>
        <v/>
      </c>
    </row>
    <row r="2082" spans="38:53" ht="15" customHeight="1" x14ac:dyDescent="0.25">
      <c r="AL2082" s="31"/>
      <c r="AM2082" s="26"/>
      <c r="AN2082" s="32"/>
      <c r="AO2082" s="32"/>
      <c r="AP2082" s="24"/>
      <c r="AQ2082" s="24"/>
      <c r="AR2082" s="33"/>
      <c r="AS2082" s="34"/>
      <c r="AT2082" s="33"/>
      <c r="AV2082" s="21">
        <f>IF(AND($AL2082&lt;&gt;"",COUNTIF($AL$11:$AL2082,$AL2082)=1),1,0)</f>
        <v>0</v>
      </c>
      <c r="AW2082" s="21">
        <f t="shared" si="151"/>
        <v>2</v>
      </c>
      <c r="AX2082" s="21" t="str">
        <f t="shared" si="150"/>
        <v/>
      </c>
      <c r="AY2082" s="21" t="str">
        <f>IF(AND($AM2082&lt;&gt;"",$AS2082&lt;&gt;"✓"),SUMPRODUCT(($AM$11:$AM2082&lt;&gt;"")*($AS$11:$AS2082&lt;&gt;"✓")),"")</f>
        <v/>
      </c>
      <c r="AZ2082" s="21" t="str">
        <f>IF(AND($AM2082&lt;&gt;"",$AS2082="✓"),SUMPRODUCT(($AM$11:$AM2082&lt;&gt;"")*($AS$11:$AS2082="✓")),"")</f>
        <v/>
      </c>
      <c r="BA2082" s="21" t="str">
        <f>IF($AL2082="","",$AL2082&amp;"|"&amp;COUNTIF($AL$11:$AL2082,$AL2082))</f>
        <v/>
      </c>
    </row>
    <row r="2083" spans="38:53" ht="15" customHeight="1" x14ac:dyDescent="0.25">
      <c r="AL2083" s="17"/>
      <c r="AM2083" s="12"/>
      <c r="AN2083" s="18"/>
      <c r="AO2083" s="18"/>
      <c r="AP2083" s="10"/>
      <c r="AQ2083" s="10"/>
      <c r="AR2083" s="19"/>
      <c r="AS2083" s="20"/>
      <c r="AT2083" s="19"/>
      <c r="AV2083" s="21">
        <f>IF(AND($AL2083&lt;&gt;"",COUNTIF($AL$11:$AL2083,$AL2083)=1),1,0)</f>
        <v>0</v>
      </c>
      <c r="AW2083" s="21">
        <f t="shared" si="151"/>
        <v>2</v>
      </c>
      <c r="AX2083" s="21" t="str">
        <f t="shared" si="150"/>
        <v/>
      </c>
      <c r="AY2083" s="21" t="str">
        <f>IF(AND($AM2083&lt;&gt;"",$AS2083&lt;&gt;"✓"),SUMPRODUCT(($AM$11:$AM2083&lt;&gt;"")*($AS$11:$AS2083&lt;&gt;"✓")),"")</f>
        <v/>
      </c>
      <c r="AZ2083" s="21" t="str">
        <f>IF(AND($AM2083&lt;&gt;"",$AS2083="✓"),SUMPRODUCT(($AM$11:$AM2083&lt;&gt;"")*($AS$11:$AS2083="✓")),"")</f>
        <v/>
      </c>
      <c r="BA2083" s="21" t="str">
        <f>IF($AL2083="","",$AL2083&amp;"|"&amp;COUNTIF($AL$11:$AL2083,$AL2083))</f>
        <v/>
      </c>
    </row>
    <row r="2084" spans="38:53" ht="15" customHeight="1" x14ac:dyDescent="0.25">
      <c r="AL2084" s="31"/>
      <c r="AM2084" s="26"/>
      <c r="AN2084" s="32"/>
      <c r="AO2084" s="32"/>
      <c r="AP2084" s="24"/>
      <c r="AQ2084" s="24"/>
      <c r="AR2084" s="33"/>
      <c r="AS2084" s="34"/>
      <c r="AT2084" s="33"/>
      <c r="AV2084" s="21">
        <f>IF(AND($AL2084&lt;&gt;"",COUNTIF($AL$11:$AL2084,$AL2084)=1),1,0)</f>
        <v>0</v>
      </c>
      <c r="AW2084" s="21">
        <f t="shared" si="151"/>
        <v>2</v>
      </c>
      <c r="AX2084" s="21" t="str">
        <f t="shared" si="150"/>
        <v/>
      </c>
      <c r="AY2084" s="21" t="str">
        <f>IF(AND($AM2084&lt;&gt;"",$AS2084&lt;&gt;"✓"),SUMPRODUCT(($AM$11:$AM2084&lt;&gt;"")*($AS$11:$AS2084&lt;&gt;"✓")),"")</f>
        <v/>
      </c>
      <c r="AZ2084" s="21" t="str">
        <f>IF(AND($AM2084&lt;&gt;"",$AS2084="✓"),SUMPRODUCT(($AM$11:$AM2084&lt;&gt;"")*($AS$11:$AS2084="✓")),"")</f>
        <v/>
      </c>
      <c r="BA2084" s="21" t="str">
        <f>IF($AL2084="","",$AL2084&amp;"|"&amp;COUNTIF($AL$11:$AL2084,$AL2084))</f>
        <v/>
      </c>
    </row>
    <row r="2085" spans="38:53" ht="15" customHeight="1" x14ac:dyDescent="0.25">
      <c r="AL2085" s="17"/>
      <c r="AM2085" s="12"/>
      <c r="AN2085" s="18"/>
      <c r="AO2085" s="18"/>
      <c r="AP2085" s="10"/>
      <c r="AQ2085" s="10"/>
      <c r="AR2085" s="19"/>
      <c r="AS2085" s="20"/>
      <c r="AT2085" s="19"/>
      <c r="AV2085" s="21">
        <f>IF(AND($AL2085&lt;&gt;"",COUNTIF($AL$11:$AL2085,$AL2085)=1),1,0)</f>
        <v>0</v>
      </c>
      <c r="AW2085" s="21">
        <f t="shared" si="151"/>
        <v>2</v>
      </c>
      <c r="AX2085" s="21" t="str">
        <f t="shared" si="150"/>
        <v/>
      </c>
      <c r="AY2085" s="21" t="str">
        <f>IF(AND($AM2085&lt;&gt;"",$AS2085&lt;&gt;"✓"),SUMPRODUCT(($AM$11:$AM2085&lt;&gt;"")*($AS$11:$AS2085&lt;&gt;"✓")),"")</f>
        <v/>
      </c>
      <c r="AZ2085" s="21" t="str">
        <f>IF(AND($AM2085&lt;&gt;"",$AS2085="✓"),SUMPRODUCT(($AM$11:$AM2085&lt;&gt;"")*($AS$11:$AS2085="✓")),"")</f>
        <v/>
      </c>
      <c r="BA2085" s="21" t="str">
        <f>IF($AL2085="","",$AL2085&amp;"|"&amp;COUNTIF($AL$11:$AL2085,$AL2085))</f>
        <v/>
      </c>
    </row>
    <row r="2086" spans="38:53" ht="15" customHeight="1" x14ac:dyDescent="0.25">
      <c r="AL2086" s="31"/>
      <c r="AM2086" s="26"/>
      <c r="AN2086" s="32"/>
      <c r="AO2086" s="32"/>
      <c r="AP2086" s="24"/>
      <c r="AQ2086" s="24"/>
      <c r="AR2086" s="33"/>
      <c r="AS2086" s="34"/>
      <c r="AT2086" s="33"/>
      <c r="AV2086" s="21">
        <f>IF(AND($AL2086&lt;&gt;"",COUNTIF($AL$11:$AL2086,$AL2086)=1),1,0)</f>
        <v>0</v>
      </c>
      <c r="AW2086" s="21">
        <f t="shared" si="151"/>
        <v>2</v>
      </c>
      <c r="AX2086" s="21" t="str">
        <f t="shared" si="150"/>
        <v/>
      </c>
      <c r="AY2086" s="21" t="str">
        <f>IF(AND($AM2086&lt;&gt;"",$AS2086&lt;&gt;"✓"),SUMPRODUCT(($AM$11:$AM2086&lt;&gt;"")*($AS$11:$AS2086&lt;&gt;"✓")),"")</f>
        <v/>
      </c>
      <c r="AZ2086" s="21" t="str">
        <f>IF(AND($AM2086&lt;&gt;"",$AS2086="✓"),SUMPRODUCT(($AM$11:$AM2086&lt;&gt;"")*($AS$11:$AS2086="✓")),"")</f>
        <v/>
      </c>
      <c r="BA2086" s="21" t="str">
        <f>IF($AL2086="","",$AL2086&amp;"|"&amp;COUNTIF($AL$11:$AL2086,$AL2086))</f>
        <v/>
      </c>
    </row>
    <row r="2087" spans="38:53" ht="15" customHeight="1" x14ac:dyDescent="0.25">
      <c r="AL2087" s="17"/>
      <c r="AM2087" s="12"/>
      <c r="AN2087" s="18"/>
      <c r="AO2087" s="18"/>
      <c r="AP2087" s="10"/>
      <c r="AQ2087" s="10"/>
      <c r="AR2087" s="19"/>
      <c r="AS2087" s="20"/>
      <c r="AT2087" s="19"/>
      <c r="AV2087" s="21">
        <f>IF(AND($AL2087&lt;&gt;"",COUNTIF($AL$11:$AL2087,$AL2087)=1),1,0)</f>
        <v>0</v>
      </c>
      <c r="AW2087" s="21">
        <f t="shared" si="151"/>
        <v>2</v>
      </c>
      <c r="AX2087" s="21" t="str">
        <f t="shared" si="150"/>
        <v/>
      </c>
      <c r="AY2087" s="21" t="str">
        <f>IF(AND($AM2087&lt;&gt;"",$AS2087&lt;&gt;"✓"),SUMPRODUCT(($AM$11:$AM2087&lt;&gt;"")*($AS$11:$AS2087&lt;&gt;"✓")),"")</f>
        <v/>
      </c>
      <c r="AZ2087" s="21" t="str">
        <f>IF(AND($AM2087&lt;&gt;"",$AS2087="✓"),SUMPRODUCT(($AM$11:$AM2087&lt;&gt;"")*($AS$11:$AS2087="✓")),"")</f>
        <v/>
      </c>
      <c r="BA2087" s="21" t="str">
        <f>IF($AL2087="","",$AL2087&amp;"|"&amp;COUNTIF($AL$11:$AL2087,$AL2087))</f>
        <v/>
      </c>
    </row>
    <row r="2088" spans="38:53" ht="15" customHeight="1" x14ac:dyDescent="0.25">
      <c r="AL2088" s="31"/>
      <c r="AM2088" s="26"/>
      <c r="AN2088" s="32"/>
      <c r="AO2088" s="32"/>
      <c r="AP2088" s="24"/>
      <c r="AQ2088" s="24"/>
      <c r="AR2088" s="33"/>
      <c r="AS2088" s="34"/>
      <c r="AT2088" s="33"/>
      <c r="AV2088" s="21">
        <f>IF(AND($AL2088&lt;&gt;"",COUNTIF($AL$11:$AL2088,$AL2088)=1),1,0)</f>
        <v>0</v>
      </c>
      <c r="AW2088" s="21">
        <f t="shared" si="151"/>
        <v>2</v>
      </c>
      <c r="AX2088" s="21" t="str">
        <f t="shared" si="150"/>
        <v/>
      </c>
      <c r="AY2088" s="21" t="str">
        <f>IF(AND($AM2088&lt;&gt;"",$AS2088&lt;&gt;"✓"),SUMPRODUCT(($AM$11:$AM2088&lt;&gt;"")*($AS$11:$AS2088&lt;&gt;"✓")),"")</f>
        <v/>
      </c>
      <c r="AZ2088" s="21" t="str">
        <f>IF(AND($AM2088&lt;&gt;"",$AS2088="✓"),SUMPRODUCT(($AM$11:$AM2088&lt;&gt;"")*($AS$11:$AS2088="✓")),"")</f>
        <v/>
      </c>
      <c r="BA2088" s="21" t="str">
        <f>IF($AL2088="","",$AL2088&amp;"|"&amp;COUNTIF($AL$11:$AL2088,$AL2088))</f>
        <v/>
      </c>
    </row>
    <row r="2089" spans="38:53" ht="15" customHeight="1" x14ac:dyDescent="0.25">
      <c r="AL2089" s="17"/>
      <c r="AM2089" s="12"/>
      <c r="AN2089" s="18"/>
      <c r="AO2089" s="18"/>
      <c r="AP2089" s="10"/>
      <c r="AQ2089" s="10"/>
      <c r="AR2089" s="19"/>
      <c r="AS2089" s="20"/>
      <c r="AT2089" s="19"/>
      <c r="AV2089" s="21">
        <f>IF(AND($AL2089&lt;&gt;"",COUNTIF($AL$11:$AL2089,$AL2089)=1),1,0)</f>
        <v>0</v>
      </c>
      <c r="AW2089" s="21">
        <f t="shared" si="151"/>
        <v>2</v>
      </c>
      <c r="AX2089" s="21" t="str">
        <f t="shared" si="150"/>
        <v/>
      </c>
      <c r="AY2089" s="21" t="str">
        <f>IF(AND($AM2089&lt;&gt;"",$AS2089&lt;&gt;"✓"),SUMPRODUCT(($AM$11:$AM2089&lt;&gt;"")*($AS$11:$AS2089&lt;&gt;"✓")),"")</f>
        <v/>
      </c>
      <c r="AZ2089" s="21" t="str">
        <f>IF(AND($AM2089&lt;&gt;"",$AS2089="✓"),SUMPRODUCT(($AM$11:$AM2089&lt;&gt;"")*($AS$11:$AS2089="✓")),"")</f>
        <v/>
      </c>
      <c r="BA2089" s="21" t="str">
        <f>IF($AL2089="","",$AL2089&amp;"|"&amp;COUNTIF($AL$11:$AL2089,$AL2089))</f>
        <v/>
      </c>
    </row>
    <row r="2090" spans="38:53" ht="15" customHeight="1" x14ac:dyDescent="0.25">
      <c r="AL2090" s="31"/>
      <c r="AM2090" s="26"/>
      <c r="AN2090" s="32"/>
      <c r="AO2090" s="32"/>
      <c r="AP2090" s="24"/>
      <c r="AQ2090" s="24"/>
      <c r="AR2090" s="33"/>
      <c r="AS2090" s="34"/>
      <c r="AT2090" s="33"/>
      <c r="AV2090" s="21">
        <f>IF(AND($AL2090&lt;&gt;"",COUNTIF($AL$11:$AL2090,$AL2090)=1),1,0)</f>
        <v>0</v>
      </c>
      <c r="AW2090" s="21">
        <f t="shared" si="151"/>
        <v>2</v>
      </c>
      <c r="AX2090" s="21" t="str">
        <f t="shared" si="150"/>
        <v/>
      </c>
      <c r="AY2090" s="21" t="str">
        <f>IF(AND($AM2090&lt;&gt;"",$AS2090&lt;&gt;"✓"),SUMPRODUCT(($AM$11:$AM2090&lt;&gt;"")*($AS$11:$AS2090&lt;&gt;"✓")),"")</f>
        <v/>
      </c>
      <c r="AZ2090" s="21" t="str">
        <f>IF(AND($AM2090&lt;&gt;"",$AS2090="✓"),SUMPRODUCT(($AM$11:$AM2090&lt;&gt;"")*($AS$11:$AS2090="✓")),"")</f>
        <v/>
      </c>
      <c r="BA2090" s="21" t="str">
        <f>IF($AL2090="","",$AL2090&amp;"|"&amp;COUNTIF($AL$11:$AL2090,$AL2090))</f>
        <v/>
      </c>
    </row>
    <row r="2091" spans="38:53" ht="15" customHeight="1" x14ac:dyDescent="0.25">
      <c r="AL2091" s="17"/>
      <c r="AM2091" s="12"/>
      <c r="AN2091" s="18"/>
      <c r="AO2091" s="18"/>
      <c r="AP2091" s="10"/>
      <c r="AQ2091" s="10"/>
      <c r="AR2091" s="19"/>
      <c r="AS2091" s="20"/>
      <c r="AT2091" s="19"/>
      <c r="AV2091" s="21">
        <f>IF(AND($AL2091&lt;&gt;"",COUNTIF($AL$11:$AL2091,$AL2091)=1),1,0)</f>
        <v>0</v>
      </c>
      <c r="AW2091" s="21">
        <f t="shared" si="151"/>
        <v>2</v>
      </c>
      <c r="AX2091" s="21" t="str">
        <f t="shared" si="150"/>
        <v/>
      </c>
      <c r="AY2091" s="21" t="str">
        <f>IF(AND($AM2091&lt;&gt;"",$AS2091&lt;&gt;"✓"),SUMPRODUCT(($AM$11:$AM2091&lt;&gt;"")*($AS$11:$AS2091&lt;&gt;"✓")),"")</f>
        <v/>
      </c>
      <c r="AZ2091" s="21" t="str">
        <f>IF(AND($AM2091&lt;&gt;"",$AS2091="✓"),SUMPRODUCT(($AM$11:$AM2091&lt;&gt;"")*($AS$11:$AS2091="✓")),"")</f>
        <v/>
      </c>
      <c r="BA2091" s="21" t="str">
        <f>IF($AL2091="","",$AL2091&amp;"|"&amp;COUNTIF($AL$11:$AL2091,$AL2091))</f>
        <v/>
      </c>
    </row>
    <row r="2092" spans="38:53" ht="15" customHeight="1" x14ac:dyDescent="0.25">
      <c r="AL2092" s="31"/>
      <c r="AM2092" s="26"/>
      <c r="AN2092" s="32"/>
      <c r="AO2092" s="32"/>
      <c r="AP2092" s="24"/>
      <c r="AQ2092" s="24"/>
      <c r="AR2092" s="33"/>
      <c r="AS2092" s="34"/>
      <c r="AT2092" s="33"/>
      <c r="AV2092" s="21">
        <f>IF(AND($AL2092&lt;&gt;"",COUNTIF($AL$11:$AL2092,$AL2092)=1),1,0)</f>
        <v>0</v>
      </c>
      <c r="AW2092" s="21">
        <f t="shared" si="151"/>
        <v>2</v>
      </c>
      <c r="AX2092" s="21" t="str">
        <f t="shared" si="150"/>
        <v/>
      </c>
      <c r="AY2092" s="21" t="str">
        <f>IF(AND($AM2092&lt;&gt;"",$AS2092&lt;&gt;"✓"),SUMPRODUCT(($AM$11:$AM2092&lt;&gt;"")*($AS$11:$AS2092&lt;&gt;"✓")),"")</f>
        <v/>
      </c>
      <c r="AZ2092" s="21" t="str">
        <f>IF(AND($AM2092&lt;&gt;"",$AS2092="✓"),SUMPRODUCT(($AM$11:$AM2092&lt;&gt;"")*($AS$11:$AS2092="✓")),"")</f>
        <v/>
      </c>
      <c r="BA2092" s="21" t="str">
        <f>IF($AL2092="","",$AL2092&amp;"|"&amp;COUNTIF($AL$11:$AL2092,$AL2092))</f>
        <v/>
      </c>
    </row>
    <row r="2093" spans="38:53" ht="15" customHeight="1" x14ac:dyDescent="0.25">
      <c r="AL2093" s="17"/>
      <c r="AM2093" s="12"/>
      <c r="AN2093" s="18"/>
      <c r="AO2093" s="18"/>
      <c r="AP2093" s="10"/>
      <c r="AQ2093" s="10"/>
      <c r="AR2093" s="19"/>
      <c r="AS2093" s="20"/>
      <c r="AT2093" s="19"/>
      <c r="AV2093" s="21">
        <f>IF(AND($AL2093&lt;&gt;"",COUNTIF($AL$11:$AL2093,$AL2093)=1),1,0)</f>
        <v>0</v>
      </c>
      <c r="AW2093" s="21">
        <f t="shared" si="151"/>
        <v>2</v>
      </c>
      <c r="AX2093" s="21" t="str">
        <f t="shared" si="150"/>
        <v/>
      </c>
      <c r="AY2093" s="21" t="str">
        <f>IF(AND($AM2093&lt;&gt;"",$AS2093&lt;&gt;"✓"),SUMPRODUCT(($AM$11:$AM2093&lt;&gt;"")*($AS$11:$AS2093&lt;&gt;"✓")),"")</f>
        <v/>
      </c>
      <c r="AZ2093" s="21" t="str">
        <f>IF(AND($AM2093&lt;&gt;"",$AS2093="✓"),SUMPRODUCT(($AM$11:$AM2093&lt;&gt;"")*($AS$11:$AS2093="✓")),"")</f>
        <v/>
      </c>
      <c r="BA2093" s="21" t="str">
        <f>IF($AL2093="","",$AL2093&amp;"|"&amp;COUNTIF($AL$11:$AL2093,$AL2093))</f>
        <v/>
      </c>
    </row>
    <row r="2094" spans="38:53" ht="15" customHeight="1" x14ac:dyDescent="0.25">
      <c r="AL2094" s="31"/>
      <c r="AM2094" s="26"/>
      <c r="AN2094" s="32"/>
      <c r="AO2094" s="32"/>
      <c r="AP2094" s="24"/>
      <c r="AQ2094" s="24"/>
      <c r="AR2094" s="33"/>
      <c r="AS2094" s="34"/>
      <c r="AT2094" s="33"/>
      <c r="AV2094" s="21">
        <f>IF(AND($AL2094&lt;&gt;"",COUNTIF($AL$11:$AL2094,$AL2094)=1),1,0)</f>
        <v>0</v>
      </c>
      <c r="AW2094" s="21">
        <f t="shared" si="151"/>
        <v>2</v>
      </c>
      <c r="AX2094" s="21" t="str">
        <f t="shared" si="150"/>
        <v/>
      </c>
      <c r="AY2094" s="21" t="str">
        <f>IF(AND($AM2094&lt;&gt;"",$AS2094&lt;&gt;"✓"),SUMPRODUCT(($AM$11:$AM2094&lt;&gt;"")*($AS$11:$AS2094&lt;&gt;"✓")),"")</f>
        <v/>
      </c>
      <c r="AZ2094" s="21" t="str">
        <f>IF(AND($AM2094&lt;&gt;"",$AS2094="✓"),SUMPRODUCT(($AM$11:$AM2094&lt;&gt;"")*($AS$11:$AS2094="✓")),"")</f>
        <v/>
      </c>
      <c r="BA2094" s="21" t="str">
        <f>IF($AL2094="","",$AL2094&amp;"|"&amp;COUNTIF($AL$11:$AL2094,$AL2094))</f>
        <v/>
      </c>
    </row>
    <row r="2095" spans="38:53" ht="15" customHeight="1" x14ac:dyDescent="0.25">
      <c r="AL2095" s="17"/>
      <c r="AM2095" s="12"/>
      <c r="AN2095" s="18"/>
      <c r="AO2095" s="18"/>
      <c r="AP2095" s="10"/>
      <c r="AQ2095" s="10"/>
      <c r="AR2095" s="19"/>
      <c r="AS2095" s="20"/>
      <c r="AT2095" s="19"/>
      <c r="AV2095" s="21">
        <f>IF(AND($AL2095&lt;&gt;"",COUNTIF($AL$11:$AL2095,$AL2095)=1),1,0)</f>
        <v>0</v>
      </c>
      <c r="AW2095" s="21">
        <f t="shared" si="151"/>
        <v>2</v>
      </c>
      <c r="AX2095" s="21" t="str">
        <f t="shared" si="150"/>
        <v/>
      </c>
      <c r="AY2095" s="21" t="str">
        <f>IF(AND($AM2095&lt;&gt;"",$AS2095&lt;&gt;"✓"),SUMPRODUCT(($AM$11:$AM2095&lt;&gt;"")*($AS$11:$AS2095&lt;&gt;"✓")),"")</f>
        <v/>
      </c>
      <c r="AZ2095" s="21" t="str">
        <f>IF(AND($AM2095&lt;&gt;"",$AS2095="✓"),SUMPRODUCT(($AM$11:$AM2095&lt;&gt;"")*($AS$11:$AS2095="✓")),"")</f>
        <v/>
      </c>
      <c r="BA2095" s="21" t="str">
        <f>IF($AL2095="","",$AL2095&amp;"|"&amp;COUNTIF($AL$11:$AL2095,$AL2095))</f>
        <v/>
      </c>
    </row>
    <row r="2096" spans="38:53" ht="15" customHeight="1" x14ac:dyDescent="0.25">
      <c r="AL2096" s="31"/>
      <c r="AM2096" s="26"/>
      <c r="AN2096" s="32"/>
      <c r="AO2096" s="32"/>
      <c r="AP2096" s="24"/>
      <c r="AQ2096" s="24"/>
      <c r="AR2096" s="33"/>
      <c r="AS2096" s="34"/>
      <c r="AT2096" s="33"/>
      <c r="AV2096" s="21">
        <f>IF(AND($AL2096&lt;&gt;"",COUNTIF($AL$11:$AL2096,$AL2096)=1),1,0)</f>
        <v>0</v>
      </c>
      <c r="AW2096" s="21">
        <f t="shared" si="151"/>
        <v>2</v>
      </c>
      <c r="AX2096" s="21" t="str">
        <f t="shared" si="150"/>
        <v/>
      </c>
      <c r="AY2096" s="21" t="str">
        <f>IF(AND($AM2096&lt;&gt;"",$AS2096&lt;&gt;"✓"),SUMPRODUCT(($AM$11:$AM2096&lt;&gt;"")*($AS$11:$AS2096&lt;&gt;"✓")),"")</f>
        <v/>
      </c>
      <c r="AZ2096" s="21" t="str">
        <f>IF(AND($AM2096&lt;&gt;"",$AS2096="✓"),SUMPRODUCT(($AM$11:$AM2096&lt;&gt;"")*($AS$11:$AS2096="✓")),"")</f>
        <v/>
      </c>
      <c r="BA2096" s="21" t="str">
        <f>IF($AL2096="","",$AL2096&amp;"|"&amp;COUNTIF($AL$11:$AL2096,$AL2096))</f>
        <v/>
      </c>
    </row>
    <row r="2097" spans="38:53" ht="15" customHeight="1" x14ac:dyDescent="0.25">
      <c r="AL2097" s="17"/>
      <c r="AM2097" s="12"/>
      <c r="AN2097" s="18"/>
      <c r="AO2097" s="18"/>
      <c r="AP2097" s="10"/>
      <c r="AQ2097" s="10"/>
      <c r="AR2097" s="19"/>
      <c r="AS2097" s="20"/>
      <c r="AT2097" s="19"/>
      <c r="AV2097" s="21">
        <f>IF(AND($AL2097&lt;&gt;"",COUNTIF($AL$11:$AL2097,$AL2097)=1),1,0)</f>
        <v>0</v>
      </c>
      <c r="AW2097" s="21">
        <f t="shared" si="151"/>
        <v>2</v>
      </c>
      <c r="AX2097" s="21" t="str">
        <f t="shared" si="150"/>
        <v/>
      </c>
      <c r="AY2097" s="21" t="str">
        <f>IF(AND($AM2097&lt;&gt;"",$AS2097&lt;&gt;"✓"),SUMPRODUCT(($AM$11:$AM2097&lt;&gt;"")*($AS$11:$AS2097&lt;&gt;"✓")),"")</f>
        <v/>
      </c>
      <c r="AZ2097" s="21" t="str">
        <f>IF(AND($AM2097&lt;&gt;"",$AS2097="✓"),SUMPRODUCT(($AM$11:$AM2097&lt;&gt;"")*($AS$11:$AS2097="✓")),"")</f>
        <v/>
      </c>
      <c r="BA2097" s="21" t="str">
        <f>IF($AL2097="","",$AL2097&amp;"|"&amp;COUNTIF($AL$11:$AL2097,$AL2097))</f>
        <v/>
      </c>
    </row>
    <row r="2098" spans="38:53" ht="15" customHeight="1" x14ac:dyDescent="0.25">
      <c r="AL2098" s="31"/>
      <c r="AM2098" s="26"/>
      <c r="AN2098" s="32"/>
      <c r="AO2098" s="32"/>
      <c r="AP2098" s="24"/>
      <c r="AQ2098" s="24"/>
      <c r="AR2098" s="33"/>
      <c r="AS2098" s="34"/>
      <c r="AT2098" s="33"/>
      <c r="AV2098" s="21">
        <f>IF(AND($AL2098&lt;&gt;"",COUNTIF($AL$11:$AL2098,$AL2098)=1),1,0)</f>
        <v>0</v>
      </c>
      <c r="AW2098" s="21">
        <f t="shared" si="151"/>
        <v>2</v>
      </c>
      <c r="AX2098" s="21" t="str">
        <f t="shared" si="150"/>
        <v/>
      </c>
      <c r="AY2098" s="21" t="str">
        <f>IF(AND($AM2098&lt;&gt;"",$AS2098&lt;&gt;"✓"),SUMPRODUCT(($AM$11:$AM2098&lt;&gt;"")*($AS$11:$AS2098&lt;&gt;"✓")),"")</f>
        <v/>
      </c>
      <c r="AZ2098" s="21" t="str">
        <f>IF(AND($AM2098&lt;&gt;"",$AS2098="✓"),SUMPRODUCT(($AM$11:$AM2098&lt;&gt;"")*($AS$11:$AS2098="✓")),"")</f>
        <v/>
      </c>
      <c r="BA2098" s="21" t="str">
        <f>IF($AL2098="","",$AL2098&amp;"|"&amp;COUNTIF($AL$11:$AL2098,$AL2098))</f>
        <v/>
      </c>
    </row>
    <row r="2099" spans="38:53" ht="15" customHeight="1" x14ac:dyDescent="0.25">
      <c r="AL2099" s="17"/>
      <c r="AM2099" s="12"/>
      <c r="AN2099" s="18"/>
      <c r="AO2099" s="18"/>
      <c r="AP2099" s="10"/>
      <c r="AQ2099" s="10"/>
      <c r="AR2099" s="19"/>
      <c r="AS2099" s="20"/>
      <c r="AT2099" s="19"/>
      <c r="AV2099" s="21">
        <f>IF(AND($AL2099&lt;&gt;"",COUNTIF($AL$11:$AL2099,$AL2099)=1),1,0)</f>
        <v>0</v>
      </c>
      <c r="AW2099" s="21">
        <f t="shared" si="151"/>
        <v>2</v>
      </c>
      <c r="AX2099" s="21" t="str">
        <f t="shared" si="150"/>
        <v/>
      </c>
      <c r="AY2099" s="21" t="str">
        <f>IF(AND($AM2099&lt;&gt;"",$AS2099&lt;&gt;"✓"),SUMPRODUCT(($AM$11:$AM2099&lt;&gt;"")*($AS$11:$AS2099&lt;&gt;"✓")),"")</f>
        <v/>
      </c>
      <c r="AZ2099" s="21" t="str">
        <f>IF(AND($AM2099&lt;&gt;"",$AS2099="✓"),SUMPRODUCT(($AM$11:$AM2099&lt;&gt;"")*($AS$11:$AS2099="✓")),"")</f>
        <v/>
      </c>
      <c r="BA2099" s="21" t="str">
        <f>IF($AL2099="","",$AL2099&amp;"|"&amp;COUNTIF($AL$11:$AL2099,$AL2099))</f>
        <v/>
      </c>
    </row>
    <row r="2100" spans="38:53" ht="15" customHeight="1" x14ac:dyDescent="0.25">
      <c r="AL2100" s="31"/>
      <c r="AM2100" s="26"/>
      <c r="AN2100" s="32"/>
      <c r="AO2100" s="32"/>
      <c r="AP2100" s="24"/>
      <c r="AQ2100" s="24"/>
      <c r="AR2100" s="33"/>
      <c r="AS2100" s="34"/>
      <c r="AT2100" s="33"/>
      <c r="AV2100" s="21">
        <f>IF(AND($AL2100&lt;&gt;"",COUNTIF($AL$11:$AL2100,$AL2100)=1),1,0)</f>
        <v>0</v>
      </c>
      <c r="AW2100" s="21">
        <f t="shared" si="151"/>
        <v>2</v>
      </c>
      <c r="AX2100" s="21" t="str">
        <f t="shared" si="150"/>
        <v/>
      </c>
      <c r="AY2100" s="21" t="str">
        <f>IF(AND($AM2100&lt;&gt;"",$AS2100&lt;&gt;"✓"),SUMPRODUCT(($AM$11:$AM2100&lt;&gt;"")*($AS$11:$AS2100&lt;&gt;"✓")),"")</f>
        <v/>
      </c>
      <c r="AZ2100" s="21" t="str">
        <f>IF(AND($AM2100&lt;&gt;"",$AS2100="✓"),SUMPRODUCT(($AM$11:$AM2100&lt;&gt;"")*($AS$11:$AS2100="✓")),"")</f>
        <v/>
      </c>
      <c r="BA2100" s="21" t="str">
        <f>IF($AL2100="","",$AL2100&amp;"|"&amp;COUNTIF($AL$11:$AL2100,$AL2100))</f>
        <v/>
      </c>
    </row>
    <row r="2101" spans="38:53" ht="15" customHeight="1" x14ac:dyDescent="0.25">
      <c r="AL2101" s="17"/>
      <c r="AM2101" s="12"/>
      <c r="AN2101" s="18"/>
      <c r="AO2101" s="18"/>
      <c r="AP2101" s="10"/>
      <c r="AQ2101" s="10"/>
      <c r="AR2101" s="19"/>
      <c r="AS2101" s="20"/>
      <c r="AT2101" s="19"/>
      <c r="AV2101" s="21">
        <f>IF(AND($AL2101&lt;&gt;"",COUNTIF($AL$11:$AL2101,$AL2101)=1),1,0)</f>
        <v>0</v>
      </c>
      <c r="AW2101" s="21">
        <f t="shared" si="151"/>
        <v>2</v>
      </c>
      <c r="AX2101" s="21" t="str">
        <f t="shared" si="150"/>
        <v/>
      </c>
      <c r="AY2101" s="21" t="str">
        <f>IF(AND($AM2101&lt;&gt;"",$AS2101&lt;&gt;"✓"),SUMPRODUCT(($AM$11:$AM2101&lt;&gt;"")*($AS$11:$AS2101&lt;&gt;"✓")),"")</f>
        <v/>
      </c>
      <c r="AZ2101" s="21" t="str">
        <f>IF(AND($AM2101&lt;&gt;"",$AS2101="✓"),SUMPRODUCT(($AM$11:$AM2101&lt;&gt;"")*($AS$11:$AS2101="✓")),"")</f>
        <v/>
      </c>
      <c r="BA2101" s="21" t="str">
        <f>IF($AL2101="","",$AL2101&amp;"|"&amp;COUNTIF($AL$11:$AL2101,$AL2101))</f>
        <v/>
      </c>
    </row>
    <row r="2102" spans="38:53" ht="15" customHeight="1" x14ac:dyDescent="0.25">
      <c r="AL2102" s="31"/>
      <c r="AM2102" s="26"/>
      <c r="AN2102" s="32"/>
      <c r="AO2102" s="32"/>
      <c r="AP2102" s="24"/>
      <c r="AQ2102" s="24"/>
      <c r="AR2102" s="33"/>
      <c r="AS2102" s="34"/>
      <c r="AT2102" s="33"/>
      <c r="AV2102" s="21">
        <f>IF(AND($AL2102&lt;&gt;"",COUNTIF($AL$11:$AL2102,$AL2102)=1),1,0)</f>
        <v>0</v>
      </c>
      <c r="AW2102" s="21">
        <f t="shared" si="151"/>
        <v>2</v>
      </c>
      <c r="AX2102" s="21" t="str">
        <f t="shared" si="150"/>
        <v/>
      </c>
      <c r="AY2102" s="21" t="str">
        <f>IF(AND($AM2102&lt;&gt;"",$AS2102&lt;&gt;"✓"),SUMPRODUCT(($AM$11:$AM2102&lt;&gt;"")*($AS$11:$AS2102&lt;&gt;"✓")),"")</f>
        <v/>
      </c>
      <c r="AZ2102" s="21" t="str">
        <f>IF(AND($AM2102&lt;&gt;"",$AS2102="✓"),SUMPRODUCT(($AM$11:$AM2102&lt;&gt;"")*($AS$11:$AS2102="✓")),"")</f>
        <v/>
      </c>
      <c r="BA2102" s="21" t="str">
        <f>IF($AL2102="","",$AL2102&amp;"|"&amp;COUNTIF($AL$11:$AL2102,$AL2102))</f>
        <v/>
      </c>
    </row>
    <row r="2103" spans="38:53" ht="15" customHeight="1" x14ac:dyDescent="0.25">
      <c r="AL2103" s="17"/>
      <c r="AM2103" s="12"/>
      <c r="AN2103" s="18"/>
      <c r="AO2103" s="18"/>
      <c r="AP2103" s="10"/>
      <c r="AQ2103" s="10"/>
      <c r="AR2103" s="19"/>
      <c r="AS2103" s="20"/>
      <c r="AT2103" s="19"/>
      <c r="AV2103" s="21">
        <f>IF(AND($AL2103&lt;&gt;"",COUNTIF($AL$11:$AL2103,$AL2103)=1),1,0)</f>
        <v>0</v>
      </c>
      <c r="AW2103" s="21">
        <f t="shared" si="151"/>
        <v>2</v>
      </c>
      <c r="AX2103" s="21" t="str">
        <f t="shared" si="150"/>
        <v/>
      </c>
      <c r="AY2103" s="21" t="str">
        <f>IF(AND($AM2103&lt;&gt;"",$AS2103&lt;&gt;"✓"),SUMPRODUCT(($AM$11:$AM2103&lt;&gt;"")*($AS$11:$AS2103&lt;&gt;"✓")),"")</f>
        <v/>
      </c>
      <c r="AZ2103" s="21" t="str">
        <f>IF(AND($AM2103&lt;&gt;"",$AS2103="✓"),SUMPRODUCT(($AM$11:$AM2103&lt;&gt;"")*($AS$11:$AS2103="✓")),"")</f>
        <v/>
      </c>
      <c r="BA2103" s="21" t="str">
        <f>IF($AL2103="","",$AL2103&amp;"|"&amp;COUNTIF($AL$11:$AL2103,$AL2103))</f>
        <v/>
      </c>
    </row>
    <row r="2104" spans="38:53" ht="15" customHeight="1" x14ac:dyDescent="0.25">
      <c r="AL2104" s="31"/>
      <c r="AM2104" s="26"/>
      <c r="AN2104" s="32"/>
      <c r="AO2104" s="32"/>
      <c r="AP2104" s="24"/>
      <c r="AQ2104" s="24"/>
      <c r="AR2104" s="33"/>
      <c r="AS2104" s="34"/>
      <c r="AT2104" s="33"/>
      <c r="AV2104" s="21">
        <f>IF(AND($AL2104&lt;&gt;"",COUNTIF($AL$11:$AL2104,$AL2104)=1),1,0)</f>
        <v>0</v>
      </c>
      <c r="AW2104" s="21">
        <f t="shared" si="151"/>
        <v>2</v>
      </c>
      <c r="AX2104" s="21" t="str">
        <f t="shared" si="150"/>
        <v/>
      </c>
      <c r="AY2104" s="21" t="str">
        <f>IF(AND($AM2104&lt;&gt;"",$AS2104&lt;&gt;"✓"),SUMPRODUCT(($AM$11:$AM2104&lt;&gt;"")*($AS$11:$AS2104&lt;&gt;"✓")),"")</f>
        <v/>
      </c>
      <c r="AZ2104" s="21" t="str">
        <f>IF(AND($AM2104&lt;&gt;"",$AS2104="✓"),SUMPRODUCT(($AM$11:$AM2104&lt;&gt;"")*($AS$11:$AS2104="✓")),"")</f>
        <v/>
      </c>
      <c r="BA2104" s="21" t="str">
        <f>IF($AL2104="","",$AL2104&amp;"|"&amp;COUNTIF($AL$11:$AL2104,$AL2104))</f>
        <v/>
      </c>
    </row>
    <row r="2105" spans="38:53" ht="15" customHeight="1" x14ac:dyDescent="0.25">
      <c r="AL2105" s="17"/>
      <c r="AM2105" s="12"/>
      <c r="AN2105" s="18"/>
      <c r="AO2105" s="18"/>
      <c r="AP2105" s="10"/>
      <c r="AQ2105" s="10"/>
      <c r="AR2105" s="19"/>
      <c r="AS2105" s="20"/>
      <c r="AT2105" s="19"/>
      <c r="AV2105" s="21">
        <f>IF(AND($AL2105&lt;&gt;"",COUNTIF($AL$11:$AL2105,$AL2105)=1),1,0)</f>
        <v>0</v>
      </c>
      <c r="AW2105" s="21">
        <f t="shared" si="151"/>
        <v>2</v>
      </c>
      <c r="AX2105" s="21" t="str">
        <f t="shared" si="150"/>
        <v/>
      </c>
      <c r="AY2105" s="21" t="str">
        <f>IF(AND($AM2105&lt;&gt;"",$AS2105&lt;&gt;"✓"),SUMPRODUCT(($AM$11:$AM2105&lt;&gt;"")*($AS$11:$AS2105&lt;&gt;"✓")),"")</f>
        <v/>
      </c>
      <c r="AZ2105" s="21" t="str">
        <f>IF(AND($AM2105&lt;&gt;"",$AS2105="✓"),SUMPRODUCT(($AM$11:$AM2105&lt;&gt;"")*($AS$11:$AS2105="✓")),"")</f>
        <v/>
      </c>
      <c r="BA2105" s="21" t="str">
        <f>IF($AL2105="","",$AL2105&amp;"|"&amp;COUNTIF($AL$11:$AL2105,$AL2105))</f>
        <v/>
      </c>
    </row>
    <row r="2106" spans="38:53" ht="15" customHeight="1" x14ac:dyDescent="0.25">
      <c r="AL2106" s="31"/>
      <c r="AM2106" s="26"/>
      <c r="AN2106" s="32"/>
      <c r="AO2106" s="32"/>
      <c r="AP2106" s="24"/>
      <c r="AQ2106" s="24"/>
      <c r="AR2106" s="33"/>
      <c r="AS2106" s="34"/>
      <c r="AT2106" s="33"/>
      <c r="AV2106" s="21">
        <f>IF(AND($AL2106&lt;&gt;"",COUNTIF($AL$11:$AL2106,$AL2106)=1),1,0)</f>
        <v>0</v>
      </c>
      <c r="AW2106" s="21">
        <f t="shared" si="151"/>
        <v>2</v>
      </c>
      <c r="AX2106" s="21" t="str">
        <f t="shared" si="150"/>
        <v/>
      </c>
      <c r="AY2106" s="21" t="str">
        <f>IF(AND($AM2106&lt;&gt;"",$AS2106&lt;&gt;"✓"),SUMPRODUCT(($AM$11:$AM2106&lt;&gt;"")*($AS$11:$AS2106&lt;&gt;"✓")),"")</f>
        <v/>
      </c>
      <c r="AZ2106" s="21" t="str">
        <f>IF(AND($AM2106&lt;&gt;"",$AS2106="✓"),SUMPRODUCT(($AM$11:$AM2106&lt;&gt;"")*($AS$11:$AS2106="✓")),"")</f>
        <v/>
      </c>
      <c r="BA2106" s="21" t="str">
        <f>IF($AL2106="","",$AL2106&amp;"|"&amp;COUNTIF($AL$11:$AL2106,$AL2106))</f>
        <v/>
      </c>
    </row>
    <row r="2107" spans="38:53" ht="15" customHeight="1" x14ac:dyDescent="0.25">
      <c r="AL2107" s="17"/>
      <c r="AM2107" s="12"/>
      <c r="AN2107" s="18"/>
      <c r="AO2107" s="18"/>
      <c r="AP2107" s="10"/>
      <c r="AQ2107" s="10"/>
      <c r="AR2107" s="19"/>
      <c r="AS2107" s="20"/>
      <c r="AT2107" s="19"/>
      <c r="AV2107" s="21">
        <f>IF(AND($AL2107&lt;&gt;"",COUNTIF($AL$11:$AL2107,$AL2107)=1),1,0)</f>
        <v>0</v>
      </c>
      <c r="AW2107" s="21">
        <f t="shared" si="151"/>
        <v>2</v>
      </c>
      <c r="AX2107" s="21" t="str">
        <f t="shared" si="150"/>
        <v/>
      </c>
      <c r="AY2107" s="21" t="str">
        <f>IF(AND($AM2107&lt;&gt;"",$AS2107&lt;&gt;"✓"),SUMPRODUCT(($AM$11:$AM2107&lt;&gt;"")*($AS$11:$AS2107&lt;&gt;"✓")),"")</f>
        <v/>
      </c>
      <c r="AZ2107" s="21" t="str">
        <f>IF(AND($AM2107&lt;&gt;"",$AS2107="✓"),SUMPRODUCT(($AM$11:$AM2107&lt;&gt;"")*($AS$11:$AS2107="✓")),"")</f>
        <v/>
      </c>
      <c r="BA2107" s="21" t="str">
        <f>IF($AL2107="","",$AL2107&amp;"|"&amp;COUNTIF($AL$11:$AL2107,$AL2107))</f>
        <v/>
      </c>
    </row>
    <row r="2108" spans="38:53" ht="15" customHeight="1" x14ac:dyDescent="0.25">
      <c r="AL2108" s="31"/>
      <c r="AM2108" s="26"/>
      <c r="AN2108" s="32"/>
      <c r="AO2108" s="32"/>
      <c r="AP2108" s="24"/>
      <c r="AQ2108" s="24"/>
      <c r="AR2108" s="33"/>
      <c r="AS2108" s="34"/>
      <c r="AT2108" s="33"/>
      <c r="AV2108" s="21">
        <f>IF(AND($AL2108&lt;&gt;"",COUNTIF($AL$11:$AL2108,$AL2108)=1),1,0)</f>
        <v>0</v>
      </c>
      <c r="AW2108" s="21">
        <f t="shared" si="151"/>
        <v>2</v>
      </c>
      <c r="AX2108" s="21" t="str">
        <f t="shared" si="150"/>
        <v/>
      </c>
      <c r="AY2108" s="21" t="str">
        <f>IF(AND($AM2108&lt;&gt;"",$AS2108&lt;&gt;"✓"),SUMPRODUCT(($AM$11:$AM2108&lt;&gt;"")*($AS$11:$AS2108&lt;&gt;"✓")),"")</f>
        <v/>
      </c>
      <c r="AZ2108" s="21" t="str">
        <f>IF(AND($AM2108&lt;&gt;"",$AS2108="✓"),SUMPRODUCT(($AM$11:$AM2108&lt;&gt;"")*($AS$11:$AS2108="✓")),"")</f>
        <v/>
      </c>
      <c r="BA2108" s="21" t="str">
        <f>IF($AL2108="","",$AL2108&amp;"|"&amp;COUNTIF($AL$11:$AL2108,$AL2108))</f>
        <v/>
      </c>
    </row>
    <row r="2109" spans="38:53" ht="15" customHeight="1" x14ac:dyDescent="0.25">
      <c r="AL2109" s="17"/>
      <c r="AM2109" s="12"/>
      <c r="AN2109" s="18"/>
      <c r="AO2109" s="18"/>
      <c r="AP2109" s="10"/>
      <c r="AQ2109" s="10"/>
      <c r="AR2109" s="19"/>
      <c r="AS2109" s="20"/>
      <c r="AT2109" s="19"/>
      <c r="AV2109" s="21">
        <f>IF(AND($AL2109&lt;&gt;"",COUNTIF($AL$11:$AL2109,$AL2109)=1),1,0)</f>
        <v>0</v>
      </c>
      <c r="AW2109" s="21">
        <f t="shared" si="151"/>
        <v>2</v>
      </c>
      <c r="AX2109" s="21" t="str">
        <f t="shared" si="150"/>
        <v/>
      </c>
      <c r="AY2109" s="21" t="str">
        <f>IF(AND($AM2109&lt;&gt;"",$AS2109&lt;&gt;"✓"),SUMPRODUCT(($AM$11:$AM2109&lt;&gt;"")*($AS$11:$AS2109&lt;&gt;"✓")),"")</f>
        <v/>
      </c>
      <c r="AZ2109" s="21" t="str">
        <f>IF(AND($AM2109&lt;&gt;"",$AS2109="✓"),SUMPRODUCT(($AM$11:$AM2109&lt;&gt;"")*($AS$11:$AS2109="✓")),"")</f>
        <v/>
      </c>
      <c r="BA2109" s="21" t="str">
        <f>IF($AL2109="","",$AL2109&amp;"|"&amp;COUNTIF($AL$11:$AL2109,$AL2109))</f>
        <v/>
      </c>
    </row>
    <row r="2110" spans="38:53" ht="15" customHeight="1" x14ac:dyDescent="0.25">
      <c r="AL2110" s="31"/>
      <c r="AM2110" s="26"/>
      <c r="AN2110" s="32"/>
      <c r="AO2110" s="32"/>
      <c r="AP2110" s="24"/>
      <c r="AQ2110" s="24"/>
      <c r="AR2110" s="33"/>
      <c r="AS2110" s="34"/>
      <c r="AT2110" s="33"/>
      <c r="AV2110" s="21">
        <f>IF(AND($AL2110&lt;&gt;"",COUNTIF($AL$11:$AL2110,$AL2110)=1),1,0)</f>
        <v>0</v>
      </c>
      <c r="AW2110" s="21">
        <f t="shared" si="151"/>
        <v>2</v>
      </c>
      <c r="AX2110" s="21" t="str">
        <f t="shared" si="150"/>
        <v/>
      </c>
      <c r="AY2110" s="21" t="str">
        <f>IF(AND($AM2110&lt;&gt;"",$AS2110&lt;&gt;"✓"),SUMPRODUCT(($AM$11:$AM2110&lt;&gt;"")*($AS$11:$AS2110&lt;&gt;"✓")),"")</f>
        <v/>
      </c>
      <c r="AZ2110" s="21" t="str">
        <f>IF(AND($AM2110&lt;&gt;"",$AS2110="✓"),SUMPRODUCT(($AM$11:$AM2110&lt;&gt;"")*($AS$11:$AS2110="✓")),"")</f>
        <v/>
      </c>
      <c r="BA2110" s="21" t="str">
        <f>IF($AL2110="","",$AL2110&amp;"|"&amp;COUNTIF($AL$11:$AL2110,$AL2110))</f>
        <v/>
      </c>
    </row>
    <row r="2111" spans="38:53" ht="15" customHeight="1" x14ac:dyDescent="0.25">
      <c r="AL2111" s="17"/>
      <c r="AM2111" s="12"/>
      <c r="AN2111" s="18"/>
      <c r="AO2111" s="18"/>
      <c r="AP2111" s="10"/>
      <c r="AQ2111" s="10"/>
      <c r="AR2111" s="19"/>
      <c r="AS2111" s="20"/>
      <c r="AT2111" s="19"/>
      <c r="AV2111" s="21">
        <f>IF(AND($AL2111&lt;&gt;"",COUNTIF($AL$11:$AL2111,$AL2111)=1),1,0)</f>
        <v>0</v>
      </c>
      <c r="AW2111" s="21">
        <f t="shared" si="151"/>
        <v>2</v>
      </c>
      <c r="AX2111" s="21" t="str">
        <f t="shared" si="150"/>
        <v/>
      </c>
      <c r="AY2111" s="21" t="str">
        <f>IF(AND($AM2111&lt;&gt;"",$AS2111&lt;&gt;"✓"),SUMPRODUCT(($AM$11:$AM2111&lt;&gt;"")*($AS$11:$AS2111&lt;&gt;"✓")),"")</f>
        <v/>
      </c>
      <c r="AZ2111" s="21" t="str">
        <f>IF(AND($AM2111&lt;&gt;"",$AS2111="✓"),SUMPRODUCT(($AM$11:$AM2111&lt;&gt;"")*($AS$11:$AS2111="✓")),"")</f>
        <v/>
      </c>
      <c r="BA2111" s="21" t="str">
        <f>IF($AL2111="","",$AL2111&amp;"|"&amp;COUNTIF($AL$11:$AL2111,$AL2111))</f>
        <v/>
      </c>
    </row>
    <row r="2112" spans="38:53" ht="15" customHeight="1" x14ac:dyDescent="0.25">
      <c r="AL2112" s="31"/>
      <c r="AM2112" s="26"/>
      <c r="AN2112" s="32"/>
      <c r="AO2112" s="32"/>
      <c r="AP2112" s="24"/>
      <c r="AQ2112" s="24"/>
      <c r="AR2112" s="33"/>
      <c r="AS2112" s="34"/>
      <c r="AT2112" s="33"/>
      <c r="AV2112" s="21">
        <f>IF(AND($AL2112&lt;&gt;"",COUNTIF($AL$11:$AL2112,$AL2112)=1),1,0)</f>
        <v>0</v>
      </c>
      <c r="AW2112" s="21">
        <f t="shared" si="151"/>
        <v>2</v>
      </c>
      <c r="AX2112" s="21" t="str">
        <f t="shared" si="150"/>
        <v/>
      </c>
      <c r="AY2112" s="21" t="str">
        <f>IF(AND($AM2112&lt;&gt;"",$AS2112&lt;&gt;"✓"),SUMPRODUCT(($AM$11:$AM2112&lt;&gt;"")*($AS$11:$AS2112&lt;&gt;"✓")),"")</f>
        <v/>
      </c>
      <c r="AZ2112" s="21" t="str">
        <f>IF(AND($AM2112&lt;&gt;"",$AS2112="✓"),SUMPRODUCT(($AM$11:$AM2112&lt;&gt;"")*($AS$11:$AS2112="✓")),"")</f>
        <v/>
      </c>
      <c r="BA2112" s="21" t="str">
        <f>IF($AL2112="","",$AL2112&amp;"|"&amp;COUNTIF($AL$11:$AL2112,$AL2112))</f>
        <v/>
      </c>
    </row>
    <row r="2113" spans="38:53" ht="15" customHeight="1" x14ac:dyDescent="0.25">
      <c r="AL2113" s="17"/>
      <c r="AM2113" s="12"/>
      <c r="AN2113" s="18"/>
      <c r="AO2113" s="18"/>
      <c r="AP2113" s="10"/>
      <c r="AQ2113" s="10"/>
      <c r="AR2113" s="19"/>
      <c r="AS2113" s="20"/>
      <c r="AT2113" s="19"/>
      <c r="AV2113" s="21">
        <f>IF(AND($AL2113&lt;&gt;"",COUNTIF($AL$11:$AL2113,$AL2113)=1),1,0)</f>
        <v>0</v>
      </c>
      <c r="AW2113" s="21">
        <f t="shared" si="151"/>
        <v>2</v>
      </c>
      <c r="AX2113" s="21" t="str">
        <f t="shared" si="150"/>
        <v/>
      </c>
      <c r="AY2113" s="21" t="str">
        <f>IF(AND($AM2113&lt;&gt;"",$AS2113&lt;&gt;"✓"),SUMPRODUCT(($AM$11:$AM2113&lt;&gt;"")*($AS$11:$AS2113&lt;&gt;"✓")),"")</f>
        <v/>
      </c>
      <c r="AZ2113" s="21" t="str">
        <f>IF(AND($AM2113&lt;&gt;"",$AS2113="✓"),SUMPRODUCT(($AM$11:$AM2113&lt;&gt;"")*($AS$11:$AS2113="✓")),"")</f>
        <v/>
      </c>
      <c r="BA2113" s="21" t="str">
        <f>IF($AL2113="","",$AL2113&amp;"|"&amp;COUNTIF($AL$11:$AL2113,$AL2113))</f>
        <v/>
      </c>
    </row>
    <row r="2114" spans="38:53" ht="15" customHeight="1" x14ac:dyDescent="0.25">
      <c r="AL2114" s="31"/>
      <c r="AM2114" s="26"/>
      <c r="AN2114" s="32"/>
      <c r="AO2114" s="32"/>
      <c r="AP2114" s="24"/>
      <c r="AQ2114" s="24"/>
      <c r="AR2114" s="33"/>
      <c r="AS2114" s="34"/>
      <c r="AT2114" s="33"/>
      <c r="AV2114" s="21">
        <f>IF(AND($AL2114&lt;&gt;"",COUNTIF($AL$11:$AL2114,$AL2114)=1),1,0)</f>
        <v>0</v>
      </c>
      <c r="AW2114" s="21">
        <f t="shared" si="151"/>
        <v>2</v>
      </c>
      <c r="AX2114" s="21" t="str">
        <f t="shared" si="150"/>
        <v/>
      </c>
      <c r="AY2114" s="21" t="str">
        <f>IF(AND($AM2114&lt;&gt;"",$AS2114&lt;&gt;"✓"),SUMPRODUCT(($AM$11:$AM2114&lt;&gt;"")*($AS$11:$AS2114&lt;&gt;"✓")),"")</f>
        <v/>
      </c>
      <c r="AZ2114" s="21" t="str">
        <f>IF(AND($AM2114&lt;&gt;"",$AS2114="✓"),SUMPRODUCT(($AM$11:$AM2114&lt;&gt;"")*($AS$11:$AS2114="✓")),"")</f>
        <v/>
      </c>
      <c r="BA2114" s="21" t="str">
        <f>IF($AL2114="","",$AL2114&amp;"|"&amp;COUNTIF($AL$11:$AL2114,$AL2114))</f>
        <v/>
      </c>
    </row>
    <row r="2115" spans="38:53" ht="15" customHeight="1" x14ac:dyDescent="0.25">
      <c r="AL2115" s="17"/>
      <c r="AM2115" s="12"/>
      <c r="AN2115" s="18"/>
      <c r="AO2115" s="18"/>
      <c r="AP2115" s="10"/>
      <c r="AQ2115" s="10"/>
      <c r="AR2115" s="19"/>
      <c r="AS2115" s="20"/>
      <c r="AT2115" s="19"/>
      <c r="AV2115" s="21">
        <f>IF(AND($AL2115&lt;&gt;"",COUNTIF($AL$11:$AL2115,$AL2115)=1),1,0)</f>
        <v>0</v>
      </c>
      <c r="AW2115" s="21">
        <f t="shared" si="151"/>
        <v>2</v>
      </c>
      <c r="AX2115" s="21" t="str">
        <f t="shared" si="150"/>
        <v/>
      </c>
      <c r="AY2115" s="21" t="str">
        <f>IF(AND($AM2115&lt;&gt;"",$AS2115&lt;&gt;"✓"),SUMPRODUCT(($AM$11:$AM2115&lt;&gt;"")*($AS$11:$AS2115&lt;&gt;"✓")),"")</f>
        <v/>
      </c>
      <c r="AZ2115" s="21" t="str">
        <f>IF(AND($AM2115&lt;&gt;"",$AS2115="✓"),SUMPRODUCT(($AM$11:$AM2115&lt;&gt;"")*($AS$11:$AS2115="✓")),"")</f>
        <v/>
      </c>
      <c r="BA2115" s="21" t="str">
        <f>IF($AL2115="","",$AL2115&amp;"|"&amp;COUNTIF($AL$11:$AL2115,$AL2115))</f>
        <v/>
      </c>
    </row>
    <row r="2116" spans="38:53" ht="15" customHeight="1" x14ac:dyDescent="0.25">
      <c r="AL2116" s="31"/>
      <c r="AM2116" s="26"/>
      <c r="AN2116" s="32"/>
      <c r="AO2116" s="32"/>
      <c r="AP2116" s="24"/>
      <c r="AQ2116" s="24"/>
      <c r="AR2116" s="33"/>
      <c r="AS2116" s="34"/>
      <c r="AT2116" s="33"/>
      <c r="AV2116" s="21">
        <f>IF(AND($AL2116&lt;&gt;"",COUNTIF($AL$11:$AL2116,$AL2116)=1),1,0)</f>
        <v>0</v>
      </c>
      <c r="AW2116" s="21">
        <f t="shared" si="151"/>
        <v>2</v>
      </c>
      <c r="AX2116" s="21" t="str">
        <f t="shared" si="150"/>
        <v/>
      </c>
      <c r="AY2116" s="21" t="str">
        <f>IF(AND($AM2116&lt;&gt;"",$AS2116&lt;&gt;"✓"),SUMPRODUCT(($AM$11:$AM2116&lt;&gt;"")*($AS$11:$AS2116&lt;&gt;"✓")),"")</f>
        <v/>
      </c>
      <c r="AZ2116" s="21" t="str">
        <f>IF(AND($AM2116&lt;&gt;"",$AS2116="✓"),SUMPRODUCT(($AM$11:$AM2116&lt;&gt;"")*($AS$11:$AS2116="✓")),"")</f>
        <v/>
      </c>
      <c r="BA2116" s="21" t="str">
        <f>IF($AL2116="","",$AL2116&amp;"|"&amp;COUNTIF($AL$11:$AL2116,$AL2116))</f>
        <v/>
      </c>
    </row>
    <row r="2117" spans="38:53" ht="15" customHeight="1" x14ac:dyDescent="0.25">
      <c r="AL2117" s="17"/>
      <c r="AM2117" s="12"/>
      <c r="AN2117" s="18"/>
      <c r="AO2117" s="18"/>
      <c r="AP2117" s="10"/>
      <c r="AQ2117" s="10"/>
      <c r="AR2117" s="19"/>
      <c r="AS2117" s="20"/>
      <c r="AT2117" s="19"/>
      <c r="AV2117" s="21">
        <f>IF(AND($AL2117&lt;&gt;"",COUNTIF($AL$11:$AL2117,$AL2117)=1),1,0)</f>
        <v>0</v>
      </c>
      <c r="AW2117" s="21">
        <f t="shared" si="151"/>
        <v>2</v>
      </c>
      <c r="AX2117" s="21" t="str">
        <f t="shared" si="150"/>
        <v/>
      </c>
      <c r="AY2117" s="21" t="str">
        <f>IF(AND($AM2117&lt;&gt;"",$AS2117&lt;&gt;"✓"),SUMPRODUCT(($AM$11:$AM2117&lt;&gt;"")*($AS$11:$AS2117&lt;&gt;"✓")),"")</f>
        <v/>
      </c>
      <c r="AZ2117" s="21" t="str">
        <f>IF(AND($AM2117&lt;&gt;"",$AS2117="✓"),SUMPRODUCT(($AM$11:$AM2117&lt;&gt;"")*($AS$11:$AS2117="✓")),"")</f>
        <v/>
      </c>
      <c r="BA2117" s="21" t="str">
        <f>IF($AL2117="","",$AL2117&amp;"|"&amp;COUNTIF($AL$11:$AL2117,$AL2117))</f>
        <v/>
      </c>
    </row>
    <row r="2118" spans="38:53" ht="15" customHeight="1" x14ac:dyDescent="0.25">
      <c r="AL2118" s="31"/>
      <c r="AM2118" s="26"/>
      <c r="AN2118" s="32"/>
      <c r="AO2118" s="32"/>
      <c r="AP2118" s="24"/>
      <c r="AQ2118" s="24"/>
      <c r="AR2118" s="33"/>
      <c r="AS2118" s="34"/>
      <c r="AT2118" s="33"/>
      <c r="AV2118" s="21">
        <f>IF(AND($AL2118&lt;&gt;"",COUNTIF($AL$11:$AL2118,$AL2118)=1),1,0)</f>
        <v>0</v>
      </c>
      <c r="AW2118" s="21">
        <f t="shared" si="151"/>
        <v>2</v>
      </c>
      <c r="AX2118" s="21" t="str">
        <f t="shared" si="150"/>
        <v/>
      </c>
      <c r="AY2118" s="21" t="str">
        <f>IF(AND($AM2118&lt;&gt;"",$AS2118&lt;&gt;"✓"),SUMPRODUCT(($AM$11:$AM2118&lt;&gt;"")*($AS$11:$AS2118&lt;&gt;"✓")),"")</f>
        <v/>
      </c>
      <c r="AZ2118" s="21" t="str">
        <f>IF(AND($AM2118&lt;&gt;"",$AS2118="✓"),SUMPRODUCT(($AM$11:$AM2118&lt;&gt;"")*($AS$11:$AS2118="✓")),"")</f>
        <v/>
      </c>
      <c r="BA2118" s="21" t="str">
        <f>IF($AL2118="","",$AL2118&amp;"|"&amp;COUNTIF($AL$11:$AL2118,$AL2118))</f>
        <v/>
      </c>
    </row>
    <row r="2119" spans="38:53" ht="15" customHeight="1" x14ac:dyDescent="0.25">
      <c r="AL2119" s="17"/>
      <c r="AM2119" s="12"/>
      <c r="AN2119" s="18"/>
      <c r="AO2119" s="18"/>
      <c r="AP2119" s="10"/>
      <c r="AQ2119" s="10"/>
      <c r="AR2119" s="19"/>
      <c r="AS2119" s="20"/>
      <c r="AT2119" s="19"/>
      <c r="AV2119" s="21">
        <f>IF(AND($AL2119&lt;&gt;"",COUNTIF($AL$11:$AL2119,$AL2119)=1),1,0)</f>
        <v>0</v>
      </c>
      <c r="AW2119" s="21">
        <f t="shared" si="151"/>
        <v>2</v>
      </c>
      <c r="AX2119" s="21" t="str">
        <f t="shared" si="150"/>
        <v/>
      </c>
      <c r="AY2119" s="21" t="str">
        <f>IF(AND($AM2119&lt;&gt;"",$AS2119&lt;&gt;"✓"),SUMPRODUCT(($AM$11:$AM2119&lt;&gt;"")*($AS$11:$AS2119&lt;&gt;"✓")),"")</f>
        <v/>
      </c>
      <c r="AZ2119" s="21" t="str">
        <f>IF(AND($AM2119&lt;&gt;"",$AS2119="✓"),SUMPRODUCT(($AM$11:$AM2119&lt;&gt;"")*($AS$11:$AS2119="✓")),"")</f>
        <v/>
      </c>
      <c r="BA2119" s="21" t="str">
        <f>IF($AL2119="","",$AL2119&amp;"|"&amp;COUNTIF($AL$11:$AL2119,$AL2119))</f>
        <v/>
      </c>
    </row>
    <row r="2120" spans="38:53" ht="15" customHeight="1" x14ac:dyDescent="0.25">
      <c r="AL2120" s="31"/>
      <c r="AM2120" s="26"/>
      <c r="AN2120" s="32"/>
      <c r="AO2120" s="32"/>
      <c r="AP2120" s="24"/>
      <c r="AQ2120" s="24"/>
      <c r="AR2120" s="33"/>
      <c r="AS2120" s="34"/>
      <c r="AT2120" s="33"/>
      <c r="AV2120" s="21">
        <f>IF(AND($AL2120&lt;&gt;"",COUNTIF($AL$11:$AL2120,$AL2120)=1),1,0)</f>
        <v>0</v>
      </c>
      <c r="AW2120" s="21">
        <f t="shared" si="151"/>
        <v>2</v>
      </c>
      <c r="AX2120" s="21" t="str">
        <f t="shared" si="150"/>
        <v/>
      </c>
      <c r="AY2120" s="21" t="str">
        <f>IF(AND($AM2120&lt;&gt;"",$AS2120&lt;&gt;"✓"),SUMPRODUCT(($AM$11:$AM2120&lt;&gt;"")*($AS$11:$AS2120&lt;&gt;"✓")),"")</f>
        <v/>
      </c>
      <c r="AZ2120" s="21" t="str">
        <f>IF(AND($AM2120&lt;&gt;"",$AS2120="✓"),SUMPRODUCT(($AM$11:$AM2120&lt;&gt;"")*($AS$11:$AS2120="✓")),"")</f>
        <v/>
      </c>
      <c r="BA2120" s="21" t="str">
        <f>IF($AL2120="","",$AL2120&amp;"|"&amp;COUNTIF($AL$11:$AL2120,$AL2120))</f>
        <v/>
      </c>
    </row>
    <row r="2121" spans="38:53" ht="15" customHeight="1" x14ac:dyDescent="0.25">
      <c r="AL2121" s="17"/>
      <c r="AM2121" s="12"/>
      <c r="AN2121" s="18"/>
      <c r="AO2121" s="18"/>
      <c r="AP2121" s="10"/>
      <c r="AQ2121" s="10"/>
      <c r="AR2121" s="19"/>
      <c r="AS2121" s="20"/>
      <c r="AT2121" s="19"/>
      <c r="AV2121" s="21">
        <f>IF(AND($AL2121&lt;&gt;"",COUNTIF($AL$11:$AL2121,$AL2121)=1),1,0)</f>
        <v>0</v>
      </c>
      <c r="AW2121" s="21">
        <f t="shared" si="151"/>
        <v>2</v>
      </c>
      <c r="AX2121" s="21" t="str">
        <f t="shared" si="150"/>
        <v/>
      </c>
      <c r="AY2121" s="21" t="str">
        <f>IF(AND($AM2121&lt;&gt;"",$AS2121&lt;&gt;"✓"),SUMPRODUCT(($AM$11:$AM2121&lt;&gt;"")*($AS$11:$AS2121&lt;&gt;"✓")),"")</f>
        <v/>
      </c>
      <c r="AZ2121" s="21" t="str">
        <f>IF(AND($AM2121&lt;&gt;"",$AS2121="✓"),SUMPRODUCT(($AM$11:$AM2121&lt;&gt;"")*($AS$11:$AS2121="✓")),"")</f>
        <v/>
      </c>
      <c r="BA2121" s="21" t="str">
        <f>IF($AL2121="","",$AL2121&amp;"|"&amp;COUNTIF($AL$11:$AL2121,$AL2121))</f>
        <v/>
      </c>
    </row>
    <row r="2122" spans="38:53" ht="15" customHeight="1" x14ac:dyDescent="0.25">
      <c r="AL2122" s="31"/>
      <c r="AM2122" s="26"/>
      <c r="AN2122" s="32"/>
      <c r="AO2122" s="32"/>
      <c r="AP2122" s="24"/>
      <c r="AQ2122" s="24"/>
      <c r="AR2122" s="33"/>
      <c r="AS2122" s="34"/>
      <c r="AT2122" s="33"/>
      <c r="AV2122" s="21">
        <f>IF(AND($AL2122&lt;&gt;"",COUNTIF($AL$11:$AL2122,$AL2122)=1),1,0)</f>
        <v>0</v>
      </c>
      <c r="AW2122" s="21">
        <f t="shared" si="151"/>
        <v>2</v>
      </c>
      <c r="AX2122" s="21" t="str">
        <f t="shared" si="150"/>
        <v/>
      </c>
      <c r="AY2122" s="21" t="str">
        <f>IF(AND($AM2122&lt;&gt;"",$AS2122&lt;&gt;"✓"),SUMPRODUCT(($AM$11:$AM2122&lt;&gt;"")*($AS$11:$AS2122&lt;&gt;"✓")),"")</f>
        <v/>
      </c>
      <c r="AZ2122" s="21" t="str">
        <f>IF(AND($AM2122&lt;&gt;"",$AS2122="✓"),SUMPRODUCT(($AM$11:$AM2122&lt;&gt;"")*($AS$11:$AS2122="✓")),"")</f>
        <v/>
      </c>
      <c r="BA2122" s="21" t="str">
        <f>IF($AL2122="","",$AL2122&amp;"|"&amp;COUNTIF($AL$11:$AL2122,$AL2122))</f>
        <v/>
      </c>
    </row>
    <row r="2123" spans="38:53" ht="15" customHeight="1" x14ac:dyDescent="0.25">
      <c r="AL2123" s="17"/>
      <c r="AM2123" s="12"/>
      <c r="AN2123" s="18"/>
      <c r="AO2123" s="18"/>
      <c r="AP2123" s="10"/>
      <c r="AQ2123" s="10"/>
      <c r="AR2123" s="19"/>
      <c r="AS2123" s="20"/>
      <c r="AT2123" s="19"/>
      <c r="AV2123" s="21">
        <f>IF(AND($AL2123&lt;&gt;"",COUNTIF($AL$11:$AL2123,$AL2123)=1),1,0)</f>
        <v>0</v>
      </c>
      <c r="AW2123" s="21">
        <f t="shared" si="151"/>
        <v>2</v>
      </c>
      <c r="AX2123" s="21" t="str">
        <f t="shared" ref="AX2123:AX2186" si="152">IF(AV2123=1,AW2123,"")</f>
        <v/>
      </c>
      <c r="AY2123" s="21" t="str">
        <f>IF(AND($AM2123&lt;&gt;"",$AS2123&lt;&gt;"✓"),SUMPRODUCT(($AM$11:$AM2123&lt;&gt;"")*($AS$11:$AS2123&lt;&gt;"✓")),"")</f>
        <v/>
      </c>
      <c r="AZ2123" s="21" t="str">
        <f>IF(AND($AM2123&lt;&gt;"",$AS2123="✓"),SUMPRODUCT(($AM$11:$AM2123&lt;&gt;"")*($AS$11:$AS2123="✓")),"")</f>
        <v/>
      </c>
      <c r="BA2123" s="21" t="str">
        <f>IF($AL2123="","",$AL2123&amp;"|"&amp;COUNTIF($AL$11:$AL2123,$AL2123))</f>
        <v/>
      </c>
    </row>
    <row r="2124" spans="38:53" ht="15" customHeight="1" x14ac:dyDescent="0.25">
      <c r="AL2124" s="31"/>
      <c r="AM2124" s="26"/>
      <c r="AN2124" s="32"/>
      <c r="AO2124" s="32"/>
      <c r="AP2124" s="24"/>
      <c r="AQ2124" s="24"/>
      <c r="AR2124" s="33"/>
      <c r="AS2124" s="34"/>
      <c r="AT2124" s="33"/>
      <c r="AV2124" s="21">
        <f>IF(AND($AL2124&lt;&gt;"",COUNTIF($AL$11:$AL2124,$AL2124)=1),1,0)</f>
        <v>0</v>
      </c>
      <c r="AW2124" s="21">
        <f t="shared" ref="AW2124:AW2187" si="153">AW2123+AV2124</f>
        <v>2</v>
      </c>
      <c r="AX2124" s="21" t="str">
        <f t="shared" si="152"/>
        <v/>
      </c>
      <c r="AY2124" s="21" t="str">
        <f>IF(AND($AM2124&lt;&gt;"",$AS2124&lt;&gt;"✓"),SUMPRODUCT(($AM$11:$AM2124&lt;&gt;"")*($AS$11:$AS2124&lt;&gt;"✓")),"")</f>
        <v/>
      </c>
      <c r="AZ2124" s="21" t="str">
        <f>IF(AND($AM2124&lt;&gt;"",$AS2124="✓"),SUMPRODUCT(($AM$11:$AM2124&lt;&gt;"")*($AS$11:$AS2124="✓")),"")</f>
        <v/>
      </c>
      <c r="BA2124" s="21" t="str">
        <f>IF($AL2124="","",$AL2124&amp;"|"&amp;COUNTIF($AL$11:$AL2124,$AL2124))</f>
        <v/>
      </c>
    </row>
    <row r="2125" spans="38:53" ht="15" customHeight="1" x14ac:dyDescent="0.25">
      <c r="AL2125" s="17"/>
      <c r="AM2125" s="12"/>
      <c r="AN2125" s="18"/>
      <c r="AO2125" s="18"/>
      <c r="AP2125" s="10"/>
      <c r="AQ2125" s="10"/>
      <c r="AR2125" s="19"/>
      <c r="AS2125" s="20"/>
      <c r="AT2125" s="19"/>
      <c r="AV2125" s="21">
        <f>IF(AND($AL2125&lt;&gt;"",COUNTIF($AL$11:$AL2125,$AL2125)=1),1,0)</f>
        <v>0</v>
      </c>
      <c r="AW2125" s="21">
        <f t="shared" si="153"/>
        <v>2</v>
      </c>
      <c r="AX2125" s="21" t="str">
        <f t="shared" si="152"/>
        <v/>
      </c>
      <c r="AY2125" s="21" t="str">
        <f>IF(AND($AM2125&lt;&gt;"",$AS2125&lt;&gt;"✓"),SUMPRODUCT(($AM$11:$AM2125&lt;&gt;"")*($AS$11:$AS2125&lt;&gt;"✓")),"")</f>
        <v/>
      </c>
      <c r="AZ2125" s="21" t="str">
        <f>IF(AND($AM2125&lt;&gt;"",$AS2125="✓"),SUMPRODUCT(($AM$11:$AM2125&lt;&gt;"")*($AS$11:$AS2125="✓")),"")</f>
        <v/>
      </c>
      <c r="BA2125" s="21" t="str">
        <f>IF($AL2125="","",$AL2125&amp;"|"&amp;COUNTIF($AL$11:$AL2125,$AL2125))</f>
        <v/>
      </c>
    </row>
    <row r="2126" spans="38:53" ht="15" customHeight="1" x14ac:dyDescent="0.25">
      <c r="AL2126" s="31"/>
      <c r="AM2126" s="26"/>
      <c r="AN2126" s="32"/>
      <c r="AO2126" s="32"/>
      <c r="AP2126" s="24"/>
      <c r="AQ2126" s="24"/>
      <c r="AR2126" s="33"/>
      <c r="AS2126" s="34"/>
      <c r="AT2126" s="33"/>
      <c r="AV2126" s="21">
        <f>IF(AND($AL2126&lt;&gt;"",COUNTIF($AL$11:$AL2126,$AL2126)=1),1,0)</f>
        <v>0</v>
      </c>
      <c r="AW2126" s="21">
        <f t="shared" si="153"/>
        <v>2</v>
      </c>
      <c r="AX2126" s="21" t="str">
        <f t="shared" si="152"/>
        <v/>
      </c>
      <c r="AY2126" s="21" t="str">
        <f>IF(AND($AM2126&lt;&gt;"",$AS2126&lt;&gt;"✓"),SUMPRODUCT(($AM$11:$AM2126&lt;&gt;"")*($AS$11:$AS2126&lt;&gt;"✓")),"")</f>
        <v/>
      </c>
      <c r="AZ2126" s="21" t="str">
        <f>IF(AND($AM2126&lt;&gt;"",$AS2126="✓"),SUMPRODUCT(($AM$11:$AM2126&lt;&gt;"")*($AS$11:$AS2126="✓")),"")</f>
        <v/>
      </c>
      <c r="BA2126" s="21" t="str">
        <f>IF($AL2126="","",$AL2126&amp;"|"&amp;COUNTIF($AL$11:$AL2126,$AL2126))</f>
        <v/>
      </c>
    </row>
    <row r="2127" spans="38:53" ht="15" customHeight="1" x14ac:dyDescent="0.25">
      <c r="AL2127" s="17"/>
      <c r="AM2127" s="12"/>
      <c r="AN2127" s="18"/>
      <c r="AO2127" s="18"/>
      <c r="AP2127" s="10"/>
      <c r="AQ2127" s="10"/>
      <c r="AR2127" s="19"/>
      <c r="AS2127" s="20"/>
      <c r="AT2127" s="19"/>
      <c r="AV2127" s="21">
        <f>IF(AND($AL2127&lt;&gt;"",COUNTIF($AL$11:$AL2127,$AL2127)=1),1,0)</f>
        <v>0</v>
      </c>
      <c r="AW2127" s="21">
        <f t="shared" si="153"/>
        <v>2</v>
      </c>
      <c r="AX2127" s="21" t="str">
        <f t="shared" si="152"/>
        <v/>
      </c>
      <c r="AY2127" s="21" t="str">
        <f>IF(AND($AM2127&lt;&gt;"",$AS2127&lt;&gt;"✓"),SUMPRODUCT(($AM$11:$AM2127&lt;&gt;"")*($AS$11:$AS2127&lt;&gt;"✓")),"")</f>
        <v/>
      </c>
      <c r="AZ2127" s="21" t="str">
        <f>IF(AND($AM2127&lt;&gt;"",$AS2127="✓"),SUMPRODUCT(($AM$11:$AM2127&lt;&gt;"")*($AS$11:$AS2127="✓")),"")</f>
        <v/>
      </c>
      <c r="BA2127" s="21" t="str">
        <f>IF($AL2127="","",$AL2127&amp;"|"&amp;COUNTIF($AL$11:$AL2127,$AL2127))</f>
        <v/>
      </c>
    </row>
    <row r="2128" spans="38:53" ht="15" customHeight="1" x14ac:dyDescent="0.25">
      <c r="AL2128" s="31"/>
      <c r="AM2128" s="26"/>
      <c r="AN2128" s="32"/>
      <c r="AO2128" s="32"/>
      <c r="AP2128" s="24"/>
      <c r="AQ2128" s="24"/>
      <c r="AR2128" s="33"/>
      <c r="AS2128" s="34"/>
      <c r="AT2128" s="33"/>
      <c r="AV2128" s="21">
        <f>IF(AND($AL2128&lt;&gt;"",COUNTIF($AL$11:$AL2128,$AL2128)=1),1,0)</f>
        <v>0</v>
      </c>
      <c r="AW2128" s="21">
        <f t="shared" si="153"/>
        <v>2</v>
      </c>
      <c r="AX2128" s="21" t="str">
        <f t="shared" si="152"/>
        <v/>
      </c>
      <c r="AY2128" s="21" t="str">
        <f>IF(AND($AM2128&lt;&gt;"",$AS2128&lt;&gt;"✓"),SUMPRODUCT(($AM$11:$AM2128&lt;&gt;"")*($AS$11:$AS2128&lt;&gt;"✓")),"")</f>
        <v/>
      </c>
      <c r="AZ2128" s="21" t="str">
        <f>IF(AND($AM2128&lt;&gt;"",$AS2128="✓"),SUMPRODUCT(($AM$11:$AM2128&lt;&gt;"")*($AS$11:$AS2128="✓")),"")</f>
        <v/>
      </c>
      <c r="BA2128" s="21" t="str">
        <f>IF($AL2128="","",$AL2128&amp;"|"&amp;COUNTIF($AL$11:$AL2128,$AL2128))</f>
        <v/>
      </c>
    </row>
    <row r="2129" spans="38:53" ht="15" customHeight="1" x14ac:dyDescent="0.25">
      <c r="AL2129" s="17"/>
      <c r="AM2129" s="12"/>
      <c r="AN2129" s="18"/>
      <c r="AO2129" s="18"/>
      <c r="AP2129" s="10"/>
      <c r="AQ2129" s="10"/>
      <c r="AR2129" s="19"/>
      <c r="AS2129" s="20"/>
      <c r="AT2129" s="19"/>
      <c r="AV2129" s="21">
        <f>IF(AND($AL2129&lt;&gt;"",COUNTIF($AL$11:$AL2129,$AL2129)=1),1,0)</f>
        <v>0</v>
      </c>
      <c r="AW2129" s="21">
        <f t="shared" si="153"/>
        <v>2</v>
      </c>
      <c r="AX2129" s="21" t="str">
        <f t="shared" si="152"/>
        <v/>
      </c>
      <c r="AY2129" s="21" t="str">
        <f>IF(AND($AM2129&lt;&gt;"",$AS2129&lt;&gt;"✓"),SUMPRODUCT(($AM$11:$AM2129&lt;&gt;"")*($AS$11:$AS2129&lt;&gt;"✓")),"")</f>
        <v/>
      </c>
      <c r="AZ2129" s="21" t="str">
        <f>IF(AND($AM2129&lt;&gt;"",$AS2129="✓"),SUMPRODUCT(($AM$11:$AM2129&lt;&gt;"")*($AS$11:$AS2129="✓")),"")</f>
        <v/>
      </c>
      <c r="BA2129" s="21" t="str">
        <f>IF($AL2129="","",$AL2129&amp;"|"&amp;COUNTIF($AL$11:$AL2129,$AL2129))</f>
        <v/>
      </c>
    </row>
    <row r="2130" spans="38:53" ht="15" customHeight="1" x14ac:dyDescent="0.25">
      <c r="AL2130" s="31"/>
      <c r="AM2130" s="26"/>
      <c r="AN2130" s="32"/>
      <c r="AO2130" s="32"/>
      <c r="AP2130" s="24"/>
      <c r="AQ2130" s="24"/>
      <c r="AR2130" s="33"/>
      <c r="AS2130" s="34"/>
      <c r="AT2130" s="33"/>
      <c r="AV2130" s="21">
        <f>IF(AND($AL2130&lt;&gt;"",COUNTIF($AL$11:$AL2130,$AL2130)=1),1,0)</f>
        <v>0</v>
      </c>
      <c r="AW2130" s="21">
        <f t="shared" si="153"/>
        <v>2</v>
      </c>
      <c r="AX2130" s="21" t="str">
        <f t="shared" si="152"/>
        <v/>
      </c>
      <c r="AY2130" s="21" t="str">
        <f>IF(AND($AM2130&lt;&gt;"",$AS2130&lt;&gt;"✓"),SUMPRODUCT(($AM$11:$AM2130&lt;&gt;"")*($AS$11:$AS2130&lt;&gt;"✓")),"")</f>
        <v/>
      </c>
      <c r="AZ2130" s="21" t="str">
        <f>IF(AND($AM2130&lt;&gt;"",$AS2130="✓"),SUMPRODUCT(($AM$11:$AM2130&lt;&gt;"")*($AS$11:$AS2130="✓")),"")</f>
        <v/>
      </c>
      <c r="BA2130" s="21" t="str">
        <f>IF($AL2130="","",$AL2130&amp;"|"&amp;COUNTIF($AL$11:$AL2130,$AL2130))</f>
        <v/>
      </c>
    </row>
    <row r="2131" spans="38:53" ht="15" customHeight="1" x14ac:dyDescent="0.25">
      <c r="AL2131" s="17"/>
      <c r="AM2131" s="12"/>
      <c r="AN2131" s="18"/>
      <c r="AO2131" s="18"/>
      <c r="AP2131" s="10"/>
      <c r="AQ2131" s="10"/>
      <c r="AR2131" s="19"/>
      <c r="AS2131" s="20"/>
      <c r="AT2131" s="19"/>
      <c r="AV2131" s="21">
        <f>IF(AND($AL2131&lt;&gt;"",COUNTIF($AL$11:$AL2131,$AL2131)=1),1,0)</f>
        <v>0</v>
      </c>
      <c r="AW2131" s="21">
        <f t="shared" si="153"/>
        <v>2</v>
      </c>
      <c r="AX2131" s="21" t="str">
        <f t="shared" si="152"/>
        <v/>
      </c>
      <c r="AY2131" s="21" t="str">
        <f>IF(AND($AM2131&lt;&gt;"",$AS2131&lt;&gt;"✓"),SUMPRODUCT(($AM$11:$AM2131&lt;&gt;"")*($AS$11:$AS2131&lt;&gt;"✓")),"")</f>
        <v/>
      </c>
      <c r="AZ2131" s="21" t="str">
        <f>IF(AND($AM2131&lt;&gt;"",$AS2131="✓"),SUMPRODUCT(($AM$11:$AM2131&lt;&gt;"")*($AS$11:$AS2131="✓")),"")</f>
        <v/>
      </c>
      <c r="BA2131" s="21" t="str">
        <f>IF($AL2131="","",$AL2131&amp;"|"&amp;COUNTIF($AL$11:$AL2131,$AL2131))</f>
        <v/>
      </c>
    </row>
    <row r="2132" spans="38:53" ht="15" customHeight="1" x14ac:dyDescent="0.25">
      <c r="AL2132" s="31"/>
      <c r="AM2132" s="26"/>
      <c r="AN2132" s="32"/>
      <c r="AO2132" s="32"/>
      <c r="AP2132" s="24"/>
      <c r="AQ2132" s="24"/>
      <c r="AR2132" s="33"/>
      <c r="AS2132" s="34"/>
      <c r="AT2132" s="33"/>
      <c r="AV2132" s="21">
        <f>IF(AND($AL2132&lt;&gt;"",COUNTIF($AL$11:$AL2132,$AL2132)=1),1,0)</f>
        <v>0</v>
      </c>
      <c r="AW2132" s="21">
        <f t="shared" si="153"/>
        <v>2</v>
      </c>
      <c r="AX2132" s="21" t="str">
        <f t="shared" si="152"/>
        <v/>
      </c>
      <c r="AY2132" s="21" t="str">
        <f>IF(AND($AM2132&lt;&gt;"",$AS2132&lt;&gt;"✓"),SUMPRODUCT(($AM$11:$AM2132&lt;&gt;"")*($AS$11:$AS2132&lt;&gt;"✓")),"")</f>
        <v/>
      </c>
      <c r="AZ2132" s="21" t="str">
        <f>IF(AND($AM2132&lt;&gt;"",$AS2132="✓"),SUMPRODUCT(($AM$11:$AM2132&lt;&gt;"")*($AS$11:$AS2132="✓")),"")</f>
        <v/>
      </c>
      <c r="BA2132" s="21" t="str">
        <f>IF($AL2132="","",$AL2132&amp;"|"&amp;COUNTIF($AL$11:$AL2132,$AL2132))</f>
        <v/>
      </c>
    </row>
    <row r="2133" spans="38:53" ht="15" customHeight="1" x14ac:dyDescent="0.25">
      <c r="AL2133" s="17"/>
      <c r="AM2133" s="12"/>
      <c r="AN2133" s="18"/>
      <c r="AO2133" s="18"/>
      <c r="AP2133" s="10"/>
      <c r="AQ2133" s="10"/>
      <c r="AR2133" s="19"/>
      <c r="AS2133" s="20"/>
      <c r="AT2133" s="19"/>
      <c r="AV2133" s="21">
        <f>IF(AND($AL2133&lt;&gt;"",COUNTIF($AL$11:$AL2133,$AL2133)=1),1,0)</f>
        <v>0</v>
      </c>
      <c r="AW2133" s="21">
        <f t="shared" si="153"/>
        <v>2</v>
      </c>
      <c r="AX2133" s="21" t="str">
        <f t="shared" si="152"/>
        <v/>
      </c>
      <c r="AY2133" s="21" t="str">
        <f>IF(AND($AM2133&lt;&gt;"",$AS2133&lt;&gt;"✓"),SUMPRODUCT(($AM$11:$AM2133&lt;&gt;"")*($AS$11:$AS2133&lt;&gt;"✓")),"")</f>
        <v/>
      </c>
      <c r="AZ2133" s="21" t="str">
        <f>IF(AND($AM2133&lt;&gt;"",$AS2133="✓"),SUMPRODUCT(($AM$11:$AM2133&lt;&gt;"")*($AS$11:$AS2133="✓")),"")</f>
        <v/>
      </c>
      <c r="BA2133" s="21" t="str">
        <f>IF($AL2133="","",$AL2133&amp;"|"&amp;COUNTIF($AL$11:$AL2133,$AL2133))</f>
        <v/>
      </c>
    </row>
    <row r="2134" spans="38:53" ht="15" customHeight="1" x14ac:dyDescent="0.25">
      <c r="AL2134" s="31"/>
      <c r="AM2134" s="26"/>
      <c r="AN2134" s="32"/>
      <c r="AO2134" s="32"/>
      <c r="AP2134" s="24"/>
      <c r="AQ2134" s="24"/>
      <c r="AR2134" s="33"/>
      <c r="AS2134" s="34"/>
      <c r="AT2134" s="33"/>
      <c r="AV2134" s="21">
        <f>IF(AND($AL2134&lt;&gt;"",COUNTIF($AL$11:$AL2134,$AL2134)=1),1,0)</f>
        <v>0</v>
      </c>
      <c r="AW2134" s="21">
        <f t="shared" si="153"/>
        <v>2</v>
      </c>
      <c r="AX2134" s="21" t="str">
        <f t="shared" si="152"/>
        <v/>
      </c>
      <c r="AY2134" s="21" t="str">
        <f>IF(AND($AM2134&lt;&gt;"",$AS2134&lt;&gt;"✓"),SUMPRODUCT(($AM$11:$AM2134&lt;&gt;"")*($AS$11:$AS2134&lt;&gt;"✓")),"")</f>
        <v/>
      </c>
      <c r="AZ2134" s="21" t="str">
        <f>IF(AND($AM2134&lt;&gt;"",$AS2134="✓"),SUMPRODUCT(($AM$11:$AM2134&lt;&gt;"")*($AS$11:$AS2134="✓")),"")</f>
        <v/>
      </c>
      <c r="BA2134" s="21" t="str">
        <f>IF($AL2134="","",$AL2134&amp;"|"&amp;COUNTIF($AL$11:$AL2134,$AL2134))</f>
        <v/>
      </c>
    </row>
    <row r="2135" spans="38:53" ht="15" customHeight="1" x14ac:dyDescent="0.25">
      <c r="AL2135" s="17"/>
      <c r="AM2135" s="12"/>
      <c r="AN2135" s="18"/>
      <c r="AO2135" s="18"/>
      <c r="AP2135" s="10"/>
      <c r="AQ2135" s="10"/>
      <c r="AR2135" s="19"/>
      <c r="AS2135" s="20"/>
      <c r="AT2135" s="19"/>
      <c r="AV2135" s="21">
        <f>IF(AND($AL2135&lt;&gt;"",COUNTIF($AL$11:$AL2135,$AL2135)=1),1,0)</f>
        <v>0</v>
      </c>
      <c r="AW2135" s="21">
        <f t="shared" si="153"/>
        <v>2</v>
      </c>
      <c r="AX2135" s="21" t="str">
        <f t="shared" si="152"/>
        <v/>
      </c>
      <c r="AY2135" s="21" t="str">
        <f>IF(AND($AM2135&lt;&gt;"",$AS2135&lt;&gt;"✓"),SUMPRODUCT(($AM$11:$AM2135&lt;&gt;"")*($AS$11:$AS2135&lt;&gt;"✓")),"")</f>
        <v/>
      </c>
      <c r="AZ2135" s="21" t="str">
        <f>IF(AND($AM2135&lt;&gt;"",$AS2135="✓"),SUMPRODUCT(($AM$11:$AM2135&lt;&gt;"")*($AS$11:$AS2135="✓")),"")</f>
        <v/>
      </c>
      <c r="BA2135" s="21" t="str">
        <f>IF($AL2135="","",$AL2135&amp;"|"&amp;COUNTIF($AL$11:$AL2135,$AL2135))</f>
        <v/>
      </c>
    </row>
    <row r="2136" spans="38:53" ht="15" customHeight="1" x14ac:dyDescent="0.25">
      <c r="AL2136" s="31"/>
      <c r="AM2136" s="26"/>
      <c r="AN2136" s="32"/>
      <c r="AO2136" s="32"/>
      <c r="AP2136" s="24"/>
      <c r="AQ2136" s="24"/>
      <c r="AR2136" s="33"/>
      <c r="AS2136" s="34"/>
      <c r="AT2136" s="33"/>
      <c r="AV2136" s="21">
        <f>IF(AND($AL2136&lt;&gt;"",COUNTIF($AL$11:$AL2136,$AL2136)=1),1,0)</f>
        <v>0</v>
      </c>
      <c r="AW2136" s="21">
        <f t="shared" si="153"/>
        <v>2</v>
      </c>
      <c r="AX2136" s="21" t="str">
        <f t="shared" si="152"/>
        <v/>
      </c>
      <c r="AY2136" s="21" t="str">
        <f>IF(AND($AM2136&lt;&gt;"",$AS2136&lt;&gt;"✓"),SUMPRODUCT(($AM$11:$AM2136&lt;&gt;"")*($AS$11:$AS2136&lt;&gt;"✓")),"")</f>
        <v/>
      </c>
      <c r="AZ2136" s="21" t="str">
        <f>IF(AND($AM2136&lt;&gt;"",$AS2136="✓"),SUMPRODUCT(($AM$11:$AM2136&lt;&gt;"")*($AS$11:$AS2136="✓")),"")</f>
        <v/>
      </c>
      <c r="BA2136" s="21" t="str">
        <f>IF($AL2136="","",$AL2136&amp;"|"&amp;COUNTIF($AL$11:$AL2136,$AL2136))</f>
        <v/>
      </c>
    </row>
    <row r="2137" spans="38:53" ht="15" customHeight="1" x14ac:dyDescent="0.25">
      <c r="AL2137" s="17"/>
      <c r="AM2137" s="12"/>
      <c r="AN2137" s="18"/>
      <c r="AO2137" s="18"/>
      <c r="AP2137" s="10"/>
      <c r="AQ2137" s="10"/>
      <c r="AR2137" s="19"/>
      <c r="AS2137" s="20"/>
      <c r="AT2137" s="19"/>
      <c r="AV2137" s="21">
        <f>IF(AND($AL2137&lt;&gt;"",COUNTIF($AL$11:$AL2137,$AL2137)=1),1,0)</f>
        <v>0</v>
      </c>
      <c r="AW2137" s="21">
        <f t="shared" si="153"/>
        <v>2</v>
      </c>
      <c r="AX2137" s="21" t="str">
        <f t="shared" si="152"/>
        <v/>
      </c>
      <c r="AY2137" s="21" t="str">
        <f>IF(AND($AM2137&lt;&gt;"",$AS2137&lt;&gt;"✓"),SUMPRODUCT(($AM$11:$AM2137&lt;&gt;"")*($AS$11:$AS2137&lt;&gt;"✓")),"")</f>
        <v/>
      </c>
      <c r="AZ2137" s="21" t="str">
        <f>IF(AND($AM2137&lt;&gt;"",$AS2137="✓"),SUMPRODUCT(($AM$11:$AM2137&lt;&gt;"")*($AS$11:$AS2137="✓")),"")</f>
        <v/>
      </c>
      <c r="BA2137" s="21" t="str">
        <f>IF($AL2137="","",$AL2137&amp;"|"&amp;COUNTIF($AL$11:$AL2137,$AL2137))</f>
        <v/>
      </c>
    </row>
    <row r="2138" spans="38:53" ht="15" customHeight="1" x14ac:dyDescent="0.25">
      <c r="AL2138" s="31"/>
      <c r="AM2138" s="26"/>
      <c r="AN2138" s="32"/>
      <c r="AO2138" s="32"/>
      <c r="AP2138" s="24"/>
      <c r="AQ2138" s="24"/>
      <c r="AR2138" s="33"/>
      <c r="AS2138" s="34"/>
      <c r="AT2138" s="33"/>
      <c r="AV2138" s="21">
        <f>IF(AND($AL2138&lt;&gt;"",COUNTIF($AL$11:$AL2138,$AL2138)=1),1,0)</f>
        <v>0</v>
      </c>
      <c r="AW2138" s="21">
        <f t="shared" si="153"/>
        <v>2</v>
      </c>
      <c r="AX2138" s="21" t="str">
        <f t="shared" si="152"/>
        <v/>
      </c>
      <c r="AY2138" s="21" t="str">
        <f>IF(AND($AM2138&lt;&gt;"",$AS2138&lt;&gt;"✓"),SUMPRODUCT(($AM$11:$AM2138&lt;&gt;"")*($AS$11:$AS2138&lt;&gt;"✓")),"")</f>
        <v/>
      </c>
      <c r="AZ2138" s="21" t="str">
        <f>IF(AND($AM2138&lt;&gt;"",$AS2138="✓"),SUMPRODUCT(($AM$11:$AM2138&lt;&gt;"")*($AS$11:$AS2138="✓")),"")</f>
        <v/>
      </c>
      <c r="BA2138" s="21" t="str">
        <f>IF($AL2138="","",$AL2138&amp;"|"&amp;COUNTIF($AL$11:$AL2138,$AL2138))</f>
        <v/>
      </c>
    </row>
    <row r="2139" spans="38:53" ht="15" customHeight="1" x14ac:dyDescent="0.25">
      <c r="AL2139" s="17"/>
      <c r="AM2139" s="12"/>
      <c r="AN2139" s="18"/>
      <c r="AO2139" s="18"/>
      <c r="AP2139" s="10"/>
      <c r="AQ2139" s="10"/>
      <c r="AR2139" s="19"/>
      <c r="AS2139" s="20"/>
      <c r="AT2139" s="19"/>
      <c r="AV2139" s="21">
        <f>IF(AND($AL2139&lt;&gt;"",COUNTIF($AL$11:$AL2139,$AL2139)=1),1,0)</f>
        <v>0</v>
      </c>
      <c r="AW2139" s="21">
        <f t="shared" si="153"/>
        <v>2</v>
      </c>
      <c r="AX2139" s="21" t="str">
        <f t="shared" si="152"/>
        <v/>
      </c>
      <c r="AY2139" s="21" t="str">
        <f>IF(AND($AM2139&lt;&gt;"",$AS2139&lt;&gt;"✓"),SUMPRODUCT(($AM$11:$AM2139&lt;&gt;"")*($AS$11:$AS2139&lt;&gt;"✓")),"")</f>
        <v/>
      </c>
      <c r="AZ2139" s="21" t="str">
        <f>IF(AND($AM2139&lt;&gt;"",$AS2139="✓"),SUMPRODUCT(($AM$11:$AM2139&lt;&gt;"")*($AS$11:$AS2139="✓")),"")</f>
        <v/>
      </c>
      <c r="BA2139" s="21" t="str">
        <f>IF($AL2139="","",$AL2139&amp;"|"&amp;COUNTIF($AL$11:$AL2139,$AL2139))</f>
        <v/>
      </c>
    </row>
    <row r="2140" spans="38:53" ht="15" customHeight="1" x14ac:dyDescent="0.25">
      <c r="AL2140" s="31"/>
      <c r="AM2140" s="26"/>
      <c r="AN2140" s="32"/>
      <c r="AO2140" s="32"/>
      <c r="AP2140" s="24"/>
      <c r="AQ2140" s="24"/>
      <c r="AR2140" s="33"/>
      <c r="AS2140" s="34"/>
      <c r="AT2140" s="33"/>
      <c r="AV2140" s="21">
        <f>IF(AND($AL2140&lt;&gt;"",COUNTIF($AL$11:$AL2140,$AL2140)=1),1,0)</f>
        <v>0</v>
      </c>
      <c r="AW2140" s="21">
        <f t="shared" si="153"/>
        <v>2</v>
      </c>
      <c r="AX2140" s="21" t="str">
        <f t="shared" si="152"/>
        <v/>
      </c>
      <c r="AY2140" s="21" t="str">
        <f>IF(AND($AM2140&lt;&gt;"",$AS2140&lt;&gt;"✓"),SUMPRODUCT(($AM$11:$AM2140&lt;&gt;"")*($AS$11:$AS2140&lt;&gt;"✓")),"")</f>
        <v/>
      </c>
      <c r="AZ2140" s="21" t="str">
        <f>IF(AND($AM2140&lt;&gt;"",$AS2140="✓"),SUMPRODUCT(($AM$11:$AM2140&lt;&gt;"")*($AS$11:$AS2140="✓")),"")</f>
        <v/>
      </c>
      <c r="BA2140" s="21" t="str">
        <f>IF($AL2140="","",$AL2140&amp;"|"&amp;COUNTIF($AL$11:$AL2140,$AL2140))</f>
        <v/>
      </c>
    </row>
    <row r="2141" spans="38:53" ht="15" customHeight="1" x14ac:dyDescent="0.25">
      <c r="AL2141" s="17"/>
      <c r="AM2141" s="12"/>
      <c r="AN2141" s="18"/>
      <c r="AO2141" s="18"/>
      <c r="AP2141" s="10"/>
      <c r="AQ2141" s="10"/>
      <c r="AR2141" s="19"/>
      <c r="AS2141" s="20"/>
      <c r="AT2141" s="19"/>
      <c r="AV2141" s="21">
        <f>IF(AND($AL2141&lt;&gt;"",COUNTIF($AL$11:$AL2141,$AL2141)=1),1,0)</f>
        <v>0</v>
      </c>
      <c r="AW2141" s="21">
        <f t="shared" si="153"/>
        <v>2</v>
      </c>
      <c r="AX2141" s="21" t="str">
        <f t="shared" si="152"/>
        <v/>
      </c>
      <c r="AY2141" s="21" t="str">
        <f>IF(AND($AM2141&lt;&gt;"",$AS2141&lt;&gt;"✓"),SUMPRODUCT(($AM$11:$AM2141&lt;&gt;"")*($AS$11:$AS2141&lt;&gt;"✓")),"")</f>
        <v/>
      </c>
      <c r="AZ2141" s="21" t="str">
        <f>IF(AND($AM2141&lt;&gt;"",$AS2141="✓"),SUMPRODUCT(($AM$11:$AM2141&lt;&gt;"")*($AS$11:$AS2141="✓")),"")</f>
        <v/>
      </c>
      <c r="BA2141" s="21" t="str">
        <f>IF($AL2141="","",$AL2141&amp;"|"&amp;COUNTIF($AL$11:$AL2141,$AL2141))</f>
        <v/>
      </c>
    </row>
    <row r="2142" spans="38:53" ht="15" customHeight="1" x14ac:dyDescent="0.25">
      <c r="AL2142" s="31"/>
      <c r="AM2142" s="26"/>
      <c r="AN2142" s="32"/>
      <c r="AO2142" s="32"/>
      <c r="AP2142" s="24"/>
      <c r="AQ2142" s="24"/>
      <c r="AR2142" s="33"/>
      <c r="AS2142" s="34"/>
      <c r="AT2142" s="33"/>
      <c r="AV2142" s="21">
        <f>IF(AND($AL2142&lt;&gt;"",COUNTIF($AL$11:$AL2142,$AL2142)=1),1,0)</f>
        <v>0</v>
      </c>
      <c r="AW2142" s="21">
        <f t="shared" si="153"/>
        <v>2</v>
      </c>
      <c r="AX2142" s="21" t="str">
        <f t="shared" si="152"/>
        <v/>
      </c>
      <c r="AY2142" s="21" t="str">
        <f>IF(AND($AM2142&lt;&gt;"",$AS2142&lt;&gt;"✓"),SUMPRODUCT(($AM$11:$AM2142&lt;&gt;"")*($AS$11:$AS2142&lt;&gt;"✓")),"")</f>
        <v/>
      </c>
      <c r="AZ2142" s="21" t="str">
        <f>IF(AND($AM2142&lt;&gt;"",$AS2142="✓"),SUMPRODUCT(($AM$11:$AM2142&lt;&gt;"")*($AS$11:$AS2142="✓")),"")</f>
        <v/>
      </c>
      <c r="BA2142" s="21" t="str">
        <f>IF($AL2142="","",$AL2142&amp;"|"&amp;COUNTIF($AL$11:$AL2142,$AL2142))</f>
        <v/>
      </c>
    </row>
    <row r="2143" spans="38:53" ht="15" customHeight="1" x14ac:dyDescent="0.25">
      <c r="AL2143" s="17"/>
      <c r="AM2143" s="12"/>
      <c r="AN2143" s="18"/>
      <c r="AO2143" s="18"/>
      <c r="AP2143" s="10"/>
      <c r="AQ2143" s="10"/>
      <c r="AR2143" s="19"/>
      <c r="AS2143" s="20"/>
      <c r="AT2143" s="19"/>
      <c r="AV2143" s="21">
        <f>IF(AND($AL2143&lt;&gt;"",COUNTIF($AL$11:$AL2143,$AL2143)=1),1,0)</f>
        <v>0</v>
      </c>
      <c r="AW2143" s="21">
        <f t="shared" si="153"/>
        <v>2</v>
      </c>
      <c r="AX2143" s="21" t="str">
        <f t="shared" si="152"/>
        <v/>
      </c>
      <c r="AY2143" s="21" t="str">
        <f>IF(AND($AM2143&lt;&gt;"",$AS2143&lt;&gt;"✓"),SUMPRODUCT(($AM$11:$AM2143&lt;&gt;"")*($AS$11:$AS2143&lt;&gt;"✓")),"")</f>
        <v/>
      </c>
      <c r="AZ2143" s="21" t="str">
        <f>IF(AND($AM2143&lt;&gt;"",$AS2143="✓"),SUMPRODUCT(($AM$11:$AM2143&lt;&gt;"")*($AS$11:$AS2143="✓")),"")</f>
        <v/>
      </c>
      <c r="BA2143" s="21" t="str">
        <f>IF($AL2143="","",$AL2143&amp;"|"&amp;COUNTIF($AL$11:$AL2143,$AL2143))</f>
        <v/>
      </c>
    </row>
    <row r="2144" spans="38:53" ht="15" customHeight="1" x14ac:dyDescent="0.25">
      <c r="AL2144" s="31"/>
      <c r="AM2144" s="26"/>
      <c r="AN2144" s="32"/>
      <c r="AO2144" s="32"/>
      <c r="AP2144" s="24"/>
      <c r="AQ2144" s="24"/>
      <c r="AR2144" s="33"/>
      <c r="AS2144" s="34"/>
      <c r="AT2144" s="33"/>
      <c r="AV2144" s="21">
        <f>IF(AND($AL2144&lt;&gt;"",COUNTIF($AL$11:$AL2144,$AL2144)=1),1,0)</f>
        <v>0</v>
      </c>
      <c r="AW2144" s="21">
        <f t="shared" si="153"/>
        <v>2</v>
      </c>
      <c r="AX2144" s="21" t="str">
        <f t="shared" si="152"/>
        <v/>
      </c>
      <c r="AY2144" s="21" t="str">
        <f>IF(AND($AM2144&lt;&gt;"",$AS2144&lt;&gt;"✓"),SUMPRODUCT(($AM$11:$AM2144&lt;&gt;"")*($AS$11:$AS2144&lt;&gt;"✓")),"")</f>
        <v/>
      </c>
      <c r="AZ2144" s="21" t="str">
        <f>IF(AND($AM2144&lt;&gt;"",$AS2144="✓"),SUMPRODUCT(($AM$11:$AM2144&lt;&gt;"")*($AS$11:$AS2144="✓")),"")</f>
        <v/>
      </c>
      <c r="BA2144" s="21" t="str">
        <f>IF($AL2144="","",$AL2144&amp;"|"&amp;COUNTIF($AL$11:$AL2144,$AL2144))</f>
        <v/>
      </c>
    </row>
    <row r="2145" spans="38:53" ht="15" customHeight="1" x14ac:dyDescent="0.25">
      <c r="AL2145" s="17"/>
      <c r="AM2145" s="12"/>
      <c r="AN2145" s="18"/>
      <c r="AO2145" s="18"/>
      <c r="AP2145" s="10"/>
      <c r="AQ2145" s="10"/>
      <c r="AR2145" s="19"/>
      <c r="AS2145" s="20"/>
      <c r="AT2145" s="19"/>
      <c r="AV2145" s="21">
        <f>IF(AND($AL2145&lt;&gt;"",COUNTIF($AL$11:$AL2145,$AL2145)=1),1,0)</f>
        <v>0</v>
      </c>
      <c r="AW2145" s="21">
        <f t="shared" si="153"/>
        <v>2</v>
      </c>
      <c r="AX2145" s="21" t="str">
        <f t="shared" si="152"/>
        <v/>
      </c>
      <c r="AY2145" s="21" t="str">
        <f>IF(AND($AM2145&lt;&gt;"",$AS2145&lt;&gt;"✓"),SUMPRODUCT(($AM$11:$AM2145&lt;&gt;"")*($AS$11:$AS2145&lt;&gt;"✓")),"")</f>
        <v/>
      </c>
      <c r="AZ2145" s="21" t="str">
        <f>IF(AND($AM2145&lt;&gt;"",$AS2145="✓"),SUMPRODUCT(($AM$11:$AM2145&lt;&gt;"")*($AS$11:$AS2145="✓")),"")</f>
        <v/>
      </c>
      <c r="BA2145" s="21" t="str">
        <f>IF($AL2145="","",$AL2145&amp;"|"&amp;COUNTIF($AL$11:$AL2145,$AL2145))</f>
        <v/>
      </c>
    </row>
    <row r="2146" spans="38:53" ht="15" customHeight="1" x14ac:dyDescent="0.25">
      <c r="AL2146" s="31"/>
      <c r="AM2146" s="26"/>
      <c r="AN2146" s="32"/>
      <c r="AO2146" s="32"/>
      <c r="AP2146" s="24"/>
      <c r="AQ2146" s="24"/>
      <c r="AR2146" s="33"/>
      <c r="AS2146" s="34"/>
      <c r="AT2146" s="33"/>
      <c r="AV2146" s="21">
        <f>IF(AND($AL2146&lt;&gt;"",COUNTIF($AL$11:$AL2146,$AL2146)=1),1,0)</f>
        <v>0</v>
      </c>
      <c r="AW2146" s="21">
        <f t="shared" si="153"/>
        <v>2</v>
      </c>
      <c r="AX2146" s="21" t="str">
        <f t="shared" si="152"/>
        <v/>
      </c>
      <c r="AY2146" s="21" t="str">
        <f>IF(AND($AM2146&lt;&gt;"",$AS2146&lt;&gt;"✓"),SUMPRODUCT(($AM$11:$AM2146&lt;&gt;"")*($AS$11:$AS2146&lt;&gt;"✓")),"")</f>
        <v/>
      </c>
      <c r="AZ2146" s="21" t="str">
        <f>IF(AND($AM2146&lt;&gt;"",$AS2146="✓"),SUMPRODUCT(($AM$11:$AM2146&lt;&gt;"")*($AS$11:$AS2146="✓")),"")</f>
        <v/>
      </c>
      <c r="BA2146" s="21" t="str">
        <f>IF($AL2146="","",$AL2146&amp;"|"&amp;COUNTIF($AL$11:$AL2146,$AL2146))</f>
        <v/>
      </c>
    </row>
    <row r="2147" spans="38:53" ht="15" customHeight="1" x14ac:dyDescent="0.25">
      <c r="AL2147" s="17"/>
      <c r="AM2147" s="12"/>
      <c r="AN2147" s="18"/>
      <c r="AO2147" s="18"/>
      <c r="AP2147" s="10"/>
      <c r="AQ2147" s="10"/>
      <c r="AR2147" s="19"/>
      <c r="AS2147" s="20"/>
      <c r="AT2147" s="19"/>
      <c r="AV2147" s="21">
        <f>IF(AND($AL2147&lt;&gt;"",COUNTIF($AL$11:$AL2147,$AL2147)=1),1,0)</f>
        <v>0</v>
      </c>
      <c r="AW2147" s="21">
        <f t="shared" si="153"/>
        <v>2</v>
      </c>
      <c r="AX2147" s="21" t="str">
        <f t="shared" si="152"/>
        <v/>
      </c>
      <c r="AY2147" s="21" t="str">
        <f>IF(AND($AM2147&lt;&gt;"",$AS2147&lt;&gt;"✓"),SUMPRODUCT(($AM$11:$AM2147&lt;&gt;"")*($AS$11:$AS2147&lt;&gt;"✓")),"")</f>
        <v/>
      </c>
      <c r="AZ2147" s="21" t="str">
        <f>IF(AND($AM2147&lt;&gt;"",$AS2147="✓"),SUMPRODUCT(($AM$11:$AM2147&lt;&gt;"")*($AS$11:$AS2147="✓")),"")</f>
        <v/>
      </c>
      <c r="BA2147" s="21" t="str">
        <f>IF($AL2147="","",$AL2147&amp;"|"&amp;COUNTIF($AL$11:$AL2147,$AL2147))</f>
        <v/>
      </c>
    </row>
    <row r="2148" spans="38:53" ht="15" customHeight="1" x14ac:dyDescent="0.25">
      <c r="AL2148" s="31"/>
      <c r="AM2148" s="26"/>
      <c r="AN2148" s="32"/>
      <c r="AO2148" s="32"/>
      <c r="AP2148" s="24"/>
      <c r="AQ2148" s="24"/>
      <c r="AR2148" s="33"/>
      <c r="AS2148" s="34"/>
      <c r="AT2148" s="33"/>
      <c r="AV2148" s="21">
        <f>IF(AND($AL2148&lt;&gt;"",COUNTIF($AL$11:$AL2148,$AL2148)=1),1,0)</f>
        <v>0</v>
      </c>
      <c r="AW2148" s="21">
        <f t="shared" si="153"/>
        <v>2</v>
      </c>
      <c r="AX2148" s="21" t="str">
        <f t="shared" si="152"/>
        <v/>
      </c>
      <c r="AY2148" s="21" t="str">
        <f>IF(AND($AM2148&lt;&gt;"",$AS2148&lt;&gt;"✓"),SUMPRODUCT(($AM$11:$AM2148&lt;&gt;"")*($AS$11:$AS2148&lt;&gt;"✓")),"")</f>
        <v/>
      </c>
      <c r="AZ2148" s="21" t="str">
        <f>IF(AND($AM2148&lt;&gt;"",$AS2148="✓"),SUMPRODUCT(($AM$11:$AM2148&lt;&gt;"")*($AS$11:$AS2148="✓")),"")</f>
        <v/>
      </c>
      <c r="BA2148" s="21" t="str">
        <f>IF($AL2148="","",$AL2148&amp;"|"&amp;COUNTIF($AL$11:$AL2148,$AL2148))</f>
        <v/>
      </c>
    </row>
    <row r="2149" spans="38:53" ht="15" customHeight="1" x14ac:dyDescent="0.25">
      <c r="AL2149" s="17"/>
      <c r="AM2149" s="12"/>
      <c r="AN2149" s="18"/>
      <c r="AO2149" s="18"/>
      <c r="AP2149" s="10"/>
      <c r="AQ2149" s="10"/>
      <c r="AR2149" s="19"/>
      <c r="AS2149" s="20"/>
      <c r="AT2149" s="19"/>
      <c r="AV2149" s="21">
        <f>IF(AND($AL2149&lt;&gt;"",COUNTIF($AL$11:$AL2149,$AL2149)=1),1,0)</f>
        <v>0</v>
      </c>
      <c r="AW2149" s="21">
        <f t="shared" si="153"/>
        <v>2</v>
      </c>
      <c r="AX2149" s="21" t="str">
        <f t="shared" si="152"/>
        <v/>
      </c>
      <c r="AY2149" s="21" t="str">
        <f>IF(AND($AM2149&lt;&gt;"",$AS2149&lt;&gt;"✓"),SUMPRODUCT(($AM$11:$AM2149&lt;&gt;"")*($AS$11:$AS2149&lt;&gt;"✓")),"")</f>
        <v/>
      </c>
      <c r="AZ2149" s="21" t="str">
        <f>IF(AND($AM2149&lt;&gt;"",$AS2149="✓"),SUMPRODUCT(($AM$11:$AM2149&lt;&gt;"")*($AS$11:$AS2149="✓")),"")</f>
        <v/>
      </c>
      <c r="BA2149" s="21" t="str">
        <f>IF($AL2149="","",$AL2149&amp;"|"&amp;COUNTIF($AL$11:$AL2149,$AL2149))</f>
        <v/>
      </c>
    </row>
    <row r="2150" spans="38:53" ht="15" customHeight="1" x14ac:dyDescent="0.25">
      <c r="AL2150" s="31"/>
      <c r="AM2150" s="26"/>
      <c r="AN2150" s="32"/>
      <c r="AO2150" s="32"/>
      <c r="AP2150" s="24"/>
      <c r="AQ2150" s="24"/>
      <c r="AR2150" s="33"/>
      <c r="AS2150" s="34"/>
      <c r="AT2150" s="33"/>
      <c r="AV2150" s="21">
        <f>IF(AND($AL2150&lt;&gt;"",COUNTIF($AL$11:$AL2150,$AL2150)=1),1,0)</f>
        <v>0</v>
      </c>
      <c r="AW2150" s="21">
        <f t="shared" si="153"/>
        <v>2</v>
      </c>
      <c r="AX2150" s="21" t="str">
        <f t="shared" si="152"/>
        <v/>
      </c>
      <c r="AY2150" s="21" t="str">
        <f>IF(AND($AM2150&lt;&gt;"",$AS2150&lt;&gt;"✓"),SUMPRODUCT(($AM$11:$AM2150&lt;&gt;"")*($AS$11:$AS2150&lt;&gt;"✓")),"")</f>
        <v/>
      </c>
      <c r="AZ2150" s="21" t="str">
        <f>IF(AND($AM2150&lt;&gt;"",$AS2150="✓"),SUMPRODUCT(($AM$11:$AM2150&lt;&gt;"")*($AS$11:$AS2150="✓")),"")</f>
        <v/>
      </c>
      <c r="BA2150" s="21" t="str">
        <f>IF($AL2150="","",$AL2150&amp;"|"&amp;COUNTIF($AL$11:$AL2150,$AL2150))</f>
        <v/>
      </c>
    </row>
    <row r="2151" spans="38:53" ht="15" customHeight="1" x14ac:dyDescent="0.25">
      <c r="AL2151" s="17"/>
      <c r="AM2151" s="12"/>
      <c r="AN2151" s="18"/>
      <c r="AO2151" s="18"/>
      <c r="AP2151" s="10"/>
      <c r="AQ2151" s="10"/>
      <c r="AR2151" s="19"/>
      <c r="AS2151" s="20"/>
      <c r="AT2151" s="19"/>
      <c r="AV2151" s="21">
        <f>IF(AND($AL2151&lt;&gt;"",COUNTIF($AL$11:$AL2151,$AL2151)=1),1,0)</f>
        <v>0</v>
      </c>
      <c r="AW2151" s="21">
        <f t="shared" si="153"/>
        <v>2</v>
      </c>
      <c r="AX2151" s="21" t="str">
        <f t="shared" si="152"/>
        <v/>
      </c>
      <c r="AY2151" s="21" t="str">
        <f>IF(AND($AM2151&lt;&gt;"",$AS2151&lt;&gt;"✓"),SUMPRODUCT(($AM$11:$AM2151&lt;&gt;"")*($AS$11:$AS2151&lt;&gt;"✓")),"")</f>
        <v/>
      </c>
      <c r="AZ2151" s="21" t="str">
        <f>IF(AND($AM2151&lt;&gt;"",$AS2151="✓"),SUMPRODUCT(($AM$11:$AM2151&lt;&gt;"")*($AS$11:$AS2151="✓")),"")</f>
        <v/>
      </c>
      <c r="BA2151" s="21" t="str">
        <f>IF($AL2151="","",$AL2151&amp;"|"&amp;COUNTIF($AL$11:$AL2151,$AL2151))</f>
        <v/>
      </c>
    </row>
    <row r="2152" spans="38:53" ht="15" customHeight="1" x14ac:dyDescent="0.25">
      <c r="AL2152" s="31"/>
      <c r="AM2152" s="26"/>
      <c r="AN2152" s="32"/>
      <c r="AO2152" s="32"/>
      <c r="AP2152" s="24"/>
      <c r="AQ2152" s="24"/>
      <c r="AR2152" s="33"/>
      <c r="AS2152" s="34"/>
      <c r="AT2152" s="33"/>
      <c r="AV2152" s="21">
        <f>IF(AND($AL2152&lt;&gt;"",COUNTIF($AL$11:$AL2152,$AL2152)=1),1,0)</f>
        <v>0</v>
      </c>
      <c r="AW2152" s="21">
        <f t="shared" si="153"/>
        <v>2</v>
      </c>
      <c r="AX2152" s="21" t="str">
        <f t="shared" si="152"/>
        <v/>
      </c>
      <c r="AY2152" s="21" t="str">
        <f>IF(AND($AM2152&lt;&gt;"",$AS2152&lt;&gt;"✓"),SUMPRODUCT(($AM$11:$AM2152&lt;&gt;"")*($AS$11:$AS2152&lt;&gt;"✓")),"")</f>
        <v/>
      </c>
      <c r="AZ2152" s="21" t="str">
        <f>IF(AND($AM2152&lt;&gt;"",$AS2152="✓"),SUMPRODUCT(($AM$11:$AM2152&lt;&gt;"")*($AS$11:$AS2152="✓")),"")</f>
        <v/>
      </c>
      <c r="BA2152" s="21" t="str">
        <f>IF($AL2152="","",$AL2152&amp;"|"&amp;COUNTIF($AL$11:$AL2152,$AL2152))</f>
        <v/>
      </c>
    </row>
    <row r="2153" spans="38:53" ht="15" customHeight="1" x14ac:dyDescent="0.25">
      <c r="AL2153" s="17"/>
      <c r="AM2153" s="12"/>
      <c r="AN2153" s="18"/>
      <c r="AO2153" s="18"/>
      <c r="AP2153" s="10"/>
      <c r="AQ2153" s="10"/>
      <c r="AR2153" s="19"/>
      <c r="AS2153" s="20"/>
      <c r="AT2153" s="19"/>
      <c r="AV2153" s="21">
        <f>IF(AND($AL2153&lt;&gt;"",COUNTIF($AL$11:$AL2153,$AL2153)=1),1,0)</f>
        <v>0</v>
      </c>
      <c r="AW2153" s="21">
        <f t="shared" si="153"/>
        <v>2</v>
      </c>
      <c r="AX2153" s="21" t="str">
        <f t="shared" si="152"/>
        <v/>
      </c>
      <c r="AY2153" s="21" t="str">
        <f>IF(AND($AM2153&lt;&gt;"",$AS2153&lt;&gt;"✓"),SUMPRODUCT(($AM$11:$AM2153&lt;&gt;"")*($AS$11:$AS2153&lt;&gt;"✓")),"")</f>
        <v/>
      </c>
      <c r="AZ2153" s="21" t="str">
        <f>IF(AND($AM2153&lt;&gt;"",$AS2153="✓"),SUMPRODUCT(($AM$11:$AM2153&lt;&gt;"")*($AS$11:$AS2153="✓")),"")</f>
        <v/>
      </c>
      <c r="BA2153" s="21" t="str">
        <f>IF($AL2153="","",$AL2153&amp;"|"&amp;COUNTIF($AL$11:$AL2153,$AL2153))</f>
        <v/>
      </c>
    </row>
    <row r="2154" spans="38:53" ht="15" customHeight="1" x14ac:dyDescent="0.25">
      <c r="AL2154" s="31"/>
      <c r="AM2154" s="26"/>
      <c r="AN2154" s="32"/>
      <c r="AO2154" s="32"/>
      <c r="AP2154" s="24"/>
      <c r="AQ2154" s="24"/>
      <c r="AR2154" s="33"/>
      <c r="AS2154" s="34"/>
      <c r="AT2154" s="33"/>
      <c r="AV2154" s="21">
        <f>IF(AND($AL2154&lt;&gt;"",COUNTIF($AL$11:$AL2154,$AL2154)=1),1,0)</f>
        <v>0</v>
      </c>
      <c r="AW2154" s="21">
        <f t="shared" si="153"/>
        <v>2</v>
      </c>
      <c r="AX2154" s="21" t="str">
        <f t="shared" si="152"/>
        <v/>
      </c>
      <c r="AY2154" s="21" t="str">
        <f>IF(AND($AM2154&lt;&gt;"",$AS2154&lt;&gt;"✓"),SUMPRODUCT(($AM$11:$AM2154&lt;&gt;"")*($AS$11:$AS2154&lt;&gt;"✓")),"")</f>
        <v/>
      </c>
      <c r="AZ2154" s="21" t="str">
        <f>IF(AND($AM2154&lt;&gt;"",$AS2154="✓"),SUMPRODUCT(($AM$11:$AM2154&lt;&gt;"")*($AS$11:$AS2154="✓")),"")</f>
        <v/>
      </c>
      <c r="BA2154" s="21" t="str">
        <f>IF($AL2154="","",$AL2154&amp;"|"&amp;COUNTIF($AL$11:$AL2154,$AL2154))</f>
        <v/>
      </c>
    </row>
    <row r="2155" spans="38:53" ht="15" customHeight="1" x14ac:dyDescent="0.25">
      <c r="AL2155" s="17"/>
      <c r="AM2155" s="12"/>
      <c r="AN2155" s="18"/>
      <c r="AO2155" s="18"/>
      <c r="AP2155" s="10"/>
      <c r="AQ2155" s="10"/>
      <c r="AR2155" s="19"/>
      <c r="AS2155" s="20"/>
      <c r="AT2155" s="19"/>
      <c r="AV2155" s="21">
        <f>IF(AND($AL2155&lt;&gt;"",COUNTIF($AL$11:$AL2155,$AL2155)=1),1,0)</f>
        <v>0</v>
      </c>
      <c r="AW2155" s="21">
        <f t="shared" si="153"/>
        <v>2</v>
      </c>
      <c r="AX2155" s="21" t="str">
        <f t="shared" si="152"/>
        <v/>
      </c>
      <c r="AY2155" s="21" t="str">
        <f>IF(AND($AM2155&lt;&gt;"",$AS2155&lt;&gt;"✓"),SUMPRODUCT(($AM$11:$AM2155&lt;&gt;"")*($AS$11:$AS2155&lt;&gt;"✓")),"")</f>
        <v/>
      </c>
      <c r="AZ2155" s="21" t="str">
        <f>IF(AND($AM2155&lt;&gt;"",$AS2155="✓"),SUMPRODUCT(($AM$11:$AM2155&lt;&gt;"")*($AS$11:$AS2155="✓")),"")</f>
        <v/>
      </c>
      <c r="BA2155" s="21" t="str">
        <f>IF($AL2155="","",$AL2155&amp;"|"&amp;COUNTIF($AL$11:$AL2155,$AL2155))</f>
        <v/>
      </c>
    </row>
    <row r="2156" spans="38:53" ht="15" customHeight="1" x14ac:dyDescent="0.25">
      <c r="AL2156" s="31"/>
      <c r="AM2156" s="26"/>
      <c r="AN2156" s="32"/>
      <c r="AO2156" s="32"/>
      <c r="AP2156" s="24"/>
      <c r="AQ2156" s="24"/>
      <c r="AR2156" s="33"/>
      <c r="AS2156" s="34"/>
      <c r="AT2156" s="33"/>
      <c r="AV2156" s="21">
        <f>IF(AND($AL2156&lt;&gt;"",COUNTIF($AL$11:$AL2156,$AL2156)=1),1,0)</f>
        <v>0</v>
      </c>
      <c r="AW2156" s="21">
        <f t="shared" si="153"/>
        <v>2</v>
      </c>
      <c r="AX2156" s="21" t="str">
        <f t="shared" si="152"/>
        <v/>
      </c>
      <c r="AY2156" s="21" t="str">
        <f>IF(AND($AM2156&lt;&gt;"",$AS2156&lt;&gt;"✓"),SUMPRODUCT(($AM$11:$AM2156&lt;&gt;"")*($AS$11:$AS2156&lt;&gt;"✓")),"")</f>
        <v/>
      </c>
      <c r="AZ2156" s="21" t="str">
        <f>IF(AND($AM2156&lt;&gt;"",$AS2156="✓"),SUMPRODUCT(($AM$11:$AM2156&lt;&gt;"")*($AS$11:$AS2156="✓")),"")</f>
        <v/>
      </c>
      <c r="BA2156" s="21" t="str">
        <f>IF($AL2156="","",$AL2156&amp;"|"&amp;COUNTIF($AL$11:$AL2156,$AL2156))</f>
        <v/>
      </c>
    </row>
    <row r="2157" spans="38:53" ht="15" customHeight="1" x14ac:dyDescent="0.25">
      <c r="AL2157" s="17"/>
      <c r="AM2157" s="12"/>
      <c r="AN2157" s="18"/>
      <c r="AO2157" s="18"/>
      <c r="AP2157" s="10"/>
      <c r="AQ2157" s="10"/>
      <c r="AR2157" s="19"/>
      <c r="AS2157" s="20"/>
      <c r="AT2157" s="19"/>
      <c r="AV2157" s="21">
        <f>IF(AND($AL2157&lt;&gt;"",COUNTIF($AL$11:$AL2157,$AL2157)=1),1,0)</f>
        <v>0</v>
      </c>
      <c r="AW2157" s="21">
        <f t="shared" si="153"/>
        <v>2</v>
      </c>
      <c r="AX2157" s="21" t="str">
        <f t="shared" si="152"/>
        <v/>
      </c>
      <c r="AY2157" s="21" t="str">
        <f>IF(AND($AM2157&lt;&gt;"",$AS2157&lt;&gt;"✓"),SUMPRODUCT(($AM$11:$AM2157&lt;&gt;"")*($AS$11:$AS2157&lt;&gt;"✓")),"")</f>
        <v/>
      </c>
      <c r="AZ2157" s="21" t="str">
        <f>IF(AND($AM2157&lt;&gt;"",$AS2157="✓"),SUMPRODUCT(($AM$11:$AM2157&lt;&gt;"")*($AS$11:$AS2157="✓")),"")</f>
        <v/>
      </c>
      <c r="BA2157" s="21" t="str">
        <f>IF($AL2157="","",$AL2157&amp;"|"&amp;COUNTIF($AL$11:$AL2157,$AL2157))</f>
        <v/>
      </c>
    </row>
    <row r="2158" spans="38:53" ht="15" customHeight="1" x14ac:dyDescent="0.25">
      <c r="AL2158" s="31"/>
      <c r="AM2158" s="26"/>
      <c r="AN2158" s="32"/>
      <c r="AO2158" s="32"/>
      <c r="AP2158" s="24"/>
      <c r="AQ2158" s="24"/>
      <c r="AR2158" s="33"/>
      <c r="AS2158" s="34"/>
      <c r="AT2158" s="33"/>
      <c r="AV2158" s="21">
        <f>IF(AND($AL2158&lt;&gt;"",COUNTIF($AL$11:$AL2158,$AL2158)=1),1,0)</f>
        <v>0</v>
      </c>
      <c r="AW2158" s="21">
        <f t="shared" si="153"/>
        <v>2</v>
      </c>
      <c r="AX2158" s="21" t="str">
        <f t="shared" si="152"/>
        <v/>
      </c>
      <c r="AY2158" s="21" t="str">
        <f>IF(AND($AM2158&lt;&gt;"",$AS2158&lt;&gt;"✓"),SUMPRODUCT(($AM$11:$AM2158&lt;&gt;"")*($AS$11:$AS2158&lt;&gt;"✓")),"")</f>
        <v/>
      </c>
      <c r="AZ2158" s="21" t="str">
        <f>IF(AND($AM2158&lt;&gt;"",$AS2158="✓"),SUMPRODUCT(($AM$11:$AM2158&lt;&gt;"")*($AS$11:$AS2158="✓")),"")</f>
        <v/>
      </c>
      <c r="BA2158" s="21" t="str">
        <f>IF($AL2158="","",$AL2158&amp;"|"&amp;COUNTIF($AL$11:$AL2158,$AL2158))</f>
        <v/>
      </c>
    </row>
    <row r="2159" spans="38:53" ht="15" customHeight="1" x14ac:dyDescent="0.25">
      <c r="AL2159" s="17"/>
      <c r="AM2159" s="12"/>
      <c r="AN2159" s="18"/>
      <c r="AO2159" s="18"/>
      <c r="AP2159" s="10"/>
      <c r="AQ2159" s="10"/>
      <c r="AR2159" s="19"/>
      <c r="AS2159" s="20"/>
      <c r="AT2159" s="19"/>
      <c r="AV2159" s="21">
        <f>IF(AND($AL2159&lt;&gt;"",COUNTIF($AL$11:$AL2159,$AL2159)=1),1,0)</f>
        <v>0</v>
      </c>
      <c r="AW2159" s="21">
        <f t="shared" si="153"/>
        <v>2</v>
      </c>
      <c r="AX2159" s="21" t="str">
        <f t="shared" si="152"/>
        <v/>
      </c>
      <c r="AY2159" s="21" t="str">
        <f>IF(AND($AM2159&lt;&gt;"",$AS2159&lt;&gt;"✓"),SUMPRODUCT(($AM$11:$AM2159&lt;&gt;"")*($AS$11:$AS2159&lt;&gt;"✓")),"")</f>
        <v/>
      </c>
      <c r="AZ2159" s="21" t="str">
        <f>IF(AND($AM2159&lt;&gt;"",$AS2159="✓"),SUMPRODUCT(($AM$11:$AM2159&lt;&gt;"")*($AS$11:$AS2159="✓")),"")</f>
        <v/>
      </c>
      <c r="BA2159" s="21" t="str">
        <f>IF($AL2159="","",$AL2159&amp;"|"&amp;COUNTIF($AL$11:$AL2159,$AL2159))</f>
        <v/>
      </c>
    </row>
    <row r="2160" spans="38:53" ht="15" customHeight="1" x14ac:dyDescent="0.25">
      <c r="AL2160" s="31"/>
      <c r="AM2160" s="26"/>
      <c r="AN2160" s="32"/>
      <c r="AO2160" s="32"/>
      <c r="AP2160" s="24"/>
      <c r="AQ2160" s="24"/>
      <c r="AR2160" s="33"/>
      <c r="AS2160" s="34"/>
      <c r="AT2160" s="33"/>
      <c r="AV2160" s="21">
        <f>IF(AND($AL2160&lt;&gt;"",COUNTIF($AL$11:$AL2160,$AL2160)=1),1,0)</f>
        <v>0</v>
      </c>
      <c r="AW2160" s="21">
        <f t="shared" si="153"/>
        <v>2</v>
      </c>
      <c r="AX2160" s="21" t="str">
        <f t="shared" si="152"/>
        <v/>
      </c>
      <c r="AY2160" s="21" t="str">
        <f>IF(AND($AM2160&lt;&gt;"",$AS2160&lt;&gt;"✓"),SUMPRODUCT(($AM$11:$AM2160&lt;&gt;"")*($AS$11:$AS2160&lt;&gt;"✓")),"")</f>
        <v/>
      </c>
      <c r="AZ2160" s="21" t="str">
        <f>IF(AND($AM2160&lt;&gt;"",$AS2160="✓"),SUMPRODUCT(($AM$11:$AM2160&lt;&gt;"")*($AS$11:$AS2160="✓")),"")</f>
        <v/>
      </c>
      <c r="BA2160" s="21" t="str">
        <f>IF($AL2160="","",$AL2160&amp;"|"&amp;COUNTIF($AL$11:$AL2160,$AL2160))</f>
        <v/>
      </c>
    </row>
    <row r="2161" spans="38:53" ht="15" customHeight="1" x14ac:dyDescent="0.25">
      <c r="AL2161" s="17"/>
      <c r="AM2161" s="12"/>
      <c r="AN2161" s="18"/>
      <c r="AO2161" s="18"/>
      <c r="AP2161" s="10"/>
      <c r="AQ2161" s="10"/>
      <c r="AR2161" s="19"/>
      <c r="AS2161" s="20"/>
      <c r="AT2161" s="19"/>
      <c r="AV2161" s="21">
        <f>IF(AND($AL2161&lt;&gt;"",COUNTIF($AL$11:$AL2161,$AL2161)=1),1,0)</f>
        <v>0</v>
      </c>
      <c r="AW2161" s="21">
        <f t="shared" si="153"/>
        <v>2</v>
      </c>
      <c r="AX2161" s="21" t="str">
        <f t="shared" si="152"/>
        <v/>
      </c>
      <c r="AY2161" s="21" t="str">
        <f>IF(AND($AM2161&lt;&gt;"",$AS2161&lt;&gt;"✓"),SUMPRODUCT(($AM$11:$AM2161&lt;&gt;"")*($AS$11:$AS2161&lt;&gt;"✓")),"")</f>
        <v/>
      </c>
      <c r="AZ2161" s="21" t="str">
        <f>IF(AND($AM2161&lt;&gt;"",$AS2161="✓"),SUMPRODUCT(($AM$11:$AM2161&lt;&gt;"")*($AS$11:$AS2161="✓")),"")</f>
        <v/>
      </c>
      <c r="BA2161" s="21" t="str">
        <f>IF($AL2161="","",$AL2161&amp;"|"&amp;COUNTIF($AL$11:$AL2161,$AL2161))</f>
        <v/>
      </c>
    </row>
    <row r="2162" spans="38:53" ht="15" customHeight="1" x14ac:dyDescent="0.25">
      <c r="AL2162" s="31"/>
      <c r="AM2162" s="26"/>
      <c r="AN2162" s="32"/>
      <c r="AO2162" s="32"/>
      <c r="AP2162" s="24"/>
      <c r="AQ2162" s="24"/>
      <c r="AR2162" s="33"/>
      <c r="AS2162" s="34"/>
      <c r="AT2162" s="33"/>
      <c r="AV2162" s="21">
        <f>IF(AND($AL2162&lt;&gt;"",COUNTIF($AL$11:$AL2162,$AL2162)=1),1,0)</f>
        <v>0</v>
      </c>
      <c r="AW2162" s="21">
        <f t="shared" si="153"/>
        <v>2</v>
      </c>
      <c r="AX2162" s="21" t="str">
        <f t="shared" si="152"/>
        <v/>
      </c>
      <c r="AY2162" s="21" t="str">
        <f>IF(AND($AM2162&lt;&gt;"",$AS2162&lt;&gt;"✓"),SUMPRODUCT(($AM$11:$AM2162&lt;&gt;"")*($AS$11:$AS2162&lt;&gt;"✓")),"")</f>
        <v/>
      </c>
      <c r="AZ2162" s="21" t="str">
        <f>IF(AND($AM2162&lt;&gt;"",$AS2162="✓"),SUMPRODUCT(($AM$11:$AM2162&lt;&gt;"")*($AS$11:$AS2162="✓")),"")</f>
        <v/>
      </c>
      <c r="BA2162" s="21" t="str">
        <f>IF($AL2162="","",$AL2162&amp;"|"&amp;COUNTIF($AL$11:$AL2162,$AL2162))</f>
        <v/>
      </c>
    </row>
    <row r="2163" spans="38:53" ht="15" customHeight="1" x14ac:dyDescent="0.25">
      <c r="AL2163" s="17"/>
      <c r="AM2163" s="12"/>
      <c r="AN2163" s="18"/>
      <c r="AO2163" s="18"/>
      <c r="AP2163" s="10"/>
      <c r="AQ2163" s="10"/>
      <c r="AR2163" s="19"/>
      <c r="AS2163" s="20"/>
      <c r="AT2163" s="19"/>
      <c r="AV2163" s="21">
        <f>IF(AND($AL2163&lt;&gt;"",COUNTIF($AL$11:$AL2163,$AL2163)=1),1,0)</f>
        <v>0</v>
      </c>
      <c r="AW2163" s="21">
        <f t="shared" si="153"/>
        <v>2</v>
      </c>
      <c r="AX2163" s="21" t="str">
        <f t="shared" si="152"/>
        <v/>
      </c>
      <c r="AY2163" s="21" t="str">
        <f>IF(AND($AM2163&lt;&gt;"",$AS2163&lt;&gt;"✓"),SUMPRODUCT(($AM$11:$AM2163&lt;&gt;"")*($AS$11:$AS2163&lt;&gt;"✓")),"")</f>
        <v/>
      </c>
      <c r="AZ2163" s="21" t="str">
        <f>IF(AND($AM2163&lt;&gt;"",$AS2163="✓"),SUMPRODUCT(($AM$11:$AM2163&lt;&gt;"")*($AS$11:$AS2163="✓")),"")</f>
        <v/>
      </c>
      <c r="BA2163" s="21" t="str">
        <f>IF($AL2163="","",$AL2163&amp;"|"&amp;COUNTIF($AL$11:$AL2163,$AL2163))</f>
        <v/>
      </c>
    </row>
    <row r="2164" spans="38:53" ht="15" customHeight="1" x14ac:dyDescent="0.25">
      <c r="AL2164" s="31"/>
      <c r="AM2164" s="26"/>
      <c r="AN2164" s="32"/>
      <c r="AO2164" s="32"/>
      <c r="AP2164" s="24"/>
      <c r="AQ2164" s="24"/>
      <c r="AR2164" s="33"/>
      <c r="AS2164" s="34"/>
      <c r="AT2164" s="33"/>
      <c r="AV2164" s="21">
        <f>IF(AND($AL2164&lt;&gt;"",COUNTIF($AL$11:$AL2164,$AL2164)=1),1,0)</f>
        <v>0</v>
      </c>
      <c r="AW2164" s="21">
        <f t="shared" si="153"/>
        <v>2</v>
      </c>
      <c r="AX2164" s="21" t="str">
        <f t="shared" si="152"/>
        <v/>
      </c>
      <c r="AY2164" s="21" t="str">
        <f>IF(AND($AM2164&lt;&gt;"",$AS2164&lt;&gt;"✓"),SUMPRODUCT(($AM$11:$AM2164&lt;&gt;"")*($AS$11:$AS2164&lt;&gt;"✓")),"")</f>
        <v/>
      </c>
      <c r="AZ2164" s="21" t="str">
        <f>IF(AND($AM2164&lt;&gt;"",$AS2164="✓"),SUMPRODUCT(($AM$11:$AM2164&lt;&gt;"")*($AS$11:$AS2164="✓")),"")</f>
        <v/>
      </c>
      <c r="BA2164" s="21" t="str">
        <f>IF($AL2164="","",$AL2164&amp;"|"&amp;COUNTIF($AL$11:$AL2164,$AL2164))</f>
        <v/>
      </c>
    </row>
    <row r="2165" spans="38:53" ht="15" customHeight="1" x14ac:dyDescent="0.25">
      <c r="AL2165" s="17"/>
      <c r="AM2165" s="12"/>
      <c r="AN2165" s="18"/>
      <c r="AO2165" s="18"/>
      <c r="AP2165" s="10"/>
      <c r="AQ2165" s="10"/>
      <c r="AR2165" s="19"/>
      <c r="AS2165" s="20"/>
      <c r="AT2165" s="19"/>
      <c r="AV2165" s="21">
        <f>IF(AND($AL2165&lt;&gt;"",COUNTIF($AL$11:$AL2165,$AL2165)=1),1,0)</f>
        <v>0</v>
      </c>
      <c r="AW2165" s="21">
        <f t="shared" si="153"/>
        <v>2</v>
      </c>
      <c r="AX2165" s="21" t="str">
        <f t="shared" si="152"/>
        <v/>
      </c>
      <c r="AY2165" s="21" t="str">
        <f>IF(AND($AM2165&lt;&gt;"",$AS2165&lt;&gt;"✓"),SUMPRODUCT(($AM$11:$AM2165&lt;&gt;"")*($AS$11:$AS2165&lt;&gt;"✓")),"")</f>
        <v/>
      </c>
      <c r="AZ2165" s="21" t="str">
        <f>IF(AND($AM2165&lt;&gt;"",$AS2165="✓"),SUMPRODUCT(($AM$11:$AM2165&lt;&gt;"")*($AS$11:$AS2165="✓")),"")</f>
        <v/>
      </c>
      <c r="BA2165" s="21" t="str">
        <f>IF($AL2165="","",$AL2165&amp;"|"&amp;COUNTIF($AL$11:$AL2165,$AL2165))</f>
        <v/>
      </c>
    </row>
    <row r="2166" spans="38:53" ht="15" customHeight="1" x14ac:dyDescent="0.25">
      <c r="AL2166" s="31"/>
      <c r="AM2166" s="26"/>
      <c r="AN2166" s="32"/>
      <c r="AO2166" s="32"/>
      <c r="AP2166" s="24"/>
      <c r="AQ2166" s="24"/>
      <c r="AR2166" s="33"/>
      <c r="AS2166" s="34"/>
      <c r="AT2166" s="33"/>
      <c r="AV2166" s="21">
        <f>IF(AND($AL2166&lt;&gt;"",COUNTIF($AL$11:$AL2166,$AL2166)=1),1,0)</f>
        <v>0</v>
      </c>
      <c r="AW2166" s="21">
        <f t="shared" si="153"/>
        <v>2</v>
      </c>
      <c r="AX2166" s="21" t="str">
        <f t="shared" si="152"/>
        <v/>
      </c>
      <c r="AY2166" s="21" t="str">
        <f>IF(AND($AM2166&lt;&gt;"",$AS2166&lt;&gt;"✓"),SUMPRODUCT(($AM$11:$AM2166&lt;&gt;"")*($AS$11:$AS2166&lt;&gt;"✓")),"")</f>
        <v/>
      </c>
      <c r="AZ2166" s="21" t="str">
        <f>IF(AND($AM2166&lt;&gt;"",$AS2166="✓"),SUMPRODUCT(($AM$11:$AM2166&lt;&gt;"")*($AS$11:$AS2166="✓")),"")</f>
        <v/>
      </c>
      <c r="BA2166" s="21" t="str">
        <f>IF($AL2166="","",$AL2166&amp;"|"&amp;COUNTIF($AL$11:$AL2166,$AL2166))</f>
        <v/>
      </c>
    </row>
    <row r="2167" spans="38:53" ht="15" customHeight="1" x14ac:dyDescent="0.25">
      <c r="AL2167" s="17"/>
      <c r="AM2167" s="12"/>
      <c r="AN2167" s="18"/>
      <c r="AO2167" s="18"/>
      <c r="AP2167" s="10"/>
      <c r="AQ2167" s="10"/>
      <c r="AR2167" s="19"/>
      <c r="AS2167" s="20"/>
      <c r="AT2167" s="19"/>
      <c r="AV2167" s="21">
        <f>IF(AND($AL2167&lt;&gt;"",COUNTIF($AL$11:$AL2167,$AL2167)=1),1,0)</f>
        <v>0</v>
      </c>
      <c r="AW2167" s="21">
        <f t="shared" si="153"/>
        <v>2</v>
      </c>
      <c r="AX2167" s="21" t="str">
        <f t="shared" si="152"/>
        <v/>
      </c>
      <c r="AY2167" s="21" t="str">
        <f>IF(AND($AM2167&lt;&gt;"",$AS2167&lt;&gt;"✓"),SUMPRODUCT(($AM$11:$AM2167&lt;&gt;"")*($AS$11:$AS2167&lt;&gt;"✓")),"")</f>
        <v/>
      </c>
      <c r="AZ2167" s="21" t="str">
        <f>IF(AND($AM2167&lt;&gt;"",$AS2167="✓"),SUMPRODUCT(($AM$11:$AM2167&lt;&gt;"")*($AS$11:$AS2167="✓")),"")</f>
        <v/>
      </c>
      <c r="BA2167" s="21" t="str">
        <f>IF($AL2167="","",$AL2167&amp;"|"&amp;COUNTIF($AL$11:$AL2167,$AL2167))</f>
        <v/>
      </c>
    </row>
    <row r="2168" spans="38:53" ht="15" customHeight="1" x14ac:dyDescent="0.25">
      <c r="AL2168" s="31"/>
      <c r="AM2168" s="26"/>
      <c r="AN2168" s="32"/>
      <c r="AO2168" s="32"/>
      <c r="AP2168" s="24"/>
      <c r="AQ2168" s="24"/>
      <c r="AR2168" s="33"/>
      <c r="AS2168" s="34"/>
      <c r="AT2168" s="33"/>
      <c r="AV2168" s="21">
        <f>IF(AND($AL2168&lt;&gt;"",COUNTIF($AL$11:$AL2168,$AL2168)=1),1,0)</f>
        <v>0</v>
      </c>
      <c r="AW2168" s="21">
        <f t="shared" si="153"/>
        <v>2</v>
      </c>
      <c r="AX2168" s="21" t="str">
        <f t="shared" si="152"/>
        <v/>
      </c>
      <c r="AY2168" s="21" t="str">
        <f>IF(AND($AM2168&lt;&gt;"",$AS2168&lt;&gt;"✓"),SUMPRODUCT(($AM$11:$AM2168&lt;&gt;"")*($AS$11:$AS2168&lt;&gt;"✓")),"")</f>
        <v/>
      </c>
      <c r="AZ2168" s="21" t="str">
        <f>IF(AND($AM2168&lt;&gt;"",$AS2168="✓"),SUMPRODUCT(($AM$11:$AM2168&lt;&gt;"")*($AS$11:$AS2168="✓")),"")</f>
        <v/>
      </c>
      <c r="BA2168" s="21" t="str">
        <f>IF($AL2168="","",$AL2168&amp;"|"&amp;COUNTIF($AL$11:$AL2168,$AL2168))</f>
        <v/>
      </c>
    </row>
    <row r="2169" spans="38:53" ht="15" customHeight="1" x14ac:dyDescent="0.25">
      <c r="AL2169" s="17"/>
      <c r="AM2169" s="12"/>
      <c r="AN2169" s="18"/>
      <c r="AO2169" s="18"/>
      <c r="AP2169" s="10"/>
      <c r="AQ2169" s="10"/>
      <c r="AR2169" s="19"/>
      <c r="AS2169" s="20"/>
      <c r="AT2169" s="19"/>
      <c r="AV2169" s="21">
        <f>IF(AND($AL2169&lt;&gt;"",COUNTIF($AL$11:$AL2169,$AL2169)=1),1,0)</f>
        <v>0</v>
      </c>
      <c r="AW2169" s="21">
        <f t="shared" si="153"/>
        <v>2</v>
      </c>
      <c r="AX2169" s="21" t="str">
        <f t="shared" si="152"/>
        <v/>
      </c>
      <c r="AY2169" s="21" t="str">
        <f>IF(AND($AM2169&lt;&gt;"",$AS2169&lt;&gt;"✓"),SUMPRODUCT(($AM$11:$AM2169&lt;&gt;"")*($AS$11:$AS2169&lt;&gt;"✓")),"")</f>
        <v/>
      </c>
      <c r="AZ2169" s="21" t="str">
        <f>IF(AND($AM2169&lt;&gt;"",$AS2169="✓"),SUMPRODUCT(($AM$11:$AM2169&lt;&gt;"")*($AS$11:$AS2169="✓")),"")</f>
        <v/>
      </c>
      <c r="BA2169" s="21" t="str">
        <f>IF($AL2169="","",$AL2169&amp;"|"&amp;COUNTIF($AL$11:$AL2169,$AL2169))</f>
        <v/>
      </c>
    </row>
    <row r="2170" spans="38:53" ht="15" customHeight="1" x14ac:dyDescent="0.25">
      <c r="AL2170" s="31"/>
      <c r="AM2170" s="26"/>
      <c r="AN2170" s="32"/>
      <c r="AO2170" s="32"/>
      <c r="AP2170" s="24"/>
      <c r="AQ2170" s="24"/>
      <c r="AR2170" s="33"/>
      <c r="AS2170" s="34"/>
      <c r="AT2170" s="33"/>
      <c r="AV2170" s="21">
        <f>IF(AND($AL2170&lt;&gt;"",COUNTIF($AL$11:$AL2170,$AL2170)=1),1,0)</f>
        <v>0</v>
      </c>
      <c r="AW2170" s="21">
        <f t="shared" si="153"/>
        <v>2</v>
      </c>
      <c r="AX2170" s="21" t="str">
        <f t="shared" si="152"/>
        <v/>
      </c>
      <c r="AY2170" s="21" t="str">
        <f>IF(AND($AM2170&lt;&gt;"",$AS2170&lt;&gt;"✓"),SUMPRODUCT(($AM$11:$AM2170&lt;&gt;"")*($AS$11:$AS2170&lt;&gt;"✓")),"")</f>
        <v/>
      </c>
      <c r="AZ2170" s="21" t="str">
        <f>IF(AND($AM2170&lt;&gt;"",$AS2170="✓"),SUMPRODUCT(($AM$11:$AM2170&lt;&gt;"")*($AS$11:$AS2170="✓")),"")</f>
        <v/>
      </c>
      <c r="BA2170" s="21" t="str">
        <f>IF($AL2170="","",$AL2170&amp;"|"&amp;COUNTIF($AL$11:$AL2170,$AL2170))</f>
        <v/>
      </c>
    </row>
    <row r="2171" spans="38:53" ht="15" customHeight="1" x14ac:dyDescent="0.25">
      <c r="AL2171" s="17"/>
      <c r="AM2171" s="12"/>
      <c r="AN2171" s="18"/>
      <c r="AO2171" s="18"/>
      <c r="AP2171" s="10"/>
      <c r="AQ2171" s="10"/>
      <c r="AR2171" s="19"/>
      <c r="AS2171" s="20"/>
      <c r="AT2171" s="19"/>
      <c r="AV2171" s="21">
        <f>IF(AND($AL2171&lt;&gt;"",COUNTIF($AL$11:$AL2171,$AL2171)=1),1,0)</f>
        <v>0</v>
      </c>
      <c r="AW2171" s="21">
        <f t="shared" si="153"/>
        <v>2</v>
      </c>
      <c r="AX2171" s="21" t="str">
        <f t="shared" si="152"/>
        <v/>
      </c>
      <c r="AY2171" s="21" t="str">
        <f>IF(AND($AM2171&lt;&gt;"",$AS2171&lt;&gt;"✓"),SUMPRODUCT(($AM$11:$AM2171&lt;&gt;"")*($AS$11:$AS2171&lt;&gt;"✓")),"")</f>
        <v/>
      </c>
      <c r="AZ2171" s="21" t="str">
        <f>IF(AND($AM2171&lt;&gt;"",$AS2171="✓"),SUMPRODUCT(($AM$11:$AM2171&lt;&gt;"")*($AS$11:$AS2171="✓")),"")</f>
        <v/>
      </c>
      <c r="BA2171" s="21" t="str">
        <f>IF($AL2171="","",$AL2171&amp;"|"&amp;COUNTIF($AL$11:$AL2171,$AL2171))</f>
        <v/>
      </c>
    </row>
    <row r="2172" spans="38:53" ht="15" customHeight="1" x14ac:dyDescent="0.25">
      <c r="AL2172" s="31"/>
      <c r="AM2172" s="26"/>
      <c r="AN2172" s="32"/>
      <c r="AO2172" s="32"/>
      <c r="AP2172" s="24"/>
      <c r="AQ2172" s="24"/>
      <c r="AR2172" s="33"/>
      <c r="AS2172" s="34"/>
      <c r="AT2172" s="33"/>
      <c r="AV2172" s="21">
        <f>IF(AND($AL2172&lt;&gt;"",COUNTIF($AL$11:$AL2172,$AL2172)=1),1,0)</f>
        <v>0</v>
      </c>
      <c r="AW2172" s="21">
        <f t="shared" si="153"/>
        <v>2</v>
      </c>
      <c r="AX2172" s="21" t="str">
        <f t="shared" si="152"/>
        <v/>
      </c>
      <c r="AY2172" s="21" t="str">
        <f>IF(AND($AM2172&lt;&gt;"",$AS2172&lt;&gt;"✓"),SUMPRODUCT(($AM$11:$AM2172&lt;&gt;"")*($AS$11:$AS2172&lt;&gt;"✓")),"")</f>
        <v/>
      </c>
      <c r="AZ2172" s="21" t="str">
        <f>IF(AND($AM2172&lt;&gt;"",$AS2172="✓"),SUMPRODUCT(($AM$11:$AM2172&lt;&gt;"")*($AS$11:$AS2172="✓")),"")</f>
        <v/>
      </c>
      <c r="BA2172" s="21" t="str">
        <f>IF($AL2172="","",$AL2172&amp;"|"&amp;COUNTIF($AL$11:$AL2172,$AL2172))</f>
        <v/>
      </c>
    </row>
    <row r="2173" spans="38:53" ht="15" customHeight="1" x14ac:dyDescent="0.25">
      <c r="AL2173" s="17"/>
      <c r="AM2173" s="12"/>
      <c r="AN2173" s="18"/>
      <c r="AO2173" s="18"/>
      <c r="AP2173" s="10"/>
      <c r="AQ2173" s="10"/>
      <c r="AR2173" s="19"/>
      <c r="AS2173" s="20"/>
      <c r="AT2173" s="19"/>
      <c r="AV2173" s="21">
        <f>IF(AND($AL2173&lt;&gt;"",COUNTIF($AL$11:$AL2173,$AL2173)=1),1,0)</f>
        <v>0</v>
      </c>
      <c r="AW2173" s="21">
        <f t="shared" si="153"/>
        <v>2</v>
      </c>
      <c r="AX2173" s="21" t="str">
        <f t="shared" si="152"/>
        <v/>
      </c>
      <c r="AY2173" s="21" t="str">
        <f>IF(AND($AM2173&lt;&gt;"",$AS2173&lt;&gt;"✓"),SUMPRODUCT(($AM$11:$AM2173&lt;&gt;"")*($AS$11:$AS2173&lt;&gt;"✓")),"")</f>
        <v/>
      </c>
      <c r="AZ2173" s="21" t="str">
        <f>IF(AND($AM2173&lt;&gt;"",$AS2173="✓"),SUMPRODUCT(($AM$11:$AM2173&lt;&gt;"")*($AS$11:$AS2173="✓")),"")</f>
        <v/>
      </c>
      <c r="BA2173" s="21" t="str">
        <f>IF($AL2173="","",$AL2173&amp;"|"&amp;COUNTIF($AL$11:$AL2173,$AL2173))</f>
        <v/>
      </c>
    </row>
    <row r="2174" spans="38:53" ht="15" customHeight="1" x14ac:dyDescent="0.25">
      <c r="AL2174" s="31"/>
      <c r="AM2174" s="26"/>
      <c r="AN2174" s="32"/>
      <c r="AO2174" s="32"/>
      <c r="AP2174" s="24"/>
      <c r="AQ2174" s="24"/>
      <c r="AR2174" s="33"/>
      <c r="AS2174" s="34"/>
      <c r="AT2174" s="33"/>
      <c r="AV2174" s="21">
        <f>IF(AND($AL2174&lt;&gt;"",COUNTIF($AL$11:$AL2174,$AL2174)=1),1,0)</f>
        <v>0</v>
      </c>
      <c r="AW2174" s="21">
        <f t="shared" si="153"/>
        <v>2</v>
      </c>
      <c r="AX2174" s="21" t="str">
        <f t="shared" si="152"/>
        <v/>
      </c>
      <c r="AY2174" s="21" t="str">
        <f>IF(AND($AM2174&lt;&gt;"",$AS2174&lt;&gt;"✓"),SUMPRODUCT(($AM$11:$AM2174&lt;&gt;"")*($AS$11:$AS2174&lt;&gt;"✓")),"")</f>
        <v/>
      </c>
      <c r="AZ2174" s="21" t="str">
        <f>IF(AND($AM2174&lt;&gt;"",$AS2174="✓"),SUMPRODUCT(($AM$11:$AM2174&lt;&gt;"")*($AS$11:$AS2174="✓")),"")</f>
        <v/>
      </c>
      <c r="BA2174" s="21" t="str">
        <f>IF($AL2174="","",$AL2174&amp;"|"&amp;COUNTIF($AL$11:$AL2174,$AL2174))</f>
        <v/>
      </c>
    </row>
    <row r="2175" spans="38:53" ht="15" customHeight="1" x14ac:dyDescent="0.25">
      <c r="AL2175" s="17"/>
      <c r="AM2175" s="12"/>
      <c r="AN2175" s="18"/>
      <c r="AO2175" s="18"/>
      <c r="AP2175" s="10"/>
      <c r="AQ2175" s="10"/>
      <c r="AR2175" s="19"/>
      <c r="AS2175" s="20"/>
      <c r="AT2175" s="19"/>
      <c r="AV2175" s="21">
        <f>IF(AND($AL2175&lt;&gt;"",COUNTIF($AL$11:$AL2175,$AL2175)=1),1,0)</f>
        <v>0</v>
      </c>
      <c r="AW2175" s="21">
        <f t="shared" si="153"/>
        <v>2</v>
      </c>
      <c r="AX2175" s="21" t="str">
        <f t="shared" si="152"/>
        <v/>
      </c>
      <c r="AY2175" s="21" t="str">
        <f>IF(AND($AM2175&lt;&gt;"",$AS2175&lt;&gt;"✓"),SUMPRODUCT(($AM$11:$AM2175&lt;&gt;"")*($AS$11:$AS2175&lt;&gt;"✓")),"")</f>
        <v/>
      </c>
      <c r="AZ2175" s="21" t="str">
        <f>IF(AND($AM2175&lt;&gt;"",$AS2175="✓"),SUMPRODUCT(($AM$11:$AM2175&lt;&gt;"")*($AS$11:$AS2175="✓")),"")</f>
        <v/>
      </c>
      <c r="BA2175" s="21" t="str">
        <f>IF($AL2175="","",$AL2175&amp;"|"&amp;COUNTIF($AL$11:$AL2175,$AL2175))</f>
        <v/>
      </c>
    </row>
    <row r="2176" spans="38:53" ht="15" customHeight="1" x14ac:dyDescent="0.25">
      <c r="AL2176" s="31"/>
      <c r="AM2176" s="26"/>
      <c r="AN2176" s="32"/>
      <c r="AO2176" s="32"/>
      <c r="AP2176" s="24"/>
      <c r="AQ2176" s="24"/>
      <c r="AR2176" s="33"/>
      <c r="AS2176" s="34"/>
      <c r="AT2176" s="33"/>
      <c r="AV2176" s="21">
        <f>IF(AND($AL2176&lt;&gt;"",COUNTIF($AL$11:$AL2176,$AL2176)=1),1,0)</f>
        <v>0</v>
      </c>
      <c r="AW2176" s="21">
        <f t="shared" si="153"/>
        <v>2</v>
      </c>
      <c r="AX2176" s="21" t="str">
        <f t="shared" si="152"/>
        <v/>
      </c>
      <c r="AY2176" s="21" t="str">
        <f>IF(AND($AM2176&lt;&gt;"",$AS2176&lt;&gt;"✓"),SUMPRODUCT(($AM$11:$AM2176&lt;&gt;"")*($AS$11:$AS2176&lt;&gt;"✓")),"")</f>
        <v/>
      </c>
      <c r="AZ2176" s="21" t="str">
        <f>IF(AND($AM2176&lt;&gt;"",$AS2176="✓"),SUMPRODUCT(($AM$11:$AM2176&lt;&gt;"")*($AS$11:$AS2176="✓")),"")</f>
        <v/>
      </c>
      <c r="BA2176" s="21" t="str">
        <f>IF($AL2176="","",$AL2176&amp;"|"&amp;COUNTIF($AL$11:$AL2176,$AL2176))</f>
        <v/>
      </c>
    </row>
    <row r="2177" spans="38:53" ht="15" customHeight="1" x14ac:dyDescent="0.25">
      <c r="AL2177" s="17"/>
      <c r="AM2177" s="12"/>
      <c r="AN2177" s="18"/>
      <c r="AO2177" s="18"/>
      <c r="AP2177" s="10"/>
      <c r="AQ2177" s="10"/>
      <c r="AR2177" s="19"/>
      <c r="AS2177" s="20"/>
      <c r="AT2177" s="19"/>
      <c r="AV2177" s="21">
        <f>IF(AND($AL2177&lt;&gt;"",COUNTIF($AL$11:$AL2177,$AL2177)=1),1,0)</f>
        <v>0</v>
      </c>
      <c r="AW2177" s="21">
        <f t="shared" si="153"/>
        <v>2</v>
      </c>
      <c r="AX2177" s="21" t="str">
        <f t="shared" si="152"/>
        <v/>
      </c>
      <c r="AY2177" s="21" t="str">
        <f>IF(AND($AM2177&lt;&gt;"",$AS2177&lt;&gt;"✓"),SUMPRODUCT(($AM$11:$AM2177&lt;&gt;"")*($AS$11:$AS2177&lt;&gt;"✓")),"")</f>
        <v/>
      </c>
      <c r="AZ2177" s="21" t="str">
        <f>IF(AND($AM2177&lt;&gt;"",$AS2177="✓"),SUMPRODUCT(($AM$11:$AM2177&lt;&gt;"")*($AS$11:$AS2177="✓")),"")</f>
        <v/>
      </c>
      <c r="BA2177" s="21" t="str">
        <f>IF($AL2177="","",$AL2177&amp;"|"&amp;COUNTIF($AL$11:$AL2177,$AL2177))</f>
        <v/>
      </c>
    </row>
    <row r="2178" spans="38:53" ht="15" customHeight="1" x14ac:dyDescent="0.25">
      <c r="AL2178" s="31"/>
      <c r="AM2178" s="26"/>
      <c r="AN2178" s="32"/>
      <c r="AO2178" s="32"/>
      <c r="AP2178" s="24"/>
      <c r="AQ2178" s="24"/>
      <c r="AR2178" s="33"/>
      <c r="AS2178" s="34"/>
      <c r="AT2178" s="33"/>
      <c r="AV2178" s="21">
        <f>IF(AND($AL2178&lt;&gt;"",COUNTIF($AL$11:$AL2178,$AL2178)=1),1,0)</f>
        <v>0</v>
      </c>
      <c r="AW2178" s="21">
        <f t="shared" si="153"/>
        <v>2</v>
      </c>
      <c r="AX2178" s="21" t="str">
        <f t="shared" si="152"/>
        <v/>
      </c>
      <c r="AY2178" s="21" t="str">
        <f>IF(AND($AM2178&lt;&gt;"",$AS2178&lt;&gt;"✓"),SUMPRODUCT(($AM$11:$AM2178&lt;&gt;"")*($AS$11:$AS2178&lt;&gt;"✓")),"")</f>
        <v/>
      </c>
      <c r="AZ2178" s="21" t="str">
        <f>IF(AND($AM2178&lt;&gt;"",$AS2178="✓"),SUMPRODUCT(($AM$11:$AM2178&lt;&gt;"")*($AS$11:$AS2178="✓")),"")</f>
        <v/>
      </c>
      <c r="BA2178" s="21" t="str">
        <f>IF($AL2178="","",$AL2178&amp;"|"&amp;COUNTIF($AL$11:$AL2178,$AL2178))</f>
        <v/>
      </c>
    </row>
    <row r="2179" spans="38:53" ht="15" customHeight="1" x14ac:dyDescent="0.25">
      <c r="AL2179" s="17"/>
      <c r="AM2179" s="12"/>
      <c r="AN2179" s="18"/>
      <c r="AO2179" s="18"/>
      <c r="AP2179" s="10"/>
      <c r="AQ2179" s="10"/>
      <c r="AR2179" s="19"/>
      <c r="AS2179" s="20"/>
      <c r="AT2179" s="19"/>
      <c r="AV2179" s="21">
        <f>IF(AND($AL2179&lt;&gt;"",COUNTIF($AL$11:$AL2179,$AL2179)=1),1,0)</f>
        <v>0</v>
      </c>
      <c r="AW2179" s="21">
        <f t="shared" si="153"/>
        <v>2</v>
      </c>
      <c r="AX2179" s="21" t="str">
        <f t="shared" si="152"/>
        <v/>
      </c>
      <c r="AY2179" s="21" t="str">
        <f>IF(AND($AM2179&lt;&gt;"",$AS2179&lt;&gt;"✓"),SUMPRODUCT(($AM$11:$AM2179&lt;&gt;"")*($AS$11:$AS2179&lt;&gt;"✓")),"")</f>
        <v/>
      </c>
      <c r="AZ2179" s="21" t="str">
        <f>IF(AND($AM2179&lt;&gt;"",$AS2179="✓"),SUMPRODUCT(($AM$11:$AM2179&lt;&gt;"")*($AS$11:$AS2179="✓")),"")</f>
        <v/>
      </c>
      <c r="BA2179" s="21" t="str">
        <f>IF($AL2179="","",$AL2179&amp;"|"&amp;COUNTIF($AL$11:$AL2179,$AL2179))</f>
        <v/>
      </c>
    </row>
    <row r="2180" spans="38:53" ht="15" customHeight="1" x14ac:dyDescent="0.25">
      <c r="AL2180" s="31"/>
      <c r="AM2180" s="26"/>
      <c r="AN2180" s="32"/>
      <c r="AO2180" s="32"/>
      <c r="AP2180" s="24"/>
      <c r="AQ2180" s="24"/>
      <c r="AR2180" s="33"/>
      <c r="AS2180" s="34"/>
      <c r="AT2180" s="33"/>
      <c r="AV2180" s="21">
        <f>IF(AND($AL2180&lt;&gt;"",COUNTIF($AL$11:$AL2180,$AL2180)=1),1,0)</f>
        <v>0</v>
      </c>
      <c r="AW2180" s="21">
        <f t="shared" si="153"/>
        <v>2</v>
      </c>
      <c r="AX2180" s="21" t="str">
        <f t="shared" si="152"/>
        <v/>
      </c>
      <c r="AY2180" s="21" t="str">
        <f>IF(AND($AM2180&lt;&gt;"",$AS2180&lt;&gt;"✓"),SUMPRODUCT(($AM$11:$AM2180&lt;&gt;"")*($AS$11:$AS2180&lt;&gt;"✓")),"")</f>
        <v/>
      </c>
      <c r="AZ2180" s="21" t="str">
        <f>IF(AND($AM2180&lt;&gt;"",$AS2180="✓"),SUMPRODUCT(($AM$11:$AM2180&lt;&gt;"")*($AS$11:$AS2180="✓")),"")</f>
        <v/>
      </c>
      <c r="BA2180" s="21" t="str">
        <f>IF($AL2180="","",$AL2180&amp;"|"&amp;COUNTIF($AL$11:$AL2180,$AL2180))</f>
        <v/>
      </c>
    </row>
    <row r="2181" spans="38:53" ht="15" customHeight="1" x14ac:dyDescent="0.25">
      <c r="AL2181" s="17"/>
      <c r="AM2181" s="12"/>
      <c r="AN2181" s="18"/>
      <c r="AO2181" s="18"/>
      <c r="AP2181" s="10"/>
      <c r="AQ2181" s="10"/>
      <c r="AR2181" s="19"/>
      <c r="AS2181" s="20"/>
      <c r="AT2181" s="19"/>
      <c r="AV2181" s="21">
        <f>IF(AND($AL2181&lt;&gt;"",COUNTIF($AL$11:$AL2181,$AL2181)=1),1,0)</f>
        <v>0</v>
      </c>
      <c r="AW2181" s="21">
        <f t="shared" si="153"/>
        <v>2</v>
      </c>
      <c r="AX2181" s="21" t="str">
        <f t="shared" si="152"/>
        <v/>
      </c>
      <c r="AY2181" s="21" t="str">
        <f>IF(AND($AM2181&lt;&gt;"",$AS2181&lt;&gt;"✓"),SUMPRODUCT(($AM$11:$AM2181&lt;&gt;"")*($AS$11:$AS2181&lt;&gt;"✓")),"")</f>
        <v/>
      </c>
      <c r="AZ2181" s="21" t="str">
        <f>IF(AND($AM2181&lt;&gt;"",$AS2181="✓"),SUMPRODUCT(($AM$11:$AM2181&lt;&gt;"")*($AS$11:$AS2181="✓")),"")</f>
        <v/>
      </c>
      <c r="BA2181" s="21" t="str">
        <f>IF($AL2181="","",$AL2181&amp;"|"&amp;COUNTIF($AL$11:$AL2181,$AL2181))</f>
        <v/>
      </c>
    </row>
    <row r="2182" spans="38:53" ht="15" customHeight="1" x14ac:dyDescent="0.25">
      <c r="AL2182" s="31"/>
      <c r="AM2182" s="26"/>
      <c r="AN2182" s="32"/>
      <c r="AO2182" s="32"/>
      <c r="AP2182" s="24"/>
      <c r="AQ2182" s="24"/>
      <c r="AR2182" s="33"/>
      <c r="AS2182" s="34"/>
      <c r="AT2182" s="33"/>
      <c r="AV2182" s="21">
        <f>IF(AND($AL2182&lt;&gt;"",COUNTIF($AL$11:$AL2182,$AL2182)=1),1,0)</f>
        <v>0</v>
      </c>
      <c r="AW2182" s="21">
        <f t="shared" si="153"/>
        <v>2</v>
      </c>
      <c r="AX2182" s="21" t="str">
        <f t="shared" si="152"/>
        <v/>
      </c>
      <c r="AY2182" s="21" t="str">
        <f>IF(AND($AM2182&lt;&gt;"",$AS2182&lt;&gt;"✓"),SUMPRODUCT(($AM$11:$AM2182&lt;&gt;"")*($AS$11:$AS2182&lt;&gt;"✓")),"")</f>
        <v/>
      </c>
      <c r="AZ2182" s="21" t="str">
        <f>IF(AND($AM2182&lt;&gt;"",$AS2182="✓"),SUMPRODUCT(($AM$11:$AM2182&lt;&gt;"")*($AS$11:$AS2182="✓")),"")</f>
        <v/>
      </c>
      <c r="BA2182" s="21" t="str">
        <f>IF($AL2182="","",$AL2182&amp;"|"&amp;COUNTIF($AL$11:$AL2182,$AL2182))</f>
        <v/>
      </c>
    </row>
    <row r="2183" spans="38:53" ht="15" customHeight="1" x14ac:dyDescent="0.25">
      <c r="AL2183" s="17"/>
      <c r="AM2183" s="12"/>
      <c r="AN2183" s="18"/>
      <c r="AO2183" s="18"/>
      <c r="AP2183" s="10"/>
      <c r="AQ2183" s="10"/>
      <c r="AR2183" s="19"/>
      <c r="AS2183" s="20"/>
      <c r="AT2183" s="19"/>
      <c r="AV2183" s="21">
        <f>IF(AND($AL2183&lt;&gt;"",COUNTIF($AL$11:$AL2183,$AL2183)=1),1,0)</f>
        <v>0</v>
      </c>
      <c r="AW2183" s="21">
        <f t="shared" si="153"/>
        <v>2</v>
      </c>
      <c r="AX2183" s="21" t="str">
        <f t="shared" si="152"/>
        <v/>
      </c>
      <c r="AY2183" s="21" t="str">
        <f>IF(AND($AM2183&lt;&gt;"",$AS2183&lt;&gt;"✓"),SUMPRODUCT(($AM$11:$AM2183&lt;&gt;"")*($AS$11:$AS2183&lt;&gt;"✓")),"")</f>
        <v/>
      </c>
      <c r="AZ2183" s="21" t="str">
        <f>IF(AND($AM2183&lt;&gt;"",$AS2183="✓"),SUMPRODUCT(($AM$11:$AM2183&lt;&gt;"")*($AS$11:$AS2183="✓")),"")</f>
        <v/>
      </c>
      <c r="BA2183" s="21" t="str">
        <f>IF($AL2183="","",$AL2183&amp;"|"&amp;COUNTIF($AL$11:$AL2183,$AL2183))</f>
        <v/>
      </c>
    </row>
    <row r="2184" spans="38:53" ht="15" customHeight="1" x14ac:dyDescent="0.25">
      <c r="AL2184" s="31"/>
      <c r="AM2184" s="26"/>
      <c r="AN2184" s="32"/>
      <c r="AO2184" s="32"/>
      <c r="AP2184" s="24"/>
      <c r="AQ2184" s="24"/>
      <c r="AR2184" s="33"/>
      <c r="AS2184" s="34"/>
      <c r="AT2184" s="33"/>
      <c r="AV2184" s="21">
        <f>IF(AND($AL2184&lt;&gt;"",COUNTIF($AL$11:$AL2184,$AL2184)=1),1,0)</f>
        <v>0</v>
      </c>
      <c r="AW2184" s="21">
        <f t="shared" si="153"/>
        <v>2</v>
      </c>
      <c r="AX2184" s="21" t="str">
        <f t="shared" si="152"/>
        <v/>
      </c>
      <c r="AY2184" s="21" t="str">
        <f>IF(AND($AM2184&lt;&gt;"",$AS2184&lt;&gt;"✓"),SUMPRODUCT(($AM$11:$AM2184&lt;&gt;"")*($AS$11:$AS2184&lt;&gt;"✓")),"")</f>
        <v/>
      </c>
      <c r="AZ2184" s="21" t="str">
        <f>IF(AND($AM2184&lt;&gt;"",$AS2184="✓"),SUMPRODUCT(($AM$11:$AM2184&lt;&gt;"")*($AS$11:$AS2184="✓")),"")</f>
        <v/>
      </c>
      <c r="BA2184" s="21" t="str">
        <f>IF($AL2184="","",$AL2184&amp;"|"&amp;COUNTIF($AL$11:$AL2184,$AL2184))</f>
        <v/>
      </c>
    </row>
    <row r="2185" spans="38:53" ht="15" customHeight="1" x14ac:dyDescent="0.25">
      <c r="AL2185" s="17"/>
      <c r="AM2185" s="12"/>
      <c r="AN2185" s="18"/>
      <c r="AO2185" s="18"/>
      <c r="AP2185" s="10"/>
      <c r="AQ2185" s="10"/>
      <c r="AR2185" s="19"/>
      <c r="AS2185" s="20"/>
      <c r="AT2185" s="19"/>
      <c r="AV2185" s="21">
        <f>IF(AND($AL2185&lt;&gt;"",COUNTIF($AL$11:$AL2185,$AL2185)=1),1,0)</f>
        <v>0</v>
      </c>
      <c r="AW2185" s="21">
        <f t="shared" si="153"/>
        <v>2</v>
      </c>
      <c r="AX2185" s="21" t="str">
        <f t="shared" si="152"/>
        <v/>
      </c>
      <c r="AY2185" s="21" t="str">
        <f>IF(AND($AM2185&lt;&gt;"",$AS2185&lt;&gt;"✓"),SUMPRODUCT(($AM$11:$AM2185&lt;&gt;"")*($AS$11:$AS2185&lt;&gt;"✓")),"")</f>
        <v/>
      </c>
      <c r="AZ2185" s="21" t="str">
        <f>IF(AND($AM2185&lt;&gt;"",$AS2185="✓"),SUMPRODUCT(($AM$11:$AM2185&lt;&gt;"")*($AS$11:$AS2185="✓")),"")</f>
        <v/>
      </c>
      <c r="BA2185" s="21" t="str">
        <f>IF($AL2185="","",$AL2185&amp;"|"&amp;COUNTIF($AL$11:$AL2185,$AL2185))</f>
        <v/>
      </c>
    </row>
    <row r="2186" spans="38:53" ht="15" customHeight="1" x14ac:dyDescent="0.25">
      <c r="AL2186" s="31"/>
      <c r="AM2186" s="26"/>
      <c r="AN2186" s="32"/>
      <c r="AO2186" s="32"/>
      <c r="AP2186" s="24"/>
      <c r="AQ2186" s="24"/>
      <c r="AR2186" s="33"/>
      <c r="AS2186" s="34"/>
      <c r="AT2186" s="33"/>
      <c r="AV2186" s="21">
        <f>IF(AND($AL2186&lt;&gt;"",COUNTIF($AL$11:$AL2186,$AL2186)=1),1,0)</f>
        <v>0</v>
      </c>
      <c r="AW2186" s="21">
        <f t="shared" si="153"/>
        <v>2</v>
      </c>
      <c r="AX2186" s="21" t="str">
        <f t="shared" si="152"/>
        <v/>
      </c>
      <c r="AY2186" s="21" t="str">
        <f>IF(AND($AM2186&lt;&gt;"",$AS2186&lt;&gt;"✓"),SUMPRODUCT(($AM$11:$AM2186&lt;&gt;"")*($AS$11:$AS2186&lt;&gt;"✓")),"")</f>
        <v/>
      </c>
      <c r="AZ2186" s="21" t="str">
        <f>IF(AND($AM2186&lt;&gt;"",$AS2186="✓"),SUMPRODUCT(($AM$11:$AM2186&lt;&gt;"")*($AS$11:$AS2186="✓")),"")</f>
        <v/>
      </c>
      <c r="BA2186" s="21" t="str">
        <f>IF($AL2186="","",$AL2186&amp;"|"&amp;COUNTIF($AL$11:$AL2186,$AL2186))</f>
        <v/>
      </c>
    </row>
    <row r="2187" spans="38:53" ht="15" customHeight="1" x14ac:dyDescent="0.25">
      <c r="AL2187" s="17"/>
      <c r="AM2187" s="12"/>
      <c r="AN2187" s="18"/>
      <c r="AO2187" s="18"/>
      <c r="AP2187" s="10"/>
      <c r="AQ2187" s="10"/>
      <c r="AR2187" s="19"/>
      <c r="AS2187" s="20"/>
      <c r="AT2187" s="19"/>
      <c r="AV2187" s="21">
        <f>IF(AND($AL2187&lt;&gt;"",COUNTIF($AL$11:$AL2187,$AL2187)=1),1,0)</f>
        <v>0</v>
      </c>
      <c r="AW2187" s="21">
        <f t="shared" si="153"/>
        <v>2</v>
      </c>
      <c r="AX2187" s="21" t="str">
        <f t="shared" ref="AX2187:AX2250" si="154">IF(AV2187=1,AW2187,"")</f>
        <v/>
      </c>
      <c r="AY2187" s="21" t="str">
        <f>IF(AND($AM2187&lt;&gt;"",$AS2187&lt;&gt;"✓"),SUMPRODUCT(($AM$11:$AM2187&lt;&gt;"")*($AS$11:$AS2187&lt;&gt;"✓")),"")</f>
        <v/>
      </c>
      <c r="AZ2187" s="21" t="str">
        <f>IF(AND($AM2187&lt;&gt;"",$AS2187="✓"),SUMPRODUCT(($AM$11:$AM2187&lt;&gt;"")*($AS$11:$AS2187="✓")),"")</f>
        <v/>
      </c>
      <c r="BA2187" s="21" t="str">
        <f>IF($AL2187="","",$AL2187&amp;"|"&amp;COUNTIF($AL$11:$AL2187,$AL2187))</f>
        <v/>
      </c>
    </row>
    <row r="2188" spans="38:53" ht="15" customHeight="1" x14ac:dyDescent="0.25">
      <c r="AL2188" s="31"/>
      <c r="AM2188" s="26"/>
      <c r="AN2188" s="32"/>
      <c r="AO2188" s="32"/>
      <c r="AP2188" s="24"/>
      <c r="AQ2188" s="24"/>
      <c r="AR2188" s="33"/>
      <c r="AS2188" s="34"/>
      <c r="AT2188" s="33"/>
      <c r="AV2188" s="21">
        <f>IF(AND($AL2188&lt;&gt;"",COUNTIF($AL$11:$AL2188,$AL2188)=1),1,0)</f>
        <v>0</v>
      </c>
      <c r="AW2188" s="21">
        <f t="shared" ref="AW2188:AW2251" si="155">AW2187+AV2188</f>
        <v>2</v>
      </c>
      <c r="AX2188" s="21" t="str">
        <f t="shared" si="154"/>
        <v/>
      </c>
      <c r="AY2188" s="21" t="str">
        <f>IF(AND($AM2188&lt;&gt;"",$AS2188&lt;&gt;"✓"),SUMPRODUCT(($AM$11:$AM2188&lt;&gt;"")*($AS$11:$AS2188&lt;&gt;"✓")),"")</f>
        <v/>
      </c>
      <c r="AZ2188" s="21" t="str">
        <f>IF(AND($AM2188&lt;&gt;"",$AS2188="✓"),SUMPRODUCT(($AM$11:$AM2188&lt;&gt;"")*($AS$11:$AS2188="✓")),"")</f>
        <v/>
      </c>
      <c r="BA2188" s="21" t="str">
        <f>IF($AL2188="","",$AL2188&amp;"|"&amp;COUNTIF($AL$11:$AL2188,$AL2188))</f>
        <v/>
      </c>
    </row>
    <row r="2189" spans="38:53" ht="15" customHeight="1" x14ac:dyDescent="0.25">
      <c r="AL2189" s="17"/>
      <c r="AM2189" s="12"/>
      <c r="AN2189" s="18"/>
      <c r="AO2189" s="18"/>
      <c r="AP2189" s="10"/>
      <c r="AQ2189" s="10"/>
      <c r="AR2189" s="19"/>
      <c r="AS2189" s="20"/>
      <c r="AT2189" s="19"/>
      <c r="AV2189" s="21">
        <f>IF(AND($AL2189&lt;&gt;"",COUNTIF($AL$11:$AL2189,$AL2189)=1),1,0)</f>
        <v>0</v>
      </c>
      <c r="AW2189" s="21">
        <f t="shared" si="155"/>
        <v>2</v>
      </c>
      <c r="AX2189" s="21" t="str">
        <f t="shared" si="154"/>
        <v/>
      </c>
      <c r="AY2189" s="21" t="str">
        <f>IF(AND($AM2189&lt;&gt;"",$AS2189&lt;&gt;"✓"),SUMPRODUCT(($AM$11:$AM2189&lt;&gt;"")*($AS$11:$AS2189&lt;&gt;"✓")),"")</f>
        <v/>
      </c>
      <c r="AZ2189" s="21" t="str">
        <f>IF(AND($AM2189&lt;&gt;"",$AS2189="✓"),SUMPRODUCT(($AM$11:$AM2189&lt;&gt;"")*($AS$11:$AS2189="✓")),"")</f>
        <v/>
      </c>
      <c r="BA2189" s="21" t="str">
        <f>IF($AL2189="","",$AL2189&amp;"|"&amp;COUNTIF($AL$11:$AL2189,$AL2189))</f>
        <v/>
      </c>
    </row>
    <row r="2190" spans="38:53" ht="15" customHeight="1" x14ac:dyDescent="0.25">
      <c r="AL2190" s="31"/>
      <c r="AM2190" s="26"/>
      <c r="AN2190" s="32"/>
      <c r="AO2190" s="32"/>
      <c r="AP2190" s="24"/>
      <c r="AQ2190" s="24"/>
      <c r="AR2190" s="33"/>
      <c r="AS2190" s="34"/>
      <c r="AT2190" s="33"/>
      <c r="AV2190" s="21">
        <f>IF(AND($AL2190&lt;&gt;"",COUNTIF($AL$11:$AL2190,$AL2190)=1),1,0)</f>
        <v>0</v>
      </c>
      <c r="AW2190" s="21">
        <f t="shared" si="155"/>
        <v>2</v>
      </c>
      <c r="AX2190" s="21" t="str">
        <f t="shared" si="154"/>
        <v/>
      </c>
      <c r="AY2190" s="21" t="str">
        <f>IF(AND($AM2190&lt;&gt;"",$AS2190&lt;&gt;"✓"),SUMPRODUCT(($AM$11:$AM2190&lt;&gt;"")*($AS$11:$AS2190&lt;&gt;"✓")),"")</f>
        <v/>
      </c>
      <c r="AZ2190" s="21" t="str">
        <f>IF(AND($AM2190&lt;&gt;"",$AS2190="✓"),SUMPRODUCT(($AM$11:$AM2190&lt;&gt;"")*($AS$11:$AS2190="✓")),"")</f>
        <v/>
      </c>
      <c r="BA2190" s="21" t="str">
        <f>IF($AL2190="","",$AL2190&amp;"|"&amp;COUNTIF($AL$11:$AL2190,$AL2190))</f>
        <v/>
      </c>
    </row>
    <row r="2191" spans="38:53" ht="15" customHeight="1" x14ac:dyDescent="0.25">
      <c r="AL2191" s="17"/>
      <c r="AM2191" s="12"/>
      <c r="AN2191" s="18"/>
      <c r="AO2191" s="18"/>
      <c r="AP2191" s="10"/>
      <c r="AQ2191" s="10"/>
      <c r="AR2191" s="19"/>
      <c r="AS2191" s="20"/>
      <c r="AT2191" s="19"/>
      <c r="AV2191" s="21">
        <f>IF(AND($AL2191&lt;&gt;"",COUNTIF($AL$11:$AL2191,$AL2191)=1),1,0)</f>
        <v>0</v>
      </c>
      <c r="AW2191" s="21">
        <f t="shared" si="155"/>
        <v>2</v>
      </c>
      <c r="AX2191" s="21" t="str">
        <f t="shared" si="154"/>
        <v/>
      </c>
      <c r="AY2191" s="21" t="str">
        <f>IF(AND($AM2191&lt;&gt;"",$AS2191&lt;&gt;"✓"),SUMPRODUCT(($AM$11:$AM2191&lt;&gt;"")*($AS$11:$AS2191&lt;&gt;"✓")),"")</f>
        <v/>
      </c>
      <c r="AZ2191" s="21" t="str">
        <f>IF(AND($AM2191&lt;&gt;"",$AS2191="✓"),SUMPRODUCT(($AM$11:$AM2191&lt;&gt;"")*($AS$11:$AS2191="✓")),"")</f>
        <v/>
      </c>
      <c r="BA2191" s="21" t="str">
        <f>IF($AL2191="","",$AL2191&amp;"|"&amp;COUNTIF($AL$11:$AL2191,$AL2191))</f>
        <v/>
      </c>
    </row>
    <row r="2192" spans="38:53" ht="15" customHeight="1" x14ac:dyDescent="0.25">
      <c r="AL2192" s="31"/>
      <c r="AM2192" s="26"/>
      <c r="AN2192" s="32"/>
      <c r="AO2192" s="32"/>
      <c r="AP2192" s="24"/>
      <c r="AQ2192" s="24"/>
      <c r="AR2192" s="33"/>
      <c r="AS2192" s="34"/>
      <c r="AT2192" s="33"/>
      <c r="AV2192" s="21">
        <f>IF(AND($AL2192&lt;&gt;"",COUNTIF($AL$11:$AL2192,$AL2192)=1),1,0)</f>
        <v>0</v>
      </c>
      <c r="AW2192" s="21">
        <f t="shared" si="155"/>
        <v>2</v>
      </c>
      <c r="AX2192" s="21" t="str">
        <f t="shared" si="154"/>
        <v/>
      </c>
      <c r="AY2192" s="21" t="str">
        <f>IF(AND($AM2192&lt;&gt;"",$AS2192&lt;&gt;"✓"),SUMPRODUCT(($AM$11:$AM2192&lt;&gt;"")*($AS$11:$AS2192&lt;&gt;"✓")),"")</f>
        <v/>
      </c>
      <c r="AZ2192" s="21" t="str">
        <f>IF(AND($AM2192&lt;&gt;"",$AS2192="✓"),SUMPRODUCT(($AM$11:$AM2192&lt;&gt;"")*($AS$11:$AS2192="✓")),"")</f>
        <v/>
      </c>
      <c r="BA2192" s="21" t="str">
        <f>IF($AL2192="","",$AL2192&amp;"|"&amp;COUNTIF($AL$11:$AL2192,$AL2192))</f>
        <v/>
      </c>
    </row>
    <row r="2193" spans="38:53" ht="15" customHeight="1" x14ac:dyDescent="0.25">
      <c r="AL2193" s="17"/>
      <c r="AM2193" s="12"/>
      <c r="AN2193" s="18"/>
      <c r="AO2193" s="18"/>
      <c r="AP2193" s="10"/>
      <c r="AQ2193" s="10"/>
      <c r="AR2193" s="19"/>
      <c r="AS2193" s="20"/>
      <c r="AT2193" s="19"/>
      <c r="AV2193" s="21">
        <f>IF(AND($AL2193&lt;&gt;"",COUNTIF($AL$11:$AL2193,$AL2193)=1),1,0)</f>
        <v>0</v>
      </c>
      <c r="AW2193" s="21">
        <f t="shared" si="155"/>
        <v>2</v>
      </c>
      <c r="AX2193" s="21" t="str">
        <f t="shared" si="154"/>
        <v/>
      </c>
      <c r="AY2193" s="21" t="str">
        <f>IF(AND($AM2193&lt;&gt;"",$AS2193&lt;&gt;"✓"),SUMPRODUCT(($AM$11:$AM2193&lt;&gt;"")*($AS$11:$AS2193&lt;&gt;"✓")),"")</f>
        <v/>
      </c>
      <c r="AZ2193" s="21" t="str">
        <f>IF(AND($AM2193&lt;&gt;"",$AS2193="✓"),SUMPRODUCT(($AM$11:$AM2193&lt;&gt;"")*($AS$11:$AS2193="✓")),"")</f>
        <v/>
      </c>
      <c r="BA2193" s="21" t="str">
        <f>IF($AL2193="","",$AL2193&amp;"|"&amp;COUNTIF($AL$11:$AL2193,$AL2193))</f>
        <v/>
      </c>
    </row>
    <row r="2194" spans="38:53" ht="15" customHeight="1" x14ac:dyDescent="0.25">
      <c r="AL2194" s="31"/>
      <c r="AM2194" s="26"/>
      <c r="AN2194" s="32"/>
      <c r="AO2194" s="32"/>
      <c r="AP2194" s="24"/>
      <c r="AQ2194" s="24"/>
      <c r="AR2194" s="33"/>
      <c r="AS2194" s="34"/>
      <c r="AT2194" s="33"/>
      <c r="AV2194" s="21">
        <f>IF(AND($AL2194&lt;&gt;"",COUNTIF($AL$11:$AL2194,$AL2194)=1),1,0)</f>
        <v>0</v>
      </c>
      <c r="AW2194" s="21">
        <f t="shared" si="155"/>
        <v>2</v>
      </c>
      <c r="AX2194" s="21" t="str">
        <f t="shared" si="154"/>
        <v/>
      </c>
      <c r="AY2194" s="21" t="str">
        <f>IF(AND($AM2194&lt;&gt;"",$AS2194&lt;&gt;"✓"),SUMPRODUCT(($AM$11:$AM2194&lt;&gt;"")*($AS$11:$AS2194&lt;&gt;"✓")),"")</f>
        <v/>
      </c>
      <c r="AZ2194" s="21" t="str">
        <f>IF(AND($AM2194&lt;&gt;"",$AS2194="✓"),SUMPRODUCT(($AM$11:$AM2194&lt;&gt;"")*($AS$11:$AS2194="✓")),"")</f>
        <v/>
      </c>
      <c r="BA2194" s="21" t="str">
        <f>IF($AL2194="","",$AL2194&amp;"|"&amp;COUNTIF($AL$11:$AL2194,$AL2194))</f>
        <v/>
      </c>
    </row>
    <row r="2195" spans="38:53" ht="15" customHeight="1" x14ac:dyDescent="0.25">
      <c r="AL2195" s="17"/>
      <c r="AM2195" s="12"/>
      <c r="AN2195" s="18"/>
      <c r="AO2195" s="18"/>
      <c r="AP2195" s="10"/>
      <c r="AQ2195" s="10"/>
      <c r="AR2195" s="19"/>
      <c r="AS2195" s="20"/>
      <c r="AT2195" s="19"/>
      <c r="AV2195" s="21">
        <f>IF(AND($AL2195&lt;&gt;"",COUNTIF($AL$11:$AL2195,$AL2195)=1),1,0)</f>
        <v>0</v>
      </c>
      <c r="AW2195" s="21">
        <f t="shared" si="155"/>
        <v>2</v>
      </c>
      <c r="AX2195" s="21" t="str">
        <f t="shared" si="154"/>
        <v/>
      </c>
      <c r="AY2195" s="21" t="str">
        <f>IF(AND($AM2195&lt;&gt;"",$AS2195&lt;&gt;"✓"),SUMPRODUCT(($AM$11:$AM2195&lt;&gt;"")*($AS$11:$AS2195&lt;&gt;"✓")),"")</f>
        <v/>
      </c>
      <c r="AZ2195" s="21" t="str">
        <f>IF(AND($AM2195&lt;&gt;"",$AS2195="✓"),SUMPRODUCT(($AM$11:$AM2195&lt;&gt;"")*($AS$11:$AS2195="✓")),"")</f>
        <v/>
      </c>
      <c r="BA2195" s="21" t="str">
        <f>IF($AL2195="","",$AL2195&amp;"|"&amp;COUNTIF($AL$11:$AL2195,$AL2195))</f>
        <v/>
      </c>
    </row>
    <row r="2196" spans="38:53" ht="15" customHeight="1" x14ac:dyDescent="0.25">
      <c r="AL2196" s="31"/>
      <c r="AM2196" s="26"/>
      <c r="AN2196" s="32"/>
      <c r="AO2196" s="32"/>
      <c r="AP2196" s="24"/>
      <c r="AQ2196" s="24"/>
      <c r="AR2196" s="33"/>
      <c r="AS2196" s="34"/>
      <c r="AT2196" s="33"/>
      <c r="AV2196" s="21">
        <f>IF(AND($AL2196&lt;&gt;"",COUNTIF($AL$11:$AL2196,$AL2196)=1),1,0)</f>
        <v>0</v>
      </c>
      <c r="AW2196" s="21">
        <f t="shared" si="155"/>
        <v>2</v>
      </c>
      <c r="AX2196" s="21" t="str">
        <f t="shared" si="154"/>
        <v/>
      </c>
      <c r="AY2196" s="21" t="str">
        <f>IF(AND($AM2196&lt;&gt;"",$AS2196&lt;&gt;"✓"),SUMPRODUCT(($AM$11:$AM2196&lt;&gt;"")*($AS$11:$AS2196&lt;&gt;"✓")),"")</f>
        <v/>
      </c>
      <c r="AZ2196" s="21" t="str">
        <f>IF(AND($AM2196&lt;&gt;"",$AS2196="✓"),SUMPRODUCT(($AM$11:$AM2196&lt;&gt;"")*($AS$11:$AS2196="✓")),"")</f>
        <v/>
      </c>
      <c r="BA2196" s="21" t="str">
        <f>IF($AL2196="","",$AL2196&amp;"|"&amp;COUNTIF($AL$11:$AL2196,$AL2196))</f>
        <v/>
      </c>
    </row>
    <row r="2197" spans="38:53" ht="15" customHeight="1" x14ac:dyDescent="0.25">
      <c r="AL2197" s="17"/>
      <c r="AM2197" s="12"/>
      <c r="AN2197" s="18"/>
      <c r="AO2197" s="18"/>
      <c r="AP2197" s="10"/>
      <c r="AQ2197" s="10"/>
      <c r="AR2197" s="19"/>
      <c r="AS2197" s="20"/>
      <c r="AT2197" s="19"/>
      <c r="AV2197" s="21">
        <f>IF(AND($AL2197&lt;&gt;"",COUNTIF($AL$11:$AL2197,$AL2197)=1),1,0)</f>
        <v>0</v>
      </c>
      <c r="AW2197" s="21">
        <f t="shared" si="155"/>
        <v>2</v>
      </c>
      <c r="AX2197" s="21" t="str">
        <f t="shared" si="154"/>
        <v/>
      </c>
      <c r="AY2197" s="21" t="str">
        <f>IF(AND($AM2197&lt;&gt;"",$AS2197&lt;&gt;"✓"),SUMPRODUCT(($AM$11:$AM2197&lt;&gt;"")*($AS$11:$AS2197&lt;&gt;"✓")),"")</f>
        <v/>
      </c>
      <c r="AZ2197" s="21" t="str">
        <f>IF(AND($AM2197&lt;&gt;"",$AS2197="✓"),SUMPRODUCT(($AM$11:$AM2197&lt;&gt;"")*($AS$11:$AS2197="✓")),"")</f>
        <v/>
      </c>
      <c r="BA2197" s="21" t="str">
        <f>IF($AL2197="","",$AL2197&amp;"|"&amp;COUNTIF($AL$11:$AL2197,$AL2197))</f>
        <v/>
      </c>
    </row>
    <row r="2198" spans="38:53" ht="15" customHeight="1" x14ac:dyDescent="0.25">
      <c r="AL2198" s="31"/>
      <c r="AM2198" s="26"/>
      <c r="AN2198" s="32"/>
      <c r="AO2198" s="32"/>
      <c r="AP2198" s="24"/>
      <c r="AQ2198" s="24"/>
      <c r="AR2198" s="33"/>
      <c r="AS2198" s="34"/>
      <c r="AT2198" s="33"/>
      <c r="AV2198" s="21">
        <f>IF(AND($AL2198&lt;&gt;"",COUNTIF($AL$11:$AL2198,$AL2198)=1),1,0)</f>
        <v>0</v>
      </c>
      <c r="AW2198" s="21">
        <f t="shared" si="155"/>
        <v>2</v>
      </c>
      <c r="AX2198" s="21" t="str">
        <f t="shared" si="154"/>
        <v/>
      </c>
      <c r="AY2198" s="21" t="str">
        <f>IF(AND($AM2198&lt;&gt;"",$AS2198&lt;&gt;"✓"),SUMPRODUCT(($AM$11:$AM2198&lt;&gt;"")*($AS$11:$AS2198&lt;&gt;"✓")),"")</f>
        <v/>
      </c>
      <c r="AZ2198" s="21" t="str">
        <f>IF(AND($AM2198&lt;&gt;"",$AS2198="✓"),SUMPRODUCT(($AM$11:$AM2198&lt;&gt;"")*($AS$11:$AS2198="✓")),"")</f>
        <v/>
      </c>
      <c r="BA2198" s="21" t="str">
        <f>IF($AL2198="","",$AL2198&amp;"|"&amp;COUNTIF($AL$11:$AL2198,$AL2198))</f>
        <v/>
      </c>
    </row>
    <row r="2199" spans="38:53" ht="15" customHeight="1" x14ac:dyDescent="0.25">
      <c r="AL2199" s="17"/>
      <c r="AM2199" s="12"/>
      <c r="AN2199" s="18"/>
      <c r="AO2199" s="18"/>
      <c r="AP2199" s="10"/>
      <c r="AQ2199" s="10"/>
      <c r="AR2199" s="19"/>
      <c r="AS2199" s="20"/>
      <c r="AT2199" s="19"/>
      <c r="AV2199" s="21">
        <f>IF(AND($AL2199&lt;&gt;"",COUNTIF($AL$11:$AL2199,$AL2199)=1),1,0)</f>
        <v>0</v>
      </c>
      <c r="AW2199" s="21">
        <f t="shared" si="155"/>
        <v>2</v>
      </c>
      <c r="AX2199" s="21" t="str">
        <f t="shared" si="154"/>
        <v/>
      </c>
      <c r="AY2199" s="21" t="str">
        <f>IF(AND($AM2199&lt;&gt;"",$AS2199&lt;&gt;"✓"),SUMPRODUCT(($AM$11:$AM2199&lt;&gt;"")*($AS$11:$AS2199&lt;&gt;"✓")),"")</f>
        <v/>
      </c>
      <c r="AZ2199" s="21" t="str">
        <f>IF(AND($AM2199&lt;&gt;"",$AS2199="✓"),SUMPRODUCT(($AM$11:$AM2199&lt;&gt;"")*($AS$11:$AS2199="✓")),"")</f>
        <v/>
      </c>
      <c r="BA2199" s="21" t="str">
        <f>IF($AL2199="","",$AL2199&amp;"|"&amp;COUNTIF($AL$11:$AL2199,$AL2199))</f>
        <v/>
      </c>
    </row>
    <row r="2200" spans="38:53" ht="15" customHeight="1" x14ac:dyDescent="0.25">
      <c r="AL2200" s="31"/>
      <c r="AM2200" s="26"/>
      <c r="AN2200" s="32"/>
      <c r="AO2200" s="32"/>
      <c r="AP2200" s="24"/>
      <c r="AQ2200" s="24"/>
      <c r="AR2200" s="33"/>
      <c r="AS2200" s="34"/>
      <c r="AT2200" s="33"/>
      <c r="AV2200" s="21">
        <f>IF(AND($AL2200&lt;&gt;"",COUNTIF($AL$11:$AL2200,$AL2200)=1),1,0)</f>
        <v>0</v>
      </c>
      <c r="AW2200" s="21">
        <f t="shared" si="155"/>
        <v>2</v>
      </c>
      <c r="AX2200" s="21" t="str">
        <f t="shared" si="154"/>
        <v/>
      </c>
      <c r="AY2200" s="21" t="str">
        <f>IF(AND($AM2200&lt;&gt;"",$AS2200&lt;&gt;"✓"),SUMPRODUCT(($AM$11:$AM2200&lt;&gt;"")*($AS$11:$AS2200&lt;&gt;"✓")),"")</f>
        <v/>
      </c>
      <c r="AZ2200" s="21" t="str">
        <f>IF(AND($AM2200&lt;&gt;"",$AS2200="✓"),SUMPRODUCT(($AM$11:$AM2200&lt;&gt;"")*($AS$11:$AS2200="✓")),"")</f>
        <v/>
      </c>
      <c r="BA2200" s="21" t="str">
        <f>IF($AL2200="","",$AL2200&amp;"|"&amp;COUNTIF($AL$11:$AL2200,$AL2200))</f>
        <v/>
      </c>
    </row>
    <row r="2201" spans="38:53" ht="15" customHeight="1" x14ac:dyDescent="0.25">
      <c r="AL2201" s="17"/>
      <c r="AM2201" s="12"/>
      <c r="AN2201" s="18"/>
      <c r="AO2201" s="18"/>
      <c r="AP2201" s="10"/>
      <c r="AQ2201" s="10"/>
      <c r="AR2201" s="19"/>
      <c r="AS2201" s="20"/>
      <c r="AT2201" s="19"/>
      <c r="AV2201" s="21">
        <f>IF(AND($AL2201&lt;&gt;"",COUNTIF($AL$11:$AL2201,$AL2201)=1),1,0)</f>
        <v>0</v>
      </c>
      <c r="AW2201" s="21">
        <f t="shared" si="155"/>
        <v>2</v>
      </c>
      <c r="AX2201" s="21" t="str">
        <f t="shared" si="154"/>
        <v/>
      </c>
      <c r="AY2201" s="21" t="str">
        <f>IF(AND($AM2201&lt;&gt;"",$AS2201&lt;&gt;"✓"),SUMPRODUCT(($AM$11:$AM2201&lt;&gt;"")*($AS$11:$AS2201&lt;&gt;"✓")),"")</f>
        <v/>
      </c>
      <c r="AZ2201" s="21" t="str">
        <f>IF(AND($AM2201&lt;&gt;"",$AS2201="✓"),SUMPRODUCT(($AM$11:$AM2201&lt;&gt;"")*($AS$11:$AS2201="✓")),"")</f>
        <v/>
      </c>
      <c r="BA2201" s="21" t="str">
        <f>IF($AL2201="","",$AL2201&amp;"|"&amp;COUNTIF($AL$11:$AL2201,$AL2201))</f>
        <v/>
      </c>
    </row>
    <row r="2202" spans="38:53" ht="15" customHeight="1" x14ac:dyDescent="0.25">
      <c r="AL2202" s="31"/>
      <c r="AM2202" s="26"/>
      <c r="AN2202" s="32"/>
      <c r="AO2202" s="32"/>
      <c r="AP2202" s="24"/>
      <c r="AQ2202" s="24"/>
      <c r="AR2202" s="33"/>
      <c r="AS2202" s="34"/>
      <c r="AT2202" s="33"/>
      <c r="AV2202" s="21">
        <f>IF(AND($AL2202&lt;&gt;"",COUNTIF($AL$11:$AL2202,$AL2202)=1),1,0)</f>
        <v>0</v>
      </c>
      <c r="AW2202" s="21">
        <f t="shared" si="155"/>
        <v>2</v>
      </c>
      <c r="AX2202" s="21" t="str">
        <f t="shared" si="154"/>
        <v/>
      </c>
      <c r="AY2202" s="21" t="str">
        <f>IF(AND($AM2202&lt;&gt;"",$AS2202&lt;&gt;"✓"),SUMPRODUCT(($AM$11:$AM2202&lt;&gt;"")*($AS$11:$AS2202&lt;&gt;"✓")),"")</f>
        <v/>
      </c>
      <c r="AZ2202" s="21" t="str">
        <f>IF(AND($AM2202&lt;&gt;"",$AS2202="✓"),SUMPRODUCT(($AM$11:$AM2202&lt;&gt;"")*($AS$11:$AS2202="✓")),"")</f>
        <v/>
      </c>
      <c r="BA2202" s="21" t="str">
        <f>IF($AL2202="","",$AL2202&amp;"|"&amp;COUNTIF($AL$11:$AL2202,$AL2202))</f>
        <v/>
      </c>
    </row>
    <row r="2203" spans="38:53" ht="15" customHeight="1" x14ac:dyDescent="0.25">
      <c r="AL2203" s="17"/>
      <c r="AM2203" s="12"/>
      <c r="AN2203" s="18"/>
      <c r="AO2203" s="18"/>
      <c r="AP2203" s="10"/>
      <c r="AQ2203" s="10"/>
      <c r="AR2203" s="19"/>
      <c r="AS2203" s="20"/>
      <c r="AT2203" s="19"/>
      <c r="AV2203" s="21">
        <f>IF(AND($AL2203&lt;&gt;"",COUNTIF($AL$11:$AL2203,$AL2203)=1),1,0)</f>
        <v>0</v>
      </c>
      <c r="AW2203" s="21">
        <f t="shared" si="155"/>
        <v>2</v>
      </c>
      <c r="AX2203" s="21" t="str">
        <f t="shared" si="154"/>
        <v/>
      </c>
      <c r="AY2203" s="21" t="str">
        <f>IF(AND($AM2203&lt;&gt;"",$AS2203&lt;&gt;"✓"),SUMPRODUCT(($AM$11:$AM2203&lt;&gt;"")*($AS$11:$AS2203&lt;&gt;"✓")),"")</f>
        <v/>
      </c>
      <c r="AZ2203" s="21" t="str">
        <f>IF(AND($AM2203&lt;&gt;"",$AS2203="✓"),SUMPRODUCT(($AM$11:$AM2203&lt;&gt;"")*($AS$11:$AS2203="✓")),"")</f>
        <v/>
      </c>
      <c r="BA2203" s="21" t="str">
        <f>IF($AL2203="","",$AL2203&amp;"|"&amp;COUNTIF($AL$11:$AL2203,$AL2203))</f>
        <v/>
      </c>
    </row>
    <row r="2204" spans="38:53" ht="15" customHeight="1" x14ac:dyDescent="0.25">
      <c r="AL2204" s="31"/>
      <c r="AM2204" s="26"/>
      <c r="AN2204" s="32"/>
      <c r="AO2204" s="32"/>
      <c r="AP2204" s="24"/>
      <c r="AQ2204" s="24"/>
      <c r="AR2204" s="33"/>
      <c r="AS2204" s="34"/>
      <c r="AT2204" s="33"/>
      <c r="AV2204" s="21">
        <f>IF(AND($AL2204&lt;&gt;"",COUNTIF($AL$11:$AL2204,$AL2204)=1),1,0)</f>
        <v>0</v>
      </c>
      <c r="AW2204" s="21">
        <f t="shared" si="155"/>
        <v>2</v>
      </c>
      <c r="AX2204" s="21" t="str">
        <f t="shared" si="154"/>
        <v/>
      </c>
      <c r="AY2204" s="21" t="str">
        <f>IF(AND($AM2204&lt;&gt;"",$AS2204&lt;&gt;"✓"),SUMPRODUCT(($AM$11:$AM2204&lt;&gt;"")*($AS$11:$AS2204&lt;&gt;"✓")),"")</f>
        <v/>
      </c>
      <c r="AZ2204" s="21" t="str">
        <f>IF(AND($AM2204&lt;&gt;"",$AS2204="✓"),SUMPRODUCT(($AM$11:$AM2204&lt;&gt;"")*($AS$11:$AS2204="✓")),"")</f>
        <v/>
      </c>
      <c r="BA2204" s="21" t="str">
        <f>IF($AL2204="","",$AL2204&amp;"|"&amp;COUNTIF($AL$11:$AL2204,$AL2204))</f>
        <v/>
      </c>
    </row>
    <row r="2205" spans="38:53" ht="15" customHeight="1" x14ac:dyDescent="0.25">
      <c r="AL2205" s="17"/>
      <c r="AM2205" s="12"/>
      <c r="AN2205" s="18"/>
      <c r="AO2205" s="18"/>
      <c r="AP2205" s="10"/>
      <c r="AQ2205" s="10"/>
      <c r="AR2205" s="19"/>
      <c r="AS2205" s="20"/>
      <c r="AT2205" s="19"/>
      <c r="AV2205" s="21">
        <f>IF(AND($AL2205&lt;&gt;"",COUNTIF($AL$11:$AL2205,$AL2205)=1),1,0)</f>
        <v>0</v>
      </c>
      <c r="AW2205" s="21">
        <f t="shared" si="155"/>
        <v>2</v>
      </c>
      <c r="AX2205" s="21" t="str">
        <f t="shared" si="154"/>
        <v/>
      </c>
      <c r="AY2205" s="21" t="str">
        <f>IF(AND($AM2205&lt;&gt;"",$AS2205&lt;&gt;"✓"),SUMPRODUCT(($AM$11:$AM2205&lt;&gt;"")*($AS$11:$AS2205&lt;&gt;"✓")),"")</f>
        <v/>
      </c>
      <c r="AZ2205" s="21" t="str">
        <f>IF(AND($AM2205&lt;&gt;"",$AS2205="✓"),SUMPRODUCT(($AM$11:$AM2205&lt;&gt;"")*($AS$11:$AS2205="✓")),"")</f>
        <v/>
      </c>
      <c r="BA2205" s="21" t="str">
        <f>IF($AL2205="","",$AL2205&amp;"|"&amp;COUNTIF($AL$11:$AL2205,$AL2205))</f>
        <v/>
      </c>
    </row>
    <row r="2206" spans="38:53" ht="15" customHeight="1" x14ac:dyDescent="0.25">
      <c r="AL2206" s="31"/>
      <c r="AM2206" s="26"/>
      <c r="AN2206" s="32"/>
      <c r="AO2206" s="32"/>
      <c r="AP2206" s="24"/>
      <c r="AQ2206" s="24"/>
      <c r="AR2206" s="33"/>
      <c r="AS2206" s="34"/>
      <c r="AT2206" s="33"/>
      <c r="AV2206" s="21">
        <f>IF(AND($AL2206&lt;&gt;"",COUNTIF($AL$11:$AL2206,$AL2206)=1),1,0)</f>
        <v>0</v>
      </c>
      <c r="AW2206" s="21">
        <f t="shared" si="155"/>
        <v>2</v>
      </c>
      <c r="AX2206" s="21" t="str">
        <f t="shared" si="154"/>
        <v/>
      </c>
      <c r="AY2206" s="21" t="str">
        <f>IF(AND($AM2206&lt;&gt;"",$AS2206&lt;&gt;"✓"),SUMPRODUCT(($AM$11:$AM2206&lt;&gt;"")*($AS$11:$AS2206&lt;&gt;"✓")),"")</f>
        <v/>
      </c>
      <c r="AZ2206" s="21" t="str">
        <f>IF(AND($AM2206&lt;&gt;"",$AS2206="✓"),SUMPRODUCT(($AM$11:$AM2206&lt;&gt;"")*($AS$11:$AS2206="✓")),"")</f>
        <v/>
      </c>
      <c r="BA2206" s="21" t="str">
        <f>IF($AL2206="","",$AL2206&amp;"|"&amp;COUNTIF($AL$11:$AL2206,$AL2206))</f>
        <v/>
      </c>
    </row>
    <row r="2207" spans="38:53" ht="15" customHeight="1" x14ac:dyDescent="0.25">
      <c r="AL2207" s="17"/>
      <c r="AM2207" s="12"/>
      <c r="AN2207" s="18"/>
      <c r="AO2207" s="18"/>
      <c r="AP2207" s="10"/>
      <c r="AQ2207" s="10"/>
      <c r="AR2207" s="19"/>
      <c r="AS2207" s="20"/>
      <c r="AT2207" s="19"/>
      <c r="AV2207" s="21">
        <f>IF(AND($AL2207&lt;&gt;"",COUNTIF($AL$11:$AL2207,$AL2207)=1),1,0)</f>
        <v>0</v>
      </c>
      <c r="AW2207" s="21">
        <f t="shared" si="155"/>
        <v>2</v>
      </c>
      <c r="AX2207" s="21" t="str">
        <f t="shared" si="154"/>
        <v/>
      </c>
      <c r="AY2207" s="21" t="str">
        <f>IF(AND($AM2207&lt;&gt;"",$AS2207&lt;&gt;"✓"),SUMPRODUCT(($AM$11:$AM2207&lt;&gt;"")*($AS$11:$AS2207&lt;&gt;"✓")),"")</f>
        <v/>
      </c>
      <c r="AZ2207" s="21" t="str">
        <f>IF(AND($AM2207&lt;&gt;"",$AS2207="✓"),SUMPRODUCT(($AM$11:$AM2207&lt;&gt;"")*($AS$11:$AS2207="✓")),"")</f>
        <v/>
      </c>
      <c r="BA2207" s="21" t="str">
        <f>IF($AL2207="","",$AL2207&amp;"|"&amp;COUNTIF($AL$11:$AL2207,$AL2207))</f>
        <v/>
      </c>
    </row>
    <row r="2208" spans="38:53" ht="15" customHeight="1" x14ac:dyDescent="0.25">
      <c r="AL2208" s="31"/>
      <c r="AM2208" s="26"/>
      <c r="AN2208" s="32"/>
      <c r="AO2208" s="32"/>
      <c r="AP2208" s="24"/>
      <c r="AQ2208" s="24"/>
      <c r="AR2208" s="33"/>
      <c r="AS2208" s="34"/>
      <c r="AT2208" s="33"/>
      <c r="AV2208" s="21">
        <f>IF(AND($AL2208&lt;&gt;"",COUNTIF($AL$11:$AL2208,$AL2208)=1),1,0)</f>
        <v>0</v>
      </c>
      <c r="AW2208" s="21">
        <f t="shared" si="155"/>
        <v>2</v>
      </c>
      <c r="AX2208" s="21" t="str">
        <f t="shared" si="154"/>
        <v/>
      </c>
      <c r="AY2208" s="21" t="str">
        <f>IF(AND($AM2208&lt;&gt;"",$AS2208&lt;&gt;"✓"),SUMPRODUCT(($AM$11:$AM2208&lt;&gt;"")*($AS$11:$AS2208&lt;&gt;"✓")),"")</f>
        <v/>
      </c>
      <c r="AZ2208" s="21" t="str">
        <f>IF(AND($AM2208&lt;&gt;"",$AS2208="✓"),SUMPRODUCT(($AM$11:$AM2208&lt;&gt;"")*($AS$11:$AS2208="✓")),"")</f>
        <v/>
      </c>
      <c r="BA2208" s="21" t="str">
        <f>IF($AL2208="","",$AL2208&amp;"|"&amp;COUNTIF($AL$11:$AL2208,$AL2208))</f>
        <v/>
      </c>
    </row>
    <row r="2209" spans="38:53" ht="15" customHeight="1" x14ac:dyDescent="0.25">
      <c r="AL2209" s="17"/>
      <c r="AM2209" s="12"/>
      <c r="AN2209" s="18"/>
      <c r="AO2209" s="18"/>
      <c r="AP2209" s="10"/>
      <c r="AQ2209" s="10"/>
      <c r="AR2209" s="19"/>
      <c r="AS2209" s="20"/>
      <c r="AT2209" s="19"/>
      <c r="AV2209" s="21">
        <f>IF(AND($AL2209&lt;&gt;"",COUNTIF($AL$11:$AL2209,$AL2209)=1),1,0)</f>
        <v>0</v>
      </c>
      <c r="AW2209" s="21">
        <f t="shared" si="155"/>
        <v>2</v>
      </c>
      <c r="AX2209" s="21" t="str">
        <f t="shared" si="154"/>
        <v/>
      </c>
      <c r="AY2209" s="21" t="str">
        <f>IF(AND($AM2209&lt;&gt;"",$AS2209&lt;&gt;"✓"),SUMPRODUCT(($AM$11:$AM2209&lt;&gt;"")*($AS$11:$AS2209&lt;&gt;"✓")),"")</f>
        <v/>
      </c>
      <c r="AZ2209" s="21" t="str">
        <f>IF(AND($AM2209&lt;&gt;"",$AS2209="✓"),SUMPRODUCT(($AM$11:$AM2209&lt;&gt;"")*($AS$11:$AS2209="✓")),"")</f>
        <v/>
      </c>
      <c r="BA2209" s="21" t="str">
        <f>IF($AL2209="","",$AL2209&amp;"|"&amp;COUNTIF($AL$11:$AL2209,$AL2209))</f>
        <v/>
      </c>
    </row>
    <row r="2210" spans="38:53" ht="15" customHeight="1" x14ac:dyDescent="0.25">
      <c r="AL2210" s="31"/>
      <c r="AM2210" s="26"/>
      <c r="AN2210" s="32"/>
      <c r="AO2210" s="32"/>
      <c r="AP2210" s="24"/>
      <c r="AQ2210" s="24"/>
      <c r="AR2210" s="33"/>
      <c r="AS2210" s="34"/>
      <c r="AT2210" s="33"/>
      <c r="AV2210" s="21">
        <f>IF(AND($AL2210&lt;&gt;"",COUNTIF($AL$11:$AL2210,$AL2210)=1),1,0)</f>
        <v>0</v>
      </c>
      <c r="AW2210" s="21">
        <f t="shared" si="155"/>
        <v>2</v>
      </c>
      <c r="AX2210" s="21" t="str">
        <f t="shared" si="154"/>
        <v/>
      </c>
      <c r="AY2210" s="21" t="str">
        <f>IF(AND($AM2210&lt;&gt;"",$AS2210&lt;&gt;"✓"),SUMPRODUCT(($AM$11:$AM2210&lt;&gt;"")*($AS$11:$AS2210&lt;&gt;"✓")),"")</f>
        <v/>
      </c>
      <c r="AZ2210" s="21" t="str">
        <f>IF(AND($AM2210&lt;&gt;"",$AS2210="✓"),SUMPRODUCT(($AM$11:$AM2210&lt;&gt;"")*($AS$11:$AS2210="✓")),"")</f>
        <v/>
      </c>
      <c r="BA2210" s="21" t="str">
        <f>IF($AL2210="","",$AL2210&amp;"|"&amp;COUNTIF($AL$11:$AL2210,$AL2210))</f>
        <v/>
      </c>
    </row>
    <row r="2211" spans="38:53" ht="15" customHeight="1" x14ac:dyDescent="0.25">
      <c r="AL2211" s="17"/>
      <c r="AM2211" s="12"/>
      <c r="AN2211" s="18"/>
      <c r="AO2211" s="18"/>
      <c r="AP2211" s="10"/>
      <c r="AQ2211" s="10"/>
      <c r="AR2211" s="19"/>
      <c r="AS2211" s="20"/>
      <c r="AT2211" s="19"/>
      <c r="AV2211" s="21">
        <f>IF(AND($AL2211&lt;&gt;"",COUNTIF($AL$11:$AL2211,$AL2211)=1),1,0)</f>
        <v>0</v>
      </c>
      <c r="AW2211" s="21">
        <f t="shared" si="155"/>
        <v>2</v>
      </c>
      <c r="AX2211" s="21" t="str">
        <f t="shared" si="154"/>
        <v/>
      </c>
      <c r="AY2211" s="21" t="str">
        <f>IF(AND($AM2211&lt;&gt;"",$AS2211&lt;&gt;"✓"),SUMPRODUCT(($AM$11:$AM2211&lt;&gt;"")*($AS$11:$AS2211&lt;&gt;"✓")),"")</f>
        <v/>
      </c>
      <c r="AZ2211" s="21" t="str">
        <f>IF(AND($AM2211&lt;&gt;"",$AS2211="✓"),SUMPRODUCT(($AM$11:$AM2211&lt;&gt;"")*($AS$11:$AS2211="✓")),"")</f>
        <v/>
      </c>
      <c r="BA2211" s="21" t="str">
        <f>IF($AL2211="","",$AL2211&amp;"|"&amp;COUNTIF($AL$11:$AL2211,$AL2211))</f>
        <v/>
      </c>
    </row>
    <row r="2212" spans="38:53" ht="15" customHeight="1" x14ac:dyDescent="0.25">
      <c r="AL2212" s="31"/>
      <c r="AM2212" s="26"/>
      <c r="AN2212" s="32"/>
      <c r="AO2212" s="32"/>
      <c r="AP2212" s="24"/>
      <c r="AQ2212" s="24"/>
      <c r="AR2212" s="33"/>
      <c r="AS2212" s="34"/>
      <c r="AT2212" s="33"/>
      <c r="AV2212" s="21">
        <f>IF(AND($AL2212&lt;&gt;"",COUNTIF($AL$11:$AL2212,$AL2212)=1),1,0)</f>
        <v>0</v>
      </c>
      <c r="AW2212" s="21">
        <f t="shared" si="155"/>
        <v>2</v>
      </c>
      <c r="AX2212" s="21" t="str">
        <f t="shared" si="154"/>
        <v/>
      </c>
      <c r="AY2212" s="21" t="str">
        <f>IF(AND($AM2212&lt;&gt;"",$AS2212&lt;&gt;"✓"),SUMPRODUCT(($AM$11:$AM2212&lt;&gt;"")*($AS$11:$AS2212&lt;&gt;"✓")),"")</f>
        <v/>
      </c>
      <c r="AZ2212" s="21" t="str">
        <f>IF(AND($AM2212&lt;&gt;"",$AS2212="✓"),SUMPRODUCT(($AM$11:$AM2212&lt;&gt;"")*($AS$11:$AS2212="✓")),"")</f>
        <v/>
      </c>
      <c r="BA2212" s="21" t="str">
        <f>IF($AL2212="","",$AL2212&amp;"|"&amp;COUNTIF($AL$11:$AL2212,$AL2212))</f>
        <v/>
      </c>
    </row>
    <row r="2213" spans="38:53" ht="15" customHeight="1" x14ac:dyDescent="0.25">
      <c r="AL2213" s="17"/>
      <c r="AM2213" s="12"/>
      <c r="AN2213" s="18"/>
      <c r="AO2213" s="18"/>
      <c r="AP2213" s="10"/>
      <c r="AQ2213" s="10"/>
      <c r="AR2213" s="19"/>
      <c r="AS2213" s="20"/>
      <c r="AT2213" s="19"/>
      <c r="AV2213" s="21">
        <f>IF(AND($AL2213&lt;&gt;"",COUNTIF($AL$11:$AL2213,$AL2213)=1),1,0)</f>
        <v>0</v>
      </c>
      <c r="AW2213" s="21">
        <f t="shared" si="155"/>
        <v>2</v>
      </c>
      <c r="AX2213" s="21" t="str">
        <f t="shared" si="154"/>
        <v/>
      </c>
      <c r="AY2213" s="21" t="str">
        <f>IF(AND($AM2213&lt;&gt;"",$AS2213&lt;&gt;"✓"),SUMPRODUCT(($AM$11:$AM2213&lt;&gt;"")*($AS$11:$AS2213&lt;&gt;"✓")),"")</f>
        <v/>
      </c>
      <c r="AZ2213" s="21" t="str">
        <f>IF(AND($AM2213&lt;&gt;"",$AS2213="✓"),SUMPRODUCT(($AM$11:$AM2213&lt;&gt;"")*($AS$11:$AS2213="✓")),"")</f>
        <v/>
      </c>
      <c r="BA2213" s="21" t="str">
        <f>IF($AL2213="","",$AL2213&amp;"|"&amp;COUNTIF($AL$11:$AL2213,$AL2213))</f>
        <v/>
      </c>
    </row>
    <row r="2214" spans="38:53" ht="15" customHeight="1" x14ac:dyDescent="0.25">
      <c r="AL2214" s="31"/>
      <c r="AM2214" s="26"/>
      <c r="AN2214" s="32"/>
      <c r="AO2214" s="32"/>
      <c r="AP2214" s="24"/>
      <c r="AQ2214" s="24"/>
      <c r="AR2214" s="33"/>
      <c r="AS2214" s="34"/>
      <c r="AT2214" s="33"/>
      <c r="AV2214" s="21">
        <f>IF(AND($AL2214&lt;&gt;"",COUNTIF($AL$11:$AL2214,$AL2214)=1),1,0)</f>
        <v>0</v>
      </c>
      <c r="AW2214" s="21">
        <f t="shared" si="155"/>
        <v>2</v>
      </c>
      <c r="AX2214" s="21" t="str">
        <f t="shared" si="154"/>
        <v/>
      </c>
      <c r="AY2214" s="21" t="str">
        <f>IF(AND($AM2214&lt;&gt;"",$AS2214&lt;&gt;"✓"),SUMPRODUCT(($AM$11:$AM2214&lt;&gt;"")*($AS$11:$AS2214&lt;&gt;"✓")),"")</f>
        <v/>
      </c>
      <c r="AZ2214" s="21" t="str">
        <f>IF(AND($AM2214&lt;&gt;"",$AS2214="✓"),SUMPRODUCT(($AM$11:$AM2214&lt;&gt;"")*($AS$11:$AS2214="✓")),"")</f>
        <v/>
      </c>
      <c r="BA2214" s="21" t="str">
        <f>IF($AL2214="","",$AL2214&amp;"|"&amp;COUNTIF($AL$11:$AL2214,$AL2214))</f>
        <v/>
      </c>
    </row>
    <row r="2215" spans="38:53" ht="15" customHeight="1" x14ac:dyDescent="0.25">
      <c r="AL2215" s="17"/>
      <c r="AM2215" s="12"/>
      <c r="AN2215" s="18"/>
      <c r="AO2215" s="18"/>
      <c r="AP2215" s="10"/>
      <c r="AQ2215" s="10"/>
      <c r="AR2215" s="19"/>
      <c r="AS2215" s="20"/>
      <c r="AT2215" s="19"/>
      <c r="AV2215" s="21">
        <f>IF(AND($AL2215&lt;&gt;"",COUNTIF($AL$11:$AL2215,$AL2215)=1),1,0)</f>
        <v>0</v>
      </c>
      <c r="AW2215" s="21">
        <f t="shared" si="155"/>
        <v>2</v>
      </c>
      <c r="AX2215" s="21" t="str">
        <f t="shared" si="154"/>
        <v/>
      </c>
      <c r="AY2215" s="21" t="str">
        <f>IF(AND($AM2215&lt;&gt;"",$AS2215&lt;&gt;"✓"),SUMPRODUCT(($AM$11:$AM2215&lt;&gt;"")*($AS$11:$AS2215&lt;&gt;"✓")),"")</f>
        <v/>
      </c>
      <c r="AZ2215" s="21" t="str">
        <f>IF(AND($AM2215&lt;&gt;"",$AS2215="✓"),SUMPRODUCT(($AM$11:$AM2215&lt;&gt;"")*($AS$11:$AS2215="✓")),"")</f>
        <v/>
      </c>
      <c r="BA2215" s="21" t="str">
        <f>IF($AL2215="","",$AL2215&amp;"|"&amp;COUNTIF($AL$11:$AL2215,$AL2215))</f>
        <v/>
      </c>
    </row>
    <row r="2216" spans="38:53" ht="15" customHeight="1" x14ac:dyDescent="0.25">
      <c r="AL2216" s="31"/>
      <c r="AM2216" s="26"/>
      <c r="AN2216" s="32"/>
      <c r="AO2216" s="32"/>
      <c r="AP2216" s="24"/>
      <c r="AQ2216" s="24"/>
      <c r="AR2216" s="33"/>
      <c r="AS2216" s="34"/>
      <c r="AT2216" s="33"/>
      <c r="AV2216" s="21">
        <f>IF(AND($AL2216&lt;&gt;"",COUNTIF($AL$11:$AL2216,$AL2216)=1),1,0)</f>
        <v>0</v>
      </c>
      <c r="AW2216" s="21">
        <f t="shared" si="155"/>
        <v>2</v>
      </c>
      <c r="AX2216" s="21" t="str">
        <f t="shared" si="154"/>
        <v/>
      </c>
      <c r="AY2216" s="21" t="str">
        <f>IF(AND($AM2216&lt;&gt;"",$AS2216&lt;&gt;"✓"),SUMPRODUCT(($AM$11:$AM2216&lt;&gt;"")*($AS$11:$AS2216&lt;&gt;"✓")),"")</f>
        <v/>
      </c>
      <c r="AZ2216" s="21" t="str">
        <f>IF(AND($AM2216&lt;&gt;"",$AS2216="✓"),SUMPRODUCT(($AM$11:$AM2216&lt;&gt;"")*($AS$11:$AS2216="✓")),"")</f>
        <v/>
      </c>
      <c r="BA2216" s="21" t="str">
        <f>IF($AL2216="","",$AL2216&amp;"|"&amp;COUNTIF($AL$11:$AL2216,$AL2216))</f>
        <v/>
      </c>
    </row>
    <row r="2217" spans="38:53" ht="15" customHeight="1" x14ac:dyDescent="0.25">
      <c r="AL2217" s="17"/>
      <c r="AM2217" s="12"/>
      <c r="AN2217" s="18"/>
      <c r="AO2217" s="18"/>
      <c r="AP2217" s="10"/>
      <c r="AQ2217" s="10"/>
      <c r="AR2217" s="19"/>
      <c r="AS2217" s="20"/>
      <c r="AT2217" s="19"/>
      <c r="AV2217" s="21">
        <f>IF(AND($AL2217&lt;&gt;"",COUNTIF($AL$11:$AL2217,$AL2217)=1),1,0)</f>
        <v>0</v>
      </c>
      <c r="AW2217" s="21">
        <f t="shared" si="155"/>
        <v>2</v>
      </c>
      <c r="AX2217" s="21" t="str">
        <f t="shared" si="154"/>
        <v/>
      </c>
      <c r="AY2217" s="21" t="str">
        <f>IF(AND($AM2217&lt;&gt;"",$AS2217&lt;&gt;"✓"),SUMPRODUCT(($AM$11:$AM2217&lt;&gt;"")*($AS$11:$AS2217&lt;&gt;"✓")),"")</f>
        <v/>
      </c>
      <c r="AZ2217" s="21" t="str">
        <f>IF(AND($AM2217&lt;&gt;"",$AS2217="✓"),SUMPRODUCT(($AM$11:$AM2217&lt;&gt;"")*($AS$11:$AS2217="✓")),"")</f>
        <v/>
      </c>
      <c r="BA2217" s="21" t="str">
        <f>IF($AL2217="","",$AL2217&amp;"|"&amp;COUNTIF($AL$11:$AL2217,$AL2217))</f>
        <v/>
      </c>
    </row>
    <row r="2218" spans="38:53" ht="15" customHeight="1" x14ac:dyDescent="0.25">
      <c r="AL2218" s="31"/>
      <c r="AM2218" s="26"/>
      <c r="AN2218" s="32"/>
      <c r="AO2218" s="32"/>
      <c r="AP2218" s="24"/>
      <c r="AQ2218" s="24"/>
      <c r="AR2218" s="33"/>
      <c r="AS2218" s="34"/>
      <c r="AT2218" s="33"/>
      <c r="AV2218" s="21">
        <f>IF(AND($AL2218&lt;&gt;"",COUNTIF($AL$11:$AL2218,$AL2218)=1),1,0)</f>
        <v>0</v>
      </c>
      <c r="AW2218" s="21">
        <f t="shared" si="155"/>
        <v>2</v>
      </c>
      <c r="AX2218" s="21" t="str">
        <f t="shared" si="154"/>
        <v/>
      </c>
      <c r="AY2218" s="21" t="str">
        <f>IF(AND($AM2218&lt;&gt;"",$AS2218&lt;&gt;"✓"),SUMPRODUCT(($AM$11:$AM2218&lt;&gt;"")*($AS$11:$AS2218&lt;&gt;"✓")),"")</f>
        <v/>
      </c>
      <c r="AZ2218" s="21" t="str">
        <f>IF(AND($AM2218&lt;&gt;"",$AS2218="✓"),SUMPRODUCT(($AM$11:$AM2218&lt;&gt;"")*($AS$11:$AS2218="✓")),"")</f>
        <v/>
      </c>
      <c r="BA2218" s="21" t="str">
        <f>IF($AL2218="","",$AL2218&amp;"|"&amp;COUNTIF($AL$11:$AL2218,$AL2218))</f>
        <v/>
      </c>
    </row>
    <row r="2219" spans="38:53" ht="15" customHeight="1" x14ac:dyDescent="0.25">
      <c r="AL2219" s="17"/>
      <c r="AM2219" s="12"/>
      <c r="AN2219" s="18"/>
      <c r="AO2219" s="18"/>
      <c r="AP2219" s="10"/>
      <c r="AQ2219" s="10"/>
      <c r="AR2219" s="19"/>
      <c r="AS2219" s="20"/>
      <c r="AT2219" s="19"/>
      <c r="AV2219" s="21">
        <f>IF(AND($AL2219&lt;&gt;"",COUNTIF($AL$11:$AL2219,$AL2219)=1),1,0)</f>
        <v>0</v>
      </c>
      <c r="AW2219" s="21">
        <f t="shared" si="155"/>
        <v>2</v>
      </c>
      <c r="AX2219" s="21" t="str">
        <f t="shared" si="154"/>
        <v/>
      </c>
      <c r="AY2219" s="21" t="str">
        <f>IF(AND($AM2219&lt;&gt;"",$AS2219&lt;&gt;"✓"),SUMPRODUCT(($AM$11:$AM2219&lt;&gt;"")*($AS$11:$AS2219&lt;&gt;"✓")),"")</f>
        <v/>
      </c>
      <c r="AZ2219" s="21" t="str">
        <f>IF(AND($AM2219&lt;&gt;"",$AS2219="✓"),SUMPRODUCT(($AM$11:$AM2219&lt;&gt;"")*($AS$11:$AS2219="✓")),"")</f>
        <v/>
      </c>
      <c r="BA2219" s="21" t="str">
        <f>IF($AL2219="","",$AL2219&amp;"|"&amp;COUNTIF($AL$11:$AL2219,$AL2219))</f>
        <v/>
      </c>
    </row>
    <row r="2220" spans="38:53" ht="15" customHeight="1" x14ac:dyDescent="0.25">
      <c r="AL2220" s="31"/>
      <c r="AM2220" s="26"/>
      <c r="AN2220" s="32"/>
      <c r="AO2220" s="32"/>
      <c r="AP2220" s="24"/>
      <c r="AQ2220" s="24"/>
      <c r="AR2220" s="33"/>
      <c r="AS2220" s="34"/>
      <c r="AT2220" s="33"/>
      <c r="AV2220" s="21">
        <f>IF(AND($AL2220&lt;&gt;"",COUNTIF($AL$11:$AL2220,$AL2220)=1),1,0)</f>
        <v>0</v>
      </c>
      <c r="AW2220" s="21">
        <f t="shared" si="155"/>
        <v>2</v>
      </c>
      <c r="AX2220" s="21" t="str">
        <f t="shared" si="154"/>
        <v/>
      </c>
      <c r="AY2220" s="21" t="str">
        <f>IF(AND($AM2220&lt;&gt;"",$AS2220&lt;&gt;"✓"),SUMPRODUCT(($AM$11:$AM2220&lt;&gt;"")*($AS$11:$AS2220&lt;&gt;"✓")),"")</f>
        <v/>
      </c>
      <c r="AZ2220" s="21" t="str">
        <f>IF(AND($AM2220&lt;&gt;"",$AS2220="✓"),SUMPRODUCT(($AM$11:$AM2220&lt;&gt;"")*($AS$11:$AS2220="✓")),"")</f>
        <v/>
      </c>
      <c r="BA2220" s="21" t="str">
        <f>IF($AL2220="","",$AL2220&amp;"|"&amp;COUNTIF($AL$11:$AL2220,$AL2220))</f>
        <v/>
      </c>
    </row>
    <row r="2221" spans="38:53" ht="15" customHeight="1" x14ac:dyDescent="0.25">
      <c r="AL2221" s="17"/>
      <c r="AM2221" s="12"/>
      <c r="AN2221" s="18"/>
      <c r="AO2221" s="18"/>
      <c r="AP2221" s="10"/>
      <c r="AQ2221" s="10"/>
      <c r="AR2221" s="19"/>
      <c r="AS2221" s="20"/>
      <c r="AT2221" s="19"/>
      <c r="AV2221" s="21">
        <f>IF(AND($AL2221&lt;&gt;"",COUNTIF($AL$11:$AL2221,$AL2221)=1),1,0)</f>
        <v>0</v>
      </c>
      <c r="AW2221" s="21">
        <f t="shared" si="155"/>
        <v>2</v>
      </c>
      <c r="AX2221" s="21" t="str">
        <f t="shared" si="154"/>
        <v/>
      </c>
      <c r="AY2221" s="21" t="str">
        <f>IF(AND($AM2221&lt;&gt;"",$AS2221&lt;&gt;"✓"),SUMPRODUCT(($AM$11:$AM2221&lt;&gt;"")*($AS$11:$AS2221&lt;&gt;"✓")),"")</f>
        <v/>
      </c>
      <c r="AZ2221" s="21" t="str">
        <f>IF(AND($AM2221&lt;&gt;"",$AS2221="✓"),SUMPRODUCT(($AM$11:$AM2221&lt;&gt;"")*($AS$11:$AS2221="✓")),"")</f>
        <v/>
      </c>
      <c r="BA2221" s="21" t="str">
        <f>IF($AL2221="","",$AL2221&amp;"|"&amp;COUNTIF($AL$11:$AL2221,$AL2221))</f>
        <v/>
      </c>
    </row>
    <row r="2222" spans="38:53" ht="15" customHeight="1" x14ac:dyDescent="0.25">
      <c r="AL2222" s="31"/>
      <c r="AM2222" s="26"/>
      <c r="AN2222" s="32"/>
      <c r="AO2222" s="32"/>
      <c r="AP2222" s="24"/>
      <c r="AQ2222" s="24"/>
      <c r="AR2222" s="33"/>
      <c r="AS2222" s="34"/>
      <c r="AT2222" s="33"/>
      <c r="AV2222" s="21">
        <f>IF(AND($AL2222&lt;&gt;"",COUNTIF($AL$11:$AL2222,$AL2222)=1),1,0)</f>
        <v>0</v>
      </c>
      <c r="AW2222" s="21">
        <f t="shared" si="155"/>
        <v>2</v>
      </c>
      <c r="AX2222" s="21" t="str">
        <f t="shared" si="154"/>
        <v/>
      </c>
      <c r="AY2222" s="21" t="str">
        <f>IF(AND($AM2222&lt;&gt;"",$AS2222&lt;&gt;"✓"),SUMPRODUCT(($AM$11:$AM2222&lt;&gt;"")*($AS$11:$AS2222&lt;&gt;"✓")),"")</f>
        <v/>
      </c>
      <c r="AZ2222" s="21" t="str">
        <f>IF(AND($AM2222&lt;&gt;"",$AS2222="✓"),SUMPRODUCT(($AM$11:$AM2222&lt;&gt;"")*($AS$11:$AS2222="✓")),"")</f>
        <v/>
      </c>
      <c r="BA2222" s="21" t="str">
        <f>IF($AL2222="","",$AL2222&amp;"|"&amp;COUNTIF($AL$11:$AL2222,$AL2222))</f>
        <v/>
      </c>
    </row>
    <row r="2223" spans="38:53" ht="15" customHeight="1" x14ac:dyDescent="0.25">
      <c r="AL2223" s="17"/>
      <c r="AM2223" s="12"/>
      <c r="AN2223" s="18"/>
      <c r="AO2223" s="18"/>
      <c r="AP2223" s="10"/>
      <c r="AQ2223" s="10"/>
      <c r="AR2223" s="19"/>
      <c r="AS2223" s="20"/>
      <c r="AT2223" s="19"/>
      <c r="AV2223" s="21">
        <f>IF(AND($AL2223&lt;&gt;"",COUNTIF($AL$11:$AL2223,$AL2223)=1),1,0)</f>
        <v>0</v>
      </c>
      <c r="AW2223" s="21">
        <f t="shared" si="155"/>
        <v>2</v>
      </c>
      <c r="AX2223" s="21" t="str">
        <f t="shared" si="154"/>
        <v/>
      </c>
      <c r="AY2223" s="21" t="str">
        <f>IF(AND($AM2223&lt;&gt;"",$AS2223&lt;&gt;"✓"),SUMPRODUCT(($AM$11:$AM2223&lt;&gt;"")*($AS$11:$AS2223&lt;&gt;"✓")),"")</f>
        <v/>
      </c>
      <c r="AZ2223" s="21" t="str">
        <f>IF(AND($AM2223&lt;&gt;"",$AS2223="✓"),SUMPRODUCT(($AM$11:$AM2223&lt;&gt;"")*($AS$11:$AS2223="✓")),"")</f>
        <v/>
      </c>
      <c r="BA2223" s="21" t="str">
        <f>IF($AL2223="","",$AL2223&amp;"|"&amp;COUNTIF($AL$11:$AL2223,$AL2223))</f>
        <v/>
      </c>
    </row>
    <row r="2224" spans="38:53" ht="15" customHeight="1" x14ac:dyDescent="0.25">
      <c r="AL2224" s="31"/>
      <c r="AM2224" s="26"/>
      <c r="AN2224" s="32"/>
      <c r="AO2224" s="32"/>
      <c r="AP2224" s="24"/>
      <c r="AQ2224" s="24"/>
      <c r="AR2224" s="33"/>
      <c r="AS2224" s="34"/>
      <c r="AT2224" s="33"/>
      <c r="AV2224" s="21">
        <f>IF(AND($AL2224&lt;&gt;"",COUNTIF($AL$11:$AL2224,$AL2224)=1),1,0)</f>
        <v>0</v>
      </c>
      <c r="AW2224" s="21">
        <f t="shared" si="155"/>
        <v>2</v>
      </c>
      <c r="AX2224" s="21" t="str">
        <f t="shared" si="154"/>
        <v/>
      </c>
      <c r="AY2224" s="21" t="str">
        <f>IF(AND($AM2224&lt;&gt;"",$AS2224&lt;&gt;"✓"),SUMPRODUCT(($AM$11:$AM2224&lt;&gt;"")*($AS$11:$AS2224&lt;&gt;"✓")),"")</f>
        <v/>
      </c>
      <c r="AZ2224" s="21" t="str">
        <f>IF(AND($AM2224&lt;&gt;"",$AS2224="✓"),SUMPRODUCT(($AM$11:$AM2224&lt;&gt;"")*($AS$11:$AS2224="✓")),"")</f>
        <v/>
      </c>
      <c r="BA2224" s="21" t="str">
        <f>IF($AL2224="","",$AL2224&amp;"|"&amp;COUNTIF($AL$11:$AL2224,$AL2224))</f>
        <v/>
      </c>
    </row>
    <row r="2225" spans="38:53" ht="15" customHeight="1" x14ac:dyDescent="0.25">
      <c r="AL2225" s="17"/>
      <c r="AM2225" s="12"/>
      <c r="AN2225" s="18"/>
      <c r="AO2225" s="18"/>
      <c r="AP2225" s="10"/>
      <c r="AQ2225" s="10"/>
      <c r="AR2225" s="19"/>
      <c r="AS2225" s="20"/>
      <c r="AT2225" s="19"/>
      <c r="AV2225" s="21">
        <f>IF(AND($AL2225&lt;&gt;"",COUNTIF($AL$11:$AL2225,$AL2225)=1),1,0)</f>
        <v>0</v>
      </c>
      <c r="AW2225" s="21">
        <f t="shared" si="155"/>
        <v>2</v>
      </c>
      <c r="AX2225" s="21" t="str">
        <f t="shared" si="154"/>
        <v/>
      </c>
      <c r="AY2225" s="21" t="str">
        <f>IF(AND($AM2225&lt;&gt;"",$AS2225&lt;&gt;"✓"),SUMPRODUCT(($AM$11:$AM2225&lt;&gt;"")*($AS$11:$AS2225&lt;&gt;"✓")),"")</f>
        <v/>
      </c>
      <c r="AZ2225" s="21" t="str">
        <f>IF(AND($AM2225&lt;&gt;"",$AS2225="✓"),SUMPRODUCT(($AM$11:$AM2225&lt;&gt;"")*($AS$11:$AS2225="✓")),"")</f>
        <v/>
      </c>
      <c r="BA2225" s="21" t="str">
        <f>IF($AL2225="","",$AL2225&amp;"|"&amp;COUNTIF($AL$11:$AL2225,$AL2225))</f>
        <v/>
      </c>
    </row>
    <row r="2226" spans="38:53" ht="15" customHeight="1" x14ac:dyDescent="0.25">
      <c r="AL2226" s="31"/>
      <c r="AM2226" s="26"/>
      <c r="AN2226" s="32"/>
      <c r="AO2226" s="32"/>
      <c r="AP2226" s="24"/>
      <c r="AQ2226" s="24"/>
      <c r="AR2226" s="33"/>
      <c r="AS2226" s="34"/>
      <c r="AT2226" s="33"/>
      <c r="AV2226" s="21">
        <f>IF(AND($AL2226&lt;&gt;"",COUNTIF($AL$11:$AL2226,$AL2226)=1),1,0)</f>
        <v>0</v>
      </c>
      <c r="AW2226" s="21">
        <f t="shared" si="155"/>
        <v>2</v>
      </c>
      <c r="AX2226" s="21" t="str">
        <f t="shared" si="154"/>
        <v/>
      </c>
      <c r="AY2226" s="21" t="str">
        <f>IF(AND($AM2226&lt;&gt;"",$AS2226&lt;&gt;"✓"),SUMPRODUCT(($AM$11:$AM2226&lt;&gt;"")*($AS$11:$AS2226&lt;&gt;"✓")),"")</f>
        <v/>
      </c>
      <c r="AZ2226" s="21" t="str">
        <f>IF(AND($AM2226&lt;&gt;"",$AS2226="✓"),SUMPRODUCT(($AM$11:$AM2226&lt;&gt;"")*($AS$11:$AS2226="✓")),"")</f>
        <v/>
      </c>
      <c r="BA2226" s="21" t="str">
        <f>IF($AL2226="","",$AL2226&amp;"|"&amp;COUNTIF($AL$11:$AL2226,$AL2226))</f>
        <v/>
      </c>
    </row>
    <row r="2227" spans="38:53" ht="15" customHeight="1" x14ac:dyDescent="0.25">
      <c r="AL2227" s="17"/>
      <c r="AM2227" s="12"/>
      <c r="AN2227" s="18"/>
      <c r="AO2227" s="18"/>
      <c r="AP2227" s="10"/>
      <c r="AQ2227" s="10"/>
      <c r="AR2227" s="19"/>
      <c r="AS2227" s="20"/>
      <c r="AT2227" s="19"/>
      <c r="AV2227" s="21">
        <f>IF(AND($AL2227&lt;&gt;"",COUNTIF($AL$11:$AL2227,$AL2227)=1),1,0)</f>
        <v>0</v>
      </c>
      <c r="AW2227" s="21">
        <f t="shared" si="155"/>
        <v>2</v>
      </c>
      <c r="AX2227" s="21" t="str">
        <f t="shared" si="154"/>
        <v/>
      </c>
      <c r="AY2227" s="21" t="str">
        <f>IF(AND($AM2227&lt;&gt;"",$AS2227&lt;&gt;"✓"),SUMPRODUCT(($AM$11:$AM2227&lt;&gt;"")*($AS$11:$AS2227&lt;&gt;"✓")),"")</f>
        <v/>
      </c>
      <c r="AZ2227" s="21" t="str">
        <f>IF(AND($AM2227&lt;&gt;"",$AS2227="✓"),SUMPRODUCT(($AM$11:$AM2227&lt;&gt;"")*($AS$11:$AS2227="✓")),"")</f>
        <v/>
      </c>
      <c r="BA2227" s="21" t="str">
        <f>IF($AL2227="","",$AL2227&amp;"|"&amp;COUNTIF($AL$11:$AL2227,$AL2227))</f>
        <v/>
      </c>
    </row>
    <row r="2228" spans="38:53" ht="15" customHeight="1" x14ac:dyDescent="0.25">
      <c r="AL2228" s="31"/>
      <c r="AM2228" s="26"/>
      <c r="AN2228" s="32"/>
      <c r="AO2228" s="32"/>
      <c r="AP2228" s="24"/>
      <c r="AQ2228" s="24"/>
      <c r="AR2228" s="33"/>
      <c r="AS2228" s="34"/>
      <c r="AT2228" s="33"/>
      <c r="AV2228" s="21">
        <f>IF(AND($AL2228&lt;&gt;"",COUNTIF($AL$11:$AL2228,$AL2228)=1),1,0)</f>
        <v>0</v>
      </c>
      <c r="AW2228" s="21">
        <f t="shared" si="155"/>
        <v>2</v>
      </c>
      <c r="AX2228" s="21" t="str">
        <f t="shared" si="154"/>
        <v/>
      </c>
      <c r="AY2228" s="21" t="str">
        <f>IF(AND($AM2228&lt;&gt;"",$AS2228&lt;&gt;"✓"),SUMPRODUCT(($AM$11:$AM2228&lt;&gt;"")*($AS$11:$AS2228&lt;&gt;"✓")),"")</f>
        <v/>
      </c>
      <c r="AZ2228" s="21" t="str">
        <f>IF(AND($AM2228&lt;&gt;"",$AS2228="✓"),SUMPRODUCT(($AM$11:$AM2228&lt;&gt;"")*($AS$11:$AS2228="✓")),"")</f>
        <v/>
      </c>
      <c r="BA2228" s="21" t="str">
        <f>IF($AL2228="","",$AL2228&amp;"|"&amp;COUNTIF($AL$11:$AL2228,$AL2228))</f>
        <v/>
      </c>
    </row>
    <row r="2229" spans="38:53" ht="15" customHeight="1" x14ac:dyDescent="0.25">
      <c r="AL2229" s="17"/>
      <c r="AM2229" s="12"/>
      <c r="AN2229" s="18"/>
      <c r="AO2229" s="18"/>
      <c r="AP2229" s="10"/>
      <c r="AQ2229" s="10"/>
      <c r="AR2229" s="19"/>
      <c r="AS2229" s="20"/>
      <c r="AT2229" s="19"/>
      <c r="AV2229" s="21">
        <f>IF(AND($AL2229&lt;&gt;"",COUNTIF($AL$11:$AL2229,$AL2229)=1),1,0)</f>
        <v>0</v>
      </c>
      <c r="AW2229" s="21">
        <f t="shared" si="155"/>
        <v>2</v>
      </c>
      <c r="AX2229" s="21" t="str">
        <f t="shared" si="154"/>
        <v/>
      </c>
      <c r="AY2229" s="21" t="str">
        <f>IF(AND($AM2229&lt;&gt;"",$AS2229&lt;&gt;"✓"),SUMPRODUCT(($AM$11:$AM2229&lt;&gt;"")*($AS$11:$AS2229&lt;&gt;"✓")),"")</f>
        <v/>
      </c>
      <c r="AZ2229" s="21" t="str">
        <f>IF(AND($AM2229&lt;&gt;"",$AS2229="✓"),SUMPRODUCT(($AM$11:$AM2229&lt;&gt;"")*($AS$11:$AS2229="✓")),"")</f>
        <v/>
      </c>
      <c r="BA2229" s="21" t="str">
        <f>IF($AL2229="","",$AL2229&amp;"|"&amp;COUNTIF($AL$11:$AL2229,$AL2229))</f>
        <v/>
      </c>
    </row>
    <row r="2230" spans="38:53" ht="15" customHeight="1" x14ac:dyDescent="0.25">
      <c r="AL2230" s="31"/>
      <c r="AM2230" s="26"/>
      <c r="AN2230" s="32"/>
      <c r="AO2230" s="32"/>
      <c r="AP2230" s="24"/>
      <c r="AQ2230" s="24"/>
      <c r="AR2230" s="33"/>
      <c r="AS2230" s="34"/>
      <c r="AT2230" s="33"/>
      <c r="AV2230" s="21">
        <f>IF(AND($AL2230&lt;&gt;"",COUNTIF($AL$11:$AL2230,$AL2230)=1),1,0)</f>
        <v>0</v>
      </c>
      <c r="AW2230" s="21">
        <f t="shared" si="155"/>
        <v>2</v>
      </c>
      <c r="AX2230" s="21" t="str">
        <f t="shared" si="154"/>
        <v/>
      </c>
      <c r="AY2230" s="21" t="str">
        <f>IF(AND($AM2230&lt;&gt;"",$AS2230&lt;&gt;"✓"),SUMPRODUCT(($AM$11:$AM2230&lt;&gt;"")*($AS$11:$AS2230&lt;&gt;"✓")),"")</f>
        <v/>
      </c>
      <c r="AZ2230" s="21" t="str">
        <f>IF(AND($AM2230&lt;&gt;"",$AS2230="✓"),SUMPRODUCT(($AM$11:$AM2230&lt;&gt;"")*($AS$11:$AS2230="✓")),"")</f>
        <v/>
      </c>
      <c r="BA2230" s="21" t="str">
        <f>IF($AL2230="","",$AL2230&amp;"|"&amp;COUNTIF($AL$11:$AL2230,$AL2230))</f>
        <v/>
      </c>
    </row>
    <row r="2231" spans="38:53" ht="15" customHeight="1" x14ac:dyDescent="0.25">
      <c r="AL2231" s="17"/>
      <c r="AM2231" s="12"/>
      <c r="AN2231" s="18"/>
      <c r="AO2231" s="18"/>
      <c r="AP2231" s="10"/>
      <c r="AQ2231" s="10"/>
      <c r="AR2231" s="19"/>
      <c r="AS2231" s="20"/>
      <c r="AT2231" s="19"/>
      <c r="AV2231" s="21">
        <f>IF(AND($AL2231&lt;&gt;"",COUNTIF($AL$11:$AL2231,$AL2231)=1),1,0)</f>
        <v>0</v>
      </c>
      <c r="AW2231" s="21">
        <f t="shared" si="155"/>
        <v>2</v>
      </c>
      <c r="AX2231" s="21" t="str">
        <f t="shared" si="154"/>
        <v/>
      </c>
      <c r="AY2231" s="21" t="str">
        <f>IF(AND($AM2231&lt;&gt;"",$AS2231&lt;&gt;"✓"),SUMPRODUCT(($AM$11:$AM2231&lt;&gt;"")*($AS$11:$AS2231&lt;&gt;"✓")),"")</f>
        <v/>
      </c>
      <c r="AZ2231" s="21" t="str">
        <f>IF(AND($AM2231&lt;&gt;"",$AS2231="✓"),SUMPRODUCT(($AM$11:$AM2231&lt;&gt;"")*($AS$11:$AS2231="✓")),"")</f>
        <v/>
      </c>
      <c r="BA2231" s="21" t="str">
        <f>IF($AL2231="","",$AL2231&amp;"|"&amp;COUNTIF($AL$11:$AL2231,$AL2231))</f>
        <v/>
      </c>
    </row>
    <row r="2232" spans="38:53" ht="15" customHeight="1" x14ac:dyDescent="0.25">
      <c r="AL2232" s="31"/>
      <c r="AM2232" s="26"/>
      <c r="AN2232" s="32"/>
      <c r="AO2232" s="32"/>
      <c r="AP2232" s="24"/>
      <c r="AQ2232" s="24"/>
      <c r="AR2232" s="33"/>
      <c r="AS2232" s="34"/>
      <c r="AT2232" s="33"/>
      <c r="AV2232" s="21">
        <f>IF(AND($AL2232&lt;&gt;"",COUNTIF($AL$11:$AL2232,$AL2232)=1),1,0)</f>
        <v>0</v>
      </c>
      <c r="AW2232" s="21">
        <f t="shared" si="155"/>
        <v>2</v>
      </c>
      <c r="AX2232" s="21" t="str">
        <f t="shared" si="154"/>
        <v/>
      </c>
      <c r="AY2232" s="21" t="str">
        <f>IF(AND($AM2232&lt;&gt;"",$AS2232&lt;&gt;"✓"),SUMPRODUCT(($AM$11:$AM2232&lt;&gt;"")*($AS$11:$AS2232&lt;&gt;"✓")),"")</f>
        <v/>
      </c>
      <c r="AZ2232" s="21" t="str">
        <f>IF(AND($AM2232&lt;&gt;"",$AS2232="✓"),SUMPRODUCT(($AM$11:$AM2232&lt;&gt;"")*($AS$11:$AS2232="✓")),"")</f>
        <v/>
      </c>
      <c r="BA2232" s="21" t="str">
        <f>IF($AL2232="","",$AL2232&amp;"|"&amp;COUNTIF($AL$11:$AL2232,$AL2232))</f>
        <v/>
      </c>
    </row>
    <row r="2233" spans="38:53" ht="15" customHeight="1" x14ac:dyDescent="0.25">
      <c r="AL2233" s="17"/>
      <c r="AM2233" s="12"/>
      <c r="AN2233" s="18"/>
      <c r="AO2233" s="18"/>
      <c r="AP2233" s="10"/>
      <c r="AQ2233" s="10"/>
      <c r="AR2233" s="19"/>
      <c r="AS2233" s="20"/>
      <c r="AT2233" s="19"/>
      <c r="AV2233" s="21">
        <f>IF(AND($AL2233&lt;&gt;"",COUNTIF($AL$11:$AL2233,$AL2233)=1),1,0)</f>
        <v>0</v>
      </c>
      <c r="AW2233" s="21">
        <f t="shared" si="155"/>
        <v>2</v>
      </c>
      <c r="AX2233" s="21" t="str">
        <f t="shared" si="154"/>
        <v/>
      </c>
      <c r="AY2233" s="21" t="str">
        <f>IF(AND($AM2233&lt;&gt;"",$AS2233&lt;&gt;"✓"),SUMPRODUCT(($AM$11:$AM2233&lt;&gt;"")*($AS$11:$AS2233&lt;&gt;"✓")),"")</f>
        <v/>
      </c>
      <c r="AZ2233" s="21" t="str">
        <f>IF(AND($AM2233&lt;&gt;"",$AS2233="✓"),SUMPRODUCT(($AM$11:$AM2233&lt;&gt;"")*($AS$11:$AS2233="✓")),"")</f>
        <v/>
      </c>
      <c r="BA2233" s="21" t="str">
        <f>IF($AL2233="","",$AL2233&amp;"|"&amp;COUNTIF($AL$11:$AL2233,$AL2233))</f>
        <v/>
      </c>
    </row>
    <row r="2234" spans="38:53" ht="15" customHeight="1" x14ac:dyDescent="0.25">
      <c r="AL2234" s="31"/>
      <c r="AM2234" s="26"/>
      <c r="AN2234" s="32"/>
      <c r="AO2234" s="32"/>
      <c r="AP2234" s="24"/>
      <c r="AQ2234" s="24"/>
      <c r="AR2234" s="33"/>
      <c r="AS2234" s="34"/>
      <c r="AT2234" s="33"/>
      <c r="AV2234" s="21">
        <f>IF(AND($AL2234&lt;&gt;"",COUNTIF($AL$11:$AL2234,$AL2234)=1),1,0)</f>
        <v>0</v>
      </c>
      <c r="AW2234" s="21">
        <f t="shared" si="155"/>
        <v>2</v>
      </c>
      <c r="AX2234" s="21" t="str">
        <f t="shared" si="154"/>
        <v/>
      </c>
      <c r="AY2234" s="21" t="str">
        <f>IF(AND($AM2234&lt;&gt;"",$AS2234&lt;&gt;"✓"),SUMPRODUCT(($AM$11:$AM2234&lt;&gt;"")*($AS$11:$AS2234&lt;&gt;"✓")),"")</f>
        <v/>
      </c>
      <c r="AZ2234" s="21" t="str">
        <f>IF(AND($AM2234&lt;&gt;"",$AS2234="✓"),SUMPRODUCT(($AM$11:$AM2234&lt;&gt;"")*($AS$11:$AS2234="✓")),"")</f>
        <v/>
      </c>
      <c r="BA2234" s="21" t="str">
        <f>IF($AL2234="","",$AL2234&amp;"|"&amp;COUNTIF($AL$11:$AL2234,$AL2234))</f>
        <v/>
      </c>
    </row>
    <row r="2235" spans="38:53" ht="15" customHeight="1" x14ac:dyDescent="0.25">
      <c r="AL2235" s="17"/>
      <c r="AM2235" s="12"/>
      <c r="AN2235" s="18"/>
      <c r="AO2235" s="18"/>
      <c r="AP2235" s="10"/>
      <c r="AQ2235" s="10"/>
      <c r="AR2235" s="19"/>
      <c r="AS2235" s="20"/>
      <c r="AT2235" s="19"/>
      <c r="AV2235" s="21">
        <f>IF(AND($AL2235&lt;&gt;"",COUNTIF($AL$11:$AL2235,$AL2235)=1),1,0)</f>
        <v>0</v>
      </c>
      <c r="AW2235" s="21">
        <f t="shared" si="155"/>
        <v>2</v>
      </c>
      <c r="AX2235" s="21" t="str">
        <f t="shared" si="154"/>
        <v/>
      </c>
      <c r="AY2235" s="21" t="str">
        <f>IF(AND($AM2235&lt;&gt;"",$AS2235&lt;&gt;"✓"),SUMPRODUCT(($AM$11:$AM2235&lt;&gt;"")*($AS$11:$AS2235&lt;&gt;"✓")),"")</f>
        <v/>
      </c>
      <c r="AZ2235" s="21" t="str">
        <f>IF(AND($AM2235&lt;&gt;"",$AS2235="✓"),SUMPRODUCT(($AM$11:$AM2235&lt;&gt;"")*($AS$11:$AS2235="✓")),"")</f>
        <v/>
      </c>
      <c r="BA2235" s="21" t="str">
        <f>IF($AL2235="","",$AL2235&amp;"|"&amp;COUNTIF($AL$11:$AL2235,$AL2235))</f>
        <v/>
      </c>
    </row>
    <row r="2236" spans="38:53" ht="15" customHeight="1" x14ac:dyDescent="0.25">
      <c r="AL2236" s="31"/>
      <c r="AM2236" s="26"/>
      <c r="AN2236" s="32"/>
      <c r="AO2236" s="32"/>
      <c r="AP2236" s="24"/>
      <c r="AQ2236" s="24"/>
      <c r="AR2236" s="33"/>
      <c r="AS2236" s="34"/>
      <c r="AT2236" s="33"/>
      <c r="AV2236" s="21">
        <f>IF(AND($AL2236&lt;&gt;"",COUNTIF($AL$11:$AL2236,$AL2236)=1),1,0)</f>
        <v>0</v>
      </c>
      <c r="AW2236" s="21">
        <f t="shared" si="155"/>
        <v>2</v>
      </c>
      <c r="AX2236" s="21" t="str">
        <f t="shared" si="154"/>
        <v/>
      </c>
      <c r="AY2236" s="21" t="str">
        <f>IF(AND($AM2236&lt;&gt;"",$AS2236&lt;&gt;"✓"),SUMPRODUCT(($AM$11:$AM2236&lt;&gt;"")*($AS$11:$AS2236&lt;&gt;"✓")),"")</f>
        <v/>
      </c>
      <c r="AZ2236" s="21" t="str">
        <f>IF(AND($AM2236&lt;&gt;"",$AS2236="✓"),SUMPRODUCT(($AM$11:$AM2236&lt;&gt;"")*($AS$11:$AS2236="✓")),"")</f>
        <v/>
      </c>
      <c r="BA2236" s="21" t="str">
        <f>IF($AL2236="","",$AL2236&amp;"|"&amp;COUNTIF($AL$11:$AL2236,$AL2236))</f>
        <v/>
      </c>
    </row>
    <row r="2237" spans="38:53" ht="15" customHeight="1" x14ac:dyDescent="0.25">
      <c r="AL2237" s="17"/>
      <c r="AM2237" s="12"/>
      <c r="AN2237" s="18"/>
      <c r="AO2237" s="18"/>
      <c r="AP2237" s="10"/>
      <c r="AQ2237" s="10"/>
      <c r="AR2237" s="19"/>
      <c r="AS2237" s="20"/>
      <c r="AT2237" s="19"/>
      <c r="AV2237" s="21">
        <f>IF(AND($AL2237&lt;&gt;"",COUNTIF($AL$11:$AL2237,$AL2237)=1),1,0)</f>
        <v>0</v>
      </c>
      <c r="AW2237" s="21">
        <f t="shared" si="155"/>
        <v>2</v>
      </c>
      <c r="AX2237" s="21" t="str">
        <f t="shared" si="154"/>
        <v/>
      </c>
      <c r="AY2237" s="21" t="str">
        <f>IF(AND($AM2237&lt;&gt;"",$AS2237&lt;&gt;"✓"),SUMPRODUCT(($AM$11:$AM2237&lt;&gt;"")*($AS$11:$AS2237&lt;&gt;"✓")),"")</f>
        <v/>
      </c>
      <c r="AZ2237" s="21" t="str">
        <f>IF(AND($AM2237&lt;&gt;"",$AS2237="✓"),SUMPRODUCT(($AM$11:$AM2237&lt;&gt;"")*($AS$11:$AS2237="✓")),"")</f>
        <v/>
      </c>
      <c r="BA2237" s="21" t="str">
        <f>IF($AL2237="","",$AL2237&amp;"|"&amp;COUNTIF($AL$11:$AL2237,$AL2237))</f>
        <v/>
      </c>
    </row>
    <row r="2238" spans="38:53" ht="15" customHeight="1" x14ac:dyDescent="0.25">
      <c r="AL2238" s="31"/>
      <c r="AM2238" s="26"/>
      <c r="AN2238" s="32"/>
      <c r="AO2238" s="32"/>
      <c r="AP2238" s="24"/>
      <c r="AQ2238" s="24"/>
      <c r="AR2238" s="33"/>
      <c r="AS2238" s="34"/>
      <c r="AT2238" s="33"/>
      <c r="AV2238" s="21">
        <f>IF(AND($AL2238&lt;&gt;"",COUNTIF($AL$11:$AL2238,$AL2238)=1),1,0)</f>
        <v>0</v>
      </c>
      <c r="AW2238" s="21">
        <f t="shared" si="155"/>
        <v>2</v>
      </c>
      <c r="AX2238" s="21" t="str">
        <f t="shared" si="154"/>
        <v/>
      </c>
      <c r="AY2238" s="21" t="str">
        <f>IF(AND($AM2238&lt;&gt;"",$AS2238&lt;&gt;"✓"),SUMPRODUCT(($AM$11:$AM2238&lt;&gt;"")*($AS$11:$AS2238&lt;&gt;"✓")),"")</f>
        <v/>
      </c>
      <c r="AZ2238" s="21" t="str">
        <f>IF(AND($AM2238&lt;&gt;"",$AS2238="✓"),SUMPRODUCT(($AM$11:$AM2238&lt;&gt;"")*($AS$11:$AS2238="✓")),"")</f>
        <v/>
      </c>
      <c r="BA2238" s="21" t="str">
        <f>IF($AL2238="","",$AL2238&amp;"|"&amp;COUNTIF($AL$11:$AL2238,$AL2238))</f>
        <v/>
      </c>
    </row>
    <row r="2239" spans="38:53" ht="15" customHeight="1" x14ac:dyDescent="0.25">
      <c r="AL2239" s="17"/>
      <c r="AM2239" s="12"/>
      <c r="AN2239" s="18"/>
      <c r="AO2239" s="18"/>
      <c r="AP2239" s="10"/>
      <c r="AQ2239" s="10"/>
      <c r="AR2239" s="19"/>
      <c r="AS2239" s="20"/>
      <c r="AT2239" s="19"/>
      <c r="AV2239" s="21">
        <f>IF(AND($AL2239&lt;&gt;"",COUNTIF($AL$11:$AL2239,$AL2239)=1),1,0)</f>
        <v>0</v>
      </c>
      <c r="AW2239" s="21">
        <f t="shared" si="155"/>
        <v>2</v>
      </c>
      <c r="AX2239" s="21" t="str">
        <f t="shared" si="154"/>
        <v/>
      </c>
      <c r="AY2239" s="21" t="str">
        <f>IF(AND($AM2239&lt;&gt;"",$AS2239&lt;&gt;"✓"),SUMPRODUCT(($AM$11:$AM2239&lt;&gt;"")*($AS$11:$AS2239&lt;&gt;"✓")),"")</f>
        <v/>
      </c>
      <c r="AZ2239" s="21" t="str">
        <f>IF(AND($AM2239&lt;&gt;"",$AS2239="✓"),SUMPRODUCT(($AM$11:$AM2239&lt;&gt;"")*($AS$11:$AS2239="✓")),"")</f>
        <v/>
      </c>
      <c r="BA2239" s="21" t="str">
        <f>IF($AL2239="","",$AL2239&amp;"|"&amp;COUNTIF($AL$11:$AL2239,$AL2239))</f>
        <v/>
      </c>
    </row>
    <row r="2240" spans="38:53" ht="15" customHeight="1" x14ac:dyDescent="0.25">
      <c r="AL2240" s="31"/>
      <c r="AM2240" s="26"/>
      <c r="AN2240" s="32"/>
      <c r="AO2240" s="32"/>
      <c r="AP2240" s="24"/>
      <c r="AQ2240" s="24"/>
      <c r="AR2240" s="33"/>
      <c r="AS2240" s="34"/>
      <c r="AT2240" s="33"/>
      <c r="AV2240" s="21">
        <f>IF(AND($AL2240&lt;&gt;"",COUNTIF($AL$11:$AL2240,$AL2240)=1),1,0)</f>
        <v>0</v>
      </c>
      <c r="AW2240" s="21">
        <f t="shared" si="155"/>
        <v>2</v>
      </c>
      <c r="AX2240" s="21" t="str">
        <f t="shared" si="154"/>
        <v/>
      </c>
      <c r="AY2240" s="21" t="str">
        <f>IF(AND($AM2240&lt;&gt;"",$AS2240&lt;&gt;"✓"),SUMPRODUCT(($AM$11:$AM2240&lt;&gt;"")*($AS$11:$AS2240&lt;&gt;"✓")),"")</f>
        <v/>
      </c>
      <c r="AZ2240" s="21" t="str">
        <f>IF(AND($AM2240&lt;&gt;"",$AS2240="✓"),SUMPRODUCT(($AM$11:$AM2240&lt;&gt;"")*($AS$11:$AS2240="✓")),"")</f>
        <v/>
      </c>
      <c r="BA2240" s="21" t="str">
        <f>IF($AL2240="","",$AL2240&amp;"|"&amp;COUNTIF($AL$11:$AL2240,$AL2240))</f>
        <v/>
      </c>
    </row>
    <row r="2241" spans="38:53" ht="15" customHeight="1" x14ac:dyDescent="0.25">
      <c r="AL2241" s="17"/>
      <c r="AM2241" s="12"/>
      <c r="AN2241" s="18"/>
      <c r="AO2241" s="18"/>
      <c r="AP2241" s="10"/>
      <c r="AQ2241" s="10"/>
      <c r="AR2241" s="19"/>
      <c r="AS2241" s="20"/>
      <c r="AT2241" s="19"/>
      <c r="AV2241" s="21">
        <f>IF(AND($AL2241&lt;&gt;"",COUNTIF($AL$11:$AL2241,$AL2241)=1),1,0)</f>
        <v>0</v>
      </c>
      <c r="AW2241" s="21">
        <f t="shared" si="155"/>
        <v>2</v>
      </c>
      <c r="AX2241" s="21" t="str">
        <f t="shared" si="154"/>
        <v/>
      </c>
      <c r="AY2241" s="21" t="str">
        <f>IF(AND($AM2241&lt;&gt;"",$AS2241&lt;&gt;"✓"),SUMPRODUCT(($AM$11:$AM2241&lt;&gt;"")*($AS$11:$AS2241&lt;&gt;"✓")),"")</f>
        <v/>
      </c>
      <c r="AZ2241" s="21" t="str">
        <f>IF(AND($AM2241&lt;&gt;"",$AS2241="✓"),SUMPRODUCT(($AM$11:$AM2241&lt;&gt;"")*($AS$11:$AS2241="✓")),"")</f>
        <v/>
      </c>
      <c r="BA2241" s="21" t="str">
        <f>IF($AL2241="","",$AL2241&amp;"|"&amp;COUNTIF($AL$11:$AL2241,$AL2241))</f>
        <v/>
      </c>
    </row>
    <row r="2242" spans="38:53" ht="15" customHeight="1" x14ac:dyDescent="0.25">
      <c r="AL2242" s="31"/>
      <c r="AM2242" s="26"/>
      <c r="AN2242" s="32"/>
      <c r="AO2242" s="32"/>
      <c r="AP2242" s="24"/>
      <c r="AQ2242" s="24"/>
      <c r="AR2242" s="33"/>
      <c r="AS2242" s="34"/>
      <c r="AT2242" s="33"/>
      <c r="AV2242" s="21">
        <f>IF(AND($AL2242&lt;&gt;"",COUNTIF($AL$11:$AL2242,$AL2242)=1),1,0)</f>
        <v>0</v>
      </c>
      <c r="AW2242" s="21">
        <f t="shared" si="155"/>
        <v>2</v>
      </c>
      <c r="AX2242" s="21" t="str">
        <f t="shared" si="154"/>
        <v/>
      </c>
      <c r="AY2242" s="21" t="str">
        <f>IF(AND($AM2242&lt;&gt;"",$AS2242&lt;&gt;"✓"),SUMPRODUCT(($AM$11:$AM2242&lt;&gt;"")*($AS$11:$AS2242&lt;&gt;"✓")),"")</f>
        <v/>
      </c>
      <c r="AZ2242" s="21" t="str">
        <f>IF(AND($AM2242&lt;&gt;"",$AS2242="✓"),SUMPRODUCT(($AM$11:$AM2242&lt;&gt;"")*($AS$11:$AS2242="✓")),"")</f>
        <v/>
      </c>
      <c r="BA2242" s="21" t="str">
        <f>IF($AL2242="","",$AL2242&amp;"|"&amp;COUNTIF($AL$11:$AL2242,$AL2242))</f>
        <v/>
      </c>
    </row>
    <row r="2243" spans="38:53" ht="15" customHeight="1" x14ac:dyDescent="0.25">
      <c r="AL2243" s="17"/>
      <c r="AM2243" s="12"/>
      <c r="AN2243" s="18"/>
      <c r="AO2243" s="18"/>
      <c r="AP2243" s="10"/>
      <c r="AQ2243" s="10"/>
      <c r="AR2243" s="19"/>
      <c r="AS2243" s="20"/>
      <c r="AT2243" s="19"/>
      <c r="AV2243" s="21">
        <f>IF(AND($AL2243&lt;&gt;"",COUNTIF($AL$11:$AL2243,$AL2243)=1),1,0)</f>
        <v>0</v>
      </c>
      <c r="AW2243" s="21">
        <f t="shared" si="155"/>
        <v>2</v>
      </c>
      <c r="AX2243" s="21" t="str">
        <f t="shared" si="154"/>
        <v/>
      </c>
      <c r="AY2243" s="21" t="str">
        <f>IF(AND($AM2243&lt;&gt;"",$AS2243&lt;&gt;"✓"),SUMPRODUCT(($AM$11:$AM2243&lt;&gt;"")*($AS$11:$AS2243&lt;&gt;"✓")),"")</f>
        <v/>
      </c>
      <c r="AZ2243" s="21" t="str">
        <f>IF(AND($AM2243&lt;&gt;"",$AS2243="✓"),SUMPRODUCT(($AM$11:$AM2243&lt;&gt;"")*($AS$11:$AS2243="✓")),"")</f>
        <v/>
      </c>
      <c r="BA2243" s="21" t="str">
        <f>IF($AL2243="","",$AL2243&amp;"|"&amp;COUNTIF($AL$11:$AL2243,$AL2243))</f>
        <v/>
      </c>
    </row>
    <row r="2244" spans="38:53" ht="15" customHeight="1" x14ac:dyDescent="0.25">
      <c r="AL2244" s="31"/>
      <c r="AM2244" s="26"/>
      <c r="AN2244" s="32"/>
      <c r="AO2244" s="32"/>
      <c r="AP2244" s="24"/>
      <c r="AQ2244" s="24"/>
      <c r="AR2244" s="33"/>
      <c r="AS2244" s="34"/>
      <c r="AT2244" s="33"/>
      <c r="AV2244" s="21">
        <f>IF(AND($AL2244&lt;&gt;"",COUNTIF($AL$11:$AL2244,$AL2244)=1),1,0)</f>
        <v>0</v>
      </c>
      <c r="AW2244" s="21">
        <f t="shared" si="155"/>
        <v>2</v>
      </c>
      <c r="AX2244" s="21" t="str">
        <f t="shared" si="154"/>
        <v/>
      </c>
      <c r="AY2244" s="21" t="str">
        <f>IF(AND($AM2244&lt;&gt;"",$AS2244&lt;&gt;"✓"),SUMPRODUCT(($AM$11:$AM2244&lt;&gt;"")*($AS$11:$AS2244&lt;&gt;"✓")),"")</f>
        <v/>
      </c>
      <c r="AZ2244" s="21" t="str">
        <f>IF(AND($AM2244&lt;&gt;"",$AS2244="✓"),SUMPRODUCT(($AM$11:$AM2244&lt;&gt;"")*($AS$11:$AS2244="✓")),"")</f>
        <v/>
      </c>
      <c r="BA2244" s="21" t="str">
        <f>IF($AL2244="","",$AL2244&amp;"|"&amp;COUNTIF($AL$11:$AL2244,$AL2244))</f>
        <v/>
      </c>
    </row>
    <row r="2245" spans="38:53" ht="15" customHeight="1" x14ac:dyDescent="0.25">
      <c r="AL2245" s="17"/>
      <c r="AM2245" s="12"/>
      <c r="AN2245" s="18"/>
      <c r="AO2245" s="18"/>
      <c r="AP2245" s="10"/>
      <c r="AQ2245" s="10"/>
      <c r="AR2245" s="19"/>
      <c r="AS2245" s="20"/>
      <c r="AT2245" s="19"/>
      <c r="AV2245" s="21">
        <f>IF(AND($AL2245&lt;&gt;"",COUNTIF($AL$11:$AL2245,$AL2245)=1),1,0)</f>
        <v>0</v>
      </c>
      <c r="AW2245" s="21">
        <f t="shared" si="155"/>
        <v>2</v>
      </c>
      <c r="AX2245" s="21" t="str">
        <f t="shared" si="154"/>
        <v/>
      </c>
      <c r="AY2245" s="21" t="str">
        <f>IF(AND($AM2245&lt;&gt;"",$AS2245&lt;&gt;"✓"),SUMPRODUCT(($AM$11:$AM2245&lt;&gt;"")*($AS$11:$AS2245&lt;&gt;"✓")),"")</f>
        <v/>
      </c>
      <c r="AZ2245" s="21" t="str">
        <f>IF(AND($AM2245&lt;&gt;"",$AS2245="✓"),SUMPRODUCT(($AM$11:$AM2245&lt;&gt;"")*($AS$11:$AS2245="✓")),"")</f>
        <v/>
      </c>
      <c r="BA2245" s="21" t="str">
        <f>IF($AL2245="","",$AL2245&amp;"|"&amp;COUNTIF($AL$11:$AL2245,$AL2245))</f>
        <v/>
      </c>
    </row>
    <row r="2246" spans="38:53" ht="15" customHeight="1" x14ac:dyDescent="0.25">
      <c r="AL2246" s="31"/>
      <c r="AM2246" s="26"/>
      <c r="AN2246" s="32"/>
      <c r="AO2246" s="32"/>
      <c r="AP2246" s="24"/>
      <c r="AQ2246" s="24"/>
      <c r="AR2246" s="33"/>
      <c r="AS2246" s="34"/>
      <c r="AT2246" s="33"/>
      <c r="AV2246" s="21">
        <f>IF(AND($AL2246&lt;&gt;"",COUNTIF($AL$11:$AL2246,$AL2246)=1),1,0)</f>
        <v>0</v>
      </c>
      <c r="AW2246" s="21">
        <f t="shared" si="155"/>
        <v>2</v>
      </c>
      <c r="AX2246" s="21" t="str">
        <f t="shared" si="154"/>
        <v/>
      </c>
      <c r="AY2246" s="21" t="str">
        <f>IF(AND($AM2246&lt;&gt;"",$AS2246&lt;&gt;"✓"),SUMPRODUCT(($AM$11:$AM2246&lt;&gt;"")*($AS$11:$AS2246&lt;&gt;"✓")),"")</f>
        <v/>
      </c>
      <c r="AZ2246" s="21" t="str">
        <f>IF(AND($AM2246&lt;&gt;"",$AS2246="✓"),SUMPRODUCT(($AM$11:$AM2246&lt;&gt;"")*($AS$11:$AS2246="✓")),"")</f>
        <v/>
      </c>
      <c r="BA2246" s="21" t="str">
        <f>IF($AL2246="","",$AL2246&amp;"|"&amp;COUNTIF($AL$11:$AL2246,$AL2246))</f>
        <v/>
      </c>
    </row>
    <row r="2247" spans="38:53" ht="15" customHeight="1" x14ac:dyDescent="0.25">
      <c r="AL2247" s="17"/>
      <c r="AM2247" s="12"/>
      <c r="AN2247" s="18"/>
      <c r="AO2247" s="18"/>
      <c r="AP2247" s="10"/>
      <c r="AQ2247" s="10"/>
      <c r="AR2247" s="19"/>
      <c r="AS2247" s="20"/>
      <c r="AT2247" s="19"/>
      <c r="AV2247" s="21">
        <f>IF(AND($AL2247&lt;&gt;"",COUNTIF($AL$11:$AL2247,$AL2247)=1),1,0)</f>
        <v>0</v>
      </c>
      <c r="AW2247" s="21">
        <f t="shared" si="155"/>
        <v>2</v>
      </c>
      <c r="AX2247" s="21" t="str">
        <f t="shared" si="154"/>
        <v/>
      </c>
      <c r="AY2247" s="21" t="str">
        <f>IF(AND($AM2247&lt;&gt;"",$AS2247&lt;&gt;"✓"),SUMPRODUCT(($AM$11:$AM2247&lt;&gt;"")*($AS$11:$AS2247&lt;&gt;"✓")),"")</f>
        <v/>
      </c>
      <c r="AZ2247" s="21" t="str">
        <f>IF(AND($AM2247&lt;&gt;"",$AS2247="✓"),SUMPRODUCT(($AM$11:$AM2247&lt;&gt;"")*($AS$11:$AS2247="✓")),"")</f>
        <v/>
      </c>
      <c r="BA2247" s="21" t="str">
        <f>IF($AL2247="","",$AL2247&amp;"|"&amp;COUNTIF($AL$11:$AL2247,$AL2247))</f>
        <v/>
      </c>
    </row>
    <row r="2248" spans="38:53" ht="15" customHeight="1" x14ac:dyDescent="0.25">
      <c r="AL2248" s="31"/>
      <c r="AM2248" s="26"/>
      <c r="AN2248" s="32"/>
      <c r="AO2248" s="32"/>
      <c r="AP2248" s="24"/>
      <c r="AQ2248" s="24"/>
      <c r="AR2248" s="33"/>
      <c r="AS2248" s="34"/>
      <c r="AT2248" s="33"/>
      <c r="AV2248" s="21">
        <f>IF(AND($AL2248&lt;&gt;"",COUNTIF($AL$11:$AL2248,$AL2248)=1),1,0)</f>
        <v>0</v>
      </c>
      <c r="AW2248" s="21">
        <f t="shared" si="155"/>
        <v>2</v>
      </c>
      <c r="AX2248" s="21" t="str">
        <f t="shared" si="154"/>
        <v/>
      </c>
      <c r="AY2248" s="21" t="str">
        <f>IF(AND($AM2248&lt;&gt;"",$AS2248&lt;&gt;"✓"),SUMPRODUCT(($AM$11:$AM2248&lt;&gt;"")*($AS$11:$AS2248&lt;&gt;"✓")),"")</f>
        <v/>
      </c>
      <c r="AZ2248" s="21" t="str">
        <f>IF(AND($AM2248&lt;&gt;"",$AS2248="✓"),SUMPRODUCT(($AM$11:$AM2248&lt;&gt;"")*($AS$11:$AS2248="✓")),"")</f>
        <v/>
      </c>
      <c r="BA2248" s="21" t="str">
        <f>IF($AL2248="","",$AL2248&amp;"|"&amp;COUNTIF($AL$11:$AL2248,$AL2248))</f>
        <v/>
      </c>
    </row>
    <row r="2249" spans="38:53" ht="15" customHeight="1" x14ac:dyDescent="0.25">
      <c r="AL2249" s="17"/>
      <c r="AM2249" s="12"/>
      <c r="AN2249" s="18"/>
      <c r="AO2249" s="18"/>
      <c r="AP2249" s="10"/>
      <c r="AQ2249" s="10"/>
      <c r="AR2249" s="19"/>
      <c r="AS2249" s="20"/>
      <c r="AT2249" s="19"/>
      <c r="AV2249" s="21">
        <f>IF(AND($AL2249&lt;&gt;"",COUNTIF($AL$11:$AL2249,$AL2249)=1),1,0)</f>
        <v>0</v>
      </c>
      <c r="AW2249" s="21">
        <f t="shared" si="155"/>
        <v>2</v>
      </c>
      <c r="AX2249" s="21" t="str">
        <f t="shared" si="154"/>
        <v/>
      </c>
      <c r="AY2249" s="21" t="str">
        <f>IF(AND($AM2249&lt;&gt;"",$AS2249&lt;&gt;"✓"),SUMPRODUCT(($AM$11:$AM2249&lt;&gt;"")*($AS$11:$AS2249&lt;&gt;"✓")),"")</f>
        <v/>
      </c>
      <c r="AZ2249" s="21" t="str">
        <f>IF(AND($AM2249&lt;&gt;"",$AS2249="✓"),SUMPRODUCT(($AM$11:$AM2249&lt;&gt;"")*($AS$11:$AS2249="✓")),"")</f>
        <v/>
      </c>
      <c r="BA2249" s="21" t="str">
        <f>IF($AL2249="","",$AL2249&amp;"|"&amp;COUNTIF($AL$11:$AL2249,$AL2249))</f>
        <v/>
      </c>
    </row>
    <row r="2250" spans="38:53" ht="15" customHeight="1" x14ac:dyDescent="0.25">
      <c r="AL2250" s="31"/>
      <c r="AM2250" s="26"/>
      <c r="AN2250" s="32"/>
      <c r="AO2250" s="32"/>
      <c r="AP2250" s="24"/>
      <c r="AQ2250" s="24"/>
      <c r="AR2250" s="33"/>
      <c r="AS2250" s="34"/>
      <c r="AT2250" s="33"/>
      <c r="AV2250" s="21">
        <f>IF(AND($AL2250&lt;&gt;"",COUNTIF($AL$11:$AL2250,$AL2250)=1),1,0)</f>
        <v>0</v>
      </c>
      <c r="AW2250" s="21">
        <f t="shared" si="155"/>
        <v>2</v>
      </c>
      <c r="AX2250" s="21" t="str">
        <f t="shared" si="154"/>
        <v/>
      </c>
      <c r="AY2250" s="21" t="str">
        <f>IF(AND($AM2250&lt;&gt;"",$AS2250&lt;&gt;"✓"),SUMPRODUCT(($AM$11:$AM2250&lt;&gt;"")*($AS$11:$AS2250&lt;&gt;"✓")),"")</f>
        <v/>
      </c>
      <c r="AZ2250" s="21" t="str">
        <f>IF(AND($AM2250&lt;&gt;"",$AS2250="✓"),SUMPRODUCT(($AM$11:$AM2250&lt;&gt;"")*($AS$11:$AS2250="✓")),"")</f>
        <v/>
      </c>
      <c r="BA2250" s="21" t="str">
        <f>IF($AL2250="","",$AL2250&amp;"|"&amp;COUNTIF($AL$11:$AL2250,$AL2250))</f>
        <v/>
      </c>
    </row>
    <row r="2251" spans="38:53" ht="15" customHeight="1" x14ac:dyDescent="0.25">
      <c r="AL2251" s="17"/>
      <c r="AM2251" s="12"/>
      <c r="AN2251" s="18"/>
      <c r="AO2251" s="18"/>
      <c r="AP2251" s="10"/>
      <c r="AQ2251" s="10"/>
      <c r="AR2251" s="19"/>
      <c r="AS2251" s="20"/>
      <c r="AT2251" s="19"/>
      <c r="AV2251" s="21">
        <f>IF(AND($AL2251&lt;&gt;"",COUNTIF($AL$11:$AL2251,$AL2251)=1),1,0)</f>
        <v>0</v>
      </c>
      <c r="AW2251" s="21">
        <f t="shared" si="155"/>
        <v>2</v>
      </c>
      <c r="AX2251" s="21" t="str">
        <f t="shared" ref="AX2251:AX2314" si="156">IF(AV2251=1,AW2251,"")</f>
        <v/>
      </c>
      <c r="AY2251" s="21" t="str">
        <f>IF(AND($AM2251&lt;&gt;"",$AS2251&lt;&gt;"✓"),SUMPRODUCT(($AM$11:$AM2251&lt;&gt;"")*($AS$11:$AS2251&lt;&gt;"✓")),"")</f>
        <v/>
      </c>
      <c r="AZ2251" s="21" t="str">
        <f>IF(AND($AM2251&lt;&gt;"",$AS2251="✓"),SUMPRODUCT(($AM$11:$AM2251&lt;&gt;"")*($AS$11:$AS2251="✓")),"")</f>
        <v/>
      </c>
      <c r="BA2251" s="21" t="str">
        <f>IF($AL2251="","",$AL2251&amp;"|"&amp;COUNTIF($AL$11:$AL2251,$AL2251))</f>
        <v/>
      </c>
    </row>
    <row r="2252" spans="38:53" ht="15" customHeight="1" x14ac:dyDescent="0.25">
      <c r="AL2252" s="31"/>
      <c r="AM2252" s="26"/>
      <c r="AN2252" s="32"/>
      <c r="AO2252" s="32"/>
      <c r="AP2252" s="24"/>
      <c r="AQ2252" s="24"/>
      <c r="AR2252" s="33"/>
      <c r="AS2252" s="34"/>
      <c r="AT2252" s="33"/>
      <c r="AV2252" s="21">
        <f>IF(AND($AL2252&lt;&gt;"",COUNTIF($AL$11:$AL2252,$AL2252)=1),1,0)</f>
        <v>0</v>
      </c>
      <c r="AW2252" s="21">
        <f t="shared" ref="AW2252:AW2315" si="157">AW2251+AV2252</f>
        <v>2</v>
      </c>
      <c r="AX2252" s="21" t="str">
        <f t="shared" si="156"/>
        <v/>
      </c>
      <c r="AY2252" s="21" t="str">
        <f>IF(AND($AM2252&lt;&gt;"",$AS2252&lt;&gt;"✓"),SUMPRODUCT(($AM$11:$AM2252&lt;&gt;"")*($AS$11:$AS2252&lt;&gt;"✓")),"")</f>
        <v/>
      </c>
      <c r="AZ2252" s="21" t="str">
        <f>IF(AND($AM2252&lt;&gt;"",$AS2252="✓"),SUMPRODUCT(($AM$11:$AM2252&lt;&gt;"")*($AS$11:$AS2252="✓")),"")</f>
        <v/>
      </c>
      <c r="BA2252" s="21" t="str">
        <f>IF($AL2252="","",$AL2252&amp;"|"&amp;COUNTIF($AL$11:$AL2252,$AL2252))</f>
        <v/>
      </c>
    </row>
    <row r="2253" spans="38:53" ht="15" customHeight="1" x14ac:dyDescent="0.25">
      <c r="AL2253" s="17"/>
      <c r="AM2253" s="12"/>
      <c r="AN2253" s="18"/>
      <c r="AO2253" s="18"/>
      <c r="AP2253" s="10"/>
      <c r="AQ2253" s="10"/>
      <c r="AR2253" s="19"/>
      <c r="AS2253" s="20"/>
      <c r="AT2253" s="19"/>
      <c r="AV2253" s="21">
        <f>IF(AND($AL2253&lt;&gt;"",COUNTIF($AL$11:$AL2253,$AL2253)=1),1,0)</f>
        <v>0</v>
      </c>
      <c r="AW2253" s="21">
        <f t="shared" si="157"/>
        <v>2</v>
      </c>
      <c r="AX2253" s="21" t="str">
        <f t="shared" si="156"/>
        <v/>
      </c>
      <c r="AY2253" s="21" t="str">
        <f>IF(AND($AM2253&lt;&gt;"",$AS2253&lt;&gt;"✓"),SUMPRODUCT(($AM$11:$AM2253&lt;&gt;"")*($AS$11:$AS2253&lt;&gt;"✓")),"")</f>
        <v/>
      </c>
      <c r="AZ2253" s="21" t="str">
        <f>IF(AND($AM2253&lt;&gt;"",$AS2253="✓"),SUMPRODUCT(($AM$11:$AM2253&lt;&gt;"")*($AS$11:$AS2253="✓")),"")</f>
        <v/>
      </c>
      <c r="BA2253" s="21" t="str">
        <f>IF($AL2253="","",$AL2253&amp;"|"&amp;COUNTIF($AL$11:$AL2253,$AL2253))</f>
        <v/>
      </c>
    </row>
    <row r="2254" spans="38:53" ht="15" customHeight="1" x14ac:dyDescent="0.25">
      <c r="AL2254" s="31"/>
      <c r="AM2254" s="26"/>
      <c r="AN2254" s="32"/>
      <c r="AO2254" s="32"/>
      <c r="AP2254" s="24"/>
      <c r="AQ2254" s="24"/>
      <c r="AR2254" s="33"/>
      <c r="AS2254" s="34"/>
      <c r="AT2254" s="33"/>
      <c r="AV2254" s="21">
        <f>IF(AND($AL2254&lt;&gt;"",COUNTIF($AL$11:$AL2254,$AL2254)=1),1,0)</f>
        <v>0</v>
      </c>
      <c r="AW2254" s="21">
        <f t="shared" si="157"/>
        <v>2</v>
      </c>
      <c r="AX2254" s="21" t="str">
        <f t="shared" si="156"/>
        <v/>
      </c>
      <c r="AY2254" s="21" t="str">
        <f>IF(AND($AM2254&lt;&gt;"",$AS2254&lt;&gt;"✓"),SUMPRODUCT(($AM$11:$AM2254&lt;&gt;"")*($AS$11:$AS2254&lt;&gt;"✓")),"")</f>
        <v/>
      </c>
      <c r="AZ2254" s="21" t="str">
        <f>IF(AND($AM2254&lt;&gt;"",$AS2254="✓"),SUMPRODUCT(($AM$11:$AM2254&lt;&gt;"")*($AS$11:$AS2254="✓")),"")</f>
        <v/>
      </c>
      <c r="BA2254" s="21" t="str">
        <f>IF($AL2254="","",$AL2254&amp;"|"&amp;COUNTIF($AL$11:$AL2254,$AL2254))</f>
        <v/>
      </c>
    </row>
    <row r="2255" spans="38:53" ht="15" customHeight="1" x14ac:dyDescent="0.25">
      <c r="AL2255" s="17"/>
      <c r="AM2255" s="12"/>
      <c r="AN2255" s="18"/>
      <c r="AO2255" s="18"/>
      <c r="AP2255" s="10"/>
      <c r="AQ2255" s="10"/>
      <c r="AR2255" s="19"/>
      <c r="AS2255" s="20"/>
      <c r="AT2255" s="19"/>
      <c r="AV2255" s="21">
        <f>IF(AND($AL2255&lt;&gt;"",COUNTIF($AL$11:$AL2255,$AL2255)=1),1,0)</f>
        <v>0</v>
      </c>
      <c r="AW2255" s="21">
        <f t="shared" si="157"/>
        <v>2</v>
      </c>
      <c r="AX2255" s="21" t="str">
        <f t="shared" si="156"/>
        <v/>
      </c>
      <c r="AY2255" s="21" t="str">
        <f>IF(AND($AM2255&lt;&gt;"",$AS2255&lt;&gt;"✓"),SUMPRODUCT(($AM$11:$AM2255&lt;&gt;"")*($AS$11:$AS2255&lt;&gt;"✓")),"")</f>
        <v/>
      </c>
      <c r="AZ2255" s="21" t="str">
        <f>IF(AND($AM2255&lt;&gt;"",$AS2255="✓"),SUMPRODUCT(($AM$11:$AM2255&lt;&gt;"")*($AS$11:$AS2255="✓")),"")</f>
        <v/>
      </c>
      <c r="BA2255" s="21" t="str">
        <f>IF($AL2255="","",$AL2255&amp;"|"&amp;COUNTIF($AL$11:$AL2255,$AL2255))</f>
        <v/>
      </c>
    </row>
    <row r="2256" spans="38:53" ht="15" customHeight="1" x14ac:dyDescent="0.25">
      <c r="AL2256" s="31"/>
      <c r="AM2256" s="26"/>
      <c r="AN2256" s="32"/>
      <c r="AO2256" s="32"/>
      <c r="AP2256" s="24"/>
      <c r="AQ2256" s="24"/>
      <c r="AR2256" s="33"/>
      <c r="AS2256" s="34"/>
      <c r="AT2256" s="33"/>
      <c r="AV2256" s="21">
        <f>IF(AND($AL2256&lt;&gt;"",COUNTIF($AL$11:$AL2256,$AL2256)=1),1,0)</f>
        <v>0</v>
      </c>
      <c r="AW2256" s="21">
        <f t="shared" si="157"/>
        <v>2</v>
      </c>
      <c r="AX2256" s="21" t="str">
        <f t="shared" si="156"/>
        <v/>
      </c>
      <c r="AY2256" s="21" t="str">
        <f>IF(AND($AM2256&lt;&gt;"",$AS2256&lt;&gt;"✓"),SUMPRODUCT(($AM$11:$AM2256&lt;&gt;"")*($AS$11:$AS2256&lt;&gt;"✓")),"")</f>
        <v/>
      </c>
      <c r="AZ2256" s="21" t="str">
        <f>IF(AND($AM2256&lt;&gt;"",$AS2256="✓"),SUMPRODUCT(($AM$11:$AM2256&lt;&gt;"")*($AS$11:$AS2256="✓")),"")</f>
        <v/>
      </c>
      <c r="BA2256" s="21" t="str">
        <f>IF($AL2256="","",$AL2256&amp;"|"&amp;COUNTIF($AL$11:$AL2256,$AL2256))</f>
        <v/>
      </c>
    </row>
    <row r="2257" spans="38:53" ht="15" customHeight="1" x14ac:dyDescent="0.25">
      <c r="AL2257" s="17"/>
      <c r="AM2257" s="12"/>
      <c r="AN2257" s="18"/>
      <c r="AO2257" s="18"/>
      <c r="AP2257" s="10"/>
      <c r="AQ2257" s="10"/>
      <c r="AR2257" s="19"/>
      <c r="AS2257" s="20"/>
      <c r="AT2257" s="19"/>
      <c r="AV2257" s="21">
        <f>IF(AND($AL2257&lt;&gt;"",COUNTIF($AL$11:$AL2257,$AL2257)=1),1,0)</f>
        <v>0</v>
      </c>
      <c r="AW2257" s="21">
        <f t="shared" si="157"/>
        <v>2</v>
      </c>
      <c r="AX2257" s="21" t="str">
        <f t="shared" si="156"/>
        <v/>
      </c>
      <c r="AY2257" s="21" t="str">
        <f>IF(AND($AM2257&lt;&gt;"",$AS2257&lt;&gt;"✓"),SUMPRODUCT(($AM$11:$AM2257&lt;&gt;"")*($AS$11:$AS2257&lt;&gt;"✓")),"")</f>
        <v/>
      </c>
      <c r="AZ2257" s="21" t="str">
        <f>IF(AND($AM2257&lt;&gt;"",$AS2257="✓"),SUMPRODUCT(($AM$11:$AM2257&lt;&gt;"")*($AS$11:$AS2257="✓")),"")</f>
        <v/>
      </c>
      <c r="BA2257" s="21" t="str">
        <f>IF($AL2257="","",$AL2257&amp;"|"&amp;COUNTIF($AL$11:$AL2257,$AL2257))</f>
        <v/>
      </c>
    </row>
    <row r="2258" spans="38:53" ht="15" customHeight="1" x14ac:dyDescent="0.25">
      <c r="AL2258" s="31"/>
      <c r="AM2258" s="26"/>
      <c r="AN2258" s="32"/>
      <c r="AO2258" s="32"/>
      <c r="AP2258" s="24"/>
      <c r="AQ2258" s="24"/>
      <c r="AR2258" s="33"/>
      <c r="AS2258" s="34"/>
      <c r="AT2258" s="33"/>
      <c r="AV2258" s="21">
        <f>IF(AND($AL2258&lt;&gt;"",COUNTIF($AL$11:$AL2258,$AL2258)=1),1,0)</f>
        <v>0</v>
      </c>
      <c r="AW2258" s="21">
        <f t="shared" si="157"/>
        <v>2</v>
      </c>
      <c r="AX2258" s="21" t="str">
        <f t="shared" si="156"/>
        <v/>
      </c>
      <c r="AY2258" s="21" t="str">
        <f>IF(AND($AM2258&lt;&gt;"",$AS2258&lt;&gt;"✓"),SUMPRODUCT(($AM$11:$AM2258&lt;&gt;"")*($AS$11:$AS2258&lt;&gt;"✓")),"")</f>
        <v/>
      </c>
      <c r="AZ2258" s="21" t="str">
        <f>IF(AND($AM2258&lt;&gt;"",$AS2258="✓"),SUMPRODUCT(($AM$11:$AM2258&lt;&gt;"")*($AS$11:$AS2258="✓")),"")</f>
        <v/>
      </c>
      <c r="BA2258" s="21" t="str">
        <f>IF($AL2258="","",$AL2258&amp;"|"&amp;COUNTIF($AL$11:$AL2258,$AL2258))</f>
        <v/>
      </c>
    </row>
    <row r="2259" spans="38:53" ht="15" customHeight="1" x14ac:dyDescent="0.25">
      <c r="AL2259" s="17"/>
      <c r="AM2259" s="12"/>
      <c r="AN2259" s="18"/>
      <c r="AO2259" s="18"/>
      <c r="AP2259" s="10"/>
      <c r="AQ2259" s="10"/>
      <c r="AR2259" s="19"/>
      <c r="AS2259" s="20"/>
      <c r="AT2259" s="19"/>
      <c r="AV2259" s="21">
        <f>IF(AND($AL2259&lt;&gt;"",COUNTIF($AL$11:$AL2259,$AL2259)=1),1,0)</f>
        <v>0</v>
      </c>
      <c r="AW2259" s="21">
        <f t="shared" si="157"/>
        <v>2</v>
      </c>
      <c r="AX2259" s="21" t="str">
        <f t="shared" si="156"/>
        <v/>
      </c>
      <c r="AY2259" s="21" t="str">
        <f>IF(AND($AM2259&lt;&gt;"",$AS2259&lt;&gt;"✓"),SUMPRODUCT(($AM$11:$AM2259&lt;&gt;"")*($AS$11:$AS2259&lt;&gt;"✓")),"")</f>
        <v/>
      </c>
      <c r="AZ2259" s="21" t="str">
        <f>IF(AND($AM2259&lt;&gt;"",$AS2259="✓"),SUMPRODUCT(($AM$11:$AM2259&lt;&gt;"")*($AS$11:$AS2259="✓")),"")</f>
        <v/>
      </c>
      <c r="BA2259" s="21" t="str">
        <f>IF($AL2259="","",$AL2259&amp;"|"&amp;COUNTIF($AL$11:$AL2259,$AL2259))</f>
        <v/>
      </c>
    </row>
    <row r="2260" spans="38:53" ht="15" customHeight="1" x14ac:dyDescent="0.25">
      <c r="AL2260" s="31"/>
      <c r="AM2260" s="26"/>
      <c r="AN2260" s="32"/>
      <c r="AO2260" s="32"/>
      <c r="AP2260" s="24"/>
      <c r="AQ2260" s="24"/>
      <c r="AR2260" s="33"/>
      <c r="AS2260" s="34"/>
      <c r="AT2260" s="33"/>
      <c r="AV2260" s="21">
        <f>IF(AND($AL2260&lt;&gt;"",COUNTIF($AL$11:$AL2260,$AL2260)=1),1,0)</f>
        <v>0</v>
      </c>
      <c r="AW2260" s="21">
        <f t="shared" si="157"/>
        <v>2</v>
      </c>
      <c r="AX2260" s="21" t="str">
        <f t="shared" si="156"/>
        <v/>
      </c>
      <c r="AY2260" s="21" t="str">
        <f>IF(AND($AM2260&lt;&gt;"",$AS2260&lt;&gt;"✓"),SUMPRODUCT(($AM$11:$AM2260&lt;&gt;"")*($AS$11:$AS2260&lt;&gt;"✓")),"")</f>
        <v/>
      </c>
      <c r="AZ2260" s="21" t="str">
        <f>IF(AND($AM2260&lt;&gt;"",$AS2260="✓"),SUMPRODUCT(($AM$11:$AM2260&lt;&gt;"")*($AS$11:$AS2260="✓")),"")</f>
        <v/>
      </c>
      <c r="BA2260" s="21" t="str">
        <f>IF($AL2260="","",$AL2260&amp;"|"&amp;COUNTIF($AL$11:$AL2260,$AL2260))</f>
        <v/>
      </c>
    </row>
    <row r="2261" spans="38:53" ht="15" customHeight="1" x14ac:dyDescent="0.25">
      <c r="AL2261" s="17"/>
      <c r="AM2261" s="12"/>
      <c r="AN2261" s="18"/>
      <c r="AO2261" s="18"/>
      <c r="AP2261" s="10"/>
      <c r="AQ2261" s="10"/>
      <c r="AR2261" s="19"/>
      <c r="AS2261" s="20"/>
      <c r="AT2261" s="19"/>
      <c r="AV2261" s="21">
        <f>IF(AND($AL2261&lt;&gt;"",COUNTIF($AL$11:$AL2261,$AL2261)=1),1,0)</f>
        <v>0</v>
      </c>
      <c r="AW2261" s="21">
        <f t="shared" si="157"/>
        <v>2</v>
      </c>
      <c r="AX2261" s="21" t="str">
        <f t="shared" si="156"/>
        <v/>
      </c>
      <c r="AY2261" s="21" t="str">
        <f>IF(AND($AM2261&lt;&gt;"",$AS2261&lt;&gt;"✓"),SUMPRODUCT(($AM$11:$AM2261&lt;&gt;"")*($AS$11:$AS2261&lt;&gt;"✓")),"")</f>
        <v/>
      </c>
      <c r="AZ2261" s="21" t="str">
        <f>IF(AND($AM2261&lt;&gt;"",$AS2261="✓"),SUMPRODUCT(($AM$11:$AM2261&lt;&gt;"")*($AS$11:$AS2261="✓")),"")</f>
        <v/>
      </c>
      <c r="BA2261" s="21" t="str">
        <f>IF($AL2261="","",$AL2261&amp;"|"&amp;COUNTIF($AL$11:$AL2261,$AL2261))</f>
        <v/>
      </c>
    </row>
    <row r="2262" spans="38:53" ht="15" customHeight="1" x14ac:dyDescent="0.25">
      <c r="AL2262" s="31"/>
      <c r="AM2262" s="26"/>
      <c r="AN2262" s="32"/>
      <c r="AO2262" s="32"/>
      <c r="AP2262" s="24"/>
      <c r="AQ2262" s="24"/>
      <c r="AR2262" s="33"/>
      <c r="AS2262" s="34"/>
      <c r="AT2262" s="33"/>
      <c r="AV2262" s="21">
        <f>IF(AND($AL2262&lt;&gt;"",COUNTIF($AL$11:$AL2262,$AL2262)=1),1,0)</f>
        <v>0</v>
      </c>
      <c r="AW2262" s="21">
        <f t="shared" si="157"/>
        <v>2</v>
      </c>
      <c r="AX2262" s="21" t="str">
        <f t="shared" si="156"/>
        <v/>
      </c>
      <c r="AY2262" s="21" t="str">
        <f>IF(AND($AM2262&lt;&gt;"",$AS2262&lt;&gt;"✓"),SUMPRODUCT(($AM$11:$AM2262&lt;&gt;"")*($AS$11:$AS2262&lt;&gt;"✓")),"")</f>
        <v/>
      </c>
      <c r="AZ2262" s="21" t="str">
        <f>IF(AND($AM2262&lt;&gt;"",$AS2262="✓"),SUMPRODUCT(($AM$11:$AM2262&lt;&gt;"")*($AS$11:$AS2262="✓")),"")</f>
        <v/>
      </c>
      <c r="BA2262" s="21" t="str">
        <f>IF($AL2262="","",$AL2262&amp;"|"&amp;COUNTIF($AL$11:$AL2262,$AL2262))</f>
        <v/>
      </c>
    </row>
    <row r="2263" spans="38:53" ht="15" customHeight="1" x14ac:dyDescent="0.25">
      <c r="AL2263" s="17"/>
      <c r="AM2263" s="12"/>
      <c r="AN2263" s="18"/>
      <c r="AO2263" s="18"/>
      <c r="AP2263" s="10"/>
      <c r="AQ2263" s="10"/>
      <c r="AR2263" s="19"/>
      <c r="AS2263" s="20"/>
      <c r="AT2263" s="19"/>
      <c r="AV2263" s="21">
        <f>IF(AND($AL2263&lt;&gt;"",COUNTIF($AL$11:$AL2263,$AL2263)=1),1,0)</f>
        <v>0</v>
      </c>
      <c r="AW2263" s="21">
        <f t="shared" si="157"/>
        <v>2</v>
      </c>
      <c r="AX2263" s="21" t="str">
        <f t="shared" si="156"/>
        <v/>
      </c>
      <c r="AY2263" s="21" t="str">
        <f>IF(AND($AM2263&lt;&gt;"",$AS2263&lt;&gt;"✓"),SUMPRODUCT(($AM$11:$AM2263&lt;&gt;"")*($AS$11:$AS2263&lt;&gt;"✓")),"")</f>
        <v/>
      </c>
      <c r="AZ2263" s="21" t="str">
        <f>IF(AND($AM2263&lt;&gt;"",$AS2263="✓"),SUMPRODUCT(($AM$11:$AM2263&lt;&gt;"")*($AS$11:$AS2263="✓")),"")</f>
        <v/>
      </c>
      <c r="BA2263" s="21" t="str">
        <f>IF($AL2263="","",$AL2263&amp;"|"&amp;COUNTIF($AL$11:$AL2263,$AL2263))</f>
        <v/>
      </c>
    </row>
    <row r="2264" spans="38:53" ht="15" customHeight="1" x14ac:dyDescent="0.25">
      <c r="AL2264" s="31"/>
      <c r="AM2264" s="26"/>
      <c r="AN2264" s="32"/>
      <c r="AO2264" s="32"/>
      <c r="AP2264" s="24"/>
      <c r="AQ2264" s="24"/>
      <c r="AR2264" s="33"/>
      <c r="AS2264" s="34"/>
      <c r="AT2264" s="33"/>
      <c r="AV2264" s="21">
        <f>IF(AND($AL2264&lt;&gt;"",COUNTIF($AL$11:$AL2264,$AL2264)=1),1,0)</f>
        <v>0</v>
      </c>
      <c r="AW2264" s="21">
        <f t="shared" si="157"/>
        <v>2</v>
      </c>
      <c r="AX2264" s="21" t="str">
        <f t="shared" si="156"/>
        <v/>
      </c>
      <c r="AY2264" s="21" t="str">
        <f>IF(AND($AM2264&lt;&gt;"",$AS2264&lt;&gt;"✓"),SUMPRODUCT(($AM$11:$AM2264&lt;&gt;"")*($AS$11:$AS2264&lt;&gt;"✓")),"")</f>
        <v/>
      </c>
      <c r="AZ2264" s="21" t="str">
        <f>IF(AND($AM2264&lt;&gt;"",$AS2264="✓"),SUMPRODUCT(($AM$11:$AM2264&lt;&gt;"")*($AS$11:$AS2264="✓")),"")</f>
        <v/>
      </c>
      <c r="BA2264" s="21" t="str">
        <f>IF($AL2264="","",$AL2264&amp;"|"&amp;COUNTIF($AL$11:$AL2264,$AL2264))</f>
        <v/>
      </c>
    </row>
    <row r="2265" spans="38:53" ht="15" customHeight="1" x14ac:dyDescent="0.25">
      <c r="AL2265" s="17"/>
      <c r="AM2265" s="12"/>
      <c r="AN2265" s="18"/>
      <c r="AO2265" s="18"/>
      <c r="AP2265" s="10"/>
      <c r="AQ2265" s="10"/>
      <c r="AR2265" s="19"/>
      <c r="AS2265" s="20"/>
      <c r="AT2265" s="19"/>
      <c r="AV2265" s="21">
        <f>IF(AND($AL2265&lt;&gt;"",COUNTIF($AL$11:$AL2265,$AL2265)=1),1,0)</f>
        <v>0</v>
      </c>
      <c r="AW2265" s="21">
        <f t="shared" si="157"/>
        <v>2</v>
      </c>
      <c r="AX2265" s="21" t="str">
        <f t="shared" si="156"/>
        <v/>
      </c>
      <c r="AY2265" s="21" t="str">
        <f>IF(AND($AM2265&lt;&gt;"",$AS2265&lt;&gt;"✓"),SUMPRODUCT(($AM$11:$AM2265&lt;&gt;"")*($AS$11:$AS2265&lt;&gt;"✓")),"")</f>
        <v/>
      </c>
      <c r="AZ2265" s="21" t="str">
        <f>IF(AND($AM2265&lt;&gt;"",$AS2265="✓"),SUMPRODUCT(($AM$11:$AM2265&lt;&gt;"")*($AS$11:$AS2265="✓")),"")</f>
        <v/>
      </c>
      <c r="BA2265" s="21" t="str">
        <f>IF($AL2265="","",$AL2265&amp;"|"&amp;COUNTIF($AL$11:$AL2265,$AL2265))</f>
        <v/>
      </c>
    </row>
    <row r="2266" spans="38:53" ht="15" customHeight="1" x14ac:dyDescent="0.25">
      <c r="AL2266" s="31"/>
      <c r="AM2266" s="26"/>
      <c r="AN2266" s="32"/>
      <c r="AO2266" s="32"/>
      <c r="AP2266" s="24"/>
      <c r="AQ2266" s="24"/>
      <c r="AR2266" s="33"/>
      <c r="AS2266" s="34"/>
      <c r="AT2266" s="33"/>
      <c r="AV2266" s="21">
        <f>IF(AND($AL2266&lt;&gt;"",COUNTIF($AL$11:$AL2266,$AL2266)=1),1,0)</f>
        <v>0</v>
      </c>
      <c r="AW2266" s="21">
        <f t="shared" si="157"/>
        <v>2</v>
      </c>
      <c r="AX2266" s="21" t="str">
        <f t="shared" si="156"/>
        <v/>
      </c>
      <c r="AY2266" s="21" t="str">
        <f>IF(AND($AM2266&lt;&gt;"",$AS2266&lt;&gt;"✓"),SUMPRODUCT(($AM$11:$AM2266&lt;&gt;"")*($AS$11:$AS2266&lt;&gt;"✓")),"")</f>
        <v/>
      </c>
      <c r="AZ2266" s="21" t="str">
        <f>IF(AND($AM2266&lt;&gt;"",$AS2266="✓"),SUMPRODUCT(($AM$11:$AM2266&lt;&gt;"")*($AS$11:$AS2266="✓")),"")</f>
        <v/>
      </c>
      <c r="BA2266" s="21" t="str">
        <f>IF($AL2266="","",$AL2266&amp;"|"&amp;COUNTIF($AL$11:$AL2266,$AL2266))</f>
        <v/>
      </c>
    </row>
    <row r="2267" spans="38:53" ht="15" customHeight="1" x14ac:dyDescent="0.25">
      <c r="AL2267" s="17"/>
      <c r="AM2267" s="12"/>
      <c r="AN2267" s="18"/>
      <c r="AO2267" s="18"/>
      <c r="AP2267" s="10"/>
      <c r="AQ2267" s="10"/>
      <c r="AR2267" s="19"/>
      <c r="AS2267" s="20"/>
      <c r="AT2267" s="19"/>
      <c r="AV2267" s="21">
        <f>IF(AND($AL2267&lt;&gt;"",COUNTIF($AL$11:$AL2267,$AL2267)=1),1,0)</f>
        <v>0</v>
      </c>
      <c r="AW2267" s="21">
        <f t="shared" si="157"/>
        <v>2</v>
      </c>
      <c r="AX2267" s="21" t="str">
        <f t="shared" si="156"/>
        <v/>
      </c>
      <c r="AY2267" s="21" t="str">
        <f>IF(AND($AM2267&lt;&gt;"",$AS2267&lt;&gt;"✓"),SUMPRODUCT(($AM$11:$AM2267&lt;&gt;"")*($AS$11:$AS2267&lt;&gt;"✓")),"")</f>
        <v/>
      </c>
      <c r="AZ2267" s="21" t="str">
        <f>IF(AND($AM2267&lt;&gt;"",$AS2267="✓"),SUMPRODUCT(($AM$11:$AM2267&lt;&gt;"")*($AS$11:$AS2267="✓")),"")</f>
        <v/>
      </c>
      <c r="BA2267" s="21" t="str">
        <f>IF($AL2267="","",$AL2267&amp;"|"&amp;COUNTIF($AL$11:$AL2267,$AL2267))</f>
        <v/>
      </c>
    </row>
    <row r="2268" spans="38:53" ht="15" customHeight="1" x14ac:dyDescent="0.25">
      <c r="AL2268" s="31"/>
      <c r="AM2268" s="26"/>
      <c r="AN2268" s="32"/>
      <c r="AO2268" s="32"/>
      <c r="AP2268" s="24"/>
      <c r="AQ2268" s="24"/>
      <c r="AR2268" s="33"/>
      <c r="AS2268" s="34"/>
      <c r="AT2268" s="33"/>
      <c r="AV2268" s="21">
        <f>IF(AND($AL2268&lt;&gt;"",COUNTIF($AL$11:$AL2268,$AL2268)=1),1,0)</f>
        <v>0</v>
      </c>
      <c r="AW2268" s="21">
        <f t="shared" si="157"/>
        <v>2</v>
      </c>
      <c r="AX2268" s="21" t="str">
        <f t="shared" si="156"/>
        <v/>
      </c>
      <c r="AY2268" s="21" t="str">
        <f>IF(AND($AM2268&lt;&gt;"",$AS2268&lt;&gt;"✓"),SUMPRODUCT(($AM$11:$AM2268&lt;&gt;"")*($AS$11:$AS2268&lt;&gt;"✓")),"")</f>
        <v/>
      </c>
      <c r="AZ2268" s="21" t="str">
        <f>IF(AND($AM2268&lt;&gt;"",$AS2268="✓"),SUMPRODUCT(($AM$11:$AM2268&lt;&gt;"")*($AS$11:$AS2268="✓")),"")</f>
        <v/>
      </c>
      <c r="BA2268" s="21" t="str">
        <f>IF($AL2268="","",$AL2268&amp;"|"&amp;COUNTIF($AL$11:$AL2268,$AL2268))</f>
        <v/>
      </c>
    </row>
    <row r="2269" spans="38:53" ht="15" customHeight="1" x14ac:dyDescent="0.25">
      <c r="AL2269" s="17"/>
      <c r="AM2269" s="12"/>
      <c r="AN2269" s="18"/>
      <c r="AO2269" s="18"/>
      <c r="AP2269" s="10"/>
      <c r="AQ2269" s="10"/>
      <c r="AR2269" s="19"/>
      <c r="AS2269" s="20"/>
      <c r="AT2269" s="19"/>
      <c r="AV2269" s="21">
        <f>IF(AND($AL2269&lt;&gt;"",COUNTIF($AL$11:$AL2269,$AL2269)=1),1,0)</f>
        <v>0</v>
      </c>
      <c r="AW2269" s="21">
        <f t="shared" si="157"/>
        <v>2</v>
      </c>
      <c r="AX2269" s="21" t="str">
        <f t="shared" si="156"/>
        <v/>
      </c>
      <c r="AY2269" s="21" t="str">
        <f>IF(AND($AM2269&lt;&gt;"",$AS2269&lt;&gt;"✓"),SUMPRODUCT(($AM$11:$AM2269&lt;&gt;"")*($AS$11:$AS2269&lt;&gt;"✓")),"")</f>
        <v/>
      </c>
      <c r="AZ2269" s="21" t="str">
        <f>IF(AND($AM2269&lt;&gt;"",$AS2269="✓"),SUMPRODUCT(($AM$11:$AM2269&lt;&gt;"")*($AS$11:$AS2269="✓")),"")</f>
        <v/>
      </c>
      <c r="BA2269" s="21" t="str">
        <f>IF($AL2269="","",$AL2269&amp;"|"&amp;COUNTIF($AL$11:$AL2269,$AL2269))</f>
        <v/>
      </c>
    </row>
    <row r="2270" spans="38:53" ht="15" customHeight="1" x14ac:dyDescent="0.25">
      <c r="AL2270" s="31"/>
      <c r="AM2270" s="26"/>
      <c r="AN2270" s="32"/>
      <c r="AO2270" s="32"/>
      <c r="AP2270" s="24"/>
      <c r="AQ2270" s="24"/>
      <c r="AR2270" s="33"/>
      <c r="AS2270" s="34"/>
      <c r="AT2270" s="33"/>
      <c r="AV2270" s="21">
        <f>IF(AND($AL2270&lt;&gt;"",COUNTIF($AL$11:$AL2270,$AL2270)=1),1,0)</f>
        <v>0</v>
      </c>
      <c r="AW2270" s="21">
        <f t="shared" si="157"/>
        <v>2</v>
      </c>
      <c r="AX2270" s="21" t="str">
        <f t="shared" si="156"/>
        <v/>
      </c>
      <c r="AY2270" s="21" t="str">
        <f>IF(AND($AM2270&lt;&gt;"",$AS2270&lt;&gt;"✓"),SUMPRODUCT(($AM$11:$AM2270&lt;&gt;"")*($AS$11:$AS2270&lt;&gt;"✓")),"")</f>
        <v/>
      </c>
      <c r="AZ2270" s="21" t="str">
        <f>IF(AND($AM2270&lt;&gt;"",$AS2270="✓"),SUMPRODUCT(($AM$11:$AM2270&lt;&gt;"")*($AS$11:$AS2270="✓")),"")</f>
        <v/>
      </c>
      <c r="BA2270" s="21" t="str">
        <f>IF($AL2270="","",$AL2270&amp;"|"&amp;COUNTIF($AL$11:$AL2270,$AL2270))</f>
        <v/>
      </c>
    </row>
    <row r="2271" spans="38:53" ht="15" customHeight="1" x14ac:dyDescent="0.25">
      <c r="AL2271" s="17"/>
      <c r="AM2271" s="12"/>
      <c r="AN2271" s="18"/>
      <c r="AO2271" s="18"/>
      <c r="AP2271" s="10"/>
      <c r="AQ2271" s="10"/>
      <c r="AR2271" s="19"/>
      <c r="AS2271" s="20"/>
      <c r="AT2271" s="19"/>
      <c r="AV2271" s="21">
        <f>IF(AND($AL2271&lt;&gt;"",COUNTIF($AL$11:$AL2271,$AL2271)=1),1,0)</f>
        <v>0</v>
      </c>
      <c r="AW2271" s="21">
        <f t="shared" si="157"/>
        <v>2</v>
      </c>
      <c r="AX2271" s="21" t="str">
        <f t="shared" si="156"/>
        <v/>
      </c>
      <c r="AY2271" s="21" t="str">
        <f>IF(AND($AM2271&lt;&gt;"",$AS2271&lt;&gt;"✓"),SUMPRODUCT(($AM$11:$AM2271&lt;&gt;"")*($AS$11:$AS2271&lt;&gt;"✓")),"")</f>
        <v/>
      </c>
      <c r="AZ2271" s="21" t="str">
        <f>IF(AND($AM2271&lt;&gt;"",$AS2271="✓"),SUMPRODUCT(($AM$11:$AM2271&lt;&gt;"")*($AS$11:$AS2271="✓")),"")</f>
        <v/>
      </c>
      <c r="BA2271" s="21" t="str">
        <f>IF($AL2271="","",$AL2271&amp;"|"&amp;COUNTIF($AL$11:$AL2271,$AL2271))</f>
        <v/>
      </c>
    </row>
    <row r="2272" spans="38:53" ht="15" customHeight="1" x14ac:dyDescent="0.25">
      <c r="AL2272" s="31"/>
      <c r="AM2272" s="26"/>
      <c r="AN2272" s="32"/>
      <c r="AO2272" s="32"/>
      <c r="AP2272" s="24"/>
      <c r="AQ2272" s="24"/>
      <c r="AR2272" s="33"/>
      <c r="AS2272" s="34"/>
      <c r="AT2272" s="33"/>
      <c r="AV2272" s="21">
        <f>IF(AND($AL2272&lt;&gt;"",COUNTIF($AL$11:$AL2272,$AL2272)=1),1,0)</f>
        <v>0</v>
      </c>
      <c r="AW2272" s="21">
        <f t="shared" si="157"/>
        <v>2</v>
      </c>
      <c r="AX2272" s="21" t="str">
        <f t="shared" si="156"/>
        <v/>
      </c>
      <c r="AY2272" s="21" t="str">
        <f>IF(AND($AM2272&lt;&gt;"",$AS2272&lt;&gt;"✓"),SUMPRODUCT(($AM$11:$AM2272&lt;&gt;"")*($AS$11:$AS2272&lt;&gt;"✓")),"")</f>
        <v/>
      </c>
      <c r="AZ2272" s="21" t="str">
        <f>IF(AND($AM2272&lt;&gt;"",$AS2272="✓"),SUMPRODUCT(($AM$11:$AM2272&lt;&gt;"")*($AS$11:$AS2272="✓")),"")</f>
        <v/>
      </c>
      <c r="BA2272" s="21" t="str">
        <f>IF($AL2272="","",$AL2272&amp;"|"&amp;COUNTIF($AL$11:$AL2272,$AL2272))</f>
        <v/>
      </c>
    </row>
    <row r="2273" spans="38:53" ht="15" customHeight="1" x14ac:dyDescent="0.25">
      <c r="AL2273" s="17"/>
      <c r="AM2273" s="12"/>
      <c r="AN2273" s="18"/>
      <c r="AO2273" s="18"/>
      <c r="AP2273" s="10"/>
      <c r="AQ2273" s="10"/>
      <c r="AR2273" s="19"/>
      <c r="AS2273" s="20"/>
      <c r="AT2273" s="19"/>
      <c r="AV2273" s="21">
        <f>IF(AND($AL2273&lt;&gt;"",COUNTIF($AL$11:$AL2273,$AL2273)=1),1,0)</f>
        <v>0</v>
      </c>
      <c r="AW2273" s="21">
        <f t="shared" si="157"/>
        <v>2</v>
      </c>
      <c r="AX2273" s="21" t="str">
        <f t="shared" si="156"/>
        <v/>
      </c>
      <c r="AY2273" s="21" t="str">
        <f>IF(AND($AM2273&lt;&gt;"",$AS2273&lt;&gt;"✓"),SUMPRODUCT(($AM$11:$AM2273&lt;&gt;"")*($AS$11:$AS2273&lt;&gt;"✓")),"")</f>
        <v/>
      </c>
      <c r="AZ2273" s="21" t="str">
        <f>IF(AND($AM2273&lt;&gt;"",$AS2273="✓"),SUMPRODUCT(($AM$11:$AM2273&lt;&gt;"")*($AS$11:$AS2273="✓")),"")</f>
        <v/>
      </c>
      <c r="BA2273" s="21" t="str">
        <f>IF($AL2273="","",$AL2273&amp;"|"&amp;COUNTIF($AL$11:$AL2273,$AL2273))</f>
        <v/>
      </c>
    </row>
    <row r="2274" spans="38:53" ht="15" customHeight="1" x14ac:dyDescent="0.25">
      <c r="AL2274" s="31"/>
      <c r="AM2274" s="26"/>
      <c r="AN2274" s="32"/>
      <c r="AO2274" s="32"/>
      <c r="AP2274" s="24"/>
      <c r="AQ2274" s="24"/>
      <c r="AR2274" s="33"/>
      <c r="AS2274" s="34"/>
      <c r="AT2274" s="33"/>
      <c r="AV2274" s="21">
        <f>IF(AND($AL2274&lt;&gt;"",COUNTIF($AL$11:$AL2274,$AL2274)=1),1,0)</f>
        <v>0</v>
      </c>
      <c r="AW2274" s="21">
        <f t="shared" si="157"/>
        <v>2</v>
      </c>
      <c r="AX2274" s="21" t="str">
        <f t="shared" si="156"/>
        <v/>
      </c>
      <c r="AY2274" s="21" t="str">
        <f>IF(AND($AM2274&lt;&gt;"",$AS2274&lt;&gt;"✓"),SUMPRODUCT(($AM$11:$AM2274&lt;&gt;"")*($AS$11:$AS2274&lt;&gt;"✓")),"")</f>
        <v/>
      </c>
      <c r="AZ2274" s="21" t="str">
        <f>IF(AND($AM2274&lt;&gt;"",$AS2274="✓"),SUMPRODUCT(($AM$11:$AM2274&lt;&gt;"")*($AS$11:$AS2274="✓")),"")</f>
        <v/>
      </c>
      <c r="BA2274" s="21" t="str">
        <f>IF($AL2274="","",$AL2274&amp;"|"&amp;COUNTIF($AL$11:$AL2274,$AL2274))</f>
        <v/>
      </c>
    </row>
    <row r="2275" spans="38:53" ht="15" customHeight="1" x14ac:dyDescent="0.25">
      <c r="AL2275" s="17"/>
      <c r="AM2275" s="12"/>
      <c r="AN2275" s="18"/>
      <c r="AO2275" s="18"/>
      <c r="AP2275" s="10"/>
      <c r="AQ2275" s="10"/>
      <c r="AR2275" s="19"/>
      <c r="AS2275" s="20"/>
      <c r="AT2275" s="19"/>
      <c r="AV2275" s="21">
        <f>IF(AND($AL2275&lt;&gt;"",COUNTIF($AL$11:$AL2275,$AL2275)=1),1,0)</f>
        <v>0</v>
      </c>
      <c r="AW2275" s="21">
        <f t="shared" si="157"/>
        <v>2</v>
      </c>
      <c r="AX2275" s="21" t="str">
        <f t="shared" si="156"/>
        <v/>
      </c>
      <c r="AY2275" s="21" t="str">
        <f>IF(AND($AM2275&lt;&gt;"",$AS2275&lt;&gt;"✓"),SUMPRODUCT(($AM$11:$AM2275&lt;&gt;"")*($AS$11:$AS2275&lt;&gt;"✓")),"")</f>
        <v/>
      </c>
      <c r="AZ2275" s="21" t="str">
        <f>IF(AND($AM2275&lt;&gt;"",$AS2275="✓"),SUMPRODUCT(($AM$11:$AM2275&lt;&gt;"")*($AS$11:$AS2275="✓")),"")</f>
        <v/>
      </c>
      <c r="BA2275" s="21" t="str">
        <f>IF($AL2275="","",$AL2275&amp;"|"&amp;COUNTIF($AL$11:$AL2275,$AL2275))</f>
        <v/>
      </c>
    </row>
    <row r="2276" spans="38:53" ht="15" customHeight="1" x14ac:dyDescent="0.25">
      <c r="AL2276" s="31"/>
      <c r="AM2276" s="26"/>
      <c r="AN2276" s="32"/>
      <c r="AO2276" s="32"/>
      <c r="AP2276" s="24"/>
      <c r="AQ2276" s="24"/>
      <c r="AR2276" s="33"/>
      <c r="AS2276" s="34"/>
      <c r="AT2276" s="33"/>
      <c r="AV2276" s="21">
        <f>IF(AND($AL2276&lt;&gt;"",COUNTIF($AL$11:$AL2276,$AL2276)=1),1,0)</f>
        <v>0</v>
      </c>
      <c r="AW2276" s="21">
        <f t="shared" si="157"/>
        <v>2</v>
      </c>
      <c r="AX2276" s="21" t="str">
        <f t="shared" si="156"/>
        <v/>
      </c>
      <c r="AY2276" s="21" t="str">
        <f>IF(AND($AM2276&lt;&gt;"",$AS2276&lt;&gt;"✓"),SUMPRODUCT(($AM$11:$AM2276&lt;&gt;"")*($AS$11:$AS2276&lt;&gt;"✓")),"")</f>
        <v/>
      </c>
      <c r="AZ2276" s="21" t="str">
        <f>IF(AND($AM2276&lt;&gt;"",$AS2276="✓"),SUMPRODUCT(($AM$11:$AM2276&lt;&gt;"")*($AS$11:$AS2276="✓")),"")</f>
        <v/>
      </c>
      <c r="BA2276" s="21" t="str">
        <f>IF($AL2276="","",$AL2276&amp;"|"&amp;COUNTIF($AL$11:$AL2276,$AL2276))</f>
        <v/>
      </c>
    </row>
    <row r="2277" spans="38:53" ht="15" customHeight="1" x14ac:dyDescent="0.25">
      <c r="AL2277" s="17"/>
      <c r="AM2277" s="12"/>
      <c r="AN2277" s="18"/>
      <c r="AO2277" s="18"/>
      <c r="AP2277" s="10"/>
      <c r="AQ2277" s="10"/>
      <c r="AR2277" s="19"/>
      <c r="AS2277" s="20"/>
      <c r="AT2277" s="19"/>
      <c r="AV2277" s="21">
        <f>IF(AND($AL2277&lt;&gt;"",COUNTIF($AL$11:$AL2277,$AL2277)=1),1,0)</f>
        <v>0</v>
      </c>
      <c r="AW2277" s="21">
        <f t="shared" si="157"/>
        <v>2</v>
      </c>
      <c r="AX2277" s="21" t="str">
        <f t="shared" si="156"/>
        <v/>
      </c>
      <c r="AY2277" s="21" t="str">
        <f>IF(AND($AM2277&lt;&gt;"",$AS2277&lt;&gt;"✓"),SUMPRODUCT(($AM$11:$AM2277&lt;&gt;"")*($AS$11:$AS2277&lt;&gt;"✓")),"")</f>
        <v/>
      </c>
      <c r="AZ2277" s="21" t="str">
        <f>IF(AND($AM2277&lt;&gt;"",$AS2277="✓"),SUMPRODUCT(($AM$11:$AM2277&lt;&gt;"")*($AS$11:$AS2277="✓")),"")</f>
        <v/>
      </c>
      <c r="BA2277" s="21" t="str">
        <f>IF($AL2277="","",$AL2277&amp;"|"&amp;COUNTIF($AL$11:$AL2277,$AL2277))</f>
        <v/>
      </c>
    </row>
    <row r="2278" spans="38:53" ht="15" customHeight="1" x14ac:dyDescent="0.25">
      <c r="AL2278" s="31"/>
      <c r="AM2278" s="26"/>
      <c r="AN2278" s="32"/>
      <c r="AO2278" s="32"/>
      <c r="AP2278" s="24"/>
      <c r="AQ2278" s="24"/>
      <c r="AR2278" s="33"/>
      <c r="AS2278" s="34"/>
      <c r="AT2278" s="33"/>
      <c r="AV2278" s="21">
        <f>IF(AND($AL2278&lt;&gt;"",COUNTIF($AL$11:$AL2278,$AL2278)=1),1,0)</f>
        <v>0</v>
      </c>
      <c r="AW2278" s="21">
        <f t="shared" si="157"/>
        <v>2</v>
      </c>
      <c r="AX2278" s="21" t="str">
        <f t="shared" si="156"/>
        <v/>
      </c>
      <c r="AY2278" s="21" t="str">
        <f>IF(AND($AM2278&lt;&gt;"",$AS2278&lt;&gt;"✓"),SUMPRODUCT(($AM$11:$AM2278&lt;&gt;"")*($AS$11:$AS2278&lt;&gt;"✓")),"")</f>
        <v/>
      </c>
      <c r="AZ2278" s="21" t="str">
        <f>IF(AND($AM2278&lt;&gt;"",$AS2278="✓"),SUMPRODUCT(($AM$11:$AM2278&lt;&gt;"")*($AS$11:$AS2278="✓")),"")</f>
        <v/>
      </c>
      <c r="BA2278" s="21" t="str">
        <f>IF($AL2278="","",$AL2278&amp;"|"&amp;COUNTIF($AL$11:$AL2278,$AL2278))</f>
        <v/>
      </c>
    </row>
    <row r="2279" spans="38:53" ht="15" customHeight="1" x14ac:dyDescent="0.25">
      <c r="AL2279" s="17"/>
      <c r="AM2279" s="12"/>
      <c r="AN2279" s="18"/>
      <c r="AO2279" s="18"/>
      <c r="AP2279" s="10"/>
      <c r="AQ2279" s="10"/>
      <c r="AR2279" s="19"/>
      <c r="AS2279" s="20"/>
      <c r="AT2279" s="19"/>
      <c r="AV2279" s="21">
        <f>IF(AND($AL2279&lt;&gt;"",COUNTIF($AL$11:$AL2279,$AL2279)=1),1,0)</f>
        <v>0</v>
      </c>
      <c r="AW2279" s="21">
        <f t="shared" si="157"/>
        <v>2</v>
      </c>
      <c r="AX2279" s="21" t="str">
        <f t="shared" si="156"/>
        <v/>
      </c>
      <c r="AY2279" s="21" t="str">
        <f>IF(AND($AM2279&lt;&gt;"",$AS2279&lt;&gt;"✓"),SUMPRODUCT(($AM$11:$AM2279&lt;&gt;"")*($AS$11:$AS2279&lt;&gt;"✓")),"")</f>
        <v/>
      </c>
      <c r="AZ2279" s="21" t="str">
        <f>IF(AND($AM2279&lt;&gt;"",$AS2279="✓"),SUMPRODUCT(($AM$11:$AM2279&lt;&gt;"")*($AS$11:$AS2279="✓")),"")</f>
        <v/>
      </c>
      <c r="BA2279" s="21" t="str">
        <f>IF($AL2279="","",$AL2279&amp;"|"&amp;COUNTIF($AL$11:$AL2279,$AL2279))</f>
        <v/>
      </c>
    </row>
    <row r="2280" spans="38:53" ht="15" customHeight="1" x14ac:dyDescent="0.25">
      <c r="AL2280" s="31"/>
      <c r="AM2280" s="26"/>
      <c r="AN2280" s="32"/>
      <c r="AO2280" s="32"/>
      <c r="AP2280" s="24"/>
      <c r="AQ2280" s="24"/>
      <c r="AR2280" s="33"/>
      <c r="AS2280" s="34"/>
      <c r="AT2280" s="33"/>
      <c r="AV2280" s="21">
        <f>IF(AND($AL2280&lt;&gt;"",COUNTIF($AL$11:$AL2280,$AL2280)=1),1,0)</f>
        <v>0</v>
      </c>
      <c r="AW2280" s="21">
        <f t="shared" si="157"/>
        <v>2</v>
      </c>
      <c r="AX2280" s="21" t="str">
        <f t="shared" si="156"/>
        <v/>
      </c>
      <c r="AY2280" s="21" t="str">
        <f>IF(AND($AM2280&lt;&gt;"",$AS2280&lt;&gt;"✓"),SUMPRODUCT(($AM$11:$AM2280&lt;&gt;"")*($AS$11:$AS2280&lt;&gt;"✓")),"")</f>
        <v/>
      </c>
      <c r="AZ2280" s="21" t="str">
        <f>IF(AND($AM2280&lt;&gt;"",$AS2280="✓"),SUMPRODUCT(($AM$11:$AM2280&lt;&gt;"")*($AS$11:$AS2280="✓")),"")</f>
        <v/>
      </c>
      <c r="BA2280" s="21" t="str">
        <f>IF($AL2280="","",$AL2280&amp;"|"&amp;COUNTIF($AL$11:$AL2280,$AL2280))</f>
        <v/>
      </c>
    </row>
    <row r="2281" spans="38:53" ht="15" customHeight="1" x14ac:dyDescent="0.25">
      <c r="AL2281" s="17"/>
      <c r="AM2281" s="12"/>
      <c r="AN2281" s="18"/>
      <c r="AO2281" s="18"/>
      <c r="AP2281" s="10"/>
      <c r="AQ2281" s="10"/>
      <c r="AR2281" s="19"/>
      <c r="AS2281" s="20"/>
      <c r="AT2281" s="19"/>
      <c r="AV2281" s="21">
        <f>IF(AND($AL2281&lt;&gt;"",COUNTIF($AL$11:$AL2281,$AL2281)=1),1,0)</f>
        <v>0</v>
      </c>
      <c r="AW2281" s="21">
        <f t="shared" si="157"/>
        <v>2</v>
      </c>
      <c r="AX2281" s="21" t="str">
        <f t="shared" si="156"/>
        <v/>
      </c>
      <c r="AY2281" s="21" t="str">
        <f>IF(AND($AM2281&lt;&gt;"",$AS2281&lt;&gt;"✓"),SUMPRODUCT(($AM$11:$AM2281&lt;&gt;"")*($AS$11:$AS2281&lt;&gt;"✓")),"")</f>
        <v/>
      </c>
      <c r="AZ2281" s="21" t="str">
        <f>IF(AND($AM2281&lt;&gt;"",$AS2281="✓"),SUMPRODUCT(($AM$11:$AM2281&lt;&gt;"")*($AS$11:$AS2281="✓")),"")</f>
        <v/>
      </c>
      <c r="BA2281" s="21" t="str">
        <f>IF($AL2281="","",$AL2281&amp;"|"&amp;COUNTIF($AL$11:$AL2281,$AL2281))</f>
        <v/>
      </c>
    </row>
    <row r="2282" spans="38:53" ht="15" customHeight="1" x14ac:dyDescent="0.25">
      <c r="AL2282" s="31"/>
      <c r="AM2282" s="26"/>
      <c r="AN2282" s="32"/>
      <c r="AO2282" s="32"/>
      <c r="AP2282" s="24"/>
      <c r="AQ2282" s="24"/>
      <c r="AR2282" s="33"/>
      <c r="AS2282" s="34"/>
      <c r="AT2282" s="33"/>
      <c r="AV2282" s="21">
        <f>IF(AND($AL2282&lt;&gt;"",COUNTIF($AL$11:$AL2282,$AL2282)=1),1,0)</f>
        <v>0</v>
      </c>
      <c r="AW2282" s="21">
        <f t="shared" si="157"/>
        <v>2</v>
      </c>
      <c r="AX2282" s="21" t="str">
        <f t="shared" si="156"/>
        <v/>
      </c>
      <c r="AY2282" s="21" t="str">
        <f>IF(AND($AM2282&lt;&gt;"",$AS2282&lt;&gt;"✓"),SUMPRODUCT(($AM$11:$AM2282&lt;&gt;"")*($AS$11:$AS2282&lt;&gt;"✓")),"")</f>
        <v/>
      </c>
      <c r="AZ2282" s="21" t="str">
        <f>IF(AND($AM2282&lt;&gt;"",$AS2282="✓"),SUMPRODUCT(($AM$11:$AM2282&lt;&gt;"")*($AS$11:$AS2282="✓")),"")</f>
        <v/>
      </c>
      <c r="BA2282" s="21" t="str">
        <f>IF($AL2282="","",$AL2282&amp;"|"&amp;COUNTIF($AL$11:$AL2282,$AL2282))</f>
        <v/>
      </c>
    </row>
    <row r="2283" spans="38:53" ht="15" customHeight="1" x14ac:dyDescent="0.25">
      <c r="AL2283" s="17"/>
      <c r="AM2283" s="12"/>
      <c r="AN2283" s="18"/>
      <c r="AO2283" s="18"/>
      <c r="AP2283" s="10"/>
      <c r="AQ2283" s="10"/>
      <c r="AR2283" s="19"/>
      <c r="AS2283" s="20"/>
      <c r="AT2283" s="19"/>
      <c r="AV2283" s="21">
        <f>IF(AND($AL2283&lt;&gt;"",COUNTIF($AL$11:$AL2283,$AL2283)=1),1,0)</f>
        <v>0</v>
      </c>
      <c r="AW2283" s="21">
        <f t="shared" si="157"/>
        <v>2</v>
      </c>
      <c r="AX2283" s="21" t="str">
        <f t="shared" si="156"/>
        <v/>
      </c>
      <c r="AY2283" s="21" t="str">
        <f>IF(AND($AM2283&lt;&gt;"",$AS2283&lt;&gt;"✓"),SUMPRODUCT(($AM$11:$AM2283&lt;&gt;"")*($AS$11:$AS2283&lt;&gt;"✓")),"")</f>
        <v/>
      </c>
      <c r="AZ2283" s="21" t="str">
        <f>IF(AND($AM2283&lt;&gt;"",$AS2283="✓"),SUMPRODUCT(($AM$11:$AM2283&lt;&gt;"")*($AS$11:$AS2283="✓")),"")</f>
        <v/>
      </c>
      <c r="BA2283" s="21" t="str">
        <f>IF($AL2283="","",$AL2283&amp;"|"&amp;COUNTIF($AL$11:$AL2283,$AL2283))</f>
        <v/>
      </c>
    </row>
    <row r="2284" spans="38:53" ht="15" customHeight="1" x14ac:dyDescent="0.25">
      <c r="AL2284" s="31"/>
      <c r="AM2284" s="26"/>
      <c r="AN2284" s="32"/>
      <c r="AO2284" s="32"/>
      <c r="AP2284" s="24"/>
      <c r="AQ2284" s="24"/>
      <c r="AR2284" s="33"/>
      <c r="AS2284" s="34"/>
      <c r="AT2284" s="33"/>
      <c r="AV2284" s="21">
        <f>IF(AND($AL2284&lt;&gt;"",COUNTIF($AL$11:$AL2284,$AL2284)=1),1,0)</f>
        <v>0</v>
      </c>
      <c r="AW2284" s="21">
        <f t="shared" si="157"/>
        <v>2</v>
      </c>
      <c r="AX2284" s="21" t="str">
        <f t="shared" si="156"/>
        <v/>
      </c>
      <c r="AY2284" s="21" t="str">
        <f>IF(AND($AM2284&lt;&gt;"",$AS2284&lt;&gt;"✓"),SUMPRODUCT(($AM$11:$AM2284&lt;&gt;"")*($AS$11:$AS2284&lt;&gt;"✓")),"")</f>
        <v/>
      </c>
      <c r="AZ2284" s="21" t="str">
        <f>IF(AND($AM2284&lt;&gt;"",$AS2284="✓"),SUMPRODUCT(($AM$11:$AM2284&lt;&gt;"")*($AS$11:$AS2284="✓")),"")</f>
        <v/>
      </c>
      <c r="BA2284" s="21" t="str">
        <f>IF($AL2284="","",$AL2284&amp;"|"&amp;COUNTIF($AL$11:$AL2284,$AL2284))</f>
        <v/>
      </c>
    </row>
    <row r="2285" spans="38:53" ht="15" customHeight="1" x14ac:dyDescent="0.25">
      <c r="AL2285" s="17"/>
      <c r="AM2285" s="12"/>
      <c r="AN2285" s="18"/>
      <c r="AO2285" s="18"/>
      <c r="AP2285" s="10"/>
      <c r="AQ2285" s="10"/>
      <c r="AR2285" s="19"/>
      <c r="AS2285" s="20"/>
      <c r="AT2285" s="19"/>
      <c r="AV2285" s="21">
        <f>IF(AND($AL2285&lt;&gt;"",COUNTIF($AL$11:$AL2285,$AL2285)=1),1,0)</f>
        <v>0</v>
      </c>
      <c r="AW2285" s="21">
        <f t="shared" si="157"/>
        <v>2</v>
      </c>
      <c r="AX2285" s="21" t="str">
        <f t="shared" si="156"/>
        <v/>
      </c>
      <c r="AY2285" s="21" t="str">
        <f>IF(AND($AM2285&lt;&gt;"",$AS2285&lt;&gt;"✓"),SUMPRODUCT(($AM$11:$AM2285&lt;&gt;"")*($AS$11:$AS2285&lt;&gt;"✓")),"")</f>
        <v/>
      </c>
      <c r="AZ2285" s="21" t="str">
        <f>IF(AND($AM2285&lt;&gt;"",$AS2285="✓"),SUMPRODUCT(($AM$11:$AM2285&lt;&gt;"")*($AS$11:$AS2285="✓")),"")</f>
        <v/>
      </c>
      <c r="BA2285" s="21" t="str">
        <f>IF($AL2285="","",$AL2285&amp;"|"&amp;COUNTIF($AL$11:$AL2285,$AL2285))</f>
        <v/>
      </c>
    </row>
    <row r="2286" spans="38:53" ht="15" customHeight="1" x14ac:dyDescent="0.25">
      <c r="AL2286" s="31"/>
      <c r="AM2286" s="26"/>
      <c r="AN2286" s="32"/>
      <c r="AO2286" s="32"/>
      <c r="AP2286" s="24"/>
      <c r="AQ2286" s="24"/>
      <c r="AR2286" s="33"/>
      <c r="AS2286" s="34"/>
      <c r="AT2286" s="33"/>
      <c r="AV2286" s="21">
        <f>IF(AND($AL2286&lt;&gt;"",COUNTIF($AL$11:$AL2286,$AL2286)=1),1,0)</f>
        <v>0</v>
      </c>
      <c r="AW2286" s="21">
        <f t="shared" si="157"/>
        <v>2</v>
      </c>
      <c r="AX2286" s="21" t="str">
        <f t="shared" si="156"/>
        <v/>
      </c>
      <c r="AY2286" s="21" t="str">
        <f>IF(AND($AM2286&lt;&gt;"",$AS2286&lt;&gt;"✓"),SUMPRODUCT(($AM$11:$AM2286&lt;&gt;"")*($AS$11:$AS2286&lt;&gt;"✓")),"")</f>
        <v/>
      </c>
      <c r="AZ2286" s="21" t="str">
        <f>IF(AND($AM2286&lt;&gt;"",$AS2286="✓"),SUMPRODUCT(($AM$11:$AM2286&lt;&gt;"")*($AS$11:$AS2286="✓")),"")</f>
        <v/>
      </c>
      <c r="BA2286" s="21" t="str">
        <f>IF($AL2286="","",$AL2286&amp;"|"&amp;COUNTIF($AL$11:$AL2286,$AL2286))</f>
        <v/>
      </c>
    </row>
    <row r="2287" spans="38:53" ht="15" customHeight="1" x14ac:dyDescent="0.25">
      <c r="AL2287" s="17"/>
      <c r="AM2287" s="12"/>
      <c r="AN2287" s="18"/>
      <c r="AO2287" s="18"/>
      <c r="AP2287" s="10"/>
      <c r="AQ2287" s="10"/>
      <c r="AR2287" s="19"/>
      <c r="AS2287" s="20"/>
      <c r="AT2287" s="19"/>
      <c r="AV2287" s="21">
        <f>IF(AND($AL2287&lt;&gt;"",COUNTIF($AL$11:$AL2287,$AL2287)=1),1,0)</f>
        <v>0</v>
      </c>
      <c r="AW2287" s="21">
        <f t="shared" si="157"/>
        <v>2</v>
      </c>
      <c r="AX2287" s="21" t="str">
        <f t="shared" si="156"/>
        <v/>
      </c>
      <c r="AY2287" s="21" t="str">
        <f>IF(AND($AM2287&lt;&gt;"",$AS2287&lt;&gt;"✓"),SUMPRODUCT(($AM$11:$AM2287&lt;&gt;"")*($AS$11:$AS2287&lt;&gt;"✓")),"")</f>
        <v/>
      </c>
      <c r="AZ2287" s="21" t="str">
        <f>IF(AND($AM2287&lt;&gt;"",$AS2287="✓"),SUMPRODUCT(($AM$11:$AM2287&lt;&gt;"")*($AS$11:$AS2287="✓")),"")</f>
        <v/>
      </c>
      <c r="BA2287" s="21" t="str">
        <f>IF($AL2287="","",$AL2287&amp;"|"&amp;COUNTIF($AL$11:$AL2287,$AL2287))</f>
        <v/>
      </c>
    </row>
    <row r="2288" spans="38:53" ht="15" customHeight="1" x14ac:dyDescent="0.25">
      <c r="AL2288" s="31"/>
      <c r="AM2288" s="26"/>
      <c r="AN2288" s="32"/>
      <c r="AO2288" s="32"/>
      <c r="AP2288" s="24"/>
      <c r="AQ2288" s="24"/>
      <c r="AR2288" s="33"/>
      <c r="AS2288" s="34"/>
      <c r="AT2288" s="33"/>
      <c r="AV2288" s="21">
        <f>IF(AND($AL2288&lt;&gt;"",COUNTIF($AL$11:$AL2288,$AL2288)=1),1,0)</f>
        <v>0</v>
      </c>
      <c r="AW2288" s="21">
        <f t="shared" si="157"/>
        <v>2</v>
      </c>
      <c r="AX2288" s="21" t="str">
        <f t="shared" si="156"/>
        <v/>
      </c>
      <c r="AY2288" s="21" t="str">
        <f>IF(AND($AM2288&lt;&gt;"",$AS2288&lt;&gt;"✓"),SUMPRODUCT(($AM$11:$AM2288&lt;&gt;"")*($AS$11:$AS2288&lt;&gt;"✓")),"")</f>
        <v/>
      </c>
      <c r="AZ2288" s="21" t="str">
        <f>IF(AND($AM2288&lt;&gt;"",$AS2288="✓"),SUMPRODUCT(($AM$11:$AM2288&lt;&gt;"")*($AS$11:$AS2288="✓")),"")</f>
        <v/>
      </c>
      <c r="BA2288" s="21" t="str">
        <f>IF($AL2288="","",$AL2288&amp;"|"&amp;COUNTIF($AL$11:$AL2288,$AL2288))</f>
        <v/>
      </c>
    </row>
    <row r="2289" spans="38:53" ht="15" customHeight="1" x14ac:dyDescent="0.25">
      <c r="AL2289" s="17"/>
      <c r="AM2289" s="12"/>
      <c r="AN2289" s="18"/>
      <c r="AO2289" s="18"/>
      <c r="AP2289" s="10"/>
      <c r="AQ2289" s="10"/>
      <c r="AR2289" s="19"/>
      <c r="AS2289" s="20"/>
      <c r="AT2289" s="19"/>
      <c r="AV2289" s="21">
        <f>IF(AND($AL2289&lt;&gt;"",COUNTIF($AL$11:$AL2289,$AL2289)=1),1,0)</f>
        <v>0</v>
      </c>
      <c r="AW2289" s="21">
        <f t="shared" si="157"/>
        <v>2</v>
      </c>
      <c r="AX2289" s="21" t="str">
        <f t="shared" si="156"/>
        <v/>
      </c>
      <c r="AY2289" s="21" t="str">
        <f>IF(AND($AM2289&lt;&gt;"",$AS2289&lt;&gt;"✓"),SUMPRODUCT(($AM$11:$AM2289&lt;&gt;"")*($AS$11:$AS2289&lt;&gt;"✓")),"")</f>
        <v/>
      </c>
      <c r="AZ2289" s="21" t="str">
        <f>IF(AND($AM2289&lt;&gt;"",$AS2289="✓"),SUMPRODUCT(($AM$11:$AM2289&lt;&gt;"")*($AS$11:$AS2289="✓")),"")</f>
        <v/>
      </c>
      <c r="BA2289" s="21" t="str">
        <f>IF($AL2289="","",$AL2289&amp;"|"&amp;COUNTIF($AL$11:$AL2289,$AL2289))</f>
        <v/>
      </c>
    </row>
    <row r="2290" spans="38:53" ht="15" customHeight="1" x14ac:dyDescent="0.25">
      <c r="AL2290" s="31"/>
      <c r="AM2290" s="26"/>
      <c r="AN2290" s="32"/>
      <c r="AO2290" s="32"/>
      <c r="AP2290" s="24"/>
      <c r="AQ2290" s="24"/>
      <c r="AR2290" s="33"/>
      <c r="AS2290" s="34"/>
      <c r="AT2290" s="33"/>
      <c r="AV2290" s="21">
        <f>IF(AND($AL2290&lt;&gt;"",COUNTIF($AL$11:$AL2290,$AL2290)=1),1,0)</f>
        <v>0</v>
      </c>
      <c r="AW2290" s="21">
        <f t="shared" si="157"/>
        <v>2</v>
      </c>
      <c r="AX2290" s="21" t="str">
        <f t="shared" si="156"/>
        <v/>
      </c>
      <c r="AY2290" s="21" t="str">
        <f>IF(AND($AM2290&lt;&gt;"",$AS2290&lt;&gt;"✓"),SUMPRODUCT(($AM$11:$AM2290&lt;&gt;"")*($AS$11:$AS2290&lt;&gt;"✓")),"")</f>
        <v/>
      </c>
      <c r="AZ2290" s="21" t="str">
        <f>IF(AND($AM2290&lt;&gt;"",$AS2290="✓"),SUMPRODUCT(($AM$11:$AM2290&lt;&gt;"")*($AS$11:$AS2290="✓")),"")</f>
        <v/>
      </c>
      <c r="BA2290" s="21" t="str">
        <f>IF($AL2290="","",$AL2290&amp;"|"&amp;COUNTIF($AL$11:$AL2290,$AL2290))</f>
        <v/>
      </c>
    </row>
    <row r="2291" spans="38:53" ht="15" customHeight="1" x14ac:dyDescent="0.25">
      <c r="AL2291" s="17"/>
      <c r="AM2291" s="12"/>
      <c r="AN2291" s="18"/>
      <c r="AO2291" s="18"/>
      <c r="AP2291" s="10"/>
      <c r="AQ2291" s="10"/>
      <c r="AR2291" s="19"/>
      <c r="AS2291" s="20"/>
      <c r="AT2291" s="19"/>
      <c r="AV2291" s="21">
        <f>IF(AND($AL2291&lt;&gt;"",COUNTIF($AL$11:$AL2291,$AL2291)=1),1,0)</f>
        <v>0</v>
      </c>
      <c r="AW2291" s="21">
        <f t="shared" si="157"/>
        <v>2</v>
      </c>
      <c r="AX2291" s="21" t="str">
        <f t="shared" si="156"/>
        <v/>
      </c>
      <c r="AY2291" s="21" t="str">
        <f>IF(AND($AM2291&lt;&gt;"",$AS2291&lt;&gt;"✓"),SUMPRODUCT(($AM$11:$AM2291&lt;&gt;"")*($AS$11:$AS2291&lt;&gt;"✓")),"")</f>
        <v/>
      </c>
      <c r="AZ2291" s="21" t="str">
        <f>IF(AND($AM2291&lt;&gt;"",$AS2291="✓"),SUMPRODUCT(($AM$11:$AM2291&lt;&gt;"")*($AS$11:$AS2291="✓")),"")</f>
        <v/>
      </c>
      <c r="BA2291" s="21" t="str">
        <f>IF($AL2291="","",$AL2291&amp;"|"&amp;COUNTIF($AL$11:$AL2291,$AL2291))</f>
        <v/>
      </c>
    </row>
    <row r="2292" spans="38:53" ht="15" customHeight="1" x14ac:dyDescent="0.25">
      <c r="AL2292" s="31"/>
      <c r="AM2292" s="26"/>
      <c r="AN2292" s="32"/>
      <c r="AO2292" s="32"/>
      <c r="AP2292" s="24"/>
      <c r="AQ2292" s="24"/>
      <c r="AR2292" s="33"/>
      <c r="AS2292" s="34"/>
      <c r="AT2292" s="33"/>
      <c r="AV2292" s="21">
        <f>IF(AND($AL2292&lt;&gt;"",COUNTIF($AL$11:$AL2292,$AL2292)=1),1,0)</f>
        <v>0</v>
      </c>
      <c r="AW2292" s="21">
        <f t="shared" si="157"/>
        <v>2</v>
      </c>
      <c r="AX2292" s="21" t="str">
        <f t="shared" si="156"/>
        <v/>
      </c>
      <c r="AY2292" s="21" t="str">
        <f>IF(AND($AM2292&lt;&gt;"",$AS2292&lt;&gt;"✓"),SUMPRODUCT(($AM$11:$AM2292&lt;&gt;"")*($AS$11:$AS2292&lt;&gt;"✓")),"")</f>
        <v/>
      </c>
      <c r="AZ2292" s="21" t="str">
        <f>IF(AND($AM2292&lt;&gt;"",$AS2292="✓"),SUMPRODUCT(($AM$11:$AM2292&lt;&gt;"")*($AS$11:$AS2292="✓")),"")</f>
        <v/>
      </c>
      <c r="BA2292" s="21" t="str">
        <f>IF($AL2292="","",$AL2292&amp;"|"&amp;COUNTIF($AL$11:$AL2292,$AL2292))</f>
        <v/>
      </c>
    </row>
    <row r="2293" spans="38:53" ht="15" customHeight="1" x14ac:dyDescent="0.25">
      <c r="AL2293" s="17"/>
      <c r="AM2293" s="12"/>
      <c r="AN2293" s="18"/>
      <c r="AO2293" s="18"/>
      <c r="AP2293" s="10"/>
      <c r="AQ2293" s="10"/>
      <c r="AR2293" s="19"/>
      <c r="AS2293" s="20"/>
      <c r="AT2293" s="19"/>
      <c r="AV2293" s="21">
        <f>IF(AND($AL2293&lt;&gt;"",COUNTIF($AL$11:$AL2293,$AL2293)=1),1,0)</f>
        <v>0</v>
      </c>
      <c r="AW2293" s="21">
        <f t="shared" si="157"/>
        <v>2</v>
      </c>
      <c r="AX2293" s="21" t="str">
        <f t="shared" si="156"/>
        <v/>
      </c>
      <c r="AY2293" s="21" t="str">
        <f>IF(AND($AM2293&lt;&gt;"",$AS2293&lt;&gt;"✓"),SUMPRODUCT(($AM$11:$AM2293&lt;&gt;"")*($AS$11:$AS2293&lt;&gt;"✓")),"")</f>
        <v/>
      </c>
      <c r="AZ2293" s="21" t="str">
        <f>IF(AND($AM2293&lt;&gt;"",$AS2293="✓"),SUMPRODUCT(($AM$11:$AM2293&lt;&gt;"")*($AS$11:$AS2293="✓")),"")</f>
        <v/>
      </c>
      <c r="BA2293" s="21" t="str">
        <f>IF($AL2293="","",$AL2293&amp;"|"&amp;COUNTIF($AL$11:$AL2293,$AL2293))</f>
        <v/>
      </c>
    </row>
    <row r="2294" spans="38:53" ht="15" customHeight="1" x14ac:dyDescent="0.25">
      <c r="AL2294" s="31"/>
      <c r="AM2294" s="26"/>
      <c r="AN2294" s="32"/>
      <c r="AO2294" s="32"/>
      <c r="AP2294" s="24"/>
      <c r="AQ2294" s="24"/>
      <c r="AR2294" s="33"/>
      <c r="AS2294" s="34"/>
      <c r="AT2294" s="33"/>
      <c r="AV2294" s="21">
        <f>IF(AND($AL2294&lt;&gt;"",COUNTIF($AL$11:$AL2294,$AL2294)=1),1,0)</f>
        <v>0</v>
      </c>
      <c r="AW2294" s="21">
        <f t="shared" si="157"/>
        <v>2</v>
      </c>
      <c r="AX2294" s="21" t="str">
        <f t="shared" si="156"/>
        <v/>
      </c>
      <c r="AY2294" s="21" t="str">
        <f>IF(AND($AM2294&lt;&gt;"",$AS2294&lt;&gt;"✓"),SUMPRODUCT(($AM$11:$AM2294&lt;&gt;"")*($AS$11:$AS2294&lt;&gt;"✓")),"")</f>
        <v/>
      </c>
      <c r="AZ2294" s="21" t="str">
        <f>IF(AND($AM2294&lt;&gt;"",$AS2294="✓"),SUMPRODUCT(($AM$11:$AM2294&lt;&gt;"")*($AS$11:$AS2294="✓")),"")</f>
        <v/>
      </c>
      <c r="BA2294" s="21" t="str">
        <f>IF($AL2294="","",$AL2294&amp;"|"&amp;COUNTIF($AL$11:$AL2294,$AL2294))</f>
        <v/>
      </c>
    </row>
    <row r="2295" spans="38:53" ht="15" customHeight="1" x14ac:dyDescent="0.25">
      <c r="AL2295" s="17"/>
      <c r="AM2295" s="12"/>
      <c r="AN2295" s="18"/>
      <c r="AO2295" s="18"/>
      <c r="AP2295" s="10"/>
      <c r="AQ2295" s="10"/>
      <c r="AR2295" s="19"/>
      <c r="AS2295" s="20"/>
      <c r="AT2295" s="19"/>
      <c r="AV2295" s="21">
        <f>IF(AND($AL2295&lt;&gt;"",COUNTIF($AL$11:$AL2295,$AL2295)=1),1,0)</f>
        <v>0</v>
      </c>
      <c r="AW2295" s="21">
        <f t="shared" si="157"/>
        <v>2</v>
      </c>
      <c r="AX2295" s="21" t="str">
        <f t="shared" si="156"/>
        <v/>
      </c>
      <c r="AY2295" s="21" t="str">
        <f>IF(AND($AM2295&lt;&gt;"",$AS2295&lt;&gt;"✓"),SUMPRODUCT(($AM$11:$AM2295&lt;&gt;"")*($AS$11:$AS2295&lt;&gt;"✓")),"")</f>
        <v/>
      </c>
      <c r="AZ2295" s="21" t="str">
        <f>IF(AND($AM2295&lt;&gt;"",$AS2295="✓"),SUMPRODUCT(($AM$11:$AM2295&lt;&gt;"")*($AS$11:$AS2295="✓")),"")</f>
        <v/>
      </c>
      <c r="BA2295" s="21" t="str">
        <f>IF($AL2295="","",$AL2295&amp;"|"&amp;COUNTIF($AL$11:$AL2295,$AL2295))</f>
        <v/>
      </c>
    </row>
    <row r="2296" spans="38:53" ht="15" customHeight="1" x14ac:dyDescent="0.25">
      <c r="AL2296" s="31"/>
      <c r="AM2296" s="26"/>
      <c r="AN2296" s="32"/>
      <c r="AO2296" s="32"/>
      <c r="AP2296" s="24"/>
      <c r="AQ2296" s="24"/>
      <c r="AR2296" s="33"/>
      <c r="AS2296" s="34"/>
      <c r="AT2296" s="33"/>
      <c r="AV2296" s="21">
        <f>IF(AND($AL2296&lt;&gt;"",COUNTIF($AL$11:$AL2296,$AL2296)=1),1,0)</f>
        <v>0</v>
      </c>
      <c r="AW2296" s="21">
        <f t="shared" si="157"/>
        <v>2</v>
      </c>
      <c r="AX2296" s="21" t="str">
        <f t="shared" si="156"/>
        <v/>
      </c>
      <c r="AY2296" s="21" t="str">
        <f>IF(AND($AM2296&lt;&gt;"",$AS2296&lt;&gt;"✓"),SUMPRODUCT(($AM$11:$AM2296&lt;&gt;"")*($AS$11:$AS2296&lt;&gt;"✓")),"")</f>
        <v/>
      </c>
      <c r="AZ2296" s="21" t="str">
        <f>IF(AND($AM2296&lt;&gt;"",$AS2296="✓"),SUMPRODUCT(($AM$11:$AM2296&lt;&gt;"")*($AS$11:$AS2296="✓")),"")</f>
        <v/>
      </c>
      <c r="BA2296" s="21" t="str">
        <f>IF($AL2296="","",$AL2296&amp;"|"&amp;COUNTIF($AL$11:$AL2296,$AL2296))</f>
        <v/>
      </c>
    </row>
    <row r="2297" spans="38:53" ht="15" customHeight="1" x14ac:dyDescent="0.25">
      <c r="AL2297" s="17"/>
      <c r="AM2297" s="12"/>
      <c r="AN2297" s="18"/>
      <c r="AO2297" s="18"/>
      <c r="AP2297" s="10"/>
      <c r="AQ2297" s="10"/>
      <c r="AR2297" s="19"/>
      <c r="AS2297" s="20"/>
      <c r="AT2297" s="19"/>
      <c r="AV2297" s="21">
        <f>IF(AND($AL2297&lt;&gt;"",COUNTIF($AL$11:$AL2297,$AL2297)=1),1,0)</f>
        <v>0</v>
      </c>
      <c r="AW2297" s="21">
        <f t="shared" si="157"/>
        <v>2</v>
      </c>
      <c r="AX2297" s="21" t="str">
        <f t="shared" si="156"/>
        <v/>
      </c>
      <c r="AY2297" s="21" t="str">
        <f>IF(AND($AM2297&lt;&gt;"",$AS2297&lt;&gt;"✓"),SUMPRODUCT(($AM$11:$AM2297&lt;&gt;"")*($AS$11:$AS2297&lt;&gt;"✓")),"")</f>
        <v/>
      </c>
      <c r="AZ2297" s="21" t="str">
        <f>IF(AND($AM2297&lt;&gt;"",$AS2297="✓"),SUMPRODUCT(($AM$11:$AM2297&lt;&gt;"")*($AS$11:$AS2297="✓")),"")</f>
        <v/>
      </c>
      <c r="BA2297" s="21" t="str">
        <f>IF($AL2297="","",$AL2297&amp;"|"&amp;COUNTIF($AL$11:$AL2297,$AL2297))</f>
        <v/>
      </c>
    </row>
    <row r="2298" spans="38:53" ht="15" customHeight="1" x14ac:dyDescent="0.25">
      <c r="AL2298" s="31"/>
      <c r="AM2298" s="26"/>
      <c r="AN2298" s="32"/>
      <c r="AO2298" s="32"/>
      <c r="AP2298" s="24"/>
      <c r="AQ2298" s="24"/>
      <c r="AR2298" s="33"/>
      <c r="AS2298" s="34"/>
      <c r="AT2298" s="33"/>
      <c r="AV2298" s="21">
        <f>IF(AND($AL2298&lt;&gt;"",COUNTIF($AL$11:$AL2298,$AL2298)=1),1,0)</f>
        <v>0</v>
      </c>
      <c r="AW2298" s="21">
        <f t="shared" si="157"/>
        <v>2</v>
      </c>
      <c r="AX2298" s="21" t="str">
        <f t="shared" si="156"/>
        <v/>
      </c>
      <c r="AY2298" s="21" t="str">
        <f>IF(AND($AM2298&lt;&gt;"",$AS2298&lt;&gt;"✓"),SUMPRODUCT(($AM$11:$AM2298&lt;&gt;"")*($AS$11:$AS2298&lt;&gt;"✓")),"")</f>
        <v/>
      </c>
      <c r="AZ2298" s="21" t="str">
        <f>IF(AND($AM2298&lt;&gt;"",$AS2298="✓"),SUMPRODUCT(($AM$11:$AM2298&lt;&gt;"")*($AS$11:$AS2298="✓")),"")</f>
        <v/>
      </c>
      <c r="BA2298" s="21" t="str">
        <f>IF($AL2298="","",$AL2298&amp;"|"&amp;COUNTIF($AL$11:$AL2298,$AL2298))</f>
        <v/>
      </c>
    </row>
    <row r="2299" spans="38:53" ht="15" customHeight="1" x14ac:dyDescent="0.25">
      <c r="AL2299" s="17"/>
      <c r="AM2299" s="12"/>
      <c r="AN2299" s="18"/>
      <c r="AO2299" s="18"/>
      <c r="AP2299" s="10"/>
      <c r="AQ2299" s="10"/>
      <c r="AR2299" s="19"/>
      <c r="AS2299" s="20"/>
      <c r="AT2299" s="19"/>
      <c r="AV2299" s="21">
        <f>IF(AND($AL2299&lt;&gt;"",COUNTIF($AL$11:$AL2299,$AL2299)=1),1,0)</f>
        <v>0</v>
      </c>
      <c r="AW2299" s="21">
        <f t="shared" si="157"/>
        <v>2</v>
      </c>
      <c r="AX2299" s="21" t="str">
        <f t="shared" si="156"/>
        <v/>
      </c>
      <c r="AY2299" s="21" t="str">
        <f>IF(AND($AM2299&lt;&gt;"",$AS2299&lt;&gt;"✓"),SUMPRODUCT(($AM$11:$AM2299&lt;&gt;"")*($AS$11:$AS2299&lt;&gt;"✓")),"")</f>
        <v/>
      </c>
      <c r="AZ2299" s="21" t="str">
        <f>IF(AND($AM2299&lt;&gt;"",$AS2299="✓"),SUMPRODUCT(($AM$11:$AM2299&lt;&gt;"")*($AS$11:$AS2299="✓")),"")</f>
        <v/>
      </c>
      <c r="BA2299" s="21" t="str">
        <f>IF($AL2299="","",$AL2299&amp;"|"&amp;COUNTIF($AL$11:$AL2299,$AL2299))</f>
        <v/>
      </c>
    </row>
    <row r="2300" spans="38:53" ht="15" customHeight="1" x14ac:dyDescent="0.25">
      <c r="AL2300" s="31"/>
      <c r="AM2300" s="26"/>
      <c r="AN2300" s="32"/>
      <c r="AO2300" s="32"/>
      <c r="AP2300" s="24"/>
      <c r="AQ2300" s="24"/>
      <c r="AR2300" s="33"/>
      <c r="AS2300" s="34"/>
      <c r="AT2300" s="33"/>
      <c r="AV2300" s="21">
        <f>IF(AND($AL2300&lt;&gt;"",COUNTIF($AL$11:$AL2300,$AL2300)=1),1,0)</f>
        <v>0</v>
      </c>
      <c r="AW2300" s="21">
        <f t="shared" si="157"/>
        <v>2</v>
      </c>
      <c r="AX2300" s="21" t="str">
        <f t="shared" si="156"/>
        <v/>
      </c>
      <c r="AY2300" s="21" t="str">
        <f>IF(AND($AM2300&lt;&gt;"",$AS2300&lt;&gt;"✓"),SUMPRODUCT(($AM$11:$AM2300&lt;&gt;"")*($AS$11:$AS2300&lt;&gt;"✓")),"")</f>
        <v/>
      </c>
      <c r="AZ2300" s="21" t="str">
        <f>IF(AND($AM2300&lt;&gt;"",$AS2300="✓"),SUMPRODUCT(($AM$11:$AM2300&lt;&gt;"")*($AS$11:$AS2300="✓")),"")</f>
        <v/>
      </c>
      <c r="BA2300" s="21" t="str">
        <f>IF($AL2300="","",$AL2300&amp;"|"&amp;COUNTIF($AL$11:$AL2300,$AL2300))</f>
        <v/>
      </c>
    </row>
    <row r="2301" spans="38:53" ht="15" customHeight="1" x14ac:dyDescent="0.25">
      <c r="AL2301" s="17"/>
      <c r="AM2301" s="12"/>
      <c r="AN2301" s="18"/>
      <c r="AO2301" s="18"/>
      <c r="AP2301" s="10"/>
      <c r="AQ2301" s="10"/>
      <c r="AR2301" s="19"/>
      <c r="AS2301" s="20"/>
      <c r="AT2301" s="19"/>
      <c r="AV2301" s="21">
        <f>IF(AND($AL2301&lt;&gt;"",COUNTIF($AL$11:$AL2301,$AL2301)=1),1,0)</f>
        <v>0</v>
      </c>
      <c r="AW2301" s="21">
        <f t="shared" si="157"/>
        <v>2</v>
      </c>
      <c r="AX2301" s="21" t="str">
        <f t="shared" si="156"/>
        <v/>
      </c>
      <c r="AY2301" s="21" t="str">
        <f>IF(AND($AM2301&lt;&gt;"",$AS2301&lt;&gt;"✓"),SUMPRODUCT(($AM$11:$AM2301&lt;&gt;"")*($AS$11:$AS2301&lt;&gt;"✓")),"")</f>
        <v/>
      </c>
      <c r="AZ2301" s="21" t="str">
        <f>IF(AND($AM2301&lt;&gt;"",$AS2301="✓"),SUMPRODUCT(($AM$11:$AM2301&lt;&gt;"")*($AS$11:$AS2301="✓")),"")</f>
        <v/>
      </c>
      <c r="BA2301" s="21" t="str">
        <f>IF($AL2301="","",$AL2301&amp;"|"&amp;COUNTIF($AL$11:$AL2301,$AL2301))</f>
        <v/>
      </c>
    </row>
    <row r="2302" spans="38:53" ht="15" customHeight="1" x14ac:dyDescent="0.25">
      <c r="AL2302" s="31"/>
      <c r="AM2302" s="26"/>
      <c r="AN2302" s="32"/>
      <c r="AO2302" s="32"/>
      <c r="AP2302" s="24"/>
      <c r="AQ2302" s="24"/>
      <c r="AR2302" s="33"/>
      <c r="AS2302" s="34"/>
      <c r="AT2302" s="33"/>
      <c r="AV2302" s="21">
        <f>IF(AND($AL2302&lt;&gt;"",COUNTIF($AL$11:$AL2302,$AL2302)=1),1,0)</f>
        <v>0</v>
      </c>
      <c r="AW2302" s="21">
        <f t="shared" si="157"/>
        <v>2</v>
      </c>
      <c r="AX2302" s="21" t="str">
        <f t="shared" si="156"/>
        <v/>
      </c>
      <c r="AY2302" s="21" t="str">
        <f>IF(AND($AM2302&lt;&gt;"",$AS2302&lt;&gt;"✓"),SUMPRODUCT(($AM$11:$AM2302&lt;&gt;"")*($AS$11:$AS2302&lt;&gt;"✓")),"")</f>
        <v/>
      </c>
      <c r="AZ2302" s="21" t="str">
        <f>IF(AND($AM2302&lt;&gt;"",$AS2302="✓"),SUMPRODUCT(($AM$11:$AM2302&lt;&gt;"")*($AS$11:$AS2302="✓")),"")</f>
        <v/>
      </c>
      <c r="BA2302" s="21" t="str">
        <f>IF($AL2302="","",$AL2302&amp;"|"&amp;COUNTIF($AL$11:$AL2302,$AL2302))</f>
        <v/>
      </c>
    </row>
    <row r="2303" spans="38:53" ht="15" customHeight="1" x14ac:dyDescent="0.25">
      <c r="AL2303" s="17"/>
      <c r="AM2303" s="12"/>
      <c r="AN2303" s="18"/>
      <c r="AO2303" s="18"/>
      <c r="AP2303" s="10"/>
      <c r="AQ2303" s="10"/>
      <c r="AR2303" s="19"/>
      <c r="AS2303" s="20"/>
      <c r="AT2303" s="19"/>
      <c r="AV2303" s="21">
        <f>IF(AND($AL2303&lt;&gt;"",COUNTIF($AL$11:$AL2303,$AL2303)=1),1,0)</f>
        <v>0</v>
      </c>
      <c r="AW2303" s="21">
        <f t="shared" si="157"/>
        <v>2</v>
      </c>
      <c r="AX2303" s="21" t="str">
        <f t="shared" si="156"/>
        <v/>
      </c>
      <c r="AY2303" s="21" t="str">
        <f>IF(AND($AM2303&lt;&gt;"",$AS2303&lt;&gt;"✓"),SUMPRODUCT(($AM$11:$AM2303&lt;&gt;"")*($AS$11:$AS2303&lt;&gt;"✓")),"")</f>
        <v/>
      </c>
      <c r="AZ2303" s="21" t="str">
        <f>IF(AND($AM2303&lt;&gt;"",$AS2303="✓"),SUMPRODUCT(($AM$11:$AM2303&lt;&gt;"")*($AS$11:$AS2303="✓")),"")</f>
        <v/>
      </c>
      <c r="BA2303" s="21" t="str">
        <f>IF($AL2303="","",$AL2303&amp;"|"&amp;COUNTIF($AL$11:$AL2303,$AL2303))</f>
        <v/>
      </c>
    </row>
    <row r="2304" spans="38:53" ht="15" customHeight="1" x14ac:dyDescent="0.25">
      <c r="AL2304" s="31"/>
      <c r="AM2304" s="26"/>
      <c r="AN2304" s="32"/>
      <c r="AO2304" s="32"/>
      <c r="AP2304" s="24"/>
      <c r="AQ2304" s="24"/>
      <c r="AR2304" s="33"/>
      <c r="AS2304" s="34"/>
      <c r="AT2304" s="33"/>
      <c r="AV2304" s="21">
        <f>IF(AND($AL2304&lt;&gt;"",COUNTIF($AL$11:$AL2304,$AL2304)=1),1,0)</f>
        <v>0</v>
      </c>
      <c r="AW2304" s="21">
        <f t="shared" si="157"/>
        <v>2</v>
      </c>
      <c r="AX2304" s="21" t="str">
        <f t="shared" si="156"/>
        <v/>
      </c>
      <c r="AY2304" s="21" t="str">
        <f>IF(AND($AM2304&lt;&gt;"",$AS2304&lt;&gt;"✓"),SUMPRODUCT(($AM$11:$AM2304&lt;&gt;"")*($AS$11:$AS2304&lt;&gt;"✓")),"")</f>
        <v/>
      </c>
      <c r="AZ2304" s="21" t="str">
        <f>IF(AND($AM2304&lt;&gt;"",$AS2304="✓"),SUMPRODUCT(($AM$11:$AM2304&lt;&gt;"")*($AS$11:$AS2304="✓")),"")</f>
        <v/>
      </c>
      <c r="BA2304" s="21" t="str">
        <f>IF($AL2304="","",$AL2304&amp;"|"&amp;COUNTIF($AL$11:$AL2304,$AL2304))</f>
        <v/>
      </c>
    </row>
    <row r="2305" spans="38:53" ht="15" customHeight="1" x14ac:dyDescent="0.25">
      <c r="AL2305" s="17"/>
      <c r="AM2305" s="12"/>
      <c r="AN2305" s="18"/>
      <c r="AO2305" s="18"/>
      <c r="AP2305" s="10"/>
      <c r="AQ2305" s="10"/>
      <c r="AR2305" s="19"/>
      <c r="AS2305" s="20"/>
      <c r="AT2305" s="19"/>
      <c r="AV2305" s="21">
        <f>IF(AND($AL2305&lt;&gt;"",COUNTIF($AL$11:$AL2305,$AL2305)=1),1,0)</f>
        <v>0</v>
      </c>
      <c r="AW2305" s="21">
        <f t="shared" si="157"/>
        <v>2</v>
      </c>
      <c r="AX2305" s="21" t="str">
        <f t="shared" si="156"/>
        <v/>
      </c>
      <c r="AY2305" s="21" t="str">
        <f>IF(AND($AM2305&lt;&gt;"",$AS2305&lt;&gt;"✓"),SUMPRODUCT(($AM$11:$AM2305&lt;&gt;"")*($AS$11:$AS2305&lt;&gt;"✓")),"")</f>
        <v/>
      </c>
      <c r="AZ2305" s="21" t="str">
        <f>IF(AND($AM2305&lt;&gt;"",$AS2305="✓"),SUMPRODUCT(($AM$11:$AM2305&lt;&gt;"")*($AS$11:$AS2305="✓")),"")</f>
        <v/>
      </c>
      <c r="BA2305" s="21" t="str">
        <f>IF($AL2305="","",$AL2305&amp;"|"&amp;COUNTIF($AL$11:$AL2305,$AL2305))</f>
        <v/>
      </c>
    </row>
    <row r="2306" spans="38:53" ht="15" customHeight="1" x14ac:dyDescent="0.25">
      <c r="AL2306" s="31"/>
      <c r="AM2306" s="26"/>
      <c r="AN2306" s="32"/>
      <c r="AO2306" s="32"/>
      <c r="AP2306" s="24"/>
      <c r="AQ2306" s="24"/>
      <c r="AR2306" s="33"/>
      <c r="AS2306" s="34"/>
      <c r="AT2306" s="33"/>
      <c r="AV2306" s="21">
        <f>IF(AND($AL2306&lt;&gt;"",COUNTIF($AL$11:$AL2306,$AL2306)=1),1,0)</f>
        <v>0</v>
      </c>
      <c r="AW2306" s="21">
        <f t="shared" si="157"/>
        <v>2</v>
      </c>
      <c r="AX2306" s="21" t="str">
        <f t="shared" si="156"/>
        <v/>
      </c>
      <c r="AY2306" s="21" t="str">
        <f>IF(AND($AM2306&lt;&gt;"",$AS2306&lt;&gt;"✓"),SUMPRODUCT(($AM$11:$AM2306&lt;&gt;"")*($AS$11:$AS2306&lt;&gt;"✓")),"")</f>
        <v/>
      </c>
      <c r="AZ2306" s="21" t="str">
        <f>IF(AND($AM2306&lt;&gt;"",$AS2306="✓"),SUMPRODUCT(($AM$11:$AM2306&lt;&gt;"")*($AS$11:$AS2306="✓")),"")</f>
        <v/>
      </c>
      <c r="BA2306" s="21" t="str">
        <f>IF($AL2306="","",$AL2306&amp;"|"&amp;COUNTIF($AL$11:$AL2306,$AL2306))</f>
        <v/>
      </c>
    </row>
    <row r="2307" spans="38:53" ht="15" customHeight="1" x14ac:dyDescent="0.25">
      <c r="AL2307" s="17"/>
      <c r="AM2307" s="12"/>
      <c r="AN2307" s="18"/>
      <c r="AO2307" s="18"/>
      <c r="AP2307" s="10"/>
      <c r="AQ2307" s="10"/>
      <c r="AR2307" s="19"/>
      <c r="AS2307" s="20"/>
      <c r="AT2307" s="19"/>
      <c r="AV2307" s="21">
        <f>IF(AND($AL2307&lt;&gt;"",COUNTIF($AL$11:$AL2307,$AL2307)=1),1,0)</f>
        <v>0</v>
      </c>
      <c r="AW2307" s="21">
        <f t="shared" si="157"/>
        <v>2</v>
      </c>
      <c r="AX2307" s="21" t="str">
        <f t="shared" si="156"/>
        <v/>
      </c>
      <c r="AY2307" s="21" t="str">
        <f>IF(AND($AM2307&lt;&gt;"",$AS2307&lt;&gt;"✓"),SUMPRODUCT(($AM$11:$AM2307&lt;&gt;"")*($AS$11:$AS2307&lt;&gt;"✓")),"")</f>
        <v/>
      </c>
      <c r="AZ2307" s="21" t="str">
        <f>IF(AND($AM2307&lt;&gt;"",$AS2307="✓"),SUMPRODUCT(($AM$11:$AM2307&lt;&gt;"")*($AS$11:$AS2307="✓")),"")</f>
        <v/>
      </c>
      <c r="BA2307" s="21" t="str">
        <f>IF($AL2307="","",$AL2307&amp;"|"&amp;COUNTIF($AL$11:$AL2307,$AL2307))</f>
        <v/>
      </c>
    </row>
    <row r="2308" spans="38:53" ht="15" customHeight="1" x14ac:dyDescent="0.25">
      <c r="AL2308" s="31"/>
      <c r="AM2308" s="26"/>
      <c r="AN2308" s="32"/>
      <c r="AO2308" s="32"/>
      <c r="AP2308" s="24"/>
      <c r="AQ2308" s="24"/>
      <c r="AR2308" s="33"/>
      <c r="AS2308" s="34"/>
      <c r="AT2308" s="33"/>
      <c r="AV2308" s="21">
        <f>IF(AND($AL2308&lt;&gt;"",COUNTIF($AL$11:$AL2308,$AL2308)=1),1,0)</f>
        <v>0</v>
      </c>
      <c r="AW2308" s="21">
        <f t="shared" si="157"/>
        <v>2</v>
      </c>
      <c r="AX2308" s="21" t="str">
        <f t="shared" si="156"/>
        <v/>
      </c>
      <c r="AY2308" s="21" t="str">
        <f>IF(AND($AM2308&lt;&gt;"",$AS2308&lt;&gt;"✓"),SUMPRODUCT(($AM$11:$AM2308&lt;&gt;"")*($AS$11:$AS2308&lt;&gt;"✓")),"")</f>
        <v/>
      </c>
      <c r="AZ2308" s="21" t="str">
        <f>IF(AND($AM2308&lt;&gt;"",$AS2308="✓"),SUMPRODUCT(($AM$11:$AM2308&lt;&gt;"")*($AS$11:$AS2308="✓")),"")</f>
        <v/>
      </c>
      <c r="BA2308" s="21" t="str">
        <f>IF($AL2308="","",$AL2308&amp;"|"&amp;COUNTIF($AL$11:$AL2308,$AL2308))</f>
        <v/>
      </c>
    </row>
    <row r="2309" spans="38:53" ht="15" customHeight="1" x14ac:dyDescent="0.25">
      <c r="AL2309" s="17"/>
      <c r="AM2309" s="12"/>
      <c r="AN2309" s="18"/>
      <c r="AO2309" s="18"/>
      <c r="AP2309" s="10"/>
      <c r="AQ2309" s="10"/>
      <c r="AR2309" s="19"/>
      <c r="AS2309" s="20"/>
      <c r="AT2309" s="19"/>
      <c r="AV2309" s="21">
        <f>IF(AND($AL2309&lt;&gt;"",COUNTIF($AL$11:$AL2309,$AL2309)=1),1,0)</f>
        <v>0</v>
      </c>
      <c r="AW2309" s="21">
        <f t="shared" si="157"/>
        <v>2</v>
      </c>
      <c r="AX2309" s="21" t="str">
        <f t="shared" si="156"/>
        <v/>
      </c>
      <c r="AY2309" s="21" t="str">
        <f>IF(AND($AM2309&lt;&gt;"",$AS2309&lt;&gt;"✓"),SUMPRODUCT(($AM$11:$AM2309&lt;&gt;"")*($AS$11:$AS2309&lt;&gt;"✓")),"")</f>
        <v/>
      </c>
      <c r="AZ2309" s="21" t="str">
        <f>IF(AND($AM2309&lt;&gt;"",$AS2309="✓"),SUMPRODUCT(($AM$11:$AM2309&lt;&gt;"")*($AS$11:$AS2309="✓")),"")</f>
        <v/>
      </c>
      <c r="BA2309" s="21" t="str">
        <f>IF($AL2309="","",$AL2309&amp;"|"&amp;COUNTIF($AL$11:$AL2309,$AL2309))</f>
        <v/>
      </c>
    </row>
    <row r="2310" spans="38:53" ht="15" customHeight="1" x14ac:dyDescent="0.25">
      <c r="AL2310" s="31"/>
      <c r="AM2310" s="26"/>
      <c r="AN2310" s="32"/>
      <c r="AO2310" s="32"/>
      <c r="AP2310" s="24"/>
      <c r="AQ2310" s="24"/>
      <c r="AR2310" s="33"/>
      <c r="AS2310" s="34"/>
      <c r="AT2310" s="33"/>
      <c r="AV2310" s="21">
        <f>IF(AND($AL2310&lt;&gt;"",COUNTIF($AL$11:$AL2310,$AL2310)=1),1,0)</f>
        <v>0</v>
      </c>
      <c r="AW2310" s="21">
        <f t="shared" si="157"/>
        <v>2</v>
      </c>
      <c r="AX2310" s="21" t="str">
        <f t="shared" si="156"/>
        <v/>
      </c>
      <c r="AY2310" s="21" t="str">
        <f>IF(AND($AM2310&lt;&gt;"",$AS2310&lt;&gt;"✓"),SUMPRODUCT(($AM$11:$AM2310&lt;&gt;"")*($AS$11:$AS2310&lt;&gt;"✓")),"")</f>
        <v/>
      </c>
      <c r="AZ2310" s="21" t="str">
        <f>IF(AND($AM2310&lt;&gt;"",$AS2310="✓"),SUMPRODUCT(($AM$11:$AM2310&lt;&gt;"")*($AS$11:$AS2310="✓")),"")</f>
        <v/>
      </c>
      <c r="BA2310" s="21" t="str">
        <f>IF($AL2310="","",$AL2310&amp;"|"&amp;COUNTIF($AL$11:$AL2310,$AL2310))</f>
        <v/>
      </c>
    </row>
    <row r="2311" spans="38:53" ht="15" customHeight="1" x14ac:dyDescent="0.25">
      <c r="AL2311" s="17"/>
      <c r="AM2311" s="12"/>
      <c r="AN2311" s="18"/>
      <c r="AO2311" s="18"/>
      <c r="AP2311" s="10"/>
      <c r="AQ2311" s="10"/>
      <c r="AR2311" s="19"/>
      <c r="AS2311" s="20"/>
      <c r="AT2311" s="19"/>
      <c r="AV2311" s="21">
        <f>IF(AND($AL2311&lt;&gt;"",COUNTIF($AL$11:$AL2311,$AL2311)=1),1,0)</f>
        <v>0</v>
      </c>
      <c r="AW2311" s="21">
        <f t="shared" si="157"/>
        <v>2</v>
      </c>
      <c r="AX2311" s="21" t="str">
        <f t="shared" si="156"/>
        <v/>
      </c>
      <c r="AY2311" s="21" t="str">
        <f>IF(AND($AM2311&lt;&gt;"",$AS2311&lt;&gt;"✓"),SUMPRODUCT(($AM$11:$AM2311&lt;&gt;"")*($AS$11:$AS2311&lt;&gt;"✓")),"")</f>
        <v/>
      </c>
      <c r="AZ2311" s="21" t="str">
        <f>IF(AND($AM2311&lt;&gt;"",$AS2311="✓"),SUMPRODUCT(($AM$11:$AM2311&lt;&gt;"")*($AS$11:$AS2311="✓")),"")</f>
        <v/>
      </c>
      <c r="BA2311" s="21" t="str">
        <f>IF($AL2311="","",$AL2311&amp;"|"&amp;COUNTIF($AL$11:$AL2311,$AL2311))</f>
        <v/>
      </c>
    </row>
    <row r="2312" spans="38:53" ht="15" customHeight="1" x14ac:dyDescent="0.25">
      <c r="AL2312" s="31"/>
      <c r="AM2312" s="26"/>
      <c r="AN2312" s="32"/>
      <c r="AO2312" s="32"/>
      <c r="AP2312" s="24"/>
      <c r="AQ2312" s="24"/>
      <c r="AR2312" s="33"/>
      <c r="AS2312" s="34"/>
      <c r="AT2312" s="33"/>
      <c r="AV2312" s="21">
        <f>IF(AND($AL2312&lt;&gt;"",COUNTIF($AL$11:$AL2312,$AL2312)=1),1,0)</f>
        <v>0</v>
      </c>
      <c r="AW2312" s="21">
        <f t="shared" si="157"/>
        <v>2</v>
      </c>
      <c r="AX2312" s="21" t="str">
        <f t="shared" si="156"/>
        <v/>
      </c>
      <c r="AY2312" s="21" t="str">
        <f>IF(AND($AM2312&lt;&gt;"",$AS2312&lt;&gt;"✓"),SUMPRODUCT(($AM$11:$AM2312&lt;&gt;"")*($AS$11:$AS2312&lt;&gt;"✓")),"")</f>
        <v/>
      </c>
      <c r="AZ2312" s="21" t="str">
        <f>IF(AND($AM2312&lt;&gt;"",$AS2312="✓"),SUMPRODUCT(($AM$11:$AM2312&lt;&gt;"")*($AS$11:$AS2312="✓")),"")</f>
        <v/>
      </c>
      <c r="BA2312" s="21" t="str">
        <f>IF($AL2312="","",$AL2312&amp;"|"&amp;COUNTIF($AL$11:$AL2312,$AL2312))</f>
        <v/>
      </c>
    </row>
    <row r="2313" spans="38:53" ht="15" customHeight="1" x14ac:dyDescent="0.25">
      <c r="AL2313" s="17"/>
      <c r="AM2313" s="12"/>
      <c r="AN2313" s="18"/>
      <c r="AO2313" s="18"/>
      <c r="AP2313" s="10"/>
      <c r="AQ2313" s="10"/>
      <c r="AR2313" s="19"/>
      <c r="AS2313" s="20"/>
      <c r="AT2313" s="19"/>
      <c r="AV2313" s="21">
        <f>IF(AND($AL2313&lt;&gt;"",COUNTIF($AL$11:$AL2313,$AL2313)=1),1,0)</f>
        <v>0</v>
      </c>
      <c r="AW2313" s="21">
        <f t="shared" si="157"/>
        <v>2</v>
      </c>
      <c r="AX2313" s="21" t="str">
        <f t="shared" si="156"/>
        <v/>
      </c>
      <c r="AY2313" s="21" t="str">
        <f>IF(AND($AM2313&lt;&gt;"",$AS2313&lt;&gt;"✓"),SUMPRODUCT(($AM$11:$AM2313&lt;&gt;"")*($AS$11:$AS2313&lt;&gt;"✓")),"")</f>
        <v/>
      </c>
      <c r="AZ2313" s="21" t="str">
        <f>IF(AND($AM2313&lt;&gt;"",$AS2313="✓"),SUMPRODUCT(($AM$11:$AM2313&lt;&gt;"")*($AS$11:$AS2313="✓")),"")</f>
        <v/>
      </c>
      <c r="BA2313" s="21" t="str">
        <f>IF($AL2313="","",$AL2313&amp;"|"&amp;COUNTIF($AL$11:$AL2313,$AL2313))</f>
        <v/>
      </c>
    </row>
    <row r="2314" spans="38:53" ht="15" customHeight="1" x14ac:dyDescent="0.25">
      <c r="AL2314" s="31"/>
      <c r="AM2314" s="26"/>
      <c r="AN2314" s="32"/>
      <c r="AO2314" s="32"/>
      <c r="AP2314" s="24"/>
      <c r="AQ2314" s="24"/>
      <c r="AR2314" s="33"/>
      <c r="AS2314" s="34"/>
      <c r="AT2314" s="33"/>
      <c r="AV2314" s="21">
        <f>IF(AND($AL2314&lt;&gt;"",COUNTIF($AL$11:$AL2314,$AL2314)=1),1,0)</f>
        <v>0</v>
      </c>
      <c r="AW2314" s="21">
        <f t="shared" si="157"/>
        <v>2</v>
      </c>
      <c r="AX2314" s="21" t="str">
        <f t="shared" si="156"/>
        <v/>
      </c>
      <c r="AY2314" s="21" t="str">
        <f>IF(AND($AM2314&lt;&gt;"",$AS2314&lt;&gt;"✓"),SUMPRODUCT(($AM$11:$AM2314&lt;&gt;"")*($AS$11:$AS2314&lt;&gt;"✓")),"")</f>
        <v/>
      </c>
      <c r="AZ2314" s="21" t="str">
        <f>IF(AND($AM2314&lt;&gt;"",$AS2314="✓"),SUMPRODUCT(($AM$11:$AM2314&lt;&gt;"")*($AS$11:$AS2314="✓")),"")</f>
        <v/>
      </c>
      <c r="BA2314" s="21" t="str">
        <f>IF($AL2314="","",$AL2314&amp;"|"&amp;COUNTIF($AL$11:$AL2314,$AL2314))</f>
        <v/>
      </c>
    </row>
    <row r="2315" spans="38:53" ht="15" customHeight="1" x14ac:dyDescent="0.25">
      <c r="AL2315" s="17"/>
      <c r="AM2315" s="12"/>
      <c r="AN2315" s="18"/>
      <c r="AO2315" s="18"/>
      <c r="AP2315" s="10"/>
      <c r="AQ2315" s="10"/>
      <c r="AR2315" s="19"/>
      <c r="AS2315" s="20"/>
      <c r="AT2315" s="19"/>
      <c r="AV2315" s="21">
        <f>IF(AND($AL2315&lt;&gt;"",COUNTIF($AL$11:$AL2315,$AL2315)=1),1,0)</f>
        <v>0</v>
      </c>
      <c r="AW2315" s="21">
        <f t="shared" si="157"/>
        <v>2</v>
      </c>
      <c r="AX2315" s="21" t="str">
        <f t="shared" ref="AX2315:AX2378" si="158">IF(AV2315=1,AW2315,"")</f>
        <v/>
      </c>
      <c r="AY2315" s="21" t="str">
        <f>IF(AND($AM2315&lt;&gt;"",$AS2315&lt;&gt;"✓"),SUMPRODUCT(($AM$11:$AM2315&lt;&gt;"")*($AS$11:$AS2315&lt;&gt;"✓")),"")</f>
        <v/>
      </c>
      <c r="AZ2315" s="21" t="str">
        <f>IF(AND($AM2315&lt;&gt;"",$AS2315="✓"),SUMPRODUCT(($AM$11:$AM2315&lt;&gt;"")*($AS$11:$AS2315="✓")),"")</f>
        <v/>
      </c>
      <c r="BA2315" s="21" t="str">
        <f>IF($AL2315="","",$AL2315&amp;"|"&amp;COUNTIF($AL$11:$AL2315,$AL2315))</f>
        <v/>
      </c>
    </row>
    <row r="2316" spans="38:53" ht="15" customHeight="1" x14ac:dyDescent="0.25">
      <c r="AL2316" s="31"/>
      <c r="AM2316" s="26"/>
      <c r="AN2316" s="32"/>
      <c r="AO2316" s="32"/>
      <c r="AP2316" s="24"/>
      <c r="AQ2316" s="24"/>
      <c r="AR2316" s="33"/>
      <c r="AS2316" s="34"/>
      <c r="AT2316" s="33"/>
      <c r="AV2316" s="21">
        <f>IF(AND($AL2316&lt;&gt;"",COUNTIF($AL$11:$AL2316,$AL2316)=1),1,0)</f>
        <v>0</v>
      </c>
      <c r="AW2316" s="21">
        <f t="shared" ref="AW2316:AW2379" si="159">AW2315+AV2316</f>
        <v>2</v>
      </c>
      <c r="AX2316" s="21" t="str">
        <f t="shared" si="158"/>
        <v/>
      </c>
      <c r="AY2316" s="21" t="str">
        <f>IF(AND($AM2316&lt;&gt;"",$AS2316&lt;&gt;"✓"),SUMPRODUCT(($AM$11:$AM2316&lt;&gt;"")*($AS$11:$AS2316&lt;&gt;"✓")),"")</f>
        <v/>
      </c>
      <c r="AZ2316" s="21" t="str">
        <f>IF(AND($AM2316&lt;&gt;"",$AS2316="✓"),SUMPRODUCT(($AM$11:$AM2316&lt;&gt;"")*($AS$11:$AS2316="✓")),"")</f>
        <v/>
      </c>
      <c r="BA2316" s="21" t="str">
        <f>IF($AL2316="","",$AL2316&amp;"|"&amp;COUNTIF($AL$11:$AL2316,$AL2316))</f>
        <v/>
      </c>
    </row>
    <row r="2317" spans="38:53" ht="15" customHeight="1" x14ac:dyDescent="0.25">
      <c r="AL2317" s="17"/>
      <c r="AM2317" s="12"/>
      <c r="AN2317" s="18"/>
      <c r="AO2317" s="18"/>
      <c r="AP2317" s="10"/>
      <c r="AQ2317" s="10"/>
      <c r="AR2317" s="19"/>
      <c r="AS2317" s="20"/>
      <c r="AT2317" s="19"/>
      <c r="AV2317" s="21">
        <f>IF(AND($AL2317&lt;&gt;"",COUNTIF($AL$11:$AL2317,$AL2317)=1),1,0)</f>
        <v>0</v>
      </c>
      <c r="AW2317" s="21">
        <f t="shared" si="159"/>
        <v>2</v>
      </c>
      <c r="AX2317" s="21" t="str">
        <f t="shared" si="158"/>
        <v/>
      </c>
      <c r="AY2317" s="21" t="str">
        <f>IF(AND($AM2317&lt;&gt;"",$AS2317&lt;&gt;"✓"),SUMPRODUCT(($AM$11:$AM2317&lt;&gt;"")*($AS$11:$AS2317&lt;&gt;"✓")),"")</f>
        <v/>
      </c>
      <c r="AZ2317" s="21" t="str">
        <f>IF(AND($AM2317&lt;&gt;"",$AS2317="✓"),SUMPRODUCT(($AM$11:$AM2317&lt;&gt;"")*($AS$11:$AS2317="✓")),"")</f>
        <v/>
      </c>
      <c r="BA2317" s="21" t="str">
        <f>IF($AL2317="","",$AL2317&amp;"|"&amp;COUNTIF($AL$11:$AL2317,$AL2317))</f>
        <v/>
      </c>
    </row>
    <row r="2318" spans="38:53" ht="15" customHeight="1" x14ac:dyDescent="0.25">
      <c r="AL2318" s="31"/>
      <c r="AM2318" s="26"/>
      <c r="AN2318" s="32"/>
      <c r="AO2318" s="32"/>
      <c r="AP2318" s="24"/>
      <c r="AQ2318" s="24"/>
      <c r="AR2318" s="33"/>
      <c r="AS2318" s="34"/>
      <c r="AT2318" s="33"/>
      <c r="AV2318" s="21">
        <f>IF(AND($AL2318&lt;&gt;"",COUNTIF($AL$11:$AL2318,$AL2318)=1),1,0)</f>
        <v>0</v>
      </c>
      <c r="AW2318" s="21">
        <f t="shared" si="159"/>
        <v>2</v>
      </c>
      <c r="AX2318" s="21" t="str">
        <f t="shared" si="158"/>
        <v/>
      </c>
      <c r="AY2318" s="21" t="str">
        <f>IF(AND($AM2318&lt;&gt;"",$AS2318&lt;&gt;"✓"),SUMPRODUCT(($AM$11:$AM2318&lt;&gt;"")*($AS$11:$AS2318&lt;&gt;"✓")),"")</f>
        <v/>
      </c>
      <c r="AZ2318" s="21" t="str">
        <f>IF(AND($AM2318&lt;&gt;"",$AS2318="✓"),SUMPRODUCT(($AM$11:$AM2318&lt;&gt;"")*($AS$11:$AS2318="✓")),"")</f>
        <v/>
      </c>
      <c r="BA2318" s="21" t="str">
        <f>IF($AL2318="","",$AL2318&amp;"|"&amp;COUNTIF($AL$11:$AL2318,$AL2318))</f>
        <v/>
      </c>
    </row>
    <row r="2319" spans="38:53" ht="15" customHeight="1" x14ac:dyDescent="0.25">
      <c r="AL2319" s="17"/>
      <c r="AM2319" s="12"/>
      <c r="AN2319" s="18"/>
      <c r="AO2319" s="18"/>
      <c r="AP2319" s="10"/>
      <c r="AQ2319" s="10"/>
      <c r="AR2319" s="19"/>
      <c r="AS2319" s="20"/>
      <c r="AT2319" s="19"/>
      <c r="AV2319" s="21">
        <f>IF(AND($AL2319&lt;&gt;"",COUNTIF($AL$11:$AL2319,$AL2319)=1),1,0)</f>
        <v>0</v>
      </c>
      <c r="AW2319" s="21">
        <f t="shared" si="159"/>
        <v>2</v>
      </c>
      <c r="AX2319" s="21" t="str">
        <f t="shared" si="158"/>
        <v/>
      </c>
      <c r="AY2319" s="21" t="str">
        <f>IF(AND($AM2319&lt;&gt;"",$AS2319&lt;&gt;"✓"),SUMPRODUCT(($AM$11:$AM2319&lt;&gt;"")*($AS$11:$AS2319&lt;&gt;"✓")),"")</f>
        <v/>
      </c>
      <c r="AZ2319" s="21" t="str">
        <f>IF(AND($AM2319&lt;&gt;"",$AS2319="✓"),SUMPRODUCT(($AM$11:$AM2319&lt;&gt;"")*($AS$11:$AS2319="✓")),"")</f>
        <v/>
      </c>
      <c r="BA2319" s="21" t="str">
        <f>IF($AL2319="","",$AL2319&amp;"|"&amp;COUNTIF($AL$11:$AL2319,$AL2319))</f>
        <v/>
      </c>
    </row>
    <row r="2320" spans="38:53" ht="15" customHeight="1" x14ac:dyDescent="0.25">
      <c r="AL2320" s="31"/>
      <c r="AM2320" s="26"/>
      <c r="AN2320" s="32"/>
      <c r="AO2320" s="32"/>
      <c r="AP2320" s="24"/>
      <c r="AQ2320" s="24"/>
      <c r="AR2320" s="33"/>
      <c r="AS2320" s="34"/>
      <c r="AT2320" s="33"/>
      <c r="AV2320" s="21">
        <f>IF(AND($AL2320&lt;&gt;"",COUNTIF($AL$11:$AL2320,$AL2320)=1),1,0)</f>
        <v>0</v>
      </c>
      <c r="AW2320" s="21">
        <f t="shared" si="159"/>
        <v>2</v>
      </c>
      <c r="AX2320" s="21" t="str">
        <f t="shared" si="158"/>
        <v/>
      </c>
      <c r="AY2320" s="21" t="str">
        <f>IF(AND($AM2320&lt;&gt;"",$AS2320&lt;&gt;"✓"),SUMPRODUCT(($AM$11:$AM2320&lt;&gt;"")*($AS$11:$AS2320&lt;&gt;"✓")),"")</f>
        <v/>
      </c>
      <c r="AZ2320" s="21" t="str">
        <f>IF(AND($AM2320&lt;&gt;"",$AS2320="✓"),SUMPRODUCT(($AM$11:$AM2320&lt;&gt;"")*($AS$11:$AS2320="✓")),"")</f>
        <v/>
      </c>
      <c r="BA2320" s="21" t="str">
        <f>IF($AL2320="","",$AL2320&amp;"|"&amp;COUNTIF($AL$11:$AL2320,$AL2320))</f>
        <v/>
      </c>
    </row>
    <row r="2321" spans="38:53" ht="15" customHeight="1" x14ac:dyDescent="0.25">
      <c r="AL2321" s="17"/>
      <c r="AM2321" s="12"/>
      <c r="AN2321" s="18"/>
      <c r="AO2321" s="18"/>
      <c r="AP2321" s="10"/>
      <c r="AQ2321" s="10"/>
      <c r="AR2321" s="19"/>
      <c r="AS2321" s="20"/>
      <c r="AT2321" s="19"/>
      <c r="AV2321" s="21">
        <f>IF(AND($AL2321&lt;&gt;"",COUNTIF($AL$11:$AL2321,$AL2321)=1),1,0)</f>
        <v>0</v>
      </c>
      <c r="AW2321" s="21">
        <f t="shared" si="159"/>
        <v>2</v>
      </c>
      <c r="AX2321" s="21" t="str">
        <f t="shared" si="158"/>
        <v/>
      </c>
      <c r="AY2321" s="21" t="str">
        <f>IF(AND($AM2321&lt;&gt;"",$AS2321&lt;&gt;"✓"),SUMPRODUCT(($AM$11:$AM2321&lt;&gt;"")*($AS$11:$AS2321&lt;&gt;"✓")),"")</f>
        <v/>
      </c>
      <c r="AZ2321" s="21" t="str">
        <f>IF(AND($AM2321&lt;&gt;"",$AS2321="✓"),SUMPRODUCT(($AM$11:$AM2321&lt;&gt;"")*($AS$11:$AS2321="✓")),"")</f>
        <v/>
      </c>
      <c r="BA2321" s="21" t="str">
        <f>IF($AL2321="","",$AL2321&amp;"|"&amp;COUNTIF($AL$11:$AL2321,$AL2321))</f>
        <v/>
      </c>
    </row>
    <row r="2322" spans="38:53" ht="15" customHeight="1" x14ac:dyDescent="0.25">
      <c r="AL2322" s="31"/>
      <c r="AM2322" s="26"/>
      <c r="AN2322" s="32"/>
      <c r="AO2322" s="32"/>
      <c r="AP2322" s="24"/>
      <c r="AQ2322" s="24"/>
      <c r="AR2322" s="33"/>
      <c r="AS2322" s="34"/>
      <c r="AT2322" s="33"/>
      <c r="AV2322" s="21">
        <f>IF(AND($AL2322&lt;&gt;"",COUNTIF($AL$11:$AL2322,$AL2322)=1),1,0)</f>
        <v>0</v>
      </c>
      <c r="AW2322" s="21">
        <f t="shared" si="159"/>
        <v>2</v>
      </c>
      <c r="AX2322" s="21" t="str">
        <f t="shared" si="158"/>
        <v/>
      </c>
      <c r="AY2322" s="21" t="str">
        <f>IF(AND($AM2322&lt;&gt;"",$AS2322&lt;&gt;"✓"),SUMPRODUCT(($AM$11:$AM2322&lt;&gt;"")*($AS$11:$AS2322&lt;&gt;"✓")),"")</f>
        <v/>
      </c>
      <c r="AZ2322" s="21" t="str">
        <f>IF(AND($AM2322&lt;&gt;"",$AS2322="✓"),SUMPRODUCT(($AM$11:$AM2322&lt;&gt;"")*($AS$11:$AS2322="✓")),"")</f>
        <v/>
      </c>
      <c r="BA2322" s="21" t="str">
        <f>IF($AL2322="","",$AL2322&amp;"|"&amp;COUNTIF($AL$11:$AL2322,$AL2322))</f>
        <v/>
      </c>
    </row>
    <row r="2323" spans="38:53" ht="15" customHeight="1" x14ac:dyDescent="0.25">
      <c r="AL2323" s="17"/>
      <c r="AM2323" s="12"/>
      <c r="AN2323" s="18"/>
      <c r="AO2323" s="18"/>
      <c r="AP2323" s="10"/>
      <c r="AQ2323" s="10"/>
      <c r="AR2323" s="19"/>
      <c r="AS2323" s="20"/>
      <c r="AT2323" s="19"/>
      <c r="AV2323" s="21">
        <f>IF(AND($AL2323&lt;&gt;"",COUNTIF($AL$11:$AL2323,$AL2323)=1),1,0)</f>
        <v>0</v>
      </c>
      <c r="AW2323" s="21">
        <f t="shared" si="159"/>
        <v>2</v>
      </c>
      <c r="AX2323" s="21" t="str">
        <f t="shared" si="158"/>
        <v/>
      </c>
      <c r="AY2323" s="21" t="str">
        <f>IF(AND($AM2323&lt;&gt;"",$AS2323&lt;&gt;"✓"),SUMPRODUCT(($AM$11:$AM2323&lt;&gt;"")*($AS$11:$AS2323&lt;&gt;"✓")),"")</f>
        <v/>
      </c>
      <c r="AZ2323" s="21" t="str">
        <f>IF(AND($AM2323&lt;&gt;"",$AS2323="✓"),SUMPRODUCT(($AM$11:$AM2323&lt;&gt;"")*($AS$11:$AS2323="✓")),"")</f>
        <v/>
      </c>
      <c r="BA2323" s="21" t="str">
        <f>IF($AL2323="","",$AL2323&amp;"|"&amp;COUNTIF($AL$11:$AL2323,$AL2323))</f>
        <v/>
      </c>
    </row>
    <row r="2324" spans="38:53" ht="15" customHeight="1" x14ac:dyDescent="0.25">
      <c r="AL2324" s="31"/>
      <c r="AM2324" s="26"/>
      <c r="AN2324" s="32"/>
      <c r="AO2324" s="32"/>
      <c r="AP2324" s="24"/>
      <c r="AQ2324" s="24"/>
      <c r="AR2324" s="33"/>
      <c r="AS2324" s="34"/>
      <c r="AT2324" s="33"/>
      <c r="AV2324" s="21">
        <f>IF(AND($AL2324&lt;&gt;"",COUNTIF($AL$11:$AL2324,$AL2324)=1),1,0)</f>
        <v>0</v>
      </c>
      <c r="AW2324" s="21">
        <f t="shared" si="159"/>
        <v>2</v>
      </c>
      <c r="AX2324" s="21" t="str">
        <f t="shared" si="158"/>
        <v/>
      </c>
      <c r="AY2324" s="21" t="str">
        <f>IF(AND($AM2324&lt;&gt;"",$AS2324&lt;&gt;"✓"),SUMPRODUCT(($AM$11:$AM2324&lt;&gt;"")*($AS$11:$AS2324&lt;&gt;"✓")),"")</f>
        <v/>
      </c>
      <c r="AZ2324" s="21" t="str">
        <f>IF(AND($AM2324&lt;&gt;"",$AS2324="✓"),SUMPRODUCT(($AM$11:$AM2324&lt;&gt;"")*($AS$11:$AS2324="✓")),"")</f>
        <v/>
      </c>
      <c r="BA2324" s="21" t="str">
        <f>IF($AL2324="","",$AL2324&amp;"|"&amp;COUNTIF($AL$11:$AL2324,$AL2324))</f>
        <v/>
      </c>
    </row>
    <row r="2325" spans="38:53" ht="15" customHeight="1" x14ac:dyDescent="0.25">
      <c r="AL2325" s="17"/>
      <c r="AM2325" s="12"/>
      <c r="AN2325" s="18"/>
      <c r="AO2325" s="18"/>
      <c r="AP2325" s="10"/>
      <c r="AQ2325" s="10"/>
      <c r="AR2325" s="19"/>
      <c r="AS2325" s="20"/>
      <c r="AT2325" s="19"/>
      <c r="AV2325" s="21">
        <f>IF(AND($AL2325&lt;&gt;"",COUNTIF($AL$11:$AL2325,$AL2325)=1),1,0)</f>
        <v>0</v>
      </c>
      <c r="AW2325" s="21">
        <f t="shared" si="159"/>
        <v>2</v>
      </c>
      <c r="AX2325" s="21" t="str">
        <f t="shared" si="158"/>
        <v/>
      </c>
      <c r="AY2325" s="21" t="str">
        <f>IF(AND($AM2325&lt;&gt;"",$AS2325&lt;&gt;"✓"),SUMPRODUCT(($AM$11:$AM2325&lt;&gt;"")*($AS$11:$AS2325&lt;&gt;"✓")),"")</f>
        <v/>
      </c>
      <c r="AZ2325" s="21" t="str">
        <f>IF(AND($AM2325&lt;&gt;"",$AS2325="✓"),SUMPRODUCT(($AM$11:$AM2325&lt;&gt;"")*($AS$11:$AS2325="✓")),"")</f>
        <v/>
      </c>
      <c r="BA2325" s="21" t="str">
        <f>IF($AL2325="","",$AL2325&amp;"|"&amp;COUNTIF($AL$11:$AL2325,$AL2325))</f>
        <v/>
      </c>
    </row>
    <row r="2326" spans="38:53" ht="15" customHeight="1" x14ac:dyDescent="0.25">
      <c r="AL2326" s="31"/>
      <c r="AM2326" s="26"/>
      <c r="AN2326" s="32"/>
      <c r="AO2326" s="32"/>
      <c r="AP2326" s="24"/>
      <c r="AQ2326" s="24"/>
      <c r="AR2326" s="33"/>
      <c r="AS2326" s="34"/>
      <c r="AT2326" s="33"/>
      <c r="AV2326" s="21">
        <f>IF(AND($AL2326&lt;&gt;"",COUNTIF($AL$11:$AL2326,$AL2326)=1),1,0)</f>
        <v>0</v>
      </c>
      <c r="AW2326" s="21">
        <f t="shared" si="159"/>
        <v>2</v>
      </c>
      <c r="AX2326" s="21" t="str">
        <f t="shared" si="158"/>
        <v/>
      </c>
      <c r="AY2326" s="21" t="str">
        <f>IF(AND($AM2326&lt;&gt;"",$AS2326&lt;&gt;"✓"),SUMPRODUCT(($AM$11:$AM2326&lt;&gt;"")*($AS$11:$AS2326&lt;&gt;"✓")),"")</f>
        <v/>
      </c>
      <c r="AZ2326" s="21" t="str">
        <f>IF(AND($AM2326&lt;&gt;"",$AS2326="✓"),SUMPRODUCT(($AM$11:$AM2326&lt;&gt;"")*($AS$11:$AS2326="✓")),"")</f>
        <v/>
      </c>
      <c r="BA2326" s="21" t="str">
        <f>IF($AL2326="","",$AL2326&amp;"|"&amp;COUNTIF($AL$11:$AL2326,$AL2326))</f>
        <v/>
      </c>
    </row>
    <row r="2327" spans="38:53" ht="15" customHeight="1" x14ac:dyDescent="0.25">
      <c r="AL2327" s="17"/>
      <c r="AM2327" s="12"/>
      <c r="AN2327" s="18"/>
      <c r="AO2327" s="18"/>
      <c r="AP2327" s="10"/>
      <c r="AQ2327" s="10"/>
      <c r="AR2327" s="19"/>
      <c r="AS2327" s="20"/>
      <c r="AT2327" s="19"/>
      <c r="AV2327" s="21">
        <f>IF(AND($AL2327&lt;&gt;"",COUNTIF($AL$11:$AL2327,$AL2327)=1),1,0)</f>
        <v>0</v>
      </c>
      <c r="AW2327" s="21">
        <f t="shared" si="159"/>
        <v>2</v>
      </c>
      <c r="AX2327" s="21" t="str">
        <f t="shared" si="158"/>
        <v/>
      </c>
      <c r="AY2327" s="21" t="str">
        <f>IF(AND($AM2327&lt;&gt;"",$AS2327&lt;&gt;"✓"),SUMPRODUCT(($AM$11:$AM2327&lt;&gt;"")*($AS$11:$AS2327&lt;&gt;"✓")),"")</f>
        <v/>
      </c>
      <c r="AZ2327" s="21" t="str">
        <f>IF(AND($AM2327&lt;&gt;"",$AS2327="✓"),SUMPRODUCT(($AM$11:$AM2327&lt;&gt;"")*($AS$11:$AS2327="✓")),"")</f>
        <v/>
      </c>
      <c r="BA2327" s="21" t="str">
        <f>IF($AL2327="","",$AL2327&amp;"|"&amp;COUNTIF($AL$11:$AL2327,$AL2327))</f>
        <v/>
      </c>
    </row>
    <row r="2328" spans="38:53" ht="15" customHeight="1" x14ac:dyDescent="0.25">
      <c r="AL2328" s="31"/>
      <c r="AM2328" s="26"/>
      <c r="AN2328" s="32"/>
      <c r="AO2328" s="32"/>
      <c r="AP2328" s="24"/>
      <c r="AQ2328" s="24"/>
      <c r="AR2328" s="33"/>
      <c r="AS2328" s="34"/>
      <c r="AT2328" s="33"/>
      <c r="AV2328" s="21">
        <f>IF(AND($AL2328&lt;&gt;"",COUNTIF($AL$11:$AL2328,$AL2328)=1),1,0)</f>
        <v>0</v>
      </c>
      <c r="AW2328" s="21">
        <f t="shared" si="159"/>
        <v>2</v>
      </c>
      <c r="AX2328" s="21" t="str">
        <f t="shared" si="158"/>
        <v/>
      </c>
      <c r="AY2328" s="21" t="str">
        <f>IF(AND($AM2328&lt;&gt;"",$AS2328&lt;&gt;"✓"),SUMPRODUCT(($AM$11:$AM2328&lt;&gt;"")*($AS$11:$AS2328&lt;&gt;"✓")),"")</f>
        <v/>
      </c>
      <c r="AZ2328" s="21" t="str">
        <f>IF(AND($AM2328&lt;&gt;"",$AS2328="✓"),SUMPRODUCT(($AM$11:$AM2328&lt;&gt;"")*($AS$11:$AS2328="✓")),"")</f>
        <v/>
      </c>
      <c r="BA2328" s="21" t="str">
        <f>IF($AL2328="","",$AL2328&amp;"|"&amp;COUNTIF($AL$11:$AL2328,$AL2328))</f>
        <v/>
      </c>
    </row>
    <row r="2329" spans="38:53" ht="15" customHeight="1" x14ac:dyDescent="0.25">
      <c r="AL2329" s="17"/>
      <c r="AM2329" s="12"/>
      <c r="AN2329" s="18"/>
      <c r="AO2329" s="18"/>
      <c r="AP2329" s="10"/>
      <c r="AQ2329" s="10"/>
      <c r="AR2329" s="19"/>
      <c r="AS2329" s="20"/>
      <c r="AT2329" s="19"/>
      <c r="AV2329" s="21">
        <f>IF(AND($AL2329&lt;&gt;"",COUNTIF($AL$11:$AL2329,$AL2329)=1),1,0)</f>
        <v>0</v>
      </c>
      <c r="AW2329" s="21">
        <f t="shared" si="159"/>
        <v>2</v>
      </c>
      <c r="AX2329" s="21" t="str">
        <f t="shared" si="158"/>
        <v/>
      </c>
      <c r="AY2329" s="21" t="str">
        <f>IF(AND($AM2329&lt;&gt;"",$AS2329&lt;&gt;"✓"),SUMPRODUCT(($AM$11:$AM2329&lt;&gt;"")*($AS$11:$AS2329&lt;&gt;"✓")),"")</f>
        <v/>
      </c>
      <c r="AZ2329" s="21" t="str">
        <f>IF(AND($AM2329&lt;&gt;"",$AS2329="✓"),SUMPRODUCT(($AM$11:$AM2329&lt;&gt;"")*($AS$11:$AS2329="✓")),"")</f>
        <v/>
      </c>
      <c r="BA2329" s="21" t="str">
        <f>IF($AL2329="","",$AL2329&amp;"|"&amp;COUNTIF($AL$11:$AL2329,$AL2329))</f>
        <v/>
      </c>
    </row>
    <row r="2330" spans="38:53" ht="15" customHeight="1" x14ac:dyDescent="0.25">
      <c r="AL2330" s="31"/>
      <c r="AM2330" s="26"/>
      <c r="AN2330" s="32"/>
      <c r="AO2330" s="32"/>
      <c r="AP2330" s="24"/>
      <c r="AQ2330" s="24"/>
      <c r="AR2330" s="33"/>
      <c r="AS2330" s="34"/>
      <c r="AT2330" s="33"/>
      <c r="AV2330" s="21">
        <f>IF(AND($AL2330&lt;&gt;"",COUNTIF($AL$11:$AL2330,$AL2330)=1),1,0)</f>
        <v>0</v>
      </c>
      <c r="AW2330" s="21">
        <f t="shared" si="159"/>
        <v>2</v>
      </c>
      <c r="AX2330" s="21" t="str">
        <f t="shared" si="158"/>
        <v/>
      </c>
      <c r="AY2330" s="21" t="str">
        <f>IF(AND($AM2330&lt;&gt;"",$AS2330&lt;&gt;"✓"),SUMPRODUCT(($AM$11:$AM2330&lt;&gt;"")*($AS$11:$AS2330&lt;&gt;"✓")),"")</f>
        <v/>
      </c>
      <c r="AZ2330" s="21" t="str">
        <f>IF(AND($AM2330&lt;&gt;"",$AS2330="✓"),SUMPRODUCT(($AM$11:$AM2330&lt;&gt;"")*($AS$11:$AS2330="✓")),"")</f>
        <v/>
      </c>
      <c r="BA2330" s="21" t="str">
        <f>IF($AL2330="","",$AL2330&amp;"|"&amp;COUNTIF($AL$11:$AL2330,$AL2330))</f>
        <v/>
      </c>
    </row>
    <row r="2331" spans="38:53" ht="15" customHeight="1" x14ac:dyDescent="0.25">
      <c r="AL2331" s="17"/>
      <c r="AM2331" s="12"/>
      <c r="AN2331" s="18"/>
      <c r="AO2331" s="18"/>
      <c r="AP2331" s="10"/>
      <c r="AQ2331" s="10"/>
      <c r="AR2331" s="19"/>
      <c r="AS2331" s="20"/>
      <c r="AT2331" s="19"/>
      <c r="AV2331" s="21">
        <f>IF(AND($AL2331&lt;&gt;"",COUNTIF($AL$11:$AL2331,$AL2331)=1),1,0)</f>
        <v>0</v>
      </c>
      <c r="AW2331" s="21">
        <f t="shared" si="159"/>
        <v>2</v>
      </c>
      <c r="AX2331" s="21" t="str">
        <f t="shared" si="158"/>
        <v/>
      </c>
      <c r="AY2331" s="21" t="str">
        <f>IF(AND($AM2331&lt;&gt;"",$AS2331&lt;&gt;"✓"),SUMPRODUCT(($AM$11:$AM2331&lt;&gt;"")*($AS$11:$AS2331&lt;&gt;"✓")),"")</f>
        <v/>
      </c>
      <c r="AZ2331" s="21" t="str">
        <f>IF(AND($AM2331&lt;&gt;"",$AS2331="✓"),SUMPRODUCT(($AM$11:$AM2331&lt;&gt;"")*($AS$11:$AS2331="✓")),"")</f>
        <v/>
      </c>
      <c r="BA2331" s="21" t="str">
        <f>IF($AL2331="","",$AL2331&amp;"|"&amp;COUNTIF($AL$11:$AL2331,$AL2331))</f>
        <v/>
      </c>
    </row>
    <row r="2332" spans="38:53" ht="15" customHeight="1" x14ac:dyDescent="0.25">
      <c r="AL2332" s="31"/>
      <c r="AM2332" s="26"/>
      <c r="AN2332" s="32"/>
      <c r="AO2332" s="32"/>
      <c r="AP2332" s="24"/>
      <c r="AQ2332" s="24"/>
      <c r="AR2332" s="33"/>
      <c r="AS2332" s="34"/>
      <c r="AT2332" s="33"/>
      <c r="AV2332" s="21">
        <f>IF(AND($AL2332&lt;&gt;"",COUNTIF($AL$11:$AL2332,$AL2332)=1),1,0)</f>
        <v>0</v>
      </c>
      <c r="AW2332" s="21">
        <f t="shared" si="159"/>
        <v>2</v>
      </c>
      <c r="AX2332" s="21" t="str">
        <f t="shared" si="158"/>
        <v/>
      </c>
      <c r="AY2332" s="21" t="str">
        <f>IF(AND($AM2332&lt;&gt;"",$AS2332&lt;&gt;"✓"),SUMPRODUCT(($AM$11:$AM2332&lt;&gt;"")*($AS$11:$AS2332&lt;&gt;"✓")),"")</f>
        <v/>
      </c>
      <c r="AZ2332" s="21" t="str">
        <f>IF(AND($AM2332&lt;&gt;"",$AS2332="✓"),SUMPRODUCT(($AM$11:$AM2332&lt;&gt;"")*($AS$11:$AS2332="✓")),"")</f>
        <v/>
      </c>
      <c r="BA2332" s="21" t="str">
        <f>IF($AL2332="","",$AL2332&amp;"|"&amp;COUNTIF($AL$11:$AL2332,$AL2332))</f>
        <v/>
      </c>
    </row>
    <row r="2333" spans="38:53" ht="15" customHeight="1" x14ac:dyDescent="0.25">
      <c r="AL2333" s="17"/>
      <c r="AM2333" s="12"/>
      <c r="AN2333" s="18"/>
      <c r="AO2333" s="18"/>
      <c r="AP2333" s="10"/>
      <c r="AQ2333" s="10"/>
      <c r="AR2333" s="19"/>
      <c r="AS2333" s="20"/>
      <c r="AT2333" s="19"/>
      <c r="AV2333" s="21">
        <f>IF(AND($AL2333&lt;&gt;"",COUNTIF($AL$11:$AL2333,$AL2333)=1),1,0)</f>
        <v>0</v>
      </c>
      <c r="AW2333" s="21">
        <f t="shared" si="159"/>
        <v>2</v>
      </c>
      <c r="AX2333" s="21" t="str">
        <f t="shared" si="158"/>
        <v/>
      </c>
      <c r="AY2333" s="21" t="str">
        <f>IF(AND($AM2333&lt;&gt;"",$AS2333&lt;&gt;"✓"),SUMPRODUCT(($AM$11:$AM2333&lt;&gt;"")*($AS$11:$AS2333&lt;&gt;"✓")),"")</f>
        <v/>
      </c>
      <c r="AZ2333" s="21" t="str">
        <f>IF(AND($AM2333&lt;&gt;"",$AS2333="✓"),SUMPRODUCT(($AM$11:$AM2333&lt;&gt;"")*($AS$11:$AS2333="✓")),"")</f>
        <v/>
      </c>
      <c r="BA2333" s="21" t="str">
        <f>IF($AL2333="","",$AL2333&amp;"|"&amp;COUNTIF($AL$11:$AL2333,$AL2333))</f>
        <v/>
      </c>
    </row>
    <row r="2334" spans="38:53" ht="15" customHeight="1" x14ac:dyDescent="0.25">
      <c r="AL2334" s="31"/>
      <c r="AM2334" s="26"/>
      <c r="AN2334" s="32"/>
      <c r="AO2334" s="32"/>
      <c r="AP2334" s="24"/>
      <c r="AQ2334" s="24"/>
      <c r="AR2334" s="33"/>
      <c r="AS2334" s="34"/>
      <c r="AT2334" s="33"/>
      <c r="AV2334" s="21">
        <f>IF(AND($AL2334&lt;&gt;"",COUNTIF($AL$11:$AL2334,$AL2334)=1),1,0)</f>
        <v>0</v>
      </c>
      <c r="AW2334" s="21">
        <f t="shared" si="159"/>
        <v>2</v>
      </c>
      <c r="AX2334" s="21" t="str">
        <f t="shared" si="158"/>
        <v/>
      </c>
      <c r="AY2334" s="21" t="str">
        <f>IF(AND($AM2334&lt;&gt;"",$AS2334&lt;&gt;"✓"),SUMPRODUCT(($AM$11:$AM2334&lt;&gt;"")*($AS$11:$AS2334&lt;&gt;"✓")),"")</f>
        <v/>
      </c>
      <c r="AZ2334" s="21" t="str">
        <f>IF(AND($AM2334&lt;&gt;"",$AS2334="✓"),SUMPRODUCT(($AM$11:$AM2334&lt;&gt;"")*($AS$11:$AS2334="✓")),"")</f>
        <v/>
      </c>
      <c r="BA2334" s="21" t="str">
        <f>IF($AL2334="","",$AL2334&amp;"|"&amp;COUNTIF($AL$11:$AL2334,$AL2334))</f>
        <v/>
      </c>
    </row>
    <row r="2335" spans="38:53" ht="15" customHeight="1" x14ac:dyDescent="0.25">
      <c r="AL2335" s="17"/>
      <c r="AM2335" s="12"/>
      <c r="AN2335" s="18"/>
      <c r="AO2335" s="18"/>
      <c r="AP2335" s="10"/>
      <c r="AQ2335" s="10"/>
      <c r="AR2335" s="19"/>
      <c r="AS2335" s="20"/>
      <c r="AT2335" s="19"/>
      <c r="AV2335" s="21">
        <f>IF(AND($AL2335&lt;&gt;"",COUNTIF($AL$11:$AL2335,$AL2335)=1),1,0)</f>
        <v>0</v>
      </c>
      <c r="AW2335" s="21">
        <f t="shared" si="159"/>
        <v>2</v>
      </c>
      <c r="AX2335" s="21" t="str">
        <f t="shared" si="158"/>
        <v/>
      </c>
      <c r="AY2335" s="21" t="str">
        <f>IF(AND($AM2335&lt;&gt;"",$AS2335&lt;&gt;"✓"),SUMPRODUCT(($AM$11:$AM2335&lt;&gt;"")*($AS$11:$AS2335&lt;&gt;"✓")),"")</f>
        <v/>
      </c>
      <c r="AZ2335" s="21" t="str">
        <f>IF(AND($AM2335&lt;&gt;"",$AS2335="✓"),SUMPRODUCT(($AM$11:$AM2335&lt;&gt;"")*($AS$11:$AS2335="✓")),"")</f>
        <v/>
      </c>
      <c r="BA2335" s="21" t="str">
        <f>IF($AL2335="","",$AL2335&amp;"|"&amp;COUNTIF($AL$11:$AL2335,$AL2335))</f>
        <v/>
      </c>
    </row>
    <row r="2336" spans="38:53" ht="15" customHeight="1" x14ac:dyDescent="0.25">
      <c r="AL2336" s="31"/>
      <c r="AM2336" s="26"/>
      <c r="AN2336" s="32"/>
      <c r="AO2336" s="32"/>
      <c r="AP2336" s="24"/>
      <c r="AQ2336" s="24"/>
      <c r="AR2336" s="33"/>
      <c r="AS2336" s="34"/>
      <c r="AT2336" s="33"/>
      <c r="AV2336" s="21">
        <f>IF(AND($AL2336&lt;&gt;"",COUNTIF($AL$11:$AL2336,$AL2336)=1),1,0)</f>
        <v>0</v>
      </c>
      <c r="AW2336" s="21">
        <f t="shared" si="159"/>
        <v>2</v>
      </c>
      <c r="AX2336" s="21" t="str">
        <f t="shared" si="158"/>
        <v/>
      </c>
      <c r="AY2336" s="21" t="str">
        <f>IF(AND($AM2336&lt;&gt;"",$AS2336&lt;&gt;"✓"),SUMPRODUCT(($AM$11:$AM2336&lt;&gt;"")*($AS$11:$AS2336&lt;&gt;"✓")),"")</f>
        <v/>
      </c>
      <c r="AZ2336" s="21" t="str">
        <f>IF(AND($AM2336&lt;&gt;"",$AS2336="✓"),SUMPRODUCT(($AM$11:$AM2336&lt;&gt;"")*($AS$11:$AS2336="✓")),"")</f>
        <v/>
      </c>
      <c r="BA2336" s="21" t="str">
        <f>IF($AL2336="","",$AL2336&amp;"|"&amp;COUNTIF($AL$11:$AL2336,$AL2336))</f>
        <v/>
      </c>
    </row>
    <row r="2337" spans="38:53" ht="15" customHeight="1" x14ac:dyDescent="0.25">
      <c r="AL2337" s="17"/>
      <c r="AM2337" s="12"/>
      <c r="AN2337" s="18"/>
      <c r="AO2337" s="18"/>
      <c r="AP2337" s="10"/>
      <c r="AQ2337" s="10"/>
      <c r="AR2337" s="19"/>
      <c r="AS2337" s="20"/>
      <c r="AT2337" s="19"/>
      <c r="AV2337" s="21">
        <f>IF(AND($AL2337&lt;&gt;"",COUNTIF($AL$11:$AL2337,$AL2337)=1),1,0)</f>
        <v>0</v>
      </c>
      <c r="AW2337" s="21">
        <f t="shared" si="159"/>
        <v>2</v>
      </c>
      <c r="AX2337" s="21" t="str">
        <f t="shared" si="158"/>
        <v/>
      </c>
      <c r="AY2337" s="21" t="str">
        <f>IF(AND($AM2337&lt;&gt;"",$AS2337&lt;&gt;"✓"),SUMPRODUCT(($AM$11:$AM2337&lt;&gt;"")*($AS$11:$AS2337&lt;&gt;"✓")),"")</f>
        <v/>
      </c>
      <c r="AZ2337" s="21" t="str">
        <f>IF(AND($AM2337&lt;&gt;"",$AS2337="✓"),SUMPRODUCT(($AM$11:$AM2337&lt;&gt;"")*($AS$11:$AS2337="✓")),"")</f>
        <v/>
      </c>
      <c r="BA2337" s="21" t="str">
        <f>IF($AL2337="","",$AL2337&amp;"|"&amp;COUNTIF($AL$11:$AL2337,$AL2337))</f>
        <v/>
      </c>
    </row>
    <row r="2338" spans="38:53" ht="15" customHeight="1" x14ac:dyDescent="0.25">
      <c r="AL2338" s="31"/>
      <c r="AM2338" s="26"/>
      <c r="AN2338" s="32"/>
      <c r="AO2338" s="32"/>
      <c r="AP2338" s="24"/>
      <c r="AQ2338" s="24"/>
      <c r="AR2338" s="33"/>
      <c r="AS2338" s="34"/>
      <c r="AT2338" s="33"/>
      <c r="AV2338" s="21">
        <f>IF(AND($AL2338&lt;&gt;"",COUNTIF($AL$11:$AL2338,$AL2338)=1),1,0)</f>
        <v>0</v>
      </c>
      <c r="AW2338" s="21">
        <f t="shared" si="159"/>
        <v>2</v>
      </c>
      <c r="AX2338" s="21" t="str">
        <f t="shared" si="158"/>
        <v/>
      </c>
      <c r="AY2338" s="21" t="str">
        <f>IF(AND($AM2338&lt;&gt;"",$AS2338&lt;&gt;"✓"),SUMPRODUCT(($AM$11:$AM2338&lt;&gt;"")*($AS$11:$AS2338&lt;&gt;"✓")),"")</f>
        <v/>
      </c>
      <c r="AZ2338" s="21" t="str">
        <f>IF(AND($AM2338&lt;&gt;"",$AS2338="✓"),SUMPRODUCT(($AM$11:$AM2338&lt;&gt;"")*($AS$11:$AS2338="✓")),"")</f>
        <v/>
      </c>
      <c r="BA2338" s="21" t="str">
        <f>IF($AL2338="","",$AL2338&amp;"|"&amp;COUNTIF($AL$11:$AL2338,$AL2338))</f>
        <v/>
      </c>
    </row>
    <row r="2339" spans="38:53" ht="15" customHeight="1" x14ac:dyDescent="0.25">
      <c r="AL2339" s="17"/>
      <c r="AM2339" s="12"/>
      <c r="AN2339" s="18"/>
      <c r="AO2339" s="18"/>
      <c r="AP2339" s="10"/>
      <c r="AQ2339" s="10"/>
      <c r="AR2339" s="19"/>
      <c r="AS2339" s="20"/>
      <c r="AT2339" s="19"/>
      <c r="AV2339" s="21">
        <f>IF(AND($AL2339&lt;&gt;"",COUNTIF($AL$11:$AL2339,$AL2339)=1),1,0)</f>
        <v>0</v>
      </c>
      <c r="AW2339" s="21">
        <f t="shared" si="159"/>
        <v>2</v>
      </c>
      <c r="AX2339" s="21" t="str">
        <f t="shared" si="158"/>
        <v/>
      </c>
      <c r="AY2339" s="21" t="str">
        <f>IF(AND($AM2339&lt;&gt;"",$AS2339&lt;&gt;"✓"),SUMPRODUCT(($AM$11:$AM2339&lt;&gt;"")*($AS$11:$AS2339&lt;&gt;"✓")),"")</f>
        <v/>
      </c>
      <c r="AZ2339" s="21" t="str">
        <f>IF(AND($AM2339&lt;&gt;"",$AS2339="✓"),SUMPRODUCT(($AM$11:$AM2339&lt;&gt;"")*($AS$11:$AS2339="✓")),"")</f>
        <v/>
      </c>
      <c r="BA2339" s="21" t="str">
        <f>IF($AL2339="","",$AL2339&amp;"|"&amp;COUNTIF($AL$11:$AL2339,$AL2339))</f>
        <v/>
      </c>
    </row>
    <row r="2340" spans="38:53" ht="15" customHeight="1" x14ac:dyDescent="0.25">
      <c r="AL2340" s="31"/>
      <c r="AM2340" s="26"/>
      <c r="AN2340" s="32"/>
      <c r="AO2340" s="32"/>
      <c r="AP2340" s="24"/>
      <c r="AQ2340" s="24"/>
      <c r="AR2340" s="33"/>
      <c r="AS2340" s="34"/>
      <c r="AT2340" s="33"/>
      <c r="AV2340" s="21">
        <f>IF(AND($AL2340&lt;&gt;"",COUNTIF($AL$11:$AL2340,$AL2340)=1),1,0)</f>
        <v>0</v>
      </c>
      <c r="AW2340" s="21">
        <f t="shared" si="159"/>
        <v>2</v>
      </c>
      <c r="AX2340" s="21" t="str">
        <f t="shared" si="158"/>
        <v/>
      </c>
      <c r="AY2340" s="21" t="str">
        <f>IF(AND($AM2340&lt;&gt;"",$AS2340&lt;&gt;"✓"),SUMPRODUCT(($AM$11:$AM2340&lt;&gt;"")*($AS$11:$AS2340&lt;&gt;"✓")),"")</f>
        <v/>
      </c>
      <c r="AZ2340" s="21" t="str">
        <f>IF(AND($AM2340&lt;&gt;"",$AS2340="✓"),SUMPRODUCT(($AM$11:$AM2340&lt;&gt;"")*($AS$11:$AS2340="✓")),"")</f>
        <v/>
      </c>
      <c r="BA2340" s="21" t="str">
        <f>IF($AL2340="","",$AL2340&amp;"|"&amp;COUNTIF($AL$11:$AL2340,$AL2340))</f>
        <v/>
      </c>
    </row>
    <row r="2341" spans="38:53" ht="15" customHeight="1" x14ac:dyDescent="0.25">
      <c r="AL2341" s="17"/>
      <c r="AM2341" s="12"/>
      <c r="AN2341" s="18"/>
      <c r="AO2341" s="18"/>
      <c r="AP2341" s="10"/>
      <c r="AQ2341" s="10"/>
      <c r="AR2341" s="19"/>
      <c r="AS2341" s="20"/>
      <c r="AT2341" s="19"/>
      <c r="AV2341" s="21">
        <f>IF(AND($AL2341&lt;&gt;"",COUNTIF($AL$11:$AL2341,$AL2341)=1),1,0)</f>
        <v>0</v>
      </c>
      <c r="AW2341" s="21">
        <f t="shared" si="159"/>
        <v>2</v>
      </c>
      <c r="AX2341" s="21" t="str">
        <f t="shared" si="158"/>
        <v/>
      </c>
      <c r="AY2341" s="21" t="str">
        <f>IF(AND($AM2341&lt;&gt;"",$AS2341&lt;&gt;"✓"),SUMPRODUCT(($AM$11:$AM2341&lt;&gt;"")*($AS$11:$AS2341&lt;&gt;"✓")),"")</f>
        <v/>
      </c>
      <c r="AZ2341" s="21" t="str">
        <f>IF(AND($AM2341&lt;&gt;"",$AS2341="✓"),SUMPRODUCT(($AM$11:$AM2341&lt;&gt;"")*($AS$11:$AS2341="✓")),"")</f>
        <v/>
      </c>
      <c r="BA2341" s="21" t="str">
        <f>IF($AL2341="","",$AL2341&amp;"|"&amp;COUNTIF($AL$11:$AL2341,$AL2341))</f>
        <v/>
      </c>
    </row>
    <row r="2342" spans="38:53" ht="15" customHeight="1" x14ac:dyDescent="0.25">
      <c r="AL2342" s="31"/>
      <c r="AM2342" s="26"/>
      <c r="AN2342" s="32"/>
      <c r="AO2342" s="32"/>
      <c r="AP2342" s="24"/>
      <c r="AQ2342" s="24"/>
      <c r="AR2342" s="33"/>
      <c r="AS2342" s="34"/>
      <c r="AT2342" s="33"/>
      <c r="AV2342" s="21">
        <f>IF(AND($AL2342&lt;&gt;"",COUNTIF($AL$11:$AL2342,$AL2342)=1),1,0)</f>
        <v>0</v>
      </c>
      <c r="AW2342" s="21">
        <f t="shared" si="159"/>
        <v>2</v>
      </c>
      <c r="AX2342" s="21" t="str">
        <f t="shared" si="158"/>
        <v/>
      </c>
      <c r="AY2342" s="21" t="str">
        <f>IF(AND($AM2342&lt;&gt;"",$AS2342&lt;&gt;"✓"),SUMPRODUCT(($AM$11:$AM2342&lt;&gt;"")*($AS$11:$AS2342&lt;&gt;"✓")),"")</f>
        <v/>
      </c>
      <c r="AZ2342" s="21" t="str">
        <f>IF(AND($AM2342&lt;&gt;"",$AS2342="✓"),SUMPRODUCT(($AM$11:$AM2342&lt;&gt;"")*($AS$11:$AS2342="✓")),"")</f>
        <v/>
      </c>
      <c r="BA2342" s="21" t="str">
        <f>IF($AL2342="","",$AL2342&amp;"|"&amp;COUNTIF($AL$11:$AL2342,$AL2342))</f>
        <v/>
      </c>
    </row>
    <row r="2343" spans="38:53" ht="15" customHeight="1" x14ac:dyDescent="0.25">
      <c r="AL2343" s="17"/>
      <c r="AM2343" s="12"/>
      <c r="AN2343" s="18"/>
      <c r="AO2343" s="18"/>
      <c r="AP2343" s="10"/>
      <c r="AQ2343" s="10"/>
      <c r="AR2343" s="19"/>
      <c r="AS2343" s="20"/>
      <c r="AT2343" s="19"/>
      <c r="AV2343" s="21">
        <f>IF(AND($AL2343&lt;&gt;"",COUNTIF($AL$11:$AL2343,$AL2343)=1),1,0)</f>
        <v>0</v>
      </c>
      <c r="AW2343" s="21">
        <f t="shared" si="159"/>
        <v>2</v>
      </c>
      <c r="AX2343" s="21" t="str">
        <f t="shared" si="158"/>
        <v/>
      </c>
      <c r="AY2343" s="21" t="str">
        <f>IF(AND($AM2343&lt;&gt;"",$AS2343&lt;&gt;"✓"),SUMPRODUCT(($AM$11:$AM2343&lt;&gt;"")*($AS$11:$AS2343&lt;&gt;"✓")),"")</f>
        <v/>
      </c>
      <c r="AZ2343" s="21" t="str">
        <f>IF(AND($AM2343&lt;&gt;"",$AS2343="✓"),SUMPRODUCT(($AM$11:$AM2343&lt;&gt;"")*($AS$11:$AS2343="✓")),"")</f>
        <v/>
      </c>
      <c r="BA2343" s="21" t="str">
        <f>IF($AL2343="","",$AL2343&amp;"|"&amp;COUNTIF($AL$11:$AL2343,$AL2343))</f>
        <v/>
      </c>
    </row>
    <row r="2344" spans="38:53" ht="15" customHeight="1" x14ac:dyDescent="0.25">
      <c r="AL2344" s="31"/>
      <c r="AM2344" s="26"/>
      <c r="AN2344" s="32"/>
      <c r="AO2344" s="32"/>
      <c r="AP2344" s="24"/>
      <c r="AQ2344" s="24"/>
      <c r="AR2344" s="33"/>
      <c r="AS2344" s="34"/>
      <c r="AT2344" s="33"/>
      <c r="AV2344" s="21">
        <f>IF(AND($AL2344&lt;&gt;"",COUNTIF($AL$11:$AL2344,$AL2344)=1),1,0)</f>
        <v>0</v>
      </c>
      <c r="AW2344" s="21">
        <f t="shared" si="159"/>
        <v>2</v>
      </c>
      <c r="AX2344" s="21" t="str">
        <f t="shared" si="158"/>
        <v/>
      </c>
      <c r="AY2344" s="21" t="str">
        <f>IF(AND($AM2344&lt;&gt;"",$AS2344&lt;&gt;"✓"),SUMPRODUCT(($AM$11:$AM2344&lt;&gt;"")*($AS$11:$AS2344&lt;&gt;"✓")),"")</f>
        <v/>
      </c>
      <c r="AZ2344" s="21" t="str">
        <f>IF(AND($AM2344&lt;&gt;"",$AS2344="✓"),SUMPRODUCT(($AM$11:$AM2344&lt;&gt;"")*($AS$11:$AS2344="✓")),"")</f>
        <v/>
      </c>
      <c r="BA2344" s="21" t="str">
        <f>IF($AL2344="","",$AL2344&amp;"|"&amp;COUNTIF($AL$11:$AL2344,$AL2344))</f>
        <v/>
      </c>
    </row>
    <row r="2345" spans="38:53" ht="15" customHeight="1" x14ac:dyDescent="0.25">
      <c r="AL2345" s="17"/>
      <c r="AM2345" s="12"/>
      <c r="AN2345" s="18"/>
      <c r="AO2345" s="18"/>
      <c r="AP2345" s="10"/>
      <c r="AQ2345" s="10"/>
      <c r="AR2345" s="19"/>
      <c r="AS2345" s="20"/>
      <c r="AT2345" s="19"/>
      <c r="AV2345" s="21">
        <f>IF(AND($AL2345&lt;&gt;"",COUNTIF($AL$11:$AL2345,$AL2345)=1),1,0)</f>
        <v>0</v>
      </c>
      <c r="AW2345" s="21">
        <f t="shared" si="159"/>
        <v>2</v>
      </c>
      <c r="AX2345" s="21" t="str">
        <f t="shared" si="158"/>
        <v/>
      </c>
      <c r="AY2345" s="21" t="str">
        <f>IF(AND($AM2345&lt;&gt;"",$AS2345&lt;&gt;"✓"),SUMPRODUCT(($AM$11:$AM2345&lt;&gt;"")*($AS$11:$AS2345&lt;&gt;"✓")),"")</f>
        <v/>
      </c>
      <c r="AZ2345" s="21" t="str">
        <f>IF(AND($AM2345&lt;&gt;"",$AS2345="✓"),SUMPRODUCT(($AM$11:$AM2345&lt;&gt;"")*($AS$11:$AS2345="✓")),"")</f>
        <v/>
      </c>
      <c r="BA2345" s="21" t="str">
        <f>IF($AL2345="","",$AL2345&amp;"|"&amp;COUNTIF($AL$11:$AL2345,$AL2345))</f>
        <v/>
      </c>
    </row>
    <row r="2346" spans="38:53" ht="15" customHeight="1" x14ac:dyDescent="0.25">
      <c r="AL2346" s="31"/>
      <c r="AM2346" s="26"/>
      <c r="AN2346" s="32"/>
      <c r="AO2346" s="32"/>
      <c r="AP2346" s="24"/>
      <c r="AQ2346" s="24"/>
      <c r="AR2346" s="33"/>
      <c r="AS2346" s="34"/>
      <c r="AT2346" s="33"/>
      <c r="AV2346" s="21">
        <f>IF(AND($AL2346&lt;&gt;"",COUNTIF($AL$11:$AL2346,$AL2346)=1),1,0)</f>
        <v>0</v>
      </c>
      <c r="AW2346" s="21">
        <f t="shared" si="159"/>
        <v>2</v>
      </c>
      <c r="AX2346" s="21" t="str">
        <f t="shared" si="158"/>
        <v/>
      </c>
      <c r="AY2346" s="21" t="str">
        <f>IF(AND($AM2346&lt;&gt;"",$AS2346&lt;&gt;"✓"),SUMPRODUCT(($AM$11:$AM2346&lt;&gt;"")*($AS$11:$AS2346&lt;&gt;"✓")),"")</f>
        <v/>
      </c>
      <c r="AZ2346" s="21" t="str">
        <f>IF(AND($AM2346&lt;&gt;"",$AS2346="✓"),SUMPRODUCT(($AM$11:$AM2346&lt;&gt;"")*($AS$11:$AS2346="✓")),"")</f>
        <v/>
      </c>
      <c r="BA2346" s="21" t="str">
        <f>IF($AL2346="","",$AL2346&amp;"|"&amp;COUNTIF($AL$11:$AL2346,$AL2346))</f>
        <v/>
      </c>
    </row>
    <row r="2347" spans="38:53" ht="15" customHeight="1" x14ac:dyDescent="0.25">
      <c r="AL2347" s="17"/>
      <c r="AM2347" s="12"/>
      <c r="AN2347" s="18"/>
      <c r="AO2347" s="18"/>
      <c r="AP2347" s="10"/>
      <c r="AQ2347" s="10"/>
      <c r="AR2347" s="19"/>
      <c r="AS2347" s="20"/>
      <c r="AT2347" s="19"/>
      <c r="AV2347" s="21">
        <f>IF(AND($AL2347&lt;&gt;"",COUNTIF($AL$11:$AL2347,$AL2347)=1),1,0)</f>
        <v>0</v>
      </c>
      <c r="AW2347" s="21">
        <f t="shared" si="159"/>
        <v>2</v>
      </c>
      <c r="AX2347" s="21" t="str">
        <f t="shared" si="158"/>
        <v/>
      </c>
      <c r="AY2347" s="21" t="str">
        <f>IF(AND($AM2347&lt;&gt;"",$AS2347&lt;&gt;"✓"),SUMPRODUCT(($AM$11:$AM2347&lt;&gt;"")*($AS$11:$AS2347&lt;&gt;"✓")),"")</f>
        <v/>
      </c>
      <c r="AZ2347" s="21" t="str">
        <f>IF(AND($AM2347&lt;&gt;"",$AS2347="✓"),SUMPRODUCT(($AM$11:$AM2347&lt;&gt;"")*($AS$11:$AS2347="✓")),"")</f>
        <v/>
      </c>
      <c r="BA2347" s="21" t="str">
        <f>IF($AL2347="","",$AL2347&amp;"|"&amp;COUNTIF($AL$11:$AL2347,$AL2347))</f>
        <v/>
      </c>
    </row>
    <row r="2348" spans="38:53" ht="15" customHeight="1" x14ac:dyDescent="0.25">
      <c r="AL2348" s="31"/>
      <c r="AM2348" s="26"/>
      <c r="AN2348" s="32"/>
      <c r="AO2348" s="32"/>
      <c r="AP2348" s="24"/>
      <c r="AQ2348" s="24"/>
      <c r="AR2348" s="33"/>
      <c r="AS2348" s="34"/>
      <c r="AT2348" s="33"/>
      <c r="AV2348" s="21">
        <f>IF(AND($AL2348&lt;&gt;"",COUNTIF($AL$11:$AL2348,$AL2348)=1),1,0)</f>
        <v>0</v>
      </c>
      <c r="AW2348" s="21">
        <f t="shared" si="159"/>
        <v>2</v>
      </c>
      <c r="AX2348" s="21" t="str">
        <f t="shared" si="158"/>
        <v/>
      </c>
      <c r="AY2348" s="21" t="str">
        <f>IF(AND($AM2348&lt;&gt;"",$AS2348&lt;&gt;"✓"),SUMPRODUCT(($AM$11:$AM2348&lt;&gt;"")*($AS$11:$AS2348&lt;&gt;"✓")),"")</f>
        <v/>
      </c>
      <c r="AZ2348" s="21" t="str">
        <f>IF(AND($AM2348&lt;&gt;"",$AS2348="✓"),SUMPRODUCT(($AM$11:$AM2348&lt;&gt;"")*($AS$11:$AS2348="✓")),"")</f>
        <v/>
      </c>
      <c r="BA2348" s="21" t="str">
        <f>IF($AL2348="","",$AL2348&amp;"|"&amp;COUNTIF($AL$11:$AL2348,$AL2348))</f>
        <v/>
      </c>
    </row>
    <row r="2349" spans="38:53" ht="15" customHeight="1" x14ac:dyDescent="0.25">
      <c r="AL2349" s="17"/>
      <c r="AM2349" s="12"/>
      <c r="AN2349" s="18"/>
      <c r="AO2349" s="18"/>
      <c r="AP2349" s="10"/>
      <c r="AQ2349" s="10"/>
      <c r="AR2349" s="19"/>
      <c r="AS2349" s="20"/>
      <c r="AT2349" s="19"/>
      <c r="AV2349" s="21">
        <f>IF(AND($AL2349&lt;&gt;"",COUNTIF($AL$11:$AL2349,$AL2349)=1),1,0)</f>
        <v>0</v>
      </c>
      <c r="AW2349" s="21">
        <f t="shared" si="159"/>
        <v>2</v>
      </c>
      <c r="AX2349" s="21" t="str">
        <f t="shared" si="158"/>
        <v/>
      </c>
      <c r="AY2349" s="21" t="str">
        <f>IF(AND($AM2349&lt;&gt;"",$AS2349&lt;&gt;"✓"),SUMPRODUCT(($AM$11:$AM2349&lt;&gt;"")*($AS$11:$AS2349&lt;&gt;"✓")),"")</f>
        <v/>
      </c>
      <c r="AZ2349" s="21" t="str">
        <f>IF(AND($AM2349&lt;&gt;"",$AS2349="✓"),SUMPRODUCT(($AM$11:$AM2349&lt;&gt;"")*($AS$11:$AS2349="✓")),"")</f>
        <v/>
      </c>
      <c r="BA2349" s="21" t="str">
        <f>IF($AL2349="","",$AL2349&amp;"|"&amp;COUNTIF($AL$11:$AL2349,$AL2349))</f>
        <v/>
      </c>
    </row>
    <row r="2350" spans="38:53" ht="15" customHeight="1" x14ac:dyDescent="0.25">
      <c r="AL2350" s="31"/>
      <c r="AM2350" s="26"/>
      <c r="AN2350" s="32"/>
      <c r="AO2350" s="32"/>
      <c r="AP2350" s="24"/>
      <c r="AQ2350" s="24"/>
      <c r="AR2350" s="33"/>
      <c r="AS2350" s="34"/>
      <c r="AT2350" s="33"/>
      <c r="AV2350" s="21">
        <f>IF(AND($AL2350&lt;&gt;"",COUNTIF($AL$11:$AL2350,$AL2350)=1),1,0)</f>
        <v>0</v>
      </c>
      <c r="AW2350" s="21">
        <f t="shared" si="159"/>
        <v>2</v>
      </c>
      <c r="AX2350" s="21" t="str">
        <f t="shared" si="158"/>
        <v/>
      </c>
      <c r="AY2350" s="21" t="str">
        <f>IF(AND($AM2350&lt;&gt;"",$AS2350&lt;&gt;"✓"),SUMPRODUCT(($AM$11:$AM2350&lt;&gt;"")*($AS$11:$AS2350&lt;&gt;"✓")),"")</f>
        <v/>
      </c>
      <c r="AZ2350" s="21" t="str">
        <f>IF(AND($AM2350&lt;&gt;"",$AS2350="✓"),SUMPRODUCT(($AM$11:$AM2350&lt;&gt;"")*($AS$11:$AS2350="✓")),"")</f>
        <v/>
      </c>
      <c r="BA2350" s="21" t="str">
        <f>IF($AL2350="","",$AL2350&amp;"|"&amp;COUNTIF($AL$11:$AL2350,$AL2350))</f>
        <v/>
      </c>
    </row>
    <row r="2351" spans="38:53" ht="15" customHeight="1" x14ac:dyDescent="0.25">
      <c r="AL2351" s="17"/>
      <c r="AM2351" s="12"/>
      <c r="AN2351" s="18"/>
      <c r="AO2351" s="18"/>
      <c r="AP2351" s="10"/>
      <c r="AQ2351" s="10"/>
      <c r="AR2351" s="19"/>
      <c r="AS2351" s="20"/>
      <c r="AT2351" s="19"/>
      <c r="AV2351" s="21">
        <f>IF(AND($AL2351&lt;&gt;"",COUNTIF($AL$11:$AL2351,$AL2351)=1),1,0)</f>
        <v>0</v>
      </c>
      <c r="AW2351" s="21">
        <f t="shared" si="159"/>
        <v>2</v>
      </c>
      <c r="AX2351" s="21" t="str">
        <f t="shared" si="158"/>
        <v/>
      </c>
      <c r="AY2351" s="21" t="str">
        <f>IF(AND($AM2351&lt;&gt;"",$AS2351&lt;&gt;"✓"),SUMPRODUCT(($AM$11:$AM2351&lt;&gt;"")*($AS$11:$AS2351&lt;&gt;"✓")),"")</f>
        <v/>
      </c>
      <c r="AZ2351" s="21" t="str">
        <f>IF(AND($AM2351&lt;&gt;"",$AS2351="✓"),SUMPRODUCT(($AM$11:$AM2351&lt;&gt;"")*($AS$11:$AS2351="✓")),"")</f>
        <v/>
      </c>
      <c r="BA2351" s="21" t="str">
        <f>IF($AL2351="","",$AL2351&amp;"|"&amp;COUNTIF($AL$11:$AL2351,$AL2351))</f>
        <v/>
      </c>
    </row>
    <row r="2352" spans="38:53" ht="15" customHeight="1" x14ac:dyDescent="0.25">
      <c r="AL2352" s="31"/>
      <c r="AM2352" s="26"/>
      <c r="AN2352" s="32"/>
      <c r="AO2352" s="32"/>
      <c r="AP2352" s="24"/>
      <c r="AQ2352" s="24"/>
      <c r="AR2352" s="33"/>
      <c r="AS2352" s="34"/>
      <c r="AT2352" s="33"/>
      <c r="AV2352" s="21">
        <f>IF(AND($AL2352&lt;&gt;"",COUNTIF($AL$11:$AL2352,$AL2352)=1),1,0)</f>
        <v>0</v>
      </c>
      <c r="AW2352" s="21">
        <f t="shared" si="159"/>
        <v>2</v>
      </c>
      <c r="AX2352" s="21" t="str">
        <f t="shared" si="158"/>
        <v/>
      </c>
      <c r="AY2352" s="21" t="str">
        <f>IF(AND($AM2352&lt;&gt;"",$AS2352&lt;&gt;"✓"),SUMPRODUCT(($AM$11:$AM2352&lt;&gt;"")*($AS$11:$AS2352&lt;&gt;"✓")),"")</f>
        <v/>
      </c>
      <c r="AZ2352" s="21" t="str">
        <f>IF(AND($AM2352&lt;&gt;"",$AS2352="✓"),SUMPRODUCT(($AM$11:$AM2352&lt;&gt;"")*($AS$11:$AS2352="✓")),"")</f>
        <v/>
      </c>
      <c r="BA2352" s="21" t="str">
        <f>IF($AL2352="","",$AL2352&amp;"|"&amp;COUNTIF($AL$11:$AL2352,$AL2352))</f>
        <v/>
      </c>
    </row>
    <row r="2353" spans="38:53" ht="15" customHeight="1" x14ac:dyDescent="0.25">
      <c r="AL2353" s="17"/>
      <c r="AM2353" s="12"/>
      <c r="AN2353" s="18"/>
      <c r="AO2353" s="18"/>
      <c r="AP2353" s="10"/>
      <c r="AQ2353" s="10"/>
      <c r="AR2353" s="19"/>
      <c r="AS2353" s="20"/>
      <c r="AT2353" s="19"/>
      <c r="AV2353" s="21">
        <f>IF(AND($AL2353&lt;&gt;"",COUNTIF($AL$11:$AL2353,$AL2353)=1),1,0)</f>
        <v>0</v>
      </c>
      <c r="AW2353" s="21">
        <f t="shared" si="159"/>
        <v>2</v>
      </c>
      <c r="AX2353" s="21" t="str">
        <f t="shared" si="158"/>
        <v/>
      </c>
      <c r="AY2353" s="21" t="str">
        <f>IF(AND($AM2353&lt;&gt;"",$AS2353&lt;&gt;"✓"),SUMPRODUCT(($AM$11:$AM2353&lt;&gt;"")*($AS$11:$AS2353&lt;&gt;"✓")),"")</f>
        <v/>
      </c>
      <c r="AZ2353" s="21" t="str">
        <f>IF(AND($AM2353&lt;&gt;"",$AS2353="✓"),SUMPRODUCT(($AM$11:$AM2353&lt;&gt;"")*($AS$11:$AS2353="✓")),"")</f>
        <v/>
      </c>
      <c r="BA2353" s="21" t="str">
        <f>IF($AL2353="","",$AL2353&amp;"|"&amp;COUNTIF($AL$11:$AL2353,$AL2353))</f>
        <v/>
      </c>
    </row>
    <row r="2354" spans="38:53" ht="15" customHeight="1" x14ac:dyDescent="0.25">
      <c r="AL2354" s="31"/>
      <c r="AM2354" s="26"/>
      <c r="AN2354" s="32"/>
      <c r="AO2354" s="32"/>
      <c r="AP2354" s="24"/>
      <c r="AQ2354" s="24"/>
      <c r="AR2354" s="33"/>
      <c r="AS2354" s="34"/>
      <c r="AT2354" s="33"/>
      <c r="AV2354" s="21">
        <f>IF(AND($AL2354&lt;&gt;"",COUNTIF($AL$11:$AL2354,$AL2354)=1),1,0)</f>
        <v>0</v>
      </c>
      <c r="AW2354" s="21">
        <f t="shared" si="159"/>
        <v>2</v>
      </c>
      <c r="AX2354" s="21" t="str">
        <f t="shared" si="158"/>
        <v/>
      </c>
      <c r="AY2354" s="21" t="str">
        <f>IF(AND($AM2354&lt;&gt;"",$AS2354&lt;&gt;"✓"),SUMPRODUCT(($AM$11:$AM2354&lt;&gt;"")*($AS$11:$AS2354&lt;&gt;"✓")),"")</f>
        <v/>
      </c>
      <c r="AZ2354" s="21" t="str">
        <f>IF(AND($AM2354&lt;&gt;"",$AS2354="✓"),SUMPRODUCT(($AM$11:$AM2354&lt;&gt;"")*($AS$11:$AS2354="✓")),"")</f>
        <v/>
      </c>
      <c r="BA2354" s="21" t="str">
        <f>IF($AL2354="","",$AL2354&amp;"|"&amp;COUNTIF($AL$11:$AL2354,$AL2354))</f>
        <v/>
      </c>
    </row>
    <row r="2355" spans="38:53" ht="15" customHeight="1" x14ac:dyDescent="0.25">
      <c r="AL2355" s="17"/>
      <c r="AM2355" s="12"/>
      <c r="AN2355" s="18"/>
      <c r="AO2355" s="18"/>
      <c r="AP2355" s="10"/>
      <c r="AQ2355" s="10"/>
      <c r="AR2355" s="19"/>
      <c r="AS2355" s="20"/>
      <c r="AT2355" s="19"/>
      <c r="AV2355" s="21">
        <f>IF(AND($AL2355&lt;&gt;"",COUNTIF($AL$11:$AL2355,$AL2355)=1),1,0)</f>
        <v>0</v>
      </c>
      <c r="AW2355" s="21">
        <f t="shared" si="159"/>
        <v>2</v>
      </c>
      <c r="AX2355" s="21" t="str">
        <f t="shared" si="158"/>
        <v/>
      </c>
      <c r="AY2355" s="21" t="str">
        <f>IF(AND($AM2355&lt;&gt;"",$AS2355&lt;&gt;"✓"),SUMPRODUCT(($AM$11:$AM2355&lt;&gt;"")*($AS$11:$AS2355&lt;&gt;"✓")),"")</f>
        <v/>
      </c>
      <c r="AZ2355" s="21" t="str">
        <f>IF(AND($AM2355&lt;&gt;"",$AS2355="✓"),SUMPRODUCT(($AM$11:$AM2355&lt;&gt;"")*($AS$11:$AS2355="✓")),"")</f>
        <v/>
      </c>
      <c r="BA2355" s="21" t="str">
        <f>IF($AL2355="","",$AL2355&amp;"|"&amp;COUNTIF($AL$11:$AL2355,$AL2355))</f>
        <v/>
      </c>
    </row>
    <row r="2356" spans="38:53" ht="15" customHeight="1" x14ac:dyDescent="0.25">
      <c r="AL2356" s="31"/>
      <c r="AM2356" s="26"/>
      <c r="AN2356" s="32"/>
      <c r="AO2356" s="32"/>
      <c r="AP2356" s="24"/>
      <c r="AQ2356" s="24"/>
      <c r="AR2356" s="33"/>
      <c r="AS2356" s="34"/>
      <c r="AT2356" s="33"/>
      <c r="AV2356" s="21">
        <f>IF(AND($AL2356&lt;&gt;"",COUNTIF($AL$11:$AL2356,$AL2356)=1),1,0)</f>
        <v>0</v>
      </c>
      <c r="AW2356" s="21">
        <f t="shared" si="159"/>
        <v>2</v>
      </c>
      <c r="AX2356" s="21" t="str">
        <f t="shared" si="158"/>
        <v/>
      </c>
      <c r="AY2356" s="21" t="str">
        <f>IF(AND($AM2356&lt;&gt;"",$AS2356&lt;&gt;"✓"),SUMPRODUCT(($AM$11:$AM2356&lt;&gt;"")*($AS$11:$AS2356&lt;&gt;"✓")),"")</f>
        <v/>
      </c>
      <c r="AZ2356" s="21" t="str">
        <f>IF(AND($AM2356&lt;&gt;"",$AS2356="✓"),SUMPRODUCT(($AM$11:$AM2356&lt;&gt;"")*($AS$11:$AS2356="✓")),"")</f>
        <v/>
      </c>
      <c r="BA2356" s="21" t="str">
        <f>IF($AL2356="","",$AL2356&amp;"|"&amp;COUNTIF($AL$11:$AL2356,$AL2356))</f>
        <v/>
      </c>
    </row>
    <row r="2357" spans="38:53" ht="15" customHeight="1" x14ac:dyDescent="0.25">
      <c r="AL2357" s="17"/>
      <c r="AM2357" s="12"/>
      <c r="AN2357" s="18"/>
      <c r="AO2357" s="18"/>
      <c r="AP2357" s="10"/>
      <c r="AQ2357" s="10"/>
      <c r="AR2357" s="19"/>
      <c r="AS2357" s="20"/>
      <c r="AT2357" s="19"/>
      <c r="AV2357" s="21">
        <f>IF(AND($AL2357&lt;&gt;"",COUNTIF($AL$11:$AL2357,$AL2357)=1),1,0)</f>
        <v>0</v>
      </c>
      <c r="AW2357" s="21">
        <f t="shared" si="159"/>
        <v>2</v>
      </c>
      <c r="AX2357" s="21" t="str">
        <f t="shared" si="158"/>
        <v/>
      </c>
      <c r="AY2357" s="21" t="str">
        <f>IF(AND($AM2357&lt;&gt;"",$AS2357&lt;&gt;"✓"),SUMPRODUCT(($AM$11:$AM2357&lt;&gt;"")*($AS$11:$AS2357&lt;&gt;"✓")),"")</f>
        <v/>
      </c>
      <c r="AZ2357" s="21" t="str">
        <f>IF(AND($AM2357&lt;&gt;"",$AS2357="✓"),SUMPRODUCT(($AM$11:$AM2357&lt;&gt;"")*($AS$11:$AS2357="✓")),"")</f>
        <v/>
      </c>
      <c r="BA2357" s="21" t="str">
        <f>IF($AL2357="","",$AL2357&amp;"|"&amp;COUNTIF($AL$11:$AL2357,$AL2357))</f>
        <v/>
      </c>
    </row>
    <row r="2358" spans="38:53" ht="15" customHeight="1" x14ac:dyDescent="0.25">
      <c r="AL2358" s="31"/>
      <c r="AM2358" s="26"/>
      <c r="AN2358" s="32"/>
      <c r="AO2358" s="32"/>
      <c r="AP2358" s="24"/>
      <c r="AQ2358" s="24"/>
      <c r="AR2358" s="33"/>
      <c r="AS2358" s="34"/>
      <c r="AT2358" s="33"/>
      <c r="AV2358" s="21">
        <f>IF(AND($AL2358&lt;&gt;"",COUNTIF($AL$11:$AL2358,$AL2358)=1),1,0)</f>
        <v>0</v>
      </c>
      <c r="AW2358" s="21">
        <f t="shared" si="159"/>
        <v>2</v>
      </c>
      <c r="AX2358" s="21" t="str">
        <f t="shared" si="158"/>
        <v/>
      </c>
      <c r="AY2358" s="21" t="str">
        <f>IF(AND($AM2358&lt;&gt;"",$AS2358&lt;&gt;"✓"),SUMPRODUCT(($AM$11:$AM2358&lt;&gt;"")*($AS$11:$AS2358&lt;&gt;"✓")),"")</f>
        <v/>
      </c>
      <c r="AZ2358" s="21" t="str">
        <f>IF(AND($AM2358&lt;&gt;"",$AS2358="✓"),SUMPRODUCT(($AM$11:$AM2358&lt;&gt;"")*($AS$11:$AS2358="✓")),"")</f>
        <v/>
      </c>
      <c r="BA2358" s="21" t="str">
        <f>IF($AL2358="","",$AL2358&amp;"|"&amp;COUNTIF($AL$11:$AL2358,$AL2358))</f>
        <v/>
      </c>
    </row>
    <row r="2359" spans="38:53" ht="15" customHeight="1" x14ac:dyDescent="0.25">
      <c r="AL2359" s="17"/>
      <c r="AM2359" s="12"/>
      <c r="AN2359" s="18"/>
      <c r="AO2359" s="18"/>
      <c r="AP2359" s="10"/>
      <c r="AQ2359" s="10"/>
      <c r="AR2359" s="19"/>
      <c r="AS2359" s="20"/>
      <c r="AT2359" s="19"/>
      <c r="AV2359" s="21">
        <f>IF(AND($AL2359&lt;&gt;"",COUNTIF($AL$11:$AL2359,$AL2359)=1),1,0)</f>
        <v>0</v>
      </c>
      <c r="AW2359" s="21">
        <f t="shared" si="159"/>
        <v>2</v>
      </c>
      <c r="AX2359" s="21" t="str">
        <f t="shared" si="158"/>
        <v/>
      </c>
      <c r="AY2359" s="21" t="str">
        <f>IF(AND($AM2359&lt;&gt;"",$AS2359&lt;&gt;"✓"),SUMPRODUCT(($AM$11:$AM2359&lt;&gt;"")*($AS$11:$AS2359&lt;&gt;"✓")),"")</f>
        <v/>
      </c>
      <c r="AZ2359" s="21" t="str">
        <f>IF(AND($AM2359&lt;&gt;"",$AS2359="✓"),SUMPRODUCT(($AM$11:$AM2359&lt;&gt;"")*($AS$11:$AS2359="✓")),"")</f>
        <v/>
      </c>
      <c r="BA2359" s="21" t="str">
        <f>IF($AL2359="","",$AL2359&amp;"|"&amp;COUNTIF($AL$11:$AL2359,$AL2359))</f>
        <v/>
      </c>
    </row>
    <row r="2360" spans="38:53" ht="15" customHeight="1" x14ac:dyDescent="0.25">
      <c r="AL2360" s="31"/>
      <c r="AM2360" s="26"/>
      <c r="AN2360" s="32"/>
      <c r="AO2360" s="32"/>
      <c r="AP2360" s="24"/>
      <c r="AQ2360" s="24"/>
      <c r="AR2360" s="33"/>
      <c r="AS2360" s="34"/>
      <c r="AT2360" s="33"/>
      <c r="AV2360" s="21">
        <f>IF(AND($AL2360&lt;&gt;"",COUNTIF($AL$11:$AL2360,$AL2360)=1),1,0)</f>
        <v>0</v>
      </c>
      <c r="AW2360" s="21">
        <f t="shared" si="159"/>
        <v>2</v>
      </c>
      <c r="AX2360" s="21" t="str">
        <f t="shared" si="158"/>
        <v/>
      </c>
      <c r="AY2360" s="21" t="str">
        <f>IF(AND($AM2360&lt;&gt;"",$AS2360&lt;&gt;"✓"),SUMPRODUCT(($AM$11:$AM2360&lt;&gt;"")*($AS$11:$AS2360&lt;&gt;"✓")),"")</f>
        <v/>
      </c>
      <c r="AZ2360" s="21" t="str">
        <f>IF(AND($AM2360&lt;&gt;"",$AS2360="✓"),SUMPRODUCT(($AM$11:$AM2360&lt;&gt;"")*($AS$11:$AS2360="✓")),"")</f>
        <v/>
      </c>
      <c r="BA2360" s="21" t="str">
        <f>IF($AL2360="","",$AL2360&amp;"|"&amp;COUNTIF($AL$11:$AL2360,$AL2360))</f>
        <v/>
      </c>
    </row>
    <row r="2361" spans="38:53" ht="15" customHeight="1" x14ac:dyDescent="0.25">
      <c r="AL2361" s="17"/>
      <c r="AM2361" s="12"/>
      <c r="AN2361" s="18"/>
      <c r="AO2361" s="18"/>
      <c r="AP2361" s="10"/>
      <c r="AQ2361" s="10"/>
      <c r="AR2361" s="19"/>
      <c r="AS2361" s="20"/>
      <c r="AT2361" s="19"/>
      <c r="AV2361" s="21">
        <f>IF(AND($AL2361&lt;&gt;"",COUNTIF($AL$11:$AL2361,$AL2361)=1),1,0)</f>
        <v>0</v>
      </c>
      <c r="AW2361" s="21">
        <f t="shared" si="159"/>
        <v>2</v>
      </c>
      <c r="AX2361" s="21" t="str">
        <f t="shared" si="158"/>
        <v/>
      </c>
      <c r="AY2361" s="21" t="str">
        <f>IF(AND($AM2361&lt;&gt;"",$AS2361&lt;&gt;"✓"),SUMPRODUCT(($AM$11:$AM2361&lt;&gt;"")*($AS$11:$AS2361&lt;&gt;"✓")),"")</f>
        <v/>
      </c>
      <c r="AZ2361" s="21" t="str">
        <f>IF(AND($AM2361&lt;&gt;"",$AS2361="✓"),SUMPRODUCT(($AM$11:$AM2361&lt;&gt;"")*($AS$11:$AS2361="✓")),"")</f>
        <v/>
      </c>
      <c r="BA2361" s="21" t="str">
        <f>IF($AL2361="","",$AL2361&amp;"|"&amp;COUNTIF($AL$11:$AL2361,$AL2361))</f>
        <v/>
      </c>
    </row>
    <row r="2362" spans="38:53" ht="15" customHeight="1" x14ac:dyDescent="0.25">
      <c r="AL2362" s="31"/>
      <c r="AM2362" s="26"/>
      <c r="AN2362" s="32"/>
      <c r="AO2362" s="32"/>
      <c r="AP2362" s="24"/>
      <c r="AQ2362" s="24"/>
      <c r="AR2362" s="33"/>
      <c r="AS2362" s="34"/>
      <c r="AT2362" s="33"/>
      <c r="AV2362" s="21">
        <f>IF(AND($AL2362&lt;&gt;"",COUNTIF($AL$11:$AL2362,$AL2362)=1),1,0)</f>
        <v>0</v>
      </c>
      <c r="AW2362" s="21">
        <f t="shared" si="159"/>
        <v>2</v>
      </c>
      <c r="AX2362" s="21" t="str">
        <f t="shared" si="158"/>
        <v/>
      </c>
      <c r="AY2362" s="21" t="str">
        <f>IF(AND($AM2362&lt;&gt;"",$AS2362&lt;&gt;"✓"),SUMPRODUCT(($AM$11:$AM2362&lt;&gt;"")*($AS$11:$AS2362&lt;&gt;"✓")),"")</f>
        <v/>
      </c>
      <c r="AZ2362" s="21" t="str">
        <f>IF(AND($AM2362&lt;&gt;"",$AS2362="✓"),SUMPRODUCT(($AM$11:$AM2362&lt;&gt;"")*($AS$11:$AS2362="✓")),"")</f>
        <v/>
      </c>
      <c r="BA2362" s="21" t="str">
        <f>IF($AL2362="","",$AL2362&amp;"|"&amp;COUNTIF($AL$11:$AL2362,$AL2362))</f>
        <v/>
      </c>
    </row>
    <row r="2363" spans="38:53" ht="15" customHeight="1" x14ac:dyDescent="0.25">
      <c r="AL2363" s="17"/>
      <c r="AM2363" s="12"/>
      <c r="AN2363" s="18"/>
      <c r="AO2363" s="18"/>
      <c r="AP2363" s="10"/>
      <c r="AQ2363" s="10"/>
      <c r="AR2363" s="19"/>
      <c r="AS2363" s="20"/>
      <c r="AT2363" s="19"/>
      <c r="AV2363" s="21">
        <f>IF(AND($AL2363&lt;&gt;"",COUNTIF($AL$11:$AL2363,$AL2363)=1),1,0)</f>
        <v>0</v>
      </c>
      <c r="AW2363" s="21">
        <f t="shared" si="159"/>
        <v>2</v>
      </c>
      <c r="AX2363" s="21" t="str">
        <f t="shared" si="158"/>
        <v/>
      </c>
      <c r="AY2363" s="21" t="str">
        <f>IF(AND($AM2363&lt;&gt;"",$AS2363&lt;&gt;"✓"),SUMPRODUCT(($AM$11:$AM2363&lt;&gt;"")*($AS$11:$AS2363&lt;&gt;"✓")),"")</f>
        <v/>
      </c>
      <c r="AZ2363" s="21" t="str">
        <f>IF(AND($AM2363&lt;&gt;"",$AS2363="✓"),SUMPRODUCT(($AM$11:$AM2363&lt;&gt;"")*($AS$11:$AS2363="✓")),"")</f>
        <v/>
      </c>
      <c r="BA2363" s="21" t="str">
        <f>IF($AL2363="","",$AL2363&amp;"|"&amp;COUNTIF($AL$11:$AL2363,$AL2363))</f>
        <v/>
      </c>
    </row>
    <row r="2364" spans="38:53" ht="15" customHeight="1" x14ac:dyDescent="0.25">
      <c r="AL2364" s="31"/>
      <c r="AM2364" s="26"/>
      <c r="AN2364" s="32"/>
      <c r="AO2364" s="32"/>
      <c r="AP2364" s="24"/>
      <c r="AQ2364" s="24"/>
      <c r="AR2364" s="33"/>
      <c r="AS2364" s="34"/>
      <c r="AT2364" s="33"/>
      <c r="AV2364" s="21">
        <f>IF(AND($AL2364&lt;&gt;"",COUNTIF($AL$11:$AL2364,$AL2364)=1),1,0)</f>
        <v>0</v>
      </c>
      <c r="AW2364" s="21">
        <f t="shared" si="159"/>
        <v>2</v>
      </c>
      <c r="AX2364" s="21" t="str">
        <f t="shared" si="158"/>
        <v/>
      </c>
      <c r="AY2364" s="21" t="str">
        <f>IF(AND($AM2364&lt;&gt;"",$AS2364&lt;&gt;"✓"),SUMPRODUCT(($AM$11:$AM2364&lt;&gt;"")*($AS$11:$AS2364&lt;&gt;"✓")),"")</f>
        <v/>
      </c>
      <c r="AZ2364" s="21" t="str">
        <f>IF(AND($AM2364&lt;&gt;"",$AS2364="✓"),SUMPRODUCT(($AM$11:$AM2364&lt;&gt;"")*($AS$11:$AS2364="✓")),"")</f>
        <v/>
      </c>
      <c r="BA2364" s="21" t="str">
        <f>IF($AL2364="","",$AL2364&amp;"|"&amp;COUNTIF($AL$11:$AL2364,$AL2364))</f>
        <v/>
      </c>
    </row>
    <row r="2365" spans="38:53" ht="15" customHeight="1" x14ac:dyDescent="0.25">
      <c r="AL2365" s="17"/>
      <c r="AM2365" s="12"/>
      <c r="AN2365" s="18"/>
      <c r="AO2365" s="18"/>
      <c r="AP2365" s="10"/>
      <c r="AQ2365" s="10"/>
      <c r="AR2365" s="19"/>
      <c r="AS2365" s="20"/>
      <c r="AT2365" s="19"/>
      <c r="AV2365" s="21">
        <f>IF(AND($AL2365&lt;&gt;"",COUNTIF($AL$11:$AL2365,$AL2365)=1),1,0)</f>
        <v>0</v>
      </c>
      <c r="AW2365" s="21">
        <f t="shared" si="159"/>
        <v>2</v>
      </c>
      <c r="AX2365" s="21" t="str">
        <f t="shared" si="158"/>
        <v/>
      </c>
      <c r="AY2365" s="21" t="str">
        <f>IF(AND($AM2365&lt;&gt;"",$AS2365&lt;&gt;"✓"),SUMPRODUCT(($AM$11:$AM2365&lt;&gt;"")*($AS$11:$AS2365&lt;&gt;"✓")),"")</f>
        <v/>
      </c>
      <c r="AZ2365" s="21" t="str">
        <f>IF(AND($AM2365&lt;&gt;"",$AS2365="✓"),SUMPRODUCT(($AM$11:$AM2365&lt;&gt;"")*($AS$11:$AS2365="✓")),"")</f>
        <v/>
      </c>
      <c r="BA2365" s="21" t="str">
        <f>IF($AL2365="","",$AL2365&amp;"|"&amp;COUNTIF($AL$11:$AL2365,$AL2365))</f>
        <v/>
      </c>
    </row>
    <row r="2366" spans="38:53" ht="15" customHeight="1" x14ac:dyDescent="0.25">
      <c r="AL2366" s="31"/>
      <c r="AM2366" s="26"/>
      <c r="AN2366" s="32"/>
      <c r="AO2366" s="32"/>
      <c r="AP2366" s="24"/>
      <c r="AQ2366" s="24"/>
      <c r="AR2366" s="33"/>
      <c r="AS2366" s="34"/>
      <c r="AT2366" s="33"/>
      <c r="AV2366" s="21">
        <f>IF(AND($AL2366&lt;&gt;"",COUNTIF($AL$11:$AL2366,$AL2366)=1),1,0)</f>
        <v>0</v>
      </c>
      <c r="AW2366" s="21">
        <f t="shared" si="159"/>
        <v>2</v>
      </c>
      <c r="AX2366" s="21" t="str">
        <f t="shared" si="158"/>
        <v/>
      </c>
      <c r="AY2366" s="21" t="str">
        <f>IF(AND($AM2366&lt;&gt;"",$AS2366&lt;&gt;"✓"),SUMPRODUCT(($AM$11:$AM2366&lt;&gt;"")*($AS$11:$AS2366&lt;&gt;"✓")),"")</f>
        <v/>
      </c>
      <c r="AZ2366" s="21" t="str">
        <f>IF(AND($AM2366&lt;&gt;"",$AS2366="✓"),SUMPRODUCT(($AM$11:$AM2366&lt;&gt;"")*($AS$11:$AS2366="✓")),"")</f>
        <v/>
      </c>
      <c r="BA2366" s="21" t="str">
        <f>IF($AL2366="","",$AL2366&amp;"|"&amp;COUNTIF($AL$11:$AL2366,$AL2366))</f>
        <v/>
      </c>
    </row>
    <row r="2367" spans="38:53" ht="15" customHeight="1" x14ac:dyDescent="0.25">
      <c r="AL2367" s="17"/>
      <c r="AM2367" s="12"/>
      <c r="AN2367" s="18"/>
      <c r="AO2367" s="18"/>
      <c r="AP2367" s="10"/>
      <c r="AQ2367" s="10"/>
      <c r="AR2367" s="19"/>
      <c r="AS2367" s="20"/>
      <c r="AT2367" s="19"/>
      <c r="AV2367" s="21">
        <f>IF(AND($AL2367&lt;&gt;"",COUNTIF($AL$11:$AL2367,$AL2367)=1),1,0)</f>
        <v>0</v>
      </c>
      <c r="AW2367" s="21">
        <f t="shared" si="159"/>
        <v>2</v>
      </c>
      <c r="AX2367" s="21" t="str">
        <f t="shared" si="158"/>
        <v/>
      </c>
      <c r="AY2367" s="21" t="str">
        <f>IF(AND($AM2367&lt;&gt;"",$AS2367&lt;&gt;"✓"),SUMPRODUCT(($AM$11:$AM2367&lt;&gt;"")*($AS$11:$AS2367&lt;&gt;"✓")),"")</f>
        <v/>
      </c>
      <c r="AZ2367" s="21" t="str">
        <f>IF(AND($AM2367&lt;&gt;"",$AS2367="✓"),SUMPRODUCT(($AM$11:$AM2367&lt;&gt;"")*($AS$11:$AS2367="✓")),"")</f>
        <v/>
      </c>
      <c r="BA2367" s="21" t="str">
        <f>IF($AL2367="","",$AL2367&amp;"|"&amp;COUNTIF($AL$11:$AL2367,$AL2367))</f>
        <v/>
      </c>
    </row>
    <row r="2368" spans="38:53" ht="15" customHeight="1" x14ac:dyDescent="0.25">
      <c r="AL2368" s="31"/>
      <c r="AM2368" s="26"/>
      <c r="AN2368" s="32"/>
      <c r="AO2368" s="32"/>
      <c r="AP2368" s="24"/>
      <c r="AQ2368" s="24"/>
      <c r="AR2368" s="33"/>
      <c r="AS2368" s="34"/>
      <c r="AT2368" s="33"/>
      <c r="AV2368" s="21">
        <f>IF(AND($AL2368&lt;&gt;"",COUNTIF($AL$11:$AL2368,$AL2368)=1),1,0)</f>
        <v>0</v>
      </c>
      <c r="AW2368" s="21">
        <f t="shared" si="159"/>
        <v>2</v>
      </c>
      <c r="AX2368" s="21" t="str">
        <f t="shared" si="158"/>
        <v/>
      </c>
      <c r="AY2368" s="21" t="str">
        <f>IF(AND($AM2368&lt;&gt;"",$AS2368&lt;&gt;"✓"),SUMPRODUCT(($AM$11:$AM2368&lt;&gt;"")*($AS$11:$AS2368&lt;&gt;"✓")),"")</f>
        <v/>
      </c>
      <c r="AZ2368" s="21" t="str">
        <f>IF(AND($AM2368&lt;&gt;"",$AS2368="✓"),SUMPRODUCT(($AM$11:$AM2368&lt;&gt;"")*($AS$11:$AS2368="✓")),"")</f>
        <v/>
      </c>
      <c r="BA2368" s="21" t="str">
        <f>IF($AL2368="","",$AL2368&amp;"|"&amp;COUNTIF($AL$11:$AL2368,$AL2368))</f>
        <v/>
      </c>
    </row>
    <row r="2369" spans="38:53" ht="15" customHeight="1" x14ac:dyDescent="0.25">
      <c r="AL2369" s="17"/>
      <c r="AM2369" s="12"/>
      <c r="AN2369" s="18"/>
      <c r="AO2369" s="18"/>
      <c r="AP2369" s="10"/>
      <c r="AQ2369" s="10"/>
      <c r="AR2369" s="19"/>
      <c r="AS2369" s="20"/>
      <c r="AT2369" s="19"/>
      <c r="AV2369" s="21">
        <f>IF(AND($AL2369&lt;&gt;"",COUNTIF($AL$11:$AL2369,$AL2369)=1),1,0)</f>
        <v>0</v>
      </c>
      <c r="AW2369" s="21">
        <f t="shared" si="159"/>
        <v>2</v>
      </c>
      <c r="AX2369" s="21" t="str">
        <f t="shared" si="158"/>
        <v/>
      </c>
      <c r="AY2369" s="21" t="str">
        <f>IF(AND($AM2369&lt;&gt;"",$AS2369&lt;&gt;"✓"),SUMPRODUCT(($AM$11:$AM2369&lt;&gt;"")*($AS$11:$AS2369&lt;&gt;"✓")),"")</f>
        <v/>
      </c>
      <c r="AZ2369" s="21" t="str">
        <f>IF(AND($AM2369&lt;&gt;"",$AS2369="✓"),SUMPRODUCT(($AM$11:$AM2369&lt;&gt;"")*($AS$11:$AS2369="✓")),"")</f>
        <v/>
      </c>
      <c r="BA2369" s="21" t="str">
        <f>IF($AL2369="","",$AL2369&amp;"|"&amp;COUNTIF($AL$11:$AL2369,$AL2369))</f>
        <v/>
      </c>
    </row>
    <row r="2370" spans="38:53" ht="15" customHeight="1" x14ac:dyDescent="0.25">
      <c r="AL2370" s="31"/>
      <c r="AM2370" s="26"/>
      <c r="AN2370" s="32"/>
      <c r="AO2370" s="32"/>
      <c r="AP2370" s="24"/>
      <c r="AQ2370" s="24"/>
      <c r="AR2370" s="33"/>
      <c r="AS2370" s="34"/>
      <c r="AT2370" s="33"/>
      <c r="AV2370" s="21">
        <f>IF(AND($AL2370&lt;&gt;"",COUNTIF($AL$11:$AL2370,$AL2370)=1),1,0)</f>
        <v>0</v>
      </c>
      <c r="AW2370" s="21">
        <f t="shared" si="159"/>
        <v>2</v>
      </c>
      <c r="AX2370" s="21" t="str">
        <f t="shared" si="158"/>
        <v/>
      </c>
      <c r="AY2370" s="21" t="str">
        <f>IF(AND($AM2370&lt;&gt;"",$AS2370&lt;&gt;"✓"),SUMPRODUCT(($AM$11:$AM2370&lt;&gt;"")*($AS$11:$AS2370&lt;&gt;"✓")),"")</f>
        <v/>
      </c>
      <c r="AZ2370" s="21" t="str">
        <f>IF(AND($AM2370&lt;&gt;"",$AS2370="✓"),SUMPRODUCT(($AM$11:$AM2370&lt;&gt;"")*($AS$11:$AS2370="✓")),"")</f>
        <v/>
      </c>
      <c r="BA2370" s="21" t="str">
        <f>IF($AL2370="","",$AL2370&amp;"|"&amp;COUNTIF($AL$11:$AL2370,$AL2370))</f>
        <v/>
      </c>
    </row>
    <row r="2371" spans="38:53" ht="15" customHeight="1" x14ac:dyDescent="0.25">
      <c r="AL2371" s="17"/>
      <c r="AM2371" s="12"/>
      <c r="AN2371" s="18"/>
      <c r="AO2371" s="18"/>
      <c r="AP2371" s="10"/>
      <c r="AQ2371" s="10"/>
      <c r="AR2371" s="19"/>
      <c r="AS2371" s="20"/>
      <c r="AT2371" s="19"/>
      <c r="AV2371" s="21">
        <f>IF(AND($AL2371&lt;&gt;"",COUNTIF($AL$11:$AL2371,$AL2371)=1),1,0)</f>
        <v>0</v>
      </c>
      <c r="AW2371" s="21">
        <f t="shared" si="159"/>
        <v>2</v>
      </c>
      <c r="AX2371" s="21" t="str">
        <f t="shared" si="158"/>
        <v/>
      </c>
      <c r="AY2371" s="21" t="str">
        <f>IF(AND($AM2371&lt;&gt;"",$AS2371&lt;&gt;"✓"),SUMPRODUCT(($AM$11:$AM2371&lt;&gt;"")*($AS$11:$AS2371&lt;&gt;"✓")),"")</f>
        <v/>
      </c>
      <c r="AZ2371" s="21" t="str">
        <f>IF(AND($AM2371&lt;&gt;"",$AS2371="✓"),SUMPRODUCT(($AM$11:$AM2371&lt;&gt;"")*($AS$11:$AS2371="✓")),"")</f>
        <v/>
      </c>
      <c r="BA2371" s="21" t="str">
        <f>IF($AL2371="","",$AL2371&amp;"|"&amp;COUNTIF($AL$11:$AL2371,$AL2371))</f>
        <v/>
      </c>
    </row>
    <row r="2372" spans="38:53" ht="15" customHeight="1" x14ac:dyDescent="0.25">
      <c r="AL2372" s="31"/>
      <c r="AM2372" s="26"/>
      <c r="AN2372" s="32"/>
      <c r="AO2372" s="32"/>
      <c r="AP2372" s="24"/>
      <c r="AQ2372" s="24"/>
      <c r="AR2372" s="33"/>
      <c r="AS2372" s="34"/>
      <c r="AT2372" s="33"/>
      <c r="AV2372" s="21">
        <f>IF(AND($AL2372&lt;&gt;"",COUNTIF($AL$11:$AL2372,$AL2372)=1),1,0)</f>
        <v>0</v>
      </c>
      <c r="AW2372" s="21">
        <f t="shared" si="159"/>
        <v>2</v>
      </c>
      <c r="AX2372" s="21" t="str">
        <f t="shared" si="158"/>
        <v/>
      </c>
      <c r="AY2372" s="21" t="str">
        <f>IF(AND($AM2372&lt;&gt;"",$AS2372&lt;&gt;"✓"),SUMPRODUCT(($AM$11:$AM2372&lt;&gt;"")*($AS$11:$AS2372&lt;&gt;"✓")),"")</f>
        <v/>
      </c>
      <c r="AZ2372" s="21" t="str">
        <f>IF(AND($AM2372&lt;&gt;"",$AS2372="✓"),SUMPRODUCT(($AM$11:$AM2372&lt;&gt;"")*($AS$11:$AS2372="✓")),"")</f>
        <v/>
      </c>
      <c r="BA2372" s="21" t="str">
        <f>IF($AL2372="","",$AL2372&amp;"|"&amp;COUNTIF($AL$11:$AL2372,$AL2372))</f>
        <v/>
      </c>
    </row>
    <row r="2373" spans="38:53" ht="15" customHeight="1" x14ac:dyDescent="0.25">
      <c r="AL2373" s="17"/>
      <c r="AM2373" s="12"/>
      <c r="AN2373" s="18"/>
      <c r="AO2373" s="18"/>
      <c r="AP2373" s="10"/>
      <c r="AQ2373" s="10"/>
      <c r="AR2373" s="19"/>
      <c r="AS2373" s="20"/>
      <c r="AT2373" s="19"/>
      <c r="AV2373" s="21">
        <f>IF(AND($AL2373&lt;&gt;"",COUNTIF($AL$11:$AL2373,$AL2373)=1),1,0)</f>
        <v>0</v>
      </c>
      <c r="AW2373" s="21">
        <f t="shared" si="159"/>
        <v>2</v>
      </c>
      <c r="AX2373" s="21" t="str">
        <f t="shared" si="158"/>
        <v/>
      </c>
      <c r="AY2373" s="21" t="str">
        <f>IF(AND($AM2373&lt;&gt;"",$AS2373&lt;&gt;"✓"),SUMPRODUCT(($AM$11:$AM2373&lt;&gt;"")*($AS$11:$AS2373&lt;&gt;"✓")),"")</f>
        <v/>
      </c>
      <c r="AZ2373" s="21" t="str">
        <f>IF(AND($AM2373&lt;&gt;"",$AS2373="✓"),SUMPRODUCT(($AM$11:$AM2373&lt;&gt;"")*($AS$11:$AS2373="✓")),"")</f>
        <v/>
      </c>
      <c r="BA2373" s="21" t="str">
        <f>IF($AL2373="","",$AL2373&amp;"|"&amp;COUNTIF($AL$11:$AL2373,$AL2373))</f>
        <v/>
      </c>
    </row>
    <row r="2374" spans="38:53" ht="15" customHeight="1" x14ac:dyDescent="0.25">
      <c r="AL2374" s="31"/>
      <c r="AM2374" s="26"/>
      <c r="AN2374" s="32"/>
      <c r="AO2374" s="32"/>
      <c r="AP2374" s="24"/>
      <c r="AQ2374" s="24"/>
      <c r="AR2374" s="33"/>
      <c r="AS2374" s="34"/>
      <c r="AT2374" s="33"/>
      <c r="AV2374" s="21">
        <f>IF(AND($AL2374&lt;&gt;"",COUNTIF($AL$11:$AL2374,$AL2374)=1),1,0)</f>
        <v>0</v>
      </c>
      <c r="AW2374" s="21">
        <f t="shared" si="159"/>
        <v>2</v>
      </c>
      <c r="AX2374" s="21" t="str">
        <f t="shared" si="158"/>
        <v/>
      </c>
      <c r="AY2374" s="21" t="str">
        <f>IF(AND($AM2374&lt;&gt;"",$AS2374&lt;&gt;"✓"),SUMPRODUCT(($AM$11:$AM2374&lt;&gt;"")*($AS$11:$AS2374&lt;&gt;"✓")),"")</f>
        <v/>
      </c>
      <c r="AZ2374" s="21" t="str">
        <f>IF(AND($AM2374&lt;&gt;"",$AS2374="✓"),SUMPRODUCT(($AM$11:$AM2374&lt;&gt;"")*($AS$11:$AS2374="✓")),"")</f>
        <v/>
      </c>
      <c r="BA2374" s="21" t="str">
        <f>IF($AL2374="","",$AL2374&amp;"|"&amp;COUNTIF($AL$11:$AL2374,$AL2374))</f>
        <v/>
      </c>
    </row>
    <row r="2375" spans="38:53" ht="15" customHeight="1" x14ac:dyDescent="0.25">
      <c r="AL2375" s="17"/>
      <c r="AM2375" s="12"/>
      <c r="AN2375" s="18"/>
      <c r="AO2375" s="18"/>
      <c r="AP2375" s="10"/>
      <c r="AQ2375" s="10"/>
      <c r="AR2375" s="19"/>
      <c r="AS2375" s="20"/>
      <c r="AT2375" s="19"/>
      <c r="AV2375" s="21">
        <f>IF(AND($AL2375&lt;&gt;"",COUNTIF($AL$11:$AL2375,$AL2375)=1),1,0)</f>
        <v>0</v>
      </c>
      <c r="AW2375" s="21">
        <f t="shared" si="159"/>
        <v>2</v>
      </c>
      <c r="AX2375" s="21" t="str">
        <f t="shared" si="158"/>
        <v/>
      </c>
      <c r="AY2375" s="21" t="str">
        <f>IF(AND($AM2375&lt;&gt;"",$AS2375&lt;&gt;"✓"),SUMPRODUCT(($AM$11:$AM2375&lt;&gt;"")*($AS$11:$AS2375&lt;&gt;"✓")),"")</f>
        <v/>
      </c>
      <c r="AZ2375" s="21" t="str">
        <f>IF(AND($AM2375&lt;&gt;"",$AS2375="✓"),SUMPRODUCT(($AM$11:$AM2375&lt;&gt;"")*($AS$11:$AS2375="✓")),"")</f>
        <v/>
      </c>
      <c r="BA2375" s="21" t="str">
        <f>IF($AL2375="","",$AL2375&amp;"|"&amp;COUNTIF($AL$11:$AL2375,$AL2375))</f>
        <v/>
      </c>
    </row>
    <row r="2376" spans="38:53" ht="15" customHeight="1" x14ac:dyDescent="0.25">
      <c r="AL2376" s="31"/>
      <c r="AM2376" s="26"/>
      <c r="AN2376" s="32"/>
      <c r="AO2376" s="32"/>
      <c r="AP2376" s="24"/>
      <c r="AQ2376" s="24"/>
      <c r="AR2376" s="33"/>
      <c r="AS2376" s="34"/>
      <c r="AT2376" s="33"/>
      <c r="AV2376" s="21">
        <f>IF(AND($AL2376&lt;&gt;"",COUNTIF($AL$11:$AL2376,$AL2376)=1),1,0)</f>
        <v>0</v>
      </c>
      <c r="AW2376" s="21">
        <f t="shared" si="159"/>
        <v>2</v>
      </c>
      <c r="AX2376" s="21" t="str">
        <f t="shared" si="158"/>
        <v/>
      </c>
      <c r="AY2376" s="21" t="str">
        <f>IF(AND($AM2376&lt;&gt;"",$AS2376&lt;&gt;"✓"),SUMPRODUCT(($AM$11:$AM2376&lt;&gt;"")*($AS$11:$AS2376&lt;&gt;"✓")),"")</f>
        <v/>
      </c>
      <c r="AZ2376" s="21" t="str">
        <f>IF(AND($AM2376&lt;&gt;"",$AS2376="✓"),SUMPRODUCT(($AM$11:$AM2376&lt;&gt;"")*($AS$11:$AS2376="✓")),"")</f>
        <v/>
      </c>
      <c r="BA2376" s="21" t="str">
        <f>IF($AL2376="","",$AL2376&amp;"|"&amp;COUNTIF($AL$11:$AL2376,$AL2376))</f>
        <v/>
      </c>
    </row>
    <row r="2377" spans="38:53" ht="15" customHeight="1" x14ac:dyDescent="0.25">
      <c r="AL2377" s="17"/>
      <c r="AM2377" s="12"/>
      <c r="AN2377" s="18"/>
      <c r="AO2377" s="18"/>
      <c r="AP2377" s="10"/>
      <c r="AQ2377" s="10"/>
      <c r="AR2377" s="19"/>
      <c r="AS2377" s="20"/>
      <c r="AT2377" s="19"/>
      <c r="AV2377" s="21">
        <f>IF(AND($AL2377&lt;&gt;"",COUNTIF($AL$11:$AL2377,$AL2377)=1),1,0)</f>
        <v>0</v>
      </c>
      <c r="AW2377" s="21">
        <f t="shared" si="159"/>
        <v>2</v>
      </c>
      <c r="AX2377" s="21" t="str">
        <f t="shared" si="158"/>
        <v/>
      </c>
      <c r="AY2377" s="21" t="str">
        <f>IF(AND($AM2377&lt;&gt;"",$AS2377&lt;&gt;"✓"),SUMPRODUCT(($AM$11:$AM2377&lt;&gt;"")*($AS$11:$AS2377&lt;&gt;"✓")),"")</f>
        <v/>
      </c>
      <c r="AZ2377" s="21" t="str">
        <f>IF(AND($AM2377&lt;&gt;"",$AS2377="✓"),SUMPRODUCT(($AM$11:$AM2377&lt;&gt;"")*($AS$11:$AS2377="✓")),"")</f>
        <v/>
      </c>
      <c r="BA2377" s="21" t="str">
        <f>IF($AL2377="","",$AL2377&amp;"|"&amp;COUNTIF($AL$11:$AL2377,$AL2377))</f>
        <v/>
      </c>
    </row>
    <row r="2378" spans="38:53" ht="15" customHeight="1" x14ac:dyDescent="0.25">
      <c r="AL2378" s="31"/>
      <c r="AM2378" s="26"/>
      <c r="AN2378" s="32"/>
      <c r="AO2378" s="32"/>
      <c r="AP2378" s="24"/>
      <c r="AQ2378" s="24"/>
      <c r="AR2378" s="33"/>
      <c r="AS2378" s="34"/>
      <c r="AT2378" s="33"/>
      <c r="AV2378" s="21">
        <f>IF(AND($AL2378&lt;&gt;"",COUNTIF($AL$11:$AL2378,$AL2378)=1),1,0)</f>
        <v>0</v>
      </c>
      <c r="AW2378" s="21">
        <f t="shared" si="159"/>
        <v>2</v>
      </c>
      <c r="AX2378" s="21" t="str">
        <f t="shared" si="158"/>
        <v/>
      </c>
      <c r="AY2378" s="21" t="str">
        <f>IF(AND($AM2378&lt;&gt;"",$AS2378&lt;&gt;"✓"),SUMPRODUCT(($AM$11:$AM2378&lt;&gt;"")*($AS$11:$AS2378&lt;&gt;"✓")),"")</f>
        <v/>
      </c>
      <c r="AZ2378" s="21" t="str">
        <f>IF(AND($AM2378&lt;&gt;"",$AS2378="✓"),SUMPRODUCT(($AM$11:$AM2378&lt;&gt;"")*($AS$11:$AS2378="✓")),"")</f>
        <v/>
      </c>
      <c r="BA2378" s="21" t="str">
        <f>IF($AL2378="","",$AL2378&amp;"|"&amp;COUNTIF($AL$11:$AL2378,$AL2378))</f>
        <v/>
      </c>
    </row>
    <row r="2379" spans="38:53" ht="15" customHeight="1" x14ac:dyDescent="0.25">
      <c r="AL2379" s="17"/>
      <c r="AM2379" s="12"/>
      <c r="AN2379" s="18"/>
      <c r="AO2379" s="18"/>
      <c r="AP2379" s="10"/>
      <c r="AQ2379" s="10"/>
      <c r="AR2379" s="19"/>
      <c r="AS2379" s="20"/>
      <c r="AT2379" s="19"/>
      <c r="AV2379" s="21">
        <f>IF(AND($AL2379&lt;&gt;"",COUNTIF($AL$11:$AL2379,$AL2379)=1),1,0)</f>
        <v>0</v>
      </c>
      <c r="AW2379" s="21">
        <f t="shared" si="159"/>
        <v>2</v>
      </c>
      <c r="AX2379" s="21" t="str">
        <f t="shared" ref="AX2379:AX2442" si="160">IF(AV2379=1,AW2379,"")</f>
        <v/>
      </c>
      <c r="AY2379" s="21" t="str">
        <f>IF(AND($AM2379&lt;&gt;"",$AS2379&lt;&gt;"✓"),SUMPRODUCT(($AM$11:$AM2379&lt;&gt;"")*($AS$11:$AS2379&lt;&gt;"✓")),"")</f>
        <v/>
      </c>
      <c r="AZ2379" s="21" t="str">
        <f>IF(AND($AM2379&lt;&gt;"",$AS2379="✓"),SUMPRODUCT(($AM$11:$AM2379&lt;&gt;"")*($AS$11:$AS2379="✓")),"")</f>
        <v/>
      </c>
      <c r="BA2379" s="21" t="str">
        <f>IF($AL2379="","",$AL2379&amp;"|"&amp;COUNTIF($AL$11:$AL2379,$AL2379))</f>
        <v/>
      </c>
    </row>
    <row r="2380" spans="38:53" ht="15" customHeight="1" x14ac:dyDescent="0.25">
      <c r="AL2380" s="31"/>
      <c r="AM2380" s="26"/>
      <c r="AN2380" s="32"/>
      <c r="AO2380" s="32"/>
      <c r="AP2380" s="24"/>
      <c r="AQ2380" s="24"/>
      <c r="AR2380" s="33"/>
      <c r="AS2380" s="34"/>
      <c r="AT2380" s="33"/>
      <c r="AV2380" s="21">
        <f>IF(AND($AL2380&lt;&gt;"",COUNTIF($AL$11:$AL2380,$AL2380)=1),1,0)</f>
        <v>0</v>
      </c>
      <c r="AW2380" s="21">
        <f t="shared" ref="AW2380:AW2443" si="161">AW2379+AV2380</f>
        <v>2</v>
      </c>
      <c r="AX2380" s="21" t="str">
        <f t="shared" si="160"/>
        <v/>
      </c>
      <c r="AY2380" s="21" t="str">
        <f>IF(AND($AM2380&lt;&gt;"",$AS2380&lt;&gt;"✓"),SUMPRODUCT(($AM$11:$AM2380&lt;&gt;"")*($AS$11:$AS2380&lt;&gt;"✓")),"")</f>
        <v/>
      </c>
      <c r="AZ2380" s="21" t="str">
        <f>IF(AND($AM2380&lt;&gt;"",$AS2380="✓"),SUMPRODUCT(($AM$11:$AM2380&lt;&gt;"")*($AS$11:$AS2380="✓")),"")</f>
        <v/>
      </c>
      <c r="BA2380" s="21" t="str">
        <f>IF($AL2380="","",$AL2380&amp;"|"&amp;COUNTIF($AL$11:$AL2380,$AL2380))</f>
        <v/>
      </c>
    </row>
    <row r="2381" spans="38:53" ht="15" customHeight="1" x14ac:dyDescent="0.25">
      <c r="AL2381" s="17"/>
      <c r="AM2381" s="12"/>
      <c r="AN2381" s="18"/>
      <c r="AO2381" s="18"/>
      <c r="AP2381" s="10"/>
      <c r="AQ2381" s="10"/>
      <c r="AR2381" s="19"/>
      <c r="AS2381" s="20"/>
      <c r="AT2381" s="19"/>
      <c r="AV2381" s="21">
        <f>IF(AND($AL2381&lt;&gt;"",COUNTIF($AL$11:$AL2381,$AL2381)=1),1,0)</f>
        <v>0</v>
      </c>
      <c r="AW2381" s="21">
        <f t="shared" si="161"/>
        <v>2</v>
      </c>
      <c r="AX2381" s="21" t="str">
        <f t="shared" si="160"/>
        <v/>
      </c>
      <c r="AY2381" s="21" t="str">
        <f>IF(AND($AM2381&lt;&gt;"",$AS2381&lt;&gt;"✓"),SUMPRODUCT(($AM$11:$AM2381&lt;&gt;"")*($AS$11:$AS2381&lt;&gt;"✓")),"")</f>
        <v/>
      </c>
      <c r="AZ2381" s="21" t="str">
        <f>IF(AND($AM2381&lt;&gt;"",$AS2381="✓"),SUMPRODUCT(($AM$11:$AM2381&lt;&gt;"")*($AS$11:$AS2381="✓")),"")</f>
        <v/>
      </c>
      <c r="BA2381" s="21" t="str">
        <f>IF($AL2381="","",$AL2381&amp;"|"&amp;COUNTIF($AL$11:$AL2381,$AL2381))</f>
        <v/>
      </c>
    </row>
    <row r="2382" spans="38:53" ht="15" customHeight="1" x14ac:dyDescent="0.25">
      <c r="AL2382" s="31"/>
      <c r="AM2382" s="26"/>
      <c r="AN2382" s="32"/>
      <c r="AO2382" s="32"/>
      <c r="AP2382" s="24"/>
      <c r="AQ2382" s="24"/>
      <c r="AR2382" s="33"/>
      <c r="AS2382" s="34"/>
      <c r="AT2382" s="33"/>
      <c r="AV2382" s="21">
        <f>IF(AND($AL2382&lt;&gt;"",COUNTIF($AL$11:$AL2382,$AL2382)=1),1,0)</f>
        <v>0</v>
      </c>
      <c r="AW2382" s="21">
        <f t="shared" si="161"/>
        <v>2</v>
      </c>
      <c r="AX2382" s="21" t="str">
        <f t="shared" si="160"/>
        <v/>
      </c>
      <c r="AY2382" s="21" t="str">
        <f>IF(AND($AM2382&lt;&gt;"",$AS2382&lt;&gt;"✓"),SUMPRODUCT(($AM$11:$AM2382&lt;&gt;"")*($AS$11:$AS2382&lt;&gt;"✓")),"")</f>
        <v/>
      </c>
      <c r="AZ2382" s="21" t="str">
        <f>IF(AND($AM2382&lt;&gt;"",$AS2382="✓"),SUMPRODUCT(($AM$11:$AM2382&lt;&gt;"")*($AS$11:$AS2382="✓")),"")</f>
        <v/>
      </c>
      <c r="BA2382" s="21" t="str">
        <f>IF($AL2382="","",$AL2382&amp;"|"&amp;COUNTIF($AL$11:$AL2382,$AL2382))</f>
        <v/>
      </c>
    </row>
    <row r="2383" spans="38:53" ht="15" customHeight="1" x14ac:dyDescent="0.25">
      <c r="AL2383" s="17"/>
      <c r="AM2383" s="12"/>
      <c r="AN2383" s="18"/>
      <c r="AO2383" s="18"/>
      <c r="AP2383" s="10"/>
      <c r="AQ2383" s="10"/>
      <c r="AR2383" s="19"/>
      <c r="AS2383" s="20"/>
      <c r="AT2383" s="19"/>
      <c r="AV2383" s="21">
        <f>IF(AND($AL2383&lt;&gt;"",COUNTIF($AL$11:$AL2383,$AL2383)=1),1,0)</f>
        <v>0</v>
      </c>
      <c r="AW2383" s="21">
        <f t="shared" si="161"/>
        <v>2</v>
      </c>
      <c r="AX2383" s="21" t="str">
        <f t="shared" si="160"/>
        <v/>
      </c>
      <c r="AY2383" s="21" t="str">
        <f>IF(AND($AM2383&lt;&gt;"",$AS2383&lt;&gt;"✓"),SUMPRODUCT(($AM$11:$AM2383&lt;&gt;"")*($AS$11:$AS2383&lt;&gt;"✓")),"")</f>
        <v/>
      </c>
      <c r="AZ2383" s="21" t="str">
        <f>IF(AND($AM2383&lt;&gt;"",$AS2383="✓"),SUMPRODUCT(($AM$11:$AM2383&lt;&gt;"")*($AS$11:$AS2383="✓")),"")</f>
        <v/>
      </c>
      <c r="BA2383" s="21" t="str">
        <f>IF($AL2383="","",$AL2383&amp;"|"&amp;COUNTIF($AL$11:$AL2383,$AL2383))</f>
        <v/>
      </c>
    </row>
    <row r="2384" spans="38:53" ht="15" customHeight="1" x14ac:dyDescent="0.25">
      <c r="AL2384" s="31"/>
      <c r="AM2384" s="26"/>
      <c r="AN2384" s="32"/>
      <c r="AO2384" s="32"/>
      <c r="AP2384" s="24"/>
      <c r="AQ2384" s="24"/>
      <c r="AR2384" s="33"/>
      <c r="AS2384" s="34"/>
      <c r="AT2384" s="33"/>
      <c r="AV2384" s="21">
        <f>IF(AND($AL2384&lt;&gt;"",COUNTIF($AL$11:$AL2384,$AL2384)=1),1,0)</f>
        <v>0</v>
      </c>
      <c r="AW2384" s="21">
        <f t="shared" si="161"/>
        <v>2</v>
      </c>
      <c r="AX2384" s="21" t="str">
        <f t="shared" si="160"/>
        <v/>
      </c>
      <c r="AY2384" s="21" t="str">
        <f>IF(AND($AM2384&lt;&gt;"",$AS2384&lt;&gt;"✓"),SUMPRODUCT(($AM$11:$AM2384&lt;&gt;"")*($AS$11:$AS2384&lt;&gt;"✓")),"")</f>
        <v/>
      </c>
      <c r="AZ2384" s="21" t="str">
        <f>IF(AND($AM2384&lt;&gt;"",$AS2384="✓"),SUMPRODUCT(($AM$11:$AM2384&lt;&gt;"")*($AS$11:$AS2384="✓")),"")</f>
        <v/>
      </c>
      <c r="BA2384" s="21" t="str">
        <f>IF($AL2384="","",$AL2384&amp;"|"&amp;COUNTIF($AL$11:$AL2384,$AL2384))</f>
        <v/>
      </c>
    </row>
    <row r="2385" spans="38:53" ht="15" customHeight="1" x14ac:dyDescent="0.25">
      <c r="AL2385" s="17"/>
      <c r="AM2385" s="12"/>
      <c r="AN2385" s="18"/>
      <c r="AO2385" s="18"/>
      <c r="AP2385" s="10"/>
      <c r="AQ2385" s="10"/>
      <c r="AR2385" s="19"/>
      <c r="AS2385" s="20"/>
      <c r="AT2385" s="19"/>
      <c r="AV2385" s="21">
        <f>IF(AND($AL2385&lt;&gt;"",COUNTIF($AL$11:$AL2385,$AL2385)=1),1,0)</f>
        <v>0</v>
      </c>
      <c r="AW2385" s="21">
        <f t="shared" si="161"/>
        <v>2</v>
      </c>
      <c r="AX2385" s="21" t="str">
        <f t="shared" si="160"/>
        <v/>
      </c>
      <c r="AY2385" s="21" t="str">
        <f>IF(AND($AM2385&lt;&gt;"",$AS2385&lt;&gt;"✓"),SUMPRODUCT(($AM$11:$AM2385&lt;&gt;"")*($AS$11:$AS2385&lt;&gt;"✓")),"")</f>
        <v/>
      </c>
      <c r="AZ2385" s="21" t="str">
        <f>IF(AND($AM2385&lt;&gt;"",$AS2385="✓"),SUMPRODUCT(($AM$11:$AM2385&lt;&gt;"")*($AS$11:$AS2385="✓")),"")</f>
        <v/>
      </c>
      <c r="BA2385" s="21" t="str">
        <f>IF($AL2385="","",$AL2385&amp;"|"&amp;COUNTIF($AL$11:$AL2385,$AL2385))</f>
        <v/>
      </c>
    </row>
    <row r="2386" spans="38:53" ht="15" customHeight="1" x14ac:dyDescent="0.25">
      <c r="AL2386" s="31"/>
      <c r="AM2386" s="26"/>
      <c r="AN2386" s="32"/>
      <c r="AO2386" s="32"/>
      <c r="AP2386" s="24"/>
      <c r="AQ2386" s="24"/>
      <c r="AR2386" s="33"/>
      <c r="AS2386" s="34"/>
      <c r="AT2386" s="33"/>
      <c r="AV2386" s="21">
        <f>IF(AND($AL2386&lt;&gt;"",COUNTIF($AL$11:$AL2386,$AL2386)=1),1,0)</f>
        <v>0</v>
      </c>
      <c r="AW2386" s="21">
        <f t="shared" si="161"/>
        <v>2</v>
      </c>
      <c r="AX2386" s="21" t="str">
        <f t="shared" si="160"/>
        <v/>
      </c>
      <c r="AY2386" s="21" t="str">
        <f>IF(AND($AM2386&lt;&gt;"",$AS2386&lt;&gt;"✓"),SUMPRODUCT(($AM$11:$AM2386&lt;&gt;"")*($AS$11:$AS2386&lt;&gt;"✓")),"")</f>
        <v/>
      </c>
      <c r="AZ2386" s="21" t="str">
        <f>IF(AND($AM2386&lt;&gt;"",$AS2386="✓"),SUMPRODUCT(($AM$11:$AM2386&lt;&gt;"")*($AS$11:$AS2386="✓")),"")</f>
        <v/>
      </c>
      <c r="BA2386" s="21" t="str">
        <f>IF($AL2386="","",$AL2386&amp;"|"&amp;COUNTIF($AL$11:$AL2386,$AL2386))</f>
        <v/>
      </c>
    </row>
    <row r="2387" spans="38:53" ht="15" customHeight="1" x14ac:dyDescent="0.25">
      <c r="AL2387" s="17"/>
      <c r="AM2387" s="12"/>
      <c r="AN2387" s="18"/>
      <c r="AO2387" s="18"/>
      <c r="AP2387" s="10"/>
      <c r="AQ2387" s="10"/>
      <c r="AR2387" s="19"/>
      <c r="AS2387" s="20"/>
      <c r="AT2387" s="19"/>
      <c r="AV2387" s="21">
        <f>IF(AND($AL2387&lt;&gt;"",COUNTIF($AL$11:$AL2387,$AL2387)=1),1,0)</f>
        <v>0</v>
      </c>
      <c r="AW2387" s="21">
        <f t="shared" si="161"/>
        <v>2</v>
      </c>
      <c r="AX2387" s="21" t="str">
        <f t="shared" si="160"/>
        <v/>
      </c>
      <c r="AY2387" s="21" t="str">
        <f>IF(AND($AM2387&lt;&gt;"",$AS2387&lt;&gt;"✓"),SUMPRODUCT(($AM$11:$AM2387&lt;&gt;"")*($AS$11:$AS2387&lt;&gt;"✓")),"")</f>
        <v/>
      </c>
      <c r="AZ2387" s="21" t="str">
        <f>IF(AND($AM2387&lt;&gt;"",$AS2387="✓"),SUMPRODUCT(($AM$11:$AM2387&lt;&gt;"")*($AS$11:$AS2387="✓")),"")</f>
        <v/>
      </c>
      <c r="BA2387" s="21" t="str">
        <f>IF($AL2387="","",$AL2387&amp;"|"&amp;COUNTIF($AL$11:$AL2387,$AL2387))</f>
        <v/>
      </c>
    </row>
    <row r="2388" spans="38:53" ht="15" customHeight="1" x14ac:dyDescent="0.25">
      <c r="AL2388" s="31"/>
      <c r="AM2388" s="26"/>
      <c r="AN2388" s="32"/>
      <c r="AO2388" s="32"/>
      <c r="AP2388" s="24"/>
      <c r="AQ2388" s="24"/>
      <c r="AR2388" s="33"/>
      <c r="AS2388" s="34"/>
      <c r="AT2388" s="33"/>
      <c r="AV2388" s="21">
        <f>IF(AND($AL2388&lt;&gt;"",COUNTIF($AL$11:$AL2388,$AL2388)=1),1,0)</f>
        <v>0</v>
      </c>
      <c r="AW2388" s="21">
        <f t="shared" si="161"/>
        <v>2</v>
      </c>
      <c r="AX2388" s="21" t="str">
        <f t="shared" si="160"/>
        <v/>
      </c>
      <c r="AY2388" s="21" t="str">
        <f>IF(AND($AM2388&lt;&gt;"",$AS2388&lt;&gt;"✓"),SUMPRODUCT(($AM$11:$AM2388&lt;&gt;"")*($AS$11:$AS2388&lt;&gt;"✓")),"")</f>
        <v/>
      </c>
      <c r="AZ2388" s="21" t="str">
        <f>IF(AND($AM2388&lt;&gt;"",$AS2388="✓"),SUMPRODUCT(($AM$11:$AM2388&lt;&gt;"")*($AS$11:$AS2388="✓")),"")</f>
        <v/>
      </c>
      <c r="BA2388" s="21" t="str">
        <f>IF($AL2388="","",$AL2388&amp;"|"&amp;COUNTIF($AL$11:$AL2388,$AL2388))</f>
        <v/>
      </c>
    </row>
    <row r="2389" spans="38:53" ht="15" customHeight="1" x14ac:dyDescent="0.25">
      <c r="AL2389" s="17"/>
      <c r="AM2389" s="12"/>
      <c r="AN2389" s="18"/>
      <c r="AO2389" s="18"/>
      <c r="AP2389" s="10"/>
      <c r="AQ2389" s="10"/>
      <c r="AR2389" s="19"/>
      <c r="AS2389" s="20"/>
      <c r="AT2389" s="19"/>
      <c r="AV2389" s="21">
        <f>IF(AND($AL2389&lt;&gt;"",COUNTIF($AL$11:$AL2389,$AL2389)=1),1,0)</f>
        <v>0</v>
      </c>
      <c r="AW2389" s="21">
        <f t="shared" si="161"/>
        <v>2</v>
      </c>
      <c r="AX2389" s="21" t="str">
        <f t="shared" si="160"/>
        <v/>
      </c>
      <c r="AY2389" s="21" t="str">
        <f>IF(AND($AM2389&lt;&gt;"",$AS2389&lt;&gt;"✓"),SUMPRODUCT(($AM$11:$AM2389&lt;&gt;"")*($AS$11:$AS2389&lt;&gt;"✓")),"")</f>
        <v/>
      </c>
      <c r="AZ2389" s="21" t="str">
        <f>IF(AND($AM2389&lt;&gt;"",$AS2389="✓"),SUMPRODUCT(($AM$11:$AM2389&lt;&gt;"")*($AS$11:$AS2389="✓")),"")</f>
        <v/>
      </c>
      <c r="BA2389" s="21" t="str">
        <f>IF($AL2389="","",$AL2389&amp;"|"&amp;COUNTIF($AL$11:$AL2389,$AL2389))</f>
        <v/>
      </c>
    </row>
    <row r="2390" spans="38:53" ht="15" customHeight="1" x14ac:dyDescent="0.25">
      <c r="AL2390" s="31"/>
      <c r="AM2390" s="26"/>
      <c r="AN2390" s="32"/>
      <c r="AO2390" s="32"/>
      <c r="AP2390" s="24"/>
      <c r="AQ2390" s="24"/>
      <c r="AR2390" s="33"/>
      <c r="AS2390" s="34"/>
      <c r="AT2390" s="33"/>
      <c r="AV2390" s="21">
        <f>IF(AND($AL2390&lt;&gt;"",COUNTIF($AL$11:$AL2390,$AL2390)=1),1,0)</f>
        <v>0</v>
      </c>
      <c r="AW2390" s="21">
        <f t="shared" si="161"/>
        <v>2</v>
      </c>
      <c r="AX2390" s="21" t="str">
        <f t="shared" si="160"/>
        <v/>
      </c>
      <c r="AY2390" s="21" t="str">
        <f>IF(AND($AM2390&lt;&gt;"",$AS2390&lt;&gt;"✓"),SUMPRODUCT(($AM$11:$AM2390&lt;&gt;"")*($AS$11:$AS2390&lt;&gt;"✓")),"")</f>
        <v/>
      </c>
      <c r="AZ2390" s="21" t="str">
        <f>IF(AND($AM2390&lt;&gt;"",$AS2390="✓"),SUMPRODUCT(($AM$11:$AM2390&lt;&gt;"")*($AS$11:$AS2390="✓")),"")</f>
        <v/>
      </c>
      <c r="BA2390" s="21" t="str">
        <f>IF($AL2390="","",$AL2390&amp;"|"&amp;COUNTIF($AL$11:$AL2390,$AL2390))</f>
        <v/>
      </c>
    </row>
    <row r="2391" spans="38:53" ht="15" customHeight="1" x14ac:dyDescent="0.25">
      <c r="AL2391" s="17"/>
      <c r="AM2391" s="12"/>
      <c r="AN2391" s="18"/>
      <c r="AO2391" s="18"/>
      <c r="AP2391" s="10"/>
      <c r="AQ2391" s="10"/>
      <c r="AR2391" s="19"/>
      <c r="AS2391" s="20"/>
      <c r="AT2391" s="19"/>
      <c r="AV2391" s="21">
        <f>IF(AND($AL2391&lt;&gt;"",COUNTIF($AL$11:$AL2391,$AL2391)=1),1,0)</f>
        <v>0</v>
      </c>
      <c r="AW2391" s="21">
        <f t="shared" si="161"/>
        <v>2</v>
      </c>
      <c r="AX2391" s="21" t="str">
        <f t="shared" si="160"/>
        <v/>
      </c>
      <c r="AY2391" s="21" t="str">
        <f>IF(AND($AM2391&lt;&gt;"",$AS2391&lt;&gt;"✓"),SUMPRODUCT(($AM$11:$AM2391&lt;&gt;"")*($AS$11:$AS2391&lt;&gt;"✓")),"")</f>
        <v/>
      </c>
      <c r="AZ2391" s="21" t="str">
        <f>IF(AND($AM2391&lt;&gt;"",$AS2391="✓"),SUMPRODUCT(($AM$11:$AM2391&lt;&gt;"")*($AS$11:$AS2391="✓")),"")</f>
        <v/>
      </c>
      <c r="BA2391" s="21" t="str">
        <f>IF($AL2391="","",$AL2391&amp;"|"&amp;COUNTIF($AL$11:$AL2391,$AL2391))</f>
        <v/>
      </c>
    </row>
    <row r="2392" spans="38:53" ht="15" customHeight="1" x14ac:dyDescent="0.25">
      <c r="AL2392" s="31"/>
      <c r="AM2392" s="26"/>
      <c r="AN2392" s="32"/>
      <c r="AO2392" s="32"/>
      <c r="AP2392" s="24"/>
      <c r="AQ2392" s="24"/>
      <c r="AR2392" s="33"/>
      <c r="AS2392" s="34"/>
      <c r="AT2392" s="33"/>
      <c r="AV2392" s="21">
        <f>IF(AND($AL2392&lt;&gt;"",COUNTIF($AL$11:$AL2392,$AL2392)=1),1,0)</f>
        <v>0</v>
      </c>
      <c r="AW2392" s="21">
        <f t="shared" si="161"/>
        <v>2</v>
      </c>
      <c r="AX2392" s="21" t="str">
        <f t="shared" si="160"/>
        <v/>
      </c>
      <c r="AY2392" s="21" t="str">
        <f>IF(AND($AM2392&lt;&gt;"",$AS2392&lt;&gt;"✓"),SUMPRODUCT(($AM$11:$AM2392&lt;&gt;"")*($AS$11:$AS2392&lt;&gt;"✓")),"")</f>
        <v/>
      </c>
      <c r="AZ2392" s="21" t="str">
        <f>IF(AND($AM2392&lt;&gt;"",$AS2392="✓"),SUMPRODUCT(($AM$11:$AM2392&lt;&gt;"")*($AS$11:$AS2392="✓")),"")</f>
        <v/>
      </c>
      <c r="BA2392" s="21" t="str">
        <f>IF($AL2392="","",$AL2392&amp;"|"&amp;COUNTIF($AL$11:$AL2392,$AL2392))</f>
        <v/>
      </c>
    </row>
    <row r="2393" spans="38:53" ht="15" customHeight="1" x14ac:dyDescent="0.25">
      <c r="AL2393" s="17"/>
      <c r="AM2393" s="12"/>
      <c r="AN2393" s="18"/>
      <c r="AO2393" s="18"/>
      <c r="AP2393" s="10"/>
      <c r="AQ2393" s="10"/>
      <c r="AR2393" s="19"/>
      <c r="AS2393" s="20"/>
      <c r="AT2393" s="19"/>
      <c r="AV2393" s="21">
        <f>IF(AND($AL2393&lt;&gt;"",COUNTIF($AL$11:$AL2393,$AL2393)=1),1,0)</f>
        <v>0</v>
      </c>
      <c r="AW2393" s="21">
        <f t="shared" si="161"/>
        <v>2</v>
      </c>
      <c r="AX2393" s="21" t="str">
        <f t="shared" si="160"/>
        <v/>
      </c>
      <c r="AY2393" s="21" t="str">
        <f>IF(AND($AM2393&lt;&gt;"",$AS2393&lt;&gt;"✓"),SUMPRODUCT(($AM$11:$AM2393&lt;&gt;"")*($AS$11:$AS2393&lt;&gt;"✓")),"")</f>
        <v/>
      </c>
      <c r="AZ2393" s="21" t="str">
        <f>IF(AND($AM2393&lt;&gt;"",$AS2393="✓"),SUMPRODUCT(($AM$11:$AM2393&lt;&gt;"")*($AS$11:$AS2393="✓")),"")</f>
        <v/>
      </c>
      <c r="BA2393" s="21" t="str">
        <f>IF($AL2393="","",$AL2393&amp;"|"&amp;COUNTIF($AL$11:$AL2393,$AL2393))</f>
        <v/>
      </c>
    </row>
    <row r="2394" spans="38:53" ht="15" customHeight="1" x14ac:dyDescent="0.25">
      <c r="AL2394" s="31"/>
      <c r="AM2394" s="26"/>
      <c r="AN2394" s="32"/>
      <c r="AO2394" s="32"/>
      <c r="AP2394" s="24"/>
      <c r="AQ2394" s="24"/>
      <c r="AR2394" s="33"/>
      <c r="AS2394" s="34"/>
      <c r="AT2394" s="33"/>
      <c r="AV2394" s="21">
        <f>IF(AND($AL2394&lt;&gt;"",COUNTIF($AL$11:$AL2394,$AL2394)=1),1,0)</f>
        <v>0</v>
      </c>
      <c r="AW2394" s="21">
        <f t="shared" si="161"/>
        <v>2</v>
      </c>
      <c r="AX2394" s="21" t="str">
        <f t="shared" si="160"/>
        <v/>
      </c>
      <c r="AY2394" s="21" t="str">
        <f>IF(AND($AM2394&lt;&gt;"",$AS2394&lt;&gt;"✓"),SUMPRODUCT(($AM$11:$AM2394&lt;&gt;"")*($AS$11:$AS2394&lt;&gt;"✓")),"")</f>
        <v/>
      </c>
      <c r="AZ2394" s="21" t="str">
        <f>IF(AND($AM2394&lt;&gt;"",$AS2394="✓"),SUMPRODUCT(($AM$11:$AM2394&lt;&gt;"")*($AS$11:$AS2394="✓")),"")</f>
        <v/>
      </c>
      <c r="BA2394" s="21" t="str">
        <f>IF($AL2394="","",$AL2394&amp;"|"&amp;COUNTIF($AL$11:$AL2394,$AL2394))</f>
        <v/>
      </c>
    </row>
    <row r="2395" spans="38:53" ht="15" customHeight="1" x14ac:dyDescent="0.25">
      <c r="AL2395" s="17"/>
      <c r="AM2395" s="12"/>
      <c r="AN2395" s="18"/>
      <c r="AO2395" s="18"/>
      <c r="AP2395" s="10"/>
      <c r="AQ2395" s="10"/>
      <c r="AR2395" s="19"/>
      <c r="AS2395" s="20"/>
      <c r="AT2395" s="19"/>
      <c r="AV2395" s="21">
        <f>IF(AND($AL2395&lt;&gt;"",COUNTIF($AL$11:$AL2395,$AL2395)=1),1,0)</f>
        <v>0</v>
      </c>
      <c r="AW2395" s="21">
        <f t="shared" si="161"/>
        <v>2</v>
      </c>
      <c r="AX2395" s="21" t="str">
        <f t="shared" si="160"/>
        <v/>
      </c>
      <c r="AY2395" s="21" t="str">
        <f>IF(AND($AM2395&lt;&gt;"",$AS2395&lt;&gt;"✓"),SUMPRODUCT(($AM$11:$AM2395&lt;&gt;"")*($AS$11:$AS2395&lt;&gt;"✓")),"")</f>
        <v/>
      </c>
      <c r="AZ2395" s="21" t="str">
        <f>IF(AND($AM2395&lt;&gt;"",$AS2395="✓"),SUMPRODUCT(($AM$11:$AM2395&lt;&gt;"")*($AS$11:$AS2395="✓")),"")</f>
        <v/>
      </c>
      <c r="BA2395" s="21" t="str">
        <f>IF($AL2395="","",$AL2395&amp;"|"&amp;COUNTIF($AL$11:$AL2395,$AL2395))</f>
        <v/>
      </c>
    </row>
    <row r="2396" spans="38:53" ht="15" customHeight="1" x14ac:dyDescent="0.25">
      <c r="AL2396" s="31"/>
      <c r="AM2396" s="26"/>
      <c r="AN2396" s="32"/>
      <c r="AO2396" s="32"/>
      <c r="AP2396" s="24"/>
      <c r="AQ2396" s="24"/>
      <c r="AR2396" s="33"/>
      <c r="AS2396" s="34"/>
      <c r="AT2396" s="33"/>
      <c r="AV2396" s="21">
        <f>IF(AND($AL2396&lt;&gt;"",COUNTIF($AL$11:$AL2396,$AL2396)=1),1,0)</f>
        <v>0</v>
      </c>
      <c r="AW2396" s="21">
        <f t="shared" si="161"/>
        <v>2</v>
      </c>
      <c r="AX2396" s="21" t="str">
        <f t="shared" si="160"/>
        <v/>
      </c>
      <c r="AY2396" s="21" t="str">
        <f>IF(AND($AM2396&lt;&gt;"",$AS2396&lt;&gt;"✓"),SUMPRODUCT(($AM$11:$AM2396&lt;&gt;"")*($AS$11:$AS2396&lt;&gt;"✓")),"")</f>
        <v/>
      </c>
      <c r="AZ2396" s="21" t="str">
        <f>IF(AND($AM2396&lt;&gt;"",$AS2396="✓"),SUMPRODUCT(($AM$11:$AM2396&lt;&gt;"")*($AS$11:$AS2396="✓")),"")</f>
        <v/>
      </c>
      <c r="BA2396" s="21" t="str">
        <f>IF($AL2396="","",$AL2396&amp;"|"&amp;COUNTIF($AL$11:$AL2396,$AL2396))</f>
        <v/>
      </c>
    </row>
    <row r="2397" spans="38:53" ht="15" customHeight="1" x14ac:dyDescent="0.25">
      <c r="AL2397" s="17"/>
      <c r="AM2397" s="12"/>
      <c r="AN2397" s="18"/>
      <c r="AO2397" s="18"/>
      <c r="AP2397" s="10"/>
      <c r="AQ2397" s="10"/>
      <c r="AR2397" s="19"/>
      <c r="AS2397" s="20"/>
      <c r="AT2397" s="19"/>
      <c r="AV2397" s="21">
        <f>IF(AND($AL2397&lt;&gt;"",COUNTIF($AL$11:$AL2397,$AL2397)=1),1,0)</f>
        <v>0</v>
      </c>
      <c r="AW2397" s="21">
        <f t="shared" si="161"/>
        <v>2</v>
      </c>
      <c r="AX2397" s="21" t="str">
        <f t="shared" si="160"/>
        <v/>
      </c>
      <c r="AY2397" s="21" t="str">
        <f>IF(AND($AM2397&lt;&gt;"",$AS2397&lt;&gt;"✓"),SUMPRODUCT(($AM$11:$AM2397&lt;&gt;"")*($AS$11:$AS2397&lt;&gt;"✓")),"")</f>
        <v/>
      </c>
      <c r="AZ2397" s="21" t="str">
        <f>IF(AND($AM2397&lt;&gt;"",$AS2397="✓"),SUMPRODUCT(($AM$11:$AM2397&lt;&gt;"")*($AS$11:$AS2397="✓")),"")</f>
        <v/>
      </c>
      <c r="BA2397" s="21" t="str">
        <f>IF($AL2397="","",$AL2397&amp;"|"&amp;COUNTIF($AL$11:$AL2397,$AL2397))</f>
        <v/>
      </c>
    </row>
    <row r="2398" spans="38:53" ht="15" customHeight="1" x14ac:dyDescent="0.25">
      <c r="AL2398" s="31"/>
      <c r="AM2398" s="26"/>
      <c r="AN2398" s="32"/>
      <c r="AO2398" s="32"/>
      <c r="AP2398" s="24"/>
      <c r="AQ2398" s="24"/>
      <c r="AR2398" s="33"/>
      <c r="AS2398" s="34"/>
      <c r="AT2398" s="33"/>
      <c r="AV2398" s="21">
        <f>IF(AND($AL2398&lt;&gt;"",COUNTIF($AL$11:$AL2398,$AL2398)=1),1,0)</f>
        <v>0</v>
      </c>
      <c r="AW2398" s="21">
        <f t="shared" si="161"/>
        <v>2</v>
      </c>
      <c r="AX2398" s="21" t="str">
        <f t="shared" si="160"/>
        <v/>
      </c>
      <c r="AY2398" s="21" t="str">
        <f>IF(AND($AM2398&lt;&gt;"",$AS2398&lt;&gt;"✓"),SUMPRODUCT(($AM$11:$AM2398&lt;&gt;"")*($AS$11:$AS2398&lt;&gt;"✓")),"")</f>
        <v/>
      </c>
      <c r="AZ2398" s="21" t="str">
        <f>IF(AND($AM2398&lt;&gt;"",$AS2398="✓"),SUMPRODUCT(($AM$11:$AM2398&lt;&gt;"")*($AS$11:$AS2398="✓")),"")</f>
        <v/>
      </c>
      <c r="BA2398" s="21" t="str">
        <f>IF($AL2398="","",$AL2398&amp;"|"&amp;COUNTIF($AL$11:$AL2398,$AL2398))</f>
        <v/>
      </c>
    </row>
    <row r="2399" spans="38:53" ht="15" customHeight="1" x14ac:dyDescent="0.25">
      <c r="AL2399" s="17"/>
      <c r="AM2399" s="12"/>
      <c r="AN2399" s="18"/>
      <c r="AO2399" s="18"/>
      <c r="AP2399" s="10"/>
      <c r="AQ2399" s="10"/>
      <c r="AR2399" s="19"/>
      <c r="AS2399" s="20"/>
      <c r="AT2399" s="19"/>
      <c r="AV2399" s="21">
        <f>IF(AND($AL2399&lt;&gt;"",COUNTIF($AL$11:$AL2399,$AL2399)=1),1,0)</f>
        <v>0</v>
      </c>
      <c r="AW2399" s="21">
        <f t="shared" si="161"/>
        <v>2</v>
      </c>
      <c r="AX2399" s="21" t="str">
        <f t="shared" si="160"/>
        <v/>
      </c>
      <c r="AY2399" s="21" t="str">
        <f>IF(AND($AM2399&lt;&gt;"",$AS2399&lt;&gt;"✓"),SUMPRODUCT(($AM$11:$AM2399&lt;&gt;"")*($AS$11:$AS2399&lt;&gt;"✓")),"")</f>
        <v/>
      </c>
      <c r="AZ2399" s="21" t="str">
        <f>IF(AND($AM2399&lt;&gt;"",$AS2399="✓"),SUMPRODUCT(($AM$11:$AM2399&lt;&gt;"")*($AS$11:$AS2399="✓")),"")</f>
        <v/>
      </c>
      <c r="BA2399" s="21" t="str">
        <f>IF($AL2399="","",$AL2399&amp;"|"&amp;COUNTIF($AL$11:$AL2399,$AL2399))</f>
        <v/>
      </c>
    </row>
    <row r="2400" spans="38:53" ht="15" customHeight="1" x14ac:dyDescent="0.25">
      <c r="AL2400" s="31"/>
      <c r="AM2400" s="26"/>
      <c r="AN2400" s="32"/>
      <c r="AO2400" s="32"/>
      <c r="AP2400" s="24"/>
      <c r="AQ2400" s="24"/>
      <c r="AR2400" s="33"/>
      <c r="AS2400" s="34"/>
      <c r="AT2400" s="33"/>
      <c r="AV2400" s="21">
        <f>IF(AND($AL2400&lt;&gt;"",COUNTIF($AL$11:$AL2400,$AL2400)=1),1,0)</f>
        <v>0</v>
      </c>
      <c r="AW2400" s="21">
        <f t="shared" si="161"/>
        <v>2</v>
      </c>
      <c r="AX2400" s="21" t="str">
        <f t="shared" si="160"/>
        <v/>
      </c>
      <c r="AY2400" s="21" t="str">
        <f>IF(AND($AM2400&lt;&gt;"",$AS2400&lt;&gt;"✓"),SUMPRODUCT(($AM$11:$AM2400&lt;&gt;"")*($AS$11:$AS2400&lt;&gt;"✓")),"")</f>
        <v/>
      </c>
      <c r="AZ2400" s="21" t="str">
        <f>IF(AND($AM2400&lt;&gt;"",$AS2400="✓"),SUMPRODUCT(($AM$11:$AM2400&lt;&gt;"")*($AS$11:$AS2400="✓")),"")</f>
        <v/>
      </c>
      <c r="BA2400" s="21" t="str">
        <f>IF($AL2400="","",$AL2400&amp;"|"&amp;COUNTIF($AL$11:$AL2400,$AL2400))</f>
        <v/>
      </c>
    </row>
    <row r="2401" spans="38:53" ht="15" customHeight="1" x14ac:dyDescent="0.25">
      <c r="AL2401" s="17"/>
      <c r="AM2401" s="12"/>
      <c r="AN2401" s="18"/>
      <c r="AO2401" s="18"/>
      <c r="AP2401" s="10"/>
      <c r="AQ2401" s="10"/>
      <c r="AR2401" s="19"/>
      <c r="AS2401" s="20"/>
      <c r="AT2401" s="19"/>
      <c r="AV2401" s="21">
        <f>IF(AND($AL2401&lt;&gt;"",COUNTIF($AL$11:$AL2401,$AL2401)=1),1,0)</f>
        <v>0</v>
      </c>
      <c r="AW2401" s="21">
        <f t="shared" si="161"/>
        <v>2</v>
      </c>
      <c r="AX2401" s="21" t="str">
        <f t="shared" si="160"/>
        <v/>
      </c>
      <c r="AY2401" s="21" t="str">
        <f>IF(AND($AM2401&lt;&gt;"",$AS2401&lt;&gt;"✓"),SUMPRODUCT(($AM$11:$AM2401&lt;&gt;"")*($AS$11:$AS2401&lt;&gt;"✓")),"")</f>
        <v/>
      </c>
      <c r="AZ2401" s="21" t="str">
        <f>IF(AND($AM2401&lt;&gt;"",$AS2401="✓"),SUMPRODUCT(($AM$11:$AM2401&lt;&gt;"")*($AS$11:$AS2401="✓")),"")</f>
        <v/>
      </c>
      <c r="BA2401" s="21" t="str">
        <f>IF($AL2401="","",$AL2401&amp;"|"&amp;COUNTIF($AL$11:$AL2401,$AL2401))</f>
        <v/>
      </c>
    </row>
    <row r="2402" spans="38:53" ht="15" customHeight="1" x14ac:dyDescent="0.25">
      <c r="AL2402" s="31"/>
      <c r="AM2402" s="26"/>
      <c r="AN2402" s="32"/>
      <c r="AO2402" s="32"/>
      <c r="AP2402" s="24"/>
      <c r="AQ2402" s="24"/>
      <c r="AR2402" s="33"/>
      <c r="AS2402" s="34"/>
      <c r="AT2402" s="33"/>
      <c r="AV2402" s="21">
        <f>IF(AND($AL2402&lt;&gt;"",COUNTIF($AL$11:$AL2402,$AL2402)=1),1,0)</f>
        <v>0</v>
      </c>
      <c r="AW2402" s="21">
        <f t="shared" si="161"/>
        <v>2</v>
      </c>
      <c r="AX2402" s="21" t="str">
        <f t="shared" si="160"/>
        <v/>
      </c>
      <c r="AY2402" s="21" t="str">
        <f>IF(AND($AM2402&lt;&gt;"",$AS2402&lt;&gt;"✓"),SUMPRODUCT(($AM$11:$AM2402&lt;&gt;"")*($AS$11:$AS2402&lt;&gt;"✓")),"")</f>
        <v/>
      </c>
      <c r="AZ2402" s="21" t="str">
        <f>IF(AND($AM2402&lt;&gt;"",$AS2402="✓"),SUMPRODUCT(($AM$11:$AM2402&lt;&gt;"")*($AS$11:$AS2402="✓")),"")</f>
        <v/>
      </c>
      <c r="BA2402" s="21" t="str">
        <f>IF($AL2402="","",$AL2402&amp;"|"&amp;COUNTIF($AL$11:$AL2402,$AL2402))</f>
        <v/>
      </c>
    </row>
    <row r="2403" spans="38:53" ht="15" customHeight="1" x14ac:dyDescent="0.25">
      <c r="AL2403" s="17"/>
      <c r="AM2403" s="12"/>
      <c r="AN2403" s="18"/>
      <c r="AO2403" s="18"/>
      <c r="AP2403" s="10"/>
      <c r="AQ2403" s="10"/>
      <c r="AR2403" s="19"/>
      <c r="AS2403" s="20"/>
      <c r="AT2403" s="19"/>
      <c r="AV2403" s="21">
        <f>IF(AND($AL2403&lt;&gt;"",COUNTIF($AL$11:$AL2403,$AL2403)=1),1,0)</f>
        <v>0</v>
      </c>
      <c r="AW2403" s="21">
        <f t="shared" si="161"/>
        <v>2</v>
      </c>
      <c r="AX2403" s="21" t="str">
        <f t="shared" si="160"/>
        <v/>
      </c>
      <c r="AY2403" s="21" t="str">
        <f>IF(AND($AM2403&lt;&gt;"",$AS2403&lt;&gt;"✓"),SUMPRODUCT(($AM$11:$AM2403&lt;&gt;"")*($AS$11:$AS2403&lt;&gt;"✓")),"")</f>
        <v/>
      </c>
      <c r="AZ2403" s="21" t="str">
        <f>IF(AND($AM2403&lt;&gt;"",$AS2403="✓"),SUMPRODUCT(($AM$11:$AM2403&lt;&gt;"")*($AS$11:$AS2403="✓")),"")</f>
        <v/>
      </c>
      <c r="BA2403" s="21" t="str">
        <f>IF($AL2403="","",$AL2403&amp;"|"&amp;COUNTIF($AL$11:$AL2403,$AL2403))</f>
        <v/>
      </c>
    </row>
    <row r="2404" spans="38:53" ht="15" customHeight="1" x14ac:dyDescent="0.25">
      <c r="AL2404" s="31"/>
      <c r="AM2404" s="26"/>
      <c r="AN2404" s="32"/>
      <c r="AO2404" s="32"/>
      <c r="AP2404" s="24"/>
      <c r="AQ2404" s="24"/>
      <c r="AR2404" s="33"/>
      <c r="AS2404" s="34"/>
      <c r="AT2404" s="33"/>
      <c r="AV2404" s="21">
        <f>IF(AND($AL2404&lt;&gt;"",COUNTIF($AL$11:$AL2404,$AL2404)=1),1,0)</f>
        <v>0</v>
      </c>
      <c r="AW2404" s="21">
        <f t="shared" si="161"/>
        <v>2</v>
      </c>
      <c r="AX2404" s="21" t="str">
        <f t="shared" si="160"/>
        <v/>
      </c>
      <c r="AY2404" s="21" t="str">
        <f>IF(AND($AM2404&lt;&gt;"",$AS2404&lt;&gt;"✓"),SUMPRODUCT(($AM$11:$AM2404&lt;&gt;"")*($AS$11:$AS2404&lt;&gt;"✓")),"")</f>
        <v/>
      </c>
      <c r="AZ2404" s="21" t="str">
        <f>IF(AND($AM2404&lt;&gt;"",$AS2404="✓"),SUMPRODUCT(($AM$11:$AM2404&lt;&gt;"")*($AS$11:$AS2404="✓")),"")</f>
        <v/>
      </c>
      <c r="BA2404" s="21" t="str">
        <f>IF($AL2404="","",$AL2404&amp;"|"&amp;COUNTIF($AL$11:$AL2404,$AL2404))</f>
        <v/>
      </c>
    </row>
    <row r="2405" spans="38:53" ht="15" customHeight="1" x14ac:dyDescent="0.25">
      <c r="AL2405" s="17"/>
      <c r="AM2405" s="12"/>
      <c r="AN2405" s="18"/>
      <c r="AO2405" s="18"/>
      <c r="AP2405" s="10"/>
      <c r="AQ2405" s="10"/>
      <c r="AR2405" s="19"/>
      <c r="AS2405" s="20"/>
      <c r="AT2405" s="19"/>
      <c r="AV2405" s="21">
        <f>IF(AND($AL2405&lt;&gt;"",COUNTIF($AL$11:$AL2405,$AL2405)=1),1,0)</f>
        <v>0</v>
      </c>
      <c r="AW2405" s="21">
        <f t="shared" si="161"/>
        <v>2</v>
      </c>
      <c r="AX2405" s="21" t="str">
        <f t="shared" si="160"/>
        <v/>
      </c>
      <c r="AY2405" s="21" t="str">
        <f>IF(AND($AM2405&lt;&gt;"",$AS2405&lt;&gt;"✓"),SUMPRODUCT(($AM$11:$AM2405&lt;&gt;"")*($AS$11:$AS2405&lt;&gt;"✓")),"")</f>
        <v/>
      </c>
      <c r="AZ2405" s="21" t="str">
        <f>IF(AND($AM2405&lt;&gt;"",$AS2405="✓"),SUMPRODUCT(($AM$11:$AM2405&lt;&gt;"")*($AS$11:$AS2405="✓")),"")</f>
        <v/>
      </c>
      <c r="BA2405" s="21" t="str">
        <f>IF($AL2405="","",$AL2405&amp;"|"&amp;COUNTIF($AL$11:$AL2405,$AL2405))</f>
        <v/>
      </c>
    </row>
    <row r="2406" spans="38:53" ht="15" customHeight="1" x14ac:dyDescent="0.25">
      <c r="AL2406" s="31"/>
      <c r="AM2406" s="26"/>
      <c r="AN2406" s="32"/>
      <c r="AO2406" s="32"/>
      <c r="AP2406" s="24"/>
      <c r="AQ2406" s="24"/>
      <c r="AR2406" s="33"/>
      <c r="AS2406" s="34"/>
      <c r="AT2406" s="33"/>
      <c r="AV2406" s="21">
        <f>IF(AND($AL2406&lt;&gt;"",COUNTIF($AL$11:$AL2406,$AL2406)=1),1,0)</f>
        <v>0</v>
      </c>
      <c r="AW2406" s="21">
        <f t="shared" si="161"/>
        <v>2</v>
      </c>
      <c r="AX2406" s="21" t="str">
        <f t="shared" si="160"/>
        <v/>
      </c>
      <c r="AY2406" s="21" t="str">
        <f>IF(AND($AM2406&lt;&gt;"",$AS2406&lt;&gt;"✓"),SUMPRODUCT(($AM$11:$AM2406&lt;&gt;"")*($AS$11:$AS2406&lt;&gt;"✓")),"")</f>
        <v/>
      </c>
      <c r="AZ2406" s="21" t="str">
        <f>IF(AND($AM2406&lt;&gt;"",$AS2406="✓"),SUMPRODUCT(($AM$11:$AM2406&lt;&gt;"")*($AS$11:$AS2406="✓")),"")</f>
        <v/>
      </c>
      <c r="BA2406" s="21" t="str">
        <f>IF($AL2406="","",$AL2406&amp;"|"&amp;COUNTIF($AL$11:$AL2406,$AL2406))</f>
        <v/>
      </c>
    </row>
    <row r="2407" spans="38:53" ht="15" customHeight="1" x14ac:dyDescent="0.25">
      <c r="AL2407" s="17"/>
      <c r="AM2407" s="12"/>
      <c r="AN2407" s="18"/>
      <c r="AO2407" s="18"/>
      <c r="AP2407" s="10"/>
      <c r="AQ2407" s="10"/>
      <c r="AR2407" s="19"/>
      <c r="AS2407" s="20"/>
      <c r="AT2407" s="19"/>
      <c r="AV2407" s="21">
        <f>IF(AND($AL2407&lt;&gt;"",COUNTIF($AL$11:$AL2407,$AL2407)=1),1,0)</f>
        <v>0</v>
      </c>
      <c r="AW2407" s="21">
        <f t="shared" si="161"/>
        <v>2</v>
      </c>
      <c r="AX2407" s="21" t="str">
        <f t="shared" si="160"/>
        <v/>
      </c>
      <c r="AY2407" s="21" t="str">
        <f>IF(AND($AM2407&lt;&gt;"",$AS2407&lt;&gt;"✓"),SUMPRODUCT(($AM$11:$AM2407&lt;&gt;"")*($AS$11:$AS2407&lt;&gt;"✓")),"")</f>
        <v/>
      </c>
      <c r="AZ2407" s="21" t="str">
        <f>IF(AND($AM2407&lt;&gt;"",$AS2407="✓"),SUMPRODUCT(($AM$11:$AM2407&lt;&gt;"")*($AS$11:$AS2407="✓")),"")</f>
        <v/>
      </c>
      <c r="BA2407" s="21" t="str">
        <f>IF($AL2407="","",$AL2407&amp;"|"&amp;COUNTIF($AL$11:$AL2407,$AL2407))</f>
        <v/>
      </c>
    </row>
    <row r="2408" spans="38:53" ht="15" customHeight="1" x14ac:dyDescent="0.25">
      <c r="AL2408" s="31"/>
      <c r="AM2408" s="26"/>
      <c r="AN2408" s="32"/>
      <c r="AO2408" s="32"/>
      <c r="AP2408" s="24"/>
      <c r="AQ2408" s="24"/>
      <c r="AR2408" s="33"/>
      <c r="AS2408" s="34"/>
      <c r="AT2408" s="33"/>
      <c r="AV2408" s="21">
        <f>IF(AND($AL2408&lt;&gt;"",COUNTIF($AL$11:$AL2408,$AL2408)=1),1,0)</f>
        <v>0</v>
      </c>
      <c r="AW2408" s="21">
        <f t="shared" si="161"/>
        <v>2</v>
      </c>
      <c r="AX2408" s="21" t="str">
        <f t="shared" si="160"/>
        <v/>
      </c>
      <c r="AY2408" s="21" t="str">
        <f>IF(AND($AM2408&lt;&gt;"",$AS2408&lt;&gt;"✓"),SUMPRODUCT(($AM$11:$AM2408&lt;&gt;"")*($AS$11:$AS2408&lt;&gt;"✓")),"")</f>
        <v/>
      </c>
      <c r="AZ2408" s="21" t="str">
        <f>IF(AND($AM2408&lt;&gt;"",$AS2408="✓"),SUMPRODUCT(($AM$11:$AM2408&lt;&gt;"")*($AS$11:$AS2408="✓")),"")</f>
        <v/>
      </c>
      <c r="BA2408" s="21" t="str">
        <f>IF($AL2408="","",$AL2408&amp;"|"&amp;COUNTIF($AL$11:$AL2408,$AL2408))</f>
        <v/>
      </c>
    </row>
    <row r="2409" spans="38:53" ht="15" customHeight="1" x14ac:dyDescent="0.25">
      <c r="AL2409" s="17"/>
      <c r="AM2409" s="12"/>
      <c r="AN2409" s="18"/>
      <c r="AO2409" s="18"/>
      <c r="AP2409" s="10"/>
      <c r="AQ2409" s="10"/>
      <c r="AR2409" s="19"/>
      <c r="AS2409" s="20"/>
      <c r="AT2409" s="19"/>
      <c r="AV2409" s="21">
        <f>IF(AND($AL2409&lt;&gt;"",COUNTIF($AL$11:$AL2409,$AL2409)=1),1,0)</f>
        <v>0</v>
      </c>
      <c r="AW2409" s="21">
        <f t="shared" si="161"/>
        <v>2</v>
      </c>
      <c r="AX2409" s="21" t="str">
        <f t="shared" si="160"/>
        <v/>
      </c>
      <c r="AY2409" s="21" t="str">
        <f>IF(AND($AM2409&lt;&gt;"",$AS2409&lt;&gt;"✓"),SUMPRODUCT(($AM$11:$AM2409&lt;&gt;"")*($AS$11:$AS2409&lt;&gt;"✓")),"")</f>
        <v/>
      </c>
      <c r="AZ2409" s="21" t="str">
        <f>IF(AND($AM2409&lt;&gt;"",$AS2409="✓"),SUMPRODUCT(($AM$11:$AM2409&lt;&gt;"")*($AS$11:$AS2409="✓")),"")</f>
        <v/>
      </c>
      <c r="BA2409" s="21" t="str">
        <f>IF($AL2409="","",$AL2409&amp;"|"&amp;COUNTIF($AL$11:$AL2409,$AL2409))</f>
        <v/>
      </c>
    </row>
    <row r="2410" spans="38:53" ht="15" customHeight="1" x14ac:dyDescent="0.25">
      <c r="AL2410" s="31"/>
      <c r="AM2410" s="26"/>
      <c r="AN2410" s="32"/>
      <c r="AO2410" s="32"/>
      <c r="AP2410" s="24"/>
      <c r="AQ2410" s="24"/>
      <c r="AR2410" s="33"/>
      <c r="AS2410" s="34"/>
      <c r="AT2410" s="33"/>
      <c r="AV2410" s="21">
        <f>IF(AND($AL2410&lt;&gt;"",COUNTIF($AL$11:$AL2410,$AL2410)=1),1,0)</f>
        <v>0</v>
      </c>
      <c r="AW2410" s="21">
        <f t="shared" si="161"/>
        <v>2</v>
      </c>
      <c r="AX2410" s="21" t="str">
        <f t="shared" si="160"/>
        <v/>
      </c>
      <c r="AY2410" s="21" t="str">
        <f>IF(AND($AM2410&lt;&gt;"",$AS2410&lt;&gt;"✓"),SUMPRODUCT(($AM$11:$AM2410&lt;&gt;"")*($AS$11:$AS2410&lt;&gt;"✓")),"")</f>
        <v/>
      </c>
      <c r="AZ2410" s="21" t="str">
        <f>IF(AND($AM2410&lt;&gt;"",$AS2410="✓"),SUMPRODUCT(($AM$11:$AM2410&lt;&gt;"")*($AS$11:$AS2410="✓")),"")</f>
        <v/>
      </c>
      <c r="BA2410" s="21" t="str">
        <f>IF($AL2410="","",$AL2410&amp;"|"&amp;COUNTIF($AL$11:$AL2410,$AL2410))</f>
        <v/>
      </c>
    </row>
    <row r="2411" spans="38:53" ht="15" customHeight="1" x14ac:dyDescent="0.25">
      <c r="AL2411" s="17"/>
      <c r="AM2411" s="12"/>
      <c r="AN2411" s="18"/>
      <c r="AO2411" s="18"/>
      <c r="AP2411" s="10"/>
      <c r="AQ2411" s="10"/>
      <c r="AR2411" s="19"/>
      <c r="AS2411" s="20"/>
      <c r="AT2411" s="19"/>
      <c r="AV2411" s="21">
        <f>IF(AND($AL2411&lt;&gt;"",COUNTIF($AL$11:$AL2411,$AL2411)=1),1,0)</f>
        <v>0</v>
      </c>
      <c r="AW2411" s="21">
        <f t="shared" si="161"/>
        <v>2</v>
      </c>
      <c r="AX2411" s="21" t="str">
        <f t="shared" si="160"/>
        <v/>
      </c>
      <c r="AY2411" s="21" t="str">
        <f>IF(AND($AM2411&lt;&gt;"",$AS2411&lt;&gt;"✓"),SUMPRODUCT(($AM$11:$AM2411&lt;&gt;"")*($AS$11:$AS2411&lt;&gt;"✓")),"")</f>
        <v/>
      </c>
      <c r="AZ2411" s="21" t="str">
        <f>IF(AND($AM2411&lt;&gt;"",$AS2411="✓"),SUMPRODUCT(($AM$11:$AM2411&lt;&gt;"")*($AS$11:$AS2411="✓")),"")</f>
        <v/>
      </c>
      <c r="BA2411" s="21" t="str">
        <f>IF($AL2411="","",$AL2411&amp;"|"&amp;COUNTIF($AL$11:$AL2411,$AL2411))</f>
        <v/>
      </c>
    </row>
    <row r="2412" spans="38:53" ht="15" customHeight="1" x14ac:dyDescent="0.25">
      <c r="AL2412" s="31"/>
      <c r="AM2412" s="26"/>
      <c r="AN2412" s="32"/>
      <c r="AO2412" s="32"/>
      <c r="AP2412" s="24"/>
      <c r="AQ2412" s="24"/>
      <c r="AR2412" s="33"/>
      <c r="AS2412" s="34"/>
      <c r="AT2412" s="33"/>
      <c r="AV2412" s="21">
        <f>IF(AND($AL2412&lt;&gt;"",COUNTIF($AL$11:$AL2412,$AL2412)=1),1,0)</f>
        <v>0</v>
      </c>
      <c r="AW2412" s="21">
        <f t="shared" si="161"/>
        <v>2</v>
      </c>
      <c r="AX2412" s="21" t="str">
        <f t="shared" si="160"/>
        <v/>
      </c>
      <c r="AY2412" s="21" t="str">
        <f>IF(AND($AM2412&lt;&gt;"",$AS2412&lt;&gt;"✓"),SUMPRODUCT(($AM$11:$AM2412&lt;&gt;"")*($AS$11:$AS2412&lt;&gt;"✓")),"")</f>
        <v/>
      </c>
      <c r="AZ2412" s="21" t="str">
        <f>IF(AND($AM2412&lt;&gt;"",$AS2412="✓"),SUMPRODUCT(($AM$11:$AM2412&lt;&gt;"")*($AS$11:$AS2412="✓")),"")</f>
        <v/>
      </c>
      <c r="BA2412" s="21" t="str">
        <f>IF($AL2412="","",$AL2412&amp;"|"&amp;COUNTIF($AL$11:$AL2412,$AL2412))</f>
        <v/>
      </c>
    </row>
    <row r="2413" spans="38:53" ht="15" customHeight="1" x14ac:dyDescent="0.25">
      <c r="AL2413" s="17"/>
      <c r="AM2413" s="12"/>
      <c r="AN2413" s="18"/>
      <c r="AO2413" s="18"/>
      <c r="AP2413" s="10"/>
      <c r="AQ2413" s="10"/>
      <c r="AR2413" s="19"/>
      <c r="AS2413" s="20"/>
      <c r="AT2413" s="19"/>
      <c r="AV2413" s="21">
        <f>IF(AND($AL2413&lt;&gt;"",COUNTIF($AL$11:$AL2413,$AL2413)=1),1,0)</f>
        <v>0</v>
      </c>
      <c r="AW2413" s="21">
        <f t="shared" si="161"/>
        <v>2</v>
      </c>
      <c r="AX2413" s="21" t="str">
        <f t="shared" si="160"/>
        <v/>
      </c>
      <c r="AY2413" s="21" t="str">
        <f>IF(AND($AM2413&lt;&gt;"",$AS2413&lt;&gt;"✓"),SUMPRODUCT(($AM$11:$AM2413&lt;&gt;"")*($AS$11:$AS2413&lt;&gt;"✓")),"")</f>
        <v/>
      </c>
      <c r="AZ2413" s="21" t="str">
        <f>IF(AND($AM2413&lt;&gt;"",$AS2413="✓"),SUMPRODUCT(($AM$11:$AM2413&lt;&gt;"")*($AS$11:$AS2413="✓")),"")</f>
        <v/>
      </c>
      <c r="BA2413" s="21" t="str">
        <f>IF($AL2413="","",$AL2413&amp;"|"&amp;COUNTIF($AL$11:$AL2413,$AL2413))</f>
        <v/>
      </c>
    </row>
    <row r="2414" spans="38:53" ht="15" customHeight="1" x14ac:dyDescent="0.25">
      <c r="AL2414" s="31"/>
      <c r="AM2414" s="26"/>
      <c r="AN2414" s="32"/>
      <c r="AO2414" s="32"/>
      <c r="AP2414" s="24"/>
      <c r="AQ2414" s="24"/>
      <c r="AR2414" s="33"/>
      <c r="AS2414" s="34"/>
      <c r="AT2414" s="33"/>
      <c r="AV2414" s="21">
        <f>IF(AND($AL2414&lt;&gt;"",COUNTIF($AL$11:$AL2414,$AL2414)=1),1,0)</f>
        <v>0</v>
      </c>
      <c r="AW2414" s="21">
        <f t="shared" si="161"/>
        <v>2</v>
      </c>
      <c r="AX2414" s="21" t="str">
        <f t="shared" si="160"/>
        <v/>
      </c>
      <c r="AY2414" s="21" t="str">
        <f>IF(AND($AM2414&lt;&gt;"",$AS2414&lt;&gt;"✓"),SUMPRODUCT(($AM$11:$AM2414&lt;&gt;"")*($AS$11:$AS2414&lt;&gt;"✓")),"")</f>
        <v/>
      </c>
      <c r="AZ2414" s="21" t="str">
        <f>IF(AND($AM2414&lt;&gt;"",$AS2414="✓"),SUMPRODUCT(($AM$11:$AM2414&lt;&gt;"")*($AS$11:$AS2414="✓")),"")</f>
        <v/>
      </c>
      <c r="BA2414" s="21" t="str">
        <f>IF($AL2414="","",$AL2414&amp;"|"&amp;COUNTIF($AL$11:$AL2414,$AL2414))</f>
        <v/>
      </c>
    </row>
    <row r="2415" spans="38:53" ht="15" customHeight="1" x14ac:dyDescent="0.25">
      <c r="AL2415" s="17"/>
      <c r="AM2415" s="12"/>
      <c r="AN2415" s="18"/>
      <c r="AO2415" s="18"/>
      <c r="AP2415" s="10"/>
      <c r="AQ2415" s="10"/>
      <c r="AR2415" s="19"/>
      <c r="AS2415" s="20"/>
      <c r="AT2415" s="19"/>
      <c r="AV2415" s="21">
        <f>IF(AND($AL2415&lt;&gt;"",COUNTIF($AL$11:$AL2415,$AL2415)=1),1,0)</f>
        <v>0</v>
      </c>
      <c r="AW2415" s="21">
        <f t="shared" si="161"/>
        <v>2</v>
      </c>
      <c r="AX2415" s="21" t="str">
        <f t="shared" si="160"/>
        <v/>
      </c>
      <c r="AY2415" s="21" t="str">
        <f>IF(AND($AM2415&lt;&gt;"",$AS2415&lt;&gt;"✓"),SUMPRODUCT(($AM$11:$AM2415&lt;&gt;"")*($AS$11:$AS2415&lt;&gt;"✓")),"")</f>
        <v/>
      </c>
      <c r="AZ2415" s="21" t="str">
        <f>IF(AND($AM2415&lt;&gt;"",$AS2415="✓"),SUMPRODUCT(($AM$11:$AM2415&lt;&gt;"")*($AS$11:$AS2415="✓")),"")</f>
        <v/>
      </c>
      <c r="BA2415" s="21" t="str">
        <f>IF($AL2415="","",$AL2415&amp;"|"&amp;COUNTIF($AL$11:$AL2415,$AL2415))</f>
        <v/>
      </c>
    </row>
    <row r="2416" spans="38:53" ht="15" customHeight="1" x14ac:dyDescent="0.25">
      <c r="AL2416" s="31"/>
      <c r="AM2416" s="26"/>
      <c r="AN2416" s="32"/>
      <c r="AO2416" s="32"/>
      <c r="AP2416" s="24"/>
      <c r="AQ2416" s="24"/>
      <c r="AR2416" s="33"/>
      <c r="AS2416" s="34"/>
      <c r="AT2416" s="33"/>
      <c r="AV2416" s="21">
        <f>IF(AND($AL2416&lt;&gt;"",COUNTIF($AL$11:$AL2416,$AL2416)=1),1,0)</f>
        <v>0</v>
      </c>
      <c r="AW2416" s="21">
        <f t="shared" si="161"/>
        <v>2</v>
      </c>
      <c r="AX2416" s="21" t="str">
        <f t="shared" si="160"/>
        <v/>
      </c>
      <c r="AY2416" s="21" t="str">
        <f>IF(AND($AM2416&lt;&gt;"",$AS2416&lt;&gt;"✓"),SUMPRODUCT(($AM$11:$AM2416&lt;&gt;"")*($AS$11:$AS2416&lt;&gt;"✓")),"")</f>
        <v/>
      </c>
      <c r="AZ2416" s="21" t="str">
        <f>IF(AND($AM2416&lt;&gt;"",$AS2416="✓"),SUMPRODUCT(($AM$11:$AM2416&lt;&gt;"")*($AS$11:$AS2416="✓")),"")</f>
        <v/>
      </c>
      <c r="BA2416" s="21" t="str">
        <f>IF($AL2416="","",$AL2416&amp;"|"&amp;COUNTIF($AL$11:$AL2416,$AL2416))</f>
        <v/>
      </c>
    </row>
    <row r="2417" spans="38:53" ht="15" customHeight="1" x14ac:dyDescent="0.25">
      <c r="AL2417" s="17"/>
      <c r="AM2417" s="12"/>
      <c r="AN2417" s="18"/>
      <c r="AO2417" s="18"/>
      <c r="AP2417" s="10"/>
      <c r="AQ2417" s="10"/>
      <c r="AR2417" s="19"/>
      <c r="AS2417" s="20"/>
      <c r="AT2417" s="19"/>
      <c r="AV2417" s="21">
        <f>IF(AND($AL2417&lt;&gt;"",COUNTIF($AL$11:$AL2417,$AL2417)=1),1,0)</f>
        <v>0</v>
      </c>
      <c r="AW2417" s="21">
        <f t="shared" si="161"/>
        <v>2</v>
      </c>
      <c r="AX2417" s="21" t="str">
        <f t="shared" si="160"/>
        <v/>
      </c>
      <c r="AY2417" s="21" t="str">
        <f>IF(AND($AM2417&lt;&gt;"",$AS2417&lt;&gt;"✓"),SUMPRODUCT(($AM$11:$AM2417&lt;&gt;"")*($AS$11:$AS2417&lt;&gt;"✓")),"")</f>
        <v/>
      </c>
      <c r="AZ2417" s="21" t="str">
        <f>IF(AND($AM2417&lt;&gt;"",$AS2417="✓"),SUMPRODUCT(($AM$11:$AM2417&lt;&gt;"")*($AS$11:$AS2417="✓")),"")</f>
        <v/>
      </c>
      <c r="BA2417" s="21" t="str">
        <f>IF($AL2417="","",$AL2417&amp;"|"&amp;COUNTIF($AL$11:$AL2417,$AL2417))</f>
        <v/>
      </c>
    </row>
    <row r="2418" spans="38:53" ht="15" customHeight="1" x14ac:dyDescent="0.25">
      <c r="AL2418" s="31"/>
      <c r="AM2418" s="26"/>
      <c r="AN2418" s="32"/>
      <c r="AO2418" s="32"/>
      <c r="AP2418" s="24"/>
      <c r="AQ2418" s="24"/>
      <c r="AR2418" s="33"/>
      <c r="AS2418" s="34"/>
      <c r="AT2418" s="33"/>
      <c r="AV2418" s="21">
        <f>IF(AND($AL2418&lt;&gt;"",COUNTIF($AL$11:$AL2418,$AL2418)=1),1,0)</f>
        <v>0</v>
      </c>
      <c r="AW2418" s="21">
        <f t="shared" si="161"/>
        <v>2</v>
      </c>
      <c r="AX2418" s="21" t="str">
        <f t="shared" si="160"/>
        <v/>
      </c>
      <c r="AY2418" s="21" t="str">
        <f>IF(AND($AM2418&lt;&gt;"",$AS2418&lt;&gt;"✓"),SUMPRODUCT(($AM$11:$AM2418&lt;&gt;"")*($AS$11:$AS2418&lt;&gt;"✓")),"")</f>
        <v/>
      </c>
      <c r="AZ2418" s="21" t="str">
        <f>IF(AND($AM2418&lt;&gt;"",$AS2418="✓"),SUMPRODUCT(($AM$11:$AM2418&lt;&gt;"")*($AS$11:$AS2418="✓")),"")</f>
        <v/>
      </c>
      <c r="BA2418" s="21" t="str">
        <f>IF($AL2418="","",$AL2418&amp;"|"&amp;COUNTIF($AL$11:$AL2418,$AL2418))</f>
        <v/>
      </c>
    </row>
    <row r="2419" spans="38:53" ht="15" customHeight="1" x14ac:dyDescent="0.25">
      <c r="AL2419" s="17"/>
      <c r="AM2419" s="12"/>
      <c r="AN2419" s="18"/>
      <c r="AO2419" s="18"/>
      <c r="AP2419" s="10"/>
      <c r="AQ2419" s="10"/>
      <c r="AR2419" s="19"/>
      <c r="AS2419" s="20"/>
      <c r="AT2419" s="19"/>
      <c r="AV2419" s="21">
        <f>IF(AND($AL2419&lt;&gt;"",COUNTIF($AL$11:$AL2419,$AL2419)=1),1,0)</f>
        <v>0</v>
      </c>
      <c r="AW2419" s="21">
        <f t="shared" si="161"/>
        <v>2</v>
      </c>
      <c r="AX2419" s="21" t="str">
        <f t="shared" si="160"/>
        <v/>
      </c>
      <c r="AY2419" s="21" t="str">
        <f>IF(AND($AM2419&lt;&gt;"",$AS2419&lt;&gt;"✓"),SUMPRODUCT(($AM$11:$AM2419&lt;&gt;"")*($AS$11:$AS2419&lt;&gt;"✓")),"")</f>
        <v/>
      </c>
      <c r="AZ2419" s="21" t="str">
        <f>IF(AND($AM2419&lt;&gt;"",$AS2419="✓"),SUMPRODUCT(($AM$11:$AM2419&lt;&gt;"")*($AS$11:$AS2419="✓")),"")</f>
        <v/>
      </c>
      <c r="BA2419" s="21" t="str">
        <f>IF($AL2419="","",$AL2419&amp;"|"&amp;COUNTIF($AL$11:$AL2419,$AL2419))</f>
        <v/>
      </c>
    </row>
    <row r="2420" spans="38:53" ht="15" customHeight="1" x14ac:dyDescent="0.25">
      <c r="AL2420" s="31"/>
      <c r="AM2420" s="26"/>
      <c r="AN2420" s="32"/>
      <c r="AO2420" s="32"/>
      <c r="AP2420" s="24"/>
      <c r="AQ2420" s="24"/>
      <c r="AR2420" s="33"/>
      <c r="AS2420" s="34"/>
      <c r="AT2420" s="33"/>
      <c r="AV2420" s="21">
        <f>IF(AND($AL2420&lt;&gt;"",COUNTIF($AL$11:$AL2420,$AL2420)=1),1,0)</f>
        <v>0</v>
      </c>
      <c r="AW2420" s="21">
        <f t="shared" si="161"/>
        <v>2</v>
      </c>
      <c r="AX2420" s="21" t="str">
        <f t="shared" si="160"/>
        <v/>
      </c>
      <c r="AY2420" s="21" t="str">
        <f>IF(AND($AM2420&lt;&gt;"",$AS2420&lt;&gt;"✓"),SUMPRODUCT(($AM$11:$AM2420&lt;&gt;"")*($AS$11:$AS2420&lt;&gt;"✓")),"")</f>
        <v/>
      </c>
      <c r="AZ2420" s="21" t="str">
        <f>IF(AND($AM2420&lt;&gt;"",$AS2420="✓"),SUMPRODUCT(($AM$11:$AM2420&lt;&gt;"")*($AS$11:$AS2420="✓")),"")</f>
        <v/>
      </c>
      <c r="BA2420" s="21" t="str">
        <f>IF($AL2420="","",$AL2420&amp;"|"&amp;COUNTIF($AL$11:$AL2420,$AL2420))</f>
        <v/>
      </c>
    </row>
    <row r="2421" spans="38:53" ht="15" customHeight="1" x14ac:dyDescent="0.25">
      <c r="AL2421" s="17"/>
      <c r="AM2421" s="12"/>
      <c r="AN2421" s="18"/>
      <c r="AO2421" s="18"/>
      <c r="AP2421" s="10"/>
      <c r="AQ2421" s="10"/>
      <c r="AR2421" s="19"/>
      <c r="AS2421" s="20"/>
      <c r="AT2421" s="19"/>
      <c r="AV2421" s="21">
        <f>IF(AND($AL2421&lt;&gt;"",COUNTIF($AL$11:$AL2421,$AL2421)=1),1,0)</f>
        <v>0</v>
      </c>
      <c r="AW2421" s="21">
        <f t="shared" si="161"/>
        <v>2</v>
      </c>
      <c r="AX2421" s="21" t="str">
        <f t="shared" si="160"/>
        <v/>
      </c>
      <c r="AY2421" s="21" t="str">
        <f>IF(AND($AM2421&lt;&gt;"",$AS2421&lt;&gt;"✓"),SUMPRODUCT(($AM$11:$AM2421&lt;&gt;"")*($AS$11:$AS2421&lt;&gt;"✓")),"")</f>
        <v/>
      </c>
      <c r="AZ2421" s="21" t="str">
        <f>IF(AND($AM2421&lt;&gt;"",$AS2421="✓"),SUMPRODUCT(($AM$11:$AM2421&lt;&gt;"")*($AS$11:$AS2421="✓")),"")</f>
        <v/>
      </c>
      <c r="BA2421" s="21" t="str">
        <f>IF($AL2421="","",$AL2421&amp;"|"&amp;COUNTIF($AL$11:$AL2421,$AL2421))</f>
        <v/>
      </c>
    </row>
    <row r="2422" spans="38:53" ht="15" customHeight="1" x14ac:dyDescent="0.25">
      <c r="AL2422" s="31"/>
      <c r="AM2422" s="26"/>
      <c r="AN2422" s="32"/>
      <c r="AO2422" s="32"/>
      <c r="AP2422" s="24"/>
      <c r="AQ2422" s="24"/>
      <c r="AR2422" s="33"/>
      <c r="AS2422" s="34"/>
      <c r="AT2422" s="33"/>
      <c r="AV2422" s="21">
        <f>IF(AND($AL2422&lt;&gt;"",COUNTIF($AL$11:$AL2422,$AL2422)=1),1,0)</f>
        <v>0</v>
      </c>
      <c r="AW2422" s="21">
        <f t="shared" si="161"/>
        <v>2</v>
      </c>
      <c r="AX2422" s="21" t="str">
        <f t="shared" si="160"/>
        <v/>
      </c>
      <c r="AY2422" s="21" t="str">
        <f>IF(AND($AM2422&lt;&gt;"",$AS2422&lt;&gt;"✓"),SUMPRODUCT(($AM$11:$AM2422&lt;&gt;"")*($AS$11:$AS2422&lt;&gt;"✓")),"")</f>
        <v/>
      </c>
      <c r="AZ2422" s="21" t="str">
        <f>IF(AND($AM2422&lt;&gt;"",$AS2422="✓"),SUMPRODUCT(($AM$11:$AM2422&lt;&gt;"")*($AS$11:$AS2422="✓")),"")</f>
        <v/>
      </c>
      <c r="BA2422" s="21" t="str">
        <f>IF($AL2422="","",$AL2422&amp;"|"&amp;COUNTIF($AL$11:$AL2422,$AL2422))</f>
        <v/>
      </c>
    </row>
    <row r="2423" spans="38:53" ht="15" customHeight="1" x14ac:dyDescent="0.25">
      <c r="AL2423" s="17"/>
      <c r="AM2423" s="12"/>
      <c r="AN2423" s="18"/>
      <c r="AO2423" s="18"/>
      <c r="AP2423" s="10"/>
      <c r="AQ2423" s="10"/>
      <c r="AR2423" s="19"/>
      <c r="AS2423" s="20"/>
      <c r="AT2423" s="19"/>
      <c r="AV2423" s="21">
        <f>IF(AND($AL2423&lt;&gt;"",COUNTIF($AL$11:$AL2423,$AL2423)=1),1,0)</f>
        <v>0</v>
      </c>
      <c r="AW2423" s="21">
        <f t="shared" si="161"/>
        <v>2</v>
      </c>
      <c r="AX2423" s="21" t="str">
        <f t="shared" si="160"/>
        <v/>
      </c>
      <c r="AY2423" s="21" t="str">
        <f>IF(AND($AM2423&lt;&gt;"",$AS2423&lt;&gt;"✓"),SUMPRODUCT(($AM$11:$AM2423&lt;&gt;"")*($AS$11:$AS2423&lt;&gt;"✓")),"")</f>
        <v/>
      </c>
      <c r="AZ2423" s="21" t="str">
        <f>IF(AND($AM2423&lt;&gt;"",$AS2423="✓"),SUMPRODUCT(($AM$11:$AM2423&lt;&gt;"")*($AS$11:$AS2423="✓")),"")</f>
        <v/>
      </c>
      <c r="BA2423" s="21" t="str">
        <f>IF($AL2423="","",$AL2423&amp;"|"&amp;COUNTIF($AL$11:$AL2423,$AL2423))</f>
        <v/>
      </c>
    </row>
    <row r="2424" spans="38:53" ht="15" customHeight="1" x14ac:dyDescent="0.25">
      <c r="AL2424" s="31"/>
      <c r="AM2424" s="26"/>
      <c r="AN2424" s="32"/>
      <c r="AO2424" s="32"/>
      <c r="AP2424" s="24"/>
      <c r="AQ2424" s="24"/>
      <c r="AR2424" s="33"/>
      <c r="AS2424" s="34"/>
      <c r="AT2424" s="33"/>
      <c r="AV2424" s="21">
        <f>IF(AND($AL2424&lt;&gt;"",COUNTIF($AL$11:$AL2424,$AL2424)=1),1,0)</f>
        <v>0</v>
      </c>
      <c r="AW2424" s="21">
        <f t="shared" si="161"/>
        <v>2</v>
      </c>
      <c r="AX2424" s="21" t="str">
        <f t="shared" si="160"/>
        <v/>
      </c>
      <c r="AY2424" s="21" t="str">
        <f>IF(AND($AM2424&lt;&gt;"",$AS2424&lt;&gt;"✓"),SUMPRODUCT(($AM$11:$AM2424&lt;&gt;"")*($AS$11:$AS2424&lt;&gt;"✓")),"")</f>
        <v/>
      </c>
      <c r="AZ2424" s="21" t="str">
        <f>IF(AND($AM2424&lt;&gt;"",$AS2424="✓"),SUMPRODUCT(($AM$11:$AM2424&lt;&gt;"")*($AS$11:$AS2424="✓")),"")</f>
        <v/>
      </c>
      <c r="BA2424" s="21" t="str">
        <f>IF($AL2424="","",$AL2424&amp;"|"&amp;COUNTIF($AL$11:$AL2424,$AL2424))</f>
        <v/>
      </c>
    </row>
    <row r="2425" spans="38:53" ht="15" customHeight="1" x14ac:dyDescent="0.25">
      <c r="AL2425" s="17"/>
      <c r="AM2425" s="12"/>
      <c r="AN2425" s="18"/>
      <c r="AO2425" s="18"/>
      <c r="AP2425" s="10"/>
      <c r="AQ2425" s="10"/>
      <c r="AR2425" s="19"/>
      <c r="AS2425" s="20"/>
      <c r="AT2425" s="19"/>
      <c r="AV2425" s="21">
        <f>IF(AND($AL2425&lt;&gt;"",COUNTIF($AL$11:$AL2425,$AL2425)=1),1,0)</f>
        <v>0</v>
      </c>
      <c r="AW2425" s="21">
        <f t="shared" si="161"/>
        <v>2</v>
      </c>
      <c r="AX2425" s="21" t="str">
        <f t="shared" si="160"/>
        <v/>
      </c>
      <c r="AY2425" s="21" t="str">
        <f>IF(AND($AM2425&lt;&gt;"",$AS2425&lt;&gt;"✓"),SUMPRODUCT(($AM$11:$AM2425&lt;&gt;"")*($AS$11:$AS2425&lt;&gt;"✓")),"")</f>
        <v/>
      </c>
      <c r="AZ2425" s="21" t="str">
        <f>IF(AND($AM2425&lt;&gt;"",$AS2425="✓"),SUMPRODUCT(($AM$11:$AM2425&lt;&gt;"")*($AS$11:$AS2425="✓")),"")</f>
        <v/>
      </c>
      <c r="BA2425" s="21" t="str">
        <f>IF($AL2425="","",$AL2425&amp;"|"&amp;COUNTIF($AL$11:$AL2425,$AL2425))</f>
        <v/>
      </c>
    </row>
    <row r="2426" spans="38:53" ht="15" customHeight="1" x14ac:dyDescent="0.25">
      <c r="AL2426" s="31"/>
      <c r="AM2426" s="26"/>
      <c r="AN2426" s="32"/>
      <c r="AO2426" s="32"/>
      <c r="AP2426" s="24"/>
      <c r="AQ2426" s="24"/>
      <c r="AR2426" s="33"/>
      <c r="AS2426" s="34"/>
      <c r="AT2426" s="33"/>
      <c r="AV2426" s="21">
        <f>IF(AND($AL2426&lt;&gt;"",COUNTIF($AL$11:$AL2426,$AL2426)=1),1,0)</f>
        <v>0</v>
      </c>
      <c r="AW2426" s="21">
        <f t="shared" si="161"/>
        <v>2</v>
      </c>
      <c r="AX2426" s="21" t="str">
        <f t="shared" si="160"/>
        <v/>
      </c>
      <c r="AY2426" s="21" t="str">
        <f>IF(AND($AM2426&lt;&gt;"",$AS2426&lt;&gt;"✓"),SUMPRODUCT(($AM$11:$AM2426&lt;&gt;"")*($AS$11:$AS2426&lt;&gt;"✓")),"")</f>
        <v/>
      </c>
      <c r="AZ2426" s="21" t="str">
        <f>IF(AND($AM2426&lt;&gt;"",$AS2426="✓"),SUMPRODUCT(($AM$11:$AM2426&lt;&gt;"")*($AS$11:$AS2426="✓")),"")</f>
        <v/>
      </c>
      <c r="BA2426" s="21" t="str">
        <f>IF($AL2426="","",$AL2426&amp;"|"&amp;COUNTIF($AL$11:$AL2426,$AL2426))</f>
        <v/>
      </c>
    </row>
    <row r="2427" spans="38:53" ht="15" customHeight="1" x14ac:dyDescent="0.25">
      <c r="AL2427" s="17"/>
      <c r="AM2427" s="12"/>
      <c r="AN2427" s="18"/>
      <c r="AO2427" s="18"/>
      <c r="AP2427" s="10"/>
      <c r="AQ2427" s="10"/>
      <c r="AR2427" s="19"/>
      <c r="AS2427" s="20"/>
      <c r="AT2427" s="19"/>
      <c r="AV2427" s="21">
        <f>IF(AND($AL2427&lt;&gt;"",COUNTIF($AL$11:$AL2427,$AL2427)=1),1,0)</f>
        <v>0</v>
      </c>
      <c r="AW2427" s="21">
        <f t="shared" si="161"/>
        <v>2</v>
      </c>
      <c r="AX2427" s="21" t="str">
        <f t="shared" si="160"/>
        <v/>
      </c>
      <c r="AY2427" s="21" t="str">
        <f>IF(AND($AM2427&lt;&gt;"",$AS2427&lt;&gt;"✓"),SUMPRODUCT(($AM$11:$AM2427&lt;&gt;"")*($AS$11:$AS2427&lt;&gt;"✓")),"")</f>
        <v/>
      </c>
      <c r="AZ2427" s="21" t="str">
        <f>IF(AND($AM2427&lt;&gt;"",$AS2427="✓"),SUMPRODUCT(($AM$11:$AM2427&lt;&gt;"")*($AS$11:$AS2427="✓")),"")</f>
        <v/>
      </c>
      <c r="BA2427" s="21" t="str">
        <f>IF($AL2427="","",$AL2427&amp;"|"&amp;COUNTIF($AL$11:$AL2427,$AL2427))</f>
        <v/>
      </c>
    </row>
    <row r="2428" spans="38:53" ht="15" customHeight="1" x14ac:dyDescent="0.25">
      <c r="AL2428" s="31"/>
      <c r="AM2428" s="26"/>
      <c r="AN2428" s="32"/>
      <c r="AO2428" s="32"/>
      <c r="AP2428" s="24"/>
      <c r="AQ2428" s="24"/>
      <c r="AR2428" s="33"/>
      <c r="AS2428" s="34"/>
      <c r="AT2428" s="33"/>
      <c r="AV2428" s="21">
        <f>IF(AND($AL2428&lt;&gt;"",COUNTIF($AL$11:$AL2428,$AL2428)=1),1,0)</f>
        <v>0</v>
      </c>
      <c r="AW2428" s="21">
        <f t="shared" si="161"/>
        <v>2</v>
      </c>
      <c r="AX2428" s="21" t="str">
        <f t="shared" si="160"/>
        <v/>
      </c>
      <c r="AY2428" s="21" t="str">
        <f>IF(AND($AM2428&lt;&gt;"",$AS2428&lt;&gt;"✓"),SUMPRODUCT(($AM$11:$AM2428&lt;&gt;"")*($AS$11:$AS2428&lt;&gt;"✓")),"")</f>
        <v/>
      </c>
      <c r="AZ2428" s="21" t="str">
        <f>IF(AND($AM2428&lt;&gt;"",$AS2428="✓"),SUMPRODUCT(($AM$11:$AM2428&lt;&gt;"")*($AS$11:$AS2428="✓")),"")</f>
        <v/>
      </c>
      <c r="BA2428" s="21" t="str">
        <f>IF($AL2428="","",$AL2428&amp;"|"&amp;COUNTIF($AL$11:$AL2428,$AL2428))</f>
        <v/>
      </c>
    </row>
    <row r="2429" spans="38:53" ht="15" customHeight="1" x14ac:dyDescent="0.25">
      <c r="AL2429" s="17"/>
      <c r="AM2429" s="12"/>
      <c r="AN2429" s="18"/>
      <c r="AO2429" s="18"/>
      <c r="AP2429" s="10"/>
      <c r="AQ2429" s="10"/>
      <c r="AR2429" s="19"/>
      <c r="AS2429" s="20"/>
      <c r="AT2429" s="19"/>
      <c r="AV2429" s="21">
        <f>IF(AND($AL2429&lt;&gt;"",COUNTIF($AL$11:$AL2429,$AL2429)=1),1,0)</f>
        <v>0</v>
      </c>
      <c r="AW2429" s="21">
        <f t="shared" si="161"/>
        <v>2</v>
      </c>
      <c r="AX2429" s="21" t="str">
        <f t="shared" si="160"/>
        <v/>
      </c>
      <c r="AY2429" s="21" t="str">
        <f>IF(AND($AM2429&lt;&gt;"",$AS2429&lt;&gt;"✓"),SUMPRODUCT(($AM$11:$AM2429&lt;&gt;"")*($AS$11:$AS2429&lt;&gt;"✓")),"")</f>
        <v/>
      </c>
      <c r="AZ2429" s="21" t="str">
        <f>IF(AND($AM2429&lt;&gt;"",$AS2429="✓"),SUMPRODUCT(($AM$11:$AM2429&lt;&gt;"")*($AS$11:$AS2429="✓")),"")</f>
        <v/>
      </c>
      <c r="BA2429" s="21" t="str">
        <f>IF($AL2429="","",$AL2429&amp;"|"&amp;COUNTIF($AL$11:$AL2429,$AL2429))</f>
        <v/>
      </c>
    </row>
    <row r="2430" spans="38:53" ht="15" customHeight="1" x14ac:dyDescent="0.25">
      <c r="AL2430" s="31"/>
      <c r="AM2430" s="26"/>
      <c r="AN2430" s="32"/>
      <c r="AO2430" s="32"/>
      <c r="AP2430" s="24"/>
      <c r="AQ2430" s="24"/>
      <c r="AR2430" s="33"/>
      <c r="AS2430" s="34"/>
      <c r="AT2430" s="33"/>
      <c r="AV2430" s="21">
        <f>IF(AND($AL2430&lt;&gt;"",COUNTIF($AL$11:$AL2430,$AL2430)=1),1,0)</f>
        <v>0</v>
      </c>
      <c r="AW2430" s="21">
        <f t="shared" si="161"/>
        <v>2</v>
      </c>
      <c r="AX2430" s="21" t="str">
        <f t="shared" si="160"/>
        <v/>
      </c>
      <c r="AY2430" s="21" t="str">
        <f>IF(AND($AM2430&lt;&gt;"",$AS2430&lt;&gt;"✓"),SUMPRODUCT(($AM$11:$AM2430&lt;&gt;"")*($AS$11:$AS2430&lt;&gt;"✓")),"")</f>
        <v/>
      </c>
      <c r="AZ2430" s="21" t="str">
        <f>IF(AND($AM2430&lt;&gt;"",$AS2430="✓"),SUMPRODUCT(($AM$11:$AM2430&lt;&gt;"")*($AS$11:$AS2430="✓")),"")</f>
        <v/>
      </c>
      <c r="BA2430" s="21" t="str">
        <f>IF($AL2430="","",$AL2430&amp;"|"&amp;COUNTIF($AL$11:$AL2430,$AL2430))</f>
        <v/>
      </c>
    </row>
    <row r="2431" spans="38:53" ht="15" customHeight="1" x14ac:dyDescent="0.25">
      <c r="AL2431" s="17"/>
      <c r="AM2431" s="12"/>
      <c r="AN2431" s="18"/>
      <c r="AO2431" s="18"/>
      <c r="AP2431" s="10"/>
      <c r="AQ2431" s="10"/>
      <c r="AR2431" s="19"/>
      <c r="AS2431" s="20"/>
      <c r="AT2431" s="19"/>
      <c r="AV2431" s="21">
        <f>IF(AND($AL2431&lt;&gt;"",COUNTIF($AL$11:$AL2431,$AL2431)=1),1,0)</f>
        <v>0</v>
      </c>
      <c r="AW2431" s="21">
        <f t="shared" si="161"/>
        <v>2</v>
      </c>
      <c r="AX2431" s="21" t="str">
        <f t="shared" si="160"/>
        <v/>
      </c>
      <c r="AY2431" s="21" t="str">
        <f>IF(AND($AM2431&lt;&gt;"",$AS2431&lt;&gt;"✓"),SUMPRODUCT(($AM$11:$AM2431&lt;&gt;"")*($AS$11:$AS2431&lt;&gt;"✓")),"")</f>
        <v/>
      </c>
      <c r="AZ2431" s="21" t="str">
        <f>IF(AND($AM2431&lt;&gt;"",$AS2431="✓"),SUMPRODUCT(($AM$11:$AM2431&lt;&gt;"")*($AS$11:$AS2431="✓")),"")</f>
        <v/>
      </c>
      <c r="BA2431" s="21" t="str">
        <f>IF($AL2431="","",$AL2431&amp;"|"&amp;COUNTIF($AL$11:$AL2431,$AL2431))</f>
        <v/>
      </c>
    </row>
    <row r="2432" spans="38:53" ht="15" customHeight="1" x14ac:dyDescent="0.25">
      <c r="AL2432" s="31"/>
      <c r="AM2432" s="26"/>
      <c r="AN2432" s="32"/>
      <c r="AO2432" s="32"/>
      <c r="AP2432" s="24"/>
      <c r="AQ2432" s="24"/>
      <c r="AR2432" s="33"/>
      <c r="AS2432" s="34"/>
      <c r="AT2432" s="33"/>
      <c r="AV2432" s="21">
        <f>IF(AND($AL2432&lt;&gt;"",COUNTIF($AL$11:$AL2432,$AL2432)=1),1,0)</f>
        <v>0</v>
      </c>
      <c r="AW2432" s="21">
        <f t="shared" si="161"/>
        <v>2</v>
      </c>
      <c r="AX2432" s="21" t="str">
        <f t="shared" si="160"/>
        <v/>
      </c>
      <c r="AY2432" s="21" t="str">
        <f>IF(AND($AM2432&lt;&gt;"",$AS2432&lt;&gt;"✓"),SUMPRODUCT(($AM$11:$AM2432&lt;&gt;"")*($AS$11:$AS2432&lt;&gt;"✓")),"")</f>
        <v/>
      </c>
      <c r="AZ2432" s="21" t="str">
        <f>IF(AND($AM2432&lt;&gt;"",$AS2432="✓"),SUMPRODUCT(($AM$11:$AM2432&lt;&gt;"")*($AS$11:$AS2432="✓")),"")</f>
        <v/>
      </c>
      <c r="BA2432" s="21" t="str">
        <f>IF($AL2432="","",$AL2432&amp;"|"&amp;COUNTIF($AL$11:$AL2432,$AL2432))</f>
        <v/>
      </c>
    </row>
    <row r="2433" spans="38:53" ht="15" customHeight="1" x14ac:dyDescent="0.25">
      <c r="AL2433" s="17"/>
      <c r="AM2433" s="12"/>
      <c r="AN2433" s="18"/>
      <c r="AO2433" s="18"/>
      <c r="AP2433" s="10"/>
      <c r="AQ2433" s="10"/>
      <c r="AR2433" s="19"/>
      <c r="AS2433" s="20"/>
      <c r="AT2433" s="19"/>
      <c r="AV2433" s="21">
        <f>IF(AND($AL2433&lt;&gt;"",COUNTIF($AL$11:$AL2433,$AL2433)=1),1,0)</f>
        <v>0</v>
      </c>
      <c r="AW2433" s="21">
        <f t="shared" si="161"/>
        <v>2</v>
      </c>
      <c r="AX2433" s="21" t="str">
        <f t="shared" si="160"/>
        <v/>
      </c>
      <c r="AY2433" s="21" t="str">
        <f>IF(AND($AM2433&lt;&gt;"",$AS2433&lt;&gt;"✓"),SUMPRODUCT(($AM$11:$AM2433&lt;&gt;"")*($AS$11:$AS2433&lt;&gt;"✓")),"")</f>
        <v/>
      </c>
      <c r="AZ2433" s="21" t="str">
        <f>IF(AND($AM2433&lt;&gt;"",$AS2433="✓"),SUMPRODUCT(($AM$11:$AM2433&lt;&gt;"")*($AS$11:$AS2433="✓")),"")</f>
        <v/>
      </c>
      <c r="BA2433" s="21" t="str">
        <f>IF($AL2433="","",$AL2433&amp;"|"&amp;COUNTIF($AL$11:$AL2433,$AL2433))</f>
        <v/>
      </c>
    </row>
    <row r="2434" spans="38:53" ht="15" customHeight="1" x14ac:dyDescent="0.25">
      <c r="AL2434" s="31"/>
      <c r="AM2434" s="26"/>
      <c r="AN2434" s="32"/>
      <c r="AO2434" s="32"/>
      <c r="AP2434" s="24"/>
      <c r="AQ2434" s="24"/>
      <c r="AR2434" s="33"/>
      <c r="AS2434" s="34"/>
      <c r="AT2434" s="33"/>
      <c r="AV2434" s="21">
        <f>IF(AND($AL2434&lt;&gt;"",COUNTIF($AL$11:$AL2434,$AL2434)=1),1,0)</f>
        <v>0</v>
      </c>
      <c r="AW2434" s="21">
        <f t="shared" si="161"/>
        <v>2</v>
      </c>
      <c r="AX2434" s="21" t="str">
        <f t="shared" si="160"/>
        <v/>
      </c>
      <c r="AY2434" s="21" t="str">
        <f>IF(AND($AM2434&lt;&gt;"",$AS2434&lt;&gt;"✓"),SUMPRODUCT(($AM$11:$AM2434&lt;&gt;"")*($AS$11:$AS2434&lt;&gt;"✓")),"")</f>
        <v/>
      </c>
      <c r="AZ2434" s="21" t="str">
        <f>IF(AND($AM2434&lt;&gt;"",$AS2434="✓"),SUMPRODUCT(($AM$11:$AM2434&lt;&gt;"")*($AS$11:$AS2434="✓")),"")</f>
        <v/>
      </c>
      <c r="BA2434" s="21" t="str">
        <f>IF($AL2434="","",$AL2434&amp;"|"&amp;COUNTIF($AL$11:$AL2434,$AL2434))</f>
        <v/>
      </c>
    </row>
    <row r="2435" spans="38:53" ht="15" customHeight="1" x14ac:dyDescent="0.25">
      <c r="AL2435" s="17"/>
      <c r="AM2435" s="12"/>
      <c r="AN2435" s="18"/>
      <c r="AO2435" s="18"/>
      <c r="AP2435" s="10"/>
      <c r="AQ2435" s="10"/>
      <c r="AR2435" s="19"/>
      <c r="AS2435" s="20"/>
      <c r="AT2435" s="19"/>
      <c r="AV2435" s="21">
        <f>IF(AND($AL2435&lt;&gt;"",COUNTIF($AL$11:$AL2435,$AL2435)=1),1,0)</f>
        <v>0</v>
      </c>
      <c r="AW2435" s="21">
        <f t="shared" si="161"/>
        <v>2</v>
      </c>
      <c r="AX2435" s="21" t="str">
        <f t="shared" si="160"/>
        <v/>
      </c>
      <c r="AY2435" s="21" t="str">
        <f>IF(AND($AM2435&lt;&gt;"",$AS2435&lt;&gt;"✓"),SUMPRODUCT(($AM$11:$AM2435&lt;&gt;"")*($AS$11:$AS2435&lt;&gt;"✓")),"")</f>
        <v/>
      </c>
      <c r="AZ2435" s="21" t="str">
        <f>IF(AND($AM2435&lt;&gt;"",$AS2435="✓"),SUMPRODUCT(($AM$11:$AM2435&lt;&gt;"")*($AS$11:$AS2435="✓")),"")</f>
        <v/>
      </c>
      <c r="BA2435" s="21" t="str">
        <f>IF($AL2435="","",$AL2435&amp;"|"&amp;COUNTIF($AL$11:$AL2435,$AL2435))</f>
        <v/>
      </c>
    </row>
    <row r="2436" spans="38:53" ht="15" customHeight="1" x14ac:dyDescent="0.25">
      <c r="AL2436" s="31"/>
      <c r="AM2436" s="26"/>
      <c r="AN2436" s="32"/>
      <c r="AO2436" s="32"/>
      <c r="AP2436" s="24"/>
      <c r="AQ2436" s="24"/>
      <c r="AR2436" s="33"/>
      <c r="AS2436" s="34"/>
      <c r="AT2436" s="33"/>
      <c r="AV2436" s="21">
        <f>IF(AND($AL2436&lt;&gt;"",COUNTIF($AL$11:$AL2436,$AL2436)=1),1,0)</f>
        <v>0</v>
      </c>
      <c r="AW2436" s="21">
        <f t="shared" si="161"/>
        <v>2</v>
      </c>
      <c r="AX2436" s="21" t="str">
        <f t="shared" si="160"/>
        <v/>
      </c>
      <c r="AY2436" s="21" t="str">
        <f>IF(AND($AM2436&lt;&gt;"",$AS2436&lt;&gt;"✓"),SUMPRODUCT(($AM$11:$AM2436&lt;&gt;"")*($AS$11:$AS2436&lt;&gt;"✓")),"")</f>
        <v/>
      </c>
      <c r="AZ2436" s="21" t="str">
        <f>IF(AND($AM2436&lt;&gt;"",$AS2436="✓"),SUMPRODUCT(($AM$11:$AM2436&lt;&gt;"")*($AS$11:$AS2436="✓")),"")</f>
        <v/>
      </c>
      <c r="BA2436" s="21" t="str">
        <f>IF($AL2436="","",$AL2436&amp;"|"&amp;COUNTIF($AL$11:$AL2436,$AL2436))</f>
        <v/>
      </c>
    </row>
    <row r="2437" spans="38:53" ht="15" customHeight="1" x14ac:dyDescent="0.25">
      <c r="AL2437" s="17"/>
      <c r="AM2437" s="12"/>
      <c r="AN2437" s="18"/>
      <c r="AO2437" s="18"/>
      <c r="AP2437" s="10"/>
      <c r="AQ2437" s="10"/>
      <c r="AR2437" s="19"/>
      <c r="AS2437" s="20"/>
      <c r="AT2437" s="19"/>
      <c r="AV2437" s="21">
        <f>IF(AND($AL2437&lt;&gt;"",COUNTIF($AL$11:$AL2437,$AL2437)=1),1,0)</f>
        <v>0</v>
      </c>
      <c r="AW2437" s="21">
        <f t="shared" si="161"/>
        <v>2</v>
      </c>
      <c r="AX2437" s="21" t="str">
        <f t="shared" si="160"/>
        <v/>
      </c>
      <c r="AY2437" s="21" t="str">
        <f>IF(AND($AM2437&lt;&gt;"",$AS2437&lt;&gt;"✓"),SUMPRODUCT(($AM$11:$AM2437&lt;&gt;"")*($AS$11:$AS2437&lt;&gt;"✓")),"")</f>
        <v/>
      </c>
      <c r="AZ2437" s="21" t="str">
        <f>IF(AND($AM2437&lt;&gt;"",$AS2437="✓"),SUMPRODUCT(($AM$11:$AM2437&lt;&gt;"")*($AS$11:$AS2437="✓")),"")</f>
        <v/>
      </c>
      <c r="BA2437" s="21" t="str">
        <f>IF($AL2437="","",$AL2437&amp;"|"&amp;COUNTIF($AL$11:$AL2437,$AL2437))</f>
        <v/>
      </c>
    </row>
    <row r="2438" spans="38:53" ht="15" customHeight="1" x14ac:dyDescent="0.25">
      <c r="AL2438" s="31"/>
      <c r="AM2438" s="26"/>
      <c r="AN2438" s="32"/>
      <c r="AO2438" s="32"/>
      <c r="AP2438" s="24"/>
      <c r="AQ2438" s="24"/>
      <c r="AR2438" s="33"/>
      <c r="AS2438" s="34"/>
      <c r="AT2438" s="33"/>
      <c r="AV2438" s="21">
        <f>IF(AND($AL2438&lt;&gt;"",COUNTIF($AL$11:$AL2438,$AL2438)=1),1,0)</f>
        <v>0</v>
      </c>
      <c r="AW2438" s="21">
        <f t="shared" si="161"/>
        <v>2</v>
      </c>
      <c r="AX2438" s="21" t="str">
        <f t="shared" si="160"/>
        <v/>
      </c>
      <c r="AY2438" s="21" t="str">
        <f>IF(AND($AM2438&lt;&gt;"",$AS2438&lt;&gt;"✓"),SUMPRODUCT(($AM$11:$AM2438&lt;&gt;"")*($AS$11:$AS2438&lt;&gt;"✓")),"")</f>
        <v/>
      </c>
      <c r="AZ2438" s="21" t="str">
        <f>IF(AND($AM2438&lt;&gt;"",$AS2438="✓"),SUMPRODUCT(($AM$11:$AM2438&lt;&gt;"")*($AS$11:$AS2438="✓")),"")</f>
        <v/>
      </c>
      <c r="BA2438" s="21" t="str">
        <f>IF($AL2438="","",$AL2438&amp;"|"&amp;COUNTIF($AL$11:$AL2438,$AL2438))</f>
        <v/>
      </c>
    </row>
    <row r="2439" spans="38:53" ht="15" customHeight="1" x14ac:dyDescent="0.25">
      <c r="AL2439" s="17"/>
      <c r="AM2439" s="12"/>
      <c r="AN2439" s="18"/>
      <c r="AO2439" s="18"/>
      <c r="AP2439" s="10"/>
      <c r="AQ2439" s="10"/>
      <c r="AR2439" s="19"/>
      <c r="AS2439" s="20"/>
      <c r="AT2439" s="19"/>
      <c r="AV2439" s="21">
        <f>IF(AND($AL2439&lt;&gt;"",COUNTIF($AL$11:$AL2439,$AL2439)=1),1,0)</f>
        <v>0</v>
      </c>
      <c r="AW2439" s="21">
        <f t="shared" si="161"/>
        <v>2</v>
      </c>
      <c r="AX2439" s="21" t="str">
        <f t="shared" si="160"/>
        <v/>
      </c>
      <c r="AY2439" s="21" t="str">
        <f>IF(AND($AM2439&lt;&gt;"",$AS2439&lt;&gt;"✓"),SUMPRODUCT(($AM$11:$AM2439&lt;&gt;"")*($AS$11:$AS2439&lt;&gt;"✓")),"")</f>
        <v/>
      </c>
      <c r="AZ2439" s="21" t="str">
        <f>IF(AND($AM2439&lt;&gt;"",$AS2439="✓"),SUMPRODUCT(($AM$11:$AM2439&lt;&gt;"")*($AS$11:$AS2439="✓")),"")</f>
        <v/>
      </c>
      <c r="BA2439" s="21" t="str">
        <f>IF($AL2439="","",$AL2439&amp;"|"&amp;COUNTIF($AL$11:$AL2439,$AL2439))</f>
        <v/>
      </c>
    </row>
    <row r="2440" spans="38:53" ht="15" customHeight="1" x14ac:dyDescent="0.25">
      <c r="AL2440" s="31"/>
      <c r="AM2440" s="26"/>
      <c r="AN2440" s="32"/>
      <c r="AO2440" s="32"/>
      <c r="AP2440" s="24"/>
      <c r="AQ2440" s="24"/>
      <c r="AR2440" s="33"/>
      <c r="AS2440" s="34"/>
      <c r="AT2440" s="33"/>
      <c r="AV2440" s="21">
        <f>IF(AND($AL2440&lt;&gt;"",COUNTIF($AL$11:$AL2440,$AL2440)=1),1,0)</f>
        <v>0</v>
      </c>
      <c r="AW2440" s="21">
        <f t="shared" si="161"/>
        <v>2</v>
      </c>
      <c r="AX2440" s="21" t="str">
        <f t="shared" si="160"/>
        <v/>
      </c>
      <c r="AY2440" s="21" t="str">
        <f>IF(AND($AM2440&lt;&gt;"",$AS2440&lt;&gt;"✓"),SUMPRODUCT(($AM$11:$AM2440&lt;&gt;"")*($AS$11:$AS2440&lt;&gt;"✓")),"")</f>
        <v/>
      </c>
      <c r="AZ2440" s="21" t="str">
        <f>IF(AND($AM2440&lt;&gt;"",$AS2440="✓"),SUMPRODUCT(($AM$11:$AM2440&lt;&gt;"")*($AS$11:$AS2440="✓")),"")</f>
        <v/>
      </c>
      <c r="BA2440" s="21" t="str">
        <f>IF($AL2440="","",$AL2440&amp;"|"&amp;COUNTIF($AL$11:$AL2440,$AL2440))</f>
        <v/>
      </c>
    </row>
    <row r="2441" spans="38:53" ht="15" customHeight="1" x14ac:dyDescent="0.25">
      <c r="AL2441" s="17"/>
      <c r="AM2441" s="12"/>
      <c r="AN2441" s="18"/>
      <c r="AO2441" s="18"/>
      <c r="AP2441" s="10"/>
      <c r="AQ2441" s="10"/>
      <c r="AR2441" s="19"/>
      <c r="AS2441" s="20"/>
      <c r="AT2441" s="19"/>
      <c r="AV2441" s="21">
        <f>IF(AND($AL2441&lt;&gt;"",COUNTIF($AL$11:$AL2441,$AL2441)=1),1,0)</f>
        <v>0</v>
      </c>
      <c r="AW2441" s="21">
        <f t="shared" si="161"/>
        <v>2</v>
      </c>
      <c r="AX2441" s="21" t="str">
        <f t="shared" si="160"/>
        <v/>
      </c>
      <c r="AY2441" s="21" t="str">
        <f>IF(AND($AM2441&lt;&gt;"",$AS2441&lt;&gt;"✓"),SUMPRODUCT(($AM$11:$AM2441&lt;&gt;"")*($AS$11:$AS2441&lt;&gt;"✓")),"")</f>
        <v/>
      </c>
      <c r="AZ2441" s="21" t="str">
        <f>IF(AND($AM2441&lt;&gt;"",$AS2441="✓"),SUMPRODUCT(($AM$11:$AM2441&lt;&gt;"")*($AS$11:$AS2441="✓")),"")</f>
        <v/>
      </c>
      <c r="BA2441" s="21" t="str">
        <f>IF($AL2441="","",$AL2441&amp;"|"&amp;COUNTIF($AL$11:$AL2441,$AL2441))</f>
        <v/>
      </c>
    </row>
    <row r="2442" spans="38:53" ht="15" customHeight="1" x14ac:dyDescent="0.25">
      <c r="AL2442" s="31"/>
      <c r="AM2442" s="26"/>
      <c r="AN2442" s="32"/>
      <c r="AO2442" s="32"/>
      <c r="AP2442" s="24"/>
      <c r="AQ2442" s="24"/>
      <c r="AR2442" s="33"/>
      <c r="AS2442" s="34"/>
      <c r="AT2442" s="33"/>
      <c r="AV2442" s="21">
        <f>IF(AND($AL2442&lt;&gt;"",COUNTIF($AL$11:$AL2442,$AL2442)=1),1,0)</f>
        <v>0</v>
      </c>
      <c r="AW2442" s="21">
        <f t="shared" si="161"/>
        <v>2</v>
      </c>
      <c r="AX2442" s="21" t="str">
        <f t="shared" si="160"/>
        <v/>
      </c>
      <c r="AY2442" s="21" t="str">
        <f>IF(AND($AM2442&lt;&gt;"",$AS2442&lt;&gt;"✓"),SUMPRODUCT(($AM$11:$AM2442&lt;&gt;"")*($AS$11:$AS2442&lt;&gt;"✓")),"")</f>
        <v/>
      </c>
      <c r="AZ2442" s="21" t="str">
        <f>IF(AND($AM2442&lt;&gt;"",$AS2442="✓"),SUMPRODUCT(($AM$11:$AM2442&lt;&gt;"")*($AS$11:$AS2442="✓")),"")</f>
        <v/>
      </c>
      <c r="BA2442" s="21" t="str">
        <f>IF($AL2442="","",$AL2442&amp;"|"&amp;COUNTIF($AL$11:$AL2442,$AL2442))</f>
        <v/>
      </c>
    </row>
    <row r="2443" spans="38:53" ht="15" customHeight="1" x14ac:dyDescent="0.25">
      <c r="AL2443" s="17"/>
      <c r="AM2443" s="12"/>
      <c r="AN2443" s="18"/>
      <c r="AO2443" s="18"/>
      <c r="AP2443" s="10"/>
      <c r="AQ2443" s="10"/>
      <c r="AR2443" s="19"/>
      <c r="AS2443" s="20"/>
      <c r="AT2443" s="19"/>
      <c r="AV2443" s="21">
        <f>IF(AND($AL2443&lt;&gt;"",COUNTIF($AL$11:$AL2443,$AL2443)=1),1,0)</f>
        <v>0</v>
      </c>
      <c r="AW2443" s="21">
        <f t="shared" si="161"/>
        <v>2</v>
      </c>
      <c r="AX2443" s="21" t="str">
        <f t="shared" ref="AX2443:AX2506" si="162">IF(AV2443=1,AW2443,"")</f>
        <v/>
      </c>
      <c r="AY2443" s="21" t="str">
        <f>IF(AND($AM2443&lt;&gt;"",$AS2443&lt;&gt;"✓"),SUMPRODUCT(($AM$11:$AM2443&lt;&gt;"")*($AS$11:$AS2443&lt;&gt;"✓")),"")</f>
        <v/>
      </c>
      <c r="AZ2443" s="21" t="str">
        <f>IF(AND($AM2443&lt;&gt;"",$AS2443="✓"),SUMPRODUCT(($AM$11:$AM2443&lt;&gt;"")*($AS$11:$AS2443="✓")),"")</f>
        <v/>
      </c>
      <c r="BA2443" s="21" t="str">
        <f>IF($AL2443="","",$AL2443&amp;"|"&amp;COUNTIF($AL$11:$AL2443,$AL2443))</f>
        <v/>
      </c>
    </row>
    <row r="2444" spans="38:53" ht="15" customHeight="1" x14ac:dyDescent="0.25">
      <c r="AL2444" s="31"/>
      <c r="AM2444" s="26"/>
      <c r="AN2444" s="32"/>
      <c r="AO2444" s="32"/>
      <c r="AP2444" s="24"/>
      <c r="AQ2444" s="24"/>
      <c r="AR2444" s="33"/>
      <c r="AS2444" s="34"/>
      <c r="AT2444" s="33"/>
      <c r="AV2444" s="21">
        <f>IF(AND($AL2444&lt;&gt;"",COUNTIF($AL$11:$AL2444,$AL2444)=1),1,0)</f>
        <v>0</v>
      </c>
      <c r="AW2444" s="21">
        <f t="shared" ref="AW2444:AW2507" si="163">AW2443+AV2444</f>
        <v>2</v>
      </c>
      <c r="AX2444" s="21" t="str">
        <f t="shared" si="162"/>
        <v/>
      </c>
      <c r="AY2444" s="21" t="str">
        <f>IF(AND($AM2444&lt;&gt;"",$AS2444&lt;&gt;"✓"),SUMPRODUCT(($AM$11:$AM2444&lt;&gt;"")*($AS$11:$AS2444&lt;&gt;"✓")),"")</f>
        <v/>
      </c>
      <c r="AZ2444" s="21" t="str">
        <f>IF(AND($AM2444&lt;&gt;"",$AS2444="✓"),SUMPRODUCT(($AM$11:$AM2444&lt;&gt;"")*($AS$11:$AS2444="✓")),"")</f>
        <v/>
      </c>
      <c r="BA2444" s="21" t="str">
        <f>IF($AL2444="","",$AL2444&amp;"|"&amp;COUNTIF($AL$11:$AL2444,$AL2444))</f>
        <v/>
      </c>
    </row>
    <row r="2445" spans="38:53" ht="15" customHeight="1" x14ac:dyDescent="0.25">
      <c r="AL2445" s="17"/>
      <c r="AM2445" s="12"/>
      <c r="AN2445" s="18"/>
      <c r="AO2445" s="18"/>
      <c r="AP2445" s="10"/>
      <c r="AQ2445" s="10"/>
      <c r="AR2445" s="19"/>
      <c r="AS2445" s="20"/>
      <c r="AT2445" s="19"/>
      <c r="AV2445" s="21">
        <f>IF(AND($AL2445&lt;&gt;"",COUNTIF($AL$11:$AL2445,$AL2445)=1),1,0)</f>
        <v>0</v>
      </c>
      <c r="AW2445" s="21">
        <f t="shared" si="163"/>
        <v>2</v>
      </c>
      <c r="AX2445" s="21" t="str">
        <f t="shared" si="162"/>
        <v/>
      </c>
      <c r="AY2445" s="21" t="str">
        <f>IF(AND($AM2445&lt;&gt;"",$AS2445&lt;&gt;"✓"),SUMPRODUCT(($AM$11:$AM2445&lt;&gt;"")*($AS$11:$AS2445&lt;&gt;"✓")),"")</f>
        <v/>
      </c>
      <c r="AZ2445" s="21" t="str">
        <f>IF(AND($AM2445&lt;&gt;"",$AS2445="✓"),SUMPRODUCT(($AM$11:$AM2445&lt;&gt;"")*($AS$11:$AS2445="✓")),"")</f>
        <v/>
      </c>
      <c r="BA2445" s="21" t="str">
        <f>IF($AL2445="","",$AL2445&amp;"|"&amp;COUNTIF($AL$11:$AL2445,$AL2445))</f>
        <v/>
      </c>
    </row>
    <row r="2446" spans="38:53" ht="15" customHeight="1" x14ac:dyDescent="0.25">
      <c r="AL2446" s="31"/>
      <c r="AM2446" s="26"/>
      <c r="AN2446" s="32"/>
      <c r="AO2446" s="32"/>
      <c r="AP2446" s="24"/>
      <c r="AQ2446" s="24"/>
      <c r="AR2446" s="33"/>
      <c r="AS2446" s="34"/>
      <c r="AT2446" s="33"/>
      <c r="AV2446" s="21">
        <f>IF(AND($AL2446&lt;&gt;"",COUNTIF($AL$11:$AL2446,$AL2446)=1),1,0)</f>
        <v>0</v>
      </c>
      <c r="AW2446" s="21">
        <f t="shared" si="163"/>
        <v>2</v>
      </c>
      <c r="AX2446" s="21" t="str">
        <f t="shared" si="162"/>
        <v/>
      </c>
      <c r="AY2446" s="21" t="str">
        <f>IF(AND($AM2446&lt;&gt;"",$AS2446&lt;&gt;"✓"),SUMPRODUCT(($AM$11:$AM2446&lt;&gt;"")*($AS$11:$AS2446&lt;&gt;"✓")),"")</f>
        <v/>
      </c>
      <c r="AZ2446" s="21" t="str">
        <f>IF(AND($AM2446&lt;&gt;"",$AS2446="✓"),SUMPRODUCT(($AM$11:$AM2446&lt;&gt;"")*($AS$11:$AS2446="✓")),"")</f>
        <v/>
      </c>
      <c r="BA2446" s="21" t="str">
        <f>IF($AL2446="","",$AL2446&amp;"|"&amp;COUNTIF($AL$11:$AL2446,$AL2446))</f>
        <v/>
      </c>
    </row>
    <row r="2447" spans="38:53" ht="15" customHeight="1" x14ac:dyDescent="0.25">
      <c r="AL2447" s="17"/>
      <c r="AM2447" s="12"/>
      <c r="AN2447" s="18"/>
      <c r="AO2447" s="18"/>
      <c r="AP2447" s="10"/>
      <c r="AQ2447" s="10"/>
      <c r="AR2447" s="19"/>
      <c r="AS2447" s="20"/>
      <c r="AT2447" s="19"/>
      <c r="AV2447" s="21">
        <f>IF(AND($AL2447&lt;&gt;"",COUNTIF($AL$11:$AL2447,$AL2447)=1),1,0)</f>
        <v>0</v>
      </c>
      <c r="AW2447" s="21">
        <f t="shared" si="163"/>
        <v>2</v>
      </c>
      <c r="AX2447" s="21" t="str">
        <f t="shared" si="162"/>
        <v/>
      </c>
      <c r="AY2447" s="21" t="str">
        <f>IF(AND($AM2447&lt;&gt;"",$AS2447&lt;&gt;"✓"),SUMPRODUCT(($AM$11:$AM2447&lt;&gt;"")*($AS$11:$AS2447&lt;&gt;"✓")),"")</f>
        <v/>
      </c>
      <c r="AZ2447" s="21" t="str">
        <f>IF(AND($AM2447&lt;&gt;"",$AS2447="✓"),SUMPRODUCT(($AM$11:$AM2447&lt;&gt;"")*($AS$11:$AS2447="✓")),"")</f>
        <v/>
      </c>
      <c r="BA2447" s="21" t="str">
        <f>IF($AL2447="","",$AL2447&amp;"|"&amp;COUNTIF($AL$11:$AL2447,$AL2447))</f>
        <v/>
      </c>
    </row>
    <row r="2448" spans="38:53" ht="15" customHeight="1" x14ac:dyDescent="0.25">
      <c r="AL2448" s="31"/>
      <c r="AM2448" s="26"/>
      <c r="AN2448" s="32"/>
      <c r="AO2448" s="32"/>
      <c r="AP2448" s="24"/>
      <c r="AQ2448" s="24"/>
      <c r="AR2448" s="33"/>
      <c r="AS2448" s="34"/>
      <c r="AT2448" s="33"/>
      <c r="AV2448" s="21">
        <f>IF(AND($AL2448&lt;&gt;"",COUNTIF($AL$11:$AL2448,$AL2448)=1),1,0)</f>
        <v>0</v>
      </c>
      <c r="AW2448" s="21">
        <f t="shared" si="163"/>
        <v>2</v>
      </c>
      <c r="AX2448" s="21" t="str">
        <f t="shared" si="162"/>
        <v/>
      </c>
      <c r="AY2448" s="21" t="str">
        <f>IF(AND($AM2448&lt;&gt;"",$AS2448&lt;&gt;"✓"),SUMPRODUCT(($AM$11:$AM2448&lt;&gt;"")*($AS$11:$AS2448&lt;&gt;"✓")),"")</f>
        <v/>
      </c>
      <c r="AZ2448" s="21" t="str">
        <f>IF(AND($AM2448&lt;&gt;"",$AS2448="✓"),SUMPRODUCT(($AM$11:$AM2448&lt;&gt;"")*($AS$11:$AS2448="✓")),"")</f>
        <v/>
      </c>
      <c r="BA2448" s="21" t="str">
        <f>IF($AL2448="","",$AL2448&amp;"|"&amp;COUNTIF($AL$11:$AL2448,$AL2448))</f>
        <v/>
      </c>
    </row>
    <row r="2449" spans="38:53" ht="15" customHeight="1" x14ac:dyDescent="0.25">
      <c r="AL2449" s="17"/>
      <c r="AM2449" s="12"/>
      <c r="AN2449" s="18"/>
      <c r="AO2449" s="18"/>
      <c r="AP2449" s="10"/>
      <c r="AQ2449" s="10"/>
      <c r="AR2449" s="19"/>
      <c r="AS2449" s="20"/>
      <c r="AT2449" s="19"/>
      <c r="AV2449" s="21">
        <f>IF(AND($AL2449&lt;&gt;"",COUNTIF($AL$11:$AL2449,$AL2449)=1),1,0)</f>
        <v>0</v>
      </c>
      <c r="AW2449" s="21">
        <f t="shared" si="163"/>
        <v>2</v>
      </c>
      <c r="AX2449" s="21" t="str">
        <f t="shared" si="162"/>
        <v/>
      </c>
      <c r="AY2449" s="21" t="str">
        <f>IF(AND($AM2449&lt;&gt;"",$AS2449&lt;&gt;"✓"),SUMPRODUCT(($AM$11:$AM2449&lt;&gt;"")*($AS$11:$AS2449&lt;&gt;"✓")),"")</f>
        <v/>
      </c>
      <c r="AZ2449" s="21" t="str">
        <f>IF(AND($AM2449&lt;&gt;"",$AS2449="✓"),SUMPRODUCT(($AM$11:$AM2449&lt;&gt;"")*($AS$11:$AS2449="✓")),"")</f>
        <v/>
      </c>
      <c r="BA2449" s="21" t="str">
        <f>IF($AL2449="","",$AL2449&amp;"|"&amp;COUNTIF($AL$11:$AL2449,$AL2449))</f>
        <v/>
      </c>
    </row>
    <row r="2450" spans="38:53" ht="15" customHeight="1" x14ac:dyDescent="0.25">
      <c r="AL2450" s="31"/>
      <c r="AM2450" s="26"/>
      <c r="AN2450" s="32"/>
      <c r="AO2450" s="32"/>
      <c r="AP2450" s="24"/>
      <c r="AQ2450" s="24"/>
      <c r="AR2450" s="33"/>
      <c r="AS2450" s="34"/>
      <c r="AT2450" s="33"/>
      <c r="AV2450" s="21">
        <f>IF(AND($AL2450&lt;&gt;"",COUNTIF($AL$11:$AL2450,$AL2450)=1),1,0)</f>
        <v>0</v>
      </c>
      <c r="AW2450" s="21">
        <f t="shared" si="163"/>
        <v>2</v>
      </c>
      <c r="AX2450" s="21" t="str">
        <f t="shared" si="162"/>
        <v/>
      </c>
      <c r="AY2450" s="21" t="str">
        <f>IF(AND($AM2450&lt;&gt;"",$AS2450&lt;&gt;"✓"),SUMPRODUCT(($AM$11:$AM2450&lt;&gt;"")*($AS$11:$AS2450&lt;&gt;"✓")),"")</f>
        <v/>
      </c>
      <c r="AZ2450" s="21" t="str">
        <f>IF(AND($AM2450&lt;&gt;"",$AS2450="✓"),SUMPRODUCT(($AM$11:$AM2450&lt;&gt;"")*($AS$11:$AS2450="✓")),"")</f>
        <v/>
      </c>
      <c r="BA2450" s="21" t="str">
        <f>IF($AL2450="","",$AL2450&amp;"|"&amp;COUNTIF($AL$11:$AL2450,$AL2450))</f>
        <v/>
      </c>
    </row>
    <row r="2451" spans="38:53" ht="15" customHeight="1" x14ac:dyDescent="0.25">
      <c r="AL2451" s="17"/>
      <c r="AM2451" s="12"/>
      <c r="AN2451" s="18"/>
      <c r="AO2451" s="18"/>
      <c r="AP2451" s="10"/>
      <c r="AQ2451" s="10"/>
      <c r="AR2451" s="19"/>
      <c r="AS2451" s="20"/>
      <c r="AT2451" s="19"/>
      <c r="AV2451" s="21">
        <f>IF(AND($AL2451&lt;&gt;"",COUNTIF($AL$11:$AL2451,$AL2451)=1),1,0)</f>
        <v>0</v>
      </c>
      <c r="AW2451" s="21">
        <f t="shared" si="163"/>
        <v>2</v>
      </c>
      <c r="AX2451" s="21" t="str">
        <f t="shared" si="162"/>
        <v/>
      </c>
      <c r="AY2451" s="21" t="str">
        <f>IF(AND($AM2451&lt;&gt;"",$AS2451&lt;&gt;"✓"),SUMPRODUCT(($AM$11:$AM2451&lt;&gt;"")*($AS$11:$AS2451&lt;&gt;"✓")),"")</f>
        <v/>
      </c>
      <c r="AZ2451" s="21" t="str">
        <f>IF(AND($AM2451&lt;&gt;"",$AS2451="✓"),SUMPRODUCT(($AM$11:$AM2451&lt;&gt;"")*($AS$11:$AS2451="✓")),"")</f>
        <v/>
      </c>
      <c r="BA2451" s="21" t="str">
        <f>IF($AL2451="","",$AL2451&amp;"|"&amp;COUNTIF($AL$11:$AL2451,$AL2451))</f>
        <v/>
      </c>
    </row>
    <row r="2452" spans="38:53" ht="15" customHeight="1" x14ac:dyDescent="0.25">
      <c r="AL2452" s="31"/>
      <c r="AM2452" s="26"/>
      <c r="AN2452" s="32"/>
      <c r="AO2452" s="32"/>
      <c r="AP2452" s="24"/>
      <c r="AQ2452" s="24"/>
      <c r="AR2452" s="33"/>
      <c r="AS2452" s="34"/>
      <c r="AT2452" s="33"/>
      <c r="AV2452" s="21">
        <f>IF(AND($AL2452&lt;&gt;"",COUNTIF($AL$11:$AL2452,$AL2452)=1),1,0)</f>
        <v>0</v>
      </c>
      <c r="AW2452" s="21">
        <f t="shared" si="163"/>
        <v>2</v>
      </c>
      <c r="AX2452" s="21" t="str">
        <f t="shared" si="162"/>
        <v/>
      </c>
      <c r="AY2452" s="21" t="str">
        <f>IF(AND($AM2452&lt;&gt;"",$AS2452&lt;&gt;"✓"),SUMPRODUCT(($AM$11:$AM2452&lt;&gt;"")*($AS$11:$AS2452&lt;&gt;"✓")),"")</f>
        <v/>
      </c>
      <c r="AZ2452" s="21" t="str">
        <f>IF(AND($AM2452&lt;&gt;"",$AS2452="✓"),SUMPRODUCT(($AM$11:$AM2452&lt;&gt;"")*($AS$11:$AS2452="✓")),"")</f>
        <v/>
      </c>
      <c r="BA2452" s="21" t="str">
        <f>IF($AL2452="","",$AL2452&amp;"|"&amp;COUNTIF($AL$11:$AL2452,$AL2452))</f>
        <v/>
      </c>
    </row>
    <row r="2453" spans="38:53" ht="15" customHeight="1" x14ac:dyDescent="0.25">
      <c r="AL2453" s="17"/>
      <c r="AM2453" s="12"/>
      <c r="AN2453" s="18"/>
      <c r="AO2453" s="18"/>
      <c r="AP2453" s="10"/>
      <c r="AQ2453" s="10"/>
      <c r="AR2453" s="19"/>
      <c r="AS2453" s="20"/>
      <c r="AT2453" s="19"/>
      <c r="AV2453" s="21">
        <f>IF(AND($AL2453&lt;&gt;"",COUNTIF($AL$11:$AL2453,$AL2453)=1),1,0)</f>
        <v>0</v>
      </c>
      <c r="AW2453" s="21">
        <f t="shared" si="163"/>
        <v>2</v>
      </c>
      <c r="AX2453" s="21" t="str">
        <f t="shared" si="162"/>
        <v/>
      </c>
      <c r="AY2453" s="21" t="str">
        <f>IF(AND($AM2453&lt;&gt;"",$AS2453&lt;&gt;"✓"),SUMPRODUCT(($AM$11:$AM2453&lt;&gt;"")*($AS$11:$AS2453&lt;&gt;"✓")),"")</f>
        <v/>
      </c>
      <c r="AZ2453" s="21" t="str">
        <f>IF(AND($AM2453&lt;&gt;"",$AS2453="✓"),SUMPRODUCT(($AM$11:$AM2453&lt;&gt;"")*($AS$11:$AS2453="✓")),"")</f>
        <v/>
      </c>
      <c r="BA2453" s="21" t="str">
        <f>IF($AL2453="","",$AL2453&amp;"|"&amp;COUNTIF($AL$11:$AL2453,$AL2453))</f>
        <v/>
      </c>
    </row>
    <row r="2454" spans="38:53" ht="15" customHeight="1" x14ac:dyDescent="0.25">
      <c r="AL2454" s="31"/>
      <c r="AM2454" s="26"/>
      <c r="AN2454" s="32"/>
      <c r="AO2454" s="32"/>
      <c r="AP2454" s="24"/>
      <c r="AQ2454" s="24"/>
      <c r="AR2454" s="33"/>
      <c r="AS2454" s="34"/>
      <c r="AT2454" s="33"/>
      <c r="AV2454" s="21">
        <f>IF(AND($AL2454&lt;&gt;"",COUNTIF($AL$11:$AL2454,$AL2454)=1),1,0)</f>
        <v>0</v>
      </c>
      <c r="AW2454" s="21">
        <f t="shared" si="163"/>
        <v>2</v>
      </c>
      <c r="AX2454" s="21" t="str">
        <f t="shared" si="162"/>
        <v/>
      </c>
      <c r="AY2454" s="21" t="str">
        <f>IF(AND($AM2454&lt;&gt;"",$AS2454&lt;&gt;"✓"),SUMPRODUCT(($AM$11:$AM2454&lt;&gt;"")*($AS$11:$AS2454&lt;&gt;"✓")),"")</f>
        <v/>
      </c>
      <c r="AZ2454" s="21" t="str">
        <f>IF(AND($AM2454&lt;&gt;"",$AS2454="✓"),SUMPRODUCT(($AM$11:$AM2454&lt;&gt;"")*($AS$11:$AS2454="✓")),"")</f>
        <v/>
      </c>
      <c r="BA2454" s="21" t="str">
        <f>IF($AL2454="","",$AL2454&amp;"|"&amp;COUNTIF($AL$11:$AL2454,$AL2454))</f>
        <v/>
      </c>
    </row>
    <row r="2455" spans="38:53" ht="15" customHeight="1" x14ac:dyDescent="0.25">
      <c r="AL2455" s="17"/>
      <c r="AM2455" s="12"/>
      <c r="AN2455" s="18"/>
      <c r="AO2455" s="18"/>
      <c r="AP2455" s="10"/>
      <c r="AQ2455" s="10"/>
      <c r="AR2455" s="19"/>
      <c r="AS2455" s="20"/>
      <c r="AT2455" s="19"/>
      <c r="AV2455" s="21">
        <f>IF(AND($AL2455&lt;&gt;"",COUNTIF($AL$11:$AL2455,$AL2455)=1),1,0)</f>
        <v>0</v>
      </c>
      <c r="AW2455" s="21">
        <f t="shared" si="163"/>
        <v>2</v>
      </c>
      <c r="AX2455" s="21" t="str">
        <f t="shared" si="162"/>
        <v/>
      </c>
      <c r="AY2455" s="21" t="str">
        <f>IF(AND($AM2455&lt;&gt;"",$AS2455&lt;&gt;"✓"),SUMPRODUCT(($AM$11:$AM2455&lt;&gt;"")*($AS$11:$AS2455&lt;&gt;"✓")),"")</f>
        <v/>
      </c>
      <c r="AZ2455" s="21" t="str">
        <f>IF(AND($AM2455&lt;&gt;"",$AS2455="✓"),SUMPRODUCT(($AM$11:$AM2455&lt;&gt;"")*($AS$11:$AS2455="✓")),"")</f>
        <v/>
      </c>
      <c r="BA2455" s="21" t="str">
        <f>IF($AL2455="","",$AL2455&amp;"|"&amp;COUNTIF($AL$11:$AL2455,$AL2455))</f>
        <v/>
      </c>
    </row>
    <row r="2456" spans="38:53" ht="15" customHeight="1" x14ac:dyDescent="0.25">
      <c r="AL2456" s="31"/>
      <c r="AM2456" s="26"/>
      <c r="AN2456" s="32"/>
      <c r="AO2456" s="32"/>
      <c r="AP2456" s="24"/>
      <c r="AQ2456" s="24"/>
      <c r="AR2456" s="33"/>
      <c r="AS2456" s="34"/>
      <c r="AT2456" s="33"/>
      <c r="AV2456" s="21">
        <f>IF(AND($AL2456&lt;&gt;"",COUNTIF($AL$11:$AL2456,$AL2456)=1),1,0)</f>
        <v>0</v>
      </c>
      <c r="AW2456" s="21">
        <f t="shared" si="163"/>
        <v>2</v>
      </c>
      <c r="AX2456" s="21" t="str">
        <f t="shared" si="162"/>
        <v/>
      </c>
      <c r="AY2456" s="21" t="str">
        <f>IF(AND($AM2456&lt;&gt;"",$AS2456&lt;&gt;"✓"),SUMPRODUCT(($AM$11:$AM2456&lt;&gt;"")*($AS$11:$AS2456&lt;&gt;"✓")),"")</f>
        <v/>
      </c>
      <c r="AZ2456" s="21" t="str">
        <f>IF(AND($AM2456&lt;&gt;"",$AS2456="✓"),SUMPRODUCT(($AM$11:$AM2456&lt;&gt;"")*($AS$11:$AS2456="✓")),"")</f>
        <v/>
      </c>
      <c r="BA2456" s="21" t="str">
        <f>IF($AL2456="","",$AL2456&amp;"|"&amp;COUNTIF($AL$11:$AL2456,$AL2456))</f>
        <v/>
      </c>
    </row>
    <row r="2457" spans="38:53" ht="15" customHeight="1" x14ac:dyDescent="0.25">
      <c r="AL2457" s="17"/>
      <c r="AM2457" s="12"/>
      <c r="AN2457" s="18"/>
      <c r="AO2457" s="18"/>
      <c r="AP2457" s="10"/>
      <c r="AQ2457" s="10"/>
      <c r="AR2457" s="19"/>
      <c r="AS2457" s="20"/>
      <c r="AT2457" s="19"/>
      <c r="AV2457" s="21">
        <f>IF(AND($AL2457&lt;&gt;"",COUNTIF($AL$11:$AL2457,$AL2457)=1),1,0)</f>
        <v>0</v>
      </c>
      <c r="AW2457" s="21">
        <f t="shared" si="163"/>
        <v>2</v>
      </c>
      <c r="AX2457" s="21" t="str">
        <f t="shared" si="162"/>
        <v/>
      </c>
      <c r="AY2457" s="21" t="str">
        <f>IF(AND($AM2457&lt;&gt;"",$AS2457&lt;&gt;"✓"),SUMPRODUCT(($AM$11:$AM2457&lt;&gt;"")*($AS$11:$AS2457&lt;&gt;"✓")),"")</f>
        <v/>
      </c>
      <c r="AZ2457" s="21" t="str">
        <f>IF(AND($AM2457&lt;&gt;"",$AS2457="✓"),SUMPRODUCT(($AM$11:$AM2457&lt;&gt;"")*($AS$11:$AS2457="✓")),"")</f>
        <v/>
      </c>
      <c r="BA2457" s="21" t="str">
        <f>IF($AL2457="","",$AL2457&amp;"|"&amp;COUNTIF($AL$11:$AL2457,$AL2457))</f>
        <v/>
      </c>
    </row>
    <row r="2458" spans="38:53" ht="15" customHeight="1" x14ac:dyDescent="0.25">
      <c r="AL2458" s="31"/>
      <c r="AM2458" s="26"/>
      <c r="AN2458" s="32"/>
      <c r="AO2458" s="32"/>
      <c r="AP2458" s="24"/>
      <c r="AQ2458" s="24"/>
      <c r="AR2458" s="33"/>
      <c r="AS2458" s="34"/>
      <c r="AT2458" s="33"/>
      <c r="AV2458" s="21">
        <f>IF(AND($AL2458&lt;&gt;"",COUNTIF($AL$11:$AL2458,$AL2458)=1),1,0)</f>
        <v>0</v>
      </c>
      <c r="AW2458" s="21">
        <f t="shared" si="163"/>
        <v>2</v>
      </c>
      <c r="AX2458" s="21" t="str">
        <f t="shared" si="162"/>
        <v/>
      </c>
      <c r="AY2458" s="21" t="str">
        <f>IF(AND($AM2458&lt;&gt;"",$AS2458&lt;&gt;"✓"),SUMPRODUCT(($AM$11:$AM2458&lt;&gt;"")*($AS$11:$AS2458&lt;&gt;"✓")),"")</f>
        <v/>
      </c>
      <c r="AZ2458" s="21" t="str">
        <f>IF(AND($AM2458&lt;&gt;"",$AS2458="✓"),SUMPRODUCT(($AM$11:$AM2458&lt;&gt;"")*($AS$11:$AS2458="✓")),"")</f>
        <v/>
      </c>
      <c r="BA2458" s="21" t="str">
        <f>IF($AL2458="","",$AL2458&amp;"|"&amp;COUNTIF($AL$11:$AL2458,$AL2458))</f>
        <v/>
      </c>
    </row>
    <row r="2459" spans="38:53" ht="15" customHeight="1" x14ac:dyDescent="0.25">
      <c r="AL2459" s="17"/>
      <c r="AM2459" s="12"/>
      <c r="AN2459" s="18"/>
      <c r="AO2459" s="18"/>
      <c r="AP2459" s="10"/>
      <c r="AQ2459" s="10"/>
      <c r="AR2459" s="19"/>
      <c r="AS2459" s="20"/>
      <c r="AT2459" s="19"/>
      <c r="AV2459" s="21">
        <f>IF(AND($AL2459&lt;&gt;"",COUNTIF($AL$11:$AL2459,$AL2459)=1),1,0)</f>
        <v>0</v>
      </c>
      <c r="AW2459" s="21">
        <f t="shared" si="163"/>
        <v>2</v>
      </c>
      <c r="AX2459" s="21" t="str">
        <f t="shared" si="162"/>
        <v/>
      </c>
      <c r="AY2459" s="21" t="str">
        <f>IF(AND($AM2459&lt;&gt;"",$AS2459&lt;&gt;"✓"),SUMPRODUCT(($AM$11:$AM2459&lt;&gt;"")*($AS$11:$AS2459&lt;&gt;"✓")),"")</f>
        <v/>
      </c>
      <c r="AZ2459" s="21" t="str">
        <f>IF(AND($AM2459&lt;&gt;"",$AS2459="✓"),SUMPRODUCT(($AM$11:$AM2459&lt;&gt;"")*($AS$11:$AS2459="✓")),"")</f>
        <v/>
      </c>
      <c r="BA2459" s="21" t="str">
        <f>IF($AL2459="","",$AL2459&amp;"|"&amp;COUNTIF($AL$11:$AL2459,$AL2459))</f>
        <v/>
      </c>
    </row>
    <row r="2460" spans="38:53" ht="15" customHeight="1" x14ac:dyDescent="0.25">
      <c r="AL2460" s="31"/>
      <c r="AM2460" s="26"/>
      <c r="AN2460" s="32"/>
      <c r="AO2460" s="32"/>
      <c r="AP2460" s="24"/>
      <c r="AQ2460" s="24"/>
      <c r="AR2460" s="33"/>
      <c r="AS2460" s="34"/>
      <c r="AT2460" s="33"/>
      <c r="AV2460" s="21">
        <f>IF(AND($AL2460&lt;&gt;"",COUNTIF($AL$11:$AL2460,$AL2460)=1),1,0)</f>
        <v>0</v>
      </c>
      <c r="AW2460" s="21">
        <f t="shared" si="163"/>
        <v>2</v>
      </c>
      <c r="AX2460" s="21" t="str">
        <f t="shared" si="162"/>
        <v/>
      </c>
      <c r="AY2460" s="21" t="str">
        <f>IF(AND($AM2460&lt;&gt;"",$AS2460&lt;&gt;"✓"),SUMPRODUCT(($AM$11:$AM2460&lt;&gt;"")*($AS$11:$AS2460&lt;&gt;"✓")),"")</f>
        <v/>
      </c>
      <c r="AZ2460" s="21" t="str">
        <f>IF(AND($AM2460&lt;&gt;"",$AS2460="✓"),SUMPRODUCT(($AM$11:$AM2460&lt;&gt;"")*($AS$11:$AS2460="✓")),"")</f>
        <v/>
      </c>
      <c r="BA2460" s="21" t="str">
        <f>IF($AL2460="","",$AL2460&amp;"|"&amp;COUNTIF($AL$11:$AL2460,$AL2460))</f>
        <v/>
      </c>
    </row>
    <row r="2461" spans="38:53" ht="15" customHeight="1" x14ac:dyDescent="0.25">
      <c r="AL2461" s="17"/>
      <c r="AM2461" s="12"/>
      <c r="AN2461" s="18"/>
      <c r="AO2461" s="18"/>
      <c r="AP2461" s="10"/>
      <c r="AQ2461" s="10"/>
      <c r="AR2461" s="19"/>
      <c r="AS2461" s="20"/>
      <c r="AT2461" s="19"/>
      <c r="AV2461" s="21">
        <f>IF(AND($AL2461&lt;&gt;"",COUNTIF($AL$11:$AL2461,$AL2461)=1),1,0)</f>
        <v>0</v>
      </c>
      <c r="AW2461" s="21">
        <f t="shared" si="163"/>
        <v>2</v>
      </c>
      <c r="AX2461" s="21" t="str">
        <f t="shared" si="162"/>
        <v/>
      </c>
      <c r="AY2461" s="21" t="str">
        <f>IF(AND($AM2461&lt;&gt;"",$AS2461&lt;&gt;"✓"),SUMPRODUCT(($AM$11:$AM2461&lt;&gt;"")*($AS$11:$AS2461&lt;&gt;"✓")),"")</f>
        <v/>
      </c>
      <c r="AZ2461" s="21" t="str">
        <f>IF(AND($AM2461&lt;&gt;"",$AS2461="✓"),SUMPRODUCT(($AM$11:$AM2461&lt;&gt;"")*($AS$11:$AS2461="✓")),"")</f>
        <v/>
      </c>
      <c r="BA2461" s="21" t="str">
        <f>IF($AL2461="","",$AL2461&amp;"|"&amp;COUNTIF($AL$11:$AL2461,$AL2461))</f>
        <v/>
      </c>
    </row>
    <row r="2462" spans="38:53" ht="15" customHeight="1" x14ac:dyDescent="0.25">
      <c r="AL2462" s="31"/>
      <c r="AM2462" s="26"/>
      <c r="AN2462" s="32"/>
      <c r="AO2462" s="32"/>
      <c r="AP2462" s="24"/>
      <c r="AQ2462" s="24"/>
      <c r="AR2462" s="33"/>
      <c r="AS2462" s="34"/>
      <c r="AT2462" s="33"/>
      <c r="AV2462" s="21">
        <f>IF(AND($AL2462&lt;&gt;"",COUNTIF($AL$11:$AL2462,$AL2462)=1),1,0)</f>
        <v>0</v>
      </c>
      <c r="AW2462" s="21">
        <f t="shared" si="163"/>
        <v>2</v>
      </c>
      <c r="AX2462" s="21" t="str">
        <f t="shared" si="162"/>
        <v/>
      </c>
      <c r="AY2462" s="21" t="str">
        <f>IF(AND($AM2462&lt;&gt;"",$AS2462&lt;&gt;"✓"),SUMPRODUCT(($AM$11:$AM2462&lt;&gt;"")*($AS$11:$AS2462&lt;&gt;"✓")),"")</f>
        <v/>
      </c>
      <c r="AZ2462" s="21" t="str">
        <f>IF(AND($AM2462&lt;&gt;"",$AS2462="✓"),SUMPRODUCT(($AM$11:$AM2462&lt;&gt;"")*($AS$11:$AS2462="✓")),"")</f>
        <v/>
      </c>
      <c r="BA2462" s="21" t="str">
        <f>IF($AL2462="","",$AL2462&amp;"|"&amp;COUNTIF($AL$11:$AL2462,$AL2462))</f>
        <v/>
      </c>
    </row>
    <row r="2463" spans="38:53" ht="15" customHeight="1" x14ac:dyDescent="0.25">
      <c r="AL2463" s="17"/>
      <c r="AM2463" s="12"/>
      <c r="AN2463" s="18"/>
      <c r="AO2463" s="18"/>
      <c r="AP2463" s="10"/>
      <c r="AQ2463" s="10"/>
      <c r="AR2463" s="19"/>
      <c r="AS2463" s="20"/>
      <c r="AT2463" s="19"/>
      <c r="AV2463" s="21">
        <f>IF(AND($AL2463&lt;&gt;"",COUNTIF($AL$11:$AL2463,$AL2463)=1),1,0)</f>
        <v>0</v>
      </c>
      <c r="AW2463" s="21">
        <f t="shared" si="163"/>
        <v>2</v>
      </c>
      <c r="AX2463" s="21" t="str">
        <f t="shared" si="162"/>
        <v/>
      </c>
      <c r="AY2463" s="21" t="str">
        <f>IF(AND($AM2463&lt;&gt;"",$AS2463&lt;&gt;"✓"),SUMPRODUCT(($AM$11:$AM2463&lt;&gt;"")*($AS$11:$AS2463&lt;&gt;"✓")),"")</f>
        <v/>
      </c>
      <c r="AZ2463" s="21" t="str">
        <f>IF(AND($AM2463&lt;&gt;"",$AS2463="✓"),SUMPRODUCT(($AM$11:$AM2463&lt;&gt;"")*($AS$11:$AS2463="✓")),"")</f>
        <v/>
      </c>
      <c r="BA2463" s="21" t="str">
        <f>IF($AL2463="","",$AL2463&amp;"|"&amp;COUNTIF($AL$11:$AL2463,$AL2463))</f>
        <v/>
      </c>
    </row>
    <row r="2464" spans="38:53" ht="15" customHeight="1" x14ac:dyDescent="0.25">
      <c r="AL2464" s="31"/>
      <c r="AM2464" s="26"/>
      <c r="AN2464" s="32"/>
      <c r="AO2464" s="32"/>
      <c r="AP2464" s="24"/>
      <c r="AQ2464" s="24"/>
      <c r="AR2464" s="33"/>
      <c r="AS2464" s="34"/>
      <c r="AT2464" s="33"/>
      <c r="AV2464" s="21">
        <f>IF(AND($AL2464&lt;&gt;"",COUNTIF($AL$11:$AL2464,$AL2464)=1),1,0)</f>
        <v>0</v>
      </c>
      <c r="AW2464" s="21">
        <f t="shared" si="163"/>
        <v>2</v>
      </c>
      <c r="AX2464" s="21" t="str">
        <f t="shared" si="162"/>
        <v/>
      </c>
      <c r="AY2464" s="21" t="str">
        <f>IF(AND($AM2464&lt;&gt;"",$AS2464&lt;&gt;"✓"),SUMPRODUCT(($AM$11:$AM2464&lt;&gt;"")*($AS$11:$AS2464&lt;&gt;"✓")),"")</f>
        <v/>
      </c>
      <c r="AZ2464" s="21" t="str">
        <f>IF(AND($AM2464&lt;&gt;"",$AS2464="✓"),SUMPRODUCT(($AM$11:$AM2464&lt;&gt;"")*($AS$11:$AS2464="✓")),"")</f>
        <v/>
      </c>
      <c r="BA2464" s="21" t="str">
        <f>IF($AL2464="","",$AL2464&amp;"|"&amp;COUNTIF($AL$11:$AL2464,$AL2464))</f>
        <v/>
      </c>
    </row>
    <row r="2465" spans="38:53" ht="15" customHeight="1" x14ac:dyDescent="0.25">
      <c r="AL2465" s="17"/>
      <c r="AM2465" s="12"/>
      <c r="AN2465" s="18"/>
      <c r="AO2465" s="18"/>
      <c r="AP2465" s="10"/>
      <c r="AQ2465" s="10"/>
      <c r="AR2465" s="19"/>
      <c r="AS2465" s="20"/>
      <c r="AT2465" s="19"/>
      <c r="AV2465" s="21">
        <f>IF(AND($AL2465&lt;&gt;"",COUNTIF($AL$11:$AL2465,$AL2465)=1),1,0)</f>
        <v>0</v>
      </c>
      <c r="AW2465" s="21">
        <f t="shared" si="163"/>
        <v>2</v>
      </c>
      <c r="AX2465" s="21" t="str">
        <f t="shared" si="162"/>
        <v/>
      </c>
      <c r="AY2465" s="21" t="str">
        <f>IF(AND($AM2465&lt;&gt;"",$AS2465&lt;&gt;"✓"),SUMPRODUCT(($AM$11:$AM2465&lt;&gt;"")*($AS$11:$AS2465&lt;&gt;"✓")),"")</f>
        <v/>
      </c>
      <c r="AZ2465" s="21" t="str">
        <f>IF(AND($AM2465&lt;&gt;"",$AS2465="✓"),SUMPRODUCT(($AM$11:$AM2465&lt;&gt;"")*($AS$11:$AS2465="✓")),"")</f>
        <v/>
      </c>
      <c r="BA2465" s="21" t="str">
        <f>IF($AL2465="","",$AL2465&amp;"|"&amp;COUNTIF($AL$11:$AL2465,$AL2465))</f>
        <v/>
      </c>
    </row>
    <row r="2466" spans="38:53" ht="15" customHeight="1" x14ac:dyDescent="0.25">
      <c r="AL2466" s="31"/>
      <c r="AM2466" s="26"/>
      <c r="AN2466" s="32"/>
      <c r="AO2466" s="32"/>
      <c r="AP2466" s="24"/>
      <c r="AQ2466" s="24"/>
      <c r="AR2466" s="33"/>
      <c r="AS2466" s="34"/>
      <c r="AT2466" s="33"/>
      <c r="AV2466" s="21">
        <f>IF(AND($AL2466&lt;&gt;"",COUNTIF($AL$11:$AL2466,$AL2466)=1),1,0)</f>
        <v>0</v>
      </c>
      <c r="AW2466" s="21">
        <f t="shared" si="163"/>
        <v>2</v>
      </c>
      <c r="AX2466" s="21" t="str">
        <f t="shared" si="162"/>
        <v/>
      </c>
      <c r="AY2466" s="21" t="str">
        <f>IF(AND($AM2466&lt;&gt;"",$AS2466&lt;&gt;"✓"),SUMPRODUCT(($AM$11:$AM2466&lt;&gt;"")*($AS$11:$AS2466&lt;&gt;"✓")),"")</f>
        <v/>
      </c>
      <c r="AZ2466" s="21" t="str">
        <f>IF(AND($AM2466&lt;&gt;"",$AS2466="✓"),SUMPRODUCT(($AM$11:$AM2466&lt;&gt;"")*($AS$11:$AS2466="✓")),"")</f>
        <v/>
      </c>
      <c r="BA2466" s="21" t="str">
        <f>IF($AL2466="","",$AL2466&amp;"|"&amp;COUNTIF($AL$11:$AL2466,$AL2466))</f>
        <v/>
      </c>
    </row>
    <row r="2467" spans="38:53" ht="15" customHeight="1" x14ac:dyDescent="0.25">
      <c r="AL2467" s="17"/>
      <c r="AM2467" s="12"/>
      <c r="AN2467" s="18"/>
      <c r="AO2467" s="18"/>
      <c r="AP2467" s="10"/>
      <c r="AQ2467" s="10"/>
      <c r="AR2467" s="19"/>
      <c r="AS2467" s="20"/>
      <c r="AT2467" s="19"/>
      <c r="AV2467" s="21">
        <f>IF(AND($AL2467&lt;&gt;"",COUNTIF($AL$11:$AL2467,$AL2467)=1),1,0)</f>
        <v>0</v>
      </c>
      <c r="AW2467" s="21">
        <f t="shared" si="163"/>
        <v>2</v>
      </c>
      <c r="AX2467" s="21" t="str">
        <f t="shared" si="162"/>
        <v/>
      </c>
      <c r="AY2467" s="21" t="str">
        <f>IF(AND($AM2467&lt;&gt;"",$AS2467&lt;&gt;"✓"),SUMPRODUCT(($AM$11:$AM2467&lt;&gt;"")*($AS$11:$AS2467&lt;&gt;"✓")),"")</f>
        <v/>
      </c>
      <c r="AZ2467" s="21" t="str">
        <f>IF(AND($AM2467&lt;&gt;"",$AS2467="✓"),SUMPRODUCT(($AM$11:$AM2467&lt;&gt;"")*($AS$11:$AS2467="✓")),"")</f>
        <v/>
      </c>
      <c r="BA2467" s="21" t="str">
        <f>IF($AL2467="","",$AL2467&amp;"|"&amp;COUNTIF($AL$11:$AL2467,$AL2467))</f>
        <v/>
      </c>
    </row>
    <row r="2468" spans="38:53" ht="15" customHeight="1" x14ac:dyDescent="0.25">
      <c r="AL2468" s="31"/>
      <c r="AM2468" s="26"/>
      <c r="AN2468" s="32"/>
      <c r="AO2468" s="32"/>
      <c r="AP2468" s="24"/>
      <c r="AQ2468" s="24"/>
      <c r="AR2468" s="33"/>
      <c r="AS2468" s="34"/>
      <c r="AT2468" s="33"/>
      <c r="AV2468" s="21">
        <f>IF(AND($AL2468&lt;&gt;"",COUNTIF($AL$11:$AL2468,$AL2468)=1),1,0)</f>
        <v>0</v>
      </c>
      <c r="AW2468" s="21">
        <f t="shared" si="163"/>
        <v>2</v>
      </c>
      <c r="AX2468" s="21" t="str">
        <f t="shared" si="162"/>
        <v/>
      </c>
      <c r="AY2468" s="21" t="str">
        <f>IF(AND($AM2468&lt;&gt;"",$AS2468&lt;&gt;"✓"),SUMPRODUCT(($AM$11:$AM2468&lt;&gt;"")*($AS$11:$AS2468&lt;&gt;"✓")),"")</f>
        <v/>
      </c>
      <c r="AZ2468" s="21" t="str">
        <f>IF(AND($AM2468&lt;&gt;"",$AS2468="✓"),SUMPRODUCT(($AM$11:$AM2468&lt;&gt;"")*($AS$11:$AS2468="✓")),"")</f>
        <v/>
      </c>
      <c r="BA2468" s="21" t="str">
        <f>IF($AL2468="","",$AL2468&amp;"|"&amp;COUNTIF($AL$11:$AL2468,$AL2468))</f>
        <v/>
      </c>
    </row>
    <row r="2469" spans="38:53" ht="15" customHeight="1" x14ac:dyDescent="0.25">
      <c r="AL2469" s="17"/>
      <c r="AM2469" s="12"/>
      <c r="AN2469" s="18"/>
      <c r="AO2469" s="18"/>
      <c r="AP2469" s="10"/>
      <c r="AQ2469" s="10"/>
      <c r="AR2469" s="19"/>
      <c r="AS2469" s="20"/>
      <c r="AT2469" s="19"/>
      <c r="AV2469" s="21">
        <f>IF(AND($AL2469&lt;&gt;"",COUNTIF($AL$11:$AL2469,$AL2469)=1),1,0)</f>
        <v>0</v>
      </c>
      <c r="AW2469" s="21">
        <f t="shared" si="163"/>
        <v>2</v>
      </c>
      <c r="AX2469" s="21" t="str">
        <f t="shared" si="162"/>
        <v/>
      </c>
      <c r="AY2469" s="21" t="str">
        <f>IF(AND($AM2469&lt;&gt;"",$AS2469&lt;&gt;"✓"),SUMPRODUCT(($AM$11:$AM2469&lt;&gt;"")*($AS$11:$AS2469&lt;&gt;"✓")),"")</f>
        <v/>
      </c>
      <c r="AZ2469" s="21" t="str">
        <f>IF(AND($AM2469&lt;&gt;"",$AS2469="✓"),SUMPRODUCT(($AM$11:$AM2469&lt;&gt;"")*($AS$11:$AS2469="✓")),"")</f>
        <v/>
      </c>
      <c r="BA2469" s="21" t="str">
        <f>IF($AL2469="","",$AL2469&amp;"|"&amp;COUNTIF($AL$11:$AL2469,$AL2469))</f>
        <v/>
      </c>
    </row>
    <row r="2470" spans="38:53" ht="15" customHeight="1" x14ac:dyDescent="0.25">
      <c r="AL2470" s="31"/>
      <c r="AM2470" s="26"/>
      <c r="AN2470" s="32"/>
      <c r="AO2470" s="32"/>
      <c r="AP2470" s="24"/>
      <c r="AQ2470" s="24"/>
      <c r="AR2470" s="33"/>
      <c r="AS2470" s="34"/>
      <c r="AT2470" s="33"/>
      <c r="AV2470" s="21">
        <f>IF(AND($AL2470&lt;&gt;"",COUNTIF($AL$11:$AL2470,$AL2470)=1),1,0)</f>
        <v>0</v>
      </c>
      <c r="AW2470" s="21">
        <f t="shared" si="163"/>
        <v>2</v>
      </c>
      <c r="AX2470" s="21" t="str">
        <f t="shared" si="162"/>
        <v/>
      </c>
      <c r="AY2470" s="21" t="str">
        <f>IF(AND($AM2470&lt;&gt;"",$AS2470&lt;&gt;"✓"),SUMPRODUCT(($AM$11:$AM2470&lt;&gt;"")*($AS$11:$AS2470&lt;&gt;"✓")),"")</f>
        <v/>
      </c>
      <c r="AZ2470" s="21" t="str">
        <f>IF(AND($AM2470&lt;&gt;"",$AS2470="✓"),SUMPRODUCT(($AM$11:$AM2470&lt;&gt;"")*($AS$11:$AS2470="✓")),"")</f>
        <v/>
      </c>
      <c r="BA2470" s="21" t="str">
        <f>IF($AL2470="","",$AL2470&amp;"|"&amp;COUNTIF($AL$11:$AL2470,$AL2470))</f>
        <v/>
      </c>
    </row>
    <row r="2471" spans="38:53" ht="15" customHeight="1" x14ac:dyDescent="0.25">
      <c r="AL2471" s="17"/>
      <c r="AM2471" s="12"/>
      <c r="AN2471" s="18"/>
      <c r="AO2471" s="18"/>
      <c r="AP2471" s="10"/>
      <c r="AQ2471" s="10"/>
      <c r="AR2471" s="19"/>
      <c r="AS2471" s="20"/>
      <c r="AT2471" s="19"/>
      <c r="AV2471" s="21">
        <f>IF(AND($AL2471&lt;&gt;"",COUNTIF($AL$11:$AL2471,$AL2471)=1),1,0)</f>
        <v>0</v>
      </c>
      <c r="AW2471" s="21">
        <f t="shared" si="163"/>
        <v>2</v>
      </c>
      <c r="AX2471" s="21" t="str">
        <f t="shared" si="162"/>
        <v/>
      </c>
      <c r="AY2471" s="21" t="str">
        <f>IF(AND($AM2471&lt;&gt;"",$AS2471&lt;&gt;"✓"),SUMPRODUCT(($AM$11:$AM2471&lt;&gt;"")*($AS$11:$AS2471&lt;&gt;"✓")),"")</f>
        <v/>
      </c>
      <c r="AZ2471" s="21" t="str">
        <f>IF(AND($AM2471&lt;&gt;"",$AS2471="✓"),SUMPRODUCT(($AM$11:$AM2471&lt;&gt;"")*($AS$11:$AS2471="✓")),"")</f>
        <v/>
      </c>
      <c r="BA2471" s="21" t="str">
        <f>IF($AL2471="","",$AL2471&amp;"|"&amp;COUNTIF($AL$11:$AL2471,$AL2471))</f>
        <v/>
      </c>
    </row>
    <row r="2472" spans="38:53" ht="15" customHeight="1" x14ac:dyDescent="0.25">
      <c r="AL2472" s="31"/>
      <c r="AM2472" s="26"/>
      <c r="AN2472" s="32"/>
      <c r="AO2472" s="32"/>
      <c r="AP2472" s="24"/>
      <c r="AQ2472" s="24"/>
      <c r="AR2472" s="33"/>
      <c r="AS2472" s="34"/>
      <c r="AT2472" s="33"/>
      <c r="AV2472" s="21">
        <f>IF(AND($AL2472&lt;&gt;"",COUNTIF($AL$11:$AL2472,$AL2472)=1),1,0)</f>
        <v>0</v>
      </c>
      <c r="AW2472" s="21">
        <f t="shared" si="163"/>
        <v>2</v>
      </c>
      <c r="AX2472" s="21" t="str">
        <f t="shared" si="162"/>
        <v/>
      </c>
      <c r="AY2472" s="21" t="str">
        <f>IF(AND($AM2472&lt;&gt;"",$AS2472&lt;&gt;"✓"),SUMPRODUCT(($AM$11:$AM2472&lt;&gt;"")*($AS$11:$AS2472&lt;&gt;"✓")),"")</f>
        <v/>
      </c>
      <c r="AZ2472" s="21" t="str">
        <f>IF(AND($AM2472&lt;&gt;"",$AS2472="✓"),SUMPRODUCT(($AM$11:$AM2472&lt;&gt;"")*($AS$11:$AS2472="✓")),"")</f>
        <v/>
      </c>
      <c r="BA2472" s="21" t="str">
        <f>IF($AL2472="","",$AL2472&amp;"|"&amp;COUNTIF($AL$11:$AL2472,$AL2472))</f>
        <v/>
      </c>
    </row>
    <row r="2473" spans="38:53" ht="15" customHeight="1" x14ac:dyDescent="0.25">
      <c r="AL2473" s="17"/>
      <c r="AM2473" s="12"/>
      <c r="AN2473" s="18"/>
      <c r="AO2473" s="18"/>
      <c r="AP2473" s="10"/>
      <c r="AQ2473" s="10"/>
      <c r="AR2473" s="19"/>
      <c r="AS2473" s="20"/>
      <c r="AT2473" s="19"/>
      <c r="AV2473" s="21">
        <f>IF(AND($AL2473&lt;&gt;"",COUNTIF($AL$11:$AL2473,$AL2473)=1),1,0)</f>
        <v>0</v>
      </c>
      <c r="AW2473" s="21">
        <f t="shared" si="163"/>
        <v>2</v>
      </c>
      <c r="AX2473" s="21" t="str">
        <f t="shared" si="162"/>
        <v/>
      </c>
      <c r="AY2473" s="21" t="str">
        <f>IF(AND($AM2473&lt;&gt;"",$AS2473&lt;&gt;"✓"),SUMPRODUCT(($AM$11:$AM2473&lt;&gt;"")*($AS$11:$AS2473&lt;&gt;"✓")),"")</f>
        <v/>
      </c>
      <c r="AZ2473" s="21" t="str">
        <f>IF(AND($AM2473&lt;&gt;"",$AS2473="✓"),SUMPRODUCT(($AM$11:$AM2473&lt;&gt;"")*($AS$11:$AS2473="✓")),"")</f>
        <v/>
      </c>
      <c r="BA2473" s="21" t="str">
        <f>IF($AL2473="","",$AL2473&amp;"|"&amp;COUNTIF($AL$11:$AL2473,$AL2473))</f>
        <v/>
      </c>
    </row>
    <row r="2474" spans="38:53" ht="15" customHeight="1" x14ac:dyDescent="0.25">
      <c r="AL2474" s="31"/>
      <c r="AM2474" s="26"/>
      <c r="AN2474" s="32"/>
      <c r="AO2474" s="32"/>
      <c r="AP2474" s="24"/>
      <c r="AQ2474" s="24"/>
      <c r="AR2474" s="33"/>
      <c r="AS2474" s="34"/>
      <c r="AT2474" s="33"/>
      <c r="AV2474" s="21">
        <f>IF(AND($AL2474&lt;&gt;"",COUNTIF($AL$11:$AL2474,$AL2474)=1),1,0)</f>
        <v>0</v>
      </c>
      <c r="AW2474" s="21">
        <f t="shared" si="163"/>
        <v>2</v>
      </c>
      <c r="AX2474" s="21" t="str">
        <f t="shared" si="162"/>
        <v/>
      </c>
      <c r="AY2474" s="21" t="str">
        <f>IF(AND($AM2474&lt;&gt;"",$AS2474&lt;&gt;"✓"),SUMPRODUCT(($AM$11:$AM2474&lt;&gt;"")*($AS$11:$AS2474&lt;&gt;"✓")),"")</f>
        <v/>
      </c>
      <c r="AZ2474" s="21" t="str">
        <f>IF(AND($AM2474&lt;&gt;"",$AS2474="✓"),SUMPRODUCT(($AM$11:$AM2474&lt;&gt;"")*($AS$11:$AS2474="✓")),"")</f>
        <v/>
      </c>
      <c r="BA2474" s="21" t="str">
        <f>IF($AL2474="","",$AL2474&amp;"|"&amp;COUNTIF($AL$11:$AL2474,$AL2474))</f>
        <v/>
      </c>
    </row>
    <row r="2475" spans="38:53" ht="15" customHeight="1" x14ac:dyDescent="0.25">
      <c r="AL2475" s="17"/>
      <c r="AM2475" s="12"/>
      <c r="AN2475" s="18"/>
      <c r="AO2475" s="18"/>
      <c r="AP2475" s="10"/>
      <c r="AQ2475" s="10"/>
      <c r="AR2475" s="19"/>
      <c r="AS2475" s="20"/>
      <c r="AT2475" s="19"/>
      <c r="AV2475" s="21">
        <f>IF(AND($AL2475&lt;&gt;"",COUNTIF($AL$11:$AL2475,$AL2475)=1),1,0)</f>
        <v>0</v>
      </c>
      <c r="AW2475" s="21">
        <f t="shared" si="163"/>
        <v>2</v>
      </c>
      <c r="AX2475" s="21" t="str">
        <f t="shared" si="162"/>
        <v/>
      </c>
      <c r="AY2475" s="21" t="str">
        <f>IF(AND($AM2475&lt;&gt;"",$AS2475&lt;&gt;"✓"),SUMPRODUCT(($AM$11:$AM2475&lt;&gt;"")*($AS$11:$AS2475&lt;&gt;"✓")),"")</f>
        <v/>
      </c>
      <c r="AZ2475" s="21" t="str">
        <f>IF(AND($AM2475&lt;&gt;"",$AS2475="✓"),SUMPRODUCT(($AM$11:$AM2475&lt;&gt;"")*($AS$11:$AS2475="✓")),"")</f>
        <v/>
      </c>
      <c r="BA2475" s="21" t="str">
        <f>IF($AL2475="","",$AL2475&amp;"|"&amp;COUNTIF($AL$11:$AL2475,$AL2475))</f>
        <v/>
      </c>
    </row>
    <row r="2476" spans="38:53" ht="15" customHeight="1" x14ac:dyDescent="0.25">
      <c r="AL2476" s="31"/>
      <c r="AM2476" s="26"/>
      <c r="AN2476" s="32"/>
      <c r="AO2476" s="32"/>
      <c r="AP2476" s="24"/>
      <c r="AQ2476" s="24"/>
      <c r="AR2476" s="33"/>
      <c r="AS2476" s="34"/>
      <c r="AT2476" s="33"/>
      <c r="AV2476" s="21">
        <f>IF(AND($AL2476&lt;&gt;"",COUNTIF($AL$11:$AL2476,$AL2476)=1),1,0)</f>
        <v>0</v>
      </c>
      <c r="AW2476" s="21">
        <f t="shared" si="163"/>
        <v>2</v>
      </c>
      <c r="AX2476" s="21" t="str">
        <f t="shared" si="162"/>
        <v/>
      </c>
      <c r="AY2476" s="21" t="str">
        <f>IF(AND($AM2476&lt;&gt;"",$AS2476&lt;&gt;"✓"),SUMPRODUCT(($AM$11:$AM2476&lt;&gt;"")*($AS$11:$AS2476&lt;&gt;"✓")),"")</f>
        <v/>
      </c>
      <c r="AZ2476" s="21" t="str">
        <f>IF(AND($AM2476&lt;&gt;"",$AS2476="✓"),SUMPRODUCT(($AM$11:$AM2476&lt;&gt;"")*($AS$11:$AS2476="✓")),"")</f>
        <v/>
      </c>
      <c r="BA2476" s="21" t="str">
        <f>IF($AL2476="","",$AL2476&amp;"|"&amp;COUNTIF($AL$11:$AL2476,$AL2476))</f>
        <v/>
      </c>
    </row>
    <row r="2477" spans="38:53" ht="15" customHeight="1" x14ac:dyDescent="0.25">
      <c r="AL2477" s="17"/>
      <c r="AM2477" s="12"/>
      <c r="AN2477" s="18"/>
      <c r="AO2477" s="18"/>
      <c r="AP2477" s="10"/>
      <c r="AQ2477" s="10"/>
      <c r="AR2477" s="19"/>
      <c r="AS2477" s="20"/>
      <c r="AT2477" s="19"/>
      <c r="AV2477" s="21">
        <f>IF(AND($AL2477&lt;&gt;"",COUNTIF($AL$11:$AL2477,$AL2477)=1),1,0)</f>
        <v>0</v>
      </c>
      <c r="AW2477" s="21">
        <f t="shared" si="163"/>
        <v>2</v>
      </c>
      <c r="AX2477" s="21" t="str">
        <f t="shared" si="162"/>
        <v/>
      </c>
      <c r="AY2477" s="21" t="str">
        <f>IF(AND($AM2477&lt;&gt;"",$AS2477&lt;&gt;"✓"),SUMPRODUCT(($AM$11:$AM2477&lt;&gt;"")*($AS$11:$AS2477&lt;&gt;"✓")),"")</f>
        <v/>
      </c>
      <c r="AZ2477" s="21" t="str">
        <f>IF(AND($AM2477&lt;&gt;"",$AS2477="✓"),SUMPRODUCT(($AM$11:$AM2477&lt;&gt;"")*($AS$11:$AS2477="✓")),"")</f>
        <v/>
      </c>
      <c r="BA2477" s="21" t="str">
        <f>IF($AL2477="","",$AL2477&amp;"|"&amp;COUNTIF($AL$11:$AL2477,$AL2477))</f>
        <v/>
      </c>
    </row>
    <row r="2478" spans="38:53" ht="15" customHeight="1" x14ac:dyDescent="0.25">
      <c r="AL2478" s="31"/>
      <c r="AM2478" s="26"/>
      <c r="AN2478" s="32"/>
      <c r="AO2478" s="32"/>
      <c r="AP2478" s="24"/>
      <c r="AQ2478" s="24"/>
      <c r="AR2478" s="33"/>
      <c r="AS2478" s="34"/>
      <c r="AT2478" s="33"/>
      <c r="AV2478" s="21">
        <f>IF(AND($AL2478&lt;&gt;"",COUNTIF($AL$11:$AL2478,$AL2478)=1),1,0)</f>
        <v>0</v>
      </c>
      <c r="AW2478" s="21">
        <f t="shared" si="163"/>
        <v>2</v>
      </c>
      <c r="AX2478" s="21" t="str">
        <f t="shared" si="162"/>
        <v/>
      </c>
      <c r="AY2478" s="21" t="str">
        <f>IF(AND($AM2478&lt;&gt;"",$AS2478&lt;&gt;"✓"),SUMPRODUCT(($AM$11:$AM2478&lt;&gt;"")*($AS$11:$AS2478&lt;&gt;"✓")),"")</f>
        <v/>
      </c>
      <c r="AZ2478" s="21" t="str">
        <f>IF(AND($AM2478&lt;&gt;"",$AS2478="✓"),SUMPRODUCT(($AM$11:$AM2478&lt;&gt;"")*($AS$11:$AS2478="✓")),"")</f>
        <v/>
      </c>
      <c r="BA2478" s="21" t="str">
        <f>IF($AL2478="","",$AL2478&amp;"|"&amp;COUNTIF($AL$11:$AL2478,$AL2478))</f>
        <v/>
      </c>
    </row>
    <row r="2479" spans="38:53" ht="15" customHeight="1" x14ac:dyDescent="0.25">
      <c r="AL2479" s="17"/>
      <c r="AM2479" s="12"/>
      <c r="AN2479" s="18"/>
      <c r="AO2479" s="18"/>
      <c r="AP2479" s="10"/>
      <c r="AQ2479" s="10"/>
      <c r="AR2479" s="19"/>
      <c r="AS2479" s="20"/>
      <c r="AT2479" s="19"/>
      <c r="AV2479" s="21">
        <f>IF(AND($AL2479&lt;&gt;"",COUNTIF($AL$11:$AL2479,$AL2479)=1),1,0)</f>
        <v>0</v>
      </c>
      <c r="AW2479" s="21">
        <f t="shared" si="163"/>
        <v>2</v>
      </c>
      <c r="AX2479" s="21" t="str">
        <f t="shared" si="162"/>
        <v/>
      </c>
      <c r="AY2479" s="21" t="str">
        <f>IF(AND($AM2479&lt;&gt;"",$AS2479&lt;&gt;"✓"),SUMPRODUCT(($AM$11:$AM2479&lt;&gt;"")*($AS$11:$AS2479&lt;&gt;"✓")),"")</f>
        <v/>
      </c>
      <c r="AZ2479" s="21" t="str">
        <f>IF(AND($AM2479&lt;&gt;"",$AS2479="✓"),SUMPRODUCT(($AM$11:$AM2479&lt;&gt;"")*($AS$11:$AS2479="✓")),"")</f>
        <v/>
      </c>
      <c r="BA2479" s="21" t="str">
        <f>IF($AL2479="","",$AL2479&amp;"|"&amp;COUNTIF($AL$11:$AL2479,$AL2479))</f>
        <v/>
      </c>
    </row>
    <row r="2480" spans="38:53" ht="15" customHeight="1" x14ac:dyDescent="0.25">
      <c r="AL2480" s="31"/>
      <c r="AM2480" s="26"/>
      <c r="AN2480" s="32"/>
      <c r="AO2480" s="32"/>
      <c r="AP2480" s="24"/>
      <c r="AQ2480" s="24"/>
      <c r="AR2480" s="33"/>
      <c r="AS2480" s="34"/>
      <c r="AT2480" s="33"/>
      <c r="AV2480" s="21">
        <f>IF(AND($AL2480&lt;&gt;"",COUNTIF($AL$11:$AL2480,$AL2480)=1),1,0)</f>
        <v>0</v>
      </c>
      <c r="AW2480" s="21">
        <f t="shared" si="163"/>
        <v>2</v>
      </c>
      <c r="AX2480" s="21" t="str">
        <f t="shared" si="162"/>
        <v/>
      </c>
      <c r="AY2480" s="21" t="str">
        <f>IF(AND($AM2480&lt;&gt;"",$AS2480&lt;&gt;"✓"),SUMPRODUCT(($AM$11:$AM2480&lt;&gt;"")*($AS$11:$AS2480&lt;&gt;"✓")),"")</f>
        <v/>
      </c>
      <c r="AZ2480" s="21" t="str">
        <f>IF(AND($AM2480&lt;&gt;"",$AS2480="✓"),SUMPRODUCT(($AM$11:$AM2480&lt;&gt;"")*($AS$11:$AS2480="✓")),"")</f>
        <v/>
      </c>
      <c r="BA2480" s="21" t="str">
        <f>IF($AL2480="","",$AL2480&amp;"|"&amp;COUNTIF($AL$11:$AL2480,$AL2480))</f>
        <v/>
      </c>
    </row>
    <row r="2481" spans="38:53" ht="15" customHeight="1" x14ac:dyDescent="0.25">
      <c r="AL2481" s="17"/>
      <c r="AM2481" s="12"/>
      <c r="AN2481" s="18"/>
      <c r="AO2481" s="18"/>
      <c r="AP2481" s="10"/>
      <c r="AQ2481" s="10"/>
      <c r="AR2481" s="19"/>
      <c r="AS2481" s="20"/>
      <c r="AT2481" s="19"/>
      <c r="AV2481" s="21">
        <f>IF(AND($AL2481&lt;&gt;"",COUNTIF($AL$11:$AL2481,$AL2481)=1),1,0)</f>
        <v>0</v>
      </c>
      <c r="AW2481" s="21">
        <f t="shared" si="163"/>
        <v>2</v>
      </c>
      <c r="AX2481" s="21" t="str">
        <f t="shared" si="162"/>
        <v/>
      </c>
      <c r="AY2481" s="21" t="str">
        <f>IF(AND($AM2481&lt;&gt;"",$AS2481&lt;&gt;"✓"),SUMPRODUCT(($AM$11:$AM2481&lt;&gt;"")*($AS$11:$AS2481&lt;&gt;"✓")),"")</f>
        <v/>
      </c>
      <c r="AZ2481" s="21" t="str">
        <f>IF(AND($AM2481&lt;&gt;"",$AS2481="✓"),SUMPRODUCT(($AM$11:$AM2481&lt;&gt;"")*($AS$11:$AS2481="✓")),"")</f>
        <v/>
      </c>
      <c r="BA2481" s="21" t="str">
        <f>IF($AL2481="","",$AL2481&amp;"|"&amp;COUNTIF($AL$11:$AL2481,$AL2481))</f>
        <v/>
      </c>
    </row>
    <row r="2482" spans="38:53" ht="15" customHeight="1" x14ac:dyDescent="0.25">
      <c r="AL2482" s="31"/>
      <c r="AM2482" s="26"/>
      <c r="AN2482" s="32"/>
      <c r="AO2482" s="32"/>
      <c r="AP2482" s="24"/>
      <c r="AQ2482" s="24"/>
      <c r="AR2482" s="33"/>
      <c r="AS2482" s="34"/>
      <c r="AT2482" s="33"/>
      <c r="AV2482" s="21">
        <f>IF(AND($AL2482&lt;&gt;"",COUNTIF($AL$11:$AL2482,$AL2482)=1),1,0)</f>
        <v>0</v>
      </c>
      <c r="AW2482" s="21">
        <f t="shared" si="163"/>
        <v>2</v>
      </c>
      <c r="AX2482" s="21" t="str">
        <f t="shared" si="162"/>
        <v/>
      </c>
      <c r="AY2482" s="21" t="str">
        <f>IF(AND($AM2482&lt;&gt;"",$AS2482&lt;&gt;"✓"),SUMPRODUCT(($AM$11:$AM2482&lt;&gt;"")*($AS$11:$AS2482&lt;&gt;"✓")),"")</f>
        <v/>
      </c>
      <c r="AZ2482" s="21" t="str">
        <f>IF(AND($AM2482&lt;&gt;"",$AS2482="✓"),SUMPRODUCT(($AM$11:$AM2482&lt;&gt;"")*($AS$11:$AS2482="✓")),"")</f>
        <v/>
      </c>
      <c r="BA2482" s="21" t="str">
        <f>IF($AL2482="","",$AL2482&amp;"|"&amp;COUNTIF($AL$11:$AL2482,$AL2482))</f>
        <v/>
      </c>
    </row>
    <row r="2483" spans="38:53" ht="15" customHeight="1" x14ac:dyDescent="0.25">
      <c r="AL2483" s="17"/>
      <c r="AM2483" s="12"/>
      <c r="AN2483" s="18"/>
      <c r="AO2483" s="18"/>
      <c r="AP2483" s="10"/>
      <c r="AQ2483" s="10"/>
      <c r="AR2483" s="19"/>
      <c r="AS2483" s="20"/>
      <c r="AT2483" s="19"/>
      <c r="AV2483" s="21">
        <f>IF(AND($AL2483&lt;&gt;"",COUNTIF($AL$11:$AL2483,$AL2483)=1),1,0)</f>
        <v>0</v>
      </c>
      <c r="AW2483" s="21">
        <f t="shared" si="163"/>
        <v>2</v>
      </c>
      <c r="AX2483" s="21" t="str">
        <f t="shared" si="162"/>
        <v/>
      </c>
      <c r="AY2483" s="21" t="str">
        <f>IF(AND($AM2483&lt;&gt;"",$AS2483&lt;&gt;"✓"),SUMPRODUCT(($AM$11:$AM2483&lt;&gt;"")*($AS$11:$AS2483&lt;&gt;"✓")),"")</f>
        <v/>
      </c>
      <c r="AZ2483" s="21" t="str">
        <f>IF(AND($AM2483&lt;&gt;"",$AS2483="✓"),SUMPRODUCT(($AM$11:$AM2483&lt;&gt;"")*($AS$11:$AS2483="✓")),"")</f>
        <v/>
      </c>
      <c r="BA2483" s="21" t="str">
        <f>IF($AL2483="","",$AL2483&amp;"|"&amp;COUNTIF($AL$11:$AL2483,$AL2483))</f>
        <v/>
      </c>
    </row>
    <row r="2484" spans="38:53" ht="15" customHeight="1" x14ac:dyDescent="0.25">
      <c r="AL2484" s="31"/>
      <c r="AM2484" s="26"/>
      <c r="AN2484" s="32"/>
      <c r="AO2484" s="32"/>
      <c r="AP2484" s="24"/>
      <c r="AQ2484" s="24"/>
      <c r="AR2484" s="33"/>
      <c r="AS2484" s="34"/>
      <c r="AT2484" s="33"/>
      <c r="AV2484" s="21">
        <f>IF(AND($AL2484&lt;&gt;"",COUNTIF($AL$11:$AL2484,$AL2484)=1),1,0)</f>
        <v>0</v>
      </c>
      <c r="AW2484" s="21">
        <f t="shared" si="163"/>
        <v>2</v>
      </c>
      <c r="AX2484" s="21" t="str">
        <f t="shared" si="162"/>
        <v/>
      </c>
      <c r="AY2484" s="21" t="str">
        <f>IF(AND($AM2484&lt;&gt;"",$AS2484&lt;&gt;"✓"),SUMPRODUCT(($AM$11:$AM2484&lt;&gt;"")*($AS$11:$AS2484&lt;&gt;"✓")),"")</f>
        <v/>
      </c>
      <c r="AZ2484" s="21" t="str">
        <f>IF(AND($AM2484&lt;&gt;"",$AS2484="✓"),SUMPRODUCT(($AM$11:$AM2484&lt;&gt;"")*($AS$11:$AS2484="✓")),"")</f>
        <v/>
      </c>
      <c r="BA2484" s="21" t="str">
        <f>IF($AL2484="","",$AL2484&amp;"|"&amp;COUNTIF($AL$11:$AL2484,$AL2484))</f>
        <v/>
      </c>
    </row>
    <row r="2485" spans="38:53" ht="15" customHeight="1" x14ac:dyDescent="0.25">
      <c r="AL2485" s="17"/>
      <c r="AM2485" s="12"/>
      <c r="AN2485" s="18"/>
      <c r="AO2485" s="18"/>
      <c r="AP2485" s="10"/>
      <c r="AQ2485" s="10"/>
      <c r="AR2485" s="19"/>
      <c r="AS2485" s="20"/>
      <c r="AT2485" s="19"/>
      <c r="AV2485" s="21">
        <f>IF(AND($AL2485&lt;&gt;"",COUNTIF($AL$11:$AL2485,$AL2485)=1),1,0)</f>
        <v>0</v>
      </c>
      <c r="AW2485" s="21">
        <f t="shared" si="163"/>
        <v>2</v>
      </c>
      <c r="AX2485" s="21" t="str">
        <f t="shared" si="162"/>
        <v/>
      </c>
      <c r="AY2485" s="21" t="str">
        <f>IF(AND($AM2485&lt;&gt;"",$AS2485&lt;&gt;"✓"),SUMPRODUCT(($AM$11:$AM2485&lt;&gt;"")*($AS$11:$AS2485&lt;&gt;"✓")),"")</f>
        <v/>
      </c>
      <c r="AZ2485" s="21" t="str">
        <f>IF(AND($AM2485&lt;&gt;"",$AS2485="✓"),SUMPRODUCT(($AM$11:$AM2485&lt;&gt;"")*($AS$11:$AS2485="✓")),"")</f>
        <v/>
      </c>
      <c r="BA2485" s="21" t="str">
        <f>IF($AL2485="","",$AL2485&amp;"|"&amp;COUNTIF($AL$11:$AL2485,$AL2485))</f>
        <v/>
      </c>
    </row>
    <row r="2486" spans="38:53" ht="15" customHeight="1" x14ac:dyDescent="0.25">
      <c r="AL2486" s="31"/>
      <c r="AM2486" s="26"/>
      <c r="AN2486" s="32"/>
      <c r="AO2486" s="32"/>
      <c r="AP2486" s="24"/>
      <c r="AQ2486" s="24"/>
      <c r="AR2486" s="33"/>
      <c r="AS2486" s="34"/>
      <c r="AT2486" s="33"/>
      <c r="AV2486" s="21">
        <f>IF(AND($AL2486&lt;&gt;"",COUNTIF($AL$11:$AL2486,$AL2486)=1),1,0)</f>
        <v>0</v>
      </c>
      <c r="AW2486" s="21">
        <f t="shared" si="163"/>
        <v>2</v>
      </c>
      <c r="AX2486" s="21" t="str">
        <f t="shared" si="162"/>
        <v/>
      </c>
      <c r="AY2486" s="21" t="str">
        <f>IF(AND($AM2486&lt;&gt;"",$AS2486&lt;&gt;"✓"),SUMPRODUCT(($AM$11:$AM2486&lt;&gt;"")*($AS$11:$AS2486&lt;&gt;"✓")),"")</f>
        <v/>
      </c>
      <c r="AZ2486" s="21" t="str">
        <f>IF(AND($AM2486&lt;&gt;"",$AS2486="✓"),SUMPRODUCT(($AM$11:$AM2486&lt;&gt;"")*($AS$11:$AS2486="✓")),"")</f>
        <v/>
      </c>
      <c r="BA2486" s="21" t="str">
        <f>IF($AL2486="","",$AL2486&amp;"|"&amp;COUNTIF($AL$11:$AL2486,$AL2486))</f>
        <v/>
      </c>
    </row>
    <row r="2487" spans="38:53" ht="15" customHeight="1" x14ac:dyDescent="0.25">
      <c r="AL2487" s="17"/>
      <c r="AM2487" s="12"/>
      <c r="AN2487" s="18"/>
      <c r="AO2487" s="18"/>
      <c r="AP2487" s="10"/>
      <c r="AQ2487" s="10"/>
      <c r="AR2487" s="19"/>
      <c r="AS2487" s="20"/>
      <c r="AT2487" s="19"/>
      <c r="AV2487" s="21">
        <f>IF(AND($AL2487&lt;&gt;"",COUNTIF($AL$11:$AL2487,$AL2487)=1),1,0)</f>
        <v>0</v>
      </c>
      <c r="AW2487" s="21">
        <f t="shared" si="163"/>
        <v>2</v>
      </c>
      <c r="AX2487" s="21" t="str">
        <f t="shared" si="162"/>
        <v/>
      </c>
      <c r="AY2487" s="21" t="str">
        <f>IF(AND($AM2487&lt;&gt;"",$AS2487&lt;&gt;"✓"),SUMPRODUCT(($AM$11:$AM2487&lt;&gt;"")*($AS$11:$AS2487&lt;&gt;"✓")),"")</f>
        <v/>
      </c>
      <c r="AZ2487" s="21" t="str">
        <f>IF(AND($AM2487&lt;&gt;"",$AS2487="✓"),SUMPRODUCT(($AM$11:$AM2487&lt;&gt;"")*($AS$11:$AS2487="✓")),"")</f>
        <v/>
      </c>
      <c r="BA2487" s="21" t="str">
        <f>IF($AL2487="","",$AL2487&amp;"|"&amp;COUNTIF($AL$11:$AL2487,$AL2487))</f>
        <v/>
      </c>
    </row>
    <row r="2488" spans="38:53" ht="15" customHeight="1" x14ac:dyDescent="0.25">
      <c r="AL2488" s="31"/>
      <c r="AM2488" s="26"/>
      <c r="AN2488" s="32"/>
      <c r="AO2488" s="32"/>
      <c r="AP2488" s="24"/>
      <c r="AQ2488" s="24"/>
      <c r="AR2488" s="33"/>
      <c r="AS2488" s="34"/>
      <c r="AT2488" s="33"/>
      <c r="AV2488" s="21">
        <f>IF(AND($AL2488&lt;&gt;"",COUNTIF($AL$11:$AL2488,$AL2488)=1),1,0)</f>
        <v>0</v>
      </c>
      <c r="AW2488" s="21">
        <f t="shared" si="163"/>
        <v>2</v>
      </c>
      <c r="AX2488" s="21" t="str">
        <f t="shared" si="162"/>
        <v/>
      </c>
      <c r="AY2488" s="21" t="str">
        <f>IF(AND($AM2488&lt;&gt;"",$AS2488&lt;&gt;"✓"),SUMPRODUCT(($AM$11:$AM2488&lt;&gt;"")*($AS$11:$AS2488&lt;&gt;"✓")),"")</f>
        <v/>
      </c>
      <c r="AZ2488" s="21" t="str">
        <f>IF(AND($AM2488&lt;&gt;"",$AS2488="✓"),SUMPRODUCT(($AM$11:$AM2488&lt;&gt;"")*($AS$11:$AS2488="✓")),"")</f>
        <v/>
      </c>
      <c r="BA2488" s="21" t="str">
        <f>IF($AL2488="","",$AL2488&amp;"|"&amp;COUNTIF($AL$11:$AL2488,$AL2488))</f>
        <v/>
      </c>
    </row>
    <row r="2489" spans="38:53" ht="15" customHeight="1" x14ac:dyDescent="0.25">
      <c r="AL2489" s="17"/>
      <c r="AM2489" s="12"/>
      <c r="AN2489" s="18"/>
      <c r="AO2489" s="18"/>
      <c r="AP2489" s="10"/>
      <c r="AQ2489" s="10"/>
      <c r="AR2489" s="19"/>
      <c r="AS2489" s="20"/>
      <c r="AT2489" s="19"/>
      <c r="AV2489" s="21">
        <f>IF(AND($AL2489&lt;&gt;"",COUNTIF($AL$11:$AL2489,$AL2489)=1),1,0)</f>
        <v>0</v>
      </c>
      <c r="AW2489" s="21">
        <f t="shared" si="163"/>
        <v>2</v>
      </c>
      <c r="AX2489" s="21" t="str">
        <f t="shared" si="162"/>
        <v/>
      </c>
      <c r="AY2489" s="21" t="str">
        <f>IF(AND($AM2489&lt;&gt;"",$AS2489&lt;&gt;"✓"),SUMPRODUCT(($AM$11:$AM2489&lt;&gt;"")*($AS$11:$AS2489&lt;&gt;"✓")),"")</f>
        <v/>
      </c>
      <c r="AZ2489" s="21" t="str">
        <f>IF(AND($AM2489&lt;&gt;"",$AS2489="✓"),SUMPRODUCT(($AM$11:$AM2489&lt;&gt;"")*($AS$11:$AS2489="✓")),"")</f>
        <v/>
      </c>
      <c r="BA2489" s="21" t="str">
        <f>IF($AL2489="","",$AL2489&amp;"|"&amp;COUNTIF($AL$11:$AL2489,$AL2489))</f>
        <v/>
      </c>
    </row>
    <row r="2490" spans="38:53" ht="15" customHeight="1" x14ac:dyDescent="0.25">
      <c r="AL2490" s="31"/>
      <c r="AM2490" s="26"/>
      <c r="AN2490" s="32"/>
      <c r="AO2490" s="32"/>
      <c r="AP2490" s="24"/>
      <c r="AQ2490" s="24"/>
      <c r="AR2490" s="33"/>
      <c r="AS2490" s="34"/>
      <c r="AT2490" s="33"/>
      <c r="AV2490" s="21">
        <f>IF(AND($AL2490&lt;&gt;"",COUNTIF($AL$11:$AL2490,$AL2490)=1),1,0)</f>
        <v>0</v>
      </c>
      <c r="AW2490" s="21">
        <f t="shared" si="163"/>
        <v>2</v>
      </c>
      <c r="AX2490" s="21" t="str">
        <f t="shared" si="162"/>
        <v/>
      </c>
      <c r="AY2490" s="21" t="str">
        <f>IF(AND($AM2490&lt;&gt;"",$AS2490&lt;&gt;"✓"),SUMPRODUCT(($AM$11:$AM2490&lt;&gt;"")*($AS$11:$AS2490&lt;&gt;"✓")),"")</f>
        <v/>
      </c>
      <c r="AZ2490" s="21" t="str">
        <f>IF(AND($AM2490&lt;&gt;"",$AS2490="✓"),SUMPRODUCT(($AM$11:$AM2490&lt;&gt;"")*($AS$11:$AS2490="✓")),"")</f>
        <v/>
      </c>
      <c r="BA2490" s="21" t="str">
        <f>IF($AL2490="","",$AL2490&amp;"|"&amp;COUNTIF($AL$11:$AL2490,$AL2490))</f>
        <v/>
      </c>
    </row>
    <row r="2491" spans="38:53" ht="15" customHeight="1" x14ac:dyDescent="0.25">
      <c r="AL2491" s="17"/>
      <c r="AM2491" s="12"/>
      <c r="AN2491" s="18"/>
      <c r="AO2491" s="18"/>
      <c r="AP2491" s="10"/>
      <c r="AQ2491" s="10"/>
      <c r="AR2491" s="19"/>
      <c r="AS2491" s="20"/>
      <c r="AT2491" s="19"/>
      <c r="AV2491" s="21">
        <f>IF(AND($AL2491&lt;&gt;"",COUNTIF($AL$11:$AL2491,$AL2491)=1),1,0)</f>
        <v>0</v>
      </c>
      <c r="AW2491" s="21">
        <f t="shared" si="163"/>
        <v>2</v>
      </c>
      <c r="AX2491" s="21" t="str">
        <f t="shared" si="162"/>
        <v/>
      </c>
      <c r="AY2491" s="21" t="str">
        <f>IF(AND($AM2491&lt;&gt;"",$AS2491&lt;&gt;"✓"),SUMPRODUCT(($AM$11:$AM2491&lt;&gt;"")*($AS$11:$AS2491&lt;&gt;"✓")),"")</f>
        <v/>
      </c>
      <c r="AZ2491" s="21" t="str">
        <f>IF(AND($AM2491&lt;&gt;"",$AS2491="✓"),SUMPRODUCT(($AM$11:$AM2491&lt;&gt;"")*($AS$11:$AS2491="✓")),"")</f>
        <v/>
      </c>
      <c r="BA2491" s="21" t="str">
        <f>IF($AL2491="","",$AL2491&amp;"|"&amp;COUNTIF($AL$11:$AL2491,$AL2491))</f>
        <v/>
      </c>
    </row>
    <row r="2492" spans="38:53" ht="15" customHeight="1" x14ac:dyDescent="0.25">
      <c r="AL2492" s="31"/>
      <c r="AM2492" s="26"/>
      <c r="AN2492" s="32"/>
      <c r="AO2492" s="32"/>
      <c r="AP2492" s="24"/>
      <c r="AQ2492" s="24"/>
      <c r="AR2492" s="33"/>
      <c r="AS2492" s="34"/>
      <c r="AT2492" s="33"/>
      <c r="AV2492" s="21">
        <f>IF(AND($AL2492&lt;&gt;"",COUNTIF($AL$11:$AL2492,$AL2492)=1),1,0)</f>
        <v>0</v>
      </c>
      <c r="AW2492" s="21">
        <f t="shared" si="163"/>
        <v>2</v>
      </c>
      <c r="AX2492" s="21" t="str">
        <f t="shared" si="162"/>
        <v/>
      </c>
      <c r="AY2492" s="21" t="str">
        <f>IF(AND($AM2492&lt;&gt;"",$AS2492&lt;&gt;"✓"),SUMPRODUCT(($AM$11:$AM2492&lt;&gt;"")*($AS$11:$AS2492&lt;&gt;"✓")),"")</f>
        <v/>
      </c>
      <c r="AZ2492" s="21" t="str">
        <f>IF(AND($AM2492&lt;&gt;"",$AS2492="✓"),SUMPRODUCT(($AM$11:$AM2492&lt;&gt;"")*($AS$11:$AS2492="✓")),"")</f>
        <v/>
      </c>
      <c r="BA2492" s="21" t="str">
        <f>IF($AL2492="","",$AL2492&amp;"|"&amp;COUNTIF($AL$11:$AL2492,$AL2492))</f>
        <v/>
      </c>
    </row>
    <row r="2493" spans="38:53" ht="15" customHeight="1" x14ac:dyDescent="0.25">
      <c r="AL2493" s="17"/>
      <c r="AM2493" s="12"/>
      <c r="AN2493" s="18"/>
      <c r="AO2493" s="18"/>
      <c r="AP2493" s="10"/>
      <c r="AQ2493" s="10"/>
      <c r="AR2493" s="19"/>
      <c r="AS2493" s="20"/>
      <c r="AT2493" s="19"/>
      <c r="AV2493" s="21">
        <f>IF(AND($AL2493&lt;&gt;"",COUNTIF($AL$11:$AL2493,$AL2493)=1),1,0)</f>
        <v>0</v>
      </c>
      <c r="AW2493" s="21">
        <f t="shared" si="163"/>
        <v>2</v>
      </c>
      <c r="AX2493" s="21" t="str">
        <f t="shared" si="162"/>
        <v/>
      </c>
      <c r="AY2493" s="21" t="str">
        <f>IF(AND($AM2493&lt;&gt;"",$AS2493&lt;&gt;"✓"),SUMPRODUCT(($AM$11:$AM2493&lt;&gt;"")*($AS$11:$AS2493&lt;&gt;"✓")),"")</f>
        <v/>
      </c>
      <c r="AZ2493" s="21" t="str">
        <f>IF(AND($AM2493&lt;&gt;"",$AS2493="✓"),SUMPRODUCT(($AM$11:$AM2493&lt;&gt;"")*($AS$11:$AS2493="✓")),"")</f>
        <v/>
      </c>
      <c r="BA2493" s="21" t="str">
        <f>IF($AL2493="","",$AL2493&amp;"|"&amp;COUNTIF($AL$11:$AL2493,$AL2493))</f>
        <v/>
      </c>
    </row>
    <row r="2494" spans="38:53" ht="15" customHeight="1" x14ac:dyDescent="0.25">
      <c r="AL2494" s="31"/>
      <c r="AM2494" s="26"/>
      <c r="AN2494" s="32"/>
      <c r="AO2494" s="32"/>
      <c r="AP2494" s="24"/>
      <c r="AQ2494" s="24"/>
      <c r="AR2494" s="33"/>
      <c r="AS2494" s="34"/>
      <c r="AT2494" s="33"/>
      <c r="AV2494" s="21">
        <f>IF(AND($AL2494&lt;&gt;"",COUNTIF($AL$11:$AL2494,$AL2494)=1),1,0)</f>
        <v>0</v>
      </c>
      <c r="AW2494" s="21">
        <f t="shared" si="163"/>
        <v>2</v>
      </c>
      <c r="AX2494" s="21" t="str">
        <f t="shared" si="162"/>
        <v/>
      </c>
      <c r="AY2494" s="21" t="str">
        <f>IF(AND($AM2494&lt;&gt;"",$AS2494&lt;&gt;"✓"),SUMPRODUCT(($AM$11:$AM2494&lt;&gt;"")*($AS$11:$AS2494&lt;&gt;"✓")),"")</f>
        <v/>
      </c>
      <c r="AZ2494" s="21" t="str">
        <f>IF(AND($AM2494&lt;&gt;"",$AS2494="✓"),SUMPRODUCT(($AM$11:$AM2494&lt;&gt;"")*($AS$11:$AS2494="✓")),"")</f>
        <v/>
      </c>
      <c r="BA2494" s="21" t="str">
        <f>IF($AL2494="","",$AL2494&amp;"|"&amp;COUNTIF($AL$11:$AL2494,$AL2494))</f>
        <v/>
      </c>
    </row>
    <row r="2495" spans="38:53" ht="15" customHeight="1" x14ac:dyDescent="0.25">
      <c r="AL2495" s="17"/>
      <c r="AM2495" s="12"/>
      <c r="AN2495" s="18"/>
      <c r="AO2495" s="18"/>
      <c r="AP2495" s="10"/>
      <c r="AQ2495" s="10"/>
      <c r="AR2495" s="19"/>
      <c r="AS2495" s="20"/>
      <c r="AT2495" s="19"/>
      <c r="AV2495" s="21">
        <f>IF(AND($AL2495&lt;&gt;"",COUNTIF($AL$11:$AL2495,$AL2495)=1),1,0)</f>
        <v>0</v>
      </c>
      <c r="AW2495" s="21">
        <f t="shared" si="163"/>
        <v>2</v>
      </c>
      <c r="AX2495" s="21" t="str">
        <f t="shared" si="162"/>
        <v/>
      </c>
      <c r="AY2495" s="21" t="str">
        <f>IF(AND($AM2495&lt;&gt;"",$AS2495&lt;&gt;"✓"),SUMPRODUCT(($AM$11:$AM2495&lt;&gt;"")*($AS$11:$AS2495&lt;&gt;"✓")),"")</f>
        <v/>
      </c>
      <c r="AZ2495" s="21" t="str">
        <f>IF(AND($AM2495&lt;&gt;"",$AS2495="✓"),SUMPRODUCT(($AM$11:$AM2495&lt;&gt;"")*($AS$11:$AS2495="✓")),"")</f>
        <v/>
      </c>
      <c r="BA2495" s="21" t="str">
        <f>IF($AL2495="","",$AL2495&amp;"|"&amp;COUNTIF($AL$11:$AL2495,$AL2495))</f>
        <v/>
      </c>
    </row>
    <row r="2496" spans="38:53" ht="15" customHeight="1" x14ac:dyDescent="0.25">
      <c r="AL2496" s="31"/>
      <c r="AM2496" s="26"/>
      <c r="AN2496" s="32"/>
      <c r="AO2496" s="32"/>
      <c r="AP2496" s="24"/>
      <c r="AQ2496" s="24"/>
      <c r="AR2496" s="33"/>
      <c r="AS2496" s="34"/>
      <c r="AT2496" s="33"/>
      <c r="AV2496" s="21">
        <f>IF(AND($AL2496&lt;&gt;"",COUNTIF($AL$11:$AL2496,$AL2496)=1),1,0)</f>
        <v>0</v>
      </c>
      <c r="AW2496" s="21">
        <f t="shared" si="163"/>
        <v>2</v>
      </c>
      <c r="AX2496" s="21" t="str">
        <f t="shared" si="162"/>
        <v/>
      </c>
      <c r="AY2496" s="21" t="str">
        <f>IF(AND($AM2496&lt;&gt;"",$AS2496&lt;&gt;"✓"),SUMPRODUCT(($AM$11:$AM2496&lt;&gt;"")*($AS$11:$AS2496&lt;&gt;"✓")),"")</f>
        <v/>
      </c>
      <c r="AZ2496" s="21" t="str">
        <f>IF(AND($AM2496&lt;&gt;"",$AS2496="✓"),SUMPRODUCT(($AM$11:$AM2496&lt;&gt;"")*($AS$11:$AS2496="✓")),"")</f>
        <v/>
      </c>
      <c r="BA2496" s="21" t="str">
        <f>IF($AL2496="","",$AL2496&amp;"|"&amp;COUNTIF($AL$11:$AL2496,$AL2496))</f>
        <v/>
      </c>
    </row>
    <row r="2497" spans="38:53" ht="15" customHeight="1" x14ac:dyDescent="0.25">
      <c r="AL2497" s="17"/>
      <c r="AM2497" s="12"/>
      <c r="AN2497" s="18"/>
      <c r="AO2497" s="18"/>
      <c r="AP2497" s="10"/>
      <c r="AQ2497" s="10"/>
      <c r="AR2497" s="19"/>
      <c r="AS2497" s="20"/>
      <c r="AT2497" s="19"/>
      <c r="AV2497" s="21">
        <f>IF(AND($AL2497&lt;&gt;"",COUNTIF($AL$11:$AL2497,$AL2497)=1),1,0)</f>
        <v>0</v>
      </c>
      <c r="AW2497" s="21">
        <f t="shared" si="163"/>
        <v>2</v>
      </c>
      <c r="AX2497" s="21" t="str">
        <f t="shared" si="162"/>
        <v/>
      </c>
      <c r="AY2497" s="21" t="str">
        <f>IF(AND($AM2497&lt;&gt;"",$AS2497&lt;&gt;"✓"),SUMPRODUCT(($AM$11:$AM2497&lt;&gt;"")*($AS$11:$AS2497&lt;&gt;"✓")),"")</f>
        <v/>
      </c>
      <c r="AZ2497" s="21" t="str">
        <f>IF(AND($AM2497&lt;&gt;"",$AS2497="✓"),SUMPRODUCT(($AM$11:$AM2497&lt;&gt;"")*($AS$11:$AS2497="✓")),"")</f>
        <v/>
      </c>
      <c r="BA2497" s="21" t="str">
        <f>IF($AL2497="","",$AL2497&amp;"|"&amp;COUNTIF($AL$11:$AL2497,$AL2497))</f>
        <v/>
      </c>
    </row>
    <row r="2498" spans="38:53" ht="15" customHeight="1" x14ac:dyDescent="0.25">
      <c r="AL2498" s="31"/>
      <c r="AM2498" s="26"/>
      <c r="AN2498" s="32"/>
      <c r="AO2498" s="32"/>
      <c r="AP2498" s="24"/>
      <c r="AQ2498" s="24"/>
      <c r="AR2498" s="33"/>
      <c r="AS2498" s="34"/>
      <c r="AT2498" s="33"/>
      <c r="AV2498" s="21">
        <f>IF(AND($AL2498&lt;&gt;"",COUNTIF($AL$11:$AL2498,$AL2498)=1),1,0)</f>
        <v>0</v>
      </c>
      <c r="AW2498" s="21">
        <f t="shared" si="163"/>
        <v>2</v>
      </c>
      <c r="AX2498" s="21" t="str">
        <f t="shared" si="162"/>
        <v/>
      </c>
      <c r="AY2498" s="21" t="str">
        <f>IF(AND($AM2498&lt;&gt;"",$AS2498&lt;&gt;"✓"),SUMPRODUCT(($AM$11:$AM2498&lt;&gt;"")*($AS$11:$AS2498&lt;&gt;"✓")),"")</f>
        <v/>
      </c>
      <c r="AZ2498" s="21" t="str">
        <f>IF(AND($AM2498&lt;&gt;"",$AS2498="✓"),SUMPRODUCT(($AM$11:$AM2498&lt;&gt;"")*($AS$11:$AS2498="✓")),"")</f>
        <v/>
      </c>
      <c r="BA2498" s="21" t="str">
        <f>IF($AL2498="","",$AL2498&amp;"|"&amp;COUNTIF($AL$11:$AL2498,$AL2498))</f>
        <v/>
      </c>
    </row>
    <row r="2499" spans="38:53" ht="15" customHeight="1" x14ac:dyDescent="0.25">
      <c r="AL2499" s="17"/>
      <c r="AM2499" s="12"/>
      <c r="AN2499" s="18"/>
      <c r="AO2499" s="18"/>
      <c r="AP2499" s="10"/>
      <c r="AQ2499" s="10"/>
      <c r="AR2499" s="19"/>
      <c r="AS2499" s="20"/>
      <c r="AT2499" s="19"/>
      <c r="AV2499" s="21">
        <f>IF(AND($AL2499&lt;&gt;"",COUNTIF($AL$11:$AL2499,$AL2499)=1),1,0)</f>
        <v>0</v>
      </c>
      <c r="AW2499" s="21">
        <f t="shared" si="163"/>
        <v>2</v>
      </c>
      <c r="AX2499" s="21" t="str">
        <f t="shared" si="162"/>
        <v/>
      </c>
      <c r="AY2499" s="21" t="str">
        <f>IF(AND($AM2499&lt;&gt;"",$AS2499&lt;&gt;"✓"),SUMPRODUCT(($AM$11:$AM2499&lt;&gt;"")*($AS$11:$AS2499&lt;&gt;"✓")),"")</f>
        <v/>
      </c>
      <c r="AZ2499" s="21" t="str">
        <f>IF(AND($AM2499&lt;&gt;"",$AS2499="✓"),SUMPRODUCT(($AM$11:$AM2499&lt;&gt;"")*($AS$11:$AS2499="✓")),"")</f>
        <v/>
      </c>
      <c r="BA2499" s="21" t="str">
        <f>IF($AL2499="","",$AL2499&amp;"|"&amp;COUNTIF($AL$11:$AL2499,$AL2499))</f>
        <v/>
      </c>
    </row>
    <row r="2500" spans="38:53" ht="15" customHeight="1" x14ac:dyDescent="0.25">
      <c r="AL2500" s="31"/>
      <c r="AM2500" s="26"/>
      <c r="AN2500" s="32"/>
      <c r="AO2500" s="32"/>
      <c r="AP2500" s="24"/>
      <c r="AQ2500" s="24"/>
      <c r="AR2500" s="33"/>
      <c r="AS2500" s="34"/>
      <c r="AT2500" s="33"/>
      <c r="AV2500" s="21">
        <f>IF(AND($AL2500&lt;&gt;"",COUNTIF($AL$11:$AL2500,$AL2500)=1),1,0)</f>
        <v>0</v>
      </c>
      <c r="AW2500" s="21">
        <f t="shared" si="163"/>
        <v>2</v>
      </c>
      <c r="AX2500" s="21" t="str">
        <f t="shared" si="162"/>
        <v/>
      </c>
      <c r="AY2500" s="21" t="str">
        <f>IF(AND($AM2500&lt;&gt;"",$AS2500&lt;&gt;"✓"),SUMPRODUCT(($AM$11:$AM2500&lt;&gt;"")*($AS$11:$AS2500&lt;&gt;"✓")),"")</f>
        <v/>
      </c>
      <c r="AZ2500" s="21" t="str">
        <f>IF(AND($AM2500&lt;&gt;"",$AS2500="✓"),SUMPRODUCT(($AM$11:$AM2500&lt;&gt;"")*($AS$11:$AS2500="✓")),"")</f>
        <v/>
      </c>
      <c r="BA2500" s="21" t="str">
        <f>IF($AL2500="","",$AL2500&amp;"|"&amp;COUNTIF($AL$11:$AL2500,$AL2500))</f>
        <v/>
      </c>
    </row>
    <row r="2501" spans="38:53" ht="15" customHeight="1" x14ac:dyDescent="0.25">
      <c r="AL2501" s="17"/>
      <c r="AM2501" s="12"/>
      <c r="AN2501" s="18"/>
      <c r="AO2501" s="18"/>
      <c r="AP2501" s="10"/>
      <c r="AQ2501" s="10"/>
      <c r="AR2501" s="19"/>
      <c r="AS2501" s="20"/>
      <c r="AT2501" s="19"/>
      <c r="AV2501" s="21">
        <f>IF(AND($AL2501&lt;&gt;"",COUNTIF($AL$11:$AL2501,$AL2501)=1),1,0)</f>
        <v>0</v>
      </c>
      <c r="AW2501" s="21">
        <f t="shared" si="163"/>
        <v>2</v>
      </c>
      <c r="AX2501" s="21" t="str">
        <f t="shared" si="162"/>
        <v/>
      </c>
      <c r="AY2501" s="21" t="str">
        <f>IF(AND($AM2501&lt;&gt;"",$AS2501&lt;&gt;"✓"),SUMPRODUCT(($AM$11:$AM2501&lt;&gt;"")*($AS$11:$AS2501&lt;&gt;"✓")),"")</f>
        <v/>
      </c>
      <c r="AZ2501" s="21" t="str">
        <f>IF(AND($AM2501&lt;&gt;"",$AS2501="✓"),SUMPRODUCT(($AM$11:$AM2501&lt;&gt;"")*($AS$11:$AS2501="✓")),"")</f>
        <v/>
      </c>
      <c r="BA2501" s="21" t="str">
        <f>IF($AL2501="","",$AL2501&amp;"|"&amp;COUNTIF($AL$11:$AL2501,$AL2501))</f>
        <v/>
      </c>
    </row>
    <row r="2502" spans="38:53" ht="15" customHeight="1" x14ac:dyDescent="0.25">
      <c r="AL2502" s="31"/>
      <c r="AM2502" s="26"/>
      <c r="AN2502" s="32"/>
      <c r="AO2502" s="32"/>
      <c r="AP2502" s="24"/>
      <c r="AQ2502" s="24"/>
      <c r="AR2502" s="33"/>
      <c r="AS2502" s="34"/>
      <c r="AT2502" s="33"/>
      <c r="AV2502" s="21">
        <f>IF(AND($AL2502&lt;&gt;"",COUNTIF($AL$11:$AL2502,$AL2502)=1),1,0)</f>
        <v>0</v>
      </c>
      <c r="AW2502" s="21">
        <f t="shared" si="163"/>
        <v>2</v>
      </c>
      <c r="AX2502" s="21" t="str">
        <f t="shared" si="162"/>
        <v/>
      </c>
      <c r="AY2502" s="21" t="str">
        <f>IF(AND($AM2502&lt;&gt;"",$AS2502&lt;&gt;"✓"),SUMPRODUCT(($AM$11:$AM2502&lt;&gt;"")*($AS$11:$AS2502&lt;&gt;"✓")),"")</f>
        <v/>
      </c>
      <c r="AZ2502" s="21" t="str">
        <f>IF(AND($AM2502&lt;&gt;"",$AS2502="✓"),SUMPRODUCT(($AM$11:$AM2502&lt;&gt;"")*($AS$11:$AS2502="✓")),"")</f>
        <v/>
      </c>
      <c r="BA2502" s="21" t="str">
        <f>IF($AL2502="","",$AL2502&amp;"|"&amp;COUNTIF($AL$11:$AL2502,$AL2502))</f>
        <v/>
      </c>
    </row>
    <row r="2503" spans="38:53" ht="15" customHeight="1" x14ac:dyDescent="0.25">
      <c r="AL2503" s="17"/>
      <c r="AM2503" s="12"/>
      <c r="AN2503" s="18"/>
      <c r="AO2503" s="18"/>
      <c r="AP2503" s="10"/>
      <c r="AQ2503" s="10"/>
      <c r="AR2503" s="19"/>
      <c r="AS2503" s="20"/>
      <c r="AT2503" s="19"/>
      <c r="AV2503" s="21">
        <f>IF(AND($AL2503&lt;&gt;"",COUNTIF($AL$11:$AL2503,$AL2503)=1),1,0)</f>
        <v>0</v>
      </c>
      <c r="AW2503" s="21">
        <f t="shared" si="163"/>
        <v>2</v>
      </c>
      <c r="AX2503" s="21" t="str">
        <f t="shared" si="162"/>
        <v/>
      </c>
      <c r="AY2503" s="21" t="str">
        <f>IF(AND($AM2503&lt;&gt;"",$AS2503&lt;&gt;"✓"),SUMPRODUCT(($AM$11:$AM2503&lt;&gt;"")*($AS$11:$AS2503&lt;&gt;"✓")),"")</f>
        <v/>
      </c>
      <c r="AZ2503" s="21" t="str">
        <f>IF(AND($AM2503&lt;&gt;"",$AS2503="✓"),SUMPRODUCT(($AM$11:$AM2503&lt;&gt;"")*($AS$11:$AS2503="✓")),"")</f>
        <v/>
      </c>
      <c r="BA2503" s="21" t="str">
        <f>IF($AL2503="","",$AL2503&amp;"|"&amp;COUNTIF($AL$11:$AL2503,$AL2503))</f>
        <v/>
      </c>
    </row>
    <row r="2504" spans="38:53" ht="15" customHeight="1" x14ac:dyDescent="0.25">
      <c r="AL2504" s="31"/>
      <c r="AM2504" s="26"/>
      <c r="AN2504" s="32"/>
      <c r="AO2504" s="32"/>
      <c r="AP2504" s="24"/>
      <c r="AQ2504" s="24"/>
      <c r="AR2504" s="33"/>
      <c r="AS2504" s="34"/>
      <c r="AT2504" s="33"/>
      <c r="AV2504" s="21">
        <f>IF(AND($AL2504&lt;&gt;"",COUNTIF($AL$11:$AL2504,$AL2504)=1),1,0)</f>
        <v>0</v>
      </c>
      <c r="AW2504" s="21">
        <f t="shared" si="163"/>
        <v>2</v>
      </c>
      <c r="AX2504" s="21" t="str">
        <f t="shared" si="162"/>
        <v/>
      </c>
      <c r="AY2504" s="21" t="str">
        <f>IF(AND($AM2504&lt;&gt;"",$AS2504&lt;&gt;"✓"),SUMPRODUCT(($AM$11:$AM2504&lt;&gt;"")*($AS$11:$AS2504&lt;&gt;"✓")),"")</f>
        <v/>
      </c>
      <c r="AZ2504" s="21" t="str">
        <f>IF(AND($AM2504&lt;&gt;"",$AS2504="✓"),SUMPRODUCT(($AM$11:$AM2504&lt;&gt;"")*($AS$11:$AS2504="✓")),"")</f>
        <v/>
      </c>
      <c r="BA2504" s="21" t="str">
        <f>IF($AL2504="","",$AL2504&amp;"|"&amp;COUNTIF($AL$11:$AL2504,$AL2504))</f>
        <v/>
      </c>
    </row>
    <row r="2505" spans="38:53" ht="15" customHeight="1" x14ac:dyDescent="0.25">
      <c r="AL2505" s="17"/>
      <c r="AM2505" s="12"/>
      <c r="AN2505" s="18"/>
      <c r="AO2505" s="18"/>
      <c r="AP2505" s="10"/>
      <c r="AQ2505" s="10"/>
      <c r="AR2505" s="19"/>
      <c r="AS2505" s="20"/>
      <c r="AT2505" s="19"/>
      <c r="AV2505" s="21">
        <f>IF(AND($AL2505&lt;&gt;"",COUNTIF($AL$11:$AL2505,$AL2505)=1),1,0)</f>
        <v>0</v>
      </c>
      <c r="AW2505" s="21">
        <f t="shared" si="163"/>
        <v>2</v>
      </c>
      <c r="AX2505" s="21" t="str">
        <f t="shared" si="162"/>
        <v/>
      </c>
      <c r="AY2505" s="21" t="str">
        <f>IF(AND($AM2505&lt;&gt;"",$AS2505&lt;&gt;"✓"),SUMPRODUCT(($AM$11:$AM2505&lt;&gt;"")*($AS$11:$AS2505&lt;&gt;"✓")),"")</f>
        <v/>
      </c>
      <c r="AZ2505" s="21" t="str">
        <f>IF(AND($AM2505&lt;&gt;"",$AS2505="✓"),SUMPRODUCT(($AM$11:$AM2505&lt;&gt;"")*($AS$11:$AS2505="✓")),"")</f>
        <v/>
      </c>
      <c r="BA2505" s="21" t="str">
        <f>IF($AL2505="","",$AL2505&amp;"|"&amp;COUNTIF($AL$11:$AL2505,$AL2505))</f>
        <v/>
      </c>
    </row>
    <row r="2506" spans="38:53" ht="15" customHeight="1" x14ac:dyDescent="0.25">
      <c r="AL2506" s="31"/>
      <c r="AM2506" s="26"/>
      <c r="AN2506" s="32"/>
      <c r="AO2506" s="32"/>
      <c r="AP2506" s="24"/>
      <c r="AQ2506" s="24"/>
      <c r="AR2506" s="33"/>
      <c r="AS2506" s="34"/>
      <c r="AT2506" s="33"/>
      <c r="AV2506" s="21">
        <f>IF(AND($AL2506&lt;&gt;"",COUNTIF($AL$11:$AL2506,$AL2506)=1),1,0)</f>
        <v>0</v>
      </c>
      <c r="AW2506" s="21">
        <f t="shared" si="163"/>
        <v>2</v>
      </c>
      <c r="AX2506" s="21" t="str">
        <f t="shared" si="162"/>
        <v/>
      </c>
      <c r="AY2506" s="21" t="str">
        <f>IF(AND($AM2506&lt;&gt;"",$AS2506&lt;&gt;"✓"),SUMPRODUCT(($AM$11:$AM2506&lt;&gt;"")*($AS$11:$AS2506&lt;&gt;"✓")),"")</f>
        <v/>
      </c>
      <c r="AZ2506" s="21" t="str">
        <f>IF(AND($AM2506&lt;&gt;"",$AS2506="✓"),SUMPRODUCT(($AM$11:$AM2506&lt;&gt;"")*($AS$11:$AS2506="✓")),"")</f>
        <v/>
      </c>
      <c r="BA2506" s="21" t="str">
        <f>IF($AL2506="","",$AL2506&amp;"|"&amp;COUNTIF($AL$11:$AL2506,$AL2506))</f>
        <v/>
      </c>
    </row>
    <row r="2507" spans="38:53" ht="15" customHeight="1" x14ac:dyDescent="0.25">
      <c r="AL2507" s="17"/>
      <c r="AM2507" s="12"/>
      <c r="AN2507" s="18"/>
      <c r="AO2507" s="18"/>
      <c r="AP2507" s="10"/>
      <c r="AQ2507" s="10"/>
      <c r="AR2507" s="19"/>
      <c r="AS2507" s="20"/>
      <c r="AT2507" s="19"/>
      <c r="AV2507" s="21">
        <f>IF(AND($AL2507&lt;&gt;"",COUNTIF($AL$11:$AL2507,$AL2507)=1),1,0)</f>
        <v>0</v>
      </c>
      <c r="AW2507" s="21">
        <f t="shared" si="163"/>
        <v>2</v>
      </c>
      <c r="AX2507" s="21" t="str">
        <f t="shared" ref="AX2507:AX2570" si="164">IF(AV2507=1,AW2507,"")</f>
        <v/>
      </c>
      <c r="AY2507" s="21" t="str">
        <f>IF(AND($AM2507&lt;&gt;"",$AS2507&lt;&gt;"✓"),SUMPRODUCT(($AM$11:$AM2507&lt;&gt;"")*($AS$11:$AS2507&lt;&gt;"✓")),"")</f>
        <v/>
      </c>
      <c r="AZ2507" s="21" t="str">
        <f>IF(AND($AM2507&lt;&gt;"",$AS2507="✓"),SUMPRODUCT(($AM$11:$AM2507&lt;&gt;"")*($AS$11:$AS2507="✓")),"")</f>
        <v/>
      </c>
      <c r="BA2507" s="21" t="str">
        <f>IF($AL2507="","",$AL2507&amp;"|"&amp;COUNTIF($AL$11:$AL2507,$AL2507))</f>
        <v/>
      </c>
    </row>
    <row r="2508" spans="38:53" ht="15" customHeight="1" x14ac:dyDescent="0.25">
      <c r="AL2508" s="31"/>
      <c r="AM2508" s="26"/>
      <c r="AN2508" s="32"/>
      <c r="AO2508" s="32"/>
      <c r="AP2508" s="24"/>
      <c r="AQ2508" s="24"/>
      <c r="AR2508" s="33"/>
      <c r="AS2508" s="34"/>
      <c r="AT2508" s="33"/>
      <c r="AV2508" s="21">
        <f>IF(AND($AL2508&lt;&gt;"",COUNTIF($AL$11:$AL2508,$AL2508)=1),1,0)</f>
        <v>0</v>
      </c>
      <c r="AW2508" s="21">
        <f t="shared" ref="AW2508:AW2571" si="165">AW2507+AV2508</f>
        <v>2</v>
      </c>
      <c r="AX2508" s="21" t="str">
        <f t="shared" si="164"/>
        <v/>
      </c>
      <c r="AY2508" s="21" t="str">
        <f>IF(AND($AM2508&lt;&gt;"",$AS2508&lt;&gt;"✓"),SUMPRODUCT(($AM$11:$AM2508&lt;&gt;"")*($AS$11:$AS2508&lt;&gt;"✓")),"")</f>
        <v/>
      </c>
      <c r="AZ2508" s="21" t="str">
        <f>IF(AND($AM2508&lt;&gt;"",$AS2508="✓"),SUMPRODUCT(($AM$11:$AM2508&lt;&gt;"")*($AS$11:$AS2508="✓")),"")</f>
        <v/>
      </c>
      <c r="BA2508" s="21" t="str">
        <f>IF($AL2508="","",$AL2508&amp;"|"&amp;COUNTIF($AL$11:$AL2508,$AL2508))</f>
        <v/>
      </c>
    </row>
    <row r="2509" spans="38:53" ht="15" customHeight="1" x14ac:dyDescent="0.25">
      <c r="AL2509" s="17"/>
      <c r="AM2509" s="12"/>
      <c r="AN2509" s="18"/>
      <c r="AO2509" s="18"/>
      <c r="AP2509" s="10"/>
      <c r="AQ2509" s="10"/>
      <c r="AR2509" s="19"/>
      <c r="AS2509" s="20"/>
      <c r="AT2509" s="19"/>
      <c r="AV2509" s="21">
        <f>IF(AND($AL2509&lt;&gt;"",COUNTIF($AL$11:$AL2509,$AL2509)=1),1,0)</f>
        <v>0</v>
      </c>
      <c r="AW2509" s="21">
        <f t="shared" si="165"/>
        <v>2</v>
      </c>
      <c r="AX2509" s="21" t="str">
        <f t="shared" si="164"/>
        <v/>
      </c>
      <c r="AY2509" s="21" t="str">
        <f>IF(AND($AM2509&lt;&gt;"",$AS2509&lt;&gt;"✓"),SUMPRODUCT(($AM$11:$AM2509&lt;&gt;"")*($AS$11:$AS2509&lt;&gt;"✓")),"")</f>
        <v/>
      </c>
      <c r="AZ2509" s="21" t="str">
        <f>IF(AND($AM2509&lt;&gt;"",$AS2509="✓"),SUMPRODUCT(($AM$11:$AM2509&lt;&gt;"")*($AS$11:$AS2509="✓")),"")</f>
        <v/>
      </c>
      <c r="BA2509" s="21" t="str">
        <f>IF($AL2509="","",$AL2509&amp;"|"&amp;COUNTIF($AL$11:$AL2509,$AL2509))</f>
        <v/>
      </c>
    </row>
    <row r="2510" spans="38:53" ht="15" customHeight="1" x14ac:dyDescent="0.25">
      <c r="AL2510" s="31"/>
      <c r="AM2510" s="26"/>
      <c r="AN2510" s="32"/>
      <c r="AO2510" s="32"/>
      <c r="AP2510" s="24"/>
      <c r="AQ2510" s="24"/>
      <c r="AR2510" s="33"/>
      <c r="AS2510" s="34"/>
      <c r="AT2510" s="33"/>
      <c r="AV2510" s="21">
        <f>IF(AND($AL2510&lt;&gt;"",COUNTIF($AL$11:$AL2510,$AL2510)=1),1,0)</f>
        <v>0</v>
      </c>
      <c r="AW2510" s="21">
        <f t="shared" si="165"/>
        <v>2</v>
      </c>
      <c r="AX2510" s="21" t="str">
        <f t="shared" si="164"/>
        <v/>
      </c>
      <c r="AY2510" s="21" t="str">
        <f>IF(AND($AM2510&lt;&gt;"",$AS2510&lt;&gt;"✓"),SUMPRODUCT(($AM$11:$AM2510&lt;&gt;"")*($AS$11:$AS2510&lt;&gt;"✓")),"")</f>
        <v/>
      </c>
      <c r="AZ2510" s="21" t="str">
        <f>IF(AND($AM2510&lt;&gt;"",$AS2510="✓"),SUMPRODUCT(($AM$11:$AM2510&lt;&gt;"")*($AS$11:$AS2510="✓")),"")</f>
        <v/>
      </c>
      <c r="BA2510" s="21" t="str">
        <f>IF($AL2510="","",$AL2510&amp;"|"&amp;COUNTIF($AL$11:$AL2510,$AL2510))</f>
        <v/>
      </c>
    </row>
    <row r="2511" spans="38:53" ht="15" customHeight="1" x14ac:dyDescent="0.25">
      <c r="AL2511" s="17"/>
      <c r="AM2511" s="12"/>
      <c r="AN2511" s="18"/>
      <c r="AO2511" s="18"/>
      <c r="AP2511" s="10"/>
      <c r="AQ2511" s="10"/>
      <c r="AR2511" s="19"/>
      <c r="AS2511" s="20"/>
      <c r="AT2511" s="19"/>
      <c r="AV2511" s="21">
        <f>IF(AND($AL2511&lt;&gt;"",COUNTIF($AL$11:$AL2511,$AL2511)=1),1,0)</f>
        <v>0</v>
      </c>
      <c r="AW2511" s="21">
        <f t="shared" si="165"/>
        <v>2</v>
      </c>
      <c r="AX2511" s="21" t="str">
        <f t="shared" si="164"/>
        <v/>
      </c>
      <c r="AY2511" s="21" t="str">
        <f>IF(AND($AM2511&lt;&gt;"",$AS2511&lt;&gt;"✓"),SUMPRODUCT(($AM$11:$AM2511&lt;&gt;"")*($AS$11:$AS2511&lt;&gt;"✓")),"")</f>
        <v/>
      </c>
      <c r="AZ2511" s="21" t="str">
        <f>IF(AND($AM2511&lt;&gt;"",$AS2511="✓"),SUMPRODUCT(($AM$11:$AM2511&lt;&gt;"")*($AS$11:$AS2511="✓")),"")</f>
        <v/>
      </c>
      <c r="BA2511" s="21" t="str">
        <f>IF($AL2511="","",$AL2511&amp;"|"&amp;COUNTIF($AL$11:$AL2511,$AL2511))</f>
        <v/>
      </c>
    </row>
    <row r="2512" spans="38:53" ht="15" customHeight="1" x14ac:dyDescent="0.25">
      <c r="AL2512" s="31"/>
      <c r="AM2512" s="26"/>
      <c r="AN2512" s="32"/>
      <c r="AO2512" s="32"/>
      <c r="AP2512" s="24"/>
      <c r="AQ2512" s="24"/>
      <c r="AR2512" s="33"/>
      <c r="AS2512" s="34"/>
      <c r="AT2512" s="33"/>
      <c r="AV2512" s="21">
        <f>IF(AND($AL2512&lt;&gt;"",COUNTIF($AL$11:$AL2512,$AL2512)=1),1,0)</f>
        <v>0</v>
      </c>
      <c r="AW2512" s="21">
        <f t="shared" si="165"/>
        <v>2</v>
      </c>
      <c r="AX2512" s="21" t="str">
        <f t="shared" si="164"/>
        <v/>
      </c>
      <c r="AY2512" s="21" t="str">
        <f>IF(AND($AM2512&lt;&gt;"",$AS2512&lt;&gt;"✓"),SUMPRODUCT(($AM$11:$AM2512&lt;&gt;"")*($AS$11:$AS2512&lt;&gt;"✓")),"")</f>
        <v/>
      </c>
      <c r="AZ2512" s="21" t="str">
        <f>IF(AND($AM2512&lt;&gt;"",$AS2512="✓"),SUMPRODUCT(($AM$11:$AM2512&lt;&gt;"")*($AS$11:$AS2512="✓")),"")</f>
        <v/>
      </c>
      <c r="BA2512" s="21" t="str">
        <f>IF($AL2512="","",$AL2512&amp;"|"&amp;COUNTIF($AL$11:$AL2512,$AL2512))</f>
        <v/>
      </c>
    </row>
    <row r="2513" spans="38:53" ht="15" customHeight="1" x14ac:dyDescent="0.25">
      <c r="AL2513" s="17"/>
      <c r="AM2513" s="12"/>
      <c r="AN2513" s="18"/>
      <c r="AO2513" s="18"/>
      <c r="AP2513" s="10"/>
      <c r="AQ2513" s="10"/>
      <c r="AR2513" s="19"/>
      <c r="AS2513" s="20"/>
      <c r="AT2513" s="19"/>
      <c r="AV2513" s="21">
        <f>IF(AND($AL2513&lt;&gt;"",COUNTIF($AL$11:$AL2513,$AL2513)=1),1,0)</f>
        <v>0</v>
      </c>
      <c r="AW2513" s="21">
        <f t="shared" si="165"/>
        <v>2</v>
      </c>
      <c r="AX2513" s="21" t="str">
        <f t="shared" si="164"/>
        <v/>
      </c>
      <c r="AY2513" s="21" t="str">
        <f>IF(AND($AM2513&lt;&gt;"",$AS2513&lt;&gt;"✓"),SUMPRODUCT(($AM$11:$AM2513&lt;&gt;"")*($AS$11:$AS2513&lt;&gt;"✓")),"")</f>
        <v/>
      </c>
      <c r="AZ2513" s="21" t="str">
        <f>IF(AND($AM2513&lt;&gt;"",$AS2513="✓"),SUMPRODUCT(($AM$11:$AM2513&lt;&gt;"")*($AS$11:$AS2513="✓")),"")</f>
        <v/>
      </c>
      <c r="BA2513" s="21" t="str">
        <f>IF($AL2513="","",$AL2513&amp;"|"&amp;COUNTIF($AL$11:$AL2513,$AL2513))</f>
        <v/>
      </c>
    </row>
    <row r="2514" spans="38:53" ht="15" customHeight="1" x14ac:dyDescent="0.25">
      <c r="AL2514" s="31"/>
      <c r="AM2514" s="26"/>
      <c r="AN2514" s="32"/>
      <c r="AO2514" s="32"/>
      <c r="AP2514" s="24"/>
      <c r="AQ2514" s="24"/>
      <c r="AR2514" s="33"/>
      <c r="AS2514" s="34"/>
      <c r="AT2514" s="33"/>
      <c r="AV2514" s="21">
        <f>IF(AND($AL2514&lt;&gt;"",COUNTIF($AL$11:$AL2514,$AL2514)=1),1,0)</f>
        <v>0</v>
      </c>
      <c r="AW2514" s="21">
        <f t="shared" si="165"/>
        <v>2</v>
      </c>
      <c r="AX2514" s="21" t="str">
        <f t="shared" si="164"/>
        <v/>
      </c>
      <c r="AY2514" s="21" t="str">
        <f>IF(AND($AM2514&lt;&gt;"",$AS2514&lt;&gt;"✓"),SUMPRODUCT(($AM$11:$AM2514&lt;&gt;"")*($AS$11:$AS2514&lt;&gt;"✓")),"")</f>
        <v/>
      </c>
      <c r="AZ2514" s="21" t="str">
        <f>IF(AND($AM2514&lt;&gt;"",$AS2514="✓"),SUMPRODUCT(($AM$11:$AM2514&lt;&gt;"")*($AS$11:$AS2514="✓")),"")</f>
        <v/>
      </c>
      <c r="BA2514" s="21" t="str">
        <f>IF($AL2514="","",$AL2514&amp;"|"&amp;COUNTIF($AL$11:$AL2514,$AL2514))</f>
        <v/>
      </c>
    </row>
    <row r="2515" spans="38:53" ht="15" customHeight="1" x14ac:dyDescent="0.25">
      <c r="AL2515" s="17"/>
      <c r="AM2515" s="12"/>
      <c r="AN2515" s="18"/>
      <c r="AO2515" s="18"/>
      <c r="AP2515" s="10"/>
      <c r="AQ2515" s="10"/>
      <c r="AR2515" s="19"/>
      <c r="AS2515" s="20"/>
      <c r="AT2515" s="19"/>
      <c r="AV2515" s="21">
        <f>IF(AND($AL2515&lt;&gt;"",COUNTIF($AL$11:$AL2515,$AL2515)=1),1,0)</f>
        <v>0</v>
      </c>
      <c r="AW2515" s="21">
        <f t="shared" si="165"/>
        <v>2</v>
      </c>
      <c r="AX2515" s="21" t="str">
        <f t="shared" si="164"/>
        <v/>
      </c>
      <c r="AY2515" s="21" t="str">
        <f>IF(AND($AM2515&lt;&gt;"",$AS2515&lt;&gt;"✓"),SUMPRODUCT(($AM$11:$AM2515&lt;&gt;"")*($AS$11:$AS2515&lt;&gt;"✓")),"")</f>
        <v/>
      </c>
      <c r="AZ2515" s="21" t="str">
        <f>IF(AND($AM2515&lt;&gt;"",$AS2515="✓"),SUMPRODUCT(($AM$11:$AM2515&lt;&gt;"")*($AS$11:$AS2515="✓")),"")</f>
        <v/>
      </c>
      <c r="BA2515" s="21" t="str">
        <f>IF($AL2515="","",$AL2515&amp;"|"&amp;COUNTIF($AL$11:$AL2515,$AL2515))</f>
        <v/>
      </c>
    </row>
    <row r="2516" spans="38:53" ht="15" customHeight="1" x14ac:dyDescent="0.25">
      <c r="AL2516" s="31"/>
      <c r="AM2516" s="26"/>
      <c r="AN2516" s="32"/>
      <c r="AO2516" s="32"/>
      <c r="AP2516" s="24"/>
      <c r="AQ2516" s="24"/>
      <c r="AR2516" s="33"/>
      <c r="AS2516" s="34"/>
      <c r="AT2516" s="33"/>
      <c r="AV2516" s="21">
        <f>IF(AND($AL2516&lt;&gt;"",COUNTIF($AL$11:$AL2516,$AL2516)=1),1,0)</f>
        <v>0</v>
      </c>
      <c r="AW2516" s="21">
        <f t="shared" si="165"/>
        <v>2</v>
      </c>
      <c r="AX2516" s="21" t="str">
        <f t="shared" si="164"/>
        <v/>
      </c>
      <c r="AY2516" s="21" t="str">
        <f>IF(AND($AM2516&lt;&gt;"",$AS2516&lt;&gt;"✓"),SUMPRODUCT(($AM$11:$AM2516&lt;&gt;"")*($AS$11:$AS2516&lt;&gt;"✓")),"")</f>
        <v/>
      </c>
      <c r="AZ2516" s="21" t="str">
        <f>IF(AND($AM2516&lt;&gt;"",$AS2516="✓"),SUMPRODUCT(($AM$11:$AM2516&lt;&gt;"")*($AS$11:$AS2516="✓")),"")</f>
        <v/>
      </c>
      <c r="BA2516" s="21" t="str">
        <f>IF($AL2516="","",$AL2516&amp;"|"&amp;COUNTIF($AL$11:$AL2516,$AL2516))</f>
        <v/>
      </c>
    </row>
    <row r="2517" spans="38:53" ht="15" customHeight="1" x14ac:dyDescent="0.25">
      <c r="AL2517" s="17"/>
      <c r="AM2517" s="12"/>
      <c r="AN2517" s="18"/>
      <c r="AO2517" s="18"/>
      <c r="AP2517" s="10"/>
      <c r="AQ2517" s="10"/>
      <c r="AR2517" s="19"/>
      <c r="AS2517" s="20"/>
      <c r="AT2517" s="19"/>
      <c r="AV2517" s="21">
        <f>IF(AND($AL2517&lt;&gt;"",COUNTIF($AL$11:$AL2517,$AL2517)=1),1,0)</f>
        <v>0</v>
      </c>
      <c r="AW2517" s="21">
        <f t="shared" si="165"/>
        <v>2</v>
      </c>
      <c r="AX2517" s="21" t="str">
        <f t="shared" si="164"/>
        <v/>
      </c>
      <c r="AY2517" s="21" t="str">
        <f>IF(AND($AM2517&lt;&gt;"",$AS2517&lt;&gt;"✓"),SUMPRODUCT(($AM$11:$AM2517&lt;&gt;"")*($AS$11:$AS2517&lt;&gt;"✓")),"")</f>
        <v/>
      </c>
      <c r="AZ2517" s="21" t="str">
        <f>IF(AND($AM2517&lt;&gt;"",$AS2517="✓"),SUMPRODUCT(($AM$11:$AM2517&lt;&gt;"")*($AS$11:$AS2517="✓")),"")</f>
        <v/>
      </c>
      <c r="BA2517" s="21" t="str">
        <f>IF($AL2517="","",$AL2517&amp;"|"&amp;COUNTIF($AL$11:$AL2517,$AL2517))</f>
        <v/>
      </c>
    </row>
    <row r="2518" spans="38:53" ht="15" customHeight="1" x14ac:dyDescent="0.25">
      <c r="AL2518" s="31"/>
      <c r="AM2518" s="26"/>
      <c r="AN2518" s="32"/>
      <c r="AO2518" s="32"/>
      <c r="AP2518" s="24"/>
      <c r="AQ2518" s="24"/>
      <c r="AR2518" s="33"/>
      <c r="AS2518" s="34"/>
      <c r="AT2518" s="33"/>
      <c r="AV2518" s="21">
        <f>IF(AND($AL2518&lt;&gt;"",COUNTIF($AL$11:$AL2518,$AL2518)=1),1,0)</f>
        <v>0</v>
      </c>
      <c r="AW2518" s="21">
        <f t="shared" si="165"/>
        <v>2</v>
      </c>
      <c r="AX2518" s="21" t="str">
        <f t="shared" si="164"/>
        <v/>
      </c>
      <c r="AY2518" s="21" t="str">
        <f>IF(AND($AM2518&lt;&gt;"",$AS2518&lt;&gt;"✓"),SUMPRODUCT(($AM$11:$AM2518&lt;&gt;"")*($AS$11:$AS2518&lt;&gt;"✓")),"")</f>
        <v/>
      </c>
      <c r="AZ2518" s="21" t="str">
        <f>IF(AND($AM2518&lt;&gt;"",$AS2518="✓"),SUMPRODUCT(($AM$11:$AM2518&lt;&gt;"")*($AS$11:$AS2518="✓")),"")</f>
        <v/>
      </c>
      <c r="BA2518" s="21" t="str">
        <f>IF($AL2518="","",$AL2518&amp;"|"&amp;COUNTIF($AL$11:$AL2518,$AL2518))</f>
        <v/>
      </c>
    </row>
    <row r="2519" spans="38:53" ht="15" customHeight="1" x14ac:dyDescent="0.25">
      <c r="AL2519" s="17"/>
      <c r="AM2519" s="12"/>
      <c r="AN2519" s="18"/>
      <c r="AO2519" s="18"/>
      <c r="AP2519" s="10"/>
      <c r="AQ2519" s="10"/>
      <c r="AR2519" s="19"/>
      <c r="AS2519" s="20"/>
      <c r="AT2519" s="19"/>
      <c r="AV2519" s="21">
        <f>IF(AND($AL2519&lt;&gt;"",COUNTIF($AL$11:$AL2519,$AL2519)=1),1,0)</f>
        <v>0</v>
      </c>
      <c r="AW2519" s="21">
        <f t="shared" si="165"/>
        <v>2</v>
      </c>
      <c r="AX2519" s="21" t="str">
        <f t="shared" si="164"/>
        <v/>
      </c>
      <c r="AY2519" s="21" t="str">
        <f>IF(AND($AM2519&lt;&gt;"",$AS2519&lt;&gt;"✓"),SUMPRODUCT(($AM$11:$AM2519&lt;&gt;"")*($AS$11:$AS2519&lt;&gt;"✓")),"")</f>
        <v/>
      </c>
      <c r="AZ2519" s="21" t="str">
        <f>IF(AND($AM2519&lt;&gt;"",$AS2519="✓"),SUMPRODUCT(($AM$11:$AM2519&lt;&gt;"")*($AS$11:$AS2519="✓")),"")</f>
        <v/>
      </c>
      <c r="BA2519" s="21" t="str">
        <f>IF($AL2519="","",$AL2519&amp;"|"&amp;COUNTIF($AL$11:$AL2519,$AL2519))</f>
        <v/>
      </c>
    </row>
    <row r="2520" spans="38:53" ht="15" customHeight="1" x14ac:dyDescent="0.25">
      <c r="AL2520" s="31"/>
      <c r="AM2520" s="26"/>
      <c r="AN2520" s="32"/>
      <c r="AO2520" s="32"/>
      <c r="AP2520" s="24"/>
      <c r="AQ2520" s="24"/>
      <c r="AR2520" s="33"/>
      <c r="AS2520" s="34"/>
      <c r="AT2520" s="33"/>
      <c r="AV2520" s="21">
        <f>IF(AND($AL2520&lt;&gt;"",COUNTIF($AL$11:$AL2520,$AL2520)=1),1,0)</f>
        <v>0</v>
      </c>
      <c r="AW2520" s="21">
        <f t="shared" si="165"/>
        <v>2</v>
      </c>
      <c r="AX2520" s="21" t="str">
        <f t="shared" si="164"/>
        <v/>
      </c>
      <c r="AY2520" s="21" t="str">
        <f>IF(AND($AM2520&lt;&gt;"",$AS2520&lt;&gt;"✓"),SUMPRODUCT(($AM$11:$AM2520&lt;&gt;"")*($AS$11:$AS2520&lt;&gt;"✓")),"")</f>
        <v/>
      </c>
      <c r="AZ2520" s="21" t="str">
        <f>IF(AND($AM2520&lt;&gt;"",$AS2520="✓"),SUMPRODUCT(($AM$11:$AM2520&lt;&gt;"")*($AS$11:$AS2520="✓")),"")</f>
        <v/>
      </c>
      <c r="BA2520" s="21" t="str">
        <f>IF($AL2520="","",$AL2520&amp;"|"&amp;COUNTIF($AL$11:$AL2520,$AL2520))</f>
        <v/>
      </c>
    </row>
    <row r="2521" spans="38:53" ht="15" customHeight="1" x14ac:dyDescent="0.25">
      <c r="AL2521" s="17"/>
      <c r="AM2521" s="12"/>
      <c r="AN2521" s="18"/>
      <c r="AO2521" s="18"/>
      <c r="AP2521" s="10"/>
      <c r="AQ2521" s="10"/>
      <c r="AR2521" s="19"/>
      <c r="AS2521" s="20"/>
      <c r="AT2521" s="19"/>
      <c r="AV2521" s="21">
        <f>IF(AND($AL2521&lt;&gt;"",COUNTIF($AL$11:$AL2521,$AL2521)=1),1,0)</f>
        <v>0</v>
      </c>
      <c r="AW2521" s="21">
        <f t="shared" si="165"/>
        <v>2</v>
      </c>
      <c r="AX2521" s="21" t="str">
        <f t="shared" si="164"/>
        <v/>
      </c>
      <c r="AY2521" s="21" t="str">
        <f>IF(AND($AM2521&lt;&gt;"",$AS2521&lt;&gt;"✓"),SUMPRODUCT(($AM$11:$AM2521&lt;&gt;"")*($AS$11:$AS2521&lt;&gt;"✓")),"")</f>
        <v/>
      </c>
      <c r="AZ2521" s="21" t="str">
        <f>IF(AND($AM2521&lt;&gt;"",$AS2521="✓"),SUMPRODUCT(($AM$11:$AM2521&lt;&gt;"")*($AS$11:$AS2521="✓")),"")</f>
        <v/>
      </c>
      <c r="BA2521" s="21" t="str">
        <f>IF($AL2521="","",$AL2521&amp;"|"&amp;COUNTIF($AL$11:$AL2521,$AL2521))</f>
        <v/>
      </c>
    </row>
    <row r="2522" spans="38:53" ht="15" customHeight="1" x14ac:dyDescent="0.25">
      <c r="AL2522" s="31"/>
      <c r="AM2522" s="26"/>
      <c r="AN2522" s="32"/>
      <c r="AO2522" s="32"/>
      <c r="AP2522" s="24"/>
      <c r="AQ2522" s="24"/>
      <c r="AR2522" s="33"/>
      <c r="AS2522" s="34"/>
      <c r="AT2522" s="33"/>
      <c r="AV2522" s="21">
        <f>IF(AND($AL2522&lt;&gt;"",COUNTIF($AL$11:$AL2522,$AL2522)=1),1,0)</f>
        <v>0</v>
      </c>
      <c r="AW2522" s="21">
        <f t="shared" si="165"/>
        <v>2</v>
      </c>
      <c r="AX2522" s="21" t="str">
        <f t="shared" si="164"/>
        <v/>
      </c>
      <c r="AY2522" s="21" t="str">
        <f>IF(AND($AM2522&lt;&gt;"",$AS2522&lt;&gt;"✓"),SUMPRODUCT(($AM$11:$AM2522&lt;&gt;"")*($AS$11:$AS2522&lt;&gt;"✓")),"")</f>
        <v/>
      </c>
      <c r="AZ2522" s="21" t="str">
        <f>IF(AND($AM2522&lt;&gt;"",$AS2522="✓"),SUMPRODUCT(($AM$11:$AM2522&lt;&gt;"")*($AS$11:$AS2522="✓")),"")</f>
        <v/>
      </c>
      <c r="BA2522" s="21" t="str">
        <f>IF($AL2522="","",$AL2522&amp;"|"&amp;COUNTIF($AL$11:$AL2522,$AL2522))</f>
        <v/>
      </c>
    </row>
    <row r="2523" spans="38:53" ht="15" customHeight="1" x14ac:dyDescent="0.25">
      <c r="AL2523" s="17"/>
      <c r="AM2523" s="12"/>
      <c r="AN2523" s="18"/>
      <c r="AO2523" s="18"/>
      <c r="AP2523" s="10"/>
      <c r="AQ2523" s="10"/>
      <c r="AR2523" s="19"/>
      <c r="AS2523" s="20"/>
      <c r="AT2523" s="19"/>
      <c r="AV2523" s="21">
        <f>IF(AND($AL2523&lt;&gt;"",COUNTIF($AL$11:$AL2523,$AL2523)=1),1,0)</f>
        <v>0</v>
      </c>
      <c r="AW2523" s="21">
        <f t="shared" si="165"/>
        <v>2</v>
      </c>
      <c r="AX2523" s="21" t="str">
        <f t="shared" si="164"/>
        <v/>
      </c>
      <c r="AY2523" s="21" t="str">
        <f>IF(AND($AM2523&lt;&gt;"",$AS2523&lt;&gt;"✓"),SUMPRODUCT(($AM$11:$AM2523&lt;&gt;"")*($AS$11:$AS2523&lt;&gt;"✓")),"")</f>
        <v/>
      </c>
      <c r="AZ2523" s="21" t="str">
        <f>IF(AND($AM2523&lt;&gt;"",$AS2523="✓"),SUMPRODUCT(($AM$11:$AM2523&lt;&gt;"")*($AS$11:$AS2523="✓")),"")</f>
        <v/>
      </c>
      <c r="BA2523" s="21" t="str">
        <f>IF($AL2523="","",$AL2523&amp;"|"&amp;COUNTIF($AL$11:$AL2523,$AL2523))</f>
        <v/>
      </c>
    </row>
    <row r="2524" spans="38:53" ht="15" customHeight="1" x14ac:dyDescent="0.25">
      <c r="AL2524" s="31"/>
      <c r="AM2524" s="26"/>
      <c r="AN2524" s="32"/>
      <c r="AO2524" s="32"/>
      <c r="AP2524" s="24"/>
      <c r="AQ2524" s="24"/>
      <c r="AR2524" s="33"/>
      <c r="AS2524" s="34"/>
      <c r="AT2524" s="33"/>
      <c r="AV2524" s="21">
        <f>IF(AND($AL2524&lt;&gt;"",COUNTIF($AL$11:$AL2524,$AL2524)=1),1,0)</f>
        <v>0</v>
      </c>
      <c r="AW2524" s="21">
        <f t="shared" si="165"/>
        <v>2</v>
      </c>
      <c r="AX2524" s="21" t="str">
        <f t="shared" si="164"/>
        <v/>
      </c>
      <c r="AY2524" s="21" t="str">
        <f>IF(AND($AM2524&lt;&gt;"",$AS2524&lt;&gt;"✓"),SUMPRODUCT(($AM$11:$AM2524&lt;&gt;"")*($AS$11:$AS2524&lt;&gt;"✓")),"")</f>
        <v/>
      </c>
      <c r="AZ2524" s="21" t="str">
        <f>IF(AND($AM2524&lt;&gt;"",$AS2524="✓"),SUMPRODUCT(($AM$11:$AM2524&lt;&gt;"")*($AS$11:$AS2524="✓")),"")</f>
        <v/>
      </c>
      <c r="BA2524" s="21" t="str">
        <f>IF($AL2524="","",$AL2524&amp;"|"&amp;COUNTIF($AL$11:$AL2524,$AL2524))</f>
        <v/>
      </c>
    </row>
    <row r="2525" spans="38:53" ht="15" customHeight="1" x14ac:dyDescent="0.25">
      <c r="AL2525" s="17"/>
      <c r="AM2525" s="12"/>
      <c r="AN2525" s="18"/>
      <c r="AO2525" s="18"/>
      <c r="AP2525" s="10"/>
      <c r="AQ2525" s="10"/>
      <c r="AR2525" s="19"/>
      <c r="AS2525" s="20"/>
      <c r="AT2525" s="19"/>
      <c r="AV2525" s="21">
        <f>IF(AND($AL2525&lt;&gt;"",COUNTIF($AL$11:$AL2525,$AL2525)=1),1,0)</f>
        <v>0</v>
      </c>
      <c r="AW2525" s="21">
        <f t="shared" si="165"/>
        <v>2</v>
      </c>
      <c r="AX2525" s="21" t="str">
        <f t="shared" si="164"/>
        <v/>
      </c>
      <c r="AY2525" s="21" t="str">
        <f>IF(AND($AM2525&lt;&gt;"",$AS2525&lt;&gt;"✓"),SUMPRODUCT(($AM$11:$AM2525&lt;&gt;"")*($AS$11:$AS2525&lt;&gt;"✓")),"")</f>
        <v/>
      </c>
      <c r="AZ2525" s="21" t="str">
        <f>IF(AND($AM2525&lt;&gt;"",$AS2525="✓"),SUMPRODUCT(($AM$11:$AM2525&lt;&gt;"")*($AS$11:$AS2525="✓")),"")</f>
        <v/>
      </c>
      <c r="BA2525" s="21" t="str">
        <f>IF($AL2525="","",$AL2525&amp;"|"&amp;COUNTIF($AL$11:$AL2525,$AL2525))</f>
        <v/>
      </c>
    </row>
    <row r="2526" spans="38:53" ht="15" customHeight="1" x14ac:dyDescent="0.25">
      <c r="AL2526" s="31"/>
      <c r="AM2526" s="26"/>
      <c r="AN2526" s="32"/>
      <c r="AO2526" s="32"/>
      <c r="AP2526" s="24"/>
      <c r="AQ2526" s="24"/>
      <c r="AR2526" s="33"/>
      <c r="AS2526" s="34"/>
      <c r="AT2526" s="33"/>
      <c r="AV2526" s="21">
        <f>IF(AND($AL2526&lt;&gt;"",COUNTIF($AL$11:$AL2526,$AL2526)=1),1,0)</f>
        <v>0</v>
      </c>
      <c r="AW2526" s="21">
        <f t="shared" si="165"/>
        <v>2</v>
      </c>
      <c r="AX2526" s="21" t="str">
        <f t="shared" si="164"/>
        <v/>
      </c>
      <c r="AY2526" s="21" t="str">
        <f>IF(AND($AM2526&lt;&gt;"",$AS2526&lt;&gt;"✓"),SUMPRODUCT(($AM$11:$AM2526&lt;&gt;"")*($AS$11:$AS2526&lt;&gt;"✓")),"")</f>
        <v/>
      </c>
      <c r="AZ2526" s="21" t="str">
        <f>IF(AND($AM2526&lt;&gt;"",$AS2526="✓"),SUMPRODUCT(($AM$11:$AM2526&lt;&gt;"")*($AS$11:$AS2526="✓")),"")</f>
        <v/>
      </c>
      <c r="BA2526" s="21" t="str">
        <f>IF($AL2526="","",$AL2526&amp;"|"&amp;COUNTIF($AL$11:$AL2526,$AL2526))</f>
        <v/>
      </c>
    </row>
    <row r="2527" spans="38:53" ht="15" customHeight="1" x14ac:dyDescent="0.25">
      <c r="AL2527" s="17"/>
      <c r="AM2527" s="12"/>
      <c r="AN2527" s="18"/>
      <c r="AO2527" s="18"/>
      <c r="AP2527" s="10"/>
      <c r="AQ2527" s="10"/>
      <c r="AR2527" s="19"/>
      <c r="AS2527" s="20"/>
      <c r="AT2527" s="19"/>
      <c r="AV2527" s="21">
        <f>IF(AND($AL2527&lt;&gt;"",COUNTIF($AL$11:$AL2527,$AL2527)=1),1,0)</f>
        <v>0</v>
      </c>
      <c r="AW2527" s="21">
        <f t="shared" si="165"/>
        <v>2</v>
      </c>
      <c r="AX2527" s="21" t="str">
        <f t="shared" si="164"/>
        <v/>
      </c>
      <c r="AY2527" s="21" t="str">
        <f>IF(AND($AM2527&lt;&gt;"",$AS2527&lt;&gt;"✓"),SUMPRODUCT(($AM$11:$AM2527&lt;&gt;"")*($AS$11:$AS2527&lt;&gt;"✓")),"")</f>
        <v/>
      </c>
      <c r="AZ2527" s="21" t="str">
        <f>IF(AND($AM2527&lt;&gt;"",$AS2527="✓"),SUMPRODUCT(($AM$11:$AM2527&lt;&gt;"")*($AS$11:$AS2527="✓")),"")</f>
        <v/>
      </c>
      <c r="BA2527" s="21" t="str">
        <f>IF($AL2527="","",$AL2527&amp;"|"&amp;COUNTIF($AL$11:$AL2527,$AL2527))</f>
        <v/>
      </c>
    </row>
    <row r="2528" spans="38:53" ht="15" customHeight="1" x14ac:dyDescent="0.25">
      <c r="AL2528" s="31"/>
      <c r="AM2528" s="26"/>
      <c r="AN2528" s="32"/>
      <c r="AO2528" s="32"/>
      <c r="AP2528" s="24"/>
      <c r="AQ2528" s="24"/>
      <c r="AR2528" s="33"/>
      <c r="AS2528" s="34"/>
      <c r="AT2528" s="33"/>
      <c r="AV2528" s="21">
        <f>IF(AND($AL2528&lt;&gt;"",COUNTIF($AL$11:$AL2528,$AL2528)=1),1,0)</f>
        <v>0</v>
      </c>
      <c r="AW2528" s="21">
        <f t="shared" si="165"/>
        <v>2</v>
      </c>
      <c r="AX2528" s="21" t="str">
        <f t="shared" si="164"/>
        <v/>
      </c>
      <c r="AY2528" s="21" t="str">
        <f>IF(AND($AM2528&lt;&gt;"",$AS2528&lt;&gt;"✓"),SUMPRODUCT(($AM$11:$AM2528&lt;&gt;"")*($AS$11:$AS2528&lt;&gt;"✓")),"")</f>
        <v/>
      </c>
      <c r="AZ2528" s="21" t="str">
        <f>IF(AND($AM2528&lt;&gt;"",$AS2528="✓"),SUMPRODUCT(($AM$11:$AM2528&lt;&gt;"")*($AS$11:$AS2528="✓")),"")</f>
        <v/>
      </c>
      <c r="BA2528" s="21" t="str">
        <f>IF($AL2528="","",$AL2528&amp;"|"&amp;COUNTIF($AL$11:$AL2528,$AL2528))</f>
        <v/>
      </c>
    </row>
    <row r="2529" spans="38:53" ht="15" customHeight="1" x14ac:dyDescent="0.25">
      <c r="AL2529" s="17"/>
      <c r="AM2529" s="12"/>
      <c r="AN2529" s="18"/>
      <c r="AO2529" s="18"/>
      <c r="AP2529" s="10"/>
      <c r="AQ2529" s="10"/>
      <c r="AR2529" s="19"/>
      <c r="AS2529" s="20"/>
      <c r="AT2529" s="19"/>
      <c r="AV2529" s="21">
        <f>IF(AND($AL2529&lt;&gt;"",COUNTIF($AL$11:$AL2529,$AL2529)=1),1,0)</f>
        <v>0</v>
      </c>
      <c r="AW2529" s="21">
        <f t="shared" si="165"/>
        <v>2</v>
      </c>
      <c r="AX2529" s="21" t="str">
        <f t="shared" si="164"/>
        <v/>
      </c>
      <c r="AY2529" s="21" t="str">
        <f>IF(AND($AM2529&lt;&gt;"",$AS2529&lt;&gt;"✓"),SUMPRODUCT(($AM$11:$AM2529&lt;&gt;"")*($AS$11:$AS2529&lt;&gt;"✓")),"")</f>
        <v/>
      </c>
      <c r="AZ2529" s="21" t="str">
        <f>IF(AND($AM2529&lt;&gt;"",$AS2529="✓"),SUMPRODUCT(($AM$11:$AM2529&lt;&gt;"")*($AS$11:$AS2529="✓")),"")</f>
        <v/>
      </c>
      <c r="BA2529" s="21" t="str">
        <f>IF($AL2529="","",$AL2529&amp;"|"&amp;COUNTIF($AL$11:$AL2529,$AL2529))</f>
        <v/>
      </c>
    </row>
    <row r="2530" spans="38:53" ht="15" customHeight="1" x14ac:dyDescent="0.25">
      <c r="AL2530" s="31"/>
      <c r="AM2530" s="26"/>
      <c r="AN2530" s="32"/>
      <c r="AO2530" s="32"/>
      <c r="AP2530" s="24"/>
      <c r="AQ2530" s="24"/>
      <c r="AR2530" s="33"/>
      <c r="AS2530" s="34"/>
      <c r="AT2530" s="33"/>
      <c r="AV2530" s="21">
        <f>IF(AND($AL2530&lt;&gt;"",COUNTIF($AL$11:$AL2530,$AL2530)=1),1,0)</f>
        <v>0</v>
      </c>
      <c r="AW2530" s="21">
        <f t="shared" si="165"/>
        <v>2</v>
      </c>
      <c r="AX2530" s="21" t="str">
        <f t="shared" si="164"/>
        <v/>
      </c>
      <c r="AY2530" s="21" t="str">
        <f>IF(AND($AM2530&lt;&gt;"",$AS2530&lt;&gt;"✓"),SUMPRODUCT(($AM$11:$AM2530&lt;&gt;"")*($AS$11:$AS2530&lt;&gt;"✓")),"")</f>
        <v/>
      </c>
      <c r="AZ2530" s="21" t="str">
        <f>IF(AND($AM2530&lt;&gt;"",$AS2530="✓"),SUMPRODUCT(($AM$11:$AM2530&lt;&gt;"")*($AS$11:$AS2530="✓")),"")</f>
        <v/>
      </c>
      <c r="BA2530" s="21" t="str">
        <f>IF($AL2530="","",$AL2530&amp;"|"&amp;COUNTIF($AL$11:$AL2530,$AL2530))</f>
        <v/>
      </c>
    </row>
    <row r="2531" spans="38:53" ht="15" customHeight="1" x14ac:dyDescent="0.25">
      <c r="AL2531" s="17"/>
      <c r="AM2531" s="12"/>
      <c r="AN2531" s="18"/>
      <c r="AO2531" s="18"/>
      <c r="AP2531" s="10"/>
      <c r="AQ2531" s="10"/>
      <c r="AR2531" s="19"/>
      <c r="AS2531" s="20"/>
      <c r="AT2531" s="19"/>
      <c r="AV2531" s="21">
        <f>IF(AND($AL2531&lt;&gt;"",COUNTIF($AL$11:$AL2531,$AL2531)=1),1,0)</f>
        <v>0</v>
      </c>
      <c r="AW2531" s="21">
        <f t="shared" si="165"/>
        <v>2</v>
      </c>
      <c r="AX2531" s="21" t="str">
        <f t="shared" si="164"/>
        <v/>
      </c>
      <c r="AY2531" s="21" t="str">
        <f>IF(AND($AM2531&lt;&gt;"",$AS2531&lt;&gt;"✓"),SUMPRODUCT(($AM$11:$AM2531&lt;&gt;"")*($AS$11:$AS2531&lt;&gt;"✓")),"")</f>
        <v/>
      </c>
      <c r="AZ2531" s="21" t="str">
        <f>IF(AND($AM2531&lt;&gt;"",$AS2531="✓"),SUMPRODUCT(($AM$11:$AM2531&lt;&gt;"")*($AS$11:$AS2531="✓")),"")</f>
        <v/>
      </c>
      <c r="BA2531" s="21" t="str">
        <f>IF($AL2531="","",$AL2531&amp;"|"&amp;COUNTIF($AL$11:$AL2531,$AL2531))</f>
        <v/>
      </c>
    </row>
    <row r="2532" spans="38:53" ht="15" customHeight="1" x14ac:dyDescent="0.25">
      <c r="AL2532" s="31"/>
      <c r="AM2532" s="26"/>
      <c r="AN2532" s="32"/>
      <c r="AO2532" s="32"/>
      <c r="AP2532" s="24"/>
      <c r="AQ2532" s="24"/>
      <c r="AR2532" s="33"/>
      <c r="AS2532" s="34"/>
      <c r="AT2532" s="33"/>
      <c r="AV2532" s="21">
        <f>IF(AND($AL2532&lt;&gt;"",COUNTIF($AL$11:$AL2532,$AL2532)=1),1,0)</f>
        <v>0</v>
      </c>
      <c r="AW2532" s="21">
        <f t="shared" si="165"/>
        <v>2</v>
      </c>
      <c r="AX2532" s="21" t="str">
        <f t="shared" si="164"/>
        <v/>
      </c>
      <c r="AY2532" s="21" t="str">
        <f>IF(AND($AM2532&lt;&gt;"",$AS2532&lt;&gt;"✓"),SUMPRODUCT(($AM$11:$AM2532&lt;&gt;"")*($AS$11:$AS2532&lt;&gt;"✓")),"")</f>
        <v/>
      </c>
      <c r="AZ2532" s="21" t="str">
        <f>IF(AND($AM2532&lt;&gt;"",$AS2532="✓"),SUMPRODUCT(($AM$11:$AM2532&lt;&gt;"")*($AS$11:$AS2532="✓")),"")</f>
        <v/>
      </c>
      <c r="BA2532" s="21" t="str">
        <f>IF($AL2532="","",$AL2532&amp;"|"&amp;COUNTIF($AL$11:$AL2532,$AL2532))</f>
        <v/>
      </c>
    </row>
    <row r="2533" spans="38:53" ht="15" customHeight="1" x14ac:dyDescent="0.25">
      <c r="AL2533" s="17"/>
      <c r="AM2533" s="12"/>
      <c r="AN2533" s="18"/>
      <c r="AO2533" s="18"/>
      <c r="AP2533" s="10"/>
      <c r="AQ2533" s="10"/>
      <c r="AR2533" s="19"/>
      <c r="AS2533" s="20"/>
      <c r="AT2533" s="19"/>
      <c r="AV2533" s="21">
        <f>IF(AND($AL2533&lt;&gt;"",COUNTIF($AL$11:$AL2533,$AL2533)=1),1,0)</f>
        <v>0</v>
      </c>
      <c r="AW2533" s="21">
        <f t="shared" si="165"/>
        <v>2</v>
      </c>
      <c r="AX2533" s="21" t="str">
        <f t="shared" si="164"/>
        <v/>
      </c>
      <c r="AY2533" s="21" t="str">
        <f>IF(AND($AM2533&lt;&gt;"",$AS2533&lt;&gt;"✓"),SUMPRODUCT(($AM$11:$AM2533&lt;&gt;"")*($AS$11:$AS2533&lt;&gt;"✓")),"")</f>
        <v/>
      </c>
      <c r="AZ2533" s="21" t="str">
        <f>IF(AND($AM2533&lt;&gt;"",$AS2533="✓"),SUMPRODUCT(($AM$11:$AM2533&lt;&gt;"")*($AS$11:$AS2533="✓")),"")</f>
        <v/>
      </c>
      <c r="BA2533" s="21" t="str">
        <f>IF($AL2533="","",$AL2533&amp;"|"&amp;COUNTIF($AL$11:$AL2533,$AL2533))</f>
        <v/>
      </c>
    </row>
    <row r="2534" spans="38:53" ht="15" customHeight="1" x14ac:dyDescent="0.25">
      <c r="AL2534" s="31"/>
      <c r="AM2534" s="26"/>
      <c r="AN2534" s="32"/>
      <c r="AO2534" s="32"/>
      <c r="AP2534" s="24"/>
      <c r="AQ2534" s="24"/>
      <c r="AR2534" s="33"/>
      <c r="AS2534" s="34"/>
      <c r="AT2534" s="33"/>
      <c r="AV2534" s="21">
        <f>IF(AND($AL2534&lt;&gt;"",COUNTIF($AL$11:$AL2534,$AL2534)=1),1,0)</f>
        <v>0</v>
      </c>
      <c r="AW2534" s="21">
        <f t="shared" si="165"/>
        <v>2</v>
      </c>
      <c r="AX2534" s="21" t="str">
        <f t="shared" si="164"/>
        <v/>
      </c>
      <c r="AY2534" s="21" t="str">
        <f>IF(AND($AM2534&lt;&gt;"",$AS2534&lt;&gt;"✓"),SUMPRODUCT(($AM$11:$AM2534&lt;&gt;"")*($AS$11:$AS2534&lt;&gt;"✓")),"")</f>
        <v/>
      </c>
      <c r="AZ2534" s="21" t="str">
        <f>IF(AND($AM2534&lt;&gt;"",$AS2534="✓"),SUMPRODUCT(($AM$11:$AM2534&lt;&gt;"")*($AS$11:$AS2534="✓")),"")</f>
        <v/>
      </c>
      <c r="BA2534" s="21" t="str">
        <f>IF($AL2534="","",$AL2534&amp;"|"&amp;COUNTIF($AL$11:$AL2534,$AL2534))</f>
        <v/>
      </c>
    </row>
    <row r="2535" spans="38:53" ht="15" customHeight="1" x14ac:dyDescent="0.25">
      <c r="AL2535" s="17"/>
      <c r="AM2535" s="12"/>
      <c r="AN2535" s="18"/>
      <c r="AO2535" s="18"/>
      <c r="AP2535" s="10"/>
      <c r="AQ2535" s="10"/>
      <c r="AR2535" s="19"/>
      <c r="AS2535" s="20"/>
      <c r="AT2535" s="19"/>
      <c r="AV2535" s="21">
        <f>IF(AND($AL2535&lt;&gt;"",COUNTIF($AL$11:$AL2535,$AL2535)=1),1,0)</f>
        <v>0</v>
      </c>
      <c r="AW2535" s="21">
        <f t="shared" si="165"/>
        <v>2</v>
      </c>
      <c r="AX2535" s="21" t="str">
        <f t="shared" si="164"/>
        <v/>
      </c>
      <c r="AY2535" s="21" t="str">
        <f>IF(AND($AM2535&lt;&gt;"",$AS2535&lt;&gt;"✓"),SUMPRODUCT(($AM$11:$AM2535&lt;&gt;"")*($AS$11:$AS2535&lt;&gt;"✓")),"")</f>
        <v/>
      </c>
      <c r="AZ2535" s="21" t="str">
        <f>IF(AND($AM2535&lt;&gt;"",$AS2535="✓"),SUMPRODUCT(($AM$11:$AM2535&lt;&gt;"")*($AS$11:$AS2535="✓")),"")</f>
        <v/>
      </c>
      <c r="BA2535" s="21" t="str">
        <f>IF($AL2535="","",$AL2535&amp;"|"&amp;COUNTIF($AL$11:$AL2535,$AL2535))</f>
        <v/>
      </c>
    </row>
    <row r="2536" spans="38:53" ht="15" customHeight="1" x14ac:dyDescent="0.25">
      <c r="AL2536" s="31"/>
      <c r="AM2536" s="26"/>
      <c r="AN2536" s="32"/>
      <c r="AO2536" s="32"/>
      <c r="AP2536" s="24"/>
      <c r="AQ2536" s="24"/>
      <c r="AR2536" s="33"/>
      <c r="AS2536" s="34"/>
      <c r="AT2536" s="33"/>
      <c r="AV2536" s="21">
        <f>IF(AND($AL2536&lt;&gt;"",COUNTIF($AL$11:$AL2536,$AL2536)=1),1,0)</f>
        <v>0</v>
      </c>
      <c r="AW2536" s="21">
        <f t="shared" si="165"/>
        <v>2</v>
      </c>
      <c r="AX2536" s="21" t="str">
        <f t="shared" si="164"/>
        <v/>
      </c>
      <c r="AY2536" s="21" t="str">
        <f>IF(AND($AM2536&lt;&gt;"",$AS2536&lt;&gt;"✓"),SUMPRODUCT(($AM$11:$AM2536&lt;&gt;"")*($AS$11:$AS2536&lt;&gt;"✓")),"")</f>
        <v/>
      </c>
      <c r="AZ2536" s="21" t="str">
        <f>IF(AND($AM2536&lt;&gt;"",$AS2536="✓"),SUMPRODUCT(($AM$11:$AM2536&lt;&gt;"")*($AS$11:$AS2536="✓")),"")</f>
        <v/>
      </c>
      <c r="BA2536" s="21" t="str">
        <f>IF($AL2536="","",$AL2536&amp;"|"&amp;COUNTIF($AL$11:$AL2536,$AL2536))</f>
        <v/>
      </c>
    </row>
    <row r="2537" spans="38:53" ht="15" customHeight="1" x14ac:dyDescent="0.25">
      <c r="AL2537" s="17"/>
      <c r="AM2537" s="12"/>
      <c r="AN2537" s="18"/>
      <c r="AO2537" s="18"/>
      <c r="AP2537" s="10"/>
      <c r="AQ2537" s="10"/>
      <c r="AR2537" s="19"/>
      <c r="AS2537" s="20"/>
      <c r="AT2537" s="19"/>
      <c r="AV2537" s="21">
        <f>IF(AND($AL2537&lt;&gt;"",COUNTIF($AL$11:$AL2537,$AL2537)=1),1,0)</f>
        <v>0</v>
      </c>
      <c r="AW2537" s="21">
        <f t="shared" si="165"/>
        <v>2</v>
      </c>
      <c r="AX2537" s="21" t="str">
        <f t="shared" si="164"/>
        <v/>
      </c>
      <c r="AY2537" s="21" t="str">
        <f>IF(AND($AM2537&lt;&gt;"",$AS2537&lt;&gt;"✓"),SUMPRODUCT(($AM$11:$AM2537&lt;&gt;"")*($AS$11:$AS2537&lt;&gt;"✓")),"")</f>
        <v/>
      </c>
      <c r="AZ2537" s="21" t="str">
        <f>IF(AND($AM2537&lt;&gt;"",$AS2537="✓"),SUMPRODUCT(($AM$11:$AM2537&lt;&gt;"")*($AS$11:$AS2537="✓")),"")</f>
        <v/>
      </c>
      <c r="BA2537" s="21" t="str">
        <f>IF($AL2537="","",$AL2537&amp;"|"&amp;COUNTIF($AL$11:$AL2537,$AL2537))</f>
        <v/>
      </c>
    </row>
    <row r="2538" spans="38:53" ht="15" customHeight="1" x14ac:dyDescent="0.25">
      <c r="AL2538" s="31"/>
      <c r="AM2538" s="26"/>
      <c r="AN2538" s="32"/>
      <c r="AO2538" s="32"/>
      <c r="AP2538" s="24"/>
      <c r="AQ2538" s="24"/>
      <c r="AR2538" s="33"/>
      <c r="AS2538" s="34"/>
      <c r="AT2538" s="33"/>
      <c r="AV2538" s="21">
        <f>IF(AND($AL2538&lt;&gt;"",COUNTIF($AL$11:$AL2538,$AL2538)=1),1,0)</f>
        <v>0</v>
      </c>
      <c r="AW2538" s="21">
        <f t="shared" si="165"/>
        <v>2</v>
      </c>
      <c r="AX2538" s="21" t="str">
        <f t="shared" si="164"/>
        <v/>
      </c>
      <c r="AY2538" s="21" t="str">
        <f>IF(AND($AM2538&lt;&gt;"",$AS2538&lt;&gt;"✓"),SUMPRODUCT(($AM$11:$AM2538&lt;&gt;"")*($AS$11:$AS2538&lt;&gt;"✓")),"")</f>
        <v/>
      </c>
      <c r="AZ2538" s="21" t="str">
        <f>IF(AND($AM2538&lt;&gt;"",$AS2538="✓"),SUMPRODUCT(($AM$11:$AM2538&lt;&gt;"")*($AS$11:$AS2538="✓")),"")</f>
        <v/>
      </c>
      <c r="BA2538" s="21" t="str">
        <f>IF($AL2538="","",$AL2538&amp;"|"&amp;COUNTIF($AL$11:$AL2538,$AL2538))</f>
        <v/>
      </c>
    </row>
    <row r="2539" spans="38:53" ht="15" customHeight="1" x14ac:dyDescent="0.25">
      <c r="AL2539" s="17"/>
      <c r="AM2539" s="12"/>
      <c r="AN2539" s="18"/>
      <c r="AO2539" s="18"/>
      <c r="AP2539" s="10"/>
      <c r="AQ2539" s="10"/>
      <c r="AR2539" s="19"/>
      <c r="AS2539" s="20"/>
      <c r="AT2539" s="19"/>
      <c r="AV2539" s="21">
        <f>IF(AND($AL2539&lt;&gt;"",COUNTIF($AL$11:$AL2539,$AL2539)=1),1,0)</f>
        <v>0</v>
      </c>
      <c r="AW2539" s="21">
        <f t="shared" si="165"/>
        <v>2</v>
      </c>
      <c r="AX2539" s="21" t="str">
        <f t="shared" si="164"/>
        <v/>
      </c>
      <c r="AY2539" s="21" t="str">
        <f>IF(AND($AM2539&lt;&gt;"",$AS2539&lt;&gt;"✓"),SUMPRODUCT(($AM$11:$AM2539&lt;&gt;"")*($AS$11:$AS2539&lt;&gt;"✓")),"")</f>
        <v/>
      </c>
      <c r="AZ2539" s="21" t="str">
        <f>IF(AND($AM2539&lt;&gt;"",$AS2539="✓"),SUMPRODUCT(($AM$11:$AM2539&lt;&gt;"")*($AS$11:$AS2539="✓")),"")</f>
        <v/>
      </c>
      <c r="BA2539" s="21" t="str">
        <f>IF($AL2539="","",$AL2539&amp;"|"&amp;COUNTIF($AL$11:$AL2539,$AL2539))</f>
        <v/>
      </c>
    </row>
    <row r="2540" spans="38:53" ht="15" customHeight="1" x14ac:dyDescent="0.25">
      <c r="AL2540" s="31"/>
      <c r="AM2540" s="26"/>
      <c r="AN2540" s="32"/>
      <c r="AO2540" s="32"/>
      <c r="AP2540" s="24"/>
      <c r="AQ2540" s="24"/>
      <c r="AR2540" s="33"/>
      <c r="AS2540" s="34"/>
      <c r="AT2540" s="33"/>
      <c r="AV2540" s="21">
        <f>IF(AND($AL2540&lt;&gt;"",COUNTIF($AL$11:$AL2540,$AL2540)=1),1,0)</f>
        <v>0</v>
      </c>
      <c r="AW2540" s="21">
        <f t="shared" si="165"/>
        <v>2</v>
      </c>
      <c r="AX2540" s="21" t="str">
        <f t="shared" si="164"/>
        <v/>
      </c>
      <c r="AY2540" s="21" t="str">
        <f>IF(AND($AM2540&lt;&gt;"",$AS2540&lt;&gt;"✓"),SUMPRODUCT(($AM$11:$AM2540&lt;&gt;"")*($AS$11:$AS2540&lt;&gt;"✓")),"")</f>
        <v/>
      </c>
      <c r="AZ2540" s="21" t="str">
        <f>IF(AND($AM2540&lt;&gt;"",$AS2540="✓"),SUMPRODUCT(($AM$11:$AM2540&lt;&gt;"")*($AS$11:$AS2540="✓")),"")</f>
        <v/>
      </c>
      <c r="BA2540" s="21" t="str">
        <f>IF($AL2540="","",$AL2540&amp;"|"&amp;COUNTIF($AL$11:$AL2540,$AL2540))</f>
        <v/>
      </c>
    </row>
    <row r="2541" spans="38:53" ht="15" customHeight="1" x14ac:dyDescent="0.25">
      <c r="AL2541" s="17"/>
      <c r="AM2541" s="12"/>
      <c r="AN2541" s="18"/>
      <c r="AO2541" s="18"/>
      <c r="AP2541" s="10"/>
      <c r="AQ2541" s="10"/>
      <c r="AR2541" s="19"/>
      <c r="AS2541" s="20"/>
      <c r="AT2541" s="19"/>
      <c r="AV2541" s="21">
        <f>IF(AND($AL2541&lt;&gt;"",COUNTIF($AL$11:$AL2541,$AL2541)=1),1,0)</f>
        <v>0</v>
      </c>
      <c r="AW2541" s="21">
        <f t="shared" si="165"/>
        <v>2</v>
      </c>
      <c r="AX2541" s="21" t="str">
        <f t="shared" si="164"/>
        <v/>
      </c>
      <c r="AY2541" s="21" t="str">
        <f>IF(AND($AM2541&lt;&gt;"",$AS2541&lt;&gt;"✓"),SUMPRODUCT(($AM$11:$AM2541&lt;&gt;"")*($AS$11:$AS2541&lt;&gt;"✓")),"")</f>
        <v/>
      </c>
      <c r="AZ2541" s="21" t="str">
        <f>IF(AND($AM2541&lt;&gt;"",$AS2541="✓"),SUMPRODUCT(($AM$11:$AM2541&lt;&gt;"")*($AS$11:$AS2541="✓")),"")</f>
        <v/>
      </c>
      <c r="BA2541" s="21" t="str">
        <f>IF($AL2541="","",$AL2541&amp;"|"&amp;COUNTIF($AL$11:$AL2541,$AL2541))</f>
        <v/>
      </c>
    </row>
    <row r="2542" spans="38:53" ht="15" customHeight="1" x14ac:dyDescent="0.25">
      <c r="AL2542" s="31"/>
      <c r="AM2542" s="26"/>
      <c r="AN2542" s="32"/>
      <c r="AO2542" s="32"/>
      <c r="AP2542" s="24"/>
      <c r="AQ2542" s="24"/>
      <c r="AR2542" s="33"/>
      <c r="AS2542" s="34"/>
      <c r="AT2542" s="33"/>
      <c r="AV2542" s="21">
        <f>IF(AND($AL2542&lt;&gt;"",COUNTIF($AL$11:$AL2542,$AL2542)=1),1,0)</f>
        <v>0</v>
      </c>
      <c r="AW2542" s="21">
        <f t="shared" si="165"/>
        <v>2</v>
      </c>
      <c r="AX2542" s="21" t="str">
        <f t="shared" si="164"/>
        <v/>
      </c>
      <c r="AY2542" s="21" t="str">
        <f>IF(AND($AM2542&lt;&gt;"",$AS2542&lt;&gt;"✓"),SUMPRODUCT(($AM$11:$AM2542&lt;&gt;"")*($AS$11:$AS2542&lt;&gt;"✓")),"")</f>
        <v/>
      </c>
      <c r="AZ2542" s="21" t="str">
        <f>IF(AND($AM2542&lt;&gt;"",$AS2542="✓"),SUMPRODUCT(($AM$11:$AM2542&lt;&gt;"")*($AS$11:$AS2542="✓")),"")</f>
        <v/>
      </c>
      <c r="BA2542" s="21" t="str">
        <f>IF($AL2542="","",$AL2542&amp;"|"&amp;COUNTIF($AL$11:$AL2542,$AL2542))</f>
        <v/>
      </c>
    </row>
    <row r="2543" spans="38:53" ht="15" customHeight="1" x14ac:dyDescent="0.25">
      <c r="AL2543" s="17"/>
      <c r="AM2543" s="12"/>
      <c r="AN2543" s="18"/>
      <c r="AO2543" s="18"/>
      <c r="AP2543" s="10"/>
      <c r="AQ2543" s="10"/>
      <c r="AR2543" s="19"/>
      <c r="AS2543" s="20"/>
      <c r="AT2543" s="19"/>
      <c r="AV2543" s="21">
        <f>IF(AND($AL2543&lt;&gt;"",COUNTIF($AL$11:$AL2543,$AL2543)=1),1,0)</f>
        <v>0</v>
      </c>
      <c r="AW2543" s="21">
        <f t="shared" si="165"/>
        <v>2</v>
      </c>
      <c r="AX2543" s="21" t="str">
        <f t="shared" si="164"/>
        <v/>
      </c>
      <c r="AY2543" s="21" t="str">
        <f>IF(AND($AM2543&lt;&gt;"",$AS2543&lt;&gt;"✓"),SUMPRODUCT(($AM$11:$AM2543&lt;&gt;"")*($AS$11:$AS2543&lt;&gt;"✓")),"")</f>
        <v/>
      </c>
      <c r="AZ2543" s="21" t="str">
        <f>IF(AND($AM2543&lt;&gt;"",$AS2543="✓"),SUMPRODUCT(($AM$11:$AM2543&lt;&gt;"")*($AS$11:$AS2543="✓")),"")</f>
        <v/>
      </c>
      <c r="BA2543" s="21" t="str">
        <f>IF($AL2543="","",$AL2543&amp;"|"&amp;COUNTIF($AL$11:$AL2543,$AL2543))</f>
        <v/>
      </c>
    </row>
    <row r="2544" spans="38:53" ht="15" customHeight="1" x14ac:dyDescent="0.25">
      <c r="AL2544" s="31"/>
      <c r="AM2544" s="26"/>
      <c r="AN2544" s="32"/>
      <c r="AO2544" s="32"/>
      <c r="AP2544" s="24"/>
      <c r="AQ2544" s="24"/>
      <c r="AR2544" s="33"/>
      <c r="AS2544" s="34"/>
      <c r="AT2544" s="33"/>
      <c r="AV2544" s="21">
        <f>IF(AND($AL2544&lt;&gt;"",COUNTIF($AL$11:$AL2544,$AL2544)=1),1,0)</f>
        <v>0</v>
      </c>
      <c r="AW2544" s="21">
        <f t="shared" si="165"/>
        <v>2</v>
      </c>
      <c r="AX2544" s="21" t="str">
        <f t="shared" si="164"/>
        <v/>
      </c>
      <c r="AY2544" s="21" t="str">
        <f>IF(AND($AM2544&lt;&gt;"",$AS2544&lt;&gt;"✓"),SUMPRODUCT(($AM$11:$AM2544&lt;&gt;"")*($AS$11:$AS2544&lt;&gt;"✓")),"")</f>
        <v/>
      </c>
      <c r="AZ2544" s="21" t="str">
        <f>IF(AND($AM2544&lt;&gt;"",$AS2544="✓"),SUMPRODUCT(($AM$11:$AM2544&lt;&gt;"")*($AS$11:$AS2544="✓")),"")</f>
        <v/>
      </c>
      <c r="BA2544" s="21" t="str">
        <f>IF($AL2544="","",$AL2544&amp;"|"&amp;COUNTIF($AL$11:$AL2544,$AL2544))</f>
        <v/>
      </c>
    </row>
    <row r="2545" spans="38:53" ht="15" customHeight="1" x14ac:dyDescent="0.25">
      <c r="AL2545" s="17"/>
      <c r="AM2545" s="12"/>
      <c r="AN2545" s="18"/>
      <c r="AO2545" s="18"/>
      <c r="AP2545" s="10"/>
      <c r="AQ2545" s="10"/>
      <c r="AR2545" s="19"/>
      <c r="AS2545" s="20"/>
      <c r="AT2545" s="19"/>
      <c r="AV2545" s="21">
        <f>IF(AND($AL2545&lt;&gt;"",COUNTIF($AL$11:$AL2545,$AL2545)=1),1,0)</f>
        <v>0</v>
      </c>
      <c r="AW2545" s="21">
        <f t="shared" si="165"/>
        <v>2</v>
      </c>
      <c r="AX2545" s="21" t="str">
        <f t="shared" si="164"/>
        <v/>
      </c>
      <c r="AY2545" s="21" t="str">
        <f>IF(AND($AM2545&lt;&gt;"",$AS2545&lt;&gt;"✓"),SUMPRODUCT(($AM$11:$AM2545&lt;&gt;"")*($AS$11:$AS2545&lt;&gt;"✓")),"")</f>
        <v/>
      </c>
      <c r="AZ2545" s="21" t="str">
        <f>IF(AND($AM2545&lt;&gt;"",$AS2545="✓"),SUMPRODUCT(($AM$11:$AM2545&lt;&gt;"")*($AS$11:$AS2545="✓")),"")</f>
        <v/>
      </c>
      <c r="BA2545" s="21" t="str">
        <f>IF($AL2545="","",$AL2545&amp;"|"&amp;COUNTIF($AL$11:$AL2545,$AL2545))</f>
        <v/>
      </c>
    </row>
    <row r="2546" spans="38:53" ht="15" customHeight="1" x14ac:dyDescent="0.25">
      <c r="AL2546" s="31"/>
      <c r="AM2546" s="26"/>
      <c r="AN2546" s="32"/>
      <c r="AO2546" s="32"/>
      <c r="AP2546" s="24"/>
      <c r="AQ2546" s="24"/>
      <c r="AR2546" s="33"/>
      <c r="AS2546" s="34"/>
      <c r="AT2546" s="33"/>
      <c r="AV2546" s="21">
        <f>IF(AND($AL2546&lt;&gt;"",COUNTIF($AL$11:$AL2546,$AL2546)=1),1,0)</f>
        <v>0</v>
      </c>
      <c r="AW2546" s="21">
        <f t="shared" si="165"/>
        <v>2</v>
      </c>
      <c r="AX2546" s="21" t="str">
        <f t="shared" si="164"/>
        <v/>
      </c>
      <c r="AY2546" s="21" t="str">
        <f>IF(AND($AM2546&lt;&gt;"",$AS2546&lt;&gt;"✓"),SUMPRODUCT(($AM$11:$AM2546&lt;&gt;"")*($AS$11:$AS2546&lt;&gt;"✓")),"")</f>
        <v/>
      </c>
      <c r="AZ2546" s="21" t="str">
        <f>IF(AND($AM2546&lt;&gt;"",$AS2546="✓"),SUMPRODUCT(($AM$11:$AM2546&lt;&gt;"")*($AS$11:$AS2546="✓")),"")</f>
        <v/>
      </c>
      <c r="BA2546" s="21" t="str">
        <f>IF($AL2546="","",$AL2546&amp;"|"&amp;COUNTIF($AL$11:$AL2546,$AL2546))</f>
        <v/>
      </c>
    </row>
    <row r="2547" spans="38:53" ht="15" customHeight="1" x14ac:dyDescent="0.25">
      <c r="AL2547" s="17"/>
      <c r="AM2547" s="12"/>
      <c r="AN2547" s="18"/>
      <c r="AO2547" s="18"/>
      <c r="AP2547" s="10"/>
      <c r="AQ2547" s="10"/>
      <c r="AR2547" s="19"/>
      <c r="AS2547" s="20"/>
      <c r="AT2547" s="19"/>
      <c r="AV2547" s="21">
        <f>IF(AND($AL2547&lt;&gt;"",COUNTIF($AL$11:$AL2547,$AL2547)=1),1,0)</f>
        <v>0</v>
      </c>
      <c r="AW2547" s="21">
        <f t="shared" si="165"/>
        <v>2</v>
      </c>
      <c r="AX2547" s="21" t="str">
        <f t="shared" si="164"/>
        <v/>
      </c>
      <c r="AY2547" s="21" t="str">
        <f>IF(AND($AM2547&lt;&gt;"",$AS2547&lt;&gt;"✓"),SUMPRODUCT(($AM$11:$AM2547&lt;&gt;"")*($AS$11:$AS2547&lt;&gt;"✓")),"")</f>
        <v/>
      </c>
      <c r="AZ2547" s="21" t="str">
        <f>IF(AND($AM2547&lt;&gt;"",$AS2547="✓"),SUMPRODUCT(($AM$11:$AM2547&lt;&gt;"")*($AS$11:$AS2547="✓")),"")</f>
        <v/>
      </c>
      <c r="BA2547" s="21" t="str">
        <f>IF($AL2547="","",$AL2547&amp;"|"&amp;COUNTIF($AL$11:$AL2547,$AL2547))</f>
        <v/>
      </c>
    </row>
    <row r="2548" spans="38:53" ht="15" customHeight="1" x14ac:dyDescent="0.25">
      <c r="AL2548" s="31"/>
      <c r="AM2548" s="26"/>
      <c r="AN2548" s="32"/>
      <c r="AO2548" s="32"/>
      <c r="AP2548" s="24"/>
      <c r="AQ2548" s="24"/>
      <c r="AR2548" s="33"/>
      <c r="AS2548" s="34"/>
      <c r="AT2548" s="33"/>
      <c r="AV2548" s="21">
        <f>IF(AND($AL2548&lt;&gt;"",COUNTIF($AL$11:$AL2548,$AL2548)=1),1,0)</f>
        <v>0</v>
      </c>
      <c r="AW2548" s="21">
        <f t="shared" si="165"/>
        <v>2</v>
      </c>
      <c r="AX2548" s="21" t="str">
        <f t="shared" si="164"/>
        <v/>
      </c>
      <c r="AY2548" s="21" t="str">
        <f>IF(AND($AM2548&lt;&gt;"",$AS2548&lt;&gt;"✓"),SUMPRODUCT(($AM$11:$AM2548&lt;&gt;"")*($AS$11:$AS2548&lt;&gt;"✓")),"")</f>
        <v/>
      </c>
      <c r="AZ2548" s="21" t="str">
        <f>IF(AND($AM2548&lt;&gt;"",$AS2548="✓"),SUMPRODUCT(($AM$11:$AM2548&lt;&gt;"")*($AS$11:$AS2548="✓")),"")</f>
        <v/>
      </c>
      <c r="BA2548" s="21" t="str">
        <f>IF($AL2548="","",$AL2548&amp;"|"&amp;COUNTIF($AL$11:$AL2548,$AL2548))</f>
        <v/>
      </c>
    </row>
    <row r="2549" spans="38:53" ht="15" customHeight="1" x14ac:dyDescent="0.25">
      <c r="AL2549" s="17"/>
      <c r="AM2549" s="12"/>
      <c r="AN2549" s="18"/>
      <c r="AO2549" s="18"/>
      <c r="AP2549" s="10"/>
      <c r="AQ2549" s="10"/>
      <c r="AR2549" s="19"/>
      <c r="AS2549" s="20"/>
      <c r="AT2549" s="19"/>
      <c r="AV2549" s="21">
        <f>IF(AND($AL2549&lt;&gt;"",COUNTIF($AL$11:$AL2549,$AL2549)=1),1,0)</f>
        <v>0</v>
      </c>
      <c r="AW2549" s="21">
        <f t="shared" si="165"/>
        <v>2</v>
      </c>
      <c r="AX2549" s="21" t="str">
        <f t="shared" si="164"/>
        <v/>
      </c>
      <c r="AY2549" s="21" t="str">
        <f>IF(AND($AM2549&lt;&gt;"",$AS2549&lt;&gt;"✓"),SUMPRODUCT(($AM$11:$AM2549&lt;&gt;"")*($AS$11:$AS2549&lt;&gt;"✓")),"")</f>
        <v/>
      </c>
      <c r="AZ2549" s="21" t="str">
        <f>IF(AND($AM2549&lt;&gt;"",$AS2549="✓"),SUMPRODUCT(($AM$11:$AM2549&lt;&gt;"")*($AS$11:$AS2549="✓")),"")</f>
        <v/>
      </c>
      <c r="BA2549" s="21" t="str">
        <f>IF($AL2549="","",$AL2549&amp;"|"&amp;COUNTIF($AL$11:$AL2549,$AL2549))</f>
        <v/>
      </c>
    </row>
    <row r="2550" spans="38:53" ht="15" customHeight="1" x14ac:dyDescent="0.25">
      <c r="AL2550" s="31"/>
      <c r="AM2550" s="26"/>
      <c r="AN2550" s="32"/>
      <c r="AO2550" s="32"/>
      <c r="AP2550" s="24"/>
      <c r="AQ2550" s="24"/>
      <c r="AR2550" s="33"/>
      <c r="AS2550" s="34"/>
      <c r="AT2550" s="33"/>
      <c r="AV2550" s="21">
        <f>IF(AND($AL2550&lt;&gt;"",COUNTIF($AL$11:$AL2550,$AL2550)=1),1,0)</f>
        <v>0</v>
      </c>
      <c r="AW2550" s="21">
        <f t="shared" si="165"/>
        <v>2</v>
      </c>
      <c r="AX2550" s="21" t="str">
        <f t="shared" si="164"/>
        <v/>
      </c>
      <c r="AY2550" s="21" t="str">
        <f>IF(AND($AM2550&lt;&gt;"",$AS2550&lt;&gt;"✓"),SUMPRODUCT(($AM$11:$AM2550&lt;&gt;"")*($AS$11:$AS2550&lt;&gt;"✓")),"")</f>
        <v/>
      </c>
      <c r="AZ2550" s="21" t="str">
        <f>IF(AND($AM2550&lt;&gt;"",$AS2550="✓"),SUMPRODUCT(($AM$11:$AM2550&lt;&gt;"")*($AS$11:$AS2550="✓")),"")</f>
        <v/>
      </c>
      <c r="BA2550" s="21" t="str">
        <f>IF($AL2550="","",$AL2550&amp;"|"&amp;COUNTIF($AL$11:$AL2550,$AL2550))</f>
        <v/>
      </c>
    </row>
    <row r="2551" spans="38:53" ht="15" customHeight="1" x14ac:dyDescent="0.25">
      <c r="AL2551" s="17"/>
      <c r="AM2551" s="12"/>
      <c r="AN2551" s="18"/>
      <c r="AO2551" s="18"/>
      <c r="AP2551" s="10"/>
      <c r="AQ2551" s="10"/>
      <c r="AR2551" s="19"/>
      <c r="AS2551" s="20"/>
      <c r="AT2551" s="19"/>
      <c r="AV2551" s="21">
        <f>IF(AND($AL2551&lt;&gt;"",COUNTIF($AL$11:$AL2551,$AL2551)=1),1,0)</f>
        <v>0</v>
      </c>
      <c r="AW2551" s="21">
        <f t="shared" si="165"/>
        <v>2</v>
      </c>
      <c r="AX2551" s="21" t="str">
        <f t="shared" si="164"/>
        <v/>
      </c>
      <c r="AY2551" s="21" t="str">
        <f>IF(AND($AM2551&lt;&gt;"",$AS2551&lt;&gt;"✓"),SUMPRODUCT(($AM$11:$AM2551&lt;&gt;"")*($AS$11:$AS2551&lt;&gt;"✓")),"")</f>
        <v/>
      </c>
      <c r="AZ2551" s="21" t="str">
        <f>IF(AND($AM2551&lt;&gt;"",$AS2551="✓"),SUMPRODUCT(($AM$11:$AM2551&lt;&gt;"")*($AS$11:$AS2551="✓")),"")</f>
        <v/>
      </c>
      <c r="BA2551" s="21" t="str">
        <f>IF($AL2551="","",$AL2551&amp;"|"&amp;COUNTIF($AL$11:$AL2551,$AL2551))</f>
        <v/>
      </c>
    </row>
    <row r="2552" spans="38:53" ht="15" customHeight="1" x14ac:dyDescent="0.25">
      <c r="AL2552" s="31"/>
      <c r="AM2552" s="26"/>
      <c r="AN2552" s="32"/>
      <c r="AO2552" s="32"/>
      <c r="AP2552" s="24"/>
      <c r="AQ2552" s="24"/>
      <c r="AR2552" s="33"/>
      <c r="AS2552" s="34"/>
      <c r="AT2552" s="33"/>
      <c r="AV2552" s="21">
        <f>IF(AND($AL2552&lt;&gt;"",COUNTIF($AL$11:$AL2552,$AL2552)=1),1,0)</f>
        <v>0</v>
      </c>
      <c r="AW2552" s="21">
        <f t="shared" si="165"/>
        <v>2</v>
      </c>
      <c r="AX2552" s="21" t="str">
        <f t="shared" si="164"/>
        <v/>
      </c>
      <c r="AY2552" s="21" t="str">
        <f>IF(AND($AM2552&lt;&gt;"",$AS2552&lt;&gt;"✓"),SUMPRODUCT(($AM$11:$AM2552&lt;&gt;"")*($AS$11:$AS2552&lt;&gt;"✓")),"")</f>
        <v/>
      </c>
      <c r="AZ2552" s="21" t="str">
        <f>IF(AND($AM2552&lt;&gt;"",$AS2552="✓"),SUMPRODUCT(($AM$11:$AM2552&lt;&gt;"")*($AS$11:$AS2552="✓")),"")</f>
        <v/>
      </c>
      <c r="BA2552" s="21" t="str">
        <f>IF($AL2552="","",$AL2552&amp;"|"&amp;COUNTIF($AL$11:$AL2552,$AL2552))</f>
        <v/>
      </c>
    </row>
    <row r="2553" spans="38:53" ht="15" customHeight="1" x14ac:dyDescent="0.25">
      <c r="AL2553" s="17"/>
      <c r="AM2553" s="12"/>
      <c r="AN2553" s="18"/>
      <c r="AO2553" s="18"/>
      <c r="AP2553" s="10"/>
      <c r="AQ2553" s="10"/>
      <c r="AR2553" s="19"/>
      <c r="AS2553" s="20"/>
      <c r="AT2553" s="19"/>
      <c r="AV2553" s="21">
        <f>IF(AND($AL2553&lt;&gt;"",COUNTIF($AL$11:$AL2553,$AL2553)=1),1,0)</f>
        <v>0</v>
      </c>
      <c r="AW2553" s="21">
        <f t="shared" si="165"/>
        <v>2</v>
      </c>
      <c r="AX2553" s="21" t="str">
        <f t="shared" si="164"/>
        <v/>
      </c>
      <c r="AY2553" s="21" t="str">
        <f>IF(AND($AM2553&lt;&gt;"",$AS2553&lt;&gt;"✓"),SUMPRODUCT(($AM$11:$AM2553&lt;&gt;"")*($AS$11:$AS2553&lt;&gt;"✓")),"")</f>
        <v/>
      </c>
      <c r="AZ2553" s="21" t="str">
        <f>IF(AND($AM2553&lt;&gt;"",$AS2553="✓"),SUMPRODUCT(($AM$11:$AM2553&lt;&gt;"")*($AS$11:$AS2553="✓")),"")</f>
        <v/>
      </c>
      <c r="BA2553" s="21" t="str">
        <f>IF($AL2553="","",$AL2553&amp;"|"&amp;COUNTIF($AL$11:$AL2553,$AL2553))</f>
        <v/>
      </c>
    </row>
    <row r="2554" spans="38:53" ht="15" customHeight="1" x14ac:dyDescent="0.25">
      <c r="AL2554" s="31"/>
      <c r="AM2554" s="26"/>
      <c r="AN2554" s="32"/>
      <c r="AO2554" s="32"/>
      <c r="AP2554" s="24"/>
      <c r="AQ2554" s="24"/>
      <c r="AR2554" s="33"/>
      <c r="AS2554" s="34"/>
      <c r="AT2554" s="33"/>
      <c r="AV2554" s="21">
        <f>IF(AND($AL2554&lt;&gt;"",COUNTIF($AL$11:$AL2554,$AL2554)=1),1,0)</f>
        <v>0</v>
      </c>
      <c r="AW2554" s="21">
        <f t="shared" si="165"/>
        <v>2</v>
      </c>
      <c r="AX2554" s="21" t="str">
        <f t="shared" si="164"/>
        <v/>
      </c>
      <c r="AY2554" s="21" t="str">
        <f>IF(AND($AM2554&lt;&gt;"",$AS2554&lt;&gt;"✓"),SUMPRODUCT(($AM$11:$AM2554&lt;&gt;"")*($AS$11:$AS2554&lt;&gt;"✓")),"")</f>
        <v/>
      </c>
      <c r="AZ2554" s="21" t="str">
        <f>IF(AND($AM2554&lt;&gt;"",$AS2554="✓"),SUMPRODUCT(($AM$11:$AM2554&lt;&gt;"")*($AS$11:$AS2554="✓")),"")</f>
        <v/>
      </c>
      <c r="BA2554" s="21" t="str">
        <f>IF($AL2554="","",$AL2554&amp;"|"&amp;COUNTIF($AL$11:$AL2554,$AL2554))</f>
        <v/>
      </c>
    </row>
    <row r="2555" spans="38:53" ht="15" customHeight="1" x14ac:dyDescent="0.25">
      <c r="AL2555" s="17"/>
      <c r="AM2555" s="12"/>
      <c r="AN2555" s="18"/>
      <c r="AO2555" s="18"/>
      <c r="AP2555" s="10"/>
      <c r="AQ2555" s="10"/>
      <c r="AR2555" s="19"/>
      <c r="AS2555" s="20"/>
      <c r="AT2555" s="19"/>
      <c r="AV2555" s="21">
        <f>IF(AND($AL2555&lt;&gt;"",COUNTIF($AL$11:$AL2555,$AL2555)=1),1,0)</f>
        <v>0</v>
      </c>
      <c r="AW2555" s="21">
        <f t="shared" si="165"/>
        <v>2</v>
      </c>
      <c r="AX2555" s="21" t="str">
        <f t="shared" si="164"/>
        <v/>
      </c>
      <c r="AY2555" s="21" t="str">
        <f>IF(AND($AM2555&lt;&gt;"",$AS2555&lt;&gt;"✓"),SUMPRODUCT(($AM$11:$AM2555&lt;&gt;"")*($AS$11:$AS2555&lt;&gt;"✓")),"")</f>
        <v/>
      </c>
      <c r="AZ2555" s="21" t="str">
        <f>IF(AND($AM2555&lt;&gt;"",$AS2555="✓"),SUMPRODUCT(($AM$11:$AM2555&lt;&gt;"")*($AS$11:$AS2555="✓")),"")</f>
        <v/>
      </c>
      <c r="BA2555" s="21" t="str">
        <f>IF($AL2555="","",$AL2555&amp;"|"&amp;COUNTIF($AL$11:$AL2555,$AL2555))</f>
        <v/>
      </c>
    </row>
    <row r="2556" spans="38:53" ht="15" customHeight="1" x14ac:dyDescent="0.25">
      <c r="AL2556" s="31"/>
      <c r="AM2556" s="26"/>
      <c r="AN2556" s="32"/>
      <c r="AO2556" s="32"/>
      <c r="AP2556" s="24"/>
      <c r="AQ2556" s="24"/>
      <c r="AR2556" s="33"/>
      <c r="AS2556" s="34"/>
      <c r="AT2556" s="33"/>
      <c r="AV2556" s="21">
        <f>IF(AND($AL2556&lt;&gt;"",COUNTIF($AL$11:$AL2556,$AL2556)=1),1,0)</f>
        <v>0</v>
      </c>
      <c r="AW2556" s="21">
        <f t="shared" si="165"/>
        <v>2</v>
      </c>
      <c r="AX2556" s="21" t="str">
        <f t="shared" si="164"/>
        <v/>
      </c>
      <c r="AY2556" s="21" t="str">
        <f>IF(AND($AM2556&lt;&gt;"",$AS2556&lt;&gt;"✓"),SUMPRODUCT(($AM$11:$AM2556&lt;&gt;"")*($AS$11:$AS2556&lt;&gt;"✓")),"")</f>
        <v/>
      </c>
      <c r="AZ2556" s="21" t="str">
        <f>IF(AND($AM2556&lt;&gt;"",$AS2556="✓"),SUMPRODUCT(($AM$11:$AM2556&lt;&gt;"")*($AS$11:$AS2556="✓")),"")</f>
        <v/>
      </c>
      <c r="BA2556" s="21" t="str">
        <f>IF($AL2556="","",$AL2556&amp;"|"&amp;COUNTIF($AL$11:$AL2556,$AL2556))</f>
        <v/>
      </c>
    </row>
    <row r="2557" spans="38:53" ht="15" customHeight="1" x14ac:dyDescent="0.25">
      <c r="AL2557" s="17"/>
      <c r="AM2557" s="12"/>
      <c r="AN2557" s="18"/>
      <c r="AO2557" s="18"/>
      <c r="AP2557" s="10"/>
      <c r="AQ2557" s="10"/>
      <c r="AR2557" s="19"/>
      <c r="AS2557" s="20"/>
      <c r="AT2557" s="19"/>
      <c r="AV2557" s="21">
        <f>IF(AND($AL2557&lt;&gt;"",COUNTIF($AL$11:$AL2557,$AL2557)=1),1,0)</f>
        <v>0</v>
      </c>
      <c r="AW2557" s="21">
        <f t="shared" si="165"/>
        <v>2</v>
      </c>
      <c r="AX2557" s="21" t="str">
        <f t="shared" si="164"/>
        <v/>
      </c>
      <c r="AY2557" s="21" t="str">
        <f>IF(AND($AM2557&lt;&gt;"",$AS2557&lt;&gt;"✓"),SUMPRODUCT(($AM$11:$AM2557&lt;&gt;"")*($AS$11:$AS2557&lt;&gt;"✓")),"")</f>
        <v/>
      </c>
      <c r="AZ2557" s="21" t="str">
        <f>IF(AND($AM2557&lt;&gt;"",$AS2557="✓"),SUMPRODUCT(($AM$11:$AM2557&lt;&gt;"")*($AS$11:$AS2557="✓")),"")</f>
        <v/>
      </c>
      <c r="BA2557" s="21" t="str">
        <f>IF($AL2557="","",$AL2557&amp;"|"&amp;COUNTIF($AL$11:$AL2557,$AL2557))</f>
        <v/>
      </c>
    </row>
    <row r="2558" spans="38:53" ht="15" customHeight="1" x14ac:dyDescent="0.25">
      <c r="AL2558" s="31"/>
      <c r="AM2558" s="26"/>
      <c r="AN2558" s="32"/>
      <c r="AO2558" s="32"/>
      <c r="AP2558" s="24"/>
      <c r="AQ2558" s="24"/>
      <c r="AR2558" s="33"/>
      <c r="AS2558" s="34"/>
      <c r="AT2558" s="33"/>
      <c r="AV2558" s="21">
        <f>IF(AND($AL2558&lt;&gt;"",COUNTIF($AL$11:$AL2558,$AL2558)=1),1,0)</f>
        <v>0</v>
      </c>
      <c r="AW2558" s="21">
        <f t="shared" si="165"/>
        <v>2</v>
      </c>
      <c r="AX2558" s="21" t="str">
        <f t="shared" si="164"/>
        <v/>
      </c>
      <c r="AY2558" s="21" t="str">
        <f>IF(AND($AM2558&lt;&gt;"",$AS2558&lt;&gt;"✓"),SUMPRODUCT(($AM$11:$AM2558&lt;&gt;"")*($AS$11:$AS2558&lt;&gt;"✓")),"")</f>
        <v/>
      </c>
      <c r="AZ2558" s="21" t="str">
        <f>IF(AND($AM2558&lt;&gt;"",$AS2558="✓"),SUMPRODUCT(($AM$11:$AM2558&lt;&gt;"")*($AS$11:$AS2558="✓")),"")</f>
        <v/>
      </c>
      <c r="BA2558" s="21" t="str">
        <f>IF($AL2558="","",$AL2558&amp;"|"&amp;COUNTIF($AL$11:$AL2558,$AL2558))</f>
        <v/>
      </c>
    </row>
    <row r="2559" spans="38:53" ht="15" customHeight="1" x14ac:dyDescent="0.25">
      <c r="AL2559" s="17"/>
      <c r="AM2559" s="12"/>
      <c r="AN2559" s="18"/>
      <c r="AO2559" s="18"/>
      <c r="AP2559" s="10"/>
      <c r="AQ2559" s="10"/>
      <c r="AR2559" s="19"/>
      <c r="AS2559" s="20"/>
      <c r="AT2559" s="19"/>
      <c r="AV2559" s="21">
        <f>IF(AND($AL2559&lt;&gt;"",COUNTIF($AL$11:$AL2559,$AL2559)=1),1,0)</f>
        <v>0</v>
      </c>
      <c r="AW2559" s="21">
        <f t="shared" si="165"/>
        <v>2</v>
      </c>
      <c r="AX2559" s="21" t="str">
        <f t="shared" si="164"/>
        <v/>
      </c>
      <c r="AY2559" s="21" t="str">
        <f>IF(AND($AM2559&lt;&gt;"",$AS2559&lt;&gt;"✓"),SUMPRODUCT(($AM$11:$AM2559&lt;&gt;"")*($AS$11:$AS2559&lt;&gt;"✓")),"")</f>
        <v/>
      </c>
      <c r="AZ2559" s="21" t="str">
        <f>IF(AND($AM2559&lt;&gt;"",$AS2559="✓"),SUMPRODUCT(($AM$11:$AM2559&lt;&gt;"")*($AS$11:$AS2559="✓")),"")</f>
        <v/>
      </c>
      <c r="BA2559" s="21" t="str">
        <f>IF($AL2559="","",$AL2559&amp;"|"&amp;COUNTIF($AL$11:$AL2559,$AL2559))</f>
        <v/>
      </c>
    </row>
    <row r="2560" spans="38:53" ht="15" customHeight="1" x14ac:dyDescent="0.25">
      <c r="AL2560" s="31"/>
      <c r="AM2560" s="26"/>
      <c r="AN2560" s="32"/>
      <c r="AO2560" s="32"/>
      <c r="AP2560" s="24"/>
      <c r="AQ2560" s="24"/>
      <c r="AR2560" s="33"/>
      <c r="AS2560" s="34"/>
      <c r="AT2560" s="33"/>
      <c r="AV2560" s="21">
        <f>IF(AND($AL2560&lt;&gt;"",COUNTIF($AL$11:$AL2560,$AL2560)=1),1,0)</f>
        <v>0</v>
      </c>
      <c r="AW2560" s="21">
        <f t="shared" si="165"/>
        <v>2</v>
      </c>
      <c r="AX2560" s="21" t="str">
        <f t="shared" si="164"/>
        <v/>
      </c>
      <c r="AY2560" s="21" t="str">
        <f>IF(AND($AM2560&lt;&gt;"",$AS2560&lt;&gt;"✓"),SUMPRODUCT(($AM$11:$AM2560&lt;&gt;"")*($AS$11:$AS2560&lt;&gt;"✓")),"")</f>
        <v/>
      </c>
      <c r="AZ2560" s="21" t="str">
        <f>IF(AND($AM2560&lt;&gt;"",$AS2560="✓"),SUMPRODUCT(($AM$11:$AM2560&lt;&gt;"")*($AS$11:$AS2560="✓")),"")</f>
        <v/>
      </c>
      <c r="BA2560" s="21" t="str">
        <f>IF($AL2560="","",$AL2560&amp;"|"&amp;COUNTIF($AL$11:$AL2560,$AL2560))</f>
        <v/>
      </c>
    </row>
    <row r="2561" spans="38:53" ht="15" customHeight="1" x14ac:dyDescent="0.25">
      <c r="AL2561" s="17"/>
      <c r="AM2561" s="12"/>
      <c r="AN2561" s="18"/>
      <c r="AO2561" s="18"/>
      <c r="AP2561" s="10"/>
      <c r="AQ2561" s="10"/>
      <c r="AR2561" s="19"/>
      <c r="AS2561" s="20"/>
      <c r="AT2561" s="19"/>
      <c r="AV2561" s="21">
        <f>IF(AND($AL2561&lt;&gt;"",COUNTIF($AL$11:$AL2561,$AL2561)=1),1,0)</f>
        <v>0</v>
      </c>
      <c r="AW2561" s="21">
        <f t="shared" si="165"/>
        <v>2</v>
      </c>
      <c r="AX2561" s="21" t="str">
        <f t="shared" si="164"/>
        <v/>
      </c>
      <c r="AY2561" s="21" t="str">
        <f>IF(AND($AM2561&lt;&gt;"",$AS2561&lt;&gt;"✓"),SUMPRODUCT(($AM$11:$AM2561&lt;&gt;"")*($AS$11:$AS2561&lt;&gt;"✓")),"")</f>
        <v/>
      </c>
      <c r="AZ2561" s="21" t="str">
        <f>IF(AND($AM2561&lt;&gt;"",$AS2561="✓"),SUMPRODUCT(($AM$11:$AM2561&lt;&gt;"")*($AS$11:$AS2561="✓")),"")</f>
        <v/>
      </c>
      <c r="BA2561" s="21" t="str">
        <f>IF($AL2561="","",$AL2561&amp;"|"&amp;COUNTIF($AL$11:$AL2561,$AL2561))</f>
        <v/>
      </c>
    </row>
    <row r="2562" spans="38:53" ht="15" customHeight="1" x14ac:dyDescent="0.25">
      <c r="AL2562" s="31"/>
      <c r="AM2562" s="26"/>
      <c r="AN2562" s="32"/>
      <c r="AO2562" s="32"/>
      <c r="AP2562" s="24"/>
      <c r="AQ2562" s="24"/>
      <c r="AR2562" s="33"/>
      <c r="AS2562" s="34"/>
      <c r="AT2562" s="33"/>
      <c r="AV2562" s="21">
        <f>IF(AND($AL2562&lt;&gt;"",COUNTIF($AL$11:$AL2562,$AL2562)=1),1,0)</f>
        <v>0</v>
      </c>
      <c r="AW2562" s="21">
        <f t="shared" si="165"/>
        <v>2</v>
      </c>
      <c r="AX2562" s="21" t="str">
        <f t="shared" si="164"/>
        <v/>
      </c>
      <c r="AY2562" s="21" t="str">
        <f>IF(AND($AM2562&lt;&gt;"",$AS2562&lt;&gt;"✓"),SUMPRODUCT(($AM$11:$AM2562&lt;&gt;"")*($AS$11:$AS2562&lt;&gt;"✓")),"")</f>
        <v/>
      </c>
      <c r="AZ2562" s="21" t="str">
        <f>IF(AND($AM2562&lt;&gt;"",$AS2562="✓"),SUMPRODUCT(($AM$11:$AM2562&lt;&gt;"")*($AS$11:$AS2562="✓")),"")</f>
        <v/>
      </c>
      <c r="BA2562" s="21" t="str">
        <f>IF($AL2562="","",$AL2562&amp;"|"&amp;COUNTIF($AL$11:$AL2562,$AL2562))</f>
        <v/>
      </c>
    </row>
    <row r="2563" spans="38:53" ht="15" customHeight="1" x14ac:dyDescent="0.25">
      <c r="AL2563" s="17"/>
      <c r="AM2563" s="12"/>
      <c r="AN2563" s="18"/>
      <c r="AO2563" s="18"/>
      <c r="AP2563" s="10"/>
      <c r="AQ2563" s="10"/>
      <c r="AR2563" s="19"/>
      <c r="AS2563" s="20"/>
      <c r="AT2563" s="19"/>
      <c r="AV2563" s="21">
        <f>IF(AND($AL2563&lt;&gt;"",COUNTIF($AL$11:$AL2563,$AL2563)=1),1,0)</f>
        <v>0</v>
      </c>
      <c r="AW2563" s="21">
        <f t="shared" si="165"/>
        <v>2</v>
      </c>
      <c r="AX2563" s="21" t="str">
        <f t="shared" si="164"/>
        <v/>
      </c>
      <c r="AY2563" s="21" t="str">
        <f>IF(AND($AM2563&lt;&gt;"",$AS2563&lt;&gt;"✓"),SUMPRODUCT(($AM$11:$AM2563&lt;&gt;"")*($AS$11:$AS2563&lt;&gt;"✓")),"")</f>
        <v/>
      </c>
      <c r="AZ2563" s="21" t="str">
        <f>IF(AND($AM2563&lt;&gt;"",$AS2563="✓"),SUMPRODUCT(($AM$11:$AM2563&lt;&gt;"")*($AS$11:$AS2563="✓")),"")</f>
        <v/>
      </c>
      <c r="BA2563" s="21" t="str">
        <f>IF($AL2563="","",$AL2563&amp;"|"&amp;COUNTIF($AL$11:$AL2563,$AL2563))</f>
        <v/>
      </c>
    </row>
    <row r="2564" spans="38:53" ht="15" customHeight="1" x14ac:dyDescent="0.25">
      <c r="AL2564" s="31"/>
      <c r="AM2564" s="26"/>
      <c r="AN2564" s="32"/>
      <c r="AO2564" s="32"/>
      <c r="AP2564" s="24"/>
      <c r="AQ2564" s="24"/>
      <c r="AR2564" s="33"/>
      <c r="AS2564" s="34"/>
      <c r="AT2564" s="33"/>
      <c r="AV2564" s="21">
        <f>IF(AND($AL2564&lt;&gt;"",COUNTIF($AL$11:$AL2564,$AL2564)=1),1,0)</f>
        <v>0</v>
      </c>
      <c r="AW2564" s="21">
        <f t="shared" si="165"/>
        <v>2</v>
      </c>
      <c r="AX2564" s="21" t="str">
        <f t="shared" si="164"/>
        <v/>
      </c>
      <c r="AY2564" s="21" t="str">
        <f>IF(AND($AM2564&lt;&gt;"",$AS2564&lt;&gt;"✓"),SUMPRODUCT(($AM$11:$AM2564&lt;&gt;"")*($AS$11:$AS2564&lt;&gt;"✓")),"")</f>
        <v/>
      </c>
      <c r="AZ2564" s="21" t="str">
        <f>IF(AND($AM2564&lt;&gt;"",$AS2564="✓"),SUMPRODUCT(($AM$11:$AM2564&lt;&gt;"")*($AS$11:$AS2564="✓")),"")</f>
        <v/>
      </c>
      <c r="BA2564" s="21" t="str">
        <f>IF($AL2564="","",$AL2564&amp;"|"&amp;COUNTIF($AL$11:$AL2564,$AL2564))</f>
        <v/>
      </c>
    </row>
    <row r="2565" spans="38:53" ht="15" customHeight="1" x14ac:dyDescent="0.25">
      <c r="AL2565" s="17"/>
      <c r="AM2565" s="12"/>
      <c r="AN2565" s="18"/>
      <c r="AO2565" s="18"/>
      <c r="AP2565" s="10"/>
      <c r="AQ2565" s="10"/>
      <c r="AR2565" s="19"/>
      <c r="AS2565" s="20"/>
      <c r="AT2565" s="19"/>
      <c r="AV2565" s="21">
        <f>IF(AND($AL2565&lt;&gt;"",COUNTIF($AL$11:$AL2565,$AL2565)=1),1,0)</f>
        <v>0</v>
      </c>
      <c r="AW2565" s="21">
        <f t="shared" si="165"/>
        <v>2</v>
      </c>
      <c r="AX2565" s="21" t="str">
        <f t="shared" si="164"/>
        <v/>
      </c>
      <c r="AY2565" s="21" t="str">
        <f>IF(AND($AM2565&lt;&gt;"",$AS2565&lt;&gt;"✓"),SUMPRODUCT(($AM$11:$AM2565&lt;&gt;"")*($AS$11:$AS2565&lt;&gt;"✓")),"")</f>
        <v/>
      </c>
      <c r="AZ2565" s="21" t="str">
        <f>IF(AND($AM2565&lt;&gt;"",$AS2565="✓"),SUMPRODUCT(($AM$11:$AM2565&lt;&gt;"")*($AS$11:$AS2565="✓")),"")</f>
        <v/>
      </c>
      <c r="BA2565" s="21" t="str">
        <f>IF($AL2565="","",$AL2565&amp;"|"&amp;COUNTIF($AL$11:$AL2565,$AL2565))</f>
        <v/>
      </c>
    </row>
    <row r="2566" spans="38:53" ht="15" customHeight="1" x14ac:dyDescent="0.25">
      <c r="AL2566" s="31"/>
      <c r="AM2566" s="26"/>
      <c r="AN2566" s="32"/>
      <c r="AO2566" s="32"/>
      <c r="AP2566" s="24"/>
      <c r="AQ2566" s="24"/>
      <c r="AR2566" s="33"/>
      <c r="AS2566" s="34"/>
      <c r="AT2566" s="33"/>
      <c r="AV2566" s="21">
        <f>IF(AND($AL2566&lt;&gt;"",COUNTIF($AL$11:$AL2566,$AL2566)=1),1,0)</f>
        <v>0</v>
      </c>
      <c r="AW2566" s="21">
        <f t="shared" si="165"/>
        <v>2</v>
      </c>
      <c r="AX2566" s="21" t="str">
        <f t="shared" si="164"/>
        <v/>
      </c>
      <c r="AY2566" s="21" t="str">
        <f>IF(AND($AM2566&lt;&gt;"",$AS2566&lt;&gt;"✓"),SUMPRODUCT(($AM$11:$AM2566&lt;&gt;"")*($AS$11:$AS2566&lt;&gt;"✓")),"")</f>
        <v/>
      </c>
      <c r="AZ2566" s="21" t="str">
        <f>IF(AND($AM2566&lt;&gt;"",$AS2566="✓"),SUMPRODUCT(($AM$11:$AM2566&lt;&gt;"")*($AS$11:$AS2566="✓")),"")</f>
        <v/>
      </c>
      <c r="BA2566" s="21" t="str">
        <f>IF($AL2566="","",$AL2566&amp;"|"&amp;COUNTIF($AL$11:$AL2566,$AL2566))</f>
        <v/>
      </c>
    </row>
    <row r="2567" spans="38:53" ht="15" customHeight="1" x14ac:dyDescent="0.25">
      <c r="AL2567" s="17"/>
      <c r="AM2567" s="12"/>
      <c r="AN2567" s="18"/>
      <c r="AO2567" s="18"/>
      <c r="AP2567" s="10"/>
      <c r="AQ2567" s="10"/>
      <c r="AR2567" s="19"/>
      <c r="AS2567" s="20"/>
      <c r="AT2567" s="19"/>
      <c r="AV2567" s="21">
        <f>IF(AND($AL2567&lt;&gt;"",COUNTIF($AL$11:$AL2567,$AL2567)=1),1,0)</f>
        <v>0</v>
      </c>
      <c r="AW2567" s="21">
        <f t="shared" si="165"/>
        <v>2</v>
      </c>
      <c r="AX2567" s="21" t="str">
        <f t="shared" si="164"/>
        <v/>
      </c>
      <c r="AY2567" s="21" t="str">
        <f>IF(AND($AM2567&lt;&gt;"",$AS2567&lt;&gt;"✓"),SUMPRODUCT(($AM$11:$AM2567&lt;&gt;"")*($AS$11:$AS2567&lt;&gt;"✓")),"")</f>
        <v/>
      </c>
      <c r="AZ2567" s="21" t="str">
        <f>IF(AND($AM2567&lt;&gt;"",$AS2567="✓"),SUMPRODUCT(($AM$11:$AM2567&lt;&gt;"")*($AS$11:$AS2567="✓")),"")</f>
        <v/>
      </c>
      <c r="BA2567" s="21" t="str">
        <f>IF($AL2567="","",$AL2567&amp;"|"&amp;COUNTIF($AL$11:$AL2567,$AL2567))</f>
        <v/>
      </c>
    </row>
    <row r="2568" spans="38:53" ht="15" customHeight="1" x14ac:dyDescent="0.25">
      <c r="AL2568" s="31"/>
      <c r="AM2568" s="26"/>
      <c r="AN2568" s="32"/>
      <c r="AO2568" s="32"/>
      <c r="AP2568" s="24"/>
      <c r="AQ2568" s="24"/>
      <c r="AR2568" s="33"/>
      <c r="AS2568" s="34"/>
      <c r="AT2568" s="33"/>
      <c r="AV2568" s="21">
        <f>IF(AND($AL2568&lt;&gt;"",COUNTIF($AL$11:$AL2568,$AL2568)=1),1,0)</f>
        <v>0</v>
      </c>
      <c r="AW2568" s="21">
        <f t="shared" si="165"/>
        <v>2</v>
      </c>
      <c r="AX2568" s="21" t="str">
        <f t="shared" si="164"/>
        <v/>
      </c>
      <c r="AY2568" s="21" t="str">
        <f>IF(AND($AM2568&lt;&gt;"",$AS2568&lt;&gt;"✓"),SUMPRODUCT(($AM$11:$AM2568&lt;&gt;"")*($AS$11:$AS2568&lt;&gt;"✓")),"")</f>
        <v/>
      </c>
      <c r="AZ2568" s="21" t="str">
        <f>IF(AND($AM2568&lt;&gt;"",$AS2568="✓"),SUMPRODUCT(($AM$11:$AM2568&lt;&gt;"")*($AS$11:$AS2568="✓")),"")</f>
        <v/>
      </c>
      <c r="BA2568" s="21" t="str">
        <f>IF($AL2568="","",$AL2568&amp;"|"&amp;COUNTIF($AL$11:$AL2568,$AL2568))</f>
        <v/>
      </c>
    </row>
    <row r="2569" spans="38:53" ht="15" customHeight="1" x14ac:dyDescent="0.25">
      <c r="AL2569" s="17"/>
      <c r="AM2569" s="12"/>
      <c r="AN2569" s="18"/>
      <c r="AO2569" s="18"/>
      <c r="AP2569" s="10"/>
      <c r="AQ2569" s="10"/>
      <c r="AR2569" s="19"/>
      <c r="AS2569" s="20"/>
      <c r="AT2569" s="19"/>
      <c r="AV2569" s="21">
        <f>IF(AND($AL2569&lt;&gt;"",COUNTIF($AL$11:$AL2569,$AL2569)=1),1,0)</f>
        <v>0</v>
      </c>
      <c r="AW2569" s="21">
        <f t="shared" si="165"/>
        <v>2</v>
      </c>
      <c r="AX2569" s="21" t="str">
        <f t="shared" si="164"/>
        <v/>
      </c>
      <c r="AY2569" s="21" t="str">
        <f>IF(AND($AM2569&lt;&gt;"",$AS2569&lt;&gt;"✓"),SUMPRODUCT(($AM$11:$AM2569&lt;&gt;"")*($AS$11:$AS2569&lt;&gt;"✓")),"")</f>
        <v/>
      </c>
      <c r="AZ2569" s="21" t="str">
        <f>IF(AND($AM2569&lt;&gt;"",$AS2569="✓"),SUMPRODUCT(($AM$11:$AM2569&lt;&gt;"")*($AS$11:$AS2569="✓")),"")</f>
        <v/>
      </c>
      <c r="BA2569" s="21" t="str">
        <f>IF($AL2569="","",$AL2569&amp;"|"&amp;COUNTIF($AL$11:$AL2569,$AL2569))</f>
        <v/>
      </c>
    </row>
    <row r="2570" spans="38:53" ht="15" customHeight="1" x14ac:dyDescent="0.25">
      <c r="AL2570" s="31"/>
      <c r="AM2570" s="26"/>
      <c r="AN2570" s="32"/>
      <c r="AO2570" s="32"/>
      <c r="AP2570" s="24"/>
      <c r="AQ2570" s="24"/>
      <c r="AR2570" s="33"/>
      <c r="AS2570" s="34"/>
      <c r="AT2570" s="33"/>
      <c r="AV2570" s="21">
        <f>IF(AND($AL2570&lt;&gt;"",COUNTIF($AL$11:$AL2570,$AL2570)=1),1,0)</f>
        <v>0</v>
      </c>
      <c r="AW2570" s="21">
        <f t="shared" si="165"/>
        <v>2</v>
      </c>
      <c r="AX2570" s="21" t="str">
        <f t="shared" si="164"/>
        <v/>
      </c>
      <c r="AY2570" s="21" t="str">
        <f>IF(AND($AM2570&lt;&gt;"",$AS2570&lt;&gt;"✓"),SUMPRODUCT(($AM$11:$AM2570&lt;&gt;"")*($AS$11:$AS2570&lt;&gt;"✓")),"")</f>
        <v/>
      </c>
      <c r="AZ2570" s="21" t="str">
        <f>IF(AND($AM2570&lt;&gt;"",$AS2570="✓"),SUMPRODUCT(($AM$11:$AM2570&lt;&gt;"")*($AS$11:$AS2570="✓")),"")</f>
        <v/>
      </c>
      <c r="BA2570" s="21" t="str">
        <f>IF($AL2570="","",$AL2570&amp;"|"&amp;COUNTIF($AL$11:$AL2570,$AL2570))</f>
        <v/>
      </c>
    </row>
    <row r="2571" spans="38:53" ht="15" customHeight="1" x14ac:dyDescent="0.25">
      <c r="AL2571" s="17"/>
      <c r="AM2571" s="12"/>
      <c r="AN2571" s="18"/>
      <c r="AO2571" s="18"/>
      <c r="AP2571" s="10"/>
      <c r="AQ2571" s="10"/>
      <c r="AR2571" s="19"/>
      <c r="AS2571" s="20"/>
      <c r="AT2571" s="19"/>
      <c r="AV2571" s="21">
        <f>IF(AND($AL2571&lt;&gt;"",COUNTIF($AL$11:$AL2571,$AL2571)=1),1,0)</f>
        <v>0</v>
      </c>
      <c r="AW2571" s="21">
        <f t="shared" si="165"/>
        <v>2</v>
      </c>
      <c r="AX2571" s="21" t="str">
        <f t="shared" ref="AX2571:AX2634" si="166">IF(AV2571=1,AW2571,"")</f>
        <v/>
      </c>
      <c r="AY2571" s="21" t="str">
        <f>IF(AND($AM2571&lt;&gt;"",$AS2571&lt;&gt;"✓"),SUMPRODUCT(($AM$11:$AM2571&lt;&gt;"")*($AS$11:$AS2571&lt;&gt;"✓")),"")</f>
        <v/>
      </c>
      <c r="AZ2571" s="21" t="str">
        <f>IF(AND($AM2571&lt;&gt;"",$AS2571="✓"),SUMPRODUCT(($AM$11:$AM2571&lt;&gt;"")*($AS$11:$AS2571="✓")),"")</f>
        <v/>
      </c>
      <c r="BA2571" s="21" t="str">
        <f>IF($AL2571="","",$AL2571&amp;"|"&amp;COUNTIF($AL$11:$AL2571,$AL2571))</f>
        <v/>
      </c>
    </row>
    <row r="2572" spans="38:53" ht="15" customHeight="1" x14ac:dyDescent="0.25">
      <c r="AL2572" s="31"/>
      <c r="AM2572" s="26"/>
      <c r="AN2572" s="32"/>
      <c r="AO2572" s="32"/>
      <c r="AP2572" s="24"/>
      <c r="AQ2572" s="24"/>
      <c r="AR2572" s="33"/>
      <c r="AS2572" s="34"/>
      <c r="AT2572" s="33"/>
      <c r="AV2572" s="21">
        <f>IF(AND($AL2572&lt;&gt;"",COUNTIF($AL$11:$AL2572,$AL2572)=1),1,0)</f>
        <v>0</v>
      </c>
      <c r="AW2572" s="21">
        <f t="shared" ref="AW2572:AW2635" si="167">AW2571+AV2572</f>
        <v>2</v>
      </c>
      <c r="AX2572" s="21" t="str">
        <f t="shared" si="166"/>
        <v/>
      </c>
      <c r="AY2572" s="21" t="str">
        <f>IF(AND($AM2572&lt;&gt;"",$AS2572&lt;&gt;"✓"),SUMPRODUCT(($AM$11:$AM2572&lt;&gt;"")*($AS$11:$AS2572&lt;&gt;"✓")),"")</f>
        <v/>
      </c>
      <c r="AZ2572" s="21" t="str">
        <f>IF(AND($AM2572&lt;&gt;"",$AS2572="✓"),SUMPRODUCT(($AM$11:$AM2572&lt;&gt;"")*($AS$11:$AS2572="✓")),"")</f>
        <v/>
      </c>
      <c r="BA2572" s="21" t="str">
        <f>IF($AL2572="","",$AL2572&amp;"|"&amp;COUNTIF($AL$11:$AL2572,$AL2572))</f>
        <v/>
      </c>
    </row>
    <row r="2573" spans="38:53" ht="15" customHeight="1" x14ac:dyDescent="0.25">
      <c r="AL2573" s="17"/>
      <c r="AM2573" s="12"/>
      <c r="AN2573" s="18"/>
      <c r="AO2573" s="18"/>
      <c r="AP2573" s="10"/>
      <c r="AQ2573" s="10"/>
      <c r="AR2573" s="19"/>
      <c r="AS2573" s="20"/>
      <c r="AT2573" s="19"/>
      <c r="AV2573" s="21">
        <f>IF(AND($AL2573&lt;&gt;"",COUNTIF($AL$11:$AL2573,$AL2573)=1),1,0)</f>
        <v>0</v>
      </c>
      <c r="AW2573" s="21">
        <f t="shared" si="167"/>
        <v>2</v>
      </c>
      <c r="AX2573" s="21" t="str">
        <f t="shared" si="166"/>
        <v/>
      </c>
      <c r="AY2573" s="21" t="str">
        <f>IF(AND($AM2573&lt;&gt;"",$AS2573&lt;&gt;"✓"),SUMPRODUCT(($AM$11:$AM2573&lt;&gt;"")*($AS$11:$AS2573&lt;&gt;"✓")),"")</f>
        <v/>
      </c>
      <c r="AZ2573" s="21" t="str">
        <f>IF(AND($AM2573&lt;&gt;"",$AS2573="✓"),SUMPRODUCT(($AM$11:$AM2573&lt;&gt;"")*($AS$11:$AS2573="✓")),"")</f>
        <v/>
      </c>
      <c r="BA2573" s="21" t="str">
        <f>IF($AL2573="","",$AL2573&amp;"|"&amp;COUNTIF($AL$11:$AL2573,$AL2573))</f>
        <v/>
      </c>
    </row>
    <row r="2574" spans="38:53" ht="15" customHeight="1" x14ac:dyDescent="0.25">
      <c r="AL2574" s="31"/>
      <c r="AM2574" s="26"/>
      <c r="AN2574" s="32"/>
      <c r="AO2574" s="32"/>
      <c r="AP2574" s="24"/>
      <c r="AQ2574" s="24"/>
      <c r="AR2574" s="33"/>
      <c r="AS2574" s="34"/>
      <c r="AT2574" s="33"/>
      <c r="AV2574" s="21">
        <f>IF(AND($AL2574&lt;&gt;"",COUNTIF($AL$11:$AL2574,$AL2574)=1),1,0)</f>
        <v>0</v>
      </c>
      <c r="AW2574" s="21">
        <f t="shared" si="167"/>
        <v>2</v>
      </c>
      <c r="AX2574" s="21" t="str">
        <f t="shared" si="166"/>
        <v/>
      </c>
      <c r="AY2574" s="21" t="str">
        <f>IF(AND($AM2574&lt;&gt;"",$AS2574&lt;&gt;"✓"),SUMPRODUCT(($AM$11:$AM2574&lt;&gt;"")*($AS$11:$AS2574&lt;&gt;"✓")),"")</f>
        <v/>
      </c>
      <c r="AZ2574" s="21" t="str">
        <f>IF(AND($AM2574&lt;&gt;"",$AS2574="✓"),SUMPRODUCT(($AM$11:$AM2574&lt;&gt;"")*($AS$11:$AS2574="✓")),"")</f>
        <v/>
      </c>
      <c r="BA2574" s="21" t="str">
        <f>IF($AL2574="","",$AL2574&amp;"|"&amp;COUNTIF($AL$11:$AL2574,$AL2574))</f>
        <v/>
      </c>
    </row>
    <row r="2575" spans="38:53" ht="15" customHeight="1" x14ac:dyDescent="0.25">
      <c r="AL2575" s="17"/>
      <c r="AM2575" s="12"/>
      <c r="AN2575" s="18"/>
      <c r="AO2575" s="18"/>
      <c r="AP2575" s="10"/>
      <c r="AQ2575" s="10"/>
      <c r="AR2575" s="19"/>
      <c r="AS2575" s="20"/>
      <c r="AT2575" s="19"/>
      <c r="AV2575" s="21">
        <f>IF(AND($AL2575&lt;&gt;"",COUNTIF($AL$11:$AL2575,$AL2575)=1),1,0)</f>
        <v>0</v>
      </c>
      <c r="AW2575" s="21">
        <f t="shared" si="167"/>
        <v>2</v>
      </c>
      <c r="AX2575" s="21" t="str">
        <f t="shared" si="166"/>
        <v/>
      </c>
      <c r="AY2575" s="21" t="str">
        <f>IF(AND($AM2575&lt;&gt;"",$AS2575&lt;&gt;"✓"),SUMPRODUCT(($AM$11:$AM2575&lt;&gt;"")*($AS$11:$AS2575&lt;&gt;"✓")),"")</f>
        <v/>
      </c>
      <c r="AZ2575" s="21" t="str">
        <f>IF(AND($AM2575&lt;&gt;"",$AS2575="✓"),SUMPRODUCT(($AM$11:$AM2575&lt;&gt;"")*($AS$11:$AS2575="✓")),"")</f>
        <v/>
      </c>
      <c r="BA2575" s="21" t="str">
        <f>IF($AL2575="","",$AL2575&amp;"|"&amp;COUNTIF($AL$11:$AL2575,$AL2575))</f>
        <v/>
      </c>
    </row>
    <row r="2576" spans="38:53" ht="15" customHeight="1" x14ac:dyDescent="0.25">
      <c r="AL2576" s="31"/>
      <c r="AM2576" s="26"/>
      <c r="AN2576" s="32"/>
      <c r="AO2576" s="32"/>
      <c r="AP2576" s="24"/>
      <c r="AQ2576" s="24"/>
      <c r="AR2576" s="33"/>
      <c r="AS2576" s="34"/>
      <c r="AT2576" s="33"/>
      <c r="AV2576" s="21">
        <f>IF(AND($AL2576&lt;&gt;"",COUNTIF($AL$11:$AL2576,$AL2576)=1),1,0)</f>
        <v>0</v>
      </c>
      <c r="AW2576" s="21">
        <f t="shared" si="167"/>
        <v>2</v>
      </c>
      <c r="AX2576" s="21" t="str">
        <f t="shared" si="166"/>
        <v/>
      </c>
      <c r="AY2576" s="21" t="str">
        <f>IF(AND($AM2576&lt;&gt;"",$AS2576&lt;&gt;"✓"),SUMPRODUCT(($AM$11:$AM2576&lt;&gt;"")*($AS$11:$AS2576&lt;&gt;"✓")),"")</f>
        <v/>
      </c>
      <c r="AZ2576" s="21" t="str">
        <f>IF(AND($AM2576&lt;&gt;"",$AS2576="✓"),SUMPRODUCT(($AM$11:$AM2576&lt;&gt;"")*($AS$11:$AS2576="✓")),"")</f>
        <v/>
      </c>
      <c r="BA2576" s="21" t="str">
        <f>IF($AL2576="","",$AL2576&amp;"|"&amp;COUNTIF($AL$11:$AL2576,$AL2576))</f>
        <v/>
      </c>
    </row>
    <row r="2577" spans="38:53" ht="15" customHeight="1" x14ac:dyDescent="0.25">
      <c r="AL2577" s="17"/>
      <c r="AM2577" s="12"/>
      <c r="AN2577" s="18"/>
      <c r="AO2577" s="18"/>
      <c r="AP2577" s="10"/>
      <c r="AQ2577" s="10"/>
      <c r="AR2577" s="19"/>
      <c r="AS2577" s="20"/>
      <c r="AT2577" s="19"/>
      <c r="AV2577" s="21">
        <f>IF(AND($AL2577&lt;&gt;"",COUNTIF($AL$11:$AL2577,$AL2577)=1),1,0)</f>
        <v>0</v>
      </c>
      <c r="AW2577" s="21">
        <f t="shared" si="167"/>
        <v>2</v>
      </c>
      <c r="AX2577" s="21" t="str">
        <f t="shared" si="166"/>
        <v/>
      </c>
      <c r="AY2577" s="21" t="str">
        <f>IF(AND($AM2577&lt;&gt;"",$AS2577&lt;&gt;"✓"),SUMPRODUCT(($AM$11:$AM2577&lt;&gt;"")*($AS$11:$AS2577&lt;&gt;"✓")),"")</f>
        <v/>
      </c>
      <c r="AZ2577" s="21" t="str">
        <f>IF(AND($AM2577&lt;&gt;"",$AS2577="✓"),SUMPRODUCT(($AM$11:$AM2577&lt;&gt;"")*($AS$11:$AS2577="✓")),"")</f>
        <v/>
      </c>
      <c r="BA2577" s="21" t="str">
        <f>IF($AL2577="","",$AL2577&amp;"|"&amp;COUNTIF($AL$11:$AL2577,$AL2577))</f>
        <v/>
      </c>
    </row>
    <row r="2578" spans="38:53" ht="15" customHeight="1" x14ac:dyDescent="0.25">
      <c r="AL2578" s="31"/>
      <c r="AM2578" s="26"/>
      <c r="AN2578" s="32"/>
      <c r="AO2578" s="32"/>
      <c r="AP2578" s="24"/>
      <c r="AQ2578" s="24"/>
      <c r="AR2578" s="33"/>
      <c r="AS2578" s="34"/>
      <c r="AT2578" s="33"/>
      <c r="AV2578" s="21">
        <f>IF(AND($AL2578&lt;&gt;"",COUNTIF($AL$11:$AL2578,$AL2578)=1),1,0)</f>
        <v>0</v>
      </c>
      <c r="AW2578" s="21">
        <f t="shared" si="167"/>
        <v>2</v>
      </c>
      <c r="AX2578" s="21" t="str">
        <f t="shared" si="166"/>
        <v/>
      </c>
      <c r="AY2578" s="21" t="str">
        <f>IF(AND($AM2578&lt;&gt;"",$AS2578&lt;&gt;"✓"),SUMPRODUCT(($AM$11:$AM2578&lt;&gt;"")*($AS$11:$AS2578&lt;&gt;"✓")),"")</f>
        <v/>
      </c>
      <c r="AZ2578" s="21" t="str">
        <f>IF(AND($AM2578&lt;&gt;"",$AS2578="✓"),SUMPRODUCT(($AM$11:$AM2578&lt;&gt;"")*($AS$11:$AS2578="✓")),"")</f>
        <v/>
      </c>
      <c r="BA2578" s="21" t="str">
        <f>IF($AL2578="","",$AL2578&amp;"|"&amp;COUNTIF($AL$11:$AL2578,$AL2578))</f>
        <v/>
      </c>
    </row>
    <row r="2579" spans="38:53" ht="15" customHeight="1" x14ac:dyDescent="0.25">
      <c r="AL2579" s="17"/>
      <c r="AM2579" s="12"/>
      <c r="AN2579" s="18"/>
      <c r="AO2579" s="18"/>
      <c r="AP2579" s="10"/>
      <c r="AQ2579" s="10"/>
      <c r="AR2579" s="19"/>
      <c r="AS2579" s="20"/>
      <c r="AT2579" s="19"/>
      <c r="AV2579" s="21">
        <f>IF(AND($AL2579&lt;&gt;"",COUNTIF($AL$11:$AL2579,$AL2579)=1),1,0)</f>
        <v>0</v>
      </c>
      <c r="AW2579" s="21">
        <f t="shared" si="167"/>
        <v>2</v>
      </c>
      <c r="AX2579" s="21" t="str">
        <f t="shared" si="166"/>
        <v/>
      </c>
      <c r="AY2579" s="21" t="str">
        <f>IF(AND($AM2579&lt;&gt;"",$AS2579&lt;&gt;"✓"),SUMPRODUCT(($AM$11:$AM2579&lt;&gt;"")*($AS$11:$AS2579&lt;&gt;"✓")),"")</f>
        <v/>
      </c>
      <c r="AZ2579" s="21" t="str">
        <f>IF(AND($AM2579&lt;&gt;"",$AS2579="✓"),SUMPRODUCT(($AM$11:$AM2579&lt;&gt;"")*($AS$11:$AS2579="✓")),"")</f>
        <v/>
      </c>
      <c r="BA2579" s="21" t="str">
        <f>IF($AL2579="","",$AL2579&amp;"|"&amp;COUNTIF($AL$11:$AL2579,$AL2579))</f>
        <v/>
      </c>
    </row>
    <row r="2580" spans="38:53" ht="15" customHeight="1" x14ac:dyDescent="0.25">
      <c r="AL2580" s="31"/>
      <c r="AM2580" s="26"/>
      <c r="AN2580" s="32"/>
      <c r="AO2580" s="32"/>
      <c r="AP2580" s="24"/>
      <c r="AQ2580" s="24"/>
      <c r="AR2580" s="33"/>
      <c r="AS2580" s="34"/>
      <c r="AT2580" s="33"/>
      <c r="AV2580" s="21">
        <f>IF(AND($AL2580&lt;&gt;"",COUNTIF($AL$11:$AL2580,$AL2580)=1),1,0)</f>
        <v>0</v>
      </c>
      <c r="AW2580" s="21">
        <f t="shared" si="167"/>
        <v>2</v>
      </c>
      <c r="AX2580" s="21" t="str">
        <f t="shared" si="166"/>
        <v/>
      </c>
      <c r="AY2580" s="21" t="str">
        <f>IF(AND($AM2580&lt;&gt;"",$AS2580&lt;&gt;"✓"),SUMPRODUCT(($AM$11:$AM2580&lt;&gt;"")*($AS$11:$AS2580&lt;&gt;"✓")),"")</f>
        <v/>
      </c>
      <c r="AZ2580" s="21" t="str">
        <f>IF(AND($AM2580&lt;&gt;"",$AS2580="✓"),SUMPRODUCT(($AM$11:$AM2580&lt;&gt;"")*($AS$11:$AS2580="✓")),"")</f>
        <v/>
      </c>
      <c r="BA2580" s="21" t="str">
        <f>IF($AL2580="","",$AL2580&amp;"|"&amp;COUNTIF($AL$11:$AL2580,$AL2580))</f>
        <v/>
      </c>
    </row>
    <row r="2581" spans="38:53" ht="15" customHeight="1" x14ac:dyDescent="0.25">
      <c r="AL2581" s="17"/>
      <c r="AM2581" s="12"/>
      <c r="AN2581" s="18"/>
      <c r="AO2581" s="18"/>
      <c r="AP2581" s="10"/>
      <c r="AQ2581" s="10"/>
      <c r="AR2581" s="19"/>
      <c r="AS2581" s="20"/>
      <c r="AT2581" s="19"/>
      <c r="AV2581" s="21">
        <f>IF(AND($AL2581&lt;&gt;"",COUNTIF($AL$11:$AL2581,$AL2581)=1),1,0)</f>
        <v>0</v>
      </c>
      <c r="AW2581" s="21">
        <f t="shared" si="167"/>
        <v>2</v>
      </c>
      <c r="AX2581" s="21" t="str">
        <f t="shared" si="166"/>
        <v/>
      </c>
      <c r="AY2581" s="21" t="str">
        <f>IF(AND($AM2581&lt;&gt;"",$AS2581&lt;&gt;"✓"),SUMPRODUCT(($AM$11:$AM2581&lt;&gt;"")*($AS$11:$AS2581&lt;&gt;"✓")),"")</f>
        <v/>
      </c>
      <c r="AZ2581" s="21" t="str">
        <f>IF(AND($AM2581&lt;&gt;"",$AS2581="✓"),SUMPRODUCT(($AM$11:$AM2581&lt;&gt;"")*($AS$11:$AS2581="✓")),"")</f>
        <v/>
      </c>
      <c r="BA2581" s="21" t="str">
        <f>IF($AL2581="","",$AL2581&amp;"|"&amp;COUNTIF($AL$11:$AL2581,$AL2581))</f>
        <v/>
      </c>
    </row>
    <row r="2582" spans="38:53" ht="15" customHeight="1" x14ac:dyDescent="0.25">
      <c r="AL2582" s="31"/>
      <c r="AM2582" s="26"/>
      <c r="AN2582" s="32"/>
      <c r="AO2582" s="32"/>
      <c r="AP2582" s="24"/>
      <c r="AQ2582" s="24"/>
      <c r="AR2582" s="33"/>
      <c r="AS2582" s="34"/>
      <c r="AT2582" s="33"/>
      <c r="AV2582" s="21">
        <f>IF(AND($AL2582&lt;&gt;"",COUNTIF($AL$11:$AL2582,$AL2582)=1),1,0)</f>
        <v>0</v>
      </c>
      <c r="AW2582" s="21">
        <f t="shared" si="167"/>
        <v>2</v>
      </c>
      <c r="AX2582" s="21" t="str">
        <f t="shared" si="166"/>
        <v/>
      </c>
      <c r="AY2582" s="21" t="str">
        <f>IF(AND($AM2582&lt;&gt;"",$AS2582&lt;&gt;"✓"),SUMPRODUCT(($AM$11:$AM2582&lt;&gt;"")*($AS$11:$AS2582&lt;&gt;"✓")),"")</f>
        <v/>
      </c>
      <c r="AZ2582" s="21" t="str">
        <f>IF(AND($AM2582&lt;&gt;"",$AS2582="✓"),SUMPRODUCT(($AM$11:$AM2582&lt;&gt;"")*($AS$11:$AS2582="✓")),"")</f>
        <v/>
      </c>
      <c r="BA2582" s="21" t="str">
        <f>IF($AL2582="","",$AL2582&amp;"|"&amp;COUNTIF($AL$11:$AL2582,$AL2582))</f>
        <v/>
      </c>
    </row>
    <row r="2583" spans="38:53" ht="15" customHeight="1" x14ac:dyDescent="0.25">
      <c r="AL2583" s="17"/>
      <c r="AM2583" s="12"/>
      <c r="AN2583" s="18"/>
      <c r="AO2583" s="18"/>
      <c r="AP2583" s="10"/>
      <c r="AQ2583" s="10"/>
      <c r="AR2583" s="19"/>
      <c r="AS2583" s="20"/>
      <c r="AT2583" s="19"/>
      <c r="AV2583" s="21">
        <f>IF(AND($AL2583&lt;&gt;"",COUNTIF($AL$11:$AL2583,$AL2583)=1),1,0)</f>
        <v>0</v>
      </c>
      <c r="AW2583" s="21">
        <f t="shared" si="167"/>
        <v>2</v>
      </c>
      <c r="AX2583" s="21" t="str">
        <f t="shared" si="166"/>
        <v/>
      </c>
      <c r="AY2583" s="21" t="str">
        <f>IF(AND($AM2583&lt;&gt;"",$AS2583&lt;&gt;"✓"),SUMPRODUCT(($AM$11:$AM2583&lt;&gt;"")*($AS$11:$AS2583&lt;&gt;"✓")),"")</f>
        <v/>
      </c>
      <c r="AZ2583" s="21" t="str">
        <f>IF(AND($AM2583&lt;&gt;"",$AS2583="✓"),SUMPRODUCT(($AM$11:$AM2583&lt;&gt;"")*($AS$11:$AS2583="✓")),"")</f>
        <v/>
      </c>
      <c r="BA2583" s="21" t="str">
        <f>IF($AL2583="","",$AL2583&amp;"|"&amp;COUNTIF($AL$11:$AL2583,$AL2583))</f>
        <v/>
      </c>
    </row>
    <row r="2584" spans="38:53" ht="15" customHeight="1" x14ac:dyDescent="0.25">
      <c r="AL2584" s="31"/>
      <c r="AM2584" s="26"/>
      <c r="AN2584" s="32"/>
      <c r="AO2584" s="32"/>
      <c r="AP2584" s="24"/>
      <c r="AQ2584" s="24"/>
      <c r="AR2584" s="33"/>
      <c r="AS2584" s="34"/>
      <c r="AT2584" s="33"/>
      <c r="AV2584" s="21">
        <f>IF(AND($AL2584&lt;&gt;"",COUNTIF($AL$11:$AL2584,$AL2584)=1),1,0)</f>
        <v>0</v>
      </c>
      <c r="AW2584" s="21">
        <f t="shared" si="167"/>
        <v>2</v>
      </c>
      <c r="AX2584" s="21" t="str">
        <f t="shared" si="166"/>
        <v/>
      </c>
      <c r="AY2584" s="21" t="str">
        <f>IF(AND($AM2584&lt;&gt;"",$AS2584&lt;&gt;"✓"),SUMPRODUCT(($AM$11:$AM2584&lt;&gt;"")*($AS$11:$AS2584&lt;&gt;"✓")),"")</f>
        <v/>
      </c>
      <c r="AZ2584" s="21" t="str">
        <f>IF(AND($AM2584&lt;&gt;"",$AS2584="✓"),SUMPRODUCT(($AM$11:$AM2584&lt;&gt;"")*($AS$11:$AS2584="✓")),"")</f>
        <v/>
      </c>
      <c r="BA2584" s="21" t="str">
        <f>IF($AL2584="","",$AL2584&amp;"|"&amp;COUNTIF($AL$11:$AL2584,$AL2584))</f>
        <v/>
      </c>
    </row>
    <row r="2585" spans="38:53" ht="15" customHeight="1" x14ac:dyDescent="0.25">
      <c r="AL2585" s="17"/>
      <c r="AM2585" s="12"/>
      <c r="AN2585" s="18"/>
      <c r="AO2585" s="18"/>
      <c r="AP2585" s="10"/>
      <c r="AQ2585" s="10"/>
      <c r="AR2585" s="19"/>
      <c r="AS2585" s="20"/>
      <c r="AT2585" s="19"/>
      <c r="AV2585" s="21">
        <f>IF(AND($AL2585&lt;&gt;"",COUNTIF($AL$11:$AL2585,$AL2585)=1),1,0)</f>
        <v>0</v>
      </c>
      <c r="AW2585" s="21">
        <f t="shared" si="167"/>
        <v>2</v>
      </c>
      <c r="AX2585" s="21" t="str">
        <f t="shared" si="166"/>
        <v/>
      </c>
      <c r="AY2585" s="21" t="str">
        <f>IF(AND($AM2585&lt;&gt;"",$AS2585&lt;&gt;"✓"),SUMPRODUCT(($AM$11:$AM2585&lt;&gt;"")*($AS$11:$AS2585&lt;&gt;"✓")),"")</f>
        <v/>
      </c>
      <c r="AZ2585" s="21" t="str">
        <f>IF(AND($AM2585&lt;&gt;"",$AS2585="✓"),SUMPRODUCT(($AM$11:$AM2585&lt;&gt;"")*($AS$11:$AS2585="✓")),"")</f>
        <v/>
      </c>
      <c r="BA2585" s="21" t="str">
        <f>IF($AL2585="","",$AL2585&amp;"|"&amp;COUNTIF($AL$11:$AL2585,$AL2585))</f>
        <v/>
      </c>
    </row>
    <row r="2586" spans="38:53" ht="15" customHeight="1" x14ac:dyDescent="0.25">
      <c r="AL2586" s="31"/>
      <c r="AM2586" s="26"/>
      <c r="AN2586" s="32"/>
      <c r="AO2586" s="32"/>
      <c r="AP2586" s="24"/>
      <c r="AQ2586" s="24"/>
      <c r="AR2586" s="33"/>
      <c r="AS2586" s="34"/>
      <c r="AT2586" s="33"/>
      <c r="AV2586" s="21">
        <f>IF(AND($AL2586&lt;&gt;"",COUNTIF($AL$11:$AL2586,$AL2586)=1),1,0)</f>
        <v>0</v>
      </c>
      <c r="AW2586" s="21">
        <f t="shared" si="167"/>
        <v>2</v>
      </c>
      <c r="AX2586" s="21" t="str">
        <f t="shared" si="166"/>
        <v/>
      </c>
      <c r="AY2586" s="21" t="str">
        <f>IF(AND($AM2586&lt;&gt;"",$AS2586&lt;&gt;"✓"),SUMPRODUCT(($AM$11:$AM2586&lt;&gt;"")*($AS$11:$AS2586&lt;&gt;"✓")),"")</f>
        <v/>
      </c>
      <c r="AZ2586" s="21" t="str">
        <f>IF(AND($AM2586&lt;&gt;"",$AS2586="✓"),SUMPRODUCT(($AM$11:$AM2586&lt;&gt;"")*($AS$11:$AS2586="✓")),"")</f>
        <v/>
      </c>
      <c r="BA2586" s="21" t="str">
        <f>IF($AL2586="","",$AL2586&amp;"|"&amp;COUNTIF($AL$11:$AL2586,$AL2586))</f>
        <v/>
      </c>
    </row>
    <row r="2587" spans="38:53" ht="15" customHeight="1" x14ac:dyDescent="0.25">
      <c r="AL2587" s="17"/>
      <c r="AM2587" s="12"/>
      <c r="AN2587" s="18"/>
      <c r="AO2587" s="18"/>
      <c r="AP2587" s="10"/>
      <c r="AQ2587" s="10"/>
      <c r="AR2587" s="19"/>
      <c r="AS2587" s="20"/>
      <c r="AT2587" s="19"/>
      <c r="AV2587" s="21">
        <f>IF(AND($AL2587&lt;&gt;"",COUNTIF($AL$11:$AL2587,$AL2587)=1),1,0)</f>
        <v>0</v>
      </c>
      <c r="AW2587" s="21">
        <f t="shared" si="167"/>
        <v>2</v>
      </c>
      <c r="AX2587" s="21" t="str">
        <f t="shared" si="166"/>
        <v/>
      </c>
      <c r="AY2587" s="21" t="str">
        <f>IF(AND($AM2587&lt;&gt;"",$AS2587&lt;&gt;"✓"),SUMPRODUCT(($AM$11:$AM2587&lt;&gt;"")*($AS$11:$AS2587&lt;&gt;"✓")),"")</f>
        <v/>
      </c>
      <c r="AZ2587" s="21" t="str">
        <f>IF(AND($AM2587&lt;&gt;"",$AS2587="✓"),SUMPRODUCT(($AM$11:$AM2587&lt;&gt;"")*($AS$11:$AS2587="✓")),"")</f>
        <v/>
      </c>
      <c r="BA2587" s="21" t="str">
        <f>IF($AL2587="","",$AL2587&amp;"|"&amp;COUNTIF($AL$11:$AL2587,$AL2587))</f>
        <v/>
      </c>
    </row>
    <row r="2588" spans="38:53" ht="15" customHeight="1" x14ac:dyDescent="0.25">
      <c r="AL2588" s="31"/>
      <c r="AM2588" s="26"/>
      <c r="AN2588" s="32"/>
      <c r="AO2588" s="32"/>
      <c r="AP2588" s="24"/>
      <c r="AQ2588" s="24"/>
      <c r="AR2588" s="33"/>
      <c r="AS2588" s="34"/>
      <c r="AT2588" s="33"/>
      <c r="AV2588" s="21">
        <f>IF(AND($AL2588&lt;&gt;"",COUNTIF($AL$11:$AL2588,$AL2588)=1),1,0)</f>
        <v>0</v>
      </c>
      <c r="AW2588" s="21">
        <f t="shared" si="167"/>
        <v>2</v>
      </c>
      <c r="AX2588" s="21" t="str">
        <f t="shared" si="166"/>
        <v/>
      </c>
      <c r="AY2588" s="21" t="str">
        <f>IF(AND($AM2588&lt;&gt;"",$AS2588&lt;&gt;"✓"),SUMPRODUCT(($AM$11:$AM2588&lt;&gt;"")*($AS$11:$AS2588&lt;&gt;"✓")),"")</f>
        <v/>
      </c>
      <c r="AZ2588" s="21" t="str">
        <f>IF(AND($AM2588&lt;&gt;"",$AS2588="✓"),SUMPRODUCT(($AM$11:$AM2588&lt;&gt;"")*($AS$11:$AS2588="✓")),"")</f>
        <v/>
      </c>
      <c r="BA2588" s="21" t="str">
        <f>IF($AL2588="","",$AL2588&amp;"|"&amp;COUNTIF($AL$11:$AL2588,$AL2588))</f>
        <v/>
      </c>
    </row>
    <row r="2589" spans="38:53" ht="15" customHeight="1" x14ac:dyDescent="0.25">
      <c r="AL2589" s="17"/>
      <c r="AM2589" s="12"/>
      <c r="AN2589" s="18"/>
      <c r="AO2589" s="18"/>
      <c r="AP2589" s="10"/>
      <c r="AQ2589" s="10"/>
      <c r="AR2589" s="19"/>
      <c r="AS2589" s="20"/>
      <c r="AT2589" s="19"/>
      <c r="AV2589" s="21">
        <f>IF(AND($AL2589&lt;&gt;"",COUNTIF($AL$11:$AL2589,$AL2589)=1),1,0)</f>
        <v>0</v>
      </c>
      <c r="AW2589" s="21">
        <f t="shared" si="167"/>
        <v>2</v>
      </c>
      <c r="AX2589" s="21" t="str">
        <f t="shared" si="166"/>
        <v/>
      </c>
      <c r="AY2589" s="21" t="str">
        <f>IF(AND($AM2589&lt;&gt;"",$AS2589&lt;&gt;"✓"),SUMPRODUCT(($AM$11:$AM2589&lt;&gt;"")*($AS$11:$AS2589&lt;&gt;"✓")),"")</f>
        <v/>
      </c>
      <c r="AZ2589" s="21" t="str">
        <f>IF(AND($AM2589&lt;&gt;"",$AS2589="✓"),SUMPRODUCT(($AM$11:$AM2589&lt;&gt;"")*($AS$11:$AS2589="✓")),"")</f>
        <v/>
      </c>
      <c r="BA2589" s="21" t="str">
        <f>IF($AL2589="","",$AL2589&amp;"|"&amp;COUNTIF($AL$11:$AL2589,$AL2589))</f>
        <v/>
      </c>
    </row>
    <row r="2590" spans="38:53" ht="15" customHeight="1" x14ac:dyDescent="0.25">
      <c r="AL2590" s="31"/>
      <c r="AM2590" s="26"/>
      <c r="AN2590" s="32"/>
      <c r="AO2590" s="32"/>
      <c r="AP2590" s="24"/>
      <c r="AQ2590" s="24"/>
      <c r="AR2590" s="33"/>
      <c r="AS2590" s="34"/>
      <c r="AT2590" s="33"/>
      <c r="AV2590" s="21">
        <f>IF(AND($AL2590&lt;&gt;"",COUNTIF($AL$11:$AL2590,$AL2590)=1),1,0)</f>
        <v>0</v>
      </c>
      <c r="AW2590" s="21">
        <f t="shared" si="167"/>
        <v>2</v>
      </c>
      <c r="AX2590" s="21" t="str">
        <f t="shared" si="166"/>
        <v/>
      </c>
      <c r="AY2590" s="21" t="str">
        <f>IF(AND($AM2590&lt;&gt;"",$AS2590&lt;&gt;"✓"),SUMPRODUCT(($AM$11:$AM2590&lt;&gt;"")*($AS$11:$AS2590&lt;&gt;"✓")),"")</f>
        <v/>
      </c>
      <c r="AZ2590" s="21" t="str">
        <f>IF(AND($AM2590&lt;&gt;"",$AS2590="✓"),SUMPRODUCT(($AM$11:$AM2590&lt;&gt;"")*($AS$11:$AS2590="✓")),"")</f>
        <v/>
      </c>
      <c r="BA2590" s="21" t="str">
        <f>IF($AL2590="","",$AL2590&amp;"|"&amp;COUNTIF($AL$11:$AL2590,$AL2590))</f>
        <v/>
      </c>
    </row>
    <row r="2591" spans="38:53" ht="15" customHeight="1" x14ac:dyDescent="0.25">
      <c r="AL2591" s="17"/>
      <c r="AM2591" s="12"/>
      <c r="AN2591" s="18"/>
      <c r="AO2591" s="18"/>
      <c r="AP2591" s="10"/>
      <c r="AQ2591" s="10"/>
      <c r="AR2591" s="19"/>
      <c r="AS2591" s="20"/>
      <c r="AT2591" s="19"/>
      <c r="AV2591" s="21">
        <f>IF(AND($AL2591&lt;&gt;"",COUNTIF($AL$11:$AL2591,$AL2591)=1),1,0)</f>
        <v>0</v>
      </c>
      <c r="AW2591" s="21">
        <f t="shared" si="167"/>
        <v>2</v>
      </c>
      <c r="AX2591" s="21" t="str">
        <f t="shared" si="166"/>
        <v/>
      </c>
      <c r="AY2591" s="21" t="str">
        <f>IF(AND($AM2591&lt;&gt;"",$AS2591&lt;&gt;"✓"),SUMPRODUCT(($AM$11:$AM2591&lt;&gt;"")*($AS$11:$AS2591&lt;&gt;"✓")),"")</f>
        <v/>
      </c>
      <c r="AZ2591" s="21" t="str">
        <f>IF(AND($AM2591&lt;&gt;"",$AS2591="✓"),SUMPRODUCT(($AM$11:$AM2591&lt;&gt;"")*($AS$11:$AS2591="✓")),"")</f>
        <v/>
      </c>
      <c r="BA2591" s="21" t="str">
        <f>IF($AL2591="","",$AL2591&amp;"|"&amp;COUNTIF($AL$11:$AL2591,$AL2591))</f>
        <v/>
      </c>
    </row>
    <row r="2592" spans="38:53" ht="15" customHeight="1" x14ac:dyDescent="0.25">
      <c r="AL2592" s="31"/>
      <c r="AM2592" s="26"/>
      <c r="AN2592" s="32"/>
      <c r="AO2592" s="32"/>
      <c r="AP2592" s="24"/>
      <c r="AQ2592" s="24"/>
      <c r="AR2592" s="33"/>
      <c r="AS2592" s="34"/>
      <c r="AT2592" s="33"/>
      <c r="AV2592" s="21">
        <f>IF(AND($AL2592&lt;&gt;"",COUNTIF($AL$11:$AL2592,$AL2592)=1),1,0)</f>
        <v>0</v>
      </c>
      <c r="AW2592" s="21">
        <f t="shared" si="167"/>
        <v>2</v>
      </c>
      <c r="AX2592" s="21" t="str">
        <f t="shared" si="166"/>
        <v/>
      </c>
      <c r="AY2592" s="21" t="str">
        <f>IF(AND($AM2592&lt;&gt;"",$AS2592&lt;&gt;"✓"),SUMPRODUCT(($AM$11:$AM2592&lt;&gt;"")*($AS$11:$AS2592&lt;&gt;"✓")),"")</f>
        <v/>
      </c>
      <c r="AZ2592" s="21" t="str">
        <f>IF(AND($AM2592&lt;&gt;"",$AS2592="✓"),SUMPRODUCT(($AM$11:$AM2592&lt;&gt;"")*($AS$11:$AS2592="✓")),"")</f>
        <v/>
      </c>
      <c r="BA2592" s="21" t="str">
        <f>IF($AL2592="","",$AL2592&amp;"|"&amp;COUNTIF($AL$11:$AL2592,$AL2592))</f>
        <v/>
      </c>
    </row>
    <row r="2593" spans="38:53" ht="15" customHeight="1" x14ac:dyDescent="0.25">
      <c r="AL2593" s="17"/>
      <c r="AM2593" s="12"/>
      <c r="AN2593" s="18"/>
      <c r="AO2593" s="18"/>
      <c r="AP2593" s="10"/>
      <c r="AQ2593" s="10"/>
      <c r="AR2593" s="19"/>
      <c r="AS2593" s="20"/>
      <c r="AT2593" s="19"/>
      <c r="AV2593" s="21">
        <f>IF(AND($AL2593&lt;&gt;"",COUNTIF($AL$11:$AL2593,$AL2593)=1),1,0)</f>
        <v>0</v>
      </c>
      <c r="AW2593" s="21">
        <f t="shared" si="167"/>
        <v>2</v>
      </c>
      <c r="AX2593" s="21" t="str">
        <f t="shared" si="166"/>
        <v/>
      </c>
      <c r="AY2593" s="21" t="str">
        <f>IF(AND($AM2593&lt;&gt;"",$AS2593&lt;&gt;"✓"),SUMPRODUCT(($AM$11:$AM2593&lt;&gt;"")*($AS$11:$AS2593&lt;&gt;"✓")),"")</f>
        <v/>
      </c>
      <c r="AZ2593" s="21" t="str">
        <f>IF(AND($AM2593&lt;&gt;"",$AS2593="✓"),SUMPRODUCT(($AM$11:$AM2593&lt;&gt;"")*($AS$11:$AS2593="✓")),"")</f>
        <v/>
      </c>
      <c r="BA2593" s="21" t="str">
        <f>IF($AL2593="","",$AL2593&amp;"|"&amp;COUNTIF($AL$11:$AL2593,$AL2593))</f>
        <v/>
      </c>
    </row>
    <row r="2594" spans="38:53" ht="15" customHeight="1" x14ac:dyDescent="0.25">
      <c r="AL2594" s="31"/>
      <c r="AM2594" s="26"/>
      <c r="AN2594" s="32"/>
      <c r="AO2594" s="32"/>
      <c r="AP2594" s="24"/>
      <c r="AQ2594" s="24"/>
      <c r="AR2594" s="33"/>
      <c r="AS2594" s="34"/>
      <c r="AT2594" s="33"/>
      <c r="AV2594" s="21">
        <f>IF(AND($AL2594&lt;&gt;"",COUNTIF($AL$11:$AL2594,$AL2594)=1),1,0)</f>
        <v>0</v>
      </c>
      <c r="AW2594" s="21">
        <f t="shared" si="167"/>
        <v>2</v>
      </c>
      <c r="AX2594" s="21" t="str">
        <f t="shared" si="166"/>
        <v/>
      </c>
      <c r="AY2594" s="21" t="str">
        <f>IF(AND($AM2594&lt;&gt;"",$AS2594&lt;&gt;"✓"),SUMPRODUCT(($AM$11:$AM2594&lt;&gt;"")*($AS$11:$AS2594&lt;&gt;"✓")),"")</f>
        <v/>
      </c>
      <c r="AZ2594" s="21" t="str">
        <f>IF(AND($AM2594&lt;&gt;"",$AS2594="✓"),SUMPRODUCT(($AM$11:$AM2594&lt;&gt;"")*($AS$11:$AS2594="✓")),"")</f>
        <v/>
      </c>
      <c r="BA2594" s="21" t="str">
        <f>IF($AL2594="","",$AL2594&amp;"|"&amp;COUNTIF($AL$11:$AL2594,$AL2594))</f>
        <v/>
      </c>
    </row>
    <row r="2595" spans="38:53" ht="15" customHeight="1" x14ac:dyDescent="0.25">
      <c r="AL2595" s="17"/>
      <c r="AM2595" s="12"/>
      <c r="AN2595" s="18"/>
      <c r="AO2595" s="18"/>
      <c r="AP2595" s="10"/>
      <c r="AQ2595" s="10"/>
      <c r="AR2595" s="19"/>
      <c r="AS2595" s="20"/>
      <c r="AT2595" s="19"/>
      <c r="AV2595" s="21">
        <f>IF(AND($AL2595&lt;&gt;"",COUNTIF($AL$11:$AL2595,$AL2595)=1),1,0)</f>
        <v>0</v>
      </c>
      <c r="AW2595" s="21">
        <f t="shared" si="167"/>
        <v>2</v>
      </c>
      <c r="AX2595" s="21" t="str">
        <f t="shared" si="166"/>
        <v/>
      </c>
      <c r="AY2595" s="21" t="str">
        <f>IF(AND($AM2595&lt;&gt;"",$AS2595&lt;&gt;"✓"),SUMPRODUCT(($AM$11:$AM2595&lt;&gt;"")*($AS$11:$AS2595&lt;&gt;"✓")),"")</f>
        <v/>
      </c>
      <c r="AZ2595" s="21" t="str">
        <f>IF(AND($AM2595&lt;&gt;"",$AS2595="✓"),SUMPRODUCT(($AM$11:$AM2595&lt;&gt;"")*($AS$11:$AS2595="✓")),"")</f>
        <v/>
      </c>
      <c r="BA2595" s="21" t="str">
        <f>IF($AL2595="","",$AL2595&amp;"|"&amp;COUNTIF($AL$11:$AL2595,$AL2595))</f>
        <v/>
      </c>
    </row>
    <row r="2596" spans="38:53" ht="15" customHeight="1" x14ac:dyDescent="0.25">
      <c r="AL2596" s="31"/>
      <c r="AM2596" s="26"/>
      <c r="AN2596" s="32"/>
      <c r="AO2596" s="32"/>
      <c r="AP2596" s="24"/>
      <c r="AQ2596" s="24"/>
      <c r="AR2596" s="33"/>
      <c r="AS2596" s="34"/>
      <c r="AT2596" s="33"/>
      <c r="AV2596" s="21">
        <f>IF(AND($AL2596&lt;&gt;"",COUNTIF($AL$11:$AL2596,$AL2596)=1),1,0)</f>
        <v>0</v>
      </c>
      <c r="AW2596" s="21">
        <f t="shared" si="167"/>
        <v>2</v>
      </c>
      <c r="AX2596" s="21" t="str">
        <f t="shared" si="166"/>
        <v/>
      </c>
      <c r="AY2596" s="21" t="str">
        <f>IF(AND($AM2596&lt;&gt;"",$AS2596&lt;&gt;"✓"),SUMPRODUCT(($AM$11:$AM2596&lt;&gt;"")*($AS$11:$AS2596&lt;&gt;"✓")),"")</f>
        <v/>
      </c>
      <c r="AZ2596" s="21" t="str">
        <f>IF(AND($AM2596&lt;&gt;"",$AS2596="✓"),SUMPRODUCT(($AM$11:$AM2596&lt;&gt;"")*($AS$11:$AS2596="✓")),"")</f>
        <v/>
      </c>
      <c r="BA2596" s="21" t="str">
        <f>IF($AL2596="","",$AL2596&amp;"|"&amp;COUNTIF($AL$11:$AL2596,$AL2596))</f>
        <v/>
      </c>
    </row>
    <row r="2597" spans="38:53" ht="15" customHeight="1" x14ac:dyDescent="0.25">
      <c r="AL2597" s="17"/>
      <c r="AM2597" s="12"/>
      <c r="AN2597" s="18"/>
      <c r="AO2597" s="18"/>
      <c r="AP2597" s="10"/>
      <c r="AQ2597" s="10"/>
      <c r="AR2597" s="19"/>
      <c r="AS2597" s="20"/>
      <c r="AT2597" s="19"/>
      <c r="AV2597" s="21">
        <f>IF(AND($AL2597&lt;&gt;"",COUNTIF($AL$11:$AL2597,$AL2597)=1),1,0)</f>
        <v>0</v>
      </c>
      <c r="AW2597" s="21">
        <f t="shared" si="167"/>
        <v>2</v>
      </c>
      <c r="AX2597" s="21" t="str">
        <f t="shared" si="166"/>
        <v/>
      </c>
      <c r="AY2597" s="21" t="str">
        <f>IF(AND($AM2597&lt;&gt;"",$AS2597&lt;&gt;"✓"),SUMPRODUCT(($AM$11:$AM2597&lt;&gt;"")*($AS$11:$AS2597&lt;&gt;"✓")),"")</f>
        <v/>
      </c>
      <c r="AZ2597" s="21" t="str">
        <f>IF(AND($AM2597&lt;&gt;"",$AS2597="✓"),SUMPRODUCT(($AM$11:$AM2597&lt;&gt;"")*($AS$11:$AS2597="✓")),"")</f>
        <v/>
      </c>
      <c r="BA2597" s="21" t="str">
        <f>IF($AL2597="","",$AL2597&amp;"|"&amp;COUNTIF($AL$11:$AL2597,$AL2597))</f>
        <v/>
      </c>
    </row>
    <row r="2598" spans="38:53" ht="15" customHeight="1" x14ac:dyDescent="0.25">
      <c r="AL2598" s="31"/>
      <c r="AM2598" s="26"/>
      <c r="AN2598" s="32"/>
      <c r="AO2598" s="32"/>
      <c r="AP2598" s="24"/>
      <c r="AQ2598" s="24"/>
      <c r="AR2598" s="33"/>
      <c r="AS2598" s="34"/>
      <c r="AT2598" s="33"/>
      <c r="AV2598" s="21">
        <f>IF(AND($AL2598&lt;&gt;"",COUNTIF($AL$11:$AL2598,$AL2598)=1),1,0)</f>
        <v>0</v>
      </c>
      <c r="AW2598" s="21">
        <f t="shared" si="167"/>
        <v>2</v>
      </c>
      <c r="AX2598" s="21" t="str">
        <f t="shared" si="166"/>
        <v/>
      </c>
      <c r="AY2598" s="21" t="str">
        <f>IF(AND($AM2598&lt;&gt;"",$AS2598&lt;&gt;"✓"),SUMPRODUCT(($AM$11:$AM2598&lt;&gt;"")*($AS$11:$AS2598&lt;&gt;"✓")),"")</f>
        <v/>
      </c>
      <c r="AZ2598" s="21" t="str">
        <f>IF(AND($AM2598&lt;&gt;"",$AS2598="✓"),SUMPRODUCT(($AM$11:$AM2598&lt;&gt;"")*($AS$11:$AS2598="✓")),"")</f>
        <v/>
      </c>
      <c r="BA2598" s="21" t="str">
        <f>IF($AL2598="","",$AL2598&amp;"|"&amp;COUNTIF($AL$11:$AL2598,$AL2598))</f>
        <v/>
      </c>
    </row>
    <row r="2599" spans="38:53" ht="15" customHeight="1" x14ac:dyDescent="0.25">
      <c r="AL2599" s="17"/>
      <c r="AM2599" s="12"/>
      <c r="AN2599" s="18"/>
      <c r="AO2599" s="18"/>
      <c r="AP2599" s="10"/>
      <c r="AQ2599" s="10"/>
      <c r="AR2599" s="19"/>
      <c r="AS2599" s="20"/>
      <c r="AT2599" s="19"/>
      <c r="AV2599" s="21">
        <f>IF(AND($AL2599&lt;&gt;"",COUNTIF($AL$11:$AL2599,$AL2599)=1),1,0)</f>
        <v>0</v>
      </c>
      <c r="AW2599" s="21">
        <f t="shared" si="167"/>
        <v>2</v>
      </c>
      <c r="AX2599" s="21" t="str">
        <f t="shared" si="166"/>
        <v/>
      </c>
      <c r="AY2599" s="21" t="str">
        <f>IF(AND($AM2599&lt;&gt;"",$AS2599&lt;&gt;"✓"),SUMPRODUCT(($AM$11:$AM2599&lt;&gt;"")*($AS$11:$AS2599&lt;&gt;"✓")),"")</f>
        <v/>
      </c>
      <c r="AZ2599" s="21" t="str">
        <f>IF(AND($AM2599&lt;&gt;"",$AS2599="✓"),SUMPRODUCT(($AM$11:$AM2599&lt;&gt;"")*($AS$11:$AS2599="✓")),"")</f>
        <v/>
      </c>
      <c r="BA2599" s="21" t="str">
        <f>IF($AL2599="","",$AL2599&amp;"|"&amp;COUNTIF($AL$11:$AL2599,$AL2599))</f>
        <v/>
      </c>
    </row>
    <row r="2600" spans="38:53" ht="15" customHeight="1" x14ac:dyDescent="0.25">
      <c r="AL2600" s="31"/>
      <c r="AM2600" s="26"/>
      <c r="AN2600" s="32"/>
      <c r="AO2600" s="32"/>
      <c r="AP2600" s="24"/>
      <c r="AQ2600" s="24"/>
      <c r="AR2600" s="33"/>
      <c r="AS2600" s="34"/>
      <c r="AT2600" s="33"/>
      <c r="AV2600" s="21">
        <f>IF(AND($AL2600&lt;&gt;"",COUNTIF($AL$11:$AL2600,$AL2600)=1),1,0)</f>
        <v>0</v>
      </c>
      <c r="AW2600" s="21">
        <f t="shared" si="167"/>
        <v>2</v>
      </c>
      <c r="AX2600" s="21" t="str">
        <f t="shared" si="166"/>
        <v/>
      </c>
      <c r="AY2600" s="21" t="str">
        <f>IF(AND($AM2600&lt;&gt;"",$AS2600&lt;&gt;"✓"),SUMPRODUCT(($AM$11:$AM2600&lt;&gt;"")*($AS$11:$AS2600&lt;&gt;"✓")),"")</f>
        <v/>
      </c>
      <c r="AZ2600" s="21" t="str">
        <f>IF(AND($AM2600&lt;&gt;"",$AS2600="✓"),SUMPRODUCT(($AM$11:$AM2600&lt;&gt;"")*($AS$11:$AS2600="✓")),"")</f>
        <v/>
      </c>
      <c r="BA2600" s="21" t="str">
        <f>IF($AL2600="","",$AL2600&amp;"|"&amp;COUNTIF($AL$11:$AL2600,$AL2600))</f>
        <v/>
      </c>
    </row>
    <row r="2601" spans="38:53" ht="15" customHeight="1" x14ac:dyDescent="0.25">
      <c r="AL2601" s="17"/>
      <c r="AM2601" s="12"/>
      <c r="AN2601" s="18"/>
      <c r="AO2601" s="18"/>
      <c r="AP2601" s="10"/>
      <c r="AQ2601" s="10"/>
      <c r="AR2601" s="19"/>
      <c r="AS2601" s="20"/>
      <c r="AT2601" s="19"/>
      <c r="AV2601" s="21">
        <f>IF(AND($AL2601&lt;&gt;"",COUNTIF($AL$11:$AL2601,$AL2601)=1),1,0)</f>
        <v>0</v>
      </c>
      <c r="AW2601" s="21">
        <f t="shared" si="167"/>
        <v>2</v>
      </c>
      <c r="AX2601" s="21" t="str">
        <f t="shared" si="166"/>
        <v/>
      </c>
      <c r="AY2601" s="21" t="str">
        <f>IF(AND($AM2601&lt;&gt;"",$AS2601&lt;&gt;"✓"),SUMPRODUCT(($AM$11:$AM2601&lt;&gt;"")*($AS$11:$AS2601&lt;&gt;"✓")),"")</f>
        <v/>
      </c>
      <c r="AZ2601" s="21" t="str">
        <f>IF(AND($AM2601&lt;&gt;"",$AS2601="✓"),SUMPRODUCT(($AM$11:$AM2601&lt;&gt;"")*($AS$11:$AS2601="✓")),"")</f>
        <v/>
      </c>
      <c r="BA2601" s="21" t="str">
        <f>IF($AL2601="","",$AL2601&amp;"|"&amp;COUNTIF($AL$11:$AL2601,$AL2601))</f>
        <v/>
      </c>
    </row>
    <row r="2602" spans="38:53" ht="15" customHeight="1" x14ac:dyDescent="0.25">
      <c r="AL2602" s="31"/>
      <c r="AM2602" s="26"/>
      <c r="AN2602" s="32"/>
      <c r="AO2602" s="32"/>
      <c r="AP2602" s="24"/>
      <c r="AQ2602" s="24"/>
      <c r="AR2602" s="33"/>
      <c r="AS2602" s="34"/>
      <c r="AT2602" s="33"/>
      <c r="AV2602" s="21">
        <f>IF(AND($AL2602&lt;&gt;"",COUNTIF($AL$11:$AL2602,$AL2602)=1),1,0)</f>
        <v>0</v>
      </c>
      <c r="AW2602" s="21">
        <f t="shared" si="167"/>
        <v>2</v>
      </c>
      <c r="AX2602" s="21" t="str">
        <f t="shared" si="166"/>
        <v/>
      </c>
      <c r="AY2602" s="21" t="str">
        <f>IF(AND($AM2602&lt;&gt;"",$AS2602&lt;&gt;"✓"),SUMPRODUCT(($AM$11:$AM2602&lt;&gt;"")*($AS$11:$AS2602&lt;&gt;"✓")),"")</f>
        <v/>
      </c>
      <c r="AZ2602" s="21" t="str">
        <f>IF(AND($AM2602&lt;&gt;"",$AS2602="✓"),SUMPRODUCT(($AM$11:$AM2602&lt;&gt;"")*($AS$11:$AS2602="✓")),"")</f>
        <v/>
      </c>
      <c r="BA2602" s="21" t="str">
        <f>IF($AL2602="","",$AL2602&amp;"|"&amp;COUNTIF($AL$11:$AL2602,$AL2602))</f>
        <v/>
      </c>
    </row>
    <row r="2603" spans="38:53" ht="15" customHeight="1" x14ac:dyDescent="0.25">
      <c r="AL2603" s="17"/>
      <c r="AM2603" s="12"/>
      <c r="AN2603" s="18"/>
      <c r="AO2603" s="18"/>
      <c r="AP2603" s="10"/>
      <c r="AQ2603" s="10"/>
      <c r="AR2603" s="19"/>
      <c r="AS2603" s="20"/>
      <c r="AT2603" s="19"/>
      <c r="AV2603" s="21">
        <f>IF(AND($AL2603&lt;&gt;"",COUNTIF($AL$11:$AL2603,$AL2603)=1),1,0)</f>
        <v>0</v>
      </c>
      <c r="AW2603" s="21">
        <f t="shared" si="167"/>
        <v>2</v>
      </c>
      <c r="AX2603" s="21" t="str">
        <f t="shared" si="166"/>
        <v/>
      </c>
      <c r="AY2603" s="21" t="str">
        <f>IF(AND($AM2603&lt;&gt;"",$AS2603&lt;&gt;"✓"),SUMPRODUCT(($AM$11:$AM2603&lt;&gt;"")*($AS$11:$AS2603&lt;&gt;"✓")),"")</f>
        <v/>
      </c>
      <c r="AZ2603" s="21" t="str">
        <f>IF(AND($AM2603&lt;&gt;"",$AS2603="✓"),SUMPRODUCT(($AM$11:$AM2603&lt;&gt;"")*($AS$11:$AS2603="✓")),"")</f>
        <v/>
      </c>
      <c r="BA2603" s="21" t="str">
        <f>IF($AL2603="","",$AL2603&amp;"|"&amp;COUNTIF($AL$11:$AL2603,$AL2603))</f>
        <v/>
      </c>
    </row>
    <row r="2604" spans="38:53" ht="15" customHeight="1" x14ac:dyDescent="0.25">
      <c r="AL2604" s="31"/>
      <c r="AM2604" s="26"/>
      <c r="AN2604" s="32"/>
      <c r="AO2604" s="32"/>
      <c r="AP2604" s="24"/>
      <c r="AQ2604" s="24"/>
      <c r="AR2604" s="33"/>
      <c r="AS2604" s="34"/>
      <c r="AT2604" s="33"/>
      <c r="AV2604" s="21">
        <f>IF(AND($AL2604&lt;&gt;"",COUNTIF($AL$11:$AL2604,$AL2604)=1),1,0)</f>
        <v>0</v>
      </c>
      <c r="AW2604" s="21">
        <f t="shared" si="167"/>
        <v>2</v>
      </c>
      <c r="AX2604" s="21" t="str">
        <f t="shared" si="166"/>
        <v/>
      </c>
      <c r="AY2604" s="21" t="str">
        <f>IF(AND($AM2604&lt;&gt;"",$AS2604&lt;&gt;"✓"),SUMPRODUCT(($AM$11:$AM2604&lt;&gt;"")*($AS$11:$AS2604&lt;&gt;"✓")),"")</f>
        <v/>
      </c>
      <c r="AZ2604" s="21" t="str">
        <f>IF(AND($AM2604&lt;&gt;"",$AS2604="✓"),SUMPRODUCT(($AM$11:$AM2604&lt;&gt;"")*($AS$11:$AS2604="✓")),"")</f>
        <v/>
      </c>
      <c r="BA2604" s="21" t="str">
        <f>IF($AL2604="","",$AL2604&amp;"|"&amp;COUNTIF($AL$11:$AL2604,$AL2604))</f>
        <v/>
      </c>
    </row>
    <row r="2605" spans="38:53" ht="15" customHeight="1" x14ac:dyDescent="0.25">
      <c r="AL2605" s="17"/>
      <c r="AM2605" s="12"/>
      <c r="AN2605" s="18"/>
      <c r="AO2605" s="18"/>
      <c r="AP2605" s="10"/>
      <c r="AQ2605" s="10"/>
      <c r="AR2605" s="19"/>
      <c r="AS2605" s="20"/>
      <c r="AT2605" s="19"/>
      <c r="AV2605" s="21">
        <f>IF(AND($AL2605&lt;&gt;"",COUNTIF($AL$11:$AL2605,$AL2605)=1),1,0)</f>
        <v>0</v>
      </c>
      <c r="AW2605" s="21">
        <f t="shared" si="167"/>
        <v>2</v>
      </c>
      <c r="AX2605" s="21" t="str">
        <f t="shared" si="166"/>
        <v/>
      </c>
      <c r="AY2605" s="21" t="str">
        <f>IF(AND($AM2605&lt;&gt;"",$AS2605&lt;&gt;"✓"),SUMPRODUCT(($AM$11:$AM2605&lt;&gt;"")*($AS$11:$AS2605&lt;&gt;"✓")),"")</f>
        <v/>
      </c>
      <c r="AZ2605" s="21" t="str">
        <f>IF(AND($AM2605&lt;&gt;"",$AS2605="✓"),SUMPRODUCT(($AM$11:$AM2605&lt;&gt;"")*($AS$11:$AS2605="✓")),"")</f>
        <v/>
      </c>
      <c r="BA2605" s="21" t="str">
        <f>IF($AL2605="","",$AL2605&amp;"|"&amp;COUNTIF($AL$11:$AL2605,$AL2605))</f>
        <v/>
      </c>
    </row>
    <row r="2606" spans="38:53" ht="15" customHeight="1" x14ac:dyDescent="0.25">
      <c r="AL2606" s="31"/>
      <c r="AM2606" s="26"/>
      <c r="AN2606" s="32"/>
      <c r="AO2606" s="32"/>
      <c r="AP2606" s="24"/>
      <c r="AQ2606" s="24"/>
      <c r="AR2606" s="33"/>
      <c r="AS2606" s="34"/>
      <c r="AT2606" s="33"/>
      <c r="AV2606" s="21">
        <f>IF(AND($AL2606&lt;&gt;"",COUNTIF($AL$11:$AL2606,$AL2606)=1),1,0)</f>
        <v>0</v>
      </c>
      <c r="AW2606" s="21">
        <f t="shared" si="167"/>
        <v>2</v>
      </c>
      <c r="AX2606" s="21" t="str">
        <f t="shared" si="166"/>
        <v/>
      </c>
      <c r="AY2606" s="21" t="str">
        <f>IF(AND($AM2606&lt;&gt;"",$AS2606&lt;&gt;"✓"),SUMPRODUCT(($AM$11:$AM2606&lt;&gt;"")*($AS$11:$AS2606&lt;&gt;"✓")),"")</f>
        <v/>
      </c>
      <c r="AZ2606" s="21" t="str">
        <f>IF(AND($AM2606&lt;&gt;"",$AS2606="✓"),SUMPRODUCT(($AM$11:$AM2606&lt;&gt;"")*($AS$11:$AS2606="✓")),"")</f>
        <v/>
      </c>
      <c r="BA2606" s="21" t="str">
        <f>IF($AL2606="","",$AL2606&amp;"|"&amp;COUNTIF($AL$11:$AL2606,$AL2606))</f>
        <v/>
      </c>
    </row>
    <row r="2607" spans="38:53" ht="15" customHeight="1" x14ac:dyDescent="0.25">
      <c r="AL2607" s="17"/>
      <c r="AM2607" s="12"/>
      <c r="AN2607" s="18"/>
      <c r="AO2607" s="18"/>
      <c r="AP2607" s="10"/>
      <c r="AQ2607" s="10"/>
      <c r="AR2607" s="19"/>
      <c r="AS2607" s="20"/>
      <c r="AT2607" s="19"/>
      <c r="AV2607" s="21">
        <f>IF(AND($AL2607&lt;&gt;"",COUNTIF($AL$11:$AL2607,$AL2607)=1),1,0)</f>
        <v>0</v>
      </c>
      <c r="AW2607" s="21">
        <f t="shared" si="167"/>
        <v>2</v>
      </c>
      <c r="AX2607" s="21" t="str">
        <f t="shared" si="166"/>
        <v/>
      </c>
      <c r="AY2607" s="21" t="str">
        <f>IF(AND($AM2607&lt;&gt;"",$AS2607&lt;&gt;"✓"),SUMPRODUCT(($AM$11:$AM2607&lt;&gt;"")*($AS$11:$AS2607&lt;&gt;"✓")),"")</f>
        <v/>
      </c>
      <c r="AZ2607" s="21" t="str">
        <f>IF(AND($AM2607&lt;&gt;"",$AS2607="✓"),SUMPRODUCT(($AM$11:$AM2607&lt;&gt;"")*($AS$11:$AS2607="✓")),"")</f>
        <v/>
      </c>
      <c r="BA2607" s="21" t="str">
        <f>IF($AL2607="","",$AL2607&amp;"|"&amp;COUNTIF($AL$11:$AL2607,$AL2607))</f>
        <v/>
      </c>
    </row>
    <row r="2608" spans="38:53" ht="15" customHeight="1" x14ac:dyDescent="0.25">
      <c r="AL2608" s="31"/>
      <c r="AM2608" s="26"/>
      <c r="AN2608" s="32"/>
      <c r="AO2608" s="32"/>
      <c r="AP2608" s="24"/>
      <c r="AQ2608" s="24"/>
      <c r="AR2608" s="33"/>
      <c r="AS2608" s="34"/>
      <c r="AT2608" s="33"/>
      <c r="AV2608" s="21">
        <f>IF(AND($AL2608&lt;&gt;"",COUNTIF($AL$11:$AL2608,$AL2608)=1),1,0)</f>
        <v>0</v>
      </c>
      <c r="AW2608" s="21">
        <f t="shared" si="167"/>
        <v>2</v>
      </c>
      <c r="AX2608" s="21" t="str">
        <f t="shared" si="166"/>
        <v/>
      </c>
      <c r="AY2608" s="21" t="str">
        <f>IF(AND($AM2608&lt;&gt;"",$AS2608&lt;&gt;"✓"),SUMPRODUCT(($AM$11:$AM2608&lt;&gt;"")*($AS$11:$AS2608&lt;&gt;"✓")),"")</f>
        <v/>
      </c>
      <c r="AZ2608" s="21" t="str">
        <f>IF(AND($AM2608&lt;&gt;"",$AS2608="✓"),SUMPRODUCT(($AM$11:$AM2608&lt;&gt;"")*($AS$11:$AS2608="✓")),"")</f>
        <v/>
      </c>
      <c r="BA2608" s="21" t="str">
        <f>IF($AL2608="","",$AL2608&amp;"|"&amp;COUNTIF($AL$11:$AL2608,$AL2608))</f>
        <v/>
      </c>
    </row>
    <row r="2609" spans="38:53" ht="15" customHeight="1" x14ac:dyDescent="0.25">
      <c r="AL2609" s="17"/>
      <c r="AM2609" s="12"/>
      <c r="AN2609" s="18"/>
      <c r="AO2609" s="18"/>
      <c r="AP2609" s="10"/>
      <c r="AQ2609" s="10"/>
      <c r="AR2609" s="19"/>
      <c r="AS2609" s="20"/>
      <c r="AT2609" s="19"/>
      <c r="AV2609" s="21">
        <f>IF(AND($AL2609&lt;&gt;"",COUNTIF($AL$11:$AL2609,$AL2609)=1),1,0)</f>
        <v>0</v>
      </c>
      <c r="AW2609" s="21">
        <f t="shared" si="167"/>
        <v>2</v>
      </c>
      <c r="AX2609" s="21" t="str">
        <f t="shared" si="166"/>
        <v/>
      </c>
      <c r="AY2609" s="21" t="str">
        <f>IF(AND($AM2609&lt;&gt;"",$AS2609&lt;&gt;"✓"),SUMPRODUCT(($AM$11:$AM2609&lt;&gt;"")*($AS$11:$AS2609&lt;&gt;"✓")),"")</f>
        <v/>
      </c>
      <c r="AZ2609" s="21" t="str">
        <f>IF(AND($AM2609&lt;&gt;"",$AS2609="✓"),SUMPRODUCT(($AM$11:$AM2609&lt;&gt;"")*($AS$11:$AS2609="✓")),"")</f>
        <v/>
      </c>
      <c r="BA2609" s="21" t="str">
        <f>IF($AL2609="","",$AL2609&amp;"|"&amp;COUNTIF($AL$11:$AL2609,$AL2609))</f>
        <v/>
      </c>
    </row>
    <row r="2610" spans="38:53" ht="15" customHeight="1" x14ac:dyDescent="0.25">
      <c r="AL2610" s="31"/>
      <c r="AM2610" s="26"/>
      <c r="AN2610" s="32"/>
      <c r="AO2610" s="32"/>
      <c r="AP2610" s="24"/>
      <c r="AQ2610" s="24"/>
      <c r="AR2610" s="33"/>
      <c r="AS2610" s="34"/>
      <c r="AT2610" s="33"/>
      <c r="AV2610" s="21">
        <f>IF(AND($AL2610&lt;&gt;"",COUNTIF($AL$11:$AL2610,$AL2610)=1),1,0)</f>
        <v>0</v>
      </c>
      <c r="AW2610" s="21">
        <f t="shared" si="167"/>
        <v>2</v>
      </c>
      <c r="AX2610" s="21" t="str">
        <f t="shared" si="166"/>
        <v/>
      </c>
      <c r="AY2610" s="21" t="str">
        <f>IF(AND($AM2610&lt;&gt;"",$AS2610&lt;&gt;"✓"),SUMPRODUCT(($AM$11:$AM2610&lt;&gt;"")*($AS$11:$AS2610&lt;&gt;"✓")),"")</f>
        <v/>
      </c>
      <c r="AZ2610" s="21" t="str">
        <f>IF(AND($AM2610&lt;&gt;"",$AS2610="✓"),SUMPRODUCT(($AM$11:$AM2610&lt;&gt;"")*($AS$11:$AS2610="✓")),"")</f>
        <v/>
      </c>
      <c r="BA2610" s="21" t="str">
        <f>IF($AL2610="","",$AL2610&amp;"|"&amp;COUNTIF($AL$11:$AL2610,$AL2610))</f>
        <v/>
      </c>
    </row>
    <row r="2611" spans="38:53" ht="15" customHeight="1" x14ac:dyDescent="0.25">
      <c r="AL2611" s="17"/>
      <c r="AM2611" s="12"/>
      <c r="AN2611" s="18"/>
      <c r="AO2611" s="18"/>
      <c r="AP2611" s="10"/>
      <c r="AQ2611" s="10"/>
      <c r="AR2611" s="19"/>
      <c r="AS2611" s="20"/>
      <c r="AT2611" s="19"/>
      <c r="AV2611" s="21">
        <f>IF(AND($AL2611&lt;&gt;"",COUNTIF($AL$11:$AL2611,$AL2611)=1),1,0)</f>
        <v>0</v>
      </c>
      <c r="AW2611" s="21">
        <f t="shared" si="167"/>
        <v>2</v>
      </c>
      <c r="AX2611" s="21" t="str">
        <f t="shared" si="166"/>
        <v/>
      </c>
      <c r="AY2611" s="21" t="str">
        <f>IF(AND($AM2611&lt;&gt;"",$AS2611&lt;&gt;"✓"),SUMPRODUCT(($AM$11:$AM2611&lt;&gt;"")*($AS$11:$AS2611&lt;&gt;"✓")),"")</f>
        <v/>
      </c>
      <c r="AZ2611" s="21" t="str">
        <f>IF(AND($AM2611&lt;&gt;"",$AS2611="✓"),SUMPRODUCT(($AM$11:$AM2611&lt;&gt;"")*($AS$11:$AS2611="✓")),"")</f>
        <v/>
      </c>
      <c r="BA2611" s="21" t="str">
        <f>IF($AL2611="","",$AL2611&amp;"|"&amp;COUNTIF($AL$11:$AL2611,$AL2611))</f>
        <v/>
      </c>
    </row>
    <row r="2612" spans="38:53" ht="15" customHeight="1" x14ac:dyDescent="0.25">
      <c r="AL2612" s="31"/>
      <c r="AM2612" s="26"/>
      <c r="AN2612" s="32"/>
      <c r="AO2612" s="32"/>
      <c r="AP2612" s="24"/>
      <c r="AQ2612" s="24"/>
      <c r="AR2612" s="33"/>
      <c r="AS2612" s="34"/>
      <c r="AT2612" s="33"/>
      <c r="AV2612" s="21">
        <f>IF(AND($AL2612&lt;&gt;"",COUNTIF($AL$11:$AL2612,$AL2612)=1),1,0)</f>
        <v>0</v>
      </c>
      <c r="AW2612" s="21">
        <f t="shared" si="167"/>
        <v>2</v>
      </c>
      <c r="AX2612" s="21" t="str">
        <f t="shared" si="166"/>
        <v/>
      </c>
      <c r="AY2612" s="21" t="str">
        <f>IF(AND($AM2612&lt;&gt;"",$AS2612&lt;&gt;"✓"),SUMPRODUCT(($AM$11:$AM2612&lt;&gt;"")*($AS$11:$AS2612&lt;&gt;"✓")),"")</f>
        <v/>
      </c>
      <c r="AZ2612" s="21" t="str">
        <f>IF(AND($AM2612&lt;&gt;"",$AS2612="✓"),SUMPRODUCT(($AM$11:$AM2612&lt;&gt;"")*($AS$11:$AS2612="✓")),"")</f>
        <v/>
      </c>
      <c r="BA2612" s="21" t="str">
        <f>IF($AL2612="","",$AL2612&amp;"|"&amp;COUNTIF($AL$11:$AL2612,$AL2612))</f>
        <v/>
      </c>
    </row>
    <row r="2613" spans="38:53" ht="15" customHeight="1" x14ac:dyDescent="0.25">
      <c r="AL2613" s="17"/>
      <c r="AM2613" s="12"/>
      <c r="AN2613" s="18"/>
      <c r="AO2613" s="18"/>
      <c r="AP2613" s="10"/>
      <c r="AQ2613" s="10"/>
      <c r="AR2613" s="19"/>
      <c r="AS2613" s="20"/>
      <c r="AT2613" s="19"/>
      <c r="AV2613" s="21">
        <f>IF(AND($AL2613&lt;&gt;"",COUNTIF($AL$11:$AL2613,$AL2613)=1),1,0)</f>
        <v>0</v>
      </c>
      <c r="AW2613" s="21">
        <f t="shared" si="167"/>
        <v>2</v>
      </c>
      <c r="AX2613" s="21" t="str">
        <f t="shared" si="166"/>
        <v/>
      </c>
      <c r="AY2613" s="21" t="str">
        <f>IF(AND($AM2613&lt;&gt;"",$AS2613&lt;&gt;"✓"),SUMPRODUCT(($AM$11:$AM2613&lt;&gt;"")*($AS$11:$AS2613&lt;&gt;"✓")),"")</f>
        <v/>
      </c>
      <c r="AZ2613" s="21" t="str">
        <f>IF(AND($AM2613&lt;&gt;"",$AS2613="✓"),SUMPRODUCT(($AM$11:$AM2613&lt;&gt;"")*($AS$11:$AS2613="✓")),"")</f>
        <v/>
      </c>
      <c r="BA2613" s="21" t="str">
        <f>IF($AL2613="","",$AL2613&amp;"|"&amp;COUNTIF($AL$11:$AL2613,$AL2613))</f>
        <v/>
      </c>
    </row>
    <row r="2614" spans="38:53" ht="15" customHeight="1" x14ac:dyDescent="0.25">
      <c r="AL2614" s="31"/>
      <c r="AM2614" s="26"/>
      <c r="AN2614" s="32"/>
      <c r="AO2614" s="32"/>
      <c r="AP2614" s="24"/>
      <c r="AQ2614" s="24"/>
      <c r="AR2614" s="33"/>
      <c r="AS2614" s="34"/>
      <c r="AT2614" s="33"/>
      <c r="AV2614" s="21">
        <f>IF(AND($AL2614&lt;&gt;"",COUNTIF($AL$11:$AL2614,$AL2614)=1),1,0)</f>
        <v>0</v>
      </c>
      <c r="AW2614" s="21">
        <f t="shared" si="167"/>
        <v>2</v>
      </c>
      <c r="AX2614" s="21" t="str">
        <f t="shared" si="166"/>
        <v/>
      </c>
      <c r="AY2614" s="21" t="str">
        <f>IF(AND($AM2614&lt;&gt;"",$AS2614&lt;&gt;"✓"),SUMPRODUCT(($AM$11:$AM2614&lt;&gt;"")*($AS$11:$AS2614&lt;&gt;"✓")),"")</f>
        <v/>
      </c>
      <c r="AZ2614" s="21" t="str">
        <f>IF(AND($AM2614&lt;&gt;"",$AS2614="✓"),SUMPRODUCT(($AM$11:$AM2614&lt;&gt;"")*($AS$11:$AS2614="✓")),"")</f>
        <v/>
      </c>
      <c r="BA2614" s="21" t="str">
        <f>IF($AL2614="","",$AL2614&amp;"|"&amp;COUNTIF($AL$11:$AL2614,$AL2614))</f>
        <v/>
      </c>
    </row>
    <row r="2615" spans="38:53" ht="15" customHeight="1" x14ac:dyDescent="0.25">
      <c r="AL2615" s="17"/>
      <c r="AM2615" s="12"/>
      <c r="AN2615" s="18"/>
      <c r="AO2615" s="18"/>
      <c r="AP2615" s="10"/>
      <c r="AQ2615" s="10"/>
      <c r="AR2615" s="19"/>
      <c r="AS2615" s="20"/>
      <c r="AT2615" s="19"/>
      <c r="AV2615" s="21">
        <f>IF(AND($AL2615&lt;&gt;"",COUNTIF($AL$11:$AL2615,$AL2615)=1),1,0)</f>
        <v>0</v>
      </c>
      <c r="AW2615" s="21">
        <f t="shared" si="167"/>
        <v>2</v>
      </c>
      <c r="AX2615" s="21" t="str">
        <f t="shared" si="166"/>
        <v/>
      </c>
      <c r="AY2615" s="21" t="str">
        <f>IF(AND($AM2615&lt;&gt;"",$AS2615&lt;&gt;"✓"),SUMPRODUCT(($AM$11:$AM2615&lt;&gt;"")*($AS$11:$AS2615&lt;&gt;"✓")),"")</f>
        <v/>
      </c>
      <c r="AZ2615" s="21" t="str">
        <f>IF(AND($AM2615&lt;&gt;"",$AS2615="✓"),SUMPRODUCT(($AM$11:$AM2615&lt;&gt;"")*($AS$11:$AS2615="✓")),"")</f>
        <v/>
      </c>
      <c r="BA2615" s="21" t="str">
        <f>IF($AL2615="","",$AL2615&amp;"|"&amp;COUNTIF($AL$11:$AL2615,$AL2615))</f>
        <v/>
      </c>
    </row>
    <row r="2616" spans="38:53" ht="15" customHeight="1" x14ac:dyDescent="0.25">
      <c r="AL2616" s="31"/>
      <c r="AM2616" s="26"/>
      <c r="AN2616" s="32"/>
      <c r="AO2616" s="32"/>
      <c r="AP2616" s="24"/>
      <c r="AQ2616" s="24"/>
      <c r="AR2616" s="33"/>
      <c r="AS2616" s="34"/>
      <c r="AT2616" s="33"/>
      <c r="AV2616" s="21">
        <f>IF(AND($AL2616&lt;&gt;"",COUNTIF($AL$11:$AL2616,$AL2616)=1),1,0)</f>
        <v>0</v>
      </c>
      <c r="AW2616" s="21">
        <f t="shared" si="167"/>
        <v>2</v>
      </c>
      <c r="AX2616" s="21" t="str">
        <f t="shared" si="166"/>
        <v/>
      </c>
      <c r="AY2616" s="21" t="str">
        <f>IF(AND($AM2616&lt;&gt;"",$AS2616&lt;&gt;"✓"),SUMPRODUCT(($AM$11:$AM2616&lt;&gt;"")*($AS$11:$AS2616&lt;&gt;"✓")),"")</f>
        <v/>
      </c>
      <c r="AZ2616" s="21" t="str">
        <f>IF(AND($AM2616&lt;&gt;"",$AS2616="✓"),SUMPRODUCT(($AM$11:$AM2616&lt;&gt;"")*($AS$11:$AS2616="✓")),"")</f>
        <v/>
      </c>
      <c r="BA2616" s="21" t="str">
        <f>IF($AL2616="","",$AL2616&amp;"|"&amp;COUNTIF($AL$11:$AL2616,$AL2616))</f>
        <v/>
      </c>
    </row>
    <row r="2617" spans="38:53" ht="15" customHeight="1" x14ac:dyDescent="0.25">
      <c r="AL2617" s="17"/>
      <c r="AM2617" s="12"/>
      <c r="AN2617" s="18"/>
      <c r="AO2617" s="18"/>
      <c r="AP2617" s="10"/>
      <c r="AQ2617" s="10"/>
      <c r="AR2617" s="19"/>
      <c r="AS2617" s="20"/>
      <c r="AT2617" s="19"/>
      <c r="AV2617" s="21">
        <f>IF(AND($AL2617&lt;&gt;"",COUNTIF($AL$11:$AL2617,$AL2617)=1),1,0)</f>
        <v>0</v>
      </c>
      <c r="AW2617" s="21">
        <f t="shared" si="167"/>
        <v>2</v>
      </c>
      <c r="AX2617" s="21" t="str">
        <f t="shared" si="166"/>
        <v/>
      </c>
      <c r="AY2617" s="21" t="str">
        <f>IF(AND($AM2617&lt;&gt;"",$AS2617&lt;&gt;"✓"),SUMPRODUCT(($AM$11:$AM2617&lt;&gt;"")*($AS$11:$AS2617&lt;&gt;"✓")),"")</f>
        <v/>
      </c>
      <c r="AZ2617" s="21" t="str">
        <f>IF(AND($AM2617&lt;&gt;"",$AS2617="✓"),SUMPRODUCT(($AM$11:$AM2617&lt;&gt;"")*($AS$11:$AS2617="✓")),"")</f>
        <v/>
      </c>
      <c r="BA2617" s="21" t="str">
        <f>IF($AL2617="","",$AL2617&amp;"|"&amp;COUNTIF($AL$11:$AL2617,$AL2617))</f>
        <v/>
      </c>
    </row>
    <row r="2618" spans="38:53" ht="15" customHeight="1" x14ac:dyDescent="0.25">
      <c r="AL2618" s="31"/>
      <c r="AM2618" s="26"/>
      <c r="AN2618" s="32"/>
      <c r="AO2618" s="32"/>
      <c r="AP2618" s="24"/>
      <c r="AQ2618" s="24"/>
      <c r="AR2618" s="33"/>
      <c r="AS2618" s="34"/>
      <c r="AT2618" s="33"/>
      <c r="AV2618" s="21">
        <f>IF(AND($AL2618&lt;&gt;"",COUNTIF($AL$11:$AL2618,$AL2618)=1),1,0)</f>
        <v>0</v>
      </c>
      <c r="AW2618" s="21">
        <f t="shared" si="167"/>
        <v>2</v>
      </c>
      <c r="AX2618" s="21" t="str">
        <f t="shared" si="166"/>
        <v/>
      </c>
      <c r="AY2618" s="21" t="str">
        <f>IF(AND($AM2618&lt;&gt;"",$AS2618&lt;&gt;"✓"),SUMPRODUCT(($AM$11:$AM2618&lt;&gt;"")*($AS$11:$AS2618&lt;&gt;"✓")),"")</f>
        <v/>
      </c>
      <c r="AZ2618" s="21" t="str">
        <f>IF(AND($AM2618&lt;&gt;"",$AS2618="✓"),SUMPRODUCT(($AM$11:$AM2618&lt;&gt;"")*($AS$11:$AS2618="✓")),"")</f>
        <v/>
      </c>
      <c r="BA2618" s="21" t="str">
        <f>IF($AL2618="","",$AL2618&amp;"|"&amp;COUNTIF($AL$11:$AL2618,$AL2618))</f>
        <v/>
      </c>
    </row>
    <row r="2619" spans="38:53" ht="15" customHeight="1" x14ac:dyDescent="0.25">
      <c r="AL2619" s="17"/>
      <c r="AM2619" s="12"/>
      <c r="AN2619" s="18"/>
      <c r="AO2619" s="18"/>
      <c r="AP2619" s="10"/>
      <c r="AQ2619" s="10"/>
      <c r="AR2619" s="19"/>
      <c r="AS2619" s="20"/>
      <c r="AT2619" s="19"/>
      <c r="AV2619" s="21">
        <f>IF(AND($AL2619&lt;&gt;"",COUNTIF($AL$11:$AL2619,$AL2619)=1),1,0)</f>
        <v>0</v>
      </c>
      <c r="AW2619" s="21">
        <f t="shared" si="167"/>
        <v>2</v>
      </c>
      <c r="AX2619" s="21" t="str">
        <f t="shared" si="166"/>
        <v/>
      </c>
      <c r="AY2619" s="21" t="str">
        <f>IF(AND($AM2619&lt;&gt;"",$AS2619&lt;&gt;"✓"),SUMPRODUCT(($AM$11:$AM2619&lt;&gt;"")*($AS$11:$AS2619&lt;&gt;"✓")),"")</f>
        <v/>
      </c>
      <c r="AZ2619" s="21" t="str">
        <f>IF(AND($AM2619&lt;&gt;"",$AS2619="✓"),SUMPRODUCT(($AM$11:$AM2619&lt;&gt;"")*($AS$11:$AS2619="✓")),"")</f>
        <v/>
      </c>
      <c r="BA2619" s="21" t="str">
        <f>IF($AL2619="","",$AL2619&amp;"|"&amp;COUNTIF($AL$11:$AL2619,$AL2619))</f>
        <v/>
      </c>
    </row>
    <row r="2620" spans="38:53" ht="15" customHeight="1" x14ac:dyDescent="0.25">
      <c r="AL2620" s="31"/>
      <c r="AM2620" s="26"/>
      <c r="AN2620" s="32"/>
      <c r="AO2620" s="32"/>
      <c r="AP2620" s="24"/>
      <c r="AQ2620" s="24"/>
      <c r="AR2620" s="33"/>
      <c r="AS2620" s="34"/>
      <c r="AT2620" s="33"/>
      <c r="AV2620" s="21">
        <f>IF(AND($AL2620&lt;&gt;"",COUNTIF($AL$11:$AL2620,$AL2620)=1),1,0)</f>
        <v>0</v>
      </c>
      <c r="AW2620" s="21">
        <f t="shared" si="167"/>
        <v>2</v>
      </c>
      <c r="AX2620" s="21" t="str">
        <f t="shared" si="166"/>
        <v/>
      </c>
      <c r="AY2620" s="21" t="str">
        <f>IF(AND($AM2620&lt;&gt;"",$AS2620&lt;&gt;"✓"),SUMPRODUCT(($AM$11:$AM2620&lt;&gt;"")*($AS$11:$AS2620&lt;&gt;"✓")),"")</f>
        <v/>
      </c>
      <c r="AZ2620" s="21" t="str">
        <f>IF(AND($AM2620&lt;&gt;"",$AS2620="✓"),SUMPRODUCT(($AM$11:$AM2620&lt;&gt;"")*($AS$11:$AS2620="✓")),"")</f>
        <v/>
      </c>
      <c r="BA2620" s="21" t="str">
        <f>IF($AL2620="","",$AL2620&amp;"|"&amp;COUNTIF($AL$11:$AL2620,$AL2620))</f>
        <v/>
      </c>
    </row>
    <row r="2621" spans="38:53" ht="15" customHeight="1" x14ac:dyDescent="0.25">
      <c r="AL2621" s="17"/>
      <c r="AM2621" s="12"/>
      <c r="AN2621" s="18"/>
      <c r="AO2621" s="18"/>
      <c r="AP2621" s="10"/>
      <c r="AQ2621" s="10"/>
      <c r="AR2621" s="19"/>
      <c r="AS2621" s="20"/>
      <c r="AT2621" s="19"/>
      <c r="AV2621" s="21">
        <f>IF(AND($AL2621&lt;&gt;"",COUNTIF($AL$11:$AL2621,$AL2621)=1),1,0)</f>
        <v>0</v>
      </c>
      <c r="AW2621" s="21">
        <f t="shared" si="167"/>
        <v>2</v>
      </c>
      <c r="AX2621" s="21" t="str">
        <f t="shared" si="166"/>
        <v/>
      </c>
      <c r="AY2621" s="21" t="str">
        <f>IF(AND($AM2621&lt;&gt;"",$AS2621&lt;&gt;"✓"),SUMPRODUCT(($AM$11:$AM2621&lt;&gt;"")*($AS$11:$AS2621&lt;&gt;"✓")),"")</f>
        <v/>
      </c>
      <c r="AZ2621" s="21" t="str">
        <f>IF(AND($AM2621&lt;&gt;"",$AS2621="✓"),SUMPRODUCT(($AM$11:$AM2621&lt;&gt;"")*($AS$11:$AS2621="✓")),"")</f>
        <v/>
      </c>
      <c r="BA2621" s="21" t="str">
        <f>IF($AL2621="","",$AL2621&amp;"|"&amp;COUNTIF($AL$11:$AL2621,$AL2621))</f>
        <v/>
      </c>
    </row>
    <row r="2622" spans="38:53" ht="15" customHeight="1" x14ac:dyDescent="0.25">
      <c r="AL2622" s="31"/>
      <c r="AM2622" s="26"/>
      <c r="AN2622" s="32"/>
      <c r="AO2622" s="32"/>
      <c r="AP2622" s="24"/>
      <c r="AQ2622" s="24"/>
      <c r="AR2622" s="33"/>
      <c r="AS2622" s="34"/>
      <c r="AT2622" s="33"/>
      <c r="AV2622" s="21">
        <f>IF(AND($AL2622&lt;&gt;"",COUNTIF($AL$11:$AL2622,$AL2622)=1),1,0)</f>
        <v>0</v>
      </c>
      <c r="AW2622" s="21">
        <f t="shared" si="167"/>
        <v>2</v>
      </c>
      <c r="AX2622" s="21" t="str">
        <f t="shared" si="166"/>
        <v/>
      </c>
      <c r="AY2622" s="21" t="str">
        <f>IF(AND($AM2622&lt;&gt;"",$AS2622&lt;&gt;"✓"),SUMPRODUCT(($AM$11:$AM2622&lt;&gt;"")*($AS$11:$AS2622&lt;&gt;"✓")),"")</f>
        <v/>
      </c>
      <c r="AZ2622" s="21" t="str">
        <f>IF(AND($AM2622&lt;&gt;"",$AS2622="✓"),SUMPRODUCT(($AM$11:$AM2622&lt;&gt;"")*($AS$11:$AS2622="✓")),"")</f>
        <v/>
      </c>
      <c r="BA2622" s="21" t="str">
        <f>IF($AL2622="","",$AL2622&amp;"|"&amp;COUNTIF($AL$11:$AL2622,$AL2622))</f>
        <v/>
      </c>
    </row>
    <row r="2623" spans="38:53" ht="15" customHeight="1" x14ac:dyDescent="0.25">
      <c r="AL2623" s="17"/>
      <c r="AM2623" s="12"/>
      <c r="AN2623" s="18"/>
      <c r="AO2623" s="18"/>
      <c r="AP2623" s="10"/>
      <c r="AQ2623" s="10"/>
      <c r="AR2623" s="19"/>
      <c r="AS2623" s="20"/>
      <c r="AT2623" s="19"/>
      <c r="AV2623" s="21">
        <f>IF(AND($AL2623&lt;&gt;"",COUNTIF($AL$11:$AL2623,$AL2623)=1),1,0)</f>
        <v>0</v>
      </c>
      <c r="AW2623" s="21">
        <f t="shared" si="167"/>
        <v>2</v>
      </c>
      <c r="AX2623" s="21" t="str">
        <f t="shared" si="166"/>
        <v/>
      </c>
      <c r="AY2623" s="21" t="str">
        <f>IF(AND($AM2623&lt;&gt;"",$AS2623&lt;&gt;"✓"),SUMPRODUCT(($AM$11:$AM2623&lt;&gt;"")*($AS$11:$AS2623&lt;&gt;"✓")),"")</f>
        <v/>
      </c>
      <c r="AZ2623" s="21" t="str">
        <f>IF(AND($AM2623&lt;&gt;"",$AS2623="✓"),SUMPRODUCT(($AM$11:$AM2623&lt;&gt;"")*($AS$11:$AS2623="✓")),"")</f>
        <v/>
      </c>
      <c r="BA2623" s="21" t="str">
        <f>IF($AL2623="","",$AL2623&amp;"|"&amp;COUNTIF($AL$11:$AL2623,$AL2623))</f>
        <v/>
      </c>
    </row>
    <row r="2624" spans="38:53" ht="15" customHeight="1" x14ac:dyDescent="0.25">
      <c r="AL2624" s="31"/>
      <c r="AM2624" s="26"/>
      <c r="AN2624" s="32"/>
      <c r="AO2624" s="32"/>
      <c r="AP2624" s="24"/>
      <c r="AQ2624" s="24"/>
      <c r="AR2624" s="33"/>
      <c r="AS2624" s="34"/>
      <c r="AT2624" s="33"/>
      <c r="AV2624" s="21">
        <f>IF(AND($AL2624&lt;&gt;"",COUNTIF($AL$11:$AL2624,$AL2624)=1),1,0)</f>
        <v>0</v>
      </c>
      <c r="AW2624" s="21">
        <f t="shared" si="167"/>
        <v>2</v>
      </c>
      <c r="AX2624" s="21" t="str">
        <f t="shared" si="166"/>
        <v/>
      </c>
      <c r="AY2624" s="21" t="str">
        <f>IF(AND($AM2624&lt;&gt;"",$AS2624&lt;&gt;"✓"),SUMPRODUCT(($AM$11:$AM2624&lt;&gt;"")*($AS$11:$AS2624&lt;&gt;"✓")),"")</f>
        <v/>
      </c>
      <c r="AZ2624" s="21" t="str">
        <f>IF(AND($AM2624&lt;&gt;"",$AS2624="✓"),SUMPRODUCT(($AM$11:$AM2624&lt;&gt;"")*($AS$11:$AS2624="✓")),"")</f>
        <v/>
      </c>
      <c r="BA2624" s="21" t="str">
        <f>IF($AL2624="","",$AL2624&amp;"|"&amp;COUNTIF($AL$11:$AL2624,$AL2624))</f>
        <v/>
      </c>
    </row>
    <row r="2625" spans="38:53" ht="15" customHeight="1" x14ac:dyDescent="0.25">
      <c r="AL2625" s="17"/>
      <c r="AM2625" s="12"/>
      <c r="AN2625" s="18"/>
      <c r="AO2625" s="18"/>
      <c r="AP2625" s="10"/>
      <c r="AQ2625" s="10"/>
      <c r="AR2625" s="19"/>
      <c r="AS2625" s="20"/>
      <c r="AT2625" s="19"/>
      <c r="AV2625" s="21">
        <f>IF(AND($AL2625&lt;&gt;"",COUNTIF($AL$11:$AL2625,$AL2625)=1),1,0)</f>
        <v>0</v>
      </c>
      <c r="AW2625" s="21">
        <f t="shared" si="167"/>
        <v>2</v>
      </c>
      <c r="AX2625" s="21" t="str">
        <f t="shared" si="166"/>
        <v/>
      </c>
      <c r="AY2625" s="21" t="str">
        <f>IF(AND($AM2625&lt;&gt;"",$AS2625&lt;&gt;"✓"),SUMPRODUCT(($AM$11:$AM2625&lt;&gt;"")*($AS$11:$AS2625&lt;&gt;"✓")),"")</f>
        <v/>
      </c>
      <c r="AZ2625" s="21" t="str">
        <f>IF(AND($AM2625&lt;&gt;"",$AS2625="✓"),SUMPRODUCT(($AM$11:$AM2625&lt;&gt;"")*($AS$11:$AS2625="✓")),"")</f>
        <v/>
      </c>
      <c r="BA2625" s="21" t="str">
        <f>IF($AL2625="","",$AL2625&amp;"|"&amp;COUNTIF($AL$11:$AL2625,$AL2625))</f>
        <v/>
      </c>
    </row>
    <row r="2626" spans="38:53" ht="15" customHeight="1" x14ac:dyDescent="0.25">
      <c r="AL2626" s="31"/>
      <c r="AM2626" s="26"/>
      <c r="AN2626" s="32"/>
      <c r="AO2626" s="32"/>
      <c r="AP2626" s="24"/>
      <c r="AQ2626" s="24"/>
      <c r="AR2626" s="33"/>
      <c r="AS2626" s="34"/>
      <c r="AT2626" s="33"/>
      <c r="AV2626" s="21">
        <f>IF(AND($AL2626&lt;&gt;"",COUNTIF($AL$11:$AL2626,$AL2626)=1),1,0)</f>
        <v>0</v>
      </c>
      <c r="AW2626" s="21">
        <f t="shared" si="167"/>
        <v>2</v>
      </c>
      <c r="AX2626" s="21" t="str">
        <f t="shared" si="166"/>
        <v/>
      </c>
      <c r="AY2626" s="21" t="str">
        <f>IF(AND($AM2626&lt;&gt;"",$AS2626&lt;&gt;"✓"),SUMPRODUCT(($AM$11:$AM2626&lt;&gt;"")*($AS$11:$AS2626&lt;&gt;"✓")),"")</f>
        <v/>
      </c>
      <c r="AZ2626" s="21" t="str">
        <f>IF(AND($AM2626&lt;&gt;"",$AS2626="✓"),SUMPRODUCT(($AM$11:$AM2626&lt;&gt;"")*($AS$11:$AS2626="✓")),"")</f>
        <v/>
      </c>
      <c r="BA2626" s="21" t="str">
        <f>IF($AL2626="","",$AL2626&amp;"|"&amp;COUNTIF($AL$11:$AL2626,$AL2626))</f>
        <v/>
      </c>
    </row>
    <row r="2627" spans="38:53" ht="15" customHeight="1" x14ac:dyDescent="0.25">
      <c r="AL2627" s="17"/>
      <c r="AM2627" s="12"/>
      <c r="AN2627" s="18"/>
      <c r="AO2627" s="18"/>
      <c r="AP2627" s="10"/>
      <c r="AQ2627" s="10"/>
      <c r="AR2627" s="19"/>
      <c r="AS2627" s="20"/>
      <c r="AT2627" s="19"/>
      <c r="AV2627" s="21">
        <f>IF(AND($AL2627&lt;&gt;"",COUNTIF($AL$11:$AL2627,$AL2627)=1),1,0)</f>
        <v>0</v>
      </c>
      <c r="AW2627" s="21">
        <f t="shared" si="167"/>
        <v>2</v>
      </c>
      <c r="AX2627" s="21" t="str">
        <f t="shared" si="166"/>
        <v/>
      </c>
      <c r="AY2627" s="21" t="str">
        <f>IF(AND($AM2627&lt;&gt;"",$AS2627&lt;&gt;"✓"),SUMPRODUCT(($AM$11:$AM2627&lt;&gt;"")*($AS$11:$AS2627&lt;&gt;"✓")),"")</f>
        <v/>
      </c>
      <c r="AZ2627" s="21" t="str">
        <f>IF(AND($AM2627&lt;&gt;"",$AS2627="✓"),SUMPRODUCT(($AM$11:$AM2627&lt;&gt;"")*($AS$11:$AS2627="✓")),"")</f>
        <v/>
      </c>
      <c r="BA2627" s="21" t="str">
        <f>IF($AL2627="","",$AL2627&amp;"|"&amp;COUNTIF($AL$11:$AL2627,$AL2627))</f>
        <v/>
      </c>
    </row>
    <row r="2628" spans="38:53" ht="15" customHeight="1" x14ac:dyDescent="0.25">
      <c r="AL2628" s="31"/>
      <c r="AM2628" s="26"/>
      <c r="AN2628" s="32"/>
      <c r="AO2628" s="32"/>
      <c r="AP2628" s="24"/>
      <c r="AQ2628" s="24"/>
      <c r="AR2628" s="33"/>
      <c r="AS2628" s="34"/>
      <c r="AT2628" s="33"/>
      <c r="AV2628" s="21">
        <f>IF(AND($AL2628&lt;&gt;"",COUNTIF($AL$11:$AL2628,$AL2628)=1),1,0)</f>
        <v>0</v>
      </c>
      <c r="AW2628" s="21">
        <f t="shared" si="167"/>
        <v>2</v>
      </c>
      <c r="AX2628" s="21" t="str">
        <f t="shared" si="166"/>
        <v/>
      </c>
      <c r="AY2628" s="21" t="str">
        <f>IF(AND($AM2628&lt;&gt;"",$AS2628&lt;&gt;"✓"),SUMPRODUCT(($AM$11:$AM2628&lt;&gt;"")*($AS$11:$AS2628&lt;&gt;"✓")),"")</f>
        <v/>
      </c>
      <c r="AZ2628" s="21" t="str">
        <f>IF(AND($AM2628&lt;&gt;"",$AS2628="✓"),SUMPRODUCT(($AM$11:$AM2628&lt;&gt;"")*($AS$11:$AS2628="✓")),"")</f>
        <v/>
      </c>
      <c r="BA2628" s="21" t="str">
        <f>IF($AL2628="","",$AL2628&amp;"|"&amp;COUNTIF($AL$11:$AL2628,$AL2628))</f>
        <v/>
      </c>
    </row>
    <row r="2629" spans="38:53" ht="15" customHeight="1" x14ac:dyDescent="0.25">
      <c r="AL2629" s="17"/>
      <c r="AM2629" s="12"/>
      <c r="AN2629" s="18"/>
      <c r="AO2629" s="18"/>
      <c r="AP2629" s="10"/>
      <c r="AQ2629" s="10"/>
      <c r="AR2629" s="19"/>
      <c r="AS2629" s="20"/>
      <c r="AT2629" s="19"/>
      <c r="AV2629" s="21">
        <f>IF(AND($AL2629&lt;&gt;"",COUNTIF($AL$11:$AL2629,$AL2629)=1),1,0)</f>
        <v>0</v>
      </c>
      <c r="AW2629" s="21">
        <f t="shared" si="167"/>
        <v>2</v>
      </c>
      <c r="AX2629" s="21" t="str">
        <f t="shared" si="166"/>
        <v/>
      </c>
      <c r="AY2629" s="21" t="str">
        <f>IF(AND($AM2629&lt;&gt;"",$AS2629&lt;&gt;"✓"),SUMPRODUCT(($AM$11:$AM2629&lt;&gt;"")*($AS$11:$AS2629&lt;&gt;"✓")),"")</f>
        <v/>
      </c>
      <c r="AZ2629" s="21" t="str">
        <f>IF(AND($AM2629&lt;&gt;"",$AS2629="✓"),SUMPRODUCT(($AM$11:$AM2629&lt;&gt;"")*($AS$11:$AS2629="✓")),"")</f>
        <v/>
      </c>
      <c r="BA2629" s="21" t="str">
        <f>IF($AL2629="","",$AL2629&amp;"|"&amp;COUNTIF($AL$11:$AL2629,$AL2629))</f>
        <v/>
      </c>
    </row>
    <row r="2630" spans="38:53" ht="15" customHeight="1" x14ac:dyDescent="0.25">
      <c r="AL2630" s="31"/>
      <c r="AM2630" s="26"/>
      <c r="AN2630" s="32"/>
      <c r="AO2630" s="32"/>
      <c r="AP2630" s="24"/>
      <c r="AQ2630" s="24"/>
      <c r="AR2630" s="33"/>
      <c r="AS2630" s="34"/>
      <c r="AT2630" s="33"/>
      <c r="AV2630" s="21">
        <f>IF(AND($AL2630&lt;&gt;"",COUNTIF($AL$11:$AL2630,$AL2630)=1),1,0)</f>
        <v>0</v>
      </c>
      <c r="AW2630" s="21">
        <f t="shared" si="167"/>
        <v>2</v>
      </c>
      <c r="AX2630" s="21" t="str">
        <f t="shared" si="166"/>
        <v/>
      </c>
      <c r="AY2630" s="21" t="str">
        <f>IF(AND($AM2630&lt;&gt;"",$AS2630&lt;&gt;"✓"),SUMPRODUCT(($AM$11:$AM2630&lt;&gt;"")*($AS$11:$AS2630&lt;&gt;"✓")),"")</f>
        <v/>
      </c>
      <c r="AZ2630" s="21" t="str">
        <f>IF(AND($AM2630&lt;&gt;"",$AS2630="✓"),SUMPRODUCT(($AM$11:$AM2630&lt;&gt;"")*($AS$11:$AS2630="✓")),"")</f>
        <v/>
      </c>
      <c r="BA2630" s="21" t="str">
        <f>IF($AL2630="","",$AL2630&amp;"|"&amp;COUNTIF($AL$11:$AL2630,$AL2630))</f>
        <v/>
      </c>
    </row>
    <row r="2631" spans="38:53" ht="15" customHeight="1" x14ac:dyDescent="0.25">
      <c r="AL2631" s="17"/>
      <c r="AM2631" s="12"/>
      <c r="AN2631" s="18"/>
      <c r="AO2631" s="18"/>
      <c r="AP2631" s="10"/>
      <c r="AQ2631" s="10"/>
      <c r="AR2631" s="19"/>
      <c r="AS2631" s="20"/>
      <c r="AT2631" s="19"/>
      <c r="AV2631" s="21">
        <f>IF(AND($AL2631&lt;&gt;"",COUNTIF($AL$11:$AL2631,$AL2631)=1),1,0)</f>
        <v>0</v>
      </c>
      <c r="AW2631" s="21">
        <f t="shared" si="167"/>
        <v>2</v>
      </c>
      <c r="AX2631" s="21" t="str">
        <f t="shared" si="166"/>
        <v/>
      </c>
      <c r="AY2631" s="21" t="str">
        <f>IF(AND($AM2631&lt;&gt;"",$AS2631&lt;&gt;"✓"),SUMPRODUCT(($AM$11:$AM2631&lt;&gt;"")*($AS$11:$AS2631&lt;&gt;"✓")),"")</f>
        <v/>
      </c>
      <c r="AZ2631" s="21" t="str">
        <f>IF(AND($AM2631&lt;&gt;"",$AS2631="✓"),SUMPRODUCT(($AM$11:$AM2631&lt;&gt;"")*($AS$11:$AS2631="✓")),"")</f>
        <v/>
      </c>
      <c r="BA2631" s="21" t="str">
        <f>IF($AL2631="","",$AL2631&amp;"|"&amp;COUNTIF($AL$11:$AL2631,$AL2631))</f>
        <v/>
      </c>
    </row>
    <row r="2632" spans="38:53" ht="15" customHeight="1" x14ac:dyDescent="0.25">
      <c r="AL2632" s="31"/>
      <c r="AM2632" s="26"/>
      <c r="AN2632" s="32"/>
      <c r="AO2632" s="32"/>
      <c r="AP2632" s="24"/>
      <c r="AQ2632" s="24"/>
      <c r="AR2632" s="33"/>
      <c r="AS2632" s="34"/>
      <c r="AT2632" s="33"/>
      <c r="AV2632" s="21">
        <f>IF(AND($AL2632&lt;&gt;"",COUNTIF($AL$11:$AL2632,$AL2632)=1),1,0)</f>
        <v>0</v>
      </c>
      <c r="AW2632" s="21">
        <f t="shared" si="167"/>
        <v>2</v>
      </c>
      <c r="AX2632" s="21" t="str">
        <f t="shared" si="166"/>
        <v/>
      </c>
      <c r="AY2632" s="21" t="str">
        <f>IF(AND($AM2632&lt;&gt;"",$AS2632&lt;&gt;"✓"),SUMPRODUCT(($AM$11:$AM2632&lt;&gt;"")*($AS$11:$AS2632&lt;&gt;"✓")),"")</f>
        <v/>
      </c>
      <c r="AZ2632" s="21" t="str">
        <f>IF(AND($AM2632&lt;&gt;"",$AS2632="✓"),SUMPRODUCT(($AM$11:$AM2632&lt;&gt;"")*($AS$11:$AS2632="✓")),"")</f>
        <v/>
      </c>
      <c r="BA2632" s="21" t="str">
        <f>IF($AL2632="","",$AL2632&amp;"|"&amp;COUNTIF($AL$11:$AL2632,$AL2632))</f>
        <v/>
      </c>
    </row>
    <row r="2633" spans="38:53" ht="15" customHeight="1" x14ac:dyDescent="0.25">
      <c r="AL2633" s="17"/>
      <c r="AM2633" s="12"/>
      <c r="AN2633" s="18"/>
      <c r="AO2633" s="18"/>
      <c r="AP2633" s="10"/>
      <c r="AQ2633" s="10"/>
      <c r="AR2633" s="19"/>
      <c r="AS2633" s="20"/>
      <c r="AT2633" s="19"/>
      <c r="AV2633" s="21">
        <f>IF(AND($AL2633&lt;&gt;"",COUNTIF($AL$11:$AL2633,$AL2633)=1),1,0)</f>
        <v>0</v>
      </c>
      <c r="AW2633" s="21">
        <f t="shared" si="167"/>
        <v>2</v>
      </c>
      <c r="AX2633" s="21" t="str">
        <f t="shared" si="166"/>
        <v/>
      </c>
      <c r="AY2633" s="21" t="str">
        <f>IF(AND($AM2633&lt;&gt;"",$AS2633&lt;&gt;"✓"),SUMPRODUCT(($AM$11:$AM2633&lt;&gt;"")*($AS$11:$AS2633&lt;&gt;"✓")),"")</f>
        <v/>
      </c>
      <c r="AZ2633" s="21" t="str">
        <f>IF(AND($AM2633&lt;&gt;"",$AS2633="✓"),SUMPRODUCT(($AM$11:$AM2633&lt;&gt;"")*($AS$11:$AS2633="✓")),"")</f>
        <v/>
      </c>
      <c r="BA2633" s="21" t="str">
        <f>IF($AL2633="","",$AL2633&amp;"|"&amp;COUNTIF($AL$11:$AL2633,$AL2633))</f>
        <v/>
      </c>
    </row>
    <row r="2634" spans="38:53" ht="15" customHeight="1" x14ac:dyDescent="0.25">
      <c r="AL2634" s="31"/>
      <c r="AM2634" s="26"/>
      <c r="AN2634" s="32"/>
      <c r="AO2634" s="32"/>
      <c r="AP2634" s="24"/>
      <c r="AQ2634" s="24"/>
      <c r="AR2634" s="33"/>
      <c r="AS2634" s="34"/>
      <c r="AT2634" s="33"/>
      <c r="AV2634" s="21">
        <f>IF(AND($AL2634&lt;&gt;"",COUNTIF($AL$11:$AL2634,$AL2634)=1),1,0)</f>
        <v>0</v>
      </c>
      <c r="AW2634" s="21">
        <f t="shared" si="167"/>
        <v>2</v>
      </c>
      <c r="AX2634" s="21" t="str">
        <f t="shared" si="166"/>
        <v/>
      </c>
      <c r="AY2634" s="21" t="str">
        <f>IF(AND($AM2634&lt;&gt;"",$AS2634&lt;&gt;"✓"),SUMPRODUCT(($AM$11:$AM2634&lt;&gt;"")*($AS$11:$AS2634&lt;&gt;"✓")),"")</f>
        <v/>
      </c>
      <c r="AZ2634" s="21" t="str">
        <f>IF(AND($AM2634&lt;&gt;"",$AS2634="✓"),SUMPRODUCT(($AM$11:$AM2634&lt;&gt;"")*($AS$11:$AS2634="✓")),"")</f>
        <v/>
      </c>
      <c r="BA2634" s="21" t="str">
        <f>IF($AL2634="","",$AL2634&amp;"|"&amp;COUNTIF($AL$11:$AL2634,$AL2634))</f>
        <v/>
      </c>
    </row>
    <row r="2635" spans="38:53" ht="15" customHeight="1" x14ac:dyDescent="0.25">
      <c r="AL2635" s="17"/>
      <c r="AM2635" s="12"/>
      <c r="AN2635" s="18"/>
      <c r="AO2635" s="18"/>
      <c r="AP2635" s="10"/>
      <c r="AQ2635" s="10"/>
      <c r="AR2635" s="19"/>
      <c r="AS2635" s="20"/>
      <c r="AT2635" s="19"/>
      <c r="AV2635" s="21">
        <f>IF(AND($AL2635&lt;&gt;"",COUNTIF($AL$11:$AL2635,$AL2635)=1),1,0)</f>
        <v>0</v>
      </c>
      <c r="AW2635" s="21">
        <f t="shared" si="167"/>
        <v>2</v>
      </c>
      <c r="AX2635" s="21" t="str">
        <f t="shared" ref="AX2635:AX2698" si="168">IF(AV2635=1,AW2635,"")</f>
        <v/>
      </c>
      <c r="AY2635" s="21" t="str">
        <f>IF(AND($AM2635&lt;&gt;"",$AS2635&lt;&gt;"✓"),SUMPRODUCT(($AM$11:$AM2635&lt;&gt;"")*($AS$11:$AS2635&lt;&gt;"✓")),"")</f>
        <v/>
      </c>
      <c r="AZ2635" s="21" t="str">
        <f>IF(AND($AM2635&lt;&gt;"",$AS2635="✓"),SUMPRODUCT(($AM$11:$AM2635&lt;&gt;"")*($AS$11:$AS2635="✓")),"")</f>
        <v/>
      </c>
      <c r="BA2635" s="21" t="str">
        <f>IF($AL2635="","",$AL2635&amp;"|"&amp;COUNTIF($AL$11:$AL2635,$AL2635))</f>
        <v/>
      </c>
    </row>
    <row r="2636" spans="38:53" ht="15" customHeight="1" x14ac:dyDescent="0.25">
      <c r="AL2636" s="31"/>
      <c r="AM2636" s="26"/>
      <c r="AN2636" s="32"/>
      <c r="AO2636" s="32"/>
      <c r="AP2636" s="24"/>
      <c r="AQ2636" s="24"/>
      <c r="AR2636" s="33"/>
      <c r="AS2636" s="34"/>
      <c r="AT2636" s="33"/>
      <c r="AV2636" s="21">
        <f>IF(AND($AL2636&lt;&gt;"",COUNTIF($AL$11:$AL2636,$AL2636)=1),1,0)</f>
        <v>0</v>
      </c>
      <c r="AW2636" s="21">
        <f t="shared" ref="AW2636:AW2699" si="169">AW2635+AV2636</f>
        <v>2</v>
      </c>
      <c r="AX2636" s="21" t="str">
        <f t="shared" si="168"/>
        <v/>
      </c>
      <c r="AY2636" s="21" t="str">
        <f>IF(AND($AM2636&lt;&gt;"",$AS2636&lt;&gt;"✓"),SUMPRODUCT(($AM$11:$AM2636&lt;&gt;"")*($AS$11:$AS2636&lt;&gt;"✓")),"")</f>
        <v/>
      </c>
      <c r="AZ2636" s="21" t="str">
        <f>IF(AND($AM2636&lt;&gt;"",$AS2636="✓"),SUMPRODUCT(($AM$11:$AM2636&lt;&gt;"")*($AS$11:$AS2636="✓")),"")</f>
        <v/>
      </c>
      <c r="BA2636" s="21" t="str">
        <f>IF($AL2636="","",$AL2636&amp;"|"&amp;COUNTIF($AL$11:$AL2636,$AL2636))</f>
        <v/>
      </c>
    </row>
    <row r="2637" spans="38:53" ht="15" customHeight="1" x14ac:dyDescent="0.25">
      <c r="AL2637" s="17"/>
      <c r="AM2637" s="12"/>
      <c r="AN2637" s="18"/>
      <c r="AO2637" s="18"/>
      <c r="AP2637" s="10"/>
      <c r="AQ2637" s="10"/>
      <c r="AR2637" s="19"/>
      <c r="AS2637" s="20"/>
      <c r="AT2637" s="19"/>
      <c r="AV2637" s="21">
        <f>IF(AND($AL2637&lt;&gt;"",COUNTIF($AL$11:$AL2637,$AL2637)=1),1,0)</f>
        <v>0</v>
      </c>
      <c r="AW2637" s="21">
        <f t="shared" si="169"/>
        <v>2</v>
      </c>
      <c r="AX2637" s="21" t="str">
        <f t="shared" si="168"/>
        <v/>
      </c>
      <c r="AY2637" s="21" t="str">
        <f>IF(AND($AM2637&lt;&gt;"",$AS2637&lt;&gt;"✓"),SUMPRODUCT(($AM$11:$AM2637&lt;&gt;"")*($AS$11:$AS2637&lt;&gt;"✓")),"")</f>
        <v/>
      </c>
      <c r="AZ2637" s="21" t="str">
        <f>IF(AND($AM2637&lt;&gt;"",$AS2637="✓"),SUMPRODUCT(($AM$11:$AM2637&lt;&gt;"")*($AS$11:$AS2637="✓")),"")</f>
        <v/>
      </c>
      <c r="BA2637" s="21" t="str">
        <f>IF($AL2637="","",$AL2637&amp;"|"&amp;COUNTIF($AL$11:$AL2637,$AL2637))</f>
        <v/>
      </c>
    </row>
    <row r="2638" spans="38:53" ht="15" customHeight="1" x14ac:dyDescent="0.25">
      <c r="AL2638" s="31"/>
      <c r="AM2638" s="26"/>
      <c r="AN2638" s="32"/>
      <c r="AO2638" s="32"/>
      <c r="AP2638" s="24"/>
      <c r="AQ2638" s="24"/>
      <c r="AR2638" s="33"/>
      <c r="AS2638" s="34"/>
      <c r="AT2638" s="33"/>
      <c r="AV2638" s="21">
        <f>IF(AND($AL2638&lt;&gt;"",COUNTIF($AL$11:$AL2638,$AL2638)=1),1,0)</f>
        <v>0</v>
      </c>
      <c r="AW2638" s="21">
        <f t="shared" si="169"/>
        <v>2</v>
      </c>
      <c r="AX2638" s="21" t="str">
        <f t="shared" si="168"/>
        <v/>
      </c>
      <c r="AY2638" s="21" t="str">
        <f>IF(AND($AM2638&lt;&gt;"",$AS2638&lt;&gt;"✓"),SUMPRODUCT(($AM$11:$AM2638&lt;&gt;"")*($AS$11:$AS2638&lt;&gt;"✓")),"")</f>
        <v/>
      </c>
      <c r="AZ2638" s="21" t="str">
        <f>IF(AND($AM2638&lt;&gt;"",$AS2638="✓"),SUMPRODUCT(($AM$11:$AM2638&lt;&gt;"")*($AS$11:$AS2638="✓")),"")</f>
        <v/>
      </c>
      <c r="BA2638" s="21" t="str">
        <f>IF($AL2638="","",$AL2638&amp;"|"&amp;COUNTIF($AL$11:$AL2638,$AL2638))</f>
        <v/>
      </c>
    </row>
    <row r="2639" spans="38:53" ht="15" customHeight="1" x14ac:dyDescent="0.25">
      <c r="AL2639" s="17"/>
      <c r="AM2639" s="12"/>
      <c r="AN2639" s="18"/>
      <c r="AO2639" s="18"/>
      <c r="AP2639" s="10"/>
      <c r="AQ2639" s="10"/>
      <c r="AR2639" s="19"/>
      <c r="AS2639" s="20"/>
      <c r="AT2639" s="19"/>
      <c r="AV2639" s="21">
        <f>IF(AND($AL2639&lt;&gt;"",COUNTIF($AL$11:$AL2639,$AL2639)=1),1,0)</f>
        <v>0</v>
      </c>
      <c r="AW2639" s="21">
        <f t="shared" si="169"/>
        <v>2</v>
      </c>
      <c r="AX2639" s="21" t="str">
        <f t="shared" si="168"/>
        <v/>
      </c>
      <c r="AY2639" s="21" t="str">
        <f>IF(AND($AM2639&lt;&gt;"",$AS2639&lt;&gt;"✓"),SUMPRODUCT(($AM$11:$AM2639&lt;&gt;"")*($AS$11:$AS2639&lt;&gt;"✓")),"")</f>
        <v/>
      </c>
      <c r="AZ2639" s="21" t="str">
        <f>IF(AND($AM2639&lt;&gt;"",$AS2639="✓"),SUMPRODUCT(($AM$11:$AM2639&lt;&gt;"")*($AS$11:$AS2639="✓")),"")</f>
        <v/>
      </c>
      <c r="BA2639" s="21" t="str">
        <f>IF($AL2639="","",$AL2639&amp;"|"&amp;COUNTIF($AL$11:$AL2639,$AL2639))</f>
        <v/>
      </c>
    </row>
    <row r="2640" spans="38:53" ht="15" customHeight="1" x14ac:dyDescent="0.25">
      <c r="AL2640" s="31"/>
      <c r="AM2640" s="26"/>
      <c r="AN2640" s="32"/>
      <c r="AO2640" s="32"/>
      <c r="AP2640" s="24"/>
      <c r="AQ2640" s="24"/>
      <c r="AR2640" s="33"/>
      <c r="AS2640" s="34"/>
      <c r="AT2640" s="33"/>
      <c r="AV2640" s="21">
        <f>IF(AND($AL2640&lt;&gt;"",COUNTIF($AL$11:$AL2640,$AL2640)=1),1,0)</f>
        <v>0</v>
      </c>
      <c r="AW2640" s="21">
        <f t="shared" si="169"/>
        <v>2</v>
      </c>
      <c r="AX2640" s="21" t="str">
        <f t="shared" si="168"/>
        <v/>
      </c>
      <c r="AY2640" s="21" t="str">
        <f>IF(AND($AM2640&lt;&gt;"",$AS2640&lt;&gt;"✓"),SUMPRODUCT(($AM$11:$AM2640&lt;&gt;"")*($AS$11:$AS2640&lt;&gt;"✓")),"")</f>
        <v/>
      </c>
      <c r="AZ2640" s="21" t="str">
        <f>IF(AND($AM2640&lt;&gt;"",$AS2640="✓"),SUMPRODUCT(($AM$11:$AM2640&lt;&gt;"")*($AS$11:$AS2640="✓")),"")</f>
        <v/>
      </c>
      <c r="BA2640" s="21" t="str">
        <f>IF($AL2640="","",$AL2640&amp;"|"&amp;COUNTIF($AL$11:$AL2640,$AL2640))</f>
        <v/>
      </c>
    </row>
    <row r="2641" spans="38:53" ht="15" customHeight="1" x14ac:dyDescent="0.25">
      <c r="AL2641" s="17"/>
      <c r="AM2641" s="12"/>
      <c r="AN2641" s="18"/>
      <c r="AO2641" s="18"/>
      <c r="AP2641" s="10"/>
      <c r="AQ2641" s="10"/>
      <c r="AR2641" s="19"/>
      <c r="AS2641" s="20"/>
      <c r="AT2641" s="19"/>
      <c r="AV2641" s="21">
        <f>IF(AND($AL2641&lt;&gt;"",COUNTIF($AL$11:$AL2641,$AL2641)=1),1,0)</f>
        <v>0</v>
      </c>
      <c r="AW2641" s="21">
        <f t="shared" si="169"/>
        <v>2</v>
      </c>
      <c r="AX2641" s="21" t="str">
        <f t="shared" si="168"/>
        <v/>
      </c>
      <c r="AY2641" s="21" t="str">
        <f>IF(AND($AM2641&lt;&gt;"",$AS2641&lt;&gt;"✓"),SUMPRODUCT(($AM$11:$AM2641&lt;&gt;"")*($AS$11:$AS2641&lt;&gt;"✓")),"")</f>
        <v/>
      </c>
      <c r="AZ2641" s="21" t="str">
        <f>IF(AND($AM2641&lt;&gt;"",$AS2641="✓"),SUMPRODUCT(($AM$11:$AM2641&lt;&gt;"")*($AS$11:$AS2641="✓")),"")</f>
        <v/>
      </c>
      <c r="BA2641" s="21" t="str">
        <f>IF($AL2641="","",$AL2641&amp;"|"&amp;COUNTIF($AL$11:$AL2641,$AL2641))</f>
        <v/>
      </c>
    </row>
    <row r="2642" spans="38:53" ht="15" customHeight="1" x14ac:dyDescent="0.25">
      <c r="AL2642" s="31"/>
      <c r="AM2642" s="26"/>
      <c r="AN2642" s="32"/>
      <c r="AO2642" s="32"/>
      <c r="AP2642" s="24"/>
      <c r="AQ2642" s="24"/>
      <c r="AR2642" s="33"/>
      <c r="AS2642" s="34"/>
      <c r="AT2642" s="33"/>
      <c r="AV2642" s="21">
        <f>IF(AND($AL2642&lt;&gt;"",COUNTIF($AL$11:$AL2642,$AL2642)=1),1,0)</f>
        <v>0</v>
      </c>
      <c r="AW2642" s="21">
        <f t="shared" si="169"/>
        <v>2</v>
      </c>
      <c r="AX2642" s="21" t="str">
        <f t="shared" si="168"/>
        <v/>
      </c>
      <c r="AY2642" s="21" t="str">
        <f>IF(AND($AM2642&lt;&gt;"",$AS2642&lt;&gt;"✓"),SUMPRODUCT(($AM$11:$AM2642&lt;&gt;"")*($AS$11:$AS2642&lt;&gt;"✓")),"")</f>
        <v/>
      </c>
      <c r="AZ2642" s="21" t="str">
        <f>IF(AND($AM2642&lt;&gt;"",$AS2642="✓"),SUMPRODUCT(($AM$11:$AM2642&lt;&gt;"")*($AS$11:$AS2642="✓")),"")</f>
        <v/>
      </c>
      <c r="BA2642" s="21" t="str">
        <f>IF($AL2642="","",$AL2642&amp;"|"&amp;COUNTIF($AL$11:$AL2642,$AL2642))</f>
        <v/>
      </c>
    </row>
    <row r="2643" spans="38:53" ht="15" customHeight="1" x14ac:dyDescent="0.25">
      <c r="AL2643" s="17"/>
      <c r="AM2643" s="12"/>
      <c r="AN2643" s="18"/>
      <c r="AO2643" s="18"/>
      <c r="AP2643" s="10"/>
      <c r="AQ2643" s="10"/>
      <c r="AR2643" s="19"/>
      <c r="AS2643" s="20"/>
      <c r="AT2643" s="19"/>
      <c r="AV2643" s="21">
        <f>IF(AND($AL2643&lt;&gt;"",COUNTIF($AL$11:$AL2643,$AL2643)=1),1,0)</f>
        <v>0</v>
      </c>
      <c r="AW2643" s="21">
        <f t="shared" si="169"/>
        <v>2</v>
      </c>
      <c r="AX2643" s="21" t="str">
        <f t="shared" si="168"/>
        <v/>
      </c>
      <c r="AY2643" s="21" t="str">
        <f>IF(AND($AM2643&lt;&gt;"",$AS2643&lt;&gt;"✓"),SUMPRODUCT(($AM$11:$AM2643&lt;&gt;"")*($AS$11:$AS2643&lt;&gt;"✓")),"")</f>
        <v/>
      </c>
      <c r="AZ2643" s="21" t="str">
        <f>IF(AND($AM2643&lt;&gt;"",$AS2643="✓"),SUMPRODUCT(($AM$11:$AM2643&lt;&gt;"")*($AS$11:$AS2643="✓")),"")</f>
        <v/>
      </c>
      <c r="BA2643" s="21" t="str">
        <f>IF($AL2643="","",$AL2643&amp;"|"&amp;COUNTIF($AL$11:$AL2643,$AL2643))</f>
        <v/>
      </c>
    </row>
    <row r="2644" spans="38:53" ht="15" customHeight="1" x14ac:dyDescent="0.25">
      <c r="AL2644" s="31"/>
      <c r="AM2644" s="26"/>
      <c r="AN2644" s="32"/>
      <c r="AO2644" s="32"/>
      <c r="AP2644" s="24"/>
      <c r="AQ2644" s="24"/>
      <c r="AR2644" s="33"/>
      <c r="AS2644" s="34"/>
      <c r="AT2644" s="33"/>
      <c r="AV2644" s="21">
        <f>IF(AND($AL2644&lt;&gt;"",COUNTIF($AL$11:$AL2644,$AL2644)=1),1,0)</f>
        <v>0</v>
      </c>
      <c r="AW2644" s="21">
        <f t="shared" si="169"/>
        <v>2</v>
      </c>
      <c r="AX2644" s="21" t="str">
        <f t="shared" si="168"/>
        <v/>
      </c>
      <c r="AY2644" s="21" t="str">
        <f>IF(AND($AM2644&lt;&gt;"",$AS2644&lt;&gt;"✓"),SUMPRODUCT(($AM$11:$AM2644&lt;&gt;"")*($AS$11:$AS2644&lt;&gt;"✓")),"")</f>
        <v/>
      </c>
      <c r="AZ2644" s="21" t="str">
        <f>IF(AND($AM2644&lt;&gt;"",$AS2644="✓"),SUMPRODUCT(($AM$11:$AM2644&lt;&gt;"")*($AS$11:$AS2644="✓")),"")</f>
        <v/>
      </c>
      <c r="BA2644" s="21" t="str">
        <f>IF($AL2644="","",$AL2644&amp;"|"&amp;COUNTIF($AL$11:$AL2644,$AL2644))</f>
        <v/>
      </c>
    </row>
    <row r="2645" spans="38:53" ht="15" customHeight="1" x14ac:dyDescent="0.25">
      <c r="AL2645" s="17"/>
      <c r="AM2645" s="12"/>
      <c r="AN2645" s="18"/>
      <c r="AO2645" s="18"/>
      <c r="AP2645" s="10"/>
      <c r="AQ2645" s="10"/>
      <c r="AR2645" s="19"/>
      <c r="AS2645" s="20"/>
      <c r="AT2645" s="19"/>
      <c r="AV2645" s="21">
        <f>IF(AND($AL2645&lt;&gt;"",COUNTIF($AL$11:$AL2645,$AL2645)=1),1,0)</f>
        <v>0</v>
      </c>
      <c r="AW2645" s="21">
        <f t="shared" si="169"/>
        <v>2</v>
      </c>
      <c r="AX2645" s="21" t="str">
        <f t="shared" si="168"/>
        <v/>
      </c>
      <c r="AY2645" s="21" t="str">
        <f>IF(AND($AM2645&lt;&gt;"",$AS2645&lt;&gt;"✓"),SUMPRODUCT(($AM$11:$AM2645&lt;&gt;"")*($AS$11:$AS2645&lt;&gt;"✓")),"")</f>
        <v/>
      </c>
      <c r="AZ2645" s="21" t="str">
        <f>IF(AND($AM2645&lt;&gt;"",$AS2645="✓"),SUMPRODUCT(($AM$11:$AM2645&lt;&gt;"")*($AS$11:$AS2645="✓")),"")</f>
        <v/>
      </c>
      <c r="BA2645" s="21" t="str">
        <f>IF($AL2645="","",$AL2645&amp;"|"&amp;COUNTIF($AL$11:$AL2645,$AL2645))</f>
        <v/>
      </c>
    </row>
    <row r="2646" spans="38:53" ht="15" customHeight="1" x14ac:dyDescent="0.25">
      <c r="AL2646" s="31"/>
      <c r="AM2646" s="26"/>
      <c r="AN2646" s="32"/>
      <c r="AO2646" s="32"/>
      <c r="AP2646" s="24"/>
      <c r="AQ2646" s="24"/>
      <c r="AR2646" s="33"/>
      <c r="AS2646" s="34"/>
      <c r="AT2646" s="33"/>
      <c r="AV2646" s="21">
        <f>IF(AND($AL2646&lt;&gt;"",COUNTIF($AL$11:$AL2646,$AL2646)=1),1,0)</f>
        <v>0</v>
      </c>
      <c r="AW2646" s="21">
        <f t="shared" si="169"/>
        <v>2</v>
      </c>
      <c r="AX2646" s="21" t="str">
        <f t="shared" si="168"/>
        <v/>
      </c>
      <c r="AY2646" s="21" t="str">
        <f>IF(AND($AM2646&lt;&gt;"",$AS2646&lt;&gt;"✓"),SUMPRODUCT(($AM$11:$AM2646&lt;&gt;"")*($AS$11:$AS2646&lt;&gt;"✓")),"")</f>
        <v/>
      </c>
      <c r="AZ2646" s="21" t="str">
        <f>IF(AND($AM2646&lt;&gt;"",$AS2646="✓"),SUMPRODUCT(($AM$11:$AM2646&lt;&gt;"")*($AS$11:$AS2646="✓")),"")</f>
        <v/>
      </c>
      <c r="BA2646" s="21" t="str">
        <f>IF($AL2646="","",$AL2646&amp;"|"&amp;COUNTIF($AL$11:$AL2646,$AL2646))</f>
        <v/>
      </c>
    </row>
    <row r="2647" spans="38:53" ht="15" customHeight="1" x14ac:dyDescent="0.25">
      <c r="AL2647" s="17"/>
      <c r="AM2647" s="12"/>
      <c r="AN2647" s="18"/>
      <c r="AO2647" s="18"/>
      <c r="AP2647" s="10"/>
      <c r="AQ2647" s="10"/>
      <c r="AR2647" s="19"/>
      <c r="AS2647" s="20"/>
      <c r="AT2647" s="19"/>
      <c r="AV2647" s="21">
        <f>IF(AND($AL2647&lt;&gt;"",COUNTIF($AL$11:$AL2647,$AL2647)=1),1,0)</f>
        <v>0</v>
      </c>
      <c r="AW2647" s="21">
        <f t="shared" si="169"/>
        <v>2</v>
      </c>
      <c r="AX2647" s="21" t="str">
        <f t="shared" si="168"/>
        <v/>
      </c>
      <c r="AY2647" s="21" t="str">
        <f>IF(AND($AM2647&lt;&gt;"",$AS2647&lt;&gt;"✓"),SUMPRODUCT(($AM$11:$AM2647&lt;&gt;"")*($AS$11:$AS2647&lt;&gt;"✓")),"")</f>
        <v/>
      </c>
      <c r="AZ2647" s="21" t="str">
        <f>IF(AND($AM2647&lt;&gt;"",$AS2647="✓"),SUMPRODUCT(($AM$11:$AM2647&lt;&gt;"")*($AS$11:$AS2647="✓")),"")</f>
        <v/>
      </c>
      <c r="BA2647" s="21" t="str">
        <f>IF($AL2647="","",$AL2647&amp;"|"&amp;COUNTIF($AL$11:$AL2647,$AL2647))</f>
        <v/>
      </c>
    </row>
    <row r="2648" spans="38:53" ht="15" customHeight="1" x14ac:dyDescent="0.25">
      <c r="AL2648" s="31"/>
      <c r="AM2648" s="26"/>
      <c r="AN2648" s="32"/>
      <c r="AO2648" s="32"/>
      <c r="AP2648" s="24"/>
      <c r="AQ2648" s="24"/>
      <c r="AR2648" s="33"/>
      <c r="AS2648" s="34"/>
      <c r="AT2648" s="33"/>
      <c r="AV2648" s="21">
        <f>IF(AND($AL2648&lt;&gt;"",COUNTIF($AL$11:$AL2648,$AL2648)=1),1,0)</f>
        <v>0</v>
      </c>
      <c r="AW2648" s="21">
        <f t="shared" si="169"/>
        <v>2</v>
      </c>
      <c r="AX2648" s="21" t="str">
        <f t="shared" si="168"/>
        <v/>
      </c>
      <c r="AY2648" s="21" t="str">
        <f>IF(AND($AM2648&lt;&gt;"",$AS2648&lt;&gt;"✓"),SUMPRODUCT(($AM$11:$AM2648&lt;&gt;"")*($AS$11:$AS2648&lt;&gt;"✓")),"")</f>
        <v/>
      </c>
      <c r="AZ2648" s="21" t="str">
        <f>IF(AND($AM2648&lt;&gt;"",$AS2648="✓"),SUMPRODUCT(($AM$11:$AM2648&lt;&gt;"")*($AS$11:$AS2648="✓")),"")</f>
        <v/>
      </c>
      <c r="BA2648" s="21" t="str">
        <f>IF($AL2648="","",$AL2648&amp;"|"&amp;COUNTIF($AL$11:$AL2648,$AL2648))</f>
        <v/>
      </c>
    </row>
    <row r="2649" spans="38:53" ht="15" customHeight="1" x14ac:dyDescent="0.25">
      <c r="AL2649" s="17"/>
      <c r="AM2649" s="12"/>
      <c r="AN2649" s="18"/>
      <c r="AO2649" s="18"/>
      <c r="AP2649" s="10"/>
      <c r="AQ2649" s="10"/>
      <c r="AR2649" s="19"/>
      <c r="AS2649" s="20"/>
      <c r="AT2649" s="19"/>
      <c r="AV2649" s="21">
        <f>IF(AND($AL2649&lt;&gt;"",COUNTIF($AL$11:$AL2649,$AL2649)=1),1,0)</f>
        <v>0</v>
      </c>
      <c r="AW2649" s="21">
        <f t="shared" si="169"/>
        <v>2</v>
      </c>
      <c r="AX2649" s="21" t="str">
        <f t="shared" si="168"/>
        <v/>
      </c>
      <c r="AY2649" s="21" t="str">
        <f>IF(AND($AM2649&lt;&gt;"",$AS2649&lt;&gt;"✓"),SUMPRODUCT(($AM$11:$AM2649&lt;&gt;"")*($AS$11:$AS2649&lt;&gt;"✓")),"")</f>
        <v/>
      </c>
      <c r="AZ2649" s="21" t="str">
        <f>IF(AND($AM2649&lt;&gt;"",$AS2649="✓"),SUMPRODUCT(($AM$11:$AM2649&lt;&gt;"")*($AS$11:$AS2649="✓")),"")</f>
        <v/>
      </c>
      <c r="BA2649" s="21" t="str">
        <f>IF($AL2649="","",$AL2649&amp;"|"&amp;COUNTIF($AL$11:$AL2649,$AL2649))</f>
        <v/>
      </c>
    </row>
    <row r="2650" spans="38:53" ht="15" customHeight="1" x14ac:dyDescent="0.25">
      <c r="AL2650" s="31"/>
      <c r="AM2650" s="26"/>
      <c r="AN2650" s="32"/>
      <c r="AO2650" s="32"/>
      <c r="AP2650" s="24"/>
      <c r="AQ2650" s="24"/>
      <c r="AR2650" s="33"/>
      <c r="AS2650" s="34"/>
      <c r="AT2650" s="33"/>
      <c r="AV2650" s="21">
        <f>IF(AND($AL2650&lt;&gt;"",COUNTIF($AL$11:$AL2650,$AL2650)=1),1,0)</f>
        <v>0</v>
      </c>
      <c r="AW2650" s="21">
        <f t="shared" si="169"/>
        <v>2</v>
      </c>
      <c r="AX2650" s="21" t="str">
        <f t="shared" si="168"/>
        <v/>
      </c>
      <c r="AY2650" s="21" t="str">
        <f>IF(AND($AM2650&lt;&gt;"",$AS2650&lt;&gt;"✓"),SUMPRODUCT(($AM$11:$AM2650&lt;&gt;"")*($AS$11:$AS2650&lt;&gt;"✓")),"")</f>
        <v/>
      </c>
      <c r="AZ2650" s="21" t="str">
        <f>IF(AND($AM2650&lt;&gt;"",$AS2650="✓"),SUMPRODUCT(($AM$11:$AM2650&lt;&gt;"")*($AS$11:$AS2650="✓")),"")</f>
        <v/>
      </c>
      <c r="BA2650" s="21" t="str">
        <f>IF($AL2650="","",$AL2650&amp;"|"&amp;COUNTIF($AL$11:$AL2650,$AL2650))</f>
        <v/>
      </c>
    </row>
    <row r="2651" spans="38:53" ht="15" customHeight="1" x14ac:dyDescent="0.25">
      <c r="AL2651" s="17"/>
      <c r="AM2651" s="12"/>
      <c r="AN2651" s="18"/>
      <c r="AO2651" s="18"/>
      <c r="AP2651" s="10"/>
      <c r="AQ2651" s="10"/>
      <c r="AR2651" s="19"/>
      <c r="AS2651" s="20"/>
      <c r="AT2651" s="19"/>
      <c r="AV2651" s="21">
        <f>IF(AND($AL2651&lt;&gt;"",COUNTIF($AL$11:$AL2651,$AL2651)=1),1,0)</f>
        <v>0</v>
      </c>
      <c r="AW2651" s="21">
        <f t="shared" si="169"/>
        <v>2</v>
      </c>
      <c r="AX2651" s="21" t="str">
        <f t="shared" si="168"/>
        <v/>
      </c>
      <c r="AY2651" s="21" t="str">
        <f>IF(AND($AM2651&lt;&gt;"",$AS2651&lt;&gt;"✓"),SUMPRODUCT(($AM$11:$AM2651&lt;&gt;"")*($AS$11:$AS2651&lt;&gt;"✓")),"")</f>
        <v/>
      </c>
      <c r="AZ2651" s="21" t="str">
        <f>IF(AND($AM2651&lt;&gt;"",$AS2651="✓"),SUMPRODUCT(($AM$11:$AM2651&lt;&gt;"")*($AS$11:$AS2651="✓")),"")</f>
        <v/>
      </c>
      <c r="BA2651" s="21" t="str">
        <f>IF($AL2651="","",$AL2651&amp;"|"&amp;COUNTIF($AL$11:$AL2651,$AL2651))</f>
        <v/>
      </c>
    </row>
    <row r="2652" spans="38:53" ht="15" customHeight="1" x14ac:dyDescent="0.25">
      <c r="AL2652" s="31"/>
      <c r="AM2652" s="26"/>
      <c r="AN2652" s="32"/>
      <c r="AO2652" s="32"/>
      <c r="AP2652" s="24"/>
      <c r="AQ2652" s="24"/>
      <c r="AR2652" s="33"/>
      <c r="AS2652" s="34"/>
      <c r="AT2652" s="33"/>
      <c r="AV2652" s="21">
        <f>IF(AND($AL2652&lt;&gt;"",COUNTIF($AL$11:$AL2652,$AL2652)=1),1,0)</f>
        <v>0</v>
      </c>
      <c r="AW2652" s="21">
        <f t="shared" si="169"/>
        <v>2</v>
      </c>
      <c r="AX2652" s="21" t="str">
        <f t="shared" si="168"/>
        <v/>
      </c>
      <c r="AY2652" s="21" t="str">
        <f>IF(AND($AM2652&lt;&gt;"",$AS2652&lt;&gt;"✓"),SUMPRODUCT(($AM$11:$AM2652&lt;&gt;"")*($AS$11:$AS2652&lt;&gt;"✓")),"")</f>
        <v/>
      </c>
      <c r="AZ2652" s="21" t="str">
        <f>IF(AND($AM2652&lt;&gt;"",$AS2652="✓"),SUMPRODUCT(($AM$11:$AM2652&lt;&gt;"")*($AS$11:$AS2652="✓")),"")</f>
        <v/>
      </c>
      <c r="BA2652" s="21" t="str">
        <f>IF($AL2652="","",$AL2652&amp;"|"&amp;COUNTIF($AL$11:$AL2652,$AL2652))</f>
        <v/>
      </c>
    </row>
    <row r="2653" spans="38:53" ht="15" customHeight="1" x14ac:dyDescent="0.25">
      <c r="AL2653" s="17"/>
      <c r="AM2653" s="12"/>
      <c r="AN2653" s="18"/>
      <c r="AO2653" s="18"/>
      <c r="AP2653" s="10"/>
      <c r="AQ2653" s="10"/>
      <c r="AR2653" s="19"/>
      <c r="AS2653" s="20"/>
      <c r="AT2653" s="19"/>
      <c r="AV2653" s="21">
        <f>IF(AND($AL2653&lt;&gt;"",COUNTIF($AL$11:$AL2653,$AL2653)=1),1,0)</f>
        <v>0</v>
      </c>
      <c r="AW2653" s="21">
        <f t="shared" si="169"/>
        <v>2</v>
      </c>
      <c r="AX2653" s="21" t="str">
        <f t="shared" si="168"/>
        <v/>
      </c>
      <c r="AY2653" s="21" t="str">
        <f>IF(AND($AM2653&lt;&gt;"",$AS2653&lt;&gt;"✓"),SUMPRODUCT(($AM$11:$AM2653&lt;&gt;"")*($AS$11:$AS2653&lt;&gt;"✓")),"")</f>
        <v/>
      </c>
      <c r="AZ2653" s="21" t="str">
        <f>IF(AND($AM2653&lt;&gt;"",$AS2653="✓"),SUMPRODUCT(($AM$11:$AM2653&lt;&gt;"")*($AS$11:$AS2653="✓")),"")</f>
        <v/>
      </c>
      <c r="BA2653" s="21" t="str">
        <f>IF($AL2653="","",$AL2653&amp;"|"&amp;COUNTIF($AL$11:$AL2653,$AL2653))</f>
        <v/>
      </c>
    </row>
    <row r="2654" spans="38:53" ht="15" customHeight="1" x14ac:dyDescent="0.25">
      <c r="AL2654" s="31"/>
      <c r="AM2654" s="26"/>
      <c r="AN2654" s="32"/>
      <c r="AO2654" s="32"/>
      <c r="AP2654" s="24"/>
      <c r="AQ2654" s="24"/>
      <c r="AR2654" s="33"/>
      <c r="AS2654" s="34"/>
      <c r="AT2654" s="33"/>
      <c r="AV2654" s="21">
        <f>IF(AND($AL2654&lt;&gt;"",COUNTIF($AL$11:$AL2654,$AL2654)=1),1,0)</f>
        <v>0</v>
      </c>
      <c r="AW2654" s="21">
        <f t="shared" si="169"/>
        <v>2</v>
      </c>
      <c r="AX2654" s="21" t="str">
        <f t="shared" si="168"/>
        <v/>
      </c>
      <c r="AY2654" s="21" t="str">
        <f>IF(AND($AM2654&lt;&gt;"",$AS2654&lt;&gt;"✓"),SUMPRODUCT(($AM$11:$AM2654&lt;&gt;"")*($AS$11:$AS2654&lt;&gt;"✓")),"")</f>
        <v/>
      </c>
      <c r="AZ2654" s="21" t="str">
        <f>IF(AND($AM2654&lt;&gt;"",$AS2654="✓"),SUMPRODUCT(($AM$11:$AM2654&lt;&gt;"")*($AS$11:$AS2654="✓")),"")</f>
        <v/>
      </c>
      <c r="BA2654" s="21" t="str">
        <f>IF($AL2654="","",$AL2654&amp;"|"&amp;COUNTIF($AL$11:$AL2654,$AL2654))</f>
        <v/>
      </c>
    </row>
    <row r="2655" spans="38:53" ht="15" customHeight="1" x14ac:dyDescent="0.25">
      <c r="AL2655" s="17"/>
      <c r="AM2655" s="12"/>
      <c r="AN2655" s="18"/>
      <c r="AO2655" s="18"/>
      <c r="AP2655" s="10"/>
      <c r="AQ2655" s="10"/>
      <c r="AR2655" s="19"/>
      <c r="AS2655" s="20"/>
      <c r="AT2655" s="19"/>
      <c r="AV2655" s="21">
        <f>IF(AND($AL2655&lt;&gt;"",COUNTIF($AL$11:$AL2655,$AL2655)=1),1,0)</f>
        <v>0</v>
      </c>
      <c r="AW2655" s="21">
        <f t="shared" si="169"/>
        <v>2</v>
      </c>
      <c r="AX2655" s="21" t="str">
        <f t="shared" si="168"/>
        <v/>
      </c>
      <c r="AY2655" s="21" t="str">
        <f>IF(AND($AM2655&lt;&gt;"",$AS2655&lt;&gt;"✓"),SUMPRODUCT(($AM$11:$AM2655&lt;&gt;"")*($AS$11:$AS2655&lt;&gt;"✓")),"")</f>
        <v/>
      </c>
      <c r="AZ2655" s="21" t="str">
        <f>IF(AND($AM2655&lt;&gt;"",$AS2655="✓"),SUMPRODUCT(($AM$11:$AM2655&lt;&gt;"")*($AS$11:$AS2655="✓")),"")</f>
        <v/>
      </c>
      <c r="BA2655" s="21" t="str">
        <f>IF($AL2655="","",$AL2655&amp;"|"&amp;COUNTIF($AL$11:$AL2655,$AL2655))</f>
        <v/>
      </c>
    </row>
    <row r="2656" spans="38:53" ht="15" customHeight="1" x14ac:dyDescent="0.25">
      <c r="AL2656" s="31"/>
      <c r="AM2656" s="26"/>
      <c r="AN2656" s="32"/>
      <c r="AO2656" s="32"/>
      <c r="AP2656" s="24"/>
      <c r="AQ2656" s="24"/>
      <c r="AR2656" s="33"/>
      <c r="AS2656" s="34"/>
      <c r="AT2656" s="33"/>
      <c r="AV2656" s="21">
        <f>IF(AND($AL2656&lt;&gt;"",COUNTIF($AL$11:$AL2656,$AL2656)=1),1,0)</f>
        <v>0</v>
      </c>
      <c r="AW2656" s="21">
        <f t="shared" si="169"/>
        <v>2</v>
      </c>
      <c r="AX2656" s="21" t="str">
        <f t="shared" si="168"/>
        <v/>
      </c>
      <c r="AY2656" s="21" t="str">
        <f>IF(AND($AM2656&lt;&gt;"",$AS2656&lt;&gt;"✓"),SUMPRODUCT(($AM$11:$AM2656&lt;&gt;"")*($AS$11:$AS2656&lt;&gt;"✓")),"")</f>
        <v/>
      </c>
      <c r="AZ2656" s="21" t="str">
        <f>IF(AND($AM2656&lt;&gt;"",$AS2656="✓"),SUMPRODUCT(($AM$11:$AM2656&lt;&gt;"")*($AS$11:$AS2656="✓")),"")</f>
        <v/>
      </c>
      <c r="BA2656" s="21" t="str">
        <f>IF($AL2656="","",$AL2656&amp;"|"&amp;COUNTIF($AL$11:$AL2656,$AL2656))</f>
        <v/>
      </c>
    </row>
    <row r="2657" spans="38:53" ht="15" customHeight="1" x14ac:dyDescent="0.25">
      <c r="AL2657" s="17"/>
      <c r="AM2657" s="12"/>
      <c r="AN2657" s="18"/>
      <c r="AO2657" s="18"/>
      <c r="AP2657" s="10"/>
      <c r="AQ2657" s="10"/>
      <c r="AR2657" s="19"/>
      <c r="AS2657" s="20"/>
      <c r="AT2657" s="19"/>
      <c r="AV2657" s="21">
        <f>IF(AND($AL2657&lt;&gt;"",COUNTIF($AL$11:$AL2657,$AL2657)=1),1,0)</f>
        <v>0</v>
      </c>
      <c r="AW2657" s="21">
        <f t="shared" si="169"/>
        <v>2</v>
      </c>
      <c r="AX2657" s="21" t="str">
        <f t="shared" si="168"/>
        <v/>
      </c>
      <c r="AY2657" s="21" t="str">
        <f>IF(AND($AM2657&lt;&gt;"",$AS2657&lt;&gt;"✓"),SUMPRODUCT(($AM$11:$AM2657&lt;&gt;"")*($AS$11:$AS2657&lt;&gt;"✓")),"")</f>
        <v/>
      </c>
      <c r="AZ2657" s="21" t="str">
        <f>IF(AND($AM2657&lt;&gt;"",$AS2657="✓"),SUMPRODUCT(($AM$11:$AM2657&lt;&gt;"")*($AS$11:$AS2657="✓")),"")</f>
        <v/>
      </c>
      <c r="BA2657" s="21" t="str">
        <f>IF($AL2657="","",$AL2657&amp;"|"&amp;COUNTIF($AL$11:$AL2657,$AL2657))</f>
        <v/>
      </c>
    </row>
    <row r="2658" spans="38:53" ht="15" customHeight="1" x14ac:dyDescent="0.25">
      <c r="AL2658" s="31"/>
      <c r="AM2658" s="26"/>
      <c r="AN2658" s="32"/>
      <c r="AO2658" s="32"/>
      <c r="AP2658" s="24"/>
      <c r="AQ2658" s="24"/>
      <c r="AR2658" s="33"/>
      <c r="AS2658" s="34"/>
      <c r="AT2658" s="33"/>
      <c r="AV2658" s="21">
        <f>IF(AND($AL2658&lt;&gt;"",COUNTIF($AL$11:$AL2658,$AL2658)=1),1,0)</f>
        <v>0</v>
      </c>
      <c r="AW2658" s="21">
        <f t="shared" si="169"/>
        <v>2</v>
      </c>
      <c r="AX2658" s="21" t="str">
        <f t="shared" si="168"/>
        <v/>
      </c>
      <c r="AY2658" s="21" t="str">
        <f>IF(AND($AM2658&lt;&gt;"",$AS2658&lt;&gt;"✓"),SUMPRODUCT(($AM$11:$AM2658&lt;&gt;"")*($AS$11:$AS2658&lt;&gt;"✓")),"")</f>
        <v/>
      </c>
      <c r="AZ2658" s="21" t="str">
        <f>IF(AND($AM2658&lt;&gt;"",$AS2658="✓"),SUMPRODUCT(($AM$11:$AM2658&lt;&gt;"")*($AS$11:$AS2658="✓")),"")</f>
        <v/>
      </c>
      <c r="BA2658" s="21" t="str">
        <f>IF($AL2658="","",$AL2658&amp;"|"&amp;COUNTIF($AL$11:$AL2658,$AL2658))</f>
        <v/>
      </c>
    </row>
    <row r="2659" spans="38:53" ht="15" customHeight="1" x14ac:dyDescent="0.25">
      <c r="AL2659" s="17"/>
      <c r="AM2659" s="12"/>
      <c r="AN2659" s="18"/>
      <c r="AO2659" s="18"/>
      <c r="AP2659" s="10"/>
      <c r="AQ2659" s="10"/>
      <c r="AR2659" s="19"/>
      <c r="AS2659" s="20"/>
      <c r="AT2659" s="19"/>
      <c r="AV2659" s="21">
        <f>IF(AND($AL2659&lt;&gt;"",COUNTIF($AL$11:$AL2659,$AL2659)=1),1,0)</f>
        <v>0</v>
      </c>
      <c r="AW2659" s="21">
        <f t="shared" si="169"/>
        <v>2</v>
      </c>
      <c r="AX2659" s="21" t="str">
        <f t="shared" si="168"/>
        <v/>
      </c>
      <c r="AY2659" s="21" t="str">
        <f>IF(AND($AM2659&lt;&gt;"",$AS2659&lt;&gt;"✓"),SUMPRODUCT(($AM$11:$AM2659&lt;&gt;"")*($AS$11:$AS2659&lt;&gt;"✓")),"")</f>
        <v/>
      </c>
      <c r="AZ2659" s="21" t="str">
        <f>IF(AND($AM2659&lt;&gt;"",$AS2659="✓"),SUMPRODUCT(($AM$11:$AM2659&lt;&gt;"")*($AS$11:$AS2659="✓")),"")</f>
        <v/>
      </c>
      <c r="BA2659" s="21" t="str">
        <f>IF($AL2659="","",$AL2659&amp;"|"&amp;COUNTIF($AL$11:$AL2659,$AL2659))</f>
        <v/>
      </c>
    </row>
    <row r="2660" spans="38:53" ht="15" customHeight="1" x14ac:dyDescent="0.25">
      <c r="AL2660" s="31"/>
      <c r="AM2660" s="26"/>
      <c r="AN2660" s="32"/>
      <c r="AO2660" s="32"/>
      <c r="AP2660" s="24"/>
      <c r="AQ2660" s="24"/>
      <c r="AR2660" s="33"/>
      <c r="AS2660" s="34"/>
      <c r="AT2660" s="33"/>
      <c r="AV2660" s="21">
        <f>IF(AND($AL2660&lt;&gt;"",COUNTIF($AL$11:$AL2660,$AL2660)=1),1,0)</f>
        <v>0</v>
      </c>
      <c r="AW2660" s="21">
        <f t="shared" si="169"/>
        <v>2</v>
      </c>
      <c r="AX2660" s="21" t="str">
        <f t="shared" si="168"/>
        <v/>
      </c>
      <c r="AY2660" s="21" t="str">
        <f>IF(AND($AM2660&lt;&gt;"",$AS2660&lt;&gt;"✓"),SUMPRODUCT(($AM$11:$AM2660&lt;&gt;"")*($AS$11:$AS2660&lt;&gt;"✓")),"")</f>
        <v/>
      </c>
      <c r="AZ2660" s="21" t="str">
        <f>IF(AND($AM2660&lt;&gt;"",$AS2660="✓"),SUMPRODUCT(($AM$11:$AM2660&lt;&gt;"")*($AS$11:$AS2660="✓")),"")</f>
        <v/>
      </c>
      <c r="BA2660" s="21" t="str">
        <f>IF($AL2660="","",$AL2660&amp;"|"&amp;COUNTIF($AL$11:$AL2660,$AL2660))</f>
        <v/>
      </c>
    </row>
    <row r="2661" spans="38:53" ht="15" customHeight="1" x14ac:dyDescent="0.25">
      <c r="AL2661" s="17"/>
      <c r="AM2661" s="12"/>
      <c r="AN2661" s="18"/>
      <c r="AO2661" s="18"/>
      <c r="AP2661" s="10"/>
      <c r="AQ2661" s="10"/>
      <c r="AR2661" s="19"/>
      <c r="AS2661" s="20"/>
      <c r="AT2661" s="19"/>
      <c r="AV2661" s="21">
        <f>IF(AND($AL2661&lt;&gt;"",COUNTIF($AL$11:$AL2661,$AL2661)=1),1,0)</f>
        <v>0</v>
      </c>
      <c r="AW2661" s="21">
        <f t="shared" si="169"/>
        <v>2</v>
      </c>
      <c r="AX2661" s="21" t="str">
        <f t="shared" si="168"/>
        <v/>
      </c>
      <c r="AY2661" s="21" t="str">
        <f>IF(AND($AM2661&lt;&gt;"",$AS2661&lt;&gt;"✓"),SUMPRODUCT(($AM$11:$AM2661&lt;&gt;"")*($AS$11:$AS2661&lt;&gt;"✓")),"")</f>
        <v/>
      </c>
      <c r="AZ2661" s="21" t="str">
        <f>IF(AND($AM2661&lt;&gt;"",$AS2661="✓"),SUMPRODUCT(($AM$11:$AM2661&lt;&gt;"")*($AS$11:$AS2661="✓")),"")</f>
        <v/>
      </c>
      <c r="BA2661" s="21" t="str">
        <f>IF($AL2661="","",$AL2661&amp;"|"&amp;COUNTIF($AL$11:$AL2661,$AL2661))</f>
        <v/>
      </c>
    </row>
    <row r="2662" spans="38:53" ht="15" customHeight="1" x14ac:dyDescent="0.25">
      <c r="AL2662" s="31"/>
      <c r="AM2662" s="26"/>
      <c r="AN2662" s="32"/>
      <c r="AO2662" s="32"/>
      <c r="AP2662" s="24"/>
      <c r="AQ2662" s="24"/>
      <c r="AR2662" s="33"/>
      <c r="AS2662" s="34"/>
      <c r="AT2662" s="33"/>
      <c r="AV2662" s="21">
        <f>IF(AND($AL2662&lt;&gt;"",COUNTIF($AL$11:$AL2662,$AL2662)=1),1,0)</f>
        <v>0</v>
      </c>
      <c r="AW2662" s="21">
        <f t="shared" si="169"/>
        <v>2</v>
      </c>
      <c r="AX2662" s="21" t="str">
        <f t="shared" si="168"/>
        <v/>
      </c>
      <c r="AY2662" s="21" t="str">
        <f>IF(AND($AM2662&lt;&gt;"",$AS2662&lt;&gt;"✓"),SUMPRODUCT(($AM$11:$AM2662&lt;&gt;"")*($AS$11:$AS2662&lt;&gt;"✓")),"")</f>
        <v/>
      </c>
      <c r="AZ2662" s="21" t="str">
        <f>IF(AND($AM2662&lt;&gt;"",$AS2662="✓"),SUMPRODUCT(($AM$11:$AM2662&lt;&gt;"")*($AS$11:$AS2662="✓")),"")</f>
        <v/>
      </c>
      <c r="BA2662" s="21" t="str">
        <f>IF($AL2662="","",$AL2662&amp;"|"&amp;COUNTIF($AL$11:$AL2662,$AL2662))</f>
        <v/>
      </c>
    </row>
    <row r="2663" spans="38:53" ht="15" customHeight="1" x14ac:dyDescent="0.25">
      <c r="AL2663" s="17"/>
      <c r="AM2663" s="12"/>
      <c r="AN2663" s="18"/>
      <c r="AO2663" s="18"/>
      <c r="AP2663" s="10"/>
      <c r="AQ2663" s="10"/>
      <c r="AR2663" s="19"/>
      <c r="AS2663" s="20"/>
      <c r="AT2663" s="19"/>
      <c r="AV2663" s="21">
        <f>IF(AND($AL2663&lt;&gt;"",COUNTIF($AL$11:$AL2663,$AL2663)=1),1,0)</f>
        <v>0</v>
      </c>
      <c r="AW2663" s="21">
        <f t="shared" si="169"/>
        <v>2</v>
      </c>
      <c r="AX2663" s="21" t="str">
        <f t="shared" si="168"/>
        <v/>
      </c>
      <c r="AY2663" s="21" t="str">
        <f>IF(AND($AM2663&lt;&gt;"",$AS2663&lt;&gt;"✓"),SUMPRODUCT(($AM$11:$AM2663&lt;&gt;"")*($AS$11:$AS2663&lt;&gt;"✓")),"")</f>
        <v/>
      </c>
      <c r="AZ2663" s="21" t="str">
        <f>IF(AND($AM2663&lt;&gt;"",$AS2663="✓"),SUMPRODUCT(($AM$11:$AM2663&lt;&gt;"")*($AS$11:$AS2663="✓")),"")</f>
        <v/>
      </c>
      <c r="BA2663" s="21" t="str">
        <f>IF($AL2663="","",$AL2663&amp;"|"&amp;COUNTIF($AL$11:$AL2663,$AL2663))</f>
        <v/>
      </c>
    </row>
    <row r="2664" spans="38:53" ht="15" customHeight="1" x14ac:dyDescent="0.25">
      <c r="AL2664" s="31"/>
      <c r="AM2664" s="26"/>
      <c r="AN2664" s="32"/>
      <c r="AO2664" s="32"/>
      <c r="AP2664" s="24"/>
      <c r="AQ2664" s="24"/>
      <c r="AR2664" s="33"/>
      <c r="AS2664" s="34"/>
      <c r="AT2664" s="33"/>
      <c r="AV2664" s="21">
        <f>IF(AND($AL2664&lt;&gt;"",COUNTIF($AL$11:$AL2664,$AL2664)=1),1,0)</f>
        <v>0</v>
      </c>
      <c r="AW2664" s="21">
        <f t="shared" si="169"/>
        <v>2</v>
      </c>
      <c r="AX2664" s="21" t="str">
        <f t="shared" si="168"/>
        <v/>
      </c>
      <c r="AY2664" s="21" t="str">
        <f>IF(AND($AM2664&lt;&gt;"",$AS2664&lt;&gt;"✓"),SUMPRODUCT(($AM$11:$AM2664&lt;&gt;"")*($AS$11:$AS2664&lt;&gt;"✓")),"")</f>
        <v/>
      </c>
      <c r="AZ2664" s="21" t="str">
        <f>IF(AND($AM2664&lt;&gt;"",$AS2664="✓"),SUMPRODUCT(($AM$11:$AM2664&lt;&gt;"")*($AS$11:$AS2664="✓")),"")</f>
        <v/>
      </c>
      <c r="BA2664" s="21" t="str">
        <f>IF($AL2664="","",$AL2664&amp;"|"&amp;COUNTIF($AL$11:$AL2664,$AL2664))</f>
        <v/>
      </c>
    </row>
    <row r="2665" spans="38:53" ht="15" customHeight="1" x14ac:dyDescent="0.25">
      <c r="AL2665" s="17"/>
      <c r="AM2665" s="12"/>
      <c r="AN2665" s="18"/>
      <c r="AO2665" s="18"/>
      <c r="AP2665" s="10"/>
      <c r="AQ2665" s="10"/>
      <c r="AR2665" s="19"/>
      <c r="AS2665" s="20"/>
      <c r="AT2665" s="19"/>
      <c r="AV2665" s="21">
        <f>IF(AND($AL2665&lt;&gt;"",COUNTIF($AL$11:$AL2665,$AL2665)=1),1,0)</f>
        <v>0</v>
      </c>
      <c r="AW2665" s="21">
        <f t="shared" si="169"/>
        <v>2</v>
      </c>
      <c r="AX2665" s="21" t="str">
        <f t="shared" si="168"/>
        <v/>
      </c>
      <c r="AY2665" s="21" t="str">
        <f>IF(AND($AM2665&lt;&gt;"",$AS2665&lt;&gt;"✓"),SUMPRODUCT(($AM$11:$AM2665&lt;&gt;"")*($AS$11:$AS2665&lt;&gt;"✓")),"")</f>
        <v/>
      </c>
      <c r="AZ2665" s="21" t="str">
        <f>IF(AND($AM2665&lt;&gt;"",$AS2665="✓"),SUMPRODUCT(($AM$11:$AM2665&lt;&gt;"")*($AS$11:$AS2665="✓")),"")</f>
        <v/>
      </c>
      <c r="BA2665" s="21" t="str">
        <f>IF($AL2665="","",$AL2665&amp;"|"&amp;COUNTIF($AL$11:$AL2665,$AL2665))</f>
        <v/>
      </c>
    </row>
    <row r="2666" spans="38:53" ht="15" customHeight="1" x14ac:dyDescent="0.25">
      <c r="AL2666" s="31"/>
      <c r="AM2666" s="26"/>
      <c r="AN2666" s="32"/>
      <c r="AO2666" s="32"/>
      <c r="AP2666" s="24"/>
      <c r="AQ2666" s="24"/>
      <c r="AR2666" s="33"/>
      <c r="AS2666" s="34"/>
      <c r="AT2666" s="33"/>
      <c r="AV2666" s="21">
        <f>IF(AND($AL2666&lt;&gt;"",COUNTIF($AL$11:$AL2666,$AL2666)=1),1,0)</f>
        <v>0</v>
      </c>
      <c r="AW2666" s="21">
        <f t="shared" si="169"/>
        <v>2</v>
      </c>
      <c r="AX2666" s="21" t="str">
        <f t="shared" si="168"/>
        <v/>
      </c>
      <c r="AY2666" s="21" t="str">
        <f>IF(AND($AM2666&lt;&gt;"",$AS2666&lt;&gt;"✓"),SUMPRODUCT(($AM$11:$AM2666&lt;&gt;"")*($AS$11:$AS2666&lt;&gt;"✓")),"")</f>
        <v/>
      </c>
      <c r="AZ2666" s="21" t="str">
        <f>IF(AND($AM2666&lt;&gt;"",$AS2666="✓"),SUMPRODUCT(($AM$11:$AM2666&lt;&gt;"")*($AS$11:$AS2666="✓")),"")</f>
        <v/>
      </c>
      <c r="BA2666" s="21" t="str">
        <f>IF($AL2666="","",$AL2666&amp;"|"&amp;COUNTIF($AL$11:$AL2666,$AL2666))</f>
        <v/>
      </c>
    </row>
    <row r="2667" spans="38:53" ht="15" customHeight="1" x14ac:dyDescent="0.25">
      <c r="AL2667" s="17"/>
      <c r="AM2667" s="12"/>
      <c r="AN2667" s="18"/>
      <c r="AO2667" s="18"/>
      <c r="AP2667" s="10"/>
      <c r="AQ2667" s="10"/>
      <c r="AR2667" s="19"/>
      <c r="AS2667" s="20"/>
      <c r="AT2667" s="19"/>
      <c r="AV2667" s="21">
        <f>IF(AND($AL2667&lt;&gt;"",COUNTIF($AL$11:$AL2667,$AL2667)=1),1,0)</f>
        <v>0</v>
      </c>
      <c r="AW2667" s="21">
        <f t="shared" si="169"/>
        <v>2</v>
      </c>
      <c r="AX2667" s="21" t="str">
        <f t="shared" si="168"/>
        <v/>
      </c>
      <c r="AY2667" s="21" t="str">
        <f>IF(AND($AM2667&lt;&gt;"",$AS2667&lt;&gt;"✓"),SUMPRODUCT(($AM$11:$AM2667&lt;&gt;"")*($AS$11:$AS2667&lt;&gt;"✓")),"")</f>
        <v/>
      </c>
      <c r="AZ2667" s="21" t="str">
        <f>IF(AND($AM2667&lt;&gt;"",$AS2667="✓"),SUMPRODUCT(($AM$11:$AM2667&lt;&gt;"")*($AS$11:$AS2667="✓")),"")</f>
        <v/>
      </c>
      <c r="BA2667" s="21" t="str">
        <f>IF($AL2667="","",$AL2667&amp;"|"&amp;COUNTIF($AL$11:$AL2667,$AL2667))</f>
        <v/>
      </c>
    </row>
    <row r="2668" spans="38:53" ht="15" customHeight="1" x14ac:dyDescent="0.25">
      <c r="AL2668" s="31"/>
      <c r="AM2668" s="26"/>
      <c r="AN2668" s="32"/>
      <c r="AO2668" s="32"/>
      <c r="AP2668" s="24"/>
      <c r="AQ2668" s="24"/>
      <c r="AR2668" s="33"/>
      <c r="AS2668" s="34"/>
      <c r="AT2668" s="33"/>
      <c r="AV2668" s="21">
        <f>IF(AND($AL2668&lt;&gt;"",COUNTIF($AL$11:$AL2668,$AL2668)=1),1,0)</f>
        <v>0</v>
      </c>
      <c r="AW2668" s="21">
        <f t="shared" si="169"/>
        <v>2</v>
      </c>
      <c r="AX2668" s="21" t="str">
        <f t="shared" si="168"/>
        <v/>
      </c>
      <c r="AY2668" s="21" t="str">
        <f>IF(AND($AM2668&lt;&gt;"",$AS2668&lt;&gt;"✓"),SUMPRODUCT(($AM$11:$AM2668&lt;&gt;"")*($AS$11:$AS2668&lt;&gt;"✓")),"")</f>
        <v/>
      </c>
      <c r="AZ2668" s="21" t="str">
        <f>IF(AND($AM2668&lt;&gt;"",$AS2668="✓"),SUMPRODUCT(($AM$11:$AM2668&lt;&gt;"")*($AS$11:$AS2668="✓")),"")</f>
        <v/>
      </c>
      <c r="BA2668" s="21" t="str">
        <f>IF($AL2668="","",$AL2668&amp;"|"&amp;COUNTIF($AL$11:$AL2668,$AL2668))</f>
        <v/>
      </c>
    </row>
    <row r="2669" spans="38:53" ht="15" customHeight="1" x14ac:dyDescent="0.25">
      <c r="AL2669" s="17"/>
      <c r="AM2669" s="12"/>
      <c r="AN2669" s="18"/>
      <c r="AO2669" s="18"/>
      <c r="AP2669" s="10"/>
      <c r="AQ2669" s="10"/>
      <c r="AR2669" s="19"/>
      <c r="AS2669" s="20"/>
      <c r="AT2669" s="19"/>
      <c r="AV2669" s="21">
        <f>IF(AND($AL2669&lt;&gt;"",COUNTIF($AL$11:$AL2669,$AL2669)=1),1,0)</f>
        <v>0</v>
      </c>
      <c r="AW2669" s="21">
        <f t="shared" si="169"/>
        <v>2</v>
      </c>
      <c r="AX2669" s="21" t="str">
        <f t="shared" si="168"/>
        <v/>
      </c>
      <c r="AY2669" s="21" t="str">
        <f>IF(AND($AM2669&lt;&gt;"",$AS2669&lt;&gt;"✓"),SUMPRODUCT(($AM$11:$AM2669&lt;&gt;"")*($AS$11:$AS2669&lt;&gt;"✓")),"")</f>
        <v/>
      </c>
      <c r="AZ2669" s="21" t="str">
        <f>IF(AND($AM2669&lt;&gt;"",$AS2669="✓"),SUMPRODUCT(($AM$11:$AM2669&lt;&gt;"")*($AS$11:$AS2669="✓")),"")</f>
        <v/>
      </c>
      <c r="BA2669" s="21" t="str">
        <f>IF($AL2669="","",$AL2669&amp;"|"&amp;COUNTIF($AL$11:$AL2669,$AL2669))</f>
        <v/>
      </c>
    </row>
    <row r="2670" spans="38:53" ht="15" customHeight="1" x14ac:dyDescent="0.25">
      <c r="AL2670" s="31"/>
      <c r="AM2670" s="26"/>
      <c r="AN2670" s="32"/>
      <c r="AO2670" s="32"/>
      <c r="AP2670" s="24"/>
      <c r="AQ2670" s="24"/>
      <c r="AR2670" s="33"/>
      <c r="AS2670" s="34"/>
      <c r="AT2670" s="33"/>
      <c r="AV2670" s="21">
        <f>IF(AND($AL2670&lt;&gt;"",COUNTIF($AL$11:$AL2670,$AL2670)=1),1,0)</f>
        <v>0</v>
      </c>
      <c r="AW2670" s="21">
        <f t="shared" si="169"/>
        <v>2</v>
      </c>
      <c r="AX2670" s="21" t="str">
        <f t="shared" si="168"/>
        <v/>
      </c>
      <c r="AY2670" s="21" t="str">
        <f>IF(AND($AM2670&lt;&gt;"",$AS2670&lt;&gt;"✓"),SUMPRODUCT(($AM$11:$AM2670&lt;&gt;"")*($AS$11:$AS2670&lt;&gt;"✓")),"")</f>
        <v/>
      </c>
      <c r="AZ2670" s="21" t="str">
        <f>IF(AND($AM2670&lt;&gt;"",$AS2670="✓"),SUMPRODUCT(($AM$11:$AM2670&lt;&gt;"")*($AS$11:$AS2670="✓")),"")</f>
        <v/>
      </c>
      <c r="BA2670" s="21" t="str">
        <f>IF($AL2670="","",$AL2670&amp;"|"&amp;COUNTIF($AL$11:$AL2670,$AL2670))</f>
        <v/>
      </c>
    </row>
    <row r="2671" spans="38:53" ht="15" customHeight="1" x14ac:dyDescent="0.25">
      <c r="AL2671" s="17"/>
      <c r="AM2671" s="12"/>
      <c r="AN2671" s="18"/>
      <c r="AO2671" s="18"/>
      <c r="AP2671" s="10"/>
      <c r="AQ2671" s="10"/>
      <c r="AR2671" s="19"/>
      <c r="AS2671" s="20"/>
      <c r="AT2671" s="19"/>
      <c r="AV2671" s="21">
        <f>IF(AND($AL2671&lt;&gt;"",COUNTIF($AL$11:$AL2671,$AL2671)=1),1,0)</f>
        <v>0</v>
      </c>
      <c r="AW2671" s="21">
        <f t="shared" si="169"/>
        <v>2</v>
      </c>
      <c r="AX2671" s="21" t="str">
        <f t="shared" si="168"/>
        <v/>
      </c>
      <c r="AY2671" s="21" t="str">
        <f>IF(AND($AM2671&lt;&gt;"",$AS2671&lt;&gt;"✓"),SUMPRODUCT(($AM$11:$AM2671&lt;&gt;"")*($AS$11:$AS2671&lt;&gt;"✓")),"")</f>
        <v/>
      </c>
      <c r="AZ2671" s="21" t="str">
        <f>IF(AND($AM2671&lt;&gt;"",$AS2671="✓"),SUMPRODUCT(($AM$11:$AM2671&lt;&gt;"")*($AS$11:$AS2671="✓")),"")</f>
        <v/>
      </c>
      <c r="BA2671" s="21" t="str">
        <f>IF($AL2671="","",$AL2671&amp;"|"&amp;COUNTIF($AL$11:$AL2671,$AL2671))</f>
        <v/>
      </c>
    </row>
    <row r="2672" spans="38:53" ht="15" customHeight="1" x14ac:dyDescent="0.25">
      <c r="AL2672" s="31"/>
      <c r="AM2672" s="26"/>
      <c r="AN2672" s="32"/>
      <c r="AO2672" s="32"/>
      <c r="AP2672" s="24"/>
      <c r="AQ2672" s="24"/>
      <c r="AR2672" s="33"/>
      <c r="AS2672" s="34"/>
      <c r="AT2672" s="33"/>
      <c r="AV2672" s="21">
        <f>IF(AND($AL2672&lt;&gt;"",COUNTIF($AL$11:$AL2672,$AL2672)=1),1,0)</f>
        <v>0</v>
      </c>
      <c r="AW2672" s="21">
        <f t="shared" si="169"/>
        <v>2</v>
      </c>
      <c r="AX2672" s="21" t="str">
        <f t="shared" si="168"/>
        <v/>
      </c>
      <c r="AY2672" s="21" t="str">
        <f>IF(AND($AM2672&lt;&gt;"",$AS2672&lt;&gt;"✓"),SUMPRODUCT(($AM$11:$AM2672&lt;&gt;"")*($AS$11:$AS2672&lt;&gt;"✓")),"")</f>
        <v/>
      </c>
      <c r="AZ2672" s="21" t="str">
        <f>IF(AND($AM2672&lt;&gt;"",$AS2672="✓"),SUMPRODUCT(($AM$11:$AM2672&lt;&gt;"")*($AS$11:$AS2672="✓")),"")</f>
        <v/>
      </c>
      <c r="BA2672" s="21" t="str">
        <f>IF($AL2672="","",$AL2672&amp;"|"&amp;COUNTIF($AL$11:$AL2672,$AL2672))</f>
        <v/>
      </c>
    </row>
    <row r="2673" spans="38:53" ht="15" customHeight="1" x14ac:dyDescent="0.25">
      <c r="AL2673" s="17"/>
      <c r="AM2673" s="12"/>
      <c r="AN2673" s="18"/>
      <c r="AO2673" s="18"/>
      <c r="AP2673" s="10"/>
      <c r="AQ2673" s="10"/>
      <c r="AR2673" s="19"/>
      <c r="AS2673" s="20"/>
      <c r="AT2673" s="19"/>
      <c r="AV2673" s="21">
        <f>IF(AND($AL2673&lt;&gt;"",COUNTIF($AL$11:$AL2673,$AL2673)=1),1,0)</f>
        <v>0</v>
      </c>
      <c r="AW2673" s="21">
        <f t="shared" si="169"/>
        <v>2</v>
      </c>
      <c r="AX2673" s="21" t="str">
        <f t="shared" si="168"/>
        <v/>
      </c>
      <c r="AY2673" s="21" t="str">
        <f>IF(AND($AM2673&lt;&gt;"",$AS2673&lt;&gt;"✓"),SUMPRODUCT(($AM$11:$AM2673&lt;&gt;"")*($AS$11:$AS2673&lt;&gt;"✓")),"")</f>
        <v/>
      </c>
      <c r="AZ2673" s="21" t="str">
        <f>IF(AND($AM2673&lt;&gt;"",$AS2673="✓"),SUMPRODUCT(($AM$11:$AM2673&lt;&gt;"")*($AS$11:$AS2673="✓")),"")</f>
        <v/>
      </c>
      <c r="BA2673" s="21" t="str">
        <f>IF($AL2673="","",$AL2673&amp;"|"&amp;COUNTIF($AL$11:$AL2673,$AL2673))</f>
        <v/>
      </c>
    </row>
    <row r="2674" spans="38:53" ht="15" customHeight="1" x14ac:dyDescent="0.25">
      <c r="AL2674" s="31"/>
      <c r="AM2674" s="26"/>
      <c r="AN2674" s="32"/>
      <c r="AO2674" s="32"/>
      <c r="AP2674" s="24"/>
      <c r="AQ2674" s="24"/>
      <c r="AR2674" s="33"/>
      <c r="AS2674" s="34"/>
      <c r="AT2674" s="33"/>
      <c r="AV2674" s="21">
        <f>IF(AND($AL2674&lt;&gt;"",COUNTIF($AL$11:$AL2674,$AL2674)=1),1,0)</f>
        <v>0</v>
      </c>
      <c r="AW2674" s="21">
        <f t="shared" si="169"/>
        <v>2</v>
      </c>
      <c r="AX2674" s="21" t="str">
        <f t="shared" si="168"/>
        <v/>
      </c>
      <c r="AY2674" s="21" t="str">
        <f>IF(AND($AM2674&lt;&gt;"",$AS2674&lt;&gt;"✓"),SUMPRODUCT(($AM$11:$AM2674&lt;&gt;"")*($AS$11:$AS2674&lt;&gt;"✓")),"")</f>
        <v/>
      </c>
      <c r="AZ2674" s="21" t="str">
        <f>IF(AND($AM2674&lt;&gt;"",$AS2674="✓"),SUMPRODUCT(($AM$11:$AM2674&lt;&gt;"")*($AS$11:$AS2674="✓")),"")</f>
        <v/>
      </c>
      <c r="BA2674" s="21" t="str">
        <f>IF($AL2674="","",$AL2674&amp;"|"&amp;COUNTIF($AL$11:$AL2674,$AL2674))</f>
        <v/>
      </c>
    </row>
    <row r="2675" spans="38:53" ht="15" customHeight="1" x14ac:dyDescent="0.25">
      <c r="AL2675" s="17"/>
      <c r="AM2675" s="12"/>
      <c r="AN2675" s="18"/>
      <c r="AO2675" s="18"/>
      <c r="AP2675" s="10"/>
      <c r="AQ2675" s="10"/>
      <c r="AR2675" s="19"/>
      <c r="AS2675" s="20"/>
      <c r="AT2675" s="19"/>
      <c r="AV2675" s="21">
        <f>IF(AND($AL2675&lt;&gt;"",COUNTIF($AL$11:$AL2675,$AL2675)=1),1,0)</f>
        <v>0</v>
      </c>
      <c r="AW2675" s="21">
        <f t="shared" si="169"/>
        <v>2</v>
      </c>
      <c r="AX2675" s="21" t="str">
        <f t="shared" si="168"/>
        <v/>
      </c>
      <c r="AY2675" s="21" t="str">
        <f>IF(AND($AM2675&lt;&gt;"",$AS2675&lt;&gt;"✓"),SUMPRODUCT(($AM$11:$AM2675&lt;&gt;"")*($AS$11:$AS2675&lt;&gt;"✓")),"")</f>
        <v/>
      </c>
      <c r="AZ2675" s="21" t="str">
        <f>IF(AND($AM2675&lt;&gt;"",$AS2675="✓"),SUMPRODUCT(($AM$11:$AM2675&lt;&gt;"")*($AS$11:$AS2675="✓")),"")</f>
        <v/>
      </c>
      <c r="BA2675" s="21" t="str">
        <f>IF($AL2675="","",$AL2675&amp;"|"&amp;COUNTIF($AL$11:$AL2675,$AL2675))</f>
        <v/>
      </c>
    </row>
    <row r="2676" spans="38:53" ht="15" customHeight="1" x14ac:dyDescent="0.25">
      <c r="AL2676" s="31"/>
      <c r="AM2676" s="26"/>
      <c r="AN2676" s="32"/>
      <c r="AO2676" s="32"/>
      <c r="AP2676" s="24"/>
      <c r="AQ2676" s="24"/>
      <c r="AR2676" s="33"/>
      <c r="AS2676" s="34"/>
      <c r="AT2676" s="33"/>
      <c r="AV2676" s="21">
        <f>IF(AND($AL2676&lt;&gt;"",COUNTIF($AL$11:$AL2676,$AL2676)=1),1,0)</f>
        <v>0</v>
      </c>
      <c r="AW2676" s="21">
        <f t="shared" si="169"/>
        <v>2</v>
      </c>
      <c r="AX2676" s="21" t="str">
        <f t="shared" si="168"/>
        <v/>
      </c>
      <c r="AY2676" s="21" t="str">
        <f>IF(AND($AM2676&lt;&gt;"",$AS2676&lt;&gt;"✓"),SUMPRODUCT(($AM$11:$AM2676&lt;&gt;"")*($AS$11:$AS2676&lt;&gt;"✓")),"")</f>
        <v/>
      </c>
      <c r="AZ2676" s="21" t="str">
        <f>IF(AND($AM2676&lt;&gt;"",$AS2676="✓"),SUMPRODUCT(($AM$11:$AM2676&lt;&gt;"")*($AS$11:$AS2676="✓")),"")</f>
        <v/>
      </c>
      <c r="BA2676" s="21" t="str">
        <f>IF($AL2676="","",$AL2676&amp;"|"&amp;COUNTIF($AL$11:$AL2676,$AL2676))</f>
        <v/>
      </c>
    </row>
    <row r="2677" spans="38:53" ht="15" customHeight="1" x14ac:dyDescent="0.25">
      <c r="AL2677" s="17"/>
      <c r="AM2677" s="12"/>
      <c r="AN2677" s="18"/>
      <c r="AO2677" s="18"/>
      <c r="AP2677" s="10"/>
      <c r="AQ2677" s="10"/>
      <c r="AR2677" s="19"/>
      <c r="AS2677" s="20"/>
      <c r="AT2677" s="19"/>
      <c r="AV2677" s="21">
        <f>IF(AND($AL2677&lt;&gt;"",COUNTIF($AL$11:$AL2677,$AL2677)=1),1,0)</f>
        <v>0</v>
      </c>
      <c r="AW2677" s="21">
        <f t="shared" si="169"/>
        <v>2</v>
      </c>
      <c r="AX2677" s="21" t="str">
        <f t="shared" si="168"/>
        <v/>
      </c>
      <c r="AY2677" s="21" t="str">
        <f>IF(AND($AM2677&lt;&gt;"",$AS2677&lt;&gt;"✓"),SUMPRODUCT(($AM$11:$AM2677&lt;&gt;"")*($AS$11:$AS2677&lt;&gt;"✓")),"")</f>
        <v/>
      </c>
      <c r="AZ2677" s="21" t="str">
        <f>IF(AND($AM2677&lt;&gt;"",$AS2677="✓"),SUMPRODUCT(($AM$11:$AM2677&lt;&gt;"")*($AS$11:$AS2677="✓")),"")</f>
        <v/>
      </c>
      <c r="BA2677" s="21" t="str">
        <f>IF($AL2677="","",$AL2677&amp;"|"&amp;COUNTIF($AL$11:$AL2677,$AL2677))</f>
        <v/>
      </c>
    </row>
    <row r="2678" spans="38:53" ht="15" customHeight="1" x14ac:dyDescent="0.25">
      <c r="AL2678" s="31"/>
      <c r="AM2678" s="26"/>
      <c r="AN2678" s="32"/>
      <c r="AO2678" s="32"/>
      <c r="AP2678" s="24"/>
      <c r="AQ2678" s="24"/>
      <c r="AR2678" s="33"/>
      <c r="AS2678" s="34"/>
      <c r="AT2678" s="33"/>
      <c r="AV2678" s="21">
        <f>IF(AND($AL2678&lt;&gt;"",COUNTIF($AL$11:$AL2678,$AL2678)=1),1,0)</f>
        <v>0</v>
      </c>
      <c r="AW2678" s="21">
        <f t="shared" si="169"/>
        <v>2</v>
      </c>
      <c r="AX2678" s="21" t="str">
        <f t="shared" si="168"/>
        <v/>
      </c>
      <c r="AY2678" s="21" t="str">
        <f>IF(AND($AM2678&lt;&gt;"",$AS2678&lt;&gt;"✓"),SUMPRODUCT(($AM$11:$AM2678&lt;&gt;"")*($AS$11:$AS2678&lt;&gt;"✓")),"")</f>
        <v/>
      </c>
      <c r="AZ2678" s="21" t="str">
        <f>IF(AND($AM2678&lt;&gt;"",$AS2678="✓"),SUMPRODUCT(($AM$11:$AM2678&lt;&gt;"")*($AS$11:$AS2678="✓")),"")</f>
        <v/>
      </c>
      <c r="BA2678" s="21" t="str">
        <f>IF($AL2678="","",$AL2678&amp;"|"&amp;COUNTIF($AL$11:$AL2678,$AL2678))</f>
        <v/>
      </c>
    </row>
    <row r="2679" spans="38:53" ht="15" customHeight="1" x14ac:dyDescent="0.25">
      <c r="AL2679" s="17"/>
      <c r="AM2679" s="12"/>
      <c r="AN2679" s="18"/>
      <c r="AO2679" s="18"/>
      <c r="AP2679" s="10"/>
      <c r="AQ2679" s="10"/>
      <c r="AR2679" s="19"/>
      <c r="AS2679" s="20"/>
      <c r="AT2679" s="19"/>
      <c r="AV2679" s="21">
        <f>IF(AND($AL2679&lt;&gt;"",COUNTIF($AL$11:$AL2679,$AL2679)=1),1,0)</f>
        <v>0</v>
      </c>
      <c r="AW2679" s="21">
        <f t="shared" si="169"/>
        <v>2</v>
      </c>
      <c r="AX2679" s="21" t="str">
        <f t="shared" si="168"/>
        <v/>
      </c>
      <c r="AY2679" s="21" t="str">
        <f>IF(AND($AM2679&lt;&gt;"",$AS2679&lt;&gt;"✓"),SUMPRODUCT(($AM$11:$AM2679&lt;&gt;"")*($AS$11:$AS2679&lt;&gt;"✓")),"")</f>
        <v/>
      </c>
      <c r="AZ2679" s="21" t="str">
        <f>IF(AND($AM2679&lt;&gt;"",$AS2679="✓"),SUMPRODUCT(($AM$11:$AM2679&lt;&gt;"")*($AS$11:$AS2679="✓")),"")</f>
        <v/>
      </c>
      <c r="BA2679" s="21" t="str">
        <f>IF($AL2679="","",$AL2679&amp;"|"&amp;COUNTIF($AL$11:$AL2679,$AL2679))</f>
        <v/>
      </c>
    </row>
    <row r="2680" spans="38:53" ht="15" customHeight="1" x14ac:dyDescent="0.25">
      <c r="AL2680" s="31"/>
      <c r="AM2680" s="26"/>
      <c r="AN2680" s="32"/>
      <c r="AO2680" s="32"/>
      <c r="AP2680" s="24"/>
      <c r="AQ2680" s="24"/>
      <c r="AR2680" s="33"/>
      <c r="AS2680" s="34"/>
      <c r="AT2680" s="33"/>
      <c r="AV2680" s="21">
        <f>IF(AND($AL2680&lt;&gt;"",COUNTIF($AL$11:$AL2680,$AL2680)=1),1,0)</f>
        <v>0</v>
      </c>
      <c r="AW2680" s="21">
        <f t="shared" si="169"/>
        <v>2</v>
      </c>
      <c r="AX2680" s="21" t="str">
        <f t="shared" si="168"/>
        <v/>
      </c>
      <c r="AY2680" s="21" t="str">
        <f>IF(AND($AM2680&lt;&gt;"",$AS2680&lt;&gt;"✓"),SUMPRODUCT(($AM$11:$AM2680&lt;&gt;"")*($AS$11:$AS2680&lt;&gt;"✓")),"")</f>
        <v/>
      </c>
      <c r="AZ2680" s="21" t="str">
        <f>IF(AND($AM2680&lt;&gt;"",$AS2680="✓"),SUMPRODUCT(($AM$11:$AM2680&lt;&gt;"")*($AS$11:$AS2680="✓")),"")</f>
        <v/>
      </c>
      <c r="BA2680" s="21" t="str">
        <f>IF($AL2680="","",$AL2680&amp;"|"&amp;COUNTIF($AL$11:$AL2680,$AL2680))</f>
        <v/>
      </c>
    </row>
    <row r="2681" spans="38:53" ht="15" customHeight="1" x14ac:dyDescent="0.25">
      <c r="AL2681" s="17"/>
      <c r="AM2681" s="12"/>
      <c r="AN2681" s="18"/>
      <c r="AO2681" s="18"/>
      <c r="AP2681" s="10"/>
      <c r="AQ2681" s="10"/>
      <c r="AR2681" s="19"/>
      <c r="AS2681" s="20"/>
      <c r="AT2681" s="19"/>
      <c r="AV2681" s="21">
        <f>IF(AND($AL2681&lt;&gt;"",COUNTIF($AL$11:$AL2681,$AL2681)=1),1,0)</f>
        <v>0</v>
      </c>
      <c r="AW2681" s="21">
        <f t="shared" si="169"/>
        <v>2</v>
      </c>
      <c r="AX2681" s="21" t="str">
        <f t="shared" si="168"/>
        <v/>
      </c>
      <c r="AY2681" s="21" t="str">
        <f>IF(AND($AM2681&lt;&gt;"",$AS2681&lt;&gt;"✓"),SUMPRODUCT(($AM$11:$AM2681&lt;&gt;"")*($AS$11:$AS2681&lt;&gt;"✓")),"")</f>
        <v/>
      </c>
      <c r="AZ2681" s="21" t="str">
        <f>IF(AND($AM2681&lt;&gt;"",$AS2681="✓"),SUMPRODUCT(($AM$11:$AM2681&lt;&gt;"")*($AS$11:$AS2681="✓")),"")</f>
        <v/>
      </c>
      <c r="BA2681" s="21" t="str">
        <f>IF($AL2681="","",$AL2681&amp;"|"&amp;COUNTIF($AL$11:$AL2681,$AL2681))</f>
        <v/>
      </c>
    </row>
    <row r="2682" spans="38:53" ht="15" customHeight="1" x14ac:dyDescent="0.25">
      <c r="AL2682" s="31"/>
      <c r="AM2682" s="26"/>
      <c r="AN2682" s="32"/>
      <c r="AO2682" s="32"/>
      <c r="AP2682" s="24"/>
      <c r="AQ2682" s="24"/>
      <c r="AR2682" s="33"/>
      <c r="AS2682" s="34"/>
      <c r="AT2682" s="33"/>
      <c r="AV2682" s="21">
        <f>IF(AND($AL2682&lt;&gt;"",COUNTIF($AL$11:$AL2682,$AL2682)=1),1,0)</f>
        <v>0</v>
      </c>
      <c r="AW2682" s="21">
        <f t="shared" si="169"/>
        <v>2</v>
      </c>
      <c r="AX2682" s="21" t="str">
        <f t="shared" si="168"/>
        <v/>
      </c>
      <c r="AY2682" s="21" t="str">
        <f>IF(AND($AM2682&lt;&gt;"",$AS2682&lt;&gt;"✓"),SUMPRODUCT(($AM$11:$AM2682&lt;&gt;"")*($AS$11:$AS2682&lt;&gt;"✓")),"")</f>
        <v/>
      </c>
      <c r="AZ2682" s="21" t="str">
        <f>IF(AND($AM2682&lt;&gt;"",$AS2682="✓"),SUMPRODUCT(($AM$11:$AM2682&lt;&gt;"")*($AS$11:$AS2682="✓")),"")</f>
        <v/>
      </c>
      <c r="BA2682" s="21" t="str">
        <f>IF($AL2682="","",$AL2682&amp;"|"&amp;COUNTIF($AL$11:$AL2682,$AL2682))</f>
        <v/>
      </c>
    </row>
    <row r="2683" spans="38:53" ht="15" customHeight="1" x14ac:dyDescent="0.25">
      <c r="AL2683" s="17"/>
      <c r="AM2683" s="12"/>
      <c r="AN2683" s="18"/>
      <c r="AO2683" s="18"/>
      <c r="AP2683" s="10"/>
      <c r="AQ2683" s="10"/>
      <c r="AR2683" s="19"/>
      <c r="AS2683" s="20"/>
      <c r="AT2683" s="19"/>
      <c r="AV2683" s="21">
        <f>IF(AND($AL2683&lt;&gt;"",COUNTIF($AL$11:$AL2683,$AL2683)=1),1,0)</f>
        <v>0</v>
      </c>
      <c r="AW2683" s="21">
        <f t="shared" si="169"/>
        <v>2</v>
      </c>
      <c r="AX2683" s="21" t="str">
        <f t="shared" si="168"/>
        <v/>
      </c>
      <c r="AY2683" s="21" t="str">
        <f>IF(AND($AM2683&lt;&gt;"",$AS2683&lt;&gt;"✓"),SUMPRODUCT(($AM$11:$AM2683&lt;&gt;"")*($AS$11:$AS2683&lt;&gt;"✓")),"")</f>
        <v/>
      </c>
      <c r="AZ2683" s="21" t="str">
        <f>IF(AND($AM2683&lt;&gt;"",$AS2683="✓"),SUMPRODUCT(($AM$11:$AM2683&lt;&gt;"")*($AS$11:$AS2683="✓")),"")</f>
        <v/>
      </c>
      <c r="BA2683" s="21" t="str">
        <f>IF($AL2683="","",$AL2683&amp;"|"&amp;COUNTIF($AL$11:$AL2683,$AL2683))</f>
        <v/>
      </c>
    </row>
    <row r="2684" spans="38:53" ht="15" customHeight="1" x14ac:dyDescent="0.25">
      <c r="AL2684" s="31"/>
      <c r="AM2684" s="26"/>
      <c r="AN2684" s="32"/>
      <c r="AO2684" s="32"/>
      <c r="AP2684" s="24"/>
      <c r="AQ2684" s="24"/>
      <c r="AR2684" s="33"/>
      <c r="AS2684" s="34"/>
      <c r="AT2684" s="33"/>
      <c r="AV2684" s="21">
        <f>IF(AND($AL2684&lt;&gt;"",COUNTIF($AL$11:$AL2684,$AL2684)=1),1,0)</f>
        <v>0</v>
      </c>
      <c r="AW2684" s="21">
        <f t="shared" si="169"/>
        <v>2</v>
      </c>
      <c r="AX2684" s="21" t="str">
        <f t="shared" si="168"/>
        <v/>
      </c>
      <c r="AY2684" s="21" t="str">
        <f>IF(AND($AM2684&lt;&gt;"",$AS2684&lt;&gt;"✓"),SUMPRODUCT(($AM$11:$AM2684&lt;&gt;"")*($AS$11:$AS2684&lt;&gt;"✓")),"")</f>
        <v/>
      </c>
      <c r="AZ2684" s="21" t="str">
        <f>IF(AND($AM2684&lt;&gt;"",$AS2684="✓"),SUMPRODUCT(($AM$11:$AM2684&lt;&gt;"")*($AS$11:$AS2684="✓")),"")</f>
        <v/>
      </c>
      <c r="BA2684" s="21" t="str">
        <f>IF($AL2684="","",$AL2684&amp;"|"&amp;COUNTIF($AL$11:$AL2684,$AL2684))</f>
        <v/>
      </c>
    </row>
    <row r="2685" spans="38:53" ht="15" customHeight="1" x14ac:dyDescent="0.25">
      <c r="AL2685" s="17"/>
      <c r="AM2685" s="12"/>
      <c r="AN2685" s="18"/>
      <c r="AO2685" s="18"/>
      <c r="AP2685" s="10"/>
      <c r="AQ2685" s="10"/>
      <c r="AR2685" s="19"/>
      <c r="AS2685" s="20"/>
      <c r="AT2685" s="19"/>
      <c r="AV2685" s="21">
        <f>IF(AND($AL2685&lt;&gt;"",COUNTIF($AL$11:$AL2685,$AL2685)=1),1,0)</f>
        <v>0</v>
      </c>
      <c r="AW2685" s="21">
        <f t="shared" si="169"/>
        <v>2</v>
      </c>
      <c r="AX2685" s="21" t="str">
        <f t="shared" si="168"/>
        <v/>
      </c>
      <c r="AY2685" s="21" t="str">
        <f>IF(AND($AM2685&lt;&gt;"",$AS2685&lt;&gt;"✓"),SUMPRODUCT(($AM$11:$AM2685&lt;&gt;"")*($AS$11:$AS2685&lt;&gt;"✓")),"")</f>
        <v/>
      </c>
      <c r="AZ2685" s="21" t="str">
        <f>IF(AND($AM2685&lt;&gt;"",$AS2685="✓"),SUMPRODUCT(($AM$11:$AM2685&lt;&gt;"")*($AS$11:$AS2685="✓")),"")</f>
        <v/>
      </c>
      <c r="BA2685" s="21" t="str">
        <f>IF($AL2685="","",$AL2685&amp;"|"&amp;COUNTIF($AL$11:$AL2685,$AL2685))</f>
        <v/>
      </c>
    </row>
    <row r="2686" spans="38:53" ht="15" customHeight="1" x14ac:dyDescent="0.25">
      <c r="AL2686" s="31"/>
      <c r="AM2686" s="26"/>
      <c r="AN2686" s="32"/>
      <c r="AO2686" s="32"/>
      <c r="AP2686" s="24"/>
      <c r="AQ2686" s="24"/>
      <c r="AR2686" s="33"/>
      <c r="AS2686" s="34"/>
      <c r="AT2686" s="33"/>
      <c r="AV2686" s="21">
        <f>IF(AND($AL2686&lt;&gt;"",COUNTIF($AL$11:$AL2686,$AL2686)=1),1,0)</f>
        <v>0</v>
      </c>
      <c r="AW2686" s="21">
        <f t="shared" si="169"/>
        <v>2</v>
      </c>
      <c r="AX2686" s="21" t="str">
        <f t="shared" si="168"/>
        <v/>
      </c>
      <c r="AY2686" s="21" t="str">
        <f>IF(AND($AM2686&lt;&gt;"",$AS2686&lt;&gt;"✓"),SUMPRODUCT(($AM$11:$AM2686&lt;&gt;"")*($AS$11:$AS2686&lt;&gt;"✓")),"")</f>
        <v/>
      </c>
      <c r="AZ2686" s="21" t="str">
        <f>IF(AND($AM2686&lt;&gt;"",$AS2686="✓"),SUMPRODUCT(($AM$11:$AM2686&lt;&gt;"")*($AS$11:$AS2686="✓")),"")</f>
        <v/>
      </c>
      <c r="BA2686" s="21" t="str">
        <f>IF($AL2686="","",$AL2686&amp;"|"&amp;COUNTIF($AL$11:$AL2686,$AL2686))</f>
        <v/>
      </c>
    </row>
    <row r="2687" spans="38:53" ht="15" customHeight="1" x14ac:dyDescent="0.25">
      <c r="AL2687" s="17"/>
      <c r="AM2687" s="12"/>
      <c r="AN2687" s="18"/>
      <c r="AO2687" s="18"/>
      <c r="AP2687" s="10"/>
      <c r="AQ2687" s="10"/>
      <c r="AR2687" s="19"/>
      <c r="AS2687" s="20"/>
      <c r="AT2687" s="19"/>
      <c r="AV2687" s="21">
        <f>IF(AND($AL2687&lt;&gt;"",COUNTIF($AL$11:$AL2687,$AL2687)=1),1,0)</f>
        <v>0</v>
      </c>
      <c r="AW2687" s="21">
        <f t="shared" si="169"/>
        <v>2</v>
      </c>
      <c r="AX2687" s="21" t="str">
        <f t="shared" si="168"/>
        <v/>
      </c>
      <c r="AY2687" s="21" t="str">
        <f>IF(AND($AM2687&lt;&gt;"",$AS2687&lt;&gt;"✓"),SUMPRODUCT(($AM$11:$AM2687&lt;&gt;"")*($AS$11:$AS2687&lt;&gt;"✓")),"")</f>
        <v/>
      </c>
      <c r="AZ2687" s="21" t="str">
        <f>IF(AND($AM2687&lt;&gt;"",$AS2687="✓"),SUMPRODUCT(($AM$11:$AM2687&lt;&gt;"")*($AS$11:$AS2687="✓")),"")</f>
        <v/>
      </c>
      <c r="BA2687" s="21" t="str">
        <f>IF($AL2687="","",$AL2687&amp;"|"&amp;COUNTIF($AL$11:$AL2687,$AL2687))</f>
        <v/>
      </c>
    </row>
    <row r="2688" spans="38:53" ht="15" customHeight="1" x14ac:dyDescent="0.25">
      <c r="AL2688" s="31"/>
      <c r="AM2688" s="26"/>
      <c r="AN2688" s="32"/>
      <c r="AO2688" s="32"/>
      <c r="AP2688" s="24"/>
      <c r="AQ2688" s="24"/>
      <c r="AR2688" s="33"/>
      <c r="AS2688" s="34"/>
      <c r="AT2688" s="33"/>
      <c r="AV2688" s="21">
        <f>IF(AND($AL2688&lt;&gt;"",COUNTIF($AL$11:$AL2688,$AL2688)=1),1,0)</f>
        <v>0</v>
      </c>
      <c r="AW2688" s="21">
        <f t="shared" si="169"/>
        <v>2</v>
      </c>
      <c r="AX2688" s="21" t="str">
        <f t="shared" si="168"/>
        <v/>
      </c>
      <c r="AY2688" s="21" t="str">
        <f>IF(AND($AM2688&lt;&gt;"",$AS2688&lt;&gt;"✓"),SUMPRODUCT(($AM$11:$AM2688&lt;&gt;"")*($AS$11:$AS2688&lt;&gt;"✓")),"")</f>
        <v/>
      </c>
      <c r="AZ2688" s="21" t="str">
        <f>IF(AND($AM2688&lt;&gt;"",$AS2688="✓"),SUMPRODUCT(($AM$11:$AM2688&lt;&gt;"")*($AS$11:$AS2688="✓")),"")</f>
        <v/>
      </c>
      <c r="BA2688" s="21" t="str">
        <f>IF($AL2688="","",$AL2688&amp;"|"&amp;COUNTIF($AL$11:$AL2688,$AL2688))</f>
        <v/>
      </c>
    </row>
    <row r="2689" spans="38:53" ht="15" customHeight="1" x14ac:dyDescent="0.25">
      <c r="AL2689" s="17"/>
      <c r="AM2689" s="12"/>
      <c r="AN2689" s="18"/>
      <c r="AO2689" s="18"/>
      <c r="AP2689" s="10"/>
      <c r="AQ2689" s="10"/>
      <c r="AR2689" s="19"/>
      <c r="AS2689" s="20"/>
      <c r="AT2689" s="19"/>
      <c r="AV2689" s="21">
        <f>IF(AND($AL2689&lt;&gt;"",COUNTIF($AL$11:$AL2689,$AL2689)=1),1,0)</f>
        <v>0</v>
      </c>
      <c r="AW2689" s="21">
        <f t="shared" si="169"/>
        <v>2</v>
      </c>
      <c r="AX2689" s="21" t="str">
        <f t="shared" si="168"/>
        <v/>
      </c>
      <c r="AY2689" s="21" t="str">
        <f>IF(AND($AM2689&lt;&gt;"",$AS2689&lt;&gt;"✓"),SUMPRODUCT(($AM$11:$AM2689&lt;&gt;"")*($AS$11:$AS2689&lt;&gt;"✓")),"")</f>
        <v/>
      </c>
      <c r="AZ2689" s="21" t="str">
        <f>IF(AND($AM2689&lt;&gt;"",$AS2689="✓"),SUMPRODUCT(($AM$11:$AM2689&lt;&gt;"")*($AS$11:$AS2689="✓")),"")</f>
        <v/>
      </c>
      <c r="BA2689" s="21" t="str">
        <f>IF($AL2689="","",$AL2689&amp;"|"&amp;COUNTIF($AL$11:$AL2689,$AL2689))</f>
        <v/>
      </c>
    </row>
    <row r="2690" spans="38:53" ht="15" customHeight="1" x14ac:dyDescent="0.25">
      <c r="AL2690" s="31"/>
      <c r="AM2690" s="26"/>
      <c r="AN2690" s="32"/>
      <c r="AO2690" s="32"/>
      <c r="AP2690" s="24"/>
      <c r="AQ2690" s="24"/>
      <c r="AR2690" s="33"/>
      <c r="AS2690" s="34"/>
      <c r="AT2690" s="33"/>
      <c r="AV2690" s="21">
        <f>IF(AND($AL2690&lt;&gt;"",COUNTIF($AL$11:$AL2690,$AL2690)=1),1,0)</f>
        <v>0</v>
      </c>
      <c r="AW2690" s="21">
        <f t="shared" si="169"/>
        <v>2</v>
      </c>
      <c r="AX2690" s="21" t="str">
        <f t="shared" si="168"/>
        <v/>
      </c>
      <c r="AY2690" s="21" t="str">
        <f>IF(AND($AM2690&lt;&gt;"",$AS2690&lt;&gt;"✓"),SUMPRODUCT(($AM$11:$AM2690&lt;&gt;"")*($AS$11:$AS2690&lt;&gt;"✓")),"")</f>
        <v/>
      </c>
      <c r="AZ2690" s="21" t="str">
        <f>IF(AND($AM2690&lt;&gt;"",$AS2690="✓"),SUMPRODUCT(($AM$11:$AM2690&lt;&gt;"")*($AS$11:$AS2690="✓")),"")</f>
        <v/>
      </c>
      <c r="BA2690" s="21" t="str">
        <f>IF($AL2690="","",$AL2690&amp;"|"&amp;COUNTIF($AL$11:$AL2690,$AL2690))</f>
        <v/>
      </c>
    </row>
    <row r="2691" spans="38:53" ht="15" customHeight="1" x14ac:dyDescent="0.25">
      <c r="AL2691" s="17"/>
      <c r="AM2691" s="12"/>
      <c r="AN2691" s="18"/>
      <c r="AO2691" s="18"/>
      <c r="AP2691" s="10"/>
      <c r="AQ2691" s="10"/>
      <c r="AR2691" s="19"/>
      <c r="AS2691" s="20"/>
      <c r="AT2691" s="19"/>
      <c r="AV2691" s="21">
        <f>IF(AND($AL2691&lt;&gt;"",COUNTIF($AL$11:$AL2691,$AL2691)=1),1,0)</f>
        <v>0</v>
      </c>
      <c r="AW2691" s="21">
        <f t="shared" si="169"/>
        <v>2</v>
      </c>
      <c r="AX2691" s="21" t="str">
        <f t="shared" si="168"/>
        <v/>
      </c>
      <c r="AY2691" s="21" t="str">
        <f>IF(AND($AM2691&lt;&gt;"",$AS2691&lt;&gt;"✓"),SUMPRODUCT(($AM$11:$AM2691&lt;&gt;"")*($AS$11:$AS2691&lt;&gt;"✓")),"")</f>
        <v/>
      </c>
      <c r="AZ2691" s="21" t="str">
        <f>IF(AND($AM2691&lt;&gt;"",$AS2691="✓"),SUMPRODUCT(($AM$11:$AM2691&lt;&gt;"")*($AS$11:$AS2691="✓")),"")</f>
        <v/>
      </c>
      <c r="BA2691" s="21" t="str">
        <f>IF($AL2691="","",$AL2691&amp;"|"&amp;COUNTIF($AL$11:$AL2691,$AL2691))</f>
        <v/>
      </c>
    </row>
    <row r="2692" spans="38:53" ht="15" customHeight="1" x14ac:dyDescent="0.25">
      <c r="AL2692" s="31"/>
      <c r="AM2692" s="26"/>
      <c r="AN2692" s="32"/>
      <c r="AO2692" s="32"/>
      <c r="AP2692" s="24"/>
      <c r="AQ2692" s="24"/>
      <c r="AR2692" s="33"/>
      <c r="AS2692" s="34"/>
      <c r="AT2692" s="33"/>
      <c r="AV2692" s="21">
        <f>IF(AND($AL2692&lt;&gt;"",COUNTIF($AL$11:$AL2692,$AL2692)=1),1,0)</f>
        <v>0</v>
      </c>
      <c r="AW2692" s="21">
        <f t="shared" si="169"/>
        <v>2</v>
      </c>
      <c r="AX2692" s="21" t="str">
        <f t="shared" si="168"/>
        <v/>
      </c>
      <c r="AY2692" s="21" t="str">
        <f>IF(AND($AM2692&lt;&gt;"",$AS2692&lt;&gt;"✓"),SUMPRODUCT(($AM$11:$AM2692&lt;&gt;"")*($AS$11:$AS2692&lt;&gt;"✓")),"")</f>
        <v/>
      </c>
      <c r="AZ2692" s="21" t="str">
        <f>IF(AND($AM2692&lt;&gt;"",$AS2692="✓"),SUMPRODUCT(($AM$11:$AM2692&lt;&gt;"")*($AS$11:$AS2692="✓")),"")</f>
        <v/>
      </c>
      <c r="BA2692" s="21" t="str">
        <f>IF($AL2692="","",$AL2692&amp;"|"&amp;COUNTIF($AL$11:$AL2692,$AL2692))</f>
        <v/>
      </c>
    </row>
    <row r="2693" spans="38:53" ht="15" customHeight="1" x14ac:dyDescent="0.25">
      <c r="AL2693" s="17"/>
      <c r="AM2693" s="12"/>
      <c r="AN2693" s="18"/>
      <c r="AO2693" s="18"/>
      <c r="AP2693" s="10"/>
      <c r="AQ2693" s="10"/>
      <c r="AR2693" s="19"/>
      <c r="AS2693" s="20"/>
      <c r="AT2693" s="19"/>
      <c r="AV2693" s="21">
        <f>IF(AND($AL2693&lt;&gt;"",COUNTIF($AL$11:$AL2693,$AL2693)=1),1,0)</f>
        <v>0</v>
      </c>
      <c r="AW2693" s="21">
        <f t="shared" si="169"/>
        <v>2</v>
      </c>
      <c r="AX2693" s="21" t="str">
        <f t="shared" si="168"/>
        <v/>
      </c>
      <c r="AY2693" s="21" t="str">
        <f>IF(AND($AM2693&lt;&gt;"",$AS2693&lt;&gt;"✓"),SUMPRODUCT(($AM$11:$AM2693&lt;&gt;"")*($AS$11:$AS2693&lt;&gt;"✓")),"")</f>
        <v/>
      </c>
      <c r="AZ2693" s="21" t="str">
        <f>IF(AND($AM2693&lt;&gt;"",$AS2693="✓"),SUMPRODUCT(($AM$11:$AM2693&lt;&gt;"")*($AS$11:$AS2693="✓")),"")</f>
        <v/>
      </c>
      <c r="BA2693" s="21" t="str">
        <f>IF($AL2693="","",$AL2693&amp;"|"&amp;COUNTIF($AL$11:$AL2693,$AL2693))</f>
        <v/>
      </c>
    </row>
    <row r="2694" spans="38:53" ht="15" customHeight="1" x14ac:dyDescent="0.25">
      <c r="AL2694" s="31"/>
      <c r="AM2694" s="26"/>
      <c r="AN2694" s="32"/>
      <c r="AO2694" s="32"/>
      <c r="AP2694" s="24"/>
      <c r="AQ2694" s="24"/>
      <c r="AR2694" s="33"/>
      <c r="AS2694" s="34"/>
      <c r="AT2694" s="33"/>
      <c r="AV2694" s="21">
        <f>IF(AND($AL2694&lt;&gt;"",COUNTIF($AL$11:$AL2694,$AL2694)=1),1,0)</f>
        <v>0</v>
      </c>
      <c r="AW2694" s="21">
        <f t="shared" si="169"/>
        <v>2</v>
      </c>
      <c r="AX2694" s="21" t="str">
        <f t="shared" si="168"/>
        <v/>
      </c>
      <c r="AY2694" s="21" t="str">
        <f>IF(AND($AM2694&lt;&gt;"",$AS2694&lt;&gt;"✓"),SUMPRODUCT(($AM$11:$AM2694&lt;&gt;"")*($AS$11:$AS2694&lt;&gt;"✓")),"")</f>
        <v/>
      </c>
      <c r="AZ2694" s="21" t="str">
        <f>IF(AND($AM2694&lt;&gt;"",$AS2694="✓"),SUMPRODUCT(($AM$11:$AM2694&lt;&gt;"")*($AS$11:$AS2694="✓")),"")</f>
        <v/>
      </c>
      <c r="BA2694" s="21" t="str">
        <f>IF($AL2694="","",$AL2694&amp;"|"&amp;COUNTIF($AL$11:$AL2694,$AL2694))</f>
        <v/>
      </c>
    </row>
    <row r="2695" spans="38:53" ht="15" customHeight="1" x14ac:dyDescent="0.25">
      <c r="AL2695" s="17"/>
      <c r="AM2695" s="12"/>
      <c r="AN2695" s="18"/>
      <c r="AO2695" s="18"/>
      <c r="AP2695" s="10"/>
      <c r="AQ2695" s="10"/>
      <c r="AR2695" s="19"/>
      <c r="AS2695" s="20"/>
      <c r="AT2695" s="19"/>
      <c r="AV2695" s="21">
        <f>IF(AND($AL2695&lt;&gt;"",COUNTIF($AL$11:$AL2695,$AL2695)=1),1,0)</f>
        <v>0</v>
      </c>
      <c r="AW2695" s="21">
        <f t="shared" si="169"/>
        <v>2</v>
      </c>
      <c r="AX2695" s="21" t="str">
        <f t="shared" si="168"/>
        <v/>
      </c>
      <c r="AY2695" s="21" t="str">
        <f>IF(AND($AM2695&lt;&gt;"",$AS2695&lt;&gt;"✓"),SUMPRODUCT(($AM$11:$AM2695&lt;&gt;"")*($AS$11:$AS2695&lt;&gt;"✓")),"")</f>
        <v/>
      </c>
      <c r="AZ2695" s="21" t="str">
        <f>IF(AND($AM2695&lt;&gt;"",$AS2695="✓"),SUMPRODUCT(($AM$11:$AM2695&lt;&gt;"")*($AS$11:$AS2695="✓")),"")</f>
        <v/>
      </c>
      <c r="BA2695" s="21" t="str">
        <f>IF($AL2695="","",$AL2695&amp;"|"&amp;COUNTIF($AL$11:$AL2695,$AL2695))</f>
        <v/>
      </c>
    </row>
    <row r="2696" spans="38:53" ht="15" customHeight="1" x14ac:dyDescent="0.25">
      <c r="AL2696" s="31"/>
      <c r="AM2696" s="26"/>
      <c r="AN2696" s="32"/>
      <c r="AO2696" s="32"/>
      <c r="AP2696" s="24"/>
      <c r="AQ2696" s="24"/>
      <c r="AR2696" s="33"/>
      <c r="AS2696" s="34"/>
      <c r="AT2696" s="33"/>
      <c r="AV2696" s="21">
        <f>IF(AND($AL2696&lt;&gt;"",COUNTIF($AL$11:$AL2696,$AL2696)=1),1,0)</f>
        <v>0</v>
      </c>
      <c r="AW2696" s="21">
        <f t="shared" si="169"/>
        <v>2</v>
      </c>
      <c r="AX2696" s="21" t="str">
        <f t="shared" si="168"/>
        <v/>
      </c>
      <c r="AY2696" s="21" t="str">
        <f>IF(AND($AM2696&lt;&gt;"",$AS2696&lt;&gt;"✓"),SUMPRODUCT(($AM$11:$AM2696&lt;&gt;"")*($AS$11:$AS2696&lt;&gt;"✓")),"")</f>
        <v/>
      </c>
      <c r="AZ2696" s="21" t="str">
        <f>IF(AND($AM2696&lt;&gt;"",$AS2696="✓"),SUMPRODUCT(($AM$11:$AM2696&lt;&gt;"")*($AS$11:$AS2696="✓")),"")</f>
        <v/>
      </c>
      <c r="BA2696" s="21" t="str">
        <f>IF($AL2696="","",$AL2696&amp;"|"&amp;COUNTIF($AL$11:$AL2696,$AL2696))</f>
        <v/>
      </c>
    </row>
    <row r="2697" spans="38:53" ht="15" customHeight="1" x14ac:dyDescent="0.25">
      <c r="AL2697" s="17"/>
      <c r="AM2697" s="12"/>
      <c r="AN2697" s="18"/>
      <c r="AO2697" s="18"/>
      <c r="AP2697" s="10"/>
      <c r="AQ2697" s="10"/>
      <c r="AR2697" s="19"/>
      <c r="AS2697" s="20"/>
      <c r="AT2697" s="19"/>
      <c r="AV2697" s="21">
        <f>IF(AND($AL2697&lt;&gt;"",COUNTIF($AL$11:$AL2697,$AL2697)=1),1,0)</f>
        <v>0</v>
      </c>
      <c r="AW2697" s="21">
        <f t="shared" si="169"/>
        <v>2</v>
      </c>
      <c r="AX2697" s="21" t="str">
        <f t="shared" si="168"/>
        <v/>
      </c>
      <c r="AY2697" s="21" t="str">
        <f>IF(AND($AM2697&lt;&gt;"",$AS2697&lt;&gt;"✓"),SUMPRODUCT(($AM$11:$AM2697&lt;&gt;"")*($AS$11:$AS2697&lt;&gt;"✓")),"")</f>
        <v/>
      </c>
      <c r="AZ2697" s="21" t="str">
        <f>IF(AND($AM2697&lt;&gt;"",$AS2697="✓"),SUMPRODUCT(($AM$11:$AM2697&lt;&gt;"")*($AS$11:$AS2697="✓")),"")</f>
        <v/>
      </c>
      <c r="BA2697" s="21" t="str">
        <f>IF($AL2697="","",$AL2697&amp;"|"&amp;COUNTIF($AL$11:$AL2697,$AL2697))</f>
        <v/>
      </c>
    </row>
    <row r="2698" spans="38:53" ht="15" customHeight="1" x14ac:dyDescent="0.25">
      <c r="AL2698" s="31"/>
      <c r="AM2698" s="26"/>
      <c r="AN2698" s="32"/>
      <c r="AO2698" s="32"/>
      <c r="AP2698" s="24"/>
      <c r="AQ2698" s="24"/>
      <c r="AR2698" s="33"/>
      <c r="AS2698" s="34"/>
      <c r="AT2698" s="33"/>
      <c r="AV2698" s="21">
        <f>IF(AND($AL2698&lt;&gt;"",COUNTIF($AL$11:$AL2698,$AL2698)=1),1,0)</f>
        <v>0</v>
      </c>
      <c r="AW2698" s="21">
        <f t="shared" si="169"/>
        <v>2</v>
      </c>
      <c r="AX2698" s="21" t="str">
        <f t="shared" si="168"/>
        <v/>
      </c>
      <c r="AY2698" s="21" t="str">
        <f>IF(AND($AM2698&lt;&gt;"",$AS2698&lt;&gt;"✓"),SUMPRODUCT(($AM$11:$AM2698&lt;&gt;"")*($AS$11:$AS2698&lt;&gt;"✓")),"")</f>
        <v/>
      </c>
      <c r="AZ2698" s="21" t="str">
        <f>IF(AND($AM2698&lt;&gt;"",$AS2698="✓"),SUMPRODUCT(($AM$11:$AM2698&lt;&gt;"")*($AS$11:$AS2698="✓")),"")</f>
        <v/>
      </c>
      <c r="BA2698" s="21" t="str">
        <f>IF($AL2698="","",$AL2698&amp;"|"&amp;COUNTIF($AL$11:$AL2698,$AL2698))</f>
        <v/>
      </c>
    </row>
    <row r="2699" spans="38:53" ht="15" customHeight="1" x14ac:dyDescent="0.25">
      <c r="AL2699" s="17"/>
      <c r="AM2699" s="12"/>
      <c r="AN2699" s="18"/>
      <c r="AO2699" s="18"/>
      <c r="AP2699" s="10"/>
      <c r="AQ2699" s="10"/>
      <c r="AR2699" s="19"/>
      <c r="AS2699" s="20"/>
      <c r="AT2699" s="19"/>
      <c r="AV2699" s="21">
        <f>IF(AND($AL2699&lt;&gt;"",COUNTIF($AL$11:$AL2699,$AL2699)=1),1,0)</f>
        <v>0</v>
      </c>
      <c r="AW2699" s="21">
        <f t="shared" si="169"/>
        <v>2</v>
      </c>
      <c r="AX2699" s="21" t="str">
        <f t="shared" ref="AX2699:AX2762" si="170">IF(AV2699=1,AW2699,"")</f>
        <v/>
      </c>
      <c r="AY2699" s="21" t="str">
        <f>IF(AND($AM2699&lt;&gt;"",$AS2699&lt;&gt;"✓"),SUMPRODUCT(($AM$11:$AM2699&lt;&gt;"")*($AS$11:$AS2699&lt;&gt;"✓")),"")</f>
        <v/>
      </c>
      <c r="AZ2699" s="21" t="str">
        <f>IF(AND($AM2699&lt;&gt;"",$AS2699="✓"),SUMPRODUCT(($AM$11:$AM2699&lt;&gt;"")*($AS$11:$AS2699="✓")),"")</f>
        <v/>
      </c>
      <c r="BA2699" s="21" t="str">
        <f>IF($AL2699="","",$AL2699&amp;"|"&amp;COUNTIF($AL$11:$AL2699,$AL2699))</f>
        <v/>
      </c>
    </row>
    <row r="2700" spans="38:53" ht="15" customHeight="1" x14ac:dyDescent="0.25">
      <c r="AL2700" s="31"/>
      <c r="AM2700" s="26"/>
      <c r="AN2700" s="32"/>
      <c r="AO2700" s="32"/>
      <c r="AP2700" s="24"/>
      <c r="AQ2700" s="24"/>
      <c r="AR2700" s="33"/>
      <c r="AS2700" s="34"/>
      <c r="AT2700" s="33"/>
      <c r="AV2700" s="21">
        <f>IF(AND($AL2700&lt;&gt;"",COUNTIF($AL$11:$AL2700,$AL2700)=1),1,0)</f>
        <v>0</v>
      </c>
      <c r="AW2700" s="21">
        <f t="shared" ref="AW2700:AW2763" si="171">AW2699+AV2700</f>
        <v>2</v>
      </c>
      <c r="AX2700" s="21" t="str">
        <f t="shared" si="170"/>
        <v/>
      </c>
      <c r="AY2700" s="21" t="str">
        <f>IF(AND($AM2700&lt;&gt;"",$AS2700&lt;&gt;"✓"),SUMPRODUCT(($AM$11:$AM2700&lt;&gt;"")*($AS$11:$AS2700&lt;&gt;"✓")),"")</f>
        <v/>
      </c>
      <c r="AZ2700" s="21" t="str">
        <f>IF(AND($AM2700&lt;&gt;"",$AS2700="✓"),SUMPRODUCT(($AM$11:$AM2700&lt;&gt;"")*($AS$11:$AS2700="✓")),"")</f>
        <v/>
      </c>
      <c r="BA2700" s="21" t="str">
        <f>IF($AL2700="","",$AL2700&amp;"|"&amp;COUNTIF($AL$11:$AL2700,$AL2700))</f>
        <v/>
      </c>
    </row>
    <row r="2701" spans="38:53" ht="15" customHeight="1" x14ac:dyDescent="0.25">
      <c r="AL2701" s="17"/>
      <c r="AM2701" s="12"/>
      <c r="AN2701" s="18"/>
      <c r="AO2701" s="18"/>
      <c r="AP2701" s="10"/>
      <c r="AQ2701" s="10"/>
      <c r="AR2701" s="19"/>
      <c r="AS2701" s="20"/>
      <c r="AT2701" s="19"/>
      <c r="AV2701" s="21">
        <f>IF(AND($AL2701&lt;&gt;"",COUNTIF($AL$11:$AL2701,$AL2701)=1),1,0)</f>
        <v>0</v>
      </c>
      <c r="AW2701" s="21">
        <f t="shared" si="171"/>
        <v>2</v>
      </c>
      <c r="AX2701" s="21" t="str">
        <f t="shared" si="170"/>
        <v/>
      </c>
      <c r="AY2701" s="21" t="str">
        <f>IF(AND($AM2701&lt;&gt;"",$AS2701&lt;&gt;"✓"),SUMPRODUCT(($AM$11:$AM2701&lt;&gt;"")*($AS$11:$AS2701&lt;&gt;"✓")),"")</f>
        <v/>
      </c>
      <c r="AZ2701" s="21" t="str">
        <f>IF(AND($AM2701&lt;&gt;"",$AS2701="✓"),SUMPRODUCT(($AM$11:$AM2701&lt;&gt;"")*($AS$11:$AS2701="✓")),"")</f>
        <v/>
      </c>
      <c r="BA2701" s="21" t="str">
        <f>IF($AL2701="","",$AL2701&amp;"|"&amp;COUNTIF($AL$11:$AL2701,$AL2701))</f>
        <v/>
      </c>
    </row>
    <row r="2702" spans="38:53" ht="15" customHeight="1" x14ac:dyDescent="0.25">
      <c r="AL2702" s="31"/>
      <c r="AM2702" s="26"/>
      <c r="AN2702" s="32"/>
      <c r="AO2702" s="32"/>
      <c r="AP2702" s="24"/>
      <c r="AQ2702" s="24"/>
      <c r="AR2702" s="33"/>
      <c r="AS2702" s="34"/>
      <c r="AT2702" s="33"/>
      <c r="AV2702" s="21">
        <f>IF(AND($AL2702&lt;&gt;"",COUNTIF($AL$11:$AL2702,$AL2702)=1),1,0)</f>
        <v>0</v>
      </c>
      <c r="AW2702" s="21">
        <f t="shared" si="171"/>
        <v>2</v>
      </c>
      <c r="AX2702" s="21" t="str">
        <f t="shared" si="170"/>
        <v/>
      </c>
      <c r="AY2702" s="21" t="str">
        <f>IF(AND($AM2702&lt;&gt;"",$AS2702&lt;&gt;"✓"),SUMPRODUCT(($AM$11:$AM2702&lt;&gt;"")*($AS$11:$AS2702&lt;&gt;"✓")),"")</f>
        <v/>
      </c>
      <c r="AZ2702" s="21" t="str">
        <f>IF(AND($AM2702&lt;&gt;"",$AS2702="✓"),SUMPRODUCT(($AM$11:$AM2702&lt;&gt;"")*($AS$11:$AS2702="✓")),"")</f>
        <v/>
      </c>
      <c r="BA2702" s="21" t="str">
        <f>IF($AL2702="","",$AL2702&amp;"|"&amp;COUNTIF($AL$11:$AL2702,$AL2702))</f>
        <v/>
      </c>
    </row>
    <row r="2703" spans="38:53" ht="15" customHeight="1" x14ac:dyDescent="0.25">
      <c r="AL2703" s="17"/>
      <c r="AM2703" s="12"/>
      <c r="AN2703" s="18"/>
      <c r="AO2703" s="18"/>
      <c r="AP2703" s="10"/>
      <c r="AQ2703" s="10"/>
      <c r="AR2703" s="19"/>
      <c r="AS2703" s="20"/>
      <c r="AT2703" s="19"/>
      <c r="AV2703" s="21">
        <f>IF(AND($AL2703&lt;&gt;"",COUNTIF($AL$11:$AL2703,$AL2703)=1),1,0)</f>
        <v>0</v>
      </c>
      <c r="AW2703" s="21">
        <f t="shared" si="171"/>
        <v>2</v>
      </c>
      <c r="AX2703" s="21" t="str">
        <f t="shared" si="170"/>
        <v/>
      </c>
      <c r="AY2703" s="21" t="str">
        <f>IF(AND($AM2703&lt;&gt;"",$AS2703&lt;&gt;"✓"),SUMPRODUCT(($AM$11:$AM2703&lt;&gt;"")*($AS$11:$AS2703&lt;&gt;"✓")),"")</f>
        <v/>
      </c>
      <c r="AZ2703" s="21" t="str">
        <f>IF(AND($AM2703&lt;&gt;"",$AS2703="✓"),SUMPRODUCT(($AM$11:$AM2703&lt;&gt;"")*($AS$11:$AS2703="✓")),"")</f>
        <v/>
      </c>
      <c r="BA2703" s="21" t="str">
        <f>IF($AL2703="","",$AL2703&amp;"|"&amp;COUNTIF($AL$11:$AL2703,$AL2703))</f>
        <v/>
      </c>
    </row>
    <row r="2704" spans="38:53" ht="15" customHeight="1" x14ac:dyDescent="0.25">
      <c r="AL2704" s="31"/>
      <c r="AM2704" s="26"/>
      <c r="AN2704" s="32"/>
      <c r="AO2704" s="32"/>
      <c r="AP2704" s="24"/>
      <c r="AQ2704" s="24"/>
      <c r="AR2704" s="33"/>
      <c r="AS2704" s="34"/>
      <c r="AT2704" s="33"/>
      <c r="AV2704" s="21">
        <f>IF(AND($AL2704&lt;&gt;"",COUNTIF($AL$11:$AL2704,$AL2704)=1),1,0)</f>
        <v>0</v>
      </c>
      <c r="AW2704" s="21">
        <f t="shared" si="171"/>
        <v>2</v>
      </c>
      <c r="AX2704" s="21" t="str">
        <f t="shared" si="170"/>
        <v/>
      </c>
      <c r="AY2704" s="21" t="str">
        <f>IF(AND($AM2704&lt;&gt;"",$AS2704&lt;&gt;"✓"),SUMPRODUCT(($AM$11:$AM2704&lt;&gt;"")*($AS$11:$AS2704&lt;&gt;"✓")),"")</f>
        <v/>
      </c>
      <c r="AZ2704" s="21" t="str">
        <f>IF(AND($AM2704&lt;&gt;"",$AS2704="✓"),SUMPRODUCT(($AM$11:$AM2704&lt;&gt;"")*($AS$11:$AS2704="✓")),"")</f>
        <v/>
      </c>
      <c r="BA2704" s="21" t="str">
        <f>IF($AL2704="","",$AL2704&amp;"|"&amp;COUNTIF($AL$11:$AL2704,$AL2704))</f>
        <v/>
      </c>
    </row>
    <row r="2705" spans="38:53" ht="15" customHeight="1" x14ac:dyDescent="0.25">
      <c r="AL2705" s="17"/>
      <c r="AM2705" s="12"/>
      <c r="AN2705" s="18"/>
      <c r="AO2705" s="18"/>
      <c r="AP2705" s="10"/>
      <c r="AQ2705" s="10"/>
      <c r="AR2705" s="19"/>
      <c r="AS2705" s="20"/>
      <c r="AT2705" s="19"/>
      <c r="AV2705" s="21">
        <f>IF(AND($AL2705&lt;&gt;"",COUNTIF($AL$11:$AL2705,$AL2705)=1),1,0)</f>
        <v>0</v>
      </c>
      <c r="AW2705" s="21">
        <f t="shared" si="171"/>
        <v>2</v>
      </c>
      <c r="AX2705" s="21" t="str">
        <f t="shared" si="170"/>
        <v/>
      </c>
      <c r="AY2705" s="21" t="str">
        <f>IF(AND($AM2705&lt;&gt;"",$AS2705&lt;&gt;"✓"),SUMPRODUCT(($AM$11:$AM2705&lt;&gt;"")*($AS$11:$AS2705&lt;&gt;"✓")),"")</f>
        <v/>
      </c>
      <c r="AZ2705" s="21" t="str">
        <f>IF(AND($AM2705&lt;&gt;"",$AS2705="✓"),SUMPRODUCT(($AM$11:$AM2705&lt;&gt;"")*($AS$11:$AS2705="✓")),"")</f>
        <v/>
      </c>
      <c r="BA2705" s="21" t="str">
        <f>IF($AL2705="","",$AL2705&amp;"|"&amp;COUNTIF($AL$11:$AL2705,$AL2705))</f>
        <v/>
      </c>
    </row>
    <row r="2706" spans="38:53" ht="15" customHeight="1" x14ac:dyDescent="0.25">
      <c r="AL2706" s="31"/>
      <c r="AM2706" s="26"/>
      <c r="AN2706" s="32"/>
      <c r="AO2706" s="32"/>
      <c r="AP2706" s="24"/>
      <c r="AQ2706" s="24"/>
      <c r="AR2706" s="33"/>
      <c r="AS2706" s="34"/>
      <c r="AT2706" s="33"/>
      <c r="AV2706" s="21">
        <f>IF(AND($AL2706&lt;&gt;"",COUNTIF($AL$11:$AL2706,$AL2706)=1),1,0)</f>
        <v>0</v>
      </c>
      <c r="AW2706" s="21">
        <f t="shared" si="171"/>
        <v>2</v>
      </c>
      <c r="AX2706" s="21" t="str">
        <f t="shared" si="170"/>
        <v/>
      </c>
      <c r="AY2706" s="21" t="str">
        <f>IF(AND($AM2706&lt;&gt;"",$AS2706&lt;&gt;"✓"),SUMPRODUCT(($AM$11:$AM2706&lt;&gt;"")*($AS$11:$AS2706&lt;&gt;"✓")),"")</f>
        <v/>
      </c>
      <c r="AZ2706" s="21" t="str">
        <f>IF(AND($AM2706&lt;&gt;"",$AS2706="✓"),SUMPRODUCT(($AM$11:$AM2706&lt;&gt;"")*($AS$11:$AS2706="✓")),"")</f>
        <v/>
      </c>
      <c r="BA2706" s="21" t="str">
        <f>IF($AL2706="","",$AL2706&amp;"|"&amp;COUNTIF($AL$11:$AL2706,$AL2706))</f>
        <v/>
      </c>
    </row>
    <row r="2707" spans="38:53" ht="15" customHeight="1" x14ac:dyDescent="0.25">
      <c r="AL2707" s="17"/>
      <c r="AM2707" s="12"/>
      <c r="AN2707" s="18"/>
      <c r="AO2707" s="18"/>
      <c r="AP2707" s="10"/>
      <c r="AQ2707" s="10"/>
      <c r="AR2707" s="19"/>
      <c r="AS2707" s="20"/>
      <c r="AT2707" s="19"/>
      <c r="AV2707" s="21">
        <f>IF(AND($AL2707&lt;&gt;"",COUNTIF($AL$11:$AL2707,$AL2707)=1),1,0)</f>
        <v>0</v>
      </c>
      <c r="AW2707" s="21">
        <f t="shared" si="171"/>
        <v>2</v>
      </c>
      <c r="AX2707" s="21" t="str">
        <f t="shared" si="170"/>
        <v/>
      </c>
      <c r="AY2707" s="21" t="str">
        <f>IF(AND($AM2707&lt;&gt;"",$AS2707&lt;&gt;"✓"),SUMPRODUCT(($AM$11:$AM2707&lt;&gt;"")*($AS$11:$AS2707&lt;&gt;"✓")),"")</f>
        <v/>
      </c>
      <c r="AZ2707" s="21" t="str">
        <f>IF(AND($AM2707&lt;&gt;"",$AS2707="✓"),SUMPRODUCT(($AM$11:$AM2707&lt;&gt;"")*($AS$11:$AS2707="✓")),"")</f>
        <v/>
      </c>
      <c r="BA2707" s="21" t="str">
        <f>IF($AL2707="","",$AL2707&amp;"|"&amp;COUNTIF($AL$11:$AL2707,$AL2707))</f>
        <v/>
      </c>
    </row>
    <row r="2708" spans="38:53" ht="15" customHeight="1" x14ac:dyDescent="0.25">
      <c r="AL2708" s="31"/>
      <c r="AM2708" s="26"/>
      <c r="AN2708" s="32"/>
      <c r="AO2708" s="32"/>
      <c r="AP2708" s="24"/>
      <c r="AQ2708" s="24"/>
      <c r="AR2708" s="33"/>
      <c r="AS2708" s="34"/>
      <c r="AT2708" s="33"/>
      <c r="AV2708" s="21">
        <f>IF(AND($AL2708&lt;&gt;"",COUNTIF($AL$11:$AL2708,$AL2708)=1),1,0)</f>
        <v>0</v>
      </c>
      <c r="AW2708" s="21">
        <f t="shared" si="171"/>
        <v>2</v>
      </c>
      <c r="AX2708" s="21" t="str">
        <f t="shared" si="170"/>
        <v/>
      </c>
      <c r="AY2708" s="21" t="str">
        <f>IF(AND($AM2708&lt;&gt;"",$AS2708&lt;&gt;"✓"),SUMPRODUCT(($AM$11:$AM2708&lt;&gt;"")*($AS$11:$AS2708&lt;&gt;"✓")),"")</f>
        <v/>
      </c>
      <c r="AZ2708" s="21" t="str">
        <f>IF(AND($AM2708&lt;&gt;"",$AS2708="✓"),SUMPRODUCT(($AM$11:$AM2708&lt;&gt;"")*($AS$11:$AS2708="✓")),"")</f>
        <v/>
      </c>
      <c r="BA2708" s="21" t="str">
        <f>IF($AL2708="","",$AL2708&amp;"|"&amp;COUNTIF($AL$11:$AL2708,$AL2708))</f>
        <v/>
      </c>
    </row>
    <row r="2709" spans="38:53" ht="15" customHeight="1" x14ac:dyDescent="0.25">
      <c r="AL2709" s="17"/>
      <c r="AM2709" s="12"/>
      <c r="AN2709" s="18"/>
      <c r="AO2709" s="18"/>
      <c r="AP2709" s="10"/>
      <c r="AQ2709" s="10"/>
      <c r="AR2709" s="19"/>
      <c r="AS2709" s="20"/>
      <c r="AT2709" s="19"/>
      <c r="AV2709" s="21">
        <f>IF(AND($AL2709&lt;&gt;"",COUNTIF($AL$11:$AL2709,$AL2709)=1),1,0)</f>
        <v>0</v>
      </c>
      <c r="AW2709" s="21">
        <f t="shared" si="171"/>
        <v>2</v>
      </c>
      <c r="AX2709" s="21" t="str">
        <f t="shared" si="170"/>
        <v/>
      </c>
      <c r="AY2709" s="21" t="str">
        <f>IF(AND($AM2709&lt;&gt;"",$AS2709&lt;&gt;"✓"),SUMPRODUCT(($AM$11:$AM2709&lt;&gt;"")*($AS$11:$AS2709&lt;&gt;"✓")),"")</f>
        <v/>
      </c>
      <c r="AZ2709" s="21" t="str">
        <f>IF(AND($AM2709&lt;&gt;"",$AS2709="✓"),SUMPRODUCT(($AM$11:$AM2709&lt;&gt;"")*($AS$11:$AS2709="✓")),"")</f>
        <v/>
      </c>
      <c r="BA2709" s="21" t="str">
        <f>IF($AL2709="","",$AL2709&amp;"|"&amp;COUNTIF($AL$11:$AL2709,$AL2709))</f>
        <v/>
      </c>
    </row>
    <row r="2710" spans="38:53" ht="15" customHeight="1" x14ac:dyDescent="0.25">
      <c r="AL2710" s="31"/>
      <c r="AM2710" s="26"/>
      <c r="AN2710" s="32"/>
      <c r="AO2710" s="32"/>
      <c r="AP2710" s="24"/>
      <c r="AQ2710" s="24"/>
      <c r="AR2710" s="33"/>
      <c r="AS2710" s="34"/>
      <c r="AT2710" s="33"/>
      <c r="AV2710" s="21">
        <f>IF(AND($AL2710&lt;&gt;"",COUNTIF($AL$11:$AL2710,$AL2710)=1),1,0)</f>
        <v>0</v>
      </c>
      <c r="AW2710" s="21">
        <f t="shared" si="171"/>
        <v>2</v>
      </c>
      <c r="AX2710" s="21" t="str">
        <f t="shared" si="170"/>
        <v/>
      </c>
      <c r="AY2710" s="21" t="str">
        <f>IF(AND($AM2710&lt;&gt;"",$AS2710&lt;&gt;"✓"),SUMPRODUCT(($AM$11:$AM2710&lt;&gt;"")*($AS$11:$AS2710&lt;&gt;"✓")),"")</f>
        <v/>
      </c>
      <c r="AZ2710" s="21" t="str">
        <f>IF(AND($AM2710&lt;&gt;"",$AS2710="✓"),SUMPRODUCT(($AM$11:$AM2710&lt;&gt;"")*($AS$11:$AS2710="✓")),"")</f>
        <v/>
      </c>
      <c r="BA2710" s="21" t="str">
        <f>IF($AL2710="","",$AL2710&amp;"|"&amp;COUNTIF($AL$11:$AL2710,$AL2710))</f>
        <v/>
      </c>
    </row>
    <row r="2711" spans="38:53" ht="15" customHeight="1" x14ac:dyDescent="0.25">
      <c r="AL2711" s="17"/>
      <c r="AM2711" s="12"/>
      <c r="AN2711" s="18"/>
      <c r="AO2711" s="18"/>
      <c r="AP2711" s="10"/>
      <c r="AQ2711" s="10"/>
      <c r="AR2711" s="19"/>
      <c r="AS2711" s="20"/>
      <c r="AT2711" s="19"/>
      <c r="AV2711" s="21">
        <f>IF(AND($AL2711&lt;&gt;"",COUNTIF($AL$11:$AL2711,$AL2711)=1),1,0)</f>
        <v>0</v>
      </c>
      <c r="AW2711" s="21">
        <f t="shared" si="171"/>
        <v>2</v>
      </c>
      <c r="AX2711" s="21" t="str">
        <f t="shared" si="170"/>
        <v/>
      </c>
      <c r="AY2711" s="21" t="str">
        <f>IF(AND($AM2711&lt;&gt;"",$AS2711&lt;&gt;"✓"),SUMPRODUCT(($AM$11:$AM2711&lt;&gt;"")*($AS$11:$AS2711&lt;&gt;"✓")),"")</f>
        <v/>
      </c>
      <c r="AZ2711" s="21" t="str">
        <f>IF(AND($AM2711&lt;&gt;"",$AS2711="✓"),SUMPRODUCT(($AM$11:$AM2711&lt;&gt;"")*($AS$11:$AS2711="✓")),"")</f>
        <v/>
      </c>
      <c r="BA2711" s="21" t="str">
        <f>IF($AL2711="","",$AL2711&amp;"|"&amp;COUNTIF($AL$11:$AL2711,$AL2711))</f>
        <v/>
      </c>
    </row>
    <row r="2712" spans="38:53" ht="15" customHeight="1" x14ac:dyDescent="0.25">
      <c r="AL2712" s="31"/>
      <c r="AM2712" s="26"/>
      <c r="AN2712" s="32"/>
      <c r="AO2712" s="32"/>
      <c r="AP2712" s="24"/>
      <c r="AQ2712" s="24"/>
      <c r="AR2712" s="33"/>
      <c r="AS2712" s="34"/>
      <c r="AT2712" s="33"/>
      <c r="AV2712" s="21">
        <f>IF(AND($AL2712&lt;&gt;"",COUNTIF($AL$11:$AL2712,$AL2712)=1),1,0)</f>
        <v>0</v>
      </c>
      <c r="AW2712" s="21">
        <f t="shared" si="171"/>
        <v>2</v>
      </c>
      <c r="AX2712" s="21" t="str">
        <f t="shared" si="170"/>
        <v/>
      </c>
      <c r="AY2712" s="21" t="str">
        <f>IF(AND($AM2712&lt;&gt;"",$AS2712&lt;&gt;"✓"),SUMPRODUCT(($AM$11:$AM2712&lt;&gt;"")*($AS$11:$AS2712&lt;&gt;"✓")),"")</f>
        <v/>
      </c>
      <c r="AZ2712" s="21" t="str">
        <f>IF(AND($AM2712&lt;&gt;"",$AS2712="✓"),SUMPRODUCT(($AM$11:$AM2712&lt;&gt;"")*($AS$11:$AS2712="✓")),"")</f>
        <v/>
      </c>
      <c r="BA2712" s="21" t="str">
        <f>IF($AL2712="","",$AL2712&amp;"|"&amp;COUNTIF($AL$11:$AL2712,$AL2712))</f>
        <v/>
      </c>
    </row>
    <row r="2713" spans="38:53" ht="15" customHeight="1" x14ac:dyDescent="0.25">
      <c r="AL2713" s="17"/>
      <c r="AM2713" s="12"/>
      <c r="AN2713" s="18"/>
      <c r="AO2713" s="18"/>
      <c r="AP2713" s="10"/>
      <c r="AQ2713" s="10"/>
      <c r="AR2713" s="19"/>
      <c r="AS2713" s="20"/>
      <c r="AT2713" s="19"/>
      <c r="AV2713" s="21">
        <f>IF(AND($AL2713&lt;&gt;"",COUNTIF($AL$11:$AL2713,$AL2713)=1),1,0)</f>
        <v>0</v>
      </c>
      <c r="AW2713" s="21">
        <f t="shared" si="171"/>
        <v>2</v>
      </c>
      <c r="AX2713" s="21" t="str">
        <f t="shared" si="170"/>
        <v/>
      </c>
      <c r="AY2713" s="21" t="str">
        <f>IF(AND($AM2713&lt;&gt;"",$AS2713&lt;&gt;"✓"),SUMPRODUCT(($AM$11:$AM2713&lt;&gt;"")*($AS$11:$AS2713&lt;&gt;"✓")),"")</f>
        <v/>
      </c>
      <c r="AZ2713" s="21" t="str">
        <f>IF(AND($AM2713&lt;&gt;"",$AS2713="✓"),SUMPRODUCT(($AM$11:$AM2713&lt;&gt;"")*($AS$11:$AS2713="✓")),"")</f>
        <v/>
      </c>
      <c r="BA2713" s="21" t="str">
        <f>IF($AL2713="","",$AL2713&amp;"|"&amp;COUNTIF($AL$11:$AL2713,$AL2713))</f>
        <v/>
      </c>
    </row>
    <row r="2714" spans="38:53" ht="15" customHeight="1" x14ac:dyDescent="0.25">
      <c r="AL2714" s="31"/>
      <c r="AM2714" s="26"/>
      <c r="AN2714" s="32"/>
      <c r="AO2714" s="32"/>
      <c r="AP2714" s="24"/>
      <c r="AQ2714" s="24"/>
      <c r="AR2714" s="33"/>
      <c r="AS2714" s="34"/>
      <c r="AT2714" s="33"/>
      <c r="AV2714" s="21">
        <f>IF(AND($AL2714&lt;&gt;"",COUNTIF($AL$11:$AL2714,$AL2714)=1),1,0)</f>
        <v>0</v>
      </c>
      <c r="AW2714" s="21">
        <f t="shared" si="171"/>
        <v>2</v>
      </c>
      <c r="AX2714" s="21" t="str">
        <f t="shared" si="170"/>
        <v/>
      </c>
      <c r="AY2714" s="21" t="str">
        <f>IF(AND($AM2714&lt;&gt;"",$AS2714&lt;&gt;"✓"),SUMPRODUCT(($AM$11:$AM2714&lt;&gt;"")*($AS$11:$AS2714&lt;&gt;"✓")),"")</f>
        <v/>
      </c>
      <c r="AZ2714" s="21" t="str">
        <f>IF(AND($AM2714&lt;&gt;"",$AS2714="✓"),SUMPRODUCT(($AM$11:$AM2714&lt;&gt;"")*($AS$11:$AS2714="✓")),"")</f>
        <v/>
      </c>
      <c r="BA2714" s="21" t="str">
        <f>IF($AL2714="","",$AL2714&amp;"|"&amp;COUNTIF($AL$11:$AL2714,$AL2714))</f>
        <v/>
      </c>
    </row>
    <row r="2715" spans="38:53" ht="15" customHeight="1" x14ac:dyDescent="0.25">
      <c r="AL2715" s="17"/>
      <c r="AM2715" s="12"/>
      <c r="AN2715" s="18"/>
      <c r="AO2715" s="18"/>
      <c r="AP2715" s="10"/>
      <c r="AQ2715" s="10"/>
      <c r="AR2715" s="19"/>
      <c r="AS2715" s="20"/>
      <c r="AT2715" s="19"/>
      <c r="AV2715" s="21">
        <f>IF(AND($AL2715&lt;&gt;"",COUNTIF($AL$11:$AL2715,$AL2715)=1),1,0)</f>
        <v>0</v>
      </c>
      <c r="AW2715" s="21">
        <f t="shared" si="171"/>
        <v>2</v>
      </c>
      <c r="AX2715" s="21" t="str">
        <f t="shared" si="170"/>
        <v/>
      </c>
      <c r="AY2715" s="21" t="str">
        <f>IF(AND($AM2715&lt;&gt;"",$AS2715&lt;&gt;"✓"),SUMPRODUCT(($AM$11:$AM2715&lt;&gt;"")*($AS$11:$AS2715&lt;&gt;"✓")),"")</f>
        <v/>
      </c>
      <c r="AZ2715" s="21" t="str">
        <f>IF(AND($AM2715&lt;&gt;"",$AS2715="✓"),SUMPRODUCT(($AM$11:$AM2715&lt;&gt;"")*($AS$11:$AS2715="✓")),"")</f>
        <v/>
      </c>
      <c r="BA2715" s="21" t="str">
        <f>IF($AL2715="","",$AL2715&amp;"|"&amp;COUNTIF($AL$11:$AL2715,$AL2715))</f>
        <v/>
      </c>
    </row>
    <row r="2716" spans="38:53" ht="15" customHeight="1" x14ac:dyDescent="0.25">
      <c r="AL2716" s="31"/>
      <c r="AM2716" s="26"/>
      <c r="AN2716" s="32"/>
      <c r="AO2716" s="32"/>
      <c r="AP2716" s="24"/>
      <c r="AQ2716" s="24"/>
      <c r="AR2716" s="33"/>
      <c r="AS2716" s="34"/>
      <c r="AT2716" s="33"/>
      <c r="AV2716" s="21">
        <f>IF(AND($AL2716&lt;&gt;"",COUNTIF($AL$11:$AL2716,$AL2716)=1),1,0)</f>
        <v>0</v>
      </c>
      <c r="AW2716" s="21">
        <f t="shared" si="171"/>
        <v>2</v>
      </c>
      <c r="AX2716" s="21" t="str">
        <f t="shared" si="170"/>
        <v/>
      </c>
      <c r="AY2716" s="21" t="str">
        <f>IF(AND($AM2716&lt;&gt;"",$AS2716&lt;&gt;"✓"),SUMPRODUCT(($AM$11:$AM2716&lt;&gt;"")*($AS$11:$AS2716&lt;&gt;"✓")),"")</f>
        <v/>
      </c>
      <c r="AZ2716" s="21" t="str">
        <f>IF(AND($AM2716&lt;&gt;"",$AS2716="✓"),SUMPRODUCT(($AM$11:$AM2716&lt;&gt;"")*($AS$11:$AS2716="✓")),"")</f>
        <v/>
      </c>
      <c r="BA2716" s="21" t="str">
        <f>IF($AL2716="","",$AL2716&amp;"|"&amp;COUNTIF($AL$11:$AL2716,$AL2716))</f>
        <v/>
      </c>
    </row>
    <row r="2717" spans="38:53" ht="15" customHeight="1" x14ac:dyDescent="0.25">
      <c r="AL2717" s="17"/>
      <c r="AM2717" s="12"/>
      <c r="AN2717" s="18"/>
      <c r="AO2717" s="18"/>
      <c r="AP2717" s="10"/>
      <c r="AQ2717" s="10"/>
      <c r="AR2717" s="19"/>
      <c r="AS2717" s="20"/>
      <c r="AT2717" s="19"/>
      <c r="AV2717" s="21">
        <f>IF(AND($AL2717&lt;&gt;"",COUNTIF($AL$11:$AL2717,$AL2717)=1),1,0)</f>
        <v>0</v>
      </c>
      <c r="AW2717" s="21">
        <f t="shared" si="171"/>
        <v>2</v>
      </c>
      <c r="AX2717" s="21" t="str">
        <f t="shared" si="170"/>
        <v/>
      </c>
      <c r="AY2717" s="21" t="str">
        <f>IF(AND($AM2717&lt;&gt;"",$AS2717&lt;&gt;"✓"),SUMPRODUCT(($AM$11:$AM2717&lt;&gt;"")*($AS$11:$AS2717&lt;&gt;"✓")),"")</f>
        <v/>
      </c>
      <c r="AZ2717" s="21" t="str">
        <f>IF(AND($AM2717&lt;&gt;"",$AS2717="✓"),SUMPRODUCT(($AM$11:$AM2717&lt;&gt;"")*($AS$11:$AS2717="✓")),"")</f>
        <v/>
      </c>
      <c r="BA2717" s="21" t="str">
        <f>IF($AL2717="","",$AL2717&amp;"|"&amp;COUNTIF($AL$11:$AL2717,$AL2717))</f>
        <v/>
      </c>
    </row>
    <row r="2718" spans="38:53" ht="15" customHeight="1" x14ac:dyDescent="0.25">
      <c r="AL2718" s="31"/>
      <c r="AM2718" s="26"/>
      <c r="AN2718" s="32"/>
      <c r="AO2718" s="32"/>
      <c r="AP2718" s="24"/>
      <c r="AQ2718" s="24"/>
      <c r="AR2718" s="33"/>
      <c r="AS2718" s="34"/>
      <c r="AT2718" s="33"/>
      <c r="AV2718" s="21">
        <f>IF(AND($AL2718&lt;&gt;"",COUNTIF($AL$11:$AL2718,$AL2718)=1),1,0)</f>
        <v>0</v>
      </c>
      <c r="AW2718" s="21">
        <f t="shared" si="171"/>
        <v>2</v>
      </c>
      <c r="AX2718" s="21" t="str">
        <f t="shared" si="170"/>
        <v/>
      </c>
      <c r="AY2718" s="21" t="str">
        <f>IF(AND($AM2718&lt;&gt;"",$AS2718&lt;&gt;"✓"),SUMPRODUCT(($AM$11:$AM2718&lt;&gt;"")*($AS$11:$AS2718&lt;&gt;"✓")),"")</f>
        <v/>
      </c>
      <c r="AZ2718" s="21" t="str">
        <f>IF(AND($AM2718&lt;&gt;"",$AS2718="✓"),SUMPRODUCT(($AM$11:$AM2718&lt;&gt;"")*($AS$11:$AS2718="✓")),"")</f>
        <v/>
      </c>
      <c r="BA2718" s="21" t="str">
        <f>IF($AL2718="","",$AL2718&amp;"|"&amp;COUNTIF($AL$11:$AL2718,$AL2718))</f>
        <v/>
      </c>
    </row>
    <row r="2719" spans="38:53" ht="15" customHeight="1" x14ac:dyDescent="0.25">
      <c r="AL2719" s="17"/>
      <c r="AM2719" s="12"/>
      <c r="AN2719" s="18"/>
      <c r="AO2719" s="18"/>
      <c r="AP2719" s="10"/>
      <c r="AQ2719" s="10"/>
      <c r="AR2719" s="19"/>
      <c r="AS2719" s="20"/>
      <c r="AT2719" s="19"/>
      <c r="AV2719" s="21">
        <f>IF(AND($AL2719&lt;&gt;"",COUNTIF($AL$11:$AL2719,$AL2719)=1),1,0)</f>
        <v>0</v>
      </c>
      <c r="AW2719" s="21">
        <f t="shared" si="171"/>
        <v>2</v>
      </c>
      <c r="AX2719" s="21" t="str">
        <f t="shared" si="170"/>
        <v/>
      </c>
      <c r="AY2719" s="21" t="str">
        <f>IF(AND($AM2719&lt;&gt;"",$AS2719&lt;&gt;"✓"),SUMPRODUCT(($AM$11:$AM2719&lt;&gt;"")*($AS$11:$AS2719&lt;&gt;"✓")),"")</f>
        <v/>
      </c>
      <c r="AZ2719" s="21" t="str">
        <f>IF(AND($AM2719&lt;&gt;"",$AS2719="✓"),SUMPRODUCT(($AM$11:$AM2719&lt;&gt;"")*($AS$11:$AS2719="✓")),"")</f>
        <v/>
      </c>
      <c r="BA2719" s="21" t="str">
        <f>IF($AL2719="","",$AL2719&amp;"|"&amp;COUNTIF($AL$11:$AL2719,$AL2719))</f>
        <v/>
      </c>
    </row>
    <row r="2720" spans="38:53" ht="15" customHeight="1" x14ac:dyDescent="0.25">
      <c r="AL2720" s="31"/>
      <c r="AM2720" s="26"/>
      <c r="AN2720" s="32"/>
      <c r="AO2720" s="32"/>
      <c r="AP2720" s="24"/>
      <c r="AQ2720" s="24"/>
      <c r="AR2720" s="33"/>
      <c r="AS2720" s="34"/>
      <c r="AT2720" s="33"/>
      <c r="AV2720" s="21">
        <f>IF(AND($AL2720&lt;&gt;"",COUNTIF($AL$11:$AL2720,$AL2720)=1),1,0)</f>
        <v>0</v>
      </c>
      <c r="AW2720" s="21">
        <f t="shared" si="171"/>
        <v>2</v>
      </c>
      <c r="AX2720" s="21" t="str">
        <f t="shared" si="170"/>
        <v/>
      </c>
      <c r="AY2720" s="21" t="str">
        <f>IF(AND($AM2720&lt;&gt;"",$AS2720&lt;&gt;"✓"),SUMPRODUCT(($AM$11:$AM2720&lt;&gt;"")*($AS$11:$AS2720&lt;&gt;"✓")),"")</f>
        <v/>
      </c>
      <c r="AZ2720" s="21" t="str">
        <f>IF(AND($AM2720&lt;&gt;"",$AS2720="✓"),SUMPRODUCT(($AM$11:$AM2720&lt;&gt;"")*($AS$11:$AS2720="✓")),"")</f>
        <v/>
      </c>
      <c r="BA2720" s="21" t="str">
        <f>IF($AL2720="","",$AL2720&amp;"|"&amp;COUNTIF($AL$11:$AL2720,$AL2720))</f>
        <v/>
      </c>
    </row>
    <row r="2721" spans="38:53" ht="15" customHeight="1" x14ac:dyDescent="0.25">
      <c r="AL2721" s="17"/>
      <c r="AM2721" s="12"/>
      <c r="AN2721" s="18"/>
      <c r="AO2721" s="18"/>
      <c r="AP2721" s="10"/>
      <c r="AQ2721" s="10"/>
      <c r="AR2721" s="19"/>
      <c r="AS2721" s="20"/>
      <c r="AT2721" s="19"/>
      <c r="AV2721" s="21">
        <f>IF(AND($AL2721&lt;&gt;"",COUNTIF($AL$11:$AL2721,$AL2721)=1),1,0)</f>
        <v>0</v>
      </c>
      <c r="AW2721" s="21">
        <f t="shared" si="171"/>
        <v>2</v>
      </c>
      <c r="AX2721" s="21" t="str">
        <f t="shared" si="170"/>
        <v/>
      </c>
      <c r="AY2721" s="21" t="str">
        <f>IF(AND($AM2721&lt;&gt;"",$AS2721&lt;&gt;"✓"),SUMPRODUCT(($AM$11:$AM2721&lt;&gt;"")*($AS$11:$AS2721&lt;&gt;"✓")),"")</f>
        <v/>
      </c>
      <c r="AZ2721" s="21" t="str">
        <f>IF(AND($AM2721&lt;&gt;"",$AS2721="✓"),SUMPRODUCT(($AM$11:$AM2721&lt;&gt;"")*($AS$11:$AS2721="✓")),"")</f>
        <v/>
      </c>
      <c r="BA2721" s="21" t="str">
        <f>IF($AL2721="","",$AL2721&amp;"|"&amp;COUNTIF($AL$11:$AL2721,$AL2721))</f>
        <v/>
      </c>
    </row>
    <row r="2722" spans="38:53" ht="15" customHeight="1" x14ac:dyDescent="0.25">
      <c r="AL2722" s="31"/>
      <c r="AM2722" s="26"/>
      <c r="AN2722" s="32"/>
      <c r="AO2722" s="32"/>
      <c r="AP2722" s="24"/>
      <c r="AQ2722" s="24"/>
      <c r="AR2722" s="33"/>
      <c r="AS2722" s="34"/>
      <c r="AT2722" s="33"/>
      <c r="AV2722" s="21">
        <f>IF(AND($AL2722&lt;&gt;"",COUNTIF($AL$11:$AL2722,$AL2722)=1),1,0)</f>
        <v>0</v>
      </c>
      <c r="AW2722" s="21">
        <f t="shared" si="171"/>
        <v>2</v>
      </c>
      <c r="AX2722" s="21" t="str">
        <f t="shared" si="170"/>
        <v/>
      </c>
      <c r="AY2722" s="21" t="str">
        <f>IF(AND($AM2722&lt;&gt;"",$AS2722&lt;&gt;"✓"),SUMPRODUCT(($AM$11:$AM2722&lt;&gt;"")*($AS$11:$AS2722&lt;&gt;"✓")),"")</f>
        <v/>
      </c>
      <c r="AZ2722" s="21" t="str">
        <f>IF(AND($AM2722&lt;&gt;"",$AS2722="✓"),SUMPRODUCT(($AM$11:$AM2722&lt;&gt;"")*($AS$11:$AS2722="✓")),"")</f>
        <v/>
      </c>
      <c r="BA2722" s="21" t="str">
        <f>IF($AL2722="","",$AL2722&amp;"|"&amp;COUNTIF($AL$11:$AL2722,$AL2722))</f>
        <v/>
      </c>
    </row>
    <row r="2723" spans="38:53" ht="15" customHeight="1" x14ac:dyDescent="0.25">
      <c r="AL2723" s="17"/>
      <c r="AM2723" s="12"/>
      <c r="AN2723" s="18"/>
      <c r="AO2723" s="18"/>
      <c r="AP2723" s="10"/>
      <c r="AQ2723" s="10"/>
      <c r="AR2723" s="19"/>
      <c r="AS2723" s="20"/>
      <c r="AT2723" s="19"/>
      <c r="AV2723" s="21">
        <f>IF(AND($AL2723&lt;&gt;"",COUNTIF($AL$11:$AL2723,$AL2723)=1),1,0)</f>
        <v>0</v>
      </c>
      <c r="AW2723" s="21">
        <f t="shared" si="171"/>
        <v>2</v>
      </c>
      <c r="AX2723" s="21" t="str">
        <f t="shared" si="170"/>
        <v/>
      </c>
      <c r="AY2723" s="21" t="str">
        <f>IF(AND($AM2723&lt;&gt;"",$AS2723&lt;&gt;"✓"),SUMPRODUCT(($AM$11:$AM2723&lt;&gt;"")*($AS$11:$AS2723&lt;&gt;"✓")),"")</f>
        <v/>
      </c>
      <c r="AZ2723" s="21" t="str">
        <f>IF(AND($AM2723&lt;&gt;"",$AS2723="✓"),SUMPRODUCT(($AM$11:$AM2723&lt;&gt;"")*($AS$11:$AS2723="✓")),"")</f>
        <v/>
      </c>
      <c r="BA2723" s="21" t="str">
        <f>IF($AL2723="","",$AL2723&amp;"|"&amp;COUNTIF($AL$11:$AL2723,$AL2723))</f>
        <v/>
      </c>
    </row>
    <row r="2724" spans="38:53" ht="15" customHeight="1" x14ac:dyDescent="0.25">
      <c r="AL2724" s="31"/>
      <c r="AM2724" s="26"/>
      <c r="AN2724" s="32"/>
      <c r="AO2724" s="32"/>
      <c r="AP2724" s="24"/>
      <c r="AQ2724" s="24"/>
      <c r="AR2724" s="33"/>
      <c r="AS2724" s="34"/>
      <c r="AT2724" s="33"/>
      <c r="AV2724" s="21">
        <f>IF(AND($AL2724&lt;&gt;"",COUNTIF($AL$11:$AL2724,$AL2724)=1),1,0)</f>
        <v>0</v>
      </c>
      <c r="AW2724" s="21">
        <f t="shared" si="171"/>
        <v>2</v>
      </c>
      <c r="AX2724" s="21" t="str">
        <f t="shared" si="170"/>
        <v/>
      </c>
      <c r="AY2724" s="21" t="str">
        <f>IF(AND($AM2724&lt;&gt;"",$AS2724&lt;&gt;"✓"),SUMPRODUCT(($AM$11:$AM2724&lt;&gt;"")*($AS$11:$AS2724&lt;&gt;"✓")),"")</f>
        <v/>
      </c>
      <c r="AZ2724" s="21" t="str">
        <f>IF(AND($AM2724&lt;&gt;"",$AS2724="✓"),SUMPRODUCT(($AM$11:$AM2724&lt;&gt;"")*($AS$11:$AS2724="✓")),"")</f>
        <v/>
      </c>
      <c r="BA2724" s="21" t="str">
        <f>IF($AL2724="","",$AL2724&amp;"|"&amp;COUNTIF($AL$11:$AL2724,$AL2724))</f>
        <v/>
      </c>
    </row>
    <row r="2725" spans="38:53" ht="15" customHeight="1" x14ac:dyDescent="0.25">
      <c r="AL2725" s="17"/>
      <c r="AM2725" s="12"/>
      <c r="AN2725" s="18"/>
      <c r="AO2725" s="18"/>
      <c r="AP2725" s="10"/>
      <c r="AQ2725" s="10"/>
      <c r="AR2725" s="19"/>
      <c r="AS2725" s="20"/>
      <c r="AT2725" s="19"/>
      <c r="AV2725" s="21">
        <f>IF(AND($AL2725&lt;&gt;"",COUNTIF($AL$11:$AL2725,$AL2725)=1),1,0)</f>
        <v>0</v>
      </c>
      <c r="AW2725" s="21">
        <f t="shared" si="171"/>
        <v>2</v>
      </c>
      <c r="AX2725" s="21" t="str">
        <f t="shared" si="170"/>
        <v/>
      </c>
      <c r="AY2725" s="21" t="str">
        <f>IF(AND($AM2725&lt;&gt;"",$AS2725&lt;&gt;"✓"),SUMPRODUCT(($AM$11:$AM2725&lt;&gt;"")*($AS$11:$AS2725&lt;&gt;"✓")),"")</f>
        <v/>
      </c>
      <c r="AZ2725" s="21" t="str">
        <f>IF(AND($AM2725&lt;&gt;"",$AS2725="✓"),SUMPRODUCT(($AM$11:$AM2725&lt;&gt;"")*($AS$11:$AS2725="✓")),"")</f>
        <v/>
      </c>
      <c r="BA2725" s="21" t="str">
        <f>IF($AL2725="","",$AL2725&amp;"|"&amp;COUNTIF($AL$11:$AL2725,$AL2725))</f>
        <v/>
      </c>
    </row>
    <row r="2726" spans="38:53" ht="15" customHeight="1" x14ac:dyDescent="0.25">
      <c r="AL2726" s="31"/>
      <c r="AM2726" s="26"/>
      <c r="AN2726" s="32"/>
      <c r="AO2726" s="32"/>
      <c r="AP2726" s="24"/>
      <c r="AQ2726" s="24"/>
      <c r="AR2726" s="33"/>
      <c r="AS2726" s="34"/>
      <c r="AT2726" s="33"/>
      <c r="AV2726" s="21">
        <f>IF(AND($AL2726&lt;&gt;"",COUNTIF($AL$11:$AL2726,$AL2726)=1),1,0)</f>
        <v>0</v>
      </c>
      <c r="AW2726" s="21">
        <f t="shared" si="171"/>
        <v>2</v>
      </c>
      <c r="AX2726" s="21" t="str">
        <f t="shared" si="170"/>
        <v/>
      </c>
      <c r="AY2726" s="21" t="str">
        <f>IF(AND($AM2726&lt;&gt;"",$AS2726&lt;&gt;"✓"),SUMPRODUCT(($AM$11:$AM2726&lt;&gt;"")*($AS$11:$AS2726&lt;&gt;"✓")),"")</f>
        <v/>
      </c>
      <c r="AZ2726" s="21" t="str">
        <f>IF(AND($AM2726&lt;&gt;"",$AS2726="✓"),SUMPRODUCT(($AM$11:$AM2726&lt;&gt;"")*($AS$11:$AS2726="✓")),"")</f>
        <v/>
      </c>
      <c r="BA2726" s="21" t="str">
        <f>IF($AL2726="","",$AL2726&amp;"|"&amp;COUNTIF($AL$11:$AL2726,$AL2726))</f>
        <v/>
      </c>
    </row>
    <row r="2727" spans="38:53" ht="15" customHeight="1" x14ac:dyDescent="0.25">
      <c r="AL2727" s="17"/>
      <c r="AM2727" s="12"/>
      <c r="AN2727" s="18"/>
      <c r="AO2727" s="18"/>
      <c r="AP2727" s="10"/>
      <c r="AQ2727" s="10"/>
      <c r="AR2727" s="19"/>
      <c r="AS2727" s="20"/>
      <c r="AT2727" s="19"/>
      <c r="AV2727" s="21">
        <f>IF(AND($AL2727&lt;&gt;"",COUNTIF($AL$11:$AL2727,$AL2727)=1),1,0)</f>
        <v>0</v>
      </c>
      <c r="AW2727" s="21">
        <f t="shared" si="171"/>
        <v>2</v>
      </c>
      <c r="AX2727" s="21" t="str">
        <f t="shared" si="170"/>
        <v/>
      </c>
      <c r="AY2727" s="21" t="str">
        <f>IF(AND($AM2727&lt;&gt;"",$AS2727&lt;&gt;"✓"),SUMPRODUCT(($AM$11:$AM2727&lt;&gt;"")*($AS$11:$AS2727&lt;&gt;"✓")),"")</f>
        <v/>
      </c>
      <c r="AZ2727" s="21" t="str">
        <f>IF(AND($AM2727&lt;&gt;"",$AS2727="✓"),SUMPRODUCT(($AM$11:$AM2727&lt;&gt;"")*($AS$11:$AS2727="✓")),"")</f>
        <v/>
      </c>
      <c r="BA2727" s="21" t="str">
        <f>IF($AL2727="","",$AL2727&amp;"|"&amp;COUNTIF($AL$11:$AL2727,$AL2727))</f>
        <v/>
      </c>
    </row>
    <row r="2728" spans="38:53" ht="15" customHeight="1" x14ac:dyDescent="0.25">
      <c r="AL2728" s="31"/>
      <c r="AM2728" s="26"/>
      <c r="AN2728" s="32"/>
      <c r="AO2728" s="32"/>
      <c r="AP2728" s="24"/>
      <c r="AQ2728" s="24"/>
      <c r="AR2728" s="33"/>
      <c r="AS2728" s="34"/>
      <c r="AT2728" s="33"/>
      <c r="AV2728" s="21">
        <f>IF(AND($AL2728&lt;&gt;"",COUNTIF($AL$11:$AL2728,$AL2728)=1),1,0)</f>
        <v>0</v>
      </c>
      <c r="AW2728" s="21">
        <f t="shared" si="171"/>
        <v>2</v>
      </c>
      <c r="AX2728" s="21" t="str">
        <f t="shared" si="170"/>
        <v/>
      </c>
      <c r="AY2728" s="21" t="str">
        <f>IF(AND($AM2728&lt;&gt;"",$AS2728&lt;&gt;"✓"),SUMPRODUCT(($AM$11:$AM2728&lt;&gt;"")*($AS$11:$AS2728&lt;&gt;"✓")),"")</f>
        <v/>
      </c>
      <c r="AZ2728" s="21" t="str">
        <f>IF(AND($AM2728&lt;&gt;"",$AS2728="✓"),SUMPRODUCT(($AM$11:$AM2728&lt;&gt;"")*($AS$11:$AS2728="✓")),"")</f>
        <v/>
      </c>
      <c r="BA2728" s="21" t="str">
        <f>IF($AL2728="","",$AL2728&amp;"|"&amp;COUNTIF($AL$11:$AL2728,$AL2728))</f>
        <v/>
      </c>
    </row>
    <row r="2729" spans="38:53" ht="15" customHeight="1" x14ac:dyDescent="0.25">
      <c r="AL2729" s="17"/>
      <c r="AM2729" s="12"/>
      <c r="AN2729" s="18"/>
      <c r="AO2729" s="18"/>
      <c r="AP2729" s="10"/>
      <c r="AQ2729" s="10"/>
      <c r="AR2729" s="19"/>
      <c r="AS2729" s="20"/>
      <c r="AT2729" s="19"/>
      <c r="AV2729" s="21">
        <f>IF(AND($AL2729&lt;&gt;"",COUNTIF($AL$11:$AL2729,$AL2729)=1),1,0)</f>
        <v>0</v>
      </c>
      <c r="AW2729" s="21">
        <f t="shared" si="171"/>
        <v>2</v>
      </c>
      <c r="AX2729" s="21" t="str">
        <f t="shared" si="170"/>
        <v/>
      </c>
      <c r="AY2729" s="21" t="str">
        <f>IF(AND($AM2729&lt;&gt;"",$AS2729&lt;&gt;"✓"),SUMPRODUCT(($AM$11:$AM2729&lt;&gt;"")*($AS$11:$AS2729&lt;&gt;"✓")),"")</f>
        <v/>
      </c>
      <c r="AZ2729" s="21" t="str">
        <f>IF(AND($AM2729&lt;&gt;"",$AS2729="✓"),SUMPRODUCT(($AM$11:$AM2729&lt;&gt;"")*($AS$11:$AS2729="✓")),"")</f>
        <v/>
      </c>
      <c r="BA2729" s="21" t="str">
        <f>IF($AL2729="","",$AL2729&amp;"|"&amp;COUNTIF($AL$11:$AL2729,$AL2729))</f>
        <v/>
      </c>
    </row>
    <row r="2730" spans="38:53" ht="15" customHeight="1" x14ac:dyDescent="0.25">
      <c r="AL2730" s="31"/>
      <c r="AM2730" s="26"/>
      <c r="AN2730" s="32"/>
      <c r="AO2730" s="32"/>
      <c r="AP2730" s="24"/>
      <c r="AQ2730" s="24"/>
      <c r="AR2730" s="33"/>
      <c r="AS2730" s="34"/>
      <c r="AT2730" s="33"/>
      <c r="AV2730" s="21">
        <f>IF(AND($AL2730&lt;&gt;"",COUNTIF($AL$11:$AL2730,$AL2730)=1),1,0)</f>
        <v>0</v>
      </c>
      <c r="AW2730" s="21">
        <f t="shared" si="171"/>
        <v>2</v>
      </c>
      <c r="AX2730" s="21" t="str">
        <f t="shared" si="170"/>
        <v/>
      </c>
      <c r="AY2730" s="21" t="str">
        <f>IF(AND($AM2730&lt;&gt;"",$AS2730&lt;&gt;"✓"),SUMPRODUCT(($AM$11:$AM2730&lt;&gt;"")*($AS$11:$AS2730&lt;&gt;"✓")),"")</f>
        <v/>
      </c>
      <c r="AZ2730" s="21" t="str">
        <f>IF(AND($AM2730&lt;&gt;"",$AS2730="✓"),SUMPRODUCT(($AM$11:$AM2730&lt;&gt;"")*($AS$11:$AS2730="✓")),"")</f>
        <v/>
      </c>
      <c r="BA2730" s="21" t="str">
        <f>IF($AL2730="","",$AL2730&amp;"|"&amp;COUNTIF($AL$11:$AL2730,$AL2730))</f>
        <v/>
      </c>
    </row>
    <row r="2731" spans="38:53" ht="15" customHeight="1" x14ac:dyDescent="0.25">
      <c r="AL2731" s="17"/>
      <c r="AM2731" s="12"/>
      <c r="AN2731" s="18"/>
      <c r="AO2731" s="18"/>
      <c r="AP2731" s="10"/>
      <c r="AQ2731" s="10"/>
      <c r="AR2731" s="19"/>
      <c r="AS2731" s="20"/>
      <c r="AT2731" s="19"/>
      <c r="AV2731" s="21">
        <f>IF(AND($AL2731&lt;&gt;"",COUNTIF($AL$11:$AL2731,$AL2731)=1),1,0)</f>
        <v>0</v>
      </c>
      <c r="AW2731" s="21">
        <f t="shared" si="171"/>
        <v>2</v>
      </c>
      <c r="AX2731" s="21" t="str">
        <f t="shared" si="170"/>
        <v/>
      </c>
      <c r="AY2731" s="21" t="str">
        <f>IF(AND($AM2731&lt;&gt;"",$AS2731&lt;&gt;"✓"),SUMPRODUCT(($AM$11:$AM2731&lt;&gt;"")*($AS$11:$AS2731&lt;&gt;"✓")),"")</f>
        <v/>
      </c>
      <c r="AZ2731" s="21" t="str">
        <f>IF(AND($AM2731&lt;&gt;"",$AS2731="✓"),SUMPRODUCT(($AM$11:$AM2731&lt;&gt;"")*($AS$11:$AS2731="✓")),"")</f>
        <v/>
      </c>
      <c r="BA2731" s="21" t="str">
        <f>IF($AL2731="","",$AL2731&amp;"|"&amp;COUNTIF($AL$11:$AL2731,$AL2731))</f>
        <v/>
      </c>
    </row>
    <row r="2732" spans="38:53" ht="15" customHeight="1" x14ac:dyDescent="0.25">
      <c r="AL2732" s="31"/>
      <c r="AM2732" s="26"/>
      <c r="AN2732" s="32"/>
      <c r="AO2732" s="32"/>
      <c r="AP2732" s="24"/>
      <c r="AQ2732" s="24"/>
      <c r="AR2732" s="33"/>
      <c r="AS2732" s="34"/>
      <c r="AT2732" s="33"/>
      <c r="AV2732" s="21">
        <f>IF(AND($AL2732&lt;&gt;"",COUNTIF($AL$11:$AL2732,$AL2732)=1),1,0)</f>
        <v>0</v>
      </c>
      <c r="AW2732" s="21">
        <f t="shared" si="171"/>
        <v>2</v>
      </c>
      <c r="AX2732" s="21" t="str">
        <f t="shared" si="170"/>
        <v/>
      </c>
      <c r="AY2732" s="21" t="str">
        <f>IF(AND($AM2732&lt;&gt;"",$AS2732&lt;&gt;"✓"),SUMPRODUCT(($AM$11:$AM2732&lt;&gt;"")*($AS$11:$AS2732&lt;&gt;"✓")),"")</f>
        <v/>
      </c>
      <c r="AZ2732" s="21" t="str">
        <f>IF(AND($AM2732&lt;&gt;"",$AS2732="✓"),SUMPRODUCT(($AM$11:$AM2732&lt;&gt;"")*($AS$11:$AS2732="✓")),"")</f>
        <v/>
      </c>
      <c r="BA2732" s="21" t="str">
        <f>IF($AL2732="","",$AL2732&amp;"|"&amp;COUNTIF($AL$11:$AL2732,$AL2732))</f>
        <v/>
      </c>
    </row>
    <row r="2733" spans="38:53" ht="15" customHeight="1" x14ac:dyDescent="0.25">
      <c r="AL2733" s="17"/>
      <c r="AM2733" s="12"/>
      <c r="AN2733" s="18"/>
      <c r="AO2733" s="18"/>
      <c r="AP2733" s="10"/>
      <c r="AQ2733" s="10"/>
      <c r="AR2733" s="19"/>
      <c r="AS2733" s="20"/>
      <c r="AT2733" s="19"/>
      <c r="AV2733" s="21">
        <f>IF(AND($AL2733&lt;&gt;"",COUNTIF($AL$11:$AL2733,$AL2733)=1),1,0)</f>
        <v>0</v>
      </c>
      <c r="AW2733" s="21">
        <f t="shared" si="171"/>
        <v>2</v>
      </c>
      <c r="AX2733" s="21" t="str">
        <f t="shared" si="170"/>
        <v/>
      </c>
      <c r="AY2733" s="21" t="str">
        <f>IF(AND($AM2733&lt;&gt;"",$AS2733&lt;&gt;"✓"),SUMPRODUCT(($AM$11:$AM2733&lt;&gt;"")*($AS$11:$AS2733&lt;&gt;"✓")),"")</f>
        <v/>
      </c>
      <c r="AZ2733" s="21" t="str">
        <f>IF(AND($AM2733&lt;&gt;"",$AS2733="✓"),SUMPRODUCT(($AM$11:$AM2733&lt;&gt;"")*($AS$11:$AS2733="✓")),"")</f>
        <v/>
      </c>
      <c r="BA2733" s="21" t="str">
        <f>IF($AL2733="","",$AL2733&amp;"|"&amp;COUNTIF($AL$11:$AL2733,$AL2733))</f>
        <v/>
      </c>
    </row>
    <row r="2734" spans="38:53" ht="15" customHeight="1" x14ac:dyDescent="0.25">
      <c r="AL2734" s="31"/>
      <c r="AM2734" s="26"/>
      <c r="AN2734" s="32"/>
      <c r="AO2734" s="32"/>
      <c r="AP2734" s="24"/>
      <c r="AQ2734" s="24"/>
      <c r="AR2734" s="33"/>
      <c r="AS2734" s="34"/>
      <c r="AT2734" s="33"/>
      <c r="AV2734" s="21">
        <f>IF(AND($AL2734&lt;&gt;"",COUNTIF($AL$11:$AL2734,$AL2734)=1),1,0)</f>
        <v>0</v>
      </c>
      <c r="AW2734" s="21">
        <f t="shared" si="171"/>
        <v>2</v>
      </c>
      <c r="AX2734" s="21" t="str">
        <f t="shared" si="170"/>
        <v/>
      </c>
      <c r="AY2734" s="21" t="str">
        <f>IF(AND($AM2734&lt;&gt;"",$AS2734&lt;&gt;"✓"),SUMPRODUCT(($AM$11:$AM2734&lt;&gt;"")*($AS$11:$AS2734&lt;&gt;"✓")),"")</f>
        <v/>
      </c>
      <c r="AZ2734" s="21" t="str">
        <f>IF(AND($AM2734&lt;&gt;"",$AS2734="✓"),SUMPRODUCT(($AM$11:$AM2734&lt;&gt;"")*($AS$11:$AS2734="✓")),"")</f>
        <v/>
      </c>
      <c r="BA2734" s="21" t="str">
        <f>IF($AL2734="","",$AL2734&amp;"|"&amp;COUNTIF($AL$11:$AL2734,$AL2734))</f>
        <v/>
      </c>
    </row>
    <row r="2735" spans="38:53" ht="15" customHeight="1" x14ac:dyDescent="0.25">
      <c r="AL2735" s="17"/>
      <c r="AM2735" s="12"/>
      <c r="AN2735" s="18"/>
      <c r="AO2735" s="18"/>
      <c r="AP2735" s="10"/>
      <c r="AQ2735" s="10"/>
      <c r="AR2735" s="19"/>
      <c r="AS2735" s="20"/>
      <c r="AT2735" s="19"/>
      <c r="AV2735" s="21">
        <f>IF(AND($AL2735&lt;&gt;"",COUNTIF($AL$11:$AL2735,$AL2735)=1),1,0)</f>
        <v>0</v>
      </c>
      <c r="AW2735" s="21">
        <f t="shared" si="171"/>
        <v>2</v>
      </c>
      <c r="AX2735" s="21" t="str">
        <f t="shared" si="170"/>
        <v/>
      </c>
      <c r="AY2735" s="21" t="str">
        <f>IF(AND($AM2735&lt;&gt;"",$AS2735&lt;&gt;"✓"),SUMPRODUCT(($AM$11:$AM2735&lt;&gt;"")*($AS$11:$AS2735&lt;&gt;"✓")),"")</f>
        <v/>
      </c>
      <c r="AZ2735" s="21" t="str">
        <f>IF(AND($AM2735&lt;&gt;"",$AS2735="✓"),SUMPRODUCT(($AM$11:$AM2735&lt;&gt;"")*($AS$11:$AS2735="✓")),"")</f>
        <v/>
      </c>
      <c r="BA2735" s="21" t="str">
        <f>IF($AL2735="","",$AL2735&amp;"|"&amp;COUNTIF($AL$11:$AL2735,$AL2735))</f>
        <v/>
      </c>
    </row>
    <row r="2736" spans="38:53" ht="15" customHeight="1" x14ac:dyDescent="0.25">
      <c r="AL2736" s="31"/>
      <c r="AM2736" s="26"/>
      <c r="AN2736" s="32"/>
      <c r="AO2736" s="32"/>
      <c r="AP2736" s="24"/>
      <c r="AQ2736" s="24"/>
      <c r="AR2736" s="33"/>
      <c r="AS2736" s="34"/>
      <c r="AT2736" s="33"/>
      <c r="AV2736" s="21">
        <f>IF(AND($AL2736&lt;&gt;"",COUNTIF($AL$11:$AL2736,$AL2736)=1),1,0)</f>
        <v>0</v>
      </c>
      <c r="AW2736" s="21">
        <f t="shared" si="171"/>
        <v>2</v>
      </c>
      <c r="AX2736" s="21" t="str">
        <f t="shared" si="170"/>
        <v/>
      </c>
      <c r="AY2736" s="21" t="str">
        <f>IF(AND($AM2736&lt;&gt;"",$AS2736&lt;&gt;"✓"),SUMPRODUCT(($AM$11:$AM2736&lt;&gt;"")*($AS$11:$AS2736&lt;&gt;"✓")),"")</f>
        <v/>
      </c>
      <c r="AZ2736" s="21" t="str">
        <f>IF(AND($AM2736&lt;&gt;"",$AS2736="✓"),SUMPRODUCT(($AM$11:$AM2736&lt;&gt;"")*($AS$11:$AS2736="✓")),"")</f>
        <v/>
      </c>
      <c r="BA2736" s="21" t="str">
        <f>IF($AL2736="","",$AL2736&amp;"|"&amp;COUNTIF($AL$11:$AL2736,$AL2736))</f>
        <v/>
      </c>
    </row>
    <row r="2737" spans="38:53" ht="15" customHeight="1" x14ac:dyDescent="0.25">
      <c r="AL2737" s="17"/>
      <c r="AM2737" s="12"/>
      <c r="AN2737" s="18"/>
      <c r="AO2737" s="18"/>
      <c r="AP2737" s="10"/>
      <c r="AQ2737" s="10"/>
      <c r="AR2737" s="19"/>
      <c r="AS2737" s="20"/>
      <c r="AT2737" s="19"/>
      <c r="AV2737" s="21">
        <f>IF(AND($AL2737&lt;&gt;"",COUNTIF($AL$11:$AL2737,$AL2737)=1),1,0)</f>
        <v>0</v>
      </c>
      <c r="AW2737" s="21">
        <f t="shared" si="171"/>
        <v>2</v>
      </c>
      <c r="AX2737" s="21" t="str">
        <f t="shared" si="170"/>
        <v/>
      </c>
      <c r="AY2737" s="21" t="str">
        <f>IF(AND($AM2737&lt;&gt;"",$AS2737&lt;&gt;"✓"),SUMPRODUCT(($AM$11:$AM2737&lt;&gt;"")*($AS$11:$AS2737&lt;&gt;"✓")),"")</f>
        <v/>
      </c>
      <c r="AZ2737" s="21" t="str">
        <f>IF(AND($AM2737&lt;&gt;"",$AS2737="✓"),SUMPRODUCT(($AM$11:$AM2737&lt;&gt;"")*($AS$11:$AS2737="✓")),"")</f>
        <v/>
      </c>
      <c r="BA2737" s="21" t="str">
        <f>IF($AL2737="","",$AL2737&amp;"|"&amp;COUNTIF($AL$11:$AL2737,$AL2737))</f>
        <v/>
      </c>
    </row>
    <row r="2738" spans="38:53" ht="15" customHeight="1" x14ac:dyDescent="0.25">
      <c r="AL2738" s="31"/>
      <c r="AM2738" s="26"/>
      <c r="AN2738" s="32"/>
      <c r="AO2738" s="32"/>
      <c r="AP2738" s="24"/>
      <c r="AQ2738" s="24"/>
      <c r="AR2738" s="33"/>
      <c r="AS2738" s="34"/>
      <c r="AT2738" s="33"/>
      <c r="AV2738" s="21">
        <f>IF(AND($AL2738&lt;&gt;"",COUNTIF($AL$11:$AL2738,$AL2738)=1),1,0)</f>
        <v>0</v>
      </c>
      <c r="AW2738" s="21">
        <f t="shared" si="171"/>
        <v>2</v>
      </c>
      <c r="AX2738" s="21" t="str">
        <f t="shared" si="170"/>
        <v/>
      </c>
      <c r="AY2738" s="21" t="str">
        <f>IF(AND($AM2738&lt;&gt;"",$AS2738&lt;&gt;"✓"),SUMPRODUCT(($AM$11:$AM2738&lt;&gt;"")*($AS$11:$AS2738&lt;&gt;"✓")),"")</f>
        <v/>
      </c>
      <c r="AZ2738" s="21" t="str">
        <f>IF(AND($AM2738&lt;&gt;"",$AS2738="✓"),SUMPRODUCT(($AM$11:$AM2738&lt;&gt;"")*($AS$11:$AS2738="✓")),"")</f>
        <v/>
      </c>
      <c r="BA2738" s="21" t="str">
        <f>IF($AL2738="","",$AL2738&amp;"|"&amp;COUNTIF($AL$11:$AL2738,$AL2738))</f>
        <v/>
      </c>
    </row>
    <row r="2739" spans="38:53" ht="15" customHeight="1" x14ac:dyDescent="0.25">
      <c r="AL2739" s="17"/>
      <c r="AM2739" s="12"/>
      <c r="AN2739" s="18"/>
      <c r="AO2739" s="18"/>
      <c r="AP2739" s="10"/>
      <c r="AQ2739" s="10"/>
      <c r="AR2739" s="19"/>
      <c r="AS2739" s="20"/>
      <c r="AT2739" s="19"/>
      <c r="AV2739" s="21">
        <f>IF(AND($AL2739&lt;&gt;"",COUNTIF($AL$11:$AL2739,$AL2739)=1),1,0)</f>
        <v>0</v>
      </c>
      <c r="AW2739" s="21">
        <f t="shared" si="171"/>
        <v>2</v>
      </c>
      <c r="AX2739" s="21" t="str">
        <f t="shared" si="170"/>
        <v/>
      </c>
      <c r="AY2739" s="21" t="str">
        <f>IF(AND($AM2739&lt;&gt;"",$AS2739&lt;&gt;"✓"),SUMPRODUCT(($AM$11:$AM2739&lt;&gt;"")*($AS$11:$AS2739&lt;&gt;"✓")),"")</f>
        <v/>
      </c>
      <c r="AZ2739" s="21" t="str">
        <f>IF(AND($AM2739&lt;&gt;"",$AS2739="✓"),SUMPRODUCT(($AM$11:$AM2739&lt;&gt;"")*($AS$11:$AS2739="✓")),"")</f>
        <v/>
      </c>
      <c r="BA2739" s="21" t="str">
        <f>IF($AL2739="","",$AL2739&amp;"|"&amp;COUNTIF($AL$11:$AL2739,$AL2739))</f>
        <v/>
      </c>
    </row>
    <row r="2740" spans="38:53" ht="15" customHeight="1" x14ac:dyDescent="0.25">
      <c r="AL2740" s="31"/>
      <c r="AM2740" s="26"/>
      <c r="AN2740" s="32"/>
      <c r="AO2740" s="32"/>
      <c r="AP2740" s="24"/>
      <c r="AQ2740" s="24"/>
      <c r="AR2740" s="33"/>
      <c r="AS2740" s="34"/>
      <c r="AT2740" s="33"/>
      <c r="AV2740" s="21">
        <f>IF(AND($AL2740&lt;&gt;"",COUNTIF($AL$11:$AL2740,$AL2740)=1),1,0)</f>
        <v>0</v>
      </c>
      <c r="AW2740" s="21">
        <f t="shared" si="171"/>
        <v>2</v>
      </c>
      <c r="AX2740" s="21" t="str">
        <f t="shared" si="170"/>
        <v/>
      </c>
      <c r="AY2740" s="21" t="str">
        <f>IF(AND($AM2740&lt;&gt;"",$AS2740&lt;&gt;"✓"),SUMPRODUCT(($AM$11:$AM2740&lt;&gt;"")*($AS$11:$AS2740&lt;&gt;"✓")),"")</f>
        <v/>
      </c>
      <c r="AZ2740" s="21" t="str">
        <f>IF(AND($AM2740&lt;&gt;"",$AS2740="✓"),SUMPRODUCT(($AM$11:$AM2740&lt;&gt;"")*($AS$11:$AS2740="✓")),"")</f>
        <v/>
      </c>
      <c r="BA2740" s="21" t="str">
        <f>IF($AL2740="","",$AL2740&amp;"|"&amp;COUNTIF($AL$11:$AL2740,$AL2740))</f>
        <v/>
      </c>
    </row>
    <row r="2741" spans="38:53" ht="15" customHeight="1" x14ac:dyDescent="0.25">
      <c r="AL2741" s="17"/>
      <c r="AM2741" s="12"/>
      <c r="AN2741" s="18"/>
      <c r="AO2741" s="18"/>
      <c r="AP2741" s="10"/>
      <c r="AQ2741" s="10"/>
      <c r="AR2741" s="19"/>
      <c r="AS2741" s="20"/>
      <c r="AT2741" s="19"/>
      <c r="AV2741" s="21">
        <f>IF(AND($AL2741&lt;&gt;"",COUNTIF($AL$11:$AL2741,$AL2741)=1),1,0)</f>
        <v>0</v>
      </c>
      <c r="AW2741" s="21">
        <f t="shared" si="171"/>
        <v>2</v>
      </c>
      <c r="AX2741" s="21" t="str">
        <f t="shared" si="170"/>
        <v/>
      </c>
      <c r="AY2741" s="21" t="str">
        <f>IF(AND($AM2741&lt;&gt;"",$AS2741&lt;&gt;"✓"),SUMPRODUCT(($AM$11:$AM2741&lt;&gt;"")*($AS$11:$AS2741&lt;&gt;"✓")),"")</f>
        <v/>
      </c>
      <c r="AZ2741" s="21" t="str">
        <f>IF(AND($AM2741&lt;&gt;"",$AS2741="✓"),SUMPRODUCT(($AM$11:$AM2741&lt;&gt;"")*($AS$11:$AS2741="✓")),"")</f>
        <v/>
      </c>
      <c r="BA2741" s="21" t="str">
        <f>IF($AL2741="","",$AL2741&amp;"|"&amp;COUNTIF($AL$11:$AL2741,$AL2741))</f>
        <v/>
      </c>
    </row>
    <row r="2742" spans="38:53" ht="15" customHeight="1" x14ac:dyDescent="0.25">
      <c r="AL2742" s="31"/>
      <c r="AM2742" s="26"/>
      <c r="AN2742" s="32"/>
      <c r="AO2742" s="32"/>
      <c r="AP2742" s="24"/>
      <c r="AQ2742" s="24"/>
      <c r="AR2742" s="33"/>
      <c r="AS2742" s="34"/>
      <c r="AT2742" s="33"/>
      <c r="AV2742" s="21">
        <f>IF(AND($AL2742&lt;&gt;"",COUNTIF($AL$11:$AL2742,$AL2742)=1),1,0)</f>
        <v>0</v>
      </c>
      <c r="AW2742" s="21">
        <f t="shared" si="171"/>
        <v>2</v>
      </c>
      <c r="AX2742" s="21" t="str">
        <f t="shared" si="170"/>
        <v/>
      </c>
      <c r="AY2742" s="21" t="str">
        <f>IF(AND($AM2742&lt;&gt;"",$AS2742&lt;&gt;"✓"),SUMPRODUCT(($AM$11:$AM2742&lt;&gt;"")*($AS$11:$AS2742&lt;&gt;"✓")),"")</f>
        <v/>
      </c>
      <c r="AZ2742" s="21" t="str">
        <f>IF(AND($AM2742&lt;&gt;"",$AS2742="✓"),SUMPRODUCT(($AM$11:$AM2742&lt;&gt;"")*($AS$11:$AS2742="✓")),"")</f>
        <v/>
      </c>
      <c r="BA2742" s="21" t="str">
        <f>IF($AL2742="","",$AL2742&amp;"|"&amp;COUNTIF($AL$11:$AL2742,$AL2742))</f>
        <v/>
      </c>
    </row>
    <row r="2743" spans="38:53" ht="15" customHeight="1" x14ac:dyDescent="0.25">
      <c r="AL2743" s="17"/>
      <c r="AM2743" s="12"/>
      <c r="AN2743" s="18"/>
      <c r="AO2743" s="18"/>
      <c r="AP2743" s="10"/>
      <c r="AQ2743" s="10"/>
      <c r="AR2743" s="19"/>
      <c r="AS2743" s="20"/>
      <c r="AT2743" s="19"/>
      <c r="AV2743" s="21">
        <f>IF(AND($AL2743&lt;&gt;"",COUNTIF($AL$11:$AL2743,$AL2743)=1),1,0)</f>
        <v>0</v>
      </c>
      <c r="AW2743" s="21">
        <f t="shared" si="171"/>
        <v>2</v>
      </c>
      <c r="AX2743" s="21" t="str">
        <f t="shared" si="170"/>
        <v/>
      </c>
      <c r="AY2743" s="21" t="str">
        <f>IF(AND($AM2743&lt;&gt;"",$AS2743&lt;&gt;"✓"),SUMPRODUCT(($AM$11:$AM2743&lt;&gt;"")*($AS$11:$AS2743&lt;&gt;"✓")),"")</f>
        <v/>
      </c>
      <c r="AZ2743" s="21" t="str">
        <f>IF(AND($AM2743&lt;&gt;"",$AS2743="✓"),SUMPRODUCT(($AM$11:$AM2743&lt;&gt;"")*($AS$11:$AS2743="✓")),"")</f>
        <v/>
      </c>
      <c r="BA2743" s="21" t="str">
        <f>IF($AL2743="","",$AL2743&amp;"|"&amp;COUNTIF($AL$11:$AL2743,$AL2743))</f>
        <v/>
      </c>
    </row>
    <row r="2744" spans="38:53" ht="15" customHeight="1" x14ac:dyDescent="0.25">
      <c r="AL2744" s="31"/>
      <c r="AM2744" s="26"/>
      <c r="AN2744" s="32"/>
      <c r="AO2744" s="32"/>
      <c r="AP2744" s="24"/>
      <c r="AQ2744" s="24"/>
      <c r="AR2744" s="33"/>
      <c r="AS2744" s="34"/>
      <c r="AT2744" s="33"/>
      <c r="AV2744" s="21">
        <f>IF(AND($AL2744&lt;&gt;"",COUNTIF($AL$11:$AL2744,$AL2744)=1),1,0)</f>
        <v>0</v>
      </c>
      <c r="AW2744" s="21">
        <f t="shared" si="171"/>
        <v>2</v>
      </c>
      <c r="AX2744" s="21" t="str">
        <f t="shared" si="170"/>
        <v/>
      </c>
      <c r="AY2744" s="21" t="str">
        <f>IF(AND($AM2744&lt;&gt;"",$AS2744&lt;&gt;"✓"),SUMPRODUCT(($AM$11:$AM2744&lt;&gt;"")*($AS$11:$AS2744&lt;&gt;"✓")),"")</f>
        <v/>
      </c>
      <c r="AZ2744" s="21" t="str">
        <f>IF(AND($AM2744&lt;&gt;"",$AS2744="✓"),SUMPRODUCT(($AM$11:$AM2744&lt;&gt;"")*($AS$11:$AS2744="✓")),"")</f>
        <v/>
      </c>
      <c r="BA2744" s="21" t="str">
        <f>IF($AL2744="","",$AL2744&amp;"|"&amp;COUNTIF($AL$11:$AL2744,$AL2744))</f>
        <v/>
      </c>
    </row>
    <row r="2745" spans="38:53" ht="15" customHeight="1" x14ac:dyDescent="0.25">
      <c r="AL2745" s="17"/>
      <c r="AM2745" s="12"/>
      <c r="AN2745" s="18"/>
      <c r="AO2745" s="18"/>
      <c r="AP2745" s="10"/>
      <c r="AQ2745" s="10"/>
      <c r="AR2745" s="19"/>
      <c r="AS2745" s="20"/>
      <c r="AT2745" s="19"/>
      <c r="AV2745" s="21">
        <f>IF(AND($AL2745&lt;&gt;"",COUNTIF($AL$11:$AL2745,$AL2745)=1),1,0)</f>
        <v>0</v>
      </c>
      <c r="AW2745" s="21">
        <f t="shared" si="171"/>
        <v>2</v>
      </c>
      <c r="AX2745" s="21" t="str">
        <f t="shared" si="170"/>
        <v/>
      </c>
      <c r="AY2745" s="21" t="str">
        <f>IF(AND($AM2745&lt;&gt;"",$AS2745&lt;&gt;"✓"),SUMPRODUCT(($AM$11:$AM2745&lt;&gt;"")*($AS$11:$AS2745&lt;&gt;"✓")),"")</f>
        <v/>
      </c>
      <c r="AZ2745" s="21" t="str">
        <f>IF(AND($AM2745&lt;&gt;"",$AS2745="✓"),SUMPRODUCT(($AM$11:$AM2745&lt;&gt;"")*($AS$11:$AS2745="✓")),"")</f>
        <v/>
      </c>
      <c r="BA2745" s="21" t="str">
        <f>IF($AL2745="","",$AL2745&amp;"|"&amp;COUNTIF($AL$11:$AL2745,$AL2745))</f>
        <v/>
      </c>
    </row>
    <row r="2746" spans="38:53" ht="15" customHeight="1" x14ac:dyDescent="0.25">
      <c r="AL2746" s="31"/>
      <c r="AM2746" s="26"/>
      <c r="AN2746" s="32"/>
      <c r="AO2746" s="32"/>
      <c r="AP2746" s="24"/>
      <c r="AQ2746" s="24"/>
      <c r="AR2746" s="33"/>
      <c r="AS2746" s="34"/>
      <c r="AT2746" s="33"/>
      <c r="AV2746" s="21">
        <f>IF(AND($AL2746&lt;&gt;"",COUNTIF($AL$11:$AL2746,$AL2746)=1),1,0)</f>
        <v>0</v>
      </c>
      <c r="AW2746" s="21">
        <f t="shared" si="171"/>
        <v>2</v>
      </c>
      <c r="AX2746" s="21" t="str">
        <f t="shared" si="170"/>
        <v/>
      </c>
      <c r="AY2746" s="21" t="str">
        <f>IF(AND($AM2746&lt;&gt;"",$AS2746&lt;&gt;"✓"),SUMPRODUCT(($AM$11:$AM2746&lt;&gt;"")*($AS$11:$AS2746&lt;&gt;"✓")),"")</f>
        <v/>
      </c>
      <c r="AZ2746" s="21" t="str">
        <f>IF(AND($AM2746&lt;&gt;"",$AS2746="✓"),SUMPRODUCT(($AM$11:$AM2746&lt;&gt;"")*($AS$11:$AS2746="✓")),"")</f>
        <v/>
      </c>
      <c r="BA2746" s="21" t="str">
        <f>IF($AL2746="","",$AL2746&amp;"|"&amp;COUNTIF($AL$11:$AL2746,$AL2746))</f>
        <v/>
      </c>
    </row>
    <row r="2747" spans="38:53" ht="15" customHeight="1" x14ac:dyDescent="0.25">
      <c r="AL2747" s="17"/>
      <c r="AM2747" s="12"/>
      <c r="AN2747" s="18"/>
      <c r="AO2747" s="18"/>
      <c r="AP2747" s="10"/>
      <c r="AQ2747" s="10"/>
      <c r="AR2747" s="19"/>
      <c r="AS2747" s="20"/>
      <c r="AT2747" s="19"/>
      <c r="AV2747" s="21">
        <f>IF(AND($AL2747&lt;&gt;"",COUNTIF($AL$11:$AL2747,$AL2747)=1),1,0)</f>
        <v>0</v>
      </c>
      <c r="AW2747" s="21">
        <f t="shared" si="171"/>
        <v>2</v>
      </c>
      <c r="AX2747" s="21" t="str">
        <f t="shared" si="170"/>
        <v/>
      </c>
      <c r="AY2747" s="21" t="str">
        <f>IF(AND($AM2747&lt;&gt;"",$AS2747&lt;&gt;"✓"),SUMPRODUCT(($AM$11:$AM2747&lt;&gt;"")*($AS$11:$AS2747&lt;&gt;"✓")),"")</f>
        <v/>
      </c>
      <c r="AZ2747" s="21" t="str">
        <f>IF(AND($AM2747&lt;&gt;"",$AS2747="✓"),SUMPRODUCT(($AM$11:$AM2747&lt;&gt;"")*($AS$11:$AS2747="✓")),"")</f>
        <v/>
      </c>
      <c r="BA2747" s="21" t="str">
        <f>IF($AL2747="","",$AL2747&amp;"|"&amp;COUNTIF($AL$11:$AL2747,$AL2747))</f>
        <v/>
      </c>
    </row>
    <row r="2748" spans="38:53" ht="15" customHeight="1" x14ac:dyDescent="0.25">
      <c r="AL2748" s="31"/>
      <c r="AM2748" s="26"/>
      <c r="AN2748" s="32"/>
      <c r="AO2748" s="32"/>
      <c r="AP2748" s="24"/>
      <c r="AQ2748" s="24"/>
      <c r="AR2748" s="33"/>
      <c r="AS2748" s="34"/>
      <c r="AT2748" s="33"/>
      <c r="AV2748" s="21">
        <f>IF(AND($AL2748&lt;&gt;"",COUNTIF($AL$11:$AL2748,$AL2748)=1),1,0)</f>
        <v>0</v>
      </c>
      <c r="AW2748" s="21">
        <f t="shared" si="171"/>
        <v>2</v>
      </c>
      <c r="AX2748" s="21" t="str">
        <f t="shared" si="170"/>
        <v/>
      </c>
      <c r="AY2748" s="21" t="str">
        <f>IF(AND($AM2748&lt;&gt;"",$AS2748&lt;&gt;"✓"),SUMPRODUCT(($AM$11:$AM2748&lt;&gt;"")*($AS$11:$AS2748&lt;&gt;"✓")),"")</f>
        <v/>
      </c>
      <c r="AZ2748" s="21" t="str">
        <f>IF(AND($AM2748&lt;&gt;"",$AS2748="✓"),SUMPRODUCT(($AM$11:$AM2748&lt;&gt;"")*($AS$11:$AS2748="✓")),"")</f>
        <v/>
      </c>
      <c r="BA2748" s="21" t="str">
        <f>IF($AL2748="","",$AL2748&amp;"|"&amp;COUNTIF($AL$11:$AL2748,$AL2748))</f>
        <v/>
      </c>
    </row>
    <row r="2749" spans="38:53" ht="15" customHeight="1" x14ac:dyDescent="0.25">
      <c r="AL2749" s="17"/>
      <c r="AM2749" s="12"/>
      <c r="AN2749" s="18"/>
      <c r="AO2749" s="18"/>
      <c r="AP2749" s="10"/>
      <c r="AQ2749" s="10"/>
      <c r="AR2749" s="19"/>
      <c r="AS2749" s="20"/>
      <c r="AT2749" s="19"/>
      <c r="AV2749" s="21">
        <f>IF(AND($AL2749&lt;&gt;"",COUNTIF($AL$11:$AL2749,$AL2749)=1),1,0)</f>
        <v>0</v>
      </c>
      <c r="AW2749" s="21">
        <f t="shared" si="171"/>
        <v>2</v>
      </c>
      <c r="AX2749" s="21" t="str">
        <f t="shared" si="170"/>
        <v/>
      </c>
      <c r="AY2749" s="21" t="str">
        <f>IF(AND($AM2749&lt;&gt;"",$AS2749&lt;&gt;"✓"),SUMPRODUCT(($AM$11:$AM2749&lt;&gt;"")*($AS$11:$AS2749&lt;&gt;"✓")),"")</f>
        <v/>
      </c>
      <c r="AZ2749" s="21" t="str">
        <f>IF(AND($AM2749&lt;&gt;"",$AS2749="✓"),SUMPRODUCT(($AM$11:$AM2749&lt;&gt;"")*($AS$11:$AS2749="✓")),"")</f>
        <v/>
      </c>
      <c r="BA2749" s="21" t="str">
        <f>IF($AL2749="","",$AL2749&amp;"|"&amp;COUNTIF($AL$11:$AL2749,$AL2749))</f>
        <v/>
      </c>
    </row>
    <row r="2750" spans="38:53" ht="15" customHeight="1" x14ac:dyDescent="0.25">
      <c r="AL2750" s="31"/>
      <c r="AM2750" s="26"/>
      <c r="AN2750" s="32"/>
      <c r="AO2750" s="32"/>
      <c r="AP2750" s="24"/>
      <c r="AQ2750" s="24"/>
      <c r="AR2750" s="33"/>
      <c r="AS2750" s="34"/>
      <c r="AT2750" s="33"/>
      <c r="AV2750" s="21">
        <f>IF(AND($AL2750&lt;&gt;"",COUNTIF($AL$11:$AL2750,$AL2750)=1),1,0)</f>
        <v>0</v>
      </c>
      <c r="AW2750" s="21">
        <f t="shared" si="171"/>
        <v>2</v>
      </c>
      <c r="AX2750" s="21" t="str">
        <f t="shared" si="170"/>
        <v/>
      </c>
      <c r="AY2750" s="21" t="str">
        <f>IF(AND($AM2750&lt;&gt;"",$AS2750&lt;&gt;"✓"),SUMPRODUCT(($AM$11:$AM2750&lt;&gt;"")*($AS$11:$AS2750&lt;&gt;"✓")),"")</f>
        <v/>
      </c>
      <c r="AZ2750" s="21" t="str">
        <f>IF(AND($AM2750&lt;&gt;"",$AS2750="✓"),SUMPRODUCT(($AM$11:$AM2750&lt;&gt;"")*($AS$11:$AS2750="✓")),"")</f>
        <v/>
      </c>
      <c r="BA2750" s="21" t="str">
        <f>IF($AL2750="","",$AL2750&amp;"|"&amp;COUNTIF($AL$11:$AL2750,$AL2750))</f>
        <v/>
      </c>
    </row>
    <row r="2751" spans="38:53" ht="15" customHeight="1" x14ac:dyDescent="0.25">
      <c r="AL2751" s="17"/>
      <c r="AM2751" s="12"/>
      <c r="AN2751" s="18"/>
      <c r="AO2751" s="18"/>
      <c r="AP2751" s="10"/>
      <c r="AQ2751" s="10"/>
      <c r="AR2751" s="19"/>
      <c r="AS2751" s="20"/>
      <c r="AT2751" s="19"/>
      <c r="AV2751" s="21">
        <f>IF(AND($AL2751&lt;&gt;"",COUNTIF($AL$11:$AL2751,$AL2751)=1),1,0)</f>
        <v>0</v>
      </c>
      <c r="AW2751" s="21">
        <f t="shared" si="171"/>
        <v>2</v>
      </c>
      <c r="AX2751" s="21" t="str">
        <f t="shared" si="170"/>
        <v/>
      </c>
      <c r="AY2751" s="21" t="str">
        <f>IF(AND($AM2751&lt;&gt;"",$AS2751&lt;&gt;"✓"),SUMPRODUCT(($AM$11:$AM2751&lt;&gt;"")*($AS$11:$AS2751&lt;&gt;"✓")),"")</f>
        <v/>
      </c>
      <c r="AZ2751" s="21" t="str">
        <f>IF(AND($AM2751&lt;&gt;"",$AS2751="✓"),SUMPRODUCT(($AM$11:$AM2751&lt;&gt;"")*($AS$11:$AS2751="✓")),"")</f>
        <v/>
      </c>
      <c r="BA2751" s="21" t="str">
        <f>IF($AL2751="","",$AL2751&amp;"|"&amp;COUNTIF($AL$11:$AL2751,$AL2751))</f>
        <v/>
      </c>
    </row>
    <row r="2752" spans="38:53" ht="15" customHeight="1" x14ac:dyDescent="0.25">
      <c r="AL2752" s="31"/>
      <c r="AM2752" s="26"/>
      <c r="AN2752" s="32"/>
      <c r="AO2752" s="32"/>
      <c r="AP2752" s="24"/>
      <c r="AQ2752" s="24"/>
      <c r="AR2752" s="33"/>
      <c r="AS2752" s="34"/>
      <c r="AT2752" s="33"/>
      <c r="AV2752" s="21">
        <f>IF(AND($AL2752&lt;&gt;"",COUNTIF($AL$11:$AL2752,$AL2752)=1),1,0)</f>
        <v>0</v>
      </c>
      <c r="AW2752" s="21">
        <f t="shared" si="171"/>
        <v>2</v>
      </c>
      <c r="AX2752" s="21" t="str">
        <f t="shared" si="170"/>
        <v/>
      </c>
      <c r="AY2752" s="21" t="str">
        <f>IF(AND($AM2752&lt;&gt;"",$AS2752&lt;&gt;"✓"),SUMPRODUCT(($AM$11:$AM2752&lt;&gt;"")*($AS$11:$AS2752&lt;&gt;"✓")),"")</f>
        <v/>
      </c>
      <c r="AZ2752" s="21" t="str">
        <f>IF(AND($AM2752&lt;&gt;"",$AS2752="✓"),SUMPRODUCT(($AM$11:$AM2752&lt;&gt;"")*($AS$11:$AS2752="✓")),"")</f>
        <v/>
      </c>
      <c r="BA2752" s="21" t="str">
        <f>IF($AL2752="","",$AL2752&amp;"|"&amp;COUNTIF($AL$11:$AL2752,$AL2752))</f>
        <v/>
      </c>
    </row>
    <row r="2753" spans="38:53" ht="15" customHeight="1" x14ac:dyDescent="0.25">
      <c r="AL2753" s="17"/>
      <c r="AM2753" s="12"/>
      <c r="AN2753" s="18"/>
      <c r="AO2753" s="18"/>
      <c r="AP2753" s="10"/>
      <c r="AQ2753" s="10"/>
      <c r="AR2753" s="19"/>
      <c r="AS2753" s="20"/>
      <c r="AT2753" s="19"/>
      <c r="AV2753" s="21">
        <f>IF(AND($AL2753&lt;&gt;"",COUNTIF($AL$11:$AL2753,$AL2753)=1),1,0)</f>
        <v>0</v>
      </c>
      <c r="AW2753" s="21">
        <f t="shared" si="171"/>
        <v>2</v>
      </c>
      <c r="AX2753" s="21" t="str">
        <f t="shared" si="170"/>
        <v/>
      </c>
      <c r="AY2753" s="21" t="str">
        <f>IF(AND($AM2753&lt;&gt;"",$AS2753&lt;&gt;"✓"),SUMPRODUCT(($AM$11:$AM2753&lt;&gt;"")*($AS$11:$AS2753&lt;&gt;"✓")),"")</f>
        <v/>
      </c>
      <c r="AZ2753" s="21" t="str">
        <f>IF(AND($AM2753&lt;&gt;"",$AS2753="✓"),SUMPRODUCT(($AM$11:$AM2753&lt;&gt;"")*($AS$11:$AS2753="✓")),"")</f>
        <v/>
      </c>
      <c r="BA2753" s="21" t="str">
        <f>IF($AL2753="","",$AL2753&amp;"|"&amp;COUNTIF($AL$11:$AL2753,$AL2753))</f>
        <v/>
      </c>
    </row>
    <row r="2754" spans="38:53" ht="15" customHeight="1" x14ac:dyDescent="0.25">
      <c r="AL2754" s="31"/>
      <c r="AM2754" s="26"/>
      <c r="AN2754" s="32"/>
      <c r="AO2754" s="32"/>
      <c r="AP2754" s="24"/>
      <c r="AQ2754" s="24"/>
      <c r="AR2754" s="33"/>
      <c r="AS2754" s="34"/>
      <c r="AT2754" s="33"/>
      <c r="AV2754" s="21">
        <f>IF(AND($AL2754&lt;&gt;"",COUNTIF($AL$11:$AL2754,$AL2754)=1),1,0)</f>
        <v>0</v>
      </c>
      <c r="AW2754" s="21">
        <f t="shared" si="171"/>
        <v>2</v>
      </c>
      <c r="AX2754" s="21" t="str">
        <f t="shared" si="170"/>
        <v/>
      </c>
      <c r="AY2754" s="21" t="str">
        <f>IF(AND($AM2754&lt;&gt;"",$AS2754&lt;&gt;"✓"),SUMPRODUCT(($AM$11:$AM2754&lt;&gt;"")*($AS$11:$AS2754&lt;&gt;"✓")),"")</f>
        <v/>
      </c>
      <c r="AZ2754" s="21" t="str">
        <f>IF(AND($AM2754&lt;&gt;"",$AS2754="✓"),SUMPRODUCT(($AM$11:$AM2754&lt;&gt;"")*($AS$11:$AS2754="✓")),"")</f>
        <v/>
      </c>
      <c r="BA2754" s="21" t="str">
        <f>IF($AL2754="","",$AL2754&amp;"|"&amp;COUNTIF($AL$11:$AL2754,$AL2754))</f>
        <v/>
      </c>
    </row>
    <row r="2755" spans="38:53" ht="15" customHeight="1" x14ac:dyDescent="0.25">
      <c r="AL2755" s="17"/>
      <c r="AM2755" s="12"/>
      <c r="AN2755" s="18"/>
      <c r="AO2755" s="18"/>
      <c r="AP2755" s="10"/>
      <c r="AQ2755" s="10"/>
      <c r="AR2755" s="19"/>
      <c r="AS2755" s="20"/>
      <c r="AT2755" s="19"/>
      <c r="AV2755" s="21">
        <f>IF(AND($AL2755&lt;&gt;"",COUNTIF($AL$11:$AL2755,$AL2755)=1),1,0)</f>
        <v>0</v>
      </c>
      <c r="AW2755" s="21">
        <f t="shared" si="171"/>
        <v>2</v>
      </c>
      <c r="AX2755" s="21" t="str">
        <f t="shared" si="170"/>
        <v/>
      </c>
      <c r="AY2755" s="21" t="str">
        <f>IF(AND($AM2755&lt;&gt;"",$AS2755&lt;&gt;"✓"),SUMPRODUCT(($AM$11:$AM2755&lt;&gt;"")*($AS$11:$AS2755&lt;&gt;"✓")),"")</f>
        <v/>
      </c>
      <c r="AZ2755" s="21" t="str">
        <f>IF(AND($AM2755&lt;&gt;"",$AS2755="✓"),SUMPRODUCT(($AM$11:$AM2755&lt;&gt;"")*($AS$11:$AS2755="✓")),"")</f>
        <v/>
      </c>
      <c r="BA2755" s="21" t="str">
        <f>IF($AL2755="","",$AL2755&amp;"|"&amp;COUNTIF($AL$11:$AL2755,$AL2755))</f>
        <v/>
      </c>
    </row>
    <row r="2756" spans="38:53" ht="15" customHeight="1" x14ac:dyDescent="0.25">
      <c r="AL2756" s="31"/>
      <c r="AM2756" s="26"/>
      <c r="AN2756" s="32"/>
      <c r="AO2756" s="32"/>
      <c r="AP2756" s="24"/>
      <c r="AQ2756" s="24"/>
      <c r="AR2756" s="33"/>
      <c r="AS2756" s="34"/>
      <c r="AT2756" s="33"/>
      <c r="AV2756" s="21">
        <f>IF(AND($AL2756&lt;&gt;"",COUNTIF($AL$11:$AL2756,$AL2756)=1),1,0)</f>
        <v>0</v>
      </c>
      <c r="AW2756" s="21">
        <f t="shared" si="171"/>
        <v>2</v>
      </c>
      <c r="AX2756" s="21" t="str">
        <f t="shared" si="170"/>
        <v/>
      </c>
      <c r="AY2756" s="21" t="str">
        <f>IF(AND($AM2756&lt;&gt;"",$AS2756&lt;&gt;"✓"),SUMPRODUCT(($AM$11:$AM2756&lt;&gt;"")*($AS$11:$AS2756&lt;&gt;"✓")),"")</f>
        <v/>
      </c>
      <c r="AZ2756" s="21" t="str">
        <f>IF(AND($AM2756&lt;&gt;"",$AS2756="✓"),SUMPRODUCT(($AM$11:$AM2756&lt;&gt;"")*($AS$11:$AS2756="✓")),"")</f>
        <v/>
      </c>
      <c r="BA2756" s="21" t="str">
        <f>IF($AL2756="","",$AL2756&amp;"|"&amp;COUNTIF($AL$11:$AL2756,$AL2756))</f>
        <v/>
      </c>
    </row>
    <row r="2757" spans="38:53" ht="15" customHeight="1" x14ac:dyDescent="0.25">
      <c r="AL2757" s="17"/>
      <c r="AM2757" s="12"/>
      <c r="AN2757" s="18"/>
      <c r="AO2757" s="18"/>
      <c r="AP2757" s="10"/>
      <c r="AQ2757" s="10"/>
      <c r="AR2757" s="19"/>
      <c r="AS2757" s="20"/>
      <c r="AT2757" s="19"/>
      <c r="AV2757" s="21">
        <f>IF(AND($AL2757&lt;&gt;"",COUNTIF($AL$11:$AL2757,$AL2757)=1),1,0)</f>
        <v>0</v>
      </c>
      <c r="AW2757" s="21">
        <f t="shared" si="171"/>
        <v>2</v>
      </c>
      <c r="AX2757" s="21" t="str">
        <f t="shared" si="170"/>
        <v/>
      </c>
      <c r="AY2757" s="21" t="str">
        <f>IF(AND($AM2757&lt;&gt;"",$AS2757&lt;&gt;"✓"),SUMPRODUCT(($AM$11:$AM2757&lt;&gt;"")*($AS$11:$AS2757&lt;&gt;"✓")),"")</f>
        <v/>
      </c>
      <c r="AZ2757" s="21" t="str">
        <f>IF(AND($AM2757&lt;&gt;"",$AS2757="✓"),SUMPRODUCT(($AM$11:$AM2757&lt;&gt;"")*($AS$11:$AS2757="✓")),"")</f>
        <v/>
      </c>
      <c r="BA2757" s="21" t="str">
        <f>IF($AL2757="","",$AL2757&amp;"|"&amp;COUNTIF($AL$11:$AL2757,$AL2757))</f>
        <v/>
      </c>
    </row>
    <row r="2758" spans="38:53" ht="15" customHeight="1" x14ac:dyDescent="0.25">
      <c r="AL2758" s="31"/>
      <c r="AM2758" s="26"/>
      <c r="AN2758" s="32"/>
      <c r="AO2758" s="32"/>
      <c r="AP2758" s="24"/>
      <c r="AQ2758" s="24"/>
      <c r="AR2758" s="33"/>
      <c r="AS2758" s="34"/>
      <c r="AT2758" s="33"/>
      <c r="AV2758" s="21">
        <f>IF(AND($AL2758&lt;&gt;"",COUNTIF($AL$11:$AL2758,$AL2758)=1),1,0)</f>
        <v>0</v>
      </c>
      <c r="AW2758" s="21">
        <f t="shared" si="171"/>
        <v>2</v>
      </c>
      <c r="AX2758" s="21" t="str">
        <f t="shared" si="170"/>
        <v/>
      </c>
      <c r="AY2758" s="21" t="str">
        <f>IF(AND($AM2758&lt;&gt;"",$AS2758&lt;&gt;"✓"),SUMPRODUCT(($AM$11:$AM2758&lt;&gt;"")*($AS$11:$AS2758&lt;&gt;"✓")),"")</f>
        <v/>
      </c>
      <c r="AZ2758" s="21" t="str">
        <f>IF(AND($AM2758&lt;&gt;"",$AS2758="✓"),SUMPRODUCT(($AM$11:$AM2758&lt;&gt;"")*($AS$11:$AS2758="✓")),"")</f>
        <v/>
      </c>
      <c r="BA2758" s="21" t="str">
        <f>IF($AL2758="","",$AL2758&amp;"|"&amp;COUNTIF($AL$11:$AL2758,$AL2758))</f>
        <v/>
      </c>
    </row>
    <row r="2759" spans="38:53" ht="15" customHeight="1" x14ac:dyDescent="0.25">
      <c r="AL2759" s="17"/>
      <c r="AM2759" s="12"/>
      <c r="AN2759" s="18"/>
      <c r="AO2759" s="18"/>
      <c r="AP2759" s="10"/>
      <c r="AQ2759" s="10"/>
      <c r="AR2759" s="19"/>
      <c r="AS2759" s="20"/>
      <c r="AT2759" s="19"/>
      <c r="AV2759" s="21">
        <f>IF(AND($AL2759&lt;&gt;"",COUNTIF($AL$11:$AL2759,$AL2759)=1),1,0)</f>
        <v>0</v>
      </c>
      <c r="AW2759" s="21">
        <f t="shared" si="171"/>
        <v>2</v>
      </c>
      <c r="AX2759" s="21" t="str">
        <f t="shared" si="170"/>
        <v/>
      </c>
      <c r="AY2759" s="21" t="str">
        <f>IF(AND($AM2759&lt;&gt;"",$AS2759&lt;&gt;"✓"),SUMPRODUCT(($AM$11:$AM2759&lt;&gt;"")*($AS$11:$AS2759&lt;&gt;"✓")),"")</f>
        <v/>
      </c>
      <c r="AZ2759" s="21" t="str">
        <f>IF(AND($AM2759&lt;&gt;"",$AS2759="✓"),SUMPRODUCT(($AM$11:$AM2759&lt;&gt;"")*($AS$11:$AS2759="✓")),"")</f>
        <v/>
      </c>
      <c r="BA2759" s="21" t="str">
        <f>IF($AL2759="","",$AL2759&amp;"|"&amp;COUNTIF($AL$11:$AL2759,$AL2759))</f>
        <v/>
      </c>
    </row>
    <row r="2760" spans="38:53" ht="15" customHeight="1" x14ac:dyDescent="0.25">
      <c r="AL2760" s="31"/>
      <c r="AM2760" s="26"/>
      <c r="AN2760" s="32"/>
      <c r="AO2760" s="32"/>
      <c r="AP2760" s="24"/>
      <c r="AQ2760" s="24"/>
      <c r="AR2760" s="33"/>
      <c r="AS2760" s="34"/>
      <c r="AT2760" s="33"/>
      <c r="AV2760" s="21">
        <f>IF(AND($AL2760&lt;&gt;"",COUNTIF($AL$11:$AL2760,$AL2760)=1),1,0)</f>
        <v>0</v>
      </c>
      <c r="AW2760" s="21">
        <f t="shared" si="171"/>
        <v>2</v>
      </c>
      <c r="AX2760" s="21" t="str">
        <f t="shared" si="170"/>
        <v/>
      </c>
      <c r="AY2760" s="21" t="str">
        <f>IF(AND($AM2760&lt;&gt;"",$AS2760&lt;&gt;"✓"),SUMPRODUCT(($AM$11:$AM2760&lt;&gt;"")*($AS$11:$AS2760&lt;&gt;"✓")),"")</f>
        <v/>
      </c>
      <c r="AZ2760" s="21" t="str">
        <f>IF(AND($AM2760&lt;&gt;"",$AS2760="✓"),SUMPRODUCT(($AM$11:$AM2760&lt;&gt;"")*($AS$11:$AS2760="✓")),"")</f>
        <v/>
      </c>
      <c r="BA2760" s="21" t="str">
        <f>IF($AL2760="","",$AL2760&amp;"|"&amp;COUNTIF($AL$11:$AL2760,$AL2760))</f>
        <v/>
      </c>
    </row>
    <row r="2761" spans="38:53" ht="15" customHeight="1" x14ac:dyDescent="0.25">
      <c r="AL2761" s="17"/>
      <c r="AM2761" s="12"/>
      <c r="AN2761" s="18"/>
      <c r="AO2761" s="18"/>
      <c r="AP2761" s="10"/>
      <c r="AQ2761" s="10"/>
      <c r="AR2761" s="19"/>
      <c r="AS2761" s="20"/>
      <c r="AT2761" s="19"/>
      <c r="AV2761" s="21">
        <f>IF(AND($AL2761&lt;&gt;"",COUNTIF($AL$11:$AL2761,$AL2761)=1),1,0)</f>
        <v>0</v>
      </c>
      <c r="AW2761" s="21">
        <f t="shared" si="171"/>
        <v>2</v>
      </c>
      <c r="AX2761" s="21" t="str">
        <f t="shared" si="170"/>
        <v/>
      </c>
      <c r="AY2761" s="21" t="str">
        <f>IF(AND($AM2761&lt;&gt;"",$AS2761&lt;&gt;"✓"),SUMPRODUCT(($AM$11:$AM2761&lt;&gt;"")*($AS$11:$AS2761&lt;&gt;"✓")),"")</f>
        <v/>
      </c>
      <c r="AZ2761" s="21" t="str">
        <f>IF(AND($AM2761&lt;&gt;"",$AS2761="✓"),SUMPRODUCT(($AM$11:$AM2761&lt;&gt;"")*($AS$11:$AS2761="✓")),"")</f>
        <v/>
      </c>
      <c r="BA2761" s="21" t="str">
        <f>IF($AL2761="","",$AL2761&amp;"|"&amp;COUNTIF($AL$11:$AL2761,$AL2761))</f>
        <v/>
      </c>
    </row>
    <row r="2762" spans="38:53" ht="15" customHeight="1" x14ac:dyDescent="0.25">
      <c r="AL2762" s="31"/>
      <c r="AM2762" s="26"/>
      <c r="AN2762" s="32"/>
      <c r="AO2762" s="32"/>
      <c r="AP2762" s="24"/>
      <c r="AQ2762" s="24"/>
      <c r="AR2762" s="33"/>
      <c r="AS2762" s="34"/>
      <c r="AT2762" s="33"/>
      <c r="AV2762" s="21">
        <f>IF(AND($AL2762&lt;&gt;"",COUNTIF($AL$11:$AL2762,$AL2762)=1),1,0)</f>
        <v>0</v>
      </c>
      <c r="AW2762" s="21">
        <f t="shared" si="171"/>
        <v>2</v>
      </c>
      <c r="AX2762" s="21" t="str">
        <f t="shared" si="170"/>
        <v/>
      </c>
      <c r="AY2762" s="21" t="str">
        <f>IF(AND($AM2762&lt;&gt;"",$AS2762&lt;&gt;"✓"),SUMPRODUCT(($AM$11:$AM2762&lt;&gt;"")*($AS$11:$AS2762&lt;&gt;"✓")),"")</f>
        <v/>
      </c>
      <c r="AZ2762" s="21" t="str">
        <f>IF(AND($AM2762&lt;&gt;"",$AS2762="✓"),SUMPRODUCT(($AM$11:$AM2762&lt;&gt;"")*($AS$11:$AS2762="✓")),"")</f>
        <v/>
      </c>
      <c r="BA2762" s="21" t="str">
        <f>IF($AL2762="","",$AL2762&amp;"|"&amp;COUNTIF($AL$11:$AL2762,$AL2762))</f>
        <v/>
      </c>
    </row>
    <row r="2763" spans="38:53" ht="15" customHeight="1" x14ac:dyDescent="0.25">
      <c r="AL2763" s="17"/>
      <c r="AM2763" s="12"/>
      <c r="AN2763" s="18"/>
      <c r="AO2763" s="18"/>
      <c r="AP2763" s="10"/>
      <c r="AQ2763" s="10"/>
      <c r="AR2763" s="19"/>
      <c r="AS2763" s="20"/>
      <c r="AT2763" s="19"/>
      <c r="AV2763" s="21">
        <f>IF(AND($AL2763&lt;&gt;"",COUNTIF($AL$11:$AL2763,$AL2763)=1),1,0)</f>
        <v>0</v>
      </c>
      <c r="AW2763" s="21">
        <f t="shared" si="171"/>
        <v>2</v>
      </c>
      <c r="AX2763" s="21" t="str">
        <f t="shared" ref="AX2763:AX2826" si="172">IF(AV2763=1,AW2763,"")</f>
        <v/>
      </c>
      <c r="AY2763" s="21" t="str">
        <f>IF(AND($AM2763&lt;&gt;"",$AS2763&lt;&gt;"✓"),SUMPRODUCT(($AM$11:$AM2763&lt;&gt;"")*($AS$11:$AS2763&lt;&gt;"✓")),"")</f>
        <v/>
      </c>
      <c r="AZ2763" s="21" t="str">
        <f>IF(AND($AM2763&lt;&gt;"",$AS2763="✓"),SUMPRODUCT(($AM$11:$AM2763&lt;&gt;"")*($AS$11:$AS2763="✓")),"")</f>
        <v/>
      </c>
      <c r="BA2763" s="21" t="str">
        <f>IF($AL2763="","",$AL2763&amp;"|"&amp;COUNTIF($AL$11:$AL2763,$AL2763))</f>
        <v/>
      </c>
    </row>
    <row r="2764" spans="38:53" ht="15" customHeight="1" x14ac:dyDescent="0.25">
      <c r="AL2764" s="31"/>
      <c r="AM2764" s="26"/>
      <c r="AN2764" s="32"/>
      <c r="AO2764" s="32"/>
      <c r="AP2764" s="24"/>
      <c r="AQ2764" s="24"/>
      <c r="AR2764" s="33"/>
      <c r="AS2764" s="34"/>
      <c r="AT2764" s="33"/>
      <c r="AV2764" s="21">
        <f>IF(AND($AL2764&lt;&gt;"",COUNTIF($AL$11:$AL2764,$AL2764)=1),1,0)</f>
        <v>0</v>
      </c>
      <c r="AW2764" s="21">
        <f t="shared" ref="AW2764:AW2827" si="173">AW2763+AV2764</f>
        <v>2</v>
      </c>
      <c r="AX2764" s="21" t="str">
        <f t="shared" si="172"/>
        <v/>
      </c>
      <c r="AY2764" s="21" t="str">
        <f>IF(AND($AM2764&lt;&gt;"",$AS2764&lt;&gt;"✓"),SUMPRODUCT(($AM$11:$AM2764&lt;&gt;"")*($AS$11:$AS2764&lt;&gt;"✓")),"")</f>
        <v/>
      </c>
      <c r="AZ2764" s="21" t="str">
        <f>IF(AND($AM2764&lt;&gt;"",$AS2764="✓"),SUMPRODUCT(($AM$11:$AM2764&lt;&gt;"")*($AS$11:$AS2764="✓")),"")</f>
        <v/>
      </c>
      <c r="BA2764" s="21" t="str">
        <f>IF($AL2764="","",$AL2764&amp;"|"&amp;COUNTIF($AL$11:$AL2764,$AL2764))</f>
        <v/>
      </c>
    </row>
    <row r="2765" spans="38:53" ht="15" customHeight="1" x14ac:dyDescent="0.25">
      <c r="AL2765" s="17"/>
      <c r="AM2765" s="12"/>
      <c r="AN2765" s="18"/>
      <c r="AO2765" s="18"/>
      <c r="AP2765" s="10"/>
      <c r="AQ2765" s="10"/>
      <c r="AR2765" s="19"/>
      <c r="AS2765" s="20"/>
      <c r="AT2765" s="19"/>
      <c r="AV2765" s="21">
        <f>IF(AND($AL2765&lt;&gt;"",COUNTIF($AL$11:$AL2765,$AL2765)=1),1,0)</f>
        <v>0</v>
      </c>
      <c r="AW2765" s="21">
        <f t="shared" si="173"/>
        <v>2</v>
      </c>
      <c r="AX2765" s="21" t="str">
        <f t="shared" si="172"/>
        <v/>
      </c>
      <c r="AY2765" s="21" t="str">
        <f>IF(AND($AM2765&lt;&gt;"",$AS2765&lt;&gt;"✓"),SUMPRODUCT(($AM$11:$AM2765&lt;&gt;"")*($AS$11:$AS2765&lt;&gt;"✓")),"")</f>
        <v/>
      </c>
      <c r="AZ2765" s="21" t="str">
        <f>IF(AND($AM2765&lt;&gt;"",$AS2765="✓"),SUMPRODUCT(($AM$11:$AM2765&lt;&gt;"")*($AS$11:$AS2765="✓")),"")</f>
        <v/>
      </c>
      <c r="BA2765" s="21" t="str">
        <f>IF($AL2765="","",$AL2765&amp;"|"&amp;COUNTIF($AL$11:$AL2765,$AL2765))</f>
        <v/>
      </c>
    </row>
    <row r="2766" spans="38:53" ht="15" customHeight="1" x14ac:dyDescent="0.25">
      <c r="AL2766" s="31"/>
      <c r="AM2766" s="26"/>
      <c r="AN2766" s="32"/>
      <c r="AO2766" s="32"/>
      <c r="AP2766" s="24"/>
      <c r="AQ2766" s="24"/>
      <c r="AR2766" s="33"/>
      <c r="AS2766" s="34"/>
      <c r="AT2766" s="33"/>
      <c r="AV2766" s="21">
        <f>IF(AND($AL2766&lt;&gt;"",COUNTIF($AL$11:$AL2766,$AL2766)=1),1,0)</f>
        <v>0</v>
      </c>
      <c r="AW2766" s="21">
        <f t="shared" si="173"/>
        <v>2</v>
      </c>
      <c r="AX2766" s="21" t="str">
        <f t="shared" si="172"/>
        <v/>
      </c>
      <c r="AY2766" s="21" t="str">
        <f>IF(AND($AM2766&lt;&gt;"",$AS2766&lt;&gt;"✓"),SUMPRODUCT(($AM$11:$AM2766&lt;&gt;"")*($AS$11:$AS2766&lt;&gt;"✓")),"")</f>
        <v/>
      </c>
      <c r="AZ2766" s="21" t="str">
        <f>IF(AND($AM2766&lt;&gt;"",$AS2766="✓"),SUMPRODUCT(($AM$11:$AM2766&lt;&gt;"")*($AS$11:$AS2766="✓")),"")</f>
        <v/>
      </c>
      <c r="BA2766" s="21" t="str">
        <f>IF($AL2766="","",$AL2766&amp;"|"&amp;COUNTIF($AL$11:$AL2766,$AL2766))</f>
        <v/>
      </c>
    </row>
    <row r="2767" spans="38:53" ht="15" customHeight="1" x14ac:dyDescent="0.25">
      <c r="AL2767" s="17"/>
      <c r="AM2767" s="12"/>
      <c r="AN2767" s="18"/>
      <c r="AO2767" s="18"/>
      <c r="AP2767" s="10"/>
      <c r="AQ2767" s="10"/>
      <c r="AR2767" s="19"/>
      <c r="AS2767" s="20"/>
      <c r="AT2767" s="19"/>
      <c r="AV2767" s="21">
        <f>IF(AND($AL2767&lt;&gt;"",COUNTIF($AL$11:$AL2767,$AL2767)=1),1,0)</f>
        <v>0</v>
      </c>
      <c r="AW2767" s="21">
        <f t="shared" si="173"/>
        <v>2</v>
      </c>
      <c r="AX2767" s="21" t="str">
        <f t="shared" si="172"/>
        <v/>
      </c>
      <c r="AY2767" s="21" t="str">
        <f>IF(AND($AM2767&lt;&gt;"",$AS2767&lt;&gt;"✓"),SUMPRODUCT(($AM$11:$AM2767&lt;&gt;"")*($AS$11:$AS2767&lt;&gt;"✓")),"")</f>
        <v/>
      </c>
      <c r="AZ2767" s="21" t="str">
        <f>IF(AND($AM2767&lt;&gt;"",$AS2767="✓"),SUMPRODUCT(($AM$11:$AM2767&lt;&gt;"")*($AS$11:$AS2767="✓")),"")</f>
        <v/>
      </c>
      <c r="BA2767" s="21" t="str">
        <f>IF($AL2767="","",$AL2767&amp;"|"&amp;COUNTIF($AL$11:$AL2767,$AL2767))</f>
        <v/>
      </c>
    </row>
    <row r="2768" spans="38:53" ht="15" customHeight="1" x14ac:dyDescent="0.25">
      <c r="AL2768" s="31"/>
      <c r="AM2768" s="26"/>
      <c r="AN2768" s="32"/>
      <c r="AO2768" s="32"/>
      <c r="AP2768" s="24"/>
      <c r="AQ2768" s="24"/>
      <c r="AR2768" s="33"/>
      <c r="AS2768" s="34"/>
      <c r="AT2768" s="33"/>
      <c r="AV2768" s="21">
        <f>IF(AND($AL2768&lt;&gt;"",COUNTIF($AL$11:$AL2768,$AL2768)=1),1,0)</f>
        <v>0</v>
      </c>
      <c r="AW2768" s="21">
        <f t="shared" si="173"/>
        <v>2</v>
      </c>
      <c r="AX2768" s="21" t="str">
        <f t="shared" si="172"/>
        <v/>
      </c>
      <c r="AY2768" s="21" t="str">
        <f>IF(AND($AM2768&lt;&gt;"",$AS2768&lt;&gt;"✓"),SUMPRODUCT(($AM$11:$AM2768&lt;&gt;"")*($AS$11:$AS2768&lt;&gt;"✓")),"")</f>
        <v/>
      </c>
      <c r="AZ2768" s="21" t="str">
        <f>IF(AND($AM2768&lt;&gt;"",$AS2768="✓"),SUMPRODUCT(($AM$11:$AM2768&lt;&gt;"")*($AS$11:$AS2768="✓")),"")</f>
        <v/>
      </c>
      <c r="BA2768" s="21" t="str">
        <f>IF($AL2768="","",$AL2768&amp;"|"&amp;COUNTIF($AL$11:$AL2768,$AL2768))</f>
        <v/>
      </c>
    </row>
    <row r="2769" spans="38:53" ht="15" customHeight="1" x14ac:dyDescent="0.25">
      <c r="AL2769" s="17"/>
      <c r="AM2769" s="12"/>
      <c r="AN2769" s="18"/>
      <c r="AO2769" s="18"/>
      <c r="AP2769" s="10"/>
      <c r="AQ2769" s="10"/>
      <c r="AR2769" s="19"/>
      <c r="AS2769" s="20"/>
      <c r="AT2769" s="19"/>
      <c r="AV2769" s="21">
        <f>IF(AND($AL2769&lt;&gt;"",COUNTIF($AL$11:$AL2769,$AL2769)=1),1,0)</f>
        <v>0</v>
      </c>
      <c r="AW2769" s="21">
        <f t="shared" si="173"/>
        <v>2</v>
      </c>
      <c r="AX2769" s="21" t="str">
        <f t="shared" si="172"/>
        <v/>
      </c>
      <c r="AY2769" s="21" t="str">
        <f>IF(AND($AM2769&lt;&gt;"",$AS2769&lt;&gt;"✓"),SUMPRODUCT(($AM$11:$AM2769&lt;&gt;"")*($AS$11:$AS2769&lt;&gt;"✓")),"")</f>
        <v/>
      </c>
      <c r="AZ2769" s="21" t="str">
        <f>IF(AND($AM2769&lt;&gt;"",$AS2769="✓"),SUMPRODUCT(($AM$11:$AM2769&lt;&gt;"")*($AS$11:$AS2769="✓")),"")</f>
        <v/>
      </c>
      <c r="BA2769" s="21" t="str">
        <f>IF($AL2769="","",$AL2769&amp;"|"&amp;COUNTIF($AL$11:$AL2769,$AL2769))</f>
        <v/>
      </c>
    </row>
    <row r="2770" spans="38:53" ht="15" customHeight="1" x14ac:dyDescent="0.25">
      <c r="AL2770" s="31"/>
      <c r="AM2770" s="26"/>
      <c r="AN2770" s="32"/>
      <c r="AO2770" s="32"/>
      <c r="AP2770" s="24"/>
      <c r="AQ2770" s="24"/>
      <c r="AR2770" s="33"/>
      <c r="AS2770" s="34"/>
      <c r="AT2770" s="33"/>
      <c r="AV2770" s="21">
        <f>IF(AND($AL2770&lt;&gt;"",COUNTIF($AL$11:$AL2770,$AL2770)=1),1,0)</f>
        <v>0</v>
      </c>
      <c r="AW2770" s="21">
        <f t="shared" si="173"/>
        <v>2</v>
      </c>
      <c r="AX2770" s="21" t="str">
        <f t="shared" si="172"/>
        <v/>
      </c>
      <c r="AY2770" s="21" t="str">
        <f>IF(AND($AM2770&lt;&gt;"",$AS2770&lt;&gt;"✓"),SUMPRODUCT(($AM$11:$AM2770&lt;&gt;"")*($AS$11:$AS2770&lt;&gt;"✓")),"")</f>
        <v/>
      </c>
      <c r="AZ2770" s="21" t="str">
        <f>IF(AND($AM2770&lt;&gt;"",$AS2770="✓"),SUMPRODUCT(($AM$11:$AM2770&lt;&gt;"")*($AS$11:$AS2770="✓")),"")</f>
        <v/>
      </c>
      <c r="BA2770" s="21" t="str">
        <f>IF($AL2770="","",$AL2770&amp;"|"&amp;COUNTIF($AL$11:$AL2770,$AL2770))</f>
        <v/>
      </c>
    </row>
    <row r="2771" spans="38:53" ht="15" customHeight="1" x14ac:dyDescent="0.25">
      <c r="AL2771" s="17"/>
      <c r="AM2771" s="12"/>
      <c r="AN2771" s="18"/>
      <c r="AO2771" s="18"/>
      <c r="AP2771" s="10"/>
      <c r="AQ2771" s="10"/>
      <c r="AR2771" s="19"/>
      <c r="AS2771" s="20"/>
      <c r="AT2771" s="19"/>
      <c r="AV2771" s="21">
        <f>IF(AND($AL2771&lt;&gt;"",COUNTIF($AL$11:$AL2771,$AL2771)=1),1,0)</f>
        <v>0</v>
      </c>
      <c r="AW2771" s="21">
        <f t="shared" si="173"/>
        <v>2</v>
      </c>
      <c r="AX2771" s="21" t="str">
        <f t="shared" si="172"/>
        <v/>
      </c>
      <c r="AY2771" s="21" t="str">
        <f>IF(AND($AM2771&lt;&gt;"",$AS2771&lt;&gt;"✓"),SUMPRODUCT(($AM$11:$AM2771&lt;&gt;"")*($AS$11:$AS2771&lt;&gt;"✓")),"")</f>
        <v/>
      </c>
      <c r="AZ2771" s="21" t="str">
        <f>IF(AND($AM2771&lt;&gt;"",$AS2771="✓"),SUMPRODUCT(($AM$11:$AM2771&lt;&gt;"")*($AS$11:$AS2771="✓")),"")</f>
        <v/>
      </c>
      <c r="BA2771" s="21" t="str">
        <f>IF($AL2771="","",$AL2771&amp;"|"&amp;COUNTIF($AL$11:$AL2771,$AL2771))</f>
        <v/>
      </c>
    </row>
    <row r="2772" spans="38:53" ht="15" customHeight="1" x14ac:dyDescent="0.25">
      <c r="AL2772" s="31"/>
      <c r="AM2772" s="26"/>
      <c r="AN2772" s="32"/>
      <c r="AO2772" s="32"/>
      <c r="AP2772" s="24"/>
      <c r="AQ2772" s="24"/>
      <c r="AR2772" s="33"/>
      <c r="AS2772" s="34"/>
      <c r="AT2772" s="33"/>
      <c r="AV2772" s="21">
        <f>IF(AND($AL2772&lt;&gt;"",COUNTIF($AL$11:$AL2772,$AL2772)=1),1,0)</f>
        <v>0</v>
      </c>
      <c r="AW2772" s="21">
        <f t="shared" si="173"/>
        <v>2</v>
      </c>
      <c r="AX2772" s="21" t="str">
        <f t="shared" si="172"/>
        <v/>
      </c>
      <c r="AY2772" s="21" t="str">
        <f>IF(AND($AM2772&lt;&gt;"",$AS2772&lt;&gt;"✓"),SUMPRODUCT(($AM$11:$AM2772&lt;&gt;"")*($AS$11:$AS2772&lt;&gt;"✓")),"")</f>
        <v/>
      </c>
      <c r="AZ2772" s="21" t="str">
        <f>IF(AND($AM2772&lt;&gt;"",$AS2772="✓"),SUMPRODUCT(($AM$11:$AM2772&lt;&gt;"")*($AS$11:$AS2772="✓")),"")</f>
        <v/>
      </c>
      <c r="BA2772" s="21" t="str">
        <f>IF($AL2772="","",$AL2772&amp;"|"&amp;COUNTIF($AL$11:$AL2772,$AL2772))</f>
        <v/>
      </c>
    </row>
    <row r="2773" spans="38:53" ht="15" customHeight="1" x14ac:dyDescent="0.25">
      <c r="AL2773" s="17"/>
      <c r="AM2773" s="12"/>
      <c r="AN2773" s="18"/>
      <c r="AO2773" s="18"/>
      <c r="AP2773" s="10"/>
      <c r="AQ2773" s="10"/>
      <c r="AR2773" s="19"/>
      <c r="AS2773" s="20"/>
      <c r="AT2773" s="19"/>
      <c r="AV2773" s="21">
        <f>IF(AND($AL2773&lt;&gt;"",COUNTIF($AL$11:$AL2773,$AL2773)=1),1,0)</f>
        <v>0</v>
      </c>
      <c r="AW2773" s="21">
        <f t="shared" si="173"/>
        <v>2</v>
      </c>
      <c r="AX2773" s="21" t="str">
        <f t="shared" si="172"/>
        <v/>
      </c>
      <c r="AY2773" s="21" t="str">
        <f>IF(AND($AM2773&lt;&gt;"",$AS2773&lt;&gt;"✓"),SUMPRODUCT(($AM$11:$AM2773&lt;&gt;"")*($AS$11:$AS2773&lt;&gt;"✓")),"")</f>
        <v/>
      </c>
      <c r="AZ2773" s="21" t="str">
        <f>IF(AND($AM2773&lt;&gt;"",$AS2773="✓"),SUMPRODUCT(($AM$11:$AM2773&lt;&gt;"")*($AS$11:$AS2773="✓")),"")</f>
        <v/>
      </c>
      <c r="BA2773" s="21" t="str">
        <f>IF($AL2773="","",$AL2773&amp;"|"&amp;COUNTIF($AL$11:$AL2773,$AL2773))</f>
        <v/>
      </c>
    </row>
    <row r="2774" spans="38:53" ht="15" customHeight="1" x14ac:dyDescent="0.25">
      <c r="AL2774" s="31"/>
      <c r="AM2774" s="26"/>
      <c r="AN2774" s="32"/>
      <c r="AO2774" s="32"/>
      <c r="AP2774" s="24"/>
      <c r="AQ2774" s="24"/>
      <c r="AR2774" s="33"/>
      <c r="AS2774" s="34"/>
      <c r="AT2774" s="33"/>
      <c r="AV2774" s="21">
        <f>IF(AND($AL2774&lt;&gt;"",COUNTIF($AL$11:$AL2774,$AL2774)=1),1,0)</f>
        <v>0</v>
      </c>
      <c r="AW2774" s="21">
        <f t="shared" si="173"/>
        <v>2</v>
      </c>
      <c r="AX2774" s="21" t="str">
        <f t="shared" si="172"/>
        <v/>
      </c>
      <c r="AY2774" s="21" t="str">
        <f>IF(AND($AM2774&lt;&gt;"",$AS2774&lt;&gt;"✓"),SUMPRODUCT(($AM$11:$AM2774&lt;&gt;"")*($AS$11:$AS2774&lt;&gt;"✓")),"")</f>
        <v/>
      </c>
      <c r="AZ2774" s="21" t="str">
        <f>IF(AND($AM2774&lt;&gt;"",$AS2774="✓"),SUMPRODUCT(($AM$11:$AM2774&lt;&gt;"")*($AS$11:$AS2774="✓")),"")</f>
        <v/>
      </c>
      <c r="BA2774" s="21" t="str">
        <f>IF($AL2774="","",$AL2774&amp;"|"&amp;COUNTIF($AL$11:$AL2774,$AL2774))</f>
        <v/>
      </c>
    </row>
    <row r="2775" spans="38:53" ht="15" customHeight="1" x14ac:dyDescent="0.25">
      <c r="AL2775" s="17"/>
      <c r="AM2775" s="12"/>
      <c r="AN2775" s="18"/>
      <c r="AO2775" s="18"/>
      <c r="AP2775" s="10"/>
      <c r="AQ2775" s="10"/>
      <c r="AR2775" s="19"/>
      <c r="AS2775" s="20"/>
      <c r="AT2775" s="19"/>
      <c r="AV2775" s="21">
        <f>IF(AND($AL2775&lt;&gt;"",COUNTIF($AL$11:$AL2775,$AL2775)=1),1,0)</f>
        <v>0</v>
      </c>
      <c r="AW2775" s="21">
        <f t="shared" si="173"/>
        <v>2</v>
      </c>
      <c r="AX2775" s="21" t="str">
        <f t="shared" si="172"/>
        <v/>
      </c>
      <c r="AY2775" s="21" t="str">
        <f>IF(AND($AM2775&lt;&gt;"",$AS2775&lt;&gt;"✓"),SUMPRODUCT(($AM$11:$AM2775&lt;&gt;"")*($AS$11:$AS2775&lt;&gt;"✓")),"")</f>
        <v/>
      </c>
      <c r="AZ2775" s="21" t="str">
        <f>IF(AND($AM2775&lt;&gt;"",$AS2775="✓"),SUMPRODUCT(($AM$11:$AM2775&lt;&gt;"")*($AS$11:$AS2775="✓")),"")</f>
        <v/>
      </c>
      <c r="BA2775" s="21" t="str">
        <f>IF($AL2775="","",$AL2775&amp;"|"&amp;COUNTIF($AL$11:$AL2775,$AL2775))</f>
        <v/>
      </c>
    </row>
    <row r="2776" spans="38:53" ht="15" customHeight="1" x14ac:dyDescent="0.25">
      <c r="AL2776" s="31"/>
      <c r="AM2776" s="26"/>
      <c r="AN2776" s="32"/>
      <c r="AO2776" s="32"/>
      <c r="AP2776" s="24"/>
      <c r="AQ2776" s="24"/>
      <c r="AR2776" s="33"/>
      <c r="AS2776" s="34"/>
      <c r="AT2776" s="33"/>
      <c r="AV2776" s="21">
        <f>IF(AND($AL2776&lt;&gt;"",COUNTIF($AL$11:$AL2776,$AL2776)=1),1,0)</f>
        <v>0</v>
      </c>
      <c r="AW2776" s="21">
        <f t="shared" si="173"/>
        <v>2</v>
      </c>
      <c r="AX2776" s="21" t="str">
        <f t="shared" si="172"/>
        <v/>
      </c>
      <c r="AY2776" s="21" t="str">
        <f>IF(AND($AM2776&lt;&gt;"",$AS2776&lt;&gt;"✓"),SUMPRODUCT(($AM$11:$AM2776&lt;&gt;"")*($AS$11:$AS2776&lt;&gt;"✓")),"")</f>
        <v/>
      </c>
      <c r="AZ2776" s="21" t="str">
        <f>IF(AND($AM2776&lt;&gt;"",$AS2776="✓"),SUMPRODUCT(($AM$11:$AM2776&lt;&gt;"")*($AS$11:$AS2776="✓")),"")</f>
        <v/>
      </c>
      <c r="BA2776" s="21" t="str">
        <f>IF($AL2776="","",$AL2776&amp;"|"&amp;COUNTIF($AL$11:$AL2776,$AL2776))</f>
        <v/>
      </c>
    </row>
    <row r="2777" spans="38:53" ht="15" customHeight="1" x14ac:dyDescent="0.25">
      <c r="AL2777" s="17"/>
      <c r="AM2777" s="12"/>
      <c r="AN2777" s="18"/>
      <c r="AO2777" s="18"/>
      <c r="AP2777" s="10"/>
      <c r="AQ2777" s="10"/>
      <c r="AR2777" s="19"/>
      <c r="AS2777" s="20"/>
      <c r="AT2777" s="19"/>
      <c r="AV2777" s="21">
        <f>IF(AND($AL2777&lt;&gt;"",COUNTIF($AL$11:$AL2777,$AL2777)=1),1,0)</f>
        <v>0</v>
      </c>
      <c r="AW2777" s="21">
        <f t="shared" si="173"/>
        <v>2</v>
      </c>
      <c r="AX2777" s="21" t="str">
        <f t="shared" si="172"/>
        <v/>
      </c>
      <c r="AY2777" s="21" t="str">
        <f>IF(AND($AM2777&lt;&gt;"",$AS2777&lt;&gt;"✓"),SUMPRODUCT(($AM$11:$AM2777&lt;&gt;"")*($AS$11:$AS2777&lt;&gt;"✓")),"")</f>
        <v/>
      </c>
      <c r="AZ2777" s="21" t="str">
        <f>IF(AND($AM2777&lt;&gt;"",$AS2777="✓"),SUMPRODUCT(($AM$11:$AM2777&lt;&gt;"")*($AS$11:$AS2777="✓")),"")</f>
        <v/>
      </c>
      <c r="BA2777" s="21" t="str">
        <f>IF($AL2777="","",$AL2777&amp;"|"&amp;COUNTIF($AL$11:$AL2777,$AL2777))</f>
        <v/>
      </c>
    </row>
    <row r="2778" spans="38:53" ht="15" customHeight="1" x14ac:dyDescent="0.25">
      <c r="AL2778" s="31"/>
      <c r="AM2778" s="26"/>
      <c r="AN2778" s="32"/>
      <c r="AO2778" s="32"/>
      <c r="AP2778" s="24"/>
      <c r="AQ2778" s="24"/>
      <c r="AR2778" s="33"/>
      <c r="AS2778" s="34"/>
      <c r="AT2778" s="33"/>
      <c r="AV2778" s="21">
        <f>IF(AND($AL2778&lt;&gt;"",COUNTIF($AL$11:$AL2778,$AL2778)=1),1,0)</f>
        <v>0</v>
      </c>
      <c r="AW2778" s="21">
        <f t="shared" si="173"/>
        <v>2</v>
      </c>
      <c r="AX2778" s="21" t="str">
        <f t="shared" si="172"/>
        <v/>
      </c>
      <c r="AY2778" s="21" t="str">
        <f>IF(AND($AM2778&lt;&gt;"",$AS2778&lt;&gt;"✓"),SUMPRODUCT(($AM$11:$AM2778&lt;&gt;"")*($AS$11:$AS2778&lt;&gt;"✓")),"")</f>
        <v/>
      </c>
      <c r="AZ2778" s="21" t="str">
        <f>IF(AND($AM2778&lt;&gt;"",$AS2778="✓"),SUMPRODUCT(($AM$11:$AM2778&lt;&gt;"")*($AS$11:$AS2778="✓")),"")</f>
        <v/>
      </c>
      <c r="BA2778" s="21" t="str">
        <f>IF($AL2778="","",$AL2778&amp;"|"&amp;COUNTIF($AL$11:$AL2778,$AL2778))</f>
        <v/>
      </c>
    </row>
    <row r="2779" spans="38:53" ht="15" customHeight="1" x14ac:dyDescent="0.25">
      <c r="AL2779" s="17"/>
      <c r="AM2779" s="12"/>
      <c r="AN2779" s="18"/>
      <c r="AO2779" s="18"/>
      <c r="AP2779" s="10"/>
      <c r="AQ2779" s="10"/>
      <c r="AR2779" s="19"/>
      <c r="AS2779" s="20"/>
      <c r="AT2779" s="19"/>
      <c r="AV2779" s="21">
        <f>IF(AND($AL2779&lt;&gt;"",COUNTIF($AL$11:$AL2779,$AL2779)=1),1,0)</f>
        <v>0</v>
      </c>
      <c r="AW2779" s="21">
        <f t="shared" si="173"/>
        <v>2</v>
      </c>
      <c r="AX2779" s="21" t="str">
        <f t="shared" si="172"/>
        <v/>
      </c>
      <c r="AY2779" s="21" t="str">
        <f>IF(AND($AM2779&lt;&gt;"",$AS2779&lt;&gt;"✓"),SUMPRODUCT(($AM$11:$AM2779&lt;&gt;"")*($AS$11:$AS2779&lt;&gt;"✓")),"")</f>
        <v/>
      </c>
      <c r="AZ2779" s="21" t="str">
        <f>IF(AND($AM2779&lt;&gt;"",$AS2779="✓"),SUMPRODUCT(($AM$11:$AM2779&lt;&gt;"")*($AS$11:$AS2779="✓")),"")</f>
        <v/>
      </c>
      <c r="BA2779" s="21" t="str">
        <f>IF($AL2779="","",$AL2779&amp;"|"&amp;COUNTIF($AL$11:$AL2779,$AL2779))</f>
        <v/>
      </c>
    </row>
    <row r="2780" spans="38:53" ht="15" customHeight="1" x14ac:dyDescent="0.25">
      <c r="AL2780" s="31"/>
      <c r="AM2780" s="26"/>
      <c r="AN2780" s="32"/>
      <c r="AO2780" s="32"/>
      <c r="AP2780" s="24"/>
      <c r="AQ2780" s="24"/>
      <c r="AR2780" s="33"/>
      <c r="AS2780" s="34"/>
      <c r="AT2780" s="33"/>
      <c r="AV2780" s="21">
        <f>IF(AND($AL2780&lt;&gt;"",COUNTIF($AL$11:$AL2780,$AL2780)=1),1,0)</f>
        <v>0</v>
      </c>
      <c r="AW2780" s="21">
        <f t="shared" si="173"/>
        <v>2</v>
      </c>
      <c r="AX2780" s="21" t="str">
        <f t="shared" si="172"/>
        <v/>
      </c>
      <c r="AY2780" s="21" t="str">
        <f>IF(AND($AM2780&lt;&gt;"",$AS2780&lt;&gt;"✓"),SUMPRODUCT(($AM$11:$AM2780&lt;&gt;"")*($AS$11:$AS2780&lt;&gt;"✓")),"")</f>
        <v/>
      </c>
      <c r="AZ2780" s="21" t="str">
        <f>IF(AND($AM2780&lt;&gt;"",$AS2780="✓"),SUMPRODUCT(($AM$11:$AM2780&lt;&gt;"")*($AS$11:$AS2780="✓")),"")</f>
        <v/>
      </c>
      <c r="BA2780" s="21" t="str">
        <f>IF($AL2780="","",$AL2780&amp;"|"&amp;COUNTIF($AL$11:$AL2780,$AL2780))</f>
        <v/>
      </c>
    </row>
    <row r="2781" spans="38:53" ht="15" customHeight="1" x14ac:dyDescent="0.25">
      <c r="AL2781" s="17"/>
      <c r="AM2781" s="12"/>
      <c r="AN2781" s="18"/>
      <c r="AO2781" s="18"/>
      <c r="AP2781" s="10"/>
      <c r="AQ2781" s="10"/>
      <c r="AR2781" s="19"/>
      <c r="AS2781" s="20"/>
      <c r="AT2781" s="19"/>
      <c r="AV2781" s="21">
        <f>IF(AND($AL2781&lt;&gt;"",COUNTIF($AL$11:$AL2781,$AL2781)=1),1,0)</f>
        <v>0</v>
      </c>
      <c r="AW2781" s="21">
        <f t="shared" si="173"/>
        <v>2</v>
      </c>
      <c r="AX2781" s="21" t="str">
        <f t="shared" si="172"/>
        <v/>
      </c>
      <c r="AY2781" s="21" t="str">
        <f>IF(AND($AM2781&lt;&gt;"",$AS2781&lt;&gt;"✓"),SUMPRODUCT(($AM$11:$AM2781&lt;&gt;"")*($AS$11:$AS2781&lt;&gt;"✓")),"")</f>
        <v/>
      </c>
      <c r="AZ2781" s="21" t="str">
        <f>IF(AND($AM2781&lt;&gt;"",$AS2781="✓"),SUMPRODUCT(($AM$11:$AM2781&lt;&gt;"")*($AS$11:$AS2781="✓")),"")</f>
        <v/>
      </c>
      <c r="BA2781" s="21" t="str">
        <f>IF($AL2781="","",$AL2781&amp;"|"&amp;COUNTIF($AL$11:$AL2781,$AL2781))</f>
        <v/>
      </c>
    </row>
    <row r="2782" spans="38:53" ht="15" customHeight="1" x14ac:dyDescent="0.25">
      <c r="AL2782" s="31"/>
      <c r="AM2782" s="26"/>
      <c r="AN2782" s="32"/>
      <c r="AO2782" s="32"/>
      <c r="AP2782" s="24"/>
      <c r="AQ2782" s="24"/>
      <c r="AR2782" s="33"/>
      <c r="AS2782" s="34"/>
      <c r="AT2782" s="33"/>
      <c r="AV2782" s="21">
        <f>IF(AND($AL2782&lt;&gt;"",COUNTIF($AL$11:$AL2782,$AL2782)=1),1,0)</f>
        <v>0</v>
      </c>
      <c r="AW2782" s="21">
        <f t="shared" si="173"/>
        <v>2</v>
      </c>
      <c r="AX2782" s="21" t="str">
        <f t="shared" si="172"/>
        <v/>
      </c>
      <c r="AY2782" s="21" t="str">
        <f>IF(AND($AM2782&lt;&gt;"",$AS2782&lt;&gt;"✓"),SUMPRODUCT(($AM$11:$AM2782&lt;&gt;"")*($AS$11:$AS2782&lt;&gt;"✓")),"")</f>
        <v/>
      </c>
      <c r="AZ2782" s="21" t="str">
        <f>IF(AND($AM2782&lt;&gt;"",$AS2782="✓"),SUMPRODUCT(($AM$11:$AM2782&lt;&gt;"")*($AS$11:$AS2782="✓")),"")</f>
        <v/>
      </c>
      <c r="BA2782" s="21" t="str">
        <f>IF($AL2782="","",$AL2782&amp;"|"&amp;COUNTIF($AL$11:$AL2782,$AL2782))</f>
        <v/>
      </c>
    </row>
    <row r="2783" spans="38:53" ht="15" customHeight="1" x14ac:dyDescent="0.25">
      <c r="AL2783" s="17"/>
      <c r="AM2783" s="12"/>
      <c r="AN2783" s="18"/>
      <c r="AO2783" s="18"/>
      <c r="AP2783" s="10"/>
      <c r="AQ2783" s="10"/>
      <c r="AR2783" s="19"/>
      <c r="AS2783" s="20"/>
      <c r="AT2783" s="19"/>
      <c r="AV2783" s="21">
        <f>IF(AND($AL2783&lt;&gt;"",COUNTIF($AL$11:$AL2783,$AL2783)=1),1,0)</f>
        <v>0</v>
      </c>
      <c r="AW2783" s="21">
        <f t="shared" si="173"/>
        <v>2</v>
      </c>
      <c r="AX2783" s="21" t="str">
        <f t="shared" si="172"/>
        <v/>
      </c>
      <c r="AY2783" s="21" t="str">
        <f>IF(AND($AM2783&lt;&gt;"",$AS2783&lt;&gt;"✓"),SUMPRODUCT(($AM$11:$AM2783&lt;&gt;"")*($AS$11:$AS2783&lt;&gt;"✓")),"")</f>
        <v/>
      </c>
      <c r="AZ2783" s="21" t="str">
        <f>IF(AND($AM2783&lt;&gt;"",$AS2783="✓"),SUMPRODUCT(($AM$11:$AM2783&lt;&gt;"")*($AS$11:$AS2783="✓")),"")</f>
        <v/>
      </c>
      <c r="BA2783" s="21" t="str">
        <f>IF($AL2783="","",$AL2783&amp;"|"&amp;COUNTIF($AL$11:$AL2783,$AL2783))</f>
        <v/>
      </c>
    </row>
    <row r="2784" spans="38:53" ht="15" customHeight="1" x14ac:dyDescent="0.25">
      <c r="AL2784" s="31"/>
      <c r="AM2784" s="26"/>
      <c r="AN2784" s="32"/>
      <c r="AO2784" s="32"/>
      <c r="AP2784" s="24"/>
      <c r="AQ2784" s="24"/>
      <c r="AR2784" s="33"/>
      <c r="AS2784" s="34"/>
      <c r="AT2784" s="33"/>
      <c r="AV2784" s="21">
        <f>IF(AND($AL2784&lt;&gt;"",COUNTIF($AL$11:$AL2784,$AL2784)=1),1,0)</f>
        <v>0</v>
      </c>
      <c r="AW2784" s="21">
        <f t="shared" si="173"/>
        <v>2</v>
      </c>
      <c r="AX2784" s="21" t="str">
        <f t="shared" si="172"/>
        <v/>
      </c>
      <c r="AY2784" s="21" t="str">
        <f>IF(AND($AM2784&lt;&gt;"",$AS2784&lt;&gt;"✓"),SUMPRODUCT(($AM$11:$AM2784&lt;&gt;"")*($AS$11:$AS2784&lt;&gt;"✓")),"")</f>
        <v/>
      </c>
      <c r="AZ2784" s="21" t="str">
        <f>IF(AND($AM2784&lt;&gt;"",$AS2784="✓"),SUMPRODUCT(($AM$11:$AM2784&lt;&gt;"")*($AS$11:$AS2784="✓")),"")</f>
        <v/>
      </c>
      <c r="BA2784" s="21" t="str">
        <f>IF($AL2784="","",$AL2784&amp;"|"&amp;COUNTIF($AL$11:$AL2784,$AL2784))</f>
        <v/>
      </c>
    </row>
    <row r="2785" spans="38:53" ht="15" customHeight="1" x14ac:dyDescent="0.25">
      <c r="AL2785" s="17"/>
      <c r="AM2785" s="12"/>
      <c r="AN2785" s="18"/>
      <c r="AO2785" s="18"/>
      <c r="AP2785" s="10"/>
      <c r="AQ2785" s="10"/>
      <c r="AR2785" s="19"/>
      <c r="AS2785" s="20"/>
      <c r="AT2785" s="19"/>
      <c r="AV2785" s="21">
        <f>IF(AND($AL2785&lt;&gt;"",COUNTIF($AL$11:$AL2785,$AL2785)=1),1,0)</f>
        <v>0</v>
      </c>
      <c r="AW2785" s="21">
        <f t="shared" si="173"/>
        <v>2</v>
      </c>
      <c r="AX2785" s="21" t="str">
        <f t="shared" si="172"/>
        <v/>
      </c>
      <c r="AY2785" s="21" t="str">
        <f>IF(AND($AM2785&lt;&gt;"",$AS2785&lt;&gt;"✓"),SUMPRODUCT(($AM$11:$AM2785&lt;&gt;"")*($AS$11:$AS2785&lt;&gt;"✓")),"")</f>
        <v/>
      </c>
      <c r="AZ2785" s="21" t="str">
        <f>IF(AND($AM2785&lt;&gt;"",$AS2785="✓"),SUMPRODUCT(($AM$11:$AM2785&lt;&gt;"")*($AS$11:$AS2785="✓")),"")</f>
        <v/>
      </c>
      <c r="BA2785" s="21" t="str">
        <f>IF($AL2785="","",$AL2785&amp;"|"&amp;COUNTIF($AL$11:$AL2785,$AL2785))</f>
        <v/>
      </c>
    </row>
    <row r="2786" spans="38:53" ht="15" customHeight="1" x14ac:dyDescent="0.25">
      <c r="AL2786" s="31"/>
      <c r="AM2786" s="26"/>
      <c r="AN2786" s="32"/>
      <c r="AO2786" s="32"/>
      <c r="AP2786" s="24"/>
      <c r="AQ2786" s="24"/>
      <c r="AR2786" s="33"/>
      <c r="AS2786" s="34"/>
      <c r="AT2786" s="33"/>
      <c r="AV2786" s="21">
        <f>IF(AND($AL2786&lt;&gt;"",COUNTIF($AL$11:$AL2786,$AL2786)=1),1,0)</f>
        <v>0</v>
      </c>
      <c r="AW2786" s="21">
        <f t="shared" si="173"/>
        <v>2</v>
      </c>
      <c r="AX2786" s="21" t="str">
        <f t="shared" si="172"/>
        <v/>
      </c>
      <c r="AY2786" s="21" t="str">
        <f>IF(AND($AM2786&lt;&gt;"",$AS2786&lt;&gt;"✓"),SUMPRODUCT(($AM$11:$AM2786&lt;&gt;"")*($AS$11:$AS2786&lt;&gt;"✓")),"")</f>
        <v/>
      </c>
      <c r="AZ2786" s="21" t="str">
        <f>IF(AND($AM2786&lt;&gt;"",$AS2786="✓"),SUMPRODUCT(($AM$11:$AM2786&lt;&gt;"")*($AS$11:$AS2786="✓")),"")</f>
        <v/>
      </c>
      <c r="BA2786" s="21" t="str">
        <f>IF($AL2786="","",$AL2786&amp;"|"&amp;COUNTIF($AL$11:$AL2786,$AL2786))</f>
        <v/>
      </c>
    </row>
    <row r="2787" spans="38:53" ht="15" customHeight="1" x14ac:dyDescent="0.25">
      <c r="AL2787" s="17"/>
      <c r="AM2787" s="12"/>
      <c r="AN2787" s="18"/>
      <c r="AO2787" s="18"/>
      <c r="AP2787" s="10"/>
      <c r="AQ2787" s="10"/>
      <c r="AR2787" s="19"/>
      <c r="AS2787" s="20"/>
      <c r="AT2787" s="19"/>
      <c r="AV2787" s="21">
        <f>IF(AND($AL2787&lt;&gt;"",COUNTIF($AL$11:$AL2787,$AL2787)=1),1,0)</f>
        <v>0</v>
      </c>
      <c r="AW2787" s="21">
        <f t="shared" si="173"/>
        <v>2</v>
      </c>
      <c r="AX2787" s="21" t="str">
        <f t="shared" si="172"/>
        <v/>
      </c>
      <c r="AY2787" s="21" t="str">
        <f>IF(AND($AM2787&lt;&gt;"",$AS2787&lt;&gt;"✓"),SUMPRODUCT(($AM$11:$AM2787&lt;&gt;"")*($AS$11:$AS2787&lt;&gt;"✓")),"")</f>
        <v/>
      </c>
      <c r="AZ2787" s="21" t="str">
        <f>IF(AND($AM2787&lt;&gt;"",$AS2787="✓"),SUMPRODUCT(($AM$11:$AM2787&lt;&gt;"")*($AS$11:$AS2787="✓")),"")</f>
        <v/>
      </c>
      <c r="BA2787" s="21" t="str">
        <f>IF($AL2787="","",$AL2787&amp;"|"&amp;COUNTIF($AL$11:$AL2787,$AL2787))</f>
        <v/>
      </c>
    </row>
    <row r="2788" spans="38:53" ht="15" customHeight="1" x14ac:dyDescent="0.25">
      <c r="AL2788" s="31"/>
      <c r="AM2788" s="26"/>
      <c r="AN2788" s="32"/>
      <c r="AO2788" s="32"/>
      <c r="AP2788" s="24"/>
      <c r="AQ2788" s="24"/>
      <c r="AR2788" s="33"/>
      <c r="AS2788" s="34"/>
      <c r="AT2788" s="33"/>
      <c r="AV2788" s="21">
        <f>IF(AND($AL2788&lt;&gt;"",COUNTIF($AL$11:$AL2788,$AL2788)=1),1,0)</f>
        <v>0</v>
      </c>
      <c r="AW2788" s="21">
        <f t="shared" si="173"/>
        <v>2</v>
      </c>
      <c r="AX2788" s="21" t="str">
        <f t="shared" si="172"/>
        <v/>
      </c>
      <c r="AY2788" s="21" t="str">
        <f>IF(AND($AM2788&lt;&gt;"",$AS2788&lt;&gt;"✓"),SUMPRODUCT(($AM$11:$AM2788&lt;&gt;"")*($AS$11:$AS2788&lt;&gt;"✓")),"")</f>
        <v/>
      </c>
      <c r="AZ2788" s="21" t="str">
        <f>IF(AND($AM2788&lt;&gt;"",$AS2788="✓"),SUMPRODUCT(($AM$11:$AM2788&lt;&gt;"")*($AS$11:$AS2788="✓")),"")</f>
        <v/>
      </c>
      <c r="BA2788" s="21" t="str">
        <f>IF($AL2788="","",$AL2788&amp;"|"&amp;COUNTIF($AL$11:$AL2788,$AL2788))</f>
        <v/>
      </c>
    </row>
    <row r="2789" spans="38:53" ht="15" customHeight="1" x14ac:dyDescent="0.25">
      <c r="AL2789" s="17"/>
      <c r="AM2789" s="12"/>
      <c r="AN2789" s="18"/>
      <c r="AO2789" s="18"/>
      <c r="AP2789" s="10"/>
      <c r="AQ2789" s="10"/>
      <c r="AR2789" s="19"/>
      <c r="AS2789" s="20"/>
      <c r="AT2789" s="19"/>
      <c r="AV2789" s="21">
        <f>IF(AND($AL2789&lt;&gt;"",COUNTIF($AL$11:$AL2789,$AL2789)=1),1,0)</f>
        <v>0</v>
      </c>
      <c r="AW2789" s="21">
        <f t="shared" si="173"/>
        <v>2</v>
      </c>
      <c r="AX2789" s="21" t="str">
        <f t="shared" si="172"/>
        <v/>
      </c>
      <c r="AY2789" s="21" t="str">
        <f>IF(AND($AM2789&lt;&gt;"",$AS2789&lt;&gt;"✓"),SUMPRODUCT(($AM$11:$AM2789&lt;&gt;"")*($AS$11:$AS2789&lt;&gt;"✓")),"")</f>
        <v/>
      </c>
      <c r="AZ2789" s="21" t="str">
        <f>IF(AND($AM2789&lt;&gt;"",$AS2789="✓"),SUMPRODUCT(($AM$11:$AM2789&lt;&gt;"")*($AS$11:$AS2789="✓")),"")</f>
        <v/>
      </c>
      <c r="BA2789" s="21" t="str">
        <f>IF($AL2789="","",$AL2789&amp;"|"&amp;COUNTIF($AL$11:$AL2789,$AL2789))</f>
        <v/>
      </c>
    </row>
    <row r="2790" spans="38:53" ht="15" customHeight="1" x14ac:dyDescent="0.25">
      <c r="AL2790" s="31"/>
      <c r="AM2790" s="26"/>
      <c r="AN2790" s="32"/>
      <c r="AO2790" s="32"/>
      <c r="AP2790" s="24"/>
      <c r="AQ2790" s="24"/>
      <c r="AR2790" s="33"/>
      <c r="AS2790" s="34"/>
      <c r="AT2790" s="33"/>
      <c r="AV2790" s="21">
        <f>IF(AND($AL2790&lt;&gt;"",COUNTIF($AL$11:$AL2790,$AL2790)=1),1,0)</f>
        <v>0</v>
      </c>
      <c r="AW2790" s="21">
        <f t="shared" si="173"/>
        <v>2</v>
      </c>
      <c r="AX2790" s="21" t="str">
        <f t="shared" si="172"/>
        <v/>
      </c>
      <c r="AY2790" s="21" t="str">
        <f>IF(AND($AM2790&lt;&gt;"",$AS2790&lt;&gt;"✓"),SUMPRODUCT(($AM$11:$AM2790&lt;&gt;"")*($AS$11:$AS2790&lt;&gt;"✓")),"")</f>
        <v/>
      </c>
      <c r="AZ2790" s="21" t="str">
        <f>IF(AND($AM2790&lt;&gt;"",$AS2790="✓"),SUMPRODUCT(($AM$11:$AM2790&lt;&gt;"")*($AS$11:$AS2790="✓")),"")</f>
        <v/>
      </c>
      <c r="BA2790" s="21" t="str">
        <f>IF($AL2790="","",$AL2790&amp;"|"&amp;COUNTIF($AL$11:$AL2790,$AL2790))</f>
        <v/>
      </c>
    </row>
    <row r="2791" spans="38:53" ht="15" customHeight="1" x14ac:dyDescent="0.25">
      <c r="AL2791" s="17"/>
      <c r="AM2791" s="12"/>
      <c r="AN2791" s="18"/>
      <c r="AO2791" s="18"/>
      <c r="AP2791" s="10"/>
      <c r="AQ2791" s="10"/>
      <c r="AR2791" s="19"/>
      <c r="AS2791" s="20"/>
      <c r="AT2791" s="19"/>
      <c r="AV2791" s="21">
        <f>IF(AND($AL2791&lt;&gt;"",COUNTIF($AL$11:$AL2791,$AL2791)=1),1,0)</f>
        <v>0</v>
      </c>
      <c r="AW2791" s="21">
        <f t="shared" si="173"/>
        <v>2</v>
      </c>
      <c r="AX2791" s="21" t="str">
        <f t="shared" si="172"/>
        <v/>
      </c>
      <c r="AY2791" s="21" t="str">
        <f>IF(AND($AM2791&lt;&gt;"",$AS2791&lt;&gt;"✓"),SUMPRODUCT(($AM$11:$AM2791&lt;&gt;"")*($AS$11:$AS2791&lt;&gt;"✓")),"")</f>
        <v/>
      </c>
      <c r="AZ2791" s="21" t="str">
        <f>IF(AND($AM2791&lt;&gt;"",$AS2791="✓"),SUMPRODUCT(($AM$11:$AM2791&lt;&gt;"")*($AS$11:$AS2791="✓")),"")</f>
        <v/>
      </c>
      <c r="BA2791" s="21" t="str">
        <f>IF($AL2791="","",$AL2791&amp;"|"&amp;COUNTIF($AL$11:$AL2791,$AL2791))</f>
        <v/>
      </c>
    </row>
    <row r="2792" spans="38:53" ht="15" customHeight="1" x14ac:dyDescent="0.25">
      <c r="AL2792" s="31"/>
      <c r="AM2792" s="26"/>
      <c r="AN2792" s="32"/>
      <c r="AO2792" s="32"/>
      <c r="AP2792" s="24"/>
      <c r="AQ2792" s="24"/>
      <c r="AR2792" s="33"/>
      <c r="AS2792" s="34"/>
      <c r="AT2792" s="33"/>
      <c r="AV2792" s="21">
        <f>IF(AND($AL2792&lt;&gt;"",COUNTIF($AL$11:$AL2792,$AL2792)=1),1,0)</f>
        <v>0</v>
      </c>
      <c r="AW2792" s="21">
        <f t="shared" si="173"/>
        <v>2</v>
      </c>
      <c r="AX2792" s="21" t="str">
        <f t="shared" si="172"/>
        <v/>
      </c>
      <c r="AY2792" s="21" t="str">
        <f>IF(AND($AM2792&lt;&gt;"",$AS2792&lt;&gt;"✓"),SUMPRODUCT(($AM$11:$AM2792&lt;&gt;"")*($AS$11:$AS2792&lt;&gt;"✓")),"")</f>
        <v/>
      </c>
      <c r="AZ2792" s="21" t="str">
        <f>IF(AND($AM2792&lt;&gt;"",$AS2792="✓"),SUMPRODUCT(($AM$11:$AM2792&lt;&gt;"")*($AS$11:$AS2792="✓")),"")</f>
        <v/>
      </c>
      <c r="BA2792" s="21" t="str">
        <f>IF($AL2792="","",$AL2792&amp;"|"&amp;COUNTIF($AL$11:$AL2792,$AL2792))</f>
        <v/>
      </c>
    </row>
    <row r="2793" spans="38:53" ht="15" customHeight="1" x14ac:dyDescent="0.25">
      <c r="AL2793" s="17"/>
      <c r="AM2793" s="12"/>
      <c r="AN2793" s="18"/>
      <c r="AO2793" s="18"/>
      <c r="AP2793" s="10"/>
      <c r="AQ2793" s="10"/>
      <c r="AR2793" s="19"/>
      <c r="AS2793" s="20"/>
      <c r="AT2793" s="19"/>
      <c r="AV2793" s="21">
        <f>IF(AND($AL2793&lt;&gt;"",COUNTIF($AL$11:$AL2793,$AL2793)=1),1,0)</f>
        <v>0</v>
      </c>
      <c r="AW2793" s="21">
        <f t="shared" si="173"/>
        <v>2</v>
      </c>
      <c r="AX2793" s="21" t="str">
        <f t="shared" si="172"/>
        <v/>
      </c>
      <c r="AY2793" s="21" t="str">
        <f>IF(AND($AM2793&lt;&gt;"",$AS2793&lt;&gt;"✓"),SUMPRODUCT(($AM$11:$AM2793&lt;&gt;"")*($AS$11:$AS2793&lt;&gt;"✓")),"")</f>
        <v/>
      </c>
      <c r="AZ2793" s="21" t="str">
        <f>IF(AND($AM2793&lt;&gt;"",$AS2793="✓"),SUMPRODUCT(($AM$11:$AM2793&lt;&gt;"")*($AS$11:$AS2793="✓")),"")</f>
        <v/>
      </c>
      <c r="BA2793" s="21" t="str">
        <f>IF($AL2793="","",$AL2793&amp;"|"&amp;COUNTIF($AL$11:$AL2793,$AL2793))</f>
        <v/>
      </c>
    </row>
    <row r="2794" spans="38:53" ht="15" customHeight="1" x14ac:dyDescent="0.25">
      <c r="AL2794" s="31"/>
      <c r="AM2794" s="26"/>
      <c r="AN2794" s="32"/>
      <c r="AO2794" s="32"/>
      <c r="AP2794" s="24"/>
      <c r="AQ2794" s="24"/>
      <c r="AR2794" s="33"/>
      <c r="AS2794" s="34"/>
      <c r="AT2794" s="33"/>
      <c r="AV2794" s="21">
        <f>IF(AND($AL2794&lt;&gt;"",COUNTIF($AL$11:$AL2794,$AL2794)=1),1,0)</f>
        <v>0</v>
      </c>
      <c r="AW2794" s="21">
        <f t="shared" si="173"/>
        <v>2</v>
      </c>
      <c r="AX2794" s="21" t="str">
        <f t="shared" si="172"/>
        <v/>
      </c>
      <c r="AY2794" s="21" t="str">
        <f>IF(AND($AM2794&lt;&gt;"",$AS2794&lt;&gt;"✓"),SUMPRODUCT(($AM$11:$AM2794&lt;&gt;"")*($AS$11:$AS2794&lt;&gt;"✓")),"")</f>
        <v/>
      </c>
      <c r="AZ2794" s="21" t="str">
        <f>IF(AND($AM2794&lt;&gt;"",$AS2794="✓"),SUMPRODUCT(($AM$11:$AM2794&lt;&gt;"")*($AS$11:$AS2794="✓")),"")</f>
        <v/>
      </c>
      <c r="BA2794" s="21" t="str">
        <f>IF($AL2794="","",$AL2794&amp;"|"&amp;COUNTIF($AL$11:$AL2794,$AL2794))</f>
        <v/>
      </c>
    </row>
    <row r="2795" spans="38:53" ht="15" customHeight="1" x14ac:dyDescent="0.25">
      <c r="AL2795" s="17"/>
      <c r="AM2795" s="12"/>
      <c r="AN2795" s="18"/>
      <c r="AO2795" s="18"/>
      <c r="AP2795" s="10"/>
      <c r="AQ2795" s="10"/>
      <c r="AR2795" s="19"/>
      <c r="AS2795" s="20"/>
      <c r="AT2795" s="19"/>
      <c r="AV2795" s="21">
        <f>IF(AND($AL2795&lt;&gt;"",COUNTIF($AL$11:$AL2795,$AL2795)=1),1,0)</f>
        <v>0</v>
      </c>
      <c r="AW2795" s="21">
        <f t="shared" si="173"/>
        <v>2</v>
      </c>
      <c r="AX2795" s="21" t="str">
        <f t="shared" si="172"/>
        <v/>
      </c>
      <c r="AY2795" s="21" t="str">
        <f>IF(AND($AM2795&lt;&gt;"",$AS2795&lt;&gt;"✓"),SUMPRODUCT(($AM$11:$AM2795&lt;&gt;"")*($AS$11:$AS2795&lt;&gt;"✓")),"")</f>
        <v/>
      </c>
      <c r="AZ2795" s="21" t="str">
        <f>IF(AND($AM2795&lt;&gt;"",$AS2795="✓"),SUMPRODUCT(($AM$11:$AM2795&lt;&gt;"")*($AS$11:$AS2795="✓")),"")</f>
        <v/>
      </c>
      <c r="BA2795" s="21" t="str">
        <f>IF($AL2795="","",$AL2795&amp;"|"&amp;COUNTIF($AL$11:$AL2795,$AL2795))</f>
        <v/>
      </c>
    </row>
    <row r="2796" spans="38:53" ht="15" customHeight="1" x14ac:dyDescent="0.25">
      <c r="AL2796" s="31"/>
      <c r="AM2796" s="26"/>
      <c r="AN2796" s="32"/>
      <c r="AO2796" s="32"/>
      <c r="AP2796" s="24"/>
      <c r="AQ2796" s="24"/>
      <c r="AR2796" s="33"/>
      <c r="AS2796" s="34"/>
      <c r="AT2796" s="33"/>
      <c r="AV2796" s="21">
        <f>IF(AND($AL2796&lt;&gt;"",COUNTIF($AL$11:$AL2796,$AL2796)=1),1,0)</f>
        <v>0</v>
      </c>
      <c r="AW2796" s="21">
        <f t="shared" si="173"/>
        <v>2</v>
      </c>
      <c r="AX2796" s="21" t="str">
        <f t="shared" si="172"/>
        <v/>
      </c>
      <c r="AY2796" s="21" t="str">
        <f>IF(AND($AM2796&lt;&gt;"",$AS2796&lt;&gt;"✓"),SUMPRODUCT(($AM$11:$AM2796&lt;&gt;"")*($AS$11:$AS2796&lt;&gt;"✓")),"")</f>
        <v/>
      </c>
      <c r="AZ2796" s="21" t="str">
        <f>IF(AND($AM2796&lt;&gt;"",$AS2796="✓"),SUMPRODUCT(($AM$11:$AM2796&lt;&gt;"")*($AS$11:$AS2796="✓")),"")</f>
        <v/>
      </c>
      <c r="BA2796" s="21" t="str">
        <f>IF($AL2796="","",$AL2796&amp;"|"&amp;COUNTIF($AL$11:$AL2796,$AL2796))</f>
        <v/>
      </c>
    </row>
    <row r="2797" spans="38:53" ht="15" customHeight="1" x14ac:dyDescent="0.25">
      <c r="AL2797" s="17"/>
      <c r="AM2797" s="12"/>
      <c r="AN2797" s="18"/>
      <c r="AO2797" s="18"/>
      <c r="AP2797" s="10"/>
      <c r="AQ2797" s="10"/>
      <c r="AR2797" s="19"/>
      <c r="AS2797" s="20"/>
      <c r="AT2797" s="19"/>
      <c r="AV2797" s="21">
        <f>IF(AND($AL2797&lt;&gt;"",COUNTIF($AL$11:$AL2797,$AL2797)=1),1,0)</f>
        <v>0</v>
      </c>
      <c r="AW2797" s="21">
        <f t="shared" si="173"/>
        <v>2</v>
      </c>
      <c r="AX2797" s="21" t="str">
        <f t="shared" si="172"/>
        <v/>
      </c>
      <c r="AY2797" s="21" t="str">
        <f>IF(AND($AM2797&lt;&gt;"",$AS2797&lt;&gt;"✓"),SUMPRODUCT(($AM$11:$AM2797&lt;&gt;"")*($AS$11:$AS2797&lt;&gt;"✓")),"")</f>
        <v/>
      </c>
      <c r="AZ2797" s="21" t="str">
        <f>IF(AND($AM2797&lt;&gt;"",$AS2797="✓"),SUMPRODUCT(($AM$11:$AM2797&lt;&gt;"")*($AS$11:$AS2797="✓")),"")</f>
        <v/>
      </c>
      <c r="BA2797" s="21" t="str">
        <f>IF($AL2797="","",$AL2797&amp;"|"&amp;COUNTIF($AL$11:$AL2797,$AL2797))</f>
        <v/>
      </c>
    </row>
    <row r="2798" spans="38:53" ht="15" customHeight="1" x14ac:dyDescent="0.25">
      <c r="AL2798" s="31"/>
      <c r="AM2798" s="26"/>
      <c r="AN2798" s="32"/>
      <c r="AO2798" s="32"/>
      <c r="AP2798" s="24"/>
      <c r="AQ2798" s="24"/>
      <c r="AR2798" s="33"/>
      <c r="AS2798" s="34"/>
      <c r="AT2798" s="33"/>
      <c r="AV2798" s="21">
        <f>IF(AND($AL2798&lt;&gt;"",COUNTIF($AL$11:$AL2798,$AL2798)=1),1,0)</f>
        <v>0</v>
      </c>
      <c r="AW2798" s="21">
        <f t="shared" si="173"/>
        <v>2</v>
      </c>
      <c r="AX2798" s="21" t="str">
        <f t="shared" si="172"/>
        <v/>
      </c>
      <c r="AY2798" s="21" t="str">
        <f>IF(AND($AM2798&lt;&gt;"",$AS2798&lt;&gt;"✓"),SUMPRODUCT(($AM$11:$AM2798&lt;&gt;"")*($AS$11:$AS2798&lt;&gt;"✓")),"")</f>
        <v/>
      </c>
      <c r="AZ2798" s="21" t="str">
        <f>IF(AND($AM2798&lt;&gt;"",$AS2798="✓"),SUMPRODUCT(($AM$11:$AM2798&lt;&gt;"")*($AS$11:$AS2798="✓")),"")</f>
        <v/>
      </c>
      <c r="BA2798" s="21" t="str">
        <f>IF($AL2798="","",$AL2798&amp;"|"&amp;COUNTIF($AL$11:$AL2798,$AL2798))</f>
        <v/>
      </c>
    </row>
    <row r="2799" spans="38:53" ht="15" customHeight="1" x14ac:dyDescent="0.25">
      <c r="AL2799" s="17"/>
      <c r="AM2799" s="12"/>
      <c r="AN2799" s="18"/>
      <c r="AO2799" s="18"/>
      <c r="AP2799" s="10"/>
      <c r="AQ2799" s="10"/>
      <c r="AR2799" s="19"/>
      <c r="AS2799" s="20"/>
      <c r="AT2799" s="19"/>
      <c r="AV2799" s="21">
        <f>IF(AND($AL2799&lt;&gt;"",COUNTIF($AL$11:$AL2799,$AL2799)=1),1,0)</f>
        <v>0</v>
      </c>
      <c r="AW2799" s="21">
        <f t="shared" si="173"/>
        <v>2</v>
      </c>
      <c r="AX2799" s="21" t="str">
        <f t="shared" si="172"/>
        <v/>
      </c>
      <c r="AY2799" s="21" t="str">
        <f>IF(AND($AM2799&lt;&gt;"",$AS2799&lt;&gt;"✓"),SUMPRODUCT(($AM$11:$AM2799&lt;&gt;"")*($AS$11:$AS2799&lt;&gt;"✓")),"")</f>
        <v/>
      </c>
      <c r="AZ2799" s="21" t="str">
        <f>IF(AND($AM2799&lt;&gt;"",$AS2799="✓"),SUMPRODUCT(($AM$11:$AM2799&lt;&gt;"")*($AS$11:$AS2799="✓")),"")</f>
        <v/>
      </c>
      <c r="BA2799" s="21" t="str">
        <f>IF($AL2799="","",$AL2799&amp;"|"&amp;COUNTIF($AL$11:$AL2799,$AL2799))</f>
        <v/>
      </c>
    </row>
    <row r="2800" spans="38:53" ht="15" customHeight="1" x14ac:dyDescent="0.25">
      <c r="AL2800" s="31"/>
      <c r="AM2800" s="26"/>
      <c r="AN2800" s="32"/>
      <c r="AO2800" s="32"/>
      <c r="AP2800" s="24"/>
      <c r="AQ2800" s="24"/>
      <c r="AR2800" s="33"/>
      <c r="AS2800" s="34"/>
      <c r="AT2800" s="33"/>
      <c r="AV2800" s="21">
        <f>IF(AND($AL2800&lt;&gt;"",COUNTIF($AL$11:$AL2800,$AL2800)=1),1,0)</f>
        <v>0</v>
      </c>
      <c r="AW2800" s="21">
        <f t="shared" si="173"/>
        <v>2</v>
      </c>
      <c r="AX2800" s="21" t="str">
        <f t="shared" si="172"/>
        <v/>
      </c>
      <c r="AY2800" s="21" t="str">
        <f>IF(AND($AM2800&lt;&gt;"",$AS2800&lt;&gt;"✓"),SUMPRODUCT(($AM$11:$AM2800&lt;&gt;"")*($AS$11:$AS2800&lt;&gt;"✓")),"")</f>
        <v/>
      </c>
      <c r="AZ2800" s="21" t="str">
        <f>IF(AND($AM2800&lt;&gt;"",$AS2800="✓"),SUMPRODUCT(($AM$11:$AM2800&lt;&gt;"")*($AS$11:$AS2800="✓")),"")</f>
        <v/>
      </c>
      <c r="BA2800" s="21" t="str">
        <f>IF($AL2800="","",$AL2800&amp;"|"&amp;COUNTIF($AL$11:$AL2800,$AL2800))</f>
        <v/>
      </c>
    </row>
    <row r="2801" spans="38:53" ht="15" customHeight="1" x14ac:dyDescent="0.25">
      <c r="AL2801" s="17"/>
      <c r="AM2801" s="12"/>
      <c r="AN2801" s="18"/>
      <c r="AO2801" s="18"/>
      <c r="AP2801" s="10"/>
      <c r="AQ2801" s="10"/>
      <c r="AR2801" s="19"/>
      <c r="AS2801" s="20"/>
      <c r="AT2801" s="19"/>
      <c r="AV2801" s="21">
        <f>IF(AND($AL2801&lt;&gt;"",COUNTIF($AL$11:$AL2801,$AL2801)=1),1,0)</f>
        <v>0</v>
      </c>
      <c r="AW2801" s="21">
        <f t="shared" si="173"/>
        <v>2</v>
      </c>
      <c r="AX2801" s="21" t="str">
        <f t="shared" si="172"/>
        <v/>
      </c>
      <c r="AY2801" s="21" t="str">
        <f>IF(AND($AM2801&lt;&gt;"",$AS2801&lt;&gt;"✓"),SUMPRODUCT(($AM$11:$AM2801&lt;&gt;"")*($AS$11:$AS2801&lt;&gt;"✓")),"")</f>
        <v/>
      </c>
      <c r="AZ2801" s="21" t="str">
        <f>IF(AND($AM2801&lt;&gt;"",$AS2801="✓"),SUMPRODUCT(($AM$11:$AM2801&lt;&gt;"")*($AS$11:$AS2801="✓")),"")</f>
        <v/>
      </c>
      <c r="BA2801" s="21" t="str">
        <f>IF($AL2801="","",$AL2801&amp;"|"&amp;COUNTIF($AL$11:$AL2801,$AL2801))</f>
        <v/>
      </c>
    </row>
    <row r="2802" spans="38:53" ht="15" customHeight="1" x14ac:dyDescent="0.25">
      <c r="AL2802" s="31"/>
      <c r="AM2802" s="26"/>
      <c r="AN2802" s="32"/>
      <c r="AO2802" s="32"/>
      <c r="AP2802" s="24"/>
      <c r="AQ2802" s="24"/>
      <c r="AR2802" s="33"/>
      <c r="AS2802" s="34"/>
      <c r="AT2802" s="33"/>
      <c r="AV2802" s="21">
        <f>IF(AND($AL2802&lt;&gt;"",COUNTIF($AL$11:$AL2802,$AL2802)=1),1,0)</f>
        <v>0</v>
      </c>
      <c r="AW2802" s="21">
        <f t="shared" si="173"/>
        <v>2</v>
      </c>
      <c r="AX2802" s="21" t="str">
        <f t="shared" si="172"/>
        <v/>
      </c>
      <c r="AY2802" s="21" t="str">
        <f>IF(AND($AM2802&lt;&gt;"",$AS2802&lt;&gt;"✓"),SUMPRODUCT(($AM$11:$AM2802&lt;&gt;"")*($AS$11:$AS2802&lt;&gt;"✓")),"")</f>
        <v/>
      </c>
      <c r="AZ2802" s="21" t="str">
        <f>IF(AND($AM2802&lt;&gt;"",$AS2802="✓"),SUMPRODUCT(($AM$11:$AM2802&lt;&gt;"")*($AS$11:$AS2802="✓")),"")</f>
        <v/>
      </c>
      <c r="BA2802" s="21" t="str">
        <f>IF($AL2802="","",$AL2802&amp;"|"&amp;COUNTIF($AL$11:$AL2802,$AL2802))</f>
        <v/>
      </c>
    </row>
    <row r="2803" spans="38:53" ht="15" customHeight="1" x14ac:dyDescent="0.25">
      <c r="AL2803" s="17"/>
      <c r="AM2803" s="12"/>
      <c r="AN2803" s="18"/>
      <c r="AO2803" s="18"/>
      <c r="AP2803" s="10"/>
      <c r="AQ2803" s="10"/>
      <c r="AR2803" s="19"/>
      <c r="AS2803" s="20"/>
      <c r="AT2803" s="19"/>
      <c r="AV2803" s="21">
        <f>IF(AND($AL2803&lt;&gt;"",COUNTIF($AL$11:$AL2803,$AL2803)=1),1,0)</f>
        <v>0</v>
      </c>
      <c r="AW2803" s="21">
        <f t="shared" si="173"/>
        <v>2</v>
      </c>
      <c r="AX2803" s="21" t="str">
        <f t="shared" si="172"/>
        <v/>
      </c>
      <c r="AY2803" s="21" t="str">
        <f>IF(AND($AM2803&lt;&gt;"",$AS2803&lt;&gt;"✓"),SUMPRODUCT(($AM$11:$AM2803&lt;&gt;"")*($AS$11:$AS2803&lt;&gt;"✓")),"")</f>
        <v/>
      </c>
      <c r="AZ2803" s="21" t="str">
        <f>IF(AND($AM2803&lt;&gt;"",$AS2803="✓"),SUMPRODUCT(($AM$11:$AM2803&lt;&gt;"")*($AS$11:$AS2803="✓")),"")</f>
        <v/>
      </c>
      <c r="BA2803" s="21" t="str">
        <f>IF($AL2803="","",$AL2803&amp;"|"&amp;COUNTIF($AL$11:$AL2803,$AL2803))</f>
        <v/>
      </c>
    </row>
    <row r="2804" spans="38:53" ht="15" customHeight="1" x14ac:dyDescent="0.25">
      <c r="AL2804" s="31"/>
      <c r="AM2804" s="26"/>
      <c r="AN2804" s="32"/>
      <c r="AO2804" s="32"/>
      <c r="AP2804" s="24"/>
      <c r="AQ2804" s="24"/>
      <c r="AR2804" s="33"/>
      <c r="AS2804" s="34"/>
      <c r="AT2804" s="33"/>
      <c r="AV2804" s="21">
        <f>IF(AND($AL2804&lt;&gt;"",COUNTIF($AL$11:$AL2804,$AL2804)=1),1,0)</f>
        <v>0</v>
      </c>
      <c r="AW2804" s="21">
        <f t="shared" si="173"/>
        <v>2</v>
      </c>
      <c r="AX2804" s="21" t="str">
        <f t="shared" si="172"/>
        <v/>
      </c>
      <c r="AY2804" s="21" t="str">
        <f>IF(AND($AM2804&lt;&gt;"",$AS2804&lt;&gt;"✓"),SUMPRODUCT(($AM$11:$AM2804&lt;&gt;"")*($AS$11:$AS2804&lt;&gt;"✓")),"")</f>
        <v/>
      </c>
      <c r="AZ2804" s="21" t="str">
        <f>IF(AND($AM2804&lt;&gt;"",$AS2804="✓"),SUMPRODUCT(($AM$11:$AM2804&lt;&gt;"")*($AS$11:$AS2804="✓")),"")</f>
        <v/>
      </c>
      <c r="BA2804" s="21" t="str">
        <f>IF($AL2804="","",$AL2804&amp;"|"&amp;COUNTIF($AL$11:$AL2804,$AL2804))</f>
        <v/>
      </c>
    </row>
    <row r="2805" spans="38:53" ht="15" customHeight="1" x14ac:dyDescent="0.25">
      <c r="AL2805" s="17"/>
      <c r="AM2805" s="12"/>
      <c r="AN2805" s="18"/>
      <c r="AO2805" s="18"/>
      <c r="AP2805" s="10"/>
      <c r="AQ2805" s="10"/>
      <c r="AR2805" s="19"/>
      <c r="AS2805" s="20"/>
      <c r="AT2805" s="19"/>
      <c r="AV2805" s="21">
        <f>IF(AND($AL2805&lt;&gt;"",COUNTIF($AL$11:$AL2805,$AL2805)=1),1,0)</f>
        <v>0</v>
      </c>
      <c r="AW2805" s="21">
        <f t="shared" si="173"/>
        <v>2</v>
      </c>
      <c r="AX2805" s="21" t="str">
        <f t="shared" si="172"/>
        <v/>
      </c>
      <c r="AY2805" s="21" t="str">
        <f>IF(AND($AM2805&lt;&gt;"",$AS2805&lt;&gt;"✓"),SUMPRODUCT(($AM$11:$AM2805&lt;&gt;"")*($AS$11:$AS2805&lt;&gt;"✓")),"")</f>
        <v/>
      </c>
      <c r="AZ2805" s="21" t="str">
        <f>IF(AND($AM2805&lt;&gt;"",$AS2805="✓"),SUMPRODUCT(($AM$11:$AM2805&lt;&gt;"")*($AS$11:$AS2805="✓")),"")</f>
        <v/>
      </c>
      <c r="BA2805" s="21" t="str">
        <f>IF($AL2805="","",$AL2805&amp;"|"&amp;COUNTIF($AL$11:$AL2805,$AL2805))</f>
        <v/>
      </c>
    </row>
    <row r="2806" spans="38:53" ht="15" customHeight="1" x14ac:dyDescent="0.25">
      <c r="AL2806" s="31"/>
      <c r="AM2806" s="26"/>
      <c r="AN2806" s="32"/>
      <c r="AO2806" s="32"/>
      <c r="AP2806" s="24"/>
      <c r="AQ2806" s="24"/>
      <c r="AR2806" s="33"/>
      <c r="AS2806" s="34"/>
      <c r="AT2806" s="33"/>
      <c r="AV2806" s="21">
        <f>IF(AND($AL2806&lt;&gt;"",COUNTIF($AL$11:$AL2806,$AL2806)=1),1,0)</f>
        <v>0</v>
      </c>
      <c r="AW2806" s="21">
        <f t="shared" si="173"/>
        <v>2</v>
      </c>
      <c r="AX2806" s="21" t="str">
        <f t="shared" si="172"/>
        <v/>
      </c>
      <c r="AY2806" s="21" t="str">
        <f>IF(AND($AM2806&lt;&gt;"",$AS2806&lt;&gt;"✓"),SUMPRODUCT(($AM$11:$AM2806&lt;&gt;"")*($AS$11:$AS2806&lt;&gt;"✓")),"")</f>
        <v/>
      </c>
      <c r="AZ2806" s="21" t="str">
        <f>IF(AND($AM2806&lt;&gt;"",$AS2806="✓"),SUMPRODUCT(($AM$11:$AM2806&lt;&gt;"")*($AS$11:$AS2806="✓")),"")</f>
        <v/>
      </c>
      <c r="BA2806" s="21" t="str">
        <f>IF($AL2806="","",$AL2806&amp;"|"&amp;COUNTIF($AL$11:$AL2806,$AL2806))</f>
        <v/>
      </c>
    </row>
    <row r="2807" spans="38:53" ht="15" customHeight="1" x14ac:dyDescent="0.25">
      <c r="AL2807" s="17"/>
      <c r="AM2807" s="12"/>
      <c r="AN2807" s="18"/>
      <c r="AO2807" s="18"/>
      <c r="AP2807" s="10"/>
      <c r="AQ2807" s="10"/>
      <c r="AR2807" s="19"/>
      <c r="AS2807" s="20"/>
      <c r="AT2807" s="19"/>
      <c r="AV2807" s="21">
        <f>IF(AND($AL2807&lt;&gt;"",COUNTIF($AL$11:$AL2807,$AL2807)=1),1,0)</f>
        <v>0</v>
      </c>
      <c r="AW2807" s="21">
        <f t="shared" si="173"/>
        <v>2</v>
      </c>
      <c r="AX2807" s="21" t="str">
        <f t="shared" si="172"/>
        <v/>
      </c>
      <c r="AY2807" s="21" t="str">
        <f>IF(AND($AM2807&lt;&gt;"",$AS2807&lt;&gt;"✓"),SUMPRODUCT(($AM$11:$AM2807&lt;&gt;"")*($AS$11:$AS2807&lt;&gt;"✓")),"")</f>
        <v/>
      </c>
      <c r="AZ2807" s="21" t="str">
        <f>IF(AND($AM2807&lt;&gt;"",$AS2807="✓"),SUMPRODUCT(($AM$11:$AM2807&lt;&gt;"")*($AS$11:$AS2807="✓")),"")</f>
        <v/>
      </c>
      <c r="BA2807" s="21" t="str">
        <f>IF($AL2807="","",$AL2807&amp;"|"&amp;COUNTIF($AL$11:$AL2807,$AL2807))</f>
        <v/>
      </c>
    </row>
    <row r="2808" spans="38:53" ht="15" customHeight="1" x14ac:dyDescent="0.25">
      <c r="AL2808" s="31"/>
      <c r="AM2808" s="26"/>
      <c r="AN2808" s="32"/>
      <c r="AO2808" s="32"/>
      <c r="AP2808" s="24"/>
      <c r="AQ2808" s="24"/>
      <c r="AR2808" s="33"/>
      <c r="AS2808" s="34"/>
      <c r="AT2808" s="33"/>
      <c r="AV2808" s="21">
        <f>IF(AND($AL2808&lt;&gt;"",COUNTIF($AL$11:$AL2808,$AL2808)=1),1,0)</f>
        <v>0</v>
      </c>
      <c r="AW2808" s="21">
        <f t="shared" si="173"/>
        <v>2</v>
      </c>
      <c r="AX2808" s="21" t="str">
        <f t="shared" si="172"/>
        <v/>
      </c>
      <c r="AY2808" s="21" t="str">
        <f>IF(AND($AM2808&lt;&gt;"",$AS2808&lt;&gt;"✓"),SUMPRODUCT(($AM$11:$AM2808&lt;&gt;"")*($AS$11:$AS2808&lt;&gt;"✓")),"")</f>
        <v/>
      </c>
      <c r="AZ2808" s="21" t="str">
        <f>IF(AND($AM2808&lt;&gt;"",$AS2808="✓"),SUMPRODUCT(($AM$11:$AM2808&lt;&gt;"")*($AS$11:$AS2808="✓")),"")</f>
        <v/>
      </c>
      <c r="BA2808" s="21" t="str">
        <f>IF($AL2808="","",$AL2808&amp;"|"&amp;COUNTIF($AL$11:$AL2808,$AL2808))</f>
        <v/>
      </c>
    </row>
    <row r="2809" spans="38:53" ht="15" customHeight="1" x14ac:dyDescent="0.25">
      <c r="AL2809" s="17"/>
      <c r="AM2809" s="12"/>
      <c r="AN2809" s="18"/>
      <c r="AO2809" s="18"/>
      <c r="AP2809" s="10"/>
      <c r="AQ2809" s="10"/>
      <c r="AR2809" s="19"/>
      <c r="AS2809" s="20"/>
      <c r="AT2809" s="19"/>
      <c r="AV2809" s="21">
        <f>IF(AND($AL2809&lt;&gt;"",COUNTIF($AL$11:$AL2809,$AL2809)=1),1,0)</f>
        <v>0</v>
      </c>
      <c r="AW2809" s="21">
        <f t="shared" si="173"/>
        <v>2</v>
      </c>
      <c r="AX2809" s="21" t="str">
        <f t="shared" si="172"/>
        <v/>
      </c>
      <c r="AY2809" s="21" t="str">
        <f>IF(AND($AM2809&lt;&gt;"",$AS2809&lt;&gt;"✓"),SUMPRODUCT(($AM$11:$AM2809&lt;&gt;"")*($AS$11:$AS2809&lt;&gt;"✓")),"")</f>
        <v/>
      </c>
      <c r="AZ2809" s="21" t="str">
        <f>IF(AND($AM2809&lt;&gt;"",$AS2809="✓"),SUMPRODUCT(($AM$11:$AM2809&lt;&gt;"")*($AS$11:$AS2809="✓")),"")</f>
        <v/>
      </c>
      <c r="BA2809" s="21" t="str">
        <f>IF($AL2809="","",$AL2809&amp;"|"&amp;COUNTIF($AL$11:$AL2809,$AL2809))</f>
        <v/>
      </c>
    </row>
    <row r="2810" spans="38:53" ht="15" customHeight="1" x14ac:dyDescent="0.25">
      <c r="AL2810" s="31"/>
      <c r="AM2810" s="26"/>
      <c r="AN2810" s="32"/>
      <c r="AO2810" s="32"/>
      <c r="AP2810" s="24"/>
      <c r="AQ2810" s="24"/>
      <c r="AR2810" s="33"/>
      <c r="AS2810" s="34"/>
      <c r="AT2810" s="33"/>
      <c r="AV2810" s="21">
        <f>IF(AND($AL2810&lt;&gt;"",COUNTIF($AL$11:$AL2810,$AL2810)=1),1,0)</f>
        <v>0</v>
      </c>
      <c r="AW2810" s="21">
        <f t="shared" si="173"/>
        <v>2</v>
      </c>
      <c r="AX2810" s="21" t="str">
        <f t="shared" si="172"/>
        <v/>
      </c>
      <c r="AY2810" s="21" t="str">
        <f>IF(AND($AM2810&lt;&gt;"",$AS2810&lt;&gt;"✓"),SUMPRODUCT(($AM$11:$AM2810&lt;&gt;"")*($AS$11:$AS2810&lt;&gt;"✓")),"")</f>
        <v/>
      </c>
      <c r="AZ2810" s="21" t="str">
        <f>IF(AND($AM2810&lt;&gt;"",$AS2810="✓"),SUMPRODUCT(($AM$11:$AM2810&lt;&gt;"")*($AS$11:$AS2810="✓")),"")</f>
        <v/>
      </c>
      <c r="BA2810" s="21" t="str">
        <f>IF($AL2810="","",$AL2810&amp;"|"&amp;COUNTIF($AL$11:$AL2810,$AL2810))</f>
        <v/>
      </c>
    </row>
    <row r="2811" spans="38:53" ht="15" customHeight="1" x14ac:dyDescent="0.25">
      <c r="AL2811" s="17"/>
      <c r="AM2811" s="12"/>
      <c r="AN2811" s="18"/>
      <c r="AO2811" s="18"/>
      <c r="AP2811" s="10"/>
      <c r="AQ2811" s="10"/>
      <c r="AR2811" s="19"/>
      <c r="AS2811" s="20"/>
      <c r="AT2811" s="19"/>
      <c r="AV2811" s="21">
        <f>IF(AND($AL2811&lt;&gt;"",COUNTIF($AL$11:$AL2811,$AL2811)=1),1,0)</f>
        <v>0</v>
      </c>
      <c r="AW2811" s="21">
        <f t="shared" si="173"/>
        <v>2</v>
      </c>
      <c r="AX2811" s="21" t="str">
        <f t="shared" si="172"/>
        <v/>
      </c>
      <c r="AY2811" s="21" t="str">
        <f>IF(AND($AM2811&lt;&gt;"",$AS2811&lt;&gt;"✓"),SUMPRODUCT(($AM$11:$AM2811&lt;&gt;"")*($AS$11:$AS2811&lt;&gt;"✓")),"")</f>
        <v/>
      </c>
      <c r="AZ2811" s="21" t="str">
        <f>IF(AND($AM2811&lt;&gt;"",$AS2811="✓"),SUMPRODUCT(($AM$11:$AM2811&lt;&gt;"")*($AS$11:$AS2811="✓")),"")</f>
        <v/>
      </c>
      <c r="BA2811" s="21" t="str">
        <f>IF($AL2811="","",$AL2811&amp;"|"&amp;COUNTIF($AL$11:$AL2811,$AL2811))</f>
        <v/>
      </c>
    </row>
    <row r="2812" spans="38:53" ht="15" customHeight="1" x14ac:dyDescent="0.25">
      <c r="AL2812" s="31"/>
      <c r="AM2812" s="26"/>
      <c r="AN2812" s="32"/>
      <c r="AO2812" s="32"/>
      <c r="AP2812" s="24"/>
      <c r="AQ2812" s="24"/>
      <c r="AR2812" s="33"/>
      <c r="AS2812" s="34"/>
      <c r="AT2812" s="33"/>
      <c r="AV2812" s="21">
        <f>IF(AND($AL2812&lt;&gt;"",COUNTIF($AL$11:$AL2812,$AL2812)=1),1,0)</f>
        <v>0</v>
      </c>
      <c r="AW2812" s="21">
        <f t="shared" si="173"/>
        <v>2</v>
      </c>
      <c r="AX2812" s="21" t="str">
        <f t="shared" si="172"/>
        <v/>
      </c>
      <c r="AY2812" s="21" t="str">
        <f>IF(AND($AM2812&lt;&gt;"",$AS2812&lt;&gt;"✓"),SUMPRODUCT(($AM$11:$AM2812&lt;&gt;"")*($AS$11:$AS2812&lt;&gt;"✓")),"")</f>
        <v/>
      </c>
      <c r="AZ2812" s="21" t="str">
        <f>IF(AND($AM2812&lt;&gt;"",$AS2812="✓"),SUMPRODUCT(($AM$11:$AM2812&lt;&gt;"")*($AS$11:$AS2812="✓")),"")</f>
        <v/>
      </c>
      <c r="BA2812" s="21" t="str">
        <f>IF($AL2812="","",$AL2812&amp;"|"&amp;COUNTIF($AL$11:$AL2812,$AL2812))</f>
        <v/>
      </c>
    </row>
    <row r="2813" spans="38:53" ht="15" customHeight="1" x14ac:dyDescent="0.25">
      <c r="AL2813" s="17"/>
      <c r="AM2813" s="12"/>
      <c r="AN2813" s="18"/>
      <c r="AO2813" s="18"/>
      <c r="AP2813" s="10"/>
      <c r="AQ2813" s="10"/>
      <c r="AR2813" s="19"/>
      <c r="AS2813" s="20"/>
      <c r="AT2813" s="19"/>
      <c r="AV2813" s="21">
        <f>IF(AND($AL2813&lt;&gt;"",COUNTIF($AL$11:$AL2813,$AL2813)=1),1,0)</f>
        <v>0</v>
      </c>
      <c r="AW2813" s="21">
        <f t="shared" si="173"/>
        <v>2</v>
      </c>
      <c r="AX2813" s="21" t="str">
        <f t="shared" si="172"/>
        <v/>
      </c>
      <c r="AY2813" s="21" t="str">
        <f>IF(AND($AM2813&lt;&gt;"",$AS2813&lt;&gt;"✓"),SUMPRODUCT(($AM$11:$AM2813&lt;&gt;"")*($AS$11:$AS2813&lt;&gt;"✓")),"")</f>
        <v/>
      </c>
      <c r="AZ2813" s="21" t="str">
        <f>IF(AND($AM2813&lt;&gt;"",$AS2813="✓"),SUMPRODUCT(($AM$11:$AM2813&lt;&gt;"")*($AS$11:$AS2813="✓")),"")</f>
        <v/>
      </c>
      <c r="BA2813" s="21" t="str">
        <f>IF($AL2813="","",$AL2813&amp;"|"&amp;COUNTIF($AL$11:$AL2813,$AL2813))</f>
        <v/>
      </c>
    </row>
    <row r="2814" spans="38:53" ht="15" customHeight="1" x14ac:dyDescent="0.25">
      <c r="AL2814" s="31"/>
      <c r="AM2814" s="26"/>
      <c r="AN2814" s="32"/>
      <c r="AO2814" s="32"/>
      <c r="AP2814" s="24"/>
      <c r="AQ2814" s="24"/>
      <c r="AR2814" s="33"/>
      <c r="AS2814" s="34"/>
      <c r="AT2814" s="33"/>
      <c r="AV2814" s="21">
        <f>IF(AND($AL2814&lt;&gt;"",COUNTIF($AL$11:$AL2814,$AL2814)=1),1,0)</f>
        <v>0</v>
      </c>
      <c r="AW2814" s="21">
        <f t="shared" si="173"/>
        <v>2</v>
      </c>
      <c r="AX2814" s="21" t="str">
        <f t="shared" si="172"/>
        <v/>
      </c>
      <c r="AY2814" s="21" t="str">
        <f>IF(AND($AM2814&lt;&gt;"",$AS2814&lt;&gt;"✓"),SUMPRODUCT(($AM$11:$AM2814&lt;&gt;"")*($AS$11:$AS2814&lt;&gt;"✓")),"")</f>
        <v/>
      </c>
      <c r="AZ2814" s="21" t="str">
        <f>IF(AND($AM2814&lt;&gt;"",$AS2814="✓"),SUMPRODUCT(($AM$11:$AM2814&lt;&gt;"")*($AS$11:$AS2814="✓")),"")</f>
        <v/>
      </c>
      <c r="BA2814" s="21" t="str">
        <f>IF($AL2814="","",$AL2814&amp;"|"&amp;COUNTIF($AL$11:$AL2814,$AL2814))</f>
        <v/>
      </c>
    </row>
    <row r="2815" spans="38:53" ht="15" customHeight="1" x14ac:dyDescent="0.25">
      <c r="AL2815" s="17"/>
      <c r="AM2815" s="12"/>
      <c r="AN2815" s="18"/>
      <c r="AO2815" s="18"/>
      <c r="AP2815" s="10"/>
      <c r="AQ2815" s="10"/>
      <c r="AR2815" s="19"/>
      <c r="AS2815" s="20"/>
      <c r="AT2815" s="19"/>
      <c r="AV2815" s="21">
        <f>IF(AND($AL2815&lt;&gt;"",COUNTIF($AL$11:$AL2815,$AL2815)=1),1,0)</f>
        <v>0</v>
      </c>
      <c r="AW2815" s="21">
        <f t="shared" si="173"/>
        <v>2</v>
      </c>
      <c r="AX2815" s="21" t="str">
        <f t="shared" si="172"/>
        <v/>
      </c>
      <c r="AY2815" s="21" t="str">
        <f>IF(AND($AM2815&lt;&gt;"",$AS2815&lt;&gt;"✓"),SUMPRODUCT(($AM$11:$AM2815&lt;&gt;"")*($AS$11:$AS2815&lt;&gt;"✓")),"")</f>
        <v/>
      </c>
      <c r="AZ2815" s="21" t="str">
        <f>IF(AND($AM2815&lt;&gt;"",$AS2815="✓"),SUMPRODUCT(($AM$11:$AM2815&lt;&gt;"")*($AS$11:$AS2815="✓")),"")</f>
        <v/>
      </c>
      <c r="BA2815" s="21" t="str">
        <f>IF($AL2815="","",$AL2815&amp;"|"&amp;COUNTIF($AL$11:$AL2815,$AL2815))</f>
        <v/>
      </c>
    </row>
    <row r="2816" spans="38:53" ht="15" customHeight="1" x14ac:dyDescent="0.25">
      <c r="AL2816" s="31"/>
      <c r="AM2816" s="26"/>
      <c r="AN2816" s="32"/>
      <c r="AO2816" s="32"/>
      <c r="AP2816" s="24"/>
      <c r="AQ2816" s="24"/>
      <c r="AR2816" s="33"/>
      <c r="AS2816" s="34"/>
      <c r="AT2816" s="33"/>
      <c r="AV2816" s="21">
        <f>IF(AND($AL2816&lt;&gt;"",COUNTIF($AL$11:$AL2816,$AL2816)=1),1,0)</f>
        <v>0</v>
      </c>
      <c r="AW2816" s="21">
        <f t="shared" si="173"/>
        <v>2</v>
      </c>
      <c r="AX2816" s="21" t="str">
        <f t="shared" si="172"/>
        <v/>
      </c>
      <c r="AY2816" s="21" t="str">
        <f>IF(AND($AM2816&lt;&gt;"",$AS2816&lt;&gt;"✓"),SUMPRODUCT(($AM$11:$AM2816&lt;&gt;"")*($AS$11:$AS2816&lt;&gt;"✓")),"")</f>
        <v/>
      </c>
      <c r="AZ2816" s="21" t="str">
        <f>IF(AND($AM2816&lt;&gt;"",$AS2816="✓"),SUMPRODUCT(($AM$11:$AM2816&lt;&gt;"")*($AS$11:$AS2816="✓")),"")</f>
        <v/>
      </c>
      <c r="BA2816" s="21" t="str">
        <f>IF($AL2816="","",$AL2816&amp;"|"&amp;COUNTIF($AL$11:$AL2816,$AL2816))</f>
        <v/>
      </c>
    </row>
    <row r="2817" spans="38:53" ht="15" customHeight="1" x14ac:dyDescent="0.25">
      <c r="AL2817" s="17"/>
      <c r="AM2817" s="12"/>
      <c r="AN2817" s="18"/>
      <c r="AO2817" s="18"/>
      <c r="AP2817" s="10"/>
      <c r="AQ2817" s="10"/>
      <c r="AR2817" s="19"/>
      <c r="AS2817" s="20"/>
      <c r="AT2817" s="19"/>
      <c r="AV2817" s="21">
        <f>IF(AND($AL2817&lt;&gt;"",COUNTIF($AL$11:$AL2817,$AL2817)=1),1,0)</f>
        <v>0</v>
      </c>
      <c r="AW2817" s="21">
        <f t="shared" si="173"/>
        <v>2</v>
      </c>
      <c r="AX2817" s="21" t="str">
        <f t="shared" si="172"/>
        <v/>
      </c>
      <c r="AY2817" s="21" t="str">
        <f>IF(AND($AM2817&lt;&gt;"",$AS2817&lt;&gt;"✓"),SUMPRODUCT(($AM$11:$AM2817&lt;&gt;"")*($AS$11:$AS2817&lt;&gt;"✓")),"")</f>
        <v/>
      </c>
      <c r="AZ2817" s="21" t="str">
        <f>IF(AND($AM2817&lt;&gt;"",$AS2817="✓"),SUMPRODUCT(($AM$11:$AM2817&lt;&gt;"")*($AS$11:$AS2817="✓")),"")</f>
        <v/>
      </c>
      <c r="BA2817" s="21" t="str">
        <f>IF($AL2817="","",$AL2817&amp;"|"&amp;COUNTIF($AL$11:$AL2817,$AL2817))</f>
        <v/>
      </c>
    </row>
    <row r="2818" spans="38:53" ht="15" customHeight="1" x14ac:dyDescent="0.25">
      <c r="AL2818" s="31"/>
      <c r="AM2818" s="26"/>
      <c r="AN2818" s="32"/>
      <c r="AO2818" s="32"/>
      <c r="AP2818" s="24"/>
      <c r="AQ2818" s="24"/>
      <c r="AR2818" s="33"/>
      <c r="AS2818" s="34"/>
      <c r="AT2818" s="33"/>
      <c r="AV2818" s="21">
        <f>IF(AND($AL2818&lt;&gt;"",COUNTIF($AL$11:$AL2818,$AL2818)=1),1,0)</f>
        <v>0</v>
      </c>
      <c r="AW2818" s="21">
        <f t="shared" si="173"/>
        <v>2</v>
      </c>
      <c r="AX2818" s="21" t="str">
        <f t="shared" si="172"/>
        <v/>
      </c>
      <c r="AY2818" s="21" t="str">
        <f>IF(AND($AM2818&lt;&gt;"",$AS2818&lt;&gt;"✓"),SUMPRODUCT(($AM$11:$AM2818&lt;&gt;"")*($AS$11:$AS2818&lt;&gt;"✓")),"")</f>
        <v/>
      </c>
      <c r="AZ2818" s="21" t="str">
        <f>IF(AND($AM2818&lt;&gt;"",$AS2818="✓"),SUMPRODUCT(($AM$11:$AM2818&lt;&gt;"")*($AS$11:$AS2818="✓")),"")</f>
        <v/>
      </c>
      <c r="BA2818" s="21" t="str">
        <f>IF($AL2818="","",$AL2818&amp;"|"&amp;COUNTIF($AL$11:$AL2818,$AL2818))</f>
        <v/>
      </c>
    </row>
    <row r="2819" spans="38:53" ht="15" customHeight="1" x14ac:dyDescent="0.25">
      <c r="AL2819" s="17"/>
      <c r="AM2819" s="12"/>
      <c r="AN2819" s="18"/>
      <c r="AO2819" s="18"/>
      <c r="AP2819" s="10"/>
      <c r="AQ2819" s="10"/>
      <c r="AR2819" s="19"/>
      <c r="AS2819" s="20"/>
      <c r="AT2819" s="19"/>
      <c r="AV2819" s="21">
        <f>IF(AND($AL2819&lt;&gt;"",COUNTIF($AL$11:$AL2819,$AL2819)=1),1,0)</f>
        <v>0</v>
      </c>
      <c r="AW2819" s="21">
        <f t="shared" si="173"/>
        <v>2</v>
      </c>
      <c r="AX2819" s="21" t="str">
        <f t="shared" si="172"/>
        <v/>
      </c>
      <c r="AY2819" s="21" t="str">
        <f>IF(AND($AM2819&lt;&gt;"",$AS2819&lt;&gt;"✓"),SUMPRODUCT(($AM$11:$AM2819&lt;&gt;"")*($AS$11:$AS2819&lt;&gt;"✓")),"")</f>
        <v/>
      </c>
      <c r="AZ2819" s="21" t="str">
        <f>IF(AND($AM2819&lt;&gt;"",$AS2819="✓"),SUMPRODUCT(($AM$11:$AM2819&lt;&gt;"")*($AS$11:$AS2819="✓")),"")</f>
        <v/>
      </c>
      <c r="BA2819" s="21" t="str">
        <f>IF($AL2819="","",$AL2819&amp;"|"&amp;COUNTIF($AL$11:$AL2819,$AL2819))</f>
        <v/>
      </c>
    </row>
    <row r="2820" spans="38:53" ht="15" customHeight="1" x14ac:dyDescent="0.25">
      <c r="AL2820" s="31"/>
      <c r="AM2820" s="26"/>
      <c r="AN2820" s="32"/>
      <c r="AO2820" s="32"/>
      <c r="AP2820" s="24"/>
      <c r="AQ2820" s="24"/>
      <c r="AR2820" s="33"/>
      <c r="AS2820" s="34"/>
      <c r="AT2820" s="33"/>
      <c r="AV2820" s="21">
        <f>IF(AND($AL2820&lt;&gt;"",COUNTIF($AL$11:$AL2820,$AL2820)=1),1,0)</f>
        <v>0</v>
      </c>
      <c r="AW2820" s="21">
        <f t="shared" si="173"/>
        <v>2</v>
      </c>
      <c r="AX2820" s="21" t="str">
        <f t="shared" si="172"/>
        <v/>
      </c>
      <c r="AY2820" s="21" t="str">
        <f>IF(AND($AM2820&lt;&gt;"",$AS2820&lt;&gt;"✓"),SUMPRODUCT(($AM$11:$AM2820&lt;&gt;"")*($AS$11:$AS2820&lt;&gt;"✓")),"")</f>
        <v/>
      </c>
      <c r="AZ2820" s="21" t="str">
        <f>IF(AND($AM2820&lt;&gt;"",$AS2820="✓"),SUMPRODUCT(($AM$11:$AM2820&lt;&gt;"")*($AS$11:$AS2820="✓")),"")</f>
        <v/>
      </c>
      <c r="BA2820" s="21" t="str">
        <f>IF($AL2820="","",$AL2820&amp;"|"&amp;COUNTIF($AL$11:$AL2820,$AL2820))</f>
        <v/>
      </c>
    </row>
    <row r="2821" spans="38:53" ht="15" customHeight="1" x14ac:dyDescent="0.25">
      <c r="AL2821" s="17"/>
      <c r="AM2821" s="12"/>
      <c r="AN2821" s="18"/>
      <c r="AO2821" s="18"/>
      <c r="AP2821" s="10"/>
      <c r="AQ2821" s="10"/>
      <c r="AR2821" s="19"/>
      <c r="AS2821" s="20"/>
      <c r="AT2821" s="19"/>
      <c r="AV2821" s="21">
        <f>IF(AND($AL2821&lt;&gt;"",COUNTIF($AL$11:$AL2821,$AL2821)=1),1,0)</f>
        <v>0</v>
      </c>
      <c r="AW2821" s="21">
        <f t="shared" si="173"/>
        <v>2</v>
      </c>
      <c r="AX2821" s="21" t="str">
        <f t="shared" si="172"/>
        <v/>
      </c>
      <c r="AY2821" s="21" t="str">
        <f>IF(AND($AM2821&lt;&gt;"",$AS2821&lt;&gt;"✓"),SUMPRODUCT(($AM$11:$AM2821&lt;&gt;"")*($AS$11:$AS2821&lt;&gt;"✓")),"")</f>
        <v/>
      </c>
      <c r="AZ2821" s="21" t="str">
        <f>IF(AND($AM2821&lt;&gt;"",$AS2821="✓"),SUMPRODUCT(($AM$11:$AM2821&lt;&gt;"")*($AS$11:$AS2821="✓")),"")</f>
        <v/>
      </c>
      <c r="BA2821" s="21" t="str">
        <f>IF($AL2821="","",$AL2821&amp;"|"&amp;COUNTIF($AL$11:$AL2821,$AL2821))</f>
        <v/>
      </c>
    </row>
    <row r="2822" spans="38:53" ht="15" customHeight="1" x14ac:dyDescent="0.25">
      <c r="AL2822" s="31"/>
      <c r="AM2822" s="26"/>
      <c r="AN2822" s="32"/>
      <c r="AO2822" s="32"/>
      <c r="AP2822" s="24"/>
      <c r="AQ2822" s="24"/>
      <c r="AR2822" s="33"/>
      <c r="AS2822" s="34"/>
      <c r="AT2822" s="33"/>
      <c r="AV2822" s="21">
        <f>IF(AND($AL2822&lt;&gt;"",COUNTIF($AL$11:$AL2822,$AL2822)=1),1,0)</f>
        <v>0</v>
      </c>
      <c r="AW2822" s="21">
        <f t="shared" si="173"/>
        <v>2</v>
      </c>
      <c r="AX2822" s="21" t="str">
        <f t="shared" si="172"/>
        <v/>
      </c>
      <c r="AY2822" s="21" t="str">
        <f>IF(AND($AM2822&lt;&gt;"",$AS2822&lt;&gt;"✓"),SUMPRODUCT(($AM$11:$AM2822&lt;&gt;"")*($AS$11:$AS2822&lt;&gt;"✓")),"")</f>
        <v/>
      </c>
      <c r="AZ2822" s="21" t="str">
        <f>IF(AND($AM2822&lt;&gt;"",$AS2822="✓"),SUMPRODUCT(($AM$11:$AM2822&lt;&gt;"")*($AS$11:$AS2822="✓")),"")</f>
        <v/>
      </c>
      <c r="BA2822" s="21" t="str">
        <f>IF($AL2822="","",$AL2822&amp;"|"&amp;COUNTIF($AL$11:$AL2822,$AL2822))</f>
        <v/>
      </c>
    </row>
    <row r="2823" spans="38:53" ht="15" customHeight="1" x14ac:dyDescent="0.25">
      <c r="AL2823" s="17"/>
      <c r="AM2823" s="12"/>
      <c r="AN2823" s="18"/>
      <c r="AO2823" s="18"/>
      <c r="AP2823" s="10"/>
      <c r="AQ2823" s="10"/>
      <c r="AR2823" s="19"/>
      <c r="AS2823" s="20"/>
      <c r="AT2823" s="19"/>
      <c r="AV2823" s="21">
        <f>IF(AND($AL2823&lt;&gt;"",COUNTIF($AL$11:$AL2823,$AL2823)=1),1,0)</f>
        <v>0</v>
      </c>
      <c r="AW2823" s="21">
        <f t="shared" si="173"/>
        <v>2</v>
      </c>
      <c r="AX2823" s="21" t="str">
        <f t="shared" si="172"/>
        <v/>
      </c>
      <c r="AY2823" s="21" t="str">
        <f>IF(AND($AM2823&lt;&gt;"",$AS2823&lt;&gt;"✓"),SUMPRODUCT(($AM$11:$AM2823&lt;&gt;"")*($AS$11:$AS2823&lt;&gt;"✓")),"")</f>
        <v/>
      </c>
      <c r="AZ2823" s="21" t="str">
        <f>IF(AND($AM2823&lt;&gt;"",$AS2823="✓"),SUMPRODUCT(($AM$11:$AM2823&lt;&gt;"")*($AS$11:$AS2823="✓")),"")</f>
        <v/>
      </c>
      <c r="BA2823" s="21" t="str">
        <f>IF($AL2823="","",$AL2823&amp;"|"&amp;COUNTIF($AL$11:$AL2823,$AL2823))</f>
        <v/>
      </c>
    </row>
    <row r="2824" spans="38:53" ht="15" customHeight="1" x14ac:dyDescent="0.25">
      <c r="AL2824" s="31"/>
      <c r="AM2824" s="26"/>
      <c r="AN2824" s="32"/>
      <c r="AO2824" s="32"/>
      <c r="AP2824" s="24"/>
      <c r="AQ2824" s="24"/>
      <c r="AR2824" s="33"/>
      <c r="AS2824" s="34"/>
      <c r="AT2824" s="33"/>
      <c r="AV2824" s="21">
        <f>IF(AND($AL2824&lt;&gt;"",COUNTIF($AL$11:$AL2824,$AL2824)=1),1,0)</f>
        <v>0</v>
      </c>
      <c r="AW2824" s="21">
        <f t="shared" si="173"/>
        <v>2</v>
      </c>
      <c r="AX2824" s="21" t="str">
        <f t="shared" si="172"/>
        <v/>
      </c>
      <c r="AY2824" s="21" t="str">
        <f>IF(AND($AM2824&lt;&gt;"",$AS2824&lt;&gt;"✓"),SUMPRODUCT(($AM$11:$AM2824&lt;&gt;"")*($AS$11:$AS2824&lt;&gt;"✓")),"")</f>
        <v/>
      </c>
      <c r="AZ2824" s="21" t="str">
        <f>IF(AND($AM2824&lt;&gt;"",$AS2824="✓"),SUMPRODUCT(($AM$11:$AM2824&lt;&gt;"")*($AS$11:$AS2824="✓")),"")</f>
        <v/>
      </c>
      <c r="BA2824" s="21" t="str">
        <f>IF($AL2824="","",$AL2824&amp;"|"&amp;COUNTIF($AL$11:$AL2824,$AL2824))</f>
        <v/>
      </c>
    </row>
    <row r="2825" spans="38:53" ht="15" customHeight="1" x14ac:dyDescent="0.25">
      <c r="AL2825" s="17"/>
      <c r="AM2825" s="12"/>
      <c r="AN2825" s="18"/>
      <c r="AO2825" s="18"/>
      <c r="AP2825" s="10"/>
      <c r="AQ2825" s="10"/>
      <c r="AR2825" s="19"/>
      <c r="AS2825" s="20"/>
      <c r="AT2825" s="19"/>
      <c r="AV2825" s="21">
        <f>IF(AND($AL2825&lt;&gt;"",COUNTIF($AL$11:$AL2825,$AL2825)=1),1,0)</f>
        <v>0</v>
      </c>
      <c r="AW2825" s="21">
        <f t="shared" si="173"/>
        <v>2</v>
      </c>
      <c r="AX2825" s="21" t="str">
        <f t="shared" si="172"/>
        <v/>
      </c>
      <c r="AY2825" s="21" t="str">
        <f>IF(AND($AM2825&lt;&gt;"",$AS2825&lt;&gt;"✓"),SUMPRODUCT(($AM$11:$AM2825&lt;&gt;"")*($AS$11:$AS2825&lt;&gt;"✓")),"")</f>
        <v/>
      </c>
      <c r="AZ2825" s="21" t="str">
        <f>IF(AND($AM2825&lt;&gt;"",$AS2825="✓"),SUMPRODUCT(($AM$11:$AM2825&lt;&gt;"")*($AS$11:$AS2825="✓")),"")</f>
        <v/>
      </c>
      <c r="BA2825" s="21" t="str">
        <f>IF($AL2825="","",$AL2825&amp;"|"&amp;COUNTIF($AL$11:$AL2825,$AL2825))</f>
        <v/>
      </c>
    </row>
    <row r="2826" spans="38:53" ht="15" customHeight="1" x14ac:dyDescent="0.25">
      <c r="AL2826" s="31"/>
      <c r="AM2826" s="26"/>
      <c r="AN2826" s="32"/>
      <c r="AO2826" s="32"/>
      <c r="AP2826" s="24"/>
      <c r="AQ2826" s="24"/>
      <c r="AR2826" s="33"/>
      <c r="AS2826" s="34"/>
      <c r="AT2826" s="33"/>
      <c r="AV2826" s="21">
        <f>IF(AND($AL2826&lt;&gt;"",COUNTIF($AL$11:$AL2826,$AL2826)=1),1,0)</f>
        <v>0</v>
      </c>
      <c r="AW2826" s="21">
        <f t="shared" si="173"/>
        <v>2</v>
      </c>
      <c r="AX2826" s="21" t="str">
        <f t="shared" si="172"/>
        <v/>
      </c>
      <c r="AY2826" s="21" t="str">
        <f>IF(AND($AM2826&lt;&gt;"",$AS2826&lt;&gt;"✓"),SUMPRODUCT(($AM$11:$AM2826&lt;&gt;"")*($AS$11:$AS2826&lt;&gt;"✓")),"")</f>
        <v/>
      </c>
      <c r="AZ2826" s="21" t="str">
        <f>IF(AND($AM2826&lt;&gt;"",$AS2826="✓"),SUMPRODUCT(($AM$11:$AM2826&lt;&gt;"")*($AS$11:$AS2826="✓")),"")</f>
        <v/>
      </c>
      <c r="BA2826" s="21" t="str">
        <f>IF($AL2826="","",$AL2826&amp;"|"&amp;COUNTIF($AL$11:$AL2826,$AL2826))</f>
        <v/>
      </c>
    </row>
    <row r="2827" spans="38:53" ht="15" customHeight="1" x14ac:dyDescent="0.25">
      <c r="AL2827" s="17"/>
      <c r="AM2827" s="12"/>
      <c r="AN2827" s="18"/>
      <c r="AO2827" s="18"/>
      <c r="AP2827" s="10"/>
      <c r="AQ2827" s="10"/>
      <c r="AR2827" s="19"/>
      <c r="AS2827" s="20"/>
      <c r="AT2827" s="19"/>
      <c r="AV2827" s="21">
        <f>IF(AND($AL2827&lt;&gt;"",COUNTIF($AL$11:$AL2827,$AL2827)=1),1,0)</f>
        <v>0</v>
      </c>
      <c r="AW2827" s="21">
        <f t="shared" si="173"/>
        <v>2</v>
      </c>
      <c r="AX2827" s="21" t="str">
        <f t="shared" ref="AX2827:AX2890" si="174">IF(AV2827=1,AW2827,"")</f>
        <v/>
      </c>
      <c r="AY2827" s="21" t="str">
        <f>IF(AND($AM2827&lt;&gt;"",$AS2827&lt;&gt;"✓"),SUMPRODUCT(($AM$11:$AM2827&lt;&gt;"")*($AS$11:$AS2827&lt;&gt;"✓")),"")</f>
        <v/>
      </c>
      <c r="AZ2827" s="21" t="str">
        <f>IF(AND($AM2827&lt;&gt;"",$AS2827="✓"),SUMPRODUCT(($AM$11:$AM2827&lt;&gt;"")*($AS$11:$AS2827="✓")),"")</f>
        <v/>
      </c>
      <c r="BA2827" s="21" t="str">
        <f>IF($AL2827="","",$AL2827&amp;"|"&amp;COUNTIF($AL$11:$AL2827,$AL2827))</f>
        <v/>
      </c>
    </row>
    <row r="2828" spans="38:53" ht="15" customHeight="1" x14ac:dyDescent="0.25">
      <c r="AL2828" s="31"/>
      <c r="AM2828" s="26"/>
      <c r="AN2828" s="32"/>
      <c r="AO2828" s="32"/>
      <c r="AP2828" s="24"/>
      <c r="AQ2828" s="24"/>
      <c r="AR2828" s="33"/>
      <c r="AS2828" s="34"/>
      <c r="AT2828" s="33"/>
      <c r="AV2828" s="21">
        <f>IF(AND($AL2828&lt;&gt;"",COUNTIF($AL$11:$AL2828,$AL2828)=1),1,0)</f>
        <v>0</v>
      </c>
      <c r="AW2828" s="21">
        <f t="shared" ref="AW2828:AW2891" si="175">AW2827+AV2828</f>
        <v>2</v>
      </c>
      <c r="AX2828" s="21" t="str">
        <f t="shared" si="174"/>
        <v/>
      </c>
      <c r="AY2828" s="21" t="str">
        <f>IF(AND($AM2828&lt;&gt;"",$AS2828&lt;&gt;"✓"),SUMPRODUCT(($AM$11:$AM2828&lt;&gt;"")*($AS$11:$AS2828&lt;&gt;"✓")),"")</f>
        <v/>
      </c>
      <c r="AZ2828" s="21" t="str">
        <f>IF(AND($AM2828&lt;&gt;"",$AS2828="✓"),SUMPRODUCT(($AM$11:$AM2828&lt;&gt;"")*($AS$11:$AS2828="✓")),"")</f>
        <v/>
      </c>
      <c r="BA2828" s="21" t="str">
        <f>IF($AL2828="","",$AL2828&amp;"|"&amp;COUNTIF($AL$11:$AL2828,$AL2828))</f>
        <v/>
      </c>
    </row>
    <row r="2829" spans="38:53" ht="15" customHeight="1" x14ac:dyDescent="0.25">
      <c r="AL2829" s="17"/>
      <c r="AM2829" s="12"/>
      <c r="AN2829" s="18"/>
      <c r="AO2829" s="18"/>
      <c r="AP2829" s="10"/>
      <c r="AQ2829" s="10"/>
      <c r="AR2829" s="19"/>
      <c r="AS2829" s="20"/>
      <c r="AT2829" s="19"/>
      <c r="AV2829" s="21">
        <f>IF(AND($AL2829&lt;&gt;"",COUNTIF($AL$11:$AL2829,$AL2829)=1),1,0)</f>
        <v>0</v>
      </c>
      <c r="AW2829" s="21">
        <f t="shared" si="175"/>
        <v>2</v>
      </c>
      <c r="AX2829" s="21" t="str">
        <f t="shared" si="174"/>
        <v/>
      </c>
      <c r="AY2829" s="21" t="str">
        <f>IF(AND($AM2829&lt;&gt;"",$AS2829&lt;&gt;"✓"),SUMPRODUCT(($AM$11:$AM2829&lt;&gt;"")*($AS$11:$AS2829&lt;&gt;"✓")),"")</f>
        <v/>
      </c>
      <c r="AZ2829" s="21" t="str">
        <f>IF(AND($AM2829&lt;&gt;"",$AS2829="✓"),SUMPRODUCT(($AM$11:$AM2829&lt;&gt;"")*($AS$11:$AS2829="✓")),"")</f>
        <v/>
      </c>
      <c r="BA2829" s="21" t="str">
        <f>IF($AL2829="","",$AL2829&amp;"|"&amp;COUNTIF($AL$11:$AL2829,$AL2829))</f>
        <v/>
      </c>
    </row>
    <row r="2830" spans="38:53" ht="15" customHeight="1" x14ac:dyDescent="0.25">
      <c r="AL2830" s="31"/>
      <c r="AM2830" s="26"/>
      <c r="AN2830" s="32"/>
      <c r="AO2830" s="32"/>
      <c r="AP2830" s="24"/>
      <c r="AQ2830" s="24"/>
      <c r="AR2830" s="33"/>
      <c r="AS2830" s="34"/>
      <c r="AT2830" s="33"/>
      <c r="AV2830" s="21">
        <f>IF(AND($AL2830&lt;&gt;"",COUNTIF($AL$11:$AL2830,$AL2830)=1),1,0)</f>
        <v>0</v>
      </c>
      <c r="AW2830" s="21">
        <f t="shared" si="175"/>
        <v>2</v>
      </c>
      <c r="AX2830" s="21" t="str">
        <f t="shared" si="174"/>
        <v/>
      </c>
      <c r="AY2830" s="21" t="str">
        <f>IF(AND($AM2830&lt;&gt;"",$AS2830&lt;&gt;"✓"),SUMPRODUCT(($AM$11:$AM2830&lt;&gt;"")*($AS$11:$AS2830&lt;&gt;"✓")),"")</f>
        <v/>
      </c>
      <c r="AZ2830" s="21" t="str">
        <f>IF(AND($AM2830&lt;&gt;"",$AS2830="✓"),SUMPRODUCT(($AM$11:$AM2830&lt;&gt;"")*($AS$11:$AS2830="✓")),"")</f>
        <v/>
      </c>
      <c r="BA2830" s="21" t="str">
        <f>IF($AL2830="","",$AL2830&amp;"|"&amp;COUNTIF($AL$11:$AL2830,$AL2830))</f>
        <v/>
      </c>
    </row>
    <row r="2831" spans="38:53" ht="15" customHeight="1" x14ac:dyDescent="0.25">
      <c r="AL2831" s="17"/>
      <c r="AM2831" s="12"/>
      <c r="AN2831" s="18"/>
      <c r="AO2831" s="18"/>
      <c r="AP2831" s="10"/>
      <c r="AQ2831" s="10"/>
      <c r="AR2831" s="19"/>
      <c r="AS2831" s="20"/>
      <c r="AT2831" s="19"/>
      <c r="AV2831" s="21">
        <f>IF(AND($AL2831&lt;&gt;"",COUNTIF($AL$11:$AL2831,$AL2831)=1),1,0)</f>
        <v>0</v>
      </c>
      <c r="AW2831" s="21">
        <f t="shared" si="175"/>
        <v>2</v>
      </c>
      <c r="AX2831" s="21" t="str">
        <f t="shared" si="174"/>
        <v/>
      </c>
      <c r="AY2831" s="21" t="str">
        <f>IF(AND($AM2831&lt;&gt;"",$AS2831&lt;&gt;"✓"),SUMPRODUCT(($AM$11:$AM2831&lt;&gt;"")*($AS$11:$AS2831&lt;&gt;"✓")),"")</f>
        <v/>
      </c>
      <c r="AZ2831" s="21" t="str">
        <f>IF(AND($AM2831&lt;&gt;"",$AS2831="✓"),SUMPRODUCT(($AM$11:$AM2831&lt;&gt;"")*($AS$11:$AS2831="✓")),"")</f>
        <v/>
      </c>
      <c r="BA2831" s="21" t="str">
        <f>IF($AL2831="","",$AL2831&amp;"|"&amp;COUNTIF($AL$11:$AL2831,$AL2831))</f>
        <v/>
      </c>
    </row>
    <row r="2832" spans="38:53" ht="15" customHeight="1" x14ac:dyDescent="0.25">
      <c r="AL2832" s="31"/>
      <c r="AM2832" s="26"/>
      <c r="AN2832" s="32"/>
      <c r="AO2832" s="32"/>
      <c r="AP2832" s="24"/>
      <c r="AQ2832" s="24"/>
      <c r="AR2832" s="33"/>
      <c r="AS2832" s="34"/>
      <c r="AT2832" s="33"/>
      <c r="AV2832" s="21">
        <f>IF(AND($AL2832&lt;&gt;"",COUNTIF($AL$11:$AL2832,$AL2832)=1),1,0)</f>
        <v>0</v>
      </c>
      <c r="AW2832" s="21">
        <f t="shared" si="175"/>
        <v>2</v>
      </c>
      <c r="AX2832" s="21" t="str">
        <f t="shared" si="174"/>
        <v/>
      </c>
      <c r="AY2832" s="21" t="str">
        <f>IF(AND($AM2832&lt;&gt;"",$AS2832&lt;&gt;"✓"),SUMPRODUCT(($AM$11:$AM2832&lt;&gt;"")*($AS$11:$AS2832&lt;&gt;"✓")),"")</f>
        <v/>
      </c>
      <c r="AZ2832" s="21" t="str">
        <f>IF(AND($AM2832&lt;&gt;"",$AS2832="✓"),SUMPRODUCT(($AM$11:$AM2832&lt;&gt;"")*($AS$11:$AS2832="✓")),"")</f>
        <v/>
      </c>
      <c r="BA2832" s="21" t="str">
        <f>IF($AL2832="","",$AL2832&amp;"|"&amp;COUNTIF($AL$11:$AL2832,$AL2832))</f>
        <v/>
      </c>
    </row>
    <row r="2833" spans="38:53" ht="15" customHeight="1" x14ac:dyDescent="0.25">
      <c r="AL2833" s="17"/>
      <c r="AM2833" s="12"/>
      <c r="AN2833" s="18"/>
      <c r="AO2833" s="18"/>
      <c r="AP2833" s="10"/>
      <c r="AQ2833" s="10"/>
      <c r="AR2833" s="19"/>
      <c r="AS2833" s="20"/>
      <c r="AT2833" s="19"/>
      <c r="AV2833" s="21">
        <f>IF(AND($AL2833&lt;&gt;"",COUNTIF($AL$11:$AL2833,$AL2833)=1),1,0)</f>
        <v>0</v>
      </c>
      <c r="AW2833" s="21">
        <f t="shared" si="175"/>
        <v>2</v>
      </c>
      <c r="AX2833" s="21" t="str">
        <f t="shared" si="174"/>
        <v/>
      </c>
      <c r="AY2833" s="21" t="str">
        <f>IF(AND($AM2833&lt;&gt;"",$AS2833&lt;&gt;"✓"),SUMPRODUCT(($AM$11:$AM2833&lt;&gt;"")*($AS$11:$AS2833&lt;&gt;"✓")),"")</f>
        <v/>
      </c>
      <c r="AZ2833" s="21" t="str">
        <f>IF(AND($AM2833&lt;&gt;"",$AS2833="✓"),SUMPRODUCT(($AM$11:$AM2833&lt;&gt;"")*($AS$11:$AS2833="✓")),"")</f>
        <v/>
      </c>
      <c r="BA2833" s="21" t="str">
        <f>IF($AL2833="","",$AL2833&amp;"|"&amp;COUNTIF($AL$11:$AL2833,$AL2833))</f>
        <v/>
      </c>
    </row>
    <row r="2834" spans="38:53" ht="15" customHeight="1" x14ac:dyDescent="0.25">
      <c r="AL2834" s="31"/>
      <c r="AM2834" s="26"/>
      <c r="AN2834" s="32"/>
      <c r="AO2834" s="32"/>
      <c r="AP2834" s="24"/>
      <c r="AQ2834" s="24"/>
      <c r="AR2834" s="33"/>
      <c r="AS2834" s="34"/>
      <c r="AT2834" s="33"/>
      <c r="AV2834" s="21">
        <f>IF(AND($AL2834&lt;&gt;"",COUNTIF($AL$11:$AL2834,$AL2834)=1),1,0)</f>
        <v>0</v>
      </c>
      <c r="AW2834" s="21">
        <f t="shared" si="175"/>
        <v>2</v>
      </c>
      <c r="AX2834" s="21" t="str">
        <f t="shared" si="174"/>
        <v/>
      </c>
      <c r="AY2834" s="21" t="str">
        <f>IF(AND($AM2834&lt;&gt;"",$AS2834&lt;&gt;"✓"),SUMPRODUCT(($AM$11:$AM2834&lt;&gt;"")*($AS$11:$AS2834&lt;&gt;"✓")),"")</f>
        <v/>
      </c>
      <c r="AZ2834" s="21" t="str">
        <f>IF(AND($AM2834&lt;&gt;"",$AS2834="✓"),SUMPRODUCT(($AM$11:$AM2834&lt;&gt;"")*($AS$11:$AS2834="✓")),"")</f>
        <v/>
      </c>
      <c r="BA2834" s="21" t="str">
        <f>IF($AL2834="","",$AL2834&amp;"|"&amp;COUNTIF($AL$11:$AL2834,$AL2834))</f>
        <v/>
      </c>
    </row>
    <row r="2835" spans="38:53" ht="15" customHeight="1" x14ac:dyDescent="0.25">
      <c r="AL2835" s="17"/>
      <c r="AM2835" s="12"/>
      <c r="AN2835" s="18"/>
      <c r="AO2835" s="18"/>
      <c r="AP2835" s="10"/>
      <c r="AQ2835" s="10"/>
      <c r="AR2835" s="19"/>
      <c r="AS2835" s="20"/>
      <c r="AT2835" s="19"/>
      <c r="AV2835" s="21">
        <f>IF(AND($AL2835&lt;&gt;"",COUNTIF($AL$11:$AL2835,$AL2835)=1),1,0)</f>
        <v>0</v>
      </c>
      <c r="AW2835" s="21">
        <f t="shared" si="175"/>
        <v>2</v>
      </c>
      <c r="AX2835" s="21" t="str">
        <f t="shared" si="174"/>
        <v/>
      </c>
      <c r="AY2835" s="21" t="str">
        <f>IF(AND($AM2835&lt;&gt;"",$AS2835&lt;&gt;"✓"),SUMPRODUCT(($AM$11:$AM2835&lt;&gt;"")*($AS$11:$AS2835&lt;&gt;"✓")),"")</f>
        <v/>
      </c>
      <c r="AZ2835" s="21" t="str">
        <f>IF(AND($AM2835&lt;&gt;"",$AS2835="✓"),SUMPRODUCT(($AM$11:$AM2835&lt;&gt;"")*($AS$11:$AS2835="✓")),"")</f>
        <v/>
      </c>
      <c r="BA2835" s="21" t="str">
        <f>IF($AL2835="","",$AL2835&amp;"|"&amp;COUNTIF($AL$11:$AL2835,$AL2835))</f>
        <v/>
      </c>
    </row>
    <row r="2836" spans="38:53" ht="15" customHeight="1" x14ac:dyDescent="0.25">
      <c r="AL2836" s="31"/>
      <c r="AM2836" s="26"/>
      <c r="AN2836" s="32"/>
      <c r="AO2836" s="32"/>
      <c r="AP2836" s="24"/>
      <c r="AQ2836" s="24"/>
      <c r="AR2836" s="33"/>
      <c r="AS2836" s="34"/>
      <c r="AT2836" s="33"/>
      <c r="AV2836" s="21">
        <f>IF(AND($AL2836&lt;&gt;"",COUNTIF($AL$11:$AL2836,$AL2836)=1),1,0)</f>
        <v>0</v>
      </c>
      <c r="AW2836" s="21">
        <f t="shared" si="175"/>
        <v>2</v>
      </c>
      <c r="AX2836" s="21" t="str">
        <f t="shared" si="174"/>
        <v/>
      </c>
      <c r="AY2836" s="21" t="str">
        <f>IF(AND($AM2836&lt;&gt;"",$AS2836&lt;&gt;"✓"),SUMPRODUCT(($AM$11:$AM2836&lt;&gt;"")*($AS$11:$AS2836&lt;&gt;"✓")),"")</f>
        <v/>
      </c>
      <c r="AZ2836" s="21" t="str">
        <f>IF(AND($AM2836&lt;&gt;"",$AS2836="✓"),SUMPRODUCT(($AM$11:$AM2836&lt;&gt;"")*($AS$11:$AS2836="✓")),"")</f>
        <v/>
      </c>
      <c r="BA2836" s="21" t="str">
        <f>IF($AL2836="","",$AL2836&amp;"|"&amp;COUNTIF($AL$11:$AL2836,$AL2836))</f>
        <v/>
      </c>
    </row>
    <row r="2837" spans="38:53" ht="15" customHeight="1" x14ac:dyDescent="0.25">
      <c r="AL2837" s="17"/>
      <c r="AM2837" s="12"/>
      <c r="AN2837" s="18"/>
      <c r="AO2837" s="18"/>
      <c r="AP2837" s="10"/>
      <c r="AQ2837" s="10"/>
      <c r="AR2837" s="19"/>
      <c r="AS2837" s="20"/>
      <c r="AT2837" s="19"/>
      <c r="AV2837" s="21">
        <f>IF(AND($AL2837&lt;&gt;"",COUNTIF($AL$11:$AL2837,$AL2837)=1),1,0)</f>
        <v>0</v>
      </c>
      <c r="AW2837" s="21">
        <f t="shared" si="175"/>
        <v>2</v>
      </c>
      <c r="AX2837" s="21" t="str">
        <f t="shared" si="174"/>
        <v/>
      </c>
      <c r="AY2837" s="21" t="str">
        <f>IF(AND($AM2837&lt;&gt;"",$AS2837&lt;&gt;"✓"),SUMPRODUCT(($AM$11:$AM2837&lt;&gt;"")*($AS$11:$AS2837&lt;&gt;"✓")),"")</f>
        <v/>
      </c>
      <c r="AZ2837" s="21" t="str">
        <f>IF(AND($AM2837&lt;&gt;"",$AS2837="✓"),SUMPRODUCT(($AM$11:$AM2837&lt;&gt;"")*($AS$11:$AS2837="✓")),"")</f>
        <v/>
      </c>
      <c r="BA2837" s="21" t="str">
        <f>IF($AL2837="","",$AL2837&amp;"|"&amp;COUNTIF($AL$11:$AL2837,$AL2837))</f>
        <v/>
      </c>
    </row>
    <row r="2838" spans="38:53" ht="15" customHeight="1" x14ac:dyDescent="0.25">
      <c r="AL2838" s="31"/>
      <c r="AM2838" s="26"/>
      <c r="AN2838" s="32"/>
      <c r="AO2838" s="32"/>
      <c r="AP2838" s="24"/>
      <c r="AQ2838" s="24"/>
      <c r="AR2838" s="33"/>
      <c r="AS2838" s="34"/>
      <c r="AT2838" s="33"/>
      <c r="AV2838" s="21">
        <f>IF(AND($AL2838&lt;&gt;"",COUNTIF($AL$11:$AL2838,$AL2838)=1),1,0)</f>
        <v>0</v>
      </c>
      <c r="AW2838" s="21">
        <f t="shared" si="175"/>
        <v>2</v>
      </c>
      <c r="AX2838" s="21" t="str">
        <f t="shared" si="174"/>
        <v/>
      </c>
      <c r="AY2838" s="21" t="str">
        <f>IF(AND($AM2838&lt;&gt;"",$AS2838&lt;&gt;"✓"),SUMPRODUCT(($AM$11:$AM2838&lt;&gt;"")*($AS$11:$AS2838&lt;&gt;"✓")),"")</f>
        <v/>
      </c>
      <c r="AZ2838" s="21" t="str">
        <f>IF(AND($AM2838&lt;&gt;"",$AS2838="✓"),SUMPRODUCT(($AM$11:$AM2838&lt;&gt;"")*($AS$11:$AS2838="✓")),"")</f>
        <v/>
      </c>
      <c r="BA2838" s="21" t="str">
        <f>IF($AL2838="","",$AL2838&amp;"|"&amp;COUNTIF($AL$11:$AL2838,$AL2838))</f>
        <v/>
      </c>
    </row>
    <row r="2839" spans="38:53" ht="15" customHeight="1" x14ac:dyDescent="0.25">
      <c r="AL2839" s="17"/>
      <c r="AM2839" s="12"/>
      <c r="AN2839" s="18"/>
      <c r="AO2839" s="18"/>
      <c r="AP2839" s="10"/>
      <c r="AQ2839" s="10"/>
      <c r="AR2839" s="19"/>
      <c r="AS2839" s="20"/>
      <c r="AT2839" s="19"/>
      <c r="AV2839" s="21">
        <f>IF(AND($AL2839&lt;&gt;"",COUNTIF($AL$11:$AL2839,$AL2839)=1),1,0)</f>
        <v>0</v>
      </c>
      <c r="AW2839" s="21">
        <f t="shared" si="175"/>
        <v>2</v>
      </c>
      <c r="AX2839" s="21" t="str">
        <f t="shared" si="174"/>
        <v/>
      </c>
      <c r="AY2839" s="21" t="str">
        <f>IF(AND($AM2839&lt;&gt;"",$AS2839&lt;&gt;"✓"),SUMPRODUCT(($AM$11:$AM2839&lt;&gt;"")*($AS$11:$AS2839&lt;&gt;"✓")),"")</f>
        <v/>
      </c>
      <c r="AZ2839" s="21" t="str">
        <f>IF(AND($AM2839&lt;&gt;"",$AS2839="✓"),SUMPRODUCT(($AM$11:$AM2839&lt;&gt;"")*($AS$11:$AS2839="✓")),"")</f>
        <v/>
      </c>
      <c r="BA2839" s="21" t="str">
        <f>IF($AL2839="","",$AL2839&amp;"|"&amp;COUNTIF($AL$11:$AL2839,$AL2839))</f>
        <v/>
      </c>
    </row>
    <row r="2840" spans="38:53" ht="15" customHeight="1" x14ac:dyDescent="0.25">
      <c r="AL2840" s="31"/>
      <c r="AM2840" s="26"/>
      <c r="AN2840" s="32"/>
      <c r="AO2840" s="32"/>
      <c r="AP2840" s="24"/>
      <c r="AQ2840" s="24"/>
      <c r="AR2840" s="33"/>
      <c r="AS2840" s="34"/>
      <c r="AT2840" s="33"/>
      <c r="AV2840" s="21">
        <f>IF(AND($AL2840&lt;&gt;"",COUNTIF($AL$11:$AL2840,$AL2840)=1),1,0)</f>
        <v>0</v>
      </c>
      <c r="AW2840" s="21">
        <f t="shared" si="175"/>
        <v>2</v>
      </c>
      <c r="AX2840" s="21" t="str">
        <f t="shared" si="174"/>
        <v/>
      </c>
      <c r="AY2840" s="21" t="str">
        <f>IF(AND($AM2840&lt;&gt;"",$AS2840&lt;&gt;"✓"),SUMPRODUCT(($AM$11:$AM2840&lt;&gt;"")*($AS$11:$AS2840&lt;&gt;"✓")),"")</f>
        <v/>
      </c>
      <c r="AZ2840" s="21" t="str">
        <f>IF(AND($AM2840&lt;&gt;"",$AS2840="✓"),SUMPRODUCT(($AM$11:$AM2840&lt;&gt;"")*($AS$11:$AS2840="✓")),"")</f>
        <v/>
      </c>
      <c r="BA2840" s="21" t="str">
        <f>IF($AL2840="","",$AL2840&amp;"|"&amp;COUNTIF($AL$11:$AL2840,$AL2840))</f>
        <v/>
      </c>
    </row>
    <row r="2841" spans="38:53" ht="15" customHeight="1" x14ac:dyDescent="0.25">
      <c r="AL2841" s="17"/>
      <c r="AM2841" s="12"/>
      <c r="AN2841" s="18"/>
      <c r="AO2841" s="18"/>
      <c r="AP2841" s="10"/>
      <c r="AQ2841" s="10"/>
      <c r="AR2841" s="19"/>
      <c r="AS2841" s="20"/>
      <c r="AT2841" s="19"/>
      <c r="AV2841" s="21">
        <f>IF(AND($AL2841&lt;&gt;"",COUNTIF($AL$11:$AL2841,$AL2841)=1),1,0)</f>
        <v>0</v>
      </c>
      <c r="AW2841" s="21">
        <f t="shared" si="175"/>
        <v>2</v>
      </c>
      <c r="AX2841" s="21" t="str">
        <f t="shared" si="174"/>
        <v/>
      </c>
      <c r="AY2841" s="21" t="str">
        <f>IF(AND($AM2841&lt;&gt;"",$AS2841&lt;&gt;"✓"),SUMPRODUCT(($AM$11:$AM2841&lt;&gt;"")*($AS$11:$AS2841&lt;&gt;"✓")),"")</f>
        <v/>
      </c>
      <c r="AZ2841" s="21" t="str">
        <f>IF(AND($AM2841&lt;&gt;"",$AS2841="✓"),SUMPRODUCT(($AM$11:$AM2841&lt;&gt;"")*($AS$11:$AS2841="✓")),"")</f>
        <v/>
      </c>
      <c r="BA2841" s="21" t="str">
        <f>IF($AL2841="","",$AL2841&amp;"|"&amp;COUNTIF($AL$11:$AL2841,$AL2841))</f>
        <v/>
      </c>
    </row>
    <row r="2842" spans="38:53" ht="15" customHeight="1" x14ac:dyDescent="0.25">
      <c r="AL2842" s="31"/>
      <c r="AM2842" s="26"/>
      <c r="AN2842" s="32"/>
      <c r="AO2842" s="32"/>
      <c r="AP2842" s="24"/>
      <c r="AQ2842" s="24"/>
      <c r="AR2842" s="33"/>
      <c r="AS2842" s="34"/>
      <c r="AT2842" s="33"/>
      <c r="AV2842" s="21">
        <f>IF(AND($AL2842&lt;&gt;"",COUNTIF($AL$11:$AL2842,$AL2842)=1),1,0)</f>
        <v>0</v>
      </c>
      <c r="AW2842" s="21">
        <f t="shared" si="175"/>
        <v>2</v>
      </c>
      <c r="AX2842" s="21" t="str">
        <f t="shared" si="174"/>
        <v/>
      </c>
      <c r="AY2842" s="21" t="str">
        <f>IF(AND($AM2842&lt;&gt;"",$AS2842&lt;&gt;"✓"),SUMPRODUCT(($AM$11:$AM2842&lt;&gt;"")*($AS$11:$AS2842&lt;&gt;"✓")),"")</f>
        <v/>
      </c>
      <c r="AZ2842" s="21" t="str">
        <f>IF(AND($AM2842&lt;&gt;"",$AS2842="✓"),SUMPRODUCT(($AM$11:$AM2842&lt;&gt;"")*($AS$11:$AS2842="✓")),"")</f>
        <v/>
      </c>
      <c r="BA2842" s="21" t="str">
        <f>IF($AL2842="","",$AL2842&amp;"|"&amp;COUNTIF($AL$11:$AL2842,$AL2842))</f>
        <v/>
      </c>
    </row>
    <row r="2843" spans="38:53" ht="15" customHeight="1" x14ac:dyDescent="0.25">
      <c r="AL2843" s="17"/>
      <c r="AM2843" s="12"/>
      <c r="AN2843" s="18"/>
      <c r="AO2843" s="18"/>
      <c r="AP2843" s="10"/>
      <c r="AQ2843" s="10"/>
      <c r="AR2843" s="19"/>
      <c r="AS2843" s="20"/>
      <c r="AT2843" s="19"/>
      <c r="AV2843" s="21">
        <f>IF(AND($AL2843&lt;&gt;"",COUNTIF($AL$11:$AL2843,$AL2843)=1),1,0)</f>
        <v>0</v>
      </c>
      <c r="AW2843" s="21">
        <f t="shared" si="175"/>
        <v>2</v>
      </c>
      <c r="AX2843" s="21" t="str">
        <f t="shared" si="174"/>
        <v/>
      </c>
      <c r="AY2843" s="21" t="str">
        <f>IF(AND($AM2843&lt;&gt;"",$AS2843&lt;&gt;"✓"),SUMPRODUCT(($AM$11:$AM2843&lt;&gt;"")*($AS$11:$AS2843&lt;&gt;"✓")),"")</f>
        <v/>
      </c>
      <c r="AZ2843" s="21" t="str">
        <f>IF(AND($AM2843&lt;&gt;"",$AS2843="✓"),SUMPRODUCT(($AM$11:$AM2843&lt;&gt;"")*($AS$11:$AS2843="✓")),"")</f>
        <v/>
      </c>
      <c r="BA2843" s="21" t="str">
        <f>IF($AL2843="","",$AL2843&amp;"|"&amp;COUNTIF($AL$11:$AL2843,$AL2843))</f>
        <v/>
      </c>
    </row>
    <row r="2844" spans="38:53" ht="15" customHeight="1" x14ac:dyDescent="0.25">
      <c r="AL2844" s="31"/>
      <c r="AM2844" s="26"/>
      <c r="AN2844" s="32"/>
      <c r="AO2844" s="32"/>
      <c r="AP2844" s="24"/>
      <c r="AQ2844" s="24"/>
      <c r="AR2844" s="33"/>
      <c r="AS2844" s="34"/>
      <c r="AT2844" s="33"/>
      <c r="AV2844" s="21">
        <f>IF(AND($AL2844&lt;&gt;"",COUNTIF($AL$11:$AL2844,$AL2844)=1),1,0)</f>
        <v>0</v>
      </c>
      <c r="AW2844" s="21">
        <f t="shared" si="175"/>
        <v>2</v>
      </c>
      <c r="AX2844" s="21" t="str">
        <f t="shared" si="174"/>
        <v/>
      </c>
      <c r="AY2844" s="21" t="str">
        <f>IF(AND($AM2844&lt;&gt;"",$AS2844&lt;&gt;"✓"),SUMPRODUCT(($AM$11:$AM2844&lt;&gt;"")*($AS$11:$AS2844&lt;&gt;"✓")),"")</f>
        <v/>
      </c>
      <c r="AZ2844" s="21" t="str">
        <f>IF(AND($AM2844&lt;&gt;"",$AS2844="✓"),SUMPRODUCT(($AM$11:$AM2844&lt;&gt;"")*($AS$11:$AS2844="✓")),"")</f>
        <v/>
      </c>
      <c r="BA2844" s="21" t="str">
        <f>IF($AL2844="","",$AL2844&amp;"|"&amp;COUNTIF($AL$11:$AL2844,$AL2844))</f>
        <v/>
      </c>
    </row>
    <row r="2845" spans="38:53" ht="15" customHeight="1" x14ac:dyDescent="0.25">
      <c r="AL2845" s="17"/>
      <c r="AM2845" s="12"/>
      <c r="AN2845" s="18"/>
      <c r="AO2845" s="18"/>
      <c r="AP2845" s="10"/>
      <c r="AQ2845" s="10"/>
      <c r="AR2845" s="19"/>
      <c r="AS2845" s="20"/>
      <c r="AT2845" s="19"/>
      <c r="AV2845" s="21">
        <f>IF(AND($AL2845&lt;&gt;"",COUNTIF($AL$11:$AL2845,$AL2845)=1),1,0)</f>
        <v>0</v>
      </c>
      <c r="AW2845" s="21">
        <f t="shared" si="175"/>
        <v>2</v>
      </c>
      <c r="AX2845" s="21" t="str">
        <f t="shared" si="174"/>
        <v/>
      </c>
      <c r="AY2845" s="21" t="str">
        <f>IF(AND($AM2845&lt;&gt;"",$AS2845&lt;&gt;"✓"),SUMPRODUCT(($AM$11:$AM2845&lt;&gt;"")*($AS$11:$AS2845&lt;&gt;"✓")),"")</f>
        <v/>
      </c>
      <c r="AZ2845" s="21" t="str">
        <f>IF(AND($AM2845&lt;&gt;"",$AS2845="✓"),SUMPRODUCT(($AM$11:$AM2845&lt;&gt;"")*($AS$11:$AS2845="✓")),"")</f>
        <v/>
      </c>
      <c r="BA2845" s="21" t="str">
        <f>IF($AL2845="","",$AL2845&amp;"|"&amp;COUNTIF($AL$11:$AL2845,$AL2845))</f>
        <v/>
      </c>
    </row>
    <row r="2846" spans="38:53" ht="15" customHeight="1" x14ac:dyDescent="0.25">
      <c r="AL2846" s="31"/>
      <c r="AM2846" s="26"/>
      <c r="AN2846" s="32"/>
      <c r="AO2846" s="32"/>
      <c r="AP2846" s="24"/>
      <c r="AQ2846" s="24"/>
      <c r="AR2846" s="33"/>
      <c r="AS2846" s="34"/>
      <c r="AT2846" s="33"/>
      <c r="AV2846" s="21">
        <f>IF(AND($AL2846&lt;&gt;"",COUNTIF($AL$11:$AL2846,$AL2846)=1),1,0)</f>
        <v>0</v>
      </c>
      <c r="AW2846" s="21">
        <f t="shared" si="175"/>
        <v>2</v>
      </c>
      <c r="AX2846" s="21" t="str">
        <f t="shared" si="174"/>
        <v/>
      </c>
      <c r="AY2846" s="21" t="str">
        <f>IF(AND($AM2846&lt;&gt;"",$AS2846&lt;&gt;"✓"),SUMPRODUCT(($AM$11:$AM2846&lt;&gt;"")*($AS$11:$AS2846&lt;&gt;"✓")),"")</f>
        <v/>
      </c>
      <c r="AZ2846" s="21" t="str">
        <f>IF(AND($AM2846&lt;&gt;"",$AS2846="✓"),SUMPRODUCT(($AM$11:$AM2846&lt;&gt;"")*($AS$11:$AS2846="✓")),"")</f>
        <v/>
      </c>
      <c r="BA2846" s="21" t="str">
        <f>IF($AL2846="","",$AL2846&amp;"|"&amp;COUNTIF($AL$11:$AL2846,$AL2846))</f>
        <v/>
      </c>
    </row>
    <row r="2847" spans="38:53" ht="15" customHeight="1" x14ac:dyDescent="0.25">
      <c r="AL2847" s="17"/>
      <c r="AM2847" s="12"/>
      <c r="AN2847" s="18"/>
      <c r="AO2847" s="18"/>
      <c r="AP2847" s="10"/>
      <c r="AQ2847" s="10"/>
      <c r="AR2847" s="19"/>
      <c r="AS2847" s="20"/>
      <c r="AT2847" s="19"/>
      <c r="AV2847" s="21">
        <f>IF(AND($AL2847&lt;&gt;"",COUNTIF($AL$11:$AL2847,$AL2847)=1),1,0)</f>
        <v>0</v>
      </c>
      <c r="AW2847" s="21">
        <f t="shared" si="175"/>
        <v>2</v>
      </c>
      <c r="AX2847" s="21" t="str">
        <f t="shared" si="174"/>
        <v/>
      </c>
      <c r="AY2847" s="21" t="str">
        <f>IF(AND($AM2847&lt;&gt;"",$AS2847&lt;&gt;"✓"),SUMPRODUCT(($AM$11:$AM2847&lt;&gt;"")*($AS$11:$AS2847&lt;&gt;"✓")),"")</f>
        <v/>
      </c>
      <c r="AZ2847" s="21" t="str">
        <f>IF(AND($AM2847&lt;&gt;"",$AS2847="✓"),SUMPRODUCT(($AM$11:$AM2847&lt;&gt;"")*($AS$11:$AS2847="✓")),"")</f>
        <v/>
      </c>
      <c r="BA2847" s="21" t="str">
        <f>IF($AL2847="","",$AL2847&amp;"|"&amp;COUNTIF($AL$11:$AL2847,$AL2847))</f>
        <v/>
      </c>
    </row>
    <row r="2848" spans="38:53" ht="15" customHeight="1" x14ac:dyDescent="0.25">
      <c r="AL2848" s="31"/>
      <c r="AM2848" s="26"/>
      <c r="AN2848" s="32"/>
      <c r="AO2848" s="32"/>
      <c r="AP2848" s="24"/>
      <c r="AQ2848" s="24"/>
      <c r="AR2848" s="33"/>
      <c r="AS2848" s="34"/>
      <c r="AT2848" s="33"/>
      <c r="AV2848" s="21">
        <f>IF(AND($AL2848&lt;&gt;"",COUNTIF($AL$11:$AL2848,$AL2848)=1),1,0)</f>
        <v>0</v>
      </c>
      <c r="AW2848" s="21">
        <f t="shared" si="175"/>
        <v>2</v>
      </c>
      <c r="AX2848" s="21" t="str">
        <f t="shared" si="174"/>
        <v/>
      </c>
      <c r="AY2848" s="21" t="str">
        <f>IF(AND($AM2848&lt;&gt;"",$AS2848&lt;&gt;"✓"),SUMPRODUCT(($AM$11:$AM2848&lt;&gt;"")*($AS$11:$AS2848&lt;&gt;"✓")),"")</f>
        <v/>
      </c>
      <c r="AZ2848" s="21" t="str">
        <f>IF(AND($AM2848&lt;&gt;"",$AS2848="✓"),SUMPRODUCT(($AM$11:$AM2848&lt;&gt;"")*($AS$11:$AS2848="✓")),"")</f>
        <v/>
      </c>
      <c r="BA2848" s="21" t="str">
        <f>IF($AL2848="","",$AL2848&amp;"|"&amp;COUNTIF($AL$11:$AL2848,$AL2848))</f>
        <v/>
      </c>
    </row>
    <row r="2849" spans="38:53" ht="15" customHeight="1" x14ac:dyDescent="0.25">
      <c r="AL2849" s="17"/>
      <c r="AM2849" s="12"/>
      <c r="AN2849" s="18"/>
      <c r="AO2849" s="18"/>
      <c r="AP2849" s="10"/>
      <c r="AQ2849" s="10"/>
      <c r="AR2849" s="19"/>
      <c r="AS2849" s="20"/>
      <c r="AT2849" s="19"/>
      <c r="AV2849" s="21">
        <f>IF(AND($AL2849&lt;&gt;"",COUNTIF($AL$11:$AL2849,$AL2849)=1),1,0)</f>
        <v>0</v>
      </c>
      <c r="AW2849" s="21">
        <f t="shared" si="175"/>
        <v>2</v>
      </c>
      <c r="AX2849" s="21" t="str">
        <f t="shared" si="174"/>
        <v/>
      </c>
      <c r="AY2849" s="21" t="str">
        <f>IF(AND($AM2849&lt;&gt;"",$AS2849&lt;&gt;"✓"),SUMPRODUCT(($AM$11:$AM2849&lt;&gt;"")*($AS$11:$AS2849&lt;&gt;"✓")),"")</f>
        <v/>
      </c>
      <c r="AZ2849" s="21" t="str">
        <f>IF(AND($AM2849&lt;&gt;"",$AS2849="✓"),SUMPRODUCT(($AM$11:$AM2849&lt;&gt;"")*($AS$11:$AS2849="✓")),"")</f>
        <v/>
      </c>
      <c r="BA2849" s="21" t="str">
        <f>IF($AL2849="","",$AL2849&amp;"|"&amp;COUNTIF($AL$11:$AL2849,$AL2849))</f>
        <v/>
      </c>
    </row>
    <row r="2850" spans="38:53" ht="15" customHeight="1" x14ac:dyDescent="0.25">
      <c r="AL2850" s="31"/>
      <c r="AM2850" s="26"/>
      <c r="AN2850" s="32"/>
      <c r="AO2850" s="32"/>
      <c r="AP2850" s="24"/>
      <c r="AQ2850" s="24"/>
      <c r="AR2850" s="33"/>
      <c r="AS2850" s="34"/>
      <c r="AT2850" s="33"/>
      <c r="AV2850" s="21">
        <f>IF(AND($AL2850&lt;&gt;"",COUNTIF($AL$11:$AL2850,$AL2850)=1),1,0)</f>
        <v>0</v>
      </c>
      <c r="AW2850" s="21">
        <f t="shared" si="175"/>
        <v>2</v>
      </c>
      <c r="AX2850" s="21" t="str">
        <f t="shared" si="174"/>
        <v/>
      </c>
      <c r="AY2850" s="21" t="str">
        <f>IF(AND($AM2850&lt;&gt;"",$AS2850&lt;&gt;"✓"),SUMPRODUCT(($AM$11:$AM2850&lt;&gt;"")*($AS$11:$AS2850&lt;&gt;"✓")),"")</f>
        <v/>
      </c>
      <c r="AZ2850" s="21" t="str">
        <f>IF(AND($AM2850&lt;&gt;"",$AS2850="✓"),SUMPRODUCT(($AM$11:$AM2850&lt;&gt;"")*($AS$11:$AS2850="✓")),"")</f>
        <v/>
      </c>
      <c r="BA2850" s="21" t="str">
        <f>IF($AL2850="","",$AL2850&amp;"|"&amp;COUNTIF($AL$11:$AL2850,$AL2850))</f>
        <v/>
      </c>
    </row>
    <row r="2851" spans="38:53" ht="15" customHeight="1" x14ac:dyDescent="0.25">
      <c r="AL2851" s="17"/>
      <c r="AM2851" s="12"/>
      <c r="AN2851" s="18"/>
      <c r="AO2851" s="18"/>
      <c r="AP2851" s="10"/>
      <c r="AQ2851" s="10"/>
      <c r="AR2851" s="19"/>
      <c r="AS2851" s="20"/>
      <c r="AT2851" s="19"/>
      <c r="AV2851" s="21">
        <f>IF(AND($AL2851&lt;&gt;"",COUNTIF($AL$11:$AL2851,$AL2851)=1),1,0)</f>
        <v>0</v>
      </c>
      <c r="AW2851" s="21">
        <f t="shared" si="175"/>
        <v>2</v>
      </c>
      <c r="AX2851" s="21" t="str">
        <f t="shared" si="174"/>
        <v/>
      </c>
      <c r="AY2851" s="21" t="str">
        <f>IF(AND($AM2851&lt;&gt;"",$AS2851&lt;&gt;"✓"),SUMPRODUCT(($AM$11:$AM2851&lt;&gt;"")*($AS$11:$AS2851&lt;&gt;"✓")),"")</f>
        <v/>
      </c>
      <c r="AZ2851" s="21" t="str">
        <f>IF(AND($AM2851&lt;&gt;"",$AS2851="✓"),SUMPRODUCT(($AM$11:$AM2851&lt;&gt;"")*($AS$11:$AS2851="✓")),"")</f>
        <v/>
      </c>
      <c r="BA2851" s="21" t="str">
        <f>IF($AL2851="","",$AL2851&amp;"|"&amp;COUNTIF($AL$11:$AL2851,$AL2851))</f>
        <v/>
      </c>
    </row>
    <row r="2852" spans="38:53" ht="15" customHeight="1" x14ac:dyDescent="0.25">
      <c r="AL2852" s="31"/>
      <c r="AM2852" s="26"/>
      <c r="AN2852" s="32"/>
      <c r="AO2852" s="32"/>
      <c r="AP2852" s="24"/>
      <c r="AQ2852" s="24"/>
      <c r="AR2852" s="33"/>
      <c r="AS2852" s="34"/>
      <c r="AT2852" s="33"/>
      <c r="AV2852" s="21">
        <f>IF(AND($AL2852&lt;&gt;"",COUNTIF($AL$11:$AL2852,$AL2852)=1),1,0)</f>
        <v>0</v>
      </c>
      <c r="AW2852" s="21">
        <f t="shared" si="175"/>
        <v>2</v>
      </c>
      <c r="AX2852" s="21" t="str">
        <f t="shared" si="174"/>
        <v/>
      </c>
      <c r="AY2852" s="21" t="str">
        <f>IF(AND($AM2852&lt;&gt;"",$AS2852&lt;&gt;"✓"),SUMPRODUCT(($AM$11:$AM2852&lt;&gt;"")*($AS$11:$AS2852&lt;&gt;"✓")),"")</f>
        <v/>
      </c>
      <c r="AZ2852" s="21" t="str">
        <f>IF(AND($AM2852&lt;&gt;"",$AS2852="✓"),SUMPRODUCT(($AM$11:$AM2852&lt;&gt;"")*($AS$11:$AS2852="✓")),"")</f>
        <v/>
      </c>
      <c r="BA2852" s="21" t="str">
        <f>IF($AL2852="","",$AL2852&amp;"|"&amp;COUNTIF($AL$11:$AL2852,$AL2852))</f>
        <v/>
      </c>
    </row>
    <row r="2853" spans="38:53" ht="15" customHeight="1" x14ac:dyDescent="0.25">
      <c r="AL2853" s="17"/>
      <c r="AM2853" s="12"/>
      <c r="AN2853" s="18"/>
      <c r="AO2853" s="18"/>
      <c r="AP2853" s="10"/>
      <c r="AQ2853" s="10"/>
      <c r="AR2853" s="19"/>
      <c r="AS2853" s="20"/>
      <c r="AT2853" s="19"/>
      <c r="AV2853" s="21">
        <f>IF(AND($AL2853&lt;&gt;"",COUNTIF($AL$11:$AL2853,$AL2853)=1),1,0)</f>
        <v>0</v>
      </c>
      <c r="AW2853" s="21">
        <f t="shared" si="175"/>
        <v>2</v>
      </c>
      <c r="AX2853" s="21" t="str">
        <f t="shared" si="174"/>
        <v/>
      </c>
      <c r="AY2853" s="21" t="str">
        <f>IF(AND($AM2853&lt;&gt;"",$AS2853&lt;&gt;"✓"),SUMPRODUCT(($AM$11:$AM2853&lt;&gt;"")*($AS$11:$AS2853&lt;&gt;"✓")),"")</f>
        <v/>
      </c>
      <c r="AZ2853" s="21" t="str">
        <f>IF(AND($AM2853&lt;&gt;"",$AS2853="✓"),SUMPRODUCT(($AM$11:$AM2853&lt;&gt;"")*($AS$11:$AS2853="✓")),"")</f>
        <v/>
      </c>
      <c r="BA2853" s="21" t="str">
        <f>IF($AL2853="","",$AL2853&amp;"|"&amp;COUNTIF($AL$11:$AL2853,$AL2853))</f>
        <v/>
      </c>
    </row>
    <row r="2854" spans="38:53" ht="15" customHeight="1" x14ac:dyDescent="0.25">
      <c r="AL2854" s="31"/>
      <c r="AM2854" s="26"/>
      <c r="AN2854" s="32"/>
      <c r="AO2854" s="32"/>
      <c r="AP2854" s="24"/>
      <c r="AQ2854" s="24"/>
      <c r="AR2854" s="33"/>
      <c r="AS2854" s="34"/>
      <c r="AT2854" s="33"/>
      <c r="AV2854" s="21">
        <f>IF(AND($AL2854&lt;&gt;"",COUNTIF($AL$11:$AL2854,$AL2854)=1),1,0)</f>
        <v>0</v>
      </c>
      <c r="AW2854" s="21">
        <f t="shared" si="175"/>
        <v>2</v>
      </c>
      <c r="AX2854" s="21" t="str">
        <f t="shared" si="174"/>
        <v/>
      </c>
      <c r="AY2854" s="21" t="str">
        <f>IF(AND($AM2854&lt;&gt;"",$AS2854&lt;&gt;"✓"),SUMPRODUCT(($AM$11:$AM2854&lt;&gt;"")*($AS$11:$AS2854&lt;&gt;"✓")),"")</f>
        <v/>
      </c>
      <c r="AZ2854" s="21" t="str">
        <f>IF(AND($AM2854&lt;&gt;"",$AS2854="✓"),SUMPRODUCT(($AM$11:$AM2854&lt;&gt;"")*($AS$11:$AS2854="✓")),"")</f>
        <v/>
      </c>
      <c r="BA2854" s="21" t="str">
        <f>IF($AL2854="","",$AL2854&amp;"|"&amp;COUNTIF($AL$11:$AL2854,$AL2854))</f>
        <v/>
      </c>
    </row>
    <row r="2855" spans="38:53" ht="15" customHeight="1" x14ac:dyDescent="0.25">
      <c r="AL2855" s="17"/>
      <c r="AM2855" s="12"/>
      <c r="AN2855" s="18"/>
      <c r="AO2855" s="18"/>
      <c r="AP2855" s="10"/>
      <c r="AQ2855" s="10"/>
      <c r="AR2855" s="19"/>
      <c r="AS2855" s="20"/>
      <c r="AT2855" s="19"/>
      <c r="AV2855" s="21">
        <f>IF(AND($AL2855&lt;&gt;"",COUNTIF($AL$11:$AL2855,$AL2855)=1),1,0)</f>
        <v>0</v>
      </c>
      <c r="AW2855" s="21">
        <f t="shared" si="175"/>
        <v>2</v>
      </c>
      <c r="AX2855" s="21" t="str">
        <f t="shared" si="174"/>
        <v/>
      </c>
      <c r="AY2855" s="21" t="str">
        <f>IF(AND($AM2855&lt;&gt;"",$AS2855&lt;&gt;"✓"),SUMPRODUCT(($AM$11:$AM2855&lt;&gt;"")*($AS$11:$AS2855&lt;&gt;"✓")),"")</f>
        <v/>
      </c>
      <c r="AZ2855" s="21" t="str">
        <f>IF(AND($AM2855&lt;&gt;"",$AS2855="✓"),SUMPRODUCT(($AM$11:$AM2855&lt;&gt;"")*($AS$11:$AS2855="✓")),"")</f>
        <v/>
      </c>
      <c r="BA2855" s="21" t="str">
        <f>IF($AL2855="","",$AL2855&amp;"|"&amp;COUNTIF($AL$11:$AL2855,$AL2855))</f>
        <v/>
      </c>
    </row>
    <row r="2856" spans="38:53" ht="15" customHeight="1" x14ac:dyDescent="0.25">
      <c r="AL2856" s="31"/>
      <c r="AM2856" s="26"/>
      <c r="AN2856" s="32"/>
      <c r="AO2856" s="32"/>
      <c r="AP2856" s="24"/>
      <c r="AQ2856" s="24"/>
      <c r="AR2856" s="33"/>
      <c r="AS2856" s="34"/>
      <c r="AT2856" s="33"/>
      <c r="AV2856" s="21">
        <f>IF(AND($AL2856&lt;&gt;"",COUNTIF($AL$11:$AL2856,$AL2856)=1),1,0)</f>
        <v>0</v>
      </c>
      <c r="AW2856" s="21">
        <f t="shared" si="175"/>
        <v>2</v>
      </c>
      <c r="AX2856" s="21" t="str">
        <f t="shared" si="174"/>
        <v/>
      </c>
      <c r="AY2856" s="21" t="str">
        <f>IF(AND($AM2856&lt;&gt;"",$AS2856&lt;&gt;"✓"),SUMPRODUCT(($AM$11:$AM2856&lt;&gt;"")*($AS$11:$AS2856&lt;&gt;"✓")),"")</f>
        <v/>
      </c>
      <c r="AZ2856" s="21" t="str">
        <f>IF(AND($AM2856&lt;&gt;"",$AS2856="✓"),SUMPRODUCT(($AM$11:$AM2856&lt;&gt;"")*($AS$11:$AS2856="✓")),"")</f>
        <v/>
      </c>
      <c r="BA2856" s="21" t="str">
        <f>IF($AL2856="","",$AL2856&amp;"|"&amp;COUNTIF($AL$11:$AL2856,$AL2856))</f>
        <v/>
      </c>
    </row>
    <row r="2857" spans="38:53" ht="15" customHeight="1" x14ac:dyDescent="0.25">
      <c r="AL2857" s="17"/>
      <c r="AM2857" s="12"/>
      <c r="AN2857" s="18"/>
      <c r="AO2857" s="18"/>
      <c r="AP2857" s="10"/>
      <c r="AQ2857" s="10"/>
      <c r="AR2857" s="19"/>
      <c r="AS2857" s="20"/>
      <c r="AT2857" s="19"/>
      <c r="AV2857" s="21">
        <f>IF(AND($AL2857&lt;&gt;"",COUNTIF($AL$11:$AL2857,$AL2857)=1),1,0)</f>
        <v>0</v>
      </c>
      <c r="AW2857" s="21">
        <f t="shared" si="175"/>
        <v>2</v>
      </c>
      <c r="AX2857" s="21" t="str">
        <f t="shared" si="174"/>
        <v/>
      </c>
      <c r="AY2857" s="21" t="str">
        <f>IF(AND($AM2857&lt;&gt;"",$AS2857&lt;&gt;"✓"),SUMPRODUCT(($AM$11:$AM2857&lt;&gt;"")*($AS$11:$AS2857&lt;&gt;"✓")),"")</f>
        <v/>
      </c>
      <c r="AZ2857" s="21" t="str">
        <f>IF(AND($AM2857&lt;&gt;"",$AS2857="✓"),SUMPRODUCT(($AM$11:$AM2857&lt;&gt;"")*($AS$11:$AS2857="✓")),"")</f>
        <v/>
      </c>
      <c r="BA2857" s="21" t="str">
        <f>IF($AL2857="","",$AL2857&amp;"|"&amp;COUNTIF($AL$11:$AL2857,$AL2857))</f>
        <v/>
      </c>
    </row>
    <row r="2858" spans="38:53" ht="15" customHeight="1" x14ac:dyDescent="0.25">
      <c r="AL2858" s="31"/>
      <c r="AM2858" s="26"/>
      <c r="AN2858" s="32"/>
      <c r="AO2858" s="32"/>
      <c r="AP2858" s="24"/>
      <c r="AQ2858" s="24"/>
      <c r="AR2858" s="33"/>
      <c r="AS2858" s="34"/>
      <c r="AT2858" s="33"/>
      <c r="AV2858" s="21">
        <f>IF(AND($AL2858&lt;&gt;"",COUNTIF($AL$11:$AL2858,$AL2858)=1),1,0)</f>
        <v>0</v>
      </c>
      <c r="AW2858" s="21">
        <f t="shared" si="175"/>
        <v>2</v>
      </c>
      <c r="AX2858" s="21" t="str">
        <f t="shared" si="174"/>
        <v/>
      </c>
      <c r="AY2858" s="21" t="str">
        <f>IF(AND($AM2858&lt;&gt;"",$AS2858&lt;&gt;"✓"),SUMPRODUCT(($AM$11:$AM2858&lt;&gt;"")*($AS$11:$AS2858&lt;&gt;"✓")),"")</f>
        <v/>
      </c>
      <c r="AZ2858" s="21" t="str">
        <f>IF(AND($AM2858&lt;&gt;"",$AS2858="✓"),SUMPRODUCT(($AM$11:$AM2858&lt;&gt;"")*($AS$11:$AS2858="✓")),"")</f>
        <v/>
      </c>
      <c r="BA2858" s="21" t="str">
        <f>IF($AL2858="","",$AL2858&amp;"|"&amp;COUNTIF($AL$11:$AL2858,$AL2858))</f>
        <v/>
      </c>
    </row>
    <row r="2859" spans="38:53" ht="15" customHeight="1" x14ac:dyDescent="0.25">
      <c r="AL2859" s="17"/>
      <c r="AM2859" s="12"/>
      <c r="AN2859" s="18"/>
      <c r="AO2859" s="18"/>
      <c r="AP2859" s="10"/>
      <c r="AQ2859" s="10"/>
      <c r="AR2859" s="19"/>
      <c r="AS2859" s="20"/>
      <c r="AT2859" s="19"/>
      <c r="AV2859" s="21">
        <f>IF(AND($AL2859&lt;&gt;"",COUNTIF($AL$11:$AL2859,$AL2859)=1),1,0)</f>
        <v>0</v>
      </c>
      <c r="AW2859" s="21">
        <f t="shared" si="175"/>
        <v>2</v>
      </c>
      <c r="AX2859" s="21" t="str">
        <f t="shared" si="174"/>
        <v/>
      </c>
      <c r="AY2859" s="21" t="str">
        <f>IF(AND($AM2859&lt;&gt;"",$AS2859&lt;&gt;"✓"),SUMPRODUCT(($AM$11:$AM2859&lt;&gt;"")*($AS$11:$AS2859&lt;&gt;"✓")),"")</f>
        <v/>
      </c>
      <c r="AZ2859" s="21" t="str">
        <f>IF(AND($AM2859&lt;&gt;"",$AS2859="✓"),SUMPRODUCT(($AM$11:$AM2859&lt;&gt;"")*($AS$11:$AS2859="✓")),"")</f>
        <v/>
      </c>
      <c r="BA2859" s="21" t="str">
        <f>IF($AL2859="","",$AL2859&amp;"|"&amp;COUNTIF($AL$11:$AL2859,$AL2859))</f>
        <v/>
      </c>
    </row>
    <row r="2860" spans="38:53" ht="15" customHeight="1" x14ac:dyDescent="0.25">
      <c r="AL2860" s="31"/>
      <c r="AM2860" s="26"/>
      <c r="AN2860" s="32"/>
      <c r="AO2860" s="32"/>
      <c r="AP2860" s="24"/>
      <c r="AQ2860" s="24"/>
      <c r="AR2860" s="33"/>
      <c r="AS2860" s="34"/>
      <c r="AT2860" s="33"/>
      <c r="AV2860" s="21">
        <f>IF(AND($AL2860&lt;&gt;"",COUNTIF($AL$11:$AL2860,$AL2860)=1),1,0)</f>
        <v>0</v>
      </c>
      <c r="AW2860" s="21">
        <f t="shared" si="175"/>
        <v>2</v>
      </c>
      <c r="AX2860" s="21" t="str">
        <f t="shared" si="174"/>
        <v/>
      </c>
      <c r="AY2860" s="21" t="str">
        <f>IF(AND($AM2860&lt;&gt;"",$AS2860&lt;&gt;"✓"),SUMPRODUCT(($AM$11:$AM2860&lt;&gt;"")*($AS$11:$AS2860&lt;&gt;"✓")),"")</f>
        <v/>
      </c>
      <c r="AZ2860" s="21" t="str">
        <f>IF(AND($AM2860&lt;&gt;"",$AS2860="✓"),SUMPRODUCT(($AM$11:$AM2860&lt;&gt;"")*($AS$11:$AS2860="✓")),"")</f>
        <v/>
      </c>
      <c r="BA2860" s="21" t="str">
        <f>IF($AL2860="","",$AL2860&amp;"|"&amp;COUNTIF($AL$11:$AL2860,$AL2860))</f>
        <v/>
      </c>
    </row>
    <row r="2861" spans="38:53" ht="15" customHeight="1" x14ac:dyDescent="0.25">
      <c r="AL2861" s="17"/>
      <c r="AM2861" s="12"/>
      <c r="AN2861" s="18"/>
      <c r="AO2861" s="18"/>
      <c r="AP2861" s="10"/>
      <c r="AQ2861" s="10"/>
      <c r="AR2861" s="19"/>
      <c r="AS2861" s="20"/>
      <c r="AT2861" s="19"/>
      <c r="AV2861" s="21">
        <f>IF(AND($AL2861&lt;&gt;"",COUNTIF($AL$11:$AL2861,$AL2861)=1),1,0)</f>
        <v>0</v>
      </c>
      <c r="AW2861" s="21">
        <f t="shared" si="175"/>
        <v>2</v>
      </c>
      <c r="AX2861" s="21" t="str">
        <f t="shared" si="174"/>
        <v/>
      </c>
      <c r="AY2861" s="21" t="str">
        <f>IF(AND($AM2861&lt;&gt;"",$AS2861&lt;&gt;"✓"),SUMPRODUCT(($AM$11:$AM2861&lt;&gt;"")*($AS$11:$AS2861&lt;&gt;"✓")),"")</f>
        <v/>
      </c>
      <c r="AZ2861" s="21" t="str">
        <f>IF(AND($AM2861&lt;&gt;"",$AS2861="✓"),SUMPRODUCT(($AM$11:$AM2861&lt;&gt;"")*($AS$11:$AS2861="✓")),"")</f>
        <v/>
      </c>
      <c r="BA2861" s="21" t="str">
        <f>IF($AL2861="","",$AL2861&amp;"|"&amp;COUNTIF($AL$11:$AL2861,$AL2861))</f>
        <v/>
      </c>
    </row>
    <row r="2862" spans="38:53" ht="15" customHeight="1" x14ac:dyDescent="0.25">
      <c r="AL2862" s="31"/>
      <c r="AM2862" s="26"/>
      <c r="AN2862" s="32"/>
      <c r="AO2862" s="32"/>
      <c r="AP2862" s="24"/>
      <c r="AQ2862" s="24"/>
      <c r="AR2862" s="33"/>
      <c r="AS2862" s="34"/>
      <c r="AT2862" s="33"/>
      <c r="AV2862" s="21">
        <f>IF(AND($AL2862&lt;&gt;"",COUNTIF($AL$11:$AL2862,$AL2862)=1),1,0)</f>
        <v>0</v>
      </c>
      <c r="AW2862" s="21">
        <f t="shared" si="175"/>
        <v>2</v>
      </c>
      <c r="AX2862" s="21" t="str">
        <f t="shared" si="174"/>
        <v/>
      </c>
      <c r="AY2862" s="21" t="str">
        <f>IF(AND($AM2862&lt;&gt;"",$AS2862&lt;&gt;"✓"),SUMPRODUCT(($AM$11:$AM2862&lt;&gt;"")*($AS$11:$AS2862&lt;&gt;"✓")),"")</f>
        <v/>
      </c>
      <c r="AZ2862" s="21" t="str">
        <f>IF(AND($AM2862&lt;&gt;"",$AS2862="✓"),SUMPRODUCT(($AM$11:$AM2862&lt;&gt;"")*($AS$11:$AS2862="✓")),"")</f>
        <v/>
      </c>
      <c r="BA2862" s="21" t="str">
        <f>IF($AL2862="","",$AL2862&amp;"|"&amp;COUNTIF($AL$11:$AL2862,$AL2862))</f>
        <v/>
      </c>
    </row>
    <row r="2863" spans="38:53" ht="15" customHeight="1" x14ac:dyDescent="0.25">
      <c r="AL2863" s="17"/>
      <c r="AM2863" s="12"/>
      <c r="AN2863" s="18"/>
      <c r="AO2863" s="18"/>
      <c r="AP2863" s="10"/>
      <c r="AQ2863" s="10"/>
      <c r="AR2863" s="19"/>
      <c r="AS2863" s="20"/>
      <c r="AT2863" s="19"/>
      <c r="AV2863" s="21">
        <f>IF(AND($AL2863&lt;&gt;"",COUNTIF($AL$11:$AL2863,$AL2863)=1),1,0)</f>
        <v>0</v>
      </c>
      <c r="AW2863" s="21">
        <f t="shared" si="175"/>
        <v>2</v>
      </c>
      <c r="AX2863" s="21" t="str">
        <f t="shared" si="174"/>
        <v/>
      </c>
      <c r="AY2863" s="21" t="str">
        <f>IF(AND($AM2863&lt;&gt;"",$AS2863&lt;&gt;"✓"),SUMPRODUCT(($AM$11:$AM2863&lt;&gt;"")*($AS$11:$AS2863&lt;&gt;"✓")),"")</f>
        <v/>
      </c>
      <c r="AZ2863" s="21" t="str">
        <f>IF(AND($AM2863&lt;&gt;"",$AS2863="✓"),SUMPRODUCT(($AM$11:$AM2863&lt;&gt;"")*($AS$11:$AS2863="✓")),"")</f>
        <v/>
      </c>
      <c r="BA2863" s="21" t="str">
        <f>IF($AL2863="","",$AL2863&amp;"|"&amp;COUNTIF($AL$11:$AL2863,$AL2863))</f>
        <v/>
      </c>
    </row>
    <row r="2864" spans="38:53" ht="15" customHeight="1" x14ac:dyDescent="0.25">
      <c r="AL2864" s="31"/>
      <c r="AM2864" s="26"/>
      <c r="AN2864" s="32"/>
      <c r="AO2864" s="32"/>
      <c r="AP2864" s="24"/>
      <c r="AQ2864" s="24"/>
      <c r="AR2864" s="33"/>
      <c r="AS2864" s="34"/>
      <c r="AT2864" s="33"/>
      <c r="AV2864" s="21">
        <f>IF(AND($AL2864&lt;&gt;"",COUNTIF($AL$11:$AL2864,$AL2864)=1),1,0)</f>
        <v>0</v>
      </c>
      <c r="AW2864" s="21">
        <f t="shared" si="175"/>
        <v>2</v>
      </c>
      <c r="AX2864" s="21" t="str">
        <f t="shared" si="174"/>
        <v/>
      </c>
      <c r="AY2864" s="21" t="str">
        <f>IF(AND($AM2864&lt;&gt;"",$AS2864&lt;&gt;"✓"),SUMPRODUCT(($AM$11:$AM2864&lt;&gt;"")*($AS$11:$AS2864&lt;&gt;"✓")),"")</f>
        <v/>
      </c>
      <c r="AZ2864" s="21" t="str">
        <f>IF(AND($AM2864&lt;&gt;"",$AS2864="✓"),SUMPRODUCT(($AM$11:$AM2864&lt;&gt;"")*($AS$11:$AS2864="✓")),"")</f>
        <v/>
      </c>
      <c r="BA2864" s="21" t="str">
        <f>IF($AL2864="","",$AL2864&amp;"|"&amp;COUNTIF($AL$11:$AL2864,$AL2864))</f>
        <v/>
      </c>
    </row>
    <row r="2865" spans="38:53" ht="15" customHeight="1" x14ac:dyDescent="0.25">
      <c r="AL2865" s="17"/>
      <c r="AM2865" s="12"/>
      <c r="AN2865" s="18"/>
      <c r="AO2865" s="18"/>
      <c r="AP2865" s="10"/>
      <c r="AQ2865" s="10"/>
      <c r="AR2865" s="19"/>
      <c r="AS2865" s="20"/>
      <c r="AT2865" s="19"/>
      <c r="AV2865" s="21">
        <f>IF(AND($AL2865&lt;&gt;"",COUNTIF($AL$11:$AL2865,$AL2865)=1),1,0)</f>
        <v>0</v>
      </c>
      <c r="AW2865" s="21">
        <f t="shared" si="175"/>
        <v>2</v>
      </c>
      <c r="AX2865" s="21" t="str">
        <f t="shared" si="174"/>
        <v/>
      </c>
      <c r="AY2865" s="21" t="str">
        <f>IF(AND($AM2865&lt;&gt;"",$AS2865&lt;&gt;"✓"),SUMPRODUCT(($AM$11:$AM2865&lt;&gt;"")*($AS$11:$AS2865&lt;&gt;"✓")),"")</f>
        <v/>
      </c>
      <c r="AZ2865" s="21" t="str">
        <f>IF(AND($AM2865&lt;&gt;"",$AS2865="✓"),SUMPRODUCT(($AM$11:$AM2865&lt;&gt;"")*($AS$11:$AS2865="✓")),"")</f>
        <v/>
      </c>
      <c r="BA2865" s="21" t="str">
        <f>IF($AL2865="","",$AL2865&amp;"|"&amp;COUNTIF($AL$11:$AL2865,$AL2865))</f>
        <v/>
      </c>
    </row>
    <row r="2866" spans="38:53" ht="15" customHeight="1" x14ac:dyDescent="0.25">
      <c r="AL2866" s="31"/>
      <c r="AM2866" s="26"/>
      <c r="AN2866" s="32"/>
      <c r="AO2866" s="32"/>
      <c r="AP2866" s="24"/>
      <c r="AQ2866" s="24"/>
      <c r="AR2866" s="33"/>
      <c r="AS2866" s="34"/>
      <c r="AT2866" s="33"/>
      <c r="AV2866" s="21">
        <f>IF(AND($AL2866&lt;&gt;"",COUNTIF($AL$11:$AL2866,$AL2866)=1),1,0)</f>
        <v>0</v>
      </c>
      <c r="AW2866" s="21">
        <f t="shared" si="175"/>
        <v>2</v>
      </c>
      <c r="AX2866" s="21" t="str">
        <f t="shared" si="174"/>
        <v/>
      </c>
      <c r="AY2866" s="21" t="str">
        <f>IF(AND($AM2866&lt;&gt;"",$AS2866&lt;&gt;"✓"),SUMPRODUCT(($AM$11:$AM2866&lt;&gt;"")*($AS$11:$AS2866&lt;&gt;"✓")),"")</f>
        <v/>
      </c>
      <c r="AZ2866" s="21" t="str">
        <f>IF(AND($AM2866&lt;&gt;"",$AS2866="✓"),SUMPRODUCT(($AM$11:$AM2866&lt;&gt;"")*($AS$11:$AS2866="✓")),"")</f>
        <v/>
      </c>
      <c r="BA2866" s="21" t="str">
        <f>IF($AL2866="","",$AL2866&amp;"|"&amp;COUNTIF($AL$11:$AL2866,$AL2866))</f>
        <v/>
      </c>
    </row>
    <row r="2867" spans="38:53" ht="15" customHeight="1" x14ac:dyDescent="0.25">
      <c r="AL2867" s="17"/>
      <c r="AM2867" s="12"/>
      <c r="AN2867" s="18"/>
      <c r="AO2867" s="18"/>
      <c r="AP2867" s="10"/>
      <c r="AQ2867" s="10"/>
      <c r="AR2867" s="19"/>
      <c r="AS2867" s="20"/>
      <c r="AT2867" s="19"/>
      <c r="AV2867" s="21">
        <f>IF(AND($AL2867&lt;&gt;"",COUNTIF($AL$11:$AL2867,$AL2867)=1),1,0)</f>
        <v>0</v>
      </c>
      <c r="AW2867" s="21">
        <f t="shared" si="175"/>
        <v>2</v>
      </c>
      <c r="AX2867" s="21" t="str">
        <f t="shared" si="174"/>
        <v/>
      </c>
      <c r="AY2867" s="21" t="str">
        <f>IF(AND($AM2867&lt;&gt;"",$AS2867&lt;&gt;"✓"),SUMPRODUCT(($AM$11:$AM2867&lt;&gt;"")*($AS$11:$AS2867&lt;&gt;"✓")),"")</f>
        <v/>
      </c>
      <c r="AZ2867" s="21" t="str">
        <f>IF(AND($AM2867&lt;&gt;"",$AS2867="✓"),SUMPRODUCT(($AM$11:$AM2867&lt;&gt;"")*($AS$11:$AS2867="✓")),"")</f>
        <v/>
      </c>
      <c r="BA2867" s="21" t="str">
        <f>IF($AL2867="","",$AL2867&amp;"|"&amp;COUNTIF($AL$11:$AL2867,$AL2867))</f>
        <v/>
      </c>
    </row>
    <row r="2868" spans="38:53" ht="15" customHeight="1" x14ac:dyDescent="0.25">
      <c r="AL2868" s="31"/>
      <c r="AM2868" s="26"/>
      <c r="AN2868" s="32"/>
      <c r="AO2868" s="32"/>
      <c r="AP2868" s="24"/>
      <c r="AQ2868" s="24"/>
      <c r="AR2868" s="33"/>
      <c r="AS2868" s="34"/>
      <c r="AT2868" s="33"/>
      <c r="AV2868" s="21">
        <f>IF(AND($AL2868&lt;&gt;"",COUNTIF($AL$11:$AL2868,$AL2868)=1),1,0)</f>
        <v>0</v>
      </c>
      <c r="AW2868" s="21">
        <f t="shared" si="175"/>
        <v>2</v>
      </c>
      <c r="AX2868" s="21" t="str">
        <f t="shared" si="174"/>
        <v/>
      </c>
      <c r="AY2868" s="21" t="str">
        <f>IF(AND($AM2868&lt;&gt;"",$AS2868&lt;&gt;"✓"),SUMPRODUCT(($AM$11:$AM2868&lt;&gt;"")*($AS$11:$AS2868&lt;&gt;"✓")),"")</f>
        <v/>
      </c>
      <c r="AZ2868" s="21" t="str">
        <f>IF(AND($AM2868&lt;&gt;"",$AS2868="✓"),SUMPRODUCT(($AM$11:$AM2868&lt;&gt;"")*($AS$11:$AS2868="✓")),"")</f>
        <v/>
      </c>
      <c r="BA2868" s="21" t="str">
        <f>IF($AL2868="","",$AL2868&amp;"|"&amp;COUNTIF($AL$11:$AL2868,$AL2868))</f>
        <v/>
      </c>
    </row>
    <row r="2869" spans="38:53" ht="15" customHeight="1" x14ac:dyDescent="0.25">
      <c r="AL2869" s="17"/>
      <c r="AM2869" s="12"/>
      <c r="AN2869" s="18"/>
      <c r="AO2869" s="18"/>
      <c r="AP2869" s="10"/>
      <c r="AQ2869" s="10"/>
      <c r="AR2869" s="19"/>
      <c r="AS2869" s="20"/>
      <c r="AT2869" s="19"/>
      <c r="AV2869" s="21">
        <f>IF(AND($AL2869&lt;&gt;"",COUNTIF($AL$11:$AL2869,$AL2869)=1),1,0)</f>
        <v>0</v>
      </c>
      <c r="AW2869" s="21">
        <f t="shared" si="175"/>
        <v>2</v>
      </c>
      <c r="AX2869" s="21" t="str">
        <f t="shared" si="174"/>
        <v/>
      </c>
      <c r="AY2869" s="21" t="str">
        <f>IF(AND($AM2869&lt;&gt;"",$AS2869&lt;&gt;"✓"),SUMPRODUCT(($AM$11:$AM2869&lt;&gt;"")*($AS$11:$AS2869&lt;&gt;"✓")),"")</f>
        <v/>
      </c>
      <c r="AZ2869" s="21" t="str">
        <f>IF(AND($AM2869&lt;&gt;"",$AS2869="✓"),SUMPRODUCT(($AM$11:$AM2869&lt;&gt;"")*($AS$11:$AS2869="✓")),"")</f>
        <v/>
      </c>
      <c r="BA2869" s="21" t="str">
        <f>IF($AL2869="","",$AL2869&amp;"|"&amp;COUNTIF($AL$11:$AL2869,$AL2869))</f>
        <v/>
      </c>
    </row>
    <row r="2870" spans="38:53" ht="15" customHeight="1" x14ac:dyDescent="0.25">
      <c r="AL2870" s="31"/>
      <c r="AM2870" s="26"/>
      <c r="AN2870" s="32"/>
      <c r="AO2870" s="32"/>
      <c r="AP2870" s="24"/>
      <c r="AQ2870" s="24"/>
      <c r="AR2870" s="33"/>
      <c r="AS2870" s="34"/>
      <c r="AT2870" s="33"/>
      <c r="AV2870" s="21">
        <f>IF(AND($AL2870&lt;&gt;"",COUNTIF($AL$11:$AL2870,$AL2870)=1),1,0)</f>
        <v>0</v>
      </c>
      <c r="AW2870" s="21">
        <f t="shared" si="175"/>
        <v>2</v>
      </c>
      <c r="AX2870" s="21" t="str">
        <f t="shared" si="174"/>
        <v/>
      </c>
      <c r="AY2870" s="21" t="str">
        <f>IF(AND($AM2870&lt;&gt;"",$AS2870&lt;&gt;"✓"),SUMPRODUCT(($AM$11:$AM2870&lt;&gt;"")*($AS$11:$AS2870&lt;&gt;"✓")),"")</f>
        <v/>
      </c>
      <c r="AZ2870" s="21" t="str">
        <f>IF(AND($AM2870&lt;&gt;"",$AS2870="✓"),SUMPRODUCT(($AM$11:$AM2870&lt;&gt;"")*($AS$11:$AS2870="✓")),"")</f>
        <v/>
      </c>
      <c r="BA2870" s="21" t="str">
        <f>IF($AL2870="","",$AL2870&amp;"|"&amp;COUNTIF($AL$11:$AL2870,$AL2870))</f>
        <v/>
      </c>
    </row>
    <row r="2871" spans="38:53" ht="15" customHeight="1" x14ac:dyDescent="0.25">
      <c r="AL2871" s="17"/>
      <c r="AM2871" s="12"/>
      <c r="AN2871" s="18"/>
      <c r="AO2871" s="18"/>
      <c r="AP2871" s="10"/>
      <c r="AQ2871" s="10"/>
      <c r="AR2871" s="19"/>
      <c r="AS2871" s="20"/>
      <c r="AT2871" s="19"/>
      <c r="AV2871" s="21">
        <f>IF(AND($AL2871&lt;&gt;"",COUNTIF($AL$11:$AL2871,$AL2871)=1),1,0)</f>
        <v>0</v>
      </c>
      <c r="AW2871" s="21">
        <f t="shared" si="175"/>
        <v>2</v>
      </c>
      <c r="AX2871" s="21" t="str">
        <f t="shared" si="174"/>
        <v/>
      </c>
      <c r="AY2871" s="21" t="str">
        <f>IF(AND($AM2871&lt;&gt;"",$AS2871&lt;&gt;"✓"),SUMPRODUCT(($AM$11:$AM2871&lt;&gt;"")*($AS$11:$AS2871&lt;&gt;"✓")),"")</f>
        <v/>
      </c>
      <c r="AZ2871" s="21" t="str">
        <f>IF(AND($AM2871&lt;&gt;"",$AS2871="✓"),SUMPRODUCT(($AM$11:$AM2871&lt;&gt;"")*($AS$11:$AS2871="✓")),"")</f>
        <v/>
      </c>
      <c r="BA2871" s="21" t="str">
        <f>IF($AL2871="","",$AL2871&amp;"|"&amp;COUNTIF($AL$11:$AL2871,$AL2871))</f>
        <v/>
      </c>
    </row>
    <row r="2872" spans="38:53" ht="15" customHeight="1" x14ac:dyDescent="0.25">
      <c r="AL2872" s="31"/>
      <c r="AM2872" s="26"/>
      <c r="AN2872" s="32"/>
      <c r="AO2872" s="32"/>
      <c r="AP2872" s="24"/>
      <c r="AQ2872" s="24"/>
      <c r="AR2872" s="33"/>
      <c r="AS2872" s="34"/>
      <c r="AT2872" s="33"/>
      <c r="AV2872" s="21">
        <f>IF(AND($AL2872&lt;&gt;"",COUNTIF($AL$11:$AL2872,$AL2872)=1),1,0)</f>
        <v>0</v>
      </c>
      <c r="AW2872" s="21">
        <f t="shared" si="175"/>
        <v>2</v>
      </c>
      <c r="AX2872" s="21" t="str">
        <f t="shared" si="174"/>
        <v/>
      </c>
      <c r="AY2872" s="21" t="str">
        <f>IF(AND($AM2872&lt;&gt;"",$AS2872&lt;&gt;"✓"),SUMPRODUCT(($AM$11:$AM2872&lt;&gt;"")*($AS$11:$AS2872&lt;&gt;"✓")),"")</f>
        <v/>
      </c>
      <c r="AZ2872" s="21" t="str">
        <f>IF(AND($AM2872&lt;&gt;"",$AS2872="✓"),SUMPRODUCT(($AM$11:$AM2872&lt;&gt;"")*($AS$11:$AS2872="✓")),"")</f>
        <v/>
      </c>
      <c r="BA2872" s="21" t="str">
        <f>IF($AL2872="","",$AL2872&amp;"|"&amp;COUNTIF($AL$11:$AL2872,$AL2872))</f>
        <v/>
      </c>
    </row>
    <row r="2873" spans="38:53" ht="15" customHeight="1" x14ac:dyDescent="0.25">
      <c r="AL2873" s="17"/>
      <c r="AM2873" s="12"/>
      <c r="AN2873" s="18"/>
      <c r="AO2873" s="18"/>
      <c r="AP2873" s="10"/>
      <c r="AQ2873" s="10"/>
      <c r="AR2873" s="19"/>
      <c r="AS2873" s="20"/>
      <c r="AT2873" s="19"/>
      <c r="AV2873" s="21">
        <f>IF(AND($AL2873&lt;&gt;"",COUNTIF($AL$11:$AL2873,$AL2873)=1),1,0)</f>
        <v>0</v>
      </c>
      <c r="AW2873" s="21">
        <f t="shared" si="175"/>
        <v>2</v>
      </c>
      <c r="AX2873" s="21" t="str">
        <f t="shared" si="174"/>
        <v/>
      </c>
      <c r="AY2873" s="21" t="str">
        <f>IF(AND($AM2873&lt;&gt;"",$AS2873&lt;&gt;"✓"),SUMPRODUCT(($AM$11:$AM2873&lt;&gt;"")*($AS$11:$AS2873&lt;&gt;"✓")),"")</f>
        <v/>
      </c>
      <c r="AZ2873" s="21" t="str">
        <f>IF(AND($AM2873&lt;&gt;"",$AS2873="✓"),SUMPRODUCT(($AM$11:$AM2873&lt;&gt;"")*($AS$11:$AS2873="✓")),"")</f>
        <v/>
      </c>
      <c r="BA2873" s="21" t="str">
        <f>IF($AL2873="","",$AL2873&amp;"|"&amp;COUNTIF($AL$11:$AL2873,$AL2873))</f>
        <v/>
      </c>
    </row>
    <row r="2874" spans="38:53" ht="15" customHeight="1" x14ac:dyDescent="0.25">
      <c r="AL2874" s="31"/>
      <c r="AM2874" s="26"/>
      <c r="AN2874" s="32"/>
      <c r="AO2874" s="32"/>
      <c r="AP2874" s="24"/>
      <c r="AQ2874" s="24"/>
      <c r="AR2874" s="33"/>
      <c r="AS2874" s="34"/>
      <c r="AT2874" s="33"/>
      <c r="AV2874" s="21">
        <f>IF(AND($AL2874&lt;&gt;"",COUNTIF($AL$11:$AL2874,$AL2874)=1),1,0)</f>
        <v>0</v>
      </c>
      <c r="AW2874" s="21">
        <f t="shared" si="175"/>
        <v>2</v>
      </c>
      <c r="AX2874" s="21" t="str">
        <f t="shared" si="174"/>
        <v/>
      </c>
      <c r="AY2874" s="21" t="str">
        <f>IF(AND($AM2874&lt;&gt;"",$AS2874&lt;&gt;"✓"),SUMPRODUCT(($AM$11:$AM2874&lt;&gt;"")*($AS$11:$AS2874&lt;&gt;"✓")),"")</f>
        <v/>
      </c>
      <c r="AZ2874" s="21" t="str">
        <f>IF(AND($AM2874&lt;&gt;"",$AS2874="✓"),SUMPRODUCT(($AM$11:$AM2874&lt;&gt;"")*($AS$11:$AS2874="✓")),"")</f>
        <v/>
      </c>
      <c r="BA2874" s="21" t="str">
        <f>IF($AL2874="","",$AL2874&amp;"|"&amp;COUNTIF($AL$11:$AL2874,$AL2874))</f>
        <v/>
      </c>
    </row>
    <row r="2875" spans="38:53" ht="15" customHeight="1" x14ac:dyDescent="0.25">
      <c r="AL2875" s="17"/>
      <c r="AM2875" s="12"/>
      <c r="AN2875" s="18"/>
      <c r="AO2875" s="18"/>
      <c r="AP2875" s="10"/>
      <c r="AQ2875" s="10"/>
      <c r="AR2875" s="19"/>
      <c r="AS2875" s="20"/>
      <c r="AT2875" s="19"/>
      <c r="AV2875" s="21">
        <f>IF(AND($AL2875&lt;&gt;"",COUNTIF($AL$11:$AL2875,$AL2875)=1),1,0)</f>
        <v>0</v>
      </c>
      <c r="AW2875" s="21">
        <f t="shared" si="175"/>
        <v>2</v>
      </c>
      <c r="AX2875" s="21" t="str">
        <f t="shared" si="174"/>
        <v/>
      </c>
      <c r="AY2875" s="21" t="str">
        <f>IF(AND($AM2875&lt;&gt;"",$AS2875&lt;&gt;"✓"),SUMPRODUCT(($AM$11:$AM2875&lt;&gt;"")*($AS$11:$AS2875&lt;&gt;"✓")),"")</f>
        <v/>
      </c>
      <c r="AZ2875" s="21" t="str">
        <f>IF(AND($AM2875&lt;&gt;"",$AS2875="✓"),SUMPRODUCT(($AM$11:$AM2875&lt;&gt;"")*($AS$11:$AS2875="✓")),"")</f>
        <v/>
      </c>
      <c r="BA2875" s="21" t="str">
        <f>IF($AL2875="","",$AL2875&amp;"|"&amp;COUNTIF($AL$11:$AL2875,$AL2875))</f>
        <v/>
      </c>
    </row>
    <row r="2876" spans="38:53" ht="15" customHeight="1" x14ac:dyDescent="0.25">
      <c r="AL2876" s="31"/>
      <c r="AM2876" s="26"/>
      <c r="AN2876" s="32"/>
      <c r="AO2876" s="32"/>
      <c r="AP2876" s="24"/>
      <c r="AQ2876" s="24"/>
      <c r="AR2876" s="33"/>
      <c r="AS2876" s="34"/>
      <c r="AT2876" s="33"/>
      <c r="AV2876" s="21">
        <f>IF(AND($AL2876&lt;&gt;"",COUNTIF($AL$11:$AL2876,$AL2876)=1),1,0)</f>
        <v>0</v>
      </c>
      <c r="AW2876" s="21">
        <f t="shared" si="175"/>
        <v>2</v>
      </c>
      <c r="AX2876" s="21" t="str">
        <f t="shared" si="174"/>
        <v/>
      </c>
      <c r="AY2876" s="21" t="str">
        <f>IF(AND($AM2876&lt;&gt;"",$AS2876&lt;&gt;"✓"),SUMPRODUCT(($AM$11:$AM2876&lt;&gt;"")*($AS$11:$AS2876&lt;&gt;"✓")),"")</f>
        <v/>
      </c>
      <c r="AZ2876" s="21" t="str">
        <f>IF(AND($AM2876&lt;&gt;"",$AS2876="✓"),SUMPRODUCT(($AM$11:$AM2876&lt;&gt;"")*($AS$11:$AS2876="✓")),"")</f>
        <v/>
      </c>
      <c r="BA2876" s="21" t="str">
        <f>IF($AL2876="","",$AL2876&amp;"|"&amp;COUNTIF($AL$11:$AL2876,$AL2876))</f>
        <v/>
      </c>
    </row>
    <row r="2877" spans="38:53" ht="15" customHeight="1" x14ac:dyDescent="0.25">
      <c r="AL2877" s="17"/>
      <c r="AM2877" s="12"/>
      <c r="AN2877" s="18"/>
      <c r="AO2877" s="18"/>
      <c r="AP2877" s="10"/>
      <c r="AQ2877" s="10"/>
      <c r="AR2877" s="19"/>
      <c r="AS2877" s="20"/>
      <c r="AT2877" s="19"/>
      <c r="AV2877" s="21">
        <f>IF(AND($AL2877&lt;&gt;"",COUNTIF($AL$11:$AL2877,$AL2877)=1),1,0)</f>
        <v>0</v>
      </c>
      <c r="AW2877" s="21">
        <f t="shared" si="175"/>
        <v>2</v>
      </c>
      <c r="AX2877" s="21" t="str">
        <f t="shared" si="174"/>
        <v/>
      </c>
      <c r="AY2877" s="21" t="str">
        <f>IF(AND($AM2877&lt;&gt;"",$AS2877&lt;&gt;"✓"),SUMPRODUCT(($AM$11:$AM2877&lt;&gt;"")*($AS$11:$AS2877&lt;&gt;"✓")),"")</f>
        <v/>
      </c>
      <c r="AZ2877" s="21" t="str">
        <f>IF(AND($AM2877&lt;&gt;"",$AS2877="✓"),SUMPRODUCT(($AM$11:$AM2877&lt;&gt;"")*($AS$11:$AS2877="✓")),"")</f>
        <v/>
      </c>
      <c r="BA2877" s="21" t="str">
        <f>IF($AL2877="","",$AL2877&amp;"|"&amp;COUNTIF($AL$11:$AL2877,$AL2877))</f>
        <v/>
      </c>
    </row>
    <row r="2878" spans="38:53" ht="15" customHeight="1" x14ac:dyDescent="0.25">
      <c r="AL2878" s="31"/>
      <c r="AM2878" s="26"/>
      <c r="AN2878" s="32"/>
      <c r="AO2878" s="32"/>
      <c r="AP2878" s="24"/>
      <c r="AQ2878" s="24"/>
      <c r="AR2878" s="33"/>
      <c r="AS2878" s="34"/>
      <c r="AT2878" s="33"/>
      <c r="AV2878" s="21">
        <f>IF(AND($AL2878&lt;&gt;"",COUNTIF($AL$11:$AL2878,$AL2878)=1),1,0)</f>
        <v>0</v>
      </c>
      <c r="AW2878" s="21">
        <f t="shared" si="175"/>
        <v>2</v>
      </c>
      <c r="AX2878" s="21" t="str">
        <f t="shared" si="174"/>
        <v/>
      </c>
      <c r="AY2878" s="21" t="str">
        <f>IF(AND($AM2878&lt;&gt;"",$AS2878&lt;&gt;"✓"),SUMPRODUCT(($AM$11:$AM2878&lt;&gt;"")*($AS$11:$AS2878&lt;&gt;"✓")),"")</f>
        <v/>
      </c>
      <c r="AZ2878" s="21" t="str">
        <f>IF(AND($AM2878&lt;&gt;"",$AS2878="✓"),SUMPRODUCT(($AM$11:$AM2878&lt;&gt;"")*($AS$11:$AS2878="✓")),"")</f>
        <v/>
      </c>
      <c r="BA2878" s="21" t="str">
        <f>IF($AL2878="","",$AL2878&amp;"|"&amp;COUNTIF($AL$11:$AL2878,$AL2878))</f>
        <v/>
      </c>
    </row>
    <row r="2879" spans="38:53" ht="15" customHeight="1" x14ac:dyDescent="0.25">
      <c r="AL2879" s="17"/>
      <c r="AM2879" s="12"/>
      <c r="AN2879" s="18"/>
      <c r="AO2879" s="18"/>
      <c r="AP2879" s="10"/>
      <c r="AQ2879" s="10"/>
      <c r="AR2879" s="19"/>
      <c r="AS2879" s="20"/>
      <c r="AT2879" s="19"/>
      <c r="AV2879" s="21">
        <f>IF(AND($AL2879&lt;&gt;"",COUNTIF($AL$11:$AL2879,$AL2879)=1),1,0)</f>
        <v>0</v>
      </c>
      <c r="AW2879" s="21">
        <f t="shared" si="175"/>
        <v>2</v>
      </c>
      <c r="AX2879" s="21" t="str">
        <f t="shared" si="174"/>
        <v/>
      </c>
      <c r="AY2879" s="21" t="str">
        <f>IF(AND($AM2879&lt;&gt;"",$AS2879&lt;&gt;"✓"),SUMPRODUCT(($AM$11:$AM2879&lt;&gt;"")*($AS$11:$AS2879&lt;&gt;"✓")),"")</f>
        <v/>
      </c>
      <c r="AZ2879" s="21" t="str">
        <f>IF(AND($AM2879&lt;&gt;"",$AS2879="✓"),SUMPRODUCT(($AM$11:$AM2879&lt;&gt;"")*($AS$11:$AS2879="✓")),"")</f>
        <v/>
      </c>
      <c r="BA2879" s="21" t="str">
        <f>IF($AL2879="","",$AL2879&amp;"|"&amp;COUNTIF($AL$11:$AL2879,$AL2879))</f>
        <v/>
      </c>
    </row>
    <row r="2880" spans="38:53" ht="15" customHeight="1" x14ac:dyDescent="0.25">
      <c r="AL2880" s="31"/>
      <c r="AM2880" s="26"/>
      <c r="AN2880" s="32"/>
      <c r="AO2880" s="32"/>
      <c r="AP2880" s="24"/>
      <c r="AQ2880" s="24"/>
      <c r="AR2880" s="33"/>
      <c r="AS2880" s="34"/>
      <c r="AT2880" s="33"/>
      <c r="AV2880" s="21">
        <f>IF(AND($AL2880&lt;&gt;"",COUNTIF($AL$11:$AL2880,$AL2880)=1),1,0)</f>
        <v>0</v>
      </c>
      <c r="AW2880" s="21">
        <f t="shared" si="175"/>
        <v>2</v>
      </c>
      <c r="AX2880" s="21" t="str">
        <f t="shared" si="174"/>
        <v/>
      </c>
      <c r="AY2880" s="21" t="str">
        <f>IF(AND($AM2880&lt;&gt;"",$AS2880&lt;&gt;"✓"),SUMPRODUCT(($AM$11:$AM2880&lt;&gt;"")*($AS$11:$AS2880&lt;&gt;"✓")),"")</f>
        <v/>
      </c>
      <c r="AZ2880" s="21" t="str">
        <f>IF(AND($AM2880&lt;&gt;"",$AS2880="✓"),SUMPRODUCT(($AM$11:$AM2880&lt;&gt;"")*($AS$11:$AS2880="✓")),"")</f>
        <v/>
      </c>
      <c r="BA2880" s="21" t="str">
        <f>IF($AL2880="","",$AL2880&amp;"|"&amp;COUNTIF($AL$11:$AL2880,$AL2880))</f>
        <v/>
      </c>
    </row>
    <row r="2881" spans="38:53" ht="15" customHeight="1" x14ac:dyDescent="0.25">
      <c r="AL2881" s="17"/>
      <c r="AM2881" s="12"/>
      <c r="AN2881" s="18"/>
      <c r="AO2881" s="18"/>
      <c r="AP2881" s="10"/>
      <c r="AQ2881" s="10"/>
      <c r="AR2881" s="19"/>
      <c r="AS2881" s="20"/>
      <c r="AT2881" s="19"/>
      <c r="AV2881" s="21">
        <f>IF(AND($AL2881&lt;&gt;"",COUNTIF($AL$11:$AL2881,$AL2881)=1),1,0)</f>
        <v>0</v>
      </c>
      <c r="AW2881" s="21">
        <f t="shared" si="175"/>
        <v>2</v>
      </c>
      <c r="AX2881" s="21" t="str">
        <f t="shared" si="174"/>
        <v/>
      </c>
      <c r="AY2881" s="21" t="str">
        <f>IF(AND($AM2881&lt;&gt;"",$AS2881&lt;&gt;"✓"),SUMPRODUCT(($AM$11:$AM2881&lt;&gt;"")*($AS$11:$AS2881&lt;&gt;"✓")),"")</f>
        <v/>
      </c>
      <c r="AZ2881" s="21" t="str">
        <f>IF(AND($AM2881&lt;&gt;"",$AS2881="✓"),SUMPRODUCT(($AM$11:$AM2881&lt;&gt;"")*($AS$11:$AS2881="✓")),"")</f>
        <v/>
      </c>
      <c r="BA2881" s="21" t="str">
        <f>IF($AL2881="","",$AL2881&amp;"|"&amp;COUNTIF($AL$11:$AL2881,$AL2881))</f>
        <v/>
      </c>
    </row>
    <row r="2882" spans="38:53" ht="15" customHeight="1" x14ac:dyDescent="0.25">
      <c r="AL2882" s="31"/>
      <c r="AM2882" s="26"/>
      <c r="AN2882" s="32"/>
      <c r="AO2882" s="32"/>
      <c r="AP2882" s="24"/>
      <c r="AQ2882" s="24"/>
      <c r="AR2882" s="33"/>
      <c r="AS2882" s="34"/>
      <c r="AT2882" s="33"/>
      <c r="AV2882" s="21">
        <f>IF(AND($AL2882&lt;&gt;"",COUNTIF($AL$11:$AL2882,$AL2882)=1),1,0)</f>
        <v>0</v>
      </c>
      <c r="AW2882" s="21">
        <f t="shared" si="175"/>
        <v>2</v>
      </c>
      <c r="AX2882" s="21" t="str">
        <f t="shared" si="174"/>
        <v/>
      </c>
      <c r="AY2882" s="21" t="str">
        <f>IF(AND($AM2882&lt;&gt;"",$AS2882&lt;&gt;"✓"),SUMPRODUCT(($AM$11:$AM2882&lt;&gt;"")*($AS$11:$AS2882&lt;&gt;"✓")),"")</f>
        <v/>
      </c>
      <c r="AZ2882" s="21" t="str">
        <f>IF(AND($AM2882&lt;&gt;"",$AS2882="✓"),SUMPRODUCT(($AM$11:$AM2882&lt;&gt;"")*($AS$11:$AS2882="✓")),"")</f>
        <v/>
      </c>
      <c r="BA2882" s="21" t="str">
        <f>IF($AL2882="","",$AL2882&amp;"|"&amp;COUNTIF($AL$11:$AL2882,$AL2882))</f>
        <v/>
      </c>
    </row>
    <row r="2883" spans="38:53" ht="15" customHeight="1" x14ac:dyDescent="0.25">
      <c r="AL2883" s="17"/>
      <c r="AM2883" s="12"/>
      <c r="AN2883" s="18"/>
      <c r="AO2883" s="18"/>
      <c r="AP2883" s="10"/>
      <c r="AQ2883" s="10"/>
      <c r="AR2883" s="19"/>
      <c r="AS2883" s="20"/>
      <c r="AT2883" s="19"/>
      <c r="AV2883" s="21">
        <f>IF(AND($AL2883&lt;&gt;"",COUNTIF($AL$11:$AL2883,$AL2883)=1),1,0)</f>
        <v>0</v>
      </c>
      <c r="AW2883" s="21">
        <f t="shared" si="175"/>
        <v>2</v>
      </c>
      <c r="AX2883" s="21" t="str">
        <f t="shared" si="174"/>
        <v/>
      </c>
      <c r="AY2883" s="21" t="str">
        <f>IF(AND($AM2883&lt;&gt;"",$AS2883&lt;&gt;"✓"),SUMPRODUCT(($AM$11:$AM2883&lt;&gt;"")*($AS$11:$AS2883&lt;&gt;"✓")),"")</f>
        <v/>
      </c>
      <c r="AZ2883" s="21" t="str">
        <f>IF(AND($AM2883&lt;&gt;"",$AS2883="✓"),SUMPRODUCT(($AM$11:$AM2883&lt;&gt;"")*($AS$11:$AS2883="✓")),"")</f>
        <v/>
      </c>
      <c r="BA2883" s="21" t="str">
        <f>IF($AL2883="","",$AL2883&amp;"|"&amp;COUNTIF($AL$11:$AL2883,$AL2883))</f>
        <v/>
      </c>
    </row>
    <row r="2884" spans="38:53" ht="15" customHeight="1" x14ac:dyDescent="0.25">
      <c r="AL2884" s="31"/>
      <c r="AM2884" s="26"/>
      <c r="AN2884" s="32"/>
      <c r="AO2884" s="32"/>
      <c r="AP2884" s="24"/>
      <c r="AQ2884" s="24"/>
      <c r="AR2884" s="33"/>
      <c r="AS2884" s="34"/>
      <c r="AT2884" s="33"/>
      <c r="AV2884" s="21">
        <f>IF(AND($AL2884&lt;&gt;"",COUNTIF($AL$11:$AL2884,$AL2884)=1),1,0)</f>
        <v>0</v>
      </c>
      <c r="AW2884" s="21">
        <f t="shared" si="175"/>
        <v>2</v>
      </c>
      <c r="AX2884" s="21" t="str">
        <f t="shared" si="174"/>
        <v/>
      </c>
      <c r="AY2884" s="21" t="str">
        <f>IF(AND($AM2884&lt;&gt;"",$AS2884&lt;&gt;"✓"),SUMPRODUCT(($AM$11:$AM2884&lt;&gt;"")*($AS$11:$AS2884&lt;&gt;"✓")),"")</f>
        <v/>
      </c>
      <c r="AZ2884" s="21" t="str">
        <f>IF(AND($AM2884&lt;&gt;"",$AS2884="✓"),SUMPRODUCT(($AM$11:$AM2884&lt;&gt;"")*($AS$11:$AS2884="✓")),"")</f>
        <v/>
      </c>
      <c r="BA2884" s="21" t="str">
        <f>IF($AL2884="","",$AL2884&amp;"|"&amp;COUNTIF($AL$11:$AL2884,$AL2884))</f>
        <v/>
      </c>
    </row>
    <row r="2885" spans="38:53" ht="15" customHeight="1" x14ac:dyDescent="0.25">
      <c r="AL2885" s="17"/>
      <c r="AM2885" s="12"/>
      <c r="AN2885" s="18"/>
      <c r="AO2885" s="18"/>
      <c r="AP2885" s="10"/>
      <c r="AQ2885" s="10"/>
      <c r="AR2885" s="19"/>
      <c r="AS2885" s="20"/>
      <c r="AT2885" s="19"/>
      <c r="AV2885" s="21">
        <f>IF(AND($AL2885&lt;&gt;"",COUNTIF($AL$11:$AL2885,$AL2885)=1),1,0)</f>
        <v>0</v>
      </c>
      <c r="AW2885" s="21">
        <f t="shared" si="175"/>
        <v>2</v>
      </c>
      <c r="AX2885" s="21" t="str">
        <f t="shared" si="174"/>
        <v/>
      </c>
      <c r="AY2885" s="21" t="str">
        <f>IF(AND($AM2885&lt;&gt;"",$AS2885&lt;&gt;"✓"),SUMPRODUCT(($AM$11:$AM2885&lt;&gt;"")*($AS$11:$AS2885&lt;&gt;"✓")),"")</f>
        <v/>
      </c>
      <c r="AZ2885" s="21" t="str">
        <f>IF(AND($AM2885&lt;&gt;"",$AS2885="✓"),SUMPRODUCT(($AM$11:$AM2885&lt;&gt;"")*($AS$11:$AS2885="✓")),"")</f>
        <v/>
      </c>
      <c r="BA2885" s="21" t="str">
        <f>IF($AL2885="","",$AL2885&amp;"|"&amp;COUNTIF($AL$11:$AL2885,$AL2885))</f>
        <v/>
      </c>
    </row>
    <row r="2886" spans="38:53" ht="15" customHeight="1" x14ac:dyDescent="0.25">
      <c r="AL2886" s="31"/>
      <c r="AM2886" s="26"/>
      <c r="AN2886" s="32"/>
      <c r="AO2886" s="32"/>
      <c r="AP2886" s="24"/>
      <c r="AQ2886" s="24"/>
      <c r="AR2886" s="33"/>
      <c r="AS2886" s="34"/>
      <c r="AT2886" s="33"/>
      <c r="AV2886" s="21">
        <f>IF(AND($AL2886&lt;&gt;"",COUNTIF($AL$11:$AL2886,$AL2886)=1),1,0)</f>
        <v>0</v>
      </c>
      <c r="AW2886" s="21">
        <f t="shared" si="175"/>
        <v>2</v>
      </c>
      <c r="AX2886" s="21" t="str">
        <f t="shared" si="174"/>
        <v/>
      </c>
      <c r="AY2886" s="21" t="str">
        <f>IF(AND($AM2886&lt;&gt;"",$AS2886&lt;&gt;"✓"),SUMPRODUCT(($AM$11:$AM2886&lt;&gt;"")*($AS$11:$AS2886&lt;&gt;"✓")),"")</f>
        <v/>
      </c>
      <c r="AZ2886" s="21" t="str">
        <f>IF(AND($AM2886&lt;&gt;"",$AS2886="✓"),SUMPRODUCT(($AM$11:$AM2886&lt;&gt;"")*($AS$11:$AS2886="✓")),"")</f>
        <v/>
      </c>
      <c r="BA2886" s="21" t="str">
        <f>IF($AL2886="","",$AL2886&amp;"|"&amp;COUNTIF($AL$11:$AL2886,$AL2886))</f>
        <v/>
      </c>
    </row>
    <row r="2887" spans="38:53" ht="15" customHeight="1" x14ac:dyDescent="0.25">
      <c r="AL2887" s="17"/>
      <c r="AM2887" s="12"/>
      <c r="AN2887" s="18"/>
      <c r="AO2887" s="18"/>
      <c r="AP2887" s="10"/>
      <c r="AQ2887" s="10"/>
      <c r="AR2887" s="19"/>
      <c r="AS2887" s="20"/>
      <c r="AT2887" s="19"/>
      <c r="AV2887" s="21">
        <f>IF(AND($AL2887&lt;&gt;"",COUNTIF($AL$11:$AL2887,$AL2887)=1),1,0)</f>
        <v>0</v>
      </c>
      <c r="AW2887" s="21">
        <f t="shared" si="175"/>
        <v>2</v>
      </c>
      <c r="AX2887" s="21" t="str">
        <f t="shared" si="174"/>
        <v/>
      </c>
      <c r="AY2887" s="21" t="str">
        <f>IF(AND($AM2887&lt;&gt;"",$AS2887&lt;&gt;"✓"),SUMPRODUCT(($AM$11:$AM2887&lt;&gt;"")*($AS$11:$AS2887&lt;&gt;"✓")),"")</f>
        <v/>
      </c>
      <c r="AZ2887" s="21" t="str">
        <f>IF(AND($AM2887&lt;&gt;"",$AS2887="✓"),SUMPRODUCT(($AM$11:$AM2887&lt;&gt;"")*($AS$11:$AS2887="✓")),"")</f>
        <v/>
      </c>
      <c r="BA2887" s="21" t="str">
        <f>IF($AL2887="","",$AL2887&amp;"|"&amp;COUNTIF($AL$11:$AL2887,$AL2887))</f>
        <v/>
      </c>
    </row>
    <row r="2888" spans="38:53" ht="15" customHeight="1" x14ac:dyDescent="0.25">
      <c r="AL2888" s="31"/>
      <c r="AM2888" s="26"/>
      <c r="AN2888" s="32"/>
      <c r="AO2888" s="32"/>
      <c r="AP2888" s="24"/>
      <c r="AQ2888" s="24"/>
      <c r="AR2888" s="33"/>
      <c r="AS2888" s="34"/>
      <c r="AT2888" s="33"/>
      <c r="AV2888" s="21">
        <f>IF(AND($AL2888&lt;&gt;"",COUNTIF($AL$11:$AL2888,$AL2888)=1),1,0)</f>
        <v>0</v>
      </c>
      <c r="AW2888" s="21">
        <f t="shared" si="175"/>
        <v>2</v>
      </c>
      <c r="AX2888" s="21" t="str">
        <f t="shared" si="174"/>
        <v/>
      </c>
      <c r="AY2888" s="21" t="str">
        <f>IF(AND($AM2888&lt;&gt;"",$AS2888&lt;&gt;"✓"),SUMPRODUCT(($AM$11:$AM2888&lt;&gt;"")*($AS$11:$AS2888&lt;&gt;"✓")),"")</f>
        <v/>
      </c>
      <c r="AZ2888" s="21" t="str">
        <f>IF(AND($AM2888&lt;&gt;"",$AS2888="✓"),SUMPRODUCT(($AM$11:$AM2888&lt;&gt;"")*($AS$11:$AS2888="✓")),"")</f>
        <v/>
      </c>
      <c r="BA2888" s="21" t="str">
        <f>IF($AL2888="","",$AL2888&amp;"|"&amp;COUNTIF($AL$11:$AL2888,$AL2888))</f>
        <v/>
      </c>
    </row>
    <row r="2889" spans="38:53" ht="15" customHeight="1" x14ac:dyDescent="0.25">
      <c r="AL2889" s="17"/>
      <c r="AM2889" s="12"/>
      <c r="AN2889" s="18"/>
      <c r="AO2889" s="18"/>
      <c r="AP2889" s="10"/>
      <c r="AQ2889" s="10"/>
      <c r="AR2889" s="19"/>
      <c r="AS2889" s="20"/>
      <c r="AT2889" s="19"/>
      <c r="AV2889" s="21">
        <f>IF(AND($AL2889&lt;&gt;"",COUNTIF($AL$11:$AL2889,$AL2889)=1),1,0)</f>
        <v>0</v>
      </c>
      <c r="AW2889" s="21">
        <f t="shared" si="175"/>
        <v>2</v>
      </c>
      <c r="AX2889" s="21" t="str">
        <f t="shared" si="174"/>
        <v/>
      </c>
      <c r="AY2889" s="21" t="str">
        <f>IF(AND($AM2889&lt;&gt;"",$AS2889&lt;&gt;"✓"),SUMPRODUCT(($AM$11:$AM2889&lt;&gt;"")*($AS$11:$AS2889&lt;&gt;"✓")),"")</f>
        <v/>
      </c>
      <c r="AZ2889" s="21" t="str">
        <f>IF(AND($AM2889&lt;&gt;"",$AS2889="✓"),SUMPRODUCT(($AM$11:$AM2889&lt;&gt;"")*($AS$11:$AS2889="✓")),"")</f>
        <v/>
      </c>
      <c r="BA2889" s="21" t="str">
        <f>IF($AL2889="","",$AL2889&amp;"|"&amp;COUNTIF($AL$11:$AL2889,$AL2889))</f>
        <v/>
      </c>
    </row>
    <row r="2890" spans="38:53" ht="15" customHeight="1" x14ac:dyDescent="0.25">
      <c r="AL2890" s="31"/>
      <c r="AM2890" s="26"/>
      <c r="AN2890" s="32"/>
      <c r="AO2890" s="32"/>
      <c r="AP2890" s="24"/>
      <c r="AQ2890" s="24"/>
      <c r="AR2890" s="33"/>
      <c r="AS2890" s="34"/>
      <c r="AT2890" s="33"/>
      <c r="AV2890" s="21">
        <f>IF(AND($AL2890&lt;&gt;"",COUNTIF($AL$11:$AL2890,$AL2890)=1),1,0)</f>
        <v>0</v>
      </c>
      <c r="AW2890" s="21">
        <f t="shared" si="175"/>
        <v>2</v>
      </c>
      <c r="AX2890" s="21" t="str">
        <f t="shared" si="174"/>
        <v/>
      </c>
      <c r="AY2890" s="21" t="str">
        <f>IF(AND($AM2890&lt;&gt;"",$AS2890&lt;&gt;"✓"),SUMPRODUCT(($AM$11:$AM2890&lt;&gt;"")*($AS$11:$AS2890&lt;&gt;"✓")),"")</f>
        <v/>
      </c>
      <c r="AZ2890" s="21" t="str">
        <f>IF(AND($AM2890&lt;&gt;"",$AS2890="✓"),SUMPRODUCT(($AM$11:$AM2890&lt;&gt;"")*($AS$11:$AS2890="✓")),"")</f>
        <v/>
      </c>
      <c r="BA2890" s="21" t="str">
        <f>IF($AL2890="","",$AL2890&amp;"|"&amp;COUNTIF($AL$11:$AL2890,$AL2890))</f>
        <v/>
      </c>
    </row>
    <row r="2891" spans="38:53" ht="15" customHeight="1" x14ac:dyDescent="0.25">
      <c r="AL2891" s="17"/>
      <c r="AM2891" s="12"/>
      <c r="AN2891" s="18"/>
      <c r="AO2891" s="18"/>
      <c r="AP2891" s="10"/>
      <c r="AQ2891" s="10"/>
      <c r="AR2891" s="19"/>
      <c r="AS2891" s="20"/>
      <c r="AT2891" s="19"/>
      <c r="AV2891" s="21">
        <f>IF(AND($AL2891&lt;&gt;"",COUNTIF($AL$11:$AL2891,$AL2891)=1),1,0)</f>
        <v>0</v>
      </c>
      <c r="AW2891" s="21">
        <f t="shared" si="175"/>
        <v>2</v>
      </c>
      <c r="AX2891" s="21" t="str">
        <f t="shared" ref="AX2891:AX2954" si="176">IF(AV2891=1,AW2891,"")</f>
        <v/>
      </c>
      <c r="AY2891" s="21" t="str">
        <f>IF(AND($AM2891&lt;&gt;"",$AS2891&lt;&gt;"✓"),SUMPRODUCT(($AM$11:$AM2891&lt;&gt;"")*($AS$11:$AS2891&lt;&gt;"✓")),"")</f>
        <v/>
      </c>
      <c r="AZ2891" s="21" t="str">
        <f>IF(AND($AM2891&lt;&gt;"",$AS2891="✓"),SUMPRODUCT(($AM$11:$AM2891&lt;&gt;"")*($AS$11:$AS2891="✓")),"")</f>
        <v/>
      </c>
      <c r="BA2891" s="21" t="str">
        <f>IF($AL2891="","",$AL2891&amp;"|"&amp;COUNTIF($AL$11:$AL2891,$AL2891))</f>
        <v/>
      </c>
    </row>
    <row r="2892" spans="38:53" ht="15" customHeight="1" x14ac:dyDescent="0.25">
      <c r="AL2892" s="31"/>
      <c r="AM2892" s="26"/>
      <c r="AN2892" s="32"/>
      <c r="AO2892" s="32"/>
      <c r="AP2892" s="24"/>
      <c r="AQ2892" s="24"/>
      <c r="AR2892" s="33"/>
      <c r="AS2892" s="34"/>
      <c r="AT2892" s="33"/>
      <c r="AV2892" s="21">
        <f>IF(AND($AL2892&lt;&gt;"",COUNTIF($AL$11:$AL2892,$AL2892)=1),1,0)</f>
        <v>0</v>
      </c>
      <c r="AW2892" s="21">
        <f t="shared" ref="AW2892:AW2955" si="177">AW2891+AV2892</f>
        <v>2</v>
      </c>
      <c r="AX2892" s="21" t="str">
        <f t="shared" si="176"/>
        <v/>
      </c>
      <c r="AY2892" s="21" t="str">
        <f>IF(AND($AM2892&lt;&gt;"",$AS2892&lt;&gt;"✓"),SUMPRODUCT(($AM$11:$AM2892&lt;&gt;"")*($AS$11:$AS2892&lt;&gt;"✓")),"")</f>
        <v/>
      </c>
      <c r="AZ2892" s="21" t="str">
        <f>IF(AND($AM2892&lt;&gt;"",$AS2892="✓"),SUMPRODUCT(($AM$11:$AM2892&lt;&gt;"")*($AS$11:$AS2892="✓")),"")</f>
        <v/>
      </c>
      <c r="BA2892" s="21" t="str">
        <f>IF($AL2892="","",$AL2892&amp;"|"&amp;COUNTIF($AL$11:$AL2892,$AL2892))</f>
        <v/>
      </c>
    </row>
    <row r="2893" spans="38:53" ht="15" customHeight="1" x14ac:dyDescent="0.25">
      <c r="AL2893" s="17"/>
      <c r="AM2893" s="12"/>
      <c r="AN2893" s="18"/>
      <c r="AO2893" s="18"/>
      <c r="AP2893" s="10"/>
      <c r="AQ2893" s="10"/>
      <c r="AR2893" s="19"/>
      <c r="AS2893" s="20"/>
      <c r="AT2893" s="19"/>
      <c r="AV2893" s="21">
        <f>IF(AND($AL2893&lt;&gt;"",COUNTIF($AL$11:$AL2893,$AL2893)=1),1,0)</f>
        <v>0</v>
      </c>
      <c r="AW2893" s="21">
        <f t="shared" si="177"/>
        <v>2</v>
      </c>
      <c r="AX2893" s="21" t="str">
        <f t="shared" si="176"/>
        <v/>
      </c>
      <c r="AY2893" s="21" t="str">
        <f>IF(AND($AM2893&lt;&gt;"",$AS2893&lt;&gt;"✓"),SUMPRODUCT(($AM$11:$AM2893&lt;&gt;"")*($AS$11:$AS2893&lt;&gt;"✓")),"")</f>
        <v/>
      </c>
      <c r="AZ2893" s="21" t="str">
        <f>IF(AND($AM2893&lt;&gt;"",$AS2893="✓"),SUMPRODUCT(($AM$11:$AM2893&lt;&gt;"")*($AS$11:$AS2893="✓")),"")</f>
        <v/>
      </c>
      <c r="BA2893" s="21" t="str">
        <f>IF($AL2893="","",$AL2893&amp;"|"&amp;COUNTIF($AL$11:$AL2893,$AL2893))</f>
        <v/>
      </c>
    </row>
    <row r="2894" spans="38:53" ht="15" customHeight="1" x14ac:dyDescent="0.25">
      <c r="AL2894" s="31"/>
      <c r="AM2894" s="26"/>
      <c r="AN2894" s="32"/>
      <c r="AO2894" s="32"/>
      <c r="AP2894" s="24"/>
      <c r="AQ2894" s="24"/>
      <c r="AR2894" s="33"/>
      <c r="AS2894" s="34"/>
      <c r="AT2894" s="33"/>
      <c r="AV2894" s="21">
        <f>IF(AND($AL2894&lt;&gt;"",COUNTIF($AL$11:$AL2894,$AL2894)=1),1,0)</f>
        <v>0</v>
      </c>
      <c r="AW2894" s="21">
        <f t="shared" si="177"/>
        <v>2</v>
      </c>
      <c r="AX2894" s="21" t="str">
        <f t="shared" si="176"/>
        <v/>
      </c>
      <c r="AY2894" s="21" t="str">
        <f>IF(AND($AM2894&lt;&gt;"",$AS2894&lt;&gt;"✓"),SUMPRODUCT(($AM$11:$AM2894&lt;&gt;"")*($AS$11:$AS2894&lt;&gt;"✓")),"")</f>
        <v/>
      </c>
      <c r="AZ2894" s="21" t="str">
        <f>IF(AND($AM2894&lt;&gt;"",$AS2894="✓"),SUMPRODUCT(($AM$11:$AM2894&lt;&gt;"")*($AS$11:$AS2894="✓")),"")</f>
        <v/>
      </c>
      <c r="BA2894" s="21" t="str">
        <f>IF($AL2894="","",$AL2894&amp;"|"&amp;COUNTIF($AL$11:$AL2894,$AL2894))</f>
        <v/>
      </c>
    </row>
    <row r="2895" spans="38:53" ht="15" customHeight="1" x14ac:dyDescent="0.25">
      <c r="AL2895" s="17"/>
      <c r="AM2895" s="12"/>
      <c r="AN2895" s="18"/>
      <c r="AO2895" s="18"/>
      <c r="AP2895" s="10"/>
      <c r="AQ2895" s="10"/>
      <c r="AR2895" s="19"/>
      <c r="AS2895" s="20"/>
      <c r="AT2895" s="19"/>
      <c r="AV2895" s="21">
        <f>IF(AND($AL2895&lt;&gt;"",COUNTIF($AL$11:$AL2895,$AL2895)=1),1,0)</f>
        <v>0</v>
      </c>
      <c r="AW2895" s="21">
        <f t="shared" si="177"/>
        <v>2</v>
      </c>
      <c r="AX2895" s="21" t="str">
        <f t="shared" si="176"/>
        <v/>
      </c>
      <c r="AY2895" s="21" t="str">
        <f>IF(AND($AM2895&lt;&gt;"",$AS2895&lt;&gt;"✓"),SUMPRODUCT(($AM$11:$AM2895&lt;&gt;"")*($AS$11:$AS2895&lt;&gt;"✓")),"")</f>
        <v/>
      </c>
      <c r="AZ2895" s="21" t="str">
        <f>IF(AND($AM2895&lt;&gt;"",$AS2895="✓"),SUMPRODUCT(($AM$11:$AM2895&lt;&gt;"")*($AS$11:$AS2895="✓")),"")</f>
        <v/>
      </c>
      <c r="BA2895" s="21" t="str">
        <f>IF($AL2895="","",$AL2895&amp;"|"&amp;COUNTIF($AL$11:$AL2895,$AL2895))</f>
        <v/>
      </c>
    </row>
    <row r="2896" spans="38:53" ht="15" customHeight="1" x14ac:dyDescent="0.25">
      <c r="AL2896" s="31"/>
      <c r="AM2896" s="26"/>
      <c r="AN2896" s="32"/>
      <c r="AO2896" s="32"/>
      <c r="AP2896" s="24"/>
      <c r="AQ2896" s="24"/>
      <c r="AR2896" s="33"/>
      <c r="AS2896" s="34"/>
      <c r="AT2896" s="33"/>
      <c r="AV2896" s="21">
        <f>IF(AND($AL2896&lt;&gt;"",COUNTIF($AL$11:$AL2896,$AL2896)=1),1,0)</f>
        <v>0</v>
      </c>
      <c r="AW2896" s="21">
        <f t="shared" si="177"/>
        <v>2</v>
      </c>
      <c r="AX2896" s="21" t="str">
        <f t="shared" si="176"/>
        <v/>
      </c>
      <c r="AY2896" s="21" t="str">
        <f>IF(AND($AM2896&lt;&gt;"",$AS2896&lt;&gt;"✓"),SUMPRODUCT(($AM$11:$AM2896&lt;&gt;"")*($AS$11:$AS2896&lt;&gt;"✓")),"")</f>
        <v/>
      </c>
      <c r="AZ2896" s="21" t="str">
        <f>IF(AND($AM2896&lt;&gt;"",$AS2896="✓"),SUMPRODUCT(($AM$11:$AM2896&lt;&gt;"")*($AS$11:$AS2896="✓")),"")</f>
        <v/>
      </c>
      <c r="BA2896" s="21" t="str">
        <f>IF($AL2896="","",$AL2896&amp;"|"&amp;COUNTIF($AL$11:$AL2896,$AL2896))</f>
        <v/>
      </c>
    </row>
    <row r="2897" spans="38:53" ht="15" customHeight="1" x14ac:dyDescent="0.25">
      <c r="AL2897" s="17"/>
      <c r="AM2897" s="12"/>
      <c r="AN2897" s="18"/>
      <c r="AO2897" s="18"/>
      <c r="AP2897" s="10"/>
      <c r="AQ2897" s="10"/>
      <c r="AR2897" s="19"/>
      <c r="AS2897" s="20"/>
      <c r="AT2897" s="19"/>
      <c r="AV2897" s="21">
        <f>IF(AND($AL2897&lt;&gt;"",COUNTIF($AL$11:$AL2897,$AL2897)=1),1,0)</f>
        <v>0</v>
      </c>
      <c r="AW2897" s="21">
        <f t="shared" si="177"/>
        <v>2</v>
      </c>
      <c r="AX2897" s="21" t="str">
        <f t="shared" si="176"/>
        <v/>
      </c>
      <c r="AY2897" s="21" t="str">
        <f>IF(AND($AM2897&lt;&gt;"",$AS2897&lt;&gt;"✓"),SUMPRODUCT(($AM$11:$AM2897&lt;&gt;"")*($AS$11:$AS2897&lt;&gt;"✓")),"")</f>
        <v/>
      </c>
      <c r="AZ2897" s="21" t="str">
        <f>IF(AND($AM2897&lt;&gt;"",$AS2897="✓"),SUMPRODUCT(($AM$11:$AM2897&lt;&gt;"")*($AS$11:$AS2897="✓")),"")</f>
        <v/>
      </c>
      <c r="BA2897" s="21" t="str">
        <f>IF($AL2897="","",$AL2897&amp;"|"&amp;COUNTIF($AL$11:$AL2897,$AL2897))</f>
        <v/>
      </c>
    </row>
    <row r="2898" spans="38:53" ht="15" customHeight="1" x14ac:dyDescent="0.25">
      <c r="AL2898" s="31"/>
      <c r="AM2898" s="26"/>
      <c r="AN2898" s="32"/>
      <c r="AO2898" s="32"/>
      <c r="AP2898" s="24"/>
      <c r="AQ2898" s="24"/>
      <c r="AR2898" s="33"/>
      <c r="AS2898" s="34"/>
      <c r="AT2898" s="33"/>
      <c r="AV2898" s="21">
        <f>IF(AND($AL2898&lt;&gt;"",COUNTIF($AL$11:$AL2898,$AL2898)=1),1,0)</f>
        <v>0</v>
      </c>
      <c r="AW2898" s="21">
        <f t="shared" si="177"/>
        <v>2</v>
      </c>
      <c r="AX2898" s="21" t="str">
        <f t="shared" si="176"/>
        <v/>
      </c>
      <c r="AY2898" s="21" t="str">
        <f>IF(AND($AM2898&lt;&gt;"",$AS2898&lt;&gt;"✓"),SUMPRODUCT(($AM$11:$AM2898&lt;&gt;"")*($AS$11:$AS2898&lt;&gt;"✓")),"")</f>
        <v/>
      </c>
      <c r="AZ2898" s="21" t="str">
        <f>IF(AND($AM2898&lt;&gt;"",$AS2898="✓"),SUMPRODUCT(($AM$11:$AM2898&lt;&gt;"")*($AS$11:$AS2898="✓")),"")</f>
        <v/>
      </c>
      <c r="BA2898" s="21" t="str">
        <f>IF($AL2898="","",$AL2898&amp;"|"&amp;COUNTIF($AL$11:$AL2898,$AL2898))</f>
        <v/>
      </c>
    </row>
    <row r="2899" spans="38:53" ht="15" customHeight="1" x14ac:dyDescent="0.25">
      <c r="AL2899" s="17"/>
      <c r="AM2899" s="12"/>
      <c r="AN2899" s="18"/>
      <c r="AO2899" s="18"/>
      <c r="AP2899" s="10"/>
      <c r="AQ2899" s="10"/>
      <c r="AR2899" s="19"/>
      <c r="AS2899" s="20"/>
      <c r="AT2899" s="19"/>
      <c r="AV2899" s="21">
        <f>IF(AND($AL2899&lt;&gt;"",COUNTIF($AL$11:$AL2899,$AL2899)=1),1,0)</f>
        <v>0</v>
      </c>
      <c r="AW2899" s="21">
        <f t="shared" si="177"/>
        <v>2</v>
      </c>
      <c r="AX2899" s="21" t="str">
        <f t="shared" si="176"/>
        <v/>
      </c>
      <c r="AY2899" s="21" t="str">
        <f>IF(AND($AM2899&lt;&gt;"",$AS2899&lt;&gt;"✓"),SUMPRODUCT(($AM$11:$AM2899&lt;&gt;"")*($AS$11:$AS2899&lt;&gt;"✓")),"")</f>
        <v/>
      </c>
      <c r="AZ2899" s="21" t="str">
        <f>IF(AND($AM2899&lt;&gt;"",$AS2899="✓"),SUMPRODUCT(($AM$11:$AM2899&lt;&gt;"")*($AS$11:$AS2899="✓")),"")</f>
        <v/>
      </c>
      <c r="BA2899" s="21" t="str">
        <f>IF($AL2899="","",$AL2899&amp;"|"&amp;COUNTIF($AL$11:$AL2899,$AL2899))</f>
        <v/>
      </c>
    </row>
    <row r="2900" spans="38:53" ht="15" customHeight="1" x14ac:dyDescent="0.25">
      <c r="AL2900" s="31"/>
      <c r="AM2900" s="26"/>
      <c r="AN2900" s="32"/>
      <c r="AO2900" s="32"/>
      <c r="AP2900" s="24"/>
      <c r="AQ2900" s="24"/>
      <c r="AR2900" s="33"/>
      <c r="AS2900" s="34"/>
      <c r="AT2900" s="33"/>
      <c r="AV2900" s="21">
        <f>IF(AND($AL2900&lt;&gt;"",COUNTIF($AL$11:$AL2900,$AL2900)=1),1,0)</f>
        <v>0</v>
      </c>
      <c r="AW2900" s="21">
        <f t="shared" si="177"/>
        <v>2</v>
      </c>
      <c r="AX2900" s="21" t="str">
        <f t="shared" si="176"/>
        <v/>
      </c>
      <c r="AY2900" s="21" t="str">
        <f>IF(AND($AM2900&lt;&gt;"",$AS2900&lt;&gt;"✓"),SUMPRODUCT(($AM$11:$AM2900&lt;&gt;"")*($AS$11:$AS2900&lt;&gt;"✓")),"")</f>
        <v/>
      </c>
      <c r="AZ2900" s="21" t="str">
        <f>IF(AND($AM2900&lt;&gt;"",$AS2900="✓"),SUMPRODUCT(($AM$11:$AM2900&lt;&gt;"")*($AS$11:$AS2900="✓")),"")</f>
        <v/>
      </c>
      <c r="BA2900" s="21" t="str">
        <f>IF($AL2900="","",$AL2900&amp;"|"&amp;COUNTIF($AL$11:$AL2900,$AL2900))</f>
        <v/>
      </c>
    </row>
    <row r="2901" spans="38:53" ht="15" customHeight="1" x14ac:dyDescent="0.25">
      <c r="AL2901" s="17"/>
      <c r="AM2901" s="12"/>
      <c r="AN2901" s="18"/>
      <c r="AO2901" s="18"/>
      <c r="AP2901" s="10"/>
      <c r="AQ2901" s="10"/>
      <c r="AR2901" s="19"/>
      <c r="AS2901" s="20"/>
      <c r="AT2901" s="19"/>
      <c r="AV2901" s="21">
        <f>IF(AND($AL2901&lt;&gt;"",COUNTIF($AL$11:$AL2901,$AL2901)=1),1,0)</f>
        <v>0</v>
      </c>
      <c r="AW2901" s="21">
        <f t="shared" si="177"/>
        <v>2</v>
      </c>
      <c r="AX2901" s="21" t="str">
        <f t="shared" si="176"/>
        <v/>
      </c>
      <c r="AY2901" s="21" t="str">
        <f>IF(AND($AM2901&lt;&gt;"",$AS2901&lt;&gt;"✓"),SUMPRODUCT(($AM$11:$AM2901&lt;&gt;"")*($AS$11:$AS2901&lt;&gt;"✓")),"")</f>
        <v/>
      </c>
      <c r="AZ2901" s="21" t="str">
        <f>IF(AND($AM2901&lt;&gt;"",$AS2901="✓"),SUMPRODUCT(($AM$11:$AM2901&lt;&gt;"")*($AS$11:$AS2901="✓")),"")</f>
        <v/>
      </c>
      <c r="BA2901" s="21" t="str">
        <f>IF($AL2901="","",$AL2901&amp;"|"&amp;COUNTIF($AL$11:$AL2901,$AL2901))</f>
        <v/>
      </c>
    </row>
    <row r="2902" spans="38:53" ht="15" customHeight="1" x14ac:dyDescent="0.25">
      <c r="AL2902" s="31"/>
      <c r="AM2902" s="26"/>
      <c r="AN2902" s="32"/>
      <c r="AO2902" s="32"/>
      <c r="AP2902" s="24"/>
      <c r="AQ2902" s="24"/>
      <c r="AR2902" s="33"/>
      <c r="AS2902" s="34"/>
      <c r="AT2902" s="33"/>
      <c r="AV2902" s="21">
        <f>IF(AND($AL2902&lt;&gt;"",COUNTIF($AL$11:$AL2902,$AL2902)=1),1,0)</f>
        <v>0</v>
      </c>
      <c r="AW2902" s="21">
        <f t="shared" si="177"/>
        <v>2</v>
      </c>
      <c r="AX2902" s="21" t="str">
        <f t="shared" si="176"/>
        <v/>
      </c>
      <c r="AY2902" s="21" t="str">
        <f>IF(AND($AM2902&lt;&gt;"",$AS2902&lt;&gt;"✓"),SUMPRODUCT(($AM$11:$AM2902&lt;&gt;"")*($AS$11:$AS2902&lt;&gt;"✓")),"")</f>
        <v/>
      </c>
      <c r="AZ2902" s="21" t="str">
        <f>IF(AND($AM2902&lt;&gt;"",$AS2902="✓"),SUMPRODUCT(($AM$11:$AM2902&lt;&gt;"")*($AS$11:$AS2902="✓")),"")</f>
        <v/>
      </c>
      <c r="BA2902" s="21" t="str">
        <f>IF($AL2902="","",$AL2902&amp;"|"&amp;COUNTIF($AL$11:$AL2902,$AL2902))</f>
        <v/>
      </c>
    </row>
    <row r="2903" spans="38:53" ht="15" customHeight="1" x14ac:dyDescent="0.25">
      <c r="AL2903" s="17"/>
      <c r="AM2903" s="12"/>
      <c r="AN2903" s="18"/>
      <c r="AO2903" s="18"/>
      <c r="AP2903" s="10"/>
      <c r="AQ2903" s="10"/>
      <c r="AR2903" s="19"/>
      <c r="AS2903" s="20"/>
      <c r="AT2903" s="19"/>
      <c r="AV2903" s="21">
        <f>IF(AND($AL2903&lt;&gt;"",COUNTIF($AL$11:$AL2903,$AL2903)=1),1,0)</f>
        <v>0</v>
      </c>
      <c r="AW2903" s="21">
        <f t="shared" si="177"/>
        <v>2</v>
      </c>
      <c r="AX2903" s="21" t="str">
        <f t="shared" si="176"/>
        <v/>
      </c>
      <c r="AY2903" s="21" t="str">
        <f>IF(AND($AM2903&lt;&gt;"",$AS2903&lt;&gt;"✓"),SUMPRODUCT(($AM$11:$AM2903&lt;&gt;"")*($AS$11:$AS2903&lt;&gt;"✓")),"")</f>
        <v/>
      </c>
      <c r="AZ2903" s="21" t="str">
        <f>IF(AND($AM2903&lt;&gt;"",$AS2903="✓"),SUMPRODUCT(($AM$11:$AM2903&lt;&gt;"")*($AS$11:$AS2903="✓")),"")</f>
        <v/>
      </c>
      <c r="BA2903" s="21" t="str">
        <f>IF($AL2903="","",$AL2903&amp;"|"&amp;COUNTIF($AL$11:$AL2903,$AL2903))</f>
        <v/>
      </c>
    </row>
    <row r="2904" spans="38:53" ht="15" customHeight="1" x14ac:dyDescent="0.25">
      <c r="AL2904" s="31"/>
      <c r="AM2904" s="26"/>
      <c r="AN2904" s="32"/>
      <c r="AO2904" s="32"/>
      <c r="AP2904" s="24"/>
      <c r="AQ2904" s="24"/>
      <c r="AR2904" s="33"/>
      <c r="AS2904" s="34"/>
      <c r="AT2904" s="33"/>
      <c r="AV2904" s="21">
        <f>IF(AND($AL2904&lt;&gt;"",COUNTIF($AL$11:$AL2904,$AL2904)=1),1,0)</f>
        <v>0</v>
      </c>
      <c r="AW2904" s="21">
        <f t="shared" si="177"/>
        <v>2</v>
      </c>
      <c r="AX2904" s="21" t="str">
        <f t="shared" si="176"/>
        <v/>
      </c>
      <c r="AY2904" s="21" t="str">
        <f>IF(AND($AM2904&lt;&gt;"",$AS2904&lt;&gt;"✓"),SUMPRODUCT(($AM$11:$AM2904&lt;&gt;"")*($AS$11:$AS2904&lt;&gt;"✓")),"")</f>
        <v/>
      </c>
      <c r="AZ2904" s="21" t="str">
        <f>IF(AND($AM2904&lt;&gt;"",$AS2904="✓"),SUMPRODUCT(($AM$11:$AM2904&lt;&gt;"")*($AS$11:$AS2904="✓")),"")</f>
        <v/>
      </c>
      <c r="BA2904" s="21" t="str">
        <f>IF($AL2904="","",$AL2904&amp;"|"&amp;COUNTIF($AL$11:$AL2904,$AL2904))</f>
        <v/>
      </c>
    </row>
    <row r="2905" spans="38:53" ht="15" customHeight="1" x14ac:dyDescent="0.25">
      <c r="AL2905" s="17"/>
      <c r="AM2905" s="12"/>
      <c r="AN2905" s="18"/>
      <c r="AO2905" s="18"/>
      <c r="AP2905" s="10"/>
      <c r="AQ2905" s="10"/>
      <c r="AR2905" s="19"/>
      <c r="AS2905" s="20"/>
      <c r="AT2905" s="19"/>
      <c r="AV2905" s="21">
        <f>IF(AND($AL2905&lt;&gt;"",COUNTIF($AL$11:$AL2905,$AL2905)=1),1,0)</f>
        <v>0</v>
      </c>
      <c r="AW2905" s="21">
        <f t="shared" si="177"/>
        <v>2</v>
      </c>
      <c r="AX2905" s="21" t="str">
        <f t="shared" si="176"/>
        <v/>
      </c>
      <c r="AY2905" s="21" t="str">
        <f>IF(AND($AM2905&lt;&gt;"",$AS2905&lt;&gt;"✓"),SUMPRODUCT(($AM$11:$AM2905&lt;&gt;"")*($AS$11:$AS2905&lt;&gt;"✓")),"")</f>
        <v/>
      </c>
      <c r="AZ2905" s="21" t="str">
        <f>IF(AND($AM2905&lt;&gt;"",$AS2905="✓"),SUMPRODUCT(($AM$11:$AM2905&lt;&gt;"")*($AS$11:$AS2905="✓")),"")</f>
        <v/>
      </c>
      <c r="BA2905" s="21" t="str">
        <f>IF($AL2905="","",$AL2905&amp;"|"&amp;COUNTIF($AL$11:$AL2905,$AL2905))</f>
        <v/>
      </c>
    </row>
    <row r="2906" spans="38:53" ht="15" customHeight="1" x14ac:dyDescent="0.25">
      <c r="AL2906" s="31"/>
      <c r="AM2906" s="26"/>
      <c r="AN2906" s="32"/>
      <c r="AO2906" s="32"/>
      <c r="AP2906" s="24"/>
      <c r="AQ2906" s="24"/>
      <c r="AR2906" s="33"/>
      <c r="AS2906" s="34"/>
      <c r="AT2906" s="33"/>
      <c r="AV2906" s="21">
        <f>IF(AND($AL2906&lt;&gt;"",COUNTIF($AL$11:$AL2906,$AL2906)=1),1,0)</f>
        <v>0</v>
      </c>
      <c r="AW2906" s="21">
        <f t="shared" si="177"/>
        <v>2</v>
      </c>
      <c r="AX2906" s="21" t="str">
        <f t="shared" si="176"/>
        <v/>
      </c>
      <c r="AY2906" s="21" t="str">
        <f>IF(AND($AM2906&lt;&gt;"",$AS2906&lt;&gt;"✓"),SUMPRODUCT(($AM$11:$AM2906&lt;&gt;"")*($AS$11:$AS2906&lt;&gt;"✓")),"")</f>
        <v/>
      </c>
      <c r="AZ2906" s="21" t="str">
        <f>IF(AND($AM2906&lt;&gt;"",$AS2906="✓"),SUMPRODUCT(($AM$11:$AM2906&lt;&gt;"")*($AS$11:$AS2906="✓")),"")</f>
        <v/>
      </c>
      <c r="BA2906" s="21" t="str">
        <f>IF($AL2906="","",$AL2906&amp;"|"&amp;COUNTIF($AL$11:$AL2906,$AL2906))</f>
        <v/>
      </c>
    </row>
    <row r="2907" spans="38:53" ht="15" customHeight="1" x14ac:dyDescent="0.25">
      <c r="AL2907" s="17"/>
      <c r="AM2907" s="12"/>
      <c r="AN2907" s="18"/>
      <c r="AO2907" s="18"/>
      <c r="AP2907" s="10"/>
      <c r="AQ2907" s="10"/>
      <c r="AR2907" s="19"/>
      <c r="AS2907" s="20"/>
      <c r="AT2907" s="19"/>
      <c r="AV2907" s="21">
        <f>IF(AND($AL2907&lt;&gt;"",COUNTIF($AL$11:$AL2907,$AL2907)=1),1,0)</f>
        <v>0</v>
      </c>
      <c r="AW2907" s="21">
        <f t="shared" si="177"/>
        <v>2</v>
      </c>
      <c r="AX2907" s="21" t="str">
        <f t="shared" si="176"/>
        <v/>
      </c>
      <c r="AY2907" s="21" t="str">
        <f>IF(AND($AM2907&lt;&gt;"",$AS2907&lt;&gt;"✓"),SUMPRODUCT(($AM$11:$AM2907&lt;&gt;"")*($AS$11:$AS2907&lt;&gt;"✓")),"")</f>
        <v/>
      </c>
      <c r="AZ2907" s="21" t="str">
        <f>IF(AND($AM2907&lt;&gt;"",$AS2907="✓"),SUMPRODUCT(($AM$11:$AM2907&lt;&gt;"")*($AS$11:$AS2907="✓")),"")</f>
        <v/>
      </c>
      <c r="BA2907" s="21" t="str">
        <f>IF($AL2907="","",$AL2907&amp;"|"&amp;COUNTIF($AL$11:$AL2907,$AL2907))</f>
        <v/>
      </c>
    </row>
    <row r="2908" spans="38:53" ht="15" customHeight="1" x14ac:dyDescent="0.25">
      <c r="AL2908" s="31"/>
      <c r="AM2908" s="26"/>
      <c r="AN2908" s="32"/>
      <c r="AO2908" s="32"/>
      <c r="AP2908" s="24"/>
      <c r="AQ2908" s="24"/>
      <c r="AR2908" s="33"/>
      <c r="AS2908" s="34"/>
      <c r="AT2908" s="33"/>
      <c r="AV2908" s="21">
        <f>IF(AND($AL2908&lt;&gt;"",COUNTIF($AL$11:$AL2908,$AL2908)=1),1,0)</f>
        <v>0</v>
      </c>
      <c r="AW2908" s="21">
        <f t="shared" si="177"/>
        <v>2</v>
      </c>
      <c r="AX2908" s="21" t="str">
        <f t="shared" si="176"/>
        <v/>
      </c>
      <c r="AY2908" s="21" t="str">
        <f>IF(AND($AM2908&lt;&gt;"",$AS2908&lt;&gt;"✓"),SUMPRODUCT(($AM$11:$AM2908&lt;&gt;"")*($AS$11:$AS2908&lt;&gt;"✓")),"")</f>
        <v/>
      </c>
      <c r="AZ2908" s="21" t="str">
        <f>IF(AND($AM2908&lt;&gt;"",$AS2908="✓"),SUMPRODUCT(($AM$11:$AM2908&lt;&gt;"")*($AS$11:$AS2908="✓")),"")</f>
        <v/>
      </c>
      <c r="BA2908" s="21" t="str">
        <f>IF($AL2908="","",$AL2908&amp;"|"&amp;COUNTIF($AL$11:$AL2908,$AL2908))</f>
        <v/>
      </c>
    </row>
    <row r="2909" spans="38:53" ht="15" customHeight="1" x14ac:dyDescent="0.25">
      <c r="AL2909" s="17"/>
      <c r="AM2909" s="12"/>
      <c r="AN2909" s="18"/>
      <c r="AO2909" s="18"/>
      <c r="AP2909" s="10"/>
      <c r="AQ2909" s="10"/>
      <c r="AR2909" s="19"/>
      <c r="AS2909" s="20"/>
      <c r="AT2909" s="19"/>
      <c r="AV2909" s="21">
        <f>IF(AND($AL2909&lt;&gt;"",COUNTIF($AL$11:$AL2909,$AL2909)=1),1,0)</f>
        <v>0</v>
      </c>
      <c r="AW2909" s="21">
        <f t="shared" si="177"/>
        <v>2</v>
      </c>
      <c r="AX2909" s="21" t="str">
        <f t="shared" si="176"/>
        <v/>
      </c>
      <c r="AY2909" s="21" t="str">
        <f>IF(AND($AM2909&lt;&gt;"",$AS2909&lt;&gt;"✓"),SUMPRODUCT(($AM$11:$AM2909&lt;&gt;"")*($AS$11:$AS2909&lt;&gt;"✓")),"")</f>
        <v/>
      </c>
      <c r="AZ2909" s="21" t="str">
        <f>IF(AND($AM2909&lt;&gt;"",$AS2909="✓"),SUMPRODUCT(($AM$11:$AM2909&lt;&gt;"")*($AS$11:$AS2909="✓")),"")</f>
        <v/>
      </c>
      <c r="BA2909" s="21" t="str">
        <f>IF($AL2909="","",$AL2909&amp;"|"&amp;COUNTIF($AL$11:$AL2909,$AL2909))</f>
        <v/>
      </c>
    </row>
    <row r="2910" spans="38:53" ht="15" customHeight="1" x14ac:dyDescent="0.25">
      <c r="AL2910" s="31"/>
      <c r="AM2910" s="26"/>
      <c r="AN2910" s="32"/>
      <c r="AO2910" s="32"/>
      <c r="AP2910" s="24"/>
      <c r="AQ2910" s="24"/>
      <c r="AR2910" s="33"/>
      <c r="AS2910" s="34"/>
      <c r="AT2910" s="33"/>
      <c r="AV2910" s="21">
        <f>IF(AND($AL2910&lt;&gt;"",COUNTIF($AL$11:$AL2910,$AL2910)=1),1,0)</f>
        <v>0</v>
      </c>
      <c r="AW2910" s="21">
        <f t="shared" si="177"/>
        <v>2</v>
      </c>
      <c r="AX2910" s="21" t="str">
        <f t="shared" si="176"/>
        <v/>
      </c>
      <c r="AY2910" s="21" t="str">
        <f>IF(AND($AM2910&lt;&gt;"",$AS2910&lt;&gt;"✓"),SUMPRODUCT(($AM$11:$AM2910&lt;&gt;"")*($AS$11:$AS2910&lt;&gt;"✓")),"")</f>
        <v/>
      </c>
      <c r="AZ2910" s="21" t="str">
        <f>IF(AND($AM2910&lt;&gt;"",$AS2910="✓"),SUMPRODUCT(($AM$11:$AM2910&lt;&gt;"")*($AS$11:$AS2910="✓")),"")</f>
        <v/>
      </c>
      <c r="BA2910" s="21" t="str">
        <f>IF($AL2910="","",$AL2910&amp;"|"&amp;COUNTIF($AL$11:$AL2910,$AL2910))</f>
        <v/>
      </c>
    </row>
    <row r="2911" spans="38:53" ht="15" customHeight="1" x14ac:dyDescent="0.25">
      <c r="AL2911" s="17"/>
      <c r="AM2911" s="12"/>
      <c r="AN2911" s="18"/>
      <c r="AO2911" s="18"/>
      <c r="AP2911" s="10"/>
      <c r="AQ2911" s="10"/>
      <c r="AR2911" s="19"/>
      <c r="AS2911" s="20"/>
      <c r="AT2911" s="19"/>
      <c r="AV2911" s="21">
        <f>IF(AND($AL2911&lt;&gt;"",COUNTIF($AL$11:$AL2911,$AL2911)=1),1,0)</f>
        <v>0</v>
      </c>
      <c r="AW2911" s="21">
        <f t="shared" si="177"/>
        <v>2</v>
      </c>
      <c r="AX2911" s="21" t="str">
        <f t="shared" si="176"/>
        <v/>
      </c>
      <c r="AY2911" s="21" t="str">
        <f>IF(AND($AM2911&lt;&gt;"",$AS2911&lt;&gt;"✓"),SUMPRODUCT(($AM$11:$AM2911&lt;&gt;"")*($AS$11:$AS2911&lt;&gt;"✓")),"")</f>
        <v/>
      </c>
      <c r="AZ2911" s="21" t="str">
        <f>IF(AND($AM2911&lt;&gt;"",$AS2911="✓"),SUMPRODUCT(($AM$11:$AM2911&lt;&gt;"")*($AS$11:$AS2911="✓")),"")</f>
        <v/>
      </c>
      <c r="BA2911" s="21" t="str">
        <f>IF($AL2911="","",$AL2911&amp;"|"&amp;COUNTIF($AL$11:$AL2911,$AL2911))</f>
        <v/>
      </c>
    </row>
    <row r="2912" spans="38:53" ht="15" customHeight="1" x14ac:dyDescent="0.25">
      <c r="AL2912" s="31"/>
      <c r="AM2912" s="26"/>
      <c r="AN2912" s="32"/>
      <c r="AO2912" s="32"/>
      <c r="AP2912" s="24"/>
      <c r="AQ2912" s="24"/>
      <c r="AR2912" s="33"/>
      <c r="AS2912" s="34"/>
      <c r="AT2912" s="33"/>
      <c r="AV2912" s="21">
        <f>IF(AND($AL2912&lt;&gt;"",COUNTIF($AL$11:$AL2912,$AL2912)=1),1,0)</f>
        <v>0</v>
      </c>
      <c r="AW2912" s="21">
        <f t="shared" si="177"/>
        <v>2</v>
      </c>
      <c r="AX2912" s="21" t="str">
        <f t="shared" si="176"/>
        <v/>
      </c>
      <c r="AY2912" s="21" t="str">
        <f>IF(AND($AM2912&lt;&gt;"",$AS2912&lt;&gt;"✓"),SUMPRODUCT(($AM$11:$AM2912&lt;&gt;"")*($AS$11:$AS2912&lt;&gt;"✓")),"")</f>
        <v/>
      </c>
      <c r="AZ2912" s="21" t="str">
        <f>IF(AND($AM2912&lt;&gt;"",$AS2912="✓"),SUMPRODUCT(($AM$11:$AM2912&lt;&gt;"")*($AS$11:$AS2912="✓")),"")</f>
        <v/>
      </c>
      <c r="BA2912" s="21" t="str">
        <f>IF($AL2912="","",$AL2912&amp;"|"&amp;COUNTIF($AL$11:$AL2912,$AL2912))</f>
        <v/>
      </c>
    </row>
    <row r="2913" spans="38:53" ht="15" customHeight="1" x14ac:dyDescent="0.25">
      <c r="AL2913" s="17"/>
      <c r="AM2913" s="12"/>
      <c r="AN2913" s="18"/>
      <c r="AO2913" s="18"/>
      <c r="AP2913" s="10"/>
      <c r="AQ2913" s="10"/>
      <c r="AR2913" s="19"/>
      <c r="AS2913" s="20"/>
      <c r="AT2913" s="19"/>
      <c r="AV2913" s="21">
        <f>IF(AND($AL2913&lt;&gt;"",COUNTIF($AL$11:$AL2913,$AL2913)=1),1,0)</f>
        <v>0</v>
      </c>
      <c r="AW2913" s="21">
        <f t="shared" si="177"/>
        <v>2</v>
      </c>
      <c r="AX2913" s="21" t="str">
        <f t="shared" si="176"/>
        <v/>
      </c>
      <c r="AY2913" s="21" t="str">
        <f>IF(AND($AM2913&lt;&gt;"",$AS2913&lt;&gt;"✓"),SUMPRODUCT(($AM$11:$AM2913&lt;&gt;"")*($AS$11:$AS2913&lt;&gt;"✓")),"")</f>
        <v/>
      </c>
      <c r="AZ2913" s="21" t="str">
        <f>IF(AND($AM2913&lt;&gt;"",$AS2913="✓"),SUMPRODUCT(($AM$11:$AM2913&lt;&gt;"")*($AS$11:$AS2913="✓")),"")</f>
        <v/>
      </c>
      <c r="BA2913" s="21" t="str">
        <f>IF($AL2913="","",$AL2913&amp;"|"&amp;COUNTIF($AL$11:$AL2913,$AL2913))</f>
        <v/>
      </c>
    </row>
    <row r="2914" spans="38:53" ht="15" customHeight="1" x14ac:dyDescent="0.25">
      <c r="AL2914" s="31"/>
      <c r="AM2914" s="26"/>
      <c r="AN2914" s="32"/>
      <c r="AO2914" s="32"/>
      <c r="AP2914" s="24"/>
      <c r="AQ2914" s="24"/>
      <c r="AR2914" s="33"/>
      <c r="AS2914" s="34"/>
      <c r="AT2914" s="33"/>
      <c r="AV2914" s="21">
        <f>IF(AND($AL2914&lt;&gt;"",COUNTIF($AL$11:$AL2914,$AL2914)=1),1,0)</f>
        <v>0</v>
      </c>
      <c r="AW2914" s="21">
        <f t="shared" si="177"/>
        <v>2</v>
      </c>
      <c r="AX2914" s="21" t="str">
        <f t="shared" si="176"/>
        <v/>
      </c>
      <c r="AY2914" s="21" t="str">
        <f>IF(AND($AM2914&lt;&gt;"",$AS2914&lt;&gt;"✓"),SUMPRODUCT(($AM$11:$AM2914&lt;&gt;"")*($AS$11:$AS2914&lt;&gt;"✓")),"")</f>
        <v/>
      </c>
      <c r="AZ2914" s="21" t="str">
        <f>IF(AND($AM2914&lt;&gt;"",$AS2914="✓"),SUMPRODUCT(($AM$11:$AM2914&lt;&gt;"")*($AS$11:$AS2914="✓")),"")</f>
        <v/>
      </c>
      <c r="BA2914" s="21" t="str">
        <f>IF($AL2914="","",$AL2914&amp;"|"&amp;COUNTIF($AL$11:$AL2914,$AL2914))</f>
        <v/>
      </c>
    </row>
    <row r="2915" spans="38:53" ht="15" customHeight="1" x14ac:dyDescent="0.25">
      <c r="AL2915" s="17"/>
      <c r="AM2915" s="12"/>
      <c r="AN2915" s="18"/>
      <c r="AO2915" s="18"/>
      <c r="AP2915" s="10"/>
      <c r="AQ2915" s="10"/>
      <c r="AR2915" s="19"/>
      <c r="AS2915" s="20"/>
      <c r="AT2915" s="19"/>
      <c r="AV2915" s="21">
        <f>IF(AND($AL2915&lt;&gt;"",COUNTIF($AL$11:$AL2915,$AL2915)=1),1,0)</f>
        <v>0</v>
      </c>
      <c r="AW2915" s="21">
        <f t="shared" si="177"/>
        <v>2</v>
      </c>
      <c r="AX2915" s="21" t="str">
        <f t="shared" si="176"/>
        <v/>
      </c>
      <c r="AY2915" s="21" t="str">
        <f>IF(AND($AM2915&lt;&gt;"",$AS2915&lt;&gt;"✓"),SUMPRODUCT(($AM$11:$AM2915&lt;&gt;"")*($AS$11:$AS2915&lt;&gt;"✓")),"")</f>
        <v/>
      </c>
      <c r="AZ2915" s="21" t="str">
        <f>IF(AND($AM2915&lt;&gt;"",$AS2915="✓"),SUMPRODUCT(($AM$11:$AM2915&lt;&gt;"")*($AS$11:$AS2915="✓")),"")</f>
        <v/>
      </c>
      <c r="BA2915" s="21" t="str">
        <f>IF($AL2915="","",$AL2915&amp;"|"&amp;COUNTIF($AL$11:$AL2915,$AL2915))</f>
        <v/>
      </c>
    </row>
    <row r="2916" spans="38:53" ht="15" customHeight="1" x14ac:dyDescent="0.25">
      <c r="AL2916" s="31"/>
      <c r="AM2916" s="26"/>
      <c r="AN2916" s="32"/>
      <c r="AO2916" s="32"/>
      <c r="AP2916" s="24"/>
      <c r="AQ2916" s="24"/>
      <c r="AR2916" s="33"/>
      <c r="AS2916" s="34"/>
      <c r="AT2916" s="33"/>
      <c r="AV2916" s="21">
        <f>IF(AND($AL2916&lt;&gt;"",COUNTIF($AL$11:$AL2916,$AL2916)=1),1,0)</f>
        <v>0</v>
      </c>
      <c r="AW2916" s="21">
        <f t="shared" si="177"/>
        <v>2</v>
      </c>
      <c r="AX2916" s="21" t="str">
        <f t="shared" si="176"/>
        <v/>
      </c>
      <c r="AY2916" s="21" t="str">
        <f>IF(AND($AM2916&lt;&gt;"",$AS2916&lt;&gt;"✓"),SUMPRODUCT(($AM$11:$AM2916&lt;&gt;"")*($AS$11:$AS2916&lt;&gt;"✓")),"")</f>
        <v/>
      </c>
      <c r="AZ2916" s="21" t="str">
        <f>IF(AND($AM2916&lt;&gt;"",$AS2916="✓"),SUMPRODUCT(($AM$11:$AM2916&lt;&gt;"")*($AS$11:$AS2916="✓")),"")</f>
        <v/>
      </c>
      <c r="BA2916" s="21" t="str">
        <f>IF($AL2916="","",$AL2916&amp;"|"&amp;COUNTIF($AL$11:$AL2916,$AL2916))</f>
        <v/>
      </c>
    </row>
    <row r="2917" spans="38:53" ht="15" customHeight="1" x14ac:dyDescent="0.25">
      <c r="AL2917" s="17"/>
      <c r="AM2917" s="12"/>
      <c r="AN2917" s="18"/>
      <c r="AO2917" s="18"/>
      <c r="AP2917" s="10"/>
      <c r="AQ2917" s="10"/>
      <c r="AR2917" s="19"/>
      <c r="AS2917" s="20"/>
      <c r="AT2917" s="19"/>
      <c r="AV2917" s="21">
        <f>IF(AND($AL2917&lt;&gt;"",COUNTIF($AL$11:$AL2917,$AL2917)=1),1,0)</f>
        <v>0</v>
      </c>
      <c r="AW2917" s="21">
        <f t="shared" si="177"/>
        <v>2</v>
      </c>
      <c r="AX2917" s="21" t="str">
        <f t="shared" si="176"/>
        <v/>
      </c>
      <c r="AY2917" s="21" t="str">
        <f>IF(AND($AM2917&lt;&gt;"",$AS2917&lt;&gt;"✓"),SUMPRODUCT(($AM$11:$AM2917&lt;&gt;"")*($AS$11:$AS2917&lt;&gt;"✓")),"")</f>
        <v/>
      </c>
      <c r="AZ2917" s="21" t="str">
        <f>IF(AND($AM2917&lt;&gt;"",$AS2917="✓"),SUMPRODUCT(($AM$11:$AM2917&lt;&gt;"")*($AS$11:$AS2917="✓")),"")</f>
        <v/>
      </c>
      <c r="BA2917" s="21" t="str">
        <f>IF($AL2917="","",$AL2917&amp;"|"&amp;COUNTIF($AL$11:$AL2917,$AL2917))</f>
        <v/>
      </c>
    </row>
    <row r="2918" spans="38:53" ht="15" customHeight="1" x14ac:dyDescent="0.25">
      <c r="AL2918" s="31"/>
      <c r="AM2918" s="26"/>
      <c r="AN2918" s="32"/>
      <c r="AO2918" s="32"/>
      <c r="AP2918" s="24"/>
      <c r="AQ2918" s="24"/>
      <c r="AR2918" s="33"/>
      <c r="AS2918" s="34"/>
      <c r="AT2918" s="33"/>
      <c r="AV2918" s="21">
        <f>IF(AND($AL2918&lt;&gt;"",COUNTIF($AL$11:$AL2918,$AL2918)=1),1,0)</f>
        <v>0</v>
      </c>
      <c r="AW2918" s="21">
        <f t="shared" si="177"/>
        <v>2</v>
      </c>
      <c r="AX2918" s="21" t="str">
        <f t="shared" si="176"/>
        <v/>
      </c>
      <c r="AY2918" s="21" t="str">
        <f>IF(AND($AM2918&lt;&gt;"",$AS2918&lt;&gt;"✓"),SUMPRODUCT(($AM$11:$AM2918&lt;&gt;"")*($AS$11:$AS2918&lt;&gt;"✓")),"")</f>
        <v/>
      </c>
      <c r="AZ2918" s="21" t="str">
        <f>IF(AND($AM2918&lt;&gt;"",$AS2918="✓"),SUMPRODUCT(($AM$11:$AM2918&lt;&gt;"")*($AS$11:$AS2918="✓")),"")</f>
        <v/>
      </c>
      <c r="BA2918" s="21" t="str">
        <f>IF($AL2918="","",$AL2918&amp;"|"&amp;COUNTIF($AL$11:$AL2918,$AL2918))</f>
        <v/>
      </c>
    </row>
    <row r="2919" spans="38:53" ht="15" customHeight="1" x14ac:dyDescent="0.25">
      <c r="AL2919" s="17"/>
      <c r="AM2919" s="12"/>
      <c r="AN2919" s="18"/>
      <c r="AO2919" s="18"/>
      <c r="AP2919" s="10"/>
      <c r="AQ2919" s="10"/>
      <c r="AR2919" s="19"/>
      <c r="AS2919" s="20"/>
      <c r="AT2919" s="19"/>
      <c r="AV2919" s="21">
        <f>IF(AND($AL2919&lt;&gt;"",COUNTIF($AL$11:$AL2919,$AL2919)=1),1,0)</f>
        <v>0</v>
      </c>
      <c r="AW2919" s="21">
        <f t="shared" si="177"/>
        <v>2</v>
      </c>
      <c r="AX2919" s="21" t="str">
        <f t="shared" si="176"/>
        <v/>
      </c>
      <c r="AY2919" s="21" t="str">
        <f>IF(AND($AM2919&lt;&gt;"",$AS2919&lt;&gt;"✓"),SUMPRODUCT(($AM$11:$AM2919&lt;&gt;"")*($AS$11:$AS2919&lt;&gt;"✓")),"")</f>
        <v/>
      </c>
      <c r="AZ2919" s="21" t="str">
        <f>IF(AND($AM2919&lt;&gt;"",$AS2919="✓"),SUMPRODUCT(($AM$11:$AM2919&lt;&gt;"")*($AS$11:$AS2919="✓")),"")</f>
        <v/>
      </c>
      <c r="BA2919" s="21" t="str">
        <f>IF($AL2919="","",$AL2919&amp;"|"&amp;COUNTIF($AL$11:$AL2919,$AL2919))</f>
        <v/>
      </c>
    </row>
    <row r="2920" spans="38:53" ht="15" customHeight="1" x14ac:dyDescent="0.25">
      <c r="AL2920" s="31"/>
      <c r="AM2920" s="26"/>
      <c r="AN2920" s="32"/>
      <c r="AO2920" s="32"/>
      <c r="AP2920" s="24"/>
      <c r="AQ2920" s="24"/>
      <c r="AR2920" s="33"/>
      <c r="AS2920" s="34"/>
      <c r="AT2920" s="33"/>
      <c r="AV2920" s="21">
        <f>IF(AND($AL2920&lt;&gt;"",COUNTIF($AL$11:$AL2920,$AL2920)=1),1,0)</f>
        <v>0</v>
      </c>
      <c r="AW2920" s="21">
        <f t="shared" si="177"/>
        <v>2</v>
      </c>
      <c r="AX2920" s="21" t="str">
        <f t="shared" si="176"/>
        <v/>
      </c>
      <c r="AY2920" s="21" t="str">
        <f>IF(AND($AM2920&lt;&gt;"",$AS2920&lt;&gt;"✓"),SUMPRODUCT(($AM$11:$AM2920&lt;&gt;"")*($AS$11:$AS2920&lt;&gt;"✓")),"")</f>
        <v/>
      </c>
      <c r="AZ2920" s="21" t="str">
        <f>IF(AND($AM2920&lt;&gt;"",$AS2920="✓"),SUMPRODUCT(($AM$11:$AM2920&lt;&gt;"")*($AS$11:$AS2920="✓")),"")</f>
        <v/>
      </c>
      <c r="BA2920" s="21" t="str">
        <f>IF($AL2920="","",$AL2920&amp;"|"&amp;COUNTIF($AL$11:$AL2920,$AL2920))</f>
        <v/>
      </c>
    </row>
    <row r="2921" spans="38:53" ht="15" customHeight="1" x14ac:dyDescent="0.25">
      <c r="AL2921" s="17"/>
      <c r="AM2921" s="12"/>
      <c r="AN2921" s="18"/>
      <c r="AO2921" s="18"/>
      <c r="AP2921" s="10"/>
      <c r="AQ2921" s="10"/>
      <c r="AR2921" s="19"/>
      <c r="AS2921" s="20"/>
      <c r="AT2921" s="19"/>
      <c r="AV2921" s="21">
        <f>IF(AND($AL2921&lt;&gt;"",COUNTIF($AL$11:$AL2921,$AL2921)=1),1,0)</f>
        <v>0</v>
      </c>
      <c r="AW2921" s="21">
        <f t="shared" si="177"/>
        <v>2</v>
      </c>
      <c r="AX2921" s="21" t="str">
        <f t="shared" si="176"/>
        <v/>
      </c>
      <c r="AY2921" s="21" t="str">
        <f>IF(AND($AM2921&lt;&gt;"",$AS2921&lt;&gt;"✓"),SUMPRODUCT(($AM$11:$AM2921&lt;&gt;"")*($AS$11:$AS2921&lt;&gt;"✓")),"")</f>
        <v/>
      </c>
      <c r="AZ2921" s="21" t="str">
        <f>IF(AND($AM2921&lt;&gt;"",$AS2921="✓"),SUMPRODUCT(($AM$11:$AM2921&lt;&gt;"")*($AS$11:$AS2921="✓")),"")</f>
        <v/>
      </c>
      <c r="BA2921" s="21" t="str">
        <f>IF($AL2921="","",$AL2921&amp;"|"&amp;COUNTIF($AL$11:$AL2921,$AL2921))</f>
        <v/>
      </c>
    </row>
    <row r="2922" spans="38:53" ht="15" customHeight="1" x14ac:dyDescent="0.25">
      <c r="AL2922" s="31"/>
      <c r="AM2922" s="26"/>
      <c r="AN2922" s="32"/>
      <c r="AO2922" s="32"/>
      <c r="AP2922" s="24"/>
      <c r="AQ2922" s="24"/>
      <c r="AR2922" s="33"/>
      <c r="AS2922" s="34"/>
      <c r="AT2922" s="33"/>
      <c r="AV2922" s="21">
        <f>IF(AND($AL2922&lt;&gt;"",COUNTIF($AL$11:$AL2922,$AL2922)=1),1,0)</f>
        <v>0</v>
      </c>
      <c r="AW2922" s="21">
        <f t="shared" si="177"/>
        <v>2</v>
      </c>
      <c r="AX2922" s="21" t="str">
        <f t="shared" si="176"/>
        <v/>
      </c>
      <c r="AY2922" s="21" t="str">
        <f>IF(AND($AM2922&lt;&gt;"",$AS2922&lt;&gt;"✓"),SUMPRODUCT(($AM$11:$AM2922&lt;&gt;"")*($AS$11:$AS2922&lt;&gt;"✓")),"")</f>
        <v/>
      </c>
      <c r="AZ2922" s="21" t="str">
        <f>IF(AND($AM2922&lt;&gt;"",$AS2922="✓"),SUMPRODUCT(($AM$11:$AM2922&lt;&gt;"")*($AS$11:$AS2922="✓")),"")</f>
        <v/>
      </c>
      <c r="BA2922" s="21" t="str">
        <f>IF($AL2922="","",$AL2922&amp;"|"&amp;COUNTIF($AL$11:$AL2922,$AL2922))</f>
        <v/>
      </c>
    </row>
    <row r="2923" spans="38:53" ht="15" customHeight="1" x14ac:dyDescent="0.25">
      <c r="AL2923" s="17"/>
      <c r="AM2923" s="12"/>
      <c r="AN2923" s="18"/>
      <c r="AO2923" s="18"/>
      <c r="AP2923" s="10"/>
      <c r="AQ2923" s="10"/>
      <c r="AR2923" s="19"/>
      <c r="AS2923" s="20"/>
      <c r="AT2923" s="19"/>
      <c r="AV2923" s="21">
        <f>IF(AND($AL2923&lt;&gt;"",COUNTIF($AL$11:$AL2923,$AL2923)=1),1,0)</f>
        <v>0</v>
      </c>
      <c r="AW2923" s="21">
        <f t="shared" si="177"/>
        <v>2</v>
      </c>
      <c r="AX2923" s="21" t="str">
        <f t="shared" si="176"/>
        <v/>
      </c>
      <c r="AY2923" s="21" t="str">
        <f>IF(AND($AM2923&lt;&gt;"",$AS2923&lt;&gt;"✓"),SUMPRODUCT(($AM$11:$AM2923&lt;&gt;"")*($AS$11:$AS2923&lt;&gt;"✓")),"")</f>
        <v/>
      </c>
      <c r="AZ2923" s="21" t="str">
        <f>IF(AND($AM2923&lt;&gt;"",$AS2923="✓"),SUMPRODUCT(($AM$11:$AM2923&lt;&gt;"")*($AS$11:$AS2923="✓")),"")</f>
        <v/>
      </c>
      <c r="BA2923" s="21" t="str">
        <f>IF($AL2923="","",$AL2923&amp;"|"&amp;COUNTIF($AL$11:$AL2923,$AL2923))</f>
        <v/>
      </c>
    </row>
    <row r="2924" spans="38:53" ht="15" customHeight="1" x14ac:dyDescent="0.25">
      <c r="AL2924" s="31"/>
      <c r="AM2924" s="26"/>
      <c r="AN2924" s="32"/>
      <c r="AO2924" s="32"/>
      <c r="AP2924" s="24"/>
      <c r="AQ2924" s="24"/>
      <c r="AR2924" s="33"/>
      <c r="AS2924" s="34"/>
      <c r="AT2924" s="33"/>
      <c r="AV2924" s="21">
        <f>IF(AND($AL2924&lt;&gt;"",COUNTIF($AL$11:$AL2924,$AL2924)=1),1,0)</f>
        <v>0</v>
      </c>
      <c r="AW2924" s="21">
        <f t="shared" si="177"/>
        <v>2</v>
      </c>
      <c r="AX2924" s="21" t="str">
        <f t="shared" si="176"/>
        <v/>
      </c>
      <c r="AY2924" s="21" t="str">
        <f>IF(AND($AM2924&lt;&gt;"",$AS2924&lt;&gt;"✓"),SUMPRODUCT(($AM$11:$AM2924&lt;&gt;"")*($AS$11:$AS2924&lt;&gt;"✓")),"")</f>
        <v/>
      </c>
      <c r="AZ2924" s="21" t="str">
        <f>IF(AND($AM2924&lt;&gt;"",$AS2924="✓"),SUMPRODUCT(($AM$11:$AM2924&lt;&gt;"")*($AS$11:$AS2924="✓")),"")</f>
        <v/>
      </c>
      <c r="BA2924" s="21" t="str">
        <f>IF($AL2924="","",$AL2924&amp;"|"&amp;COUNTIF($AL$11:$AL2924,$AL2924))</f>
        <v/>
      </c>
    </row>
    <row r="2925" spans="38:53" ht="15" customHeight="1" x14ac:dyDescent="0.25">
      <c r="AL2925" s="17"/>
      <c r="AM2925" s="12"/>
      <c r="AN2925" s="18"/>
      <c r="AO2925" s="18"/>
      <c r="AP2925" s="10"/>
      <c r="AQ2925" s="10"/>
      <c r="AR2925" s="19"/>
      <c r="AS2925" s="20"/>
      <c r="AT2925" s="19"/>
      <c r="AV2925" s="21">
        <f>IF(AND($AL2925&lt;&gt;"",COUNTIF($AL$11:$AL2925,$AL2925)=1),1,0)</f>
        <v>0</v>
      </c>
      <c r="AW2925" s="21">
        <f t="shared" si="177"/>
        <v>2</v>
      </c>
      <c r="AX2925" s="21" t="str">
        <f t="shared" si="176"/>
        <v/>
      </c>
      <c r="AY2925" s="21" t="str">
        <f>IF(AND($AM2925&lt;&gt;"",$AS2925&lt;&gt;"✓"),SUMPRODUCT(($AM$11:$AM2925&lt;&gt;"")*($AS$11:$AS2925&lt;&gt;"✓")),"")</f>
        <v/>
      </c>
      <c r="AZ2925" s="21" t="str">
        <f>IF(AND($AM2925&lt;&gt;"",$AS2925="✓"),SUMPRODUCT(($AM$11:$AM2925&lt;&gt;"")*($AS$11:$AS2925="✓")),"")</f>
        <v/>
      </c>
      <c r="BA2925" s="21" t="str">
        <f>IF($AL2925="","",$AL2925&amp;"|"&amp;COUNTIF($AL$11:$AL2925,$AL2925))</f>
        <v/>
      </c>
    </row>
    <row r="2926" spans="38:53" ht="15" customHeight="1" x14ac:dyDescent="0.25">
      <c r="AL2926" s="31"/>
      <c r="AM2926" s="26"/>
      <c r="AN2926" s="32"/>
      <c r="AO2926" s="32"/>
      <c r="AP2926" s="24"/>
      <c r="AQ2926" s="24"/>
      <c r="AR2926" s="33"/>
      <c r="AS2926" s="34"/>
      <c r="AT2926" s="33"/>
      <c r="AV2926" s="21">
        <f>IF(AND($AL2926&lt;&gt;"",COUNTIF($AL$11:$AL2926,$AL2926)=1),1,0)</f>
        <v>0</v>
      </c>
      <c r="AW2926" s="21">
        <f t="shared" si="177"/>
        <v>2</v>
      </c>
      <c r="AX2926" s="21" t="str">
        <f t="shared" si="176"/>
        <v/>
      </c>
      <c r="AY2926" s="21" t="str">
        <f>IF(AND($AM2926&lt;&gt;"",$AS2926&lt;&gt;"✓"),SUMPRODUCT(($AM$11:$AM2926&lt;&gt;"")*($AS$11:$AS2926&lt;&gt;"✓")),"")</f>
        <v/>
      </c>
      <c r="AZ2926" s="21" t="str">
        <f>IF(AND($AM2926&lt;&gt;"",$AS2926="✓"),SUMPRODUCT(($AM$11:$AM2926&lt;&gt;"")*($AS$11:$AS2926="✓")),"")</f>
        <v/>
      </c>
      <c r="BA2926" s="21" t="str">
        <f>IF($AL2926="","",$AL2926&amp;"|"&amp;COUNTIF($AL$11:$AL2926,$AL2926))</f>
        <v/>
      </c>
    </row>
    <row r="2927" spans="38:53" ht="15" customHeight="1" x14ac:dyDescent="0.25">
      <c r="AL2927" s="17"/>
      <c r="AM2927" s="12"/>
      <c r="AN2927" s="18"/>
      <c r="AO2927" s="18"/>
      <c r="AP2927" s="10"/>
      <c r="AQ2927" s="10"/>
      <c r="AR2927" s="19"/>
      <c r="AS2927" s="20"/>
      <c r="AT2927" s="19"/>
      <c r="AV2927" s="21">
        <f>IF(AND($AL2927&lt;&gt;"",COUNTIF($AL$11:$AL2927,$AL2927)=1),1,0)</f>
        <v>0</v>
      </c>
      <c r="AW2927" s="21">
        <f t="shared" si="177"/>
        <v>2</v>
      </c>
      <c r="AX2927" s="21" t="str">
        <f t="shared" si="176"/>
        <v/>
      </c>
      <c r="AY2927" s="21" t="str">
        <f>IF(AND($AM2927&lt;&gt;"",$AS2927&lt;&gt;"✓"),SUMPRODUCT(($AM$11:$AM2927&lt;&gt;"")*($AS$11:$AS2927&lt;&gt;"✓")),"")</f>
        <v/>
      </c>
      <c r="AZ2927" s="21" t="str">
        <f>IF(AND($AM2927&lt;&gt;"",$AS2927="✓"),SUMPRODUCT(($AM$11:$AM2927&lt;&gt;"")*($AS$11:$AS2927="✓")),"")</f>
        <v/>
      </c>
      <c r="BA2927" s="21" t="str">
        <f>IF($AL2927="","",$AL2927&amp;"|"&amp;COUNTIF($AL$11:$AL2927,$AL2927))</f>
        <v/>
      </c>
    </row>
    <row r="2928" spans="38:53" ht="15" customHeight="1" x14ac:dyDescent="0.25">
      <c r="AL2928" s="31"/>
      <c r="AM2928" s="26"/>
      <c r="AN2928" s="32"/>
      <c r="AO2928" s="32"/>
      <c r="AP2928" s="24"/>
      <c r="AQ2928" s="24"/>
      <c r="AR2928" s="33"/>
      <c r="AS2928" s="34"/>
      <c r="AT2928" s="33"/>
      <c r="AV2928" s="21">
        <f>IF(AND($AL2928&lt;&gt;"",COUNTIF($AL$11:$AL2928,$AL2928)=1),1,0)</f>
        <v>0</v>
      </c>
      <c r="AW2928" s="21">
        <f t="shared" si="177"/>
        <v>2</v>
      </c>
      <c r="AX2928" s="21" t="str">
        <f t="shared" si="176"/>
        <v/>
      </c>
      <c r="AY2928" s="21" t="str">
        <f>IF(AND($AM2928&lt;&gt;"",$AS2928&lt;&gt;"✓"),SUMPRODUCT(($AM$11:$AM2928&lt;&gt;"")*($AS$11:$AS2928&lt;&gt;"✓")),"")</f>
        <v/>
      </c>
      <c r="AZ2928" s="21" t="str">
        <f>IF(AND($AM2928&lt;&gt;"",$AS2928="✓"),SUMPRODUCT(($AM$11:$AM2928&lt;&gt;"")*($AS$11:$AS2928="✓")),"")</f>
        <v/>
      </c>
      <c r="BA2928" s="21" t="str">
        <f>IF($AL2928="","",$AL2928&amp;"|"&amp;COUNTIF($AL$11:$AL2928,$AL2928))</f>
        <v/>
      </c>
    </row>
    <row r="2929" spans="38:53" ht="15" customHeight="1" x14ac:dyDescent="0.25">
      <c r="AL2929" s="17"/>
      <c r="AM2929" s="12"/>
      <c r="AN2929" s="18"/>
      <c r="AO2929" s="18"/>
      <c r="AP2929" s="10"/>
      <c r="AQ2929" s="10"/>
      <c r="AR2929" s="19"/>
      <c r="AS2929" s="20"/>
      <c r="AT2929" s="19"/>
      <c r="AV2929" s="21">
        <f>IF(AND($AL2929&lt;&gt;"",COUNTIF($AL$11:$AL2929,$AL2929)=1),1,0)</f>
        <v>0</v>
      </c>
      <c r="AW2929" s="21">
        <f t="shared" si="177"/>
        <v>2</v>
      </c>
      <c r="AX2929" s="21" t="str">
        <f t="shared" si="176"/>
        <v/>
      </c>
      <c r="AY2929" s="21" t="str">
        <f>IF(AND($AM2929&lt;&gt;"",$AS2929&lt;&gt;"✓"),SUMPRODUCT(($AM$11:$AM2929&lt;&gt;"")*($AS$11:$AS2929&lt;&gt;"✓")),"")</f>
        <v/>
      </c>
      <c r="AZ2929" s="21" t="str">
        <f>IF(AND($AM2929&lt;&gt;"",$AS2929="✓"),SUMPRODUCT(($AM$11:$AM2929&lt;&gt;"")*($AS$11:$AS2929="✓")),"")</f>
        <v/>
      </c>
      <c r="BA2929" s="21" t="str">
        <f>IF($AL2929="","",$AL2929&amp;"|"&amp;COUNTIF($AL$11:$AL2929,$AL2929))</f>
        <v/>
      </c>
    </row>
    <row r="2930" spans="38:53" ht="15" customHeight="1" x14ac:dyDescent="0.25">
      <c r="AL2930" s="31"/>
      <c r="AM2930" s="26"/>
      <c r="AN2930" s="32"/>
      <c r="AO2930" s="32"/>
      <c r="AP2930" s="24"/>
      <c r="AQ2930" s="24"/>
      <c r="AR2930" s="33"/>
      <c r="AS2930" s="34"/>
      <c r="AT2930" s="33"/>
      <c r="AV2930" s="21">
        <f>IF(AND($AL2930&lt;&gt;"",COUNTIF($AL$11:$AL2930,$AL2930)=1),1,0)</f>
        <v>0</v>
      </c>
      <c r="AW2930" s="21">
        <f t="shared" si="177"/>
        <v>2</v>
      </c>
      <c r="AX2930" s="21" t="str">
        <f t="shared" si="176"/>
        <v/>
      </c>
      <c r="AY2930" s="21" t="str">
        <f>IF(AND($AM2930&lt;&gt;"",$AS2930&lt;&gt;"✓"),SUMPRODUCT(($AM$11:$AM2930&lt;&gt;"")*($AS$11:$AS2930&lt;&gt;"✓")),"")</f>
        <v/>
      </c>
      <c r="AZ2930" s="21" t="str">
        <f>IF(AND($AM2930&lt;&gt;"",$AS2930="✓"),SUMPRODUCT(($AM$11:$AM2930&lt;&gt;"")*($AS$11:$AS2930="✓")),"")</f>
        <v/>
      </c>
      <c r="BA2930" s="21" t="str">
        <f>IF($AL2930="","",$AL2930&amp;"|"&amp;COUNTIF($AL$11:$AL2930,$AL2930))</f>
        <v/>
      </c>
    </row>
    <row r="2931" spans="38:53" ht="15" customHeight="1" x14ac:dyDescent="0.25">
      <c r="AL2931" s="17"/>
      <c r="AM2931" s="12"/>
      <c r="AN2931" s="18"/>
      <c r="AO2931" s="18"/>
      <c r="AP2931" s="10"/>
      <c r="AQ2931" s="10"/>
      <c r="AR2931" s="19"/>
      <c r="AS2931" s="20"/>
      <c r="AT2931" s="19"/>
      <c r="AV2931" s="21">
        <f>IF(AND($AL2931&lt;&gt;"",COUNTIF($AL$11:$AL2931,$AL2931)=1),1,0)</f>
        <v>0</v>
      </c>
      <c r="AW2931" s="21">
        <f t="shared" si="177"/>
        <v>2</v>
      </c>
      <c r="AX2931" s="21" t="str">
        <f t="shared" si="176"/>
        <v/>
      </c>
      <c r="AY2931" s="21" t="str">
        <f>IF(AND($AM2931&lt;&gt;"",$AS2931&lt;&gt;"✓"),SUMPRODUCT(($AM$11:$AM2931&lt;&gt;"")*($AS$11:$AS2931&lt;&gt;"✓")),"")</f>
        <v/>
      </c>
      <c r="AZ2931" s="21" t="str">
        <f>IF(AND($AM2931&lt;&gt;"",$AS2931="✓"),SUMPRODUCT(($AM$11:$AM2931&lt;&gt;"")*($AS$11:$AS2931="✓")),"")</f>
        <v/>
      </c>
      <c r="BA2931" s="21" t="str">
        <f>IF($AL2931="","",$AL2931&amp;"|"&amp;COUNTIF($AL$11:$AL2931,$AL2931))</f>
        <v/>
      </c>
    </row>
    <row r="2932" spans="38:53" ht="15" customHeight="1" x14ac:dyDescent="0.25">
      <c r="AL2932" s="31"/>
      <c r="AM2932" s="26"/>
      <c r="AN2932" s="32"/>
      <c r="AO2932" s="32"/>
      <c r="AP2932" s="24"/>
      <c r="AQ2932" s="24"/>
      <c r="AR2932" s="33"/>
      <c r="AS2932" s="34"/>
      <c r="AT2932" s="33"/>
      <c r="AV2932" s="21">
        <f>IF(AND($AL2932&lt;&gt;"",COUNTIF($AL$11:$AL2932,$AL2932)=1),1,0)</f>
        <v>0</v>
      </c>
      <c r="AW2932" s="21">
        <f t="shared" si="177"/>
        <v>2</v>
      </c>
      <c r="AX2932" s="21" t="str">
        <f t="shared" si="176"/>
        <v/>
      </c>
      <c r="AY2932" s="21" t="str">
        <f>IF(AND($AM2932&lt;&gt;"",$AS2932&lt;&gt;"✓"),SUMPRODUCT(($AM$11:$AM2932&lt;&gt;"")*($AS$11:$AS2932&lt;&gt;"✓")),"")</f>
        <v/>
      </c>
      <c r="AZ2932" s="21" t="str">
        <f>IF(AND($AM2932&lt;&gt;"",$AS2932="✓"),SUMPRODUCT(($AM$11:$AM2932&lt;&gt;"")*($AS$11:$AS2932="✓")),"")</f>
        <v/>
      </c>
      <c r="BA2932" s="21" t="str">
        <f>IF($AL2932="","",$AL2932&amp;"|"&amp;COUNTIF($AL$11:$AL2932,$AL2932))</f>
        <v/>
      </c>
    </row>
    <row r="2933" spans="38:53" ht="15" customHeight="1" x14ac:dyDescent="0.25">
      <c r="AL2933" s="17"/>
      <c r="AM2933" s="12"/>
      <c r="AN2933" s="18"/>
      <c r="AO2933" s="18"/>
      <c r="AP2933" s="10"/>
      <c r="AQ2933" s="10"/>
      <c r="AR2933" s="19"/>
      <c r="AS2933" s="20"/>
      <c r="AT2933" s="19"/>
      <c r="AV2933" s="21">
        <f>IF(AND($AL2933&lt;&gt;"",COUNTIF($AL$11:$AL2933,$AL2933)=1),1,0)</f>
        <v>0</v>
      </c>
      <c r="AW2933" s="21">
        <f t="shared" si="177"/>
        <v>2</v>
      </c>
      <c r="AX2933" s="21" t="str">
        <f t="shared" si="176"/>
        <v/>
      </c>
      <c r="AY2933" s="21" t="str">
        <f>IF(AND($AM2933&lt;&gt;"",$AS2933&lt;&gt;"✓"),SUMPRODUCT(($AM$11:$AM2933&lt;&gt;"")*($AS$11:$AS2933&lt;&gt;"✓")),"")</f>
        <v/>
      </c>
      <c r="AZ2933" s="21" t="str">
        <f>IF(AND($AM2933&lt;&gt;"",$AS2933="✓"),SUMPRODUCT(($AM$11:$AM2933&lt;&gt;"")*($AS$11:$AS2933="✓")),"")</f>
        <v/>
      </c>
      <c r="BA2933" s="21" t="str">
        <f>IF($AL2933="","",$AL2933&amp;"|"&amp;COUNTIF($AL$11:$AL2933,$AL2933))</f>
        <v/>
      </c>
    </row>
    <row r="2934" spans="38:53" ht="15" customHeight="1" x14ac:dyDescent="0.25">
      <c r="AL2934" s="31"/>
      <c r="AM2934" s="26"/>
      <c r="AN2934" s="32"/>
      <c r="AO2934" s="32"/>
      <c r="AP2934" s="24"/>
      <c r="AQ2934" s="24"/>
      <c r="AR2934" s="33"/>
      <c r="AS2934" s="34"/>
      <c r="AT2934" s="33"/>
      <c r="AV2934" s="21">
        <f>IF(AND($AL2934&lt;&gt;"",COUNTIF($AL$11:$AL2934,$AL2934)=1),1,0)</f>
        <v>0</v>
      </c>
      <c r="AW2934" s="21">
        <f t="shared" si="177"/>
        <v>2</v>
      </c>
      <c r="AX2934" s="21" t="str">
        <f t="shared" si="176"/>
        <v/>
      </c>
      <c r="AY2934" s="21" t="str">
        <f>IF(AND($AM2934&lt;&gt;"",$AS2934&lt;&gt;"✓"),SUMPRODUCT(($AM$11:$AM2934&lt;&gt;"")*($AS$11:$AS2934&lt;&gt;"✓")),"")</f>
        <v/>
      </c>
      <c r="AZ2934" s="21" t="str">
        <f>IF(AND($AM2934&lt;&gt;"",$AS2934="✓"),SUMPRODUCT(($AM$11:$AM2934&lt;&gt;"")*($AS$11:$AS2934="✓")),"")</f>
        <v/>
      </c>
      <c r="BA2934" s="21" t="str">
        <f>IF($AL2934="","",$AL2934&amp;"|"&amp;COUNTIF($AL$11:$AL2934,$AL2934))</f>
        <v/>
      </c>
    </row>
    <row r="2935" spans="38:53" ht="15" customHeight="1" x14ac:dyDescent="0.25">
      <c r="AL2935" s="17"/>
      <c r="AM2935" s="12"/>
      <c r="AN2935" s="18"/>
      <c r="AO2935" s="18"/>
      <c r="AP2935" s="10"/>
      <c r="AQ2935" s="10"/>
      <c r="AR2935" s="19"/>
      <c r="AS2935" s="20"/>
      <c r="AT2935" s="19"/>
      <c r="AV2935" s="21">
        <f>IF(AND($AL2935&lt;&gt;"",COUNTIF($AL$11:$AL2935,$AL2935)=1),1,0)</f>
        <v>0</v>
      </c>
      <c r="AW2935" s="21">
        <f t="shared" si="177"/>
        <v>2</v>
      </c>
      <c r="AX2935" s="21" t="str">
        <f t="shared" si="176"/>
        <v/>
      </c>
      <c r="AY2935" s="21" t="str">
        <f>IF(AND($AM2935&lt;&gt;"",$AS2935&lt;&gt;"✓"),SUMPRODUCT(($AM$11:$AM2935&lt;&gt;"")*($AS$11:$AS2935&lt;&gt;"✓")),"")</f>
        <v/>
      </c>
      <c r="AZ2935" s="21" t="str">
        <f>IF(AND($AM2935&lt;&gt;"",$AS2935="✓"),SUMPRODUCT(($AM$11:$AM2935&lt;&gt;"")*($AS$11:$AS2935="✓")),"")</f>
        <v/>
      </c>
      <c r="BA2935" s="21" t="str">
        <f>IF($AL2935="","",$AL2935&amp;"|"&amp;COUNTIF($AL$11:$AL2935,$AL2935))</f>
        <v/>
      </c>
    </row>
    <row r="2936" spans="38:53" ht="15" customHeight="1" x14ac:dyDescent="0.25">
      <c r="AL2936" s="31"/>
      <c r="AM2936" s="26"/>
      <c r="AN2936" s="32"/>
      <c r="AO2936" s="32"/>
      <c r="AP2936" s="24"/>
      <c r="AQ2936" s="24"/>
      <c r="AR2936" s="33"/>
      <c r="AS2936" s="34"/>
      <c r="AT2936" s="33"/>
      <c r="AV2936" s="21">
        <f>IF(AND($AL2936&lt;&gt;"",COUNTIF($AL$11:$AL2936,$AL2936)=1),1,0)</f>
        <v>0</v>
      </c>
      <c r="AW2936" s="21">
        <f t="shared" si="177"/>
        <v>2</v>
      </c>
      <c r="AX2936" s="21" t="str">
        <f t="shared" si="176"/>
        <v/>
      </c>
      <c r="AY2936" s="21" t="str">
        <f>IF(AND($AM2936&lt;&gt;"",$AS2936&lt;&gt;"✓"),SUMPRODUCT(($AM$11:$AM2936&lt;&gt;"")*($AS$11:$AS2936&lt;&gt;"✓")),"")</f>
        <v/>
      </c>
      <c r="AZ2936" s="21" t="str">
        <f>IF(AND($AM2936&lt;&gt;"",$AS2936="✓"),SUMPRODUCT(($AM$11:$AM2936&lt;&gt;"")*($AS$11:$AS2936="✓")),"")</f>
        <v/>
      </c>
      <c r="BA2936" s="21" t="str">
        <f>IF($AL2936="","",$AL2936&amp;"|"&amp;COUNTIF($AL$11:$AL2936,$AL2936))</f>
        <v/>
      </c>
    </row>
    <row r="2937" spans="38:53" ht="15" customHeight="1" x14ac:dyDescent="0.25">
      <c r="AL2937" s="17"/>
      <c r="AM2937" s="12"/>
      <c r="AN2937" s="18"/>
      <c r="AO2937" s="18"/>
      <c r="AP2937" s="10"/>
      <c r="AQ2937" s="10"/>
      <c r="AR2937" s="19"/>
      <c r="AS2937" s="20"/>
      <c r="AT2937" s="19"/>
      <c r="AV2937" s="21">
        <f>IF(AND($AL2937&lt;&gt;"",COUNTIF($AL$11:$AL2937,$AL2937)=1),1,0)</f>
        <v>0</v>
      </c>
      <c r="AW2937" s="21">
        <f t="shared" si="177"/>
        <v>2</v>
      </c>
      <c r="AX2937" s="21" t="str">
        <f t="shared" si="176"/>
        <v/>
      </c>
      <c r="AY2937" s="21" t="str">
        <f>IF(AND($AM2937&lt;&gt;"",$AS2937&lt;&gt;"✓"),SUMPRODUCT(($AM$11:$AM2937&lt;&gt;"")*($AS$11:$AS2937&lt;&gt;"✓")),"")</f>
        <v/>
      </c>
      <c r="AZ2937" s="21" t="str">
        <f>IF(AND($AM2937&lt;&gt;"",$AS2937="✓"),SUMPRODUCT(($AM$11:$AM2937&lt;&gt;"")*($AS$11:$AS2937="✓")),"")</f>
        <v/>
      </c>
      <c r="BA2937" s="21" t="str">
        <f>IF($AL2937="","",$AL2937&amp;"|"&amp;COUNTIF($AL$11:$AL2937,$AL2937))</f>
        <v/>
      </c>
    </row>
    <row r="2938" spans="38:53" ht="15" customHeight="1" x14ac:dyDescent="0.25">
      <c r="AL2938" s="31"/>
      <c r="AM2938" s="26"/>
      <c r="AN2938" s="32"/>
      <c r="AO2938" s="32"/>
      <c r="AP2938" s="24"/>
      <c r="AQ2938" s="24"/>
      <c r="AR2938" s="33"/>
      <c r="AS2938" s="34"/>
      <c r="AT2938" s="33"/>
      <c r="AV2938" s="21">
        <f>IF(AND($AL2938&lt;&gt;"",COUNTIF($AL$11:$AL2938,$AL2938)=1),1,0)</f>
        <v>0</v>
      </c>
      <c r="AW2938" s="21">
        <f t="shared" si="177"/>
        <v>2</v>
      </c>
      <c r="AX2938" s="21" t="str">
        <f t="shared" si="176"/>
        <v/>
      </c>
      <c r="AY2938" s="21" t="str">
        <f>IF(AND($AM2938&lt;&gt;"",$AS2938&lt;&gt;"✓"),SUMPRODUCT(($AM$11:$AM2938&lt;&gt;"")*($AS$11:$AS2938&lt;&gt;"✓")),"")</f>
        <v/>
      </c>
      <c r="AZ2938" s="21" t="str">
        <f>IF(AND($AM2938&lt;&gt;"",$AS2938="✓"),SUMPRODUCT(($AM$11:$AM2938&lt;&gt;"")*($AS$11:$AS2938="✓")),"")</f>
        <v/>
      </c>
      <c r="BA2938" s="21" t="str">
        <f>IF($AL2938="","",$AL2938&amp;"|"&amp;COUNTIF($AL$11:$AL2938,$AL2938))</f>
        <v/>
      </c>
    </row>
    <row r="2939" spans="38:53" ht="15" customHeight="1" x14ac:dyDescent="0.25">
      <c r="AL2939" s="17"/>
      <c r="AM2939" s="12"/>
      <c r="AN2939" s="18"/>
      <c r="AO2939" s="18"/>
      <c r="AP2939" s="10"/>
      <c r="AQ2939" s="10"/>
      <c r="AR2939" s="19"/>
      <c r="AS2939" s="20"/>
      <c r="AT2939" s="19"/>
      <c r="AV2939" s="21">
        <f>IF(AND($AL2939&lt;&gt;"",COUNTIF($AL$11:$AL2939,$AL2939)=1),1,0)</f>
        <v>0</v>
      </c>
      <c r="AW2939" s="21">
        <f t="shared" si="177"/>
        <v>2</v>
      </c>
      <c r="AX2939" s="21" t="str">
        <f t="shared" si="176"/>
        <v/>
      </c>
      <c r="AY2939" s="21" t="str">
        <f>IF(AND($AM2939&lt;&gt;"",$AS2939&lt;&gt;"✓"),SUMPRODUCT(($AM$11:$AM2939&lt;&gt;"")*($AS$11:$AS2939&lt;&gt;"✓")),"")</f>
        <v/>
      </c>
      <c r="AZ2939" s="21" t="str">
        <f>IF(AND($AM2939&lt;&gt;"",$AS2939="✓"),SUMPRODUCT(($AM$11:$AM2939&lt;&gt;"")*($AS$11:$AS2939="✓")),"")</f>
        <v/>
      </c>
      <c r="BA2939" s="21" t="str">
        <f>IF($AL2939="","",$AL2939&amp;"|"&amp;COUNTIF($AL$11:$AL2939,$AL2939))</f>
        <v/>
      </c>
    </row>
    <row r="2940" spans="38:53" ht="15" customHeight="1" x14ac:dyDescent="0.25">
      <c r="AL2940" s="31"/>
      <c r="AM2940" s="26"/>
      <c r="AN2940" s="32"/>
      <c r="AO2940" s="32"/>
      <c r="AP2940" s="24"/>
      <c r="AQ2940" s="24"/>
      <c r="AR2940" s="33"/>
      <c r="AS2940" s="34"/>
      <c r="AT2940" s="33"/>
      <c r="AV2940" s="21">
        <f>IF(AND($AL2940&lt;&gt;"",COUNTIF($AL$11:$AL2940,$AL2940)=1),1,0)</f>
        <v>0</v>
      </c>
      <c r="AW2940" s="21">
        <f t="shared" si="177"/>
        <v>2</v>
      </c>
      <c r="AX2940" s="21" t="str">
        <f t="shared" si="176"/>
        <v/>
      </c>
      <c r="AY2940" s="21" t="str">
        <f>IF(AND($AM2940&lt;&gt;"",$AS2940&lt;&gt;"✓"),SUMPRODUCT(($AM$11:$AM2940&lt;&gt;"")*($AS$11:$AS2940&lt;&gt;"✓")),"")</f>
        <v/>
      </c>
      <c r="AZ2940" s="21" t="str">
        <f>IF(AND($AM2940&lt;&gt;"",$AS2940="✓"),SUMPRODUCT(($AM$11:$AM2940&lt;&gt;"")*($AS$11:$AS2940="✓")),"")</f>
        <v/>
      </c>
      <c r="BA2940" s="21" t="str">
        <f>IF($AL2940="","",$AL2940&amp;"|"&amp;COUNTIF($AL$11:$AL2940,$AL2940))</f>
        <v/>
      </c>
    </row>
    <row r="2941" spans="38:53" ht="15" customHeight="1" x14ac:dyDescent="0.25">
      <c r="AL2941" s="17"/>
      <c r="AM2941" s="12"/>
      <c r="AN2941" s="18"/>
      <c r="AO2941" s="18"/>
      <c r="AP2941" s="10"/>
      <c r="AQ2941" s="10"/>
      <c r="AR2941" s="19"/>
      <c r="AS2941" s="20"/>
      <c r="AT2941" s="19"/>
      <c r="AV2941" s="21">
        <f>IF(AND($AL2941&lt;&gt;"",COUNTIF($AL$11:$AL2941,$AL2941)=1),1,0)</f>
        <v>0</v>
      </c>
      <c r="AW2941" s="21">
        <f t="shared" si="177"/>
        <v>2</v>
      </c>
      <c r="AX2941" s="21" t="str">
        <f t="shared" si="176"/>
        <v/>
      </c>
      <c r="AY2941" s="21" t="str">
        <f>IF(AND($AM2941&lt;&gt;"",$AS2941&lt;&gt;"✓"),SUMPRODUCT(($AM$11:$AM2941&lt;&gt;"")*($AS$11:$AS2941&lt;&gt;"✓")),"")</f>
        <v/>
      </c>
      <c r="AZ2941" s="21" t="str">
        <f>IF(AND($AM2941&lt;&gt;"",$AS2941="✓"),SUMPRODUCT(($AM$11:$AM2941&lt;&gt;"")*($AS$11:$AS2941="✓")),"")</f>
        <v/>
      </c>
      <c r="BA2941" s="21" t="str">
        <f>IF($AL2941="","",$AL2941&amp;"|"&amp;COUNTIF($AL$11:$AL2941,$AL2941))</f>
        <v/>
      </c>
    </row>
    <row r="2942" spans="38:53" ht="15" customHeight="1" x14ac:dyDescent="0.25">
      <c r="AL2942" s="31"/>
      <c r="AM2942" s="26"/>
      <c r="AN2942" s="32"/>
      <c r="AO2942" s="32"/>
      <c r="AP2942" s="24"/>
      <c r="AQ2942" s="24"/>
      <c r="AR2942" s="33"/>
      <c r="AS2942" s="34"/>
      <c r="AT2942" s="33"/>
      <c r="AV2942" s="21">
        <f>IF(AND($AL2942&lt;&gt;"",COUNTIF($AL$11:$AL2942,$AL2942)=1),1,0)</f>
        <v>0</v>
      </c>
      <c r="AW2942" s="21">
        <f t="shared" si="177"/>
        <v>2</v>
      </c>
      <c r="AX2942" s="21" t="str">
        <f t="shared" si="176"/>
        <v/>
      </c>
      <c r="AY2942" s="21" t="str">
        <f>IF(AND($AM2942&lt;&gt;"",$AS2942&lt;&gt;"✓"),SUMPRODUCT(($AM$11:$AM2942&lt;&gt;"")*($AS$11:$AS2942&lt;&gt;"✓")),"")</f>
        <v/>
      </c>
      <c r="AZ2942" s="21" t="str">
        <f>IF(AND($AM2942&lt;&gt;"",$AS2942="✓"),SUMPRODUCT(($AM$11:$AM2942&lt;&gt;"")*($AS$11:$AS2942="✓")),"")</f>
        <v/>
      </c>
      <c r="BA2942" s="21" t="str">
        <f>IF($AL2942="","",$AL2942&amp;"|"&amp;COUNTIF($AL$11:$AL2942,$AL2942))</f>
        <v/>
      </c>
    </row>
    <row r="2943" spans="38:53" ht="15" customHeight="1" x14ac:dyDescent="0.25">
      <c r="AL2943" s="17"/>
      <c r="AM2943" s="12"/>
      <c r="AN2943" s="18"/>
      <c r="AO2943" s="18"/>
      <c r="AP2943" s="10"/>
      <c r="AQ2943" s="10"/>
      <c r="AR2943" s="19"/>
      <c r="AS2943" s="20"/>
      <c r="AT2943" s="19"/>
      <c r="AV2943" s="21">
        <f>IF(AND($AL2943&lt;&gt;"",COUNTIF($AL$11:$AL2943,$AL2943)=1),1,0)</f>
        <v>0</v>
      </c>
      <c r="AW2943" s="21">
        <f t="shared" si="177"/>
        <v>2</v>
      </c>
      <c r="AX2943" s="21" t="str">
        <f t="shared" si="176"/>
        <v/>
      </c>
      <c r="AY2943" s="21" t="str">
        <f>IF(AND($AM2943&lt;&gt;"",$AS2943&lt;&gt;"✓"),SUMPRODUCT(($AM$11:$AM2943&lt;&gt;"")*($AS$11:$AS2943&lt;&gt;"✓")),"")</f>
        <v/>
      </c>
      <c r="AZ2943" s="21" t="str">
        <f>IF(AND($AM2943&lt;&gt;"",$AS2943="✓"),SUMPRODUCT(($AM$11:$AM2943&lt;&gt;"")*($AS$11:$AS2943="✓")),"")</f>
        <v/>
      </c>
      <c r="BA2943" s="21" t="str">
        <f>IF($AL2943="","",$AL2943&amp;"|"&amp;COUNTIF($AL$11:$AL2943,$AL2943))</f>
        <v/>
      </c>
    </row>
    <row r="2944" spans="38:53" ht="15" customHeight="1" x14ac:dyDescent="0.25">
      <c r="AL2944" s="31"/>
      <c r="AM2944" s="26"/>
      <c r="AN2944" s="32"/>
      <c r="AO2944" s="32"/>
      <c r="AP2944" s="24"/>
      <c r="AQ2944" s="24"/>
      <c r="AR2944" s="33"/>
      <c r="AS2944" s="34"/>
      <c r="AT2944" s="33"/>
      <c r="AV2944" s="21">
        <f>IF(AND($AL2944&lt;&gt;"",COUNTIF($AL$11:$AL2944,$AL2944)=1),1,0)</f>
        <v>0</v>
      </c>
      <c r="AW2944" s="21">
        <f t="shared" si="177"/>
        <v>2</v>
      </c>
      <c r="AX2944" s="21" t="str">
        <f t="shared" si="176"/>
        <v/>
      </c>
      <c r="AY2944" s="21" t="str">
        <f>IF(AND($AM2944&lt;&gt;"",$AS2944&lt;&gt;"✓"),SUMPRODUCT(($AM$11:$AM2944&lt;&gt;"")*($AS$11:$AS2944&lt;&gt;"✓")),"")</f>
        <v/>
      </c>
      <c r="AZ2944" s="21" t="str">
        <f>IF(AND($AM2944&lt;&gt;"",$AS2944="✓"),SUMPRODUCT(($AM$11:$AM2944&lt;&gt;"")*($AS$11:$AS2944="✓")),"")</f>
        <v/>
      </c>
      <c r="BA2944" s="21" t="str">
        <f>IF($AL2944="","",$AL2944&amp;"|"&amp;COUNTIF($AL$11:$AL2944,$AL2944))</f>
        <v/>
      </c>
    </row>
    <row r="2945" spans="38:53" ht="15" customHeight="1" x14ac:dyDescent="0.25">
      <c r="AL2945" s="17"/>
      <c r="AM2945" s="12"/>
      <c r="AN2945" s="18"/>
      <c r="AO2945" s="18"/>
      <c r="AP2945" s="10"/>
      <c r="AQ2945" s="10"/>
      <c r="AR2945" s="19"/>
      <c r="AS2945" s="20"/>
      <c r="AT2945" s="19"/>
      <c r="AV2945" s="21">
        <f>IF(AND($AL2945&lt;&gt;"",COUNTIF($AL$11:$AL2945,$AL2945)=1),1,0)</f>
        <v>0</v>
      </c>
      <c r="AW2945" s="21">
        <f t="shared" si="177"/>
        <v>2</v>
      </c>
      <c r="AX2945" s="21" t="str">
        <f t="shared" si="176"/>
        <v/>
      </c>
      <c r="AY2945" s="21" t="str">
        <f>IF(AND($AM2945&lt;&gt;"",$AS2945&lt;&gt;"✓"),SUMPRODUCT(($AM$11:$AM2945&lt;&gt;"")*($AS$11:$AS2945&lt;&gt;"✓")),"")</f>
        <v/>
      </c>
      <c r="AZ2945" s="21" t="str">
        <f>IF(AND($AM2945&lt;&gt;"",$AS2945="✓"),SUMPRODUCT(($AM$11:$AM2945&lt;&gt;"")*($AS$11:$AS2945="✓")),"")</f>
        <v/>
      </c>
      <c r="BA2945" s="21" t="str">
        <f>IF($AL2945="","",$AL2945&amp;"|"&amp;COUNTIF($AL$11:$AL2945,$AL2945))</f>
        <v/>
      </c>
    </row>
    <row r="2946" spans="38:53" ht="15" customHeight="1" x14ac:dyDescent="0.25">
      <c r="AL2946" s="31"/>
      <c r="AM2946" s="26"/>
      <c r="AN2946" s="32"/>
      <c r="AO2946" s="32"/>
      <c r="AP2946" s="24"/>
      <c r="AQ2946" s="24"/>
      <c r="AR2946" s="33"/>
      <c r="AS2946" s="34"/>
      <c r="AT2946" s="33"/>
      <c r="AV2946" s="21">
        <f>IF(AND($AL2946&lt;&gt;"",COUNTIF($AL$11:$AL2946,$AL2946)=1),1,0)</f>
        <v>0</v>
      </c>
      <c r="AW2946" s="21">
        <f t="shared" si="177"/>
        <v>2</v>
      </c>
      <c r="AX2946" s="21" t="str">
        <f t="shared" si="176"/>
        <v/>
      </c>
      <c r="AY2946" s="21" t="str">
        <f>IF(AND($AM2946&lt;&gt;"",$AS2946&lt;&gt;"✓"),SUMPRODUCT(($AM$11:$AM2946&lt;&gt;"")*($AS$11:$AS2946&lt;&gt;"✓")),"")</f>
        <v/>
      </c>
      <c r="AZ2946" s="21" t="str">
        <f>IF(AND($AM2946&lt;&gt;"",$AS2946="✓"),SUMPRODUCT(($AM$11:$AM2946&lt;&gt;"")*($AS$11:$AS2946="✓")),"")</f>
        <v/>
      </c>
      <c r="BA2946" s="21" t="str">
        <f>IF($AL2946="","",$AL2946&amp;"|"&amp;COUNTIF($AL$11:$AL2946,$AL2946))</f>
        <v/>
      </c>
    </row>
    <row r="2947" spans="38:53" ht="15" customHeight="1" x14ac:dyDescent="0.25">
      <c r="AL2947" s="17"/>
      <c r="AM2947" s="12"/>
      <c r="AN2947" s="18"/>
      <c r="AO2947" s="18"/>
      <c r="AP2947" s="10"/>
      <c r="AQ2947" s="10"/>
      <c r="AR2947" s="19"/>
      <c r="AS2947" s="20"/>
      <c r="AT2947" s="19"/>
      <c r="AV2947" s="21">
        <f>IF(AND($AL2947&lt;&gt;"",COUNTIF($AL$11:$AL2947,$AL2947)=1),1,0)</f>
        <v>0</v>
      </c>
      <c r="AW2947" s="21">
        <f t="shared" si="177"/>
        <v>2</v>
      </c>
      <c r="AX2947" s="21" t="str">
        <f t="shared" si="176"/>
        <v/>
      </c>
      <c r="AY2947" s="21" t="str">
        <f>IF(AND($AM2947&lt;&gt;"",$AS2947&lt;&gt;"✓"),SUMPRODUCT(($AM$11:$AM2947&lt;&gt;"")*($AS$11:$AS2947&lt;&gt;"✓")),"")</f>
        <v/>
      </c>
      <c r="AZ2947" s="21" t="str">
        <f>IF(AND($AM2947&lt;&gt;"",$AS2947="✓"),SUMPRODUCT(($AM$11:$AM2947&lt;&gt;"")*($AS$11:$AS2947="✓")),"")</f>
        <v/>
      </c>
      <c r="BA2947" s="21" t="str">
        <f>IF($AL2947="","",$AL2947&amp;"|"&amp;COUNTIF($AL$11:$AL2947,$AL2947))</f>
        <v/>
      </c>
    </row>
    <row r="2948" spans="38:53" ht="15" customHeight="1" x14ac:dyDescent="0.25">
      <c r="AL2948" s="31"/>
      <c r="AM2948" s="26"/>
      <c r="AN2948" s="32"/>
      <c r="AO2948" s="32"/>
      <c r="AP2948" s="24"/>
      <c r="AQ2948" s="24"/>
      <c r="AR2948" s="33"/>
      <c r="AS2948" s="34"/>
      <c r="AT2948" s="33"/>
      <c r="AV2948" s="21">
        <f>IF(AND($AL2948&lt;&gt;"",COUNTIF($AL$11:$AL2948,$AL2948)=1),1,0)</f>
        <v>0</v>
      </c>
      <c r="AW2948" s="21">
        <f t="shared" si="177"/>
        <v>2</v>
      </c>
      <c r="AX2948" s="21" t="str">
        <f t="shared" si="176"/>
        <v/>
      </c>
      <c r="AY2948" s="21" t="str">
        <f>IF(AND($AM2948&lt;&gt;"",$AS2948&lt;&gt;"✓"),SUMPRODUCT(($AM$11:$AM2948&lt;&gt;"")*($AS$11:$AS2948&lt;&gt;"✓")),"")</f>
        <v/>
      </c>
      <c r="AZ2948" s="21" t="str">
        <f>IF(AND($AM2948&lt;&gt;"",$AS2948="✓"),SUMPRODUCT(($AM$11:$AM2948&lt;&gt;"")*($AS$11:$AS2948="✓")),"")</f>
        <v/>
      </c>
      <c r="BA2948" s="21" t="str">
        <f>IF($AL2948="","",$AL2948&amp;"|"&amp;COUNTIF($AL$11:$AL2948,$AL2948))</f>
        <v/>
      </c>
    </row>
    <row r="2949" spans="38:53" ht="15" customHeight="1" x14ac:dyDescent="0.25">
      <c r="AL2949" s="17"/>
      <c r="AM2949" s="12"/>
      <c r="AN2949" s="18"/>
      <c r="AO2949" s="18"/>
      <c r="AP2949" s="10"/>
      <c r="AQ2949" s="10"/>
      <c r="AR2949" s="19"/>
      <c r="AS2949" s="20"/>
      <c r="AT2949" s="19"/>
      <c r="AV2949" s="21">
        <f>IF(AND($AL2949&lt;&gt;"",COUNTIF($AL$11:$AL2949,$AL2949)=1),1,0)</f>
        <v>0</v>
      </c>
      <c r="AW2949" s="21">
        <f t="shared" si="177"/>
        <v>2</v>
      </c>
      <c r="AX2949" s="21" t="str">
        <f t="shared" si="176"/>
        <v/>
      </c>
      <c r="AY2949" s="21" t="str">
        <f>IF(AND($AM2949&lt;&gt;"",$AS2949&lt;&gt;"✓"),SUMPRODUCT(($AM$11:$AM2949&lt;&gt;"")*($AS$11:$AS2949&lt;&gt;"✓")),"")</f>
        <v/>
      </c>
      <c r="AZ2949" s="21" t="str">
        <f>IF(AND($AM2949&lt;&gt;"",$AS2949="✓"),SUMPRODUCT(($AM$11:$AM2949&lt;&gt;"")*($AS$11:$AS2949="✓")),"")</f>
        <v/>
      </c>
      <c r="BA2949" s="21" t="str">
        <f>IF($AL2949="","",$AL2949&amp;"|"&amp;COUNTIF($AL$11:$AL2949,$AL2949))</f>
        <v/>
      </c>
    </row>
    <row r="2950" spans="38:53" ht="15" customHeight="1" x14ac:dyDescent="0.25">
      <c r="AL2950" s="31"/>
      <c r="AM2950" s="26"/>
      <c r="AN2950" s="32"/>
      <c r="AO2950" s="32"/>
      <c r="AP2950" s="24"/>
      <c r="AQ2950" s="24"/>
      <c r="AR2950" s="33"/>
      <c r="AS2950" s="34"/>
      <c r="AT2950" s="33"/>
      <c r="AV2950" s="21">
        <f>IF(AND($AL2950&lt;&gt;"",COUNTIF($AL$11:$AL2950,$AL2950)=1),1,0)</f>
        <v>0</v>
      </c>
      <c r="AW2950" s="21">
        <f t="shared" si="177"/>
        <v>2</v>
      </c>
      <c r="AX2950" s="21" t="str">
        <f t="shared" si="176"/>
        <v/>
      </c>
      <c r="AY2950" s="21" t="str">
        <f>IF(AND($AM2950&lt;&gt;"",$AS2950&lt;&gt;"✓"),SUMPRODUCT(($AM$11:$AM2950&lt;&gt;"")*($AS$11:$AS2950&lt;&gt;"✓")),"")</f>
        <v/>
      </c>
      <c r="AZ2950" s="21" t="str">
        <f>IF(AND($AM2950&lt;&gt;"",$AS2950="✓"),SUMPRODUCT(($AM$11:$AM2950&lt;&gt;"")*($AS$11:$AS2950="✓")),"")</f>
        <v/>
      </c>
      <c r="BA2950" s="21" t="str">
        <f>IF($AL2950="","",$AL2950&amp;"|"&amp;COUNTIF($AL$11:$AL2950,$AL2950))</f>
        <v/>
      </c>
    </row>
    <row r="2951" spans="38:53" ht="15" customHeight="1" x14ac:dyDescent="0.25">
      <c r="AL2951" s="17"/>
      <c r="AM2951" s="12"/>
      <c r="AN2951" s="18"/>
      <c r="AO2951" s="18"/>
      <c r="AP2951" s="10"/>
      <c r="AQ2951" s="10"/>
      <c r="AR2951" s="19"/>
      <c r="AS2951" s="20"/>
      <c r="AT2951" s="19"/>
      <c r="AV2951" s="21">
        <f>IF(AND($AL2951&lt;&gt;"",COUNTIF($AL$11:$AL2951,$AL2951)=1),1,0)</f>
        <v>0</v>
      </c>
      <c r="AW2951" s="21">
        <f t="shared" si="177"/>
        <v>2</v>
      </c>
      <c r="AX2951" s="21" t="str">
        <f t="shared" si="176"/>
        <v/>
      </c>
      <c r="AY2951" s="21" t="str">
        <f>IF(AND($AM2951&lt;&gt;"",$AS2951&lt;&gt;"✓"),SUMPRODUCT(($AM$11:$AM2951&lt;&gt;"")*($AS$11:$AS2951&lt;&gt;"✓")),"")</f>
        <v/>
      </c>
      <c r="AZ2951" s="21" t="str">
        <f>IF(AND($AM2951&lt;&gt;"",$AS2951="✓"),SUMPRODUCT(($AM$11:$AM2951&lt;&gt;"")*($AS$11:$AS2951="✓")),"")</f>
        <v/>
      </c>
      <c r="BA2951" s="21" t="str">
        <f>IF($AL2951="","",$AL2951&amp;"|"&amp;COUNTIF($AL$11:$AL2951,$AL2951))</f>
        <v/>
      </c>
    </row>
    <row r="2952" spans="38:53" ht="15" customHeight="1" x14ac:dyDescent="0.25">
      <c r="AL2952" s="31"/>
      <c r="AM2952" s="26"/>
      <c r="AN2952" s="32"/>
      <c r="AO2952" s="32"/>
      <c r="AP2952" s="24"/>
      <c r="AQ2952" s="24"/>
      <c r="AR2952" s="33"/>
      <c r="AS2952" s="34"/>
      <c r="AT2952" s="33"/>
      <c r="AV2952" s="21">
        <f>IF(AND($AL2952&lt;&gt;"",COUNTIF($AL$11:$AL2952,$AL2952)=1),1,0)</f>
        <v>0</v>
      </c>
      <c r="AW2952" s="21">
        <f t="shared" si="177"/>
        <v>2</v>
      </c>
      <c r="AX2952" s="21" t="str">
        <f t="shared" si="176"/>
        <v/>
      </c>
      <c r="AY2952" s="21" t="str">
        <f>IF(AND($AM2952&lt;&gt;"",$AS2952&lt;&gt;"✓"),SUMPRODUCT(($AM$11:$AM2952&lt;&gt;"")*($AS$11:$AS2952&lt;&gt;"✓")),"")</f>
        <v/>
      </c>
      <c r="AZ2952" s="21" t="str">
        <f>IF(AND($AM2952&lt;&gt;"",$AS2952="✓"),SUMPRODUCT(($AM$11:$AM2952&lt;&gt;"")*($AS$11:$AS2952="✓")),"")</f>
        <v/>
      </c>
      <c r="BA2952" s="21" t="str">
        <f>IF($AL2952="","",$AL2952&amp;"|"&amp;COUNTIF($AL$11:$AL2952,$AL2952))</f>
        <v/>
      </c>
    </row>
    <row r="2953" spans="38:53" ht="15" customHeight="1" x14ac:dyDescent="0.25">
      <c r="AL2953" s="17"/>
      <c r="AM2953" s="12"/>
      <c r="AN2953" s="18"/>
      <c r="AO2953" s="18"/>
      <c r="AP2953" s="10"/>
      <c r="AQ2953" s="10"/>
      <c r="AR2953" s="19"/>
      <c r="AS2953" s="20"/>
      <c r="AT2953" s="19"/>
      <c r="AV2953" s="21">
        <f>IF(AND($AL2953&lt;&gt;"",COUNTIF($AL$11:$AL2953,$AL2953)=1),1,0)</f>
        <v>0</v>
      </c>
      <c r="AW2953" s="21">
        <f t="shared" si="177"/>
        <v>2</v>
      </c>
      <c r="AX2953" s="21" t="str">
        <f t="shared" si="176"/>
        <v/>
      </c>
      <c r="AY2953" s="21" t="str">
        <f>IF(AND($AM2953&lt;&gt;"",$AS2953&lt;&gt;"✓"),SUMPRODUCT(($AM$11:$AM2953&lt;&gt;"")*($AS$11:$AS2953&lt;&gt;"✓")),"")</f>
        <v/>
      </c>
      <c r="AZ2953" s="21" t="str">
        <f>IF(AND($AM2953&lt;&gt;"",$AS2953="✓"),SUMPRODUCT(($AM$11:$AM2953&lt;&gt;"")*($AS$11:$AS2953="✓")),"")</f>
        <v/>
      </c>
      <c r="BA2953" s="21" t="str">
        <f>IF($AL2953="","",$AL2953&amp;"|"&amp;COUNTIF($AL$11:$AL2953,$AL2953))</f>
        <v/>
      </c>
    </row>
    <row r="2954" spans="38:53" ht="15" customHeight="1" x14ac:dyDescent="0.25">
      <c r="AL2954" s="31"/>
      <c r="AM2954" s="26"/>
      <c r="AN2954" s="32"/>
      <c r="AO2954" s="32"/>
      <c r="AP2954" s="24"/>
      <c r="AQ2954" s="24"/>
      <c r="AR2954" s="33"/>
      <c r="AS2954" s="34"/>
      <c r="AT2954" s="33"/>
      <c r="AV2954" s="21">
        <f>IF(AND($AL2954&lt;&gt;"",COUNTIF($AL$11:$AL2954,$AL2954)=1),1,0)</f>
        <v>0</v>
      </c>
      <c r="AW2954" s="21">
        <f t="shared" si="177"/>
        <v>2</v>
      </c>
      <c r="AX2954" s="21" t="str">
        <f t="shared" si="176"/>
        <v/>
      </c>
      <c r="AY2954" s="21" t="str">
        <f>IF(AND($AM2954&lt;&gt;"",$AS2954&lt;&gt;"✓"),SUMPRODUCT(($AM$11:$AM2954&lt;&gt;"")*($AS$11:$AS2954&lt;&gt;"✓")),"")</f>
        <v/>
      </c>
      <c r="AZ2954" s="21" t="str">
        <f>IF(AND($AM2954&lt;&gt;"",$AS2954="✓"),SUMPRODUCT(($AM$11:$AM2954&lt;&gt;"")*($AS$11:$AS2954="✓")),"")</f>
        <v/>
      </c>
      <c r="BA2954" s="21" t="str">
        <f>IF($AL2954="","",$AL2954&amp;"|"&amp;COUNTIF($AL$11:$AL2954,$AL2954))</f>
        <v/>
      </c>
    </row>
    <row r="2955" spans="38:53" ht="15" customHeight="1" x14ac:dyDescent="0.25">
      <c r="AL2955" s="17"/>
      <c r="AM2955" s="12"/>
      <c r="AN2955" s="18"/>
      <c r="AO2955" s="18"/>
      <c r="AP2955" s="10"/>
      <c r="AQ2955" s="10"/>
      <c r="AR2955" s="19"/>
      <c r="AS2955" s="20"/>
      <c r="AT2955" s="19"/>
      <c r="AV2955" s="21">
        <f>IF(AND($AL2955&lt;&gt;"",COUNTIF($AL$11:$AL2955,$AL2955)=1),1,0)</f>
        <v>0</v>
      </c>
      <c r="AW2955" s="21">
        <f t="shared" si="177"/>
        <v>2</v>
      </c>
      <c r="AX2955" s="21" t="str">
        <f t="shared" ref="AX2955:AX3018" si="178">IF(AV2955=1,AW2955,"")</f>
        <v/>
      </c>
      <c r="AY2955" s="21" t="str">
        <f>IF(AND($AM2955&lt;&gt;"",$AS2955&lt;&gt;"✓"),SUMPRODUCT(($AM$11:$AM2955&lt;&gt;"")*($AS$11:$AS2955&lt;&gt;"✓")),"")</f>
        <v/>
      </c>
      <c r="AZ2955" s="21" t="str">
        <f>IF(AND($AM2955&lt;&gt;"",$AS2955="✓"),SUMPRODUCT(($AM$11:$AM2955&lt;&gt;"")*($AS$11:$AS2955="✓")),"")</f>
        <v/>
      </c>
      <c r="BA2955" s="21" t="str">
        <f>IF($AL2955="","",$AL2955&amp;"|"&amp;COUNTIF($AL$11:$AL2955,$AL2955))</f>
        <v/>
      </c>
    </row>
    <row r="2956" spans="38:53" ht="15" customHeight="1" x14ac:dyDescent="0.25">
      <c r="AL2956" s="31"/>
      <c r="AM2956" s="26"/>
      <c r="AN2956" s="32"/>
      <c r="AO2956" s="32"/>
      <c r="AP2956" s="24"/>
      <c r="AQ2956" s="24"/>
      <c r="AR2956" s="33"/>
      <c r="AS2956" s="34"/>
      <c r="AT2956" s="33"/>
      <c r="AV2956" s="21">
        <f>IF(AND($AL2956&lt;&gt;"",COUNTIF($AL$11:$AL2956,$AL2956)=1),1,0)</f>
        <v>0</v>
      </c>
      <c r="AW2956" s="21">
        <f t="shared" ref="AW2956:AW3019" si="179">AW2955+AV2956</f>
        <v>2</v>
      </c>
      <c r="AX2956" s="21" t="str">
        <f t="shared" si="178"/>
        <v/>
      </c>
      <c r="AY2956" s="21" t="str">
        <f>IF(AND($AM2956&lt;&gt;"",$AS2956&lt;&gt;"✓"),SUMPRODUCT(($AM$11:$AM2956&lt;&gt;"")*($AS$11:$AS2956&lt;&gt;"✓")),"")</f>
        <v/>
      </c>
      <c r="AZ2956" s="21" t="str">
        <f>IF(AND($AM2956&lt;&gt;"",$AS2956="✓"),SUMPRODUCT(($AM$11:$AM2956&lt;&gt;"")*($AS$11:$AS2956="✓")),"")</f>
        <v/>
      </c>
      <c r="BA2956" s="21" t="str">
        <f>IF($AL2956="","",$AL2956&amp;"|"&amp;COUNTIF($AL$11:$AL2956,$AL2956))</f>
        <v/>
      </c>
    </row>
    <row r="2957" spans="38:53" ht="15" customHeight="1" x14ac:dyDescent="0.25">
      <c r="AL2957" s="17"/>
      <c r="AM2957" s="12"/>
      <c r="AN2957" s="18"/>
      <c r="AO2957" s="18"/>
      <c r="AP2957" s="10"/>
      <c r="AQ2957" s="10"/>
      <c r="AR2957" s="19"/>
      <c r="AS2957" s="20"/>
      <c r="AT2957" s="19"/>
      <c r="AV2957" s="21">
        <f>IF(AND($AL2957&lt;&gt;"",COUNTIF($AL$11:$AL2957,$AL2957)=1),1,0)</f>
        <v>0</v>
      </c>
      <c r="AW2957" s="21">
        <f t="shared" si="179"/>
        <v>2</v>
      </c>
      <c r="AX2957" s="21" t="str">
        <f t="shared" si="178"/>
        <v/>
      </c>
      <c r="AY2957" s="21" t="str">
        <f>IF(AND($AM2957&lt;&gt;"",$AS2957&lt;&gt;"✓"),SUMPRODUCT(($AM$11:$AM2957&lt;&gt;"")*($AS$11:$AS2957&lt;&gt;"✓")),"")</f>
        <v/>
      </c>
      <c r="AZ2957" s="21" t="str">
        <f>IF(AND($AM2957&lt;&gt;"",$AS2957="✓"),SUMPRODUCT(($AM$11:$AM2957&lt;&gt;"")*($AS$11:$AS2957="✓")),"")</f>
        <v/>
      </c>
      <c r="BA2957" s="21" t="str">
        <f>IF($AL2957="","",$AL2957&amp;"|"&amp;COUNTIF($AL$11:$AL2957,$AL2957))</f>
        <v/>
      </c>
    </row>
    <row r="2958" spans="38:53" ht="15" customHeight="1" x14ac:dyDescent="0.25">
      <c r="AL2958" s="31"/>
      <c r="AM2958" s="26"/>
      <c r="AN2958" s="32"/>
      <c r="AO2958" s="32"/>
      <c r="AP2958" s="24"/>
      <c r="AQ2958" s="24"/>
      <c r="AR2958" s="33"/>
      <c r="AS2958" s="34"/>
      <c r="AT2958" s="33"/>
      <c r="AV2958" s="21">
        <f>IF(AND($AL2958&lt;&gt;"",COUNTIF($AL$11:$AL2958,$AL2958)=1),1,0)</f>
        <v>0</v>
      </c>
      <c r="AW2958" s="21">
        <f t="shared" si="179"/>
        <v>2</v>
      </c>
      <c r="AX2958" s="21" t="str">
        <f t="shared" si="178"/>
        <v/>
      </c>
      <c r="AY2958" s="21" t="str">
        <f>IF(AND($AM2958&lt;&gt;"",$AS2958&lt;&gt;"✓"),SUMPRODUCT(($AM$11:$AM2958&lt;&gt;"")*($AS$11:$AS2958&lt;&gt;"✓")),"")</f>
        <v/>
      </c>
      <c r="AZ2958" s="21" t="str">
        <f>IF(AND($AM2958&lt;&gt;"",$AS2958="✓"),SUMPRODUCT(($AM$11:$AM2958&lt;&gt;"")*($AS$11:$AS2958="✓")),"")</f>
        <v/>
      </c>
      <c r="BA2958" s="21" t="str">
        <f>IF($AL2958="","",$AL2958&amp;"|"&amp;COUNTIF($AL$11:$AL2958,$AL2958))</f>
        <v/>
      </c>
    </row>
    <row r="2959" spans="38:53" ht="15" customHeight="1" x14ac:dyDescent="0.25">
      <c r="AL2959" s="17"/>
      <c r="AM2959" s="12"/>
      <c r="AN2959" s="18"/>
      <c r="AO2959" s="18"/>
      <c r="AP2959" s="10"/>
      <c r="AQ2959" s="10"/>
      <c r="AR2959" s="19"/>
      <c r="AS2959" s="20"/>
      <c r="AT2959" s="19"/>
      <c r="AV2959" s="21">
        <f>IF(AND($AL2959&lt;&gt;"",COUNTIF($AL$11:$AL2959,$AL2959)=1),1,0)</f>
        <v>0</v>
      </c>
      <c r="AW2959" s="21">
        <f t="shared" si="179"/>
        <v>2</v>
      </c>
      <c r="AX2959" s="21" t="str">
        <f t="shared" si="178"/>
        <v/>
      </c>
      <c r="AY2959" s="21" t="str">
        <f>IF(AND($AM2959&lt;&gt;"",$AS2959&lt;&gt;"✓"),SUMPRODUCT(($AM$11:$AM2959&lt;&gt;"")*($AS$11:$AS2959&lt;&gt;"✓")),"")</f>
        <v/>
      </c>
      <c r="AZ2959" s="21" t="str">
        <f>IF(AND($AM2959&lt;&gt;"",$AS2959="✓"),SUMPRODUCT(($AM$11:$AM2959&lt;&gt;"")*($AS$11:$AS2959="✓")),"")</f>
        <v/>
      </c>
      <c r="BA2959" s="21" t="str">
        <f>IF($AL2959="","",$AL2959&amp;"|"&amp;COUNTIF($AL$11:$AL2959,$AL2959))</f>
        <v/>
      </c>
    </row>
    <row r="2960" spans="38:53" ht="15" customHeight="1" x14ac:dyDescent="0.25">
      <c r="AL2960" s="31"/>
      <c r="AM2960" s="26"/>
      <c r="AN2960" s="32"/>
      <c r="AO2960" s="32"/>
      <c r="AP2960" s="24"/>
      <c r="AQ2960" s="24"/>
      <c r="AR2960" s="33"/>
      <c r="AS2960" s="34"/>
      <c r="AT2960" s="33"/>
      <c r="AV2960" s="21">
        <f>IF(AND($AL2960&lt;&gt;"",COUNTIF($AL$11:$AL2960,$AL2960)=1),1,0)</f>
        <v>0</v>
      </c>
      <c r="AW2960" s="21">
        <f t="shared" si="179"/>
        <v>2</v>
      </c>
      <c r="AX2960" s="21" t="str">
        <f t="shared" si="178"/>
        <v/>
      </c>
      <c r="AY2960" s="21" t="str">
        <f>IF(AND($AM2960&lt;&gt;"",$AS2960&lt;&gt;"✓"),SUMPRODUCT(($AM$11:$AM2960&lt;&gt;"")*($AS$11:$AS2960&lt;&gt;"✓")),"")</f>
        <v/>
      </c>
      <c r="AZ2960" s="21" t="str">
        <f>IF(AND($AM2960&lt;&gt;"",$AS2960="✓"),SUMPRODUCT(($AM$11:$AM2960&lt;&gt;"")*($AS$11:$AS2960="✓")),"")</f>
        <v/>
      </c>
      <c r="BA2960" s="21" t="str">
        <f>IF($AL2960="","",$AL2960&amp;"|"&amp;COUNTIF($AL$11:$AL2960,$AL2960))</f>
        <v/>
      </c>
    </row>
    <row r="2961" spans="38:53" ht="15" customHeight="1" x14ac:dyDescent="0.25">
      <c r="AL2961" s="17"/>
      <c r="AM2961" s="12"/>
      <c r="AN2961" s="18"/>
      <c r="AO2961" s="18"/>
      <c r="AP2961" s="10"/>
      <c r="AQ2961" s="10"/>
      <c r="AR2961" s="19"/>
      <c r="AS2961" s="20"/>
      <c r="AT2961" s="19"/>
      <c r="AV2961" s="21">
        <f>IF(AND($AL2961&lt;&gt;"",COUNTIF($AL$11:$AL2961,$AL2961)=1),1,0)</f>
        <v>0</v>
      </c>
      <c r="AW2961" s="21">
        <f t="shared" si="179"/>
        <v>2</v>
      </c>
      <c r="AX2961" s="21" t="str">
        <f t="shared" si="178"/>
        <v/>
      </c>
      <c r="AY2961" s="21" t="str">
        <f>IF(AND($AM2961&lt;&gt;"",$AS2961&lt;&gt;"✓"),SUMPRODUCT(($AM$11:$AM2961&lt;&gt;"")*($AS$11:$AS2961&lt;&gt;"✓")),"")</f>
        <v/>
      </c>
      <c r="AZ2961" s="21" t="str">
        <f>IF(AND($AM2961&lt;&gt;"",$AS2961="✓"),SUMPRODUCT(($AM$11:$AM2961&lt;&gt;"")*($AS$11:$AS2961="✓")),"")</f>
        <v/>
      </c>
      <c r="BA2961" s="21" t="str">
        <f>IF($AL2961="","",$AL2961&amp;"|"&amp;COUNTIF($AL$11:$AL2961,$AL2961))</f>
        <v/>
      </c>
    </row>
    <row r="2962" spans="38:53" ht="15" customHeight="1" x14ac:dyDescent="0.25">
      <c r="AL2962" s="31"/>
      <c r="AM2962" s="26"/>
      <c r="AN2962" s="32"/>
      <c r="AO2962" s="32"/>
      <c r="AP2962" s="24"/>
      <c r="AQ2962" s="24"/>
      <c r="AR2962" s="33"/>
      <c r="AS2962" s="34"/>
      <c r="AT2962" s="33"/>
      <c r="AV2962" s="21">
        <f>IF(AND($AL2962&lt;&gt;"",COUNTIF($AL$11:$AL2962,$AL2962)=1),1,0)</f>
        <v>0</v>
      </c>
      <c r="AW2962" s="21">
        <f t="shared" si="179"/>
        <v>2</v>
      </c>
      <c r="AX2962" s="21" t="str">
        <f t="shared" si="178"/>
        <v/>
      </c>
      <c r="AY2962" s="21" t="str">
        <f>IF(AND($AM2962&lt;&gt;"",$AS2962&lt;&gt;"✓"),SUMPRODUCT(($AM$11:$AM2962&lt;&gt;"")*($AS$11:$AS2962&lt;&gt;"✓")),"")</f>
        <v/>
      </c>
      <c r="AZ2962" s="21" t="str">
        <f>IF(AND($AM2962&lt;&gt;"",$AS2962="✓"),SUMPRODUCT(($AM$11:$AM2962&lt;&gt;"")*($AS$11:$AS2962="✓")),"")</f>
        <v/>
      </c>
      <c r="BA2962" s="21" t="str">
        <f>IF($AL2962="","",$AL2962&amp;"|"&amp;COUNTIF($AL$11:$AL2962,$AL2962))</f>
        <v/>
      </c>
    </row>
    <row r="2963" spans="38:53" ht="15" customHeight="1" x14ac:dyDescent="0.25">
      <c r="AL2963" s="17"/>
      <c r="AM2963" s="12"/>
      <c r="AN2963" s="18"/>
      <c r="AO2963" s="18"/>
      <c r="AP2963" s="10"/>
      <c r="AQ2963" s="10"/>
      <c r="AR2963" s="19"/>
      <c r="AS2963" s="20"/>
      <c r="AT2963" s="19"/>
      <c r="AV2963" s="21">
        <f>IF(AND($AL2963&lt;&gt;"",COUNTIF($AL$11:$AL2963,$AL2963)=1),1,0)</f>
        <v>0</v>
      </c>
      <c r="AW2963" s="21">
        <f t="shared" si="179"/>
        <v>2</v>
      </c>
      <c r="AX2963" s="21" t="str">
        <f t="shared" si="178"/>
        <v/>
      </c>
      <c r="AY2963" s="21" t="str">
        <f>IF(AND($AM2963&lt;&gt;"",$AS2963&lt;&gt;"✓"),SUMPRODUCT(($AM$11:$AM2963&lt;&gt;"")*($AS$11:$AS2963&lt;&gt;"✓")),"")</f>
        <v/>
      </c>
      <c r="AZ2963" s="21" t="str">
        <f>IF(AND($AM2963&lt;&gt;"",$AS2963="✓"),SUMPRODUCT(($AM$11:$AM2963&lt;&gt;"")*($AS$11:$AS2963="✓")),"")</f>
        <v/>
      </c>
      <c r="BA2963" s="21" t="str">
        <f>IF($AL2963="","",$AL2963&amp;"|"&amp;COUNTIF($AL$11:$AL2963,$AL2963))</f>
        <v/>
      </c>
    </row>
    <row r="2964" spans="38:53" ht="15" customHeight="1" x14ac:dyDescent="0.25">
      <c r="AL2964" s="31"/>
      <c r="AM2964" s="26"/>
      <c r="AN2964" s="32"/>
      <c r="AO2964" s="32"/>
      <c r="AP2964" s="24"/>
      <c r="AQ2964" s="24"/>
      <c r="AR2964" s="33"/>
      <c r="AS2964" s="34"/>
      <c r="AT2964" s="33"/>
      <c r="AV2964" s="21">
        <f>IF(AND($AL2964&lt;&gt;"",COUNTIF($AL$11:$AL2964,$AL2964)=1),1,0)</f>
        <v>0</v>
      </c>
      <c r="AW2964" s="21">
        <f t="shared" si="179"/>
        <v>2</v>
      </c>
      <c r="AX2964" s="21" t="str">
        <f t="shared" si="178"/>
        <v/>
      </c>
      <c r="AY2964" s="21" t="str">
        <f>IF(AND($AM2964&lt;&gt;"",$AS2964&lt;&gt;"✓"),SUMPRODUCT(($AM$11:$AM2964&lt;&gt;"")*($AS$11:$AS2964&lt;&gt;"✓")),"")</f>
        <v/>
      </c>
      <c r="AZ2964" s="21" t="str">
        <f>IF(AND($AM2964&lt;&gt;"",$AS2964="✓"),SUMPRODUCT(($AM$11:$AM2964&lt;&gt;"")*($AS$11:$AS2964="✓")),"")</f>
        <v/>
      </c>
      <c r="BA2964" s="21" t="str">
        <f>IF($AL2964="","",$AL2964&amp;"|"&amp;COUNTIF($AL$11:$AL2964,$AL2964))</f>
        <v/>
      </c>
    </row>
    <row r="2965" spans="38:53" ht="15" customHeight="1" x14ac:dyDescent="0.25">
      <c r="AL2965" s="17"/>
      <c r="AM2965" s="12"/>
      <c r="AN2965" s="18"/>
      <c r="AO2965" s="18"/>
      <c r="AP2965" s="10"/>
      <c r="AQ2965" s="10"/>
      <c r="AR2965" s="19"/>
      <c r="AS2965" s="20"/>
      <c r="AT2965" s="19"/>
      <c r="AV2965" s="21">
        <f>IF(AND($AL2965&lt;&gt;"",COUNTIF($AL$11:$AL2965,$AL2965)=1),1,0)</f>
        <v>0</v>
      </c>
      <c r="AW2965" s="21">
        <f t="shared" si="179"/>
        <v>2</v>
      </c>
      <c r="AX2965" s="21" t="str">
        <f t="shared" si="178"/>
        <v/>
      </c>
      <c r="AY2965" s="21" t="str">
        <f>IF(AND($AM2965&lt;&gt;"",$AS2965&lt;&gt;"✓"),SUMPRODUCT(($AM$11:$AM2965&lt;&gt;"")*($AS$11:$AS2965&lt;&gt;"✓")),"")</f>
        <v/>
      </c>
      <c r="AZ2965" s="21" t="str">
        <f>IF(AND($AM2965&lt;&gt;"",$AS2965="✓"),SUMPRODUCT(($AM$11:$AM2965&lt;&gt;"")*($AS$11:$AS2965="✓")),"")</f>
        <v/>
      </c>
      <c r="BA2965" s="21" t="str">
        <f>IF($AL2965="","",$AL2965&amp;"|"&amp;COUNTIF($AL$11:$AL2965,$AL2965))</f>
        <v/>
      </c>
    </row>
    <row r="2966" spans="38:53" ht="15" customHeight="1" x14ac:dyDescent="0.25">
      <c r="AL2966" s="31"/>
      <c r="AM2966" s="26"/>
      <c r="AN2966" s="32"/>
      <c r="AO2966" s="32"/>
      <c r="AP2966" s="24"/>
      <c r="AQ2966" s="24"/>
      <c r="AR2966" s="33"/>
      <c r="AS2966" s="34"/>
      <c r="AT2966" s="33"/>
      <c r="AV2966" s="21">
        <f>IF(AND($AL2966&lt;&gt;"",COUNTIF($AL$11:$AL2966,$AL2966)=1),1,0)</f>
        <v>0</v>
      </c>
      <c r="AW2966" s="21">
        <f t="shared" si="179"/>
        <v>2</v>
      </c>
      <c r="AX2966" s="21" t="str">
        <f t="shared" si="178"/>
        <v/>
      </c>
      <c r="AY2966" s="21" t="str">
        <f>IF(AND($AM2966&lt;&gt;"",$AS2966&lt;&gt;"✓"),SUMPRODUCT(($AM$11:$AM2966&lt;&gt;"")*($AS$11:$AS2966&lt;&gt;"✓")),"")</f>
        <v/>
      </c>
      <c r="AZ2966" s="21" t="str">
        <f>IF(AND($AM2966&lt;&gt;"",$AS2966="✓"),SUMPRODUCT(($AM$11:$AM2966&lt;&gt;"")*($AS$11:$AS2966="✓")),"")</f>
        <v/>
      </c>
      <c r="BA2966" s="21" t="str">
        <f>IF($AL2966="","",$AL2966&amp;"|"&amp;COUNTIF($AL$11:$AL2966,$AL2966))</f>
        <v/>
      </c>
    </row>
    <row r="2967" spans="38:53" ht="15" customHeight="1" x14ac:dyDescent="0.25">
      <c r="AL2967" s="17"/>
      <c r="AM2967" s="12"/>
      <c r="AN2967" s="18"/>
      <c r="AO2967" s="18"/>
      <c r="AP2967" s="10"/>
      <c r="AQ2967" s="10"/>
      <c r="AR2967" s="19"/>
      <c r="AS2967" s="20"/>
      <c r="AT2967" s="19"/>
      <c r="AV2967" s="21">
        <f>IF(AND($AL2967&lt;&gt;"",COUNTIF($AL$11:$AL2967,$AL2967)=1),1,0)</f>
        <v>0</v>
      </c>
      <c r="AW2967" s="21">
        <f t="shared" si="179"/>
        <v>2</v>
      </c>
      <c r="AX2967" s="21" t="str">
        <f t="shared" si="178"/>
        <v/>
      </c>
      <c r="AY2967" s="21" t="str">
        <f>IF(AND($AM2967&lt;&gt;"",$AS2967&lt;&gt;"✓"),SUMPRODUCT(($AM$11:$AM2967&lt;&gt;"")*($AS$11:$AS2967&lt;&gt;"✓")),"")</f>
        <v/>
      </c>
      <c r="AZ2967" s="21" t="str">
        <f>IF(AND($AM2967&lt;&gt;"",$AS2967="✓"),SUMPRODUCT(($AM$11:$AM2967&lt;&gt;"")*($AS$11:$AS2967="✓")),"")</f>
        <v/>
      </c>
      <c r="BA2967" s="21" t="str">
        <f>IF($AL2967="","",$AL2967&amp;"|"&amp;COUNTIF($AL$11:$AL2967,$AL2967))</f>
        <v/>
      </c>
    </row>
    <row r="2968" spans="38:53" ht="15" customHeight="1" x14ac:dyDescent="0.25">
      <c r="AL2968" s="31"/>
      <c r="AM2968" s="26"/>
      <c r="AN2968" s="32"/>
      <c r="AO2968" s="32"/>
      <c r="AP2968" s="24"/>
      <c r="AQ2968" s="24"/>
      <c r="AR2968" s="33"/>
      <c r="AS2968" s="34"/>
      <c r="AT2968" s="33"/>
      <c r="AV2968" s="21">
        <f>IF(AND($AL2968&lt;&gt;"",COUNTIF($AL$11:$AL2968,$AL2968)=1),1,0)</f>
        <v>0</v>
      </c>
      <c r="AW2968" s="21">
        <f t="shared" si="179"/>
        <v>2</v>
      </c>
      <c r="AX2968" s="21" t="str">
        <f t="shared" si="178"/>
        <v/>
      </c>
      <c r="AY2968" s="21" t="str">
        <f>IF(AND($AM2968&lt;&gt;"",$AS2968&lt;&gt;"✓"),SUMPRODUCT(($AM$11:$AM2968&lt;&gt;"")*($AS$11:$AS2968&lt;&gt;"✓")),"")</f>
        <v/>
      </c>
      <c r="AZ2968" s="21" t="str">
        <f>IF(AND($AM2968&lt;&gt;"",$AS2968="✓"),SUMPRODUCT(($AM$11:$AM2968&lt;&gt;"")*($AS$11:$AS2968="✓")),"")</f>
        <v/>
      </c>
      <c r="BA2968" s="21" t="str">
        <f>IF($AL2968="","",$AL2968&amp;"|"&amp;COUNTIF($AL$11:$AL2968,$AL2968))</f>
        <v/>
      </c>
    </row>
    <row r="2969" spans="38:53" ht="15" customHeight="1" x14ac:dyDescent="0.25">
      <c r="AL2969" s="17"/>
      <c r="AM2969" s="12"/>
      <c r="AN2969" s="18"/>
      <c r="AO2969" s="18"/>
      <c r="AP2969" s="10"/>
      <c r="AQ2969" s="10"/>
      <c r="AR2969" s="19"/>
      <c r="AS2969" s="20"/>
      <c r="AT2969" s="19"/>
      <c r="AV2969" s="21">
        <f>IF(AND($AL2969&lt;&gt;"",COUNTIF($AL$11:$AL2969,$AL2969)=1),1,0)</f>
        <v>0</v>
      </c>
      <c r="AW2969" s="21">
        <f t="shared" si="179"/>
        <v>2</v>
      </c>
      <c r="AX2969" s="21" t="str">
        <f t="shared" si="178"/>
        <v/>
      </c>
      <c r="AY2969" s="21" t="str">
        <f>IF(AND($AM2969&lt;&gt;"",$AS2969&lt;&gt;"✓"),SUMPRODUCT(($AM$11:$AM2969&lt;&gt;"")*($AS$11:$AS2969&lt;&gt;"✓")),"")</f>
        <v/>
      </c>
      <c r="AZ2969" s="21" t="str">
        <f>IF(AND($AM2969&lt;&gt;"",$AS2969="✓"),SUMPRODUCT(($AM$11:$AM2969&lt;&gt;"")*($AS$11:$AS2969="✓")),"")</f>
        <v/>
      </c>
      <c r="BA2969" s="21" t="str">
        <f>IF($AL2969="","",$AL2969&amp;"|"&amp;COUNTIF($AL$11:$AL2969,$AL2969))</f>
        <v/>
      </c>
    </row>
    <row r="2970" spans="38:53" ht="15" customHeight="1" x14ac:dyDescent="0.25">
      <c r="AL2970" s="31"/>
      <c r="AM2970" s="26"/>
      <c r="AN2970" s="32"/>
      <c r="AO2970" s="32"/>
      <c r="AP2970" s="24"/>
      <c r="AQ2970" s="24"/>
      <c r="AR2970" s="33"/>
      <c r="AS2970" s="34"/>
      <c r="AT2970" s="33"/>
      <c r="AV2970" s="21">
        <f>IF(AND($AL2970&lt;&gt;"",COUNTIF($AL$11:$AL2970,$AL2970)=1),1,0)</f>
        <v>0</v>
      </c>
      <c r="AW2970" s="21">
        <f t="shared" si="179"/>
        <v>2</v>
      </c>
      <c r="AX2970" s="21" t="str">
        <f t="shared" si="178"/>
        <v/>
      </c>
      <c r="AY2970" s="21" t="str">
        <f>IF(AND($AM2970&lt;&gt;"",$AS2970&lt;&gt;"✓"),SUMPRODUCT(($AM$11:$AM2970&lt;&gt;"")*($AS$11:$AS2970&lt;&gt;"✓")),"")</f>
        <v/>
      </c>
      <c r="AZ2970" s="21" t="str">
        <f>IF(AND($AM2970&lt;&gt;"",$AS2970="✓"),SUMPRODUCT(($AM$11:$AM2970&lt;&gt;"")*($AS$11:$AS2970="✓")),"")</f>
        <v/>
      </c>
      <c r="BA2970" s="21" t="str">
        <f>IF($AL2970="","",$AL2970&amp;"|"&amp;COUNTIF($AL$11:$AL2970,$AL2970))</f>
        <v/>
      </c>
    </row>
    <row r="2971" spans="38:53" ht="15" customHeight="1" x14ac:dyDescent="0.25">
      <c r="AL2971" s="17"/>
      <c r="AM2971" s="12"/>
      <c r="AN2971" s="18"/>
      <c r="AO2971" s="18"/>
      <c r="AP2971" s="10"/>
      <c r="AQ2971" s="10"/>
      <c r="AR2971" s="19"/>
      <c r="AS2971" s="20"/>
      <c r="AT2971" s="19"/>
      <c r="AV2971" s="21">
        <f>IF(AND($AL2971&lt;&gt;"",COUNTIF($AL$11:$AL2971,$AL2971)=1),1,0)</f>
        <v>0</v>
      </c>
      <c r="AW2971" s="21">
        <f t="shared" si="179"/>
        <v>2</v>
      </c>
      <c r="AX2971" s="21" t="str">
        <f t="shared" si="178"/>
        <v/>
      </c>
      <c r="AY2971" s="21" t="str">
        <f>IF(AND($AM2971&lt;&gt;"",$AS2971&lt;&gt;"✓"),SUMPRODUCT(($AM$11:$AM2971&lt;&gt;"")*($AS$11:$AS2971&lt;&gt;"✓")),"")</f>
        <v/>
      </c>
      <c r="AZ2971" s="21" t="str">
        <f>IF(AND($AM2971&lt;&gt;"",$AS2971="✓"),SUMPRODUCT(($AM$11:$AM2971&lt;&gt;"")*($AS$11:$AS2971="✓")),"")</f>
        <v/>
      </c>
      <c r="BA2971" s="21" t="str">
        <f>IF($AL2971="","",$AL2971&amp;"|"&amp;COUNTIF($AL$11:$AL2971,$AL2971))</f>
        <v/>
      </c>
    </row>
    <row r="2972" spans="38:53" ht="15" customHeight="1" x14ac:dyDescent="0.25">
      <c r="AL2972" s="31"/>
      <c r="AM2972" s="26"/>
      <c r="AN2972" s="32"/>
      <c r="AO2972" s="32"/>
      <c r="AP2972" s="24"/>
      <c r="AQ2972" s="24"/>
      <c r="AR2972" s="33"/>
      <c r="AS2972" s="34"/>
      <c r="AT2972" s="33"/>
      <c r="AV2972" s="21">
        <f>IF(AND($AL2972&lt;&gt;"",COUNTIF($AL$11:$AL2972,$AL2972)=1),1,0)</f>
        <v>0</v>
      </c>
      <c r="AW2972" s="21">
        <f t="shared" si="179"/>
        <v>2</v>
      </c>
      <c r="AX2972" s="21" t="str">
        <f t="shared" si="178"/>
        <v/>
      </c>
      <c r="AY2972" s="21" t="str">
        <f>IF(AND($AM2972&lt;&gt;"",$AS2972&lt;&gt;"✓"),SUMPRODUCT(($AM$11:$AM2972&lt;&gt;"")*($AS$11:$AS2972&lt;&gt;"✓")),"")</f>
        <v/>
      </c>
      <c r="AZ2972" s="21" t="str">
        <f>IF(AND($AM2972&lt;&gt;"",$AS2972="✓"),SUMPRODUCT(($AM$11:$AM2972&lt;&gt;"")*($AS$11:$AS2972="✓")),"")</f>
        <v/>
      </c>
      <c r="BA2972" s="21" t="str">
        <f>IF($AL2972="","",$AL2972&amp;"|"&amp;COUNTIF($AL$11:$AL2972,$AL2972))</f>
        <v/>
      </c>
    </row>
    <row r="2973" spans="38:53" ht="15" customHeight="1" x14ac:dyDescent="0.25">
      <c r="AL2973" s="17"/>
      <c r="AM2973" s="12"/>
      <c r="AN2973" s="18"/>
      <c r="AO2973" s="18"/>
      <c r="AP2973" s="10"/>
      <c r="AQ2973" s="10"/>
      <c r="AR2973" s="19"/>
      <c r="AS2973" s="20"/>
      <c r="AT2973" s="19"/>
      <c r="AV2973" s="21">
        <f>IF(AND($AL2973&lt;&gt;"",COUNTIF($AL$11:$AL2973,$AL2973)=1),1,0)</f>
        <v>0</v>
      </c>
      <c r="AW2973" s="21">
        <f t="shared" si="179"/>
        <v>2</v>
      </c>
      <c r="AX2973" s="21" t="str">
        <f t="shared" si="178"/>
        <v/>
      </c>
      <c r="AY2973" s="21" t="str">
        <f>IF(AND($AM2973&lt;&gt;"",$AS2973&lt;&gt;"✓"),SUMPRODUCT(($AM$11:$AM2973&lt;&gt;"")*($AS$11:$AS2973&lt;&gt;"✓")),"")</f>
        <v/>
      </c>
      <c r="AZ2973" s="21" t="str">
        <f>IF(AND($AM2973&lt;&gt;"",$AS2973="✓"),SUMPRODUCT(($AM$11:$AM2973&lt;&gt;"")*($AS$11:$AS2973="✓")),"")</f>
        <v/>
      </c>
      <c r="BA2973" s="21" t="str">
        <f>IF($AL2973="","",$AL2973&amp;"|"&amp;COUNTIF($AL$11:$AL2973,$AL2973))</f>
        <v/>
      </c>
    </row>
    <row r="2974" spans="38:53" ht="15" customHeight="1" x14ac:dyDescent="0.25">
      <c r="AL2974" s="31"/>
      <c r="AM2974" s="26"/>
      <c r="AN2974" s="32"/>
      <c r="AO2974" s="32"/>
      <c r="AP2974" s="24"/>
      <c r="AQ2974" s="24"/>
      <c r="AR2974" s="33"/>
      <c r="AS2974" s="34"/>
      <c r="AT2974" s="33"/>
      <c r="AV2974" s="21">
        <f>IF(AND($AL2974&lt;&gt;"",COUNTIF($AL$11:$AL2974,$AL2974)=1),1,0)</f>
        <v>0</v>
      </c>
      <c r="AW2974" s="21">
        <f t="shared" si="179"/>
        <v>2</v>
      </c>
      <c r="AX2974" s="21" t="str">
        <f t="shared" si="178"/>
        <v/>
      </c>
      <c r="AY2974" s="21" t="str">
        <f>IF(AND($AM2974&lt;&gt;"",$AS2974&lt;&gt;"✓"),SUMPRODUCT(($AM$11:$AM2974&lt;&gt;"")*($AS$11:$AS2974&lt;&gt;"✓")),"")</f>
        <v/>
      </c>
      <c r="AZ2974" s="21" t="str">
        <f>IF(AND($AM2974&lt;&gt;"",$AS2974="✓"),SUMPRODUCT(($AM$11:$AM2974&lt;&gt;"")*($AS$11:$AS2974="✓")),"")</f>
        <v/>
      </c>
      <c r="BA2974" s="21" t="str">
        <f>IF($AL2974="","",$AL2974&amp;"|"&amp;COUNTIF($AL$11:$AL2974,$AL2974))</f>
        <v/>
      </c>
    </row>
    <row r="2975" spans="38:53" ht="15" customHeight="1" x14ac:dyDescent="0.25">
      <c r="AL2975" s="17"/>
      <c r="AM2975" s="12"/>
      <c r="AN2975" s="18"/>
      <c r="AO2975" s="18"/>
      <c r="AP2975" s="10"/>
      <c r="AQ2975" s="10"/>
      <c r="AR2975" s="19"/>
      <c r="AS2975" s="20"/>
      <c r="AT2975" s="19"/>
      <c r="AV2975" s="21">
        <f>IF(AND($AL2975&lt;&gt;"",COUNTIF($AL$11:$AL2975,$AL2975)=1),1,0)</f>
        <v>0</v>
      </c>
      <c r="AW2975" s="21">
        <f t="shared" si="179"/>
        <v>2</v>
      </c>
      <c r="AX2975" s="21" t="str">
        <f t="shared" si="178"/>
        <v/>
      </c>
      <c r="AY2975" s="21" t="str">
        <f>IF(AND($AM2975&lt;&gt;"",$AS2975&lt;&gt;"✓"),SUMPRODUCT(($AM$11:$AM2975&lt;&gt;"")*($AS$11:$AS2975&lt;&gt;"✓")),"")</f>
        <v/>
      </c>
      <c r="AZ2975" s="21" t="str">
        <f>IF(AND($AM2975&lt;&gt;"",$AS2975="✓"),SUMPRODUCT(($AM$11:$AM2975&lt;&gt;"")*($AS$11:$AS2975="✓")),"")</f>
        <v/>
      </c>
      <c r="BA2975" s="21" t="str">
        <f>IF($AL2975="","",$AL2975&amp;"|"&amp;COUNTIF($AL$11:$AL2975,$AL2975))</f>
        <v/>
      </c>
    </row>
    <row r="2976" spans="38:53" ht="15" customHeight="1" x14ac:dyDescent="0.25">
      <c r="AL2976" s="31"/>
      <c r="AM2976" s="26"/>
      <c r="AN2976" s="32"/>
      <c r="AO2976" s="32"/>
      <c r="AP2976" s="24"/>
      <c r="AQ2976" s="24"/>
      <c r="AR2976" s="33"/>
      <c r="AS2976" s="34"/>
      <c r="AT2976" s="33"/>
      <c r="AV2976" s="21">
        <f>IF(AND($AL2976&lt;&gt;"",COUNTIF($AL$11:$AL2976,$AL2976)=1),1,0)</f>
        <v>0</v>
      </c>
      <c r="AW2976" s="21">
        <f t="shared" si="179"/>
        <v>2</v>
      </c>
      <c r="AX2976" s="21" t="str">
        <f t="shared" si="178"/>
        <v/>
      </c>
      <c r="AY2976" s="21" t="str">
        <f>IF(AND($AM2976&lt;&gt;"",$AS2976&lt;&gt;"✓"),SUMPRODUCT(($AM$11:$AM2976&lt;&gt;"")*($AS$11:$AS2976&lt;&gt;"✓")),"")</f>
        <v/>
      </c>
      <c r="AZ2976" s="21" t="str">
        <f>IF(AND($AM2976&lt;&gt;"",$AS2976="✓"),SUMPRODUCT(($AM$11:$AM2976&lt;&gt;"")*($AS$11:$AS2976="✓")),"")</f>
        <v/>
      </c>
      <c r="BA2976" s="21" t="str">
        <f>IF($AL2976="","",$AL2976&amp;"|"&amp;COUNTIF($AL$11:$AL2976,$AL2976))</f>
        <v/>
      </c>
    </row>
    <row r="2977" spans="38:53" ht="15" customHeight="1" x14ac:dyDescent="0.25">
      <c r="AL2977" s="17"/>
      <c r="AM2977" s="12"/>
      <c r="AN2977" s="18"/>
      <c r="AO2977" s="18"/>
      <c r="AP2977" s="10"/>
      <c r="AQ2977" s="10"/>
      <c r="AR2977" s="19"/>
      <c r="AS2977" s="20"/>
      <c r="AT2977" s="19"/>
      <c r="AV2977" s="21">
        <f>IF(AND($AL2977&lt;&gt;"",COUNTIF($AL$11:$AL2977,$AL2977)=1),1,0)</f>
        <v>0</v>
      </c>
      <c r="AW2977" s="21">
        <f t="shared" si="179"/>
        <v>2</v>
      </c>
      <c r="AX2977" s="21" t="str">
        <f t="shared" si="178"/>
        <v/>
      </c>
      <c r="AY2977" s="21" t="str">
        <f>IF(AND($AM2977&lt;&gt;"",$AS2977&lt;&gt;"✓"),SUMPRODUCT(($AM$11:$AM2977&lt;&gt;"")*($AS$11:$AS2977&lt;&gt;"✓")),"")</f>
        <v/>
      </c>
      <c r="AZ2977" s="21" t="str">
        <f>IF(AND($AM2977&lt;&gt;"",$AS2977="✓"),SUMPRODUCT(($AM$11:$AM2977&lt;&gt;"")*($AS$11:$AS2977="✓")),"")</f>
        <v/>
      </c>
      <c r="BA2977" s="21" t="str">
        <f>IF($AL2977="","",$AL2977&amp;"|"&amp;COUNTIF($AL$11:$AL2977,$AL2977))</f>
        <v/>
      </c>
    </row>
    <row r="2978" spans="38:53" ht="15" customHeight="1" x14ac:dyDescent="0.25">
      <c r="AL2978" s="31"/>
      <c r="AM2978" s="26"/>
      <c r="AN2978" s="32"/>
      <c r="AO2978" s="32"/>
      <c r="AP2978" s="24"/>
      <c r="AQ2978" s="24"/>
      <c r="AR2978" s="33"/>
      <c r="AS2978" s="34"/>
      <c r="AT2978" s="33"/>
      <c r="AV2978" s="21">
        <f>IF(AND($AL2978&lt;&gt;"",COUNTIF($AL$11:$AL2978,$AL2978)=1),1,0)</f>
        <v>0</v>
      </c>
      <c r="AW2978" s="21">
        <f t="shared" si="179"/>
        <v>2</v>
      </c>
      <c r="AX2978" s="21" t="str">
        <f t="shared" si="178"/>
        <v/>
      </c>
      <c r="AY2978" s="21" t="str">
        <f>IF(AND($AM2978&lt;&gt;"",$AS2978&lt;&gt;"✓"),SUMPRODUCT(($AM$11:$AM2978&lt;&gt;"")*($AS$11:$AS2978&lt;&gt;"✓")),"")</f>
        <v/>
      </c>
      <c r="AZ2978" s="21" t="str">
        <f>IF(AND($AM2978&lt;&gt;"",$AS2978="✓"),SUMPRODUCT(($AM$11:$AM2978&lt;&gt;"")*($AS$11:$AS2978="✓")),"")</f>
        <v/>
      </c>
      <c r="BA2978" s="21" t="str">
        <f>IF($AL2978="","",$AL2978&amp;"|"&amp;COUNTIF($AL$11:$AL2978,$AL2978))</f>
        <v/>
      </c>
    </row>
    <row r="2979" spans="38:53" ht="15" customHeight="1" x14ac:dyDescent="0.25">
      <c r="AL2979" s="17"/>
      <c r="AM2979" s="12"/>
      <c r="AN2979" s="18"/>
      <c r="AO2979" s="18"/>
      <c r="AP2979" s="10"/>
      <c r="AQ2979" s="10"/>
      <c r="AR2979" s="19"/>
      <c r="AS2979" s="20"/>
      <c r="AT2979" s="19"/>
      <c r="AV2979" s="21">
        <f>IF(AND($AL2979&lt;&gt;"",COUNTIF($AL$11:$AL2979,$AL2979)=1),1,0)</f>
        <v>0</v>
      </c>
      <c r="AW2979" s="21">
        <f t="shared" si="179"/>
        <v>2</v>
      </c>
      <c r="AX2979" s="21" t="str">
        <f t="shared" si="178"/>
        <v/>
      </c>
      <c r="AY2979" s="21" t="str">
        <f>IF(AND($AM2979&lt;&gt;"",$AS2979&lt;&gt;"✓"),SUMPRODUCT(($AM$11:$AM2979&lt;&gt;"")*($AS$11:$AS2979&lt;&gt;"✓")),"")</f>
        <v/>
      </c>
      <c r="AZ2979" s="21" t="str">
        <f>IF(AND($AM2979&lt;&gt;"",$AS2979="✓"),SUMPRODUCT(($AM$11:$AM2979&lt;&gt;"")*($AS$11:$AS2979="✓")),"")</f>
        <v/>
      </c>
      <c r="BA2979" s="21" t="str">
        <f>IF($AL2979="","",$AL2979&amp;"|"&amp;COUNTIF($AL$11:$AL2979,$AL2979))</f>
        <v/>
      </c>
    </row>
    <row r="2980" spans="38:53" ht="15" customHeight="1" x14ac:dyDescent="0.25">
      <c r="AL2980" s="31"/>
      <c r="AM2980" s="26"/>
      <c r="AN2980" s="32"/>
      <c r="AO2980" s="32"/>
      <c r="AP2980" s="24"/>
      <c r="AQ2980" s="24"/>
      <c r="AR2980" s="33"/>
      <c r="AS2980" s="34"/>
      <c r="AT2980" s="33"/>
      <c r="AV2980" s="21">
        <f>IF(AND($AL2980&lt;&gt;"",COUNTIF($AL$11:$AL2980,$AL2980)=1),1,0)</f>
        <v>0</v>
      </c>
      <c r="AW2980" s="21">
        <f t="shared" si="179"/>
        <v>2</v>
      </c>
      <c r="AX2980" s="21" t="str">
        <f t="shared" si="178"/>
        <v/>
      </c>
      <c r="AY2980" s="21" t="str">
        <f>IF(AND($AM2980&lt;&gt;"",$AS2980&lt;&gt;"✓"),SUMPRODUCT(($AM$11:$AM2980&lt;&gt;"")*($AS$11:$AS2980&lt;&gt;"✓")),"")</f>
        <v/>
      </c>
      <c r="AZ2980" s="21" t="str">
        <f>IF(AND($AM2980&lt;&gt;"",$AS2980="✓"),SUMPRODUCT(($AM$11:$AM2980&lt;&gt;"")*($AS$11:$AS2980="✓")),"")</f>
        <v/>
      </c>
      <c r="BA2980" s="21" t="str">
        <f>IF($AL2980="","",$AL2980&amp;"|"&amp;COUNTIF($AL$11:$AL2980,$AL2980))</f>
        <v/>
      </c>
    </row>
    <row r="2981" spans="38:53" ht="15" customHeight="1" x14ac:dyDescent="0.25">
      <c r="AL2981" s="17"/>
      <c r="AM2981" s="12"/>
      <c r="AN2981" s="18"/>
      <c r="AO2981" s="18"/>
      <c r="AP2981" s="10"/>
      <c r="AQ2981" s="10"/>
      <c r="AR2981" s="19"/>
      <c r="AS2981" s="20"/>
      <c r="AT2981" s="19"/>
      <c r="AV2981" s="21">
        <f>IF(AND($AL2981&lt;&gt;"",COUNTIF($AL$11:$AL2981,$AL2981)=1),1,0)</f>
        <v>0</v>
      </c>
      <c r="AW2981" s="21">
        <f t="shared" si="179"/>
        <v>2</v>
      </c>
      <c r="AX2981" s="21" t="str">
        <f t="shared" si="178"/>
        <v/>
      </c>
      <c r="AY2981" s="21" t="str">
        <f>IF(AND($AM2981&lt;&gt;"",$AS2981&lt;&gt;"✓"),SUMPRODUCT(($AM$11:$AM2981&lt;&gt;"")*($AS$11:$AS2981&lt;&gt;"✓")),"")</f>
        <v/>
      </c>
      <c r="AZ2981" s="21" t="str">
        <f>IF(AND($AM2981&lt;&gt;"",$AS2981="✓"),SUMPRODUCT(($AM$11:$AM2981&lt;&gt;"")*($AS$11:$AS2981="✓")),"")</f>
        <v/>
      </c>
      <c r="BA2981" s="21" t="str">
        <f>IF($AL2981="","",$AL2981&amp;"|"&amp;COUNTIF($AL$11:$AL2981,$AL2981))</f>
        <v/>
      </c>
    </row>
    <row r="2982" spans="38:53" ht="15" customHeight="1" x14ac:dyDescent="0.25">
      <c r="AL2982" s="31"/>
      <c r="AM2982" s="26"/>
      <c r="AN2982" s="32"/>
      <c r="AO2982" s="32"/>
      <c r="AP2982" s="24"/>
      <c r="AQ2982" s="24"/>
      <c r="AR2982" s="33"/>
      <c r="AS2982" s="34"/>
      <c r="AT2982" s="33"/>
      <c r="AV2982" s="21">
        <f>IF(AND($AL2982&lt;&gt;"",COUNTIF($AL$11:$AL2982,$AL2982)=1),1,0)</f>
        <v>0</v>
      </c>
      <c r="AW2982" s="21">
        <f t="shared" si="179"/>
        <v>2</v>
      </c>
      <c r="AX2982" s="21" t="str">
        <f t="shared" si="178"/>
        <v/>
      </c>
      <c r="AY2982" s="21" t="str">
        <f>IF(AND($AM2982&lt;&gt;"",$AS2982&lt;&gt;"✓"),SUMPRODUCT(($AM$11:$AM2982&lt;&gt;"")*($AS$11:$AS2982&lt;&gt;"✓")),"")</f>
        <v/>
      </c>
      <c r="AZ2982" s="21" t="str">
        <f>IF(AND($AM2982&lt;&gt;"",$AS2982="✓"),SUMPRODUCT(($AM$11:$AM2982&lt;&gt;"")*($AS$11:$AS2982="✓")),"")</f>
        <v/>
      </c>
      <c r="BA2982" s="21" t="str">
        <f>IF($AL2982="","",$AL2982&amp;"|"&amp;COUNTIF($AL$11:$AL2982,$AL2982))</f>
        <v/>
      </c>
    </row>
    <row r="2983" spans="38:53" ht="15" customHeight="1" x14ac:dyDescent="0.25">
      <c r="AL2983" s="17"/>
      <c r="AM2983" s="12"/>
      <c r="AN2983" s="18"/>
      <c r="AO2983" s="18"/>
      <c r="AP2983" s="10"/>
      <c r="AQ2983" s="10"/>
      <c r="AR2983" s="19"/>
      <c r="AS2983" s="20"/>
      <c r="AT2983" s="19"/>
      <c r="AV2983" s="21">
        <f>IF(AND($AL2983&lt;&gt;"",COUNTIF($AL$11:$AL2983,$AL2983)=1),1,0)</f>
        <v>0</v>
      </c>
      <c r="AW2983" s="21">
        <f t="shared" si="179"/>
        <v>2</v>
      </c>
      <c r="AX2983" s="21" t="str">
        <f t="shared" si="178"/>
        <v/>
      </c>
      <c r="AY2983" s="21" t="str">
        <f>IF(AND($AM2983&lt;&gt;"",$AS2983&lt;&gt;"✓"),SUMPRODUCT(($AM$11:$AM2983&lt;&gt;"")*($AS$11:$AS2983&lt;&gt;"✓")),"")</f>
        <v/>
      </c>
      <c r="AZ2983" s="21" t="str">
        <f>IF(AND($AM2983&lt;&gt;"",$AS2983="✓"),SUMPRODUCT(($AM$11:$AM2983&lt;&gt;"")*($AS$11:$AS2983="✓")),"")</f>
        <v/>
      </c>
      <c r="BA2983" s="21" t="str">
        <f>IF($AL2983="","",$AL2983&amp;"|"&amp;COUNTIF($AL$11:$AL2983,$AL2983))</f>
        <v/>
      </c>
    </row>
    <row r="2984" spans="38:53" ht="15" customHeight="1" x14ac:dyDescent="0.25">
      <c r="AL2984" s="31"/>
      <c r="AM2984" s="26"/>
      <c r="AN2984" s="32"/>
      <c r="AO2984" s="32"/>
      <c r="AP2984" s="24"/>
      <c r="AQ2984" s="24"/>
      <c r="AR2984" s="33"/>
      <c r="AS2984" s="34"/>
      <c r="AT2984" s="33"/>
      <c r="AV2984" s="21">
        <f>IF(AND($AL2984&lt;&gt;"",COUNTIF($AL$11:$AL2984,$AL2984)=1),1,0)</f>
        <v>0</v>
      </c>
      <c r="AW2984" s="21">
        <f t="shared" si="179"/>
        <v>2</v>
      </c>
      <c r="AX2984" s="21" t="str">
        <f t="shared" si="178"/>
        <v/>
      </c>
      <c r="AY2984" s="21" t="str">
        <f>IF(AND($AM2984&lt;&gt;"",$AS2984&lt;&gt;"✓"),SUMPRODUCT(($AM$11:$AM2984&lt;&gt;"")*($AS$11:$AS2984&lt;&gt;"✓")),"")</f>
        <v/>
      </c>
      <c r="AZ2984" s="21" t="str">
        <f>IF(AND($AM2984&lt;&gt;"",$AS2984="✓"),SUMPRODUCT(($AM$11:$AM2984&lt;&gt;"")*($AS$11:$AS2984="✓")),"")</f>
        <v/>
      </c>
      <c r="BA2984" s="21" t="str">
        <f>IF($AL2984="","",$AL2984&amp;"|"&amp;COUNTIF($AL$11:$AL2984,$AL2984))</f>
        <v/>
      </c>
    </row>
    <row r="2985" spans="38:53" ht="15" customHeight="1" x14ac:dyDescent="0.25">
      <c r="AL2985" s="17"/>
      <c r="AM2985" s="12"/>
      <c r="AN2985" s="18"/>
      <c r="AO2985" s="18"/>
      <c r="AP2985" s="10"/>
      <c r="AQ2985" s="10"/>
      <c r="AR2985" s="19"/>
      <c r="AS2985" s="20"/>
      <c r="AT2985" s="19"/>
      <c r="AV2985" s="21">
        <f>IF(AND($AL2985&lt;&gt;"",COUNTIF($AL$11:$AL2985,$AL2985)=1),1,0)</f>
        <v>0</v>
      </c>
      <c r="AW2985" s="21">
        <f t="shared" si="179"/>
        <v>2</v>
      </c>
      <c r="AX2985" s="21" t="str">
        <f t="shared" si="178"/>
        <v/>
      </c>
      <c r="AY2985" s="21" t="str">
        <f>IF(AND($AM2985&lt;&gt;"",$AS2985&lt;&gt;"✓"),SUMPRODUCT(($AM$11:$AM2985&lt;&gt;"")*($AS$11:$AS2985&lt;&gt;"✓")),"")</f>
        <v/>
      </c>
      <c r="AZ2985" s="21" t="str">
        <f>IF(AND($AM2985&lt;&gt;"",$AS2985="✓"),SUMPRODUCT(($AM$11:$AM2985&lt;&gt;"")*($AS$11:$AS2985="✓")),"")</f>
        <v/>
      </c>
      <c r="BA2985" s="21" t="str">
        <f>IF($AL2985="","",$AL2985&amp;"|"&amp;COUNTIF($AL$11:$AL2985,$AL2985))</f>
        <v/>
      </c>
    </row>
    <row r="2986" spans="38:53" ht="15" customHeight="1" x14ac:dyDescent="0.25">
      <c r="AL2986" s="31"/>
      <c r="AM2986" s="26"/>
      <c r="AN2986" s="32"/>
      <c r="AO2986" s="32"/>
      <c r="AP2986" s="24"/>
      <c r="AQ2986" s="24"/>
      <c r="AR2986" s="33"/>
      <c r="AS2986" s="34"/>
      <c r="AT2986" s="33"/>
      <c r="AV2986" s="21">
        <f>IF(AND($AL2986&lt;&gt;"",COUNTIF($AL$11:$AL2986,$AL2986)=1),1,0)</f>
        <v>0</v>
      </c>
      <c r="AW2986" s="21">
        <f t="shared" si="179"/>
        <v>2</v>
      </c>
      <c r="AX2986" s="21" t="str">
        <f t="shared" si="178"/>
        <v/>
      </c>
      <c r="AY2986" s="21" t="str">
        <f>IF(AND($AM2986&lt;&gt;"",$AS2986&lt;&gt;"✓"),SUMPRODUCT(($AM$11:$AM2986&lt;&gt;"")*($AS$11:$AS2986&lt;&gt;"✓")),"")</f>
        <v/>
      </c>
      <c r="AZ2986" s="21" t="str">
        <f>IF(AND($AM2986&lt;&gt;"",$AS2986="✓"),SUMPRODUCT(($AM$11:$AM2986&lt;&gt;"")*($AS$11:$AS2986="✓")),"")</f>
        <v/>
      </c>
      <c r="BA2986" s="21" t="str">
        <f>IF($AL2986="","",$AL2986&amp;"|"&amp;COUNTIF($AL$11:$AL2986,$AL2986))</f>
        <v/>
      </c>
    </row>
    <row r="2987" spans="38:53" ht="15" customHeight="1" x14ac:dyDescent="0.25">
      <c r="AL2987" s="17"/>
      <c r="AM2987" s="12"/>
      <c r="AN2987" s="18"/>
      <c r="AO2987" s="18"/>
      <c r="AP2987" s="10"/>
      <c r="AQ2987" s="10"/>
      <c r="AR2987" s="19"/>
      <c r="AS2987" s="20"/>
      <c r="AT2987" s="19"/>
      <c r="AV2987" s="21">
        <f>IF(AND($AL2987&lt;&gt;"",COUNTIF($AL$11:$AL2987,$AL2987)=1),1,0)</f>
        <v>0</v>
      </c>
      <c r="AW2987" s="21">
        <f t="shared" si="179"/>
        <v>2</v>
      </c>
      <c r="AX2987" s="21" t="str">
        <f t="shared" si="178"/>
        <v/>
      </c>
      <c r="AY2987" s="21" t="str">
        <f>IF(AND($AM2987&lt;&gt;"",$AS2987&lt;&gt;"✓"),SUMPRODUCT(($AM$11:$AM2987&lt;&gt;"")*($AS$11:$AS2987&lt;&gt;"✓")),"")</f>
        <v/>
      </c>
      <c r="AZ2987" s="21" t="str">
        <f>IF(AND($AM2987&lt;&gt;"",$AS2987="✓"),SUMPRODUCT(($AM$11:$AM2987&lt;&gt;"")*($AS$11:$AS2987="✓")),"")</f>
        <v/>
      </c>
      <c r="BA2987" s="21" t="str">
        <f>IF($AL2987="","",$AL2987&amp;"|"&amp;COUNTIF($AL$11:$AL2987,$AL2987))</f>
        <v/>
      </c>
    </row>
    <row r="2988" spans="38:53" ht="15" customHeight="1" x14ac:dyDescent="0.25">
      <c r="AL2988" s="31"/>
      <c r="AM2988" s="26"/>
      <c r="AN2988" s="32"/>
      <c r="AO2988" s="32"/>
      <c r="AP2988" s="24"/>
      <c r="AQ2988" s="24"/>
      <c r="AR2988" s="33"/>
      <c r="AS2988" s="34"/>
      <c r="AT2988" s="33"/>
      <c r="AV2988" s="21">
        <f>IF(AND($AL2988&lt;&gt;"",COUNTIF($AL$11:$AL2988,$AL2988)=1),1,0)</f>
        <v>0</v>
      </c>
      <c r="AW2988" s="21">
        <f t="shared" si="179"/>
        <v>2</v>
      </c>
      <c r="AX2988" s="21" t="str">
        <f t="shared" si="178"/>
        <v/>
      </c>
      <c r="AY2988" s="21" t="str">
        <f>IF(AND($AM2988&lt;&gt;"",$AS2988&lt;&gt;"✓"),SUMPRODUCT(($AM$11:$AM2988&lt;&gt;"")*($AS$11:$AS2988&lt;&gt;"✓")),"")</f>
        <v/>
      </c>
      <c r="AZ2988" s="21" t="str">
        <f>IF(AND($AM2988&lt;&gt;"",$AS2988="✓"),SUMPRODUCT(($AM$11:$AM2988&lt;&gt;"")*($AS$11:$AS2988="✓")),"")</f>
        <v/>
      </c>
      <c r="BA2988" s="21" t="str">
        <f>IF($AL2988="","",$AL2988&amp;"|"&amp;COUNTIF($AL$11:$AL2988,$AL2988))</f>
        <v/>
      </c>
    </row>
    <row r="2989" spans="38:53" ht="15" customHeight="1" x14ac:dyDescent="0.25">
      <c r="AL2989" s="17"/>
      <c r="AM2989" s="12"/>
      <c r="AN2989" s="18"/>
      <c r="AO2989" s="18"/>
      <c r="AP2989" s="10"/>
      <c r="AQ2989" s="10"/>
      <c r="AR2989" s="19"/>
      <c r="AS2989" s="20"/>
      <c r="AT2989" s="19"/>
      <c r="AV2989" s="21">
        <f>IF(AND($AL2989&lt;&gt;"",COUNTIF($AL$11:$AL2989,$AL2989)=1),1,0)</f>
        <v>0</v>
      </c>
      <c r="AW2989" s="21">
        <f t="shared" si="179"/>
        <v>2</v>
      </c>
      <c r="AX2989" s="21" t="str">
        <f t="shared" si="178"/>
        <v/>
      </c>
      <c r="AY2989" s="21" t="str">
        <f>IF(AND($AM2989&lt;&gt;"",$AS2989&lt;&gt;"✓"),SUMPRODUCT(($AM$11:$AM2989&lt;&gt;"")*($AS$11:$AS2989&lt;&gt;"✓")),"")</f>
        <v/>
      </c>
      <c r="AZ2989" s="21" t="str">
        <f>IF(AND($AM2989&lt;&gt;"",$AS2989="✓"),SUMPRODUCT(($AM$11:$AM2989&lt;&gt;"")*($AS$11:$AS2989="✓")),"")</f>
        <v/>
      </c>
      <c r="BA2989" s="21" t="str">
        <f>IF($AL2989="","",$AL2989&amp;"|"&amp;COUNTIF($AL$11:$AL2989,$AL2989))</f>
        <v/>
      </c>
    </row>
    <row r="2990" spans="38:53" ht="15" customHeight="1" x14ac:dyDescent="0.25">
      <c r="AL2990" s="31"/>
      <c r="AM2990" s="26"/>
      <c r="AN2990" s="32"/>
      <c r="AO2990" s="32"/>
      <c r="AP2990" s="24"/>
      <c r="AQ2990" s="24"/>
      <c r="AR2990" s="33"/>
      <c r="AS2990" s="34"/>
      <c r="AT2990" s="33"/>
      <c r="AV2990" s="21">
        <f>IF(AND($AL2990&lt;&gt;"",COUNTIF($AL$11:$AL2990,$AL2990)=1),1,0)</f>
        <v>0</v>
      </c>
      <c r="AW2990" s="21">
        <f t="shared" si="179"/>
        <v>2</v>
      </c>
      <c r="AX2990" s="21" t="str">
        <f t="shared" si="178"/>
        <v/>
      </c>
      <c r="AY2990" s="21" t="str">
        <f>IF(AND($AM2990&lt;&gt;"",$AS2990&lt;&gt;"✓"),SUMPRODUCT(($AM$11:$AM2990&lt;&gt;"")*($AS$11:$AS2990&lt;&gt;"✓")),"")</f>
        <v/>
      </c>
      <c r="AZ2990" s="21" t="str">
        <f>IF(AND($AM2990&lt;&gt;"",$AS2990="✓"),SUMPRODUCT(($AM$11:$AM2990&lt;&gt;"")*($AS$11:$AS2990="✓")),"")</f>
        <v/>
      </c>
      <c r="BA2990" s="21" t="str">
        <f>IF($AL2990="","",$AL2990&amp;"|"&amp;COUNTIF($AL$11:$AL2990,$AL2990))</f>
        <v/>
      </c>
    </row>
    <row r="2991" spans="38:53" ht="15" customHeight="1" x14ac:dyDescent="0.25">
      <c r="AL2991" s="17"/>
      <c r="AM2991" s="12"/>
      <c r="AN2991" s="18"/>
      <c r="AO2991" s="18"/>
      <c r="AP2991" s="10"/>
      <c r="AQ2991" s="10"/>
      <c r="AR2991" s="19"/>
      <c r="AS2991" s="20"/>
      <c r="AT2991" s="19"/>
      <c r="AV2991" s="21">
        <f>IF(AND($AL2991&lt;&gt;"",COUNTIF($AL$11:$AL2991,$AL2991)=1),1,0)</f>
        <v>0</v>
      </c>
      <c r="AW2991" s="21">
        <f t="shared" si="179"/>
        <v>2</v>
      </c>
      <c r="AX2991" s="21" t="str">
        <f t="shared" si="178"/>
        <v/>
      </c>
      <c r="AY2991" s="21" t="str">
        <f>IF(AND($AM2991&lt;&gt;"",$AS2991&lt;&gt;"✓"),SUMPRODUCT(($AM$11:$AM2991&lt;&gt;"")*($AS$11:$AS2991&lt;&gt;"✓")),"")</f>
        <v/>
      </c>
      <c r="AZ2991" s="21" t="str">
        <f>IF(AND($AM2991&lt;&gt;"",$AS2991="✓"),SUMPRODUCT(($AM$11:$AM2991&lt;&gt;"")*($AS$11:$AS2991="✓")),"")</f>
        <v/>
      </c>
      <c r="BA2991" s="21" t="str">
        <f>IF($AL2991="","",$AL2991&amp;"|"&amp;COUNTIF($AL$11:$AL2991,$AL2991))</f>
        <v/>
      </c>
    </row>
    <row r="2992" spans="38:53" ht="15" customHeight="1" x14ac:dyDescent="0.25">
      <c r="AL2992" s="31"/>
      <c r="AM2992" s="26"/>
      <c r="AN2992" s="32"/>
      <c r="AO2992" s="32"/>
      <c r="AP2992" s="24"/>
      <c r="AQ2992" s="24"/>
      <c r="AR2992" s="33"/>
      <c r="AS2992" s="34"/>
      <c r="AT2992" s="33"/>
      <c r="AV2992" s="21">
        <f>IF(AND($AL2992&lt;&gt;"",COUNTIF($AL$11:$AL2992,$AL2992)=1),1,0)</f>
        <v>0</v>
      </c>
      <c r="AW2992" s="21">
        <f t="shared" si="179"/>
        <v>2</v>
      </c>
      <c r="AX2992" s="21" t="str">
        <f t="shared" si="178"/>
        <v/>
      </c>
      <c r="AY2992" s="21" t="str">
        <f>IF(AND($AM2992&lt;&gt;"",$AS2992&lt;&gt;"✓"),SUMPRODUCT(($AM$11:$AM2992&lt;&gt;"")*($AS$11:$AS2992&lt;&gt;"✓")),"")</f>
        <v/>
      </c>
      <c r="AZ2992" s="21" t="str">
        <f>IF(AND($AM2992&lt;&gt;"",$AS2992="✓"),SUMPRODUCT(($AM$11:$AM2992&lt;&gt;"")*($AS$11:$AS2992="✓")),"")</f>
        <v/>
      </c>
      <c r="BA2992" s="21" t="str">
        <f>IF($AL2992="","",$AL2992&amp;"|"&amp;COUNTIF($AL$11:$AL2992,$AL2992))</f>
        <v/>
      </c>
    </row>
    <row r="2993" spans="38:53" ht="15" customHeight="1" x14ac:dyDescent="0.25">
      <c r="AL2993" s="17"/>
      <c r="AM2993" s="12"/>
      <c r="AN2993" s="18"/>
      <c r="AO2993" s="18"/>
      <c r="AP2993" s="10"/>
      <c r="AQ2993" s="10"/>
      <c r="AR2993" s="19"/>
      <c r="AS2993" s="20"/>
      <c r="AT2993" s="19"/>
      <c r="AV2993" s="21">
        <f>IF(AND($AL2993&lt;&gt;"",COUNTIF($AL$11:$AL2993,$AL2993)=1),1,0)</f>
        <v>0</v>
      </c>
      <c r="AW2993" s="21">
        <f t="shared" si="179"/>
        <v>2</v>
      </c>
      <c r="AX2993" s="21" t="str">
        <f t="shared" si="178"/>
        <v/>
      </c>
      <c r="AY2993" s="21" t="str">
        <f>IF(AND($AM2993&lt;&gt;"",$AS2993&lt;&gt;"✓"),SUMPRODUCT(($AM$11:$AM2993&lt;&gt;"")*($AS$11:$AS2993&lt;&gt;"✓")),"")</f>
        <v/>
      </c>
      <c r="AZ2993" s="21" t="str">
        <f>IF(AND($AM2993&lt;&gt;"",$AS2993="✓"),SUMPRODUCT(($AM$11:$AM2993&lt;&gt;"")*($AS$11:$AS2993="✓")),"")</f>
        <v/>
      </c>
      <c r="BA2993" s="21" t="str">
        <f>IF($AL2993="","",$AL2993&amp;"|"&amp;COUNTIF($AL$11:$AL2993,$AL2993))</f>
        <v/>
      </c>
    </row>
    <row r="2994" spans="38:53" ht="15" customHeight="1" x14ac:dyDescent="0.25">
      <c r="AL2994" s="31"/>
      <c r="AM2994" s="26"/>
      <c r="AN2994" s="32"/>
      <c r="AO2994" s="32"/>
      <c r="AP2994" s="24"/>
      <c r="AQ2994" s="24"/>
      <c r="AR2994" s="33"/>
      <c r="AS2994" s="34"/>
      <c r="AT2994" s="33"/>
      <c r="AV2994" s="21">
        <f>IF(AND($AL2994&lt;&gt;"",COUNTIF($AL$11:$AL2994,$AL2994)=1),1,0)</f>
        <v>0</v>
      </c>
      <c r="AW2994" s="21">
        <f t="shared" si="179"/>
        <v>2</v>
      </c>
      <c r="AX2994" s="21" t="str">
        <f t="shared" si="178"/>
        <v/>
      </c>
      <c r="AY2994" s="21" t="str">
        <f>IF(AND($AM2994&lt;&gt;"",$AS2994&lt;&gt;"✓"),SUMPRODUCT(($AM$11:$AM2994&lt;&gt;"")*($AS$11:$AS2994&lt;&gt;"✓")),"")</f>
        <v/>
      </c>
      <c r="AZ2994" s="21" t="str">
        <f>IF(AND($AM2994&lt;&gt;"",$AS2994="✓"),SUMPRODUCT(($AM$11:$AM2994&lt;&gt;"")*($AS$11:$AS2994="✓")),"")</f>
        <v/>
      </c>
      <c r="BA2994" s="21" t="str">
        <f>IF($AL2994="","",$AL2994&amp;"|"&amp;COUNTIF($AL$11:$AL2994,$AL2994))</f>
        <v/>
      </c>
    </row>
    <row r="2995" spans="38:53" ht="15" customHeight="1" x14ac:dyDescent="0.25">
      <c r="AL2995" s="17"/>
      <c r="AM2995" s="12"/>
      <c r="AN2995" s="18"/>
      <c r="AO2995" s="18"/>
      <c r="AP2995" s="10"/>
      <c r="AQ2995" s="10"/>
      <c r="AR2995" s="19"/>
      <c r="AS2995" s="20"/>
      <c r="AT2995" s="19"/>
      <c r="AV2995" s="21">
        <f>IF(AND($AL2995&lt;&gt;"",COUNTIF($AL$11:$AL2995,$AL2995)=1),1,0)</f>
        <v>0</v>
      </c>
      <c r="AW2995" s="21">
        <f t="shared" si="179"/>
        <v>2</v>
      </c>
      <c r="AX2995" s="21" t="str">
        <f t="shared" si="178"/>
        <v/>
      </c>
      <c r="AY2995" s="21" t="str">
        <f>IF(AND($AM2995&lt;&gt;"",$AS2995&lt;&gt;"✓"),SUMPRODUCT(($AM$11:$AM2995&lt;&gt;"")*($AS$11:$AS2995&lt;&gt;"✓")),"")</f>
        <v/>
      </c>
      <c r="AZ2995" s="21" t="str">
        <f>IF(AND($AM2995&lt;&gt;"",$AS2995="✓"),SUMPRODUCT(($AM$11:$AM2995&lt;&gt;"")*($AS$11:$AS2995="✓")),"")</f>
        <v/>
      </c>
      <c r="BA2995" s="21" t="str">
        <f>IF($AL2995="","",$AL2995&amp;"|"&amp;COUNTIF($AL$11:$AL2995,$AL2995))</f>
        <v/>
      </c>
    </row>
    <row r="2996" spans="38:53" ht="15" customHeight="1" x14ac:dyDescent="0.25">
      <c r="AL2996" s="31"/>
      <c r="AM2996" s="26"/>
      <c r="AN2996" s="32"/>
      <c r="AO2996" s="32"/>
      <c r="AP2996" s="24"/>
      <c r="AQ2996" s="24"/>
      <c r="AR2996" s="33"/>
      <c r="AS2996" s="34"/>
      <c r="AT2996" s="33"/>
      <c r="AV2996" s="21">
        <f>IF(AND($AL2996&lt;&gt;"",COUNTIF($AL$11:$AL2996,$AL2996)=1),1,0)</f>
        <v>0</v>
      </c>
      <c r="AW2996" s="21">
        <f t="shared" si="179"/>
        <v>2</v>
      </c>
      <c r="AX2996" s="21" t="str">
        <f t="shared" si="178"/>
        <v/>
      </c>
      <c r="AY2996" s="21" t="str">
        <f>IF(AND($AM2996&lt;&gt;"",$AS2996&lt;&gt;"✓"),SUMPRODUCT(($AM$11:$AM2996&lt;&gt;"")*($AS$11:$AS2996&lt;&gt;"✓")),"")</f>
        <v/>
      </c>
      <c r="AZ2996" s="21" t="str">
        <f>IF(AND($AM2996&lt;&gt;"",$AS2996="✓"),SUMPRODUCT(($AM$11:$AM2996&lt;&gt;"")*($AS$11:$AS2996="✓")),"")</f>
        <v/>
      </c>
      <c r="BA2996" s="21" t="str">
        <f>IF($AL2996="","",$AL2996&amp;"|"&amp;COUNTIF($AL$11:$AL2996,$AL2996))</f>
        <v/>
      </c>
    </row>
    <row r="2997" spans="38:53" ht="15" customHeight="1" x14ac:dyDescent="0.25">
      <c r="AL2997" s="17"/>
      <c r="AM2997" s="12"/>
      <c r="AN2997" s="18"/>
      <c r="AO2997" s="18"/>
      <c r="AP2997" s="10"/>
      <c r="AQ2997" s="10"/>
      <c r="AR2997" s="19"/>
      <c r="AS2997" s="20"/>
      <c r="AT2997" s="19"/>
      <c r="AV2997" s="21">
        <f>IF(AND($AL2997&lt;&gt;"",COUNTIF($AL$11:$AL2997,$AL2997)=1),1,0)</f>
        <v>0</v>
      </c>
      <c r="AW2997" s="21">
        <f t="shared" si="179"/>
        <v>2</v>
      </c>
      <c r="AX2997" s="21" t="str">
        <f t="shared" si="178"/>
        <v/>
      </c>
      <c r="AY2997" s="21" t="str">
        <f>IF(AND($AM2997&lt;&gt;"",$AS2997&lt;&gt;"✓"),SUMPRODUCT(($AM$11:$AM2997&lt;&gt;"")*($AS$11:$AS2997&lt;&gt;"✓")),"")</f>
        <v/>
      </c>
      <c r="AZ2997" s="21" t="str">
        <f>IF(AND($AM2997&lt;&gt;"",$AS2997="✓"),SUMPRODUCT(($AM$11:$AM2997&lt;&gt;"")*($AS$11:$AS2997="✓")),"")</f>
        <v/>
      </c>
      <c r="BA2997" s="21" t="str">
        <f>IF($AL2997="","",$AL2997&amp;"|"&amp;COUNTIF($AL$11:$AL2997,$AL2997))</f>
        <v/>
      </c>
    </row>
    <row r="2998" spans="38:53" ht="15" customHeight="1" x14ac:dyDescent="0.25">
      <c r="AL2998" s="31"/>
      <c r="AM2998" s="26"/>
      <c r="AN2998" s="32"/>
      <c r="AO2998" s="32"/>
      <c r="AP2998" s="24"/>
      <c r="AQ2998" s="24"/>
      <c r="AR2998" s="33"/>
      <c r="AS2998" s="34"/>
      <c r="AT2998" s="33"/>
      <c r="AV2998" s="21">
        <f>IF(AND($AL2998&lt;&gt;"",COUNTIF($AL$11:$AL2998,$AL2998)=1),1,0)</f>
        <v>0</v>
      </c>
      <c r="AW2998" s="21">
        <f t="shared" si="179"/>
        <v>2</v>
      </c>
      <c r="AX2998" s="21" t="str">
        <f t="shared" si="178"/>
        <v/>
      </c>
      <c r="AY2998" s="21" t="str">
        <f>IF(AND($AM2998&lt;&gt;"",$AS2998&lt;&gt;"✓"),SUMPRODUCT(($AM$11:$AM2998&lt;&gt;"")*($AS$11:$AS2998&lt;&gt;"✓")),"")</f>
        <v/>
      </c>
      <c r="AZ2998" s="21" t="str">
        <f>IF(AND($AM2998&lt;&gt;"",$AS2998="✓"),SUMPRODUCT(($AM$11:$AM2998&lt;&gt;"")*($AS$11:$AS2998="✓")),"")</f>
        <v/>
      </c>
      <c r="BA2998" s="21" t="str">
        <f>IF($AL2998="","",$AL2998&amp;"|"&amp;COUNTIF($AL$11:$AL2998,$AL2998))</f>
        <v/>
      </c>
    </row>
    <row r="2999" spans="38:53" ht="15" customHeight="1" x14ac:dyDescent="0.25">
      <c r="AL2999" s="17"/>
      <c r="AM2999" s="12"/>
      <c r="AN2999" s="18"/>
      <c r="AO2999" s="18"/>
      <c r="AP2999" s="10"/>
      <c r="AQ2999" s="10"/>
      <c r="AR2999" s="19"/>
      <c r="AS2999" s="20"/>
      <c r="AT2999" s="19"/>
      <c r="AV2999" s="21">
        <f>IF(AND($AL2999&lt;&gt;"",COUNTIF($AL$11:$AL2999,$AL2999)=1),1,0)</f>
        <v>0</v>
      </c>
      <c r="AW2999" s="21">
        <f t="shared" si="179"/>
        <v>2</v>
      </c>
      <c r="AX2999" s="21" t="str">
        <f t="shared" si="178"/>
        <v/>
      </c>
      <c r="AY2999" s="21" t="str">
        <f>IF(AND($AM2999&lt;&gt;"",$AS2999&lt;&gt;"✓"),SUMPRODUCT(($AM$11:$AM2999&lt;&gt;"")*($AS$11:$AS2999&lt;&gt;"✓")),"")</f>
        <v/>
      </c>
      <c r="AZ2999" s="21" t="str">
        <f>IF(AND($AM2999&lt;&gt;"",$AS2999="✓"),SUMPRODUCT(($AM$11:$AM2999&lt;&gt;"")*($AS$11:$AS2999="✓")),"")</f>
        <v/>
      </c>
      <c r="BA2999" s="21" t="str">
        <f>IF($AL2999="","",$AL2999&amp;"|"&amp;COUNTIF($AL$11:$AL2999,$AL2999))</f>
        <v/>
      </c>
    </row>
    <row r="3000" spans="38:53" ht="15" customHeight="1" x14ac:dyDescent="0.25">
      <c r="AL3000" s="31"/>
      <c r="AM3000" s="26"/>
      <c r="AN3000" s="32"/>
      <c r="AO3000" s="32"/>
      <c r="AP3000" s="24"/>
      <c r="AQ3000" s="24"/>
      <c r="AR3000" s="33"/>
      <c r="AS3000" s="34"/>
      <c r="AT3000" s="33"/>
      <c r="AV3000" s="21">
        <f>IF(AND($AL3000&lt;&gt;"",COUNTIF($AL$11:$AL3000,$AL3000)=1),1,0)</f>
        <v>0</v>
      </c>
      <c r="AW3000" s="21">
        <f t="shared" si="179"/>
        <v>2</v>
      </c>
      <c r="AX3000" s="21" t="str">
        <f t="shared" si="178"/>
        <v/>
      </c>
      <c r="AY3000" s="21" t="str">
        <f>IF(AND($AM3000&lt;&gt;"",$AS3000&lt;&gt;"✓"),SUMPRODUCT(($AM$11:$AM3000&lt;&gt;"")*($AS$11:$AS3000&lt;&gt;"✓")),"")</f>
        <v/>
      </c>
      <c r="AZ3000" s="21" t="str">
        <f>IF(AND($AM3000&lt;&gt;"",$AS3000="✓"),SUMPRODUCT(($AM$11:$AM3000&lt;&gt;"")*($AS$11:$AS3000="✓")),"")</f>
        <v/>
      </c>
      <c r="BA3000" s="21" t="str">
        <f>IF($AL3000="","",$AL3000&amp;"|"&amp;COUNTIF($AL$11:$AL3000,$AL3000))</f>
        <v/>
      </c>
    </row>
    <row r="3001" spans="38:53" ht="15" customHeight="1" x14ac:dyDescent="0.25">
      <c r="AL3001" s="17"/>
      <c r="AM3001" s="12"/>
      <c r="AN3001" s="18"/>
      <c r="AO3001" s="18"/>
      <c r="AP3001" s="10"/>
      <c r="AQ3001" s="10"/>
      <c r="AR3001" s="19"/>
      <c r="AS3001" s="20"/>
      <c r="AT3001" s="19"/>
      <c r="AV3001" s="21">
        <f>IF(AND($AL3001&lt;&gt;"",COUNTIF($AL$11:$AL3001,$AL3001)=1),1,0)</f>
        <v>0</v>
      </c>
      <c r="AW3001" s="21">
        <f t="shared" si="179"/>
        <v>2</v>
      </c>
      <c r="AX3001" s="21" t="str">
        <f t="shared" si="178"/>
        <v/>
      </c>
      <c r="AY3001" s="21" t="str">
        <f>IF(AND($AM3001&lt;&gt;"",$AS3001&lt;&gt;"✓"),SUMPRODUCT(($AM$11:$AM3001&lt;&gt;"")*($AS$11:$AS3001&lt;&gt;"✓")),"")</f>
        <v/>
      </c>
      <c r="AZ3001" s="21" t="str">
        <f>IF(AND($AM3001&lt;&gt;"",$AS3001="✓"),SUMPRODUCT(($AM$11:$AM3001&lt;&gt;"")*($AS$11:$AS3001="✓")),"")</f>
        <v/>
      </c>
      <c r="BA3001" s="21" t="str">
        <f>IF($AL3001="","",$AL3001&amp;"|"&amp;COUNTIF($AL$11:$AL3001,$AL3001))</f>
        <v/>
      </c>
    </row>
    <row r="3002" spans="38:53" ht="15" customHeight="1" x14ac:dyDescent="0.25">
      <c r="AL3002" s="31"/>
      <c r="AM3002" s="26"/>
      <c r="AN3002" s="32"/>
      <c r="AO3002" s="32"/>
      <c r="AP3002" s="24"/>
      <c r="AQ3002" s="24"/>
      <c r="AR3002" s="33"/>
      <c r="AS3002" s="34"/>
      <c r="AT3002" s="33"/>
      <c r="AV3002" s="21">
        <f>IF(AND($AL3002&lt;&gt;"",COUNTIF($AL$11:$AL3002,$AL3002)=1),1,0)</f>
        <v>0</v>
      </c>
      <c r="AW3002" s="21">
        <f t="shared" si="179"/>
        <v>2</v>
      </c>
      <c r="AX3002" s="21" t="str">
        <f t="shared" si="178"/>
        <v/>
      </c>
      <c r="AY3002" s="21" t="str">
        <f>IF(AND($AM3002&lt;&gt;"",$AS3002&lt;&gt;"✓"),SUMPRODUCT(($AM$11:$AM3002&lt;&gt;"")*($AS$11:$AS3002&lt;&gt;"✓")),"")</f>
        <v/>
      </c>
      <c r="AZ3002" s="21" t="str">
        <f>IF(AND($AM3002&lt;&gt;"",$AS3002="✓"),SUMPRODUCT(($AM$11:$AM3002&lt;&gt;"")*($AS$11:$AS3002="✓")),"")</f>
        <v/>
      </c>
      <c r="BA3002" s="21" t="str">
        <f>IF($AL3002="","",$AL3002&amp;"|"&amp;COUNTIF($AL$11:$AL3002,$AL3002))</f>
        <v/>
      </c>
    </row>
    <row r="3003" spans="38:53" ht="15" customHeight="1" x14ac:dyDescent="0.25">
      <c r="AL3003" s="17"/>
      <c r="AM3003" s="12"/>
      <c r="AN3003" s="18"/>
      <c r="AO3003" s="18"/>
      <c r="AP3003" s="10"/>
      <c r="AQ3003" s="10"/>
      <c r="AR3003" s="19"/>
      <c r="AS3003" s="20"/>
      <c r="AT3003" s="19"/>
      <c r="AV3003" s="21">
        <f>IF(AND($AL3003&lt;&gt;"",COUNTIF($AL$11:$AL3003,$AL3003)=1),1,0)</f>
        <v>0</v>
      </c>
      <c r="AW3003" s="21">
        <f t="shared" si="179"/>
        <v>2</v>
      </c>
      <c r="AX3003" s="21" t="str">
        <f t="shared" si="178"/>
        <v/>
      </c>
      <c r="AY3003" s="21" t="str">
        <f>IF(AND($AM3003&lt;&gt;"",$AS3003&lt;&gt;"✓"),SUMPRODUCT(($AM$11:$AM3003&lt;&gt;"")*($AS$11:$AS3003&lt;&gt;"✓")),"")</f>
        <v/>
      </c>
      <c r="AZ3003" s="21" t="str">
        <f>IF(AND($AM3003&lt;&gt;"",$AS3003="✓"),SUMPRODUCT(($AM$11:$AM3003&lt;&gt;"")*($AS$11:$AS3003="✓")),"")</f>
        <v/>
      </c>
      <c r="BA3003" s="21" t="str">
        <f>IF($AL3003="","",$AL3003&amp;"|"&amp;COUNTIF($AL$11:$AL3003,$AL3003))</f>
        <v/>
      </c>
    </row>
    <row r="3004" spans="38:53" ht="15" customHeight="1" x14ac:dyDescent="0.25">
      <c r="AL3004" s="31"/>
      <c r="AM3004" s="26"/>
      <c r="AN3004" s="32"/>
      <c r="AO3004" s="32"/>
      <c r="AP3004" s="24"/>
      <c r="AQ3004" s="24"/>
      <c r="AR3004" s="33"/>
      <c r="AS3004" s="34"/>
      <c r="AT3004" s="33"/>
      <c r="AV3004" s="21">
        <f>IF(AND($AL3004&lt;&gt;"",COUNTIF($AL$11:$AL3004,$AL3004)=1),1,0)</f>
        <v>0</v>
      </c>
      <c r="AW3004" s="21">
        <f t="shared" si="179"/>
        <v>2</v>
      </c>
      <c r="AX3004" s="21" t="str">
        <f t="shared" si="178"/>
        <v/>
      </c>
      <c r="AY3004" s="21" t="str">
        <f>IF(AND($AM3004&lt;&gt;"",$AS3004&lt;&gt;"✓"),SUMPRODUCT(($AM$11:$AM3004&lt;&gt;"")*($AS$11:$AS3004&lt;&gt;"✓")),"")</f>
        <v/>
      </c>
      <c r="AZ3004" s="21" t="str">
        <f>IF(AND($AM3004&lt;&gt;"",$AS3004="✓"),SUMPRODUCT(($AM$11:$AM3004&lt;&gt;"")*($AS$11:$AS3004="✓")),"")</f>
        <v/>
      </c>
      <c r="BA3004" s="21" t="str">
        <f>IF($AL3004="","",$AL3004&amp;"|"&amp;COUNTIF($AL$11:$AL3004,$AL3004))</f>
        <v/>
      </c>
    </row>
    <row r="3005" spans="38:53" ht="15" customHeight="1" x14ac:dyDescent="0.25">
      <c r="AL3005" s="17"/>
      <c r="AM3005" s="12"/>
      <c r="AN3005" s="18"/>
      <c r="AO3005" s="18"/>
      <c r="AP3005" s="10"/>
      <c r="AQ3005" s="10"/>
      <c r="AR3005" s="19"/>
      <c r="AS3005" s="20"/>
      <c r="AT3005" s="19"/>
      <c r="AV3005" s="21">
        <f>IF(AND($AL3005&lt;&gt;"",COUNTIF($AL$11:$AL3005,$AL3005)=1),1,0)</f>
        <v>0</v>
      </c>
      <c r="AW3005" s="21">
        <f t="shared" si="179"/>
        <v>2</v>
      </c>
      <c r="AX3005" s="21" t="str">
        <f t="shared" si="178"/>
        <v/>
      </c>
      <c r="AY3005" s="21" t="str">
        <f>IF(AND($AM3005&lt;&gt;"",$AS3005&lt;&gt;"✓"),SUMPRODUCT(($AM$11:$AM3005&lt;&gt;"")*($AS$11:$AS3005&lt;&gt;"✓")),"")</f>
        <v/>
      </c>
      <c r="AZ3005" s="21" t="str">
        <f>IF(AND($AM3005&lt;&gt;"",$AS3005="✓"),SUMPRODUCT(($AM$11:$AM3005&lt;&gt;"")*($AS$11:$AS3005="✓")),"")</f>
        <v/>
      </c>
      <c r="BA3005" s="21" t="str">
        <f>IF($AL3005="","",$AL3005&amp;"|"&amp;COUNTIF($AL$11:$AL3005,$AL3005))</f>
        <v/>
      </c>
    </row>
    <row r="3006" spans="38:53" ht="15" customHeight="1" x14ac:dyDescent="0.25">
      <c r="AL3006" s="31"/>
      <c r="AM3006" s="26"/>
      <c r="AN3006" s="32"/>
      <c r="AO3006" s="32"/>
      <c r="AP3006" s="24"/>
      <c r="AQ3006" s="24"/>
      <c r="AR3006" s="33"/>
      <c r="AS3006" s="34"/>
      <c r="AT3006" s="33"/>
      <c r="AV3006" s="21">
        <f>IF(AND($AL3006&lt;&gt;"",COUNTIF($AL$11:$AL3006,$AL3006)=1),1,0)</f>
        <v>0</v>
      </c>
      <c r="AW3006" s="21">
        <f t="shared" si="179"/>
        <v>2</v>
      </c>
      <c r="AX3006" s="21" t="str">
        <f t="shared" si="178"/>
        <v/>
      </c>
      <c r="AY3006" s="21" t="str">
        <f>IF(AND($AM3006&lt;&gt;"",$AS3006&lt;&gt;"✓"),SUMPRODUCT(($AM$11:$AM3006&lt;&gt;"")*($AS$11:$AS3006&lt;&gt;"✓")),"")</f>
        <v/>
      </c>
      <c r="AZ3006" s="21" t="str">
        <f>IF(AND($AM3006&lt;&gt;"",$AS3006="✓"),SUMPRODUCT(($AM$11:$AM3006&lt;&gt;"")*($AS$11:$AS3006="✓")),"")</f>
        <v/>
      </c>
      <c r="BA3006" s="21" t="str">
        <f>IF($AL3006="","",$AL3006&amp;"|"&amp;COUNTIF($AL$11:$AL3006,$AL3006))</f>
        <v/>
      </c>
    </row>
    <row r="3007" spans="38:53" ht="15" customHeight="1" x14ac:dyDescent="0.25">
      <c r="AL3007" s="17"/>
      <c r="AM3007" s="12"/>
      <c r="AN3007" s="18"/>
      <c r="AO3007" s="18"/>
      <c r="AP3007" s="10"/>
      <c r="AQ3007" s="10"/>
      <c r="AR3007" s="19"/>
      <c r="AS3007" s="20"/>
      <c r="AT3007" s="19"/>
      <c r="AV3007" s="21">
        <f>IF(AND($AL3007&lt;&gt;"",COUNTIF($AL$11:$AL3007,$AL3007)=1),1,0)</f>
        <v>0</v>
      </c>
      <c r="AW3007" s="21">
        <f t="shared" si="179"/>
        <v>2</v>
      </c>
      <c r="AX3007" s="21" t="str">
        <f t="shared" si="178"/>
        <v/>
      </c>
      <c r="AY3007" s="21" t="str">
        <f>IF(AND($AM3007&lt;&gt;"",$AS3007&lt;&gt;"✓"),SUMPRODUCT(($AM$11:$AM3007&lt;&gt;"")*($AS$11:$AS3007&lt;&gt;"✓")),"")</f>
        <v/>
      </c>
      <c r="AZ3007" s="21" t="str">
        <f>IF(AND($AM3007&lt;&gt;"",$AS3007="✓"),SUMPRODUCT(($AM$11:$AM3007&lt;&gt;"")*($AS$11:$AS3007="✓")),"")</f>
        <v/>
      </c>
      <c r="BA3007" s="21" t="str">
        <f>IF($AL3007="","",$AL3007&amp;"|"&amp;COUNTIF($AL$11:$AL3007,$AL3007))</f>
        <v/>
      </c>
    </row>
    <row r="3008" spans="38:53" ht="15" customHeight="1" x14ac:dyDescent="0.25">
      <c r="AL3008" s="31"/>
      <c r="AM3008" s="26"/>
      <c r="AN3008" s="32"/>
      <c r="AO3008" s="32"/>
      <c r="AP3008" s="24"/>
      <c r="AQ3008" s="24"/>
      <c r="AR3008" s="33"/>
      <c r="AS3008" s="34"/>
      <c r="AT3008" s="33"/>
      <c r="AV3008" s="21">
        <f>IF(AND($AL3008&lt;&gt;"",COUNTIF($AL$11:$AL3008,$AL3008)=1),1,0)</f>
        <v>0</v>
      </c>
      <c r="AW3008" s="21">
        <f t="shared" si="179"/>
        <v>2</v>
      </c>
      <c r="AX3008" s="21" t="str">
        <f t="shared" si="178"/>
        <v/>
      </c>
      <c r="AY3008" s="21" t="str">
        <f>IF(AND($AM3008&lt;&gt;"",$AS3008&lt;&gt;"✓"),SUMPRODUCT(($AM$11:$AM3008&lt;&gt;"")*($AS$11:$AS3008&lt;&gt;"✓")),"")</f>
        <v/>
      </c>
      <c r="AZ3008" s="21" t="str">
        <f>IF(AND($AM3008&lt;&gt;"",$AS3008="✓"),SUMPRODUCT(($AM$11:$AM3008&lt;&gt;"")*($AS$11:$AS3008="✓")),"")</f>
        <v/>
      </c>
      <c r="BA3008" s="21" t="str">
        <f>IF($AL3008="","",$AL3008&amp;"|"&amp;COUNTIF($AL$11:$AL3008,$AL3008))</f>
        <v/>
      </c>
    </row>
    <row r="3009" spans="38:53" ht="15" customHeight="1" x14ac:dyDescent="0.25">
      <c r="AL3009" s="17"/>
      <c r="AM3009" s="12"/>
      <c r="AN3009" s="18"/>
      <c r="AO3009" s="18"/>
      <c r="AP3009" s="10"/>
      <c r="AQ3009" s="10"/>
      <c r="AR3009" s="19"/>
      <c r="AS3009" s="20"/>
      <c r="AT3009" s="19"/>
      <c r="AV3009" s="21">
        <f>IF(AND($AL3009&lt;&gt;"",COUNTIF($AL$11:$AL3009,$AL3009)=1),1,0)</f>
        <v>0</v>
      </c>
      <c r="AW3009" s="21">
        <f t="shared" si="179"/>
        <v>2</v>
      </c>
      <c r="AX3009" s="21" t="str">
        <f t="shared" si="178"/>
        <v/>
      </c>
      <c r="AY3009" s="21" t="str">
        <f>IF(AND($AM3009&lt;&gt;"",$AS3009&lt;&gt;"✓"),SUMPRODUCT(($AM$11:$AM3009&lt;&gt;"")*($AS$11:$AS3009&lt;&gt;"✓")),"")</f>
        <v/>
      </c>
      <c r="AZ3009" s="21" t="str">
        <f>IF(AND($AM3009&lt;&gt;"",$AS3009="✓"),SUMPRODUCT(($AM$11:$AM3009&lt;&gt;"")*($AS$11:$AS3009="✓")),"")</f>
        <v/>
      </c>
      <c r="BA3009" s="21" t="str">
        <f>IF($AL3009="","",$AL3009&amp;"|"&amp;COUNTIF($AL$11:$AL3009,$AL3009))</f>
        <v/>
      </c>
    </row>
    <row r="3010" spans="38:53" ht="15" customHeight="1" x14ac:dyDescent="0.25">
      <c r="AL3010" s="31"/>
      <c r="AM3010" s="26"/>
      <c r="AN3010" s="32"/>
      <c r="AO3010" s="32"/>
      <c r="AP3010" s="24"/>
      <c r="AQ3010" s="24"/>
      <c r="AR3010" s="33"/>
      <c r="AS3010" s="34"/>
      <c r="AT3010" s="33"/>
      <c r="AV3010" s="21">
        <f>IF(AND($AL3010&lt;&gt;"",COUNTIF($AL$11:$AL3010,$AL3010)=1),1,0)</f>
        <v>0</v>
      </c>
      <c r="AW3010" s="21">
        <f t="shared" si="179"/>
        <v>2</v>
      </c>
      <c r="AX3010" s="21" t="str">
        <f t="shared" si="178"/>
        <v/>
      </c>
      <c r="AY3010" s="21" t="str">
        <f>IF(AND($AM3010&lt;&gt;"",$AS3010&lt;&gt;"✓"),SUMPRODUCT(($AM$11:$AM3010&lt;&gt;"")*($AS$11:$AS3010&lt;&gt;"✓")),"")</f>
        <v/>
      </c>
      <c r="AZ3010" s="21" t="str">
        <f>IF(AND($AM3010&lt;&gt;"",$AS3010="✓"),SUMPRODUCT(($AM$11:$AM3010&lt;&gt;"")*($AS$11:$AS3010="✓")),"")</f>
        <v/>
      </c>
      <c r="BA3010" s="21" t="str">
        <f>IF($AL3010="","",$AL3010&amp;"|"&amp;COUNTIF($AL$11:$AL3010,$AL3010))</f>
        <v/>
      </c>
    </row>
    <row r="3011" spans="38:53" ht="15" customHeight="1" x14ac:dyDescent="0.25">
      <c r="AL3011" s="17"/>
      <c r="AM3011" s="12"/>
      <c r="AN3011" s="18"/>
      <c r="AO3011" s="18"/>
      <c r="AP3011" s="10"/>
      <c r="AQ3011" s="10"/>
      <c r="AR3011" s="19"/>
      <c r="AS3011" s="20"/>
      <c r="AT3011" s="19"/>
      <c r="AV3011" s="21">
        <f>IF(AND($AL3011&lt;&gt;"",COUNTIF($AL$11:$AL3011,$AL3011)=1),1,0)</f>
        <v>0</v>
      </c>
      <c r="AW3011" s="21">
        <f t="shared" si="179"/>
        <v>2</v>
      </c>
      <c r="AX3011" s="21" t="str">
        <f t="shared" si="178"/>
        <v/>
      </c>
      <c r="AY3011" s="21" t="str">
        <f>IF(AND($AM3011&lt;&gt;"",$AS3011&lt;&gt;"✓"),SUMPRODUCT(($AM$11:$AM3011&lt;&gt;"")*($AS$11:$AS3011&lt;&gt;"✓")),"")</f>
        <v/>
      </c>
      <c r="AZ3011" s="21" t="str">
        <f>IF(AND($AM3011&lt;&gt;"",$AS3011="✓"),SUMPRODUCT(($AM$11:$AM3011&lt;&gt;"")*($AS$11:$AS3011="✓")),"")</f>
        <v/>
      </c>
      <c r="BA3011" s="21" t="str">
        <f>IF($AL3011="","",$AL3011&amp;"|"&amp;COUNTIF($AL$11:$AL3011,$AL3011))</f>
        <v/>
      </c>
    </row>
    <row r="3012" spans="38:53" ht="15" customHeight="1" x14ac:dyDescent="0.25">
      <c r="AL3012" s="31"/>
      <c r="AM3012" s="26"/>
      <c r="AN3012" s="32"/>
      <c r="AO3012" s="32"/>
      <c r="AP3012" s="24"/>
      <c r="AQ3012" s="24"/>
      <c r="AR3012" s="33"/>
      <c r="AS3012" s="34"/>
      <c r="AT3012" s="33"/>
      <c r="AV3012" s="21">
        <f>IF(AND($AL3012&lt;&gt;"",COUNTIF($AL$11:$AL3012,$AL3012)=1),1,0)</f>
        <v>0</v>
      </c>
      <c r="AW3012" s="21">
        <f t="shared" si="179"/>
        <v>2</v>
      </c>
      <c r="AX3012" s="21" t="str">
        <f t="shared" si="178"/>
        <v/>
      </c>
      <c r="AY3012" s="21" t="str">
        <f>IF(AND($AM3012&lt;&gt;"",$AS3012&lt;&gt;"✓"),SUMPRODUCT(($AM$11:$AM3012&lt;&gt;"")*($AS$11:$AS3012&lt;&gt;"✓")),"")</f>
        <v/>
      </c>
      <c r="AZ3012" s="21" t="str">
        <f>IF(AND($AM3012&lt;&gt;"",$AS3012="✓"),SUMPRODUCT(($AM$11:$AM3012&lt;&gt;"")*($AS$11:$AS3012="✓")),"")</f>
        <v/>
      </c>
      <c r="BA3012" s="21" t="str">
        <f>IF($AL3012="","",$AL3012&amp;"|"&amp;COUNTIF($AL$11:$AL3012,$AL3012))</f>
        <v/>
      </c>
    </row>
    <row r="3013" spans="38:53" ht="15" customHeight="1" x14ac:dyDescent="0.25">
      <c r="AL3013" s="17"/>
      <c r="AM3013" s="12"/>
      <c r="AN3013" s="18"/>
      <c r="AO3013" s="18"/>
      <c r="AP3013" s="10"/>
      <c r="AQ3013" s="10"/>
      <c r="AR3013" s="19"/>
      <c r="AS3013" s="20"/>
      <c r="AT3013" s="19"/>
      <c r="AV3013" s="21">
        <f>IF(AND($AL3013&lt;&gt;"",COUNTIF($AL$11:$AL3013,$AL3013)=1),1,0)</f>
        <v>0</v>
      </c>
      <c r="AW3013" s="21">
        <f t="shared" si="179"/>
        <v>2</v>
      </c>
      <c r="AX3013" s="21" t="str">
        <f t="shared" si="178"/>
        <v/>
      </c>
      <c r="AY3013" s="21" t="str">
        <f>IF(AND($AM3013&lt;&gt;"",$AS3013&lt;&gt;"✓"),SUMPRODUCT(($AM$11:$AM3013&lt;&gt;"")*($AS$11:$AS3013&lt;&gt;"✓")),"")</f>
        <v/>
      </c>
      <c r="AZ3013" s="21" t="str">
        <f>IF(AND($AM3013&lt;&gt;"",$AS3013="✓"),SUMPRODUCT(($AM$11:$AM3013&lt;&gt;"")*($AS$11:$AS3013="✓")),"")</f>
        <v/>
      </c>
      <c r="BA3013" s="21" t="str">
        <f>IF($AL3013="","",$AL3013&amp;"|"&amp;COUNTIF($AL$11:$AL3013,$AL3013))</f>
        <v/>
      </c>
    </row>
    <row r="3014" spans="38:53" ht="15" customHeight="1" x14ac:dyDescent="0.25">
      <c r="AL3014" s="31"/>
      <c r="AM3014" s="26"/>
      <c r="AN3014" s="32"/>
      <c r="AO3014" s="32"/>
      <c r="AP3014" s="24"/>
      <c r="AQ3014" s="24"/>
      <c r="AR3014" s="33"/>
      <c r="AS3014" s="34"/>
      <c r="AT3014" s="33"/>
      <c r="AV3014" s="21">
        <f>IF(AND($AL3014&lt;&gt;"",COUNTIF($AL$11:$AL3014,$AL3014)=1),1,0)</f>
        <v>0</v>
      </c>
      <c r="AW3014" s="21">
        <f t="shared" si="179"/>
        <v>2</v>
      </c>
      <c r="AX3014" s="21" t="str">
        <f t="shared" si="178"/>
        <v/>
      </c>
      <c r="AY3014" s="21" t="str">
        <f>IF(AND($AM3014&lt;&gt;"",$AS3014&lt;&gt;"✓"),SUMPRODUCT(($AM$11:$AM3014&lt;&gt;"")*($AS$11:$AS3014&lt;&gt;"✓")),"")</f>
        <v/>
      </c>
      <c r="AZ3014" s="21" t="str">
        <f>IF(AND($AM3014&lt;&gt;"",$AS3014="✓"),SUMPRODUCT(($AM$11:$AM3014&lt;&gt;"")*($AS$11:$AS3014="✓")),"")</f>
        <v/>
      </c>
      <c r="BA3014" s="21" t="str">
        <f>IF($AL3014="","",$AL3014&amp;"|"&amp;COUNTIF($AL$11:$AL3014,$AL3014))</f>
        <v/>
      </c>
    </row>
    <row r="3015" spans="38:53" ht="15" customHeight="1" x14ac:dyDescent="0.25">
      <c r="AL3015" s="17"/>
      <c r="AM3015" s="12"/>
      <c r="AN3015" s="18"/>
      <c r="AO3015" s="18"/>
      <c r="AP3015" s="10"/>
      <c r="AQ3015" s="10"/>
      <c r="AR3015" s="19"/>
      <c r="AS3015" s="20"/>
      <c r="AT3015" s="19"/>
      <c r="AV3015" s="21">
        <f>IF(AND($AL3015&lt;&gt;"",COUNTIF($AL$11:$AL3015,$AL3015)=1),1,0)</f>
        <v>0</v>
      </c>
      <c r="AW3015" s="21">
        <f t="shared" si="179"/>
        <v>2</v>
      </c>
      <c r="AX3015" s="21" t="str">
        <f t="shared" si="178"/>
        <v/>
      </c>
      <c r="AY3015" s="21" t="str">
        <f>IF(AND($AM3015&lt;&gt;"",$AS3015&lt;&gt;"✓"),SUMPRODUCT(($AM$11:$AM3015&lt;&gt;"")*($AS$11:$AS3015&lt;&gt;"✓")),"")</f>
        <v/>
      </c>
      <c r="AZ3015" s="21" t="str">
        <f>IF(AND($AM3015&lt;&gt;"",$AS3015="✓"),SUMPRODUCT(($AM$11:$AM3015&lt;&gt;"")*($AS$11:$AS3015="✓")),"")</f>
        <v/>
      </c>
      <c r="BA3015" s="21" t="str">
        <f>IF($AL3015="","",$AL3015&amp;"|"&amp;COUNTIF($AL$11:$AL3015,$AL3015))</f>
        <v/>
      </c>
    </row>
    <row r="3016" spans="38:53" ht="15" customHeight="1" x14ac:dyDescent="0.25">
      <c r="AL3016" s="31"/>
      <c r="AM3016" s="26"/>
      <c r="AN3016" s="32"/>
      <c r="AO3016" s="32"/>
      <c r="AP3016" s="24"/>
      <c r="AQ3016" s="24"/>
      <c r="AR3016" s="33"/>
      <c r="AS3016" s="34"/>
      <c r="AT3016" s="33"/>
      <c r="AV3016" s="21">
        <f>IF(AND($AL3016&lt;&gt;"",COUNTIF($AL$11:$AL3016,$AL3016)=1),1,0)</f>
        <v>0</v>
      </c>
      <c r="AW3016" s="21">
        <f t="shared" si="179"/>
        <v>2</v>
      </c>
      <c r="AX3016" s="21" t="str">
        <f t="shared" si="178"/>
        <v/>
      </c>
      <c r="AY3016" s="21" t="str">
        <f>IF(AND($AM3016&lt;&gt;"",$AS3016&lt;&gt;"✓"),SUMPRODUCT(($AM$11:$AM3016&lt;&gt;"")*($AS$11:$AS3016&lt;&gt;"✓")),"")</f>
        <v/>
      </c>
      <c r="AZ3016" s="21" t="str">
        <f>IF(AND($AM3016&lt;&gt;"",$AS3016="✓"),SUMPRODUCT(($AM$11:$AM3016&lt;&gt;"")*($AS$11:$AS3016="✓")),"")</f>
        <v/>
      </c>
      <c r="BA3016" s="21" t="str">
        <f>IF($AL3016="","",$AL3016&amp;"|"&amp;COUNTIF($AL$11:$AL3016,$AL3016))</f>
        <v/>
      </c>
    </row>
    <row r="3017" spans="38:53" ht="15" customHeight="1" x14ac:dyDescent="0.25">
      <c r="AL3017" s="17"/>
      <c r="AM3017" s="12"/>
      <c r="AN3017" s="18"/>
      <c r="AO3017" s="18"/>
      <c r="AP3017" s="10"/>
      <c r="AQ3017" s="10"/>
      <c r="AR3017" s="19"/>
      <c r="AS3017" s="20"/>
      <c r="AT3017" s="19"/>
      <c r="AV3017" s="21">
        <f>IF(AND($AL3017&lt;&gt;"",COUNTIF($AL$11:$AL3017,$AL3017)=1),1,0)</f>
        <v>0</v>
      </c>
      <c r="AW3017" s="21">
        <f t="shared" si="179"/>
        <v>2</v>
      </c>
      <c r="AX3017" s="21" t="str">
        <f t="shared" si="178"/>
        <v/>
      </c>
      <c r="AY3017" s="21" t="str">
        <f>IF(AND($AM3017&lt;&gt;"",$AS3017&lt;&gt;"✓"),SUMPRODUCT(($AM$11:$AM3017&lt;&gt;"")*($AS$11:$AS3017&lt;&gt;"✓")),"")</f>
        <v/>
      </c>
      <c r="AZ3017" s="21" t="str">
        <f>IF(AND($AM3017&lt;&gt;"",$AS3017="✓"),SUMPRODUCT(($AM$11:$AM3017&lt;&gt;"")*($AS$11:$AS3017="✓")),"")</f>
        <v/>
      </c>
      <c r="BA3017" s="21" t="str">
        <f>IF($AL3017="","",$AL3017&amp;"|"&amp;COUNTIF($AL$11:$AL3017,$AL3017))</f>
        <v/>
      </c>
    </row>
    <row r="3018" spans="38:53" ht="15" customHeight="1" x14ac:dyDescent="0.25">
      <c r="AL3018" s="31"/>
      <c r="AM3018" s="26"/>
      <c r="AN3018" s="32"/>
      <c r="AO3018" s="32"/>
      <c r="AP3018" s="24"/>
      <c r="AQ3018" s="24"/>
      <c r="AR3018" s="33"/>
      <c r="AS3018" s="34"/>
      <c r="AT3018" s="33"/>
      <c r="AV3018" s="21">
        <f>IF(AND($AL3018&lt;&gt;"",COUNTIF($AL$11:$AL3018,$AL3018)=1),1,0)</f>
        <v>0</v>
      </c>
      <c r="AW3018" s="21">
        <f t="shared" si="179"/>
        <v>2</v>
      </c>
      <c r="AX3018" s="21" t="str">
        <f t="shared" si="178"/>
        <v/>
      </c>
      <c r="AY3018" s="21" t="str">
        <f>IF(AND($AM3018&lt;&gt;"",$AS3018&lt;&gt;"✓"),SUMPRODUCT(($AM$11:$AM3018&lt;&gt;"")*($AS$11:$AS3018&lt;&gt;"✓")),"")</f>
        <v/>
      </c>
      <c r="AZ3018" s="21" t="str">
        <f>IF(AND($AM3018&lt;&gt;"",$AS3018="✓"),SUMPRODUCT(($AM$11:$AM3018&lt;&gt;"")*($AS$11:$AS3018="✓")),"")</f>
        <v/>
      </c>
      <c r="BA3018" s="21" t="str">
        <f>IF($AL3018="","",$AL3018&amp;"|"&amp;COUNTIF($AL$11:$AL3018,$AL3018))</f>
        <v/>
      </c>
    </row>
    <row r="3019" spans="38:53" ht="15" customHeight="1" x14ac:dyDescent="0.25">
      <c r="AL3019" s="17"/>
      <c r="AM3019" s="12"/>
      <c r="AN3019" s="18"/>
      <c r="AO3019" s="18"/>
      <c r="AP3019" s="10"/>
      <c r="AQ3019" s="10"/>
      <c r="AR3019" s="19"/>
      <c r="AS3019" s="20"/>
      <c r="AT3019" s="19"/>
      <c r="AV3019" s="21">
        <f>IF(AND($AL3019&lt;&gt;"",COUNTIF($AL$11:$AL3019,$AL3019)=1),1,0)</f>
        <v>0</v>
      </c>
      <c r="AW3019" s="21">
        <f t="shared" si="179"/>
        <v>2</v>
      </c>
      <c r="AX3019" s="21" t="str">
        <f t="shared" ref="AX3019:AX3082" si="180">IF(AV3019=1,AW3019,"")</f>
        <v/>
      </c>
      <c r="AY3019" s="21" t="str">
        <f>IF(AND($AM3019&lt;&gt;"",$AS3019&lt;&gt;"✓"),SUMPRODUCT(($AM$11:$AM3019&lt;&gt;"")*($AS$11:$AS3019&lt;&gt;"✓")),"")</f>
        <v/>
      </c>
      <c r="AZ3019" s="21" t="str">
        <f>IF(AND($AM3019&lt;&gt;"",$AS3019="✓"),SUMPRODUCT(($AM$11:$AM3019&lt;&gt;"")*($AS$11:$AS3019="✓")),"")</f>
        <v/>
      </c>
      <c r="BA3019" s="21" t="str">
        <f>IF($AL3019="","",$AL3019&amp;"|"&amp;COUNTIF($AL$11:$AL3019,$AL3019))</f>
        <v/>
      </c>
    </row>
    <row r="3020" spans="38:53" ht="15" customHeight="1" x14ac:dyDescent="0.25">
      <c r="AL3020" s="31"/>
      <c r="AM3020" s="26"/>
      <c r="AN3020" s="32"/>
      <c r="AO3020" s="32"/>
      <c r="AP3020" s="24"/>
      <c r="AQ3020" s="24"/>
      <c r="AR3020" s="33"/>
      <c r="AS3020" s="34"/>
      <c r="AT3020" s="33"/>
      <c r="AV3020" s="21">
        <f>IF(AND($AL3020&lt;&gt;"",COUNTIF($AL$11:$AL3020,$AL3020)=1),1,0)</f>
        <v>0</v>
      </c>
      <c r="AW3020" s="21">
        <f t="shared" ref="AW3020:AW3083" si="181">AW3019+AV3020</f>
        <v>2</v>
      </c>
      <c r="AX3020" s="21" t="str">
        <f t="shared" si="180"/>
        <v/>
      </c>
      <c r="AY3020" s="21" t="str">
        <f>IF(AND($AM3020&lt;&gt;"",$AS3020&lt;&gt;"✓"),SUMPRODUCT(($AM$11:$AM3020&lt;&gt;"")*($AS$11:$AS3020&lt;&gt;"✓")),"")</f>
        <v/>
      </c>
      <c r="AZ3020" s="21" t="str">
        <f>IF(AND($AM3020&lt;&gt;"",$AS3020="✓"),SUMPRODUCT(($AM$11:$AM3020&lt;&gt;"")*($AS$11:$AS3020="✓")),"")</f>
        <v/>
      </c>
      <c r="BA3020" s="21" t="str">
        <f>IF($AL3020="","",$AL3020&amp;"|"&amp;COUNTIF($AL$11:$AL3020,$AL3020))</f>
        <v/>
      </c>
    </row>
    <row r="3021" spans="38:53" ht="15" customHeight="1" x14ac:dyDescent="0.25">
      <c r="AL3021" s="17"/>
      <c r="AM3021" s="12"/>
      <c r="AN3021" s="18"/>
      <c r="AO3021" s="18"/>
      <c r="AP3021" s="10"/>
      <c r="AQ3021" s="10"/>
      <c r="AR3021" s="19"/>
      <c r="AS3021" s="20"/>
      <c r="AT3021" s="19"/>
      <c r="AV3021" s="21">
        <f>IF(AND($AL3021&lt;&gt;"",COUNTIF($AL$11:$AL3021,$AL3021)=1),1,0)</f>
        <v>0</v>
      </c>
      <c r="AW3021" s="21">
        <f t="shared" si="181"/>
        <v>2</v>
      </c>
      <c r="AX3021" s="21" t="str">
        <f t="shared" si="180"/>
        <v/>
      </c>
      <c r="AY3021" s="21" t="str">
        <f>IF(AND($AM3021&lt;&gt;"",$AS3021&lt;&gt;"✓"),SUMPRODUCT(($AM$11:$AM3021&lt;&gt;"")*($AS$11:$AS3021&lt;&gt;"✓")),"")</f>
        <v/>
      </c>
      <c r="AZ3021" s="21" t="str">
        <f>IF(AND($AM3021&lt;&gt;"",$AS3021="✓"),SUMPRODUCT(($AM$11:$AM3021&lt;&gt;"")*($AS$11:$AS3021="✓")),"")</f>
        <v/>
      </c>
      <c r="BA3021" s="21" t="str">
        <f>IF($AL3021="","",$AL3021&amp;"|"&amp;COUNTIF($AL$11:$AL3021,$AL3021))</f>
        <v/>
      </c>
    </row>
    <row r="3022" spans="38:53" ht="15" customHeight="1" x14ac:dyDescent="0.25">
      <c r="AL3022" s="31"/>
      <c r="AM3022" s="26"/>
      <c r="AN3022" s="32"/>
      <c r="AO3022" s="32"/>
      <c r="AP3022" s="24"/>
      <c r="AQ3022" s="24"/>
      <c r="AR3022" s="33"/>
      <c r="AS3022" s="34"/>
      <c r="AT3022" s="33"/>
      <c r="AV3022" s="21">
        <f>IF(AND($AL3022&lt;&gt;"",COUNTIF($AL$11:$AL3022,$AL3022)=1),1,0)</f>
        <v>0</v>
      </c>
      <c r="AW3022" s="21">
        <f t="shared" si="181"/>
        <v>2</v>
      </c>
      <c r="AX3022" s="21" t="str">
        <f t="shared" si="180"/>
        <v/>
      </c>
      <c r="AY3022" s="21" t="str">
        <f>IF(AND($AM3022&lt;&gt;"",$AS3022&lt;&gt;"✓"),SUMPRODUCT(($AM$11:$AM3022&lt;&gt;"")*($AS$11:$AS3022&lt;&gt;"✓")),"")</f>
        <v/>
      </c>
      <c r="AZ3022" s="21" t="str">
        <f>IF(AND($AM3022&lt;&gt;"",$AS3022="✓"),SUMPRODUCT(($AM$11:$AM3022&lt;&gt;"")*($AS$11:$AS3022="✓")),"")</f>
        <v/>
      </c>
      <c r="BA3022" s="21" t="str">
        <f>IF($AL3022="","",$AL3022&amp;"|"&amp;COUNTIF($AL$11:$AL3022,$AL3022))</f>
        <v/>
      </c>
    </row>
    <row r="3023" spans="38:53" ht="15" customHeight="1" x14ac:dyDescent="0.25">
      <c r="AL3023" s="17"/>
      <c r="AM3023" s="12"/>
      <c r="AN3023" s="18"/>
      <c r="AO3023" s="18"/>
      <c r="AP3023" s="10"/>
      <c r="AQ3023" s="10"/>
      <c r="AR3023" s="19"/>
      <c r="AS3023" s="20"/>
      <c r="AT3023" s="19"/>
      <c r="AV3023" s="21">
        <f>IF(AND($AL3023&lt;&gt;"",COUNTIF($AL$11:$AL3023,$AL3023)=1),1,0)</f>
        <v>0</v>
      </c>
      <c r="AW3023" s="21">
        <f t="shared" si="181"/>
        <v>2</v>
      </c>
      <c r="AX3023" s="21" t="str">
        <f t="shared" si="180"/>
        <v/>
      </c>
      <c r="AY3023" s="21" t="str">
        <f>IF(AND($AM3023&lt;&gt;"",$AS3023&lt;&gt;"✓"),SUMPRODUCT(($AM$11:$AM3023&lt;&gt;"")*($AS$11:$AS3023&lt;&gt;"✓")),"")</f>
        <v/>
      </c>
      <c r="AZ3023" s="21" t="str">
        <f>IF(AND($AM3023&lt;&gt;"",$AS3023="✓"),SUMPRODUCT(($AM$11:$AM3023&lt;&gt;"")*($AS$11:$AS3023="✓")),"")</f>
        <v/>
      </c>
      <c r="BA3023" s="21" t="str">
        <f>IF($AL3023="","",$AL3023&amp;"|"&amp;COUNTIF($AL$11:$AL3023,$AL3023))</f>
        <v/>
      </c>
    </row>
    <row r="3024" spans="38:53" ht="15" customHeight="1" x14ac:dyDescent="0.25">
      <c r="AL3024" s="31"/>
      <c r="AM3024" s="26"/>
      <c r="AN3024" s="32"/>
      <c r="AO3024" s="32"/>
      <c r="AP3024" s="24"/>
      <c r="AQ3024" s="24"/>
      <c r="AR3024" s="33"/>
      <c r="AS3024" s="34"/>
      <c r="AT3024" s="33"/>
      <c r="AV3024" s="21">
        <f>IF(AND($AL3024&lt;&gt;"",COUNTIF($AL$11:$AL3024,$AL3024)=1),1,0)</f>
        <v>0</v>
      </c>
      <c r="AW3024" s="21">
        <f t="shared" si="181"/>
        <v>2</v>
      </c>
      <c r="AX3024" s="21" t="str">
        <f t="shared" si="180"/>
        <v/>
      </c>
      <c r="AY3024" s="21" t="str">
        <f>IF(AND($AM3024&lt;&gt;"",$AS3024&lt;&gt;"✓"),SUMPRODUCT(($AM$11:$AM3024&lt;&gt;"")*($AS$11:$AS3024&lt;&gt;"✓")),"")</f>
        <v/>
      </c>
      <c r="AZ3024" s="21" t="str">
        <f>IF(AND($AM3024&lt;&gt;"",$AS3024="✓"),SUMPRODUCT(($AM$11:$AM3024&lt;&gt;"")*($AS$11:$AS3024="✓")),"")</f>
        <v/>
      </c>
      <c r="BA3024" s="21" t="str">
        <f>IF($AL3024="","",$AL3024&amp;"|"&amp;COUNTIF($AL$11:$AL3024,$AL3024))</f>
        <v/>
      </c>
    </row>
    <row r="3025" spans="38:53" ht="15" customHeight="1" x14ac:dyDescent="0.25">
      <c r="AL3025" s="17"/>
      <c r="AM3025" s="12"/>
      <c r="AN3025" s="18"/>
      <c r="AO3025" s="18"/>
      <c r="AP3025" s="10"/>
      <c r="AQ3025" s="10"/>
      <c r="AR3025" s="19"/>
      <c r="AS3025" s="20"/>
      <c r="AT3025" s="19"/>
      <c r="AV3025" s="21">
        <f>IF(AND($AL3025&lt;&gt;"",COUNTIF($AL$11:$AL3025,$AL3025)=1),1,0)</f>
        <v>0</v>
      </c>
      <c r="AW3025" s="21">
        <f t="shared" si="181"/>
        <v>2</v>
      </c>
      <c r="AX3025" s="21" t="str">
        <f t="shared" si="180"/>
        <v/>
      </c>
      <c r="AY3025" s="21" t="str">
        <f>IF(AND($AM3025&lt;&gt;"",$AS3025&lt;&gt;"✓"),SUMPRODUCT(($AM$11:$AM3025&lt;&gt;"")*($AS$11:$AS3025&lt;&gt;"✓")),"")</f>
        <v/>
      </c>
      <c r="AZ3025" s="21" t="str">
        <f>IF(AND($AM3025&lt;&gt;"",$AS3025="✓"),SUMPRODUCT(($AM$11:$AM3025&lt;&gt;"")*($AS$11:$AS3025="✓")),"")</f>
        <v/>
      </c>
      <c r="BA3025" s="21" t="str">
        <f>IF($AL3025="","",$AL3025&amp;"|"&amp;COUNTIF($AL$11:$AL3025,$AL3025))</f>
        <v/>
      </c>
    </row>
    <row r="3026" spans="38:53" ht="15" customHeight="1" x14ac:dyDescent="0.25">
      <c r="AL3026" s="31"/>
      <c r="AM3026" s="26"/>
      <c r="AN3026" s="32"/>
      <c r="AO3026" s="32"/>
      <c r="AP3026" s="24"/>
      <c r="AQ3026" s="24"/>
      <c r="AR3026" s="33"/>
      <c r="AS3026" s="34"/>
      <c r="AT3026" s="33"/>
      <c r="AV3026" s="21">
        <f>IF(AND($AL3026&lt;&gt;"",COUNTIF($AL$11:$AL3026,$AL3026)=1),1,0)</f>
        <v>0</v>
      </c>
      <c r="AW3026" s="21">
        <f t="shared" si="181"/>
        <v>2</v>
      </c>
      <c r="AX3026" s="21" t="str">
        <f t="shared" si="180"/>
        <v/>
      </c>
      <c r="AY3026" s="21" t="str">
        <f>IF(AND($AM3026&lt;&gt;"",$AS3026&lt;&gt;"✓"),SUMPRODUCT(($AM$11:$AM3026&lt;&gt;"")*($AS$11:$AS3026&lt;&gt;"✓")),"")</f>
        <v/>
      </c>
      <c r="AZ3026" s="21" t="str">
        <f>IF(AND($AM3026&lt;&gt;"",$AS3026="✓"),SUMPRODUCT(($AM$11:$AM3026&lt;&gt;"")*($AS$11:$AS3026="✓")),"")</f>
        <v/>
      </c>
      <c r="BA3026" s="21" t="str">
        <f>IF($AL3026="","",$AL3026&amp;"|"&amp;COUNTIF($AL$11:$AL3026,$AL3026))</f>
        <v/>
      </c>
    </row>
    <row r="3027" spans="38:53" ht="15" customHeight="1" x14ac:dyDescent="0.25">
      <c r="AL3027" s="17"/>
      <c r="AM3027" s="12"/>
      <c r="AN3027" s="18"/>
      <c r="AO3027" s="18"/>
      <c r="AP3027" s="10"/>
      <c r="AQ3027" s="10"/>
      <c r="AR3027" s="19"/>
      <c r="AS3027" s="20"/>
      <c r="AT3027" s="19"/>
      <c r="AV3027" s="21">
        <f>IF(AND($AL3027&lt;&gt;"",COUNTIF($AL$11:$AL3027,$AL3027)=1),1,0)</f>
        <v>0</v>
      </c>
      <c r="AW3027" s="21">
        <f t="shared" si="181"/>
        <v>2</v>
      </c>
      <c r="AX3027" s="21" t="str">
        <f t="shared" si="180"/>
        <v/>
      </c>
      <c r="AY3027" s="21" t="str">
        <f>IF(AND($AM3027&lt;&gt;"",$AS3027&lt;&gt;"✓"),SUMPRODUCT(($AM$11:$AM3027&lt;&gt;"")*($AS$11:$AS3027&lt;&gt;"✓")),"")</f>
        <v/>
      </c>
      <c r="AZ3027" s="21" t="str">
        <f>IF(AND($AM3027&lt;&gt;"",$AS3027="✓"),SUMPRODUCT(($AM$11:$AM3027&lt;&gt;"")*($AS$11:$AS3027="✓")),"")</f>
        <v/>
      </c>
      <c r="BA3027" s="21" t="str">
        <f>IF($AL3027="","",$AL3027&amp;"|"&amp;COUNTIF($AL$11:$AL3027,$AL3027))</f>
        <v/>
      </c>
    </row>
    <row r="3028" spans="38:53" ht="15" customHeight="1" x14ac:dyDescent="0.25">
      <c r="AL3028" s="31"/>
      <c r="AM3028" s="26"/>
      <c r="AN3028" s="32"/>
      <c r="AO3028" s="32"/>
      <c r="AP3028" s="24"/>
      <c r="AQ3028" s="24"/>
      <c r="AR3028" s="33"/>
      <c r="AS3028" s="34"/>
      <c r="AT3028" s="33"/>
      <c r="AV3028" s="21">
        <f>IF(AND($AL3028&lt;&gt;"",COUNTIF($AL$11:$AL3028,$AL3028)=1),1,0)</f>
        <v>0</v>
      </c>
      <c r="AW3028" s="21">
        <f t="shared" si="181"/>
        <v>2</v>
      </c>
      <c r="AX3028" s="21" t="str">
        <f t="shared" si="180"/>
        <v/>
      </c>
      <c r="AY3028" s="21" t="str">
        <f>IF(AND($AM3028&lt;&gt;"",$AS3028&lt;&gt;"✓"),SUMPRODUCT(($AM$11:$AM3028&lt;&gt;"")*($AS$11:$AS3028&lt;&gt;"✓")),"")</f>
        <v/>
      </c>
      <c r="AZ3028" s="21" t="str">
        <f>IF(AND($AM3028&lt;&gt;"",$AS3028="✓"),SUMPRODUCT(($AM$11:$AM3028&lt;&gt;"")*($AS$11:$AS3028="✓")),"")</f>
        <v/>
      </c>
      <c r="BA3028" s="21" t="str">
        <f>IF($AL3028="","",$AL3028&amp;"|"&amp;COUNTIF($AL$11:$AL3028,$AL3028))</f>
        <v/>
      </c>
    </row>
    <row r="3029" spans="38:53" ht="15" customHeight="1" x14ac:dyDescent="0.25">
      <c r="AL3029" s="17"/>
      <c r="AM3029" s="12"/>
      <c r="AN3029" s="18"/>
      <c r="AO3029" s="18"/>
      <c r="AP3029" s="10"/>
      <c r="AQ3029" s="10"/>
      <c r="AR3029" s="19"/>
      <c r="AS3029" s="20"/>
      <c r="AT3029" s="19"/>
      <c r="AV3029" s="21">
        <f>IF(AND($AL3029&lt;&gt;"",COUNTIF($AL$11:$AL3029,$AL3029)=1),1,0)</f>
        <v>0</v>
      </c>
      <c r="AW3029" s="21">
        <f t="shared" si="181"/>
        <v>2</v>
      </c>
      <c r="AX3029" s="21" t="str">
        <f t="shared" si="180"/>
        <v/>
      </c>
      <c r="AY3029" s="21" t="str">
        <f>IF(AND($AM3029&lt;&gt;"",$AS3029&lt;&gt;"✓"),SUMPRODUCT(($AM$11:$AM3029&lt;&gt;"")*($AS$11:$AS3029&lt;&gt;"✓")),"")</f>
        <v/>
      </c>
      <c r="AZ3029" s="21" t="str">
        <f>IF(AND($AM3029&lt;&gt;"",$AS3029="✓"),SUMPRODUCT(($AM$11:$AM3029&lt;&gt;"")*($AS$11:$AS3029="✓")),"")</f>
        <v/>
      </c>
      <c r="BA3029" s="21" t="str">
        <f>IF($AL3029="","",$AL3029&amp;"|"&amp;COUNTIF($AL$11:$AL3029,$AL3029))</f>
        <v/>
      </c>
    </row>
    <row r="3030" spans="38:53" ht="15" customHeight="1" x14ac:dyDescent="0.25">
      <c r="AL3030" s="31"/>
      <c r="AM3030" s="26"/>
      <c r="AN3030" s="32"/>
      <c r="AO3030" s="32"/>
      <c r="AP3030" s="24"/>
      <c r="AQ3030" s="24"/>
      <c r="AR3030" s="33"/>
      <c r="AS3030" s="34"/>
      <c r="AT3030" s="33"/>
      <c r="AV3030" s="21">
        <f>IF(AND($AL3030&lt;&gt;"",COUNTIF($AL$11:$AL3030,$AL3030)=1),1,0)</f>
        <v>0</v>
      </c>
      <c r="AW3030" s="21">
        <f t="shared" si="181"/>
        <v>2</v>
      </c>
      <c r="AX3030" s="21" t="str">
        <f t="shared" si="180"/>
        <v/>
      </c>
      <c r="AY3030" s="21" t="str">
        <f>IF(AND($AM3030&lt;&gt;"",$AS3030&lt;&gt;"✓"),SUMPRODUCT(($AM$11:$AM3030&lt;&gt;"")*($AS$11:$AS3030&lt;&gt;"✓")),"")</f>
        <v/>
      </c>
      <c r="AZ3030" s="21" t="str">
        <f>IF(AND($AM3030&lt;&gt;"",$AS3030="✓"),SUMPRODUCT(($AM$11:$AM3030&lt;&gt;"")*($AS$11:$AS3030="✓")),"")</f>
        <v/>
      </c>
      <c r="BA3030" s="21" t="str">
        <f>IF($AL3030="","",$AL3030&amp;"|"&amp;COUNTIF($AL$11:$AL3030,$AL3030))</f>
        <v/>
      </c>
    </row>
    <row r="3031" spans="38:53" ht="15" customHeight="1" x14ac:dyDescent="0.25">
      <c r="AL3031" s="17"/>
      <c r="AM3031" s="12"/>
      <c r="AN3031" s="18"/>
      <c r="AO3031" s="18"/>
      <c r="AP3031" s="10"/>
      <c r="AQ3031" s="10"/>
      <c r="AR3031" s="19"/>
      <c r="AS3031" s="20"/>
      <c r="AT3031" s="19"/>
      <c r="AV3031" s="21">
        <f>IF(AND($AL3031&lt;&gt;"",COUNTIF($AL$11:$AL3031,$AL3031)=1),1,0)</f>
        <v>0</v>
      </c>
      <c r="AW3031" s="21">
        <f t="shared" si="181"/>
        <v>2</v>
      </c>
      <c r="AX3031" s="21" t="str">
        <f t="shared" si="180"/>
        <v/>
      </c>
      <c r="AY3031" s="21" t="str">
        <f>IF(AND($AM3031&lt;&gt;"",$AS3031&lt;&gt;"✓"),SUMPRODUCT(($AM$11:$AM3031&lt;&gt;"")*($AS$11:$AS3031&lt;&gt;"✓")),"")</f>
        <v/>
      </c>
      <c r="AZ3031" s="21" t="str">
        <f>IF(AND($AM3031&lt;&gt;"",$AS3031="✓"),SUMPRODUCT(($AM$11:$AM3031&lt;&gt;"")*($AS$11:$AS3031="✓")),"")</f>
        <v/>
      </c>
      <c r="BA3031" s="21" t="str">
        <f>IF($AL3031="","",$AL3031&amp;"|"&amp;COUNTIF($AL$11:$AL3031,$AL3031))</f>
        <v/>
      </c>
    </row>
    <row r="3032" spans="38:53" ht="15" customHeight="1" x14ac:dyDescent="0.25">
      <c r="AL3032" s="31"/>
      <c r="AM3032" s="26"/>
      <c r="AN3032" s="32"/>
      <c r="AO3032" s="32"/>
      <c r="AP3032" s="24"/>
      <c r="AQ3032" s="24"/>
      <c r="AR3032" s="33"/>
      <c r="AS3032" s="34"/>
      <c r="AT3032" s="33"/>
      <c r="AV3032" s="21">
        <f>IF(AND($AL3032&lt;&gt;"",COUNTIF($AL$11:$AL3032,$AL3032)=1),1,0)</f>
        <v>0</v>
      </c>
      <c r="AW3032" s="21">
        <f t="shared" si="181"/>
        <v>2</v>
      </c>
      <c r="AX3032" s="21" t="str">
        <f t="shared" si="180"/>
        <v/>
      </c>
      <c r="AY3032" s="21" t="str">
        <f>IF(AND($AM3032&lt;&gt;"",$AS3032&lt;&gt;"✓"),SUMPRODUCT(($AM$11:$AM3032&lt;&gt;"")*($AS$11:$AS3032&lt;&gt;"✓")),"")</f>
        <v/>
      </c>
      <c r="AZ3032" s="21" t="str">
        <f>IF(AND($AM3032&lt;&gt;"",$AS3032="✓"),SUMPRODUCT(($AM$11:$AM3032&lt;&gt;"")*($AS$11:$AS3032="✓")),"")</f>
        <v/>
      </c>
      <c r="BA3032" s="21" t="str">
        <f>IF($AL3032="","",$AL3032&amp;"|"&amp;COUNTIF($AL$11:$AL3032,$AL3032))</f>
        <v/>
      </c>
    </row>
    <row r="3033" spans="38:53" ht="15" customHeight="1" x14ac:dyDescent="0.25">
      <c r="AL3033" s="17"/>
      <c r="AM3033" s="12"/>
      <c r="AN3033" s="18"/>
      <c r="AO3033" s="18"/>
      <c r="AP3033" s="10"/>
      <c r="AQ3033" s="10"/>
      <c r="AR3033" s="19"/>
      <c r="AS3033" s="20"/>
      <c r="AT3033" s="19"/>
      <c r="AV3033" s="21">
        <f>IF(AND($AL3033&lt;&gt;"",COUNTIF($AL$11:$AL3033,$AL3033)=1),1,0)</f>
        <v>0</v>
      </c>
      <c r="AW3033" s="21">
        <f t="shared" si="181"/>
        <v>2</v>
      </c>
      <c r="AX3033" s="21" t="str">
        <f t="shared" si="180"/>
        <v/>
      </c>
      <c r="AY3033" s="21" t="str">
        <f>IF(AND($AM3033&lt;&gt;"",$AS3033&lt;&gt;"✓"),SUMPRODUCT(($AM$11:$AM3033&lt;&gt;"")*($AS$11:$AS3033&lt;&gt;"✓")),"")</f>
        <v/>
      </c>
      <c r="AZ3033" s="21" t="str">
        <f>IF(AND($AM3033&lt;&gt;"",$AS3033="✓"),SUMPRODUCT(($AM$11:$AM3033&lt;&gt;"")*($AS$11:$AS3033="✓")),"")</f>
        <v/>
      </c>
      <c r="BA3033" s="21" t="str">
        <f>IF($AL3033="","",$AL3033&amp;"|"&amp;COUNTIF($AL$11:$AL3033,$AL3033))</f>
        <v/>
      </c>
    </row>
    <row r="3034" spans="38:53" ht="15" customHeight="1" x14ac:dyDescent="0.25">
      <c r="AL3034" s="31"/>
      <c r="AM3034" s="26"/>
      <c r="AN3034" s="32"/>
      <c r="AO3034" s="32"/>
      <c r="AP3034" s="24"/>
      <c r="AQ3034" s="24"/>
      <c r="AR3034" s="33"/>
      <c r="AS3034" s="34"/>
      <c r="AT3034" s="33"/>
      <c r="AV3034" s="21">
        <f>IF(AND($AL3034&lt;&gt;"",COUNTIF($AL$11:$AL3034,$AL3034)=1),1,0)</f>
        <v>0</v>
      </c>
      <c r="AW3034" s="21">
        <f t="shared" si="181"/>
        <v>2</v>
      </c>
      <c r="AX3034" s="21" t="str">
        <f t="shared" si="180"/>
        <v/>
      </c>
      <c r="AY3034" s="21" t="str">
        <f>IF(AND($AM3034&lt;&gt;"",$AS3034&lt;&gt;"✓"),SUMPRODUCT(($AM$11:$AM3034&lt;&gt;"")*($AS$11:$AS3034&lt;&gt;"✓")),"")</f>
        <v/>
      </c>
      <c r="AZ3034" s="21" t="str">
        <f>IF(AND($AM3034&lt;&gt;"",$AS3034="✓"),SUMPRODUCT(($AM$11:$AM3034&lt;&gt;"")*($AS$11:$AS3034="✓")),"")</f>
        <v/>
      </c>
      <c r="BA3034" s="21" t="str">
        <f>IF($AL3034="","",$AL3034&amp;"|"&amp;COUNTIF($AL$11:$AL3034,$AL3034))</f>
        <v/>
      </c>
    </row>
    <row r="3035" spans="38:53" ht="15" customHeight="1" x14ac:dyDescent="0.25">
      <c r="AL3035" s="17"/>
      <c r="AM3035" s="12"/>
      <c r="AN3035" s="18"/>
      <c r="AO3035" s="18"/>
      <c r="AP3035" s="10"/>
      <c r="AQ3035" s="10"/>
      <c r="AR3035" s="19"/>
      <c r="AS3035" s="20"/>
      <c r="AT3035" s="19"/>
      <c r="AV3035" s="21">
        <f>IF(AND($AL3035&lt;&gt;"",COUNTIF($AL$11:$AL3035,$AL3035)=1),1,0)</f>
        <v>0</v>
      </c>
      <c r="AW3035" s="21">
        <f t="shared" si="181"/>
        <v>2</v>
      </c>
      <c r="AX3035" s="21" t="str">
        <f t="shared" si="180"/>
        <v/>
      </c>
      <c r="AY3035" s="21" t="str">
        <f>IF(AND($AM3035&lt;&gt;"",$AS3035&lt;&gt;"✓"),SUMPRODUCT(($AM$11:$AM3035&lt;&gt;"")*($AS$11:$AS3035&lt;&gt;"✓")),"")</f>
        <v/>
      </c>
      <c r="AZ3035" s="21" t="str">
        <f>IF(AND($AM3035&lt;&gt;"",$AS3035="✓"),SUMPRODUCT(($AM$11:$AM3035&lt;&gt;"")*($AS$11:$AS3035="✓")),"")</f>
        <v/>
      </c>
      <c r="BA3035" s="21" t="str">
        <f>IF($AL3035="","",$AL3035&amp;"|"&amp;COUNTIF($AL$11:$AL3035,$AL3035))</f>
        <v/>
      </c>
    </row>
    <row r="3036" spans="38:53" ht="15" customHeight="1" x14ac:dyDescent="0.25">
      <c r="AL3036" s="31"/>
      <c r="AM3036" s="26"/>
      <c r="AN3036" s="32"/>
      <c r="AO3036" s="32"/>
      <c r="AP3036" s="24"/>
      <c r="AQ3036" s="24"/>
      <c r="AR3036" s="33"/>
      <c r="AS3036" s="34"/>
      <c r="AT3036" s="33"/>
      <c r="AV3036" s="21">
        <f>IF(AND($AL3036&lt;&gt;"",COUNTIF($AL$11:$AL3036,$AL3036)=1),1,0)</f>
        <v>0</v>
      </c>
      <c r="AW3036" s="21">
        <f t="shared" si="181"/>
        <v>2</v>
      </c>
      <c r="AX3036" s="21" t="str">
        <f t="shared" si="180"/>
        <v/>
      </c>
      <c r="AY3036" s="21" t="str">
        <f>IF(AND($AM3036&lt;&gt;"",$AS3036&lt;&gt;"✓"),SUMPRODUCT(($AM$11:$AM3036&lt;&gt;"")*($AS$11:$AS3036&lt;&gt;"✓")),"")</f>
        <v/>
      </c>
      <c r="AZ3036" s="21" t="str">
        <f>IF(AND($AM3036&lt;&gt;"",$AS3036="✓"),SUMPRODUCT(($AM$11:$AM3036&lt;&gt;"")*($AS$11:$AS3036="✓")),"")</f>
        <v/>
      </c>
      <c r="BA3036" s="21" t="str">
        <f>IF($AL3036="","",$AL3036&amp;"|"&amp;COUNTIF($AL$11:$AL3036,$AL3036))</f>
        <v/>
      </c>
    </row>
    <row r="3037" spans="38:53" ht="15" customHeight="1" x14ac:dyDescent="0.25">
      <c r="AL3037" s="17"/>
      <c r="AM3037" s="12"/>
      <c r="AN3037" s="18"/>
      <c r="AO3037" s="18"/>
      <c r="AP3037" s="10"/>
      <c r="AQ3037" s="10"/>
      <c r="AR3037" s="19"/>
      <c r="AS3037" s="20"/>
      <c r="AT3037" s="19"/>
      <c r="AV3037" s="21">
        <f>IF(AND($AL3037&lt;&gt;"",COUNTIF($AL$11:$AL3037,$AL3037)=1),1,0)</f>
        <v>0</v>
      </c>
      <c r="AW3037" s="21">
        <f t="shared" si="181"/>
        <v>2</v>
      </c>
      <c r="AX3037" s="21" t="str">
        <f t="shared" si="180"/>
        <v/>
      </c>
      <c r="AY3037" s="21" t="str">
        <f>IF(AND($AM3037&lt;&gt;"",$AS3037&lt;&gt;"✓"),SUMPRODUCT(($AM$11:$AM3037&lt;&gt;"")*($AS$11:$AS3037&lt;&gt;"✓")),"")</f>
        <v/>
      </c>
      <c r="AZ3037" s="21" t="str">
        <f>IF(AND($AM3037&lt;&gt;"",$AS3037="✓"),SUMPRODUCT(($AM$11:$AM3037&lt;&gt;"")*($AS$11:$AS3037="✓")),"")</f>
        <v/>
      </c>
      <c r="BA3037" s="21" t="str">
        <f>IF($AL3037="","",$AL3037&amp;"|"&amp;COUNTIF($AL$11:$AL3037,$AL3037))</f>
        <v/>
      </c>
    </row>
    <row r="3038" spans="38:53" ht="15" customHeight="1" x14ac:dyDescent="0.25">
      <c r="AL3038" s="31"/>
      <c r="AM3038" s="26"/>
      <c r="AN3038" s="32"/>
      <c r="AO3038" s="32"/>
      <c r="AP3038" s="24"/>
      <c r="AQ3038" s="24"/>
      <c r="AR3038" s="33"/>
      <c r="AS3038" s="34"/>
      <c r="AT3038" s="33"/>
      <c r="AV3038" s="21">
        <f>IF(AND($AL3038&lt;&gt;"",COUNTIF($AL$11:$AL3038,$AL3038)=1),1,0)</f>
        <v>0</v>
      </c>
      <c r="AW3038" s="21">
        <f t="shared" si="181"/>
        <v>2</v>
      </c>
      <c r="AX3038" s="21" t="str">
        <f t="shared" si="180"/>
        <v/>
      </c>
      <c r="AY3038" s="21" t="str">
        <f>IF(AND($AM3038&lt;&gt;"",$AS3038&lt;&gt;"✓"),SUMPRODUCT(($AM$11:$AM3038&lt;&gt;"")*($AS$11:$AS3038&lt;&gt;"✓")),"")</f>
        <v/>
      </c>
      <c r="AZ3038" s="21" t="str">
        <f>IF(AND($AM3038&lt;&gt;"",$AS3038="✓"),SUMPRODUCT(($AM$11:$AM3038&lt;&gt;"")*($AS$11:$AS3038="✓")),"")</f>
        <v/>
      </c>
      <c r="BA3038" s="21" t="str">
        <f>IF($AL3038="","",$AL3038&amp;"|"&amp;COUNTIF($AL$11:$AL3038,$AL3038))</f>
        <v/>
      </c>
    </row>
    <row r="3039" spans="38:53" ht="15" customHeight="1" x14ac:dyDescent="0.25">
      <c r="AL3039" s="17"/>
      <c r="AM3039" s="12"/>
      <c r="AN3039" s="18"/>
      <c r="AO3039" s="18"/>
      <c r="AP3039" s="10"/>
      <c r="AQ3039" s="10"/>
      <c r="AR3039" s="19"/>
      <c r="AS3039" s="20"/>
      <c r="AT3039" s="19"/>
      <c r="AV3039" s="21">
        <f>IF(AND($AL3039&lt;&gt;"",COUNTIF($AL$11:$AL3039,$AL3039)=1),1,0)</f>
        <v>0</v>
      </c>
      <c r="AW3039" s="21">
        <f t="shared" si="181"/>
        <v>2</v>
      </c>
      <c r="AX3039" s="21" t="str">
        <f t="shared" si="180"/>
        <v/>
      </c>
      <c r="AY3039" s="21" t="str">
        <f>IF(AND($AM3039&lt;&gt;"",$AS3039&lt;&gt;"✓"),SUMPRODUCT(($AM$11:$AM3039&lt;&gt;"")*($AS$11:$AS3039&lt;&gt;"✓")),"")</f>
        <v/>
      </c>
      <c r="AZ3039" s="21" t="str">
        <f>IF(AND($AM3039&lt;&gt;"",$AS3039="✓"),SUMPRODUCT(($AM$11:$AM3039&lt;&gt;"")*($AS$11:$AS3039="✓")),"")</f>
        <v/>
      </c>
      <c r="BA3039" s="21" t="str">
        <f>IF($AL3039="","",$AL3039&amp;"|"&amp;COUNTIF($AL$11:$AL3039,$AL3039))</f>
        <v/>
      </c>
    </row>
    <row r="3040" spans="38:53" ht="15" customHeight="1" x14ac:dyDescent="0.25">
      <c r="AL3040" s="31"/>
      <c r="AM3040" s="26"/>
      <c r="AN3040" s="32"/>
      <c r="AO3040" s="32"/>
      <c r="AP3040" s="24"/>
      <c r="AQ3040" s="24"/>
      <c r="AR3040" s="33"/>
      <c r="AS3040" s="34"/>
      <c r="AT3040" s="33"/>
      <c r="AV3040" s="21">
        <f>IF(AND($AL3040&lt;&gt;"",COUNTIF($AL$11:$AL3040,$AL3040)=1),1,0)</f>
        <v>0</v>
      </c>
      <c r="AW3040" s="21">
        <f t="shared" si="181"/>
        <v>2</v>
      </c>
      <c r="AX3040" s="21" t="str">
        <f t="shared" si="180"/>
        <v/>
      </c>
      <c r="AY3040" s="21" t="str">
        <f>IF(AND($AM3040&lt;&gt;"",$AS3040&lt;&gt;"✓"),SUMPRODUCT(($AM$11:$AM3040&lt;&gt;"")*($AS$11:$AS3040&lt;&gt;"✓")),"")</f>
        <v/>
      </c>
      <c r="AZ3040" s="21" t="str">
        <f>IF(AND($AM3040&lt;&gt;"",$AS3040="✓"),SUMPRODUCT(($AM$11:$AM3040&lt;&gt;"")*($AS$11:$AS3040="✓")),"")</f>
        <v/>
      </c>
      <c r="BA3040" s="21" t="str">
        <f>IF($AL3040="","",$AL3040&amp;"|"&amp;COUNTIF($AL$11:$AL3040,$AL3040))</f>
        <v/>
      </c>
    </row>
    <row r="3041" spans="38:53" ht="15" customHeight="1" x14ac:dyDescent="0.25">
      <c r="AL3041" s="17"/>
      <c r="AM3041" s="12"/>
      <c r="AN3041" s="18"/>
      <c r="AO3041" s="18"/>
      <c r="AP3041" s="10"/>
      <c r="AQ3041" s="10"/>
      <c r="AR3041" s="19"/>
      <c r="AS3041" s="20"/>
      <c r="AT3041" s="19"/>
      <c r="AV3041" s="21">
        <f>IF(AND($AL3041&lt;&gt;"",COUNTIF($AL$11:$AL3041,$AL3041)=1),1,0)</f>
        <v>0</v>
      </c>
      <c r="AW3041" s="21">
        <f t="shared" si="181"/>
        <v>2</v>
      </c>
      <c r="AX3041" s="21" t="str">
        <f t="shared" si="180"/>
        <v/>
      </c>
      <c r="AY3041" s="21" t="str">
        <f>IF(AND($AM3041&lt;&gt;"",$AS3041&lt;&gt;"✓"),SUMPRODUCT(($AM$11:$AM3041&lt;&gt;"")*($AS$11:$AS3041&lt;&gt;"✓")),"")</f>
        <v/>
      </c>
      <c r="AZ3041" s="21" t="str">
        <f>IF(AND($AM3041&lt;&gt;"",$AS3041="✓"),SUMPRODUCT(($AM$11:$AM3041&lt;&gt;"")*($AS$11:$AS3041="✓")),"")</f>
        <v/>
      </c>
      <c r="BA3041" s="21" t="str">
        <f>IF($AL3041="","",$AL3041&amp;"|"&amp;COUNTIF($AL$11:$AL3041,$AL3041))</f>
        <v/>
      </c>
    </row>
    <row r="3042" spans="38:53" ht="15" customHeight="1" x14ac:dyDescent="0.25">
      <c r="AL3042" s="31"/>
      <c r="AM3042" s="26"/>
      <c r="AN3042" s="32"/>
      <c r="AO3042" s="32"/>
      <c r="AP3042" s="24"/>
      <c r="AQ3042" s="24"/>
      <c r="AR3042" s="33"/>
      <c r="AS3042" s="34"/>
      <c r="AT3042" s="33"/>
      <c r="AV3042" s="21">
        <f>IF(AND($AL3042&lt;&gt;"",COUNTIF($AL$11:$AL3042,$AL3042)=1),1,0)</f>
        <v>0</v>
      </c>
      <c r="AW3042" s="21">
        <f t="shared" si="181"/>
        <v>2</v>
      </c>
      <c r="AX3042" s="21" t="str">
        <f t="shared" si="180"/>
        <v/>
      </c>
      <c r="AY3042" s="21" t="str">
        <f>IF(AND($AM3042&lt;&gt;"",$AS3042&lt;&gt;"✓"),SUMPRODUCT(($AM$11:$AM3042&lt;&gt;"")*($AS$11:$AS3042&lt;&gt;"✓")),"")</f>
        <v/>
      </c>
      <c r="AZ3042" s="21" t="str">
        <f>IF(AND($AM3042&lt;&gt;"",$AS3042="✓"),SUMPRODUCT(($AM$11:$AM3042&lt;&gt;"")*($AS$11:$AS3042="✓")),"")</f>
        <v/>
      </c>
      <c r="BA3042" s="21" t="str">
        <f>IF($AL3042="","",$AL3042&amp;"|"&amp;COUNTIF($AL$11:$AL3042,$AL3042))</f>
        <v/>
      </c>
    </row>
    <row r="3043" spans="38:53" ht="15" customHeight="1" x14ac:dyDescent="0.25">
      <c r="AL3043" s="17"/>
      <c r="AM3043" s="12"/>
      <c r="AN3043" s="18"/>
      <c r="AO3043" s="18"/>
      <c r="AP3043" s="10"/>
      <c r="AQ3043" s="10"/>
      <c r="AR3043" s="19"/>
      <c r="AS3043" s="20"/>
      <c r="AT3043" s="19"/>
      <c r="AV3043" s="21">
        <f>IF(AND($AL3043&lt;&gt;"",COUNTIF($AL$11:$AL3043,$AL3043)=1),1,0)</f>
        <v>0</v>
      </c>
      <c r="AW3043" s="21">
        <f t="shared" si="181"/>
        <v>2</v>
      </c>
      <c r="AX3043" s="21" t="str">
        <f t="shared" si="180"/>
        <v/>
      </c>
      <c r="AY3043" s="21" t="str">
        <f>IF(AND($AM3043&lt;&gt;"",$AS3043&lt;&gt;"✓"),SUMPRODUCT(($AM$11:$AM3043&lt;&gt;"")*($AS$11:$AS3043&lt;&gt;"✓")),"")</f>
        <v/>
      </c>
      <c r="AZ3043" s="21" t="str">
        <f>IF(AND($AM3043&lt;&gt;"",$AS3043="✓"),SUMPRODUCT(($AM$11:$AM3043&lt;&gt;"")*($AS$11:$AS3043="✓")),"")</f>
        <v/>
      </c>
      <c r="BA3043" s="21" t="str">
        <f>IF($AL3043="","",$AL3043&amp;"|"&amp;COUNTIF($AL$11:$AL3043,$AL3043))</f>
        <v/>
      </c>
    </row>
    <row r="3044" spans="38:53" ht="15" customHeight="1" x14ac:dyDescent="0.25">
      <c r="AL3044" s="31"/>
      <c r="AM3044" s="26"/>
      <c r="AN3044" s="32"/>
      <c r="AO3044" s="32"/>
      <c r="AP3044" s="24"/>
      <c r="AQ3044" s="24"/>
      <c r="AR3044" s="33"/>
      <c r="AS3044" s="34"/>
      <c r="AT3044" s="33"/>
      <c r="AV3044" s="21">
        <f>IF(AND($AL3044&lt;&gt;"",COUNTIF($AL$11:$AL3044,$AL3044)=1),1,0)</f>
        <v>0</v>
      </c>
      <c r="AW3044" s="21">
        <f t="shared" si="181"/>
        <v>2</v>
      </c>
      <c r="AX3044" s="21" t="str">
        <f t="shared" si="180"/>
        <v/>
      </c>
      <c r="AY3044" s="21" t="str">
        <f>IF(AND($AM3044&lt;&gt;"",$AS3044&lt;&gt;"✓"),SUMPRODUCT(($AM$11:$AM3044&lt;&gt;"")*($AS$11:$AS3044&lt;&gt;"✓")),"")</f>
        <v/>
      </c>
      <c r="AZ3044" s="21" t="str">
        <f>IF(AND($AM3044&lt;&gt;"",$AS3044="✓"),SUMPRODUCT(($AM$11:$AM3044&lt;&gt;"")*($AS$11:$AS3044="✓")),"")</f>
        <v/>
      </c>
      <c r="BA3044" s="21" t="str">
        <f>IF($AL3044="","",$AL3044&amp;"|"&amp;COUNTIF($AL$11:$AL3044,$AL3044))</f>
        <v/>
      </c>
    </row>
    <row r="3045" spans="38:53" ht="15" customHeight="1" x14ac:dyDescent="0.25">
      <c r="AL3045" s="17"/>
      <c r="AM3045" s="12"/>
      <c r="AN3045" s="18"/>
      <c r="AO3045" s="18"/>
      <c r="AP3045" s="10"/>
      <c r="AQ3045" s="10"/>
      <c r="AR3045" s="19"/>
      <c r="AS3045" s="20"/>
      <c r="AT3045" s="19"/>
      <c r="AV3045" s="21">
        <f>IF(AND($AL3045&lt;&gt;"",COUNTIF($AL$11:$AL3045,$AL3045)=1),1,0)</f>
        <v>0</v>
      </c>
      <c r="AW3045" s="21">
        <f t="shared" si="181"/>
        <v>2</v>
      </c>
      <c r="AX3045" s="21" t="str">
        <f t="shared" si="180"/>
        <v/>
      </c>
      <c r="AY3045" s="21" t="str">
        <f>IF(AND($AM3045&lt;&gt;"",$AS3045&lt;&gt;"✓"),SUMPRODUCT(($AM$11:$AM3045&lt;&gt;"")*($AS$11:$AS3045&lt;&gt;"✓")),"")</f>
        <v/>
      </c>
      <c r="AZ3045" s="21" t="str">
        <f>IF(AND($AM3045&lt;&gt;"",$AS3045="✓"),SUMPRODUCT(($AM$11:$AM3045&lt;&gt;"")*($AS$11:$AS3045="✓")),"")</f>
        <v/>
      </c>
      <c r="BA3045" s="21" t="str">
        <f>IF($AL3045="","",$AL3045&amp;"|"&amp;COUNTIF($AL$11:$AL3045,$AL3045))</f>
        <v/>
      </c>
    </row>
    <row r="3046" spans="38:53" ht="15" customHeight="1" x14ac:dyDescent="0.25">
      <c r="AL3046" s="31"/>
      <c r="AM3046" s="26"/>
      <c r="AN3046" s="32"/>
      <c r="AO3046" s="32"/>
      <c r="AP3046" s="24"/>
      <c r="AQ3046" s="24"/>
      <c r="AR3046" s="33"/>
      <c r="AS3046" s="34"/>
      <c r="AT3046" s="33"/>
      <c r="AV3046" s="21">
        <f>IF(AND($AL3046&lt;&gt;"",COUNTIF($AL$11:$AL3046,$AL3046)=1),1,0)</f>
        <v>0</v>
      </c>
      <c r="AW3046" s="21">
        <f t="shared" si="181"/>
        <v>2</v>
      </c>
      <c r="AX3046" s="21" t="str">
        <f t="shared" si="180"/>
        <v/>
      </c>
      <c r="AY3046" s="21" t="str">
        <f>IF(AND($AM3046&lt;&gt;"",$AS3046&lt;&gt;"✓"),SUMPRODUCT(($AM$11:$AM3046&lt;&gt;"")*($AS$11:$AS3046&lt;&gt;"✓")),"")</f>
        <v/>
      </c>
      <c r="AZ3046" s="21" t="str">
        <f>IF(AND($AM3046&lt;&gt;"",$AS3046="✓"),SUMPRODUCT(($AM$11:$AM3046&lt;&gt;"")*($AS$11:$AS3046="✓")),"")</f>
        <v/>
      </c>
      <c r="BA3046" s="21" t="str">
        <f>IF($AL3046="","",$AL3046&amp;"|"&amp;COUNTIF($AL$11:$AL3046,$AL3046))</f>
        <v/>
      </c>
    </row>
    <row r="3047" spans="38:53" ht="15" customHeight="1" x14ac:dyDescent="0.25">
      <c r="AL3047" s="17"/>
      <c r="AM3047" s="12"/>
      <c r="AN3047" s="18"/>
      <c r="AO3047" s="18"/>
      <c r="AP3047" s="10"/>
      <c r="AQ3047" s="10"/>
      <c r="AR3047" s="19"/>
      <c r="AS3047" s="20"/>
      <c r="AT3047" s="19"/>
      <c r="AV3047" s="21">
        <f>IF(AND($AL3047&lt;&gt;"",COUNTIF($AL$11:$AL3047,$AL3047)=1),1,0)</f>
        <v>0</v>
      </c>
      <c r="AW3047" s="21">
        <f t="shared" si="181"/>
        <v>2</v>
      </c>
      <c r="AX3047" s="21" t="str">
        <f t="shared" si="180"/>
        <v/>
      </c>
      <c r="AY3047" s="21" t="str">
        <f>IF(AND($AM3047&lt;&gt;"",$AS3047&lt;&gt;"✓"),SUMPRODUCT(($AM$11:$AM3047&lt;&gt;"")*($AS$11:$AS3047&lt;&gt;"✓")),"")</f>
        <v/>
      </c>
      <c r="AZ3047" s="21" t="str">
        <f>IF(AND($AM3047&lt;&gt;"",$AS3047="✓"),SUMPRODUCT(($AM$11:$AM3047&lt;&gt;"")*($AS$11:$AS3047="✓")),"")</f>
        <v/>
      </c>
      <c r="BA3047" s="21" t="str">
        <f>IF($AL3047="","",$AL3047&amp;"|"&amp;COUNTIF($AL$11:$AL3047,$AL3047))</f>
        <v/>
      </c>
    </row>
    <row r="3048" spans="38:53" ht="15" customHeight="1" x14ac:dyDescent="0.25">
      <c r="AL3048" s="31"/>
      <c r="AM3048" s="26"/>
      <c r="AN3048" s="32"/>
      <c r="AO3048" s="32"/>
      <c r="AP3048" s="24"/>
      <c r="AQ3048" s="24"/>
      <c r="AR3048" s="33"/>
      <c r="AS3048" s="34"/>
      <c r="AT3048" s="33"/>
      <c r="AV3048" s="21">
        <f>IF(AND($AL3048&lt;&gt;"",COUNTIF($AL$11:$AL3048,$AL3048)=1),1,0)</f>
        <v>0</v>
      </c>
      <c r="AW3048" s="21">
        <f t="shared" si="181"/>
        <v>2</v>
      </c>
      <c r="AX3048" s="21" t="str">
        <f t="shared" si="180"/>
        <v/>
      </c>
      <c r="AY3048" s="21" t="str">
        <f>IF(AND($AM3048&lt;&gt;"",$AS3048&lt;&gt;"✓"),SUMPRODUCT(($AM$11:$AM3048&lt;&gt;"")*($AS$11:$AS3048&lt;&gt;"✓")),"")</f>
        <v/>
      </c>
      <c r="AZ3048" s="21" t="str">
        <f>IF(AND($AM3048&lt;&gt;"",$AS3048="✓"),SUMPRODUCT(($AM$11:$AM3048&lt;&gt;"")*($AS$11:$AS3048="✓")),"")</f>
        <v/>
      </c>
      <c r="BA3048" s="21" t="str">
        <f>IF($AL3048="","",$AL3048&amp;"|"&amp;COUNTIF($AL$11:$AL3048,$AL3048))</f>
        <v/>
      </c>
    </row>
    <row r="3049" spans="38:53" ht="15" customHeight="1" x14ac:dyDescent="0.25">
      <c r="AL3049" s="17"/>
      <c r="AM3049" s="12"/>
      <c r="AN3049" s="18"/>
      <c r="AO3049" s="18"/>
      <c r="AP3049" s="10"/>
      <c r="AQ3049" s="10"/>
      <c r="AR3049" s="19"/>
      <c r="AS3049" s="20"/>
      <c r="AT3049" s="19"/>
      <c r="AV3049" s="21">
        <f>IF(AND($AL3049&lt;&gt;"",COUNTIF($AL$11:$AL3049,$AL3049)=1),1,0)</f>
        <v>0</v>
      </c>
      <c r="AW3049" s="21">
        <f t="shared" si="181"/>
        <v>2</v>
      </c>
      <c r="AX3049" s="21" t="str">
        <f t="shared" si="180"/>
        <v/>
      </c>
      <c r="AY3049" s="21" t="str">
        <f>IF(AND($AM3049&lt;&gt;"",$AS3049&lt;&gt;"✓"),SUMPRODUCT(($AM$11:$AM3049&lt;&gt;"")*($AS$11:$AS3049&lt;&gt;"✓")),"")</f>
        <v/>
      </c>
      <c r="AZ3049" s="21" t="str">
        <f>IF(AND($AM3049&lt;&gt;"",$AS3049="✓"),SUMPRODUCT(($AM$11:$AM3049&lt;&gt;"")*($AS$11:$AS3049="✓")),"")</f>
        <v/>
      </c>
      <c r="BA3049" s="21" t="str">
        <f>IF($AL3049="","",$AL3049&amp;"|"&amp;COUNTIF($AL$11:$AL3049,$AL3049))</f>
        <v/>
      </c>
    </row>
    <row r="3050" spans="38:53" ht="15" customHeight="1" x14ac:dyDescent="0.25">
      <c r="AL3050" s="31"/>
      <c r="AM3050" s="26"/>
      <c r="AN3050" s="32"/>
      <c r="AO3050" s="32"/>
      <c r="AP3050" s="24"/>
      <c r="AQ3050" s="24"/>
      <c r="AR3050" s="33"/>
      <c r="AS3050" s="34"/>
      <c r="AT3050" s="33"/>
      <c r="AV3050" s="21">
        <f>IF(AND($AL3050&lt;&gt;"",COUNTIF($AL$11:$AL3050,$AL3050)=1),1,0)</f>
        <v>0</v>
      </c>
      <c r="AW3050" s="21">
        <f t="shared" si="181"/>
        <v>2</v>
      </c>
      <c r="AX3050" s="21" t="str">
        <f t="shared" si="180"/>
        <v/>
      </c>
      <c r="AY3050" s="21" t="str">
        <f>IF(AND($AM3050&lt;&gt;"",$AS3050&lt;&gt;"✓"),SUMPRODUCT(($AM$11:$AM3050&lt;&gt;"")*($AS$11:$AS3050&lt;&gt;"✓")),"")</f>
        <v/>
      </c>
      <c r="AZ3050" s="21" t="str">
        <f>IF(AND($AM3050&lt;&gt;"",$AS3050="✓"),SUMPRODUCT(($AM$11:$AM3050&lt;&gt;"")*($AS$11:$AS3050="✓")),"")</f>
        <v/>
      </c>
      <c r="BA3050" s="21" t="str">
        <f>IF($AL3050="","",$AL3050&amp;"|"&amp;COUNTIF($AL$11:$AL3050,$AL3050))</f>
        <v/>
      </c>
    </row>
    <row r="3051" spans="38:53" ht="15" customHeight="1" x14ac:dyDescent="0.25">
      <c r="AL3051" s="17"/>
      <c r="AM3051" s="12"/>
      <c r="AN3051" s="18"/>
      <c r="AO3051" s="18"/>
      <c r="AP3051" s="10"/>
      <c r="AQ3051" s="10"/>
      <c r="AR3051" s="19"/>
      <c r="AS3051" s="20"/>
      <c r="AT3051" s="19"/>
      <c r="AV3051" s="21">
        <f>IF(AND($AL3051&lt;&gt;"",COUNTIF($AL$11:$AL3051,$AL3051)=1),1,0)</f>
        <v>0</v>
      </c>
      <c r="AW3051" s="21">
        <f t="shared" si="181"/>
        <v>2</v>
      </c>
      <c r="AX3051" s="21" t="str">
        <f t="shared" si="180"/>
        <v/>
      </c>
      <c r="AY3051" s="21" t="str">
        <f>IF(AND($AM3051&lt;&gt;"",$AS3051&lt;&gt;"✓"),SUMPRODUCT(($AM$11:$AM3051&lt;&gt;"")*($AS$11:$AS3051&lt;&gt;"✓")),"")</f>
        <v/>
      </c>
      <c r="AZ3051" s="21" t="str">
        <f>IF(AND($AM3051&lt;&gt;"",$AS3051="✓"),SUMPRODUCT(($AM$11:$AM3051&lt;&gt;"")*($AS$11:$AS3051="✓")),"")</f>
        <v/>
      </c>
      <c r="BA3051" s="21" t="str">
        <f>IF($AL3051="","",$AL3051&amp;"|"&amp;COUNTIF($AL$11:$AL3051,$AL3051))</f>
        <v/>
      </c>
    </row>
    <row r="3052" spans="38:53" ht="15" customHeight="1" x14ac:dyDescent="0.25">
      <c r="AL3052" s="31"/>
      <c r="AM3052" s="26"/>
      <c r="AN3052" s="32"/>
      <c r="AO3052" s="32"/>
      <c r="AP3052" s="24"/>
      <c r="AQ3052" s="24"/>
      <c r="AR3052" s="33"/>
      <c r="AS3052" s="34"/>
      <c r="AT3052" s="33"/>
      <c r="AV3052" s="21">
        <f>IF(AND($AL3052&lt;&gt;"",COUNTIF($AL$11:$AL3052,$AL3052)=1),1,0)</f>
        <v>0</v>
      </c>
      <c r="AW3052" s="21">
        <f t="shared" si="181"/>
        <v>2</v>
      </c>
      <c r="AX3052" s="21" t="str">
        <f t="shared" si="180"/>
        <v/>
      </c>
      <c r="AY3052" s="21" t="str">
        <f>IF(AND($AM3052&lt;&gt;"",$AS3052&lt;&gt;"✓"),SUMPRODUCT(($AM$11:$AM3052&lt;&gt;"")*($AS$11:$AS3052&lt;&gt;"✓")),"")</f>
        <v/>
      </c>
      <c r="AZ3052" s="21" t="str">
        <f>IF(AND($AM3052&lt;&gt;"",$AS3052="✓"),SUMPRODUCT(($AM$11:$AM3052&lt;&gt;"")*($AS$11:$AS3052="✓")),"")</f>
        <v/>
      </c>
      <c r="BA3052" s="21" t="str">
        <f>IF($AL3052="","",$AL3052&amp;"|"&amp;COUNTIF($AL$11:$AL3052,$AL3052))</f>
        <v/>
      </c>
    </row>
    <row r="3053" spans="38:53" ht="15" customHeight="1" x14ac:dyDescent="0.25">
      <c r="AL3053" s="17"/>
      <c r="AM3053" s="12"/>
      <c r="AN3053" s="18"/>
      <c r="AO3053" s="18"/>
      <c r="AP3053" s="10"/>
      <c r="AQ3053" s="10"/>
      <c r="AR3053" s="19"/>
      <c r="AS3053" s="20"/>
      <c r="AT3053" s="19"/>
      <c r="AV3053" s="21">
        <f>IF(AND($AL3053&lt;&gt;"",COUNTIF($AL$11:$AL3053,$AL3053)=1),1,0)</f>
        <v>0</v>
      </c>
      <c r="AW3053" s="21">
        <f t="shared" si="181"/>
        <v>2</v>
      </c>
      <c r="AX3053" s="21" t="str">
        <f t="shared" si="180"/>
        <v/>
      </c>
      <c r="AY3053" s="21" t="str">
        <f>IF(AND($AM3053&lt;&gt;"",$AS3053&lt;&gt;"✓"),SUMPRODUCT(($AM$11:$AM3053&lt;&gt;"")*($AS$11:$AS3053&lt;&gt;"✓")),"")</f>
        <v/>
      </c>
      <c r="AZ3053" s="21" t="str">
        <f>IF(AND($AM3053&lt;&gt;"",$AS3053="✓"),SUMPRODUCT(($AM$11:$AM3053&lt;&gt;"")*($AS$11:$AS3053="✓")),"")</f>
        <v/>
      </c>
      <c r="BA3053" s="21" t="str">
        <f>IF($AL3053="","",$AL3053&amp;"|"&amp;COUNTIF($AL$11:$AL3053,$AL3053))</f>
        <v/>
      </c>
    </row>
    <row r="3054" spans="38:53" ht="15" customHeight="1" x14ac:dyDescent="0.25">
      <c r="AL3054" s="31"/>
      <c r="AM3054" s="26"/>
      <c r="AN3054" s="32"/>
      <c r="AO3054" s="32"/>
      <c r="AP3054" s="24"/>
      <c r="AQ3054" s="24"/>
      <c r="AR3054" s="33"/>
      <c r="AS3054" s="34"/>
      <c r="AT3054" s="33"/>
      <c r="AV3054" s="21">
        <f>IF(AND($AL3054&lt;&gt;"",COUNTIF($AL$11:$AL3054,$AL3054)=1),1,0)</f>
        <v>0</v>
      </c>
      <c r="AW3054" s="21">
        <f t="shared" si="181"/>
        <v>2</v>
      </c>
      <c r="AX3054" s="21" t="str">
        <f t="shared" si="180"/>
        <v/>
      </c>
      <c r="AY3054" s="21" t="str">
        <f>IF(AND($AM3054&lt;&gt;"",$AS3054&lt;&gt;"✓"),SUMPRODUCT(($AM$11:$AM3054&lt;&gt;"")*($AS$11:$AS3054&lt;&gt;"✓")),"")</f>
        <v/>
      </c>
      <c r="AZ3054" s="21" t="str">
        <f>IF(AND($AM3054&lt;&gt;"",$AS3054="✓"),SUMPRODUCT(($AM$11:$AM3054&lt;&gt;"")*($AS$11:$AS3054="✓")),"")</f>
        <v/>
      </c>
      <c r="BA3054" s="21" t="str">
        <f>IF($AL3054="","",$AL3054&amp;"|"&amp;COUNTIF($AL$11:$AL3054,$AL3054))</f>
        <v/>
      </c>
    </row>
    <row r="3055" spans="38:53" ht="15" customHeight="1" x14ac:dyDescent="0.25">
      <c r="AL3055" s="17"/>
      <c r="AM3055" s="12"/>
      <c r="AN3055" s="18"/>
      <c r="AO3055" s="18"/>
      <c r="AP3055" s="10"/>
      <c r="AQ3055" s="10"/>
      <c r="AR3055" s="19"/>
      <c r="AS3055" s="20"/>
      <c r="AT3055" s="19"/>
      <c r="AV3055" s="21">
        <f>IF(AND($AL3055&lt;&gt;"",COUNTIF($AL$11:$AL3055,$AL3055)=1),1,0)</f>
        <v>0</v>
      </c>
      <c r="AW3055" s="21">
        <f t="shared" si="181"/>
        <v>2</v>
      </c>
      <c r="AX3055" s="21" t="str">
        <f t="shared" si="180"/>
        <v/>
      </c>
      <c r="AY3055" s="21" t="str">
        <f>IF(AND($AM3055&lt;&gt;"",$AS3055&lt;&gt;"✓"),SUMPRODUCT(($AM$11:$AM3055&lt;&gt;"")*($AS$11:$AS3055&lt;&gt;"✓")),"")</f>
        <v/>
      </c>
      <c r="AZ3055" s="21" t="str">
        <f>IF(AND($AM3055&lt;&gt;"",$AS3055="✓"),SUMPRODUCT(($AM$11:$AM3055&lt;&gt;"")*($AS$11:$AS3055="✓")),"")</f>
        <v/>
      </c>
      <c r="BA3055" s="21" t="str">
        <f>IF($AL3055="","",$AL3055&amp;"|"&amp;COUNTIF($AL$11:$AL3055,$AL3055))</f>
        <v/>
      </c>
    </row>
    <row r="3056" spans="38:53" ht="15" customHeight="1" x14ac:dyDescent="0.25">
      <c r="AL3056" s="31"/>
      <c r="AM3056" s="26"/>
      <c r="AN3056" s="32"/>
      <c r="AO3056" s="32"/>
      <c r="AP3056" s="24"/>
      <c r="AQ3056" s="24"/>
      <c r="AR3056" s="33"/>
      <c r="AS3056" s="34"/>
      <c r="AT3056" s="33"/>
      <c r="AV3056" s="21">
        <f>IF(AND($AL3056&lt;&gt;"",COUNTIF($AL$11:$AL3056,$AL3056)=1),1,0)</f>
        <v>0</v>
      </c>
      <c r="AW3056" s="21">
        <f t="shared" si="181"/>
        <v>2</v>
      </c>
      <c r="AX3056" s="21" t="str">
        <f t="shared" si="180"/>
        <v/>
      </c>
      <c r="AY3056" s="21" t="str">
        <f>IF(AND($AM3056&lt;&gt;"",$AS3056&lt;&gt;"✓"),SUMPRODUCT(($AM$11:$AM3056&lt;&gt;"")*($AS$11:$AS3056&lt;&gt;"✓")),"")</f>
        <v/>
      </c>
      <c r="AZ3056" s="21" t="str">
        <f>IF(AND($AM3056&lt;&gt;"",$AS3056="✓"),SUMPRODUCT(($AM$11:$AM3056&lt;&gt;"")*($AS$11:$AS3056="✓")),"")</f>
        <v/>
      </c>
      <c r="BA3056" s="21" t="str">
        <f>IF($AL3056="","",$AL3056&amp;"|"&amp;COUNTIF($AL$11:$AL3056,$AL3056))</f>
        <v/>
      </c>
    </row>
    <row r="3057" spans="38:53" ht="15" customHeight="1" x14ac:dyDescent="0.25">
      <c r="AL3057" s="17"/>
      <c r="AM3057" s="12"/>
      <c r="AN3057" s="18"/>
      <c r="AO3057" s="18"/>
      <c r="AP3057" s="10"/>
      <c r="AQ3057" s="10"/>
      <c r="AR3057" s="19"/>
      <c r="AS3057" s="20"/>
      <c r="AT3057" s="19"/>
      <c r="AV3057" s="21">
        <f>IF(AND($AL3057&lt;&gt;"",COUNTIF($AL$11:$AL3057,$AL3057)=1),1,0)</f>
        <v>0</v>
      </c>
      <c r="AW3057" s="21">
        <f t="shared" si="181"/>
        <v>2</v>
      </c>
      <c r="AX3057" s="21" t="str">
        <f t="shared" si="180"/>
        <v/>
      </c>
      <c r="AY3057" s="21" t="str">
        <f>IF(AND($AM3057&lt;&gt;"",$AS3057&lt;&gt;"✓"),SUMPRODUCT(($AM$11:$AM3057&lt;&gt;"")*($AS$11:$AS3057&lt;&gt;"✓")),"")</f>
        <v/>
      </c>
      <c r="AZ3057" s="21" t="str">
        <f>IF(AND($AM3057&lt;&gt;"",$AS3057="✓"),SUMPRODUCT(($AM$11:$AM3057&lt;&gt;"")*($AS$11:$AS3057="✓")),"")</f>
        <v/>
      </c>
      <c r="BA3057" s="21" t="str">
        <f>IF($AL3057="","",$AL3057&amp;"|"&amp;COUNTIF($AL$11:$AL3057,$AL3057))</f>
        <v/>
      </c>
    </row>
    <row r="3058" spans="38:53" ht="15" customHeight="1" x14ac:dyDescent="0.25">
      <c r="AL3058" s="31"/>
      <c r="AM3058" s="26"/>
      <c r="AN3058" s="32"/>
      <c r="AO3058" s="32"/>
      <c r="AP3058" s="24"/>
      <c r="AQ3058" s="24"/>
      <c r="AR3058" s="33"/>
      <c r="AS3058" s="34"/>
      <c r="AT3058" s="33"/>
      <c r="AV3058" s="21">
        <f>IF(AND($AL3058&lt;&gt;"",COUNTIF($AL$11:$AL3058,$AL3058)=1),1,0)</f>
        <v>0</v>
      </c>
      <c r="AW3058" s="21">
        <f t="shared" si="181"/>
        <v>2</v>
      </c>
      <c r="AX3058" s="21" t="str">
        <f t="shared" si="180"/>
        <v/>
      </c>
      <c r="AY3058" s="21" t="str">
        <f>IF(AND($AM3058&lt;&gt;"",$AS3058&lt;&gt;"✓"),SUMPRODUCT(($AM$11:$AM3058&lt;&gt;"")*($AS$11:$AS3058&lt;&gt;"✓")),"")</f>
        <v/>
      </c>
      <c r="AZ3058" s="21" t="str">
        <f>IF(AND($AM3058&lt;&gt;"",$AS3058="✓"),SUMPRODUCT(($AM$11:$AM3058&lt;&gt;"")*($AS$11:$AS3058="✓")),"")</f>
        <v/>
      </c>
      <c r="BA3058" s="21" t="str">
        <f>IF($AL3058="","",$AL3058&amp;"|"&amp;COUNTIF($AL$11:$AL3058,$AL3058))</f>
        <v/>
      </c>
    </row>
    <row r="3059" spans="38:53" ht="15" customHeight="1" x14ac:dyDescent="0.25">
      <c r="AL3059" s="17"/>
      <c r="AM3059" s="12"/>
      <c r="AN3059" s="18"/>
      <c r="AO3059" s="18"/>
      <c r="AP3059" s="10"/>
      <c r="AQ3059" s="10"/>
      <c r="AR3059" s="19"/>
      <c r="AS3059" s="20"/>
      <c r="AT3059" s="19"/>
      <c r="AV3059" s="21">
        <f>IF(AND($AL3059&lt;&gt;"",COUNTIF($AL$11:$AL3059,$AL3059)=1),1,0)</f>
        <v>0</v>
      </c>
      <c r="AW3059" s="21">
        <f t="shared" si="181"/>
        <v>2</v>
      </c>
      <c r="AX3059" s="21" t="str">
        <f t="shared" si="180"/>
        <v/>
      </c>
      <c r="AY3059" s="21" t="str">
        <f>IF(AND($AM3059&lt;&gt;"",$AS3059&lt;&gt;"✓"),SUMPRODUCT(($AM$11:$AM3059&lt;&gt;"")*($AS$11:$AS3059&lt;&gt;"✓")),"")</f>
        <v/>
      </c>
      <c r="AZ3059" s="21" t="str">
        <f>IF(AND($AM3059&lt;&gt;"",$AS3059="✓"),SUMPRODUCT(($AM$11:$AM3059&lt;&gt;"")*($AS$11:$AS3059="✓")),"")</f>
        <v/>
      </c>
      <c r="BA3059" s="21" t="str">
        <f>IF($AL3059="","",$AL3059&amp;"|"&amp;COUNTIF($AL$11:$AL3059,$AL3059))</f>
        <v/>
      </c>
    </row>
    <row r="3060" spans="38:53" ht="15" customHeight="1" x14ac:dyDescent="0.25">
      <c r="AL3060" s="31"/>
      <c r="AM3060" s="26"/>
      <c r="AN3060" s="32"/>
      <c r="AO3060" s="32"/>
      <c r="AP3060" s="24"/>
      <c r="AQ3060" s="24"/>
      <c r="AR3060" s="33"/>
      <c r="AS3060" s="34"/>
      <c r="AT3060" s="33"/>
      <c r="AV3060" s="21">
        <f>IF(AND($AL3060&lt;&gt;"",COUNTIF($AL$11:$AL3060,$AL3060)=1),1,0)</f>
        <v>0</v>
      </c>
      <c r="AW3060" s="21">
        <f t="shared" si="181"/>
        <v>2</v>
      </c>
      <c r="AX3060" s="21" t="str">
        <f t="shared" si="180"/>
        <v/>
      </c>
      <c r="AY3060" s="21" t="str">
        <f>IF(AND($AM3060&lt;&gt;"",$AS3060&lt;&gt;"✓"),SUMPRODUCT(($AM$11:$AM3060&lt;&gt;"")*($AS$11:$AS3060&lt;&gt;"✓")),"")</f>
        <v/>
      </c>
      <c r="AZ3060" s="21" t="str">
        <f>IF(AND($AM3060&lt;&gt;"",$AS3060="✓"),SUMPRODUCT(($AM$11:$AM3060&lt;&gt;"")*($AS$11:$AS3060="✓")),"")</f>
        <v/>
      </c>
      <c r="BA3060" s="21" t="str">
        <f>IF($AL3060="","",$AL3060&amp;"|"&amp;COUNTIF($AL$11:$AL3060,$AL3060))</f>
        <v/>
      </c>
    </row>
    <row r="3061" spans="38:53" ht="15" customHeight="1" x14ac:dyDescent="0.25">
      <c r="AL3061" s="17"/>
      <c r="AM3061" s="12"/>
      <c r="AN3061" s="18"/>
      <c r="AO3061" s="18"/>
      <c r="AP3061" s="10"/>
      <c r="AQ3061" s="10"/>
      <c r="AR3061" s="19"/>
      <c r="AS3061" s="20"/>
      <c r="AT3061" s="19"/>
      <c r="AV3061" s="21">
        <f>IF(AND($AL3061&lt;&gt;"",COUNTIF($AL$11:$AL3061,$AL3061)=1),1,0)</f>
        <v>0</v>
      </c>
      <c r="AW3061" s="21">
        <f t="shared" si="181"/>
        <v>2</v>
      </c>
      <c r="AX3061" s="21" t="str">
        <f t="shared" si="180"/>
        <v/>
      </c>
      <c r="AY3061" s="21" t="str">
        <f>IF(AND($AM3061&lt;&gt;"",$AS3061&lt;&gt;"✓"),SUMPRODUCT(($AM$11:$AM3061&lt;&gt;"")*($AS$11:$AS3061&lt;&gt;"✓")),"")</f>
        <v/>
      </c>
      <c r="AZ3061" s="21" t="str">
        <f>IF(AND($AM3061&lt;&gt;"",$AS3061="✓"),SUMPRODUCT(($AM$11:$AM3061&lt;&gt;"")*($AS$11:$AS3061="✓")),"")</f>
        <v/>
      </c>
      <c r="BA3061" s="21" t="str">
        <f>IF($AL3061="","",$AL3061&amp;"|"&amp;COUNTIF($AL$11:$AL3061,$AL3061))</f>
        <v/>
      </c>
    </row>
    <row r="3062" spans="38:53" ht="15" customHeight="1" x14ac:dyDescent="0.25">
      <c r="AL3062" s="31"/>
      <c r="AM3062" s="26"/>
      <c r="AN3062" s="32"/>
      <c r="AO3062" s="32"/>
      <c r="AP3062" s="24"/>
      <c r="AQ3062" s="24"/>
      <c r="AR3062" s="33"/>
      <c r="AS3062" s="34"/>
      <c r="AT3062" s="33"/>
      <c r="AV3062" s="21">
        <f>IF(AND($AL3062&lt;&gt;"",COUNTIF($AL$11:$AL3062,$AL3062)=1),1,0)</f>
        <v>0</v>
      </c>
      <c r="AW3062" s="21">
        <f t="shared" si="181"/>
        <v>2</v>
      </c>
      <c r="AX3062" s="21" t="str">
        <f t="shared" si="180"/>
        <v/>
      </c>
      <c r="AY3062" s="21" t="str">
        <f>IF(AND($AM3062&lt;&gt;"",$AS3062&lt;&gt;"✓"),SUMPRODUCT(($AM$11:$AM3062&lt;&gt;"")*($AS$11:$AS3062&lt;&gt;"✓")),"")</f>
        <v/>
      </c>
      <c r="AZ3062" s="21" t="str">
        <f>IF(AND($AM3062&lt;&gt;"",$AS3062="✓"),SUMPRODUCT(($AM$11:$AM3062&lt;&gt;"")*($AS$11:$AS3062="✓")),"")</f>
        <v/>
      </c>
      <c r="BA3062" s="21" t="str">
        <f>IF($AL3062="","",$AL3062&amp;"|"&amp;COUNTIF($AL$11:$AL3062,$AL3062))</f>
        <v/>
      </c>
    </row>
    <row r="3063" spans="38:53" ht="15" customHeight="1" x14ac:dyDescent="0.25">
      <c r="AL3063" s="17"/>
      <c r="AM3063" s="12"/>
      <c r="AN3063" s="18"/>
      <c r="AO3063" s="18"/>
      <c r="AP3063" s="10"/>
      <c r="AQ3063" s="10"/>
      <c r="AR3063" s="19"/>
      <c r="AS3063" s="20"/>
      <c r="AT3063" s="19"/>
      <c r="AV3063" s="21">
        <f>IF(AND($AL3063&lt;&gt;"",COUNTIF($AL$11:$AL3063,$AL3063)=1),1,0)</f>
        <v>0</v>
      </c>
      <c r="AW3063" s="21">
        <f t="shared" si="181"/>
        <v>2</v>
      </c>
      <c r="AX3063" s="21" t="str">
        <f t="shared" si="180"/>
        <v/>
      </c>
      <c r="AY3063" s="21" t="str">
        <f>IF(AND($AM3063&lt;&gt;"",$AS3063&lt;&gt;"✓"),SUMPRODUCT(($AM$11:$AM3063&lt;&gt;"")*($AS$11:$AS3063&lt;&gt;"✓")),"")</f>
        <v/>
      </c>
      <c r="AZ3063" s="21" t="str">
        <f>IF(AND($AM3063&lt;&gt;"",$AS3063="✓"),SUMPRODUCT(($AM$11:$AM3063&lt;&gt;"")*($AS$11:$AS3063="✓")),"")</f>
        <v/>
      </c>
      <c r="BA3063" s="21" t="str">
        <f>IF($AL3063="","",$AL3063&amp;"|"&amp;COUNTIF($AL$11:$AL3063,$AL3063))</f>
        <v/>
      </c>
    </row>
    <row r="3064" spans="38:53" ht="15" customHeight="1" x14ac:dyDescent="0.25">
      <c r="AL3064" s="31"/>
      <c r="AM3064" s="26"/>
      <c r="AN3064" s="32"/>
      <c r="AO3064" s="32"/>
      <c r="AP3064" s="24"/>
      <c r="AQ3064" s="24"/>
      <c r="AR3064" s="33"/>
      <c r="AS3064" s="34"/>
      <c r="AT3064" s="33"/>
      <c r="AV3064" s="21">
        <f>IF(AND($AL3064&lt;&gt;"",COUNTIF($AL$11:$AL3064,$AL3064)=1),1,0)</f>
        <v>0</v>
      </c>
      <c r="AW3064" s="21">
        <f t="shared" si="181"/>
        <v>2</v>
      </c>
      <c r="AX3064" s="21" t="str">
        <f t="shared" si="180"/>
        <v/>
      </c>
      <c r="AY3064" s="21" t="str">
        <f>IF(AND($AM3064&lt;&gt;"",$AS3064&lt;&gt;"✓"),SUMPRODUCT(($AM$11:$AM3064&lt;&gt;"")*($AS$11:$AS3064&lt;&gt;"✓")),"")</f>
        <v/>
      </c>
      <c r="AZ3064" s="21" t="str">
        <f>IF(AND($AM3064&lt;&gt;"",$AS3064="✓"),SUMPRODUCT(($AM$11:$AM3064&lt;&gt;"")*($AS$11:$AS3064="✓")),"")</f>
        <v/>
      </c>
      <c r="BA3064" s="21" t="str">
        <f>IF($AL3064="","",$AL3064&amp;"|"&amp;COUNTIF($AL$11:$AL3064,$AL3064))</f>
        <v/>
      </c>
    </row>
    <row r="3065" spans="38:53" ht="15" customHeight="1" x14ac:dyDescent="0.25">
      <c r="AL3065" s="17"/>
      <c r="AM3065" s="12"/>
      <c r="AN3065" s="18"/>
      <c r="AO3065" s="18"/>
      <c r="AP3065" s="10"/>
      <c r="AQ3065" s="10"/>
      <c r="AR3065" s="19"/>
      <c r="AS3065" s="20"/>
      <c r="AT3065" s="19"/>
      <c r="AV3065" s="21">
        <f>IF(AND($AL3065&lt;&gt;"",COUNTIF($AL$11:$AL3065,$AL3065)=1),1,0)</f>
        <v>0</v>
      </c>
      <c r="AW3065" s="21">
        <f t="shared" si="181"/>
        <v>2</v>
      </c>
      <c r="AX3065" s="21" t="str">
        <f t="shared" si="180"/>
        <v/>
      </c>
      <c r="AY3065" s="21" t="str">
        <f>IF(AND($AM3065&lt;&gt;"",$AS3065&lt;&gt;"✓"),SUMPRODUCT(($AM$11:$AM3065&lt;&gt;"")*($AS$11:$AS3065&lt;&gt;"✓")),"")</f>
        <v/>
      </c>
      <c r="AZ3065" s="21" t="str">
        <f>IF(AND($AM3065&lt;&gt;"",$AS3065="✓"),SUMPRODUCT(($AM$11:$AM3065&lt;&gt;"")*($AS$11:$AS3065="✓")),"")</f>
        <v/>
      </c>
      <c r="BA3065" s="21" t="str">
        <f>IF($AL3065="","",$AL3065&amp;"|"&amp;COUNTIF($AL$11:$AL3065,$AL3065))</f>
        <v/>
      </c>
    </row>
    <row r="3066" spans="38:53" ht="15" customHeight="1" x14ac:dyDescent="0.25">
      <c r="AL3066" s="31"/>
      <c r="AM3066" s="26"/>
      <c r="AN3066" s="32"/>
      <c r="AO3066" s="32"/>
      <c r="AP3066" s="24"/>
      <c r="AQ3066" s="24"/>
      <c r="AR3066" s="33"/>
      <c r="AS3066" s="34"/>
      <c r="AT3066" s="33"/>
      <c r="AV3066" s="21">
        <f>IF(AND($AL3066&lt;&gt;"",COUNTIF($AL$11:$AL3066,$AL3066)=1),1,0)</f>
        <v>0</v>
      </c>
      <c r="AW3066" s="21">
        <f t="shared" si="181"/>
        <v>2</v>
      </c>
      <c r="AX3066" s="21" t="str">
        <f t="shared" si="180"/>
        <v/>
      </c>
      <c r="AY3066" s="21" t="str">
        <f>IF(AND($AM3066&lt;&gt;"",$AS3066&lt;&gt;"✓"),SUMPRODUCT(($AM$11:$AM3066&lt;&gt;"")*($AS$11:$AS3066&lt;&gt;"✓")),"")</f>
        <v/>
      </c>
      <c r="AZ3066" s="21" t="str">
        <f>IF(AND($AM3066&lt;&gt;"",$AS3066="✓"),SUMPRODUCT(($AM$11:$AM3066&lt;&gt;"")*($AS$11:$AS3066="✓")),"")</f>
        <v/>
      </c>
      <c r="BA3066" s="21" t="str">
        <f>IF($AL3066="","",$AL3066&amp;"|"&amp;COUNTIF($AL$11:$AL3066,$AL3066))</f>
        <v/>
      </c>
    </row>
    <row r="3067" spans="38:53" ht="15" customHeight="1" x14ac:dyDescent="0.25">
      <c r="AL3067" s="17"/>
      <c r="AM3067" s="12"/>
      <c r="AN3067" s="18"/>
      <c r="AO3067" s="18"/>
      <c r="AP3067" s="10"/>
      <c r="AQ3067" s="10"/>
      <c r="AR3067" s="19"/>
      <c r="AS3067" s="20"/>
      <c r="AT3067" s="19"/>
      <c r="AV3067" s="21">
        <f>IF(AND($AL3067&lt;&gt;"",COUNTIF($AL$11:$AL3067,$AL3067)=1),1,0)</f>
        <v>0</v>
      </c>
      <c r="AW3067" s="21">
        <f t="shared" si="181"/>
        <v>2</v>
      </c>
      <c r="AX3067" s="21" t="str">
        <f t="shared" si="180"/>
        <v/>
      </c>
      <c r="AY3067" s="21" t="str">
        <f>IF(AND($AM3067&lt;&gt;"",$AS3067&lt;&gt;"✓"),SUMPRODUCT(($AM$11:$AM3067&lt;&gt;"")*($AS$11:$AS3067&lt;&gt;"✓")),"")</f>
        <v/>
      </c>
      <c r="AZ3067" s="21" t="str">
        <f>IF(AND($AM3067&lt;&gt;"",$AS3067="✓"),SUMPRODUCT(($AM$11:$AM3067&lt;&gt;"")*($AS$11:$AS3067="✓")),"")</f>
        <v/>
      </c>
      <c r="BA3067" s="21" t="str">
        <f>IF($AL3067="","",$AL3067&amp;"|"&amp;COUNTIF($AL$11:$AL3067,$AL3067))</f>
        <v/>
      </c>
    </row>
    <row r="3068" spans="38:53" ht="15" customHeight="1" x14ac:dyDescent="0.25">
      <c r="AL3068" s="31"/>
      <c r="AM3068" s="26"/>
      <c r="AN3068" s="32"/>
      <c r="AO3068" s="32"/>
      <c r="AP3068" s="24"/>
      <c r="AQ3068" s="24"/>
      <c r="AR3068" s="33"/>
      <c r="AS3068" s="34"/>
      <c r="AT3068" s="33"/>
      <c r="AV3068" s="21">
        <f>IF(AND($AL3068&lt;&gt;"",COUNTIF($AL$11:$AL3068,$AL3068)=1),1,0)</f>
        <v>0</v>
      </c>
      <c r="AW3068" s="21">
        <f t="shared" si="181"/>
        <v>2</v>
      </c>
      <c r="AX3068" s="21" t="str">
        <f t="shared" si="180"/>
        <v/>
      </c>
      <c r="AY3068" s="21" t="str">
        <f>IF(AND($AM3068&lt;&gt;"",$AS3068&lt;&gt;"✓"),SUMPRODUCT(($AM$11:$AM3068&lt;&gt;"")*($AS$11:$AS3068&lt;&gt;"✓")),"")</f>
        <v/>
      </c>
      <c r="AZ3068" s="21" t="str">
        <f>IF(AND($AM3068&lt;&gt;"",$AS3068="✓"),SUMPRODUCT(($AM$11:$AM3068&lt;&gt;"")*($AS$11:$AS3068="✓")),"")</f>
        <v/>
      </c>
      <c r="BA3068" s="21" t="str">
        <f>IF($AL3068="","",$AL3068&amp;"|"&amp;COUNTIF($AL$11:$AL3068,$AL3068))</f>
        <v/>
      </c>
    </row>
    <row r="3069" spans="38:53" ht="15" customHeight="1" x14ac:dyDescent="0.25">
      <c r="AL3069" s="17"/>
      <c r="AM3069" s="12"/>
      <c r="AN3069" s="18"/>
      <c r="AO3069" s="18"/>
      <c r="AP3069" s="10"/>
      <c r="AQ3069" s="10"/>
      <c r="AR3069" s="19"/>
      <c r="AS3069" s="20"/>
      <c r="AT3069" s="19"/>
      <c r="AV3069" s="21">
        <f>IF(AND($AL3069&lt;&gt;"",COUNTIF($AL$11:$AL3069,$AL3069)=1),1,0)</f>
        <v>0</v>
      </c>
      <c r="AW3069" s="21">
        <f t="shared" si="181"/>
        <v>2</v>
      </c>
      <c r="AX3069" s="21" t="str">
        <f t="shared" si="180"/>
        <v/>
      </c>
      <c r="AY3069" s="21" t="str">
        <f>IF(AND($AM3069&lt;&gt;"",$AS3069&lt;&gt;"✓"),SUMPRODUCT(($AM$11:$AM3069&lt;&gt;"")*($AS$11:$AS3069&lt;&gt;"✓")),"")</f>
        <v/>
      </c>
      <c r="AZ3069" s="21" t="str">
        <f>IF(AND($AM3069&lt;&gt;"",$AS3069="✓"),SUMPRODUCT(($AM$11:$AM3069&lt;&gt;"")*($AS$11:$AS3069="✓")),"")</f>
        <v/>
      </c>
      <c r="BA3069" s="21" t="str">
        <f>IF($AL3069="","",$AL3069&amp;"|"&amp;COUNTIF($AL$11:$AL3069,$AL3069))</f>
        <v/>
      </c>
    </row>
    <row r="3070" spans="38:53" ht="15" customHeight="1" x14ac:dyDescent="0.25">
      <c r="AL3070" s="31"/>
      <c r="AM3070" s="26"/>
      <c r="AN3070" s="32"/>
      <c r="AO3070" s="32"/>
      <c r="AP3070" s="24"/>
      <c r="AQ3070" s="24"/>
      <c r="AR3070" s="33"/>
      <c r="AS3070" s="34"/>
      <c r="AT3070" s="33"/>
      <c r="AV3070" s="21">
        <f>IF(AND($AL3070&lt;&gt;"",COUNTIF($AL$11:$AL3070,$AL3070)=1),1,0)</f>
        <v>0</v>
      </c>
      <c r="AW3070" s="21">
        <f t="shared" si="181"/>
        <v>2</v>
      </c>
      <c r="AX3070" s="21" t="str">
        <f t="shared" si="180"/>
        <v/>
      </c>
      <c r="AY3070" s="21" t="str">
        <f>IF(AND($AM3070&lt;&gt;"",$AS3070&lt;&gt;"✓"),SUMPRODUCT(($AM$11:$AM3070&lt;&gt;"")*($AS$11:$AS3070&lt;&gt;"✓")),"")</f>
        <v/>
      </c>
      <c r="AZ3070" s="21" t="str">
        <f>IF(AND($AM3070&lt;&gt;"",$AS3070="✓"),SUMPRODUCT(($AM$11:$AM3070&lt;&gt;"")*($AS$11:$AS3070="✓")),"")</f>
        <v/>
      </c>
      <c r="BA3070" s="21" t="str">
        <f>IF($AL3070="","",$AL3070&amp;"|"&amp;COUNTIF($AL$11:$AL3070,$AL3070))</f>
        <v/>
      </c>
    </row>
    <row r="3071" spans="38:53" ht="15" customHeight="1" x14ac:dyDescent="0.25">
      <c r="AL3071" s="17"/>
      <c r="AM3071" s="12"/>
      <c r="AN3071" s="18"/>
      <c r="AO3071" s="18"/>
      <c r="AP3071" s="10"/>
      <c r="AQ3071" s="10"/>
      <c r="AR3071" s="19"/>
      <c r="AS3071" s="20"/>
      <c r="AT3071" s="19"/>
      <c r="AV3071" s="21">
        <f>IF(AND($AL3071&lt;&gt;"",COUNTIF($AL$11:$AL3071,$AL3071)=1),1,0)</f>
        <v>0</v>
      </c>
      <c r="AW3071" s="21">
        <f t="shared" si="181"/>
        <v>2</v>
      </c>
      <c r="AX3071" s="21" t="str">
        <f t="shared" si="180"/>
        <v/>
      </c>
      <c r="AY3071" s="21" t="str">
        <f>IF(AND($AM3071&lt;&gt;"",$AS3071&lt;&gt;"✓"),SUMPRODUCT(($AM$11:$AM3071&lt;&gt;"")*($AS$11:$AS3071&lt;&gt;"✓")),"")</f>
        <v/>
      </c>
      <c r="AZ3071" s="21" t="str">
        <f>IF(AND($AM3071&lt;&gt;"",$AS3071="✓"),SUMPRODUCT(($AM$11:$AM3071&lt;&gt;"")*($AS$11:$AS3071="✓")),"")</f>
        <v/>
      </c>
      <c r="BA3071" s="21" t="str">
        <f>IF($AL3071="","",$AL3071&amp;"|"&amp;COUNTIF($AL$11:$AL3071,$AL3071))</f>
        <v/>
      </c>
    </row>
    <row r="3072" spans="38:53" ht="15" customHeight="1" x14ac:dyDescent="0.25">
      <c r="AL3072" s="31"/>
      <c r="AM3072" s="26"/>
      <c r="AN3072" s="32"/>
      <c r="AO3072" s="32"/>
      <c r="AP3072" s="24"/>
      <c r="AQ3072" s="24"/>
      <c r="AR3072" s="33"/>
      <c r="AS3072" s="34"/>
      <c r="AT3072" s="33"/>
      <c r="AV3072" s="21">
        <f>IF(AND($AL3072&lt;&gt;"",COUNTIF($AL$11:$AL3072,$AL3072)=1),1,0)</f>
        <v>0</v>
      </c>
      <c r="AW3072" s="21">
        <f t="shared" si="181"/>
        <v>2</v>
      </c>
      <c r="AX3072" s="21" t="str">
        <f t="shared" si="180"/>
        <v/>
      </c>
      <c r="AY3072" s="21" t="str">
        <f>IF(AND($AM3072&lt;&gt;"",$AS3072&lt;&gt;"✓"),SUMPRODUCT(($AM$11:$AM3072&lt;&gt;"")*($AS$11:$AS3072&lt;&gt;"✓")),"")</f>
        <v/>
      </c>
      <c r="AZ3072" s="21" t="str">
        <f>IF(AND($AM3072&lt;&gt;"",$AS3072="✓"),SUMPRODUCT(($AM$11:$AM3072&lt;&gt;"")*($AS$11:$AS3072="✓")),"")</f>
        <v/>
      </c>
      <c r="BA3072" s="21" t="str">
        <f>IF($AL3072="","",$AL3072&amp;"|"&amp;COUNTIF($AL$11:$AL3072,$AL3072))</f>
        <v/>
      </c>
    </row>
    <row r="3073" spans="38:53" ht="15" customHeight="1" x14ac:dyDescent="0.25">
      <c r="AL3073" s="17"/>
      <c r="AM3073" s="12"/>
      <c r="AN3073" s="18"/>
      <c r="AO3073" s="18"/>
      <c r="AP3073" s="10"/>
      <c r="AQ3073" s="10"/>
      <c r="AR3073" s="19"/>
      <c r="AS3073" s="20"/>
      <c r="AT3073" s="19"/>
      <c r="AV3073" s="21">
        <f>IF(AND($AL3073&lt;&gt;"",COUNTIF($AL$11:$AL3073,$AL3073)=1),1,0)</f>
        <v>0</v>
      </c>
      <c r="AW3073" s="21">
        <f t="shared" si="181"/>
        <v>2</v>
      </c>
      <c r="AX3073" s="21" t="str">
        <f t="shared" si="180"/>
        <v/>
      </c>
      <c r="AY3073" s="21" t="str">
        <f>IF(AND($AM3073&lt;&gt;"",$AS3073&lt;&gt;"✓"),SUMPRODUCT(($AM$11:$AM3073&lt;&gt;"")*($AS$11:$AS3073&lt;&gt;"✓")),"")</f>
        <v/>
      </c>
      <c r="AZ3073" s="21" t="str">
        <f>IF(AND($AM3073&lt;&gt;"",$AS3073="✓"),SUMPRODUCT(($AM$11:$AM3073&lt;&gt;"")*($AS$11:$AS3073="✓")),"")</f>
        <v/>
      </c>
      <c r="BA3073" s="21" t="str">
        <f>IF($AL3073="","",$AL3073&amp;"|"&amp;COUNTIF($AL$11:$AL3073,$AL3073))</f>
        <v/>
      </c>
    </row>
    <row r="3074" spans="38:53" ht="15" customHeight="1" x14ac:dyDescent="0.25">
      <c r="AL3074" s="31"/>
      <c r="AM3074" s="26"/>
      <c r="AN3074" s="32"/>
      <c r="AO3074" s="32"/>
      <c r="AP3074" s="24"/>
      <c r="AQ3074" s="24"/>
      <c r="AR3074" s="33"/>
      <c r="AS3074" s="34"/>
      <c r="AT3074" s="33"/>
      <c r="AV3074" s="21">
        <f>IF(AND($AL3074&lt;&gt;"",COUNTIF($AL$11:$AL3074,$AL3074)=1),1,0)</f>
        <v>0</v>
      </c>
      <c r="AW3074" s="21">
        <f t="shared" si="181"/>
        <v>2</v>
      </c>
      <c r="AX3074" s="21" t="str">
        <f t="shared" si="180"/>
        <v/>
      </c>
      <c r="AY3074" s="21" t="str">
        <f>IF(AND($AM3074&lt;&gt;"",$AS3074&lt;&gt;"✓"),SUMPRODUCT(($AM$11:$AM3074&lt;&gt;"")*($AS$11:$AS3074&lt;&gt;"✓")),"")</f>
        <v/>
      </c>
      <c r="AZ3074" s="21" t="str">
        <f>IF(AND($AM3074&lt;&gt;"",$AS3074="✓"),SUMPRODUCT(($AM$11:$AM3074&lt;&gt;"")*($AS$11:$AS3074="✓")),"")</f>
        <v/>
      </c>
      <c r="BA3074" s="21" t="str">
        <f>IF($AL3074="","",$AL3074&amp;"|"&amp;COUNTIF($AL$11:$AL3074,$AL3074))</f>
        <v/>
      </c>
    </row>
    <row r="3075" spans="38:53" ht="15" customHeight="1" x14ac:dyDescent="0.25">
      <c r="AL3075" s="17"/>
      <c r="AM3075" s="12"/>
      <c r="AN3075" s="18"/>
      <c r="AO3075" s="18"/>
      <c r="AP3075" s="10"/>
      <c r="AQ3075" s="10"/>
      <c r="AR3075" s="19"/>
      <c r="AS3075" s="20"/>
      <c r="AT3075" s="19"/>
      <c r="AV3075" s="21">
        <f>IF(AND($AL3075&lt;&gt;"",COUNTIF($AL$11:$AL3075,$AL3075)=1),1,0)</f>
        <v>0</v>
      </c>
      <c r="AW3075" s="21">
        <f t="shared" si="181"/>
        <v>2</v>
      </c>
      <c r="AX3075" s="21" t="str">
        <f t="shared" si="180"/>
        <v/>
      </c>
      <c r="AY3075" s="21" t="str">
        <f>IF(AND($AM3075&lt;&gt;"",$AS3075&lt;&gt;"✓"),SUMPRODUCT(($AM$11:$AM3075&lt;&gt;"")*($AS$11:$AS3075&lt;&gt;"✓")),"")</f>
        <v/>
      </c>
      <c r="AZ3075" s="21" t="str">
        <f>IF(AND($AM3075&lt;&gt;"",$AS3075="✓"),SUMPRODUCT(($AM$11:$AM3075&lt;&gt;"")*($AS$11:$AS3075="✓")),"")</f>
        <v/>
      </c>
      <c r="BA3075" s="21" t="str">
        <f>IF($AL3075="","",$AL3075&amp;"|"&amp;COUNTIF($AL$11:$AL3075,$AL3075))</f>
        <v/>
      </c>
    </row>
    <row r="3076" spans="38:53" ht="15" customHeight="1" x14ac:dyDescent="0.25">
      <c r="AL3076" s="31"/>
      <c r="AM3076" s="26"/>
      <c r="AN3076" s="32"/>
      <c r="AO3076" s="32"/>
      <c r="AP3076" s="24"/>
      <c r="AQ3076" s="24"/>
      <c r="AR3076" s="33"/>
      <c r="AS3076" s="34"/>
      <c r="AT3076" s="33"/>
      <c r="AV3076" s="21">
        <f>IF(AND($AL3076&lt;&gt;"",COUNTIF($AL$11:$AL3076,$AL3076)=1),1,0)</f>
        <v>0</v>
      </c>
      <c r="AW3076" s="21">
        <f t="shared" si="181"/>
        <v>2</v>
      </c>
      <c r="AX3076" s="21" t="str">
        <f t="shared" si="180"/>
        <v/>
      </c>
      <c r="AY3076" s="21" t="str">
        <f>IF(AND($AM3076&lt;&gt;"",$AS3076&lt;&gt;"✓"),SUMPRODUCT(($AM$11:$AM3076&lt;&gt;"")*($AS$11:$AS3076&lt;&gt;"✓")),"")</f>
        <v/>
      </c>
      <c r="AZ3076" s="21" t="str">
        <f>IF(AND($AM3076&lt;&gt;"",$AS3076="✓"),SUMPRODUCT(($AM$11:$AM3076&lt;&gt;"")*($AS$11:$AS3076="✓")),"")</f>
        <v/>
      </c>
      <c r="BA3076" s="21" t="str">
        <f>IF($AL3076="","",$AL3076&amp;"|"&amp;COUNTIF($AL$11:$AL3076,$AL3076))</f>
        <v/>
      </c>
    </row>
    <row r="3077" spans="38:53" ht="15" customHeight="1" x14ac:dyDescent="0.25">
      <c r="AL3077" s="17"/>
      <c r="AM3077" s="12"/>
      <c r="AN3077" s="18"/>
      <c r="AO3077" s="18"/>
      <c r="AP3077" s="10"/>
      <c r="AQ3077" s="10"/>
      <c r="AR3077" s="19"/>
      <c r="AS3077" s="20"/>
      <c r="AT3077" s="19"/>
      <c r="AV3077" s="21">
        <f>IF(AND($AL3077&lt;&gt;"",COUNTIF($AL$11:$AL3077,$AL3077)=1),1,0)</f>
        <v>0</v>
      </c>
      <c r="AW3077" s="21">
        <f t="shared" si="181"/>
        <v>2</v>
      </c>
      <c r="AX3077" s="21" t="str">
        <f t="shared" si="180"/>
        <v/>
      </c>
      <c r="AY3077" s="21" t="str">
        <f>IF(AND($AM3077&lt;&gt;"",$AS3077&lt;&gt;"✓"),SUMPRODUCT(($AM$11:$AM3077&lt;&gt;"")*($AS$11:$AS3077&lt;&gt;"✓")),"")</f>
        <v/>
      </c>
      <c r="AZ3077" s="21" t="str">
        <f>IF(AND($AM3077&lt;&gt;"",$AS3077="✓"),SUMPRODUCT(($AM$11:$AM3077&lt;&gt;"")*($AS$11:$AS3077="✓")),"")</f>
        <v/>
      </c>
      <c r="BA3077" s="21" t="str">
        <f>IF($AL3077="","",$AL3077&amp;"|"&amp;COUNTIF($AL$11:$AL3077,$AL3077))</f>
        <v/>
      </c>
    </row>
    <row r="3078" spans="38:53" ht="15" customHeight="1" x14ac:dyDescent="0.25">
      <c r="AL3078" s="31"/>
      <c r="AM3078" s="26"/>
      <c r="AN3078" s="32"/>
      <c r="AO3078" s="32"/>
      <c r="AP3078" s="24"/>
      <c r="AQ3078" s="24"/>
      <c r="AR3078" s="33"/>
      <c r="AS3078" s="34"/>
      <c r="AT3078" s="33"/>
      <c r="AV3078" s="21">
        <f>IF(AND($AL3078&lt;&gt;"",COUNTIF($AL$11:$AL3078,$AL3078)=1),1,0)</f>
        <v>0</v>
      </c>
      <c r="AW3078" s="21">
        <f t="shared" si="181"/>
        <v>2</v>
      </c>
      <c r="AX3078" s="21" t="str">
        <f t="shared" si="180"/>
        <v/>
      </c>
      <c r="AY3078" s="21" t="str">
        <f>IF(AND($AM3078&lt;&gt;"",$AS3078&lt;&gt;"✓"),SUMPRODUCT(($AM$11:$AM3078&lt;&gt;"")*($AS$11:$AS3078&lt;&gt;"✓")),"")</f>
        <v/>
      </c>
      <c r="AZ3078" s="21" t="str">
        <f>IF(AND($AM3078&lt;&gt;"",$AS3078="✓"),SUMPRODUCT(($AM$11:$AM3078&lt;&gt;"")*($AS$11:$AS3078="✓")),"")</f>
        <v/>
      </c>
      <c r="BA3078" s="21" t="str">
        <f>IF($AL3078="","",$AL3078&amp;"|"&amp;COUNTIF($AL$11:$AL3078,$AL3078))</f>
        <v/>
      </c>
    </row>
    <row r="3079" spans="38:53" ht="15" customHeight="1" x14ac:dyDescent="0.25">
      <c r="AL3079" s="17"/>
      <c r="AM3079" s="12"/>
      <c r="AN3079" s="18"/>
      <c r="AO3079" s="18"/>
      <c r="AP3079" s="10"/>
      <c r="AQ3079" s="10"/>
      <c r="AR3079" s="19"/>
      <c r="AS3079" s="20"/>
      <c r="AT3079" s="19"/>
      <c r="AV3079" s="21">
        <f>IF(AND($AL3079&lt;&gt;"",COUNTIF($AL$11:$AL3079,$AL3079)=1),1,0)</f>
        <v>0</v>
      </c>
      <c r="AW3079" s="21">
        <f t="shared" si="181"/>
        <v>2</v>
      </c>
      <c r="AX3079" s="21" t="str">
        <f t="shared" si="180"/>
        <v/>
      </c>
      <c r="AY3079" s="21" t="str">
        <f>IF(AND($AM3079&lt;&gt;"",$AS3079&lt;&gt;"✓"),SUMPRODUCT(($AM$11:$AM3079&lt;&gt;"")*($AS$11:$AS3079&lt;&gt;"✓")),"")</f>
        <v/>
      </c>
      <c r="AZ3079" s="21" t="str">
        <f>IF(AND($AM3079&lt;&gt;"",$AS3079="✓"),SUMPRODUCT(($AM$11:$AM3079&lt;&gt;"")*($AS$11:$AS3079="✓")),"")</f>
        <v/>
      </c>
      <c r="BA3079" s="21" t="str">
        <f>IF($AL3079="","",$AL3079&amp;"|"&amp;COUNTIF($AL$11:$AL3079,$AL3079))</f>
        <v/>
      </c>
    </row>
    <row r="3080" spans="38:53" ht="15" customHeight="1" x14ac:dyDescent="0.25">
      <c r="AL3080" s="31"/>
      <c r="AM3080" s="26"/>
      <c r="AN3080" s="32"/>
      <c r="AO3080" s="32"/>
      <c r="AP3080" s="24"/>
      <c r="AQ3080" s="24"/>
      <c r="AR3080" s="33"/>
      <c r="AS3080" s="34"/>
      <c r="AT3080" s="33"/>
      <c r="AV3080" s="21">
        <f>IF(AND($AL3080&lt;&gt;"",COUNTIF($AL$11:$AL3080,$AL3080)=1),1,0)</f>
        <v>0</v>
      </c>
      <c r="AW3080" s="21">
        <f t="shared" si="181"/>
        <v>2</v>
      </c>
      <c r="AX3080" s="21" t="str">
        <f t="shared" si="180"/>
        <v/>
      </c>
      <c r="AY3080" s="21" t="str">
        <f>IF(AND($AM3080&lt;&gt;"",$AS3080&lt;&gt;"✓"),SUMPRODUCT(($AM$11:$AM3080&lt;&gt;"")*($AS$11:$AS3080&lt;&gt;"✓")),"")</f>
        <v/>
      </c>
      <c r="AZ3080" s="21" t="str">
        <f>IF(AND($AM3080&lt;&gt;"",$AS3080="✓"),SUMPRODUCT(($AM$11:$AM3080&lt;&gt;"")*($AS$11:$AS3080="✓")),"")</f>
        <v/>
      </c>
      <c r="BA3080" s="21" t="str">
        <f>IF($AL3080="","",$AL3080&amp;"|"&amp;COUNTIF($AL$11:$AL3080,$AL3080))</f>
        <v/>
      </c>
    </row>
    <row r="3081" spans="38:53" ht="15" customHeight="1" x14ac:dyDescent="0.25">
      <c r="AL3081" s="17"/>
      <c r="AM3081" s="12"/>
      <c r="AN3081" s="18"/>
      <c r="AO3081" s="18"/>
      <c r="AP3081" s="10"/>
      <c r="AQ3081" s="10"/>
      <c r="AR3081" s="19"/>
      <c r="AS3081" s="20"/>
      <c r="AT3081" s="19"/>
      <c r="AV3081" s="21">
        <f>IF(AND($AL3081&lt;&gt;"",COUNTIF($AL$11:$AL3081,$AL3081)=1),1,0)</f>
        <v>0</v>
      </c>
      <c r="AW3081" s="21">
        <f t="shared" si="181"/>
        <v>2</v>
      </c>
      <c r="AX3081" s="21" t="str">
        <f t="shared" si="180"/>
        <v/>
      </c>
      <c r="AY3081" s="21" t="str">
        <f>IF(AND($AM3081&lt;&gt;"",$AS3081&lt;&gt;"✓"),SUMPRODUCT(($AM$11:$AM3081&lt;&gt;"")*($AS$11:$AS3081&lt;&gt;"✓")),"")</f>
        <v/>
      </c>
      <c r="AZ3081" s="21" t="str">
        <f>IF(AND($AM3081&lt;&gt;"",$AS3081="✓"),SUMPRODUCT(($AM$11:$AM3081&lt;&gt;"")*($AS$11:$AS3081="✓")),"")</f>
        <v/>
      </c>
      <c r="BA3081" s="21" t="str">
        <f>IF($AL3081="","",$AL3081&amp;"|"&amp;COUNTIF($AL$11:$AL3081,$AL3081))</f>
        <v/>
      </c>
    </row>
    <row r="3082" spans="38:53" ht="15" customHeight="1" x14ac:dyDescent="0.25">
      <c r="AL3082" s="31"/>
      <c r="AM3082" s="26"/>
      <c r="AN3082" s="32"/>
      <c r="AO3082" s="32"/>
      <c r="AP3082" s="24"/>
      <c r="AQ3082" s="24"/>
      <c r="AR3082" s="33"/>
      <c r="AS3082" s="34"/>
      <c r="AT3082" s="33"/>
      <c r="AV3082" s="21">
        <f>IF(AND($AL3082&lt;&gt;"",COUNTIF($AL$11:$AL3082,$AL3082)=1),1,0)</f>
        <v>0</v>
      </c>
      <c r="AW3082" s="21">
        <f t="shared" si="181"/>
        <v>2</v>
      </c>
      <c r="AX3082" s="21" t="str">
        <f t="shared" si="180"/>
        <v/>
      </c>
      <c r="AY3082" s="21" t="str">
        <f>IF(AND($AM3082&lt;&gt;"",$AS3082&lt;&gt;"✓"),SUMPRODUCT(($AM$11:$AM3082&lt;&gt;"")*($AS$11:$AS3082&lt;&gt;"✓")),"")</f>
        <v/>
      </c>
      <c r="AZ3082" s="21" t="str">
        <f>IF(AND($AM3082&lt;&gt;"",$AS3082="✓"),SUMPRODUCT(($AM$11:$AM3082&lt;&gt;"")*($AS$11:$AS3082="✓")),"")</f>
        <v/>
      </c>
      <c r="BA3082" s="21" t="str">
        <f>IF($AL3082="","",$AL3082&amp;"|"&amp;COUNTIF($AL$11:$AL3082,$AL3082))</f>
        <v/>
      </c>
    </row>
    <row r="3083" spans="38:53" ht="15" customHeight="1" x14ac:dyDescent="0.25">
      <c r="AL3083" s="17"/>
      <c r="AM3083" s="12"/>
      <c r="AN3083" s="18"/>
      <c r="AO3083" s="18"/>
      <c r="AP3083" s="10"/>
      <c r="AQ3083" s="10"/>
      <c r="AR3083" s="19"/>
      <c r="AS3083" s="20"/>
      <c r="AT3083" s="19"/>
      <c r="AV3083" s="21">
        <f>IF(AND($AL3083&lt;&gt;"",COUNTIF($AL$11:$AL3083,$AL3083)=1),1,0)</f>
        <v>0</v>
      </c>
      <c r="AW3083" s="21">
        <f t="shared" si="181"/>
        <v>2</v>
      </c>
      <c r="AX3083" s="21" t="str">
        <f t="shared" ref="AX3083:AX3146" si="182">IF(AV3083=1,AW3083,"")</f>
        <v/>
      </c>
      <c r="AY3083" s="21" t="str">
        <f>IF(AND($AM3083&lt;&gt;"",$AS3083&lt;&gt;"✓"),SUMPRODUCT(($AM$11:$AM3083&lt;&gt;"")*($AS$11:$AS3083&lt;&gt;"✓")),"")</f>
        <v/>
      </c>
      <c r="AZ3083" s="21" t="str">
        <f>IF(AND($AM3083&lt;&gt;"",$AS3083="✓"),SUMPRODUCT(($AM$11:$AM3083&lt;&gt;"")*($AS$11:$AS3083="✓")),"")</f>
        <v/>
      </c>
      <c r="BA3083" s="21" t="str">
        <f>IF($AL3083="","",$AL3083&amp;"|"&amp;COUNTIF($AL$11:$AL3083,$AL3083))</f>
        <v/>
      </c>
    </row>
    <row r="3084" spans="38:53" ht="15" customHeight="1" x14ac:dyDescent="0.25">
      <c r="AL3084" s="31"/>
      <c r="AM3084" s="26"/>
      <c r="AN3084" s="32"/>
      <c r="AO3084" s="32"/>
      <c r="AP3084" s="24"/>
      <c r="AQ3084" s="24"/>
      <c r="AR3084" s="33"/>
      <c r="AS3084" s="34"/>
      <c r="AT3084" s="33"/>
      <c r="AV3084" s="21">
        <f>IF(AND($AL3084&lt;&gt;"",COUNTIF($AL$11:$AL3084,$AL3084)=1),1,0)</f>
        <v>0</v>
      </c>
      <c r="AW3084" s="21">
        <f t="shared" ref="AW3084:AW3147" si="183">AW3083+AV3084</f>
        <v>2</v>
      </c>
      <c r="AX3084" s="21" t="str">
        <f t="shared" si="182"/>
        <v/>
      </c>
      <c r="AY3084" s="21" t="str">
        <f>IF(AND($AM3084&lt;&gt;"",$AS3084&lt;&gt;"✓"),SUMPRODUCT(($AM$11:$AM3084&lt;&gt;"")*($AS$11:$AS3084&lt;&gt;"✓")),"")</f>
        <v/>
      </c>
      <c r="AZ3084" s="21" t="str">
        <f>IF(AND($AM3084&lt;&gt;"",$AS3084="✓"),SUMPRODUCT(($AM$11:$AM3084&lt;&gt;"")*($AS$11:$AS3084="✓")),"")</f>
        <v/>
      </c>
      <c r="BA3084" s="21" t="str">
        <f>IF($AL3084="","",$AL3084&amp;"|"&amp;COUNTIF($AL$11:$AL3084,$AL3084))</f>
        <v/>
      </c>
    </row>
    <row r="3085" spans="38:53" ht="15" customHeight="1" x14ac:dyDescent="0.25">
      <c r="AL3085" s="17"/>
      <c r="AM3085" s="12"/>
      <c r="AN3085" s="18"/>
      <c r="AO3085" s="18"/>
      <c r="AP3085" s="10"/>
      <c r="AQ3085" s="10"/>
      <c r="AR3085" s="19"/>
      <c r="AS3085" s="20"/>
      <c r="AT3085" s="19"/>
      <c r="AV3085" s="21">
        <f>IF(AND($AL3085&lt;&gt;"",COUNTIF($AL$11:$AL3085,$AL3085)=1),1,0)</f>
        <v>0</v>
      </c>
      <c r="AW3085" s="21">
        <f t="shared" si="183"/>
        <v>2</v>
      </c>
      <c r="AX3085" s="21" t="str">
        <f t="shared" si="182"/>
        <v/>
      </c>
      <c r="AY3085" s="21" t="str">
        <f>IF(AND($AM3085&lt;&gt;"",$AS3085&lt;&gt;"✓"),SUMPRODUCT(($AM$11:$AM3085&lt;&gt;"")*($AS$11:$AS3085&lt;&gt;"✓")),"")</f>
        <v/>
      </c>
      <c r="AZ3085" s="21" t="str">
        <f>IF(AND($AM3085&lt;&gt;"",$AS3085="✓"),SUMPRODUCT(($AM$11:$AM3085&lt;&gt;"")*($AS$11:$AS3085="✓")),"")</f>
        <v/>
      </c>
      <c r="BA3085" s="21" t="str">
        <f>IF($AL3085="","",$AL3085&amp;"|"&amp;COUNTIF($AL$11:$AL3085,$AL3085))</f>
        <v/>
      </c>
    </row>
    <row r="3086" spans="38:53" ht="15" customHeight="1" x14ac:dyDescent="0.25">
      <c r="AL3086" s="31"/>
      <c r="AM3086" s="26"/>
      <c r="AN3086" s="32"/>
      <c r="AO3086" s="32"/>
      <c r="AP3086" s="24"/>
      <c r="AQ3086" s="24"/>
      <c r="AR3086" s="33"/>
      <c r="AS3086" s="34"/>
      <c r="AT3086" s="33"/>
      <c r="AV3086" s="21">
        <f>IF(AND($AL3086&lt;&gt;"",COUNTIF($AL$11:$AL3086,$AL3086)=1),1,0)</f>
        <v>0</v>
      </c>
      <c r="AW3086" s="21">
        <f t="shared" si="183"/>
        <v>2</v>
      </c>
      <c r="AX3086" s="21" t="str">
        <f t="shared" si="182"/>
        <v/>
      </c>
      <c r="AY3086" s="21" t="str">
        <f>IF(AND($AM3086&lt;&gt;"",$AS3086&lt;&gt;"✓"),SUMPRODUCT(($AM$11:$AM3086&lt;&gt;"")*($AS$11:$AS3086&lt;&gt;"✓")),"")</f>
        <v/>
      </c>
      <c r="AZ3086" s="21" t="str">
        <f>IF(AND($AM3086&lt;&gt;"",$AS3086="✓"),SUMPRODUCT(($AM$11:$AM3086&lt;&gt;"")*($AS$11:$AS3086="✓")),"")</f>
        <v/>
      </c>
      <c r="BA3086" s="21" t="str">
        <f>IF($AL3086="","",$AL3086&amp;"|"&amp;COUNTIF($AL$11:$AL3086,$AL3086))</f>
        <v/>
      </c>
    </row>
    <row r="3087" spans="38:53" ht="15" customHeight="1" x14ac:dyDescent="0.25">
      <c r="AL3087" s="17"/>
      <c r="AM3087" s="12"/>
      <c r="AN3087" s="18"/>
      <c r="AO3087" s="18"/>
      <c r="AP3087" s="10"/>
      <c r="AQ3087" s="10"/>
      <c r="AR3087" s="19"/>
      <c r="AS3087" s="20"/>
      <c r="AT3087" s="19"/>
      <c r="AV3087" s="21">
        <f>IF(AND($AL3087&lt;&gt;"",COUNTIF($AL$11:$AL3087,$AL3087)=1),1,0)</f>
        <v>0</v>
      </c>
      <c r="AW3087" s="21">
        <f t="shared" si="183"/>
        <v>2</v>
      </c>
      <c r="AX3087" s="21" t="str">
        <f t="shared" si="182"/>
        <v/>
      </c>
      <c r="AY3087" s="21" t="str">
        <f>IF(AND($AM3087&lt;&gt;"",$AS3087&lt;&gt;"✓"),SUMPRODUCT(($AM$11:$AM3087&lt;&gt;"")*($AS$11:$AS3087&lt;&gt;"✓")),"")</f>
        <v/>
      </c>
      <c r="AZ3087" s="21" t="str">
        <f>IF(AND($AM3087&lt;&gt;"",$AS3087="✓"),SUMPRODUCT(($AM$11:$AM3087&lt;&gt;"")*($AS$11:$AS3087="✓")),"")</f>
        <v/>
      </c>
      <c r="BA3087" s="21" t="str">
        <f>IF($AL3087="","",$AL3087&amp;"|"&amp;COUNTIF($AL$11:$AL3087,$AL3087))</f>
        <v/>
      </c>
    </row>
    <row r="3088" spans="38:53" ht="15" customHeight="1" x14ac:dyDescent="0.25">
      <c r="AL3088" s="31"/>
      <c r="AM3088" s="26"/>
      <c r="AN3088" s="32"/>
      <c r="AO3088" s="32"/>
      <c r="AP3088" s="24"/>
      <c r="AQ3088" s="24"/>
      <c r="AR3088" s="33"/>
      <c r="AS3088" s="34"/>
      <c r="AT3088" s="33"/>
      <c r="AV3088" s="21">
        <f>IF(AND($AL3088&lt;&gt;"",COUNTIF($AL$11:$AL3088,$AL3088)=1),1,0)</f>
        <v>0</v>
      </c>
      <c r="AW3088" s="21">
        <f t="shared" si="183"/>
        <v>2</v>
      </c>
      <c r="AX3088" s="21" t="str">
        <f t="shared" si="182"/>
        <v/>
      </c>
      <c r="AY3088" s="21" t="str">
        <f>IF(AND($AM3088&lt;&gt;"",$AS3088&lt;&gt;"✓"),SUMPRODUCT(($AM$11:$AM3088&lt;&gt;"")*($AS$11:$AS3088&lt;&gt;"✓")),"")</f>
        <v/>
      </c>
      <c r="AZ3088" s="21" t="str">
        <f>IF(AND($AM3088&lt;&gt;"",$AS3088="✓"),SUMPRODUCT(($AM$11:$AM3088&lt;&gt;"")*($AS$11:$AS3088="✓")),"")</f>
        <v/>
      </c>
      <c r="BA3088" s="21" t="str">
        <f>IF($AL3088="","",$AL3088&amp;"|"&amp;COUNTIF($AL$11:$AL3088,$AL3088))</f>
        <v/>
      </c>
    </row>
    <row r="3089" spans="38:53" ht="15" customHeight="1" x14ac:dyDescent="0.25">
      <c r="AL3089" s="17"/>
      <c r="AM3089" s="12"/>
      <c r="AN3089" s="18"/>
      <c r="AO3089" s="18"/>
      <c r="AP3089" s="10"/>
      <c r="AQ3089" s="10"/>
      <c r="AR3089" s="19"/>
      <c r="AS3089" s="20"/>
      <c r="AT3089" s="19"/>
      <c r="AV3089" s="21">
        <f>IF(AND($AL3089&lt;&gt;"",COUNTIF($AL$11:$AL3089,$AL3089)=1),1,0)</f>
        <v>0</v>
      </c>
      <c r="AW3089" s="21">
        <f t="shared" si="183"/>
        <v>2</v>
      </c>
      <c r="AX3089" s="21" t="str">
        <f t="shared" si="182"/>
        <v/>
      </c>
      <c r="AY3089" s="21" t="str">
        <f>IF(AND($AM3089&lt;&gt;"",$AS3089&lt;&gt;"✓"),SUMPRODUCT(($AM$11:$AM3089&lt;&gt;"")*($AS$11:$AS3089&lt;&gt;"✓")),"")</f>
        <v/>
      </c>
      <c r="AZ3089" s="21" t="str">
        <f>IF(AND($AM3089&lt;&gt;"",$AS3089="✓"),SUMPRODUCT(($AM$11:$AM3089&lt;&gt;"")*($AS$11:$AS3089="✓")),"")</f>
        <v/>
      </c>
      <c r="BA3089" s="21" t="str">
        <f>IF($AL3089="","",$AL3089&amp;"|"&amp;COUNTIF($AL$11:$AL3089,$AL3089))</f>
        <v/>
      </c>
    </row>
    <row r="3090" spans="38:53" ht="15" customHeight="1" x14ac:dyDescent="0.25">
      <c r="AL3090" s="31"/>
      <c r="AM3090" s="26"/>
      <c r="AN3090" s="32"/>
      <c r="AO3090" s="32"/>
      <c r="AP3090" s="24"/>
      <c r="AQ3090" s="24"/>
      <c r="AR3090" s="33"/>
      <c r="AS3090" s="34"/>
      <c r="AT3090" s="33"/>
      <c r="AV3090" s="21">
        <f>IF(AND($AL3090&lt;&gt;"",COUNTIF($AL$11:$AL3090,$AL3090)=1),1,0)</f>
        <v>0</v>
      </c>
      <c r="AW3090" s="21">
        <f t="shared" si="183"/>
        <v>2</v>
      </c>
      <c r="AX3090" s="21" t="str">
        <f t="shared" si="182"/>
        <v/>
      </c>
      <c r="AY3090" s="21" t="str">
        <f>IF(AND($AM3090&lt;&gt;"",$AS3090&lt;&gt;"✓"),SUMPRODUCT(($AM$11:$AM3090&lt;&gt;"")*($AS$11:$AS3090&lt;&gt;"✓")),"")</f>
        <v/>
      </c>
      <c r="AZ3090" s="21" t="str">
        <f>IF(AND($AM3090&lt;&gt;"",$AS3090="✓"),SUMPRODUCT(($AM$11:$AM3090&lt;&gt;"")*($AS$11:$AS3090="✓")),"")</f>
        <v/>
      </c>
      <c r="BA3090" s="21" t="str">
        <f>IF($AL3090="","",$AL3090&amp;"|"&amp;COUNTIF($AL$11:$AL3090,$AL3090))</f>
        <v/>
      </c>
    </row>
    <row r="3091" spans="38:53" ht="15" customHeight="1" x14ac:dyDescent="0.25">
      <c r="AL3091" s="17"/>
      <c r="AM3091" s="12"/>
      <c r="AN3091" s="18"/>
      <c r="AO3091" s="18"/>
      <c r="AP3091" s="10"/>
      <c r="AQ3091" s="10"/>
      <c r="AR3091" s="19"/>
      <c r="AS3091" s="20"/>
      <c r="AT3091" s="19"/>
      <c r="AV3091" s="21">
        <f>IF(AND($AL3091&lt;&gt;"",COUNTIF($AL$11:$AL3091,$AL3091)=1),1,0)</f>
        <v>0</v>
      </c>
      <c r="AW3091" s="21">
        <f t="shared" si="183"/>
        <v>2</v>
      </c>
      <c r="AX3091" s="21" t="str">
        <f t="shared" si="182"/>
        <v/>
      </c>
      <c r="AY3091" s="21" t="str">
        <f>IF(AND($AM3091&lt;&gt;"",$AS3091&lt;&gt;"✓"),SUMPRODUCT(($AM$11:$AM3091&lt;&gt;"")*($AS$11:$AS3091&lt;&gt;"✓")),"")</f>
        <v/>
      </c>
      <c r="AZ3091" s="21" t="str">
        <f>IF(AND($AM3091&lt;&gt;"",$AS3091="✓"),SUMPRODUCT(($AM$11:$AM3091&lt;&gt;"")*($AS$11:$AS3091="✓")),"")</f>
        <v/>
      </c>
      <c r="BA3091" s="21" t="str">
        <f>IF($AL3091="","",$AL3091&amp;"|"&amp;COUNTIF($AL$11:$AL3091,$AL3091))</f>
        <v/>
      </c>
    </row>
    <row r="3092" spans="38:53" ht="15" customHeight="1" x14ac:dyDescent="0.25">
      <c r="AL3092" s="31"/>
      <c r="AM3092" s="26"/>
      <c r="AN3092" s="32"/>
      <c r="AO3092" s="32"/>
      <c r="AP3092" s="24"/>
      <c r="AQ3092" s="24"/>
      <c r="AR3092" s="33"/>
      <c r="AS3092" s="34"/>
      <c r="AT3092" s="33"/>
      <c r="AV3092" s="21">
        <f>IF(AND($AL3092&lt;&gt;"",COUNTIF($AL$11:$AL3092,$AL3092)=1),1,0)</f>
        <v>0</v>
      </c>
      <c r="AW3092" s="21">
        <f t="shared" si="183"/>
        <v>2</v>
      </c>
      <c r="AX3092" s="21" t="str">
        <f t="shared" si="182"/>
        <v/>
      </c>
      <c r="AY3092" s="21" t="str">
        <f>IF(AND($AM3092&lt;&gt;"",$AS3092&lt;&gt;"✓"),SUMPRODUCT(($AM$11:$AM3092&lt;&gt;"")*($AS$11:$AS3092&lt;&gt;"✓")),"")</f>
        <v/>
      </c>
      <c r="AZ3092" s="21" t="str">
        <f>IF(AND($AM3092&lt;&gt;"",$AS3092="✓"),SUMPRODUCT(($AM$11:$AM3092&lt;&gt;"")*($AS$11:$AS3092="✓")),"")</f>
        <v/>
      </c>
      <c r="BA3092" s="21" t="str">
        <f>IF($AL3092="","",$AL3092&amp;"|"&amp;COUNTIF($AL$11:$AL3092,$AL3092))</f>
        <v/>
      </c>
    </row>
    <row r="3093" spans="38:53" ht="15" customHeight="1" x14ac:dyDescent="0.25">
      <c r="AL3093" s="17"/>
      <c r="AM3093" s="12"/>
      <c r="AN3093" s="18"/>
      <c r="AO3093" s="18"/>
      <c r="AP3093" s="10"/>
      <c r="AQ3093" s="10"/>
      <c r="AR3093" s="19"/>
      <c r="AS3093" s="20"/>
      <c r="AT3093" s="19"/>
      <c r="AV3093" s="21">
        <f>IF(AND($AL3093&lt;&gt;"",COUNTIF($AL$11:$AL3093,$AL3093)=1),1,0)</f>
        <v>0</v>
      </c>
      <c r="AW3093" s="21">
        <f t="shared" si="183"/>
        <v>2</v>
      </c>
      <c r="AX3093" s="21" t="str">
        <f t="shared" si="182"/>
        <v/>
      </c>
      <c r="AY3093" s="21" t="str">
        <f>IF(AND($AM3093&lt;&gt;"",$AS3093&lt;&gt;"✓"),SUMPRODUCT(($AM$11:$AM3093&lt;&gt;"")*($AS$11:$AS3093&lt;&gt;"✓")),"")</f>
        <v/>
      </c>
      <c r="AZ3093" s="21" t="str">
        <f>IF(AND($AM3093&lt;&gt;"",$AS3093="✓"),SUMPRODUCT(($AM$11:$AM3093&lt;&gt;"")*($AS$11:$AS3093="✓")),"")</f>
        <v/>
      </c>
      <c r="BA3093" s="21" t="str">
        <f>IF($AL3093="","",$AL3093&amp;"|"&amp;COUNTIF($AL$11:$AL3093,$AL3093))</f>
        <v/>
      </c>
    </row>
    <row r="3094" spans="38:53" ht="15" customHeight="1" x14ac:dyDescent="0.25">
      <c r="AL3094" s="31"/>
      <c r="AM3094" s="26"/>
      <c r="AN3094" s="32"/>
      <c r="AO3094" s="32"/>
      <c r="AP3094" s="24"/>
      <c r="AQ3094" s="24"/>
      <c r="AR3094" s="33"/>
      <c r="AS3094" s="34"/>
      <c r="AT3094" s="33"/>
      <c r="AV3094" s="21">
        <f>IF(AND($AL3094&lt;&gt;"",COUNTIF($AL$11:$AL3094,$AL3094)=1),1,0)</f>
        <v>0</v>
      </c>
      <c r="AW3094" s="21">
        <f t="shared" si="183"/>
        <v>2</v>
      </c>
      <c r="AX3094" s="21" t="str">
        <f t="shared" si="182"/>
        <v/>
      </c>
      <c r="AY3094" s="21" t="str">
        <f>IF(AND($AM3094&lt;&gt;"",$AS3094&lt;&gt;"✓"),SUMPRODUCT(($AM$11:$AM3094&lt;&gt;"")*($AS$11:$AS3094&lt;&gt;"✓")),"")</f>
        <v/>
      </c>
      <c r="AZ3094" s="21" t="str">
        <f>IF(AND($AM3094&lt;&gt;"",$AS3094="✓"),SUMPRODUCT(($AM$11:$AM3094&lt;&gt;"")*($AS$11:$AS3094="✓")),"")</f>
        <v/>
      </c>
      <c r="BA3094" s="21" t="str">
        <f>IF($AL3094="","",$AL3094&amp;"|"&amp;COUNTIF($AL$11:$AL3094,$AL3094))</f>
        <v/>
      </c>
    </row>
    <row r="3095" spans="38:53" ht="15" customHeight="1" x14ac:dyDescent="0.25">
      <c r="AL3095" s="17"/>
      <c r="AM3095" s="12"/>
      <c r="AN3095" s="18"/>
      <c r="AO3095" s="18"/>
      <c r="AP3095" s="10"/>
      <c r="AQ3095" s="10"/>
      <c r="AR3095" s="19"/>
      <c r="AS3095" s="20"/>
      <c r="AT3095" s="19"/>
      <c r="AV3095" s="21">
        <f>IF(AND($AL3095&lt;&gt;"",COUNTIF($AL$11:$AL3095,$AL3095)=1),1,0)</f>
        <v>0</v>
      </c>
      <c r="AW3095" s="21">
        <f t="shared" si="183"/>
        <v>2</v>
      </c>
      <c r="AX3095" s="21" t="str">
        <f t="shared" si="182"/>
        <v/>
      </c>
      <c r="AY3095" s="21" t="str">
        <f>IF(AND($AM3095&lt;&gt;"",$AS3095&lt;&gt;"✓"),SUMPRODUCT(($AM$11:$AM3095&lt;&gt;"")*($AS$11:$AS3095&lt;&gt;"✓")),"")</f>
        <v/>
      </c>
      <c r="AZ3095" s="21" t="str">
        <f>IF(AND($AM3095&lt;&gt;"",$AS3095="✓"),SUMPRODUCT(($AM$11:$AM3095&lt;&gt;"")*($AS$11:$AS3095="✓")),"")</f>
        <v/>
      </c>
      <c r="BA3095" s="21" t="str">
        <f>IF($AL3095="","",$AL3095&amp;"|"&amp;COUNTIF($AL$11:$AL3095,$AL3095))</f>
        <v/>
      </c>
    </row>
    <row r="3096" spans="38:53" ht="15" customHeight="1" x14ac:dyDescent="0.25">
      <c r="AL3096" s="31"/>
      <c r="AM3096" s="26"/>
      <c r="AN3096" s="32"/>
      <c r="AO3096" s="32"/>
      <c r="AP3096" s="24"/>
      <c r="AQ3096" s="24"/>
      <c r="AR3096" s="33"/>
      <c r="AS3096" s="34"/>
      <c r="AT3096" s="33"/>
      <c r="AV3096" s="21">
        <f>IF(AND($AL3096&lt;&gt;"",COUNTIF($AL$11:$AL3096,$AL3096)=1),1,0)</f>
        <v>0</v>
      </c>
      <c r="AW3096" s="21">
        <f t="shared" si="183"/>
        <v>2</v>
      </c>
      <c r="AX3096" s="21" t="str">
        <f t="shared" si="182"/>
        <v/>
      </c>
      <c r="AY3096" s="21" t="str">
        <f>IF(AND($AM3096&lt;&gt;"",$AS3096&lt;&gt;"✓"),SUMPRODUCT(($AM$11:$AM3096&lt;&gt;"")*($AS$11:$AS3096&lt;&gt;"✓")),"")</f>
        <v/>
      </c>
      <c r="AZ3096" s="21" t="str">
        <f>IF(AND($AM3096&lt;&gt;"",$AS3096="✓"),SUMPRODUCT(($AM$11:$AM3096&lt;&gt;"")*($AS$11:$AS3096="✓")),"")</f>
        <v/>
      </c>
      <c r="BA3096" s="21" t="str">
        <f>IF($AL3096="","",$AL3096&amp;"|"&amp;COUNTIF($AL$11:$AL3096,$AL3096))</f>
        <v/>
      </c>
    </row>
    <row r="3097" spans="38:53" ht="15" customHeight="1" x14ac:dyDescent="0.25">
      <c r="AL3097" s="17"/>
      <c r="AM3097" s="12"/>
      <c r="AN3097" s="18"/>
      <c r="AO3097" s="18"/>
      <c r="AP3097" s="10"/>
      <c r="AQ3097" s="10"/>
      <c r="AR3097" s="19"/>
      <c r="AS3097" s="20"/>
      <c r="AT3097" s="19"/>
      <c r="AV3097" s="21">
        <f>IF(AND($AL3097&lt;&gt;"",COUNTIF($AL$11:$AL3097,$AL3097)=1),1,0)</f>
        <v>0</v>
      </c>
      <c r="AW3097" s="21">
        <f t="shared" si="183"/>
        <v>2</v>
      </c>
      <c r="AX3097" s="21" t="str">
        <f t="shared" si="182"/>
        <v/>
      </c>
      <c r="AY3097" s="21" t="str">
        <f>IF(AND($AM3097&lt;&gt;"",$AS3097&lt;&gt;"✓"),SUMPRODUCT(($AM$11:$AM3097&lt;&gt;"")*($AS$11:$AS3097&lt;&gt;"✓")),"")</f>
        <v/>
      </c>
      <c r="AZ3097" s="21" t="str">
        <f>IF(AND($AM3097&lt;&gt;"",$AS3097="✓"),SUMPRODUCT(($AM$11:$AM3097&lt;&gt;"")*($AS$11:$AS3097="✓")),"")</f>
        <v/>
      </c>
      <c r="BA3097" s="21" t="str">
        <f>IF($AL3097="","",$AL3097&amp;"|"&amp;COUNTIF($AL$11:$AL3097,$AL3097))</f>
        <v/>
      </c>
    </row>
    <row r="3098" spans="38:53" ht="15" customHeight="1" x14ac:dyDescent="0.25">
      <c r="AL3098" s="31"/>
      <c r="AM3098" s="26"/>
      <c r="AN3098" s="32"/>
      <c r="AO3098" s="32"/>
      <c r="AP3098" s="24"/>
      <c r="AQ3098" s="24"/>
      <c r="AR3098" s="33"/>
      <c r="AS3098" s="34"/>
      <c r="AT3098" s="33"/>
      <c r="AV3098" s="21">
        <f>IF(AND($AL3098&lt;&gt;"",COUNTIF($AL$11:$AL3098,$AL3098)=1),1,0)</f>
        <v>0</v>
      </c>
      <c r="AW3098" s="21">
        <f t="shared" si="183"/>
        <v>2</v>
      </c>
      <c r="AX3098" s="21" t="str">
        <f t="shared" si="182"/>
        <v/>
      </c>
      <c r="AY3098" s="21" t="str">
        <f>IF(AND($AM3098&lt;&gt;"",$AS3098&lt;&gt;"✓"),SUMPRODUCT(($AM$11:$AM3098&lt;&gt;"")*($AS$11:$AS3098&lt;&gt;"✓")),"")</f>
        <v/>
      </c>
      <c r="AZ3098" s="21" t="str">
        <f>IF(AND($AM3098&lt;&gt;"",$AS3098="✓"),SUMPRODUCT(($AM$11:$AM3098&lt;&gt;"")*($AS$11:$AS3098="✓")),"")</f>
        <v/>
      </c>
      <c r="BA3098" s="21" t="str">
        <f>IF($AL3098="","",$AL3098&amp;"|"&amp;COUNTIF($AL$11:$AL3098,$AL3098))</f>
        <v/>
      </c>
    </row>
    <row r="3099" spans="38:53" ht="15" customHeight="1" x14ac:dyDescent="0.25">
      <c r="AL3099" s="17"/>
      <c r="AM3099" s="12"/>
      <c r="AN3099" s="18"/>
      <c r="AO3099" s="18"/>
      <c r="AP3099" s="10"/>
      <c r="AQ3099" s="10"/>
      <c r="AR3099" s="19"/>
      <c r="AS3099" s="20"/>
      <c r="AT3099" s="19"/>
      <c r="AV3099" s="21">
        <f>IF(AND($AL3099&lt;&gt;"",COUNTIF($AL$11:$AL3099,$AL3099)=1),1,0)</f>
        <v>0</v>
      </c>
      <c r="AW3099" s="21">
        <f t="shared" si="183"/>
        <v>2</v>
      </c>
      <c r="AX3099" s="21" t="str">
        <f t="shared" si="182"/>
        <v/>
      </c>
      <c r="AY3099" s="21" t="str">
        <f>IF(AND($AM3099&lt;&gt;"",$AS3099&lt;&gt;"✓"),SUMPRODUCT(($AM$11:$AM3099&lt;&gt;"")*($AS$11:$AS3099&lt;&gt;"✓")),"")</f>
        <v/>
      </c>
      <c r="AZ3099" s="21" t="str">
        <f>IF(AND($AM3099&lt;&gt;"",$AS3099="✓"),SUMPRODUCT(($AM$11:$AM3099&lt;&gt;"")*($AS$11:$AS3099="✓")),"")</f>
        <v/>
      </c>
      <c r="BA3099" s="21" t="str">
        <f>IF($AL3099="","",$AL3099&amp;"|"&amp;COUNTIF($AL$11:$AL3099,$AL3099))</f>
        <v/>
      </c>
    </row>
    <row r="3100" spans="38:53" ht="15" customHeight="1" x14ac:dyDescent="0.25">
      <c r="AL3100" s="31"/>
      <c r="AM3100" s="26"/>
      <c r="AN3100" s="32"/>
      <c r="AO3100" s="32"/>
      <c r="AP3100" s="24"/>
      <c r="AQ3100" s="24"/>
      <c r="AR3100" s="33"/>
      <c r="AS3100" s="34"/>
      <c r="AT3100" s="33"/>
      <c r="AV3100" s="21">
        <f>IF(AND($AL3100&lt;&gt;"",COUNTIF($AL$11:$AL3100,$AL3100)=1),1,0)</f>
        <v>0</v>
      </c>
      <c r="AW3100" s="21">
        <f t="shared" si="183"/>
        <v>2</v>
      </c>
      <c r="AX3100" s="21" t="str">
        <f t="shared" si="182"/>
        <v/>
      </c>
      <c r="AY3100" s="21" t="str">
        <f>IF(AND($AM3100&lt;&gt;"",$AS3100&lt;&gt;"✓"),SUMPRODUCT(($AM$11:$AM3100&lt;&gt;"")*($AS$11:$AS3100&lt;&gt;"✓")),"")</f>
        <v/>
      </c>
      <c r="AZ3100" s="21" t="str">
        <f>IF(AND($AM3100&lt;&gt;"",$AS3100="✓"),SUMPRODUCT(($AM$11:$AM3100&lt;&gt;"")*($AS$11:$AS3100="✓")),"")</f>
        <v/>
      </c>
      <c r="BA3100" s="21" t="str">
        <f>IF($AL3100="","",$AL3100&amp;"|"&amp;COUNTIF($AL$11:$AL3100,$AL3100))</f>
        <v/>
      </c>
    </row>
    <row r="3101" spans="38:53" ht="15" customHeight="1" x14ac:dyDescent="0.25">
      <c r="AL3101" s="17"/>
      <c r="AM3101" s="12"/>
      <c r="AN3101" s="18"/>
      <c r="AO3101" s="18"/>
      <c r="AP3101" s="10"/>
      <c r="AQ3101" s="10"/>
      <c r="AR3101" s="19"/>
      <c r="AS3101" s="20"/>
      <c r="AT3101" s="19"/>
      <c r="AV3101" s="21">
        <f>IF(AND($AL3101&lt;&gt;"",COUNTIF($AL$11:$AL3101,$AL3101)=1),1,0)</f>
        <v>0</v>
      </c>
      <c r="AW3101" s="21">
        <f t="shared" si="183"/>
        <v>2</v>
      </c>
      <c r="AX3101" s="21" t="str">
        <f t="shared" si="182"/>
        <v/>
      </c>
      <c r="AY3101" s="21" t="str">
        <f>IF(AND($AM3101&lt;&gt;"",$AS3101&lt;&gt;"✓"),SUMPRODUCT(($AM$11:$AM3101&lt;&gt;"")*($AS$11:$AS3101&lt;&gt;"✓")),"")</f>
        <v/>
      </c>
      <c r="AZ3101" s="21" t="str">
        <f>IF(AND($AM3101&lt;&gt;"",$AS3101="✓"),SUMPRODUCT(($AM$11:$AM3101&lt;&gt;"")*($AS$11:$AS3101="✓")),"")</f>
        <v/>
      </c>
      <c r="BA3101" s="21" t="str">
        <f>IF($AL3101="","",$AL3101&amp;"|"&amp;COUNTIF($AL$11:$AL3101,$AL3101))</f>
        <v/>
      </c>
    </row>
    <row r="3102" spans="38:53" ht="15" customHeight="1" x14ac:dyDescent="0.25">
      <c r="AL3102" s="31"/>
      <c r="AM3102" s="26"/>
      <c r="AN3102" s="32"/>
      <c r="AO3102" s="32"/>
      <c r="AP3102" s="24"/>
      <c r="AQ3102" s="24"/>
      <c r="AR3102" s="33"/>
      <c r="AS3102" s="34"/>
      <c r="AT3102" s="33"/>
      <c r="AV3102" s="21">
        <f>IF(AND($AL3102&lt;&gt;"",COUNTIF($AL$11:$AL3102,$AL3102)=1),1,0)</f>
        <v>0</v>
      </c>
      <c r="AW3102" s="21">
        <f t="shared" si="183"/>
        <v>2</v>
      </c>
      <c r="AX3102" s="21" t="str">
        <f t="shared" si="182"/>
        <v/>
      </c>
      <c r="AY3102" s="21" t="str">
        <f>IF(AND($AM3102&lt;&gt;"",$AS3102&lt;&gt;"✓"),SUMPRODUCT(($AM$11:$AM3102&lt;&gt;"")*($AS$11:$AS3102&lt;&gt;"✓")),"")</f>
        <v/>
      </c>
      <c r="AZ3102" s="21" t="str">
        <f>IF(AND($AM3102&lt;&gt;"",$AS3102="✓"),SUMPRODUCT(($AM$11:$AM3102&lt;&gt;"")*($AS$11:$AS3102="✓")),"")</f>
        <v/>
      </c>
      <c r="BA3102" s="21" t="str">
        <f>IF($AL3102="","",$AL3102&amp;"|"&amp;COUNTIF($AL$11:$AL3102,$AL3102))</f>
        <v/>
      </c>
    </row>
    <row r="3103" spans="38:53" ht="15" customHeight="1" x14ac:dyDescent="0.25">
      <c r="AL3103" s="17"/>
      <c r="AM3103" s="12"/>
      <c r="AN3103" s="18"/>
      <c r="AO3103" s="18"/>
      <c r="AP3103" s="10"/>
      <c r="AQ3103" s="10"/>
      <c r="AR3103" s="19"/>
      <c r="AS3103" s="20"/>
      <c r="AT3103" s="19"/>
      <c r="AV3103" s="21">
        <f>IF(AND($AL3103&lt;&gt;"",COUNTIF($AL$11:$AL3103,$AL3103)=1),1,0)</f>
        <v>0</v>
      </c>
      <c r="AW3103" s="21">
        <f t="shared" si="183"/>
        <v>2</v>
      </c>
      <c r="AX3103" s="21" t="str">
        <f t="shared" si="182"/>
        <v/>
      </c>
      <c r="AY3103" s="21" t="str">
        <f>IF(AND($AM3103&lt;&gt;"",$AS3103&lt;&gt;"✓"),SUMPRODUCT(($AM$11:$AM3103&lt;&gt;"")*($AS$11:$AS3103&lt;&gt;"✓")),"")</f>
        <v/>
      </c>
      <c r="AZ3103" s="21" t="str">
        <f>IF(AND($AM3103&lt;&gt;"",$AS3103="✓"),SUMPRODUCT(($AM$11:$AM3103&lt;&gt;"")*($AS$11:$AS3103="✓")),"")</f>
        <v/>
      </c>
      <c r="BA3103" s="21" t="str">
        <f>IF($AL3103="","",$AL3103&amp;"|"&amp;COUNTIF($AL$11:$AL3103,$AL3103))</f>
        <v/>
      </c>
    </row>
    <row r="3104" spans="38:53" ht="15" customHeight="1" x14ac:dyDescent="0.25">
      <c r="AL3104" s="31"/>
      <c r="AM3104" s="26"/>
      <c r="AN3104" s="32"/>
      <c r="AO3104" s="32"/>
      <c r="AP3104" s="24"/>
      <c r="AQ3104" s="24"/>
      <c r="AR3104" s="33"/>
      <c r="AS3104" s="34"/>
      <c r="AT3104" s="33"/>
      <c r="AV3104" s="21">
        <f>IF(AND($AL3104&lt;&gt;"",COUNTIF($AL$11:$AL3104,$AL3104)=1),1,0)</f>
        <v>0</v>
      </c>
      <c r="AW3104" s="21">
        <f t="shared" si="183"/>
        <v>2</v>
      </c>
      <c r="AX3104" s="21" t="str">
        <f t="shared" si="182"/>
        <v/>
      </c>
      <c r="AY3104" s="21" t="str">
        <f>IF(AND($AM3104&lt;&gt;"",$AS3104&lt;&gt;"✓"),SUMPRODUCT(($AM$11:$AM3104&lt;&gt;"")*($AS$11:$AS3104&lt;&gt;"✓")),"")</f>
        <v/>
      </c>
      <c r="AZ3104" s="21" t="str">
        <f>IF(AND($AM3104&lt;&gt;"",$AS3104="✓"),SUMPRODUCT(($AM$11:$AM3104&lt;&gt;"")*($AS$11:$AS3104="✓")),"")</f>
        <v/>
      </c>
      <c r="BA3104" s="21" t="str">
        <f>IF($AL3104="","",$AL3104&amp;"|"&amp;COUNTIF($AL$11:$AL3104,$AL3104))</f>
        <v/>
      </c>
    </row>
    <row r="3105" spans="38:53" ht="15" customHeight="1" x14ac:dyDescent="0.25">
      <c r="AL3105" s="17"/>
      <c r="AM3105" s="12"/>
      <c r="AN3105" s="18"/>
      <c r="AO3105" s="18"/>
      <c r="AP3105" s="10"/>
      <c r="AQ3105" s="10"/>
      <c r="AR3105" s="19"/>
      <c r="AS3105" s="20"/>
      <c r="AT3105" s="19"/>
      <c r="AV3105" s="21">
        <f>IF(AND($AL3105&lt;&gt;"",COUNTIF($AL$11:$AL3105,$AL3105)=1),1,0)</f>
        <v>0</v>
      </c>
      <c r="AW3105" s="21">
        <f t="shared" si="183"/>
        <v>2</v>
      </c>
      <c r="AX3105" s="21" t="str">
        <f t="shared" si="182"/>
        <v/>
      </c>
      <c r="AY3105" s="21" t="str">
        <f>IF(AND($AM3105&lt;&gt;"",$AS3105&lt;&gt;"✓"),SUMPRODUCT(($AM$11:$AM3105&lt;&gt;"")*($AS$11:$AS3105&lt;&gt;"✓")),"")</f>
        <v/>
      </c>
      <c r="AZ3105" s="21" t="str">
        <f>IF(AND($AM3105&lt;&gt;"",$AS3105="✓"),SUMPRODUCT(($AM$11:$AM3105&lt;&gt;"")*($AS$11:$AS3105="✓")),"")</f>
        <v/>
      </c>
      <c r="BA3105" s="21" t="str">
        <f>IF($AL3105="","",$AL3105&amp;"|"&amp;COUNTIF($AL$11:$AL3105,$AL3105))</f>
        <v/>
      </c>
    </row>
    <row r="3106" spans="38:53" ht="15" customHeight="1" x14ac:dyDescent="0.25">
      <c r="AL3106" s="31"/>
      <c r="AM3106" s="26"/>
      <c r="AN3106" s="32"/>
      <c r="AO3106" s="32"/>
      <c r="AP3106" s="24"/>
      <c r="AQ3106" s="24"/>
      <c r="AR3106" s="33"/>
      <c r="AS3106" s="34"/>
      <c r="AT3106" s="33"/>
      <c r="AV3106" s="21">
        <f>IF(AND($AL3106&lt;&gt;"",COUNTIF($AL$11:$AL3106,$AL3106)=1),1,0)</f>
        <v>0</v>
      </c>
      <c r="AW3106" s="21">
        <f t="shared" si="183"/>
        <v>2</v>
      </c>
      <c r="AX3106" s="21" t="str">
        <f t="shared" si="182"/>
        <v/>
      </c>
      <c r="AY3106" s="21" t="str">
        <f>IF(AND($AM3106&lt;&gt;"",$AS3106&lt;&gt;"✓"),SUMPRODUCT(($AM$11:$AM3106&lt;&gt;"")*($AS$11:$AS3106&lt;&gt;"✓")),"")</f>
        <v/>
      </c>
      <c r="AZ3106" s="21" t="str">
        <f>IF(AND($AM3106&lt;&gt;"",$AS3106="✓"),SUMPRODUCT(($AM$11:$AM3106&lt;&gt;"")*($AS$11:$AS3106="✓")),"")</f>
        <v/>
      </c>
      <c r="BA3106" s="21" t="str">
        <f>IF($AL3106="","",$AL3106&amp;"|"&amp;COUNTIF($AL$11:$AL3106,$AL3106))</f>
        <v/>
      </c>
    </row>
    <row r="3107" spans="38:53" ht="15" customHeight="1" x14ac:dyDescent="0.25">
      <c r="AL3107" s="17"/>
      <c r="AM3107" s="12"/>
      <c r="AN3107" s="18"/>
      <c r="AO3107" s="18"/>
      <c r="AP3107" s="10"/>
      <c r="AQ3107" s="10"/>
      <c r="AR3107" s="19"/>
      <c r="AS3107" s="20"/>
      <c r="AT3107" s="19"/>
      <c r="AV3107" s="21">
        <f>IF(AND($AL3107&lt;&gt;"",COUNTIF($AL$11:$AL3107,$AL3107)=1),1,0)</f>
        <v>0</v>
      </c>
      <c r="AW3107" s="21">
        <f t="shared" si="183"/>
        <v>2</v>
      </c>
      <c r="AX3107" s="21" t="str">
        <f t="shared" si="182"/>
        <v/>
      </c>
      <c r="AY3107" s="21" t="str">
        <f>IF(AND($AM3107&lt;&gt;"",$AS3107&lt;&gt;"✓"),SUMPRODUCT(($AM$11:$AM3107&lt;&gt;"")*($AS$11:$AS3107&lt;&gt;"✓")),"")</f>
        <v/>
      </c>
      <c r="AZ3107" s="21" t="str">
        <f>IF(AND($AM3107&lt;&gt;"",$AS3107="✓"),SUMPRODUCT(($AM$11:$AM3107&lt;&gt;"")*($AS$11:$AS3107="✓")),"")</f>
        <v/>
      </c>
      <c r="BA3107" s="21" t="str">
        <f>IF($AL3107="","",$AL3107&amp;"|"&amp;COUNTIF($AL$11:$AL3107,$AL3107))</f>
        <v/>
      </c>
    </row>
    <row r="3108" spans="38:53" ht="15" customHeight="1" x14ac:dyDescent="0.25">
      <c r="AL3108" s="31"/>
      <c r="AM3108" s="26"/>
      <c r="AN3108" s="32"/>
      <c r="AO3108" s="32"/>
      <c r="AP3108" s="24"/>
      <c r="AQ3108" s="24"/>
      <c r="AR3108" s="33"/>
      <c r="AS3108" s="34"/>
      <c r="AT3108" s="33"/>
      <c r="AV3108" s="21">
        <f>IF(AND($AL3108&lt;&gt;"",COUNTIF($AL$11:$AL3108,$AL3108)=1),1,0)</f>
        <v>0</v>
      </c>
      <c r="AW3108" s="21">
        <f t="shared" si="183"/>
        <v>2</v>
      </c>
      <c r="AX3108" s="21" t="str">
        <f t="shared" si="182"/>
        <v/>
      </c>
      <c r="AY3108" s="21" t="str">
        <f>IF(AND($AM3108&lt;&gt;"",$AS3108&lt;&gt;"✓"),SUMPRODUCT(($AM$11:$AM3108&lt;&gt;"")*($AS$11:$AS3108&lt;&gt;"✓")),"")</f>
        <v/>
      </c>
      <c r="AZ3108" s="21" t="str">
        <f>IF(AND($AM3108&lt;&gt;"",$AS3108="✓"),SUMPRODUCT(($AM$11:$AM3108&lt;&gt;"")*($AS$11:$AS3108="✓")),"")</f>
        <v/>
      </c>
      <c r="BA3108" s="21" t="str">
        <f>IF($AL3108="","",$AL3108&amp;"|"&amp;COUNTIF($AL$11:$AL3108,$AL3108))</f>
        <v/>
      </c>
    </row>
    <row r="3109" spans="38:53" ht="15" customHeight="1" x14ac:dyDescent="0.25">
      <c r="AL3109" s="17"/>
      <c r="AM3109" s="12"/>
      <c r="AN3109" s="18"/>
      <c r="AO3109" s="18"/>
      <c r="AP3109" s="10"/>
      <c r="AQ3109" s="10"/>
      <c r="AR3109" s="19"/>
      <c r="AS3109" s="20"/>
      <c r="AT3109" s="19"/>
      <c r="AV3109" s="21">
        <f>IF(AND($AL3109&lt;&gt;"",COUNTIF($AL$11:$AL3109,$AL3109)=1),1,0)</f>
        <v>0</v>
      </c>
      <c r="AW3109" s="21">
        <f t="shared" si="183"/>
        <v>2</v>
      </c>
      <c r="AX3109" s="21" t="str">
        <f t="shared" si="182"/>
        <v/>
      </c>
      <c r="AY3109" s="21" t="str">
        <f>IF(AND($AM3109&lt;&gt;"",$AS3109&lt;&gt;"✓"),SUMPRODUCT(($AM$11:$AM3109&lt;&gt;"")*($AS$11:$AS3109&lt;&gt;"✓")),"")</f>
        <v/>
      </c>
      <c r="AZ3109" s="21" t="str">
        <f>IF(AND($AM3109&lt;&gt;"",$AS3109="✓"),SUMPRODUCT(($AM$11:$AM3109&lt;&gt;"")*($AS$11:$AS3109="✓")),"")</f>
        <v/>
      </c>
      <c r="BA3109" s="21" t="str">
        <f>IF($AL3109="","",$AL3109&amp;"|"&amp;COUNTIF($AL$11:$AL3109,$AL3109))</f>
        <v/>
      </c>
    </row>
    <row r="3110" spans="38:53" ht="15" customHeight="1" x14ac:dyDescent="0.25">
      <c r="AL3110" s="31"/>
      <c r="AM3110" s="26"/>
      <c r="AN3110" s="32"/>
      <c r="AO3110" s="32"/>
      <c r="AP3110" s="24"/>
      <c r="AQ3110" s="24"/>
      <c r="AR3110" s="33"/>
      <c r="AS3110" s="34"/>
      <c r="AT3110" s="33"/>
      <c r="AV3110" s="21">
        <f>IF(AND($AL3110&lt;&gt;"",COUNTIF($AL$11:$AL3110,$AL3110)=1),1,0)</f>
        <v>0</v>
      </c>
      <c r="AW3110" s="21">
        <f t="shared" si="183"/>
        <v>2</v>
      </c>
      <c r="AX3110" s="21" t="str">
        <f t="shared" si="182"/>
        <v/>
      </c>
      <c r="AY3110" s="21" t="str">
        <f>IF(AND($AM3110&lt;&gt;"",$AS3110&lt;&gt;"✓"),SUMPRODUCT(($AM$11:$AM3110&lt;&gt;"")*($AS$11:$AS3110&lt;&gt;"✓")),"")</f>
        <v/>
      </c>
      <c r="AZ3110" s="21" t="str">
        <f>IF(AND($AM3110&lt;&gt;"",$AS3110="✓"),SUMPRODUCT(($AM$11:$AM3110&lt;&gt;"")*($AS$11:$AS3110="✓")),"")</f>
        <v/>
      </c>
      <c r="BA3110" s="21" t="str">
        <f>IF($AL3110="","",$AL3110&amp;"|"&amp;COUNTIF($AL$11:$AL3110,$AL3110))</f>
        <v/>
      </c>
    </row>
    <row r="3111" spans="38:53" ht="15" customHeight="1" x14ac:dyDescent="0.25">
      <c r="AL3111" s="17"/>
      <c r="AM3111" s="12"/>
      <c r="AN3111" s="18"/>
      <c r="AO3111" s="18"/>
      <c r="AP3111" s="10"/>
      <c r="AQ3111" s="10"/>
      <c r="AR3111" s="19"/>
      <c r="AS3111" s="20"/>
      <c r="AT3111" s="19"/>
      <c r="AV3111" s="21">
        <f>IF(AND($AL3111&lt;&gt;"",COUNTIF($AL$11:$AL3111,$AL3111)=1),1,0)</f>
        <v>0</v>
      </c>
      <c r="AW3111" s="21">
        <f t="shared" si="183"/>
        <v>2</v>
      </c>
      <c r="AX3111" s="21" t="str">
        <f t="shared" si="182"/>
        <v/>
      </c>
      <c r="AY3111" s="21" t="str">
        <f>IF(AND($AM3111&lt;&gt;"",$AS3111&lt;&gt;"✓"),SUMPRODUCT(($AM$11:$AM3111&lt;&gt;"")*($AS$11:$AS3111&lt;&gt;"✓")),"")</f>
        <v/>
      </c>
      <c r="AZ3111" s="21" t="str">
        <f>IF(AND($AM3111&lt;&gt;"",$AS3111="✓"),SUMPRODUCT(($AM$11:$AM3111&lt;&gt;"")*($AS$11:$AS3111="✓")),"")</f>
        <v/>
      </c>
      <c r="BA3111" s="21" t="str">
        <f>IF($AL3111="","",$AL3111&amp;"|"&amp;COUNTIF($AL$11:$AL3111,$AL3111))</f>
        <v/>
      </c>
    </row>
    <row r="3112" spans="38:53" ht="15" customHeight="1" x14ac:dyDescent="0.25">
      <c r="AL3112" s="31"/>
      <c r="AM3112" s="26"/>
      <c r="AN3112" s="32"/>
      <c r="AO3112" s="32"/>
      <c r="AP3112" s="24"/>
      <c r="AQ3112" s="24"/>
      <c r="AR3112" s="33"/>
      <c r="AS3112" s="34"/>
      <c r="AT3112" s="33"/>
      <c r="AV3112" s="21">
        <f>IF(AND($AL3112&lt;&gt;"",COUNTIF($AL$11:$AL3112,$AL3112)=1),1,0)</f>
        <v>0</v>
      </c>
      <c r="AW3112" s="21">
        <f t="shared" si="183"/>
        <v>2</v>
      </c>
      <c r="AX3112" s="21" t="str">
        <f t="shared" si="182"/>
        <v/>
      </c>
      <c r="AY3112" s="21" t="str">
        <f>IF(AND($AM3112&lt;&gt;"",$AS3112&lt;&gt;"✓"),SUMPRODUCT(($AM$11:$AM3112&lt;&gt;"")*($AS$11:$AS3112&lt;&gt;"✓")),"")</f>
        <v/>
      </c>
      <c r="AZ3112" s="21" t="str">
        <f>IF(AND($AM3112&lt;&gt;"",$AS3112="✓"),SUMPRODUCT(($AM$11:$AM3112&lt;&gt;"")*($AS$11:$AS3112="✓")),"")</f>
        <v/>
      </c>
      <c r="BA3112" s="21" t="str">
        <f>IF($AL3112="","",$AL3112&amp;"|"&amp;COUNTIF($AL$11:$AL3112,$AL3112))</f>
        <v/>
      </c>
    </row>
    <row r="3113" spans="38:53" ht="15" customHeight="1" x14ac:dyDescent="0.25">
      <c r="AL3113" s="17"/>
      <c r="AM3113" s="12"/>
      <c r="AN3113" s="18"/>
      <c r="AO3113" s="18"/>
      <c r="AP3113" s="10"/>
      <c r="AQ3113" s="10"/>
      <c r="AR3113" s="19"/>
      <c r="AS3113" s="20"/>
      <c r="AT3113" s="19"/>
      <c r="AV3113" s="21">
        <f>IF(AND($AL3113&lt;&gt;"",COUNTIF($AL$11:$AL3113,$AL3113)=1),1,0)</f>
        <v>0</v>
      </c>
      <c r="AW3113" s="21">
        <f t="shared" si="183"/>
        <v>2</v>
      </c>
      <c r="AX3113" s="21" t="str">
        <f t="shared" si="182"/>
        <v/>
      </c>
      <c r="AY3113" s="21" t="str">
        <f>IF(AND($AM3113&lt;&gt;"",$AS3113&lt;&gt;"✓"),SUMPRODUCT(($AM$11:$AM3113&lt;&gt;"")*($AS$11:$AS3113&lt;&gt;"✓")),"")</f>
        <v/>
      </c>
      <c r="AZ3113" s="21" t="str">
        <f>IF(AND($AM3113&lt;&gt;"",$AS3113="✓"),SUMPRODUCT(($AM$11:$AM3113&lt;&gt;"")*($AS$11:$AS3113="✓")),"")</f>
        <v/>
      </c>
      <c r="BA3113" s="21" t="str">
        <f>IF($AL3113="","",$AL3113&amp;"|"&amp;COUNTIF($AL$11:$AL3113,$AL3113))</f>
        <v/>
      </c>
    </row>
    <row r="3114" spans="38:53" ht="15" customHeight="1" x14ac:dyDescent="0.25">
      <c r="AL3114" s="31"/>
      <c r="AM3114" s="26"/>
      <c r="AN3114" s="32"/>
      <c r="AO3114" s="32"/>
      <c r="AP3114" s="24"/>
      <c r="AQ3114" s="24"/>
      <c r="AR3114" s="33"/>
      <c r="AS3114" s="34"/>
      <c r="AT3114" s="33"/>
      <c r="AV3114" s="21">
        <f>IF(AND($AL3114&lt;&gt;"",COUNTIF($AL$11:$AL3114,$AL3114)=1),1,0)</f>
        <v>0</v>
      </c>
      <c r="AW3114" s="21">
        <f t="shared" si="183"/>
        <v>2</v>
      </c>
      <c r="AX3114" s="21" t="str">
        <f t="shared" si="182"/>
        <v/>
      </c>
      <c r="AY3114" s="21" t="str">
        <f>IF(AND($AM3114&lt;&gt;"",$AS3114&lt;&gt;"✓"),SUMPRODUCT(($AM$11:$AM3114&lt;&gt;"")*($AS$11:$AS3114&lt;&gt;"✓")),"")</f>
        <v/>
      </c>
      <c r="AZ3114" s="21" t="str">
        <f>IF(AND($AM3114&lt;&gt;"",$AS3114="✓"),SUMPRODUCT(($AM$11:$AM3114&lt;&gt;"")*($AS$11:$AS3114="✓")),"")</f>
        <v/>
      </c>
      <c r="BA3114" s="21" t="str">
        <f>IF($AL3114="","",$AL3114&amp;"|"&amp;COUNTIF($AL$11:$AL3114,$AL3114))</f>
        <v/>
      </c>
    </row>
    <row r="3115" spans="38:53" ht="15" customHeight="1" x14ac:dyDescent="0.25">
      <c r="AL3115" s="17"/>
      <c r="AM3115" s="12"/>
      <c r="AN3115" s="18"/>
      <c r="AO3115" s="18"/>
      <c r="AP3115" s="10"/>
      <c r="AQ3115" s="10"/>
      <c r="AR3115" s="19"/>
      <c r="AS3115" s="20"/>
      <c r="AT3115" s="19"/>
      <c r="AV3115" s="21">
        <f>IF(AND($AL3115&lt;&gt;"",COUNTIF($AL$11:$AL3115,$AL3115)=1),1,0)</f>
        <v>0</v>
      </c>
      <c r="AW3115" s="21">
        <f t="shared" si="183"/>
        <v>2</v>
      </c>
      <c r="AX3115" s="21" t="str">
        <f t="shared" si="182"/>
        <v/>
      </c>
      <c r="AY3115" s="21" t="str">
        <f>IF(AND($AM3115&lt;&gt;"",$AS3115&lt;&gt;"✓"),SUMPRODUCT(($AM$11:$AM3115&lt;&gt;"")*($AS$11:$AS3115&lt;&gt;"✓")),"")</f>
        <v/>
      </c>
      <c r="AZ3115" s="21" t="str">
        <f>IF(AND($AM3115&lt;&gt;"",$AS3115="✓"),SUMPRODUCT(($AM$11:$AM3115&lt;&gt;"")*($AS$11:$AS3115="✓")),"")</f>
        <v/>
      </c>
      <c r="BA3115" s="21" t="str">
        <f>IF($AL3115="","",$AL3115&amp;"|"&amp;COUNTIF($AL$11:$AL3115,$AL3115))</f>
        <v/>
      </c>
    </row>
    <row r="3116" spans="38:53" ht="15" customHeight="1" x14ac:dyDescent="0.25">
      <c r="AL3116" s="31"/>
      <c r="AM3116" s="26"/>
      <c r="AN3116" s="32"/>
      <c r="AO3116" s="32"/>
      <c r="AP3116" s="24"/>
      <c r="AQ3116" s="24"/>
      <c r="AR3116" s="33"/>
      <c r="AS3116" s="34"/>
      <c r="AT3116" s="33"/>
      <c r="AV3116" s="21">
        <f>IF(AND($AL3116&lt;&gt;"",COUNTIF($AL$11:$AL3116,$AL3116)=1),1,0)</f>
        <v>0</v>
      </c>
      <c r="AW3116" s="21">
        <f t="shared" si="183"/>
        <v>2</v>
      </c>
      <c r="AX3116" s="21" t="str">
        <f t="shared" si="182"/>
        <v/>
      </c>
      <c r="AY3116" s="21" t="str">
        <f>IF(AND($AM3116&lt;&gt;"",$AS3116&lt;&gt;"✓"),SUMPRODUCT(($AM$11:$AM3116&lt;&gt;"")*($AS$11:$AS3116&lt;&gt;"✓")),"")</f>
        <v/>
      </c>
      <c r="AZ3116" s="21" t="str">
        <f>IF(AND($AM3116&lt;&gt;"",$AS3116="✓"),SUMPRODUCT(($AM$11:$AM3116&lt;&gt;"")*($AS$11:$AS3116="✓")),"")</f>
        <v/>
      </c>
      <c r="BA3116" s="21" t="str">
        <f>IF($AL3116="","",$AL3116&amp;"|"&amp;COUNTIF($AL$11:$AL3116,$AL3116))</f>
        <v/>
      </c>
    </row>
    <row r="3117" spans="38:53" ht="15" customHeight="1" x14ac:dyDescent="0.25">
      <c r="AL3117" s="17"/>
      <c r="AM3117" s="12"/>
      <c r="AN3117" s="18"/>
      <c r="AO3117" s="18"/>
      <c r="AP3117" s="10"/>
      <c r="AQ3117" s="10"/>
      <c r="AR3117" s="19"/>
      <c r="AS3117" s="20"/>
      <c r="AT3117" s="19"/>
      <c r="AV3117" s="21">
        <f>IF(AND($AL3117&lt;&gt;"",COUNTIF($AL$11:$AL3117,$AL3117)=1),1,0)</f>
        <v>0</v>
      </c>
      <c r="AW3117" s="21">
        <f t="shared" si="183"/>
        <v>2</v>
      </c>
      <c r="AX3117" s="21" t="str">
        <f t="shared" si="182"/>
        <v/>
      </c>
      <c r="AY3117" s="21" t="str">
        <f>IF(AND($AM3117&lt;&gt;"",$AS3117&lt;&gt;"✓"),SUMPRODUCT(($AM$11:$AM3117&lt;&gt;"")*($AS$11:$AS3117&lt;&gt;"✓")),"")</f>
        <v/>
      </c>
      <c r="AZ3117" s="21" t="str">
        <f>IF(AND($AM3117&lt;&gt;"",$AS3117="✓"),SUMPRODUCT(($AM$11:$AM3117&lt;&gt;"")*($AS$11:$AS3117="✓")),"")</f>
        <v/>
      </c>
      <c r="BA3117" s="21" t="str">
        <f>IF($AL3117="","",$AL3117&amp;"|"&amp;COUNTIF($AL$11:$AL3117,$AL3117))</f>
        <v/>
      </c>
    </row>
    <row r="3118" spans="38:53" ht="15" customHeight="1" x14ac:dyDescent="0.25">
      <c r="AL3118" s="31"/>
      <c r="AM3118" s="26"/>
      <c r="AN3118" s="32"/>
      <c r="AO3118" s="32"/>
      <c r="AP3118" s="24"/>
      <c r="AQ3118" s="24"/>
      <c r="AR3118" s="33"/>
      <c r="AS3118" s="34"/>
      <c r="AT3118" s="33"/>
      <c r="AV3118" s="21">
        <f>IF(AND($AL3118&lt;&gt;"",COUNTIF($AL$11:$AL3118,$AL3118)=1),1,0)</f>
        <v>0</v>
      </c>
      <c r="AW3118" s="21">
        <f t="shared" si="183"/>
        <v>2</v>
      </c>
      <c r="AX3118" s="21" t="str">
        <f t="shared" si="182"/>
        <v/>
      </c>
      <c r="AY3118" s="21" t="str">
        <f>IF(AND($AM3118&lt;&gt;"",$AS3118&lt;&gt;"✓"),SUMPRODUCT(($AM$11:$AM3118&lt;&gt;"")*($AS$11:$AS3118&lt;&gt;"✓")),"")</f>
        <v/>
      </c>
      <c r="AZ3118" s="21" t="str">
        <f>IF(AND($AM3118&lt;&gt;"",$AS3118="✓"),SUMPRODUCT(($AM$11:$AM3118&lt;&gt;"")*($AS$11:$AS3118="✓")),"")</f>
        <v/>
      </c>
      <c r="BA3118" s="21" t="str">
        <f>IF($AL3118="","",$AL3118&amp;"|"&amp;COUNTIF($AL$11:$AL3118,$AL3118))</f>
        <v/>
      </c>
    </row>
    <row r="3119" spans="38:53" ht="15" customHeight="1" x14ac:dyDescent="0.25">
      <c r="AL3119" s="17"/>
      <c r="AM3119" s="12"/>
      <c r="AN3119" s="18"/>
      <c r="AO3119" s="18"/>
      <c r="AP3119" s="10"/>
      <c r="AQ3119" s="10"/>
      <c r="AR3119" s="19"/>
      <c r="AS3119" s="20"/>
      <c r="AT3119" s="19"/>
      <c r="AV3119" s="21">
        <f>IF(AND($AL3119&lt;&gt;"",COUNTIF($AL$11:$AL3119,$AL3119)=1),1,0)</f>
        <v>0</v>
      </c>
      <c r="AW3119" s="21">
        <f t="shared" si="183"/>
        <v>2</v>
      </c>
      <c r="AX3119" s="21" t="str">
        <f t="shared" si="182"/>
        <v/>
      </c>
      <c r="AY3119" s="21" t="str">
        <f>IF(AND($AM3119&lt;&gt;"",$AS3119&lt;&gt;"✓"),SUMPRODUCT(($AM$11:$AM3119&lt;&gt;"")*($AS$11:$AS3119&lt;&gt;"✓")),"")</f>
        <v/>
      </c>
      <c r="AZ3119" s="21" t="str">
        <f>IF(AND($AM3119&lt;&gt;"",$AS3119="✓"),SUMPRODUCT(($AM$11:$AM3119&lt;&gt;"")*($AS$11:$AS3119="✓")),"")</f>
        <v/>
      </c>
      <c r="BA3119" s="21" t="str">
        <f>IF($AL3119="","",$AL3119&amp;"|"&amp;COUNTIF($AL$11:$AL3119,$AL3119))</f>
        <v/>
      </c>
    </row>
    <row r="3120" spans="38:53" ht="15" customHeight="1" x14ac:dyDescent="0.25">
      <c r="AL3120" s="31"/>
      <c r="AM3120" s="26"/>
      <c r="AN3120" s="32"/>
      <c r="AO3120" s="32"/>
      <c r="AP3120" s="24"/>
      <c r="AQ3120" s="24"/>
      <c r="AR3120" s="33"/>
      <c r="AS3120" s="34"/>
      <c r="AT3120" s="33"/>
      <c r="AV3120" s="21">
        <f>IF(AND($AL3120&lt;&gt;"",COUNTIF($AL$11:$AL3120,$AL3120)=1),1,0)</f>
        <v>0</v>
      </c>
      <c r="AW3120" s="21">
        <f t="shared" si="183"/>
        <v>2</v>
      </c>
      <c r="AX3120" s="21" t="str">
        <f t="shared" si="182"/>
        <v/>
      </c>
      <c r="AY3120" s="21" t="str">
        <f>IF(AND($AM3120&lt;&gt;"",$AS3120&lt;&gt;"✓"),SUMPRODUCT(($AM$11:$AM3120&lt;&gt;"")*($AS$11:$AS3120&lt;&gt;"✓")),"")</f>
        <v/>
      </c>
      <c r="AZ3120" s="21" t="str">
        <f>IF(AND($AM3120&lt;&gt;"",$AS3120="✓"),SUMPRODUCT(($AM$11:$AM3120&lt;&gt;"")*($AS$11:$AS3120="✓")),"")</f>
        <v/>
      </c>
      <c r="BA3120" s="21" t="str">
        <f>IF($AL3120="","",$AL3120&amp;"|"&amp;COUNTIF($AL$11:$AL3120,$AL3120))</f>
        <v/>
      </c>
    </row>
    <row r="3121" spans="38:53" ht="15" customHeight="1" x14ac:dyDescent="0.25">
      <c r="AL3121" s="17"/>
      <c r="AM3121" s="12"/>
      <c r="AN3121" s="18"/>
      <c r="AO3121" s="18"/>
      <c r="AP3121" s="10"/>
      <c r="AQ3121" s="10"/>
      <c r="AR3121" s="19"/>
      <c r="AS3121" s="20"/>
      <c r="AT3121" s="19"/>
      <c r="AV3121" s="21">
        <f>IF(AND($AL3121&lt;&gt;"",COUNTIF($AL$11:$AL3121,$AL3121)=1),1,0)</f>
        <v>0</v>
      </c>
      <c r="AW3121" s="21">
        <f t="shared" si="183"/>
        <v>2</v>
      </c>
      <c r="AX3121" s="21" t="str">
        <f t="shared" si="182"/>
        <v/>
      </c>
      <c r="AY3121" s="21" t="str">
        <f>IF(AND($AM3121&lt;&gt;"",$AS3121&lt;&gt;"✓"),SUMPRODUCT(($AM$11:$AM3121&lt;&gt;"")*($AS$11:$AS3121&lt;&gt;"✓")),"")</f>
        <v/>
      </c>
      <c r="AZ3121" s="21" t="str">
        <f>IF(AND($AM3121&lt;&gt;"",$AS3121="✓"),SUMPRODUCT(($AM$11:$AM3121&lt;&gt;"")*($AS$11:$AS3121="✓")),"")</f>
        <v/>
      </c>
      <c r="BA3121" s="21" t="str">
        <f>IF($AL3121="","",$AL3121&amp;"|"&amp;COUNTIF($AL$11:$AL3121,$AL3121))</f>
        <v/>
      </c>
    </row>
    <row r="3122" spans="38:53" ht="15" customHeight="1" x14ac:dyDescent="0.25">
      <c r="AL3122" s="31"/>
      <c r="AM3122" s="26"/>
      <c r="AN3122" s="32"/>
      <c r="AO3122" s="32"/>
      <c r="AP3122" s="24"/>
      <c r="AQ3122" s="24"/>
      <c r="AR3122" s="33"/>
      <c r="AS3122" s="34"/>
      <c r="AT3122" s="33"/>
      <c r="AV3122" s="21">
        <f>IF(AND($AL3122&lt;&gt;"",COUNTIF($AL$11:$AL3122,$AL3122)=1),1,0)</f>
        <v>0</v>
      </c>
      <c r="AW3122" s="21">
        <f t="shared" si="183"/>
        <v>2</v>
      </c>
      <c r="AX3122" s="21" t="str">
        <f t="shared" si="182"/>
        <v/>
      </c>
      <c r="AY3122" s="21" t="str">
        <f>IF(AND($AM3122&lt;&gt;"",$AS3122&lt;&gt;"✓"),SUMPRODUCT(($AM$11:$AM3122&lt;&gt;"")*($AS$11:$AS3122&lt;&gt;"✓")),"")</f>
        <v/>
      </c>
      <c r="AZ3122" s="21" t="str">
        <f>IF(AND($AM3122&lt;&gt;"",$AS3122="✓"),SUMPRODUCT(($AM$11:$AM3122&lt;&gt;"")*($AS$11:$AS3122="✓")),"")</f>
        <v/>
      </c>
      <c r="BA3122" s="21" t="str">
        <f>IF($AL3122="","",$AL3122&amp;"|"&amp;COUNTIF($AL$11:$AL3122,$AL3122))</f>
        <v/>
      </c>
    </row>
    <row r="3123" spans="38:53" ht="15" customHeight="1" x14ac:dyDescent="0.25">
      <c r="AL3123" s="17"/>
      <c r="AM3123" s="12"/>
      <c r="AN3123" s="18"/>
      <c r="AO3123" s="18"/>
      <c r="AP3123" s="10"/>
      <c r="AQ3123" s="10"/>
      <c r="AR3123" s="19"/>
      <c r="AS3123" s="20"/>
      <c r="AT3123" s="19"/>
      <c r="AV3123" s="21">
        <f>IF(AND($AL3123&lt;&gt;"",COUNTIF($AL$11:$AL3123,$AL3123)=1),1,0)</f>
        <v>0</v>
      </c>
      <c r="AW3123" s="21">
        <f t="shared" si="183"/>
        <v>2</v>
      </c>
      <c r="AX3123" s="21" t="str">
        <f t="shared" si="182"/>
        <v/>
      </c>
      <c r="AY3123" s="21" t="str">
        <f>IF(AND($AM3123&lt;&gt;"",$AS3123&lt;&gt;"✓"),SUMPRODUCT(($AM$11:$AM3123&lt;&gt;"")*($AS$11:$AS3123&lt;&gt;"✓")),"")</f>
        <v/>
      </c>
      <c r="AZ3123" s="21" t="str">
        <f>IF(AND($AM3123&lt;&gt;"",$AS3123="✓"),SUMPRODUCT(($AM$11:$AM3123&lt;&gt;"")*($AS$11:$AS3123="✓")),"")</f>
        <v/>
      </c>
      <c r="BA3123" s="21" t="str">
        <f>IF($AL3123="","",$AL3123&amp;"|"&amp;COUNTIF($AL$11:$AL3123,$AL3123))</f>
        <v/>
      </c>
    </row>
    <row r="3124" spans="38:53" ht="15" customHeight="1" x14ac:dyDescent="0.25">
      <c r="AL3124" s="31"/>
      <c r="AM3124" s="26"/>
      <c r="AN3124" s="32"/>
      <c r="AO3124" s="32"/>
      <c r="AP3124" s="24"/>
      <c r="AQ3124" s="24"/>
      <c r="AR3124" s="33"/>
      <c r="AS3124" s="34"/>
      <c r="AT3124" s="33"/>
      <c r="AV3124" s="21">
        <f>IF(AND($AL3124&lt;&gt;"",COUNTIF($AL$11:$AL3124,$AL3124)=1),1,0)</f>
        <v>0</v>
      </c>
      <c r="AW3124" s="21">
        <f t="shared" si="183"/>
        <v>2</v>
      </c>
      <c r="AX3124" s="21" t="str">
        <f t="shared" si="182"/>
        <v/>
      </c>
      <c r="AY3124" s="21" t="str">
        <f>IF(AND($AM3124&lt;&gt;"",$AS3124&lt;&gt;"✓"),SUMPRODUCT(($AM$11:$AM3124&lt;&gt;"")*($AS$11:$AS3124&lt;&gt;"✓")),"")</f>
        <v/>
      </c>
      <c r="AZ3124" s="21" t="str">
        <f>IF(AND($AM3124&lt;&gt;"",$AS3124="✓"),SUMPRODUCT(($AM$11:$AM3124&lt;&gt;"")*($AS$11:$AS3124="✓")),"")</f>
        <v/>
      </c>
      <c r="BA3124" s="21" t="str">
        <f>IF($AL3124="","",$AL3124&amp;"|"&amp;COUNTIF($AL$11:$AL3124,$AL3124))</f>
        <v/>
      </c>
    </row>
    <row r="3125" spans="38:53" ht="15" customHeight="1" x14ac:dyDescent="0.25">
      <c r="AL3125" s="17"/>
      <c r="AM3125" s="12"/>
      <c r="AN3125" s="18"/>
      <c r="AO3125" s="18"/>
      <c r="AP3125" s="10"/>
      <c r="AQ3125" s="10"/>
      <c r="AR3125" s="19"/>
      <c r="AS3125" s="20"/>
      <c r="AT3125" s="19"/>
      <c r="AV3125" s="21">
        <f>IF(AND($AL3125&lt;&gt;"",COUNTIF($AL$11:$AL3125,$AL3125)=1),1,0)</f>
        <v>0</v>
      </c>
      <c r="AW3125" s="21">
        <f t="shared" si="183"/>
        <v>2</v>
      </c>
      <c r="AX3125" s="21" t="str">
        <f t="shared" si="182"/>
        <v/>
      </c>
      <c r="AY3125" s="21" t="str">
        <f>IF(AND($AM3125&lt;&gt;"",$AS3125&lt;&gt;"✓"),SUMPRODUCT(($AM$11:$AM3125&lt;&gt;"")*($AS$11:$AS3125&lt;&gt;"✓")),"")</f>
        <v/>
      </c>
      <c r="AZ3125" s="21" t="str">
        <f>IF(AND($AM3125&lt;&gt;"",$AS3125="✓"),SUMPRODUCT(($AM$11:$AM3125&lt;&gt;"")*($AS$11:$AS3125="✓")),"")</f>
        <v/>
      </c>
      <c r="BA3125" s="21" t="str">
        <f>IF($AL3125="","",$AL3125&amp;"|"&amp;COUNTIF($AL$11:$AL3125,$AL3125))</f>
        <v/>
      </c>
    </row>
    <row r="3126" spans="38:53" ht="15" customHeight="1" x14ac:dyDescent="0.25">
      <c r="AL3126" s="31"/>
      <c r="AM3126" s="26"/>
      <c r="AN3126" s="32"/>
      <c r="AO3126" s="32"/>
      <c r="AP3126" s="24"/>
      <c r="AQ3126" s="24"/>
      <c r="AR3126" s="33"/>
      <c r="AS3126" s="34"/>
      <c r="AT3126" s="33"/>
      <c r="AV3126" s="21">
        <f>IF(AND($AL3126&lt;&gt;"",COUNTIF($AL$11:$AL3126,$AL3126)=1),1,0)</f>
        <v>0</v>
      </c>
      <c r="AW3126" s="21">
        <f t="shared" si="183"/>
        <v>2</v>
      </c>
      <c r="AX3126" s="21" t="str">
        <f t="shared" si="182"/>
        <v/>
      </c>
      <c r="AY3126" s="21" t="str">
        <f>IF(AND($AM3126&lt;&gt;"",$AS3126&lt;&gt;"✓"),SUMPRODUCT(($AM$11:$AM3126&lt;&gt;"")*($AS$11:$AS3126&lt;&gt;"✓")),"")</f>
        <v/>
      </c>
      <c r="AZ3126" s="21" t="str">
        <f>IF(AND($AM3126&lt;&gt;"",$AS3126="✓"),SUMPRODUCT(($AM$11:$AM3126&lt;&gt;"")*($AS$11:$AS3126="✓")),"")</f>
        <v/>
      </c>
      <c r="BA3126" s="21" t="str">
        <f>IF($AL3126="","",$AL3126&amp;"|"&amp;COUNTIF($AL$11:$AL3126,$AL3126))</f>
        <v/>
      </c>
    </row>
    <row r="3127" spans="38:53" ht="15" customHeight="1" x14ac:dyDescent="0.25">
      <c r="AL3127" s="17"/>
      <c r="AM3127" s="12"/>
      <c r="AN3127" s="18"/>
      <c r="AO3127" s="18"/>
      <c r="AP3127" s="10"/>
      <c r="AQ3127" s="10"/>
      <c r="AR3127" s="19"/>
      <c r="AS3127" s="20"/>
      <c r="AT3127" s="19"/>
      <c r="AV3127" s="21">
        <f>IF(AND($AL3127&lt;&gt;"",COUNTIF($AL$11:$AL3127,$AL3127)=1),1,0)</f>
        <v>0</v>
      </c>
      <c r="AW3127" s="21">
        <f t="shared" si="183"/>
        <v>2</v>
      </c>
      <c r="AX3127" s="21" t="str">
        <f t="shared" si="182"/>
        <v/>
      </c>
      <c r="AY3127" s="21" t="str">
        <f>IF(AND($AM3127&lt;&gt;"",$AS3127&lt;&gt;"✓"),SUMPRODUCT(($AM$11:$AM3127&lt;&gt;"")*($AS$11:$AS3127&lt;&gt;"✓")),"")</f>
        <v/>
      </c>
      <c r="AZ3127" s="21" t="str">
        <f>IF(AND($AM3127&lt;&gt;"",$AS3127="✓"),SUMPRODUCT(($AM$11:$AM3127&lt;&gt;"")*($AS$11:$AS3127="✓")),"")</f>
        <v/>
      </c>
      <c r="BA3127" s="21" t="str">
        <f>IF($AL3127="","",$AL3127&amp;"|"&amp;COUNTIF($AL$11:$AL3127,$AL3127))</f>
        <v/>
      </c>
    </row>
    <row r="3128" spans="38:53" ht="15" customHeight="1" x14ac:dyDescent="0.25">
      <c r="AL3128" s="31"/>
      <c r="AM3128" s="26"/>
      <c r="AN3128" s="32"/>
      <c r="AO3128" s="32"/>
      <c r="AP3128" s="24"/>
      <c r="AQ3128" s="24"/>
      <c r="AR3128" s="33"/>
      <c r="AS3128" s="34"/>
      <c r="AT3128" s="33"/>
      <c r="AV3128" s="21">
        <f>IF(AND($AL3128&lt;&gt;"",COUNTIF($AL$11:$AL3128,$AL3128)=1),1,0)</f>
        <v>0</v>
      </c>
      <c r="AW3128" s="21">
        <f t="shared" si="183"/>
        <v>2</v>
      </c>
      <c r="AX3128" s="21" t="str">
        <f t="shared" si="182"/>
        <v/>
      </c>
      <c r="AY3128" s="21" t="str">
        <f>IF(AND($AM3128&lt;&gt;"",$AS3128&lt;&gt;"✓"),SUMPRODUCT(($AM$11:$AM3128&lt;&gt;"")*($AS$11:$AS3128&lt;&gt;"✓")),"")</f>
        <v/>
      </c>
      <c r="AZ3128" s="21" t="str">
        <f>IF(AND($AM3128&lt;&gt;"",$AS3128="✓"),SUMPRODUCT(($AM$11:$AM3128&lt;&gt;"")*($AS$11:$AS3128="✓")),"")</f>
        <v/>
      </c>
      <c r="BA3128" s="21" t="str">
        <f>IF($AL3128="","",$AL3128&amp;"|"&amp;COUNTIF($AL$11:$AL3128,$AL3128))</f>
        <v/>
      </c>
    </row>
    <row r="3129" spans="38:53" ht="15" customHeight="1" x14ac:dyDescent="0.25">
      <c r="AL3129" s="17"/>
      <c r="AM3129" s="12"/>
      <c r="AN3129" s="18"/>
      <c r="AO3129" s="18"/>
      <c r="AP3129" s="10"/>
      <c r="AQ3129" s="10"/>
      <c r="AR3129" s="19"/>
      <c r="AS3129" s="20"/>
      <c r="AT3129" s="19"/>
      <c r="AV3129" s="21">
        <f>IF(AND($AL3129&lt;&gt;"",COUNTIF($AL$11:$AL3129,$AL3129)=1),1,0)</f>
        <v>0</v>
      </c>
      <c r="AW3129" s="21">
        <f t="shared" si="183"/>
        <v>2</v>
      </c>
      <c r="AX3129" s="21" t="str">
        <f t="shared" si="182"/>
        <v/>
      </c>
      <c r="AY3129" s="21" t="str">
        <f>IF(AND($AM3129&lt;&gt;"",$AS3129&lt;&gt;"✓"),SUMPRODUCT(($AM$11:$AM3129&lt;&gt;"")*($AS$11:$AS3129&lt;&gt;"✓")),"")</f>
        <v/>
      </c>
      <c r="AZ3129" s="21" t="str">
        <f>IF(AND($AM3129&lt;&gt;"",$AS3129="✓"),SUMPRODUCT(($AM$11:$AM3129&lt;&gt;"")*($AS$11:$AS3129="✓")),"")</f>
        <v/>
      </c>
      <c r="BA3129" s="21" t="str">
        <f>IF($AL3129="","",$AL3129&amp;"|"&amp;COUNTIF($AL$11:$AL3129,$AL3129))</f>
        <v/>
      </c>
    </row>
    <row r="3130" spans="38:53" ht="15" customHeight="1" x14ac:dyDescent="0.25">
      <c r="AL3130" s="31"/>
      <c r="AM3130" s="26"/>
      <c r="AN3130" s="32"/>
      <c r="AO3130" s="32"/>
      <c r="AP3130" s="24"/>
      <c r="AQ3130" s="24"/>
      <c r="AR3130" s="33"/>
      <c r="AS3130" s="34"/>
      <c r="AT3130" s="33"/>
      <c r="AV3130" s="21">
        <f>IF(AND($AL3130&lt;&gt;"",COUNTIF($AL$11:$AL3130,$AL3130)=1),1,0)</f>
        <v>0</v>
      </c>
      <c r="AW3130" s="21">
        <f t="shared" si="183"/>
        <v>2</v>
      </c>
      <c r="AX3130" s="21" t="str">
        <f t="shared" si="182"/>
        <v/>
      </c>
      <c r="AY3130" s="21" t="str">
        <f>IF(AND($AM3130&lt;&gt;"",$AS3130&lt;&gt;"✓"),SUMPRODUCT(($AM$11:$AM3130&lt;&gt;"")*($AS$11:$AS3130&lt;&gt;"✓")),"")</f>
        <v/>
      </c>
      <c r="AZ3130" s="21" t="str">
        <f>IF(AND($AM3130&lt;&gt;"",$AS3130="✓"),SUMPRODUCT(($AM$11:$AM3130&lt;&gt;"")*($AS$11:$AS3130="✓")),"")</f>
        <v/>
      </c>
      <c r="BA3130" s="21" t="str">
        <f>IF($AL3130="","",$AL3130&amp;"|"&amp;COUNTIF($AL$11:$AL3130,$AL3130))</f>
        <v/>
      </c>
    </row>
    <row r="3131" spans="38:53" ht="15" customHeight="1" x14ac:dyDescent="0.25">
      <c r="AL3131" s="17"/>
      <c r="AM3131" s="12"/>
      <c r="AN3131" s="18"/>
      <c r="AO3131" s="18"/>
      <c r="AP3131" s="10"/>
      <c r="AQ3131" s="10"/>
      <c r="AR3131" s="19"/>
      <c r="AS3131" s="20"/>
      <c r="AT3131" s="19"/>
      <c r="AV3131" s="21">
        <f>IF(AND($AL3131&lt;&gt;"",COUNTIF($AL$11:$AL3131,$AL3131)=1),1,0)</f>
        <v>0</v>
      </c>
      <c r="AW3131" s="21">
        <f t="shared" si="183"/>
        <v>2</v>
      </c>
      <c r="AX3131" s="21" t="str">
        <f t="shared" si="182"/>
        <v/>
      </c>
      <c r="AY3131" s="21" t="str">
        <f>IF(AND($AM3131&lt;&gt;"",$AS3131&lt;&gt;"✓"),SUMPRODUCT(($AM$11:$AM3131&lt;&gt;"")*($AS$11:$AS3131&lt;&gt;"✓")),"")</f>
        <v/>
      </c>
      <c r="AZ3131" s="21" t="str">
        <f>IF(AND($AM3131&lt;&gt;"",$AS3131="✓"),SUMPRODUCT(($AM$11:$AM3131&lt;&gt;"")*($AS$11:$AS3131="✓")),"")</f>
        <v/>
      </c>
      <c r="BA3131" s="21" t="str">
        <f>IF($AL3131="","",$AL3131&amp;"|"&amp;COUNTIF($AL$11:$AL3131,$AL3131))</f>
        <v/>
      </c>
    </row>
    <row r="3132" spans="38:53" ht="15" customHeight="1" x14ac:dyDescent="0.25">
      <c r="AL3132" s="31"/>
      <c r="AM3132" s="26"/>
      <c r="AN3132" s="32"/>
      <c r="AO3132" s="32"/>
      <c r="AP3132" s="24"/>
      <c r="AQ3132" s="24"/>
      <c r="AR3132" s="33"/>
      <c r="AS3132" s="34"/>
      <c r="AT3132" s="33"/>
      <c r="AV3132" s="21">
        <f>IF(AND($AL3132&lt;&gt;"",COUNTIF($AL$11:$AL3132,$AL3132)=1),1,0)</f>
        <v>0</v>
      </c>
      <c r="AW3132" s="21">
        <f t="shared" si="183"/>
        <v>2</v>
      </c>
      <c r="AX3132" s="21" t="str">
        <f t="shared" si="182"/>
        <v/>
      </c>
      <c r="AY3132" s="21" t="str">
        <f>IF(AND($AM3132&lt;&gt;"",$AS3132&lt;&gt;"✓"),SUMPRODUCT(($AM$11:$AM3132&lt;&gt;"")*($AS$11:$AS3132&lt;&gt;"✓")),"")</f>
        <v/>
      </c>
      <c r="AZ3132" s="21" t="str">
        <f>IF(AND($AM3132&lt;&gt;"",$AS3132="✓"),SUMPRODUCT(($AM$11:$AM3132&lt;&gt;"")*($AS$11:$AS3132="✓")),"")</f>
        <v/>
      </c>
      <c r="BA3132" s="21" t="str">
        <f>IF($AL3132="","",$AL3132&amp;"|"&amp;COUNTIF($AL$11:$AL3132,$AL3132))</f>
        <v/>
      </c>
    </row>
    <row r="3133" spans="38:53" ht="15" customHeight="1" x14ac:dyDescent="0.25">
      <c r="AL3133" s="17"/>
      <c r="AM3133" s="12"/>
      <c r="AN3133" s="18"/>
      <c r="AO3133" s="18"/>
      <c r="AP3133" s="10"/>
      <c r="AQ3133" s="10"/>
      <c r="AR3133" s="19"/>
      <c r="AS3133" s="20"/>
      <c r="AT3133" s="19"/>
      <c r="AV3133" s="21">
        <f>IF(AND($AL3133&lt;&gt;"",COUNTIF($AL$11:$AL3133,$AL3133)=1),1,0)</f>
        <v>0</v>
      </c>
      <c r="AW3133" s="21">
        <f t="shared" si="183"/>
        <v>2</v>
      </c>
      <c r="AX3133" s="21" t="str">
        <f t="shared" si="182"/>
        <v/>
      </c>
      <c r="AY3133" s="21" t="str">
        <f>IF(AND($AM3133&lt;&gt;"",$AS3133&lt;&gt;"✓"),SUMPRODUCT(($AM$11:$AM3133&lt;&gt;"")*($AS$11:$AS3133&lt;&gt;"✓")),"")</f>
        <v/>
      </c>
      <c r="AZ3133" s="21" t="str">
        <f>IF(AND($AM3133&lt;&gt;"",$AS3133="✓"),SUMPRODUCT(($AM$11:$AM3133&lt;&gt;"")*($AS$11:$AS3133="✓")),"")</f>
        <v/>
      </c>
      <c r="BA3133" s="21" t="str">
        <f>IF($AL3133="","",$AL3133&amp;"|"&amp;COUNTIF($AL$11:$AL3133,$AL3133))</f>
        <v/>
      </c>
    </row>
    <row r="3134" spans="38:53" ht="15" customHeight="1" x14ac:dyDescent="0.25">
      <c r="AL3134" s="31"/>
      <c r="AM3134" s="26"/>
      <c r="AN3134" s="32"/>
      <c r="AO3134" s="32"/>
      <c r="AP3134" s="24"/>
      <c r="AQ3134" s="24"/>
      <c r="AR3134" s="33"/>
      <c r="AS3134" s="34"/>
      <c r="AT3134" s="33"/>
      <c r="AV3134" s="21">
        <f>IF(AND($AL3134&lt;&gt;"",COUNTIF($AL$11:$AL3134,$AL3134)=1),1,0)</f>
        <v>0</v>
      </c>
      <c r="AW3134" s="21">
        <f t="shared" si="183"/>
        <v>2</v>
      </c>
      <c r="AX3134" s="21" t="str">
        <f t="shared" si="182"/>
        <v/>
      </c>
      <c r="AY3134" s="21" t="str">
        <f>IF(AND($AM3134&lt;&gt;"",$AS3134&lt;&gt;"✓"),SUMPRODUCT(($AM$11:$AM3134&lt;&gt;"")*($AS$11:$AS3134&lt;&gt;"✓")),"")</f>
        <v/>
      </c>
      <c r="AZ3134" s="21" t="str">
        <f>IF(AND($AM3134&lt;&gt;"",$AS3134="✓"),SUMPRODUCT(($AM$11:$AM3134&lt;&gt;"")*($AS$11:$AS3134="✓")),"")</f>
        <v/>
      </c>
      <c r="BA3134" s="21" t="str">
        <f>IF($AL3134="","",$AL3134&amp;"|"&amp;COUNTIF($AL$11:$AL3134,$AL3134))</f>
        <v/>
      </c>
    </row>
    <row r="3135" spans="38:53" ht="15" customHeight="1" x14ac:dyDescent="0.25">
      <c r="AL3135" s="17"/>
      <c r="AM3135" s="12"/>
      <c r="AN3135" s="18"/>
      <c r="AO3135" s="18"/>
      <c r="AP3135" s="10"/>
      <c r="AQ3135" s="10"/>
      <c r="AR3135" s="19"/>
      <c r="AS3135" s="20"/>
      <c r="AT3135" s="19"/>
      <c r="AV3135" s="21">
        <f>IF(AND($AL3135&lt;&gt;"",COUNTIF($AL$11:$AL3135,$AL3135)=1),1,0)</f>
        <v>0</v>
      </c>
      <c r="AW3135" s="21">
        <f t="shared" si="183"/>
        <v>2</v>
      </c>
      <c r="AX3135" s="21" t="str">
        <f t="shared" si="182"/>
        <v/>
      </c>
      <c r="AY3135" s="21" t="str">
        <f>IF(AND($AM3135&lt;&gt;"",$AS3135&lt;&gt;"✓"),SUMPRODUCT(($AM$11:$AM3135&lt;&gt;"")*($AS$11:$AS3135&lt;&gt;"✓")),"")</f>
        <v/>
      </c>
      <c r="AZ3135" s="21" t="str">
        <f>IF(AND($AM3135&lt;&gt;"",$AS3135="✓"),SUMPRODUCT(($AM$11:$AM3135&lt;&gt;"")*($AS$11:$AS3135="✓")),"")</f>
        <v/>
      </c>
      <c r="BA3135" s="21" t="str">
        <f>IF($AL3135="","",$AL3135&amp;"|"&amp;COUNTIF($AL$11:$AL3135,$AL3135))</f>
        <v/>
      </c>
    </row>
    <row r="3136" spans="38:53" ht="15" customHeight="1" x14ac:dyDescent="0.25">
      <c r="AL3136" s="31"/>
      <c r="AM3136" s="26"/>
      <c r="AN3136" s="32"/>
      <c r="AO3136" s="32"/>
      <c r="AP3136" s="24"/>
      <c r="AQ3136" s="24"/>
      <c r="AR3136" s="33"/>
      <c r="AS3136" s="34"/>
      <c r="AT3136" s="33"/>
      <c r="AV3136" s="21">
        <f>IF(AND($AL3136&lt;&gt;"",COUNTIF($AL$11:$AL3136,$AL3136)=1),1,0)</f>
        <v>0</v>
      </c>
      <c r="AW3136" s="21">
        <f t="shared" si="183"/>
        <v>2</v>
      </c>
      <c r="AX3136" s="21" t="str">
        <f t="shared" si="182"/>
        <v/>
      </c>
      <c r="AY3136" s="21" t="str">
        <f>IF(AND($AM3136&lt;&gt;"",$AS3136&lt;&gt;"✓"),SUMPRODUCT(($AM$11:$AM3136&lt;&gt;"")*($AS$11:$AS3136&lt;&gt;"✓")),"")</f>
        <v/>
      </c>
      <c r="AZ3136" s="21" t="str">
        <f>IF(AND($AM3136&lt;&gt;"",$AS3136="✓"),SUMPRODUCT(($AM$11:$AM3136&lt;&gt;"")*($AS$11:$AS3136="✓")),"")</f>
        <v/>
      </c>
      <c r="BA3136" s="21" t="str">
        <f>IF($AL3136="","",$AL3136&amp;"|"&amp;COUNTIF($AL$11:$AL3136,$AL3136))</f>
        <v/>
      </c>
    </row>
    <row r="3137" spans="38:53" ht="15" customHeight="1" x14ac:dyDescent="0.25">
      <c r="AL3137" s="17"/>
      <c r="AM3137" s="12"/>
      <c r="AN3137" s="18"/>
      <c r="AO3137" s="18"/>
      <c r="AP3137" s="10"/>
      <c r="AQ3137" s="10"/>
      <c r="AR3137" s="19"/>
      <c r="AS3137" s="20"/>
      <c r="AT3137" s="19"/>
      <c r="AV3137" s="21">
        <f>IF(AND($AL3137&lt;&gt;"",COUNTIF($AL$11:$AL3137,$AL3137)=1),1,0)</f>
        <v>0</v>
      </c>
      <c r="AW3137" s="21">
        <f t="shared" si="183"/>
        <v>2</v>
      </c>
      <c r="AX3137" s="21" t="str">
        <f t="shared" si="182"/>
        <v/>
      </c>
      <c r="AY3137" s="21" t="str">
        <f>IF(AND($AM3137&lt;&gt;"",$AS3137&lt;&gt;"✓"),SUMPRODUCT(($AM$11:$AM3137&lt;&gt;"")*($AS$11:$AS3137&lt;&gt;"✓")),"")</f>
        <v/>
      </c>
      <c r="AZ3137" s="21" t="str">
        <f>IF(AND($AM3137&lt;&gt;"",$AS3137="✓"),SUMPRODUCT(($AM$11:$AM3137&lt;&gt;"")*($AS$11:$AS3137="✓")),"")</f>
        <v/>
      </c>
      <c r="BA3137" s="21" t="str">
        <f>IF($AL3137="","",$AL3137&amp;"|"&amp;COUNTIF($AL$11:$AL3137,$AL3137))</f>
        <v/>
      </c>
    </row>
    <row r="3138" spans="38:53" ht="15" customHeight="1" x14ac:dyDescent="0.25">
      <c r="AL3138" s="31"/>
      <c r="AM3138" s="26"/>
      <c r="AN3138" s="32"/>
      <c r="AO3138" s="32"/>
      <c r="AP3138" s="24"/>
      <c r="AQ3138" s="24"/>
      <c r="AR3138" s="33"/>
      <c r="AS3138" s="34"/>
      <c r="AT3138" s="33"/>
      <c r="AV3138" s="21">
        <f>IF(AND($AL3138&lt;&gt;"",COUNTIF($AL$11:$AL3138,$AL3138)=1),1,0)</f>
        <v>0</v>
      </c>
      <c r="AW3138" s="21">
        <f t="shared" si="183"/>
        <v>2</v>
      </c>
      <c r="AX3138" s="21" t="str">
        <f t="shared" si="182"/>
        <v/>
      </c>
      <c r="AY3138" s="21" t="str">
        <f>IF(AND($AM3138&lt;&gt;"",$AS3138&lt;&gt;"✓"),SUMPRODUCT(($AM$11:$AM3138&lt;&gt;"")*($AS$11:$AS3138&lt;&gt;"✓")),"")</f>
        <v/>
      </c>
      <c r="AZ3138" s="21" t="str">
        <f>IF(AND($AM3138&lt;&gt;"",$AS3138="✓"),SUMPRODUCT(($AM$11:$AM3138&lt;&gt;"")*($AS$11:$AS3138="✓")),"")</f>
        <v/>
      </c>
      <c r="BA3138" s="21" t="str">
        <f>IF($AL3138="","",$AL3138&amp;"|"&amp;COUNTIF($AL$11:$AL3138,$AL3138))</f>
        <v/>
      </c>
    </row>
    <row r="3139" spans="38:53" ht="15" customHeight="1" x14ac:dyDescent="0.25">
      <c r="AL3139" s="17"/>
      <c r="AM3139" s="12"/>
      <c r="AN3139" s="18"/>
      <c r="AO3139" s="18"/>
      <c r="AP3139" s="10"/>
      <c r="AQ3139" s="10"/>
      <c r="AR3139" s="19"/>
      <c r="AS3139" s="20"/>
      <c r="AT3139" s="19"/>
      <c r="AV3139" s="21">
        <f>IF(AND($AL3139&lt;&gt;"",COUNTIF($AL$11:$AL3139,$AL3139)=1),1,0)</f>
        <v>0</v>
      </c>
      <c r="AW3139" s="21">
        <f t="shared" si="183"/>
        <v>2</v>
      </c>
      <c r="AX3139" s="21" t="str">
        <f t="shared" si="182"/>
        <v/>
      </c>
      <c r="AY3139" s="21" t="str">
        <f>IF(AND($AM3139&lt;&gt;"",$AS3139&lt;&gt;"✓"),SUMPRODUCT(($AM$11:$AM3139&lt;&gt;"")*($AS$11:$AS3139&lt;&gt;"✓")),"")</f>
        <v/>
      </c>
      <c r="AZ3139" s="21" t="str">
        <f>IF(AND($AM3139&lt;&gt;"",$AS3139="✓"),SUMPRODUCT(($AM$11:$AM3139&lt;&gt;"")*($AS$11:$AS3139="✓")),"")</f>
        <v/>
      </c>
      <c r="BA3139" s="21" t="str">
        <f>IF($AL3139="","",$AL3139&amp;"|"&amp;COUNTIF($AL$11:$AL3139,$AL3139))</f>
        <v/>
      </c>
    </row>
    <row r="3140" spans="38:53" ht="15" customHeight="1" x14ac:dyDescent="0.25">
      <c r="AL3140" s="31"/>
      <c r="AM3140" s="26"/>
      <c r="AN3140" s="32"/>
      <c r="AO3140" s="32"/>
      <c r="AP3140" s="24"/>
      <c r="AQ3140" s="24"/>
      <c r="AR3140" s="33"/>
      <c r="AS3140" s="34"/>
      <c r="AT3140" s="33"/>
      <c r="AV3140" s="21">
        <f>IF(AND($AL3140&lt;&gt;"",COUNTIF($AL$11:$AL3140,$AL3140)=1),1,0)</f>
        <v>0</v>
      </c>
      <c r="AW3140" s="21">
        <f t="shared" si="183"/>
        <v>2</v>
      </c>
      <c r="AX3140" s="21" t="str">
        <f t="shared" si="182"/>
        <v/>
      </c>
      <c r="AY3140" s="21" t="str">
        <f>IF(AND($AM3140&lt;&gt;"",$AS3140&lt;&gt;"✓"),SUMPRODUCT(($AM$11:$AM3140&lt;&gt;"")*($AS$11:$AS3140&lt;&gt;"✓")),"")</f>
        <v/>
      </c>
      <c r="AZ3140" s="21" t="str">
        <f>IF(AND($AM3140&lt;&gt;"",$AS3140="✓"),SUMPRODUCT(($AM$11:$AM3140&lt;&gt;"")*($AS$11:$AS3140="✓")),"")</f>
        <v/>
      </c>
      <c r="BA3140" s="21" t="str">
        <f>IF($AL3140="","",$AL3140&amp;"|"&amp;COUNTIF($AL$11:$AL3140,$AL3140))</f>
        <v/>
      </c>
    </row>
    <row r="3141" spans="38:53" ht="15" customHeight="1" x14ac:dyDescent="0.25">
      <c r="AL3141" s="17"/>
      <c r="AM3141" s="12"/>
      <c r="AN3141" s="18"/>
      <c r="AO3141" s="18"/>
      <c r="AP3141" s="10"/>
      <c r="AQ3141" s="10"/>
      <c r="AR3141" s="19"/>
      <c r="AS3141" s="20"/>
      <c r="AT3141" s="19"/>
      <c r="AV3141" s="21">
        <f>IF(AND($AL3141&lt;&gt;"",COUNTIF($AL$11:$AL3141,$AL3141)=1),1,0)</f>
        <v>0</v>
      </c>
      <c r="AW3141" s="21">
        <f t="shared" si="183"/>
        <v>2</v>
      </c>
      <c r="AX3141" s="21" t="str">
        <f t="shared" si="182"/>
        <v/>
      </c>
      <c r="AY3141" s="21" t="str">
        <f>IF(AND($AM3141&lt;&gt;"",$AS3141&lt;&gt;"✓"),SUMPRODUCT(($AM$11:$AM3141&lt;&gt;"")*($AS$11:$AS3141&lt;&gt;"✓")),"")</f>
        <v/>
      </c>
      <c r="AZ3141" s="21" t="str">
        <f>IF(AND($AM3141&lt;&gt;"",$AS3141="✓"),SUMPRODUCT(($AM$11:$AM3141&lt;&gt;"")*($AS$11:$AS3141="✓")),"")</f>
        <v/>
      </c>
      <c r="BA3141" s="21" t="str">
        <f>IF($AL3141="","",$AL3141&amp;"|"&amp;COUNTIF($AL$11:$AL3141,$AL3141))</f>
        <v/>
      </c>
    </row>
    <row r="3142" spans="38:53" ht="15" customHeight="1" x14ac:dyDescent="0.25">
      <c r="AL3142" s="31"/>
      <c r="AM3142" s="26"/>
      <c r="AN3142" s="32"/>
      <c r="AO3142" s="32"/>
      <c r="AP3142" s="24"/>
      <c r="AQ3142" s="24"/>
      <c r="AR3142" s="33"/>
      <c r="AS3142" s="34"/>
      <c r="AT3142" s="33"/>
      <c r="AV3142" s="21">
        <f>IF(AND($AL3142&lt;&gt;"",COUNTIF($AL$11:$AL3142,$AL3142)=1),1,0)</f>
        <v>0</v>
      </c>
      <c r="AW3142" s="21">
        <f t="shared" si="183"/>
        <v>2</v>
      </c>
      <c r="AX3142" s="21" t="str">
        <f t="shared" si="182"/>
        <v/>
      </c>
      <c r="AY3142" s="21" t="str">
        <f>IF(AND($AM3142&lt;&gt;"",$AS3142&lt;&gt;"✓"),SUMPRODUCT(($AM$11:$AM3142&lt;&gt;"")*($AS$11:$AS3142&lt;&gt;"✓")),"")</f>
        <v/>
      </c>
      <c r="AZ3142" s="21" t="str">
        <f>IF(AND($AM3142&lt;&gt;"",$AS3142="✓"),SUMPRODUCT(($AM$11:$AM3142&lt;&gt;"")*($AS$11:$AS3142="✓")),"")</f>
        <v/>
      </c>
      <c r="BA3142" s="21" t="str">
        <f>IF($AL3142="","",$AL3142&amp;"|"&amp;COUNTIF($AL$11:$AL3142,$AL3142))</f>
        <v/>
      </c>
    </row>
    <row r="3143" spans="38:53" ht="15" customHeight="1" x14ac:dyDescent="0.25">
      <c r="AL3143" s="17"/>
      <c r="AM3143" s="12"/>
      <c r="AN3143" s="18"/>
      <c r="AO3143" s="18"/>
      <c r="AP3143" s="10"/>
      <c r="AQ3143" s="10"/>
      <c r="AR3143" s="19"/>
      <c r="AS3143" s="20"/>
      <c r="AT3143" s="19"/>
      <c r="AV3143" s="21">
        <f>IF(AND($AL3143&lt;&gt;"",COUNTIF($AL$11:$AL3143,$AL3143)=1),1,0)</f>
        <v>0</v>
      </c>
      <c r="AW3143" s="21">
        <f t="shared" si="183"/>
        <v>2</v>
      </c>
      <c r="AX3143" s="21" t="str">
        <f t="shared" si="182"/>
        <v/>
      </c>
      <c r="AY3143" s="21" t="str">
        <f>IF(AND($AM3143&lt;&gt;"",$AS3143&lt;&gt;"✓"),SUMPRODUCT(($AM$11:$AM3143&lt;&gt;"")*($AS$11:$AS3143&lt;&gt;"✓")),"")</f>
        <v/>
      </c>
      <c r="AZ3143" s="21" t="str">
        <f>IF(AND($AM3143&lt;&gt;"",$AS3143="✓"),SUMPRODUCT(($AM$11:$AM3143&lt;&gt;"")*($AS$11:$AS3143="✓")),"")</f>
        <v/>
      </c>
      <c r="BA3143" s="21" t="str">
        <f>IF($AL3143="","",$AL3143&amp;"|"&amp;COUNTIF($AL$11:$AL3143,$AL3143))</f>
        <v/>
      </c>
    </row>
    <row r="3144" spans="38:53" ht="15" customHeight="1" x14ac:dyDescent="0.25">
      <c r="AL3144" s="31"/>
      <c r="AM3144" s="26"/>
      <c r="AN3144" s="32"/>
      <c r="AO3144" s="32"/>
      <c r="AP3144" s="24"/>
      <c r="AQ3144" s="24"/>
      <c r="AR3144" s="33"/>
      <c r="AS3144" s="34"/>
      <c r="AT3144" s="33"/>
      <c r="AV3144" s="21">
        <f>IF(AND($AL3144&lt;&gt;"",COUNTIF($AL$11:$AL3144,$AL3144)=1),1,0)</f>
        <v>0</v>
      </c>
      <c r="AW3144" s="21">
        <f t="shared" si="183"/>
        <v>2</v>
      </c>
      <c r="AX3144" s="21" t="str">
        <f t="shared" si="182"/>
        <v/>
      </c>
      <c r="AY3144" s="21" t="str">
        <f>IF(AND($AM3144&lt;&gt;"",$AS3144&lt;&gt;"✓"),SUMPRODUCT(($AM$11:$AM3144&lt;&gt;"")*($AS$11:$AS3144&lt;&gt;"✓")),"")</f>
        <v/>
      </c>
      <c r="AZ3144" s="21" t="str">
        <f>IF(AND($AM3144&lt;&gt;"",$AS3144="✓"),SUMPRODUCT(($AM$11:$AM3144&lt;&gt;"")*($AS$11:$AS3144="✓")),"")</f>
        <v/>
      </c>
      <c r="BA3144" s="21" t="str">
        <f>IF($AL3144="","",$AL3144&amp;"|"&amp;COUNTIF($AL$11:$AL3144,$AL3144))</f>
        <v/>
      </c>
    </row>
    <row r="3145" spans="38:53" ht="15" customHeight="1" x14ac:dyDescent="0.25">
      <c r="AL3145" s="17"/>
      <c r="AM3145" s="12"/>
      <c r="AN3145" s="18"/>
      <c r="AO3145" s="18"/>
      <c r="AP3145" s="10"/>
      <c r="AQ3145" s="10"/>
      <c r="AR3145" s="19"/>
      <c r="AS3145" s="20"/>
      <c r="AT3145" s="19"/>
      <c r="AV3145" s="21">
        <f>IF(AND($AL3145&lt;&gt;"",COUNTIF($AL$11:$AL3145,$AL3145)=1),1,0)</f>
        <v>0</v>
      </c>
      <c r="AW3145" s="21">
        <f t="shared" si="183"/>
        <v>2</v>
      </c>
      <c r="AX3145" s="21" t="str">
        <f t="shared" si="182"/>
        <v/>
      </c>
      <c r="AY3145" s="21" t="str">
        <f>IF(AND($AM3145&lt;&gt;"",$AS3145&lt;&gt;"✓"),SUMPRODUCT(($AM$11:$AM3145&lt;&gt;"")*($AS$11:$AS3145&lt;&gt;"✓")),"")</f>
        <v/>
      </c>
      <c r="AZ3145" s="21" t="str">
        <f>IF(AND($AM3145&lt;&gt;"",$AS3145="✓"),SUMPRODUCT(($AM$11:$AM3145&lt;&gt;"")*($AS$11:$AS3145="✓")),"")</f>
        <v/>
      </c>
      <c r="BA3145" s="21" t="str">
        <f>IF($AL3145="","",$AL3145&amp;"|"&amp;COUNTIF($AL$11:$AL3145,$AL3145))</f>
        <v/>
      </c>
    </row>
    <row r="3146" spans="38:53" ht="15" customHeight="1" x14ac:dyDescent="0.25">
      <c r="AL3146" s="31"/>
      <c r="AM3146" s="26"/>
      <c r="AN3146" s="32"/>
      <c r="AO3146" s="32"/>
      <c r="AP3146" s="24"/>
      <c r="AQ3146" s="24"/>
      <c r="AR3146" s="33"/>
      <c r="AS3146" s="34"/>
      <c r="AT3146" s="33"/>
      <c r="AV3146" s="21">
        <f>IF(AND($AL3146&lt;&gt;"",COUNTIF($AL$11:$AL3146,$AL3146)=1),1,0)</f>
        <v>0</v>
      </c>
      <c r="AW3146" s="21">
        <f t="shared" si="183"/>
        <v>2</v>
      </c>
      <c r="AX3146" s="21" t="str">
        <f t="shared" si="182"/>
        <v/>
      </c>
      <c r="AY3146" s="21" t="str">
        <f>IF(AND($AM3146&lt;&gt;"",$AS3146&lt;&gt;"✓"),SUMPRODUCT(($AM$11:$AM3146&lt;&gt;"")*($AS$11:$AS3146&lt;&gt;"✓")),"")</f>
        <v/>
      </c>
      <c r="AZ3146" s="21" t="str">
        <f>IF(AND($AM3146&lt;&gt;"",$AS3146="✓"),SUMPRODUCT(($AM$11:$AM3146&lt;&gt;"")*($AS$11:$AS3146="✓")),"")</f>
        <v/>
      </c>
      <c r="BA3146" s="21" t="str">
        <f>IF($AL3146="","",$AL3146&amp;"|"&amp;COUNTIF($AL$11:$AL3146,$AL3146))</f>
        <v/>
      </c>
    </row>
    <row r="3147" spans="38:53" ht="15" customHeight="1" x14ac:dyDescent="0.25">
      <c r="AL3147" s="17"/>
      <c r="AM3147" s="12"/>
      <c r="AN3147" s="18"/>
      <c r="AO3147" s="18"/>
      <c r="AP3147" s="10"/>
      <c r="AQ3147" s="10"/>
      <c r="AR3147" s="19"/>
      <c r="AS3147" s="20"/>
      <c r="AT3147" s="19"/>
      <c r="AV3147" s="21">
        <f>IF(AND($AL3147&lt;&gt;"",COUNTIF($AL$11:$AL3147,$AL3147)=1),1,0)</f>
        <v>0</v>
      </c>
      <c r="AW3147" s="21">
        <f t="shared" si="183"/>
        <v>2</v>
      </c>
      <c r="AX3147" s="21" t="str">
        <f t="shared" ref="AX3147:AX3210" si="184">IF(AV3147=1,AW3147,"")</f>
        <v/>
      </c>
      <c r="AY3147" s="21" t="str">
        <f>IF(AND($AM3147&lt;&gt;"",$AS3147&lt;&gt;"✓"),SUMPRODUCT(($AM$11:$AM3147&lt;&gt;"")*($AS$11:$AS3147&lt;&gt;"✓")),"")</f>
        <v/>
      </c>
      <c r="AZ3147" s="21" t="str">
        <f>IF(AND($AM3147&lt;&gt;"",$AS3147="✓"),SUMPRODUCT(($AM$11:$AM3147&lt;&gt;"")*($AS$11:$AS3147="✓")),"")</f>
        <v/>
      </c>
      <c r="BA3147" s="21" t="str">
        <f>IF($AL3147="","",$AL3147&amp;"|"&amp;COUNTIF($AL$11:$AL3147,$AL3147))</f>
        <v/>
      </c>
    </row>
    <row r="3148" spans="38:53" ht="15" customHeight="1" x14ac:dyDescent="0.25">
      <c r="AL3148" s="31"/>
      <c r="AM3148" s="26"/>
      <c r="AN3148" s="32"/>
      <c r="AO3148" s="32"/>
      <c r="AP3148" s="24"/>
      <c r="AQ3148" s="24"/>
      <c r="AR3148" s="33"/>
      <c r="AS3148" s="34"/>
      <c r="AT3148" s="33"/>
      <c r="AV3148" s="21">
        <f>IF(AND($AL3148&lt;&gt;"",COUNTIF($AL$11:$AL3148,$AL3148)=1),1,0)</f>
        <v>0</v>
      </c>
      <c r="AW3148" s="21">
        <f t="shared" ref="AW3148:AW3211" si="185">AW3147+AV3148</f>
        <v>2</v>
      </c>
      <c r="AX3148" s="21" t="str">
        <f t="shared" si="184"/>
        <v/>
      </c>
      <c r="AY3148" s="21" t="str">
        <f>IF(AND($AM3148&lt;&gt;"",$AS3148&lt;&gt;"✓"),SUMPRODUCT(($AM$11:$AM3148&lt;&gt;"")*($AS$11:$AS3148&lt;&gt;"✓")),"")</f>
        <v/>
      </c>
      <c r="AZ3148" s="21" t="str">
        <f>IF(AND($AM3148&lt;&gt;"",$AS3148="✓"),SUMPRODUCT(($AM$11:$AM3148&lt;&gt;"")*($AS$11:$AS3148="✓")),"")</f>
        <v/>
      </c>
      <c r="BA3148" s="21" t="str">
        <f>IF($AL3148="","",$AL3148&amp;"|"&amp;COUNTIF($AL$11:$AL3148,$AL3148))</f>
        <v/>
      </c>
    </row>
    <row r="3149" spans="38:53" ht="15" customHeight="1" x14ac:dyDescent="0.25">
      <c r="AL3149" s="17"/>
      <c r="AM3149" s="12"/>
      <c r="AN3149" s="18"/>
      <c r="AO3149" s="18"/>
      <c r="AP3149" s="10"/>
      <c r="AQ3149" s="10"/>
      <c r="AR3149" s="19"/>
      <c r="AS3149" s="20"/>
      <c r="AT3149" s="19"/>
      <c r="AV3149" s="21">
        <f>IF(AND($AL3149&lt;&gt;"",COUNTIF($AL$11:$AL3149,$AL3149)=1),1,0)</f>
        <v>0</v>
      </c>
      <c r="AW3149" s="21">
        <f t="shared" si="185"/>
        <v>2</v>
      </c>
      <c r="AX3149" s="21" t="str">
        <f t="shared" si="184"/>
        <v/>
      </c>
      <c r="AY3149" s="21" t="str">
        <f>IF(AND($AM3149&lt;&gt;"",$AS3149&lt;&gt;"✓"),SUMPRODUCT(($AM$11:$AM3149&lt;&gt;"")*($AS$11:$AS3149&lt;&gt;"✓")),"")</f>
        <v/>
      </c>
      <c r="AZ3149" s="21" t="str">
        <f>IF(AND($AM3149&lt;&gt;"",$AS3149="✓"),SUMPRODUCT(($AM$11:$AM3149&lt;&gt;"")*($AS$11:$AS3149="✓")),"")</f>
        <v/>
      </c>
      <c r="BA3149" s="21" t="str">
        <f>IF($AL3149="","",$AL3149&amp;"|"&amp;COUNTIF($AL$11:$AL3149,$AL3149))</f>
        <v/>
      </c>
    </row>
    <row r="3150" spans="38:53" ht="15" customHeight="1" x14ac:dyDescent="0.25">
      <c r="AL3150" s="31"/>
      <c r="AM3150" s="26"/>
      <c r="AN3150" s="32"/>
      <c r="AO3150" s="32"/>
      <c r="AP3150" s="24"/>
      <c r="AQ3150" s="24"/>
      <c r="AR3150" s="33"/>
      <c r="AS3150" s="34"/>
      <c r="AT3150" s="33"/>
      <c r="AV3150" s="21">
        <f>IF(AND($AL3150&lt;&gt;"",COUNTIF($AL$11:$AL3150,$AL3150)=1),1,0)</f>
        <v>0</v>
      </c>
      <c r="AW3150" s="21">
        <f t="shared" si="185"/>
        <v>2</v>
      </c>
      <c r="AX3150" s="21" t="str">
        <f t="shared" si="184"/>
        <v/>
      </c>
      <c r="AY3150" s="21" t="str">
        <f>IF(AND($AM3150&lt;&gt;"",$AS3150&lt;&gt;"✓"),SUMPRODUCT(($AM$11:$AM3150&lt;&gt;"")*($AS$11:$AS3150&lt;&gt;"✓")),"")</f>
        <v/>
      </c>
      <c r="AZ3150" s="21" t="str">
        <f>IF(AND($AM3150&lt;&gt;"",$AS3150="✓"),SUMPRODUCT(($AM$11:$AM3150&lt;&gt;"")*($AS$11:$AS3150="✓")),"")</f>
        <v/>
      </c>
      <c r="BA3150" s="21" t="str">
        <f>IF($AL3150="","",$AL3150&amp;"|"&amp;COUNTIF($AL$11:$AL3150,$AL3150))</f>
        <v/>
      </c>
    </row>
    <row r="3151" spans="38:53" ht="15" customHeight="1" x14ac:dyDescent="0.25">
      <c r="AL3151" s="17"/>
      <c r="AM3151" s="12"/>
      <c r="AN3151" s="18"/>
      <c r="AO3151" s="18"/>
      <c r="AP3151" s="10"/>
      <c r="AQ3151" s="10"/>
      <c r="AR3151" s="19"/>
      <c r="AS3151" s="20"/>
      <c r="AT3151" s="19"/>
      <c r="AV3151" s="21">
        <f>IF(AND($AL3151&lt;&gt;"",COUNTIF($AL$11:$AL3151,$AL3151)=1),1,0)</f>
        <v>0</v>
      </c>
      <c r="AW3151" s="21">
        <f t="shared" si="185"/>
        <v>2</v>
      </c>
      <c r="AX3151" s="21" t="str">
        <f t="shared" si="184"/>
        <v/>
      </c>
      <c r="AY3151" s="21" t="str">
        <f>IF(AND($AM3151&lt;&gt;"",$AS3151&lt;&gt;"✓"),SUMPRODUCT(($AM$11:$AM3151&lt;&gt;"")*($AS$11:$AS3151&lt;&gt;"✓")),"")</f>
        <v/>
      </c>
      <c r="AZ3151" s="21" t="str">
        <f>IF(AND($AM3151&lt;&gt;"",$AS3151="✓"),SUMPRODUCT(($AM$11:$AM3151&lt;&gt;"")*($AS$11:$AS3151="✓")),"")</f>
        <v/>
      </c>
      <c r="BA3151" s="21" t="str">
        <f>IF($AL3151="","",$AL3151&amp;"|"&amp;COUNTIF($AL$11:$AL3151,$AL3151))</f>
        <v/>
      </c>
    </row>
    <row r="3152" spans="38:53" ht="15" customHeight="1" x14ac:dyDescent="0.25">
      <c r="AL3152" s="31"/>
      <c r="AM3152" s="26"/>
      <c r="AN3152" s="32"/>
      <c r="AO3152" s="32"/>
      <c r="AP3152" s="24"/>
      <c r="AQ3152" s="24"/>
      <c r="AR3152" s="33"/>
      <c r="AS3152" s="34"/>
      <c r="AT3152" s="33"/>
      <c r="AV3152" s="21">
        <f>IF(AND($AL3152&lt;&gt;"",COUNTIF($AL$11:$AL3152,$AL3152)=1),1,0)</f>
        <v>0</v>
      </c>
      <c r="AW3152" s="21">
        <f t="shared" si="185"/>
        <v>2</v>
      </c>
      <c r="AX3152" s="21" t="str">
        <f t="shared" si="184"/>
        <v/>
      </c>
      <c r="AY3152" s="21" t="str">
        <f>IF(AND($AM3152&lt;&gt;"",$AS3152&lt;&gt;"✓"),SUMPRODUCT(($AM$11:$AM3152&lt;&gt;"")*($AS$11:$AS3152&lt;&gt;"✓")),"")</f>
        <v/>
      </c>
      <c r="AZ3152" s="21" t="str">
        <f>IF(AND($AM3152&lt;&gt;"",$AS3152="✓"),SUMPRODUCT(($AM$11:$AM3152&lt;&gt;"")*($AS$11:$AS3152="✓")),"")</f>
        <v/>
      </c>
      <c r="BA3152" s="21" t="str">
        <f>IF($AL3152="","",$AL3152&amp;"|"&amp;COUNTIF($AL$11:$AL3152,$AL3152))</f>
        <v/>
      </c>
    </row>
    <row r="3153" spans="38:53" ht="15" customHeight="1" x14ac:dyDescent="0.25">
      <c r="AL3153" s="17"/>
      <c r="AM3153" s="12"/>
      <c r="AN3153" s="18"/>
      <c r="AO3153" s="18"/>
      <c r="AP3153" s="10"/>
      <c r="AQ3153" s="10"/>
      <c r="AR3153" s="19"/>
      <c r="AS3153" s="20"/>
      <c r="AT3153" s="19"/>
      <c r="AV3153" s="21">
        <f>IF(AND($AL3153&lt;&gt;"",COUNTIF($AL$11:$AL3153,$AL3153)=1),1,0)</f>
        <v>0</v>
      </c>
      <c r="AW3153" s="21">
        <f t="shared" si="185"/>
        <v>2</v>
      </c>
      <c r="AX3153" s="21" t="str">
        <f t="shared" si="184"/>
        <v/>
      </c>
      <c r="AY3153" s="21" t="str">
        <f>IF(AND($AM3153&lt;&gt;"",$AS3153&lt;&gt;"✓"),SUMPRODUCT(($AM$11:$AM3153&lt;&gt;"")*($AS$11:$AS3153&lt;&gt;"✓")),"")</f>
        <v/>
      </c>
      <c r="AZ3153" s="21" t="str">
        <f>IF(AND($AM3153&lt;&gt;"",$AS3153="✓"),SUMPRODUCT(($AM$11:$AM3153&lt;&gt;"")*($AS$11:$AS3153="✓")),"")</f>
        <v/>
      </c>
      <c r="BA3153" s="21" t="str">
        <f>IF($AL3153="","",$AL3153&amp;"|"&amp;COUNTIF($AL$11:$AL3153,$AL3153))</f>
        <v/>
      </c>
    </row>
    <row r="3154" spans="38:53" ht="15" customHeight="1" x14ac:dyDescent="0.25">
      <c r="AL3154" s="31"/>
      <c r="AM3154" s="26"/>
      <c r="AN3154" s="32"/>
      <c r="AO3154" s="32"/>
      <c r="AP3154" s="24"/>
      <c r="AQ3154" s="24"/>
      <c r="AR3154" s="33"/>
      <c r="AS3154" s="34"/>
      <c r="AT3154" s="33"/>
      <c r="AV3154" s="21">
        <f>IF(AND($AL3154&lt;&gt;"",COUNTIF($AL$11:$AL3154,$AL3154)=1),1,0)</f>
        <v>0</v>
      </c>
      <c r="AW3154" s="21">
        <f t="shared" si="185"/>
        <v>2</v>
      </c>
      <c r="AX3154" s="21" t="str">
        <f t="shared" si="184"/>
        <v/>
      </c>
      <c r="AY3154" s="21" t="str">
        <f>IF(AND($AM3154&lt;&gt;"",$AS3154&lt;&gt;"✓"),SUMPRODUCT(($AM$11:$AM3154&lt;&gt;"")*($AS$11:$AS3154&lt;&gt;"✓")),"")</f>
        <v/>
      </c>
      <c r="AZ3154" s="21" t="str">
        <f>IF(AND($AM3154&lt;&gt;"",$AS3154="✓"),SUMPRODUCT(($AM$11:$AM3154&lt;&gt;"")*($AS$11:$AS3154="✓")),"")</f>
        <v/>
      </c>
      <c r="BA3154" s="21" t="str">
        <f>IF($AL3154="","",$AL3154&amp;"|"&amp;COUNTIF($AL$11:$AL3154,$AL3154))</f>
        <v/>
      </c>
    </row>
    <row r="3155" spans="38:53" ht="15" customHeight="1" x14ac:dyDescent="0.25">
      <c r="AL3155" s="17"/>
      <c r="AM3155" s="12"/>
      <c r="AN3155" s="18"/>
      <c r="AO3155" s="18"/>
      <c r="AP3155" s="10"/>
      <c r="AQ3155" s="10"/>
      <c r="AR3155" s="19"/>
      <c r="AS3155" s="20"/>
      <c r="AT3155" s="19"/>
      <c r="AV3155" s="21">
        <f>IF(AND($AL3155&lt;&gt;"",COUNTIF($AL$11:$AL3155,$AL3155)=1),1,0)</f>
        <v>0</v>
      </c>
      <c r="AW3155" s="21">
        <f t="shared" si="185"/>
        <v>2</v>
      </c>
      <c r="AX3155" s="21" t="str">
        <f t="shared" si="184"/>
        <v/>
      </c>
      <c r="AY3155" s="21" t="str">
        <f>IF(AND($AM3155&lt;&gt;"",$AS3155&lt;&gt;"✓"),SUMPRODUCT(($AM$11:$AM3155&lt;&gt;"")*($AS$11:$AS3155&lt;&gt;"✓")),"")</f>
        <v/>
      </c>
      <c r="AZ3155" s="21" t="str">
        <f>IF(AND($AM3155&lt;&gt;"",$AS3155="✓"),SUMPRODUCT(($AM$11:$AM3155&lt;&gt;"")*($AS$11:$AS3155="✓")),"")</f>
        <v/>
      </c>
      <c r="BA3155" s="21" t="str">
        <f>IF($AL3155="","",$AL3155&amp;"|"&amp;COUNTIF($AL$11:$AL3155,$AL3155))</f>
        <v/>
      </c>
    </row>
    <row r="3156" spans="38:53" ht="15" customHeight="1" x14ac:dyDescent="0.25">
      <c r="AL3156" s="31"/>
      <c r="AM3156" s="26"/>
      <c r="AN3156" s="32"/>
      <c r="AO3156" s="32"/>
      <c r="AP3156" s="24"/>
      <c r="AQ3156" s="24"/>
      <c r="AR3156" s="33"/>
      <c r="AS3156" s="34"/>
      <c r="AT3156" s="33"/>
      <c r="AV3156" s="21">
        <f>IF(AND($AL3156&lt;&gt;"",COUNTIF($AL$11:$AL3156,$AL3156)=1),1,0)</f>
        <v>0</v>
      </c>
      <c r="AW3156" s="21">
        <f t="shared" si="185"/>
        <v>2</v>
      </c>
      <c r="AX3156" s="21" t="str">
        <f t="shared" si="184"/>
        <v/>
      </c>
      <c r="AY3156" s="21" t="str">
        <f>IF(AND($AM3156&lt;&gt;"",$AS3156&lt;&gt;"✓"),SUMPRODUCT(($AM$11:$AM3156&lt;&gt;"")*($AS$11:$AS3156&lt;&gt;"✓")),"")</f>
        <v/>
      </c>
      <c r="AZ3156" s="21" t="str">
        <f>IF(AND($AM3156&lt;&gt;"",$AS3156="✓"),SUMPRODUCT(($AM$11:$AM3156&lt;&gt;"")*($AS$11:$AS3156="✓")),"")</f>
        <v/>
      </c>
      <c r="BA3156" s="21" t="str">
        <f>IF($AL3156="","",$AL3156&amp;"|"&amp;COUNTIF($AL$11:$AL3156,$AL3156))</f>
        <v/>
      </c>
    </row>
    <row r="3157" spans="38:53" ht="15" customHeight="1" x14ac:dyDescent="0.25">
      <c r="AL3157" s="17"/>
      <c r="AM3157" s="12"/>
      <c r="AN3157" s="18"/>
      <c r="AO3157" s="18"/>
      <c r="AP3157" s="10"/>
      <c r="AQ3157" s="10"/>
      <c r="AR3157" s="19"/>
      <c r="AS3157" s="20"/>
      <c r="AT3157" s="19"/>
      <c r="AV3157" s="21">
        <f>IF(AND($AL3157&lt;&gt;"",COUNTIF($AL$11:$AL3157,$AL3157)=1),1,0)</f>
        <v>0</v>
      </c>
      <c r="AW3157" s="21">
        <f t="shared" si="185"/>
        <v>2</v>
      </c>
      <c r="AX3157" s="21" t="str">
        <f t="shared" si="184"/>
        <v/>
      </c>
      <c r="AY3157" s="21" t="str">
        <f>IF(AND($AM3157&lt;&gt;"",$AS3157&lt;&gt;"✓"),SUMPRODUCT(($AM$11:$AM3157&lt;&gt;"")*($AS$11:$AS3157&lt;&gt;"✓")),"")</f>
        <v/>
      </c>
      <c r="AZ3157" s="21" t="str">
        <f>IF(AND($AM3157&lt;&gt;"",$AS3157="✓"),SUMPRODUCT(($AM$11:$AM3157&lt;&gt;"")*($AS$11:$AS3157="✓")),"")</f>
        <v/>
      </c>
      <c r="BA3157" s="21" t="str">
        <f>IF($AL3157="","",$AL3157&amp;"|"&amp;COUNTIF($AL$11:$AL3157,$AL3157))</f>
        <v/>
      </c>
    </row>
    <row r="3158" spans="38:53" ht="15" customHeight="1" x14ac:dyDescent="0.25">
      <c r="AL3158" s="31"/>
      <c r="AM3158" s="26"/>
      <c r="AN3158" s="32"/>
      <c r="AO3158" s="32"/>
      <c r="AP3158" s="24"/>
      <c r="AQ3158" s="24"/>
      <c r="AR3158" s="33"/>
      <c r="AS3158" s="34"/>
      <c r="AT3158" s="33"/>
      <c r="AV3158" s="21">
        <f>IF(AND($AL3158&lt;&gt;"",COUNTIF($AL$11:$AL3158,$AL3158)=1),1,0)</f>
        <v>0</v>
      </c>
      <c r="AW3158" s="21">
        <f t="shared" si="185"/>
        <v>2</v>
      </c>
      <c r="AX3158" s="21" t="str">
        <f t="shared" si="184"/>
        <v/>
      </c>
      <c r="AY3158" s="21" t="str">
        <f>IF(AND($AM3158&lt;&gt;"",$AS3158&lt;&gt;"✓"),SUMPRODUCT(($AM$11:$AM3158&lt;&gt;"")*($AS$11:$AS3158&lt;&gt;"✓")),"")</f>
        <v/>
      </c>
      <c r="AZ3158" s="21" t="str">
        <f>IF(AND($AM3158&lt;&gt;"",$AS3158="✓"),SUMPRODUCT(($AM$11:$AM3158&lt;&gt;"")*($AS$11:$AS3158="✓")),"")</f>
        <v/>
      </c>
      <c r="BA3158" s="21" t="str">
        <f>IF($AL3158="","",$AL3158&amp;"|"&amp;COUNTIF($AL$11:$AL3158,$AL3158))</f>
        <v/>
      </c>
    </row>
    <row r="3159" spans="38:53" ht="15" customHeight="1" x14ac:dyDescent="0.25">
      <c r="AL3159" s="17"/>
      <c r="AM3159" s="12"/>
      <c r="AN3159" s="18"/>
      <c r="AO3159" s="18"/>
      <c r="AP3159" s="10"/>
      <c r="AQ3159" s="10"/>
      <c r="AR3159" s="19"/>
      <c r="AS3159" s="20"/>
      <c r="AT3159" s="19"/>
      <c r="AV3159" s="21">
        <f>IF(AND($AL3159&lt;&gt;"",COUNTIF($AL$11:$AL3159,$AL3159)=1),1,0)</f>
        <v>0</v>
      </c>
      <c r="AW3159" s="21">
        <f t="shared" si="185"/>
        <v>2</v>
      </c>
      <c r="AX3159" s="21" t="str">
        <f t="shared" si="184"/>
        <v/>
      </c>
      <c r="AY3159" s="21" t="str">
        <f>IF(AND($AM3159&lt;&gt;"",$AS3159&lt;&gt;"✓"),SUMPRODUCT(($AM$11:$AM3159&lt;&gt;"")*($AS$11:$AS3159&lt;&gt;"✓")),"")</f>
        <v/>
      </c>
      <c r="AZ3159" s="21" t="str">
        <f>IF(AND($AM3159&lt;&gt;"",$AS3159="✓"),SUMPRODUCT(($AM$11:$AM3159&lt;&gt;"")*($AS$11:$AS3159="✓")),"")</f>
        <v/>
      </c>
      <c r="BA3159" s="21" t="str">
        <f>IF($AL3159="","",$AL3159&amp;"|"&amp;COUNTIF($AL$11:$AL3159,$AL3159))</f>
        <v/>
      </c>
    </row>
    <row r="3160" spans="38:53" ht="15" customHeight="1" x14ac:dyDescent="0.25">
      <c r="AL3160" s="31"/>
      <c r="AM3160" s="26"/>
      <c r="AN3160" s="32"/>
      <c r="AO3160" s="32"/>
      <c r="AP3160" s="24"/>
      <c r="AQ3160" s="24"/>
      <c r="AR3160" s="33"/>
      <c r="AS3160" s="34"/>
      <c r="AT3160" s="33"/>
      <c r="AV3160" s="21">
        <f>IF(AND($AL3160&lt;&gt;"",COUNTIF($AL$11:$AL3160,$AL3160)=1),1,0)</f>
        <v>0</v>
      </c>
      <c r="AW3160" s="21">
        <f t="shared" si="185"/>
        <v>2</v>
      </c>
      <c r="AX3160" s="21" t="str">
        <f t="shared" si="184"/>
        <v/>
      </c>
      <c r="AY3160" s="21" t="str">
        <f>IF(AND($AM3160&lt;&gt;"",$AS3160&lt;&gt;"✓"),SUMPRODUCT(($AM$11:$AM3160&lt;&gt;"")*($AS$11:$AS3160&lt;&gt;"✓")),"")</f>
        <v/>
      </c>
      <c r="AZ3160" s="21" t="str">
        <f>IF(AND($AM3160&lt;&gt;"",$AS3160="✓"),SUMPRODUCT(($AM$11:$AM3160&lt;&gt;"")*($AS$11:$AS3160="✓")),"")</f>
        <v/>
      </c>
      <c r="BA3160" s="21" t="str">
        <f>IF($AL3160="","",$AL3160&amp;"|"&amp;COUNTIF($AL$11:$AL3160,$AL3160))</f>
        <v/>
      </c>
    </row>
    <row r="3161" spans="38:53" ht="15" customHeight="1" x14ac:dyDescent="0.25">
      <c r="AL3161" s="17"/>
      <c r="AM3161" s="12"/>
      <c r="AN3161" s="18"/>
      <c r="AO3161" s="18"/>
      <c r="AP3161" s="10"/>
      <c r="AQ3161" s="10"/>
      <c r="AR3161" s="19"/>
      <c r="AS3161" s="20"/>
      <c r="AT3161" s="19"/>
      <c r="AV3161" s="21">
        <f>IF(AND($AL3161&lt;&gt;"",COUNTIF($AL$11:$AL3161,$AL3161)=1),1,0)</f>
        <v>0</v>
      </c>
      <c r="AW3161" s="21">
        <f t="shared" si="185"/>
        <v>2</v>
      </c>
      <c r="AX3161" s="21" t="str">
        <f t="shared" si="184"/>
        <v/>
      </c>
      <c r="AY3161" s="21" t="str">
        <f>IF(AND($AM3161&lt;&gt;"",$AS3161&lt;&gt;"✓"),SUMPRODUCT(($AM$11:$AM3161&lt;&gt;"")*($AS$11:$AS3161&lt;&gt;"✓")),"")</f>
        <v/>
      </c>
      <c r="AZ3161" s="21" t="str">
        <f>IF(AND($AM3161&lt;&gt;"",$AS3161="✓"),SUMPRODUCT(($AM$11:$AM3161&lt;&gt;"")*($AS$11:$AS3161="✓")),"")</f>
        <v/>
      </c>
      <c r="BA3161" s="21" t="str">
        <f>IF($AL3161="","",$AL3161&amp;"|"&amp;COUNTIF($AL$11:$AL3161,$AL3161))</f>
        <v/>
      </c>
    </row>
    <row r="3162" spans="38:53" ht="15" customHeight="1" x14ac:dyDescent="0.25">
      <c r="AL3162" s="31"/>
      <c r="AM3162" s="26"/>
      <c r="AN3162" s="32"/>
      <c r="AO3162" s="32"/>
      <c r="AP3162" s="24"/>
      <c r="AQ3162" s="24"/>
      <c r="AR3162" s="33"/>
      <c r="AS3162" s="34"/>
      <c r="AT3162" s="33"/>
      <c r="AV3162" s="21">
        <f>IF(AND($AL3162&lt;&gt;"",COUNTIF($AL$11:$AL3162,$AL3162)=1),1,0)</f>
        <v>0</v>
      </c>
      <c r="AW3162" s="21">
        <f t="shared" si="185"/>
        <v>2</v>
      </c>
      <c r="AX3162" s="21" t="str">
        <f t="shared" si="184"/>
        <v/>
      </c>
      <c r="AY3162" s="21" t="str">
        <f>IF(AND($AM3162&lt;&gt;"",$AS3162&lt;&gt;"✓"),SUMPRODUCT(($AM$11:$AM3162&lt;&gt;"")*($AS$11:$AS3162&lt;&gt;"✓")),"")</f>
        <v/>
      </c>
      <c r="AZ3162" s="21" t="str">
        <f>IF(AND($AM3162&lt;&gt;"",$AS3162="✓"),SUMPRODUCT(($AM$11:$AM3162&lt;&gt;"")*($AS$11:$AS3162="✓")),"")</f>
        <v/>
      </c>
      <c r="BA3162" s="21" t="str">
        <f>IF($AL3162="","",$AL3162&amp;"|"&amp;COUNTIF($AL$11:$AL3162,$AL3162))</f>
        <v/>
      </c>
    </row>
    <row r="3163" spans="38:53" ht="15" customHeight="1" x14ac:dyDescent="0.25">
      <c r="AL3163" s="17"/>
      <c r="AM3163" s="12"/>
      <c r="AN3163" s="18"/>
      <c r="AO3163" s="18"/>
      <c r="AP3163" s="10"/>
      <c r="AQ3163" s="10"/>
      <c r="AR3163" s="19"/>
      <c r="AS3163" s="20"/>
      <c r="AT3163" s="19"/>
      <c r="AV3163" s="21">
        <f>IF(AND($AL3163&lt;&gt;"",COUNTIF($AL$11:$AL3163,$AL3163)=1),1,0)</f>
        <v>0</v>
      </c>
      <c r="AW3163" s="21">
        <f t="shared" si="185"/>
        <v>2</v>
      </c>
      <c r="AX3163" s="21" t="str">
        <f t="shared" si="184"/>
        <v/>
      </c>
      <c r="AY3163" s="21" t="str">
        <f>IF(AND($AM3163&lt;&gt;"",$AS3163&lt;&gt;"✓"),SUMPRODUCT(($AM$11:$AM3163&lt;&gt;"")*($AS$11:$AS3163&lt;&gt;"✓")),"")</f>
        <v/>
      </c>
      <c r="AZ3163" s="21" t="str">
        <f>IF(AND($AM3163&lt;&gt;"",$AS3163="✓"),SUMPRODUCT(($AM$11:$AM3163&lt;&gt;"")*($AS$11:$AS3163="✓")),"")</f>
        <v/>
      </c>
      <c r="BA3163" s="21" t="str">
        <f>IF($AL3163="","",$AL3163&amp;"|"&amp;COUNTIF($AL$11:$AL3163,$AL3163))</f>
        <v/>
      </c>
    </row>
    <row r="3164" spans="38:53" ht="15" customHeight="1" x14ac:dyDescent="0.25">
      <c r="AL3164" s="31"/>
      <c r="AM3164" s="26"/>
      <c r="AN3164" s="32"/>
      <c r="AO3164" s="32"/>
      <c r="AP3164" s="24"/>
      <c r="AQ3164" s="24"/>
      <c r="AR3164" s="33"/>
      <c r="AS3164" s="34"/>
      <c r="AT3164" s="33"/>
      <c r="AV3164" s="21">
        <f>IF(AND($AL3164&lt;&gt;"",COUNTIF($AL$11:$AL3164,$AL3164)=1),1,0)</f>
        <v>0</v>
      </c>
      <c r="AW3164" s="21">
        <f t="shared" si="185"/>
        <v>2</v>
      </c>
      <c r="AX3164" s="21" t="str">
        <f t="shared" si="184"/>
        <v/>
      </c>
      <c r="AY3164" s="21" t="str">
        <f>IF(AND($AM3164&lt;&gt;"",$AS3164&lt;&gt;"✓"),SUMPRODUCT(($AM$11:$AM3164&lt;&gt;"")*($AS$11:$AS3164&lt;&gt;"✓")),"")</f>
        <v/>
      </c>
      <c r="AZ3164" s="21" t="str">
        <f>IF(AND($AM3164&lt;&gt;"",$AS3164="✓"),SUMPRODUCT(($AM$11:$AM3164&lt;&gt;"")*($AS$11:$AS3164="✓")),"")</f>
        <v/>
      </c>
      <c r="BA3164" s="21" t="str">
        <f>IF($AL3164="","",$AL3164&amp;"|"&amp;COUNTIF($AL$11:$AL3164,$AL3164))</f>
        <v/>
      </c>
    </row>
    <row r="3165" spans="38:53" ht="15" customHeight="1" x14ac:dyDescent="0.25">
      <c r="AL3165" s="17"/>
      <c r="AM3165" s="12"/>
      <c r="AN3165" s="18"/>
      <c r="AO3165" s="18"/>
      <c r="AP3165" s="10"/>
      <c r="AQ3165" s="10"/>
      <c r="AR3165" s="19"/>
      <c r="AS3165" s="20"/>
      <c r="AT3165" s="19"/>
      <c r="AV3165" s="21">
        <f>IF(AND($AL3165&lt;&gt;"",COUNTIF($AL$11:$AL3165,$AL3165)=1),1,0)</f>
        <v>0</v>
      </c>
      <c r="AW3165" s="21">
        <f t="shared" si="185"/>
        <v>2</v>
      </c>
      <c r="AX3165" s="21" t="str">
        <f t="shared" si="184"/>
        <v/>
      </c>
      <c r="AY3165" s="21" t="str">
        <f>IF(AND($AM3165&lt;&gt;"",$AS3165&lt;&gt;"✓"),SUMPRODUCT(($AM$11:$AM3165&lt;&gt;"")*($AS$11:$AS3165&lt;&gt;"✓")),"")</f>
        <v/>
      </c>
      <c r="AZ3165" s="21" t="str">
        <f>IF(AND($AM3165&lt;&gt;"",$AS3165="✓"),SUMPRODUCT(($AM$11:$AM3165&lt;&gt;"")*($AS$11:$AS3165="✓")),"")</f>
        <v/>
      </c>
      <c r="BA3165" s="21" t="str">
        <f>IF($AL3165="","",$AL3165&amp;"|"&amp;COUNTIF($AL$11:$AL3165,$AL3165))</f>
        <v/>
      </c>
    </row>
    <row r="3166" spans="38:53" ht="15" customHeight="1" x14ac:dyDescent="0.25">
      <c r="AL3166" s="31"/>
      <c r="AM3166" s="26"/>
      <c r="AN3166" s="32"/>
      <c r="AO3166" s="32"/>
      <c r="AP3166" s="24"/>
      <c r="AQ3166" s="24"/>
      <c r="AR3166" s="33"/>
      <c r="AS3166" s="34"/>
      <c r="AT3166" s="33"/>
      <c r="AV3166" s="21">
        <f>IF(AND($AL3166&lt;&gt;"",COUNTIF($AL$11:$AL3166,$AL3166)=1),1,0)</f>
        <v>0</v>
      </c>
      <c r="AW3166" s="21">
        <f t="shared" si="185"/>
        <v>2</v>
      </c>
      <c r="AX3166" s="21" t="str">
        <f t="shared" si="184"/>
        <v/>
      </c>
      <c r="AY3166" s="21" t="str">
        <f>IF(AND($AM3166&lt;&gt;"",$AS3166&lt;&gt;"✓"),SUMPRODUCT(($AM$11:$AM3166&lt;&gt;"")*($AS$11:$AS3166&lt;&gt;"✓")),"")</f>
        <v/>
      </c>
      <c r="AZ3166" s="21" t="str">
        <f>IF(AND($AM3166&lt;&gt;"",$AS3166="✓"),SUMPRODUCT(($AM$11:$AM3166&lt;&gt;"")*($AS$11:$AS3166="✓")),"")</f>
        <v/>
      </c>
      <c r="BA3166" s="21" t="str">
        <f>IF($AL3166="","",$AL3166&amp;"|"&amp;COUNTIF($AL$11:$AL3166,$AL3166))</f>
        <v/>
      </c>
    </row>
    <row r="3167" spans="38:53" ht="15" customHeight="1" x14ac:dyDescent="0.25">
      <c r="AL3167" s="17"/>
      <c r="AM3167" s="12"/>
      <c r="AN3167" s="18"/>
      <c r="AO3167" s="18"/>
      <c r="AP3167" s="10"/>
      <c r="AQ3167" s="10"/>
      <c r="AR3167" s="19"/>
      <c r="AS3167" s="20"/>
      <c r="AT3167" s="19"/>
      <c r="AV3167" s="21">
        <f>IF(AND($AL3167&lt;&gt;"",COUNTIF($AL$11:$AL3167,$AL3167)=1),1,0)</f>
        <v>0</v>
      </c>
      <c r="AW3167" s="21">
        <f t="shared" si="185"/>
        <v>2</v>
      </c>
      <c r="AX3167" s="21" t="str">
        <f t="shared" si="184"/>
        <v/>
      </c>
      <c r="AY3167" s="21" t="str">
        <f>IF(AND($AM3167&lt;&gt;"",$AS3167&lt;&gt;"✓"),SUMPRODUCT(($AM$11:$AM3167&lt;&gt;"")*($AS$11:$AS3167&lt;&gt;"✓")),"")</f>
        <v/>
      </c>
      <c r="AZ3167" s="21" t="str">
        <f>IF(AND($AM3167&lt;&gt;"",$AS3167="✓"),SUMPRODUCT(($AM$11:$AM3167&lt;&gt;"")*($AS$11:$AS3167="✓")),"")</f>
        <v/>
      </c>
      <c r="BA3167" s="21" t="str">
        <f>IF($AL3167="","",$AL3167&amp;"|"&amp;COUNTIF($AL$11:$AL3167,$AL3167))</f>
        <v/>
      </c>
    </row>
    <row r="3168" spans="38:53" ht="15" customHeight="1" x14ac:dyDescent="0.25">
      <c r="AL3168" s="31"/>
      <c r="AM3168" s="26"/>
      <c r="AN3168" s="32"/>
      <c r="AO3168" s="32"/>
      <c r="AP3168" s="24"/>
      <c r="AQ3168" s="24"/>
      <c r="AR3168" s="33"/>
      <c r="AS3168" s="34"/>
      <c r="AT3168" s="33"/>
      <c r="AV3168" s="21">
        <f>IF(AND($AL3168&lt;&gt;"",COUNTIF($AL$11:$AL3168,$AL3168)=1),1,0)</f>
        <v>0</v>
      </c>
      <c r="AW3168" s="21">
        <f t="shared" si="185"/>
        <v>2</v>
      </c>
      <c r="AX3168" s="21" t="str">
        <f t="shared" si="184"/>
        <v/>
      </c>
      <c r="AY3168" s="21" t="str">
        <f>IF(AND($AM3168&lt;&gt;"",$AS3168&lt;&gt;"✓"),SUMPRODUCT(($AM$11:$AM3168&lt;&gt;"")*($AS$11:$AS3168&lt;&gt;"✓")),"")</f>
        <v/>
      </c>
      <c r="AZ3168" s="21" t="str">
        <f>IF(AND($AM3168&lt;&gt;"",$AS3168="✓"),SUMPRODUCT(($AM$11:$AM3168&lt;&gt;"")*($AS$11:$AS3168="✓")),"")</f>
        <v/>
      </c>
      <c r="BA3168" s="21" t="str">
        <f>IF($AL3168="","",$AL3168&amp;"|"&amp;COUNTIF($AL$11:$AL3168,$AL3168))</f>
        <v/>
      </c>
    </row>
    <row r="3169" spans="38:53" ht="15" customHeight="1" x14ac:dyDescent="0.25">
      <c r="AL3169" s="17"/>
      <c r="AM3169" s="12"/>
      <c r="AN3169" s="18"/>
      <c r="AO3169" s="18"/>
      <c r="AP3169" s="10"/>
      <c r="AQ3169" s="10"/>
      <c r="AR3169" s="19"/>
      <c r="AS3169" s="20"/>
      <c r="AT3169" s="19"/>
      <c r="AV3169" s="21">
        <f>IF(AND($AL3169&lt;&gt;"",COUNTIF($AL$11:$AL3169,$AL3169)=1),1,0)</f>
        <v>0</v>
      </c>
      <c r="AW3169" s="21">
        <f t="shared" si="185"/>
        <v>2</v>
      </c>
      <c r="AX3169" s="21" t="str">
        <f t="shared" si="184"/>
        <v/>
      </c>
      <c r="AY3169" s="21" t="str">
        <f>IF(AND($AM3169&lt;&gt;"",$AS3169&lt;&gt;"✓"),SUMPRODUCT(($AM$11:$AM3169&lt;&gt;"")*($AS$11:$AS3169&lt;&gt;"✓")),"")</f>
        <v/>
      </c>
      <c r="AZ3169" s="21" t="str">
        <f>IF(AND($AM3169&lt;&gt;"",$AS3169="✓"),SUMPRODUCT(($AM$11:$AM3169&lt;&gt;"")*($AS$11:$AS3169="✓")),"")</f>
        <v/>
      </c>
      <c r="BA3169" s="21" t="str">
        <f>IF($AL3169="","",$AL3169&amp;"|"&amp;COUNTIF($AL$11:$AL3169,$AL3169))</f>
        <v/>
      </c>
    </row>
    <row r="3170" spans="38:53" ht="15" customHeight="1" x14ac:dyDescent="0.25">
      <c r="AL3170" s="31"/>
      <c r="AM3170" s="26"/>
      <c r="AN3170" s="32"/>
      <c r="AO3170" s="32"/>
      <c r="AP3170" s="24"/>
      <c r="AQ3170" s="24"/>
      <c r="AR3170" s="33"/>
      <c r="AS3170" s="34"/>
      <c r="AT3170" s="33"/>
      <c r="AV3170" s="21">
        <f>IF(AND($AL3170&lt;&gt;"",COUNTIF($AL$11:$AL3170,$AL3170)=1),1,0)</f>
        <v>0</v>
      </c>
      <c r="AW3170" s="21">
        <f t="shared" si="185"/>
        <v>2</v>
      </c>
      <c r="AX3170" s="21" t="str">
        <f t="shared" si="184"/>
        <v/>
      </c>
      <c r="AY3170" s="21" t="str">
        <f>IF(AND($AM3170&lt;&gt;"",$AS3170&lt;&gt;"✓"),SUMPRODUCT(($AM$11:$AM3170&lt;&gt;"")*($AS$11:$AS3170&lt;&gt;"✓")),"")</f>
        <v/>
      </c>
      <c r="AZ3170" s="21" t="str">
        <f>IF(AND($AM3170&lt;&gt;"",$AS3170="✓"),SUMPRODUCT(($AM$11:$AM3170&lt;&gt;"")*($AS$11:$AS3170="✓")),"")</f>
        <v/>
      </c>
      <c r="BA3170" s="21" t="str">
        <f>IF($AL3170="","",$AL3170&amp;"|"&amp;COUNTIF($AL$11:$AL3170,$AL3170))</f>
        <v/>
      </c>
    </row>
    <row r="3171" spans="38:53" ht="15" customHeight="1" x14ac:dyDescent="0.25">
      <c r="AL3171" s="17"/>
      <c r="AM3171" s="12"/>
      <c r="AN3171" s="18"/>
      <c r="AO3171" s="18"/>
      <c r="AP3171" s="10"/>
      <c r="AQ3171" s="10"/>
      <c r="AR3171" s="19"/>
      <c r="AS3171" s="20"/>
      <c r="AT3171" s="19"/>
      <c r="AV3171" s="21">
        <f>IF(AND($AL3171&lt;&gt;"",COUNTIF($AL$11:$AL3171,$AL3171)=1),1,0)</f>
        <v>0</v>
      </c>
      <c r="AW3171" s="21">
        <f t="shared" si="185"/>
        <v>2</v>
      </c>
      <c r="AX3171" s="21" t="str">
        <f t="shared" si="184"/>
        <v/>
      </c>
      <c r="AY3171" s="21" t="str">
        <f>IF(AND($AM3171&lt;&gt;"",$AS3171&lt;&gt;"✓"),SUMPRODUCT(($AM$11:$AM3171&lt;&gt;"")*($AS$11:$AS3171&lt;&gt;"✓")),"")</f>
        <v/>
      </c>
      <c r="AZ3171" s="21" t="str">
        <f>IF(AND($AM3171&lt;&gt;"",$AS3171="✓"),SUMPRODUCT(($AM$11:$AM3171&lt;&gt;"")*($AS$11:$AS3171="✓")),"")</f>
        <v/>
      </c>
      <c r="BA3171" s="21" t="str">
        <f>IF($AL3171="","",$AL3171&amp;"|"&amp;COUNTIF($AL$11:$AL3171,$AL3171))</f>
        <v/>
      </c>
    </row>
    <row r="3172" spans="38:53" ht="15" customHeight="1" x14ac:dyDescent="0.25">
      <c r="AL3172" s="31"/>
      <c r="AM3172" s="26"/>
      <c r="AN3172" s="32"/>
      <c r="AO3172" s="32"/>
      <c r="AP3172" s="24"/>
      <c r="AQ3172" s="24"/>
      <c r="AR3172" s="33"/>
      <c r="AS3172" s="34"/>
      <c r="AT3172" s="33"/>
      <c r="AV3172" s="21">
        <f>IF(AND($AL3172&lt;&gt;"",COUNTIF($AL$11:$AL3172,$AL3172)=1),1,0)</f>
        <v>0</v>
      </c>
      <c r="AW3172" s="21">
        <f t="shared" si="185"/>
        <v>2</v>
      </c>
      <c r="AX3172" s="21" t="str">
        <f t="shared" si="184"/>
        <v/>
      </c>
      <c r="AY3172" s="21" t="str">
        <f>IF(AND($AM3172&lt;&gt;"",$AS3172&lt;&gt;"✓"),SUMPRODUCT(($AM$11:$AM3172&lt;&gt;"")*($AS$11:$AS3172&lt;&gt;"✓")),"")</f>
        <v/>
      </c>
      <c r="AZ3172" s="21" t="str">
        <f>IF(AND($AM3172&lt;&gt;"",$AS3172="✓"),SUMPRODUCT(($AM$11:$AM3172&lt;&gt;"")*($AS$11:$AS3172="✓")),"")</f>
        <v/>
      </c>
      <c r="BA3172" s="21" t="str">
        <f>IF($AL3172="","",$AL3172&amp;"|"&amp;COUNTIF($AL$11:$AL3172,$AL3172))</f>
        <v/>
      </c>
    </row>
    <row r="3173" spans="38:53" ht="15" customHeight="1" x14ac:dyDescent="0.25">
      <c r="AL3173" s="17"/>
      <c r="AM3173" s="12"/>
      <c r="AN3173" s="18"/>
      <c r="AO3173" s="18"/>
      <c r="AP3173" s="10"/>
      <c r="AQ3173" s="10"/>
      <c r="AR3173" s="19"/>
      <c r="AS3173" s="20"/>
      <c r="AT3173" s="19"/>
      <c r="AV3173" s="21">
        <f>IF(AND($AL3173&lt;&gt;"",COUNTIF($AL$11:$AL3173,$AL3173)=1),1,0)</f>
        <v>0</v>
      </c>
      <c r="AW3173" s="21">
        <f t="shared" si="185"/>
        <v>2</v>
      </c>
      <c r="AX3173" s="21" t="str">
        <f t="shared" si="184"/>
        <v/>
      </c>
      <c r="AY3173" s="21" t="str">
        <f>IF(AND($AM3173&lt;&gt;"",$AS3173&lt;&gt;"✓"),SUMPRODUCT(($AM$11:$AM3173&lt;&gt;"")*($AS$11:$AS3173&lt;&gt;"✓")),"")</f>
        <v/>
      </c>
      <c r="AZ3173" s="21" t="str">
        <f>IF(AND($AM3173&lt;&gt;"",$AS3173="✓"),SUMPRODUCT(($AM$11:$AM3173&lt;&gt;"")*($AS$11:$AS3173="✓")),"")</f>
        <v/>
      </c>
      <c r="BA3173" s="21" t="str">
        <f>IF($AL3173="","",$AL3173&amp;"|"&amp;COUNTIF($AL$11:$AL3173,$AL3173))</f>
        <v/>
      </c>
    </row>
    <row r="3174" spans="38:53" ht="15" customHeight="1" x14ac:dyDescent="0.25">
      <c r="AL3174" s="31"/>
      <c r="AM3174" s="26"/>
      <c r="AN3174" s="32"/>
      <c r="AO3174" s="32"/>
      <c r="AP3174" s="24"/>
      <c r="AQ3174" s="24"/>
      <c r="AR3174" s="33"/>
      <c r="AS3174" s="34"/>
      <c r="AT3174" s="33"/>
      <c r="AV3174" s="21">
        <f>IF(AND($AL3174&lt;&gt;"",COUNTIF($AL$11:$AL3174,$AL3174)=1),1,0)</f>
        <v>0</v>
      </c>
      <c r="AW3174" s="21">
        <f t="shared" si="185"/>
        <v>2</v>
      </c>
      <c r="AX3174" s="21" t="str">
        <f t="shared" si="184"/>
        <v/>
      </c>
      <c r="AY3174" s="21" t="str">
        <f>IF(AND($AM3174&lt;&gt;"",$AS3174&lt;&gt;"✓"),SUMPRODUCT(($AM$11:$AM3174&lt;&gt;"")*($AS$11:$AS3174&lt;&gt;"✓")),"")</f>
        <v/>
      </c>
      <c r="AZ3174" s="21" t="str">
        <f>IF(AND($AM3174&lt;&gt;"",$AS3174="✓"),SUMPRODUCT(($AM$11:$AM3174&lt;&gt;"")*($AS$11:$AS3174="✓")),"")</f>
        <v/>
      </c>
      <c r="BA3174" s="21" t="str">
        <f>IF($AL3174="","",$AL3174&amp;"|"&amp;COUNTIF($AL$11:$AL3174,$AL3174))</f>
        <v/>
      </c>
    </row>
    <row r="3175" spans="38:53" ht="15" customHeight="1" x14ac:dyDescent="0.25">
      <c r="AL3175" s="17"/>
      <c r="AM3175" s="12"/>
      <c r="AN3175" s="18"/>
      <c r="AO3175" s="18"/>
      <c r="AP3175" s="10"/>
      <c r="AQ3175" s="10"/>
      <c r="AR3175" s="19"/>
      <c r="AS3175" s="20"/>
      <c r="AT3175" s="19"/>
      <c r="AV3175" s="21">
        <f>IF(AND($AL3175&lt;&gt;"",COUNTIF($AL$11:$AL3175,$AL3175)=1),1,0)</f>
        <v>0</v>
      </c>
      <c r="AW3175" s="21">
        <f t="shared" si="185"/>
        <v>2</v>
      </c>
      <c r="AX3175" s="21" t="str">
        <f t="shared" si="184"/>
        <v/>
      </c>
      <c r="AY3175" s="21" t="str">
        <f>IF(AND($AM3175&lt;&gt;"",$AS3175&lt;&gt;"✓"),SUMPRODUCT(($AM$11:$AM3175&lt;&gt;"")*($AS$11:$AS3175&lt;&gt;"✓")),"")</f>
        <v/>
      </c>
      <c r="AZ3175" s="21" t="str">
        <f>IF(AND($AM3175&lt;&gt;"",$AS3175="✓"),SUMPRODUCT(($AM$11:$AM3175&lt;&gt;"")*($AS$11:$AS3175="✓")),"")</f>
        <v/>
      </c>
      <c r="BA3175" s="21" t="str">
        <f>IF($AL3175="","",$AL3175&amp;"|"&amp;COUNTIF($AL$11:$AL3175,$AL3175))</f>
        <v/>
      </c>
    </row>
    <row r="3176" spans="38:53" ht="15" customHeight="1" x14ac:dyDescent="0.25">
      <c r="AL3176" s="31"/>
      <c r="AM3176" s="26"/>
      <c r="AN3176" s="32"/>
      <c r="AO3176" s="32"/>
      <c r="AP3176" s="24"/>
      <c r="AQ3176" s="24"/>
      <c r="AR3176" s="33"/>
      <c r="AS3176" s="34"/>
      <c r="AT3176" s="33"/>
      <c r="AV3176" s="21">
        <f>IF(AND($AL3176&lt;&gt;"",COUNTIF($AL$11:$AL3176,$AL3176)=1),1,0)</f>
        <v>0</v>
      </c>
      <c r="AW3176" s="21">
        <f t="shared" si="185"/>
        <v>2</v>
      </c>
      <c r="AX3176" s="21" t="str">
        <f t="shared" si="184"/>
        <v/>
      </c>
      <c r="AY3176" s="21" t="str">
        <f>IF(AND($AM3176&lt;&gt;"",$AS3176&lt;&gt;"✓"),SUMPRODUCT(($AM$11:$AM3176&lt;&gt;"")*($AS$11:$AS3176&lt;&gt;"✓")),"")</f>
        <v/>
      </c>
      <c r="AZ3176" s="21" t="str">
        <f>IF(AND($AM3176&lt;&gt;"",$AS3176="✓"),SUMPRODUCT(($AM$11:$AM3176&lt;&gt;"")*($AS$11:$AS3176="✓")),"")</f>
        <v/>
      </c>
      <c r="BA3176" s="21" t="str">
        <f>IF($AL3176="","",$AL3176&amp;"|"&amp;COUNTIF($AL$11:$AL3176,$AL3176))</f>
        <v/>
      </c>
    </row>
    <row r="3177" spans="38:53" ht="15" customHeight="1" x14ac:dyDescent="0.25">
      <c r="AL3177" s="17"/>
      <c r="AM3177" s="12"/>
      <c r="AN3177" s="18"/>
      <c r="AO3177" s="18"/>
      <c r="AP3177" s="10"/>
      <c r="AQ3177" s="10"/>
      <c r="AR3177" s="19"/>
      <c r="AS3177" s="20"/>
      <c r="AT3177" s="19"/>
      <c r="AV3177" s="21">
        <f>IF(AND($AL3177&lt;&gt;"",COUNTIF($AL$11:$AL3177,$AL3177)=1),1,0)</f>
        <v>0</v>
      </c>
      <c r="AW3177" s="21">
        <f t="shared" si="185"/>
        <v>2</v>
      </c>
      <c r="AX3177" s="21" t="str">
        <f t="shared" si="184"/>
        <v/>
      </c>
      <c r="AY3177" s="21" t="str">
        <f>IF(AND($AM3177&lt;&gt;"",$AS3177&lt;&gt;"✓"),SUMPRODUCT(($AM$11:$AM3177&lt;&gt;"")*($AS$11:$AS3177&lt;&gt;"✓")),"")</f>
        <v/>
      </c>
      <c r="AZ3177" s="21" t="str">
        <f>IF(AND($AM3177&lt;&gt;"",$AS3177="✓"),SUMPRODUCT(($AM$11:$AM3177&lt;&gt;"")*($AS$11:$AS3177="✓")),"")</f>
        <v/>
      </c>
      <c r="BA3177" s="21" t="str">
        <f>IF($AL3177="","",$AL3177&amp;"|"&amp;COUNTIF($AL$11:$AL3177,$AL3177))</f>
        <v/>
      </c>
    </row>
    <row r="3178" spans="38:53" ht="15" customHeight="1" x14ac:dyDescent="0.25">
      <c r="AL3178" s="31"/>
      <c r="AM3178" s="26"/>
      <c r="AN3178" s="32"/>
      <c r="AO3178" s="32"/>
      <c r="AP3178" s="24"/>
      <c r="AQ3178" s="24"/>
      <c r="AR3178" s="33"/>
      <c r="AS3178" s="34"/>
      <c r="AT3178" s="33"/>
      <c r="AV3178" s="21">
        <f>IF(AND($AL3178&lt;&gt;"",COUNTIF($AL$11:$AL3178,$AL3178)=1),1,0)</f>
        <v>0</v>
      </c>
      <c r="AW3178" s="21">
        <f t="shared" si="185"/>
        <v>2</v>
      </c>
      <c r="AX3178" s="21" t="str">
        <f t="shared" si="184"/>
        <v/>
      </c>
      <c r="AY3178" s="21" t="str">
        <f>IF(AND($AM3178&lt;&gt;"",$AS3178&lt;&gt;"✓"),SUMPRODUCT(($AM$11:$AM3178&lt;&gt;"")*($AS$11:$AS3178&lt;&gt;"✓")),"")</f>
        <v/>
      </c>
      <c r="AZ3178" s="21" t="str">
        <f>IF(AND($AM3178&lt;&gt;"",$AS3178="✓"),SUMPRODUCT(($AM$11:$AM3178&lt;&gt;"")*($AS$11:$AS3178="✓")),"")</f>
        <v/>
      </c>
      <c r="BA3178" s="21" t="str">
        <f>IF($AL3178="","",$AL3178&amp;"|"&amp;COUNTIF($AL$11:$AL3178,$AL3178))</f>
        <v/>
      </c>
    </row>
    <row r="3179" spans="38:53" ht="15" customHeight="1" x14ac:dyDescent="0.25">
      <c r="AL3179" s="17"/>
      <c r="AM3179" s="12"/>
      <c r="AN3179" s="18"/>
      <c r="AO3179" s="18"/>
      <c r="AP3179" s="10"/>
      <c r="AQ3179" s="10"/>
      <c r="AR3179" s="19"/>
      <c r="AS3179" s="20"/>
      <c r="AT3179" s="19"/>
      <c r="AV3179" s="21">
        <f>IF(AND($AL3179&lt;&gt;"",COUNTIF($AL$11:$AL3179,$AL3179)=1),1,0)</f>
        <v>0</v>
      </c>
      <c r="AW3179" s="21">
        <f t="shared" si="185"/>
        <v>2</v>
      </c>
      <c r="AX3179" s="21" t="str">
        <f t="shared" si="184"/>
        <v/>
      </c>
      <c r="AY3179" s="21" t="str">
        <f>IF(AND($AM3179&lt;&gt;"",$AS3179&lt;&gt;"✓"),SUMPRODUCT(($AM$11:$AM3179&lt;&gt;"")*($AS$11:$AS3179&lt;&gt;"✓")),"")</f>
        <v/>
      </c>
      <c r="AZ3179" s="21" t="str">
        <f>IF(AND($AM3179&lt;&gt;"",$AS3179="✓"),SUMPRODUCT(($AM$11:$AM3179&lt;&gt;"")*($AS$11:$AS3179="✓")),"")</f>
        <v/>
      </c>
      <c r="BA3179" s="21" t="str">
        <f>IF($AL3179="","",$AL3179&amp;"|"&amp;COUNTIF($AL$11:$AL3179,$AL3179))</f>
        <v/>
      </c>
    </row>
    <row r="3180" spans="38:53" ht="15" customHeight="1" x14ac:dyDescent="0.25">
      <c r="AL3180" s="31"/>
      <c r="AM3180" s="26"/>
      <c r="AN3180" s="32"/>
      <c r="AO3180" s="32"/>
      <c r="AP3180" s="24"/>
      <c r="AQ3180" s="24"/>
      <c r="AR3180" s="33"/>
      <c r="AS3180" s="34"/>
      <c r="AT3180" s="33"/>
      <c r="AV3180" s="21">
        <f>IF(AND($AL3180&lt;&gt;"",COUNTIF($AL$11:$AL3180,$AL3180)=1),1,0)</f>
        <v>0</v>
      </c>
      <c r="AW3180" s="21">
        <f t="shared" si="185"/>
        <v>2</v>
      </c>
      <c r="AX3180" s="21" t="str">
        <f t="shared" si="184"/>
        <v/>
      </c>
      <c r="AY3180" s="21" t="str">
        <f>IF(AND($AM3180&lt;&gt;"",$AS3180&lt;&gt;"✓"),SUMPRODUCT(($AM$11:$AM3180&lt;&gt;"")*($AS$11:$AS3180&lt;&gt;"✓")),"")</f>
        <v/>
      </c>
      <c r="AZ3180" s="21" t="str">
        <f>IF(AND($AM3180&lt;&gt;"",$AS3180="✓"),SUMPRODUCT(($AM$11:$AM3180&lt;&gt;"")*($AS$11:$AS3180="✓")),"")</f>
        <v/>
      </c>
      <c r="BA3180" s="21" t="str">
        <f>IF($AL3180="","",$AL3180&amp;"|"&amp;COUNTIF($AL$11:$AL3180,$AL3180))</f>
        <v/>
      </c>
    </row>
    <row r="3181" spans="38:53" ht="15" customHeight="1" x14ac:dyDescent="0.25">
      <c r="AL3181" s="17"/>
      <c r="AM3181" s="12"/>
      <c r="AN3181" s="18"/>
      <c r="AO3181" s="18"/>
      <c r="AP3181" s="10"/>
      <c r="AQ3181" s="10"/>
      <c r="AR3181" s="19"/>
      <c r="AS3181" s="20"/>
      <c r="AT3181" s="19"/>
      <c r="AV3181" s="21">
        <f>IF(AND($AL3181&lt;&gt;"",COUNTIF($AL$11:$AL3181,$AL3181)=1),1,0)</f>
        <v>0</v>
      </c>
      <c r="AW3181" s="21">
        <f t="shared" si="185"/>
        <v>2</v>
      </c>
      <c r="AX3181" s="21" t="str">
        <f t="shared" si="184"/>
        <v/>
      </c>
      <c r="AY3181" s="21" t="str">
        <f>IF(AND($AM3181&lt;&gt;"",$AS3181&lt;&gt;"✓"),SUMPRODUCT(($AM$11:$AM3181&lt;&gt;"")*($AS$11:$AS3181&lt;&gt;"✓")),"")</f>
        <v/>
      </c>
      <c r="AZ3181" s="21" t="str">
        <f>IF(AND($AM3181&lt;&gt;"",$AS3181="✓"),SUMPRODUCT(($AM$11:$AM3181&lt;&gt;"")*($AS$11:$AS3181="✓")),"")</f>
        <v/>
      </c>
      <c r="BA3181" s="21" t="str">
        <f>IF($AL3181="","",$AL3181&amp;"|"&amp;COUNTIF($AL$11:$AL3181,$AL3181))</f>
        <v/>
      </c>
    </row>
    <row r="3182" spans="38:53" ht="15" customHeight="1" x14ac:dyDescent="0.25">
      <c r="AL3182" s="31"/>
      <c r="AM3182" s="26"/>
      <c r="AN3182" s="32"/>
      <c r="AO3182" s="32"/>
      <c r="AP3182" s="24"/>
      <c r="AQ3182" s="24"/>
      <c r="AR3182" s="33"/>
      <c r="AS3182" s="34"/>
      <c r="AT3182" s="33"/>
      <c r="AV3182" s="21">
        <f>IF(AND($AL3182&lt;&gt;"",COUNTIF($AL$11:$AL3182,$AL3182)=1),1,0)</f>
        <v>0</v>
      </c>
      <c r="AW3182" s="21">
        <f t="shared" si="185"/>
        <v>2</v>
      </c>
      <c r="AX3182" s="21" t="str">
        <f t="shared" si="184"/>
        <v/>
      </c>
      <c r="AY3182" s="21" t="str">
        <f>IF(AND($AM3182&lt;&gt;"",$AS3182&lt;&gt;"✓"),SUMPRODUCT(($AM$11:$AM3182&lt;&gt;"")*($AS$11:$AS3182&lt;&gt;"✓")),"")</f>
        <v/>
      </c>
      <c r="AZ3182" s="21" t="str">
        <f>IF(AND($AM3182&lt;&gt;"",$AS3182="✓"),SUMPRODUCT(($AM$11:$AM3182&lt;&gt;"")*($AS$11:$AS3182="✓")),"")</f>
        <v/>
      </c>
      <c r="BA3182" s="21" t="str">
        <f>IF($AL3182="","",$AL3182&amp;"|"&amp;COUNTIF($AL$11:$AL3182,$AL3182))</f>
        <v/>
      </c>
    </row>
    <row r="3183" spans="38:53" ht="15" customHeight="1" x14ac:dyDescent="0.25">
      <c r="AL3183" s="17"/>
      <c r="AM3183" s="12"/>
      <c r="AN3183" s="18"/>
      <c r="AO3183" s="18"/>
      <c r="AP3183" s="10"/>
      <c r="AQ3183" s="10"/>
      <c r="AR3183" s="19"/>
      <c r="AS3183" s="20"/>
      <c r="AT3183" s="19"/>
      <c r="AV3183" s="21">
        <f>IF(AND($AL3183&lt;&gt;"",COUNTIF($AL$11:$AL3183,$AL3183)=1),1,0)</f>
        <v>0</v>
      </c>
      <c r="AW3183" s="21">
        <f t="shared" si="185"/>
        <v>2</v>
      </c>
      <c r="AX3183" s="21" t="str">
        <f t="shared" si="184"/>
        <v/>
      </c>
      <c r="AY3183" s="21" t="str">
        <f>IF(AND($AM3183&lt;&gt;"",$AS3183&lt;&gt;"✓"),SUMPRODUCT(($AM$11:$AM3183&lt;&gt;"")*($AS$11:$AS3183&lt;&gt;"✓")),"")</f>
        <v/>
      </c>
      <c r="AZ3183" s="21" t="str">
        <f>IF(AND($AM3183&lt;&gt;"",$AS3183="✓"),SUMPRODUCT(($AM$11:$AM3183&lt;&gt;"")*($AS$11:$AS3183="✓")),"")</f>
        <v/>
      </c>
      <c r="BA3183" s="21" t="str">
        <f>IF($AL3183="","",$AL3183&amp;"|"&amp;COUNTIF($AL$11:$AL3183,$AL3183))</f>
        <v/>
      </c>
    </row>
    <row r="3184" spans="38:53" ht="15" customHeight="1" x14ac:dyDescent="0.25">
      <c r="AL3184" s="31"/>
      <c r="AM3184" s="26"/>
      <c r="AN3184" s="32"/>
      <c r="AO3184" s="32"/>
      <c r="AP3184" s="24"/>
      <c r="AQ3184" s="24"/>
      <c r="AR3184" s="33"/>
      <c r="AS3184" s="34"/>
      <c r="AT3184" s="33"/>
      <c r="AV3184" s="21">
        <f>IF(AND($AL3184&lt;&gt;"",COUNTIF($AL$11:$AL3184,$AL3184)=1),1,0)</f>
        <v>0</v>
      </c>
      <c r="AW3184" s="21">
        <f t="shared" si="185"/>
        <v>2</v>
      </c>
      <c r="AX3184" s="21" t="str">
        <f t="shared" si="184"/>
        <v/>
      </c>
      <c r="AY3184" s="21" t="str">
        <f>IF(AND($AM3184&lt;&gt;"",$AS3184&lt;&gt;"✓"),SUMPRODUCT(($AM$11:$AM3184&lt;&gt;"")*($AS$11:$AS3184&lt;&gt;"✓")),"")</f>
        <v/>
      </c>
      <c r="AZ3184" s="21" t="str">
        <f>IF(AND($AM3184&lt;&gt;"",$AS3184="✓"),SUMPRODUCT(($AM$11:$AM3184&lt;&gt;"")*($AS$11:$AS3184="✓")),"")</f>
        <v/>
      </c>
      <c r="BA3184" s="21" t="str">
        <f>IF($AL3184="","",$AL3184&amp;"|"&amp;COUNTIF($AL$11:$AL3184,$AL3184))</f>
        <v/>
      </c>
    </row>
    <row r="3185" spans="38:53" ht="15" customHeight="1" x14ac:dyDescent="0.25">
      <c r="AL3185" s="17"/>
      <c r="AM3185" s="12"/>
      <c r="AN3185" s="18"/>
      <c r="AO3185" s="18"/>
      <c r="AP3185" s="10"/>
      <c r="AQ3185" s="10"/>
      <c r="AR3185" s="19"/>
      <c r="AS3185" s="20"/>
      <c r="AT3185" s="19"/>
      <c r="AV3185" s="21">
        <f>IF(AND($AL3185&lt;&gt;"",COUNTIF($AL$11:$AL3185,$AL3185)=1),1,0)</f>
        <v>0</v>
      </c>
      <c r="AW3185" s="21">
        <f t="shared" si="185"/>
        <v>2</v>
      </c>
      <c r="AX3185" s="21" t="str">
        <f t="shared" si="184"/>
        <v/>
      </c>
      <c r="AY3185" s="21" t="str">
        <f>IF(AND($AM3185&lt;&gt;"",$AS3185&lt;&gt;"✓"),SUMPRODUCT(($AM$11:$AM3185&lt;&gt;"")*($AS$11:$AS3185&lt;&gt;"✓")),"")</f>
        <v/>
      </c>
      <c r="AZ3185" s="21" t="str">
        <f>IF(AND($AM3185&lt;&gt;"",$AS3185="✓"),SUMPRODUCT(($AM$11:$AM3185&lt;&gt;"")*($AS$11:$AS3185="✓")),"")</f>
        <v/>
      </c>
      <c r="BA3185" s="21" t="str">
        <f>IF($AL3185="","",$AL3185&amp;"|"&amp;COUNTIF($AL$11:$AL3185,$AL3185))</f>
        <v/>
      </c>
    </row>
    <row r="3186" spans="38:53" ht="15" customHeight="1" x14ac:dyDescent="0.25">
      <c r="AL3186" s="31"/>
      <c r="AM3186" s="26"/>
      <c r="AN3186" s="32"/>
      <c r="AO3186" s="32"/>
      <c r="AP3186" s="24"/>
      <c r="AQ3186" s="24"/>
      <c r="AR3186" s="33"/>
      <c r="AS3186" s="34"/>
      <c r="AT3186" s="33"/>
      <c r="AV3186" s="21">
        <f>IF(AND($AL3186&lt;&gt;"",COUNTIF($AL$11:$AL3186,$AL3186)=1),1,0)</f>
        <v>0</v>
      </c>
      <c r="AW3186" s="21">
        <f t="shared" si="185"/>
        <v>2</v>
      </c>
      <c r="AX3186" s="21" t="str">
        <f t="shared" si="184"/>
        <v/>
      </c>
      <c r="AY3186" s="21" t="str">
        <f>IF(AND($AM3186&lt;&gt;"",$AS3186&lt;&gt;"✓"),SUMPRODUCT(($AM$11:$AM3186&lt;&gt;"")*($AS$11:$AS3186&lt;&gt;"✓")),"")</f>
        <v/>
      </c>
      <c r="AZ3186" s="21" t="str">
        <f>IF(AND($AM3186&lt;&gt;"",$AS3186="✓"),SUMPRODUCT(($AM$11:$AM3186&lt;&gt;"")*($AS$11:$AS3186="✓")),"")</f>
        <v/>
      </c>
      <c r="BA3186" s="21" t="str">
        <f>IF($AL3186="","",$AL3186&amp;"|"&amp;COUNTIF($AL$11:$AL3186,$AL3186))</f>
        <v/>
      </c>
    </row>
    <row r="3187" spans="38:53" ht="15" customHeight="1" x14ac:dyDescent="0.25">
      <c r="AL3187" s="17"/>
      <c r="AM3187" s="12"/>
      <c r="AN3187" s="18"/>
      <c r="AO3187" s="18"/>
      <c r="AP3187" s="10"/>
      <c r="AQ3187" s="10"/>
      <c r="AR3187" s="19"/>
      <c r="AS3187" s="20"/>
      <c r="AT3187" s="19"/>
      <c r="AV3187" s="21">
        <f>IF(AND($AL3187&lt;&gt;"",COUNTIF($AL$11:$AL3187,$AL3187)=1),1,0)</f>
        <v>0</v>
      </c>
      <c r="AW3187" s="21">
        <f t="shared" si="185"/>
        <v>2</v>
      </c>
      <c r="AX3187" s="21" t="str">
        <f t="shared" si="184"/>
        <v/>
      </c>
      <c r="AY3187" s="21" t="str">
        <f>IF(AND($AM3187&lt;&gt;"",$AS3187&lt;&gt;"✓"),SUMPRODUCT(($AM$11:$AM3187&lt;&gt;"")*($AS$11:$AS3187&lt;&gt;"✓")),"")</f>
        <v/>
      </c>
      <c r="AZ3187" s="21" t="str">
        <f>IF(AND($AM3187&lt;&gt;"",$AS3187="✓"),SUMPRODUCT(($AM$11:$AM3187&lt;&gt;"")*($AS$11:$AS3187="✓")),"")</f>
        <v/>
      </c>
      <c r="BA3187" s="21" t="str">
        <f>IF($AL3187="","",$AL3187&amp;"|"&amp;COUNTIF($AL$11:$AL3187,$AL3187))</f>
        <v/>
      </c>
    </row>
    <row r="3188" spans="38:53" ht="15" customHeight="1" x14ac:dyDescent="0.25">
      <c r="AL3188" s="31"/>
      <c r="AM3188" s="26"/>
      <c r="AN3188" s="32"/>
      <c r="AO3188" s="32"/>
      <c r="AP3188" s="24"/>
      <c r="AQ3188" s="24"/>
      <c r="AR3188" s="33"/>
      <c r="AS3188" s="34"/>
      <c r="AT3188" s="33"/>
      <c r="AV3188" s="21">
        <f>IF(AND($AL3188&lt;&gt;"",COUNTIF($AL$11:$AL3188,$AL3188)=1),1,0)</f>
        <v>0</v>
      </c>
      <c r="AW3188" s="21">
        <f t="shared" si="185"/>
        <v>2</v>
      </c>
      <c r="AX3188" s="21" t="str">
        <f t="shared" si="184"/>
        <v/>
      </c>
      <c r="AY3188" s="21" t="str">
        <f>IF(AND($AM3188&lt;&gt;"",$AS3188&lt;&gt;"✓"),SUMPRODUCT(($AM$11:$AM3188&lt;&gt;"")*($AS$11:$AS3188&lt;&gt;"✓")),"")</f>
        <v/>
      </c>
      <c r="AZ3188" s="21" t="str">
        <f>IF(AND($AM3188&lt;&gt;"",$AS3188="✓"),SUMPRODUCT(($AM$11:$AM3188&lt;&gt;"")*($AS$11:$AS3188="✓")),"")</f>
        <v/>
      </c>
      <c r="BA3188" s="21" t="str">
        <f>IF($AL3188="","",$AL3188&amp;"|"&amp;COUNTIF($AL$11:$AL3188,$AL3188))</f>
        <v/>
      </c>
    </row>
    <row r="3189" spans="38:53" ht="15" customHeight="1" x14ac:dyDescent="0.25">
      <c r="AL3189" s="17"/>
      <c r="AM3189" s="12"/>
      <c r="AN3189" s="18"/>
      <c r="AO3189" s="18"/>
      <c r="AP3189" s="10"/>
      <c r="AQ3189" s="10"/>
      <c r="AR3189" s="19"/>
      <c r="AS3189" s="20"/>
      <c r="AT3189" s="19"/>
      <c r="AV3189" s="21">
        <f>IF(AND($AL3189&lt;&gt;"",COUNTIF($AL$11:$AL3189,$AL3189)=1),1,0)</f>
        <v>0</v>
      </c>
      <c r="AW3189" s="21">
        <f t="shared" si="185"/>
        <v>2</v>
      </c>
      <c r="AX3189" s="21" t="str">
        <f t="shared" si="184"/>
        <v/>
      </c>
      <c r="AY3189" s="21" t="str">
        <f>IF(AND($AM3189&lt;&gt;"",$AS3189&lt;&gt;"✓"),SUMPRODUCT(($AM$11:$AM3189&lt;&gt;"")*($AS$11:$AS3189&lt;&gt;"✓")),"")</f>
        <v/>
      </c>
      <c r="AZ3189" s="21" t="str">
        <f>IF(AND($AM3189&lt;&gt;"",$AS3189="✓"),SUMPRODUCT(($AM$11:$AM3189&lt;&gt;"")*($AS$11:$AS3189="✓")),"")</f>
        <v/>
      </c>
      <c r="BA3189" s="21" t="str">
        <f>IF($AL3189="","",$AL3189&amp;"|"&amp;COUNTIF($AL$11:$AL3189,$AL3189))</f>
        <v/>
      </c>
    </row>
    <row r="3190" spans="38:53" ht="15" customHeight="1" x14ac:dyDescent="0.25">
      <c r="AL3190" s="31"/>
      <c r="AM3190" s="26"/>
      <c r="AN3190" s="32"/>
      <c r="AO3190" s="32"/>
      <c r="AP3190" s="24"/>
      <c r="AQ3190" s="24"/>
      <c r="AR3190" s="33"/>
      <c r="AS3190" s="34"/>
      <c r="AT3190" s="33"/>
      <c r="AV3190" s="21">
        <f>IF(AND($AL3190&lt;&gt;"",COUNTIF($AL$11:$AL3190,$AL3190)=1),1,0)</f>
        <v>0</v>
      </c>
      <c r="AW3190" s="21">
        <f t="shared" si="185"/>
        <v>2</v>
      </c>
      <c r="AX3190" s="21" t="str">
        <f t="shared" si="184"/>
        <v/>
      </c>
      <c r="AY3190" s="21" t="str">
        <f>IF(AND($AM3190&lt;&gt;"",$AS3190&lt;&gt;"✓"),SUMPRODUCT(($AM$11:$AM3190&lt;&gt;"")*($AS$11:$AS3190&lt;&gt;"✓")),"")</f>
        <v/>
      </c>
      <c r="AZ3190" s="21" t="str">
        <f>IF(AND($AM3190&lt;&gt;"",$AS3190="✓"),SUMPRODUCT(($AM$11:$AM3190&lt;&gt;"")*($AS$11:$AS3190="✓")),"")</f>
        <v/>
      </c>
      <c r="BA3190" s="21" t="str">
        <f>IF($AL3190="","",$AL3190&amp;"|"&amp;COUNTIF($AL$11:$AL3190,$AL3190))</f>
        <v/>
      </c>
    </row>
    <row r="3191" spans="38:53" ht="15" customHeight="1" x14ac:dyDescent="0.25">
      <c r="AL3191" s="17"/>
      <c r="AM3191" s="12"/>
      <c r="AN3191" s="18"/>
      <c r="AO3191" s="18"/>
      <c r="AP3191" s="10"/>
      <c r="AQ3191" s="10"/>
      <c r="AR3191" s="19"/>
      <c r="AS3191" s="20"/>
      <c r="AT3191" s="19"/>
      <c r="AV3191" s="21">
        <f>IF(AND($AL3191&lt;&gt;"",COUNTIF($AL$11:$AL3191,$AL3191)=1),1,0)</f>
        <v>0</v>
      </c>
      <c r="AW3191" s="21">
        <f t="shared" si="185"/>
        <v>2</v>
      </c>
      <c r="AX3191" s="21" t="str">
        <f t="shared" si="184"/>
        <v/>
      </c>
      <c r="AY3191" s="21" t="str">
        <f>IF(AND($AM3191&lt;&gt;"",$AS3191&lt;&gt;"✓"),SUMPRODUCT(($AM$11:$AM3191&lt;&gt;"")*($AS$11:$AS3191&lt;&gt;"✓")),"")</f>
        <v/>
      </c>
      <c r="AZ3191" s="21" t="str">
        <f>IF(AND($AM3191&lt;&gt;"",$AS3191="✓"),SUMPRODUCT(($AM$11:$AM3191&lt;&gt;"")*($AS$11:$AS3191="✓")),"")</f>
        <v/>
      </c>
      <c r="BA3191" s="21" t="str">
        <f>IF($AL3191="","",$AL3191&amp;"|"&amp;COUNTIF($AL$11:$AL3191,$AL3191))</f>
        <v/>
      </c>
    </row>
    <row r="3192" spans="38:53" ht="15" customHeight="1" x14ac:dyDescent="0.25">
      <c r="AL3192" s="31"/>
      <c r="AM3192" s="26"/>
      <c r="AN3192" s="32"/>
      <c r="AO3192" s="32"/>
      <c r="AP3192" s="24"/>
      <c r="AQ3192" s="24"/>
      <c r="AR3192" s="33"/>
      <c r="AS3192" s="34"/>
      <c r="AT3192" s="33"/>
      <c r="AV3192" s="21">
        <f>IF(AND($AL3192&lt;&gt;"",COUNTIF($AL$11:$AL3192,$AL3192)=1),1,0)</f>
        <v>0</v>
      </c>
      <c r="AW3192" s="21">
        <f t="shared" si="185"/>
        <v>2</v>
      </c>
      <c r="AX3192" s="21" t="str">
        <f t="shared" si="184"/>
        <v/>
      </c>
      <c r="AY3192" s="21" t="str">
        <f>IF(AND($AM3192&lt;&gt;"",$AS3192&lt;&gt;"✓"),SUMPRODUCT(($AM$11:$AM3192&lt;&gt;"")*($AS$11:$AS3192&lt;&gt;"✓")),"")</f>
        <v/>
      </c>
      <c r="AZ3192" s="21" t="str">
        <f>IF(AND($AM3192&lt;&gt;"",$AS3192="✓"),SUMPRODUCT(($AM$11:$AM3192&lt;&gt;"")*($AS$11:$AS3192="✓")),"")</f>
        <v/>
      </c>
      <c r="BA3192" s="21" t="str">
        <f>IF($AL3192="","",$AL3192&amp;"|"&amp;COUNTIF($AL$11:$AL3192,$AL3192))</f>
        <v/>
      </c>
    </row>
    <row r="3193" spans="38:53" ht="15" customHeight="1" x14ac:dyDescent="0.25">
      <c r="AL3193" s="17"/>
      <c r="AM3193" s="12"/>
      <c r="AN3193" s="18"/>
      <c r="AO3193" s="18"/>
      <c r="AP3193" s="10"/>
      <c r="AQ3193" s="10"/>
      <c r="AR3193" s="19"/>
      <c r="AS3193" s="20"/>
      <c r="AT3193" s="19"/>
      <c r="AV3193" s="21">
        <f>IF(AND($AL3193&lt;&gt;"",COUNTIF($AL$11:$AL3193,$AL3193)=1),1,0)</f>
        <v>0</v>
      </c>
      <c r="AW3193" s="21">
        <f t="shared" si="185"/>
        <v>2</v>
      </c>
      <c r="AX3193" s="21" t="str">
        <f t="shared" si="184"/>
        <v/>
      </c>
      <c r="AY3193" s="21" t="str">
        <f>IF(AND($AM3193&lt;&gt;"",$AS3193&lt;&gt;"✓"),SUMPRODUCT(($AM$11:$AM3193&lt;&gt;"")*($AS$11:$AS3193&lt;&gt;"✓")),"")</f>
        <v/>
      </c>
      <c r="AZ3193" s="21" t="str">
        <f>IF(AND($AM3193&lt;&gt;"",$AS3193="✓"),SUMPRODUCT(($AM$11:$AM3193&lt;&gt;"")*($AS$11:$AS3193="✓")),"")</f>
        <v/>
      </c>
      <c r="BA3193" s="21" t="str">
        <f>IF($AL3193="","",$AL3193&amp;"|"&amp;COUNTIF($AL$11:$AL3193,$AL3193))</f>
        <v/>
      </c>
    </row>
    <row r="3194" spans="38:53" ht="15" customHeight="1" x14ac:dyDescent="0.25">
      <c r="AL3194" s="31"/>
      <c r="AM3194" s="26"/>
      <c r="AN3194" s="32"/>
      <c r="AO3194" s="32"/>
      <c r="AP3194" s="24"/>
      <c r="AQ3194" s="24"/>
      <c r="AR3194" s="33"/>
      <c r="AS3194" s="34"/>
      <c r="AT3194" s="33"/>
      <c r="AV3194" s="21">
        <f>IF(AND($AL3194&lt;&gt;"",COUNTIF($AL$11:$AL3194,$AL3194)=1),1,0)</f>
        <v>0</v>
      </c>
      <c r="AW3194" s="21">
        <f t="shared" si="185"/>
        <v>2</v>
      </c>
      <c r="AX3194" s="21" t="str">
        <f t="shared" si="184"/>
        <v/>
      </c>
      <c r="AY3194" s="21" t="str">
        <f>IF(AND($AM3194&lt;&gt;"",$AS3194&lt;&gt;"✓"),SUMPRODUCT(($AM$11:$AM3194&lt;&gt;"")*($AS$11:$AS3194&lt;&gt;"✓")),"")</f>
        <v/>
      </c>
      <c r="AZ3194" s="21" t="str">
        <f>IF(AND($AM3194&lt;&gt;"",$AS3194="✓"),SUMPRODUCT(($AM$11:$AM3194&lt;&gt;"")*($AS$11:$AS3194="✓")),"")</f>
        <v/>
      </c>
      <c r="BA3194" s="21" t="str">
        <f>IF($AL3194="","",$AL3194&amp;"|"&amp;COUNTIF($AL$11:$AL3194,$AL3194))</f>
        <v/>
      </c>
    </row>
    <row r="3195" spans="38:53" ht="15" customHeight="1" x14ac:dyDescent="0.25">
      <c r="AL3195" s="17"/>
      <c r="AM3195" s="12"/>
      <c r="AN3195" s="18"/>
      <c r="AO3195" s="18"/>
      <c r="AP3195" s="10"/>
      <c r="AQ3195" s="10"/>
      <c r="AR3195" s="19"/>
      <c r="AS3195" s="20"/>
      <c r="AT3195" s="19"/>
      <c r="AV3195" s="21">
        <f>IF(AND($AL3195&lt;&gt;"",COUNTIF($AL$11:$AL3195,$AL3195)=1),1,0)</f>
        <v>0</v>
      </c>
      <c r="AW3195" s="21">
        <f t="shared" si="185"/>
        <v>2</v>
      </c>
      <c r="AX3195" s="21" t="str">
        <f t="shared" si="184"/>
        <v/>
      </c>
      <c r="AY3195" s="21" t="str">
        <f>IF(AND($AM3195&lt;&gt;"",$AS3195&lt;&gt;"✓"),SUMPRODUCT(($AM$11:$AM3195&lt;&gt;"")*($AS$11:$AS3195&lt;&gt;"✓")),"")</f>
        <v/>
      </c>
      <c r="AZ3195" s="21" t="str">
        <f>IF(AND($AM3195&lt;&gt;"",$AS3195="✓"),SUMPRODUCT(($AM$11:$AM3195&lt;&gt;"")*($AS$11:$AS3195="✓")),"")</f>
        <v/>
      </c>
      <c r="BA3195" s="21" t="str">
        <f>IF($AL3195="","",$AL3195&amp;"|"&amp;COUNTIF($AL$11:$AL3195,$AL3195))</f>
        <v/>
      </c>
    </row>
    <row r="3196" spans="38:53" ht="15" customHeight="1" x14ac:dyDescent="0.25">
      <c r="AL3196" s="31"/>
      <c r="AM3196" s="26"/>
      <c r="AN3196" s="32"/>
      <c r="AO3196" s="32"/>
      <c r="AP3196" s="24"/>
      <c r="AQ3196" s="24"/>
      <c r="AR3196" s="33"/>
      <c r="AS3196" s="34"/>
      <c r="AT3196" s="33"/>
      <c r="AV3196" s="21">
        <f>IF(AND($AL3196&lt;&gt;"",COUNTIF($AL$11:$AL3196,$AL3196)=1),1,0)</f>
        <v>0</v>
      </c>
      <c r="AW3196" s="21">
        <f t="shared" si="185"/>
        <v>2</v>
      </c>
      <c r="AX3196" s="21" t="str">
        <f t="shared" si="184"/>
        <v/>
      </c>
      <c r="AY3196" s="21" t="str">
        <f>IF(AND($AM3196&lt;&gt;"",$AS3196&lt;&gt;"✓"),SUMPRODUCT(($AM$11:$AM3196&lt;&gt;"")*($AS$11:$AS3196&lt;&gt;"✓")),"")</f>
        <v/>
      </c>
      <c r="AZ3196" s="21" t="str">
        <f>IF(AND($AM3196&lt;&gt;"",$AS3196="✓"),SUMPRODUCT(($AM$11:$AM3196&lt;&gt;"")*($AS$11:$AS3196="✓")),"")</f>
        <v/>
      </c>
      <c r="BA3196" s="21" t="str">
        <f>IF($AL3196="","",$AL3196&amp;"|"&amp;COUNTIF($AL$11:$AL3196,$AL3196))</f>
        <v/>
      </c>
    </row>
    <row r="3197" spans="38:53" ht="15" customHeight="1" x14ac:dyDescent="0.25">
      <c r="AL3197" s="17"/>
      <c r="AM3197" s="12"/>
      <c r="AN3197" s="18"/>
      <c r="AO3197" s="18"/>
      <c r="AP3197" s="10"/>
      <c r="AQ3197" s="10"/>
      <c r="AR3197" s="19"/>
      <c r="AS3197" s="20"/>
      <c r="AT3197" s="19"/>
      <c r="AV3197" s="21">
        <f>IF(AND($AL3197&lt;&gt;"",COUNTIF($AL$11:$AL3197,$AL3197)=1),1,0)</f>
        <v>0</v>
      </c>
      <c r="AW3197" s="21">
        <f t="shared" si="185"/>
        <v>2</v>
      </c>
      <c r="AX3197" s="21" t="str">
        <f t="shared" si="184"/>
        <v/>
      </c>
      <c r="AY3197" s="21" t="str">
        <f>IF(AND($AM3197&lt;&gt;"",$AS3197&lt;&gt;"✓"),SUMPRODUCT(($AM$11:$AM3197&lt;&gt;"")*($AS$11:$AS3197&lt;&gt;"✓")),"")</f>
        <v/>
      </c>
      <c r="AZ3197" s="21" t="str">
        <f>IF(AND($AM3197&lt;&gt;"",$AS3197="✓"),SUMPRODUCT(($AM$11:$AM3197&lt;&gt;"")*($AS$11:$AS3197="✓")),"")</f>
        <v/>
      </c>
      <c r="BA3197" s="21" t="str">
        <f>IF($AL3197="","",$AL3197&amp;"|"&amp;COUNTIF($AL$11:$AL3197,$AL3197))</f>
        <v/>
      </c>
    </row>
    <row r="3198" spans="38:53" ht="15" customHeight="1" x14ac:dyDescent="0.25">
      <c r="AL3198" s="31"/>
      <c r="AM3198" s="26"/>
      <c r="AN3198" s="32"/>
      <c r="AO3198" s="32"/>
      <c r="AP3198" s="24"/>
      <c r="AQ3198" s="24"/>
      <c r="AR3198" s="33"/>
      <c r="AS3198" s="34"/>
      <c r="AT3198" s="33"/>
      <c r="AV3198" s="21">
        <f>IF(AND($AL3198&lt;&gt;"",COUNTIF($AL$11:$AL3198,$AL3198)=1),1,0)</f>
        <v>0</v>
      </c>
      <c r="AW3198" s="21">
        <f t="shared" si="185"/>
        <v>2</v>
      </c>
      <c r="AX3198" s="21" t="str">
        <f t="shared" si="184"/>
        <v/>
      </c>
      <c r="AY3198" s="21" t="str">
        <f>IF(AND($AM3198&lt;&gt;"",$AS3198&lt;&gt;"✓"),SUMPRODUCT(($AM$11:$AM3198&lt;&gt;"")*($AS$11:$AS3198&lt;&gt;"✓")),"")</f>
        <v/>
      </c>
      <c r="AZ3198" s="21" t="str">
        <f>IF(AND($AM3198&lt;&gt;"",$AS3198="✓"),SUMPRODUCT(($AM$11:$AM3198&lt;&gt;"")*($AS$11:$AS3198="✓")),"")</f>
        <v/>
      </c>
      <c r="BA3198" s="21" t="str">
        <f>IF($AL3198="","",$AL3198&amp;"|"&amp;COUNTIF($AL$11:$AL3198,$AL3198))</f>
        <v/>
      </c>
    </row>
    <row r="3199" spans="38:53" ht="15" customHeight="1" x14ac:dyDescent="0.25">
      <c r="AL3199" s="17"/>
      <c r="AM3199" s="12"/>
      <c r="AN3199" s="18"/>
      <c r="AO3199" s="18"/>
      <c r="AP3199" s="10"/>
      <c r="AQ3199" s="10"/>
      <c r="AR3199" s="19"/>
      <c r="AS3199" s="20"/>
      <c r="AT3199" s="19"/>
      <c r="AV3199" s="21">
        <f>IF(AND($AL3199&lt;&gt;"",COUNTIF($AL$11:$AL3199,$AL3199)=1),1,0)</f>
        <v>0</v>
      </c>
      <c r="AW3199" s="21">
        <f t="shared" si="185"/>
        <v>2</v>
      </c>
      <c r="AX3199" s="21" t="str">
        <f t="shared" si="184"/>
        <v/>
      </c>
      <c r="AY3199" s="21" t="str">
        <f>IF(AND($AM3199&lt;&gt;"",$AS3199&lt;&gt;"✓"),SUMPRODUCT(($AM$11:$AM3199&lt;&gt;"")*($AS$11:$AS3199&lt;&gt;"✓")),"")</f>
        <v/>
      </c>
      <c r="AZ3199" s="21" t="str">
        <f>IF(AND($AM3199&lt;&gt;"",$AS3199="✓"),SUMPRODUCT(($AM$11:$AM3199&lt;&gt;"")*($AS$11:$AS3199="✓")),"")</f>
        <v/>
      </c>
      <c r="BA3199" s="21" t="str">
        <f>IF($AL3199="","",$AL3199&amp;"|"&amp;COUNTIF($AL$11:$AL3199,$AL3199))</f>
        <v/>
      </c>
    </row>
    <row r="3200" spans="38:53" ht="15" customHeight="1" x14ac:dyDescent="0.25">
      <c r="AL3200" s="31"/>
      <c r="AM3200" s="26"/>
      <c r="AN3200" s="32"/>
      <c r="AO3200" s="32"/>
      <c r="AP3200" s="24"/>
      <c r="AQ3200" s="24"/>
      <c r="AR3200" s="33"/>
      <c r="AS3200" s="34"/>
      <c r="AT3200" s="33"/>
      <c r="AV3200" s="21">
        <f>IF(AND($AL3200&lt;&gt;"",COUNTIF($AL$11:$AL3200,$AL3200)=1),1,0)</f>
        <v>0</v>
      </c>
      <c r="AW3200" s="21">
        <f t="shared" si="185"/>
        <v>2</v>
      </c>
      <c r="AX3200" s="21" t="str">
        <f t="shared" si="184"/>
        <v/>
      </c>
      <c r="AY3200" s="21" t="str">
        <f>IF(AND($AM3200&lt;&gt;"",$AS3200&lt;&gt;"✓"),SUMPRODUCT(($AM$11:$AM3200&lt;&gt;"")*($AS$11:$AS3200&lt;&gt;"✓")),"")</f>
        <v/>
      </c>
      <c r="AZ3200" s="21" t="str">
        <f>IF(AND($AM3200&lt;&gt;"",$AS3200="✓"),SUMPRODUCT(($AM$11:$AM3200&lt;&gt;"")*($AS$11:$AS3200="✓")),"")</f>
        <v/>
      </c>
      <c r="BA3200" s="21" t="str">
        <f>IF($AL3200="","",$AL3200&amp;"|"&amp;COUNTIF($AL$11:$AL3200,$AL3200))</f>
        <v/>
      </c>
    </row>
    <row r="3201" spans="38:53" ht="15" customHeight="1" x14ac:dyDescent="0.25">
      <c r="AL3201" s="17"/>
      <c r="AM3201" s="12"/>
      <c r="AN3201" s="18"/>
      <c r="AO3201" s="18"/>
      <c r="AP3201" s="10"/>
      <c r="AQ3201" s="10"/>
      <c r="AR3201" s="19"/>
      <c r="AS3201" s="20"/>
      <c r="AT3201" s="19"/>
      <c r="AV3201" s="21">
        <f>IF(AND($AL3201&lt;&gt;"",COUNTIF($AL$11:$AL3201,$AL3201)=1),1,0)</f>
        <v>0</v>
      </c>
      <c r="AW3201" s="21">
        <f t="shared" si="185"/>
        <v>2</v>
      </c>
      <c r="AX3201" s="21" t="str">
        <f t="shared" si="184"/>
        <v/>
      </c>
      <c r="AY3201" s="21" t="str">
        <f>IF(AND($AM3201&lt;&gt;"",$AS3201&lt;&gt;"✓"),SUMPRODUCT(($AM$11:$AM3201&lt;&gt;"")*($AS$11:$AS3201&lt;&gt;"✓")),"")</f>
        <v/>
      </c>
      <c r="AZ3201" s="21" t="str">
        <f>IF(AND($AM3201&lt;&gt;"",$AS3201="✓"),SUMPRODUCT(($AM$11:$AM3201&lt;&gt;"")*($AS$11:$AS3201="✓")),"")</f>
        <v/>
      </c>
      <c r="BA3201" s="21" t="str">
        <f>IF($AL3201="","",$AL3201&amp;"|"&amp;COUNTIF($AL$11:$AL3201,$AL3201))</f>
        <v/>
      </c>
    </row>
    <row r="3202" spans="38:53" ht="15" customHeight="1" x14ac:dyDescent="0.25">
      <c r="AL3202" s="31"/>
      <c r="AM3202" s="26"/>
      <c r="AN3202" s="32"/>
      <c r="AO3202" s="32"/>
      <c r="AP3202" s="24"/>
      <c r="AQ3202" s="24"/>
      <c r="AR3202" s="33"/>
      <c r="AS3202" s="34"/>
      <c r="AT3202" s="33"/>
      <c r="AV3202" s="21">
        <f>IF(AND($AL3202&lt;&gt;"",COUNTIF($AL$11:$AL3202,$AL3202)=1),1,0)</f>
        <v>0</v>
      </c>
      <c r="AW3202" s="21">
        <f t="shared" si="185"/>
        <v>2</v>
      </c>
      <c r="AX3202" s="21" t="str">
        <f t="shared" si="184"/>
        <v/>
      </c>
      <c r="AY3202" s="21" t="str">
        <f>IF(AND($AM3202&lt;&gt;"",$AS3202&lt;&gt;"✓"),SUMPRODUCT(($AM$11:$AM3202&lt;&gt;"")*($AS$11:$AS3202&lt;&gt;"✓")),"")</f>
        <v/>
      </c>
      <c r="AZ3202" s="21" t="str">
        <f>IF(AND($AM3202&lt;&gt;"",$AS3202="✓"),SUMPRODUCT(($AM$11:$AM3202&lt;&gt;"")*($AS$11:$AS3202="✓")),"")</f>
        <v/>
      </c>
      <c r="BA3202" s="21" t="str">
        <f>IF($AL3202="","",$AL3202&amp;"|"&amp;COUNTIF($AL$11:$AL3202,$AL3202))</f>
        <v/>
      </c>
    </row>
    <row r="3203" spans="38:53" ht="15" customHeight="1" x14ac:dyDescent="0.25">
      <c r="AL3203" s="17"/>
      <c r="AM3203" s="12"/>
      <c r="AN3203" s="18"/>
      <c r="AO3203" s="18"/>
      <c r="AP3203" s="10"/>
      <c r="AQ3203" s="10"/>
      <c r="AR3203" s="19"/>
      <c r="AS3203" s="20"/>
      <c r="AT3203" s="19"/>
      <c r="AV3203" s="21">
        <f>IF(AND($AL3203&lt;&gt;"",COUNTIF($AL$11:$AL3203,$AL3203)=1),1,0)</f>
        <v>0</v>
      </c>
      <c r="AW3203" s="21">
        <f t="shared" si="185"/>
        <v>2</v>
      </c>
      <c r="AX3203" s="21" t="str">
        <f t="shared" si="184"/>
        <v/>
      </c>
      <c r="AY3203" s="21" t="str">
        <f>IF(AND($AM3203&lt;&gt;"",$AS3203&lt;&gt;"✓"),SUMPRODUCT(($AM$11:$AM3203&lt;&gt;"")*($AS$11:$AS3203&lt;&gt;"✓")),"")</f>
        <v/>
      </c>
      <c r="AZ3203" s="21" t="str">
        <f>IF(AND($AM3203&lt;&gt;"",$AS3203="✓"),SUMPRODUCT(($AM$11:$AM3203&lt;&gt;"")*($AS$11:$AS3203="✓")),"")</f>
        <v/>
      </c>
      <c r="BA3203" s="21" t="str">
        <f>IF($AL3203="","",$AL3203&amp;"|"&amp;COUNTIF($AL$11:$AL3203,$AL3203))</f>
        <v/>
      </c>
    </row>
    <row r="3204" spans="38:53" ht="15" customHeight="1" x14ac:dyDescent="0.25">
      <c r="AL3204" s="31"/>
      <c r="AM3204" s="26"/>
      <c r="AN3204" s="32"/>
      <c r="AO3204" s="32"/>
      <c r="AP3204" s="24"/>
      <c r="AQ3204" s="24"/>
      <c r="AR3204" s="33"/>
      <c r="AS3204" s="34"/>
      <c r="AT3204" s="33"/>
      <c r="AV3204" s="21">
        <f>IF(AND($AL3204&lt;&gt;"",COUNTIF($AL$11:$AL3204,$AL3204)=1),1,0)</f>
        <v>0</v>
      </c>
      <c r="AW3204" s="21">
        <f t="shared" si="185"/>
        <v>2</v>
      </c>
      <c r="AX3204" s="21" t="str">
        <f t="shared" si="184"/>
        <v/>
      </c>
      <c r="AY3204" s="21" t="str">
        <f>IF(AND($AM3204&lt;&gt;"",$AS3204&lt;&gt;"✓"),SUMPRODUCT(($AM$11:$AM3204&lt;&gt;"")*($AS$11:$AS3204&lt;&gt;"✓")),"")</f>
        <v/>
      </c>
      <c r="AZ3204" s="21" t="str">
        <f>IF(AND($AM3204&lt;&gt;"",$AS3204="✓"),SUMPRODUCT(($AM$11:$AM3204&lt;&gt;"")*($AS$11:$AS3204="✓")),"")</f>
        <v/>
      </c>
      <c r="BA3204" s="21" t="str">
        <f>IF($AL3204="","",$AL3204&amp;"|"&amp;COUNTIF($AL$11:$AL3204,$AL3204))</f>
        <v/>
      </c>
    </row>
    <row r="3205" spans="38:53" ht="15" customHeight="1" x14ac:dyDescent="0.25">
      <c r="AL3205" s="17"/>
      <c r="AM3205" s="12"/>
      <c r="AN3205" s="18"/>
      <c r="AO3205" s="18"/>
      <c r="AP3205" s="10"/>
      <c r="AQ3205" s="10"/>
      <c r="AR3205" s="19"/>
      <c r="AS3205" s="20"/>
      <c r="AT3205" s="19"/>
      <c r="AV3205" s="21">
        <f>IF(AND($AL3205&lt;&gt;"",COUNTIF($AL$11:$AL3205,$AL3205)=1),1,0)</f>
        <v>0</v>
      </c>
      <c r="AW3205" s="21">
        <f t="shared" si="185"/>
        <v>2</v>
      </c>
      <c r="AX3205" s="21" t="str">
        <f t="shared" si="184"/>
        <v/>
      </c>
      <c r="AY3205" s="21" t="str">
        <f>IF(AND($AM3205&lt;&gt;"",$AS3205&lt;&gt;"✓"),SUMPRODUCT(($AM$11:$AM3205&lt;&gt;"")*($AS$11:$AS3205&lt;&gt;"✓")),"")</f>
        <v/>
      </c>
      <c r="AZ3205" s="21" t="str">
        <f>IF(AND($AM3205&lt;&gt;"",$AS3205="✓"),SUMPRODUCT(($AM$11:$AM3205&lt;&gt;"")*($AS$11:$AS3205="✓")),"")</f>
        <v/>
      </c>
      <c r="BA3205" s="21" t="str">
        <f>IF($AL3205="","",$AL3205&amp;"|"&amp;COUNTIF($AL$11:$AL3205,$AL3205))</f>
        <v/>
      </c>
    </row>
    <row r="3206" spans="38:53" ht="15" customHeight="1" x14ac:dyDescent="0.25">
      <c r="AL3206" s="31"/>
      <c r="AM3206" s="26"/>
      <c r="AN3206" s="32"/>
      <c r="AO3206" s="32"/>
      <c r="AP3206" s="24"/>
      <c r="AQ3206" s="24"/>
      <c r="AR3206" s="33"/>
      <c r="AS3206" s="34"/>
      <c r="AT3206" s="33"/>
      <c r="AV3206" s="21">
        <f>IF(AND($AL3206&lt;&gt;"",COUNTIF($AL$11:$AL3206,$AL3206)=1),1,0)</f>
        <v>0</v>
      </c>
      <c r="AW3206" s="21">
        <f t="shared" si="185"/>
        <v>2</v>
      </c>
      <c r="AX3206" s="21" t="str">
        <f t="shared" si="184"/>
        <v/>
      </c>
      <c r="AY3206" s="21" t="str">
        <f>IF(AND($AM3206&lt;&gt;"",$AS3206&lt;&gt;"✓"),SUMPRODUCT(($AM$11:$AM3206&lt;&gt;"")*($AS$11:$AS3206&lt;&gt;"✓")),"")</f>
        <v/>
      </c>
      <c r="AZ3206" s="21" t="str">
        <f>IF(AND($AM3206&lt;&gt;"",$AS3206="✓"),SUMPRODUCT(($AM$11:$AM3206&lt;&gt;"")*($AS$11:$AS3206="✓")),"")</f>
        <v/>
      </c>
      <c r="BA3206" s="21" t="str">
        <f>IF($AL3206="","",$AL3206&amp;"|"&amp;COUNTIF($AL$11:$AL3206,$AL3206))</f>
        <v/>
      </c>
    </row>
    <row r="3207" spans="38:53" ht="15" customHeight="1" x14ac:dyDescent="0.25">
      <c r="AL3207" s="17"/>
      <c r="AM3207" s="12"/>
      <c r="AN3207" s="18"/>
      <c r="AO3207" s="18"/>
      <c r="AP3207" s="10"/>
      <c r="AQ3207" s="10"/>
      <c r="AR3207" s="19"/>
      <c r="AS3207" s="20"/>
      <c r="AT3207" s="19"/>
      <c r="AV3207" s="21">
        <f>IF(AND($AL3207&lt;&gt;"",COUNTIF($AL$11:$AL3207,$AL3207)=1),1,0)</f>
        <v>0</v>
      </c>
      <c r="AW3207" s="21">
        <f t="shared" si="185"/>
        <v>2</v>
      </c>
      <c r="AX3207" s="21" t="str">
        <f t="shared" si="184"/>
        <v/>
      </c>
      <c r="AY3207" s="21" t="str">
        <f>IF(AND($AM3207&lt;&gt;"",$AS3207&lt;&gt;"✓"),SUMPRODUCT(($AM$11:$AM3207&lt;&gt;"")*($AS$11:$AS3207&lt;&gt;"✓")),"")</f>
        <v/>
      </c>
      <c r="AZ3207" s="21" t="str">
        <f>IF(AND($AM3207&lt;&gt;"",$AS3207="✓"),SUMPRODUCT(($AM$11:$AM3207&lt;&gt;"")*($AS$11:$AS3207="✓")),"")</f>
        <v/>
      </c>
      <c r="BA3207" s="21" t="str">
        <f>IF($AL3207="","",$AL3207&amp;"|"&amp;COUNTIF($AL$11:$AL3207,$AL3207))</f>
        <v/>
      </c>
    </row>
    <row r="3208" spans="38:53" ht="15" customHeight="1" x14ac:dyDescent="0.25">
      <c r="AL3208" s="31"/>
      <c r="AM3208" s="26"/>
      <c r="AN3208" s="32"/>
      <c r="AO3208" s="32"/>
      <c r="AP3208" s="24"/>
      <c r="AQ3208" s="24"/>
      <c r="AR3208" s="33"/>
      <c r="AS3208" s="34"/>
      <c r="AT3208" s="33"/>
      <c r="AV3208" s="21">
        <f>IF(AND($AL3208&lt;&gt;"",COUNTIF($AL$11:$AL3208,$AL3208)=1),1,0)</f>
        <v>0</v>
      </c>
      <c r="AW3208" s="21">
        <f t="shared" si="185"/>
        <v>2</v>
      </c>
      <c r="AX3208" s="21" t="str">
        <f t="shared" si="184"/>
        <v/>
      </c>
      <c r="AY3208" s="21" t="str">
        <f>IF(AND($AM3208&lt;&gt;"",$AS3208&lt;&gt;"✓"),SUMPRODUCT(($AM$11:$AM3208&lt;&gt;"")*($AS$11:$AS3208&lt;&gt;"✓")),"")</f>
        <v/>
      </c>
      <c r="AZ3208" s="21" t="str">
        <f>IF(AND($AM3208&lt;&gt;"",$AS3208="✓"),SUMPRODUCT(($AM$11:$AM3208&lt;&gt;"")*($AS$11:$AS3208="✓")),"")</f>
        <v/>
      </c>
      <c r="BA3208" s="21" t="str">
        <f>IF($AL3208="","",$AL3208&amp;"|"&amp;COUNTIF($AL$11:$AL3208,$AL3208))</f>
        <v/>
      </c>
    </row>
    <row r="3209" spans="38:53" ht="15" customHeight="1" x14ac:dyDescent="0.25">
      <c r="AL3209" s="17"/>
      <c r="AM3209" s="12"/>
      <c r="AN3209" s="18"/>
      <c r="AO3209" s="18"/>
      <c r="AP3209" s="10"/>
      <c r="AQ3209" s="10"/>
      <c r="AR3209" s="19"/>
      <c r="AS3209" s="20"/>
      <c r="AT3209" s="19"/>
      <c r="AV3209" s="21">
        <f>IF(AND($AL3209&lt;&gt;"",COUNTIF($AL$11:$AL3209,$AL3209)=1),1,0)</f>
        <v>0</v>
      </c>
      <c r="AW3209" s="21">
        <f t="shared" si="185"/>
        <v>2</v>
      </c>
      <c r="AX3209" s="21" t="str">
        <f t="shared" si="184"/>
        <v/>
      </c>
      <c r="AY3209" s="21" t="str">
        <f>IF(AND($AM3209&lt;&gt;"",$AS3209&lt;&gt;"✓"),SUMPRODUCT(($AM$11:$AM3209&lt;&gt;"")*($AS$11:$AS3209&lt;&gt;"✓")),"")</f>
        <v/>
      </c>
      <c r="AZ3209" s="21" t="str">
        <f>IF(AND($AM3209&lt;&gt;"",$AS3209="✓"),SUMPRODUCT(($AM$11:$AM3209&lt;&gt;"")*($AS$11:$AS3209="✓")),"")</f>
        <v/>
      </c>
      <c r="BA3209" s="21" t="str">
        <f>IF($AL3209="","",$AL3209&amp;"|"&amp;COUNTIF($AL$11:$AL3209,$AL3209))</f>
        <v/>
      </c>
    </row>
    <row r="3210" spans="38:53" ht="15" customHeight="1" x14ac:dyDescent="0.25">
      <c r="AL3210" s="31"/>
      <c r="AM3210" s="26"/>
      <c r="AN3210" s="32"/>
      <c r="AO3210" s="32"/>
      <c r="AP3210" s="24"/>
      <c r="AQ3210" s="24"/>
      <c r="AR3210" s="33"/>
      <c r="AS3210" s="34"/>
      <c r="AT3210" s="33"/>
      <c r="AV3210" s="21">
        <f>IF(AND($AL3210&lt;&gt;"",COUNTIF($AL$11:$AL3210,$AL3210)=1),1,0)</f>
        <v>0</v>
      </c>
      <c r="AW3210" s="21">
        <f t="shared" si="185"/>
        <v>2</v>
      </c>
      <c r="AX3210" s="21" t="str">
        <f t="shared" si="184"/>
        <v/>
      </c>
      <c r="AY3210" s="21" t="str">
        <f>IF(AND($AM3210&lt;&gt;"",$AS3210&lt;&gt;"✓"),SUMPRODUCT(($AM$11:$AM3210&lt;&gt;"")*($AS$11:$AS3210&lt;&gt;"✓")),"")</f>
        <v/>
      </c>
      <c r="AZ3210" s="21" t="str">
        <f>IF(AND($AM3210&lt;&gt;"",$AS3210="✓"),SUMPRODUCT(($AM$11:$AM3210&lt;&gt;"")*($AS$11:$AS3210="✓")),"")</f>
        <v/>
      </c>
      <c r="BA3210" s="21" t="str">
        <f>IF($AL3210="","",$AL3210&amp;"|"&amp;COUNTIF($AL$11:$AL3210,$AL3210))</f>
        <v/>
      </c>
    </row>
    <row r="3211" spans="38:53" ht="15" customHeight="1" x14ac:dyDescent="0.25">
      <c r="AL3211" s="17"/>
      <c r="AM3211" s="12"/>
      <c r="AN3211" s="18"/>
      <c r="AO3211" s="18"/>
      <c r="AP3211" s="10"/>
      <c r="AQ3211" s="10"/>
      <c r="AR3211" s="19"/>
      <c r="AS3211" s="20"/>
      <c r="AT3211" s="19"/>
      <c r="AV3211" s="21">
        <f>IF(AND($AL3211&lt;&gt;"",COUNTIF($AL$11:$AL3211,$AL3211)=1),1,0)</f>
        <v>0</v>
      </c>
      <c r="AW3211" s="21">
        <f t="shared" si="185"/>
        <v>2</v>
      </c>
      <c r="AX3211" s="21" t="str">
        <f t="shared" ref="AX3211:AX3274" si="186">IF(AV3211=1,AW3211,"")</f>
        <v/>
      </c>
      <c r="AY3211" s="21" t="str">
        <f>IF(AND($AM3211&lt;&gt;"",$AS3211&lt;&gt;"✓"),SUMPRODUCT(($AM$11:$AM3211&lt;&gt;"")*($AS$11:$AS3211&lt;&gt;"✓")),"")</f>
        <v/>
      </c>
      <c r="AZ3211" s="21" t="str">
        <f>IF(AND($AM3211&lt;&gt;"",$AS3211="✓"),SUMPRODUCT(($AM$11:$AM3211&lt;&gt;"")*($AS$11:$AS3211="✓")),"")</f>
        <v/>
      </c>
      <c r="BA3211" s="21" t="str">
        <f>IF($AL3211="","",$AL3211&amp;"|"&amp;COUNTIF($AL$11:$AL3211,$AL3211))</f>
        <v/>
      </c>
    </row>
    <row r="3212" spans="38:53" ht="15" customHeight="1" x14ac:dyDescent="0.25">
      <c r="AL3212" s="31"/>
      <c r="AM3212" s="26"/>
      <c r="AN3212" s="32"/>
      <c r="AO3212" s="32"/>
      <c r="AP3212" s="24"/>
      <c r="AQ3212" s="24"/>
      <c r="AR3212" s="33"/>
      <c r="AS3212" s="34"/>
      <c r="AT3212" s="33"/>
      <c r="AV3212" s="21">
        <f>IF(AND($AL3212&lt;&gt;"",COUNTIF($AL$11:$AL3212,$AL3212)=1),1,0)</f>
        <v>0</v>
      </c>
      <c r="AW3212" s="21">
        <f t="shared" ref="AW3212:AW3275" si="187">AW3211+AV3212</f>
        <v>2</v>
      </c>
      <c r="AX3212" s="21" t="str">
        <f t="shared" si="186"/>
        <v/>
      </c>
      <c r="AY3212" s="21" t="str">
        <f>IF(AND($AM3212&lt;&gt;"",$AS3212&lt;&gt;"✓"),SUMPRODUCT(($AM$11:$AM3212&lt;&gt;"")*($AS$11:$AS3212&lt;&gt;"✓")),"")</f>
        <v/>
      </c>
      <c r="AZ3212" s="21" t="str">
        <f>IF(AND($AM3212&lt;&gt;"",$AS3212="✓"),SUMPRODUCT(($AM$11:$AM3212&lt;&gt;"")*($AS$11:$AS3212="✓")),"")</f>
        <v/>
      </c>
      <c r="BA3212" s="21" t="str">
        <f>IF($AL3212="","",$AL3212&amp;"|"&amp;COUNTIF($AL$11:$AL3212,$AL3212))</f>
        <v/>
      </c>
    </row>
    <row r="3213" spans="38:53" ht="15" customHeight="1" x14ac:dyDescent="0.25">
      <c r="AL3213" s="17"/>
      <c r="AM3213" s="12"/>
      <c r="AN3213" s="18"/>
      <c r="AO3213" s="18"/>
      <c r="AP3213" s="10"/>
      <c r="AQ3213" s="10"/>
      <c r="AR3213" s="19"/>
      <c r="AS3213" s="20"/>
      <c r="AT3213" s="19"/>
      <c r="AV3213" s="21">
        <f>IF(AND($AL3213&lt;&gt;"",COUNTIF($AL$11:$AL3213,$AL3213)=1),1,0)</f>
        <v>0</v>
      </c>
      <c r="AW3213" s="21">
        <f t="shared" si="187"/>
        <v>2</v>
      </c>
      <c r="AX3213" s="21" t="str">
        <f t="shared" si="186"/>
        <v/>
      </c>
      <c r="AY3213" s="21" t="str">
        <f>IF(AND($AM3213&lt;&gt;"",$AS3213&lt;&gt;"✓"),SUMPRODUCT(($AM$11:$AM3213&lt;&gt;"")*($AS$11:$AS3213&lt;&gt;"✓")),"")</f>
        <v/>
      </c>
      <c r="AZ3213" s="21" t="str">
        <f>IF(AND($AM3213&lt;&gt;"",$AS3213="✓"),SUMPRODUCT(($AM$11:$AM3213&lt;&gt;"")*($AS$11:$AS3213="✓")),"")</f>
        <v/>
      </c>
      <c r="BA3213" s="21" t="str">
        <f>IF($AL3213="","",$AL3213&amp;"|"&amp;COUNTIF($AL$11:$AL3213,$AL3213))</f>
        <v/>
      </c>
    </row>
    <row r="3214" spans="38:53" ht="15" customHeight="1" x14ac:dyDescent="0.25">
      <c r="AL3214" s="31"/>
      <c r="AM3214" s="26"/>
      <c r="AN3214" s="32"/>
      <c r="AO3214" s="32"/>
      <c r="AP3214" s="24"/>
      <c r="AQ3214" s="24"/>
      <c r="AR3214" s="33"/>
      <c r="AS3214" s="34"/>
      <c r="AT3214" s="33"/>
      <c r="AV3214" s="21">
        <f>IF(AND($AL3214&lt;&gt;"",COUNTIF($AL$11:$AL3214,$AL3214)=1),1,0)</f>
        <v>0</v>
      </c>
      <c r="AW3214" s="21">
        <f t="shared" si="187"/>
        <v>2</v>
      </c>
      <c r="AX3214" s="21" t="str">
        <f t="shared" si="186"/>
        <v/>
      </c>
      <c r="AY3214" s="21" t="str">
        <f>IF(AND($AM3214&lt;&gt;"",$AS3214&lt;&gt;"✓"),SUMPRODUCT(($AM$11:$AM3214&lt;&gt;"")*($AS$11:$AS3214&lt;&gt;"✓")),"")</f>
        <v/>
      </c>
      <c r="AZ3214" s="21" t="str">
        <f>IF(AND($AM3214&lt;&gt;"",$AS3214="✓"),SUMPRODUCT(($AM$11:$AM3214&lt;&gt;"")*($AS$11:$AS3214="✓")),"")</f>
        <v/>
      </c>
      <c r="BA3214" s="21" t="str">
        <f>IF($AL3214="","",$AL3214&amp;"|"&amp;COUNTIF($AL$11:$AL3214,$AL3214))</f>
        <v/>
      </c>
    </row>
    <row r="3215" spans="38:53" ht="15" customHeight="1" x14ac:dyDescent="0.25">
      <c r="AL3215" s="17"/>
      <c r="AM3215" s="12"/>
      <c r="AN3215" s="18"/>
      <c r="AO3215" s="18"/>
      <c r="AP3215" s="10"/>
      <c r="AQ3215" s="10"/>
      <c r="AR3215" s="19"/>
      <c r="AS3215" s="20"/>
      <c r="AT3215" s="19"/>
      <c r="AV3215" s="21">
        <f>IF(AND($AL3215&lt;&gt;"",COUNTIF($AL$11:$AL3215,$AL3215)=1),1,0)</f>
        <v>0</v>
      </c>
      <c r="AW3215" s="21">
        <f t="shared" si="187"/>
        <v>2</v>
      </c>
      <c r="AX3215" s="21" t="str">
        <f t="shared" si="186"/>
        <v/>
      </c>
      <c r="AY3215" s="21" t="str">
        <f>IF(AND($AM3215&lt;&gt;"",$AS3215&lt;&gt;"✓"),SUMPRODUCT(($AM$11:$AM3215&lt;&gt;"")*($AS$11:$AS3215&lt;&gt;"✓")),"")</f>
        <v/>
      </c>
      <c r="AZ3215" s="21" t="str">
        <f>IF(AND($AM3215&lt;&gt;"",$AS3215="✓"),SUMPRODUCT(($AM$11:$AM3215&lt;&gt;"")*($AS$11:$AS3215="✓")),"")</f>
        <v/>
      </c>
      <c r="BA3215" s="21" t="str">
        <f>IF($AL3215="","",$AL3215&amp;"|"&amp;COUNTIF($AL$11:$AL3215,$AL3215))</f>
        <v/>
      </c>
    </row>
    <row r="3216" spans="38:53" ht="15" customHeight="1" x14ac:dyDescent="0.25">
      <c r="AL3216" s="31"/>
      <c r="AM3216" s="26"/>
      <c r="AN3216" s="32"/>
      <c r="AO3216" s="32"/>
      <c r="AP3216" s="24"/>
      <c r="AQ3216" s="24"/>
      <c r="AR3216" s="33"/>
      <c r="AS3216" s="34"/>
      <c r="AT3216" s="33"/>
      <c r="AV3216" s="21">
        <f>IF(AND($AL3216&lt;&gt;"",COUNTIF($AL$11:$AL3216,$AL3216)=1),1,0)</f>
        <v>0</v>
      </c>
      <c r="AW3216" s="21">
        <f t="shared" si="187"/>
        <v>2</v>
      </c>
      <c r="AX3216" s="21" t="str">
        <f t="shared" si="186"/>
        <v/>
      </c>
      <c r="AY3216" s="21" t="str">
        <f>IF(AND($AM3216&lt;&gt;"",$AS3216&lt;&gt;"✓"),SUMPRODUCT(($AM$11:$AM3216&lt;&gt;"")*($AS$11:$AS3216&lt;&gt;"✓")),"")</f>
        <v/>
      </c>
      <c r="AZ3216" s="21" t="str">
        <f>IF(AND($AM3216&lt;&gt;"",$AS3216="✓"),SUMPRODUCT(($AM$11:$AM3216&lt;&gt;"")*($AS$11:$AS3216="✓")),"")</f>
        <v/>
      </c>
      <c r="BA3216" s="21" t="str">
        <f>IF($AL3216="","",$AL3216&amp;"|"&amp;COUNTIF($AL$11:$AL3216,$AL3216))</f>
        <v/>
      </c>
    </row>
    <row r="3217" spans="38:53" ht="15" customHeight="1" x14ac:dyDescent="0.25">
      <c r="AL3217" s="17"/>
      <c r="AM3217" s="12"/>
      <c r="AN3217" s="18"/>
      <c r="AO3217" s="18"/>
      <c r="AP3217" s="10"/>
      <c r="AQ3217" s="10"/>
      <c r="AR3217" s="19"/>
      <c r="AS3217" s="20"/>
      <c r="AT3217" s="19"/>
      <c r="AV3217" s="21">
        <f>IF(AND($AL3217&lt;&gt;"",COUNTIF($AL$11:$AL3217,$AL3217)=1),1,0)</f>
        <v>0</v>
      </c>
      <c r="AW3217" s="21">
        <f t="shared" si="187"/>
        <v>2</v>
      </c>
      <c r="AX3217" s="21" t="str">
        <f t="shared" si="186"/>
        <v/>
      </c>
      <c r="AY3217" s="21" t="str">
        <f>IF(AND($AM3217&lt;&gt;"",$AS3217&lt;&gt;"✓"),SUMPRODUCT(($AM$11:$AM3217&lt;&gt;"")*($AS$11:$AS3217&lt;&gt;"✓")),"")</f>
        <v/>
      </c>
      <c r="AZ3217" s="21" t="str">
        <f>IF(AND($AM3217&lt;&gt;"",$AS3217="✓"),SUMPRODUCT(($AM$11:$AM3217&lt;&gt;"")*($AS$11:$AS3217="✓")),"")</f>
        <v/>
      </c>
      <c r="BA3217" s="21" t="str">
        <f>IF($AL3217="","",$AL3217&amp;"|"&amp;COUNTIF($AL$11:$AL3217,$AL3217))</f>
        <v/>
      </c>
    </row>
    <row r="3218" spans="38:53" ht="15" customHeight="1" x14ac:dyDescent="0.25">
      <c r="AL3218" s="31"/>
      <c r="AM3218" s="26"/>
      <c r="AN3218" s="32"/>
      <c r="AO3218" s="32"/>
      <c r="AP3218" s="24"/>
      <c r="AQ3218" s="24"/>
      <c r="AR3218" s="33"/>
      <c r="AS3218" s="34"/>
      <c r="AT3218" s="33"/>
      <c r="AV3218" s="21">
        <f>IF(AND($AL3218&lt;&gt;"",COUNTIF($AL$11:$AL3218,$AL3218)=1),1,0)</f>
        <v>0</v>
      </c>
      <c r="AW3218" s="21">
        <f t="shared" si="187"/>
        <v>2</v>
      </c>
      <c r="AX3218" s="21" t="str">
        <f t="shared" si="186"/>
        <v/>
      </c>
      <c r="AY3218" s="21" t="str">
        <f>IF(AND($AM3218&lt;&gt;"",$AS3218&lt;&gt;"✓"),SUMPRODUCT(($AM$11:$AM3218&lt;&gt;"")*($AS$11:$AS3218&lt;&gt;"✓")),"")</f>
        <v/>
      </c>
      <c r="AZ3218" s="21" t="str">
        <f>IF(AND($AM3218&lt;&gt;"",$AS3218="✓"),SUMPRODUCT(($AM$11:$AM3218&lt;&gt;"")*($AS$11:$AS3218="✓")),"")</f>
        <v/>
      </c>
      <c r="BA3218" s="21" t="str">
        <f>IF($AL3218="","",$AL3218&amp;"|"&amp;COUNTIF($AL$11:$AL3218,$AL3218))</f>
        <v/>
      </c>
    </row>
    <row r="3219" spans="38:53" ht="15" customHeight="1" x14ac:dyDescent="0.25">
      <c r="AL3219" s="17"/>
      <c r="AM3219" s="12"/>
      <c r="AN3219" s="18"/>
      <c r="AO3219" s="18"/>
      <c r="AP3219" s="10"/>
      <c r="AQ3219" s="10"/>
      <c r="AR3219" s="19"/>
      <c r="AS3219" s="20"/>
      <c r="AT3219" s="19"/>
      <c r="AV3219" s="21">
        <f>IF(AND($AL3219&lt;&gt;"",COUNTIF($AL$11:$AL3219,$AL3219)=1),1,0)</f>
        <v>0</v>
      </c>
      <c r="AW3219" s="21">
        <f t="shared" si="187"/>
        <v>2</v>
      </c>
      <c r="AX3219" s="21" t="str">
        <f t="shared" si="186"/>
        <v/>
      </c>
      <c r="AY3219" s="21" t="str">
        <f>IF(AND($AM3219&lt;&gt;"",$AS3219&lt;&gt;"✓"),SUMPRODUCT(($AM$11:$AM3219&lt;&gt;"")*($AS$11:$AS3219&lt;&gt;"✓")),"")</f>
        <v/>
      </c>
      <c r="AZ3219" s="21" t="str">
        <f>IF(AND($AM3219&lt;&gt;"",$AS3219="✓"),SUMPRODUCT(($AM$11:$AM3219&lt;&gt;"")*($AS$11:$AS3219="✓")),"")</f>
        <v/>
      </c>
      <c r="BA3219" s="21" t="str">
        <f>IF($AL3219="","",$AL3219&amp;"|"&amp;COUNTIF($AL$11:$AL3219,$AL3219))</f>
        <v/>
      </c>
    </row>
    <row r="3220" spans="38:53" ht="15" customHeight="1" x14ac:dyDescent="0.25">
      <c r="AL3220" s="31"/>
      <c r="AM3220" s="26"/>
      <c r="AN3220" s="32"/>
      <c r="AO3220" s="32"/>
      <c r="AP3220" s="24"/>
      <c r="AQ3220" s="24"/>
      <c r="AR3220" s="33"/>
      <c r="AS3220" s="34"/>
      <c r="AT3220" s="33"/>
      <c r="AV3220" s="21">
        <f>IF(AND($AL3220&lt;&gt;"",COUNTIF($AL$11:$AL3220,$AL3220)=1),1,0)</f>
        <v>0</v>
      </c>
      <c r="AW3220" s="21">
        <f t="shared" si="187"/>
        <v>2</v>
      </c>
      <c r="AX3220" s="21" t="str">
        <f t="shared" si="186"/>
        <v/>
      </c>
      <c r="AY3220" s="21" t="str">
        <f>IF(AND($AM3220&lt;&gt;"",$AS3220&lt;&gt;"✓"),SUMPRODUCT(($AM$11:$AM3220&lt;&gt;"")*($AS$11:$AS3220&lt;&gt;"✓")),"")</f>
        <v/>
      </c>
      <c r="AZ3220" s="21" t="str">
        <f>IF(AND($AM3220&lt;&gt;"",$AS3220="✓"),SUMPRODUCT(($AM$11:$AM3220&lt;&gt;"")*($AS$11:$AS3220="✓")),"")</f>
        <v/>
      </c>
      <c r="BA3220" s="21" t="str">
        <f>IF($AL3220="","",$AL3220&amp;"|"&amp;COUNTIF($AL$11:$AL3220,$AL3220))</f>
        <v/>
      </c>
    </row>
    <row r="3221" spans="38:53" ht="15" customHeight="1" x14ac:dyDescent="0.25">
      <c r="AL3221" s="17"/>
      <c r="AM3221" s="12"/>
      <c r="AN3221" s="18"/>
      <c r="AO3221" s="18"/>
      <c r="AP3221" s="10"/>
      <c r="AQ3221" s="10"/>
      <c r="AR3221" s="19"/>
      <c r="AS3221" s="20"/>
      <c r="AT3221" s="19"/>
      <c r="AV3221" s="21">
        <f>IF(AND($AL3221&lt;&gt;"",COUNTIF($AL$11:$AL3221,$AL3221)=1),1,0)</f>
        <v>0</v>
      </c>
      <c r="AW3221" s="21">
        <f t="shared" si="187"/>
        <v>2</v>
      </c>
      <c r="AX3221" s="21" t="str">
        <f t="shared" si="186"/>
        <v/>
      </c>
      <c r="AY3221" s="21" t="str">
        <f>IF(AND($AM3221&lt;&gt;"",$AS3221&lt;&gt;"✓"),SUMPRODUCT(($AM$11:$AM3221&lt;&gt;"")*($AS$11:$AS3221&lt;&gt;"✓")),"")</f>
        <v/>
      </c>
      <c r="AZ3221" s="21" t="str">
        <f>IF(AND($AM3221&lt;&gt;"",$AS3221="✓"),SUMPRODUCT(($AM$11:$AM3221&lt;&gt;"")*($AS$11:$AS3221="✓")),"")</f>
        <v/>
      </c>
      <c r="BA3221" s="21" t="str">
        <f>IF($AL3221="","",$AL3221&amp;"|"&amp;COUNTIF($AL$11:$AL3221,$AL3221))</f>
        <v/>
      </c>
    </row>
    <row r="3222" spans="38:53" ht="15" customHeight="1" x14ac:dyDescent="0.25">
      <c r="AL3222" s="31"/>
      <c r="AM3222" s="26"/>
      <c r="AN3222" s="32"/>
      <c r="AO3222" s="32"/>
      <c r="AP3222" s="24"/>
      <c r="AQ3222" s="24"/>
      <c r="AR3222" s="33"/>
      <c r="AS3222" s="34"/>
      <c r="AT3222" s="33"/>
      <c r="AV3222" s="21">
        <f>IF(AND($AL3222&lt;&gt;"",COUNTIF($AL$11:$AL3222,$AL3222)=1),1,0)</f>
        <v>0</v>
      </c>
      <c r="AW3222" s="21">
        <f t="shared" si="187"/>
        <v>2</v>
      </c>
      <c r="AX3222" s="21" t="str">
        <f t="shared" si="186"/>
        <v/>
      </c>
      <c r="AY3222" s="21" t="str">
        <f>IF(AND($AM3222&lt;&gt;"",$AS3222&lt;&gt;"✓"),SUMPRODUCT(($AM$11:$AM3222&lt;&gt;"")*($AS$11:$AS3222&lt;&gt;"✓")),"")</f>
        <v/>
      </c>
      <c r="AZ3222" s="21" t="str">
        <f>IF(AND($AM3222&lt;&gt;"",$AS3222="✓"),SUMPRODUCT(($AM$11:$AM3222&lt;&gt;"")*($AS$11:$AS3222="✓")),"")</f>
        <v/>
      </c>
      <c r="BA3222" s="21" t="str">
        <f>IF($AL3222="","",$AL3222&amp;"|"&amp;COUNTIF($AL$11:$AL3222,$AL3222))</f>
        <v/>
      </c>
    </row>
    <row r="3223" spans="38:53" ht="15" customHeight="1" x14ac:dyDescent="0.25">
      <c r="AL3223" s="17"/>
      <c r="AM3223" s="12"/>
      <c r="AN3223" s="18"/>
      <c r="AO3223" s="18"/>
      <c r="AP3223" s="10"/>
      <c r="AQ3223" s="10"/>
      <c r="AR3223" s="19"/>
      <c r="AS3223" s="20"/>
      <c r="AT3223" s="19"/>
      <c r="AV3223" s="21">
        <f>IF(AND($AL3223&lt;&gt;"",COUNTIF($AL$11:$AL3223,$AL3223)=1),1,0)</f>
        <v>0</v>
      </c>
      <c r="AW3223" s="21">
        <f t="shared" si="187"/>
        <v>2</v>
      </c>
      <c r="AX3223" s="21" t="str">
        <f t="shared" si="186"/>
        <v/>
      </c>
      <c r="AY3223" s="21" t="str">
        <f>IF(AND($AM3223&lt;&gt;"",$AS3223&lt;&gt;"✓"),SUMPRODUCT(($AM$11:$AM3223&lt;&gt;"")*($AS$11:$AS3223&lt;&gt;"✓")),"")</f>
        <v/>
      </c>
      <c r="AZ3223" s="21" t="str">
        <f>IF(AND($AM3223&lt;&gt;"",$AS3223="✓"),SUMPRODUCT(($AM$11:$AM3223&lt;&gt;"")*($AS$11:$AS3223="✓")),"")</f>
        <v/>
      </c>
      <c r="BA3223" s="21" t="str">
        <f>IF($AL3223="","",$AL3223&amp;"|"&amp;COUNTIF($AL$11:$AL3223,$AL3223))</f>
        <v/>
      </c>
    </row>
    <row r="3224" spans="38:53" ht="15" customHeight="1" x14ac:dyDescent="0.25">
      <c r="AL3224" s="31"/>
      <c r="AM3224" s="26"/>
      <c r="AN3224" s="32"/>
      <c r="AO3224" s="32"/>
      <c r="AP3224" s="24"/>
      <c r="AQ3224" s="24"/>
      <c r="AR3224" s="33"/>
      <c r="AS3224" s="34"/>
      <c r="AT3224" s="33"/>
      <c r="AV3224" s="21">
        <f>IF(AND($AL3224&lt;&gt;"",COUNTIF($AL$11:$AL3224,$AL3224)=1),1,0)</f>
        <v>0</v>
      </c>
      <c r="AW3224" s="21">
        <f t="shared" si="187"/>
        <v>2</v>
      </c>
      <c r="AX3224" s="21" t="str">
        <f t="shared" si="186"/>
        <v/>
      </c>
      <c r="AY3224" s="21" t="str">
        <f>IF(AND($AM3224&lt;&gt;"",$AS3224&lt;&gt;"✓"),SUMPRODUCT(($AM$11:$AM3224&lt;&gt;"")*($AS$11:$AS3224&lt;&gt;"✓")),"")</f>
        <v/>
      </c>
      <c r="AZ3224" s="21" t="str">
        <f>IF(AND($AM3224&lt;&gt;"",$AS3224="✓"),SUMPRODUCT(($AM$11:$AM3224&lt;&gt;"")*($AS$11:$AS3224="✓")),"")</f>
        <v/>
      </c>
      <c r="BA3224" s="21" t="str">
        <f>IF($AL3224="","",$AL3224&amp;"|"&amp;COUNTIF($AL$11:$AL3224,$AL3224))</f>
        <v/>
      </c>
    </row>
    <row r="3225" spans="38:53" ht="15" customHeight="1" x14ac:dyDescent="0.25">
      <c r="AL3225" s="17"/>
      <c r="AM3225" s="12"/>
      <c r="AN3225" s="18"/>
      <c r="AO3225" s="18"/>
      <c r="AP3225" s="10"/>
      <c r="AQ3225" s="10"/>
      <c r="AR3225" s="19"/>
      <c r="AS3225" s="20"/>
      <c r="AT3225" s="19"/>
      <c r="AV3225" s="21">
        <f>IF(AND($AL3225&lt;&gt;"",COUNTIF($AL$11:$AL3225,$AL3225)=1),1,0)</f>
        <v>0</v>
      </c>
      <c r="AW3225" s="21">
        <f t="shared" si="187"/>
        <v>2</v>
      </c>
      <c r="AX3225" s="21" t="str">
        <f t="shared" si="186"/>
        <v/>
      </c>
      <c r="AY3225" s="21" t="str">
        <f>IF(AND($AM3225&lt;&gt;"",$AS3225&lt;&gt;"✓"),SUMPRODUCT(($AM$11:$AM3225&lt;&gt;"")*($AS$11:$AS3225&lt;&gt;"✓")),"")</f>
        <v/>
      </c>
      <c r="AZ3225" s="21" t="str">
        <f>IF(AND($AM3225&lt;&gt;"",$AS3225="✓"),SUMPRODUCT(($AM$11:$AM3225&lt;&gt;"")*($AS$11:$AS3225="✓")),"")</f>
        <v/>
      </c>
      <c r="BA3225" s="21" t="str">
        <f>IF($AL3225="","",$AL3225&amp;"|"&amp;COUNTIF($AL$11:$AL3225,$AL3225))</f>
        <v/>
      </c>
    </row>
    <row r="3226" spans="38:53" ht="15" customHeight="1" x14ac:dyDescent="0.25">
      <c r="AL3226" s="31"/>
      <c r="AM3226" s="26"/>
      <c r="AN3226" s="32"/>
      <c r="AO3226" s="32"/>
      <c r="AP3226" s="24"/>
      <c r="AQ3226" s="24"/>
      <c r="AR3226" s="33"/>
      <c r="AS3226" s="34"/>
      <c r="AT3226" s="33"/>
      <c r="AV3226" s="21">
        <f>IF(AND($AL3226&lt;&gt;"",COUNTIF($AL$11:$AL3226,$AL3226)=1),1,0)</f>
        <v>0</v>
      </c>
      <c r="AW3226" s="21">
        <f t="shared" si="187"/>
        <v>2</v>
      </c>
      <c r="AX3226" s="21" t="str">
        <f t="shared" si="186"/>
        <v/>
      </c>
      <c r="AY3226" s="21" t="str">
        <f>IF(AND($AM3226&lt;&gt;"",$AS3226&lt;&gt;"✓"),SUMPRODUCT(($AM$11:$AM3226&lt;&gt;"")*($AS$11:$AS3226&lt;&gt;"✓")),"")</f>
        <v/>
      </c>
      <c r="AZ3226" s="21" t="str">
        <f>IF(AND($AM3226&lt;&gt;"",$AS3226="✓"),SUMPRODUCT(($AM$11:$AM3226&lt;&gt;"")*($AS$11:$AS3226="✓")),"")</f>
        <v/>
      </c>
      <c r="BA3226" s="21" t="str">
        <f>IF($AL3226="","",$AL3226&amp;"|"&amp;COUNTIF($AL$11:$AL3226,$AL3226))</f>
        <v/>
      </c>
    </row>
    <row r="3227" spans="38:53" ht="15" customHeight="1" x14ac:dyDescent="0.25">
      <c r="AL3227" s="17"/>
      <c r="AM3227" s="12"/>
      <c r="AN3227" s="18"/>
      <c r="AO3227" s="18"/>
      <c r="AP3227" s="10"/>
      <c r="AQ3227" s="10"/>
      <c r="AR3227" s="19"/>
      <c r="AS3227" s="20"/>
      <c r="AT3227" s="19"/>
      <c r="AV3227" s="21">
        <f>IF(AND($AL3227&lt;&gt;"",COUNTIF($AL$11:$AL3227,$AL3227)=1),1,0)</f>
        <v>0</v>
      </c>
      <c r="AW3227" s="21">
        <f t="shared" si="187"/>
        <v>2</v>
      </c>
      <c r="AX3227" s="21" t="str">
        <f t="shared" si="186"/>
        <v/>
      </c>
      <c r="AY3227" s="21" t="str">
        <f>IF(AND($AM3227&lt;&gt;"",$AS3227&lt;&gt;"✓"),SUMPRODUCT(($AM$11:$AM3227&lt;&gt;"")*($AS$11:$AS3227&lt;&gt;"✓")),"")</f>
        <v/>
      </c>
      <c r="AZ3227" s="21" t="str">
        <f>IF(AND($AM3227&lt;&gt;"",$AS3227="✓"),SUMPRODUCT(($AM$11:$AM3227&lt;&gt;"")*($AS$11:$AS3227="✓")),"")</f>
        <v/>
      </c>
      <c r="BA3227" s="21" t="str">
        <f>IF($AL3227="","",$AL3227&amp;"|"&amp;COUNTIF($AL$11:$AL3227,$AL3227))</f>
        <v/>
      </c>
    </row>
    <row r="3228" spans="38:53" ht="15" customHeight="1" x14ac:dyDescent="0.25">
      <c r="AL3228" s="31"/>
      <c r="AM3228" s="26"/>
      <c r="AN3228" s="32"/>
      <c r="AO3228" s="32"/>
      <c r="AP3228" s="24"/>
      <c r="AQ3228" s="24"/>
      <c r="AR3228" s="33"/>
      <c r="AS3228" s="34"/>
      <c r="AT3228" s="33"/>
      <c r="AV3228" s="21">
        <f>IF(AND($AL3228&lt;&gt;"",COUNTIF($AL$11:$AL3228,$AL3228)=1),1,0)</f>
        <v>0</v>
      </c>
      <c r="AW3228" s="21">
        <f t="shared" si="187"/>
        <v>2</v>
      </c>
      <c r="AX3228" s="21" t="str">
        <f t="shared" si="186"/>
        <v/>
      </c>
      <c r="AY3228" s="21" t="str">
        <f>IF(AND($AM3228&lt;&gt;"",$AS3228&lt;&gt;"✓"),SUMPRODUCT(($AM$11:$AM3228&lt;&gt;"")*($AS$11:$AS3228&lt;&gt;"✓")),"")</f>
        <v/>
      </c>
      <c r="AZ3228" s="21" t="str">
        <f>IF(AND($AM3228&lt;&gt;"",$AS3228="✓"),SUMPRODUCT(($AM$11:$AM3228&lt;&gt;"")*($AS$11:$AS3228="✓")),"")</f>
        <v/>
      </c>
      <c r="BA3228" s="21" t="str">
        <f>IF($AL3228="","",$AL3228&amp;"|"&amp;COUNTIF($AL$11:$AL3228,$AL3228))</f>
        <v/>
      </c>
    </row>
    <row r="3229" spans="38:53" ht="15" customHeight="1" x14ac:dyDescent="0.25">
      <c r="AL3229" s="17"/>
      <c r="AM3229" s="12"/>
      <c r="AN3229" s="18"/>
      <c r="AO3229" s="18"/>
      <c r="AP3229" s="10"/>
      <c r="AQ3229" s="10"/>
      <c r="AR3229" s="19"/>
      <c r="AS3229" s="20"/>
      <c r="AT3229" s="19"/>
      <c r="AV3229" s="21">
        <f>IF(AND($AL3229&lt;&gt;"",COUNTIF($AL$11:$AL3229,$AL3229)=1),1,0)</f>
        <v>0</v>
      </c>
      <c r="AW3229" s="21">
        <f t="shared" si="187"/>
        <v>2</v>
      </c>
      <c r="AX3229" s="21" t="str">
        <f t="shared" si="186"/>
        <v/>
      </c>
      <c r="AY3229" s="21" t="str">
        <f>IF(AND($AM3229&lt;&gt;"",$AS3229&lt;&gt;"✓"),SUMPRODUCT(($AM$11:$AM3229&lt;&gt;"")*($AS$11:$AS3229&lt;&gt;"✓")),"")</f>
        <v/>
      </c>
      <c r="AZ3229" s="21" t="str">
        <f>IF(AND($AM3229&lt;&gt;"",$AS3229="✓"),SUMPRODUCT(($AM$11:$AM3229&lt;&gt;"")*($AS$11:$AS3229="✓")),"")</f>
        <v/>
      </c>
      <c r="BA3229" s="21" t="str">
        <f>IF($AL3229="","",$AL3229&amp;"|"&amp;COUNTIF($AL$11:$AL3229,$AL3229))</f>
        <v/>
      </c>
    </row>
    <row r="3230" spans="38:53" ht="15" customHeight="1" x14ac:dyDescent="0.25">
      <c r="AL3230" s="31"/>
      <c r="AM3230" s="26"/>
      <c r="AN3230" s="32"/>
      <c r="AO3230" s="32"/>
      <c r="AP3230" s="24"/>
      <c r="AQ3230" s="24"/>
      <c r="AR3230" s="33"/>
      <c r="AS3230" s="34"/>
      <c r="AT3230" s="33"/>
      <c r="AV3230" s="21">
        <f>IF(AND($AL3230&lt;&gt;"",COUNTIF($AL$11:$AL3230,$AL3230)=1),1,0)</f>
        <v>0</v>
      </c>
      <c r="AW3230" s="21">
        <f t="shared" si="187"/>
        <v>2</v>
      </c>
      <c r="AX3230" s="21" t="str">
        <f t="shared" si="186"/>
        <v/>
      </c>
      <c r="AY3230" s="21" t="str">
        <f>IF(AND($AM3230&lt;&gt;"",$AS3230&lt;&gt;"✓"),SUMPRODUCT(($AM$11:$AM3230&lt;&gt;"")*($AS$11:$AS3230&lt;&gt;"✓")),"")</f>
        <v/>
      </c>
      <c r="AZ3230" s="21" t="str">
        <f>IF(AND($AM3230&lt;&gt;"",$AS3230="✓"),SUMPRODUCT(($AM$11:$AM3230&lt;&gt;"")*($AS$11:$AS3230="✓")),"")</f>
        <v/>
      </c>
      <c r="BA3230" s="21" t="str">
        <f>IF($AL3230="","",$AL3230&amp;"|"&amp;COUNTIF($AL$11:$AL3230,$AL3230))</f>
        <v/>
      </c>
    </row>
    <row r="3231" spans="38:53" ht="15" customHeight="1" x14ac:dyDescent="0.25">
      <c r="AL3231" s="17"/>
      <c r="AM3231" s="12"/>
      <c r="AN3231" s="18"/>
      <c r="AO3231" s="18"/>
      <c r="AP3231" s="10"/>
      <c r="AQ3231" s="10"/>
      <c r="AR3231" s="19"/>
      <c r="AS3231" s="20"/>
      <c r="AT3231" s="19"/>
      <c r="AV3231" s="21">
        <f>IF(AND($AL3231&lt;&gt;"",COUNTIF($AL$11:$AL3231,$AL3231)=1),1,0)</f>
        <v>0</v>
      </c>
      <c r="AW3231" s="21">
        <f t="shared" si="187"/>
        <v>2</v>
      </c>
      <c r="AX3231" s="21" t="str">
        <f t="shared" si="186"/>
        <v/>
      </c>
      <c r="AY3231" s="21" t="str">
        <f>IF(AND($AM3231&lt;&gt;"",$AS3231&lt;&gt;"✓"),SUMPRODUCT(($AM$11:$AM3231&lt;&gt;"")*($AS$11:$AS3231&lt;&gt;"✓")),"")</f>
        <v/>
      </c>
      <c r="AZ3231" s="21" t="str">
        <f>IF(AND($AM3231&lt;&gt;"",$AS3231="✓"),SUMPRODUCT(($AM$11:$AM3231&lt;&gt;"")*($AS$11:$AS3231="✓")),"")</f>
        <v/>
      </c>
      <c r="BA3231" s="21" t="str">
        <f>IF($AL3231="","",$AL3231&amp;"|"&amp;COUNTIF($AL$11:$AL3231,$AL3231))</f>
        <v/>
      </c>
    </row>
    <row r="3232" spans="38:53" ht="15" customHeight="1" x14ac:dyDescent="0.25">
      <c r="AL3232" s="31"/>
      <c r="AM3232" s="26"/>
      <c r="AN3232" s="32"/>
      <c r="AO3232" s="32"/>
      <c r="AP3232" s="24"/>
      <c r="AQ3232" s="24"/>
      <c r="AR3232" s="33"/>
      <c r="AS3232" s="34"/>
      <c r="AT3232" s="33"/>
      <c r="AV3232" s="21">
        <f>IF(AND($AL3232&lt;&gt;"",COUNTIF($AL$11:$AL3232,$AL3232)=1),1,0)</f>
        <v>0</v>
      </c>
      <c r="AW3232" s="21">
        <f t="shared" si="187"/>
        <v>2</v>
      </c>
      <c r="AX3232" s="21" t="str">
        <f t="shared" si="186"/>
        <v/>
      </c>
      <c r="AY3232" s="21" t="str">
        <f>IF(AND($AM3232&lt;&gt;"",$AS3232&lt;&gt;"✓"),SUMPRODUCT(($AM$11:$AM3232&lt;&gt;"")*($AS$11:$AS3232&lt;&gt;"✓")),"")</f>
        <v/>
      </c>
      <c r="AZ3232" s="21" t="str">
        <f>IF(AND($AM3232&lt;&gt;"",$AS3232="✓"),SUMPRODUCT(($AM$11:$AM3232&lt;&gt;"")*($AS$11:$AS3232="✓")),"")</f>
        <v/>
      </c>
      <c r="BA3232" s="21" t="str">
        <f>IF($AL3232="","",$AL3232&amp;"|"&amp;COUNTIF($AL$11:$AL3232,$AL3232))</f>
        <v/>
      </c>
    </row>
    <row r="3233" spans="38:53" ht="15" customHeight="1" x14ac:dyDescent="0.25">
      <c r="AL3233" s="17"/>
      <c r="AM3233" s="12"/>
      <c r="AN3233" s="18"/>
      <c r="AO3233" s="18"/>
      <c r="AP3233" s="10"/>
      <c r="AQ3233" s="10"/>
      <c r="AR3233" s="19"/>
      <c r="AS3233" s="20"/>
      <c r="AT3233" s="19"/>
      <c r="AV3233" s="21">
        <f>IF(AND($AL3233&lt;&gt;"",COUNTIF($AL$11:$AL3233,$AL3233)=1),1,0)</f>
        <v>0</v>
      </c>
      <c r="AW3233" s="21">
        <f t="shared" si="187"/>
        <v>2</v>
      </c>
      <c r="AX3233" s="21" t="str">
        <f t="shared" si="186"/>
        <v/>
      </c>
      <c r="AY3233" s="21" t="str">
        <f>IF(AND($AM3233&lt;&gt;"",$AS3233&lt;&gt;"✓"),SUMPRODUCT(($AM$11:$AM3233&lt;&gt;"")*($AS$11:$AS3233&lt;&gt;"✓")),"")</f>
        <v/>
      </c>
      <c r="AZ3233" s="21" t="str">
        <f>IF(AND($AM3233&lt;&gt;"",$AS3233="✓"),SUMPRODUCT(($AM$11:$AM3233&lt;&gt;"")*($AS$11:$AS3233="✓")),"")</f>
        <v/>
      </c>
      <c r="BA3233" s="21" t="str">
        <f>IF($AL3233="","",$AL3233&amp;"|"&amp;COUNTIF($AL$11:$AL3233,$AL3233))</f>
        <v/>
      </c>
    </row>
    <row r="3234" spans="38:53" ht="15" customHeight="1" x14ac:dyDescent="0.25">
      <c r="AL3234" s="31"/>
      <c r="AM3234" s="26"/>
      <c r="AN3234" s="32"/>
      <c r="AO3234" s="32"/>
      <c r="AP3234" s="24"/>
      <c r="AQ3234" s="24"/>
      <c r="AR3234" s="33"/>
      <c r="AS3234" s="34"/>
      <c r="AT3234" s="33"/>
      <c r="AV3234" s="21">
        <f>IF(AND($AL3234&lt;&gt;"",COUNTIF($AL$11:$AL3234,$AL3234)=1),1,0)</f>
        <v>0</v>
      </c>
      <c r="AW3234" s="21">
        <f t="shared" si="187"/>
        <v>2</v>
      </c>
      <c r="AX3234" s="21" t="str">
        <f t="shared" si="186"/>
        <v/>
      </c>
      <c r="AY3234" s="21" t="str">
        <f>IF(AND($AM3234&lt;&gt;"",$AS3234&lt;&gt;"✓"),SUMPRODUCT(($AM$11:$AM3234&lt;&gt;"")*($AS$11:$AS3234&lt;&gt;"✓")),"")</f>
        <v/>
      </c>
      <c r="AZ3234" s="21" t="str">
        <f>IF(AND($AM3234&lt;&gt;"",$AS3234="✓"),SUMPRODUCT(($AM$11:$AM3234&lt;&gt;"")*($AS$11:$AS3234="✓")),"")</f>
        <v/>
      </c>
      <c r="BA3234" s="21" t="str">
        <f>IF($AL3234="","",$AL3234&amp;"|"&amp;COUNTIF($AL$11:$AL3234,$AL3234))</f>
        <v/>
      </c>
    </row>
    <row r="3235" spans="38:53" ht="15" customHeight="1" x14ac:dyDescent="0.25">
      <c r="AL3235" s="17"/>
      <c r="AM3235" s="12"/>
      <c r="AN3235" s="18"/>
      <c r="AO3235" s="18"/>
      <c r="AP3235" s="10"/>
      <c r="AQ3235" s="10"/>
      <c r="AR3235" s="19"/>
      <c r="AS3235" s="20"/>
      <c r="AT3235" s="19"/>
      <c r="AV3235" s="21">
        <f>IF(AND($AL3235&lt;&gt;"",COUNTIF($AL$11:$AL3235,$AL3235)=1),1,0)</f>
        <v>0</v>
      </c>
      <c r="AW3235" s="21">
        <f t="shared" si="187"/>
        <v>2</v>
      </c>
      <c r="AX3235" s="21" t="str">
        <f t="shared" si="186"/>
        <v/>
      </c>
      <c r="AY3235" s="21" t="str">
        <f>IF(AND($AM3235&lt;&gt;"",$AS3235&lt;&gt;"✓"),SUMPRODUCT(($AM$11:$AM3235&lt;&gt;"")*($AS$11:$AS3235&lt;&gt;"✓")),"")</f>
        <v/>
      </c>
      <c r="AZ3235" s="21" t="str">
        <f>IF(AND($AM3235&lt;&gt;"",$AS3235="✓"),SUMPRODUCT(($AM$11:$AM3235&lt;&gt;"")*($AS$11:$AS3235="✓")),"")</f>
        <v/>
      </c>
      <c r="BA3235" s="21" t="str">
        <f>IF($AL3235="","",$AL3235&amp;"|"&amp;COUNTIF($AL$11:$AL3235,$AL3235))</f>
        <v/>
      </c>
    </row>
    <row r="3236" spans="38:53" ht="15" customHeight="1" x14ac:dyDescent="0.25">
      <c r="AL3236" s="31"/>
      <c r="AM3236" s="26"/>
      <c r="AN3236" s="32"/>
      <c r="AO3236" s="32"/>
      <c r="AP3236" s="24"/>
      <c r="AQ3236" s="24"/>
      <c r="AR3236" s="33"/>
      <c r="AS3236" s="34"/>
      <c r="AT3236" s="33"/>
      <c r="AV3236" s="21">
        <f>IF(AND($AL3236&lt;&gt;"",COUNTIF($AL$11:$AL3236,$AL3236)=1),1,0)</f>
        <v>0</v>
      </c>
      <c r="AW3236" s="21">
        <f t="shared" si="187"/>
        <v>2</v>
      </c>
      <c r="AX3236" s="21" t="str">
        <f t="shared" si="186"/>
        <v/>
      </c>
      <c r="AY3236" s="21" t="str">
        <f>IF(AND($AM3236&lt;&gt;"",$AS3236&lt;&gt;"✓"),SUMPRODUCT(($AM$11:$AM3236&lt;&gt;"")*($AS$11:$AS3236&lt;&gt;"✓")),"")</f>
        <v/>
      </c>
      <c r="AZ3236" s="21" t="str">
        <f>IF(AND($AM3236&lt;&gt;"",$AS3236="✓"),SUMPRODUCT(($AM$11:$AM3236&lt;&gt;"")*($AS$11:$AS3236="✓")),"")</f>
        <v/>
      </c>
      <c r="BA3236" s="21" t="str">
        <f>IF($AL3236="","",$AL3236&amp;"|"&amp;COUNTIF($AL$11:$AL3236,$AL3236))</f>
        <v/>
      </c>
    </row>
    <row r="3237" spans="38:53" ht="15" customHeight="1" x14ac:dyDescent="0.25">
      <c r="AL3237" s="17"/>
      <c r="AM3237" s="12"/>
      <c r="AN3237" s="18"/>
      <c r="AO3237" s="18"/>
      <c r="AP3237" s="10"/>
      <c r="AQ3237" s="10"/>
      <c r="AR3237" s="19"/>
      <c r="AS3237" s="20"/>
      <c r="AT3237" s="19"/>
      <c r="AV3237" s="21">
        <f>IF(AND($AL3237&lt;&gt;"",COUNTIF($AL$11:$AL3237,$AL3237)=1),1,0)</f>
        <v>0</v>
      </c>
      <c r="AW3237" s="21">
        <f t="shared" si="187"/>
        <v>2</v>
      </c>
      <c r="AX3237" s="21" t="str">
        <f t="shared" si="186"/>
        <v/>
      </c>
      <c r="AY3237" s="21" t="str">
        <f>IF(AND($AM3237&lt;&gt;"",$AS3237&lt;&gt;"✓"),SUMPRODUCT(($AM$11:$AM3237&lt;&gt;"")*($AS$11:$AS3237&lt;&gt;"✓")),"")</f>
        <v/>
      </c>
      <c r="AZ3237" s="21" t="str">
        <f>IF(AND($AM3237&lt;&gt;"",$AS3237="✓"),SUMPRODUCT(($AM$11:$AM3237&lt;&gt;"")*($AS$11:$AS3237="✓")),"")</f>
        <v/>
      </c>
      <c r="BA3237" s="21" t="str">
        <f>IF($AL3237="","",$AL3237&amp;"|"&amp;COUNTIF($AL$11:$AL3237,$AL3237))</f>
        <v/>
      </c>
    </row>
    <row r="3238" spans="38:53" ht="15" customHeight="1" x14ac:dyDescent="0.25">
      <c r="AL3238" s="31"/>
      <c r="AM3238" s="26"/>
      <c r="AN3238" s="32"/>
      <c r="AO3238" s="32"/>
      <c r="AP3238" s="24"/>
      <c r="AQ3238" s="24"/>
      <c r="AR3238" s="33"/>
      <c r="AS3238" s="34"/>
      <c r="AT3238" s="33"/>
      <c r="AV3238" s="21">
        <f>IF(AND($AL3238&lt;&gt;"",COUNTIF($AL$11:$AL3238,$AL3238)=1),1,0)</f>
        <v>0</v>
      </c>
      <c r="AW3238" s="21">
        <f t="shared" si="187"/>
        <v>2</v>
      </c>
      <c r="AX3238" s="21" t="str">
        <f t="shared" si="186"/>
        <v/>
      </c>
      <c r="AY3238" s="21" t="str">
        <f>IF(AND($AM3238&lt;&gt;"",$AS3238&lt;&gt;"✓"),SUMPRODUCT(($AM$11:$AM3238&lt;&gt;"")*($AS$11:$AS3238&lt;&gt;"✓")),"")</f>
        <v/>
      </c>
      <c r="AZ3238" s="21" t="str">
        <f>IF(AND($AM3238&lt;&gt;"",$AS3238="✓"),SUMPRODUCT(($AM$11:$AM3238&lt;&gt;"")*($AS$11:$AS3238="✓")),"")</f>
        <v/>
      </c>
      <c r="BA3238" s="21" t="str">
        <f>IF($AL3238="","",$AL3238&amp;"|"&amp;COUNTIF($AL$11:$AL3238,$AL3238))</f>
        <v/>
      </c>
    </row>
    <row r="3239" spans="38:53" ht="15" customHeight="1" x14ac:dyDescent="0.25">
      <c r="AL3239" s="17"/>
      <c r="AM3239" s="12"/>
      <c r="AN3239" s="18"/>
      <c r="AO3239" s="18"/>
      <c r="AP3239" s="10"/>
      <c r="AQ3239" s="10"/>
      <c r="AR3239" s="19"/>
      <c r="AS3239" s="20"/>
      <c r="AT3239" s="19"/>
      <c r="AV3239" s="21">
        <f>IF(AND($AL3239&lt;&gt;"",COUNTIF($AL$11:$AL3239,$AL3239)=1),1,0)</f>
        <v>0</v>
      </c>
      <c r="AW3239" s="21">
        <f t="shared" si="187"/>
        <v>2</v>
      </c>
      <c r="AX3239" s="21" t="str">
        <f t="shared" si="186"/>
        <v/>
      </c>
      <c r="AY3239" s="21" t="str">
        <f>IF(AND($AM3239&lt;&gt;"",$AS3239&lt;&gt;"✓"),SUMPRODUCT(($AM$11:$AM3239&lt;&gt;"")*($AS$11:$AS3239&lt;&gt;"✓")),"")</f>
        <v/>
      </c>
      <c r="AZ3239" s="21" t="str">
        <f>IF(AND($AM3239&lt;&gt;"",$AS3239="✓"),SUMPRODUCT(($AM$11:$AM3239&lt;&gt;"")*($AS$11:$AS3239="✓")),"")</f>
        <v/>
      </c>
      <c r="BA3239" s="21" t="str">
        <f>IF($AL3239="","",$AL3239&amp;"|"&amp;COUNTIF($AL$11:$AL3239,$AL3239))</f>
        <v/>
      </c>
    </row>
    <row r="3240" spans="38:53" ht="15" customHeight="1" x14ac:dyDescent="0.25">
      <c r="AL3240" s="31"/>
      <c r="AM3240" s="26"/>
      <c r="AN3240" s="32"/>
      <c r="AO3240" s="32"/>
      <c r="AP3240" s="24"/>
      <c r="AQ3240" s="24"/>
      <c r="AR3240" s="33"/>
      <c r="AS3240" s="34"/>
      <c r="AT3240" s="33"/>
      <c r="AV3240" s="21">
        <f>IF(AND($AL3240&lt;&gt;"",COUNTIF($AL$11:$AL3240,$AL3240)=1),1,0)</f>
        <v>0</v>
      </c>
      <c r="AW3240" s="21">
        <f t="shared" si="187"/>
        <v>2</v>
      </c>
      <c r="AX3240" s="21" t="str">
        <f t="shared" si="186"/>
        <v/>
      </c>
      <c r="AY3240" s="21" t="str">
        <f>IF(AND($AM3240&lt;&gt;"",$AS3240&lt;&gt;"✓"),SUMPRODUCT(($AM$11:$AM3240&lt;&gt;"")*($AS$11:$AS3240&lt;&gt;"✓")),"")</f>
        <v/>
      </c>
      <c r="AZ3240" s="21" t="str">
        <f>IF(AND($AM3240&lt;&gt;"",$AS3240="✓"),SUMPRODUCT(($AM$11:$AM3240&lt;&gt;"")*($AS$11:$AS3240="✓")),"")</f>
        <v/>
      </c>
      <c r="BA3240" s="21" t="str">
        <f>IF($AL3240="","",$AL3240&amp;"|"&amp;COUNTIF($AL$11:$AL3240,$AL3240))</f>
        <v/>
      </c>
    </row>
    <row r="3241" spans="38:53" ht="15" customHeight="1" x14ac:dyDescent="0.25">
      <c r="AL3241" s="17"/>
      <c r="AM3241" s="12"/>
      <c r="AN3241" s="18"/>
      <c r="AO3241" s="18"/>
      <c r="AP3241" s="10"/>
      <c r="AQ3241" s="10"/>
      <c r="AR3241" s="19"/>
      <c r="AS3241" s="20"/>
      <c r="AT3241" s="19"/>
      <c r="AV3241" s="21">
        <f>IF(AND($AL3241&lt;&gt;"",COUNTIF($AL$11:$AL3241,$AL3241)=1),1,0)</f>
        <v>0</v>
      </c>
      <c r="AW3241" s="21">
        <f t="shared" si="187"/>
        <v>2</v>
      </c>
      <c r="AX3241" s="21" t="str">
        <f t="shared" si="186"/>
        <v/>
      </c>
      <c r="AY3241" s="21" t="str">
        <f>IF(AND($AM3241&lt;&gt;"",$AS3241&lt;&gt;"✓"),SUMPRODUCT(($AM$11:$AM3241&lt;&gt;"")*($AS$11:$AS3241&lt;&gt;"✓")),"")</f>
        <v/>
      </c>
      <c r="AZ3241" s="21" t="str">
        <f>IF(AND($AM3241&lt;&gt;"",$AS3241="✓"),SUMPRODUCT(($AM$11:$AM3241&lt;&gt;"")*($AS$11:$AS3241="✓")),"")</f>
        <v/>
      </c>
      <c r="BA3241" s="21" t="str">
        <f>IF($AL3241="","",$AL3241&amp;"|"&amp;COUNTIF($AL$11:$AL3241,$AL3241))</f>
        <v/>
      </c>
    </row>
    <row r="3242" spans="38:53" ht="15" customHeight="1" x14ac:dyDescent="0.25">
      <c r="AL3242" s="31"/>
      <c r="AM3242" s="26"/>
      <c r="AN3242" s="32"/>
      <c r="AO3242" s="32"/>
      <c r="AP3242" s="24"/>
      <c r="AQ3242" s="24"/>
      <c r="AR3242" s="33"/>
      <c r="AS3242" s="34"/>
      <c r="AT3242" s="33"/>
      <c r="AV3242" s="21">
        <f>IF(AND($AL3242&lt;&gt;"",COUNTIF($AL$11:$AL3242,$AL3242)=1),1,0)</f>
        <v>0</v>
      </c>
      <c r="AW3242" s="21">
        <f t="shared" si="187"/>
        <v>2</v>
      </c>
      <c r="AX3242" s="21" t="str">
        <f t="shared" si="186"/>
        <v/>
      </c>
      <c r="AY3242" s="21" t="str">
        <f>IF(AND($AM3242&lt;&gt;"",$AS3242&lt;&gt;"✓"),SUMPRODUCT(($AM$11:$AM3242&lt;&gt;"")*($AS$11:$AS3242&lt;&gt;"✓")),"")</f>
        <v/>
      </c>
      <c r="AZ3242" s="21" t="str">
        <f>IF(AND($AM3242&lt;&gt;"",$AS3242="✓"),SUMPRODUCT(($AM$11:$AM3242&lt;&gt;"")*($AS$11:$AS3242="✓")),"")</f>
        <v/>
      </c>
      <c r="BA3242" s="21" t="str">
        <f>IF($AL3242="","",$AL3242&amp;"|"&amp;COUNTIF($AL$11:$AL3242,$AL3242))</f>
        <v/>
      </c>
    </row>
    <row r="3243" spans="38:53" ht="15" customHeight="1" x14ac:dyDescent="0.25">
      <c r="AL3243" s="17"/>
      <c r="AM3243" s="12"/>
      <c r="AN3243" s="18"/>
      <c r="AO3243" s="18"/>
      <c r="AP3243" s="10"/>
      <c r="AQ3243" s="10"/>
      <c r="AR3243" s="19"/>
      <c r="AS3243" s="20"/>
      <c r="AT3243" s="19"/>
      <c r="AV3243" s="21">
        <f>IF(AND($AL3243&lt;&gt;"",COUNTIF($AL$11:$AL3243,$AL3243)=1),1,0)</f>
        <v>0</v>
      </c>
      <c r="AW3243" s="21">
        <f t="shared" si="187"/>
        <v>2</v>
      </c>
      <c r="AX3243" s="21" t="str">
        <f t="shared" si="186"/>
        <v/>
      </c>
      <c r="AY3243" s="21" t="str">
        <f>IF(AND($AM3243&lt;&gt;"",$AS3243&lt;&gt;"✓"),SUMPRODUCT(($AM$11:$AM3243&lt;&gt;"")*($AS$11:$AS3243&lt;&gt;"✓")),"")</f>
        <v/>
      </c>
      <c r="AZ3243" s="21" t="str">
        <f>IF(AND($AM3243&lt;&gt;"",$AS3243="✓"),SUMPRODUCT(($AM$11:$AM3243&lt;&gt;"")*($AS$11:$AS3243="✓")),"")</f>
        <v/>
      </c>
      <c r="BA3243" s="21" t="str">
        <f>IF($AL3243="","",$AL3243&amp;"|"&amp;COUNTIF($AL$11:$AL3243,$AL3243))</f>
        <v/>
      </c>
    </row>
    <row r="3244" spans="38:53" ht="15" customHeight="1" x14ac:dyDescent="0.25">
      <c r="AL3244" s="31"/>
      <c r="AM3244" s="26"/>
      <c r="AN3244" s="32"/>
      <c r="AO3244" s="32"/>
      <c r="AP3244" s="24"/>
      <c r="AQ3244" s="24"/>
      <c r="AR3244" s="33"/>
      <c r="AS3244" s="34"/>
      <c r="AT3244" s="33"/>
      <c r="AV3244" s="21">
        <f>IF(AND($AL3244&lt;&gt;"",COUNTIF($AL$11:$AL3244,$AL3244)=1),1,0)</f>
        <v>0</v>
      </c>
      <c r="AW3244" s="21">
        <f t="shared" si="187"/>
        <v>2</v>
      </c>
      <c r="AX3244" s="21" t="str">
        <f t="shared" si="186"/>
        <v/>
      </c>
      <c r="AY3244" s="21" t="str">
        <f>IF(AND($AM3244&lt;&gt;"",$AS3244&lt;&gt;"✓"),SUMPRODUCT(($AM$11:$AM3244&lt;&gt;"")*($AS$11:$AS3244&lt;&gt;"✓")),"")</f>
        <v/>
      </c>
      <c r="AZ3244" s="21" t="str">
        <f>IF(AND($AM3244&lt;&gt;"",$AS3244="✓"),SUMPRODUCT(($AM$11:$AM3244&lt;&gt;"")*($AS$11:$AS3244="✓")),"")</f>
        <v/>
      </c>
      <c r="BA3244" s="21" t="str">
        <f>IF($AL3244="","",$AL3244&amp;"|"&amp;COUNTIF($AL$11:$AL3244,$AL3244))</f>
        <v/>
      </c>
    </row>
    <row r="3245" spans="38:53" ht="15" customHeight="1" x14ac:dyDescent="0.25">
      <c r="AL3245" s="17"/>
      <c r="AM3245" s="12"/>
      <c r="AN3245" s="18"/>
      <c r="AO3245" s="18"/>
      <c r="AP3245" s="10"/>
      <c r="AQ3245" s="10"/>
      <c r="AR3245" s="19"/>
      <c r="AS3245" s="20"/>
      <c r="AT3245" s="19"/>
      <c r="AV3245" s="21">
        <f>IF(AND($AL3245&lt;&gt;"",COUNTIF($AL$11:$AL3245,$AL3245)=1),1,0)</f>
        <v>0</v>
      </c>
      <c r="AW3245" s="21">
        <f t="shared" si="187"/>
        <v>2</v>
      </c>
      <c r="AX3245" s="21" t="str">
        <f t="shared" si="186"/>
        <v/>
      </c>
      <c r="AY3245" s="21" t="str">
        <f>IF(AND($AM3245&lt;&gt;"",$AS3245&lt;&gt;"✓"),SUMPRODUCT(($AM$11:$AM3245&lt;&gt;"")*($AS$11:$AS3245&lt;&gt;"✓")),"")</f>
        <v/>
      </c>
      <c r="AZ3245" s="21" t="str">
        <f>IF(AND($AM3245&lt;&gt;"",$AS3245="✓"),SUMPRODUCT(($AM$11:$AM3245&lt;&gt;"")*($AS$11:$AS3245="✓")),"")</f>
        <v/>
      </c>
      <c r="BA3245" s="21" t="str">
        <f>IF($AL3245="","",$AL3245&amp;"|"&amp;COUNTIF($AL$11:$AL3245,$AL3245))</f>
        <v/>
      </c>
    </row>
    <row r="3246" spans="38:53" ht="15" customHeight="1" x14ac:dyDescent="0.25">
      <c r="AL3246" s="31"/>
      <c r="AM3246" s="26"/>
      <c r="AN3246" s="32"/>
      <c r="AO3246" s="32"/>
      <c r="AP3246" s="24"/>
      <c r="AQ3246" s="24"/>
      <c r="AR3246" s="33"/>
      <c r="AS3246" s="34"/>
      <c r="AT3246" s="33"/>
      <c r="AV3246" s="21">
        <f>IF(AND($AL3246&lt;&gt;"",COUNTIF($AL$11:$AL3246,$AL3246)=1),1,0)</f>
        <v>0</v>
      </c>
      <c r="AW3246" s="21">
        <f t="shared" si="187"/>
        <v>2</v>
      </c>
      <c r="AX3246" s="21" t="str">
        <f t="shared" si="186"/>
        <v/>
      </c>
      <c r="AY3246" s="21" t="str">
        <f>IF(AND($AM3246&lt;&gt;"",$AS3246&lt;&gt;"✓"),SUMPRODUCT(($AM$11:$AM3246&lt;&gt;"")*($AS$11:$AS3246&lt;&gt;"✓")),"")</f>
        <v/>
      </c>
      <c r="AZ3246" s="21" t="str">
        <f>IF(AND($AM3246&lt;&gt;"",$AS3246="✓"),SUMPRODUCT(($AM$11:$AM3246&lt;&gt;"")*($AS$11:$AS3246="✓")),"")</f>
        <v/>
      </c>
      <c r="BA3246" s="21" t="str">
        <f>IF($AL3246="","",$AL3246&amp;"|"&amp;COUNTIF($AL$11:$AL3246,$AL3246))</f>
        <v/>
      </c>
    </row>
    <row r="3247" spans="38:53" ht="15" customHeight="1" x14ac:dyDescent="0.25">
      <c r="AL3247" s="17"/>
      <c r="AM3247" s="12"/>
      <c r="AN3247" s="18"/>
      <c r="AO3247" s="18"/>
      <c r="AP3247" s="10"/>
      <c r="AQ3247" s="10"/>
      <c r="AR3247" s="19"/>
      <c r="AS3247" s="20"/>
      <c r="AT3247" s="19"/>
      <c r="AV3247" s="21">
        <f>IF(AND($AL3247&lt;&gt;"",COUNTIF($AL$11:$AL3247,$AL3247)=1),1,0)</f>
        <v>0</v>
      </c>
      <c r="AW3247" s="21">
        <f t="shared" si="187"/>
        <v>2</v>
      </c>
      <c r="AX3247" s="21" t="str">
        <f t="shared" si="186"/>
        <v/>
      </c>
      <c r="AY3247" s="21" t="str">
        <f>IF(AND($AM3247&lt;&gt;"",$AS3247&lt;&gt;"✓"),SUMPRODUCT(($AM$11:$AM3247&lt;&gt;"")*($AS$11:$AS3247&lt;&gt;"✓")),"")</f>
        <v/>
      </c>
      <c r="AZ3247" s="21" t="str">
        <f>IF(AND($AM3247&lt;&gt;"",$AS3247="✓"),SUMPRODUCT(($AM$11:$AM3247&lt;&gt;"")*($AS$11:$AS3247="✓")),"")</f>
        <v/>
      </c>
      <c r="BA3247" s="21" t="str">
        <f>IF($AL3247="","",$AL3247&amp;"|"&amp;COUNTIF($AL$11:$AL3247,$AL3247))</f>
        <v/>
      </c>
    </row>
    <row r="3248" spans="38:53" ht="15" customHeight="1" x14ac:dyDescent="0.25">
      <c r="AL3248" s="31"/>
      <c r="AM3248" s="26"/>
      <c r="AN3248" s="32"/>
      <c r="AO3248" s="32"/>
      <c r="AP3248" s="24"/>
      <c r="AQ3248" s="24"/>
      <c r="AR3248" s="33"/>
      <c r="AS3248" s="34"/>
      <c r="AT3248" s="33"/>
      <c r="AV3248" s="21">
        <f>IF(AND($AL3248&lt;&gt;"",COUNTIF($AL$11:$AL3248,$AL3248)=1),1,0)</f>
        <v>0</v>
      </c>
      <c r="AW3248" s="21">
        <f t="shared" si="187"/>
        <v>2</v>
      </c>
      <c r="AX3248" s="21" t="str">
        <f t="shared" si="186"/>
        <v/>
      </c>
      <c r="AY3248" s="21" t="str">
        <f>IF(AND($AM3248&lt;&gt;"",$AS3248&lt;&gt;"✓"),SUMPRODUCT(($AM$11:$AM3248&lt;&gt;"")*($AS$11:$AS3248&lt;&gt;"✓")),"")</f>
        <v/>
      </c>
      <c r="AZ3248" s="21" t="str">
        <f>IF(AND($AM3248&lt;&gt;"",$AS3248="✓"),SUMPRODUCT(($AM$11:$AM3248&lt;&gt;"")*($AS$11:$AS3248="✓")),"")</f>
        <v/>
      </c>
      <c r="BA3248" s="21" t="str">
        <f>IF($AL3248="","",$AL3248&amp;"|"&amp;COUNTIF($AL$11:$AL3248,$AL3248))</f>
        <v/>
      </c>
    </row>
    <row r="3249" spans="38:53" ht="15" customHeight="1" x14ac:dyDescent="0.25">
      <c r="AL3249" s="17"/>
      <c r="AM3249" s="12"/>
      <c r="AN3249" s="18"/>
      <c r="AO3249" s="18"/>
      <c r="AP3249" s="10"/>
      <c r="AQ3249" s="10"/>
      <c r="AR3249" s="19"/>
      <c r="AS3249" s="20"/>
      <c r="AT3249" s="19"/>
      <c r="AV3249" s="21">
        <f>IF(AND($AL3249&lt;&gt;"",COUNTIF($AL$11:$AL3249,$AL3249)=1),1,0)</f>
        <v>0</v>
      </c>
      <c r="AW3249" s="21">
        <f t="shared" si="187"/>
        <v>2</v>
      </c>
      <c r="AX3249" s="21" t="str">
        <f t="shared" si="186"/>
        <v/>
      </c>
      <c r="AY3249" s="21" t="str">
        <f>IF(AND($AM3249&lt;&gt;"",$AS3249&lt;&gt;"✓"),SUMPRODUCT(($AM$11:$AM3249&lt;&gt;"")*($AS$11:$AS3249&lt;&gt;"✓")),"")</f>
        <v/>
      </c>
      <c r="AZ3249" s="21" t="str">
        <f>IF(AND($AM3249&lt;&gt;"",$AS3249="✓"),SUMPRODUCT(($AM$11:$AM3249&lt;&gt;"")*($AS$11:$AS3249="✓")),"")</f>
        <v/>
      </c>
      <c r="BA3249" s="21" t="str">
        <f>IF($AL3249="","",$AL3249&amp;"|"&amp;COUNTIF($AL$11:$AL3249,$AL3249))</f>
        <v/>
      </c>
    </row>
    <row r="3250" spans="38:53" ht="15" customHeight="1" x14ac:dyDescent="0.25">
      <c r="AL3250" s="31"/>
      <c r="AM3250" s="26"/>
      <c r="AN3250" s="32"/>
      <c r="AO3250" s="32"/>
      <c r="AP3250" s="24"/>
      <c r="AQ3250" s="24"/>
      <c r="AR3250" s="33"/>
      <c r="AS3250" s="34"/>
      <c r="AT3250" s="33"/>
      <c r="AV3250" s="21">
        <f>IF(AND($AL3250&lt;&gt;"",COUNTIF($AL$11:$AL3250,$AL3250)=1),1,0)</f>
        <v>0</v>
      </c>
      <c r="AW3250" s="21">
        <f t="shared" si="187"/>
        <v>2</v>
      </c>
      <c r="AX3250" s="21" t="str">
        <f t="shared" si="186"/>
        <v/>
      </c>
      <c r="AY3250" s="21" t="str">
        <f>IF(AND($AM3250&lt;&gt;"",$AS3250&lt;&gt;"✓"),SUMPRODUCT(($AM$11:$AM3250&lt;&gt;"")*($AS$11:$AS3250&lt;&gt;"✓")),"")</f>
        <v/>
      </c>
      <c r="AZ3250" s="21" t="str">
        <f>IF(AND($AM3250&lt;&gt;"",$AS3250="✓"),SUMPRODUCT(($AM$11:$AM3250&lt;&gt;"")*($AS$11:$AS3250="✓")),"")</f>
        <v/>
      </c>
      <c r="BA3250" s="21" t="str">
        <f>IF($AL3250="","",$AL3250&amp;"|"&amp;COUNTIF($AL$11:$AL3250,$AL3250))</f>
        <v/>
      </c>
    </row>
    <row r="3251" spans="38:53" ht="15" customHeight="1" x14ac:dyDescent="0.25">
      <c r="AL3251" s="17"/>
      <c r="AM3251" s="12"/>
      <c r="AN3251" s="18"/>
      <c r="AO3251" s="18"/>
      <c r="AP3251" s="10"/>
      <c r="AQ3251" s="10"/>
      <c r="AR3251" s="19"/>
      <c r="AS3251" s="20"/>
      <c r="AT3251" s="19"/>
      <c r="AV3251" s="21">
        <f>IF(AND($AL3251&lt;&gt;"",COUNTIF($AL$11:$AL3251,$AL3251)=1),1,0)</f>
        <v>0</v>
      </c>
      <c r="AW3251" s="21">
        <f t="shared" si="187"/>
        <v>2</v>
      </c>
      <c r="AX3251" s="21" t="str">
        <f t="shared" si="186"/>
        <v/>
      </c>
      <c r="AY3251" s="21" t="str">
        <f>IF(AND($AM3251&lt;&gt;"",$AS3251&lt;&gt;"✓"),SUMPRODUCT(($AM$11:$AM3251&lt;&gt;"")*($AS$11:$AS3251&lt;&gt;"✓")),"")</f>
        <v/>
      </c>
      <c r="AZ3251" s="21" t="str">
        <f>IF(AND($AM3251&lt;&gt;"",$AS3251="✓"),SUMPRODUCT(($AM$11:$AM3251&lt;&gt;"")*($AS$11:$AS3251="✓")),"")</f>
        <v/>
      </c>
      <c r="BA3251" s="21" t="str">
        <f>IF($AL3251="","",$AL3251&amp;"|"&amp;COUNTIF($AL$11:$AL3251,$AL3251))</f>
        <v/>
      </c>
    </row>
    <row r="3252" spans="38:53" ht="15" customHeight="1" x14ac:dyDescent="0.25">
      <c r="AL3252" s="31"/>
      <c r="AM3252" s="26"/>
      <c r="AN3252" s="32"/>
      <c r="AO3252" s="32"/>
      <c r="AP3252" s="24"/>
      <c r="AQ3252" s="24"/>
      <c r="AR3252" s="33"/>
      <c r="AS3252" s="34"/>
      <c r="AT3252" s="33"/>
      <c r="AV3252" s="21">
        <f>IF(AND($AL3252&lt;&gt;"",COUNTIF($AL$11:$AL3252,$AL3252)=1),1,0)</f>
        <v>0</v>
      </c>
      <c r="AW3252" s="21">
        <f t="shared" si="187"/>
        <v>2</v>
      </c>
      <c r="AX3252" s="21" t="str">
        <f t="shared" si="186"/>
        <v/>
      </c>
      <c r="AY3252" s="21" t="str">
        <f>IF(AND($AM3252&lt;&gt;"",$AS3252&lt;&gt;"✓"),SUMPRODUCT(($AM$11:$AM3252&lt;&gt;"")*($AS$11:$AS3252&lt;&gt;"✓")),"")</f>
        <v/>
      </c>
      <c r="AZ3252" s="21" t="str">
        <f>IF(AND($AM3252&lt;&gt;"",$AS3252="✓"),SUMPRODUCT(($AM$11:$AM3252&lt;&gt;"")*($AS$11:$AS3252="✓")),"")</f>
        <v/>
      </c>
      <c r="BA3252" s="21" t="str">
        <f>IF($AL3252="","",$AL3252&amp;"|"&amp;COUNTIF($AL$11:$AL3252,$AL3252))</f>
        <v/>
      </c>
    </row>
    <row r="3253" spans="38:53" ht="15" customHeight="1" x14ac:dyDescent="0.25">
      <c r="AL3253" s="17"/>
      <c r="AM3253" s="12"/>
      <c r="AN3253" s="18"/>
      <c r="AO3253" s="18"/>
      <c r="AP3253" s="10"/>
      <c r="AQ3253" s="10"/>
      <c r="AR3253" s="19"/>
      <c r="AS3253" s="20"/>
      <c r="AT3253" s="19"/>
      <c r="AV3253" s="21">
        <f>IF(AND($AL3253&lt;&gt;"",COUNTIF($AL$11:$AL3253,$AL3253)=1),1,0)</f>
        <v>0</v>
      </c>
      <c r="AW3253" s="21">
        <f t="shared" si="187"/>
        <v>2</v>
      </c>
      <c r="AX3253" s="21" t="str">
        <f t="shared" si="186"/>
        <v/>
      </c>
      <c r="AY3253" s="21" t="str">
        <f>IF(AND($AM3253&lt;&gt;"",$AS3253&lt;&gt;"✓"),SUMPRODUCT(($AM$11:$AM3253&lt;&gt;"")*($AS$11:$AS3253&lt;&gt;"✓")),"")</f>
        <v/>
      </c>
      <c r="AZ3253" s="21" t="str">
        <f>IF(AND($AM3253&lt;&gt;"",$AS3253="✓"),SUMPRODUCT(($AM$11:$AM3253&lt;&gt;"")*($AS$11:$AS3253="✓")),"")</f>
        <v/>
      </c>
      <c r="BA3253" s="21" t="str">
        <f>IF($AL3253="","",$AL3253&amp;"|"&amp;COUNTIF($AL$11:$AL3253,$AL3253))</f>
        <v/>
      </c>
    </row>
    <row r="3254" spans="38:53" ht="15" customHeight="1" x14ac:dyDescent="0.25">
      <c r="AL3254" s="31"/>
      <c r="AM3254" s="26"/>
      <c r="AN3254" s="32"/>
      <c r="AO3254" s="32"/>
      <c r="AP3254" s="24"/>
      <c r="AQ3254" s="24"/>
      <c r="AR3254" s="33"/>
      <c r="AS3254" s="34"/>
      <c r="AT3254" s="33"/>
      <c r="AV3254" s="21">
        <f>IF(AND($AL3254&lt;&gt;"",COUNTIF($AL$11:$AL3254,$AL3254)=1),1,0)</f>
        <v>0</v>
      </c>
      <c r="AW3254" s="21">
        <f t="shared" si="187"/>
        <v>2</v>
      </c>
      <c r="AX3254" s="21" t="str">
        <f t="shared" si="186"/>
        <v/>
      </c>
      <c r="AY3254" s="21" t="str">
        <f>IF(AND($AM3254&lt;&gt;"",$AS3254&lt;&gt;"✓"),SUMPRODUCT(($AM$11:$AM3254&lt;&gt;"")*($AS$11:$AS3254&lt;&gt;"✓")),"")</f>
        <v/>
      </c>
      <c r="AZ3254" s="21" t="str">
        <f>IF(AND($AM3254&lt;&gt;"",$AS3254="✓"),SUMPRODUCT(($AM$11:$AM3254&lt;&gt;"")*($AS$11:$AS3254="✓")),"")</f>
        <v/>
      </c>
      <c r="BA3254" s="21" t="str">
        <f>IF($AL3254="","",$AL3254&amp;"|"&amp;COUNTIF($AL$11:$AL3254,$AL3254))</f>
        <v/>
      </c>
    </row>
    <row r="3255" spans="38:53" ht="15" customHeight="1" x14ac:dyDescent="0.25">
      <c r="AL3255" s="17"/>
      <c r="AM3255" s="12"/>
      <c r="AN3255" s="18"/>
      <c r="AO3255" s="18"/>
      <c r="AP3255" s="10"/>
      <c r="AQ3255" s="10"/>
      <c r="AR3255" s="19"/>
      <c r="AS3255" s="20"/>
      <c r="AT3255" s="19"/>
      <c r="AV3255" s="21">
        <f>IF(AND($AL3255&lt;&gt;"",COUNTIF($AL$11:$AL3255,$AL3255)=1),1,0)</f>
        <v>0</v>
      </c>
      <c r="AW3255" s="21">
        <f t="shared" si="187"/>
        <v>2</v>
      </c>
      <c r="AX3255" s="21" t="str">
        <f t="shared" si="186"/>
        <v/>
      </c>
      <c r="AY3255" s="21" t="str">
        <f>IF(AND($AM3255&lt;&gt;"",$AS3255&lt;&gt;"✓"),SUMPRODUCT(($AM$11:$AM3255&lt;&gt;"")*($AS$11:$AS3255&lt;&gt;"✓")),"")</f>
        <v/>
      </c>
      <c r="AZ3255" s="21" t="str">
        <f>IF(AND($AM3255&lt;&gt;"",$AS3255="✓"),SUMPRODUCT(($AM$11:$AM3255&lt;&gt;"")*($AS$11:$AS3255="✓")),"")</f>
        <v/>
      </c>
      <c r="BA3255" s="21" t="str">
        <f>IF($AL3255="","",$AL3255&amp;"|"&amp;COUNTIF($AL$11:$AL3255,$AL3255))</f>
        <v/>
      </c>
    </row>
    <row r="3256" spans="38:53" ht="15" customHeight="1" x14ac:dyDescent="0.25">
      <c r="AL3256" s="31"/>
      <c r="AM3256" s="26"/>
      <c r="AN3256" s="32"/>
      <c r="AO3256" s="32"/>
      <c r="AP3256" s="24"/>
      <c r="AQ3256" s="24"/>
      <c r="AR3256" s="33"/>
      <c r="AS3256" s="34"/>
      <c r="AT3256" s="33"/>
      <c r="AV3256" s="21">
        <f>IF(AND($AL3256&lt;&gt;"",COUNTIF($AL$11:$AL3256,$AL3256)=1),1,0)</f>
        <v>0</v>
      </c>
      <c r="AW3256" s="21">
        <f t="shared" si="187"/>
        <v>2</v>
      </c>
      <c r="AX3256" s="21" t="str">
        <f t="shared" si="186"/>
        <v/>
      </c>
      <c r="AY3256" s="21" t="str">
        <f>IF(AND($AM3256&lt;&gt;"",$AS3256&lt;&gt;"✓"),SUMPRODUCT(($AM$11:$AM3256&lt;&gt;"")*($AS$11:$AS3256&lt;&gt;"✓")),"")</f>
        <v/>
      </c>
      <c r="AZ3256" s="21" t="str">
        <f>IF(AND($AM3256&lt;&gt;"",$AS3256="✓"),SUMPRODUCT(($AM$11:$AM3256&lt;&gt;"")*($AS$11:$AS3256="✓")),"")</f>
        <v/>
      </c>
      <c r="BA3256" s="21" t="str">
        <f>IF($AL3256="","",$AL3256&amp;"|"&amp;COUNTIF($AL$11:$AL3256,$AL3256))</f>
        <v/>
      </c>
    </row>
    <row r="3257" spans="38:53" ht="15" customHeight="1" x14ac:dyDescent="0.25">
      <c r="AL3257" s="17"/>
      <c r="AM3257" s="12"/>
      <c r="AN3257" s="18"/>
      <c r="AO3257" s="18"/>
      <c r="AP3257" s="10"/>
      <c r="AQ3257" s="10"/>
      <c r="AR3257" s="19"/>
      <c r="AS3257" s="20"/>
      <c r="AT3257" s="19"/>
      <c r="AV3257" s="21">
        <f>IF(AND($AL3257&lt;&gt;"",COUNTIF($AL$11:$AL3257,$AL3257)=1),1,0)</f>
        <v>0</v>
      </c>
      <c r="AW3257" s="21">
        <f t="shared" si="187"/>
        <v>2</v>
      </c>
      <c r="AX3257" s="21" t="str">
        <f t="shared" si="186"/>
        <v/>
      </c>
      <c r="AY3257" s="21" t="str">
        <f>IF(AND($AM3257&lt;&gt;"",$AS3257&lt;&gt;"✓"),SUMPRODUCT(($AM$11:$AM3257&lt;&gt;"")*($AS$11:$AS3257&lt;&gt;"✓")),"")</f>
        <v/>
      </c>
      <c r="AZ3257" s="21" t="str">
        <f>IF(AND($AM3257&lt;&gt;"",$AS3257="✓"),SUMPRODUCT(($AM$11:$AM3257&lt;&gt;"")*($AS$11:$AS3257="✓")),"")</f>
        <v/>
      </c>
      <c r="BA3257" s="21" t="str">
        <f>IF($AL3257="","",$AL3257&amp;"|"&amp;COUNTIF($AL$11:$AL3257,$AL3257))</f>
        <v/>
      </c>
    </row>
    <row r="3258" spans="38:53" ht="15" customHeight="1" x14ac:dyDescent="0.25">
      <c r="AL3258" s="31"/>
      <c r="AM3258" s="26"/>
      <c r="AN3258" s="32"/>
      <c r="AO3258" s="32"/>
      <c r="AP3258" s="24"/>
      <c r="AQ3258" s="24"/>
      <c r="AR3258" s="33"/>
      <c r="AS3258" s="34"/>
      <c r="AT3258" s="33"/>
      <c r="AV3258" s="21">
        <f>IF(AND($AL3258&lt;&gt;"",COUNTIF($AL$11:$AL3258,$AL3258)=1),1,0)</f>
        <v>0</v>
      </c>
      <c r="AW3258" s="21">
        <f t="shared" si="187"/>
        <v>2</v>
      </c>
      <c r="AX3258" s="21" t="str">
        <f t="shared" si="186"/>
        <v/>
      </c>
      <c r="AY3258" s="21" t="str">
        <f>IF(AND($AM3258&lt;&gt;"",$AS3258&lt;&gt;"✓"),SUMPRODUCT(($AM$11:$AM3258&lt;&gt;"")*($AS$11:$AS3258&lt;&gt;"✓")),"")</f>
        <v/>
      </c>
      <c r="AZ3258" s="21" t="str">
        <f>IF(AND($AM3258&lt;&gt;"",$AS3258="✓"),SUMPRODUCT(($AM$11:$AM3258&lt;&gt;"")*($AS$11:$AS3258="✓")),"")</f>
        <v/>
      </c>
      <c r="BA3258" s="21" t="str">
        <f>IF($AL3258="","",$AL3258&amp;"|"&amp;COUNTIF($AL$11:$AL3258,$AL3258))</f>
        <v/>
      </c>
    </row>
    <row r="3259" spans="38:53" ht="15" customHeight="1" x14ac:dyDescent="0.25">
      <c r="AL3259" s="17"/>
      <c r="AM3259" s="12"/>
      <c r="AN3259" s="18"/>
      <c r="AO3259" s="18"/>
      <c r="AP3259" s="10"/>
      <c r="AQ3259" s="10"/>
      <c r="AR3259" s="19"/>
      <c r="AS3259" s="20"/>
      <c r="AT3259" s="19"/>
      <c r="AV3259" s="21">
        <f>IF(AND($AL3259&lt;&gt;"",COUNTIF($AL$11:$AL3259,$AL3259)=1),1,0)</f>
        <v>0</v>
      </c>
      <c r="AW3259" s="21">
        <f t="shared" si="187"/>
        <v>2</v>
      </c>
      <c r="AX3259" s="21" t="str">
        <f t="shared" si="186"/>
        <v/>
      </c>
      <c r="AY3259" s="21" t="str">
        <f>IF(AND($AM3259&lt;&gt;"",$AS3259&lt;&gt;"✓"),SUMPRODUCT(($AM$11:$AM3259&lt;&gt;"")*($AS$11:$AS3259&lt;&gt;"✓")),"")</f>
        <v/>
      </c>
      <c r="AZ3259" s="21" t="str">
        <f>IF(AND($AM3259&lt;&gt;"",$AS3259="✓"),SUMPRODUCT(($AM$11:$AM3259&lt;&gt;"")*($AS$11:$AS3259="✓")),"")</f>
        <v/>
      </c>
      <c r="BA3259" s="21" t="str">
        <f>IF($AL3259="","",$AL3259&amp;"|"&amp;COUNTIF($AL$11:$AL3259,$AL3259))</f>
        <v/>
      </c>
    </row>
    <row r="3260" spans="38:53" ht="15" customHeight="1" x14ac:dyDescent="0.25">
      <c r="AL3260" s="31"/>
      <c r="AM3260" s="26"/>
      <c r="AN3260" s="32"/>
      <c r="AO3260" s="32"/>
      <c r="AP3260" s="24"/>
      <c r="AQ3260" s="24"/>
      <c r="AR3260" s="33"/>
      <c r="AS3260" s="34"/>
      <c r="AT3260" s="33"/>
      <c r="AV3260" s="21">
        <f>IF(AND($AL3260&lt;&gt;"",COUNTIF($AL$11:$AL3260,$AL3260)=1),1,0)</f>
        <v>0</v>
      </c>
      <c r="AW3260" s="21">
        <f t="shared" si="187"/>
        <v>2</v>
      </c>
      <c r="AX3260" s="21" t="str">
        <f t="shared" si="186"/>
        <v/>
      </c>
      <c r="AY3260" s="21" t="str">
        <f>IF(AND($AM3260&lt;&gt;"",$AS3260&lt;&gt;"✓"),SUMPRODUCT(($AM$11:$AM3260&lt;&gt;"")*($AS$11:$AS3260&lt;&gt;"✓")),"")</f>
        <v/>
      </c>
      <c r="AZ3260" s="21" t="str">
        <f>IF(AND($AM3260&lt;&gt;"",$AS3260="✓"),SUMPRODUCT(($AM$11:$AM3260&lt;&gt;"")*($AS$11:$AS3260="✓")),"")</f>
        <v/>
      </c>
      <c r="BA3260" s="21" t="str">
        <f>IF($AL3260="","",$AL3260&amp;"|"&amp;COUNTIF($AL$11:$AL3260,$AL3260))</f>
        <v/>
      </c>
    </row>
    <row r="3261" spans="38:53" ht="15" customHeight="1" x14ac:dyDescent="0.25">
      <c r="AL3261" s="17"/>
      <c r="AM3261" s="12"/>
      <c r="AN3261" s="18"/>
      <c r="AO3261" s="18"/>
      <c r="AP3261" s="10"/>
      <c r="AQ3261" s="10"/>
      <c r="AR3261" s="19"/>
      <c r="AS3261" s="20"/>
      <c r="AT3261" s="19"/>
      <c r="AV3261" s="21">
        <f>IF(AND($AL3261&lt;&gt;"",COUNTIF($AL$11:$AL3261,$AL3261)=1),1,0)</f>
        <v>0</v>
      </c>
      <c r="AW3261" s="21">
        <f t="shared" si="187"/>
        <v>2</v>
      </c>
      <c r="AX3261" s="21" t="str">
        <f t="shared" si="186"/>
        <v/>
      </c>
      <c r="AY3261" s="21" t="str">
        <f>IF(AND($AM3261&lt;&gt;"",$AS3261&lt;&gt;"✓"),SUMPRODUCT(($AM$11:$AM3261&lt;&gt;"")*($AS$11:$AS3261&lt;&gt;"✓")),"")</f>
        <v/>
      </c>
      <c r="AZ3261" s="21" t="str">
        <f>IF(AND($AM3261&lt;&gt;"",$AS3261="✓"),SUMPRODUCT(($AM$11:$AM3261&lt;&gt;"")*($AS$11:$AS3261="✓")),"")</f>
        <v/>
      </c>
      <c r="BA3261" s="21" t="str">
        <f>IF($AL3261="","",$AL3261&amp;"|"&amp;COUNTIF($AL$11:$AL3261,$AL3261))</f>
        <v/>
      </c>
    </row>
    <row r="3262" spans="38:53" ht="15" customHeight="1" x14ac:dyDescent="0.25">
      <c r="AL3262" s="31"/>
      <c r="AM3262" s="26"/>
      <c r="AN3262" s="32"/>
      <c r="AO3262" s="32"/>
      <c r="AP3262" s="24"/>
      <c r="AQ3262" s="24"/>
      <c r="AR3262" s="33"/>
      <c r="AS3262" s="34"/>
      <c r="AT3262" s="33"/>
      <c r="AV3262" s="21">
        <f>IF(AND($AL3262&lt;&gt;"",COUNTIF($AL$11:$AL3262,$AL3262)=1),1,0)</f>
        <v>0</v>
      </c>
      <c r="AW3262" s="21">
        <f t="shared" si="187"/>
        <v>2</v>
      </c>
      <c r="AX3262" s="21" t="str">
        <f t="shared" si="186"/>
        <v/>
      </c>
      <c r="AY3262" s="21" t="str">
        <f>IF(AND($AM3262&lt;&gt;"",$AS3262&lt;&gt;"✓"),SUMPRODUCT(($AM$11:$AM3262&lt;&gt;"")*($AS$11:$AS3262&lt;&gt;"✓")),"")</f>
        <v/>
      </c>
      <c r="AZ3262" s="21" t="str">
        <f>IF(AND($AM3262&lt;&gt;"",$AS3262="✓"),SUMPRODUCT(($AM$11:$AM3262&lt;&gt;"")*($AS$11:$AS3262="✓")),"")</f>
        <v/>
      </c>
      <c r="BA3262" s="21" t="str">
        <f>IF($AL3262="","",$AL3262&amp;"|"&amp;COUNTIF($AL$11:$AL3262,$AL3262))</f>
        <v/>
      </c>
    </row>
    <row r="3263" spans="38:53" ht="15" customHeight="1" x14ac:dyDescent="0.25">
      <c r="AL3263" s="17"/>
      <c r="AM3263" s="12"/>
      <c r="AN3263" s="18"/>
      <c r="AO3263" s="18"/>
      <c r="AP3263" s="10"/>
      <c r="AQ3263" s="10"/>
      <c r="AR3263" s="19"/>
      <c r="AS3263" s="20"/>
      <c r="AT3263" s="19"/>
      <c r="AV3263" s="21">
        <f>IF(AND($AL3263&lt;&gt;"",COUNTIF($AL$11:$AL3263,$AL3263)=1),1,0)</f>
        <v>0</v>
      </c>
      <c r="AW3263" s="21">
        <f t="shared" si="187"/>
        <v>2</v>
      </c>
      <c r="AX3263" s="21" t="str">
        <f t="shared" si="186"/>
        <v/>
      </c>
      <c r="AY3263" s="21" t="str">
        <f>IF(AND($AM3263&lt;&gt;"",$AS3263&lt;&gt;"✓"),SUMPRODUCT(($AM$11:$AM3263&lt;&gt;"")*($AS$11:$AS3263&lt;&gt;"✓")),"")</f>
        <v/>
      </c>
      <c r="AZ3263" s="21" t="str">
        <f>IF(AND($AM3263&lt;&gt;"",$AS3263="✓"),SUMPRODUCT(($AM$11:$AM3263&lt;&gt;"")*($AS$11:$AS3263="✓")),"")</f>
        <v/>
      </c>
      <c r="BA3263" s="21" t="str">
        <f>IF($AL3263="","",$AL3263&amp;"|"&amp;COUNTIF($AL$11:$AL3263,$AL3263))</f>
        <v/>
      </c>
    </row>
    <row r="3264" spans="38:53" ht="15" customHeight="1" x14ac:dyDescent="0.25">
      <c r="AL3264" s="31"/>
      <c r="AM3264" s="26"/>
      <c r="AN3264" s="32"/>
      <c r="AO3264" s="32"/>
      <c r="AP3264" s="24"/>
      <c r="AQ3264" s="24"/>
      <c r="AR3264" s="33"/>
      <c r="AS3264" s="34"/>
      <c r="AT3264" s="33"/>
      <c r="AV3264" s="21">
        <f>IF(AND($AL3264&lt;&gt;"",COUNTIF($AL$11:$AL3264,$AL3264)=1),1,0)</f>
        <v>0</v>
      </c>
      <c r="AW3264" s="21">
        <f t="shared" si="187"/>
        <v>2</v>
      </c>
      <c r="AX3264" s="21" t="str">
        <f t="shared" si="186"/>
        <v/>
      </c>
      <c r="AY3264" s="21" t="str">
        <f>IF(AND($AM3264&lt;&gt;"",$AS3264&lt;&gt;"✓"),SUMPRODUCT(($AM$11:$AM3264&lt;&gt;"")*($AS$11:$AS3264&lt;&gt;"✓")),"")</f>
        <v/>
      </c>
      <c r="AZ3264" s="21" t="str">
        <f>IF(AND($AM3264&lt;&gt;"",$AS3264="✓"),SUMPRODUCT(($AM$11:$AM3264&lt;&gt;"")*($AS$11:$AS3264="✓")),"")</f>
        <v/>
      </c>
      <c r="BA3264" s="21" t="str">
        <f>IF($AL3264="","",$AL3264&amp;"|"&amp;COUNTIF($AL$11:$AL3264,$AL3264))</f>
        <v/>
      </c>
    </row>
    <row r="3265" spans="38:53" ht="15" customHeight="1" x14ac:dyDescent="0.25">
      <c r="AL3265" s="17"/>
      <c r="AM3265" s="12"/>
      <c r="AN3265" s="18"/>
      <c r="AO3265" s="18"/>
      <c r="AP3265" s="10"/>
      <c r="AQ3265" s="10"/>
      <c r="AR3265" s="19"/>
      <c r="AS3265" s="20"/>
      <c r="AT3265" s="19"/>
      <c r="AV3265" s="21">
        <f>IF(AND($AL3265&lt;&gt;"",COUNTIF($AL$11:$AL3265,$AL3265)=1),1,0)</f>
        <v>0</v>
      </c>
      <c r="AW3265" s="21">
        <f t="shared" si="187"/>
        <v>2</v>
      </c>
      <c r="AX3265" s="21" t="str">
        <f t="shared" si="186"/>
        <v/>
      </c>
      <c r="AY3265" s="21" t="str">
        <f>IF(AND($AM3265&lt;&gt;"",$AS3265&lt;&gt;"✓"),SUMPRODUCT(($AM$11:$AM3265&lt;&gt;"")*($AS$11:$AS3265&lt;&gt;"✓")),"")</f>
        <v/>
      </c>
      <c r="AZ3265" s="21" t="str">
        <f>IF(AND($AM3265&lt;&gt;"",$AS3265="✓"),SUMPRODUCT(($AM$11:$AM3265&lt;&gt;"")*($AS$11:$AS3265="✓")),"")</f>
        <v/>
      </c>
      <c r="BA3265" s="21" t="str">
        <f>IF($AL3265="","",$AL3265&amp;"|"&amp;COUNTIF($AL$11:$AL3265,$AL3265))</f>
        <v/>
      </c>
    </row>
    <row r="3266" spans="38:53" ht="15" customHeight="1" x14ac:dyDescent="0.25">
      <c r="AL3266" s="31"/>
      <c r="AM3266" s="26"/>
      <c r="AN3266" s="32"/>
      <c r="AO3266" s="32"/>
      <c r="AP3266" s="24"/>
      <c r="AQ3266" s="24"/>
      <c r="AR3266" s="33"/>
      <c r="AS3266" s="34"/>
      <c r="AT3266" s="33"/>
      <c r="AV3266" s="21">
        <f>IF(AND($AL3266&lt;&gt;"",COUNTIF($AL$11:$AL3266,$AL3266)=1),1,0)</f>
        <v>0</v>
      </c>
      <c r="AW3266" s="21">
        <f t="shared" si="187"/>
        <v>2</v>
      </c>
      <c r="AX3266" s="21" t="str">
        <f t="shared" si="186"/>
        <v/>
      </c>
      <c r="AY3266" s="21" t="str">
        <f>IF(AND($AM3266&lt;&gt;"",$AS3266&lt;&gt;"✓"),SUMPRODUCT(($AM$11:$AM3266&lt;&gt;"")*($AS$11:$AS3266&lt;&gt;"✓")),"")</f>
        <v/>
      </c>
      <c r="AZ3266" s="21" t="str">
        <f>IF(AND($AM3266&lt;&gt;"",$AS3266="✓"),SUMPRODUCT(($AM$11:$AM3266&lt;&gt;"")*($AS$11:$AS3266="✓")),"")</f>
        <v/>
      </c>
      <c r="BA3266" s="21" t="str">
        <f>IF($AL3266="","",$AL3266&amp;"|"&amp;COUNTIF($AL$11:$AL3266,$AL3266))</f>
        <v/>
      </c>
    </row>
    <row r="3267" spans="38:53" ht="15" customHeight="1" x14ac:dyDescent="0.25">
      <c r="AL3267" s="17"/>
      <c r="AM3267" s="12"/>
      <c r="AN3267" s="18"/>
      <c r="AO3267" s="18"/>
      <c r="AP3267" s="10"/>
      <c r="AQ3267" s="10"/>
      <c r="AR3267" s="19"/>
      <c r="AS3267" s="20"/>
      <c r="AT3267" s="19"/>
      <c r="AV3267" s="21">
        <f>IF(AND($AL3267&lt;&gt;"",COUNTIF($AL$11:$AL3267,$AL3267)=1),1,0)</f>
        <v>0</v>
      </c>
      <c r="AW3267" s="21">
        <f t="shared" si="187"/>
        <v>2</v>
      </c>
      <c r="AX3267" s="21" t="str">
        <f t="shared" si="186"/>
        <v/>
      </c>
      <c r="AY3267" s="21" t="str">
        <f>IF(AND($AM3267&lt;&gt;"",$AS3267&lt;&gt;"✓"),SUMPRODUCT(($AM$11:$AM3267&lt;&gt;"")*($AS$11:$AS3267&lt;&gt;"✓")),"")</f>
        <v/>
      </c>
      <c r="AZ3267" s="21" t="str">
        <f>IF(AND($AM3267&lt;&gt;"",$AS3267="✓"),SUMPRODUCT(($AM$11:$AM3267&lt;&gt;"")*($AS$11:$AS3267="✓")),"")</f>
        <v/>
      </c>
      <c r="BA3267" s="21" t="str">
        <f>IF($AL3267="","",$AL3267&amp;"|"&amp;COUNTIF($AL$11:$AL3267,$AL3267))</f>
        <v/>
      </c>
    </row>
    <row r="3268" spans="38:53" ht="15" customHeight="1" x14ac:dyDescent="0.25">
      <c r="AL3268" s="31"/>
      <c r="AM3268" s="26"/>
      <c r="AN3268" s="32"/>
      <c r="AO3268" s="32"/>
      <c r="AP3268" s="24"/>
      <c r="AQ3268" s="24"/>
      <c r="AR3268" s="33"/>
      <c r="AS3268" s="34"/>
      <c r="AT3268" s="33"/>
      <c r="AV3268" s="21">
        <f>IF(AND($AL3268&lt;&gt;"",COUNTIF($AL$11:$AL3268,$AL3268)=1),1,0)</f>
        <v>0</v>
      </c>
      <c r="AW3268" s="21">
        <f t="shared" si="187"/>
        <v>2</v>
      </c>
      <c r="AX3268" s="21" t="str">
        <f t="shared" si="186"/>
        <v/>
      </c>
      <c r="AY3268" s="21" t="str">
        <f>IF(AND($AM3268&lt;&gt;"",$AS3268&lt;&gt;"✓"),SUMPRODUCT(($AM$11:$AM3268&lt;&gt;"")*($AS$11:$AS3268&lt;&gt;"✓")),"")</f>
        <v/>
      </c>
      <c r="AZ3268" s="21" t="str">
        <f>IF(AND($AM3268&lt;&gt;"",$AS3268="✓"),SUMPRODUCT(($AM$11:$AM3268&lt;&gt;"")*($AS$11:$AS3268="✓")),"")</f>
        <v/>
      </c>
      <c r="BA3268" s="21" t="str">
        <f>IF($AL3268="","",$AL3268&amp;"|"&amp;COUNTIF($AL$11:$AL3268,$AL3268))</f>
        <v/>
      </c>
    </row>
    <row r="3269" spans="38:53" ht="15" customHeight="1" x14ac:dyDescent="0.25">
      <c r="AL3269" s="17"/>
      <c r="AM3269" s="12"/>
      <c r="AN3269" s="18"/>
      <c r="AO3269" s="18"/>
      <c r="AP3269" s="10"/>
      <c r="AQ3269" s="10"/>
      <c r="AR3269" s="19"/>
      <c r="AS3269" s="20"/>
      <c r="AT3269" s="19"/>
      <c r="AV3269" s="21">
        <f>IF(AND($AL3269&lt;&gt;"",COUNTIF($AL$11:$AL3269,$AL3269)=1),1,0)</f>
        <v>0</v>
      </c>
      <c r="AW3269" s="21">
        <f t="shared" si="187"/>
        <v>2</v>
      </c>
      <c r="AX3269" s="21" t="str">
        <f t="shared" si="186"/>
        <v/>
      </c>
      <c r="AY3269" s="21" t="str">
        <f>IF(AND($AM3269&lt;&gt;"",$AS3269&lt;&gt;"✓"),SUMPRODUCT(($AM$11:$AM3269&lt;&gt;"")*($AS$11:$AS3269&lt;&gt;"✓")),"")</f>
        <v/>
      </c>
      <c r="AZ3269" s="21" t="str">
        <f>IF(AND($AM3269&lt;&gt;"",$AS3269="✓"),SUMPRODUCT(($AM$11:$AM3269&lt;&gt;"")*($AS$11:$AS3269="✓")),"")</f>
        <v/>
      </c>
      <c r="BA3269" s="21" t="str">
        <f>IF($AL3269="","",$AL3269&amp;"|"&amp;COUNTIF($AL$11:$AL3269,$AL3269))</f>
        <v/>
      </c>
    </row>
    <row r="3270" spans="38:53" ht="15" customHeight="1" x14ac:dyDescent="0.25">
      <c r="AL3270" s="31"/>
      <c r="AM3270" s="26"/>
      <c r="AN3270" s="32"/>
      <c r="AO3270" s="32"/>
      <c r="AP3270" s="24"/>
      <c r="AQ3270" s="24"/>
      <c r="AR3270" s="33"/>
      <c r="AS3270" s="34"/>
      <c r="AT3270" s="33"/>
      <c r="AV3270" s="21">
        <f>IF(AND($AL3270&lt;&gt;"",COUNTIF($AL$11:$AL3270,$AL3270)=1),1,0)</f>
        <v>0</v>
      </c>
      <c r="AW3270" s="21">
        <f t="shared" si="187"/>
        <v>2</v>
      </c>
      <c r="AX3270" s="21" t="str">
        <f t="shared" si="186"/>
        <v/>
      </c>
      <c r="AY3270" s="21" t="str">
        <f>IF(AND($AM3270&lt;&gt;"",$AS3270&lt;&gt;"✓"),SUMPRODUCT(($AM$11:$AM3270&lt;&gt;"")*($AS$11:$AS3270&lt;&gt;"✓")),"")</f>
        <v/>
      </c>
      <c r="AZ3270" s="21" t="str">
        <f>IF(AND($AM3270&lt;&gt;"",$AS3270="✓"),SUMPRODUCT(($AM$11:$AM3270&lt;&gt;"")*($AS$11:$AS3270="✓")),"")</f>
        <v/>
      </c>
      <c r="BA3270" s="21" t="str">
        <f>IF($AL3270="","",$AL3270&amp;"|"&amp;COUNTIF($AL$11:$AL3270,$AL3270))</f>
        <v/>
      </c>
    </row>
    <row r="3271" spans="38:53" ht="15" customHeight="1" x14ac:dyDescent="0.25">
      <c r="AL3271" s="17"/>
      <c r="AM3271" s="12"/>
      <c r="AN3271" s="18"/>
      <c r="AO3271" s="18"/>
      <c r="AP3271" s="10"/>
      <c r="AQ3271" s="10"/>
      <c r="AR3271" s="19"/>
      <c r="AS3271" s="20"/>
      <c r="AT3271" s="19"/>
      <c r="AV3271" s="21">
        <f>IF(AND($AL3271&lt;&gt;"",COUNTIF($AL$11:$AL3271,$AL3271)=1),1,0)</f>
        <v>0</v>
      </c>
      <c r="AW3271" s="21">
        <f t="shared" si="187"/>
        <v>2</v>
      </c>
      <c r="AX3271" s="21" t="str">
        <f t="shared" si="186"/>
        <v/>
      </c>
      <c r="AY3271" s="21" t="str">
        <f>IF(AND($AM3271&lt;&gt;"",$AS3271&lt;&gt;"✓"),SUMPRODUCT(($AM$11:$AM3271&lt;&gt;"")*($AS$11:$AS3271&lt;&gt;"✓")),"")</f>
        <v/>
      </c>
      <c r="AZ3271" s="21" t="str">
        <f>IF(AND($AM3271&lt;&gt;"",$AS3271="✓"),SUMPRODUCT(($AM$11:$AM3271&lt;&gt;"")*($AS$11:$AS3271="✓")),"")</f>
        <v/>
      </c>
      <c r="BA3271" s="21" t="str">
        <f>IF($AL3271="","",$AL3271&amp;"|"&amp;COUNTIF($AL$11:$AL3271,$AL3271))</f>
        <v/>
      </c>
    </row>
    <row r="3272" spans="38:53" ht="15" customHeight="1" x14ac:dyDescent="0.25">
      <c r="AL3272" s="31"/>
      <c r="AM3272" s="26"/>
      <c r="AN3272" s="32"/>
      <c r="AO3272" s="32"/>
      <c r="AP3272" s="24"/>
      <c r="AQ3272" s="24"/>
      <c r="AR3272" s="33"/>
      <c r="AS3272" s="34"/>
      <c r="AT3272" s="33"/>
      <c r="AV3272" s="21">
        <f>IF(AND($AL3272&lt;&gt;"",COUNTIF($AL$11:$AL3272,$AL3272)=1),1,0)</f>
        <v>0</v>
      </c>
      <c r="AW3272" s="21">
        <f t="shared" si="187"/>
        <v>2</v>
      </c>
      <c r="AX3272" s="21" t="str">
        <f t="shared" si="186"/>
        <v/>
      </c>
      <c r="AY3272" s="21" t="str">
        <f>IF(AND($AM3272&lt;&gt;"",$AS3272&lt;&gt;"✓"),SUMPRODUCT(($AM$11:$AM3272&lt;&gt;"")*($AS$11:$AS3272&lt;&gt;"✓")),"")</f>
        <v/>
      </c>
      <c r="AZ3272" s="21" t="str">
        <f>IF(AND($AM3272&lt;&gt;"",$AS3272="✓"),SUMPRODUCT(($AM$11:$AM3272&lt;&gt;"")*($AS$11:$AS3272="✓")),"")</f>
        <v/>
      </c>
      <c r="BA3272" s="21" t="str">
        <f>IF($AL3272="","",$AL3272&amp;"|"&amp;COUNTIF($AL$11:$AL3272,$AL3272))</f>
        <v/>
      </c>
    </row>
    <row r="3273" spans="38:53" ht="15" customHeight="1" x14ac:dyDescent="0.25">
      <c r="AL3273" s="17"/>
      <c r="AM3273" s="12"/>
      <c r="AN3273" s="18"/>
      <c r="AO3273" s="18"/>
      <c r="AP3273" s="10"/>
      <c r="AQ3273" s="10"/>
      <c r="AR3273" s="19"/>
      <c r="AS3273" s="20"/>
      <c r="AT3273" s="19"/>
      <c r="AV3273" s="21">
        <f>IF(AND($AL3273&lt;&gt;"",COUNTIF($AL$11:$AL3273,$AL3273)=1),1,0)</f>
        <v>0</v>
      </c>
      <c r="AW3273" s="21">
        <f t="shared" si="187"/>
        <v>2</v>
      </c>
      <c r="AX3273" s="21" t="str">
        <f t="shared" si="186"/>
        <v/>
      </c>
      <c r="AY3273" s="21" t="str">
        <f>IF(AND($AM3273&lt;&gt;"",$AS3273&lt;&gt;"✓"),SUMPRODUCT(($AM$11:$AM3273&lt;&gt;"")*($AS$11:$AS3273&lt;&gt;"✓")),"")</f>
        <v/>
      </c>
      <c r="AZ3273" s="21" t="str">
        <f>IF(AND($AM3273&lt;&gt;"",$AS3273="✓"),SUMPRODUCT(($AM$11:$AM3273&lt;&gt;"")*($AS$11:$AS3273="✓")),"")</f>
        <v/>
      </c>
      <c r="BA3273" s="21" t="str">
        <f>IF($AL3273="","",$AL3273&amp;"|"&amp;COUNTIF($AL$11:$AL3273,$AL3273))</f>
        <v/>
      </c>
    </row>
    <row r="3274" spans="38:53" ht="15" customHeight="1" x14ac:dyDescent="0.25">
      <c r="AL3274" s="31"/>
      <c r="AM3274" s="26"/>
      <c r="AN3274" s="32"/>
      <c r="AO3274" s="32"/>
      <c r="AP3274" s="24"/>
      <c r="AQ3274" s="24"/>
      <c r="AR3274" s="33"/>
      <c r="AS3274" s="34"/>
      <c r="AT3274" s="33"/>
      <c r="AV3274" s="21">
        <f>IF(AND($AL3274&lt;&gt;"",COUNTIF($AL$11:$AL3274,$AL3274)=1),1,0)</f>
        <v>0</v>
      </c>
      <c r="AW3274" s="21">
        <f t="shared" si="187"/>
        <v>2</v>
      </c>
      <c r="AX3274" s="21" t="str">
        <f t="shared" si="186"/>
        <v/>
      </c>
      <c r="AY3274" s="21" t="str">
        <f>IF(AND($AM3274&lt;&gt;"",$AS3274&lt;&gt;"✓"),SUMPRODUCT(($AM$11:$AM3274&lt;&gt;"")*($AS$11:$AS3274&lt;&gt;"✓")),"")</f>
        <v/>
      </c>
      <c r="AZ3274" s="21" t="str">
        <f>IF(AND($AM3274&lt;&gt;"",$AS3274="✓"),SUMPRODUCT(($AM$11:$AM3274&lt;&gt;"")*($AS$11:$AS3274="✓")),"")</f>
        <v/>
      </c>
      <c r="BA3274" s="21" t="str">
        <f>IF($AL3274="","",$AL3274&amp;"|"&amp;COUNTIF($AL$11:$AL3274,$AL3274))</f>
        <v/>
      </c>
    </row>
    <row r="3275" spans="38:53" ht="15" customHeight="1" x14ac:dyDescent="0.25">
      <c r="AL3275" s="17"/>
      <c r="AM3275" s="12"/>
      <c r="AN3275" s="18"/>
      <c r="AO3275" s="18"/>
      <c r="AP3275" s="10"/>
      <c r="AQ3275" s="10"/>
      <c r="AR3275" s="19"/>
      <c r="AS3275" s="20"/>
      <c r="AT3275" s="19"/>
      <c r="AV3275" s="21">
        <f>IF(AND($AL3275&lt;&gt;"",COUNTIF($AL$11:$AL3275,$AL3275)=1),1,0)</f>
        <v>0</v>
      </c>
      <c r="AW3275" s="21">
        <f t="shared" si="187"/>
        <v>2</v>
      </c>
      <c r="AX3275" s="21" t="str">
        <f t="shared" ref="AX3275:AX3338" si="188">IF(AV3275=1,AW3275,"")</f>
        <v/>
      </c>
      <c r="AY3275" s="21" t="str">
        <f>IF(AND($AM3275&lt;&gt;"",$AS3275&lt;&gt;"✓"),SUMPRODUCT(($AM$11:$AM3275&lt;&gt;"")*($AS$11:$AS3275&lt;&gt;"✓")),"")</f>
        <v/>
      </c>
      <c r="AZ3275" s="21" t="str">
        <f>IF(AND($AM3275&lt;&gt;"",$AS3275="✓"),SUMPRODUCT(($AM$11:$AM3275&lt;&gt;"")*($AS$11:$AS3275="✓")),"")</f>
        <v/>
      </c>
      <c r="BA3275" s="21" t="str">
        <f>IF($AL3275="","",$AL3275&amp;"|"&amp;COUNTIF($AL$11:$AL3275,$AL3275))</f>
        <v/>
      </c>
    </row>
    <row r="3276" spans="38:53" ht="15" customHeight="1" x14ac:dyDescent="0.25">
      <c r="AL3276" s="31"/>
      <c r="AM3276" s="26"/>
      <c r="AN3276" s="32"/>
      <c r="AO3276" s="32"/>
      <c r="AP3276" s="24"/>
      <c r="AQ3276" s="24"/>
      <c r="AR3276" s="33"/>
      <c r="AS3276" s="34"/>
      <c r="AT3276" s="33"/>
      <c r="AV3276" s="21">
        <f>IF(AND($AL3276&lt;&gt;"",COUNTIF($AL$11:$AL3276,$AL3276)=1),1,0)</f>
        <v>0</v>
      </c>
      <c r="AW3276" s="21">
        <f t="shared" ref="AW3276:AW3339" si="189">AW3275+AV3276</f>
        <v>2</v>
      </c>
      <c r="AX3276" s="21" t="str">
        <f t="shared" si="188"/>
        <v/>
      </c>
      <c r="AY3276" s="21" t="str">
        <f>IF(AND($AM3276&lt;&gt;"",$AS3276&lt;&gt;"✓"),SUMPRODUCT(($AM$11:$AM3276&lt;&gt;"")*($AS$11:$AS3276&lt;&gt;"✓")),"")</f>
        <v/>
      </c>
      <c r="AZ3276" s="21" t="str">
        <f>IF(AND($AM3276&lt;&gt;"",$AS3276="✓"),SUMPRODUCT(($AM$11:$AM3276&lt;&gt;"")*($AS$11:$AS3276="✓")),"")</f>
        <v/>
      </c>
      <c r="BA3276" s="21" t="str">
        <f>IF($AL3276="","",$AL3276&amp;"|"&amp;COUNTIF($AL$11:$AL3276,$AL3276))</f>
        <v/>
      </c>
    </row>
    <row r="3277" spans="38:53" ht="15" customHeight="1" x14ac:dyDescent="0.25">
      <c r="AL3277" s="17"/>
      <c r="AM3277" s="12"/>
      <c r="AN3277" s="18"/>
      <c r="AO3277" s="18"/>
      <c r="AP3277" s="10"/>
      <c r="AQ3277" s="10"/>
      <c r="AR3277" s="19"/>
      <c r="AS3277" s="20"/>
      <c r="AT3277" s="19"/>
      <c r="AV3277" s="21">
        <f>IF(AND($AL3277&lt;&gt;"",COUNTIF($AL$11:$AL3277,$AL3277)=1),1,0)</f>
        <v>0</v>
      </c>
      <c r="AW3277" s="21">
        <f t="shared" si="189"/>
        <v>2</v>
      </c>
      <c r="AX3277" s="21" t="str">
        <f t="shared" si="188"/>
        <v/>
      </c>
      <c r="AY3277" s="21" t="str">
        <f>IF(AND($AM3277&lt;&gt;"",$AS3277&lt;&gt;"✓"),SUMPRODUCT(($AM$11:$AM3277&lt;&gt;"")*($AS$11:$AS3277&lt;&gt;"✓")),"")</f>
        <v/>
      </c>
      <c r="AZ3277" s="21" t="str">
        <f>IF(AND($AM3277&lt;&gt;"",$AS3277="✓"),SUMPRODUCT(($AM$11:$AM3277&lt;&gt;"")*($AS$11:$AS3277="✓")),"")</f>
        <v/>
      </c>
      <c r="BA3277" s="21" t="str">
        <f>IF($AL3277="","",$AL3277&amp;"|"&amp;COUNTIF($AL$11:$AL3277,$AL3277))</f>
        <v/>
      </c>
    </row>
    <row r="3278" spans="38:53" ht="15" customHeight="1" x14ac:dyDescent="0.25">
      <c r="AL3278" s="31"/>
      <c r="AM3278" s="26"/>
      <c r="AN3278" s="32"/>
      <c r="AO3278" s="32"/>
      <c r="AP3278" s="24"/>
      <c r="AQ3278" s="24"/>
      <c r="AR3278" s="33"/>
      <c r="AS3278" s="34"/>
      <c r="AT3278" s="33"/>
      <c r="AV3278" s="21">
        <f>IF(AND($AL3278&lt;&gt;"",COUNTIF($AL$11:$AL3278,$AL3278)=1),1,0)</f>
        <v>0</v>
      </c>
      <c r="AW3278" s="21">
        <f t="shared" si="189"/>
        <v>2</v>
      </c>
      <c r="AX3278" s="21" t="str">
        <f t="shared" si="188"/>
        <v/>
      </c>
      <c r="AY3278" s="21" t="str">
        <f>IF(AND($AM3278&lt;&gt;"",$AS3278&lt;&gt;"✓"),SUMPRODUCT(($AM$11:$AM3278&lt;&gt;"")*($AS$11:$AS3278&lt;&gt;"✓")),"")</f>
        <v/>
      </c>
      <c r="AZ3278" s="21" t="str">
        <f>IF(AND($AM3278&lt;&gt;"",$AS3278="✓"),SUMPRODUCT(($AM$11:$AM3278&lt;&gt;"")*($AS$11:$AS3278="✓")),"")</f>
        <v/>
      </c>
      <c r="BA3278" s="21" t="str">
        <f>IF($AL3278="","",$AL3278&amp;"|"&amp;COUNTIF($AL$11:$AL3278,$AL3278))</f>
        <v/>
      </c>
    </row>
    <row r="3279" spans="38:53" ht="15" customHeight="1" x14ac:dyDescent="0.25">
      <c r="AL3279" s="17"/>
      <c r="AM3279" s="12"/>
      <c r="AN3279" s="18"/>
      <c r="AO3279" s="18"/>
      <c r="AP3279" s="10"/>
      <c r="AQ3279" s="10"/>
      <c r="AR3279" s="19"/>
      <c r="AS3279" s="20"/>
      <c r="AT3279" s="19"/>
      <c r="AV3279" s="21">
        <f>IF(AND($AL3279&lt;&gt;"",COUNTIF($AL$11:$AL3279,$AL3279)=1),1,0)</f>
        <v>0</v>
      </c>
      <c r="AW3279" s="21">
        <f t="shared" si="189"/>
        <v>2</v>
      </c>
      <c r="AX3279" s="21" t="str">
        <f t="shared" si="188"/>
        <v/>
      </c>
      <c r="AY3279" s="21" t="str">
        <f>IF(AND($AM3279&lt;&gt;"",$AS3279&lt;&gt;"✓"),SUMPRODUCT(($AM$11:$AM3279&lt;&gt;"")*($AS$11:$AS3279&lt;&gt;"✓")),"")</f>
        <v/>
      </c>
      <c r="AZ3279" s="21" t="str">
        <f>IF(AND($AM3279&lt;&gt;"",$AS3279="✓"),SUMPRODUCT(($AM$11:$AM3279&lt;&gt;"")*($AS$11:$AS3279="✓")),"")</f>
        <v/>
      </c>
      <c r="BA3279" s="21" t="str">
        <f>IF($AL3279="","",$AL3279&amp;"|"&amp;COUNTIF($AL$11:$AL3279,$AL3279))</f>
        <v/>
      </c>
    </row>
    <row r="3280" spans="38:53" ht="15" customHeight="1" x14ac:dyDescent="0.25">
      <c r="AL3280" s="31"/>
      <c r="AM3280" s="26"/>
      <c r="AN3280" s="32"/>
      <c r="AO3280" s="32"/>
      <c r="AP3280" s="24"/>
      <c r="AQ3280" s="24"/>
      <c r="AR3280" s="33"/>
      <c r="AS3280" s="34"/>
      <c r="AT3280" s="33"/>
      <c r="AV3280" s="21">
        <f>IF(AND($AL3280&lt;&gt;"",COUNTIF($AL$11:$AL3280,$AL3280)=1),1,0)</f>
        <v>0</v>
      </c>
      <c r="AW3280" s="21">
        <f t="shared" si="189"/>
        <v>2</v>
      </c>
      <c r="AX3280" s="21" t="str">
        <f t="shared" si="188"/>
        <v/>
      </c>
      <c r="AY3280" s="21" t="str">
        <f>IF(AND($AM3280&lt;&gt;"",$AS3280&lt;&gt;"✓"),SUMPRODUCT(($AM$11:$AM3280&lt;&gt;"")*($AS$11:$AS3280&lt;&gt;"✓")),"")</f>
        <v/>
      </c>
      <c r="AZ3280" s="21" t="str">
        <f>IF(AND($AM3280&lt;&gt;"",$AS3280="✓"),SUMPRODUCT(($AM$11:$AM3280&lt;&gt;"")*($AS$11:$AS3280="✓")),"")</f>
        <v/>
      </c>
      <c r="BA3280" s="21" t="str">
        <f>IF($AL3280="","",$AL3280&amp;"|"&amp;COUNTIF($AL$11:$AL3280,$AL3280))</f>
        <v/>
      </c>
    </row>
    <row r="3281" spans="38:53" ht="15" customHeight="1" x14ac:dyDescent="0.25">
      <c r="AL3281" s="17"/>
      <c r="AM3281" s="12"/>
      <c r="AN3281" s="18"/>
      <c r="AO3281" s="18"/>
      <c r="AP3281" s="10"/>
      <c r="AQ3281" s="10"/>
      <c r="AR3281" s="19"/>
      <c r="AS3281" s="20"/>
      <c r="AT3281" s="19"/>
      <c r="AV3281" s="21">
        <f>IF(AND($AL3281&lt;&gt;"",COUNTIF($AL$11:$AL3281,$AL3281)=1),1,0)</f>
        <v>0</v>
      </c>
      <c r="AW3281" s="21">
        <f t="shared" si="189"/>
        <v>2</v>
      </c>
      <c r="AX3281" s="21" t="str">
        <f t="shared" si="188"/>
        <v/>
      </c>
      <c r="AY3281" s="21" t="str">
        <f>IF(AND($AM3281&lt;&gt;"",$AS3281&lt;&gt;"✓"),SUMPRODUCT(($AM$11:$AM3281&lt;&gt;"")*($AS$11:$AS3281&lt;&gt;"✓")),"")</f>
        <v/>
      </c>
      <c r="AZ3281" s="21" t="str">
        <f>IF(AND($AM3281&lt;&gt;"",$AS3281="✓"),SUMPRODUCT(($AM$11:$AM3281&lt;&gt;"")*($AS$11:$AS3281="✓")),"")</f>
        <v/>
      </c>
      <c r="BA3281" s="21" t="str">
        <f>IF($AL3281="","",$AL3281&amp;"|"&amp;COUNTIF($AL$11:$AL3281,$AL3281))</f>
        <v/>
      </c>
    </row>
    <row r="3282" spans="38:53" ht="15" customHeight="1" x14ac:dyDescent="0.25">
      <c r="AL3282" s="31"/>
      <c r="AM3282" s="26"/>
      <c r="AN3282" s="32"/>
      <c r="AO3282" s="32"/>
      <c r="AP3282" s="24"/>
      <c r="AQ3282" s="24"/>
      <c r="AR3282" s="33"/>
      <c r="AS3282" s="34"/>
      <c r="AT3282" s="33"/>
      <c r="AV3282" s="21">
        <f>IF(AND($AL3282&lt;&gt;"",COUNTIF($AL$11:$AL3282,$AL3282)=1),1,0)</f>
        <v>0</v>
      </c>
      <c r="AW3282" s="21">
        <f t="shared" si="189"/>
        <v>2</v>
      </c>
      <c r="AX3282" s="21" t="str">
        <f t="shared" si="188"/>
        <v/>
      </c>
      <c r="AY3282" s="21" t="str">
        <f>IF(AND($AM3282&lt;&gt;"",$AS3282&lt;&gt;"✓"),SUMPRODUCT(($AM$11:$AM3282&lt;&gt;"")*($AS$11:$AS3282&lt;&gt;"✓")),"")</f>
        <v/>
      </c>
      <c r="AZ3282" s="21" t="str">
        <f>IF(AND($AM3282&lt;&gt;"",$AS3282="✓"),SUMPRODUCT(($AM$11:$AM3282&lt;&gt;"")*($AS$11:$AS3282="✓")),"")</f>
        <v/>
      </c>
      <c r="BA3282" s="21" t="str">
        <f>IF($AL3282="","",$AL3282&amp;"|"&amp;COUNTIF($AL$11:$AL3282,$AL3282))</f>
        <v/>
      </c>
    </row>
    <row r="3283" spans="38:53" ht="15" customHeight="1" x14ac:dyDescent="0.25">
      <c r="AL3283" s="17"/>
      <c r="AM3283" s="12"/>
      <c r="AN3283" s="18"/>
      <c r="AO3283" s="18"/>
      <c r="AP3283" s="10"/>
      <c r="AQ3283" s="10"/>
      <c r="AR3283" s="19"/>
      <c r="AS3283" s="20"/>
      <c r="AT3283" s="19"/>
      <c r="AV3283" s="21">
        <f>IF(AND($AL3283&lt;&gt;"",COUNTIF($AL$11:$AL3283,$AL3283)=1),1,0)</f>
        <v>0</v>
      </c>
      <c r="AW3283" s="21">
        <f t="shared" si="189"/>
        <v>2</v>
      </c>
      <c r="AX3283" s="21" t="str">
        <f t="shared" si="188"/>
        <v/>
      </c>
      <c r="AY3283" s="21" t="str">
        <f>IF(AND($AM3283&lt;&gt;"",$AS3283&lt;&gt;"✓"),SUMPRODUCT(($AM$11:$AM3283&lt;&gt;"")*($AS$11:$AS3283&lt;&gt;"✓")),"")</f>
        <v/>
      </c>
      <c r="AZ3283" s="21" t="str">
        <f>IF(AND($AM3283&lt;&gt;"",$AS3283="✓"),SUMPRODUCT(($AM$11:$AM3283&lt;&gt;"")*($AS$11:$AS3283="✓")),"")</f>
        <v/>
      </c>
      <c r="BA3283" s="21" t="str">
        <f>IF($AL3283="","",$AL3283&amp;"|"&amp;COUNTIF($AL$11:$AL3283,$AL3283))</f>
        <v/>
      </c>
    </row>
    <row r="3284" spans="38:53" ht="15" customHeight="1" x14ac:dyDescent="0.25">
      <c r="AL3284" s="31"/>
      <c r="AM3284" s="26"/>
      <c r="AN3284" s="32"/>
      <c r="AO3284" s="32"/>
      <c r="AP3284" s="24"/>
      <c r="AQ3284" s="24"/>
      <c r="AR3284" s="33"/>
      <c r="AS3284" s="34"/>
      <c r="AT3284" s="33"/>
      <c r="AV3284" s="21">
        <f>IF(AND($AL3284&lt;&gt;"",COUNTIF($AL$11:$AL3284,$AL3284)=1),1,0)</f>
        <v>0</v>
      </c>
      <c r="AW3284" s="21">
        <f t="shared" si="189"/>
        <v>2</v>
      </c>
      <c r="AX3284" s="21" t="str">
        <f t="shared" si="188"/>
        <v/>
      </c>
      <c r="AY3284" s="21" t="str">
        <f>IF(AND($AM3284&lt;&gt;"",$AS3284&lt;&gt;"✓"),SUMPRODUCT(($AM$11:$AM3284&lt;&gt;"")*($AS$11:$AS3284&lt;&gt;"✓")),"")</f>
        <v/>
      </c>
      <c r="AZ3284" s="21" t="str">
        <f>IF(AND($AM3284&lt;&gt;"",$AS3284="✓"),SUMPRODUCT(($AM$11:$AM3284&lt;&gt;"")*($AS$11:$AS3284="✓")),"")</f>
        <v/>
      </c>
      <c r="BA3284" s="21" t="str">
        <f>IF($AL3284="","",$AL3284&amp;"|"&amp;COUNTIF($AL$11:$AL3284,$AL3284))</f>
        <v/>
      </c>
    </row>
    <row r="3285" spans="38:53" ht="15" customHeight="1" x14ac:dyDescent="0.25">
      <c r="AL3285" s="17"/>
      <c r="AM3285" s="12"/>
      <c r="AN3285" s="18"/>
      <c r="AO3285" s="18"/>
      <c r="AP3285" s="10"/>
      <c r="AQ3285" s="10"/>
      <c r="AR3285" s="19"/>
      <c r="AS3285" s="20"/>
      <c r="AT3285" s="19"/>
      <c r="AV3285" s="21">
        <f>IF(AND($AL3285&lt;&gt;"",COUNTIF($AL$11:$AL3285,$AL3285)=1),1,0)</f>
        <v>0</v>
      </c>
      <c r="AW3285" s="21">
        <f t="shared" si="189"/>
        <v>2</v>
      </c>
      <c r="AX3285" s="21" t="str">
        <f t="shared" si="188"/>
        <v/>
      </c>
      <c r="AY3285" s="21" t="str">
        <f>IF(AND($AM3285&lt;&gt;"",$AS3285&lt;&gt;"✓"),SUMPRODUCT(($AM$11:$AM3285&lt;&gt;"")*($AS$11:$AS3285&lt;&gt;"✓")),"")</f>
        <v/>
      </c>
      <c r="AZ3285" s="21" t="str">
        <f>IF(AND($AM3285&lt;&gt;"",$AS3285="✓"),SUMPRODUCT(($AM$11:$AM3285&lt;&gt;"")*($AS$11:$AS3285="✓")),"")</f>
        <v/>
      </c>
      <c r="BA3285" s="21" t="str">
        <f>IF($AL3285="","",$AL3285&amp;"|"&amp;COUNTIF($AL$11:$AL3285,$AL3285))</f>
        <v/>
      </c>
    </row>
    <row r="3286" spans="38:53" ht="15" customHeight="1" x14ac:dyDescent="0.25">
      <c r="AL3286" s="31"/>
      <c r="AM3286" s="26"/>
      <c r="AN3286" s="32"/>
      <c r="AO3286" s="32"/>
      <c r="AP3286" s="24"/>
      <c r="AQ3286" s="24"/>
      <c r="AR3286" s="33"/>
      <c r="AS3286" s="34"/>
      <c r="AT3286" s="33"/>
      <c r="AV3286" s="21">
        <f>IF(AND($AL3286&lt;&gt;"",COUNTIF($AL$11:$AL3286,$AL3286)=1),1,0)</f>
        <v>0</v>
      </c>
      <c r="AW3286" s="21">
        <f t="shared" si="189"/>
        <v>2</v>
      </c>
      <c r="AX3286" s="21" t="str">
        <f t="shared" si="188"/>
        <v/>
      </c>
      <c r="AY3286" s="21" t="str">
        <f>IF(AND($AM3286&lt;&gt;"",$AS3286&lt;&gt;"✓"),SUMPRODUCT(($AM$11:$AM3286&lt;&gt;"")*($AS$11:$AS3286&lt;&gt;"✓")),"")</f>
        <v/>
      </c>
      <c r="AZ3286" s="21" t="str">
        <f>IF(AND($AM3286&lt;&gt;"",$AS3286="✓"),SUMPRODUCT(($AM$11:$AM3286&lt;&gt;"")*($AS$11:$AS3286="✓")),"")</f>
        <v/>
      </c>
      <c r="BA3286" s="21" t="str">
        <f>IF($AL3286="","",$AL3286&amp;"|"&amp;COUNTIF($AL$11:$AL3286,$AL3286))</f>
        <v/>
      </c>
    </row>
    <row r="3287" spans="38:53" ht="15" customHeight="1" x14ac:dyDescent="0.25">
      <c r="AL3287" s="17"/>
      <c r="AM3287" s="12"/>
      <c r="AN3287" s="18"/>
      <c r="AO3287" s="18"/>
      <c r="AP3287" s="10"/>
      <c r="AQ3287" s="10"/>
      <c r="AR3287" s="19"/>
      <c r="AS3287" s="20"/>
      <c r="AT3287" s="19"/>
      <c r="AV3287" s="21">
        <f>IF(AND($AL3287&lt;&gt;"",COUNTIF($AL$11:$AL3287,$AL3287)=1),1,0)</f>
        <v>0</v>
      </c>
      <c r="AW3287" s="21">
        <f t="shared" si="189"/>
        <v>2</v>
      </c>
      <c r="AX3287" s="21" t="str">
        <f t="shared" si="188"/>
        <v/>
      </c>
      <c r="AY3287" s="21" t="str">
        <f>IF(AND($AM3287&lt;&gt;"",$AS3287&lt;&gt;"✓"),SUMPRODUCT(($AM$11:$AM3287&lt;&gt;"")*($AS$11:$AS3287&lt;&gt;"✓")),"")</f>
        <v/>
      </c>
      <c r="AZ3287" s="21" t="str">
        <f>IF(AND($AM3287&lt;&gt;"",$AS3287="✓"),SUMPRODUCT(($AM$11:$AM3287&lt;&gt;"")*($AS$11:$AS3287="✓")),"")</f>
        <v/>
      </c>
      <c r="BA3287" s="21" t="str">
        <f>IF($AL3287="","",$AL3287&amp;"|"&amp;COUNTIF($AL$11:$AL3287,$AL3287))</f>
        <v/>
      </c>
    </row>
    <row r="3288" spans="38:53" ht="15" customHeight="1" x14ac:dyDescent="0.25">
      <c r="AL3288" s="31"/>
      <c r="AM3288" s="26"/>
      <c r="AN3288" s="32"/>
      <c r="AO3288" s="32"/>
      <c r="AP3288" s="24"/>
      <c r="AQ3288" s="24"/>
      <c r="AR3288" s="33"/>
      <c r="AS3288" s="34"/>
      <c r="AT3288" s="33"/>
      <c r="AV3288" s="21">
        <f>IF(AND($AL3288&lt;&gt;"",COUNTIF($AL$11:$AL3288,$AL3288)=1),1,0)</f>
        <v>0</v>
      </c>
      <c r="AW3288" s="21">
        <f t="shared" si="189"/>
        <v>2</v>
      </c>
      <c r="AX3288" s="21" t="str">
        <f t="shared" si="188"/>
        <v/>
      </c>
      <c r="AY3288" s="21" t="str">
        <f>IF(AND($AM3288&lt;&gt;"",$AS3288&lt;&gt;"✓"),SUMPRODUCT(($AM$11:$AM3288&lt;&gt;"")*($AS$11:$AS3288&lt;&gt;"✓")),"")</f>
        <v/>
      </c>
      <c r="AZ3288" s="21" t="str">
        <f>IF(AND($AM3288&lt;&gt;"",$AS3288="✓"),SUMPRODUCT(($AM$11:$AM3288&lt;&gt;"")*($AS$11:$AS3288="✓")),"")</f>
        <v/>
      </c>
      <c r="BA3288" s="21" t="str">
        <f>IF($AL3288="","",$AL3288&amp;"|"&amp;COUNTIF($AL$11:$AL3288,$AL3288))</f>
        <v/>
      </c>
    </row>
    <row r="3289" spans="38:53" ht="15" customHeight="1" x14ac:dyDescent="0.25">
      <c r="AL3289" s="17"/>
      <c r="AM3289" s="12"/>
      <c r="AN3289" s="18"/>
      <c r="AO3289" s="18"/>
      <c r="AP3289" s="10"/>
      <c r="AQ3289" s="10"/>
      <c r="AR3289" s="19"/>
      <c r="AS3289" s="20"/>
      <c r="AT3289" s="19"/>
      <c r="AV3289" s="21">
        <f>IF(AND($AL3289&lt;&gt;"",COUNTIF($AL$11:$AL3289,$AL3289)=1),1,0)</f>
        <v>0</v>
      </c>
      <c r="AW3289" s="21">
        <f t="shared" si="189"/>
        <v>2</v>
      </c>
      <c r="AX3289" s="21" t="str">
        <f t="shared" si="188"/>
        <v/>
      </c>
      <c r="AY3289" s="21" t="str">
        <f>IF(AND($AM3289&lt;&gt;"",$AS3289&lt;&gt;"✓"),SUMPRODUCT(($AM$11:$AM3289&lt;&gt;"")*($AS$11:$AS3289&lt;&gt;"✓")),"")</f>
        <v/>
      </c>
      <c r="AZ3289" s="21" t="str">
        <f>IF(AND($AM3289&lt;&gt;"",$AS3289="✓"),SUMPRODUCT(($AM$11:$AM3289&lt;&gt;"")*($AS$11:$AS3289="✓")),"")</f>
        <v/>
      </c>
      <c r="BA3289" s="21" t="str">
        <f>IF($AL3289="","",$AL3289&amp;"|"&amp;COUNTIF($AL$11:$AL3289,$AL3289))</f>
        <v/>
      </c>
    </row>
    <row r="3290" spans="38:53" ht="15" customHeight="1" x14ac:dyDescent="0.25">
      <c r="AL3290" s="31"/>
      <c r="AM3290" s="26"/>
      <c r="AN3290" s="32"/>
      <c r="AO3290" s="32"/>
      <c r="AP3290" s="24"/>
      <c r="AQ3290" s="24"/>
      <c r="AR3290" s="33"/>
      <c r="AS3290" s="34"/>
      <c r="AT3290" s="33"/>
      <c r="AV3290" s="21">
        <f>IF(AND($AL3290&lt;&gt;"",COUNTIF($AL$11:$AL3290,$AL3290)=1),1,0)</f>
        <v>0</v>
      </c>
      <c r="AW3290" s="21">
        <f t="shared" si="189"/>
        <v>2</v>
      </c>
      <c r="AX3290" s="21" t="str">
        <f t="shared" si="188"/>
        <v/>
      </c>
      <c r="AY3290" s="21" t="str">
        <f>IF(AND($AM3290&lt;&gt;"",$AS3290&lt;&gt;"✓"),SUMPRODUCT(($AM$11:$AM3290&lt;&gt;"")*($AS$11:$AS3290&lt;&gt;"✓")),"")</f>
        <v/>
      </c>
      <c r="AZ3290" s="21" t="str">
        <f>IF(AND($AM3290&lt;&gt;"",$AS3290="✓"),SUMPRODUCT(($AM$11:$AM3290&lt;&gt;"")*($AS$11:$AS3290="✓")),"")</f>
        <v/>
      </c>
      <c r="BA3290" s="21" t="str">
        <f>IF($AL3290="","",$AL3290&amp;"|"&amp;COUNTIF($AL$11:$AL3290,$AL3290))</f>
        <v/>
      </c>
    </row>
    <row r="3291" spans="38:53" ht="15" customHeight="1" x14ac:dyDescent="0.25">
      <c r="AL3291" s="17"/>
      <c r="AM3291" s="12"/>
      <c r="AN3291" s="18"/>
      <c r="AO3291" s="18"/>
      <c r="AP3291" s="10"/>
      <c r="AQ3291" s="10"/>
      <c r="AR3291" s="19"/>
      <c r="AS3291" s="20"/>
      <c r="AT3291" s="19"/>
      <c r="AV3291" s="21">
        <f>IF(AND($AL3291&lt;&gt;"",COUNTIF($AL$11:$AL3291,$AL3291)=1),1,0)</f>
        <v>0</v>
      </c>
      <c r="AW3291" s="21">
        <f t="shared" si="189"/>
        <v>2</v>
      </c>
      <c r="AX3291" s="21" t="str">
        <f t="shared" si="188"/>
        <v/>
      </c>
      <c r="AY3291" s="21" t="str">
        <f>IF(AND($AM3291&lt;&gt;"",$AS3291&lt;&gt;"✓"),SUMPRODUCT(($AM$11:$AM3291&lt;&gt;"")*($AS$11:$AS3291&lt;&gt;"✓")),"")</f>
        <v/>
      </c>
      <c r="AZ3291" s="21" t="str">
        <f>IF(AND($AM3291&lt;&gt;"",$AS3291="✓"),SUMPRODUCT(($AM$11:$AM3291&lt;&gt;"")*($AS$11:$AS3291="✓")),"")</f>
        <v/>
      </c>
      <c r="BA3291" s="21" t="str">
        <f>IF($AL3291="","",$AL3291&amp;"|"&amp;COUNTIF($AL$11:$AL3291,$AL3291))</f>
        <v/>
      </c>
    </row>
    <row r="3292" spans="38:53" ht="15" customHeight="1" x14ac:dyDescent="0.25">
      <c r="AL3292" s="31"/>
      <c r="AM3292" s="26"/>
      <c r="AN3292" s="32"/>
      <c r="AO3292" s="32"/>
      <c r="AP3292" s="24"/>
      <c r="AQ3292" s="24"/>
      <c r="AR3292" s="33"/>
      <c r="AS3292" s="34"/>
      <c r="AT3292" s="33"/>
      <c r="AV3292" s="21">
        <f>IF(AND($AL3292&lt;&gt;"",COUNTIF($AL$11:$AL3292,$AL3292)=1),1,0)</f>
        <v>0</v>
      </c>
      <c r="AW3292" s="21">
        <f t="shared" si="189"/>
        <v>2</v>
      </c>
      <c r="AX3292" s="21" t="str">
        <f t="shared" si="188"/>
        <v/>
      </c>
      <c r="AY3292" s="21" t="str">
        <f>IF(AND($AM3292&lt;&gt;"",$AS3292&lt;&gt;"✓"),SUMPRODUCT(($AM$11:$AM3292&lt;&gt;"")*($AS$11:$AS3292&lt;&gt;"✓")),"")</f>
        <v/>
      </c>
      <c r="AZ3292" s="21" t="str">
        <f>IF(AND($AM3292&lt;&gt;"",$AS3292="✓"),SUMPRODUCT(($AM$11:$AM3292&lt;&gt;"")*($AS$11:$AS3292="✓")),"")</f>
        <v/>
      </c>
      <c r="BA3292" s="21" t="str">
        <f>IF($AL3292="","",$AL3292&amp;"|"&amp;COUNTIF($AL$11:$AL3292,$AL3292))</f>
        <v/>
      </c>
    </row>
    <row r="3293" spans="38:53" ht="15" customHeight="1" x14ac:dyDescent="0.25">
      <c r="AL3293" s="17"/>
      <c r="AM3293" s="12"/>
      <c r="AN3293" s="18"/>
      <c r="AO3293" s="18"/>
      <c r="AP3293" s="10"/>
      <c r="AQ3293" s="10"/>
      <c r="AR3293" s="19"/>
      <c r="AS3293" s="20"/>
      <c r="AT3293" s="19"/>
      <c r="AV3293" s="21">
        <f>IF(AND($AL3293&lt;&gt;"",COUNTIF($AL$11:$AL3293,$AL3293)=1),1,0)</f>
        <v>0</v>
      </c>
      <c r="AW3293" s="21">
        <f t="shared" si="189"/>
        <v>2</v>
      </c>
      <c r="AX3293" s="21" t="str">
        <f t="shared" si="188"/>
        <v/>
      </c>
      <c r="AY3293" s="21" t="str">
        <f>IF(AND($AM3293&lt;&gt;"",$AS3293&lt;&gt;"✓"),SUMPRODUCT(($AM$11:$AM3293&lt;&gt;"")*($AS$11:$AS3293&lt;&gt;"✓")),"")</f>
        <v/>
      </c>
      <c r="AZ3293" s="21" t="str">
        <f>IF(AND($AM3293&lt;&gt;"",$AS3293="✓"),SUMPRODUCT(($AM$11:$AM3293&lt;&gt;"")*($AS$11:$AS3293="✓")),"")</f>
        <v/>
      </c>
      <c r="BA3293" s="21" t="str">
        <f>IF($AL3293="","",$AL3293&amp;"|"&amp;COUNTIF($AL$11:$AL3293,$AL3293))</f>
        <v/>
      </c>
    </row>
    <row r="3294" spans="38:53" ht="15" customHeight="1" x14ac:dyDescent="0.25">
      <c r="AL3294" s="31"/>
      <c r="AM3294" s="26"/>
      <c r="AN3294" s="32"/>
      <c r="AO3294" s="32"/>
      <c r="AP3294" s="24"/>
      <c r="AQ3294" s="24"/>
      <c r="AR3294" s="33"/>
      <c r="AS3294" s="34"/>
      <c r="AT3294" s="33"/>
      <c r="AV3294" s="21">
        <f>IF(AND($AL3294&lt;&gt;"",COUNTIF($AL$11:$AL3294,$AL3294)=1),1,0)</f>
        <v>0</v>
      </c>
      <c r="AW3294" s="21">
        <f t="shared" si="189"/>
        <v>2</v>
      </c>
      <c r="AX3294" s="21" t="str">
        <f t="shared" si="188"/>
        <v/>
      </c>
      <c r="AY3294" s="21" t="str">
        <f>IF(AND($AM3294&lt;&gt;"",$AS3294&lt;&gt;"✓"),SUMPRODUCT(($AM$11:$AM3294&lt;&gt;"")*($AS$11:$AS3294&lt;&gt;"✓")),"")</f>
        <v/>
      </c>
      <c r="AZ3294" s="21" t="str">
        <f>IF(AND($AM3294&lt;&gt;"",$AS3294="✓"),SUMPRODUCT(($AM$11:$AM3294&lt;&gt;"")*($AS$11:$AS3294="✓")),"")</f>
        <v/>
      </c>
      <c r="BA3294" s="21" t="str">
        <f>IF($AL3294="","",$AL3294&amp;"|"&amp;COUNTIF($AL$11:$AL3294,$AL3294))</f>
        <v/>
      </c>
    </row>
    <row r="3295" spans="38:53" ht="15" customHeight="1" x14ac:dyDescent="0.25">
      <c r="AL3295" s="17"/>
      <c r="AM3295" s="12"/>
      <c r="AN3295" s="18"/>
      <c r="AO3295" s="18"/>
      <c r="AP3295" s="10"/>
      <c r="AQ3295" s="10"/>
      <c r="AR3295" s="19"/>
      <c r="AS3295" s="20"/>
      <c r="AT3295" s="19"/>
      <c r="AV3295" s="21">
        <f>IF(AND($AL3295&lt;&gt;"",COUNTIF($AL$11:$AL3295,$AL3295)=1),1,0)</f>
        <v>0</v>
      </c>
      <c r="AW3295" s="21">
        <f t="shared" si="189"/>
        <v>2</v>
      </c>
      <c r="AX3295" s="21" t="str">
        <f t="shared" si="188"/>
        <v/>
      </c>
      <c r="AY3295" s="21" t="str">
        <f>IF(AND($AM3295&lt;&gt;"",$AS3295&lt;&gt;"✓"),SUMPRODUCT(($AM$11:$AM3295&lt;&gt;"")*($AS$11:$AS3295&lt;&gt;"✓")),"")</f>
        <v/>
      </c>
      <c r="AZ3295" s="21" t="str">
        <f>IF(AND($AM3295&lt;&gt;"",$AS3295="✓"),SUMPRODUCT(($AM$11:$AM3295&lt;&gt;"")*($AS$11:$AS3295="✓")),"")</f>
        <v/>
      </c>
      <c r="BA3295" s="21" t="str">
        <f>IF($AL3295="","",$AL3295&amp;"|"&amp;COUNTIF($AL$11:$AL3295,$AL3295))</f>
        <v/>
      </c>
    </row>
    <row r="3296" spans="38:53" ht="15" customHeight="1" x14ac:dyDescent="0.25">
      <c r="AL3296" s="31"/>
      <c r="AM3296" s="26"/>
      <c r="AN3296" s="32"/>
      <c r="AO3296" s="32"/>
      <c r="AP3296" s="24"/>
      <c r="AQ3296" s="24"/>
      <c r="AR3296" s="33"/>
      <c r="AS3296" s="34"/>
      <c r="AT3296" s="33"/>
      <c r="AV3296" s="21">
        <f>IF(AND($AL3296&lt;&gt;"",COUNTIF($AL$11:$AL3296,$AL3296)=1),1,0)</f>
        <v>0</v>
      </c>
      <c r="AW3296" s="21">
        <f t="shared" si="189"/>
        <v>2</v>
      </c>
      <c r="AX3296" s="21" t="str">
        <f t="shared" si="188"/>
        <v/>
      </c>
      <c r="AY3296" s="21" t="str">
        <f>IF(AND($AM3296&lt;&gt;"",$AS3296&lt;&gt;"✓"),SUMPRODUCT(($AM$11:$AM3296&lt;&gt;"")*($AS$11:$AS3296&lt;&gt;"✓")),"")</f>
        <v/>
      </c>
      <c r="AZ3296" s="21" t="str">
        <f>IF(AND($AM3296&lt;&gt;"",$AS3296="✓"),SUMPRODUCT(($AM$11:$AM3296&lt;&gt;"")*($AS$11:$AS3296="✓")),"")</f>
        <v/>
      </c>
      <c r="BA3296" s="21" t="str">
        <f>IF($AL3296="","",$AL3296&amp;"|"&amp;COUNTIF($AL$11:$AL3296,$AL3296))</f>
        <v/>
      </c>
    </row>
    <row r="3297" spans="38:53" ht="15" customHeight="1" x14ac:dyDescent="0.25">
      <c r="AL3297" s="17"/>
      <c r="AM3297" s="12"/>
      <c r="AN3297" s="18"/>
      <c r="AO3297" s="18"/>
      <c r="AP3297" s="10"/>
      <c r="AQ3297" s="10"/>
      <c r="AR3297" s="19"/>
      <c r="AS3297" s="20"/>
      <c r="AT3297" s="19"/>
      <c r="AV3297" s="21">
        <f>IF(AND($AL3297&lt;&gt;"",COUNTIF($AL$11:$AL3297,$AL3297)=1),1,0)</f>
        <v>0</v>
      </c>
      <c r="AW3297" s="21">
        <f t="shared" si="189"/>
        <v>2</v>
      </c>
      <c r="AX3297" s="21" t="str">
        <f t="shared" si="188"/>
        <v/>
      </c>
      <c r="AY3297" s="21" t="str">
        <f>IF(AND($AM3297&lt;&gt;"",$AS3297&lt;&gt;"✓"),SUMPRODUCT(($AM$11:$AM3297&lt;&gt;"")*($AS$11:$AS3297&lt;&gt;"✓")),"")</f>
        <v/>
      </c>
      <c r="AZ3297" s="21" t="str">
        <f>IF(AND($AM3297&lt;&gt;"",$AS3297="✓"),SUMPRODUCT(($AM$11:$AM3297&lt;&gt;"")*($AS$11:$AS3297="✓")),"")</f>
        <v/>
      </c>
      <c r="BA3297" s="21" t="str">
        <f>IF($AL3297="","",$AL3297&amp;"|"&amp;COUNTIF($AL$11:$AL3297,$AL3297))</f>
        <v/>
      </c>
    </row>
    <row r="3298" spans="38:53" ht="15" customHeight="1" x14ac:dyDescent="0.25">
      <c r="AL3298" s="31"/>
      <c r="AM3298" s="26"/>
      <c r="AN3298" s="32"/>
      <c r="AO3298" s="32"/>
      <c r="AP3298" s="24"/>
      <c r="AQ3298" s="24"/>
      <c r="AR3298" s="33"/>
      <c r="AS3298" s="34"/>
      <c r="AT3298" s="33"/>
      <c r="AV3298" s="21">
        <f>IF(AND($AL3298&lt;&gt;"",COUNTIF($AL$11:$AL3298,$AL3298)=1),1,0)</f>
        <v>0</v>
      </c>
      <c r="AW3298" s="21">
        <f t="shared" si="189"/>
        <v>2</v>
      </c>
      <c r="AX3298" s="21" t="str">
        <f t="shared" si="188"/>
        <v/>
      </c>
      <c r="AY3298" s="21" t="str">
        <f>IF(AND($AM3298&lt;&gt;"",$AS3298&lt;&gt;"✓"),SUMPRODUCT(($AM$11:$AM3298&lt;&gt;"")*($AS$11:$AS3298&lt;&gt;"✓")),"")</f>
        <v/>
      </c>
      <c r="AZ3298" s="21" t="str">
        <f>IF(AND($AM3298&lt;&gt;"",$AS3298="✓"),SUMPRODUCT(($AM$11:$AM3298&lt;&gt;"")*($AS$11:$AS3298="✓")),"")</f>
        <v/>
      </c>
      <c r="BA3298" s="21" t="str">
        <f>IF($AL3298="","",$AL3298&amp;"|"&amp;COUNTIF($AL$11:$AL3298,$AL3298))</f>
        <v/>
      </c>
    </row>
    <row r="3299" spans="38:53" ht="15" customHeight="1" x14ac:dyDescent="0.25">
      <c r="AL3299" s="17"/>
      <c r="AM3299" s="12"/>
      <c r="AN3299" s="18"/>
      <c r="AO3299" s="18"/>
      <c r="AP3299" s="10"/>
      <c r="AQ3299" s="10"/>
      <c r="AR3299" s="19"/>
      <c r="AS3299" s="20"/>
      <c r="AT3299" s="19"/>
      <c r="AV3299" s="21">
        <f>IF(AND($AL3299&lt;&gt;"",COUNTIF($AL$11:$AL3299,$AL3299)=1),1,0)</f>
        <v>0</v>
      </c>
      <c r="AW3299" s="21">
        <f t="shared" si="189"/>
        <v>2</v>
      </c>
      <c r="AX3299" s="21" t="str">
        <f t="shared" si="188"/>
        <v/>
      </c>
      <c r="AY3299" s="21" t="str">
        <f>IF(AND($AM3299&lt;&gt;"",$AS3299&lt;&gt;"✓"),SUMPRODUCT(($AM$11:$AM3299&lt;&gt;"")*($AS$11:$AS3299&lt;&gt;"✓")),"")</f>
        <v/>
      </c>
      <c r="AZ3299" s="21" t="str">
        <f>IF(AND($AM3299&lt;&gt;"",$AS3299="✓"),SUMPRODUCT(($AM$11:$AM3299&lt;&gt;"")*($AS$11:$AS3299="✓")),"")</f>
        <v/>
      </c>
      <c r="BA3299" s="21" t="str">
        <f>IF($AL3299="","",$AL3299&amp;"|"&amp;COUNTIF($AL$11:$AL3299,$AL3299))</f>
        <v/>
      </c>
    </row>
    <row r="3300" spans="38:53" ht="15" customHeight="1" x14ac:dyDescent="0.25">
      <c r="AL3300" s="31"/>
      <c r="AM3300" s="26"/>
      <c r="AN3300" s="32"/>
      <c r="AO3300" s="32"/>
      <c r="AP3300" s="24"/>
      <c r="AQ3300" s="24"/>
      <c r="AR3300" s="33"/>
      <c r="AS3300" s="34"/>
      <c r="AT3300" s="33"/>
      <c r="AV3300" s="21">
        <f>IF(AND($AL3300&lt;&gt;"",COUNTIF($AL$11:$AL3300,$AL3300)=1),1,0)</f>
        <v>0</v>
      </c>
      <c r="AW3300" s="21">
        <f t="shared" si="189"/>
        <v>2</v>
      </c>
      <c r="AX3300" s="21" t="str">
        <f t="shared" si="188"/>
        <v/>
      </c>
      <c r="AY3300" s="21" t="str">
        <f>IF(AND($AM3300&lt;&gt;"",$AS3300&lt;&gt;"✓"),SUMPRODUCT(($AM$11:$AM3300&lt;&gt;"")*($AS$11:$AS3300&lt;&gt;"✓")),"")</f>
        <v/>
      </c>
      <c r="AZ3300" s="21" t="str">
        <f>IF(AND($AM3300&lt;&gt;"",$AS3300="✓"),SUMPRODUCT(($AM$11:$AM3300&lt;&gt;"")*($AS$11:$AS3300="✓")),"")</f>
        <v/>
      </c>
      <c r="BA3300" s="21" t="str">
        <f>IF($AL3300="","",$AL3300&amp;"|"&amp;COUNTIF($AL$11:$AL3300,$AL3300))</f>
        <v/>
      </c>
    </row>
    <row r="3301" spans="38:53" ht="15" customHeight="1" x14ac:dyDescent="0.25">
      <c r="AL3301" s="17"/>
      <c r="AM3301" s="12"/>
      <c r="AN3301" s="18"/>
      <c r="AO3301" s="18"/>
      <c r="AP3301" s="10"/>
      <c r="AQ3301" s="10"/>
      <c r="AR3301" s="19"/>
      <c r="AS3301" s="20"/>
      <c r="AT3301" s="19"/>
      <c r="AV3301" s="21">
        <f>IF(AND($AL3301&lt;&gt;"",COUNTIF($AL$11:$AL3301,$AL3301)=1),1,0)</f>
        <v>0</v>
      </c>
      <c r="AW3301" s="21">
        <f t="shared" si="189"/>
        <v>2</v>
      </c>
      <c r="AX3301" s="21" t="str">
        <f t="shared" si="188"/>
        <v/>
      </c>
      <c r="AY3301" s="21" t="str">
        <f>IF(AND($AM3301&lt;&gt;"",$AS3301&lt;&gt;"✓"),SUMPRODUCT(($AM$11:$AM3301&lt;&gt;"")*($AS$11:$AS3301&lt;&gt;"✓")),"")</f>
        <v/>
      </c>
      <c r="AZ3301" s="21" t="str">
        <f>IF(AND($AM3301&lt;&gt;"",$AS3301="✓"),SUMPRODUCT(($AM$11:$AM3301&lt;&gt;"")*($AS$11:$AS3301="✓")),"")</f>
        <v/>
      </c>
      <c r="BA3301" s="21" t="str">
        <f>IF($AL3301="","",$AL3301&amp;"|"&amp;COUNTIF($AL$11:$AL3301,$AL3301))</f>
        <v/>
      </c>
    </row>
    <row r="3302" spans="38:53" ht="15" customHeight="1" x14ac:dyDescent="0.25">
      <c r="AL3302" s="31"/>
      <c r="AM3302" s="26"/>
      <c r="AN3302" s="32"/>
      <c r="AO3302" s="32"/>
      <c r="AP3302" s="24"/>
      <c r="AQ3302" s="24"/>
      <c r="AR3302" s="33"/>
      <c r="AS3302" s="34"/>
      <c r="AT3302" s="33"/>
      <c r="AV3302" s="21">
        <f>IF(AND($AL3302&lt;&gt;"",COUNTIF($AL$11:$AL3302,$AL3302)=1),1,0)</f>
        <v>0</v>
      </c>
      <c r="AW3302" s="21">
        <f t="shared" si="189"/>
        <v>2</v>
      </c>
      <c r="AX3302" s="21" t="str">
        <f t="shared" si="188"/>
        <v/>
      </c>
      <c r="AY3302" s="21" t="str">
        <f>IF(AND($AM3302&lt;&gt;"",$AS3302&lt;&gt;"✓"),SUMPRODUCT(($AM$11:$AM3302&lt;&gt;"")*($AS$11:$AS3302&lt;&gt;"✓")),"")</f>
        <v/>
      </c>
      <c r="AZ3302" s="21" t="str">
        <f>IF(AND($AM3302&lt;&gt;"",$AS3302="✓"),SUMPRODUCT(($AM$11:$AM3302&lt;&gt;"")*($AS$11:$AS3302="✓")),"")</f>
        <v/>
      </c>
      <c r="BA3302" s="21" t="str">
        <f>IF($AL3302="","",$AL3302&amp;"|"&amp;COUNTIF($AL$11:$AL3302,$AL3302))</f>
        <v/>
      </c>
    </row>
    <row r="3303" spans="38:53" ht="15" customHeight="1" x14ac:dyDescent="0.25">
      <c r="AL3303" s="17"/>
      <c r="AM3303" s="12"/>
      <c r="AN3303" s="18"/>
      <c r="AO3303" s="18"/>
      <c r="AP3303" s="10"/>
      <c r="AQ3303" s="10"/>
      <c r="AR3303" s="19"/>
      <c r="AS3303" s="20"/>
      <c r="AT3303" s="19"/>
      <c r="AV3303" s="21">
        <f>IF(AND($AL3303&lt;&gt;"",COUNTIF($AL$11:$AL3303,$AL3303)=1),1,0)</f>
        <v>0</v>
      </c>
      <c r="AW3303" s="21">
        <f t="shared" si="189"/>
        <v>2</v>
      </c>
      <c r="AX3303" s="21" t="str">
        <f t="shared" si="188"/>
        <v/>
      </c>
      <c r="AY3303" s="21" t="str">
        <f>IF(AND($AM3303&lt;&gt;"",$AS3303&lt;&gt;"✓"),SUMPRODUCT(($AM$11:$AM3303&lt;&gt;"")*($AS$11:$AS3303&lt;&gt;"✓")),"")</f>
        <v/>
      </c>
      <c r="AZ3303" s="21" t="str">
        <f>IF(AND($AM3303&lt;&gt;"",$AS3303="✓"),SUMPRODUCT(($AM$11:$AM3303&lt;&gt;"")*($AS$11:$AS3303="✓")),"")</f>
        <v/>
      </c>
      <c r="BA3303" s="21" t="str">
        <f>IF($AL3303="","",$AL3303&amp;"|"&amp;COUNTIF($AL$11:$AL3303,$AL3303))</f>
        <v/>
      </c>
    </row>
    <row r="3304" spans="38:53" ht="15" customHeight="1" x14ac:dyDescent="0.25">
      <c r="AL3304" s="31"/>
      <c r="AM3304" s="26"/>
      <c r="AN3304" s="32"/>
      <c r="AO3304" s="32"/>
      <c r="AP3304" s="24"/>
      <c r="AQ3304" s="24"/>
      <c r="AR3304" s="33"/>
      <c r="AS3304" s="34"/>
      <c r="AT3304" s="33"/>
      <c r="AV3304" s="21">
        <f>IF(AND($AL3304&lt;&gt;"",COUNTIF($AL$11:$AL3304,$AL3304)=1),1,0)</f>
        <v>0</v>
      </c>
      <c r="AW3304" s="21">
        <f t="shared" si="189"/>
        <v>2</v>
      </c>
      <c r="AX3304" s="21" t="str">
        <f t="shared" si="188"/>
        <v/>
      </c>
      <c r="AY3304" s="21" t="str">
        <f>IF(AND($AM3304&lt;&gt;"",$AS3304&lt;&gt;"✓"),SUMPRODUCT(($AM$11:$AM3304&lt;&gt;"")*($AS$11:$AS3304&lt;&gt;"✓")),"")</f>
        <v/>
      </c>
      <c r="AZ3304" s="21" t="str">
        <f>IF(AND($AM3304&lt;&gt;"",$AS3304="✓"),SUMPRODUCT(($AM$11:$AM3304&lt;&gt;"")*($AS$11:$AS3304="✓")),"")</f>
        <v/>
      </c>
      <c r="BA3304" s="21" t="str">
        <f>IF($AL3304="","",$AL3304&amp;"|"&amp;COUNTIF($AL$11:$AL3304,$AL3304))</f>
        <v/>
      </c>
    </row>
    <row r="3305" spans="38:53" ht="15" customHeight="1" x14ac:dyDescent="0.25">
      <c r="AL3305" s="17"/>
      <c r="AM3305" s="12"/>
      <c r="AN3305" s="18"/>
      <c r="AO3305" s="18"/>
      <c r="AP3305" s="10"/>
      <c r="AQ3305" s="10"/>
      <c r="AR3305" s="19"/>
      <c r="AS3305" s="20"/>
      <c r="AT3305" s="19"/>
      <c r="AV3305" s="21">
        <f>IF(AND($AL3305&lt;&gt;"",COUNTIF($AL$11:$AL3305,$AL3305)=1),1,0)</f>
        <v>0</v>
      </c>
      <c r="AW3305" s="21">
        <f t="shared" si="189"/>
        <v>2</v>
      </c>
      <c r="AX3305" s="21" t="str">
        <f t="shared" si="188"/>
        <v/>
      </c>
      <c r="AY3305" s="21" t="str">
        <f>IF(AND($AM3305&lt;&gt;"",$AS3305&lt;&gt;"✓"),SUMPRODUCT(($AM$11:$AM3305&lt;&gt;"")*($AS$11:$AS3305&lt;&gt;"✓")),"")</f>
        <v/>
      </c>
      <c r="AZ3305" s="21" t="str">
        <f>IF(AND($AM3305&lt;&gt;"",$AS3305="✓"),SUMPRODUCT(($AM$11:$AM3305&lt;&gt;"")*($AS$11:$AS3305="✓")),"")</f>
        <v/>
      </c>
      <c r="BA3305" s="21" t="str">
        <f>IF($AL3305="","",$AL3305&amp;"|"&amp;COUNTIF($AL$11:$AL3305,$AL3305))</f>
        <v/>
      </c>
    </row>
    <row r="3306" spans="38:53" ht="15" customHeight="1" x14ac:dyDescent="0.25">
      <c r="AL3306" s="31"/>
      <c r="AM3306" s="26"/>
      <c r="AN3306" s="32"/>
      <c r="AO3306" s="32"/>
      <c r="AP3306" s="24"/>
      <c r="AQ3306" s="24"/>
      <c r="AR3306" s="33"/>
      <c r="AS3306" s="34"/>
      <c r="AT3306" s="33"/>
      <c r="AV3306" s="21">
        <f>IF(AND($AL3306&lt;&gt;"",COUNTIF($AL$11:$AL3306,$AL3306)=1),1,0)</f>
        <v>0</v>
      </c>
      <c r="AW3306" s="21">
        <f t="shared" si="189"/>
        <v>2</v>
      </c>
      <c r="AX3306" s="21" t="str">
        <f t="shared" si="188"/>
        <v/>
      </c>
      <c r="AY3306" s="21" t="str">
        <f>IF(AND($AM3306&lt;&gt;"",$AS3306&lt;&gt;"✓"),SUMPRODUCT(($AM$11:$AM3306&lt;&gt;"")*($AS$11:$AS3306&lt;&gt;"✓")),"")</f>
        <v/>
      </c>
      <c r="AZ3306" s="21" t="str">
        <f>IF(AND($AM3306&lt;&gt;"",$AS3306="✓"),SUMPRODUCT(($AM$11:$AM3306&lt;&gt;"")*($AS$11:$AS3306="✓")),"")</f>
        <v/>
      </c>
      <c r="BA3306" s="21" t="str">
        <f>IF($AL3306="","",$AL3306&amp;"|"&amp;COUNTIF($AL$11:$AL3306,$AL3306))</f>
        <v/>
      </c>
    </row>
    <row r="3307" spans="38:53" ht="15" customHeight="1" x14ac:dyDescent="0.25">
      <c r="AL3307" s="17"/>
      <c r="AM3307" s="12"/>
      <c r="AN3307" s="18"/>
      <c r="AO3307" s="18"/>
      <c r="AP3307" s="10"/>
      <c r="AQ3307" s="10"/>
      <c r="AR3307" s="19"/>
      <c r="AS3307" s="20"/>
      <c r="AT3307" s="19"/>
      <c r="AV3307" s="21">
        <f>IF(AND($AL3307&lt;&gt;"",COUNTIF($AL$11:$AL3307,$AL3307)=1),1,0)</f>
        <v>0</v>
      </c>
      <c r="AW3307" s="21">
        <f t="shared" si="189"/>
        <v>2</v>
      </c>
      <c r="AX3307" s="21" t="str">
        <f t="shared" si="188"/>
        <v/>
      </c>
      <c r="AY3307" s="21" t="str">
        <f>IF(AND($AM3307&lt;&gt;"",$AS3307&lt;&gt;"✓"),SUMPRODUCT(($AM$11:$AM3307&lt;&gt;"")*($AS$11:$AS3307&lt;&gt;"✓")),"")</f>
        <v/>
      </c>
      <c r="AZ3307" s="21" t="str">
        <f>IF(AND($AM3307&lt;&gt;"",$AS3307="✓"),SUMPRODUCT(($AM$11:$AM3307&lt;&gt;"")*($AS$11:$AS3307="✓")),"")</f>
        <v/>
      </c>
      <c r="BA3307" s="21" t="str">
        <f>IF($AL3307="","",$AL3307&amp;"|"&amp;COUNTIF($AL$11:$AL3307,$AL3307))</f>
        <v/>
      </c>
    </row>
    <row r="3308" spans="38:53" ht="15" customHeight="1" x14ac:dyDescent="0.25">
      <c r="AL3308" s="31"/>
      <c r="AM3308" s="26"/>
      <c r="AN3308" s="32"/>
      <c r="AO3308" s="32"/>
      <c r="AP3308" s="24"/>
      <c r="AQ3308" s="24"/>
      <c r="AR3308" s="33"/>
      <c r="AS3308" s="34"/>
      <c r="AT3308" s="33"/>
      <c r="AV3308" s="21">
        <f>IF(AND($AL3308&lt;&gt;"",COUNTIF($AL$11:$AL3308,$AL3308)=1),1,0)</f>
        <v>0</v>
      </c>
      <c r="AW3308" s="21">
        <f t="shared" si="189"/>
        <v>2</v>
      </c>
      <c r="AX3308" s="21" t="str">
        <f t="shared" si="188"/>
        <v/>
      </c>
      <c r="AY3308" s="21" t="str">
        <f>IF(AND($AM3308&lt;&gt;"",$AS3308&lt;&gt;"✓"),SUMPRODUCT(($AM$11:$AM3308&lt;&gt;"")*($AS$11:$AS3308&lt;&gt;"✓")),"")</f>
        <v/>
      </c>
      <c r="AZ3308" s="21" t="str">
        <f>IF(AND($AM3308&lt;&gt;"",$AS3308="✓"),SUMPRODUCT(($AM$11:$AM3308&lt;&gt;"")*($AS$11:$AS3308="✓")),"")</f>
        <v/>
      </c>
      <c r="BA3308" s="21" t="str">
        <f>IF($AL3308="","",$AL3308&amp;"|"&amp;COUNTIF($AL$11:$AL3308,$AL3308))</f>
        <v/>
      </c>
    </row>
    <row r="3309" spans="38:53" ht="15" customHeight="1" x14ac:dyDescent="0.25">
      <c r="AL3309" s="17"/>
      <c r="AM3309" s="12"/>
      <c r="AN3309" s="18"/>
      <c r="AO3309" s="18"/>
      <c r="AP3309" s="10"/>
      <c r="AQ3309" s="10"/>
      <c r="AR3309" s="19"/>
      <c r="AS3309" s="20"/>
      <c r="AT3309" s="19"/>
      <c r="AV3309" s="21">
        <f>IF(AND($AL3309&lt;&gt;"",COUNTIF($AL$11:$AL3309,$AL3309)=1),1,0)</f>
        <v>0</v>
      </c>
      <c r="AW3309" s="21">
        <f t="shared" si="189"/>
        <v>2</v>
      </c>
      <c r="AX3309" s="21" t="str">
        <f t="shared" si="188"/>
        <v/>
      </c>
      <c r="AY3309" s="21" t="str">
        <f>IF(AND($AM3309&lt;&gt;"",$AS3309&lt;&gt;"✓"),SUMPRODUCT(($AM$11:$AM3309&lt;&gt;"")*($AS$11:$AS3309&lt;&gt;"✓")),"")</f>
        <v/>
      </c>
      <c r="AZ3309" s="21" t="str">
        <f>IF(AND($AM3309&lt;&gt;"",$AS3309="✓"),SUMPRODUCT(($AM$11:$AM3309&lt;&gt;"")*($AS$11:$AS3309="✓")),"")</f>
        <v/>
      </c>
      <c r="BA3309" s="21" t="str">
        <f>IF($AL3309="","",$AL3309&amp;"|"&amp;COUNTIF($AL$11:$AL3309,$AL3309))</f>
        <v/>
      </c>
    </row>
    <row r="3310" spans="38:53" ht="15" customHeight="1" x14ac:dyDescent="0.25">
      <c r="AL3310" s="31"/>
      <c r="AM3310" s="26"/>
      <c r="AN3310" s="32"/>
      <c r="AO3310" s="32"/>
      <c r="AP3310" s="24"/>
      <c r="AQ3310" s="24"/>
      <c r="AR3310" s="33"/>
      <c r="AS3310" s="34"/>
      <c r="AT3310" s="33"/>
      <c r="AV3310" s="21">
        <f>IF(AND($AL3310&lt;&gt;"",COUNTIF($AL$11:$AL3310,$AL3310)=1),1,0)</f>
        <v>0</v>
      </c>
      <c r="AW3310" s="21">
        <f t="shared" si="189"/>
        <v>2</v>
      </c>
      <c r="AX3310" s="21" t="str">
        <f t="shared" si="188"/>
        <v/>
      </c>
      <c r="AY3310" s="21" t="str">
        <f>IF(AND($AM3310&lt;&gt;"",$AS3310&lt;&gt;"✓"),SUMPRODUCT(($AM$11:$AM3310&lt;&gt;"")*($AS$11:$AS3310&lt;&gt;"✓")),"")</f>
        <v/>
      </c>
      <c r="AZ3310" s="21" t="str">
        <f>IF(AND($AM3310&lt;&gt;"",$AS3310="✓"),SUMPRODUCT(($AM$11:$AM3310&lt;&gt;"")*($AS$11:$AS3310="✓")),"")</f>
        <v/>
      </c>
      <c r="BA3310" s="21" t="str">
        <f>IF($AL3310="","",$AL3310&amp;"|"&amp;COUNTIF($AL$11:$AL3310,$AL3310))</f>
        <v/>
      </c>
    </row>
    <row r="3311" spans="38:53" ht="15" customHeight="1" x14ac:dyDescent="0.25">
      <c r="AL3311" s="17"/>
      <c r="AM3311" s="12"/>
      <c r="AN3311" s="18"/>
      <c r="AO3311" s="18"/>
      <c r="AP3311" s="10"/>
      <c r="AQ3311" s="10"/>
      <c r="AR3311" s="19"/>
      <c r="AS3311" s="20"/>
      <c r="AT3311" s="19"/>
      <c r="AV3311" s="21">
        <f>IF(AND($AL3311&lt;&gt;"",COUNTIF($AL$11:$AL3311,$AL3311)=1),1,0)</f>
        <v>0</v>
      </c>
      <c r="AW3311" s="21">
        <f t="shared" si="189"/>
        <v>2</v>
      </c>
      <c r="AX3311" s="21" t="str">
        <f t="shared" si="188"/>
        <v/>
      </c>
      <c r="AY3311" s="21" t="str">
        <f>IF(AND($AM3311&lt;&gt;"",$AS3311&lt;&gt;"✓"),SUMPRODUCT(($AM$11:$AM3311&lt;&gt;"")*($AS$11:$AS3311&lt;&gt;"✓")),"")</f>
        <v/>
      </c>
      <c r="AZ3311" s="21" t="str">
        <f>IF(AND($AM3311&lt;&gt;"",$AS3311="✓"),SUMPRODUCT(($AM$11:$AM3311&lt;&gt;"")*($AS$11:$AS3311="✓")),"")</f>
        <v/>
      </c>
      <c r="BA3311" s="21" t="str">
        <f>IF($AL3311="","",$AL3311&amp;"|"&amp;COUNTIF($AL$11:$AL3311,$AL3311))</f>
        <v/>
      </c>
    </row>
    <row r="3312" spans="38:53" ht="15" customHeight="1" x14ac:dyDescent="0.25">
      <c r="AL3312" s="31"/>
      <c r="AM3312" s="26"/>
      <c r="AN3312" s="32"/>
      <c r="AO3312" s="32"/>
      <c r="AP3312" s="24"/>
      <c r="AQ3312" s="24"/>
      <c r="AR3312" s="33"/>
      <c r="AS3312" s="34"/>
      <c r="AT3312" s="33"/>
      <c r="AV3312" s="21">
        <f>IF(AND($AL3312&lt;&gt;"",COUNTIF($AL$11:$AL3312,$AL3312)=1),1,0)</f>
        <v>0</v>
      </c>
      <c r="AW3312" s="21">
        <f t="shared" si="189"/>
        <v>2</v>
      </c>
      <c r="AX3312" s="21" t="str">
        <f t="shared" si="188"/>
        <v/>
      </c>
      <c r="AY3312" s="21" t="str">
        <f>IF(AND($AM3312&lt;&gt;"",$AS3312&lt;&gt;"✓"),SUMPRODUCT(($AM$11:$AM3312&lt;&gt;"")*($AS$11:$AS3312&lt;&gt;"✓")),"")</f>
        <v/>
      </c>
      <c r="AZ3312" s="21" t="str">
        <f>IF(AND($AM3312&lt;&gt;"",$AS3312="✓"),SUMPRODUCT(($AM$11:$AM3312&lt;&gt;"")*($AS$11:$AS3312="✓")),"")</f>
        <v/>
      </c>
      <c r="BA3312" s="21" t="str">
        <f>IF($AL3312="","",$AL3312&amp;"|"&amp;COUNTIF($AL$11:$AL3312,$AL3312))</f>
        <v/>
      </c>
    </row>
    <row r="3313" spans="38:53" ht="15" customHeight="1" x14ac:dyDescent="0.25">
      <c r="AL3313" s="17"/>
      <c r="AM3313" s="12"/>
      <c r="AN3313" s="18"/>
      <c r="AO3313" s="18"/>
      <c r="AP3313" s="10"/>
      <c r="AQ3313" s="10"/>
      <c r="AR3313" s="19"/>
      <c r="AS3313" s="20"/>
      <c r="AT3313" s="19"/>
      <c r="AV3313" s="21">
        <f>IF(AND($AL3313&lt;&gt;"",COUNTIF($AL$11:$AL3313,$AL3313)=1),1,0)</f>
        <v>0</v>
      </c>
      <c r="AW3313" s="21">
        <f t="shared" si="189"/>
        <v>2</v>
      </c>
      <c r="AX3313" s="21" t="str">
        <f t="shared" si="188"/>
        <v/>
      </c>
      <c r="AY3313" s="21" t="str">
        <f>IF(AND($AM3313&lt;&gt;"",$AS3313&lt;&gt;"✓"),SUMPRODUCT(($AM$11:$AM3313&lt;&gt;"")*($AS$11:$AS3313&lt;&gt;"✓")),"")</f>
        <v/>
      </c>
      <c r="AZ3313" s="21" t="str">
        <f>IF(AND($AM3313&lt;&gt;"",$AS3313="✓"),SUMPRODUCT(($AM$11:$AM3313&lt;&gt;"")*($AS$11:$AS3313="✓")),"")</f>
        <v/>
      </c>
      <c r="BA3313" s="21" t="str">
        <f>IF($AL3313="","",$AL3313&amp;"|"&amp;COUNTIF($AL$11:$AL3313,$AL3313))</f>
        <v/>
      </c>
    </row>
    <row r="3314" spans="38:53" ht="15" customHeight="1" x14ac:dyDescent="0.25">
      <c r="AL3314" s="31"/>
      <c r="AM3314" s="26"/>
      <c r="AN3314" s="32"/>
      <c r="AO3314" s="32"/>
      <c r="AP3314" s="24"/>
      <c r="AQ3314" s="24"/>
      <c r="AR3314" s="33"/>
      <c r="AS3314" s="34"/>
      <c r="AT3314" s="33"/>
      <c r="AV3314" s="21">
        <f>IF(AND($AL3314&lt;&gt;"",COUNTIF($AL$11:$AL3314,$AL3314)=1),1,0)</f>
        <v>0</v>
      </c>
      <c r="AW3314" s="21">
        <f t="shared" si="189"/>
        <v>2</v>
      </c>
      <c r="AX3314" s="21" t="str">
        <f t="shared" si="188"/>
        <v/>
      </c>
      <c r="AY3314" s="21" t="str">
        <f>IF(AND($AM3314&lt;&gt;"",$AS3314&lt;&gt;"✓"),SUMPRODUCT(($AM$11:$AM3314&lt;&gt;"")*($AS$11:$AS3314&lt;&gt;"✓")),"")</f>
        <v/>
      </c>
      <c r="AZ3314" s="21" t="str">
        <f>IF(AND($AM3314&lt;&gt;"",$AS3314="✓"),SUMPRODUCT(($AM$11:$AM3314&lt;&gt;"")*($AS$11:$AS3314="✓")),"")</f>
        <v/>
      </c>
      <c r="BA3314" s="21" t="str">
        <f>IF($AL3314="","",$AL3314&amp;"|"&amp;COUNTIF($AL$11:$AL3314,$AL3314))</f>
        <v/>
      </c>
    </row>
    <row r="3315" spans="38:53" ht="15" customHeight="1" x14ac:dyDescent="0.25">
      <c r="AL3315" s="17"/>
      <c r="AM3315" s="12"/>
      <c r="AN3315" s="18"/>
      <c r="AO3315" s="18"/>
      <c r="AP3315" s="10"/>
      <c r="AQ3315" s="10"/>
      <c r="AR3315" s="19"/>
      <c r="AS3315" s="20"/>
      <c r="AT3315" s="19"/>
      <c r="AV3315" s="21">
        <f>IF(AND($AL3315&lt;&gt;"",COUNTIF($AL$11:$AL3315,$AL3315)=1),1,0)</f>
        <v>0</v>
      </c>
      <c r="AW3315" s="21">
        <f t="shared" si="189"/>
        <v>2</v>
      </c>
      <c r="AX3315" s="21" t="str">
        <f t="shared" si="188"/>
        <v/>
      </c>
      <c r="AY3315" s="21" t="str">
        <f>IF(AND($AM3315&lt;&gt;"",$AS3315&lt;&gt;"✓"),SUMPRODUCT(($AM$11:$AM3315&lt;&gt;"")*($AS$11:$AS3315&lt;&gt;"✓")),"")</f>
        <v/>
      </c>
      <c r="AZ3315" s="21" t="str">
        <f>IF(AND($AM3315&lt;&gt;"",$AS3315="✓"),SUMPRODUCT(($AM$11:$AM3315&lt;&gt;"")*($AS$11:$AS3315="✓")),"")</f>
        <v/>
      </c>
      <c r="BA3315" s="21" t="str">
        <f>IF($AL3315="","",$AL3315&amp;"|"&amp;COUNTIF($AL$11:$AL3315,$AL3315))</f>
        <v/>
      </c>
    </row>
    <row r="3316" spans="38:53" ht="15" customHeight="1" x14ac:dyDescent="0.25">
      <c r="AL3316" s="31"/>
      <c r="AM3316" s="26"/>
      <c r="AN3316" s="32"/>
      <c r="AO3316" s="32"/>
      <c r="AP3316" s="24"/>
      <c r="AQ3316" s="24"/>
      <c r="AR3316" s="33"/>
      <c r="AS3316" s="34"/>
      <c r="AT3316" s="33"/>
      <c r="AV3316" s="21">
        <f>IF(AND($AL3316&lt;&gt;"",COUNTIF($AL$11:$AL3316,$AL3316)=1),1,0)</f>
        <v>0</v>
      </c>
      <c r="AW3316" s="21">
        <f t="shared" si="189"/>
        <v>2</v>
      </c>
      <c r="AX3316" s="21" t="str">
        <f t="shared" si="188"/>
        <v/>
      </c>
      <c r="AY3316" s="21" t="str">
        <f>IF(AND($AM3316&lt;&gt;"",$AS3316&lt;&gt;"✓"),SUMPRODUCT(($AM$11:$AM3316&lt;&gt;"")*($AS$11:$AS3316&lt;&gt;"✓")),"")</f>
        <v/>
      </c>
      <c r="AZ3316" s="21" t="str">
        <f>IF(AND($AM3316&lt;&gt;"",$AS3316="✓"),SUMPRODUCT(($AM$11:$AM3316&lt;&gt;"")*($AS$11:$AS3316="✓")),"")</f>
        <v/>
      </c>
      <c r="BA3316" s="21" t="str">
        <f>IF($AL3316="","",$AL3316&amp;"|"&amp;COUNTIF($AL$11:$AL3316,$AL3316))</f>
        <v/>
      </c>
    </row>
    <row r="3317" spans="38:53" ht="15" customHeight="1" x14ac:dyDescent="0.25">
      <c r="AL3317" s="17"/>
      <c r="AM3317" s="12"/>
      <c r="AN3317" s="18"/>
      <c r="AO3317" s="18"/>
      <c r="AP3317" s="10"/>
      <c r="AQ3317" s="10"/>
      <c r="AR3317" s="19"/>
      <c r="AS3317" s="20"/>
      <c r="AT3317" s="19"/>
      <c r="AV3317" s="21">
        <f>IF(AND($AL3317&lt;&gt;"",COUNTIF($AL$11:$AL3317,$AL3317)=1),1,0)</f>
        <v>0</v>
      </c>
      <c r="AW3317" s="21">
        <f t="shared" si="189"/>
        <v>2</v>
      </c>
      <c r="AX3317" s="21" t="str">
        <f t="shared" si="188"/>
        <v/>
      </c>
      <c r="AY3317" s="21" t="str">
        <f>IF(AND($AM3317&lt;&gt;"",$AS3317&lt;&gt;"✓"),SUMPRODUCT(($AM$11:$AM3317&lt;&gt;"")*($AS$11:$AS3317&lt;&gt;"✓")),"")</f>
        <v/>
      </c>
      <c r="AZ3317" s="21" t="str">
        <f>IF(AND($AM3317&lt;&gt;"",$AS3317="✓"),SUMPRODUCT(($AM$11:$AM3317&lt;&gt;"")*($AS$11:$AS3317="✓")),"")</f>
        <v/>
      </c>
      <c r="BA3317" s="21" t="str">
        <f>IF($AL3317="","",$AL3317&amp;"|"&amp;COUNTIF($AL$11:$AL3317,$AL3317))</f>
        <v/>
      </c>
    </row>
    <row r="3318" spans="38:53" ht="15" customHeight="1" x14ac:dyDescent="0.25">
      <c r="AL3318" s="31"/>
      <c r="AM3318" s="26"/>
      <c r="AN3318" s="32"/>
      <c r="AO3318" s="32"/>
      <c r="AP3318" s="24"/>
      <c r="AQ3318" s="24"/>
      <c r="AR3318" s="33"/>
      <c r="AS3318" s="34"/>
      <c r="AT3318" s="33"/>
      <c r="AV3318" s="21">
        <f>IF(AND($AL3318&lt;&gt;"",COUNTIF($AL$11:$AL3318,$AL3318)=1),1,0)</f>
        <v>0</v>
      </c>
      <c r="AW3318" s="21">
        <f t="shared" si="189"/>
        <v>2</v>
      </c>
      <c r="AX3318" s="21" t="str">
        <f t="shared" si="188"/>
        <v/>
      </c>
      <c r="AY3318" s="21" t="str">
        <f>IF(AND($AM3318&lt;&gt;"",$AS3318&lt;&gt;"✓"),SUMPRODUCT(($AM$11:$AM3318&lt;&gt;"")*($AS$11:$AS3318&lt;&gt;"✓")),"")</f>
        <v/>
      </c>
      <c r="AZ3318" s="21" t="str">
        <f>IF(AND($AM3318&lt;&gt;"",$AS3318="✓"),SUMPRODUCT(($AM$11:$AM3318&lt;&gt;"")*($AS$11:$AS3318="✓")),"")</f>
        <v/>
      </c>
      <c r="BA3318" s="21" t="str">
        <f>IF($AL3318="","",$AL3318&amp;"|"&amp;COUNTIF($AL$11:$AL3318,$AL3318))</f>
        <v/>
      </c>
    </row>
    <row r="3319" spans="38:53" ht="15" customHeight="1" x14ac:dyDescent="0.25">
      <c r="AL3319" s="17"/>
      <c r="AM3319" s="12"/>
      <c r="AN3319" s="18"/>
      <c r="AO3319" s="18"/>
      <c r="AP3319" s="10"/>
      <c r="AQ3319" s="10"/>
      <c r="AR3319" s="19"/>
      <c r="AS3319" s="20"/>
      <c r="AT3319" s="19"/>
      <c r="AV3319" s="21">
        <f>IF(AND($AL3319&lt;&gt;"",COUNTIF($AL$11:$AL3319,$AL3319)=1),1,0)</f>
        <v>0</v>
      </c>
      <c r="AW3319" s="21">
        <f t="shared" si="189"/>
        <v>2</v>
      </c>
      <c r="AX3319" s="21" t="str">
        <f t="shared" si="188"/>
        <v/>
      </c>
      <c r="AY3319" s="21" t="str">
        <f>IF(AND($AM3319&lt;&gt;"",$AS3319&lt;&gt;"✓"),SUMPRODUCT(($AM$11:$AM3319&lt;&gt;"")*($AS$11:$AS3319&lt;&gt;"✓")),"")</f>
        <v/>
      </c>
      <c r="AZ3319" s="21" t="str">
        <f>IF(AND($AM3319&lt;&gt;"",$AS3319="✓"),SUMPRODUCT(($AM$11:$AM3319&lt;&gt;"")*($AS$11:$AS3319="✓")),"")</f>
        <v/>
      </c>
      <c r="BA3319" s="21" t="str">
        <f>IF($AL3319="","",$AL3319&amp;"|"&amp;COUNTIF($AL$11:$AL3319,$AL3319))</f>
        <v/>
      </c>
    </row>
    <row r="3320" spans="38:53" ht="15" customHeight="1" x14ac:dyDescent="0.25">
      <c r="AL3320" s="31"/>
      <c r="AM3320" s="26"/>
      <c r="AN3320" s="32"/>
      <c r="AO3320" s="32"/>
      <c r="AP3320" s="24"/>
      <c r="AQ3320" s="24"/>
      <c r="AR3320" s="33"/>
      <c r="AS3320" s="34"/>
      <c r="AT3320" s="33"/>
      <c r="AV3320" s="21">
        <f>IF(AND($AL3320&lt;&gt;"",COUNTIF($AL$11:$AL3320,$AL3320)=1),1,0)</f>
        <v>0</v>
      </c>
      <c r="AW3320" s="21">
        <f t="shared" si="189"/>
        <v>2</v>
      </c>
      <c r="AX3320" s="21" t="str">
        <f t="shared" si="188"/>
        <v/>
      </c>
      <c r="AY3320" s="21" t="str">
        <f>IF(AND($AM3320&lt;&gt;"",$AS3320&lt;&gt;"✓"),SUMPRODUCT(($AM$11:$AM3320&lt;&gt;"")*($AS$11:$AS3320&lt;&gt;"✓")),"")</f>
        <v/>
      </c>
      <c r="AZ3320" s="21" t="str">
        <f>IF(AND($AM3320&lt;&gt;"",$AS3320="✓"),SUMPRODUCT(($AM$11:$AM3320&lt;&gt;"")*($AS$11:$AS3320="✓")),"")</f>
        <v/>
      </c>
      <c r="BA3320" s="21" t="str">
        <f>IF($AL3320="","",$AL3320&amp;"|"&amp;COUNTIF($AL$11:$AL3320,$AL3320))</f>
        <v/>
      </c>
    </row>
    <row r="3321" spans="38:53" ht="15" customHeight="1" x14ac:dyDescent="0.25">
      <c r="AL3321" s="17"/>
      <c r="AM3321" s="12"/>
      <c r="AN3321" s="18"/>
      <c r="AO3321" s="18"/>
      <c r="AP3321" s="10"/>
      <c r="AQ3321" s="10"/>
      <c r="AR3321" s="19"/>
      <c r="AS3321" s="20"/>
      <c r="AT3321" s="19"/>
      <c r="AV3321" s="21">
        <f>IF(AND($AL3321&lt;&gt;"",COUNTIF($AL$11:$AL3321,$AL3321)=1),1,0)</f>
        <v>0</v>
      </c>
      <c r="AW3321" s="21">
        <f t="shared" si="189"/>
        <v>2</v>
      </c>
      <c r="AX3321" s="21" t="str">
        <f t="shared" si="188"/>
        <v/>
      </c>
      <c r="AY3321" s="21" t="str">
        <f>IF(AND($AM3321&lt;&gt;"",$AS3321&lt;&gt;"✓"),SUMPRODUCT(($AM$11:$AM3321&lt;&gt;"")*($AS$11:$AS3321&lt;&gt;"✓")),"")</f>
        <v/>
      </c>
      <c r="AZ3321" s="21" t="str">
        <f>IF(AND($AM3321&lt;&gt;"",$AS3321="✓"),SUMPRODUCT(($AM$11:$AM3321&lt;&gt;"")*($AS$11:$AS3321="✓")),"")</f>
        <v/>
      </c>
      <c r="BA3321" s="21" t="str">
        <f>IF($AL3321="","",$AL3321&amp;"|"&amp;COUNTIF($AL$11:$AL3321,$AL3321))</f>
        <v/>
      </c>
    </row>
    <row r="3322" spans="38:53" ht="15" customHeight="1" x14ac:dyDescent="0.25">
      <c r="AL3322" s="31"/>
      <c r="AM3322" s="26"/>
      <c r="AN3322" s="32"/>
      <c r="AO3322" s="32"/>
      <c r="AP3322" s="24"/>
      <c r="AQ3322" s="24"/>
      <c r="AR3322" s="33"/>
      <c r="AS3322" s="34"/>
      <c r="AT3322" s="33"/>
      <c r="AV3322" s="21">
        <f>IF(AND($AL3322&lt;&gt;"",COUNTIF($AL$11:$AL3322,$AL3322)=1),1,0)</f>
        <v>0</v>
      </c>
      <c r="AW3322" s="21">
        <f t="shared" si="189"/>
        <v>2</v>
      </c>
      <c r="AX3322" s="21" t="str">
        <f t="shared" si="188"/>
        <v/>
      </c>
      <c r="AY3322" s="21" t="str">
        <f>IF(AND($AM3322&lt;&gt;"",$AS3322&lt;&gt;"✓"),SUMPRODUCT(($AM$11:$AM3322&lt;&gt;"")*($AS$11:$AS3322&lt;&gt;"✓")),"")</f>
        <v/>
      </c>
      <c r="AZ3322" s="21" t="str">
        <f>IF(AND($AM3322&lt;&gt;"",$AS3322="✓"),SUMPRODUCT(($AM$11:$AM3322&lt;&gt;"")*($AS$11:$AS3322="✓")),"")</f>
        <v/>
      </c>
      <c r="BA3322" s="21" t="str">
        <f>IF($AL3322="","",$AL3322&amp;"|"&amp;COUNTIF($AL$11:$AL3322,$AL3322))</f>
        <v/>
      </c>
    </row>
    <row r="3323" spans="38:53" ht="15" customHeight="1" x14ac:dyDescent="0.25">
      <c r="AL3323" s="17"/>
      <c r="AM3323" s="12"/>
      <c r="AN3323" s="18"/>
      <c r="AO3323" s="18"/>
      <c r="AP3323" s="10"/>
      <c r="AQ3323" s="10"/>
      <c r="AR3323" s="19"/>
      <c r="AS3323" s="20"/>
      <c r="AT3323" s="19"/>
      <c r="AV3323" s="21">
        <f>IF(AND($AL3323&lt;&gt;"",COUNTIF($AL$11:$AL3323,$AL3323)=1),1,0)</f>
        <v>0</v>
      </c>
      <c r="AW3323" s="21">
        <f t="shared" si="189"/>
        <v>2</v>
      </c>
      <c r="AX3323" s="21" t="str">
        <f t="shared" si="188"/>
        <v/>
      </c>
      <c r="AY3323" s="21" t="str">
        <f>IF(AND($AM3323&lt;&gt;"",$AS3323&lt;&gt;"✓"),SUMPRODUCT(($AM$11:$AM3323&lt;&gt;"")*($AS$11:$AS3323&lt;&gt;"✓")),"")</f>
        <v/>
      </c>
      <c r="AZ3323" s="21" t="str">
        <f>IF(AND($AM3323&lt;&gt;"",$AS3323="✓"),SUMPRODUCT(($AM$11:$AM3323&lt;&gt;"")*($AS$11:$AS3323="✓")),"")</f>
        <v/>
      </c>
      <c r="BA3323" s="21" t="str">
        <f>IF($AL3323="","",$AL3323&amp;"|"&amp;COUNTIF($AL$11:$AL3323,$AL3323))</f>
        <v/>
      </c>
    </row>
    <row r="3324" spans="38:53" ht="15" customHeight="1" x14ac:dyDescent="0.25">
      <c r="AL3324" s="31"/>
      <c r="AM3324" s="26"/>
      <c r="AN3324" s="32"/>
      <c r="AO3324" s="32"/>
      <c r="AP3324" s="24"/>
      <c r="AQ3324" s="24"/>
      <c r="AR3324" s="33"/>
      <c r="AS3324" s="34"/>
      <c r="AT3324" s="33"/>
      <c r="AV3324" s="21">
        <f>IF(AND($AL3324&lt;&gt;"",COUNTIF($AL$11:$AL3324,$AL3324)=1),1,0)</f>
        <v>0</v>
      </c>
      <c r="AW3324" s="21">
        <f t="shared" si="189"/>
        <v>2</v>
      </c>
      <c r="AX3324" s="21" t="str">
        <f t="shared" si="188"/>
        <v/>
      </c>
      <c r="AY3324" s="21" t="str">
        <f>IF(AND($AM3324&lt;&gt;"",$AS3324&lt;&gt;"✓"),SUMPRODUCT(($AM$11:$AM3324&lt;&gt;"")*($AS$11:$AS3324&lt;&gt;"✓")),"")</f>
        <v/>
      </c>
      <c r="AZ3324" s="21" t="str">
        <f>IF(AND($AM3324&lt;&gt;"",$AS3324="✓"),SUMPRODUCT(($AM$11:$AM3324&lt;&gt;"")*($AS$11:$AS3324="✓")),"")</f>
        <v/>
      </c>
      <c r="BA3324" s="21" t="str">
        <f>IF($AL3324="","",$AL3324&amp;"|"&amp;COUNTIF($AL$11:$AL3324,$AL3324))</f>
        <v/>
      </c>
    </row>
    <row r="3325" spans="38:53" ht="15" customHeight="1" x14ac:dyDescent="0.25">
      <c r="AL3325" s="17"/>
      <c r="AM3325" s="12"/>
      <c r="AN3325" s="18"/>
      <c r="AO3325" s="18"/>
      <c r="AP3325" s="10"/>
      <c r="AQ3325" s="10"/>
      <c r="AR3325" s="19"/>
      <c r="AS3325" s="20"/>
      <c r="AT3325" s="19"/>
      <c r="AV3325" s="21">
        <f>IF(AND($AL3325&lt;&gt;"",COUNTIF($AL$11:$AL3325,$AL3325)=1),1,0)</f>
        <v>0</v>
      </c>
      <c r="AW3325" s="21">
        <f t="shared" si="189"/>
        <v>2</v>
      </c>
      <c r="AX3325" s="21" t="str">
        <f t="shared" si="188"/>
        <v/>
      </c>
      <c r="AY3325" s="21" t="str">
        <f>IF(AND($AM3325&lt;&gt;"",$AS3325&lt;&gt;"✓"),SUMPRODUCT(($AM$11:$AM3325&lt;&gt;"")*($AS$11:$AS3325&lt;&gt;"✓")),"")</f>
        <v/>
      </c>
      <c r="AZ3325" s="21" t="str">
        <f>IF(AND($AM3325&lt;&gt;"",$AS3325="✓"),SUMPRODUCT(($AM$11:$AM3325&lt;&gt;"")*($AS$11:$AS3325="✓")),"")</f>
        <v/>
      </c>
      <c r="BA3325" s="21" t="str">
        <f>IF($AL3325="","",$AL3325&amp;"|"&amp;COUNTIF($AL$11:$AL3325,$AL3325))</f>
        <v/>
      </c>
    </row>
    <row r="3326" spans="38:53" ht="15" customHeight="1" x14ac:dyDescent="0.25">
      <c r="AL3326" s="31"/>
      <c r="AM3326" s="26"/>
      <c r="AN3326" s="32"/>
      <c r="AO3326" s="32"/>
      <c r="AP3326" s="24"/>
      <c r="AQ3326" s="24"/>
      <c r="AR3326" s="33"/>
      <c r="AS3326" s="34"/>
      <c r="AT3326" s="33"/>
      <c r="AV3326" s="21">
        <f>IF(AND($AL3326&lt;&gt;"",COUNTIF($AL$11:$AL3326,$AL3326)=1),1,0)</f>
        <v>0</v>
      </c>
      <c r="AW3326" s="21">
        <f t="shared" si="189"/>
        <v>2</v>
      </c>
      <c r="AX3326" s="21" t="str">
        <f t="shared" si="188"/>
        <v/>
      </c>
      <c r="AY3326" s="21" t="str">
        <f>IF(AND($AM3326&lt;&gt;"",$AS3326&lt;&gt;"✓"),SUMPRODUCT(($AM$11:$AM3326&lt;&gt;"")*($AS$11:$AS3326&lt;&gt;"✓")),"")</f>
        <v/>
      </c>
      <c r="AZ3326" s="21" t="str">
        <f>IF(AND($AM3326&lt;&gt;"",$AS3326="✓"),SUMPRODUCT(($AM$11:$AM3326&lt;&gt;"")*($AS$11:$AS3326="✓")),"")</f>
        <v/>
      </c>
      <c r="BA3326" s="21" t="str">
        <f>IF($AL3326="","",$AL3326&amp;"|"&amp;COUNTIF($AL$11:$AL3326,$AL3326))</f>
        <v/>
      </c>
    </row>
    <row r="3327" spans="38:53" ht="15" customHeight="1" x14ac:dyDescent="0.25">
      <c r="AL3327" s="17"/>
      <c r="AM3327" s="12"/>
      <c r="AN3327" s="18"/>
      <c r="AO3327" s="18"/>
      <c r="AP3327" s="10"/>
      <c r="AQ3327" s="10"/>
      <c r="AR3327" s="19"/>
      <c r="AS3327" s="20"/>
      <c r="AT3327" s="19"/>
      <c r="AV3327" s="21">
        <f>IF(AND($AL3327&lt;&gt;"",COUNTIF($AL$11:$AL3327,$AL3327)=1),1,0)</f>
        <v>0</v>
      </c>
      <c r="AW3327" s="21">
        <f t="shared" si="189"/>
        <v>2</v>
      </c>
      <c r="AX3327" s="21" t="str">
        <f t="shared" si="188"/>
        <v/>
      </c>
      <c r="AY3327" s="21" t="str">
        <f>IF(AND($AM3327&lt;&gt;"",$AS3327&lt;&gt;"✓"),SUMPRODUCT(($AM$11:$AM3327&lt;&gt;"")*($AS$11:$AS3327&lt;&gt;"✓")),"")</f>
        <v/>
      </c>
      <c r="AZ3327" s="21" t="str">
        <f>IF(AND($AM3327&lt;&gt;"",$AS3327="✓"),SUMPRODUCT(($AM$11:$AM3327&lt;&gt;"")*($AS$11:$AS3327="✓")),"")</f>
        <v/>
      </c>
      <c r="BA3327" s="21" t="str">
        <f>IF($AL3327="","",$AL3327&amp;"|"&amp;COUNTIF($AL$11:$AL3327,$AL3327))</f>
        <v/>
      </c>
    </row>
    <row r="3328" spans="38:53" ht="15" customHeight="1" x14ac:dyDescent="0.25">
      <c r="AL3328" s="31"/>
      <c r="AM3328" s="26"/>
      <c r="AN3328" s="32"/>
      <c r="AO3328" s="32"/>
      <c r="AP3328" s="24"/>
      <c r="AQ3328" s="24"/>
      <c r="AR3328" s="33"/>
      <c r="AS3328" s="34"/>
      <c r="AT3328" s="33"/>
      <c r="AV3328" s="21">
        <f>IF(AND($AL3328&lt;&gt;"",COUNTIF($AL$11:$AL3328,$AL3328)=1),1,0)</f>
        <v>0</v>
      </c>
      <c r="AW3328" s="21">
        <f t="shared" si="189"/>
        <v>2</v>
      </c>
      <c r="AX3328" s="21" t="str">
        <f t="shared" si="188"/>
        <v/>
      </c>
      <c r="AY3328" s="21" t="str">
        <f>IF(AND($AM3328&lt;&gt;"",$AS3328&lt;&gt;"✓"),SUMPRODUCT(($AM$11:$AM3328&lt;&gt;"")*($AS$11:$AS3328&lt;&gt;"✓")),"")</f>
        <v/>
      </c>
      <c r="AZ3328" s="21" t="str">
        <f>IF(AND($AM3328&lt;&gt;"",$AS3328="✓"),SUMPRODUCT(($AM$11:$AM3328&lt;&gt;"")*($AS$11:$AS3328="✓")),"")</f>
        <v/>
      </c>
      <c r="BA3328" s="21" t="str">
        <f>IF($AL3328="","",$AL3328&amp;"|"&amp;COUNTIF($AL$11:$AL3328,$AL3328))</f>
        <v/>
      </c>
    </row>
    <row r="3329" spans="38:53" ht="15" customHeight="1" x14ac:dyDescent="0.25">
      <c r="AL3329" s="17"/>
      <c r="AM3329" s="12"/>
      <c r="AN3329" s="18"/>
      <c r="AO3329" s="18"/>
      <c r="AP3329" s="10"/>
      <c r="AQ3329" s="10"/>
      <c r="AR3329" s="19"/>
      <c r="AS3329" s="20"/>
      <c r="AT3329" s="19"/>
      <c r="AV3329" s="21">
        <f>IF(AND($AL3329&lt;&gt;"",COUNTIF($AL$11:$AL3329,$AL3329)=1),1,0)</f>
        <v>0</v>
      </c>
      <c r="AW3329" s="21">
        <f t="shared" si="189"/>
        <v>2</v>
      </c>
      <c r="AX3329" s="21" t="str">
        <f t="shared" si="188"/>
        <v/>
      </c>
      <c r="AY3329" s="21" t="str">
        <f>IF(AND($AM3329&lt;&gt;"",$AS3329&lt;&gt;"✓"),SUMPRODUCT(($AM$11:$AM3329&lt;&gt;"")*($AS$11:$AS3329&lt;&gt;"✓")),"")</f>
        <v/>
      </c>
      <c r="AZ3329" s="21" t="str">
        <f>IF(AND($AM3329&lt;&gt;"",$AS3329="✓"),SUMPRODUCT(($AM$11:$AM3329&lt;&gt;"")*($AS$11:$AS3329="✓")),"")</f>
        <v/>
      </c>
      <c r="BA3329" s="21" t="str">
        <f>IF($AL3329="","",$AL3329&amp;"|"&amp;COUNTIF($AL$11:$AL3329,$AL3329))</f>
        <v/>
      </c>
    </row>
    <row r="3330" spans="38:53" ht="15" customHeight="1" x14ac:dyDescent="0.25">
      <c r="AL3330" s="31"/>
      <c r="AM3330" s="26"/>
      <c r="AN3330" s="32"/>
      <c r="AO3330" s="32"/>
      <c r="AP3330" s="24"/>
      <c r="AQ3330" s="24"/>
      <c r="AR3330" s="33"/>
      <c r="AS3330" s="34"/>
      <c r="AT3330" s="33"/>
      <c r="AV3330" s="21">
        <f>IF(AND($AL3330&lt;&gt;"",COUNTIF($AL$11:$AL3330,$AL3330)=1),1,0)</f>
        <v>0</v>
      </c>
      <c r="AW3330" s="21">
        <f t="shared" si="189"/>
        <v>2</v>
      </c>
      <c r="AX3330" s="21" t="str">
        <f t="shared" si="188"/>
        <v/>
      </c>
      <c r="AY3330" s="21" t="str">
        <f>IF(AND($AM3330&lt;&gt;"",$AS3330&lt;&gt;"✓"),SUMPRODUCT(($AM$11:$AM3330&lt;&gt;"")*($AS$11:$AS3330&lt;&gt;"✓")),"")</f>
        <v/>
      </c>
      <c r="AZ3330" s="21" t="str">
        <f>IF(AND($AM3330&lt;&gt;"",$AS3330="✓"),SUMPRODUCT(($AM$11:$AM3330&lt;&gt;"")*($AS$11:$AS3330="✓")),"")</f>
        <v/>
      </c>
      <c r="BA3330" s="21" t="str">
        <f>IF($AL3330="","",$AL3330&amp;"|"&amp;COUNTIF($AL$11:$AL3330,$AL3330))</f>
        <v/>
      </c>
    </row>
    <row r="3331" spans="38:53" ht="15" customHeight="1" x14ac:dyDescent="0.25">
      <c r="AL3331" s="17"/>
      <c r="AM3331" s="12"/>
      <c r="AN3331" s="18"/>
      <c r="AO3331" s="18"/>
      <c r="AP3331" s="10"/>
      <c r="AQ3331" s="10"/>
      <c r="AR3331" s="19"/>
      <c r="AS3331" s="20"/>
      <c r="AT3331" s="19"/>
      <c r="AV3331" s="21">
        <f>IF(AND($AL3331&lt;&gt;"",COUNTIF($AL$11:$AL3331,$AL3331)=1),1,0)</f>
        <v>0</v>
      </c>
      <c r="AW3331" s="21">
        <f t="shared" si="189"/>
        <v>2</v>
      </c>
      <c r="AX3331" s="21" t="str">
        <f t="shared" si="188"/>
        <v/>
      </c>
      <c r="AY3331" s="21" t="str">
        <f>IF(AND($AM3331&lt;&gt;"",$AS3331&lt;&gt;"✓"),SUMPRODUCT(($AM$11:$AM3331&lt;&gt;"")*($AS$11:$AS3331&lt;&gt;"✓")),"")</f>
        <v/>
      </c>
      <c r="AZ3331" s="21" t="str">
        <f>IF(AND($AM3331&lt;&gt;"",$AS3331="✓"),SUMPRODUCT(($AM$11:$AM3331&lt;&gt;"")*($AS$11:$AS3331="✓")),"")</f>
        <v/>
      </c>
      <c r="BA3331" s="21" t="str">
        <f>IF($AL3331="","",$AL3331&amp;"|"&amp;COUNTIF($AL$11:$AL3331,$AL3331))</f>
        <v/>
      </c>
    </row>
    <row r="3332" spans="38:53" ht="15" customHeight="1" x14ac:dyDescent="0.25">
      <c r="AL3332" s="31"/>
      <c r="AM3332" s="26"/>
      <c r="AN3332" s="32"/>
      <c r="AO3332" s="32"/>
      <c r="AP3332" s="24"/>
      <c r="AQ3332" s="24"/>
      <c r="AR3332" s="33"/>
      <c r="AS3332" s="34"/>
      <c r="AT3332" s="33"/>
      <c r="AV3332" s="21">
        <f>IF(AND($AL3332&lt;&gt;"",COUNTIF($AL$11:$AL3332,$AL3332)=1),1,0)</f>
        <v>0</v>
      </c>
      <c r="AW3332" s="21">
        <f t="shared" si="189"/>
        <v>2</v>
      </c>
      <c r="AX3332" s="21" t="str">
        <f t="shared" si="188"/>
        <v/>
      </c>
      <c r="AY3332" s="21" t="str">
        <f>IF(AND($AM3332&lt;&gt;"",$AS3332&lt;&gt;"✓"),SUMPRODUCT(($AM$11:$AM3332&lt;&gt;"")*($AS$11:$AS3332&lt;&gt;"✓")),"")</f>
        <v/>
      </c>
      <c r="AZ3332" s="21" t="str">
        <f>IF(AND($AM3332&lt;&gt;"",$AS3332="✓"),SUMPRODUCT(($AM$11:$AM3332&lt;&gt;"")*($AS$11:$AS3332="✓")),"")</f>
        <v/>
      </c>
      <c r="BA3332" s="21" t="str">
        <f>IF($AL3332="","",$AL3332&amp;"|"&amp;COUNTIF($AL$11:$AL3332,$AL3332))</f>
        <v/>
      </c>
    </row>
    <row r="3333" spans="38:53" ht="15" customHeight="1" x14ac:dyDescent="0.25">
      <c r="AL3333" s="17"/>
      <c r="AM3333" s="12"/>
      <c r="AN3333" s="18"/>
      <c r="AO3333" s="18"/>
      <c r="AP3333" s="10"/>
      <c r="AQ3333" s="10"/>
      <c r="AR3333" s="19"/>
      <c r="AS3333" s="20"/>
      <c r="AT3333" s="19"/>
      <c r="AV3333" s="21">
        <f>IF(AND($AL3333&lt;&gt;"",COUNTIF($AL$11:$AL3333,$AL3333)=1),1,0)</f>
        <v>0</v>
      </c>
      <c r="AW3333" s="21">
        <f t="shared" si="189"/>
        <v>2</v>
      </c>
      <c r="AX3333" s="21" t="str">
        <f t="shared" si="188"/>
        <v/>
      </c>
      <c r="AY3333" s="21" t="str">
        <f>IF(AND($AM3333&lt;&gt;"",$AS3333&lt;&gt;"✓"),SUMPRODUCT(($AM$11:$AM3333&lt;&gt;"")*($AS$11:$AS3333&lt;&gt;"✓")),"")</f>
        <v/>
      </c>
      <c r="AZ3333" s="21" t="str">
        <f>IF(AND($AM3333&lt;&gt;"",$AS3333="✓"),SUMPRODUCT(($AM$11:$AM3333&lt;&gt;"")*($AS$11:$AS3333="✓")),"")</f>
        <v/>
      </c>
      <c r="BA3333" s="21" t="str">
        <f>IF($AL3333="","",$AL3333&amp;"|"&amp;COUNTIF($AL$11:$AL3333,$AL3333))</f>
        <v/>
      </c>
    </row>
    <row r="3334" spans="38:53" ht="15" customHeight="1" x14ac:dyDescent="0.25">
      <c r="AL3334" s="31"/>
      <c r="AM3334" s="26"/>
      <c r="AN3334" s="32"/>
      <c r="AO3334" s="32"/>
      <c r="AP3334" s="24"/>
      <c r="AQ3334" s="24"/>
      <c r="AR3334" s="33"/>
      <c r="AS3334" s="34"/>
      <c r="AT3334" s="33"/>
      <c r="AV3334" s="21">
        <f>IF(AND($AL3334&lt;&gt;"",COUNTIF($AL$11:$AL3334,$AL3334)=1),1,0)</f>
        <v>0</v>
      </c>
      <c r="AW3334" s="21">
        <f t="shared" si="189"/>
        <v>2</v>
      </c>
      <c r="AX3334" s="21" t="str">
        <f t="shared" si="188"/>
        <v/>
      </c>
      <c r="AY3334" s="21" t="str">
        <f>IF(AND($AM3334&lt;&gt;"",$AS3334&lt;&gt;"✓"),SUMPRODUCT(($AM$11:$AM3334&lt;&gt;"")*($AS$11:$AS3334&lt;&gt;"✓")),"")</f>
        <v/>
      </c>
      <c r="AZ3334" s="21" t="str">
        <f>IF(AND($AM3334&lt;&gt;"",$AS3334="✓"),SUMPRODUCT(($AM$11:$AM3334&lt;&gt;"")*($AS$11:$AS3334="✓")),"")</f>
        <v/>
      </c>
      <c r="BA3334" s="21" t="str">
        <f>IF($AL3334="","",$AL3334&amp;"|"&amp;COUNTIF($AL$11:$AL3334,$AL3334))</f>
        <v/>
      </c>
    </row>
    <row r="3335" spans="38:53" ht="15" customHeight="1" x14ac:dyDescent="0.25">
      <c r="AL3335" s="17"/>
      <c r="AM3335" s="12"/>
      <c r="AN3335" s="18"/>
      <c r="AO3335" s="18"/>
      <c r="AP3335" s="10"/>
      <c r="AQ3335" s="10"/>
      <c r="AR3335" s="19"/>
      <c r="AS3335" s="20"/>
      <c r="AT3335" s="19"/>
      <c r="AV3335" s="21">
        <f>IF(AND($AL3335&lt;&gt;"",COUNTIF($AL$11:$AL3335,$AL3335)=1),1,0)</f>
        <v>0</v>
      </c>
      <c r="AW3335" s="21">
        <f t="shared" si="189"/>
        <v>2</v>
      </c>
      <c r="AX3335" s="21" t="str">
        <f t="shared" si="188"/>
        <v/>
      </c>
      <c r="AY3335" s="21" t="str">
        <f>IF(AND($AM3335&lt;&gt;"",$AS3335&lt;&gt;"✓"),SUMPRODUCT(($AM$11:$AM3335&lt;&gt;"")*($AS$11:$AS3335&lt;&gt;"✓")),"")</f>
        <v/>
      </c>
      <c r="AZ3335" s="21" t="str">
        <f>IF(AND($AM3335&lt;&gt;"",$AS3335="✓"),SUMPRODUCT(($AM$11:$AM3335&lt;&gt;"")*($AS$11:$AS3335="✓")),"")</f>
        <v/>
      </c>
      <c r="BA3335" s="21" t="str">
        <f>IF($AL3335="","",$AL3335&amp;"|"&amp;COUNTIF($AL$11:$AL3335,$AL3335))</f>
        <v/>
      </c>
    </row>
    <row r="3336" spans="38:53" ht="15" customHeight="1" x14ac:dyDescent="0.25">
      <c r="AL3336" s="31"/>
      <c r="AM3336" s="26"/>
      <c r="AN3336" s="32"/>
      <c r="AO3336" s="32"/>
      <c r="AP3336" s="24"/>
      <c r="AQ3336" s="24"/>
      <c r="AR3336" s="33"/>
      <c r="AS3336" s="34"/>
      <c r="AT3336" s="33"/>
      <c r="AV3336" s="21">
        <f>IF(AND($AL3336&lt;&gt;"",COUNTIF($AL$11:$AL3336,$AL3336)=1),1,0)</f>
        <v>0</v>
      </c>
      <c r="AW3336" s="21">
        <f t="shared" si="189"/>
        <v>2</v>
      </c>
      <c r="AX3336" s="21" t="str">
        <f t="shared" si="188"/>
        <v/>
      </c>
      <c r="AY3336" s="21" t="str">
        <f>IF(AND($AM3336&lt;&gt;"",$AS3336&lt;&gt;"✓"),SUMPRODUCT(($AM$11:$AM3336&lt;&gt;"")*($AS$11:$AS3336&lt;&gt;"✓")),"")</f>
        <v/>
      </c>
      <c r="AZ3336" s="21" t="str">
        <f>IF(AND($AM3336&lt;&gt;"",$AS3336="✓"),SUMPRODUCT(($AM$11:$AM3336&lt;&gt;"")*($AS$11:$AS3336="✓")),"")</f>
        <v/>
      </c>
      <c r="BA3336" s="21" t="str">
        <f>IF($AL3336="","",$AL3336&amp;"|"&amp;COUNTIF($AL$11:$AL3336,$AL3336))</f>
        <v/>
      </c>
    </row>
    <row r="3337" spans="38:53" ht="15" customHeight="1" x14ac:dyDescent="0.25">
      <c r="AL3337" s="17"/>
      <c r="AM3337" s="12"/>
      <c r="AN3337" s="18"/>
      <c r="AO3337" s="18"/>
      <c r="AP3337" s="10"/>
      <c r="AQ3337" s="10"/>
      <c r="AR3337" s="19"/>
      <c r="AS3337" s="20"/>
      <c r="AT3337" s="19"/>
      <c r="AV3337" s="21">
        <f>IF(AND($AL3337&lt;&gt;"",COUNTIF($AL$11:$AL3337,$AL3337)=1),1,0)</f>
        <v>0</v>
      </c>
      <c r="AW3337" s="21">
        <f t="shared" si="189"/>
        <v>2</v>
      </c>
      <c r="AX3337" s="21" t="str">
        <f t="shared" si="188"/>
        <v/>
      </c>
      <c r="AY3337" s="21" t="str">
        <f>IF(AND($AM3337&lt;&gt;"",$AS3337&lt;&gt;"✓"),SUMPRODUCT(($AM$11:$AM3337&lt;&gt;"")*($AS$11:$AS3337&lt;&gt;"✓")),"")</f>
        <v/>
      </c>
      <c r="AZ3337" s="21" t="str">
        <f>IF(AND($AM3337&lt;&gt;"",$AS3337="✓"),SUMPRODUCT(($AM$11:$AM3337&lt;&gt;"")*($AS$11:$AS3337="✓")),"")</f>
        <v/>
      </c>
      <c r="BA3337" s="21" t="str">
        <f>IF($AL3337="","",$AL3337&amp;"|"&amp;COUNTIF($AL$11:$AL3337,$AL3337))</f>
        <v/>
      </c>
    </row>
    <row r="3338" spans="38:53" ht="15" customHeight="1" x14ac:dyDescent="0.25">
      <c r="AL3338" s="31"/>
      <c r="AM3338" s="26"/>
      <c r="AN3338" s="32"/>
      <c r="AO3338" s="32"/>
      <c r="AP3338" s="24"/>
      <c r="AQ3338" s="24"/>
      <c r="AR3338" s="33"/>
      <c r="AS3338" s="34"/>
      <c r="AT3338" s="33"/>
      <c r="AV3338" s="21">
        <f>IF(AND($AL3338&lt;&gt;"",COUNTIF($AL$11:$AL3338,$AL3338)=1),1,0)</f>
        <v>0</v>
      </c>
      <c r="AW3338" s="21">
        <f t="shared" si="189"/>
        <v>2</v>
      </c>
      <c r="AX3338" s="21" t="str">
        <f t="shared" si="188"/>
        <v/>
      </c>
      <c r="AY3338" s="21" t="str">
        <f>IF(AND($AM3338&lt;&gt;"",$AS3338&lt;&gt;"✓"),SUMPRODUCT(($AM$11:$AM3338&lt;&gt;"")*($AS$11:$AS3338&lt;&gt;"✓")),"")</f>
        <v/>
      </c>
      <c r="AZ3338" s="21" t="str">
        <f>IF(AND($AM3338&lt;&gt;"",$AS3338="✓"),SUMPRODUCT(($AM$11:$AM3338&lt;&gt;"")*($AS$11:$AS3338="✓")),"")</f>
        <v/>
      </c>
      <c r="BA3338" s="21" t="str">
        <f>IF($AL3338="","",$AL3338&amp;"|"&amp;COUNTIF($AL$11:$AL3338,$AL3338))</f>
        <v/>
      </c>
    </row>
    <row r="3339" spans="38:53" ht="15" customHeight="1" x14ac:dyDescent="0.25">
      <c r="AL3339" s="17"/>
      <c r="AM3339" s="12"/>
      <c r="AN3339" s="18"/>
      <c r="AO3339" s="18"/>
      <c r="AP3339" s="10"/>
      <c r="AQ3339" s="10"/>
      <c r="AR3339" s="19"/>
      <c r="AS3339" s="20"/>
      <c r="AT3339" s="19"/>
      <c r="AV3339" s="21">
        <f>IF(AND($AL3339&lt;&gt;"",COUNTIF($AL$11:$AL3339,$AL3339)=1),1,0)</f>
        <v>0</v>
      </c>
      <c r="AW3339" s="21">
        <f t="shared" si="189"/>
        <v>2</v>
      </c>
      <c r="AX3339" s="21" t="str">
        <f t="shared" ref="AX3339:AX3402" si="190">IF(AV3339=1,AW3339,"")</f>
        <v/>
      </c>
      <c r="AY3339" s="21" t="str">
        <f>IF(AND($AM3339&lt;&gt;"",$AS3339&lt;&gt;"✓"),SUMPRODUCT(($AM$11:$AM3339&lt;&gt;"")*($AS$11:$AS3339&lt;&gt;"✓")),"")</f>
        <v/>
      </c>
      <c r="AZ3339" s="21" t="str">
        <f>IF(AND($AM3339&lt;&gt;"",$AS3339="✓"),SUMPRODUCT(($AM$11:$AM3339&lt;&gt;"")*($AS$11:$AS3339="✓")),"")</f>
        <v/>
      </c>
      <c r="BA3339" s="21" t="str">
        <f>IF($AL3339="","",$AL3339&amp;"|"&amp;COUNTIF($AL$11:$AL3339,$AL3339))</f>
        <v/>
      </c>
    </row>
    <row r="3340" spans="38:53" ht="15" customHeight="1" x14ac:dyDescent="0.25">
      <c r="AL3340" s="31"/>
      <c r="AM3340" s="26"/>
      <c r="AN3340" s="32"/>
      <c r="AO3340" s="32"/>
      <c r="AP3340" s="24"/>
      <c r="AQ3340" s="24"/>
      <c r="AR3340" s="33"/>
      <c r="AS3340" s="34"/>
      <c r="AT3340" s="33"/>
      <c r="AV3340" s="21">
        <f>IF(AND($AL3340&lt;&gt;"",COUNTIF($AL$11:$AL3340,$AL3340)=1),1,0)</f>
        <v>0</v>
      </c>
      <c r="AW3340" s="21">
        <f t="shared" ref="AW3340:AW3403" si="191">AW3339+AV3340</f>
        <v>2</v>
      </c>
      <c r="AX3340" s="21" t="str">
        <f t="shared" si="190"/>
        <v/>
      </c>
      <c r="AY3340" s="21" t="str">
        <f>IF(AND($AM3340&lt;&gt;"",$AS3340&lt;&gt;"✓"),SUMPRODUCT(($AM$11:$AM3340&lt;&gt;"")*($AS$11:$AS3340&lt;&gt;"✓")),"")</f>
        <v/>
      </c>
      <c r="AZ3340" s="21" t="str">
        <f>IF(AND($AM3340&lt;&gt;"",$AS3340="✓"),SUMPRODUCT(($AM$11:$AM3340&lt;&gt;"")*($AS$11:$AS3340="✓")),"")</f>
        <v/>
      </c>
      <c r="BA3340" s="21" t="str">
        <f>IF($AL3340="","",$AL3340&amp;"|"&amp;COUNTIF($AL$11:$AL3340,$AL3340))</f>
        <v/>
      </c>
    </row>
    <row r="3341" spans="38:53" ht="15" customHeight="1" x14ac:dyDescent="0.25">
      <c r="AL3341" s="17"/>
      <c r="AM3341" s="12"/>
      <c r="AN3341" s="18"/>
      <c r="AO3341" s="18"/>
      <c r="AP3341" s="10"/>
      <c r="AQ3341" s="10"/>
      <c r="AR3341" s="19"/>
      <c r="AS3341" s="20"/>
      <c r="AT3341" s="19"/>
      <c r="AV3341" s="21">
        <f>IF(AND($AL3341&lt;&gt;"",COUNTIF($AL$11:$AL3341,$AL3341)=1),1,0)</f>
        <v>0</v>
      </c>
      <c r="AW3341" s="21">
        <f t="shared" si="191"/>
        <v>2</v>
      </c>
      <c r="AX3341" s="21" t="str">
        <f t="shared" si="190"/>
        <v/>
      </c>
      <c r="AY3341" s="21" t="str">
        <f>IF(AND($AM3341&lt;&gt;"",$AS3341&lt;&gt;"✓"),SUMPRODUCT(($AM$11:$AM3341&lt;&gt;"")*($AS$11:$AS3341&lt;&gt;"✓")),"")</f>
        <v/>
      </c>
      <c r="AZ3341" s="21" t="str">
        <f>IF(AND($AM3341&lt;&gt;"",$AS3341="✓"),SUMPRODUCT(($AM$11:$AM3341&lt;&gt;"")*($AS$11:$AS3341="✓")),"")</f>
        <v/>
      </c>
      <c r="BA3341" s="21" t="str">
        <f>IF($AL3341="","",$AL3341&amp;"|"&amp;COUNTIF($AL$11:$AL3341,$AL3341))</f>
        <v/>
      </c>
    </row>
    <row r="3342" spans="38:53" ht="15" customHeight="1" x14ac:dyDescent="0.25">
      <c r="AL3342" s="31"/>
      <c r="AM3342" s="26"/>
      <c r="AN3342" s="32"/>
      <c r="AO3342" s="32"/>
      <c r="AP3342" s="24"/>
      <c r="AQ3342" s="24"/>
      <c r="AR3342" s="33"/>
      <c r="AS3342" s="34"/>
      <c r="AT3342" s="33"/>
      <c r="AV3342" s="21">
        <f>IF(AND($AL3342&lt;&gt;"",COUNTIF($AL$11:$AL3342,$AL3342)=1),1,0)</f>
        <v>0</v>
      </c>
      <c r="AW3342" s="21">
        <f t="shared" si="191"/>
        <v>2</v>
      </c>
      <c r="AX3342" s="21" t="str">
        <f t="shared" si="190"/>
        <v/>
      </c>
      <c r="AY3342" s="21" t="str">
        <f>IF(AND($AM3342&lt;&gt;"",$AS3342&lt;&gt;"✓"),SUMPRODUCT(($AM$11:$AM3342&lt;&gt;"")*($AS$11:$AS3342&lt;&gt;"✓")),"")</f>
        <v/>
      </c>
      <c r="AZ3342" s="21" t="str">
        <f>IF(AND($AM3342&lt;&gt;"",$AS3342="✓"),SUMPRODUCT(($AM$11:$AM3342&lt;&gt;"")*($AS$11:$AS3342="✓")),"")</f>
        <v/>
      </c>
      <c r="BA3342" s="21" t="str">
        <f>IF($AL3342="","",$AL3342&amp;"|"&amp;COUNTIF($AL$11:$AL3342,$AL3342))</f>
        <v/>
      </c>
    </row>
    <row r="3343" spans="38:53" ht="15" customHeight="1" x14ac:dyDescent="0.25">
      <c r="AL3343" s="17"/>
      <c r="AM3343" s="12"/>
      <c r="AN3343" s="18"/>
      <c r="AO3343" s="18"/>
      <c r="AP3343" s="10"/>
      <c r="AQ3343" s="10"/>
      <c r="AR3343" s="19"/>
      <c r="AS3343" s="20"/>
      <c r="AT3343" s="19"/>
      <c r="AV3343" s="21">
        <f>IF(AND($AL3343&lt;&gt;"",COUNTIF($AL$11:$AL3343,$AL3343)=1),1,0)</f>
        <v>0</v>
      </c>
      <c r="AW3343" s="21">
        <f t="shared" si="191"/>
        <v>2</v>
      </c>
      <c r="AX3343" s="21" t="str">
        <f t="shared" si="190"/>
        <v/>
      </c>
      <c r="AY3343" s="21" t="str">
        <f>IF(AND($AM3343&lt;&gt;"",$AS3343&lt;&gt;"✓"),SUMPRODUCT(($AM$11:$AM3343&lt;&gt;"")*($AS$11:$AS3343&lt;&gt;"✓")),"")</f>
        <v/>
      </c>
      <c r="AZ3343" s="21" t="str">
        <f>IF(AND($AM3343&lt;&gt;"",$AS3343="✓"),SUMPRODUCT(($AM$11:$AM3343&lt;&gt;"")*($AS$11:$AS3343="✓")),"")</f>
        <v/>
      </c>
      <c r="BA3343" s="21" t="str">
        <f>IF($AL3343="","",$AL3343&amp;"|"&amp;COUNTIF($AL$11:$AL3343,$AL3343))</f>
        <v/>
      </c>
    </row>
    <row r="3344" spans="38:53" ht="15" customHeight="1" x14ac:dyDescent="0.25">
      <c r="AL3344" s="31"/>
      <c r="AM3344" s="26"/>
      <c r="AN3344" s="32"/>
      <c r="AO3344" s="32"/>
      <c r="AP3344" s="24"/>
      <c r="AQ3344" s="24"/>
      <c r="AR3344" s="33"/>
      <c r="AS3344" s="34"/>
      <c r="AT3344" s="33"/>
      <c r="AV3344" s="21">
        <f>IF(AND($AL3344&lt;&gt;"",COUNTIF($AL$11:$AL3344,$AL3344)=1),1,0)</f>
        <v>0</v>
      </c>
      <c r="AW3344" s="21">
        <f t="shared" si="191"/>
        <v>2</v>
      </c>
      <c r="AX3344" s="21" t="str">
        <f t="shared" si="190"/>
        <v/>
      </c>
      <c r="AY3344" s="21" t="str">
        <f>IF(AND($AM3344&lt;&gt;"",$AS3344&lt;&gt;"✓"),SUMPRODUCT(($AM$11:$AM3344&lt;&gt;"")*($AS$11:$AS3344&lt;&gt;"✓")),"")</f>
        <v/>
      </c>
      <c r="AZ3344" s="21" t="str">
        <f>IF(AND($AM3344&lt;&gt;"",$AS3344="✓"),SUMPRODUCT(($AM$11:$AM3344&lt;&gt;"")*($AS$11:$AS3344="✓")),"")</f>
        <v/>
      </c>
      <c r="BA3344" s="21" t="str">
        <f>IF($AL3344="","",$AL3344&amp;"|"&amp;COUNTIF($AL$11:$AL3344,$AL3344))</f>
        <v/>
      </c>
    </row>
    <row r="3345" spans="38:53" ht="15" customHeight="1" x14ac:dyDescent="0.25">
      <c r="AL3345" s="17"/>
      <c r="AM3345" s="12"/>
      <c r="AN3345" s="18"/>
      <c r="AO3345" s="18"/>
      <c r="AP3345" s="10"/>
      <c r="AQ3345" s="10"/>
      <c r="AR3345" s="19"/>
      <c r="AS3345" s="20"/>
      <c r="AT3345" s="19"/>
      <c r="AV3345" s="21">
        <f>IF(AND($AL3345&lt;&gt;"",COUNTIF($AL$11:$AL3345,$AL3345)=1),1,0)</f>
        <v>0</v>
      </c>
      <c r="AW3345" s="21">
        <f t="shared" si="191"/>
        <v>2</v>
      </c>
      <c r="AX3345" s="21" t="str">
        <f t="shared" si="190"/>
        <v/>
      </c>
      <c r="AY3345" s="21" t="str">
        <f>IF(AND($AM3345&lt;&gt;"",$AS3345&lt;&gt;"✓"),SUMPRODUCT(($AM$11:$AM3345&lt;&gt;"")*($AS$11:$AS3345&lt;&gt;"✓")),"")</f>
        <v/>
      </c>
      <c r="AZ3345" s="21" t="str">
        <f>IF(AND($AM3345&lt;&gt;"",$AS3345="✓"),SUMPRODUCT(($AM$11:$AM3345&lt;&gt;"")*($AS$11:$AS3345="✓")),"")</f>
        <v/>
      </c>
      <c r="BA3345" s="21" t="str">
        <f>IF($AL3345="","",$AL3345&amp;"|"&amp;COUNTIF($AL$11:$AL3345,$AL3345))</f>
        <v/>
      </c>
    </row>
    <row r="3346" spans="38:53" ht="15" customHeight="1" x14ac:dyDescent="0.25">
      <c r="AL3346" s="31"/>
      <c r="AM3346" s="26"/>
      <c r="AN3346" s="32"/>
      <c r="AO3346" s="32"/>
      <c r="AP3346" s="24"/>
      <c r="AQ3346" s="24"/>
      <c r="AR3346" s="33"/>
      <c r="AS3346" s="34"/>
      <c r="AT3346" s="33"/>
      <c r="AV3346" s="21">
        <f>IF(AND($AL3346&lt;&gt;"",COUNTIF($AL$11:$AL3346,$AL3346)=1),1,0)</f>
        <v>0</v>
      </c>
      <c r="AW3346" s="21">
        <f t="shared" si="191"/>
        <v>2</v>
      </c>
      <c r="AX3346" s="21" t="str">
        <f t="shared" si="190"/>
        <v/>
      </c>
      <c r="AY3346" s="21" t="str">
        <f>IF(AND($AM3346&lt;&gt;"",$AS3346&lt;&gt;"✓"),SUMPRODUCT(($AM$11:$AM3346&lt;&gt;"")*($AS$11:$AS3346&lt;&gt;"✓")),"")</f>
        <v/>
      </c>
      <c r="AZ3346" s="21" t="str">
        <f>IF(AND($AM3346&lt;&gt;"",$AS3346="✓"),SUMPRODUCT(($AM$11:$AM3346&lt;&gt;"")*($AS$11:$AS3346="✓")),"")</f>
        <v/>
      </c>
      <c r="BA3346" s="21" t="str">
        <f>IF($AL3346="","",$AL3346&amp;"|"&amp;COUNTIF($AL$11:$AL3346,$AL3346))</f>
        <v/>
      </c>
    </row>
    <row r="3347" spans="38:53" ht="15" customHeight="1" x14ac:dyDescent="0.25">
      <c r="AL3347" s="17"/>
      <c r="AM3347" s="12"/>
      <c r="AN3347" s="18"/>
      <c r="AO3347" s="18"/>
      <c r="AP3347" s="10"/>
      <c r="AQ3347" s="10"/>
      <c r="AR3347" s="19"/>
      <c r="AS3347" s="20"/>
      <c r="AT3347" s="19"/>
      <c r="AV3347" s="21">
        <f>IF(AND($AL3347&lt;&gt;"",COUNTIF($AL$11:$AL3347,$AL3347)=1),1,0)</f>
        <v>0</v>
      </c>
      <c r="AW3347" s="21">
        <f t="shared" si="191"/>
        <v>2</v>
      </c>
      <c r="AX3347" s="21" t="str">
        <f t="shared" si="190"/>
        <v/>
      </c>
      <c r="AY3347" s="21" t="str">
        <f>IF(AND($AM3347&lt;&gt;"",$AS3347&lt;&gt;"✓"),SUMPRODUCT(($AM$11:$AM3347&lt;&gt;"")*($AS$11:$AS3347&lt;&gt;"✓")),"")</f>
        <v/>
      </c>
      <c r="AZ3347" s="21" t="str">
        <f>IF(AND($AM3347&lt;&gt;"",$AS3347="✓"),SUMPRODUCT(($AM$11:$AM3347&lt;&gt;"")*($AS$11:$AS3347="✓")),"")</f>
        <v/>
      </c>
      <c r="BA3347" s="21" t="str">
        <f>IF($AL3347="","",$AL3347&amp;"|"&amp;COUNTIF($AL$11:$AL3347,$AL3347))</f>
        <v/>
      </c>
    </row>
    <row r="3348" spans="38:53" ht="15" customHeight="1" x14ac:dyDescent="0.25">
      <c r="AL3348" s="31"/>
      <c r="AM3348" s="26"/>
      <c r="AN3348" s="32"/>
      <c r="AO3348" s="32"/>
      <c r="AP3348" s="24"/>
      <c r="AQ3348" s="24"/>
      <c r="AR3348" s="33"/>
      <c r="AS3348" s="34"/>
      <c r="AT3348" s="33"/>
      <c r="AV3348" s="21">
        <f>IF(AND($AL3348&lt;&gt;"",COUNTIF($AL$11:$AL3348,$AL3348)=1),1,0)</f>
        <v>0</v>
      </c>
      <c r="AW3348" s="21">
        <f t="shared" si="191"/>
        <v>2</v>
      </c>
      <c r="AX3348" s="21" t="str">
        <f t="shared" si="190"/>
        <v/>
      </c>
      <c r="AY3348" s="21" t="str">
        <f>IF(AND($AM3348&lt;&gt;"",$AS3348&lt;&gt;"✓"),SUMPRODUCT(($AM$11:$AM3348&lt;&gt;"")*($AS$11:$AS3348&lt;&gt;"✓")),"")</f>
        <v/>
      </c>
      <c r="AZ3348" s="21" t="str">
        <f>IF(AND($AM3348&lt;&gt;"",$AS3348="✓"),SUMPRODUCT(($AM$11:$AM3348&lt;&gt;"")*($AS$11:$AS3348="✓")),"")</f>
        <v/>
      </c>
      <c r="BA3348" s="21" t="str">
        <f>IF($AL3348="","",$AL3348&amp;"|"&amp;COUNTIF($AL$11:$AL3348,$AL3348))</f>
        <v/>
      </c>
    </row>
    <row r="3349" spans="38:53" ht="15" customHeight="1" x14ac:dyDescent="0.25">
      <c r="AL3349" s="17"/>
      <c r="AM3349" s="12"/>
      <c r="AN3349" s="18"/>
      <c r="AO3349" s="18"/>
      <c r="AP3349" s="10"/>
      <c r="AQ3349" s="10"/>
      <c r="AR3349" s="19"/>
      <c r="AS3349" s="20"/>
      <c r="AT3349" s="19"/>
      <c r="AV3349" s="21">
        <f>IF(AND($AL3349&lt;&gt;"",COUNTIF($AL$11:$AL3349,$AL3349)=1),1,0)</f>
        <v>0</v>
      </c>
      <c r="AW3349" s="21">
        <f t="shared" si="191"/>
        <v>2</v>
      </c>
      <c r="AX3349" s="21" t="str">
        <f t="shared" si="190"/>
        <v/>
      </c>
      <c r="AY3349" s="21" t="str">
        <f>IF(AND($AM3349&lt;&gt;"",$AS3349&lt;&gt;"✓"),SUMPRODUCT(($AM$11:$AM3349&lt;&gt;"")*($AS$11:$AS3349&lt;&gt;"✓")),"")</f>
        <v/>
      </c>
      <c r="AZ3349" s="21" t="str">
        <f>IF(AND($AM3349&lt;&gt;"",$AS3349="✓"),SUMPRODUCT(($AM$11:$AM3349&lt;&gt;"")*($AS$11:$AS3349="✓")),"")</f>
        <v/>
      </c>
      <c r="BA3349" s="21" t="str">
        <f>IF($AL3349="","",$AL3349&amp;"|"&amp;COUNTIF($AL$11:$AL3349,$AL3349))</f>
        <v/>
      </c>
    </row>
    <row r="3350" spans="38:53" ht="15" customHeight="1" x14ac:dyDescent="0.25">
      <c r="AL3350" s="31"/>
      <c r="AM3350" s="26"/>
      <c r="AN3350" s="32"/>
      <c r="AO3350" s="32"/>
      <c r="AP3350" s="24"/>
      <c r="AQ3350" s="24"/>
      <c r="AR3350" s="33"/>
      <c r="AS3350" s="34"/>
      <c r="AT3350" s="33"/>
      <c r="AV3350" s="21">
        <f>IF(AND($AL3350&lt;&gt;"",COUNTIF($AL$11:$AL3350,$AL3350)=1),1,0)</f>
        <v>0</v>
      </c>
      <c r="AW3350" s="21">
        <f t="shared" si="191"/>
        <v>2</v>
      </c>
      <c r="AX3350" s="21" t="str">
        <f t="shared" si="190"/>
        <v/>
      </c>
      <c r="AY3350" s="21" t="str">
        <f>IF(AND($AM3350&lt;&gt;"",$AS3350&lt;&gt;"✓"),SUMPRODUCT(($AM$11:$AM3350&lt;&gt;"")*($AS$11:$AS3350&lt;&gt;"✓")),"")</f>
        <v/>
      </c>
      <c r="AZ3350" s="21" t="str">
        <f>IF(AND($AM3350&lt;&gt;"",$AS3350="✓"),SUMPRODUCT(($AM$11:$AM3350&lt;&gt;"")*($AS$11:$AS3350="✓")),"")</f>
        <v/>
      </c>
      <c r="BA3350" s="21" t="str">
        <f>IF($AL3350="","",$AL3350&amp;"|"&amp;COUNTIF($AL$11:$AL3350,$AL3350))</f>
        <v/>
      </c>
    </row>
    <row r="3351" spans="38:53" ht="15" customHeight="1" x14ac:dyDescent="0.25">
      <c r="AL3351" s="17"/>
      <c r="AM3351" s="12"/>
      <c r="AN3351" s="18"/>
      <c r="AO3351" s="18"/>
      <c r="AP3351" s="10"/>
      <c r="AQ3351" s="10"/>
      <c r="AR3351" s="19"/>
      <c r="AS3351" s="20"/>
      <c r="AT3351" s="19"/>
      <c r="AV3351" s="21">
        <f>IF(AND($AL3351&lt;&gt;"",COUNTIF($AL$11:$AL3351,$AL3351)=1),1,0)</f>
        <v>0</v>
      </c>
      <c r="AW3351" s="21">
        <f t="shared" si="191"/>
        <v>2</v>
      </c>
      <c r="AX3351" s="21" t="str">
        <f t="shared" si="190"/>
        <v/>
      </c>
      <c r="AY3351" s="21" t="str">
        <f>IF(AND($AM3351&lt;&gt;"",$AS3351&lt;&gt;"✓"),SUMPRODUCT(($AM$11:$AM3351&lt;&gt;"")*($AS$11:$AS3351&lt;&gt;"✓")),"")</f>
        <v/>
      </c>
      <c r="AZ3351" s="21" t="str">
        <f>IF(AND($AM3351&lt;&gt;"",$AS3351="✓"),SUMPRODUCT(($AM$11:$AM3351&lt;&gt;"")*($AS$11:$AS3351="✓")),"")</f>
        <v/>
      </c>
      <c r="BA3351" s="21" t="str">
        <f>IF($AL3351="","",$AL3351&amp;"|"&amp;COUNTIF($AL$11:$AL3351,$AL3351))</f>
        <v/>
      </c>
    </row>
    <row r="3352" spans="38:53" ht="15" customHeight="1" x14ac:dyDescent="0.25">
      <c r="AL3352" s="31"/>
      <c r="AM3352" s="26"/>
      <c r="AN3352" s="32"/>
      <c r="AO3352" s="32"/>
      <c r="AP3352" s="24"/>
      <c r="AQ3352" s="24"/>
      <c r="AR3352" s="33"/>
      <c r="AS3352" s="34"/>
      <c r="AT3352" s="33"/>
      <c r="AV3352" s="21">
        <f>IF(AND($AL3352&lt;&gt;"",COUNTIF($AL$11:$AL3352,$AL3352)=1),1,0)</f>
        <v>0</v>
      </c>
      <c r="AW3352" s="21">
        <f t="shared" si="191"/>
        <v>2</v>
      </c>
      <c r="AX3352" s="21" t="str">
        <f t="shared" si="190"/>
        <v/>
      </c>
      <c r="AY3352" s="21" t="str">
        <f>IF(AND($AM3352&lt;&gt;"",$AS3352&lt;&gt;"✓"),SUMPRODUCT(($AM$11:$AM3352&lt;&gt;"")*($AS$11:$AS3352&lt;&gt;"✓")),"")</f>
        <v/>
      </c>
      <c r="AZ3352" s="21" t="str">
        <f>IF(AND($AM3352&lt;&gt;"",$AS3352="✓"),SUMPRODUCT(($AM$11:$AM3352&lt;&gt;"")*($AS$11:$AS3352="✓")),"")</f>
        <v/>
      </c>
      <c r="BA3352" s="21" t="str">
        <f>IF($AL3352="","",$AL3352&amp;"|"&amp;COUNTIF($AL$11:$AL3352,$AL3352))</f>
        <v/>
      </c>
    </row>
    <row r="3353" spans="38:53" ht="15" customHeight="1" x14ac:dyDescent="0.25">
      <c r="AL3353" s="17"/>
      <c r="AM3353" s="12"/>
      <c r="AN3353" s="18"/>
      <c r="AO3353" s="18"/>
      <c r="AP3353" s="10"/>
      <c r="AQ3353" s="10"/>
      <c r="AR3353" s="19"/>
      <c r="AS3353" s="20"/>
      <c r="AT3353" s="19"/>
      <c r="AV3353" s="21">
        <f>IF(AND($AL3353&lt;&gt;"",COUNTIF($AL$11:$AL3353,$AL3353)=1),1,0)</f>
        <v>0</v>
      </c>
      <c r="AW3353" s="21">
        <f t="shared" si="191"/>
        <v>2</v>
      </c>
      <c r="AX3353" s="21" t="str">
        <f t="shared" si="190"/>
        <v/>
      </c>
      <c r="AY3353" s="21" t="str">
        <f>IF(AND($AM3353&lt;&gt;"",$AS3353&lt;&gt;"✓"),SUMPRODUCT(($AM$11:$AM3353&lt;&gt;"")*($AS$11:$AS3353&lt;&gt;"✓")),"")</f>
        <v/>
      </c>
      <c r="AZ3353" s="21" t="str">
        <f>IF(AND($AM3353&lt;&gt;"",$AS3353="✓"),SUMPRODUCT(($AM$11:$AM3353&lt;&gt;"")*($AS$11:$AS3353="✓")),"")</f>
        <v/>
      </c>
      <c r="BA3353" s="21" t="str">
        <f>IF($AL3353="","",$AL3353&amp;"|"&amp;COUNTIF($AL$11:$AL3353,$AL3353))</f>
        <v/>
      </c>
    </row>
    <row r="3354" spans="38:53" ht="15" customHeight="1" x14ac:dyDescent="0.25">
      <c r="AL3354" s="31"/>
      <c r="AM3354" s="26"/>
      <c r="AN3354" s="32"/>
      <c r="AO3354" s="32"/>
      <c r="AP3354" s="24"/>
      <c r="AQ3354" s="24"/>
      <c r="AR3354" s="33"/>
      <c r="AS3354" s="34"/>
      <c r="AT3354" s="33"/>
      <c r="AV3354" s="21">
        <f>IF(AND($AL3354&lt;&gt;"",COUNTIF($AL$11:$AL3354,$AL3354)=1),1,0)</f>
        <v>0</v>
      </c>
      <c r="AW3354" s="21">
        <f t="shared" si="191"/>
        <v>2</v>
      </c>
      <c r="AX3354" s="21" t="str">
        <f t="shared" si="190"/>
        <v/>
      </c>
      <c r="AY3354" s="21" t="str">
        <f>IF(AND($AM3354&lt;&gt;"",$AS3354&lt;&gt;"✓"),SUMPRODUCT(($AM$11:$AM3354&lt;&gt;"")*($AS$11:$AS3354&lt;&gt;"✓")),"")</f>
        <v/>
      </c>
      <c r="AZ3354" s="21" t="str">
        <f>IF(AND($AM3354&lt;&gt;"",$AS3354="✓"),SUMPRODUCT(($AM$11:$AM3354&lt;&gt;"")*($AS$11:$AS3354="✓")),"")</f>
        <v/>
      </c>
      <c r="BA3354" s="21" t="str">
        <f>IF($AL3354="","",$AL3354&amp;"|"&amp;COUNTIF($AL$11:$AL3354,$AL3354))</f>
        <v/>
      </c>
    </row>
    <row r="3355" spans="38:53" ht="15" customHeight="1" x14ac:dyDescent="0.25">
      <c r="AL3355" s="17"/>
      <c r="AM3355" s="12"/>
      <c r="AN3355" s="18"/>
      <c r="AO3355" s="18"/>
      <c r="AP3355" s="10"/>
      <c r="AQ3355" s="10"/>
      <c r="AR3355" s="19"/>
      <c r="AS3355" s="20"/>
      <c r="AT3355" s="19"/>
      <c r="AV3355" s="21">
        <f>IF(AND($AL3355&lt;&gt;"",COUNTIF($AL$11:$AL3355,$AL3355)=1),1,0)</f>
        <v>0</v>
      </c>
      <c r="AW3355" s="21">
        <f t="shared" si="191"/>
        <v>2</v>
      </c>
      <c r="AX3355" s="21" t="str">
        <f t="shared" si="190"/>
        <v/>
      </c>
      <c r="AY3355" s="21" t="str">
        <f>IF(AND($AM3355&lt;&gt;"",$AS3355&lt;&gt;"✓"),SUMPRODUCT(($AM$11:$AM3355&lt;&gt;"")*($AS$11:$AS3355&lt;&gt;"✓")),"")</f>
        <v/>
      </c>
      <c r="AZ3355" s="21" t="str">
        <f>IF(AND($AM3355&lt;&gt;"",$AS3355="✓"),SUMPRODUCT(($AM$11:$AM3355&lt;&gt;"")*($AS$11:$AS3355="✓")),"")</f>
        <v/>
      </c>
      <c r="BA3355" s="21" t="str">
        <f>IF($AL3355="","",$AL3355&amp;"|"&amp;COUNTIF($AL$11:$AL3355,$AL3355))</f>
        <v/>
      </c>
    </row>
    <row r="3356" spans="38:53" ht="15" customHeight="1" x14ac:dyDescent="0.25">
      <c r="AL3356" s="31"/>
      <c r="AM3356" s="26"/>
      <c r="AN3356" s="32"/>
      <c r="AO3356" s="32"/>
      <c r="AP3356" s="24"/>
      <c r="AQ3356" s="24"/>
      <c r="AR3356" s="33"/>
      <c r="AS3356" s="34"/>
      <c r="AT3356" s="33"/>
      <c r="AV3356" s="21">
        <f>IF(AND($AL3356&lt;&gt;"",COUNTIF($AL$11:$AL3356,$AL3356)=1),1,0)</f>
        <v>0</v>
      </c>
      <c r="AW3356" s="21">
        <f t="shared" si="191"/>
        <v>2</v>
      </c>
      <c r="AX3356" s="21" t="str">
        <f t="shared" si="190"/>
        <v/>
      </c>
      <c r="AY3356" s="21" t="str">
        <f>IF(AND($AM3356&lt;&gt;"",$AS3356&lt;&gt;"✓"),SUMPRODUCT(($AM$11:$AM3356&lt;&gt;"")*($AS$11:$AS3356&lt;&gt;"✓")),"")</f>
        <v/>
      </c>
      <c r="AZ3356" s="21" t="str">
        <f>IF(AND($AM3356&lt;&gt;"",$AS3356="✓"),SUMPRODUCT(($AM$11:$AM3356&lt;&gt;"")*($AS$11:$AS3356="✓")),"")</f>
        <v/>
      </c>
      <c r="BA3356" s="21" t="str">
        <f>IF($AL3356="","",$AL3356&amp;"|"&amp;COUNTIF($AL$11:$AL3356,$AL3356))</f>
        <v/>
      </c>
    </row>
    <row r="3357" spans="38:53" ht="15" customHeight="1" x14ac:dyDescent="0.25">
      <c r="AL3357" s="17"/>
      <c r="AM3357" s="12"/>
      <c r="AN3357" s="18"/>
      <c r="AO3357" s="18"/>
      <c r="AP3357" s="10"/>
      <c r="AQ3357" s="10"/>
      <c r="AR3357" s="19"/>
      <c r="AS3357" s="20"/>
      <c r="AT3357" s="19"/>
      <c r="AV3357" s="21">
        <f>IF(AND($AL3357&lt;&gt;"",COUNTIF($AL$11:$AL3357,$AL3357)=1),1,0)</f>
        <v>0</v>
      </c>
      <c r="AW3357" s="21">
        <f t="shared" si="191"/>
        <v>2</v>
      </c>
      <c r="AX3357" s="21" t="str">
        <f t="shared" si="190"/>
        <v/>
      </c>
      <c r="AY3357" s="21" t="str">
        <f>IF(AND($AM3357&lt;&gt;"",$AS3357&lt;&gt;"✓"),SUMPRODUCT(($AM$11:$AM3357&lt;&gt;"")*($AS$11:$AS3357&lt;&gt;"✓")),"")</f>
        <v/>
      </c>
      <c r="AZ3357" s="21" t="str">
        <f>IF(AND($AM3357&lt;&gt;"",$AS3357="✓"),SUMPRODUCT(($AM$11:$AM3357&lt;&gt;"")*($AS$11:$AS3357="✓")),"")</f>
        <v/>
      </c>
      <c r="BA3357" s="21" t="str">
        <f>IF($AL3357="","",$AL3357&amp;"|"&amp;COUNTIF($AL$11:$AL3357,$AL3357))</f>
        <v/>
      </c>
    </row>
    <row r="3358" spans="38:53" ht="15" customHeight="1" x14ac:dyDescent="0.25">
      <c r="AL3358" s="31"/>
      <c r="AM3358" s="26"/>
      <c r="AN3358" s="32"/>
      <c r="AO3358" s="32"/>
      <c r="AP3358" s="24"/>
      <c r="AQ3358" s="24"/>
      <c r="AR3358" s="33"/>
      <c r="AS3358" s="34"/>
      <c r="AT3358" s="33"/>
      <c r="AV3358" s="21">
        <f>IF(AND($AL3358&lt;&gt;"",COUNTIF($AL$11:$AL3358,$AL3358)=1),1,0)</f>
        <v>0</v>
      </c>
      <c r="AW3358" s="21">
        <f t="shared" si="191"/>
        <v>2</v>
      </c>
      <c r="AX3358" s="21" t="str">
        <f t="shared" si="190"/>
        <v/>
      </c>
      <c r="AY3358" s="21" t="str">
        <f>IF(AND($AM3358&lt;&gt;"",$AS3358&lt;&gt;"✓"),SUMPRODUCT(($AM$11:$AM3358&lt;&gt;"")*($AS$11:$AS3358&lt;&gt;"✓")),"")</f>
        <v/>
      </c>
      <c r="AZ3358" s="21" t="str">
        <f>IF(AND($AM3358&lt;&gt;"",$AS3358="✓"),SUMPRODUCT(($AM$11:$AM3358&lt;&gt;"")*($AS$11:$AS3358="✓")),"")</f>
        <v/>
      </c>
      <c r="BA3358" s="21" t="str">
        <f>IF($AL3358="","",$AL3358&amp;"|"&amp;COUNTIF($AL$11:$AL3358,$AL3358))</f>
        <v/>
      </c>
    </row>
    <row r="3359" spans="38:53" ht="15" customHeight="1" x14ac:dyDescent="0.25">
      <c r="AL3359" s="17"/>
      <c r="AM3359" s="12"/>
      <c r="AN3359" s="18"/>
      <c r="AO3359" s="18"/>
      <c r="AP3359" s="10"/>
      <c r="AQ3359" s="10"/>
      <c r="AR3359" s="19"/>
      <c r="AS3359" s="20"/>
      <c r="AT3359" s="19"/>
      <c r="AV3359" s="21">
        <f>IF(AND($AL3359&lt;&gt;"",COUNTIF($AL$11:$AL3359,$AL3359)=1),1,0)</f>
        <v>0</v>
      </c>
      <c r="AW3359" s="21">
        <f t="shared" si="191"/>
        <v>2</v>
      </c>
      <c r="AX3359" s="21" t="str">
        <f t="shared" si="190"/>
        <v/>
      </c>
      <c r="AY3359" s="21" t="str">
        <f>IF(AND($AM3359&lt;&gt;"",$AS3359&lt;&gt;"✓"),SUMPRODUCT(($AM$11:$AM3359&lt;&gt;"")*($AS$11:$AS3359&lt;&gt;"✓")),"")</f>
        <v/>
      </c>
      <c r="AZ3359" s="21" t="str">
        <f>IF(AND($AM3359&lt;&gt;"",$AS3359="✓"),SUMPRODUCT(($AM$11:$AM3359&lt;&gt;"")*($AS$11:$AS3359="✓")),"")</f>
        <v/>
      </c>
      <c r="BA3359" s="21" t="str">
        <f>IF($AL3359="","",$AL3359&amp;"|"&amp;COUNTIF($AL$11:$AL3359,$AL3359))</f>
        <v/>
      </c>
    </row>
    <row r="3360" spans="38:53" ht="15" customHeight="1" x14ac:dyDescent="0.25">
      <c r="AL3360" s="31"/>
      <c r="AM3360" s="26"/>
      <c r="AN3360" s="32"/>
      <c r="AO3360" s="32"/>
      <c r="AP3360" s="24"/>
      <c r="AQ3360" s="24"/>
      <c r="AR3360" s="33"/>
      <c r="AS3360" s="34"/>
      <c r="AT3360" s="33"/>
      <c r="AV3360" s="21">
        <f>IF(AND($AL3360&lt;&gt;"",COUNTIF($AL$11:$AL3360,$AL3360)=1),1,0)</f>
        <v>0</v>
      </c>
      <c r="AW3360" s="21">
        <f t="shared" si="191"/>
        <v>2</v>
      </c>
      <c r="AX3360" s="21" t="str">
        <f t="shared" si="190"/>
        <v/>
      </c>
      <c r="AY3360" s="21" t="str">
        <f>IF(AND($AM3360&lt;&gt;"",$AS3360&lt;&gt;"✓"),SUMPRODUCT(($AM$11:$AM3360&lt;&gt;"")*($AS$11:$AS3360&lt;&gt;"✓")),"")</f>
        <v/>
      </c>
      <c r="AZ3360" s="21" t="str">
        <f>IF(AND($AM3360&lt;&gt;"",$AS3360="✓"),SUMPRODUCT(($AM$11:$AM3360&lt;&gt;"")*($AS$11:$AS3360="✓")),"")</f>
        <v/>
      </c>
      <c r="BA3360" s="21" t="str">
        <f>IF($AL3360="","",$AL3360&amp;"|"&amp;COUNTIF($AL$11:$AL3360,$AL3360))</f>
        <v/>
      </c>
    </row>
    <row r="3361" spans="38:53" ht="15" customHeight="1" x14ac:dyDescent="0.25">
      <c r="AL3361" s="17"/>
      <c r="AM3361" s="12"/>
      <c r="AN3361" s="18"/>
      <c r="AO3361" s="18"/>
      <c r="AP3361" s="10"/>
      <c r="AQ3361" s="10"/>
      <c r="AR3361" s="19"/>
      <c r="AS3361" s="20"/>
      <c r="AT3361" s="19"/>
      <c r="AV3361" s="21">
        <f>IF(AND($AL3361&lt;&gt;"",COUNTIF($AL$11:$AL3361,$AL3361)=1),1,0)</f>
        <v>0</v>
      </c>
      <c r="AW3361" s="21">
        <f t="shared" si="191"/>
        <v>2</v>
      </c>
      <c r="AX3361" s="21" t="str">
        <f t="shared" si="190"/>
        <v/>
      </c>
      <c r="AY3361" s="21" t="str">
        <f>IF(AND($AM3361&lt;&gt;"",$AS3361&lt;&gt;"✓"),SUMPRODUCT(($AM$11:$AM3361&lt;&gt;"")*($AS$11:$AS3361&lt;&gt;"✓")),"")</f>
        <v/>
      </c>
      <c r="AZ3361" s="21" t="str">
        <f>IF(AND($AM3361&lt;&gt;"",$AS3361="✓"),SUMPRODUCT(($AM$11:$AM3361&lt;&gt;"")*($AS$11:$AS3361="✓")),"")</f>
        <v/>
      </c>
      <c r="BA3361" s="21" t="str">
        <f>IF($AL3361="","",$AL3361&amp;"|"&amp;COUNTIF($AL$11:$AL3361,$AL3361))</f>
        <v/>
      </c>
    </row>
    <row r="3362" spans="38:53" ht="15" customHeight="1" x14ac:dyDescent="0.25">
      <c r="AL3362" s="31"/>
      <c r="AM3362" s="26"/>
      <c r="AN3362" s="32"/>
      <c r="AO3362" s="32"/>
      <c r="AP3362" s="24"/>
      <c r="AQ3362" s="24"/>
      <c r="AR3362" s="33"/>
      <c r="AS3362" s="34"/>
      <c r="AT3362" s="33"/>
      <c r="AV3362" s="21">
        <f>IF(AND($AL3362&lt;&gt;"",COUNTIF($AL$11:$AL3362,$AL3362)=1),1,0)</f>
        <v>0</v>
      </c>
      <c r="AW3362" s="21">
        <f t="shared" si="191"/>
        <v>2</v>
      </c>
      <c r="AX3362" s="21" t="str">
        <f t="shared" si="190"/>
        <v/>
      </c>
      <c r="AY3362" s="21" t="str">
        <f>IF(AND($AM3362&lt;&gt;"",$AS3362&lt;&gt;"✓"),SUMPRODUCT(($AM$11:$AM3362&lt;&gt;"")*($AS$11:$AS3362&lt;&gt;"✓")),"")</f>
        <v/>
      </c>
      <c r="AZ3362" s="21" t="str">
        <f>IF(AND($AM3362&lt;&gt;"",$AS3362="✓"),SUMPRODUCT(($AM$11:$AM3362&lt;&gt;"")*($AS$11:$AS3362="✓")),"")</f>
        <v/>
      </c>
      <c r="BA3362" s="21" t="str">
        <f>IF($AL3362="","",$AL3362&amp;"|"&amp;COUNTIF($AL$11:$AL3362,$AL3362))</f>
        <v/>
      </c>
    </row>
    <row r="3363" spans="38:53" ht="15" customHeight="1" x14ac:dyDescent="0.25">
      <c r="AL3363" s="17"/>
      <c r="AM3363" s="12"/>
      <c r="AN3363" s="18"/>
      <c r="AO3363" s="18"/>
      <c r="AP3363" s="10"/>
      <c r="AQ3363" s="10"/>
      <c r="AR3363" s="19"/>
      <c r="AS3363" s="20"/>
      <c r="AT3363" s="19"/>
      <c r="AV3363" s="21">
        <f>IF(AND($AL3363&lt;&gt;"",COUNTIF($AL$11:$AL3363,$AL3363)=1),1,0)</f>
        <v>0</v>
      </c>
      <c r="AW3363" s="21">
        <f t="shared" si="191"/>
        <v>2</v>
      </c>
      <c r="AX3363" s="21" t="str">
        <f t="shared" si="190"/>
        <v/>
      </c>
      <c r="AY3363" s="21" t="str">
        <f>IF(AND($AM3363&lt;&gt;"",$AS3363&lt;&gt;"✓"),SUMPRODUCT(($AM$11:$AM3363&lt;&gt;"")*($AS$11:$AS3363&lt;&gt;"✓")),"")</f>
        <v/>
      </c>
      <c r="AZ3363" s="21" t="str">
        <f>IF(AND($AM3363&lt;&gt;"",$AS3363="✓"),SUMPRODUCT(($AM$11:$AM3363&lt;&gt;"")*($AS$11:$AS3363="✓")),"")</f>
        <v/>
      </c>
      <c r="BA3363" s="21" t="str">
        <f>IF($AL3363="","",$AL3363&amp;"|"&amp;COUNTIF($AL$11:$AL3363,$AL3363))</f>
        <v/>
      </c>
    </row>
    <row r="3364" spans="38:53" ht="15" customHeight="1" x14ac:dyDescent="0.25">
      <c r="AL3364" s="31"/>
      <c r="AM3364" s="26"/>
      <c r="AN3364" s="32"/>
      <c r="AO3364" s="32"/>
      <c r="AP3364" s="24"/>
      <c r="AQ3364" s="24"/>
      <c r="AR3364" s="33"/>
      <c r="AS3364" s="34"/>
      <c r="AT3364" s="33"/>
      <c r="AV3364" s="21">
        <f>IF(AND($AL3364&lt;&gt;"",COUNTIF($AL$11:$AL3364,$AL3364)=1),1,0)</f>
        <v>0</v>
      </c>
      <c r="AW3364" s="21">
        <f t="shared" si="191"/>
        <v>2</v>
      </c>
      <c r="AX3364" s="21" t="str">
        <f t="shared" si="190"/>
        <v/>
      </c>
      <c r="AY3364" s="21" t="str">
        <f>IF(AND($AM3364&lt;&gt;"",$AS3364&lt;&gt;"✓"),SUMPRODUCT(($AM$11:$AM3364&lt;&gt;"")*($AS$11:$AS3364&lt;&gt;"✓")),"")</f>
        <v/>
      </c>
      <c r="AZ3364" s="21" t="str">
        <f>IF(AND($AM3364&lt;&gt;"",$AS3364="✓"),SUMPRODUCT(($AM$11:$AM3364&lt;&gt;"")*($AS$11:$AS3364="✓")),"")</f>
        <v/>
      </c>
      <c r="BA3364" s="21" t="str">
        <f>IF($AL3364="","",$AL3364&amp;"|"&amp;COUNTIF($AL$11:$AL3364,$AL3364))</f>
        <v/>
      </c>
    </row>
    <row r="3365" spans="38:53" ht="15" customHeight="1" x14ac:dyDescent="0.25">
      <c r="AL3365" s="17"/>
      <c r="AM3365" s="12"/>
      <c r="AN3365" s="18"/>
      <c r="AO3365" s="18"/>
      <c r="AP3365" s="10"/>
      <c r="AQ3365" s="10"/>
      <c r="AR3365" s="19"/>
      <c r="AS3365" s="20"/>
      <c r="AT3365" s="19"/>
      <c r="AV3365" s="21">
        <f>IF(AND($AL3365&lt;&gt;"",COUNTIF($AL$11:$AL3365,$AL3365)=1),1,0)</f>
        <v>0</v>
      </c>
      <c r="AW3365" s="21">
        <f t="shared" si="191"/>
        <v>2</v>
      </c>
      <c r="AX3365" s="21" t="str">
        <f t="shared" si="190"/>
        <v/>
      </c>
      <c r="AY3365" s="21" t="str">
        <f>IF(AND($AM3365&lt;&gt;"",$AS3365&lt;&gt;"✓"),SUMPRODUCT(($AM$11:$AM3365&lt;&gt;"")*($AS$11:$AS3365&lt;&gt;"✓")),"")</f>
        <v/>
      </c>
      <c r="AZ3365" s="21" t="str">
        <f>IF(AND($AM3365&lt;&gt;"",$AS3365="✓"),SUMPRODUCT(($AM$11:$AM3365&lt;&gt;"")*($AS$11:$AS3365="✓")),"")</f>
        <v/>
      </c>
      <c r="BA3365" s="21" t="str">
        <f>IF($AL3365="","",$AL3365&amp;"|"&amp;COUNTIF($AL$11:$AL3365,$AL3365))</f>
        <v/>
      </c>
    </row>
    <row r="3366" spans="38:53" ht="15" customHeight="1" x14ac:dyDescent="0.25">
      <c r="AL3366" s="31"/>
      <c r="AM3366" s="26"/>
      <c r="AN3366" s="32"/>
      <c r="AO3366" s="32"/>
      <c r="AP3366" s="24"/>
      <c r="AQ3366" s="24"/>
      <c r="AR3366" s="33"/>
      <c r="AS3366" s="34"/>
      <c r="AT3366" s="33"/>
      <c r="AV3366" s="21">
        <f>IF(AND($AL3366&lt;&gt;"",COUNTIF($AL$11:$AL3366,$AL3366)=1),1,0)</f>
        <v>0</v>
      </c>
      <c r="AW3366" s="21">
        <f t="shared" si="191"/>
        <v>2</v>
      </c>
      <c r="AX3366" s="21" t="str">
        <f t="shared" si="190"/>
        <v/>
      </c>
      <c r="AY3366" s="21" t="str">
        <f>IF(AND($AM3366&lt;&gt;"",$AS3366&lt;&gt;"✓"),SUMPRODUCT(($AM$11:$AM3366&lt;&gt;"")*($AS$11:$AS3366&lt;&gt;"✓")),"")</f>
        <v/>
      </c>
      <c r="AZ3366" s="21" t="str">
        <f>IF(AND($AM3366&lt;&gt;"",$AS3366="✓"),SUMPRODUCT(($AM$11:$AM3366&lt;&gt;"")*($AS$11:$AS3366="✓")),"")</f>
        <v/>
      </c>
      <c r="BA3366" s="21" t="str">
        <f>IF($AL3366="","",$AL3366&amp;"|"&amp;COUNTIF($AL$11:$AL3366,$AL3366))</f>
        <v/>
      </c>
    </row>
    <row r="3367" spans="38:53" ht="15" customHeight="1" x14ac:dyDescent="0.25">
      <c r="AL3367" s="17"/>
      <c r="AM3367" s="12"/>
      <c r="AN3367" s="18"/>
      <c r="AO3367" s="18"/>
      <c r="AP3367" s="10"/>
      <c r="AQ3367" s="10"/>
      <c r="AR3367" s="19"/>
      <c r="AS3367" s="20"/>
      <c r="AT3367" s="19"/>
      <c r="AV3367" s="21">
        <f>IF(AND($AL3367&lt;&gt;"",COUNTIF($AL$11:$AL3367,$AL3367)=1),1,0)</f>
        <v>0</v>
      </c>
      <c r="AW3367" s="21">
        <f t="shared" si="191"/>
        <v>2</v>
      </c>
      <c r="AX3367" s="21" t="str">
        <f t="shared" si="190"/>
        <v/>
      </c>
      <c r="AY3367" s="21" t="str">
        <f>IF(AND($AM3367&lt;&gt;"",$AS3367&lt;&gt;"✓"),SUMPRODUCT(($AM$11:$AM3367&lt;&gt;"")*($AS$11:$AS3367&lt;&gt;"✓")),"")</f>
        <v/>
      </c>
      <c r="AZ3367" s="21" t="str">
        <f>IF(AND($AM3367&lt;&gt;"",$AS3367="✓"),SUMPRODUCT(($AM$11:$AM3367&lt;&gt;"")*($AS$11:$AS3367="✓")),"")</f>
        <v/>
      </c>
      <c r="BA3367" s="21" t="str">
        <f>IF($AL3367="","",$AL3367&amp;"|"&amp;COUNTIF($AL$11:$AL3367,$AL3367))</f>
        <v/>
      </c>
    </row>
    <row r="3368" spans="38:53" ht="15" customHeight="1" x14ac:dyDescent="0.25">
      <c r="AL3368" s="31"/>
      <c r="AM3368" s="26"/>
      <c r="AN3368" s="32"/>
      <c r="AO3368" s="32"/>
      <c r="AP3368" s="24"/>
      <c r="AQ3368" s="24"/>
      <c r="AR3368" s="33"/>
      <c r="AS3368" s="34"/>
      <c r="AT3368" s="33"/>
      <c r="AV3368" s="21">
        <f>IF(AND($AL3368&lt;&gt;"",COUNTIF($AL$11:$AL3368,$AL3368)=1),1,0)</f>
        <v>0</v>
      </c>
      <c r="AW3368" s="21">
        <f t="shared" si="191"/>
        <v>2</v>
      </c>
      <c r="AX3368" s="21" t="str">
        <f t="shared" si="190"/>
        <v/>
      </c>
      <c r="AY3368" s="21" t="str">
        <f>IF(AND($AM3368&lt;&gt;"",$AS3368&lt;&gt;"✓"),SUMPRODUCT(($AM$11:$AM3368&lt;&gt;"")*($AS$11:$AS3368&lt;&gt;"✓")),"")</f>
        <v/>
      </c>
      <c r="AZ3368" s="21" t="str">
        <f>IF(AND($AM3368&lt;&gt;"",$AS3368="✓"),SUMPRODUCT(($AM$11:$AM3368&lt;&gt;"")*($AS$11:$AS3368="✓")),"")</f>
        <v/>
      </c>
      <c r="BA3368" s="21" t="str">
        <f>IF($AL3368="","",$AL3368&amp;"|"&amp;COUNTIF($AL$11:$AL3368,$AL3368))</f>
        <v/>
      </c>
    </row>
    <row r="3369" spans="38:53" ht="15" customHeight="1" x14ac:dyDescent="0.25">
      <c r="AL3369" s="17"/>
      <c r="AM3369" s="12"/>
      <c r="AN3369" s="18"/>
      <c r="AO3369" s="18"/>
      <c r="AP3369" s="10"/>
      <c r="AQ3369" s="10"/>
      <c r="AR3369" s="19"/>
      <c r="AS3369" s="20"/>
      <c r="AT3369" s="19"/>
      <c r="AV3369" s="21">
        <f>IF(AND($AL3369&lt;&gt;"",COUNTIF($AL$11:$AL3369,$AL3369)=1),1,0)</f>
        <v>0</v>
      </c>
      <c r="AW3369" s="21">
        <f t="shared" si="191"/>
        <v>2</v>
      </c>
      <c r="AX3369" s="21" t="str">
        <f t="shared" si="190"/>
        <v/>
      </c>
      <c r="AY3369" s="21" t="str">
        <f>IF(AND($AM3369&lt;&gt;"",$AS3369&lt;&gt;"✓"),SUMPRODUCT(($AM$11:$AM3369&lt;&gt;"")*($AS$11:$AS3369&lt;&gt;"✓")),"")</f>
        <v/>
      </c>
      <c r="AZ3369" s="21" t="str">
        <f>IF(AND($AM3369&lt;&gt;"",$AS3369="✓"),SUMPRODUCT(($AM$11:$AM3369&lt;&gt;"")*($AS$11:$AS3369="✓")),"")</f>
        <v/>
      </c>
      <c r="BA3369" s="21" t="str">
        <f>IF($AL3369="","",$AL3369&amp;"|"&amp;COUNTIF($AL$11:$AL3369,$AL3369))</f>
        <v/>
      </c>
    </row>
    <row r="3370" spans="38:53" ht="15" customHeight="1" x14ac:dyDescent="0.25">
      <c r="AL3370" s="31"/>
      <c r="AM3370" s="26"/>
      <c r="AN3370" s="32"/>
      <c r="AO3370" s="32"/>
      <c r="AP3370" s="24"/>
      <c r="AQ3370" s="24"/>
      <c r="AR3370" s="33"/>
      <c r="AS3370" s="34"/>
      <c r="AT3370" s="33"/>
      <c r="AV3370" s="21">
        <f>IF(AND($AL3370&lt;&gt;"",COUNTIF($AL$11:$AL3370,$AL3370)=1),1,0)</f>
        <v>0</v>
      </c>
      <c r="AW3370" s="21">
        <f t="shared" si="191"/>
        <v>2</v>
      </c>
      <c r="AX3370" s="21" t="str">
        <f t="shared" si="190"/>
        <v/>
      </c>
      <c r="AY3370" s="21" t="str">
        <f>IF(AND($AM3370&lt;&gt;"",$AS3370&lt;&gt;"✓"),SUMPRODUCT(($AM$11:$AM3370&lt;&gt;"")*($AS$11:$AS3370&lt;&gt;"✓")),"")</f>
        <v/>
      </c>
      <c r="AZ3370" s="21" t="str">
        <f>IF(AND($AM3370&lt;&gt;"",$AS3370="✓"),SUMPRODUCT(($AM$11:$AM3370&lt;&gt;"")*($AS$11:$AS3370="✓")),"")</f>
        <v/>
      </c>
      <c r="BA3370" s="21" t="str">
        <f>IF($AL3370="","",$AL3370&amp;"|"&amp;COUNTIF($AL$11:$AL3370,$AL3370))</f>
        <v/>
      </c>
    </row>
    <row r="3371" spans="38:53" ht="15" customHeight="1" x14ac:dyDescent="0.25">
      <c r="AL3371" s="17"/>
      <c r="AM3371" s="12"/>
      <c r="AN3371" s="18"/>
      <c r="AO3371" s="18"/>
      <c r="AP3371" s="10"/>
      <c r="AQ3371" s="10"/>
      <c r="AR3371" s="19"/>
      <c r="AS3371" s="20"/>
      <c r="AT3371" s="19"/>
      <c r="AV3371" s="21">
        <f>IF(AND($AL3371&lt;&gt;"",COUNTIF($AL$11:$AL3371,$AL3371)=1),1,0)</f>
        <v>0</v>
      </c>
      <c r="AW3371" s="21">
        <f t="shared" si="191"/>
        <v>2</v>
      </c>
      <c r="AX3371" s="21" t="str">
        <f t="shared" si="190"/>
        <v/>
      </c>
      <c r="AY3371" s="21" t="str">
        <f>IF(AND($AM3371&lt;&gt;"",$AS3371&lt;&gt;"✓"),SUMPRODUCT(($AM$11:$AM3371&lt;&gt;"")*($AS$11:$AS3371&lt;&gt;"✓")),"")</f>
        <v/>
      </c>
      <c r="AZ3371" s="21" t="str">
        <f>IF(AND($AM3371&lt;&gt;"",$AS3371="✓"),SUMPRODUCT(($AM$11:$AM3371&lt;&gt;"")*($AS$11:$AS3371="✓")),"")</f>
        <v/>
      </c>
      <c r="BA3371" s="21" t="str">
        <f>IF($AL3371="","",$AL3371&amp;"|"&amp;COUNTIF($AL$11:$AL3371,$AL3371))</f>
        <v/>
      </c>
    </row>
    <row r="3372" spans="38:53" ht="15" customHeight="1" x14ac:dyDescent="0.25">
      <c r="AL3372" s="31"/>
      <c r="AM3372" s="26"/>
      <c r="AN3372" s="32"/>
      <c r="AO3372" s="32"/>
      <c r="AP3372" s="24"/>
      <c r="AQ3372" s="24"/>
      <c r="AR3372" s="33"/>
      <c r="AS3372" s="34"/>
      <c r="AT3372" s="33"/>
      <c r="AV3372" s="21">
        <f>IF(AND($AL3372&lt;&gt;"",COUNTIF($AL$11:$AL3372,$AL3372)=1),1,0)</f>
        <v>0</v>
      </c>
      <c r="AW3372" s="21">
        <f t="shared" si="191"/>
        <v>2</v>
      </c>
      <c r="AX3372" s="21" t="str">
        <f t="shared" si="190"/>
        <v/>
      </c>
      <c r="AY3372" s="21" t="str">
        <f>IF(AND($AM3372&lt;&gt;"",$AS3372&lt;&gt;"✓"),SUMPRODUCT(($AM$11:$AM3372&lt;&gt;"")*($AS$11:$AS3372&lt;&gt;"✓")),"")</f>
        <v/>
      </c>
      <c r="AZ3372" s="21" t="str">
        <f>IF(AND($AM3372&lt;&gt;"",$AS3372="✓"),SUMPRODUCT(($AM$11:$AM3372&lt;&gt;"")*($AS$11:$AS3372="✓")),"")</f>
        <v/>
      </c>
      <c r="BA3372" s="21" t="str">
        <f>IF($AL3372="","",$AL3372&amp;"|"&amp;COUNTIF($AL$11:$AL3372,$AL3372))</f>
        <v/>
      </c>
    </row>
    <row r="3373" spans="38:53" ht="15" customHeight="1" x14ac:dyDescent="0.25">
      <c r="AL3373" s="17"/>
      <c r="AM3373" s="12"/>
      <c r="AN3373" s="18"/>
      <c r="AO3373" s="18"/>
      <c r="AP3373" s="10"/>
      <c r="AQ3373" s="10"/>
      <c r="AR3373" s="19"/>
      <c r="AS3373" s="20"/>
      <c r="AT3373" s="19"/>
      <c r="AV3373" s="21">
        <f>IF(AND($AL3373&lt;&gt;"",COUNTIF($AL$11:$AL3373,$AL3373)=1),1,0)</f>
        <v>0</v>
      </c>
      <c r="AW3373" s="21">
        <f t="shared" si="191"/>
        <v>2</v>
      </c>
      <c r="AX3373" s="21" t="str">
        <f t="shared" si="190"/>
        <v/>
      </c>
      <c r="AY3373" s="21" t="str">
        <f>IF(AND($AM3373&lt;&gt;"",$AS3373&lt;&gt;"✓"),SUMPRODUCT(($AM$11:$AM3373&lt;&gt;"")*($AS$11:$AS3373&lt;&gt;"✓")),"")</f>
        <v/>
      </c>
      <c r="AZ3373" s="21" t="str">
        <f>IF(AND($AM3373&lt;&gt;"",$AS3373="✓"),SUMPRODUCT(($AM$11:$AM3373&lt;&gt;"")*($AS$11:$AS3373="✓")),"")</f>
        <v/>
      </c>
      <c r="BA3373" s="21" t="str">
        <f>IF($AL3373="","",$AL3373&amp;"|"&amp;COUNTIF($AL$11:$AL3373,$AL3373))</f>
        <v/>
      </c>
    </row>
    <row r="3374" spans="38:53" ht="15" customHeight="1" x14ac:dyDescent="0.25">
      <c r="AL3374" s="31"/>
      <c r="AM3374" s="26"/>
      <c r="AN3374" s="32"/>
      <c r="AO3374" s="32"/>
      <c r="AP3374" s="24"/>
      <c r="AQ3374" s="24"/>
      <c r="AR3374" s="33"/>
      <c r="AS3374" s="34"/>
      <c r="AT3374" s="33"/>
      <c r="AV3374" s="21">
        <f>IF(AND($AL3374&lt;&gt;"",COUNTIF($AL$11:$AL3374,$AL3374)=1),1,0)</f>
        <v>0</v>
      </c>
      <c r="AW3374" s="21">
        <f t="shared" si="191"/>
        <v>2</v>
      </c>
      <c r="AX3374" s="21" t="str">
        <f t="shared" si="190"/>
        <v/>
      </c>
      <c r="AY3374" s="21" t="str">
        <f>IF(AND($AM3374&lt;&gt;"",$AS3374&lt;&gt;"✓"),SUMPRODUCT(($AM$11:$AM3374&lt;&gt;"")*($AS$11:$AS3374&lt;&gt;"✓")),"")</f>
        <v/>
      </c>
      <c r="AZ3374" s="21" t="str">
        <f>IF(AND($AM3374&lt;&gt;"",$AS3374="✓"),SUMPRODUCT(($AM$11:$AM3374&lt;&gt;"")*($AS$11:$AS3374="✓")),"")</f>
        <v/>
      </c>
      <c r="BA3374" s="21" t="str">
        <f>IF($AL3374="","",$AL3374&amp;"|"&amp;COUNTIF($AL$11:$AL3374,$AL3374))</f>
        <v/>
      </c>
    </row>
    <row r="3375" spans="38:53" ht="15" customHeight="1" x14ac:dyDescent="0.25">
      <c r="AL3375" s="17"/>
      <c r="AM3375" s="12"/>
      <c r="AN3375" s="18"/>
      <c r="AO3375" s="18"/>
      <c r="AP3375" s="10"/>
      <c r="AQ3375" s="10"/>
      <c r="AR3375" s="19"/>
      <c r="AS3375" s="20"/>
      <c r="AT3375" s="19"/>
      <c r="AV3375" s="21">
        <f>IF(AND($AL3375&lt;&gt;"",COUNTIF($AL$11:$AL3375,$AL3375)=1),1,0)</f>
        <v>0</v>
      </c>
      <c r="AW3375" s="21">
        <f t="shared" si="191"/>
        <v>2</v>
      </c>
      <c r="AX3375" s="21" t="str">
        <f t="shared" si="190"/>
        <v/>
      </c>
      <c r="AY3375" s="21" t="str">
        <f>IF(AND($AM3375&lt;&gt;"",$AS3375&lt;&gt;"✓"),SUMPRODUCT(($AM$11:$AM3375&lt;&gt;"")*($AS$11:$AS3375&lt;&gt;"✓")),"")</f>
        <v/>
      </c>
      <c r="AZ3375" s="21" t="str">
        <f>IF(AND($AM3375&lt;&gt;"",$AS3375="✓"),SUMPRODUCT(($AM$11:$AM3375&lt;&gt;"")*($AS$11:$AS3375="✓")),"")</f>
        <v/>
      </c>
      <c r="BA3375" s="21" t="str">
        <f>IF($AL3375="","",$AL3375&amp;"|"&amp;COUNTIF($AL$11:$AL3375,$AL3375))</f>
        <v/>
      </c>
    </row>
    <row r="3376" spans="38:53" ht="15" customHeight="1" x14ac:dyDescent="0.25">
      <c r="AL3376" s="31"/>
      <c r="AM3376" s="26"/>
      <c r="AN3376" s="32"/>
      <c r="AO3376" s="32"/>
      <c r="AP3376" s="24"/>
      <c r="AQ3376" s="24"/>
      <c r="AR3376" s="33"/>
      <c r="AS3376" s="34"/>
      <c r="AT3376" s="33"/>
      <c r="AV3376" s="21">
        <f>IF(AND($AL3376&lt;&gt;"",COUNTIF($AL$11:$AL3376,$AL3376)=1),1,0)</f>
        <v>0</v>
      </c>
      <c r="AW3376" s="21">
        <f t="shared" si="191"/>
        <v>2</v>
      </c>
      <c r="AX3376" s="21" t="str">
        <f t="shared" si="190"/>
        <v/>
      </c>
      <c r="AY3376" s="21" t="str">
        <f>IF(AND($AM3376&lt;&gt;"",$AS3376&lt;&gt;"✓"),SUMPRODUCT(($AM$11:$AM3376&lt;&gt;"")*($AS$11:$AS3376&lt;&gt;"✓")),"")</f>
        <v/>
      </c>
      <c r="AZ3376" s="21" t="str">
        <f>IF(AND($AM3376&lt;&gt;"",$AS3376="✓"),SUMPRODUCT(($AM$11:$AM3376&lt;&gt;"")*($AS$11:$AS3376="✓")),"")</f>
        <v/>
      </c>
      <c r="BA3376" s="21" t="str">
        <f>IF($AL3376="","",$AL3376&amp;"|"&amp;COUNTIF($AL$11:$AL3376,$AL3376))</f>
        <v/>
      </c>
    </row>
    <row r="3377" spans="38:53" ht="15" customHeight="1" x14ac:dyDescent="0.25">
      <c r="AL3377" s="17"/>
      <c r="AM3377" s="12"/>
      <c r="AN3377" s="18"/>
      <c r="AO3377" s="18"/>
      <c r="AP3377" s="10"/>
      <c r="AQ3377" s="10"/>
      <c r="AR3377" s="19"/>
      <c r="AS3377" s="20"/>
      <c r="AT3377" s="19"/>
      <c r="AV3377" s="21">
        <f>IF(AND($AL3377&lt;&gt;"",COUNTIF($AL$11:$AL3377,$AL3377)=1),1,0)</f>
        <v>0</v>
      </c>
      <c r="AW3377" s="21">
        <f t="shared" si="191"/>
        <v>2</v>
      </c>
      <c r="AX3377" s="21" t="str">
        <f t="shared" si="190"/>
        <v/>
      </c>
      <c r="AY3377" s="21" t="str">
        <f>IF(AND($AM3377&lt;&gt;"",$AS3377&lt;&gt;"✓"),SUMPRODUCT(($AM$11:$AM3377&lt;&gt;"")*($AS$11:$AS3377&lt;&gt;"✓")),"")</f>
        <v/>
      </c>
      <c r="AZ3377" s="21" t="str">
        <f>IF(AND($AM3377&lt;&gt;"",$AS3377="✓"),SUMPRODUCT(($AM$11:$AM3377&lt;&gt;"")*($AS$11:$AS3377="✓")),"")</f>
        <v/>
      </c>
      <c r="BA3377" s="21" t="str">
        <f>IF($AL3377="","",$AL3377&amp;"|"&amp;COUNTIF($AL$11:$AL3377,$AL3377))</f>
        <v/>
      </c>
    </row>
    <row r="3378" spans="38:53" ht="15" customHeight="1" x14ac:dyDescent="0.25">
      <c r="AL3378" s="31"/>
      <c r="AM3378" s="26"/>
      <c r="AN3378" s="32"/>
      <c r="AO3378" s="32"/>
      <c r="AP3378" s="24"/>
      <c r="AQ3378" s="24"/>
      <c r="AR3378" s="33"/>
      <c r="AS3378" s="34"/>
      <c r="AT3378" s="33"/>
      <c r="AV3378" s="21">
        <f>IF(AND($AL3378&lt;&gt;"",COUNTIF($AL$11:$AL3378,$AL3378)=1),1,0)</f>
        <v>0</v>
      </c>
      <c r="AW3378" s="21">
        <f t="shared" si="191"/>
        <v>2</v>
      </c>
      <c r="AX3378" s="21" t="str">
        <f t="shared" si="190"/>
        <v/>
      </c>
      <c r="AY3378" s="21" t="str">
        <f>IF(AND($AM3378&lt;&gt;"",$AS3378&lt;&gt;"✓"),SUMPRODUCT(($AM$11:$AM3378&lt;&gt;"")*($AS$11:$AS3378&lt;&gt;"✓")),"")</f>
        <v/>
      </c>
      <c r="AZ3378" s="21" t="str">
        <f>IF(AND($AM3378&lt;&gt;"",$AS3378="✓"),SUMPRODUCT(($AM$11:$AM3378&lt;&gt;"")*($AS$11:$AS3378="✓")),"")</f>
        <v/>
      </c>
      <c r="BA3378" s="21" t="str">
        <f>IF($AL3378="","",$AL3378&amp;"|"&amp;COUNTIF($AL$11:$AL3378,$AL3378))</f>
        <v/>
      </c>
    </row>
    <row r="3379" spans="38:53" ht="15" customHeight="1" x14ac:dyDescent="0.25">
      <c r="AL3379" s="17"/>
      <c r="AM3379" s="12"/>
      <c r="AN3379" s="18"/>
      <c r="AO3379" s="18"/>
      <c r="AP3379" s="10"/>
      <c r="AQ3379" s="10"/>
      <c r="AR3379" s="19"/>
      <c r="AS3379" s="20"/>
      <c r="AT3379" s="19"/>
      <c r="AV3379" s="21">
        <f>IF(AND($AL3379&lt;&gt;"",COUNTIF($AL$11:$AL3379,$AL3379)=1),1,0)</f>
        <v>0</v>
      </c>
      <c r="AW3379" s="21">
        <f t="shared" si="191"/>
        <v>2</v>
      </c>
      <c r="AX3379" s="21" t="str">
        <f t="shared" si="190"/>
        <v/>
      </c>
      <c r="AY3379" s="21" t="str">
        <f>IF(AND($AM3379&lt;&gt;"",$AS3379&lt;&gt;"✓"),SUMPRODUCT(($AM$11:$AM3379&lt;&gt;"")*($AS$11:$AS3379&lt;&gt;"✓")),"")</f>
        <v/>
      </c>
      <c r="AZ3379" s="21" t="str">
        <f>IF(AND($AM3379&lt;&gt;"",$AS3379="✓"),SUMPRODUCT(($AM$11:$AM3379&lt;&gt;"")*($AS$11:$AS3379="✓")),"")</f>
        <v/>
      </c>
      <c r="BA3379" s="21" t="str">
        <f>IF($AL3379="","",$AL3379&amp;"|"&amp;COUNTIF($AL$11:$AL3379,$AL3379))</f>
        <v/>
      </c>
    </row>
    <row r="3380" spans="38:53" ht="15" customHeight="1" x14ac:dyDescent="0.25">
      <c r="AL3380" s="31"/>
      <c r="AM3380" s="26"/>
      <c r="AN3380" s="32"/>
      <c r="AO3380" s="32"/>
      <c r="AP3380" s="24"/>
      <c r="AQ3380" s="24"/>
      <c r="AR3380" s="33"/>
      <c r="AS3380" s="34"/>
      <c r="AT3380" s="33"/>
      <c r="AV3380" s="21">
        <f>IF(AND($AL3380&lt;&gt;"",COUNTIF($AL$11:$AL3380,$AL3380)=1),1,0)</f>
        <v>0</v>
      </c>
      <c r="AW3380" s="21">
        <f t="shared" si="191"/>
        <v>2</v>
      </c>
      <c r="AX3380" s="21" t="str">
        <f t="shared" si="190"/>
        <v/>
      </c>
      <c r="AY3380" s="21" t="str">
        <f>IF(AND($AM3380&lt;&gt;"",$AS3380&lt;&gt;"✓"),SUMPRODUCT(($AM$11:$AM3380&lt;&gt;"")*($AS$11:$AS3380&lt;&gt;"✓")),"")</f>
        <v/>
      </c>
      <c r="AZ3380" s="21" t="str">
        <f>IF(AND($AM3380&lt;&gt;"",$AS3380="✓"),SUMPRODUCT(($AM$11:$AM3380&lt;&gt;"")*($AS$11:$AS3380="✓")),"")</f>
        <v/>
      </c>
      <c r="BA3380" s="21" t="str">
        <f>IF($AL3380="","",$AL3380&amp;"|"&amp;COUNTIF($AL$11:$AL3380,$AL3380))</f>
        <v/>
      </c>
    </row>
    <row r="3381" spans="38:53" ht="15" customHeight="1" x14ac:dyDescent="0.25">
      <c r="AL3381" s="17"/>
      <c r="AM3381" s="12"/>
      <c r="AN3381" s="18"/>
      <c r="AO3381" s="18"/>
      <c r="AP3381" s="10"/>
      <c r="AQ3381" s="10"/>
      <c r="AR3381" s="19"/>
      <c r="AS3381" s="20"/>
      <c r="AT3381" s="19"/>
      <c r="AV3381" s="21">
        <f>IF(AND($AL3381&lt;&gt;"",COUNTIF($AL$11:$AL3381,$AL3381)=1),1,0)</f>
        <v>0</v>
      </c>
      <c r="AW3381" s="21">
        <f t="shared" si="191"/>
        <v>2</v>
      </c>
      <c r="AX3381" s="21" t="str">
        <f t="shared" si="190"/>
        <v/>
      </c>
      <c r="AY3381" s="21" t="str">
        <f>IF(AND($AM3381&lt;&gt;"",$AS3381&lt;&gt;"✓"),SUMPRODUCT(($AM$11:$AM3381&lt;&gt;"")*($AS$11:$AS3381&lt;&gt;"✓")),"")</f>
        <v/>
      </c>
      <c r="AZ3381" s="21" t="str">
        <f>IF(AND($AM3381&lt;&gt;"",$AS3381="✓"),SUMPRODUCT(($AM$11:$AM3381&lt;&gt;"")*($AS$11:$AS3381="✓")),"")</f>
        <v/>
      </c>
      <c r="BA3381" s="21" t="str">
        <f>IF($AL3381="","",$AL3381&amp;"|"&amp;COUNTIF($AL$11:$AL3381,$AL3381))</f>
        <v/>
      </c>
    </row>
    <row r="3382" spans="38:53" ht="15" customHeight="1" x14ac:dyDescent="0.25">
      <c r="AL3382" s="31"/>
      <c r="AM3382" s="26"/>
      <c r="AN3382" s="32"/>
      <c r="AO3382" s="32"/>
      <c r="AP3382" s="24"/>
      <c r="AQ3382" s="24"/>
      <c r="AR3382" s="33"/>
      <c r="AS3382" s="34"/>
      <c r="AT3382" s="33"/>
      <c r="AV3382" s="21">
        <f>IF(AND($AL3382&lt;&gt;"",COUNTIF($AL$11:$AL3382,$AL3382)=1),1,0)</f>
        <v>0</v>
      </c>
      <c r="AW3382" s="21">
        <f t="shared" si="191"/>
        <v>2</v>
      </c>
      <c r="AX3382" s="21" t="str">
        <f t="shared" si="190"/>
        <v/>
      </c>
      <c r="AY3382" s="21" t="str">
        <f>IF(AND($AM3382&lt;&gt;"",$AS3382&lt;&gt;"✓"),SUMPRODUCT(($AM$11:$AM3382&lt;&gt;"")*($AS$11:$AS3382&lt;&gt;"✓")),"")</f>
        <v/>
      </c>
      <c r="AZ3382" s="21" t="str">
        <f>IF(AND($AM3382&lt;&gt;"",$AS3382="✓"),SUMPRODUCT(($AM$11:$AM3382&lt;&gt;"")*($AS$11:$AS3382="✓")),"")</f>
        <v/>
      </c>
      <c r="BA3382" s="21" t="str">
        <f>IF($AL3382="","",$AL3382&amp;"|"&amp;COUNTIF($AL$11:$AL3382,$AL3382))</f>
        <v/>
      </c>
    </row>
    <row r="3383" spans="38:53" ht="15" customHeight="1" x14ac:dyDescent="0.25">
      <c r="AL3383" s="17"/>
      <c r="AM3383" s="12"/>
      <c r="AN3383" s="18"/>
      <c r="AO3383" s="18"/>
      <c r="AP3383" s="10"/>
      <c r="AQ3383" s="10"/>
      <c r="AR3383" s="19"/>
      <c r="AS3383" s="20"/>
      <c r="AT3383" s="19"/>
      <c r="AV3383" s="21">
        <f>IF(AND($AL3383&lt;&gt;"",COUNTIF($AL$11:$AL3383,$AL3383)=1),1,0)</f>
        <v>0</v>
      </c>
      <c r="AW3383" s="21">
        <f t="shared" si="191"/>
        <v>2</v>
      </c>
      <c r="AX3383" s="21" t="str">
        <f t="shared" si="190"/>
        <v/>
      </c>
      <c r="AY3383" s="21" t="str">
        <f>IF(AND($AM3383&lt;&gt;"",$AS3383&lt;&gt;"✓"),SUMPRODUCT(($AM$11:$AM3383&lt;&gt;"")*($AS$11:$AS3383&lt;&gt;"✓")),"")</f>
        <v/>
      </c>
      <c r="AZ3383" s="21" t="str">
        <f>IF(AND($AM3383&lt;&gt;"",$AS3383="✓"),SUMPRODUCT(($AM$11:$AM3383&lt;&gt;"")*($AS$11:$AS3383="✓")),"")</f>
        <v/>
      </c>
      <c r="BA3383" s="21" t="str">
        <f>IF($AL3383="","",$AL3383&amp;"|"&amp;COUNTIF($AL$11:$AL3383,$AL3383))</f>
        <v/>
      </c>
    </row>
    <row r="3384" spans="38:53" ht="15" customHeight="1" x14ac:dyDescent="0.25">
      <c r="AL3384" s="31"/>
      <c r="AM3384" s="26"/>
      <c r="AN3384" s="32"/>
      <c r="AO3384" s="32"/>
      <c r="AP3384" s="24"/>
      <c r="AQ3384" s="24"/>
      <c r="AR3384" s="33"/>
      <c r="AS3384" s="34"/>
      <c r="AT3384" s="33"/>
      <c r="AV3384" s="21">
        <f>IF(AND($AL3384&lt;&gt;"",COUNTIF($AL$11:$AL3384,$AL3384)=1),1,0)</f>
        <v>0</v>
      </c>
      <c r="AW3384" s="21">
        <f t="shared" si="191"/>
        <v>2</v>
      </c>
      <c r="AX3384" s="21" t="str">
        <f t="shared" si="190"/>
        <v/>
      </c>
      <c r="AY3384" s="21" t="str">
        <f>IF(AND($AM3384&lt;&gt;"",$AS3384&lt;&gt;"✓"),SUMPRODUCT(($AM$11:$AM3384&lt;&gt;"")*($AS$11:$AS3384&lt;&gt;"✓")),"")</f>
        <v/>
      </c>
      <c r="AZ3384" s="21" t="str">
        <f>IF(AND($AM3384&lt;&gt;"",$AS3384="✓"),SUMPRODUCT(($AM$11:$AM3384&lt;&gt;"")*($AS$11:$AS3384="✓")),"")</f>
        <v/>
      </c>
      <c r="BA3384" s="21" t="str">
        <f>IF($AL3384="","",$AL3384&amp;"|"&amp;COUNTIF($AL$11:$AL3384,$AL3384))</f>
        <v/>
      </c>
    </row>
    <row r="3385" spans="38:53" ht="15" customHeight="1" x14ac:dyDescent="0.25">
      <c r="AL3385" s="17"/>
      <c r="AM3385" s="12"/>
      <c r="AN3385" s="18"/>
      <c r="AO3385" s="18"/>
      <c r="AP3385" s="10"/>
      <c r="AQ3385" s="10"/>
      <c r="AR3385" s="19"/>
      <c r="AS3385" s="20"/>
      <c r="AT3385" s="19"/>
      <c r="AV3385" s="21">
        <f>IF(AND($AL3385&lt;&gt;"",COUNTIF($AL$11:$AL3385,$AL3385)=1),1,0)</f>
        <v>0</v>
      </c>
      <c r="AW3385" s="21">
        <f t="shared" si="191"/>
        <v>2</v>
      </c>
      <c r="AX3385" s="21" t="str">
        <f t="shared" si="190"/>
        <v/>
      </c>
      <c r="AY3385" s="21" t="str">
        <f>IF(AND($AM3385&lt;&gt;"",$AS3385&lt;&gt;"✓"),SUMPRODUCT(($AM$11:$AM3385&lt;&gt;"")*($AS$11:$AS3385&lt;&gt;"✓")),"")</f>
        <v/>
      </c>
      <c r="AZ3385" s="21" t="str">
        <f>IF(AND($AM3385&lt;&gt;"",$AS3385="✓"),SUMPRODUCT(($AM$11:$AM3385&lt;&gt;"")*($AS$11:$AS3385="✓")),"")</f>
        <v/>
      </c>
      <c r="BA3385" s="21" t="str">
        <f>IF($AL3385="","",$AL3385&amp;"|"&amp;COUNTIF($AL$11:$AL3385,$AL3385))</f>
        <v/>
      </c>
    </row>
    <row r="3386" spans="38:53" ht="15" customHeight="1" x14ac:dyDescent="0.25">
      <c r="AL3386" s="31"/>
      <c r="AM3386" s="26"/>
      <c r="AN3386" s="32"/>
      <c r="AO3386" s="32"/>
      <c r="AP3386" s="24"/>
      <c r="AQ3386" s="24"/>
      <c r="AR3386" s="33"/>
      <c r="AS3386" s="34"/>
      <c r="AT3386" s="33"/>
      <c r="AV3386" s="21">
        <f>IF(AND($AL3386&lt;&gt;"",COUNTIF($AL$11:$AL3386,$AL3386)=1),1,0)</f>
        <v>0</v>
      </c>
      <c r="AW3386" s="21">
        <f t="shared" si="191"/>
        <v>2</v>
      </c>
      <c r="AX3386" s="21" t="str">
        <f t="shared" si="190"/>
        <v/>
      </c>
      <c r="AY3386" s="21" t="str">
        <f>IF(AND($AM3386&lt;&gt;"",$AS3386&lt;&gt;"✓"),SUMPRODUCT(($AM$11:$AM3386&lt;&gt;"")*($AS$11:$AS3386&lt;&gt;"✓")),"")</f>
        <v/>
      </c>
      <c r="AZ3386" s="21" t="str">
        <f>IF(AND($AM3386&lt;&gt;"",$AS3386="✓"),SUMPRODUCT(($AM$11:$AM3386&lt;&gt;"")*($AS$11:$AS3386="✓")),"")</f>
        <v/>
      </c>
      <c r="BA3386" s="21" t="str">
        <f>IF($AL3386="","",$AL3386&amp;"|"&amp;COUNTIF($AL$11:$AL3386,$AL3386))</f>
        <v/>
      </c>
    </row>
    <row r="3387" spans="38:53" ht="15" customHeight="1" x14ac:dyDescent="0.25">
      <c r="AL3387" s="17"/>
      <c r="AM3387" s="12"/>
      <c r="AN3387" s="18"/>
      <c r="AO3387" s="18"/>
      <c r="AP3387" s="10"/>
      <c r="AQ3387" s="10"/>
      <c r="AR3387" s="19"/>
      <c r="AS3387" s="20"/>
      <c r="AT3387" s="19"/>
      <c r="AV3387" s="21">
        <f>IF(AND($AL3387&lt;&gt;"",COUNTIF($AL$11:$AL3387,$AL3387)=1),1,0)</f>
        <v>0</v>
      </c>
      <c r="AW3387" s="21">
        <f t="shared" si="191"/>
        <v>2</v>
      </c>
      <c r="AX3387" s="21" t="str">
        <f t="shared" si="190"/>
        <v/>
      </c>
      <c r="AY3387" s="21" t="str">
        <f>IF(AND($AM3387&lt;&gt;"",$AS3387&lt;&gt;"✓"),SUMPRODUCT(($AM$11:$AM3387&lt;&gt;"")*($AS$11:$AS3387&lt;&gt;"✓")),"")</f>
        <v/>
      </c>
      <c r="AZ3387" s="21" t="str">
        <f>IF(AND($AM3387&lt;&gt;"",$AS3387="✓"),SUMPRODUCT(($AM$11:$AM3387&lt;&gt;"")*($AS$11:$AS3387="✓")),"")</f>
        <v/>
      </c>
      <c r="BA3387" s="21" t="str">
        <f>IF($AL3387="","",$AL3387&amp;"|"&amp;COUNTIF($AL$11:$AL3387,$AL3387))</f>
        <v/>
      </c>
    </row>
    <row r="3388" spans="38:53" ht="15" customHeight="1" x14ac:dyDescent="0.25">
      <c r="AL3388" s="31"/>
      <c r="AM3388" s="26"/>
      <c r="AN3388" s="32"/>
      <c r="AO3388" s="32"/>
      <c r="AP3388" s="24"/>
      <c r="AQ3388" s="24"/>
      <c r="AR3388" s="33"/>
      <c r="AS3388" s="34"/>
      <c r="AT3388" s="33"/>
      <c r="AV3388" s="21">
        <f>IF(AND($AL3388&lt;&gt;"",COUNTIF($AL$11:$AL3388,$AL3388)=1),1,0)</f>
        <v>0</v>
      </c>
      <c r="AW3388" s="21">
        <f t="shared" si="191"/>
        <v>2</v>
      </c>
      <c r="AX3388" s="21" t="str">
        <f t="shared" si="190"/>
        <v/>
      </c>
      <c r="AY3388" s="21" t="str">
        <f>IF(AND($AM3388&lt;&gt;"",$AS3388&lt;&gt;"✓"),SUMPRODUCT(($AM$11:$AM3388&lt;&gt;"")*($AS$11:$AS3388&lt;&gt;"✓")),"")</f>
        <v/>
      </c>
      <c r="AZ3388" s="21" t="str">
        <f>IF(AND($AM3388&lt;&gt;"",$AS3388="✓"),SUMPRODUCT(($AM$11:$AM3388&lt;&gt;"")*($AS$11:$AS3388="✓")),"")</f>
        <v/>
      </c>
      <c r="BA3388" s="21" t="str">
        <f>IF($AL3388="","",$AL3388&amp;"|"&amp;COUNTIF($AL$11:$AL3388,$AL3388))</f>
        <v/>
      </c>
    </row>
    <row r="3389" spans="38:53" ht="15" customHeight="1" x14ac:dyDescent="0.25">
      <c r="AL3389" s="17"/>
      <c r="AM3389" s="12"/>
      <c r="AN3389" s="18"/>
      <c r="AO3389" s="18"/>
      <c r="AP3389" s="10"/>
      <c r="AQ3389" s="10"/>
      <c r="AR3389" s="19"/>
      <c r="AS3389" s="20"/>
      <c r="AT3389" s="19"/>
      <c r="AV3389" s="21">
        <f>IF(AND($AL3389&lt;&gt;"",COUNTIF($AL$11:$AL3389,$AL3389)=1),1,0)</f>
        <v>0</v>
      </c>
      <c r="AW3389" s="21">
        <f t="shared" si="191"/>
        <v>2</v>
      </c>
      <c r="AX3389" s="21" t="str">
        <f t="shared" si="190"/>
        <v/>
      </c>
      <c r="AY3389" s="21" t="str">
        <f>IF(AND($AM3389&lt;&gt;"",$AS3389&lt;&gt;"✓"),SUMPRODUCT(($AM$11:$AM3389&lt;&gt;"")*($AS$11:$AS3389&lt;&gt;"✓")),"")</f>
        <v/>
      </c>
      <c r="AZ3389" s="21" t="str">
        <f>IF(AND($AM3389&lt;&gt;"",$AS3389="✓"),SUMPRODUCT(($AM$11:$AM3389&lt;&gt;"")*($AS$11:$AS3389="✓")),"")</f>
        <v/>
      </c>
      <c r="BA3389" s="21" t="str">
        <f>IF($AL3389="","",$AL3389&amp;"|"&amp;COUNTIF($AL$11:$AL3389,$AL3389))</f>
        <v/>
      </c>
    </row>
    <row r="3390" spans="38:53" ht="15" customHeight="1" x14ac:dyDescent="0.25">
      <c r="AL3390" s="31"/>
      <c r="AM3390" s="26"/>
      <c r="AN3390" s="32"/>
      <c r="AO3390" s="32"/>
      <c r="AP3390" s="24"/>
      <c r="AQ3390" s="24"/>
      <c r="AR3390" s="33"/>
      <c r="AS3390" s="34"/>
      <c r="AT3390" s="33"/>
      <c r="AV3390" s="21">
        <f>IF(AND($AL3390&lt;&gt;"",COUNTIF($AL$11:$AL3390,$AL3390)=1),1,0)</f>
        <v>0</v>
      </c>
      <c r="AW3390" s="21">
        <f t="shared" si="191"/>
        <v>2</v>
      </c>
      <c r="AX3390" s="21" t="str">
        <f t="shared" si="190"/>
        <v/>
      </c>
      <c r="AY3390" s="21" t="str">
        <f>IF(AND($AM3390&lt;&gt;"",$AS3390&lt;&gt;"✓"),SUMPRODUCT(($AM$11:$AM3390&lt;&gt;"")*($AS$11:$AS3390&lt;&gt;"✓")),"")</f>
        <v/>
      </c>
      <c r="AZ3390" s="21" t="str">
        <f>IF(AND($AM3390&lt;&gt;"",$AS3390="✓"),SUMPRODUCT(($AM$11:$AM3390&lt;&gt;"")*($AS$11:$AS3390="✓")),"")</f>
        <v/>
      </c>
      <c r="BA3390" s="21" t="str">
        <f>IF($AL3390="","",$AL3390&amp;"|"&amp;COUNTIF($AL$11:$AL3390,$AL3390))</f>
        <v/>
      </c>
    </row>
    <row r="3391" spans="38:53" ht="15" customHeight="1" x14ac:dyDescent="0.25">
      <c r="AL3391" s="17"/>
      <c r="AM3391" s="12"/>
      <c r="AN3391" s="18"/>
      <c r="AO3391" s="18"/>
      <c r="AP3391" s="10"/>
      <c r="AQ3391" s="10"/>
      <c r="AR3391" s="19"/>
      <c r="AS3391" s="20"/>
      <c r="AT3391" s="19"/>
      <c r="AV3391" s="21">
        <f>IF(AND($AL3391&lt;&gt;"",COUNTIF($AL$11:$AL3391,$AL3391)=1),1,0)</f>
        <v>0</v>
      </c>
      <c r="AW3391" s="21">
        <f t="shared" si="191"/>
        <v>2</v>
      </c>
      <c r="AX3391" s="21" t="str">
        <f t="shared" si="190"/>
        <v/>
      </c>
      <c r="AY3391" s="21" t="str">
        <f>IF(AND($AM3391&lt;&gt;"",$AS3391&lt;&gt;"✓"),SUMPRODUCT(($AM$11:$AM3391&lt;&gt;"")*($AS$11:$AS3391&lt;&gt;"✓")),"")</f>
        <v/>
      </c>
      <c r="AZ3391" s="21" t="str">
        <f>IF(AND($AM3391&lt;&gt;"",$AS3391="✓"),SUMPRODUCT(($AM$11:$AM3391&lt;&gt;"")*($AS$11:$AS3391="✓")),"")</f>
        <v/>
      </c>
      <c r="BA3391" s="21" t="str">
        <f>IF($AL3391="","",$AL3391&amp;"|"&amp;COUNTIF($AL$11:$AL3391,$AL3391))</f>
        <v/>
      </c>
    </row>
    <row r="3392" spans="38:53" ht="15" customHeight="1" x14ac:dyDescent="0.25">
      <c r="AL3392" s="31"/>
      <c r="AM3392" s="26"/>
      <c r="AN3392" s="32"/>
      <c r="AO3392" s="32"/>
      <c r="AP3392" s="24"/>
      <c r="AQ3392" s="24"/>
      <c r="AR3392" s="33"/>
      <c r="AS3392" s="34"/>
      <c r="AT3392" s="33"/>
      <c r="AV3392" s="21">
        <f>IF(AND($AL3392&lt;&gt;"",COUNTIF($AL$11:$AL3392,$AL3392)=1),1,0)</f>
        <v>0</v>
      </c>
      <c r="AW3392" s="21">
        <f t="shared" si="191"/>
        <v>2</v>
      </c>
      <c r="AX3392" s="21" t="str">
        <f t="shared" si="190"/>
        <v/>
      </c>
      <c r="AY3392" s="21" t="str">
        <f>IF(AND($AM3392&lt;&gt;"",$AS3392&lt;&gt;"✓"),SUMPRODUCT(($AM$11:$AM3392&lt;&gt;"")*($AS$11:$AS3392&lt;&gt;"✓")),"")</f>
        <v/>
      </c>
      <c r="AZ3392" s="21" t="str">
        <f>IF(AND($AM3392&lt;&gt;"",$AS3392="✓"),SUMPRODUCT(($AM$11:$AM3392&lt;&gt;"")*($AS$11:$AS3392="✓")),"")</f>
        <v/>
      </c>
      <c r="BA3392" s="21" t="str">
        <f>IF($AL3392="","",$AL3392&amp;"|"&amp;COUNTIF($AL$11:$AL3392,$AL3392))</f>
        <v/>
      </c>
    </row>
    <row r="3393" spans="38:53" ht="15" customHeight="1" x14ac:dyDescent="0.25">
      <c r="AL3393" s="17"/>
      <c r="AM3393" s="12"/>
      <c r="AN3393" s="18"/>
      <c r="AO3393" s="18"/>
      <c r="AP3393" s="10"/>
      <c r="AQ3393" s="10"/>
      <c r="AR3393" s="19"/>
      <c r="AS3393" s="20"/>
      <c r="AT3393" s="19"/>
      <c r="AV3393" s="21">
        <f>IF(AND($AL3393&lt;&gt;"",COUNTIF($AL$11:$AL3393,$AL3393)=1),1,0)</f>
        <v>0</v>
      </c>
      <c r="AW3393" s="21">
        <f t="shared" si="191"/>
        <v>2</v>
      </c>
      <c r="AX3393" s="21" t="str">
        <f t="shared" si="190"/>
        <v/>
      </c>
      <c r="AY3393" s="21" t="str">
        <f>IF(AND($AM3393&lt;&gt;"",$AS3393&lt;&gt;"✓"),SUMPRODUCT(($AM$11:$AM3393&lt;&gt;"")*($AS$11:$AS3393&lt;&gt;"✓")),"")</f>
        <v/>
      </c>
      <c r="AZ3393" s="21" t="str">
        <f>IF(AND($AM3393&lt;&gt;"",$AS3393="✓"),SUMPRODUCT(($AM$11:$AM3393&lt;&gt;"")*($AS$11:$AS3393="✓")),"")</f>
        <v/>
      </c>
      <c r="BA3393" s="21" t="str">
        <f>IF($AL3393="","",$AL3393&amp;"|"&amp;COUNTIF($AL$11:$AL3393,$AL3393))</f>
        <v/>
      </c>
    </row>
    <row r="3394" spans="38:53" ht="15" customHeight="1" x14ac:dyDescent="0.25">
      <c r="AL3394" s="31"/>
      <c r="AM3394" s="26"/>
      <c r="AN3394" s="32"/>
      <c r="AO3394" s="32"/>
      <c r="AP3394" s="24"/>
      <c r="AQ3394" s="24"/>
      <c r="AR3394" s="33"/>
      <c r="AS3394" s="34"/>
      <c r="AT3394" s="33"/>
      <c r="AV3394" s="21">
        <f>IF(AND($AL3394&lt;&gt;"",COUNTIF($AL$11:$AL3394,$AL3394)=1),1,0)</f>
        <v>0</v>
      </c>
      <c r="AW3394" s="21">
        <f t="shared" si="191"/>
        <v>2</v>
      </c>
      <c r="AX3394" s="21" t="str">
        <f t="shared" si="190"/>
        <v/>
      </c>
      <c r="AY3394" s="21" t="str">
        <f>IF(AND($AM3394&lt;&gt;"",$AS3394&lt;&gt;"✓"),SUMPRODUCT(($AM$11:$AM3394&lt;&gt;"")*($AS$11:$AS3394&lt;&gt;"✓")),"")</f>
        <v/>
      </c>
      <c r="AZ3394" s="21" t="str">
        <f>IF(AND($AM3394&lt;&gt;"",$AS3394="✓"),SUMPRODUCT(($AM$11:$AM3394&lt;&gt;"")*($AS$11:$AS3394="✓")),"")</f>
        <v/>
      </c>
      <c r="BA3394" s="21" t="str">
        <f>IF($AL3394="","",$AL3394&amp;"|"&amp;COUNTIF($AL$11:$AL3394,$AL3394))</f>
        <v/>
      </c>
    </row>
    <row r="3395" spans="38:53" ht="15" customHeight="1" x14ac:dyDescent="0.25">
      <c r="AL3395" s="17"/>
      <c r="AM3395" s="12"/>
      <c r="AN3395" s="18"/>
      <c r="AO3395" s="18"/>
      <c r="AP3395" s="10"/>
      <c r="AQ3395" s="10"/>
      <c r="AR3395" s="19"/>
      <c r="AS3395" s="20"/>
      <c r="AT3395" s="19"/>
      <c r="AV3395" s="21">
        <f>IF(AND($AL3395&lt;&gt;"",COUNTIF($AL$11:$AL3395,$AL3395)=1),1,0)</f>
        <v>0</v>
      </c>
      <c r="AW3395" s="21">
        <f t="shared" si="191"/>
        <v>2</v>
      </c>
      <c r="AX3395" s="21" t="str">
        <f t="shared" si="190"/>
        <v/>
      </c>
      <c r="AY3395" s="21" t="str">
        <f>IF(AND($AM3395&lt;&gt;"",$AS3395&lt;&gt;"✓"),SUMPRODUCT(($AM$11:$AM3395&lt;&gt;"")*($AS$11:$AS3395&lt;&gt;"✓")),"")</f>
        <v/>
      </c>
      <c r="AZ3395" s="21" t="str">
        <f>IF(AND($AM3395&lt;&gt;"",$AS3395="✓"),SUMPRODUCT(($AM$11:$AM3395&lt;&gt;"")*($AS$11:$AS3395="✓")),"")</f>
        <v/>
      </c>
      <c r="BA3395" s="21" t="str">
        <f>IF($AL3395="","",$AL3395&amp;"|"&amp;COUNTIF($AL$11:$AL3395,$AL3395))</f>
        <v/>
      </c>
    </row>
    <row r="3396" spans="38:53" ht="15" customHeight="1" x14ac:dyDescent="0.25">
      <c r="AL3396" s="31"/>
      <c r="AM3396" s="26"/>
      <c r="AN3396" s="32"/>
      <c r="AO3396" s="32"/>
      <c r="AP3396" s="24"/>
      <c r="AQ3396" s="24"/>
      <c r="AR3396" s="33"/>
      <c r="AS3396" s="34"/>
      <c r="AT3396" s="33"/>
      <c r="AV3396" s="21">
        <f>IF(AND($AL3396&lt;&gt;"",COUNTIF($AL$11:$AL3396,$AL3396)=1),1,0)</f>
        <v>0</v>
      </c>
      <c r="AW3396" s="21">
        <f t="shared" si="191"/>
        <v>2</v>
      </c>
      <c r="AX3396" s="21" t="str">
        <f t="shared" si="190"/>
        <v/>
      </c>
      <c r="AY3396" s="21" t="str">
        <f>IF(AND($AM3396&lt;&gt;"",$AS3396&lt;&gt;"✓"),SUMPRODUCT(($AM$11:$AM3396&lt;&gt;"")*($AS$11:$AS3396&lt;&gt;"✓")),"")</f>
        <v/>
      </c>
      <c r="AZ3396" s="21" t="str">
        <f>IF(AND($AM3396&lt;&gt;"",$AS3396="✓"),SUMPRODUCT(($AM$11:$AM3396&lt;&gt;"")*($AS$11:$AS3396="✓")),"")</f>
        <v/>
      </c>
      <c r="BA3396" s="21" t="str">
        <f>IF($AL3396="","",$AL3396&amp;"|"&amp;COUNTIF($AL$11:$AL3396,$AL3396))</f>
        <v/>
      </c>
    </row>
    <row r="3397" spans="38:53" ht="15" customHeight="1" x14ac:dyDescent="0.25">
      <c r="AL3397" s="17"/>
      <c r="AM3397" s="12"/>
      <c r="AN3397" s="18"/>
      <c r="AO3397" s="18"/>
      <c r="AP3397" s="10"/>
      <c r="AQ3397" s="10"/>
      <c r="AR3397" s="19"/>
      <c r="AS3397" s="20"/>
      <c r="AT3397" s="19"/>
      <c r="AV3397" s="21">
        <f>IF(AND($AL3397&lt;&gt;"",COUNTIF($AL$11:$AL3397,$AL3397)=1),1,0)</f>
        <v>0</v>
      </c>
      <c r="AW3397" s="21">
        <f t="shared" si="191"/>
        <v>2</v>
      </c>
      <c r="AX3397" s="21" t="str">
        <f t="shared" si="190"/>
        <v/>
      </c>
      <c r="AY3397" s="21" t="str">
        <f>IF(AND($AM3397&lt;&gt;"",$AS3397&lt;&gt;"✓"),SUMPRODUCT(($AM$11:$AM3397&lt;&gt;"")*($AS$11:$AS3397&lt;&gt;"✓")),"")</f>
        <v/>
      </c>
      <c r="AZ3397" s="21" t="str">
        <f>IF(AND($AM3397&lt;&gt;"",$AS3397="✓"),SUMPRODUCT(($AM$11:$AM3397&lt;&gt;"")*($AS$11:$AS3397="✓")),"")</f>
        <v/>
      </c>
      <c r="BA3397" s="21" t="str">
        <f>IF($AL3397="","",$AL3397&amp;"|"&amp;COUNTIF($AL$11:$AL3397,$AL3397))</f>
        <v/>
      </c>
    </row>
    <row r="3398" spans="38:53" ht="15" customHeight="1" x14ac:dyDescent="0.25">
      <c r="AL3398" s="31"/>
      <c r="AM3398" s="26"/>
      <c r="AN3398" s="32"/>
      <c r="AO3398" s="32"/>
      <c r="AP3398" s="24"/>
      <c r="AQ3398" s="24"/>
      <c r="AR3398" s="33"/>
      <c r="AS3398" s="34"/>
      <c r="AT3398" s="33"/>
      <c r="AV3398" s="21">
        <f>IF(AND($AL3398&lt;&gt;"",COUNTIF($AL$11:$AL3398,$AL3398)=1),1,0)</f>
        <v>0</v>
      </c>
      <c r="AW3398" s="21">
        <f t="shared" si="191"/>
        <v>2</v>
      </c>
      <c r="AX3398" s="21" t="str">
        <f t="shared" si="190"/>
        <v/>
      </c>
      <c r="AY3398" s="21" t="str">
        <f>IF(AND($AM3398&lt;&gt;"",$AS3398&lt;&gt;"✓"),SUMPRODUCT(($AM$11:$AM3398&lt;&gt;"")*($AS$11:$AS3398&lt;&gt;"✓")),"")</f>
        <v/>
      </c>
      <c r="AZ3398" s="21" t="str">
        <f>IF(AND($AM3398&lt;&gt;"",$AS3398="✓"),SUMPRODUCT(($AM$11:$AM3398&lt;&gt;"")*($AS$11:$AS3398="✓")),"")</f>
        <v/>
      </c>
      <c r="BA3398" s="21" t="str">
        <f>IF($AL3398="","",$AL3398&amp;"|"&amp;COUNTIF($AL$11:$AL3398,$AL3398))</f>
        <v/>
      </c>
    </row>
    <row r="3399" spans="38:53" ht="15" customHeight="1" x14ac:dyDescent="0.25">
      <c r="AL3399" s="17"/>
      <c r="AM3399" s="12"/>
      <c r="AN3399" s="18"/>
      <c r="AO3399" s="18"/>
      <c r="AP3399" s="10"/>
      <c r="AQ3399" s="10"/>
      <c r="AR3399" s="19"/>
      <c r="AS3399" s="20"/>
      <c r="AT3399" s="19"/>
      <c r="AV3399" s="21">
        <f>IF(AND($AL3399&lt;&gt;"",COUNTIF($AL$11:$AL3399,$AL3399)=1),1,0)</f>
        <v>0</v>
      </c>
      <c r="AW3399" s="21">
        <f t="shared" si="191"/>
        <v>2</v>
      </c>
      <c r="AX3399" s="21" t="str">
        <f t="shared" si="190"/>
        <v/>
      </c>
      <c r="AY3399" s="21" t="str">
        <f>IF(AND($AM3399&lt;&gt;"",$AS3399&lt;&gt;"✓"),SUMPRODUCT(($AM$11:$AM3399&lt;&gt;"")*($AS$11:$AS3399&lt;&gt;"✓")),"")</f>
        <v/>
      </c>
      <c r="AZ3399" s="21" t="str">
        <f>IF(AND($AM3399&lt;&gt;"",$AS3399="✓"),SUMPRODUCT(($AM$11:$AM3399&lt;&gt;"")*($AS$11:$AS3399="✓")),"")</f>
        <v/>
      </c>
      <c r="BA3399" s="21" t="str">
        <f>IF($AL3399="","",$AL3399&amp;"|"&amp;COUNTIF($AL$11:$AL3399,$AL3399))</f>
        <v/>
      </c>
    </row>
    <row r="3400" spans="38:53" ht="15" customHeight="1" x14ac:dyDescent="0.25">
      <c r="AL3400" s="31"/>
      <c r="AM3400" s="26"/>
      <c r="AN3400" s="32"/>
      <c r="AO3400" s="32"/>
      <c r="AP3400" s="24"/>
      <c r="AQ3400" s="24"/>
      <c r="AR3400" s="33"/>
      <c r="AS3400" s="34"/>
      <c r="AT3400" s="33"/>
      <c r="AV3400" s="21">
        <f>IF(AND($AL3400&lt;&gt;"",COUNTIF($AL$11:$AL3400,$AL3400)=1),1,0)</f>
        <v>0</v>
      </c>
      <c r="AW3400" s="21">
        <f t="shared" si="191"/>
        <v>2</v>
      </c>
      <c r="AX3400" s="21" t="str">
        <f t="shared" si="190"/>
        <v/>
      </c>
      <c r="AY3400" s="21" t="str">
        <f>IF(AND($AM3400&lt;&gt;"",$AS3400&lt;&gt;"✓"),SUMPRODUCT(($AM$11:$AM3400&lt;&gt;"")*($AS$11:$AS3400&lt;&gt;"✓")),"")</f>
        <v/>
      </c>
      <c r="AZ3400" s="21" t="str">
        <f>IF(AND($AM3400&lt;&gt;"",$AS3400="✓"),SUMPRODUCT(($AM$11:$AM3400&lt;&gt;"")*($AS$11:$AS3400="✓")),"")</f>
        <v/>
      </c>
      <c r="BA3400" s="21" t="str">
        <f>IF($AL3400="","",$AL3400&amp;"|"&amp;COUNTIF($AL$11:$AL3400,$AL3400))</f>
        <v/>
      </c>
    </row>
    <row r="3401" spans="38:53" ht="15" customHeight="1" x14ac:dyDescent="0.25">
      <c r="AL3401" s="17"/>
      <c r="AM3401" s="12"/>
      <c r="AN3401" s="18"/>
      <c r="AO3401" s="18"/>
      <c r="AP3401" s="10"/>
      <c r="AQ3401" s="10"/>
      <c r="AR3401" s="19"/>
      <c r="AS3401" s="20"/>
      <c r="AT3401" s="19"/>
      <c r="AV3401" s="21">
        <f>IF(AND($AL3401&lt;&gt;"",COUNTIF($AL$11:$AL3401,$AL3401)=1),1,0)</f>
        <v>0</v>
      </c>
      <c r="AW3401" s="21">
        <f t="shared" si="191"/>
        <v>2</v>
      </c>
      <c r="AX3401" s="21" t="str">
        <f t="shared" si="190"/>
        <v/>
      </c>
      <c r="AY3401" s="21" t="str">
        <f>IF(AND($AM3401&lt;&gt;"",$AS3401&lt;&gt;"✓"),SUMPRODUCT(($AM$11:$AM3401&lt;&gt;"")*($AS$11:$AS3401&lt;&gt;"✓")),"")</f>
        <v/>
      </c>
      <c r="AZ3401" s="21" t="str">
        <f>IF(AND($AM3401&lt;&gt;"",$AS3401="✓"),SUMPRODUCT(($AM$11:$AM3401&lt;&gt;"")*($AS$11:$AS3401="✓")),"")</f>
        <v/>
      </c>
      <c r="BA3401" s="21" t="str">
        <f>IF($AL3401="","",$AL3401&amp;"|"&amp;COUNTIF($AL$11:$AL3401,$AL3401))</f>
        <v/>
      </c>
    </row>
    <row r="3402" spans="38:53" ht="15" customHeight="1" x14ac:dyDescent="0.25">
      <c r="AL3402" s="31"/>
      <c r="AM3402" s="26"/>
      <c r="AN3402" s="32"/>
      <c r="AO3402" s="32"/>
      <c r="AP3402" s="24"/>
      <c r="AQ3402" s="24"/>
      <c r="AR3402" s="33"/>
      <c r="AS3402" s="34"/>
      <c r="AT3402" s="33"/>
      <c r="AV3402" s="21">
        <f>IF(AND($AL3402&lt;&gt;"",COUNTIF($AL$11:$AL3402,$AL3402)=1),1,0)</f>
        <v>0</v>
      </c>
      <c r="AW3402" s="21">
        <f t="shared" si="191"/>
        <v>2</v>
      </c>
      <c r="AX3402" s="21" t="str">
        <f t="shared" si="190"/>
        <v/>
      </c>
      <c r="AY3402" s="21" t="str">
        <f>IF(AND($AM3402&lt;&gt;"",$AS3402&lt;&gt;"✓"),SUMPRODUCT(($AM$11:$AM3402&lt;&gt;"")*($AS$11:$AS3402&lt;&gt;"✓")),"")</f>
        <v/>
      </c>
      <c r="AZ3402" s="21" t="str">
        <f>IF(AND($AM3402&lt;&gt;"",$AS3402="✓"),SUMPRODUCT(($AM$11:$AM3402&lt;&gt;"")*($AS$11:$AS3402="✓")),"")</f>
        <v/>
      </c>
      <c r="BA3402" s="21" t="str">
        <f>IF($AL3402="","",$AL3402&amp;"|"&amp;COUNTIF($AL$11:$AL3402,$AL3402))</f>
        <v/>
      </c>
    </row>
    <row r="3403" spans="38:53" ht="15" customHeight="1" x14ac:dyDescent="0.25">
      <c r="AL3403" s="17"/>
      <c r="AM3403" s="12"/>
      <c r="AN3403" s="18"/>
      <c r="AO3403" s="18"/>
      <c r="AP3403" s="10"/>
      <c r="AQ3403" s="10"/>
      <c r="AR3403" s="19"/>
      <c r="AS3403" s="20"/>
      <c r="AT3403" s="19"/>
      <c r="AV3403" s="21">
        <f>IF(AND($AL3403&lt;&gt;"",COUNTIF($AL$11:$AL3403,$AL3403)=1),1,0)</f>
        <v>0</v>
      </c>
      <c r="AW3403" s="21">
        <f t="shared" si="191"/>
        <v>2</v>
      </c>
      <c r="AX3403" s="21" t="str">
        <f t="shared" ref="AX3403:AX3466" si="192">IF(AV3403=1,AW3403,"")</f>
        <v/>
      </c>
      <c r="AY3403" s="21" t="str">
        <f>IF(AND($AM3403&lt;&gt;"",$AS3403&lt;&gt;"✓"),SUMPRODUCT(($AM$11:$AM3403&lt;&gt;"")*($AS$11:$AS3403&lt;&gt;"✓")),"")</f>
        <v/>
      </c>
      <c r="AZ3403" s="21" t="str">
        <f>IF(AND($AM3403&lt;&gt;"",$AS3403="✓"),SUMPRODUCT(($AM$11:$AM3403&lt;&gt;"")*($AS$11:$AS3403="✓")),"")</f>
        <v/>
      </c>
      <c r="BA3403" s="21" t="str">
        <f>IF($AL3403="","",$AL3403&amp;"|"&amp;COUNTIF($AL$11:$AL3403,$AL3403))</f>
        <v/>
      </c>
    </row>
    <row r="3404" spans="38:53" ht="15" customHeight="1" x14ac:dyDescent="0.25">
      <c r="AL3404" s="31"/>
      <c r="AM3404" s="26"/>
      <c r="AN3404" s="32"/>
      <c r="AO3404" s="32"/>
      <c r="AP3404" s="24"/>
      <c r="AQ3404" s="24"/>
      <c r="AR3404" s="33"/>
      <c r="AS3404" s="34"/>
      <c r="AT3404" s="33"/>
      <c r="AV3404" s="21">
        <f>IF(AND($AL3404&lt;&gt;"",COUNTIF($AL$11:$AL3404,$AL3404)=1),1,0)</f>
        <v>0</v>
      </c>
      <c r="AW3404" s="21">
        <f t="shared" ref="AW3404:AW3467" si="193">AW3403+AV3404</f>
        <v>2</v>
      </c>
      <c r="AX3404" s="21" t="str">
        <f t="shared" si="192"/>
        <v/>
      </c>
      <c r="AY3404" s="21" t="str">
        <f>IF(AND($AM3404&lt;&gt;"",$AS3404&lt;&gt;"✓"),SUMPRODUCT(($AM$11:$AM3404&lt;&gt;"")*($AS$11:$AS3404&lt;&gt;"✓")),"")</f>
        <v/>
      </c>
      <c r="AZ3404" s="21" t="str">
        <f>IF(AND($AM3404&lt;&gt;"",$AS3404="✓"),SUMPRODUCT(($AM$11:$AM3404&lt;&gt;"")*($AS$11:$AS3404="✓")),"")</f>
        <v/>
      </c>
      <c r="BA3404" s="21" t="str">
        <f>IF($AL3404="","",$AL3404&amp;"|"&amp;COUNTIF($AL$11:$AL3404,$AL3404))</f>
        <v/>
      </c>
    </row>
    <row r="3405" spans="38:53" ht="15" customHeight="1" x14ac:dyDescent="0.25">
      <c r="AL3405" s="17"/>
      <c r="AM3405" s="12"/>
      <c r="AN3405" s="18"/>
      <c r="AO3405" s="18"/>
      <c r="AP3405" s="10"/>
      <c r="AQ3405" s="10"/>
      <c r="AR3405" s="19"/>
      <c r="AS3405" s="20"/>
      <c r="AT3405" s="19"/>
      <c r="AV3405" s="21">
        <f>IF(AND($AL3405&lt;&gt;"",COUNTIF($AL$11:$AL3405,$AL3405)=1),1,0)</f>
        <v>0</v>
      </c>
      <c r="AW3405" s="21">
        <f t="shared" si="193"/>
        <v>2</v>
      </c>
      <c r="AX3405" s="21" t="str">
        <f t="shared" si="192"/>
        <v/>
      </c>
      <c r="AY3405" s="21" t="str">
        <f>IF(AND($AM3405&lt;&gt;"",$AS3405&lt;&gt;"✓"),SUMPRODUCT(($AM$11:$AM3405&lt;&gt;"")*($AS$11:$AS3405&lt;&gt;"✓")),"")</f>
        <v/>
      </c>
      <c r="AZ3405" s="21" t="str">
        <f>IF(AND($AM3405&lt;&gt;"",$AS3405="✓"),SUMPRODUCT(($AM$11:$AM3405&lt;&gt;"")*($AS$11:$AS3405="✓")),"")</f>
        <v/>
      </c>
      <c r="BA3405" s="21" t="str">
        <f>IF($AL3405="","",$AL3405&amp;"|"&amp;COUNTIF($AL$11:$AL3405,$AL3405))</f>
        <v/>
      </c>
    </row>
    <row r="3406" spans="38:53" ht="15" customHeight="1" x14ac:dyDescent="0.25">
      <c r="AL3406" s="31"/>
      <c r="AM3406" s="26"/>
      <c r="AN3406" s="32"/>
      <c r="AO3406" s="32"/>
      <c r="AP3406" s="24"/>
      <c r="AQ3406" s="24"/>
      <c r="AR3406" s="33"/>
      <c r="AS3406" s="34"/>
      <c r="AT3406" s="33"/>
      <c r="AV3406" s="21">
        <f>IF(AND($AL3406&lt;&gt;"",COUNTIF($AL$11:$AL3406,$AL3406)=1),1,0)</f>
        <v>0</v>
      </c>
      <c r="AW3406" s="21">
        <f t="shared" si="193"/>
        <v>2</v>
      </c>
      <c r="AX3406" s="21" t="str">
        <f t="shared" si="192"/>
        <v/>
      </c>
      <c r="AY3406" s="21" t="str">
        <f>IF(AND($AM3406&lt;&gt;"",$AS3406&lt;&gt;"✓"),SUMPRODUCT(($AM$11:$AM3406&lt;&gt;"")*($AS$11:$AS3406&lt;&gt;"✓")),"")</f>
        <v/>
      </c>
      <c r="AZ3406" s="21" t="str">
        <f>IF(AND($AM3406&lt;&gt;"",$AS3406="✓"),SUMPRODUCT(($AM$11:$AM3406&lt;&gt;"")*($AS$11:$AS3406="✓")),"")</f>
        <v/>
      </c>
      <c r="BA3406" s="21" t="str">
        <f>IF($AL3406="","",$AL3406&amp;"|"&amp;COUNTIF($AL$11:$AL3406,$AL3406))</f>
        <v/>
      </c>
    </row>
    <row r="3407" spans="38:53" ht="15" customHeight="1" x14ac:dyDescent="0.25">
      <c r="AL3407" s="17"/>
      <c r="AM3407" s="12"/>
      <c r="AN3407" s="18"/>
      <c r="AO3407" s="18"/>
      <c r="AP3407" s="10"/>
      <c r="AQ3407" s="10"/>
      <c r="AR3407" s="19"/>
      <c r="AS3407" s="20"/>
      <c r="AT3407" s="19"/>
      <c r="AV3407" s="21">
        <f>IF(AND($AL3407&lt;&gt;"",COUNTIF($AL$11:$AL3407,$AL3407)=1),1,0)</f>
        <v>0</v>
      </c>
      <c r="AW3407" s="21">
        <f t="shared" si="193"/>
        <v>2</v>
      </c>
      <c r="AX3407" s="21" t="str">
        <f t="shared" si="192"/>
        <v/>
      </c>
      <c r="AY3407" s="21" t="str">
        <f>IF(AND($AM3407&lt;&gt;"",$AS3407&lt;&gt;"✓"),SUMPRODUCT(($AM$11:$AM3407&lt;&gt;"")*($AS$11:$AS3407&lt;&gt;"✓")),"")</f>
        <v/>
      </c>
      <c r="AZ3407" s="21" t="str">
        <f>IF(AND($AM3407&lt;&gt;"",$AS3407="✓"),SUMPRODUCT(($AM$11:$AM3407&lt;&gt;"")*($AS$11:$AS3407="✓")),"")</f>
        <v/>
      </c>
      <c r="BA3407" s="21" t="str">
        <f>IF($AL3407="","",$AL3407&amp;"|"&amp;COUNTIF($AL$11:$AL3407,$AL3407))</f>
        <v/>
      </c>
    </row>
    <row r="3408" spans="38:53" ht="15" customHeight="1" x14ac:dyDescent="0.25">
      <c r="AL3408" s="31"/>
      <c r="AM3408" s="26"/>
      <c r="AN3408" s="32"/>
      <c r="AO3408" s="32"/>
      <c r="AP3408" s="24"/>
      <c r="AQ3408" s="24"/>
      <c r="AR3408" s="33"/>
      <c r="AS3408" s="34"/>
      <c r="AT3408" s="33"/>
      <c r="AV3408" s="21">
        <f>IF(AND($AL3408&lt;&gt;"",COUNTIF($AL$11:$AL3408,$AL3408)=1),1,0)</f>
        <v>0</v>
      </c>
      <c r="AW3408" s="21">
        <f t="shared" si="193"/>
        <v>2</v>
      </c>
      <c r="AX3408" s="21" t="str">
        <f t="shared" si="192"/>
        <v/>
      </c>
      <c r="AY3408" s="21" t="str">
        <f>IF(AND($AM3408&lt;&gt;"",$AS3408&lt;&gt;"✓"),SUMPRODUCT(($AM$11:$AM3408&lt;&gt;"")*($AS$11:$AS3408&lt;&gt;"✓")),"")</f>
        <v/>
      </c>
      <c r="AZ3408" s="21" t="str">
        <f>IF(AND($AM3408&lt;&gt;"",$AS3408="✓"),SUMPRODUCT(($AM$11:$AM3408&lt;&gt;"")*($AS$11:$AS3408="✓")),"")</f>
        <v/>
      </c>
      <c r="BA3408" s="21" t="str">
        <f>IF($AL3408="","",$AL3408&amp;"|"&amp;COUNTIF($AL$11:$AL3408,$AL3408))</f>
        <v/>
      </c>
    </row>
    <row r="3409" spans="38:53" ht="15" customHeight="1" x14ac:dyDescent="0.25">
      <c r="AL3409" s="17"/>
      <c r="AM3409" s="12"/>
      <c r="AN3409" s="18"/>
      <c r="AO3409" s="18"/>
      <c r="AP3409" s="10"/>
      <c r="AQ3409" s="10"/>
      <c r="AR3409" s="19"/>
      <c r="AS3409" s="20"/>
      <c r="AT3409" s="19"/>
      <c r="AV3409" s="21">
        <f>IF(AND($AL3409&lt;&gt;"",COUNTIF($AL$11:$AL3409,$AL3409)=1),1,0)</f>
        <v>0</v>
      </c>
      <c r="AW3409" s="21">
        <f t="shared" si="193"/>
        <v>2</v>
      </c>
      <c r="AX3409" s="21" t="str">
        <f t="shared" si="192"/>
        <v/>
      </c>
      <c r="AY3409" s="21" t="str">
        <f>IF(AND($AM3409&lt;&gt;"",$AS3409&lt;&gt;"✓"),SUMPRODUCT(($AM$11:$AM3409&lt;&gt;"")*($AS$11:$AS3409&lt;&gt;"✓")),"")</f>
        <v/>
      </c>
      <c r="AZ3409" s="21" t="str">
        <f>IF(AND($AM3409&lt;&gt;"",$AS3409="✓"),SUMPRODUCT(($AM$11:$AM3409&lt;&gt;"")*($AS$11:$AS3409="✓")),"")</f>
        <v/>
      </c>
      <c r="BA3409" s="21" t="str">
        <f>IF($AL3409="","",$AL3409&amp;"|"&amp;COUNTIF($AL$11:$AL3409,$AL3409))</f>
        <v/>
      </c>
    </row>
    <row r="3410" spans="38:53" ht="15" customHeight="1" x14ac:dyDescent="0.25">
      <c r="AL3410" s="31"/>
      <c r="AM3410" s="26"/>
      <c r="AN3410" s="32"/>
      <c r="AO3410" s="32"/>
      <c r="AP3410" s="24"/>
      <c r="AQ3410" s="24"/>
      <c r="AR3410" s="33"/>
      <c r="AS3410" s="34"/>
      <c r="AT3410" s="33"/>
      <c r="AV3410" s="21">
        <f>IF(AND($AL3410&lt;&gt;"",COUNTIF($AL$11:$AL3410,$AL3410)=1),1,0)</f>
        <v>0</v>
      </c>
      <c r="AW3410" s="21">
        <f t="shared" si="193"/>
        <v>2</v>
      </c>
      <c r="AX3410" s="21" t="str">
        <f t="shared" si="192"/>
        <v/>
      </c>
      <c r="AY3410" s="21" t="str">
        <f>IF(AND($AM3410&lt;&gt;"",$AS3410&lt;&gt;"✓"),SUMPRODUCT(($AM$11:$AM3410&lt;&gt;"")*($AS$11:$AS3410&lt;&gt;"✓")),"")</f>
        <v/>
      </c>
      <c r="AZ3410" s="21" t="str">
        <f>IF(AND($AM3410&lt;&gt;"",$AS3410="✓"),SUMPRODUCT(($AM$11:$AM3410&lt;&gt;"")*($AS$11:$AS3410="✓")),"")</f>
        <v/>
      </c>
      <c r="BA3410" s="21" t="str">
        <f>IF($AL3410="","",$AL3410&amp;"|"&amp;COUNTIF($AL$11:$AL3410,$AL3410))</f>
        <v/>
      </c>
    </row>
    <row r="3411" spans="38:53" ht="15" customHeight="1" x14ac:dyDescent="0.25">
      <c r="AL3411" s="17"/>
      <c r="AM3411" s="12"/>
      <c r="AN3411" s="18"/>
      <c r="AO3411" s="18"/>
      <c r="AP3411" s="10"/>
      <c r="AQ3411" s="10"/>
      <c r="AR3411" s="19"/>
      <c r="AS3411" s="20"/>
      <c r="AT3411" s="19"/>
      <c r="AV3411" s="21">
        <f>IF(AND($AL3411&lt;&gt;"",COUNTIF($AL$11:$AL3411,$AL3411)=1),1,0)</f>
        <v>0</v>
      </c>
      <c r="AW3411" s="21">
        <f t="shared" si="193"/>
        <v>2</v>
      </c>
      <c r="AX3411" s="21" t="str">
        <f t="shared" si="192"/>
        <v/>
      </c>
      <c r="AY3411" s="21" t="str">
        <f>IF(AND($AM3411&lt;&gt;"",$AS3411&lt;&gt;"✓"),SUMPRODUCT(($AM$11:$AM3411&lt;&gt;"")*($AS$11:$AS3411&lt;&gt;"✓")),"")</f>
        <v/>
      </c>
      <c r="AZ3411" s="21" t="str">
        <f>IF(AND($AM3411&lt;&gt;"",$AS3411="✓"),SUMPRODUCT(($AM$11:$AM3411&lt;&gt;"")*($AS$11:$AS3411="✓")),"")</f>
        <v/>
      </c>
      <c r="BA3411" s="21" t="str">
        <f>IF($AL3411="","",$AL3411&amp;"|"&amp;COUNTIF($AL$11:$AL3411,$AL3411))</f>
        <v/>
      </c>
    </row>
    <row r="3412" spans="38:53" ht="15" customHeight="1" x14ac:dyDescent="0.25">
      <c r="AL3412" s="31"/>
      <c r="AM3412" s="26"/>
      <c r="AN3412" s="32"/>
      <c r="AO3412" s="32"/>
      <c r="AP3412" s="24"/>
      <c r="AQ3412" s="24"/>
      <c r="AR3412" s="33"/>
      <c r="AS3412" s="34"/>
      <c r="AT3412" s="33"/>
      <c r="AV3412" s="21">
        <f>IF(AND($AL3412&lt;&gt;"",COUNTIF($AL$11:$AL3412,$AL3412)=1),1,0)</f>
        <v>0</v>
      </c>
      <c r="AW3412" s="21">
        <f t="shared" si="193"/>
        <v>2</v>
      </c>
      <c r="AX3412" s="21" t="str">
        <f t="shared" si="192"/>
        <v/>
      </c>
      <c r="AY3412" s="21" t="str">
        <f>IF(AND($AM3412&lt;&gt;"",$AS3412&lt;&gt;"✓"),SUMPRODUCT(($AM$11:$AM3412&lt;&gt;"")*($AS$11:$AS3412&lt;&gt;"✓")),"")</f>
        <v/>
      </c>
      <c r="AZ3412" s="21" t="str">
        <f>IF(AND($AM3412&lt;&gt;"",$AS3412="✓"),SUMPRODUCT(($AM$11:$AM3412&lt;&gt;"")*($AS$11:$AS3412="✓")),"")</f>
        <v/>
      </c>
      <c r="BA3412" s="21" t="str">
        <f>IF($AL3412="","",$AL3412&amp;"|"&amp;COUNTIF($AL$11:$AL3412,$AL3412))</f>
        <v/>
      </c>
    </row>
    <row r="3413" spans="38:53" ht="15" customHeight="1" x14ac:dyDescent="0.25">
      <c r="AL3413" s="17"/>
      <c r="AM3413" s="12"/>
      <c r="AN3413" s="18"/>
      <c r="AO3413" s="18"/>
      <c r="AP3413" s="10"/>
      <c r="AQ3413" s="10"/>
      <c r="AR3413" s="19"/>
      <c r="AS3413" s="20"/>
      <c r="AT3413" s="19"/>
      <c r="AV3413" s="21">
        <f>IF(AND($AL3413&lt;&gt;"",COUNTIF($AL$11:$AL3413,$AL3413)=1),1,0)</f>
        <v>0</v>
      </c>
      <c r="AW3413" s="21">
        <f t="shared" si="193"/>
        <v>2</v>
      </c>
      <c r="AX3413" s="21" t="str">
        <f t="shared" si="192"/>
        <v/>
      </c>
      <c r="AY3413" s="21" t="str">
        <f>IF(AND($AM3413&lt;&gt;"",$AS3413&lt;&gt;"✓"),SUMPRODUCT(($AM$11:$AM3413&lt;&gt;"")*($AS$11:$AS3413&lt;&gt;"✓")),"")</f>
        <v/>
      </c>
      <c r="AZ3413" s="21" t="str">
        <f>IF(AND($AM3413&lt;&gt;"",$AS3413="✓"),SUMPRODUCT(($AM$11:$AM3413&lt;&gt;"")*($AS$11:$AS3413="✓")),"")</f>
        <v/>
      </c>
      <c r="BA3413" s="21" t="str">
        <f>IF($AL3413="","",$AL3413&amp;"|"&amp;COUNTIF($AL$11:$AL3413,$AL3413))</f>
        <v/>
      </c>
    </row>
    <row r="3414" spans="38:53" ht="15" customHeight="1" x14ac:dyDescent="0.25">
      <c r="AL3414" s="31"/>
      <c r="AM3414" s="26"/>
      <c r="AN3414" s="32"/>
      <c r="AO3414" s="32"/>
      <c r="AP3414" s="24"/>
      <c r="AQ3414" s="24"/>
      <c r="AR3414" s="33"/>
      <c r="AS3414" s="34"/>
      <c r="AT3414" s="33"/>
      <c r="AV3414" s="21">
        <f>IF(AND($AL3414&lt;&gt;"",COUNTIF($AL$11:$AL3414,$AL3414)=1),1,0)</f>
        <v>0</v>
      </c>
      <c r="AW3414" s="21">
        <f t="shared" si="193"/>
        <v>2</v>
      </c>
      <c r="AX3414" s="21" t="str">
        <f t="shared" si="192"/>
        <v/>
      </c>
      <c r="AY3414" s="21" t="str">
        <f>IF(AND($AM3414&lt;&gt;"",$AS3414&lt;&gt;"✓"),SUMPRODUCT(($AM$11:$AM3414&lt;&gt;"")*($AS$11:$AS3414&lt;&gt;"✓")),"")</f>
        <v/>
      </c>
      <c r="AZ3414" s="21" t="str">
        <f>IF(AND($AM3414&lt;&gt;"",$AS3414="✓"),SUMPRODUCT(($AM$11:$AM3414&lt;&gt;"")*($AS$11:$AS3414="✓")),"")</f>
        <v/>
      </c>
      <c r="BA3414" s="21" t="str">
        <f>IF($AL3414="","",$AL3414&amp;"|"&amp;COUNTIF($AL$11:$AL3414,$AL3414))</f>
        <v/>
      </c>
    </row>
    <row r="3415" spans="38:53" ht="15" customHeight="1" x14ac:dyDescent="0.25">
      <c r="AL3415" s="17"/>
      <c r="AM3415" s="12"/>
      <c r="AN3415" s="18"/>
      <c r="AO3415" s="18"/>
      <c r="AP3415" s="10"/>
      <c r="AQ3415" s="10"/>
      <c r="AR3415" s="19"/>
      <c r="AS3415" s="20"/>
      <c r="AT3415" s="19"/>
      <c r="AV3415" s="21">
        <f>IF(AND($AL3415&lt;&gt;"",COUNTIF($AL$11:$AL3415,$AL3415)=1),1,0)</f>
        <v>0</v>
      </c>
      <c r="AW3415" s="21">
        <f t="shared" si="193"/>
        <v>2</v>
      </c>
      <c r="AX3415" s="21" t="str">
        <f t="shared" si="192"/>
        <v/>
      </c>
      <c r="AY3415" s="21" t="str">
        <f>IF(AND($AM3415&lt;&gt;"",$AS3415&lt;&gt;"✓"),SUMPRODUCT(($AM$11:$AM3415&lt;&gt;"")*($AS$11:$AS3415&lt;&gt;"✓")),"")</f>
        <v/>
      </c>
      <c r="AZ3415" s="21" t="str">
        <f>IF(AND($AM3415&lt;&gt;"",$AS3415="✓"),SUMPRODUCT(($AM$11:$AM3415&lt;&gt;"")*($AS$11:$AS3415="✓")),"")</f>
        <v/>
      </c>
      <c r="BA3415" s="21" t="str">
        <f>IF($AL3415="","",$AL3415&amp;"|"&amp;COUNTIF($AL$11:$AL3415,$AL3415))</f>
        <v/>
      </c>
    </row>
    <row r="3416" spans="38:53" ht="15" customHeight="1" x14ac:dyDescent="0.25">
      <c r="AL3416" s="31"/>
      <c r="AM3416" s="26"/>
      <c r="AN3416" s="32"/>
      <c r="AO3416" s="32"/>
      <c r="AP3416" s="24"/>
      <c r="AQ3416" s="24"/>
      <c r="AR3416" s="33"/>
      <c r="AS3416" s="34"/>
      <c r="AT3416" s="33"/>
      <c r="AV3416" s="21">
        <f>IF(AND($AL3416&lt;&gt;"",COUNTIF($AL$11:$AL3416,$AL3416)=1),1,0)</f>
        <v>0</v>
      </c>
      <c r="AW3416" s="21">
        <f t="shared" si="193"/>
        <v>2</v>
      </c>
      <c r="AX3416" s="21" t="str">
        <f t="shared" si="192"/>
        <v/>
      </c>
      <c r="AY3416" s="21" t="str">
        <f>IF(AND($AM3416&lt;&gt;"",$AS3416&lt;&gt;"✓"),SUMPRODUCT(($AM$11:$AM3416&lt;&gt;"")*($AS$11:$AS3416&lt;&gt;"✓")),"")</f>
        <v/>
      </c>
      <c r="AZ3416" s="21" t="str">
        <f>IF(AND($AM3416&lt;&gt;"",$AS3416="✓"),SUMPRODUCT(($AM$11:$AM3416&lt;&gt;"")*($AS$11:$AS3416="✓")),"")</f>
        <v/>
      </c>
      <c r="BA3416" s="21" t="str">
        <f>IF($AL3416="","",$AL3416&amp;"|"&amp;COUNTIF($AL$11:$AL3416,$AL3416))</f>
        <v/>
      </c>
    </row>
    <row r="3417" spans="38:53" ht="15" customHeight="1" x14ac:dyDescent="0.25">
      <c r="AL3417" s="17"/>
      <c r="AM3417" s="12"/>
      <c r="AN3417" s="18"/>
      <c r="AO3417" s="18"/>
      <c r="AP3417" s="10"/>
      <c r="AQ3417" s="10"/>
      <c r="AR3417" s="19"/>
      <c r="AS3417" s="20"/>
      <c r="AT3417" s="19"/>
      <c r="AV3417" s="21">
        <f>IF(AND($AL3417&lt;&gt;"",COUNTIF($AL$11:$AL3417,$AL3417)=1),1,0)</f>
        <v>0</v>
      </c>
      <c r="AW3417" s="21">
        <f t="shared" si="193"/>
        <v>2</v>
      </c>
      <c r="AX3417" s="21" t="str">
        <f t="shared" si="192"/>
        <v/>
      </c>
      <c r="AY3417" s="21" t="str">
        <f>IF(AND($AM3417&lt;&gt;"",$AS3417&lt;&gt;"✓"),SUMPRODUCT(($AM$11:$AM3417&lt;&gt;"")*($AS$11:$AS3417&lt;&gt;"✓")),"")</f>
        <v/>
      </c>
      <c r="AZ3417" s="21" t="str">
        <f>IF(AND($AM3417&lt;&gt;"",$AS3417="✓"),SUMPRODUCT(($AM$11:$AM3417&lt;&gt;"")*($AS$11:$AS3417="✓")),"")</f>
        <v/>
      </c>
      <c r="BA3417" s="21" t="str">
        <f>IF($AL3417="","",$AL3417&amp;"|"&amp;COUNTIF($AL$11:$AL3417,$AL3417))</f>
        <v/>
      </c>
    </row>
    <row r="3418" spans="38:53" ht="15" customHeight="1" x14ac:dyDescent="0.25">
      <c r="AL3418" s="31"/>
      <c r="AM3418" s="26"/>
      <c r="AN3418" s="32"/>
      <c r="AO3418" s="32"/>
      <c r="AP3418" s="24"/>
      <c r="AQ3418" s="24"/>
      <c r="AR3418" s="33"/>
      <c r="AS3418" s="34"/>
      <c r="AT3418" s="33"/>
      <c r="AV3418" s="21">
        <f>IF(AND($AL3418&lt;&gt;"",COUNTIF($AL$11:$AL3418,$AL3418)=1),1,0)</f>
        <v>0</v>
      </c>
      <c r="AW3418" s="21">
        <f t="shared" si="193"/>
        <v>2</v>
      </c>
      <c r="AX3418" s="21" t="str">
        <f t="shared" si="192"/>
        <v/>
      </c>
      <c r="AY3418" s="21" t="str">
        <f>IF(AND($AM3418&lt;&gt;"",$AS3418&lt;&gt;"✓"),SUMPRODUCT(($AM$11:$AM3418&lt;&gt;"")*($AS$11:$AS3418&lt;&gt;"✓")),"")</f>
        <v/>
      </c>
      <c r="AZ3418" s="21" t="str">
        <f>IF(AND($AM3418&lt;&gt;"",$AS3418="✓"),SUMPRODUCT(($AM$11:$AM3418&lt;&gt;"")*($AS$11:$AS3418="✓")),"")</f>
        <v/>
      </c>
      <c r="BA3418" s="21" t="str">
        <f>IF($AL3418="","",$AL3418&amp;"|"&amp;COUNTIF($AL$11:$AL3418,$AL3418))</f>
        <v/>
      </c>
    </row>
    <row r="3419" spans="38:53" ht="15" customHeight="1" x14ac:dyDescent="0.25">
      <c r="AL3419" s="17"/>
      <c r="AM3419" s="12"/>
      <c r="AN3419" s="18"/>
      <c r="AO3419" s="18"/>
      <c r="AP3419" s="10"/>
      <c r="AQ3419" s="10"/>
      <c r="AR3419" s="19"/>
      <c r="AS3419" s="20"/>
      <c r="AT3419" s="19"/>
      <c r="AV3419" s="21">
        <f>IF(AND($AL3419&lt;&gt;"",COUNTIF($AL$11:$AL3419,$AL3419)=1),1,0)</f>
        <v>0</v>
      </c>
      <c r="AW3419" s="21">
        <f t="shared" si="193"/>
        <v>2</v>
      </c>
      <c r="AX3419" s="21" t="str">
        <f t="shared" si="192"/>
        <v/>
      </c>
      <c r="AY3419" s="21" t="str">
        <f>IF(AND($AM3419&lt;&gt;"",$AS3419&lt;&gt;"✓"),SUMPRODUCT(($AM$11:$AM3419&lt;&gt;"")*($AS$11:$AS3419&lt;&gt;"✓")),"")</f>
        <v/>
      </c>
      <c r="AZ3419" s="21" t="str">
        <f>IF(AND($AM3419&lt;&gt;"",$AS3419="✓"),SUMPRODUCT(($AM$11:$AM3419&lt;&gt;"")*($AS$11:$AS3419="✓")),"")</f>
        <v/>
      </c>
      <c r="BA3419" s="21" t="str">
        <f>IF($AL3419="","",$AL3419&amp;"|"&amp;COUNTIF($AL$11:$AL3419,$AL3419))</f>
        <v/>
      </c>
    </row>
    <row r="3420" spans="38:53" ht="15" customHeight="1" x14ac:dyDescent="0.25">
      <c r="AL3420" s="31"/>
      <c r="AM3420" s="26"/>
      <c r="AN3420" s="32"/>
      <c r="AO3420" s="32"/>
      <c r="AP3420" s="24"/>
      <c r="AQ3420" s="24"/>
      <c r="AR3420" s="33"/>
      <c r="AS3420" s="34"/>
      <c r="AT3420" s="33"/>
      <c r="AV3420" s="21">
        <f>IF(AND($AL3420&lt;&gt;"",COUNTIF($AL$11:$AL3420,$AL3420)=1),1,0)</f>
        <v>0</v>
      </c>
      <c r="AW3420" s="21">
        <f t="shared" si="193"/>
        <v>2</v>
      </c>
      <c r="AX3420" s="21" t="str">
        <f t="shared" si="192"/>
        <v/>
      </c>
      <c r="AY3420" s="21" t="str">
        <f>IF(AND($AM3420&lt;&gt;"",$AS3420&lt;&gt;"✓"),SUMPRODUCT(($AM$11:$AM3420&lt;&gt;"")*($AS$11:$AS3420&lt;&gt;"✓")),"")</f>
        <v/>
      </c>
      <c r="AZ3420" s="21" t="str">
        <f>IF(AND($AM3420&lt;&gt;"",$AS3420="✓"),SUMPRODUCT(($AM$11:$AM3420&lt;&gt;"")*($AS$11:$AS3420="✓")),"")</f>
        <v/>
      </c>
      <c r="BA3420" s="21" t="str">
        <f>IF($AL3420="","",$AL3420&amp;"|"&amp;COUNTIF($AL$11:$AL3420,$AL3420))</f>
        <v/>
      </c>
    </row>
    <row r="3421" spans="38:53" ht="15" customHeight="1" x14ac:dyDescent="0.25">
      <c r="AL3421" s="17"/>
      <c r="AM3421" s="12"/>
      <c r="AN3421" s="18"/>
      <c r="AO3421" s="18"/>
      <c r="AP3421" s="10"/>
      <c r="AQ3421" s="10"/>
      <c r="AR3421" s="19"/>
      <c r="AS3421" s="20"/>
      <c r="AT3421" s="19"/>
      <c r="AV3421" s="21">
        <f>IF(AND($AL3421&lt;&gt;"",COUNTIF($AL$11:$AL3421,$AL3421)=1),1,0)</f>
        <v>0</v>
      </c>
      <c r="AW3421" s="21">
        <f t="shared" si="193"/>
        <v>2</v>
      </c>
      <c r="AX3421" s="21" t="str">
        <f t="shared" si="192"/>
        <v/>
      </c>
      <c r="AY3421" s="21" t="str">
        <f>IF(AND($AM3421&lt;&gt;"",$AS3421&lt;&gt;"✓"),SUMPRODUCT(($AM$11:$AM3421&lt;&gt;"")*($AS$11:$AS3421&lt;&gt;"✓")),"")</f>
        <v/>
      </c>
      <c r="AZ3421" s="21" t="str">
        <f>IF(AND($AM3421&lt;&gt;"",$AS3421="✓"),SUMPRODUCT(($AM$11:$AM3421&lt;&gt;"")*($AS$11:$AS3421="✓")),"")</f>
        <v/>
      </c>
      <c r="BA3421" s="21" t="str">
        <f>IF($AL3421="","",$AL3421&amp;"|"&amp;COUNTIF($AL$11:$AL3421,$AL3421))</f>
        <v/>
      </c>
    </row>
    <row r="3422" spans="38:53" ht="15" customHeight="1" x14ac:dyDescent="0.25">
      <c r="AL3422" s="31"/>
      <c r="AM3422" s="26"/>
      <c r="AN3422" s="32"/>
      <c r="AO3422" s="32"/>
      <c r="AP3422" s="24"/>
      <c r="AQ3422" s="24"/>
      <c r="AR3422" s="33"/>
      <c r="AS3422" s="34"/>
      <c r="AT3422" s="33"/>
      <c r="AV3422" s="21">
        <f>IF(AND($AL3422&lt;&gt;"",COUNTIF($AL$11:$AL3422,$AL3422)=1),1,0)</f>
        <v>0</v>
      </c>
      <c r="AW3422" s="21">
        <f t="shared" si="193"/>
        <v>2</v>
      </c>
      <c r="AX3422" s="21" t="str">
        <f t="shared" si="192"/>
        <v/>
      </c>
      <c r="AY3422" s="21" t="str">
        <f>IF(AND($AM3422&lt;&gt;"",$AS3422&lt;&gt;"✓"),SUMPRODUCT(($AM$11:$AM3422&lt;&gt;"")*($AS$11:$AS3422&lt;&gt;"✓")),"")</f>
        <v/>
      </c>
      <c r="AZ3422" s="21" t="str">
        <f>IF(AND($AM3422&lt;&gt;"",$AS3422="✓"),SUMPRODUCT(($AM$11:$AM3422&lt;&gt;"")*($AS$11:$AS3422="✓")),"")</f>
        <v/>
      </c>
      <c r="BA3422" s="21" t="str">
        <f>IF($AL3422="","",$AL3422&amp;"|"&amp;COUNTIF($AL$11:$AL3422,$AL3422))</f>
        <v/>
      </c>
    </row>
    <row r="3423" spans="38:53" ht="15" customHeight="1" x14ac:dyDescent="0.25">
      <c r="AL3423" s="17"/>
      <c r="AM3423" s="12"/>
      <c r="AN3423" s="18"/>
      <c r="AO3423" s="18"/>
      <c r="AP3423" s="10"/>
      <c r="AQ3423" s="10"/>
      <c r="AR3423" s="19"/>
      <c r="AS3423" s="20"/>
      <c r="AT3423" s="19"/>
      <c r="AV3423" s="21">
        <f>IF(AND($AL3423&lt;&gt;"",COUNTIF($AL$11:$AL3423,$AL3423)=1),1,0)</f>
        <v>0</v>
      </c>
      <c r="AW3423" s="21">
        <f t="shared" si="193"/>
        <v>2</v>
      </c>
      <c r="AX3423" s="21" t="str">
        <f t="shared" si="192"/>
        <v/>
      </c>
      <c r="AY3423" s="21" t="str">
        <f>IF(AND($AM3423&lt;&gt;"",$AS3423&lt;&gt;"✓"),SUMPRODUCT(($AM$11:$AM3423&lt;&gt;"")*($AS$11:$AS3423&lt;&gt;"✓")),"")</f>
        <v/>
      </c>
      <c r="AZ3423" s="21" t="str">
        <f>IF(AND($AM3423&lt;&gt;"",$AS3423="✓"),SUMPRODUCT(($AM$11:$AM3423&lt;&gt;"")*($AS$11:$AS3423="✓")),"")</f>
        <v/>
      </c>
      <c r="BA3423" s="21" t="str">
        <f>IF($AL3423="","",$AL3423&amp;"|"&amp;COUNTIF($AL$11:$AL3423,$AL3423))</f>
        <v/>
      </c>
    </row>
    <row r="3424" spans="38:53" ht="15" customHeight="1" x14ac:dyDescent="0.25">
      <c r="AL3424" s="31"/>
      <c r="AM3424" s="26"/>
      <c r="AN3424" s="32"/>
      <c r="AO3424" s="32"/>
      <c r="AP3424" s="24"/>
      <c r="AQ3424" s="24"/>
      <c r="AR3424" s="33"/>
      <c r="AS3424" s="34"/>
      <c r="AT3424" s="33"/>
      <c r="AV3424" s="21">
        <f>IF(AND($AL3424&lt;&gt;"",COUNTIF($AL$11:$AL3424,$AL3424)=1),1,0)</f>
        <v>0</v>
      </c>
      <c r="AW3424" s="21">
        <f t="shared" si="193"/>
        <v>2</v>
      </c>
      <c r="AX3424" s="21" t="str">
        <f t="shared" si="192"/>
        <v/>
      </c>
      <c r="AY3424" s="21" t="str">
        <f>IF(AND($AM3424&lt;&gt;"",$AS3424&lt;&gt;"✓"),SUMPRODUCT(($AM$11:$AM3424&lt;&gt;"")*($AS$11:$AS3424&lt;&gt;"✓")),"")</f>
        <v/>
      </c>
      <c r="AZ3424" s="21" t="str">
        <f>IF(AND($AM3424&lt;&gt;"",$AS3424="✓"),SUMPRODUCT(($AM$11:$AM3424&lt;&gt;"")*($AS$11:$AS3424="✓")),"")</f>
        <v/>
      </c>
      <c r="BA3424" s="21" t="str">
        <f>IF($AL3424="","",$AL3424&amp;"|"&amp;COUNTIF($AL$11:$AL3424,$AL3424))</f>
        <v/>
      </c>
    </row>
    <row r="3425" spans="38:53" ht="15" customHeight="1" x14ac:dyDescent="0.25">
      <c r="AL3425" s="17"/>
      <c r="AM3425" s="12"/>
      <c r="AN3425" s="18"/>
      <c r="AO3425" s="18"/>
      <c r="AP3425" s="10"/>
      <c r="AQ3425" s="10"/>
      <c r="AR3425" s="19"/>
      <c r="AS3425" s="20"/>
      <c r="AT3425" s="19"/>
      <c r="AV3425" s="21">
        <f>IF(AND($AL3425&lt;&gt;"",COUNTIF($AL$11:$AL3425,$AL3425)=1),1,0)</f>
        <v>0</v>
      </c>
      <c r="AW3425" s="21">
        <f t="shared" si="193"/>
        <v>2</v>
      </c>
      <c r="AX3425" s="21" t="str">
        <f t="shared" si="192"/>
        <v/>
      </c>
      <c r="AY3425" s="21" t="str">
        <f>IF(AND($AM3425&lt;&gt;"",$AS3425&lt;&gt;"✓"),SUMPRODUCT(($AM$11:$AM3425&lt;&gt;"")*($AS$11:$AS3425&lt;&gt;"✓")),"")</f>
        <v/>
      </c>
      <c r="AZ3425" s="21" t="str">
        <f>IF(AND($AM3425&lt;&gt;"",$AS3425="✓"),SUMPRODUCT(($AM$11:$AM3425&lt;&gt;"")*($AS$11:$AS3425="✓")),"")</f>
        <v/>
      </c>
      <c r="BA3425" s="21" t="str">
        <f>IF($AL3425="","",$AL3425&amp;"|"&amp;COUNTIF($AL$11:$AL3425,$AL3425))</f>
        <v/>
      </c>
    </row>
    <row r="3426" spans="38:53" ht="15" customHeight="1" x14ac:dyDescent="0.25">
      <c r="AL3426" s="31"/>
      <c r="AM3426" s="26"/>
      <c r="AN3426" s="32"/>
      <c r="AO3426" s="32"/>
      <c r="AP3426" s="24"/>
      <c r="AQ3426" s="24"/>
      <c r="AR3426" s="33"/>
      <c r="AS3426" s="34"/>
      <c r="AT3426" s="33"/>
      <c r="AV3426" s="21">
        <f>IF(AND($AL3426&lt;&gt;"",COUNTIF($AL$11:$AL3426,$AL3426)=1),1,0)</f>
        <v>0</v>
      </c>
      <c r="AW3426" s="21">
        <f t="shared" si="193"/>
        <v>2</v>
      </c>
      <c r="AX3426" s="21" t="str">
        <f t="shared" si="192"/>
        <v/>
      </c>
      <c r="AY3426" s="21" t="str">
        <f>IF(AND($AM3426&lt;&gt;"",$AS3426&lt;&gt;"✓"),SUMPRODUCT(($AM$11:$AM3426&lt;&gt;"")*($AS$11:$AS3426&lt;&gt;"✓")),"")</f>
        <v/>
      </c>
      <c r="AZ3426" s="21" t="str">
        <f>IF(AND($AM3426&lt;&gt;"",$AS3426="✓"),SUMPRODUCT(($AM$11:$AM3426&lt;&gt;"")*($AS$11:$AS3426="✓")),"")</f>
        <v/>
      </c>
      <c r="BA3426" s="21" t="str">
        <f>IF($AL3426="","",$AL3426&amp;"|"&amp;COUNTIF($AL$11:$AL3426,$AL3426))</f>
        <v/>
      </c>
    </row>
    <row r="3427" spans="38:53" ht="15" customHeight="1" x14ac:dyDescent="0.25">
      <c r="AL3427" s="17"/>
      <c r="AM3427" s="12"/>
      <c r="AN3427" s="18"/>
      <c r="AO3427" s="18"/>
      <c r="AP3427" s="10"/>
      <c r="AQ3427" s="10"/>
      <c r="AR3427" s="19"/>
      <c r="AS3427" s="20"/>
      <c r="AT3427" s="19"/>
      <c r="AV3427" s="21">
        <f>IF(AND($AL3427&lt;&gt;"",COUNTIF($AL$11:$AL3427,$AL3427)=1),1,0)</f>
        <v>0</v>
      </c>
      <c r="AW3427" s="21">
        <f t="shared" si="193"/>
        <v>2</v>
      </c>
      <c r="AX3427" s="21" t="str">
        <f t="shared" si="192"/>
        <v/>
      </c>
      <c r="AY3427" s="21" t="str">
        <f>IF(AND($AM3427&lt;&gt;"",$AS3427&lt;&gt;"✓"),SUMPRODUCT(($AM$11:$AM3427&lt;&gt;"")*($AS$11:$AS3427&lt;&gt;"✓")),"")</f>
        <v/>
      </c>
      <c r="AZ3427" s="21" t="str">
        <f>IF(AND($AM3427&lt;&gt;"",$AS3427="✓"),SUMPRODUCT(($AM$11:$AM3427&lt;&gt;"")*($AS$11:$AS3427="✓")),"")</f>
        <v/>
      </c>
      <c r="BA3427" s="21" t="str">
        <f>IF($AL3427="","",$AL3427&amp;"|"&amp;COUNTIF($AL$11:$AL3427,$AL3427))</f>
        <v/>
      </c>
    </row>
    <row r="3428" spans="38:53" ht="15" customHeight="1" x14ac:dyDescent="0.25">
      <c r="AL3428" s="31"/>
      <c r="AM3428" s="26"/>
      <c r="AN3428" s="32"/>
      <c r="AO3428" s="32"/>
      <c r="AP3428" s="24"/>
      <c r="AQ3428" s="24"/>
      <c r="AR3428" s="33"/>
      <c r="AS3428" s="34"/>
      <c r="AT3428" s="33"/>
      <c r="AV3428" s="21">
        <f>IF(AND($AL3428&lt;&gt;"",COUNTIF($AL$11:$AL3428,$AL3428)=1),1,0)</f>
        <v>0</v>
      </c>
      <c r="AW3428" s="21">
        <f t="shared" si="193"/>
        <v>2</v>
      </c>
      <c r="AX3428" s="21" t="str">
        <f t="shared" si="192"/>
        <v/>
      </c>
      <c r="AY3428" s="21" t="str">
        <f>IF(AND($AM3428&lt;&gt;"",$AS3428&lt;&gt;"✓"),SUMPRODUCT(($AM$11:$AM3428&lt;&gt;"")*($AS$11:$AS3428&lt;&gt;"✓")),"")</f>
        <v/>
      </c>
      <c r="AZ3428" s="21" t="str">
        <f>IF(AND($AM3428&lt;&gt;"",$AS3428="✓"),SUMPRODUCT(($AM$11:$AM3428&lt;&gt;"")*($AS$11:$AS3428="✓")),"")</f>
        <v/>
      </c>
      <c r="BA3428" s="21" t="str">
        <f>IF($AL3428="","",$AL3428&amp;"|"&amp;COUNTIF($AL$11:$AL3428,$AL3428))</f>
        <v/>
      </c>
    </row>
    <row r="3429" spans="38:53" ht="15" customHeight="1" x14ac:dyDescent="0.25">
      <c r="AL3429" s="17"/>
      <c r="AM3429" s="12"/>
      <c r="AN3429" s="18"/>
      <c r="AO3429" s="18"/>
      <c r="AP3429" s="10"/>
      <c r="AQ3429" s="10"/>
      <c r="AR3429" s="19"/>
      <c r="AS3429" s="20"/>
      <c r="AT3429" s="19"/>
      <c r="AV3429" s="21">
        <f>IF(AND($AL3429&lt;&gt;"",COUNTIF($AL$11:$AL3429,$AL3429)=1),1,0)</f>
        <v>0</v>
      </c>
      <c r="AW3429" s="21">
        <f t="shared" si="193"/>
        <v>2</v>
      </c>
      <c r="AX3429" s="21" t="str">
        <f t="shared" si="192"/>
        <v/>
      </c>
      <c r="AY3429" s="21" t="str">
        <f>IF(AND($AM3429&lt;&gt;"",$AS3429&lt;&gt;"✓"),SUMPRODUCT(($AM$11:$AM3429&lt;&gt;"")*($AS$11:$AS3429&lt;&gt;"✓")),"")</f>
        <v/>
      </c>
      <c r="AZ3429" s="21" t="str">
        <f>IF(AND($AM3429&lt;&gt;"",$AS3429="✓"),SUMPRODUCT(($AM$11:$AM3429&lt;&gt;"")*($AS$11:$AS3429="✓")),"")</f>
        <v/>
      </c>
      <c r="BA3429" s="21" t="str">
        <f>IF($AL3429="","",$AL3429&amp;"|"&amp;COUNTIF($AL$11:$AL3429,$AL3429))</f>
        <v/>
      </c>
    </row>
    <row r="3430" spans="38:53" ht="15" customHeight="1" x14ac:dyDescent="0.25">
      <c r="AL3430" s="31"/>
      <c r="AM3430" s="26"/>
      <c r="AN3430" s="32"/>
      <c r="AO3430" s="32"/>
      <c r="AP3430" s="24"/>
      <c r="AQ3430" s="24"/>
      <c r="AR3430" s="33"/>
      <c r="AS3430" s="34"/>
      <c r="AT3430" s="33"/>
      <c r="AV3430" s="21">
        <f>IF(AND($AL3430&lt;&gt;"",COUNTIF($AL$11:$AL3430,$AL3430)=1),1,0)</f>
        <v>0</v>
      </c>
      <c r="AW3430" s="21">
        <f t="shared" si="193"/>
        <v>2</v>
      </c>
      <c r="AX3430" s="21" t="str">
        <f t="shared" si="192"/>
        <v/>
      </c>
      <c r="AY3430" s="21" t="str">
        <f>IF(AND($AM3430&lt;&gt;"",$AS3430&lt;&gt;"✓"),SUMPRODUCT(($AM$11:$AM3430&lt;&gt;"")*($AS$11:$AS3430&lt;&gt;"✓")),"")</f>
        <v/>
      </c>
      <c r="AZ3430" s="21" t="str">
        <f>IF(AND($AM3430&lt;&gt;"",$AS3430="✓"),SUMPRODUCT(($AM$11:$AM3430&lt;&gt;"")*($AS$11:$AS3430="✓")),"")</f>
        <v/>
      </c>
      <c r="BA3430" s="21" t="str">
        <f>IF($AL3430="","",$AL3430&amp;"|"&amp;COUNTIF($AL$11:$AL3430,$AL3430))</f>
        <v/>
      </c>
    </row>
    <row r="3431" spans="38:53" ht="15" customHeight="1" x14ac:dyDescent="0.25">
      <c r="AL3431" s="17"/>
      <c r="AM3431" s="12"/>
      <c r="AN3431" s="18"/>
      <c r="AO3431" s="18"/>
      <c r="AP3431" s="10"/>
      <c r="AQ3431" s="10"/>
      <c r="AR3431" s="19"/>
      <c r="AS3431" s="20"/>
      <c r="AT3431" s="19"/>
      <c r="AV3431" s="21">
        <f>IF(AND($AL3431&lt;&gt;"",COUNTIF($AL$11:$AL3431,$AL3431)=1),1,0)</f>
        <v>0</v>
      </c>
      <c r="AW3431" s="21">
        <f t="shared" si="193"/>
        <v>2</v>
      </c>
      <c r="AX3431" s="21" t="str">
        <f t="shared" si="192"/>
        <v/>
      </c>
      <c r="AY3431" s="21" t="str">
        <f>IF(AND($AM3431&lt;&gt;"",$AS3431&lt;&gt;"✓"),SUMPRODUCT(($AM$11:$AM3431&lt;&gt;"")*($AS$11:$AS3431&lt;&gt;"✓")),"")</f>
        <v/>
      </c>
      <c r="AZ3431" s="21" t="str">
        <f>IF(AND($AM3431&lt;&gt;"",$AS3431="✓"),SUMPRODUCT(($AM$11:$AM3431&lt;&gt;"")*($AS$11:$AS3431="✓")),"")</f>
        <v/>
      </c>
      <c r="BA3431" s="21" t="str">
        <f>IF($AL3431="","",$AL3431&amp;"|"&amp;COUNTIF($AL$11:$AL3431,$AL3431))</f>
        <v/>
      </c>
    </row>
    <row r="3432" spans="38:53" ht="15" customHeight="1" x14ac:dyDescent="0.25">
      <c r="AL3432" s="31"/>
      <c r="AM3432" s="26"/>
      <c r="AN3432" s="32"/>
      <c r="AO3432" s="32"/>
      <c r="AP3432" s="24"/>
      <c r="AQ3432" s="24"/>
      <c r="AR3432" s="33"/>
      <c r="AS3432" s="34"/>
      <c r="AT3432" s="33"/>
      <c r="AV3432" s="21">
        <f>IF(AND($AL3432&lt;&gt;"",COUNTIF($AL$11:$AL3432,$AL3432)=1),1,0)</f>
        <v>0</v>
      </c>
      <c r="AW3432" s="21">
        <f t="shared" si="193"/>
        <v>2</v>
      </c>
      <c r="AX3432" s="21" t="str">
        <f t="shared" si="192"/>
        <v/>
      </c>
      <c r="AY3432" s="21" t="str">
        <f>IF(AND($AM3432&lt;&gt;"",$AS3432&lt;&gt;"✓"),SUMPRODUCT(($AM$11:$AM3432&lt;&gt;"")*($AS$11:$AS3432&lt;&gt;"✓")),"")</f>
        <v/>
      </c>
      <c r="AZ3432" s="21" t="str">
        <f>IF(AND($AM3432&lt;&gt;"",$AS3432="✓"),SUMPRODUCT(($AM$11:$AM3432&lt;&gt;"")*($AS$11:$AS3432="✓")),"")</f>
        <v/>
      </c>
      <c r="BA3432" s="21" t="str">
        <f>IF($AL3432="","",$AL3432&amp;"|"&amp;COUNTIF($AL$11:$AL3432,$AL3432))</f>
        <v/>
      </c>
    </row>
    <row r="3433" spans="38:53" ht="15" customHeight="1" x14ac:dyDescent="0.25">
      <c r="AL3433" s="17"/>
      <c r="AM3433" s="12"/>
      <c r="AN3433" s="18"/>
      <c r="AO3433" s="18"/>
      <c r="AP3433" s="10"/>
      <c r="AQ3433" s="10"/>
      <c r="AR3433" s="19"/>
      <c r="AS3433" s="20"/>
      <c r="AT3433" s="19"/>
      <c r="AV3433" s="21">
        <f>IF(AND($AL3433&lt;&gt;"",COUNTIF($AL$11:$AL3433,$AL3433)=1),1,0)</f>
        <v>0</v>
      </c>
      <c r="AW3433" s="21">
        <f t="shared" si="193"/>
        <v>2</v>
      </c>
      <c r="AX3433" s="21" t="str">
        <f t="shared" si="192"/>
        <v/>
      </c>
      <c r="AY3433" s="21" t="str">
        <f>IF(AND($AM3433&lt;&gt;"",$AS3433&lt;&gt;"✓"),SUMPRODUCT(($AM$11:$AM3433&lt;&gt;"")*($AS$11:$AS3433&lt;&gt;"✓")),"")</f>
        <v/>
      </c>
      <c r="AZ3433" s="21" t="str">
        <f>IF(AND($AM3433&lt;&gt;"",$AS3433="✓"),SUMPRODUCT(($AM$11:$AM3433&lt;&gt;"")*($AS$11:$AS3433="✓")),"")</f>
        <v/>
      </c>
      <c r="BA3433" s="21" t="str">
        <f>IF($AL3433="","",$AL3433&amp;"|"&amp;COUNTIF($AL$11:$AL3433,$AL3433))</f>
        <v/>
      </c>
    </row>
    <row r="3434" spans="38:53" ht="15" customHeight="1" x14ac:dyDescent="0.25">
      <c r="AL3434" s="31"/>
      <c r="AM3434" s="26"/>
      <c r="AN3434" s="32"/>
      <c r="AO3434" s="32"/>
      <c r="AP3434" s="24"/>
      <c r="AQ3434" s="24"/>
      <c r="AR3434" s="33"/>
      <c r="AS3434" s="34"/>
      <c r="AT3434" s="33"/>
      <c r="AV3434" s="21">
        <f>IF(AND($AL3434&lt;&gt;"",COUNTIF($AL$11:$AL3434,$AL3434)=1),1,0)</f>
        <v>0</v>
      </c>
      <c r="AW3434" s="21">
        <f t="shared" si="193"/>
        <v>2</v>
      </c>
      <c r="AX3434" s="21" t="str">
        <f t="shared" si="192"/>
        <v/>
      </c>
      <c r="AY3434" s="21" t="str">
        <f>IF(AND($AM3434&lt;&gt;"",$AS3434&lt;&gt;"✓"),SUMPRODUCT(($AM$11:$AM3434&lt;&gt;"")*($AS$11:$AS3434&lt;&gt;"✓")),"")</f>
        <v/>
      </c>
      <c r="AZ3434" s="21" t="str">
        <f>IF(AND($AM3434&lt;&gt;"",$AS3434="✓"),SUMPRODUCT(($AM$11:$AM3434&lt;&gt;"")*($AS$11:$AS3434="✓")),"")</f>
        <v/>
      </c>
      <c r="BA3434" s="21" t="str">
        <f>IF($AL3434="","",$AL3434&amp;"|"&amp;COUNTIF($AL$11:$AL3434,$AL3434))</f>
        <v/>
      </c>
    </row>
    <row r="3435" spans="38:53" ht="15" customHeight="1" x14ac:dyDescent="0.25">
      <c r="AL3435" s="17"/>
      <c r="AM3435" s="12"/>
      <c r="AN3435" s="18"/>
      <c r="AO3435" s="18"/>
      <c r="AP3435" s="10"/>
      <c r="AQ3435" s="10"/>
      <c r="AR3435" s="19"/>
      <c r="AS3435" s="20"/>
      <c r="AT3435" s="19"/>
      <c r="AV3435" s="21">
        <f>IF(AND($AL3435&lt;&gt;"",COUNTIF($AL$11:$AL3435,$AL3435)=1),1,0)</f>
        <v>0</v>
      </c>
      <c r="AW3435" s="21">
        <f t="shared" si="193"/>
        <v>2</v>
      </c>
      <c r="AX3435" s="21" t="str">
        <f t="shared" si="192"/>
        <v/>
      </c>
      <c r="AY3435" s="21" t="str">
        <f>IF(AND($AM3435&lt;&gt;"",$AS3435&lt;&gt;"✓"),SUMPRODUCT(($AM$11:$AM3435&lt;&gt;"")*($AS$11:$AS3435&lt;&gt;"✓")),"")</f>
        <v/>
      </c>
      <c r="AZ3435" s="21" t="str">
        <f>IF(AND($AM3435&lt;&gt;"",$AS3435="✓"),SUMPRODUCT(($AM$11:$AM3435&lt;&gt;"")*($AS$11:$AS3435="✓")),"")</f>
        <v/>
      </c>
      <c r="BA3435" s="21" t="str">
        <f>IF($AL3435="","",$AL3435&amp;"|"&amp;COUNTIF($AL$11:$AL3435,$AL3435))</f>
        <v/>
      </c>
    </row>
    <row r="3436" spans="38:53" ht="15" customHeight="1" x14ac:dyDescent="0.25">
      <c r="AL3436" s="31"/>
      <c r="AM3436" s="26"/>
      <c r="AN3436" s="32"/>
      <c r="AO3436" s="32"/>
      <c r="AP3436" s="24"/>
      <c r="AQ3436" s="24"/>
      <c r="AR3436" s="33"/>
      <c r="AS3436" s="34"/>
      <c r="AT3436" s="33"/>
      <c r="AV3436" s="21">
        <f>IF(AND($AL3436&lt;&gt;"",COUNTIF($AL$11:$AL3436,$AL3436)=1),1,0)</f>
        <v>0</v>
      </c>
      <c r="AW3436" s="21">
        <f t="shared" si="193"/>
        <v>2</v>
      </c>
      <c r="AX3436" s="21" t="str">
        <f t="shared" si="192"/>
        <v/>
      </c>
      <c r="AY3436" s="21" t="str">
        <f>IF(AND($AM3436&lt;&gt;"",$AS3436&lt;&gt;"✓"),SUMPRODUCT(($AM$11:$AM3436&lt;&gt;"")*($AS$11:$AS3436&lt;&gt;"✓")),"")</f>
        <v/>
      </c>
      <c r="AZ3436" s="21" t="str">
        <f>IF(AND($AM3436&lt;&gt;"",$AS3436="✓"),SUMPRODUCT(($AM$11:$AM3436&lt;&gt;"")*($AS$11:$AS3436="✓")),"")</f>
        <v/>
      </c>
      <c r="BA3436" s="21" t="str">
        <f>IF($AL3436="","",$AL3436&amp;"|"&amp;COUNTIF($AL$11:$AL3436,$AL3436))</f>
        <v/>
      </c>
    </row>
    <row r="3437" spans="38:53" ht="15" customHeight="1" x14ac:dyDescent="0.25">
      <c r="AL3437" s="17"/>
      <c r="AM3437" s="12"/>
      <c r="AN3437" s="18"/>
      <c r="AO3437" s="18"/>
      <c r="AP3437" s="10"/>
      <c r="AQ3437" s="10"/>
      <c r="AR3437" s="19"/>
      <c r="AS3437" s="20"/>
      <c r="AT3437" s="19"/>
      <c r="AV3437" s="21">
        <f>IF(AND($AL3437&lt;&gt;"",COUNTIF($AL$11:$AL3437,$AL3437)=1),1,0)</f>
        <v>0</v>
      </c>
      <c r="AW3437" s="21">
        <f t="shared" si="193"/>
        <v>2</v>
      </c>
      <c r="AX3437" s="21" t="str">
        <f t="shared" si="192"/>
        <v/>
      </c>
      <c r="AY3437" s="21" t="str">
        <f>IF(AND($AM3437&lt;&gt;"",$AS3437&lt;&gt;"✓"),SUMPRODUCT(($AM$11:$AM3437&lt;&gt;"")*($AS$11:$AS3437&lt;&gt;"✓")),"")</f>
        <v/>
      </c>
      <c r="AZ3437" s="21" t="str">
        <f>IF(AND($AM3437&lt;&gt;"",$AS3437="✓"),SUMPRODUCT(($AM$11:$AM3437&lt;&gt;"")*($AS$11:$AS3437="✓")),"")</f>
        <v/>
      </c>
      <c r="BA3437" s="21" t="str">
        <f>IF($AL3437="","",$AL3437&amp;"|"&amp;COUNTIF($AL$11:$AL3437,$AL3437))</f>
        <v/>
      </c>
    </row>
    <row r="3438" spans="38:53" ht="15" customHeight="1" x14ac:dyDescent="0.25">
      <c r="AL3438" s="31"/>
      <c r="AM3438" s="26"/>
      <c r="AN3438" s="32"/>
      <c r="AO3438" s="32"/>
      <c r="AP3438" s="24"/>
      <c r="AQ3438" s="24"/>
      <c r="AR3438" s="33"/>
      <c r="AS3438" s="34"/>
      <c r="AT3438" s="33"/>
      <c r="AV3438" s="21">
        <f>IF(AND($AL3438&lt;&gt;"",COUNTIF($AL$11:$AL3438,$AL3438)=1),1,0)</f>
        <v>0</v>
      </c>
      <c r="AW3438" s="21">
        <f t="shared" si="193"/>
        <v>2</v>
      </c>
      <c r="AX3438" s="21" t="str">
        <f t="shared" si="192"/>
        <v/>
      </c>
      <c r="AY3438" s="21" t="str">
        <f>IF(AND($AM3438&lt;&gt;"",$AS3438&lt;&gt;"✓"),SUMPRODUCT(($AM$11:$AM3438&lt;&gt;"")*($AS$11:$AS3438&lt;&gt;"✓")),"")</f>
        <v/>
      </c>
      <c r="AZ3438" s="21" t="str">
        <f>IF(AND($AM3438&lt;&gt;"",$AS3438="✓"),SUMPRODUCT(($AM$11:$AM3438&lt;&gt;"")*($AS$11:$AS3438="✓")),"")</f>
        <v/>
      </c>
      <c r="BA3438" s="21" t="str">
        <f>IF($AL3438="","",$AL3438&amp;"|"&amp;COUNTIF($AL$11:$AL3438,$AL3438))</f>
        <v/>
      </c>
    </row>
    <row r="3439" spans="38:53" ht="15" customHeight="1" x14ac:dyDescent="0.25">
      <c r="AL3439" s="17"/>
      <c r="AM3439" s="12"/>
      <c r="AN3439" s="18"/>
      <c r="AO3439" s="18"/>
      <c r="AP3439" s="10"/>
      <c r="AQ3439" s="10"/>
      <c r="AR3439" s="19"/>
      <c r="AS3439" s="20"/>
      <c r="AT3439" s="19"/>
      <c r="AV3439" s="21">
        <f>IF(AND($AL3439&lt;&gt;"",COUNTIF($AL$11:$AL3439,$AL3439)=1),1,0)</f>
        <v>0</v>
      </c>
      <c r="AW3439" s="21">
        <f t="shared" si="193"/>
        <v>2</v>
      </c>
      <c r="AX3439" s="21" t="str">
        <f t="shared" si="192"/>
        <v/>
      </c>
      <c r="AY3439" s="21" t="str">
        <f>IF(AND($AM3439&lt;&gt;"",$AS3439&lt;&gt;"✓"),SUMPRODUCT(($AM$11:$AM3439&lt;&gt;"")*($AS$11:$AS3439&lt;&gt;"✓")),"")</f>
        <v/>
      </c>
      <c r="AZ3439" s="21" t="str">
        <f>IF(AND($AM3439&lt;&gt;"",$AS3439="✓"),SUMPRODUCT(($AM$11:$AM3439&lt;&gt;"")*($AS$11:$AS3439="✓")),"")</f>
        <v/>
      </c>
      <c r="BA3439" s="21" t="str">
        <f>IF($AL3439="","",$AL3439&amp;"|"&amp;COUNTIF($AL$11:$AL3439,$AL3439))</f>
        <v/>
      </c>
    </row>
    <row r="3440" spans="38:53" ht="15" customHeight="1" x14ac:dyDescent="0.25">
      <c r="AL3440" s="31"/>
      <c r="AM3440" s="26"/>
      <c r="AN3440" s="32"/>
      <c r="AO3440" s="32"/>
      <c r="AP3440" s="24"/>
      <c r="AQ3440" s="24"/>
      <c r="AR3440" s="33"/>
      <c r="AS3440" s="34"/>
      <c r="AT3440" s="33"/>
      <c r="AV3440" s="21">
        <f>IF(AND($AL3440&lt;&gt;"",COUNTIF($AL$11:$AL3440,$AL3440)=1),1,0)</f>
        <v>0</v>
      </c>
      <c r="AW3440" s="21">
        <f t="shared" si="193"/>
        <v>2</v>
      </c>
      <c r="AX3440" s="21" t="str">
        <f t="shared" si="192"/>
        <v/>
      </c>
      <c r="AY3440" s="21" t="str">
        <f>IF(AND($AM3440&lt;&gt;"",$AS3440&lt;&gt;"✓"),SUMPRODUCT(($AM$11:$AM3440&lt;&gt;"")*($AS$11:$AS3440&lt;&gt;"✓")),"")</f>
        <v/>
      </c>
      <c r="AZ3440" s="21" t="str">
        <f>IF(AND($AM3440&lt;&gt;"",$AS3440="✓"),SUMPRODUCT(($AM$11:$AM3440&lt;&gt;"")*($AS$11:$AS3440="✓")),"")</f>
        <v/>
      </c>
      <c r="BA3440" s="21" t="str">
        <f>IF($AL3440="","",$AL3440&amp;"|"&amp;COUNTIF($AL$11:$AL3440,$AL3440))</f>
        <v/>
      </c>
    </row>
    <row r="3441" spans="38:53" ht="15" customHeight="1" x14ac:dyDescent="0.25">
      <c r="AL3441" s="17"/>
      <c r="AM3441" s="12"/>
      <c r="AN3441" s="18"/>
      <c r="AO3441" s="18"/>
      <c r="AP3441" s="10"/>
      <c r="AQ3441" s="10"/>
      <c r="AR3441" s="19"/>
      <c r="AS3441" s="20"/>
      <c r="AT3441" s="19"/>
      <c r="AV3441" s="21">
        <f>IF(AND($AL3441&lt;&gt;"",COUNTIF($AL$11:$AL3441,$AL3441)=1),1,0)</f>
        <v>0</v>
      </c>
      <c r="AW3441" s="21">
        <f t="shared" si="193"/>
        <v>2</v>
      </c>
      <c r="AX3441" s="21" t="str">
        <f t="shared" si="192"/>
        <v/>
      </c>
      <c r="AY3441" s="21" t="str">
        <f>IF(AND($AM3441&lt;&gt;"",$AS3441&lt;&gt;"✓"),SUMPRODUCT(($AM$11:$AM3441&lt;&gt;"")*($AS$11:$AS3441&lt;&gt;"✓")),"")</f>
        <v/>
      </c>
      <c r="AZ3441" s="21" t="str">
        <f>IF(AND($AM3441&lt;&gt;"",$AS3441="✓"),SUMPRODUCT(($AM$11:$AM3441&lt;&gt;"")*($AS$11:$AS3441="✓")),"")</f>
        <v/>
      </c>
      <c r="BA3441" s="21" t="str">
        <f>IF($AL3441="","",$AL3441&amp;"|"&amp;COUNTIF($AL$11:$AL3441,$AL3441))</f>
        <v/>
      </c>
    </row>
    <row r="3442" spans="38:53" ht="15" customHeight="1" x14ac:dyDescent="0.25">
      <c r="AL3442" s="31"/>
      <c r="AM3442" s="26"/>
      <c r="AN3442" s="32"/>
      <c r="AO3442" s="32"/>
      <c r="AP3442" s="24"/>
      <c r="AQ3442" s="24"/>
      <c r="AR3442" s="33"/>
      <c r="AS3442" s="34"/>
      <c r="AT3442" s="33"/>
      <c r="AV3442" s="21">
        <f>IF(AND($AL3442&lt;&gt;"",COUNTIF($AL$11:$AL3442,$AL3442)=1),1,0)</f>
        <v>0</v>
      </c>
      <c r="AW3442" s="21">
        <f t="shared" si="193"/>
        <v>2</v>
      </c>
      <c r="AX3442" s="21" t="str">
        <f t="shared" si="192"/>
        <v/>
      </c>
      <c r="AY3442" s="21" t="str">
        <f>IF(AND($AM3442&lt;&gt;"",$AS3442&lt;&gt;"✓"),SUMPRODUCT(($AM$11:$AM3442&lt;&gt;"")*($AS$11:$AS3442&lt;&gt;"✓")),"")</f>
        <v/>
      </c>
      <c r="AZ3442" s="21" t="str">
        <f>IF(AND($AM3442&lt;&gt;"",$AS3442="✓"),SUMPRODUCT(($AM$11:$AM3442&lt;&gt;"")*($AS$11:$AS3442="✓")),"")</f>
        <v/>
      </c>
      <c r="BA3442" s="21" t="str">
        <f>IF($AL3442="","",$AL3442&amp;"|"&amp;COUNTIF($AL$11:$AL3442,$AL3442))</f>
        <v/>
      </c>
    </row>
    <row r="3443" spans="38:53" ht="15" customHeight="1" x14ac:dyDescent="0.25">
      <c r="AL3443" s="17"/>
      <c r="AM3443" s="12"/>
      <c r="AN3443" s="18"/>
      <c r="AO3443" s="18"/>
      <c r="AP3443" s="10"/>
      <c r="AQ3443" s="10"/>
      <c r="AR3443" s="19"/>
      <c r="AS3443" s="20"/>
      <c r="AT3443" s="19"/>
      <c r="AV3443" s="21">
        <f>IF(AND($AL3443&lt;&gt;"",COUNTIF($AL$11:$AL3443,$AL3443)=1),1,0)</f>
        <v>0</v>
      </c>
      <c r="AW3443" s="21">
        <f t="shared" si="193"/>
        <v>2</v>
      </c>
      <c r="AX3443" s="21" t="str">
        <f t="shared" si="192"/>
        <v/>
      </c>
      <c r="AY3443" s="21" t="str">
        <f>IF(AND($AM3443&lt;&gt;"",$AS3443&lt;&gt;"✓"),SUMPRODUCT(($AM$11:$AM3443&lt;&gt;"")*($AS$11:$AS3443&lt;&gt;"✓")),"")</f>
        <v/>
      </c>
      <c r="AZ3443" s="21" t="str">
        <f>IF(AND($AM3443&lt;&gt;"",$AS3443="✓"),SUMPRODUCT(($AM$11:$AM3443&lt;&gt;"")*($AS$11:$AS3443="✓")),"")</f>
        <v/>
      </c>
      <c r="BA3443" s="21" t="str">
        <f>IF($AL3443="","",$AL3443&amp;"|"&amp;COUNTIF($AL$11:$AL3443,$AL3443))</f>
        <v/>
      </c>
    </row>
    <row r="3444" spans="38:53" ht="15" customHeight="1" x14ac:dyDescent="0.25">
      <c r="AL3444" s="31"/>
      <c r="AM3444" s="26"/>
      <c r="AN3444" s="32"/>
      <c r="AO3444" s="32"/>
      <c r="AP3444" s="24"/>
      <c r="AQ3444" s="24"/>
      <c r="AR3444" s="33"/>
      <c r="AS3444" s="34"/>
      <c r="AT3444" s="33"/>
      <c r="AV3444" s="21">
        <f>IF(AND($AL3444&lt;&gt;"",COUNTIF($AL$11:$AL3444,$AL3444)=1),1,0)</f>
        <v>0</v>
      </c>
      <c r="AW3444" s="21">
        <f t="shared" si="193"/>
        <v>2</v>
      </c>
      <c r="AX3444" s="21" t="str">
        <f t="shared" si="192"/>
        <v/>
      </c>
      <c r="AY3444" s="21" t="str">
        <f>IF(AND($AM3444&lt;&gt;"",$AS3444&lt;&gt;"✓"),SUMPRODUCT(($AM$11:$AM3444&lt;&gt;"")*($AS$11:$AS3444&lt;&gt;"✓")),"")</f>
        <v/>
      </c>
      <c r="AZ3444" s="21" t="str">
        <f>IF(AND($AM3444&lt;&gt;"",$AS3444="✓"),SUMPRODUCT(($AM$11:$AM3444&lt;&gt;"")*($AS$11:$AS3444="✓")),"")</f>
        <v/>
      </c>
      <c r="BA3444" s="21" t="str">
        <f>IF($AL3444="","",$AL3444&amp;"|"&amp;COUNTIF($AL$11:$AL3444,$AL3444))</f>
        <v/>
      </c>
    </row>
    <row r="3445" spans="38:53" ht="15" customHeight="1" x14ac:dyDescent="0.25">
      <c r="AL3445" s="17"/>
      <c r="AM3445" s="12"/>
      <c r="AN3445" s="18"/>
      <c r="AO3445" s="18"/>
      <c r="AP3445" s="10"/>
      <c r="AQ3445" s="10"/>
      <c r="AR3445" s="19"/>
      <c r="AS3445" s="20"/>
      <c r="AT3445" s="19"/>
      <c r="AV3445" s="21">
        <f>IF(AND($AL3445&lt;&gt;"",COUNTIF($AL$11:$AL3445,$AL3445)=1),1,0)</f>
        <v>0</v>
      </c>
      <c r="AW3445" s="21">
        <f t="shared" si="193"/>
        <v>2</v>
      </c>
      <c r="AX3445" s="21" t="str">
        <f t="shared" si="192"/>
        <v/>
      </c>
      <c r="AY3445" s="21" t="str">
        <f>IF(AND($AM3445&lt;&gt;"",$AS3445&lt;&gt;"✓"),SUMPRODUCT(($AM$11:$AM3445&lt;&gt;"")*($AS$11:$AS3445&lt;&gt;"✓")),"")</f>
        <v/>
      </c>
      <c r="AZ3445" s="21" t="str">
        <f>IF(AND($AM3445&lt;&gt;"",$AS3445="✓"),SUMPRODUCT(($AM$11:$AM3445&lt;&gt;"")*($AS$11:$AS3445="✓")),"")</f>
        <v/>
      </c>
      <c r="BA3445" s="21" t="str">
        <f>IF($AL3445="","",$AL3445&amp;"|"&amp;COUNTIF($AL$11:$AL3445,$AL3445))</f>
        <v/>
      </c>
    </row>
    <row r="3446" spans="38:53" ht="15" customHeight="1" x14ac:dyDescent="0.25">
      <c r="AL3446" s="31"/>
      <c r="AM3446" s="26"/>
      <c r="AN3446" s="32"/>
      <c r="AO3446" s="32"/>
      <c r="AP3446" s="24"/>
      <c r="AQ3446" s="24"/>
      <c r="AR3446" s="33"/>
      <c r="AS3446" s="34"/>
      <c r="AT3446" s="33"/>
      <c r="AV3446" s="21">
        <f>IF(AND($AL3446&lt;&gt;"",COUNTIF($AL$11:$AL3446,$AL3446)=1),1,0)</f>
        <v>0</v>
      </c>
      <c r="AW3446" s="21">
        <f t="shared" si="193"/>
        <v>2</v>
      </c>
      <c r="AX3446" s="21" t="str">
        <f t="shared" si="192"/>
        <v/>
      </c>
      <c r="AY3446" s="21" t="str">
        <f>IF(AND($AM3446&lt;&gt;"",$AS3446&lt;&gt;"✓"),SUMPRODUCT(($AM$11:$AM3446&lt;&gt;"")*($AS$11:$AS3446&lt;&gt;"✓")),"")</f>
        <v/>
      </c>
      <c r="AZ3446" s="21" t="str">
        <f>IF(AND($AM3446&lt;&gt;"",$AS3446="✓"),SUMPRODUCT(($AM$11:$AM3446&lt;&gt;"")*($AS$11:$AS3446="✓")),"")</f>
        <v/>
      </c>
      <c r="BA3446" s="21" t="str">
        <f>IF($AL3446="","",$AL3446&amp;"|"&amp;COUNTIF($AL$11:$AL3446,$AL3446))</f>
        <v/>
      </c>
    </row>
    <row r="3447" spans="38:53" ht="15" customHeight="1" x14ac:dyDescent="0.25">
      <c r="AL3447" s="17"/>
      <c r="AM3447" s="12"/>
      <c r="AN3447" s="18"/>
      <c r="AO3447" s="18"/>
      <c r="AP3447" s="10"/>
      <c r="AQ3447" s="10"/>
      <c r="AR3447" s="19"/>
      <c r="AS3447" s="20"/>
      <c r="AT3447" s="19"/>
      <c r="AV3447" s="21">
        <f>IF(AND($AL3447&lt;&gt;"",COUNTIF($AL$11:$AL3447,$AL3447)=1),1,0)</f>
        <v>0</v>
      </c>
      <c r="AW3447" s="21">
        <f t="shared" si="193"/>
        <v>2</v>
      </c>
      <c r="AX3447" s="21" t="str">
        <f t="shared" si="192"/>
        <v/>
      </c>
      <c r="AY3447" s="21" t="str">
        <f>IF(AND($AM3447&lt;&gt;"",$AS3447&lt;&gt;"✓"),SUMPRODUCT(($AM$11:$AM3447&lt;&gt;"")*($AS$11:$AS3447&lt;&gt;"✓")),"")</f>
        <v/>
      </c>
      <c r="AZ3447" s="21" t="str">
        <f>IF(AND($AM3447&lt;&gt;"",$AS3447="✓"),SUMPRODUCT(($AM$11:$AM3447&lt;&gt;"")*($AS$11:$AS3447="✓")),"")</f>
        <v/>
      </c>
      <c r="BA3447" s="21" t="str">
        <f>IF($AL3447="","",$AL3447&amp;"|"&amp;COUNTIF($AL$11:$AL3447,$AL3447))</f>
        <v/>
      </c>
    </row>
    <row r="3448" spans="38:53" ht="15" customHeight="1" x14ac:dyDescent="0.25">
      <c r="AL3448" s="31"/>
      <c r="AM3448" s="26"/>
      <c r="AN3448" s="32"/>
      <c r="AO3448" s="32"/>
      <c r="AP3448" s="24"/>
      <c r="AQ3448" s="24"/>
      <c r="AR3448" s="33"/>
      <c r="AS3448" s="34"/>
      <c r="AT3448" s="33"/>
      <c r="AV3448" s="21">
        <f>IF(AND($AL3448&lt;&gt;"",COUNTIF($AL$11:$AL3448,$AL3448)=1),1,0)</f>
        <v>0</v>
      </c>
      <c r="AW3448" s="21">
        <f t="shared" si="193"/>
        <v>2</v>
      </c>
      <c r="AX3448" s="21" t="str">
        <f t="shared" si="192"/>
        <v/>
      </c>
      <c r="AY3448" s="21" t="str">
        <f>IF(AND($AM3448&lt;&gt;"",$AS3448&lt;&gt;"✓"),SUMPRODUCT(($AM$11:$AM3448&lt;&gt;"")*($AS$11:$AS3448&lt;&gt;"✓")),"")</f>
        <v/>
      </c>
      <c r="AZ3448" s="21" t="str">
        <f>IF(AND($AM3448&lt;&gt;"",$AS3448="✓"),SUMPRODUCT(($AM$11:$AM3448&lt;&gt;"")*($AS$11:$AS3448="✓")),"")</f>
        <v/>
      </c>
      <c r="BA3448" s="21" t="str">
        <f>IF($AL3448="","",$AL3448&amp;"|"&amp;COUNTIF($AL$11:$AL3448,$AL3448))</f>
        <v/>
      </c>
    </row>
    <row r="3449" spans="38:53" ht="15" customHeight="1" x14ac:dyDescent="0.25">
      <c r="AL3449" s="17"/>
      <c r="AM3449" s="12"/>
      <c r="AN3449" s="18"/>
      <c r="AO3449" s="18"/>
      <c r="AP3449" s="10"/>
      <c r="AQ3449" s="10"/>
      <c r="AR3449" s="19"/>
      <c r="AS3449" s="20"/>
      <c r="AT3449" s="19"/>
      <c r="AV3449" s="21">
        <f>IF(AND($AL3449&lt;&gt;"",COUNTIF($AL$11:$AL3449,$AL3449)=1),1,0)</f>
        <v>0</v>
      </c>
      <c r="AW3449" s="21">
        <f t="shared" si="193"/>
        <v>2</v>
      </c>
      <c r="AX3449" s="21" t="str">
        <f t="shared" si="192"/>
        <v/>
      </c>
      <c r="AY3449" s="21" t="str">
        <f>IF(AND($AM3449&lt;&gt;"",$AS3449&lt;&gt;"✓"),SUMPRODUCT(($AM$11:$AM3449&lt;&gt;"")*($AS$11:$AS3449&lt;&gt;"✓")),"")</f>
        <v/>
      </c>
      <c r="AZ3449" s="21" t="str">
        <f>IF(AND($AM3449&lt;&gt;"",$AS3449="✓"),SUMPRODUCT(($AM$11:$AM3449&lt;&gt;"")*($AS$11:$AS3449="✓")),"")</f>
        <v/>
      </c>
      <c r="BA3449" s="21" t="str">
        <f>IF($AL3449="","",$AL3449&amp;"|"&amp;COUNTIF($AL$11:$AL3449,$AL3449))</f>
        <v/>
      </c>
    </row>
    <row r="3450" spans="38:53" ht="15" customHeight="1" x14ac:dyDescent="0.25">
      <c r="AL3450" s="31"/>
      <c r="AM3450" s="26"/>
      <c r="AN3450" s="32"/>
      <c r="AO3450" s="32"/>
      <c r="AP3450" s="24"/>
      <c r="AQ3450" s="24"/>
      <c r="AR3450" s="33"/>
      <c r="AS3450" s="34"/>
      <c r="AT3450" s="33"/>
      <c r="AV3450" s="21">
        <f>IF(AND($AL3450&lt;&gt;"",COUNTIF($AL$11:$AL3450,$AL3450)=1),1,0)</f>
        <v>0</v>
      </c>
      <c r="AW3450" s="21">
        <f t="shared" si="193"/>
        <v>2</v>
      </c>
      <c r="AX3450" s="21" t="str">
        <f t="shared" si="192"/>
        <v/>
      </c>
      <c r="AY3450" s="21" t="str">
        <f>IF(AND($AM3450&lt;&gt;"",$AS3450&lt;&gt;"✓"),SUMPRODUCT(($AM$11:$AM3450&lt;&gt;"")*($AS$11:$AS3450&lt;&gt;"✓")),"")</f>
        <v/>
      </c>
      <c r="AZ3450" s="21" t="str">
        <f>IF(AND($AM3450&lt;&gt;"",$AS3450="✓"),SUMPRODUCT(($AM$11:$AM3450&lt;&gt;"")*($AS$11:$AS3450="✓")),"")</f>
        <v/>
      </c>
      <c r="BA3450" s="21" t="str">
        <f>IF($AL3450="","",$AL3450&amp;"|"&amp;COUNTIF($AL$11:$AL3450,$AL3450))</f>
        <v/>
      </c>
    </row>
    <row r="3451" spans="38:53" ht="15" customHeight="1" x14ac:dyDescent="0.25">
      <c r="AL3451" s="17"/>
      <c r="AM3451" s="12"/>
      <c r="AN3451" s="18"/>
      <c r="AO3451" s="18"/>
      <c r="AP3451" s="10"/>
      <c r="AQ3451" s="10"/>
      <c r="AR3451" s="19"/>
      <c r="AS3451" s="20"/>
      <c r="AT3451" s="19"/>
      <c r="AV3451" s="21">
        <f>IF(AND($AL3451&lt;&gt;"",COUNTIF($AL$11:$AL3451,$AL3451)=1),1,0)</f>
        <v>0</v>
      </c>
      <c r="AW3451" s="21">
        <f t="shared" si="193"/>
        <v>2</v>
      </c>
      <c r="AX3451" s="21" t="str">
        <f t="shared" si="192"/>
        <v/>
      </c>
      <c r="AY3451" s="21" t="str">
        <f>IF(AND($AM3451&lt;&gt;"",$AS3451&lt;&gt;"✓"),SUMPRODUCT(($AM$11:$AM3451&lt;&gt;"")*($AS$11:$AS3451&lt;&gt;"✓")),"")</f>
        <v/>
      </c>
      <c r="AZ3451" s="21" t="str">
        <f>IF(AND($AM3451&lt;&gt;"",$AS3451="✓"),SUMPRODUCT(($AM$11:$AM3451&lt;&gt;"")*($AS$11:$AS3451="✓")),"")</f>
        <v/>
      </c>
      <c r="BA3451" s="21" t="str">
        <f>IF($AL3451="","",$AL3451&amp;"|"&amp;COUNTIF($AL$11:$AL3451,$AL3451))</f>
        <v/>
      </c>
    </row>
    <row r="3452" spans="38:53" ht="15" customHeight="1" x14ac:dyDescent="0.25">
      <c r="AL3452" s="31"/>
      <c r="AM3452" s="26"/>
      <c r="AN3452" s="32"/>
      <c r="AO3452" s="32"/>
      <c r="AP3452" s="24"/>
      <c r="AQ3452" s="24"/>
      <c r="AR3452" s="33"/>
      <c r="AS3452" s="34"/>
      <c r="AT3452" s="33"/>
      <c r="AV3452" s="21">
        <f>IF(AND($AL3452&lt;&gt;"",COUNTIF($AL$11:$AL3452,$AL3452)=1),1,0)</f>
        <v>0</v>
      </c>
      <c r="AW3452" s="21">
        <f t="shared" si="193"/>
        <v>2</v>
      </c>
      <c r="AX3452" s="21" t="str">
        <f t="shared" si="192"/>
        <v/>
      </c>
      <c r="AY3452" s="21" t="str">
        <f>IF(AND($AM3452&lt;&gt;"",$AS3452&lt;&gt;"✓"),SUMPRODUCT(($AM$11:$AM3452&lt;&gt;"")*($AS$11:$AS3452&lt;&gt;"✓")),"")</f>
        <v/>
      </c>
      <c r="AZ3452" s="21" t="str">
        <f>IF(AND($AM3452&lt;&gt;"",$AS3452="✓"),SUMPRODUCT(($AM$11:$AM3452&lt;&gt;"")*($AS$11:$AS3452="✓")),"")</f>
        <v/>
      </c>
      <c r="BA3452" s="21" t="str">
        <f>IF($AL3452="","",$AL3452&amp;"|"&amp;COUNTIF($AL$11:$AL3452,$AL3452))</f>
        <v/>
      </c>
    </row>
    <row r="3453" spans="38:53" ht="15" customHeight="1" x14ac:dyDescent="0.25">
      <c r="AL3453" s="17"/>
      <c r="AM3453" s="12"/>
      <c r="AN3453" s="18"/>
      <c r="AO3453" s="18"/>
      <c r="AP3453" s="10"/>
      <c r="AQ3453" s="10"/>
      <c r="AR3453" s="19"/>
      <c r="AS3453" s="20"/>
      <c r="AT3453" s="19"/>
      <c r="AV3453" s="21">
        <f>IF(AND($AL3453&lt;&gt;"",COUNTIF($AL$11:$AL3453,$AL3453)=1),1,0)</f>
        <v>0</v>
      </c>
      <c r="AW3453" s="21">
        <f t="shared" si="193"/>
        <v>2</v>
      </c>
      <c r="AX3453" s="21" t="str">
        <f t="shared" si="192"/>
        <v/>
      </c>
      <c r="AY3453" s="21" t="str">
        <f>IF(AND($AM3453&lt;&gt;"",$AS3453&lt;&gt;"✓"),SUMPRODUCT(($AM$11:$AM3453&lt;&gt;"")*($AS$11:$AS3453&lt;&gt;"✓")),"")</f>
        <v/>
      </c>
      <c r="AZ3453" s="21" t="str">
        <f>IF(AND($AM3453&lt;&gt;"",$AS3453="✓"),SUMPRODUCT(($AM$11:$AM3453&lt;&gt;"")*($AS$11:$AS3453="✓")),"")</f>
        <v/>
      </c>
      <c r="BA3453" s="21" t="str">
        <f>IF($AL3453="","",$AL3453&amp;"|"&amp;COUNTIF($AL$11:$AL3453,$AL3453))</f>
        <v/>
      </c>
    </row>
    <row r="3454" spans="38:53" ht="15" customHeight="1" x14ac:dyDescent="0.25">
      <c r="AL3454" s="31"/>
      <c r="AM3454" s="26"/>
      <c r="AN3454" s="32"/>
      <c r="AO3454" s="32"/>
      <c r="AP3454" s="24"/>
      <c r="AQ3454" s="24"/>
      <c r="AR3454" s="33"/>
      <c r="AS3454" s="34"/>
      <c r="AT3454" s="33"/>
      <c r="AV3454" s="21">
        <f>IF(AND($AL3454&lt;&gt;"",COUNTIF($AL$11:$AL3454,$AL3454)=1),1,0)</f>
        <v>0</v>
      </c>
      <c r="AW3454" s="21">
        <f t="shared" si="193"/>
        <v>2</v>
      </c>
      <c r="AX3454" s="21" t="str">
        <f t="shared" si="192"/>
        <v/>
      </c>
      <c r="AY3454" s="21" t="str">
        <f>IF(AND($AM3454&lt;&gt;"",$AS3454&lt;&gt;"✓"),SUMPRODUCT(($AM$11:$AM3454&lt;&gt;"")*($AS$11:$AS3454&lt;&gt;"✓")),"")</f>
        <v/>
      </c>
      <c r="AZ3454" s="21" t="str">
        <f>IF(AND($AM3454&lt;&gt;"",$AS3454="✓"),SUMPRODUCT(($AM$11:$AM3454&lt;&gt;"")*($AS$11:$AS3454="✓")),"")</f>
        <v/>
      </c>
      <c r="BA3454" s="21" t="str">
        <f>IF($AL3454="","",$AL3454&amp;"|"&amp;COUNTIF($AL$11:$AL3454,$AL3454))</f>
        <v/>
      </c>
    </row>
    <row r="3455" spans="38:53" ht="15" customHeight="1" x14ac:dyDescent="0.25">
      <c r="AL3455" s="17"/>
      <c r="AM3455" s="12"/>
      <c r="AN3455" s="18"/>
      <c r="AO3455" s="18"/>
      <c r="AP3455" s="10"/>
      <c r="AQ3455" s="10"/>
      <c r="AR3455" s="19"/>
      <c r="AS3455" s="20"/>
      <c r="AT3455" s="19"/>
      <c r="AV3455" s="21">
        <f>IF(AND($AL3455&lt;&gt;"",COUNTIF($AL$11:$AL3455,$AL3455)=1),1,0)</f>
        <v>0</v>
      </c>
      <c r="AW3455" s="21">
        <f t="shared" si="193"/>
        <v>2</v>
      </c>
      <c r="AX3455" s="21" t="str">
        <f t="shared" si="192"/>
        <v/>
      </c>
      <c r="AY3455" s="21" t="str">
        <f>IF(AND($AM3455&lt;&gt;"",$AS3455&lt;&gt;"✓"),SUMPRODUCT(($AM$11:$AM3455&lt;&gt;"")*($AS$11:$AS3455&lt;&gt;"✓")),"")</f>
        <v/>
      </c>
      <c r="AZ3455" s="21" t="str">
        <f>IF(AND($AM3455&lt;&gt;"",$AS3455="✓"),SUMPRODUCT(($AM$11:$AM3455&lt;&gt;"")*($AS$11:$AS3455="✓")),"")</f>
        <v/>
      </c>
      <c r="BA3455" s="21" t="str">
        <f>IF($AL3455="","",$AL3455&amp;"|"&amp;COUNTIF($AL$11:$AL3455,$AL3455))</f>
        <v/>
      </c>
    </row>
    <row r="3456" spans="38:53" ht="15" customHeight="1" x14ac:dyDescent="0.25">
      <c r="AL3456" s="31"/>
      <c r="AM3456" s="26"/>
      <c r="AN3456" s="32"/>
      <c r="AO3456" s="32"/>
      <c r="AP3456" s="24"/>
      <c r="AQ3456" s="24"/>
      <c r="AR3456" s="33"/>
      <c r="AS3456" s="34"/>
      <c r="AT3456" s="33"/>
      <c r="AV3456" s="21">
        <f>IF(AND($AL3456&lt;&gt;"",COUNTIF($AL$11:$AL3456,$AL3456)=1),1,0)</f>
        <v>0</v>
      </c>
      <c r="AW3456" s="21">
        <f t="shared" si="193"/>
        <v>2</v>
      </c>
      <c r="AX3456" s="21" t="str">
        <f t="shared" si="192"/>
        <v/>
      </c>
      <c r="AY3456" s="21" t="str">
        <f>IF(AND($AM3456&lt;&gt;"",$AS3456&lt;&gt;"✓"),SUMPRODUCT(($AM$11:$AM3456&lt;&gt;"")*($AS$11:$AS3456&lt;&gt;"✓")),"")</f>
        <v/>
      </c>
      <c r="AZ3456" s="21" t="str">
        <f>IF(AND($AM3456&lt;&gt;"",$AS3456="✓"),SUMPRODUCT(($AM$11:$AM3456&lt;&gt;"")*($AS$11:$AS3456="✓")),"")</f>
        <v/>
      </c>
      <c r="BA3456" s="21" t="str">
        <f>IF($AL3456="","",$AL3456&amp;"|"&amp;COUNTIF($AL$11:$AL3456,$AL3456))</f>
        <v/>
      </c>
    </row>
    <row r="3457" spans="38:53" ht="15" customHeight="1" x14ac:dyDescent="0.25">
      <c r="AL3457" s="17"/>
      <c r="AM3457" s="12"/>
      <c r="AN3457" s="18"/>
      <c r="AO3457" s="18"/>
      <c r="AP3457" s="10"/>
      <c r="AQ3457" s="10"/>
      <c r="AR3457" s="19"/>
      <c r="AS3457" s="20"/>
      <c r="AT3457" s="19"/>
      <c r="AV3457" s="21">
        <f>IF(AND($AL3457&lt;&gt;"",COUNTIF($AL$11:$AL3457,$AL3457)=1),1,0)</f>
        <v>0</v>
      </c>
      <c r="AW3457" s="21">
        <f t="shared" si="193"/>
        <v>2</v>
      </c>
      <c r="AX3457" s="21" t="str">
        <f t="shared" si="192"/>
        <v/>
      </c>
      <c r="AY3457" s="21" t="str">
        <f>IF(AND($AM3457&lt;&gt;"",$AS3457&lt;&gt;"✓"),SUMPRODUCT(($AM$11:$AM3457&lt;&gt;"")*($AS$11:$AS3457&lt;&gt;"✓")),"")</f>
        <v/>
      </c>
      <c r="AZ3457" s="21" t="str">
        <f>IF(AND($AM3457&lt;&gt;"",$AS3457="✓"),SUMPRODUCT(($AM$11:$AM3457&lt;&gt;"")*($AS$11:$AS3457="✓")),"")</f>
        <v/>
      </c>
      <c r="BA3457" s="21" t="str">
        <f>IF($AL3457="","",$AL3457&amp;"|"&amp;COUNTIF($AL$11:$AL3457,$AL3457))</f>
        <v/>
      </c>
    </row>
    <row r="3458" spans="38:53" ht="15" customHeight="1" x14ac:dyDescent="0.25">
      <c r="AL3458" s="31"/>
      <c r="AM3458" s="26"/>
      <c r="AN3458" s="32"/>
      <c r="AO3458" s="32"/>
      <c r="AP3458" s="24"/>
      <c r="AQ3458" s="24"/>
      <c r="AR3458" s="33"/>
      <c r="AS3458" s="34"/>
      <c r="AT3458" s="33"/>
      <c r="AV3458" s="21">
        <f>IF(AND($AL3458&lt;&gt;"",COUNTIF($AL$11:$AL3458,$AL3458)=1),1,0)</f>
        <v>0</v>
      </c>
      <c r="AW3458" s="21">
        <f t="shared" si="193"/>
        <v>2</v>
      </c>
      <c r="AX3458" s="21" t="str">
        <f t="shared" si="192"/>
        <v/>
      </c>
      <c r="AY3458" s="21" t="str">
        <f>IF(AND($AM3458&lt;&gt;"",$AS3458&lt;&gt;"✓"),SUMPRODUCT(($AM$11:$AM3458&lt;&gt;"")*($AS$11:$AS3458&lt;&gt;"✓")),"")</f>
        <v/>
      </c>
      <c r="AZ3458" s="21" t="str">
        <f>IF(AND($AM3458&lt;&gt;"",$AS3458="✓"),SUMPRODUCT(($AM$11:$AM3458&lt;&gt;"")*($AS$11:$AS3458="✓")),"")</f>
        <v/>
      </c>
      <c r="BA3458" s="21" t="str">
        <f>IF($AL3458="","",$AL3458&amp;"|"&amp;COUNTIF($AL$11:$AL3458,$AL3458))</f>
        <v/>
      </c>
    </row>
    <row r="3459" spans="38:53" ht="15" customHeight="1" x14ac:dyDescent="0.25">
      <c r="AL3459" s="17"/>
      <c r="AM3459" s="12"/>
      <c r="AN3459" s="18"/>
      <c r="AO3459" s="18"/>
      <c r="AP3459" s="10"/>
      <c r="AQ3459" s="10"/>
      <c r="AR3459" s="19"/>
      <c r="AS3459" s="20"/>
      <c r="AT3459" s="19"/>
      <c r="AV3459" s="21">
        <f>IF(AND($AL3459&lt;&gt;"",COUNTIF($AL$11:$AL3459,$AL3459)=1),1,0)</f>
        <v>0</v>
      </c>
      <c r="AW3459" s="21">
        <f t="shared" si="193"/>
        <v>2</v>
      </c>
      <c r="AX3459" s="21" t="str">
        <f t="shared" si="192"/>
        <v/>
      </c>
      <c r="AY3459" s="21" t="str">
        <f>IF(AND($AM3459&lt;&gt;"",$AS3459&lt;&gt;"✓"),SUMPRODUCT(($AM$11:$AM3459&lt;&gt;"")*($AS$11:$AS3459&lt;&gt;"✓")),"")</f>
        <v/>
      </c>
      <c r="AZ3459" s="21" t="str">
        <f>IF(AND($AM3459&lt;&gt;"",$AS3459="✓"),SUMPRODUCT(($AM$11:$AM3459&lt;&gt;"")*($AS$11:$AS3459="✓")),"")</f>
        <v/>
      </c>
      <c r="BA3459" s="21" t="str">
        <f>IF($AL3459="","",$AL3459&amp;"|"&amp;COUNTIF($AL$11:$AL3459,$AL3459))</f>
        <v/>
      </c>
    </row>
    <row r="3460" spans="38:53" ht="15" customHeight="1" x14ac:dyDescent="0.25">
      <c r="AL3460" s="31"/>
      <c r="AM3460" s="26"/>
      <c r="AN3460" s="32"/>
      <c r="AO3460" s="32"/>
      <c r="AP3460" s="24"/>
      <c r="AQ3460" s="24"/>
      <c r="AR3460" s="33"/>
      <c r="AS3460" s="34"/>
      <c r="AT3460" s="33"/>
      <c r="AV3460" s="21">
        <f>IF(AND($AL3460&lt;&gt;"",COUNTIF($AL$11:$AL3460,$AL3460)=1),1,0)</f>
        <v>0</v>
      </c>
      <c r="AW3460" s="21">
        <f t="shared" si="193"/>
        <v>2</v>
      </c>
      <c r="AX3460" s="21" t="str">
        <f t="shared" si="192"/>
        <v/>
      </c>
      <c r="AY3460" s="21" t="str">
        <f>IF(AND($AM3460&lt;&gt;"",$AS3460&lt;&gt;"✓"),SUMPRODUCT(($AM$11:$AM3460&lt;&gt;"")*($AS$11:$AS3460&lt;&gt;"✓")),"")</f>
        <v/>
      </c>
      <c r="AZ3460" s="21" t="str">
        <f>IF(AND($AM3460&lt;&gt;"",$AS3460="✓"),SUMPRODUCT(($AM$11:$AM3460&lt;&gt;"")*($AS$11:$AS3460="✓")),"")</f>
        <v/>
      </c>
      <c r="BA3460" s="21" t="str">
        <f>IF($AL3460="","",$AL3460&amp;"|"&amp;COUNTIF($AL$11:$AL3460,$AL3460))</f>
        <v/>
      </c>
    </row>
    <row r="3461" spans="38:53" ht="15" customHeight="1" x14ac:dyDescent="0.25">
      <c r="AL3461" s="17"/>
      <c r="AM3461" s="12"/>
      <c r="AN3461" s="18"/>
      <c r="AO3461" s="18"/>
      <c r="AP3461" s="10"/>
      <c r="AQ3461" s="10"/>
      <c r="AR3461" s="19"/>
      <c r="AS3461" s="20"/>
      <c r="AT3461" s="19"/>
      <c r="AV3461" s="21">
        <f>IF(AND($AL3461&lt;&gt;"",COUNTIF($AL$11:$AL3461,$AL3461)=1),1,0)</f>
        <v>0</v>
      </c>
      <c r="AW3461" s="21">
        <f t="shared" si="193"/>
        <v>2</v>
      </c>
      <c r="AX3461" s="21" t="str">
        <f t="shared" si="192"/>
        <v/>
      </c>
      <c r="AY3461" s="21" t="str">
        <f>IF(AND($AM3461&lt;&gt;"",$AS3461&lt;&gt;"✓"),SUMPRODUCT(($AM$11:$AM3461&lt;&gt;"")*($AS$11:$AS3461&lt;&gt;"✓")),"")</f>
        <v/>
      </c>
      <c r="AZ3461" s="21" t="str">
        <f>IF(AND($AM3461&lt;&gt;"",$AS3461="✓"),SUMPRODUCT(($AM$11:$AM3461&lt;&gt;"")*($AS$11:$AS3461="✓")),"")</f>
        <v/>
      </c>
      <c r="BA3461" s="21" t="str">
        <f>IF($AL3461="","",$AL3461&amp;"|"&amp;COUNTIF($AL$11:$AL3461,$AL3461))</f>
        <v/>
      </c>
    </row>
    <row r="3462" spans="38:53" ht="15" customHeight="1" x14ac:dyDescent="0.25">
      <c r="AL3462" s="31"/>
      <c r="AM3462" s="26"/>
      <c r="AN3462" s="32"/>
      <c r="AO3462" s="32"/>
      <c r="AP3462" s="24"/>
      <c r="AQ3462" s="24"/>
      <c r="AR3462" s="33"/>
      <c r="AS3462" s="34"/>
      <c r="AT3462" s="33"/>
      <c r="AV3462" s="21">
        <f>IF(AND($AL3462&lt;&gt;"",COUNTIF($AL$11:$AL3462,$AL3462)=1),1,0)</f>
        <v>0</v>
      </c>
      <c r="AW3462" s="21">
        <f t="shared" si="193"/>
        <v>2</v>
      </c>
      <c r="AX3462" s="21" t="str">
        <f t="shared" si="192"/>
        <v/>
      </c>
      <c r="AY3462" s="21" t="str">
        <f>IF(AND($AM3462&lt;&gt;"",$AS3462&lt;&gt;"✓"),SUMPRODUCT(($AM$11:$AM3462&lt;&gt;"")*($AS$11:$AS3462&lt;&gt;"✓")),"")</f>
        <v/>
      </c>
      <c r="AZ3462" s="21" t="str">
        <f>IF(AND($AM3462&lt;&gt;"",$AS3462="✓"),SUMPRODUCT(($AM$11:$AM3462&lt;&gt;"")*($AS$11:$AS3462="✓")),"")</f>
        <v/>
      </c>
      <c r="BA3462" s="21" t="str">
        <f>IF($AL3462="","",$AL3462&amp;"|"&amp;COUNTIF($AL$11:$AL3462,$AL3462))</f>
        <v/>
      </c>
    </row>
    <row r="3463" spans="38:53" ht="15" customHeight="1" x14ac:dyDescent="0.25">
      <c r="AL3463" s="17"/>
      <c r="AM3463" s="12"/>
      <c r="AN3463" s="18"/>
      <c r="AO3463" s="18"/>
      <c r="AP3463" s="10"/>
      <c r="AQ3463" s="10"/>
      <c r="AR3463" s="19"/>
      <c r="AS3463" s="20"/>
      <c r="AT3463" s="19"/>
      <c r="AV3463" s="21">
        <f>IF(AND($AL3463&lt;&gt;"",COUNTIF($AL$11:$AL3463,$AL3463)=1),1,0)</f>
        <v>0</v>
      </c>
      <c r="AW3463" s="21">
        <f t="shared" si="193"/>
        <v>2</v>
      </c>
      <c r="AX3463" s="21" t="str">
        <f t="shared" si="192"/>
        <v/>
      </c>
      <c r="AY3463" s="21" t="str">
        <f>IF(AND($AM3463&lt;&gt;"",$AS3463&lt;&gt;"✓"),SUMPRODUCT(($AM$11:$AM3463&lt;&gt;"")*($AS$11:$AS3463&lt;&gt;"✓")),"")</f>
        <v/>
      </c>
      <c r="AZ3463" s="21" t="str">
        <f>IF(AND($AM3463&lt;&gt;"",$AS3463="✓"),SUMPRODUCT(($AM$11:$AM3463&lt;&gt;"")*($AS$11:$AS3463="✓")),"")</f>
        <v/>
      </c>
      <c r="BA3463" s="21" t="str">
        <f>IF($AL3463="","",$AL3463&amp;"|"&amp;COUNTIF($AL$11:$AL3463,$AL3463))</f>
        <v/>
      </c>
    </row>
    <row r="3464" spans="38:53" ht="15" customHeight="1" x14ac:dyDescent="0.25">
      <c r="AL3464" s="31"/>
      <c r="AM3464" s="26"/>
      <c r="AN3464" s="32"/>
      <c r="AO3464" s="32"/>
      <c r="AP3464" s="24"/>
      <c r="AQ3464" s="24"/>
      <c r="AR3464" s="33"/>
      <c r="AS3464" s="34"/>
      <c r="AT3464" s="33"/>
      <c r="AV3464" s="21">
        <f>IF(AND($AL3464&lt;&gt;"",COUNTIF($AL$11:$AL3464,$AL3464)=1),1,0)</f>
        <v>0</v>
      </c>
      <c r="AW3464" s="21">
        <f t="shared" si="193"/>
        <v>2</v>
      </c>
      <c r="AX3464" s="21" t="str">
        <f t="shared" si="192"/>
        <v/>
      </c>
      <c r="AY3464" s="21" t="str">
        <f>IF(AND($AM3464&lt;&gt;"",$AS3464&lt;&gt;"✓"),SUMPRODUCT(($AM$11:$AM3464&lt;&gt;"")*($AS$11:$AS3464&lt;&gt;"✓")),"")</f>
        <v/>
      </c>
      <c r="AZ3464" s="21" t="str">
        <f>IF(AND($AM3464&lt;&gt;"",$AS3464="✓"),SUMPRODUCT(($AM$11:$AM3464&lt;&gt;"")*($AS$11:$AS3464="✓")),"")</f>
        <v/>
      </c>
      <c r="BA3464" s="21" t="str">
        <f>IF($AL3464="","",$AL3464&amp;"|"&amp;COUNTIF($AL$11:$AL3464,$AL3464))</f>
        <v/>
      </c>
    </row>
    <row r="3465" spans="38:53" ht="15" customHeight="1" x14ac:dyDescent="0.25">
      <c r="AL3465" s="17"/>
      <c r="AM3465" s="12"/>
      <c r="AN3465" s="18"/>
      <c r="AO3465" s="18"/>
      <c r="AP3465" s="10"/>
      <c r="AQ3465" s="10"/>
      <c r="AR3465" s="19"/>
      <c r="AS3465" s="20"/>
      <c r="AT3465" s="19"/>
      <c r="AV3465" s="21">
        <f>IF(AND($AL3465&lt;&gt;"",COUNTIF($AL$11:$AL3465,$AL3465)=1),1,0)</f>
        <v>0</v>
      </c>
      <c r="AW3465" s="21">
        <f t="shared" si="193"/>
        <v>2</v>
      </c>
      <c r="AX3465" s="21" t="str">
        <f t="shared" si="192"/>
        <v/>
      </c>
      <c r="AY3465" s="21" t="str">
        <f>IF(AND($AM3465&lt;&gt;"",$AS3465&lt;&gt;"✓"),SUMPRODUCT(($AM$11:$AM3465&lt;&gt;"")*($AS$11:$AS3465&lt;&gt;"✓")),"")</f>
        <v/>
      </c>
      <c r="AZ3465" s="21" t="str">
        <f>IF(AND($AM3465&lt;&gt;"",$AS3465="✓"),SUMPRODUCT(($AM$11:$AM3465&lt;&gt;"")*($AS$11:$AS3465="✓")),"")</f>
        <v/>
      </c>
      <c r="BA3465" s="21" t="str">
        <f>IF($AL3465="","",$AL3465&amp;"|"&amp;COUNTIF($AL$11:$AL3465,$AL3465))</f>
        <v/>
      </c>
    </row>
    <row r="3466" spans="38:53" ht="15" customHeight="1" x14ac:dyDescent="0.25">
      <c r="AL3466" s="31"/>
      <c r="AM3466" s="26"/>
      <c r="AN3466" s="32"/>
      <c r="AO3466" s="32"/>
      <c r="AP3466" s="24"/>
      <c r="AQ3466" s="24"/>
      <c r="AR3466" s="33"/>
      <c r="AS3466" s="34"/>
      <c r="AT3466" s="33"/>
      <c r="AV3466" s="21">
        <f>IF(AND($AL3466&lt;&gt;"",COUNTIF($AL$11:$AL3466,$AL3466)=1),1,0)</f>
        <v>0</v>
      </c>
      <c r="AW3466" s="21">
        <f t="shared" si="193"/>
        <v>2</v>
      </c>
      <c r="AX3466" s="21" t="str">
        <f t="shared" si="192"/>
        <v/>
      </c>
      <c r="AY3466" s="21" t="str">
        <f>IF(AND($AM3466&lt;&gt;"",$AS3466&lt;&gt;"✓"),SUMPRODUCT(($AM$11:$AM3466&lt;&gt;"")*($AS$11:$AS3466&lt;&gt;"✓")),"")</f>
        <v/>
      </c>
      <c r="AZ3466" s="21" t="str">
        <f>IF(AND($AM3466&lt;&gt;"",$AS3466="✓"),SUMPRODUCT(($AM$11:$AM3466&lt;&gt;"")*($AS$11:$AS3466="✓")),"")</f>
        <v/>
      </c>
      <c r="BA3466" s="21" t="str">
        <f>IF($AL3466="","",$AL3466&amp;"|"&amp;COUNTIF($AL$11:$AL3466,$AL3466))</f>
        <v/>
      </c>
    </row>
    <row r="3467" spans="38:53" ht="15" customHeight="1" x14ac:dyDescent="0.25">
      <c r="AL3467" s="17"/>
      <c r="AM3467" s="12"/>
      <c r="AN3467" s="18"/>
      <c r="AO3467" s="18"/>
      <c r="AP3467" s="10"/>
      <c r="AQ3467" s="10"/>
      <c r="AR3467" s="19"/>
      <c r="AS3467" s="20"/>
      <c r="AT3467" s="19"/>
      <c r="AV3467" s="21">
        <f>IF(AND($AL3467&lt;&gt;"",COUNTIF($AL$11:$AL3467,$AL3467)=1),1,0)</f>
        <v>0</v>
      </c>
      <c r="AW3467" s="21">
        <f t="shared" si="193"/>
        <v>2</v>
      </c>
      <c r="AX3467" s="21" t="str">
        <f t="shared" ref="AX3467:AX3530" si="194">IF(AV3467=1,AW3467,"")</f>
        <v/>
      </c>
      <c r="AY3467" s="21" t="str">
        <f>IF(AND($AM3467&lt;&gt;"",$AS3467&lt;&gt;"✓"),SUMPRODUCT(($AM$11:$AM3467&lt;&gt;"")*($AS$11:$AS3467&lt;&gt;"✓")),"")</f>
        <v/>
      </c>
      <c r="AZ3467" s="21" t="str">
        <f>IF(AND($AM3467&lt;&gt;"",$AS3467="✓"),SUMPRODUCT(($AM$11:$AM3467&lt;&gt;"")*($AS$11:$AS3467="✓")),"")</f>
        <v/>
      </c>
      <c r="BA3467" s="21" t="str">
        <f>IF($AL3467="","",$AL3467&amp;"|"&amp;COUNTIF($AL$11:$AL3467,$AL3467))</f>
        <v/>
      </c>
    </row>
    <row r="3468" spans="38:53" ht="15" customHeight="1" x14ac:dyDescent="0.25">
      <c r="AL3468" s="31"/>
      <c r="AM3468" s="26"/>
      <c r="AN3468" s="32"/>
      <c r="AO3468" s="32"/>
      <c r="AP3468" s="24"/>
      <c r="AQ3468" s="24"/>
      <c r="AR3468" s="33"/>
      <c r="AS3468" s="34"/>
      <c r="AT3468" s="33"/>
      <c r="AV3468" s="21">
        <f>IF(AND($AL3468&lt;&gt;"",COUNTIF($AL$11:$AL3468,$AL3468)=1),1,0)</f>
        <v>0</v>
      </c>
      <c r="AW3468" s="21">
        <f t="shared" ref="AW3468:AW3531" si="195">AW3467+AV3468</f>
        <v>2</v>
      </c>
      <c r="AX3468" s="21" t="str">
        <f t="shared" si="194"/>
        <v/>
      </c>
      <c r="AY3468" s="21" t="str">
        <f>IF(AND($AM3468&lt;&gt;"",$AS3468&lt;&gt;"✓"),SUMPRODUCT(($AM$11:$AM3468&lt;&gt;"")*($AS$11:$AS3468&lt;&gt;"✓")),"")</f>
        <v/>
      </c>
      <c r="AZ3468" s="21" t="str">
        <f>IF(AND($AM3468&lt;&gt;"",$AS3468="✓"),SUMPRODUCT(($AM$11:$AM3468&lt;&gt;"")*($AS$11:$AS3468="✓")),"")</f>
        <v/>
      </c>
      <c r="BA3468" s="21" t="str">
        <f>IF($AL3468="","",$AL3468&amp;"|"&amp;COUNTIF($AL$11:$AL3468,$AL3468))</f>
        <v/>
      </c>
    </row>
    <row r="3469" spans="38:53" ht="15" customHeight="1" x14ac:dyDescent="0.25">
      <c r="AL3469" s="17"/>
      <c r="AM3469" s="12"/>
      <c r="AN3469" s="18"/>
      <c r="AO3469" s="18"/>
      <c r="AP3469" s="10"/>
      <c r="AQ3469" s="10"/>
      <c r="AR3469" s="19"/>
      <c r="AS3469" s="20"/>
      <c r="AT3469" s="19"/>
      <c r="AV3469" s="21">
        <f>IF(AND($AL3469&lt;&gt;"",COUNTIF($AL$11:$AL3469,$AL3469)=1),1,0)</f>
        <v>0</v>
      </c>
      <c r="AW3469" s="21">
        <f t="shared" si="195"/>
        <v>2</v>
      </c>
      <c r="AX3469" s="21" t="str">
        <f t="shared" si="194"/>
        <v/>
      </c>
      <c r="AY3469" s="21" t="str">
        <f>IF(AND($AM3469&lt;&gt;"",$AS3469&lt;&gt;"✓"),SUMPRODUCT(($AM$11:$AM3469&lt;&gt;"")*($AS$11:$AS3469&lt;&gt;"✓")),"")</f>
        <v/>
      </c>
      <c r="AZ3469" s="21" t="str">
        <f>IF(AND($AM3469&lt;&gt;"",$AS3469="✓"),SUMPRODUCT(($AM$11:$AM3469&lt;&gt;"")*($AS$11:$AS3469="✓")),"")</f>
        <v/>
      </c>
      <c r="BA3469" s="21" t="str">
        <f>IF($AL3469="","",$AL3469&amp;"|"&amp;COUNTIF($AL$11:$AL3469,$AL3469))</f>
        <v/>
      </c>
    </row>
    <row r="3470" spans="38:53" ht="15" customHeight="1" x14ac:dyDescent="0.25">
      <c r="AL3470" s="31"/>
      <c r="AM3470" s="26"/>
      <c r="AN3470" s="32"/>
      <c r="AO3470" s="32"/>
      <c r="AP3470" s="24"/>
      <c r="AQ3470" s="24"/>
      <c r="AR3470" s="33"/>
      <c r="AS3470" s="34"/>
      <c r="AT3470" s="33"/>
      <c r="AV3470" s="21">
        <f>IF(AND($AL3470&lt;&gt;"",COUNTIF($AL$11:$AL3470,$AL3470)=1),1,0)</f>
        <v>0</v>
      </c>
      <c r="AW3470" s="21">
        <f t="shared" si="195"/>
        <v>2</v>
      </c>
      <c r="AX3470" s="21" t="str">
        <f t="shared" si="194"/>
        <v/>
      </c>
      <c r="AY3470" s="21" t="str">
        <f>IF(AND($AM3470&lt;&gt;"",$AS3470&lt;&gt;"✓"),SUMPRODUCT(($AM$11:$AM3470&lt;&gt;"")*($AS$11:$AS3470&lt;&gt;"✓")),"")</f>
        <v/>
      </c>
      <c r="AZ3470" s="21" t="str">
        <f>IF(AND($AM3470&lt;&gt;"",$AS3470="✓"),SUMPRODUCT(($AM$11:$AM3470&lt;&gt;"")*($AS$11:$AS3470="✓")),"")</f>
        <v/>
      </c>
      <c r="BA3470" s="21" t="str">
        <f>IF($AL3470="","",$AL3470&amp;"|"&amp;COUNTIF($AL$11:$AL3470,$AL3470))</f>
        <v/>
      </c>
    </row>
    <row r="3471" spans="38:53" ht="15" customHeight="1" x14ac:dyDescent="0.25">
      <c r="AL3471" s="17"/>
      <c r="AM3471" s="12"/>
      <c r="AN3471" s="18"/>
      <c r="AO3471" s="18"/>
      <c r="AP3471" s="10"/>
      <c r="AQ3471" s="10"/>
      <c r="AR3471" s="19"/>
      <c r="AS3471" s="20"/>
      <c r="AT3471" s="19"/>
      <c r="AV3471" s="21">
        <f>IF(AND($AL3471&lt;&gt;"",COUNTIF($AL$11:$AL3471,$AL3471)=1),1,0)</f>
        <v>0</v>
      </c>
      <c r="AW3471" s="21">
        <f t="shared" si="195"/>
        <v>2</v>
      </c>
      <c r="AX3471" s="21" t="str">
        <f t="shared" si="194"/>
        <v/>
      </c>
      <c r="AY3471" s="21" t="str">
        <f>IF(AND($AM3471&lt;&gt;"",$AS3471&lt;&gt;"✓"),SUMPRODUCT(($AM$11:$AM3471&lt;&gt;"")*($AS$11:$AS3471&lt;&gt;"✓")),"")</f>
        <v/>
      </c>
      <c r="AZ3471" s="21" t="str">
        <f>IF(AND($AM3471&lt;&gt;"",$AS3471="✓"),SUMPRODUCT(($AM$11:$AM3471&lt;&gt;"")*($AS$11:$AS3471="✓")),"")</f>
        <v/>
      </c>
      <c r="BA3471" s="21" t="str">
        <f>IF($AL3471="","",$AL3471&amp;"|"&amp;COUNTIF($AL$11:$AL3471,$AL3471))</f>
        <v/>
      </c>
    </row>
    <row r="3472" spans="38:53" ht="15" customHeight="1" x14ac:dyDescent="0.25">
      <c r="AL3472" s="31"/>
      <c r="AM3472" s="26"/>
      <c r="AN3472" s="32"/>
      <c r="AO3472" s="32"/>
      <c r="AP3472" s="24"/>
      <c r="AQ3472" s="24"/>
      <c r="AR3472" s="33"/>
      <c r="AS3472" s="34"/>
      <c r="AT3472" s="33"/>
      <c r="AV3472" s="21">
        <f>IF(AND($AL3472&lt;&gt;"",COUNTIF($AL$11:$AL3472,$AL3472)=1),1,0)</f>
        <v>0</v>
      </c>
      <c r="AW3472" s="21">
        <f t="shared" si="195"/>
        <v>2</v>
      </c>
      <c r="AX3472" s="21" t="str">
        <f t="shared" si="194"/>
        <v/>
      </c>
      <c r="AY3472" s="21" t="str">
        <f>IF(AND($AM3472&lt;&gt;"",$AS3472&lt;&gt;"✓"),SUMPRODUCT(($AM$11:$AM3472&lt;&gt;"")*($AS$11:$AS3472&lt;&gt;"✓")),"")</f>
        <v/>
      </c>
      <c r="AZ3472" s="21" t="str">
        <f>IF(AND($AM3472&lt;&gt;"",$AS3472="✓"),SUMPRODUCT(($AM$11:$AM3472&lt;&gt;"")*($AS$11:$AS3472="✓")),"")</f>
        <v/>
      </c>
      <c r="BA3472" s="21" t="str">
        <f>IF($AL3472="","",$AL3472&amp;"|"&amp;COUNTIF($AL$11:$AL3472,$AL3472))</f>
        <v/>
      </c>
    </row>
    <row r="3473" spans="38:53" ht="15" customHeight="1" x14ac:dyDescent="0.25">
      <c r="AL3473" s="17"/>
      <c r="AM3473" s="12"/>
      <c r="AN3473" s="18"/>
      <c r="AO3473" s="18"/>
      <c r="AP3473" s="10"/>
      <c r="AQ3473" s="10"/>
      <c r="AR3473" s="19"/>
      <c r="AS3473" s="20"/>
      <c r="AT3473" s="19"/>
      <c r="AV3473" s="21">
        <f>IF(AND($AL3473&lt;&gt;"",COUNTIF($AL$11:$AL3473,$AL3473)=1),1,0)</f>
        <v>0</v>
      </c>
      <c r="AW3473" s="21">
        <f t="shared" si="195"/>
        <v>2</v>
      </c>
      <c r="AX3473" s="21" t="str">
        <f t="shared" si="194"/>
        <v/>
      </c>
      <c r="AY3473" s="21" t="str">
        <f>IF(AND($AM3473&lt;&gt;"",$AS3473&lt;&gt;"✓"),SUMPRODUCT(($AM$11:$AM3473&lt;&gt;"")*($AS$11:$AS3473&lt;&gt;"✓")),"")</f>
        <v/>
      </c>
      <c r="AZ3473" s="21" t="str">
        <f>IF(AND($AM3473&lt;&gt;"",$AS3473="✓"),SUMPRODUCT(($AM$11:$AM3473&lt;&gt;"")*($AS$11:$AS3473="✓")),"")</f>
        <v/>
      </c>
      <c r="BA3473" s="21" t="str">
        <f>IF($AL3473="","",$AL3473&amp;"|"&amp;COUNTIF($AL$11:$AL3473,$AL3473))</f>
        <v/>
      </c>
    </row>
    <row r="3474" spans="38:53" ht="15" customHeight="1" x14ac:dyDescent="0.25">
      <c r="AL3474" s="31"/>
      <c r="AM3474" s="26"/>
      <c r="AN3474" s="32"/>
      <c r="AO3474" s="32"/>
      <c r="AP3474" s="24"/>
      <c r="AQ3474" s="24"/>
      <c r="AR3474" s="33"/>
      <c r="AS3474" s="34"/>
      <c r="AT3474" s="33"/>
      <c r="AV3474" s="21">
        <f>IF(AND($AL3474&lt;&gt;"",COUNTIF($AL$11:$AL3474,$AL3474)=1),1,0)</f>
        <v>0</v>
      </c>
      <c r="AW3474" s="21">
        <f t="shared" si="195"/>
        <v>2</v>
      </c>
      <c r="AX3474" s="21" t="str">
        <f t="shared" si="194"/>
        <v/>
      </c>
      <c r="AY3474" s="21" t="str">
        <f>IF(AND($AM3474&lt;&gt;"",$AS3474&lt;&gt;"✓"),SUMPRODUCT(($AM$11:$AM3474&lt;&gt;"")*($AS$11:$AS3474&lt;&gt;"✓")),"")</f>
        <v/>
      </c>
      <c r="AZ3474" s="21" t="str">
        <f>IF(AND($AM3474&lt;&gt;"",$AS3474="✓"),SUMPRODUCT(($AM$11:$AM3474&lt;&gt;"")*($AS$11:$AS3474="✓")),"")</f>
        <v/>
      </c>
      <c r="BA3474" s="21" t="str">
        <f>IF($AL3474="","",$AL3474&amp;"|"&amp;COUNTIF($AL$11:$AL3474,$AL3474))</f>
        <v/>
      </c>
    </row>
    <row r="3475" spans="38:53" ht="15" customHeight="1" x14ac:dyDescent="0.25">
      <c r="AL3475" s="17"/>
      <c r="AM3475" s="12"/>
      <c r="AN3475" s="18"/>
      <c r="AO3475" s="18"/>
      <c r="AP3475" s="10"/>
      <c r="AQ3475" s="10"/>
      <c r="AR3475" s="19"/>
      <c r="AS3475" s="20"/>
      <c r="AT3475" s="19"/>
      <c r="AV3475" s="21">
        <f>IF(AND($AL3475&lt;&gt;"",COUNTIF($AL$11:$AL3475,$AL3475)=1),1,0)</f>
        <v>0</v>
      </c>
      <c r="AW3475" s="21">
        <f t="shared" si="195"/>
        <v>2</v>
      </c>
      <c r="AX3475" s="21" t="str">
        <f t="shared" si="194"/>
        <v/>
      </c>
      <c r="AY3475" s="21" t="str">
        <f>IF(AND($AM3475&lt;&gt;"",$AS3475&lt;&gt;"✓"),SUMPRODUCT(($AM$11:$AM3475&lt;&gt;"")*($AS$11:$AS3475&lt;&gt;"✓")),"")</f>
        <v/>
      </c>
      <c r="AZ3475" s="21" t="str">
        <f>IF(AND($AM3475&lt;&gt;"",$AS3475="✓"),SUMPRODUCT(($AM$11:$AM3475&lt;&gt;"")*($AS$11:$AS3475="✓")),"")</f>
        <v/>
      </c>
      <c r="BA3475" s="21" t="str">
        <f>IF($AL3475="","",$AL3475&amp;"|"&amp;COUNTIF($AL$11:$AL3475,$AL3475))</f>
        <v/>
      </c>
    </row>
    <row r="3476" spans="38:53" ht="15" customHeight="1" x14ac:dyDescent="0.25">
      <c r="AL3476" s="31"/>
      <c r="AM3476" s="26"/>
      <c r="AN3476" s="32"/>
      <c r="AO3476" s="32"/>
      <c r="AP3476" s="24"/>
      <c r="AQ3476" s="24"/>
      <c r="AR3476" s="33"/>
      <c r="AS3476" s="34"/>
      <c r="AT3476" s="33"/>
      <c r="AV3476" s="21">
        <f>IF(AND($AL3476&lt;&gt;"",COUNTIF($AL$11:$AL3476,$AL3476)=1),1,0)</f>
        <v>0</v>
      </c>
      <c r="AW3476" s="21">
        <f t="shared" si="195"/>
        <v>2</v>
      </c>
      <c r="AX3476" s="21" t="str">
        <f t="shared" si="194"/>
        <v/>
      </c>
      <c r="AY3476" s="21" t="str">
        <f>IF(AND($AM3476&lt;&gt;"",$AS3476&lt;&gt;"✓"),SUMPRODUCT(($AM$11:$AM3476&lt;&gt;"")*($AS$11:$AS3476&lt;&gt;"✓")),"")</f>
        <v/>
      </c>
      <c r="AZ3476" s="21" t="str">
        <f>IF(AND($AM3476&lt;&gt;"",$AS3476="✓"),SUMPRODUCT(($AM$11:$AM3476&lt;&gt;"")*($AS$11:$AS3476="✓")),"")</f>
        <v/>
      </c>
      <c r="BA3476" s="21" t="str">
        <f>IF($AL3476="","",$AL3476&amp;"|"&amp;COUNTIF($AL$11:$AL3476,$AL3476))</f>
        <v/>
      </c>
    </row>
    <row r="3477" spans="38:53" ht="15" customHeight="1" x14ac:dyDescent="0.25">
      <c r="AL3477" s="17"/>
      <c r="AM3477" s="12"/>
      <c r="AN3477" s="18"/>
      <c r="AO3477" s="18"/>
      <c r="AP3477" s="10"/>
      <c r="AQ3477" s="10"/>
      <c r="AR3477" s="19"/>
      <c r="AS3477" s="20"/>
      <c r="AT3477" s="19"/>
      <c r="AV3477" s="21">
        <f>IF(AND($AL3477&lt;&gt;"",COUNTIF($AL$11:$AL3477,$AL3477)=1),1,0)</f>
        <v>0</v>
      </c>
      <c r="AW3477" s="21">
        <f t="shared" si="195"/>
        <v>2</v>
      </c>
      <c r="AX3477" s="21" t="str">
        <f t="shared" si="194"/>
        <v/>
      </c>
      <c r="AY3477" s="21" t="str">
        <f>IF(AND($AM3477&lt;&gt;"",$AS3477&lt;&gt;"✓"),SUMPRODUCT(($AM$11:$AM3477&lt;&gt;"")*($AS$11:$AS3477&lt;&gt;"✓")),"")</f>
        <v/>
      </c>
      <c r="AZ3477" s="21" t="str">
        <f>IF(AND($AM3477&lt;&gt;"",$AS3477="✓"),SUMPRODUCT(($AM$11:$AM3477&lt;&gt;"")*($AS$11:$AS3477="✓")),"")</f>
        <v/>
      </c>
      <c r="BA3477" s="21" t="str">
        <f>IF($AL3477="","",$AL3477&amp;"|"&amp;COUNTIF($AL$11:$AL3477,$AL3477))</f>
        <v/>
      </c>
    </row>
    <row r="3478" spans="38:53" ht="15" customHeight="1" x14ac:dyDescent="0.25">
      <c r="AL3478" s="31"/>
      <c r="AM3478" s="26"/>
      <c r="AN3478" s="32"/>
      <c r="AO3478" s="32"/>
      <c r="AP3478" s="24"/>
      <c r="AQ3478" s="24"/>
      <c r="AR3478" s="33"/>
      <c r="AS3478" s="34"/>
      <c r="AT3478" s="33"/>
      <c r="AV3478" s="21">
        <f>IF(AND($AL3478&lt;&gt;"",COUNTIF($AL$11:$AL3478,$AL3478)=1),1,0)</f>
        <v>0</v>
      </c>
      <c r="AW3478" s="21">
        <f t="shared" si="195"/>
        <v>2</v>
      </c>
      <c r="AX3478" s="21" t="str">
        <f t="shared" si="194"/>
        <v/>
      </c>
      <c r="AY3478" s="21" t="str">
        <f>IF(AND($AM3478&lt;&gt;"",$AS3478&lt;&gt;"✓"),SUMPRODUCT(($AM$11:$AM3478&lt;&gt;"")*($AS$11:$AS3478&lt;&gt;"✓")),"")</f>
        <v/>
      </c>
      <c r="AZ3478" s="21" t="str">
        <f>IF(AND($AM3478&lt;&gt;"",$AS3478="✓"),SUMPRODUCT(($AM$11:$AM3478&lt;&gt;"")*($AS$11:$AS3478="✓")),"")</f>
        <v/>
      </c>
      <c r="BA3478" s="21" t="str">
        <f>IF($AL3478="","",$AL3478&amp;"|"&amp;COUNTIF($AL$11:$AL3478,$AL3478))</f>
        <v/>
      </c>
    </row>
    <row r="3479" spans="38:53" ht="15" customHeight="1" x14ac:dyDescent="0.25">
      <c r="AL3479" s="17"/>
      <c r="AM3479" s="12"/>
      <c r="AN3479" s="18"/>
      <c r="AO3479" s="18"/>
      <c r="AP3479" s="10"/>
      <c r="AQ3479" s="10"/>
      <c r="AR3479" s="19"/>
      <c r="AS3479" s="20"/>
      <c r="AT3479" s="19"/>
      <c r="AV3479" s="21">
        <f>IF(AND($AL3479&lt;&gt;"",COUNTIF($AL$11:$AL3479,$AL3479)=1),1,0)</f>
        <v>0</v>
      </c>
      <c r="AW3479" s="21">
        <f t="shared" si="195"/>
        <v>2</v>
      </c>
      <c r="AX3479" s="21" t="str">
        <f t="shared" si="194"/>
        <v/>
      </c>
      <c r="AY3479" s="21" t="str">
        <f>IF(AND($AM3479&lt;&gt;"",$AS3479&lt;&gt;"✓"),SUMPRODUCT(($AM$11:$AM3479&lt;&gt;"")*($AS$11:$AS3479&lt;&gt;"✓")),"")</f>
        <v/>
      </c>
      <c r="AZ3479" s="21" t="str">
        <f>IF(AND($AM3479&lt;&gt;"",$AS3479="✓"),SUMPRODUCT(($AM$11:$AM3479&lt;&gt;"")*($AS$11:$AS3479="✓")),"")</f>
        <v/>
      </c>
      <c r="BA3479" s="21" t="str">
        <f>IF($AL3479="","",$AL3479&amp;"|"&amp;COUNTIF($AL$11:$AL3479,$AL3479))</f>
        <v/>
      </c>
    </row>
    <row r="3480" spans="38:53" ht="15" customHeight="1" x14ac:dyDescent="0.25">
      <c r="AL3480" s="31"/>
      <c r="AM3480" s="26"/>
      <c r="AN3480" s="32"/>
      <c r="AO3480" s="32"/>
      <c r="AP3480" s="24"/>
      <c r="AQ3480" s="24"/>
      <c r="AR3480" s="33"/>
      <c r="AS3480" s="34"/>
      <c r="AT3480" s="33"/>
      <c r="AV3480" s="21">
        <f>IF(AND($AL3480&lt;&gt;"",COUNTIF($AL$11:$AL3480,$AL3480)=1),1,0)</f>
        <v>0</v>
      </c>
      <c r="AW3480" s="21">
        <f t="shared" si="195"/>
        <v>2</v>
      </c>
      <c r="AX3480" s="21" t="str">
        <f t="shared" si="194"/>
        <v/>
      </c>
      <c r="AY3480" s="21" t="str">
        <f>IF(AND($AM3480&lt;&gt;"",$AS3480&lt;&gt;"✓"),SUMPRODUCT(($AM$11:$AM3480&lt;&gt;"")*($AS$11:$AS3480&lt;&gt;"✓")),"")</f>
        <v/>
      </c>
      <c r="AZ3480" s="21" t="str">
        <f>IF(AND($AM3480&lt;&gt;"",$AS3480="✓"),SUMPRODUCT(($AM$11:$AM3480&lt;&gt;"")*($AS$11:$AS3480="✓")),"")</f>
        <v/>
      </c>
      <c r="BA3480" s="21" t="str">
        <f>IF($AL3480="","",$AL3480&amp;"|"&amp;COUNTIF($AL$11:$AL3480,$AL3480))</f>
        <v/>
      </c>
    </row>
    <row r="3481" spans="38:53" ht="15" customHeight="1" x14ac:dyDescent="0.25">
      <c r="AL3481" s="17"/>
      <c r="AM3481" s="12"/>
      <c r="AN3481" s="18"/>
      <c r="AO3481" s="18"/>
      <c r="AP3481" s="10"/>
      <c r="AQ3481" s="10"/>
      <c r="AR3481" s="19"/>
      <c r="AS3481" s="20"/>
      <c r="AT3481" s="19"/>
      <c r="AV3481" s="21">
        <f>IF(AND($AL3481&lt;&gt;"",COUNTIF($AL$11:$AL3481,$AL3481)=1),1,0)</f>
        <v>0</v>
      </c>
      <c r="AW3481" s="21">
        <f t="shared" si="195"/>
        <v>2</v>
      </c>
      <c r="AX3481" s="21" t="str">
        <f t="shared" si="194"/>
        <v/>
      </c>
      <c r="AY3481" s="21" t="str">
        <f>IF(AND($AM3481&lt;&gt;"",$AS3481&lt;&gt;"✓"),SUMPRODUCT(($AM$11:$AM3481&lt;&gt;"")*($AS$11:$AS3481&lt;&gt;"✓")),"")</f>
        <v/>
      </c>
      <c r="AZ3481" s="21" t="str">
        <f>IF(AND($AM3481&lt;&gt;"",$AS3481="✓"),SUMPRODUCT(($AM$11:$AM3481&lt;&gt;"")*($AS$11:$AS3481="✓")),"")</f>
        <v/>
      </c>
      <c r="BA3481" s="21" t="str">
        <f>IF($AL3481="","",$AL3481&amp;"|"&amp;COUNTIF($AL$11:$AL3481,$AL3481))</f>
        <v/>
      </c>
    </row>
    <row r="3482" spans="38:53" ht="15" customHeight="1" x14ac:dyDescent="0.25">
      <c r="AL3482" s="31"/>
      <c r="AM3482" s="26"/>
      <c r="AN3482" s="32"/>
      <c r="AO3482" s="32"/>
      <c r="AP3482" s="24"/>
      <c r="AQ3482" s="24"/>
      <c r="AR3482" s="33"/>
      <c r="AS3482" s="34"/>
      <c r="AT3482" s="33"/>
      <c r="AV3482" s="21">
        <f>IF(AND($AL3482&lt;&gt;"",COUNTIF($AL$11:$AL3482,$AL3482)=1),1,0)</f>
        <v>0</v>
      </c>
      <c r="AW3482" s="21">
        <f t="shared" si="195"/>
        <v>2</v>
      </c>
      <c r="AX3482" s="21" t="str">
        <f t="shared" si="194"/>
        <v/>
      </c>
      <c r="AY3482" s="21" t="str">
        <f>IF(AND($AM3482&lt;&gt;"",$AS3482&lt;&gt;"✓"),SUMPRODUCT(($AM$11:$AM3482&lt;&gt;"")*($AS$11:$AS3482&lt;&gt;"✓")),"")</f>
        <v/>
      </c>
      <c r="AZ3482" s="21" t="str">
        <f>IF(AND($AM3482&lt;&gt;"",$AS3482="✓"),SUMPRODUCT(($AM$11:$AM3482&lt;&gt;"")*($AS$11:$AS3482="✓")),"")</f>
        <v/>
      </c>
      <c r="BA3482" s="21" t="str">
        <f>IF($AL3482="","",$AL3482&amp;"|"&amp;COUNTIF($AL$11:$AL3482,$AL3482))</f>
        <v/>
      </c>
    </row>
    <row r="3483" spans="38:53" ht="15" customHeight="1" x14ac:dyDescent="0.25">
      <c r="AL3483" s="17"/>
      <c r="AM3483" s="12"/>
      <c r="AN3483" s="18"/>
      <c r="AO3483" s="18"/>
      <c r="AP3483" s="10"/>
      <c r="AQ3483" s="10"/>
      <c r="AR3483" s="19"/>
      <c r="AS3483" s="20"/>
      <c r="AT3483" s="19"/>
      <c r="AV3483" s="21">
        <f>IF(AND($AL3483&lt;&gt;"",COUNTIF($AL$11:$AL3483,$AL3483)=1),1,0)</f>
        <v>0</v>
      </c>
      <c r="AW3483" s="21">
        <f t="shared" si="195"/>
        <v>2</v>
      </c>
      <c r="AX3483" s="21" t="str">
        <f t="shared" si="194"/>
        <v/>
      </c>
      <c r="AY3483" s="21" t="str">
        <f>IF(AND($AM3483&lt;&gt;"",$AS3483&lt;&gt;"✓"),SUMPRODUCT(($AM$11:$AM3483&lt;&gt;"")*($AS$11:$AS3483&lt;&gt;"✓")),"")</f>
        <v/>
      </c>
      <c r="AZ3483" s="21" t="str">
        <f>IF(AND($AM3483&lt;&gt;"",$AS3483="✓"),SUMPRODUCT(($AM$11:$AM3483&lt;&gt;"")*($AS$11:$AS3483="✓")),"")</f>
        <v/>
      </c>
      <c r="BA3483" s="21" t="str">
        <f>IF($AL3483="","",$AL3483&amp;"|"&amp;COUNTIF($AL$11:$AL3483,$AL3483))</f>
        <v/>
      </c>
    </row>
    <row r="3484" spans="38:53" ht="15" customHeight="1" x14ac:dyDescent="0.25">
      <c r="AL3484" s="31"/>
      <c r="AM3484" s="26"/>
      <c r="AN3484" s="32"/>
      <c r="AO3484" s="32"/>
      <c r="AP3484" s="24"/>
      <c r="AQ3484" s="24"/>
      <c r="AR3484" s="33"/>
      <c r="AS3484" s="34"/>
      <c r="AT3484" s="33"/>
      <c r="AV3484" s="21">
        <f>IF(AND($AL3484&lt;&gt;"",COUNTIF($AL$11:$AL3484,$AL3484)=1),1,0)</f>
        <v>0</v>
      </c>
      <c r="AW3484" s="21">
        <f t="shared" si="195"/>
        <v>2</v>
      </c>
      <c r="AX3484" s="21" t="str">
        <f t="shared" si="194"/>
        <v/>
      </c>
      <c r="AY3484" s="21" t="str">
        <f>IF(AND($AM3484&lt;&gt;"",$AS3484&lt;&gt;"✓"),SUMPRODUCT(($AM$11:$AM3484&lt;&gt;"")*($AS$11:$AS3484&lt;&gt;"✓")),"")</f>
        <v/>
      </c>
      <c r="AZ3484" s="21" t="str">
        <f>IF(AND($AM3484&lt;&gt;"",$AS3484="✓"),SUMPRODUCT(($AM$11:$AM3484&lt;&gt;"")*($AS$11:$AS3484="✓")),"")</f>
        <v/>
      </c>
      <c r="BA3484" s="21" t="str">
        <f>IF($AL3484="","",$AL3484&amp;"|"&amp;COUNTIF($AL$11:$AL3484,$AL3484))</f>
        <v/>
      </c>
    </row>
    <row r="3485" spans="38:53" ht="15" customHeight="1" x14ac:dyDescent="0.25">
      <c r="AL3485" s="17"/>
      <c r="AM3485" s="12"/>
      <c r="AN3485" s="18"/>
      <c r="AO3485" s="18"/>
      <c r="AP3485" s="10"/>
      <c r="AQ3485" s="10"/>
      <c r="AR3485" s="19"/>
      <c r="AS3485" s="20"/>
      <c r="AT3485" s="19"/>
      <c r="AV3485" s="21">
        <f>IF(AND($AL3485&lt;&gt;"",COUNTIF($AL$11:$AL3485,$AL3485)=1),1,0)</f>
        <v>0</v>
      </c>
      <c r="AW3485" s="21">
        <f t="shared" si="195"/>
        <v>2</v>
      </c>
      <c r="AX3485" s="21" t="str">
        <f t="shared" si="194"/>
        <v/>
      </c>
      <c r="AY3485" s="21" t="str">
        <f>IF(AND($AM3485&lt;&gt;"",$AS3485&lt;&gt;"✓"),SUMPRODUCT(($AM$11:$AM3485&lt;&gt;"")*($AS$11:$AS3485&lt;&gt;"✓")),"")</f>
        <v/>
      </c>
      <c r="AZ3485" s="21" t="str">
        <f>IF(AND($AM3485&lt;&gt;"",$AS3485="✓"),SUMPRODUCT(($AM$11:$AM3485&lt;&gt;"")*($AS$11:$AS3485="✓")),"")</f>
        <v/>
      </c>
      <c r="BA3485" s="21" t="str">
        <f>IF($AL3485="","",$AL3485&amp;"|"&amp;COUNTIF($AL$11:$AL3485,$AL3485))</f>
        <v/>
      </c>
    </row>
    <row r="3486" spans="38:53" ht="15" customHeight="1" x14ac:dyDescent="0.25">
      <c r="AL3486" s="31"/>
      <c r="AM3486" s="26"/>
      <c r="AN3486" s="32"/>
      <c r="AO3486" s="32"/>
      <c r="AP3486" s="24"/>
      <c r="AQ3486" s="24"/>
      <c r="AR3486" s="33"/>
      <c r="AS3486" s="34"/>
      <c r="AT3486" s="33"/>
      <c r="AV3486" s="21">
        <f>IF(AND($AL3486&lt;&gt;"",COUNTIF($AL$11:$AL3486,$AL3486)=1),1,0)</f>
        <v>0</v>
      </c>
      <c r="AW3486" s="21">
        <f t="shared" si="195"/>
        <v>2</v>
      </c>
      <c r="AX3486" s="21" t="str">
        <f t="shared" si="194"/>
        <v/>
      </c>
      <c r="AY3486" s="21" t="str">
        <f>IF(AND($AM3486&lt;&gt;"",$AS3486&lt;&gt;"✓"),SUMPRODUCT(($AM$11:$AM3486&lt;&gt;"")*($AS$11:$AS3486&lt;&gt;"✓")),"")</f>
        <v/>
      </c>
      <c r="AZ3486" s="21" t="str">
        <f>IF(AND($AM3486&lt;&gt;"",$AS3486="✓"),SUMPRODUCT(($AM$11:$AM3486&lt;&gt;"")*($AS$11:$AS3486="✓")),"")</f>
        <v/>
      </c>
      <c r="BA3486" s="21" t="str">
        <f>IF($AL3486="","",$AL3486&amp;"|"&amp;COUNTIF($AL$11:$AL3486,$AL3486))</f>
        <v/>
      </c>
    </row>
    <row r="3487" spans="38:53" ht="15" customHeight="1" x14ac:dyDescent="0.25">
      <c r="AL3487" s="17"/>
      <c r="AM3487" s="12"/>
      <c r="AN3487" s="18"/>
      <c r="AO3487" s="18"/>
      <c r="AP3487" s="10"/>
      <c r="AQ3487" s="10"/>
      <c r="AR3487" s="19"/>
      <c r="AS3487" s="20"/>
      <c r="AT3487" s="19"/>
      <c r="AV3487" s="21">
        <f>IF(AND($AL3487&lt;&gt;"",COUNTIF($AL$11:$AL3487,$AL3487)=1),1,0)</f>
        <v>0</v>
      </c>
      <c r="AW3487" s="21">
        <f t="shared" si="195"/>
        <v>2</v>
      </c>
      <c r="AX3487" s="21" t="str">
        <f t="shared" si="194"/>
        <v/>
      </c>
      <c r="AY3487" s="21" t="str">
        <f>IF(AND($AM3487&lt;&gt;"",$AS3487&lt;&gt;"✓"),SUMPRODUCT(($AM$11:$AM3487&lt;&gt;"")*($AS$11:$AS3487&lt;&gt;"✓")),"")</f>
        <v/>
      </c>
      <c r="AZ3487" s="21" t="str">
        <f>IF(AND($AM3487&lt;&gt;"",$AS3487="✓"),SUMPRODUCT(($AM$11:$AM3487&lt;&gt;"")*($AS$11:$AS3487="✓")),"")</f>
        <v/>
      </c>
      <c r="BA3487" s="21" t="str">
        <f>IF($AL3487="","",$AL3487&amp;"|"&amp;COUNTIF($AL$11:$AL3487,$AL3487))</f>
        <v/>
      </c>
    </row>
    <row r="3488" spans="38:53" ht="15" customHeight="1" x14ac:dyDescent="0.25">
      <c r="AL3488" s="31"/>
      <c r="AM3488" s="26"/>
      <c r="AN3488" s="32"/>
      <c r="AO3488" s="32"/>
      <c r="AP3488" s="24"/>
      <c r="AQ3488" s="24"/>
      <c r="AR3488" s="33"/>
      <c r="AS3488" s="34"/>
      <c r="AT3488" s="33"/>
      <c r="AV3488" s="21">
        <f>IF(AND($AL3488&lt;&gt;"",COUNTIF($AL$11:$AL3488,$AL3488)=1),1,0)</f>
        <v>0</v>
      </c>
      <c r="AW3488" s="21">
        <f t="shared" si="195"/>
        <v>2</v>
      </c>
      <c r="AX3488" s="21" t="str">
        <f t="shared" si="194"/>
        <v/>
      </c>
      <c r="AY3488" s="21" t="str">
        <f>IF(AND($AM3488&lt;&gt;"",$AS3488&lt;&gt;"✓"),SUMPRODUCT(($AM$11:$AM3488&lt;&gt;"")*($AS$11:$AS3488&lt;&gt;"✓")),"")</f>
        <v/>
      </c>
      <c r="AZ3488" s="21" t="str">
        <f>IF(AND($AM3488&lt;&gt;"",$AS3488="✓"),SUMPRODUCT(($AM$11:$AM3488&lt;&gt;"")*($AS$11:$AS3488="✓")),"")</f>
        <v/>
      </c>
      <c r="BA3488" s="21" t="str">
        <f>IF($AL3488="","",$AL3488&amp;"|"&amp;COUNTIF($AL$11:$AL3488,$AL3488))</f>
        <v/>
      </c>
    </row>
    <row r="3489" spans="38:53" ht="15" customHeight="1" x14ac:dyDescent="0.25">
      <c r="AL3489" s="17"/>
      <c r="AM3489" s="12"/>
      <c r="AN3489" s="18"/>
      <c r="AO3489" s="18"/>
      <c r="AP3489" s="10"/>
      <c r="AQ3489" s="10"/>
      <c r="AR3489" s="19"/>
      <c r="AS3489" s="20"/>
      <c r="AT3489" s="19"/>
      <c r="AV3489" s="21">
        <f>IF(AND($AL3489&lt;&gt;"",COUNTIF($AL$11:$AL3489,$AL3489)=1),1,0)</f>
        <v>0</v>
      </c>
      <c r="AW3489" s="21">
        <f t="shared" si="195"/>
        <v>2</v>
      </c>
      <c r="AX3489" s="21" t="str">
        <f t="shared" si="194"/>
        <v/>
      </c>
      <c r="AY3489" s="21" t="str">
        <f>IF(AND($AM3489&lt;&gt;"",$AS3489&lt;&gt;"✓"),SUMPRODUCT(($AM$11:$AM3489&lt;&gt;"")*($AS$11:$AS3489&lt;&gt;"✓")),"")</f>
        <v/>
      </c>
      <c r="AZ3489" s="21" t="str">
        <f>IF(AND($AM3489&lt;&gt;"",$AS3489="✓"),SUMPRODUCT(($AM$11:$AM3489&lt;&gt;"")*($AS$11:$AS3489="✓")),"")</f>
        <v/>
      </c>
      <c r="BA3489" s="21" t="str">
        <f>IF($AL3489="","",$AL3489&amp;"|"&amp;COUNTIF($AL$11:$AL3489,$AL3489))</f>
        <v/>
      </c>
    </row>
    <row r="3490" spans="38:53" ht="15" customHeight="1" x14ac:dyDescent="0.25">
      <c r="AL3490" s="31"/>
      <c r="AM3490" s="26"/>
      <c r="AN3490" s="32"/>
      <c r="AO3490" s="32"/>
      <c r="AP3490" s="24"/>
      <c r="AQ3490" s="24"/>
      <c r="AR3490" s="33"/>
      <c r="AS3490" s="34"/>
      <c r="AT3490" s="33"/>
      <c r="AV3490" s="21">
        <f>IF(AND($AL3490&lt;&gt;"",COUNTIF($AL$11:$AL3490,$AL3490)=1),1,0)</f>
        <v>0</v>
      </c>
      <c r="AW3490" s="21">
        <f t="shared" si="195"/>
        <v>2</v>
      </c>
      <c r="AX3490" s="21" t="str">
        <f t="shared" si="194"/>
        <v/>
      </c>
      <c r="AY3490" s="21" t="str">
        <f>IF(AND($AM3490&lt;&gt;"",$AS3490&lt;&gt;"✓"),SUMPRODUCT(($AM$11:$AM3490&lt;&gt;"")*($AS$11:$AS3490&lt;&gt;"✓")),"")</f>
        <v/>
      </c>
      <c r="AZ3490" s="21" t="str">
        <f>IF(AND($AM3490&lt;&gt;"",$AS3490="✓"),SUMPRODUCT(($AM$11:$AM3490&lt;&gt;"")*($AS$11:$AS3490="✓")),"")</f>
        <v/>
      </c>
      <c r="BA3490" s="21" t="str">
        <f>IF($AL3490="","",$AL3490&amp;"|"&amp;COUNTIF($AL$11:$AL3490,$AL3490))</f>
        <v/>
      </c>
    </row>
    <row r="3491" spans="38:53" ht="15" customHeight="1" x14ac:dyDescent="0.25">
      <c r="AL3491" s="17"/>
      <c r="AM3491" s="12"/>
      <c r="AN3491" s="18"/>
      <c r="AO3491" s="18"/>
      <c r="AP3491" s="10"/>
      <c r="AQ3491" s="10"/>
      <c r="AR3491" s="19"/>
      <c r="AS3491" s="20"/>
      <c r="AT3491" s="19"/>
      <c r="AV3491" s="21">
        <f>IF(AND($AL3491&lt;&gt;"",COUNTIF($AL$11:$AL3491,$AL3491)=1),1,0)</f>
        <v>0</v>
      </c>
      <c r="AW3491" s="21">
        <f t="shared" si="195"/>
        <v>2</v>
      </c>
      <c r="AX3491" s="21" t="str">
        <f t="shared" si="194"/>
        <v/>
      </c>
      <c r="AY3491" s="21" t="str">
        <f>IF(AND($AM3491&lt;&gt;"",$AS3491&lt;&gt;"✓"),SUMPRODUCT(($AM$11:$AM3491&lt;&gt;"")*($AS$11:$AS3491&lt;&gt;"✓")),"")</f>
        <v/>
      </c>
      <c r="AZ3491" s="21" t="str">
        <f>IF(AND($AM3491&lt;&gt;"",$AS3491="✓"),SUMPRODUCT(($AM$11:$AM3491&lt;&gt;"")*($AS$11:$AS3491="✓")),"")</f>
        <v/>
      </c>
      <c r="BA3491" s="21" t="str">
        <f>IF($AL3491="","",$AL3491&amp;"|"&amp;COUNTIF($AL$11:$AL3491,$AL3491))</f>
        <v/>
      </c>
    </row>
    <row r="3492" spans="38:53" ht="15" customHeight="1" x14ac:dyDescent="0.25">
      <c r="AL3492" s="31"/>
      <c r="AM3492" s="26"/>
      <c r="AN3492" s="32"/>
      <c r="AO3492" s="32"/>
      <c r="AP3492" s="24"/>
      <c r="AQ3492" s="24"/>
      <c r="AR3492" s="33"/>
      <c r="AS3492" s="34"/>
      <c r="AT3492" s="33"/>
      <c r="AV3492" s="21">
        <f>IF(AND($AL3492&lt;&gt;"",COUNTIF($AL$11:$AL3492,$AL3492)=1),1,0)</f>
        <v>0</v>
      </c>
      <c r="AW3492" s="21">
        <f t="shared" si="195"/>
        <v>2</v>
      </c>
      <c r="AX3492" s="21" t="str">
        <f t="shared" si="194"/>
        <v/>
      </c>
      <c r="AY3492" s="21" t="str">
        <f>IF(AND($AM3492&lt;&gt;"",$AS3492&lt;&gt;"✓"),SUMPRODUCT(($AM$11:$AM3492&lt;&gt;"")*($AS$11:$AS3492&lt;&gt;"✓")),"")</f>
        <v/>
      </c>
      <c r="AZ3492" s="21" t="str">
        <f>IF(AND($AM3492&lt;&gt;"",$AS3492="✓"),SUMPRODUCT(($AM$11:$AM3492&lt;&gt;"")*($AS$11:$AS3492="✓")),"")</f>
        <v/>
      </c>
      <c r="BA3492" s="21" t="str">
        <f>IF($AL3492="","",$AL3492&amp;"|"&amp;COUNTIF($AL$11:$AL3492,$AL3492))</f>
        <v/>
      </c>
    </row>
    <row r="3493" spans="38:53" ht="15" customHeight="1" x14ac:dyDescent="0.25">
      <c r="AL3493" s="17"/>
      <c r="AM3493" s="12"/>
      <c r="AN3493" s="18"/>
      <c r="AO3493" s="18"/>
      <c r="AP3493" s="10"/>
      <c r="AQ3493" s="10"/>
      <c r="AR3493" s="19"/>
      <c r="AS3493" s="20"/>
      <c r="AT3493" s="19"/>
      <c r="AV3493" s="21">
        <f>IF(AND($AL3493&lt;&gt;"",COUNTIF($AL$11:$AL3493,$AL3493)=1),1,0)</f>
        <v>0</v>
      </c>
      <c r="AW3493" s="21">
        <f t="shared" si="195"/>
        <v>2</v>
      </c>
      <c r="AX3493" s="21" t="str">
        <f t="shared" si="194"/>
        <v/>
      </c>
      <c r="AY3493" s="21" t="str">
        <f>IF(AND($AM3493&lt;&gt;"",$AS3493&lt;&gt;"✓"),SUMPRODUCT(($AM$11:$AM3493&lt;&gt;"")*($AS$11:$AS3493&lt;&gt;"✓")),"")</f>
        <v/>
      </c>
      <c r="AZ3493" s="21" t="str">
        <f>IF(AND($AM3493&lt;&gt;"",$AS3493="✓"),SUMPRODUCT(($AM$11:$AM3493&lt;&gt;"")*($AS$11:$AS3493="✓")),"")</f>
        <v/>
      </c>
      <c r="BA3493" s="21" t="str">
        <f>IF($AL3493="","",$AL3493&amp;"|"&amp;COUNTIF($AL$11:$AL3493,$AL3493))</f>
        <v/>
      </c>
    </row>
    <row r="3494" spans="38:53" ht="15" customHeight="1" x14ac:dyDescent="0.25">
      <c r="AL3494" s="31"/>
      <c r="AM3494" s="26"/>
      <c r="AN3494" s="32"/>
      <c r="AO3494" s="32"/>
      <c r="AP3494" s="24"/>
      <c r="AQ3494" s="24"/>
      <c r="AR3494" s="33"/>
      <c r="AS3494" s="34"/>
      <c r="AT3494" s="33"/>
      <c r="AV3494" s="21">
        <f>IF(AND($AL3494&lt;&gt;"",COUNTIF($AL$11:$AL3494,$AL3494)=1),1,0)</f>
        <v>0</v>
      </c>
      <c r="AW3494" s="21">
        <f t="shared" si="195"/>
        <v>2</v>
      </c>
      <c r="AX3494" s="21" t="str">
        <f t="shared" si="194"/>
        <v/>
      </c>
      <c r="AY3494" s="21" t="str">
        <f>IF(AND($AM3494&lt;&gt;"",$AS3494&lt;&gt;"✓"),SUMPRODUCT(($AM$11:$AM3494&lt;&gt;"")*($AS$11:$AS3494&lt;&gt;"✓")),"")</f>
        <v/>
      </c>
      <c r="AZ3494" s="21" t="str">
        <f>IF(AND($AM3494&lt;&gt;"",$AS3494="✓"),SUMPRODUCT(($AM$11:$AM3494&lt;&gt;"")*($AS$11:$AS3494="✓")),"")</f>
        <v/>
      </c>
      <c r="BA3494" s="21" t="str">
        <f>IF($AL3494="","",$AL3494&amp;"|"&amp;COUNTIF($AL$11:$AL3494,$AL3494))</f>
        <v/>
      </c>
    </row>
    <row r="3495" spans="38:53" ht="15" customHeight="1" x14ac:dyDescent="0.25">
      <c r="AL3495" s="17"/>
      <c r="AM3495" s="12"/>
      <c r="AN3495" s="18"/>
      <c r="AO3495" s="18"/>
      <c r="AP3495" s="10"/>
      <c r="AQ3495" s="10"/>
      <c r="AR3495" s="19"/>
      <c r="AS3495" s="20"/>
      <c r="AT3495" s="19"/>
      <c r="AV3495" s="21">
        <f>IF(AND($AL3495&lt;&gt;"",COUNTIF($AL$11:$AL3495,$AL3495)=1),1,0)</f>
        <v>0</v>
      </c>
      <c r="AW3495" s="21">
        <f t="shared" si="195"/>
        <v>2</v>
      </c>
      <c r="AX3495" s="21" t="str">
        <f t="shared" si="194"/>
        <v/>
      </c>
      <c r="AY3495" s="21" t="str">
        <f>IF(AND($AM3495&lt;&gt;"",$AS3495&lt;&gt;"✓"),SUMPRODUCT(($AM$11:$AM3495&lt;&gt;"")*($AS$11:$AS3495&lt;&gt;"✓")),"")</f>
        <v/>
      </c>
      <c r="AZ3495" s="21" t="str">
        <f>IF(AND($AM3495&lt;&gt;"",$AS3495="✓"),SUMPRODUCT(($AM$11:$AM3495&lt;&gt;"")*($AS$11:$AS3495="✓")),"")</f>
        <v/>
      </c>
      <c r="BA3495" s="21" t="str">
        <f>IF($AL3495="","",$AL3495&amp;"|"&amp;COUNTIF($AL$11:$AL3495,$AL3495))</f>
        <v/>
      </c>
    </row>
    <row r="3496" spans="38:53" ht="15" customHeight="1" x14ac:dyDescent="0.25">
      <c r="AL3496" s="31"/>
      <c r="AM3496" s="26"/>
      <c r="AN3496" s="32"/>
      <c r="AO3496" s="32"/>
      <c r="AP3496" s="24"/>
      <c r="AQ3496" s="24"/>
      <c r="AR3496" s="33"/>
      <c r="AS3496" s="34"/>
      <c r="AT3496" s="33"/>
      <c r="AV3496" s="21">
        <f>IF(AND($AL3496&lt;&gt;"",COUNTIF($AL$11:$AL3496,$AL3496)=1),1,0)</f>
        <v>0</v>
      </c>
      <c r="AW3496" s="21">
        <f t="shared" si="195"/>
        <v>2</v>
      </c>
      <c r="AX3496" s="21" t="str">
        <f t="shared" si="194"/>
        <v/>
      </c>
      <c r="AY3496" s="21" t="str">
        <f>IF(AND($AM3496&lt;&gt;"",$AS3496&lt;&gt;"✓"),SUMPRODUCT(($AM$11:$AM3496&lt;&gt;"")*($AS$11:$AS3496&lt;&gt;"✓")),"")</f>
        <v/>
      </c>
      <c r="AZ3496" s="21" t="str">
        <f>IF(AND($AM3496&lt;&gt;"",$AS3496="✓"),SUMPRODUCT(($AM$11:$AM3496&lt;&gt;"")*($AS$11:$AS3496="✓")),"")</f>
        <v/>
      </c>
      <c r="BA3496" s="21" t="str">
        <f>IF($AL3496="","",$AL3496&amp;"|"&amp;COUNTIF($AL$11:$AL3496,$AL3496))</f>
        <v/>
      </c>
    </row>
    <row r="3497" spans="38:53" ht="15" customHeight="1" x14ac:dyDescent="0.25">
      <c r="AL3497" s="17"/>
      <c r="AM3497" s="12"/>
      <c r="AN3497" s="18"/>
      <c r="AO3497" s="18"/>
      <c r="AP3497" s="10"/>
      <c r="AQ3497" s="10"/>
      <c r="AR3497" s="19"/>
      <c r="AS3497" s="20"/>
      <c r="AT3497" s="19"/>
      <c r="AV3497" s="21">
        <f>IF(AND($AL3497&lt;&gt;"",COUNTIF($AL$11:$AL3497,$AL3497)=1),1,0)</f>
        <v>0</v>
      </c>
      <c r="AW3497" s="21">
        <f t="shared" si="195"/>
        <v>2</v>
      </c>
      <c r="AX3497" s="21" t="str">
        <f t="shared" si="194"/>
        <v/>
      </c>
      <c r="AY3497" s="21" t="str">
        <f>IF(AND($AM3497&lt;&gt;"",$AS3497&lt;&gt;"✓"),SUMPRODUCT(($AM$11:$AM3497&lt;&gt;"")*($AS$11:$AS3497&lt;&gt;"✓")),"")</f>
        <v/>
      </c>
      <c r="AZ3497" s="21" t="str">
        <f>IF(AND($AM3497&lt;&gt;"",$AS3497="✓"),SUMPRODUCT(($AM$11:$AM3497&lt;&gt;"")*($AS$11:$AS3497="✓")),"")</f>
        <v/>
      </c>
      <c r="BA3497" s="21" t="str">
        <f>IF($AL3497="","",$AL3497&amp;"|"&amp;COUNTIF($AL$11:$AL3497,$AL3497))</f>
        <v/>
      </c>
    </row>
    <row r="3498" spans="38:53" ht="15" customHeight="1" x14ac:dyDescent="0.25">
      <c r="AL3498" s="31"/>
      <c r="AM3498" s="26"/>
      <c r="AN3498" s="32"/>
      <c r="AO3498" s="32"/>
      <c r="AP3498" s="24"/>
      <c r="AQ3498" s="24"/>
      <c r="AR3498" s="33"/>
      <c r="AS3498" s="34"/>
      <c r="AT3498" s="33"/>
      <c r="AV3498" s="21">
        <f>IF(AND($AL3498&lt;&gt;"",COUNTIF($AL$11:$AL3498,$AL3498)=1),1,0)</f>
        <v>0</v>
      </c>
      <c r="AW3498" s="21">
        <f t="shared" si="195"/>
        <v>2</v>
      </c>
      <c r="AX3498" s="21" t="str">
        <f t="shared" si="194"/>
        <v/>
      </c>
      <c r="AY3498" s="21" t="str">
        <f>IF(AND($AM3498&lt;&gt;"",$AS3498&lt;&gt;"✓"),SUMPRODUCT(($AM$11:$AM3498&lt;&gt;"")*($AS$11:$AS3498&lt;&gt;"✓")),"")</f>
        <v/>
      </c>
      <c r="AZ3498" s="21" t="str">
        <f>IF(AND($AM3498&lt;&gt;"",$AS3498="✓"),SUMPRODUCT(($AM$11:$AM3498&lt;&gt;"")*($AS$11:$AS3498="✓")),"")</f>
        <v/>
      </c>
      <c r="BA3498" s="21" t="str">
        <f>IF($AL3498="","",$AL3498&amp;"|"&amp;COUNTIF($AL$11:$AL3498,$AL3498))</f>
        <v/>
      </c>
    </row>
    <row r="3499" spans="38:53" ht="15" customHeight="1" x14ac:dyDescent="0.25">
      <c r="AL3499" s="17"/>
      <c r="AM3499" s="12"/>
      <c r="AN3499" s="18"/>
      <c r="AO3499" s="18"/>
      <c r="AP3499" s="10"/>
      <c r="AQ3499" s="10"/>
      <c r="AR3499" s="19"/>
      <c r="AS3499" s="20"/>
      <c r="AT3499" s="19"/>
      <c r="AV3499" s="21">
        <f>IF(AND($AL3499&lt;&gt;"",COUNTIF($AL$11:$AL3499,$AL3499)=1),1,0)</f>
        <v>0</v>
      </c>
      <c r="AW3499" s="21">
        <f t="shared" si="195"/>
        <v>2</v>
      </c>
      <c r="AX3499" s="21" t="str">
        <f t="shared" si="194"/>
        <v/>
      </c>
      <c r="AY3499" s="21" t="str">
        <f>IF(AND($AM3499&lt;&gt;"",$AS3499&lt;&gt;"✓"),SUMPRODUCT(($AM$11:$AM3499&lt;&gt;"")*($AS$11:$AS3499&lt;&gt;"✓")),"")</f>
        <v/>
      </c>
      <c r="AZ3499" s="21" t="str">
        <f>IF(AND($AM3499&lt;&gt;"",$AS3499="✓"),SUMPRODUCT(($AM$11:$AM3499&lt;&gt;"")*($AS$11:$AS3499="✓")),"")</f>
        <v/>
      </c>
      <c r="BA3499" s="21" t="str">
        <f>IF($AL3499="","",$AL3499&amp;"|"&amp;COUNTIF($AL$11:$AL3499,$AL3499))</f>
        <v/>
      </c>
    </row>
    <row r="3500" spans="38:53" ht="15" customHeight="1" x14ac:dyDescent="0.25">
      <c r="AL3500" s="31"/>
      <c r="AM3500" s="26"/>
      <c r="AN3500" s="32"/>
      <c r="AO3500" s="32"/>
      <c r="AP3500" s="24"/>
      <c r="AQ3500" s="24"/>
      <c r="AR3500" s="33"/>
      <c r="AS3500" s="34"/>
      <c r="AT3500" s="33"/>
      <c r="AV3500" s="21">
        <f>IF(AND($AL3500&lt;&gt;"",COUNTIF($AL$11:$AL3500,$AL3500)=1),1,0)</f>
        <v>0</v>
      </c>
      <c r="AW3500" s="21">
        <f t="shared" si="195"/>
        <v>2</v>
      </c>
      <c r="AX3500" s="21" t="str">
        <f t="shared" si="194"/>
        <v/>
      </c>
      <c r="AY3500" s="21" t="str">
        <f>IF(AND($AM3500&lt;&gt;"",$AS3500&lt;&gt;"✓"),SUMPRODUCT(($AM$11:$AM3500&lt;&gt;"")*($AS$11:$AS3500&lt;&gt;"✓")),"")</f>
        <v/>
      </c>
      <c r="AZ3500" s="21" t="str">
        <f>IF(AND($AM3500&lt;&gt;"",$AS3500="✓"),SUMPRODUCT(($AM$11:$AM3500&lt;&gt;"")*($AS$11:$AS3500="✓")),"")</f>
        <v/>
      </c>
      <c r="BA3500" s="21" t="str">
        <f>IF($AL3500="","",$AL3500&amp;"|"&amp;COUNTIF($AL$11:$AL3500,$AL3500))</f>
        <v/>
      </c>
    </row>
    <row r="3501" spans="38:53" ht="15" customHeight="1" x14ac:dyDescent="0.25">
      <c r="AL3501" s="17"/>
      <c r="AM3501" s="12"/>
      <c r="AN3501" s="18"/>
      <c r="AO3501" s="18"/>
      <c r="AP3501" s="10"/>
      <c r="AQ3501" s="10"/>
      <c r="AR3501" s="19"/>
      <c r="AS3501" s="20"/>
      <c r="AT3501" s="19"/>
      <c r="AV3501" s="21">
        <f>IF(AND($AL3501&lt;&gt;"",COUNTIF($AL$11:$AL3501,$AL3501)=1),1,0)</f>
        <v>0</v>
      </c>
      <c r="AW3501" s="21">
        <f t="shared" si="195"/>
        <v>2</v>
      </c>
      <c r="AX3501" s="21" t="str">
        <f t="shared" si="194"/>
        <v/>
      </c>
      <c r="AY3501" s="21" t="str">
        <f>IF(AND($AM3501&lt;&gt;"",$AS3501&lt;&gt;"✓"),SUMPRODUCT(($AM$11:$AM3501&lt;&gt;"")*($AS$11:$AS3501&lt;&gt;"✓")),"")</f>
        <v/>
      </c>
      <c r="AZ3501" s="21" t="str">
        <f>IF(AND($AM3501&lt;&gt;"",$AS3501="✓"),SUMPRODUCT(($AM$11:$AM3501&lt;&gt;"")*($AS$11:$AS3501="✓")),"")</f>
        <v/>
      </c>
      <c r="BA3501" s="21" t="str">
        <f>IF($AL3501="","",$AL3501&amp;"|"&amp;COUNTIF($AL$11:$AL3501,$AL3501))</f>
        <v/>
      </c>
    </row>
    <row r="3502" spans="38:53" ht="15" customHeight="1" x14ac:dyDescent="0.25">
      <c r="AL3502" s="31"/>
      <c r="AM3502" s="26"/>
      <c r="AN3502" s="32"/>
      <c r="AO3502" s="32"/>
      <c r="AP3502" s="24"/>
      <c r="AQ3502" s="24"/>
      <c r="AR3502" s="33"/>
      <c r="AS3502" s="34"/>
      <c r="AT3502" s="33"/>
      <c r="AV3502" s="21">
        <f>IF(AND($AL3502&lt;&gt;"",COUNTIF($AL$11:$AL3502,$AL3502)=1),1,0)</f>
        <v>0</v>
      </c>
      <c r="AW3502" s="21">
        <f t="shared" si="195"/>
        <v>2</v>
      </c>
      <c r="AX3502" s="21" t="str">
        <f t="shared" si="194"/>
        <v/>
      </c>
      <c r="AY3502" s="21" t="str">
        <f>IF(AND($AM3502&lt;&gt;"",$AS3502&lt;&gt;"✓"),SUMPRODUCT(($AM$11:$AM3502&lt;&gt;"")*($AS$11:$AS3502&lt;&gt;"✓")),"")</f>
        <v/>
      </c>
      <c r="AZ3502" s="21" t="str">
        <f>IF(AND($AM3502&lt;&gt;"",$AS3502="✓"),SUMPRODUCT(($AM$11:$AM3502&lt;&gt;"")*($AS$11:$AS3502="✓")),"")</f>
        <v/>
      </c>
      <c r="BA3502" s="21" t="str">
        <f>IF($AL3502="","",$AL3502&amp;"|"&amp;COUNTIF($AL$11:$AL3502,$AL3502))</f>
        <v/>
      </c>
    </row>
    <row r="3503" spans="38:53" ht="15" customHeight="1" x14ac:dyDescent="0.25">
      <c r="AL3503" s="17"/>
      <c r="AM3503" s="12"/>
      <c r="AN3503" s="18"/>
      <c r="AO3503" s="18"/>
      <c r="AP3503" s="10"/>
      <c r="AQ3503" s="10"/>
      <c r="AR3503" s="19"/>
      <c r="AS3503" s="20"/>
      <c r="AT3503" s="19"/>
      <c r="AV3503" s="21">
        <f>IF(AND($AL3503&lt;&gt;"",COUNTIF($AL$11:$AL3503,$AL3503)=1),1,0)</f>
        <v>0</v>
      </c>
      <c r="AW3503" s="21">
        <f t="shared" si="195"/>
        <v>2</v>
      </c>
      <c r="AX3503" s="21" t="str">
        <f t="shared" si="194"/>
        <v/>
      </c>
      <c r="AY3503" s="21" t="str">
        <f>IF(AND($AM3503&lt;&gt;"",$AS3503&lt;&gt;"✓"),SUMPRODUCT(($AM$11:$AM3503&lt;&gt;"")*($AS$11:$AS3503&lt;&gt;"✓")),"")</f>
        <v/>
      </c>
      <c r="AZ3503" s="21" t="str">
        <f>IF(AND($AM3503&lt;&gt;"",$AS3503="✓"),SUMPRODUCT(($AM$11:$AM3503&lt;&gt;"")*($AS$11:$AS3503="✓")),"")</f>
        <v/>
      </c>
      <c r="BA3503" s="21" t="str">
        <f>IF($AL3503="","",$AL3503&amp;"|"&amp;COUNTIF($AL$11:$AL3503,$AL3503))</f>
        <v/>
      </c>
    </row>
    <row r="3504" spans="38:53" ht="15" customHeight="1" x14ac:dyDescent="0.25">
      <c r="AL3504" s="31"/>
      <c r="AM3504" s="26"/>
      <c r="AN3504" s="32"/>
      <c r="AO3504" s="32"/>
      <c r="AP3504" s="24"/>
      <c r="AQ3504" s="24"/>
      <c r="AR3504" s="33"/>
      <c r="AS3504" s="34"/>
      <c r="AT3504" s="33"/>
      <c r="AV3504" s="21">
        <f>IF(AND($AL3504&lt;&gt;"",COUNTIF($AL$11:$AL3504,$AL3504)=1),1,0)</f>
        <v>0</v>
      </c>
      <c r="AW3504" s="21">
        <f t="shared" si="195"/>
        <v>2</v>
      </c>
      <c r="AX3504" s="21" t="str">
        <f t="shared" si="194"/>
        <v/>
      </c>
      <c r="AY3504" s="21" t="str">
        <f>IF(AND($AM3504&lt;&gt;"",$AS3504&lt;&gt;"✓"),SUMPRODUCT(($AM$11:$AM3504&lt;&gt;"")*($AS$11:$AS3504&lt;&gt;"✓")),"")</f>
        <v/>
      </c>
      <c r="AZ3504" s="21" t="str">
        <f>IF(AND($AM3504&lt;&gt;"",$AS3504="✓"),SUMPRODUCT(($AM$11:$AM3504&lt;&gt;"")*($AS$11:$AS3504="✓")),"")</f>
        <v/>
      </c>
      <c r="BA3504" s="21" t="str">
        <f>IF($AL3504="","",$AL3504&amp;"|"&amp;COUNTIF($AL$11:$AL3504,$AL3504))</f>
        <v/>
      </c>
    </row>
    <row r="3505" spans="38:53" ht="15" customHeight="1" x14ac:dyDescent="0.25">
      <c r="AL3505" s="17"/>
      <c r="AM3505" s="12"/>
      <c r="AN3505" s="18"/>
      <c r="AO3505" s="18"/>
      <c r="AP3505" s="10"/>
      <c r="AQ3505" s="10"/>
      <c r="AR3505" s="19"/>
      <c r="AS3505" s="20"/>
      <c r="AT3505" s="19"/>
      <c r="AV3505" s="21">
        <f>IF(AND($AL3505&lt;&gt;"",COUNTIF($AL$11:$AL3505,$AL3505)=1),1,0)</f>
        <v>0</v>
      </c>
      <c r="AW3505" s="21">
        <f t="shared" si="195"/>
        <v>2</v>
      </c>
      <c r="AX3505" s="21" t="str">
        <f t="shared" si="194"/>
        <v/>
      </c>
      <c r="AY3505" s="21" t="str">
        <f>IF(AND($AM3505&lt;&gt;"",$AS3505&lt;&gt;"✓"),SUMPRODUCT(($AM$11:$AM3505&lt;&gt;"")*($AS$11:$AS3505&lt;&gt;"✓")),"")</f>
        <v/>
      </c>
      <c r="AZ3505" s="21" t="str">
        <f>IF(AND($AM3505&lt;&gt;"",$AS3505="✓"),SUMPRODUCT(($AM$11:$AM3505&lt;&gt;"")*($AS$11:$AS3505="✓")),"")</f>
        <v/>
      </c>
      <c r="BA3505" s="21" t="str">
        <f>IF($AL3505="","",$AL3505&amp;"|"&amp;COUNTIF($AL$11:$AL3505,$AL3505))</f>
        <v/>
      </c>
    </row>
    <row r="3506" spans="38:53" ht="15" customHeight="1" x14ac:dyDescent="0.25">
      <c r="AL3506" s="31"/>
      <c r="AM3506" s="26"/>
      <c r="AN3506" s="32"/>
      <c r="AO3506" s="32"/>
      <c r="AP3506" s="24"/>
      <c r="AQ3506" s="24"/>
      <c r="AR3506" s="33"/>
      <c r="AS3506" s="34"/>
      <c r="AT3506" s="33"/>
      <c r="AV3506" s="21">
        <f>IF(AND($AL3506&lt;&gt;"",COUNTIF($AL$11:$AL3506,$AL3506)=1),1,0)</f>
        <v>0</v>
      </c>
      <c r="AW3506" s="21">
        <f t="shared" si="195"/>
        <v>2</v>
      </c>
      <c r="AX3506" s="21" t="str">
        <f t="shared" si="194"/>
        <v/>
      </c>
      <c r="AY3506" s="21" t="str">
        <f>IF(AND($AM3506&lt;&gt;"",$AS3506&lt;&gt;"✓"),SUMPRODUCT(($AM$11:$AM3506&lt;&gt;"")*($AS$11:$AS3506&lt;&gt;"✓")),"")</f>
        <v/>
      </c>
      <c r="AZ3506" s="21" t="str">
        <f>IF(AND($AM3506&lt;&gt;"",$AS3506="✓"),SUMPRODUCT(($AM$11:$AM3506&lt;&gt;"")*($AS$11:$AS3506="✓")),"")</f>
        <v/>
      </c>
      <c r="BA3506" s="21" t="str">
        <f>IF($AL3506="","",$AL3506&amp;"|"&amp;COUNTIF($AL$11:$AL3506,$AL3506))</f>
        <v/>
      </c>
    </row>
    <row r="3507" spans="38:53" ht="15" customHeight="1" x14ac:dyDescent="0.25">
      <c r="AL3507" s="17"/>
      <c r="AM3507" s="12"/>
      <c r="AN3507" s="18"/>
      <c r="AO3507" s="18"/>
      <c r="AP3507" s="10"/>
      <c r="AQ3507" s="10"/>
      <c r="AR3507" s="19"/>
      <c r="AS3507" s="20"/>
      <c r="AT3507" s="19"/>
      <c r="AV3507" s="21">
        <f>IF(AND($AL3507&lt;&gt;"",COUNTIF($AL$11:$AL3507,$AL3507)=1),1,0)</f>
        <v>0</v>
      </c>
      <c r="AW3507" s="21">
        <f t="shared" si="195"/>
        <v>2</v>
      </c>
      <c r="AX3507" s="21" t="str">
        <f t="shared" si="194"/>
        <v/>
      </c>
      <c r="AY3507" s="21" t="str">
        <f>IF(AND($AM3507&lt;&gt;"",$AS3507&lt;&gt;"✓"),SUMPRODUCT(($AM$11:$AM3507&lt;&gt;"")*($AS$11:$AS3507&lt;&gt;"✓")),"")</f>
        <v/>
      </c>
      <c r="AZ3507" s="21" t="str">
        <f>IF(AND($AM3507&lt;&gt;"",$AS3507="✓"),SUMPRODUCT(($AM$11:$AM3507&lt;&gt;"")*($AS$11:$AS3507="✓")),"")</f>
        <v/>
      </c>
      <c r="BA3507" s="21" t="str">
        <f>IF($AL3507="","",$AL3507&amp;"|"&amp;COUNTIF($AL$11:$AL3507,$AL3507))</f>
        <v/>
      </c>
    </row>
    <row r="3508" spans="38:53" ht="15" customHeight="1" x14ac:dyDescent="0.25">
      <c r="AL3508" s="31"/>
      <c r="AM3508" s="26"/>
      <c r="AN3508" s="32"/>
      <c r="AO3508" s="32"/>
      <c r="AP3508" s="24"/>
      <c r="AQ3508" s="24"/>
      <c r="AR3508" s="33"/>
      <c r="AS3508" s="34"/>
      <c r="AT3508" s="33"/>
      <c r="AV3508" s="21">
        <f>IF(AND($AL3508&lt;&gt;"",COUNTIF($AL$11:$AL3508,$AL3508)=1),1,0)</f>
        <v>0</v>
      </c>
      <c r="AW3508" s="21">
        <f t="shared" si="195"/>
        <v>2</v>
      </c>
      <c r="AX3508" s="21" t="str">
        <f t="shared" si="194"/>
        <v/>
      </c>
      <c r="AY3508" s="21" t="str">
        <f>IF(AND($AM3508&lt;&gt;"",$AS3508&lt;&gt;"✓"),SUMPRODUCT(($AM$11:$AM3508&lt;&gt;"")*($AS$11:$AS3508&lt;&gt;"✓")),"")</f>
        <v/>
      </c>
      <c r="AZ3508" s="21" t="str">
        <f>IF(AND($AM3508&lt;&gt;"",$AS3508="✓"),SUMPRODUCT(($AM$11:$AM3508&lt;&gt;"")*($AS$11:$AS3508="✓")),"")</f>
        <v/>
      </c>
      <c r="BA3508" s="21" t="str">
        <f>IF($AL3508="","",$AL3508&amp;"|"&amp;COUNTIF($AL$11:$AL3508,$AL3508))</f>
        <v/>
      </c>
    </row>
    <row r="3509" spans="38:53" ht="15" customHeight="1" x14ac:dyDescent="0.25">
      <c r="AL3509" s="17"/>
      <c r="AM3509" s="12"/>
      <c r="AN3509" s="18"/>
      <c r="AO3509" s="18"/>
      <c r="AP3509" s="10"/>
      <c r="AQ3509" s="10"/>
      <c r="AR3509" s="19"/>
      <c r="AS3509" s="20"/>
      <c r="AT3509" s="19"/>
      <c r="AV3509" s="21">
        <f>IF(AND($AL3509&lt;&gt;"",COUNTIF($AL$11:$AL3509,$AL3509)=1),1,0)</f>
        <v>0</v>
      </c>
      <c r="AW3509" s="21">
        <f t="shared" si="195"/>
        <v>2</v>
      </c>
      <c r="AX3509" s="21" t="str">
        <f t="shared" si="194"/>
        <v/>
      </c>
      <c r="AY3509" s="21" t="str">
        <f>IF(AND($AM3509&lt;&gt;"",$AS3509&lt;&gt;"✓"),SUMPRODUCT(($AM$11:$AM3509&lt;&gt;"")*($AS$11:$AS3509&lt;&gt;"✓")),"")</f>
        <v/>
      </c>
      <c r="AZ3509" s="21" t="str">
        <f>IF(AND($AM3509&lt;&gt;"",$AS3509="✓"),SUMPRODUCT(($AM$11:$AM3509&lt;&gt;"")*($AS$11:$AS3509="✓")),"")</f>
        <v/>
      </c>
      <c r="BA3509" s="21" t="str">
        <f>IF($AL3509="","",$AL3509&amp;"|"&amp;COUNTIF($AL$11:$AL3509,$AL3509))</f>
        <v/>
      </c>
    </row>
    <row r="3510" spans="38:53" ht="15" customHeight="1" x14ac:dyDescent="0.25">
      <c r="AL3510" s="31"/>
      <c r="AM3510" s="26"/>
      <c r="AN3510" s="32"/>
      <c r="AO3510" s="32"/>
      <c r="AP3510" s="24"/>
      <c r="AQ3510" s="24"/>
      <c r="AR3510" s="33"/>
      <c r="AS3510" s="34"/>
      <c r="AT3510" s="33"/>
      <c r="AV3510" s="21">
        <f>IF(AND($AL3510&lt;&gt;"",COUNTIF($AL$11:$AL3510,$AL3510)=1),1,0)</f>
        <v>0</v>
      </c>
      <c r="AW3510" s="21">
        <f t="shared" si="195"/>
        <v>2</v>
      </c>
      <c r="AX3510" s="21" t="str">
        <f t="shared" si="194"/>
        <v/>
      </c>
      <c r="AY3510" s="21" t="str">
        <f>IF(AND($AM3510&lt;&gt;"",$AS3510&lt;&gt;"✓"),SUMPRODUCT(($AM$11:$AM3510&lt;&gt;"")*($AS$11:$AS3510&lt;&gt;"✓")),"")</f>
        <v/>
      </c>
      <c r="AZ3510" s="21" t="str">
        <f>IF(AND($AM3510&lt;&gt;"",$AS3510="✓"),SUMPRODUCT(($AM$11:$AM3510&lt;&gt;"")*($AS$11:$AS3510="✓")),"")</f>
        <v/>
      </c>
      <c r="BA3510" s="21" t="str">
        <f>IF($AL3510="","",$AL3510&amp;"|"&amp;COUNTIF($AL$11:$AL3510,$AL3510))</f>
        <v/>
      </c>
    </row>
    <row r="3511" spans="38:53" ht="15" customHeight="1" x14ac:dyDescent="0.25">
      <c r="AL3511" s="17"/>
      <c r="AM3511" s="12"/>
      <c r="AN3511" s="18"/>
      <c r="AO3511" s="18"/>
      <c r="AP3511" s="10"/>
      <c r="AQ3511" s="10"/>
      <c r="AR3511" s="19"/>
      <c r="AS3511" s="20"/>
      <c r="AT3511" s="19"/>
      <c r="AV3511" s="21">
        <f>IF(AND($AL3511&lt;&gt;"",COUNTIF($AL$11:$AL3511,$AL3511)=1),1,0)</f>
        <v>0</v>
      </c>
      <c r="AW3511" s="21">
        <f t="shared" si="195"/>
        <v>2</v>
      </c>
      <c r="AX3511" s="21" t="str">
        <f t="shared" si="194"/>
        <v/>
      </c>
      <c r="AY3511" s="21" t="str">
        <f>IF(AND($AM3511&lt;&gt;"",$AS3511&lt;&gt;"✓"),SUMPRODUCT(($AM$11:$AM3511&lt;&gt;"")*($AS$11:$AS3511&lt;&gt;"✓")),"")</f>
        <v/>
      </c>
      <c r="AZ3511" s="21" t="str">
        <f>IF(AND($AM3511&lt;&gt;"",$AS3511="✓"),SUMPRODUCT(($AM$11:$AM3511&lt;&gt;"")*($AS$11:$AS3511="✓")),"")</f>
        <v/>
      </c>
      <c r="BA3511" s="21" t="str">
        <f>IF($AL3511="","",$AL3511&amp;"|"&amp;COUNTIF($AL$11:$AL3511,$AL3511))</f>
        <v/>
      </c>
    </row>
    <row r="3512" spans="38:53" ht="15" customHeight="1" x14ac:dyDescent="0.25">
      <c r="AL3512" s="31"/>
      <c r="AM3512" s="26"/>
      <c r="AN3512" s="32"/>
      <c r="AO3512" s="32"/>
      <c r="AP3512" s="24"/>
      <c r="AQ3512" s="24"/>
      <c r="AR3512" s="33"/>
      <c r="AS3512" s="34"/>
      <c r="AT3512" s="33"/>
      <c r="AV3512" s="21">
        <f>IF(AND($AL3512&lt;&gt;"",COUNTIF($AL$11:$AL3512,$AL3512)=1),1,0)</f>
        <v>0</v>
      </c>
      <c r="AW3512" s="21">
        <f t="shared" si="195"/>
        <v>2</v>
      </c>
      <c r="AX3512" s="21" t="str">
        <f t="shared" si="194"/>
        <v/>
      </c>
      <c r="AY3512" s="21" t="str">
        <f>IF(AND($AM3512&lt;&gt;"",$AS3512&lt;&gt;"✓"),SUMPRODUCT(($AM$11:$AM3512&lt;&gt;"")*($AS$11:$AS3512&lt;&gt;"✓")),"")</f>
        <v/>
      </c>
      <c r="AZ3512" s="21" t="str">
        <f>IF(AND($AM3512&lt;&gt;"",$AS3512="✓"),SUMPRODUCT(($AM$11:$AM3512&lt;&gt;"")*($AS$11:$AS3512="✓")),"")</f>
        <v/>
      </c>
      <c r="BA3512" s="21" t="str">
        <f>IF($AL3512="","",$AL3512&amp;"|"&amp;COUNTIF($AL$11:$AL3512,$AL3512))</f>
        <v/>
      </c>
    </row>
    <row r="3513" spans="38:53" ht="15" customHeight="1" x14ac:dyDescent="0.25">
      <c r="AL3513" s="17"/>
      <c r="AM3513" s="12"/>
      <c r="AN3513" s="18"/>
      <c r="AO3513" s="18"/>
      <c r="AP3513" s="10"/>
      <c r="AQ3513" s="10"/>
      <c r="AR3513" s="19"/>
      <c r="AS3513" s="20"/>
      <c r="AT3513" s="19"/>
      <c r="AV3513" s="21">
        <f>IF(AND($AL3513&lt;&gt;"",COUNTIF($AL$11:$AL3513,$AL3513)=1),1,0)</f>
        <v>0</v>
      </c>
      <c r="AW3513" s="21">
        <f t="shared" si="195"/>
        <v>2</v>
      </c>
      <c r="AX3513" s="21" t="str">
        <f t="shared" si="194"/>
        <v/>
      </c>
      <c r="AY3513" s="21" t="str">
        <f>IF(AND($AM3513&lt;&gt;"",$AS3513&lt;&gt;"✓"),SUMPRODUCT(($AM$11:$AM3513&lt;&gt;"")*($AS$11:$AS3513&lt;&gt;"✓")),"")</f>
        <v/>
      </c>
      <c r="AZ3513" s="21" t="str">
        <f>IF(AND($AM3513&lt;&gt;"",$AS3513="✓"),SUMPRODUCT(($AM$11:$AM3513&lt;&gt;"")*($AS$11:$AS3513="✓")),"")</f>
        <v/>
      </c>
      <c r="BA3513" s="21" t="str">
        <f>IF($AL3513="","",$AL3513&amp;"|"&amp;COUNTIF($AL$11:$AL3513,$AL3513))</f>
        <v/>
      </c>
    </row>
    <row r="3514" spans="38:53" ht="15" customHeight="1" x14ac:dyDescent="0.25">
      <c r="AL3514" s="31"/>
      <c r="AM3514" s="26"/>
      <c r="AN3514" s="32"/>
      <c r="AO3514" s="32"/>
      <c r="AP3514" s="24"/>
      <c r="AQ3514" s="24"/>
      <c r="AR3514" s="33"/>
      <c r="AS3514" s="34"/>
      <c r="AT3514" s="33"/>
      <c r="AV3514" s="21">
        <f>IF(AND($AL3514&lt;&gt;"",COUNTIF($AL$11:$AL3514,$AL3514)=1),1,0)</f>
        <v>0</v>
      </c>
      <c r="AW3514" s="21">
        <f t="shared" si="195"/>
        <v>2</v>
      </c>
      <c r="AX3514" s="21" t="str">
        <f t="shared" si="194"/>
        <v/>
      </c>
      <c r="AY3514" s="21" t="str">
        <f>IF(AND($AM3514&lt;&gt;"",$AS3514&lt;&gt;"✓"),SUMPRODUCT(($AM$11:$AM3514&lt;&gt;"")*($AS$11:$AS3514&lt;&gt;"✓")),"")</f>
        <v/>
      </c>
      <c r="AZ3514" s="21" t="str">
        <f>IF(AND($AM3514&lt;&gt;"",$AS3514="✓"),SUMPRODUCT(($AM$11:$AM3514&lt;&gt;"")*($AS$11:$AS3514="✓")),"")</f>
        <v/>
      </c>
      <c r="BA3514" s="21" t="str">
        <f>IF($AL3514="","",$AL3514&amp;"|"&amp;COUNTIF($AL$11:$AL3514,$AL3514))</f>
        <v/>
      </c>
    </row>
    <row r="3515" spans="38:53" ht="15" customHeight="1" x14ac:dyDescent="0.25">
      <c r="AL3515" s="17"/>
      <c r="AM3515" s="12"/>
      <c r="AN3515" s="18"/>
      <c r="AO3515" s="18"/>
      <c r="AP3515" s="10"/>
      <c r="AQ3515" s="10"/>
      <c r="AR3515" s="19"/>
      <c r="AS3515" s="20"/>
      <c r="AT3515" s="19"/>
      <c r="AV3515" s="21">
        <f>IF(AND($AL3515&lt;&gt;"",COUNTIF($AL$11:$AL3515,$AL3515)=1),1,0)</f>
        <v>0</v>
      </c>
      <c r="AW3515" s="21">
        <f t="shared" si="195"/>
        <v>2</v>
      </c>
      <c r="AX3515" s="21" t="str">
        <f t="shared" si="194"/>
        <v/>
      </c>
      <c r="AY3515" s="21" t="str">
        <f>IF(AND($AM3515&lt;&gt;"",$AS3515&lt;&gt;"✓"),SUMPRODUCT(($AM$11:$AM3515&lt;&gt;"")*($AS$11:$AS3515&lt;&gt;"✓")),"")</f>
        <v/>
      </c>
      <c r="AZ3515" s="21" t="str">
        <f>IF(AND($AM3515&lt;&gt;"",$AS3515="✓"),SUMPRODUCT(($AM$11:$AM3515&lt;&gt;"")*($AS$11:$AS3515="✓")),"")</f>
        <v/>
      </c>
      <c r="BA3515" s="21" t="str">
        <f>IF($AL3515="","",$AL3515&amp;"|"&amp;COUNTIF($AL$11:$AL3515,$AL3515))</f>
        <v/>
      </c>
    </row>
    <row r="3516" spans="38:53" ht="15" customHeight="1" x14ac:dyDescent="0.25">
      <c r="AL3516" s="31"/>
      <c r="AM3516" s="26"/>
      <c r="AN3516" s="32"/>
      <c r="AO3516" s="32"/>
      <c r="AP3516" s="24"/>
      <c r="AQ3516" s="24"/>
      <c r="AR3516" s="33"/>
      <c r="AS3516" s="34"/>
      <c r="AT3516" s="33"/>
      <c r="AV3516" s="21">
        <f>IF(AND($AL3516&lt;&gt;"",COUNTIF($AL$11:$AL3516,$AL3516)=1),1,0)</f>
        <v>0</v>
      </c>
      <c r="AW3516" s="21">
        <f t="shared" si="195"/>
        <v>2</v>
      </c>
      <c r="AX3516" s="21" t="str">
        <f t="shared" si="194"/>
        <v/>
      </c>
      <c r="AY3516" s="21" t="str">
        <f>IF(AND($AM3516&lt;&gt;"",$AS3516&lt;&gt;"✓"),SUMPRODUCT(($AM$11:$AM3516&lt;&gt;"")*($AS$11:$AS3516&lt;&gt;"✓")),"")</f>
        <v/>
      </c>
      <c r="AZ3516" s="21" t="str">
        <f>IF(AND($AM3516&lt;&gt;"",$AS3516="✓"),SUMPRODUCT(($AM$11:$AM3516&lt;&gt;"")*($AS$11:$AS3516="✓")),"")</f>
        <v/>
      </c>
      <c r="BA3516" s="21" t="str">
        <f>IF($AL3516="","",$AL3516&amp;"|"&amp;COUNTIF($AL$11:$AL3516,$AL3516))</f>
        <v/>
      </c>
    </row>
    <row r="3517" spans="38:53" ht="15" customHeight="1" x14ac:dyDescent="0.25">
      <c r="AL3517" s="17"/>
      <c r="AM3517" s="12"/>
      <c r="AN3517" s="18"/>
      <c r="AO3517" s="18"/>
      <c r="AP3517" s="10"/>
      <c r="AQ3517" s="10"/>
      <c r="AR3517" s="19"/>
      <c r="AS3517" s="20"/>
      <c r="AT3517" s="19"/>
      <c r="AV3517" s="21">
        <f>IF(AND($AL3517&lt;&gt;"",COUNTIF($AL$11:$AL3517,$AL3517)=1),1,0)</f>
        <v>0</v>
      </c>
      <c r="AW3517" s="21">
        <f t="shared" si="195"/>
        <v>2</v>
      </c>
      <c r="AX3517" s="21" t="str">
        <f t="shared" si="194"/>
        <v/>
      </c>
      <c r="AY3517" s="21" t="str">
        <f>IF(AND($AM3517&lt;&gt;"",$AS3517&lt;&gt;"✓"),SUMPRODUCT(($AM$11:$AM3517&lt;&gt;"")*($AS$11:$AS3517&lt;&gt;"✓")),"")</f>
        <v/>
      </c>
      <c r="AZ3517" s="21" t="str">
        <f>IF(AND($AM3517&lt;&gt;"",$AS3517="✓"),SUMPRODUCT(($AM$11:$AM3517&lt;&gt;"")*($AS$11:$AS3517="✓")),"")</f>
        <v/>
      </c>
      <c r="BA3517" s="21" t="str">
        <f>IF($AL3517="","",$AL3517&amp;"|"&amp;COUNTIF($AL$11:$AL3517,$AL3517))</f>
        <v/>
      </c>
    </row>
    <row r="3518" spans="38:53" ht="15" customHeight="1" x14ac:dyDescent="0.25">
      <c r="AL3518" s="31"/>
      <c r="AM3518" s="26"/>
      <c r="AN3518" s="32"/>
      <c r="AO3518" s="32"/>
      <c r="AP3518" s="24"/>
      <c r="AQ3518" s="24"/>
      <c r="AR3518" s="33"/>
      <c r="AS3518" s="34"/>
      <c r="AT3518" s="33"/>
      <c r="AV3518" s="21">
        <f>IF(AND($AL3518&lt;&gt;"",COUNTIF($AL$11:$AL3518,$AL3518)=1),1,0)</f>
        <v>0</v>
      </c>
      <c r="AW3518" s="21">
        <f t="shared" si="195"/>
        <v>2</v>
      </c>
      <c r="AX3518" s="21" t="str">
        <f t="shared" si="194"/>
        <v/>
      </c>
      <c r="AY3518" s="21" t="str">
        <f>IF(AND($AM3518&lt;&gt;"",$AS3518&lt;&gt;"✓"),SUMPRODUCT(($AM$11:$AM3518&lt;&gt;"")*($AS$11:$AS3518&lt;&gt;"✓")),"")</f>
        <v/>
      </c>
      <c r="AZ3518" s="21" t="str">
        <f>IF(AND($AM3518&lt;&gt;"",$AS3518="✓"),SUMPRODUCT(($AM$11:$AM3518&lt;&gt;"")*($AS$11:$AS3518="✓")),"")</f>
        <v/>
      </c>
      <c r="BA3518" s="21" t="str">
        <f>IF($AL3518="","",$AL3518&amp;"|"&amp;COUNTIF($AL$11:$AL3518,$AL3518))</f>
        <v/>
      </c>
    </row>
    <row r="3519" spans="38:53" ht="15" customHeight="1" x14ac:dyDescent="0.25">
      <c r="AL3519" s="17"/>
      <c r="AM3519" s="12"/>
      <c r="AN3519" s="18"/>
      <c r="AO3519" s="18"/>
      <c r="AP3519" s="10"/>
      <c r="AQ3519" s="10"/>
      <c r="AR3519" s="19"/>
      <c r="AS3519" s="20"/>
      <c r="AT3519" s="19"/>
      <c r="AV3519" s="21">
        <f>IF(AND($AL3519&lt;&gt;"",COUNTIF($AL$11:$AL3519,$AL3519)=1),1,0)</f>
        <v>0</v>
      </c>
      <c r="AW3519" s="21">
        <f t="shared" si="195"/>
        <v>2</v>
      </c>
      <c r="AX3519" s="21" t="str">
        <f t="shared" si="194"/>
        <v/>
      </c>
      <c r="AY3519" s="21" t="str">
        <f>IF(AND($AM3519&lt;&gt;"",$AS3519&lt;&gt;"✓"),SUMPRODUCT(($AM$11:$AM3519&lt;&gt;"")*($AS$11:$AS3519&lt;&gt;"✓")),"")</f>
        <v/>
      </c>
      <c r="AZ3519" s="21" t="str">
        <f>IF(AND($AM3519&lt;&gt;"",$AS3519="✓"),SUMPRODUCT(($AM$11:$AM3519&lt;&gt;"")*($AS$11:$AS3519="✓")),"")</f>
        <v/>
      </c>
      <c r="BA3519" s="21" t="str">
        <f>IF($AL3519="","",$AL3519&amp;"|"&amp;COUNTIF($AL$11:$AL3519,$AL3519))</f>
        <v/>
      </c>
    </row>
    <row r="3520" spans="38:53" ht="15" customHeight="1" x14ac:dyDescent="0.25">
      <c r="AL3520" s="31"/>
      <c r="AM3520" s="26"/>
      <c r="AN3520" s="32"/>
      <c r="AO3520" s="32"/>
      <c r="AP3520" s="24"/>
      <c r="AQ3520" s="24"/>
      <c r="AR3520" s="33"/>
      <c r="AS3520" s="34"/>
      <c r="AT3520" s="33"/>
      <c r="AV3520" s="21">
        <f>IF(AND($AL3520&lt;&gt;"",COUNTIF($AL$11:$AL3520,$AL3520)=1),1,0)</f>
        <v>0</v>
      </c>
      <c r="AW3520" s="21">
        <f t="shared" si="195"/>
        <v>2</v>
      </c>
      <c r="AX3520" s="21" t="str">
        <f t="shared" si="194"/>
        <v/>
      </c>
      <c r="AY3520" s="21" t="str">
        <f>IF(AND($AM3520&lt;&gt;"",$AS3520&lt;&gt;"✓"),SUMPRODUCT(($AM$11:$AM3520&lt;&gt;"")*($AS$11:$AS3520&lt;&gt;"✓")),"")</f>
        <v/>
      </c>
      <c r="AZ3520" s="21" t="str">
        <f>IF(AND($AM3520&lt;&gt;"",$AS3520="✓"),SUMPRODUCT(($AM$11:$AM3520&lt;&gt;"")*($AS$11:$AS3520="✓")),"")</f>
        <v/>
      </c>
      <c r="BA3520" s="21" t="str">
        <f>IF($AL3520="","",$AL3520&amp;"|"&amp;COUNTIF($AL$11:$AL3520,$AL3520))</f>
        <v/>
      </c>
    </row>
    <row r="3521" spans="38:53" ht="15" customHeight="1" x14ac:dyDescent="0.25">
      <c r="AL3521" s="17"/>
      <c r="AM3521" s="12"/>
      <c r="AN3521" s="18"/>
      <c r="AO3521" s="18"/>
      <c r="AP3521" s="10"/>
      <c r="AQ3521" s="10"/>
      <c r="AR3521" s="19"/>
      <c r="AS3521" s="20"/>
      <c r="AT3521" s="19"/>
      <c r="AV3521" s="21">
        <f>IF(AND($AL3521&lt;&gt;"",COUNTIF($AL$11:$AL3521,$AL3521)=1),1,0)</f>
        <v>0</v>
      </c>
      <c r="AW3521" s="21">
        <f t="shared" si="195"/>
        <v>2</v>
      </c>
      <c r="AX3521" s="21" t="str">
        <f t="shared" si="194"/>
        <v/>
      </c>
      <c r="AY3521" s="21" t="str">
        <f>IF(AND($AM3521&lt;&gt;"",$AS3521&lt;&gt;"✓"),SUMPRODUCT(($AM$11:$AM3521&lt;&gt;"")*($AS$11:$AS3521&lt;&gt;"✓")),"")</f>
        <v/>
      </c>
      <c r="AZ3521" s="21" t="str">
        <f>IF(AND($AM3521&lt;&gt;"",$AS3521="✓"),SUMPRODUCT(($AM$11:$AM3521&lt;&gt;"")*($AS$11:$AS3521="✓")),"")</f>
        <v/>
      </c>
      <c r="BA3521" s="21" t="str">
        <f>IF($AL3521="","",$AL3521&amp;"|"&amp;COUNTIF($AL$11:$AL3521,$AL3521))</f>
        <v/>
      </c>
    </row>
    <row r="3522" spans="38:53" ht="15" customHeight="1" x14ac:dyDescent="0.25">
      <c r="AL3522" s="31"/>
      <c r="AM3522" s="26"/>
      <c r="AN3522" s="32"/>
      <c r="AO3522" s="32"/>
      <c r="AP3522" s="24"/>
      <c r="AQ3522" s="24"/>
      <c r="AR3522" s="33"/>
      <c r="AS3522" s="34"/>
      <c r="AT3522" s="33"/>
      <c r="AV3522" s="21">
        <f>IF(AND($AL3522&lt;&gt;"",COUNTIF($AL$11:$AL3522,$AL3522)=1),1,0)</f>
        <v>0</v>
      </c>
      <c r="AW3522" s="21">
        <f t="shared" si="195"/>
        <v>2</v>
      </c>
      <c r="AX3522" s="21" t="str">
        <f t="shared" si="194"/>
        <v/>
      </c>
      <c r="AY3522" s="21" t="str">
        <f>IF(AND($AM3522&lt;&gt;"",$AS3522&lt;&gt;"✓"),SUMPRODUCT(($AM$11:$AM3522&lt;&gt;"")*($AS$11:$AS3522&lt;&gt;"✓")),"")</f>
        <v/>
      </c>
      <c r="AZ3522" s="21" t="str">
        <f>IF(AND($AM3522&lt;&gt;"",$AS3522="✓"),SUMPRODUCT(($AM$11:$AM3522&lt;&gt;"")*($AS$11:$AS3522="✓")),"")</f>
        <v/>
      </c>
      <c r="BA3522" s="21" t="str">
        <f>IF($AL3522="","",$AL3522&amp;"|"&amp;COUNTIF($AL$11:$AL3522,$AL3522))</f>
        <v/>
      </c>
    </row>
    <row r="3523" spans="38:53" ht="15" customHeight="1" x14ac:dyDescent="0.25">
      <c r="AL3523" s="17"/>
      <c r="AM3523" s="12"/>
      <c r="AN3523" s="18"/>
      <c r="AO3523" s="18"/>
      <c r="AP3523" s="10"/>
      <c r="AQ3523" s="10"/>
      <c r="AR3523" s="19"/>
      <c r="AS3523" s="20"/>
      <c r="AT3523" s="19"/>
      <c r="AV3523" s="21">
        <f>IF(AND($AL3523&lt;&gt;"",COUNTIF($AL$11:$AL3523,$AL3523)=1),1,0)</f>
        <v>0</v>
      </c>
      <c r="AW3523" s="21">
        <f t="shared" si="195"/>
        <v>2</v>
      </c>
      <c r="AX3523" s="21" t="str">
        <f t="shared" si="194"/>
        <v/>
      </c>
      <c r="AY3523" s="21" t="str">
        <f>IF(AND($AM3523&lt;&gt;"",$AS3523&lt;&gt;"✓"),SUMPRODUCT(($AM$11:$AM3523&lt;&gt;"")*($AS$11:$AS3523&lt;&gt;"✓")),"")</f>
        <v/>
      </c>
      <c r="AZ3523" s="21" t="str">
        <f>IF(AND($AM3523&lt;&gt;"",$AS3523="✓"),SUMPRODUCT(($AM$11:$AM3523&lt;&gt;"")*($AS$11:$AS3523="✓")),"")</f>
        <v/>
      </c>
      <c r="BA3523" s="21" t="str">
        <f>IF($AL3523="","",$AL3523&amp;"|"&amp;COUNTIF($AL$11:$AL3523,$AL3523))</f>
        <v/>
      </c>
    </row>
    <row r="3524" spans="38:53" ht="15" customHeight="1" x14ac:dyDescent="0.25">
      <c r="AL3524" s="31"/>
      <c r="AM3524" s="26"/>
      <c r="AN3524" s="32"/>
      <c r="AO3524" s="32"/>
      <c r="AP3524" s="24"/>
      <c r="AQ3524" s="24"/>
      <c r="AR3524" s="33"/>
      <c r="AS3524" s="34"/>
      <c r="AT3524" s="33"/>
      <c r="AV3524" s="21">
        <f>IF(AND($AL3524&lt;&gt;"",COUNTIF($AL$11:$AL3524,$AL3524)=1),1,0)</f>
        <v>0</v>
      </c>
      <c r="AW3524" s="21">
        <f t="shared" si="195"/>
        <v>2</v>
      </c>
      <c r="AX3524" s="21" t="str">
        <f t="shared" si="194"/>
        <v/>
      </c>
      <c r="AY3524" s="21" t="str">
        <f>IF(AND($AM3524&lt;&gt;"",$AS3524&lt;&gt;"✓"),SUMPRODUCT(($AM$11:$AM3524&lt;&gt;"")*($AS$11:$AS3524&lt;&gt;"✓")),"")</f>
        <v/>
      </c>
      <c r="AZ3524" s="21" t="str">
        <f>IF(AND($AM3524&lt;&gt;"",$AS3524="✓"),SUMPRODUCT(($AM$11:$AM3524&lt;&gt;"")*($AS$11:$AS3524="✓")),"")</f>
        <v/>
      </c>
      <c r="BA3524" s="21" t="str">
        <f>IF($AL3524="","",$AL3524&amp;"|"&amp;COUNTIF($AL$11:$AL3524,$AL3524))</f>
        <v/>
      </c>
    </row>
    <row r="3525" spans="38:53" ht="15" customHeight="1" x14ac:dyDescent="0.25">
      <c r="AL3525" s="17"/>
      <c r="AM3525" s="12"/>
      <c r="AN3525" s="18"/>
      <c r="AO3525" s="18"/>
      <c r="AP3525" s="10"/>
      <c r="AQ3525" s="10"/>
      <c r="AR3525" s="19"/>
      <c r="AS3525" s="20"/>
      <c r="AT3525" s="19"/>
      <c r="AV3525" s="21">
        <f>IF(AND($AL3525&lt;&gt;"",COUNTIF($AL$11:$AL3525,$AL3525)=1),1,0)</f>
        <v>0</v>
      </c>
      <c r="AW3525" s="21">
        <f t="shared" si="195"/>
        <v>2</v>
      </c>
      <c r="AX3525" s="21" t="str">
        <f t="shared" si="194"/>
        <v/>
      </c>
      <c r="AY3525" s="21" t="str">
        <f>IF(AND($AM3525&lt;&gt;"",$AS3525&lt;&gt;"✓"),SUMPRODUCT(($AM$11:$AM3525&lt;&gt;"")*($AS$11:$AS3525&lt;&gt;"✓")),"")</f>
        <v/>
      </c>
      <c r="AZ3525" s="21" t="str">
        <f>IF(AND($AM3525&lt;&gt;"",$AS3525="✓"),SUMPRODUCT(($AM$11:$AM3525&lt;&gt;"")*($AS$11:$AS3525="✓")),"")</f>
        <v/>
      </c>
      <c r="BA3525" s="21" t="str">
        <f>IF($AL3525="","",$AL3525&amp;"|"&amp;COUNTIF($AL$11:$AL3525,$AL3525))</f>
        <v/>
      </c>
    </row>
    <row r="3526" spans="38:53" ht="15" customHeight="1" x14ac:dyDescent="0.25">
      <c r="AL3526" s="31"/>
      <c r="AM3526" s="26"/>
      <c r="AN3526" s="32"/>
      <c r="AO3526" s="32"/>
      <c r="AP3526" s="24"/>
      <c r="AQ3526" s="24"/>
      <c r="AR3526" s="33"/>
      <c r="AS3526" s="34"/>
      <c r="AT3526" s="33"/>
      <c r="AV3526" s="21">
        <f>IF(AND($AL3526&lt;&gt;"",COUNTIF($AL$11:$AL3526,$AL3526)=1),1,0)</f>
        <v>0</v>
      </c>
      <c r="AW3526" s="21">
        <f t="shared" si="195"/>
        <v>2</v>
      </c>
      <c r="AX3526" s="21" t="str">
        <f t="shared" si="194"/>
        <v/>
      </c>
      <c r="AY3526" s="21" t="str">
        <f>IF(AND($AM3526&lt;&gt;"",$AS3526&lt;&gt;"✓"),SUMPRODUCT(($AM$11:$AM3526&lt;&gt;"")*($AS$11:$AS3526&lt;&gt;"✓")),"")</f>
        <v/>
      </c>
      <c r="AZ3526" s="21" t="str">
        <f>IF(AND($AM3526&lt;&gt;"",$AS3526="✓"),SUMPRODUCT(($AM$11:$AM3526&lt;&gt;"")*($AS$11:$AS3526="✓")),"")</f>
        <v/>
      </c>
      <c r="BA3526" s="21" t="str">
        <f>IF($AL3526="","",$AL3526&amp;"|"&amp;COUNTIF($AL$11:$AL3526,$AL3526))</f>
        <v/>
      </c>
    </row>
    <row r="3527" spans="38:53" ht="15" customHeight="1" x14ac:dyDescent="0.25">
      <c r="AL3527" s="17"/>
      <c r="AM3527" s="12"/>
      <c r="AN3527" s="18"/>
      <c r="AO3527" s="18"/>
      <c r="AP3527" s="10"/>
      <c r="AQ3527" s="10"/>
      <c r="AR3527" s="19"/>
      <c r="AS3527" s="20"/>
      <c r="AT3527" s="19"/>
      <c r="AV3527" s="21">
        <f>IF(AND($AL3527&lt;&gt;"",COUNTIF($AL$11:$AL3527,$AL3527)=1),1,0)</f>
        <v>0</v>
      </c>
      <c r="AW3527" s="21">
        <f t="shared" si="195"/>
        <v>2</v>
      </c>
      <c r="AX3527" s="21" t="str">
        <f t="shared" si="194"/>
        <v/>
      </c>
      <c r="AY3527" s="21" t="str">
        <f>IF(AND($AM3527&lt;&gt;"",$AS3527&lt;&gt;"✓"),SUMPRODUCT(($AM$11:$AM3527&lt;&gt;"")*($AS$11:$AS3527&lt;&gt;"✓")),"")</f>
        <v/>
      </c>
      <c r="AZ3527" s="21" t="str">
        <f>IF(AND($AM3527&lt;&gt;"",$AS3527="✓"),SUMPRODUCT(($AM$11:$AM3527&lt;&gt;"")*($AS$11:$AS3527="✓")),"")</f>
        <v/>
      </c>
      <c r="BA3527" s="21" t="str">
        <f>IF($AL3527="","",$AL3527&amp;"|"&amp;COUNTIF($AL$11:$AL3527,$AL3527))</f>
        <v/>
      </c>
    </row>
    <row r="3528" spans="38:53" ht="15" customHeight="1" x14ac:dyDescent="0.25">
      <c r="AL3528" s="31"/>
      <c r="AM3528" s="26"/>
      <c r="AN3528" s="32"/>
      <c r="AO3528" s="32"/>
      <c r="AP3528" s="24"/>
      <c r="AQ3528" s="24"/>
      <c r="AR3528" s="33"/>
      <c r="AS3528" s="34"/>
      <c r="AT3528" s="33"/>
      <c r="AV3528" s="21">
        <f>IF(AND($AL3528&lt;&gt;"",COUNTIF($AL$11:$AL3528,$AL3528)=1),1,0)</f>
        <v>0</v>
      </c>
      <c r="AW3528" s="21">
        <f t="shared" si="195"/>
        <v>2</v>
      </c>
      <c r="AX3528" s="21" t="str">
        <f t="shared" si="194"/>
        <v/>
      </c>
      <c r="AY3528" s="21" t="str">
        <f>IF(AND($AM3528&lt;&gt;"",$AS3528&lt;&gt;"✓"),SUMPRODUCT(($AM$11:$AM3528&lt;&gt;"")*($AS$11:$AS3528&lt;&gt;"✓")),"")</f>
        <v/>
      </c>
      <c r="AZ3528" s="21" t="str">
        <f>IF(AND($AM3528&lt;&gt;"",$AS3528="✓"),SUMPRODUCT(($AM$11:$AM3528&lt;&gt;"")*($AS$11:$AS3528="✓")),"")</f>
        <v/>
      </c>
      <c r="BA3528" s="21" t="str">
        <f>IF($AL3528="","",$AL3528&amp;"|"&amp;COUNTIF($AL$11:$AL3528,$AL3528))</f>
        <v/>
      </c>
    </row>
    <row r="3529" spans="38:53" ht="15" customHeight="1" x14ac:dyDescent="0.25">
      <c r="AL3529" s="17"/>
      <c r="AM3529" s="12"/>
      <c r="AN3529" s="18"/>
      <c r="AO3529" s="18"/>
      <c r="AP3529" s="10"/>
      <c r="AQ3529" s="10"/>
      <c r="AR3529" s="19"/>
      <c r="AS3529" s="20"/>
      <c r="AT3529" s="19"/>
      <c r="AV3529" s="21">
        <f>IF(AND($AL3529&lt;&gt;"",COUNTIF($AL$11:$AL3529,$AL3529)=1),1,0)</f>
        <v>0</v>
      </c>
      <c r="AW3529" s="21">
        <f t="shared" si="195"/>
        <v>2</v>
      </c>
      <c r="AX3529" s="21" t="str">
        <f t="shared" si="194"/>
        <v/>
      </c>
      <c r="AY3529" s="21" t="str">
        <f>IF(AND($AM3529&lt;&gt;"",$AS3529&lt;&gt;"✓"),SUMPRODUCT(($AM$11:$AM3529&lt;&gt;"")*($AS$11:$AS3529&lt;&gt;"✓")),"")</f>
        <v/>
      </c>
      <c r="AZ3529" s="21" t="str">
        <f>IF(AND($AM3529&lt;&gt;"",$AS3529="✓"),SUMPRODUCT(($AM$11:$AM3529&lt;&gt;"")*($AS$11:$AS3529="✓")),"")</f>
        <v/>
      </c>
      <c r="BA3529" s="21" t="str">
        <f>IF($AL3529="","",$AL3529&amp;"|"&amp;COUNTIF($AL$11:$AL3529,$AL3529))</f>
        <v/>
      </c>
    </row>
    <row r="3530" spans="38:53" ht="15" customHeight="1" x14ac:dyDescent="0.25">
      <c r="AL3530" s="31"/>
      <c r="AM3530" s="26"/>
      <c r="AN3530" s="32"/>
      <c r="AO3530" s="32"/>
      <c r="AP3530" s="24"/>
      <c r="AQ3530" s="24"/>
      <c r="AR3530" s="33"/>
      <c r="AS3530" s="34"/>
      <c r="AT3530" s="33"/>
      <c r="AV3530" s="21">
        <f>IF(AND($AL3530&lt;&gt;"",COUNTIF($AL$11:$AL3530,$AL3530)=1),1,0)</f>
        <v>0</v>
      </c>
      <c r="AW3530" s="21">
        <f t="shared" si="195"/>
        <v>2</v>
      </c>
      <c r="AX3530" s="21" t="str">
        <f t="shared" si="194"/>
        <v/>
      </c>
      <c r="AY3530" s="21" t="str">
        <f>IF(AND($AM3530&lt;&gt;"",$AS3530&lt;&gt;"✓"),SUMPRODUCT(($AM$11:$AM3530&lt;&gt;"")*($AS$11:$AS3530&lt;&gt;"✓")),"")</f>
        <v/>
      </c>
      <c r="AZ3530" s="21" t="str">
        <f>IF(AND($AM3530&lt;&gt;"",$AS3530="✓"),SUMPRODUCT(($AM$11:$AM3530&lt;&gt;"")*($AS$11:$AS3530="✓")),"")</f>
        <v/>
      </c>
      <c r="BA3530" s="21" t="str">
        <f>IF($AL3530="","",$AL3530&amp;"|"&amp;COUNTIF($AL$11:$AL3530,$AL3530))</f>
        <v/>
      </c>
    </row>
    <row r="3531" spans="38:53" ht="15" customHeight="1" x14ac:dyDescent="0.25">
      <c r="AL3531" s="17"/>
      <c r="AM3531" s="12"/>
      <c r="AN3531" s="18"/>
      <c r="AO3531" s="18"/>
      <c r="AP3531" s="10"/>
      <c r="AQ3531" s="10"/>
      <c r="AR3531" s="19"/>
      <c r="AS3531" s="20"/>
      <c r="AT3531" s="19"/>
      <c r="AV3531" s="21">
        <f>IF(AND($AL3531&lt;&gt;"",COUNTIF($AL$11:$AL3531,$AL3531)=1),1,0)</f>
        <v>0</v>
      </c>
      <c r="AW3531" s="21">
        <f t="shared" si="195"/>
        <v>2</v>
      </c>
      <c r="AX3531" s="21" t="str">
        <f t="shared" ref="AX3531:AX3594" si="196">IF(AV3531=1,AW3531,"")</f>
        <v/>
      </c>
      <c r="AY3531" s="21" t="str">
        <f>IF(AND($AM3531&lt;&gt;"",$AS3531&lt;&gt;"✓"),SUMPRODUCT(($AM$11:$AM3531&lt;&gt;"")*($AS$11:$AS3531&lt;&gt;"✓")),"")</f>
        <v/>
      </c>
      <c r="AZ3531" s="21" t="str">
        <f>IF(AND($AM3531&lt;&gt;"",$AS3531="✓"),SUMPRODUCT(($AM$11:$AM3531&lt;&gt;"")*($AS$11:$AS3531="✓")),"")</f>
        <v/>
      </c>
      <c r="BA3531" s="21" t="str">
        <f>IF($AL3531="","",$AL3531&amp;"|"&amp;COUNTIF($AL$11:$AL3531,$AL3531))</f>
        <v/>
      </c>
    </row>
    <row r="3532" spans="38:53" ht="15" customHeight="1" x14ac:dyDescent="0.25">
      <c r="AL3532" s="31"/>
      <c r="AM3532" s="26"/>
      <c r="AN3532" s="32"/>
      <c r="AO3532" s="32"/>
      <c r="AP3532" s="24"/>
      <c r="AQ3532" s="24"/>
      <c r="AR3532" s="33"/>
      <c r="AS3532" s="34"/>
      <c r="AT3532" s="33"/>
      <c r="AV3532" s="21">
        <f>IF(AND($AL3532&lt;&gt;"",COUNTIF($AL$11:$AL3532,$AL3532)=1),1,0)</f>
        <v>0</v>
      </c>
      <c r="AW3532" s="21">
        <f t="shared" ref="AW3532:AW3595" si="197">AW3531+AV3532</f>
        <v>2</v>
      </c>
      <c r="AX3532" s="21" t="str">
        <f t="shared" si="196"/>
        <v/>
      </c>
      <c r="AY3532" s="21" t="str">
        <f>IF(AND($AM3532&lt;&gt;"",$AS3532&lt;&gt;"✓"),SUMPRODUCT(($AM$11:$AM3532&lt;&gt;"")*($AS$11:$AS3532&lt;&gt;"✓")),"")</f>
        <v/>
      </c>
      <c r="AZ3532" s="21" t="str">
        <f>IF(AND($AM3532&lt;&gt;"",$AS3532="✓"),SUMPRODUCT(($AM$11:$AM3532&lt;&gt;"")*($AS$11:$AS3532="✓")),"")</f>
        <v/>
      </c>
      <c r="BA3532" s="21" t="str">
        <f>IF($AL3532="","",$AL3532&amp;"|"&amp;COUNTIF($AL$11:$AL3532,$AL3532))</f>
        <v/>
      </c>
    </row>
    <row r="3533" spans="38:53" ht="15" customHeight="1" x14ac:dyDescent="0.25">
      <c r="AL3533" s="17"/>
      <c r="AM3533" s="12"/>
      <c r="AN3533" s="18"/>
      <c r="AO3533" s="18"/>
      <c r="AP3533" s="10"/>
      <c r="AQ3533" s="10"/>
      <c r="AR3533" s="19"/>
      <c r="AS3533" s="20"/>
      <c r="AT3533" s="19"/>
      <c r="AV3533" s="21">
        <f>IF(AND($AL3533&lt;&gt;"",COUNTIF($AL$11:$AL3533,$AL3533)=1),1,0)</f>
        <v>0</v>
      </c>
      <c r="AW3533" s="21">
        <f t="shared" si="197"/>
        <v>2</v>
      </c>
      <c r="AX3533" s="21" t="str">
        <f t="shared" si="196"/>
        <v/>
      </c>
      <c r="AY3533" s="21" t="str">
        <f>IF(AND($AM3533&lt;&gt;"",$AS3533&lt;&gt;"✓"),SUMPRODUCT(($AM$11:$AM3533&lt;&gt;"")*($AS$11:$AS3533&lt;&gt;"✓")),"")</f>
        <v/>
      </c>
      <c r="AZ3533" s="21" t="str">
        <f>IF(AND($AM3533&lt;&gt;"",$AS3533="✓"),SUMPRODUCT(($AM$11:$AM3533&lt;&gt;"")*($AS$11:$AS3533="✓")),"")</f>
        <v/>
      </c>
      <c r="BA3533" s="21" t="str">
        <f>IF($AL3533="","",$AL3533&amp;"|"&amp;COUNTIF($AL$11:$AL3533,$AL3533))</f>
        <v/>
      </c>
    </row>
    <row r="3534" spans="38:53" ht="15" customHeight="1" x14ac:dyDescent="0.25">
      <c r="AL3534" s="31"/>
      <c r="AM3534" s="26"/>
      <c r="AN3534" s="32"/>
      <c r="AO3534" s="32"/>
      <c r="AP3534" s="24"/>
      <c r="AQ3534" s="24"/>
      <c r="AR3534" s="33"/>
      <c r="AS3534" s="34"/>
      <c r="AT3534" s="33"/>
      <c r="AV3534" s="21">
        <f>IF(AND($AL3534&lt;&gt;"",COUNTIF($AL$11:$AL3534,$AL3534)=1),1,0)</f>
        <v>0</v>
      </c>
      <c r="AW3534" s="21">
        <f t="shared" si="197"/>
        <v>2</v>
      </c>
      <c r="AX3534" s="21" t="str">
        <f t="shared" si="196"/>
        <v/>
      </c>
      <c r="AY3534" s="21" t="str">
        <f>IF(AND($AM3534&lt;&gt;"",$AS3534&lt;&gt;"✓"),SUMPRODUCT(($AM$11:$AM3534&lt;&gt;"")*($AS$11:$AS3534&lt;&gt;"✓")),"")</f>
        <v/>
      </c>
      <c r="AZ3534" s="21" t="str">
        <f>IF(AND($AM3534&lt;&gt;"",$AS3534="✓"),SUMPRODUCT(($AM$11:$AM3534&lt;&gt;"")*($AS$11:$AS3534="✓")),"")</f>
        <v/>
      </c>
      <c r="BA3534" s="21" t="str">
        <f>IF($AL3534="","",$AL3534&amp;"|"&amp;COUNTIF($AL$11:$AL3534,$AL3534))</f>
        <v/>
      </c>
    </row>
    <row r="3535" spans="38:53" ht="15" customHeight="1" x14ac:dyDescent="0.25">
      <c r="AL3535" s="17"/>
      <c r="AM3535" s="12"/>
      <c r="AN3535" s="18"/>
      <c r="AO3535" s="18"/>
      <c r="AP3535" s="10"/>
      <c r="AQ3535" s="10"/>
      <c r="AR3535" s="19"/>
      <c r="AS3535" s="20"/>
      <c r="AT3535" s="19"/>
      <c r="AV3535" s="21">
        <f>IF(AND($AL3535&lt;&gt;"",COUNTIF($AL$11:$AL3535,$AL3535)=1),1,0)</f>
        <v>0</v>
      </c>
      <c r="AW3535" s="21">
        <f t="shared" si="197"/>
        <v>2</v>
      </c>
      <c r="AX3535" s="21" t="str">
        <f t="shared" si="196"/>
        <v/>
      </c>
      <c r="AY3535" s="21" t="str">
        <f>IF(AND($AM3535&lt;&gt;"",$AS3535&lt;&gt;"✓"),SUMPRODUCT(($AM$11:$AM3535&lt;&gt;"")*($AS$11:$AS3535&lt;&gt;"✓")),"")</f>
        <v/>
      </c>
      <c r="AZ3535" s="21" t="str">
        <f>IF(AND($AM3535&lt;&gt;"",$AS3535="✓"),SUMPRODUCT(($AM$11:$AM3535&lt;&gt;"")*($AS$11:$AS3535="✓")),"")</f>
        <v/>
      </c>
      <c r="BA3535" s="21" t="str">
        <f>IF($AL3535="","",$AL3535&amp;"|"&amp;COUNTIF($AL$11:$AL3535,$AL3535))</f>
        <v/>
      </c>
    </row>
    <row r="3536" spans="38:53" ht="15" customHeight="1" x14ac:dyDescent="0.25">
      <c r="AL3536" s="31"/>
      <c r="AM3536" s="26"/>
      <c r="AN3536" s="32"/>
      <c r="AO3536" s="32"/>
      <c r="AP3536" s="24"/>
      <c r="AQ3536" s="24"/>
      <c r="AR3536" s="33"/>
      <c r="AS3536" s="34"/>
      <c r="AT3536" s="33"/>
      <c r="AV3536" s="21">
        <f>IF(AND($AL3536&lt;&gt;"",COUNTIF($AL$11:$AL3536,$AL3536)=1),1,0)</f>
        <v>0</v>
      </c>
      <c r="AW3536" s="21">
        <f t="shared" si="197"/>
        <v>2</v>
      </c>
      <c r="AX3536" s="21" t="str">
        <f t="shared" si="196"/>
        <v/>
      </c>
      <c r="AY3536" s="21" t="str">
        <f>IF(AND($AM3536&lt;&gt;"",$AS3536&lt;&gt;"✓"),SUMPRODUCT(($AM$11:$AM3536&lt;&gt;"")*($AS$11:$AS3536&lt;&gt;"✓")),"")</f>
        <v/>
      </c>
      <c r="AZ3536" s="21" t="str">
        <f>IF(AND($AM3536&lt;&gt;"",$AS3536="✓"),SUMPRODUCT(($AM$11:$AM3536&lt;&gt;"")*($AS$11:$AS3536="✓")),"")</f>
        <v/>
      </c>
      <c r="BA3536" s="21" t="str">
        <f>IF($AL3536="","",$AL3536&amp;"|"&amp;COUNTIF($AL$11:$AL3536,$AL3536))</f>
        <v/>
      </c>
    </row>
    <row r="3537" spans="38:53" ht="15" customHeight="1" x14ac:dyDescent="0.25">
      <c r="AL3537" s="17"/>
      <c r="AM3537" s="12"/>
      <c r="AN3537" s="18"/>
      <c r="AO3537" s="18"/>
      <c r="AP3537" s="10"/>
      <c r="AQ3537" s="10"/>
      <c r="AR3537" s="19"/>
      <c r="AS3537" s="20"/>
      <c r="AT3537" s="19"/>
      <c r="AV3537" s="21">
        <f>IF(AND($AL3537&lt;&gt;"",COUNTIF($AL$11:$AL3537,$AL3537)=1),1,0)</f>
        <v>0</v>
      </c>
      <c r="AW3537" s="21">
        <f t="shared" si="197"/>
        <v>2</v>
      </c>
      <c r="AX3537" s="21" t="str">
        <f t="shared" si="196"/>
        <v/>
      </c>
      <c r="AY3537" s="21" t="str">
        <f>IF(AND($AM3537&lt;&gt;"",$AS3537&lt;&gt;"✓"),SUMPRODUCT(($AM$11:$AM3537&lt;&gt;"")*($AS$11:$AS3537&lt;&gt;"✓")),"")</f>
        <v/>
      </c>
      <c r="AZ3537" s="21" t="str">
        <f>IF(AND($AM3537&lt;&gt;"",$AS3537="✓"),SUMPRODUCT(($AM$11:$AM3537&lt;&gt;"")*($AS$11:$AS3537="✓")),"")</f>
        <v/>
      </c>
      <c r="BA3537" s="21" t="str">
        <f>IF($AL3537="","",$AL3537&amp;"|"&amp;COUNTIF($AL$11:$AL3537,$AL3537))</f>
        <v/>
      </c>
    </row>
    <row r="3538" spans="38:53" ht="15" customHeight="1" x14ac:dyDescent="0.25">
      <c r="AL3538" s="31"/>
      <c r="AM3538" s="26"/>
      <c r="AN3538" s="32"/>
      <c r="AO3538" s="32"/>
      <c r="AP3538" s="24"/>
      <c r="AQ3538" s="24"/>
      <c r="AR3538" s="33"/>
      <c r="AS3538" s="34"/>
      <c r="AT3538" s="33"/>
      <c r="AV3538" s="21">
        <f>IF(AND($AL3538&lt;&gt;"",COUNTIF($AL$11:$AL3538,$AL3538)=1),1,0)</f>
        <v>0</v>
      </c>
      <c r="AW3538" s="21">
        <f t="shared" si="197"/>
        <v>2</v>
      </c>
      <c r="AX3538" s="21" t="str">
        <f t="shared" si="196"/>
        <v/>
      </c>
      <c r="AY3538" s="21" t="str">
        <f>IF(AND($AM3538&lt;&gt;"",$AS3538&lt;&gt;"✓"),SUMPRODUCT(($AM$11:$AM3538&lt;&gt;"")*($AS$11:$AS3538&lt;&gt;"✓")),"")</f>
        <v/>
      </c>
      <c r="AZ3538" s="21" t="str">
        <f>IF(AND($AM3538&lt;&gt;"",$AS3538="✓"),SUMPRODUCT(($AM$11:$AM3538&lt;&gt;"")*($AS$11:$AS3538="✓")),"")</f>
        <v/>
      </c>
      <c r="BA3538" s="21" t="str">
        <f>IF($AL3538="","",$AL3538&amp;"|"&amp;COUNTIF($AL$11:$AL3538,$AL3538))</f>
        <v/>
      </c>
    </row>
    <row r="3539" spans="38:53" ht="15" customHeight="1" x14ac:dyDescent="0.25">
      <c r="AL3539" s="17"/>
      <c r="AM3539" s="12"/>
      <c r="AN3539" s="18"/>
      <c r="AO3539" s="18"/>
      <c r="AP3539" s="10"/>
      <c r="AQ3539" s="10"/>
      <c r="AR3539" s="19"/>
      <c r="AS3539" s="20"/>
      <c r="AT3539" s="19"/>
      <c r="AV3539" s="21">
        <f>IF(AND($AL3539&lt;&gt;"",COUNTIF($AL$11:$AL3539,$AL3539)=1),1,0)</f>
        <v>0</v>
      </c>
      <c r="AW3539" s="21">
        <f t="shared" si="197"/>
        <v>2</v>
      </c>
      <c r="AX3539" s="21" t="str">
        <f t="shared" si="196"/>
        <v/>
      </c>
      <c r="AY3539" s="21" t="str">
        <f>IF(AND($AM3539&lt;&gt;"",$AS3539&lt;&gt;"✓"),SUMPRODUCT(($AM$11:$AM3539&lt;&gt;"")*($AS$11:$AS3539&lt;&gt;"✓")),"")</f>
        <v/>
      </c>
      <c r="AZ3539" s="21" t="str">
        <f>IF(AND($AM3539&lt;&gt;"",$AS3539="✓"),SUMPRODUCT(($AM$11:$AM3539&lt;&gt;"")*($AS$11:$AS3539="✓")),"")</f>
        <v/>
      </c>
      <c r="BA3539" s="21" t="str">
        <f>IF($AL3539="","",$AL3539&amp;"|"&amp;COUNTIF($AL$11:$AL3539,$AL3539))</f>
        <v/>
      </c>
    </row>
    <row r="3540" spans="38:53" ht="15" customHeight="1" x14ac:dyDescent="0.25">
      <c r="AL3540" s="31"/>
      <c r="AM3540" s="26"/>
      <c r="AN3540" s="32"/>
      <c r="AO3540" s="32"/>
      <c r="AP3540" s="24"/>
      <c r="AQ3540" s="24"/>
      <c r="AR3540" s="33"/>
      <c r="AS3540" s="34"/>
      <c r="AT3540" s="33"/>
      <c r="AV3540" s="21">
        <f>IF(AND($AL3540&lt;&gt;"",COUNTIF($AL$11:$AL3540,$AL3540)=1),1,0)</f>
        <v>0</v>
      </c>
      <c r="AW3540" s="21">
        <f t="shared" si="197"/>
        <v>2</v>
      </c>
      <c r="AX3540" s="21" t="str">
        <f t="shared" si="196"/>
        <v/>
      </c>
      <c r="AY3540" s="21" t="str">
        <f>IF(AND($AM3540&lt;&gt;"",$AS3540&lt;&gt;"✓"),SUMPRODUCT(($AM$11:$AM3540&lt;&gt;"")*($AS$11:$AS3540&lt;&gt;"✓")),"")</f>
        <v/>
      </c>
      <c r="AZ3540" s="21" t="str">
        <f>IF(AND($AM3540&lt;&gt;"",$AS3540="✓"),SUMPRODUCT(($AM$11:$AM3540&lt;&gt;"")*($AS$11:$AS3540="✓")),"")</f>
        <v/>
      </c>
      <c r="BA3540" s="21" t="str">
        <f>IF($AL3540="","",$AL3540&amp;"|"&amp;COUNTIF($AL$11:$AL3540,$AL3540))</f>
        <v/>
      </c>
    </row>
    <row r="3541" spans="38:53" ht="15" customHeight="1" x14ac:dyDescent="0.25">
      <c r="AL3541" s="17"/>
      <c r="AM3541" s="12"/>
      <c r="AN3541" s="18"/>
      <c r="AO3541" s="18"/>
      <c r="AP3541" s="10"/>
      <c r="AQ3541" s="10"/>
      <c r="AR3541" s="19"/>
      <c r="AS3541" s="20"/>
      <c r="AT3541" s="19"/>
      <c r="AV3541" s="21">
        <f>IF(AND($AL3541&lt;&gt;"",COUNTIF($AL$11:$AL3541,$AL3541)=1),1,0)</f>
        <v>0</v>
      </c>
      <c r="AW3541" s="21">
        <f t="shared" si="197"/>
        <v>2</v>
      </c>
      <c r="AX3541" s="21" t="str">
        <f t="shared" si="196"/>
        <v/>
      </c>
      <c r="AY3541" s="21" t="str">
        <f>IF(AND($AM3541&lt;&gt;"",$AS3541&lt;&gt;"✓"),SUMPRODUCT(($AM$11:$AM3541&lt;&gt;"")*($AS$11:$AS3541&lt;&gt;"✓")),"")</f>
        <v/>
      </c>
      <c r="AZ3541" s="21" t="str">
        <f>IF(AND($AM3541&lt;&gt;"",$AS3541="✓"),SUMPRODUCT(($AM$11:$AM3541&lt;&gt;"")*($AS$11:$AS3541="✓")),"")</f>
        <v/>
      </c>
      <c r="BA3541" s="21" t="str">
        <f>IF($AL3541="","",$AL3541&amp;"|"&amp;COUNTIF($AL$11:$AL3541,$AL3541))</f>
        <v/>
      </c>
    </row>
    <row r="3542" spans="38:53" ht="15" customHeight="1" x14ac:dyDescent="0.25">
      <c r="AL3542" s="31"/>
      <c r="AM3542" s="26"/>
      <c r="AN3542" s="32"/>
      <c r="AO3542" s="32"/>
      <c r="AP3542" s="24"/>
      <c r="AQ3542" s="24"/>
      <c r="AR3542" s="33"/>
      <c r="AS3542" s="34"/>
      <c r="AT3542" s="33"/>
      <c r="AV3542" s="21">
        <f>IF(AND($AL3542&lt;&gt;"",COUNTIF($AL$11:$AL3542,$AL3542)=1),1,0)</f>
        <v>0</v>
      </c>
      <c r="AW3542" s="21">
        <f t="shared" si="197"/>
        <v>2</v>
      </c>
      <c r="AX3542" s="21" t="str">
        <f t="shared" si="196"/>
        <v/>
      </c>
      <c r="AY3542" s="21" t="str">
        <f>IF(AND($AM3542&lt;&gt;"",$AS3542&lt;&gt;"✓"),SUMPRODUCT(($AM$11:$AM3542&lt;&gt;"")*($AS$11:$AS3542&lt;&gt;"✓")),"")</f>
        <v/>
      </c>
      <c r="AZ3542" s="21" t="str">
        <f>IF(AND($AM3542&lt;&gt;"",$AS3542="✓"),SUMPRODUCT(($AM$11:$AM3542&lt;&gt;"")*($AS$11:$AS3542="✓")),"")</f>
        <v/>
      </c>
      <c r="BA3542" s="21" t="str">
        <f>IF($AL3542="","",$AL3542&amp;"|"&amp;COUNTIF($AL$11:$AL3542,$AL3542))</f>
        <v/>
      </c>
    </row>
    <row r="3543" spans="38:53" ht="15" customHeight="1" x14ac:dyDescent="0.25">
      <c r="AL3543" s="17"/>
      <c r="AM3543" s="12"/>
      <c r="AN3543" s="18"/>
      <c r="AO3543" s="18"/>
      <c r="AP3543" s="10"/>
      <c r="AQ3543" s="10"/>
      <c r="AR3543" s="19"/>
      <c r="AS3543" s="20"/>
      <c r="AT3543" s="19"/>
      <c r="AV3543" s="21">
        <f>IF(AND($AL3543&lt;&gt;"",COUNTIF($AL$11:$AL3543,$AL3543)=1),1,0)</f>
        <v>0</v>
      </c>
      <c r="AW3543" s="21">
        <f t="shared" si="197"/>
        <v>2</v>
      </c>
      <c r="AX3543" s="21" t="str">
        <f t="shared" si="196"/>
        <v/>
      </c>
      <c r="AY3543" s="21" t="str">
        <f>IF(AND($AM3543&lt;&gt;"",$AS3543&lt;&gt;"✓"),SUMPRODUCT(($AM$11:$AM3543&lt;&gt;"")*($AS$11:$AS3543&lt;&gt;"✓")),"")</f>
        <v/>
      </c>
      <c r="AZ3543" s="21" t="str">
        <f>IF(AND($AM3543&lt;&gt;"",$AS3543="✓"),SUMPRODUCT(($AM$11:$AM3543&lt;&gt;"")*($AS$11:$AS3543="✓")),"")</f>
        <v/>
      </c>
      <c r="BA3543" s="21" t="str">
        <f>IF($AL3543="","",$AL3543&amp;"|"&amp;COUNTIF($AL$11:$AL3543,$AL3543))</f>
        <v/>
      </c>
    </row>
    <row r="3544" spans="38:53" ht="15" customHeight="1" x14ac:dyDescent="0.25">
      <c r="AL3544" s="31"/>
      <c r="AM3544" s="26"/>
      <c r="AN3544" s="32"/>
      <c r="AO3544" s="32"/>
      <c r="AP3544" s="24"/>
      <c r="AQ3544" s="24"/>
      <c r="AR3544" s="33"/>
      <c r="AS3544" s="34"/>
      <c r="AT3544" s="33"/>
      <c r="AV3544" s="21">
        <f>IF(AND($AL3544&lt;&gt;"",COUNTIF($AL$11:$AL3544,$AL3544)=1),1,0)</f>
        <v>0</v>
      </c>
      <c r="AW3544" s="21">
        <f t="shared" si="197"/>
        <v>2</v>
      </c>
      <c r="AX3544" s="21" t="str">
        <f t="shared" si="196"/>
        <v/>
      </c>
      <c r="AY3544" s="21" t="str">
        <f>IF(AND($AM3544&lt;&gt;"",$AS3544&lt;&gt;"✓"),SUMPRODUCT(($AM$11:$AM3544&lt;&gt;"")*($AS$11:$AS3544&lt;&gt;"✓")),"")</f>
        <v/>
      </c>
      <c r="AZ3544" s="21" t="str">
        <f>IF(AND($AM3544&lt;&gt;"",$AS3544="✓"),SUMPRODUCT(($AM$11:$AM3544&lt;&gt;"")*($AS$11:$AS3544="✓")),"")</f>
        <v/>
      </c>
      <c r="BA3544" s="21" t="str">
        <f>IF($AL3544="","",$AL3544&amp;"|"&amp;COUNTIF($AL$11:$AL3544,$AL3544))</f>
        <v/>
      </c>
    </row>
    <row r="3545" spans="38:53" ht="15" customHeight="1" x14ac:dyDescent="0.25">
      <c r="AL3545" s="17"/>
      <c r="AM3545" s="12"/>
      <c r="AN3545" s="18"/>
      <c r="AO3545" s="18"/>
      <c r="AP3545" s="10"/>
      <c r="AQ3545" s="10"/>
      <c r="AR3545" s="19"/>
      <c r="AS3545" s="20"/>
      <c r="AT3545" s="19"/>
      <c r="AV3545" s="21">
        <f>IF(AND($AL3545&lt;&gt;"",COUNTIF($AL$11:$AL3545,$AL3545)=1),1,0)</f>
        <v>0</v>
      </c>
      <c r="AW3545" s="21">
        <f t="shared" si="197"/>
        <v>2</v>
      </c>
      <c r="AX3545" s="21" t="str">
        <f t="shared" si="196"/>
        <v/>
      </c>
      <c r="AY3545" s="21" t="str">
        <f>IF(AND($AM3545&lt;&gt;"",$AS3545&lt;&gt;"✓"),SUMPRODUCT(($AM$11:$AM3545&lt;&gt;"")*($AS$11:$AS3545&lt;&gt;"✓")),"")</f>
        <v/>
      </c>
      <c r="AZ3545" s="21" t="str">
        <f>IF(AND($AM3545&lt;&gt;"",$AS3545="✓"),SUMPRODUCT(($AM$11:$AM3545&lt;&gt;"")*($AS$11:$AS3545="✓")),"")</f>
        <v/>
      </c>
      <c r="BA3545" s="21" t="str">
        <f>IF($AL3545="","",$AL3545&amp;"|"&amp;COUNTIF($AL$11:$AL3545,$AL3545))</f>
        <v/>
      </c>
    </row>
    <row r="3546" spans="38:53" ht="15" customHeight="1" x14ac:dyDescent="0.25">
      <c r="AL3546" s="31"/>
      <c r="AM3546" s="26"/>
      <c r="AN3546" s="32"/>
      <c r="AO3546" s="32"/>
      <c r="AP3546" s="24"/>
      <c r="AQ3546" s="24"/>
      <c r="AR3546" s="33"/>
      <c r="AS3546" s="34"/>
      <c r="AT3546" s="33"/>
      <c r="AV3546" s="21">
        <f>IF(AND($AL3546&lt;&gt;"",COUNTIF($AL$11:$AL3546,$AL3546)=1),1,0)</f>
        <v>0</v>
      </c>
      <c r="AW3546" s="21">
        <f t="shared" si="197"/>
        <v>2</v>
      </c>
      <c r="AX3546" s="21" t="str">
        <f t="shared" si="196"/>
        <v/>
      </c>
      <c r="AY3546" s="21" t="str">
        <f>IF(AND($AM3546&lt;&gt;"",$AS3546&lt;&gt;"✓"),SUMPRODUCT(($AM$11:$AM3546&lt;&gt;"")*($AS$11:$AS3546&lt;&gt;"✓")),"")</f>
        <v/>
      </c>
      <c r="AZ3546" s="21" t="str">
        <f>IF(AND($AM3546&lt;&gt;"",$AS3546="✓"),SUMPRODUCT(($AM$11:$AM3546&lt;&gt;"")*($AS$11:$AS3546="✓")),"")</f>
        <v/>
      </c>
      <c r="BA3546" s="21" t="str">
        <f>IF($AL3546="","",$AL3546&amp;"|"&amp;COUNTIF($AL$11:$AL3546,$AL3546))</f>
        <v/>
      </c>
    </row>
    <row r="3547" spans="38:53" ht="15" customHeight="1" x14ac:dyDescent="0.25">
      <c r="AL3547" s="17"/>
      <c r="AM3547" s="12"/>
      <c r="AN3547" s="18"/>
      <c r="AO3547" s="18"/>
      <c r="AP3547" s="10"/>
      <c r="AQ3547" s="10"/>
      <c r="AR3547" s="19"/>
      <c r="AS3547" s="20"/>
      <c r="AT3547" s="19"/>
      <c r="AV3547" s="21">
        <f>IF(AND($AL3547&lt;&gt;"",COUNTIF($AL$11:$AL3547,$AL3547)=1),1,0)</f>
        <v>0</v>
      </c>
      <c r="AW3547" s="21">
        <f t="shared" si="197"/>
        <v>2</v>
      </c>
      <c r="AX3547" s="21" t="str">
        <f t="shared" si="196"/>
        <v/>
      </c>
      <c r="AY3547" s="21" t="str">
        <f>IF(AND($AM3547&lt;&gt;"",$AS3547&lt;&gt;"✓"),SUMPRODUCT(($AM$11:$AM3547&lt;&gt;"")*($AS$11:$AS3547&lt;&gt;"✓")),"")</f>
        <v/>
      </c>
      <c r="AZ3547" s="21" t="str">
        <f>IF(AND($AM3547&lt;&gt;"",$AS3547="✓"),SUMPRODUCT(($AM$11:$AM3547&lt;&gt;"")*($AS$11:$AS3547="✓")),"")</f>
        <v/>
      </c>
      <c r="BA3547" s="21" t="str">
        <f>IF($AL3547="","",$AL3547&amp;"|"&amp;COUNTIF($AL$11:$AL3547,$AL3547))</f>
        <v/>
      </c>
    </row>
    <row r="3548" spans="38:53" ht="15" customHeight="1" x14ac:dyDescent="0.25">
      <c r="AL3548" s="31"/>
      <c r="AM3548" s="26"/>
      <c r="AN3548" s="32"/>
      <c r="AO3548" s="32"/>
      <c r="AP3548" s="24"/>
      <c r="AQ3548" s="24"/>
      <c r="AR3548" s="33"/>
      <c r="AS3548" s="34"/>
      <c r="AT3548" s="33"/>
      <c r="AV3548" s="21">
        <f>IF(AND($AL3548&lt;&gt;"",COUNTIF($AL$11:$AL3548,$AL3548)=1),1,0)</f>
        <v>0</v>
      </c>
      <c r="AW3548" s="21">
        <f t="shared" si="197"/>
        <v>2</v>
      </c>
      <c r="AX3548" s="21" t="str">
        <f t="shared" si="196"/>
        <v/>
      </c>
      <c r="AY3548" s="21" t="str">
        <f>IF(AND($AM3548&lt;&gt;"",$AS3548&lt;&gt;"✓"),SUMPRODUCT(($AM$11:$AM3548&lt;&gt;"")*($AS$11:$AS3548&lt;&gt;"✓")),"")</f>
        <v/>
      </c>
      <c r="AZ3548" s="21" t="str">
        <f>IF(AND($AM3548&lt;&gt;"",$AS3548="✓"),SUMPRODUCT(($AM$11:$AM3548&lt;&gt;"")*($AS$11:$AS3548="✓")),"")</f>
        <v/>
      </c>
      <c r="BA3548" s="21" t="str">
        <f>IF($AL3548="","",$AL3548&amp;"|"&amp;COUNTIF($AL$11:$AL3548,$AL3548))</f>
        <v/>
      </c>
    </row>
    <row r="3549" spans="38:53" ht="15" customHeight="1" x14ac:dyDescent="0.25">
      <c r="AL3549" s="17"/>
      <c r="AM3549" s="12"/>
      <c r="AN3549" s="18"/>
      <c r="AO3549" s="18"/>
      <c r="AP3549" s="10"/>
      <c r="AQ3549" s="10"/>
      <c r="AR3549" s="19"/>
      <c r="AS3549" s="20"/>
      <c r="AT3549" s="19"/>
      <c r="AV3549" s="21">
        <f>IF(AND($AL3549&lt;&gt;"",COUNTIF($AL$11:$AL3549,$AL3549)=1),1,0)</f>
        <v>0</v>
      </c>
      <c r="AW3549" s="21">
        <f t="shared" si="197"/>
        <v>2</v>
      </c>
      <c r="AX3549" s="21" t="str">
        <f t="shared" si="196"/>
        <v/>
      </c>
      <c r="AY3549" s="21" t="str">
        <f>IF(AND($AM3549&lt;&gt;"",$AS3549&lt;&gt;"✓"),SUMPRODUCT(($AM$11:$AM3549&lt;&gt;"")*($AS$11:$AS3549&lt;&gt;"✓")),"")</f>
        <v/>
      </c>
      <c r="AZ3549" s="21" t="str">
        <f>IF(AND($AM3549&lt;&gt;"",$AS3549="✓"),SUMPRODUCT(($AM$11:$AM3549&lt;&gt;"")*($AS$11:$AS3549="✓")),"")</f>
        <v/>
      </c>
      <c r="BA3549" s="21" t="str">
        <f>IF($AL3549="","",$AL3549&amp;"|"&amp;COUNTIF($AL$11:$AL3549,$AL3549))</f>
        <v/>
      </c>
    </row>
    <row r="3550" spans="38:53" ht="15" customHeight="1" x14ac:dyDescent="0.25">
      <c r="AL3550" s="31"/>
      <c r="AM3550" s="26"/>
      <c r="AN3550" s="32"/>
      <c r="AO3550" s="32"/>
      <c r="AP3550" s="24"/>
      <c r="AQ3550" s="24"/>
      <c r="AR3550" s="33"/>
      <c r="AS3550" s="34"/>
      <c r="AT3550" s="33"/>
      <c r="AV3550" s="21">
        <f>IF(AND($AL3550&lt;&gt;"",COUNTIF($AL$11:$AL3550,$AL3550)=1),1,0)</f>
        <v>0</v>
      </c>
      <c r="AW3550" s="21">
        <f t="shared" si="197"/>
        <v>2</v>
      </c>
      <c r="AX3550" s="21" t="str">
        <f t="shared" si="196"/>
        <v/>
      </c>
      <c r="AY3550" s="21" t="str">
        <f>IF(AND($AM3550&lt;&gt;"",$AS3550&lt;&gt;"✓"),SUMPRODUCT(($AM$11:$AM3550&lt;&gt;"")*($AS$11:$AS3550&lt;&gt;"✓")),"")</f>
        <v/>
      </c>
      <c r="AZ3550" s="21" t="str">
        <f>IF(AND($AM3550&lt;&gt;"",$AS3550="✓"),SUMPRODUCT(($AM$11:$AM3550&lt;&gt;"")*($AS$11:$AS3550="✓")),"")</f>
        <v/>
      </c>
      <c r="BA3550" s="21" t="str">
        <f>IF($AL3550="","",$AL3550&amp;"|"&amp;COUNTIF($AL$11:$AL3550,$AL3550))</f>
        <v/>
      </c>
    </row>
    <row r="3551" spans="38:53" ht="15" customHeight="1" x14ac:dyDescent="0.25">
      <c r="AL3551" s="17"/>
      <c r="AM3551" s="12"/>
      <c r="AN3551" s="18"/>
      <c r="AO3551" s="18"/>
      <c r="AP3551" s="10"/>
      <c r="AQ3551" s="10"/>
      <c r="AR3551" s="19"/>
      <c r="AS3551" s="20"/>
      <c r="AT3551" s="19"/>
      <c r="AV3551" s="21">
        <f>IF(AND($AL3551&lt;&gt;"",COUNTIF($AL$11:$AL3551,$AL3551)=1),1,0)</f>
        <v>0</v>
      </c>
      <c r="AW3551" s="21">
        <f t="shared" si="197"/>
        <v>2</v>
      </c>
      <c r="AX3551" s="21" t="str">
        <f t="shared" si="196"/>
        <v/>
      </c>
      <c r="AY3551" s="21" t="str">
        <f>IF(AND($AM3551&lt;&gt;"",$AS3551&lt;&gt;"✓"),SUMPRODUCT(($AM$11:$AM3551&lt;&gt;"")*($AS$11:$AS3551&lt;&gt;"✓")),"")</f>
        <v/>
      </c>
      <c r="AZ3551" s="21" t="str">
        <f>IF(AND($AM3551&lt;&gt;"",$AS3551="✓"),SUMPRODUCT(($AM$11:$AM3551&lt;&gt;"")*($AS$11:$AS3551="✓")),"")</f>
        <v/>
      </c>
      <c r="BA3551" s="21" t="str">
        <f>IF($AL3551="","",$AL3551&amp;"|"&amp;COUNTIF($AL$11:$AL3551,$AL3551))</f>
        <v/>
      </c>
    </row>
    <row r="3552" spans="38:53" ht="15" customHeight="1" x14ac:dyDescent="0.25">
      <c r="AL3552" s="31"/>
      <c r="AM3552" s="26"/>
      <c r="AN3552" s="32"/>
      <c r="AO3552" s="32"/>
      <c r="AP3552" s="24"/>
      <c r="AQ3552" s="24"/>
      <c r="AR3552" s="33"/>
      <c r="AS3552" s="34"/>
      <c r="AT3552" s="33"/>
      <c r="AV3552" s="21">
        <f>IF(AND($AL3552&lt;&gt;"",COUNTIF($AL$11:$AL3552,$AL3552)=1),1,0)</f>
        <v>0</v>
      </c>
      <c r="AW3552" s="21">
        <f t="shared" si="197"/>
        <v>2</v>
      </c>
      <c r="AX3552" s="21" t="str">
        <f t="shared" si="196"/>
        <v/>
      </c>
      <c r="AY3552" s="21" t="str">
        <f>IF(AND($AM3552&lt;&gt;"",$AS3552&lt;&gt;"✓"),SUMPRODUCT(($AM$11:$AM3552&lt;&gt;"")*($AS$11:$AS3552&lt;&gt;"✓")),"")</f>
        <v/>
      </c>
      <c r="AZ3552" s="21" t="str">
        <f>IF(AND($AM3552&lt;&gt;"",$AS3552="✓"),SUMPRODUCT(($AM$11:$AM3552&lt;&gt;"")*($AS$11:$AS3552="✓")),"")</f>
        <v/>
      </c>
      <c r="BA3552" s="21" t="str">
        <f>IF($AL3552="","",$AL3552&amp;"|"&amp;COUNTIF($AL$11:$AL3552,$AL3552))</f>
        <v/>
      </c>
    </row>
    <row r="3553" spans="38:53" ht="15" customHeight="1" x14ac:dyDescent="0.25">
      <c r="AL3553" s="17"/>
      <c r="AM3553" s="12"/>
      <c r="AN3553" s="18"/>
      <c r="AO3553" s="18"/>
      <c r="AP3553" s="10"/>
      <c r="AQ3553" s="10"/>
      <c r="AR3553" s="19"/>
      <c r="AS3553" s="20"/>
      <c r="AT3553" s="19"/>
      <c r="AV3553" s="21">
        <f>IF(AND($AL3553&lt;&gt;"",COUNTIF($AL$11:$AL3553,$AL3553)=1),1,0)</f>
        <v>0</v>
      </c>
      <c r="AW3553" s="21">
        <f t="shared" si="197"/>
        <v>2</v>
      </c>
      <c r="AX3553" s="21" t="str">
        <f t="shared" si="196"/>
        <v/>
      </c>
      <c r="AY3553" s="21" t="str">
        <f>IF(AND($AM3553&lt;&gt;"",$AS3553&lt;&gt;"✓"),SUMPRODUCT(($AM$11:$AM3553&lt;&gt;"")*($AS$11:$AS3553&lt;&gt;"✓")),"")</f>
        <v/>
      </c>
      <c r="AZ3553" s="21" t="str">
        <f>IF(AND($AM3553&lt;&gt;"",$AS3553="✓"),SUMPRODUCT(($AM$11:$AM3553&lt;&gt;"")*($AS$11:$AS3553="✓")),"")</f>
        <v/>
      </c>
      <c r="BA3553" s="21" t="str">
        <f>IF($AL3553="","",$AL3553&amp;"|"&amp;COUNTIF($AL$11:$AL3553,$AL3553))</f>
        <v/>
      </c>
    </row>
    <row r="3554" spans="38:53" ht="15" customHeight="1" x14ac:dyDescent="0.25">
      <c r="AL3554" s="31"/>
      <c r="AM3554" s="26"/>
      <c r="AN3554" s="32"/>
      <c r="AO3554" s="32"/>
      <c r="AP3554" s="24"/>
      <c r="AQ3554" s="24"/>
      <c r="AR3554" s="33"/>
      <c r="AS3554" s="34"/>
      <c r="AT3554" s="33"/>
      <c r="AV3554" s="21">
        <f>IF(AND($AL3554&lt;&gt;"",COUNTIF($AL$11:$AL3554,$AL3554)=1),1,0)</f>
        <v>0</v>
      </c>
      <c r="AW3554" s="21">
        <f t="shared" si="197"/>
        <v>2</v>
      </c>
      <c r="AX3554" s="21" t="str">
        <f t="shared" si="196"/>
        <v/>
      </c>
      <c r="AY3554" s="21" t="str">
        <f>IF(AND($AM3554&lt;&gt;"",$AS3554&lt;&gt;"✓"),SUMPRODUCT(($AM$11:$AM3554&lt;&gt;"")*($AS$11:$AS3554&lt;&gt;"✓")),"")</f>
        <v/>
      </c>
      <c r="AZ3554" s="21" t="str">
        <f>IF(AND($AM3554&lt;&gt;"",$AS3554="✓"),SUMPRODUCT(($AM$11:$AM3554&lt;&gt;"")*($AS$11:$AS3554="✓")),"")</f>
        <v/>
      </c>
      <c r="BA3554" s="21" t="str">
        <f>IF($AL3554="","",$AL3554&amp;"|"&amp;COUNTIF($AL$11:$AL3554,$AL3554))</f>
        <v/>
      </c>
    </row>
    <row r="3555" spans="38:53" ht="15" customHeight="1" x14ac:dyDescent="0.25">
      <c r="AL3555" s="17"/>
      <c r="AM3555" s="12"/>
      <c r="AN3555" s="18"/>
      <c r="AO3555" s="18"/>
      <c r="AP3555" s="10"/>
      <c r="AQ3555" s="10"/>
      <c r="AR3555" s="19"/>
      <c r="AS3555" s="20"/>
      <c r="AT3555" s="19"/>
      <c r="AV3555" s="21">
        <f>IF(AND($AL3555&lt;&gt;"",COUNTIF($AL$11:$AL3555,$AL3555)=1),1,0)</f>
        <v>0</v>
      </c>
      <c r="AW3555" s="21">
        <f t="shared" si="197"/>
        <v>2</v>
      </c>
      <c r="AX3555" s="21" t="str">
        <f t="shared" si="196"/>
        <v/>
      </c>
      <c r="AY3555" s="21" t="str">
        <f>IF(AND($AM3555&lt;&gt;"",$AS3555&lt;&gt;"✓"),SUMPRODUCT(($AM$11:$AM3555&lt;&gt;"")*($AS$11:$AS3555&lt;&gt;"✓")),"")</f>
        <v/>
      </c>
      <c r="AZ3555" s="21" t="str">
        <f>IF(AND($AM3555&lt;&gt;"",$AS3555="✓"),SUMPRODUCT(($AM$11:$AM3555&lt;&gt;"")*($AS$11:$AS3555="✓")),"")</f>
        <v/>
      </c>
      <c r="BA3555" s="21" t="str">
        <f>IF($AL3555="","",$AL3555&amp;"|"&amp;COUNTIF($AL$11:$AL3555,$AL3555))</f>
        <v/>
      </c>
    </row>
    <row r="3556" spans="38:53" ht="15" customHeight="1" x14ac:dyDescent="0.25">
      <c r="AL3556" s="31"/>
      <c r="AM3556" s="26"/>
      <c r="AN3556" s="32"/>
      <c r="AO3556" s="32"/>
      <c r="AP3556" s="24"/>
      <c r="AQ3556" s="24"/>
      <c r="AR3556" s="33"/>
      <c r="AS3556" s="34"/>
      <c r="AT3556" s="33"/>
      <c r="AV3556" s="21">
        <f>IF(AND($AL3556&lt;&gt;"",COUNTIF($AL$11:$AL3556,$AL3556)=1),1,0)</f>
        <v>0</v>
      </c>
      <c r="AW3556" s="21">
        <f t="shared" si="197"/>
        <v>2</v>
      </c>
      <c r="AX3556" s="21" t="str">
        <f t="shared" si="196"/>
        <v/>
      </c>
      <c r="AY3556" s="21" t="str">
        <f>IF(AND($AM3556&lt;&gt;"",$AS3556&lt;&gt;"✓"),SUMPRODUCT(($AM$11:$AM3556&lt;&gt;"")*($AS$11:$AS3556&lt;&gt;"✓")),"")</f>
        <v/>
      </c>
      <c r="AZ3556" s="21" t="str">
        <f>IF(AND($AM3556&lt;&gt;"",$AS3556="✓"),SUMPRODUCT(($AM$11:$AM3556&lt;&gt;"")*($AS$11:$AS3556="✓")),"")</f>
        <v/>
      </c>
      <c r="BA3556" s="21" t="str">
        <f>IF($AL3556="","",$AL3556&amp;"|"&amp;COUNTIF($AL$11:$AL3556,$AL3556))</f>
        <v/>
      </c>
    </row>
    <row r="3557" spans="38:53" ht="15" customHeight="1" x14ac:dyDescent="0.25">
      <c r="AL3557" s="17"/>
      <c r="AM3557" s="12"/>
      <c r="AN3557" s="18"/>
      <c r="AO3557" s="18"/>
      <c r="AP3557" s="10"/>
      <c r="AQ3557" s="10"/>
      <c r="AR3557" s="19"/>
      <c r="AS3557" s="20"/>
      <c r="AT3557" s="19"/>
      <c r="AV3557" s="21">
        <f>IF(AND($AL3557&lt;&gt;"",COUNTIF($AL$11:$AL3557,$AL3557)=1),1,0)</f>
        <v>0</v>
      </c>
      <c r="AW3557" s="21">
        <f t="shared" si="197"/>
        <v>2</v>
      </c>
      <c r="AX3557" s="21" t="str">
        <f t="shared" si="196"/>
        <v/>
      </c>
      <c r="AY3557" s="21" t="str">
        <f>IF(AND($AM3557&lt;&gt;"",$AS3557&lt;&gt;"✓"),SUMPRODUCT(($AM$11:$AM3557&lt;&gt;"")*($AS$11:$AS3557&lt;&gt;"✓")),"")</f>
        <v/>
      </c>
      <c r="AZ3557" s="21" t="str">
        <f>IF(AND($AM3557&lt;&gt;"",$AS3557="✓"),SUMPRODUCT(($AM$11:$AM3557&lt;&gt;"")*($AS$11:$AS3557="✓")),"")</f>
        <v/>
      </c>
      <c r="BA3557" s="21" t="str">
        <f>IF($AL3557="","",$AL3557&amp;"|"&amp;COUNTIF($AL$11:$AL3557,$AL3557))</f>
        <v/>
      </c>
    </row>
    <row r="3558" spans="38:53" ht="15" customHeight="1" x14ac:dyDescent="0.25">
      <c r="AL3558" s="31"/>
      <c r="AM3558" s="26"/>
      <c r="AN3558" s="32"/>
      <c r="AO3558" s="32"/>
      <c r="AP3558" s="24"/>
      <c r="AQ3558" s="24"/>
      <c r="AR3558" s="33"/>
      <c r="AS3558" s="34"/>
      <c r="AT3558" s="33"/>
      <c r="AV3558" s="21">
        <f>IF(AND($AL3558&lt;&gt;"",COUNTIF($AL$11:$AL3558,$AL3558)=1),1,0)</f>
        <v>0</v>
      </c>
      <c r="AW3558" s="21">
        <f t="shared" si="197"/>
        <v>2</v>
      </c>
      <c r="AX3558" s="21" t="str">
        <f t="shared" si="196"/>
        <v/>
      </c>
      <c r="AY3558" s="21" t="str">
        <f>IF(AND($AM3558&lt;&gt;"",$AS3558&lt;&gt;"✓"),SUMPRODUCT(($AM$11:$AM3558&lt;&gt;"")*($AS$11:$AS3558&lt;&gt;"✓")),"")</f>
        <v/>
      </c>
      <c r="AZ3558" s="21" t="str">
        <f>IF(AND($AM3558&lt;&gt;"",$AS3558="✓"),SUMPRODUCT(($AM$11:$AM3558&lt;&gt;"")*($AS$11:$AS3558="✓")),"")</f>
        <v/>
      </c>
      <c r="BA3558" s="21" t="str">
        <f>IF($AL3558="","",$AL3558&amp;"|"&amp;COUNTIF($AL$11:$AL3558,$AL3558))</f>
        <v/>
      </c>
    </row>
    <row r="3559" spans="38:53" ht="15" customHeight="1" x14ac:dyDescent="0.25">
      <c r="AL3559" s="17"/>
      <c r="AM3559" s="12"/>
      <c r="AN3559" s="18"/>
      <c r="AO3559" s="18"/>
      <c r="AP3559" s="10"/>
      <c r="AQ3559" s="10"/>
      <c r="AR3559" s="19"/>
      <c r="AS3559" s="20"/>
      <c r="AT3559" s="19"/>
      <c r="AV3559" s="21">
        <f>IF(AND($AL3559&lt;&gt;"",COUNTIF($AL$11:$AL3559,$AL3559)=1),1,0)</f>
        <v>0</v>
      </c>
      <c r="AW3559" s="21">
        <f t="shared" si="197"/>
        <v>2</v>
      </c>
      <c r="AX3559" s="21" t="str">
        <f t="shared" si="196"/>
        <v/>
      </c>
      <c r="AY3559" s="21" t="str">
        <f>IF(AND($AM3559&lt;&gt;"",$AS3559&lt;&gt;"✓"),SUMPRODUCT(($AM$11:$AM3559&lt;&gt;"")*($AS$11:$AS3559&lt;&gt;"✓")),"")</f>
        <v/>
      </c>
      <c r="AZ3559" s="21" t="str">
        <f>IF(AND($AM3559&lt;&gt;"",$AS3559="✓"),SUMPRODUCT(($AM$11:$AM3559&lt;&gt;"")*($AS$11:$AS3559="✓")),"")</f>
        <v/>
      </c>
      <c r="BA3559" s="21" t="str">
        <f>IF($AL3559="","",$AL3559&amp;"|"&amp;COUNTIF($AL$11:$AL3559,$AL3559))</f>
        <v/>
      </c>
    </row>
    <row r="3560" spans="38:53" ht="15" customHeight="1" x14ac:dyDescent="0.25">
      <c r="AL3560" s="31"/>
      <c r="AM3560" s="26"/>
      <c r="AN3560" s="32"/>
      <c r="AO3560" s="32"/>
      <c r="AP3560" s="24"/>
      <c r="AQ3560" s="24"/>
      <c r="AR3560" s="33"/>
      <c r="AS3560" s="34"/>
      <c r="AT3560" s="33"/>
      <c r="AV3560" s="21">
        <f>IF(AND($AL3560&lt;&gt;"",COUNTIF($AL$11:$AL3560,$AL3560)=1),1,0)</f>
        <v>0</v>
      </c>
      <c r="AW3560" s="21">
        <f t="shared" si="197"/>
        <v>2</v>
      </c>
      <c r="AX3560" s="21" t="str">
        <f t="shared" si="196"/>
        <v/>
      </c>
      <c r="AY3560" s="21" t="str">
        <f>IF(AND($AM3560&lt;&gt;"",$AS3560&lt;&gt;"✓"),SUMPRODUCT(($AM$11:$AM3560&lt;&gt;"")*($AS$11:$AS3560&lt;&gt;"✓")),"")</f>
        <v/>
      </c>
      <c r="AZ3560" s="21" t="str">
        <f>IF(AND($AM3560&lt;&gt;"",$AS3560="✓"),SUMPRODUCT(($AM$11:$AM3560&lt;&gt;"")*($AS$11:$AS3560="✓")),"")</f>
        <v/>
      </c>
      <c r="BA3560" s="21" t="str">
        <f>IF($AL3560="","",$AL3560&amp;"|"&amp;COUNTIF($AL$11:$AL3560,$AL3560))</f>
        <v/>
      </c>
    </row>
    <row r="3561" spans="38:53" ht="15" customHeight="1" x14ac:dyDescent="0.25">
      <c r="AL3561" s="17"/>
      <c r="AM3561" s="12"/>
      <c r="AN3561" s="18"/>
      <c r="AO3561" s="18"/>
      <c r="AP3561" s="10"/>
      <c r="AQ3561" s="10"/>
      <c r="AR3561" s="19"/>
      <c r="AS3561" s="20"/>
      <c r="AT3561" s="19"/>
      <c r="AV3561" s="21">
        <f>IF(AND($AL3561&lt;&gt;"",COUNTIF($AL$11:$AL3561,$AL3561)=1),1,0)</f>
        <v>0</v>
      </c>
      <c r="AW3561" s="21">
        <f t="shared" si="197"/>
        <v>2</v>
      </c>
      <c r="AX3561" s="21" t="str">
        <f t="shared" si="196"/>
        <v/>
      </c>
      <c r="AY3561" s="21" t="str">
        <f>IF(AND($AM3561&lt;&gt;"",$AS3561&lt;&gt;"✓"),SUMPRODUCT(($AM$11:$AM3561&lt;&gt;"")*($AS$11:$AS3561&lt;&gt;"✓")),"")</f>
        <v/>
      </c>
      <c r="AZ3561" s="21" t="str">
        <f>IF(AND($AM3561&lt;&gt;"",$AS3561="✓"),SUMPRODUCT(($AM$11:$AM3561&lt;&gt;"")*($AS$11:$AS3561="✓")),"")</f>
        <v/>
      </c>
      <c r="BA3561" s="21" t="str">
        <f>IF($AL3561="","",$AL3561&amp;"|"&amp;COUNTIF($AL$11:$AL3561,$AL3561))</f>
        <v/>
      </c>
    </row>
    <row r="3562" spans="38:53" ht="15" customHeight="1" x14ac:dyDescent="0.25">
      <c r="AL3562" s="31"/>
      <c r="AM3562" s="26"/>
      <c r="AN3562" s="32"/>
      <c r="AO3562" s="32"/>
      <c r="AP3562" s="24"/>
      <c r="AQ3562" s="24"/>
      <c r="AR3562" s="33"/>
      <c r="AS3562" s="34"/>
      <c r="AT3562" s="33"/>
      <c r="AV3562" s="21">
        <f>IF(AND($AL3562&lt;&gt;"",COUNTIF($AL$11:$AL3562,$AL3562)=1),1,0)</f>
        <v>0</v>
      </c>
      <c r="AW3562" s="21">
        <f t="shared" si="197"/>
        <v>2</v>
      </c>
      <c r="AX3562" s="21" t="str">
        <f t="shared" si="196"/>
        <v/>
      </c>
      <c r="AY3562" s="21" t="str">
        <f>IF(AND($AM3562&lt;&gt;"",$AS3562&lt;&gt;"✓"),SUMPRODUCT(($AM$11:$AM3562&lt;&gt;"")*($AS$11:$AS3562&lt;&gt;"✓")),"")</f>
        <v/>
      </c>
      <c r="AZ3562" s="21" t="str">
        <f>IF(AND($AM3562&lt;&gt;"",$AS3562="✓"),SUMPRODUCT(($AM$11:$AM3562&lt;&gt;"")*($AS$11:$AS3562="✓")),"")</f>
        <v/>
      </c>
      <c r="BA3562" s="21" t="str">
        <f>IF($AL3562="","",$AL3562&amp;"|"&amp;COUNTIF($AL$11:$AL3562,$AL3562))</f>
        <v/>
      </c>
    </row>
    <row r="3563" spans="38:53" ht="15" customHeight="1" x14ac:dyDescent="0.25">
      <c r="AL3563" s="17"/>
      <c r="AM3563" s="12"/>
      <c r="AN3563" s="18"/>
      <c r="AO3563" s="18"/>
      <c r="AP3563" s="10"/>
      <c r="AQ3563" s="10"/>
      <c r="AR3563" s="19"/>
      <c r="AS3563" s="20"/>
      <c r="AT3563" s="19"/>
      <c r="AV3563" s="21">
        <f>IF(AND($AL3563&lt;&gt;"",COUNTIF($AL$11:$AL3563,$AL3563)=1),1,0)</f>
        <v>0</v>
      </c>
      <c r="AW3563" s="21">
        <f t="shared" si="197"/>
        <v>2</v>
      </c>
      <c r="AX3563" s="21" t="str">
        <f t="shared" si="196"/>
        <v/>
      </c>
      <c r="AY3563" s="21" t="str">
        <f>IF(AND($AM3563&lt;&gt;"",$AS3563&lt;&gt;"✓"),SUMPRODUCT(($AM$11:$AM3563&lt;&gt;"")*($AS$11:$AS3563&lt;&gt;"✓")),"")</f>
        <v/>
      </c>
      <c r="AZ3563" s="21" t="str">
        <f>IF(AND($AM3563&lt;&gt;"",$AS3563="✓"),SUMPRODUCT(($AM$11:$AM3563&lt;&gt;"")*($AS$11:$AS3563="✓")),"")</f>
        <v/>
      </c>
      <c r="BA3563" s="21" t="str">
        <f>IF($AL3563="","",$AL3563&amp;"|"&amp;COUNTIF($AL$11:$AL3563,$AL3563))</f>
        <v/>
      </c>
    </row>
    <row r="3564" spans="38:53" ht="15" customHeight="1" x14ac:dyDescent="0.25">
      <c r="AL3564" s="31"/>
      <c r="AM3564" s="26"/>
      <c r="AN3564" s="32"/>
      <c r="AO3564" s="32"/>
      <c r="AP3564" s="24"/>
      <c r="AQ3564" s="24"/>
      <c r="AR3564" s="33"/>
      <c r="AS3564" s="34"/>
      <c r="AT3564" s="33"/>
      <c r="AV3564" s="21">
        <f>IF(AND($AL3564&lt;&gt;"",COUNTIF($AL$11:$AL3564,$AL3564)=1),1,0)</f>
        <v>0</v>
      </c>
      <c r="AW3564" s="21">
        <f t="shared" si="197"/>
        <v>2</v>
      </c>
      <c r="AX3564" s="21" t="str">
        <f t="shared" si="196"/>
        <v/>
      </c>
      <c r="AY3564" s="21" t="str">
        <f>IF(AND($AM3564&lt;&gt;"",$AS3564&lt;&gt;"✓"),SUMPRODUCT(($AM$11:$AM3564&lt;&gt;"")*($AS$11:$AS3564&lt;&gt;"✓")),"")</f>
        <v/>
      </c>
      <c r="AZ3564" s="21" t="str">
        <f>IF(AND($AM3564&lt;&gt;"",$AS3564="✓"),SUMPRODUCT(($AM$11:$AM3564&lt;&gt;"")*($AS$11:$AS3564="✓")),"")</f>
        <v/>
      </c>
      <c r="BA3564" s="21" t="str">
        <f>IF($AL3564="","",$AL3564&amp;"|"&amp;COUNTIF($AL$11:$AL3564,$AL3564))</f>
        <v/>
      </c>
    </row>
    <row r="3565" spans="38:53" ht="15" customHeight="1" x14ac:dyDescent="0.25">
      <c r="AL3565" s="17"/>
      <c r="AM3565" s="12"/>
      <c r="AN3565" s="18"/>
      <c r="AO3565" s="18"/>
      <c r="AP3565" s="10"/>
      <c r="AQ3565" s="10"/>
      <c r="AR3565" s="19"/>
      <c r="AS3565" s="20"/>
      <c r="AT3565" s="19"/>
      <c r="AV3565" s="21">
        <f>IF(AND($AL3565&lt;&gt;"",COUNTIF($AL$11:$AL3565,$AL3565)=1),1,0)</f>
        <v>0</v>
      </c>
      <c r="AW3565" s="21">
        <f t="shared" si="197"/>
        <v>2</v>
      </c>
      <c r="AX3565" s="21" t="str">
        <f t="shared" si="196"/>
        <v/>
      </c>
      <c r="AY3565" s="21" t="str">
        <f>IF(AND($AM3565&lt;&gt;"",$AS3565&lt;&gt;"✓"),SUMPRODUCT(($AM$11:$AM3565&lt;&gt;"")*($AS$11:$AS3565&lt;&gt;"✓")),"")</f>
        <v/>
      </c>
      <c r="AZ3565" s="21" t="str">
        <f>IF(AND($AM3565&lt;&gt;"",$AS3565="✓"),SUMPRODUCT(($AM$11:$AM3565&lt;&gt;"")*($AS$11:$AS3565="✓")),"")</f>
        <v/>
      </c>
      <c r="BA3565" s="21" t="str">
        <f>IF($AL3565="","",$AL3565&amp;"|"&amp;COUNTIF($AL$11:$AL3565,$AL3565))</f>
        <v/>
      </c>
    </row>
    <row r="3566" spans="38:53" ht="15" customHeight="1" x14ac:dyDescent="0.25">
      <c r="AL3566" s="31"/>
      <c r="AM3566" s="26"/>
      <c r="AN3566" s="32"/>
      <c r="AO3566" s="32"/>
      <c r="AP3566" s="24"/>
      <c r="AQ3566" s="24"/>
      <c r="AR3566" s="33"/>
      <c r="AS3566" s="34"/>
      <c r="AT3566" s="33"/>
      <c r="AV3566" s="21">
        <f>IF(AND($AL3566&lt;&gt;"",COUNTIF($AL$11:$AL3566,$AL3566)=1),1,0)</f>
        <v>0</v>
      </c>
      <c r="AW3566" s="21">
        <f t="shared" si="197"/>
        <v>2</v>
      </c>
      <c r="AX3566" s="21" t="str">
        <f t="shared" si="196"/>
        <v/>
      </c>
      <c r="AY3566" s="21" t="str">
        <f>IF(AND($AM3566&lt;&gt;"",$AS3566&lt;&gt;"✓"),SUMPRODUCT(($AM$11:$AM3566&lt;&gt;"")*($AS$11:$AS3566&lt;&gt;"✓")),"")</f>
        <v/>
      </c>
      <c r="AZ3566" s="21" t="str">
        <f>IF(AND($AM3566&lt;&gt;"",$AS3566="✓"),SUMPRODUCT(($AM$11:$AM3566&lt;&gt;"")*($AS$11:$AS3566="✓")),"")</f>
        <v/>
      </c>
      <c r="BA3566" s="21" t="str">
        <f>IF($AL3566="","",$AL3566&amp;"|"&amp;COUNTIF($AL$11:$AL3566,$AL3566))</f>
        <v/>
      </c>
    </row>
    <row r="3567" spans="38:53" ht="15" customHeight="1" x14ac:dyDescent="0.25">
      <c r="AL3567" s="17"/>
      <c r="AM3567" s="12"/>
      <c r="AN3567" s="18"/>
      <c r="AO3567" s="18"/>
      <c r="AP3567" s="10"/>
      <c r="AQ3567" s="10"/>
      <c r="AR3567" s="19"/>
      <c r="AS3567" s="20"/>
      <c r="AT3567" s="19"/>
      <c r="AV3567" s="21">
        <f>IF(AND($AL3567&lt;&gt;"",COUNTIF($AL$11:$AL3567,$AL3567)=1),1,0)</f>
        <v>0</v>
      </c>
      <c r="AW3567" s="21">
        <f t="shared" si="197"/>
        <v>2</v>
      </c>
      <c r="AX3567" s="21" t="str">
        <f t="shared" si="196"/>
        <v/>
      </c>
      <c r="AY3567" s="21" t="str">
        <f>IF(AND($AM3567&lt;&gt;"",$AS3567&lt;&gt;"✓"),SUMPRODUCT(($AM$11:$AM3567&lt;&gt;"")*($AS$11:$AS3567&lt;&gt;"✓")),"")</f>
        <v/>
      </c>
      <c r="AZ3567" s="21" t="str">
        <f>IF(AND($AM3567&lt;&gt;"",$AS3567="✓"),SUMPRODUCT(($AM$11:$AM3567&lt;&gt;"")*($AS$11:$AS3567="✓")),"")</f>
        <v/>
      </c>
      <c r="BA3567" s="21" t="str">
        <f>IF($AL3567="","",$AL3567&amp;"|"&amp;COUNTIF($AL$11:$AL3567,$AL3567))</f>
        <v/>
      </c>
    </row>
    <row r="3568" spans="38:53" ht="15" customHeight="1" x14ac:dyDescent="0.25">
      <c r="AL3568" s="31"/>
      <c r="AM3568" s="26"/>
      <c r="AN3568" s="32"/>
      <c r="AO3568" s="32"/>
      <c r="AP3568" s="24"/>
      <c r="AQ3568" s="24"/>
      <c r="AR3568" s="33"/>
      <c r="AS3568" s="34"/>
      <c r="AT3568" s="33"/>
      <c r="AV3568" s="21">
        <f>IF(AND($AL3568&lt;&gt;"",COUNTIF($AL$11:$AL3568,$AL3568)=1),1,0)</f>
        <v>0</v>
      </c>
      <c r="AW3568" s="21">
        <f t="shared" si="197"/>
        <v>2</v>
      </c>
      <c r="AX3568" s="21" t="str">
        <f t="shared" si="196"/>
        <v/>
      </c>
      <c r="AY3568" s="21" t="str">
        <f>IF(AND($AM3568&lt;&gt;"",$AS3568&lt;&gt;"✓"),SUMPRODUCT(($AM$11:$AM3568&lt;&gt;"")*($AS$11:$AS3568&lt;&gt;"✓")),"")</f>
        <v/>
      </c>
      <c r="AZ3568" s="21" t="str">
        <f>IF(AND($AM3568&lt;&gt;"",$AS3568="✓"),SUMPRODUCT(($AM$11:$AM3568&lt;&gt;"")*($AS$11:$AS3568="✓")),"")</f>
        <v/>
      </c>
      <c r="BA3568" s="21" t="str">
        <f>IF($AL3568="","",$AL3568&amp;"|"&amp;COUNTIF($AL$11:$AL3568,$AL3568))</f>
        <v/>
      </c>
    </row>
    <row r="3569" spans="38:53" ht="15" customHeight="1" x14ac:dyDescent="0.25">
      <c r="AL3569" s="17"/>
      <c r="AM3569" s="12"/>
      <c r="AN3569" s="18"/>
      <c r="AO3569" s="18"/>
      <c r="AP3569" s="10"/>
      <c r="AQ3569" s="10"/>
      <c r="AR3569" s="19"/>
      <c r="AS3569" s="20"/>
      <c r="AT3569" s="19"/>
      <c r="AV3569" s="21">
        <f>IF(AND($AL3569&lt;&gt;"",COUNTIF($AL$11:$AL3569,$AL3569)=1),1,0)</f>
        <v>0</v>
      </c>
      <c r="AW3569" s="21">
        <f t="shared" si="197"/>
        <v>2</v>
      </c>
      <c r="AX3569" s="21" t="str">
        <f t="shared" si="196"/>
        <v/>
      </c>
      <c r="AY3569" s="21" t="str">
        <f>IF(AND($AM3569&lt;&gt;"",$AS3569&lt;&gt;"✓"),SUMPRODUCT(($AM$11:$AM3569&lt;&gt;"")*($AS$11:$AS3569&lt;&gt;"✓")),"")</f>
        <v/>
      </c>
      <c r="AZ3569" s="21" t="str">
        <f>IF(AND($AM3569&lt;&gt;"",$AS3569="✓"),SUMPRODUCT(($AM$11:$AM3569&lt;&gt;"")*($AS$11:$AS3569="✓")),"")</f>
        <v/>
      </c>
      <c r="BA3569" s="21" t="str">
        <f>IF($AL3569="","",$AL3569&amp;"|"&amp;COUNTIF($AL$11:$AL3569,$AL3569))</f>
        <v/>
      </c>
    </row>
    <row r="3570" spans="38:53" ht="15" customHeight="1" x14ac:dyDescent="0.25">
      <c r="AL3570" s="31"/>
      <c r="AM3570" s="26"/>
      <c r="AN3570" s="32"/>
      <c r="AO3570" s="32"/>
      <c r="AP3570" s="24"/>
      <c r="AQ3570" s="24"/>
      <c r="AR3570" s="33"/>
      <c r="AS3570" s="34"/>
      <c r="AT3570" s="33"/>
      <c r="AV3570" s="21">
        <f>IF(AND($AL3570&lt;&gt;"",COUNTIF($AL$11:$AL3570,$AL3570)=1),1,0)</f>
        <v>0</v>
      </c>
      <c r="AW3570" s="21">
        <f t="shared" si="197"/>
        <v>2</v>
      </c>
      <c r="AX3570" s="21" t="str">
        <f t="shared" si="196"/>
        <v/>
      </c>
      <c r="AY3570" s="21" t="str">
        <f>IF(AND($AM3570&lt;&gt;"",$AS3570&lt;&gt;"✓"),SUMPRODUCT(($AM$11:$AM3570&lt;&gt;"")*($AS$11:$AS3570&lt;&gt;"✓")),"")</f>
        <v/>
      </c>
      <c r="AZ3570" s="21" t="str">
        <f>IF(AND($AM3570&lt;&gt;"",$AS3570="✓"),SUMPRODUCT(($AM$11:$AM3570&lt;&gt;"")*($AS$11:$AS3570="✓")),"")</f>
        <v/>
      </c>
      <c r="BA3570" s="21" t="str">
        <f>IF($AL3570="","",$AL3570&amp;"|"&amp;COUNTIF($AL$11:$AL3570,$AL3570))</f>
        <v/>
      </c>
    </row>
    <row r="3571" spans="38:53" ht="15" customHeight="1" x14ac:dyDescent="0.25">
      <c r="AL3571" s="17"/>
      <c r="AM3571" s="12"/>
      <c r="AN3571" s="18"/>
      <c r="AO3571" s="18"/>
      <c r="AP3571" s="10"/>
      <c r="AQ3571" s="10"/>
      <c r="AR3571" s="19"/>
      <c r="AS3571" s="20"/>
      <c r="AT3571" s="19"/>
      <c r="AV3571" s="21">
        <f>IF(AND($AL3571&lt;&gt;"",COUNTIF($AL$11:$AL3571,$AL3571)=1),1,0)</f>
        <v>0</v>
      </c>
      <c r="AW3571" s="21">
        <f t="shared" si="197"/>
        <v>2</v>
      </c>
      <c r="AX3571" s="21" t="str">
        <f t="shared" si="196"/>
        <v/>
      </c>
      <c r="AY3571" s="21" t="str">
        <f>IF(AND($AM3571&lt;&gt;"",$AS3571&lt;&gt;"✓"),SUMPRODUCT(($AM$11:$AM3571&lt;&gt;"")*($AS$11:$AS3571&lt;&gt;"✓")),"")</f>
        <v/>
      </c>
      <c r="AZ3571" s="21" t="str">
        <f>IF(AND($AM3571&lt;&gt;"",$AS3571="✓"),SUMPRODUCT(($AM$11:$AM3571&lt;&gt;"")*($AS$11:$AS3571="✓")),"")</f>
        <v/>
      </c>
      <c r="BA3571" s="21" t="str">
        <f>IF($AL3571="","",$AL3571&amp;"|"&amp;COUNTIF($AL$11:$AL3571,$AL3571))</f>
        <v/>
      </c>
    </row>
    <row r="3572" spans="38:53" ht="15" customHeight="1" x14ac:dyDescent="0.25">
      <c r="AL3572" s="31"/>
      <c r="AM3572" s="26"/>
      <c r="AN3572" s="32"/>
      <c r="AO3572" s="32"/>
      <c r="AP3572" s="24"/>
      <c r="AQ3572" s="24"/>
      <c r="AR3572" s="33"/>
      <c r="AS3572" s="34"/>
      <c r="AT3572" s="33"/>
      <c r="AV3572" s="21">
        <f>IF(AND($AL3572&lt;&gt;"",COUNTIF($AL$11:$AL3572,$AL3572)=1),1,0)</f>
        <v>0</v>
      </c>
      <c r="AW3572" s="21">
        <f t="shared" si="197"/>
        <v>2</v>
      </c>
      <c r="AX3572" s="21" t="str">
        <f t="shared" si="196"/>
        <v/>
      </c>
      <c r="AY3572" s="21" t="str">
        <f>IF(AND($AM3572&lt;&gt;"",$AS3572&lt;&gt;"✓"),SUMPRODUCT(($AM$11:$AM3572&lt;&gt;"")*($AS$11:$AS3572&lt;&gt;"✓")),"")</f>
        <v/>
      </c>
      <c r="AZ3572" s="21" t="str">
        <f>IF(AND($AM3572&lt;&gt;"",$AS3572="✓"),SUMPRODUCT(($AM$11:$AM3572&lt;&gt;"")*($AS$11:$AS3572="✓")),"")</f>
        <v/>
      </c>
      <c r="BA3572" s="21" t="str">
        <f>IF($AL3572="","",$AL3572&amp;"|"&amp;COUNTIF($AL$11:$AL3572,$AL3572))</f>
        <v/>
      </c>
    </row>
    <row r="3573" spans="38:53" ht="15" customHeight="1" x14ac:dyDescent="0.25">
      <c r="AL3573" s="17"/>
      <c r="AM3573" s="12"/>
      <c r="AN3573" s="18"/>
      <c r="AO3573" s="18"/>
      <c r="AP3573" s="10"/>
      <c r="AQ3573" s="10"/>
      <c r="AR3573" s="19"/>
      <c r="AS3573" s="20"/>
      <c r="AT3573" s="19"/>
      <c r="AV3573" s="21">
        <f>IF(AND($AL3573&lt;&gt;"",COUNTIF($AL$11:$AL3573,$AL3573)=1),1,0)</f>
        <v>0</v>
      </c>
      <c r="AW3573" s="21">
        <f t="shared" si="197"/>
        <v>2</v>
      </c>
      <c r="AX3573" s="21" t="str">
        <f t="shared" si="196"/>
        <v/>
      </c>
      <c r="AY3573" s="21" t="str">
        <f>IF(AND($AM3573&lt;&gt;"",$AS3573&lt;&gt;"✓"),SUMPRODUCT(($AM$11:$AM3573&lt;&gt;"")*($AS$11:$AS3573&lt;&gt;"✓")),"")</f>
        <v/>
      </c>
      <c r="AZ3573" s="21" t="str">
        <f>IF(AND($AM3573&lt;&gt;"",$AS3573="✓"),SUMPRODUCT(($AM$11:$AM3573&lt;&gt;"")*($AS$11:$AS3573="✓")),"")</f>
        <v/>
      </c>
      <c r="BA3573" s="21" t="str">
        <f>IF($AL3573="","",$AL3573&amp;"|"&amp;COUNTIF($AL$11:$AL3573,$AL3573))</f>
        <v/>
      </c>
    </row>
    <row r="3574" spans="38:53" ht="15" customHeight="1" x14ac:dyDescent="0.25">
      <c r="AL3574" s="31"/>
      <c r="AM3574" s="26"/>
      <c r="AN3574" s="32"/>
      <c r="AO3574" s="32"/>
      <c r="AP3574" s="24"/>
      <c r="AQ3574" s="24"/>
      <c r="AR3574" s="33"/>
      <c r="AS3574" s="34"/>
      <c r="AT3574" s="33"/>
      <c r="AV3574" s="21">
        <f>IF(AND($AL3574&lt;&gt;"",COUNTIF($AL$11:$AL3574,$AL3574)=1),1,0)</f>
        <v>0</v>
      </c>
      <c r="AW3574" s="21">
        <f t="shared" si="197"/>
        <v>2</v>
      </c>
      <c r="AX3574" s="21" t="str">
        <f t="shared" si="196"/>
        <v/>
      </c>
      <c r="AY3574" s="21" t="str">
        <f>IF(AND($AM3574&lt;&gt;"",$AS3574&lt;&gt;"✓"),SUMPRODUCT(($AM$11:$AM3574&lt;&gt;"")*($AS$11:$AS3574&lt;&gt;"✓")),"")</f>
        <v/>
      </c>
      <c r="AZ3574" s="21" t="str">
        <f>IF(AND($AM3574&lt;&gt;"",$AS3574="✓"),SUMPRODUCT(($AM$11:$AM3574&lt;&gt;"")*($AS$11:$AS3574="✓")),"")</f>
        <v/>
      </c>
      <c r="BA3574" s="21" t="str">
        <f>IF($AL3574="","",$AL3574&amp;"|"&amp;COUNTIF($AL$11:$AL3574,$AL3574))</f>
        <v/>
      </c>
    </row>
    <row r="3575" spans="38:53" ht="15" customHeight="1" x14ac:dyDescent="0.25">
      <c r="AL3575" s="17"/>
      <c r="AM3575" s="12"/>
      <c r="AN3575" s="18"/>
      <c r="AO3575" s="18"/>
      <c r="AP3575" s="10"/>
      <c r="AQ3575" s="10"/>
      <c r="AR3575" s="19"/>
      <c r="AS3575" s="20"/>
      <c r="AT3575" s="19"/>
      <c r="AV3575" s="21">
        <f>IF(AND($AL3575&lt;&gt;"",COUNTIF($AL$11:$AL3575,$AL3575)=1),1,0)</f>
        <v>0</v>
      </c>
      <c r="AW3575" s="21">
        <f t="shared" si="197"/>
        <v>2</v>
      </c>
      <c r="AX3575" s="21" t="str">
        <f t="shared" si="196"/>
        <v/>
      </c>
      <c r="AY3575" s="21" t="str">
        <f>IF(AND($AM3575&lt;&gt;"",$AS3575&lt;&gt;"✓"),SUMPRODUCT(($AM$11:$AM3575&lt;&gt;"")*($AS$11:$AS3575&lt;&gt;"✓")),"")</f>
        <v/>
      </c>
      <c r="AZ3575" s="21" t="str">
        <f>IF(AND($AM3575&lt;&gt;"",$AS3575="✓"),SUMPRODUCT(($AM$11:$AM3575&lt;&gt;"")*($AS$11:$AS3575="✓")),"")</f>
        <v/>
      </c>
      <c r="BA3575" s="21" t="str">
        <f>IF($AL3575="","",$AL3575&amp;"|"&amp;COUNTIF($AL$11:$AL3575,$AL3575))</f>
        <v/>
      </c>
    </row>
    <row r="3576" spans="38:53" ht="15" customHeight="1" x14ac:dyDescent="0.25">
      <c r="AL3576" s="31"/>
      <c r="AM3576" s="26"/>
      <c r="AN3576" s="32"/>
      <c r="AO3576" s="32"/>
      <c r="AP3576" s="24"/>
      <c r="AQ3576" s="24"/>
      <c r="AR3576" s="33"/>
      <c r="AS3576" s="34"/>
      <c r="AT3576" s="33"/>
      <c r="AV3576" s="21">
        <f>IF(AND($AL3576&lt;&gt;"",COUNTIF($AL$11:$AL3576,$AL3576)=1),1,0)</f>
        <v>0</v>
      </c>
      <c r="AW3576" s="21">
        <f t="shared" si="197"/>
        <v>2</v>
      </c>
      <c r="AX3576" s="21" t="str">
        <f t="shared" si="196"/>
        <v/>
      </c>
      <c r="AY3576" s="21" t="str">
        <f>IF(AND($AM3576&lt;&gt;"",$AS3576&lt;&gt;"✓"),SUMPRODUCT(($AM$11:$AM3576&lt;&gt;"")*($AS$11:$AS3576&lt;&gt;"✓")),"")</f>
        <v/>
      </c>
      <c r="AZ3576" s="21" t="str">
        <f>IF(AND($AM3576&lt;&gt;"",$AS3576="✓"),SUMPRODUCT(($AM$11:$AM3576&lt;&gt;"")*($AS$11:$AS3576="✓")),"")</f>
        <v/>
      </c>
      <c r="BA3576" s="21" t="str">
        <f>IF($AL3576="","",$AL3576&amp;"|"&amp;COUNTIF($AL$11:$AL3576,$AL3576))</f>
        <v/>
      </c>
    </row>
    <row r="3577" spans="38:53" ht="15" customHeight="1" x14ac:dyDescent="0.25">
      <c r="AL3577" s="17"/>
      <c r="AM3577" s="12"/>
      <c r="AN3577" s="18"/>
      <c r="AO3577" s="18"/>
      <c r="AP3577" s="10"/>
      <c r="AQ3577" s="10"/>
      <c r="AR3577" s="19"/>
      <c r="AS3577" s="20"/>
      <c r="AT3577" s="19"/>
      <c r="AV3577" s="21">
        <f>IF(AND($AL3577&lt;&gt;"",COUNTIF($AL$11:$AL3577,$AL3577)=1),1,0)</f>
        <v>0</v>
      </c>
      <c r="AW3577" s="21">
        <f t="shared" si="197"/>
        <v>2</v>
      </c>
      <c r="AX3577" s="21" t="str">
        <f t="shared" si="196"/>
        <v/>
      </c>
      <c r="AY3577" s="21" t="str">
        <f>IF(AND($AM3577&lt;&gt;"",$AS3577&lt;&gt;"✓"),SUMPRODUCT(($AM$11:$AM3577&lt;&gt;"")*($AS$11:$AS3577&lt;&gt;"✓")),"")</f>
        <v/>
      </c>
      <c r="AZ3577" s="21" t="str">
        <f>IF(AND($AM3577&lt;&gt;"",$AS3577="✓"),SUMPRODUCT(($AM$11:$AM3577&lt;&gt;"")*($AS$11:$AS3577="✓")),"")</f>
        <v/>
      </c>
      <c r="BA3577" s="21" t="str">
        <f>IF($AL3577="","",$AL3577&amp;"|"&amp;COUNTIF($AL$11:$AL3577,$AL3577))</f>
        <v/>
      </c>
    </row>
    <row r="3578" spans="38:53" ht="15" customHeight="1" x14ac:dyDescent="0.25">
      <c r="AL3578" s="31"/>
      <c r="AM3578" s="26"/>
      <c r="AN3578" s="32"/>
      <c r="AO3578" s="32"/>
      <c r="AP3578" s="24"/>
      <c r="AQ3578" s="24"/>
      <c r="AR3578" s="33"/>
      <c r="AS3578" s="34"/>
      <c r="AT3578" s="33"/>
      <c r="AV3578" s="21">
        <f>IF(AND($AL3578&lt;&gt;"",COUNTIF($AL$11:$AL3578,$AL3578)=1),1,0)</f>
        <v>0</v>
      </c>
      <c r="AW3578" s="21">
        <f t="shared" si="197"/>
        <v>2</v>
      </c>
      <c r="AX3578" s="21" t="str">
        <f t="shared" si="196"/>
        <v/>
      </c>
      <c r="AY3578" s="21" t="str">
        <f>IF(AND($AM3578&lt;&gt;"",$AS3578&lt;&gt;"✓"),SUMPRODUCT(($AM$11:$AM3578&lt;&gt;"")*($AS$11:$AS3578&lt;&gt;"✓")),"")</f>
        <v/>
      </c>
      <c r="AZ3578" s="21" t="str">
        <f>IF(AND($AM3578&lt;&gt;"",$AS3578="✓"),SUMPRODUCT(($AM$11:$AM3578&lt;&gt;"")*($AS$11:$AS3578="✓")),"")</f>
        <v/>
      </c>
      <c r="BA3578" s="21" t="str">
        <f>IF($AL3578="","",$AL3578&amp;"|"&amp;COUNTIF($AL$11:$AL3578,$AL3578))</f>
        <v/>
      </c>
    </row>
    <row r="3579" spans="38:53" ht="15" customHeight="1" x14ac:dyDescent="0.25">
      <c r="AL3579" s="17"/>
      <c r="AM3579" s="12"/>
      <c r="AN3579" s="18"/>
      <c r="AO3579" s="18"/>
      <c r="AP3579" s="10"/>
      <c r="AQ3579" s="10"/>
      <c r="AR3579" s="19"/>
      <c r="AS3579" s="20"/>
      <c r="AT3579" s="19"/>
      <c r="AV3579" s="21">
        <f>IF(AND($AL3579&lt;&gt;"",COUNTIF($AL$11:$AL3579,$AL3579)=1),1,0)</f>
        <v>0</v>
      </c>
      <c r="AW3579" s="21">
        <f t="shared" si="197"/>
        <v>2</v>
      </c>
      <c r="AX3579" s="21" t="str">
        <f t="shared" si="196"/>
        <v/>
      </c>
      <c r="AY3579" s="21" t="str">
        <f>IF(AND($AM3579&lt;&gt;"",$AS3579&lt;&gt;"✓"),SUMPRODUCT(($AM$11:$AM3579&lt;&gt;"")*($AS$11:$AS3579&lt;&gt;"✓")),"")</f>
        <v/>
      </c>
      <c r="AZ3579" s="21" t="str">
        <f>IF(AND($AM3579&lt;&gt;"",$AS3579="✓"),SUMPRODUCT(($AM$11:$AM3579&lt;&gt;"")*($AS$11:$AS3579="✓")),"")</f>
        <v/>
      </c>
      <c r="BA3579" s="21" t="str">
        <f>IF($AL3579="","",$AL3579&amp;"|"&amp;COUNTIF($AL$11:$AL3579,$AL3579))</f>
        <v/>
      </c>
    </row>
    <row r="3580" spans="38:53" ht="15" customHeight="1" x14ac:dyDescent="0.25">
      <c r="AL3580" s="31"/>
      <c r="AM3580" s="26"/>
      <c r="AN3580" s="32"/>
      <c r="AO3580" s="32"/>
      <c r="AP3580" s="24"/>
      <c r="AQ3580" s="24"/>
      <c r="AR3580" s="33"/>
      <c r="AS3580" s="34"/>
      <c r="AT3580" s="33"/>
      <c r="AV3580" s="21">
        <f>IF(AND($AL3580&lt;&gt;"",COUNTIF($AL$11:$AL3580,$AL3580)=1),1,0)</f>
        <v>0</v>
      </c>
      <c r="AW3580" s="21">
        <f t="shared" si="197"/>
        <v>2</v>
      </c>
      <c r="AX3580" s="21" t="str">
        <f t="shared" si="196"/>
        <v/>
      </c>
      <c r="AY3580" s="21" t="str">
        <f>IF(AND($AM3580&lt;&gt;"",$AS3580&lt;&gt;"✓"),SUMPRODUCT(($AM$11:$AM3580&lt;&gt;"")*($AS$11:$AS3580&lt;&gt;"✓")),"")</f>
        <v/>
      </c>
      <c r="AZ3580" s="21" t="str">
        <f>IF(AND($AM3580&lt;&gt;"",$AS3580="✓"),SUMPRODUCT(($AM$11:$AM3580&lt;&gt;"")*($AS$11:$AS3580="✓")),"")</f>
        <v/>
      </c>
      <c r="BA3580" s="21" t="str">
        <f>IF($AL3580="","",$AL3580&amp;"|"&amp;COUNTIF($AL$11:$AL3580,$AL3580))</f>
        <v/>
      </c>
    </row>
    <row r="3581" spans="38:53" ht="15" customHeight="1" x14ac:dyDescent="0.25">
      <c r="AL3581" s="17"/>
      <c r="AM3581" s="12"/>
      <c r="AN3581" s="18"/>
      <c r="AO3581" s="18"/>
      <c r="AP3581" s="10"/>
      <c r="AQ3581" s="10"/>
      <c r="AR3581" s="19"/>
      <c r="AS3581" s="20"/>
      <c r="AT3581" s="19"/>
      <c r="AV3581" s="21">
        <f>IF(AND($AL3581&lt;&gt;"",COUNTIF($AL$11:$AL3581,$AL3581)=1),1,0)</f>
        <v>0</v>
      </c>
      <c r="AW3581" s="21">
        <f t="shared" si="197"/>
        <v>2</v>
      </c>
      <c r="AX3581" s="21" t="str">
        <f t="shared" si="196"/>
        <v/>
      </c>
      <c r="AY3581" s="21" t="str">
        <f>IF(AND($AM3581&lt;&gt;"",$AS3581&lt;&gt;"✓"),SUMPRODUCT(($AM$11:$AM3581&lt;&gt;"")*($AS$11:$AS3581&lt;&gt;"✓")),"")</f>
        <v/>
      </c>
      <c r="AZ3581" s="21" t="str">
        <f>IF(AND($AM3581&lt;&gt;"",$AS3581="✓"),SUMPRODUCT(($AM$11:$AM3581&lt;&gt;"")*($AS$11:$AS3581="✓")),"")</f>
        <v/>
      </c>
      <c r="BA3581" s="21" t="str">
        <f>IF($AL3581="","",$AL3581&amp;"|"&amp;COUNTIF($AL$11:$AL3581,$AL3581))</f>
        <v/>
      </c>
    </row>
    <row r="3582" spans="38:53" ht="15" customHeight="1" x14ac:dyDescent="0.25">
      <c r="AL3582" s="31"/>
      <c r="AM3582" s="26"/>
      <c r="AN3582" s="32"/>
      <c r="AO3582" s="32"/>
      <c r="AP3582" s="24"/>
      <c r="AQ3582" s="24"/>
      <c r="AR3582" s="33"/>
      <c r="AS3582" s="34"/>
      <c r="AT3582" s="33"/>
      <c r="AV3582" s="21">
        <f>IF(AND($AL3582&lt;&gt;"",COUNTIF($AL$11:$AL3582,$AL3582)=1),1,0)</f>
        <v>0</v>
      </c>
      <c r="AW3582" s="21">
        <f t="shared" si="197"/>
        <v>2</v>
      </c>
      <c r="AX3582" s="21" t="str">
        <f t="shared" si="196"/>
        <v/>
      </c>
      <c r="AY3582" s="21" t="str">
        <f>IF(AND($AM3582&lt;&gt;"",$AS3582&lt;&gt;"✓"),SUMPRODUCT(($AM$11:$AM3582&lt;&gt;"")*($AS$11:$AS3582&lt;&gt;"✓")),"")</f>
        <v/>
      </c>
      <c r="AZ3582" s="21" t="str">
        <f>IF(AND($AM3582&lt;&gt;"",$AS3582="✓"),SUMPRODUCT(($AM$11:$AM3582&lt;&gt;"")*($AS$11:$AS3582="✓")),"")</f>
        <v/>
      </c>
      <c r="BA3582" s="21" t="str">
        <f>IF($AL3582="","",$AL3582&amp;"|"&amp;COUNTIF($AL$11:$AL3582,$AL3582))</f>
        <v/>
      </c>
    </row>
    <row r="3583" spans="38:53" ht="15" customHeight="1" x14ac:dyDescent="0.25">
      <c r="AL3583" s="17"/>
      <c r="AM3583" s="12"/>
      <c r="AN3583" s="18"/>
      <c r="AO3583" s="18"/>
      <c r="AP3583" s="10"/>
      <c r="AQ3583" s="10"/>
      <c r="AR3583" s="19"/>
      <c r="AS3583" s="20"/>
      <c r="AT3583" s="19"/>
      <c r="AV3583" s="21">
        <f>IF(AND($AL3583&lt;&gt;"",COUNTIF($AL$11:$AL3583,$AL3583)=1),1,0)</f>
        <v>0</v>
      </c>
      <c r="AW3583" s="21">
        <f t="shared" si="197"/>
        <v>2</v>
      </c>
      <c r="AX3583" s="21" t="str">
        <f t="shared" si="196"/>
        <v/>
      </c>
      <c r="AY3583" s="21" t="str">
        <f>IF(AND($AM3583&lt;&gt;"",$AS3583&lt;&gt;"✓"),SUMPRODUCT(($AM$11:$AM3583&lt;&gt;"")*($AS$11:$AS3583&lt;&gt;"✓")),"")</f>
        <v/>
      </c>
      <c r="AZ3583" s="21" t="str">
        <f>IF(AND($AM3583&lt;&gt;"",$AS3583="✓"),SUMPRODUCT(($AM$11:$AM3583&lt;&gt;"")*($AS$11:$AS3583="✓")),"")</f>
        <v/>
      </c>
      <c r="BA3583" s="21" t="str">
        <f>IF($AL3583="","",$AL3583&amp;"|"&amp;COUNTIF($AL$11:$AL3583,$AL3583))</f>
        <v/>
      </c>
    </row>
    <row r="3584" spans="38:53" ht="15" customHeight="1" x14ac:dyDescent="0.25">
      <c r="AL3584" s="31"/>
      <c r="AM3584" s="26"/>
      <c r="AN3584" s="32"/>
      <c r="AO3584" s="32"/>
      <c r="AP3584" s="24"/>
      <c r="AQ3584" s="24"/>
      <c r="AR3584" s="33"/>
      <c r="AS3584" s="34"/>
      <c r="AT3584" s="33"/>
      <c r="AV3584" s="21">
        <f>IF(AND($AL3584&lt;&gt;"",COUNTIF($AL$11:$AL3584,$AL3584)=1),1,0)</f>
        <v>0</v>
      </c>
      <c r="AW3584" s="21">
        <f t="shared" si="197"/>
        <v>2</v>
      </c>
      <c r="AX3584" s="21" t="str">
        <f t="shared" si="196"/>
        <v/>
      </c>
      <c r="AY3584" s="21" t="str">
        <f>IF(AND($AM3584&lt;&gt;"",$AS3584&lt;&gt;"✓"),SUMPRODUCT(($AM$11:$AM3584&lt;&gt;"")*($AS$11:$AS3584&lt;&gt;"✓")),"")</f>
        <v/>
      </c>
      <c r="AZ3584" s="21" t="str">
        <f>IF(AND($AM3584&lt;&gt;"",$AS3584="✓"),SUMPRODUCT(($AM$11:$AM3584&lt;&gt;"")*($AS$11:$AS3584="✓")),"")</f>
        <v/>
      </c>
      <c r="BA3584" s="21" t="str">
        <f>IF($AL3584="","",$AL3584&amp;"|"&amp;COUNTIF($AL$11:$AL3584,$AL3584))</f>
        <v/>
      </c>
    </row>
    <row r="3585" spans="38:53" ht="15" customHeight="1" x14ac:dyDescent="0.25">
      <c r="AL3585" s="17"/>
      <c r="AM3585" s="12"/>
      <c r="AN3585" s="18"/>
      <c r="AO3585" s="18"/>
      <c r="AP3585" s="10"/>
      <c r="AQ3585" s="10"/>
      <c r="AR3585" s="19"/>
      <c r="AS3585" s="20"/>
      <c r="AT3585" s="19"/>
      <c r="AV3585" s="21">
        <f>IF(AND($AL3585&lt;&gt;"",COUNTIF($AL$11:$AL3585,$AL3585)=1),1,0)</f>
        <v>0</v>
      </c>
      <c r="AW3585" s="21">
        <f t="shared" si="197"/>
        <v>2</v>
      </c>
      <c r="AX3585" s="21" t="str">
        <f t="shared" si="196"/>
        <v/>
      </c>
      <c r="AY3585" s="21" t="str">
        <f>IF(AND($AM3585&lt;&gt;"",$AS3585&lt;&gt;"✓"),SUMPRODUCT(($AM$11:$AM3585&lt;&gt;"")*($AS$11:$AS3585&lt;&gt;"✓")),"")</f>
        <v/>
      </c>
      <c r="AZ3585" s="21" t="str">
        <f>IF(AND($AM3585&lt;&gt;"",$AS3585="✓"),SUMPRODUCT(($AM$11:$AM3585&lt;&gt;"")*($AS$11:$AS3585="✓")),"")</f>
        <v/>
      </c>
      <c r="BA3585" s="21" t="str">
        <f>IF($AL3585="","",$AL3585&amp;"|"&amp;COUNTIF($AL$11:$AL3585,$AL3585))</f>
        <v/>
      </c>
    </row>
    <row r="3586" spans="38:53" ht="15" customHeight="1" x14ac:dyDescent="0.25">
      <c r="AL3586" s="31"/>
      <c r="AM3586" s="26"/>
      <c r="AN3586" s="32"/>
      <c r="AO3586" s="32"/>
      <c r="AP3586" s="24"/>
      <c r="AQ3586" s="24"/>
      <c r="AR3586" s="33"/>
      <c r="AS3586" s="34"/>
      <c r="AT3586" s="33"/>
      <c r="AV3586" s="21">
        <f>IF(AND($AL3586&lt;&gt;"",COUNTIF($AL$11:$AL3586,$AL3586)=1),1,0)</f>
        <v>0</v>
      </c>
      <c r="AW3586" s="21">
        <f t="shared" si="197"/>
        <v>2</v>
      </c>
      <c r="AX3586" s="21" t="str">
        <f t="shared" si="196"/>
        <v/>
      </c>
      <c r="AY3586" s="21" t="str">
        <f>IF(AND($AM3586&lt;&gt;"",$AS3586&lt;&gt;"✓"),SUMPRODUCT(($AM$11:$AM3586&lt;&gt;"")*($AS$11:$AS3586&lt;&gt;"✓")),"")</f>
        <v/>
      </c>
      <c r="AZ3586" s="21" t="str">
        <f>IF(AND($AM3586&lt;&gt;"",$AS3586="✓"),SUMPRODUCT(($AM$11:$AM3586&lt;&gt;"")*($AS$11:$AS3586="✓")),"")</f>
        <v/>
      </c>
      <c r="BA3586" s="21" t="str">
        <f>IF($AL3586="","",$AL3586&amp;"|"&amp;COUNTIF($AL$11:$AL3586,$AL3586))</f>
        <v/>
      </c>
    </row>
    <row r="3587" spans="38:53" ht="15" customHeight="1" x14ac:dyDescent="0.25">
      <c r="AL3587" s="17"/>
      <c r="AM3587" s="12"/>
      <c r="AN3587" s="18"/>
      <c r="AO3587" s="18"/>
      <c r="AP3587" s="10"/>
      <c r="AQ3587" s="10"/>
      <c r="AR3587" s="19"/>
      <c r="AS3587" s="20"/>
      <c r="AT3587" s="19"/>
      <c r="AV3587" s="21">
        <f>IF(AND($AL3587&lt;&gt;"",COUNTIF($AL$11:$AL3587,$AL3587)=1),1,0)</f>
        <v>0</v>
      </c>
      <c r="AW3587" s="21">
        <f t="shared" si="197"/>
        <v>2</v>
      </c>
      <c r="AX3587" s="21" t="str">
        <f t="shared" si="196"/>
        <v/>
      </c>
      <c r="AY3587" s="21" t="str">
        <f>IF(AND($AM3587&lt;&gt;"",$AS3587&lt;&gt;"✓"),SUMPRODUCT(($AM$11:$AM3587&lt;&gt;"")*($AS$11:$AS3587&lt;&gt;"✓")),"")</f>
        <v/>
      </c>
      <c r="AZ3587" s="21" t="str">
        <f>IF(AND($AM3587&lt;&gt;"",$AS3587="✓"),SUMPRODUCT(($AM$11:$AM3587&lt;&gt;"")*($AS$11:$AS3587="✓")),"")</f>
        <v/>
      </c>
      <c r="BA3587" s="21" t="str">
        <f>IF($AL3587="","",$AL3587&amp;"|"&amp;COUNTIF($AL$11:$AL3587,$AL3587))</f>
        <v/>
      </c>
    </row>
    <row r="3588" spans="38:53" ht="15" customHeight="1" x14ac:dyDescent="0.25">
      <c r="AL3588" s="31"/>
      <c r="AM3588" s="26"/>
      <c r="AN3588" s="32"/>
      <c r="AO3588" s="32"/>
      <c r="AP3588" s="24"/>
      <c r="AQ3588" s="24"/>
      <c r="AR3588" s="33"/>
      <c r="AS3588" s="34"/>
      <c r="AT3588" s="33"/>
      <c r="AV3588" s="21">
        <f>IF(AND($AL3588&lt;&gt;"",COUNTIF($AL$11:$AL3588,$AL3588)=1),1,0)</f>
        <v>0</v>
      </c>
      <c r="AW3588" s="21">
        <f t="shared" si="197"/>
        <v>2</v>
      </c>
      <c r="AX3588" s="21" t="str">
        <f t="shared" si="196"/>
        <v/>
      </c>
      <c r="AY3588" s="21" t="str">
        <f>IF(AND($AM3588&lt;&gt;"",$AS3588&lt;&gt;"✓"),SUMPRODUCT(($AM$11:$AM3588&lt;&gt;"")*($AS$11:$AS3588&lt;&gt;"✓")),"")</f>
        <v/>
      </c>
      <c r="AZ3588" s="21" t="str">
        <f>IF(AND($AM3588&lt;&gt;"",$AS3588="✓"),SUMPRODUCT(($AM$11:$AM3588&lt;&gt;"")*($AS$11:$AS3588="✓")),"")</f>
        <v/>
      </c>
      <c r="BA3588" s="21" t="str">
        <f>IF($AL3588="","",$AL3588&amp;"|"&amp;COUNTIF($AL$11:$AL3588,$AL3588))</f>
        <v/>
      </c>
    </row>
    <row r="3589" spans="38:53" ht="15" customHeight="1" x14ac:dyDescent="0.25">
      <c r="AL3589" s="17"/>
      <c r="AM3589" s="12"/>
      <c r="AN3589" s="18"/>
      <c r="AO3589" s="18"/>
      <c r="AP3589" s="10"/>
      <c r="AQ3589" s="10"/>
      <c r="AR3589" s="19"/>
      <c r="AS3589" s="20"/>
      <c r="AT3589" s="19"/>
      <c r="AV3589" s="21">
        <f>IF(AND($AL3589&lt;&gt;"",COUNTIF($AL$11:$AL3589,$AL3589)=1),1,0)</f>
        <v>0</v>
      </c>
      <c r="AW3589" s="21">
        <f t="shared" si="197"/>
        <v>2</v>
      </c>
      <c r="AX3589" s="21" t="str">
        <f t="shared" si="196"/>
        <v/>
      </c>
      <c r="AY3589" s="21" t="str">
        <f>IF(AND($AM3589&lt;&gt;"",$AS3589&lt;&gt;"✓"),SUMPRODUCT(($AM$11:$AM3589&lt;&gt;"")*($AS$11:$AS3589&lt;&gt;"✓")),"")</f>
        <v/>
      </c>
      <c r="AZ3589" s="21" t="str">
        <f>IF(AND($AM3589&lt;&gt;"",$AS3589="✓"),SUMPRODUCT(($AM$11:$AM3589&lt;&gt;"")*($AS$11:$AS3589="✓")),"")</f>
        <v/>
      </c>
      <c r="BA3589" s="21" t="str">
        <f>IF($AL3589="","",$AL3589&amp;"|"&amp;COUNTIF($AL$11:$AL3589,$AL3589))</f>
        <v/>
      </c>
    </row>
    <row r="3590" spans="38:53" ht="15" customHeight="1" x14ac:dyDescent="0.25">
      <c r="AL3590" s="31"/>
      <c r="AM3590" s="26"/>
      <c r="AN3590" s="32"/>
      <c r="AO3590" s="32"/>
      <c r="AP3590" s="24"/>
      <c r="AQ3590" s="24"/>
      <c r="AR3590" s="33"/>
      <c r="AS3590" s="34"/>
      <c r="AT3590" s="33"/>
      <c r="AV3590" s="21">
        <f>IF(AND($AL3590&lt;&gt;"",COUNTIF($AL$11:$AL3590,$AL3590)=1),1,0)</f>
        <v>0</v>
      </c>
      <c r="AW3590" s="21">
        <f t="shared" si="197"/>
        <v>2</v>
      </c>
      <c r="AX3590" s="21" t="str">
        <f t="shared" si="196"/>
        <v/>
      </c>
      <c r="AY3590" s="21" t="str">
        <f>IF(AND($AM3590&lt;&gt;"",$AS3590&lt;&gt;"✓"),SUMPRODUCT(($AM$11:$AM3590&lt;&gt;"")*($AS$11:$AS3590&lt;&gt;"✓")),"")</f>
        <v/>
      </c>
      <c r="AZ3590" s="21" t="str">
        <f>IF(AND($AM3590&lt;&gt;"",$AS3590="✓"),SUMPRODUCT(($AM$11:$AM3590&lt;&gt;"")*($AS$11:$AS3590="✓")),"")</f>
        <v/>
      </c>
      <c r="BA3590" s="21" t="str">
        <f>IF($AL3590="","",$AL3590&amp;"|"&amp;COUNTIF($AL$11:$AL3590,$AL3590))</f>
        <v/>
      </c>
    </row>
    <row r="3591" spans="38:53" ht="15" customHeight="1" x14ac:dyDescent="0.25">
      <c r="AL3591" s="17"/>
      <c r="AM3591" s="12"/>
      <c r="AN3591" s="18"/>
      <c r="AO3591" s="18"/>
      <c r="AP3591" s="10"/>
      <c r="AQ3591" s="10"/>
      <c r="AR3591" s="19"/>
      <c r="AS3591" s="20"/>
      <c r="AT3591" s="19"/>
      <c r="AV3591" s="21">
        <f>IF(AND($AL3591&lt;&gt;"",COUNTIF($AL$11:$AL3591,$AL3591)=1),1,0)</f>
        <v>0</v>
      </c>
      <c r="AW3591" s="21">
        <f t="shared" si="197"/>
        <v>2</v>
      </c>
      <c r="AX3591" s="21" t="str">
        <f t="shared" si="196"/>
        <v/>
      </c>
      <c r="AY3591" s="21" t="str">
        <f>IF(AND($AM3591&lt;&gt;"",$AS3591&lt;&gt;"✓"),SUMPRODUCT(($AM$11:$AM3591&lt;&gt;"")*($AS$11:$AS3591&lt;&gt;"✓")),"")</f>
        <v/>
      </c>
      <c r="AZ3591" s="21" t="str">
        <f>IF(AND($AM3591&lt;&gt;"",$AS3591="✓"),SUMPRODUCT(($AM$11:$AM3591&lt;&gt;"")*($AS$11:$AS3591="✓")),"")</f>
        <v/>
      </c>
      <c r="BA3591" s="21" t="str">
        <f>IF($AL3591="","",$AL3591&amp;"|"&amp;COUNTIF($AL$11:$AL3591,$AL3591))</f>
        <v/>
      </c>
    </row>
    <row r="3592" spans="38:53" ht="15" customHeight="1" x14ac:dyDescent="0.25">
      <c r="AL3592" s="31"/>
      <c r="AM3592" s="26"/>
      <c r="AN3592" s="32"/>
      <c r="AO3592" s="32"/>
      <c r="AP3592" s="24"/>
      <c r="AQ3592" s="24"/>
      <c r="AR3592" s="33"/>
      <c r="AS3592" s="34"/>
      <c r="AT3592" s="33"/>
      <c r="AV3592" s="21">
        <f>IF(AND($AL3592&lt;&gt;"",COUNTIF($AL$11:$AL3592,$AL3592)=1),1,0)</f>
        <v>0</v>
      </c>
      <c r="AW3592" s="21">
        <f t="shared" si="197"/>
        <v>2</v>
      </c>
      <c r="AX3592" s="21" t="str">
        <f t="shared" si="196"/>
        <v/>
      </c>
      <c r="AY3592" s="21" t="str">
        <f>IF(AND($AM3592&lt;&gt;"",$AS3592&lt;&gt;"✓"),SUMPRODUCT(($AM$11:$AM3592&lt;&gt;"")*($AS$11:$AS3592&lt;&gt;"✓")),"")</f>
        <v/>
      </c>
      <c r="AZ3592" s="21" t="str">
        <f>IF(AND($AM3592&lt;&gt;"",$AS3592="✓"),SUMPRODUCT(($AM$11:$AM3592&lt;&gt;"")*($AS$11:$AS3592="✓")),"")</f>
        <v/>
      </c>
      <c r="BA3592" s="21" t="str">
        <f>IF($AL3592="","",$AL3592&amp;"|"&amp;COUNTIF($AL$11:$AL3592,$AL3592))</f>
        <v/>
      </c>
    </row>
    <row r="3593" spans="38:53" ht="15" customHeight="1" x14ac:dyDescent="0.25">
      <c r="AL3593" s="17"/>
      <c r="AM3593" s="12"/>
      <c r="AN3593" s="18"/>
      <c r="AO3593" s="18"/>
      <c r="AP3593" s="10"/>
      <c r="AQ3593" s="10"/>
      <c r="AR3593" s="19"/>
      <c r="AS3593" s="20"/>
      <c r="AT3593" s="19"/>
      <c r="AV3593" s="21">
        <f>IF(AND($AL3593&lt;&gt;"",COUNTIF($AL$11:$AL3593,$AL3593)=1),1,0)</f>
        <v>0</v>
      </c>
      <c r="AW3593" s="21">
        <f t="shared" si="197"/>
        <v>2</v>
      </c>
      <c r="AX3593" s="21" t="str">
        <f t="shared" si="196"/>
        <v/>
      </c>
      <c r="AY3593" s="21" t="str">
        <f>IF(AND($AM3593&lt;&gt;"",$AS3593&lt;&gt;"✓"),SUMPRODUCT(($AM$11:$AM3593&lt;&gt;"")*($AS$11:$AS3593&lt;&gt;"✓")),"")</f>
        <v/>
      </c>
      <c r="AZ3593" s="21" t="str">
        <f>IF(AND($AM3593&lt;&gt;"",$AS3593="✓"),SUMPRODUCT(($AM$11:$AM3593&lt;&gt;"")*($AS$11:$AS3593="✓")),"")</f>
        <v/>
      </c>
      <c r="BA3593" s="21" t="str">
        <f>IF($AL3593="","",$AL3593&amp;"|"&amp;COUNTIF($AL$11:$AL3593,$AL3593))</f>
        <v/>
      </c>
    </row>
    <row r="3594" spans="38:53" ht="15" customHeight="1" x14ac:dyDescent="0.25">
      <c r="AL3594" s="31"/>
      <c r="AM3594" s="26"/>
      <c r="AN3594" s="32"/>
      <c r="AO3594" s="32"/>
      <c r="AP3594" s="24"/>
      <c r="AQ3594" s="24"/>
      <c r="AR3594" s="33"/>
      <c r="AS3594" s="34"/>
      <c r="AT3594" s="33"/>
      <c r="AV3594" s="21">
        <f>IF(AND($AL3594&lt;&gt;"",COUNTIF($AL$11:$AL3594,$AL3594)=1),1,0)</f>
        <v>0</v>
      </c>
      <c r="AW3594" s="21">
        <f t="shared" si="197"/>
        <v>2</v>
      </c>
      <c r="AX3594" s="21" t="str">
        <f t="shared" si="196"/>
        <v/>
      </c>
      <c r="AY3594" s="21" t="str">
        <f>IF(AND($AM3594&lt;&gt;"",$AS3594&lt;&gt;"✓"),SUMPRODUCT(($AM$11:$AM3594&lt;&gt;"")*($AS$11:$AS3594&lt;&gt;"✓")),"")</f>
        <v/>
      </c>
      <c r="AZ3594" s="21" t="str">
        <f>IF(AND($AM3594&lt;&gt;"",$AS3594="✓"),SUMPRODUCT(($AM$11:$AM3594&lt;&gt;"")*($AS$11:$AS3594="✓")),"")</f>
        <v/>
      </c>
      <c r="BA3594" s="21" t="str">
        <f>IF($AL3594="","",$AL3594&amp;"|"&amp;COUNTIF($AL$11:$AL3594,$AL3594))</f>
        <v/>
      </c>
    </row>
    <row r="3595" spans="38:53" ht="15" customHeight="1" x14ac:dyDescent="0.25">
      <c r="AL3595" s="17"/>
      <c r="AM3595" s="12"/>
      <c r="AN3595" s="18"/>
      <c r="AO3595" s="18"/>
      <c r="AP3595" s="10"/>
      <c r="AQ3595" s="10"/>
      <c r="AR3595" s="19"/>
      <c r="AS3595" s="20"/>
      <c r="AT3595" s="19"/>
      <c r="AV3595" s="21">
        <f>IF(AND($AL3595&lt;&gt;"",COUNTIF($AL$11:$AL3595,$AL3595)=1),1,0)</f>
        <v>0</v>
      </c>
      <c r="AW3595" s="21">
        <f t="shared" si="197"/>
        <v>2</v>
      </c>
      <c r="AX3595" s="21" t="str">
        <f t="shared" ref="AX3595:AX3658" si="198">IF(AV3595=1,AW3595,"")</f>
        <v/>
      </c>
      <c r="AY3595" s="21" t="str">
        <f>IF(AND($AM3595&lt;&gt;"",$AS3595&lt;&gt;"✓"),SUMPRODUCT(($AM$11:$AM3595&lt;&gt;"")*($AS$11:$AS3595&lt;&gt;"✓")),"")</f>
        <v/>
      </c>
      <c r="AZ3595" s="21" t="str">
        <f>IF(AND($AM3595&lt;&gt;"",$AS3595="✓"),SUMPRODUCT(($AM$11:$AM3595&lt;&gt;"")*($AS$11:$AS3595="✓")),"")</f>
        <v/>
      </c>
      <c r="BA3595" s="21" t="str">
        <f>IF($AL3595="","",$AL3595&amp;"|"&amp;COUNTIF($AL$11:$AL3595,$AL3595))</f>
        <v/>
      </c>
    </row>
    <row r="3596" spans="38:53" ht="15" customHeight="1" x14ac:dyDescent="0.25">
      <c r="AL3596" s="31"/>
      <c r="AM3596" s="26"/>
      <c r="AN3596" s="32"/>
      <c r="AO3596" s="32"/>
      <c r="AP3596" s="24"/>
      <c r="AQ3596" s="24"/>
      <c r="AR3596" s="33"/>
      <c r="AS3596" s="34"/>
      <c r="AT3596" s="33"/>
      <c r="AV3596" s="21">
        <f>IF(AND($AL3596&lt;&gt;"",COUNTIF($AL$11:$AL3596,$AL3596)=1),1,0)</f>
        <v>0</v>
      </c>
      <c r="AW3596" s="21">
        <f t="shared" ref="AW3596:AW3659" si="199">AW3595+AV3596</f>
        <v>2</v>
      </c>
      <c r="AX3596" s="21" t="str">
        <f t="shared" si="198"/>
        <v/>
      </c>
      <c r="AY3596" s="21" t="str">
        <f>IF(AND($AM3596&lt;&gt;"",$AS3596&lt;&gt;"✓"),SUMPRODUCT(($AM$11:$AM3596&lt;&gt;"")*($AS$11:$AS3596&lt;&gt;"✓")),"")</f>
        <v/>
      </c>
      <c r="AZ3596" s="21" t="str">
        <f>IF(AND($AM3596&lt;&gt;"",$AS3596="✓"),SUMPRODUCT(($AM$11:$AM3596&lt;&gt;"")*($AS$11:$AS3596="✓")),"")</f>
        <v/>
      </c>
      <c r="BA3596" s="21" t="str">
        <f>IF($AL3596="","",$AL3596&amp;"|"&amp;COUNTIF($AL$11:$AL3596,$AL3596))</f>
        <v/>
      </c>
    </row>
    <row r="3597" spans="38:53" ht="15" customHeight="1" x14ac:dyDescent="0.25">
      <c r="AL3597" s="17"/>
      <c r="AM3597" s="12"/>
      <c r="AN3597" s="18"/>
      <c r="AO3597" s="18"/>
      <c r="AP3597" s="10"/>
      <c r="AQ3597" s="10"/>
      <c r="AR3597" s="19"/>
      <c r="AS3597" s="20"/>
      <c r="AT3597" s="19"/>
      <c r="AV3597" s="21">
        <f>IF(AND($AL3597&lt;&gt;"",COUNTIF($AL$11:$AL3597,$AL3597)=1),1,0)</f>
        <v>0</v>
      </c>
      <c r="AW3597" s="21">
        <f t="shared" si="199"/>
        <v>2</v>
      </c>
      <c r="AX3597" s="21" t="str">
        <f t="shared" si="198"/>
        <v/>
      </c>
      <c r="AY3597" s="21" t="str">
        <f>IF(AND($AM3597&lt;&gt;"",$AS3597&lt;&gt;"✓"),SUMPRODUCT(($AM$11:$AM3597&lt;&gt;"")*($AS$11:$AS3597&lt;&gt;"✓")),"")</f>
        <v/>
      </c>
      <c r="AZ3597" s="21" t="str">
        <f>IF(AND($AM3597&lt;&gt;"",$AS3597="✓"),SUMPRODUCT(($AM$11:$AM3597&lt;&gt;"")*($AS$11:$AS3597="✓")),"")</f>
        <v/>
      </c>
      <c r="BA3597" s="21" t="str">
        <f>IF($AL3597="","",$AL3597&amp;"|"&amp;COUNTIF($AL$11:$AL3597,$AL3597))</f>
        <v/>
      </c>
    </row>
    <row r="3598" spans="38:53" ht="15" customHeight="1" x14ac:dyDescent="0.25">
      <c r="AL3598" s="31"/>
      <c r="AM3598" s="26"/>
      <c r="AN3598" s="32"/>
      <c r="AO3598" s="32"/>
      <c r="AP3598" s="24"/>
      <c r="AQ3598" s="24"/>
      <c r="AR3598" s="33"/>
      <c r="AS3598" s="34"/>
      <c r="AT3598" s="33"/>
      <c r="AV3598" s="21">
        <f>IF(AND($AL3598&lt;&gt;"",COUNTIF($AL$11:$AL3598,$AL3598)=1),1,0)</f>
        <v>0</v>
      </c>
      <c r="AW3598" s="21">
        <f t="shared" si="199"/>
        <v>2</v>
      </c>
      <c r="AX3598" s="21" t="str">
        <f t="shared" si="198"/>
        <v/>
      </c>
      <c r="AY3598" s="21" t="str">
        <f>IF(AND($AM3598&lt;&gt;"",$AS3598&lt;&gt;"✓"),SUMPRODUCT(($AM$11:$AM3598&lt;&gt;"")*($AS$11:$AS3598&lt;&gt;"✓")),"")</f>
        <v/>
      </c>
      <c r="AZ3598" s="21" t="str">
        <f>IF(AND($AM3598&lt;&gt;"",$AS3598="✓"),SUMPRODUCT(($AM$11:$AM3598&lt;&gt;"")*($AS$11:$AS3598="✓")),"")</f>
        <v/>
      </c>
      <c r="BA3598" s="21" t="str">
        <f>IF($AL3598="","",$AL3598&amp;"|"&amp;COUNTIF($AL$11:$AL3598,$AL3598))</f>
        <v/>
      </c>
    </row>
    <row r="3599" spans="38:53" ht="15" customHeight="1" x14ac:dyDescent="0.25">
      <c r="AL3599" s="17"/>
      <c r="AM3599" s="12"/>
      <c r="AN3599" s="18"/>
      <c r="AO3599" s="18"/>
      <c r="AP3599" s="10"/>
      <c r="AQ3599" s="10"/>
      <c r="AR3599" s="19"/>
      <c r="AS3599" s="20"/>
      <c r="AT3599" s="19"/>
      <c r="AV3599" s="21">
        <f>IF(AND($AL3599&lt;&gt;"",COUNTIF($AL$11:$AL3599,$AL3599)=1),1,0)</f>
        <v>0</v>
      </c>
      <c r="AW3599" s="21">
        <f t="shared" si="199"/>
        <v>2</v>
      </c>
      <c r="AX3599" s="21" t="str">
        <f t="shared" si="198"/>
        <v/>
      </c>
      <c r="AY3599" s="21" t="str">
        <f>IF(AND($AM3599&lt;&gt;"",$AS3599&lt;&gt;"✓"),SUMPRODUCT(($AM$11:$AM3599&lt;&gt;"")*($AS$11:$AS3599&lt;&gt;"✓")),"")</f>
        <v/>
      </c>
      <c r="AZ3599" s="21" t="str">
        <f>IF(AND($AM3599&lt;&gt;"",$AS3599="✓"),SUMPRODUCT(($AM$11:$AM3599&lt;&gt;"")*($AS$11:$AS3599="✓")),"")</f>
        <v/>
      </c>
      <c r="BA3599" s="21" t="str">
        <f>IF($AL3599="","",$AL3599&amp;"|"&amp;COUNTIF($AL$11:$AL3599,$AL3599))</f>
        <v/>
      </c>
    </row>
    <row r="3600" spans="38:53" ht="15" customHeight="1" x14ac:dyDescent="0.25">
      <c r="AL3600" s="31"/>
      <c r="AM3600" s="26"/>
      <c r="AN3600" s="32"/>
      <c r="AO3600" s="32"/>
      <c r="AP3600" s="24"/>
      <c r="AQ3600" s="24"/>
      <c r="AR3600" s="33"/>
      <c r="AS3600" s="34"/>
      <c r="AT3600" s="33"/>
      <c r="AV3600" s="21">
        <f>IF(AND($AL3600&lt;&gt;"",COUNTIF($AL$11:$AL3600,$AL3600)=1),1,0)</f>
        <v>0</v>
      </c>
      <c r="AW3600" s="21">
        <f t="shared" si="199"/>
        <v>2</v>
      </c>
      <c r="AX3600" s="21" t="str">
        <f t="shared" si="198"/>
        <v/>
      </c>
      <c r="AY3600" s="21" t="str">
        <f>IF(AND($AM3600&lt;&gt;"",$AS3600&lt;&gt;"✓"),SUMPRODUCT(($AM$11:$AM3600&lt;&gt;"")*($AS$11:$AS3600&lt;&gt;"✓")),"")</f>
        <v/>
      </c>
      <c r="AZ3600" s="21" t="str">
        <f>IF(AND($AM3600&lt;&gt;"",$AS3600="✓"),SUMPRODUCT(($AM$11:$AM3600&lt;&gt;"")*($AS$11:$AS3600="✓")),"")</f>
        <v/>
      </c>
      <c r="BA3600" s="21" t="str">
        <f>IF($AL3600="","",$AL3600&amp;"|"&amp;COUNTIF($AL$11:$AL3600,$AL3600))</f>
        <v/>
      </c>
    </row>
    <row r="3601" spans="38:53" ht="15" customHeight="1" x14ac:dyDescent="0.25">
      <c r="AL3601" s="17"/>
      <c r="AM3601" s="12"/>
      <c r="AN3601" s="18"/>
      <c r="AO3601" s="18"/>
      <c r="AP3601" s="10"/>
      <c r="AQ3601" s="10"/>
      <c r="AR3601" s="19"/>
      <c r="AS3601" s="20"/>
      <c r="AT3601" s="19"/>
      <c r="AV3601" s="21">
        <f>IF(AND($AL3601&lt;&gt;"",COUNTIF($AL$11:$AL3601,$AL3601)=1),1,0)</f>
        <v>0</v>
      </c>
      <c r="AW3601" s="21">
        <f t="shared" si="199"/>
        <v>2</v>
      </c>
      <c r="AX3601" s="21" t="str">
        <f t="shared" si="198"/>
        <v/>
      </c>
      <c r="AY3601" s="21" t="str">
        <f>IF(AND($AM3601&lt;&gt;"",$AS3601&lt;&gt;"✓"),SUMPRODUCT(($AM$11:$AM3601&lt;&gt;"")*($AS$11:$AS3601&lt;&gt;"✓")),"")</f>
        <v/>
      </c>
      <c r="AZ3601" s="21" t="str">
        <f>IF(AND($AM3601&lt;&gt;"",$AS3601="✓"),SUMPRODUCT(($AM$11:$AM3601&lt;&gt;"")*($AS$11:$AS3601="✓")),"")</f>
        <v/>
      </c>
      <c r="BA3601" s="21" t="str">
        <f>IF($AL3601="","",$AL3601&amp;"|"&amp;COUNTIF($AL$11:$AL3601,$AL3601))</f>
        <v/>
      </c>
    </row>
    <row r="3602" spans="38:53" ht="15" customHeight="1" x14ac:dyDescent="0.25">
      <c r="AL3602" s="31"/>
      <c r="AM3602" s="26"/>
      <c r="AN3602" s="32"/>
      <c r="AO3602" s="32"/>
      <c r="AP3602" s="24"/>
      <c r="AQ3602" s="24"/>
      <c r="AR3602" s="33"/>
      <c r="AS3602" s="34"/>
      <c r="AT3602" s="33"/>
      <c r="AV3602" s="21">
        <f>IF(AND($AL3602&lt;&gt;"",COUNTIF($AL$11:$AL3602,$AL3602)=1),1,0)</f>
        <v>0</v>
      </c>
      <c r="AW3602" s="21">
        <f t="shared" si="199"/>
        <v>2</v>
      </c>
      <c r="AX3602" s="21" t="str">
        <f t="shared" si="198"/>
        <v/>
      </c>
      <c r="AY3602" s="21" t="str">
        <f>IF(AND($AM3602&lt;&gt;"",$AS3602&lt;&gt;"✓"),SUMPRODUCT(($AM$11:$AM3602&lt;&gt;"")*($AS$11:$AS3602&lt;&gt;"✓")),"")</f>
        <v/>
      </c>
      <c r="AZ3602" s="21" t="str">
        <f>IF(AND($AM3602&lt;&gt;"",$AS3602="✓"),SUMPRODUCT(($AM$11:$AM3602&lt;&gt;"")*($AS$11:$AS3602="✓")),"")</f>
        <v/>
      </c>
      <c r="BA3602" s="21" t="str">
        <f>IF($AL3602="","",$AL3602&amp;"|"&amp;COUNTIF($AL$11:$AL3602,$AL3602))</f>
        <v/>
      </c>
    </row>
    <row r="3603" spans="38:53" ht="15" customHeight="1" x14ac:dyDescent="0.25">
      <c r="AL3603" s="17"/>
      <c r="AM3603" s="12"/>
      <c r="AN3603" s="18"/>
      <c r="AO3603" s="18"/>
      <c r="AP3603" s="10"/>
      <c r="AQ3603" s="10"/>
      <c r="AR3603" s="19"/>
      <c r="AS3603" s="20"/>
      <c r="AT3603" s="19"/>
      <c r="AV3603" s="21">
        <f>IF(AND($AL3603&lt;&gt;"",COUNTIF($AL$11:$AL3603,$AL3603)=1),1,0)</f>
        <v>0</v>
      </c>
      <c r="AW3603" s="21">
        <f t="shared" si="199"/>
        <v>2</v>
      </c>
      <c r="AX3603" s="21" t="str">
        <f t="shared" si="198"/>
        <v/>
      </c>
      <c r="AY3603" s="21" t="str">
        <f>IF(AND($AM3603&lt;&gt;"",$AS3603&lt;&gt;"✓"),SUMPRODUCT(($AM$11:$AM3603&lt;&gt;"")*($AS$11:$AS3603&lt;&gt;"✓")),"")</f>
        <v/>
      </c>
      <c r="AZ3603" s="21" t="str">
        <f>IF(AND($AM3603&lt;&gt;"",$AS3603="✓"),SUMPRODUCT(($AM$11:$AM3603&lt;&gt;"")*($AS$11:$AS3603="✓")),"")</f>
        <v/>
      </c>
      <c r="BA3603" s="21" t="str">
        <f>IF($AL3603="","",$AL3603&amp;"|"&amp;COUNTIF($AL$11:$AL3603,$AL3603))</f>
        <v/>
      </c>
    </row>
    <row r="3604" spans="38:53" ht="15" customHeight="1" x14ac:dyDescent="0.25">
      <c r="AL3604" s="31"/>
      <c r="AM3604" s="26"/>
      <c r="AN3604" s="32"/>
      <c r="AO3604" s="32"/>
      <c r="AP3604" s="24"/>
      <c r="AQ3604" s="24"/>
      <c r="AR3604" s="33"/>
      <c r="AS3604" s="34"/>
      <c r="AT3604" s="33"/>
      <c r="AV3604" s="21">
        <f>IF(AND($AL3604&lt;&gt;"",COUNTIF($AL$11:$AL3604,$AL3604)=1),1,0)</f>
        <v>0</v>
      </c>
      <c r="AW3604" s="21">
        <f t="shared" si="199"/>
        <v>2</v>
      </c>
      <c r="AX3604" s="21" t="str">
        <f t="shared" si="198"/>
        <v/>
      </c>
      <c r="AY3604" s="21" t="str">
        <f>IF(AND($AM3604&lt;&gt;"",$AS3604&lt;&gt;"✓"),SUMPRODUCT(($AM$11:$AM3604&lt;&gt;"")*($AS$11:$AS3604&lt;&gt;"✓")),"")</f>
        <v/>
      </c>
      <c r="AZ3604" s="21" t="str">
        <f>IF(AND($AM3604&lt;&gt;"",$AS3604="✓"),SUMPRODUCT(($AM$11:$AM3604&lt;&gt;"")*($AS$11:$AS3604="✓")),"")</f>
        <v/>
      </c>
      <c r="BA3604" s="21" t="str">
        <f>IF($AL3604="","",$AL3604&amp;"|"&amp;COUNTIF($AL$11:$AL3604,$AL3604))</f>
        <v/>
      </c>
    </row>
    <row r="3605" spans="38:53" ht="15" customHeight="1" x14ac:dyDescent="0.25">
      <c r="AL3605" s="17"/>
      <c r="AM3605" s="12"/>
      <c r="AN3605" s="18"/>
      <c r="AO3605" s="18"/>
      <c r="AP3605" s="10"/>
      <c r="AQ3605" s="10"/>
      <c r="AR3605" s="19"/>
      <c r="AS3605" s="20"/>
      <c r="AT3605" s="19"/>
      <c r="AV3605" s="21">
        <f>IF(AND($AL3605&lt;&gt;"",COUNTIF($AL$11:$AL3605,$AL3605)=1),1,0)</f>
        <v>0</v>
      </c>
      <c r="AW3605" s="21">
        <f t="shared" si="199"/>
        <v>2</v>
      </c>
      <c r="AX3605" s="21" t="str">
        <f t="shared" si="198"/>
        <v/>
      </c>
      <c r="AY3605" s="21" t="str">
        <f>IF(AND($AM3605&lt;&gt;"",$AS3605&lt;&gt;"✓"),SUMPRODUCT(($AM$11:$AM3605&lt;&gt;"")*($AS$11:$AS3605&lt;&gt;"✓")),"")</f>
        <v/>
      </c>
      <c r="AZ3605" s="21" t="str">
        <f>IF(AND($AM3605&lt;&gt;"",$AS3605="✓"),SUMPRODUCT(($AM$11:$AM3605&lt;&gt;"")*($AS$11:$AS3605="✓")),"")</f>
        <v/>
      </c>
      <c r="BA3605" s="21" t="str">
        <f>IF($AL3605="","",$AL3605&amp;"|"&amp;COUNTIF($AL$11:$AL3605,$AL3605))</f>
        <v/>
      </c>
    </row>
    <row r="3606" spans="38:53" ht="15" customHeight="1" x14ac:dyDescent="0.25">
      <c r="AL3606" s="31"/>
      <c r="AM3606" s="26"/>
      <c r="AN3606" s="32"/>
      <c r="AO3606" s="32"/>
      <c r="AP3606" s="24"/>
      <c r="AQ3606" s="24"/>
      <c r="AR3606" s="33"/>
      <c r="AS3606" s="34"/>
      <c r="AT3606" s="33"/>
      <c r="AV3606" s="21">
        <f>IF(AND($AL3606&lt;&gt;"",COUNTIF($AL$11:$AL3606,$AL3606)=1),1,0)</f>
        <v>0</v>
      </c>
      <c r="AW3606" s="21">
        <f t="shared" si="199"/>
        <v>2</v>
      </c>
      <c r="AX3606" s="21" t="str">
        <f t="shared" si="198"/>
        <v/>
      </c>
      <c r="AY3606" s="21" t="str">
        <f>IF(AND($AM3606&lt;&gt;"",$AS3606&lt;&gt;"✓"),SUMPRODUCT(($AM$11:$AM3606&lt;&gt;"")*($AS$11:$AS3606&lt;&gt;"✓")),"")</f>
        <v/>
      </c>
      <c r="AZ3606" s="21" t="str">
        <f>IF(AND($AM3606&lt;&gt;"",$AS3606="✓"),SUMPRODUCT(($AM$11:$AM3606&lt;&gt;"")*($AS$11:$AS3606="✓")),"")</f>
        <v/>
      </c>
      <c r="BA3606" s="21" t="str">
        <f>IF($AL3606="","",$AL3606&amp;"|"&amp;COUNTIF($AL$11:$AL3606,$AL3606))</f>
        <v/>
      </c>
    </row>
    <row r="3607" spans="38:53" ht="15" customHeight="1" x14ac:dyDescent="0.25">
      <c r="AL3607" s="17"/>
      <c r="AM3607" s="12"/>
      <c r="AN3607" s="18"/>
      <c r="AO3607" s="18"/>
      <c r="AP3607" s="10"/>
      <c r="AQ3607" s="10"/>
      <c r="AR3607" s="19"/>
      <c r="AS3607" s="20"/>
      <c r="AT3607" s="19"/>
      <c r="AV3607" s="21">
        <f>IF(AND($AL3607&lt;&gt;"",COUNTIF($AL$11:$AL3607,$AL3607)=1),1,0)</f>
        <v>0</v>
      </c>
      <c r="AW3607" s="21">
        <f t="shared" si="199"/>
        <v>2</v>
      </c>
      <c r="AX3607" s="21" t="str">
        <f t="shared" si="198"/>
        <v/>
      </c>
      <c r="AY3607" s="21" t="str">
        <f>IF(AND($AM3607&lt;&gt;"",$AS3607&lt;&gt;"✓"),SUMPRODUCT(($AM$11:$AM3607&lt;&gt;"")*($AS$11:$AS3607&lt;&gt;"✓")),"")</f>
        <v/>
      </c>
      <c r="AZ3607" s="21" t="str">
        <f>IF(AND($AM3607&lt;&gt;"",$AS3607="✓"),SUMPRODUCT(($AM$11:$AM3607&lt;&gt;"")*($AS$11:$AS3607="✓")),"")</f>
        <v/>
      </c>
      <c r="BA3607" s="21" t="str">
        <f>IF($AL3607="","",$AL3607&amp;"|"&amp;COUNTIF($AL$11:$AL3607,$AL3607))</f>
        <v/>
      </c>
    </row>
    <row r="3608" spans="38:53" ht="15" customHeight="1" x14ac:dyDescent="0.25">
      <c r="AL3608" s="31"/>
      <c r="AM3608" s="26"/>
      <c r="AN3608" s="32"/>
      <c r="AO3608" s="32"/>
      <c r="AP3608" s="24"/>
      <c r="AQ3608" s="24"/>
      <c r="AR3608" s="33"/>
      <c r="AS3608" s="34"/>
      <c r="AT3608" s="33"/>
      <c r="AV3608" s="21">
        <f>IF(AND($AL3608&lt;&gt;"",COUNTIF($AL$11:$AL3608,$AL3608)=1),1,0)</f>
        <v>0</v>
      </c>
      <c r="AW3608" s="21">
        <f t="shared" si="199"/>
        <v>2</v>
      </c>
      <c r="AX3608" s="21" t="str">
        <f t="shared" si="198"/>
        <v/>
      </c>
      <c r="AY3608" s="21" t="str">
        <f>IF(AND($AM3608&lt;&gt;"",$AS3608&lt;&gt;"✓"),SUMPRODUCT(($AM$11:$AM3608&lt;&gt;"")*($AS$11:$AS3608&lt;&gt;"✓")),"")</f>
        <v/>
      </c>
      <c r="AZ3608" s="21" t="str">
        <f>IF(AND($AM3608&lt;&gt;"",$AS3608="✓"),SUMPRODUCT(($AM$11:$AM3608&lt;&gt;"")*($AS$11:$AS3608="✓")),"")</f>
        <v/>
      </c>
      <c r="BA3608" s="21" t="str">
        <f>IF($AL3608="","",$AL3608&amp;"|"&amp;COUNTIF($AL$11:$AL3608,$AL3608))</f>
        <v/>
      </c>
    </row>
    <row r="3609" spans="38:53" ht="15" customHeight="1" x14ac:dyDescent="0.25">
      <c r="AL3609" s="17"/>
      <c r="AM3609" s="12"/>
      <c r="AN3609" s="18"/>
      <c r="AO3609" s="18"/>
      <c r="AP3609" s="10"/>
      <c r="AQ3609" s="10"/>
      <c r="AR3609" s="19"/>
      <c r="AS3609" s="20"/>
      <c r="AT3609" s="19"/>
      <c r="AV3609" s="21">
        <f>IF(AND($AL3609&lt;&gt;"",COUNTIF($AL$11:$AL3609,$AL3609)=1),1,0)</f>
        <v>0</v>
      </c>
      <c r="AW3609" s="21">
        <f t="shared" si="199"/>
        <v>2</v>
      </c>
      <c r="AX3609" s="21" t="str">
        <f t="shared" si="198"/>
        <v/>
      </c>
      <c r="AY3609" s="21" t="str">
        <f>IF(AND($AM3609&lt;&gt;"",$AS3609&lt;&gt;"✓"),SUMPRODUCT(($AM$11:$AM3609&lt;&gt;"")*($AS$11:$AS3609&lt;&gt;"✓")),"")</f>
        <v/>
      </c>
      <c r="AZ3609" s="21" t="str">
        <f>IF(AND($AM3609&lt;&gt;"",$AS3609="✓"),SUMPRODUCT(($AM$11:$AM3609&lt;&gt;"")*($AS$11:$AS3609="✓")),"")</f>
        <v/>
      </c>
      <c r="BA3609" s="21" t="str">
        <f>IF($AL3609="","",$AL3609&amp;"|"&amp;COUNTIF($AL$11:$AL3609,$AL3609))</f>
        <v/>
      </c>
    </row>
    <row r="3610" spans="38:53" ht="15" customHeight="1" x14ac:dyDescent="0.25">
      <c r="AL3610" s="31"/>
      <c r="AM3610" s="26"/>
      <c r="AN3610" s="32"/>
      <c r="AO3610" s="32"/>
      <c r="AP3610" s="24"/>
      <c r="AQ3610" s="24"/>
      <c r="AR3610" s="33"/>
      <c r="AS3610" s="34"/>
      <c r="AT3610" s="33"/>
      <c r="AV3610" s="21">
        <f>IF(AND($AL3610&lt;&gt;"",COUNTIF($AL$11:$AL3610,$AL3610)=1),1,0)</f>
        <v>0</v>
      </c>
      <c r="AW3610" s="21">
        <f t="shared" si="199"/>
        <v>2</v>
      </c>
      <c r="AX3610" s="21" t="str">
        <f t="shared" si="198"/>
        <v/>
      </c>
      <c r="AY3610" s="21" t="str">
        <f>IF(AND($AM3610&lt;&gt;"",$AS3610&lt;&gt;"✓"),SUMPRODUCT(($AM$11:$AM3610&lt;&gt;"")*($AS$11:$AS3610&lt;&gt;"✓")),"")</f>
        <v/>
      </c>
      <c r="AZ3610" s="21" t="str">
        <f>IF(AND($AM3610&lt;&gt;"",$AS3610="✓"),SUMPRODUCT(($AM$11:$AM3610&lt;&gt;"")*($AS$11:$AS3610="✓")),"")</f>
        <v/>
      </c>
      <c r="BA3610" s="21" t="str">
        <f>IF($AL3610="","",$AL3610&amp;"|"&amp;COUNTIF($AL$11:$AL3610,$AL3610))</f>
        <v/>
      </c>
    </row>
    <row r="3611" spans="38:53" ht="15" customHeight="1" x14ac:dyDescent="0.25">
      <c r="AL3611" s="17"/>
      <c r="AM3611" s="12"/>
      <c r="AN3611" s="18"/>
      <c r="AO3611" s="18"/>
      <c r="AP3611" s="10"/>
      <c r="AQ3611" s="10"/>
      <c r="AR3611" s="19"/>
      <c r="AS3611" s="20"/>
      <c r="AT3611" s="19"/>
      <c r="AV3611" s="21">
        <f>IF(AND($AL3611&lt;&gt;"",COUNTIF($AL$11:$AL3611,$AL3611)=1),1,0)</f>
        <v>0</v>
      </c>
      <c r="AW3611" s="21">
        <f t="shared" si="199"/>
        <v>2</v>
      </c>
      <c r="AX3611" s="21" t="str">
        <f t="shared" si="198"/>
        <v/>
      </c>
      <c r="AY3611" s="21" t="str">
        <f>IF(AND($AM3611&lt;&gt;"",$AS3611&lt;&gt;"✓"),SUMPRODUCT(($AM$11:$AM3611&lt;&gt;"")*($AS$11:$AS3611&lt;&gt;"✓")),"")</f>
        <v/>
      </c>
      <c r="AZ3611" s="21" t="str">
        <f>IF(AND($AM3611&lt;&gt;"",$AS3611="✓"),SUMPRODUCT(($AM$11:$AM3611&lt;&gt;"")*($AS$11:$AS3611="✓")),"")</f>
        <v/>
      </c>
      <c r="BA3611" s="21" t="str">
        <f>IF($AL3611="","",$AL3611&amp;"|"&amp;COUNTIF($AL$11:$AL3611,$AL3611))</f>
        <v/>
      </c>
    </row>
    <row r="3612" spans="38:53" ht="15" customHeight="1" x14ac:dyDescent="0.25">
      <c r="AL3612" s="31"/>
      <c r="AM3612" s="26"/>
      <c r="AN3612" s="32"/>
      <c r="AO3612" s="32"/>
      <c r="AP3612" s="24"/>
      <c r="AQ3612" s="24"/>
      <c r="AR3612" s="33"/>
      <c r="AS3612" s="34"/>
      <c r="AT3612" s="33"/>
      <c r="AV3612" s="21">
        <f>IF(AND($AL3612&lt;&gt;"",COUNTIF($AL$11:$AL3612,$AL3612)=1),1,0)</f>
        <v>0</v>
      </c>
      <c r="AW3612" s="21">
        <f t="shared" si="199"/>
        <v>2</v>
      </c>
      <c r="AX3612" s="21" t="str">
        <f t="shared" si="198"/>
        <v/>
      </c>
      <c r="AY3612" s="21" t="str">
        <f>IF(AND($AM3612&lt;&gt;"",$AS3612&lt;&gt;"✓"),SUMPRODUCT(($AM$11:$AM3612&lt;&gt;"")*($AS$11:$AS3612&lt;&gt;"✓")),"")</f>
        <v/>
      </c>
      <c r="AZ3612" s="21" t="str">
        <f>IF(AND($AM3612&lt;&gt;"",$AS3612="✓"),SUMPRODUCT(($AM$11:$AM3612&lt;&gt;"")*($AS$11:$AS3612="✓")),"")</f>
        <v/>
      </c>
      <c r="BA3612" s="21" t="str">
        <f>IF($AL3612="","",$AL3612&amp;"|"&amp;COUNTIF($AL$11:$AL3612,$AL3612))</f>
        <v/>
      </c>
    </row>
    <row r="3613" spans="38:53" ht="15" customHeight="1" x14ac:dyDescent="0.25">
      <c r="AL3613" s="17"/>
      <c r="AM3613" s="12"/>
      <c r="AN3613" s="18"/>
      <c r="AO3613" s="18"/>
      <c r="AP3613" s="10"/>
      <c r="AQ3613" s="10"/>
      <c r="AR3613" s="19"/>
      <c r="AS3613" s="20"/>
      <c r="AT3613" s="19"/>
      <c r="AV3613" s="21">
        <f>IF(AND($AL3613&lt;&gt;"",COUNTIF($AL$11:$AL3613,$AL3613)=1),1,0)</f>
        <v>0</v>
      </c>
      <c r="AW3613" s="21">
        <f t="shared" si="199"/>
        <v>2</v>
      </c>
      <c r="AX3613" s="21" t="str">
        <f t="shared" si="198"/>
        <v/>
      </c>
      <c r="AY3613" s="21" t="str">
        <f>IF(AND($AM3613&lt;&gt;"",$AS3613&lt;&gt;"✓"),SUMPRODUCT(($AM$11:$AM3613&lt;&gt;"")*($AS$11:$AS3613&lt;&gt;"✓")),"")</f>
        <v/>
      </c>
      <c r="AZ3613" s="21" t="str">
        <f>IF(AND($AM3613&lt;&gt;"",$AS3613="✓"),SUMPRODUCT(($AM$11:$AM3613&lt;&gt;"")*($AS$11:$AS3613="✓")),"")</f>
        <v/>
      </c>
      <c r="BA3613" s="21" t="str">
        <f>IF($AL3613="","",$AL3613&amp;"|"&amp;COUNTIF($AL$11:$AL3613,$AL3613))</f>
        <v/>
      </c>
    </row>
    <row r="3614" spans="38:53" ht="15" customHeight="1" x14ac:dyDescent="0.25">
      <c r="AL3614" s="31"/>
      <c r="AM3614" s="26"/>
      <c r="AN3614" s="32"/>
      <c r="AO3614" s="32"/>
      <c r="AP3614" s="24"/>
      <c r="AQ3614" s="24"/>
      <c r="AR3614" s="33"/>
      <c r="AS3614" s="34"/>
      <c r="AT3614" s="33"/>
      <c r="AV3614" s="21">
        <f>IF(AND($AL3614&lt;&gt;"",COUNTIF($AL$11:$AL3614,$AL3614)=1),1,0)</f>
        <v>0</v>
      </c>
      <c r="AW3614" s="21">
        <f t="shared" si="199"/>
        <v>2</v>
      </c>
      <c r="AX3614" s="21" t="str">
        <f t="shared" si="198"/>
        <v/>
      </c>
      <c r="AY3614" s="21" t="str">
        <f>IF(AND($AM3614&lt;&gt;"",$AS3614&lt;&gt;"✓"),SUMPRODUCT(($AM$11:$AM3614&lt;&gt;"")*($AS$11:$AS3614&lt;&gt;"✓")),"")</f>
        <v/>
      </c>
      <c r="AZ3614" s="21" t="str">
        <f>IF(AND($AM3614&lt;&gt;"",$AS3614="✓"),SUMPRODUCT(($AM$11:$AM3614&lt;&gt;"")*($AS$11:$AS3614="✓")),"")</f>
        <v/>
      </c>
      <c r="BA3614" s="21" t="str">
        <f>IF($AL3614="","",$AL3614&amp;"|"&amp;COUNTIF($AL$11:$AL3614,$AL3614))</f>
        <v/>
      </c>
    </row>
    <row r="3615" spans="38:53" ht="15" customHeight="1" x14ac:dyDescent="0.25">
      <c r="AL3615" s="17"/>
      <c r="AM3615" s="12"/>
      <c r="AN3615" s="18"/>
      <c r="AO3615" s="18"/>
      <c r="AP3615" s="10"/>
      <c r="AQ3615" s="10"/>
      <c r="AR3615" s="19"/>
      <c r="AS3615" s="20"/>
      <c r="AT3615" s="19"/>
      <c r="AV3615" s="21">
        <f>IF(AND($AL3615&lt;&gt;"",COUNTIF($AL$11:$AL3615,$AL3615)=1),1,0)</f>
        <v>0</v>
      </c>
      <c r="AW3615" s="21">
        <f t="shared" si="199"/>
        <v>2</v>
      </c>
      <c r="AX3615" s="21" t="str">
        <f t="shared" si="198"/>
        <v/>
      </c>
      <c r="AY3615" s="21" t="str">
        <f>IF(AND($AM3615&lt;&gt;"",$AS3615&lt;&gt;"✓"),SUMPRODUCT(($AM$11:$AM3615&lt;&gt;"")*($AS$11:$AS3615&lt;&gt;"✓")),"")</f>
        <v/>
      </c>
      <c r="AZ3615" s="21" t="str">
        <f>IF(AND($AM3615&lt;&gt;"",$AS3615="✓"),SUMPRODUCT(($AM$11:$AM3615&lt;&gt;"")*($AS$11:$AS3615="✓")),"")</f>
        <v/>
      </c>
      <c r="BA3615" s="21" t="str">
        <f>IF($AL3615="","",$AL3615&amp;"|"&amp;COUNTIF($AL$11:$AL3615,$AL3615))</f>
        <v/>
      </c>
    </row>
    <row r="3616" spans="38:53" ht="15" customHeight="1" x14ac:dyDescent="0.25">
      <c r="AL3616" s="31"/>
      <c r="AM3616" s="26"/>
      <c r="AN3616" s="32"/>
      <c r="AO3616" s="32"/>
      <c r="AP3616" s="24"/>
      <c r="AQ3616" s="24"/>
      <c r="AR3616" s="33"/>
      <c r="AS3616" s="34"/>
      <c r="AT3616" s="33"/>
      <c r="AV3616" s="21">
        <f>IF(AND($AL3616&lt;&gt;"",COUNTIF($AL$11:$AL3616,$AL3616)=1),1,0)</f>
        <v>0</v>
      </c>
      <c r="AW3616" s="21">
        <f t="shared" si="199"/>
        <v>2</v>
      </c>
      <c r="AX3616" s="21" t="str">
        <f t="shared" si="198"/>
        <v/>
      </c>
      <c r="AY3616" s="21" t="str">
        <f>IF(AND($AM3616&lt;&gt;"",$AS3616&lt;&gt;"✓"),SUMPRODUCT(($AM$11:$AM3616&lt;&gt;"")*($AS$11:$AS3616&lt;&gt;"✓")),"")</f>
        <v/>
      </c>
      <c r="AZ3616" s="21" t="str">
        <f>IF(AND($AM3616&lt;&gt;"",$AS3616="✓"),SUMPRODUCT(($AM$11:$AM3616&lt;&gt;"")*($AS$11:$AS3616="✓")),"")</f>
        <v/>
      </c>
      <c r="BA3616" s="21" t="str">
        <f>IF($AL3616="","",$AL3616&amp;"|"&amp;COUNTIF($AL$11:$AL3616,$AL3616))</f>
        <v/>
      </c>
    </row>
    <row r="3617" spans="38:53" ht="15" customHeight="1" x14ac:dyDescent="0.25">
      <c r="AL3617" s="17"/>
      <c r="AM3617" s="12"/>
      <c r="AN3617" s="18"/>
      <c r="AO3617" s="18"/>
      <c r="AP3617" s="10"/>
      <c r="AQ3617" s="10"/>
      <c r="AR3617" s="19"/>
      <c r="AS3617" s="20"/>
      <c r="AT3617" s="19"/>
      <c r="AV3617" s="21">
        <f>IF(AND($AL3617&lt;&gt;"",COUNTIF($AL$11:$AL3617,$AL3617)=1),1,0)</f>
        <v>0</v>
      </c>
      <c r="AW3617" s="21">
        <f t="shared" si="199"/>
        <v>2</v>
      </c>
      <c r="AX3617" s="21" t="str">
        <f t="shared" si="198"/>
        <v/>
      </c>
      <c r="AY3617" s="21" t="str">
        <f>IF(AND($AM3617&lt;&gt;"",$AS3617&lt;&gt;"✓"),SUMPRODUCT(($AM$11:$AM3617&lt;&gt;"")*($AS$11:$AS3617&lt;&gt;"✓")),"")</f>
        <v/>
      </c>
      <c r="AZ3617" s="21" t="str">
        <f>IF(AND($AM3617&lt;&gt;"",$AS3617="✓"),SUMPRODUCT(($AM$11:$AM3617&lt;&gt;"")*($AS$11:$AS3617="✓")),"")</f>
        <v/>
      </c>
      <c r="BA3617" s="21" t="str">
        <f>IF($AL3617="","",$AL3617&amp;"|"&amp;COUNTIF($AL$11:$AL3617,$AL3617))</f>
        <v/>
      </c>
    </row>
    <row r="3618" spans="38:53" ht="15" customHeight="1" x14ac:dyDescent="0.25">
      <c r="AL3618" s="31"/>
      <c r="AM3618" s="26"/>
      <c r="AN3618" s="32"/>
      <c r="AO3618" s="32"/>
      <c r="AP3618" s="24"/>
      <c r="AQ3618" s="24"/>
      <c r="AR3618" s="33"/>
      <c r="AS3618" s="34"/>
      <c r="AT3618" s="33"/>
      <c r="AV3618" s="21">
        <f>IF(AND($AL3618&lt;&gt;"",COUNTIF($AL$11:$AL3618,$AL3618)=1),1,0)</f>
        <v>0</v>
      </c>
      <c r="AW3618" s="21">
        <f t="shared" si="199"/>
        <v>2</v>
      </c>
      <c r="AX3618" s="21" t="str">
        <f t="shared" si="198"/>
        <v/>
      </c>
      <c r="AY3618" s="21" t="str">
        <f>IF(AND($AM3618&lt;&gt;"",$AS3618&lt;&gt;"✓"),SUMPRODUCT(($AM$11:$AM3618&lt;&gt;"")*($AS$11:$AS3618&lt;&gt;"✓")),"")</f>
        <v/>
      </c>
      <c r="AZ3618" s="21" t="str">
        <f>IF(AND($AM3618&lt;&gt;"",$AS3618="✓"),SUMPRODUCT(($AM$11:$AM3618&lt;&gt;"")*($AS$11:$AS3618="✓")),"")</f>
        <v/>
      </c>
      <c r="BA3618" s="21" t="str">
        <f>IF($AL3618="","",$AL3618&amp;"|"&amp;COUNTIF($AL$11:$AL3618,$AL3618))</f>
        <v/>
      </c>
    </row>
    <row r="3619" spans="38:53" ht="15" customHeight="1" x14ac:dyDescent="0.25">
      <c r="AL3619" s="17"/>
      <c r="AM3619" s="12"/>
      <c r="AN3619" s="18"/>
      <c r="AO3619" s="18"/>
      <c r="AP3619" s="10"/>
      <c r="AQ3619" s="10"/>
      <c r="AR3619" s="19"/>
      <c r="AS3619" s="20"/>
      <c r="AT3619" s="19"/>
      <c r="AV3619" s="21">
        <f>IF(AND($AL3619&lt;&gt;"",COUNTIF($AL$11:$AL3619,$AL3619)=1),1,0)</f>
        <v>0</v>
      </c>
      <c r="AW3619" s="21">
        <f t="shared" si="199"/>
        <v>2</v>
      </c>
      <c r="AX3619" s="21" t="str">
        <f t="shared" si="198"/>
        <v/>
      </c>
      <c r="AY3619" s="21" t="str">
        <f>IF(AND($AM3619&lt;&gt;"",$AS3619&lt;&gt;"✓"),SUMPRODUCT(($AM$11:$AM3619&lt;&gt;"")*($AS$11:$AS3619&lt;&gt;"✓")),"")</f>
        <v/>
      </c>
      <c r="AZ3619" s="21" t="str">
        <f>IF(AND($AM3619&lt;&gt;"",$AS3619="✓"),SUMPRODUCT(($AM$11:$AM3619&lt;&gt;"")*($AS$11:$AS3619="✓")),"")</f>
        <v/>
      </c>
      <c r="BA3619" s="21" t="str">
        <f>IF($AL3619="","",$AL3619&amp;"|"&amp;COUNTIF($AL$11:$AL3619,$AL3619))</f>
        <v/>
      </c>
    </row>
    <row r="3620" spans="38:53" ht="15" customHeight="1" x14ac:dyDescent="0.25">
      <c r="AL3620" s="31"/>
      <c r="AM3620" s="26"/>
      <c r="AN3620" s="32"/>
      <c r="AO3620" s="32"/>
      <c r="AP3620" s="24"/>
      <c r="AQ3620" s="24"/>
      <c r="AR3620" s="33"/>
      <c r="AS3620" s="34"/>
      <c r="AT3620" s="33"/>
      <c r="AV3620" s="21">
        <f>IF(AND($AL3620&lt;&gt;"",COUNTIF($AL$11:$AL3620,$AL3620)=1),1,0)</f>
        <v>0</v>
      </c>
      <c r="AW3620" s="21">
        <f t="shared" si="199"/>
        <v>2</v>
      </c>
      <c r="AX3620" s="21" t="str">
        <f t="shared" si="198"/>
        <v/>
      </c>
      <c r="AY3620" s="21" t="str">
        <f>IF(AND($AM3620&lt;&gt;"",$AS3620&lt;&gt;"✓"),SUMPRODUCT(($AM$11:$AM3620&lt;&gt;"")*($AS$11:$AS3620&lt;&gt;"✓")),"")</f>
        <v/>
      </c>
      <c r="AZ3620" s="21" t="str">
        <f>IF(AND($AM3620&lt;&gt;"",$AS3620="✓"),SUMPRODUCT(($AM$11:$AM3620&lt;&gt;"")*($AS$11:$AS3620="✓")),"")</f>
        <v/>
      </c>
      <c r="BA3620" s="21" t="str">
        <f>IF($AL3620="","",$AL3620&amp;"|"&amp;COUNTIF($AL$11:$AL3620,$AL3620))</f>
        <v/>
      </c>
    </row>
    <row r="3621" spans="38:53" ht="15" customHeight="1" x14ac:dyDescent="0.25">
      <c r="AL3621" s="17"/>
      <c r="AM3621" s="12"/>
      <c r="AN3621" s="18"/>
      <c r="AO3621" s="18"/>
      <c r="AP3621" s="10"/>
      <c r="AQ3621" s="10"/>
      <c r="AR3621" s="19"/>
      <c r="AS3621" s="20"/>
      <c r="AT3621" s="19"/>
      <c r="AV3621" s="21">
        <f>IF(AND($AL3621&lt;&gt;"",COUNTIF($AL$11:$AL3621,$AL3621)=1),1,0)</f>
        <v>0</v>
      </c>
      <c r="AW3621" s="21">
        <f t="shared" si="199"/>
        <v>2</v>
      </c>
      <c r="AX3621" s="21" t="str">
        <f t="shared" si="198"/>
        <v/>
      </c>
      <c r="AY3621" s="21" t="str">
        <f>IF(AND($AM3621&lt;&gt;"",$AS3621&lt;&gt;"✓"),SUMPRODUCT(($AM$11:$AM3621&lt;&gt;"")*($AS$11:$AS3621&lt;&gt;"✓")),"")</f>
        <v/>
      </c>
      <c r="AZ3621" s="21" t="str">
        <f>IF(AND($AM3621&lt;&gt;"",$AS3621="✓"),SUMPRODUCT(($AM$11:$AM3621&lt;&gt;"")*($AS$11:$AS3621="✓")),"")</f>
        <v/>
      </c>
      <c r="BA3621" s="21" t="str">
        <f>IF($AL3621="","",$AL3621&amp;"|"&amp;COUNTIF($AL$11:$AL3621,$AL3621))</f>
        <v/>
      </c>
    </row>
    <row r="3622" spans="38:53" ht="15" customHeight="1" x14ac:dyDescent="0.25">
      <c r="AL3622" s="31"/>
      <c r="AM3622" s="26"/>
      <c r="AN3622" s="32"/>
      <c r="AO3622" s="32"/>
      <c r="AP3622" s="24"/>
      <c r="AQ3622" s="24"/>
      <c r="AR3622" s="33"/>
      <c r="AS3622" s="34"/>
      <c r="AT3622" s="33"/>
      <c r="AV3622" s="21">
        <f>IF(AND($AL3622&lt;&gt;"",COUNTIF($AL$11:$AL3622,$AL3622)=1),1,0)</f>
        <v>0</v>
      </c>
      <c r="AW3622" s="21">
        <f t="shared" si="199"/>
        <v>2</v>
      </c>
      <c r="AX3622" s="21" t="str">
        <f t="shared" si="198"/>
        <v/>
      </c>
      <c r="AY3622" s="21" t="str">
        <f>IF(AND($AM3622&lt;&gt;"",$AS3622&lt;&gt;"✓"),SUMPRODUCT(($AM$11:$AM3622&lt;&gt;"")*($AS$11:$AS3622&lt;&gt;"✓")),"")</f>
        <v/>
      </c>
      <c r="AZ3622" s="21" t="str">
        <f>IF(AND($AM3622&lt;&gt;"",$AS3622="✓"),SUMPRODUCT(($AM$11:$AM3622&lt;&gt;"")*($AS$11:$AS3622="✓")),"")</f>
        <v/>
      </c>
      <c r="BA3622" s="21" t="str">
        <f>IF($AL3622="","",$AL3622&amp;"|"&amp;COUNTIF($AL$11:$AL3622,$AL3622))</f>
        <v/>
      </c>
    </row>
    <row r="3623" spans="38:53" ht="15" customHeight="1" x14ac:dyDescent="0.25">
      <c r="AL3623" s="17"/>
      <c r="AM3623" s="12"/>
      <c r="AN3623" s="18"/>
      <c r="AO3623" s="18"/>
      <c r="AP3623" s="10"/>
      <c r="AQ3623" s="10"/>
      <c r="AR3623" s="19"/>
      <c r="AS3623" s="20"/>
      <c r="AT3623" s="19"/>
      <c r="AV3623" s="21">
        <f>IF(AND($AL3623&lt;&gt;"",COUNTIF($AL$11:$AL3623,$AL3623)=1),1,0)</f>
        <v>0</v>
      </c>
      <c r="AW3623" s="21">
        <f t="shared" si="199"/>
        <v>2</v>
      </c>
      <c r="AX3623" s="21" t="str">
        <f t="shared" si="198"/>
        <v/>
      </c>
      <c r="AY3623" s="21" t="str">
        <f>IF(AND($AM3623&lt;&gt;"",$AS3623&lt;&gt;"✓"),SUMPRODUCT(($AM$11:$AM3623&lt;&gt;"")*($AS$11:$AS3623&lt;&gt;"✓")),"")</f>
        <v/>
      </c>
      <c r="AZ3623" s="21" t="str">
        <f>IF(AND($AM3623&lt;&gt;"",$AS3623="✓"),SUMPRODUCT(($AM$11:$AM3623&lt;&gt;"")*($AS$11:$AS3623="✓")),"")</f>
        <v/>
      </c>
      <c r="BA3623" s="21" t="str">
        <f>IF($AL3623="","",$AL3623&amp;"|"&amp;COUNTIF($AL$11:$AL3623,$AL3623))</f>
        <v/>
      </c>
    </row>
    <row r="3624" spans="38:53" ht="15" customHeight="1" x14ac:dyDescent="0.25">
      <c r="AL3624" s="31"/>
      <c r="AM3624" s="26"/>
      <c r="AN3624" s="32"/>
      <c r="AO3624" s="32"/>
      <c r="AP3624" s="24"/>
      <c r="AQ3624" s="24"/>
      <c r="AR3624" s="33"/>
      <c r="AS3624" s="34"/>
      <c r="AT3624" s="33"/>
      <c r="AV3624" s="21">
        <f>IF(AND($AL3624&lt;&gt;"",COUNTIF($AL$11:$AL3624,$AL3624)=1),1,0)</f>
        <v>0</v>
      </c>
      <c r="AW3624" s="21">
        <f t="shared" si="199"/>
        <v>2</v>
      </c>
      <c r="AX3624" s="21" t="str">
        <f t="shared" si="198"/>
        <v/>
      </c>
      <c r="AY3624" s="21" t="str">
        <f>IF(AND($AM3624&lt;&gt;"",$AS3624&lt;&gt;"✓"),SUMPRODUCT(($AM$11:$AM3624&lt;&gt;"")*($AS$11:$AS3624&lt;&gt;"✓")),"")</f>
        <v/>
      </c>
      <c r="AZ3624" s="21" t="str">
        <f>IF(AND($AM3624&lt;&gt;"",$AS3624="✓"),SUMPRODUCT(($AM$11:$AM3624&lt;&gt;"")*($AS$11:$AS3624="✓")),"")</f>
        <v/>
      </c>
      <c r="BA3624" s="21" t="str">
        <f>IF($AL3624="","",$AL3624&amp;"|"&amp;COUNTIF($AL$11:$AL3624,$AL3624))</f>
        <v/>
      </c>
    </row>
    <row r="3625" spans="38:53" ht="15" customHeight="1" x14ac:dyDescent="0.25">
      <c r="AL3625" s="17"/>
      <c r="AM3625" s="12"/>
      <c r="AN3625" s="18"/>
      <c r="AO3625" s="18"/>
      <c r="AP3625" s="10"/>
      <c r="AQ3625" s="10"/>
      <c r="AR3625" s="19"/>
      <c r="AS3625" s="20"/>
      <c r="AT3625" s="19"/>
      <c r="AV3625" s="21">
        <f>IF(AND($AL3625&lt;&gt;"",COUNTIF($AL$11:$AL3625,$AL3625)=1),1,0)</f>
        <v>0</v>
      </c>
      <c r="AW3625" s="21">
        <f t="shared" si="199"/>
        <v>2</v>
      </c>
      <c r="AX3625" s="21" t="str">
        <f t="shared" si="198"/>
        <v/>
      </c>
      <c r="AY3625" s="21" t="str">
        <f>IF(AND($AM3625&lt;&gt;"",$AS3625&lt;&gt;"✓"),SUMPRODUCT(($AM$11:$AM3625&lt;&gt;"")*($AS$11:$AS3625&lt;&gt;"✓")),"")</f>
        <v/>
      </c>
      <c r="AZ3625" s="21" t="str">
        <f>IF(AND($AM3625&lt;&gt;"",$AS3625="✓"),SUMPRODUCT(($AM$11:$AM3625&lt;&gt;"")*($AS$11:$AS3625="✓")),"")</f>
        <v/>
      </c>
      <c r="BA3625" s="21" t="str">
        <f>IF($AL3625="","",$AL3625&amp;"|"&amp;COUNTIF($AL$11:$AL3625,$AL3625))</f>
        <v/>
      </c>
    </row>
    <row r="3626" spans="38:53" ht="15" customHeight="1" x14ac:dyDescent="0.25">
      <c r="AL3626" s="31"/>
      <c r="AM3626" s="26"/>
      <c r="AN3626" s="32"/>
      <c r="AO3626" s="32"/>
      <c r="AP3626" s="24"/>
      <c r="AQ3626" s="24"/>
      <c r="AR3626" s="33"/>
      <c r="AS3626" s="34"/>
      <c r="AT3626" s="33"/>
      <c r="AV3626" s="21">
        <f>IF(AND($AL3626&lt;&gt;"",COUNTIF($AL$11:$AL3626,$AL3626)=1),1,0)</f>
        <v>0</v>
      </c>
      <c r="AW3626" s="21">
        <f t="shared" si="199"/>
        <v>2</v>
      </c>
      <c r="AX3626" s="21" t="str">
        <f t="shared" si="198"/>
        <v/>
      </c>
      <c r="AY3626" s="21" t="str">
        <f>IF(AND($AM3626&lt;&gt;"",$AS3626&lt;&gt;"✓"),SUMPRODUCT(($AM$11:$AM3626&lt;&gt;"")*($AS$11:$AS3626&lt;&gt;"✓")),"")</f>
        <v/>
      </c>
      <c r="AZ3626" s="21" t="str">
        <f>IF(AND($AM3626&lt;&gt;"",$AS3626="✓"),SUMPRODUCT(($AM$11:$AM3626&lt;&gt;"")*($AS$11:$AS3626="✓")),"")</f>
        <v/>
      </c>
      <c r="BA3626" s="21" t="str">
        <f>IF($AL3626="","",$AL3626&amp;"|"&amp;COUNTIF($AL$11:$AL3626,$AL3626))</f>
        <v/>
      </c>
    </row>
    <row r="3627" spans="38:53" ht="15" customHeight="1" x14ac:dyDescent="0.25">
      <c r="AL3627" s="17"/>
      <c r="AM3627" s="12"/>
      <c r="AN3627" s="18"/>
      <c r="AO3627" s="18"/>
      <c r="AP3627" s="10"/>
      <c r="AQ3627" s="10"/>
      <c r="AR3627" s="19"/>
      <c r="AS3627" s="20"/>
      <c r="AT3627" s="19"/>
      <c r="AV3627" s="21">
        <f>IF(AND($AL3627&lt;&gt;"",COUNTIF($AL$11:$AL3627,$AL3627)=1),1,0)</f>
        <v>0</v>
      </c>
      <c r="AW3627" s="21">
        <f t="shared" si="199"/>
        <v>2</v>
      </c>
      <c r="AX3627" s="21" t="str">
        <f t="shared" si="198"/>
        <v/>
      </c>
      <c r="AY3627" s="21" t="str">
        <f>IF(AND($AM3627&lt;&gt;"",$AS3627&lt;&gt;"✓"),SUMPRODUCT(($AM$11:$AM3627&lt;&gt;"")*($AS$11:$AS3627&lt;&gt;"✓")),"")</f>
        <v/>
      </c>
      <c r="AZ3627" s="21" t="str">
        <f>IF(AND($AM3627&lt;&gt;"",$AS3627="✓"),SUMPRODUCT(($AM$11:$AM3627&lt;&gt;"")*($AS$11:$AS3627="✓")),"")</f>
        <v/>
      </c>
      <c r="BA3627" s="21" t="str">
        <f>IF($AL3627="","",$AL3627&amp;"|"&amp;COUNTIF($AL$11:$AL3627,$AL3627))</f>
        <v/>
      </c>
    </row>
    <row r="3628" spans="38:53" ht="15" customHeight="1" x14ac:dyDescent="0.25">
      <c r="AL3628" s="31"/>
      <c r="AM3628" s="26"/>
      <c r="AN3628" s="32"/>
      <c r="AO3628" s="32"/>
      <c r="AP3628" s="24"/>
      <c r="AQ3628" s="24"/>
      <c r="AR3628" s="33"/>
      <c r="AS3628" s="34"/>
      <c r="AT3628" s="33"/>
      <c r="AV3628" s="21">
        <f>IF(AND($AL3628&lt;&gt;"",COUNTIF($AL$11:$AL3628,$AL3628)=1),1,0)</f>
        <v>0</v>
      </c>
      <c r="AW3628" s="21">
        <f t="shared" si="199"/>
        <v>2</v>
      </c>
      <c r="AX3628" s="21" t="str">
        <f t="shared" si="198"/>
        <v/>
      </c>
      <c r="AY3628" s="21" t="str">
        <f>IF(AND($AM3628&lt;&gt;"",$AS3628&lt;&gt;"✓"),SUMPRODUCT(($AM$11:$AM3628&lt;&gt;"")*($AS$11:$AS3628&lt;&gt;"✓")),"")</f>
        <v/>
      </c>
      <c r="AZ3628" s="21" t="str">
        <f>IF(AND($AM3628&lt;&gt;"",$AS3628="✓"),SUMPRODUCT(($AM$11:$AM3628&lt;&gt;"")*($AS$11:$AS3628="✓")),"")</f>
        <v/>
      </c>
      <c r="BA3628" s="21" t="str">
        <f>IF($AL3628="","",$AL3628&amp;"|"&amp;COUNTIF($AL$11:$AL3628,$AL3628))</f>
        <v/>
      </c>
    </row>
    <row r="3629" spans="38:53" ht="15" customHeight="1" x14ac:dyDescent="0.25">
      <c r="AL3629" s="17"/>
      <c r="AM3629" s="12"/>
      <c r="AN3629" s="18"/>
      <c r="AO3629" s="18"/>
      <c r="AP3629" s="10"/>
      <c r="AQ3629" s="10"/>
      <c r="AR3629" s="19"/>
      <c r="AS3629" s="20"/>
      <c r="AT3629" s="19"/>
      <c r="AV3629" s="21">
        <f>IF(AND($AL3629&lt;&gt;"",COUNTIF($AL$11:$AL3629,$AL3629)=1),1,0)</f>
        <v>0</v>
      </c>
      <c r="AW3629" s="21">
        <f t="shared" si="199"/>
        <v>2</v>
      </c>
      <c r="AX3629" s="21" t="str">
        <f t="shared" si="198"/>
        <v/>
      </c>
      <c r="AY3629" s="21" t="str">
        <f>IF(AND($AM3629&lt;&gt;"",$AS3629&lt;&gt;"✓"),SUMPRODUCT(($AM$11:$AM3629&lt;&gt;"")*($AS$11:$AS3629&lt;&gt;"✓")),"")</f>
        <v/>
      </c>
      <c r="AZ3629" s="21" t="str">
        <f>IF(AND($AM3629&lt;&gt;"",$AS3629="✓"),SUMPRODUCT(($AM$11:$AM3629&lt;&gt;"")*($AS$11:$AS3629="✓")),"")</f>
        <v/>
      </c>
      <c r="BA3629" s="21" t="str">
        <f>IF($AL3629="","",$AL3629&amp;"|"&amp;COUNTIF($AL$11:$AL3629,$AL3629))</f>
        <v/>
      </c>
    </row>
    <row r="3630" spans="38:53" ht="15" customHeight="1" x14ac:dyDescent="0.25">
      <c r="AL3630" s="31"/>
      <c r="AM3630" s="26"/>
      <c r="AN3630" s="32"/>
      <c r="AO3630" s="32"/>
      <c r="AP3630" s="24"/>
      <c r="AQ3630" s="24"/>
      <c r="AR3630" s="33"/>
      <c r="AS3630" s="34"/>
      <c r="AT3630" s="33"/>
      <c r="AV3630" s="21">
        <f>IF(AND($AL3630&lt;&gt;"",COUNTIF($AL$11:$AL3630,$AL3630)=1),1,0)</f>
        <v>0</v>
      </c>
      <c r="AW3630" s="21">
        <f t="shared" si="199"/>
        <v>2</v>
      </c>
      <c r="AX3630" s="21" t="str">
        <f t="shared" si="198"/>
        <v/>
      </c>
      <c r="AY3630" s="21" t="str">
        <f>IF(AND($AM3630&lt;&gt;"",$AS3630&lt;&gt;"✓"),SUMPRODUCT(($AM$11:$AM3630&lt;&gt;"")*($AS$11:$AS3630&lt;&gt;"✓")),"")</f>
        <v/>
      </c>
      <c r="AZ3630" s="21" t="str">
        <f>IF(AND($AM3630&lt;&gt;"",$AS3630="✓"),SUMPRODUCT(($AM$11:$AM3630&lt;&gt;"")*($AS$11:$AS3630="✓")),"")</f>
        <v/>
      </c>
      <c r="BA3630" s="21" t="str">
        <f>IF($AL3630="","",$AL3630&amp;"|"&amp;COUNTIF($AL$11:$AL3630,$AL3630))</f>
        <v/>
      </c>
    </row>
    <row r="3631" spans="38:53" ht="15" customHeight="1" x14ac:dyDescent="0.25">
      <c r="AL3631" s="17"/>
      <c r="AM3631" s="12"/>
      <c r="AN3631" s="18"/>
      <c r="AO3631" s="18"/>
      <c r="AP3631" s="10"/>
      <c r="AQ3631" s="10"/>
      <c r="AR3631" s="19"/>
      <c r="AS3631" s="20"/>
      <c r="AT3631" s="19"/>
      <c r="AV3631" s="21">
        <f>IF(AND($AL3631&lt;&gt;"",COUNTIF($AL$11:$AL3631,$AL3631)=1),1,0)</f>
        <v>0</v>
      </c>
      <c r="AW3631" s="21">
        <f t="shared" si="199"/>
        <v>2</v>
      </c>
      <c r="AX3631" s="21" t="str">
        <f t="shared" si="198"/>
        <v/>
      </c>
      <c r="AY3631" s="21" t="str">
        <f>IF(AND($AM3631&lt;&gt;"",$AS3631&lt;&gt;"✓"),SUMPRODUCT(($AM$11:$AM3631&lt;&gt;"")*($AS$11:$AS3631&lt;&gt;"✓")),"")</f>
        <v/>
      </c>
      <c r="AZ3631" s="21" t="str">
        <f>IF(AND($AM3631&lt;&gt;"",$AS3631="✓"),SUMPRODUCT(($AM$11:$AM3631&lt;&gt;"")*($AS$11:$AS3631="✓")),"")</f>
        <v/>
      </c>
      <c r="BA3631" s="21" t="str">
        <f>IF($AL3631="","",$AL3631&amp;"|"&amp;COUNTIF($AL$11:$AL3631,$AL3631))</f>
        <v/>
      </c>
    </row>
    <row r="3632" spans="38:53" ht="15" customHeight="1" x14ac:dyDescent="0.25">
      <c r="AL3632" s="31"/>
      <c r="AM3632" s="26"/>
      <c r="AN3632" s="32"/>
      <c r="AO3632" s="32"/>
      <c r="AP3632" s="24"/>
      <c r="AQ3632" s="24"/>
      <c r="AR3632" s="33"/>
      <c r="AS3632" s="34"/>
      <c r="AT3632" s="33"/>
      <c r="AV3632" s="21">
        <f>IF(AND($AL3632&lt;&gt;"",COUNTIF($AL$11:$AL3632,$AL3632)=1),1,0)</f>
        <v>0</v>
      </c>
      <c r="AW3632" s="21">
        <f t="shared" si="199"/>
        <v>2</v>
      </c>
      <c r="AX3632" s="21" t="str">
        <f t="shared" si="198"/>
        <v/>
      </c>
      <c r="AY3632" s="21" t="str">
        <f>IF(AND($AM3632&lt;&gt;"",$AS3632&lt;&gt;"✓"),SUMPRODUCT(($AM$11:$AM3632&lt;&gt;"")*($AS$11:$AS3632&lt;&gt;"✓")),"")</f>
        <v/>
      </c>
      <c r="AZ3632" s="21" t="str">
        <f>IF(AND($AM3632&lt;&gt;"",$AS3632="✓"),SUMPRODUCT(($AM$11:$AM3632&lt;&gt;"")*($AS$11:$AS3632="✓")),"")</f>
        <v/>
      </c>
      <c r="BA3632" s="21" t="str">
        <f>IF($AL3632="","",$AL3632&amp;"|"&amp;COUNTIF($AL$11:$AL3632,$AL3632))</f>
        <v/>
      </c>
    </row>
    <row r="3633" spans="38:53" ht="15" customHeight="1" x14ac:dyDescent="0.25">
      <c r="AL3633" s="17"/>
      <c r="AM3633" s="12"/>
      <c r="AN3633" s="18"/>
      <c r="AO3633" s="18"/>
      <c r="AP3633" s="10"/>
      <c r="AQ3633" s="10"/>
      <c r="AR3633" s="19"/>
      <c r="AS3633" s="20"/>
      <c r="AT3633" s="19"/>
      <c r="AV3633" s="21">
        <f>IF(AND($AL3633&lt;&gt;"",COUNTIF($AL$11:$AL3633,$AL3633)=1),1,0)</f>
        <v>0</v>
      </c>
      <c r="AW3633" s="21">
        <f t="shared" si="199"/>
        <v>2</v>
      </c>
      <c r="AX3633" s="21" t="str">
        <f t="shared" si="198"/>
        <v/>
      </c>
      <c r="AY3633" s="21" t="str">
        <f>IF(AND($AM3633&lt;&gt;"",$AS3633&lt;&gt;"✓"),SUMPRODUCT(($AM$11:$AM3633&lt;&gt;"")*($AS$11:$AS3633&lt;&gt;"✓")),"")</f>
        <v/>
      </c>
      <c r="AZ3633" s="21" t="str">
        <f>IF(AND($AM3633&lt;&gt;"",$AS3633="✓"),SUMPRODUCT(($AM$11:$AM3633&lt;&gt;"")*($AS$11:$AS3633="✓")),"")</f>
        <v/>
      </c>
      <c r="BA3633" s="21" t="str">
        <f>IF($AL3633="","",$AL3633&amp;"|"&amp;COUNTIF($AL$11:$AL3633,$AL3633))</f>
        <v/>
      </c>
    </row>
    <row r="3634" spans="38:53" ht="15" customHeight="1" x14ac:dyDescent="0.25">
      <c r="AL3634" s="31"/>
      <c r="AM3634" s="26"/>
      <c r="AN3634" s="32"/>
      <c r="AO3634" s="32"/>
      <c r="AP3634" s="24"/>
      <c r="AQ3634" s="24"/>
      <c r="AR3634" s="33"/>
      <c r="AS3634" s="34"/>
      <c r="AT3634" s="33"/>
      <c r="AV3634" s="21">
        <f>IF(AND($AL3634&lt;&gt;"",COUNTIF($AL$11:$AL3634,$AL3634)=1),1,0)</f>
        <v>0</v>
      </c>
      <c r="AW3634" s="21">
        <f t="shared" si="199"/>
        <v>2</v>
      </c>
      <c r="AX3634" s="21" t="str">
        <f t="shared" si="198"/>
        <v/>
      </c>
      <c r="AY3634" s="21" t="str">
        <f>IF(AND($AM3634&lt;&gt;"",$AS3634&lt;&gt;"✓"),SUMPRODUCT(($AM$11:$AM3634&lt;&gt;"")*($AS$11:$AS3634&lt;&gt;"✓")),"")</f>
        <v/>
      </c>
      <c r="AZ3634" s="21" t="str">
        <f>IF(AND($AM3634&lt;&gt;"",$AS3634="✓"),SUMPRODUCT(($AM$11:$AM3634&lt;&gt;"")*($AS$11:$AS3634="✓")),"")</f>
        <v/>
      </c>
      <c r="BA3634" s="21" t="str">
        <f>IF($AL3634="","",$AL3634&amp;"|"&amp;COUNTIF($AL$11:$AL3634,$AL3634))</f>
        <v/>
      </c>
    </row>
    <row r="3635" spans="38:53" ht="15" customHeight="1" x14ac:dyDescent="0.25">
      <c r="AL3635" s="17"/>
      <c r="AM3635" s="12"/>
      <c r="AN3635" s="18"/>
      <c r="AO3635" s="18"/>
      <c r="AP3635" s="10"/>
      <c r="AQ3635" s="10"/>
      <c r="AR3635" s="19"/>
      <c r="AS3635" s="20"/>
      <c r="AT3635" s="19"/>
      <c r="AV3635" s="21">
        <f>IF(AND($AL3635&lt;&gt;"",COUNTIF($AL$11:$AL3635,$AL3635)=1),1,0)</f>
        <v>0</v>
      </c>
      <c r="AW3635" s="21">
        <f t="shared" si="199"/>
        <v>2</v>
      </c>
      <c r="AX3635" s="21" t="str">
        <f t="shared" si="198"/>
        <v/>
      </c>
      <c r="AY3635" s="21" t="str">
        <f>IF(AND($AM3635&lt;&gt;"",$AS3635&lt;&gt;"✓"),SUMPRODUCT(($AM$11:$AM3635&lt;&gt;"")*($AS$11:$AS3635&lt;&gt;"✓")),"")</f>
        <v/>
      </c>
      <c r="AZ3635" s="21" t="str">
        <f>IF(AND($AM3635&lt;&gt;"",$AS3635="✓"),SUMPRODUCT(($AM$11:$AM3635&lt;&gt;"")*($AS$11:$AS3635="✓")),"")</f>
        <v/>
      </c>
      <c r="BA3635" s="21" t="str">
        <f>IF($AL3635="","",$AL3635&amp;"|"&amp;COUNTIF($AL$11:$AL3635,$AL3635))</f>
        <v/>
      </c>
    </row>
    <row r="3636" spans="38:53" ht="15" customHeight="1" x14ac:dyDescent="0.25">
      <c r="AL3636" s="31"/>
      <c r="AM3636" s="26"/>
      <c r="AN3636" s="32"/>
      <c r="AO3636" s="32"/>
      <c r="AP3636" s="24"/>
      <c r="AQ3636" s="24"/>
      <c r="AR3636" s="33"/>
      <c r="AS3636" s="34"/>
      <c r="AT3636" s="33"/>
      <c r="AV3636" s="21">
        <f>IF(AND($AL3636&lt;&gt;"",COUNTIF($AL$11:$AL3636,$AL3636)=1),1,0)</f>
        <v>0</v>
      </c>
      <c r="AW3636" s="21">
        <f t="shared" si="199"/>
        <v>2</v>
      </c>
      <c r="AX3636" s="21" t="str">
        <f t="shared" si="198"/>
        <v/>
      </c>
      <c r="AY3636" s="21" t="str">
        <f>IF(AND($AM3636&lt;&gt;"",$AS3636&lt;&gt;"✓"),SUMPRODUCT(($AM$11:$AM3636&lt;&gt;"")*($AS$11:$AS3636&lt;&gt;"✓")),"")</f>
        <v/>
      </c>
      <c r="AZ3636" s="21" t="str">
        <f>IF(AND($AM3636&lt;&gt;"",$AS3636="✓"),SUMPRODUCT(($AM$11:$AM3636&lt;&gt;"")*($AS$11:$AS3636="✓")),"")</f>
        <v/>
      </c>
      <c r="BA3636" s="21" t="str">
        <f>IF($AL3636="","",$AL3636&amp;"|"&amp;COUNTIF($AL$11:$AL3636,$AL3636))</f>
        <v/>
      </c>
    </row>
    <row r="3637" spans="38:53" ht="15" customHeight="1" x14ac:dyDescent="0.25">
      <c r="AL3637" s="17"/>
      <c r="AM3637" s="12"/>
      <c r="AN3637" s="18"/>
      <c r="AO3637" s="18"/>
      <c r="AP3637" s="10"/>
      <c r="AQ3637" s="10"/>
      <c r="AR3637" s="19"/>
      <c r="AS3637" s="20"/>
      <c r="AT3637" s="19"/>
      <c r="AV3637" s="21">
        <f>IF(AND($AL3637&lt;&gt;"",COUNTIF($AL$11:$AL3637,$AL3637)=1),1,0)</f>
        <v>0</v>
      </c>
      <c r="AW3637" s="21">
        <f t="shared" si="199"/>
        <v>2</v>
      </c>
      <c r="AX3637" s="21" t="str">
        <f t="shared" si="198"/>
        <v/>
      </c>
      <c r="AY3637" s="21" t="str">
        <f>IF(AND($AM3637&lt;&gt;"",$AS3637&lt;&gt;"✓"),SUMPRODUCT(($AM$11:$AM3637&lt;&gt;"")*($AS$11:$AS3637&lt;&gt;"✓")),"")</f>
        <v/>
      </c>
      <c r="AZ3637" s="21" t="str">
        <f>IF(AND($AM3637&lt;&gt;"",$AS3637="✓"),SUMPRODUCT(($AM$11:$AM3637&lt;&gt;"")*($AS$11:$AS3637="✓")),"")</f>
        <v/>
      </c>
      <c r="BA3637" s="21" t="str">
        <f>IF($AL3637="","",$AL3637&amp;"|"&amp;COUNTIF($AL$11:$AL3637,$AL3637))</f>
        <v/>
      </c>
    </row>
    <row r="3638" spans="38:53" ht="15" customHeight="1" x14ac:dyDescent="0.25">
      <c r="AL3638" s="31"/>
      <c r="AM3638" s="26"/>
      <c r="AN3638" s="32"/>
      <c r="AO3638" s="32"/>
      <c r="AP3638" s="24"/>
      <c r="AQ3638" s="24"/>
      <c r="AR3638" s="33"/>
      <c r="AS3638" s="34"/>
      <c r="AT3638" s="33"/>
      <c r="AV3638" s="21">
        <f>IF(AND($AL3638&lt;&gt;"",COUNTIF($AL$11:$AL3638,$AL3638)=1),1,0)</f>
        <v>0</v>
      </c>
      <c r="AW3638" s="21">
        <f t="shared" si="199"/>
        <v>2</v>
      </c>
      <c r="AX3638" s="21" t="str">
        <f t="shared" si="198"/>
        <v/>
      </c>
      <c r="AY3638" s="21" t="str">
        <f>IF(AND($AM3638&lt;&gt;"",$AS3638&lt;&gt;"✓"),SUMPRODUCT(($AM$11:$AM3638&lt;&gt;"")*($AS$11:$AS3638&lt;&gt;"✓")),"")</f>
        <v/>
      </c>
      <c r="AZ3638" s="21" t="str">
        <f>IF(AND($AM3638&lt;&gt;"",$AS3638="✓"),SUMPRODUCT(($AM$11:$AM3638&lt;&gt;"")*($AS$11:$AS3638="✓")),"")</f>
        <v/>
      </c>
      <c r="BA3638" s="21" t="str">
        <f>IF($AL3638="","",$AL3638&amp;"|"&amp;COUNTIF($AL$11:$AL3638,$AL3638))</f>
        <v/>
      </c>
    </row>
    <row r="3639" spans="38:53" ht="15" customHeight="1" x14ac:dyDescent="0.25">
      <c r="AL3639" s="17"/>
      <c r="AM3639" s="12"/>
      <c r="AN3639" s="18"/>
      <c r="AO3639" s="18"/>
      <c r="AP3639" s="10"/>
      <c r="AQ3639" s="10"/>
      <c r="AR3639" s="19"/>
      <c r="AS3639" s="20"/>
      <c r="AT3639" s="19"/>
      <c r="AV3639" s="21">
        <f>IF(AND($AL3639&lt;&gt;"",COUNTIF($AL$11:$AL3639,$AL3639)=1),1,0)</f>
        <v>0</v>
      </c>
      <c r="AW3639" s="21">
        <f t="shared" si="199"/>
        <v>2</v>
      </c>
      <c r="AX3639" s="21" t="str">
        <f t="shared" si="198"/>
        <v/>
      </c>
      <c r="AY3639" s="21" t="str">
        <f>IF(AND($AM3639&lt;&gt;"",$AS3639&lt;&gt;"✓"),SUMPRODUCT(($AM$11:$AM3639&lt;&gt;"")*($AS$11:$AS3639&lt;&gt;"✓")),"")</f>
        <v/>
      </c>
      <c r="AZ3639" s="21" t="str">
        <f>IF(AND($AM3639&lt;&gt;"",$AS3639="✓"),SUMPRODUCT(($AM$11:$AM3639&lt;&gt;"")*($AS$11:$AS3639="✓")),"")</f>
        <v/>
      </c>
      <c r="BA3639" s="21" t="str">
        <f>IF($AL3639="","",$AL3639&amp;"|"&amp;COUNTIF($AL$11:$AL3639,$AL3639))</f>
        <v/>
      </c>
    </row>
    <row r="3640" spans="38:53" ht="15" customHeight="1" x14ac:dyDescent="0.25">
      <c r="AL3640" s="31"/>
      <c r="AM3640" s="26"/>
      <c r="AN3640" s="32"/>
      <c r="AO3640" s="32"/>
      <c r="AP3640" s="24"/>
      <c r="AQ3640" s="24"/>
      <c r="AR3640" s="33"/>
      <c r="AS3640" s="34"/>
      <c r="AT3640" s="33"/>
      <c r="AV3640" s="21">
        <f>IF(AND($AL3640&lt;&gt;"",COUNTIF($AL$11:$AL3640,$AL3640)=1),1,0)</f>
        <v>0</v>
      </c>
      <c r="AW3640" s="21">
        <f t="shared" si="199"/>
        <v>2</v>
      </c>
      <c r="AX3640" s="21" t="str">
        <f t="shared" si="198"/>
        <v/>
      </c>
      <c r="AY3640" s="21" t="str">
        <f>IF(AND($AM3640&lt;&gt;"",$AS3640&lt;&gt;"✓"),SUMPRODUCT(($AM$11:$AM3640&lt;&gt;"")*($AS$11:$AS3640&lt;&gt;"✓")),"")</f>
        <v/>
      </c>
      <c r="AZ3640" s="21" t="str">
        <f>IF(AND($AM3640&lt;&gt;"",$AS3640="✓"),SUMPRODUCT(($AM$11:$AM3640&lt;&gt;"")*($AS$11:$AS3640="✓")),"")</f>
        <v/>
      </c>
      <c r="BA3640" s="21" t="str">
        <f>IF($AL3640="","",$AL3640&amp;"|"&amp;COUNTIF($AL$11:$AL3640,$AL3640))</f>
        <v/>
      </c>
    </row>
    <row r="3641" spans="38:53" ht="15" customHeight="1" x14ac:dyDescent="0.25">
      <c r="AL3641" s="17"/>
      <c r="AM3641" s="12"/>
      <c r="AN3641" s="18"/>
      <c r="AO3641" s="18"/>
      <c r="AP3641" s="10"/>
      <c r="AQ3641" s="10"/>
      <c r="AR3641" s="19"/>
      <c r="AS3641" s="20"/>
      <c r="AT3641" s="19"/>
      <c r="AV3641" s="21">
        <f>IF(AND($AL3641&lt;&gt;"",COUNTIF($AL$11:$AL3641,$AL3641)=1),1,0)</f>
        <v>0</v>
      </c>
      <c r="AW3641" s="21">
        <f t="shared" si="199"/>
        <v>2</v>
      </c>
      <c r="AX3641" s="21" t="str">
        <f t="shared" si="198"/>
        <v/>
      </c>
      <c r="AY3641" s="21" t="str">
        <f>IF(AND($AM3641&lt;&gt;"",$AS3641&lt;&gt;"✓"),SUMPRODUCT(($AM$11:$AM3641&lt;&gt;"")*($AS$11:$AS3641&lt;&gt;"✓")),"")</f>
        <v/>
      </c>
      <c r="AZ3641" s="21" t="str">
        <f>IF(AND($AM3641&lt;&gt;"",$AS3641="✓"),SUMPRODUCT(($AM$11:$AM3641&lt;&gt;"")*($AS$11:$AS3641="✓")),"")</f>
        <v/>
      </c>
      <c r="BA3641" s="21" t="str">
        <f>IF($AL3641="","",$AL3641&amp;"|"&amp;COUNTIF($AL$11:$AL3641,$AL3641))</f>
        <v/>
      </c>
    </row>
    <row r="3642" spans="38:53" ht="15" customHeight="1" x14ac:dyDescent="0.25">
      <c r="AL3642" s="31"/>
      <c r="AM3642" s="26"/>
      <c r="AN3642" s="32"/>
      <c r="AO3642" s="32"/>
      <c r="AP3642" s="24"/>
      <c r="AQ3642" s="24"/>
      <c r="AR3642" s="33"/>
      <c r="AS3642" s="34"/>
      <c r="AT3642" s="33"/>
      <c r="AV3642" s="21">
        <f>IF(AND($AL3642&lt;&gt;"",COUNTIF($AL$11:$AL3642,$AL3642)=1),1,0)</f>
        <v>0</v>
      </c>
      <c r="AW3642" s="21">
        <f t="shared" si="199"/>
        <v>2</v>
      </c>
      <c r="AX3642" s="21" t="str">
        <f t="shared" si="198"/>
        <v/>
      </c>
      <c r="AY3642" s="21" t="str">
        <f>IF(AND($AM3642&lt;&gt;"",$AS3642&lt;&gt;"✓"),SUMPRODUCT(($AM$11:$AM3642&lt;&gt;"")*($AS$11:$AS3642&lt;&gt;"✓")),"")</f>
        <v/>
      </c>
      <c r="AZ3642" s="21" t="str">
        <f>IF(AND($AM3642&lt;&gt;"",$AS3642="✓"),SUMPRODUCT(($AM$11:$AM3642&lt;&gt;"")*($AS$11:$AS3642="✓")),"")</f>
        <v/>
      </c>
      <c r="BA3642" s="21" t="str">
        <f>IF($AL3642="","",$AL3642&amp;"|"&amp;COUNTIF($AL$11:$AL3642,$AL3642))</f>
        <v/>
      </c>
    </row>
    <row r="3643" spans="38:53" ht="15" customHeight="1" x14ac:dyDescent="0.25">
      <c r="AL3643" s="17"/>
      <c r="AM3643" s="12"/>
      <c r="AN3643" s="18"/>
      <c r="AO3643" s="18"/>
      <c r="AP3643" s="10"/>
      <c r="AQ3643" s="10"/>
      <c r="AR3643" s="19"/>
      <c r="AS3643" s="20"/>
      <c r="AT3643" s="19"/>
      <c r="AV3643" s="21">
        <f>IF(AND($AL3643&lt;&gt;"",COUNTIF($AL$11:$AL3643,$AL3643)=1),1,0)</f>
        <v>0</v>
      </c>
      <c r="AW3643" s="21">
        <f t="shared" si="199"/>
        <v>2</v>
      </c>
      <c r="AX3643" s="21" t="str">
        <f t="shared" si="198"/>
        <v/>
      </c>
      <c r="AY3643" s="21" t="str">
        <f>IF(AND($AM3643&lt;&gt;"",$AS3643&lt;&gt;"✓"),SUMPRODUCT(($AM$11:$AM3643&lt;&gt;"")*($AS$11:$AS3643&lt;&gt;"✓")),"")</f>
        <v/>
      </c>
      <c r="AZ3643" s="21" t="str">
        <f>IF(AND($AM3643&lt;&gt;"",$AS3643="✓"),SUMPRODUCT(($AM$11:$AM3643&lt;&gt;"")*($AS$11:$AS3643="✓")),"")</f>
        <v/>
      </c>
      <c r="BA3643" s="21" t="str">
        <f>IF($AL3643="","",$AL3643&amp;"|"&amp;COUNTIF($AL$11:$AL3643,$AL3643))</f>
        <v/>
      </c>
    </row>
    <row r="3644" spans="38:53" ht="15" customHeight="1" x14ac:dyDescent="0.25">
      <c r="AL3644" s="31"/>
      <c r="AM3644" s="26"/>
      <c r="AN3644" s="32"/>
      <c r="AO3644" s="32"/>
      <c r="AP3644" s="24"/>
      <c r="AQ3644" s="24"/>
      <c r="AR3644" s="33"/>
      <c r="AS3644" s="34"/>
      <c r="AT3644" s="33"/>
      <c r="AV3644" s="21">
        <f>IF(AND($AL3644&lt;&gt;"",COUNTIF($AL$11:$AL3644,$AL3644)=1),1,0)</f>
        <v>0</v>
      </c>
      <c r="AW3644" s="21">
        <f t="shared" si="199"/>
        <v>2</v>
      </c>
      <c r="AX3644" s="21" t="str">
        <f t="shared" si="198"/>
        <v/>
      </c>
      <c r="AY3644" s="21" t="str">
        <f>IF(AND($AM3644&lt;&gt;"",$AS3644&lt;&gt;"✓"),SUMPRODUCT(($AM$11:$AM3644&lt;&gt;"")*($AS$11:$AS3644&lt;&gt;"✓")),"")</f>
        <v/>
      </c>
      <c r="AZ3644" s="21" t="str">
        <f>IF(AND($AM3644&lt;&gt;"",$AS3644="✓"),SUMPRODUCT(($AM$11:$AM3644&lt;&gt;"")*($AS$11:$AS3644="✓")),"")</f>
        <v/>
      </c>
      <c r="BA3644" s="21" t="str">
        <f>IF($AL3644="","",$AL3644&amp;"|"&amp;COUNTIF($AL$11:$AL3644,$AL3644))</f>
        <v/>
      </c>
    </row>
    <row r="3645" spans="38:53" ht="15" customHeight="1" x14ac:dyDescent="0.25">
      <c r="AL3645" s="17"/>
      <c r="AM3645" s="12"/>
      <c r="AN3645" s="18"/>
      <c r="AO3645" s="18"/>
      <c r="AP3645" s="10"/>
      <c r="AQ3645" s="10"/>
      <c r="AR3645" s="19"/>
      <c r="AS3645" s="20"/>
      <c r="AT3645" s="19"/>
      <c r="AV3645" s="21">
        <f>IF(AND($AL3645&lt;&gt;"",COUNTIF($AL$11:$AL3645,$AL3645)=1),1,0)</f>
        <v>0</v>
      </c>
      <c r="AW3645" s="21">
        <f t="shared" si="199"/>
        <v>2</v>
      </c>
      <c r="AX3645" s="21" t="str">
        <f t="shared" si="198"/>
        <v/>
      </c>
      <c r="AY3645" s="21" t="str">
        <f>IF(AND($AM3645&lt;&gt;"",$AS3645&lt;&gt;"✓"),SUMPRODUCT(($AM$11:$AM3645&lt;&gt;"")*($AS$11:$AS3645&lt;&gt;"✓")),"")</f>
        <v/>
      </c>
      <c r="AZ3645" s="21" t="str">
        <f>IF(AND($AM3645&lt;&gt;"",$AS3645="✓"),SUMPRODUCT(($AM$11:$AM3645&lt;&gt;"")*($AS$11:$AS3645="✓")),"")</f>
        <v/>
      </c>
      <c r="BA3645" s="21" t="str">
        <f>IF($AL3645="","",$AL3645&amp;"|"&amp;COUNTIF($AL$11:$AL3645,$AL3645))</f>
        <v/>
      </c>
    </row>
    <row r="3646" spans="38:53" ht="15" customHeight="1" x14ac:dyDescent="0.25">
      <c r="AL3646" s="31"/>
      <c r="AM3646" s="26"/>
      <c r="AN3646" s="32"/>
      <c r="AO3646" s="32"/>
      <c r="AP3646" s="24"/>
      <c r="AQ3646" s="24"/>
      <c r="AR3646" s="33"/>
      <c r="AS3646" s="34"/>
      <c r="AT3646" s="33"/>
      <c r="AV3646" s="21">
        <f>IF(AND($AL3646&lt;&gt;"",COUNTIF($AL$11:$AL3646,$AL3646)=1),1,0)</f>
        <v>0</v>
      </c>
      <c r="AW3646" s="21">
        <f t="shared" si="199"/>
        <v>2</v>
      </c>
      <c r="AX3646" s="21" t="str">
        <f t="shared" si="198"/>
        <v/>
      </c>
      <c r="AY3646" s="21" t="str">
        <f>IF(AND($AM3646&lt;&gt;"",$AS3646&lt;&gt;"✓"),SUMPRODUCT(($AM$11:$AM3646&lt;&gt;"")*($AS$11:$AS3646&lt;&gt;"✓")),"")</f>
        <v/>
      </c>
      <c r="AZ3646" s="21" t="str">
        <f>IF(AND($AM3646&lt;&gt;"",$AS3646="✓"),SUMPRODUCT(($AM$11:$AM3646&lt;&gt;"")*($AS$11:$AS3646="✓")),"")</f>
        <v/>
      </c>
      <c r="BA3646" s="21" t="str">
        <f>IF($AL3646="","",$AL3646&amp;"|"&amp;COUNTIF($AL$11:$AL3646,$AL3646))</f>
        <v/>
      </c>
    </row>
    <row r="3647" spans="38:53" ht="15" customHeight="1" x14ac:dyDescent="0.25">
      <c r="AL3647" s="17"/>
      <c r="AM3647" s="12"/>
      <c r="AN3647" s="18"/>
      <c r="AO3647" s="18"/>
      <c r="AP3647" s="10"/>
      <c r="AQ3647" s="10"/>
      <c r="AR3647" s="19"/>
      <c r="AS3647" s="20"/>
      <c r="AT3647" s="19"/>
      <c r="AV3647" s="21">
        <f>IF(AND($AL3647&lt;&gt;"",COUNTIF($AL$11:$AL3647,$AL3647)=1),1,0)</f>
        <v>0</v>
      </c>
      <c r="AW3647" s="21">
        <f t="shared" si="199"/>
        <v>2</v>
      </c>
      <c r="AX3647" s="21" t="str">
        <f t="shared" si="198"/>
        <v/>
      </c>
      <c r="AY3647" s="21" t="str">
        <f>IF(AND($AM3647&lt;&gt;"",$AS3647&lt;&gt;"✓"),SUMPRODUCT(($AM$11:$AM3647&lt;&gt;"")*($AS$11:$AS3647&lt;&gt;"✓")),"")</f>
        <v/>
      </c>
      <c r="AZ3647" s="21" t="str">
        <f>IF(AND($AM3647&lt;&gt;"",$AS3647="✓"),SUMPRODUCT(($AM$11:$AM3647&lt;&gt;"")*($AS$11:$AS3647="✓")),"")</f>
        <v/>
      </c>
      <c r="BA3647" s="21" t="str">
        <f>IF($AL3647="","",$AL3647&amp;"|"&amp;COUNTIF($AL$11:$AL3647,$AL3647))</f>
        <v/>
      </c>
    </row>
    <row r="3648" spans="38:53" ht="15" customHeight="1" x14ac:dyDescent="0.25">
      <c r="AL3648" s="31"/>
      <c r="AM3648" s="26"/>
      <c r="AN3648" s="32"/>
      <c r="AO3648" s="32"/>
      <c r="AP3648" s="24"/>
      <c r="AQ3648" s="24"/>
      <c r="AR3648" s="33"/>
      <c r="AS3648" s="34"/>
      <c r="AT3648" s="33"/>
      <c r="AV3648" s="21">
        <f>IF(AND($AL3648&lt;&gt;"",COUNTIF($AL$11:$AL3648,$AL3648)=1),1,0)</f>
        <v>0</v>
      </c>
      <c r="AW3648" s="21">
        <f t="shared" si="199"/>
        <v>2</v>
      </c>
      <c r="AX3648" s="21" t="str">
        <f t="shared" si="198"/>
        <v/>
      </c>
      <c r="AY3648" s="21" t="str">
        <f>IF(AND($AM3648&lt;&gt;"",$AS3648&lt;&gt;"✓"),SUMPRODUCT(($AM$11:$AM3648&lt;&gt;"")*($AS$11:$AS3648&lt;&gt;"✓")),"")</f>
        <v/>
      </c>
      <c r="AZ3648" s="21" t="str">
        <f>IF(AND($AM3648&lt;&gt;"",$AS3648="✓"),SUMPRODUCT(($AM$11:$AM3648&lt;&gt;"")*($AS$11:$AS3648="✓")),"")</f>
        <v/>
      </c>
      <c r="BA3648" s="21" t="str">
        <f>IF($AL3648="","",$AL3648&amp;"|"&amp;COUNTIF($AL$11:$AL3648,$AL3648))</f>
        <v/>
      </c>
    </row>
    <row r="3649" spans="38:53" ht="15" customHeight="1" x14ac:dyDescent="0.25">
      <c r="AL3649" s="17"/>
      <c r="AM3649" s="12"/>
      <c r="AN3649" s="18"/>
      <c r="AO3649" s="18"/>
      <c r="AP3649" s="10"/>
      <c r="AQ3649" s="10"/>
      <c r="AR3649" s="19"/>
      <c r="AS3649" s="20"/>
      <c r="AT3649" s="19"/>
      <c r="AV3649" s="21">
        <f>IF(AND($AL3649&lt;&gt;"",COUNTIF($AL$11:$AL3649,$AL3649)=1),1,0)</f>
        <v>0</v>
      </c>
      <c r="AW3649" s="21">
        <f t="shared" si="199"/>
        <v>2</v>
      </c>
      <c r="AX3649" s="21" t="str">
        <f t="shared" si="198"/>
        <v/>
      </c>
      <c r="AY3649" s="21" t="str">
        <f>IF(AND($AM3649&lt;&gt;"",$AS3649&lt;&gt;"✓"),SUMPRODUCT(($AM$11:$AM3649&lt;&gt;"")*($AS$11:$AS3649&lt;&gt;"✓")),"")</f>
        <v/>
      </c>
      <c r="AZ3649" s="21" t="str">
        <f>IF(AND($AM3649&lt;&gt;"",$AS3649="✓"),SUMPRODUCT(($AM$11:$AM3649&lt;&gt;"")*($AS$11:$AS3649="✓")),"")</f>
        <v/>
      </c>
      <c r="BA3649" s="21" t="str">
        <f>IF($AL3649="","",$AL3649&amp;"|"&amp;COUNTIF($AL$11:$AL3649,$AL3649))</f>
        <v/>
      </c>
    </row>
    <row r="3650" spans="38:53" ht="15" customHeight="1" x14ac:dyDescent="0.25">
      <c r="AL3650" s="31"/>
      <c r="AM3650" s="26"/>
      <c r="AN3650" s="32"/>
      <c r="AO3650" s="32"/>
      <c r="AP3650" s="24"/>
      <c r="AQ3650" s="24"/>
      <c r="AR3650" s="33"/>
      <c r="AS3650" s="34"/>
      <c r="AT3650" s="33"/>
      <c r="AV3650" s="21">
        <f>IF(AND($AL3650&lt;&gt;"",COUNTIF($AL$11:$AL3650,$AL3650)=1),1,0)</f>
        <v>0</v>
      </c>
      <c r="AW3650" s="21">
        <f t="shared" si="199"/>
        <v>2</v>
      </c>
      <c r="AX3650" s="21" t="str">
        <f t="shared" si="198"/>
        <v/>
      </c>
      <c r="AY3650" s="21" t="str">
        <f>IF(AND($AM3650&lt;&gt;"",$AS3650&lt;&gt;"✓"),SUMPRODUCT(($AM$11:$AM3650&lt;&gt;"")*($AS$11:$AS3650&lt;&gt;"✓")),"")</f>
        <v/>
      </c>
      <c r="AZ3650" s="21" t="str">
        <f>IF(AND($AM3650&lt;&gt;"",$AS3650="✓"),SUMPRODUCT(($AM$11:$AM3650&lt;&gt;"")*($AS$11:$AS3650="✓")),"")</f>
        <v/>
      </c>
      <c r="BA3650" s="21" t="str">
        <f>IF($AL3650="","",$AL3650&amp;"|"&amp;COUNTIF($AL$11:$AL3650,$AL3650))</f>
        <v/>
      </c>
    </row>
    <row r="3651" spans="38:53" ht="15" customHeight="1" x14ac:dyDescent="0.25">
      <c r="AL3651" s="17"/>
      <c r="AM3651" s="12"/>
      <c r="AN3651" s="18"/>
      <c r="AO3651" s="18"/>
      <c r="AP3651" s="10"/>
      <c r="AQ3651" s="10"/>
      <c r="AR3651" s="19"/>
      <c r="AS3651" s="20"/>
      <c r="AT3651" s="19"/>
      <c r="AV3651" s="21">
        <f>IF(AND($AL3651&lt;&gt;"",COUNTIF($AL$11:$AL3651,$AL3651)=1),1,0)</f>
        <v>0</v>
      </c>
      <c r="AW3651" s="21">
        <f t="shared" si="199"/>
        <v>2</v>
      </c>
      <c r="AX3651" s="21" t="str">
        <f t="shared" si="198"/>
        <v/>
      </c>
      <c r="AY3651" s="21" t="str">
        <f>IF(AND($AM3651&lt;&gt;"",$AS3651&lt;&gt;"✓"),SUMPRODUCT(($AM$11:$AM3651&lt;&gt;"")*($AS$11:$AS3651&lt;&gt;"✓")),"")</f>
        <v/>
      </c>
      <c r="AZ3651" s="21" t="str">
        <f>IF(AND($AM3651&lt;&gt;"",$AS3651="✓"),SUMPRODUCT(($AM$11:$AM3651&lt;&gt;"")*($AS$11:$AS3651="✓")),"")</f>
        <v/>
      </c>
      <c r="BA3651" s="21" t="str">
        <f>IF($AL3651="","",$AL3651&amp;"|"&amp;COUNTIF($AL$11:$AL3651,$AL3651))</f>
        <v/>
      </c>
    </row>
    <row r="3652" spans="38:53" ht="15" customHeight="1" x14ac:dyDescent="0.25">
      <c r="AL3652" s="31"/>
      <c r="AM3652" s="26"/>
      <c r="AN3652" s="32"/>
      <c r="AO3652" s="32"/>
      <c r="AP3652" s="24"/>
      <c r="AQ3652" s="24"/>
      <c r="AR3652" s="33"/>
      <c r="AS3652" s="34"/>
      <c r="AT3652" s="33"/>
      <c r="AV3652" s="21">
        <f>IF(AND($AL3652&lt;&gt;"",COUNTIF($AL$11:$AL3652,$AL3652)=1),1,0)</f>
        <v>0</v>
      </c>
      <c r="AW3652" s="21">
        <f t="shared" si="199"/>
        <v>2</v>
      </c>
      <c r="AX3652" s="21" t="str">
        <f t="shared" si="198"/>
        <v/>
      </c>
      <c r="AY3652" s="21" t="str">
        <f>IF(AND($AM3652&lt;&gt;"",$AS3652&lt;&gt;"✓"),SUMPRODUCT(($AM$11:$AM3652&lt;&gt;"")*($AS$11:$AS3652&lt;&gt;"✓")),"")</f>
        <v/>
      </c>
      <c r="AZ3652" s="21" t="str">
        <f>IF(AND($AM3652&lt;&gt;"",$AS3652="✓"),SUMPRODUCT(($AM$11:$AM3652&lt;&gt;"")*($AS$11:$AS3652="✓")),"")</f>
        <v/>
      </c>
      <c r="BA3652" s="21" t="str">
        <f>IF($AL3652="","",$AL3652&amp;"|"&amp;COUNTIF($AL$11:$AL3652,$AL3652))</f>
        <v/>
      </c>
    </row>
    <row r="3653" spans="38:53" ht="15" customHeight="1" x14ac:dyDescent="0.25">
      <c r="AL3653" s="17"/>
      <c r="AM3653" s="12"/>
      <c r="AN3653" s="18"/>
      <c r="AO3653" s="18"/>
      <c r="AP3653" s="10"/>
      <c r="AQ3653" s="10"/>
      <c r="AR3653" s="19"/>
      <c r="AS3653" s="20"/>
      <c r="AT3653" s="19"/>
      <c r="AV3653" s="21">
        <f>IF(AND($AL3653&lt;&gt;"",COUNTIF($AL$11:$AL3653,$AL3653)=1),1,0)</f>
        <v>0</v>
      </c>
      <c r="AW3653" s="21">
        <f t="shared" si="199"/>
        <v>2</v>
      </c>
      <c r="AX3653" s="21" t="str">
        <f t="shared" si="198"/>
        <v/>
      </c>
      <c r="AY3653" s="21" t="str">
        <f>IF(AND($AM3653&lt;&gt;"",$AS3653&lt;&gt;"✓"),SUMPRODUCT(($AM$11:$AM3653&lt;&gt;"")*($AS$11:$AS3653&lt;&gt;"✓")),"")</f>
        <v/>
      </c>
      <c r="AZ3653" s="21" t="str">
        <f>IF(AND($AM3653&lt;&gt;"",$AS3653="✓"),SUMPRODUCT(($AM$11:$AM3653&lt;&gt;"")*($AS$11:$AS3653="✓")),"")</f>
        <v/>
      </c>
      <c r="BA3653" s="21" t="str">
        <f>IF($AL3653="","",$AL3653&amp;"|"&amp;COUNTIF($AL$11:$AL3653,$AL3653))</f>
        <v/>
      </c>
    </row>
    <row r="3654" spans="38:53" ht="15" customHeight="1" x14ac:dyDescent="0.25">
      <c r="AL3654" s="31"/>
      <c r="AM3654" s="26"/>
      <c r="AN3654" s="32"/>
      <c r="AO3654" s="32"/>
      <c r="AP3654" s="24"/>
      <c r="AQ3654" s="24"/>
      <c r="AR3654" s="33"/>
      <c r="AS3654" s="34"/>
      <c r="AT3654" s="33"/>
      <c r="AV3654" s="21">
        <f>IF(AND($AL3654&lt;&gt;"",COUNTIF($AL$11:$AL3654,$AL3654)=1),1,0)</f>
        <v>0</v>
      </c>
      <c r="AW3654" s="21">
        <f t="shared" si="199"/>
        <v>2</v>
      </c>
      <c r="AX3654" s="21" t="str">
        <f t="shared" si="198"/>
        <v/>
      </c>
      <c r="AY3654" s="21" t="str">
        <f>IF(AND($AM3654&lt;&gt;"",$AS3654&lt;&gt;"✓"),SUMPRODUCT(($AM$11:$AM3654&lt;&gt;"")*($AS$11:$AS3654&lt;&gt;"✓")),"")</f>
        <v/>
      </c>
      <c r="AZ3654" s="21" t="str">
        <f>IF(AND($AM3654&lt;&gt;"",$AS3654="✓"),SUMPRODUCT(($AM$11:$AM3654&lt;&gt;"")*($AS$11:$AS3654="✓")),"")</f>
        <v/>
      </c>
      <c r="BA3654" s="21" t="str">
        <f>IF($AL3654="","",$AL3654&amp;"|"&amp;COUNTIF($AL$11:$AL3654,$AL3654))</f>
        <v/>
      </c>
    </row>
    <row r="3655" spans="38:53" ht="15" customHeight="1" x14ac:dyDescent="0.25">
      <c r="AL3655" s="17"/>
      <c r="AM3655" s="12"/>
      <c r="AN3655" s="18"/>
      <c r="AO3655" s="18"/>
      <c r="AP3655" s="10"/>
      <c r="AQ3655" s="10"/>
      <c r="AR3655" s="19"/>
      <c r="AS3655" s="20"/>
      <c r="AT3655" s="19"/>
      <c r="AV3655" s="21">
        <f>IF(AND($AL3655&lt;&gt;"",COUNTIF($AL$11:$AL3655,$AL3655)=1),1,0)</f>
        <v>0</v>
      </c>
      <c r="AW3655" s="21">
        <f t="shared" si="199"/>
        <v>2</v>
      </c>
      <c r="AX3655" s="21" t="str">
        <f t="shared" si="198"/>
        <v/>
      </c>
      <c r="AY3655" s="21" t="str">
        <f>IF(AND($AM3655&lt;&gt;"",$AS3655&lt;&gt;"✓"),SUMPRODUCT(($AM$11:$AM3655&lt;&gt;"")*($AS$11:$AS3655&lt;&gt;"✓")),"")</f>
        <v/>
      </c>
      <c r="AZ3655" s="21" t="str">
        <f>IF(AND($AM3655&lt;&gt;"",$AS3655="✓"),SUMPRODUCT(($AM$11:$AM3655&lt;&gt;"")*($AS$11:$AS3655="✓")),"")</f>
        <v/>
      </c>
      <c r="BA3655" s="21" t="str">
        <f>IF($AL3655="","",$AL3655&amp;"|"&amp;COUNTIF($AL$11:$AL3655,$AL3655))</f>
        <v/>
      </c>
    </row>
    <row r="3656" spans="38:53" ht="15" customHeight="1" x14ac:dyDescent="0.25">
      <c r="AL3656" s="31"/>
      <c r="AM3656" s="26"/>
      <c r="AN3656" s="32"/>
      <c r="AO3656" s="32"/>
      <c r="AP3656" s="24"/>
      <c r="AQ3656" s="24"/>
      <c r="AR3656" s="33"/>
      <c r="AS3656" s="34"/>
      <c r="AT3656" s="33"/>
      <c r="AV3656" s="21">
        <f>IF(AND($AL3656&lt;&gt;"",COUNTIF($AL$11:$AL3656,$AL3656)=1),1,0)</f>
        <v>0</v>
      </c>
      <c r="AW3656" s="21">
        <f t="shared" si="199"/>
        <v>2</v>
      </c>
      <c r="AX3656" s="21" t="str">
        <f t="shared" si="198"/>
        <v/>
      </c>
      <c r="AY3656" s="21" t="str">
        <f>IF(AND($AM3656&lt;&gt;"",$AS3656&lt;&gt;"✓"),SUMPRODUCT(($AM$11:$AM3656&lt;&gt;"")*($AS$11:$AS3656&lt;&gt;"✓")),"")</f>
        <v/>
      </c>
      <c r="AZ3656" s="21" t="str">
        <f>IF(AND($AM3656&lt;&gt;"",$AS3656="✓"),SUMPRODUCT(($AM$11:$AM3656&lt;&gt;"")*($AS$11:$AS3656="✓")),"")</f>
        <v/>
      </c>
      <c r="BA3656" s="21" t="str">
        <f>IF($AL3656="","",$AL3656&amp;"|"&amp;COUNTIF($AL$11:$AL3656,$AL3656))</f>
        <v/>
      </c>
    </row>
    <row r="3657" spans="38:53" ht="15" customHeight="1" x14ac:dyDescent="0.25">
      <c r="AL3657" s="17"/>
      <c r="AM3657" s="12"/>
      <c r="AN3657" s="18"/>
      <c r="AO3657" s="18"/>
      <c r="AP3657" s="10"/>
      <c r="AQ3657" s="10"/>
      <c r="AR3657" s="19"/>
      <c r="AS3657" s="20"/>
      <c r="AT3657" s="19"/>
      <c r="AV3657" s="21">
        <f>IF(AND($AL3657&lt;&gt;"",COUNTIF($AL$11:$AL3657,$AL3657)=1),1,0)</f>
        <v>0</v>
      </c>
      <c r="AW3657" s="21">
        <f t="shared" si="199"/>
        <v>2</v>
      </c>
      <c r="AX3657" s="21" t="str">
        <f t="shared" si="198"/>
        <v/>
      </c>
      <c r="AY3657" s="21" t="str">
        <f>IF(AND($AM3657&lt;&gt;"",$AS3657&lt;&gt;"✓"),SUMPRODUCT(($AM$11:$AM3657&lt;&gt;"")*($AS$11:$AS3657&lt;&gt;"✓")),"")</f>
        <v/>
      </c>
      <c r="AZ3657" s="21" t="str">
        <f>IF(AND($AM3657&lt;&gt;"",$AS3657="✓"),SUMPRODUCT(($AM$11:$AM3657&lt;&gt;"")*($AS$11:$AS3657="✓")),"")</f>
        <v/>
      </c>
      <c r="BA3657" s="21" t="str">
        <f>IF($AL3657="","",$AL3657&amp;"|"&amp;COUNTIF($AL$11:$AL3657,$AL3657))</f>
        <v/>
      </c>
    </row>
    <row r="3658" spans="38:53" ht="15" customHeight="1" x14ac:dyDescent="0.25">
      <c r="AL3658" s="31"/>
      <c r="AM3658" s="26"/>
      <c r="AN3658" s="32"/>
      <c r="AO3658" s="32"/>
      <c r="AP3658" s="24"/>
      <c r="AQ3658" s="24"/>
      <c r="AR3658" s="33"/>
      <c r="AS3658" s="34"/>
      <c r="AT3658" s="33"/>
      <c r="AV3658" s="21">
        <f>IF(AND($AL3658&lt;&gt;"",COUNTIF($AL$11:$AL3658,$AL3658)=1),1,0)</f>
        <v>0</v>
      </c>
      <c r="AW3658" s="21">
        <f t="shared" si="199"/>
        <v>2</v>
      </c>
      <c r="AX3658" s="21" t="str">
        <f t="shared" si="198"/>
        <v/>
      </c>
      <c r="AY3658" s="21" t="str">
        <f>IF(AND($AM3658&lt;&gt;"",$AS3658&lt;&gt;"✓"),SUMPRODUCT(($AM$11:$AM3658&lt;&gt;"")*($AS$11:$AS3658&lt;&gt;"✓")),"")</f>
        <v/>
      </c>
      <c r="AZ3658" s="21" t="str">
        <f>IF(AND($AM3658&lt;&gt;"",$AS3658="✓"),SUMPRODUCT(($AM$11:$AM3658&lt;&gt;"")*($AS$11:$AS3658="✓")),"")</f>
        <v/>
      </c>
      <c r="BA3658" s="21" t="str">
        <f>IF($AL3658="","",$AL3658&amp;"|"&amp;COUNTIF($AL$11:$AL3658,$AL3658))</f>
        <v/>
      </c>
    </row>
    <row r="3659" spans="38:53" ht="15" customHeight="1" x14ac:dyDescent="0.25">
      <c r="AL3659" s="17"/>
      <c r="AM3659" s="12"/>
      <c r="AN3659" s="18"/>
      <c r="AO3659" s="18"/>
      <c r="AP3659" s="10"/>
      <c r="AQ3659" s="10"/>
      <c r="AR3659" s="19"/>
      <c r="AS3659" s="20"/>
      <c r="AT3659" s="19"/>
      <c r="AV3659" s="21">
        <f>IF(AND($AL3659&lt;&gt;"",COUNTIF($AL$11:$AL3659,$AL3659)=1),1,0)</f>
        <v>0</v>
      </c>
      <c r="AW3659" s="21">
        <f t="shared" si="199"/>
        <v>2</v>
      </c>
      <c r="AX3659" s="21" t="str">
        <f t="shared" ref="AX3659:AX3722" si="200">IF(AV3659=1,AW3659,"")</f>
        <v/>
      </c>
      <c r="AY3659" s="21" t="str">
        <f>IF(AND($AM3659&lt;&gt;"",$AS3659&lt;&gt;"✓"),SUMPRODUCT(($AM$11:$AM3659&lt;&gt;"")*($AS$11:$AS3659&lt;&gt;"✓")),"")</f>
        <v/>
      </c>
      <c r="AZ3659" s="21" t="str">
        <f>IF(AND($AM3659&lt;&gt;"",$AS3659="✓"),SUMPRODUCT(($AM$11:$AM3659&lt;&gt;"")*($AS$11:$AS3659="✓")),"")</f>
        <v/>
      </c>
      <c r="BA3659" s="21" t="str">
        <f>IF($AL3659="","",$AL3659&amp;"|"&amp;COUNTIF($AL$11:$AL3659,$AL3659))</f>
        <v/>
      </c>
    </row>
    <row r="3660" spans="38:53" ht="15" customHeight="1" x14ac:dyDescent="0.25">
      <c r="AL3660" s="31"/>
      <c r="AM3660" s="26"/>
      <c r="AN3660" s="32"/>
      <c r="AO3660" s="32"/>
      <c r="AP3660" s="24"/>
      <c r="AQ3660" s="24"/>
      <c r="AR3660" s="33"/>
      <c r="AS3660" s="34"/>
      <c r="AT3660" s="33"/>
      <c r="AV3660" s="21">
        <f>IF(AND($AL3660&lt;&gt;"",COUNTIF($AL$11:$AL3660,$AL3660)=1),1,0)</f>
        <v>0</v>
      </c>
      <c r="AW3660" s="21">
        <f t="shared" ref="AW3660:AW3723" si="201">AW3659+AV3660</f>
        <v>2</v>
      </c>
      <c r="AX3660" s="21" t="str">
        <f t="shared" si="200"/>
        <v/>
      </c>
      <c r="AY3660" s="21" t="str">
        <f>IF(AND($AM3660&lt;&gt;"",$AS3660&lt;&gt;"✓"),SUMPRODUCT(($AM$11:$AM3660&lt;&gt;"")*($AS$11:$AS3660&lt;&gt;"✓")),"")</f>
        <v/>
      </c>
      <c r="AZ3660" s="21" t="str">
        <f>IF(AND($AM3660&lt;&gt;"",$AS3660="✓"),SUMPRODUCT(($AM$11:$AM3660&lt;&gt;"")*($AS$11:$AS3660="✓")),"")</f>
        <v/>
      </c>
      <c r="BA3660" s="21" t="str">
        <f>IF($AL3660="","",$AL3660&amp;"|"&amp;COUNTIF($AL$11:$AL3660,$AL3660))</f>
        <v/>
      </c>
    </row>
    <row r="3661" spans="38:53" ht="15" customHeight="1" x14ac:dyDescent="0.25">
      <c r="AL3661" s="17"/>
      <c r="AM3661" s="12"/>
      <c r="AN3661" s="18"/>
      <c r="AO3661" s="18"/>
      <c r="AP3661" s="10"/>
      <c r="AQ3661" s="10"/>
      <c r="AR3661" s="19"/>
      <c r="AS3661" s="20"/>
      <c r="AT3661" s="19"/>
      <c r="AV3661" s="21">
        <f>IF(AND($AL3661&lt;&gt;"",COUNTIF($AL$11:$AL3661,$AL3661)=1),1,0)</f>
        <v>0</v>
      </c>
      <c r="AW3661" s="21">
        <f t="shared" si="201"/>
        <v>2</v>
      </c>
      <c r="AX3661" s="21" t="str">
        <f t="shared" si="200"/>
        <v/>
      </c>
      <c r="AY3661" s="21" t="str">
        <f>IF(AND($AM3661&lt;&gt;"",$AS3661&lt;&gt;"✓"),SUMPRODUCT(($AM$11:$AM3661&lt;&gt;"")*($AS$11:$AS3661&lt;&gt;"✓")),"")</f>
        <v/>
      </c>
      <c r="AZ3661" s="21" t="str">
        <f>IF(AND($AM3661&lt;&gt;"",$AS3661="✓"),SUMPRODUCT(($AM$11:$AM3661&lt;&gt;"")*($AS$11:$AS3661="✓")),"")</f>
        <v/>
      </c>
      <c r="BA3661" s="21" t="str">
        <f>IF($AL3661="","",$AL3661&amp;"|"&amp;COUNTIF($AL$11:$AL3661,$AL3661))</f>
        <v/>
      </c>
    </row>
    <row r="3662" spans="38:53" ht="15" customHeight="1" x14ac:dyDescent="0.25">
      <c r="AL3662" s="31"/>
      <c r="AM3662" s="26"/>
      <c r="AN3662" s="32"/>
      <c r="AO3662" s="32"/>
      <c r="AP3662" s="24"/>
      <c r="AQ3662" s="24"/>
      <c r="AR3662" s="33"/>
      <c r="AS3662" s="34"/>
      <c r="AT3662" s="33"/>
      <c r="AV3662" s="21">
        <f>IF(AND($AL3662&lt;&gt;"",COUNTIF($AL$11:$AL3662,$AL3662)=1),1,0)</f>
        <v>0</v>
      </c>
      <c r="AW3662" s="21">
        <f t="shared" si="201"/>
        <v>2</v>
      </c>
      <c r="AX3662" s="21" t="str">
        <f t="shared" si="200"/>
        <v/>
      </c>
      <c r="AY3662" s="21" t="str">
        <f>IF(AND($AM3662&lt;&gt;"",$AS3662&lt;&gt;"✓"),SUMPRODUCT(($AM$11:$AM3662&lt;&gt;"")*($AS$11:$AS3662&lt;&gt;"✓")),"")</f>
        <v/>
      </c>
      <c r="AZ3662" s="21" t="str">
        <f>IF(AND($AM3662&lt;&gt;"",$AS3662="✓"),SUMPRODUCT(($AM$11:$AM3662&lt;&gt;"")*($AS$11:$AS3662="✓")),"")</f>
        <v/>
      </c>
      <c r="BA3662" s="21" t="str">
        <f>IF($AL3662="","",$AL3662&amp;"|"&amp;COUNTIF($AL$11:$AL3662,$AL3662))</f>
        <v/>
      </c>
    </row>
    <row r="3663" spans="38:53" ht="15" customHeight="1" x14ac:dyDescent="0.25">
      <c r="AL3663" s="17"/>
      <c r="AM3663" s="12"/>
      <c r="AN3663" s="18"/>
      <c r="AO3663" s="18"/>
      <c r="AP3663" s="10"/>
      <c r="AQ3663" s="10"/>
      <c r="AR3663" s="19"/>
      <c r="AS3663" s="20"/>
      <c r="AT3663" s="19"/>
      <c r="AV3663" s="21">
        <f>IF(AND($AL3663&lt;&gt;"",COUNTIF($AL$11:$AL3663,$AL3663)=1),1,0)</f>
        <v>0</v>
      </c>
      <c r="AW3663" s="21">
        <f t="shared" si="201"/>
        <v>2</v>
      </c>
      <c r="AX3663" s="21" t="str">
        <f t="shared" si="200"/>
        <v/>
      </c>
      <c r="AY3663" s="21" t="str">
        <f>IF(AND($AM3663&lt;&gt;"",$AS3663&lt;&gt;"✓"),SUMPRODUCT(($AM$11:$AM3663&lt;&gt;"")*($AS$11:$AS3663&lt;&gt;"✓")),"")</f>
        <v/>
      </c>
      <c r="AZ3663" s="21" t="str">
        <f>IF(AND($AM3663&lt;&gt;"",$AS3663="✓"),SUMPRODUCT(($AM$11:$AM3663&lt;&gt;"")*($AS$11:$AS3663="✓")),"")</f>
        <v/>
      </c>
      <c r="BA3663" s="21" t="str">
        <f>IF($AL3663="","",$AL3663&amp;"|"&amp;COUNTIF($AL$11:$AL3663,$AL3663))</f>
        <v/>
      </c>
    </row>
    <row r="3664" spans="38:53" ht="15" customHeight="1" x14ac:dyDescent="0.25">
      <c r="AL3664" s="31"/>
      <c r="AM3664" s="26"/>
      <c r="AN3664" s="32"/>
      <c r="AO3664" s="32"/>
      <c r="AP3664" s="24"/>
      <c r="AQ3664" s="24"/>
      <c r="AR3664" s="33"/>
      <c r="AS3664" s="34"/>
      <c r="AT3664" s="33"/>
      <c r="AV3664" s="21">
        <f>IF(AND($AL3664&lt;&gt;"",COUNTIF($AL$11:$AL3664,$AL3664)=1),1,0)</f>
        <v>0</v>
      </c>
      <c r="AW3664" s="21">
        <f t="shared" si="201"/>
        <v>2</v>
      </c>
      <c r="AX3664" s="21" t="str">
        <f t="shared" si="200"/>
        <v/>
      </c>
      <c r="AY3664" s="21" t="str">
        <f>IF(AND($AM3664&lt;&gt;"",$AS3664&lt;&gt;"✓"),SUMPRODUCT(($AM$11:$AM3664&lt;&gt;"")*($AS$11:$AS3664&lt;&gt;"✓")),"")</f>
        <v/>
      </c>
      <c r="AZ3664" s="21" t="str">
        <f>IF(AND($AM3664&lt;&gt;"",$AS3664="✓"),SUMPRODUCT(($AM$11:$AM3664&lt;&gt;"")*($AS$11:$AS3664="✓")),"")</f>
        <v/>
      </c>
      <c r="BA3664" s="21" t="str">
        <f>IF($AL3664="","",$AL3664&amp;"|"&amp;COUNTIF($AL$11:$AL3664,$AL3664))</f>
        <v/>
      </c>
    </row>
    <row r="3665" spans="38:53" ht="15" customHeight="1" x14ac:dyDescent="0.25">
      <c r="AL3665" s="17"/>
      <c r="AM3665" s="12"/>
      <c r="AN3665" s="18"/>
      <c r="AO3665" s="18"/>
      <c r="AP3665" s="10"/>
      <c r="AQ3665" s="10"/>
      <c r="AR3665" s="19"/>
      <c r="AS3665" s="20"/>
      <c r="AT3665" s="19"/>
      <c r="AV3665" s="21">
        <f>IF(AND($AL3665&lt;&gt;"",COUNTIF($AL$11:$AL3665,$AL3665)=1),1,0)</f>
        <v>0</v>
      </c>
      <c r="AW3665" s="21">
        <f t="shared" si="201"/>
        <v>2</v>
      </c>
      <c r="AX3665" s="21" t="str">
        <f t="shared" si="200"/>
        <v/>
      </c>
      <c r="AY3665" s="21" t="str">
        <f>IF(AND($AM3665&lt;&gt;"",$AS3665&lt;&gt;"✓"),SUMPRODUCT(($AM$11:$AM3665&lt;&gt;"")*($AS$11:$AS3665&lt;&gt;"✓")),"")</f>
        <v/>
      </c>
      <c r="AZ3665" s="21" t="str">
        <f>IF(AND($AM3665&lt;&gt;"",$AS3665="✓"),SUMPRODUCT(($AM$11:$AM3665&lt;&gt;"")*($AS$11:$AS3665="✓")),"")</f>
        <v/>
      </c>
      <c r="BA3665" s="21" t="str">
        <f>IF($AL3665="","",$AL3665&amp;"|"&amp;COUNTIF($AL$11:$AL3665,$AL3665))</f>
        <v/>
      </c>
    </row>
    <row r="3666" spans="38:53" ht="15" customHeight="1" x14ac:dyDescent="0.25">
      <c r="AL3666" s="31"/>
      <c r="AM3666" s="26"/>
      <c r="AN3666" s="32"/>
      <c r="AO3666" s="32"/>
      <c r="AP3666" s="24"/>
      <c r="AQ3666" s="24"/>
      <c r="AR3666" s="33"/>
      <c r="AS3666" s="34"/>
      <c r="AT3666" s="33"/>
      <c r="AV3666" s="21">
        <f>IF(AND($AL3666&lt;&gt;"",COUNTIF($AL$11:$AL3666,$AL3666)=1),1,0)</f>
        <v>0</v>
      </c>
      <c r="AW3666" s="21">
        <f t="shared" si="201"/>
        <v>2</v>
      </c>
      <c r="AX3666" s="21" t="str">
        <f t="shared" si="200"/>
        <v/>
      </c>
      <c r="AY3666" s="21" t="str">
        <f>IF(AND($AM3666&lt;&gt;"",$AS3666&lt;&gt;"✓"),SUMPRODUCT(($AM$11:$AM3666&lt;&gt;"")*($AS$11:$AS3666&lt;&gt;"✓")),"")</f>
        <v/>
      </c>
      <c r="AZ3666" s="21" t="str">
        <f>IF(AND($AM3666&lt;&gt;"",$AS3666="✓"),SUMPRODUCT(($AM$11:$AM3666&lt;&gt;"")*($AS$11:$AS3666="✓")),"")</f>
        <v/>
      </c>
      <c r="BA3666" s="21" t="str">
        <f>IF($AL3666="","",$AL3666&amp;"|"&amp;COUNTIF($AL$11:$AL3666,$AL3666))</f>
        <v/>
      </c>
    </row>
    <row r="3667" spans="38:53" ht="15" customHeight="1" x14ac:dyDescent="0.25">
      <c r="AL3667" s="17"/>
      <c r="AM3667" s="12"/>
      <c r="AN3667" s="18"/>
      <c r="AO3667" s="18"/>
      <c r="AP3667" s="10"/>
      <c r="AQ3667" s="10"/>
      <c r="AR3667" s="19"/>
      <c r="AS3667" s="20"/>
      <c r="AT3667" s="19"/>
      <c r="AV3667" s="21">
        <f>IF(AND($AL3667&lt;&gt;"",COUNTIF($AL$11:$AL3667,$AL3667)=1),1,0)</f>
        <v>0</v>
      </c>
      <c r="AW3667" s="21">
        <f t="shared" si="201"/>
        <v>2</v>
      </c>
      <c r="AX3667" s="21" t="str">
        <f t="shared" si="200"/>
        <v/>
      </c>
      <c r="AY3667" s="21" t="str">
        <f>IF(AND($AM3667&lt;&gt;"",$AS3667&lt;&gt;"✓"),SUMPRODUCT(($AM$11:$AM3667&lt;&gt;"")*($AS$11:$AS3667&lt;&gt;"✓")),"")</f>
        <v/>
      </c>
      <c r="AZ3667" s="21" t="str">
        <f>IF(AND($AM3667&lt;&gt;"",$AS3667="✓"),SUMPRODUCT(($AM$11:$AM3667&lt;&gt;"")*($AS$11:$AS3667="✓")),"")</f>
        <v/>
      </c>
      <c r="BA3667" s="21" t="str">
        <f>IF($AL3667="","",$AL3667&amp;"|"&amp;COUNTIF($AL$11:$AL3667,$AL3667))</f>
        <v/>
      </c>
    </row>
    <row r="3668" spans="38:53" ht="15" customHeight="1" x14ac:dyDescent="0.25">
      <c r="AL3668" s="31"/>
      <c r="AM3668" s="26"/>
      <c r="AN3668" s="32"/>
      <c r="AO3668" s="32"/>
      <c r="AP3668" s="24"/>
      <c r="AQ3668" s="24"/>
      <c r="AR3668" s="33"/>
      <c r="AS3668" s="34"/>
      <c r="AT3668" s="33"/>
      <c r="AV3668" s="21">
        <f>IF(AND($AL3668&lt;&gt;"",COUNTIF($AL$11:$AL3668,$AL3668)=1),1,0)</f>
        <v>0</v>
      </c>
      <c r="AW3668" s="21">
        <f t="shared" si="201"/>
        <v>2</v>
      </c>
      <c r="AX3668" s="21" t="str">
        <f t="shared" si="200"/>
        <v/>
      </c>
      <c r="AY3668" s="21" t="str">
        <f>IF(AND($AM3668&lt;&gt;"",$AS3668&lt;&gt;"✓"),SUMPRODUCT(($AM$11:$AM3668&lt;&gt;"")*($AS$11:$AS3668&lt;&gt;"✓")),"")</f>
        <v/>
      </c>
      <c r="AZ3668" s="21" t="str">
        <f>IF(AND($AM3668&lt;&gt;"",$AS3668="✓"),SUMPRODUCT(($AM$11:$AM3668&lt;&gt;"")*($AS$11:$AS3668="✓")),"")</f>
        <v/>
      </c>
      <c r="BA3668" s="21" t="str">
        <f>IF($AL3668="","",$AL3668&amp;"|"&amp;COUNTIF($AL$11:$AL3668,$AL3668))</f>
        <v/>
      </c>
    </row>
    <row r="3669" spans="38:53" ht="15" customHeight="1" x14ac:dyDescent="0.25">
      <c r="AL3669" s="17"/>
      <c r="AM3669" s="12"/>
      <c r="AN3669" s="18"/>
      <c r="AO3669" s="18"/>
      <c r="AP3669" s="10"/>
      <c r="AQ3669" s="10"/>
      <c r="AR3669" s="19"/>
      <c r="AS3669" s="20"/>
      <c r="AT3669" s="19"/>
      <c r="AV3669" s="21">
        <f>IF(AND($AL3669&lt;&gt;"",COUNTIF($AL$11:$AL3669,$AL3669)=1),1,0)</f>
        <v>0</v>
      </c>
      <c r="AW3669" s="21">
        <f t="shared" si="201"/>
        <v>2</v>
      </c>
      <c r="AX3669" s="21" t="str">
        <f t="shared" si="200"/>
        <v/>
      </c>
      <c r="AY3669" s="21" t="str">
        <f>IF(AND($AM3669&lt;&gt;"",$AS3669&lt;&gt;"✓"),SUMPRODUCT(($AM$11:$AM3669&lt;&gt;"")*($AS$11:$AS3669&lt;&gt;"✓")),"")</f>
        <v/>
      </c>
      <c r="AZ3669" s="21" t="str">
        <f>IF(AND($AM3669&lt;&gt;"",$AS3669="✓"),SUMPRODUCT(($AM$11:$AM3669&lt;&gt;"")*($AS$11:$AS3669="✓")),"")</f>
        <v/>
      </c>
      <c r="BA3669" s="21" t="str">
        <f>IF($AL3669="","",$AL3669&amp;"|"&amp;COUNTIF($AL$11:$AL3669,$AL3669))</f>
        <v/>
      </c>
    </row>
    <row r="3670" spans="38:53" ht="15" customHeight="1" x14ac:dyDescent="0.25">
      <c r="AL3670" s="31"/>
      <c r="AM3670" s="26"/>
      <c r="AN3670" s="32"/>
      <c r="AO3670" s="32"/>
      <c r="AP3670" s="24"/>
      <c r="AQ3670" s="24"/>
      <c r="AR3670" s="33"/>
      <c r="AS3670" s="34"/>
      <c r="AT3670" s="33"/>
      <c r="AV3670" s="21">
        <f>IF(AND($AL3670&lt;&gt;"",COUNTIF($AL$11:$AL3670,$AL3670)=1),1,0)</f>
        <v>0</v>
      </c>
      <c r="AW3670" s="21">
        <f t="shared" si="201"/>
        <v>2</v>
      </c>
      <c r="AX3670" s="21" t="str">
        <f t="shared" si="200"/>
        <v/>
      </c>
      <c r="AY3670" s="21" t="str">
        <f>IF(AND($AM3670&lt;&gt;"",$AS3670&lt;&gt;"✓"),SUMPRODUCT(($AM$11:$AM3670&lt;&gt;"")*($AS$11:$AS3670&lt;&gt;"✓")),"")</f>
        <v/>
      </c>
      <c r="AZ3670" s="21" t="str">
        <f>IF(AND($AM3670&lt;&gt;"",$AS3670="✓"),SUMPRODUCT(($AM$11:$AM3670&lt;&gt;"")*($AS$11:$AS3670="✓")),"")</f>
        <v/>
      </c>
      <c r="BA3670" s="21" t="str">
        <f>IF($AL3670="","",$AL3670&amp;"|"&amp;COUNTIF($AL$11:$AL3670,$AL3670))</f>
        <v/>
      </c>
    </row>
    <row r="3671" spans="38:53" ht="15" customHeight="1" x14ac:dyDescent="0.25">
      <c r="AL3671" s="17"/>
      <c r="AM3671" s="12"/>
      <c r="AN3671" s="18"/>
      <c r="AO3671" s="18"/>
      <c r="AP3671" s="10"/>
      <c r="AQ3671" s="10"/>
      <c r="AR3671" s="19"/>
      <c r="AS3671" s="20"/>
      <c r="AT3671" s="19"/>
      <c r="AV3671" s="21">
        <f>IF(AND($AL3671&lt;&gt;"",COUNTIF($AL$11:$AL3671,$AL3671)=1),1,0)</f>
        <v>0</v>
      </c>
      <c r="AW3671" s="21">
        <f t="shared" si="201"/>
        <v>2</v>
      </c>
      <c r="AX3671" s="21" t="str">
        <f t="shared" si="200"/>
        <v/>
      </c>
      <c r="AY3671" s="21" t="str">
        <f>IF(AND($AM3671&lt;&gt;"",$AS3671&lt;&gt;"✓"),SUMPRODUCT(($AM$11:$AM3671&lt;&gt;"")*($AS$11:$AS3671&lt;&gt;"✓")),"")</f>
        <v/>
      </c>
      <c r="AZ3671" s="21" t="str">
        <f>IF(AND($AM3671&lt;&gt;"",$AS3671="✓"),SUMPRODUCT(($AM$11:$AM3671&lt;&gt;"")*($AS$11:$AS3671="✓")),"")</f>
        <v/>
      </c>
      <c r="BA3671" s="21" t="str">
        <f>IF($AL3671="","",$AL3671&amp;"|"&amp;COUNTIF($AL$11:$AL3671,$AL3671))</f>
        <v/>
      </c>
    </row>
    <row r="3672" spans="38:53" ht="15" customHeight="1" x14ac:dyDescent="0.25">
      <c r="AL3672" s="31"/>
      <c r="AM3672" s="26"/>
      <c r="AN3672" s="32"/>
      <c r="AO3672" s="32"/>
      <c r="AP3672" s="24"/>
      <c r="AQ3672" s="24"/>
      <c r="AR3672" s="33"/>
      <c r="AS3672" s="34"/>
      <c r="AT3672" s="33"/>
      <c r="AV3672" s="21">
        <f>IF(AND($AL3672&lt;&gt;"",COUNTIF($AL$11:$AL3672,$AL3672)=1),1,0)</f>
        <v>0</v>
      </c>
      <c r="AW3672" s="21">
        <f t="shared" si="201"/>
        <v>2</v>
      </c>
      <c r="AX3672" s="21" t="str">
        <f t="shared" si="200"/>
        <v/>
      </c>
      <c r="AY3672" s="21" t="str">
        <f>IF(AND($AM3672&lt;&gt;"",$AS3672&lt;&gt;"✓"),SUMPRODUCT(($AM$11:$AM3672&lt;&gt;"")*($AS$11:$AS3672&lt;&gt;"✓")),"")</f>
        <v/>
      </c>
      <c r="AZ3672" s="21" t="str">
        <f>IF(AND($AM3672&lt;&gt;"",$AS3672="✓"),SUMPRODUCT(($AM$11:$AM3672&lt;&gt;"")*($AS$11:$AS3672="✓")),"")</f>
        <v/>
      </c>
      <c r="BA3672" s="21" t="str">
        <f>IF($AL3672="","",$AL3672&amp;"|"&amp;COUNTIF($AL$11:$AL3672,$AL3672))</f>
        <v/>
      </c>
    </row>
    <row r="3673" spans="38:53" ht="15" customHeight="1" x14ac:dyDescent="0.25">
      <c r="AL3673" s="17"/>
      <c r="AM3673" s="12"/>
      <c r="AN3673" s="18"/>
      <c r="AO3673" s="18"/>
      <c r="AP3673" s="10"/>
      <c r="AQ3673" s="10"/>
      <c r="AR3673" s="19"/>
      <c r="AS3673" s="20"/>
      <c r="AT3673" s="19"/>
      <c r="AV3673" s="21">
        <f>IF(AND($AL3673&lt;&gt;"",COUNTIF($AL$11:$AL3673,$AL3673)=1),1,0)</f>
        <v>0</v>
      </c>
      <c r="AW3673" s="21">
        <f t="shared" si="201"/>
        <v>2</v>
      </c>
      <c r="AX3673" s="21" t="str">
        <f t="shared" si="200"/>
        <v/>
      </c>
      <c r="AY3673" s="21" t="str">
        <f>IF(AND($AM3673&lt;&gt;"",$AS3673&lt;&gt;"✓"),SUMPRODUCT(($AM$11:$AM3673&lt;&gt;"")*($AS$11:$AS3673&lt;&gt;"✓")),"")</f>
        <v/>
      </c>
      <c r="AZ3673" s="21" t="str">
        <f>IF(AND($AM3673&lt;&gt;"",$AS3673="✓"),SUMPRODUCT(($AM$11:$AM3673&lt;&gt;"")*($AS$11:$AS3673="✓")),"")</f>
        <v/>
      </c>
      <c r="BA3673" s="21" t="str">
        <f>IF($AL3673="","",$AL3673&amp;"|"&amp;COUNTIF($AL$11:$AL3673,$AL3673))</f>
        <v/>
      </c>
    </row>
    <row r="3674" spans="38:53" ht="15" customHeight="1" x14ac:dyDescent="0.25">
      <c r="AL3674" s="31"/>
      <c r="AM3674" s="26"/>
      <c r="AN3674" s="32"/>
      <c r="AO3674" s="32"/>
      <c r="AP3674" s="24"/>
      <c r="AQ3674" s="24"/>
      <c r="AR3674" s="33"/>
      <c r="AS3674" s="34"/>
      <c r="AT3674" s="33"/>
      <c r="AV3674" s="21">
        <f>IF(AND($AL3674&lt;&gt;"",COUNTIF($AL$11:$AL3674,$AL3674)=1),1,0)</f>
        <v>0</v>
      </c>
      <c r="AW3674" s="21">
        <f t="shared" si="201"/>
        <v>2</v>
      </c>
      <c r="AX3674" s="21" t="str">
        <f t="shared" si="200"/>
        <v/>
      </c>
      <c r="AY3674" s="21" t="str">
        <f>IF(AND($AM3674&lt;&gt;"",$AS3674&lt;&gt;"✓"),SUMPRODUCT(($AM$11:$AM3674&lt;&gt;"")*($AS$11:$AS3674&lt;&gt;"✓")),"")</f>
        <v/>
      </c>
      <c r="AZ3674" s="21" t="str">
        <f>IF(AND($AM3674&lt;&gt;"",$AS3674="✓"),SUMPRODUCT(($AM$11:$AM3674&lt;&gt;"")*($AS$11:$AS3674="✓")),"")</f>
        <v/>
      </c>
      <c r="BA3674" s="21" t="str">
        <f>IF($AL3674="","",$AL3674&amp;"|"&amp;COUNTIF($AL$11:$AL3674,$AL3674))</f>
        <v/>
      </c>
    </row>
    <row r="3675" spans="38:53" ht="15" customHeight="1" x14ac:dyDescent="0.25">
      <c r="AL3675" s="17"/>
      <c r="AM3675" s="12"/>
      <c r="AN3675" s="18"/>
      <c r="AO3675" s="18"/>
      <c r="AP3675" s="10"/>
      <c r="AQ3675" s="10"/>
      <c r="AR3675" s="19"/>
      <c r="AS3675" s="20"/>
      <c r="AT3675" s="19"/>
      <c r="AV3675" s="21">
        <f>IF(AND($AL3675&lt;&gt;"",COUNTIF($AL$11:$AL3675,$AL3675)=1),1,0)</f>
        <v>0</v>
      </c>
      <c r="AW3675" s="21">
        <f t="shared" si="201"/>
        <v>2</v>
      </c>
      <c r="AX3675" s="21" t="str">
        <f t="shared" si="200"/>
        <v/>
      </c>
      <c r="AY3675" s="21" t="str">
        <f>IF(AND($AM3675&lt;&gt;"",$AS3675&lt;&gt;"✓"),SUMPRODUCT(($AM$11:$AM3675&lt;&gt;"")*($AS$11:$AS3675&lt;&gt;"✓")),"")</f>
        <v/>
      </c>
      <c r="AZ3675" s="21" t="str">
        <f>IF(AND($AM3675&lt;&gt;"",$AS3675="✓"),SUMPRODUCT(($AM$11:$AM3675&lt;&gt;"")*($AS$11:$AS3675="✓")),"")</f>
        <v/>
      </c>
      <c r="BA3675" s="21" t="str">
        <f>IF($AL3675="","",$AL3675&amp;"|"&amp;COUNTIF($AL$11:$AL3675,$AL3675))</f>
        <v/>
      </c>
    </row>
    <row r="3676" spans="38:53" ht="15" customHeight="1" x14ac:dyDescent="0.25">
      <c r="AL3676" s="31"/>
      <c r="AM3676" s="26"/>
      <c r="AN3676" s="32"/>
      <c r="AO3676" s="32"/>
      <c r="AP3676" s="24"/>
      <c r="AQ3676" s="24"/>
      <c r="AR3676" s="33"/>
      <c r="AS3676" s="34"/>
      <c r="AT3676" s="33"/>
      <c r="AV3676" s="21">
        <f>IF(AND($AL3676&lt;&gt;"",COUNTIF($AL$11:$AL3676,$AL3676)=1),1,0)</f>
        <v>0</v>
      </c>
      <c r="AW3676" s="21">
        <f t="shared" si="201"/>
        <v>2</v>
      </c>
      <c r="AX3676" s="21" t="str">
        <f t="shared" si="200"/>
        <v/>
      </c>
      <c r="AY3676" s="21" t="str">
        <f>IF(AND($AM3676&lt;&gt;"",$AS3676&lt;&gt;"✓"),SUMPRODUCT(($AM$11:$AM3676&lt;&gt;"")*($AS$11:$AS3676&lt;&gt;"✓")),"")</f>
        <v/>
      </c>
      <c r="AZ3676" s="21" t="str">
        <f>IF(AND($AM3676&lt;&gt;"",$AS3676="✓"),SUMPRODUCT(($AM$11:$AM3676&lt;&gt;"")*($AS$11:$AS3676="✓")),"")</f>
        <v/>
      </c>
      <c r="BA3676" s="21" t="str">
        <f>IF($AL3676="","",$AL3676&amp;"|"&amp;COUNTIF($AL$11:$AL3676,$AL3676))</f>
        <v/>
      </c>
    </row>
    <row r="3677" spans="38:53" ht="15" customHeight="1" x14ac:dyDescent="0.25">
      <c r="AL3677" s="17"/>
      <c r="AM3677" s="12"/>
      <c r="AN3677" s="18"/>
      <c r="AO3677" s="18"/>
      <c r="AP3677" s="10"/>
      <c r="AQ3677" s="10"/>
      <c r="AR3677" s="19"/>
      <c r="AS3677" s="20"/>
      <c r="AT3677" s="19"/>
      <c r="AV3677" s="21">
        <f>IF(AND($AL3677&lt;&gt;"",COUNTIF($AL$11:$AL3677,$AL3677)=1),1,0)</f>
        <v>0</v>
      </c>
      <c r="AW3677" s="21">
        <f t="shared" si="201"/>
        <v>2</v>
      </c>
      <c r="AX3677" s="21" t="str">
        <f t="shared" si="200"/>
        <v/>
      </c>
      <c r="AY3677" s="21" t="str">
        <f>IF(AND($AM3677&lt;&gt;"",$AS3677&lt;&gt;"✓"),SUMPRODUCT(($AM$11:$AM3677&lt;&gt;"")*($AS$11:$AS3677&lt;&gt;"✓")),"")</f>
        <v/>
      </c>
      <c r="AZ3677" s="21" t="str">
        <f>IF(AND($AM3677&lt;&gt;"",$AS3677="✓"),SUMPRODUCT(($AM$11:$AM3677&lt;&gt;"")*($AS$11:$AS3677="✓")),"")</f>
        <v/>
      </c>
      <c r="BA3677" s="21" t="str">
        <f>IF($AL3677="","",$AL3677&amp;"|"&amp;COUNTIF($AL$11:$AL3677,$AL3677))</f>
        <v/>
      </c>
    </row>
    <row r="3678" spans="38:53" ht="15" customHeight="1" x14ac:dyDescent="0.25">
      <c r="AL3678" s="31"/>
      <c r="AM3678" s="26"/>
      <c r="AN3678" s="32"/>
      <c r="AO3678" s="32"/>
      <c r="AP3678" s="24"/>
      <c r="AQ3678" s="24"/>
      <c r="AR3678" s="33"/>
      <c r="AS3678" s="34"/>
      <c r="AT3678" s="33"/>
      <c r="AV3678" s="21">
        <f>IF(AND($AL3678&lt;&gt;"",COUNTIF($AL$11:$AL3678,$AL3678)=1),1,0)</f>
        <v>0</v>
      </c>
      <c r="AW3678" s="21">
        <f t="shared" si="201"/>
        <v>2</v>
      </c>
      <c r="AX3678" s="21" t="str">
        <f t="shared" si="200"/>
        <v/>
      </c>
      <c r="AY3678" s="21" t="str">
        <f>IF(AND($AM3678&lt;&gt;"",$AS3678&lt;&gt;"✓"),SUMPRODUCT(($AM$11:$AM3678&lt;&gt;"")*($AS$11:$AS3678&lt;&gt;"✓")),"")</f>
        <v/>
      </c>
      <c r="AZ3678" s="21" t="str">
        <f>IF(AND($AM3678&lt;&gt;"",$AS3678="✓"),SUMPRODUCT(($AM$11:$AM3678&lt;&gt;"")*($AS$11:$AS3678="✓")),"")</f>
        <v/>
      </c>
      <c r="BA3678" s="21" t="str">
        <f>IF($AL3678="","",$AL3678&amp;"|"&amp;COUNTIF($AL$11:$AL3678,$AL3678))</f>
        <v/>
      </c>
    </row>
    <row r="3679" spans="38:53" ht="15" customHeight="1" x14ac:dyDescent="0.25">
      <c r="AL3679" s="17"/>
      <c r="AM3679" s="12"/>
      <c r="AN3679" s="18"/>
      <c r="AO3679" s="18"/>
      <c r="AP3679" s="10"/>
      <c r="AQ3679" s="10"/>
      <c r="AR3679" s="19"/>
      <c r="AS3679" s="20"/>
      <c r="AT3679" s="19"/>
      <c r="AV3679" s="21">
        <f>IF(AND($AL3679&lt;&gt;"",COUNTIF($AL$11:$AL3679,$AL3679)=1),1,0)</f>
        <v>0</v>
      </c>
      <c r="AW3679" s="21">
        <f t="shared" si="201"/>
        <v>2</v>
      </c>
      <c r="AX3679" s="21" t="str">
        <f t="shared" si="200"/>
        <v/>
      </c>
      <c r="AY3679" s="21" t="str">
        <f>IF(AND($AM3679&lt;&gt;"",$AS3679&lt;&gt;"✓"),SUMPRODUCT(($AM$11:$AM3679&lt;&gt;"")*($AS$11:$AS3679&lt;&gt;"✓")),"")</f>
        <v/>
      </c>
      <c r="AZ3679" s="21" t="str">
        <f>IF(AND($AM3679&lt;&gt;"",$AS3679="✓"),SUMPRODUCT(($AM$11:$AM3679&lt;&gt;"")*($AS$11:$AS3679="✓")),"")</f>
        <v/>
      </c>
      <c r="BA3679" s="21" t="str">
        <f>IF($AL3679="","",$AL3679&amp;"|"&amp;COUNTIF($AL$11:$AL3679,$AL3679))</f>
        <v/>
      </c>
    </row>
    <row r="3680" spans="38:53" ht="15" customHeight="1" x14ac:dyDescent="0.25">
      <c r="AL3680" s="31"/>
      <c r="AM3680" s="26"/>
      <c r="AN3680" s="32"/>
      <c r="AO3680" s="32"/>
      <c r="AP3680" s="24"/>
      <c r="AQ3680" s="24"/>
      <c r="AR3680" s="33"/>
      <c r="AS3680" s="34"/>
      <c r="AT3680" s="33"/>
      <c r="AV3680" s="21">
        <f>IF(AND($AL3680&lt;&gt;"",COUNTIF($AL$11:$AL3680,$AL3680)=1),1,0)</f>
        <v>0</v>
      </c>
      <c r="AW3680" s="21">
        <f t="shared" si="201"/>
        <v>2</v>
      </c>
      <c r="AX3680" s="21" t="str">
        <f t="shared" si="200"/>
        <v/>
      </c>
      <c r="AY3680" s="21" t="str">
        <f>IF(AND($AM3680&lt;&gt;"",$AS3680&lt;&gt;"✓"),SUMPRODUCT(($AM$11:$AM3680&lt;&gt;"")*($AS$11:$AS3680&lt;&gt;"✓")),"")</f>
        <v/>
      </c>
      <c r="AZ3680" s="21" t="str">
        <f>IF(AND($AM3680&lt;&gt;"",$AS3680="✓"),SUMPRODUCT(($AM$11:$AM3680&lt;&gt;"")*($AS$11:$AS3680="✓")),"")</f>
        <v/>
      </c>
      <c r="BA3680" s="21" t="str">
        <f>IF($AL3680="","",$AL3680&amp;"|"&amp;COUNTIF($AL$11:$AL3680,$AL3680))</f>
        <v/>
      </c>
    </row>
    <row r="3681" spans="38:53" ht="15" customHeight="1" x14ac:dyDescent="0.25">
      <c r="AL3681" s="17"/>
      <c r="AM3681" s="12"/>
      <c r="AN3681" s="18"/>
      <c r="AO3681" s="18"/>
      <c r="AP3681" s="10"/>
      <c r="AQ3681" s="10"/>
      <c r="AR3681" s="19"/>
      <c r="AS3681" s="20"/>
      <c r="AT3681" s="19"/>
      <c r="AV3681" s="21">
        <f>IF(AND($AL3681&lt;&gt;"",COUNTIF($AL$11:$AL3681,$AL3681)=1),1,0)</f>
        <v>0</v>
      </c>
      <c r="AW3681" s="21">
        <f t="shared" si="201"/>
        <v>2</v>
      </c>
      <c r="AX3681" s="21" t="str">
        <f t="shared" si="200"/>
        <v/>
      </c>
      <c r="AY3681" s="21" t="str">
        <f>IF(AND($AM3681&lt;&gt;"",$AS3681&lt;&gt;"✓"),SUMPRODUCT(($AM$11:$AM3681&lt;&gt;"")*($AS$11:$AS3681&lt;&gt;"✓")),"")</f>
        <v/>
      </c>
      <c r="AZ3681" s="21" t="str">
        <f>IF(AND($AM3681&lt;&gt;"",$AS3681="✓"),SUMPRODUCT(($AM$11:$AM3681&lt;&gt;"")*($AS$11:$AS3681="✓")),"")</f>
        <v/>
      </c>
      <c r="BA3681" s="21" t="str">
        <f>IF($AL3681="","",$AL3681&amp;"|"&amp;COUNTIF($AL$11:$AL3681,$AL3681))</f>
        <v/>
      </c>
    </row>
    <row r="3682" spans="38:53" ht="15" customHeight="1" x14ac:dyDescent="0.25">
      <c r="AL3682" s="31"/>
      <c r="AM3682" s="26"/>
      <c r="AN3682" s="32"/>
      <c r="AO3682" s="32"/>
      <c r="AP3682" s="24"/>
      <c r="AQ3682" s="24"/>
      <c r="AR3682" s="33"/>
      <c r="AS3682" s="34"/>
      <c r="AT3682" s="33"/>
      <c r="AV3682" s="21">
        <f>IF(AND($AL3682&lt;&gt;"",COUNTIF($AL$11:$AL3682,$AL3682)=1),1,0)</f>
        <v>0</v>
      </c>
      <c r="AW3682" s="21">
        <f t="shared" si="201"/>
        <v>2</v>
      </c>
      <c r="AX3682" s="21" t="str">
        <f t="shared" si="200"/>
        <v/>
      </c>
      <c r="AY3682" s="21" t="str">
        <f>IF(AND($AM3682&lt;&gt;"",$AS3682&lt;&gt;"✓"),SUMPRODUCT(($AM$11:$AM3682&lt;&gt;"")*($AS$11:$AS3682&lt;&gt;"✓")),"")</f>
        <v/>
      </c>
      <c r="AZ3682" s="21" t="str">
        <f>IF(AND($AM3682&lt;&gt;"",$AS3682="✓"),SUMPRODUCT(($AM$11:$AM3682&lt;&gt;"")*($AS$11:$AS3682="✓")),"")</f>
        <v/>
      </c>
      <c r="BA3682" s="21" t="str">
        <f>IF($AL3682="","",$AL3682&amp;"|"&amp;COUNTIF($AL$11:$AL3682,$AL3682))</f>
        <v/>
      </c>
    </row>
    <row r="3683" spans="38:53" ht="15" customHeight="1" x14ac:dyDescent="0.25">
      <c r="AL3683" s="17"/>
      <c r="AM3683" s="12"/>
      <c r="AN3683" s="18"/>
      <c r="AO3683" s="18"/>
      <c r="AP3683" s="10"/>
      <c r="AQ3683" s="10"/>
      <c r="AR3683" s="19"/>
      <c r="AS3683" s="20"/>
      <c r="AT3683" s="19"/>
      <c r="AV3683" s="21">
        <f>IF(AND($AL3683&lt;&gt;"",COUNTIF($AL$11:$AL3683,$AL3683)=1),1,0)</f>
        <v>0</v>
      </c>
      <c r="AW3683" s="21">
        <f t="shared" si="201"/>
        <v>2</v>
      </c>
      <c r="AX3683" s="21" t="str">
        <f t="shared" si="200"/>
        <v/>
      </c>
      <c r="AY3683" s="21" t="str">
        <f>IF(AND($AM3683&lt;&gt;"",$AS3683&lt;&gt;"✓"),SUMPRODUCT(($AM$11:$AM3683&lt;&gt;"")*($AS$11:$AS3683&lt;&gt;"✓")),"")</f>
        <v/>
      </c>
      <c r="AZ3683" s="21" t="str">
        <f>IF(AND($AM3683&lt;&gt;"",$AS3683="✓"),SUMPRODUCT(($AM$11:$AM3683&lt;&gt;"")*($AS$11:$AS3683="✓")),"")</f>
        <v/>
      </c>
      <c r="BA3683" s="21" t="str">
        <f>IF($AL3683="","",$AL3683&amp;"|"&amp;COUNTIF($AL$11:$AL3683,$AL3683))</f>
        <v/>
      </c>
    </row>
    <row r="3684" spans="38:53" ht="15" customHeight="1" x14ac:dyDescent="0.25">
      <c r="AL3684" s="31"/>
      <c r="AM3684" s="26"/>
      <c r="AN3684" s="32"/>
      <c r="AO3684" s="32"/>
      <c r="AP3684" s="24"/>
      <c r="AQ3684" s="24"/>
      <c r="AR3684" s="33"/>
      <c r="AS3684" s="34"/>
      <c r="AT3684" s="33"/>
      <c r="AV3684" s="21">
        <f>IF(AND($AL3684&lt;&gt;"",COUNTIF($AL$11:$AL3684,$AL3684)=1),1,0)</f>
        <v>0</v>
      </c>
      <c r="AW3684" s="21">
        <f t="shared" si="201"/>
        <v>2</v>
      </c>
      <c r="AX3684" s="21" t="str">
        <f t="shared" si="200"/>
        <v/>
      </c>
      <c r="AY3684" s="21" t="str">
        <f>IF(AND($AM3684&lt;&gt;"",$AS3684&lt;&gt;"✓"),SUMPRODUCT(($AM$11:$AM3684&lt;&gt;"")*($AS$11:$AS3684&lt;&gt;"✓")),"")</f>
        <v/>
      </c>
      <c r="AZ3684" s="21" t="str">
        <f>IF(AND($AM3684&lt;&gt;"",$AS3684="✓"),SUMPRODUCT(($AM$11:$AM3684&lt;&gt;"")*($AS$11:$AS3684="✓")),"")</f>
        <v/>
      </c>
      <c r="BA3684" s="21" t="str">
        <f>IF($AL3684="","",$AL3684&amp;"|"&amp;COUNTIF($AL$11:$AL3684,$AL3684))</f>
        <v/>
      </c>
    </row>
    <row r="3685" spans="38:53" ht="15" customHeight="1" x14ac:dyDescent="0.25">
      <c r="AL3685" s="17"/>
      <c r="AM3685" s="12"/>
      <c r="AN3685" s="18"/>
      <c r="AO3685" s="18"/>
      <c r="AP3685" s="10"/>
      <c r="AQ3685" s="10"/>
      <c r="AR3685" s="19"/>
      <c r="AS3685" s="20"/>
      <c r="AT3685" s="19"/>
      <c r="AV3685" s="21">
        <f>IF(AND($AL3685&lt;&gt;"",COUNTIF($AL$11:$AL3685,$AL3685)=1),1,0)</f>
        <v>0</v>
      </c>
      <c r="AW3685" s="21">
        <f t="shared" si="201"/>
        <v>2</v>
      </c>
      <c r="AX3685" s="21" t="str">
        <f t="shared" si="200"/>
        <v/>
      </c>
      <c r="AY3685" s="21" t="str">
        <f>IF(AND($AM3685&lt;&gt;"",$AS3685&lt;&gt;"✓"),SUMPRODUCT(($AM$11:$AM3685&lt;&gt;"")*($AS$11:$AS3685&lt;&gt;"✓")),"")</f>
        <v/>
      </c>
      <c r="AZ3685" s="21" t="str">
        <f>IF(AND($AM3685&lt;&gt;"",$AS3685="✓"),SUMPRODUCT(($AM$11:$AM3685&lt;&gt;"")*($AS$11:$AS3685="✓")),"")</f>
        <v/>
      </c>
      <c r="BA3685" s="21" t="str">
        <f>IF($AL3685="","",$AL3685&amp;"|"&amp;COUNTIF($AL$11:$AL3685,$AL3685))</f>
        <v/>
      </c>
    </row>
    <row r="3686" spans="38:53" ht="15" customHeight="1" x14ac:dyDescent="0.25">
      <c r="AL3686" s="31"/>
      <c r="AM3686" s="26"/>
      <c r="AN3686" s="32"/>
      <c r="AO3686" s="32"/>
      <c r="AP3686" s="24"/>
      <c r="AQ3686" s="24"/>
      <c r="AR3686" s="33"/>
      <c r="AS3686" s="34"/>
      <c r="AT3686" s="33"/>
      <c r="AV3686" s="21">
        <f>IF(AND($AL3686&lt;&gt;"",COUNTIF($AL$11:$AL3686,$AL3686)=1),1,0)</f>
        <v>0</v>
      </c>
      <c r="AW3686" s="21">
        <f t="shared" si="201"/>
        <v>2</v>
      </c>
      <c r="AX3686" s="21" t="str">
        <f t="shared" si="200"/>
        <v/>
      </c>
      <c r="AY3686" s="21" t="str">
        <f>IF(AND($AM3686&lt;&gt;"",$AS3686&lt;&gt;"✓"),SUMPRODUCT(($AM$11:$AM3686&lt;&gt;"")*($AS$11:$AS3686&lt;&gt;"✓")),"")</f>
        <v/>
      </c>
      <c r="AZ3686" s="21" t="str">
        <f>IF(AND($AM3686&lt;&gt;"",$AS3686="✓"),SUMPRODUCT(($AM$11:$AM3686&lt;&gt;"")*($AS$11:$AS3686="✓")),"")</f>
        <v/>
      </c>
      <c r="BA3686" s="21" t="str">
        <f>IF($AL3686="","",$AL3686&amp;"|"&amp;COUNTIF($AL$11:$AL3686,$AL3686))</f>
        <v/>
      </c>
    </row>
    <row r="3687" spans="38:53" ht="15" customHeight="1" x14ac:dyDescent="0.25">
      <c r="AL3687" s="17"/>
      <c r="AM3687" s="12"/>
      <c r="AN3687" s="18"/>
      <c r="AO3687" s="18"/>
      <c r="AP3687" s="10"/>
      <c r="AQ3687" s="10"/>
      <c r="AR3687" s="19"/>
      <c r="AS3687" s="20"/>
      <c r="AT3687" s="19"/>
      <c r="AV3687" s="21">
        <f>IF(AND($AL3687&lt;&gt;"",COUNTIF($AL$11:$AL3687,$AL3687)=1),1,0)</f>
        <v>0</v>
      </c>
      <c r="AW3687" s="21">
        <f t="shared" si="201"/>
        <v>2</v>
      </c>
      <c r="AX3687" s="21" t="str">
        <f t="shared" si="200"/>
        <v/>
      </c>
      <c r="AY3687" s="21" t="str">
        <f>IF(AND($AM3687&lt;&gt;"",$AS3687&lt;&gt;"✓"),SUMPRODUCT(($AM$11:$AM3687&lt;&gt;"")*($AS$11:$AS3687&lt;&gt;"✓")),"")</f>
        <v/>
      </c>
      <c r="AZ3687" s="21" t="str">
        <f>IF(AND($AM3687&lt;&gt;"",$AS3687="✓"),SUMPRODUCT(($AM$11:$AM3687&lt;&gt;"")*($AS$11:$AS3687="✓")),"")</f>
        <v/>
      </c>
      <c r="BA3687" s="21" t="str">
        <f>IF($AL3687="","",$AL3687&amp;"|"&amp;COUNTIF($AL$11:$AL3687,$AL3687))</f>
        <v/>
      </c>
    </row>
    <row r="3688" spans="38:53" ht="15" customHeight="1" x14ac:dyDescent="0.25">
      <c r="AL3688" s="31"/>
      <c r="AM3688" s="26"/>
      <c r="AN3688" s="32"/>
      <c r="AO3688" s="32"/>
      <c r="AP3688" s="24"/>
      <c r="AQ3688" s="24"/>
      <c r="AR3688" s="33"/>
      <c r="AS3688" s="34"/>
      <c r="AT3688" s="33"/>
      <c r="AV3688" s="21">
        <f>IF(AND($AL3688&lt;&gt;"",COUNTIF($AL$11:$AL3688,$AL3688)=1),1,0)</f>
        <v>0</v>
      </c>
      <c r="AW3688" s="21">
        <f t="shared" si="201"/>
        <v>2</v>
      </c>
      <c r="AX3688" s="21" t="str">
        <f t="shared" si="200"/>
        <v/>
      </c>
      <c r="AY3688" s="21" t="str">
        <f>IF(AND($AM3688&lt;&gt;"",$AS3688&lt;&gt;"✓"),SUMPRODUCT(($AM$11:$AM3688&lt;&gt;"")*($AS$11:$AS3688&lt;&gt;"✓")),"")</f>
        <v/>
      </c>
      <c r="AZ3688" s="21" t="str">
        <f>IF(AND($AM3688&lt;&gt;"",$AS3688="✓"),SUMPRODUCT(($AM$11:$AM3688&lt;&gt;"")*($AS$11:$AS3688="✓")),"")</f>
        <v/>
      </c>
      <c r="BA3688" s="21" t="str">
        <f>IF($AL3688="","",$AL3688&amp;"|"&amp;COUNTIF($AL$11:$AL3688,$AL3688))</f>
        <v/>
      </c>
    </row>
    <row r="3689" spans="38:53" ht="15" customHeight="1" x14ac:dyDescent="0.25">
      <c r="AL3689" s="17"/>
      <c r="AM3689" s="12"/>
      <c r="AN3689" s="18"/>
      <c r="AO3689" s="18"/>
      <c r="AP3689" s="10"/>
      <c r="AQ3689" s="10"/>
      <c r="AR3689" s="19"/>
      <c r="AS3689" s="20"/>
      <c r="AT3689" s="19"/>
      <c r="AV3689" s="21">
        <f>IF(AND($AL3689&lt;&gt;"",COUNTIF($AL$11:$AL3689,$AL3689)=1),1,0)</f>
        <v>0</v>
      </c>
      <c r="AW3689" s="21">
        <f t="shared" si="201"/>
        <v>2</v>
      </c>
      <c r="AX3689" s="21" t="str">
        <f t="shared" si="200"/>
        <v/>
      </c>
      <c r="AY3689" s="21" t="str">
        <f>IF(AND($AM3689&lt;&gt;"",$AS3689&lt;&gt;"✓"),SUMPRODUCT(($AM$11:$AM3689&lt;&gt;"")*($AS$11:$AS3689&lt;&gt;"✓")),"")</f>
        <v/>
      </c>
      <c r="AZ3689" s="21" t="str">
        <f>IF(AND($AM3689&lt;&gt;"",$AS3689="✓"),SUMPRODUCT(($AM$11:$AM3689&lt;&gt;"")*($AS$11:$AS3689="✓")),"")</f>
        <v/>
      </c>
      <c r="BA3689" s="21" t="str">
        <f>IF($AL3689="","",$AL3689&amp;"|"&amp;COUNTIF($AL$11:$AL3689,$AL3689))</f>
        <v/>
      </c>
    </row>
    <row r="3690" spans="38:53" ht="15" customHeight="1" x14ac:dyDescent="0.25">
      <c r="AL3690" s="31"/>
      <c r="AM3690" s="26"/>
      <c r="AN3690" s="32"/>
      <c r="AO3690" s="32"/>
      <c r="AP3690" s="24"/>
      <c r="AQ3690" s="24"/>
      <c r="AR3690" s="33"/>
      <c r="AS3690" s="34"/>
      <c r="AT3690" s="33"/>
      <c r="AV3690" s="21">
        <f>IF(AND($AL3690&lt;&gt;"",COUNTIF($AL$11:$AL3690,$AL3690)=1),1,0)</f>
        <v>0</v>
      </c>
      <c r="AW3690" s="21">
        <f t="shared" si="201"/>
        <v>2</v>
      </c>
      <c r="AX3690" s="21" t="str">
        <f t="shared" si="200"/>
        <v/>
      </c>
      <c r="AY3690" s="21" t="str">
        <f>IF(AND($AM3690&lt;&gt;"",$AS3690&lt;&gt;"✓"),SUMPRODUCT(($AM$11:$AM3690&lt;&gt;"")*($AS$11:$AS3690&lt;&gt;"✓")),"")</f>
        <v/>
      </c>
      <c r="AZ3690" s="21" t="str">
        <f>IF(AND($AM3690&lt;&gt;"",$AS3690="✓"),SUMPRODUCT(($AM$11:$AM3690&lt;&gt;"")*($AS$11:$AS3690="✓")),"")</f>
        <v/>
      </c>
      <c r="BA3690" s="21" t="str">
        <f>IF($AL3690="","",$AL3690&amp;"|"&amp;COUNTIF($AL$11:$AL3690,$AL3690))</f>
        <v/>
      </c>
    </row>
    <row r="3691" spans="38:53" ht="15" customHeight="1" x14ac:dyDescent="0.25">
      <c r="AL3691" s="17"/>
      <c r="AM3691" s="12"/>
      <c r="AN3691" s="18"/>
      <c r="AO3691" s="18"/>
      <c r="AP3691" s="10"/>
      <c r="AQ3691" s="10"/>
      <c r="AR3691" s="19"/>
      <c r="AS3691" s="20"/>
      <c r="AT3691" s="19"/>
      <c r="AV3691" s="21">
        <f>IF(AND($AL3691&lt;&gt;"",COUNTIF($AL$11:$AL3691,$AL3691)=1),1,0)</f>
        <v>0</v>
      </c>
      <c r="AW3691" s="21">
        <f t="shared" si="201"/>
        <v>2</v>
      </c>
      <c r="AX3691" s="21" t="str">
        <f t="shared" si="200"/>
        <v/>
      </c>
      <c r="AY3691" s="21" t="str">
        <f>IF(AND($AM3691&lt;&gt;"",$AS3691&lt;&gt;"✓"),SUMPRODUCT(($AM$11:$AM3691&lt;&gt;"")*($AS$11:$AS3691&lt;&gt;"✓")),"")</f>
        <v/>
      </c>
      <c r="AZ3691" s="21" t="str">
        <f>IF(AND($AM3691&lt;&gt;"",$AS3691="✓"),SUMPRODUCT(($AM$11:$AM3691&lt;&gt;"")*($AS$11:$AS3691="✓")),"")</f>
        <v/>
      </c>
      <c r="BA3691" s="21" t="str">
        <f>IF($AL3691="","",$AL3691&amp;"|"&amp;COUNTIF($AL$11:$AL3691,$AL3691))</f>
        <v/>
      </c>
    </row>
    <row r="3692" spans="38:53" ht="15" customHeight="1" x14ac:dyDescent="0.25">
      <c r="AL3692" s="31"/>
      <c r="AM3692" s="26"/>
      <c r="AN3692" s="32"/>
      <c r="AO3692" s="32"/>
      <c r="AP3692" s="24"/>
      <c r="AQ3692" s="24"/>
      <c r="AR3692" s="33"/>
      <c r="AS3692" s="34"/>
      <c r="AT3692" s="33"/>
      <c r="AV3692" s="21">
        <f>IF(AND($AL3692&lt;&gt;"",COUNTIF($AL$11:$AL3692,$AL3692)=1),1,0)</f>
        <v>0</v>
      </c>
      <c r="AW3692" s="21">
        <f t="shared" si="201"/>
        <v>2</v>
      </c>
      <c r="AX3692" s="21" t="str">
        <f t="shared" si="200"/>
        <v/>
      </c>
      <c r="AY3692" s="21" t="str">
        <f>IF(AND($AM3692&lt;&gt;"",$AS3692&lt;&gt;"✓"),SUMPRODUCT(($AM$11:$AM3692&lt;&gt;"")*($AS$11:$AS3692&lt;&gt;"✓")),"")</f>
        <v/>
      </c>
      <c r="AZ3692" s="21" t="str">
        <f>IF(AND($AM3692&lt;&gt;"",$AS3692="✓"),SUMPRODUCT(($AM$11:$AM3692&lt;&gt;"")*($AS$11:$AS3692="✓")),"")</f>
        <v/>
      </c>
      <c r="BA3692" s="21" t="str">
        <f>IF($AL3692="","",$AL3692&amp;"|"&amp;COUNTIF($AL$11:$AL3692,$AL3692))</f>
        <v/>
      </c>
    </row>
    <row r="3693" spans="38:53" ht="15" customHeight="1" x14ac:dyDescent="0.25">
      <c r="AL3693" s="17"/>
      <c r="AM3693" s="12"/>
      <c r="AN3693" s="18"/>
      <c r="AO3693" s="18"/>
      <c r="AP3693" s="10"/>
      <c r="AQ3693" s="10"/>
      <c r="AR3693" s="19"/>
      <c r="AS3693" s="20"/>
      <c r="AT3693" s="19"/>
      <c r="AV3693" s="21">
        <f>IF(AND($AL3693&lt;&gt;"",COUNTIF($AL$11:$AL3693,$AL3693)=1),1,0)</f>
        <v>0</v>
      </c>
      <c r="AW3693" s="21">
        <f t="shared" si="201"/>
        <v>2</v>
      </c>
      <c r="AX3693" s="21" t="str">
        <f t="shared" si="200"/>
        <v/>
      </c>
      <c r="AY3693" s="21" t="str">
        <f>IF(AND($AM3693&lt;&gt;"",$AS3693&lt;&gt;"✓"),SUMPRODUCT(($AM$11:$AM3693&lt;&gt;"")*($AS$11:$AS3693&lt;&gt;"✓")),"")</f>
        <v/>
      </c>
      <c r="AZ3693" s="21" t="str">
        <f>IF(AND($AM3693&lt;&gt;"",$AS3693="✓"),SUMPRODUCT(($AM$11:$AM3693&lt;&gt;"")*($AS$11:$AS3693="✓")),"")</f>
        <v/>
      </c>
      <c r="BA3693" s="21" t="str">
        <f>IF($AL3693="","",$AL3693&amp;"|"&amp;COUNTIF($AL$11:$AL3693,$AL3693))</f>
        <v/>
      </c>
    </row>
    <row r="3694" spans="38:53" ht="15" customHeight="1" x14ac:dyDescent="0.25">
      <c r="AL3694" s="31"/>
      <c r="AM3694" s="26"/>
      <c r="AN3694" s="32"/>
      <c r="AO3694" s="32"/>
      <c r="AP3694" s="24"/>
      <c r="AQ3694" s="24"/>
      <c r="AR3694" s="33"/>
      <c r="AS3694" s="34"/>
      <c r="AT3694" s="33"/>
      <c r="AV3694" s="21">
        <f>IF(AND($AL3694&lt;&gt;"",COUNTIF($AL$11:$AL3694,$AL3694)=1),1,0)</f>
        <v>0</v>
      </c>
      <c r="AW3694" s="21">
        <f t="shared" si="201"/>
        <v>2</v>
      </c>
      <c r="AX3694" s="21" t="str">
        <f t="shared" si="200"/>
        <v/>
      </c>
      <c r="AY3694" s="21" t="str">
        <f>IF(AND($AM3694&lt;&gt;"",$AS3694&lt;&gt;"✓"),SUMPRODUCT(($AM$11:$AM3694&lt;&gt;"")*($AS$11:$AS3694&lt;&gt;"✓")),"")</f>
        <v/>
      </c>
      <c r="AZ3694" s="21" t="str">
        <f>IF(AND($AM3694&lt;&gt;"",$AS3694="✓"),SUMPRODUCT(($AM$11:$AM3694&lt;&gt;"")*($AS$11:$AS3694="✓")),"")</f>
        <v/>
      </c>
      <c r="BA3694" s="21" t="str">
        <f>IF($AL3694="","",$AL3694&amp;"|"&amp;COUNTIF($AL$11:$AL3694,$AL3694))</f>
        <v/>
      </c>
    </row>
    <row r="3695" spans="38:53" ht="15" customHeight="1" x14ac:dyDescent="0.25">
      <c r="AL3695" s="17"/>
      <c r="AM3695" s="12"/>
      <c r="AN3695" s="18"/>
      <c r="AO3695" s="18"/>
      <c r="AP3695" s="10"/>
      <c r="AQ3695" s="10"/>
      <c r="AR3695" s="19"/>
      <c r="AS3695" s="20"/>
      <c r="AT3695" s="19"/>
      <c r="AV3695" s="21">
        <f>IF(AND($AL3695&lt;&gt;"",COUNTIF($AL$11:$AL3695,$AL3695)=1),1,0)</f>
        <v>0</v>
      </c>
      <c r="AW3695" s="21">
        <f t="shared" si="201"/>
        <v>2</v>
      </c>
      <c r="AX3695" s="21" t="str">
        <f t="shared" si="200"/>
        <v/>
      </c>
      <c r="AY3695" s="21" t="str">
        <f>IF(AND($AM3695&lt;&gt;"",$AS3695&lt;&gt;"✓"),SUMPRODUCT(($AM$11:$AM3695&lt;&gt;"")*($AS$11:$AS3695&lt;&gt;"✓")),"")</f>
        <v/>
      </c>
      <c r="AZ3695" s="21" t="str">
        <f>IF(AND($AM3695&lt;&gt;"",$AS3695="✓"),SUMPRODUCT(($AM$11:$AM3695&lt;&gt;"")*($AS$11:$AS3695="✓")),"")</f>
        <v/>
      </c>
      <c r="BA3695" s="21" t="str">
        <f>IF($AL3695="","",$AL3695&amp;"|"&amp;COUNTIF($AL$11:$AL3695,$AL3695))</f>
        <v/>
      </c>
    </row>
    <row r="3696" spans="38:53" ht="15" customHeight="1" x14ac:dyDescent="0.25">
      <c r="AL3696" s="31"/>
      <c r="AM3696" s="26"/>
      <c r="AN3696" s="32"/>
      <c r="AO3696" s="32"/>
      <c r="AP3696" s="24"/>
      <c r="AQ3696" s="24"/>
      <c r="AR3696" s="33"/>
      <c r="AS3696" s="34"/>
      <c r="AT3696" s="33"/>
      <c r="AV3696" s="21">
        <f>IF(AND($AL3696&lt;&gt;"",COUNTIF($AL$11:$AL3696,$AL3696)=1),1,0)</f>
        <v>0</v>
      </c>
      <c r="AW3696" s="21">
        <f t="shared" si="201"/>
        <v>2</v>
      </c>
      <c r="AX3696" s="21" t="str">
        <f t="shared" si="200"/>
        <v/>
      </c>
      <c r="AY3696" s="21" t="str">
        <f>IF(AND($AM3696&lt;&gt;"",$AS3696&lt;&gt;"✓"),SUMPRODUCT(($AM$11:$AM3696&lt;&gt;"")*($AS$11:$AS3696&lt;&gt;"✓")),"")</f>
        <v/>
      </c>
      <c r="AZ3696" s="21" t="str">
        <f>IF(AND($AM3696&lt;&gt;"",$AS3696="✓"),SUMPRODUCT(($AM$11:$AM3696&lt;&gt;"")*($AS$11:$AS3696="✓")),"")</f>
        <v/>
      </c>
      <c r="BA3696" s="21" t="str">
        <f>IF($AL3696="","",$AL3696&amp;"|"&amp;COUNTIF($AL$11:$AL3696,$AL3696))</f>
        <v/>
      </c>
    </row>
    <row r="3697" spans="38:53" ht="15" customHeight="1" x14ac:dyDescent="0.25">
      <c r="AL3697" s="17"/>
      <c r="AM3697" s="12"/>
      <c r="AN3697" s="18"/>
      <c r="AO3697" s="18"/>
      <c r="AP3697" s="10"/>
      <c r="AQ3697" s="10"/>
      <c r="AR3697" s="19"/>
      <c r="AS3697" s="20"/>
      <c r="AT3697" s="19"/>
      <c r="AV3697" s="21">
        <f>IF(AND($AL3697&lt;&gt;"",COUNTIF($AL$11:$AL3697,$AL3697)=1),1,0)</f>
        <v>0</v>
      </c>
      <c r="AW3697" s="21">
        <f t="shared" si="201"/>
        <v>2</v>
      </c>
      <c r="AX3697" s="21" t="str">
        <f t="shared" si="200"/>
        <v/>
      </c>
      <c r="AY3697" s="21" t="str">
        <f>IF(AND($AM3697&lt;&gt;"",$AS3697&lt;&gt;"✓"),SUMPRODUCT(($AM$11:$AM3697&lt;&gt;"")*($AS$11:$AS3697&lt;&gt;"✓")),"")</f>
        <v/>
      </c>
      <c r="AZ3697" s="21" t="str">
        <f>IF(AND($AM3697&lt;&gt;"",$AS3697="✓"),SUMPRODUCT(($AM$11:$AM3697&lt;&gt;"")*($AS$11:$AS3697="✓")),"")</f>
        <v/>
      </c>
      <c r="BA3697" s="21" t="str">
        <f>IF($AL3697="","",$AL3697&amp;"|"&amp;COUNTIF($AL$11:$AL3697,$AL3697))</f>
        <v/>
      </c>
    </row>
    <row r="3698" spans="38:53" ht="15" customHeight="1" x14ac:dyDescent="0.25">
      <c r="AL3698" s="31"/>
      <c r="AM3698" s="26"/>
      <c r="AN3698" s="32"/>
      <c r="AO3698" s="32"/>
      <c r="AP3698" s="24"/>
      <c r="AQ3698" s="24"/>
      <c r="AR3698" s="33"/>
      <c r="AS3698" s="34"/>
      <c r="AT3698" s="33"/>
      <c r="AV3698" s="21">
        <f>IF(AND($AL3698&lt;&gt;"",COUNTIF($AL$11:$AL3698,$AL3698)=1),1,0)</f>
        <v>0</v>
      </c>
      <c r="AW3698" s="21">
        <f t="shared" si="201"/>
        <v>2</v>
      </c>
      <c r="AX3698" s="21" t="str">
        <f t="shared" si="200"/>
        <v/>
      </c>
      <c r="AY3698" s="21" t="str">
        <f>IF(AND($AM3698&lt;&gt;"",$AS3698&lt;&gt;"✓"),SUMPRODUCT(($AM$11:$AM3698&lt;&gt;"")*($AS$11:$AS3698&lt;&gt;"✓")),"")</f>
        <v/>
      </c>
      <c r="AZ3698" s="21" t="str">
        <f>IF(AND($AM3698&lt;&gt;"",$AS3698="✓"),SUMPRODUCT(($AM$11:$AM3698&lt;&gt;"")*($AS$11:$AS3698="✓")),"")</f>
        <v/>
      </c>
      <c r="BA3698" s="21" t="str">
        <f>IF($AL3698="","",$AL3698&amp;"|"&amp;COUNTIF($AL$11:$AL3698,$AL3698))</f>
        <v/>
      </c>
    </row>
    <row r="3699" spans="38:53" ht="15" customHeight="1" x14ac:dyDescent="0.25">
      <c r="AL3699" s="17"/>
      <c r="AM3699" s="12"/>
      <c r="AN3699" s="18"/>
      <c r="AO3699" s="18"/>
      <c r="AP3699" s="10"/>
      <c r="AQ3699" s="10"/>
      <c r="AR3699" s="19"/>
      <c r="AS3699" s="20"/>
      <c r="AT3699" s="19"/>
      <c r="AV3699" s="21">
        <f>IF(AND($AL3699&lt;&gt;"",COUNTIF($AL$11:$AL3699,$AL3699)=1),1,0)</f>
        <v>0</v>
      </c>
      <c r="AW3699" s="21">
        <f t="shared" si="201"/>
        <v>2</v>
      </c>
      <c r="AX3699" s="21" t="str">
        <f t="shared" si="200"/>
        <v/>
      </c>
      <c r="AY3699" s="21" t="str">
        <f>IF(AND($AM3699&lt;&gt;"",$AS3699&lt;&gt;"✓"),SUMPRODUCT(($AM$11:$AM3699&lt;&gt;"")*($AS$11:$AS3699&lt;&gt;"✓")),"")</f>
        <v/>
      </c>
      <c r="AZ3699" s="21" t="str">
        <f>IF(AND($AM3699&lt;&gt;"",$AS3699="✓"),SUMPRODUCT(($AM$11:$AM3699&lt;&gt;"")*($AS$11:$AS3699="✓")),"")</f>
        <v/>
      </c>
      <c r="BA3699" s="21" t="str">
        <f>IF($AL3699="","",$AL3699&amp;"|"&amp;COUNTIF($AL$11:$AL3699,$AL3699))</f>
        <v/>
      </c>
    </row>
    <row r="3700" spans="38:53" ht="15" customHeight="1" x14ac:dyDescent="0.25">
      <c r="AL3700" s="31"/>
      <c r="AM3700" s="26"/>
      <c r="AN3700" s="32"/>
      <c r="AO3700" s="32"/>
      <c r="AP3700" s="24"/>
      <c r="AQ3700" s="24"/>
      <c r="AR3700" s="33"/>
      <c r="AS3700" s="34"/>
      <c r="AT3700" s="33"/>
      <c r="AV3700" s="21">
        <f>IF(AND($AL3700&lt;&gt;"",COUNTIF($AL$11:$AL3700,$AL3700)=1),1,0)</f>
        <v>0</v>
      </c>
      <c r="AW3700" s="21">
        <f t="shared" si="201"/>
        <v>2</v>
      </c>
      <c r="AX3700" s="21" t="str">
        <f t="shared" si="200"/>
        <v/>
      </c>
      <c r="AY3700" s="21" t="str">
        <f>IF(AND($AM3700&lt;&gt;"",$AS3700&lt;&gt;"✓"),SUMPRODUCT(($AM$11:$AM3700&lt;&gt;"")*($AS$11:$AS3700&lt;&gt;"✓")),"")</f>
        <v/>
      </c>
      <c r="AZ3700" s="21" t="str">
        <f>IF(AND($AM3700&lt;&gt;"",$AS3700="✓"),SUMPRODUCT(($AM$11:$AM3700&lt;&gt;"")*($AS$11:$AS3700="✓")),"")</f>
        <v/>
      </c>
      <c r="BA3700" s="21" t="str">
        <f>IF($AL3700="","",$AL3700&amp;"|"&amp;COUNTIF($AL$11:$AL3700,$AL3700))</f>
        <v/>
      </c>
    </row>
    <row r="3701" spans="38:53" ht="15" customHeight="1" x14ac:dyDescent="0.25">
      <c r="AL3701" s="17"/>
      <c r="AM3701" s="12"/>
      <c r="AN3701" s="18"/>
      <c r="AO3701" s="18"/>
      <c r="AP3701" s="10"/>
      <c r="AQ3701" s="10"/>
      <c r="AR3701" s="19"/>
      <c r="AS3701" s="20"/>
      <c r="AT3701" s="19"/>
      <c r="AV3701" s="21">
        <f>IF(AND($AL3701&lt;&gt;"",COUNTIF($AL$11:$AL3701,$AL3701)=1),1,0)</f>
        <v>0</v>
      </c>
      <c r="AW3701" s="21">
        <f t="shared" si="201"/>
        <v>2</v>
      </c>
      <c r="AX3701" s="21" t="str">
        <f t="shared" si="200"/>
        <v/>
      </c>
      <c r="AY3701" s="21" t="str">
        <f>IF(AND($AM3701&lt;&gt;"",$AS3701&lt;&gt;"✓"),SUMPRODUCT(($AM$11:$AM3701&lt;&gt;"")*($AS$11:$AS3701&lt;&gt;"✓")),"")</f>
        <v/>
      </c>
      <c r="AZ3701" s="21" t="str">
        <f>IF(AND($AM3701&lt;&gt;"",$AS3701="✓"),SUMPRODUCT(($AM$11:$AM3701&lt;&gt;"")*($AS$11:$AS3701="✓")),"")</f>
        <v/>
      </c>
      <c r="BA3701" s="21" t="str">
        <f>IF($AL3701="","",$AL3701&amp;"|"&amp;COUNTIF($AL$11:$AL3701,$AL3701))</f>
        <v/>
      </c>
    </row>
    <row r="3702" spans="38:53" ht="15" customHeight="1" x14ac:dyDescent="0.25">
      <c r="AL3702" s="31"/>
      <c r="AM3702" s="26"/>
      <c r="AN3702" s="32"/>
      <c r="AO3702" s="32"/>
      <c r="AP3702" s="24"/>
      <c r="AQ3702" s="24"/>
      <c r="AR3702" s="33"/>
      <c r="AS3702" s="34"/>
      <c r="AT3702" s="33"/>
      <c r="AV3702" s="21">
        <f>IF(AND($AL3702&lt;&gt;"",COUNTIF($AL$11:$AL3702,$AL3702)=1),1,0)</f>
        <v>0</v>
      </c>
      <c r="AW3702" s="21">
        <f t="shared" si="201"/>
        <v>2</v>
      </c>
      <c r="AX3702" s="21" t="str">
        <f t="shared" si="200"/>
        <v/>
      </c>
      <c r="AY3702" s="21" t="str">
        <f>IF(AND($AM3702&lt;&gt;"",$AS3702&lt;&gt;"✓"),SUMPRODUCT(($AM$11:$AM3702&lt;&gt;"")*($AS$11:$AS3702&lt;&gt;"✓")),"")</f>
        <v/>
      </c>
      <c r="AZ3702" s="21" t="str">
        <f>IF(AND($AM3702&lt;&gt;"",$AS3702="✓"),SUMPRODUCT(($AM$11:$AM3702&lt;&gt;"")*($AS$11:$AS3702="✓")),"")</f>
        <v/>
      </c>
      <c r="BA3702" s="21" t="str">
        <f>IF($AL3702="","",$AL3702&amp;"|"&amp;COUNTIF($AL$11:$AL3702,$AL3702))</f>
        <v/>
      </c>
    </row>
    <row r="3703" spans="38:53" ht="15" customHeight="1" x14ac:dyDescent="0.25">
      <c r="AL3703" s="17"/>
      <c r="AM3703" s="12"/>
      <c r="AN3703" s="18"/>
      <c r="AO3703" s="18"/>
      <c r="AP3703" s="10"/>
      <c r="AQ3703" s="10"/>
      <c r="AR3703" s="19"/>
      <c r="AS3703" s="20"/>
      <c r="AT3703" s="19"/>
      <c r="AV3703" s="21">
        <f>IF(AND($AL3703&lt;&gt;"",COUNTIF($AL$11:$AL3703,$AL3703)=1),1,0)</f>
        <v>0</v>
      </c>
      <c r="AW3703" s="21">
        <f t="shared" si="201"/>
        <v>2</v>
      </c>
      <c r="AX3703" s="21" t="str">
        <f t="shared" si="200"/>
        <v/>
      </c>
      <c r="AY3703" s="21" t="str">
        <f>IF(AND($AM3703&lt;&gt;"",$AS3703&lt;&gt;"✓"),SUMPRODUCT(($AM$11:$AM3703&lt;&gt;"")*($AS$11:$AS3703&lt;&gt;"✓")),"")</f>
        <v/>
      </c>
      <c r="AZ3703" s="21" t="str">
        <f>IF(AND($AM3703&lt;&gt;"",$AS3703="✓"),SUMPRODUCT(($AM$11:$AM3703&lt;&gt;"")*($AS$11:$AS3703="✓")),"")</f>
        <v/>
      </c>
      <c r="BA3703" s="21" t="str">
        <f>IF($AL3703="","",$AL3703&amp;"|"&amp;COUNTIF($AL$11:$AL3703,$AL3703))</f>
        <v/>
      </c>
    </row>
    <row r="3704" spans="38:53" ht="15" customHeight="1" x14ac:dyDescent="0.25">
      <c r="AL3704" s="31"/>
      <c r="AM3704" s="26"/>
      <c r="AN3704" s="32"/>
      <c r="AO3704" s="32"/>
      <c r="AP3704" s="24"/>
      <c r="AQ3704" s="24"/>
      <c r="AR3704" s="33"/>
      <c r="AS3704" s="34"/>
      <c r="AT3704" s="33"/>
      <c r="AV3704" s="21">
        <f>IF(AND($AL3704&lt;&gt;"",COUNTIF($AL$11:$AL3704,$AL3704)=1),1,0)</f>
        <v>0</v>
      </c>
      <c r="AW3704" s="21">
        <f t="shared" si="201"/>
        <v>2</v>
      </c>
      <c r="AX3704" s="21" t="str">
        <f t="shared" si="200"/>
        <v/>
      </c>
      <c r="AY3704" s="21" t="str">
        <f>IF(AND($AM3704&lt;&gt;"",$AS3704&lt;&gt;"✓"),SUMPRODUCT(($AM$11:$AM3704&lt;&gt;"")*($AS$11:$AS3704&lt;&gt;"✓")),"")</f>
        <v/>
      </c>
      <c r="AZ3704" s="21" t="str">
        <f>IF(AND($AM3704&lt;&gt;"",$AS3704="✓"),SUMPRODUCT(($AM$11:$AM3704&lt;&gt;"")*($AS$11:$AS3704="✓")),"")</f>
        <v/>
      </c>
      <c r="BA3704" s="21" t="str">
        <f>IF($AL3704="","",$AL3704&amp;"|"&amp;COUNTIF($AL$11:$AL3704,$AL3704))</f>
        <v/>
      </c>
    </row>
    <row r="3705" spans="38:53" ht="15" customHeight="1" x14ac:dyDescent="0.25">
      <c r="AL3705" s="17"/>
      <c r="AM3705" s="12"/>
      <c r="AN3705" s="18"/>
      <c r="AO3705" s="18"/>
      <c r="AP3705" s="10"/>
      <c r="AQ3705" s="10"/>
      <c r="AR3705" s="19"/>
      <c r="AS3705" s="20"/>
      <c r="AT3705" s="19"/>
      <c r="AV3705" s="21">
        <f>IF(AND($AL3705&lt;&gt;"",COUNTIF($AL$11:$AL3705,$AL3705)=1),1,0)</f>
        <v>0</v>
      </c>
      <c r="AW3705" s="21">
        <f t="shared" si="201"/>
        <v>2</v>
      </c>
      <c r="AX3705" s="21" t="str">
        <f t="shared" si="200"/>
        <v/>
      </c>
      <c r="AY3705" s="21" t="str">
        <f>IF(AND($AM3705&lt;&gt;"",$AS3705&lt;&gt;"✓"),SUMPRODUCT(($AM$11:$AM3705&lt;&gt;"")*($AS$11:$AS3705&lt;&gt;"✓")),"")</f>
        <v/>
      </c>
      <c r="AZ3705" s="21" t="str">
        <f>IF(AND($AM3705&lt;&gt;"",$AS3705="✓"),SUMPRODUCT(($AM$11:$AM3705&lt;&gt;"")*($AS$11:$AS3705="✓")),"")</f>
        <v/>
      </c>
      <c r="BA3705" s="21" t="str">
        <f>IF($AL3705="","",$AL3705&amp;"|"&amp;COUNTIF($AL$11:$AL3705,$AL3705))</f>
        <v/>
      </c>
    </row>
    <row r="3706" spans="38:53" ht="15" customHeight="1" x14ac:dyDescent="0.25">
      <c r="AL3706" s="31"/>
      <c r="AM3706" s="26"/>
      <c r="AN3706" s="32"/>
      <c r="AO3706" s="32"/>
      <c r="AP3706" s="24"/>
      <c r="AQ3706" s="24"/>
      <c r="AR3706" s="33"/>
      <c r="AS3706" s="34"/>
      <c r="AT3706" s="33"/>
      <c r="AV3706" s="21">
        <f>IF(AND($AL3706&lt;&gt;"",COUNTIF($AL$11:$AL3706,$AL3706)=1),1,0)</f>
        <v>0</v>
      </c>
      <c r="AW3706" s="21">
        <f t="shared" si="201"/>
        <v>2</v>
      </c>
      <c r="AX3706" s="21" t="str">
        <f t="shared" si="200"/>
        <v/>
      </c>
      <c r="AY3706" s="21" t="str">
        <f>IF(AND($AM3706&lt;&gt;"",$AS3706&lt;&gt;"✓"),SUMPRODUCT(($AM$11:$AM3706&lt;&gt;"")*($AS$11:$AS3706&lt;&gt;"✓")),"")</f>
        <v/>
      </c>
      <c r="AZ3706" s="21" t="str">
        <f>IF(AND($AM3706&lt;&gt;"",$AS3706="✓"),SUMPRODUCT(($AM$11:$AM3706&lt;&gt;"")*($AS$11:$AS3706="✓")),"")</f>
        <v/>
      </c>
      <c r="BA3706" s="21" t="str">
        <f>IF($AL3706="","",$AL3706&amp;"|"&amp;COUNTIF($AL$11:$AL3706,$AL3706))</f>
        <v/>
      </c>
    </row>
    <row r="3707" spans="38:53" ht="15" customHeight="1" x14ac:dyDescent="0.25">
      <c r="AL3707" s="17"/>
      <c r="AM3707" s="12"/>
      <c r="AN3707" s="18"/>
      <c r="AO3707" s="18"/>
      <c r="AP3707" s="10"/>
      <c r="AQ3707" s="10"/>
      <c r="AR3707" s="19"/>
      <c r="AS3707" s="20"/>
      <c r="AT3707" s="19"/>
      <c r="AV3707" s="21">
        <f>IF(AND($AL3707&lt;&gt;"",COUNTIF($AL$11:$AL3707,$AL3707)=1),1,0)</f>
        <v>0</v>
      </c>
      <c r="AW3707" s="21">
        <f t="shared" si="201"/>
        <v>2</v>
      </c>
      <c r="AX3707" s="21" t="str">
        <f t="shared" si="200"/>
        <v/>
      </c>
      <c r="AY3707" s="21" t="str">
        <f>IF(AND($AM3707&lt;&gt;"",$AS3707&lt;&gt;"✓"),SUMPRODUCT(($AM$11:$AM3707&lt;&gt;"")*($AS$11:$AS3707&lt;&gt;"✓")),"")</f>
        <v/>
      </c>
      <c r="AZ3707" s="21" t="str">
        <f>IF(AND($AM3707&lt;&gt;"",$AS3707="✓"),SUMPRODUCT(($AM$11:$AM3707&lt;&gt;"")*($AS$11:$AS3707="✓")),"")</f>
        <v/>
      </c>
      <c r="BA3707" s="21" t="str">
        <f>IF($AL3707="","",$AL3707&amp;"|"&amp;COUNTIF($AL$11:$AL3707,$AL3707))</f>
        <v/>
      </c>
    </row>
    <row r="3708" spans="38:53" ht="15" customHeight="1" x14ac:dyDescent="0.25">
      <c r="AL3708" s="31"/>
      <c r="AM3708" s="26"/>
      <c r="AN3708" s="32"/>
      <c r="AO3708" s="32"/>
      <c r="AP3708" s="24"/>
      <c r="AQ3708" s="24"/>
      <c r="AR3708" s="33"/>
      <c r="AS3708" s="34"/>
      <c r="AT3708" s="33"/>
      <c r="AV3708" s="21">
        <f>IF(AND($AL3708&lt;&gt;"",COUNTIF($AL$11:$AL3708,$AL3708)=1),1,0)</f>
        <v>0</v>
      </c>
      <c r="AW3708" s="21">
        <f t="shared" si="201"/>
        <v>2</v>
      </c>
      <c r="AX3708" s="21" t="str">
        <f t="shared" si="200"/>
        <v/>
      </c>
      <c r="AY3708" s="21" t="str">
        <f>IF(AND($AM3708&lt;&gt;"",$AS3708&lt;&gt;"✓"),SUMPRODUCT(($AM$11:$AM3708&lt;&gt;"")*($AS$11:$AS3708&lt;&gt;"✓")),"")</f>
        <v/>
      </c>
      <c r="AZ3708" s="21" t="str">
        <f>IF(AND($AM3708&lt;&gt;"",$AS3708="✓"),SUMPRODUCT(($AM$11:$AM3708&lt;&gt;"")*($AS$11:$AS3708="✓")),"")</f>
        <v/>
      </c>
      <c r="BA3708" s="21" t="str">
        <f>IF($AL3708="","",$AL3708&amp;"|"&amp;COUNTIF($AL$11:$AL3708,$AL3708))</f>
        <v/>
      </c>
    </row>
    <row r="3709" spans="38:53" ht="15" customHeight="1" x14ac:dyDescent="0.25">
      <c r="AL3709" s="17"/>
      <c r="AM3709" s="12"/>
      <c r="AN3709" s="18"/>
      <c r="AO3709" s="18"/>
      <c r="AP3709" s="10"/>
      <c r="AQ3709" s="10"/>
      <c r="AR3709" s="19"/>
      <c r="AS3709" s="20"/>
      <c r="AT3709" s="19"/>
      <c r="AV3709" s="21">
        <f>IF(AND($AL3709&lt;&gt;"",COUNTIF($AL$11:$AL3709,$AL3709)=1),1,0)</f>
        <v>0</v>
      </c>
      <c r="AW3709" s="21">
        <f t="shared" si="201"/>
        <v>2</v>
      </c>
      <c r="AX3709" s="21" t="str">
        <f t="shared" si="200"/>
        <v/>
      </c>
      <c r="AY3709" s="21" t="str">
        <f>IF(AND($AM3709&lt;&gt;"",$AS3709&lt;&gt;"✓"),SUMPRODUCT(($AM$11:$AM3709&lt;&gt;"")*($AS$11:$AS3709&lt;&gt;"✓")),"")</f>
        <v/>
      </c>
      <c r="AZ3709" s="21" t="str">
        <f>IF(AND($AM3709&lt;&gt;"",$AS3709="✓"),SUMPRODUCT(($AM$11:$AM3709&lt;&gt;"")*($AS$11:$AS3709="✓")),"")</f>
        <v/>
      </c>
      <c r="BA3709" s="21" t="str">
        <f>IF($AL3709="","",$AL3709&amp;"|"&amp;COUNTIF($AL$11:$AL3709,$AL3709))</f>
        <v/>
      </c>
    </row>
    <row r="3710" spans="38:53" ht="15" customHeight="1" x14ac:dyDescent="0.25">
      <c r="AL3710" s="31"/>
      <c r="AM3710" s="26"/>
      <c r="AN3710" s="32"/>
      <c r="AO3710" s="32"/>
      <c r="AP3710" s="24"/>
      <c r="AQ3710" s="24"/>
      <c r="AR3710" s="33"/>
      <c r="AS3710" s="34"/>
      <c r="AT3710" s="33"/>
      <c r="AV3710" s="21">
        <f>IF(AND($AL3710&lt;&gt;"",COUNTIF($AL$11:$AL3710,$AL3710)=1),1,0)</f>
        <v>0</v>
      </c>
      <c r="AW3710" s="21">
        <f t="shared" si="201"/>
        <v>2</v>
      </c>
      <c r="AX3710" s="21" t="str">
        <f t="shared" si="200"/>
        <v/>
      </c>
      <c r="AY3710" s="21" t="str">
        <f>IF(AND($AM3710&lt;&gt;"",$AS3710&lt;&gt;"✓"),SUMPRODUCT(($AM$11:$AM3710&lt;&gt;"")*($AS$11:$AS3710&lt;&gt;"✓")),"")</f>
        <v/>
      </c>
      <c r="AZ3710" s="21" t="str">
        <f>IF(AND($AM3710&lt;&gt;"",$AS3710="✓"),SUMPRODUCT(($AM$11:$AM3710&lt;&gt;"")*($AS$11:$AS3710="✓")),"")</f>
        <v/>
      </c>
      <c r="BA3710" s="21" t="str">
        <f>IF($AL3710="","",$AL3710&amp;"|"&amp;COUNTIF($AL$11:$AL3710,$AL3710))</f>
        <v/>
      </c>
    </row>
    <row r="3711" spans="38:53" ht="15" customHeight="1" x14ac:dyDescent="0.25">
      <c r="AL3711" s="17"/>
      <c r="AM3711" s="12"/>
      <c r="AN3711" s="18"/>
      <c r="AO3711" s="18"/>
      <c r="AP3711" s="10"/>
      <c r="AQ3711" s="10"/>
      <c r="AR3711" s="19"/>
      <c r="AS3711" s="20"/>
      <c r="AT3711" s="19"/>
      <c r="AV3711" s="21">
        <f>IF(AND($AL3711&lt;&gt;"",COUNTIF($AL$11:$AL3711,$AL3711)=1),1,0)</f>
        <v>0</v>
      </c>
      <c r="AW3711" s="21">
        <f t="shared" si="201"/>
        <v>2</v>
      </c>
      <c r="AX3711" s="21" t="str">
        <f t="shared" si="200"/>
        <v/>
      </c>
      <c r="AY3711" s="21" t="str">
        <f>IF(AND($AM3711&lt;&gt;"",$AS3711&lt;&gt;"✓"),SUMPRODUCT(($AM$11:$AM3711&lt;&gt;"")*($AS$11:$AS3711&lt;&gt;"✓")),"")</f>
        <v/>
      </c>
      <c r="AZ3711" s="21" t="str">
        <f>IF(AND($AM3711&lt;&gt;"",$AS3711="✓"),SUMPRODUCT(($AM$11:$AM3711&lt;&gt;"")*($AS$11:$AS3711="✓")),"")</f>
        <v/>
      </c>
      <c r="BA3711" s="21" t="str">
        <f>IF($AL3711="","",$AL3711&amp;"|"&amp;COUNTIF($AL$11:$AL3711,$AL3711))</f>
        <v/>
      </c>
    </row>
    <row r="3712" spans="38:53" ht="15" customHeight="1" x14ac:dyDescent="0.25">
      <c r="AL3712" s="31"/>
      <c r="AM3712" s="26"/>
      <c r="AN3712" s="32"/>
      <c r="AO3712" s="32"/>
      <c r="AP3712" s="24"/>
      <c r="AQ3712" s="24"/>
      <c r="AR3712" s="33"/>
      <c r="AS3712" s="34"/>
      <c r="AT3712" s="33"/>
      <c r="AV3712" s="21">
        <f>IF(AND($AL3712&lt;&gt;"",COUNTIF($AL$11:$AL3712,$AL3712)=1),1,0)</f>
        <v>0</v>
      </c>
      <c r="AW3712" s="21">
        <f t="shared" si="201"/>
        <v>2</v>
      </c>
      <c r="AX3712" s="21" t="str">
        <f t="shared" si="200"/>
        <v/>
      </c>
      <c r="AY3712" s="21" t="str">
        <f>IF(AND($AM3712&lt;&gt;"",$AS3712&lt;&gt;"✓"),SUMPRODUCT(($AM$11:$AM3712&lt;&gt;"")*($AS$11:$AS3712&lt;&gt;"✓")),"")</f>
        <v/>
      </c>
      <c r="AZ3712" s="21" t="str">
        <f>IF(AND($AM3712&lt;&gt;"",$AS3712="✓"),SUMPRODUCT(($AM$11:$AM3712&lt;&gt;"")*($AS$11:$AS3712="✓")),"")</f>
        <v/>
      </c>
      <c r="BA3712" s="21" t="str">
        <f>IF($AL3712="","",$AL3712&amp;"|"&amp;COUNTIF($AL$11:$AL3712,$AL3712))</f>
        <v/>
      </c>
    </row>
    <row r="3713" spans="38:53" ht="15" customHeight="1" x14ac:dyDescent="0.25">
      <c r="AL3713" s="17"/>
      <c r="AM3713" s="12"/>
      <c r="AN3713" s="18"/>
      <c r="AO3713" s="18"/>
      <c r="AP3713" s="10"/>
      <c r="AQ3713" s="10"/>
      <c r="AR3713" s="19"/>
      <c r="AS3713" s="20"/>
      <c r="AT3713" s="19"/>
      <c r="AV3713" s="21">
        <f>IF(AND($AL3713&lt;&gt;"",COUNTIF($AL$11:$AL3713,$AL3713)=1),1,0)</f>
        <v>0</v>
      </c>
      <c r="AW3713" s="21">
        <f t="shared" si="201"/>
        <v>2</v>
      </c>
      <c r="AX3713" s="21" t="str">
        <f t="shared" si="200"/>
        <v/>
      </c>
      <c r="AY3713" s="21" t="str">
        <f>IF(AND($AM3713&lt;&gt;"",$AS3713&lt;&gt;"✓"),SUMPRODUCT(($AM$11:$AM3713&lt;&gt;"")*($AS$11:$AS3713&lt;&gt;"✓")),"")</f>
        <v/>
      </c>
      <c r="AZ3713" s="21" t="str">
        <f>IF(AND($AM3713&lt;&gt;"",$AS3713="✓"),SUMPRODUCT(($AM$11:$AM3713&lt;&gt;"")*($AS$11:$AS3713="✓")),"")</f>
        <v/>
      </c>
      <c r="BA3713" s="21" t="str">
        <f>IF($AL3713="","",$AL3713&amp;"|"&amp;COUNTIF($AL$11:$AL3713,$AL3713))</f>
        <v/>
      </c>
    </row>
    <row r="3714" spans="38:53" ht="15" customHeight="1" x14ac:dyDescent="0.25">
      <c r="AL3714" s="31"/>
      <c r="AM3714" s="26"/>
      <c r="AN3714" s="32"/>
      <c r="AO3714" s="32"/>
      <c r="AP3714" s="24"/>
      <c r="AQ3714" s="24"/>
      <c r="AR3714" s="33"/>
      <c r="AS3714" s="34"/>
      <c r="AT3714" s="33"/>
      <c r="AV3714" s="21">
        <f>IF(AND($AL3714&lt;&gt;"",COUNTIF($AL$11:$AL3714,$AL3714)=1),1,0)</f>
        <v>0</v>
      </c>
      <c r="AW3714" s="21">
        <f t="shared" si="201"/>
        <v>2</v>
      </c>
      <c r="AX3714" s="21" t="str">
        <f t="shared" si="200"/>
        <v/>
      </c>
      <c r="AY3714" s="21" t="str">
        <f>IF(AND($AM3714&lt;&gt;"",$AS3714&lt;&gt;"✓"),SUMPRODUCT(($AM$11:$AM3714&lt;&gt;"")*($AS$11:$AS3714&lt;&gt;"✓")),"")</f>
        <v/>
      </c>
      <c r="AZ3714" s="21" t="str">
        <f>IF(AND($AM3714&lt;&gt;"",$AS3714="✓"),SUMPRODUCT(($AM$11:$AM3714&lt;&gt;"")*($AS$11:$AS3714="✓")),"")</f>
        <v/>
      </c>
      <c r="BA3714" s="21" t="str">
        <f>IF($AL3714="","",$AL3714&amp;"|"&amp;COUNTIF($AL$11:$AL3714,$AL3714))</f>
        <v/>
      </c>
    </row>
    <row r="3715" spans="38:53" ht="15" customHeight="1" x14ac:dyDescent="0.25">
      <c r="AL3715" s="17"/>
      <c r="AM3715" s="12"/>
      <c r="AN3715" s="18"/>
      <c r="AO3715" s="18"/>
      <c r="AP3715" s="10"/>
      <c r="AQ3715" s="10"/>
      <c r="AR3715" s="19"/>
      <c r="AS3715" s="20"/>
      <c r="AT3715" s="19"/>
      <c r="AV3715" s="21">
        <f>IF(AND($AL3715&lt;&gt;"",COUNTIF($AL$11:$AL3715,$AL3715)=1),1,0)</f>
        <v>0</v>
      </c>
      <c r="AW3715" s="21">
        <f t="shared" si="201"/>
        <v>2</v>
      </c>
      <c r="AX3715" s="21" t="str">
        <f t="shared" si="200"/>
        <v/>
      </c>
      <c r="AY3715" s="21" t="str">
        <f>IF(AND($AM3715&lt;&gt;"",$AS3715&lt;&gt;"✓"),SUMPRODUCT(($AM$11:$AM3715&lt;&gt;"")*($AS$11:$AS3715&lt;&gt;"✓")),"")</f>
        <v/>
      </c>
      <c r="AZ3715" s="21" t="str">
        <f>IF(AND($AM3715&lt;&gt;"",$AS3715="✓"),SUMPRODUCT(($AM$11:$AM3715&lt;&gt;"")*($AS$11:$AS3715="✓")),"")</f>
        <v/>
      </c>
      <c r="BA3715" s="21" t="str">
        <f>IF($AL3715="","",$AL3715&amp;"|"&amp;COUNTIF($AL$11:$AL3715,$AL3715))</f>
        <v/>
      </c>
    </row>
    <row r="3716" spans="38:53" ht="15" customHeight="1" x14ac:dyDescent="0.25">
      <c r="AL3716" s="31"/>
      <c r="AM3716" s="26"/>
      <c r="AN3716" s="32"/>
      <c r="AO3716" s="32"/>
      <c r="AP3716" s="24"/>
      <c r="AQ3716" s="24"/>
      <c r="AR3716" s="33"/>
      <c r="AS3716" s="34"/>
      <c r="AT3716" s="33"/>
      <c r="AV3716" s="21">
        <f>IF(AND($AL3716&lt;&gt;"",COUNTIF($AL$11:$AL3716,$AL3716)=1),1,0)</f>
        <v>0</v>
      </c>
      <c r="AW3716" s="21">
        <f t="shared" si="201"/>
        <v>2</v>
      </c>
      <c r="AX3716" s="21" t="str">
        <f t="shared" si="200"/>
        <v/>
      </c>
      <c r="AY3716" s="21" t="str">
        <f>IF(AND($AM3716&lt;&gt;"",$AS3716&lt;&gt;"✓"),SUMPRODUCT(($AM$11:$AM3716&lt;&gt;"")*($AS$11:$AS3716&lt;&gt;"✓")),"")</f>
        <v/>
      </c>
      <c r="AZ3716" s="21" t="str">
        <f>IF(AND($AM3716&lt;&gt;"",$AS3716="✓"),SUMPRODUCT(($AM$11:$AM3716&lt;&gt;"")*($AS$11:$AS3716="✓")),"")</f>
        <v/>
      </c>
      <c r="BA3716" s="21" t="str">
        <f>IF($AL3716="","",$AL3716&amp;"|"&amp;COUNTIF($AL$11:$AL3716,$AL3716))</f>
        <v/>
      </c>
    </row>
    <row r="3717" spans="38:53" ht="15" customHeight="1" x14ac:dyDescent="0.25">
      <c r="AL3717" s="17"/>
      <c r="AM3717" s="12"/>
      <c r="AN3717" s="18"/>
      <c r="AO3717" s="18"/>
      <c r="AP3717" s="10"/>
      <c r="AQ3717" s="10"/>
      <c r="AR3717" s="19"/>
      <c r="AS3717" s="20"/>
      <c r="AT3717" s="19"/>
      <c r="AV3717" s="21">
        <f>IF(AND($AL3717&lt;&gt;"",COUNTIF($AL$11:$AL3717,$AL3717)=1),1,0)</f>
        <v>0</v>
      </c>
      <c r="AW3717" s="21">
        <f t="shared" si="201"/>
        <v>2</v>
      </c>
      <c r="AX3717" s="21" t="str">
        <f t="shared" si="200"/>
        <v/>
      </c>
      <c r="AY3717" s="21" t="str">
        <f>IF(AND($AM3717&lt;&gt;"",$AS3717&lt;&gt;"✓"),SUMPRODUCT(($AM$11:$AM3717&lt;&gt;"")*($AS$11:$AS3717&lt;&gt;"✓")),"")</f>
        <v/>
      </c>
      <c r="AZ3717" s="21" t="str">
        <f>IF(AND($AM3717&lt;&gt;"",$AS3717="✓"),SUMPRODUCT(($AM$11:$AM3717&lt;&gt;"")*($AS$11:$AS3717="✓")),"")</f>
        <v/>
      </c>
      <c r="BA3717" s="21" t="str">
        <f>IF($AL3717="","",$AL3717&amp;"|"&amp;COUNTIF($AL$11:$AL3717,$AL3717))</f>
        <v/>
      </c>
    </row>
    <row r="3718" spans="38:53" ht="15" customHeight="1" x14ac:dyDescent="0.25">
      <c r="AL3718" s="31"/>
      <c r="AM3718" s="26"/>
      <c r="AN3718" s="32"/>
      <c r="AO3718" s="32"/>
      <c r="AP3718" s="24"/>
      <c r="AQ3718" s="24"/>
      <c r="AR3718" s="33"/>
      <c r="AS3718" s="34"/>
      <c r="AT3718" s="33"/>
      <c r="AV3718" s="21">
        <f>IF(AND($AL3718&lt;&gt;"",COUNTIF($AL$11:$AL3718,$AL3718)=1),1,0)</f>
        <v>0</v>
      </c>
      <c r="AW3718" s="21">
        <f t="shared" si="201"/>
        <v>2</v>
      </c>
      <c r="AX3718" s="21" t="str">
        <f t="shared" si="200"/>
        <v/>
      </c>
      <c r="AY3718" s="21" t="str">
        <f>IF(AND($AM3718&lt;&gt;"",$AS3718&lt;&gt;"✓"),SUMPRODUCT(($AM$11:$AM3718&lt;&gt;"")*($AS$11:$AS3718&lt;&gt;"✓")),"")</f>
        <v/>
      </c>
      <c r="AZ3718" s="21" t="str">
        <f>IF(AND($AM3718&lt;&gt;"",$AS3718="✓"),SUMPRODUCT(($AM$11:$AM3718&lt;&gt;"")*($AS$11:$AS3718="✓")),"")</f>
        <v/>
      </c>
      <c r="BA3718" s="21" t="str">
        <f>IF($AL3718="","",$AL3718&amp;"|"&amp;COUNTIF($AL$11:$AL3718,$AL3718))</f>
        <v/>
      </c>
    </row>
    <row r="3719" spans="38:53" ht="15" customHeight="1" x14ac:dyDescent="0.25">
      <c r="AL3719" s="17"/>
      <c r="AM3719" s="12"/>
      <c r="AN3719" s="18"/>
      <c r="AO3719" s="18"/>
      <c r="AP3719" s="10"/>
      <c r="AQ3719" s="10"/>
      <c r="AR3719" s="19"/>
      <c r="AS3719" s="20"/>
      <c r="AT3719" s="19"/>
      <c r="AV3719" s="21">
        <f>IF(AND($AL3719&lt;&gt;"",COUNTIF($AL$11:$AL3719,$AL3719)=1),1,0)</f>
        <v>0</v>
      </c>
      <c r="AW3719" s="21">
        <f t="shared" si="201"/>
        <v>2</v>
      </c>
      <c r="AX3719" s="21" t="str">
        <f t="shared" si="200"/>
        <v/>
      </c>
      <c r="AY3719" s="21" t="str">
        <f>IF(AND($AM3719&lt;&gt;"",$AS3719&lt;&gt;"✓"),SUMPRODUCT(($AM$11:$AM3719&lt;&gt;"")*($AS$11:$AS3719&lt;&gt;"✓")),"")</f>
        <v/>
      </c>
      <c r="AZ3719" s="21" t="str">
        <f>IF(AND($AM3719&lt;&gt;"",$AS3719="✓"),SUMPRODUCT(($AM$11:$AM3719&lt;&gt;"")*($AS$11:$AS3719="✓")),"")</f>
        <v/>
      </c>
      <c r="BA3719" s="21" t="str">
        <f>IF($AL3719="","",$AL3719&amp;"|"&amp;COUNTIF($AL$11:$AL3719,$AL3719))</f>
        <v/>
      </c>
    </row>
    <row r="3720" spans="38:53" ht="15" customHeight="1" x14ac:dyDescent="0.25">
      <c r="AL3720" s="31"/>
      <c r="AM3720" s="26"/>
      <c r="AN3720" s="32"/>
      <c r="AO3720" s="32"/>
      <c r="AP3720" s="24"/>
      <c r="AQ3720" s="24"/>
      <c r="AR3720" s="33"/>
      <c r="AS3720" s="34"/>
      <c r="AT3720" s="33"/>
      <c r="AV3720" s="21">
        <f>IF(AND($AL3720&lt;&gt;"",COUNTIF($AL$11:$AL3720,$AL3720)=1),1,0)</f>
        <v>0</v>
      </c>
      <c r="AW3720" s="21">
        <f t="shared" si="201"/>
        <v>2</v>
      </c>
      <c r="AX3720" s="21" t="str">
        <f t="shared" si="200"/>
        <v/>
      </c>
      <c r="AY3720" s="21" t="str">
        <f>IF(AND($AM3720&lt;&gt;"",$AS3720&lt;&gt;"✓"),SUMPRODUCT(($AM$11:$AM3720&lt;&gt;"")*($AS$11:$AS3720&lt;&gt;"✓")),"")</f>
        <v/>
      </c>
      <c r="AZ3720" s="21" t="str">
        <f>IF(AND($AM3720&lt;&gt;"",$AS3720="✓"),SUMPRODUCT(($AM$11:$AM3720&lt;&gt;"")*($AS$11:$AS3720="✓")),"")</f>
        <v/>
      </c>
      <c r="BA3720" s="21" t="str">
        <f>IF($AL3720="","",$AL3720&amp;"|"&amp;COUNTIF($AL$11:$AL3720,$AL3720))</f>
        <v/>
      </c>
    </row>
    <row r="3721" spans="38:53" ht="15" customHeight="1" x14ac:dyDescent="0.25">
      <c r="AL3721" s="17"/>
      <c r="AM3721" s="12"/>
      <c r="AN3721" s="18"/>
      <c r="AO3721" s="18"/>
      <c r="AP3721" s="10"/>
      <c r="AQ3721" s="10"/>
      <c r="AR3721" s="19"/>
      <c r="AS3721" s="20"/>
      <c r="AT3721" s="19"/>
      <c r="AV3721" s="21">
        <f>IF(AND($AL3721&lt;&gt;"",COUNTIF($AL$11:$AL3721,$AL3721)=1),1,0)</f>
        <v>0</v>
      </c>
      <c r="AW3721" s="21">
        <f t="shared" si="201"/>
        <v>2</v>
      </c>
      <c r="AX3721" s="21" t="str">
        <f t="shared" si="200"/>
        <v/>
      </c>
      <c r="AY3721" s="21" t="str">
        <f>IF(AND($AM3721&lt;&gt;"",$AS3721&lt;&gt;"✓"),SUMPRODUCT(($AM$11:$AM3721&lt;&gt;"")*($AS$11:$AS3721&lt;&gt;"✓")),"")</f>
        <v/>
      </c>
      <c r="AZ3721" s="21" t="str">
        <f>IF(AND($AM3721&lt;&gt;"",$AS3721="✓"),SUMPRODUCT(($AM$11:$AM3721&lt;&gt;"")*($AS$11:$AS3721="✓")),"")</f>
        <v/>
      </c>
      <c r="BA3721" s="21" t="str">
        <f>IF($AL3721="","",$AL3721&amp;"|"&amp;COUNTIF($AL$11:$AL3721,$AL3721))</f>
        <v/>
      </c>
    </row>
    <row r="3722" spans="38:53" ht="15" customHeight="1" x14ac:dyDescent="0.25">
      <c r="AL3722" s="31"/>
      <c r="AM3722" s="26"/>
      <c r="AN3722" s="32"/>
      <c r="AO3722" s="32"/>
      <c r="AP3722" s="24"/>
      <c r="AQ3722" s="24"/>
      <c r="AR3722" s="33"/>
      <c r="AS3722" s="34"/>
      <c r="AT3722" s="33"/>
      <c r="AV3722" s="21">
        <f>IF(AND($AL3722&lt;&gt;"",COUNTIF($AL$11:$AL3722,$AL3722)=1),1,0)</f>
        <v>0</v>
      </c>
      <c r="AW3722" s="21">
        <f t="shared" si="201"/>
        <v>2</v>
      </c>
      <c r="AX3722" s="21" t="str">
        <f t="shared" si="200"/>
        <v/>
      </c>
      <c r="AY3722" s="21" t="str">
        <f>IF(AND($AM3722&lt;&gt;"",$AS3722&lt;&gt;"✓"),SUMPRODUCT(($AM$11:$AM3722&lt;&gt;"")*($AS$11:$AS3722&lt;&gt;"✓")),"")</f>
        <v/>
      </c>
      <c r="AZ3722" s="21" t="str">
        <f>IF(AND($AM3722&lt;&gt;"",$AS3722="✓"),SUMPRODUCT(($AM$11:$AM3722&lt;&gt;"")*($AS$11:$AS3722="✓")),"")</f>
        <v/>
      </c>
      <c r="BA3722" s="21" t="str">
        <f>IF($AL3722="","",$AL3722&amp;"|"&amp;COUNTIF($AL$11:$AL3722,$AL3722))</f>
        <v/>
      </c>
    </row>
    <row r="3723" spans="38:53" ht="15" customHeight="1" x14ac:dyDescent="0.25">
      <c r="AL3723" s="17"/>
      <c r="AM3723" s="12"/>
      <c r="AN3723" s="18"/>
      <c r="AO3723" s="18"/>
      <c r="AP3723" s="10"/>
      <c r="AQ3723" s="10"/>
      <c r="AR3723" s="19"/>
      <c r="AS3723" s="20"/>
      <c r="AT3723" s="19"/>
      <c r="AV3723" s="21">
        <f>IF(AND($AL3723&lt;&gt;"",COUNTIF($AL$11:$AL3723,$AL3723)=1),1,0)</f>
        <v>0</v>
      </c>
      <c r="AW3723" s="21">
        <f t="shared" si="201"/>
        <v>2</v>
      </c>
      <c r="AX3723" s="21" t="str">
        <f t="shared" ref="AX3723:AX3786" si="202">IF(AV3723=1,AW3723,"")</f>
        <v/>
      </c>
      <c r="AY3723" s="21" t="str">
        <f>IF(AND($AM3723&lt;&gt;"",$AS3723&lt;&gt;"✓"),SUMPRODUCT(($AM$11:$AM3723&lt;&gt;"")*($AS$11:$AS3723&lt;&gt;"✓")),"")</f>
        <v/>
      </c>
      <c r="AZ3723" s="21" t="str">
        <f>IF(AND($AM3723&lt;&gt;"",$AS3723="✓"),SUMPRODUCT(($AM$11:$AM3723&lt;&gt;"")*($AS$11:$AS3723="✓")),"")</f>
        <v/>
      </c>
      <c r="BA3723" s="21" t="str">
        <f>IF($AL3723="","",$AL3723&amp;"|"&amp;COUNTIF($AL$11:$AL3723,$AL3723))</f>
        <v/>
      </c>
    </row>
    <row r="3724" spans="38:53" ht="15" customHeight="1" x14ac:dyDescent="0.25">
      <c r="AL3724" s="31"/>
      <c r="AM3724" s="26"/>
      <c r="AN3724" s="32"/>
      <c r="AO3724" s="32"/>
      <c r="AP3724" s="24"/>
      <c r="AQ3724" s="24"/>
      <c r="AR3724" s="33"/>
      <c r="AS3724" s="34"/>
      <c r="AT3724" s="33"/>
      <c r="AV3724" s="21">
        <f>IF(AND($AL3724&lt;&gt;"",COUNTIF($AL$11:$AL3724,$AL3724)=1),1,0)</f>
        <v>0</v>
      </c>
      <c r="AW3724" s="21">
        <f t="shared" ref="AW3724:AW3787" si="203">AW3723+AV3724</f>
        <v>2</v>
      </c>
      <c r="AX3724" s="21" t="str">
        <f t="shared" si="202"/>
        <v/>
      </c>
      <c r="AY3724" s="21" t="str">
        <f>IF(AND($AM3724&lt;&gt;"",$AS3724&lt;&gt;"✓"),SUMPRODUCT(($AM$11:$AM3724&lt;&gt;"")*($AS$11:$AS3724&lt;&gt;"✓")),"")</f>
        <v/>
      </c>
      <c r="AZ3724" s="21" t="str">
        <f>IF(AND($AM3724&lt;&gt;"",$AS3724="✓"),SUMPRODUCT(($AM$11:$AM3724&lt;&gt;"")*($AS$11:$AS3724="✓")),"")</f>
        <v/>
      </c>
      <c r="BA3724" s="21" t="str">
        <f>IF($AL3724="","",$AL3724&amp;"|"&amp;COUNTIF($AL$11:$AL3724,$AL3724))</f>
        <v/>
      </c>
    </row>
    <row r="3725" spans="38:53" ht="15" customHeight="1" x14ac:dyDescent="0.25">
      <c r="AL3725" s="17"/>
      <c r="AM3725" s="12"/>
      <c r="AN3725" s="18"/>
      <c r="AO3725" s="18"/>
      <c r="AP3725" s="10"/>
      <c r="AQ3725" s="10"/>
      <c r="AR3725" s="19"/>
      <c r="AS3725" s="20"/>
      <c r="AT3725" s="19"/>
      <c r="AV3725" s="21">
        <f>IF(AND($AL3725&lt;&gt;"",COUNTIF($AL$11:$AL3725,$AL3725)=1),1,0)</f>
        <v>0</v>
      </c>
      <c r="AW3725" s="21">
        <f t="shared" si="203"/>
        <v>2</v>
      </c>
      <c r="AX3725" s="21" t="str">
        <f t="shared" si="202"/>
        <v/>
      </c>
      <c r="AY3725" s="21" t="str">
        <f>IF(AND($AM3725&lt;&gt;"",$AS3725&lt;&gt;"✓"),SUMPRODUCT(($AM$11:$AM3725&lt;&gt;"")*($AS$11:$AS3725&lt;&gt;"✓")),"")</f>
        <v/>
      </c>
      <c r="AZ3725" s="21" t="str">
        <f>IF(AND($AM3725&lt;&gt;"",$AS3725="✓"),SUMPRODUCT(($AM$11:$AM3725&lt;&gt;"")*($AS$11:$AS3725="✓")),"")</f>
        <v/>
      </c>
      <c r="BA3725" s="21" t="str">
        <f>IF($AL3725="","",$AL3725&amp;"|"&amp;COUNTIF($AL$11:$AL3725,$AL3725))</f>
        <v/>
      </c>
    </row>
    <row r="3726" spans="38:53" ht="15" customHeight="1" x14ac:dyDescent="0.25">
      <c r="AL3726" s="31"/>
      <c r="AM3726" s="26"/>
      <c r="AN3726" s="32"/>
      <c r="AO3726" s="32"/>
      <c r="AP3726" s="24"/>
      <c r="AQ3726" s="24"/>
      <c r="AR3726" s="33"/>
      <c r="AS3726" s="34"/>
      <c r="AT3726" s="33"/>
      <c r="AV3726" s="21">
        <f>IF(AND($AL3726&lt;&gt;"",COUNTIF($AL$11:$AL3726,$AL3726)=1),1,0)</f>
        <v>0</v>
      </c>
      <c r="AW3726" s="21">
        <f t="shared" si="203"/>
        <v>2</v>
      </c>
      <c r="AX3726" s="21" t="str">
        <f t="shared" si="202"/>
        <v/>
      </c>
      <c r="AY3726" s="21" t="str">
        <f>IF(AND($AM3726&lt;&gt;"",$AS3726&lt;&gt;"✓"),SUMPRODUCT(($AM$11:$AM3726&lt;&gt;"")*($AS$11:$AS3726&lt;&gt;"✓")),"")</f>
        <v/>
      </c>
      <c r="AZ3726" s="21" t="str">
        <f>IF(AND($AM3726&lt;&gt;"",$AS3726="✓"),SUMPRODUCT(($AM$11:$AM3726&lt;&gt;"")*($AS$11:$AS3726="✓")),"")</f>
        <v/>
      </c>
      <c r="BA3726" s="21" t="str">
        <f>IF($AL3726="","",$AL3726&amp;"|"&amp;COUNTIF($AL$11:$AL3726,$AL3726))</f>
        <v/>
      </c>
    </row>
    <row r="3727" spans="38:53" ht="15" customHeight="1" x14ac:dyDescent="0.25">
      <c r="AL3727" s="17"/>
      <c r="AM3727" s="12"/>
      <c r="AN3727" s="18"/>
      <c r="AO3727" s="18"/>
      <c r="AP3727" s="10"/>
      <c r="AQ3727" s="10"/>
      <c r="AR3727" s="19"/>
      <c r="AS3727" s="20"/>
      <c r="AT3727" s="19"/>
      <c r="AV3727" s="21">
        <f>IF(AND($AL3727&lt;&gt;"",COUNTIF($AL$11:$AL3727,$AL3727)=1),1,0)</f>
        <v>0</v>
      </c>
      <c r="AW3727" s="21">
        <f t="shared" si="203"/>
        <v>2</v>
      </c>
      <c r="AX3727" s="21" t="str">
        <f t="shared" si="202"/>
        <v/>
      </c>
      <c r="AY3727" s="21" t="str">
        <f>IF(AND($AM3727&lt;&gt;"",$AS3727&lt;&gt;"✓"),SUMPRODUCT(($AM$11:$AM3727&lt;&gt;"")*($AS$11:$AS3727&lt;&gt;"✓")),"")</f>
        <v/>
      </c>
      <c r="AZ3727" s="21" t="str">
        <f>IF(AND($AM3727&lt;&gt;"",$AS3727="✓"),SUMPRODUCT(($AM$11:$AM3727&lt;&gt;"")*($AS$11:$AS3727="✓")),"")</f>
        <v/>
      </c>
      <c r="BA3727" s="21" t="str">
        <f>IF($AL3727="","",$AL3727&amp;"|"&amp;COUNTIF($AL$11:$AL3727,$AL3727))</f>
        <v/>
      </c>
    </row>
    <row r="3728" spans="38:53" ht="15" customHeight="1" x14ac:dyDescent="0.25">
      <c r="AL3728" s="31"/>
      <c r="AM3728" s="26"/>
      <c r="AN3728" s="32"/>
      <c r="AO3728" s="32"/>
      <c r="AP3728" s="24"/>
      <c r="AQ3728" s="24"/>
      <c r="AR3728" s="33"/>
      <c r="AS3728" s="34"/>
      <c r="AT3728" s="33"/>
      <c r="AV3728" s="21">
        <f>IF(AND($AL3728&lt;&gt;"",COUNTIF($AL$11:$AL3728,$AL3728)=1),1,0)</f>
        <v>0</v>
      </c>
      <c r="AW3728" s="21">
        <f t="shared" si="203"/>
        <v>2</v>
      </c>
      <c r="AX3728" s="21" t="str">
        <f t="shared" si="202"/>
        <v/>
      </c>
      <c r="AY3728" s="21" t="str">
        <f>IF(AND($AM3728&lt;&gt;"",$AS3728&lt;&gt;"✓"),SUMPRODUCT(($AM$11:$AM3728&lt;&gt;"")*($AS$11:$AS3728&lt;&gt;"✓")),"")</f>
        <v/>
      </c>
      <c r="AZ3728" s="21" t="str">
        <f>IF(AND($AM3728&lt;&gt;"",$AS3728="✓"),SUMPRODUCT(($AM$11:$AM3728&lt;&gt;"")*($AS$11:$AS3728="✓")),"")</f>
        <v/>
      </c>
      <c r="BA3728" s="21" t="str">
        <f>IF($AL3728="","",$AL3728&amp;"|"&amp;COUNTIF($AL$11:$AL3728,$AL3728))</f>
        <v/>
      </c>
    </row>
    <row r="3729" spans="38:53" ht="15" customHeight="1" x14ac:dyDescent="0.25">
      <c r="AL3729" s="17"/>
      <c r="AM3729" s="12"/>
      <c r="AN3729" s="18"/>
      <c r="AO3729" s="18"/>
      <c r="AP3729" s="10"/>
      <c r="AQ3729" s="10"/>
      <c r="AR3729" s="19"/>
      <c r="AS3729" s="20"/>
      <c r="AT3729" s="19"/>
      <c r="AV3729" s="21">
        <f>IF(AND($AL3729&lt;&gt;"",COUNTIF($AL$11:$AL3729,$AL3729)=1),1,0)</f>
        <v>0</v>
      </c>
      <c r="AW3729" s="21">
        <f t="shared" si="203"/>
        <v>2</v>
      </c>
      <c r="AX3729" s="21" t="str">
        <f t="shared" si="202"/>
        <v/>
      </c>
      <c r="AY3729" s="21" t="str">
        <f>IF(AND($AM3729&lt;&gt;"",$AS3729&lt;&gt;"✓"),SUMPRODUCT(($AM$11:$AM3729&lt;&gt;"")*($AS$11:$AS3729&lt;&gt;"✓")),"")</f>
        <v/>
      </c>
      <c r="AZ3729" s="21" t="str">
        <f>IF(AND($AM3729&lt;&gt;"",$AS3729="✓"),SUMPRODUCT(($AM$11:$AM3729&lt;&gt;"")*($AS$11:$AS3729="✓")),"")</f>
        <v/>
      </c>
      <c r="BA3729" s="21" t="str">
        <f>IF($AL3729="","",$AL3729&amp;"|"&amp;COUNTIF($AL$11:$AL3729,$AL3729))</f>
        <v/>
      </c>
    </row>
    <row r="3730" spans="38:53" ht="15" customHeight="1" x14ac:dyDescent="0.25">
      <c r="AL3730" s="31"/>
      <c r="AM3730" s="26"/>
      <c r="AN3730" s="32"/>
      <c r="AO3730" s="32"/>
      <c r="AP3730" s="24"/>
      <c r="AQ3730" s="24"/>
      <c r="AR3730" s="33"/>
      <c r="AS3730" s="34"/>
      <c r="AT3730" s="33"/>
      <c r="AV3730" s="21">
        <f>IF(AND($AL3730&lt;&gt;"",COUNTIF($AL$11:$AL3730,$AL3730)=1),1,0)</f>
        <v>0</v>
      </c>
      <c r="AW3730" s="21">
        <f t="shared" si="203"/>
        <v>2</v>
      </c>
      <c r="AX3730" s="21" t="str">
        <f t="shared" si="202"/>
        <v/>
      </c>
      <c r="AY3730" s="21" t="str">
        <f>IF(AND($AM3730&lt;&gt;"",$AS3730&lt;&gt;"✓"),SUMPRODUCT(($AM$11:$AM3730&lt;&gt;"")*($AS$11:$AS3730&lt;&gt;"✓")),"")</f>
        <v/>
      </c>
      <c r="AZ3730" s="21" t="str">
        <f>IF(AND($AM3730&lt;&gt;"",$AS3730="✓"),SUMPRODUCT(($AM$11:$AM3730&lt;&gt;"")*($AS$11:$AS3730="✓")),"")</f>
        <v/>
      </c>
      <c r="BA3730" s="21" t="str">
        <f>IF($AL3730="","",$AL3730&amp;"|"&amp;COUNTIF($AL$11:$AL3730,$AL3730))</f>
        <v/>
      </c>
    </row>
    <row r="3731" spans="38:53" ht="15" customHeight="1" x14ac:dyDescent="0.25">
      <c r="AL3731" s="17"/>
      <c r="AM3731" s="12"/>
      <c r="AN3731" s="18"/>
      <c r="AO3731" s="18"/>
      <c r="AP3731" s="10"/>
      <c r="AQ3731" s="10"/>
      <c r="AR3731" s="19"/>
      <c r="AS3731" s="20"/>
      <c r="AT3731" s="19"/>
      <c r="AV3731" s="21">
        <f>IF(AND($AL3731&lt;&gt;"",COUNTIF($AL$11:$AL3731,$AL3731)=1),1,0)</f>
        <v>0</v>
      </c>
      <c r="AW3731" s="21">
        <f t="shared" si="203"/>
        <v>2</v>
      </c>
      <c r="AX3731" s="21" t="str">
        <f t="shared" si="202"/>
        <v/>
      </c>
      <c r="AY3731" s="21" t="str">
        <f>IF(AND($AM3731&lt;&gt;"",$AS3731&lt;&gt;"✓"),SUMPRODUCT(($AM$11:$AM3731&lt;&gt;"")*($AS$11:$AS3731&lt;&gt;"✓")),"")</f>
        <v/>
      </c>
      <c r="AZ3731" s="21" t="str">
        <f>IF(AND($AM3731&lt;&gt;"",$AS3731="✓"),SUMPRODUCT(($AM$11:$AM3731&lt;&gt;"")*($AS$11:$AS3731="✓")),"")</f>
        <v/>
      </c>
      <c r="BA3731" s="21" t="str">
        <f>IF($AL3731="","",$AL3731&amp;"|"&amp;COUNTIF($AL$11:$AL3731,$AL3731))</f>
        <v/>
      </c>
    </row>
    <row r="3732" spans="38:53" ht="15" customHeight="1" x14ac:dyDescent="0.25">
      <c r="AL3732" s="31"/>
      <c r="AM3732" s="26"/>
      <c r="AN3732" s="32"/>
      <c r="AO3732" s="32"/>
      <c r="AP3732" s="24"/>
      <c r="AQ3732" s="24"/>
      <c r="AR3732" s="33"/>
      <c r="AS3732" s="34"/>
      <c r="AT3732" s="33"/>
      <c r="AV3732" s="21">
        <f>IF(AND($AL3732&lt;&gt;"",COUNTIF($AL$11:$AL3732,$AL3732)=1),1,0)</f>
        <v>0</v>
      </c>
      <c r="AW3732" s="21">
        <f t="shared" si="203"/>
        <v>2</v>
      </c>
      <c r="AX3732" s="21" t="str">
        <f t="shared" si="202"/>
        <v/>
      </c>
      <c r="AY3732" s="21" t="str">
        <f>IF(AND($AM3732&lt;&gt;"",$AS3732&lt;&gt;"✓"),SUMPRODUCT(($AM$11:$AM3732&lt;&gt;"")*($AS$11:$AS3732&lt;&gt;"✓")),"")</f>
        <v/>
      </c>
      <c r="AZ3732" s="21" t="str">
        <f>IF(AND($AM3732&lt;&gt;"",$AS3732="✓"),SUMPRODUCT(($AM$11:$AM3732&lt;&gt;"")*($AS$11:$AS3732="✓")),"")</f>
        <v/>
      </c>
      <c r="BA3732" s="21" t="str">
        <f>IF($AL3732="","",$AL3732&amp;"|"&amp;COUNTIF($AL$11:$AL3732,$AL3732))</f>
        <v/>
      </c>
    </row>
    <row r="3733" spans="38:53" ht="15" customHeight="1" x14ac:dyDescent="0.25">
      <c r="AL3733" s="17"/>
      <c r="AM3733" s="12"/>
      <c r="AN3733" s="18"/>
      <c r="AO3733" s="18"/>
      <c r="AP3733" s="10"/>
      <c r="AQ3733" s="10"/>
      <c r="AR3733" s="19"/>
      <c r="AS3733" s="20"/>
      <c r="AT3733" s="19"/>
      <c r="AV3733" s="21">
        <f>IF(AND($AL3733&lt;&gt;"",COUNTIF($AL$11:$AL3733,$AL3733)=1),1,0)</f>
        <v>0</v>
      </c>
      <c r="AW3733" s="21">
        <f t="shared" si="203"/>
        <v>2</v>
      </c>
      <c r="AX3733" s="21" t="str">
        <f t="shared" si="202"/>
        <v/>
      </c>
      <c r="AY3733" s="21" t="str">
        <f>IF(AND($AM3733&lt;&gt;"",$AS3733&lt;&gt;"✓"),SUMPRODUCT(($AM$11:$AM3733&lt;&gt;"")*($AS$11:$AS3733&lt;&gt;"✓")),"")</f>
        <v/>
      </c>
      <c r="AZ3733" s="21" t="str">
        <f>IF(AND($AM3733&lt;&gt;"",$AS3733="✓"),SUMPRODUCT(($AM$11:$AM3733&lt;&gt;"")*($AS$11:$AS3733="✓")),"")</f>
        <v/>
      </c>
      <c r="BA3733" s="21" t="str">
        <f>IF($AL3733="","",$AL3733&amp;"|"&amp;COUNTIF($AL$11:$AL3733,$AL3733))</f>
        <v/>
      </c>
    </row>
    <row r="3734" spans="38:53" ht="15" customHeight="1" x14ac:dyDescent="0.25">
      <c r="AL3734" s="31"/>
      <c r="AM3734" s="26"/>
      <c r="AN3734" s="32"/>
      <c r="AO3734" s="32"/>
      <c r="AP3734" s="24"/>
      <c r="AQ3734" s="24"/>
      <c r="AR3734" s="33"/>
      <c r="AS3734" s="34"/>
      <c r="AT3734" s="33"/>
      <c r="AV3734" s="21">
        <f>IF(AND($AL3734&lt;&gt;"",COUNTIF($AL$11:$AL3734,$AL3734)=1),1,0)</f>
        <v>0</v>
      </c>
      <c r="AW3734" s="21">
        <f t="shared" si="203"/>
        <v>2</v>
      </c>
      <c r="AX3734" s="21" t="str">
        <f t="shared" si="202"/>
        <v/>
      </c>
      <c r="AY3734" s="21" t="str">
        <f>IF(AND($AM3734&lt;&gt;"",$AS3734&lt;&gt;"✓"),SUMPRODUCT(($AM$11:$AM3734&lt;&gt;"")*($AS$11:$AS3734&lt;&gt;"✓")),"")</f>
        <v/>
      </c>
      <c r="AZ3734" s="21" t="str">
        <f>IF(AND($AM3734&lt;&gt;"",$AS3734="✓"),SUMPRODUCT(($AM$11:$AM3734&lt;&gt;"")*($AS$11:$AS3734="✓")),"")</f>
        <v/>
      </c>
      <c r="BA3734" s="21" t="str">
        <f>IF($AL3734="","",$AL3734&amp;"|"&amp;COUNTIF($AL$11:$AL3734,$AL3734))</f>
        <v/>
      </c>
    </row>
    <row r="3735" spans="38:53" ht="15" customHeight="1" x14ac:dyDescent="0.25">
      <c r="AL3735" s="17"/>
      <c r="AM3735" s="12"/>
      <c r="AN3735" s="18"/>
      <c r="AO3735" s="18"/>
      <c r="AP3735" s="10"/>
      <c r="AQ3735" s="10"/>
      <c r="AR3735" s="19"/>
      <c r="AS3735" s="20"/>
      <c r="AT3735" s="19"/>
      <c r="AV3735" s="21">
        <f>IF(AND($AL3735&lt;&gt;"",COUNTIF($AL$11:$AL3735,$AL3735)=1),1,0)</f>
        <v>0</v>
      </c>
      <c r="AW3735" s="21">
        <f t="shared" si="203"/>
        <v>2</v>
      </c>
      <c r="AX3735" s="21" t="str">
        <f t="shared" si="202"/>
        <v/>
      </c>
      <c r="AY3735" s="21" t="str">
        <f>IF(AND($AM3735&lt;&gt;"",$AS3735&lt;&gt;"✓"),SUMPRODUCT(($AM$11:$AM3735&lt;&gt;"")*($AS$11:$AS3735&lt;&gt;"✓")),"")</f>
        <v/>
      </c>
      <c r="AZ3735" s="21" t="str">
        <f>IF(AND($AM3735&lt;&gt;"",$AS3735="✓"),SUMPRODUCT(($AM$11:$AM3735&lt;&gt;"")*($AS$11:$AS3735="✓")),"")</f>
        <v/>
      </c>
      <c r="BA3735" s="21" t="str">
        <f>IF($AL3735="","",$AL3735&amp;"|"&amp;COUNTIF($AL$11:$AL3735,$AL3735))</f>
        <v/>
      </c>
    </row>
    <row r="3736" spans="38:53" ht="15" customHeight="1" x14ac:dyDescent="0.25">
      <c r="AL3736" s="31"/>
      <c r="AM3736" s="26"/>
      <c r="AN3736" s="32"/>
      <c r="AO3736" s="32"/>
      <c r="AP3736" s="24"/>
      <c r="AQ3736" s="24"/>
      <c r="AR3736" s="33"/>
      <c r="AS3736" s="34"/>
      <c r="AT3736" s="33"/>
      <c r="AV3736" s="21">
        <f>IF(AND($AL3736&lt;&gt;"",COUNTIF($AL$11:$AL3736,$AL3736)=1),1,0)</f>
        <v>0</v>
      </c>
      <c r="AW3736" s="21">
        <f t="shared" si="203"/>
        <v>2</v>
      </c>
      <c r="AX3736" s="21" t="str">
        <f t="shared" si="202"/>
        <v/>
      </c>
      <c r="AY3736" s="21" t="str">
        <f>IF(AND($AM3736&lt;&gt;"",$AS3736&lt;&gt;"✓"),SUMPRODUCT(($AM$11:$AM3736&lt;&gt;"")*($AS$11:$AS3736&lt;&gt;"✓")),"")</f>
        <v/>
      </c>
      <c r="AZ3736" s="21" t="str">
        <f>IF(AND($AM3736&lt;&gt;"",$AS3736="✓"),SUMPRODUCT(($AM$11:$AM3736&lt;&gt;"")*($AS$11:$AS3736="✓")),"")</f>
        <v/>
      </c>
      <c r="BA3736" s="21" t="str">
        <f>IF($AL3736="","",$AL3736&amp;"|"&amp;COUNTIF($AL$11:$AL3736,$AL3736))</f>
        <v/>
      </c>
    </row>
    <row r="3737" spans="38:53" ht="15" customHeight="1" x14ac:dyDescent="0.25">
      <c r="AL3737" s="17"/>
      <c r="AM3737" s="12"/>
      <c r="AN3737" s="18"/>
      <c r="AO3737" s="18"/>
      <c r="AP3737" s="10"/>
      <c r="AQ3737" s="10"/>
      <c r="AR3737" s="19"/>
      <c r="AS3737" s="20"/>
      <c r="AT3737" s="19"/>
      <c r="AV3737" s="21">
        <f>IF(AND($AL3737&lt;&gt;"",COUNTIF($AL$11:$AL3737,$AL3737)=1),1,0)</f>
        <v>0</v>
      </c>
      <c r="AW3737" s="21">
        <f t="shared" si="203"/>
        <v>2</v>
      </c>
      <c r="AX3737" s="21" t="str">
        <f t="shared" si="202"/>
        <v/>
      </c>
      <c r="AY3737" s="21" t="str">
        <f>IF(AND($AM3737&lt;&gt;"",$AS3737&lt;&gt;"✓"),SUMPRODUCT(($AM$11:$AM3737&lt;&gt;"")*($AS$11:$AS3737&lt;&gt;"✓")),"")</f>
        <v/>
      </c>
      <c r="AZ3737" s="21" t="str">
        <f>IF(AND($AM3737&lt;&gt;"",$AS3737="✓"),SUMPRODUCT(($AM$11:$AM3737&lt;&gt;"")*($AS$11:$AS3737="✓")),"")</f>
        <v/>
      </c>
      <c r="BA3737" s="21" t="str">
        <f>IF($AL3737="","",$AL3737&amp;"|"&amp;COUNTIF($AL$11:$AL3737,$AL3737))</f>
        <v/>
      </c>
    </row>
    <row r="3738" spans="38:53" ht="15" customHeight="1" x14ac:dyDescent="0.25">
      <c r="AL3738" s="31"/>
      <c r="AM3738" s="26"/>
      <c r="AN3738" s="32"/>
      <c r="AO3738" s="32"/>
      <c r="AP3738" s="24"/>
      <c r="AQ3738" s="24"/>
      <c r="AR3738" s="33"/>
      <c r="AS3738" s="34"/>
      <c r="AT3738" s="33"/>
      <c r="AV3738" s="21">
        <f>IF(AND($AL3738&lt;&gt;"",COUNTIF($AL$11:$AL3738,$AL3738)=1),1,0)</f>
        <v>0</v>
      </c>
      <c r="AW3738" s="21">
        <f t="shared" si="203"/>
        <v>2</v>
      </c>
      <c r="AX3738" s="21" t="str">
        <f t="shared" si="202"/>
        <v/>
      </c>
      <c r="AY3738" s="21" t="str">
        <f>IF(AND($AM3738&lt;&gt;"",$AS3738&lt;&gt;"✓"),SUMPRODUCT(($AM$11:$AM3738&lt;&gt;"")*($AS$11:$AS3738&lt;&gt;"✓")),"")</f>
        <v/>
      </c>
      <c r="AZ3738" s="21" t="str">
        <f>IF(AND($AM3738&lt;&gt;"",$AS3738="✓"),SUMPRODUCT(($AM$11:$AM3738&lt;&gt;"")*($AS$11:$AS3738="✓")),"")</f>
        <v/>
      </c>
      <c r="BA3738" s="21" t="str">
        <f>IF($AL3738="","",$AL3738&amp;"|"&amp;COUNTIF($AL$11:$AL3738,$AL3738))</f>
        <v/>
      </c>
    </row>
    <row r="3739" spans="38:53" ht="15" customHeight="1" x14ac:dyDescent="0.25">
      <c r="AL3739" s="17"/>
      <c r="AM3739" s="12"/>
      <c r="AN3739" s="18"/>
      <c r="AO3739" s="18"/>
      <c r="AP3739" s="10"/>
      <c r="AQ3739" s="10"/>
      <c r="AR3739" s="19"/>
      <c r="AS3739" s="20"/>
      <c r="AT3739" s="19"/>
      <c r="AV3739" s="21">
        <f>IF(AND($AL3739&lt;&gt;"",COUNTIF($AL$11:$AL3739,$AL3739)=1),1,0)</f>
        <v>0</v>
      </c>
      <c r="AW3739" s="21">
        <f t="shared" si="203"/>
        <v>2</v>
      </c>
      <c r="AX3739" s="21" t="str">
        <f t="shared" si="202"/>
        <v/>
      </c>
      <c r="AY3739" s="21" t="str">
        <f>IF(AND($AM3739&lt;&gt;"",$AS3739&lt;&gt;"✓"),SUMPRODUCT(($AM$11:$AM3739&lt;&gt;"")*($AS$11:$AS3739&lt;&gt;"✓")),"")</f>
        <v/>
      </c>
      <c r="AZ3739" s="21" t="str">
        <f>IF(AND($AM3739&lt;&gt;"",$AS3739="✓"),SUMPRODUCT(($AM$11:$AM3739&lt;&gt;"")*($AS$11:$AS3739="✓")),"")</f>
        <v/>
      </c>
      <c r="BA3739" s="21" t="str">
        <f>IF($AL3739="","",$AL3739&amp;"|"&amp;COUNTIF($AL$11:$AL3739,$AL3739))</f>
        <v/>
      </c>
    </row>
    <row r="3740" spans="38:53" ht="15" customHeight="1" x14ac:dyDescent="0.25">
      <c r="AL3740" s="31"/>
      <c r="AM3740" s="26"/>
      <c r="AN3740" s="32"/>
      <c r="AO3740" s="32"/>
      <c r="AP3740" s="24"/>
      <c r="AQ3740" s="24"/>
      <c r="AR3740" s="33"/>
      <c r="AS3740" s="34"/>
      <c r="AT3740" s="33"/>
      <c r="AV3740" s="21">
        <f>IF(AND($AL3740&lt;&gt;"",COUNTIF($AL$11:$AL3740,$AL3740)=1),1,0)</f>
        <v>0</v>
      </c>
      <c r="AW3740" s="21">
        <f t="shared" si="203"/>
        <v>2</v>
      </c>
      <c r="AX3740" s="21" t="str">
        <f t="shared" si="202"/>
        <v/>
      </c>
      <c r="AY3740" s="21" t="str">
        <f>IF(AND($AM3740&lt;&gt;"",$AS3740&lt;&gt;"✓"),SUMPRODUCT(($AM$11:$AM3740&lt;&gt;"")*($AS$11:$AS3740&lt;&gt;"✓")),"")</f>
        <v/>
      </c>
      <c r="AZ3740" s="21" t="str">
        <f>IF(AND($AM3740&lt;&gt;"",$AS3740="✓"),SUMPRODUCT(($AM$11:$AM3740&lt;&gt;"")*($AS$11:$AS3740="✓")),"")</f>
        <v/>
      </c>
      <c r="BA3740" s="21" t="str">
        <f>IF($AL3740="","",$AL3740&amp;"|"&amp;COUNTIF($AL$11:$AL3740,$AL3740))</f>
        <v/>
      </c>
    </row>
    <row r="3741" spans="38:53" ht="15" customHeight="1" x14ac:dyDescent="0.25">
      <c r="AL3741" s="17"/>
      <c r="AM3741" s="12"/>
      <c r="AN3741" s="18"/>
      <c r="AO3741" s="18"/>
      <c r="AP3741" s="10"/>
      <c r="AQ3741" s="10"/>
      <c r="AR3741" s="19"/>
      <c r="AS3741" s="20"/>
      <c r="AT3741" s="19"/>
      <c r="AV3741" s="21">
        <f>IF(AND($AL3741&lt;&gt;"",COUNTIF($AL$11:$AL3741,$AL3741)=1),1,0)</f>
        <v>0</v>
      </c>
      <c r="AW3741" s="21">
        <f t="shared" si="203"/>
        <v>2</v>
      </c>
      <c r="AX3741" s="21" t="str">
        <f t="shared" si="202"/>
        <v/>
      </c>
      <c r="AY3741" s="21" t="str">
        <f>IF(AND($AM3741&lt;&gt;"",$AS3741&lt;&gt;"✓"),SUMPRODUCT(($AM$11:$AM3741&lt;&gt;"")*($AS$11:$AS3741&lt;&gt;"✓")),"")</f>
        <v/>
      </c>
      <c r="AZ3741" s="21" t="str">
        <f>IF(AND($AM3741&lt;&gt;"",$AS3741="✓"),SUMPRODUCT(($AM$11:$AM3741&lt;&gt;"")*($AS$11:$AS3741="✓")),"")</f>
        <v/>
      </c>
      <c r="BA3741" s="21" t="str">
        <f>IF($AL3741="","",$AL3741&amp;"|"&amp;COUNTIF($AL$11:$AL3741,$AL3741))</f>
        <v/>
      </c>
    </row>
    <row r="3742" spans="38:53" ht="15" customHeight="1" x14ac:dyDescent="0.25">
      <c r="AL3742" s="31"/>
      <c r="AM3742" s="26"/>
      <c r="AN3742" s="32"/>
      <c r="AO3742" s="32"/>
      <c r="AP3742" s="24"/>
      <c r="AQ3742" s="24"/>
      <c r="AR3742" s="33"/>
      <c r="AS3742" s="34"/>
      <c r="AT3742" s="33"/>
      <c r="AV3742" s="21">
        <f>IF(AND($AL3742&lt;&gt;"",COUNTIF($AL$11:$AL3742,$AL3742)=1),1,0)</f>
        <v>0</v>
      </c>
      <c r="AW3742" s="21">
        <f t="shared" si="203"/>
        <v>2</v>
      </c>
      <c r="AX3742" s="21" t="str">
        <f t="shared" si="202"/>
        <v/>
      </c>
      <c r="AY3742" s="21" t="str">
        <f>IF(AND($AM3742&lt;&gt;"",$AS3742&lt;&gt;"✓"),SUMPRODUCT(($AM$11:$AM3742&lt;&gt;"")*($AS$11:$AS3742&lt;&gt;"✓")),"")</f>
        <v/>
      </c>
      <c r="AZ3742" s="21" t="str">
        <f>IF(AND($AM3742&lt;&gt;"",$AS3742="✓"),SUMPRODUCT(($AM$11:$AM3742&lt;&gt;"")*($AS$11:$AS3742="✓")),"")</f>
        <v/>
      </c>
      <c r="BA3742" s="21" t="str">
        <f>IF($AL3742="","",$AL3742&amp;"|"&amp;COUNTIF($AL$11:$AL3742,$AL3742))</f>
        <v/>
      </c>
    </row>
    <row r="3743" spans="38:53" ht="15" customHeight="1" x14ac:dyDescent="0.25">
      <c r="AL3743" s="17"/>
      <c r="AM3743" s="12"/>
      <c r="AN3743" s="18"/>
      <c r="AO3743" s="18"/>
      <c r="AP3743" s="10"/>
      <c r="AQ3743" s="10"/>
      <c r="AR3743" s="19"/>
      <c r="AS3743" s="20"/>
      <c r="AT3743" s="19"/>
      <c r="AV3743" s="21">
        <f>IF(AND($AL3743&lt;&gt;"",COUNTIF($AL$11:$AL3743,$AL3743)=1),1,0)</f>
        <v>0</v>
      </c>
      <c r="AW3743" s="21">
        <f t="shared" si="203"/>
        <v>2</v>
      </c>
      <c r="AX3743" s="21" t="str">
        <f t="shared" si="202"/>
        <v/>
      </c>
      <c r="AY3743" s="21" t="str">
        <f>IF(AND($AM3743&lt;&gt;"",$AS3743&lt;&gt;"✓"),SUMPRODUCT(($AM$11:$AM3743&lt;&gt;"")*($AS$11:$AS3743&lt;&gt;"✓")),"")</f>
        <v/>
      </c>
      <c r="AZ3743" s="21" t="str">
        <f>IF(AND($AM3743&lt;&gt;"",$AS3743="✓"),SUMPRODUCT(($AM$11:$AM3743&lt;&gt;"")*($AS$11:$AS3743="✓")),"")</f>
        <v/>
      </c>
      <c r="BA3743" s="21" t="str">
        <f>IF($AL3743="","",$AL3743&amp;"|"&amp;COUNTIF($AL$11:$AL3743,$AL3743))</f>
        <v/>
      </c>
    </row>
    <row r="3744" spans="38:53" ht="15" customHeight="1" x14ac:dyDescent="0.25">
      <c r="AL3744" s="31"/>
      <c r="AM3744" s="26"/>
      <c r="AN3744" s="32"/>
      <c r="AO3744" s="32"/>
      <c r="AP3744" s="24"/>
      <c r="AQ3744" s="24"/>
      <c r="AR3744" s="33"/>
      <c r="AS3744" s="34"/>
      <c r="AT3744" s="33"/>
      <c r="AV3744" s="21">
        <f>IF(AND($AL3744&lt;&gt;"",COUNTIF($AL$11:$AL3744,$AL3744)=1),1,0)</f>
        <v>0</v>
      </c>
      <c r="AW3744" s="21">
        <f t="shared" si="203"/>
        <v>2</v>
      </c>
      <c r="AX3744" s="21" t="str">
        <f t="shared" si="202"/>
        <v/>
      </c>
      <c r="AY3744" s="21" t="str">
        <f>IF(AND($AM3744&lt;&gt;"",$AS3744&lt;&gt;"✓"),SUMPRODUCT(($AM$11:$AM3744&lt;&gt;"")*($AS$11:$AS3744&lt;&gt;"✓")),"")</f>
        <v/>
      </c>
      <c r="AZ3744" s="21" t="str">
        <f>IF(AND($AM3744&lt;&gt;"",$AS3744="✓"),SUMPRODUCT(($AM$11:$AM3744&lt;&gt;"")*($AS$11:$AS3744="✓")),"")</f>
        <v/>
      </c>
      <c r="BA3744" s="21" t="str">
        <f>IF($AL3744="","",$AL3744&amp;"|"&amp;COUNTIF($AL$11:$AL3744,$AL3744))</f>
        <v/>
      </c>
    </row>
    <row r="3745" spans="38:53" ht="15" customHeight="1" x14ac:dyDescent="0.25">
      <c r="AL3745" s="17"/>
      <c r="AM3745" s="12"/>
      <c r="AN3745" s="18"/>
      <c r="AO3745" s="18"/>
      <c r="AP3745" s="10"/>
      <c r="AQ3745" s="10"/>
      <c r="AR3745" s="19"/>
      <c r="AS3745" s="20"/>
      <c r="AT3745" s="19"/>
      <c r="AV3745" s="21">
        <f>IF(AND($AL3745&lt;&gt;"",COUNTIF($AL$11:$AL3745,$AL3745)=1),1,0)</f>
        <v>0</v>
      </c>
      <c r="AW3745" s="21">
        <f t="shared" si="203"/>
        <v>2</v>
      </c>
      <c r="AX3745" s="21" t="str">
        <f t="shared" si="202"/>
        <v/>
      </c>
      <c r="AY3745" s="21" t="str">
        <f>IF(AND($AM3745&lt;&gt;"",$AS3745&lt;&gt;"✓"),SUMPRODUCT(($AM$11:$AM3745&lt;&gt;"")*($AS$11:$AS3745&lt;&gt;"✓")),"")</f>
        <v/>
      </c>
      <c r="AZ3745" s="21" t="str">
        <f>IF(AND($AM3745&lt;&gt;"",$AS3745="✓"),SUMPRODUCT(($AM$11:$AM3745&lt;&gt;"")*($AS$11:$AS3745="✓")),"")</f>
        <v/>
      </c>
      <c r="BA3745" s="21" t="str">
        <f>IF($AL3745="","",$AL3745&amp;"|"&amp;COUNTIF($AL$11:$AL3745,$AL3745))</f>
        <v/>
      </c>
    </row>
    <row r="3746" spans="38:53" ht="15" customHeight="1" x14ac:dyDescent="0.25">
      <c r="AL3746" s="31"/>
      <c r="AM3746" s="26"/>
      <c r="AN3746" s="32"/>
      <c r="AO3746" s="32"/>
      <c r="AP3746" s="24"/>
      <c r="AQ3746" s="24"/>
      <c r="AR3746" s="33"/>
      <c r="AS3746" s="34"/>
      <c r="AT3746" s="33"/>
      <c r="AV3746" s="21">
        <f>IF(AND($AL3746&lt;&gt;"",COUNTIF($AL$11:$AL3746,$AL3746)=1),1,0)</f>
        <v>0</v>
      </c>
      <c r="AW3746" s="21">
        <f t="shared" si="203"/>
        <v>2</v>
      </c>
      <c r="AX3746" s="21" t="str">
        <f t="shared" si="202"/>
        <v/>
      </c>
      <c r="AY3746" s="21" t="str">
        <f>IF(AND($AM3746&lt;&gt;"",$AS3746&lt;&gt;"✓"),SUMPRODUCT(($AM$11:$AM3746&lt;&gt;"")*($AS$11:$AS3746&lt;&gt;"✓")),"")</f>
        <v/>
      </c>
      <c r="AZ3746" s="21" t="str">
        <f>IF(AND($AM3746&lt;&gt;"",$AS3746="✓"),SUMPRODUCT(($AM$11:$AM3746&lt;&gt;"")*($AS$11:$AS3746="✓")),"")</f>
        <v/>
      </c>
      <c r="BA3746" s="21" t="str">
        <f>IF($AL3746="","",$AL3746&amp;"|"&amp;COUNTIF($AL$11:$AL3746,$AL3746))</f>
        <v/>
      </c>
    </row>
    <row r="3747" spans="38:53" ht="15" customHeight="1" x14ac:dyDescent="0.25">
      <c r="AL3747" s="17"/>
      <c r="AM3747" s="12"/>
      <c r="AN3747" s="18"/>
      <c r="AO3747" s="18"/>
      <c r="AP3747" s="10"/>
      <c r="AQ3747" s="10"/>
      <c r="AR3747" s="19"/>
      <c r="AS3747" s="20"/>
      <c r="AT3747" s="19"/>
      <c r="AV3747" s="21">
        <f>IF(AND($AL3747&lt;&gt;"",COUNTIF($AL$11:$AL3747,$AL3747)=1),1,0)</f>
        <v>0</v>
      </c>
      <c r="AW3747" s="21">
        <f t="shared" si="203"/>
        <v>2</v>
      </c>
      <c r="AX3747" s="21" t="str">
        <f t="shared" si="202"/>
        <v/>
      </c>
      <c r="AY3747" s="21" t="str">
        <f>IF(AND($AM3747&lt;&gt;"",$AS3747&lt;&gt;"✓"),SUMPRODUCT(($AM$11:$AM3747&lt;&gt;"")*($AS$11:$AS3747&lt;&gt;"✓")),"")</f>
        <v/>
      </c>
      <c r="AZ3747" s="21" t="str">
        <f>IF(AND($AM3747&lt;&gt;"",$AS3747="✓"),SUMPRODUCT(($AM$11:$AM3747&lt;&gt;"")*($AS$11:$AS3747="✓")),"")</f>
        <v/>
      </c>
      <c r="BA3747" s="21" t="str">
        <f>IF($AL3747="","",$AL3747&amp;"|"&amp;COUNTIF($AL$11:$AL3747,$AL3747))</f>
        <v/>
      </c>
    </row>
    <row r="3748" spans="38:53" ht="15" customHeight="1" x14ac:dyDescent="0.25">
      <c r="AL3748" s="31"/>
      <c r="AM3748" s="26"/>
      <c r="AN3748" s="32"/>
      <c r="AO3748" s="32"/>
      <c r="AP3748" s="24"/>
      <c r="AQ3748" s="24"/>
      <c r="AR3748" s="33"/>
      <c r="AS3748" s="34"/>
      <c r="AT3748" s="33"/>
      <c r="AV3748" s="21">
        <f>IF(AND($AL3748&lt;&gt;"",COUNTIF($AL$11:$AL3748,$AL3748)=1),1,0)</f>
        <v>0</v>
      </c>
      <c r="AW3748" s="21">
        <f t="shared" si="203"/>
        <v>2</v>
      </c>
      <c r="AX3748" s="21" t="str">
        <f t="shared" si="202"/>
        <v/>
      </c>
      <c r="AY3748" s="21" t="str">
        <f>IF(AND($AM3748&lt;&gt;"",$AS3748&lt;&gt;"✓"),SUMPRODUCT(($AM$11:$AM3748&lt;&gt;"")*($AS$11:$AS3748&lt;&gt;"✓")),"")</f>
        <v/>
      </c>
      <c r="AZ3748" s="21" t="str">
        <f>IF(AND($AM3748&lt;&gt;"",$AS3748="✓"),SUMPRODUCT(($AM$11:$AM3748&lt;&gt;"")*($AS$11:$AS3748="✓")),"")</f>
        <v/>
      </c>
      <c r="BA3748" s="21" t="str">
        <f>IF($AL3748="","",$AL3748&amp;"|"&amp;COUNTIF($AL$11:$AL3748,$AL3748))</f>
        <v/>
      </c>
    </row>
    <row r="3749" spans="38:53" ht="15" customHeight="1" x14ac:dyDescent="0.25">
      <c r="AL3749" s="17"/>
      <c r="AM3749" s="12"/>
      <c r="AN3749" s="18"/>
      <c r="AO3749" s="18"/>
      <c r="AP3749" s="10"/>
      <c r="AQ3749" s="10"/>
      <c r="AR3749" s="19"/>
      <c r="AS3749" s="20"/>
      <c r="AT3749" s="19"/>
      <c r="AV3749" s="21">
        <f>IF(AND($AL3749&lt;&gt;"",COUNTIF($AL$11:$AL3749,$AL3749)=1),1,0)</f>
        <v>0</v>
      </c>
      <c r="AW3749" s="21">
        <f t="shared" si="203"/>
        <v>2</v>
      </c>
      <c r="AX3749" s="21" t="str">
        <f t="shared" si="202"/>
        <v/>
      </c>
      <c r="AY3749" s="21" t="str">
        <f>IF(AND($AM3749&lt;&gt;"",$AS3749&lt;&gt;"✓"),SUMPRODUCT(($AM$11:$AM3749&lt;&gt;"")*($AS$11:$AS3749&lt;&gt;"✓")),"")</f>
        <v/>
      </c>
      <c r="AZ3749" s="21" t="str">
        <f>IF(AND($AM3749&lt;&gt;"",$AS3749="✓"),SUMPRODUCT(($AM$11:$AM3749&lt;&gt;"")*($AS$11:$AS3749="✓")),"")</f>
        <v/>
      </c>
      <c r="BA3749" s="21" t="str">
        <f>IF($AL3749="","",$AL3749&amp;"|"&amp;COUNTIF($AL$11:$AL3749,$AL3749))</f>
        <v/>
      </c>
    </row>
    <row r="3750" spans="38:53" ht="15" customHeight="1" x14ac:dyDescent="0.25">
      <c r="AL3750" s="31"/>
      <c r="AM3750" s="26"/>
      <c r="AN3750" s="32"/>
      <c r="AO3750" s="32"/>
      <c r="AP3750" s="24"/>
      <c r="AQ3750" s="24"/>
      <c r="AR3750" s="33"/>
      <c r="AS3750" s="34"/>
      <c r="AT3750" s="33"/>
      <c r="AV3750" s="21">
        <f>IF(AND($AL3750&lt;&gt;"",COUNTIF($AL$11:$AL3750,$AL3750)=1),1,0)</f>
        <v>0</v>
      </c>
      <c r="AW3750" s="21">
        <f t="shared" si="203"/>
        <v>2</v>
      </c>
      <c r="AX3750" s="21" t="str">
        <f t="shared" si="202"/>
        <v/>
      </c>
      <c r="AY3750" s="21" t="str">
        <f>IF(AND($AM3750&lt;&gt;"",$AS3750&lt;&gt;"✓"),SUMPRODUCT(($AM$11:$AM3750&lt;&gt;"")*($AS$11:$AS3750&lt;&gt;"✓")),"")</f>
        <v/>
      </c>
      <c r="AZ3750" s="21" t="str">
        <f>IF(AND($AM3750&lt;&gt;"",$AS3750="✓"),SUMPRODUCT(($AM$11:$AM3750&lt;&gt;"")*($AS$11:$AS3750="✓")),"")</f>
        <v/>
      </c>
      <c r="BA3750" s="21" t="str">
        <f>IF($AL3750="","",$AL3750&amp;"|"&amp;COUNTIF($AL$11:$AL3750,$AL3750))</f>
        <v/>
      </c>
    </row>
    <row r="3751" spans="38:53" ht="15" customHeight="1" x14ac:dyDescent="0.25">
      <c r="AL3751" s="17"/>
      <c r="AM3751" s="12"/>
      <c r="AN3751" s="18"/>
      <c r="AO3751" s="18"/>
      <c r="AP3751" s="10"/>
      <c r="AQ3751" s="10"/>
      <c r="AR3751" s="19"/>
      <c r="AS3751" s="20"/>
      <c r="AT3751" s="19"/>
      <c r="AV3751" s="21">
        <f>IF(AND($AL3751&lt;&gt;"",COUNTIF($AL$11:$AL3751,$AL3751)=1),1,0)</f>
        <v>0</v>
      </c>
      <c r="AW3751" s="21">
        <f t="shared" si="203"/>
        <v>2</v>
      </c>
      <c r="AX3751" s="21" t="str">
        <f t="shared" si="202"/>
        <v/>
      </c>
      <c r="AY3751" s="21" t="str">
        <f>IF(AND($AM3751&lt;&gt;"",$AS3751&lt;&gt;"✓"),SUMPRODUCT(($AM$11:$AM3751&lt;&gt;"")*($AS$11:$AS3751&lt;&gt;"✓")),"")</f>
        <v/>
      </c>
      <c r="AZ3751" s="21" t="str">
        <f>IF(AND($AM3751&lt;&gt;"",$AS3751="✓"),SUMPRODUCT(($AM$11:$AM3751&lt;&gt;"")*($AS$11:$AS3751="✓")),"")</f>
        <v/>
      </c>
      <c r="BA3751" s="21" t="str">
        <f>IF($AL3751="","",$AL3751&amp;"|"&amp;COUNTIF($AL$11:$AL3751,$AL3751))</f>
        <v/>
      </c>
    </row>
    <row r="3752" spans="38:53" ht="15" customHeight="1" x14ac:dyDescent="0.25">
      <c r="AL3752" s="31"/>
      <c r="AM3752" s="26"/>
      <c r="AN3752" s="32"/>
      <c r="AO3752" s="32"/>
      <c r="AP3752" s="24"/>
      <c r="AQ3752" s="24"/>
      <c r="AR3752" s="33"/>
      <c r="AS3752" s="34"/>
      <c r="AT3752" s="33"/>
      <c r="AV3752" s="21">
        <f>IF(AND($AL3752&lt;&gt;"",COUNTIF($AL$11:$AL3752,$AL3752)=1),1,0)</f>
        <v>0</v>
      </c>
      <c r="AW3752" s="21">
        <f t="shared" si="203"/>
        <v>2</v>
      </c>
      <c r="AX3752" s="21" t="str">
        <f t="shared" si="202"/>
        <v/>
      </c>
      <c r="AY3752" s="21" t="str">
        <f>IF(AND($AM3752&lt;&gt;"",$AS3752&lt;&gt;"✓"),SUMPRODUCT(($AM$11:$AM3752&lt;&gt;"")*($AS$11:$AS3752&lt;&gt;"✓")),"")</f>
        <v/>
      </c>
      <c r="AZ3752" s="21" t="str">
        <f>IF(AND($AM3752&lt;&gt;"",$AS3752="✓"),SUMPRODUCT(($AM$11:$AM3752&lt;&gt;"")*($AS$11:$AS3752="✓")),"")</f>
        <v/>
      </c>
      <c r="BA3752" s="21" t="str">
        <f>IF($AL3752="","",$AL3752&amp;"|"&amp;COUNTIF($AL$11:$AL3752,$AL3752))</f>
        <v/>
      </c>
    </row>
    <row r="3753" spans="38:53" ht="15" customHeight="1" x14ac:dyDescent="0.25">
      <c r="AL3753" s="17"/>
      <c r="AM3753" s="12"/>
      <c r="AN3753" s="18"/>
      <c r="AO3753" s="18"/>
      <c r="AP3753" s="10"/>
      <c r="AQ3753" s="10"/>
      <c r="AR3753" s="19"/>
      <c r="AS3753" s="20"/>
      <c r="AT3753" s="19"/>
      <c r="AV3753" s="21">
        <f>IF(AND($AL3753&lt;&gt;"",COUNTIF($AL$11:$AL3753,$AL3753)=1),1,0)</f>
        <v>0</v>
      </c>
      <c r="AW3753" s="21">
        <f t="shared" si="203"/>
        <v>2</v>
      </c>
      <c r="AX3753" s="21" t="str">
        <f t="shared" si="202"/>
        <v/>
      </c>
      <c r="AY3753" s="21" t="str">
        <f>IF(AND($AM3753&lt;&gt;"",$AS3753&lt;&gt;"✓"),SUMPRODUCT(($AM$11:$AM3753&lt;&gt;"")*($AS$11:$AS3753&lt;&gt;"✓")),"")</f>
        <v/>
      </c>
      <c r="AZ3753" s="21" t="str">
        <f>IF(AND($AM3753&lt;&gt;"",$AS3753="✓"),SUMPRODUCT(($AM$11:$AM3753&lt;&gt;"")*($AS$11:$AS3753="✓")),"")</f>
        <v/>
      </c>
      <c r="BA3753" s="21" t="str">
        <f>IF($AL3753="","",$AL3753&amp;"|"&amp;COUNTIF($AL$11:$AL3753,$AL3753))</f>
        <v/>
      </c>
    </row>
    <row r="3754" spans="38:53" ht="15" customHeight="1" x14ac:dyDescent="0.25">
      <c r="AL3754" s="31"/>
      <c r="AM3754" s="26"/>
      <c r="AN3754" s="32"/>
      <c r="AO3754" s="32"/>
      <c r="AP3754" s="24"/>
      <c r="AQ3754" s="24"/>
      <c r="AR3754" s="33"/>
      <c r="AS3754" s="34"/>
      <c r="AT3754" s="33"/>
      <c r="AV3754" s="21">
        <f>IF(AND($AL3754&lt;&gt;"",COUNTIF($AL$11:$AL3754,$AL3754)=1),1,0)</f>
        <v>0</v>
      </c>
      <c r="AW3754" s="21">
        <f t="shared" si="203"/>
        <v>2</v>
      </c>
      <c r="AX3754" s="21" t="str">
        <f t="shared" si="202"/>
        <v/>
      </c>
      <c r="AY3754" s="21" t="str">
        <f>IF(AND($AM3754&lt;&gt;"",$AS3754&lt;&gt;"✓"),SUMPRODUCT(($AM$11:$AM3754&lt;&gt;"")*($AS$11:$AS3754&lt;&gt;"✓")),"")</f>
        <v/>
      </c>
      <c r="AZ3754" s="21" t="str">
        <f>IF(AND($AM3754&lt;&gt;"",$AS3754="✓"),SUMPRODUCT(($AM$11:$AM3754&lt;&gt;"")*($AS$11:$AS3754="✓")),"")</f>
        <v/>
      </c>
      <c r="BA3754" s="21" t="str">
        <f>IF($AL3754="","",$AL3754&amp;"|"&amp;COUNTIF($AL$11:$AL3754,$AL3754))</f>
        <v/>
      </c>
    </row>
    <row r="3755" spans="38:53" ht="15" customHeight="1" x14ac:dyDescent="0.25">
      <c r="AL3755" s="17"/>
      <c r="AM3755" s="12"/>
      <c r="AN3755" s="18"/>
      <c r="AO3755" s="18"/>
      <c r="AP3755" s="10"/>
      <c r="AQ3755" s="10"/>
      <c r="AR3755" s="19"/>
      <c r="AS3755" s="20"/>
      <c r="AT3755" s="19"/>
      <c r="AV3755" s="21">
        <f>IF(AND($AL3755&lt;&gt;"",COUNTIF($AL$11:$AL3755,$AL3755)=1),1,0)</f>
        <v>0</v>
      </c>
      <c r="AW3755" s="21">
        <f t="shared" si="203"/>
        <v>2</v>
      </c>
      <c r="AX3755" s="21" t="str">
        <f t="shared" si="202"/>
        <v/>
      </c>
      <c r="AY3755" s="21" t="str">
        <f>IF(AND($AM3755&lt;&gt;"",$AS3755&lt;&gt;"✓"),SUMPRODUCT(($AM$11:$AM3755&lt;&gt;"")*($AS$11:$AS3755&lt;&gt;"✓")),"")</f>
        <v/>
      </c>
      <c r="AZ3755" s="21" t="str">
        <f>IF(AND($AM3755&lt;&gt;"",$AS3755="✓"),SUMPRODUCT(($AM$11:$AM3755&lt;&gt;"")*($AS$11:$AS3755="✓")),"")</f>
        <v/>
      </c>
      <c r="BA3755" s="21" t="str">
        <f>IF($AL3755="","",$AL3755&amp;"|"&amp;COUNTIF($AL$11:$AL3755,$AL3755))</f>
        <v/>
      </c>
    </row>
    <row r="3756" spans="38:53" ht="15" customHeight="1" x14ac:dyDescent="0.25">
      <c r="AL3756" s="31"/>
      <c r="AM3756" s="26"/>
      <c r="AN3756" s="32"/>
      <c r="AO3756" s="32"/>
      <c r="AP3756" s="24"/>
      <c r="AQ3756" s="24"/>
      <c r="AR3756" s="33"/>
      <c r="AS3756" s="34"/>
      <c r="AT3756" s="33"/>
      <c r="AV3756" s="21">
        <f>IF(AND($AL3756&lt;&gt;"",COUNTIF($AL$11:$AL3756,$AL3756)=1),1,0)</f>
        <v>0</v>
      </c>
      <c r="AW3756" s="21">
        <f t="shared" si="203"/>
        <v>2</v>
      </c>
      <c r="AX3756" s="21" t="str">
        <f t="shared" si="202"/>
        <v/>
      </c>
      <c r="AY3756" s="21" t="str">
        <f>IF(AND($AM3756&lt;&gt;"",$AS3756&lt;&gt;"✓"),SUMPRODUCT(($AM$11:$AM3756&lt;&gt;"")*($AS$11:$AS3756&lt;&gt;"✓")),"")</f>
        <v/>
      </c>
      <c r="AZ3756" s="21" t="str">
        <f>IF(AND($AM3756&lt;&gt;"",$AS3756="✓"),SUMPRODUCT(($AM$11:$AM3756&lt;&gt;"")*($AS$11:$AS3756="✓")),"")</f>
        <v/>
      </c>
      <c r="BA3756" s="21" t="str">
        <f>IF($AL3756="","",$AL3756&amp;"|"&amp;COUNTIF($AL$11:$AL3756,$AL3756))</f>
        <v/>
      </c>
    </row>
    <row r="3757" spans="38:53" ht="15" customHeight="1" x14ac:dyDescent="0.25">
      <c r="AL3757" s="17"/>
      <c r="AM3757" s="12"/>
      <c r="AN3757" s="18"/>
      <c r="AO3757" s="18"/>
      <c r="AP3757" s="10"/>
      <c r="AQ3757" s="10"/>
      <c r="AR3757" s="19"/>
      <c r="AS3757" s="20"/>
      <c r="AT3757" s="19"/>
      <c r="AV3757" s="21">
        <f>IF(AND($AL3757&lt;&gt;"",COUNTIF($AL$11:$AL3757,$AL3757)=1),1,0)</f>
        <v>0</v>
      </c>
      <c r="AW3757" s="21">
        <f t="shared" si="203"/>
        <v>2</v>
      </c>
      <c r="AX3757" s="21" t="str">
        <f t="shared" si="202"/>
        <v/>
      </c>
      <c r="AY3757" s="21" t="str">
        <f>IF(AND($AM3757&lt;&gt;"",$AS3757&lt;&gt;"✓"),SUMPRODUCT(($AM$11:$AM3757&lt;&gt;"")*($AS$11:$AS3757&lt;&gt;"✓")),"")</f>
        <v/>
      </c>
      <c r="AZ3757" s="21" t="str">
        <f>IF(AND($AM3757&lt;&gt;"",$AS3757="✓"),SUMPRODUCT(($AM$11:$AM3757&lt;&gt;"")*($AS$11:$AS3757="✓")),"")</f>
        <v/>
      </c>
      <c r="BA3757" s="21" t="str">
        <f>IF($AL3757="","",$AL3757&amp;"|"&amp;COUNTIF($AL$11:$AL3757,$AL3757))</f>
        <v/>
      </c>
    </row>
    <row r="3758" spans="38:53" ht="15" customHeight="1" x14ac:dyDescent="0.25">
      <c r="AL3758" s="31"/>
      <c r="AM3758" s="26"/>
      <c r="AN3758" s="32"/>
      <c r="AO3758" s="32"/>
      <c r="AP3758" s="24"/>
      <c r="AQ3758" s="24"/>
      <c r="AR3758" s="33"/>
      <c r="AS3758" s="34"/>
      <c r="AT3758" s="33"/>
      <c r="AV3758" s="21">
        <f>IF(AND($AL3758&lt;&gt;"",COUNTIF($AL$11:$AL3758,$AL3758)=1),1,0)</f>
        <v>0</v>
      </c>
      <c r="AW3758" s="21">
        <f t="shared" si="203"/>
        <v>2</v>
      </c>
      <c r="AX3758" s="21" t="str">
        <f t="shared" si="202"/>
        <v/>
      </c>
      <c r="AY3758" s="21" t="str">
        <f>IF(AND($AM3758&lt;&gt;"",$AS3758&lt;&gt;"✓"),SUMPRODUCT(($AM$11:$AM3758&lt;&gt;"")*($AS$11:$AS3758&lt;&gt;"✓")),"")</f>
        <v/>
      </c>
      <c r="AZ3758" s="21" t="str">
        <f>IF(AND($AM3758&lt;&gt;"",$AS3758="✓"),SUMPRODUCT(($AM$11:$AM3758&lt;&gt;"")*($AS$11:$AS3758="✓")),"")</f>
        <v/>
      </c>
      <c r="BA3758" s="21" t="str">
        <f>IF($AL3758="","",$AL3758&amp;"|"&amp;COUNTIF($AL$11:$AL3758,$AL3758))</f>
        <v/>
      </c>
    </row>
    <row r="3759" spans="38:53" ht="15" customHeight="1" x14ac:dyDescent="0.25">
      <c r="AL3759" s="17"/>
      <c r="AM3759" s="12"/>
      <c r="AN3759" s="18"/>
      <c r="AO3759" s="18"/>
      <c r="AP3759" s="10"/>
      <c r="AQ3759" s="10"/>
      <c r="AR3759" s="19"/>
      <c r="AS3759" s="20"/>
      <c r="AT3759" s="19"/>
      <c r="AV3759" s="21">
        <f>IF(AND($AL3759&lt;&gt;"",COUNTIF($AL$11:$AL3759,$AL3759)=1),1,0)</f>
        <v>0</v>
      </c>
      <c r="AW3759" s="21">
        <f t="shared" si="203"/>
        <v>2</v>
      </c>
      <c r="AX3759" s="21" t="str">
        <f t="shared" si="202"/>
        <v/>
      </c>
      <c r="AY3759" s="21" t="str">
        <f>IF(AND($AM3759&lt;&gt;"",$AS3759&lt;&gt;"✓"),SUMPRODUCT(($AM$11:$AM3759&lt;&gt;"")*($AS$11:$AS3759&lt;&gt;"✓")),"")</f>
        <v/>
      </c>
      <c r="AZ3759" s="21" t="str">
        <f>IF(AND($AM3759&lt;&gt;"",$AS3759="✓"),SUMPRODUCT(($AM$11:$AM3759&lt;&gt;"")*($AS$11:$AS3759="✓")),"")</f>
        <v/>
      </c>
      <c r="BA3759" s="21" t="str">
        <f>IF($AL3759="","",$AL3759&amp;"|"&amp;COUNTIF($AL$11:$AL3759,$AL3759))</f>
        <v/>
      </c>
    </row>
    <row r="3760" spans="38:53" ht="15" customHeight="1" x14ac:dyDescent="0.25">
      <c r="AL3760" s="31"/>
      <c r="AM3760" s="26"/>
      <c r="AN3760" s="32"/>
      <c r="AO3760" s="32"/>
      <c r="AP3760" s="24"/>
      <c r="AQ3760" s="24"/>
      <c r="AR3760" s="33"/>
      <c r="AS3760" s="34"/>
      <c r="AT3760" s="33"/>
      <c r="AV3760" s="21">
        <f>IF(AND($AL3760&lt;&gt;"",COUNTIF($AL$11:$AL3760,$AL3760)=1),1,0)</f>
        <v>0</v>
      </c>
      <c r="AW3760" s="21">
        <f t="shared" si="203"/>
        <v>2</v>
      </c>
      <c r="AX3760" s="21" t="str">
        <f t="shared" si="202"/>
        <v/>
      </c>
      <c r="AY3760" s="21" t="str">
        <f>IF(AND($AM3760&lt;&gt;"",$AS3760&lt;&gt;"✓"),SUMPRODUCT(($AM$11:$AM3760&lt;&gt;"")*($AS$11:$AS3760&lt;&gt;"✓")),"")</f>
        <v/>
      </c>
      <c r="AZ3760" s="21" t="str">
        <f>IF(AND($AM3760&lt;&gt;"",$AS3760="✓"),SUMPRODUCT(($AM$11:$AM3760&lt;&gt;"")*($AS$11:$AS3760="✓")),"")</f>
        <v/>
      </c>
      <c r="BA3760" s="21" t="str">
        <f>IF($AL3760="","",$AL3760&amp;"|"&amp;COUNTIF($AL$11:$AL3760,$AL3760))</f>
        <v/>
      </c>
    </row>
    <row r="3761" spans="38:53" ht="15" customHeight="1" x14ac:dyDescent="0.25">
      <c r="AL3761" s="17"/>
      <c r="AM3761" s="12"/>
      <c r="AN3761" s="18"/>
      <c r="AO3761" s="18"/>
      <c r="AP3761" s="10"/>
      <c r="AQ3761" s="10"/>
      <c r="AR3761" s="19"/>
      <c r="AS3761" s="20"/>
      <c r="AT3761" s="19"/>
      <c r="AV3761" s="21">
        <f>IF(AND($AL3761&lt;&gt;"",COUNTIF($AL$11:$AL3761,$AL3761)=1),1,0)</f>
        <v>0</v>
      </c>
      <c r="AW3761" s="21">
        <f t="shared" si="203"/>
        <v>2</v>
      </c>
      <c r="AX3761" s="21" t="str">
        <f t="shared" si="202"/>
        <v/>
      </c>
      <c r="AY3761" s="21" t="str">
        <f>IF(AND($AM3761&lt;&gt;"",$AS3761&lt;&gt;"✓"),SUMPRODUCT(($AM$11:$AM3761&lt;&gt;"")*($AS$11:$AS3761&lt;&gt;"✓")),"")</f>
        <v/>
      </c>
      <c r="AZ3761" s="21" t="str">
        <f>IF(AND($AM3761&lt;&gt;"",$AS3761="✓"),SUMPRODUCT(($AM$11:$AM3761&lt;&gt;"")*($AS$11:$AS3761="✓")),"")</f>
        <v/>
      </c>
      <c r="BA3761" s="21" t="str">
        <f>IF($AL3761="","",$AL3761&amp;"|"&amp;COUNTIF($AL$11:$AL3761,$AL3761))</f>
        <v/>
      </c>
    </row>
    <row r="3762" spans="38:53" ht="15" customHeight="1" x14ac:dyDescent="0.25">
      <c r="AL3762" s="31"/>
      <c r="AM3762" s="26"/>
      <c r="AN3762" s="32"/>
      <c r="AO3762" s="32"/>
      <c r="AP3762" s="24"/>
      <c r="AQ3762" s="24"/>
      <c r="AR3762" s="33"/>
      <c r="AS3762" s="34"/>
      <c r="AT3762" s="33"/>
      <c r="AV3762" s="21">
        <f>IF(AND($AL3762&lt;&gt;"",COUNTIF($AL$11:$AL3762,$AL3762)=1),1,0)</f>
        <v>0</v>
      </c>
      <c r="AW3762" s="21">
        <f t="shared" si="203"/>
        <v>2</v>
      </c>
      <c r="AX3762" s="21" t="str">
        <f t="shared" si="202"/>
        <v/>
      </c>
      <c r="AY3762" s="21" t="str">
        <f>IF(AND($AM3762&lt;&gt;"",$AS3762&lt;&gt;"✓"),SUMPRODUCT(($AM$11:$AM3762&lt;&gt;"")*($AS$11:$AS3762&lt;&gt;"✓")),"")</f>
        <v/>
      </c>
      <c r="AZ3762" s="21" t="str">
        <f>IF(AND($AM3762&lt;&gt;"",$AS3762="✓"),SUMPRODUCT(($AM$11:$AM3762&lt;&gt;"")*($AS$11:$AS3762="✓")),"")</f>
        <v/>
      </c>
      <c r="BA3762" s="21" t="str">
        <f>IF($AL3762="","",$AL3762&amp;"|"&amp;COUNTIF($AL$11:$AL3762,$AL3762))</f>
        <v/>
      </c>
    </row>
    <row r="3763" spans="38:53" ht="15" customHeight="1" x14ac:dyDescent="0.25">
      <c r="AL3763" s="17"/>
      <c r="AM3763" s="12"/>
      <c r="AN3763" s="18"/>
      <c r="AO3763" s="18"/>
      <c r="AP3763" s="10"/>
      <c r="AQ3763" s="10"/>
      <c r="AR3763" s="19"/>
      <c r="AS3763" s="20"/>
      <c r="AT3763" s="19"/>
      <c r="AV3763" s="21">
        <f>IF(AND($AL3763&lt;&gt;"",COUNTIF($AL$11:$AL3763,$AL3763)=1),1,0)</f>
        <v>0</v>
      </c>
      <c r="AW3763" s="21">
        <f t="shared" si="203"/>
        <v>2</v>
      </c>
      <c r="AX3763" s="21" t="str">
        <f t="shared" si="202"/>
        <v/>
      </c>
      <c r="AY3763" s="21" t="str">
        <f>IF(AND($AM3763&lt;&gt;"",$AS3763&lt;&gt;"✓"),SUMPRODUCT(($AM$11:$AM3763&lt;&gt;"")*($AS$11:$AS3763&lt;&gt;"✓")),"")</f>
        <v/>
      </c>
      <c r="AZ3763" s="21" t="str">
        <f>IF(AND($AM3763&lt;&gt;"",$AS3763="✓"),SUMPRODUCT(($AM$11:$AM3763&lt;&gt;"")*($AS$11:$AS3763="✓")),"")</f>
        <v/>
      </c>
      <c r="BA3763" s="21" t="str">
        <f>IF($AL3763="","",$AL3763&amp;"|"&amp;COUNTIF($AL$11:$AL3763,$AL3763))</f>
        <v/>
      </c>
    </row>
    <row r="3764" spans="38:53" ht="15" customHeight="1" x14ac:dyDescent="0.25">
      <c r="AL3764" s="31"/>
      <c r="AM3764" s="26"/>
      <c r="AN3764" s="32"/>
      <c r="AO3764" s="32"/>
      <c r="AP3764" s="24"/>
      <c r="AQ3764" s="24"/>
      <c r="AR3764" s="33"/>
      <c r="AS3764" s="34"/>
      <c r="AT3764" s="33"/>
      <c r="AV3764" s="21">
        <f>IF(AND($AL3764&lt;&gt;"",COUNTIF($AL$11:$AL3764,$AL3764)=1),1,0)</f>
        <v>0</v>
      </c>
      <c r="AW3764" s="21">
        <f t="shared" si="203"/>
        <v>2</v>
      </c>
      <c r="AX3764" s="21" t="str">
        <f t="shared" si="202"/>
        <v/>
      </c>
      <c r="AY3764" s="21" t="str">
        <f>IF(AND($AM3764&lt;&gt;"",$AS3764&lt;&gt;"✓"),SUMPRODUCT(($AM$11:$AM3764&lt;&gt;"")*($AS$11:$AS3764&lt;&gt;"✓")),"")</f>
        <v/>
      </c>
      <c r="AZ3764" s="21" t="str">
        <f>IF(AND($AM3764&lt;&gt;"",$AS3764="✓"),SUMPRODUCT(($AM$11:$AM3764&lt;&gt;"")*($AS$11:$AS3764="✓")),"")</f>
        <v/>
      </c>
      <c r="BA3764" s="21" t="str">
        <f>IF($AL3764="","",$AL3764&amp;"|"&amp;COUNTIF($AL$11:$AL3764,$AL3764))</f>
        <v/>
      </c>
    </row>
    <row r="3765" spans="38:53" ht="15" customHeight="1" x14ac:dyDescent="0.25">
      <c r="AL3765" s="17"/>
      <c r="AM3765" s="12"/>
      <c r="AN3765" s="18"/>
      <c r="AO3765" s="18"/>
      <c r="AP3765" s="10"/>
      <c r="AQ3765" s="10"/>
      <c r="AR3765" s="19"/>
      <c r="AS3765" s="20"/>
      <c r="AT3765" s="19"/>
      <c r="AV3765" s="21">
        <f>IF(AND($AL3765&lt;&gt;"",COUNTIF($AL$11:$AL3765,$AL3765)=1),1,0)</f>
        <v>0</v>
      </c>
      <c r="AW3765" s="21">
        <f t="shared" si="203"/>
        <v>2</v>
      </c>
      <c r="AX3765" s="21" t="str">
        <f t="shared" si="202"/>
        <v/>
      </c>
      <c r="AY3765" s="21" t="str">
        <f>IF(AND($AM3765&lt;&gt;"",$AS3765&lt;&gt;"✓"),SUMPRODUCT(($AM$11:$AM3765&lt;&gt;"")*($AS$11:$AS3765&lt;&gt;"✓")),"")</f>
        <v/>
      </c>
      <c r="AZ3765" s="21" t="str">
        <f>IF(AND($AM3765&lt;&gt;"",$AS3765="✓"),SUMPRODUCT(($AM$11:$AM3765&lt;&gt;"")*($AS$11:$AS3765="✓")),"")</f>
        <v/>
      </c>
      <c r="BA3765" s="21" t="str">
        <f>IF($AL3765="","",$AL3765&amp;"|"&amp;COUNTIF($AL$11:$AL3765,$AL3765))</f>
        <v/>
      </c>
    </row>
    <row r="3766" spans="38:53" ht="15" customHeight="1" x14ac:dyDescent="0.25">
      <c r="AL3766" s="31"/>
      <c r="AM3766" s="26"/>
      <c r="AN3766" s="32"/>
      <c r="AO3766" s="32"/>
      <c r="AP3766" s="24"/>
      <c r="AQ3766" s="24"/>
      <c r="AR3766" s="33"/>
      <c r="AS3766" s="34"/>
      <c r="AT3766" s="33"/>
      <c r="AV3766" s="21">
        <f>IF(AND($AL3766&lt;&gt;"",COUNTIF($AL$11:$AL3766,$AL3766)=1),1,0)</f>
        <v>0</v>
      </c>
      <c r="AW3766" s="21">
        <f t="shared" si="203"/>
        <v>2</v>
      </c>
      <c r="AX3766" s="21" t="str">
        <f t="shared" si="202"/>
        <v/>
      </c>
      <c r="AY3766" s="21" t="str">
        <f>IF(AND($AM3766&lt;&gt;"",$AS3766&lt;&gt;"✓"),SUMPRODUCT(($AM$11:$AM3766&lt;&gt;"")*($AS$11:$AS3766&lt;&gt;"✓")),"")</f>
        <v/>
      </c>
      <c r="AZ3766" s="21" t="str">
        <f>IF(AND($AM3766&lt;&gt;"",$AS3766="✓"),SUMPRODUCT(($AM$11:$AM3766&lt;&gt;"")*($AS$11:$AS3766="✓")),"")</f>
        <v/>
      </c>
      <c r="BA3766" s="21" t="str">
        <f>IF($AL3766="","",$AL3766&amp;"|"&amp;COUNTIF($AL$11:$AL3766,$AL3766))</f>
        <v/>
      </c>
    </row>
    <row r="3767" spans="38:53" ht="15" customHeight="1" x14ac:dyDescent="0.25">
      <c r="AL3767" s="17"/>
      <c r="AM3767" s="12"/>
      <c r="AN3767" s="18"/>
      <c r="AO3767" s="18"/>
      <c r="AP3767" s="10"/>
      <c r="AQ3767" s="10"/>
      <c r="AR3767" s="19"/>
      <c r="AS3767" s="20"/>
      <c r="AT3767" s="19"/>
      <c r="AV3767" s="21">
        <f>IF(AND($AL3767&lt;&gt;"",COUNTIF($AL$11:$AL3767,$AL3767)=1),1,0)</f>
        <v>0</v>
      </c>
      <c r="AW3767" s="21">
        <f t="shared" si="203"/>
        <v>2</v>
      </c>
      <c r="AX3767" s="21" t="str">
        <f t="shared" si="202"/>
        <v/>
      </c>
      <c r="AY3767" s="21" t="str">
        <f>IF(AND($AM3767&lt;&gt;"",$AS3767&lt;&gt;"✓"),SUMPRODUCT(($AM$11:$AM3767&lt;&gt;"")*($AS$11:$AS3767&lt;&gt;"✓")),"")</f>
        <v/>
      </c>
      <c r="AZ3767" s="21" t="str">
        <f>IF(AND($AM3767&lt;&gt;"",$AS3767="✓"),SUMPRODUCT(($AM$11:$AM3767&lt;&gt;"")*($AS$11:$AS3767="✓")),"")</f>
        <v/>
      </c>
      <c r="BA3767" s="21" t="str">
        <f>IF($AL3767="","",$AL3767&amp;"|"&amp;COUNTIF($AL$11:$AL3767,$AL3767))</f>
        <v/>
      </c>
    </row>
    <row r="3768" spans="38:53" ht="15" customHeight="1" x14ac:dyDescent="0.25">
      <c r="AL3768" s="31"/>
      <c r="AM3768" s="26"/>
      <c r="AN3768" s="32"/>
      <c r="AO3768" s="32"/>
      <c r="AP3768" s="24"/>
      <c r="AQ3768" s="24"/>
      <c r="AR3768" s="33"/>
      <c r="AS3768" s="34"/>
      <c r="AT3768" s="33"/>
      <c r="AV3768" s="21">
        <f>IF(AND($AL3768&lt;&gt;"",COUNTIF($AL$11:$AL3768,$AL3768)=1),1,0)</f>
        <v>0</v>
      </c>
      <c r="AW3768" s="21">
        <f t="shared" si="203"/>
        <v>2</v>
      </c>
      <c r="AX3768" s="21" t="str">
        <f t="shared" si="202"/>
        <v/>
      </c>
      <c r="AY3768" s="21" t="str">
        <f>IF(AND($AM3768&lt;&gt;"",$AS3768&lt;&gt;"✓"),SUMPRODUCT(($AM$11:$AM3768&lt;&gt;"")*($AS$11:$AS3768&lt;&gt;"✓")),"")</f>
        <v/>
      </c>
      <c r="AZ3768" s="21" t="str">
        <f>IF(AND($AM3768&lt;&gt;"",$AS3768="✓"),SUMPRODUCT(($AM$11:$AM3768&lt;&gt;"")*($AS$11:$AS3768="✓")),"")</f>
        <v/>
      </c>
      <c r="BA3768" s="21" t="str">
        <f>IF($AL3768="","",$AL3768&amp;"|"&amp;COUNTIF($AL$11:$AL3768,$AL3768))</f>
        <v/>
      </c>
    </row>
    <row r="3769" spans="38:53" ht="15" customHeight="1" x14ac:dyDescent="0.25">
      <c r="AL3769" s="17"/>
      <c r="AM3769" s="12"/>
      <c r="AN3769" s="18"/>
      <c r="AO3769" s="18"/>
      <c r="AP3769" s="10"/>
      <c r="AQ3769" s="10"/>
      <c r="AR3769" s="19"/>
      <c r="AS3769" s="20"/>
      <c r="AT3769" s="19"/>
      <c r="AV3769" s="21">
        <f>IF(AND($AL3769&lt;&gt;"",COUNTIF($AL$11:$AL3769,$AL3769)=1),1,0)</f>
        <v>0</v>
      </c>
      <c r="AW3769" s="21">
        <f t="shared" si="203"/>
        <v>2</v>
      </c>
      <c r="AX3769" s="21" t="str">
        <f t="shared" si="202"/>
        <v/>
      </c>
      <c r="AY3769" s="21" t="str">
        <f>IF(AND($AM3769&lt;&gt;"",$AS3769&lt;&gt;"✓"),SUMPRODUCT(($AM$11:$AM3769&lt;&gt;"")*($AS$11:$AS3769&lt;&gt;"✓")),"")</f>
        <v/>
      </c>
      <c r="AZ3769" s="21" t="str">
        <f>IF(AND($AM3769&lt;&gt;"",$AS3769="✓"),SUMPRODUCT(($AM$11:$AM3769&lt;&gt;"")*($AS$11:$AS3769="✓")),"")</f>
        <v/>
      </c>
      <c r="BA3769" s="21" t="str">
        <f>IF($AL3769="","",$AL3769&amp;"|"&amp;COUNTIF($AL$11:$AL3769,$AL3769))</f>
        <v/>
      </c>
    </row>
    <row r="3770" spans="38:53" ht="15" customHeight="1" x14ac:dyDescent="0.25">
      <c r="AL3770" s="31"/>
      <c r="AM3770" s="26"/>
      <c r="AN3770" s="32"/>
      <c r="AO3770" s="32"/>
      <c r="AP3770" s="24"/>
      <c r="AQ3770" s="24"/>
      <c r="AR3770" s="33"/>
      <c r="AS3770" s="34"/>
      <c r="AT3770" s="33"/>
      <c r="AV3770" s="21">
        <f>IF(AND($AL3770&lt;&gt;"",COUNTIF($AL$11:$AL3770,$AL3770)=1),1,0)</f>
        <v>0</v>
      </c>
      <c r="AW3770" s="21">
        <f t="shared" si="203"/>
        <v>2</v>
      </c>
      <c r="AX3770" s="21" t="str">
        <f t="shared" si="202"/>
        <v/>
      </c>
      <c r="AY3770" s="21" t="str">
        <f>IF(AND($AM3770&lt;&gt;"",$AS3770&lt;&gt;"✓"),SUMPRODUCT(($AM$11:$AM3770&lt;&gt;"")*($AS$11:$AS3770&lt;&gt;"✓")),"")</f>
        <v/>
      </c>
      <c r="AZ3770" s="21" t="str">
        <f>IF(AND($AM3770&lt;&gt;"",$AS3770="✓"),SUMPRODUCT(($AM$11:$AM3770&lt;&gt;"")*($AS$11:$AS3770="✓")),"")</f>
        <v/>
      </c>
      <c r="BA3770" s="21" t="str">
        <f>IF($AL3770="","",$AL3770&amp;"|"&amp;COUNTIF($AL$11:$AL3770,$AL3770))</f>
        <v/>
      </c>
    </row>
    <row r="3771" spans="38:53" ht="15" customHeight="1" x14ac:dyDescent="0.25">
      <c r="AL3771" s="17"/>
      <c r="AM3771" s="12"/>
      <c r="AN3771" s="18"/>
      <c r="AO3771" s="18"/>
      <c r="AP3771" s="10"/>
      <c r="AQ3771" s="10"/>
      <c r="AR3771" s="19"/>
      <c r="AS3771" s="20"/>
      <c r="AT3771" s="19"/>
      <c r="AV3771" s="21">
        <f>IF(AND($AL3771&lt;&gt;"",COUNTIF($AL$11:$AL3771,$AL3771)=1),1,0)</f>
        <v>0</v>
      </c>
      <c r="AW3771" s="21">
        <f t="shared" si="203"/>
        <v>2</v>
      </c>
      <c r="AX3771" s="21" t="str">
        <f t="shared" si="202"/>
        <v/>
      </c>
      <c r="AY3771" s="21" t="str">
        <f>IF(AND($AM3771&lt;&gt;"",$AS3771&lt;&gt;"✓"),SUMPRODUCT(($AM$11:$AM3771&lt;&gt;"")*($AS$11:$AS3771&lt;&gt;"✓")),"")</f>
        <v/>
      </c>
      <c r="AZ3771" s="21" t="str">
        <f>IF(AND($AM3771&lt;&gt;"",$AS3771="✓"),SUMPRODUCT(($AM$11:$AM3771&lt;&gt;"")*($AS$11:$AS3771="✓")),"")</f>
        <v/>
      </c>
      <c r="BA3771" s="21" t="str">
        <f>IF($AL3771="","",$AL3771&amp;"|"&amp;COUNTIF($AL$11:$AL3771,$AL3771))</f>
        <v/>
      </c>
    </row>
    <row r="3772" spans="38:53" ht="15" customHeight="1" x14ac:dyDescent="0.25">
      <c r="AL3772" s="31"/>
      <c r="AM3772" s="26"/>
      <c r="AN3772" s="32"/>
      <c r="AO3772" s="32"/>
      <c r="AP3772" s="24"/>
      <c r="AQ3772" s="24"/>
      <c r="AR3772" s="33"/>
      <c r="AS3772" s="34"/>
      <c r="AT3772" s="33"/>
      <c r="AV3772" s="21">
        <f>IF(AND($AL3772&lt;&gt;"",COUNTIF($AL$11:$AL3772,$AL3772)=1),1,0)</f>
        <v>0</v>
      </c>
      <c r="AW3772" s="21">
        <f t="shared" si="203"/>
        <v>2</v>
      </c>
      <c r="AX3772" s="21" t="str">
        <f t="shared" si="202"/>
        <v/>
      </c>
      <c r="AY3772" s="21" t="str">
        <f>IF(AND($AM3772&lt;&gt;"",$AS3772&lt;&gt;"✓"),SUMPRODUCT(($AM$11:$AM3772&lt;&gt;"")*($AS$11:$AS3772&lt;&gt;"✓")),"")</f>
        <v/>
      </c>
      <c r="AZ3772" s="21" t="str">
        <f>IF(AND($AM3772&lt;&gt;"",$AS3772="✓"),SUMPRODUCT(($AM$11:$AM3772&lt;&gt;"")*($AS$11:$AS3772="✓")),"")</f>
        <v/>
      </c>
      <c r="BA3772" s="21" t="str">
        <f>IF($AL3772="","",$AL3772&amp;"|"&amp;COUNTIF($AL$11:$AL3772,$AL3772))</f>
        <v/>
      </c>
    </row>
    <row r="3773" spans="38:53" ht="15" customHeight="1" x14ac:dyDescent="0.25">
      <c r="AL3773" s="17"/>
      <c r="AM3773" s="12"/>
      <c r="AN3773" s="18"/>
      <c r="AO3773" s="18"/>
      <c r="AP3773" s="10"/>
      <c r="AQ3773" s="10"/>
      <c r="AR3773" s="19"/>
      <c r="AS3773" s="20"/>
      <c r="AT3773" s="19"/>
      <c r="AV3773" s="21">
        <f>IF(AND($AL3773&lt;&gt;"",COUNTIF($AL$11:$AL3773,$AL3773)=1),1,0)</f>
        <v>0</v>
      </c>
      <c r="AW3773" s="21">
        <f t="shared" si="203"/>
        <v>2</v>
      </c>
      <c r="AX3773" s="21" t="str">
        <f t="shared" si="202"/>
        <v/>
      </c>
      <c r="AY3773" s="21" t="str">
        <f>IF(AND($AM3773&lt;&gt;"",$AS3773&lt;&gt;"✓"),SUMPRODUCT(($AM$11:$AM3773&lt;&gt;"")*($AS$11:$AS3773&lt;&gt;"✓")),"")</f>
        <v/>
      </c>
      <c r="AZ3773" s="21" t="str">
        <f>IF(AND($AM3773&lt;&gt;"",$AS3773="✓"),SUMPRODUCT(($AM$11:$AM3773&lt;&gt;"")*($AS$11:$AS3773="✓")),"")</f>
        <v/>
      </c>
      <c r="BA3773" s="21" t="str">
        <f>IF($AL3773="","",$AL3773&amp;"|"&amp;COUNTIF($AL$11:$AL3773,$AL3773))</f>
        <v/>
      </c>
    </row>
    <row r="3774" spans="38:53" ht="15" customHeight="1" x14ac:dyDescent="0.25">
      <c r="AL3774" s="31"/>
      <c r="AM3774" s="26"/>
      <c r="AN3774" s="32"/>
      <c r="AO3774" s="32"/>
      <c r="AP3774" s="24"/>
      <c r="AQ3774" s="24"/>
      <c r="AR3774" s="33"/>
      <c r="AS3774" s="34"/>
      <c r="AT3774" s="33"/>
      <c r="AV3774" s="21">
        <f>IF(AND($AL3774&lt;&gt;"",COUNTIF($AL$11:$AL3774,$AL3774)=1),1,0)</f>
        <v>0</v>
      </c>
      <c r="AW3774" s="21">
        <f t="shared" si="203"/>
        <v>2</v>
      </c>
      <c r="AX3774" s="21" t="str">
        <f t="shared" si="202"/>
        <v/>
      </c>
      <c r="AY3774" s="21" t="str">
        <f>IF(AND($AM3774&lt;&gt;"",$AS3774&lt;&gt;"✓"),SUMPRODUCT(($AM$11:$AM3774&lt;&gt;"")*($AS$11:$AS3774&lt;&gt;"✓")),"")</f>
        <v/>
      </c>
      <c r="AZ3774" s="21" t="str">
        <f>IF(AND($AM3774&lt;&gt;"",$AS3774="✓"),SUMPRODUCT(($AM$11:$AM3774&lt;&gt;"")*($AS$11:$AS3774="✓")),"")</f>
        <v/>
      </c>
      <c r="BA3774" s="21" t="str">
        <f>IF($AL3774="","",$AL3774&amp;"|"&amp;COUNTIF($AL$11:$AL3774,$AL3774))</f>
        <v/>
      </c>
    </row>
    <row r="3775" spans="38:53" ht="15" customHeight="1" x14ac:dyDescent="0.25">
      <c r="AL3775" s="17"/>
      <c r="AM3775" s="12"/>
      <c r="AN3775" s="18"/>
      <c r="AO3775" s="18"/>
      <c r="AP3775" s="10"/>
      <c r="AQ3775" s="10"/>
      <c r="AR3775" s="19"/>
      <c r="AS3775" s="20"/>
      <c r="AT3775" s="19"/>
      <c r="AV3775" s="21">
        <f>IF(AND($AL3775&lt;&gt;"",COUNTIF($AL$11:$AL3775,$AL3775)=1),1,0)</f>
        <v>0</v>
      </c>
      <c r="AW3775" s="21">
        <f t="shared" si="203"/>
        <v>2</v>
      </c>
      <c r="AX3775" s="21" t="str">
        <f t="shared" si="202"/>
        <v/>
      </c>
      <c r="AY3775" s="21" t="str">
        <f>IF(AND($AM3775&lt;&gt;"",$AS3775&lt;&gt;"✓"),SUMPRODUCT(($AM$11:$AM3775&lt;&gt;"")*($AS$11:$AS3775&lt;&gt;"✓")),"")</f>
        <v/>
      </c>
      <c r="AZ3775" s="21" t="str">
        <f>IF(AND($AM3775&lt;&gt;"",$AS3775="✓"),SUMPRODUCT(($AM$11:$AM3775&lt;&gt;"")*($AS$11:$AS3775="✓")),"")</f>
        <v/>
      </c>
      <c r="BA3775" s="21" t="str">
        <f>IF($AL3775="","",$AL3775&amp;"|"&amp;COUNTIF($AL$11:$AL3775,$AL3775))</f>
        <v/>
      </c>
    </row>
    <row r="3776" spans="38:53" ht="15" customHeight="1" x14ac:dyDescent="0.25">
      <c r="AL3776" s="31"/>
      <c r="AM3776" s="26"/>
      <c r="AN3776" s="32"/>
      <c r="AO3776" s="32"/>
      <c r="AP3776" s="24"/>
      <c r="AQ3776" s="24"/>
      <c r="AR3776" s="33"/>
      <c r="AS3776" s="34"/>
      <c r="AT3776" s="33"/>
      <c r="AV3776" s="21">
        <f>IF(AND($AL3776&lt;&gt;"",COUNTIF($AL$11:$AL3776,$AL3776)=1),1,0)</f>
        <v>0</v>
      </c>
      <c r="AW3776" s="21">
        <f t="shared" si="203"/>
        <v>2</v>
      </c>
      <c r="AX3776" s="21" t="str">
        <f t="shared" si="202"/>
        <v/>
      </c>
      <c r="AY3776" s="21" t="str">
        <f>IF(AND($AM3776&lt;&gt;"",$AS3776&lt;&gt;"✓"),SUMPRODUCT(($AM$11:$AM3776&lt;&gt;"")*($AS$11:$AS3776&lt;&gt;"✓")),"")</f>
        <v/>
      </c>
      <c r="AZ3776" s="21" t="str">
        <f>IF(AND($AM3776&lt;&gt;"",$AS3776="✓"),SUMPRODUCT(($AM$11:$AM3776&lt;&gt;"")*($AS$11:$AS3776="✓")),"")</f>
        <v/>
      </c>
      <c r="BA3776" s="21" t="str">
        <f>IF($AL3776="","",$AL3776&amp;"|"&amp;COUNTIF($AL$11:$AL3776,$AL3776))</f>
        <v/>
      </c>
    </row>
    <row r="3777" spans="38:53" ht="15" customHeight="1" x14ac:dyDescent="0.25">
      <c r="AL3777" s="17"/>
      <c r="AM3777" s="12"/>
      <c r="AN3777" s="18"/>
      <c r="AO3777" s="18"/>
      <c r="AP3777" s="10"/>
      <c r="AQ3777" s="10"/>
      <c r="AR3777" s="19"/>
      <c r="AS3777" s="20"/>
      <c r="AT3777" s="19"/>
      <c r="AV3777" s="21">
        <f>IF(AND($AL3777&lt;&gt;"",COUNTIF($AL$11:$AL3777,$AL3777)=1),1,0)</f>
        <v>0</v>
      </c>
      <c r="AW3777" s="21">
        <f t="shared" si="203"/>
        <v>2</v>
      </c>
      <c r="AX3777" s="21" t="str">
        <f t="shared" si="202"/>
        <v/>
      </c>
      <c r="AY3777" s="21" t="str">
        <f>IF(AND($AM3777&lt;&gt;"",$AS3777&lt;&gt;"✓"),SUMPRODUCT(($AM$11:$AM3777&lt;&gt;"")*($AS$11:$AS3777&lt;&gt;"✓")),"")</f>
        <v/>
      </c>
      <c r="AZ3777" s="21" t="str">
        <f>IF(AND($AM3777&lt;&gt;"",$AS3777="✓"),SUMPRODUCT(($AM$11:$AM3777&lt;&gt;"")*($AS$11:$AS3777="✓")),"")</f>
        <v/>
      </c>
      <c r="BA3777" s="21" t="str">
        <f>IF($AL3777="","",$AL3777&amp;"|"&amp;COUNTIF($AL$11:$AL3777,$AL3777))</f>
        <v/>
      </c>
    </row>
    <row r="3778" spans="38:53" ht="15" customHeight="1" x14ac:dyDescent="0.25">
      <c r="AL3778" s="31"/>
      <c r="AM3778" s="26"/>
      <c r="AN3778" s="32"/>
      <c r="AO3778" s="32"/>
      <c r="AP3778" s="24"/>
      <c r="AQ3778" s="24"/>
      <c r="AR3778" s="33"/>
      <c r="AS3778" s="34"/>
      <c r="AT3778" s="33"/>
      <c r="AV3778" s="21">
        <f>IF(AND($AL3778&lt;&gt;"",COUNTIF($AL$11:$AL3778,$AL3778)=1),1,0)</f>
        <v>0</v>
      </c>
      <c r="AW3778" s="21">
        <f t="shared" si="203"/>
        <v>2</v>
      </c>
      <c r="AX3778" s="21" t="str">
        <f t="shared" si="202"/>
        <v/>
      </c>
      <c r="AY3778" s="21" t="str">
        <f>IF(AND($AM3778&lt;&gt;"",$AS3778&lt;&gt;"✓"),SUMPRODUCT(($AM$11:$AM3778&lt;&gt;"")*($AS$11:$AS3778&lt;&gt;"✓")),"")</f>
        <v/>
      </c>
      <c r="AZ3778" s="21" t="str">
        <f>IF(AND($AM3778&lt;&gt;"",$AS3778="✓"),SUMPRODUCT(($AM$11:$AM3778&lt;&gt;"")*($AS$11:$AS3778="✓")),"")</f>
        <v/>
      </c>
      <c r="BA3778" s="21" t="str">
        <f>IF($AL3778="","",$AL3778&amp;"|"&amp;COUNTIF($AL$11:$AL3778,$AL3778))</f>
        <v/>
      </c>
    </row>
    <row r="3779" spans="38:53" ht="15" customHeight="1" x14ac:dyDescent="0.25">
      <c r="AL3779" s="17"/>
      <c r="AM3779" s="12"/>
      <c r="AN3779" s="18"/>
      <c r="AO3779" s="18"/>
      <c r="AP3779" s="10"/>
      <c r="AQ3779" s="10"/>
      <c r="AR3779" s="19"/>
      <c r="AS3779" s="20"/>
      <c r="AT3779" s="19"/>
      <c r="AV3779" s="21">
        <f>IF(AND($AL3779&lt;&gt;"",COUNTIF($AL$11:$AL3779,$AL3779)=1),1,0)</f>
        <v>0</v>
      </c>
      <c r="AW3779" s="21">
        <f t="shared" si="203"/>
        <v>2</v>
      </c>
      <c r="AX3779" s="21" t="str">
        <f t="shared" si="202"/>
        <v/>
      </c>
      <c r="AY3779" s="21" t="str">
        <f>IF(AND($AM3779&lt;&gt;"",$AS3779&lt;&gt;"✓"),SUMPRODUCT(($AM$11:$AM3779&lt;&gt;"")*($AS$11:$AS3779&lt;&gt;"✓")),"")</f>
        <v/>
      </c>
      <c r="AZ3779" s="21" t="str">
        <f>IF(AND($AM3779&lt;&gt;"",$AS3779="✓"),SUMPRODUCT(($AM$11:$AM3779&lt;&gt;"")*($AS$11:$AS3779="✓")),"")</f>
        <v/>
      </c>
      <c r="BA3779" s="21" t="str">
        <f>IF($AL3779="","",$AL3779&amp;"|"&amp;COUNTIF($AL$11:$AL3779,$AL3779))</f>
        <v/>
      </c>
    </row>
    <row r="3780" spans="38:53" ht="15" customHeight="1" x14ac:dyDescent="0.25">
      <c r="AL3780" s="31"/>
      <c r="AM3780" s="26"/>
      <c r="AN3780" s="32"/>
      <c r="AO3780" s="32"/>
      <c r="AP3780" s="24"/>
      <c r="AQ3780" s="24"/>
      <c r="AR3780" s="33"/>
      <c r="AS3780" s="34"/>
      <c r="AT3780" s="33"/>
      <c r="AV3780" s="21">
        <f>IF(AND($AL3780&lt;&gt;"",COUNTIF($AL$11:$AL3780,$AL3780)=1),1,0)</f>
        <v>0</v>
      </c>
      <c r="AW3780" s="21">
        <f t="shared" si="203"/>
        <v>2</v>
      </c>
      <c r="AX3780" s="21" t="str">
        <f t="shared" si="202"/>
        <v/>
      </c>
      <c r="AY3780" s="21" t="str">
        <f>IF(AND($AM3780&lt;&gt;"",$AS3780&lt;&gt;"✓"),SUMPRODUCT(($AM$11:$AM3780&lt;&gt;"")*($AS$11:$AS3780&lt;&gt;"✓")),"")</f>
        <v/>
      </c>
      <c r="AZ3780" s="21" t="str">
        <f>IF(AND($AM3780&lt;&gt;"",$AS3780="✓"),SUMPRODUCT(($AM$11:$AM3780&lt;&gt;"")*($AS$11:$AS3780="✓")),"")</f>
        <v/>
      </c>
      <c r="BA3780" s="21" t="str">
        <f>IF($AL3780="","",$AL3780&amp;"|"&amp;COUNTIF($AL$11:$AL3780,$AL3780))</f>
        <v/>
      </c>
    </row>
    <row r="3781" spans="38:53" ht="15" customHeight="1" x14ac:dyDescent="0.25">
      <c r="AL3781" s="17"/>
      <c r="AM3781" s="12"/>
      <c r="AN3781" s="18"/>
      <c r="AO3781" s="18"/>
      <c r="AP3781" s="10"/>
      <c r="AQ3781" s="10"/>
      <c r="AR3781" s="19"/>
      <c r="AS3781" s="20"/>
      <c r="AT3781" s="19"/>
      <c r="AV3781" s="21">
        <f>IF(AND($AL3781&lt;&gt;"",COUNTIF($AL$11:$AL3781,$AL3781)=1),1,0)</f>
        <v>0</v>
      </c>
      <c r="AW3781" s="21">
        <f t="shared" si="203"/>
        <v>2</v>
      </c>
      <c r="AX3781" s="21" t="str">
        <f t="shared" si="202"/>
        <v/>
      </c>
      <c r="AY3781" s="21" t="str">
        <f>IF(AND($AM3781&lt;&gt;"",$AS3781&lt;&gt;"✓"),SUMPRODUCT(($AM$11:$AM3781&lt;&gt;"")*($AS$11:$AS3781&lt;&gt;"✓")),"")</f>
        <v/>
      </c>
      <c r="AZ3781" s="21" t="str">
        <f>IF(AND($AM3781&lt;&gt;"",$AS3781="✓"),SUMPRODUCT(($AM$11:$AM3781&lt;&gt;"")*($AS$11:$AS3781="✓")),"")</f>
        <v/>
      </c>
      <c r="BA3781" s="21" t="str">
        <f>IF($AL3781="","",$AL3781&amp;"|"&amp;COUNTIF($AL$11:$AL3781,$AL3781))</f>
        <v/>
      </c>
    </row>
    <row r="3782" spans="38:53" ht="15" customHeight="1" x14ac:dyDescent="0.25">
      <c r="AL3782" s="31"/>
      <c r="AM3782" s="26"/>
      <c r="AN3782" s="32"/>
      <c r="AO3782" s="32"/>
      <c r="AP3782" s="24"/>
      <c r="AQ3782" s="24"/>
      <c r="AR3782" s="33"/>
      <c r="AS3782" s="34"/>
      <c r="AT3782" s="33"/>
      <c r="AV3782" s="21">
        <f>IF(AND($AL3782&lt;&gt;"",COUNTIF($AL$11:$AL3782,$AL3782)=1),1,0)</f>
        <v>0</v>
      </c>
      <c r="AW3782" s="21">
        <f t="shared" si="203"/>
        <v>2</v>
      </c>
      <c r="AX3782" s="21" t="str">
        <f t="shared" si="202"/>
        <v/>
      </c>
      <c r="AY3782" s="21" t="str">
        <f>IF(AND($AM3782&lt;&gt;"",$AS3782&lt;&gt;"✓"),SUMPRODUCT(($AM$11:$AM3782&lt;&gt;"")*($AS$11:$AS3782&lt;&gt;"✓")),"")</f>
        <v/>
      </c>
      <c r="AZ3782" s="21" t="str">
        <f>IF(AND($AM3782&lt;&gt;"",$AS3782="✓"),SUMPRODUCT(($AM$11:$AM3782&lt;&gt;"")*($AS$11:$AS3782="✓")),"")</f>
        <v/>
      </c>
      <c r="BA3782" s="21" t="str">
        <f>IF($AL3782="","",$AL3782&amp;"|"&amp;COUNTIF($AL$11:$AL3782,$AL3782))</f>
        <v/>
      </c>
    </row>
    <row r="3783" spans="38:53" ht="15" customHeight="1" x14ac:dyDescent="0.25">
      <c r="AL3783" s="17"/>
      <c r="AM3783" s="12"/>
      <c r="AN3783" s="18"/>
      <c r="AO3783" s="18"/>
      <c r="AP3783" s="10"/>
      <c r="AQ3783" s="10"/>
      <c r="AR3783" s="19"/>
      <c r="AS3783" s="20"/>
      <c r="AT3783" s="19"/>
      <c r="AV3783" s="21">
        <f>IF(AND($AL3783&lt;&gt;"",COUNTIF($AL$11:$AL3783,$AL3783)=1),1,0)</f>
        <v>0</v>
      </c>
      <c r="AW3783" s="21">
        <f t="shared" si="203"/>
        <v>2</v>
      </c>
      <c r="AX3783" s="21" t="str">
        <f t="shared" si="202"/>
        <v/>
      </c>
      <c r="AY3783" s="21" t="str">
        <f>IF(AND($AM3783&lt;&gt;"",$AS3783&lt;&gt;"✓"),SUMPRODUCT(($AM$11:$AM3783&lt;&gt;"")*($AS$11:$AS3783&lt;&gt;"✓")),"")</f>
        <v/>
      </c>
      <c r="AZ3783" s="21" t="str">
        <f>IF(AND($AM3783&lt;&gt;"",$AS3783="✓"),SUMPRODUCT(($AM$11:$AM3783&lt;&gt;"")*($AS$11:$AS3783="✓")),"")</f>
        <v/>
      </c>
      <c r="BA3783" s="21" t="str">
        <f>IF($AL3783="","",$AL3783&amp;"|"&amp;COUNTIF($AL$11:$AL3783,$AL3783))</f>
        <v/>
      </c>
    </row>
    <row r="3784" spans="38:53" ht="15" customHeight="1" x14ac:dyDescent="0.25">
      <c r="AL3784" s="31"/>
      <c r="AM3784" s="26"/>
      <c r="AN3784" s="32"/>
      <c r="AO3784" s="32"/>
      <c r="AP3784" s="24"/>
      <c r="AQ3784" s="24"/>
      <c r="AR3784" s="33"/>
      <c r="AS3784" s="34"/>
      <c r="AT3784" s="33"/>
      <c r="AV3784" s="21">
        <f>IF(AND($AL3784&lt;&gt;"",COUNTIF($AL$11:$AL3784,$AL3784)=1),1,0)</f>
        <v>0</v>
      </c>
      <c r="AW3784" s="21">
        <f t="shared" si="203"/>
        <v>2</v>
      </c>
      <c r="AX3784" s="21" t="str">
        <f t="shared" si="202"/>
        <v/>
      </c>
      <c r="AY3784" s="21" t="str">
        <f>IF(AND($AM3784&lt;&gt;"",$AS3784&lt;&gt;"✓"),SUMPRODUCT(($AM$11:$AM3784&lt;&gt;"")*($AS$11:$AS3784&lt;&gt;"✓")),"")</f>
        <v/>
      </c>
      <c r="AZ3784" s="21" t="str">
        <f>IF(AND($AM3784&lt;&gt;"",$AS3784="✓"),SUMPRODUCT(($AM$11:$AM3784&lt;&gt;"")*($AS$11:$AS3784="✓")),"")</f>
        <v/>
      </c>
      <c r="BA3784" s="21" t="str">
        <f>IF($AL3784="","",$AL3784&amp;"|"&amp;COUNTIF($AL$11:$AL3784,$AL3784))</f>
        <v/>
      </c>
    </row>
    <row r="3785" spans="38:53" ht="15" customHeight="1" x14ac:dyDescent="0.25">
      <c r="AL3785" s="17"/>
      <c r="AM3785" s="12"/>
      <c r="AN3785" s="18"/>
      <c r="AO3785" s="18"/>
      <c r="AP3785" s="10"/>
      <c r="AQ3785" s="10"/>
      <c r="AR3785" s="19"/>
      <c r="AS3785" s="20"/>
      <c r="AT3785" s="19"/>
      <c r="AV3785" s="21">
        <f>IF(AND($AL3785&lt;&gt;"",COUNTIF($AL$11:$AL3785,$AL3785)=1),1,0)</f>
        <v>0</v>
      </c>
      <c r="AW3785" s="21">
        <f t="shared" si="203"/>
        <v>2</v>
      </c>
      <c r="AX3785" s="21" t="str">
        <f t="shared" si="202"/>
        <v/>
      </c>
      <c r="AY3785" s="21" t="str">
        <f>IF(AND($AM3785&lt;&gt;"",$AS3785&lt;&gt;"✓"),SUMPRODUCT(($AM$11:$AM3785&lt;&gt;"")*($AS$11:$AS3785&lt;&gt;"✓")),"")</f>
        <v/>
      </c>
      <c r="AZ3785" s="21" t="str">
        <f>IF(AND($AM3785&lt;&gt;"",$AS3785="✓"),SUMPRODUCT(($AM$11:$AM3785&lt;&gt;"")*($AS$11:$AS3785="✓")),"")</f>
        <v/>
      </c>
      <c r="BA3785" s="21" t="str">
        <f>IF($AL3785="","",$AL3785&amp;"|"&amp;COUNTIF($AL$11:$AL3785,$AL3785))</f>
        <v/>
      </c>
    </row>
    <row r="3786" spans="38:53" ht="15" customHeight="1" x14ac:dyDescent="0.25">
      <c r="AL3786" s="31"/>
      <c r="AM3786" s="26"/>
      <c r="AN3786" s="32"/>
      <c r="AO3786" s="32"/>
      <c r="AP3786" s="24"/>
      <c r="AQ3786" s="24"/>
      <c r="AR3786" s="33"/>
      <c r="AS3786" s="34"/>
      <c r="AT3786" s="33"/>
      <c r="AV3786" s="21">
        <f>IF(AND($AL3786&lt;&gt;"",COUNTIF($AL$11:$AL3786,$AL3786)=1),1,0)</f>
        <v>0</v>
      </c>
      <c r="AW3786" s="21">
        <f t="shared" si="203"/>
        <v>2</v>
      </c>
      <c r="AX3786" s="21" t="str">
        <f t="shared" si="202"/>
        <v/>
      </c>
      <c r="AY3786" s="21" t="str">
        <f>IF(AND($AM3786&lt;&gt;"",$AS3786&lt;&gt;"✓"),SUMPRODUCT(($AM$11:$AM3786&lt;&gt;"")*($AS$11:$AS3786&lt;&gt;"✓")),"")</f>
        <v/>
      </c>
      <c r="AZ3786" s="21" t="str">
        <f>IF(AND($AM3786&lt;&gt;"",$AS3786="✓"),SUMPRODUCT(($AM$11:$AM3786&lt;&gt;"")*($AS$11:$AS3786="✓")),"")</f>
        <v/>
      </c>
      <c r="BA3786" s="21" t="str">
        <f>IF($AL3786="","",$AL3786&amp;"|"&amp;COUNTIF($AL$11:$AL3786,$AL3786))</f>
        <v/>
      </c>
    </row>
    <row r="3787" spans="38:53" ht="15" customHeight="1" x14ac:dyDescent="0.25">
      <c r="AL3787" s="17"/>
      <c r="AM3787" s="12"/>
      <c r="AN3787" s="18"/>
      <c r="AO3787" s="18"/>
      <c r="AP3787" s="10"/>
      <c r="AQ3787" s="10"/>
      <c r="AR3787" s="19"/>
      <c r="AS3787" s="20"/>
      <c r="AT3787" s="19"/>
      <c r="AV3787" s="21">
        <f>IF(AND($AL3787&lt;&gt;"",COUNTIF($AL$11:$AL3787,$AL3787)=1),1,0)</f>
        <v>0</v>
      </c>
      <c r="AW3787" s="21">
        <f t="shared" si="203"/>
        <v>2</v>
      </c>
      <c r="AX3787" s="21" t="str">
        <f t="shared" ref="AX3787:AX3850" si="204">IF(AV3787=1,AW3787,"")</f>
        <v/>
      </c>
      <c r="AY3787" s="21" t="str">
        <f>IF(AND($AM3787&lt;&gt;"",$AS3787&lt;&gt;"✓"),SUMPRODUCT(($AM$11:$AM3787&lt;&gt;"")*($AS$11:$AS3787&lt;&gt;"✓")),"")</f>
        <v/>
      </c>
      <c r="AZ3787" s="21" t="str">
        <f>IF(AND($AM3787&lt;&gt;"",$AS3787="✓"),SUMPRODUCT(($AM$11:$AM3787&lt;&gt;"")*($AS$11:$AS3787="✓")),"")</f>
        <v/>
      </c>
      <c r="BA3787" s="21" t="str">
        <f>IF($AL3787="","",$AL3787&amp;"|"&amp;COUNTIF($AL$11:$AL3787,$AL3787))</f>
        <v/>
      </c>
    </row>
    <row r="3788" spans="38:53" ht="15" customHeight="1" x14ac:dyDescent="0.25">
      <c r="AL3788" s="31"/>
      <c r="AM3788" s="26"/>
      <c r="AN3788" s="32"/>
      <c r="AO3788" s="32"/>
      <c r="AP3788" s="24"/>
      <c r="AQ3788" s="24"/>
      <c r="AR3788" s="33"/>
      <c r="AS3788" s="34"/>
      <c r="AT3788" s="33"/>
      <c r="AV3788" s="21">
        <f>IF(AND($AL3788&lt;&gt;"",COUNTIF($AL$11:$AL3788,$AL3788)=1),1,0)</f>
        <v>0</v>
      </c>
      <c r="AW3788" s="21">
        <f t="shared" ref="AW3788:AW3851" si="205">AW3787+AV3788</f>
        <v>2</v>
      </c>
      <c r="AX3788" s="21" t="str">
        <f t="shared" si="204"/>
        <v/>
      </c>
      <c r="AY3788" s="21" t="str">
        <f>IF(AND($AM3788&lt;&gt;"",$AS3788&lt;&gt;"✓"),SUMPRODUCT(($AM$11:$AM3788&lt;&gt;"")*($AS$11:$AS3788&lt;&gt;"✓")),"")</f>
        <v/>
      </c>
      <c r="AZ3788" s="21" t="str">
        <f>IF(AND($AM3788&lt;&gt;"",$AS3788="✓"),SUMPRODUCT(($AM$11:$AM3788&lt;&gt;"")*($AS$11:$AS3788="✓")),"")</f>
        <v/>
      </c>
      <c r="BA3788" s="21" t="str">
        <f>IF($AL3788="","",$AL3788&amp;"|"&amp;COUNTIF($AL$11:$AL3788,$AL3788))</f>
        <v/>
      </c>
    </row>
    <row r="3789" spans="38:53" ht="15" customHeight="1" x14ac:dyDescent="0.25">
      <c r="AL3789" s="17"/>
      <c r="AM3789" s="12"/>
      <c r="AN3789" s="18"/>
      <c r="AO3789" s="18"/>
      <c r="AP3789" s="10"/>
      <c r="AQ3789" s="10"/>
      <c r="AR3789" s="19"/>
      <c r="AS3789" s="20"/>
      <c r="AT3789" s="19"/>
      <c r="AV3789" s="21">
        <f>IF(AND($AL3789&lt;&gt;"",COUNTIF($AL$11:$AL3789,$AL3789)=1),1,0)</f>
        <v>0</v>
      </c>
      <c r="AW3789" s="21">
        <f t="shared" si="205"/>
        <v>2</v>
      </c>
      <c r="AX3789" s="21" t="str">
        <f t="shared" si="204"/>
        <v/>
      </c>
      <c r="AY3789" s="21" t="str">
        <f>IF(AND($AM3789&lt;&gt;"",$AS3789&lt;&gt;"✓"),SUMPRODUCT(($AM$11:$AM3789&lt;&gt;"")*($AS$11:$AS3789&lt;&gt;"✓")),"")</f>
        <v/>
      </c>
      <c r="AZ3789" s="21" t="str">
        <f>IF(AND($AM3789&lt;&gt;"",$AS3789="✓"),SUMPRODUCT(($AM$11:$AM3789&lt;&gt;"")*($AS$11:$AS3789="✓")),"")</f>
        <v/>
      </c>
      <c r="BA3789" s="21" t="str">
        <f>IF($AL3789="","",$AL3789&amp;"|"&amp;COUNTIF($AL$11:$AL3789,$AL3789))</f>
        <v/>
      </c>
    </row>
    <row r="3790" spans="38:53" ht="15" customHeight="1" x14ac:dyDescent="0.25">
      <c r="AL3790" s="31"/>
      <c r="AM3790" s="26"/>
      <c r="AN3790" s="32"/>
      <c r="AO3790" s="32"/>
      <c r="AP3790" s="24"/>
      <c r="AQ3790" s="24"/>
      <c r="AR3790" s="33"/>
      <c r="AS3790" s="34"/>
      <c r="AT3790" s="33"/>
      <c r="AV3790" s="21">
        <f>IF(AND($AL3790&lt;&gt;"",COUNTIF($AL$11:$AL3790,$AL3790)=1),1,0)</f>
        <v>0</v>
      </c>
      <c r="AW3790" s="21">
        <f t="shared" si="205"/>
        <v>2</v>
      </c>
      <c r="AX3790" s="21" t="str">
        <f t="shared" si="204"/>
        <v/>
      </c>
      <c r="AY3790" s="21" t="str">
        <f>IF(AND($AM3790&lt;&gt;"",$AS3790&lt;&gt;"✓"),SUMPRODUCT(($AM$11:$AM3790&lt;&gt;"")*($AS$11:$AS3790&lt;&gt;"✓")),"")</f>
        <v/>
      </c>
      <c r="AZ3790" s="21" t="str">
        <f>IF(AND($AM3790&lt;&gt;"",$AS3790="✓"),SUMPRODUCT(($AM$11:$AM3790&lt;&gt;"")*($AS$11:$AS3790="✓")),"")</f>
        <v/>
      </c>
      <c r="BA3790" s="21" t="str">
        <f>IF($AL3790="","",$AL3790&amp;"|"&amp;COUNTIF($AL$11:$AL3790,$AL3790))</f>
        <v/>
      </c>
    </row>
    <row r="3791" spans="38:53" ht="15" customHeight="1" x14ac:dyDescent="0.25">
      <c r="AL3791" s="17"/>
      <c r="AM3791" s="12"/>
      <c r="AN3791" s="18"/>
      <c r="AO3791" s="18"/>
      <c r="AP3791" s="10"/>
      <c r="AQ3791" s="10"/>
      <c r="AR3791" s="19"/>
      <c r="AS3791" s="20"/>
      <c r="AT3791" s="19"/>
      <c r="AV3791" s="21">
        <f>IF(AND($AL3791&lt;&gt;"",COUNTIF($AL$11:$AL3791,$AL3791)=1),1,0)</f>
        <v>0</v>
      </c>
      <c r="AW3791" s="21">
        <f t="shared" si="205"/>
        <v>2</v>
      </c>
      <c r="AX3791" s="21" t="str">
        <f t="shared" si="204"/>
        <v/>
      </c>
      <c r="AY3791" s="21" t="str">
        <f>IF(AND($AM3791&lt;&gt;"",$AS3791&lt;&gt;"✓"),SUMPRODUCT(($AM$11:$AM3791&lt;&gt;"")*($AS$11:$AS3791&lt;&gt;"✓")),"")</f>
        <v/>
      </c>
      <c r="AZ3791" s="21" t="str">
        <f>IF(AND($AM3791&lt;&gt;"",$AS3791="✓"),SUMPRODUCT(($AM$11:$AM3791&lt;&gt;"")*($AS$11:$AS3791="✓")),"")</f>
        <v/>
      </c>
      <c r="BA3791" s="21" t="str">
        <f>IF($AL3791="","",$AL3791&amp;"|"&amp;COUNTIF($AL$11:$AL3791,$AL3791))</f>
        <v/>
      </c>
    </row>
    <row r="3792" spans="38:53" ht="15" customHeight="1" x14ac:dyDescent="0.25">
      <c r="AL3792" s="31"/>
      <c r="AM3792" s="26"/>
      <c r="AN3792" s="32"/>
      <c r="AO3792" s="32"/>
      <c r="AP3792" s="24"/>
      <c r="AQ3792" s="24"/>
      <c r="AR3792" s="33"/>
      <c r="AS3792" s="34"/>
      <c r="AT3792" s="33"/>
      <c r="AV3792" s="21">
        <f>IF(AND($AL3792&lt;&gt;"",COUNTIF($AL$11:$AL3792,$AL3792)=1),1,0)</f>
        <v>0</v>
      </c>
      <c r="AW3792" s="21">
        <f t="shared" si="205"/>
        <v>2</v>
      </c>
      <c r="AX3792" s="21" t="str">
        <f t="shared" si="204"/>
        <v/>
      </c>
      <c r="AY3792" s="21" t="str">
        <f>IF(AND($AM3792&lt;&gt;"",$AS3792&lt;&gt;"✓"),SUMPRODUCT(($AM$11:$AM3792&lt;&gt;"")*($AS$11:$AS3792&lt;&gt;"✓")),"")</f>
        <v/>
      </c>
      <c r="AZ3792" s="21" t="str">
        <f>IF(AND($AM3792&lt;&gt;"",$AS3792="✓"),SUMPRODUCT(($AM$11:$AM3792&lt;&gt;"")*($AS$11:$AS3792="✓")),"")</f>
        <v/>
      </c>
      <c r="BA3792" s="21" t="str">
        <f>IF($AL3792="","",$AL3792&amp;"|"&amp;COUNTIF($AL$11:$AL3792,$AL3792))</f>
        <v/>
      </c>
    </row>
    <row r="3793" spans="38:53" ht="15" customHeight="1" x14ac:dyDescent="0.25">
      <c r="AL3793" s="17"/>
      <c r="AM3793" s="12"/>
      <c r="AN3793" s="18"/>
      <c r="AO3793" s="18"/>
      <c r="AP3793" s="10"/>
      <c r="AQ3793" s="10"/>
      <c r="AR3793" s="19"/>
      <c r="AS3793" s="20"/>
      <c r="AT3793" s="19"/>
      <c r="AV3793" s="21">
        <f>IF(AND($AL3793&lt;&gt;"",COUNTIF($AL$11:$AL3793,$AL3793)=1),1,0)</f>
        <v>0</v>
      </c>
      <c r="AW3793" s="21">
        <f t="shared" si="205"/>
        <v>2</v>
      </c>
      <c r="AX3793" s="21" t="str">
        <f t="shared" si="204"/>
        <v/>
      </c>
      <c r="AY3793" s="21" t="str">
        <f>IF(AND($AM3793&lt;&gt;"",$AS3793&lt;&gt;"✓"),SUMPRODUCT(($AM$11:$AM3793&lt;&gt;"")*($AS$11:$AS3793&lt;&gt;"✓")),"")</f>
        <v/>
      </c>
      <c r="AZ3793" s="21" t="str">
        <f>IF(AND($AM3793&lt;&gt;"",$AS3793="✓"),SUMPRODUCT(($AM$11:$AM3793&lt;&gt;"")*($AS$11:$AS3793="✓")),"")</f>
        <v/>
      </c>
      <c r="BA3793" s="21" t="str">
        <f>IF($AL3793="","",$AL3793&amp;"|"&amp;COUNTIF($AL$11:$AL3793,$AL3793))</f>
        <v/>
      </c>
    </row>
    <row r="3794" spans="38:53" ht="15" customHeight="1" x14ac:dyDescent="0.25">
      <c r="AL3794" s="31"/>
      <c r="AM3794" s="26"/>
      <c r="AN3794" s="32"/>
      <c r="AO3794" s="32"/>
      <c r="AP3794" s="24"/>
      <c r="AQ3794" s="24"/>
      <c r="AR3794" s="33"/>
      <c r="AS3794" s="34"/>
      <c r="AT3794" s="33"/>
      <c r="AV3794" s="21">
        <f>IF(AND($AL3794&lt;&gt;"",COUNTIF($AL$11:$AL3794,$AL3794)=1),1,0)</f>
        <v>0</v>
      </c>
      <c r="AW3794" s="21">
        <f t="shared" si="205"/>
        <v>2</v>
      </c>
      <c r="AX3794" s="21" t="str">
        <f t="shared" si="204"/>
        <v/>
      </c>
      <c r="AY3794" s="21" t="str">
        <f>IF(AND($AM3794&lt;&gt;"",$AS3794&lt;&gt;"✓"),SUMPRODUCT(($AM$11:$AM3794&lt;&gt;"")*($AS$11:$AS3794&lt;&gt;"✓")),"")</f>
        <v/>
      </c>
      <c r="AZ3794" s="21" t="str">
        <f>IF(AND($AM3794&lt;&gt;"",$AS3794="✓"),SUMPRODUCT(($AM$11:$AM3794&lt;&gt;"")*($AS$11:$AS3794="✓")),"")</f>
        <v/>
      </c>
      <c r="BA3794" s="21" t="str">
        <f>IF($AL3794="","",$AL3794&amp;"|"&amp;COUNTIF($AL$11:$AL3794,$AL3794))</f>
        <v/>
      </c>
    </row>
    <row r="3795" spans="38:53" ht="15" customHeight="1" x14ac:dyDescent="0.25">
      <c r="AL3795" s="17"/>
      <c r="AM3795" s="12"/>
      <c r="AN3795" s="18"/>
      <c r="AO3795" s="18"/>
      <c r="AP3795" s="10"/>
      <c r="AQ3795" s="10"/>
      <c r="AR3795" s="19"/>
      <c r="AS3795" s="20"/>
      <c r="AT3795" s="19"/>
      <c r="AV3795" s="21">
        <f>IF(AND($AL3795&lt;&gt;"",COUNTIF($AL$11:$AL3795,$AL3795)=1),1,0)</f>
        <v>0</v>
      </c>
      <c r="AW3795" s="21">
        <f t="shared" si="205"/>
        <v>2</v>
      </c>
      <c r="AX3795" s="21" t="str">
        <f t="shared" si="204"/>
        <v/>
      </c>
      <c r="AY3795" s="21" t="str">
        <f>IF(AND($AM3795&lt;&gt;"",$AS3795&lt;&gt;"✓"),SUMPRODUCT(($AM$11:$AM3795&lt;&gt;"")*($AS$11:$AS3795&lt;&gt;"✓")),"")</f>
        <v/>
      </c>
      <c r="AZ3795" s="21" t="str">
        <f>IF(AND($AM3795&lt;&gt;"",$AS3795="✓"),SUMPRODUCT(($AM$11:$AM3795&lt;&gt;"")*($AS$11:$AS3795="✓")),"")</f>
        <v/>
      </c>
      <c r="BA3795" s="21" t="str">
        <f>IF($AL3795="","",$AL3795&amp;"|"&amp;COUNTIF($AL$11:$AL3795,$AL3795))</f>
        <v/>
      </c>
    </row>
    <row r="3796" spans="38:53" ht="15" customHeight="1" x14ac:dyDescent="0.25">
      <c r="AL3796" s="31"/>
      <c r="AM3796" s="26"/>
      <c r="AN3796" s="32"/>
      <c r="AO3796" s="32"/>
      <c r="AP3796" s="24"/>
      <c r="AQ3796" s="24"/>
      <c r="AR3796" s="33"/>
      <c r="AS3796" s="34"/>
      <c r="AT3796" s="33"/>
      <c r="AV3796" s="21">
        <f>IF(AND($AL3796&lt;&gt;"",COUNTIF($AL$11:$AL3796,$AL3796)=1),1,0)</f>
        <v>0</v>
      </c>
      <c r="AW3796" s="21">
        <f t="shared" si="205"/>
        <v>2</v>
      </c>
      <c r="AX3796" s="21" t="str">
        <f t="shared" si="204"/>
        <v/>
      </c>
      <c r="AY3796" s="21" t="str">
        <f>IF(AND($AM3796&lt;&gt;"",$AS3796&lt;&gt;"✓"),SUMPRODUCT(($AM$11:$AM3796&lt;&gt;"")*($AS$11:$AS3796&lt;&gt;"✓")),"")</f>
        <v/>
      </c>
      <c r="AZ3796" s="21" t="str">
        <f>IF(AND($AM3796&lt;&gt;"",$AS3796="✓"),SUMPRODUCT(($AM$11:$AM3796&lt;&gt;"")*($AS$11:$AS3796="✓")),"")</f>
        <v/>
      </c>
      <c r="BA3796" s="21" t="str">
        <f>IF($AL3796="","",$AL3796&amp;"|"&amp;COUNTIF($AL$11:$AL3796,$AL3796))</f>
        <v/>
      </c>
    </row>
    <row r="3797" spans="38:53" ht="15" customHeight="1" x14ac:dyDescent="0.25">
      <c r="AL3797" s="17"/>
      <c r="AM3797" s="12"/>
      <c r="AN3797" s="18"/>
      <c r="AO3797" s="18"/>
      <c r="AP3797" s="10"/>
      <c r="AQ3797" s="10"/>
      <c r="AR3797" s="19"/>
      <c r="AS3797" s="20"/>
      <c r="AT3797" s="19"/>
      <c r="AV3797" s="21">
        <f>IF(AND($AL3797&lt;&gt;"",COUNTIF($AL$11:$AL3797,$AL3797)=1),1,0)</f>
        <v>0</v>
      </c>
      <c r="AW3797" s="21">
        <f t="shared" si="205"/>
        <v>2</v>
      </c>
      <c r="AX3797" s="21" t="str">
        <f t="shared" si="204"/>
        <v/>
      </c>
      <c r="AY3797" s="21" t="str">
        <f>IF(AND($AM3797&lt;&gt;"",$AS3797&lt;&gt;"✓"),SUMPRODUCT(($AM$11:$AM3797&lt;&gt;"")*($AS$11:$AS3797&lt;&gt;"✓")),"")</f>
        <v/>
      </c>
      <c r="AZ3797" s="21" t="str">
        <f>IF(AND($AM3797&lt;&gt;"",$AS3797="✓"),SUMPRODUCT(($AM$11:$AM3797&lt;&gt;"")*($AS$11:$AS3797="✓")),"")</f>
        <v/>
      </c>
      <c r="BA3797" s="21" t="str">
        <f>IF($AL3797="","",$AL3797&amp;"|"&amp;COUNTIF($AL$11:$AL3797,$AL3797))</f>
        <v/>
      </c>
    </row>
    <row r="3798" spans="38:53" ht="15" customHeight="1" x14ac:dyDescent="0.25">
      <c r="AL3798" s="31"/>
      <c r="AM3798" s="26"/>
      <c r="AN3798" s="32"/>
      <c r="AO3798" s="32"/>
      <c r="AP3798" s="24"/>
      <c r="AQ3798" s="24"/>
      <c r="AR3798" s="33"/>
      <c r="AS3798" s="34"/>
      <c r="AT3798" s="33"/>
      <c r="AV3798" s="21">
        <f>IF(AND($AL3798&lt;&gt;"",COUNTIF($AL$11:$AL3798,$AL3798)=1),1,0)</f>
        <v>0</v>
      </c>
      <c r="AW3798" s="21">
        <f t="shared" si="205"/>
        <v>2</v>
      </c>
      <c r="AX3798" s="21" t="str">
        <f t="shared" si="204"/>
        <v/>
      </c>
      <c r="AY3798" s="21" t="str">
        <f>IF(AND($AM3798&lt;&gt;"",$AS3798&lt;&gt;"✓"),SUMPRODUCT(($AM$11:$AM3798&lt;&gt;"")*($AS$11:$AS3798&lt;&gt;"✓")),"")</f>
        <v/>
      </c>
      <c r="AZ3798" s="21" t="str">
        <f>IF(AND($AM3798&lt;&gt;"",$AS3798="✓"),SUMPRODUCT(($AM$11:$AM3798&lt;&gt;"")*($AS$11:$AS3798="✓")),"")</f>
        <v/>
      </c>
      <c r="BA3798" s="21" t="str">
        <f>IF($AL3798="","",$AL3798&amp;"|"&amp;COUNTIF($AL$11:$AL3798,$AL3798))</f>
        <v/>
      </c>
    </row>
    <row r="3799" spans="38:53" ht="15" customHeight="1" x14ac:dyDescent="0.25">
      <c r="AL3799" s="17"/>
      <c r="AM3799" s="12"/>
      <c r="AN3799" s="18"/>
      <c r="AO3799" s="18"/>
      <c r="AP3799" s="10"/>
      <c r="AQ3799" s="10"/>
      <c r="AR3799" s="19"/>
      <c r="AS3799" s="20"/>
      <c r="AT3799" s="19"/>
      <c r="AV3799" s="21">
        <f>IF(AND($AL3799&lt;&gt;"",COUNTIF($AL$11:$AL3799,$AL3799)=1),1,0)</f>
        <v>0</v>
      </c>
      <c r="AW3799" s="21">
        <f t="shared" si="205"/>
        <v>2</v>
      </c>
      <c r="AX3799" s="21" t="str">
        <f t="shared" si="204"/>
        <v/>
      </c>
      <c r="AY3799" s="21" t="str">
        <f>IF(AND($AM3799&lt;&gt;"",$AS3799&lt;&gt;"✓"),SUMPRODUCT(($AM$11:$AM3799&lt;&gt;"")*($AS$11:$AS3799&lt;&gt;"✓")),"")</f>
        <v/>
      </c>
      <c r="AZ3799" s="21" t="str">
        <f>IF(AND($AM3799&lt;&gt;"",$AS3799="✓"),SUMPRODUCT(($AM$11:$AM3799&lt;&gt;"")*($AS$11:$AS3799="✓")),"")</f>
        <v/>
      </c>
      <c r="BA3799" s="21" t="str">
        <f>IF($AL3799="","",$AL3799&amp;"|"&amp;COUNTIF($AL$11:$AL3799,$AL3799))</f>
        <v/>
      </c>
    </row>
    <row r="3800" spans="38:53" ht="15" customHeight="1" x14ac:dyDescent="0.25">
      <c r="AL3800" s="31"/>
      <c r="AM3800" s="26"/>
      <c r="AN3800" s="32"/>
      <c r="AO3800" s="32"/>
      <c r="AP3800" s="24"/>
      <c r="AQ3800" s="24"/>
      <c r="AR3800" s="33"/>
      <c r="AS3800" s="34"/>
      <c r="AT3800" s="33"/>
      <c r="AV3800" s="21">
        <f>IF(AND($AL3800&lt;&gt;"",COUNTIF($AL$11:$AL3800,$AL3800)=1),1,0)</f>
        <v>0</v>
      </c>
      <c r="AW3800" s="21">
        <f t="shared" si="205"/>
        <v>2</v>
      </c>
      <c r="AX3800" s="21" t="str">
        <f t="shared" si="204"/>
        <v/>
      </c>
      <c r="AY3800" s="21" t="str">
        <f>IF(AND($AM3800&lt;&gt;"",$AS3800&lt;&gt;"✓"),SUMPRODUCT(($AM$11:$AM3800&lt;&gt;"")*($AS$11:$AS3800&lt;&gt;"✓")),"")</f>
        <v/>
      </c>
      <c r="AZ3800" s="21" t="str">
        <f>IF(AND($AM3800&lt;&gt;"",$AS3800="✓"),SUMPRODUCT(($AM$11:$AM3800&lt;&gt;"")*($AS$11:$AS3800="✓")),"")</f>
        <v/>
      </c>
      <c r="BA3800" s="21" t="str">
        <f>IF($AL3800="","",$AL3800&amp;"|"&amp;COUNTIF($AL$11:$AL3800,$AL3800))</f>
        <v/>
      </c>
    </row>
    <row r="3801" spans="38:53" ht="15" customHeight="1" x14ac:dyDescent="0.25">
      <c r="AL3801" s="17"/>
      <c r="AM3801" s="12"/>
      <c r="AN3801" s="18"/>
      <c r="AO3801" s="18"/>
      <c r="AP3801" s="10"/>
      <c r="AQ3801" s="10"/>
      <c r="AR3801" s="19"/>
      <c r="AS3801" s="20"/>
      <c r="AT3801" s="19"/>
      <c r="AV3801" s="21">
        <f>IF(AND($AL3801&lt;&gt;"",COUNTIF($AL$11:$AL3801,$AL3801)=1),1,0)</f>
        <v>0</v>
      </c>
      <c r="AW3801" s="21">
        <f t="shared" si="205"/>
        <v>2</v>
      </c>
      <c r="AX3801" s="21" t="str">
        <f t="shared" si="204"/>
        <v/>
      </c>
      <c r="AY3801" s="21" t="str">
        <f>IF(AND($AM3801&lt;&gt;"",$AS3801&lt;&gt;"✓"),SUMPRODUCT(($AM$11:$AM3801&lt;&gt;"")*($AS$11:$AS3801&lt;&gt;"✓")),"")</f>
        <v/>
      </c>
      <c r="AZ3801" s="21" t="str">
        <f>IF(AND($AM3801&lt;&gt;"",$AS3801="✓"),SUMPRODUCT(($AM$11:$AM3801&lt;&gt;"")*($AS$11:$AS3801="✓")),"")</f>
        <v/>
      </c>
      <c r="BA3801" s="21" t="str">
        <f>IF($AL3801="","",$AL3801&amp;"|"&amp;COUNTIF($AL$11:$AL3801,$AL3801))</f>
        <v/>
      </c>
    </row>
    <row r="3802" spans="38:53" ht="15" customHeight="1" x14ac:dyDescent="0.25">
      <c r="AL3802" s="31"/>
      <c r="AM3802" s="26"/>
      <c r="AN3802" s="32"/>
      <c r="AO3802" s="32"/>
      <c r="AP3802" s="24"/>
      <c r="AQ3802" s="24"/>
      <c r="AR3802" s="33"/>
      <c r="AS3802" s="34"/>
      <c r="AT3802" s="33"/>
      <c r="AV3802" s="21">
        <f>IF(AND($AL3802&lt;&gt;"",COUNTIF($AL$11:$AL3802,$AL3802)=1),1,0)</f>
        <v>0</v>
      </c>
      <c r="AW3802" s="21">
        <f t="shared" si="205"/>
        <v>2</v>
      </c>
      <c r="AX3802" s="21" t="str">
        <f t="shared" si="204"/>
        <v/>
      </c>
      <c r="AY3802" s="21" t="str">
        <f>IF(AND($AM3802&lt;&gt;"",$AS3802&lt;&gt;"✓"),SUMPRODUCT(($AM$11:$AM3802&lt;&gt;"")*($AS$11:$AS3802&lt;&gt;"✓")),"")</f>
        <v/>
      </c>
      <c r="AZ3802" s="21" t="str">
        <f>IF(AND($AM3802&lt;&gt;"",$AS3802="✓"),SUMPRODUCT(($AM$11:$AM3802&lt;&gt;"")*($AS$11:$AS3802="✓")),"")</f>
        <v/>
      </c>
      <c r="BA3802" s="21" t="str">
        <f>IF($AL3802="","",$AL3802&amp;"|"&amp;COUNTIF($AL$11:$AL3802,$AL3802))</f>
        <v/>
      </c>
    </row>
    <row r="3803" spans="38:53" ht="15" customHeight="1" x14ac:dyDescent="0.25">
      <c r="AL3803" s="17"/>
      <c r="AM3803" s="12"/>
      <c r="AN3803" s="18"/>
      <c r="AO3803" s="18"/>
      <c r="AP3803" s="10"/>
      <c r="AQ3803" s="10"/>
      <c r="AR3803" s="19"/>
      <c r="AS3803" s="20"/>
      <c r="AT3803" s="19"/>
      <c r="AV3803" s="21">
        <f>IF(AND($AL3803&lt;&gt;"",COUNTIF($AL$11:$AL3803,$AL3803)=1),1,0)</f>
        <v>0</v>
      </c>
      <c r="AW3803" s="21">
        <f t="shared" si="205"/>
        <v>2</v>
      </c>
      <c r="AX3803" s="21" t="str">
        <f t="shared" si="204"/>
        <v/>
      </c>
      <c r="AY3803" s="21" t="str">
        <f>IF(AND($AM3803&lt;&gt;"",$AS3803&lt;&gt;"✓"),SUMPRODUCT(($AM$11:$AM3803&lt;&gt;"")*($AS$11:$AS3803&lt;&gt;"✓")),"")</f>
        <v/>
      </c>
      <c r="AZ3803" s="21" t="str">
        <f>IF(AND($AM3803&lt;&gt;"",$AS3803="✓"),SUMPRODUCT(($AM$11:$AM3803&lt;&gt;"")*($AS$11:$AS3803="✓")),"")</f>
        <v/>
      </c>
      <c r="BA3803" s="21" t="str">
        <f>IF($AL3803="","",$AL3803&amp;"|"&amp;COUNTIF($AL$11:$AL3803,$AL3803))</f>
        <v/>
      </c>
    </row>
    <row r="3804" spans="38:53" ht="15" customHeight="1" x14ac:dyDescent="0.25">
      <c r="AL3804" s="31"/>
      <c r="AM3804" s="26"/>
      <c r="AN3804" s="32"/>
      <c r="AO3804" s="32"/>
      <c r="AP3804" s="24"/>
      <c r="AQ3804" s="24"/>
      <c r="AR3804" s="33"/>
      <c r="AS3804" s="34"/>
      <c r="AT3804" s="33"/>
      <c r="AV3804" s="21">
        <f>IF(AND($AL3804&lt;&gt;"",COUNTIF($AL$11:$AL3804,$AL3804)=1),1,0)</f>
        <v>0</v>
      </c>
      <c r="AW3804" s="21">
        <f t="shared" si="205"/>
        <v>2</v>
      </c>
      <c r="AX3804" s="21" t="str">
        <f t="shared" si="204"/>
        <v/>
      </c>
      <c r="AY3804" s="21" t="str">
        <f>IF(AND($AM3804&lt;&gt;"",$AS3804&lt;&gt;"✓"),SUMPRODUCT(($AM$11:$AM3804&lt;&gt;"")*($AS$11:$AS3804&lt;&gt;"✓")),"")</f>
        <v/>
      </c>
      <c r="AZ3804" s="21" t="str">
        <f>IF(AND($AM3804&lt;&gt;"",$AS3804="✓"),SUMPRODUCT(($AM$11:$AM3804&lt;&gt;"")*($AS$11:$AS3804="✓")),"")</f>
        <v/>
      </c>
      <c r="BA3804" s="21" t="str">
        <f>IF($AL3804="","",$AL3804&amp;"|"&amp;COUNTIF($AL$11:$AL3804,$AL3804))</f>
        <v/>
      </c>
    </row>
    <row r="3805" spans="38:53" ht="15" customHeight="1" x14ac:dyDescent="0.25">
      <c r="AL3805" s="17"/>
      <c r="AM3805" s="12"/>
      <c r="AN3805" s="18"/>
      <c r="AO3805" s="18"/>
      <c r="AP3805" s="10"/>
      <c r="AQ3805" s="10"/>
      <c r="AR3805" s="19"/>
      <c r="AS3805" s="20"/>
      <c r="AT3805" s="19"/>
      <c r="AV3805" s="21">
        <f>IF(AND($AL3805&lt;&gt;"",COUNTIF($AL$11:$AL3805,$AL3805)=1),1,0)</f>
        <v>0</v>
      </c>
      <c r="AW3805" s="21">
        <f t="shared" si="205"/>
        <v>2</v>
      </c>
      <c r="AX3805" s="21" t="str">
        <f t="shared" si="204"/>
        <v/>
      </c>
      <c r="AY3805" s="21" t="str">
        <f>IF(AND($AM3805&lt;&gt;"",$AS3805&lt;&gt;"✓"),SUMPRODUCT(($AM$11:$AM3805&lt;&gt;"")*($AS$11:$AS3805&lt;&gt;"✓")),"")</f>
        <v/>
      </c>
      <c r="AZ3805" s="21" t="str">
        <f>IF(AND($AM3805&lt;&gt;"",$AS3805="✓"),SUMPRODUCT(($AM$11:$AM3805&lt;&gt;"")*($AS$11:$AS3805="✓")),"")</f>
        <v/>
      </c>
      <c r="BA3805" s="21" t="str">
        <f>IF($AL3805="","",$AL3805&amp;"|"&amp;COUNTIF($AL$11:$AL3805,$AL3805))</f>
        <v/>
      </c>
    </row>
    <row r="3806" spans="38:53" ht="15" customHeight="1" x14ac:dyDescent="0.25">
      <c r="AL3806" s="31"/>
      <c r="AM3806" s="26"/>
      <c r="AN3806" s="32"/>
      <c r="AO3806" s="32"/>
      <c r="AP3806" s="24"/>
      <c r="AQ3806" s="24"/>
      <c r="AR3806" s="33"/>
      <c r="AS3806" s="34"/>
      <c r="AT3806" s="33"/>
      <c r="AV3806" s="21">
        <f>IF(AND($AL3806&lt;&gt;"",COUNTIF($AL$11:$AL3806,$AL3806)=1),1,0)</f>
        <v>0</v>
      </c>
      <c r="AW3806" s="21">
        <f t="shared" si="205"/>
        <v>2</v>
      </c>
      <c r="AX3806" s="21" t="str">
        <f t="shared" si="204"/>
        <v/>
      </c>
      <c r="AY3806" s="21" t="str">
        <f>IF(AND($AM3806&lt;&gt;"",$AS3806&lt;&gt;"✓"),SUMPRODUCT(($AM$11:$AM3806&lt;&gt;"")*($AS$11:$AS3806&lt;&gt;"✓")),"")</f>
        <v/>
      </c>
      <c r="AZ3806" s="21" t="str">
        <f>IF(AND($AM3806&lt;&gt;"",$AS3806="✓"),SUMPRODUCT(($AM$11:$AM3806&lt;&gt;"")*($AS$11:$AS3806="✓")),"")</f>
        <v/>
      </c>
      <c r="BA3806" s="21" t="str">
        <f>IF($AL3806="","",$AL3806&amp;"|"&amp;COUNTIF($AL$11:$AL3806,$AL3806))</f>
        <v/>
      </c>
    </row>
    <row r="3807" spans="38:53" ht="15" customHeight="1" x14ac:dyDescent="0.25">
      <c r="AL3807" s="17"/>
      <c r="AM3807" s="12"/>
      <c r="AN3807" s="18"/>
      <c r="AO3807" s="18"/>
      <c r="AP3807" s="10"/>
      <c r="AQ3807" s="10"/>
      <c r="AR3807" s="19"/>
      <c r="AS3807" s="20"/>
      <c r="AT3807" s="19"/>
      <c r="AV3807" s="21">
        <f>IF(AND($AL3807&lt;&gt;"",COUNTIF($AL$11:$AL3807,$AL3807)=1),1,0)</f>
        <v>0</v>
      </c>
      <c r="AW3807" s="21">
        <f t="shared" si="205"/>
        <v>2</v>
      </c>
      <c r="AX3807" s="21" t="str">
        <f t="shared" si="204"/>
        <v/>
      </c>
      <c r="AY3807" s="21" t="str">
        <f>IF(AND($AM3807&lt;&gt;"",$AS3807&lt;&gt;"✓"),SUMPRODUCT(($AM$11:$AM3807&lt;&gt;"")*($AS$11:$AS3807&lt;&gt;"✓")),"")</f>
        <v/>
      </c>
      <c r="AZ3807" s="21" t="str">
        <f>IF(AND($AM3807&lt;&gt;"",$AS3807="✓"),SUMPRODUCT(($AM$11:$AM3807&lt;&gt;"")*($AS$11:$AS3807="✓")),"")</f>
        <v/>
      </c>
      <c r="BA3807" s="21" t="str">
        <f>IF($AL3807="","",$AL3807&amp;"|"&amp;COUNTIF($AL$11:$AL3807,$AL3807))</f>
        <v/>
      </c>
    </row>
    <row r="3808" spans="38:53" ht="15" customHeight="1" x14ac:dyDescent="0.25">
      <c r="AL3808" s="31"/>
      <c r="AM3808" s="26"/>
      <c r="AN3808" s="32"/>
      <c r="AO3808" s="32"/>
      <c r="AP3808" s="24"/>
      <c r="AQ3808" s="24"/>
      <c r="AR3808" s="33"/>
      <c r="AS3808" s="34"/>
      <c r="AT3808" s="33"/>
      <c r="AV3808" s="21">
        <f>IF(AND($AL3808&lt;&gt;"",COUNTIF($AL$11:$AL3808,$AL3808)=1),1,0)</f>
        <v>0</v>
      </c>
      <c r="AW3808" s="21">
        <f t="shared" si="205"/>
        <v>2</v>
      </c>
      <c r="AX3808" s="21" t="str">
        <f t="shared" si="204"/>
        <v/>
      </c>
      <c r="AY3808" s="21" t="str">
        <f>IF(AND($AM3808&lt;&gt;"",$AS3808&lt;&gt;"✓"),SUMPRODUCT(($AM$11:$AM3808&lt;&gt;"")*($AS$11:$AS3808&lt;&gt;"✓")),"")</f>
        <v/>
      </c>
      <c r="AZ3808" s="21" t="str">
        <f>IF(AND($AM3808&lt;&gt;"",$AS3808="✓"),SUMPRODUCT(($AM$11:$AM3808&lt;&gt;"")*($AS$11:$AS3808="✓")),"")</f>
        <v/>
      </c>
      <c r="BA3808" s="21" t="str">
        <f>IF($AL3808="","",$AL3808&amp;"|"&amp;COUNTIF($AL$11:$AL3808,$AL3808))</f>
        <v/>
      </c>
    </row>
    <row r="3809" spans="38:53" ht="15" customHeight="1" x14ac:dyDescent="0.25">
      <c r="AL3809" s="17"/>
      <c r="AM3809" s="12"/>
      <c r="AN3809" s="18"/>
      <c r="AO3809" s="18"/>
      <c r="AP3809" s="10"/>
      <c r="AQ3809" s="10"/>
      <c r="AR3809" s="19"/>
      <c r="AS3809" s="20"/>
      <c r="AT3809" s="19"/>
      <c r="AV3809" s="21">
        <f>IF(AND($AL3809&lt;&gt;"",COUNTIF($AL$11:$AL3809,$AL3809)=1),1,0)</f>
        <v>0</v>
      </c>
      <c r="AW3809" s="21">
        <f t="shared" si="205"/>
        <v>2</v>
      </c>
      <c r="AX3809" s="21" t="str">
        <f t="shared" si="204"/>
        <v/>
      </c>
      <c r="AY3809" s="21" t="str">
        <f>IF(AND($AM3809&lt;&gt;"",$AS3809&lt;&gt;"✓"),SUMPRODUCT(($AM$11:$AM3809&lt;&gt;"")*($AS$11:$AS3809&lt;&gt;"✓")),"")</f>
        <v/>
      </c>
      <c r="AZ3809" s="21" t="str">
        <f>IF(AND($AM3809&lt;&gt;"",$AS3809="✓"),SUMPRODUCT(($AM$11:$AM3809&lt;&gt;"")*($AS$11:$AS3809="✓")),"")</f>
        <v/>
      </c>
      <c r="BA3809" s="21" t="str">
        <f>IF($AL3809="","",$AL3809&amp;"|"&amp;COUNTIF($AL$11:$AL3809,$AL3809))</f>
        <v/>
      </c>
    </row>
    <row r="3810" spans="38:53" ht="15" customHeight="1" x14ac:dyDescent="0.25">
      <c r="AL3810" s="31"/>
      <c r="AM3810" s="26"/>
      <c r="AN3810" s="32"/>
      <c r="AO3810" s="32"/>
      <c r="AP3810" s="24"/>
      <c r="AQ3810" s="24"/>
      <c r="AR3810" s="33"/>
      <c r="AS3810" s="34"/>
      <c r="AT3810" s="33"/>
      <c r="AV3810" s="21">
        <f>IF(AND($AL3810&lt;&gt;"",COUNTIF($AL$11:$AL3810,$AL3810)=1),1,0)</f>
        <v>0</v>
      </c>
      <c r="AW3810" s="21">
        <f t="shared" si="205"/>
        <v>2</v>
      </c>
      <c r="AX3810" s="21" t="str">
        <f t="shared" si="204"/>
        <v/>
      </c>
      <c r="AY3810" s="21" t="str">
        <f>IF(AND($AM3810&lt;&gt;"",$AS3810&lt;&gt;"✓"),SUMPRODUCT(($AM$11:$AM3810&lt;&gt;"")*($AS$11:$AS3810&lt;&gt;"✓")),"")</f>
        <v/>
      </c>
      <c r="AZ3810" s="21" t="str">
        <f>IF(AND($AM3810&lt;&gt;"",$AS3810="✓"),SUMPRODUCT(($AM$11:$AM3810&lt;&gt;"")*($AS$11:$AS3810="✓")),"")</f>
        <v/>
      </c>
      <c r="BA3810" s="21" t="str">
        <f>IF($AL3810="","",$AL3810&amp;"|"&amp;COUNTIF($AL$11:$AL3810,$AL3810))</f>
        <v/>
      </c>
    </row>
    <row r="3811" spans="38:53" ht="15" customHeight="1" x14ac:dyDescent="0.25">
      <c r="AL3811" s="17"/>
      <c r="AM3811" s="12"/>
      <c r="AN3811" s="18"/>
      <c r="AO3811" s="18"/>
      <c r="AP3811" s="10"/>
      <c r="AQ3811" s="10"/>
      <c r="AR3811" s="19"/>
      <c r="AS3811" s="20"/>
      <c r="AT3811" s="19"/>
      <c r="AV3811" s="21">
        <f>IF(AND($AL3811&lt;&gt;"",COUNTIF($AL$11:$AL3811,$AL3811)=1),1,0)</f>
        <v>0</v>
      </c>
      <c r="AW3811" s="21">
        <f t="shared" si="205"/>
        <v>2</v>
      </c>
      <c r="AX3811" s="21" t="str">
        <f t="shared" si="204"/>
        <v/>
      </c>
      <c r="AY3811" s="21" t="str">
        <f>IF(AND($AM3811&lt;&gt;"",$AS3811&lt;&gt;"✓"),SUMPRODUCT(($AM$11:$AM3811&lt;&gt;"")*($AS$11:$AS3811&lt;&gt;"✓")),"")</f>
        <v/>
      </c>
      <c r="AZ3811" s="21" t="str">
        <f>IF(AND($AM3811&lt;&gt;"",$AS3811="✓"),SUMPRODUCT(($AM$11:$AM3811&lt;&gt;"")*($AS$11:$AS3811="✓")),"")</f>
        <v/>
      </c>
      <c r="BA3811" s="21" t="str">
        <f>IF($AL3811="","",$AL3811&amp;"|"&amp;COUNTIF($AL$11:$AL3811,$AL3811))</f>
        <v/>
      </c>
    </row>
    <row r="3812" spans="38:53" ht="15" customHeight="1" x14ac:dyDescent="0.25">
      <c r="AL3812" s="31"/>
      <c r="AM3812" s="26"/>
      <c r="AN3812" s="32"/>
      <c r="AO3812" s="32"/>
      <c r="AP3812" s="24"/>
      <c r="AQ3812" s="24"/>
      <c r="AR3812" s="33"/>
      <c r="AS3812" s="34"/>
      <c r="AT3812" s="33"/>
      <c r="AV3812" s="21">
        <f>IF(AND($AL3812&lt;&gt;"",COUNTIF($AL$11:$AL3812,$AL3812)=1),1,0)</f>
        <v>0</v>
      </c>
      <c r="AW3812" s="21">
        <f t="shared" si="205"/>
        <v>2</v>
      </c>
      <c r="AX3812" s="21" t="str">
        <f t="shared" si="204"/>
        <v/>
      </c>
      <c r="AY3812" s="21" t="str">
        <f>IF(AND($AM3812&lt;&gt;"",$AS3812&lt;&gt;"✓"),SUMPRODUCT(($AM$11:$AM3812&lt;&gt;"")*($AS$11:$AS3812&lt;&gt;"✓")),"")</f>
        <v/>
      </c>
      <c r="AZ3812" s="21" t="str">
        <f>IF(AND($AM3812&lt;&gt;"",$AS3812="✓"),SUMPRODUCT(($AM$11:$AM3812&lt;&gt;"")*($AS$11:$AS3812="✓")),"")</f>
        <v/>
      </c>
      <c r="BA3812" s="21" t="str">
        <f>IF($AL3812="","",$AL3812&amp;"|"&amp;COUNTIF($AL$11:$AL3812,$AL3812))</f>
        <v/>
      </c>
    </row>
    <row r="3813" spans="38:53" ht="15" customHeight="1" x14ac:dyDescent="0.25">
      <c r="AL3813" s="17"/>
      <c r="AM3813" s="12"/>
      <c r="AN3813" s="18"/>
      <c r="AO3813" s="18"/>
      <c r="AP3813" s="10"/>
      <c r="AQ3813" s="10"/>
      <c r="AR3813" s="19"/>
      <c r="AS3813" s="20"/>
      <c r="AT3813" s="19"/>
      <c r="AV3813" s="21">
        <f>IF(AND($AL3813&lt;&gt;"",COUNTIF($AL$11:$AL3813,$AL3813)=1),1,0)</f>
        <v>0</v>
      </c>
      <c r="AW3813" s="21">
        <f t="shared" si="205"/>
        <v>2</v>
      </c>
      <c r="AX3813" s="21" t="str">
        <f t="shared" si="204"/>
        <v/>
      </c>
      <c r="AY3813" s="21" t="str">
        <f>IF(AND($AM3813&lt;&gt;"",$AS3813&lt;&gt;"✓"),SUMPRODUCT(($AM$11:$AM3813&lt;&gt;"")*($AS$11:$AS3813&lt;&gt;"✓")),"")</f>
        <v/>
      </c>
      <c r="AZ3813" s="21" t="str">
        <f>IF(AND($AM3813&lt;&gt;"",$AS3813="✓"),SUMPRODUCT(($AM$11:$AM3813&lt;&gt;"")*($AS$11:$AS3813="✓")),"")</f>
        <v/>
      </c>
      <c r="BA3813" s="21" t="str">
        <f>IF($AL3813="","",$AL3813&amp;"|"&amp;COUNTIF($AL$11:$AL3813,$AL3813))</f>
        <v/>
      </c>
    </row>
    <row r="3814" spans="38:53" ht="15" customHeight="1" x14ac:dyDescent="0.25">
      <c r="AL3814" s="31"/>
      <c r="AM3814" s="26"/>
      <c r="AN3814" s="32"/>
      <c r="AO3814" s="32"/>
      <c r="AP3814" s="24"/>
      <c r="AQ3814" s="24"/>
      <c r="AR3814" s="33"/>
      <c r="AS3814" s="34"/>
      <c r="AT3814" s="33"/>
      <c r="AV3814" s="21">
        <f>IF(AND($AL3814&lt;&gt;"",COUNTIF($AL$11:$AL3814,$AL3814)=1),1,0)</f>
        <v>0</v>
      </c>
      <c r="AW3814" s="21">
        <f t="shared" si="205"/>
        <v>2</v>
      </c>
      <c r="AX3814" s="21" t="str">
        <f t="shared" si="204"/>
        <v/>
      </c>
      <c r="AY3814" s="21" t="str">
        <f>IF(AND($AM3814&lt;&gt;"",$AS3814&lt;&gt;"✓"),SUMPRODUCT(($AM$11:$AM3814&lt;&gt;"")*($AS$11:$AS3814&lt;&gt;"✓")),"")</f>
        <v/>
      </c>
      <c r="AZ3814" s="21" t="str">
        <f>IF(AND($AM3814&lt;&gt;"",$AS3814="✓"),SUMPRODUCT(($AM$11:$AM3814&lt;&gt;"")*($AS$11:$AS3814="✓")),"")</f>
        <v/>
      </c>
      <c r="BA3814" s="21" t="str">
        <f>IF($AL3814="","",$AL3814&amp;"|"&amp;COUNTIF($AL$11:$AL3814,$AL3814))</f>
        <v/>
      </c>
    </row>
    <row r="3815" spans="38:53" ht="15" customHeight="1" x14ac:dyDescent="0.25">
      <c r="AL3815" s="17"/>
      <c r="AM3815" s="12"/>
      <c r="AN3815" s="18"/>
      <c r="AO3815" s="18"/>
      <c r="AP3815" s="10"/>
      <c r="AQ3815" s="10"/>
      <c r="AR3815" s="19"/>
      <c r="AS3815" s="20"/>
      <c r="AT3815" s="19"/>
      <c r="AV3815" s="21">
        <f>IF(AND($AL3815&lt;&gt;"",COUNTIF($AL$11:$AL3815,$AL3815)=1),1,0)</f>
        <v>0</v>
      </c>
      <c r="AW3815" s="21">
        <f t="shared" si="205"/>
        <v>2</v>
      </c>
      <c r="AX3815" s="21" t="str">
        <f t="shared" si="204"/>
        <v/>
      </c>
      <c r="AY3815" s="21" t="str">
        <f>IF(AND($AM3815&lt;&gt;"",$AS3815&lt;&gt;"✓"),SUMPRODUCT(($AM$11:$AM3815&lt;&gt;"")*($AS$11:$AS3815&lt;&gt;"✓")),"")</f>
        <v/>
      </c>
      <c r="AZ3815" s="21" t="str">
        <f>IF(AND($AM3815&lt;&gt;"",$AS3815="✓"),SUMPRODUCT(($AM$11:$AM3815&lt;&gt;"")*($AS$11:$AS3815="✓")),"")</f>
        <v/>
      </c>
      <c r="BA3815" s="21" t="str">
        <f>IF($AL3815="","",$AL3815&amp;"|"&amp;COUNTIF($AL$11:$AL3815,$AL3815))</f>
        <v/>
      </c>
    </row>
    <row r="3816" spans="38:53" ht="15" customHeight="1" x14ac:dyDescent="0.25">
      <c r="AL3816" s="31"/>
      <c r="AM3816" s="26"/>
      <c r="AN3816" s="32"/>
      <c r="AO3816" s="32"/>
      <c r="AP3816" s="24"/>
      <c r="AQ3816" s="24"/>
      <c r="AR3816" s="33"/>
      <c r="AS3816" s="34"/>
      <c r="AT3816" s="33"/>
      <c r="AV3816" s="21">
        <f>IF(AND($AL3816&lt;&gt;"",COUNTIF($AL$11:$AL3816,$AL3816)=1),1,0)</f>
        <v>0</v>
      </c>
      <c r="AW3816" s="21">
        <f t="shared" si="205"/>
        <v>2</v>
      </c>
      <c r="AX3816" s="21" t="str">
        <f t="shared" si="204"/>
        <v/>
      </c>
      <c r="AY3816" s="21" t="str">
        <f>IF(AND($AM3816&lt;&gt;"",$AS3816&lt;&gt;"✓"),SUMPRODUCT(($AM$11:$AM3816&lt;&gt;"")*($AS$11:$AS3816&lt;&gt;"✓")),"")</f>
        <v/>
      </c>
      <c r="AZ3816" s="21" t="str">
        <f>IF(AND($AM3816&lt;&gt;"",$AS3816="✓"),SUMPRODUCT(($AM$11:$AM3816&lt;&gt;"")*($AS$11:$AS3816="✓")),"")</f>
        <v/>
      </c>
      <c r="BA3816" s="21" t="str">
        <f>IF($AL3816="","",$AL3816&amp;"|"&amp;COUNTIF($AL$11:$AL3816,$AL3816))</f>
        <v/>
      </c>
    </row>
    <row r="3817" spans="38:53" ht="15" customHeight="1" x14ac:dyDescent="0.25">
      <c r="AL3817" s="17"/>
      <c r="AM3817" s="12"/>
      <c r="AN3817" s="18"/>
      <c r="AO3817" s="18"/>
      <c r="AP3817" s="10"/>
      <c r="AQ3817" s="10"/>
      <c r="AR3817" s="19"/>
      <c r="AS3817" s="20"/>
      <c r="AT3817" s="19"/>
      <c r="AV3817" s="21">
        <f>IF(AND($AL3817&lt;&gt;"",COUNTIF($AL$11:$AL3817,$AL3817)=1),1,0)</f>
        <v>0</v>
      </c>
      <c r="AW3817" s="21">
        <f t="shared" si="205"/>
        <v>2</v>
      </c>
      <c r="AX3817" s="21" t="str">
        <f t="shared" si="204"/>
        <v/>
      </c>
      <c r="AY3817" s="21" t="str">
        <f>IF(AND($AM3817&lt;&gt;"",$AS3817&lt;&gt;"✓"),SUMPRODUCT(($AM$11:$AM3817&lt;&gt;"")*($AS$11:$AS3817&lt;&gt;"✓")),"")</f>
        <v/>
      </c>
      <c r="AZ3817" s="21" t="str">
        <f>IF(AND($AM3817&lt;&gt;"",$AS3817="✓"),SUMPRODUCT(($AM$11:$AM3817&lt;&gt;"")*($AS$11:$AS3817="✓")),"")</f>
        <v/>
      </c>
      <c r="BA3817" s="21" t="str">
        <f>IF($AL3817="","",$AL3817&amp;"|"&amp;COUNTIF($AL$11:$AL3817,$AL3817))</f>
        <v/>
      </c>
    </row>
    <row r="3818" spans="38:53" ht="15" customHeight="1" x14ac:dyDescent="0.25">
      <c r="AL3818" s="31"/>
      <c r="AM3818" s="26"/>
      <c r="AN3818" s="32"/>
      <c r="AO3818" s="32"/>
      <c r="AP3818" s="24"/>
      <c r="AQ3818" s="24"/>
      <c r="AR3818" s="33"/>
      <c r="AS3818" s="34"/>
      <c r="AT3818" s="33"/>
      <c r="AV3818" s="21">
        <f>IF(AND($AL3818&lt;&gt;"",COUNTIF($AL$11:$AL3818,$AL3818)=1),1,0)</f>
        <v>0</v>
      </c>
      <c r="AW3818" s="21">
        <f t="shared" si="205"/>
        <v>2</v>
      </c>
      <c r="AX3818" s="21" t="str">
        <f t="shared" si="204"/>
        <v/>
      </c>
      <c r="AY3818" s="21" t="str">
        <f>IF(AND($AM3818&lt;&gt;"",$AS3818&lt;&gt;"✓"),SUMPRODUCT(($AM$11:$AM3818&lt;&gt;"")*($AS$11:$AS3818&lt;&gt;"✓")),"")</f>
        <v/>
      </c>
      <c r="AZ3818" s="21" t="str">
        <f>IF(AND($AM3818&lt;&gt;"",$AS3818="✓"),SUMPRODUCT(($AM$11:$AM3818&lt;&gt;"")*($AS$11:$AS3818="✓")),"")</f>
        <v/>
      </c>
      <c r="BA3818" s="21" t="str">
        <f>IF($AL3818="","",$AL3818&amp;"|"&amp;COUNTIF($AL$11:$AL3818,$AL3818))</f>
        <v/>
      </c>
    </row>
    <row r="3819" spans="38:53" ht="15" customHeight="1" x14ac:dyDescent="0.25">
      <c r="AL3819" s="17"/>
      <c r="AM3819" s="12"/>
      <c r="AN3819" s="18"/>
      <c r="AO3819" s="18"/>
      <c r="AP3819" s="10"/>
      <c r="AQ3819" s="10"/>
      <c r="AR3819" s="19"/>
      <c r="AS3819" s="20"/>
      <c r="AT3819" s="19"/>
      <c r="AV3819" s="21">
        <f>IF(AND($AL3819&lt;&gt;"",COUNTIF($AL$11:$AL3819,$AL3819)=1),1,0)</f>
        <v>0</v>
      </c>
      <c r="AW3819" s="21">
        <f t="shared" si="205"/>
        <v>2</v>
      </c>
      <c r="AX3819" s="21" t="str">
        <f t="shared" si="204"/>
        <v/>
      </c>
      <c r="AY3819" s="21" t="str">
        <f>IF(AND($AM3819&lt;&gt;"",$AS3819&lt;&gt;"✓"),SUMPRODUCT(($AM$11:$AM3819&lt;&gt;"")*($AS$11:$AS3819&lt;&gt;"✓")),"")</f>
        <v/>
      </c>
      <c r="AZ3819" s="21" t="str">
        <f>IF(AND($AM3819&lt;&gt;"",$AS3819="✓"),SUMPRODUCT(($AM$11:$AM3819&lt;&gt;"")*($AS$11:$AS3819="✓")),"")</f>
        <v/>
      </c>
      <c r="BA3819" s="21" t="str">
        <f>IF($AL3819="","",$AL3819&amp;"|"&amp;COUNTIF($AL$11:$AL3819,$AL3819))</f>
        <v/>
      </c>
    </row>
    <row r="3820" spans="38:53" ht="15" customHeight="1" x14ac:dyDescent="0.25">
      <c r="AL3820" s="31"/>
      <c r="AM3820" s="26"/>
      <c r="AN3820" s="32"/>
      <c r="AO3820" s="32"/>
      <c r="AP3820" s="24"/>
      <c r="AQ3820" s="24"/>
      <c r="AR3820" s="33"/>
      <c r="AS3820" s="34"/>
      <c r="AT3820" s="33"/>
      <c r="AV3820" s="21">
        <f>IF(AND($AL3820&lt;&gt;"",COUNTIF($AL$11:$AL3820,$AL3820)=1),1,0)</f>
        <v>0</v>
      </c>
      <c r="AW3820" s="21">
        <f t="shared" si="205"/>
        <v>2</v>
      </c>
      <c r="AX3820" s="21" t="str">
        <f t="shared" si="204"/>
        <v/>
      </c>
      <c r="AY3820" s="21" t="str">
        <f>IF(AND($AM3820&lt;&gt;"",$AS3820&lt;&gt;"✓"),SUMPRODUCT(($AM$11:$AM3820&lt;&gt;"")*($AS$11:$AS3820&lt;&gt;"✓")),"")</f>
        <v/>
      </c>
      <c r="AZ3820" s="21" t="str">
        <f>IF(AND($AM3820&lt;&gt;"",$AS3820="✓"),SUMPRODUCT(($AM$11:$AM3820&lt;&gt;"")*($AS$11:$AS3820="✓")),"")</f>
        <v/>
      </c>
      <c r="BA3820" s="21" t="str">
        <f>IF($AL3820="","",$AL3820&amp;"|"&amp;COUNTIF($AL$11:$AL3820,$AL3820))</f>
        <v/>
      </c>
    </row>
    <row r="3821" spans="38:53" ht="15" customHeight="1" x14ac:dyDescent="0.25">
      <c r="AL3821" s="17"/>
      <c r="AM3821" s="12"/>
      <c r="AN3821" s="18"/>
      <c r="AO3821" s="18"/>
      <c r="AP3821" s="10"/>
      <c r="AQ3821" s="10"/>
      <c r="AR3821" s="19"/>
      <c r="AS3821" s="20"/>
      <c r="AT3821" s="19"/>
      <c r="AV3821" s="21">
        <f>IF(AND($AL3821&lt;&gt;"",COUNTIF($AL$11:$AL3821,$AL3821)=1),1,0)</f>
        <v>0</v>
      </c>
      <c r="AW3821" s="21">
        <f t="shared" si="205"/>
        <v>2</v>
      </c>
      <c r="AX3821" s="21" t="str">
        <f t="shared" si="204"/>
        <v/>
      </c>
      <c r="AY3821" s="21" t="str">
        <f>IF(AND($AM3821&lt;&gt;"",$AS3821&lt;&gt;"✓"),SUMPRODUCT(($AM$11:$AM3821&lt;&gt;"")*($AS$11:$AS3821&lt;&gt;"✓")),"")</f>
        <v/>
      </c>
      <c r="AZ3821" s="21" t="str">
        <f>IF(AND($AM3821&lt;&gt;"",$AS3821="✓"),SUMPRODUCT(($AM$11:$AM3821&lt;&gt;"")*($AS$11:$AS3821="✓")),"")</f>
        <v/>
      </c>
      <c r="BA3821" s="21" t="str">
        <f>IF($AL3821="","",$AL3821&amp;"|"&amp;COUNTIF($AL$11:$AL3821,$AL3821))</f>
        <v/>
      </c>
    </row>
    <row r="3822" spans="38:53" ht="15" customHeight="1" x14ac:dyDescent="0.25">
      <c r="AL3822" s="31"/>
      <c r="AM3822" s="26"/>
      <c r="AN3822" s="32"/>
      <c r="AO3822" s="32"/>
      <c r="AP3822" s="24"/>
      <c r="AQ3822" s="24"/>
      <c r="AR3822" s="33"/>
      <c r="AS3822" s="34"/>
      <c r="AT3822" s="33"/>
      <c r="AV3822" s="21">
        <f>IF(AND($AL3822&lt;&gt;"",COUNTIF($AL$11:$AL3822,$AL3822)=1),1,0)</f>
        <v>0</v>
      </c>
      <c r="AW3822" s="21">
        <f t="shared" si="205"/>
        <v>2</v>
      </c>
      <c r="AX3822" s="21" t="str">
        <f t="shared" si="204"/>
        <v/>
      </c>
      <c r="AY3822" s="21" t="str">
        <f>IF(AND($AM3822&lt;&gt;"",$AS3822&lt;&gt;"✓"),SUMPRODUCT(($AM$11:$AM3822&lt;&gt;"")*($AS$11:$AS3822&lt;&gt;"✓")),"")</f>
        <v/>
      </c>
      <c r="AZ3822" s="21" t="str">
        <f>IF(AND($AM3822&lt;&gt;"",$AS3822="✓"),SUMPRODUCT(($AM$11:$AM3822&lt;&gt;"")*($AS$11:$AS3822="✓")),"")</f>
        <v/>
      </c>
      <c r="BA3822" s="21" t="str">
        <f>IF($AL3822="","",$AL3822&amp;"|"&amp;COUNTIF($AL$11:$AL3822,$AL3822))</f>
        <v/>
      </c>
    </row>
    <row r="3823" spans="38:53" ht="15" customHeight="1" x14ac:dyDescent="0.25">
      <c r="AL3823" s="17"/>
      <c r="AM3823" s="12"/>
      <c r="AN3823" s="18"/>
      <c r="AO3823" s="18"/>
      <c r="AP3823" s="10"/>
      <c r="AQ3823" s="10"/>
      <c r="AR3823" s="19"/>
      <c r="AS3823" s="20"/>
      <c r="AT3823" s="19"/>
      <c r="AV3823" s="21">
        <f>IF(AND($AL3823&lt;&gt;"",COUNTIF($AL$11:$AL3823,$AL3823)=1),1,0)</f>
        <v>0</v>
      </c>
      <c r="AW3823" s="21">
        <f t="shared" si="205"/>
        <v>2</v>
      </c>
      <c r="AX3823" s="21" t="str">
        <f t="shared" si="204"/>
        <v/>
      </c>
      <c r="AY3823" s="21" t="str">
        <f>IF(AND($AM3823&lt;&gt;"",$AS3823&lt;&gt;"✓"),SUMPRODUCT(($AM$11:$AM3823&lt;&gt;"")*($AS$11:$AS3823&lt;&gt;"✓")),"")</f>
        <v/>
      </c>
      <c r="AZ3823" s="21" t="str">
        <f>IF(AND($AM3823&lt;&gt;"",$AS3823="✓"),SUMPRODUCT(($AM$11:$AM3823&lt;&gt;"")*($AS$11:$AS3823="✓")),"")</f>
        <v/>
      </c>
      <c r="BA3823" s="21" t="str">
        <f>IF($AL3823="","",$AL3823&amp;"|"&amp;COUNTIF($AL$11:$AL3823,$AL3823))</f>
        <v/>
      </c>
    </row>
    <row r="3824" spans="38:53" ht="15" customHeight="1" x14ac:dyDescent="0.25">
      <c r="AL3824" s="31"/>
      <c r="AM3824" s="26"/>
      <c r="AN3824" s="32"/>
      <c r="AO3824" s="32"/>
      <c r="AP3824" s="24"/>
      <c r="AQ3824" s="24"/>
      <c r="AR3824" s="33"/>
      <c r="AS3824" s="34"/>
      <c r="AT3824" s="33"/>
      <c r="AV3824" s="21">
        <f>IF(AND($AL3824&lt;&gt;"",COUNTIF($AL$11:$AL3824,$AL3824)=1),1,0)</f>
        <v>0</v>
      </c>
      <c r="AW3824" s="21">
        <f t="shared" si="205"/>
        <v>2</v>
      </c>
      <c r="AX3824" s="21" t="str">
        <f t="shared" si="204"/>
        <v/>
      </c>
      <c r="AY3824" s="21" t="str">
        <f>IF(AND($AM3824&lt;&gt;"",$AS3824&lt;&gt;"✓"),SUMPRODUCT(($AM$11:$AM3824&lt;&gt;"")*($AS$11:$AS3824&lt;&gt;"✓")),"")</f>
        <v/>
      </c>
      <c r="AZ3824" s="21" t="str">
        <f>IF(AND($AM3824&lt;&gt;"",$AS3824="✓"),SUMPRODUCT(($AM$11:$AM3824&lt;&gt;"")*($AS$11:$AS3824="✓")),"")</f>
        <v/>
      </c>
      <c r="BA3824" s="21" t="str">
        <f>IF($AL3824="","",$AL3824&amp;"|"&amp;COUNTIF($AL$11:$AL3824,$AL3824))</f>
        <v/>
      </c>
    </row>
    <row r="3825" spans="38:53" ht="15" customHeight="1" x14ac:dyDescent="0.25">
      <c r="AL3825" s="17"/>
      <c r="AM3825" s="12"/>
      <c r="AN3825" s="18"/>
      <c r="AO3825" s="18"/>
      <c r="AP3825" s="10"/>
      <c r="AQ3825" s="10"/>
      <c r="AR3825" s="19"/>
      <c r="AS3825" s="20"/>
      <c r="AT3825" s="19"/>
      <c r="AV3825" s="21">
        <f>IF(AND($AL3825&lt;&gt;"",COUNTIF($AL$11:$AL3825,$AL3825)=1),1,0)</f>
        <v>0</v>
      </c>
      <c r="AW3825" s="21">
        <f t="shared" si="205"/>
        <v>2</v>
      </c>
      <c r="AX3825" s="21" t="str">
        <f t="shared" si="204"/>
        <v/>
      </c>
      <c r="AY3825" s="21" t="str">
        <f>IF(AND($AM3825&lt;&gt;"",$AS3825&lt;&gt;"✓"),SUMPRODUCT(($AM$11:$AM3825&lt;&gt;"")*($AS$11:$AS3825&lt;&gt;"✓")),"")</f>
        <v/>
      </c>
      <c r="AZ3825" s="21" t="str">
        <f>IF(AND($AM3825&lt;&gt;"",$AS3825="✓"),SUMPRODUCT(($AM$11:$AM3825&lt;&gt;"")*($AS$11:$AS3825="✓")),"")</f>
        <v/>
      </c>
      <c r="BA3825" s="21" t="str">
        <f>IF($AL3825="","",$AL3825&amp;"|"&amp;COUNTIF($AL$11:$AL3825,$AL3825))</f>
        <v/>
      </c>
    </row>
    <row r="3826" spans="38:53" ht="15" customHeight="1" x14ac:dyDescent="0.25">
      <c r="AL3826" s="31"/>
      <c r="AM3826" s="26"/>
      <c r="AN3826" s="32"/>
      <c r="AO3826" s="32"/>
      <c r="AP3826" s="24"/>
      <c r="AQ3826" s="24"/>
      <c r="AR3826" s="33"/>
      <c r="AS3826" s="34"/>
      <c r="AT3826" s="33"/>
      <c r="AV3826" s="21">
        <f>IF(AND($AL3826&lt;&gt;"",COUNTIF($AL$11:$AL3826,$AL3826)=1),1,0)</f>
        <v>0</v>
      </c>
      <c r="AW3826" s="21">
        <f t="shared" si="205"/>
        <v>2</v>
      </c>
      <c r="AX3826" s="21" t="str">
        <f t="shared" si="204"/>
        <v/>
      </c>
      <c r="AY3826" s="21" t="str">
        <f>IF(AND($AM3826&lt;&gt;"",$AS3826&lt;&gt;"✓"),SUMPRODUCT(($AM$11:$AM3826&lt;&gt;"")*($AS$11:$AS3826&lt;&gt;"✓")),"")</f>
        <v/>
      </c>
      <c r="AZ3826" s="21" t="str">
        <f>IF(AND($AM3826&lt;&gt;"",$AS3826="✓"),SUMPRODUCT(($AM$11:$AM3826&lt;&gt;"")*($AS$11:$AS3826="✓")),"")</f>
        <v/>
      </c>
      <c r="BA3826" s="21" t="str">
        <f>IF($AL3826="","",$AL3826&amp;"|"&amp;COUNTIF($AL$11:$AL3826,$AL3826))</f>
        <v/>
      </c>
    </row>
    <row r="3827" spans="38:53" ht="15" customHeight="1" x14ac:dyDescent="0.25">
      <c r="AL3827" s="17"/>
      <c r="AM3827" s="12"/>
      <c r="AN3827" s="18"/>
      <c r="AO3827" s="18"/>
      <c r="AP3827" s="10"/>
      <c r="AQ3827" s="10"/>
      <c r="AR3827" s="19"/>
      <c r="AS3827" s="20"/>
      <c r="AT3827" s="19"/>
      <c r="AV3827" s="21">
        <f>IF(AND($AL3827&lt;&gt;"",COUNTIF($AL$11:$AL3827,$AL3827)=1),1,0)</f>
        <v>0</v>
      </c>
      <c r="AW3827" s="21">
        <f t="shared" si="205"/>
        <v>2</v>
      </c>
      <c r="AX3827" s="21" t="str">
        <f t="shared" si="204"/>
        <v/>
      </c>
      <c r="AY3827" s="21" t="str">
        <f>IF(AND($AM3827&lt;&gt;"",$AS3827&lt;&gt;"✓"),SUMPRODUCT(($AM$11:$AM3827&lt;&gt;"")*($AS$11:$AS3827&lt;&gt;"✓")),"")</f>
        <v/>
      </c>
      <c r="AZ3827" s="21" t="str">
        <f>IF(AND($AM3827&lt;&gt;"",$AS3827="✓"),SUMPRODUCT(($AM$11:$AM3827&lt;&gt;"")*($AS$11:$AS3827="✓")),"")</f>
        <v/>
      </c>
      <c r="BA3827" s="21" t="str">
        <f>IF($AL3827="","",$AL3827&amp;"|"&amp;COUNTIF($AL$11:$AL3827,$AL3827))</f>
        <v/>
      </c>
    </row>
    <row r="3828" spans="38:53" ht="15" customHeight="1" x14ac:dyDescent="0.25">
      <c r="AL3828" s="31"/>
      <c r="AM3828" s="26"/>
      <c r="AN3828" s="32"/>
      <c r="AO3828" s="32"/>
      <c r="AP3828" s="24"/>
      <c r="AQ3828" s="24"/>
      <c r="AR3828" s="33"/>
      <c r="AS3828" s="34"/>
      <c r="AT3828" s="33"/>
      <c r="AV3828" s="21">
        <f>IF(AND($AL3828&lt;&gt;"",COUNTIF($AL$11:$AL3828,$AL3828)=1),1,0)</f>
        <v>0</v>
      </c>
      <c r="AW3828" s="21">
        <f t="shared" si="205"/>
        <v>2</v>
      </c>
      <c r="AX3828" s="21" t="str">
        <f t="shared" si="204"/>
        <v/>
      </c>
      <c r="AY3828" s="21" t="str">
        <f>IF(AND($AM3828&lt;&gt;"",$AS3828&lt;&gt;"✓"),SUMPRODUCT(($AM$11:$AM3828&lt;&gt;"")*($AS$11:$AS3828&lt;&gt;"✓")),"")</f>
        <v/>
      </c>
      <c r="AZ3828" s="21" t="str">
        <f>IF(AND($AM3828&lt;&gt;"",$AS3828="✓"),SUMPRODUCT(($AM$11:$AM3828&lt;&gt;"")*($AS$11:$AS3828="✓")),"")</f>
        <v/>
      </c>
      <c r="BA3828" s="21" t="str">
        <f>IF($AL3828="","",$AL3828&amp;"|"&amp;COUNTIF($AL$11:$AL3828,$AL3828))</f>
        <v/>
      </c>
    </row>
    <row r="3829" spans="38:53" ht="15" customHeight="1" x14ac:dyDescent="0.25">
      <c r="AL3829" s="17"/>
      <c r="AM3829" s="12"/>
      <c r="AN3829" s="18"/>
      <c r="AO3829" s="18"/>
      <c r="AP3829" s="10"/>
      <c r="AQ3829" s="10"/>
      <c r="AR3829" s="19"/>
      <c r="AS3829" s="20"/>
      <c r="AT3829" s="19"/>
      <c r="AV3829" s="21">
        <f>IF(AND($AL3829&lt;&gt;"",COUNTIF($AL$11:$AL3829,$AL3829)=1),1,0)</f>
        <v>0</v>
      </c>
      <c r="AW3829" s="21">
        <f t="shared" si="205"/>
        <v>2</v>
      </c>
      <c r="AX3829" s="21" t="str">
        <f t="shared" si="204"/>
        <v/>
      </c>
      <c r="AY3829" s="21" t="str">
        <f>IF(AND($AM3829&lt;&gt;"",$AS3829&lt;&gt;"✓"),SUMPRODUCT(($AM$11:$AM3829&lt;&gt;"")*($AS$11:$AS3829&lt;&gt;"✓")),"")</f>
        <v/>
      </c>
      <c r="AZ3829" s="21" t="str">
        <f>IF(AND($AM3829&lt;&gt;"",$AS3829="✓"),SUMPRODUCT(($AM$11:$AM3829&lt;&gt;"")*($AS$11:$AS3829="✓")),"")</f>
        <v/>
      </c>
      <c r="BA3829" s="21" t="str">
        <f>IF($AL3829="","",$AL3829&amp;"|"&amp;COUNTIF($AL$11:$AL3829,$AL3829))</f>
        <v/>
      </c>
    </row>
    <row r="3830" spans="38:53" ht="15" customHeight="1" x14ac:dyDescent="0.25">
      <c r="AL3830" s="31"/>
      <c r="AM3830" s="26"/>
      <c r="AN3830" s="32"/>
      <c r="AO3830" s="32"/>
      <c r="AP3830" s="24"/>
      <c r="AQ3830" s="24"/>
      <c r="AR3830" s="33"/>
      <c r="AS3830" s="34"/>
      <c r="AT3830" s="33"/>
      <c r="AV3830" s="21">
        <f>IF(AND($AL3830&lt;&gt;"",COUNTIF($AL$11:$AL3830,$AL3830)=1),1,0)</f>
        <v>0</v>
      </c>
      <c r="AW3830" s="21">
        <f t="shared" si="205"/>
        <v>2</v>
      </c>
      <c r="AX3830" s="21" t="str">
        <f t="shared" si="204"/>
        <v/>
      </c>
      <c r="AY3830" s="21" t="str">
        <f>IF(AND($AM3830&lt;&gt;"",$AS3830&lt;&gt;"✓"),SUMPRODUCT(($AM$11:$AM3830&lt;&gt;"")*($AS$11:$AS3830&lt;&gt;"✓")),"")</f>
        <v/>
      </c>
      <c r="AZ3830" s="21" t="str">
        <f>IF(AND($AM3830&lt;&gt;"",$AS3830="✓"),SUMPRODUCT(($AM$11:$AM3830&lt;&gt;"")*($AS$11:$AS3830="✓")),"")</f>
        <v/>
      </c>
      <c r="BA3830" s="21" t="str">
        <f>IF($AL3830="","",$AL3830&amp;"|"&amp;COUNTIF($AL$11:$AL3830,$AL3830))</f>
        <v/>
      </c>
    </row>
    <row r="3831" spans="38:53" ht="15" customHeight="1" x14ac:dyDescent="0.25">
      <c r="AL3831" s="17"/>
      <c r="AM3831" s="12"/>
      <c r="AN3831" s="18"/>
      <c r="AO3831" s="18"/>
      <c r="AP3831" s="10"/>
      <c r="AQ3831" s="10"/>
      <c r="AR3831" s="19"/>
      <c r="AS3831" s="20"/>
      <c r="AT3831" s="19"/>
      <c r="AV3831" s="21">
        <f>IF(AND($AL3831&lt;&gt;"",COUNTIF($AL$11:$AL3831,$AL3831)=1),1,0)</f>
        <v>0</v>
      </c>
      <c r="AW3831" s="21">
        <f t="shared" si="205"/>
        <v>2</v>
      </c>
      <c r="AX3831" s="21" t="str">
        <f t="shared" si="204"/>
        <v/>
      </c>
      <c r="AY3831" s="21" t="str">
        <f>IF(AND($AM3831&lt;&gt;"",$AS3831&lt;&gt;"✓"),SUMPRODUCT(($AM$11:$AM3831&lt;&gt;"")*($AS$11:$AS3831&lt;&gt;"✓")),"")</f>
        <v/>
      </c>
      <c r="AZ3831" s="21" t="str">
        <f>IF(AND($AM3831&lt;&gt;"",$AS3831="✓"),SUMPRODUCT(($AM$11:$AM3831&lt;&gt;"")*($AS$11:$AS3831="✓")),"")</f>
        <v/>
      </c>
      <c r="BA3831" s="21" t="str">
        <f>IF($AL3831="","",$AL3831&amp;"|"&amp;COUNTIF($AL$11:$AL3831,$AL3831))</f>
        <v/>
      </c>
    </row>
    <row r="3832" spans="38:53" ht="15" customHeight="1" x14ac:dyDescent="0.25">
      <c r="AL3832" s="31"/>
      <c r="AM3832" s="26"/>
      <c r="AN3832" s="32"/>
      <c r="AO3832" s="32"/>
      <c r="AP3832" s="24"/>
      <c r="AQ3832" s="24"/>
      <c r="AR3832" s="33"/>
      <c r="AS3832" s="34"/>
      <c r="AT3832" s="33"/>
      <c r="AV3832" s="21">
        <f>IF(AND($AL3832&lt;&gt;"",COUNTIF($AL$11:$AL3832,$AL3832)=1),1,0)</f>
        <v>0</v>
      </c>
      <c r="AW3832" s="21">
        <f t="shared" si="205"/>
        <v>2</v>
      </c>
      <c r="AX3832" s="21" t="str">
        <f t="shared" si="204"/>
        <v/>
      </c>
      <c r="AY3832" s="21" t="str">
        <f>IF(AND($AM3832&lt;&gt;"",$AS3832&lt;&gt;"✓"),SUMPRODUCT(($AM$11:$AM3832&lt;&gt;"")*($AS$11:$AS3832&lt;&gt;"✓")),"")</f>
        <v/>
      </c>
      <c r="AZ3832" s="21" t="str">
        <f>IF(AND($AM3832&lt;&gt;"",$AS3832="✓"),SUMPRODUCT(($AM$11:$AM3832&lt;&gt;"")*($AS$11:$AS3832="✓")),"")</f>
        <v/>
      </c>
      <c r="BA3832" s="21" t="str">
        <f>IF($AL3832="","",$AL3832&amp;"|"&amp;COUNTIF($AL$11:$AL3832,$AL3832))</f>
        <v/>
      </c>
    </row>
    <row r="3833" spans="38:53" ht="15" customHeight="1" x14ac:dyDescent="0.25">
      <c r="AL3833" s="17"/>
      <c r="AM3833" s="12"/>
      <c r="AN3833" s="18"/>
      <c r="AO3833" s="18"/>
      <c r="AP3833" s="10"/>
      <c r="AQ3833" s="10"/>
      <c r="AR3833" s="19"/>
      <c r="AS3833" s="20"/>
      <c r="AT3833" s="19"/>
      <c r="AV3833" s="21">
        <f>IF(AND($AL3833&lt;&gt;"",COUNTIF($AL$11:$AL3833,$AL3833)=1),1,0)</f>
        <v>0</v>
      </c>
      <c r="AW3833" s="21">
        <f t="shared" si="205"/>
        <v>2</v>
      </c>
      <c r="AX3833" s="21" t="str">
        <f t="shared" si="204"/>
        <v/>
      </c>
      <c r="AY3833" s="21" t="str">
        <f>IF(AND($AM3833&lt;&gt;"",$AS3833&lt;&gt;"✓"),SUMPRODUCT(($AM$11:$AM3833&lt;&gt;"")*($AS$11:$AS3833&lt;&gt;"✓")),"")</f>
        <v/>
      </c>
      <c r="AZ3833" s="21" t="str">
        <f>IF(AND($AM3833&lt;&gt;"",$AS3833="✓"),SUMPRODUCT(($AM$11:$AM3833&lt;&gt;"")*($AS$11:$AS3833="✓")),"")</f>
        <v/>
      </c>
      <c r="BA3833" s="21" t="str">
        <f>IF($AL3833="","",$AL3833&amp;"|"&amp;COUNTIF($AL$11:$AL3833,$AL3833))</f>
        <v/>
      </c>
    </row>
    <row r="3834" spans="38:53" ht="15" customHeight="1" x14ac:dyDescent="0.25">
      <c r="AL3834" s="31"/>
      <c r="AM3834" s="26"/>
      <c r="AN3834" s="32"/>
      <c r="AO3834" s="32"/>
      <c r="AP3834" s="24"/>
      <c r="AQ3834" s="24"/>
      <c r="AR3834" s="33"/>
      <c r="AS3834" s="34"/>
      <c r="AT3834" s="33"/>
      <c r="AV3834" s="21">
        <f>IF(AND($AL3834&lt;&gt;"",COUNTIF($AL$11:$AL3834,$AL3834)=1),1,0)</f>
        <v>0</v>
      </c>
      <c r="AW3834" s="21">
        <f t="shared" si="205"/>
        <v>2</v>
      </c>
      <c r="AX3834" s="21" t="str">
        <f t="shared" si="204"/>
        <v/>
      </c>
      <c r="AY3834" s="21" t="str">
        <f>IF(AND($AM3834&lt;&gt;"",$AS3834&lt;&gt;"✓"),SUMPRODUCT(($AM$11:$AM3834&lt;&gt;"")*($AS$11:$AS3834&lt;&gt;"✓")),"")</f>
        <v/>
      </c>
      <c r="AZ3834" s="21" t="str">
        <f>IF(AND($AM3834&lt;&gt;"",$AS3834="✓"),SUMPRODUCT(($AM$11:$AM3834&lt;&gt;"")*($AS$11:$AS3834="✓")),"")</f>
        <v/>
      </c>
      <c r="BA3834" s="21" t="str">
        <f>IF($AL3834="","",$AL3834&amp;"|"&amp;COUNTIF($AL$11:$AL3834,$AL3834))</f>
        <v/>
      </c>
    </row>
    <row r="3835" spans="38:53" ht="15" customHeight="1" x14ac:dyDescent="0.25">
      <c r="AL3835" s="17"/>
      <c r="AM3835" s="12"/>
      <c r="AN3835" s="18"/>
      <c r="AO3835" s="18"/>
      <c r="AP3835" s="10"/>
      <c r="AQ3835" s="10"/>
      <c r="AR3835" s="19"/>
      <c r="AS3835" s="20"/>
      <c r="AT3835" s="19"/>
      <c r="AV3835" s="21">
        <f>IF(AND($AL3835&lt;&gt;"",COUNTIF($AL$11:$AL3835,$AL3835)=1),1,0)</f>
        <v>0</v>
      </c>
      <c r="AW3835" s="21">
        <f t="shared" si="205"/>
        <v>2</v>
      </c>
      <c r="AX3835" s="21" t="str">
        <f t="shared" si="204"/>
        <v/>
      </c>
      <c r="AY3835" s="21" t="str">
        <f>IF(AND($AM3835&lt;&gt;"",$AS3835&lt;&gt;"✓"),SUMPRODUCT(($AM$11:$AM3835&lt;&gt;"")*($AS$11:$AS3835&lt;&gt;"✓")),"")</f>
        <v/>
      </c>
      <c r="AZ3835" s="21" t="str">
        <f>IF(AND($AM3835&lt;&gt;"",$AS3835="✓"),SUMPRODUCT(($AM$11:$AM3835&lt;&gt;"")*($AS$11:$AS3835="✓")),"")</f>
        <v/>
      </c>
      <c r="BA3835" s="21" t="str">
        <f>IF($AL3835="","",$AL3835&amp;"|"&amp;COUNTIF($AL$11:$AL3835,$AL3835))</f>
        <v/>
      </c>
    </row>
    <row r="3836" spans="38:53" ht="15" customHeight="1" x14ac:dyDescent="0.25">
      <c r="AL3836" s="31"/>
      <c r="AM3836" s="26"/>
      <c r="AN3836" s="32"/>
      <c r="AO3836" s="32"/>
      <c r="AP3836" s="24"/>
      <c r="AQ3836" s="24"/>
      <c r="AR3836" s="33"/>
      <c r="AS3836" s="34"/>
      <c r="AT3836" s="33"/>
      <c r="AV3836" s="21">
        <f>IF(AND($AL3836&lt;&gt;"",COUNTIF($AL$11:$AL3836,$AL3836)=1),1,0)</f>
        <v>0</v>
      </c>
      <c r="AW3836" s="21">
        <f t="shared" si="205"/>
        <v>2</v>
      </c>
      <c r="AX3836" s="21" t="str">
        <f t="shared" si="204"/>
        <v/>
      </c>
      <c r="AY3836" s="21" t="str">
        <f>IF(AND($AM3836&lt;&gt;"",$AS3836&lt;&gt;"✓"),SUMPRODUCT(($AM$11:$AM3836&lt;&gt;"")*($AS$11:$AS3836&lt;&gt;"✓")),"")</f>
        <v/>
      </c>
      <c r="AZ3836" s="21" t="str">
        <f>IF(AND($AM3836&lt;&gt;"",$AS3836="✓"),SUMPRODUCT(($AM$11:$AM3836&lt;&gt;"")*($AS$11:$AS3836="✓")),"")</f>
        <v/>
      </c>
      <c r="BA3836" s="21" t="str">
        <f>IF($AL3836="","",$AL3836&amp;"|"&amp;COUNTIF($AL$11:$AL3836,$AL3836))</f>
        <v/>
      </c>
    </row>
    <row r="3837" spans="38:53" ht="15" customHeight="1" x14ac:dyDescent="0.25">
      <c r="AL3837" s="17"/>
      <c r="AM3837" s="12"/>
      <c r="AN3837" s="18"/>
      <c r="AO3837" s="18"/>
      <c r="AP3837" s="10"/>
      <c r="AQ3837" s="10"/>
      <c r="AR3837" s="19"/>
      <c r="AS3837" s="20"/>
      <c r="AT3837" s="19"/>
      <c r="AV3837" s="21">
        <f>IF(AND($AL3837&lt;&gt;"",COUNTIF($AL$11:$AL3837,$AL3837)=1),1,0)</f>
        <v>0</v>
      </c>
      <c r="AW3837" s="21">
        <f t="shared" si="205"/>
        <v>2</v>
      </c>
      <c r="AX3837" s="21" t="str">
        <f t="shared" si="204"/>
        <v/>
      </c>
      <c r="AY3837" s="21" t="str">
        <f>IF(AND($AM3837&lt;&gt;"",$AS3837&lt;&gt;"✓"),SUMPRODUCT(($AM$11:$AM3837&lt;&gt;"")*($AS$11:$AS3837&lt;&gt;"✓")),"")</f>
        <v/>
      </c>
      <c r="AZ3837" s="21" t="str">
        <f>IF(AND($AM3837&lt;&gt;"",$AS3837="✓"),SUMPRODUCT(($AM$11:$AM3837&lt;&gt;"")*($AS$11:$AS3837="✓")),"")</f>
        <v/>
      </c>
      <c r="BA3837" s="21" t="str">
        <f>IF($AL3837="","",$AL3837&amp;"|"&amp;COUNTIF($AL$11:$AL3837,$AL3837))</f>
        <v/>
      </c>
    </row>
    <row r="3838" spans="38:53" ht="15" customHeight="1" x14ac:dyDescent="0.25">
      <c r="AL3838" s="31"/>
      <c r="AM3838" s="26"/>
      <c r="AN3838" s="32"/>
      <c r="AO3838" s="32"/>
      <c r="AP3838" s="24"/>
      <c r="AQ3838" s="24"/>
      <c r="AR3838" s="33"/>
      <c r="AS3838" s="34"/>
      <c r="AT3838" s="33"/>
      <c r="AV3838" s="21">
        <f>IF(AND($AL3838&lt;&gt;"",COUNTIF($AL$11:$AL3838,$AL3838)=1),1,0)</f>
        <v>0</v>
      </c>
      <c r="AW3838" s="21">
        <f t="shared" si="205"/>
        <v>2</v>
      </c>
      <c r="AX3838" s="21" t="str">
        <f t="shared" si="204"/>
        <v/>
      </c>
      <c r="AY3838" s="21" t="str">
        <f>IF(AND($AM3838&lt;&gt;"",$AS3838&lt;&gt;"✓"),SUMPRODUCT(($AM$11:$AM3838&lt;&gt;"")*($AS$11:$AS3838&lt;&gt;"✓")),"")</f>
        <v/>
      </c>
      <c r="AZ3838" s="21" t="str">
        <f>IF(AND($AM3838&lt;&gt;"",$AS3838="✓"),SUMPRODUCT(($AM$11:$AM3838&lt;&gt;"")*($AS$11:$AS3838="✓")),"")</f>
        <v/>
      </c>
      <c r="BA3838" s="21" t="str">
        <f>IF($AL3838="","",$AL3838&amp;"|"&amp;COUNTIF($AL$11:$AL3838,$AL3838))</f>
        <v/>
      </c>
    </row>
    <row r="3839" spans="38:53" ht="15" customHeight="1" x14ac:dyDescent="0.25">
      <c r="AL3839" s="17"/>
      <c r="AM3839" s="12"/>
      <c r="AN3839" s="18"/>
      <c r="AO3839" s="18"/>
      <c r="AP3839" s="10"/>
      <c r="AQ3839" s="10"/>
      <c r="AR3839" s="19"/>
      <c r="AS3839" s="20"/>
      <c r="AT3839" s="19"/>
      <c r="AV3839" s="21">
        <f>IF(AND($AL3839&lt;&gt;"",COUNTIF($AL$11:$AL3839,$AL3839)=1),1,0)</f>
        <v>0</v>
      </c>
      <c r="AW3839" s="21">
        <f t="shared" si="205"/>
        <v>2</v>
      </c>
      <c r="AX3839" s="21" t="str">
        <f t="shared" si="204"/>
        <v/>
      </c>
      <c r="AY3839" s="21" t="str">
        <f>IF(AND($AM3839&lt;&gt;"",$AS3839&lt;&gt;"✓"),SUMPRODUCT(($AM$11:$AM3839&lt;&gt;"")*($AS$11:$AS3839&lt;&gt;"✓")),"")</f>
        <v/>
      </c>
      <c r="AZ3839" s="21" t="str">
        <f>IF(AND($AM3839&lt;&gt;"",$AS3839="✓"),SUMPRODUCT(($AM$11:$AM3839&lt;&gt;"")*($AS$11:$AS3839="✓")),"")</f>
        <v/>
      </c>
      <c r="BA3839" s="21" t="str">
        <f>IF($AL3839="","",$AL3839&amp;"|"&amp;COUNTIF($AL$11:$AL3839,$AL3839))</f>
        <v/>
      </c>
    </row>
    <row r="3840" spans="38:53" ht="15" customHeight="1" x14ac:dyDescent="0.25">
      <c r="AL3840" s="31"/>
      <c r="AM3840" s="26"/>
      <c r="AN3840" s="32"/>
      <c r="AO3840" s="32"/>
      <c r="AP3840" s="24"/>
      <c r="AQ3840" s="24"/>
      <c r="AR3840" s="33"/>
      <c r="AS3840" s="34"/>
      <c r="AT3840" s="33"/>
      <c r="AV3840" s="21">
        <f>IF(AND($AL3840&lt;&gt;"",COUNTIF($AL$11:$AL3840,$AL3840)=1),1,0)</f>
        <v>0</v>
      </c>
      <c r="AW3840" s="21">
        <f t="shared" si="205"/>
        <v>2</v>
      </c>
      <c r="AX3840" s="21" t="str">
        <f t="shared" si="204"/>
        <v/>
      </c>
      <c r="AY3840" s="21" t="str">
        <f>IF(AND($AM3840&lt;&gt;"",$AS3840&lt;&gt;"✓"),SUMPRODUCT(($AM$11:$AM3840&lt;&gt;"")*($AS$11:$AS3840&lt;&gt;"✓")),"")</f>
        <v/>
      </c>
      <c r="AZ3840" s="21" t="str">
        <f>IF(AND($AM3840&lt;&gt;"",$AS3840="✓"),SUMPRODUCT(($AM$11:$AM3840&lt;&gt;"")*($AS$11:$AS3840="✓")),"")</f>
        <v/>
      </c>
      <c r="BA3840" s="21" t="str">
        <f>IF($AL3840="","",$AL3840&amp;"|"&amp;COUNTIF($AL$11:$AL3840,$AL3840))</f>
        <v/>
      </c>
    </row>
    <row r="3841" spans="38:53" ht="15" customHeight="1" x14ac:dyDescent="0.25">
      <c r="AL3841" s="17"/>
      <c r="AM3841" s="12"/>
      <c r="AN3841" s="18"/>
      <c r="AO3841" s="18"/>
      <c r="AP3841" s="10"/>
      <c r="AQ3841" s="10"/>
      <c r="AR3841" s="19"/>
      <c r="AS3841" s="20"/>
      <c r="AT3841" s="19"/>
      <c r="AV3841" s="21">
        <f>IF(AND($AL3841&lt;&gt;"",COUNTIF($AL$11:$AL3841,$AL3841)=1),1,0)</f>
        <v>0</v>
      </c>
      <c r="AW3841" s="21">
        <f t="shared" si="205"/>
        <v>2</v>
      </c>
      <c r="AX3841" s="21" t="str">
        <f t="shared" si="204"/>
        <v/>
      </c>
      <c r="AY3841" s="21" t="str">
        <f>IF(AND($AM3841&lt;&gt;"",$AS3841&lt;&gt;"✓"),SUMPRODUCT(($AM$11:$AM3841&lt;&gt;"")*($AS$11:$AS3841&lt;&gt;"✓")),"")</f>
        <v/>
      </c>
      <c r="AZ3841" s="21" t="str">
        <f>IF(AND($AM3841&lt;&gt;"",$AS3841="✓"),SUMPRODUCT(($AM$11:$AM3841&lt;&gt;"")*($AS$11:$AS3841="✓")),"")</f>
        <v/>
      </c>
      <c r="BA3841" s="21" t="str">
        <f>IF($AL3841="","",$AL3841&amp;"|"&amp;COUNTIF($AL$11:$AL3841,$AL3841))</f>
        <v/>
      </c>
    </row>
    <row r="3842" spans="38:53" ht="15" customHeight="1" x14ac:dyDescent="0.25">
      <c r="AL3842" s="31"/>
      <c r="AM3842" s="26"/>
      <c r="AN3842" s="32"/>
      <c r="AO3842" s="32"/>
      <c r="AP3842" s="24"/>
      <c r="AQ3842" s="24"/>
      <c r="AR3842" s="33"/>
      <c r="AS3842" s="34"/>
      <c r="AT3842" s="33"/>
      <c r="AV3842" s="21">
        <f>IF(AND($AL3842&lt;&gt;"",COUNTIF($AL$11:$AL3842,$AL3842)=1),1,0)</f>
        <v>0</v>
      </c>
      <c r="AW3842" s="21">
        <f t="shared" si="205"/>
        <v>2</v>
      </c>
      <c r="AX3842" s="21" t="str">
        <f t="shared" si="204"/>
        <v/>
      </c>
      <c r="AY3842" s="21" t="str">
        <f>IF(AND($AM3842&lt;&gt;"",$AS3842&lt;&gt;"✓"),SUMPRODUCT(($AM$11:$AM3842&lt;&gt;"")*($AS$11:$AS3842&lt;&gt;"✓")),"")</f>
        <v/>
      </c>
      <c r="AZ3842" s="21" t="str">
        <f>IF(AND($AM3842&lt;&gt;"",$AS3842="✓"),SUMPRODUCT(($AM$11:$AM3842&lt;&gt;"")*($AS$11:$AS3842="✓")),"")</f>
        <v/>
      </c>
      <c r="BA3842" s="21" t="str">
        <f>IF($AL3842="","",$AL3842&amp;"|"&amp;COUNTIF($AL$11:$AL3842,$AL3842))</f>
        <v/>
      </c>
    </row>
    <row r="3843" spans="38:53" ht="15" customHeight="1" x14ac:dyDescent="0.25">
      <c r="AL3843" s="17"/>
      <c r="AM3843" s="12"/>
      <c r="AN3843" s="18"/>
      <c r="AO3843" s="18"/>
      <c r="AP3843" s="10"/>
      <c r="AQ3843" s="10"/>
      <c r="AR3843" s="19"/>
      <c r="AS3843" s="20"/>
      <c r="AT3843" s="19"/>
      <c r="AV3843" s="21">
        <f>IF(AND($AL3843&lt;&gt;"",COUNTIF($AL$11:$AL3843,$AL3843)=1),1,0)</f>
        <v>0</v>
      </c>
      <c r="AW3843" s="21">
        <f t="shared" si="205"/>
        <v>2</v>
      </c>
      <c r="AX3843" s="21" t="str">
        <f t="shared" si="204"/>
        <v/>
      </c>
      <c r="AY3843" s="21" t="str">
        <f>IF(AND($AM3843&lt;&gt;"",$AS3843&lt;&gt;"✓"),SUMPRODUCT(($AM$11:$AM3843&lt;&gt;"")*($AS$11:$AS3843&lt;&gt;"✓")),"")</f>
        <v/>
      </c>
      <c r="AZ3843" s="21" t="str">
        <f>IF(AND($AM3843&lt;&gt;"",$AS3843="✓"),SUMPRODUCT(($AM$11:$AM3843&lt;&gt;"")*($AS$11:$AS3843="✓")),"")</f>
        <v/>
      </c>
      <c r="BA3843" s="21" t="str">
        <f>IF($AL3843="","",$AL3843&amp;"|"&amp;COUNTIF($AL$11:$AL3843,$AL3843))</f>
        <v/>
      </c>
    </row>
    <row r="3844" spans="38:53" ht="15" customHeight="1" x14ac:dyDescent="0.25">
      <c r="AL3844" s="31"/>
      <c r="AM3844" s="26"/>
      <c r="AN3844" s="32"/>
      <c r="AO3844" s="32"/>
      <c r="AP3844" s="24"/>
      <c r="AQ3844" s="24"/>
      <c r="AR3844" s="33"/>
      <c r="AS3844" s="34"/>
      <c r="AT3844" s="33"/>
      <c r="AV3844" s="21">
        <f>IF(AND($AL3844&lt;&gt;"",COUNTIF($AL$11:$AL3844,$AL3844)=1),1,0)</f>
        <v>0</v>
      </c>
      <c r="AW3844" s="21">
        <f t="shared" si="205"/>
        <v>2</v>
      </c>
      <c r="AX3844" s="21" t="str">
        <f t="shared" si="204"/>
        <v/>
      </c>
      <c r="AY3844" s="21" t="str">
        <f>IF(AND($AM3844&lt;&gt;"",$AS3844&lt;&gt;"✓"),SUMPRODUCT(($AM$11:$AM3844&lt;&gt;"")*($AS$11:$AS3844&lt;&gt;"✓")),"")</f>
        <v/>
      </c>
      <c r="AZ3844" s="21" t="str">
        <f>IF(AND($AM3844&lt;&gt;"",$AS3844="✓"),SUMPRODUCT(($AM$11:$AM3844&lt;&gt;"")*($AS$11:$AS3844="✓")),"")</f>
        <v/>
      </c>
      <c r="BA3844" s="21" t="str">
        <f>IF($AL3844="","",$AL3844&amp;"|"&amp;COUNTIF($AL$11:$AL3844,$AL3844))</f>
        <v/>
      </c>
    </row>
    <row r="3845" spans="38:53" ht="15" customHeight="1" x14ac:dyDescent="0.25">
      <c r="AL3845" s="17"/>
      <c r="AM3845" s="12"/>
      <c r="AN3845" s="18"/>
      <c r="AO3845" s="18"/>
      <c r="AP3845" s="10"/>
      <c r="AQ3845" s="10"/>
      <c r="AR3845" s="19"/>
      <c r="AS3845" s="20"/>
      <c r="AT3845" s="19"/>
      <c r="AV3845" s="21">
        <f>IF(AND($AL3845&lt;&gt;"",COUNTIF($AL$11:$AL3845,$AL3845)=1),1,0)</f>
        <v>0</v>
      </c>
      <c r="AW3845" s="21">
        <f t="shared" si="205"/>
        <v>2</v>
      </c>
      <c r="AX3845" s="21" t="str">
        <f t="shared" si="204"/>
        <v/>
      </c>
      <c r="AY3845" s="21" t="str">
        <f>IF(AND($AM3845&lt;&gt;"",$AS3845&lt;&gt;"✓"),SUMPRODUCT(($AM$11:$AM3845&lt;&gt;"")*($AS$11:$AS3845&lt;&gt;"✓")),"")</f>
        <v/>
      </c>
      <c r="AZ3845" s="21" t="str">
        <f>IF(AND($AM3845&lt;&gt;"",$AS3845="✓"),SUMPRODUCT(($AM$11:$AM3845&lt;&gt;"")*($AS$11:$AS3845="✓")),"")</f>
        <v/>
      </c>
      <c r="BA3845" s="21" t="str">
        <f>IF($AL3845="","",$AL3845&amp;"|"&amp;COUNTIF($AL$11:$AL3845,$AL3845))</f>
        <v/>
      </c>
    </row>
    <row r="3846" spans="38:53" ht="15" customHeight="1" x14ac:dyDescent="0.25">
      <c r="AL3846" s="31"/>
      <c r="AM3846" s="26"/>
      <c r="AN3846" s="32"/>
      <c r="AO3846" s="32"/>
      <c r="AP3846" s="24"/>
      <c r="AQ3846" s="24"/>
      <c r="AR3846" s="33"/>
      <c r="AS3846" s="34"/>
      <c r="AT3846" s="33"/>
      <c r="AV3846" s="21">
        <f>IF(AND($AL3846&lt;&gt;"",COUNTIF($AL$11:$AL3846,$AL3846)=1),1,0)</f>
        <v>0</v>
      </c>
      <c r="AW3846" s="21">
        <f t="shared" si="205"/>
        <v>2</v>
      </c>
      <c r="AX3846" s="21" t="str">
        <f t="shared" si="204"/>
        <v/>
      </c>
      <c r="AY3846" s="21" t="str">
        <f>IF(AND($AM3846&lt;&gt;"",$AS3846&lt;&gt;"✓"),SUMPRODUCT(($AM$11:$AM3846&lt;&gt;"")*($AS$11:$AS3846&lt;&gt;"✓")),"")</f>
        <v/>
      </c>
      <c r="AZ3846" s="21" t="str">
        <f>IF(AND($AM3846&lt;&gt;"",$AS3846="✓"),SUMPRODUCT(($AM$11:$AM3846&lt;&gt;"")*($AS$11:$AS3846="✓")),"")</f>
        <v/>
      </c>
      <c r="BA3846" s="21" t="str">
        <f>IF($AL3846="","",$AL3846&amp;"|"&amp;COUNTIF($AL$11:$AL3846,$AL3846))</f>
        <v/>
      </c>
    </row>
    <row r="3847" spans="38:53" ht="15" customHeight="1" x14ac:dyDescent="0.25">
      <c r="AL3847" s="17"/>
      <c r="AM3847" s="12"/>
      <c r="AN3847" s="18"/>
      <c r="AO3847" s="18"/>
      <c r="AP3847" s="10"/>
      <c r="AQ3847" s="10"/>
      <c r="AR3847" s="19"/>
      <c r="AS3847" s="20"/>
      <c r="AT3847" s="19"/>
      <c r="AV3847" s="21">
        <f>IF(AND($AL3847&lt;&gt;"",COUNTIF($AL$11:$AL3847,$AL3847)=1),1,0)</f>
        <v>0</v>
      </c>
      <c r="AW3847" s="21">
        <f t="shared" si="205"/>
        <v>2</v>
      </c>
      <c r="AX3847" s="21" t="str">
        <f t="shared" si="204"/>
        <v/>
      </c>
      <c r="AY3847" s="21" t="str">
        <f>IF(AND($AM3847&lt;&gt;"",$AS3847&lt;&gt;"✓"),SUMPRODUCT(($AM$11:$AM3847&lt;&gt;"")*($AS$11:$AS3847&lt;&gt;"✓")),"")</f>
        <v/>
      </c>
      <c r="AZ3847" s="21" t="str">
        <f>IF(AND($AM3847&lt;&gt;"",$AS3847="✓"),SUMPRODUCT(($AM$11:$AM3847&lt;&gt;"")*($AS$11:$AS3847="✓")),"")</f>
        <v/>
      </c>
      <c r="BA3847" s="21" t="str">
        <f>IF($AL3847="","",$AL3847&amp;"|"&amp;COUNTIF($AL$11:$AL3847,$AL3847))</f>
        <v/>
      </c>
    </row>
    <row r="3848" spans="38:53" ht="15" customHeight="1" x14ac:dyDescent="0.25">
      <c r="AL3848" s="31"/>
      <c r="AM3848" s="26"/>
      <c r="AN3848" s="32"/>
      <c r="AO3848" s="32"/>
      <c r="AP3848" s="24"/>
      <c r="AQ3848" s="24"/>
      <c r="AR3848" s="33"/>
      <c r="AS3848" s="34"/>
      <c r="AT3848" s="33"/>
      <c r="AV3848" s="21">
        <f>IF(AND($AL3848&lt;&gt;"",COUNTIF($AL$11:$AL3848,$AL3848)=1),1,0)</f>
        <v>0</v>
      </c>
      <c r="AW3848" s="21">
        <f t="shared" si="205"/>
        <v>2</v>
      </c>
      <c r="AX3848" s="21" t="str">
        <f t="shared" si="204"/>
        <v/>
      </c>
      <c r="AY3848" s="21" t="str">
        <f>IF(AND($AM3848&lt;&gt;"",$AS3848&lt;&gt;"✓"),SUMPRODUCT(($AM$11:$AM3848&lt;&gt;"")*($AS$11:$AS3848&lt;&gt;"✓")),"")</f>
        <v/>
      </c>
      <c r="AZ3848" s="21" t="str">
        <f>IF(AND($AM3848&lt;&gt;"",$AS3848="✓"),SUMPRODUCT(($AM$11:$AM3848&lt;&gt;"")*($AS$11:$AS3848="✓")),"")</f>
        <v/>
      </c>
      <c r="BA3848" s="21" t="str">
        <f>IF($AL3848="","",$AL3848&amp;"|"&amp;COUNTIF($AL$11:$AL3848,$AL3848))</f>
        <v/>
      </c>
    </row>
    <row r="3849" spans="38:53" ht="15" customHeight="1" x14ac:dyDescent="0.25">
      <c r="AL3849" s="17"/>
      <c r="AM3849" s="12"/>
      <c r="AN3849" s="18"/>
      <c r="AO3849" s="18"/>
      <c r="AP3849" s="10"/>
      <c r="AQ3849" s="10"/>
      <c r="AR3849" s="19"/>
      <c r="AS3849" s="20"/>
      <c r="AT3849" s="19"/>
      <c r="AV3849" s="21">
        <f>IF(AND($AL3849&lt;&gt;"",COUNTIF($AL$11:$AL3849,$AL3849)=1),1,0)</f>
        <v>0</v>
      </c>
      <c r="AW3849" s="21">
        <f t="shared" si="205"/>
        <v>2</v>
      </c>
      <c r="AX3849" s="21" t="str">
        <f t="shared" si="204"/>
        <v/>
      </c>
      <c r="AY3849" s="21" t="str">
        <f>IF(AND($AM3849&lt;&gt;"",$AS3849&lt;&gt;"✓"),SUMPRODUCT(($AM$11:$AM3849&lt;&gt;"")*($AS$11:$AS3849&lt;&gt;"✓")),"")</f>
        <v/>
      </c>
      <c r="AZ3849" s="21" t="str">
        <f>IF(AND($AM3849&lt;&gt;"",$AS3849="✓"),SUMPRODUCT(($AM$11:$AM3849&lt;&gt;"")*($AS$11:$AS3849="✓")),"")</f>
        <v/>
      </c>
      <c r="BA3849" s="21" t="str">
        <f>IF($AL3849="","",$AL3849&amp;"|"&amp;COUNTIF($AL$11:$AL3849,$AL3849))</f>
        <v/>
      </c>
    </row>
    <row r="3850" spans="38:53" ht="15" customHeight="1" x14ac:dyDescent="0.25">
      <c r="AL3850" s="31"/>
      <c r="AM3850" s="26"/>
      <c r="AN3850" s="32"/>
      <c r="AO3850" s="32"/>
      <c r="AP3850" s="24"/>
      <c r="AQ3850" s="24"/>
      <c r="AR3850" s="33"/>
      <c r="AS3850" s="34"/>
      <c r="AT3850" s="33"/>
      <c r="AV3850" s="21">
        <f>IF(AND($AL3850&lt;&gt;"",COUNTIF($AL$11:$AL3850,$AL3850)=1),1,0)</f>
        <v>0</v>
      </c>
      <c r="AW3850" s="21">
        <f t="shared" si="205"/>
        <v>2</v>
      </c>
      <c r="AX3850" s="21" t="str">
        <f t="shared" si="204"/>
        <v/>
      </c>
      <c r="AY3850" s="21" t="str">
        <f>IF(AND($AM3850&lt;&gt;"",$AS3850&lt;&gt;"✓"),SUMPRODUCT(($AM$11:$AM3850&lt;&gt;"")*($AS$11:$AS3850&lt;&gt;"✓")),"")</f>
        <v/>
      </c>
      <c r="AZ3850" s="21" t="str">
        <f>IF(AND($AM3850&lt;&gt;"",$AS3850="✓"),SUMPRODUCT(($AM$11:$AM3850&lt;&gt;"")*($AS$11:$AS3850="✓")),"")</f>
        <v/>
      </c>
      <c r="BA3850" s="21" t="str">
        <f>IF($AL3850="","",$AL3850&amp;"|"&amp;COUNTIF($AL$11:$AL3850,$AL3850))</f>
        <v/>
      </c>
    </row>
    <row r="3851" spans="38:53" ht="15" customHeight="1" x14ac:dyDescent="0.25">
      <c r="AL3851" s="17"/>
      <c r="AM3851" s="12"/>
      <c r="AN3851" s="18"/>
      <c r="AO3851" s="18"/>
      <c r="AP3851" s="10"/>
      <c r="AQ3851" s="10"/>
      <c r="AR3851" s="19"/>
      <c r="AS3851" s="20"/>
      <c r="AT3851" s="19"/>
      <c r="AV3851" s="21">
        <f>IF(AND($AL3851&lt;&gt;"",COUNTIF($AL$11:$AL3851,$AL3851)=1),1,0)</f>
        <v>0</v>
      </c>
      <c r="AW3851" s="21">
        <f t="shared" si="205"/>
        <v>2</v>
      </c>
      <c r="AX3851" s="21" t="str">
        <f t="shared" ref="AX3851:AX3914" si="206">IF(AV3851=1,AW3851,"")</f>
        <v/>
      </c>
      <c r="AY3851" s="21" t="str">
        <f>IF(AND($AM3851&lt;&gt;"",$AS3851&lt;&gt;"✓"),SUMPRODUCT(($AM$11:$AM3851&lt;&gt;"")*($AS$11:$AS3851&lt;&gt;"✓")),"")</f>
        <v/>
      </c>
      <c r="AZ3851" s="21" t="str">
        <f>IF(AND($AM3851&lt;&gt;"",$AS3851="✓"),SUMPRODUCT(($AM$11:$AM3851&lt;&gt;"")*($AS$11:$AS3851="✓")),"")</f>
        <v/>
      </c>
      <c r="BA3851" s="21" t="str">
        <f>IF($AL3851="","",$AL3851&amp;"|"&amp;COUNTIF($AL$11:$AL3851,$AL3851))</f>
        <v/>
      </c>
    </row>
    <row r="3852" spans="38:53" ht="15" customHeight="1" x14ac:dyDescent="0.25">
      <c r="AL3852" s="31"/>
      <c r="AM3852" s="26"/>
      <c r="AN3852" s="32"/>
      <c r="AO3852" s="32"/>
      <c r="AP3852" s="24"/>
      <c r="AQ3852" s="24"/>
      <c r="AR3852" s="33"/>
      <c r="AS3852" s="34"/>
      <c r="AT3852" s="33"/>
      <c r="AV3852" s="21">
        <f>IF(AND($AL3852&lt;&gt;"",COUNTIF($AL$11:$AL3852,$AL3852)=1),1,0)</f>
        <v>0</v>
      </c>
      <c r="AW3852" s="21">
        <f t="shared" ref="AW3852:AW3915" si="207">AW3851+AV3852</f>
        <v>2</v>
      </c>
      <c r="AX3852" s="21" t="str">
        <f t="shared" si="206"/>
        <v/>
      </c>
      <c r="AY3852" s="21" t="str">
        <f>IF(AND($AM3852&lt;&gt;"",$AS3852&lt;&gt;"✓"),SUMPRODUCT(($AM$11:$AM3852&lt;&gt;"")*($AS$11:$AS3852&lt;&gt;"✓")),"")</f>
        <v/>
      </c>
      <c r="AZ3852" s="21" t="str">
        <f>IF(AND($AM3852&lt;&gt;"",$AS3852="✓"),SUMPRODUCT(($AM$11:$AM3852&lt;&gt;"")*($AS$11:$AS3852="✓")),"")</f>
        <v/>
      </c>
      <c r="BA3852" s="21" t="str">
        <f>IF($AL3852="","",$AL3852&amp;"|"&amp;COUNTIF($AL$11:$AL3852,$AL3852))</f>
        <v/>
      </c>
    </row>
    <row r="3853" spans="38:53" ht="15" customHeight="1" x14ac:dyDescent="0.25">
      <c r="AL3853" s="17"/>
      <c r="AM3853" s="12"/>
      <c r="AN3853" s="18"/>
      <c r="AO3853" s="18"/>
      <c r="AP3853" s="10"/>
      <c r="AQ3853" s="10"/>
      <c r="AR3853" s="19"/>
      <c r="AS3853" s="20"/>
      <c r="AT3853" s="19"/>
      <c r="AV3853" s="21">
        <f>IF(AND($AL3853&lt;&gt;"",COUNTIF($AL$11:$AL3853,$AL3853)=1),1,0)</f>
        <v>0</v>
      </c>
      <c r="AW3853" s="21">
        <f t="shared" si="207"/>
        <v>2</v>
      </c>
      <c r="AX3853" s="21" t="str">
        <f t="shared" si="206"/>
        <v/>
      </c>
      <c r="AY3853" s="21" t="str">
        <f>IF(AND($AM3853&lt;&gt;"",$AS3853&lt;&gt;"✓"),SUMPRODUCT(($AM$11:$AM3853&lt;&gt;"")*($AS$11:$AS3853&lt;&gt;"✓")),"")</f>
        <v/>
      </c>
      <c r="AZ3853" s="21" t="str">
        <f>IF(AND($AM3853&lt;&gt;"",$AS3853="✓"),SUMPRODUCT(($AM$11:$AM3853&lt;&gt;"")*($AS$11:$AS3853="✓")),"")</f>
        <v/>
      </c>
      <c r="BA3853" s="21" t="str">
        <f>IF($AL3853="","",$AL3853&amp;"|"&amp;COUNTIF($AL$11:$AL3853,$AL3853))</f>
        <v/>
      </c>
    </row>
    <row r="3854" spans="38:53" ht="15" customHeight="1" x14ac:dyDescent="0.25">
      <c r="AL3854" s="31"/>
      <c r="AM3854" s="26"/>
      <c r="AN3854" s="32"/>
      <c r="AO3854" s="32"/>
      <c r="AP3854" s="24"/>
      <c r="AQ3854" s="24"/>
      <c r="AR3854" s="33"/>
      <c r="AS3854" s="34"/>
      <c r="AT3854" s="33"/>
      <c r="AV3854" s="21">
        <f>IF(AND($AL3854&lt;&gt;"",COUNTIF($AL$11:$AL3854,$AL3854)=1),1,0)</f>
        <v>0</v>
      </c>
      <c r="AW3854" s="21">
        <f t="shared" si="207"/>
        <v>2</v>
      </c>
      <c r="AX3854" s="21" t="str">
        <f t="shared" si="206"/>
        <v/>
      </c>
      <c r="AY3854" s="21" t="str">
        <f>IF(AND($AM3854&lt;&gt;"",$AS3854&lt;&gt;"✓"),SUMPRODUCT(($AM$11:$AM3854&lt;&gt;"")*($AS$11:$AS3854&lt;&gt;"✓")),"")</f>
        <v/>
      </c>
      <c r="AZ3854" s="21" t="str">
        <f>IF(AND($AM3854&lt;&gt;"",$AS3854="✓"),SUMPRODUCT(($AM$11:$AM3854&lt;&gt;"")*($AS$11:$AS3854="✓")),"")</f>
        <v/>
      </c>
      <c r="BA3854" s="21" t="str">
        <f>IF($AL3854="","",$AL3854&amp;"|"&amp;COUNTIF($AL$11:$AL3854,$AL3854))</f>
        <v/>
      </c>
    </row>
    <row r="3855" spans="38:53" ht="15" customHeight="1" x14ac:dyDescent="0.25">
      <c r="AL3855" s="17"/>
      <c r="AM3855" s="12"/>
      <c r="AN3855" s="18"/>
      <c r="AO3855" s="18"/>
      <c r="AP3855" s="10"/>
      <c r="AQ3855" s="10"/>
      <c r="AR3855" s="19"/>
      <c r="AS3855" s="20"/>
      <c r="AT3855" s="19"/>
      <c r="AV3855" s="21">
        <f>IF(AND($AL3855&lt;&gt;"",COUNTIF($AL$11:$AL3855,$AL3855)=1),1,0)</f>
        <v>0</v>
      </c>
      <c r="AW3855" s="21">
        <f t="shared" si="207"/>
        <v>2</v>
      </c>
      <c r="AX3855" s="21" t="str">
        <f t="shared" si="206"/>
        <v/>
      </c>
      <c r="AY3855" s="21" t="str">
        <f>IF(AND($AM3855&lt;&gt;"",$AS3855&lt;&gt;"✓"),SUMPRODUCT(($AM$11:$AM3855&lt;&gt;"")*($AS$11:$AS3855&lt;&gt;"✓")),"")</f>
        <v/>
      </c>
      <c r="AZ3855" s="21" t="str">
        <f>IF(AND($AM3855&lt;&gt;"",$AS3855="✓"),SUMPRODUCT(($AM$11:$AM3855&lt;&gt;"")*($AS$11:$AS3855="✓")),"")</f>
        <v/>
      </c>
      <c r="BA3855" s="21" t="str">
        <f>IF($AL3855="","",$AL3855&amp;"|"&amp;COUNTIF($AL$11:$AL3855,$AL3855))</f>
        <v/>
      </c>
    </row>
    <row r="3856" spans="38:53" ht="15" customHeight="1" x14ac:dyDescent="0.25">
      <c r="AL3856" s="31"/>
      <c r="AM3856" s="26"/>
      <c r="AN3856" s="32"/>
      <c r="AO3856" s="32"/>
      <c r="AP3856" s="24"/>
      <c r="AQ3856" s="24"/>
      <c r="AR3856" s="33"/>
      <c r="AS3856" s="34"/>
      <c r="AT3856" s="33"/>
      <c r="AV3856" s="21">
        <f>IF(AND($AL3856&lt;&gt;"",COUNTIF($AL$11:$AL3856,$AL3856)=1),1,0)</f>
        <v>0</v>
      </c>
      <c r="AW3856" s="21">
        <f t="shared" si="207"/>
        <v>2</v>
      </c>
      <c r="AX3856" s="21" t="str">
        <f t="shared" si="206"/>
        <v/>
      </c>
      <c r="AY3856" s="21" t="str">
        <f>IF(AND($AM3856&lt;&gt;"",$AS3856&lt;&gt;"✓"),SUMPRODUCT(($AM$11:$AM3856&lt;&gt;"")*($AS$11:$AS3856&lt;&gt;"✓")),"")</f>
        <v/>
      </c>
      <c r="AZ3856" s="21" t="str">
        <f>IF(AND($AM3856&lt;&gt;"",$AS3856="✓"),SUMPRODUCT(($AM$11:$AM3856&lt;&gt;"")*($AS$11:$AS3856="✓")),"")</f>
        <v/>
      </c>
      <c r="BA3856" s="21" t="str">
        <f>IF($AL3856="","",$AL3856&amp;"|"&amp;COUNTIF($AL$11:$AL3856,$AL3856))</f>
        <v/>
      </c>
    </row>
    <row r="3857" spans="38:53" ht="15" customHeight="1" x14ac:dyDescent="0.25">
      <c r="AL3857" s="17"/>
      <c r="AM3857" s="12"/>
      <c r="AN3857" s="18"/>
      <c r="AO3857" s="18"/>
      <c r="AP3857" s="10"/>
      <c r="AQ3857" s="10"/>
      <c r="AR3857" s="19"/>
      <c r="AS3857" s="20"/>
      <c r="AT3857" s="19"/>
      <c r="AV3857" s="21">
        <f>IF(AND($AL3857&lt;&gt;"",COUNTIF($AL$11:$AL3857,$AL3857)=1),1,0)</f>
        <v>0</v>
      </c>
      <c r="AW3857" s="21">
        <f t="shared" si="207"/>
        <v>2</v>
      </c>
      <c r="AX3857" s="21" t="str">
        <f t="shared" si="206"/>
        <v/>
      </c>
      <c r="AY3857" s="21" t="str">
        <f>IF(AND($AM3857&lt;&gt;"",$AS3857&lt;&gt;"✓"),SUMPRODUCT(($AM$11:$AM3857&lt;&gt;"")*($AS$11:$AS3857&lt;&gt;"✓")),"")</f>
        <v/>
      </c>
      <c r="AZ3857" s="21" t="str">
        <f>IF(AND($AM3857&lt;&gt;"",$AS3857="✓"),SUMPRODUCT(($AM$11:$AM3857&lt;&gt;"")*($AS$11:$AS3857="✓")),"")</f>
        <v/>
      </c>
      <c r="BA3857" s="21" t="str">
        <f>IF($AL3857="","",$AL3857&amp;"|"&amp;COUNTIF($AL$11:$AL3857,$AL3857))</f>
        <v/>
      </c>
    </row>
    <row r="3858" spans="38:53" ht="15" customHeight="1" x14ac:dyDescent="0.25">
      <c r="AL3858" s="31"/>
      <c r="AM3858" s="26"/>
      <c r="AN3858" s="32"/>
      <c r="AO3858" s="32"/>
      <c r="AP3858" s="24"/>
      <c r="AQ3858" s="24"/>
      <c r="AR3858" s="33"/>
      <c r="AS3858" s="34"/>
      <c r="AT3858" s="33"/>
      <c r="AV3858" s="21">
        <f>IF(AND($AL3858&lt;&gt;"",COUNTIF($AL$11:$AL3858,$AL3858)=1),1,0)</f>
        <v>0</v>
      </c>
      <c r="AW3858" s="21">
        <f t="shared" si="207"/>
        <v>2</v>
      </c>
      <c r="AX3858" s="21" t="str">
        <f t="shared" si="206"/>
        <v/>
      </c>
      <c r="AY3858" s="21" t="str">
        <f>IF(AND($AM3858&lt;&gt;"",$AS3858&lt;&gt;"✓"),SUMPRODUCT(($AM$11:$AM3858&lt;&gt;"")*($AS$11:$AS3858&lt;&gt;"✓")),"")</f>
        <v/>
      </c>
      <c r="AZ3858" s="21" t="str">
        <f>IF(AND($AM3858&lt;&gt;"",$AS3858="✓"),SUMPRODUCT(($AM$11:$AM3858&lt;&gt;"")*($AS$11:$AS3858="✓")),"")</f>
        <v/>
      </c>
      <c r="BA3858" s="21" t="str">
        <f>IF($AL3858="","",$AL3858&amp;"|"&amp;COUNTIF($AL$11:$AL3858,$AL3858))</f>
        <v/>
      </c>
    </row>
    <row r="3859" spans="38:53" ht="15" customHeight="1" x14ac:dyDescent="0.25">
      <c r="AL3859" s="17"/>
      <c r="AM3859" s="12"/>
      <c r="AN3859" s="18"/>
      <c r="AO3859" s="18"/>
      <c r="AP3859" s="10"/>
      <c r="AQ3859" s="10"/>
      <c r="AR3859" s="19"/>
      <c r="AS3859" s="20"/>
      <c r="AT3859" s="19"/>
      <c r="AV3859" s="21">
        <f>IF(AND($AL3859&lt;&gt;"",COUNTIF($AL$11:$AL3859,$AL3859)=1),1,0)</f>
        <v>0</v>
      </c>
      <c r="AW3859" s="21">
        <f t="shared" si="207"/>
        <v>2</v>
      </c>
      <c r="AX3859" s="21" t="str">
        <f t="shared" si="206"/>
        <v/>
      </c>
      <c r="AY3859" s="21" t="str">
        <f>IF(AND($AM3859&lt;&gt;"",$AS3859&lt;&gt;"✓"),SUMPRODUCT(($AM$11:$AM3859&lt;&gt;"")*($AS$11:$AS3859&lt;&gt;"✓")),"")</f>
        <v/>
      </c>
      <c r="AZ3859" s="21" t="str">
        <f>IF(AND($AM3859&lt;&gt;"",$AS3859="✓"),SUMPRODUCT(($AM$11:$AM3859&lt;&gt;"")*($AS$11:$AS3859="✓")),"")</f>
        <v/>
      </c>
      <c r="BA3859" s="21" t="str">
        <f>IF($AL3859="","",$AL3859&amp;"|"&amp;COUNTIF($AL$11:$AL3859,$AL3859))</f>
        <v/>
      </c>
    </row>
    <row r="3860" spans="38:53" ht="15" customHeight="1" x14ac:dyDescent="0.25">
      <c r="AL3860" s="31"/>
      <c r="AM3860" s="26"/>
      <c r="AN3860" s="32"/>
      <c r="AO3860" s="32"/>
      <c r="AP3860" s="24"/>
      <c r="AQ3860" s="24"/>
      <c r="AR3860" s="33"/>
      <c r="AS3860" s="34"/>
      <c r="AT3860" s="33"/>
      <c r="AV3860" s="21">
        <f>IF(AND($AL3860&lt;&gt;"",COUNTIF($AL$11:$AL3860,$AL3860)=1),1,0)</f>
        <v>0</v>
      </c>
      <c r="AW3860" s="21">
        <f t="shared" si="207"/>
        <v>2</v>
      </c>
      <c r="AX3860" s="21" t="str">
        <f t="shared" si="206"/>
        <v/>
      </c>
      <c r="AY3860" s="21" t="str">
        <f>IF(AND($AM3860&lt;&gt;"",$AS3860&lt;&gt;"✓"),SUMPRODUCT(($AM$11:$AM3860&lt;&gt;"")*($AS$11:$AS3860&lt;&gt;"✓")),"")</f>
        <v/>
      </c>
      <c r="AZ3860" s="21" t="str">
        <f>IF(AND($AM3860&lt;&gt;"",$AS3860="✓"),SUMPRODUCT(($AM$11:$AM3860&lt;&gt;"")*($AS$11:$AS3860="✓")),"")</f>
        <v/>
      </c>
      <c r="BA3860" s="21" t="str">
        <f>IF($AL3860="","",$AL3860&amp;"|"&amp;COUNTIF($AL$11:$AL3860,$AL3860))</f>
        <v/>
      </c>
    </row>
    <row r="3861" spans="38:53" ht="15" customHeight="1" x14ac:dyDescent="0.25">
      <c r="AL3861" s="17"/>
      <c r="AM3861" s="12"/>
      <c r="AN3861" s="18"/>
      <c r="AO3861" s="18"/>
      <c r="AP3861" s="10"/>
      <c r="AQ3861" s="10"/>
      <c r="AR3861" s="19"/>
      <c r="AS3861" s="20"/>
      <c r="AT3861" s="19"/>
      <c r="AV3861" s="21">
        <f>IF(AND($AL3861&lt;&gt;"",COUNTIF($AL$11:$AL3861,$AL3861)=1),1,0)</f>
        <v>0</v>
      </c>
      <c r="AW3861" s="21">
        <f t="shared" si="207"/>
        <v>2</v>
      </c>
      <c r="AX3861" s="21" t="str">
        <f t="shared" si="206"/>
        <v/>
      </c>
      <c r="AY3861" s="21" t="str">
        <f>IF(AND($AM3861&lt;&gt;"",$AS3861&lt;&gt;"✓"),SUMPRODUCT(($AM$11:$AM3861&lt;&gt;"")*($AS$11:$AS3861&lt;&gt;"✓")),"")</f>
        <v/>
      </c>
      <c r="AZ3861" s="21" t="str">
        <f>IF(AND($AM3861&lt;&gt;"",$AS3861="✓"),SUMPRODUCT(($AM$11:$AM3861&lt;&gt;"")*($AS$11:$AS3861="✓")),"")</f>
        <v/>
      </c>
      <c r="BA3861" s="21" t="str">
        <f>IF($AL3861="","",$AL3861&amp;"|"&amp;COUNTIF($AL$11:$AL3861,$AL3861))</f>
        <v/>
      </c>
    </row>
    <row r="3862" spans="38:53" ht="15" customHeight="1" x14ac:dyDescent="0.25">
      <c r="AL3862" s="31"/>
      <c r="AM3862" s="26"/>
      <c r="AN3862" s="32"/>
      <c r="AO3862" s="32"/>
      <c r="AP3862" s="24"/>
      <c r="AQ3862" s="24"/>
      <c r="AR3862" s="33"/>
      <c r="AS3862" s="34"/>
      <c r="AT3862" s="33"/>
      <c r="AV3862" s="21">
        <f>IF(AND($AL3862&lt;&gt;"",COUNTIF($AL$11:$AL3862,$AL3862)=1),1,0)</f>
        <v>0</v>
      </c>
      <c r="AW3862" s="21">
        <f t="shared" si="207"/>
        <v>2</v>
      </c>
      <c r="AX3862" s="21" t="str">
        <f t="shared" si="206"/>
        <v/>
      </c>
      <c r="AY3862" s="21" t="str">
        <f>IF(AND($AM3862&lt;&gt;"",$AS3862&lt;&gt;"✓"),SUMPRODUCT(($AM$11:$AM3862&lt;&gt;"")*($AS$11:$AS3862&lt;&gt;"✓")),"")</f>
        <v/>
      </c>
      <c r="AZ3862" s="21" t="str">
        <f>IF(AND($AM3862&lt;&gt;"",$AS3862="✓"),SUMPRODUCT(($AM$11:$AM3862&lt;&gt;"")*($AS$11:$AS3862="✓")),"")</f>
        <v/>
      </c>
      <c r="BA3862" s="21" t="str">
        <f>IF($AL3862="","",$AL3862&amp;"|"&amp;COUNTIF($AL$11:$AL3862,$AL3862))</f>
        <v/>
      </c>
    </row>
    <row r="3863" spans="38:53" ht="15" customHeight="1" x14ac:dyDescent="0.25">
      <c r="AL3863" s="17"/>
      <c r="AM3863" s="12"/>
      <c r="AN3863" s="18"/>
      <c r="AO3863" s="18"/>
      <c r="AP3863" s="10"/>
      <c r="AQ3863" s="10"/>
      <c r="AR3863" s="19"/>
      <c r="AS3863" s="20"/>
      <c r="AT3863" s="19"/>
      <c r="AV3863" s="21">
        <f>IF(AND($AL3863&lt;&gt;"",COUNTIF($AL$11:$AL3863,$AL3863)=1),1,0)</f>
        <v>0</v>
      </c>
      <c r="AW3863" s="21">
        <f t="shared" si="207"/>
        <v>2</v>
      </c>
      <c r="AX3863" s="21" t="str">
        <f t="shared" si="206"/>
        <v/>
      </c>
      <c r="AY3863" s="21" t="str">
        <f>IF(AND($AM3863&lt;&gt;"",$AS3863&lt;&gt;"✓"),SUMPRODUCT(($AM$11:$AM3863&lt;&gt;"")*($AS$11:$AS3863&lt;&gt;"✓")),"")</f>
        <v/>
      </c>
      <c r="AZ3863" s="21" t="str">
        <f>IF(AND($AM3863&lt;&gt;"",$AS3863="✓"),SUMPRODUCT(($AM$11:$AM3863&lt;&gt;"")*($AS$11:$AS3863="✓")),"")</f>
        <v/>
      </c>
      <c r="BA3863" s="21" t="str">
        <f>IF($AL3863="","",$AL3863&amp;"|"&amp;COUNTIF($AL$11:$AL3863,$AL3863))</f>
        <v/>
      </c>
    </row>
    <row r="3864" spans="38:53" ht="15" customHeight="1" x14ac:dyDescent="0.25">
      <c r="AL3864" s="31"/>
      <c r="AM3864" s="26"/>
      <c r="AN3864" s="32"/>
      <c r="AO3864" s="32"/>
      <c r="AP3864" s="24"/>
      <c r="AQ3864" s="24"/>
      <c r="AR3864" s="33"/>
      <c r="AS3864" s="34"/>
      <c r="AT3864" s="33"/>
      <c r="AV3864" s="21">
        <f>IF(AND($AL3864&lt;&gt;"",COUNTIF($AL$11:$AL3864,$AL3864)=1),1,0)</f>
        <v>0</v>
      </c>
      <c r="AW3864" s="21">
        <f t="shared" si="207"/>
        <v>2</v>
      </c>
      <c r="AX3864" s="21" t="str">
        <f t="shared" si="206"/>
        <v/>
      </c>
      <c r="AY3864" s="21" t="str">
        <f>IF(AND($AM3864&lt;&gt;"",$AS3864&lt;&gt;"✓"),SUMPRODUCT(($AM$11:$AM3864&lt;&gt;"")*($AS$11:$AS3864&lt;&gt;"✓")),"")</f>
        <v/>
      </c>
      <c r="AZ3864" s="21" t="str">
        <f>IF(AND($AM3864&lt;&gt;"",$AS3864="✓"),SUMPRODUCT(($AM$11:$AM3864&lt;&gt;"")*($AS$11:$AS3864="✓")),"")</f>
        <v/>
      </c>
      <c r="BA3864" s="21" t="str">
        <f>IF($AL3864="","",$AL3864&amp;"|"&amp;COUNTIF($AL$11:$AL3864,$AL3864))</f>
        <v/>
      </c>
    </row>
    <row r="3865" spans="38:53" ht="15" customHeight="1" x14ac:dyDescent="0.25">
      <c r="AL3865" s="17"/>
      <c r="AM3865" s="12"/>
      <c r="AN3865" s="18"/>
      <c r="AO3865" s="18"/>
      <c r="AP3865" s="10"/>
      <c r="AQ3865" s="10"/>
      <c r="AR3865" s="19"/>
      <c r="AS3865" s="20"/>
      <c r="AT3865" s="19"/>
      <c r="AV3865" s="21">
        <f>IF(AND($AL3865&lt;&gt;"",COUNTIF($AL$11:$AL3865,$AL3865)=1),1,0)</f>
        <v>0</v>
      </c>
      <c r="AW3865" s="21">
        <f t="shared" si="207"/>
        <v>2</v>
      </c>
      <c r="AX3865" s="21" t="str">
        <f t="shared" si="206"/>
        <v/>
      </c>
      <c r="AY3865" s="21" t="str">
        <f>IF(AND($AM3865&lt;&gt;"",$AS3865&lt;&gt;"✓"),SUMPRODUCT(($AM$11:$AM3865&lt;&gt;"")*($AS$11:$AS3865&lt;&gt;"✓")),"")</f>
        <v/>
      </c>
      <c r="AZ3865" s="21" t="str">
        <f>IF(AND($AM3865&lt;&gt;"",$AS3865="✓"),SUMPRODUCT(($AM$11:$AM3865&lt;&gt;"")*($AS$11:$AS3865="✓")),"")</f>
        <v/>
      </c>
      <c r="BA3865" s="21" t="str">
        <f>IF($AL3865="","",$AL3865&amp;"|"&amp;COUNTIF($AL$11:$AL3865,$AL3865))</f>
        <v/>
      </c>
    </row>
    <row r="3866" spans="38:53" ht="15" customHeight="1" x14ac:dyDescent="0.25">
      <c r="AL3866" s="31"/>
      <c r="AM3866" s="26"/>
      <c r="AN3866" s="32"/>
      <c r="AO3866" s="32"/>
      <c r="AP3866" s="24"/>
      <c r="AQ3866" s="24"/>
      <c r="AR3866" s="33"/>
      <c r="AS3866" s="34"/>
      <c r="AT3866" s="33"/>
      <c r="AV3866" s="21">
        <f>IF(AND($AL3866&lt;&gt;"",COUNTIF($AL$11:$AL3866,$AL3866)=1),1,0)</f>
        <v>0</v>
      </c>
      <c r="AW3866" s="21">
        <f t="shared" si="207"/>
        <v>2</v>
      </c>
      <c r="AX3866" s="21" t="str">
        <f t="shared" si="206"/>
        <v/>
      </c>
      <c r="AY3866" s="21" t="str">
        <f>IF(AND($AM3866&lt;&gt;"",$AS3866&lt;&gt;"✓"),SUMPRODUCT(($AM$11:$AM3866&lt;&gt;"")*($AS$11:$AS3866&lt;&gt;"✓")),"")</f>
        <v/>
      </c>
      <c r="AZ3866" s="21" t="str">
        <f>IF(AND($AM3866&lt;&gt;"",$AS3866="✓"),SUMPRODUCT(($AM$11:$AM3866&lt;&gt;"")*($AS$11:$AS3866="✓")),"")</f>
        <v/>
      </c>
      <c r="BA3866" s="21" t="str">
        <f>IF($AL3866="","",$AL3866&amp;"|"&amp;COUNTIF($AL$11:$AL3866,$AL3866))</f>
        <v/>
      </c>
    </row>
    <row r="3867" spans="38:53" ht="15" customHeight="1" x14ac:dyDescent="0.25">
      <c r="AL3867" s="17"/>
      <c r="AM3867" s="12"/>
      <c r="AN3867" s="18"/>
      <c r="AO3867" s="18"/>
      <c r="AP3867" s="10"/>
      <c r="AQ3867" s="10"/>
      <c r="AR3867" s="19"/>
      <c r="AS3867" s="20"/>
      <c r="AT3867" s="19"/>
      <c r="AV3867" s="21">
        <f>IF(AND($AL3867&lt;&gt;"",COUNTIF($AL$11:$AL3867,$AL3867)=1),1,0)</f>
        <v>0</v>
      </c>
      <c r="AW3867" s="21">
        <f t="shared" si="207"/>
        <v>2</v>
      </c>
      <c r="AX3867" s="21" t="str">
        <f t="shared" si="206"/>
        <v/>
      </c>
      <c r="AY3867" s="21" t="str">
        <f>IF(AND($AM3867&lt;&gt;"",$AS3867&lt;&gt;"✓"),SUMPRODUCT(($AM$11:$AM3867&lt;&gt;"")*($AS$11:$AS3867&lt;&gt;"✓")),"")</f>
        <v/>
      </c>
      <c r="AZ3867" s="21" t="str">
        <f>IF(AND($AM3867&lt;&gt;"",$AS3867="✓"),SUMPRODUCT(($AM$11:$AM3867&lt;&gt;"")*($AS$11:$AS3867="✓")),"")</f>
        <v/>
      </c>
      <c r="BA3867" s="21" t="str">
        <f>IF($AL3867="","",$AL3867&amp;"|"&amp;COUNTIF($AL$11:$AL3867,$AL3867))</f>
        <v/>
      </c>
    </row>
    <row r="3868" spans="38:53" ht="15" customHeight="1" x14ac:dyDescent="0.25">
      <c r="AL3868" s="31"/>
      <c r="AM3868" s="26"/>
      <c r="AN3868" s="32"/>
      <c r="AO3868" s="32"/>
      <c r="AP3868" s="24"/>
      <c r="AQ3868" s="24"/>
      <c r="AR3868" s="33"/>
      <c r="AS3868" s="34"/>
      <c r="AT3868" s="33"/>
      <c r="AV3868" s="21">
        <f>IF(AND($AL3868&lt;&gt;"",COUNTIF($AL$11:$AL3868,$AL3868)=1),1,0)</f>
        <v>0</v>
      </c>
      <c r="AW3868" s="21">
        <f t="shared" si="207"/>
        <v>2</v>
      </c>
      <c r="AX3868" s="21" t="str">
        <f t="shared" si="206"/>
        <v/>
      </c>
      <c r="AY3868" s="21" t="str">
        <f>IF(AND($AM3868&lt;&gt;"",$AS3868&lt;&gt;"✓"),SUMPRODUCT(($AM$11:$AM3868&lt;&gt;"")*($AS$11:$AS3868&lt;&gt;"✓")),"")</f>
        <v/>
      </c>
      <c r="AZ3868" s="21" t="str">
        <f>IF(AND($AM3868&lt;&gt;"",$AS3868="✓"),SUMPRODUCT(($AM$11:$AM3868&lt;&gt;"")*($AS$11:$AS3868="✓")),"")</f>
        <v/>
      </c>
      <c r="BA3868" s="21" t="str">
        <f>IF($AL3868="","",$AL3868&amp;"|"&amp;COUNTIF($AL$11:$AL3868,$AL3868))</f>
        <v/>
      </c>
    </row>
    <row r="3869" spans="38:53" ht="15" customHeight="1" x14ac:dyDescent="0.25">
      <c r="AL3869" s="17"/>
      <c r="AM3869" s="12"/>
      <c r="AN3869" s="18"/>
      <c r="AO3869" s="18"/>
      <c r="AP3869" s="10"/>
      <c r="AQ3869" s="10"/>
      <c r="AR3869" s="19"/>
      <c r="AS3869" s="20"/>
      <c r="AT3869" s="19"/>
      <c r="AV3869" s="21">
        <f>IF(AND($AL3869&lt;&gt;"",COUNTIF($AL$11:$AL3869,$AL3869)=1),1,0)</f>
        <v>0</v>
      </c>
      <c r="AW3869" s="21">
        <f t="shared" si="207"/>
        <v>2</v>
      </c>
      <c r="AX3869" s="21" t="str">
        <f t="shared" si="206"/>
        <v/>
      </c>
      <c r="AY3869" s="21" t="str">
        <f>IF(AND($AM3869&lt;&gt;"",$AS3869&lt;&gt;"✓"),SUMPRODUCT(($AM$11:$AM3869&lt;&gt;"")*($AS$11:$AS3869&lt;&gt;"✓")),"")</f>
        <v/>
      </c>
      <c r="AZ3869" s="21" t="str">
        <f>IF(AND($AM3869&lt;&gt;"",$AS3869="✓"),SUMPRODUCT(($AM$11:$AM3869&lt;&gt;"")*($AS$11:$AS3869="✓")),"")</f>
        <v/>
      </c>
      <c r="BA3869" s="21" t="str">
        <f>IF($AL3869="","",$AL3869&amp;"|"&amp;COUNTIF($AL$11:$AL3869,$AL3869))</f>
        <v/>
      </c>
    </row>
    <row r="3870" spans="38:53" ht="15" customHeight="1" x14ac:dyDescent="0.25">
      <c r="AL3870" s="31"/>
      <c r="AM3870" s="26"/>
      <c r="AN3870" s="32"/>
      <c r="AO3870" s="32"/>
      <c r="AP3870" s="24"/>
      <c r="AQ3870" s="24"/>
      <c r="AR3870" s="33"/>
      <c r="AS3870" s="34"/>
      <c r="AT3870" s="33"/>
      <c r="AV3870" s="21">
        <f>IF(AND($AL3870&lt;&gt;"",COUNTIF($AL$11:$AL3870,$AL3870)=1),1,0)</f>
        <v>0</v>
      </c>
      <c r="AW3870" s="21">
        <f t="shared" si="207"/>
        <v>2</v>
      </c>
      <c r="AX3870" s="21" t="str">
        <f t="shared" si="206"/>
        <v/>
      </c>
      <c r="AY3870" s="21" t="str">
        <f>IF(AND($AM3870&lt;&gt;"",$AS3870&lt;&gt;"✓"),SUMPRODUCT(($AM$11:$AM3870&lt;&gt;"")*($AS$11:$AS3870&lt;&gt;"✓")),"")</f>
        <v/>
      </c>
      <c r="AZ3870" s="21" t="str">
        <f>IF(AND($AM3870&lt;&gt;"",$AS3870="✓"),SUMPRODUCT(($AM$11:$AM3870&lt;&gt;"")*($AS$11:$AS3870="✓")),"")</f>
        <v/>
      </c>
      <c r="BA3870" s="21" t="str">
        <f>IF($AL3870="","",$AL3870&amp;"|"&amp;COUNTIF($AL$11:$AL3870,$AL3870))</f>
        <v/>
      </c>
    </row>
    <row r="3871" spans="38:53" ht="15" customHeight="1" x14ac:dyDescent="0.25">
      <c r="AL3871" s="17"/>
      <c r="AM3871" s="12"/>
      <c r="AN3871" s="18"/>
      <c r="AO3871" s="18"/>
      <c r="AP3871" s="10"/>
      <c r="AQ3871" s="10"/>
      <c r="AR3871" s="19"/>
      <c r="AS3871" s="20"/>
      <c r="AT3871" s="19"/>
      <c r="AV3871" s="21">
        <f>IF(AND($AL3871&lt;&gt;"",COUNTIF($AL$11:$AL3871,$AL3871)=1),1,0)</f>
        <v>0</v>
      </c>
      <c r="AW3871" s="21">
        <f t="shared" si="207"/>
        <v>2</v>
      </c>
      <c r="AX3871" s="21" t="str">
        <f t="shared" si="206"/>
        <v/>
      </c>
      <c r="AY3871" s="21" t="str">
        <f>IF(AND($AM3871&lt;&gt;"",$AS3871&lt;&gt;"✓"),SUMPRODUCT(($AM$11:$AM3871&lt;&gt;"")*($AS$11:$AS3871&lt;&gt;"✓")),"")</f>
        <v/>
      </c>
      <c r="AZ3871" s="21" t="str">
        <f>IF(AND($AM3871&lt;&gt;"",$AS3871="✓"),SUMPRODUCT(($AM$11:$AM3871&lt;&gt;"")*($AS$11:$AS3871="✓")),"")</f>
        <v/>
      </c>
      <c r="BA3871" s="21" t="str">
        <f>IF($AL3871="","",$AL3871&amp;"|"&amp;COUNTIF($AL$11:$AL3871,$AL3871))</f>
        <v/>
      </c>
    </row>
    <row r="3872" spans="38:53" ht="15" customHeight="1" x14ac:dyDescent="0.25">
      <c r="AL3872" s="31"/>
      <c r="AM3872" s="26"/>
      <c r="AN3872" s="32"/>
      <c r="AO3872" s="32"/>
      <c r="AP3872" s="24"/>
      <c r="AQ3872" s="24"/>
      <c r="AR3872" s="33"/>
      <c r="AS3872" s="34"/>
      <c r="AT3872" s="33"/>
      <c r="AV3872" s="21">
        <f>IF(AND($AL3872&lt;&gt;"",COUNTIF($AL$11:$AL3872,$AL3872)=1),1,0)</f>
        <v>0</v>
      </c>
      <c r="AW3872" s="21">
        <f t="shared" si="207"/>
        <v>2</v>
      </c>
      <c r="AX3872" s="21" t="str">
        <f t="shared" si="206"/>
        <v/>
      </c>
      <c r="AY3872" s="21" t="str">
        <f>IF(AND($AM3872&lt;&gt;"",$AS3872&lt;&gt;"✓"),SUMPRODUCT(($AM$11:$AM3872&lt;&gt;"")*($AS$11:$AS3872&lt;&gt;"✓")),"")</f>
        <v/>
      </c>
      <c r="AZ3872" s="21" t="str">
        <f>IF(AND($AM3872&lt;&gt;"",$AS3872="✓"),SUMPRODUCT(($AM$11:$AM3872&lt;&gt;"")*($AS$11:$AS3872="✓")),"")</f>
        <v/>
      </c>
      <c r="BA3872" s="21" t="str">
        <f>IF($AL3872="","",$AL3872&amp;"|"&amp;COUNTIF($AL$11:$AL3872,$AL3872))</f>
        <v/>
      </c>
    </row>
    <row r="3873" spans="38:53" ht="15" customHeight="1" x14ac:dyDescent="0.25">
      <c r="AL3873" s="17"/>
      <c r="AM3873" s="12"/>
      <c r="AN3873" s="18"/>
      <c r="AO3873" s="18"/>
      <c r="AP3873" s="10"/>
      <c r="AQ3873" s="10"/>
      <c r="AR3873" s="19"/>
      <c r="AS3873" s="20"/>
      <c r="AT3873" s="19"/>
      <c r="AV3873" s="21">
        <f>IF(AND($AL3873&lt;&gt;"",COUNTIF($AL$11:$AL3873,$AL3873)=1),1,0)</f>
        <v>0</v>
      </c>
      <c r="AW3873" s="21">
        <f t="shared" si="207"/>
        <v>2</v>
      </c>
      <c r="AX3873" s="21" t="str">
        <f t="shared" si="206"/>
        <v/>
      </c>
      <c r="AY3873" s="21" t="str">
        <f>IF(AND($AM3873&lt;&gt;"",$AS3873&lt;&gt;"✓"),SUMPRODUCT(($AM$11:$AM3873&lt;&gt;"")*($AS$11:$AS3873&lt;&gt;"✓")),"")</f>
        <v/>
      </c>
      <c r="AZ3873" s="21" t="str">
        <f>IF(AND($AM3873&lt;&gt;"",$AS3873="✓"),SUMPRODUCT(($AM$11:$AM3873&lt;&gt;"")*($AS$11:$AS3873="✓")),"")</f>
        <v/>
      </c>
      <c r="BA3873" s="21" t="str">
        <f>IF($AL3873="","",$AL3873&amp;"|"&amp;COUNTIF($AL$11:$AL3873,$AL3873))</f>
        <v/>
      </c>
    </row>
    <row r="3874" spans="38:53" ht="15" customHeight="1" x14ac:dyDescent="0.25">
      <c r="AL3874" s="31"/>
      <c r="AM3874" s="26"/>
      <c r="AN3874" s="32"/>
      <c r="AO3874" s="32"/>
      <c r="AP3874" s="24"/>
      <c r="AQ3874" s="24"/>
      <c r="AR3874" s="33"/>
      <c r="AS3874" s="34"/>
      <c r="AT3874" s="33"/>
      <c r="AV3874" s="21">
        <f>IF(AND($AL3874&lt;&gt;"",COUNTIF($AL$11:$AL3874,$AL3874)=1),1,0)</f>
        <v>0</v>
      </c>
      <c r="AW3874" s="21">
        <f t="shared" si="207"/>
        <v>2</v>
      </c>
      <c r="AX3874" s="21" t="str">
        <f t="shared" si="206"/>
        <v/>
      </c>
      <c r="AY3874" s="21" t="str">
        <f>IF(AND($AM3874&lt;&gt;"",$AS3874&lt;&gt;"✓"),SUMPRODUCT(($AM$11:$AM3874&lt;&gt;"")*($AS$11:$AS3874&lt;&gt;"✓")),"")</f>
        <v/>
      </c>
      <c r="AZ3874" s="21" t="str">
        <f>IF(AND($AM3874&lt;&gt;"",$AS3874="✓"),SUMPRODUCT(($AM$11:$AM3874&lt;&gt;"")*($AS$11:$AS3874="✓")),"")</f>
        <v/>
      </c>
      <c r="BA3874" s="21" t="str">
        <f>IF($AL3874="","",$AL3874&amp;"|"&amp;COUNTIF($AL$11:$AL3874,$AL3874))</f>
        <v/>
      </c>
    </row>
    <row r="3875" spans="38:53" ht="15" customHeight="1" x14ac:dyDescent="0.25">
      <c r="AL3875" s="17"/>
      <c r="AM3875" s="12"/>
      <c r="AN3875" s="18"/>
      <c r="AO3875" s="18"/>
      <c r="AP3875" s="10"/>
      <c r="AQ3875" s="10"/>
      <c r="AR3875" s="19"/>
      <c r="AS3875" s="20"/>
      <c r="AT3875" s="19"/>
      <c r="AV3875" s="21">
        <f>IF(AND($AL3875&lt;&gt;"",COUNTIF($AL$11:$AL3875,$AL3875)=1),1,0)</f>
        <v>0</v>
      </c>
      <c r="AW3875" s="21">
        <f t="shared" si="207"/>
        <v>2</v>
      </c>
      <c r="AX3875" s="21" t="str">
        <f t="shared" si="206"/>
        <v/>
      </c>
      <c r="AY3875" s="21" t="str">
        <f>IF(AND($AM3875&lt;&gt;"",$AS3875&lt;&gt;"✓"),SUMPRODUCT(($AM$11:$AM3875&lt;&gt;"")*($AS$11:$AS3875&lt;&gt;"✓")),"")</f>
        <v/>
      </c>
      <c r="AZ3875" s="21" t="str">
        <f>IF(AND($AM3875&lt;&gt;"",$AS3875="✓"),SUMPRODUCT(($AM$11:$AM3875&lt;&gt;"")*($AS$11:$AS3875="✓")),"")</f>
        <v/>
      </c>
      <c r="BA3875" s="21" t="str">
        <f>IF($AL3875="","",$AL3875&amp;"|"&amp;COUNTIF($AL$11:$AL3875,$AL3875))</f>
        <v/>
      </c>
    </row>
    <row r="3876" spans="38:53" ht="15" customHeight="1" x14ac:dyDescent="0.25">
      <c r="AL3876" s="31"/>
      <c r="AM3876" s="26"/>
      <c r="AN3876" s="32"/>
      <c r="AO3876" s="32"/>
      <c r="AP3876" s="24"/>
      <c r="AQ3876" s="24"/>
      <c r="AR3876" s="33"/>
      <c r="AS3876" s="34"/>
      <c r="AT3876" s="33"/>
      <c r="AV3876" s="21">
        <f>IF(AND($AL3876&lt;&gt;"",COUNTIF($AL$11:$AL3876,$AL3876)=1),1,0)</f>
        <v>0</v>
      </c>
      <c r="AW3876" s="21">
        <f t="shared" si="207"/>
        <v>2</v>
      </c>
      <c r="AX3876" s="21" t="str">
        <f t="shared" si="206"/>
        <v/>
      </c>
      <c r="AY3876" s="21" t="str">
        <f>IF(AND($AM3876&lt;&gt;"",$AS3876&lt;&gt;"✓"),SUMPRODUCT(($AM$11:$AM3876&lt;&gt;"")*($AS$11:$AS3876&lt;&gt;"✓")),"")</f>
        <v/>
      </c>
      <c r="AZ3876" s="21" t="str">
        <f>IF(AND($AM3876&lt;&gt;"",$AS3876="✓"),SUMPRODUCT(($AM$11:$AM3876&lt;&gt;"")*($AS$11:$AS3876="✓")),"")</f>
        <v/>
      </c>
      <c r="BA3876" s="21" t="str">
        <f>IF($AL3876="","",$AL3876&amp;"|"&amp;COUNTIF($AL$11:$AL3876,$AL3876))</f>
        <v/>
      </c>
    </row>
    <row r="3877" spans="38:53" ht="15" customHeight="1" x14ac:dyDescent="0.25">
      <c r="AL3877" s="17"/>
      <c r="AM3877" s="12"/>
      <c r="AN3877" s="18"/>
      <c r="AO3877" s="18"/>
      <c r="AP3877" s="10"/>
      <c r="AQ3877" s="10"/>
      <c r="AR3877" s="19"/>
      <c r="AS3877" s="20"/>
      <c r="AT3877" s="19"/>
      <c r="AV3877" s="21">
        <f>IF(AND($AL3877&lt;&gt;"",COUNTIF($AL$11:$AL3877,$AL3877)=1),1,0)</f>
        <v>0</v>
      </c>
      <c r="AW3877" s="21">
        <f t="shared" si="207"/>
        <v>2</v>
      </c>
      <c r="AX3877" s="21" t="str">
        <f t="shared" si="206"/>
        <v/>
      </c>
      <c r="AY3877" s="21" t="str">
        <f>IF(AND($AM3877&lt;&gt;"",$AS3877&lt;&gt;"✓"),SUMPRODUCT(($AM$11:$AM3877&lt;&gt;"")*($AS$11:$AS3877&lt;&gt;"✓")),"")</f>
        <v/>
      </c>
      <c r="AZ3877" s="21" t="str">
        <f>IF(AND($AM3877&lt;&gt;"",$AS3877="✓"),SUMPRODUCT(($AM$11:$AM3877&lt;&gt;"")*($AS$11:$AS3877="✓")),"")</f>
        <v/>
      </c>
      <c r="BA3877" s="21" t="str">
        <f>IF($AL3877="","",$AL3877&amp;"|"&amp;COUNTIF($AL$11:$AL3877,$AL3877))</f>
        <v/>
      </c>
    </row>
    <row r="3878" spans="38:53" ht="15" customHeight="1" x14ac:dyDescent="0.25">
      <c r="AL3878" s="31"/>
      <c r="AM3878" s="26"/>
      <c r="AN3878" s="32"/>
      <c r="AO3878" s="32"/>
      <c r="AP3878" s="24"/>
      <c r="AQ3878" s="24"/>
      <c r="AR3878" s="33"/>
      <c r="AS3878" s="34"/>
      <c r="AT3878" s="33"/>
      <c r="AV3878" s="21">
        <f>IF(AND($AL3878&lt;&gt;"",COUNTIF($AL$11:$AL3878,$AL3878)=1),1,0)</f>
        <v>0</v>
      </c>
      <c r="AW3878" s="21">
        <f t="shared" si="207"/>
        <v>2</v>
      </c>
      <c r="AX3878" s="21" t="str">
        <f t="shared" si="206"/>
        <v/>
      </c>
      <c r="AY3878" s="21" t="str">
        <f>IF(AND($AM3878&lt;&gt;"",$AS3878&lt;&gt;"✓"),SUMPRODUCT(($AM$11:$AM3878&lt;&gt;"")*($AS$11:$AS3878&lt;&gt;"✓")),"")</f>
        <v/>
      </c>
      <c r="AZ3878" s="21" t="str">
        <f>IF(AND($AM3878&lt;&gt;"",$AS3878="✓"),SUMPRODUCT(($AM$11:$AM3878&lt;&gt;"")*($AS$11:$AS3878="✓")),"")</f>
        <v/>
      </c>
      <c r="BA3878" s="21" t="str">
        <f>IF($AL3878="","",$AL3878&amp;"|"&amp;COUNTIF($AL$11:$AL3878,$AL3878))</f>
        <v/>
      </c>
    </row>
    <row r="3879" spans="38:53" ht="15" customHeight="1" x14ac:dyDescent="0.25">
      <c r="AL3879" s="17"/>
      <c r="AM3879" s="12"/>
      <c r="AN3879" s="18"/>
      <c r="AO3879" s="18"/>
      <c r="AP3879" s="10"/>
      <c r="AQ3879" s="10"/>
      <c r="AR3879" s="19"/>
      <c r="AS3879" s="20"/>
      <c r="AT3879" s="19"/>
      <c r="AV3879" s="21">
        <f>IF(AND($AL3879&lt;&gt;"",COUNTIF($AL$11:$AL3879,$AL3879)=1),1,0)</f>
        <v>0</v>
      </c>
      <c r="AW3879" s="21">
        <f t="shared" si="207"/>
        <v>2</v>
      </c>
      <c r="AX3879" s="21" t="str">
        <f t="shared" si="206"/>
        <v/>
      </c>
      <c r="AY3879" s="21" t="str">
        <f>IF(AND($AM3879&lt;&gt;"",$AS3879&lt;&gt;"✓"),SUMPRODUCT(($AM$11:$AM3879&lt;&gt;"")*($AS$11:$AS3879&lt;&gt;"✓")),"")</f>
        <v/>
      </c>
      <c r="AZ3879" s="21" t="str">
        <f>IF(AND($AM3879&lt;&gt;"",$AS3879="✓"),SUMPRODUCT(($AM$11:$AM3879&lt;&gt;"")*($AS$11:$AS3879="✓")),"")</f>
        <v/>
      </c>
      <c r="BA3879" s="21" t="str">
        <f>IF($AL3879="","",$AL3879&amp;"|"&amp;COUNTIF($AL$11:$AL3879,$AL3879))</f>
        <v/>
      </c>
    </row>
    <row r="3880" spans="38:53" ht="15" customHeight="1" x14ac:dyDescent="0.25">
      <c r="AL3880" s="31"/>
      <c r="AM3880" s="26"/>
      <c r="AN3880" s="32"/>
      <c r="AO3880" s="32"/>
      <c r="AP3880" s="24"/>
      <c r="AQ3880" s="24"/>
      <c r="AR3880" s="33"/>
      <c r="AS3880" s="34"/>
      <c r="AT3880" s="33"/>
      <c r="AV3880" s="21">
        <f>IF(AND($AL3880&lt;&gt;"",COUNTIF($AL$11:$AL3880,$AL3880)=1),1,0)</f>
        <v>0</v>
      </c>
      <c r="AW3880" s="21">
        <f t="shared" si="207"/>
        <v>2</v>
      </c>
      <c r="AX3880" s="21" t="str">
        <f t="shared" si="206"/>
        <v/>
      </c>
      <c r="AY3880" s="21" t="str">
        <f>IF(AND($AM3880&lt;&gt;"",$AS3880&lt;&gt;"✓"),SUMPRODUCT(($AM$11:$AM3880&lt;&gt;"")*($AS$11:$AS3880&lt;&gt;"✓")),"")</f>
        <v/>
      </c>
      <c r="AZ3880" s="21" t="str">
        <f>IF(AND($AM3880&lt;&gt;"",$AS3880="✓"),SUMPRODUCT(($AM$11:$AM3880&lt;&gt;"")*($AS$11:$AS3880="✓")),"")</f>
        <v/>
      </c>
      <c r="BA3880" s="21" t="str">
        <f>IF($AL3880="","",$AL3880&amp;"|"&amp;COUNTIF($AL$11:$AL3880,$AL3880))</f>
        <v/>
      </c>
    </row>
    <row r="3881" spans="38:53" ht="15" customHeight="1" x14ac:dyDescent="0.25">
      <c r="AL3881" s="17"/>
      <c r="AM3881" s="12"/>
      <c r="AN3881" s="18"/>
      <c r="AO3881" s="18"/>
      <c r="AP3881" s="10"/>
      <c r="AQ3881" s="10"/>
      <c r="AR3881" s="19"/>
      <c r="AS3881" s="20"/>
      <c r="AT3881" s="19"/>
      <c r="AV3881" s="21">
        <f>IF(AND($AL3881&lt;&gt;"",COUNTIF($AL$11:$AL3881,$AL3881)=1),1,0)</f>
        <v>0</v>
      </c>
      <c r="AW3881" s="21">
        <f t="shared" si="207"/>
        <v>2</v>
      </c>
      <c r="AX3881" s="21" t="str">
        <f t="shared" si="206"/>
        <v/>
      </c>
      <c r="AY3881" s="21" t="str">
        <f>IF(AND($AM3881&lt;&gt;"",$AS3881&lt;&gt;"✓"),SUMPRODUCT(($AM$11:$AM3881&lt;&gt;"")*($AS$11:$AS3881&lt;&gt;"✓")),"")</f>
        <v/>
      </c>
      <c r="AZ3881" s="21" t="str">
        <f>IF(AND($AM3881&lt;&gt;"",$AS3881="✓"),SUMPRODUCT(($AM$11:$AM3881&lt;&gt;"")*($AS$11:$AS3881="✓")),"")</f>
        <v/>
      </c>
      <c r="BA3881" s="21" t="str">
        <f>IF($AL3881="","",$AL3881&amp;"|"&amp;COUNTIF($AL$11:$AL3881,$AL3881))</f>
        <v/>
      </c>
    </row>
    <row r="3882" spans="38:53" ht="15" customHeight="1" x14ac:dyDescent="0.25">
      <c r="AL3882" s="31"/>
      <c r="AM3882" s="26"/>
      <c r="AN3882" s="32"/>
      <c r="AO3882" s="32"/>
      <c r="AP3882" s="24"/>
      <c r="AQ3882" s="24"/>
      <c r="AR3882" s="33"/>
      <c r="AS3882" s="34"/>
      <c r="AT3882" s="33"/>
      <c r="AV3882" s="21">
        <f>IF(AND($AL3882&lt;&gt;"",COUNTIF($AL$11:$AL3882,$AL3882)=1),1,0)</f>
        <v>0</v>
      </c>
      <c r="AW3882" s="21">
        <f t="shared" si="207"/>
        <v>2</v>
      </c>
      <c r="AX3882" s="21" t="str">
        <f t="shared" si="206"/>
        <v/>
      </c>
      <c r="AY3882" s="21" t="str">
        <f>IF(AND($AM3882&lt;&gt;"",$AS3882&lt;&gt;"✓"),SUMPRODUCT(($AM$11:$AM3882&lt;&gt;"")*($AS$11:$AS3882&lt;&gt;"✓")),"")</f>
        <v/>
      </c>
      <c r="AZ3882" s="21" t="str">
        <f>IF(AND($AM3882&lt;&gt;"",$AS3882="✓"),SUMPRODUCT(($AM$11:$AM3882&lt;&gt;"")*($AS$11:$AS3882="✓")),"")</f>
        <v/>
      </c>
      <c r="BA3882" s="21" t="str">
        <f>IF($AL3882="","",$AL3882&amp;"|"&amp;COUNTIF($AL$11:$AL3882,$AL3882))</f>
        <v/>
      </c>
    </row>
    <row r="3883" spans="38:53" ht="15" customHeight="1" x14ac:dyDescent="0.25">
      <c r="AL3883" s="17"/>
      <c r="AM3883" s="12"/>
      <c r="AN3883" s="18"/>
      <c r="AO3883" s="18"/>
      <c r="AP3883" s="10"/>
      <c r="AQ3883" s="10"/>
      <c r="AR3883" s="19"/>
      <c r="AS3883" s="20"/>
      <c r="AT3883" s="19"/>
      <c r="AV3883" s="21">
        <f>IF(AND($AL3883&lt;&gt;"",COUNTIF($AL$11:$AL3883,$AL3883)=1),1,0)</f>
        <v>0</v>
      </c>
      <c r="AW3883" s="21">
        <f t="shared" si="207"/>
        <v>2</v>
      </c>
      <c r="AX3883" s="21" t="str">
        <f t="shared" si="206"/>
        <v/>
      </c>
      <c r="AY3883" s="21" t="str">
        <f>IF(AND($AM3883&lt;&gt;"",$AS3883&lt;&gt;"✓"),SUMPRODUCT(($AM$11:$AM3883&lt;&gt;"")*($AS$11:$AS3883&lt;&gt;"✓")),"")</f>
        <v/>
      </c>
      <c r="AZ3883" s="21" t="str">
        <f>IF(AND($AM3883&lt;&gt;"",$AS3883="✓"),SUMPRODUCT(($AM$11:$AM3883&lt;&gt;"")*($AS$11:$AS3883="✓")),"")</f>
        <v/>
      </c>
      <c r="BA3883" s="21" t="str">
        <f>IF($AL3883="","",$AL3883&amp;"|"&amp;COUNTIF($AL$11:$AL3883,$AL3883))</f>
        <v/>
      </c>
    </row>
    <row r="3884" spans="38:53" ht="15" customHeight="1" x14ac:dyDescent="0.25">
      <c r="AL3884" s="31"/>
      <c r="AM3884" s="26"/>
      <c r="AN3884" s="32"/>
      <c r="AO3884" s="32"/>
      <c r="AP3884" s="24"/>
      <c r="AQ3884" s="24"/>
      <c r="AR3884" s="33"/>
      <c r="AS3884" s="34"/>
      <c r="AT3884" s="33"/>
      <c r="AV3884" s="21">
        <f>IF(AND($AL3884&lt;&gt;"",COUNTIF($AL$11:$AL3884,$AL3884)=1),1,0)</f>
        <v>0</v>
      </c>
      <c r="AW3884" s="21">
        <f t="shared" si="207"/>
        <v>2</v>
      </c>
      <c r="AX3884" s="21" t="str">
        <f t="shared" si="206"/>
        <v/>
      </c>
      <c r="AY3884" s="21" t="str">
        <f>IF(AND($AM3884&lt;&gt;"",$AS3884&lt;&gt;"✓"),SUMPRODUCT(($AM$11:$AM3884&lt;&gt;"")*($AS$11:$AS3884&lt;&gt;"✓")),"")</f>
        <v/>
      </c>
      <c r="AZ3884" s="21" t="str">
        <f>IF(AND($AM3884&lt;&gt;"",$AS3884="✓"),SUMPRODUCT(($AM$11:$AM3884&lt;&gt;"")*($AS$11:$AS3884="✓")),"")</f>
        <v/>
      </c>
      <c r="BA3884" s="21" t="str">
        <f>IF($AL3884="","",$AL3884&amp;"|"&amp;COUNTIF($AL$11:$AL3884,$AL3884))</f>
        <v/>
      </c>
    </row>
    <row r="3885" spans="38:53" ht="15" customHeight="1" x14ac:dyDescent="0.25">
      <c r="AL3885" s="17"/>
      <c r="AM3885" s="12"/>
      <c r="AN3885" s="18"/>
      <c r="AO3885" s="18"/>
      <c r="AP3885" s="10"/>
      <c r="AQ3885" s="10"/>
      <c r="AR3885" s="19"/>
      <c r="AS3885" s="20"/>
      <c r="AT3885" s="19"/>
      <c r="AV3885" s="21">
        <f>IF(AND($AL3885&lt;&gt;"",COUNTIF($AL$11:$AL3885,$AL3885)=1),1,0)</f>
        <v>0</v>
      </c>
      <c r="AW3885" s="21">
        <f t="shared" si="207"/>
        <v>2</v>
      </c>
      <c r="AX3885" s="21" t="str">
        <f t="shared" si="206"/>
        <v/>
      </c>
      <c r="AY3885" s="21" t="str">
        <f>IF(AND($AM3885&lt;&gt;"",$AS3885&lt;&gt;"✓"),SUMPRODUCT(($AM$11:$AM3885&lt;&gt;"")*($AS$11:$AS3885&lt;&gt;"✓")),"")</f>
        <v/>
      </c>
      <c r="AZ3885" s="21" t="str">
        <f>IF(AND($AM3885&lt;&gt;"",$AS3885="✓"),SUMPRODUCT(($AM$11:$AM3885&lt;&gt;"")*($AS$11:$AS3885="✓")),"")</f>
        <v/>
      </c>
      <c r="BA3885" s="21" t="str">
        <f>IF($AL3885="","",$AL3885&amp;"|"&amp;COUNTIF($AL$11:$AL3885,$AL3885))</f>
        <v/>
      </c>
    </row>
    <row r="3886" spans="38:53" ht="15" customHeight="1" x14ac:dyDescent="0.25">
      <c r="AL3886" s="31"/>
      <c r="AM3886" s="26"/>
      <c r="AN3886" s="32"/>
      <c r="AO3886" s="32"/>
      <c r="AP3886" s="24"/>
      <c r="AQ3886" s="24"/>
      <c r="AR3886" s="33"/>
      <c r="AS3886" s="34"/>
      <c r="AT3886" s="33"/>
      <c r="AV3886" s="21">
        <f>IF(AND($AL3886&lt;&gt;"",COUNTIF($AL$11:$AL3886,$AL3886)=1),1,0)</f>
        <v>0</v>
      </c>
      <c r="AW3886" s="21">
        <f t="shared" si="207"/>
        <v>2</v>
      </c>
      <c r="AX3886" s="21" t="str">
        <f t="shared" si="206"/>
        <v/>
      </c>
      <c r="AY3886" s="21" t="str">
        <f>IF(AND($AM3886&lt;&gt;"",$AS3886&lt;&gt;"✓"),SUMPRODUCT(($AM$11:$AM3886&lt;&gt;"")*($AS$11:$AS3886&lt;&gt;"✓")),"")</f>
        <v/>
      </c>
      <c r="AZ3886" s="21" t="str">
        <f>IF(AND($AM3886&lt;&gt;"",$AS3886="✓"),SUMPRODUCT(($AM$11:$AM3886&lt;&gt;"")*($AS$11:$AS3886="✓")),"")</f>
        <v/>
      </c>
      <c r="BA3886" s="21" t="str">
        <f>IF($AL3886="","",$AL3886&amp;"|"&amp;COUNTIF($AL$11:$AL3886,$AL3886))</f>
        <v/>
      </c>
    </row>
    <row r="3887" spans="38:53" ht="15" customHeight="1" x14ac:dyDescent="0.25">
      <c r="AL3887" s="17"/>
      <c r="AM3887" s="12"/>
      <c r="AN3887" s="18"/>
      <c r="AO3887" s="18"/>
      <c r="AP3887" s="10"/>
      <c r="AQ3887" s="10"/>
      <c r="AR3887" s="19"/>
      <c r="AS3887" s="20"/>
      <c r="AT3887" s="19"/>
      <c r="AV3887" s="21">
        <f>IF(AND($AL3887&lt;&gt;"",COUNTIF($AL$11:$AL3887,$AL3887)=1),1,0)</f>
        <v>0</v>
      </c>
      <c r="AW3887" s="21">
        <f t="shared" si="207"/>
        <v>2</v>
      </c>
      <c r="AX3887" s="21" t="str">
        <f t="shared" si="206"/>
        <v/>
      </c>
      <c r="AY3887" s="21" t="str">
        <f>IF(AND($AM3887&lt;&gt;"",$AS3887&lt;&gt;"✓"),SUMPRODUCT(($AM$11:$AM3887&lt;&gt;"")*($AS$11:$AS3887&lt;&gt;"✓")),"")</f>
        <v/>
      </c>
      <c r="AZ3887" s="21" t="str">
        <f>IF(AND($AM3887&lt;&gt;"",$AS3887="✓"),SUMPRODUCT(($AM$11:$AM3887&lt;&gt;"")*($AS$11:$AS3887="✓")),"")</f>
        <v/>
      </c>
      <c r="BA3887" s="21" t="str">
        <f>IF($AL3887="","",$AL3887&amp;"|"&amp;COUNTIF($AL$11:$AL3887,$AL3887))</f>
        <v/>
      </c>
    </row>
    <row r="3888" spans="38:53" ht="15" customHeight="1" x14ac:dyDescent="0.25">
      <c r="AL3888" s="31"/>
      <c r="AM3888" s="26"/>
      <c r="AN3888" s="32"/>
      <c r="AO3888" s="32"/>
      <c r="AP3888" s="24"/>
      <c r="AQ3888" s="24"/>
      <c r="AR3888" s="33"/>
      <c r="AS3888" s="34"/>
      <c r="AT3888" s="33"/>
      <c r="AV3888" s="21">
        <f>IF(AND($AL3888&lt;&gt;"",COUNTIF($AL$11:$AL3888,$AL3888)=1),1,0)</f>
        <v>0</v>
      </c>
      <c r="AW3888" s="21">
        <f t="shared" si="207"/>
        <v>2</v>
      </c>
      <c r="AX3888" s="21" t="str">
        <f t="shared" si="206"/>
        <v/>
      </c>
      <c r="AY3888" s="21" t="str">
        <f>IF(AND($AM3888&lt;&gt;"",$AS3888&lt;&gt;"✓"),SUMPRODUCT(($AM$11:$AM3888&lt;&gt;"")*($AS$11:$AS3888&lt;&gt;"✓")),"")</f>
        <v/>
      </c>
      <c r="AZ3888" s="21" t="str">
        <f>IF(AND($AM3888&lt;&gt;"",$AS3888="✓"),SUMPRODUCT(($AM$11:$AM3888&lt;&gt;"")*($AS$11:$AS3888="✓")),"")</f>
        <v/>
      </c>
      <c r="BA3888" s="21" t="str">
        <f>IF($AL3888="","",$AL3888&amp;"|"&amp;COUNTIF($AL$11:$AL3888,$AL3888))</f>
        <v/>
      </c>
    </row>
    <row r="3889" spans="38:53" ht="15" customHeight="1" x14ac:dyDescent="0.25">
      <c r="AL3889" s="17"/>
      <c r="AM3889" s="12"/>
      <c r="AN3889" s="18"/>
      <c r="AO3889" s="18"/>
      <c r="AP3889" s="10"/>
      <c r="AQ3889" s="10"/>
      <c r="AR3889" s="19"/>
      <c r="AS3889" s="20"/>
      <c r="AT3889" s="19"/>
      <c r="AV3889" s="21">
        <f>IF(AND($AL3889&lt;&gt;"",COUNTIF($AL$11:$AL3889,$AL3889)=1),1,0)</f>
        <v>0</v>
      </c>
      <c r="AW3889" s="21">
        <f t="shared" si="207"/>
        <v>2</v>
      </c>
      <c r="AX3889" s="21" t="str">
        <f t="shared" si="206"/>
        <v/>
      </c>
      <c r="AY3889" s="21" t="str">
        <f>IF(AND($AM3889&lt;&gt;"",$AS3889&lt;&gt;"✓"),SUMPRODUCT(($AM$11:$AM3889&lt;&gt;"")*($AS$11:$AS3889&lt;&gt;"✓")),"")</f>
        <v/>
      </c>
      <c r="AZ3889" s="21" t="str">
        <f>IF(AND($AM3889&lt;&gt;"",$AS3889="✓"),SUMPRODUCT(($AM$11:$AM3889&lt;&gt;"")*($AS$11:$AS3889="✓")),"")</f>
        <v/>
      </c>
      <c r="BA3889" s="21" t="str">
        <f>IF($AL3889="","",$AL3889&amp;"|"&amp;COUNTIF($AL$11:$AL3889,$AL3889))</f>
        <v/>
      </c>
    </row>
    <row r="3890" spans="38:53" ht="15" customHeight="1" x14ac:dyDescent="0.25">
      <c r="AL3890" s="31"/>
      <c r="AM3890" s="26"/>
      <c r="AN3890" s="32"/>
      <c r="AO3890" s="32"/>
      <c r="AP3890" s="24"/>
      <c r="AQ3890" s="24"/>
      <c r="AR3890" s="33"/>
      <c r="AS3890" s="34"/>
      <c r="AT3890" s="33"/>
      <c r="AV3890" s="21">
        <f>IF(AND($AL3890&lt;&gt;"",COUNTIF($AL$11:$AL3890,$AL3890)=1),1,0)</f>
        <v>0</v>
      </c>
      <c r="AW3890" s="21">
        <f t="shared" si="207"/>
        <v>2</v>
      </c>
      <c r="AX3890" s="21" t="str">
        <f t="shared" si="206"/>
        <v/>
      </c>
      <c r="AY3890" s="21" t="str">
        <f>IF(AND($AM3890&lt;&gt;"",$AS3890&lt;&gt;"✓"),SUMPRODUCT(($AM$11:$AM3890&lt;&gt;"")*($AS$11:$AS3890&lt;&gt;"✓")),"")</f>
        <v/>
      </c>
      <c r="AZ3890" s="21" t="str">
        <f>IF(AND($AM3890&lt;&gt;"",$AS3890="✓"),SUMPRODUCT(($AM$11:$AM3890&lt;&gt;"")*($AS$11:$AS3890="✓")),"")</f>
        <v/>
      </c>
      <c r="BA3890" s="21" t="str">
        <f>IF($AL3890="","",$AL3890&amp;"|"&amp;COUNTIF($AL$11:$AL3890,$AL3890))</f>
        <v/>
      </c>
    </row>
    <row r="3891" spans="38:53" ht="15" customHeight="1" x14ac:dyDescent="0.25">
      <c r="AL3891" s="17"/>
      <c r="AM3891" s="12"/>
      <c r="AN3891" s="18"/>
      <c r="AO3891" s="18"/>
      <c r="AP3891" s="10"/>
      <c r="AQ3891" s="10"/>
      <c r="AR3891" s="19"/>
      <c r="AS3891" s="20"/>
      <c r="AT3891" s="19"/>
      <c r="AV3891" s="21">
        <f>IF(AND($AL3891&lt;&gt;"",COUNTIF($AL$11:$AL3891,$AL3891)=1),1,0)</f>
        <v>0</v>
      </c>
      <c r="AW3891" s="21">
        <f t="shared" si="207"/>
        <v>2</v>
      </c>
      <c r="AX3891" s="21" t="str">
        <f t="shared" si="206"/>
        <v/>
      </c>
      <c r="AY3891" s="21" t="str">
        <f>IF(AND($AM3891&lt;&gt;"",$AS3891&lt;&gt;"✓"),SUMPRODUCT(($AM$11:$AM3891&lt;&gt;"")*($AS$11:$AS3891&lt;&gt;"✓")),"")</f>
        <v/>
      </c>
      <c r="AZ3891" s="21" t="str">
        <f>IF(AND($AM3891&lt;&gt;"",$AS3891="✓"),SUMPRODUCT(($AM$11:$AM3891&lt;&gt;"")*($AS$11:$AS3891="✓")),"")</f>
        <v/>
      </c>
      <c r="BA3891" s="21" t="str">
        <f>IF($AL3891="","",$AL3891&amp;"|"&amp;COUNTIF($AL$11:$AL3891,$AL3891))</f>
        <v/>
      </c>
    </row>
    <row r="3892" spans="38:53" ht="15" customHeight="1" x14ac:dyDescent="0.25">
      <c r="AL3892" s="31"/>
      <c r="AM3892" s="26"/>
      <c r="AN3892" s="32"/>
      <c r="AO3892" s="32"/>
      <c r="AP3892" s="24"/>
      <c r="AQ3892" s="24"/>
      <c r="AR3892" s="33"/>
      <c r="AS3892" s="34"/>
      <c r="AT3892" s="33"/>
      <c r="AV3892" s="21">
        <f>IF(AND($AL3892&lt;&gt;"",COUNTIF($AL$11:$AL3892,$AL3892)=1),1,0)</f>
        <v>0</v>
      </c>
      <c r="AW3892" s="21">
        <f t="shared" si="207"/>
        <v>2</v>
      </c>
      <c r="AX3892" s="21" t="str">
        <f t="shared" si="206"/>
        <v/>
      </c>
      <c r="AY3892" s="21" t="str">
        <f>IF(AND($AM3892&lt;&gt;"",$AS3892&lt;&gt;"✓"),SUMPRODUCT(($AM$11:$AM3892&lt;&gt;"")*($AS$11:$AS3892&lt;&gt;"✓")),"")</f>
        <v/>
      </c>
      <c r="AZ3892" s="21" t="str">
        <f>IF(AND($AM3892&lt;&gt;"",$AS3892="✓"),SUMPRODUCT(($AM$11:$AM3892&lt;&gt;"")*($AS$11:$AS3892="✓")),"")</f>
        <v/>
      </c>
      <c r="BA3892" s="21" t="str">
        <f>IF($AL3892="","",$AL3892&amp;"|"&amp;COUNTIF($AL$11:$AL3892,$AL3892))</f>
        <v/>
      </c>
    </row>
    <row r="3893" spans="38:53" ht="15" customHeight="1" x14ac:dyDescent="0.25">
      <c r="AL3893" s="17"/>
      <c r="AM3893" s="12"/>
      <c r="AN3893" s="18"/>
      <c r="AO3893" s="18"/>
      <c r="AP3893" s="10"/>
      <c r="AQ3893" s="10"/>
      <c r="AR3893" s="19"/>
      <c r="AS3893" s="20"/>
      <c r="AT3893" s="19"/>
      <c r="AV3893" s="21">
        <f>IF(AND($AL3893&lt;&gt;"",COUNTIF($AL$11:$AL3893,$AL3893)=1),1,0)</f>
        <v>0</v>
      </c>
      <c r="AW3893" s="21">
        <f t="shared" si="207"/>
        <v>2</v>
      </c>
      <c r="AX3893" s="21" t="str">
        <f t="shared" si="206"/>
        <v/>
      </c>
      <c r="AY3893" s="21" t="str">
        <f>IF(AND($AM3893&lt;&gt;"",$AS3893&lt;&gt;"✓"),SUMPRODUCT(($AM$11:$AM3893&lt;&gt;"")*($AS$11:$AS3893&lt;&gt;"✓")),"")</f>
        <v/>
      </c>
      <c r="AZ3893" s="21" t="str">
        <f>IF(AND($AM3893&lt;&gt;"",$AS3893="✓"),SUMPRODUCT(($AM$11:$AM3893&lt;&gt;"")*($AS$11:$AS3893="✓")),"")</f>
        <v/>
      </c>
      <c r="BA3893" s="21" t="str">
        <f>IF($AL3893="","",$AL3893&amp;"|"&amp;COUNTIF($AL$11:$AL3893,$AL3893))</f>
        <v/>
      </c>
    </row>
    <row r="3894" spans="38:53" ht="15" customHeight="1" x14ac:dyDescent="0.25">
      <c r="AL3894" s="31"/>
      <c r="AM3894" s="26"/>
      <c r="AN3894" s="32"/>
      <c r="AO3894" s="32"/>
      <c r="AP3894" s="24"/>
      <c r="AQ3894" s="24"/>
      <c r="AR3894" s="33"/>
      <c r="AS3894" s="34"/>
      <c r="AT3894" s="33"/>
      <c r="AV3894" s="21">
        <f>IF(AND($AL3894&lt;&gt;"",COUNTIF($AL$11:$AL3894,$AL3894)=1),1,0)</f>
        <v>0</v>
      </c>
      <c r="AW3894" s="21">
        <f t="shared" si="207"/>
        <v>2</v>
      </c>
      <c r="AX3894" s="21" t="str">
        <f t="shared" si="206"/>
        <v/>
      </c>
      <c r="AY3894" s="21" t="str">
        <f>IF(AND($AM3894&lt;&gt;"",$AS3894&lt;&gt;"✓"),SUMPRODUCT(($AM$11:$AM3894&lt;&gt;"")*($AS$11:$AS3894&lt;&gt;"✓")),"")</f>
        <v/>
      </c>
      <c r="AZ3894" s="21" t="str">
        <f>IF(AND($AM3894&lt;&gt;"",$AS3894="✓"),SUMPRODUCT(($AM$11:$AM3894&lt;&gt;"")*($AS$11:$AS3894="✓")),"")</f>
        <v/>
      </c>
      <c r="BA3894" s="21" t="str">
        <f>IF($AL3894="","",$AL3894&amp;"|"&amp;COUNTIF($AL$11:$AL3894,$AL3894))</f>
        <v/>
      </c>
    </row>
    <row r="3895" spans="38:53" ht="15" customHeight="1" x14ac:dyDescent="0.25">
      <c r="AL3895" s="17"/>
      <c r="AM3895" s="12"/>
      <c r="AN3895" s="18"/>
      <c r="AO3895" s="18"/>
      <c r="AP3895" s="10"/>
      <c r="AQ3895" s="10"/>
      <c r="AR3895" s="19"/>
      <c r="AS3895" s="20"/>
      <c r="AT3895" s="19"/>
      <c r="AV3895" s="21">
        <f>IF(AND($AL3895&lt;&gt;"",COUNTIF($AL$11:$AL3895,$AL3895)=1),1,0)</f>
        <v>0</v>
      </c>
      <c r="AW3895" s="21">
        <f t="shared" si="207"/>
        <v>2</v>
      </c>
      <c r="AX3895" s="21" t="str">
        <f t="shared" si="206"/>
        <v/>
      </c>
      <c r="AY3895" s="21" t="str">
        <f>IF(AND($AM3895&lt;&gt;"",$AS3895&lt;&gt;"✓"),SUMPRODUCT(($AM$11:$AM3895&lt;&gt;"")*($AS$11:$AS3895&lt;&gt;"✓")),"")</f>
        <v/>
      </c>
      <c r="AZ3895" s="21" t="str">
        <f>IF(AND($AM3895&lt;&gt;"",$AS3895="✓"),SUMPRODUCT(($AM$11:$AM3895&lt;&gt;"")*($AS$11:$AS3895="✓")),"")</f>
        <v/>
      </c>
      <c r="BA3895" s="21" t="str">
        <f>IF($AL3895="","",$AL3895&amp;"|"&amp;COUNTIF($AL$11:$AL3895,$AL3895))</f>
        <v/>
      </c>
    </row>
    <row r="3896" spans="38:53" ht="15" customHeight="1" x14ac:dyDescent="0.25">
      <c r="AL3896" s="31"/>
      <c r="AM3896" s="26"/>
      <c r="AN3896" s="32"/>
      <c r="AO3896" s="32"/>
      <c r="AP3896" s="24"/>
      <c r="AQ3896" s="24"/>
      <c r="AR3896" s="33"/>
      <c r="AS3896" s="34"/>
      <c r="AT3896" s="33"/>
      <c r="AV3896" s="21">
        <f>IF(AND($AL3896&lt;&gt;"",COUNTIF($AL$11:$AL3896,$AL3896)=1),1,0)</f>
        <v>0</v>
      </c>
      <c r="AW3896" s="21">
        <f t="shared" si="207"/>
        <v>2</v>
      </c>
      <c r="AX3896" s="21" t="str">
        <f t="shared" si="206"/>
        <v/>
      </c>
      <c r="AY3896" s="21" t="str">
        <f>IF(AND($AM3896&lt;&gt;"",$AS3896&lt;&gt;"✓"),SUMPRODUCT(($AM$11:$AM3896&lt;&gt;"")*($AS$11:$AS3896&lt;&gt;"✓")),"")</f>
        <v/>
      </c>
      <c r="AZ3896" s="21" t="str">
        <f>IF(AND($AM3896&lt;&gt;"",$AS3896="✓"),SUMPRODUCT(($AM$11:$AM3896&lt;&gt;"")*($AS$11:$AS3896="✓")),"")</f>
        <v/>
      </c>
      <c r="BA3896" s="21" t="str">
        <f>IF($AL3896="","",$AL3896&amp;"|"&amp;COUNTIF($AL$11:$AL3896,$AL3896))</f>
        <v/>
      </c>
    </row>
    <row r="3897" spans="38:53" ht="15" customHeight="1" x14ac:dyDescent="0.25">
      <c r="AL3897" s="17"/>
      <c r="AM3897" s="12"/>
      <c r="AN3897" s="18"/>
      <c r="AO3897" s="18"/>
      <c r="AP3897" s="10"/>
      <c r="AQ3897" s="10"/>
      <c r="AR3897" s="19"/>
      <c r="AS3897" s="20"/>
      <c r="AT3897" s="19"/>
      <c r="AV3897" s="21">
        <f>IF(AND($AL3897&lt;&gt;"",COUNTIF($AL$11:$AL3897,$AL3897)=1),1,0)</f>
        <v>0</v>
      </c>
      <c r="AW3897" s="21">
        <f t="shared" si="207"/>
        <v>2</v>
      </c>
      <c r="AX3897" s="21" t="str">
        <f t="shared" si="206"/>
        <v/>
      </c>
      <c r="AY3897" s="21" t="str">
        <f>IF(AND($AM3897&lt;&gt;"",$AS3897&lt;&gt;"✓"),SUMPRODUCT(($AM$11:$AM3897&lt;&gt;"")*($AS$11:$AS3897&lt;&gt;"✓")),"")</f>
        <v/>
      </c>
      <c r="AZ3897" s="21" t="str">
        <f>IF(AND($AM3897&lt;&gt;"",$AS3897="✓"),SUMPRODUCT(($AM$11:$AM3897&lt;&gt;"")*($AS$11:$AS3897="✓")),"")</f>
        <v/>
      </c>
      <c r="BA3897" s="21" t="str">
        <f>IF($AL3897="","",$AL3897&amp;"|"&amp;COUNTIF($AL$11:$AL3897,$AL3897))</f>
        <v/>
      </c>
    </row>
    <row r="3898" spans="38:53" ht="15" customHeight="1" x14ac:dyDescent="0.25">
      <c r="AL3898" s="31"/>
      <c r="AM3898" s="26"/>
      <c r="AN3898" s="32"/>
      <c r="AO3898" s="32"/>
      <c r="AP3898" s="24"/>
      <c r="AQ3898" s="24"/>
      <c r="AR3898" s="33"/>
      <c r="AS3898" s="34"/>
      <c r="AT3898" s="33"/>
      <c r="AV3898" s="21">
        <f>IF(AND($AL3898&lt;&gt;"",COUNTIF($AL$11:$AL3898,$AL3898)=1),1,0)</f>
        <v>0</v>
      </c>
      <c r="AW3898" s="21">
        <f t="shared" si="207"/>
        <v>2</v>
      </c>
      <c r="AX3898" s="21" t="str">
        <f t="shared" si="206"/>
        <v/>
      </c>
      <c r="AY3898" s="21" t="str">
        <f>IF(AND($AM3898&lt;&gt;"",$AS3898&lt;&gt;"✓"),SUMPRODUCT(($AM$11:$AM3898&lt;&gt;"")*($AS$11:$AS3898&lt;&gt;"✓")),"")</f>
        <v/>
      </c>
      <c r="AZ3898" s="21" t="str">
        <f>IF(AND($AM3898&lt;&gt;"",$AS3898="✓"),SUMPRODUCT(($AM$11:$AM3898&lt;&gt;"")*($AS$11:$AS3898="✓")),"")</f>
        <v/>
      </c>
      <c r="BA3898" s="21" t="str">
        <f>IF($AL3898="","",$AL3898&amp;"|"&amp;COUNTIF($AL$11:$AL3898,$AL3898))</f>
        <v/>
      </c>
    </row>
    <row r="3899" spans="38:53" ht="15" customHeight="1" x14ac:dyDescent="0.25">
      <c r="AL3899" s="17"/>
      <c r="AM3899" s="12"/>
      <c r="AN3899" s="18"/>
      <c r="AO3899" s="18"/>
      <c r="AP3899" s="10"/>
      <c r="AQ3899" s="10"/>
      <c r="AR3899" s="19"/>
      <c r="AS3899" s="20"/>
      <c r="AT3899" s="19"/>
      <c r="AV3899" s="21">
        <f>IF(AND($AL3899&lt;&gt;"",COUNTIF($AL$11:$AL3899,$AL3899)=1),1,0)</f>
        <v>0</v>
      </c>
      <c r="AW3899" s="21">
        <f t="shared" si="207"/>
        <v>2</v>
      </c>
      <c r="AX3899" s="21" t="str">
        <f t="shared" si="206"/>
        <v/>
      </c>
      <c r="AY3899" s="21" t="str">
        <f>IF(AND($AM3899&lt;&gt;"",$AS3899&lt;&gt;"✓"),SUMPRODUCT(($AM$11:$AM3899&lt;&gt;"")*($AS$11:$AS3899&lt;&gt;"✓")),"")</f>
        <v/>
      </c>
      <c r="AZ3899" s="21" t="str">
        <f>IF(AND($AM3899&lt;&gt;"",$AS3899="✓"),SUMPRODUCT(($AM$11:$AM3899&lt;&gt;"")*($AS$11:$AS3899="✓")),"")</f>
        <v/>
      </c>
      <c r="BA3899" s="21" t="str">
        <f>IF($AL3899="","",$AL3899&amp;"|"&amp;COUNTIF($AL$11:$AL3899,$AL3899))</f>
        <v/>
      </c>
    </row>
    <row r="3900" spans="38:53" ht="15" customHeight="1" x14ac:dyDescent="0.25">
      <c r="AL3900" s="31"/>
      <c r="AM3900" s="26"/>
      <c r="AN3900" s="32"/>
      <c r="AO3900" s="32"/>
      <c r="AP3900" s="24"/>
      <c r="AQ3900" s="24"/>
      <c r="AR3900" s="33"/>
      <c r="AS3900" s="34"/>
      <c r="AT3900" s="33"/>
      <c r="AV3900" s="21">
        <f>IF(AND($AL3900&lt;&gt;"",COUNTIF($AL$11:$AL3900,$AL3900)=1),1,0)</f>
        <v>0</v>
      </c>
      <c r="AW3900" s="21">
        <f t="shared" si="207"/>
        <v>2</v>
      </c>
      <c r="AX3900" s="21" t="str">
        <f t="shared" si="206"/>
        <v/>
      </c>
      <c r="AY3900" s="21" t="str">
        <f>IF(AND($AM3900&lt;&gt;"",$AS3900&lt;&gt;"✓"),SUMPRODUCT(($AM$11:$AM3900&lt;&gt;"")*($AS$11:$AS3900&lt;&gt;"✓")),"")</f>
        <v/>
      </c>
      <c r="AZ3900" s="21" t="str">
        <f>IF(AND($AM3900&lt;&gt;"",$AS3900="✓"),SUMPRODUCT(($AM$11:$AM3900&lt;&gt;"")*($AS$11:$AS3900="✓")),"")</f>
        <v/>
      </c>
      <c r="BA3900" s="21" t="str">
        <f>IF($AL3900="","",$AL3900&amp;"|"&amp;COUNTIF($AL$11:$AL3900,$AL3900))</f>
        <v/>
      </c>
    </row>
    <row r="3901" spans="38:53" ht="15" customHeight="1" x14ac:dyDescent="0.25">
      <c r="AL3901" s="17"/>
      <c r="AM3901" s="12"/>
      <c r="AN3901" s="18"/>
      <c r="AO3901" s="18"/>
      <c r="AP3901" s="10"/>
      <c r="AQ3901" s="10"/>
      <c r="AR3901" s="19"/>
      <c r="AS3901" s="20"/>
      <c r="AT3901" s="19"/>
      <c r="AV3901" s="21">
        <f>IF(AND($AL3901&lt;&gt;"",COUNTIF($AL$11:$AL3901,$AL3901)=1),1,0)</f>
        <v>0</v>
      </c>
      <c r="AW3901" s="21">
        <f t="shared" si="207"/>
        <v>2</v>
      </c>
      <c r="AX3901" s="21" t="str">
        <f t="shared" si="206"/>
        <v/>
      </c>
      <c r="AY3901" s="21" t="str">
        <f>IF(AND($AM3901&lt;&gt;"",$AS3901&lt;&gt;"✓"),SUMPRODUCT(($AM$11:$AM3901&lt;&gt;"")*($AS$11:$AS3901&lt;&gt;"✓")),"")</f>
        <v/>
      </c>
      <c r="AZ3901" s="21" t="str">
        <f>IF(AND($AM3901&lt;&gt;"",$AS3901="✓"),SUMPRODUCT(($AM$11:$AM3901&lt;&gt;"")*($AS$11:$AS3901="✓")),"")</f>
        <v/>
      </c>
      <c r="BA3901" s="21" t="str">
        <f>IF($AL3901="","",$AL3901&amp;"|"&amp;COUNTIF($AL$11:$AL3901,$AL3901))</f>
        <v/>
      </c>
    </row>
    <row r="3902" spans="38:53" ht="15" customHeight="1" x14ac:dyDescent="0.25">
      <c r="AL3902" s="31"/>
      <c r="AM3902" s="26"/>
      <c r="AN3902" s="32"/>
      <c r="AO3902" s="32"/>
      <c r="AP3902" s="24"/>
      <c r="AQ3902" s="24"/>
      <c r="AR3902" s="33"/>
      <c r="AS3902" s="34"/>
      <c r="AT3902" s="33"/>
      <c r="AV3902" s="21">
        <f>IF(AND($AL3902&lt;&gt;"",COUNTIF($AL$11:$AL3902,$AL3902)=1),1,0)</f>
        <v>0</v>
      </c>
      <c r="AW3902" s="21">
        <f t="shared" si="207"/>
        <v>2</v>
      </c>
      <c r="AX3902" s="21" t="str">
        <f t="shared" si="206"/>
        <v/>
      </c>
      <c r="AY3902" s="21" t="str">
        <f>IF(AND($AM3902&lt;&gt;"",$AS3902&lt;&gt;"✓"),SUMPRODUCT(($AM$11:$AM3902&lt;&gt;"")*($AS$11:$AS3902&lt;&gt;"✓")),"")</f>
        <v/>
      </c>
      <c r="AZ3902" s="21" t="str">
        <f>IF(AND($AM3902&lt;&gt;"",$AS3902="✓"),SUMPRODUCT(($AM$11:$AM3902&lt;&gt;"")*($AS$11:$AS3902="✓")),"")</f>
        <v/>
      </c>
      <c r="BA3902" s="21" t="str">
        <f>IF($AL3902="","",$AL3902&amp;"|"&amp;COUNTIF($AL$11:$AL3902,$AL3902))</f>
        <v/>
      </c>
    </row>
    <row r="3903" spans="38:53" ht="15" customHeight="1" x14ac:dyDescent="0.25">
      <c r="AL3903" s="17"/>
      <c r="AM3903" s="12"/>
      <c r="AN3903" s="18"/>
      <c r="AO3903" s="18"/>
      <c r="AP3903" s="10"/>
      <c r="AQ3903" s="10"/>
      <c r="AR3903" s="19"/>
      <c r="AS3903" s="20"/>
      <c r="AT3903" s="19"/>
      <c r="AV3903" s="21">
        <f>IF(AND($AL3903&lt;&gt;"",COUNTIF($AL$11:$AL3903,$AL3903)=1),1,0)</f>
        <v>0</v>
      </c>
      <c r="AW3903" s="21">
        <f t="shared" si="207"/>
        <v>2</v>
      </c>
      <c r="AX3903" s="21" t="str">
        <f t="shared" si="206"/>
        <v/>
      </c>
      <c r="AY3903" s="21" t="str">
        <f>IF(AND($AM3903&lt;&gt;"",$AS3903&lt;&gt;"✓"),SUMPRODUCT(($AM$11:$AM3903&lt;&gt;"")*($AS$11:$AS3903&lt;&gt;"✓")),"")</f>
        <v/>
      </c>
      <c r="AZ3903" s="21" t="str">
        <f>IF(AND($AM3903&lt;&gt;"",$AS3903="✓"),SUMPRODUCT(($AM$11:$AM3903&lt;&gt;"")*($AS$11:$AS3903="✓")),"")</f>
        <v/>
      </c>
      <c r="BA3903" s="21" t="str">
        <f>IF($AL3903="","",$AL3903&amp;"|"&amp;COUNTIF($AL$11:$AL3903,$AL3903))</f>
        <v/>
      </c>
    </row>
    <row r="3904" spans="38:53" ht="15" customHeight="1" x14ac:dyDescent="0.25">
      <c r="AL3904" s="31"/>
      <c r="AM3904" s="26"/>
      <c r="AN3904" s="32"/>
      <c r="AO3904" s="32"/>
      <c r="AP3904" s="24"/>
      <c r="AQ3904" s="24"/>
      <c r="AR3904" s="33"/>
      <c r="AS3904" s="34"/>
      <c r="AT3904" s="33"/>
      <c r="AV3904" s="21">
        <f>IF(AND($AL3904&lt;&gt;"",COUNTIF($AL$11:$AL3904,$AL3904)=1),1,0)</f>
        <v>0</v>
      </c>
      <c r="AW3904" s="21">
        <f t="shared" si="207"/>
        <v>2</v>
      </c>
      <c r="AX3904" s="21" t="str">
        <f t="shared" si="206"/>
        <v/>
      </c>
      <c r="AY3904" s="21" t="str">
        <f>IF(AND($AM3904&lt;&gt;"",$AS3904&lt;&gt;"✓"),SUMPRODUCT(($AM$11:$AM3904&lt;&gt;"")*($AS$11:$AS3904&lt;&gt;"✓")),"")</f>
        <v/>
      </c>
      <c r="AZ3904" s="21" t="str">
        <f>IF(AND($AM3904&lt;&gt;"",$AS3904="✓"),SUMPRODUCT(($AM$11:$AM3904&lt;&gt;"")*($AS$11:$AS3904="✓")),"")</f>
        <v/>
      </c>
      <c r="BA3904" s="21" t="str">
        <f>IF($AL3904="","",$AL3904&amp;"|"&amp;COUNTIF($AL$11:$AL3904,$AL3904))</f>
        <v/>
      </c>
    </row>
    <row r="3905" spans="38:53" ht="15" customHeight="1" x14ac:dyDescent="0.25">
      <c r="AL3905" s="17"/>
      <c r="AM3905" s="12"/>
      <c r="AN3905" s="18"/>
      <c r="AO3905" s="18"/>
      <c r="AP3905" s="10"/>
      <c r="AQ3905" s="10"/>
      <c r="AR3905" s="19"/>
      <c r="AS3905" s="20"/>
      <c r="AT3905" s="19"/>
      <c r="AV3905" s="21">
        <f>IF(AND($AL3905&lt;&gt;"",COUNTIF($AL$11:$AL3905,$AL3905)=1),1,0)</f>
        <v>0</v>
      </c>
      <c r="AW3905" s="21">
        <f t="shared" si="207"/>
        <v>2</v>
      </c>
      <c r="AX3905" s="21" t="str">
        <f t="shared" si="206"/>
        <v/>
      </c>
      <c r="AY3905" s="21" t="str">
        <f>IF(AND($AM3905&lt;&gt;"",$AS3905&lt;&gt;"✓"),SUMPRODUCT(($AM$11:$AM3905&lt;&gt;"")*($AS$11:$AS3905&lt;&gt;"✓")),"")</f>
        <v/>
      </c>
      <c r="AZ3905" s="21" t="str">
        <f>IF(AND($AM3905&lt;&gt;"",$AS3905="✓"),SUMPRODUCT(($AM$11:$AM3905&lt;&gt;"")*($AS$11:$AS3905="✓")),"")</f>
        <v/>
      </c>
      <c r="BA3905" s="21" t="str">
        <f>IF($AL3905="","",$AL3905&amp;"|"&amp;COUNTIF($AL$11:$AL3905,$AL3905))</f>
        <v/>
      </c>
    </row>
    <row r="3906" spans="38:53" ht="15" customHeight="1" x14ac:dyDescent="0.25">
      <c r="AL3906" s="31"/>
      <c r="AM3906" s="26"/>
      <c r="AN3906" s="32"/>
      <c r="AO3906" s="32"/>
      <c r="AP3906" s="24"/>
      <c r="AQ3906" s="24"/>
      <c r="AR3906" s="33"/>
      <c r="AS3906" s="34"/>
      <c r="AT3906" s="33"/>
      <c r="AV3906" s="21">
        <f>IF(AND($AL3906&lt;&gt;"",COUNTIF($AL$11:$AL3906,$AL3906)=1),1,0)</f>
        <v>0</v>
      </c>
      <c r="AW3906" s="21">
        <f t="shared" si="207"/>
        <v>2</v>
      </c>
      <c r="AX3906" s="21" t="str">
        <f t="shared" si="206"/>
        <v/>
      </c>
      <c r="AY3906" s="21" t="str">
        <f>IF(AND($AM3906&lt;&gt;"",$AS3906&lt;&gt;"✓"),SUMPRODUCT(($AM$11:$AM3906&lt;&gt;"")*($AS$11:$AS3906&lt;&gt;"✓")),"")</f>
        <v/>
      </c>
      <c r="AZ3906" s="21" t="str">
        <f>IF(AND($AM3906&lt;&gt;"",$AS3906="✓"),SUMPRODUCT(($AM$11:$AM3906&lt;&gt;"")*($AS$11:$AS3906="✓")),"")</f>
        <v/>
      </c>
      <c r="BA3906" s="21" t="str">
        <f>IF($AL3906="","",$AL3906&amp;"|"&amp;COUNTIF($AL$11:$AL3906,$AL3906))</f>
        <v/>
      </c>
    </row>
    <row r="3907" spans="38:53" ht="15" customHeight="1" x14ac:dyDescent="0.25">
      <c r="AL3907" s="17"/>
      <c r="AM3907" s="12"/>
      <c r="AN3907" s="18"/>
      <c r="AO3907" s="18"/>
      <c r="AP3907" s="10"/>
      <c r="AQ3907" s="10"/>
      <c r="AR3907" s="19"/>
      <c r="AS3907" s="20"/>
      <c r="AT3907" s="19"/>
      <c r="AV3907" s="21">
        <f>IF(AND($AL3907&lt;&gt;"",COUNTIF($AL$11:$AL3907,$AL3907)=1),1,0)</f>
        <v>0</v>
      </c>
      <c r="AW3907" s="21">
        <f t="shared" si="207"/>
        <v>2</v>
      </c>
      <c r="AX3907" s="21" t="str">
        <f t="shared" si="206"/>
        <v/>
      </c>
      <c r="AY3907" s="21" t="str">
        <f>IF(AND($AM3907&lt;&gt;"",$AS3907&lt;&gt;"✓"),SUMPRODUCT(($AM$11:$AM3907&lt;&gt;"")*($AS$11:$AS3907&lt;&gt;"✓")),"")</f>
        <v/>
      </c>
      <c r="AZ3907" s="21" t="str">
        <f>IF(AND($AM3907&lt;&gt;"",$AS3907="✓"),SUMPRODUCT(($AM$11:$AM3907&lt;&gt;"")*($AS$11:$AS3907="✓")),"")</f>
        <v/>
      </c>
      <c r="BA3907" s="21" t="str">
        <f>IF($AL3907="","",$AL3907&amp;"|"&amp;COUNTIF($AL$11:$AL3907,$AL3907))</f>
        <v/>
      </c>
    </row>
    <row r="3908" spans="38:53" ht="15" customHeight="1" x14ac:dyDescent="0.25">
      <c r="AL3908" s="31"/>
      <c r="AM3908" s="26"/>
      <c r="AN3908" s="32"/>
      <c r="AO3908" s="32"/>
      <c r="AP3908" s="24"/>
      <c r="AQ3908" s="24"/>
      <c r="AR3908" s="33"/>
      <c r="AS3908" s="34"/>
      <c r="AT3908" s="33"/>
      <c r="AV3908" s="21">
        <f>IF(AND($AL3908&lt;&gt;"",COUNTIF($AL$11:$AL3908,$AL3908)=1),1,0)</f>
        <v>0</v>
      </c>
      <c r="AW3908" s="21">
        <f t="shared" si="207"/>
        <v>2</v>
      </c>
      <c r="AX3908" s="21" t="str">
        <f t="shared" si="206"/>
        <v/>
      </c>
      <c r="AY3908" s="21" t="str">
        <f>IF(AND($AM3908&lt;&gt;"",$AS3908&lt;&gt;"✓"),SUMPRODUCT(($AM$11:$AM3908&lt;&gt;"")*($AS$11:$AS3908&lt;&gt;"✓")),"")</f>
        <v/>
      </c>
      <c r="AZ3908" s="21" t="str">
        <f>IF(AND($AM3908&lt;&gt;"",$AS3908="✓"),SUMPRODUCT(($AM$11:$AM3908&lt;&gt;"")*($AS$11:$AS3908="✓")),"")</f>
        <v/>
      </c>
      <c r="BA3908" s="21" t="str">
        <f>IF($AL3908="","",$AL3908&amp;"|"&amp;COUNTIF($AL$11:$AL3908,$AL3908))</f>
        <v/>
      </c>
    </row>
    <row r="3909" spans="38:53" ht="15" customHeight="1" x14ac:dyDescent="0.25">
      <c r="AL3909" s="17"/>
      <c r="AM3909" s="12"/>
      <c r="AN3909" s="18"/>
      <c r="AO3909" s="18"/>
      <c r="AP3909" s="10"/>
      <c r="AQ3909" s="10"/>
      <c r="AR3909" s="19"/>
      <c r="AS3909" s="20"/>
      <c r="AT3909" s="19"/>
      <c r="AV3909" s="21">
        <f>IF(AND($AL3909&lt;&gt;"",COUNTIF($AL$11:$AL3909,$AL3909)=1),1,0)</f>
        <v>0</v>
      </c>
      <c r="AW3909" s="21">
        <f t="shared" si="207"/>
        <v>2</v>
      </c>
      <c r="AX3909" s="21" t="str">
        <f t="shared" si="206"/>
        <v/>
      </c>
      <c r="AY3909" s="21" t="str">
        <f>IF(AND($AM3909&lt;&gt;"",$AS3909&lt;&gt;"✓"),SUMPRODUCT(($AM$11:$AM3909&lt;&gt;"")*($AS$11:$AS3909&lt;&gt;"✓")),"")</f>
        <v/>
      </c>
      <c r="AZ3909" s="21" t="str">
        <f>IF(AND($AM3909&lt;&gt;"",$AS3909="✓"),SUMPRODUCT(($AM$11:$AM3909&lt;&gt;"")*($AS$11:$AS3909="✓")),"")</f>
        <v/>
      </c>
      <c r="BA3909" s="21" t="str">
        <f>IF($AL3909="","",$AL3909&amp;"|"&amp;COUNTIF($AL$11:$AL3909,$AL3909))</f>
        <v/>
      </c>
    </row>
    <row r="3910" spans="38:53" ht="15" customHeight="1" x14ac:dyDescent="0.25">
      <c r="AL3910" s="31"/>
      <c r="AM3910" s="26"/>
      <c r="AN3910" s="32"/>
      <c r="AO3910" s="32"/>
      <c r="AP3910" s="24"/>
      <c r="AQ3910" s="24"/>
      <c r="AR3910" s="33"/>
      <c r="AS3910" s="34"/>
      <c r="AT3910" s="33"/>
      <c r="AV3910" s="21">
        <f>IF(AND($AL3910&lt;&gt;"",COUNTIF($AL$11:$AL3910,$AL3910)=1),1,0)</f>
        <v>0</v>
      </c>
      <c r="AW3910" s="21">
        <f t="shared" si="207"/>
        <v>2</v>
      </c>
      <c r="AX3910" s="21" t="str">
        <f t="shared" si="206"/>
        <v/>
      </c>
      <c r="AY3910" s="21" t="str">
        <f>IF(AND($AM3910&lt;&gt;"",$AS3910&lt;&gt;"✓"),SUMPRODUCT(($AM$11:$AM3910&lt;&gt;"")*($AS$11:$AS3910&lt;&gt;"✓")),"")</f>
        <v/>
      </c>
      <c r="AZ3910" s="21" t="str">
        <f>IF(AND($AM3910&lt;&gt;"",$AS3910="✓"),SUMPRODUCT(($AM$11:$AM3910&lt;&gt;"")*($AS$11:$AS3910="✓")),"")</f>
        <v/>
      </c>
      <c r="BA3910" s="21" t="str">
        <f>IF($AL3910="","",$AL3910&amp;"|"&amp;COUNTIF($AL$11:$AL3910,$AL3910))</f>
        <v/>
      </c>
    </row>
    <row r="3911" spans="38:53" ht="15" customHeight="1" x14ac:dyDescent="0.25">
      <c r="AL3911" s="17"/>
      <c r="AM3911" s="12"/>
      <c r="AN3911" s="18"/>
      <c r="AO3911" s="18"/>
      <c r="AP3911" s="10"/>
      <c r="AQ3911" s="10"/>
      <c r="AR3911" s="19"/>
      <c r="AS3911" s="20"/>
      <c r="AT3911" s="19"/>
      <c r="AV3911" s="21">
        <f>IF(AND($AL3911&lt;&gt;"",COUNTIF($AL$11:$AL3911,$AL3911)=1),1,0)</f>
        <v>0</v>
      </c>
      <c r="AW3911" s="21">
        <f t="shared" si="207"/>
        <v>2</v>
      </c>
      <c r="AX3911" s="21" t="str">
        <f t="shared" si="206"/>
        <v/>
      </c>
      <c r="AY3911" s="21" t="str">
        <f>IF(AND($AM3911&lt;&gt;"",$AS3911&lt;&gt;"✓"),SUMPRODUCT(($AM$11:$AM3911&lt;&gt;"")*($AS$11:$AS3911&lt;&gt;"✓")),"")</f>
        <v/>
      </c>
      <c r="AZ3911" s="21" t="str">
        <f>IF(AND($AM3911&lt;&gt;"",$AS3911="✓"),SUMPRODUCT(($AM$11:$AM3911&lt;&gt;"")*($AS$11:$AS3911="✓")),"")</f>
        <v/>
      </c>
      <c r="BA3911" s="21" t="str">
        <f>IF($AL3911="","",$AL3911&amp;"|"&amp;COUNTIF($AL$11:$AL3911,$AL3911))</f>
        <v/>
      </c>
    </row>
    <row r="3912" spans="38:53" ht="15" customHeight="1" x14ac:dyDescent="0.25">
      <c r="AL3912" s="31"/>
      <c r="AM3912" s="26"/>
      <c r="AN3912" s="32"/>
      <c r="AO3912" s="32"/>
      <c r="AP3912" s="24"/>
      <c r="AQ3912" s="24"/>
      <c r="AR3912" s="33"/>
      <c r="AS3912" s="34"/>
      <c r="AT3912" s="33"/>
      <c r="AV3912" s="21">
        <f>IF(AND($AL3912&lt;&gt;"",COUNTIF($AL$11:$AL3912,$AL3912)=1),1,0)</f>
        <v>0</v>
      </c>
      <c r="AW3912" s="21">
        <f t="shared" si="207"/>
        <v>2</v>
      </c>
      <c r="AX3912" s="21" t="str">
        <f t="shared" si="206"/>
        <v/>
      </c>
      <c r="AY3912" s="21" t="str">
        <f>IF(AND($AM3912&lt;&gt;"",$AS3912&lt;&gt;"✓"),SUMPRODUCT(($AM$11:$AM3912&lt;&gt;"")*($AS$11:$AS3912&lt;&gt;"✓")),"")</f>
        <v/>
      </c>
      <c r="AZ3912" s="21" t="str">
        <f>IF(AND($AM3912&lt;&gt;"",$AS3912="✓"),SUMPRODUCT(($AM$11:$AM3912&lt;&gt;"")*($AS$11:$AS3912="✓")),"")</f>
        <v/>
      </c>
      <c r="BA3912" s="21" t="str">
        <f>IF($AL3912="","",$AL3912&amp;"|"&amp;COUNTIF($AL$11:$AL3912,$AL3912))</f>
        <v/>
      </c>
    </row>
    <row r="3913" spans="38:53" ht="15" customHeight="1" x14ac:dyDescent="0.25">
      <c r="AL3913" s="17"/>
      <c r="AM3913" s="12"/>
      <c r="AN3913" s="18"/>
      <c r="AO3913" s="18"/>
      <c r="AP3913" s="10"/>
      <c r="AQ3913" s="10"/>
      <c r="AR3913" s="19"/>
      <c r="AS3913" s="20"/>
      <c r="AT3913" s="19"/>
      <c r="AV3913" s="21">
        <f>IF(AND($AL3913&lt;&gt;"",COUNTIF($AL$11:$AL3913,$AL3913)=1),1,0)</f>
        <v>0</v>
      </c>
      <c r="AW3913" s="21">
        <f t="shared" si="207"/>
        <v>2</v>
      </c>
      <c r="AX3913" s="21" t="str">
        <f t="shared" si="206"/>
        <v/>
      </c>
      <c r="AY3913" s="21" t="str">
        <f>IF(AND($AM3913&lt;&gt;"",$AS3913&lt;&gt;"✓"),SUMPRODUCT(($AM$11:$AM3913&lt;&gt;"")*($AS$11:$AS3913&lt;&gt;"✓")),"")</f>
        <v/>
      </c>
      <c r="AZ3913" s="21" t="str">
        <f>IF(AND($AM3913&lt;&gt;"",$AS3913="✓"),SUMPRODUCT(($AM$11:$AM3913&lt;&gt;"")*($AS$11:$AS3913="✓")),"")</f>
        <v/>
      </c>
      <c r="BA3913" s="21" t="str">
        <f>IF($AL3913="","",$AL3913&amp;"|"&amp;COUNTIF($AL$11:$AL3913,$AL3913))</f>
        <v/>
      </c>
    </row>
    <row r="3914" spans="38:53" ht="15" customHeight="1" x14ac:dyDescent="0.25">
      <c r="AL3914" s="31"/>
      <c r="AM3914" s="26"/>
      <c r="AN3914" s="32"/>
      <c r="AO3914" s="32"/>
      <c r="AP3914" s="24"/>
      <c r="AQ3914" s="24"/>
      <c r="AR3914" s="33"/>
      <c r="AS3914" s="34"/>
      <c r="AT3914" s="33"/>
      <c r="AV3914" s="21">
        <f>IF(AND($AL3914&lt;&gt;"",COUNTIF($AL$11:$AL3914,$AL3914)=1),1,0)</f>
        <v>0</v>
      </c>
      <c r="AW3914" s="21">
        <f t="shared" si="207"/>
        <v>2</v>
      </c>
      <c r="AX3914" s="21" t="str">
        <f t="shared" si="206"/>
        <v/>
      </c>
      <c r="AY3914" s="21" t="str">
        <f>IF(AND($AM3914&lt;&gt;"",$AS3914&lt;&gt;"✓"),SUMPRODUCT(($AM$11:$AM3914&lt;&gt;"")*($AS$11:$AS3914&lt;&gt;"✓")),"")</f>
        <v/>
      </c>
      <c r="AZ3914" s="21" t="str">
        <f>IF(AND($AM3914&lt;&gt;"",$AS3914="✓"),SUMPRODUCT(($AM$11:$AM3914&lt;&gt;"")*($AS$11:$AS3914="✓")),"")</f>
        <v/>
      </c>
      <c r="BA3914" s="21" t="str">
        <f>IF($AL3914="","",$AL3914&amp;"|"&amp;COUNTIF($AL$11:$AL3914,$AL3914))</f>
        <v/>
      </c>
    </row>
    <row r="3915" spans="38:53" ht="15" customHeight="1" x14ac:dyDescent="0.25">
      <c r="AL3915" s="17"/>
      <c r="AM3915" s="12"/>
      <c r="AN3915" s="18"/>
      <c r="AO3915" s="18"/>
      <c r="AP3915" s="10"/>
      <c r="AQ3915" s="10"/>
      <c r="AR3915" s="19"/>
      <c r="AS3915" s="20"/>
      <c r="AT3915" s="19"/>
      <c r="AV3915" s="21">
        <f>IF(AND($AL3915&lt;&gt;"",COUNTIF($AL$11:$AL3915,$AL3915)=1),1,0)</f>
        <v>0</v>
      </c>
      <c r="AW3915" s="21">
        <f t="shared" si="207"/>
        <v>2</v>
      </c>
      <c r="AX3915" s="21" t="str">
        <f t="shared" ref="AX3915:AX3978" si="208">IF(AV3915=1,AW3915,"")</f>
        <v/>
      </c>
      <c r="AY3915" s="21" t="str">
        <f>IF(AND($AM3915&lt;&gt;"",$AS3915&lt;&gt;"✓"),SUMPRODUCT(($AM$11:$AM3915&lt;&gt;"")*($AS$11:$AS3915&lt;&gt;"✓")),"")</f>
        <v/>
      </c>
      <c r="AZ3915" s="21" t="str">
        <f>IF(AND($AM3915&lt;&gt;"",$AS3915="✓"),SUMPRODUCT(($AM$11:$AM3915&lt;&gt;"")*($AS$11:$AS3915="✓")),"")</f>
        <v/>
      </c>
      <c r="BA3915" s="21" t="str">
        <f>IF($AL3915="","",$AL3915&amp;"|"&amp;COUNTIF($AL$11:$AL3915,$AL3915))</f>
        <v/>
      </c>
    </row>
    <row r="3916" spans="38:53" ht="15" customHeight="1" x14ac:dyDescent="0.25">
      <c r="AL3916" s="31"/>
      <c r="AM3916" s="26"/>
      <c r="AN3916" s="32"/>
      <c r="AO3916" s="32"/>
      <c r="AP3916" s="24"/>
      <c r="AQ3916" s="24"/>
      <c r="AR3916" s="33"/>
      <c r="AS3916" s="34"/>
      <c r="AT3916" s="33"/>
      <c r="AV3916" s="21">
        <f>IF(AND($AL3916&lt;&gt;"",COUNTIF($AL$11:$AL3916,$AL3916)=1),1,0)</f>
        <v>0</v>
      </c>
      <c r="AW3916" s="21">
        <f t="shared" ref="AW3916:AW3979" si="209">AW3915+AV3916</f>
        <v>2</v>
      </c>
      <c r="AX3916" s="21" t="str">
        <f t="shared" si="208"/>
        <v/>
      </c>
      <c r="AY3916" s="21" t="str">
        <f>IF(AND($AM3916&lt;&gt;"",$AS3916&lt;&gt;"✓"),SUMPRODUCT(($AM$11:$AM3916&lt;&gt;"")*($AS$11:$AS3916&lt;&gt;"✓")),"")</f>
        <v/>
      </c>
      <c r="AZ3916" s="21" t="str">
        <f>IF(AND($AM3916&lt;&gt;"",$AS3916="✓"),SUMPRODUCT(($AM$11:$AM3916&lt;&gt;"")*($AS$11:$AS3916="✓")),"")</f>
        <v/>
      </c>
      <c r="BA3916" s="21" t="str">
        <f>IF($AL3916="","",$AL3916&amp;"|"&amp;COUNTIF($AL$11:$AL3916,$AL3916))</f>
        <v/>
      </c>
    </row>
    <row r="3917" spans="38:53" ht="15" customHeight="1" x14ac:dyDescent="0.25">
      <c r="AL3917" s="17"/>
      <c r="AM3917" s="12"/>
      <c r="AN3917" s="18"/>
      <c r="AO3917" s="18"/>
      <c r="AP3917" s="10"/>
      <c r="AQ3917" s="10"/>
      <c r="AR3917" s="19"/>
      <c r="AS3917" s="20"/>
      <c r="AT3917" s="19"/>
      <c r="AV3917" s="21">
        <f>IF(AND($AL3917&lt;&gt;"",COUNTIF($AL$11:$AL3917,$AL3917)=1),1,0)</f>
        <v>0</v>
      </c>
      <c r="AW3917" s="21">
        <f t="shared" si="209"/>
        <v>2</v>
      </c>
      <c r="AX3917" s="21" t="str">
        <f t="shared" si="208"/>
        <v/>
      </c>
      <c r="AY3917" s="21" t="str">
        <f>IF(AND($AM3917&lt;&gt;"",$AS3917&lt;&gt;"✓"),SUMPRODUCT(($AM$11:$AM3917&lt;&gt;"")*($AS$11:$AS3917&lt;&gt;"✓")),"")</f>
        <v/>
      </c>
      <c r="AZ3917" s="21" t="str">
        <f>IF(AND($AM3917&lt;&gt;"",$AS3917="✓"),SUMPRODUCT(($AM$11:$AM3917&lt;&gt;"")*($AS$11:$AS3917="✓")),"")</f>
        <v/>
      </c>
      <c r="BA3917" s="21" t="str">
        <f>IF($AL3917="","",$AL3917&amp;"|"&amp;COUNTIF($AL$11:$AL3917,$AL3917))</f>
        <v/>
      </c>
    </row>
    <row r="3918" spans="38:53" ht="15" customHeight="1" x14ac:dyDescent="0.25">
      <c r="AL3918" s="31"/>
      <c r="AM3918" s="26"/>
      <c r="AN3918" s="32"/>
      <c r="AO3918" s="32"/>
      <c r="AP3918" s="24"/>
      <c r="AQ3918" s="24"/>
      <c r="AR3918" s="33"/>
      <c r="AS3918" s="34"/>
      <c r="AT3918" s="33"/>
      <c r="AV3918" s="21">
        <f>IF(AND($AL3918&lt;&gt;"",COUNTIF($AL$11:$AL3918,$AL3918)=1),1,0)</f>
        <v>0</v>
      </c>
      <c r="AW3918" s="21">
        <f t="shared" si="209"/>
        <v>2</v>
      </c>
      <c r="AX3918" s="21" t="str">
        <f t="shared" si="208"/>
        <v/>
      </c>
      <c r="AY3918" s="21" t="str">
        <f>IF(AND($AM3918&lt;&gt;"",$AS3918&lt;&gt;"✓"),SUMPRODUCT(($AM$11:$AM3918&lt;&gt;"")*($AS$11:$AS3918&lt;&gt;"✓")),"")</f>
        <v/>
      </c>
      <c r="AZ3918" s="21" t="str">
        <f>IF(AND($AM3918&lt;&gt;"",$AS3918="✓"),SUMPRODUCT(($AM$11:$AM3918&lt;&gt;"")*($AS$11:$AS3918="✓")),"")</f>
        <v/>
      </c>
      <c r="BA3918" s="21" t="str">
        <f>IF($AL3918="","",$AL3918&amp;"|"&amp;COUNTIF($AL$11:$AL3918,$AL3918))</f>
        <v/>
      </c>
    </row>
    <row r="3919" spans="38:53" ht="15" customHeight="1" x14ac:dyDescent="0.25">
      <c r="AL3919" s="17"/>
      <c r="AM3919" s="12"/>
      <c r="AN3919" s="18"/>
      <c r="AO3919" s="18"/>
      <c r="AP3919" s="10"/>
      <c r="AQ3919" s="10"/>
      <c r="AR3919" s="19"/>
      <c r="AS3919" s="20"/>
      <c r="AT3919" s="19"/>
      <c r="AV3919" s="21">
        <f>IF(AND($AL3919&lt;&gt;"",COUNTIF($AL$11:$AL3919,$AL3919)=1),1,0)</f>
        <v>0</v>
      </c>
      <c r="AW3919" s="21">
        <f t="shared" si="209"/>
        <v>2</v>
      </c>
      <c r="AX3919" s="21" t="str">
        <f t="shared" si="208"/>
        <v/>
      </c>
      <c r="AY3919" s="21" t="str">
        <f>IF(AND($AM3919&lt;&gt;"",$AS3919&lt;&gt;"✓"),SUMPRODUCT(($AM$11:$AM3919&lt;&gt;"")*($AS$11:$AS3919&lt;&gt;"✓")),"")</f>
        <v/>
      </c>
      <c r="AZ3919" s="21" t="str">
        <f>IF(AND($AM3919&lt;&gt;"",$AS3919="✓"),SUMPRODUCT(($AM$11:$AM3919&lt;&gt;"")*($AS$11:$AS3919="✓")),"")</f>
        <v/>
      </c>
      <c r="BA3919" s="21" t="str">
        <f>IF($AL3919="","",$AL3919&amp;"|"&amp;COUNTIF($AL$11:$AL3919,$AL3919))</f>
        <v/>
      </c>
    </row>
    <row r="3920" spans="38:53" ht="15" customHeight="1" x14ac:dyDescent="0.25">
      <c r="AL3920" s="31"/>
      <c r="AM3920" s="26"/>
      <c r="AN3920" s="32"/>
      <c r="AO3920" s="32"/>
      <c r="AP3920" s="24"/>
      <c r="AQ3920" s="24"/>
      <c r="AR3920" s="33"/>
      <c r="AS3920" s="34"/>
      <c r="AT3920" s="33"/>
      <c r="AV3920" s="21">
        <f>IF(AND($AL3920&lt;&gt;"",COUNTIF($AL$11:$AL3920,$AL3920)=1),1,0)</f>
        <v>0</v>
      </c>
      <c r="AW3920" s="21">
        <f t="shared" si="209"/>
        <v>2</v>
      </c>
      <c r="AX3920" s="21" t="str">
        <f t="shared" si="208"/>
        <v/>
      </c>
      <c r="AY3920" s="21" t="str">
        <f>IF(AND($AM3920&lt;&gt;"",$AS3920&lt;&gt;"✓"),SUMPRODUCT(($AM$11:$AM3920&lt;&gt;"")*($AS$11:$AS3920&lt;&gt;"✓")),"")</f>
        <v/>
      </c>
      <c r="AZ3920" s="21" t="str">
        <f>IF(AND($AM3920&lt;&gt;"",$AS3920="✓"),SUMPRODUCT(($AM$11:$AM3920&lt;&gt;"")*($AS$11:$AS3920="✓")),"")</f>
        <v/>
      </c>
      <c r="BA3920" s="21" t="str">
        <f>IF($AL3920="","",$AL3920&amp;"|"&amp;COUNTIF($AL$11:$AL3920,$AL3920))</f>
        <v/>
      </c>
    </row>
    <row r="3921" spans="38:53" ht="15" customHeight="1" x14ac:dyDescent="0.25">
      <c r="AL3921" s="17"/>
      <c r="AM3921" s="12"/>
      <c r="AN3921" s="18"/>
      <c r="AO3921" s="18"/>
      <c r="AP3921" s="10"/>
      <c r="AQ3921" s="10"/>
      <c r="AR3921" s="19"/>
      <c r="AS3921" s="20"/>
      <c r="AT3921" s="19"/>
      <c r="AV3921" s="21">
        <f>IF(AND($AL3921&lt;&gt;"",COUNTIF($AL$11:$AL3921,$AL3921)=1),1,0)</f>
        <v>0</v>
      </c>
      <c r="AW3921" s="21">
        <f t="shared" si="209"/>
        <v>2</v>
      </c>
      <c r="AX3921" s="21" t="str">
        <f t="shared" si="208"/>
        <v/>
      </c>
      <c r="AY3921" s="21" t="str">
        <f>IF(AND($AM3921&lt;&gt;"",$AS3921&lt;&gt;"✓"),SUMPRODUCT(($AM$11:$AM3921&lt;&gt;"")*($AS$11:$AS3921&lt;&gt;"✓")),"")</f>
        <v/>
      </c>
      <c r="AZ3921" s="21" t="str">
        <f>IF(AND($AM3921&lt;&gt;"",$AS3921="✓"),SUMPRODUCT(($AM$11:$AM3921&lt;&gt;"")*($AS$11:$AS3921="✓")),"")</f>
        <v/>
      </c>
      <c r="BA3921" s="21" t="str">
        <f>IF($AL3921="","",$AL3921&amp;"|"&amp;COUNTIF($AL$11:$AL3921,$AL3921))</f>
        <v/>
      </c>
    </row>
    <row r="3922" spans="38:53" ht="15" customHeight="1" x14ac:dyDescent="0.25">
      <c r="AL3922" s="31"/>
      <c r="AM3922" s="26"/>
      <c r="AN3922" s="32"/>
      <c r="AO3922" s="32"/>
      <c r="AP3922" s="24"/>
      <c r="AQ3922" s="24"/>
      <c r="AR3922" s="33"/>
      <c r="AS3922" s="34"/>
      <c r="AT3922" s="33"/>
      <c r="AV3922" s="21">
        <f>IF(AND($AL3922&lt;&gt;"",COUNTIF($AL$11:$AL3922,$AL3922)=1),1,0)</f>
        <v>0</v>
      </c>
      <c r="AW3922" s="21">
        <f t="shared" si="209"/>
        <v>2</v>
      </c>
      <c r="AX3922" s="21" t="str">
        <f t="shared" si="208"/>
        <v/>
      </c>
      <c r="AY3922" s="21" t="str">
        <f>IF(AND($AM3922&lt;&gt;"",$AS3922&lt;&gt;"✓"),SUMPRODUCT(($AM$11:$AM3922&lt;&gt;"")*($AS$11:$AS3922&lt;&gt;"✓")),"")</f>
        <v/>
      </c>
      <c r="AZ3922" s="21" t="str">
        <f>IF(AND($AM3922&lt;&gt;"",$AS3922="✓"),SUMPRODUCT(($AM$11:$AM3922&lt;&gt;"")*($AS$11:$AS3922="✓")),"")</f>
        <v/>
      </c>
      <c r="BA3922" s="21" t="str">
        <f>IF($AL3922="","",$AL3922&amp;"|"&amp;COUNTIF($AL$11:$AL3922,$AL3922))</f>
        <v/>
      </c>
    </row>
    <row r="3923" spans="38:53" ht="15" customHeight="1" x14ac:dyDescent="0.25">
      <c r="AL3923" s="17"/>
      <c r="AM3923" s="12"/>
      <c r="AN3923" s="18"/>
      <c r="AO3923" s="18"/>
      <c r="AP3923" s="10"/>
      <c r="AQ3923" s="10"/>
      <c r="AR3923" s="19"/>
      <c r="AS3923" s="20"/>
      <c r="AT3923" s="19"/>
      <c r="AV3923" s="21">
        <f>IF(AND($AL3923&lt;&gt;"",COUNTIF($AL$11:$AL3923,$AL3923)=1),1,0)</f>
        <v>0</v>
      </c>
      <c r="AW3923" s="21">
        <f t="shared" si="209"/>
        <v>2</v>
      </c>
      <c r="AX3923" s="21" t="str">
        <f t="shared" si="208"/>
        <v/>
      </c>
      <c r="AY3923" s="21" t="str">
        <f>IF(AND($AM3923&lt;&gt;"",$AS3923&lt;&gt;"✓"),SUMPRODUCT(($AM$11:$AM3923&lt;&gt;"")*($AS$11:$AS3923&lt;&gt;"✓")),"")</f>
        <v/>
      </c>
      <c r="AZ3923" s="21" t="str">
        <f>IF(AND($AM3923&lt;&gt;"",$AS3923="✓"),SUMPRODUCT(($AM$11:$AM3923&lt;&gt;"")*($AS$11:$AS3923="✓")),"")</f>
        <v/>
      </c>
      <c r="BA3923" s="21" t="str">
        <f>IF($AL3923="","",$AL3923&amp;"|"&amp;COUNTIF($AL$11:$AL3923,$AL3923))</f>
        <v/>
      </c>
    </row>
    <row r="3924" spans="38:53" ht="15" customHeight="1" x14ac:dyDescent="0.25">
      <c r="AL3924" s="31"/>
      <c r="AM3924" s="26"/>
      <c r="AN3924" s="32"/>
      <c r="AO3924" s="32"/>
      <c r="AP3924" s="24"/>
      <c r="AQ3924" s="24"/>
      <c r="AR3924" s="33"/>
      <c r="AS3924" s="34"/>
      <c r="AT3924" s="33"/>
      <c r="AV3924" s="21">
        <f>IF(AND($AL3924&lt;&gt;"",COUNTIF($AL$11:$AL3924,$AL3924)=1),1,0)</f>
        <v>0</v>
      </c>
      <c r="AW3924" s="21">
        <f t="shared" si="209"/>
        <v>2</v>
      </c>
      <c r="AX3924" s="21" t="str">
        <f t="shared" si="208"/>
        <v/>
      </c>
      <c r="AY3924" s="21" t="str">
        <f>IF(AND($AM3924&lt;&gt;"",$AS3924&lt;&gt;"✓"),SUMPRODUCT(($AM$11:$AM3924&lt;&gt;"")*($AS$11:$AS3924&lt;&gt;"✓")),"")</f>
        <v/>
      </c>
      <c r="AZ3924" s="21" t="str">
        <f>IF(AND($AM3924&lt;&gt;"",$AS3924="✓"),SUMPRODUCT(($AM$11:$AM3924&lt;&gt;"")*($AS$11:$AS3924="✓")),"")</f>
        <v/>
      </c>
      <c r="BA3924" s="21" t="str">
        <f>IF($AL3924="","",$AL3924&amp;"|"&amp;COUNTIF($AL$11:$AL3924,$AL3924))</f>
        <v/>
      </c>
    </row>
    <row r="3925" spans="38:53" ht="15" customHeight="1" x14ac:dyDescent="0.25">
      <c r="AL3925" s="17"/>
      <c r="AM3925" s="12"/>
      <c r="AN3925" s="18"/>
      <c r="AO3925" s="18"/>
      <c r="AP3925" s="10"/>
      <c r="AQ3925" s="10"/>
      <c r="AR3925" s="19"/>
      <c r="AS3925" s="20"/>
      <c r="AT3925" s="19"/>
      <c r="AV3925" s="21">
        <f>IF(AND($AL3925&lt;&gt;"",COUNTIF($AL$11:$AL3925,$AL3925)=1),1,0)</f>
        <v>0</v>
      </c>
      <c r="AW3925" s="21">
        <f t="shared" si="209"/>
        <v>2</v>
      </c>
      <c r="AX3925" s="21" t="str">
        <f t="shared" si="208"/>
        <v/>
      </c>
      <c r="AY3925" s="21" t="str">
        <f>IF(AND($AM3925&lt;&gt;"",$AS3925&lt;&gt;"✓"),SUMPRODUCT(($AM$11:$AM3925&lt;&gt;"")*($AS$11:$AS3925&lt;&gt;"✓")),"")</f>
        <v/>
      </c>
      <c r="AZ3925" s="21" t="str">
        <f>IF(AND($AM3925&lt;&gt;"",$AS3925="✓"),SUMPRODUCT(($AM$11:$AM3925&lt;&gt;"")*($AS$11:$AS3925="✓")),"")</f>
        <v/>
      </c>
      <c r="BA3925" s="21" t="str">
        <f>IF($AL3925="","",$AL3925&amp;"|"&amp;COUNTIF($AL$11:$AL3925,$AL3925))</f>
        <v/>
      </c>
    </row>
    <row r="3926" spans="38:53" ht="15" customHeight="1" x14ac:dyDescent="0.25">
      <c r="AL3926" s="31"/>
      <c r="AM3926" s="26"/>
      <c r="AN3926" s="32"/>
      <c r="AO3926" s="32"/>
      <c r="AP3926" s="24"/>
      <c r="AQ3926" s="24"/>
      <c r="AR3926" s="33"/>
      <c r="AS3926" s="34"/>
      <c r="AT3926" s="33"/>
      <c r="AV3926" s="21">
        <f>IF(AND($AL3926&lt;&gt;"",COUNTIF($AL$11:$AL3926,$AL3926)=1),1,0)</f>
        <v>0</v>
      </c>
      <c r="AW3926" s="21">
        <f t="shared" si="209"/>
        <v>2</v>
      </c>
      <c r="AX3926" s="21" t="str">
        <f t="shared" si="208"/>
        <v/>
      </c>
      <c r="AY3926" s="21" t="str">
        <f>IF(AND($AM3926&lt;&gt;"",$AS3926&lt;&gt;"✓"),SUMPRODUCT(($AM$11:$AM3926&lt;&gt;"")*($AS$11:$AS3926&lt;&gt;"✓")),"")</f>
        <v/>
      </c>
      <c r="AZ3926" s="21" t="str">
        <f>IF(AND($AM3926&lt;&gt;"",$AS3926="✓"),SUMPRODUCT(($AM$11:$AM3926&lt;&gt;"")*($AS$11:$AS3926="✓")),"")</f>
        <v/>
      </c>
      <c r="BA3926" s="21" t="str">
        <f>IF($AL3926="","",$AL3926&amp;"|"&amp;COUNTIF($AL$11:$AL3926,$AL3926))</f>
        <v/>
      </c>
    </row>
    <row r="3927" spans="38:53" ht="15" customHeight="1" x14ac:dyDescent="0.25">
      <c r="AL3927" s="17"/>
      <c r="AM3927" s="12"/>
      <c r="AN3927" s="18"/>
      <c r="AO3927" s="18"/>
      <c r="AP3927" s="10"/>
      <c r="AQ3927" s="10"/>
      <c r="AR3927" s="19"/>
      <c r="AS3927" s="20"/>
      <c r="AT3927" s="19"/>
      <c r="AV3927" s="21">
        <f>IF(AND($AL3927&lt;&gt;"",COUNTIF($AL$11:$AL3927,$AL3927)=1),1,0)</f>
        <v>0</v>
      </c>
      <c r="AW3927" s="21">
        <f t="shared" si="209"/>
        <v>2</v>
      </c>
      <c r="AX3927" s="21" t="str">
        <f t="shared" si="208"/>
        <v/>
      </c>
      <c r="AY3927" s="21" t="str">
        <f>IF(AND($AM3927&lt;&gt;"",$AS3927&lt;&gt;"✓"),SUMPRODUCT(($AM$11:$AM3927&lt;&gt;"")*($AS$11:$AS3927&lt;&gt;"✓")),"")</f>
        <v/>
      </c>
      <c r="AZ3927" s="21" t="str">
        <f>IF(AND($AM3927&lt;&gt;"",$AS3927="✓"),SUMPRODUCT(($AM$11:$AM3927&lt;&gt;"")*($AS$11:$AS3927="✓")),"")</f>
        <v/>
      </c>
      <c r="BA3927" s="21" t="str">
        <f>IF($AL3927="","",$AL3927&amp;"|"&amp;COUNTIF($AL$11:$AL3927,$AL3927))</f>
        <v/>
      </c>
    </row>
    <row r="3928" spans="38:53" ht="15" customHeight="1" x14ac:dyDescent="0.25">
      <c r="AL3928" s="31"/>
      <c r="AM3928" s="26"/>
      <c r="AN3928" s="32"/>
      <c r="AO3928" s="32"/>
      <c r="AP3928" s="24"/>
      <c r="AQ3928" s="24"/>
      <c r="AR3928" s="33"/>
      <c r="AS3928" s="34"/>
      <c r="AT3928" s="33"/>
      <c r="AV3928" s="21">
        <f>IF(AND($AL3928&lt;&gt;"",COUNTIF($AL$11:$AL3928,$AL3928)=1),1,0)</f>
        <v>0</v>
      </c>
      <c r="AW3928" s="21">
        <f t="shared" si="209"/>
        <v>2</v>
      </c>
      <c r="AX3928" s="21" t="str">
        <f t="shared" si="208"/>
        <v/>
      </c>
      <c r="AY3928" s="21" t="str">
        <f>IF(AND($AM3928&lt;&gt;"",$AS3928&lt;&gt;"✓"),SUMPRODUCT(($AM$11:$AM3928&lt;&gt;"")*($AS$11:$AS3928&lt;&gt;"✓")),"")</f>
        <v/>
      </c>
      <c r="AZ3928" s="21" t="str">
        <f>IF(AND($AM3928&lt;&gt;"",$AS3928="✓"),SUMPRODUCT(($AM$11:$AM3928&lt;&gt;"")*($AS$11:$AS3928="✓")),"")</f>
        <v/>
      </c>
      <c r="BA3928" s="21" t="str">
        <f>IF($AL3928="","",$AL3928&amp;"|"&amp;COUNTIF($AL$11:$AL3928,$AL3928))</f>
        <v/>
      </c>
    </row>
    <row r="3929" spans="38:53" ht="15" customHeight="1" x14ac:dyDescent="0.25">
      <c r="AL3929" s="17"/>
      <c r="AM3929" s="12"/>
      <c r="AN3929" s="18"/>
      <c r="AO3929" s="18"/>
      <c r="AP3929" s="10"/>
      <c r="AQ3929" s="10"/>
      <c r="AR3929" s="19"/>
      <c r="AS3929" s="20"/>
      <c r="AT3929" s="19"/>
      <c r="AV3929" s="21">
        <f>IF(AND($AL3929&lt;&gt;"",COUNTIF($AL$11:$AL3929,$AL3929)=1),1,0)</f>
        <v>0</v>
      </c>
      <c r="AW3929" s="21">
        <f t="shared" si="209"/>
        <v>2</v>
      </c>
      <c r="AX3929" s="21" t="str">
        <f t="shared" si="208"/>
        <v/>
      </c>
      <c r="AY3929" s="21" t="str">
        <f>IF(AND($AM3929&lt;&gt;"",$AS3929&lt;&gt;"✓"),SUMPRODUCT(($AM$11:$AM3929&lt;&gt;"")*($AS$11:$AS3929&lt;&gt;"✓")),"")</f>
        <v/>
      </c>
      <c r="AZ3929" s="21" t="str">
        <f>IF(AND($AM3929&lt;&gt;"",$AS3929="✓"),SUMPRODUCT(($AM$11:$AM3929&lt;&gt;"")*($AS$11:$AS3929="✓")),"")</f>
        <v/>
      </c>
      <c r="BA3929" s="21" t="str">
        <f>IF($AL3929="","",$AL3929&amp;"|"&amp;COUNTIF($AL$11:$AL3929,$AL3929))</f>
        <v/>
      </c>
    </row>
    <row r="3930" spans="38:53" ht="15" customHeight="1" x14ac:dyDescent="0.25">
      <c r="AL3930" s="31"/>
      <c r="AM3930" s="26"/>
      <c r="AN3930" s="32"/>
      <c r="AO3930" s="32"/>
      <c r="AP3930" s="24"/>
      <c r="AQ3930" s="24"/>
      <c r="AR3930" s="33"/>
      <c r="AS3930" s="34"/>
      <c r="AT3930" s="33"/>
      <c r="AV3930" s="21">
        <f>IF(AND($AL3930&lt;&gt;"",COUNTIF($AL$11:$AL3930,$AL3930)=1),1,0)</f>
        <v>0</v>
      </c>
      <c r="AW3930" s="21">
        <f t="shared" si="209"/>
        <v>2</v>
      </c>
      <c r="AX3930" s="21" t="str">
        <f t="shared" si="208"/>
        <v/>
      </c>
      <c r="AY3930" s="21" t="str">
        <f>IF(AND($AM3930&lt;&gt;"",$AS3930&lt;&gt;"✓"),SUMPRODUCT(($AM$11:$AM3930&lt;&gt;"")*($AS$11:$AS3930&lt;&gt;"✓")),"")</f>
        <v/>
      </c>
      <c r="AZ3930" s="21" t="str">
        <f>IF(AND($AM3930&lt;&gt;"",$AS3930="✓"),SUMPRODUCT(($AM$11:$AM3930&lt;&gt;"")*($AS$11:$AS3930="✓")),"")</f>
        <v/>
      </c>
      <c r="BA3930" s="21" t="str">
        <f>IF($AL3930="","",$AL3930&amp;"|"&amp;COUNTIF($AL$11:$AL3930,$AL3930))</f>
        <v/>
      </c>
    </row>
    <row r="3931" spans="38:53" ht="15" customHeight="1" x14ac:dyDescent="0.25">
      <c r="AL3931" s="17"/>
      <c r="AM3931" s="12"/>
      <c r="AN3931" s="18"/>
      <c r="AO3931" s="18"/>
      <c r="AP3931" s="10"/>
      <c r="AQ3931" s="10"/>
      <c r="AR3931" s="19"/>
      <c r="AS3931" s="20"/>
      <c r="AT3931" s="19"/>
      <c r="AV3931" s="21">
        <f>IF(AND($AL3931&lt;&gt;"",COUNTIF($AL$11:$AL3931,$AL3931)=1),1,0)</f>
        <v>0</v>
      </c>
      <c r="AW3931" s="21">
        <f t="shared" si="209"/>
        <v>2</v>
      </c>
      <c r="AX3931" s="21" t="str">
        <f t="shared" si="208"/>
        <v/>
      </c>
      <c r="AY3931" s="21" t="str">
        <f>IF(AND($AM3931&lt;&gt;"",$AS3931&lt;&gt;"✓"),SUMPRODUCT(($AM$11:$AM3931&lt;&gt;"")*($AS$11:$AS3931&lt;&gt;"✓")),"")</f>
        <v/>
      </c>
      <c r="AZ3931" s="21" t="str">
        <f>IF(AND($AM3931&lt;&gt;"",$AS3931="✓"),SUMPRODUCT(($AM$11:$AM3931&lt;&gt;"")*($AS$11:$AS3931="✓")),"")</f>
        <v/>
      </c>
      <c r="BA3931" s="21" t="str">
        <f>IF($AL3931="","",$AL3931&amp;"|"&amp;COUNTIF($AL$11:$AL3931,$AL3931))</f>
        <v/>
      </c>
    </row>
    <row r="3932" spans="38:53" ht="15" customHeight="1" x14ac:dyDescent="0.25">
      <c r="AL3932" s="31"/>
      <c r="AM3932" s="26"/>
      <c r="AN3932" s="32"/>
      <c r="AO3932" s="32"/>
      <c r="AP3932" s="24"/>
      <c r="AQ3932" s="24"/>
      <c r="AR3932" s="33"/>
      <c r="AS3932" s="34"/>
      <c r="AT3932" s="33"/>
      <c r="AV3932" s="21">
        <f>IF(AND($AL3932&lt;&gt;"",COUNTIF($AL$11:$AL3932,$AL3932)=1),1,0)</f>
        <v>0</v>
      </c>
      <c r="AW3932" s="21">
        <f t="shared" si="209"/>
        <v>2</v>
      </c>
      <c r="AX3932" s="21" t="str">
        <f t="shared" si="208"/>
        <v/>
      </c>
      <c r="AY3932" s="21" t="str">
        <f>IF(AND($AM3932&lt;&gt;"",$AS3932&lt;&gt;"✓"),SUMPRODUCT(($AM$11:$AM3932&lt;&gt;"")*($AS$11:$AS3932&lt;&gt;"✓")),"")</f>
        <v/>
      </c>
      <c r="AZ3932" s="21" t="str">
        <f>IF(AND($AM3932&lt;&gt;"",$AS3932="✓"),SUMPRODUCT(($AM$11:$AM3932&lt;&gt;"")*($AS$11:$AS3932="✓")),"")</f>
        <v/>
      </c>
      <c r="BA3932" s="21" t="str">
        <f>IF($AL3932="","",$AL3932&amp;"|"&amp;COUNTIF($AL$11:$AL3932,$AL3932))</f>
        <v/>
      </c>
    </row>
    <row r="3933" spans="38:53" ht="15" customHeight="1" x14ac:dyDescent="0.25">
      <c r="AL3933" s="17"/>
      <c r="AM3933" s="12"/>
      <c r="AN3933" s="18"/>
      <c r="AO3933" s="18"/>
      <c r="AP3933" s="10"/>
      <c r="AQ3933" s="10"/>
      <c r="AR3933" s="19"/>
      <c r="AS3933" s="20"/>
      <c r="AT3933" s="19"/>
      <c r="AV3933" s="21">
        <f>IF(AND($AL3933&lt;&gt;"",COUNTIF($AL$11:$AL3933,$AL3933)=1),1,0)</f>
        <v>0</v>
      </c>
      <c r="AW3933" s="21">
        <f t="shared" si="209"/>
        <v>2</v>
      </c>
      <c r="AX3933" s="21" t="str">
        <f t="shared" si="208"/>
        <v/>
      </c>
      <c r="AY3933" s="21" t="str">
        <f>IF(AND($AM3933&lt;&gt;"",$AS3933&lt;&gt;"✓"),SUMPRODUCT(($AM$11:$AM3933&lt;&gt;"")*($AS$11:$AS3933&lt;&gt;"✓")),"")</f>
        <v/>
      </c>
      <c r="AZ3933" s="21" t="str">
        <f>IF(AND($AM3933&lt;&gt;"",$AS3933="✓"),SUMPRODUCT(($AM$11:$AM3933&lt;&gt;"")*($AS$11:$AS3933="✓")),"")</f>
        <v/>
      </c>
      <c r="BA3933" s="21" t="str">
        <f>IF($AL3933="","",$AL3933&amp;"|"&amp;COUNTIF($AL$11:$AL3933,$AL3933))</f>
        <v/>
      </c>
    </row>
    <row r="3934" spans="38:53" ht="15" customHeight="1" x14ac:dyDescent="0.25">
      <c r="AL3934" s="31"/>
      <c r="AM3934" s="26"/>
      <c r="AN3934" s="32"/>
      <c r="AO3934" s="32"/>
      <c r="AP3934" s="24"/>
      <c r="AQ3934" s="24"/>
      <c r="AR3934" s="33"/>
      <c r="AS3934" s="34"/>
      <c r="AT3934" s="33"/>
      <c r="AV3934" s="21">
        <f>IF(AND($AL3934&lt;&gt;"",COUNTIF($AL$11:$AL3934,$AL3934)=1),1,0)</f>
        <v>0</v>
      </c>
      <c r="AW3934" s="21">
        <f t="shared" si="209"/>
        <v>2</v>
      </c>
      <c r="AX3934" s="21" t="str">
        <f t="shared" si="208"/>
        <v/>
      </c>
      <c r="AY3934" s="21" t="str">
        <f>IF(AND($AM3934&lt;&gt;"",$AS3934&lt;&gt;"✓"),SUMPRODUCT(($AM$11:$AM3934&lt;&gt;"")*($AS$11:$AS3934&lt;&gt;"✓")),"")</f>
        <v/>
      </c>
      <c r="AZ3934" s="21" t="str">
        <f>IF(AND($AM3934&lt;&gt;"",$AS3934="✓"),SUMPRODUCT(($AM$11:$AM3934&lt;&gt;"")*($AS$11:$AS3934="✓")),"")</f>
        <v/>
      </c>
      <c r="BA3934" s="21" t="str">
        <f>IF($AL3934="","",$AL3934&amp;"|"&amp;COUNTIF($AL$11:$AL3934,$AL3934))</f>
        <v/>
      </c>
    </row>
    <row r="3935" spans="38:53" ht="15" customHeight="1" x14ac:dyDescent="0.25">
      <c r="AL3935" s="17"/>
      <c r="AM3935" s="12"/>
      <c r="AN3935" s="18"/>
      <c r="AO3935" s="18"/>
      <c r="AP3935" s="10"/>
      <c r="AQ3935" s="10"/>
      <c r="AR3935" s="19"/>
      <c r="AS3935" s="20"/>
      <c r="AT3935" s="19"/>
      <c r="AV3935" s="21">
        <f>IF(AND($AL3935&lt;&gt;"",COUNTIF($AL$11:$AL3935,$AL3935)=1),1,0)</f>
        <v>0</v>
      </c>
      <c r="AW3935" s="21">
        <f t="shared" si="209"/>
        <v>2</v>
      </c>
      <c r="AX3935" s="21" t="str">
        <f t="shared" si="208"/>
        <v/>
      </c>
      <c r="AY3935" s="21" t="str">
        <f>IF(AND($AM3935&lt;&gt;"",$AS3935&lt;&gt;"✓"),SUMPRODUCT(($AM$11:$AM3935&lt;&gt;"")*($AS$11:$AS3935&lt;&gt;"✓")),"")</f>
        <v/>
      </c>
      <c r="AZ3935" s="21" t="str">
        <f>IF(AND($AM3935&lt;&gt;"",$AS3935="✓"),SUMPRODUCT(($AM$11:$AM3935&lt;&gt;"")*($AS$11:$AS3935="✓")),"")</f>
        <v/>
      </c>
      <c r="BA3935" s="21" t="str">
        <f>IF($AL3935="","",$AL3935&amp;"|"&amp;COUNTIF($AL$11:$AL3935,$AL3935))</f>
        <v/>
      </c>
    </row>
    <row r="3936" spans="38:53" ht="15" customHeight="1" x14ac:dyDescent="0.25">
      <c r="AL3936" s="31"/>
      <c r="AM3936" s="26"/>
      <c r="AN3936" s="32"/>
      <c r="AO3936" s="32"/>
      <c r="AP3936" s="24"/>
      <c r="AQ3936" s="24"/>
      <c r="AR3936" s="33"/>
      <c r="AS3936" s="34"/>
      <c r="AT3936" s="33"/>
      <c r="AV3936" s="21">
        <f>IF(AND($AL3936&lt;&gt;"",COUNTIF($AL$11:$AL3936,$AL3936)=1),1,0)</f>
        <v>0</v>
      </c>
      <c r="AW3936" s="21">
        <f t="shared" si="209"/>
        <v>2</v>
      </c>
      <c r="AX3936" s="21" t="str">
        <f t="shared" si="208"/>
        <v/>
      </c>
      <c r="AY3936" s="21" t="str">
        <f>IF(AND($AM3936&lt;&gt;"",$AS3936&lt;&gt;"✓"),SUMPRODUCT(($AM$11:$AM3936&lt;&gt;"")*($AS$11:$AS3936&lt;&gt;"✓")),"")</f>
        <v/>
      </c>
      <c r="AZ3936" s="21" t="str">
        <f>IF(AND($AM3936&lt;&gt;"",$AS3936="✓"),SUMPRODUCT(($AM$11:$AM3936&lt;&gt;"")*($AS$11:$AS3936="✓")),"")</f>
        <v/>
      </c>
      <c r="BA3936" s="21" t="str">
        <f>IF($AL3936="","",$AL3936&amp;"|"&amp;COUNTIF($AL$11:$AL3936,$AL3936))</f>
        <v/>
      </c>
    </row>
    <row r="3937" spans="38:53" ht="15" customHeight="1" x14ac:dyDescent="0.25">
      <c r="AL3937" s="17"/>
      <c r="AM3937" s="12"/>
      <c r="AN3937" s="18"/>
      <c r="AO3937" s="18"/>
      <c r="AP3937" s="10"/>
      <c r="AQ3937" s="10"/>
      <c r="AR3937" s="19"/>
      <c r="AS3937" s="20"/>
      <c r="AT3937" s="19"/>
      <c r="AV3937" s="21">
        <f>IF(AND($AL3937&lt;&gt;"",COUNTIF($AL$11:$AL3937,$AL3937)=1),1,0)</f>
        <v>0</v>
      </c>
      <c r="AW3937" s="21">
        <f t="shared" si="209"/>
        <v>2</v>
      </c>
      <c r="AX3937" s="21" t="str">
        <f t="shared" si="208"/>
        <v/>
      </c>
      <c r="AY3937" s="21" t="str">
        <f>IF(AND($AM3937&lt;&gt;"",$AS3937&lt;&gt;"✓"),SUMPRODUCT(($AM$11:$AM3937&lt;&gt;"")*($AS$11:$AS3937&lt;&gt;"✓")),"")</f>
        <v/>
      </c>
      <c r="AZ3937" s="21" t="str">
        <f>IF(AND($AM3937&lt;&gt;"",$AS3937="✓"),SUMPRODUCT(($AM$11:$AM3937&lt;&gt;"")*($AS$11:$AS3937="✓")),"")</f>
        <v/>
      </c>
      <c r="BA3937" s="21" t="str">
        <f>IF($AL3937="","",$AL3937&amp;"|"&amp;COUNTIF($AL$11:$AL3937,$AL3937))</f>
        <v/>
      </c>
    </row>
    <row r="3938" spans="38:53" ht="15" customHeight="1" x14ac:dyDescent="0.25">
      <c r="AL3938" s="31"/>
      <c r="AM3938" s="26"/>
      <c r="AN3938" s="32"/>
      <c r="AO3938" s="32"/>
      <c r="AP3938" s="24"/>
      <c r="AQ3938" s="24"/>
      <c r="AR3938" s="33"/>
      <c r="AS3938" s="34"/>
      <c r="AT3938" s="33"/>
      <c r="AV3938" s="21">
        <f>IF(AND($AL3938&lt;&gt;"",COUNTIF($AL$11:$AL3938,$AL3938)=1),1,0)</f>
        <v>0</v>
      </c>
      <c r="AW3938" s="21">
        <f t="shared" si="209"/>
        <v>2</v>
      </c>
      <c r="AX3938" s="21" t="str">
        <f t="shared" si="208"/>
        <v/>
      </c>
      <c r="AY3938" s="21" t="str">
        <f>IF(AND($AM3938&lt;&gt;"",$AS3938&lt;&gt;"✓"),SUMPRODUCT(($AM$11:$AM3938&lt;&gt;"")*($AS$11:$AS3938&lt;&gt;"✓")),"")</f>
        <v/>
      </c>
      <c r="AZ3938" s="21" t="str">
        <f>IF(AND($AM3938&lt;&gt;"",$AS3938="✓"),SUMPRODUCT(($AM$11:$AM3938&lt;&gt;"")*($AS$11:$AS3938="✓")),"")</f>
        <v/>
      </c>
      <c r="BA3938" s="21" t="str">
        <f>IF($AL3938="","",$AL3938&amp;"|"&amp;COUNTIF($AL$11:$AL3938,$AL3938))</f>
        <v/>
      </c>
    </row>
    <row r="3939" spans="38:53" ht="15" customHeight="1" x14ac:dyDescent="0.25">
      <c r="AL3939" s="17"/>
      <c r="AM3939" s="12"/>
      <c r="AN3939" s="18"/>
      <c r="AO3939" s="18"/>
      <c r="AP3939" s="10"/>
      <c r="AQ3939" s="10"/>
      <c r="AR3939" s="19"/>
      <c r="AS3939" s="20"/>
      <c r="AT3939" s="19"/>
      <c r="AV3939" s="21">
        <f>IF(AND($AL3939&lt;&gt;"",COUNTIF($AL$11:$AL3939,$AL3939)=1),1,0)</f>
        <v>0</v>
      </c>
      <c r="AW3939" s="21">
        <f t="shared" si="209"/>
        <v>2</v>
      </c>
      <c r="AX3939" s="21" t="str">
        <f t="shared" si="208"/>
        <v/>
      </c>
      <c r="AY3939" s="21" t="str">
        <f>IF(AND($AM3939&lt;&gt;"",$AS3939&lt;&gt;"✓"),SUMPRODUCT(($AM$11:$AM3939&lt;&gt;"")*($AS$11:$AS3939&lt;&gt;"✓")),"")</f>
        <v/>
      </c>
      <c r="AZ3939" s="21" t="str">
        <f>IF(AND($AM3939&lt;&gt;"",$AS3939="✓"),SUMPRODUCT(($AM$11:$AM3939&lt;&gt;"")*($AS$11:$AS3939="✓")),"")</f>
        <v/>
      </c>
      <c r="BA3939" s="21" t="str">
        <f>IF($AL3939="","",$AL3939&amp;"|"&amp;COUNTIF($AL$11:$AL3939,$AL3939))</f>
        <v/>
      </c>
    </row>
    <row r="3940" spans="38:53" ht="15" customHeight="1" x14ac:dyDescent="0.25">
      <c r="AL3940" s="31"/>
      <c r="AM3940" s="26"/>
      <c r="AN3940" s="32"/>
      <c r="AO3940" s="32"/>
      <c r="AP3940" s="24"/>
      <c r="AQ3940" s="24"/>
      <c r="AR3940" s="33"/>
      <c r="AS3940" s="34"/>
      <c r="AT3940" s="33"/>
      <c r="AV3940" s="21">
        <f>IF(AND($AL3940&lt;&gt;"",COUNTIF($AL$11:$AL3940,$AL3940)=1),1,0)</f>
        <v>0</v>
      </c>
      <c r="AW3940" s="21">
        <f t="shared" si="209"/>
        <v>2</v>
      </c>
      <c r="AX3940" s="21" t="str">
        <f t="shared" si="208"/>
        <v/>
      </c>
      <c r="AY3940" s="21" t="str">
        <f>IF(AND($AM3940&lt;&gt;"",$AS3940&lt;&gt;"✓"),SUMPRODUCT(($AM$11:$AM3940&lt;&gt;"")*($AS$11:$AS3940&lt;&gt;"✓")),"")</f>
        <v/>
      </c>
      <c r="AZ3940" s="21" t="str">
        <f>IF(AND($AM3940&lt;&gt;"",$AS3940="✓"),SUMPRODUCT(($AM$11:$AM3940&lt;&gt;"")*($AS$11:$AS3940="✓")),"")</f>
        <v/>
      </c>
      <c r="BA3940" s="21" t="str">
        <f>IF($AL3940="","",$AL3940&amp;"|"&amp;COUNTIF($AL$11:$AL3940,$AL3940))</f>
        <v/>
      </c>
    </row>
    <row r="3941" spans="38:53" ht="15" customHeight="1" x14ac:dyDescent="0.25">
      <c r="AL3941" s="17"/>
      <c r="AM3941" s="12"/>
      <c r="AN3941" s="18"/>
      <c r="AO3941" s="18"/>
      <c r="AP3941" s="10"/>
      <c r="AQ3941" s="10"/>
      <c r="AR3941" s="19"/>
      <c r="AS3941" s="20"/>
      <c r="AT3941" s="19"/>
      <c r="AV3941" s="21">
        <f>IF(AND($AL3941&lt;&gt;"",COUNTIF($AL$11:$AL3941,$AL3941)=1),1,0)</f>
        <v>0</v>
      </c>
      <c r="AW3941" s="21">
        <f t="shared" si="209"/>
        <v>2</v>
      </c>
      <c r="AX3941" s="21" t="str">
        <f t="shared" si="208"/>
        <v/>
      </c>
      <c r="AY3941" s="21" t="str">
        <f>IF(AND($AM3941&lt;&gt;"",$AS3941&lt;&gt;"✓"),SUMPRODUCT(($AM$11:$AM3941&lt;&gt;"")*($AS$11:$AS3941&lt;&gt;"✓")),"")</f>
        <v/>
      </c>
      <c r="AZ3941" s="21" t="str">
        <f>IF(AND($AM3941&lt;&gt;"",$AS3941="✓"),SUMPRODUCT(($AM$11:$AM3941&lt;&gt;"")*($AS$11:$AS3941="✓")),"")</f>
        <v/>
      </c>
      <c r="BA3941" s="21" t="str">
        <f>IF($AL3941="","",$AL3941&amp;"|"&amp;COUNTIF($AL$11:$AL3941,$AL3941))</f>
        <v/>
      </c>
    </row>
    <row r="3942" spans="38:53" ht="15" customHeight="1" x14ac:dyDescent="0.25">
      <c r="AL3942" s="31"/>
      <c r="AM3942" s="26"/>
      <c r="AN3942" s="32"/>
      <c r="AO3942" s="32"/>
      <c r="AP3942" s="24"/>
      <c r="AQ3942" s="24"/>
      <c r="AR3942" s="33"/>
      <c r="AS3942" s="34"/>
      <c r="AT3942" s="33"/>
      <c r="AV3942" s="21">
        <f>IF(AND($AL3942&lt;&gt;"",COUNTIF($AL$11:$AL3942,$AL3942)=1),1,0)</f>
        <v>0</v>
      </c>
      <c r="AW3942" s="21">
        <f t="shared" si="209"/>
        <v>2</v>
      </c>
      <c r="AX3942" s="21" t="str">
        <f t="shared" si="208"/>
        <v/>
      </c>
      <c r="AY3942" s="21" t="str">
        <f>IF(AND($AM3942&lt;&gt;"",$AS3942&lt;&gt;"✓"),SUMPRODUCT(($AM$11:$AM3942&lt;&gt;"")*($AS$11:$AS3942&lt;&gt;"✓")),"")</f>
        <v/>
      </c>
      <c r="AZ3942" s="21" t="str">
        <f>IF(AND($AM3942&lt;&gt;"",$AS3942="✓"),SUMPRODUCT(($AM$11:$AM3942&lt;&gt;"")*($AS$11:$AS3942="✓")),"")</f>
        <v/>
      </c>
      <c r="BA3942" s="21" t="str">
        <f>IF($AL3942="","",$AL3942&amp;"|"&amp;COUNTIF($AL$11:$AL3942,$AL3942))</f>
        <v/>
      </c>
    </row>
    <row r="3943" spans="38:53" ht="15" customHeight="1" x14ac:dyDescent="0.25">
      <c r="AL3943" s="17"/>
      <c r="AM3943" s="12"/>
      <c r="AN3943" s="18"/>
      <c r="AO3943" s="18"/>
      <c r="AP3943" s="10"/>
      <c r="AQ3943" s="10"/>
      <c r="AR3943" s="19"/>
      <c r="AS3943" s="20"/>
      <c r="AT3943" s="19"/>
      <c r="AV3943" s="21">
        <f>IF(AND($AL3943&lt;&gt;"",COUNTIF($AL$11:$AL3943,$AL3943)=1),1,0)</f>
        <v>0</v>
      </c>
      <c r="AW3943" s="21">
        <f t="shared" si="209"/>
        <v>2</v>
      </c>
      <c r="AX3943" s="21" t="str">
        <f t="shared" si="208"/>
        <v/>
      </c>
      <c r="AY3943" s="21" t="str">
        <f>IF(AND($AM3943&lt;&gt;"",$AS3943&lt;&gt;"✓"),SUMPRODUCT(($AM$11:$AM3943&lt;&gt;"")*($AS$11:$AS3943&lt;&gt;"✓")),"")</f>
        <v/>
      </c>
      <c r="AZ3943" s="21" t="str">
        <f>IF(AND($AM3943&lt;&gt;"",$AS3943="✓"),SUMPRODUCT(($AM$11:$AM3943&lt;&gt;"")*($AS$11:$AS3943="✓")),"")</f>
        <v/>
      </c>
      <c r="BA3943" s="21" t="str">
        <f>IF($AL3943="","",$AL3943&amp;"|"&amp;COUNTIF($AL$11:$AL3943,$AL3943))</f>
        <v/>
      </c>
    </row>
    <row r="3944" spans="38:53" ht="15" customHeight="1" x14ac:dyDescent="0.25">
      <c r="AL3944" s="31"/>
      <c r="AM3944" s="26"/>
      <c r="AN3944" s="32"/>
      <c r="AO3944" s="32"/>
      <c r="AP3944" s="24"/>
      <c r="AQ3944" s="24"/>
      <c r="AR3944" s="33"/>
      <c r="AS3944" s="34"/>
      <c r="AT3944" s="33"/>
      <c r="AV3944" s="21">
        <f>IF(AND($AL3944&lt;&gt;"",COUNTIF($AL$11:$AL3944,$AL3944)=1),1,0)</f>
        <v>0</v>
      </c>
      <c r="AW3944" s="21">
        <f t="shared" si="209"/>
        <v>2</v>
      </c>
      <c r="AX3944" s="21" t="str">
        <f t="shared" si="208"/>
        <v/>
      </c>
      <c r="AY3944" s="21" t="str">
        <f>IF(AND($AM3944&lt;&gt;"",$AS3944&lt;&gt;"✓"),SUMPRODUCT(($AM$11:$AM3944&lt;&gt;"")*($AS$11:$AS3944&lt;&gt;"✓")),"")</f>
        <v/>
      </c>
      <c r="AZ3944" s="21" t="str">
        <f>IF(AND($AM3944&lt;&gt;"",$AS3944="✓"),SUMPRODUCT(($AM$11:$AM3944&lt;&gt;"")*($AS$11:$AS3944="✓")),"")</f>
        <v/>
      </c>
      <c r="BA3944" s="21" t="str">
        <f>IF($AL3944="","",$AL3944&amp;"|"&amp;COUNTIF($AL$11:$AL3944,$AL3944))</f>
        <v/>
      </c>
    </row>
    <row r="3945" spans="38:53" ht="15" customHeight="1" x14ac:dyDescent="0.25">
      <c r="AL3945" s="17"/>
      <c r="AM3945" s="12"/>
      <c r="AN3945" s="18"/>
      <c r="AO3945" s="18"/>
      <c r="AP3945" s="10"/>
      <c r="AQ3945" s="10"/>
      <c r="AR3945" s="19"/>
      <c r="AS3945" s="20"/>
      <c r="AT3945" s="19"/>
      <c r="AV3945" s="21">
        <f>IF(AND($AL3945&lt;&gt;"",COUNTIF($AL$11:$AL3945,$AL3945)=1),1,0)</f>
        <v>0</v>
      </c>
      <c r="AW3945" s="21">
        <f t="shared" si="209"/>
        <v>2</v>
      </c>
      <c r="AX3945" s="21" t="str">
        <f t="shared" si="208"/>
        <v/>
      </c>
      <c r="AY3945" s="21" t="str">
        <f>IF(AND($AM3945&lt;&gt;"",$AS3945&lt;&gt;"✓"),SUMPRODUCT(($AM$11:$AM3945&lt;&gt;"")*($AS$11:$AS3945&lt;&gt;"✓")),"")</f>
        <v/>
      </c>
      <c r="AZ3945" s="21" t="str">
        <f>IF(AND($AM3945&lt;&gt;"",$AS3945="✓"),SUMPRODUCT(($AM$11:$AM3945&lt;&gt;"")*($AS$11:$AS3945="✓")),"")</f>
        <v/>
      </c>
      <c r="BA3945" s="21" t="str">
        <f>IF($AL3945="","",$AL3945&amp;"|"&amp;COUNTIF($AL$11:$AL3945,$AL3945))</f>
        <v/>
      </c>
    </row>
    <row r="3946" spans="38:53" ht="15" customHeight="1" x14ac:dyDescent="0.25">
      <c r="AL3946" s="31"/>
      <c r="AM3946" s="26"/>
      <c r="AN3946" s="32"/>
      <c r="AO3946" s="32"/>
      <c r="AP3946" s="24"/>
      <c r="AQ3946" s="24"/>
      <c r="AR3946" s="33"/>
      <c r="AS3946" s="34"/>
      <c r="AT3946" s="33"/>
      <c r="AV3946" s="21">
        <f>IF(AND($AL3946&lt;&gt;"",COUNTIF($AL$11:$AL3946,$AL3946)=1),1,0)</f>
        <v>0</v>
      </c>
      <c r="AW3946" s="21">
        <f t="shared" si="209"/>
        <v>2</v>
      </c>
      <c r="AX3946" s="21" t="str">
        <f t="shared" si="208"/>
        <v/>
      </c>
      <c r="AY3946" s="21" t="str">
        <f>IF(AND($AM3946&lt;&gt;"",$AS3946&lt;&gt;"✓"),SUMPRODUCT(($AM$11:$AM3946&lt;&gt;"")*($AS$11:$AS3946&lt;&gt;"✓")),"")</f>
        <v/>
      </c>
      <c r="AZ3946" s="21" t="str">
        <f>IF(AND($AM3946&lt;&gt;"",$AS3946="✓"),SUMPRODUCT(($AM$11:$AM3946&lt;&gt;"")*($AS$11:$AS3946="✓")),"")</f>
        <v/>
      </c>
      <c r="BA3946" s="21" t="str">
        <f>IF($AL3946="","",$AL3946&amp;"|"&amp;COUNTIF($AL$11:$AL3946,$AL3946))</f>
        <v/>
      </c>
    </row>
    <row r="3947" spans="38:53" ht="15" customHeight="1" x14ac:dyDescent="0.25">
      <c r="AL3947" s="17"/>
      <c r="AM3947" s="12"/>
      <c r="AN3947" s="18"/>
      <c r="AO3947" s="18"/>
      <c r="AP3947" s="10"/>
      <c r="AQ3947" s="10"/>
      <c r="AR3947" s="19"/>
      <c r="AS3947" s="20"/>
      <c r="AT3947" s="19"/>
      <c r="AV3947" s="21">
        <f>IF(AND($AL3947&lt;&gt;"",COUNTIF($AL$11:$AL3947,$AL3947)=1),1,0)</f>
        <v>0</v>
      </c>
      <c r="AW3947" s="21">
        <f t="shared" si="209"/>
        <v>2</v>
      </c>
      <c r="AX3947" s="21" t="str">
        <f t="shared" si="208"/>
        <v/>
      </c>
      <c r="AY3947" s="21" t="str">
        <f>IF(AND($AM3947&lt;&gt;"",$AS3947&lt;&gt;"✓"),SUMPRODUCT(($AM$11:$AM3947&lt;&gt;"")*($AS$11:$AS3947&lt;&gt;"✓")),"")</f>
        <v/>
      </c>
      <c r="AZ3947" s="21" t="str">
        <f>IF(AND($AM3947&lt;&gt;"",$AS3947="✓"),SUMPRODUCT(($AM$11:$AM3947&lt;&gt;"")*($AS$11:$AS3947="✓")),"")</f>
        <v/>
      </c>
      <c r="BA3947" s="21" t="str">
        <f>IF($AL3947="","",$AL3947&amp;"|"&amp;COUNTIF($AL$11:$AL3947,$AL3947))</f>
        <v/>
      </c>
    </row>
    <row r="3948" spans="38:53" ht="15" customHeight="1" x14ac:dyDescent="0.25">
      <c r="AL3948" s="31"/>
      <c r="AM3948" s="26"/>
      <c r="AN3948" s="32"/>
      <c r="AO3948" s="32"/>
      <c r="AP3948" s="24"/>
      <c r="AQ3948" s="24"/>
      <c r="AR3948" s="33"/>
      <c r="AS3948" s="34"/>
      <c r="AT3948" s="33"/>
      <c r="AV3948" s="21">
        <f>IF(AND($AL3948&lt;&gt;"",COUNTIF($AL$11:$AL3948,$AL3948)=1),1,0)</f>
        <v>0</v>
      </c>
      <c r="AW3948" s="21">
        <f t="shared" si="209"/>
        <v>2</v>
      </c>
      <c r="AX3948" s="21" t="str">
        <f t="shared" si="208"/>
        <v/>
      </c>
      <c r="AY3948" s="21" t="str">
        <f>IF(AND($AM3948&lt;&gt;"",$AS3948&lt;&gt;"✓"),SUMPRODUCT(($AM$11:$AM3948&lt;&gt;"")*($AS$11:$AS3948&lt;&gt;"✓")),"")</f>
        <v/>
      </c>
      <c r="AZ3948" s="21" t="str">
        <f>IF(AND($AM3948&lt;&gt;"",$AS3948="✓"),SUMPRODUCT(($AM$11:$AM3948&lt;&gt;"")*($AS$11:$AS3948="✓")),"")</f>
        <v/>
      </c>
      <c r="BA3948" s="21" t="str">
        <f>IF($AL3948="","",$AL3948&amp;"|"&amp;COUNTIF($AL$11:$AL3948,$AL3948))</f>
        <v/>
      </c>
    </row>
    <row r="3949" spans="38:53" ht="15" customHeight="1" x14ac:dyDescent="0.25">
      <c r="AL3949" s="17"/>
      <c r="AM3949" s="12"/>
      <c r="AN3949" s="18"/>
      <c r="AO3949" s="18"/>
      <c r="AP3949" s="10"/>
      <c r="AQ3949" s="10"/>
      <c r="AR3949" s="19"/>
      <c r="AS3949" s="20"/>
      <c r="AT3949" s="19"/>
      <c r="AV3949" s="21">
        <f>IF(AND($AL3949&lt;&gt;"",COUNTIF($AL$11:$AL3949,$AL3949)=1),1,0)</f>
        <v>0</v>
      </c>
      <c r="AW3949" s="21">
        <f t="shared" si="209"/>
        <v>2</v>
      </c>
      <c r="AX3949" s="21" t="str">
        <f t="shared" si="208"/>
        <v/>
      </c>
      <c r="AY3949" s="21" t="str">
        <f>IF(AND($AM3949&lt;&gt;"",$AS3949&lt;&gt;"✓"),SUMPRODUCT(($AM$11:$AM3949&lt;&gt;"")*($AS$11:$AS3949&lt;&gt;"✓")),"")</f>
        <v/>
      </c>
      <c r="AZ3949" s="21" t="str">
        <f>IF(AND($AM3949&lt;&gt;"",$AS3949="✓"),SUMPRODUCT(($AM$11:$AM3949&lt;&gt;"")*($AS$11:$AS3949="✓")),"")</f>
        <v/>
      </c>
      <c r="BA3949" s="21" t="str">
        <f>IF($AL3949="","",$AL3949&amp;"|"&amp;COUNTIF($AL$11:$AL3949,$AL3949))</f>
        <v/>
      </c>
    </row>
    <row r="3950" spans="38:53" ht="15" customHeight="1" x14ac:dyDescent="0.25">
      <c r="AL3950" s="31"/>
      <c r="AM3950" s="26"/>
      <c r="AN3950" s="32"/>
      <c r="AO3950" s="32"/>
      <c r="AP3950" s="24"/>
      <c r="AQ3950" s="24"/>
      <c r="AR3950" s="33"/>
      <c r="AS3950" s="34"/>
      <c r="AT3950" s="33"/>
      <c r="AV3950" s="21">
        <f>IF(AND($AL3950&lt;&gt;"",COUNTIF($AL$11:$AL3950,$AL3950)=1),1,0)</f>
        <v>0</v>
      </c>
      <c r="AW3950" s="21">
        <f t="shared" si="209"/>
        <v>2</v>
      </c>
      <c r="AX3950" s="21" t="str">
        <f t="shared" si="208"/>
        <v/>
      </c>
      <c r="AY3950" s="21" t="str">
        <f>IF(AND($AM3950&lt;&gt;"",$AS3950&lt;&gt;"✓"),SUMPRODUCT(($AM$11:$AM3950&lt;&gt;"")*($AS$11:$AS3950&lt;&gt;"✓")),"")</f>
        <v/>
      </c>
      <c r="AZ3950" s="21" t="str">
        <f>IF(AND($AM3950&lt;&gt;"",$AS3950="✓"),SUMPRODUCT(($AM$11:$AM3950&lt;&gt;"")*($AS$11:$AS3950="✓")),"")</f>
        <v/>
      </c>
      <c r="BA3950" s="21" t="str">
        <f>IF($AL3950="","",$AL3950&amp;"|"&amp;COUNTIF($AL$11:$AL3950,$AL3950))</f>
        <v/>
      </c>
    </row>
    <row r="3951" spans="38:53" ht="15" customHeight="1" x14ac:dyDescent="0.25">
      <c r="AL3951" s="17"/>
      <c r="AM3951" s="12"/>
      <c r="AN3951" s="18"/>
      <c r="AO3951" s="18"/>
      <c r="AP3951" s="10"/>
      <c r="AQ3951" s="10"/>
      <c r="AR3951" s="19"/>
      <c r="AS3951" s="20"/>
      <c r="AT3951" s="19"/>
      <c r="AV3951" s="21">
        <f>IF(AND($AL3951&lt;&gt;"",COUNTIF($AL$11:$AL3951,$AL3951)=1),1,0)</f>
        <v>0</v>
      </c>
      <c r="AW3951" s="21">
        <f t="shared" si="209"/>
        <v>2</v>
      </c>
      <c r="AX3951" s="21" t="str">
        <f t="shared" si="208"/>
        <v/>
      </c>
      <c r="AY3951" s="21" t="str">
        <f>IF(AND($AM3951&lt;&gt;"",$AS3951&lt;&gt;"✓"),SUMPRODUCT(($AM$11:$AM3951&lt;&gt;"")*($AS$11:$AS3951&lt;&gt;"✓")),"")</f>
        <v/>
      </c>
      <c r="AZ3951" s="21" t="str">
        <f>IF(AND($AM3951&lt;&gt;"",$AS3951="✓"),SUMPRODUCT(($AM$11:$AM3951&lt;&gt;"")*($AS$11:$AS3951="✓")),"")</f>
        <v/>
      </c>
      <c r="BA3951" s="21" t="str">
        <f>IF($AL3951="","",$AL3951&amp;"|"&amp;COUNTIF($AL$11:$AL3951,$AL3951))</f>
        <v/>
      </c>
    </row>
    <row r="3952" spans="38:53" ht="15" customHeight="1" x14ac:dyDescent="0.25">
      <c r="AL3952" s="31"/>
      <c r="AM3952" s="26"/>
      <c r="AN3952" s="32"/>
      <c r="AO3952" s="32"/>
      <c r="AP3952" s="24"/>
      <c r="AQ3952" s="24"/>
      <c r="AR3952" s="33"/>
      <c r="AS3952" s="34"/>
      <c r="AT3952" s="33"/>
      <c r="AV3952" s="21">
        <f>IF(AND($AL3952&lt;&gt;"",COUNTIF($AL$11:$AL3952,$AL3952)=1),1,0)</f>
        <v>0</v>
      </c>
      <c r="AW3952" s="21">
        <f t="shared" si="209"/>
        <v>2</v>
      </c>
      <c r="AX3952" s="21" t="str">
        <f t="shared" si="208"/>
        <v/>
      </c>
      <c r="AY3952" s="21" t="str">
        <f>IF(AND($AM3952&lt;&gt;"",$AS3952&lt;&gt;"✓"),SUMPRODUCT(($AM$11:$AM3952&lt;&gt;"")*($AS$11:$AS3952&lt;&gt;"✓")),"")</f>
        <v/>
      </c>
      <c r="AZ3952" s="21" t="str">
        <f>IF(AND($AM3952&lt;&gt;"",$AS3952="✓"),SUMPRODUCT(($AM$11:$AM3952&lt;&gt;"")*($AS$11:$AS3952="✓")),"")</f>
        <v/>
      </c>
      <c r="BA3952" s="21" t="str">
        <f>IF($AL3952="","",$AL3952&amp;"|"&amp;COUNTIF($AL$11:$AL3952,$AL3952))</f>
        <v/>
      </c>
    </row>
    <row r="3953" spans="38:53" ht="15" customHeight="1" x14ac:dyDescent="0.25">
      <c r="AL3953" s="17"/>
      <c r="AM3953" s="12"/>
      <c r="AN3953" s="18"/>
      <c r="AO3953" s="18"/>
      <c r="AP3953" s="10"/>
      <c r="AQ3953" s="10"/>
      <c r="AR3953" s="19"/>
      <c r="AS3953" s="20"/>
      <c r="AT3953" s="19"/>
      <c r="AV3953" s="21">
        <f>IF(AND($AL3953&lt;&gt;"",COUNTIF($AL$11:$AL3953,$AL3953)=1),1,0)</f>
        <v>0</v>
      </c>
      <c r="AW3953" s="21">
        <f t="shared" si="209"/>
        <v>2</v>
      </c>
      <c r="AX3953" s="21" t="str">
        <f t="shared" si="208"/>
        <v/>
      </c>
      <c r="AY3953" s="21" t="str">
        <f>IF(AND($AM3953&lt;&gt;"",$AS3953&lt;&gt;"✓"),SUMPRODUCT(($AM$11:$AM3953&lt;&gt;"")*($AS$11:$AS3953&lt;&gt;"✓")),"")</f>
        <v/>
      </c>
      <c r="AZ3953" s="21" t="str">
        <f>IF(AND($AM3953&lt;&gt;"",$AS3953="✓"),SUMPRODUCT(($AM$11:$AM3953&lt;&gt;"")*($AS$11:$AS3953="✓")),"")</f>
        <v/>
      </c>
      <c r="BA3953" s="21" t="str">
        <f>IF($AL3953="","",$AL3953&amp;"|"&amp;COUNTIF($AL$11:$AL3953,$AL3953))</f>
        <v/>
      </c>
    </row>
    <row r="3954" spans="38:53" ht="15" customHeight="1" x14ac:dyDescent="0.25">
      <c r="AL3954" s="31"/>
      <c r="AM3954" s="26"/>
      <c r="AN3954" s="32"/>
      <c r="AO3954" s="32"/>
      <c r="AP3954" s="24"/>
      <c r="AQ3954" s="24"/>
      <c r="AR3954" s="33"/>
      <c r="AS3954" s="34"/>
      <c r="AT3954" s="33"/>
      <c r="AV3954" s="21">
        <f>IF(AND($AL3954&lt;&gt;"",COUNTIF($AL$11:$AL3954,$AL3954)=1),1,0)</f>
        <v>0</v>
      </c>
      <c r="AW3954" s="21">
        <f t="shared" si="209"/>
        <v>2</v>
      </c>
      <c r="AX3954" s="21" t="str">
        <f t="shared" si="208"/>
        <v/>
      </c>
      <c r="AY3954" s="21" t="str">
        <f>IF(AND($AM3954&lt;&gt;"",$AS3954&lt;&gt;"✓"),SUMPRODUCT(($AM$11:$AM3954&lt;&gt;"")*($AS$11:$AS3954&lt;&gt;"✓")),"")</f>
        <v/>
      </c>
      <c r="AZ3954" s="21" t="str">
        <f>IF(AND($AM3954&lt;&gt;"",$AS3954="✓"),SUMPRODUCT(($AM$11:$AM3954&lt;&gt;"")*($AS$11:$AS3954="✓")),"")</f>
        <v/>
      </c>
      <c r="BA3954" s="21" t="str">
        <f>IF($AL3954="","",$AL3954&amp;"|"&amp;COUNTIF($AL$11:$AL3954,$AL3954))</f>
        <v/>
      </c>
    </row>
    <row r="3955" spans="38:53" ht="15" customHeight="1" x14ac:dyDescent="0.25">
      <c r="AL3955" s="17"/>
      <c r="AM3955" s="12"/>
      <c r="AN3955" s="18"/>
      <c r="AO3955" s="18"/>
      <c r="AP3955" s="10"/>
      <c r="AQ3955" s="10"/>
      <c r="AR3955" s="19"/>
      <c r="AS3955" s="20"/>
      <c r="AT3955" s="19"/>
      <c r="AV3955" s="21">
        <f>IF(AND($AL3955&lt;&gt;"",COUNTIF($AL$11:$AL3955,$AL3955)=1),1,0)</f>
        <v>0</v>
      </c>
      <c r="AW3955" s="21">
        <f t="shared" si="209"/>
        <v>2</v>
      </c>
      <c r="AX3955" s="21" t="str">
        <f t="shared" si="208"/>
        <v/>
      </c>
      <c r="AY3955" s="21" t="str">
        <f>IF(AND($AM3955&lt;&gt;"",$AS3955&lt;&gt;"✓"),SUMPRODUCT(($AM$11:$AM3955&lt;&gt;"")*($AS$11:$AS3955&lt;&gt;"✓")),"")</f>
        <v/>
      </c>
      <c r="AZ3955" s="21" t="str">
        <f>IF(AND($AM3955&lt;&gt;"",$AS3955="✓"),SUMPRODUCT(($AM$11:$AM3955&lt;&gt;"")*($AS$11:$AS3955="✓")),"")</f>
        <v/>
      </c>
      <c r="BA3955" s="21" t="str">
        <f>IF($AL3955="","",$AL3955&amp;"|"&amp;COUNTIF($AL$11:$AL3955,$AL3955))</f>
        <v/>
      </c>
    </row>
    <row r="3956" spans="38:53" ht="15" customHeight="1" x14ac:dyDescent="0.25">
      <c r="AL3956" s="31"/>
      <c r="AM3956" s="26"/>
      <c r="AN3956" s="32"/>
      <c r="AO3956" s="32"/>
      <c r="AP3956" s="24"/>
      <c r="AQ3956" s="24"/>
      <c r="AR3956" s="33"/>
      <c r="AS3956" s="34"/>
      <c r="AT3956" s="33"/>
      <c r="AV3956" s="21">
        <f>IF(AND($AL3956&lt;&gt;"",COUNTIF($AL$11:$AL3956,$AL3956)=1),1,0)</f>
        <v>0</v>
      </c>
      <c r="AW3956" s="21">
        <f t="shared" si="209"/>
        <v>2</v>
      </c>
      <c r="AX3956" s="21" t="str">
        <f t="shared" si="208"/>
        <v/>
      </c>
      <c r="AY3956" s="21" t="str">
        <f>IF(AND($AM3956&lt;&gt;"",$AS3956&lt;&gt;"✓"),SUMPRODUCT(($AM$11:$AM3956&lt;&gt;"")*($AS$11:$AS3956&lt;&gt;"✓")),"")</f>
        <v/>
      </c>
      <c r="AZ3956" s="21" t="str">
        <f>IF(AND($AM3956&lt;&gt;"",$AS3956="✓"),SUMPRODUCT(($AM$11:$AM3956&lt;&gt;"")*($AS$11:$AS3956="✓")),"")</f>
        <v/>
      </c>
      <c r="BA3956" s="21" t="str">
        <f>IF($AL3956="","",$AL3956&amp;"|"&amp;COUNTIF($AL$11:$AL3956,$AL3956))</f>
        <v/>
      </c>
    </row>
    <row r="3957" spans="38:53" ht="15" customHeight="1" x14ac:dyDescent="0.25">
      <c r="AL3957" s="17"/>
      <c r="AM3957" s="12"/>
      <c r="AN3957" s="18"/>
      <c r="AO3957" s="18"/>
      <c r="AP3957" s="10"/>
      <c r="AQ3957" s="10"/>
      <c r="AR3957" s="19"/>
      <c r="AS3957" s="20"/>
      <c r="AT3957" s="19"/>
      <c r="AV3957" s="21">
        <f>IF(AND($AL3957&lt;&gt;"",COUNTIF($AL$11:$AL3957,$AL3957)=1),1,0)</f>
        <v>0</v>
      </c>
      <c r="AW3957" s="21">
        <f t="shared" si="209"/>
        <v>2</v>
      </c>
      <c r="AX3957" s="21" t="str">
        <f t="shared" si="208"/>
        <v/>
      </c>
      <c r="AY3957" s="21" t="str">
        <f>IF(AND($AM3957&lt;&gt;"",$AS3957&lt;&gt;"✓"),SUMPRODUCT(($AM$11:$AM3957&lt;&gt;"")*($AS$11:$AS3957&lt;&gt;"✓")),"")</f>
        <v/>
      </c>
      <c r="AZ3957" s="21" t="str">
        <f>IF(AND($AM3957&lt;&gt;"",$AS3957="✓"),SUMPRODUCT(($AM$11:$AM3957&lt;&gt;"")*($AS$11:$AS3957="✓")),"")</f>
        <v/>
      </c>
      <c r="BA3957" s="21" t="str">
        <f>IF($AL3957="","",$AL3957&amp;"|"&amp;COUNTIF($AL$11:$AL3957,$AL3957))</f>
        <v/>
      </c>
    </row>
    <row r="3958" spans="38:53" ht="15" customHeight="1" x14ac:dyDescent="0.25">
      <c r="AL3958" s="31"/>
      <c r="AM3958" s="26"/>
      <c r="AN3958" s="32"/>
      <c r="AO3958" s="32"/>
      <c r="AP3958" s="24"/>
      <c r="AQ3958" s="24"/>
      <c r="AR3958" s="33"/>
      <c r="AS3958" s="34"/>
      <c r="AT3958" s="33"/>
      <c r="AV3958" s="21">
        <f>IF(AND($AL3958&lt;&gt;"",COUNTIF($AL$11:$AL3958,$AL3958)=1),1,0)</f>
        <v>0</v>
      </c>
      <c r="AW3958" s="21">
        <f t="shared" si="209"/>
        <v>2</v>
      </c>
      <c r="AX3958" s="21" t="str">
        <f t="shared" si="208"/>
        <v/>
      </c>
      <c r="AY3958" s="21" t="str">
        <f>IF(AND($AM3958&lt;&gt;"",$AS3958&lt;&gt;"✓"),SUMPRODUCT(($AM$11:$AM3958&lt;&gt;"")*($AS$11:$AS3958&lt;&gt;"✓")),"")</f>
        <v/>
      </c>
      <c r="AZ3958" s="21" t="str">
        <f>IF(AND($AM3958&lt;&gt;"",$AS3958="✓"),SUMPRODUCT(($AM$11:$AM3958&lt;&gt;"")*($AS$11:$AS3958="✓")),"")</f>
        <v/>
      </c>
      <c r="BA3958" s="21" t="str">
        <f>IF($AL3958="","",$AL3958&amp;"|"&amp;COUNTIF($AL$11:$AL3958,$AL3958))</f>
        <v/>
      </c>
    </row>
    <row r="3959" spans="38:53" ht="15" customHeight="1" x14ac:dyDescent="0.25">
      <c r="AL3959" s="17"/>
      <c r="AM3959" s="12"/>
      <c r="AN3959" s="18"/>
      <c r="AO3959" s="18"/>
      <c r="AP3959" s="10"/>
      <c r="AQ3959" s="10"/>
      <c r="AR3959" s="19"/>
      <c r="AS3959" s="20"/>
      <c r="AT3959" s="19"/>
      <c r="AV3959" s="21">
        <f>IF(AND($AL3959&lt;&gt;"",COUNTIF($AL$11:$AL3959,$AL3959)=1),1,0)</f>
        <v>0</v>
      </c>
      <c r="AW3959" s="21">
        <f t="shared" si="209"/>
        <v>2</v>
      </c>
      <c r="AX3959" s="21" t="str">
        <f t="shared" si="208"/>
        <v/>
      </c>
      <c r="AY3959" s="21" t="str">
        <f>IF(AND($AM3959&lt;&gt;"",$AS3959&lt;&gt;"✓"),SUMPRODUCT(($AM$11:$AM3959&lt;&gt;"")*($AS$11:$AS3959&lt;&gt;"✓")),"")</f>
        <v/>
      </c>
      <c r="AZ3959" s="21" t="str">
        <f>IF(AND($AM3959&lt;&gt;"",$AS3959="✓"),SUMPRODUCT(($AM$11:$AM3959&lt;&gt;"")*($AS$11:$AS3959="✓")),"")</f>
        <v/>
      </c>
      <c r="BA3959" s="21" t="str">
        <f>IF($AL3959="","",$AL3959&amp;"|"&amp;COUNTIF($AL$11:$AL3959,$AL3959))</f>
        <v/>
      </c>
    </row>
    <row r="3960" spans="38:53" ht="15" customHeight="1" x14ac:dyDescent="0.25">
      <c r="AL3960" s="31"/>
      <c r="AM3960" s="26"/>
      <c r="AN3960" s="32"/>
      <c r="AO3960" s="32"/>
      <c r="AP3960" s="24"/>
      <c r="AQ3960" s="24"/>
      <c r="AR3960" s="33"/>
      <c r="AS3960" s="34"/>
      <c r="AT3960" s="33"/>
      <c r="AV3960" s="21">
        <f>IF(AND($AL3960&lt;&gt;"",COUNTIF($AL$11:$AL3960,$AL3960)=1),1,0)</f>
        <v>0</v>
      </c>
      <c r="AW3960" s="21">
        <f t="shared" si="209"/>
        <v>2</v>
      </c>
      <c r="AX3960" s="21" t="str">
        <f t="shared" si="208"/>
        <v/>
      </c>
      <c r="AY3960" s="21" t="str">
        <f>IF(AND($AM3960&lt;&gt;"",$AS3960&lt;&gt;"✓"),SUMPRODUCT(($AM$11:$AM3960&lt;&gt;"")*($AS$11:$AS3960&lt;&gt;"✓")),"")</f>
        <v/>
      </c>
      <c r="AZ3960" s="21" t="str">
        <f>IF(AND($AM3960&lt;&gt;"",$AS3960="✓"),SUMPRODUCT(($AM$11:$AM3960&lt;&gt;"")*($AS$11:$AS3960="✓")),"")</f>
        <v/>
      </c>
      <c r="BA3960" s="21" t="str">
        <f>IF($AL3960="","",$AL3960&amp;"|"&amp;COUNTIF($AL$11:$AL3960,$AL3960))</f>
        <v/>
      </c>
    </row>
    <row r="3961" spans="38:53" ht="15" customHeight="1" x14ac:dyDescent="0.25">
      <c r="AL3961" s="17"/>
      <c r="AM3961" s="12"/>
      <c r="AN3961" s="18"/>
      <c r="AO3961" s="18"/>
      <c r="AP3961" s="10"/>
      <c r="AQ3961" s="10"/>
      <c r="AR3961" s="19"/>
      <c r="AS3961" s="20"/>
      <c r="AT3961" s="19"/>
      <c r="AV3961" s="21">
        <f>IF(AND($AL3961&lt;&gt;"",COUNTIF($AL$11:$AL3961,$AL3961)=1),1,0)</f>
        <v>0</v>
      </c>
      <c r="AW3961" s="21">
        <f t="shared" si="209"/>
        <v>2</v>
      </c>
      <c r="AX3961" s="21" t="str">
        <f t="shared" si="208"/>
        <v/>
      </c>
      <c r="AY3961" s="21" t="str">
        <f>IF(AND($AM3961&lt;&gt;"",$AS3961&lt;&gt;"✓"),SUMPRODUCT(($AM$11:$AM3961&lt;&gt;"")*($AS$11:$AS3961&lt;&gt;"✓")),"")</f>
        <v/>
      </c>
      <c r="AZ3961" s="21" t="str">
        <f>IF(AND($AM3961&lt;&gt;"",$AS3961="✓"),SUMPRODUCT(($AM$11:$AM3961&lt;&gt;"")*($AS$11:$AS3961="✓")),"")</f>
        <v/>
      </c>
      <c r="BA3961" s="21" t="str">
        <f>IF($AL3961="","",$AL3961&amp;"|"&amp;COUNTIF($AL$11:$AL3961,$AL3961))</f>
        <v/>
      </c>
    </row>
    <row r="3962" spans="38:53" ht="15" customHeight="1" x14ac:dyDescent="0.25">
      <c r="AL3962" s="31"/>
      <c r="AM3962" s="26"/>
      <c r="AN3962" s="32"/>
      <c r="AO3962" s="32"/>
      <c r="AP3962" s="24"/>
      <c r="AQ3962" s="24"/>
      <c r="AR3962" s="33"/>
      <c r="AS3962" s="34"/>
      <c r="AT3962" s="33"/>
      <c r="AV3962" s="21">
        <f>IF(AND($AL3962&lt;&gt;"",COUNTIF($AL$11:$AL3962,$AL3962)=1),1,0)</f>
        <v>0</v>
      </c>
      <c r="AW3962" s="21">
        <f t="shared" si="209"/>
        <v>2</v>
      </c>
      <c r="AX3962" s="21" t="str">
        <f t="shared" si="208"/>
        <v/>
      </c>
      <c r="AY3962" s="21" t="str">
        <f>IF(AND($AM3962&lt;&gt;"",$AS3962&lt;&gt;"✓"),SUMPRODUCT(($AM$11:$AM3962&lt;&gt;"")*($AS$11:$AS3962&lt;&gt;"✓")),"")</f>
        <v/>
      </c>
      <c r="AZ3962" s="21" t="str">
        <f>IF(AND($AM3962&lt;&gt;"",$AS3962="✓"),SUMPRODUCT(($AM$11:$AM3962&lt;&gt;"")*($AS$11:$AS3962="✓")),"")</f>
        <v/>
      </c>
      <c r="BA3962" s="21" t="str">
        <f>IF($AL3962="","",$AL3962&amp;"|"&amp;COUNTIF($AL$11:$AL3962,$AL3962))</f>
        <v/>
      </c>
    </row>
    <row r="3963" spans="38:53" ht="15" customHeight="1" x14ac:dyDescent="0.25">
      <c r="AL3963" s="17"/>
      <c r="AM3963" s="12"/>
      <c r="AN3963" s="18"/>
      <c r="AO3963" s="18"/>
      <c r="AP3963" s="10"/>
      <c r="AQ3963" s="10"/>
      <c r="AR3963" s="19"/>
      <c r="AS3963" s="20"/>
      <c r="AT3963" s="19"/>
      <c r="AV3963" s="21">
        <f>IF(AND($AL3963&lt;&gt;"",COUNTIF($AL$11:$AL3963,$AL3963)=1),1,0)</f>
        <v>0</v>
      </c>
      <c r="AW3963" s="21">
        <f t="shared" si="209"/>
        <v>2</v>
      </c>
      <c r="AX3963" s="21" t="str">
        <f t="shared" si="208"/>
        <v/>
      </c>
      <c r="AY3963" s="21" t="str">
        <f>IF(AND($AM3963&lt;&gt;"",$AS3963&lt;&gt;"✓"),SUMPRODUCT(($AM$11:$AM3963&lt;&gt;"")*($AS$11:$AS3963&lt;&gt;"✓")),"")</f>
        <v/>
      </c>
      <c r="AZ3963" s="21" t="str">
        <f>IF(AND($AM3963&lt;&gt;"",$AS3963="✓"),SUMPRODUCT(($AM$11:$AM3963&lt;&gt;"")*($AS$11:$AS3963="✓")),"")</f>
        <v/>
      </c>
      <c r="BA3963" s="21" t="str">
        <f>IF($AL3963="","",$AL3963&amp;"|"&amp;COUNTIF($AL$11:$AL3963,$AL3963))</f>
        <v/>
      </c>
    </row>
    <row r="3964" spans="38:53" ht="15" customHeight="1" x14ac:dyDescent="0.25">
      <c r="AL3964" s="31"/>
      <c r="AM3964" s="26"/>
      <c r="AN3964" s="32"/>
      <c r="AO3964" s="32"/>
      <c r="AP3964" s="24"/>
      <c r="AQ3964" s="24"/>
      <c r="AR3964" s="33"/>
      <c r="AS3964" s="34"/>
      <c r="AT3964" s="33"/>
      <c r="AV3964" s="21">
        <f>IF(AND($AL3964&lt;&gt;"",COUNTIF($AL$11:$AL3964,$AL3964)=1),1,0)</f>
        <v>0</v>
      </c>
      <c r="AW3964" s="21">
        <f t="shared" si="209"/>
        <v>2</v>
      </c>
      <c r="AX3964" s="21" t="str">
        <f t="shared" si="208"/>
        <v/>
      </c>
      <c r="AY3964" s="21" t="str">
        <f>IF(AND($AM3964&lt;&gt;"",$AS3964&lt;&gt;"✓"),SUMPRODUCT(($AM$11:$AM3964&lt;&gt;"")*($AS$11:$AS3964&lt;&gt;"✓")),"")</f>
        <v/>
      </c>
      <c r="AZ3964" s="21" t="str">
        <f>IF(AND($AM3964&lt;&gt;"",$AS3964="✓"),SUMPRODUCT(($AM$11:$AM3964&lt;&gt;"")*($AS$11:$AS3964="✓")),"")</f>
        <v/>
      </c>
      <c r="BA3964" s="21" t="str">
        <f>IF($AL3964="","",$AL3964&amp;"|"&amp;COUNTIF($AL$11:$AL3964,$AL3964))</f>
        <v/>
      </c>
    </row>
    <row r="3965" spans="38:53" ht="15" customHeight="1" x14ac:dyDescent="0.25">
      <c r="AL3965" s="17"/>
      <c r="AM3965" s="12"/>
      <c r="AN3965" s="18"/>
      <c r="AO3965" s="18"/>
      <c r="AP3965" s="10"/>
      <c r="AQ3965" s="10"/>
      <c r="AR3965" s="19"/>
      <c r="AS3965" s="20"/>
      <c r="AT3965" s="19"/>
      <c r="AV3965" s="21">
        <f>IF(AND($AL3965&lt;&gt;"",COUNTIF($AL$11:$AL3965,$AL3965)=1),1,0)</f>
        <v>0</v>
      </c>
      <c r="AW3965" s="21">
        <f t="shared" si="209"/>
        <v>2</v>
      </c>
      <c r="AX3965" s="21" t="str">
        <f t="shared" si="208"/>
        <v/>
      </c>
      <c r="AY3965" s="21" t="str">
        <f>IF(AND($AM3965&lt;&gt;"",$AS3965&lt;&gt;"✓"),SUMPRODUCT(($AM$11:$AM3965&lt;&gt;"")*($AS$11:$AS3965&lt;&gt;"✓")),"")</f>
        <v/>
      </c>
      <c r="AZ3965" s="21" t="str">
        <f>IF(AND($AM3965&lt;&gt;"",$AS3965="✓"),SUMPRODUCT(($AM$11:$AM3965&lt;&gt;"")*($AS$11:$AS3965="✓")),"")</f>
        <v/>
      </c>
      <c r="BA3965" s="21" t="str">
        <f>IF($AL3965="","",$AL3965&amp;"|"&amp;COUNTIF($AL$11:$AL3965,$AL3965))</f>
        <v/>
      </c>
    </row>
    <row r="3966" spans="38:53" ht="15" customHeight="1" x14ac:dyDescent="0.25">
      <c r="AL3966" s="31"/>
      <c r="AM3966" s="26"/>
      <c r="AN3966" s="32"/>
      <c r="AO3966" s="32"/>
      <c r="AP3966" s="24"/>
      <c r="AQ3966" s="24"/>
      <c r="AR3966" s="33"/>
      <c r="AS3966" s="34"/>
      <c r="AT3966" s="33"/>
      <c r="AV3966" s="21">
        <f>IF(AND($AL3966&lt;&gt;"",COUNTIF($AL$11:$AL3966,$AL3966)=1),1,0)</f>
        <v>0</v>
      </c>
      <c r="AW3966" s="21">
        <f t="shared" si="209"/>
        <v>2</v>
      </c>
      <c r="AX3966" s="21" t="str">
        <f t="shared" si="208"/>
        <v/>
      </c>
      <c r="AY3966" s="21" t="str">
        <f>IF(AND($AM3966&lt;&gt;"",$AS3966&lt;&gt;"✓"),SUMPRODUCT(($AM$11:$AM3966&lt;&gt;"")*($AS$11:$AS3966&lt;&gt;"✓")),"")</f>
        <v/>
      </c>
      <c r="AZ3966" s="21" t="str">
        <f>IF(AND($AM3966&lt;&gt;"",$AS3966="✓"),SUMPRODUCT(($AM$11:$AM3966&lt;&gt;"")*($AS$11:$AS3966="✓")),"")</f>
        <v/>
      </c>
      <c r="BA3966" s="21" t="str">
        <f>IF($AL3966="","",$AL3966&amp;"|"&amp;COUNTIF($AL$11:$AL3966,$AL3966))</f>
        <v/>
      </c>
    </row>
    <row r="3967" spans="38:53" ht="15" customHeight="1" x14ac:dyDescent="0.25">
      <c r="AL3967" s="17"/>
      <c r="AM3967" s="12"/>
      <c r="AN3967" s="18"/>
      <c r="AO3967" s="18"/>
      <c r="AP3967" s="10"/>
      <c r="AQ3967" s="10"/>
      <c r="AR3967" s="19"/>
      <c r="AS3967" s="20"/>
      <c r="AT3967" s="19"/>
      <c r="AV3967" s="21">
        <f>IF(AND($AL3967&lt;&gt;"",COUNTIF($AL$11:$AL3967,$AL3967)=1),1,0)</f>
        <v>0</v>
      </c>
      <c r="AW3967" s="21">
        <f t="shared" si="209"/>
        <v>2</v>
      </c>
      <c r="AX3967" s="21" t="str">
        <f t="shared" si="208"/>
        <v/>
      </c>
      <c r="AY3967" s="21" t="str">
        <f>IF(AND($AM3967&lt;&gt;"",$AS3967&lt;&gt;"✓"),SUMPRODUCT(($AM$11:$AM3967&lt;&gt;"")*($AS$11:$AS3967&lt;&gt;"✓")),"")</f>
        <v/>
      </c>
      <c r="AZ3967" s="21" t="str">
        <f>IF(AND($AM3967&lt;&gt;"",$AS3967="✓"),SUMPRODUCT(($AM$11:$AM3967&lt;&gt;"")*($AS$11:$AS3967="✓")),"")</f>
        <v/>
      </c>
      <c r="BA3967" s="21" t="str">
        <f>IF($AL3967="","",$AL3967&amp;"|"&amp;COUNTIF($AL$11:$AL3967,$AL3967))</f>
        <v/>
      </c>
    </row>
    <row r="3968" spans="38:53" ht="15" customHeight="1" x14ac:dyDescent="0.25">
      <c r="AL3968" s="31"/>
      <c r="AM3968" s="26"/>
      <c r="AN3968" s="32"/>
      <c r="AO3968" s="32"/>
      <c r="AP3968" s="24"/>
      <c r="AQ3968" s="24"/>
      <c r="AR3968" s="33"/>
      <c r="AS3968" s="34"/>
      <c r="AT3968" s="33"/>
      <c r="AV3968" s="21">
        <f>IF(AND($AL3968&lt;&gt;"",COUNTIF($AL$11:$AL3968,$AL3968)=1),1,0)</f>
        <v>0</v>
      </c>
      <c r="AW3968" s="21">
        <f t="shared" si="209"/>
        <v>2</v>
      </c>
      <c r="AX3968" s="21" t="str">
        <f t="shared" si="208"/>
        <v/>
      </c>
      <c r="AY3968" s="21" t="str">
        <f>IF(AND($AM3968&lt;&gt;"",$AS3968&lt;&gt;"✓"),SUMPRODUCT(($AM$11:$AM3968&lt;&gt;"")*($AS$11:$AS3968&lt;&gt;"✓")),"")</f>
        <v/>
      </c>
      <c r="AZ3968" s="21" t="str">
        <f>IF(AND($AM3968&lt;&gt;"",$AS3968="✓"),SUMPRODUCT(($AM$11:$AM3968&lt;&gt;"")*($AS$11:$AS3968="✓")),"")</f>
        <v/>
      </c>
      <c r="BA3968" s="21" t="str">
        <f>IF($AL3968="","",$AL3968&amp;"|"&amp;COUNTIF($AL$11:$AL3968,$AL3968))</f>
        <v/>
      </c>
    </row>
    <row r="3969" spans="38:53" ht="15" customHeight="1" x14ac:dyDescent="0.25">
      <c r="AL3969" s="17"/>
      <c r="AM3969" s="12"/>
      <c r="AN3969" s="18"/>
      <c r="AO3969" s="18"/>
      <c r="AP3969" s="10"/>
      <c r="AQ3969" s="10"/>
      <c r="AR3969" s="19"/>
      <c r="AS3969" s="20"/>
      <c r="AT3969" s="19"/>
      <c r="AV3969" s="21">
        <f>IF(AND($AL3969&lt;&gt;"",COUNTIF($AL$11:$AL3969,$AL3969)=1),1,0)</f>
        <v>0</v>
      </c>
      <c r="AW3969" s="21">
        <f t="shared" si="209"/>
        <v>2</v>
      </c>
      <c r="AX3969" s="21" t="str">
        <f t="shared" si="208"/>
        <v/>
      </c>
      <c r="AY3969" s="21" t="str">
        <f>IF(AND($AM3969&lt;&gt;"",$AS3969&lt;&gt;"✓"),SUMPRODUCT(($AM$11:$AM3969&lt;&gt;"")*($AS$11:$AS3969&lt;&gt;"✓")),"")</f>
        <v/>
      </c>
      <c r="AZ3969" s="21" t="str">
        <f>IF(AND($AM3969&lt;&gt;"",$AS3969="✓"),SUMPRODUCT(($AM$11:$AM3969&lt;&gt;"")*($AS$11:$AS3969="✓")),"")</f>
        <v/>
      </c>
      <c r="BA3969" s="21" t="str">
        <f>IF($AL3969="","",$AL3969&amp;"|"&amp;COUNTIF($AL$11:$AL3969,$AL3969))</f>
        <v/>
      </c>
    </row>
    <row r="3970" spans="38:53" ht="15" customHeight="1" x14ac:dyDescent="0.25">
      <c r="AL3970" s="31"/>
      <c r="AM3970" s="26"/>
      <c r="AN3970" s="32"/>
      <c r="AO3970" s="32"/>
      <c r="AP3970" s="24"/>
      <c r="AQ3970" s="24"/>
      <c r="AR3970" s="33"/>
      <c r="AS3970" s="34"/>
      <c r="AT3970" s="33"/>
      <c r="AV3970" s="21">
        <f>IF(AND($AL3970&lt;&gt;"",COUNTIF($AL$11:$AL3970,$AL3970)=1),1,0)</f>
        <v>0</v>
      </c>
      <c r="AW3970" s="21">
        <f t="shared" si="209"/>
        <v>2</v>
      </c>
      <c r="AX3970" s="21" t="str">
        <f t="shared" si="208"/>
        <v/>
      </c>
      <c r="AY3970" s="21" t="str">
        <f>IF(AND($AM3970&lt;&gt;"",$AS3970&lt;&gt;"✓"),SUMPRODUCT(($AM$11:$AM3970&lt;&gt;"")*($AS$11:$AS3970&lt;&gt;"✓")),"")</f>
        <v/>
      </c>
      <c r="AZ3970" s="21" t="str">
        <f>IF(AND($AM3970&lt;&gt;"",$AS3970="✓"),SUMPRODUCT(($AM$11:$AM3970&lt;&gt;"")*($AS$11:$AS3970="✓")),"")</f>
        <v/>
      </c>
      <c r="BA3970" s="21" t="str">
        <f>IF($AL3970="","",$AL3970&amp;"|"&amp;COUNTIF($AL$11:$AL3970,$AL3970))</f>
        <v/>
      </c>
    </row>
    <row r="3971" spans="38:53" ht="15" customHeight="1" x14ac:dyDescent="0.25">
      <c r="AL3971" s="17"/>
      <c r="AM3971" s="12"/>
      <c r="AN3971" s="18"/>
      <c r="AO3971" s="18"/>
      <c r="AP3971" s="10"/>
      <c r="AQ3971" s="10"/>
      <c r="AR3971" s="19"/>
      <c r="AS3971" s="20"/>
      <c r="AT3971" s="19"/>
      <c r="AV3971" s="21">
        <f>IF(AND($AL3971&lt;&gt;"",COUNTIF($AL$11:$AL3971,$AL3971)=1),1,0)</f>
        <v>0</v>
      </c>
      <c r="AW3971" s="21">
        <f t="shared" si="209"/>
        <v>2</v>
      </c>
      <c r="AX3971" s="21" t="str">
        <f t="shared" si="208"/>
        <v/>
      </c>
      <c r="AY3971" s="21" t="str">
        <f>IF(AND($AM3971&lt;&gt;"",$AS3971&lt;&gt;"✓"),SUMPRODUCT(($AM$11:$AM3971&lt;&gt;"")*($AS$11:$AS3971&lt;&gt;"✓")),"")</f>
        <v/>
      </c>
      <c r="AZ3971" s="21" t="str">
        <f>IF(AND($AM3971&lt;&gt;"",$AS3971="✓"),SUMPRODUCT(($AM$11:$AM3971&lt;&gt;"")*($AS$11:$AS3971="✓")),"")</f>
        <v/>
      </c>
      <c r="BA3971" s="21" t="str">
        <f>IF($AL3971="","",$AL3971&amp;"|"&amp;COUNTIF($AL$11:$AL3971,$AL3971))</f>
        <v/>
      </c>
    </row>
    <row r="3972" spans="38:53" ht="15" customHeight="1" x14ac:dyDescent="0.25">
      <c r="AL3972" s="31"/>
      <c r="AM3972" s="26"/>
      <c r="AN3972" s="32"/>
      <c r="AO3972" s="32"/>
      <c r="AP3972" s="24"/>
      <c r="AQ3972" s="24"/>
      <c r="AR3972" s="33"/>
      <c r="AS3972" s="34"/>
      <c r="AT3972" s="33"/>
      <c r="AV3972" s="21">
        <f>IF(AND($AL3972&lt;&gt;"",COUNTIF($AL$11:$AL3972,$AL3972)=1),1,0)</f>
        <v>0</v>
      </c>
      <c r="AW3972" s="21">
        <f t="shared" si="209"/>
        <v>2</v>
      </c>
      <c r="AX3972" s="21" t="str">
        <f t="shared" si="208"/>
        <v/>
      </c>
      <c r="AY3972" s="21" t="str">
        <f>IF(AND($AM3972&lt;&gt;"",$AS3972&lt;&gt;"✓"),SUMPRODUCT(($AM$11:$AM3972&lt;&gt;"")*($AS$11:$AS3972&lt;&gt;"✓")),"")</f>
        <v/>
      </c>
      <c r="AZ3972" s="21" t="str">
        <f>IF(AND($AM3972&lt;&gt;"",$AS3972="✓"),SUMPRODUCT(($AM$11:$AM3972&lt;&gt;"")*($AS$11:$AS3972="✓")),"")</f>
        <v/>
      </c>
      <c r="BA3972" s="21" t="str">
        <f>IF($AL3972="","",$AL3972&amp;"|"&amp;COUNTIF($AL$11:$AL3972,$AL3972))</f>
        <v/>
      </c>
    </row>
    <row r="3973" spans="38:53" ht="15" customHeight="1" x14ac:dyDescent="0.25">
      <c r="AL3973" s="17"/>
      <c r="AM3973" s="12"/>
      <c r="AN3973" s="18"/>
      <c r="AO3973" s="18"/>
      <c r="AP3973" s="10"/>
      <c r="AQ3973" s="10"/>
      <c r="AR3973" s="19"/>
      <c r="AS3973" s="20"/>
      <c r="AT3973" s="19"/>
      <c r="AV3973" s="21">
        <f>IF(AND($AL3973&lt;&gt;"",COUNTIF($AL$11:$AL3973,$AL3973)=1),1,0)</f>
        <v>0</v>
      </c>
      <c r="AW3973" s="21">
        <f t="shared" si="209"/>
        <v>2</v>
      </c>
      <c r="AX3973" s="21" t="str">
        <f t="shared" si="208"/>
        <v/>
      </c>
      <c r="AY3973" s="21" t="str">
        <f>IF(AND($AM3973&lt;&gt;"",$AS3973&lt;&gt;"✓"),SUMPRODUCT(($AM$11:$AM3973&lt;&gt;"")*($AS$11:$AS3973&lt;&gt;"✓")),"")</f>
        <v/>
      </c>
      <c r="AZ3973" s="21" t="str">
        <f>IF(AND($AM3973&lt;&gt;"",$AS3973="✓"),SUMPRODUCT(($AM$11:$AM3973&lt;&gt;"")*($AS$11:$AS3973="✓")),"")</f>
        <v/>
      </c>
      <c r="BA3973" s="21" t="str">
        <f>IF($AL3973="","",$AL3973&amp;"|"&amp;COUNTIF($AL$11:$AL3973,$AL3973))</f>
        <v/>
      </c>
    </row>
    <row r="3974" spans="38:53" ht="15" customHeight="1" x14ac:dyDescent="0.25">
      <c r="AL3974" s="31"/>
      <c r="AM3974" s="26"/>
      <c r="AN3974" s="32"/>
      <c r="AO3974" s="32"/>
      <c r="AP3974" s="24"/>
      <c r="AQ3974" s="24"/>
      <c r="AR3974" s="33"/>
      <c r="AS3974" s="34"/>
      <c r="AT3974" s="33"/>
      <c r="AV3974" s="21">
        <f>IF(AND($AL3974&lt;&gt;"",COUNTIF($AL$11:$AL3974,$AL3974)=1),1,0)</f>
        <v>0</v>
      </c>
      <c r="AW3974" s="21">
        <f t="shared" si="209"/>
        <v>2</v>
      </c>
      <c r="AX3974" s="21" t="str">
        <f t="shared" si="208"/>
        <v/>
      </c>
      <c r="AY3974" s="21" t="str">
        <f>IF(AND($AM3974&lt;&gt;"",$AS3974&lt;&gt;"✓"),SUMPRODUCT(($AM$11:$AM3974&lt;&gt;"")*($AS$11:$AS3974&lt;&gt;"✓")),"")</f>
        <v/>
      </c>
      <c r="AZ3974" s="21" t="str">
        <f>IF(AND($AM3974&lt;&gt;"",$AS3974="✓"),SUMPRODUCT(($AM$11:$AM3974&lt;&gt;"")*($AS$11:$AS3974="✓")),"")</f>
        <v/>
      </c>
      <c r="BA3974" s="21" t="str">
        <f>IF($AL3974="","",$AL3974&amp;"|"&amp;COUNTIF($AL$11:$AL3974,$AL3974))</f>
        <v/>
      </c>
    </row>
    <row r="3975" spans="38:53" ht="15" customHeight="1" x14ac:dyDescent="0.25">
      <c r="AL3975" s="17"/>
      <c r="AM3975" s="12"/>
      <c r="AN3975" s="18"/>
      <c r="AO3975" s="18"/>
      <c r="AP3975" s="10"/>
      <c r="AQ3975" s="10"/>
      <c r="AR3975" s="19"/>
      <c r="AS3975" s="20"/>
      <c r="AT3975" s="19"/>
      <c r="AV3975" s="21">
        <f>IF(AND($AL3975&lt;&gt;"",COUNTIF($AL$11:$AL3975,$AL3975)=1),1,0)</f>
        <v>0</v>
      </c>
      <c r="AW3975" s="21">
        <f t="shared" si="209"/>
        <v>2</v>
      </c>
      <c r="AX3975" s="21" t="str">
        <f t="shared" si="208"/>
        <v/>
      </c>
      <c r="AY3975" s="21" t="str">
        <f>IF(AND($AM3975&lt;&gt;"",$AS3975&lt;&gt;"✓"),SUMPRODUCT(($AM$11:$AM3975&lt;&gt;"")*($AS$11:$AS3975&lt;&gt;"✓")),"")</f>
        <v/>
      </c>
      <c r="AZ3975" s="21" t="str">
        <f>IF(AND($AM3975&lt;&gt;"",$AS3975="✓"),SUMPRODUCT(($AM$11:$AM3975&lt;&gt;"")*($AS$11:$AS3975="✓")),"")</f>
        <v/>
      </c>
      <c r="BA3975" s="21" t="str">
        <f>IF($AL3975="","",$AL3975&amp;"|"&amp;COUNTIF($AL$11:$AL3975,$AL3975))</f>
        <v/>
      </c>
    </row>
    <row r="3976" spans="38:53" ht="15" customHeight="1" x14ac:dyDescent="0.25">
      <c r="AL3976" s="31"/>
      <c r="AM3976" s="26"/>
      <c r="AN3976" s="32"/>
      <c r="AO3976" s="32"/>
      <c r="AP3976" s="24"/>
      <c r="AQ3976" s="24"/>
      <c r="AR3976" s="33"/>
      <c r="AS3976" s="34"/>
      <c r="AT3976" s="33"/>
      <c r="AV3976" s="21">
        <f>IF(AND($AL3976&lt;&gt;"",COUNTIF($AL$11:$AL3976,$AL3976)=1),1,0)</f>
        <v>0</v>
      </c>
      <c r="AW3976" s="21">
        <f t="shared" si="209"/>
        <v>2</v>
      </c>
      <c r="AX3976" s="21" t="str">
        <f t="shared" si="208"/>
        <v/>
      </c>
      <c r="AY3976" s="21" t="str">
        <f>IF(AND($AM3976&lt;&gt;"",$AS3976&lt;&gt;"✓"),SUMPRODUCT(($AM$11:$AM3976&lt;&gt;"")*($AS$11:$AS3976&lt;&gt;"✓")),"")</f>
        <v/>
      </c>
      <c r="AZ3976" s="21" t="str">
        <f>IF(AND($AM3976&lt;&gt;"",$AS3976="✓"),SUMPRODUCT(($AM$11:$AM3976&lt;&gt;"")*($AS$11:$AS3976="✓")),"")</f>
        <v/>
      </c>
      <c r="BA3976" s="21" t="str">
        <f>IF($AL3976="","",$AL3976&amp;"|"&amp;COUNTIF($AL$11:$AL3976,$AL3976))</f>
        <v/>
      </c>
    </row>
    <row r="3977" spans="38:53" ht="15" customHeight="1" x14ac:dyDescent="0.25">
      <c r="AL3977" s="17"/>
      <c r="AM3977" s="12"/>
      <c r="AN3977" s="18"/>
      <c r="AO3977" s="18"/>
      <c r="AP3977" s="10"/>
      <c r="AQ3977" s="10"/>
      <c r="AR3977" s="19"/>
      <c r="AS3977" s="20"/>
      <c r="AT3977" s="19"/>
      <c r="AV3977" s="21">
        <f>IF(AND($AL3977&lt;&gt;"",COUNTIF($AL$11:$AL3977,$AL3977)=1),1,0)</f>
        <v>0</v>
      </c>
      <c r="AW3977" s="21">
        <f t="shared" si="209"/>
        <v>2</v>
      </c>
      <c r="AX3977" s="21" t="str">
        <f t="shared" si="208"/>
        <v/>
      </c>
      <c r="AY3977" s="21" t="str">
        <f>IF(AND($AM3977&lt;&gt;"",$AS3977&lt;&gt;"✓"),SUMPRODUCT(($AM$11:$AM3977&lt;&gt;"")*($AS$11:$AS3977&lt;&gt;"✓")),"")</f>
        <v/>
      </c>
      <c r="AZ3977" s="21" t="str">
        <f>IF(AND($AM3977&lt;&gt;"",$AS3977="✓"),SUMPRODUCT(($AM$11:$AM3977&lt;&gt;"")*($AS$11:$AS3977="✓")),"")</f>
        <v/>
      </c>
      <c r="BA3977" s="21" t="str">
        <f>IF($AL3977="","",$AL3977&amp;"|"&amp;COUNTIF($AL$11:$AL3977,$AL3977))</f>
        <v/>
      </c>
    </row>
    <row r="3978" spans="38:53" ht="15" customHeight="1" x14ac:dyDescent="0.25">
      <c r="AL3978" s="31"/>
      <c r="AM3978" s="26"/>
      <c r="AN3978" s="32"/>
      <c r="AO3978" s="32"/>
      <c r="AP3978" s="24"/>
      <c r="AQ3978" s="24"/>
      <c r="AR3978" s="33"/>
      <c r="AS3978" s="34"/>
      <c r="AT3978" s="33"/>
      <c r="AV3978" s="21">
        <f>IF(AND($AL3978&lt;&gt;"",COUNTIF($AL$11:$AL3978,$AL3978)=1),1,0)</f>
        <v>0</v>
      </c>
      <c r="AW3978" s="21">
        <f t="shared" si="209"/>
        <v>2</v>
      </c>
      <c r="AX3978" s="21" t="str">
        <f t="shared" si="208"/>
        <v/>
      </c>
      <c r="AY3978" s="21" t="str">
        <f>IF(AND($AM3978&lt;&gt;"",$AS3978&lt;&gt;"✓"),SUMPRODUCT(($AM$11:$AM3978&lt;&gt;"")*($AS$11:$AS3978&lt;&gt;"✓")),"")</f>
        <v/>
      </c>
      <c r="AZ3978" s="21" t="str">
        <f>IF(AND($AM3978&lt;&gt;"",$AS3978="✓"),SUMPRODUCT(($AM$11:$AM3978&lt;&gt;"")*($AS$11:$AS3978="✓")),"")</f>
        <v/>
      </c>
      <c r="BA3978" s="21" t="str">
        <f>IF($AL3978="","",$AL3978&amp;"|"&amp;COUNTIF($AL$11:$AL3978,$AL3978))</f>
        <v/>
      </c>
    </row>
    <row r="3979" spans="38:53" ht="15" customHeight="1" x14ac:dyDescent="0.25">
      <c r="AL3979" s="17"/>
      <c r="AM3979" s="12"/>
      <c r="AN3979" s="18"/>
      <c r="AO3979" s="18"/>
      <c r="AP3979" s="10"/>
      <c r="AQ3979" s="10"/>
      <c r="AR3979" s="19"/>
      <c r="AS3979" s="20"/>
      <c r="AT3979" s="19"/>
      <c r="AV3979" s="21">
        <f>IF(AND($AL3979&lt;&gt;"",COUNTIF($AL$11:$AL3979,$AL3979)=1),1,0)</f>
        <v>0</v>
      </c>
      <c r="AW3979" s="21">
        <f t="shared" si="209"/>
        <v>2</v>
      </c>
      <c r="AX3979" s="21" t="str">
        <f t="shared" ref="AX3979:AX4042" si="210">IF(AV3979=1,AW3979,"")</f>
        <v/>
      </c>
      <c r="AY3979" s="21" t="str">
        <f>IF(AND($AM3979&lt;&gt;"",$AS3979&lt;&gt;"✓"),SUMPRODUCT(($AM$11:$AM3979&lt;&gt;"")*($AS$11:$AS3979&lt;&gt;"✓")),"")</f>
        <v/>
      </c>
      <c r="AZ3979" s="21" t="str">
        <f>IF(AND($AM3979&lt;&gt;"",$AS3979="✓"),SUMPRODUCT(($AM$11:$AM3979&lt;&gt;"")*($AS$11:$AS3979="✓")),"")</f>
        <v/>
      </c>
      <c r="BA3979" s="21" t="str">
        <f>IF($AL3979="","",$AL3979&amp;"|"&amp;COUNTIF($AL$11:$AL3979,$AL3979))</f>
        <v/>
      </c>
    </row>
    <row r="3980" spans="38:53" ht="15" customHeight="1" x14ac:dyDescent="0.25">
      <c r="AL3980" s="31"/>
      <c r="AM3980" s="26"/>
      <c r="AN3980" s="32"/>
      <c r="AO3980" s="32"/>
      <c r="AP3980" s="24"/>
      <c r="AQ3980" s="24"/>
      <c r="AR3980" s="33"/>
      <c r="AS3980" s="34"/>
      <c r="AT3980" s="33"/>
      <c r="AV3980" s="21">
        <f>IF(AND($AL3980&lt;&gt;"",COUNTIF($AL$11:$AL3980,$AL3980)=1),1,0)</f>
        <v>0</v>
      </c>
      <c r="AW3980" s="21">
        <f t="shared" ref="AW3980:AW4043" si="211">AW3979+AV3980</f>
        <v>2</v>
      </c>
      <c r="AX3980" s="21" t="str">
        <f t="shared" si="210"/>
        <v/>
      </c>
      <c r="AY3980" s="21" t="str">
        <f>IF(AND($AM3980&lt;&gt;"",$AS3980&lt;&gt;"✓"),SUMPRODUCT(($AM$11:$AM3980&lt;&gt;"")*($AS$11:$AS3980&lt;&gt;"✓")),"")</f>
        <v/>
      </c>
      <c r="AZ3980" s="21" t="str">
        <f>IF(AND($AM3980&lt;&gt;"",$AS3980="✓"),SUMPRODUCT(($AM$11:$AM3980&lt;&gt;"")*($AS$11:$AS3980="✓")),"")</f>
        <v/>
      </c>
      <c r="BA3980" s="21" t="str">
        <f>IF($AL3980="","",$AL3980&amp;"|"&amp;COUNTIF($AL$11:$AL3980,$AL3980))</f>
        <v/>
      </c>
    </row>
    <row r="3981" spans="38:53" ht="15" customHeight="1" x14ac:dyDescent="0.25">
      <c r="AL3981" s="17"/>
      <c r="AM3981" s="12"/>
      <c r="AN3981" s="18"/>
      <c r="AO3981" s="18"/>
      <c r="AP3981" s="10"/>
      <c r="AQ3981" s="10"/>
      <c r="AR3981" s="19"/>
      <c r="AS3981" s="20"/>
      <c r="AT3981" s="19"/>
      <c r="AV3981" s="21">
        <f>IF(AND($AL3981&lt;&gt;"",COUNTIF($AL$11:$AL3981,$AL3981)=1),1,0)</f>
        <v>0</v>
      </c>
      <c r="AW3981" s="21">
        <f t="shared" si="211"/>
        <v>2</v>
      </c>
      <c r="AX3981" s="21" t="str">
        <f t="shared" si="210"/>
        <v/>
      </c>
      <c r="AY3981" s="21" t="str">
        <f>IF(AND($AM3981&lt;&gt;"",$AS3981&lt;&gt;"✓"),SUMPRODUCT(($AM$11:$AM3981&lt;&gt;"")*($AS$11:$AS3981&lt;&gt;"✓")),"")</f>
        <v/>
      </c>
      <c r="AZ3981" s="21" t="str">
        <f>IF(AND($AM3981&lt;&gt;"",$AS3981="✓"),SUMPRODUCT(($AM$11:$AM3981&lt;&gt;"")*($AS$11:$AS3981="✓")),"")</f>
        <v/>
      </c>
      <c r="BA3981" s="21" t="str">
        <f>IF($AL3981="","",$AL3981&amp;"|"&amp;COUNTIF($AL$11:$AL3981,$AL3981))</f>
        <v/>
      </c>
    </row>
    <row r="3982" spans="38:53" ht="15" customHeight="1" x14ac:dyDescent="0.25">
      <c r="AL3982" s="31"/>
      <c r="AM3982" s="26"/>
      <c r="AN3982" s="32"/>
      <c r="AO3982" s="32"/>
      <c r="AP3982" s="24"/>
      <c r="AQ3982" s="24"/>
      <c r="AR3982" s="33"/>
      <c r="AS3982" s="34"/>
      <c r="AT3982" s="33"/>
      <c r="AV3982" s="21">
        <f>IF(AND($AL3982&lt;&gt;"",COUNTIF($AL$11:$AL3982,$AL3982)=1),1,0)</f>
        <v>0</v>
      </c>
      <c r="AW3982" s="21">
        <f t="shared" si="211"/>
        <v>2</v>
      </c>
      <c r="AX3982" s="21" t="str">
        <f t="shared" si="210"/>
        <v/>
      </c>
      <c r="AY3982" s="21" t="str">
        <f>IF(AND($AM3982&lt;&gt;"",$AS3982&lt;&gt;"✓"),SUMPRODUCT(($AM$11:$AM3982&lt;&gt;"")*($AS$11:$AS3982&lt;&gt;"✓")),"")</f>
        <v/>
      </c>
      <c r="AZ3982" s="21" t="str">
        <f>IF(AND($AM3982&lt;&gt;"",$AS3982="✓"),SUMPRODUCT(($AM$11:$AM3982&lt;&gt;"")*($AS$11:$AS3982="✓")),"")</f>
        <v/>
      </c>
      <c r="BA3982" s="21" t="str">
        <f>IF($AL3982="","",$AL3982&amp;"|"&amp;COUNTIF($AL$11:$AL3982,$AL3982))</f>
        <v/>
      </c>
    </row>
    <row r="3983" spans="38:53" ht="15" customHeight="1" x14ac:dyDescent="0.25">
      <c r="AL3983" s="17"/>
      <c r="AM3983" s="12"/>
      <c r="AN3983" s="18"/>
      <c r="AO3983" s="18"/>
      <c r="AP3983" s="10"/>
      <c r="AQ3983" s="10"/>
      <c r="AR3983" s="19"/>
      <c r="AS3983" s="20"/>
      <c r="AT3983" s="19"/>
      <c r="AV3983" s="21">
        <f>IF(AND($AL3983&lt;&gt;"",COUNTIF($AL$11:$AL3983,$AL3983)=1),1,0)</f>
        <v>0</v>
      </c>
      <c r="AW3983" s="21">
        <f t="shared" si="211"/>
        <v>2</v>
      </c>
      <c r="AX3983" s="21" t="str">
        <f t="shared" si="210"/>
        <v/>
      </c>
      <c r="AY3983" s="21" t="str">
        <f>IF(AND($AM3983&lt;&gt;"",$AS3983&lt;&gt;"✓"),SUMPRODUCT(($AM$11:$AM3983&lt;&gt;"")*($AS$11:$AS3983&lt;&gt;"✓")),"")</f>
        <v/>
      </c>
      <c r="AZ3983" s="21" t="str">
        <f>IF(AND($AM3983&lt;&gt;"",$AS3983="✓"),SUMPRODUCT(($AM$11:$AM3983&lt;&gt;"")*($AS$11:$AS3983="✓")),"")</f>
        <v/>
      </c>
      <c r="BA3983" s="21" t="str">
        <f>IF($AL3983="","",$AL3983&amp;"|"&amp;COUNTIF($AL$11:$AL3983,$AL3983))</f>
        <v/>
      </c>
    </row>
    <row r="3984" spans="38:53" ht="15" customHeight="1" x14ac:dyDescent="0.25">
      <c r="AL3984" s="31"/>
      <c r="AM3984" s="26"/>
      <c r="AN3984" s="32"/>
      <c r="AO3984" s="32"/>
      <c r="AP3984" s="24"/>
      <c r="AQ3984" s="24"/>
      <c r="AR3984" s="33"/>
      <c r="AS3984" s="34"/>
      <c r="AT3984" s="33"/>
      <c r="AV3984" s="21">
        <f>IF(AND($AL3984&lt;&gt;"",COUNTIF($AL$11:$AL3984,$AL3984)=1),1,0)</f>
        <v>0</v>
      </c>
      <c r="AW3984" s="21">
        <f t="shared" si="211"/>
        <v>2</v>
      </c>
      <c r="AX3984" s="21" t="str">
        <f t="shared" si="210"/>
        <v/>
      </c>
      <c r="AY3984" s="21" t="str">
        <f>IF(AND($AM3984&lt;&gt;"",$AS3984&lt;&gt;"✓"),SUMPRODUCT(($AM$11:$AM3984&lt;&gt;"")*($AS$11:$AS3984&lt;&gt;"✓")),"")</f>
        <v/>
      </c>
      <c r="AZ3984" s="21" t="str">
        <f>IF(AND($AM3984&lt;&gt;"",$AS3984="✓"),SUMPRODUCT(($AM$11:$AM3984&lt;&gt;"")*($AS$11:$AS3984="✓")),"")</f>
        <v/>
      </c>
      <c r="BA3984" s="21" t="str">
        <f>IF($AL3984="","",$AL3984&amp;"|"&amp;COUNTIF($AL$11:$AL3984,$AL3984))</f>
        <v/>
      </c>
    </row>
    <row r="3985" spans="38:53" ht="15" customHeight="1" x14ac:dyDescent="0.25">
      <c r="AL3985" s="17"/>
      <c r="AM3985" s="12"/>
      <c r="AN3985" s="18"/>
      <c r="AO3985" s="18"/>
      <c r="AP3985" s="10"/>
      <c r="AQ3985" s="10"/>
      <c r="AR3985" s="19"/>
      <c r="AS3985" s="20"/>
      <c r="AT3985" s="19"/>
      <c r="AV3985" s="21">
        <f>IF(AND($AL3985&lt;&gt;"",COUNTIF($AL$11:$AL3985,$AL3985)=1),1,0)</f>
        <v>0</v>
      </c>
      <c r="AW3985" s="21">
        <f t="shared" si="211"/>
        <v>2</v>
      </c>
      <c r="AX3985" s="21" t="str">
        <f t="shared" si="210"/>
        <v/>
      </c>
      <c r="AY3985" s="21" t="str">
        <f>IF(AND($AM3985&lt;&gt;"",$AS3985&lt;&gt;"✓"),SUMPRODUCT(($AM$11:$AM3985&lt;&gt;"")*($AS$11:$AS3985&lt;&gt;"✓")),"")</f>
        <v/>
      </c>
      <c r="AZ3985" s="21" t="str">
        <f>IF(AND($AM3985&lt;&gt;"",$AS3985="✓"),SUMPRODUCT(($AM$11:$AM3985&lt;&gt;"")*($AS$11:$AS3985="✓")),"")</f>
        <v/>
      </c>
      <c r="BA3985" s="21" t="str">
        <f>IF($AL3985="","",$AL3985&amp;"|"&amp;COUNTIF($AL$11:$AL3985,$AL3985))</f>
        <v/>
      </c>
    </row>
    <row r="3986" spans="38:53" ht="15" customHeight="1" x14ac:dyDescent="0.25">
      <c r="AL3986" s="31"/>
      <c r="AM3986" s="26"/>
      <c r="AN3986" s="32"/>
      <c r="AO3986" s="32"/>
      <c r="AP3986" s="24"/>
      <c r="AQ3986" s="24"/>
      <c r="AR3986" s="33"/>
      <c r="AS3986" s="34"/>
      <c r="AT3986" s="33"/>
      <c r="AV3986" s="21">
        <f>IF(AND($AL3986&lt;&gt;"",COUNTIF($AL$11:$AL3986,$AL3986)=1),1,0)</f>
        <v>0</v>
      </c>
      <c r="AW3986" s="21">
        <f t="shared" si="211"/>
        <v>2</v>
      </c>
      <c r="AX3986" s="21" t="str">
        <f t="shared" si="210"/>
        <v/>
      </c>
      <c r="AY3986" s="21" t="str">
        <f>IF(AND($AM3986&lt;&gt;"",$AS3986&lt;&gt;"✓"),SUMPRODUCT(($AM$11:$AM3986&lt;&gt;"")*($AS$11:$AS3986&lt;&gt;"✓")),"")</f>
        <v/>
      </c>
      <c r="AZ3986" s="21" t="str">
        <f>IF(AND($AM3986&lt;&gt;"",$AS3986="✓"),SUMPRODUCT(($AM$11:$AM3986&lt;&gt;"")*($AS$11:$AS3986="✓")),"")</f>
        <v/>
      </c>
      <c r="BA3986" s="21" t="str">
        <f>IF($AL3986="","",$AL3986&amp;"|"&amp;COUNTIF($AL$11:$AL3986,$AL3986))</f>
        <v/>
      </c>
    </row>
    <row r="3987" spans="38:53" ht="15" customHeight="1" x14ac:dyDescent="0.25">
      <c r="AL3987" s="17"/>
      <c r="AM3987" s="12"/>
      <c r="AN3987" s="18"/>
      <c r="AO3987" s="18"/>
      <c r="AP3987" s="10"/>
      <c r="AQ3987" s="10"/>
      <c r="AR3987" s="19"/>
      <c r="AS3987" s="20"/>
      <c r="AT3987" s="19"/>
      <c r="AV3987" s="21">
        <f>IF(AND($AL3987&lt;&gt;"",COUNTIF($AL$11:$AL3987,$AL3987)=1),1,0)</f>
        <v>0</v>
      </c>
      <c r="AW3987" s="21">
        <f t="shared" si="211"/>
        <v>2</v>
      </c>
      <c r="AX3987" s="21" t="str">
        <f t="shared" si="210"/>
        <v/>
      </c>
      <c r="AY3987" s="21" t="str">
        <f>IF(AND($AM3987&lt;&gt;"",$AS3987&lt;&gt;"✓"),SUMPRODUCT(($AM$11:$AM3987&lt;&gt;"")*($AS$11:$AS3987&lt;&gt;"✓")),"")</f>
        <v/>
      </c>
      <c r="AZ3987" s="21" t="str">
        <f>IF(AND($AM3987&lt;&gt;"",$AS3987="✓"),SUMPRODUCT(($AM$11:$AM3987&lt;&gt;"")*($AS$11:$AS3987="✓")),"")</f>
        <v/>
      </c>
      <c r="BA3987" s="21" t="str">
        <f>IF($AL3987="","",$AL3987&amp;"|"&amp;COUNTIF($AL$11:$AL3987,$AL3987))</f>
        <v/>
      </c>
    </row>
    <row r="3988" spans="38:53" ht="15" customHeight="1" x14ac:dyDescent="0.25">
      <c r="AL3988" s="31"/>
      <c r="AM3988" s="26"/>
      <c r="AN3988" s="32"/>
      <c r="AO3988" s="32"/>
      <c r="AP3988" s="24"/>
      <c r="AQ3988" s="24"/>
      <c r="AR3988" s="33"/>
      <c r="AS3988" s="34"/>
      <c r="AT3988" s="33"/>
      <c r="AV3988" s="21">
        <f>IF(AND($AL3988&lt;&gt;"",COUNTIF($AL$11:$AL3988,$AL3988)=1),1,0)</f>
        <v>0</v>
      </c>
      <c r="AW3988" s="21">
        <f t="shared" si="211"/>
        <v>2</v>
      </c>
      <c r="AX3988" s="21" t="str">
        <f t="shared" si="210"/>
        <v/>
      </c>
      <c r="AY3988" s="21" t="str">
        <f>IF(AND($AM3988&lt;&gt;"",$AS3988&lt;&gt;"✓"),SUMPRODUCT(($AM$11:$AM3988&lt;&gt;"")*($AS$11:$AS3988&lt;&gt;"✓")),"")</f>
        <v/>
      </c>
      <c r="AZ3988" s="21" t="str">
        <f>IF(AND($AM3988&lt;&gt;"",$AS3988="✓"),SUMPRODUCT(($AM$11:$AM3988&lt;&gt;"")*($AS$11:$AS3988="✓")),"")</f>
        <v/>
      </c>
      <c r="BA3988" s="21" t="str">
        <f>IF($AL3988="","",$AL3988&amp;"|"&amp;COUNTIF($AL$11:$AL3988,$AL3988))</f>
        <v/>
      </c>
    </row>
    <row r="3989" spans="38:53" ht="15" customHeight="1" x14ac:dyDescent="0.25">
      <c r="AL3989" s="17"/>
      <c r="AM3989" s="12"/>
      <c r="AN3989" s="18"/>
      <c r="AO3989" s="18"/>
      <c r="AP3989" s="10"/>
      <c r="AQ3989" s="10"/>
      <c r="AR3989" s="19"/>
      <c r="AS3989" s="20"/>
      <c r="AT3989" s="19"/>
      <c r="AV3989" s="21">
        <f>IF(AND($AL3989&lt;&gt;"",COUNTIF($AL$11:$AL3989,$AL3989)=1),1,0)</f>
        <v>0</v>
      </c>
      <c r="AW3989" s="21">
        <f t="shared" si="211"/>
        <v>2</v>
      </c>
      <c r="AX3989" s="21" t="str">
        <f t="shared" si="210"/>
        <v/>
      </c>
      <c r="AY3989" s="21" t="str">
        <f>IF(AND($AM3989&lt;&gt;"",$AS3989&lt;&gt;"✓"),SUMPRODUCT(($AM$11:$AM3989&lt;&gt;"")*($AS$11:$AS3989&lt;&gt;"✓")),"")</f>
        <v/>
      </c>
      <c r="AZ3989" s="21" t="str">
        <f>IF(AND($AM3989&lt;&gt;"",$AS3989="✓"),SUMPRODUCT(($AM$11:$AM3989&lt;&gt;"")*($AS$11:$AS3989="✓")),"")</f>
        <v/>
      </c>
      <c r="BA3989" s="21" t="str">
        <f>IF($AL3989="","",$AL3989&amp;"|"&amp;COUNTIF($AL$11:$AL3989,$AL3989))</f>
        <v/>
      </c>
    </row>
    <row r="3990" spans="38:53" ht="15" customHeight="1" x14ac:dyDescent="0.25">
      <c r="AL3990" s="31"/>
      <c r="AM3990" s="26"/>
      <c r="AN3990" s="32"/>
      <c r="AO3990" s="32"/>
      <c r="AP3990" s="24"/>
      <c r="AQ3990" s="24"/>
      <c r="AR3990" s="33"/>
      <c r="AS3990" s="34"/>
      <c r="AT3990" s="33"/>
      <c r="AV3990" s="21">
        <f>IF(AND($AL3990&lt;&gt;"",COUNTIF($AL$11:$AL3990,$AL3990)=1),1,0)</f>
        <v>0</v>
      </c>
      <c r="AW3990" s="21">
        <f t="shared" si="211"/>
        <v>2</v>
      </c>
      <c r="AX3990" s="21" t="str">
        <f t="shared" si="210"/>
        <v/>
      </c>
      <c r="AY3990" s="21" t="str">
        <f>IF(AND($AM3990&lt;&gt;"",$AS3990&lt;&gt;"✓"),SUMPRODUCT(($AM$11:$AM3990&lt;&gt;"")*($AS$11:$AS3990&lt;&gt;"✓")),"")</f>
        <v/>
      </c>
      <c r="AZ3990" s="21" t="str">
        <f>IF(AND($AM3990&lt;&gt;"",$AS3990="✓"),SUMPRODUCT(($AM$11:$AM3990&lt;&gt;"")*($AS$11:$AS3990="✓")),"")</f>
        <v/>
      </c>
      <c r="BA3990" s="21" t="str">
        <f>IF($AL3990="","",$AL3990&amp;"|"&amp;COUNTIF($AL$11:$AL3990,$AL3990))</f>
        <v/>
      </c>
    </row>
    <row r="3991" spans="38:53" ht="15" customHeight="1" x14ac:dyDescent="0.25">
      <c r="AL3991" s="17"/>
      <c r="AM3991" s="12"/>
      <c r="AN3991" s="18"/>
      <c r="AO3991" s="18"/>
      <c r="AP3991" s="10"/>
      <c r="AQ3991" s="10"/>
      <c r="AR3991" s="19"/>
      <c r="AS3991" s="20"/>
      <c r="AT3991" s="19"/>
      <c r="AV3991" s="21">
        <f>IF(AND($AL3991&lt;&gt;"",COUNTIF($AL$11:$AL3991,$AL3991)=1),1,0)</f>
        <v>0</v>
      </c>
      <c r="AW3991" s="21">
        <f t="shared" si="211"/>
        <v>2</v>
      </c>
      <c r="AX3991" s="21" t="str">
        <f t="shared" si="210"/>
        <v/>
      </c>
      <c r="AY3991" s="21" t="str">
        <f>IF(AND($AM3991&lt;&gt;"",$AS3991&lt;&gt;"✓"),SUMPRODUCT(($AM$11:$AM3991&lt;&gt;"")*($AS$11:$AS3991&lt;&gt;"✓")),"")</f>
        <v/>
      </c>
      <c r="AZ3991" s="21" t="str">
        <f>IF(AND($AM3991&lt;&gt;"",$AS3991="✓"),SUMPRODUCT(($AM$11:$AM3991&lt;&gt;"")*($AS$11:$AS3991="✓")),"")</f>
        <v/>
      </c>
      <c r="BA3991" s="21" t="str">
        <f>IF($AL3991="","",$AL3991&amp;"|"&amp;COUNTIF($AL$11:$AL3991,$AL3991))</f>
        <v/>
      </c>
    </row>
    <row r="3992" spans="38:53" ht="15" customHeight="1" x14ac:dyDescent="0.25">
      <c r="AL3992" s="31"/>
      <c r="AM3992" s="26"/>
      <c r="AN3992" s="32"/>
      <c r="AO3992" s="32"/>
      <c r="AP3992" s="24"/>
      <c r="AQ3992" s="24"/>
      <c r="AR3992" s="33"/>
      <c r="AS3992" s="34"/>
      <c r="AT3992" s="33"/>
      <c r="AV3992" s="21">
        <f>IF(AND($AL3992&lt;&gt;"",COUNTIF($AL$11:$AL3992,$AL3992)=1),1,0)</f>
        <v>0</v>
      </c>
      <c r="AW3992" s="21">
        <f t="shared" si="211"/>
        <v>2</v>
      </c>
      <c r="AX3992" s="21" t="str">
        <f t="shared" si="210"/>
        <v/>
      </c>
      <c r="AY3992" s="21" t="str">
        <f>IF(AND($AM3992&lt;&gt;"",$AS3992&lt;&gt;"✓"),SUMPRODUCT(($AM$11:$AM3992&lt;&gt;"")*($AS$11:$AS3992&lt;&gt;"✓")),"")</f>
        <v/>
      </c>
      <c r="AZ3992" s="21" t="str">
        <f>IF(AND($AM3992&lt;&gt;"",$AS3992="✓"),SUMPRODUCT(($AM$11:$AM3992&lt;&gt;"")*($AS$11:$AS3992="✓")),"")</f>
        <v/>
      </c>
      <c r="BA3992" s="21" t="str">
        <f>IF($AL3992="","",$AL3992&amp;"|"&amp;COUNTIF($AL$11:$AL3992,$AL3992))</f>
        <v/>
      </c>
    </row>
    <row r="3993" spans="38:53" ht="15" customHeight="1" x14ac:dyDescent="0.25">
      <c r="AL3993" s="17"/>
      <c r="AM3993" s="12"/>
      <c r="AN3993" s="18"/>
      <c r="AO3993" s="18"/>
      <c r="AP3993" s="10"/>
      <c r="AQ3993" s="10"/>
      <c r="AR3993" s="19"/>
      <c r="AS3993" s="20"/>
      <c r="AT3993" s="19"/>
      <c r="AV3993" s="21">
        <f>IF(AND($AL3993&lt;&gt;"",COUNTIF($AL$11:$AL3993,$AL3993)=1),1,0)</f>
        <v>0</v>
      </c>
      <c r="AW3993" s="21">
        <f t="shared" si="211"/>
        <v>2</v>
      </c>
      <c r="AX3993" s="21" t="str">
        <f t="shared" si="210"/>
        <v/>
      </c>
      <c r="AY3993" s="21" t="str">
        <f>IF(AND($AM3993&lt;&gt;"",$AS3993&lt;&gt;"✓"),SUMPRODUCT(($AM$11:$AM3993&lt;&gt;"")*($AS$11:$AS3993&lt;&gt;"✓")),"")</f>
        <v/>
      </c>
      <c r="AZ3993" s="21" t="str">
        <f>IF(AND($AM3993&lt;&gt;"",$AS3993="✓"),SUMPRODUCT(($AM$11:$AM3993&lt;&gt;"")*($AS$11:$AS3993="✓")),"")</f>
        <v/>
      </c>
      <c r="BA3993" s="21" t="str">
        <f>IF($AL3993="","",$AL3993&amp;"|"&amp;COUNTIF($AL$11:$AL3993,$AL3993))</f>
        <v/>
      </c>
    </row>
    <row r="3994" spans="38:53" ht="15" customHeight="1" x14ac:dyDescent="0.25">
      <c r="AL3994" s="31"/>
      <c r="AM3994" s="26"/>
      <c r="AN3994" s="32"/>
      <c r="AO3994" s="32"/>
      <c r="AP3994" s="24"/>
      <c r="AQ3994" s="24"/>
      <c r="AR3994" s="33"/>
      <c r="AS3994" s="34"/>
      <c r="AT3994" s="33"/>
      <c r="AV3994" s="21">
        <f>IF(AND($AL3994&lt;&gt;"",COUNTIF($AL$11:$AL3994,$AL3994)=1),1,0)</f>
        <v>0</v>
      </c>
      <c r="AW3994" s="21">
        <f t="shared" si="211"/>
        <v>2</v>
      </c>
      <c r="AX3994" s="21" t="str">
        <f t="shared" si="210"/>
        <v/>
      </c>
      <c r="AY3994" s="21" t="str">
        <f>IF(AND($AM3994&lt;&gt;"",$AS3994&lt;&gt;"✓"),SUMPRODUCT(($AM$11:$AM3994&lt;&gt;"")*($AS$11:$AS3994&lt;&gt;"✓")),"")</f>
        <v/>
      </c>
      <c r="AZ3994" s="21" t="str">
        <f>IF(AND($AM3994&lt;&gt;"",$AS3994="✓"),SUMPRODUCT(($AM$11:$AM3994&lt;&gt;"")*($AS$11:$AS3994="✓")),"")</f>
        <v/>
      </c>
      <c r="BA3994" s="21" t="str">
        <f>IF($AL3994="","",$AL3994&amp;"|"&amp;COUNTIF($AL$11:$AL3994,$AL3994))</f>
        <v/>
      </c>
    </row>
    <row r="3995" spans="38:53" ht="15" customHeight="1" x14ac:dyDescent="0.25">
      <c r="AL3995" s="17"/>
      <c r="AM3995" s="12"/>
      <c r="AN3995" s="18"/>
      <c r="AO3995" s="18"/>
      <c r="AP3995" s="10"/>
      <c r="AQ3995" s="10"/>
      <c r="AR3995" s="19"/>
      <c r="AS3995" s="20"/>
      <c r="AT3995" s="19"/>
      <c r="AV3995" s="21">
        <f>IF(AND($AL3995&lt;&gt;"",COUNTIF($AL$11:$AL3995,$AL3995)=1),1,0)</f>
        <v>0</v>
      </c>
      <c r="AW3995" s="21">
        <f t="shared" si="211"/>
        <v>2</v>
      </c>
      <c r="AX3995" s="21" t="str">
        <f t="shared" si="210"/>
        <v/>
      </c>
      <c r="AY3995" s="21" t="str">
        <f>IF(AND($AM3995&lt;&gt;"",$AS3995&lt;&gt;"✓"),SUMPRODUCT(($AM$11:$AM3995&lt;&gt;"")*($AS$11:$AS3995&lt;&gt;"✓")),"")</f>
        <v/>
      </c>
      <c r="AZ3995" s="21" t="str">
        <f>IF(AND($AM3995&lt;&gt;"",$AS3995="✓"),SUMPRODUCT(($AM$11:$AM3995&lt;&gt;"")*($AS$11:$AS3995="✓")),"")</f>
        <v/>
      </c>
      <c r="BA3995" s="21" t="str">
        <f>IF($AL3995="","",$AL3995&amp;"|"&amp;COUNTIF($AL$11:$AL3995,$AL3995))</f>
        <v/>
      </c>
    </row>
    <row r="3996" spans="38:53" ht="15" customHeight="1" x14ac:dyDescent="0.25">
      <c r="AL3996" s="31"/>
      <c r="AM3996" s="26"/>
      <c r="AN3996" s="32"/>
      <c r="AO3996" s="32"/>
      <c r="AP3996" s="24"/>
      <c r="AQ3996" s="24"/>
      <c r="AR3996" s="33"/>
      <c r="AS3996" s="34"/>
      <c r="AT3996" s="33"/>
      <c r="AV3996" s="21">
        <f>IF(AND($AL3996&lt;&gt;"",COUNTIF($AL$11:$AL3996,$AL3996)=1),1,0)</f>
        <v>0</v>
      </c>
      <c r="AW3996" s="21">
        <f t="shared" si="211"/>
        <v>2</v>
      </c>
      <c r="AX3996" s="21" t="str">
        <f t="shared" si="210"/>
        <v/>
      </c>
      <c r="AY3996" s="21" t="str">
        <f>IF(AND($AM3996&lt;&gt;"",$AS3996&lt;&gt;"✓"),SUMPRODUCT(($AM$11:$AM3996&lt;&gt;"")*($AS$11:$AS3996&lt;&gt;"✓")),"")</f>
        <v/>
      </c>
      <c r="AZ3996" s="21" t="str">
        <f>IF(AND($AM3996&lt;&gt;"",$AS3996="✓"),SUMPRODUCT(($AM$11:$AM3996&lt;&gt;"")*($AS$11:$AS3996="✓")),"")</f>
        <v/>
      </c>
      <c r="BA3996" s="21" t="str">
        <f>IF($AL3996="","",$AL3996&amp;"|"&amp;COUNTIF($AL$11:$AL3996,$AL3996))</f>
        <v/>
      </c>
    </row>
    <row r="3997" spans="38:53" ht="15" customHeight="1" x14ac:dyDescent="0.25">
      <c r="AL3997" s="17"/>
      <c r="AM3997" s="12"/>
      <c r="AN3997" s="18"/>
      <c r="AO3997" s="18"/>
      <c r="AP3997" s="10"/>
      <c r="AQ3997" s="10"/>
      <c r="AR3997" s="19"/>
      <c r="AS3997" s="20"/>
      <c r="AT3997" s="19"/>
      <c r="AV3997" s="21">
        <f>IF(AND($AL3997&lt;&gt;"",COUNTIF($AL$11:$AL3997,$AL3997)=1),1,0)</f>
        <v>0</v>
      </c>
      <c r="AW3997" s="21">
        <f t="shared" si="211"/>
        <v>2</v>
      </c>
      <c r="AX3997" s="21" t="str">
        <f t="shared" si="210"/>
        <v/>
      </c>
      <c r="AY3997" s="21" t="str">
        <f>IF(AND($AM3997&lt;&gt;"",$AS3997&lt;&gt;"✓"),SUMPRODUCT(($AM$11:$AM3997&lt;&gt;"")*($AS$11:$AS3997&lt;&gt;"✓")),"")</f>
        <v/>
      </c>
      <c r="AZ3997" s="21" t="str">
        <f>IF(AND($AM3997&lt;&gt;"",$AS3997="✓"),SUMPRODUCT(($AM$11:$AM3997&lt;&gt;"")*($AS$11:$AS3997="✓")),"")</f>
        <v/>
      </c>
      <c r="BA3997" s="21" t="str">
        <f>IF($AL3997="","",$AL3997&amp;"|"&amp;COUNTIF($AL$11:$AL3997,$AL3997))</f>
        <v/>
      </c>
    </row>
    <row r="3998" spans="38:53" ht="15" customHeight="1" x14ac:dyDescent="0.25">
      <c r="AL3998" s="31"/>
      <c r="AM3998" s="26"/>
      <c r="AN3998" s="32"/>
      <c r="AO3998" s="32"/>
      <c r="AP3998" s="24"/>
      <c r="AQ3998" s="24"/>
      <c r="AR3998" s="33"/>
      <c r="AS3998" s="34"/>
      <c r="AT3998" s="33"/>
      <c r="AV3998" s="21">
        <f>IF(AND($AL3998&lt;&gt;"",COUNTIF($AL$11:$AL3998,$AL3998)=1),1,0)</f>
        <v>0</v>
      </c>
      <c r="AW3998" s="21">
        <f t="shared" si="211"/>
        <v>2</v>
      </c>
      <c r="AX3998" s="21" t="str">
        <f t="shared" si="210"/>
        <v/>
      </c>
      <c r="AY3998" s="21" t="str">
        <f>IF(AND($AM3998&lt;&gt;"",$AS3998&lt;&gt;"✓"),SUMPRODUCT(($AM$11:$AM3998&lt;&gt;"")*($AS$11:$AS3998&lt;&gt;"✓")),"")</f>
        <v/>
      </c>
      <c r="AZ3998" s="21" t="str">
        <f>IF(AND($AM3998&lt;&gt;"",$AS3998="✓"),SUMPRODUCT(($AM$11:$AM3998&lt;&gt;"")*($AS$11:$AS3998="✓")),"")</f>
        <v/>
      </c>
      <c r="BA3998" s="21" t="str">
        <f>IF($AL3998="","",$AL3998&amp;"|"&amp;COUNTIF($AL$11:$AL3998,$AL3998))</f>
        <v/>
      </c>
    </row>
    <row r="3999" spans="38:53" ht="15" customHeight="1" x14ac:dyDescent="0.25">
      <c r="AL3999" s="17"/>
      <c r="AM3999" s="12"/>
      <c r="AN3999" s="18"/>
      <c r="AO3999" s="18"/>
      <c r="AP3999" s="10"/>
      <c r="AQ3999" s="10"/>
      <c r="AR3999" s="19"/>
      <c r="AS3999" s="20"/>
      <c r="AT3999" s="19"/>
      <c r="AV3999" s="21">
        <f>IF(AND($AL3999&lt;&gt;"",COUNTIF($AL$11:$AL3999,$AL3999)=1),1,0)</f>
        <v>0</v>
      </c>
      <c r="AW3999" s="21">
        <f t="shared" si="211"/>
        <v>2</v>
      </c>
      <c r="AX3999" s="21" t="str">
        <f t="shared" si="210"/>
        <v/>
      </c>
      <c r="AY3999" s="21" t="str">
        <f>IF(AND($AM3999&lt;&gt;"",$AS3999&lt;&gt;"✓"),SUMPRODUCT(($AM$11:$AM3999&lt;&gt;"")*($AS$11:$AS3999&lt;&gt;"✓")),"")</f>
        <v/>
      </c>
      <c r="AZ3999" s="21" t="str">
        <f>IF(AND($AM3999&lt;&gt;"",$AS3999="✓"),SUMPRODUCT(($AM$11:$AM3999&lt;&gt;"")*($AS$11:$AS3999="✓")),"")</f>
        <v/>
      </c>
      <c r="BA3999" s="21" t="str">
        <f>IF($AL3999="","",$AL3999&amp;"|"&amp;COUNTIF($AL$11:$AL3999,$AL3999))</f>
        <v/>
      </c>
    </row>
    <row r="4000" spans="38:53" ht="15" customHeight="1" x14ac:dyDescent="0.25">
      <c r="AL4000" s="31"/>
      <c r="AM4000" s="26"/>
      <c r="AN4000" s="32"/>
      <c r="AO4000" s="32"/>
      <c r="AP4000" s="24"/>
      <c r="AQ4000" s="24"/>
      <c r="AR4000" s="33"/>
      <c r="AS4000" s="34"/>
      <c r="AT4000" s="33"/>
      <c r="AV4000" s="21">
        <f>IF(AND($AL4000&lt;&gt;"",COUNTIF($AL$11:$AL4000,$AL4000)=1),1,0)</f>
        <v>0</v>
      </c>
      <c r="AW4000" s="21">
        <f t="shared" si="211"/>
        <v>2</v>
      </c>
      <c r="AX4000" s="21" t="str">
        <f t="shared" si="210"/>
        <v/>
      </c>
      <c r="AY4000" s="21" t="str">
        <f>IF(AND($AM4000&lt;&gt;"",$AS4000&lt;&gt;"✓"),SUMPRODUCT(($AM$11:$AM4000&lt;&gt;"")*($AS$11:$AS4000&lt;&gt;"✓")),"")</f>
        <v/>
      </c>
      <c r="AZ4000" s="21" t="str">
        <f>IF(AND($AM4000&lt;&gt;"",$AS4000="✓"),SUMPRODUCT(($AM$11:$AM4000&lt;&gt;"")*($AS$11:$AS4000="✓")),"")</f>
        <v/>
      </c>
      <c r="BA4000" s="21" t="str">
        <f>IF($AL4000="","",$AL4000&amp;"|"&amp;COUNTIF($AL$11:$AL4000,$AL4000))</f>
        <v/>
      </c>
    </row>
    <row r="4001" spans="38:53" ht="15" customHeight="1" x14ac:dyDescent="0.25">
      <c r="AL4001" s="17"/>
      <c r="AM4001" s="12"/>
      <c r="AN4001" s="18"/>
      <c r="AO4001" s="18"/>
      <c r="AP4001" s="10"/>
      <c r="AQ4001" s="10"/>
      <c r="AR4001" s="19"/>
      <c r="AS4001" s="20"/>
      <c r="AT4001" s="19"/>
      <c r="AV4001" s="21">
        <f>IF(AND($AL4001&lt;&gt;"",COUNTIF($AL$11:$AL4001,$AL4001)=1),1,0)</f>
        <v>0</v>
      </c>
      <c r="AW4001" s="21">
        <f t="shared" si="211"/>
        <v>2</v>
      </c>
      <c r="AX4001" s="21" t="str">
        <f t="shared" si="210"/>
        <v/>
      </c>
      <c r="AY4001" s="21" t="str">
        <f>IF(AND($AM4001&lt;&gt;"",$AS4001&lt;&gt;"✓"),SUMPRODUCT(($AM$11:$AM4001&lt;&gt;"")*($AS$11:$AS4001&lt;&gt;"✓")),"")</f>
        <v/>
      </c>
      <c r="AZ4001" s="21" t="str">
        <f>IF(AND($AM4001&lt;&gt;"",$AS4001="✓"),SUMPRODUCT(($AM$11:$AM4001&lt;&gt;"")*($AS$11:$AS4001="✓")),"")</f>
        <v/>
      </c>
      <c r="BA4001" s="21" t="str">
        <f>IF($AL4001="","",$AL4001&amp;"|"&amp;COUNTIF($AL$11:$AL4001,$AL4001))</f>
        <v/>
      </c>
    </row>
    <row r="4002" spans="38:53" ht="15" customHeight="1" x14ac:dyDescent="0.25">
      <c r="AL4002" s="31"/>
      <c r="AM4002" s="26"/>
      <c r="AN4002" s="32"/>
      <c r="AO4002" s="32"/>
      <c r="AP4002" s="24"/>
      <c r="AQ4002" s="24"/>
      <c r="AR4002" s="33"/>
      <c r="AS4002" s="34"/>
      <c r="AT4002" s="33"/>
      <c r="AV4002" s="21">
        <f>IF(AND($AL4002&lt;&gt;"",COUNTIF($AL$11:$AL4002,$AL4002)=1),1,0)</f>
        <v>0</v>
      </c>
      <c r="AW4002" s="21">
        <f t="shared" si="211"/>
        <v>2</v>
      </c>
      <c r="AX4002" s="21" t="str">
        <f t="shared" si="210"/>
        <v/>
      </c>
      <c r="AY4002" s="21" t="str">
        <f>IF(AND($AM4002&lt;&gt;"",$AS4002&lt;&gt;"✓"),SUMPRODUCT(($AM$11:$AM4002&lt;&gt;"")*($AS$11:$AS4002&lt;&gt;"✓")),"")</f>
        <v/>
      </c>
      <c r="AZ4002" s="21" t="str">
        <f>IF(AND($AM4002&lt;&gt;"",$AS4002="✓"),SUMPRODUCT(($AM$11:$AM4002&lt;&gt;"")*($AS$11:$AS4002="✓")),"")</f>
        <v/>
      </c>
      <c r="BA4002" s="21" t="str">
        <f>IF($AL4002="","",$AL4002&amp;"|"&amp;COUNTIF($AL$11:$AL4002,$AL4002))</f>
        <v/>
      </c>
    </row>
    <row r="4003" spans="38:53" ht="15" customHeight="1" x14ac:dyDescent="0.25">
      <c r="AL4003" s="17"/>
      <c r="AM4003" s="12"/>
      <c r="AN4003" s="18"/>
      <c r="AO4003" s="18"/>
      <c r="AP4003" s="10"/>
      <c r="AQ4003" s="10"/>
      <c r="AR4003" s="19"/>
      <c r="AS4003" s="20"/>
      <c r="AT4003" s="19"/>
      <c r="AV4003" s="21">
        <f>IF(AND($AL4003&lt;&gt;"",COUNTIF($AL$11:$AL4003,$AL4003)=1),1,0)</f>
        <v>0</v>
      </c>
      <c r="AW4003" s="21">
        <f t="shared" si="211"/>
        <v>2</v>
      </c>
      <c r="AX4003" s="21" t="str">
        <f t="shared" si="210"/>
        <v/>
      </c>
      <c r="AY4003" s="21" t="str">
        <f>IF(AND($AM4003&lt;&gt;"",$AS4003&lt;&gt;"✓"),SUMPRODUCT(($AM$11:$AM4003&lt;&gt;"")*($AS$11:$AS4003&lt;&gt;"✓")),"")</f>
        <v/>
      </c>
      <c r="AZ4003" s="21" t="str">
        <f>IF(AND($AM4003&lt;&gt;"",$AS4003="✓"),SUMPRODUCT(($AM$11:$AM4003&lt;&gt;"")*($AS$11:$AS4003="✓")),"")</f>
        <v/>
      </c>
      <c r="BA4003" s="21" t="str">
        <f>IF($AL4003="","",$AL4003&amp;"|"&amp;COUNTIF($AL$11:$AL4003,$AL4003))</f>
        <v/>
      </c>
    </row>
    <row r="4004" spans="38:53" ht="15" customHeight="1" x14ac:dyDescent="0.25">
      <c r="AL4004" s="31"/>
      <c r="AM4004" s="26"/>
      <c r="AN4004" s="32"/>
      <c r="AO4004" s="32"/>
      <c r="AP4004" s="24"/>
      <c r="AQ4004" s="24"/>
      <c r="AR4004" s="33"/>
      <c r="AS4004" s="34"/>
      <c r="AT4004" s="33"/>
      <c r="AV4004" s="21">
        <f>IF(AND($AL4004&lt;&gt;"",COUNTIF($AL$11:$AL4004,$AL4004)=1),1,0)</f>
        <v>0</v>
      </c>
      <c r="AW4004" s="21">
        <f t="shared" si="211"/>
        <v>2</v>
      </c>
      <c r="AX4004" s="21" t="str">
        <f t="shared" si="210"/>
        <v/>
      </c>
      <c r="AY4004" s="21" t="str">
        <f>IF(AND($AM4004&lt;&gt;"",$AS4004&lt;&gt;"✓"),SUMPRODUCT(($AM$11:$AM4004&lt;&gt;"")*($AS$11:$AS4004&lt;&gt;"✓")),"")</f>
        <v/>
      </c>
      <c r="AZ4004" s="21" t="str">
        <f>IF(AND($AM4004&lt;&gt;"",$AS4004="✓"),SUMPRODUCT(($AM$11:$AM4004&lt;&gt;"")*($AS$11:$AS4004="✓")),"")</f>
        <v/>
      </c>
      <c r="BA4004" s="21" t="str">
        <f>IF($AL4004="","",$AL4004&amp;"|"&amp;COUNTIF($AL$11:$AL4004,$AL4004))</f>
        <v/>
      </c>
    </row>
    <row r="4005" spans="38:53" ht="15" customHeight="1" x14ac:dyDescent="0.25">
      <c r="AL4005" s="17"/>
      <c r="AM4005" s="12"/>
      <c r="AN4005" s="18"/>
      <c r="AO4005" s="18"/>
      <c r="AP4005" s="10"/>
      <c r="AQ4005" s="10"/>
      <c r="AR4005" s="19"/>
      <c r="AS4005" s="20"/>
      <c r="AT4005" s="19"/>
      <c r="AV4005" s="21">
        <f>IF(AND($AL4005&lt;&gt;"",COUNTIF($AL$11:$AL4005,$AL4005)=1),1,0)</f>
        <v>0</v>
      </c>
      <c r="AW4005" s="21">
        <f t="shared" si="211"/>
        <v>2</v>
      </c>
      <c r="AX4005" s="21" t="str">
        <f t="shared" si="210"/>
        <v/>
      </c>
      <c r="AY4005" s="21" t="str">
        <f>IF(AND($AM4005&lt;&gt;"",$AS4005&lt;&gt;"✓"),SUMPRODUCT(($AM$11:$AM4005&lt;&gt;"")*($AS$11:$AS4005&lt;&gt;"✓")),"")</f>
        <v/>
      </c>
      <c r="AZ4005" s="21" t="str">
        <f>IF(AND($AM4005&lt;&gt;"",$AS4005="✓"),SUMPRODUCT(($AM$11:$AM4005&lt;&gt;"")*($AS$11:$AS4005="✓")),"")</f>
        <v/>
      </c>
      <c r="BA4005" s="21" t="str">
        <f>IF($AL4005="","",$AL4005&amp;"|"&amp;COUNTIF($AL$11:$AL4005,$AL4005))</f>
        <v/>
      </c>
    </row>
    <row r="4006" spans="38:53" ht="15" customHeight="1" x14ac:dyDescent="0.25">
      <c r="AL4006" s="31"/>
      <c r="AM4006" s="26"/>
      <c r="AN4006" s="32"/>
      <c r="AO4006" s="32"/>
      <c r="AP4006" s="24"/>
      <c r="AQ4006" s="24"/>
      <c r="AR4006" s="33"/>
      <c r="AS4006" s="34"/>
      <c r="AT4006" s="33"/>
      <c r="AV4006" s="21">
        <f>IF(AND($AL4006&lt;&gt;"",COUNTIF($AL$11:$AL4006,$AL4006)=1),1,0)</f>
        <v>0</v>
      </c>
      <c r="AW4006" s="21">
        <f t="shared" si="211"/>
        <v>2</v>
      </c>
      <c r="AX4006" s="21" t="str">
        <f t="shared" si="210"/>
        <v/>
      </c>
      <c r="AY4006" s="21" t="str">
        <f>IF(AND($AM4006&lt;&gt;"",$AS4006&lt;&gt;"✓"),SUMPRODUCT(($AM$11:$AM4006&lt;&gt;"")*($AS$11:$AS4006&lt;&gt;"✓")),"")</f>
        <v/>
      </c>
      <c r="AZ4006" s="21" t="str">
        <f>IF(AND($AM4006&lt;&gt;"",$AS4006="✓"),SUMPRODUCT(($AM$11:$AM4006&lt;&gt;"")*($AS$11:$AS4006="✓")),"")</f>
        <v/>
      </c>
      <c r="BA4006" s="21" t="str">
        <f>IF($AL4006="","",$AL4006&amp;"|"&amp;COUNTIF($AL$11:$AL4006,$AL4006))</f>
        <v/>
      </c>
    </row>
    <row r="4007" spans="38:53" ht="15" customHeight="1" x14ac:dyDescent="0.25">
      <c r="AL4007" s="17"/>
      <c r="AM4007" s="12"/>
      <c r="AN4007" s="18"/>
      <c r="AO4007" s="18"/>
      <c r="AP4007" s="10"/>
      <c r="AQ4007" s="10"/>
      <c r="AR4007" s="19"/>
      <c r="AS4007" s="20"/>
      <c r="AT4007" s="19"/>
      <c r="AV4007" s="21">
        <f>IF(AND($AL4007&lt;&gt;"",COUNTIF($AL$11:$AL4007,$AL4007)=1),1,0)</f>
        <v>0</v>
      </c>
      <c r="AW4007" s="21">
        <f t="shared" si="211"/>
        <v>2</v>
      </c>
      <c r="AX4007" s="21" t="str">
        <f t="shared" si="210"/>
        <v/>
      </c>
      <c r="AY4007" s="21" t="str">
        <f>IF(AND($AM4007&lt;&gt;"",$AS4007&lt;&gt;"✓"),SUMPRODUCT(($AM$11:$AM4007&lt;&gt;"")*($AS$11:$AS4007&lt;&gt;"✓")),"")</f>
        <v/>
      </c>
      <c r="AZ4007" s="21" t="str">
        <f>IF(AND($AM4007&lt;&gt;"",$AS4007="✓"),SUMPRODUCT(($AM$11:$AM4007&lt;&gt;"")*($AS$11:$AS4007="✓")),"")</f>
        <v/>
      </c>
      <c r="BA4007" s="21" t="str">
        <f>IF($AL4007="","",$AL4007&amp;"|"&amp;COUNTIF($AL$11:$AL4007,$AL4007))</f>
        <v/>
      </c>
    </row>
    <row r="4008" spans="38:53" ht="15" customHeight="1" x14ac:dyDescent="0.25">
      <c r="AL4008" s="31"/>
      <c r="AM4008" s="26"/>
      <c r="AN4008" s="32"/>
      <c r="AO4008" s="32"/>
      <c r="AP4008" s="24"/>
      <c r="AQ4008" s="24"/>
      <c r="AR4008" s="33"/>
      <c r="AS4008" s="34"/>
      <c r="AT4008" s="33"/>
      <c r="AV4008" s="21">
        <f>IF(AND($AL4008&lt;&gt;"",COUNTIF($AL$11:$AL4008,$AL4008)=1),1,0)</f>
        <v>0</v>
      </c>
      <c r="AW4008" s="21">
        <f t="shared" si="211"/>
        <v>2</v>
      </c>
      <c r="AX4008" s="21" t="str">
        <f t="shared" si="210"/>
        <v/>
      </c>
      <c r="AY4008" s="21" t="str">
        <f>IF(AND($AM4008&lt;&gt;"",$AS4008&lt;&gt;"✓"),SUMPRODUCT(($AM$11:$AM4008&lt;&gt;"")*($AS$11:$AS4008&lt;&gt;"✓")),"")</f>
        <v/>
      </c>
      <c r="AZ4008" s="21" t="str">
        <f>IF(AND($AM4008&lt;&gt;"",$AS4008="✓"),SUMPRODUCT(($AM$11:$AM4008&lt;&gt;"")*($AS$11:$AS4008="✓")),"")</f>
        <v/>
      </c>
      <c r="BA4008" s="21" t="str">
        <f>IF($AL4008="","",$AL4008&amp;"|"&amp;COUNTIF($AL$11:$AL4008,$AL4008))</f>
        <v/>
      </c>
    </row>
    <row r="4009" spans="38:53" ht="15" customHeight="1" x14ac:dyDescent="0.25">
      <c r="AL4009" s="17"/>
      <c r="AM4009" s="12"/>
      <c r="AN4009" s="18"/>
      <c r="AO4009" s="18"/>
      <c r="AP4009" s="10"/>
      <c r="AQ4009" s="10"/>
      <c r="AR4009" s="19"/>
      <c r="AS4009" s="20"/>
      <c r="AT4009" s="19"/>
      <c r="AV4009" s="21">
        <f>IF(AND($AL4009&lt;&gt;"",COUNTIF($AL$11:$AL4009,$AL4009)=1),1,0)</f>
        <v>0</v>
      </c>
      <c r="AW4009" s="21">
        <f t="shared" si="211"/>
        <v>2</v>
      </c>
      <c r="AX4009" s="21" t="str">
        <f t="shared" si="210"/>
        <v/>
      </c>
      <c r="AY4009" s="21" t="str">
        <f>IF(AND($AM4009&lt;&gt;"",$AS4009&lt;&gt;"✓"),SUMPRODUCT(($AM$11:$AM4009&lt;&gt;"")*($AS$11:$AS4009&lt;&gt;"✓")),"")</f>
        <v/>
      </c>
      <c r="AZ4009" s="21" t="str">
        <f>IF(AND($AM4009&lt;&gt;"",$AS4009="✓"),SUMPRODUCT(($AM$11:$AM4009&lt;&gt;"")*($AS$11:$AS4009="✓")),"")</f>
        <v/>
      </c>
      <c r="BA4009" s="21" t="str">
        <f>IF($AL4009="","",$AL4009&amp;"|"&amp;COUNTIF($AL$11:$AL4009,$AL4009))</f>
        <v/>
      </c>
    </row>
    <row r="4010" spans="38:53" ht="15" customHeight="1" x14ac:dyDescent="0.25">
      <c r="AL4010" s="31"/>
      <c r="AM4010" s="26"/>
      <c r="AN4010" s="32"/>
      <c r="AO4010" s="32"/>
      <c r="AP4010" s="24"/>
      <c r="AQ4010" s="24"/>
      <c r="AR4010" s="33"/>
      <c r="AS4010" s="34"/>
      <c r="AT4010" s="33"/>
      <c r="AV4010" s="21">
        <f>IF(AND($AL4010&lt;&gt;"",COUNTIF($AL$11:$AL4010,$AL4010)=1),1,0)</f>
        <v>0</v>
      </c>
      <c r="AW4010" s="21">
        <f t="shared" si="211"/>
        <v>2</v>
      </c>
      <c r="AX4010" s="21" t="str">
        <f t="shared" si="210"/>
        <v/>
      </c>
      <c r="AY4010" s="21" t="str">
        <f>IF(AND($AM4010&lt;&gt;"",$AS4010&lt;&gt;"✓"),SUMPRODUCT(($AM$11:$AM4010&lt;&gt;"")*($AS$11:$AS4010&lt;&gt;"✓")),"")</f>
        <v/>
      </c>
      <c r="AZ4010" s="21" t="str">
        <f>IF(AND($AM4010&lt;&gt;"",$AS4010="✓"),SUMPRODUCT(($AM$11:$AM4010&lt;&gt;"")*($AS$11:$AS4010="✓")),"")</f>
        <v/>
      </c>
      <c r="BA4010" s="21" t="str">
        <f>IF($AL4010="","",$AL4010&amp;"|"&amp;COUNTIF($AL$11:$AL4010,$AL4010))</f>
        <v/>
      </c>
    </row>
  </sheetData>
  <mergeCells count="27">
    <mergeCell ref="S8:U8"/>
    <mergeCell ref="BP11:BQ11"/>
    <mergeCell ref="W8:AB9"/>
    <mergeCell ref="AL8:AT9"/>
    <mergeCell ref="E4:F4"/>
    <mergeCell ref="P7:U7"/>
    <mergeCell ref="G5:I5"/>
    <mergeCell ref="B2:I2"/>
    <mergeCell ref="G4:I4"/>
    <mergeCell ref="B5:D5"/>
    <mergeCell ref="B4:D4"/>
    <mergeCell ref="P8:R8"/>
    <mergeCell ref="B7:I7"/>
    <mergeCell ref="AL7:AT7"/>
    <mergeCell ref="E5:F5"/>
    <mergeCell ref="BL11:BN11"/>
    <mergeCell ref="K7:N7"/>
    <mergeCell ref="AD7:AJ7"/>
    <mergeCell ref="G8:H8"/>
    <mergeCell ref="W7:AB7"/>
    <mergeCell ref="BD11:BF11"/>
    <mergeCell ref="B8:F8"/>
    <mergeCell ref="K8:N9"/>
    <mergeCell ref="B9:I9"/>
    <mergeCell ref="P9:U9"/>
    <mergeCell ref="BH11:BI11"/>
    <mergeCell ref="AD8:AJ9"/>
  </mergeCells>
  <conditionalFormatting sqref="AD11:AJ1010">
    <cfRule type="expression" dxfId="5" priority="3">
      <formula>$AE11&lt;&gt;""</formula>
    </cfRule>
  </conditionalFormatting>
  <conditionalFormatting sqref="AL11:AT4010">
    <cfRule type="expression" dxfId="4" priority="2">
      <formula>$AS11="✓"</formula>
    </cfRule>
  </conditionalFormatting>
  <dataValidations count="6">
    <dataValidation type="list" allowBlank="1" sqref="D11:D510" xr:uid="{00000000-0002-0000-0100-000000000000}">
      <formula1>"D,E,F,G,H,I,J,K,L,M"</formula1>
      <formula2>0</formula2>
    </dataValidation>
    <dataValidation type="list" allowBlank="1" sqref="E11:E510" xr:uid="{00000000-0002-0000-0100-000001000000}">
      <formula1>"FL,IF,VVS1,VVS2,VS1,VS2,SI1,SI2,I1,I2,I3"</formula1>
      <formula2>0</formula2>
    </dataValidation>
    <dataValidation type="decimal" operator="greaterThanOrEqual" allowBlank="1" sqref="F11:G510" xr:uid="{00000000-0002-0000-0100-000002000000}">
      <formula1>0</formula1>
      <formula2>0</formula2>
    </dataValidation>
    <dataValidation type="whole" operator="greaterThanOrEqual" allowBlank="1" sqref="I11:I510" xr:uid="{00000000-0002-0000-0100-000003000000}">
      <formula1>1</formula1>
      <formula2>0</formula2>
    </dataValidation>
    <dataValidation type="date" operator="greaterThanOrEqual" allowBlank="1" sqref="H11:H510" xr:uid="{00000000-0002-0000-0100-000004000000}">
      <formula1>DATE(2000,1,1)</formula1>
      <formula2>0</formula2>
    </dataValidation>
    <dataValidation type="list" allowBlank="1" promptTitle="Received" prompt="Tick ✓ to receive (macro stamps date)" sqref="AS11:AS4010" xr:uid="{00000000-0002-0000-0100-000005000000}">
      <formula1>"✓"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F9268"/>
  </sheetPr>
  <dimension ref="B2:BQ4010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5" x14ac:dyDescent="0.25"/>
  <cols>
    <col min="1" max="1" width="2.42578125" customWidth="1"/>
    <col min="2" max="2" width="5" customWidth="1"/>
    <col min="3" max="3" width="12" customWidth="1"/>
    <col min="4" max="5" width="6" customWidth="1"/>
    <col min="6" max="7" width="7" customWidth="1"/>
    <col min="8" max="8" width="11" customWidth="1"/>
    <col min="9" max="9" width="7" customWidth="1"/>
    <col min="10" max="10" width="2.42578125" customWidth="1"/>
    <col min="11" max="11" width="7" customWidth="1"/>
    <col min="12" max="12" width="8" customWidth="1"/>
    <col min="13" max="14" width="9" customWidth="1"/>
    <col min="15" max="15" width="2.42578125" customWidth="1"/>
    <col min="16" max="16" width="12" customWidth="1"/>
    <col min="17" max="18" width="8" customWidth="1"/>
    <col min="19" max="20" width="6" customWidth="1"/>
    <col min="21" max="21" width="7" customWidth="1"/>
    <col min="22" max="22" width="2.42578125" customWidth="1"/>
    <col min="23" max="23" width="7" customWidth="1"/>
    <col min="24" max="24" width="12" customWidth="1"/>
    <col min="25" max="26" width="8" customWidth="1"/>
    <col min="27" max="27" width="6" customWidth="1"/>
    <col min="28" max="28" width="11" customWidth="1"/>
    <col min="29" max="29" width="2.42578125" customWidth="1"/>
    <col min="30" max="30" width="7" customWidth="1"/>
    <col min="31" max="31" width="12" customWidth="1"/>
    <col min="32" max="33" width="8" customWidth="1"/>
    <col min="34" max="34" width="6" customWidth="1"/>
    <col min="35" max="36" width="11" customWidth="1"/>
    <col min="37" max="37" width="2.42578125" customWidth="1"/>
    <col min="38" max="38" width="7" customWidth="1"/>
    <col min="39" max="39" width="12" customWidth="1"/>
    <col min="40" max="41" width="8" customWidth="1"/>
    <col min="42" max="43" width="6" customWidth="1"/>
    <col min="44" max="44" width="11" customWidth="1"/>
    <col min="45" max="45" width="10" customWidth="1"/>
    <col min="46" max="46" width="11" customWidth="1"/>
    <col min="47" max="47" width="2.42578125" customWidth="1"/>
    <col min="48" max="53" width="13" hidden="1" customWidth="1"/>
    <col min="56" max="56" width="5" customWidth="1"/>
    <col min="57" max="57" width="11" customWidth="1"/>
    <col min="58" max="59" width="6" customWidth="1"/>
    <col min="60" max="61" width="7" customWidth="1"/>
    <col min="64" max="64" width="5" customWidth="1"/>
    <col min="65" max="65" width="11" customWidth="1"/>
    <col min="66" max="67" width="6" customWidth="1"/>
    <col min="68" max="69" width="7" customWidth="1"/>
  </cols>
  <sheetData>
    <row r="2" spans="2:69" ht="25.5" customHeight="1" x14ac:dyDescent="0.25">
      <c r="B2" s="81" t="s">
        <v>4</v>
      </c>
      <c r="C2" s="46"/>
      <c r="D2" s="46"/>
      <c r="E2" s="46"/>
      <c r="F2" s="46"/>
      <c r="G2" s="46"/>
      <c r="H2" s="46"/>
      <c r="I2" s="41"/>
    </row>
    <row r="4" spans="2:69" ht="15.75" customHeight="1" x14ac:dyDescent="0.25">
      <c r="B4" s="91" t="s">
        <v>7</v>
      </c>
      <c r="C4" s="48"/>
      <c r="D4" s="49"/>
      <c r="E4" s="79" t="s">
        <v>8</v>
      </c>
      <c r="F4" s="55"/>
      <c r="G4" s="82" t="s">
        <v>9</v>
      </c>
      <c r="H4" s="46"/>
      <c r="I4" s="41"/>
    </row>
    <row r="5" spans="2:69" ht="30" customHeight="1" x14ac:dyDescent="0.25">
      <c r="B5" s="84">
        <f>SUMPRODUCT(($AM$11:$AM$4010&lt;&gt;"")*($AS$11:$AS$4010&lt;&gt;"✓"))</f>
        <v>0</v>
      </c>
      <c r="C5" s="48"/>
      <c r="D5" s="49"/>
      <c r="E5" s="70">
        <f>SUMPRODUCT(($AM$11:$AM$4010&lt;&gt;"")*($AS$11:$AS$4010="✓"))</f>
        <v>0</v>
      </c>
      <c r="F5" s="55"/>
      <c r="G5" s="80">
        <f>IFERROR(MAX($AL$11:$AL$4010),0)</f>
        <v>0</v>
      </c>
      <c r="H5" s="46"/>
      <c r="I5" s="41"/>
    </row>
    <row r="6" spans="2:69" ht="9.75" customHeight="1" x14ac:dyDescent="0.25"/>
    <row r="7" spans="2:69" ht="19.5" customHeight="1" x14ac:dyDescent="0.25">
      <c r="B7" s="64" t="s">
        <v>10</v>
      </c>
      <c r="C7" s="65"/>
      <c r="D7" s="65"/>
      <c r="E7" s="65"/>
      <c r="F7" s="65"/>
      <c r="G7" s="65"/>
      <c r="H7" s="65"/>
      <c r="I7" s="66"/>
      <c r="K7" s="51" t="s">
        <v>11</v>
      </c>
      <c r="L7" s="46"/>
      <c r="M7" s="46"/>
      <c r="N7" s="41"/>
      <c r="P7" s="47" t="s">
        <v>12</v>
      </c>
      <c r="Q7" s="48"/>
      <c r="R7" s="48"/>
      <c r="S7" s="48"/>
      <c r="T7" s="48"/>
      <c r="U7" s="49"/>
      <c r="W7" s="76" t="s">
        <v>13</v>
      </c>
      <c r="X7" s="77"/>
      <c r="Y7" s="77"/>
      <c r="Z7" s="77"/>
      <c r="AA7" s="77"/>
      <c r="AB7" s="78"/>
      <c r="AD7" s="57" t="s">
        <v>14</v>
      </c>
      <c r="AE7" s="54"/>
      <c r="AF7" s="54"/>
      <c r="AG7" s="54"/>
      <c r="AH7" s="54"/>
      <c r="AI7" s="54"/>
      <c r="AJ7" s="55"/>
      <c r="AL7" s="67" t="s">
        <v>15</v>
      </c>
      <c r="AM7" s="68"/>
      <c r="AN7" s="68"/>
      <c r="AO7" s="68"/>
      <c r="AP7" s="68"/>
      <c r="AQ7" s="68"/>
      <c r="AR7" s="68"/>
      <c r="AS7" s="68"/>
      <c r="AT7" s="69"/>
    </row>
    <row r="8" spans="2:69" ht="21.75" customHeight="1" x14ac:dyDescent="0.25">
      <c r="B8" s="83" t="s">
        <v>16</v>
      </c>
      <c r="C8" s="75"/>
      <c r="D8" s="75"/>
      <c r="E8" s="75"/>
      <c r="F8" s="75"/>
      <c r="G8" s="74" t="s">
        <v>17</v>
      </c>
      <c r="H8" s="75"/>
      <c r="I8" s="1">
        <f>IFERROR(MAX($I$11:$I$510),0)+1</f>
        <v>1</v>
      </c>
      <c r="K8" s="85" t="s">
        <v>18</v>
      </c>
      <c r="L8" s="86"/>
      <c r="M8" s="86"/>
      <c r="N8" s="87"/>
      <c r="P8" s="61" t="s">
        <v>19</v>
      </c>
      <c r="Q8" s="62"/>
      <c r="R8" s="63"/>
      <c r="S8" s="95">
        <v>1</v>
      </c>
      <c r="T8" s="48"/>
      <c r="U8" s="49"/>
      <c r="W8" s="85" t="s">
        <v>20</v>
      </c>
      <c r="X8" s="86"/>
      <c r="Y8" s="86"/>
      <c r="Z8" s="86"/>
      <c r="AA8" s="86"/>
      <c r="AB8" s="87"/>
      <c r="AD8" s="85" t="s">
        <v>21</v>
      </c>
      <c r="AE8" s="86"/>
      <c r="AF8" s="86"/>
      <c r="AG8" s="86"/>
      <c r="AH8" s="86"/>
      <c r="AI8" s="86"/>
      <c r="AJ8" s="87"/>
      <c r="AL8" s="85" t="s">
        <v>22</v>
      </c>
      <c r="AM8" s="86"/>
      <c r="AN8" s="86"/>
      <c r="AO8" s="86"/>
      <c r="AP8" s="86"/>
      <c r="AQ8" s="86"/>
      <c r="AR8" s="86"/>
      <c r="AS8" s="86"/>
      <c r="AT8" s="87"/>
    </row>
    <row r="9" spans="2:69" ht="13.5" customHeight="1" x14ac:dyDescent="0.25">
      <c r="B9" s="92" t="s">
        <v>23</v>
      </c>
      <c r="C9" s="75"/>
      <c r="D9" s="75"/>
      <c r="E9" s="75"/>
      <c r="F9" s="75"/>
      <c r="G9" s="75"/>
      <c r="H9" s="75"/>
      <c r="I9" s="75"/>
      <c r="K9" s="88"/>
      <c r="L9" s="89"/>
      <c r="M9" s="89"/>
      <c r="N9" s="90"/>
      <c r="P9" s="93" t="s">
        <v>24</v>
      </c>
      <c r="Q9" s="75"/>
      <c r="R9" s="75"/>
      <c r="S9" s="75"/>
      <c r="T9" s="75"/>
      <c r="U9" s="75"/>
      <c r="W9" s="88"/>
      <c r="X9" s="89"/>
      <c r="Y9" s="89"/>
      <c r="Z9" s="89"/>
      <c r="AA9" s="89"/>
      <c r="AB9" s="90"/>
      <c r="AD9" s="88"/>
      <c r="AE9" s="89"/>
      <c r="AF9" s="89"/>
      <c r="AG9" s="89"/>
      <c r="AH9" s="89"/>
      <c r="AI9" s="89"/>
      <c r="AJ9" s="90"/>
      <c r="AL9" s="88"/>
      <c r="AM9" s="89"/>
      <c r="AN9" s="89"/>
      <c r="AO9" s="89"/>
      <c r="AP9" s="89"/>
      <c r="AQ9" s="89"/>
      <c r="AR9" s="89"/>
      <c r="AS9" s="89"/>
      <c r="AT9" s="90"/>
    </row>
    <row r="10" spans="2:69" ht="19.5" customHeight="1" x14ac:dyDescent="0.25"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  <c r="I10" s="2" t="s">
        <v>32</v>
      </c>
      <c r="K10" s="3" t="s">
        <v>32</v>
      </c>
      <c r="L10" s="3" t="s">
        <v>33</v>
      </c>
      <c r="M10" s="3" t="s">
        <v>29</v>
      </c>
      <c r="N10" s="3" t="s">
        <v>30</v>
      </c>
      <c r="P10" s="3" t="s">
        <v>26</v>
      </c>
      <c r="Q10" s="3" t="s">
        <v>29</v>
      </c>
      <c r="R10" s="3" t="s">
        <v>30</v>
      </c>
      <c r="S10" s="3" t="s">
        <v>27</v>
      </c>
      <c r="T10" s="3" t="s">
        <v>28</v>
      </c>
      <c r="U10" s="3" t="s">
        <v>32</v>
      </c>
      <c r="W10" s="3" t="s">
        <v>32</v>
      </c>
      <c r="X10" s="3" t="s">
        <v>26</v>
      </c>
      <c r="Y10" s="3" t="s">
        <v>29</v>
      </c>
      <c r="Z10" s="3" t="s">
        <v>30</v>
      </c>
      <c r="AA10" s="3" t="s">
        <v>28</v>
      </c>
      <c r="AB10" s="3" t="s">
        <v>31</v>
      </c>
      <c r="AD10" s="3" t="s">
        <v>32</v>
      </c>
      <c r="AE10" s="3" t="s">
        <v>26</v>
      </c>
      <c r="AF10" s="3" t="s">
        <v>29</v>
      </c>
      <c r="AG10" s="3" t="s">
        <v>30</v>
      </c>
      <c r="AH10" s="3" t="s">
        <v>28</v>
      </c>
      <c r="AI10" s="3" t="s">
        <v>31</v>
      </c>
      <c r="AJ10" s="3" t="s">
        <v>34</v>
      </c>
      <c r="AL10" s="3" t="s">
        <v>32</v>
      </c>
      <c r="AM10" s="3" t="s">
        <v>26</v>
      </c>
      <c r="AN10" s="3" t="s">
        <v>29</v>
      </c>
      <c r="AO10" s="3" t="s">
        <v>30</v>
      </c>
      <c r="AP10" s="3" t="s">
        <v>27</v>
      </c>
      <c r="AQ10" s="3" t="s">
        <v>28</v>
      </c>
      <c r="AR10" s="3" t="s">
        <v>31</v>
      </c>
      <c r="AS10" s="3" t="s">
        <v>35</v>
      </c>
      <c r="AT10" s="3" t="s">
        <v>34</v>
      </c>
      <c r="BD10" s="4" t="s">
        <v>36</v>
      </c>
    </row>
    <row r="11" spans="2:69" ht="15" customHeight="1" x14ac:dyDescent="0.25">
      <c r="B11" s="5" t="str">
        <f t="shared" ref="B11:B74" si="0">IF($C11="","",ROW()-10)</f>
        <v/>
      </c>
      <c r="C11" s="5"/>
      <c r="D11" s="5"/>
      <c r="E11" s="5"/>
      <c r="F11" s="6"/>
      <c r="G11" s="6"/>
      <c r="H11" s="7"/>
      <c r="I11" s="8"/>
      <c r="K11" s="9" t="str">
        <f>IFERROR(INDEX($AL$11:$AL$4010,MATCH(1,$AX$11:$AX$4010,0)),"")</f>
        <v/>
      </c>
      <c r="L11" s="10" t="str">
        <f t="shared" ref="L11:L74" si="1">IF(K11="","",COUNTIF($AL$11:$AL$4010,K11))</f>
        <v/>
      </c>
      <c r="M11" s="11" t="str">
        <f t="shared" ref="M11:M74" si="2">IF(K11="","",SUMIF($AL$11:$AL$4010,K11,$AN$11:$AN$4010))</f>
        <v/>
      </c>
      <c r="N11" s="11" t="str">
        <f t="shared" ref="N11:N74" si="3">IF(K11="","",SUMIF($AL$11:$AL$4010,K11,$AO$11:$AO$4010))</f>
        <v/>
      </c>
      <c r="P11" s="12" t="str">
        <f>IFERROR(INDEX($AM$11:$AM$4010,MATCH($S$8&amp;"|"&amp;1,$BA$11:$BA$4010,0)),"")</f>
        <v/>
      </c>
      <c r="Q11" s="11" t="str">
        <f>IF(P11="","",IFERROR(INDEX($AN$11:$AN$4010,MATCH($S$8&amp;"|"&amp;1,$BA$11:$BA$4010,0)),""))</f>
        <v/>
      </c>
      <c r="R11" s="11" t="str">
        <f>IF(P11="","",IFERROR(INDEX($AO$11:$AO$4010,MATCH($S$8&amp;"|"&amp;1,$BA$11:$BA$4010,0)),""))</f>
        <v/>
      </c>
      <c r="S11" s="10" t="str">
        <f>IF(P11="","",IFERROR(INDEX($AP$11:$AP$4010,MATCH($S$8&amp;"|"&amp;1,$BA$11:$BA$4010,0)),""))</f>
        <v/>
      </c>
      <c r="T11" s="10" t="str">
        <f>IF(P11="","",IFERROR(INDEX($AQ$11:$AQ$4010,MATCH($S$8&amp;"|"&amp;1,$BA$11:$BA$4010,0)),""))</f>
        <v/>
      </c>
      <c r="U11" s="39" t="str">
        <f t="shared" ref="U11:U42" si="4">IF(P11="","",$S$8)</f>
        <v/>
      </c>
      <c r="W11" s="14" t="str">
        <f>IF(X11="","",IFERROR(INDEX($AL$11:$AL$4010,MATCH(1,$AY$11:$AY$4010,0)),""))</f>
        <v/>
      </c>
      <c r="X11" s="12" t="str">
        <f>IFERROR(INDEX($AM$11:$AM$4010,MATCH(1,$AY$11:$AY$4010,0)),"")</f>
        <v/>
      </c>
      <c r="Y11" s="11" t="str">
        <f>IF(X11="","",IFERROR(INDEX($AN$11:$AN$4010,MATCH(1,$AY$11:$AY$4010,0)),""))</f>
        <v/>
      </c>
      <c r="Z11" s="11" t="str">
        <f>IF(X11="","",IFERROR(INDEX($AO$11:$AO$4010,MATCH(1,$AY$11:$AY$4010,0)),""))</f>
        <v/>
      </c>
      <c r="AA11" s="10" t="str">
        <f>IF(X11="","",IFERROR(INDEX($AQ$11:$AQ$4010,MATCH(1,$AY$11:$AY$4010,0)),""))</f>
        <v/>
      </c>
      <c r="AB11" s="15" t="str">
        <f>IF(X11="","",IFERROR(INDEX($AR$11:$AR$4010,MATCH(1,$AY$11:$AY$4010,0)),""))</f>
        <v/>
      </c>
      <c r="AD11" s="16" t="str">
        <f>IF(AE11="","",IFERROR(INDEX($AL$11:$AL$4010,MATCH(1,$AZ$11:$AZ$4010,0)),""))</f>
        <v/>
      </c>
      <c r="AE11" s="12" t="str">
        <f>IFERROR(INDEX($AM$11:$AM$4010,MATCH(1,$AZ$11:$AZ$4010,0)),"")</f>
        <v/>
      </c>
      <c r="AF11" s="11" t="str">
        <f>IF(AE11="","",IFERROR(INDEX($AN$11:$AN$4010,MATCH(1,$AZ$11:$AZ$4010,0)),""))</f>
        <v/>
      </c>
      <c r="AG11" s="11" t="str">
        <f>IF(AE11="","",IFERROR(INDEX($AO$11:$AO$4010,MATCH(1,$AZ$11:$AZ$4010,0)),""))</f>
        <v/>
      </c>
      <c r="AH11" s="10" t="str">
        <f>IF(AE11="","",IFERROR(INDEX($AQ$11:$AQ$4010,MATCH(1,$AZ$11:$AZ$4010,0)),""))</f>
        <v/>
      </c>
      <c r="AI11" s="15" t="str">
        <f>IF(AE11="","",IFERROR(INDEX($AR$11:$AR$4010,MATCH(1,$AZ$11:$AZ$4010,0)),""))</f>
        <v/>
      </c>
      <c r="AJ11" s="15" t="str">
        <f>IF(AE11="","",IFERROR(INDEX($AT$11:$AT$4010,MATCH(1,$AZ$11:$AZ$4010,0)),""))</f>
        <v/>
      </c>
      <c r="AL11" s="17" t="str">
        <f t="shared" ref="AL11:AL74" si="5">IF($C11="","",$I11)</f>
        <v/>
      </c>
      <c r="AM11" s="12" t="str">
        <f t="shared" ref="AM11:AM74" si="6">IF($C11="","",$C11)</f>
        <v/>
      </c>
      <c r="AN11" s="18" t="str">
        <f t="shared" ref="AN11:AN74" si="7">IF($C11="","",$F11)</f>
        <v/>
      </c>
      <c r="AO11" s="18" t="str">
        <f t="shared" ref="AO11:AO74" si="8">IF($C11="","",$G11)</f>
        <v/>
      </c>
      <c r="AP11" s="10" t="str">
        <f t="shared" ref="AP11:AP74" si="9">IF($C11="","",$D11)</f>
        <v/>
      </c>
      <c r="AQ11" s="10" t="str">
        <f t="shared" ref="AQ11:AQ74" si="10">IF($C11="","",$E11)</f>
        <v/>
      </c>
      <c r="AR11" s="19" t="str">
        <f t="shared" ref="AR11:AR74" si="11">IF($C11="","",$H11)</f>
        <v/>
      </c>
      <c r="AS11" s="20"/>
      <c r="AT11" s="19"/>
      <c r="AV11" s="21">
        <f>IF(AND($AL11&lt;&gt;"",COUNTIF($AL$11:$AL11,$AL11)=1),1,0)</f>
        <v>0</v>
      </c>
      <c r="AW11" s="21">
        <f>AV11</f>
        <v>0</v>
      </c>
      <c r="AX11" s="21" t="str">
        <f t="shared" ref="AX11:AX74" si="12">IF(AV11=1,AW11,"")</f>
        <v/>
      </c>
      <c r="AY11" s="21" t="str">
        <f>IF(AND($AM11&lt;&gt;"",$AS11&lt;&gt;"✓"),SUMPRODUCT(($AM$11:$AM11&lt;&gt;"")*($AS$11:$AS11&lt;&gt;"✓")),"")</f>
        <v/>
      </c>
      <c r="AZ11" s="21" t="str">
        <f>IF(AND($AM11&lt;&gt;"",$AS11="✓"),SUMPRODUCT(($AM$11:$AM11&lt;&gt;"")*($AS$11:$AS11="✓")),"")</f>
        <v/>
      </c>
      <c r="BA11" s="21" t="str">
        <f>IF($AL11="","",$AL11&amp;"|"&amp;COUNTIF($AL$11:$AL11,$AL11))</f>
        <v/>
      </c>
      <c r="BD11" s="71" t="s">
        <v>40</v>
      </c>
      <c r="BE11" s="72"/>
      <c r="BF11" s="73"/>
      <c r="BG11" s="22" t="s">
        <v>41</v>
      </c>
      <c r="BH11" s="94">
        <f ca="1">TODAY()</f>
        <v>46203</v>
      </c>
      <c r="BI11" s="73"/>
      <c r="BL11" s="71" t="s">
        <v>40</v>
      </c>
      <c r="BM11" s="72"/>
      <c r="BN11" s="73"/>
      <c r="BO11" s="22" t="s">
        <v>41</v>
      </c>
      <c r="BP11" s="94">
        <f ca="1">TODAY()</f>
        <v>46203</v>
      </c>
      <c r="BQ11" s="73"/>
    </row>
    <row r="12" spans="2:69" ht="15" customHeight="1" x14ac:dyDescent="0.25">
      <c r="B12" s="5" t="str">
        <f t="shared" si="0"/>
        <v/>
      </c>
      <c r="C12" s="5"/>
      <c r="D12" s="5"/>
      <c r="E12" s="5"/>
      <c r="F12" s="6"/>
      <c r="G12" s="6"/>
      <c r="H12" s="7"/>
      <c r="I12" s="8"/>
      <c r="K12" s="23" t="str">
        <f>IFERROR(INDEX($AL$11:$AL$4010,MATCH(2,$AX$11:$AX$4010,0)),"")</f>
        <v/>
      </c>
      <c r="L12" s="24" t="str">
        <f t="shared" si="1"/>
        <v/>
      </c>
      <c r="M12" s="25" t="str">
        <f t="shared" si="2"/>
        <v/>
      </c>
      <c r="N12" s="25" t="str">
        <f t="shared" si="3"/>
        <v/>
      </c>
      <c r="P12" s="26" t="str">
        <f>IFERROR(INDEX($AM$11:$AM$4010,MATCH($S$8&amp;"|"&amp;2,$BA$11:$BA$4010,0)),"")</f>
        <v/>
      </c>
      <c r="Q12" s="25" t="str">
        <f>IF(P12="","",IFERROR(INDEX($AN$11:$AN$4010,MATCH($S$8&amp;"|"&amp;2,$BA$11:$BA$4010,0)),""))</f>
        <v/>
      </c>
      <c r="R12" s="25" t="str">
        <f>IF(P12="","",IFERROR(INDEX($AO$11:$AO$4010,MATCH($S$8&amp;"|"&amp;2,$BA$11:$BA$4010,0)),""))</f>
        <v/>
      </c>
      <c r="S12" s="24" t="str">
        <f>IF(P12="","",IFERROR(INDEX($AP$11:$AP$4010,MATCH($S$8&amp;"|"&amp;2,$BA$11:$BA$4010,0)),""))</f>
        <v/>
      </c>
      <c r="T12" s="24" t="str">
        <f>IF(P12="","",IFERROR(INDEX($AQ$11:$AQ$4010,MATCH($S$8&amp;"|"&amp;2,$BA$11:$BA$4010,0)),""))</f>
        <v/>
      </c>
      <c r="U12" s="38" t="str">
        <f t="shared" si="4"/>
        <v/>
      </c>
      <c r="W12" s="28" t="str">
        <f>IF(X12="","",IFERROR(INDEX($AL$11:$AL$4010,MATCH(2,$AY$11:$AY$4010,0)),""))</f>
        <v/>
      </c>
      <c r="X12" s="26" t="str">
        <f>IFERROR(INDEX($AM$11:$AM$4010,MATCH(2,$AY$11:$AY$4010,0)),"")</f>
        <v/>
      </c>
      <c r="Y12" s="25" t="str">
        <f>IF(X12="","",IFERROR(INDEX($AN$11:$AN$4010,MATCH(2,$AY$11:$AY$4010,0)),""))</f>
        <v/>
      </c>
      <c r="Z12" s="25" t="str">
        <f>IF(X12="","",IFERROR(INDEX($AO$11:$AO$4010,MATCH(2,$AY$11:$AY$4010,0)),""))</f>
        <v/>
      </c>
      <c r="AA12" s="24" t="str">
        <f>IF(X12="","",IFERROR(INDEX($AQ$11:$AQ$4010,MATCH(2,$AY$11:$AY$4010,0)),""))</f>
        <v/>
      </c>
      <c r="AB12" s="29" t="str">
        <f>IF(X12="","",IFERROR(INDEX($AR$11:$AR$4010,MATCH(2,$AY$11:$AY$4010,0)),""))</f>
        <v/>
      </c>
      <c r="AD12" s="30" t="str">
        <f>IF(AE12="","",IFERROR(INDEX($AL$11:$AL$4010,MATCH(2,$AZ$11:$AZ$4010,0)),""))</f>
        <v/>
      </c>
      <c r="AE12" s="26" t="str">
        <f>IFERROR(INDEX($AM$11:$AM$4010,MATCH(2,$AZ$11:$AZ$4010,0)),"")</f>
        <v/>
      </c>
      <c r="AF12" s="25" t="str">
        <f>IF(AE12="","",IFERROR(INDEX($AN$11:$AN$4010,MATCH(2,$AZ$11:$AZ$4010,0)),""))</f>
        <v/>
      </c>
      <c r="AG12" s="25" t="str">
        <f>IF(AE12="","",IFERROR(INDEX($AO$11:$AO$4010,MATCH(2,$AZ$11:$AZ$4010,0)),""))</f>
        <v/>
      </c>
      <c r="AH12" s="24" t="str">
        <f>IF(AE12="","",IFERROR(INDEX($AQ$11:$AQ$4010,MATCH(2,$AZ$11:$AZ$4010,0)),""))</f>
        <v/>
      </c>
      <c r="AI12" s="29" t="str">
        <f>IF(AE12="","",IFERROR(INDEX($AR$11:$AR$4010,MATCH(2,$AZ$11:$AZ$4010,0)),""))</f>
        <v/>
      </c>
      <c r="AJ12" s="29" t="str">
        <f>IF(AE12="","",IFERROR(INDEX($AT$11:$AT$4010,MATCH(2,$AZ$11:$AZ$4010,0)),""))</f>
        <v/>
      </c>
      <c r="AL12" s="31" t="str">
        <f t="shared" si="5"/>
        <v/>
      </c>
      <c r="AM12" s="26" t="str">
        <f t="shared" si="6"/>
        <v/>
      </c>
      <c r="AN12" s="32" t="str">
        <f t="shared" si="7"/>
        <v/>
      </c>
      <c r="AO12" s="32" t="str">
        <f t="shared" si="8"/>
        <v/>
      </c>
      <c r="AP12" s="24" t="str">
        <f t="shared" si="9"/>
        <v/>
      </c>
      <c r="AQ12" s="24" t="str">
        <f t="shared" si="10"/>
        <v/>
      </c>
      <c r="AR12" s="33" t="str">
        <f t="shared" si="11"/>
        <v/>
      </c>
      <c r="AS12" s="34"/>
      <c r="AT12" s="33"/>
      <c r="AV12" s="21">
        <f>IF(AND($AL12&lt;&gt;"",COUNTIF($AL$11:$AL12,$AL12)=1),1,0)</f>
        <v>0</v>
      </c>
      <c r="AW12" s="21">
        <f t="shared" ref="AW12:AW75" si="13">AW11+AV12</f>
        <v>0</v>
      </c>
      <c r="AX12" s="21" t="str">
        <f t="shared" si="12"/>
        <v/>
      </c>
      <c r="AY12" s="21" t="str">
        <f>IF(AND($AM12&lt;&gt;"",$AS12&lt;&gt;"✓"),SUMPRODUCT(($AM$11:$AM12&lt;&gt;"")*($AS$11:$AS12&lt;&gt;"✓")),"")</f>
        <v/>
      </c>
      <c r="AZ12" s="21" t="str">
        <f>IF(AND($AM12&lt;&gt;"",$AS12="✓"),SUMPRODUCT(($AM$11:$AM12&lt;&gt;"")*($AS$11:$AS12="✓")),"")</f>
        <v/>
      </c>
      <c r="BA12" s="21" t="str">
        <f>IF($AL12="","",$AL12&amp;"|"&amp;COUNTIF($AL$11:$AL12,$AL12))</f>
        <v/>
      </c>
      <c r="BD12" s="35" t="s">
        <v>25</v>
      </c>
      <c r="BE12" s="35" t="s">
        <v>26</v>
      </c>
      <c r="BF12" s="35" t="s">
        <v>27</v>
      </c>
      <c r="BG12" s="35" t="s">
        <v>28</v>
      </c>
      <c r="BH12" s="35" t="s">
        <v>29</v>
      </c>
      <c r="BI12" s="35" t="s">
        <v>30</v>
      </c>
      <c r="BL12" s="35" t="s">
        <v>25</v>
      </c>
      <c r="BM12" s="35" t="s">
        <v>26</v>
      </c>
      <c r="BN12" s="35" t="s">
        <v>27</v>
      </c>
      <c r="BO12" s="35" t="s">
        <v>28</v>
      </c>
      <c r="BP12" s="35" t="s">
        <v>29</v>
      </c>
      <c r="BQ12" s="35" t="s">
        <v>30</v>
      </c>
    </row>
    <row r="13" spans="2:69" ht="13.5" customHeight="1" x14ac:dyDescent="0.25">
      <c r="B13" s="5" t="str">
        <f t="shared" si="0"/>
        <v/>
      </c>
      <c r="C13" s="5"/>
      <c r="D13" s="5"/>
      <c r="E13" s="5"/>
      <c r="F13" s="6"/>
      <c r="G13" s="6"/>
      <c r="H13" s="7"/>
      <c r="I13" s="8"/>
      <c r="K13" s="9" t="str">
        <f>IFERROR(INDEX($AL$11:$AL$4010,MATCH(3,$AX$11:$AX$4010,0)),"")</f>
        <v/>
      </c>
      <c r="L13" s="10" t="str">
        <f t="shared" si="1"/>
        <v/>
      </c>
      <c r="M13" s="11" t="str">
        <f t="shared" si="2"/>
        <v/>
      </c>
      <c r="N13" s="11" t="str">
        <f t="shared" si="3"/>
        <v/>
      </c>
      <c r="P13" s="12" t="str">
        <f>IFERROR(INDEX($AM$11:$AM$4010,MATCH($S$8&amp;"|"&amp;3,$BA$11:$BA$4010,0)),"")</f>
        <v/>
      </c>
      <c r="Q13" s="11" t="str">
        <f>IF(P13="","",IFERROR(INDEX($AN$11:$AN$4010,MATCH($S$8&amp;"|"&amp;3,$BA$11:$BA$4010,0)),""))</f>
        <v/>
      </c>
      <c r="R13" s="11" t="str">
        <f>IF(P13="","",IFERROR(INDEX($AO$11:$AO$4010,MATCH($S$8&amp;"|"&amp;3,$BA$11:$BA$4010,0)),""))</f>
        <v/>
      </c>
      <c r="S13" s="10" t="str">
        <f>IF(P13="","",IFERROR(INDEX($AP$11:$AP$4010,MATCH($S$8&amp;"|"&amp;3,$BA$11:$BA$4010,0)),""))</f>
        <v/>
      </c>
      <c r="T13" s="10" t="str">
        <f>IF(P13="","",IFERROR(INDEX($AQ$11:$AQ$4010,MATCH($S$8&amp;"|"&amp;3,$BA$11:$BA$4010,0)),""))</f>
        <v/>
      </c>
      <c r="U13" s="39" t="str">
        <f t="shared" si="4"/>
        <v/>
      </c>
      <c r="W13" s="14" t="str">
        <f>IF(X13="","",IFERROR(INDEX($AL$11:$AL$4010,MATCH(3,$AY$11:$AY$4010,0)),""))</f>
        <v/>
      </c>
      <c r="X13" s="12" t="str">
        <f>IFERROR(INDEX($AM$11:$AM$4010,MATCH(3,$AY$11:$AY$4010,0)),"")</f>
        <v/>
      </c>
      <c r="Y13" s="11" t="str">
        <f>IF(X13="","",IFERROR(INDEX($AN$11:$AN$4010,MATCH(3,$AY$11:$AY$4010,0)),""))</f>
        <v/>
      </c>
      <c r="Z13" s="11" t="str">
        <f>IF(X13="","",IFERROR(INDEX($AO$11:$AO$4010,MATCH(3,$AY$11:$AY$4010,0)),""))</f>
        <v/>
      </c>
      <c r="AA13" s="10" t="str">
        <f>IF(X13="","",IFERROR(INDEX($AQ$11:$AQ$4010,MATCH(3,$AY$11:$AY$4010,0)),""))</f>
        <v/>
      </c>
      <c r="AB13" s="15" t="str">
        <f>IF(X13="","",IFERROR(INDEX($AR$11:$AR$4010,MATCH(3,$AY$11:$AY$4010,0)),""))</f>
        <v/>
      </c>
      <c r="AD13" s="16" t="str">
        <f>IF(AE13="","",IFERROR(INDEX($AL$11:$AL$4010,MATCH(3,$AZ$11:$AZ$4010,0)),""))</f>
        <v/>
      </c>
      <c r="AE13" s="12" t="str">
        <f>IFERROR(INDEX($AM$11:$AM$4010,MATCH(3,$AZ$11:$AZ$4010,0)),"")</f>
        <v/>
      </c>
      <c r="AF13" s="11" t="str">
        <f>IF(AE13="","",IFERROR(INDEX($AN$11:$AN$4010,MATCH(3,$AZ$11:$AZ$4010,0)),""))</f>
        <v/>
      </c>
      <c r="AG13" s="11" t="str">
        <f>IF(AE13="","",IFERROR(INDEX($AO$11:$AO$4010,MATCH(3,$AZ$11:$AZ$4010,0)),""))</f>
        <v/>
      </c>
      <c r="AH13" s="10" t="str">
        <f>IF(AE13="","",IFERROR(INDEX($AQ$11:$AQ$4010,MATCH(3,$AZ$11:$AZ$4010,0)),""))</f>
        <v/>
      </c>
      <c r="AI13" s="15" t="str">
        <f>IF(AE13="","",IFERROR(INDEX($AR$11:$AR$4010,MATCH(3,$AZ$11:$AZ$4010,0)),""))</f>
        <v/>
      </c>
      <c r="AJ13" s="15" t="str">
        <f>IF(AE13="","",IFERROR(INDEX($AT$11:$AT$4010,MATCH(3,$AZ$11:$AZ$4010,0)),""))</f>
        <v/>
      </c>
      <c r="AL13" s="17" t="str">
        <f t="shared" si="5"/>
        <v/>
      </c>
      <c r="AM13" s="12" t="str">
        <f t="shared" si="6"/>
        <v/>
      </c>
      <c r="AN13" s="18" t="str">
        <f t="shared" si="7"/>
        <v/>
      </c>
      <c r="AO13" s="18" t="str">
        <f t="shared" si="8"/>
        <v/>
      </c>
      <c r="AP13" s="10" t="str">
        <f t="shared" si="9"/>
        <v/>
      </c>
      <c r="AQ13" s="10" t="str">
        <f t="shared" si="10"/>
        <v/>
      </c>
      <c r="AR13" s="19" t="str">
        <f t="shared" si="11"/>
        <v/>
      </c>
      <c r="AS13" s="20"/>
      <c r="AT13" s="19"/>
      <c r="AV13" s="21">
        <f>IF(AND($AL13&lt;&gt;"",COUNTIF($AL$11:$AL13,$AL13)=1),1,0)</f>
        <v>0</v>
      </c>
      <c r="AW13" s="21">
        <f t="shared" si="13"/>
        <v>0</v>
      </c>
      <c r="AX13" s="21" t="str">
        <f t="shared" si="12"/>
        <v/>
      </c>
      <c r="AY13" s="21" t="str">
        <f>IF(AND($AM13&lt;&gt;"",$AS13&lt;&gt;"✓"),SUMPRODUCT(($AM$11:$AM13&lt;&gt;"")*($AS$11:$AS13&lt;&gt;"✓")),"")</f>
        <v/>
      </c>
      <c r="AZ13" s="21" t="str">
        <f>IF(AND($AM13&lt;&gt;"",$AS13="✓"),SUMPRODUCT(($AM$11:$AM13&lt;&gt;"")*($AS$11:$AS13="✓")),"")</f>
        <v/>
      </c>
      <c r="BA13" s="21" t="str">
        <f>IF($AL13="","",$AL13&amp;"|"&amp;COUNTIF($AL$11:$AL13,$AL13))</f>
        <v/>
      </c>
      <c r="BD13" s="36" t="str">
        <f>IF(IFERROR(INDEX($AM$11:$AM$4010,MATCH($S$8&amp;"|"&amp;1,$BA$11:$BA$4010,0)),"")="","",1)</f>
        <v/>
      </c>
      <c r="BE13" s="36" t="str">
        <f>IFERROR(INDEX($AM$11:$AM$4010,MATCH($S$8&amp;"|"&amp;1,$BA$11:$BA$4010,0)),"")</f>
        <v/>
      </c>
      <c r="BF13" s="36" t="str">
        <f>IFERROR(INDEX($AP$11:$AP$4010,MATCH($S$8&amp;"|"&amp;1,$BA$11:$BA$4010,0)),"")</f>
        <v/>
      </c>
      <c r="BG13" s="36" t="str">
        <f>IFERROR(INDEX($AQ$11:$AQ$4010,MATCH($S$8&amp;"|"&amp;1,$BA$11:$BA$4010,0)),"")</f>
        <v/>
      </c>
      <c r="BH13" s="37" t="str">
        <f>IFERROR(INDEX($AN$11:$AN$4010,MATCH($S$8&amp;"|"&amp;1,$BA$11:$BA$4010,0)),"")</f>
        <v/>
      </c>
      <c r="BI13" s="37" t="str">
        <f>IFERROR(INDEX($AO$11:$AO$4010,MATCH($S$8&amp;"|"&amp;1,$BA$11:$BA$4010,0)),"")</f>
        <v/>
      </c>
      <c r="BL13" s="36" t="str">
        <f>IF(IFERROR(INDEX($AM$11:$AM$4010,MATCH($S$8&amp;"|"&amp;1,$BA$11:$BA$4010,0)),"")="","",1)</f>
        <v/>
      </c>
      <c r="BM13" s="36" t="str">
        <f>IFERROR(INDEX($AM$11:$AM$4010,MATCH($S$8&amp;"|"&amp;1,$BA$11:$BA$4010,0)),"")</f>
        <v/>
      </c>
      <c r="BN13" s="36" t="str">
        <f>IFERROR(INDEX($AP$11:$AP$4010,MATCH($S$8&amp;"|"&amp;1,$BA$11:$BA$4010,0)),"")</f>
        <v/>
      </c>
      <c r="BO13" s="36" t="str">
        <f>IFERROR(INDEX($AQ$11:$AQ$4010,MATCH($S$8&amp;"|"&amp;1,$BA$11:$BA$4010,0)),"")</f>
        <v/>
      </c>
      <c r="BP13" s="37" t="str">
        <f>IFERROR(INDEX($AN$11:$AN$4010,MATCH($S$8&amp;"|"&amp;1,$BA$11:$BA$4010,0)),"")</f>
        <v/>
      </c>
      <c r="BQ13" s="37" t="str">
        <f>IFERROR(INDEX($AO$11:$AO$4010,MATCH($S$8&amp;"|"&amp;1,$BA$11:$BA$4010,0)),"")</f>
        <v/>
      </c>
    </row>
    <row r="14" spans="2:69" ht="13.5" customHeight="1" x14ac:dyDescent="0.25">
      <c r="B14" s="5" t="str">
        <f t="shared" si="0"/>
        <v/>
      </c>
      <c r="C14" s="5"/>
      <c r="D14" s="5"/>
      <c r="E14" s="5"/>
      <c r="F14" s="6"/>
      <c r="G14" s="6"/>
      <c r="H14" s="7"/>
      <c r="I14" s="8"/>
      <c r="K14" s="23" t="str">
        <f>IFERROR(INDEX($AL$11:$AL$4010,MATCH(4,$AX$11:$AX$4010,0)),"")</f>
        <v/>
      </c>
      <c r="L14" s="24" t="str">
        <f t="shared" si="1"/>
        <v/>
      </c>
      <c r="M14" s="25" t="str">
        <f t="shared" si="2"/>
        <v/>
      </c>
      <c r="N14" s="25" t="str">
        <f t="shared" si="3"/>
        <v/>
      </c>
      <c r="P14" s="26" t="str">
        <f>IFERROR(INDEX($AM$11:$AM$4010,MATCH($S$8&amp;"|"&amp;4,$BA$11:$BA$4010,0)),"")</f>
        <v/>
      </c>
      <c r="Q14" s="25" t="str">
        <f>IF(P14="","",IFERROR(INDEX($AN$11:$AN$4010,MATCH($S$8&amp;"|"&amp;4,$BA$11:$BA$4010,0)),""))</f>
        <v/>
      </c>
      <c r="R14" s="25" t="str">
        <f>IF(P14="","",IFERROR(INDEX($AO$11:$AO$4010,MATCH($S$8&amp;"|"&amp;4,$BA$11:$BA$4010,0)),""))</f>
        <v/>
      </c>
      <c r="S14" s="24" t="str">
        <f>IF(P14="","",IFERROR(INDEX($AP$11:$AP$4010,MATCH($S$8&amp;"|"&amp;4,$BA$11:$BA$4010,0)),""))</f>
        <v/>
      </c>
      <c r="T14" s="24" t="str">
        <f>IF(P14="","",IFERROR(INDEX($AQ$11:$AQ$4010,MATCH($S$8&amp;"|"&amp;4,$BA$11:$BA$4010,0)),""))</f>
        <v/>
      </c>
      <c r="U14" s="38" t="str">
        <f t="shared" si="4"/>
        <v/>
      </c>
      <c r="W14" s="28" t="str">
        <f>IF(X14="","",IFERROR(INDEX($AL$11:$AL$4010,MATCH(4,$AY$11:$AY$4010,0)),""))</f>
        <v/>
      </c>
      <c r="X14" s="26" t="str">
        <f>IFERROR(INDEX($AM$11:$AM$4010,MATCH(4,$AY$11:$AY$4010,0)),"")</f>
        <v/>
      </c>
      <c r="Y14" s="25" t="str">
        <f>IF(X14="","",IFERROR(INDEX($AN$11:$AN$4010,MATCH(4,$AY$11:$AY$4010,0)),""))</f>
        <v/>
      </c>
      <c r="Z14" s="25" t="str">
        <f>IF(X14="","",IFERROR(INDEX($AO$11:$AO$4010,MATCH(4,$AY$11:$AY$4010,0)),""))</f>
        <v/>
      </c>
      <c r="AA14" s="24" t="str">
        <f>IF(X14="","",IFERROR(INDEX($AQ$11:$AQ$4010,MATCH(4,$AY$11:$AY$4010,0)),""))</f>
        <v/>
      </c>
      <c r="AB14" s="29" t="str">
        <f>IF(X14="","",IFERROR(INDEX($AR$11:$AR$4010,MATCH(4,$AY$11:$AY$4010,0)),""))</f>
        <v/>
      </c>
      <c r="AD14" s="30" t="str">
        <f>IF(AE14="","",IFERROR(INDEX($AL$11:$AL$4010,MATCH(4,$AZ$11:$AZ$4010,0)),""))</f>
        <v/>
      </c>
      <c r="AE14" s="26" t="str">
        <f>IFERROR(INDEX($AM$11:$AM$4010,MATCH(4,$AZ$11:$AZ$4010,0)),"")</f>
        <v/>
      </c>
      <c r="AF14" s="25" t="str">
        <f>IF(AE14="","",IFERROR(INDEX($AN$11:$AN$4010,MATCH(4,$AZ$11:$AZ$4010,0)),""))</f>
        <v/>
      </c>
      <c r="AG14" s="25" t="str">
        <f>IF(AE14="","",IFERROR(INDEX($AO$11:$AO$4010,MATCH(4,$AZ$11:$AZ$4010,0)),""))</f>
        <v/>
      </c>
      <c r="AH14" s="24" t="str">
        <f>IF(AE14="","",IFERROR(INDEX($AQ$11:$AQ$4010,MATCH(4,$AZ$11:$AZ$4010,0)),""))</f>
        <v/>
      </c>
      <c r="AI14" s="29" t="str">
        <f>IF(AE14="","",IFERROR(INDEX($AR$11:$AR$4010,MATCH(4,$AZ$11:$AZ$4010,0)),""))</f>
        <v/>
      </c>
      <c r="AJ14" s="29" t="str">
        <f>IF(AE14="","",IFERROR(INDEX($AT$11:$AT$4010,MATCH(4,$AZ$11:$AZ$4010,0)),""))</f>
        <v/>
      </c>
      <c r="AL14" s="31" t="str">
        <f t="shared" si="5"/>
        <v/>
      </c>
      <c r="AM14" s="26" t="str">
        <f t="shared" si="6"/>
        <v/>
      </c>
      <c r="AN14" s="32" t="str">
        <f t="shared" si="7"/>
        <v/>
      </c>
      <c r="AO14" s="32" t="str">
        <f t="shared" si="8"/>
        <v/>
      </c>
      <c r="AP14" s="24" t="str">
        <f t="shared" si="9"/>
        <v/>
      </c>
      <c r="AQ14" s="24" t="str">
        <f t="shared" si="10"/>
        <v/>
      </c>
      <c r="AR14" s="33" t="str">
        <f t="shared" si="11"/>
        <v/>
      </c>
      <c r="AS14" s="34"/>
      <c r="AT14" s="33"/>
      <c r="AV14" s="21">
        <f>IF(AND($AL14&lt;&gt;"",COUNTIF($AL$11:$AL14,$AL14)=1),1,0)</f>
        <v>0</v>
      </c>
      <c r="AW14" s="21">
        <f t="shared" si="13"/>
        <v>0</v>
      </c>
      <c r="AX14" s="21" t="str">
        <f t="shared" si="12"/>
        <v/>
      </c>
      <c r="AY14" s="21" t="str">
        <f>IF(AND($AM14&lt;&gt;"",$AS14&lt;&gt;"✓"),SUMPRODUCT(($AM$11:$AM14&lt;&gt;"")*($AS$11:$AS14&lt;&gt;"✓")),"")</f>
        <v/>
      </c>
      <c r="AZ14" s="21" t="str">
        <f>IF(AND($AM14&lt;&gt;"",$AS14="✓"),SUMPRODUCT(($AM$11:$AM14&lt;&gt;"")*($AS$11:$AS14="✓")),"")</f>
        <v/>
      </c>
      <c r="BA14" s="21" t="str">
        <f>IF($AL14="","",$AL14&amp;"|"&amp;COUNTIF($AL$11:$AL14,$AL14))</f>
        <v/>
      </c>
      <c r="BD14" s="36" t="str">
        <f>IF(IFERROR(INDEX($AM$11:$AM$4010,MATCH($S$8&amp;"|"&amp;2,$BA$11:$BA$4010,0)),"")="","",2)</f>
        <v/>
      </c>
      <c r="BE14" s="36" t="str">
        <f>IFERROR(INDEX($AM$11:$AM$4010,MATCH($S$8&amp;"|"&amp;2,$BA$11:$BA$4010,0)),"")</f>
        <v/>
      </c>
      <c r="BF14" s="36" t="str">
        <f>IFERROR(INDEX($AP$11:$AP$4010,MATCH($S$8&amp;"|"&amp;2,$BA$11:$BA$4010,0)),"")</f>
        <v/>
      </c>
      <c r="BG14" s="36" t="str">
        <f>IFERROR(INDEX($AQ$11:$AQ$4010,MATCH($S$8&amp;"|"&amp;2,$BA$11:$BA$4010,0)),"")</f>
        <v/>
      </c>
      <c r="BH14" s="37" t="str">
        <f>IFERROR(INDEX($AN$11:$AN$4010,MATCH($S$8&amp;"|"&amp;2,$BA$11:$BA$4010,0)),"")</f>
        <v/>
      </c>
      <c r="BI14" s="37" t="str">
        <f>IFERROR(INDEX($AO$11:$AO$4010,MATCH($S$8&amp;"|"&amp;2,$BA$11:$BA$4010,0)),"")</f>
        <v/>
      </c>
      <c r="BL14" s="36" t="str">
        <f>IF(IFERROR(INDEX($AM$11:$AM$4010,MATCH($S$8&amp;"|"&amp;2,$BA$11:$BA$4010,0)),"")="","",2)</f>
        <v/>
      </c>
      <c r="BM14" s="36" t="str">
        <f>IFERROR(INDEX($AM$11:$AM$4010,MATCH($S$8&amp;"|"&amp;2,$BA$11:$BA$4010,0)),"")</f>
        <v/>
      </c>
      <c r="BN14" s="36" t="str">
        <f>IFERROR(INDEX($AP$11:$AP$4010,MATCH($S$8&amp;"|"&amp;2,$BA$11:$BA$4010,0)),"")</f>
        <v/>
      </c>
      <c r="BO14" s="36" t="str">
        <f>IFERROR(INDEX($AQ$11:$AQ$4010,MATCH($S$8&amp;"|"&amp;2,$BA$11:$BA$4010,0)),"")</f>
        <v/>
      </c>
      <c r="BP14" s="37" t="str">
        <f>IFERROR(INDEX($AN$11:$AN$4010,MATCH($S$8&amp;"|"&amp;2,$BA$11:$BA$4010,0)),"")</f>
        <v/>
      </c>
      <c r="BQ14" s="37" t="str">
        <f>IFERROR(INDEX($AO$11:$AO$4010,MATCH($S$8&amp;"|"&amp;2,$BA$11:$BA$4010,0)),"")</f>
        <v/>
      </c>
    </row>
    <row r="15" spans="2:69" ht="13.5" customHeight="1" x14ac:dyDescent="0.25">
      <c r="B15" s="5" t="str">
        <f t="shared" si="0"/>
        <v/>
      </c>
      <c r="C15" s="5"/>
      <c r="D15" s="5"/>
      <c r="E15" s="5"/>
      <c r="F15" s="6"/>
      <c r="G15" s="6"/>
      <c r="H15" s="7"/>
      <c r="I15" s="8"/>
      <c r="K15" s="9" t="str">
        <f>IFERROR(INDEX($AL$11:$AL$4010,MATCH(5,$AX$11:$AX$4010,0)),"")</f>
        <v/>
      </c>
      <c r="L15" s="10" t="str">
        <f t="shared" si="1"/>
        <v/>
      </c>
      <c r="M15" s="11" t="str">
        <f t="shared" si="2"/>
        <v/>
      </c>
      <c r="N15" s="11" t="str">
        <f t="shared" si="3"/>
        <v/>
      </c>
      <c r="P15" s="12" t="str">
        <f>IFERROR(INDEX($AM$11:$AM$4010,MATCH($S$8&amp;"|"&amp;5,$BA$11:$BA$4010,0)),"")</f>
        <v/>
      </c>
      <c r="Q15" s="11" t="str">
        <f>IF(P15="","",IFERROR(INDEX($AN$11:$AN$4010,MATCH($S$8&amp;"|"&amp;5,$BA$11:$BA$4010,0)),""))</f>
        <v/>
      </c>
      <c r="R15" s="11" t="str">
        <f>IF(P15="","",IFERROR(INDEX($AO$11:$AO$4010,MATCH($S$8&amp;"|"&amp;5,$BA$11:$BA$4010,0)),""))</f>
        <v/>
      </c>
      <c r="S15" s="10" t="str">
        <f>IF(P15="","",IFERROR(INDEX($AP$11:$AP$4010,MATCH($S$8&amp;"|"&amp;5,$BA$11:$BA$4010,0)),""))</f>
        <v/>
      </c>
      <c r="T15" s="10" t="str">
        <f>IF(P15="","",IFERROR(INDEX($AQ$11:$AQ$4010,MATCH($S$8&amp;"|"&amp;5,$BA$11:$BA$4010,0)),""))</f>
        <v/>
      </c>
      <c r="U15" s="39" t="str">
        <f t="shared" si="4"/>
        <v/>
      </c>
      <c r="W15" s="14" t="str">
        <f>IF(X15="","",IFERROR(INDEX($AL$11:$AL$4010,MATCH(5,$AY$11:$AY$4010,0)),""))</f>
        <v/>
      </c>
      <c r="X15" s="12" t="str">
        <f>IFERROR(INDEX($AM$11:$AM$4010,MATCH(5,$AY$11:$AY$4010,0)),"")</f>
        <v/>
      </c>
      <c r="Y15" s="11" t="str">
        <f>IF(X15="","",IFERROR(INDEX($AN$11:$AN$4010,MATCH(5,$AY$11:$AY$4010,0)),""))</f>
        <v/>
      </c>
      <c r="Z15" s="11" t="str">
        <f>IF(X15="","",IFERROR(INDEX($AO$11:$AO$4010,MATCH(5,$AY$11:$AY$4010,0)),""))</f>
        <v/>
      </c>
      <c r="AA15" s="10" t="str">
        <f>IF(X15="","",IFERROR(INDEX($AQ$11:$AQ$4010,MATCH(5,$AY$11:$AY$4010,0)),""))</f>
        <v/>
      </c>
      <c r="AB15" s="15" t="str">
        <f>IF(X15="","",IFERROR(INDEX($AR$11:$AR$4010,MATCH(5,$AY$11:$AY$4010,0)),""))</f>
        <v/>
      </c>
      <c r="AD15" s="16" t="str">
        <f>IF(AE15="","",IFERROR(INDEX($AL$11:$AL$4010,MATCH(5,$AZ$11:$AZ$4010,0)),""))</f>
        <v/>
      </c>
      <c r="AE15" s="12" t="str">
        <f>IFERROR(INDEX($AM$11:$AM$4010,MATCH(5,$AZ$11:$AZ$4010,0)),"")</f>
        <v/>
      </c>
      <c r="AF15" s="11" t="str">
        <f>IF(AE15="","",IFERROR(INDEX($AN$11:$AN$4010,MATCH(5,$AZ$11:$AZ$4010,0)),""))</f>
        <v/>
      </c>
      <c r="AG15" s="11" t="str">
        <f>IF(AE15="","",IFERROR(INDEX($AO$11:$AO$4010,MATCH(5,$AZ$11:$AZ$4010,0)),""))</f>
        <v/>
      </c>
      <c r="AH15" s="10" t="str">
        <f>IF(AE15="","",IFERROR(INDEX($AQ$11:$AQ$4010,MATCH(5,$AZ$11:$AZ$4010,0)),""))</f>
        <v/>
      </c>
      <c r="AI15" s="15" t="str">
        <f>IF(AE15="","",IFERROR(INDEX($AR$11:$AR$4010,MATCH(5,$AZ$11:$AZ$4010,0)),""))</f>
        <v/>
      </c>
      <c r="AJ15" s="15" t="str">
        <f>IF(AE15="","",IFERROR(INDEX($AT$11:$AT$4010,MATCH(5,$AZ$11:$AZ$4010,0)),""))</f>
        <v/>
      </c>
      <c r="AL15" s="17" t="str">
        <f t="shared" si="5"/>
        <v/>
      </c>
      <c r="AM15" s="12" t="str">
        <f t="shared" si="6"/>
        <v/>
      </c>
      <c r="AN15" s="18" t="str">
        <f t="shared" si="7"/>
        <v/>
      </c>
      <c r="AO15" s="18" t="str">
        <f t="shared" si="8"/>
        <v/>
      </c>
      <c r="AP15" s="10" t="str">
        <f t="shared" si="9"/>
        <v/>
      </c>
      <c r="AQ15" s="10" t="str">
        <f t="shared" si="10"/>
        <v/>
      </c>
      <c r="AR15" s="19" t="str">
        <f t="shared" si="11"/>
        <v/>
      </c>
      <c r="AS15" s="20"/>
      <c r="AT15" s="19"/>
      <c r="AV15" s="21">
        <f>IF(AND($AL15&lt;&gt;"",COUNTIF($AL$11:$AL15,$AL15)=1),1,0)</f>
        <v>0</v>
      </c>
      <c r="AW15" s="21">
        <f t="shared" si="13"/>
        <v>0</v>
      </c>
      <c r="AX15" s="21" t="str">
        <f t="shared" si="12"/>
        <v/>
      </c>
      <c r="AY15" s="21" t="str">
        <f>IF(AND($AM15&lt;&gt;"",$AS15&lt;&gt;"✓"),SUMPRODUCT(($AM$11:$AM15&lt;&gt;"")*($AS$11:$AS15&lt;&gt;"✓")),"")</f>
        <v/>
      </c>
      <c r="AZ15" s="21" t="str">
        <f>IF(AND($AM15&lt;&gt;"",$AS15="✓"),SUMPRODUCT(($AM$11:$AM15&lt;&gt;"")*($AS$11:$AS15="✓")),"")</f>
        <v/>
      </c>
      <c r="BA15" s="21" t="str">
        <f>IF($AL15="","",$AL15&amp;"|"&amp;COUNTIF($AL$11:$AL15,$AL15))</f>
        <v/>
      </c>
      <c r="BD15" s="36" t="str">
        <f>IF(IFERROR(INDEX($AM$11:$AM$4010,MATCH($S$8&amp;"|"&amp;3,$BA$11:$BA$4010,0)),"")="","",3)</f>
        <v/>
      </c>
      <c r="BE15" s="36" t="str">
        <f>IFERROR(INDEX($AM$11:$AM$4010,MATCH($S$8&amp;"|"&amp;3,$BA$11:$BA$4010,0)),"")</f>
        <v/>
      </c>
      <c r="BF15" s="36" t="str">
        <f>IFERROR(INDEX($AP$11:$AP$4010,MATCH($S$8&amp;"|"&amp;3,$BA$11:$BA$4010,0)),"")</f>
        <v/>
      </c>
      <c r="BG15" s="36" t="str">
        <f>IFERROR(INDEX($AQ$11:$AQ$4010,MATCH($S$8&amp;"|"&amp;3,$BA$11:$BA$4010,0)),"")</f>
        <v/>
      </c>
      <c r="BH15" s="37" t="str">
        <f>IFERROR(INDEX($AN$11:$AN$4010,MATCH($S$8&amp;"|"&amp;3,$BA$11:$BA$4010,0)),"")</f>
        <v/>
      </c>
      <c r="BI15" s="37" t="str">
        <f>IFERROR(INDEX($AO$11:$AO$4010,MATCH($S$8&amp;"|"&amp;3,$BA$11:$BA$4010,0)),"")</f>
        <v/>
      </c>
      <c r="BL15" s="36" t="str">
        <f>IF(IFERROR(INDEX($AM$11:$AM$4010,MATCH($S$8&amp;"|"&amp;3,$BA$11:$BA$4010,0)),"")="","",3)</f>
        <v/>
      </c>
      <c r="BM15" s="36" t="str">
        <f>IFERROR(INDEX($AM$11:$AM$4010,MATCH($S$8&amp;"|"&amp;3,$BA$11:$BA$4010,0)),"")</f>
        <v/>
      </c>
      <c r="BN15" s="36" t="str">
        <f>IFERROR(INDEX($AP$11:$AP$4010,MATCH($S$8&amp;"|"&amp;3,$BA$11:$BA$4010,0)),"")</f>
        <v/>
      </c>
      <c r="BO15" s="36" t="str">
        <f>IFERROR(INDEX($AQ$11:$AQ$4010,MATCH($S$8&amp;"|"&amp;3,$BA$11:$BA$4010,0)),"")</f>
        <v/>
      </c>
      <c r="BP15" s="37" t="str">
        <f>IFERROR(INDEX($AN$11:$AN$4010,MATCH($S$8&amp;"|"&amp;3,$BA$11:$BA$4010,0)),"")</f>
        <v/>
      </c>
      <c r="BQ15" s="37" t="str">
        <f>IFERROR(INDEX($AO$11:$AO$4010,MATCH($S$8&amp;"|"&amp;3,$BA$11:$BA$4010,0)),"")</f>
        <v/>
      </c>
    </row>
    <row r="16" spans="2:69" ht="13.5" customHeight="1" x14ac:dyDescent="0.25">
      <c r="B16" s="5" t="str">
        <f t="shared" si="0"/>
        <v/>
      </c>
      <c r="C16" s="5"/>
      <c r="D16" s="5"/>
      <c r="E16" s="5"/>
      <c r="F16" s="6"/>
      <c r="G16" s="6"/>
      <c r="H16" s="7"/>
      <c r="I16" s="8"/>
      <c r="K16" s="23" t="str">
        <f>IFERROR(INDEX($AL$11:$AL$4010,MATCH(6,$AX$11:$AX$4010,0)),"")</f>
        <v/>
      </c>
      <c r="L16" s="24" t="str">
        <f t="shared" si="1"/>
        <v/>
      </c>
      <c r="M16" s="25" t="str">
        <f t="shared" si="2"/>
        <v/>
      </c>
      <c r="N16" s="25" t="str">
        <f t="shared" si="3"/>
        <v/>
      </c>
      <c r="P16" s="26" t="str">
        <f>IFERROR(INDEX($AM$11:$AM$4010,MATCH($S$8&amp;"|"&amp;6,$BA$11:$BA$4010,0)),"")</f>
        <v/>
      </c>
      <c r="Q16" s="25" t="str">
        <f>IF(P16="","",IFERROR(INDEX($AN$11:$AN$4010,MATCH($S$8&amp;"|"&amp;6,$BA$11:$BA$4010,0)),""))</f>
        <v/>
      </c>
      <c r="R16" s="25" t="str">
        <f>IF(P16="","",IFERROR(INDEX($AO$11:$AO$4010,MATCH($S$8&amp;"|"&amp;6,$BA$11:$BA$4010,0)),""))</f>
        <v/>
      </c>
      <c r="S16" s="24" t="str">
        <f>IF(P16="","",IFERROR(INDEX($AP$11:$AP$4010,MATCH($S$8&amp;"|"&amp;6,$BA$11:$BA$4010,0)),""))</f>
        <v/>
      </c>
      <c r="T16" s="24" t="str">
        <f>IF(P16="","",IFERROR(INDEX($AQ$11:$AQ$4010,MATCH($S$8&amp;"|"&amp;6,$BA$11:$BA$4010,0)),""))</f>
        <v/>
      </c>
      <c r="U16" s="38" t="str">
        <f t="shared" si="4"/>
        <v/>
      </c>
      <c r="W16" s="28" t="str">
        <f>IF(X16="","",IFERROR(INDEX($AL$11:$AL$4010,MATCH(6,$AY$11:$AY$4010,0)),""))</f>
        <v/>
      </c>
      <c r="X16" s="26" t="str">
        <f>IFERROR(INDEX($AM$11:$AM$4010,MATCH(6,$AY$11:$AY$4010,0)),"")</f>
        <v/>
      </c>
      <c r="Y16" s="25" t="str">
        <f>IF(X16="","",IFERROR(INDEX($AN$11:$AN$4010,MATCH(6,$AY$11:$AY$4010,0)),""))</f>
        <v/>
      </c>
      <c r="Z16" s="25" t="str">
        <f>IF(X16="","",IFERROR(INDEX($AO$11:$AO$4010,MATCH(6,$AY$11:$AY$4010,0)),""))</f>
        <v/>
      </c>
      <c r="AA16" s="24" t="str">
        <f>IF(X16="","",IFERROR(INDEX($AQ$11:$AQ$4010,MATCH(6,$AY$11:$AY$4010,0)),""))</f>
        <v/>
      </c>
      <c r="AB16" s="29" t="str">
        <f>IF(X16="","",IFERROR(INDEX($AR$11:$AR$4010,MATCH(6,$AY$11:$AY$4010,0)),""))</f>
        <v/>
      </c>
      <c r="AD16" s="30" t="str">
        <f>IF(AE16="","",IFERROR(INDEX($AL$11:$AL$4010,MATCH(6,$AZ$11:$AZ$4010,0)),""))</f>
        <v/>
      </c>
      <c r="AE16" s="26" t="str">
        <f>IFERROR(INDEX($AM$11:$AM$4010,MATCH(6,$AZ$11:$AZ$4010,0)),"")</f>
        <v/>
      </c>
      <c r="AF16" s="25" t="str">
        <f>IF(AE16="","",IFERROR(INDEX($AN$11:$AN$4010,MATCH(6,$AZ$11:$AZ$4010,0)),""))</f>
        <v/>
      </c>
      <c r="AG16" s="25" t="str">
        <f>IF(AE16="","",IFERROR(INDEX($AO$11:$AO$4010,MATCH(6,$AZ$11:$AZ$4010,0)),""))</f>
        <v/>
      </c>
      <c r="AH16" s="24" t="str">
        <f>IF(AE16="","",IFERROR(INDEX($AQ$11:$AQ$4010,MATCH(6,$AZ$11:$AZ$4010,0)),""))</f>
        <v/>
      </c>
      <c r="AI16" s="29" t="str">
        <f>IF(AE16="","",IFERROR(INDEX($AR$11:$AR$4010,MATCH(6,$AZ$11:$AZ$4010,0)),""))</f>
        <v/>
      </c>
      <c r="AJ16" s="29" t="str">
        <f>IF(AE16="","",IFERROR(INDEX($AT$11:$AT$4010,MATCH(6,$AZ$11:$AZ$4010,0)),""))</f>
        <v/>
      </c>
      <c r="AL16" s="31" t="str">
        <f t="shared" si="5"/>
        <v/>
      </c>
      <c r="AM16" s="26" t="str">
        <f t="shared" si="6"/>
        <v/>
      </c>
      <c r="AN16" s="32" t="str">
        <f t="shared" si="7"/>
        <v/>
      </c>
      <c r="AO16" s="32" t="str">
        <f t="shared" si="8"/>
        <v/>
      </c>
      <c r="AP16" s="24" t="str">
        <f t="shared" si="9"/>
        <v/>
      </c>
      <c r="AQ16" s="24" t="str">
        <f t="shared" si="10"/>
        <v/>
      </c>
      <c r="AR16" s="33" t="str">
        <f t="shared" si="11"/>
        <v/>
      </c>
      <c r="AS16" s="34"/>
      <c r="AT16" s="33"/>
      <c r="AV16" s="21">
        <f>IF(AND($AL16&lt;&gt;"",COUNTIF($AL$11:$AL16,$AL16)=1),1,0)</f>
        <v>0</v>
      </c>
      <c r="AW16" s="21">
        <f t="shared" si="13"/>
        <v>0</v>
      </c>
      <c r="AX16" s="21" t="str">
        <f t="shared" si="12"/>
        <v/>
      </c>
      <c r="AY16" s="21" t="str">
        <f>IF(AND($AM16&lt;&gt;"",$AS16&lt;&gt;"✓"),SUMPRODUCT(($AM$11:$AM16&lt;&gt;"")*($AS$11:$AS16&lt;&gt;"✓")),"")</f>
        <v/>
      </c>
      <c r="AZ16" s="21" t="str">
        <f>IF(AND($AM16&lt;&gt;"",$AS16="✓"),SUMPRODUCT(($AM$11:$AM16&lt;&gt;"")*($AS$11:$AS16="✓")),"")</f>
        <v/>
      </c>
      <c r="BA16" s="21" t="str">
        <f>IF($AL16="","",$AL16&amp;"|"&amp;COUNTIF($AL$11:$AL16,$AL16))</f>
        <v/>
      </c>
      <c r="BD16" s="36" t="str">
        <f>IF(IFERROR(INDEX($AM$11:$AM$4010,MATCH($S$8&amp;"|"&amp;4,$BA$11:$BA$4010,0)),"")="","",4)</f>
        <v/>
      </c>
      <c r="BE16" s="36" t="str">
        <f>IFERROR(INDEX($AM$11:$AM$4010,MATCH($S$8&amp;"|"&amp;4,$BA$11:$BA$4010,0)),"")</f>
        <v/>
      </c>
      <c r="BF16" s="36" t="str">
        <f>IFERROR(INDEX($AP$11:$AP$4010,MATCH($S$8&amp;"|"&amp;4,$BA$11:$BA$4010,0)),"")</f>
        <v/>
      </c>
      <c r="BG16" s="36" t="str">
        <f>IFERROR(INDEX($AQ$11:$AQ$4010,MATCH($S$8&amp;"|"&amp;4,$BA$11:$BA$4010,0)),"")</f>
        <v/>
      </c>
      <c r="BH16" s="37" t="str">
        <f>IFERROR(INDEX($AN$11:$AN$4010,MATCH($S$8&amp;"|"&amp;4,$BA$11:$BA$4010,0)),"")</f>
        <v/>
      </c>
      <c r="BI16" s="37" t="str">
        <f>IFERROR(INDEX($AO$11:$AO$4010,MATCH($S$8&amp;"|"&amp;4,$BA$11:$BA$4010,0)),"")</f>
        <v/>
      </c>
      <c r="BL16" s="36" t="str">
        <f>IF(IFERROR(INDEX($AM$11:$AM$4010,MATCH($S$8&amp;"|"&amp;4,$BA$11:$BA$4010,0)),"")="","",4)</f>
        <v/>
      </c>
      <c r="BM16" s="36" t="str">
        <f>IFERROR(INDEX($AM$11:$AM$4010,MATCH($S$8&amp;"|"&amp;4,$BA$11:$BA$4010,0)),"")</f>
        <v/>
      </c>
      <c r="BN16" s="36" t="str">
        <f>IFERROR(INDEX($AP$11:$AP$4010,MATCH($S$8&amp;"|"&amp;4,$BA$11:$BA$4010,0)),"")</f>
        <v/>
      </c>
      <c r="BO16" s="36" t="str">
        <f>IFERROR(INDEX($AQ$11:$AQ$4010,MATCH($S$8&amp;"|"&amp;4,$BA$11:$BA$4010,0)),"")</f>
        <v/>
      </c>
      <c r="BP16" s="37" t="str">
        <f>IFERROR(INDEX($AN$11:$AN$4010,MATCH($S$8&amp;"|"&amp;4,$BA$11:$BA$4010,0)),"")</f>
        <v/>
      </c>
      <c r="BQ16" s="37" t="str">
        <f>IFERROR(INDEX($AO$11:$AO$4010,MATCH($S$8&amp;"|"&amp;4,$BA$11:$BA$4010,0)),"")</f>
        <v/>
      </c>
    </row>
    <row r="17" spans="2:69" ht="13.5" customHeight="1" x14ac:dyDescent="0.25">
      <c r="B17" s="5" t="str">
        <f t="shared" si="0"/>
        <v/>
      </c>
      <c r="C17" s="5"/>
      <c r="D17" s="5"/>
      <c r="E17" s="5"/>
      <c r="F17" s="6"/>
      <c r="G17" s="6"/>
      <c r="H17" s="7"/>
      <c r="I17" s="8"/>
      <c r="K17" s="9" t="str">
        <f>IFERROR(INDEX($AL$11:$AL$4010,MATCH(7,$AX$11:$AX$4010,0)),"")</f>
        <v/>
      </c>
      <c r="L17" s="10" t="str">
        <f t="shared" si="1"/>
        <v/>
      </c>
      <c r="M17" s="11" t="str">
        <f t="shared" si="2"/>
        <v/>
      </c>
      <c r="N17" s="11" t="str">
        <f t="shared" si="3"/>
        <v/>
      </c>
      <c r="P17" s="12" t="str">
        <f>IFERROR(INDEX($AM$11:$AM$4010,MATCH($S$8&amp;"|"&amp;7,$BA$11:$BA$4010,0)),"")</f>
        <v/>
      </c>
      <c r="Q17" s="11" t="str">
        <f>IF(P17="","",IFERROR(INDEX($AN$11:$AN$4010,MATCH($S$8&amp;"|"&amp;7,$BA$11:$BA$4010,0)),""))</f>
        <v/>
      </c>
      <c r="R17" s="11" t="str">
        <f>IF(P17="","",IFERROR(INDEX($AO$11:$AO$4010,MATCH($S$8&amp;"|"&amp;7,$BA$11:$BA$4010,0)),""))</f>
        <v/>
      </c>
      <c r="S17" s="10" t="str">
        <f>IF(P17="","",IFERROR(INDEX($AP$11:$AP$4010,MATCH($S$8&amp;"|"&amp;7,$BA$11:$BA$4010,0)),""))</f>
        <v/>
      </c>
      <c r="T17" s="10" t="str">
        <f>IF(P17="","",IFERROR(INDEX($AQ$11:$AQ$4010,MATCH($S$8&amp;"|"&amp;7,$BA$11:$BA$4010,0)),""))</f>
        <v/>
      </c>
      <c r="U17" s="39" t="str">
        <f t="shared" si="4"/>
        <v/>
      </c>
      <c r="W17" s="14" t="str">
        <f>IF(X17="","",IFERROR(INDEX($AL$11:$AL$4010,MATCH(7,$AY$11:$AY$4010,0)),""))</f>
        <v/>
      </c>
      <c r="X17" s="12" t="str">
        <f>IFERROR(INDEX($AM$11:$AM$4010,MATCH(7,$AY$11:$AY$4010,0)),"")</f>
        <v/>
      </c>
      <c r="Y17" s="11" t="str">
        <f>IF(X17="","",IFERROR(INDEX($AN$11:$AN$4010,MATCH(7,$AY$11:$AY$4010,0)),""))</f>
        <v/>
      </c>
      <c r="Z17" s="11" t="str">
        <f>IF(X17="","",IFERROR(INDEX($AO$11:$AO$4010,MATCH(7,$AY$11:$AY$4010,0)),""))</f>
        <v/>
      </c>
      <c r="AA17" s="10" t="str">
        <f>IF(X17="","",IFERROR(INDEX($AQ$11:$AQ$4010,MATCH(7,$AY$11:$AY$4010,0)),""))</f>
        <v/>
      </c>
      <c r="AB17" s="15" t="str">
        <f>IF(X17="","",IFERROR(INDEX($AR$11:$AR$4010,MATCH(7,$AY$11:$AY$4010,0)),""))</f>
        <v/>
      </c>
      <c r="AD17" s="16" t="str">
        <f>IF(AE17="","",IFERROR(INDEX($AL$11:$AL$4010,MATCH(7,$AZ$11:$AZ$4010,0)),""))</f>
        <v/>
      </c>
      <c r="AE17" s="12" t="str">
        <f>IFERROR(INDEX($AM$11:$AM$4010,MATCH(7,$AZ$11:$AZ$4010,0)),"")</f>
        <v/>
      </c>
      <c r="AF17" s="11" t="str">
        <f>IF(AE17="","",IFERROR(INDEX($AN$11:$AN$4010,MATCH(7,$AZ$11:$AZ$4010,0)),""))</f>
        <v/>
      </c>
      <c r="AG17" s="11" t="str">
        <f>IF(AE17="","",IFERROR(INDEX($AO$11:$AO$4010,MATCH(7,$AZ$11:$AZ$4010,0)),""))</f>
        <v/>
      </c>
      <c r="AH17" s="10" t="str">
        <f>IF(AE17="","",IFERROR(INDEX($AQ$11:$AQ$4010,MATCH(7,$AZ$11:$AZ$4010,0)),""))</f>
        <v/>
      </c>
      <c r="AI17" s="15" t="str">
        <f>IF(AE17="","",IFERROR(INDEX($AR$11:$AR$4010,MATCH(7,$AZ$11:$AZ$4010,0)),""))</f>
        <v/>
      </c>
      <c r="AJ17" s="15" t="str">
        <f>IF(AE17="","",IFERROR(INDEX($AT$11:$AT$4010,MATCH(7,$AZ$11:$AZ$4010,0)),""))</f>
        <v/>
      </c>
      <c r="AL17" s="17" t="str">
        <f t="shared" si="5"/>
        <v/>
      </c>
      <c r="AM17" s="12" t="str">
        <f t="shared" si="6"/>
        <v/>
      </c>
      <c r="AN17" s="18" t="str">
        <f t="shared" si="7"/>
        <v/>
      </c>
      <c r="AO17" s="18" t="str">
        <f t="shared" si="8"/>
        <v/>
      </c>
      <c r="AP17" s="10" t="str">
        <f t="shared" si="9"/>
        <v/>
      </c>
      <c r="AQ17" s="10" t="str">
        <f t="shared" si="10"/>
        <v/>
      </c>
      <c r="AR17" s="19" t="str">
        <f t="shared" si="11"/>
        <v/>
      </c>
      <c r="AS17" s="20"/>
      <c r="AT17" s="19"/>
      <c r="AV17" s="21">
        <f>IF(AND($AL17&lt;&gt;"",COUNTIF($AL$11:$AL17,$AL17)=1),1,0)</f>
        <v>0</v>
      </c>
      <c r="AW17" s="21">
        <f t="shared" si="13"/>
        <v>0</v>
      </c>
      <c r="AX17" s="21" t="str">
        <f t="shared" si="12"/>
        <v/>
      </c>
      <c r="AY17" s="21" t="str">
        <f>IF(AND($AM17&lt;&gt;"",$AS17&lt;&gt;"✓"),SUMPRODUCT(($AM$11:$AM17&lt;&gt;"")*($AS$11:$AS17&lt;&gt;"✓")),"")</f>
        <v/>
      </c>
      <c r="AZ17" s="21" t="str">
        <f>IF(AND($AM17&lt;&gt;"",$AS17="✓"),SUMPRODUCT(($AM$11:$AM17&lt;&gt;"")*($AS$11:$AS17="✓")),"")</f>
        <v/>
      </c>
      <c r="BA17" s="21" t="str">
        <f>IF($AL17="","",$AL17&amp;"|"&amp;COUNTIF($AL$11:$AL17,$AL17))</f>
        <v/>
      </c>
      <c r="BD17" s="36" t="str">
        <f>IF(IFERROR(INDEX($AM$11:$AM$4010,MATCH($S$8&amp;"|"&amp;5,$BA$11:$BA$4010,0)),"")="","",5)</f>
        <v/>
      </c>
      <c r="BE17" s="36" t="str">
        <f>IFERROR(INDEX($AM$11:$AM$4010,MATCH($S$8&amp;"|"&amp;5,$BA$11:$BA$4010,0)),"")</f>
        <v/>
      </c>
      <c r="BF17" s="36" t="str">
        <f>IFERROR(INDEX($AP$11:$AP$4010,MATCH($S$8&amp;"|"&amp;5,$BA$11:$BA$4010,0)),"")</f>
        <v/>
      </c>
      <c r="BG17" s="36" t="str">
        <f>IFERROR(INDEX($AQ$11:$AQ$4010,MATCH($S$8&amp;"|"&amp;5,$BA$11:$BA$4010,0)),"")</f>
        <v/>
      </c>
      <c r="BH17" s="37" t="str">
        <f>IFERROR(INDEX($AN$11:$AN$4010,MATCH($S$8&amp;"|"&amp;5,$BA$11:$BA$4010,0)),"")</f>
        <v/>
      </c>
      <c r="BI17" s="37" t="str">
        <f>IFERROR(INDEX($AO$11:$AO$4010,MATCH($S$8&amp;"|"&amp;5,$BA$11:$BA$4010,0)),"")</f>
        <v/>
      </c>
      <c r="BL17" s="36" t="str">
        <f>IF(IFERROR(INDEX($AM$11:$AM$4010,MATCH($S$8&amp;"|"&amp;5,$BA$11:$BA$4010,0)),"")="","",5)</f>
        <v/>
      </c>
      <c r="BM17" s="36" t="str">
        <f>IFERROR(INDEX($AM$11:$AM$4010,MATCH($S$8&amp;"|"&amp;5,$BA$11:$BA$4010,0)),"")</f>
        <v/>
      </c>
      <c r="BN17" s="36" t="str">
        <f>IFERROR(INDEX($AP$11:$AP$4010,MATCH($S$8&amp;"|"&amp;5,$BA$11:$BA$4010,0)),"")</f>
        <v/>
      </c>
      <c r="BO17" s="36" t="str">
        <f>IFERROR(INDEX($AQ$11:$AQ$4010,MATCH($S$8&amp;"|"&amp;5,$BA$11:$BA$4010,0)),"")</f>
        <v/>
      </c>
      <c r="BP17" s="37" t="str">
        <f>IFERROR(INDEX($AN$11:$AN$4010,MATCH($S$8&amp;"|"&amp;5,$BA$11:$BA$4010,0)),"")</f>
        <v/>
      </c>
      <c r="BQ17" s="37" t="str">
        <f>IFERROR(INDEX($AO$11:$AO$4010,MATCH($S$8&amp;"|"&amp;5,$BA$11:$BA$4010,0)),"")</f>
        <v/>
      </c>
    </row>
    <row r="18" spans="2:69" ht="13.5" customHeight="1" x14ac:dyDescent="0.25">
      <c r="B18" s="5" t="str">
        <f t="shared" si="0"/>
        <v/>
      </c>
      <c r="C18" s="5"/>
      <c r="D18" s="5"/>
      <c r="E18" s="5"/>
      <c r="F18" s="6"/>
      <c r="G18" s="6"/>
      <c r="H18" s="7"/>
      <c r="I18" s="8"/>
      <c r="K18" s="23" t="str">
        <f>IFERROR(INDEX($AL$11:$AL$4010,MATCH(8,$AX$11:$AX$4010,0)),"")</f>
        <v/>
      </c>
      <c r="L18" s="24" t="str">
        <f t="shared" si="1"/>
        <v/>
      </c>
      <c r="M18" s="25" t="str">
        <f t="shared" si="2"/>
        <v/>
      </c>
      <c r="N18" s="25" t="str">
        <f t="shared" si="3"/>
        <v/>
      </c>
      <c r="P18" s="26" t="str">
        <f>IFERROR(INDEX($AM$11:$AM$4010,MATCH($S$8&amp;"|"&amp;8,$BA$11:$BA$4010,0)),"")</f>
        <v/>
      </c>
      <c r="Q18" s="25" t="str">
        <f>IF(P18="","",IFERROR(INDEX($AN$11:$AN$4010,MATCH($S$8&amp;"|"&amp;8,$BA$11:$BA$4010,0)),""))</f>
        <v/>
      </c>
      <c r="R18" s="25" t="str">
        <f>IF(P18="","",IFERROR(INDEX($AO$11:$AO$4010,MATCH($S$8&amp;"|"&amp;8,$BA$11:$BA$4010,0)),""))</f>
        <v/>
      </c>
      <c r="S18" s="24" t="str">
        <f>IF(P18="","",IFERROR(INDEX($AP$11:$AP$4010,MATCH($S$8&amp;"|"&amp;8,$BA$11:$BA$4010,0)),""))</f>
        <v/>
      </c>
      <c r="T18" s="24" t="str">
        <f>IF(P18="","",IFERROR(INDEX($AQ$11:$AQ$4010,MATCH($S$8&amp;"|"&amp;8,$BA$11:$BA$4010,0)),""))</f>
        <v/>
      </c>
      <c r="U18" s="38" t="str">
        <f t="shared" si="4"/>
        <v/>
      </c>
      <c r="W18" s="28" t="str">
        <f>IF(X18="","",IFERROR(INDEX($AL$11:$AL$4010,MATCH(8,$AY$11:$AY$4010,0)),""))</f>
        <v/>
      </c>
      <c r="X18" s="26" t="str">
        <f>IFERROR(INDEX($AM$11:$AM$4010,MATCH(8,$AY$11:$AY$4010,0)),"")</f>
        <v/>
      </c>
      <c r="Y18" s="25" t="str">
        <f>IF(X18="","",IFERROR(INDEX($AN$11:$AN$4010,MATCH(8,$AY$11:$AY$4010,0)),""))</f>
        <v/>
      </c>
      <c r="Z18" s="25" t="str">
        <f>IF(X18="","",IFERROR(INDEX($AO$11:$AO$4010,MATCH(8,$AY$11:$AY$4010,0)),""))</f>
        <v/>
      </c>
      <c r="AA18" s="24" t="str">
        <f>IF(X18="","",IFERROR(INDEX($AQ$11:$AQ$4010,MATCH(8,$AY$11:$AY$4010,0)),""))</f>
        <v/>
      </c>
      <c r="AB18" s="29" t="str">
        <f>IF(X18="","",IFERROR(INDEX($AR$11:$AR$4010,MATCH(8,$AY$11:$AY$4010,0)),""))</f>
        <v/>
      </c>
      <c r="AD18" s="30" t="str">
        <f>IF(AE18="","",IFERROR(INDEX($AL$11:$AL$4010,MATCH(8,$AZ$11:$AZ$4010,0)),""))</f>
        <v/>
      </c>
      <c r="AE18" s="26" t="str">
        <f>IFERROR(INDEX($AM$11:$AM$4010,MATCH(8,$AZ$11:$AZ$4010,0)),"")</f>
        <v/>
      </c>
      <c r="AF18" s="25" t="str">
        <f>IF(AE18="","",IFERROR(INDEX($AN$11:$AN$4010,MATCH(8,$AZ$11:$AZ$4010,0)),""))</f>
        <v/>
      </c>
      <c r="AG18" s="25" t="str">
        <f>IF(AE18="","",IFERROR(INDEX($AO$11:$AO$4010,MATCH(8,$AZ$11:$AZ$4010,0)),""))</f>
        <v/>
      </c>
      <c r="AH18" s="24" t="str">
        <f>IF(AE18="","",IFERROR(INDEX($AQ$11:$AQ$4010,MATCH(8,$AZ$11:$AZ$4010,0)),""))</f>
        <v/>
      </c>
      <c r="AI18" s="29" t="str">
        <f>IF(AE18="","",IFERROR(INDEX($AR$11:$AR$4010,MATCH(8,$AZ$11:$AZ$4010,0)),""))</f>
        <v/>
      </c>
      <c r="AJ18" s="29" t="str">
        <f>IF(AE18="","",IFERROR(INDEX($AT$11:$AT$4010,MATCH(8,$AZ$11:$AZ$4010,0)),""))</f>
        <v/>
      </c>
      <c r="AL18" s="31" t="str">
        <f t="shared" si="5"/>
        <v/>
      </c>
      <c r="AM18" s="26" t="str">
        <f t="shared" si="6"/>
        <v/>
      </c>
      <c r="AN18" s="32" t="str">
        <f t="shared" si="7"/>
        <v/>
      </c>
      <c r="AO18" s="32" t="str">
        <f t="shared" si="8"/>
        <v/>
      </c>
      <c r="AP18" s="24" t="str">
        <f t="shared" si="9"/>
        <v/>
      </c>
      <c r="AQ18" s="24" t="str">
        <f t="shared" si="10"/>
        <v/>
      </c>
      <c r="AR18" s="33" t="str">
        <f t="shared" si="11"/>
        <v/>
      </c>
      <c r="AS18" s="34"/>
      <c r="AT18" s="33"/>
      <c r="AV18" s="21">
        <f>IF(AND($AL18&lt;&gt;"",COUNTIF($AL$11:$AL18,$AL18)=1),1,0)</f>
        <v>0</v>
      </c>
      <c r="AW18" s="21">
        <f t="shared" si="13"/>
        <v>0</v>
      </c>
      <c r="AX18" s="21" t="str">
        <f t="shared" si="12"/>
        <v/>
      </c>
      <c r="AY18" s="21" t="str">
        <f>IF(AND($AM18&lt;&gt;"",$AS18&lt;&gt;"✓"),SUMPRODUCT(($AM$11:$AM18&lt;&gt;"")*($AS$11:$AS18&lt;&gt;"✓")),"")</f>
        <v/>
      </c>
      <c r="AZ18" s="21" t="str">
        <f>IF(AND($AM18&lt;&gt;"",$AS18="✓"),SUMPRODUCT(($AM$11:$AM18&lt;&gt;"")*($AS$11:$AS18="✓")),"")</f>
        <v/>
      </c>
      <c r="BA18" s="21" t="str">
        <f>IF($AL18="","",$AL18&amp;"|"&amp;COUNTIF($AL$11:$AL18,$AL18))</f>
        <v/>
      </c>
      <c r="BD18" s="36" t="str">
        <f>IF(IFERROR(INDEX($AM$11:$AM$4010,MATCH($S$8&amp;"|"&amp;6,$BA$11:$BA$4010,0)),"")="","",6)</f>
        <v/>
      </c>
      <c r="BE18" s="36" t="str">
        <f>IFERROR(INDEX($AM$11:$AM$4010,MATCH($S$8&amp;"|"&amp;6,$BA$11:$BA$4010,0)),"")</f>
        <v/>
      </c>
      <c r="BF18" s="36" t="str">
        <f>IFERROR(INDEX($AP$11:$AP$4010,MATCH($S$8&amp;"|"&amp;6,$BA$11:$BA$4010,0)),"")</f>
        <v/>
      </c>
      <c r="BG18" s="36" t="str">
        <f>IFERROR(INDEX($AQ$11:$AQ$4010,MATCH($S$8&amp;"|"&amp;6,$BA$11:$BA$4010,0)),"")</f>
        <v/>
      </c>
      <c r="BH18" s="37" t="str">
        <f>IFERROR(INDEX($AN$11:$AN$4010,MATCH($S$8&amp;"|"&amp;6,$BA$11:$BA$4010,0)),"")</f>
        <v/>
      </c>
      <c r="BI18" s="37" t="str">
        <f>IFERROR(INDEX($AO$11:$AO$4010,MATCH($S$8&amp;"|"&amp;6,$BA$11:$BA$4010,0)),"")</f>
        <v/>
      </c>
      <c r="BL18" s="36" t="str">
        <f>IF(IFERROR(INDEX($AM$11:$AM$4010,MATCH($S$8&amp;"|"&amp;6,$BA$11:$BA$4010,0)),"")="","",6)</f>
        <v/>
      </c>
      <c r="BM18" s="36" t="str">
        <f>IFERROR(INDEX($AM$11:$AM$4010,MATCH($S$8&amp;"|"&amp;6,$BA$11:$BA$4010,0)),"")</f>
        <v/>
      </c>
      <c r="BN18" s="36" t="str">
        <f>IFERROR(INDEX($AP$11:$AP$4010,MATCH($S$8&amp;"|"&amp;6,$BA$11:$BA$4010,0)),"")</f>
        <v/>
      </c>
      <c r="BO18" s="36" t="str">
        <f>IFERROR(INDEX($AQ$11:$AQ$4010,MATCH($S$8&amp;"|"&amp;6,$BA$11:$BA$4010,0)),"")</f>
        <v/>
      </c>
      <c r="BP18" s="37" t="str">
        <f>IFERROR(INDEX($AN$11:$AN$4010,MATCH($S$8&amp;"|"&amp;6,$BA$11:$BA$4010,0)),"")</f>
        <v/>
      </c>
      <c r="BQ18" s="37" t="str">
        <f>IFERROR(INDEX($AO$11:$AO$4010,MATCH($S$8&amp;"|"&amp;6,$BA$11:$BA$4010,0)),"")</f>
        <v/>
      </c>
    </row>
    <row r="19" spans="2:69" ht="13.5" customHeight="1" x14ac:dyDescent="0.25">
      <c r="B19" s="5" t="str">
        <f t="shared" si="0"/>
        <v/>
      </c>
      <c r="C19" s="5"/>
      <c r="D19" s="5"/>
      <c r="E19" s="5"/>
      <c r="F19" s="6"/>
      <c r="G19" s="6"/>
      <c r="H19" s="7"/>
      <c r="I19" s="8"/>
      <c r="K19" s="9" t="str">
        <f>IFERROR(INDEX($AL$11:$AL$4010,MATCH(9,$AX$11:$AX$4010,0)),"")</f>
        <v/>
      </c>
      <c r="L19" s="10" t="str">
        <f t="shared" si="1"/>
        <v/>
      </c>
      <c r="M19" s="11" t="str">
        <f t="shared" si="2"/>
        <v/>
      </c>
      <c r="N19" s="11" t="str">
        <f t="shared" si="3"/>
        <v/>
      </c>
      <c r="P19" s="12" t="str">
        <f>IFERROR(INDEX($AM$11:$AM$4010,MATCH($S$8&amp;"|"&amp;9,$BA$11:$BA$4010,0)),"")</f>
        <v/>
      </c>
      <c r="Q19" s="11" t="str">
        <f>IF(P19="","",IFERROR(INDEX($AN$11:$AN$4010,MATCH($S$8&amp;"|"&amp;9,$BA$11:$BA$4010,0)),""))</f>
        <v/>
      </c>
      <c r="R19" s="11" t="str">
        <f>IF(P19="","",IFERROR(INDEX($AO$11:$AO$4010,MATCH($S$8&amp;"|"&amp;9,$BA$11:$BA$4010,0)),""))</f>
        <v/>
      </c>
      <c r="S19" s="10" t="str">
        <f>IF(P19="","",IFERROR(INDEX($AP$11:$AP$4010,MATCH($S$8&amp;"|"&amp;9,$BA$11:$BA$4010,0)),""))</f>
        <v/>
      </c>
      <c r="T19" s="10" t="str">
        <f>IF(P19="","",IFERROR(INDEX($AQ$11:$AQ$4010,MATCH($S$8&amp;"|"&amp;9,$BA$11:$BA$4010,0)),""))</f>
        <v/>
      </c>
      <c r="U19" s="39" t="str">
        <f t="shared" si="4"/>
        <v/>
      </c>
      <c r="W19" s="14" t="str">
        <f>IF(X19="","",IFERROR(INDEX($AL$11:$AL$4010,MATCH(9,$AY$11:$AY$4010,0)),""))</f>
        <v/>
      </c>
      <c r="X19" s="12" t="str">
        <f>IFERROR(INDEX($AM$11:$AM$4010,MATCH(9,$AY$11:$AY$4010,0)),"")</f>
        <v/>
      </c>
      <c r="Y19" s="11" t="str">
        <f>IF(X19="","",IFERROR(INDEX($AN$11:$AN$4010,MATCH(9,$AY$11:$AY$4010,0)),""))</f>
        <v/>
      </c>
      <c r="Z19" s="11" t="str">
        <f>IF(X19="","",IFERROR(INDEX($AO$11:$AO$4010,MATCH(9,$AY$11:$AY$4010,0)),""))</f>
        <v/>
      </c>
      <c r="AA19" s="10" t="str">
        <f>IF(X19="","",IFERROR(INDEX($AQ$11:$AQ$4010,MATCH(9,$AY$11:$AY$4010,0)),""))</f>
        <v/>
      </c>
      <c r="AB19" s="15" t="str">
        <f>IF(X19="","",IFERROR(INDEX($AR$11:$AR$4010,MATCH(9,$AY$11:$AY$4010,0)),""))</f>
        <v/>
      </c>
      <c r="AD19" s="16" t="str">
        <f>IF(AE19="","",IFERROR(INDEX($AL$11:$AL$4010,MATCH(9,$AZ$11:$AZ$4010,0)),""))</f>
        <v/>
      </c>
      <c r="AE19" s="12" t="str">
        <f>IFERROR(INDEX($AM$11:$AM$4010,MATCH(9,$AZ$11:$AZ$4010,0)),"")</f>
        <v/>
      </c>
      <c r="AF19" s="11" t="str">
        <f>IF(AE19="","",IFERROR(INDEX($AN$11:$AN$4010,MATCH(9,$AZ$11:$AZ$4010,0)),""))</f>
        <v/>
      </c>
      <c r="AG19" s="11" t="str">
        <f>IF(AE19="","",IFERROR(INDEX($AO$11:$AO$4010,MATCH(9,$AZ$11:$AZ$4010,0)),""))</f>
        <v/>
      </c>
      <c r="AH19" s="10" t="str">
        <f>IF(AE19="","",IFERROR(INDEX($AQ$11:$AQ$4010,MATCH(9,$AZ$11:$AZ$4010,0)),""))</f>
        <v/>
      </c>
      <c r="AI19" s="15" t="str">
        <f>IF(AE19="","",IFERROR(INDEX($AR$11:$AR$4010,MATCH(9,$AZ$11:$AZ$4010,0)),""))</f>
        <v/>
      </c>
      <c r="AJ19" s="15" t="str">
        <f>IF(AE19="","",IFERROR(INDEX($AT$11:$AT$4010,MATCH(9,$AZ$11:$AZ$4010,0)),""))</f>
        <v/>
      </c>
      <c r="AL19" s="17" t="str">
        <f t="shared" si="5"/>
        <v/>
      </c>
      <c r="AM19" s="12" t="str">
        <f t="shared" si="6"/>
        <v/>
      </c>
      <c r="AN19" s="18" t="str">
        <f t="shared" si="7"/>
        <v/>
      </c>
      <c r="AO19" s="18" t="str">
        <f t="shared" si="8"/>
        <v/>
      </c>
      <c r="AP19" s="10" t="str">
        <f t="shared" si="9"/>
        <v/>
      </c>
      <c r="AQ19" s="10" t="str">
        <f t="shared" si="10"/>
        <v/>
      </c>
      <c r="AR19" s="19" t="str">
        <f t="shared" si="11"/>
        <v/>
      </c>
      <c r="AS19" s="20"/>
      <c r="AT19" s="19"/>
      <c r="AV19" s="21">
        <f>IF(AND($AL19&lt;&gt;"",COUNTIF($AL$11:$AL19,$AL19)=1),1,0)</f>
        <v>0</v>
      </c>
      <c r="AW19" s="21">
        <f t="shared" si="13"/>
        <v>0</v>
      </c>
      <c r="AX19" s="21" t="str">
        <f t="shared" si="12"/>
        <v/>
      </c>
      <c r="AY19" s="21" t="str">
        <f>IF(AND($AM19&lt;&gt;"",$AS19&lt;&gt;"✓"),SUMPRODUCT(($AM$11:$AM19&lt;&gt;"")*($AS$11:$AS19&lt;&gt;"✓")),"")</f>
        <v/>
      </c>
      <c r="AZ19" s="21" t="str">
        <f>IF(AND($AM19&lt;&gt;"",$AS19="✓"),SUMPRODUCT(($AM$11:$AM19&lt;&gt;"")*($AS$11:$AS19="✓")),"")</f>
        <v/>
      </c>
      <c r="BA19" s="21" t="str">
        <f>IF($AL19="","",$AL19&amp;"|"&amp;COUNTIF($AL$11:$AL19,$AL19))</f>
        <v/>
      </c>
      <c r="BD19" s="36" t="str">
        <f>IF(IFERROR(INDEX($AM$11:$AM$4010,MATCH($S$8&amp;"|"&amp;7,$BA$11:$BA$4010,0)),"")="","",7)</f>
        <v/>
      </c>
      <c r="BE19" s="36" t="str">
        <f>IFERROR(INDEX($AM$11:$AM$4010,MATCH($S$8&amp;"|"&amp;7,$BA$11:$BA$4010,0)),"")</f>
        <v/>
      </c>
      <c r="BF19" s="36" t="str">
        <f>IFERROR(INDEX($AP$11:$AP$4010,MATCH($S$8&amp;"|"&amp;7,$BA$11:$BA$4010,0)),"")</f>
        <v/>
      </c>
      <c r="BG19" s="36" t="str">
        <f>IFERROR(INDEX($AQ$11:$AQ$4010,MATCH($S$8&amp;"|"&amp;7,$BA$11:$BA$4010,0)),"")</f>
        <v/>
      </c>
      <c r="BH19" s="37" t="str">
        <f>IFERROR(INDEX($AN$11:$AN$4010,MATCH($S$8&amp;"|"&amp;7,$BA$11:$BA$4010,0)),"")</f>
        <v/>
      </c>
      <c r="BI19" s="37" t="str">
        <f>IFERROR(INDEX($AO$11:$AO$4010,MATCH($S$8&amp;"|"&amp;7,$BA$11:$BA$4010,0)),"")</f>
        <v/>
      </c>
      <c r="BL19" s="36" t="str">
        <f>IF(IFERROR(INDEX($AM$11:$AM$4010,MATCH($S$8&amp;"|"&amp;7,$BA$11:$BA$4010,0)),"")="","",7)</f>
        <v/>
      </c>
      <c r="BM19" s="36" t="str">
        <f>IFERROR(INDEX($AM$11:$AM$4010,MATCH($S$8&amp;"|"&amp;7,$BA$11:$BA$4010,0)),"")</f>
        <v/>
      </c>
      <c r="BN19" s="36" t="str">
        <f>IFERROR(INDEX($AP$11:$AP$4010,MATCH($S$8&amp;"|"&amp;7,$BA$11:$BA$4010,0)),"")</f>
        <v/>
      </c>
      <c r="BO19" s="36" t="str">
        <f>IFERROR(INDEX($AQ$11:$AQ$4010,MATCH($S$8&amp;"|"&amp;7,$BA$11:$BA$4010,0)),"")</f>
        <v/>
      </c>
      <c r="BP19" s="37" t="str">
        <f>IFERROR(INDEX($AN$11:$AN$4010,MATCH($S$8&amp;"|"&amp;7,$BA$11:$BA$4010,0)),"")</f>
        <v/>
      </c>
      <c r="BQ19" s="37" t="str">
        <f>IFERROR(INDEX($AO$11:$AO$4010,MATCH($S$8&amp;"|"&amp;7,$BA$11:$BA$4010,0)),"")</f>
        <v/>
      </c>
    </row>
    <row r="20" spans="2:69" ht="13.5" customHeight="1" x14ac:dyDescent="0.25">
      <c r="B20" s="5" t="str">
        <f t="shared" si="0"/>
        <v/>
      </c>
      <c r="C20" s="5"/>
      <c r="D20" s="5"/>
      <c r="E20" s="5"/>
      <c r="F20" s="6"/>
      <c r="G20" s="6"/>
      <c r="H20" s="7"/>
      <c r="I20" s="8"/>
      <c r="K20" s="23" t="str">
        <f>IFERROR(INDEX($AL$11:$AL$4010,MATCH(10,$AX$11:$AX$4010,0)),"")</f>
        <v/>
      </c>
      <c r="L20" s="24" t="str">
        <f t="shared" si="1"/>
        <v/>
      </c>
      <c r="M20" s="25" t="str">
        <f t="shared" si="2"/>
        <v/>
      </c>
      <c r="N20" s="25" t="str">
        <f t="shared" si="3"/>
        <v/>
      </c>
      <c r="P20" s="26" t="str">
        <f>IFERROR(INDEX($AM$11:$AM$4010,MATCH($S$8&amp;"|"&amp;10,$BA$11:$BA$4010,0)),"")</f>
        <v/>
      </c>
      <c r="Q20" s="25" t="str">
        <f>IF(P20="","",IFERROR(INDEX($AN$11:$AN$4010,MATCH($S$8&amp;"|"&amp;10,$BA$11:$BA$4010,0)),""))</f>
        <v/>
      </c>
      <c r="R20" s="25" t="str">
        <f>IF(P20="","",IFERROR(INDEX($AO$11:$AO$4010,MATCH($S$8&amp;"|"&amp;10,$BA$11:$BA$4010,0)),""))</f>
        <v/>
      </c>
      <c r="S20" s="24" t="str">
        <f>IF(P20="","",IFERROR(INDEX($AP$11:$AP$4010,MATCH($S$8&amp;"|"&amp;10,$BA$11:$BA$4010,0)),""))</f>
        <v/>
      </c>
      <c r="T20" s="24" t="str">
        <f>IF(P20="","",IFERROR(INDEX($AQ$11:$AQ$4010,MATCH($S$8&amp;"|"&amp;10,$BA$11:$BA$4010,0)),""))</f>
        <v/>
      </c>
      <c r="U20" s="38" t="str">
        <f t="shared" si="4"/>
        <v/>
      </c>
      <c r="W20" s="28" t="str">
        <f>IF(X20="","",IFERROR(INDEX($AL$11:$AL$4010,MATCH(10,$AY$11:$AY$4010,0)),""))</f>
        <v/>
      </c>
      <c r="X20" s="26" t="str">
        <f>IFERROR(INDEX($AM$11:$AM$4010,MATCH(10,$AY$11:$AY$4010,0)),"")</f>
        <v/>
      </c>
      <c r="Y20" s="25" t="str">
        <f>IF(X20="","",IFERROR(INDEX($AN$11:$AN$4010,MATCH(10,$AY$11:$AY$4010,0)),""))</f>
        <v/>
      </c>
      <c r="Z20" s="25" t="str">
        <f>IF(X20="","",IFERROR(INDEX($AO$11:$AO$4010,MATCH(10,$AY$11:$AY$4010,0)),""))</f>
        <v/>
      </c>
      <c r="AA20" s="24" t="str">
        <f>IF(X20="","",IFERROR(INDEX($AQ$11:$AQ$4010,MATCH(10,$AY$11:$AY$4010,0)),""))</f>
        <v/>
      </c>
      <c r="AB20" s="29" t="str">
        <f>IF(X20="","",IFERROR(INDEX($AR$11:$AR$4010,MATCH(10,$AY$11:$AY$4010,0)),""))</f>
        <v/>
      </c>
      <c r="AD20" s="30" t="str">
        <f>IF(AE20="","",IFERROR(INDEX($AL$11:$AL$4010,MATCH(10,$AZ$11:$AZ$4010,0)),""))</f>
        <v/>
      </c>
      <c r="AE20" s="26" t="str">
        <f>IFERROR(INDEX($AM$11:$AM$4010,MATCH(10,$AZ$11:$AZ$4010,0)),"")</f>
        <v/>
      </c>
      <c r="AF20" s="25" t="str">
        <f>IF(AE20="","",IFERROR(INDEX($AN$11:$AN$4010,MATCH(10,$AZ$11:$AZ$4010,0)),""))</f>
        <v/>
      </c>
      <c r="AG20" s="25" t="str">
        <f>IF(AE20="","",IFERROR(INDEX($AO$11:$AO$4010,MATCH(10,$AZ$11:$AZ$4010,0)),""))</f>
        <v/>
      </c>
      <c r="AH20" s="24" t="str">
        <f>IF(AE20="","",IFERROR(INDEX($AQ$11:$AQ$4010,MATCH(10,$AZ$11:$AZ$4010,0)),""))</f>
        <v/>
      </c>
      <c r="AI20" s="29" t="str">
        <f>IF(AE20="","",IFERROR(INDEX($AR$11:$AR$4010,MATCH(10,$AZ$11:$AZ$4010,0)),""))</f>
        <v/>
      </c>
      <c r="AJ20" s="29" t="str">
        <f>IF(AE20="","",IFERROR(INDEX($AT$11:$AT$4010,MATCH(10,$AZ$11:$AZ$4010,0)),""))</f>
        <v/>
      </c>
      <c r="AL20" s="31" t="str">
        <f t="shared" si="5"/>
        <v/>
      </c>
      <c r="AM20" s="26" t="str">
        <f t="shared" si="6"/>
        <v/>
      </c>
      <c r="AN20" s="32" t="str">
        <f t="shared" si="7"/>
        <v/>
      </c>
      <c r="AO20" s="32" t="str">
        <f t="shared" si="8"/>
        <v/>
      </c>
      <c r="AP20" s="24" t="str">
        <f t="shared" si="9"/>
        <v/>
      </c>
      <c r="AQ20" s="24" t="str">
        <f t="shared" si="10"/>
        <v/>
      </c>
      <c r="AR20" s="33" t="str">
        <f t="shared" si="11"/>
        <v/>
      </c>
      <c r="AS20" s="34"/>
      <c r="AT20" s="33"/>
      <c r="AV20" s="21">
        <f>IF(AND($AL20&lt;&gt;"",COUNTIF($AL$11:$AL20,$AL20)=1),1,0)</f>
        <v>0</v>
      </c>
      <c r="AW20" s="21">
        <f t="shared" si="13"/>
        <v>0</v>
      </c>
      <c r="AX20" s="21" t="str">
        <f t="shared" si="12"/>
        <v/>
      </c>
      <c r="AY20" s="21" t="str">
        <f>IF(AND($AM20&lt;&gt;"",$AS20&lt;&gt;"✓"),SUMPRODUCT(($AM$11:$AM20&lt;&gt;"")*($AS$11:$AS20&lt;&gt;"✓")),"")</f>
        <v/>
      </c>
      <c r="AZ20" s="21" t="str">
        <f>IF(AND($AM20&lt;&gt;"",$AS20="✓"),SUMPRODUCT(($AM$11:$AM20&lt;&gt;"")*($AS$11:$AS20="✓")),"")</f>
        <v/>
      </c>
      <c r="BA20" s="21" t="str">
        <f>IF($AL20="","",$AL20&amp;"|"&amp;COUNTIF($AL$11:$AL20,$AL20))</f>
        <v/>
      </c>
      <c r="BD20" s="36" t="str">
        <f>IF(IFERROR(INDEX($AM$11:$AM$4010,MATCH($S$8&amp;"|"&amp;8,$BA$11:$BA$4010,0)),"")="","",8)</f>
        <v/>
      </c>
      <c r="BE20" s="36" t="str">
        <f>IFERROR(INDEX($AM$11:$AM$4010,MATCH($S$8&amp;"|"&amp;8,$BA$11:$BA$4010,0)),"")</f>
        <v/>
      </c>
      <c r="BF20" s="36" t="str">
        <f>IFERROR(INDEX($AP$11:$AP$4010,MATCH($S$8&amp;"|"&amp;8,$BA$11:$BA$4010,0)),"")</f>
        <v/>
      </c>
      <c r="BG20" s="36" t="str">
        <f>IFERROR(INDEX($AQ$11:$AQ$4010,MATCH($S$8&amp;"|"&amp;8,$BA$11:$BA$4010,0)),"")</f>
        <v/>
      </c>
      <c r="BH20" s="37" t="str">
        <f>IFERROR(INDEX($AN$11:$AN$4010,MATCH($S$8&amp;"|"&amp;8,$BA$11:$BA$4010,0)),"")</f>
        <v/>
      </c>
      <c r="BI20" s="37" t="str">
        <f>IFERROR(INDEX($AO$11:$AO$4010,MATCH($S$8&amp;"|"&amp;8,$BA$11:$BA$4010,0)),"")</f>
        <v/>
      </c>
      <c r="BL20" s="36" t="str">
        <f>IF(IFERROR(INDEX($AM$11:$AM$4010,MATCH($S$8&amp;"|"&amp;8,$BA$11:$BA$4010,0)),"")="","",8)</f>
        <v/>
      </c>
      <c r="BM20" s="36" t="str">
        <f>IFERROR(INDEX($AM$11:$AM$4010,MATCH($S$8&amp;"|"&amp;8,$BA$11:$BA$4010,0)),"")</f>
        <v/>
      </c>
      <c r="BN20" s="36" t="str">
        <f>IFERROR(INDEX($AP$11:$AP$4010,MATCH($S$8&amp;"|"&amp;8,$BA$11:$BA$4010,0)),"")</f>
        <v/>
      </c>
      <c r="BO20" s="36" t="str">
        <f>IFERROR(INDEX($AQ$11:$AQ$4010,MATCH($S$8&amp;"|"&amp;8,$BA$11:$BA$4010,0)),"")</f>
        <v/>
      </c>
      <c r="BP20" s="37" t="str">
        <f>IFERROR(INDEX($AN$11:$AN$4010,MATCH($S$8&amp;"|"&amp;8,$BA$11:$BA$4010,0)),"")</f>
        <v/>
      </c>
      <c r="BQ20" s="37" t="str">
        <f>IFERROR(INDEX($AO$11:$AO$4010,MATCH($S$8&amp;"|"&amp;8,$BA$11:$BA$4010,0)),"")</f>
        <v/>
      </c>
    </row>
    <row r="21" spans="2:69" ht="13.5" customHeight="1" x14ac:dyDescent="0.25">
      <c r="B21" s="5" t="str">
        <f t="shared" si="0"/>
        <v/>
      </c>
      <c r="C21" s="5"/>
      <c r="D21" s="5"/>
      <c r="E21" s="5"/>
      <c r="F21" s="6"/>
      <c r="G21" s="6"/>
      <c r="H21" s="7"/>
      <c r="I21" s="8"/>
      <c r="K21" s="9" t="str">
        <f>IFERROR(INDEX($AL$11:$AL$4010,MATCH(11,$AX$11:$AX$4010,0)),"")</f>
        <v/>
      </c>
      <c r="L21" s="10" t="str">
        <f t="shared" si="1"/>
        <v/>
      </c>
      <c r="M21" s="11" t="str">
        <f t="shared" si="2"/>
        <v/>
      </c>
      <c r="N21" s="11" t="str">
        <f t="shared" si="3"/>
        <v/>
      </c>
      <c r="P21" s="12" t="str">
        <f>IFERROR(INDEX($AM$11:$AM$4010,MATCH($S$8&amp;"|"&amp;11,$BA$11:$BA$4010,0)),"")</f>
        <v/>
      </c>
      <c r="Q21" s="11" t="str">
        <f>IF(P21="","",IFERROR(INDEX($AN$11:$AN$4010,MATCH($S$8&amp;"|"&amp;11,$BA$11:$BA$4010,0)),""))</f>
        <v/>
      </c>
      <c r="R21" s="11" t="str">
        <f>IF(P21="","",IFERROR(INDEX($AO$11:$AO$4010,MATCH($S$8&amp;"|"&amp;11,$BA$11:$BA$4010,0)),""))</f>
        <v/>
      </c>
      <c r="S21" s="10" t="str">
        <f>IF(P21="","",IFERROR(INDEX($AP$11:$AP$4010,MATCH($S$8&amp;"|"&amp;11,$BA$11:$BA$4010,0)),""))</f>
        <v/>
      </c>
      <c r="T21" s="10" t="str">
        <f>IF(P21="","",IFERROR(INDEX($AQ$11:$AQ$4010,MATCH($S$8&amp;"|"&amp;11,$BA$11:$BA$4010,0)),""))</f>
        <v/>
      </c>
      <c r="U21" s="39" t="str">
        <f t="shared" si="4"/>
        <v/>
      </c>
      <c r="W21" s="14" t="str">
        <f>IF(X21="","",IFERROR(INDEX($AL$11:$AL$4010,MATCH(11,$AY$11:$AY$4010,0)),""))</f>
        <v/>
      </c>
      <c r="X21" s="12" t="str">
        <f>IFERROR(INDEX($AM$11:$AM$4010,MATCH(11,$AY$11:$AY$4010,0)),"")</f>
        <v/>
      </c>
      <c r="Y21" s="11" t="str">
        <f>IF(X21="","",IFERROR(INDEX($AN$11:$AN$4010,MATCH(11,$AY$11:$AY$4010,0)),""))</f>
        <v/>
      </c>
      <c r="Z21" s="11" t="str">
        <f>IF(X21="","",IFERROR(INDEX($AO$11:$AO$4010,MATCH(11,$AY$11:$AY$4010,0)),""))</f>
        <v/>
      </c>
      <c r="AA21" s="10" t="str">
        <f>IF(X21="","",IFERROR(INDEX($AQ$11:$AQ$4010,MATCH(11,$AY$11:$AY$4010,0)),""))</f>
        <v/>
      </c>
      <c r="AB21" s="15" t="str">
        <f>IF(X21="","",IFERROR(INDEX($AR$11:$AR$4010,MATCH(11,$AY$11:$AY$4010,0)),""))</f>
        <v/>
      </c>
      <c r="AD21" s="16" t="str">
        <f>IF(AE21="","",IFERROR(INDEX($AL$11:$AL$4010,MATCH(11,$AZ$11:$AZ$4010,0)),""))</f>
        <v/>
      </c>
      <c r="AE21" s="12" t="str">
        <f>IFERROR(INDEX($AM$11:$AM$4010,MATCH(11,$AZ$11:$AZ$4010,0)),"")</f>
        <v/>
      </c>
      <c r="AF21" s="11" t="str">
        <f>IF(AE21="","",IFERROR(INDEX($AN$11:$AN$4010,MATCH(11,$AZ$11:$AZ$4010,0)),""))</f>
        <v/>
      </c>
      <c r="AG21" s="11" t="str">
        <f>IF(AE21="","",IFERROR(INDEX($AO$11:$AO$4010,MATCH(11,$AZ$11:$AZ$4010,0)),""))</f>
        <v/>
      </c>
      <c r="AH21" s="10" t="str">
        <f>IF(AE21="","",IFERROR(INDEX($AQ$11:$AQ$4010,MATCH(11,$AZ$11:$AZ$4010,0)),""))</f>
        <v/>
      </c>
      <c r="AI21" s="15" t="str">
        <f>IF(AE21="","",IFERROR(INDEX($AR$11:$AR$4010,MATCH(11,$AZ$11:$AZ$4010,0)),""))</f>
        <v/>
      </c>
      <c r="AJ21" s="15" t="str">
        <f>IF(AE21="","",IFERROR(INDEX($AT$11:$AT$4010,MATCH(11,$AZ$11:$AZ$4010,0)),""))</f>
        <v/>
      </c>
      <c r="AL21" s="17" t="str">
        <f t="shared" si="5"/>
        <v/>
      </c>
      <c r="AM21" s="12" t="str">
        <f t="shared" si="6"/>
        <v/>
      </c>
      <c r="AN21" s="18" t="str">
        <f t="shared" si="7"/>
        <v/>
      </c>
      <c r="AO21" s="18" t="str">
        <f t="shared" si="8"/>
        <v/>
      </c>
      <c r="AP21" s="10" t="str">
        <f t="shared" si="9"/>
        <v/>
      </c>
      <c r="AQ21" s="10" t="str">
        <f t="shared" si="10"/>
        <v/>
      </c>
      <c r="AR21" s="19" t="str">
        <f t="shared" si="11"/>
        <v/>
      </c>
      <c r="AS21" s="20"/>
      <c r="AT21" s="19"/>
      <c r="AV21" s="21">
        <f>IF(AND($AL21&lt;&gt;"",COUNTIF($AL$11:$AL21,$AL21)=1),1,0)</f>
        <v>0</v>
      </c>
      <c r="AW21" s="21">
        <f t="shared" si="13"/>
        <v>0</v>
      </c>
      <c r="AX21" s="21" t="str">
        <f t="shared" si="12"/>
        <v/>
      </c>
      <c r="AY21" s="21" t="str">
        <f>IF(AND($AM21&lt;&gt;"",$AS21&lt;&gt;"✓"),SUMPRODUCT(($AM$11:$AM21&lt;&gt;"")*($AS$11:$AS21&lt;&gt;"✓")),"")</f>
        <v/>
      </c>
      <c r="AZ21" s="21" t="str">
        <f>IF(AND($AM21&lt;&gt;"",$AS21="✓"),SUMPRODUCT(($AM$11:$AM21&lt;&gt;"")*($AS$11:$AS21="✓")),"")</f>
        <v/>
      </c>
      <c r="BA21" s="21" t="str">
        <f>IF($AL21="","",$AL21&amp;"|"&amp;COUNTIF($AL$11:$AL21,$AL21))</f>
        <v/>
      </c>
      <c r="BD21" s="36" t="str">
        <f>IF(IFERROR(INDEX($AM$11:$AM$4010,MATCH($S$8&amp;"|"&amp;9,$BA$11:$BA$4010,0)),"")="","",9)</f>
        <v/>
      </c>
      <c r="BE21" s="36" t="str">
        <f>IFERROR(INDEX($AM$11:$AM$4010,MATCH($S$8&amp;"|"&amp;9,$BA$11:$BA$4010,0)),"")</f>
        <v/>
      </c>
      <c r="BF21" s="36" t="str">
        <f>IFERROR(INDEX($AP$11:$AP$4010,MATCH($S$8&amp;"|"&amp;9,$BA$11:$BA$4010,0)),"")</f>
        <v/>
      </c>
      <c r="BG21" s="36" t="str">
        <f>IFERROR(INDEX($AQ$11:$AQ$4010,MATCH($S$8&amp;"|"&amp;9,$BA$11:$BA$4010,0)),"")</f>
        <v/>
      </c>
      <c r="BH21" s="37" t="str">
        <f>IFERROR(INDEX($AN$11:$AN$4010,MATCH($S$8&amp;"|"&amp;9,$BA$11:$BA$4010,0)),"")</f>
        <v/>
      </c>
      <c r="BI21" s="37" t="str">
        <f>IFERROR(INDEX($AO$11:$AO$4010,MATCH($S$8&amp;"|"&amp;9,$BA$11:$BA$4010,0)),"")</f>
        <v/>
      </c>
      <c r="BL21" s="36" t="str">
        <f>IF(IFERROR(INDEX($AM$11:$AM$4010,MATCH($S$8&amp;"|"&amp;9,$BA$11:$BA$4010,0)),"")="","",9)</f>
        <v/>
      </c>
      <c r="BM21" s="36" t="str">
        <f>IFERROR(INDEX($AM$11:$AM$4010,MATCH($S$8&amp;"|"&amp;9,$BA$11:$BA$4010,0)),"")</f>
        <v/>
      </c>
      <c r="BN21" s="36" t="str">
        <f>IFERROR(INDEX($AP$11:$AP$4010,MATCH($S$8&amp;"|"&amp;9,$BA$11:$BA$4010,0)),"")</f>
        <v/>
      </c>
      <c r="BO21" s="36" t="str">
        <f>IFERROR(INDEX($AQ$11:$AQ$4010,MATCH($S$8&amp;"|"&amp;9,$BA$11:$BA$4010,0)),"")</f>
        <v/>
      </c>
      <c r="BP21" s="37" t="str">
        <f>IFERROR(INDEX($AN$11:$AN$4010,MATCH($S$8&amp;"|"&amp;9,$BA$11:$BA$4010,0)),"")</f>
        <v/>
      </c>
      <c r="BQ21" s="37" t="str">
        <f>IFERROR(INDEX($AO$11:$AO$4010,MATCH($S$8&amp;"|"&amp;9,$BA$11:$BA$4010,0)),"")</f>
        <v/>
      </c>
    </row>
    <row r="22" spans="2:69" ht="13.5" customHeight="1" x14ac:dyDescent="0.25">
      <c r="B22" s="5" t="str">
        <f t="shared" si="0"/>
        <v/>
      </c>
      <c r="C22" s="5"/>
      <c r="D22" s="5"/>
      <c r="E22" s="5"/>
      <c r="F22" s="6"/>
      <c r="G22" s="6"/>
      <c r="H22" s="7"/>
      <c r="I22" s="8"/>
      <c r="K22" s="23" t="str">
        <f>IFERROR(INDEX($AL$11:$AL$4010,MATCH(12,$AX$11:$AX$4010,0)),"")</f>
        <v/>
      </c>
      <c r="L22" s="24" t="str">
        <f t="shared" si="1"/>
        <v/>
      </c>
      <c r="M22" s="25" t="str">
        <f t="shared" si="2"/>
        <v/>
      </c>
      <c r="N22" s="25" t="str">
        <f t="shared" si="3"/>
        <v/>
      </c>
      <c r="P22" s="26" t="str">
        <f>IFERROR(INDEX($AM$11:$AM$4010,MATCH($S$8&amp;"|"&amp;12,$BA$11:$BA$4010,0)),"")</f>
        <v/>
      </c>
      <c r="Q22" s="25" t="str">
        <f>IF(P22="","",IFERROR(INDEX($AN$11:$AN$4010,MATCH($S$8&amp;"|"&amp;12,$BA$11:$BA$4010,0)),""))</f>
        <v/>
      </c>
      <c r="R22" s="25" t="str">
        <f>IF(P22="","",IFERROR(INDEX($AO$11:$AO$4010,MATCH($S$8&amp;"|"&amp;12,$BA$11:$BA$4010,0)),""))</f>
        <v/>
      </c>
      <c r="S22" s="24" t="str">
        <f>IF(P22="","",IFERROR(INDEX($AP$11:$AP$4010,MATCH($S$8&amp;"|"&amp;12,$BA$11:$BA$4010,0)),""))</f>
        <v/>
      </c>
      <c r="T22" s="24" t="str">
        <f>IF(P22="","",IFERROR(INDEX($AQ$11:$AQ$4010,MATCH($S$8&amp;"|"&amp;12,$BA$11:$BA$4010,0)),""))</f>
        <v/>
      </c>
      <c r="U22" s="38" t="str">
        <f t="shared" si="4"/>
        <v/>
      </c>
      <c r="W22" s="28" t="str">
        <f>IF(X22="","",IFERROR(INDEX($AL$11:$AL$4010,MATCH(12,$AY$11:$AY$4010,0)),""))</f>
        <v/>
      </c>
      <c r="X22" s="26" t="str">
        <f>IFERROR(INDEX($AM$11:$AM$4010,MATCH(12,$AY$11:$AY$4010,0)),"")</f>
        <v/>
      </c>
      <c r="Y22" s="25" t="str">
        <f>IF(X22="","",IFERROR(INDEX($AN$11:$AN$4010,MATCH(12,$AY$11:$AY$4010,0)),""))</f>
        <v/>
      </c>
      <c r="Z22" s="25" t="str">
        <f>IF(X22="","",IFERROR(INDEX($AO$11:$AO$4010,MATCH(12,$AY$11:$AY$4010,0)),""))</f>
        <v/>
      </c>
      <c r="AA22" s="24" t="str">
        <f>IF(X22="","",IFERROR(INDEX($AQ$11:$AQ$4010,MATCH(12,$AY$11:$AY$4010,0)),""))</f>
        <v/>
      </c>
      <c r="AB22" s="29" t="str">
        <f>IF(X22="","",IFERROR(INDEX($AR$11:$AR$4010,MATCH(12,$AY$11:$AY$4010,0)),""))</f>
        <v/>
      </c>
      <c r="AD22" s="30" t="str">
        <f>IF(AE22="","",IFERROR(INDEX($AL$11:$AL$4010,MATCH(12,$AZ$11:$AZ$4010,0)),""))</f>
        <v/>
      </c>
      <c r="AE22" s="26" t="str">
        <f>IFERROR(INDEX($AM$11:$AM$4010,MATCH(12,$AZ$11:$AZ$4010,0)),"")</f>
        <v/>
      </c>
      <c r="AF22" s="25" t="str">
        <f>IF(AE22="","",IFERROR(INDEX($AN$11:$AN$4010,MATCH(12,$AZ$11:$AZ$4010,0)),""))</f>
        <v/>
      </c>
      <c r="AG22" s="25" t="str">
        <f>IF(AE22="","",IFERROR(INDEX($AO$11:$AO$4010,MATCH(12,$AZ$11:$AZ$4010,0)),""))</f>
        <v/>
      </c>
      <c r="AH22" s="24" t="str">
        <f>IF(AE22="","",IFERROR(INDEX($AQ$11:$AQ$4010,MATCH(12,$AZ$11:$AZ$4010,0)),""))</f>
        <v/>
      </c>
      <c r="AI22" s="29" t="str">
        <f>IF(AE22="","",IFERROR(INDEX($AR$11:$AR$4010,MATCH(12,$AZ$11:$AZ$4010,0)),""))</f>
        <v/>
      </c>
      <c r="AJ22" s="29" t="str">
        <f>IF(AE22="","",IFERROR(INDEX($AT$11:$AT$4010,MATCH(12,$AZ$11:$AZ$4010,0)),""))</f>
        <v/>
      </c>
      <c r="AL22" s="31" t="str">
        <f t="shared" si="5"/>
        <v/>
      </c>
      <c r="AM22" s="26" t="str">
        <f t="shared" si="6"/>
        <v/>
      </c>
      <c r="AN22" s="32" t="str">
        <f t="shared" si="7"/>
        <v/>
      </c>
      <c r="AO22" s="32" t="str">
        <f t="shared" si="8"/>
        <v/>
      </c>
      <c r="AP22" s="24" t="str">
        <f t="shared" si="9"/>
        <v/>
      </c>
      <c r="AQ22" s="24" t="str">
        <f t="shared" si="10"/>
        <v/>
      </c>
      <c r="AR22" s="33" t="str">
        <f t="shared" si="11"/>
        <v/>
      </c>
      <c r="AS22" s="34"/>
      <c r="AT22" s="33"/>
      <c r="AV22" s="21">
        <f>IF(AND($AL22&lt;&gt;"",COUNTIF($AL$11:$AL22,$AL22)=1),1,0)</f>
        <v>0</v>
      </c>
      <c r="AW22" s="21">
        <f t="shared" si="13"/>
        <v>0</v>
      </c>
      <c r="AX22" s="21" t="str">
        <f t="shared" si="12"/>
        <v/>
      </c>
      <c r="AY22" s="21" t="str">
        <f>IF(AND($AM22&lt;&gt;"",$AS22&lt;&gt;"✓"),SUMPRODUCT(($AM$11:$AM22&lt;&gt;"")*($AS$11:$AS22&lt;&gt;"✓")),"")</f>
        <v/>
      </c>
      <c r="AZ22" s="21" t="str">
        <f>IF(AND($AM22&lt;&gt;"",$AS22="✓"),SUMPRODUCT(($AM$11:$AM22&lt;&gt;"")*($AS$11:$AS22="✓")),"")</f>
        <v/>
      </c>
      <c r="BA22" s="21" t="str">
        <f>IF($AL22="","",$AL22&amp;"|"&amp;COUNTIF($AL$11:$AL22,$AL22))</f>
        <v/>
      </c>
      <c r="BD22" s="36" t="str">
        <f>IF(IFERROR(INDEX($AM$11:$AM$4010,MATCH($S$8&amp;"|"&amp;10,$BA$11:$BA$4010,0)),"")="","",10)</f>
        <v/>
      </c>
      <c r="BE22" s="36" t="str">
        <f>IFERROR(INDEX($AM$11:$AM$4010,MATCH($S$8&amp;"|"&amp;10,$BA$11:$BA$4010,0)),"")</f>
        <v/>
      </c>
      <c r="BF22" s="36" t="str">
        <f>IFERROR(INDEX($AP$11:$AP$4010,MATCH($S$8&amp;"|"&amp;10,$BA$11:$BA$4010,0)),"")</f>
        <v/>
      </c>
      <c r="BG22" s="36" t="str">
        <f>IFERROR(INDEX($AQ$11:$AQ$4010,MATCH($S$8&amp;"|"&amp;10,$BA$11:$BA$4010,0)),"")</f>
        <v/>
      </c>
      <c r="BH22" s="37" t="str">
        <f>IFERROR(INDEX($AN$11:$AN$4010,MATCH($S$8&amp;"|"&amp;10,$BA$11:$BA$4010,0)),"")</f>
        <v/>
      </c>
      <c r="BI22" s="37" t="str">
        <f>IFERROR(INDEX($AO$11:$AO$4010,MATCH($S$8&amp;"|"&amp;10,$BA$11:$BA$4010,0)),"")</f>
        <v/>
      </c>
      <c r="BL22" s="36" t="str">
        <f>IF(IFERROR(INDEX($AM$11:$AM$4010,MATCH($S$8&amp;"|"&amp;10,$BA$11:$BA$4010,0)),"")="","",10)</f>
        <v/>
      </c>
      <c r="BM22" s="36" t="str">
        <f>IFERROR(INDEX($AM$11:$AM$4010,MATCH($S$8&amp;"|"&amp;10,$BA$11:$BA$4010,0)),"")</f>
        <v/>
      </c>
      <c r="BN22" s="36" t="str">
        <f>IFERROR(INDEX($AP$11:$AP$4010,MATCH($S$8&amp;"|"&amp;10,$BA$11:$BA$4010,0)),"")</f>
        <v/>
      </c>
      <c r="BO22" s="36" t="str">
        <f>IFERROR(INDEX($AQ$11:$AQ$4010,MATCH($S$8&amp;"|"&amp;10,$BA$11:$BA$4010,0)),"")</f>
        <v/>
      </c>
      <c r="BP22" s="37" t="str">
        <f>IFERROR(INDEX($AN$11:$AN$4010,MATCH($S$8&amp;"|"&amp;10,$BA$11:$BA$4010,0)),"")</f>
        <v/>
      </c>
      <c r="BQ22" s="37" t="str">
        <f>IFERROR(INDEX($AO$11:$AO$4010,MATCH($S$8&amp;"|"&amp;10,$BA$11:$BA$4010,0)),"")</f>
        <v/>
      </c>
    </row>
    <row r="23" spans="2:69" ht="13.5" customHeight="1" x14ac:dyDescent="0.25">
      <c r="B23" s="5" t="str">
        <f t="shared" si="0"/>
        <v/>
      </c>
      <c r="C23" s="5"/>
      <c r="D23" s="5"/>
      <c r="E23" s="5"/>
      <c r="F23" s="6"/>
      <c r="G23" s="6"/>
      <c r="H23" s="7"/>
      <c r="I23" s="8"/>
      <c r="K23" s="9" t="str">
        <f>IFERROR(INDEX($AL$11:$AL$4010,MATCH(13,$AX$11:$AX$4010,0)),"")</f>
        <v/>
      </c>
      <c r="L23" s="10" t="str">
        <f t="shared" si="1"/>
        <v/>
      </c>
      <c r="M23" s="11" t="str">
        <f t="shared" si="2"/>
        <v/>
      </c>
      <c r="N23" s="11" t="str">
        <f t="shared" si="3"/>
        <v/>
      </c>
      <c r="P23" s="12" t="str">
        <f>IFERROR(INDEX($AM$11:$AM$4010,MATCH($S$8&amp;"|"&amp;13,$BA$11:$BA$4010,0)),"")</f>
        <v/>
      </c>
      <c r="Q23" s="11" t="str">
        <f>IF(P23="","",IFERROR(INDEX($AN$11:$AN$4010,MATCH($S$8&amp;"|"&amp;13,$BA$11:$BA$4010,0)),""))</f>
        <v/>
      </c>
      <c r="R23" s="11" t="str">
        <f>IF(P23="","",IFERROR(INDEX($AO$11:$AO$4010,MATCH($S$8&amp;"|"&amp;13,$BA$11:$BA$4010,0)),""))</f>
        <v/>
      </c>
      <c r="S23" s="10" t="str">
        <f>IF(P23="","",IFERROR(INDEX($AP$11:$AP$4010,MATCH($S$8&amp;"|"&amp;13,$BA$11:$BA$4010,0)),""))</f>
        <v/>
      </c>
      <c r="T23" s="10" t="str">
        <f>IF(P23="","",IFERROR(INDEX($AQ$11:$AQ$4010,MATCH($S$8&amp;"|"&amp;13,$BA$11:$BA$4010,0)),""))</f>
        <v/>
      </c>
      <c r="U23" s="39" t="str">
        <f t="shared" si="4"/>
        <v/>
      </c>
      <c r="W23" s="14" t="str">
        <f>IF(X23="","",IFERROR(INDEX($AL$11:$AL$4010,MATCH(13,$AY$11:$AY$4010,0)),""))</f>
        <v/>
      </c>
      <c r="X23" s="12" t="str">
        <f>IFERROR(INDEX($AM$11:$AM$4010,MATCH(13,$AY$11:$AY$4010,0)),"")</f>
        <v/>
      </c>
      <c r="Y23" s="11" t="str">
        <f>IF(X23="","",IFERROR(INDEX($AN$11:$AN$4010,MATCH(13,$AY$11:$AY$4010,0)),""))</f>
        <v/>
      </c>
      <c r="Z23" s="11" t="str">
        <f>IF(X23="","",IFERROR(INDEX($AO$11:$AO$4010,MATCH(13,$AY$11:$AY$4010,0)),""))</f>
        <v/>
      </c>
      <c r="AA23" s="10" t="str">
        <f>IF(X23="","",IFERROR(INDEX($AQ$11:$AQ$4010,MATCH(13,$AY$11:$AY$4010,0)),""))</f>
        <v/>
      </c>
      <c r="AB23" s="15" t="str">
        <f>IF(X23="","",IFERROR(INDEX($AR$11:$AR$4010,MATCH(13,$AY$11:$AY$4010,0)),""))</f>
        <v/>
      </c>
      <c r="AD23" s="16" t="str">
        <f>IF(AE23="","",IFERROR(INDEX($AL$11:$AL$4010,MATCH(13,$AZ$11:$AZ$4010,0)),""))</f>
        <v/>
      </c>
      <c r="AE23" s="12" t="str">
        <f>IFERROR(INDEX($AM$11:$AM$4010,MATCH(13,$AZ$11:$AZ$4010,0)),"")</f>
        <v/>
      </c>
      <c r="AF23" s="11" t="str">
        <f>IF(AE23="","",IFERROR(INDEX($AN$11:$AN$4010,MATCH(13,$AZ$11:$AZ$4010,0)),""))</f>
        <v/>
      </c>
      <c r="AG23" s="11" t="str">
        <f>IF(AE23="","",IFERROR(INDEX($AO$11:$AO$4010,MATCH(13,$AZ$11:$AZ$4010,0)),""))</f>
        <v/>
      </c>
      <c r="AH23" s="10" t="str">
        <f>IF(AE23="","",IFERROR(INDEX($AQ$11:$AQ$4010,MATCH(13,$AZ$11:$AZ$4010,0)),""))</f>
        <v/>
      </c>
      <c r="AI23" s="15" t="str">
        <f>IF(AE23="","",IFERROR(INDEX($AR$11:$AR$4010,MATCH(13,$AZ$11:$AZ$4010,0)),""))</f>
        <v/>
      </c>
      <c r="AJ23" s="15" t="str">
        <f>IF(AE23="","",IFERROR(INDEX($AT$11:$AT$4010,MATCH(13,$AZ$11:$AZ$4010,0)),""))</f>
        <v/>
      </c>
      <c r="AL23" s="17" t="str">
        <f t="shared" si="5"/>
        <v/>
      </c>
      <c r="AM23" s="12" t="str">
        <f t="shared" si="6"/>
        <v/>
      </c>
      <c r="AN23" s="18" t="str">
        <f t="shared" si="7"/>
        <v/>
      </c>
      <c r="AO23" s="18" t="str">
        <f t="shared" si="8"/>
        <v/>
      </c>
      <c r="AP23" s="10" t="str">
        <f t="shared" si="9"/>
        <v/>
      </c>
      <c r="AQ23" s="10" t="str">
        <f t="shared" si="10"/>
        <v/>
      </c>
      <c r="AR23" s="19" t="str">
        <f t="shared" si="11"/>
        <v/>
      </c>
      <c r="AS23" s="20"/>
      <c r="AT23" s="19"/>
      <c r="AV23" s="21">
        <f>IF(AND($AL23&lt;&gt;"",COUNTIF($AL$11:$AL23,$AL23)=1),1,0)</f>
        <v>0</v>
      </c>
      <c r="AW23" s="21">
        <f t="shared" si="13"/>
        <v>0</v>
      </c>
      <c r="AX23" s="21" t="str">
        <f t="shared" si="12"/>
        <v/>
      </c>
      <c r="AY23" s="21" t="str">
        <f>IF(AND($AM23&lt;&gt;"",$AS23&lt;&gt;"✓"),SUMPRODUCT(($AM$11:$AM23&lt;&gt;"")*($AS$11:$AS23&lt;&gt;"✓")),"")</f>
        <v/>
      </c>
      <c r="AZ23" s="21" t="str">
        <f>IF(AND($AM23&lt;&gt;"",$AS23="✓"),SUMPRODUCT(($AM$11:$AM23&lt;&gt;"")*($AS$11:$AS23="✓")),"")</f>
        <v/>
      </c>
      <c r="BA23" s="21" t="str">
        <f>IF($AL23="","",$AL23&amp;"|"&amp;COUNTIF($AL$11:$AL23,$AL23))</f>
        <v/>
      </c>
      <c r="BD23" s="36" t="str">
        <f>IF(IFERROR(INDEX($AM$11:$AM$4010,MATCH($S$8&amp;"|"&amp;11,$BA$11:$BA$4010,0)),"")="","",11)</f>
        <v/>
      </c>
      <c r="BE23" s="36" t="str">
        <f>IFERROR(INDEX($AM$11:$AM$4010,MATCH($S$8&amp;"|"&amp;11,$BA$11:$BA$4010,0)),"")</f>
        <v/>
      </c>
      <c r="BF23" s="36" t="str">
        <f>IFERROR(INDEX($AP$11:$AP$4010,MATCH($S$8&amp;"|"&amp;11,$BA$11:$BA$4010,0)),"")</f>
        <v/>
      </c>
      <c r="BG23" s="36" t="str">
        <f>IFERROR(INDEX($AQ$11:$AQ$4010,MATCH($S$8&amp;"|"&amp;11,$BA$11:$BA$4010,0)),"")</f>
        <v/>
      </c>
      <c r="BH23" s="37" t="str">
        <f>IFERROR(INDEX($AN$11:$AN$4010,MATCH($S$8&amp;"|"&amp;11,$BA$11:$BA$4010,0)),"")</f>
        <v/>
      </c>
      <c r="BI23" s="37" t="str">
        <f>IFERROR(INDEX($AO$11:$AO$4010,MATCH($S$8&amp;"|"&amp;11,$BA$11:$BA$4010,0)),"")</f>
        <v/>
      </c>
      <c r="BL23" s="36" t="str">
        <f>IF(IFERROR(INDEX($AM$11:$AM$4010,MATCH($S$8&amp;"|"&amp;11,$BA$11:$BA$4010,0)),"")="","",11)</f>
        <v/>
      </c>
      <c r="BM23" s="36" t="str">
        <f>IFERROR(INDEX($AM$11:$AM$4010,MATCH($S$8&amp;"|"&amp;11,$BA$11:$BA$4010,0)),"")</f>
        <v/>
      </c>
      <c r="BN23" s="36" t="str">
        <f>IFERROR(INDEX($AP$11:$AP$4010,MATCH($S$8&amp;"|"&amp;11,$BA$11:$BA$4010,0)),"")</f>
        <v/>
      </c>
      <c r="BO23" s="36" t="str">
        <f>IFERROR(INDEX($AQ$11:$AQ$4010,MATCH($S$8&amp;"|"&amp;11,$BA$11:$BA$4010,0)),"")</f>
        <v/>
      </c>
      <c r="BP23" s="37" t="str">
        <f>IFERROR(INDEX($AN$11:$AN$4010,MATCH($S$8&amp;"|"&amp;11,$BA$11:$BA$4010,0)),"")</f>
        <v/>
      </c>
      <c r="BQ23" s="37" t="str">
        <f>IFERROR(INDEX($AO$11:$AO$4010,MATCH($S$8&amp;"|"&amp;11,$BA$11:$BA$4010,0)),"")</f>
        <v/>
      </c>
    </row>
    <row r="24" spans="2:69" ht="13.5" customHeight="1" x14ac:dyDescent="0.25">
      <c r="B24" s="5" t="str">
        <f t="shared" si="0"/>
        <v/>
      </c>
      <c r="C24" s="5"/>
      <c r="D24" s="5"/>
      <c r="E24" s="5"/>
      <c r="F24" s="6"/>
      <c r="G24" s="6"/>
      <c r="H24" s="7"/>
      <c r="I24" s="8"/>
      <c r="K24" s="23" t="str">
        <f>IFERROR(INDEX($AL$11:$AL$4010,MATCH(14,$AX$11:$AX$4010,0)),"")</f>
        <v/>
      </c>
      <c r="L24" s="24" t="str">
        <f t="shared" si="1"/>
        <v/>
      </c>
      <c r="M24" s="25" t="str">
        <f t="shared" si="2"/>
        <v/>
      </c>
      <c r="N24" s="25" t="str">
        <f t="shared" si="3"/>
        <v/>
      </c>
      <c r="P24" s="26" t="str">
        <f>IFERROR(INDEX($AM$11:$AM$4010,MATCH($S$8&amp;"|"&amp;14,$BA$11:$BA$4010,0)),"")</f>
        <v/>
      </c>
      <c r="Q24" s="25" t="str">
        <f>IF(P24="","",IFERROR(INDEX($AN$11:$AN$4010,MATCH($S$8&amp;"|"&amp;14,$BA$11:$BA$4010,0)),""))</f>
        <v/>
      </c>
      <c r="R24" s="25" t="str">
        <f>IF(P24="","",IFERROR(INDEX($AO$11:$AO$4010,MATCH($S$8&amp;"|"&amp;14,$BA$11:$BA$4010,0)),""))</f>
        <v/>
      </c>
      <c r="S24" s="24" t="str">
        <f>IF(P24="","",IFERROR(INDEX($AP$11:$AP$4010,MATCH($S$8&amp;"|"&amp;14,$BA$11:$BA$4010,0)),""))</f>
        <v/>
      </c>
      <c r="T24" s="24" t="str">
        <f>IF(P24="","",IFERROR(INDEX($AQ$11:$AQ$4010,MATCH($S$8&amp;"|"&amp;14,$BA$11:$BA$4010,0)),""))</f>
        <v/>
      </c>
      <c r="U24" s="38" t="str">
        <f t="shared" si="4"/>
        <v/>
      </c>
      <c r="W24" s="28" t="str">
        <f>IF(X24="","",IFERROR(INDEX($AL$11:$AL$4010,MATCH(14,$AY$11:$AY$4010,0)),""))</f>
        <v/>
      </c>
      <c r="X24" s="26" t="str">
        <f>IFERROR(INDEX($AM$11:$AM$4010,MATCH(14,$AY$11:$AY$4010,0)),"")</f>
        <v/>
      </c>
      <c r="Y24" s="25" t="str">
        <f>IF(X24="","",IFERROR(INDEX($AN$11:$AN$4010,MATCH(14,$AY$11:$AY$4010,0)),""))</f>
        <v/>
      </c>
      <c r="Z24" s="25" t="str">
        <f>IF(X24="","",IFERROR(INDEX($AO$11:$AO$4010,MATCH(14,$AY$11:$AY$4010,0)),""))</f>
        <v/>
      </c>
      <c r="AA24" s="24" t="str">
        <f>IF(X24="","",IFERROR(INDEX($AQ$11:$AQ$4010,MATCH(14,$AY$11:$AY$4010,0)),""))</f>
        <v/>
      </c>
      <c r="AB24" s="29" t="str">
        <f>IF(X24="","",IFERROR(INDEX($AR$11:$AR$4010,MATCH(14,$AY$11:$AY$4010,0)),""))</f>
        <v/>
      </c>
      <c r="AD24" s="30" t="str">
        <f>IF(AE24="","",IFERROR(INDEX($AL$11:$AL$4010,MATCH(14,$AZ$11:$AZ$4010,0)),""))</f>
        <v/>
      </c>
      <c r="AE24" s="26" t="str">
        <f>IFERROR(INDEX($AM$11:$AM$4010,MATCH(14,$AZ$11:$AZ$4010,0)),"")</f>
        <v/>
      </c>
      <c r="AF24" s="25" t="str">
        <f>IF(AE24="","",IFERROR(INDEX($AN$11:$AN$4010,MATCH(14,$AZ$11:$AZ$4010,0)),""))</f>
        <v/>
      </c>
      <c r="AG24" s="25" t="str">
        <f>IF(AE24="","",IFERROR(INDEX($AO$11:$AO$4010,MATCH(14,$AZ$11:$AZ$4010,0)),""))</f>
        <v/>
      </c>
      <c r="AH24" s="24" t="str">
        <f>IF(AE24="","",IFERROR(INDEX($AQ$11:$AQ$4010,MATCH(14,$AZ$11:$AZ$4010,0)),""))</f>
        <v/>
      </c>
      <c r="AI24" s="29" t="str">
        <f>IF(AE24="","",IFERROR(INDEX($AR$11:$AR$4010,MATCH(14,$AZ$11:$AZ$4010,0)),""))</f>
        <v/>
      </c>
      <c r="AJ24" s="29" t="str">
        <f>IF(AE24="","",IFERROR(INDEX($AT$11:$AT$4010,MATCH(14,$AZ$11:$AZ$4010,0)),""))</f>
        <v/>
      </c>
      <c r="AL24" s="31" t="str">
        <f t="shared" si="5"/>
        <v/>
      </c>
      <c r="AM24" s="26" t="str">
        <f t="shared" si="6"/>
        <v/>
      </c>
      <c r="AN24" s="32" t="str">
        <f t="shared" si="7"/>
        <v/>
      </c>
      <c r="AO24" s="32" t="str">
        <f t="shared" si="8"/>
        <v/>
      </c>
      <c r="AP24" s="24" t="str">
        <f t="shared" si="9"/>
        <v/>
      </c>
      <c r="AQ24" s="24" t="str">
        <f t="shared" si="10"/>
        <v/>
      </c>
      <c r="AR24" s="33" t="str">
        <f t="shared" si="11"/>
        <v/>
      </c>
      <c r="AS24" s="34"/>
      <c r="AT24" s="33"/>
      <c r="AV24" s="21">
        <f>IF(AND($AL24&lt;&gt;"",COUNTIF($AL$11:$AL24,$AL24)=1),1,0)</f>
        <v>0</v>
      </c>
      <c r="AW24" s="21">
        <f t="shared" si="13"/>
        <v>0</v>
      </c>
      <c r="AX24" s="21" t="str">
        <f t="shared" si="12"/>
        <v/>
      </c>
      <c r="AY24" s="21" t="str">
        <f>IF(AND($AM24&lt;&gt;"",$AS24&lt;&gt;"✓"),SUMPRODUCT(($AM$11:$AM24&lt;&gt;"")*($AS$11:$AS24&lt;&gt;"✓")),"")</f>
        <v/>
      </c>
      <c r="AZ24" s="21" t="str">
        <f>IF(AND($AM24&lt;&gt;"",$AS24="✓"),SUMPRODUCT(($AM$11:$AM24&lt;&gt;"")*($AS$11:$AS24="✓")),"")</f>
        <v/>
      </c>
      <c r="BA24" s="21" t="str">
        <f>IF($AL24="","",$AL24&amp;"|"&amp;COUNTIF($AL$11:$AL24,$AL24))</f>
        <v/>
      </c>
      <c r="BD24" s="36" t="str">
        <f>IF(IFERROR(INDEX($AM$11:$AM$4010,MATCH($S$8&amp;"|"&amp;12,$BA$11:$BA$4010,0)),"")="","",12)</f>
        <v/>
      </c>
      <c r="BE24" s="36" t="str">
        <f>IFERROR(INDEX($AM$11:$AM$4010,MATCH($S$8&amp;"|"&amp;12,$BA$11:$BA$4010,0)),"")</f>
        <v/>
      </c>
      <c r="BF24" s="36" t="str">
        <f>IFERROR(INDEX($AP$11:$AP$4010,MATCH($S$8&amp;"|"&amp;12,$BA$11:$BA$4010,0)),"")</f>
        <v/>
      </c>
      <c r="BG24" s="36" t="str">
        <f>IFERROR(INDEX($AQ$11:$AQ$4010,MATCH($S$8&amp;"|"&amp;12,$BA$11:$BA$4010,0)),"")</f>
        <v/>
      </c>
      <c r="BH24" s="37" t="str">
        <f>IFERROR(INDEX($AN$11:$AN$4010,MATCH($S$8&amp;"|"&amp;12,$BA$11:$BA$4010,0)),"")</f>
        <v/>
      </c>
      <c r="BI24" s="37" t="str">
        <f>IFERROR(INDEX($AO$11:$AO$4010,MATCH($S$8&amp;"|"&amp;12,$BA$11:$BA$4010,0)),"")</f>
        <v/>
      </c>
      <c r="BL24" s="36" t="str">
        <f>IF(IFERROR(INDEX($AM$11:$AM$4010,MATCH($S$8&amp;"|"&amp;12,$BA$11:$BA$4010,0)),"")="","",12)</f>
        <v/>
      </c>
      <c r="BM24" s="36" t="str">
        <f>IFERROR(INDEX($AM$11:$AM$4010,MATCH($S$8&amp;"|"&amp;12,$BA$11:$BA$4010,0)),"")</f>
        <v/>
      </c>
      <c r="BN24" s="36" t="str">
        <f>IFERROR(INDEX($AP$11:$AP$4010,MATCH($S$8&amp;"|"&amp;12,$BA$11:$BA$4010,0)),"")</f>
        <v/>
      </c>
      <c r="BO24" s="36" t="str">
        <f>IFERROR(INDEX($AQ$11:$AQ$4010,MATCH($S$8&amp;"|"&amp;12,$BA$11:$BA$4010,0)),"")</f>
        <v/>
      </c>
      <c r="BP24" s="37" t="str">
        <f>IFERROR(INDEX($AN$11:$AN$4010,MATCH($S$8&amp;"|"&amp;12,$BA$11:$BA$4010,0)),"")</f>
        <v/>
      </c>
      <c r="BQ24" s="37" t="str">
        <f>IFERROR(INDEX($AO$11:$AO$4010,MATCH($S$8&amp;"|"&amp;12,$BA$11:$BA$4010,0)),"")</f>
        <v/>
      </c>
    </row>
    <row r="25" spans="2:69" ht="13.5" customHeight="1" x14ac:dyDescent="0.25">
      <c r="B25" s="5" t="str">
        <f t="shared" si="0"/>
        <v/>
      </c>
      <c r="C25" s="5"/>
      <c r="D25" s="5"/>
      <c r="E25" s="5"/>
      <c r="F25" s="6"/>
      <c r="G25" s="6"/>
      <c r="H25" s="7"/>
      <c r="I25" s="8"/>
      <c r="K25" s="9" t="str">
        <f>IFERROR(INDEX($AL$11:$AL$4010,MATCH(15,$AX$11:$AX$4010,0)),"")</f>
        <v/>
      </c>
      <c r="L25" s="10" t="str">
        <f t="shared" si="1"/>
        <v/>
      </c>
      <c r="M25" s="11" t="str">
        <f t="shared" si="2"/>
        <v/>
      </c>
      <c r="N25" s="11" t="str">
        <f t="shared" si="3"/>
        <v/>
      </c>
      <c r="P25" s="12" t="str">
        <f>IFERROR(INDEX($AM$11:$AM$4010,MATCH($S$8&amp;"|"&amp;15,$BA$11:$BA$4010,0)),"")</f>
        <v/>
      </c>
      <c r="Q25" s="11" t="str">
        <f>IF(P25="","",IFERROR(INDEX($AN$11:$AN$4010,MATCH($S$8&amp;"|"&amp;15,$BA$11:$BA$4010,0)),""))</f>
        <v/>
      </c>
      <c r="R25" s="11" t="str">
        <f>IF(P25="","",IFERROR(INDEX($AO$11:$AO$4010,MATCH($S$8&amp;"|"&amp;15,$BA$11:$BA$4010,0)),""))</f>
        <v/>
      </c>
      <c r="S25" s="10" t="str">
        <f>IF(P25="","",IFERROR(INDEX($AP$11:$AP$4010,MATCH($S$8&amp;"|"&amp;15,$BA$11:$BA$4010,0)),""))</f>
        <v/>
      </c>
      <c r="T25" s="10" t="str">
        <f>IF(P25="","",IFERROR(INDEX($AQ$11:$AQ$4010,MATCH($S$8&amp;"|"&amp;15,$BA$11:$BA$4010,0)),""))</f>
        <v/>
      </c>
      <c r="U25" s="39" t="str">
        <f t="shared" si="4"/>
        <v/>
      </c>
      <c r="W25" s="14" t="str">
        <f>IF(X25="","",IFERROR(INDEX($AL$11:$AL$4010,MATCH(15,$AY$11:$AY$4010,0)),""))</f>
        <v/>
      </c>
      <c r="X25" s="12" t="str">
        <f>IFERROR(INDEX($AM$11:$AM$4010,MATCH(15,$AY$11:$AY$4010,0)),"")</f>
        <v/>
      </c>
      <c r="Y25" s="11" t="str">
        <f>IF(X25="","",IFERROR(INDEX($AN$11:$AN$4010,MATCH(15,$AY$11:$AY$4010,0)),""))</f>
        <v/>
      </c>
      <c r="Z25" s="11" t="str">
        <f>IF(X25="","",IFERROR(INDEX($AO$11:$AO$4010,MATCH(15,$AY$11:$AY$4010,0)),""))</f>
        <v/>
      </c>
      <c r="AA25" s="10" t="str">
        <f>IF(X25="","",IFERROR(INDEX($AQ$11:$AQ$4010,MATCH(15,$AY$11:$AY$4010,0)),""))</f>
        <v/>
      </c>
      <c r="AB25" s="15" t="str">
        <f>IF(X25="","",IFERROR(INDEX($AR$11:$AR$4010,MATCH(15,$AY$11:$AY$4010,0)),""))</f>
        <v/>
      </c>
      <c r="AD25" s="16" t="str">
        <f>IF(AE25="","",IFERROR(INDEX($AL$11:$AL$4010,MATCH(15,$AZ$11:$AZ$4010,0)),""))</f>
        <v/>
      </c>
      <c r="AE25" s="12" t="str">
        <f>IFERROR(INDEX($AM$11:$AM$4010,MATCH(15,$AZ$11:$AZ$4010,0)),"")</f>
        <v/>
      </c>
      <c r="AF25" s="11" t="str">
        <f>IF(AE25="","",IFERROR(INDEX($AN$11:$AN$4010,MATCH(15,$AZ$11:$AZ$4010,0)),""))</f>
        <v/>
      </c>
      <c r="AG25" s="11" t="str">
        <f>IF(AE25="","",IFERROR(INDEX($AO$11:$AO$4010,MATCH(15,$AZ$11:$AZ$4010,0)),""))</f>
        <v/>
      </c>
      <c r="AH25" s="10" t="str">
        <f>IF(AE25="","",IFERROR(INDEX($AQ$11:$AQ$4010,MATCH(15,$AZ$11:$AZ$4010,0)),""))</f>
        <v/>
      </c>
      <c r="AI25" s="15" t="str">
        <f>IF(AE25="","",IFERROR(INDEX($AR$11:$AR$4010,MATCH(15,$AZ$11:$AZ$4010,0)),""))</f>
        <v/>
      </c>
      <c r="AJ25" s="15" t="str">
        <f>IF(AE25="","",IFERROR(INDEX($AT$11:$AT$4010,MATCH(15,$AZ$11:$AZ$4010,0)),""))</f>
        <v/>
      </c>
      <c r="AL25" s="17" t="str">
        <f t="shared" si="5"/>
        <v/>
      </c>
      <c r="AM25" s="12" t="str">
        <f t="shared" si="6"/>
        <v/>
      </c>
      <c r="AN25" s="18" t="str">
        <f t="shared" si="7"/>
        <v/>
      </c>
      <c r="AO25" s="18" t="str">
        <f t="shared" si="8"/>
        <v/>
      </c>
      <c r="AP25" s="10" t="str">
        <f t="shared" si="9"/>
        <v/>
      </c>
      <c r="AQ25" s="10" t="str">
        <f t="shared" si="10"/>
        <v/>
      </c>
      <c r="AR25" s="19" t="str">
        <f t="shared" si="11"/>
        <v/>
      </c>
      <c r="AS25" s="20"/>
      <c r="AT25" s="19"/>
      <c r="AV25" s="21">
        <f>IF(AND($AL25&lt;&gt;"",COUNTIF($AL$11:$AL25,$AL25)=1),1,0)</f>
        <v>0</v>
      </c>
      <c r="AW25" s="21">
        <f t="shared" si="13"/>
        <v>0</v>
      </c>
      <c r="AX25" s="21" t="str">
        <f t="shared" si="12"/>
        <v/>
      </c>
      <c r="AY25" s="21" t="str">
        <f>IF(AND($AM25&lt;&gt;"",$AS25&lt;&gt;"✓"),SUMPRODUCT(($AM$11:$AM25&lt;&gt;"")*($AS$11:$AS25&lt;&gt;"✓")),"")</f>
        <v/>
      </c>
      <c r="AZ25" s="21" t="str">
        <f>IF(AND($AM25&lt;&gt;"",$AS25="✓"),SUMPRODUCT(($AM$11:$AM25&lt;&gt;"")*($AS$11:$AS25="✓")),"")</f>
        <v/>
      </c>
      <c r="BA25" s="21" t="str">
        <f>IF($AL25="","",$AL25&amp;"|"&amp;COUNTIF($AL$11:$AL25,$AL25))</f>
        <v/>
      </c>
      <c r="BD25" s="36" t="str">
        <f>IF(IFERROR(INDEX($AM$11:$AM$4010,MATCH($S$8&amp;"|"&amp;13,$BA$11:$BA$4010,0)),"")="","",13)</f>
        <v/>
      </c>
      <c r="BE25" s="36" t="str">
        <f>IFERROR(INDEX($AM$11:$AM$4010,MATCH($S$8&amp;"|"&amp;13,$BA$11:$BA$4010,0)),"")</f>
        <v/>
      </c>
      <c r="BF25" s="36" t="str">
        <f>IFERROR(INDEX($AP$11:$AP$4010,MATCH($S$8&amp;"|"&amp;13,$BA$11:$BA$4010,0)),"")</f>
        <v/>
      </c>
      <c r="BG25" s="36" t="str">
        <f>IFERROR(INDEX($AQ$11:$AQ$4010,MATCH($S$8&amp;"|"&amp;13,$BA$11:$BA$4010,0)),"")</f>
        <v/>
      </c>
      <c r="BH25" s="37" t="str">
        <f>IFERROR(INDEX($AN$11:$AN$4010,MATCH($S$8&amp;"|"&amp;13,$BA$11:$BA$4010,0)),"")</f>
        <v/>
      </c>
      <c r="BI25" s="37" t="str">
        <f>IFERROR(INDEX($AO$11:$AO$4010,MATCH($S$8&amp;"|"&amp;13,$BA$11:$BA$4010,0)),"")</f>
        <v/>
      </c>
      <c r="BL25" s="36" t="str">
        <f>IF(IFERROR(INDEX($AM$11:$AM$4010,MATCH($S$8&amp;"|"&amp;13,$BA$11:$BA$4010,0)),"")="","",13)</f>
        <v/>
      </c>
      <c r="BM25" s="36" t="str">
        <f>IFERROR(INDEX($AM$11:$AM$4010,MATCH($S$8&amp;"|"&amp;13,$BA$11:$BA$4010,0)),"")</f>
        <v/>
      </c>
      <c r="BN25" s="36" t="str">
        <f>IFERROR(INDEX($AP$11:$AP$4010,MATCH($S$8&amp;"|"&amp;13,$BA$11:$BA$4010,0)),"")</f>
        <v/>
      </c>
      <c r="BO25" s="36" t="str">
        <f>IFERROR(INDEX($AQ$11:$AQ$4010,MATCH($S$8&amp;"|"&amp;13,$BA$11:$BA$4010,0)),"")</f>
        <v/>
      </c>
      <c r="BP25" s="37" t="str">
        <f>IFERROR(INDEX($AN$11:$AN$4010,MATCH($S$8&amp;"|"&amp;13,$BA$11:$BA$4010,0)),"")</f>
        <v/>
      </c>
      <c r="BQ25" s="37" t="str">
        <f>IFERROR(INDEX($AO$11:$AO$4010,MATCH($S$8&amp;"|"&amp;13,$BA$11:$BA$4010,0)),"")</f>
        <v/>
      </c>
    </row>
    <row r="26" spans="2:69" ht="13.5" customHeight="1" x14ac:dyDescent="0.25">
      <c r="B26" s="5" t="str">
        <f t="shared" si="0"/>
        <v/>
      </c>
      <c r="C26" s="5"/>
      <c r="D26" s="5"/>
      <c r="E26" s="5"/>
      <c r="F26" s="6"/>
      <c r="G26" s="6"/>
      <c r="H26" s="7"/>
      <c r="I26" s="8"/>
      <c r="K26" s="23" t="str">
        <f>IFERROR(INDEX($AL$11:$AL$4010,MATCH(16,$AX$11:$AX$4010,0)),"")</f>
        <v/>
      </c>
      <c r="L26" s="24" t="str">
        <f t="shared" si="1"/>
        <v/>
      </c>
      <c r="M26" s="25" t="str">
        <f t="shared" si="2"/>
        <v/>
      </c>
      <c r="N26" s="25" t="str">
        <f t="shared" si="3"/>
        <v/>
      </c>
      <c r="P26" s="26" t="str">
        <f>IFERROR(INDEX($AM$11:$AM$4010,MATCH($S$8&amp;"|"&amp;16,$BA$11:$BA$4010,0)),"")</f>
        <v/>
      </c>
      <c r="Q26" s="25" t="str">
        <f>IF(P26="","",IFERROR(INDEX($AN$11:$AN$4010,MATCH($S$8&amp;"|"&amp;16,$BA$11:$BA$4010,0)),""))</f>
        <v/>
      </c>
      <c r="R26" s="25" t="str">
        <f>IF(P26="","",IFERROR(INDEX($AO$11:$AO$4010,MATCH($S$8&amp;"|"&amp;16,$BA$11:$BA$4010,0)),""))</f>
        <v/>
      </c>
      <c r="S26" s="24" t="str">
        <f>IF(P26="","",IFERROR(INDEX($AP$11:$AP$4010,MATCH($S$8&amp;"|"&amp;16,$BA$11:$BA$4010,0)),""))</f>
        <v/>
      </c>
      <c r="T26" s="24" t="str">
        <f>IF(P26="","",IFERROR(INDEX($AQ$11:$AQ$4010,MATCH($S$8&amp;"|"&amp;16,$BA$11:$BA$4010,0)),""))</f>
        <v/>
      </c>
      <c r="U26" s="38" t="str">
        <f t="shared" si="4"/>
        <v/>
      </c>
      <c r="W26" s="28" t="str">
        <f>IF(X26="","",IFERROR(INDEX($AL$11:$AL$4010,MATCH(16,$AY$11:$AY$4010,0)),""))</f>
        <v/>
      </c>
      <c r="X26" s="26" t="str">
        <f>IFERROR(INDEX($AM$11:$AM$4010,MATCH(16,$AY$11:$AY$4010,0)),"")</f>
        <v/>
      </c>
      <c r="Y26" s="25" t="str">
        <f>IF(X26="","",IFERROR(INDEX($AN$11:$AN$4010,MATCH(16,$AY$11:$AY$4010,0)),""))</f>
        <v/>
      </c>
      <c r="Z26" s="25" t="str">
        <f>IF(X26="","",IFERROR(INDEX($AO$11:$AO$4010,MATCH(16,$AY$11:$AY$4010,0)),""))</f>
        <v/>
      </c>
      <c r="AA26" s="24" t="str">
        <f>IF(X26="","",IFERROR(INDEX($AQ$11:$AQ$4010,MATCH(16,$AY$11:$AY$4010,0)),""))</f>
        <v/>
      </c>
      <c r="AB26" s="29" t="str">
        <f>IF(X26="","",IFERROR(INDEX($AR$11:$AR$4010,MATCH(16,$AY$11:$AY$4010,0)),""))</f>
        <v/>
      </c>
      <c r="AD26" s="30" t="str">
        <f>IF(AE26="","",IFERROR(INDEX($AL$11:$AL$4010,MATCH(16,$AZ$11:$AZ$4010,0)),""))</f>
        <v/>
      </c>
      <c r="AE26" s="26" t="str">
        <f>IFERROR(INDEX($AM$11:$AM$4010,MATCH(16,$AZ$11:$AZ$4010,0)),"")</f>
        <v/>
      </c>
      <c r="AF26" s="25" t="str">
        <f>IF(AE26="","",IFERROR(INDEX($AN$11:$AN$4010,MATCH(16,$AZ$11:$AZ$4010,0)),""))</f>
        <v/>
      </c>
      <c r="AG26" s="25" t="str">
        <f>IF(AE26="","",IFERROR(INDEX($AO$11:$AO$4010,MATCH(16,$AZ$11:$AZ$4010,0)),""))</f>
        <v/>
      </c>
      <c r="AH26" s="24" t="str">
        <f>IF(AE26="","",IFERROR(INDEX($AQ$11:$AQ$4010,MATCH(16,$AZ$11:$AZ$4010,0)),""))</f>
        <v/>
      </c>
      <c r="AI26" s="29" t="str">
        <f>IF(AE26="","",IFERROR(INDEX($AR$11:$AR$4010,MATCH(16,$AZ$11:$AZ$4010,0)),""))</f>
        <v/>
      </c>
      <c r="AJ26" s="29" t="str">
        <f>IF(AE26="","",IFERROR(INDEX($AT$11:$AT$4010,MATCH(16,$AZ$11:$AZ$4010,0)),""))</f>
        <v/>
      </c>
      <c r="AL26" s="31" t="str">
        <f t="shared" si="5"/>
        <v/>
      </c>
      <c r="AM26" s="26" t="str">
        <f t="shared" si="6"/>
        <v/>
      </c>
      <c r="AN26" s="32" t="str">
        <f t="shared" si="7"/>
        <v/>
      </c>
      <c r="AO26" s="32" t="str">
        <f t="shared" si="8"/>
        <v/>
      </c>
      <c r="AP26" s="24" t="str">
        <f t="shared" si="9"/>
        <v/>
      </c>
      <c r="AQ26" s="24" t="str">
        <f t="shared" si="10"/>
        <v/>
      </c>
      <c r="AR26" s="33" t="str">
        <f t="shared" si="11"/>
        <v/>
      </c>
      <c r="AS26" s="34"/>
      <c r="AT26" s="33"/>
      <c r="AV26" s="21">
        <f>IF(AND($AL26&lt;&gt;"",COUNTIF($AL$11:$AL26,$AL26)=1),1,0)</f>
        <v>0</v>
      </c>
      <c r="AW26" s="21">
        <f t="shared" si="13"/>
        <v>0</v>
      </c>
      <c r="AX26" s="21" t="str">
        <f t="shared" si="12"/>
        <v/>
      </c>
      <c r="AY26" s="21" t="str">
        <f>IF(AND($AM26&lt;&gt;"",$AS26&lt;&gt;"✓"),SUMPRODUCT(($AM$11:$AM26&lt;&gt;"")*($AS$11:$AS26&lt;&gt;"✓")),"")</f>
        <v/>
      </c>
      <c r="AZ26" s="21" t="str">
        <f>IF(AND($AM26&lt;&gt;"",$AS26="✓"),SUMPRODUCT(($AM$11:$AM26&lt;&gt;"")*($AS$11:$AS26="✓")),"")</f>
        <v/>
      </c>
      <c r="BA26" s="21" t="str">
        <f>IF($AL26="","",$AL26&amp;"|"&amp;COUNTIF($AL$11:$AL26,$AL26))</f>
        <v/>
      </c>
      <c r="BD26" s="36" t="str">
        <f>IF(IFERROR(INDEX($AM$11:$AM$4010,MATCH($S$8&amp;"|"&amp;14,$BA$11:$BA$4010,0)),"")="","",14)</f>
        <v/>
      </c>
      <c r="BE26" s="36" t="str">
        <f>IFERROR(INDEX($AM$11:$AM$4010,MATCH($S$8&amp;"|"&amp;14,$BA$11:$BA$4010,0)),"")</f>
        <v/>
      </c>
      <c r="BF26" s="36" t="str">
        <f>IFERROR(INDEX($AP$11:$AP$4010,MATCH($S$8&amp;"|"&amp;14,$BA$11:$BA$4010,0)),"")</f>
        <v/>
      </c>
      <c r="BG26" s="36" t="str">
        <f>IFERROR(INDEX($AQ$11:$AQ$4010,MATCH($S$8&amp;"|"&amp;14,$BA$11:$BA$4010,0)),"")</f>
        <v/>
      </c>
      <c r="BH26" s="37" t="str">
        <f>IFERROR(INDEX($AN$11:$AN$4010,MATCH($S$8&amp;"|"&amp;14,$BA$11:$BA$4010,0)),"")</f>
        <v/>
      </c>
      <c r="BI26" s="37" t="str">
        <f>IFERROR(INDEX($AO$11:$AO$4010,MATCH($S$8&amp;"|"&amp;14,$BA$11:$BA$4010,0)),"")</f>
        <v/>
      </c>
      <c r="BL26" s="36" t="str">
        <f>IF(IFERROR(INDEX($AM$11:$AM$4010,MATCH($S$8&amp;"|"&amp;14,$BA$11:$BA$4010,0)),"")="","",14)</f>
        <v/>
      </c>
      <c r="BM26" s="36" t="str">
        <f>IFERROR(INDEX($AM$11:$AM$4010,MATCH($S$8&amp;"|"&amp;14,$BA$11:$BA$4010,0)),"")</f>
        <v/>
      </c>
      <c r="BN26" s="36" t="str">
        <f>IFERROR(INDEX($AP$11:$AP$4010,MATCH($S$8&amp;"|"&amp;14,$BA$11:$BA$4010,0)),"")</f>
        <v/>
      </c>
      <c r="BO26" s="36" t="str">
        <f>IFERROR(INDEX($AQ$11:$AQ$4010,MATCH($S$8&amp;"|"&amp;14,$BA$11:$BA$4010,0)),"")</f>
        <v/>
      </c>
      <c r="BP26" s="37" t="str">
        <f>IFERROR(INDEX($AN$11:$AN$4010,MATCH($S$8&amp;"|"&amp;14,$BA$11:$BA$4010,0)),"")</f>
        <v/>
      </c>
      <c r="BQ26" s="37" t="str">
        <f>IFERROR(INDEX($AO$11:$AO$4010,MATCH($S$8&amp;"|"&amp;14,$BA$11:$BA$4010,0)),"")</f>
        <v/>
      </c>
    </row>
    <row r="27" spans="2:69" ht="13.5" customHeight="1" x14ac:dyDescent="0.25">
      <c r="B27" s="5" t="str">
        <f t="shared" si="0"/>
        <v/>
      </c>
      <c r="C27" s="5"/>
      <c r="D27" s="5"/>
      <c r="E27" s="5"/>
      <c r="F27" s="6"/>
      <c r="G27" s="6"/>
      <c r="H27" s="7"/>
      <c r="I27" s="8"/>
      <c r="K27" s="9" t="str">
        <f>IFERROR(INDEX($AL$11:$AL$4010,MATCH(17,$AX$11:$AX$4010,0)),"")</f>
        <v/>
      </c>
      <c r="L27" s="10" t="str">
        <f t="shared" si="1"/>
        <v/>
      </c>
      <c r="M27" s="11" t="str">
        <f t="shared" si="2"/>
        <v/>
      </c>
      <c r="N27" s="11" t="str">
        <f t="shared" si="3"/>
        <v/>
      </c>
      <c r="P27" s="12" t="str">
        <f>IFERROR(INDEX($AM$11:$AM$4010,MATCH($S$8&amp;"|"&amp;17,$BA$11:$BA$4010,0)),"")</f>
        <v/>
      </c>
      <c r="Q27" s="11" t="str">
        <f>IF(P27="","",IFERROR(INDEX($AN$11:$AN$4010,MATCH($S$8&amp;"|"&amp;17,$BA$11:$BA$4010,0)),""))</f>
        <v/>
      </c>
      <c r="R27" s="11" t="str">
        <f>IF(P27="","",IFERROR(INDEX($AO$11:$AO$4010,MATCH($S$8&amp;"|"&amp;17,$BA$11:$BA$4010,0)),""))</f>
        <v/>
      </c>
      <c r="S27" s="10" t="str">
        <f>IF(P27="","",IFERROR(INDEX($AP$11:$AP$4010,MATCH($S$8&amp;"|"&amp;17,$BA$11:$BA$4010,0)),""))</f>
        <v/>
      </c>
      <c r="T27" s="10" t="str">
        <f>IF(P27="","",IFERROR(INDEX($AQ$11:$AQ$4010,MATCH($S$8&amp;"|"&amp;17,$BA$11:$BA$4010,0)),""))</f>
        <v/>
      </c>
      <c r="U27" s="39" t="str">
        <f t="shared" si="4"/>
        <v/>
      </c>
      <c r="W27" s="14" t="str">
        <f>IF(X27="","",IFERROR(INDEX($AL$11:$AL$4010,MATCH(17,$AY$11:$AY$4010,0)),""))</f>
        <v/>
      </c>
      <c r="X27" s="12" t="str">
        <f>IFERROR(INDEX($AM$11:$AM$4010,MATCH(17,$AY$11:$AY$4010,0)),"")</f>
        <v/>
      </c>
      <c r="Y27" s="11" t="str">
        <f>IF(X27="","",IFERROR(INDEX($AN$11:$AN$4010,MATCH(17,$AY$11:$AY$4010,0)),""))</f>
        <v/>
      </c>
      <c r="Z27" s="11" t="str">
        <f>IF(X27="","",IFERROR(INDEX($AO$11:$AO$4010,MATCH(17,$AY$11:$AY$4010,0)),""))</f>
        <v/>
      </c>
      <c r="AA27" s="10" t="str">
        <f>IF(X27="","",IFERROR(INDEX($AQ$11:$AQ$4010,MATCH(17,$AY$11:$AY$4010,0)),""))</f>
        <v/>
      </c>
      <c r="AB27" s="15" t="str">
        <f>IF(X27="","",IFERROR(INDEX($AR$11:$AR$4010,MATCH(17,$AY$11:$AY$4010,0)),""))</f>
        <v/>
      </c>
      <c r="AD27" s="16" t="str">
        <f>IF(AE27="","",IFERROR(INDEX($AL$11:$AL$4010,MATCH(17,$AZ$11:$AZ$4010,0)),""))</f>
        <v/>
      </c>
      <c r="AE27" s="12" t="str">
        <f>IFERROR(INDEX($AM$11:$AM$4010,MATCH(17,$AZ$11:$AZ$4010,0)),"")</f>
        <v/>
      </c>
      <c r="AF27" s="11" t="str">
        <f>IF(AE27="","",IFERROR(INDEX($AN$11:$AN$4010,MATCH(17,$AZ$11:$AZ$4010,0)),""))</f>
        <v/>
      </c>
      <c r="AG27" s="11" t="str">
        <f>IF(AE27="","",IFERROR(INDEX($AO$11:$AO$4010,MATCH(17,$AZ$11:$AZ$4010,0)),""))</f>
        <v/>
      </c>
      <c r="AH27" s="10" t="str">
        <f>IF(AE27="","",IFERROR(INDEX($AQ$11:$AQ$4010,MATCH(17,$AZ$11:$AZ$4010,0)),""))</f>
        <v/>
      </c>
      <c r="AI27" s="15" t="str">
        <f>IF(AE27="","",IFERROR(INDEX($AR$11:$AR$4010,MATCH(17,$AZ$11:$AZ$4010,0)),""))</f>
        <v/>
      </c>
      <c r="AJ27" s="15" t="str">
        <f>IF(AE27="","",IFERROR(INDEX($AT$11:$AT$4010,MATCH(17,$AZ$11:$AZ$4010,0)),""))</f>
        <v/>
      </c>
      <c r="AL27" s="17" t="str">
        <f t="shared" si="5"/>
        <v/>
      </c>
      <c r="AM27" s="12" t="str">
        <f t="shared" si="6"/>
        <v/>
      </c>
      <c r="AN27" s="18" t="str">
        <f t="shared" si="7"/>
        <v/>
      </c>
      <c r="AO27" s="18" t="str">
        <f t="shared" si="8"/>
        <v/>
      </c>
      <c r="AP27" s="10" t="str">
        <f t="shared" si="9"/>
        <v/>
      </c>
      <c r="AQ27" s="10" t="str">
        <f t="shared" si="10"/>
        <v/>
      </c>
      <c r="AR27" s="19" t="str">
        <f t="shared" si="11"/>
        <v/>
      </c>
      <c r="AS27" s="20"/>
      <c r="AT27" s="19"/>
      <c r="AV27" s="21">
        <f>IF(AND($AL27&lt;&gt;"",COUNTIF($AL$11:$AL27,$AL27)=1),1,0)</f>
        <v>0</v>
      </c>
      <c r="AW27" s="21">
        <f t="shared" si="13"/>
        <v>0</v>
      </c>
      <c r="AX27" s="21" t="str">
        <f t="shared" si="12"/>
        <v/>
      </c>
      <c r="AY27" s="21" t="str">
        <f>IF(AND($AM27&lt;&gt;"",$AS27&lt;&gt;"✓"),SUMPRODUCT(($AM$11:$AM27&lt;&gt;"")*($AS$11:$AS27&lt;&gt;"✓")),"")</f>
        <v/>
      </c>
      <c r="AZ27" s="21" t="str">
        <f>IF(AND($AM27&lt;&gt;"",$AS27="✓"),SUMPRODUCT(($AM$11:$AM27&lt;&gt;"")*($AS$11:$AS27="✓")),"")</f>
        <v/>
      </c>
      <c r="BA27" s="21" t="str">
        <f>IF($AL27="","",$AL27&amp;"|"&amp;COUNTIF($AL$11:$AL27,$AL27))</f>
        <v/>
      </c>
      <c r="BD27" s="36" t="str">
        <f>IF(IFERROR(INDEX($AM$11:$AM$4010,MATCH($S$8&amp;"|"&amp;15,$BA$11:$BA$4010,0)),"")="","",15)</f>
        <v/>
      </c>
      <c r="BE27" s="36" t="str">
        <f>IFERROR(INDEX($AM$11:$AM$4010,MATCH($S$8&amp;"|"&amp;15,$BA$11:$BA$4010,0)),"")</f>
        <v/>
      </c>
      <c r="BF27" s="36" t="str">
        <f>IFERROR(INDEX($AP$11:$AP$4010,MATCH($S$8&amp;"|"&amp;15,$BA$11:$BA$4010,0)),"")</f>
        <v/>
      </c>
      <c r="BG27" s="36" t="str">
        <f>IFERROR(INDEX($AQ$11:$AQ$4010,MATCH($S$8&amp;"|"&amp;15,$BA$11:$BA$4010,0)),"")</f>
        <v/>
      </c>
      <c r="BH27" s="37" t="str">
        <f>IFERROR(INDEX($AN$11:$AN$4010,MATCH($S$8&amp;"|"&amp;15,$BA$11:$BA$4010,0)),"")</f>
        <v/>
      </c>
      <c r="BI27" s="37" t="str">
        <f>IFERROR(INDEX($AO$11:$AO$4010,MATCH($S$8&amp;"|"&amp;15,$BA$11:$BA$4010,0)),"")</f>
        <v/>
      </c>
      <c r="BL27" s="36" t="str">
        <f>IF(IFERROR(INDEX($AM$11:$AM$4010,MATCH($S$8&amp;"|"&amp;15,$BA$11:$BA$4010,0)),"")="","",15)</f>
        <v/>
      </c>
      <c r="BM27" s="36" t="str">
        <f>IFERROR(INDEX($AM$11:$AM$4010,MATCH($S$8&amp;"|"&amp;15,$BA$11:$BA$4010,0)),"")</f>
        <v/>
      </c>
      <c r="BN27" s="36" t="str">
        <f>IFERROR(INDEX($AP$11:$AP$4010,MATCH($S$8&amp;"|"&amp;15,$BA$11:$BA$4010,0)),"")</f>
        <v/>
      </c>
      <c r="BO27" s="36" t="str">
        <f>IFERROR(INDEX($AQ$11:$AQ$4010,MATCH($S$8&amp;"|"&amp;15,$BA$11:$BA$4010,0)),"")</f>
        <v/>
      </c>
      <c r="BP27" s="37" t="str">
        <f>IFERROR(INDEX($AN$11:$AN$4010,MATCH($S$8&amp;"|"&amp;15,$BA$11:$BA$4010,0)),"")</f>
        <v/>
      </c>
      <c r="BQ27" s="37" t="str">
        <f>IFERROR(INDEX($AO$11:$AO$4010,MATCH($S$8&amp;"|"&amp;15,$BA$11:$BA$4010,0)),"")</f>
        <v/>
      </c>
    </row>
    <row r="28" spans="2:69" ht="13.5" customHeight="1" x14ac:dyDescent="0.25">
      <c r="B28" s="5" t="str">
        <f t="shared" si="0"/>
        <v/>
      </c>
      <c r="C28" s="5"/>
      <c r="D28" s="5"/>
      <c r="E28" s="5"/>
      <c r="F28" s="6"/>
      <c r="G28" s="6"/>
      <c r="H28" s="7"/>
      <c r="I28" s="8"/>
      <c r="K28" s="23" t="str">
        <f>IFERROR(INDEX($AL$11:$AL$4010,MATCH(18,$AX$11:$AX$4010,0)),"")</f>
        <v/>
      </c>
      <c r="L28" s="24" t="str">
        <f t="shared" si="1"/>
        <v/>
      </c>
      <c r="M28" s="25" t="str">
        <f t="shared" si="2"/>
        <v/>
      </c>
      <c r="N28" s="25" t="str">
        <f t="shared" si="3"/>
        <v/>
      </c>
      <c r="P28" s="26" t="str">
        <f>IFERROR(INDEX($AM$11:$AM$4010,MATCH($S$8&amp;"|"&amp;18,$BA$11:$BA$4010,0)),"")</f>
        <v/>
      </c>
      <c r="Q28" s="25" t="str">
        <f>IF(P28="","",IFERROR(INDEX($AN$11:$AN$4010,MATCH($S$8&amp;"|"&amp;18,$BA$11:$BA$4010,0)),""))</f>
        <v/>
      </c>
      <c r="R28" s="25" t="str">
        <f>IF(P28="","",IFERROR(INDEX($AO$11:$AO$4010,MATCH($S$8&amp;"|"&amp;18,$BA$11:$BA$4010,0)),""))</f>
        <v/>
      </c>
      <c r="S28" s="24" t="str">
        <f>IF(P28="","",IFERROR(INDEX($AP$11:$AP$4010,MATCH($S$8&amp;"|"&amp;18,$BA$11:$BA$4010,0)),""))</f>
        <v/>
      </c>
      <c r="T28" s="24" t="str">
        <f>IF(P28="","",IFERROR(INDEX($AQ$11:$AQ$4010,MATCH($S$8&amp;"|"&amp;18,$BA$11:$BA$4010,0)),""))</f>
        <v/>
      </c>
      <c r="U28" s="38" t="str">
        <f t="shared" si="4"/>
        <v/>
      </c>
      <c r="W28" s="28" t="str">
        <f>IF(X28="","",IFERROR(INDEX($AL$11:$AL$4010,MATCH(18,$AY$11:$AY$4010,0)),""))</f>
        <v/>
      </c>
      <c r="X28" s="26" t="str">
        <f>IFERROR(INDEX($AM$11:$AM$4010,MATCH(18,$AY$11:$AY$4010,0)),"")</f>
        <v/>
      </c>
      <c r="Y28" s="25" t="str">
        <f>IF(X28="","",IFERROR(INDEX($AN$11:$AN$4010,MATCH(18,$AY$11:$AY$4010,0)),""))</f>
        <v/>
      </c>
      <c r="Z28" s="25" t="str">
        <f>IF(X28="","",IFERROR(INDEX($AO$11:$AO$4010,MATCH(18,$AY$11:$AY$4010,0)),""))</f>
        <v/>
      </c>
      <c r="AA28" s="24" t="str">
        <f>IF(X28="","",IFERROR(INDEX($AQ$11:$AQ$4010,MATCH(18,$AY$11:$AY$4010,0)),""))</f>
        <v/>
      </c>
      <c r="AB28" s="29" t="str">
        <f>IF(X28="","",IFERROR(INDEX($AR$11:$AR$4010,MATCH(18,$AY$11:$AY$4010,0)),""))</f>
        <v/>
      </c>
      <c r="AD28" s="30" t="str">
        <f>IF(AE28="","",IFERROR(INDEX($AL$11:$AL$4010,MATCH(18,$AZ$11:$AZ$4010,0)),""))</f>
        <v/>
      </c>
      <c r="AE28" s="26" t="str">
        <f>IFERROR(INDEX($AM$11:$AM$4010,MATCH(18,$AZ$11:$AZ$4010,0)),"")</f>
        <v/>
      </c>
      <c r="AF28" s="25" t="str">
        <f>IF(AE28="","",IFERROR(INDEX($AN$11:$AN$4010,MATCH(18,$AZ$11:$AZ$4010,0)),""))</f>
        <v/>
      </c>
      <c r="AG28" s="25" t="str">
        <f>IF(AE28="","",IFERROR(INDEX($AO$11:$AO$4010,MATCH(18,$AZ$11:$AZ$4010,0)),""))</f>
        <v/>
      </c>
      <c r="AH28" s="24" t="str">
        <f>IF(AE28="","",IFERROR(INDEX($AQ$11:$AQ$4010,MATCH(18,$AZ$11:$AZ$4010,0)),""))</f>
        <v/>
      </c>
      <c r="AI28" s="29" t="str">
        <f>IF(AE28="","",IFERROR(INDEX($AR$11:$AR$4010,MATCH(18,$AZ$11:$AZ$4010,0)),""))</f>
        <v/>
      </c>
      <c r="AJ28" s="29" t="str">
        <f>IF(AE28="","",IFERROR(INDEX($AT$11:$AT$4010,MATCH(18,$AZ$11:$AZ$4010,0)),""))</f>
        <v/>
      </c>
      <c r="AL28" s="31" t="str">
        <f t="shared" si="5"/>
        <v/>
      </c>
      <c r="AM28" s="26" t="str">
        <f t="shared" si="6"/>
        <v/>
      </c>
      <c r="AN28" s="32" t="str">
        <f t="shared" si="7"/>
        <v/>
      </c>
      <c r="AO28" s="32" t="str">
        <f t="shared" si="8"/>
        <v/>
      </c>
      <c r="AP28" s="24" t="str">
        <f t="shared" si="9"/>
        <v/>
      </c>
      <c r="AQ28" s="24" t="str">
        <f t="shared" si="10"/>
        <v/>
      </c>
      <c r="AR28" s="33" t="str">
        <f t="shared" si="11"/>
        <v/>
      </c>
      <c r="AS28" s="34"/>
      <c r="AT28" s="33"/>
      <c r="AV28" s="21">
        <f>IF(AND($AL28&lt;&gt;"",COUNTIF($AL$11:$AL28,$AL28)=1),1,0)</f>
        <v>0</v>
      </c>
      <c r="AW28" s="21">
        <f t="shared" si="13"/>
        <v>0</v>
      </c>
      <c r="AX28" s="21" t="str">
        <f t="shared" si="12"/>
        <v/>
      </c>
      <c r="AY28" s="21" t="str">
        <f>IF(AND($AM28&lt;&gt;"",$AS28&lt;&gt;"✓"),SUMPRODUCT(($AM$11:$AM28&lt;&gt;"")*($AS$11:$AS28&lt;&gt;"✓")),"")</f>
        <v/>
      </c>
      <c r="AZ28" s="21" t="str">
        <f>IF(AND($AM28&lt;&gt;"",$AS28="✓"),SUMPRODUCT(($AM$11:$AM28&lt;&gt;"")*($AS$11:$AS28="✓")),"")</f>
        <v/>
      </c>
      <c r="BA28" s="21" t="str">
        <f>IF($AL28="","",$AL28&amp;"|"&amp;COUNTIF($AL$11:$AL28,$AL28))</f>
        <v/>
      </c>
      <c r="BD28" s="36" t="str">
        <f>IF(IFERROR(INDEX($AM$11:$AM$4010,MATCH($S$8&amp;"|"&amp;16,$BA$11:$BA$4010,0)),"")="","",16)</f>
        <v/>
      </c>
      <c r="BE28" s="36" t="str">
        <f>IFERROR(INDEX($AM$11:$AM$4010,MATCH($S$8&amp;"|"&amp;16,$BA$11:$BA$4010,0)),"")</f>
        <v/>
      </c>
      <c r="BF28" s="36" t="str">
        <f>IFERROR(INDEX($AP$11:$AP$4010,MATCH($S$8&amp;"|"&amp;16,$BA$11:$BA$4010,0)),"")</f>
        <v/>
      </c>
      <c r="BG28" s="36" t="str">
        <f>IFERROR(INDEX($AQ$11:$AQ$4010,MATCH($S$8&amp;"|"&amp;16,$BA$11:$BA$4010,0)),"")</f>
        <v/>
      </c>
      <c r="BH28" s="37" t="str">
        <f>IFERROR(INDEX($AN$11:$AN$4010,MATCH($S$8&amp;"|"&amp;16,$BA$11:$BA$4010,0)),"")</f>
        <v/>
      </c>
      <c r="BI28" s="37" t="str">
        <f>IFERROR(INDEX($AO$11:$AO$4010,MATCH($S$8&amp;"|"&amp;16,$BA$11:$BA$4010,0)),"")</f>
        <v/>
      </c>
      <c r="BL28" s="36" t="str">
        <f>IF(IFERROR(INDEX($AM$11:$AM$4010,MATCH($S$8&amp;"|"&amp;16,$BA$11:$BA$4010,0)),"")="","",16)</f>
        <v/>
      </c>
      <c r="BM28" s="36" t="str">
        <f>IFERROR(INDEX($AM$11:$AM$4010,MATCH($S$8&amp;"|"&amp;16,$BA$11:$BA$4010,0)),"")</f>
        <v/>
      </c>
      <c r="BN28" s="36" t="str">
        <f>IFERROR(INDEX($AP$11:$AP$4010,MATCH($S$8&amp;"|"&amp;16,$BA$11:$BA$4010,0)),"")</f>
        <v/>
      </c>
      <c r="BO28" s="36" t="str">
        <f>IFERROR(INDEX($AQ$11:$AQ$4010,MATCH($S$8&amp;"|"&amp;16,$BA$11:$BA$4010,0)),"")</f>
        <v/>
      </c>
      <c r="BP28" s="37" t="str">
        <f>IFERROR(INDEX($AN$11:$AN$4010,MATCH($S$8&amp;"|"&amp;16,$BA$11:$BA$4010,0)),"")</f>
        <v/>
      </c>
      <c r="BQ28" s="37" t="str">
        <f>IFERROR(INDEX($AO$11:$AO$4010,MATCH($S$8&amp;"|"&amp;16,$BA$11:$BA$4010,0)),"")</f>
        <v/>
      </c>
    </row>
    <row r="29" spans="2:69" ht="13.5" customHeight="1" x14ac:dyDescent="0.25">
      <c r="B29" s="5" t="str">
        <f t="shared" si="0"/>
        <v/>
      </c>
      <c r="C29" s="5"/>
      <c r="D29" s="5"/>
      <c r="E29" s="5"/>
      <c r="F29" s="6"/>
      <c r="G29" s="6"/>
      <c r="H29" s="7"/>
      <c r="I29" s="8"/>
      <c r="K29" s="9" t="str">
        <f>IFERROR(INDEX($AL$11:$AL$4010,MATCH(19,$AX$11:$AX$4010,0)),"")</f>
        <v/>
      </c>
      <c r="L29" s="10" t="str">
        <f t="shared" si="1"/>
        <v/>
      </c>
      <c r="M29" s="11" t="str">
        <f t="shared" si="2"/>
        <v/>
      </c>
      <c r="N29" s="11" t="str">
        <f t="shared" si="3"/>
        <v/>
      </c>
      <c r="P29" s="12" t="str">
        <f>IFERROR(INDEX($AM$11:$AM$4010,MATCH($S$8&amp;"|"&amp;19,$BA$11:$BA$4010,0)),"")</f>
        <v/>
      </c>
      <c r="Q29" s="11" t="str">
        <f>IF(P29="","",IFERROR(INDEX($AN$11:$AN$4010,MATCH($S$8&amp;"|"&amp;19,$BA$11:$BA$4010,0)),""))</f>
        <v/>
      </c>
      <c r="R29" s="11" t="str">
        <f>IF(P29="","",IFERROR(INDEX($AO$11:$AO$4010,MATCH($S$8&amp;"|"&amp;19,$BA$11:$BA$4010,0)),""))</f>
        <v/>
      </c>
      <c r="S29" s="10" t="str">
        <f>IF(P29="","",IFERROR(INDEX($AP$11:$AP$4010,MATCH($S$8&amp;"|"&amp;19,$BA$11:$BA$4010,0)),""))</f>
        <v/>
      </c>
      <c r="T29" s="10" t="str">
        <f>IF(P29="","",IFERROR(INDEX($AQ$11:$AQ$4010,MATCH($S$8&amp;"|"&amp;19,$BA$11:$BA$4010,0)),""))</f>
        <v/>
      </c>
      <c r="U29" s="39" t="str">
        <f t="shared" si="4"/>
        <v/>
      </c>
      <c r="W29" s="14" t="str">
        <f>IF(X29="","",IFERROR(INDEX($AL$11:$AL$4010,MATCH(19,$AY$11:$AY$4010,0)),""))</f>
        <v/>
      </c>
      <c r="X29" s="12" t="str">
        <f>IFERROR(INDEX($AM$11:$AM$4010,MATCH(19,$AY$11:$AY$4010,0)),"")</f>
        <v/>
      </c>
      <c r="Y29" s="11" t="str">
        <f>IF(X29="","",IFERROR(INDEX($AN$11:$AN$4010,MATCH(19,$AY$11:$AY$4010,0)),""))</f>
        <v/>
      </c>
      <c r="Z29" s="11" t="str">
        <f>IF(X29="","",IFERROR(INDEX($AO$11:$AO$4010,MATCH(19,$AY$11:$AY$4010,0)),""))</f>
        <v/>
      </c>
      <c r="AA29" s="10" t="str">
        <f>IF(X29="","",IFERROR(INDEX($AQ$11:$AQ$4010,MATCH(19,$AY$11:$AY$4010,0)),""))</f>
        <v/>
      </c>
      <c r="AB29" s="15" t="str">
        <f>IF(X29="","",IFERROR(INDEX($AR$11:$AR$4010,MATCH(19,$AY$11:$AY$4010,0)),""))</f>
        <v/>
      </c>
      <c r="AD29" s="16" t="str">
        <f>IF(AE29="","",IFERROR(INDEX($AL$11:$AL$4010,MATCH(19,$AZ$11:$AZ$4010,0)),""))</f>
        <v/>
      </c>
      <c r="AE29" s="12" t="str">
        <f>IFERROR(INDEX($AM$11:$AM$4010,MATCH(19,$AZ$11:$AZ$4010,0)),"")</f>
        <v/>
      </c>
      <c r="AF29" s="11" t="str">
        <f>IF(AE29="","",IFERROR(INDEX($AN$11:$AN$4010,MATCH(19,$AZ$11:$AZ$4010,0)),""))</f>
        <v/>
      </c>
      <c r="AG29" s="11" t="str">
        <f>IF(AE29="","",IFERROR(INDEX($AO$11:$AO$4010,MATCH(19,$AZ$11:$AZ$4010,0)),""))</f>
        <v/>
      </c>
      <c r="AH29" s="10" t="str">
        <f>IF(AE29="","",IFERROR(INDEX($AQ$11:$AQ$4010,MATCH(19,$AZ$11:$AZ$4010,0)),""))</f>
        <v/>
      </c>
      <c r="AI29" s="15" t="str">
        <f>IF(AE29="","",IFERROR(INDEX($AR$11:$AR$4010,MATCH(19,$AZ$11:$AZ$4010,0)),""))</f>
        <v/>
      </c>
      <c r="AJ29" s="15" t="str">
        <f>IF(AE29="","",IFERROR(INDEX($AT$11:$AT$4010,MATCH(19,$AZ$11:$AZ$4010,0)),""))</f>
        <v/>
      </c>
      <c r="AL29" s="17" t="str">
        <f t="shared" si="5"/>
        <v/>
      </c>
      <c r="AM29" s="12" t="str">
        <f t="shared" si="6"/>
        <v/>
      </c>
      <c r="AN29" s="18" t="str">
        <f t="shared" si="7"/>
        <v/>
      </c>
      <c r="AO29" s="18" t="str">
        <f t="shared" si="8"/>
        <v/>
      </c>
      <c r="AP29" s="10" t="str">
        <f t="shared" si="9"/>
        <v/>
      </c>
      <c r="AQ29" s="10" t="str">
        <f t="shared" si="10"/>
        <v/>
      </c>
      <c r="AR29" s="19" t="str">
        <f t="shared" si="11"/>
        <v/>
      </c>
      <c r="AS29" s="20"/>
      <c r="AT29" s="19"/>
      <c r="AV29" s="21">
        <f>IF(AND($AL29&lt;&gt;"",COUNTIF($AL$11:$AL29,$AL29)=1),1,0)</f>
        <v>0</v>
      </c>
      <c r="AW29" s="21">
        <f t="shared" si="13"/>
        <v>0</v>
      </c>
      <c r="AX29" s="21" t="str">
        <f t="shared" si="12"/>
        <v/>
      </c>
      <c r="AY29" s="21" t="str">
        <f>IF(AND($AM29&lt;&gt;"",$AS29&lt;&gt;"✓"),SUMPRODUCT(($AM$11:$AM29&lt;&gt;"")*($AS$11:$AS29&lt;&gt;"✓")),"")</f>
        <v/>
      </c>
      <c r="AZ29" s="21" t="str">
        <f>IF(AND($AM29&lt;&gt;"",$AS29="✓"),SUMPRODUCT(($AM$11:$AM29&lt;&gt;"")*($AS$11:$AS29="✓")),"")</f>
        <v/>
      </c>
      <c r="BA29" s="21" t="str">
        <f>IF($AL29="","",$AL29&amp;"|"&amp;COUNTIF($AL$11:$AL29,$AL29))</f>
        <v/>
      </c>
      <c r="BD29" s="36" t="str">
        <f>IF(IFERROR(INDEX($AM$11:$AM$4010,MATCH($S$8&amp;"|"&amp;17,$BA$11:$BA$4010,0)),"")="","",17)</f>
        <v/>
      </c>
      <c r="BE29" s="36" t="str">
        <f>IFERROR(INDEX($AM$11:$AM$4010,MATCH($S$8&amp;"|"&amp;17,$BA$11:$BA$4010,0)),"")</f>
        <v/>
      </c>
      <c r="BF29" s="36" t="str">
        <f>IFERROR(INDEX($AP$11:$AP$4010,MATCH($S$8&amp;"|"&amp;17,$BA$11:$BA$4010,0)),"")</f>
        <v/>
      </c>
      <c r="BG29" s="36" t="str">
        <f>IFERROR(INDEX($AQ$11:$AQ$4010,MATCH($S$8&amp;"|"&amp;17,$BA$11:$BA$4010,0)),"")</f>
        <v/>
      </c>
      <c r="BH29" s="37" t="str">
        <f>IFERROR(INDEX($AN$11:$AN$4010,MATCH($S$8&amp;"|"&amp;17,$BA$11:$BA$4010,0)),"")</f>
        <v/>
      </c>
      <c r="BI29" s="37" t="str">
        <f>IFERROR(INDEX($AO$11:$AO$4010,MATCH($S$8&amp;"|"&amp;17,$BA$11:$BA$4010,0)),"")</f>
        <v/>
      </c>
      <c r="BL29" s="36" t="str">
        <f>IF(IFERROR(INDEX($AM$11:$AM$4010,MATCH($S$8&amp;"|"&amp;17,$BA$11:$BA$4010,0)),"")="","",17)</f>
        <v/>
      </c>
      <c r="BM29" s="36" t="str">
        <f>IFERROR(INDEX($AM$11:$AM$4010,MATCH($S$8&amp;"|"&amp;17,$BA$11:$BA$4010,0)),"")</f>
        <v/>
      </c>
      <c r="BN29" s="36" t="str">
        <f>IFERROR(INDEX($AP$11:$AP$4010,MATCH($S$8&amp;"|"&amp;17,$BA$11:$BA$4010,0)),"")</f>
        <v/>
      </c>
      <c r="BO29" s="36" t="str">
        <f>IFERROR(INDEX($AQ$11:$AQ$4010,MATCH($S$8&amp;"|"&amp;17,$BA$11:$BA$4010,0)),"")</f>
        <v/>
      </c>
      <c r="BP29" s="37" t="str">
        <f>IFERROR(INDEX($AN$11:$AN$4010,MATCH($S$8&amp;"|"&amp;17,$BA$11:$BA$4010,0)),"")</f>
        <v/>
      </c>
      <c r="BQ29" s="37" t="str">
        <f>IFERROR(INDEX($AO$11:$AO$4010,MATCH($S$8&amp;"|"&amp;17,$BA$11:$BA$4010,0)),"")</f>
        <v/>
      </c>
    </row>
    <row r="30" spans="2:69" ht="13.5" customHeight="1" x14ac:dyDescent="0.25">
      <c r="B30" s="5" t="str">
        <f t="shared" si="0"/>
        <v/>
      </c>
      <c r="C30" s="5"/>
      <c r="D30" s="5"/>
      <c r="E30" s="5"/>
      <c r="F30" s="6"/>
      <c r="G30" s="6"/>
      <c r="H30" s="7"/>
      <c r="I30" s="8"/>
      <c r="K30" s="23" t="str">
        <f>IFERROR(INDEX($AL$11:$AL$4010,MATCH(20,$AX$11:$AX$4010,0)),"")</f>
        <v/>
      </c>
      <c r="L30" s="24" t="str">
        <f t="shared" si="1"/>
        <v/>
      </c>
      <c r="M30" s="25" t="str">
        <f t="shared" si="2"/>
        <v/>
      </c>
      <c r="N30" s="25" t="str">
        <f t="shared" si="3"/>
        <v/>
      </c>
      <c r="P30" s="26" t="str">
        <f>IFERROR(INDEX($AM$11:$AM$4010,MATCH($S$8&amp;"|"&amp;20,$BA$11:$BA$4010,0)),"")</f>
        <v/>
      </c>
      <c r="Q30" s="25" t="str">
        <f>IF(P30="","",IFERROR(INDEX($AN$11:$AN$4010,MATCH($S$8&amp;"|"&amp;20,$BA$11:$BA$4010,0)),""))</f>
        <v/>
      </c>
      <c r="R30" s="25" t="str">
        <f>IF(P30="","",IFERROR(INDEX($AO$11:$AO$4010,MATCH($S$8&amp;"|"&amp;20,$BA$11:$BA$4010,0)),""))</f>
        <v/>
      </c>
      <c r="S30" s="24" t="str">
        <f>IF(P30="","",IFERROR(INDEX($AP$11:$AP$4010,MATCH($S$8&amp;"|"&amp;20,$BA$11:$BA$4010,0)),""))</f>
        <v/>
      </c>
      <c r="T30" s="24" t="str">
        <f>IF(P30="","",IFERROR(INDEX($AQ$11:$AQ$4010,MATCH($S$8&amp;"|"&amp;20,$BA$11:$BA$4010,0)),""))</f>
        <v/>
      </c>
      <c r="U30" s="38" t="str">
        <f t="shared" si="4"/>
        <v/>
      </c>
      <c r="W30" s="28" t="str">
        <f>IF(X30="","",IFERROR(INDEX($AL$11:$AL$4010,MATCH(20,$AY$11:$AY$4010,0)),""))</f>
        <v/>
      </c>
      <c r="X30" s="26" t="str">
        <f>IFERROR(INDEX($AM$11:$AM$4010,MATCH(20,$AY$11:$AY$4010,0)),"")</f>
        <v/>
      </c>
      <c r="Y30" s="25" t="str">
        <f>IF(X30="","",IFERROR(INDEX($AN$11:$AN$4010,MATCH(20,$AY$11:$AY$4010,0)),""))</f>
        <v/>
      </c>
      <c r="Z30" s="25" t="str">
        <f>IF(X30="","",IFERROR(INDEX($AO$11:$AO$4010,MATCH(20,$AY$11:$AY$4010,0)),""))</f>
        <v/>
      </c>
      <c r="AA30" s="24" t="str">
        <f>IF(X30="","",IFERROR(INDEX($AQ$11:$AQ$4010,MATCH(20,$AY$11:$AY$4010,0)),""))</f>
        <v/>
      </c>
      <c r="AB30" s="29" t="str">
        <f>IF(X30="","",IFERROR(INDEX($AR$11:$AR$4010,MATCH(20,$AY$11:$AY$4010,0)),""))</f>
        <v/>
      </c>
      <c r="AD30" s="30" t="str">
        <f>IF(AE30="","",IFERROR(INDEX($AL$11:$AL$4010,MATCH(20,$AZ$11:$AZ$4010,0)),""))</f>
        <v/>
      </c>
      <c r="AE30" s="26" t="str">
        <f>IFERROR(INDEX($AM$11:$AM$4010,MATCH(20,$AZ$11:$AZ$4010,0)),"")</f>
        <v/>
      </c>
      <c r="AF30" s="25" t="str">
        <f>IF(AE30="","",IFERROR(INDEX($AN$11:$AN$4010,MATCH(20,$AZ$11:$AZ$4010,0)),""))</f>
        <v/>
      </c>
      <c r="AG30" s="25" t="str">
        <f>IF(AE30="","",IFERROR(INDEX($AO$11:$AO$4010,MATCH(20,$AZ$11:$AZ$4010,0)),""))</f>
        <v/>
      </c>
      <c r="AH30" s="24" t="str">
        <f>IF(AE30="","",IFERROR(INDEX($AQ$11:$AQ$4010,MATCH(20,$AZ$11:$AZ$4010,0)),""))</f>
        <v/>
      </c>
      <c r="AI30" s="29" t="str">
        <f>IF(AE30="","",IFERROR(INDEX($AR$11:$AR$4010,MATCH(20,$AZ$11:$AZ$4010,0)),""))</f>
        <v/>
      </c>
      <c r="AJ30" s="29" t="str">
        <f>IF(AE30="","",IFERROR(INDEX($AT$11:$AT$4010,MATCH(20,$AZ$11:$AZ$4010,0)),""))</f>
        <v/>
      </c>
      <c r="AL30" s="31" t="str">
        <f t="shared" si="5"/>
        <v/>
      </c>
      <c r="AM30" s="26" t="str">
        <f t="shared" si="6"/>
        <v/>
      </c>
      <c r="AN30" s="32" t="str">
        <f t="shared" si="7"/>
        <v/>
      </c>
      <c r="AO30" s="32" t="str">
        <f t="shared" si="8"/>
        <v/>
      </c>
      <c r="AP30" s="24" t="str">
        <f t="shared" si="9"/>
        <v/>
      </c>
      <c r="AQ30" s="24" t="str">
        <f t="shared" si="10"/>
        <v/>
      </c>
      <c r="AR30" s="33" t="str">
        <f t="shared" si="11"/>
        <v/>
      </c>
      <c r="AS30" s="34"/>
      <c r="AT30" s="33"/>
      <c r="AV30" s="21">
        <f>IF(AND($AL30&lt;&gt;"",COUNTIF($AL$11:$AL30,$AL30)=1),1,0)</f>
        <v>0</v>
      </c>
      <c r="AW30" s="21">
        <f t="shared" si="13"/>
        <v>0</v>
      </c>
      <c r="AX30" s="21" t="str">
        <f t="shared" si="12"/>
        <v/>
      </c>
      <c r="AY30" s="21" t="str">
        <f>IF(AND($AM30&lt;&gt;"",$AS30&lt;&gt;"✓"),SUMPRODUCT(($AM$11:$AM30&lt;&gt;"")*($AS$11:$AS30&lt;&gt;"✓")),"")</f>
        <v/>
      </c>
      <c r="AZ30" s="21" t="str">
        <f>IF(AND($AM30&lt;&gt;"",$AS30="✓"),SUMPRODUCT(($AM$11:$AM30&lt;&gt;"")*($AS$11:$AS30="✓")),"")</f>
        <v/>
      </c>
      <c r="BA30" s="21" t="str">
        <f>IF($AL30="","",$AL30&amp;"|"&amp;COUNTIF($AL$11:$AL30,$AL30))</f>
        <v/>
      </c>
      <c r="BD30" s="36" t="str">
        <f>IF(IFERROR(INDEX($AM$11:$AM$4010,MATCH($S$8&amp;"|"&amp;18,$BA$11:$BA$4010,0)),"")="","",18)</f>
        <v/>
      </c>
      <c r="BE30" s="36" t="str">
        <f>IFERROR(INDEX($AM$11:$AM$4010,MATCH($S$8&amp;"|"&amp;18,$BA$11:$BA$4010,0)),"")</f>
        <v/>
      </c>
      <c r="BF30" s="36" t="str">
        <f>IFERROR(INDEX($AP$11:$AP$4010,MATCH($S$8&amp;"|"&amp;18,$BA$11:$BA$4010,0)),"")</f>
        <v/>
      </c>
      <c r="BG30" s="36" t="str">
        <f>IFERROR(INDEX($AQ$11:$AQ$4010,MATCH($S$8&amp;"|"&amp;18,$BA$11:$BA$4010,0)),"")</f>
        <v/>
      </c>
      <c r="BH30" s="37" t="str">
        <f>IFERROR(INDEX($AN$11:$AN$4010,MATCH($S$8&amp;"|"&amp;18,$BA$11:$BA$4010,0)),"")</f>
        <v/>
      </c>
      <c r="BI30" s="37" t="str">
        <f>IFERROR(INDEX($AO$11:$AO$4010,MATCH($S$8&amp;"|"&amp;18,$BA$11:$BA$4010,0)),"")</f>
        <v/>
      </c>
      <c r="BL30" s="36" t="str">
        <f>IF(IFERROR(INDEX($AM$11:$AM$4010,MATCH($S$8&amp;"|"&amp;18,$BA$11:$BA$4010,0)),"")="","",18)</f>
        <v/>
      </c>
      <c r="BM30" s="36" t="str">
        <f>IFERROR(INDEX($AM$11:$AM$4010,MATCH($S$8&amp;"|"&amp;18,$BA$11:$BA$4010,0)),"")</f>
        <v/>
      </c>
      <c r="BN30" s="36" t="str">
        <f>IFERROR(INDEX($AP$11:$AP$4010,MATCH($S$8&amp;"|"&amp;18,$BA$11:$BA$4010,0)),"")</f>
        <v/>
      </c>
      <c r="BO30" s="36" t="str">
        <f>IFERROR(INDEX($AQ$11:$AQ$4010,MATCH($S$8&amp;"|"&amp;18,$BA$11:$BA$4010,0)),"")</f>
        <v/>
      </c>
      <c r="BP30" s="37" t="str">
        <f>IFERROR(INDEX($AN$11:$AN$4010,MATCH($S$8&amp;"|"&amp;18,$BA$11:$BA$4010,0)),"")</f>
        <v/>
      </c>
      <c r="BQ30" s="37" t="str">
        <f>IFERROR(INDEX($AO$11:$AO$4010,MATCH($S$8&amp;"|"&amp;18,$BA$11:$BA$4010,0)),"")</f>
        <v/>
      </c>
    </row>
    <row r="31" spans="2:69" ht="13.5" customHeight="1" x14ac:dyDescent="0.25">
      <c r="B31" s="5" t="str">
        <f t="shared" si="0"/>
        <v/>
      </c>
      <c r="C31" s="5"/>
      <c r="D31" s="5"/>
      <c r="E31" s="5"/>
      <c r="F31" s="6"/>
      <c r="G31" s="6"/>
      <c r="H31" s="7"/>
      <c r="I31" s="8"/>
      <c r="K31" s="9" t="str">
        <f>IFERROR(INDEX($AL$11:$AL$4010,MATCH(21,$AX$11:$AX$4010,0)),"")</f>
        <v/>
      </c>
      <c r="L31" s="10" t="str">
        <f t="shared" si="1"/>
        <v/>
      </c>
      <c r="M31" s="11" t="str">
        <f t="shared" si="2"/>
        <v/>
      </c>
      <c r="N31" s="11" t="str">
        <f t="shared" si="3"/>
        <v/>
      </c>
      <c r="P31" s="12" t="str">
        <f>IFERROR(INDEX($AM$11:$AM$4010,MATCH($S$8&amp;"|"&amp;21,$BA$11:$BA$4010,0)),"")</f>
        <v/>
      </c>
      <c r="Q31" s="11" t="str">
        <f>IF(P31="","",IFERROR(INDEX($AN$11:$AN$4010,MATCH($S$8&amp;"|"&amp;21,$BA$11:$BA$4010,0)),""))</f>
        <v/>
      </c>
      <c r="R31" s="11" t="str">
        <f>IF(P31="","",IFERROR(INDEX($AO$11:$AO$4010,MATCH($S$8&amp;"|"&amp;21,$BA$11:$BA$4010,0)),""))</f>
        <v/>
      </c>
      <c r="S31" s="10" t="str">
        <f>IF(P31="","",IFERROR(INDEX($AP$11:$AP$4010,MATCH($S$8&amp;"|"&amp;21,$BA$11:$BA$4010,0)),""))</f>
        <v/>
      </c>
      <c r="T31" s="10" t="str">
        <f>IF(P31="","",IFERROR(INDEX($AQ$11:$AQ$4010,MATCH($S$8&amp;"|"&amp;21,$BA$11:$BA$4010,0)),""))</f>
        <v/>
      </c>
      <c r="U31" s="39" t="str">
        <f t="shared" si="4"/>
        <v/>
      </c>
      <c r="W31" s="14" t="str">
        <f>IF(X31="","",IFERROR(INDEX($AL$11:$AL$4010,MATCH(21,$AY$11:$AY$4010,0)),""))</f>
        <v/>
      </c>
      <c r="X31" s="12" t="str">
        <f>IFERROR(INDEX($AM$11:$AM$4010,MATCH(21,$AY$11:$AY$4010,0)),"")</f>
        <v/>
      </c>
      <c r="Y31" s="11" t="str">
        <f>IF(X31="","",IFERROR(INDEX($AN$11:$AN$4010,MATCH(21,$AY$11:$AY$4010,0)),""))</f>
        <v/>
      </c>
      <c r="Z31" s="11" t="str">
        <f>IF(X31="","",IFERROR(INDEX($AO$11:$AO$4010,MATCH(21,$AY$11:$AY$4010,0)),""))</f>
        <v/>
      </c>
      <c r="AA31" s="10" t="str">
        <f>IF(X31="","",IFERROR(INDEX($AQ$11:$AQ$4010,MATCH(21,$AY$11:$AY$4010,0)),""))</f>
        <v/>
      </c>
      <c r="AB31" s="15" t="str">
        <f>IF(X31="","",IFERROR(INDEX($AR$11:$AR$4010,MATCH(21,$AY$11:$AY$4010,0)),""))</f>
        <v/>
      </c>
      <c r="AD31" s="16" t="str">
        <f>IF(AE31="","",IFERROR(INDEX($AL$11:$AL$4010,MATCH(21,$AZ$11:$AZ$4010,0)),""))</f>
        <v/>
      </c>
      <c r="AE31" s="12" t="str">
        <f>IFERROR(INDEX($AM$11:$AM$4010,MATCH(21,$AZ$11:$AZ$4010,0)),"")</f>
        <v/>
      </c>
      <c r="AF31" s="11" t="str">
        <f>IF(AE31="","",IFERROR(INDEX($AN$11:$AN$4010,MATCH(21,$AZ$11:$AZ$4010,0)),""))</f>
        <v/>
      </c>
      <c r="AG31" s="11" t="str">
        <f>IF(AE31="","",IFERROR(INDEX($AO$11:$AO$4010,MATCH(21,$AZ$11:$AZ$4010,0)),""))</f>
        <v/>
      </c>
      <c r="AH31" s="10" t="str">
        <f>IF(AE31="","",IFERROR(INDEX($AQ$11:$AQ$4010,MATCH(21,$AZ$11:$AZ$4010,0)),""))</f>
        <v/>
      </c>
      <c r="AI31" s="15" t="str">
        <f>IF(AE31="","",IFERROR(INDEX($AR$11:$AR$4010,MATCH(21,$AZ$11:$AZ$4010,0)),""))</f>
        <v/>
      </c>
      <c r="AJ31" s="15" t="str">
        <f>IF(AE31="","",IFERROR(INDEX($AT$11:$AT$4010,MATCH(21,$AZ$11:$AZ$4010,0)),""))</f>
        <v/>
      </c>
      <c r="AL31" s="17" t="str">
        <f t="shared" si="5"/>
        <v/>
      </c>
      <c r="AM31" s="12" t="str">
        <f t="shared" si="6"/>
        <v/>
      </c>
      <c r="AN31" s="18" t="str">
        <f t="shared" si="7"/>
        <v/>
      </c>
      <c r="AO31" s="18" t="str">
        <f t="shared" si="8"/>
        <v/>
      </c>
      <c r="AP31" s="10" t="str">
        <f t="shared" si="9"/>
        <v/>
      </c>
      <c r="AQ31" s="10" t="str">
        <f t="shared" si="10"/>
        <v/>
      </c>
      <c r="AR31" s="19" t="str">
        <f t="shared" si="11"/>
        <v/>
      </c>
      <c r="AS31" s="20"/>
      <c r="AT31" s="19"/>
      <c r="AV31" s="21">
        <f>IF(AND($AL31&lt;&gt;"",COUNTIF($AL$11:$AL31,$AL31)=1),1,0)</f>
        <v>0</v>
      </c>
      <c r="AW31" s="21">
        <f t="shared" si="13"/>
        <v>0</v>
      </c>
      <c r="AX31" s="21" t="str">
        <f t="shared" si="12"/>
        <v/>
      </c>
      <c r="AY31" s="21" t="str">
        <f>IF(AND($AM31&lt;&gt;"",$AS31&lt;&gt;"✓"),SUMPRODUCT(($AM$11:$AM31&lt;&gt;"")*($AS$11:$AS31&lt;&gt;"✓")),"")</f>
        <v/>
      </c>
      <c r="AZ31" s="21" t="str">
        <f>IF(AND($AM31&lt;&gt;"",$AS31="✓"),SUMPRODUCT(($AM$11:$AM31&lt;&gt;"")*($AS$11:$AS31="✓")),"")</f>
        <v/>
      </c>
      <c r="BA31" s="21" t="str">
        <f>IF($AL31="","",$AL31&amp;"|"&amp;COUNTIF($AL$11:$AL31,$AL31))</f>
        <v/>
      </c>
      <c r="BD31" s="36" t="str">
        <f>IF(IFERROR(INDEX($AM$11:$AM$4010,MATCH($S$8&amp;"|"&amp;19,$BA$11:$BA$4010,0)),"")="","",19)</f>
        <v/>
      </c>
      <c r="BE31" s="36" t="str">
        <f>IFERROR(INDEX($AM$11:$AM$4010,MATCH($S$8&amp;"|"&amp;19,$BA$11:$BA$4010,0)),"")</f>
        <v/>
      </c>
      <c r="BF31" s="36" t="str">
        <f>IFERROR(INDEX($AP$11:$AP$4010,MATCH($S$8&amp;"|"&amp;19,$BA$11:$BA$4010,0)),"")</f>
        <v/>
      </c>
      <c r="BG31" s="36" t="str">
        <f>IFERROR(INDEX($AQ$11:$AQ$4010,MATCH($S$8&amp;"|"&amp;19,$BA$11:$BA$4010,0)),"")</f>
        <v/>
      </c>
      <c r="BH31" s="37" t="str">
        <f>IFERROR(INDEX($AN$11:$AN$4010,MATCH($S$8&amp;"|"&amp;19,$BA$11:$BA$4010,0)),"")</f>
        <v/>
      </c>
      <c r="BI31" s="37" t="str">
        <f>IFERROR(INDEX($AO$11:$AO$4010,MATCH($S$8&amp;"|"&amp;19,$BA$11:$BA$4010,0)),"")</f>
        <v/>
      </c>
      <c r="BL31" s="36" t="str">
        <f>IF(IFERROR(INDEX($AM$11:$AM$4010,MATCH($S$8&amp;"|"&amp;19,$BA$11:$BA$4010,0)),"")="","",19)</f>
        <v/>
      </c>
      <c r="BM31" s="36" t="str">
        <f>IFERROR(INDEX($AM$11:$AM$4010,MATCH($S$8&amp;"|"&amp;19,$BA$11:$BA$4010,0)),"")</f>
        <v/>
      </c>
      <c r="BN31" s="36" t="str">
        <f>IFERROR(INDEX($AP$11:$AP$4010,MATCH($S$8&amp;"|"&amp;19,$BA$11:$BA$4010,0)),"")</f>
        <v/>
      </c>
      <c r="BO31" s="36" t="str">
        <f>IFERROR(INDEX($AQ$11:$AQ$4010,MATCH($S$8&amp;"|"&amp;19,$BA$11:$BA$4010,0)),"")</f>
        <v/>
      </c>
      <c r="BP31" s="37" t="str">
        <f>IFERROR(INDEX($AN$11:$AN$4010,MATCH($S$8&amp;"|"&amp;19,$BA$11:$BA$4010,0)),"")</f>
        <v/>
      </c>
      <c r="BQ31" s="37" t="str">
        <f>IFERROR(INDEX($AO$11:$AO$4010,MATCH($S$8&amp;"|"&amp;19,$BA$11:$BA$4010,0)),"")</f>
        <v/>
      </c>
    </row>
    <row r="32" spans="2:69" ht="13.5" customHeight="1" x14ac:dyDescent="0.25">
      <c r="B32" s="5" t="str">
        <f t="shared" si="0"/>
        <v/>
      </c>
      <c r="C32" s="5"/>
      <c r="D32" s="5"/>
      <c r="E32" s="5"/>
      <c r="F32" s="6"/>
      <c r="G32" s="6"/>
      <c r="H32" s="7"/>
      <c r="I32" s="8"/>
      <c r="K32" s="23" t="str">
        <f>IFERROR(INDEX($AL$11:$AL$4010,MATCH(22,$AX$11:$AX$4010,0)),"")</f>
        <v/>
      </c>
      <c r="L32" s="24" t="str">
        <f t="shared" si="1"/>
        <v/>
      </c>
      <c r="M32" s="25" t="str">
        <f t="shared" si="2"/>
        <v/>
      </c>
      <c r="N32" s="25" t="str">
        <f t="shared" si="3"/>
        <v/>
      </c>
      <c r="P32" s="26" t="str">
        <f>IFERROR(INDEX($AM$11:$AM$4010,MATCH($S$8&amp;"|"&amp;22,$BA$11:$BA$4010,0)),"")</f>
        <v/>
      </c>
      <c r="Q32" s="25" t="str">
        <f>IF(P32="","",IFERROR(INDEX($AN$11:$AN$4010,MATCH($S$8&amp;"|"&amp;22,$BA$11:$BA$4010,0)),""))</f>
        <v/>
      </c>
      <c r="R32" s="25" t="str">
        <f>IF(P32="","",IFERROR(INDEX($AO$11:$AO$4010,MATCH($S$8&amp;"|"&amp;22,$BA$11:$BA$4010,0)),""))</f>
        <v/>
      </c>
      <c r="S32" s="24" t="str">
        <f>IF(P32="","",IFERROR(INDEX($AP$11:$AP$4010,MATCH($S$8&amp;"|"&amp;22,$BA$11:$BA$4010,0)),""))</f>
        <v/>
      </c>
      <c r="T32" s="24" t="str">
        <f>IF(P32="","",IFERROR(INDEX($AQ$11:$AQ$4010,MATCH($S$8&amp;"|"&amp;22,$BA$11:$BA$4010,0)),""))</f>
        <v/>
      </c>
      <c r="U32" s="38" t="str">
        <f t="shared" si="4"/>
        <v/>
      </c>
      <c r="W32" s="28" t="str">
        <f>IF(X32="","",IFERROR(INDEX($AL$11:$AL$4010,MATCH(22,$AY$11:$AY$4010,0)),""))</f>
        <v/>
      </c>
      <c r="X32" s="26" t="str">
        <f>IFERROR(INDEX($AM$11:$AM$4010,MATCH(22,$AY$11:$AY$4010,0)),"")</f>
        <v/>
      </c>
      <c r="Y32" s="25" t="str">
        <f>IF(X32="","",IFERROR(INDEX($AN$11:$AN$4010,MATCH(22,$AY$11:$AY$4010,0)),""))</f>
        <v/>
      </c>
      <c r="Z32" s="25" t="str">
        <f>IF(X32="","",IFERROR(INDEX($AO$11:$AO$4010,MATCH(22,$AY$11:$AY$4010,0)),""))</f>
        <v/>
      </c>
      <c r="AA32" s="24" t="str">
        <f>IF(X32="","",IFERROR(INDEX($AQ$11:$AQ$4010,MATCH(22,$AY$11:$AY$4010,0)),""))</f>
        <v/>
      </c>
      <c r="AB32" s="29" t="str">
        <f>IF(X32="","",IFERROR(INDEX($AR$11:$AR$4010,MATCH(22,$AY$11:$AY$4010,0)),""))</f>
        <v/>
      </c>
      <c r="AD32" s="30" t="str">
        <f>IF(AE32="","",IFERROR(INDEX($AL$11:$AL$4010,MATCH(22,$AZ$11:$AZ$4010,0)),""))</f>
        <v/>
      </c>
      <c r="AE32" s="26" t="str">
        <f>IFERROR(INDEX($AM$11:$AM$4010,MATCH(22,$AZ$11:$AZ$4010,0)),"")</f>
        <v/>
      </c>
      <c r="AF32" s="25" t="str">
        <f>IF(AE32="","",IFERROR(INDEX($AN$11:$AN$4010,MATCH(22,$AZ$11:$AZ$4010,0)),""))</f>
        <v/>
      </c>
      <c r="AG32" s="25" t="str">
        <f>IF(AE32="","",IFERROR(INDEX($AO$11:$AO$4010,MATCH(22,$AZ$11:$AZ$4010,0)),""))</f>
        <v/>
      </c>
      <c r="AH32" s="24" t="str">
        <f>IF(AE32="","",IFERROR(INDEX($AQ$11:$AQ$4010,MATCH(22,$AZ$11:$AZ$4010,0)),""))</f>
        <v/>
      </c>
      <c r="AI32" s="29" t="str">
        <f>IF(AE32="","",IFERROR(INDEX($AR$11:$AR$4010,MATCH(22,$AZ$11:$AZ$4010,0)),""))</f>
        <v/>
      </c>
      <c r="AJ32" s="29" t="str">
        <f>IF(AE32="","",IFERROR(INDEX($AT$11:$AT$4010,MATCH(22,$AZ$11:$AZ$4010,0)),""))</f>
        <v/>
      </c>
      <c r="AL32" s="31" t="str">
        <f t="shared" si="5"/>
        <v/>
      </c>
      <c r="AM32" s="26" t="str">
        <f t="shared" si="6"/>
        <v/>
      </c>
      <c r="AN32" s="32" t="str">
        <f t="shared" si="7"/>
        <v/>
      </c>
      <c r="AO32" s="32" t="str">
        <f t="shared" si="8"/>
        <v/>
      </c>
      <c r="AP32" s="24" t="str">
        <f t="shared" si="9"/>
        <v/>
      </c>
      <c r="AQ32" s="24" t="str">
        <f t="shared" si="10"/>
        <v/>
      </c>
      <c r="AR32" s="33" t="str">
        <f t="shared" si="11"/>
        <v/>
      </c>
      <c r="AS32" s="34"/>
      <c r="AT32" s="33"/>
      <c r="AV32" s="21">
        <f>IF(AND($AL32&lt;&gt;"",COUNTIF($AL$11:$AL32,$AL32)=1),1,0)</f>
        <v>0</v>
      </c>
      <c r="AW32" s="21">
        <f t="shared" si="13"/>
        <v>0</v>
      </c>
      <c r="AX32" s="21" t="str">
        <f t="shared" si="12"/>
        <v/>
      </c>
      <c r="AY32" s="21" t="str">
        <f>IF(AND($AM32&lt;&gt;"",$AS32&lt;&gt;"✓"),SUMPRODUCT(($AM$11:$AM32&lt;&gt;"")*($AS$11:$AS32&lt;&gt;"✓")),"")</f>
        <v/>
      </c>
      <c r="AZ32" s="21" t="str">
        <f>IF(AND($AM32&lt;&gt;"",$AS32="✓"),SUMPRODUCT(($AM$11:$AM32&lt;&gt;"")*($AS$11:$AS32="✓")),"")</f>
        <v/>
      </c>
      <c r="BA32" s="21" t="str">
        <f>IF($AL32="","",$AL32&amp;"|"&amp;COUNTIF($AL$11:$AL32,$AL32))</f>
        <v/>
      </c>
      <c r="BD32" s="36" t="str">
        <f>IF(IFERROR(INDEX($AM$11:$AM$4010,MATCH($S$8&amp;"|"&amp;20,$BA$11:$BA$4010,0)),"")="","",20)</f>
        <v/>
      </c>
      <c r="BE32" s="36" t="str">
        <f>IFERROR(INDEX($AM$11:$AM$4010,MATCH($S$8&amp;"|"&amp;20,$BA$11:$BA$4010,0)),"")</f>
        <v/>
      </c>
      <c r="BF32" s="36" t="str">
        <f>IFERROR(INDEX($AP$11:$AP$4010,MATCH($S$8&amp;"|"&amp;20,$BA$11:$BA$4010,0)),"")</f>
        <v/>
      </c>
      <c r="BG32" s="36" t="str">
        <f>IFERROR(INDEX($AQ$11:$AQ$4010,MATCH($S$8&amp;"|"&amp;20,$BA$11:$BA$4010,0)),"")</f>
        <v/>
      </c>
      <c r="BH32" s="37" t="str">
        <f>IFERROR(INDEX($AN$11:$AN$4010,MATCH($S$8&amp;"|"&amp;20,$BA$11:$BA$4010,0)),"")</f>
        <v/>
      </c>
      <c r="BI32" s="37" t="str">
        <f>IFERROR(INDEX($AO$11:$AO$4010,MATCH($S$8&amp;"|"&amp;20,$BA$11:$BA$4010,0)),"")</f>
        <v/>
      </c>
      <c r="BL32" s="36" t="str">
        <f>IF(IFERROR(INDEX($AM$11:$AM$4010,MATCH($S$8&amp;"|"&amp;20,$BA$11:$BA$4010,0)),"")="","",20)</f>
        <v/>
      </c>
      <c r="BM32" s="36" t="str">
        <f>IFERROR(INDEX($AM$11:$AM$4010,MATCH($S$8&amp;"|"&amp;20,$BA$11:$BA$4010,0)),"")</f>
        <v/>
      </c>
      <c r="BN32" s="36" t="str">
        <f>IFERROR(INDEX($AP$11:$AP$4010,MATCH($S$8&amp;"|"&amp;20,$BA$11:$BA$4010,0)),"")</f>
        <v/>
      </c>
      <c r="BO32" s="36" t="str">
        <f>IFERROR(INDEX($AQ$11:$AQ$4010,MATCH($S$8&amp;"|"&amp;20,$BA$11:$BA$4010,0)),"")</f>
        <v/>
      </c>
      <c r="BP32" s="37" t="str">
        <f>IFERROR(INDEX($AN$11:$AN$4010,MATCH($S$8&amp;"|"&amp;20,$BA$11:$BA$4010,0)),"")</f>
        <v/>
      </c>
      <c r="BQ32" s="37" t="str">
        <f>IFERROR(INDEX($AO$11:$AO$4010,MATCH($S$8&amp;"|"&amp;20,$BA$11:$BA$4010,0)),"")</f>
        <v/>
      </c>
    </row>
    <row r="33" spans="2:69" ht="13.5" customHeight="1" x14ac:dyDescent="0.25">
      <c r="B33" s="5" t="str">
        <f t="shared" si="0"/>
        <v/>
      </c>
      <c r="C33" s="5"/>
      <c r="D33" s="5"/>
      <c r="E33" s="5"/>
      <c r="F33" s="6"/>
      <c r="G33" s="6"/>
      <c r="H33" s="7"/>
      <c r="I33" s="8"/>
      <c r="K33" s="9" t="str">
        <f>IFERROR(INDEX($AL$11:$AL$4010,MATCH(23,$AX$11:$AX$4010,0)),"")</f>
        <v/>
      </c>
      <c r="L33" s="10" t="str">
        <f t="shared" si="1"/>
        <v/>
      </c>
      <c r="M33" s="11" t="str">
        <f t="shared" si="2"/>
        <v/>
      </c>
      <c r="N33" s="11" t="str">
        <f t="shared" si="3"/>
        <v/>
      </c>
      <c r="P33" s="12" t="str">
        <f>IFERROR(INDEX($AM$11:$AM$4010,MATCH($S$8&amp;"|"&amp;23,$BA$11:$BA$4010,0)),"")</f>
        <v/>
      </c>
      <c r="Q33" s="11" t="str">
        <f>IF(P33="","",IFERROR(INDEX($AN$11:$AN$4010,MATCH($S$8&amp;"|"&amp;23,$BA$11:$BA$4010,0)),""))</f>
        <v/>
      </c>
      <c r="R33" s="11" t="str">
        <f>IF(P33="","",IFERROR(INDEX($AO$11:$AO$4010,MATCH($S$8&amp;"|"&amp;23,$BA$11:$BA$4010,0)),""))</f>
        <v/>
      </c>
      <c r="S33" s="10" t="str">
        <f>IF(P33="","",IFERROR(INDEX($AP$11:$AP$4010,MATCH($S$8&amp;"|"&amp;23,$BA$11:$BA$4010,0)),""))</f>
        <v/>
      </c>
      <c r="T33" s="10" t="str">
        <f>IF(P33="","",IFERROR(INDEX($AQ$11:$AQ$4010,MATCH($S$8&amp;"|"&amp;23,$BA$11:$BA$4010,0)),""))</f>
        <v/>
      </c>
      <c r="U33" s="39" t="str">
        <f t="shared" si="4"/>
        <v/>
      </c>
      <c r="W33" s="14" t="str">
        <f>IF(X33="","",IFERROR(INDEX($AL$11:$AL$4010,MATCH(23,$AY$11:$AY$4010,0)),""))</f>
        <v/>
      </c>
      <c r="X33" s="12" t="str">
        <f>IFERROR(INDEX($AM$11:$AM$4010,MATCH(23,$AY$11:$AY$4010,0)),"")</f>
        <v/>
      </c>
      <c r="Y33" s="11" t="str">
        <f>IF(X33="","",IFERROR(INDEX($AN$11:$AN$4010,MATCH(23,$AY$11:$AY$4010,0)),""))</f>
        <v/>
      </c>
      <c r="Z33" s="11" t="str">
        <f>IF(X33="","",IFERROR(INDEX($AO$11:$AO$4010,MATCH(23,$AY$11:$AY$4010,0)),""))</f>
        <v/>
      </c>
      <c r="AA33" s="10" t="str">
        <f>IF(X33="","",IFERROR(INDEX($AQ$11:$AQ$4010,MATCH(23,$AY$11:$AY$4010,0)),""))</f>
        <v/>
      </c>
      <c r="AB33" s="15" t="str">
        <f>IF(X33="","",IFERROR(INDEX($AR$11:$AR$4010,MATCH(23,$AY$11:$AY$4010,0)),""))</f>
        <v/>
      </c>
      <c r="AD33" s="16" t="str">
        <f>IF(AE33="","",IFERROR(INDEX($AL$11:$AL$4010,MATCH(23,$AZ$11:$AZ$4010,0)),""))</f>
        <v/>
      </c>
      <c r="AE33" s="12" t="str">
        <f>IFERROR(INDEX($AM$11:$AM$4010,MATCH(23,$AZ$11:$AZ$4010,0)),"")</f>
        <v/>
      </c>
      <c r="AF33" s="11" t="str">
        <f>IF(AE33="","",IFERROR(INDEX($AN$11:$AN$4010,MATCH(23,$AZ$11:$AZ$4010,0)),""))</f>
        <v/>
      </c>
      <c r="AG33" s="11" t="str">
        <f>IF(AE33="","",IFERROR(INDEX($AO$11:$AO$4010,MATCH(23,$AZ$11:$AZ$4010,0)),""))</f>
        <v/>
      </c>
      <c r="AH33" s="10" t="str">
        <f>IF(AE33="","",IFERROR(INDEX($AQ$11:$AQ$4010,MATCH(23,$AZ$11:$AZ$4010,0)),""))</f>
        <v/>
      </c>
      <c r="AI33" s="15" t="str">
        <f>IF(AE33="","",IFERROR(INDEX($AR$11:$AR$4010,MATCH(23,$AZ$11:$AZ$4010,0)),""))</f>
        <v/>
      </c>
      <c r="AJ33" s="15" t="str">
        <f>IF(AE33="","",IFERROR(INDEX($AT$11:$AT$4010,MATCH(23,$AZ$11:$AZ$4010,0)),""))</f>
        <v/>
      </c>
      <c r="AL33" s="17" t="str">
        <f t="shared" si="5"/>
        <v/>
      </c>
      <c r="AM33" s="12" t="str">
        <f t="shared" si="6"/>
        <v/>
      </c>
      <c r="AN33" s="18" t="str">
        <f t="shared" si="7"/>
        <v/>
      </c>
      <c r="AO33" s="18" t="str">
        <f t="shared" si="8"/>
        <v/>
      </c>
      <c r="AP33" s="10" t="str">
        <f t="shared" si="9"/>
        <v/>
      </c>
      <c r="AQ33" s="10" t="str">
        <f t="shared" si="10"/>
        <v/>
      </c>
      <c r="AR33" s="19" t="str">
        <f t="shared" si="11"/>
        <v/>
      </c>
      <c r="AS33" s="20"/>
      <c r="AT33" s="19"/>
      <c r="AV33" s="21">
        <f>IF(AND($AL33&lt;&gt;"",COUNTIF($AL$11:$AL33,$AL33)=1),1,0)</f>
        <v>0</v>
      </c>
      <c r="AW33" s="21">
        <f t="shared" si="13"/>
        <v>0</v>
      </c>
      <c r="AX33" s="21" t="str">
        <f t="shared" si="12"/>
        <v/>
      </c>
      <c r="AY33" s="21" t="str">
        <f>IF(AND($AM33&lt;&gt;"",$AS33&lt;&gt;"✓"),SUMPRODUCT(($AM$11:$AM33&lt;&gt;"")*($AS$11:$AS33&lt;&gt;"✓")),"")</f>
        <v/>
      </c>
      <c r="AZ33" s="21" t="str">
        <f>IF(AND($AM33&lt;&gt;"",$AS33="✓"),SUMPRODUCT(($AM$11:$AM33&lt;&gt;"")*($AS$11:$AS33="✓")),"")</f>
        <v/>
      </c>
      <c r="BA33" s="21" t="str">
        <f>IF($AL33="","",$AL33&amp;"|"&amp;COUNTIF($AL$11:$AL33,$AL33))</f>
        <v/>
      </c>
      <c r="BD33" s="36" t="str">
        <f>IF(IFERROR(INDEX($AM$11:$AM$4010,MATCH($S$8&amp;"|"&amp;21,$BA$11:$BA$4010,0)),"")="","",21)</f>
        <v/>
      </c>
      <c r="BE33" s="36" t="str">
        <f>IFERROR(INDEX($AM$11:$AM$4010,MATCH($S$8&amp;"|"&amp;21,$BA$11:$BA$4010,0)),"")</f>
        <v/>
      </c>
      <c r="BF33" s="36" t="str">
        <f>IFERROR(INDEX($AP$11:$AP$4010,MATCH($S$8&amp;"|"&amp;21,$BA$11:$BA$4010,0)),"")</f>
        <v/>
      </c>
      <c r="BG33" s="36" t="str">
        <f>IFERROR(INDEX($AQ$11:$AQ$4010,MATCH($S$8&amp;"|"&amp;21,$BA$11:$BA$4010,0)),"")</f>
        <v/>
      </c>
      <c r="BH33" s="37" t="str">
        <f>IFERROR(INDEX($AN$11:$AN$4010,MATCH($S$8&amp;"|"&amp;21,$BA$11:$BA$4010,0)),"")</f>
        <v/>
      </c>
      <c r="BI33" s="37" t="str">
        <f>IFERROR(INDEX($AO$11:$AO$4010,MATCH($S$8&amp;"|"&amp;21,$BA$11:$BA$4010,0)),"")</f>
        <v/>
      </c>
      <c r="BL33" s="36" t="str">
        <f>IF(IFERROR(INDEX($AM$11:$AM$4010,MATCH($S$8&amp;"|"&amp;21,$BA$11:$BA$4010,0)),"")="","",21)</f>
        <v/>
      </c>
      <c r="BM33" s="36" t="str">
        <f>IFERROR(INDEX($AM$11:$AM$4010,MATCH($S$8&amp;"|"&amp;21,$BA$11:$BA$4010,0)),"")</f>
        <v/>
      </c>
      <c r="BN33" s="36" t="str">
        <f>IFERROR(INDEX($AP$11:$AP$4010,MATCH($S$8&amp;"|"&amp;21,$BA$11:$BA$4010,0)),"")</f>
        <v/>
      </c>
      <c r="BO33" s="36" t="str">
        <f>IFERROR(INDEX($AQ$11:$AQ$4010,MATCH($S$8&amp;"|"&amp;21,$BA$11:$BA$4010,0)),"")</f>
        <v/>
      </c>
      <c r="BP33" s="37" t="str">
        <f>IFERROR(INDEX($AN$11:$AN$4010,MATCH($S$8&amp;"|"&amp;21,$BA$11:$BA$4010,0)),"")</f>
        <v/>
      </c>
      <c r="BQ33" s="37" t="str">
        <f>IFERROR(INDEX($AO$11:$AO$4010,MATCH($S$8&amp;"|"&amp;21,$BA$11:$BA$4010,0)),"")</f>
        <v/>
      </c>
    </row>
    <row r="34" spans="2:69" ht="13.5" customHeight="1" x14ac:dyDescent="0.25">
      <c r="B34" s="5" t="str">
        <f t="shared" si="0"/>
        <v/>
      </c>
      <c r="C34" s="5"/>
      <c r="D34" s="5"/>
      <c r="E34" s="5"/>
      <c r="F34" s="6"/>
      <c r="G34" s="6"/>
      <c r="H34" s="7"/>
      <c r="I34" s="8"/>
      <c r="K34" s="23" t="str">
        <f>IFERROR(INDEX($AL$11:$AL$4010,MATCH(24,$AX$11:$AX$4010,0)),"")</f>
        <v/>
      </c>
      <c r="L34" s="24" t="str">
        <f t="shared" si="1"/>
        <v/>
      </c>
      <c r="M34" s="25" t="str">
        <f t="shared" si="2"/>
        <v/>
      </c>
      <c r="N34" s="25" t="str">
        <f t="shared" si="3"/>
        <v/>
      </c>
      <c r="P34" s="26" t="str">
        <f>IFERROR(INDEX($AM$11:$AM$4010,MATCH($S$8&amp;"|"&amp;24,$BA$11:$BA$4010,0)),"")</f>
        <v/>
      </c>
      <c r="Q34" s="25" t="str">
        <f>IF(P34="","",IFERROR(INDEX($AN$11:$AN$4010,MATCH($S$8&amp;"|"&amp;24,$BA$11:$BA$4010,0)),""))</f>
        <v/>
      </c>
      <c r="R34" s="25" t="str">
        <f>IF(P34="","",IFERROR(INDEX($AO$11:$AO$4010,MATCH($S$8&amp;"|"&amp;24,$BA$11:$BA$4010,0)),""))</f>
        <v/>
      </c>
      <c r="S34" s="24" t="str">
        <f>IF(P34="","",IFERROR(INDEX($AP$11:$AP$4010,MATCH($S$8&amp;"|"&amp;24,$BA$11:$BA$4010,0)),""))</f>
        <v/>
      </c>
      <c r="T34" s="24" t="str">
        <f>IF(P34="","",IFERROR(INDEX($AQ$11:$AQ$4010,MATCH($S$8&amp;"|"&amp;24,$BA$11:$BA$4010,0)),""))</f>
        <v/>
      </c>
      <c r="U34" s="38" t="str">
        <f t="shared" si="4"/>
        <v/>
      </c>
      <c r="W34" s="28" t="str">
        <f>IF(X34="","",IFERROR(INDEX($AL$11:$AL$4010,MATCH(24,$AY$11:$AY$4010,0)),""))</f>
        <v/>
      </c>
      <c r="X34" s="26" t="str">
        <f>IFERROR(INDEX($AM$11:$AM$4010,MATCH(24,$AY$11:$AY$4010,0)),"")</f>
        <v/>
      </c>
      <c r="Y34" s="25" t="str">
        <f>IF(X34="","",IFERROR(INDEX($AN$11:$AN$4010,MATCH(24,$AY$11:$AY$4010,0)),""))</f>
        <v/>
      </c>
      <c r="Z34" s="25" t="str">
        <f>IF(X34="","",IFERROR(INDEX($AO$11:$AO$4010,MATCH(24,$AY$11:$AY$4010,0)),""))</f>
        <v/>
      </c>
      <c r="AA34" s="24" t="str">
        <f>IF(X34="","",IFERROR(INDEX($AQ$11:$AQ$4010,MATCH(24,$AY$11:$AY$4010,0)),""))</f>
        <v/>
      </c>
      <c r="AB34" s="29" t="str">
        <f>IF(X34="","",IFERROR(INDEX($AR$11:$AR$4010,MATCH(24,$AY$11:$AY$4010,0)),""))</f>
        <v/>
      </c>
      <c r="AD34" s="30" t="str">
        <f>IF(AE34="","",IFERROR(INDEX($AL$11:$AL$4010,MATCH(24,$AZ$11:$AZ$4010,0)),""))</f>
        <v/>
      </c>
      <c r="AE34" s="26" t="str">
        <f>IFERROR(INDEX($AM$11:$AM$4010,MATCH(24,$AZ$11:$AZ$4010,0)),"")</f>
        <v/>
      </c>
      <c r="AF34" s="25" t="str">
        <f>IF(AE34="","",IFERROR(INDEX($AN$11:$AN$4010,MATCH(24,$AZ$11:$AZ$4010,0)),""))</f>
        <v/>
      </c>
      <c r="AG34" s="25" t="str">
        <f>IF(AE34="","",IFERROR(INDEX($AO$11:$AO$4010,MATCH(24,$AZ$11:$AZ$4010,0)),""))</f>
        <v/>
      </c>
      <c r="AH34" s="24" t="str">
        <f>IF(AE34="","",IFERROR(INDEX($AQ$11:$AQ$4010,MATCH(24,$AZ$11:$AZ$4010,0)),""))</f>
        <v/>
      </c>
      <c r="AI34" s="29" t="str">
        <f>IF(AE34="","",IFERROR(INDEX($AR$11:$AR$4010,MATCH(24,$AZ$11:$AZ$4010,0)),""))</f>
        <v/>
      </c>
      <c r="AJ34" s="29" t="str">
        <f>IF(AE34="","",IFERROR(INDEX($AT$11:$AT$4010,MATCH(24,$AZ$11:$AZ$4010,0)),""))</f>
        <v/>
      </c>
      <c r="AL34" s="31" t="str">
        <f t="shared" si="5"/>
        <v/>
      </c>
      <c r="AM34" s="26" t="str">
        <f t="shared" si="6"/>
        <v/>
      </c>
      <c r="AN34" s="32" t="str">
        <f t="shared" si="7"/>
        <v/>
      </c>
      <c r="AO34" s="32" t="str">
        <f t="shared" si="8"/>
        <v/>
      </c>
      <c r="AP34" s="24" t="str">
        <f t="shared" si="9"/>
        <v/>
      </c>
      <c r="AQ34" s="24" t="str">
        <f t="shared" si="10"/>
        <v/>
      </c>
      <c r="AR34" s="33" t="str">
        <f t="shared" si="11"/>
        <v/>
      </c>
      <c r="AS34" s="34"/>
      <c r="AT34" s="33"/>
      <c r="AV34" s="21">
        <f>IF(AND($AL34&lt;&gt;"",COUNTIF($AL$11:$AL34,$AL34)=1),1,0)</f>
        <v>0</v>
      </c>
      <c r="AW34" s="21">
        <f t="shared" si="13"/>
        <v>0</v>
      </c>
      <c r="AX34" s="21" t="str">
        <f t="shared" si="12"/>
        <v/>
      </c>
      <c r="AY34" s="21" t="str">
        <f>IF(AND($AM34&lt;&gt;"",$AS34&lt;&gt;"✓"),SUMPRODUCT(($AM$11:$AM34&lt;&gt;"")*($AS$11:$AS34&lt;&gt;"✓")),"")</f>
        <v/>
      </c>
      <c r="AZ34" s="21" t="str">
        <f>IF(AND($AM34&lt;&gt;"",$AS34="✓"),SUMPRODUCT(($AM$11:$AM34&lt;&gt;"")*($AS$11:$AS34="✓")),"")</f>
        <v/>
      </c>
      <c r="BA34" s="21" t="str">
        <f>IF($AL34="","",$AL34&amp;"|"&amp;COUNTIF($AL$11:$AL34,$AL34))</f>
        <v/>
      </c>
      <c r="BD34" s="36" t="str">
        <f>IF(IFERROR(INDEX($AM$11:$AM$4010,MATCH($S$8&amp;"|"&amp;22,$BA$11:$BA$4010,0)),"")="","",22)</f>
        <v/>
      </c>
      <c r="BE34" s="36" t="str">
        <f>IFERROR(INDEX($AM$11:$AM$4010,MATCH($S$8&amp;"|"&amp;22,$BA$11:$BA$4010,0)),"")</f>
        <v/>
      </c>
      <c r="BF34" s="36" t="str">
        <f>IFERROR(INDEX($AP$11:$AP$4010,MATCH($S$8&amp;"|"&amp;22,$BA$11:$BA$4010,0)),"")</f>
        <v/>
      </c>
      <c r="BG34" s="36" t="str">
        <f>IFERROR(INDEX($AQ$11:$AQ$4010,MATCH($S$8&amp;"|"&amp;22,$BA$11:$BA$4010,0)),"")</f>
        <v/>
      </c>
      <c r="BH34" s="37" t="str">
        <f>IFERROR(INDEX($AN$11:$AN$4010,MATCH($S$8&amp;"|"&amp;22,$BA$11:$BA$4010,0)),"")</f>
        <v/>
      </c>
      <c r="BI34" s="37" t="str">
        <f>IFERROR(INDEX($AO$11:$AO$4010,MATCH($S$8&amp;"|"&amp;22,$BA$11:$BA$4010,0)),"")</f>
        <v/>
      </c>
      <c r="BL34" s="36" t="str">
        <f>IF(IFERROR(INDEX($AM$11:$AM$4010,MATCH($S$8&amp;"|"&amp;22,$BA$11:$BA$4010,0)),"")="","",22)</f>
        <v/>
      </c>
      <c r="BM34" s="36" t="str">
        <f>IFERROR(INDEX($AM$11:$AM$4010,MATCH($S$8&amp;"|"&amp;22,$BA$11:$BA$4010,0)),"")</f>
        <v/>
      </c>
      <c r="BN34" s="36" t="str">
        <f>IFERROR(INDEX($AP$11:$AP$4010,MATCH($S$8&amp;"|"&amp;22,$BA$11:$BA$4010,0)),"")</f>
        <v/>
      </c>
      <c r="BO34" s="36" t="str">
        <f>IFERROR(INDEX($AQ$11:$AQ$4010,MATCH($S$8&amp;"|"&amp;22,$BA$11:$BA$4010,0)),"")</f>
        <v/>
      </c>
      <c r="BP34" s="37" t="str">
        <f>IFERROR(INDEX($AN$11:$AN$4010,MATCH($S$8&amp;"|"&amp;22,$BA$11:$BA$4010,0)),"")</f>
        <v/>
      </c>
      <c r="BQ34" s="37" t="str">
        <f>IFERROR(INDEX($AO$11:$AO$4010,MATCH($S$8&amp;"|"&amp;22,$BA$11:$BA$4010,0)),"")</f>
        <v/>
      </c>
    </row>
    <row r="35" spans="2:69" ht="13.5" customHeight="1" x14ac:dyDescent="0.25">
      <c r="B35" s="5" t="str">
        <f t="shared" si="0"/>
        <v/>
      </c>
      <c r="C35" s="5"/>
      <c r="D35" s="5"/>
      <c r="E35" s="5"/>
      <c r="F35" s="6"/>
      <c r="G35" s="6"/>
      <c r="H35" s="7"/>
      <c r="I35" s="8"/>
      <c r="K35" s="9" t="str">
        <f>IFERROR(INDEX($AL$11:$AL$4010,MATCH(25,$AX$11:$AX$4010,0)),"")</f>
        <v/>
      </c>
      <c r="L35" s="10" t="str">
        <f t="shared" si="1"/>
        <v/>
      </c>
      <c r="M35" s="11" t="str">
        <f t="shared" si="2"/>
        <v/>
      </c>
      <c r="N35" s="11" t="str">
        <f t="shared" si="3"/>
        <v/>
      </c>
      <c r="P35" s="12" t="str">
        <f>IFERROR(INDEX($AM$11:$AM$4010,MATCH($S$8&amp;"|"&amp;25,$BA$11:$BA$4010,0)),"")</f>
        <v/>
      </c>
      <c r="Q35" s="11" t="str">
        <f>IF(P35="","",IFERROR(INDEX($AN$11:$AN$4010,MATCH($S$8&amp;"|"&amp;25,$BA$11:$BA$4010,0)),""))</f>
        <v/>
      </c>
      <c r="R35" s="11" t="str">
        <f>IF(P35="","",IFERROR(INDEX($AO$11:$AO$4010,MATCH($S$8&amp;"|"&amp;25,$BA$11:$BA$4010,0)),""))</f>
        <v/>
      </c>
      <c r="S35" s="10" t="str">
        <f>IF(P35="","",IFERROR(INDEX($AP$11:$AP$4010,MATCH($S$8&amp;"|"&amp;25,$BA$11:$BA$4010,0)),""))</f>
        <v/>
      </c>
      <c r="T35" s="10" t="str">
        <f>IF(P35="","",IFERROR(INDEX($AQ$11:$AQ$4010,MATCH($S$8&amp;"|"&amp;25,$BA$11:$BA$4010,0)),""))</f>
        <v/>
      </c>
      <c r="U35" s="39" t="str">
        <f t="shared" si="4"/>
        <v/>
      </c>
      <c r="W35" s="14" t="str">
        <f>IF(X35="","",IFERROR(INDEX($AL$11:$AL$4010,MATCH(25,$AY$11:$AY$4010,0)),""))</f>
        <v/>
      </c>
      <c r="X35" s="12" t="str">
        <f>IFERROR(INDEX($AM$11:$AM$4010,MATCH(25,$AY$11:$AY$4010,0)),"")</f>
        <v/>
      </c>
      <c r="Y35" s="11" t="str">
        <f>IF(X35="","",IFERROR(INDEX($AN$11:$AN$4010,MATCH(25,$AY$11:$AY$4010,0)),""))</f>
        <v/>
      </c>
      <c r="Z35" s="11" t="str">
        <f>IF(X35="","",IFERROR(INDEX($AO$11:$AO$4010,MATCH(25,$AY$11:$AY$4010,0)),""))</f>
        <v/>
      </c>
      <c r="AA35" s="10" t="str">
        <f>IF(X35="","",IFERROR(INDEX($AQ$11:$AQ$4010,MATCH(25,$AY$11:$AY$4010,0)),""))</f>
        <v/>
      </c>
      <c r="AB35" s="15" t="str">
        <f>IF(X35="","",IFERROR(INDEX($AR$11:$AR$4010,MATCH(25,$AY$11:$AY$4010,0)),""))</f>
        <v/>
      </c>
      <c r="AD35" s="16" t="str">
        <f>IF(AE35="","",IFERROR(INDEX($AL$11:$AL$4010,MATCH(25,$AZ$11:$AZ$4010,0)),""))</f>
        <v/>
      </c>
      <c r="AE35" s="12" t="str">
        <f>IFERROR(INDEX($AM$11:$AM$4010,MATCH(25,$AZ$11:$AZ$4010,0)),"")</f>
        <v/>
      </c>
      <c r="AF35" s="11" t="str">
        <f>IF(AE35="","",IFERROR(INDEX($AN$11:$AN$4010,MATCH(25,$AZ$11:$AZ$4010,0)),""))</f>
        <v/>
      </c>
      <c r="AG35" s="11" t="str">
        <f>IF(AE35="","",IFERROR(INDEX($AO$11:$AO$4010,MATCH(25,$AZ$11:$AZ$4010,0)),""))</f>
        <v/>
      </c>
      <c r="AH35" s="10" t="str">
        <f>IF(AE35="","",IFERROR(INDEX($AQ$11:$AQ$4010,MATCH(25,$AZ$11:$AZ$4010,0)),""))</f>
        <v/>
      </c>
      <c r="AI35" s="15" t="str">
        <f>IF(AE35="","",IFERROR(INDEX($AR$11:$AR$4010,MATCH(25,$AZ$11:$AZ$4010,0)),""))</f>
        <v/>
      </c>
      <c r="AJ35" s="15" t="str">
        <f>IF(AE35="","",IFERROR(INDEX($AT$11:$AT$4010,MATCH(25,$AZ$11:$AZ$4010,0)),""))</f>
        <v/>
      </c>
      <c r="AL35" s="17" t="str">
        <f t="shared" si="5"/>
        <v/>
      </c>
      <c r="AM35" s="12" t="str">
        <f t="shared" si="6"/>
        <v/>
      </c>
      <c r="AN35" s="18" t="str">
        <f t="shared" si="7"/>
        <v/>
      </c>
      <c r="AO35" s="18" t="str">
        <f t="shared" si="8"/>
        <v/>
      </c>
      <c r="AP35" s="10" t="str">
        <f t="shared" si="9"/>
        <v/>
      </c>
      <c r="AQ35" s="10" t="str">
        <f t="shared" si="10"/>
        <v/>
      </c>
      <c r="AR35" s="19" t="str">
        <f t="shared" si="11"/>
        <v/>
      </c>
      <c r="AS35" s="20"/>
      <c r="AT35" s="19"/>
      <c r="AV35" s="21">
        <f>IF(AND($AL35&lt;&gt;"",COUNTIF($AL$11:$AL35,$AL35)=1),1,0)</f>
        <v>0</v>
      </c>
      <c r="AW35" s="21">
        <f t="shared" si="13"/>
        <v>0</v>
      </c>
      <c r="AX35" s="21" t="str">
        <f t="shared" si="12"/>
        <v/>
      </c>
      <c r="AY35" s="21" t="str">
        <f>IF(AND($AM35&lt;&gt;"",$AS35&lt;&gt;"✓"),SUMPRODUCT(($AM$11:$AM35&lt;&gt;"")*($AS$11:$AS35&lt;&gt;"✓")),"")</f>
        <v/>
      </c>
      <c r="AZ35" s="21" t="str">
        <f>IF(AND($AM35&lt;&gt;"",$AS35="✓"),SUMPRODUCT(($AM$11:$AM35&lt;&gt;"")*($AS$11:$AS35="✓")),"")</f>
        <v/>
      </c>
      <c r="BA35" s="21" t="str">
        <f>IF($AL35="","",$AL35&amp;"|"&amp;COUNTIF($AL$11:$AL35,$AL35))</f>
        <v/>
      </c>
      <c r="BD35" s="36" t="str">
        <f>IF(IFERROR(INDEX($AM$11:$AM$4010,MATCH($S$8&amp;"|"&amp;23,$BA$11:$BA$4010,0)),"")="","",23)</f>
        <v/>
      </c>
      <c r="BE35" s="36" t="str">
        <f>IFERROR(INDEX($AM$11:$AM$4010,MATCH($S$8&amp;"|"&amp;23,$BA$11:$BA$4010,0)),"")</f>
        <v/>
      </c>
      <c r="BF35" s="36" t="str">
        <f>IFERROR(INDEX($AP$11:$AP$4010,MATCH($S$8&amp;"|"&amp;23,$BA$11:$BA$4010,0)),"")</f>
        <v/>
      </c>
      <c r="BG35" s="36" t="str">
        <f>IFERROR(INDEX($AQ$11:$AQ$4010,MATCH($S$8&amp;"|"&amp;23,$BA$11:$BA$4010,0)),"")</f>
        <v/>
      </c>
      <c r="BH35" s="37" t="str">
        <f>IFERROR(INDEX($AN$11:$AN$4010,MATCH($S$8&amp;"|"&amp;23,$BA$11:$BA$4010,0)),"")</f>
        <v/>
      </c>
      <c r="BI35" s="37" t="str">
        <f>IFERROR(INDEX($AO$11:$AO$4010,MATCH($S$8&amp;"|"&amp;23,$BA$11:$BA$4010,0)),"")</f>
        <v/>
      </c>
      <c r="BL35" s="36" t="str">
        <f>IF(IFERROR(INDEX($AM$11:$AM$4010,MATCH($S$8&amp;"|"&amp;23,$BA$11:$BA$4010,0)),"")="","",23)</f>
        <v/>
      </c>
      <c r="BM35" s="36" t="str">
        <f>IFERROR(INDEX($AM$11:$AM$4010,MATCH($S$8&amp;"|"&amp;23,$BA$11:$BA$4010,0)),"")</f>
        <v/>
      </c>
      <c r="BN35" s="36" t="str">
        <f>IFERROR(INDEX($AP$11:$AP$4010,MATCH($S$8&amp;"|"&amp;23,$BA$11:$BA$4010,0)),"")</f>
        <v/>
      </c>
      <c r="BO35" s="36" t="str">
        <f>IFERROR(INDEX($AQ$11:$AQ$4010,MATCH($S$8&amp;"|"&amp;23,$BA$11:$BA$4010,0)),"")</f>
        <v/>
      </c>
      <c r="BP35" s="37" t="str">
        <f>IFERROR(INDEX($AN$11:$AN$4010,MATCH($S$8&amp;"|"&amp;23,$BA$11:$BA$4010,0)),"")</f>
        <v/>
      </c>
      <c r="BQ35" s="37" t="str">
        <f>IFERROR(INDEX($AO$11:$AO$4010,MATCH($S$8&amp;"|"&amp;23,$BA$11:$BA$4010,0)),"")</f>
        <v/>
      </c>
    </row>
    <row r="36" spans="2:69" ht="13.5" customHeight="1" x14ac:dyDescent="0.25">
      <c r="B36" s="5" t="str">
        <f t="shared" si="0"/>
        <v/>
      </c>
      <c r="C36" s="5"/>
      <c r="D36" s="5"/>
      <c r="E36" s="5"/>
      <c r="F36" s="6"/>
      <c r="G36" s="6"/>
      <c r="H36" s="7"/>
      <c r="I36" s="8"/>
      <c r="K36" s="23" t="str">
        <f>IFERROR(INDEX($AL$11:$AL$4010,MATCH(26,$AX$11:$AX$4010,0)),"")</f>
        <v/>
      </c>
      <c r="L36" s="24" t="str">
        <f t="shared" si="1"/>
        <v/>
      </c>
      <c r="M36" s="25" t="str">
        <f t="shared" si="2"/>
        <v/>
      </c>
      <c r="N36" s="25" t="str">
        <f t="shared" si="3"/>
        <v/>
      </c>
      <c r="P36" s="26" t="str">
        <f>IFERROR(INDEX($AM$11:$AM$4010,MATCH($S$8&amp;"|"&amp;26,$BA$11:$BA$4010,0)),"")</f>
        <v/>
      </c>
      <c r="Q36" s="25" t="str">
        <f>IF(P36="","",IFERROR(INDEX($AN$11:$AN$4010,MATCH($S$8&amp;"|"&amp;26,$BA$11:$BA$4010,0)),""))</f>
        <v/>
      </c>
      <c r="R36" s="25" t="str">
        <f>IF(P36="","",IFERROR(INDEX($AO$11:$AO$4010,MATCH($S$8&amp;"|"&amp;26,$BA$11:$BA$4010,0)),""))</f>
        <v/>
      </c>
      <c r="S36" s="24" t="str">
        <f>IF(P36="","",IFERROR(INDEX($AP$11:$AP$4010,MATCH($S$8&amp;"|"&amp;26,$BA$11:$BA$4010,0)),""))</f>
        <v/>
      </c>
      <c r="T36" s="24" t="str">
        <f>IF(P36="","",IFERROR(INDEX($AQ$11:$AQ$4010,MATCH($S$8&amp;"|"&amp;26,$BA$11:$BA$4010,0)),""))</f>
        <v/>
      </c>
      <c r="U36" s="38" t="str">
        <f t="shared" si="4"/>
        <v/>
      </c>
      <c r="W36" s="28" t="str">
        <f>IF(X36="","",IFERROR(INDEX($AL$11:$AL$4010,MATCH(26,$AY$11:$AY$4010,0)),""))</f>
        <v/>
      </c>
      <c r="X36" s="26" t="str">
        <f>IFERROR(INDEX($AM$11:$AM$4010,MATCH(26,$AY$11:$AY$4010,0)),"")</f>
        <v/>
      </c>
      <c r="Y36" s="25" t="str">
        <f>IF(X36="","",IFERROR(INDEX($AN$11:$AN$4010,MATCH(26,$AY$11:$AY$4010,0)),""))</f>
        <v/>
      </c>
      <c r="Z36" s="25" t="str">
        <f>IF(X36="","",IFERROR(INDEX($AO$11:$AO$4010,MATCH(26,$AY$11:$AY$4010,0)),""))</f>
        <v/>
      </c>
      <c r="AA36" s="24" t="str">
        <f>IF(X36="","",IFERROR(INDEX($AQ$11:$AQ$4010,MATCH(26,$AY$11:$AY$4010,0)),""))</f>
        <v/>
      </c>
      <c r="AB36" s="29" t="str">
        <f>IF(X36="","",IFERROR(INDEX($AR$11:$AR$4010,MATCH(26,$AY$11:$AY$4010,0)),""))</f>
        <v/>
      </c>
      <c r="AD36" s="30" t="str">
        <f>IF(AE36="","",IFERROR(INDEX($AL$11:$AL$4010,MATCH(26,$AZ$11:$AZ$4010,0)),""))</f>
        <v/>
      </c>
      <c r="AE36" s="26" t="str">
        <f>IFERROR(INDEX($AM$11:$AM$4010,MATCH(26,$AZ$11:$AZ$4010,0)),"")</f>
        <v/>
      </c>
      <c r="AF36" s="25" t="str">
        <f>IF(AE36="","",IFERROR(INDEX($AN$11:$AN$4010,MATCH(26,$AZ$11:$AZ$4010,0)),""))</f>
        <v/>
      </c>
      <c r="AG36" s="25" t="str">
        <f>IF(AE36="","",IFERROR(INDEX($AO$11:$AO$4010,MATCH(26,$AZ$11:$AZ$4010,0)),""))</f>
        <v/>
      </c>
      <c r="AH36" s="24" t="str">
        <f>IF(AE36="","",IFERROR(INDEX($AQ$11:$AQ$4010,MATCH(26,$AZ$11:$AZ$4010,0)),""))</f>
        <v/>
      </c>
      <c r="AI36" s="29" t="str">
        <f>IF(AE36="","",IFERROR(INDEX($AR$11:$AR$4010,MATCH(26,$AZ$11:$AZ$4010,0)),""))</f>
        <v/>
      </c>
      <c r="AJ36" s="29" t="str">
        <f>IF(AE36="","",IFERROR(INDEX($AT$11:$AT$4010,MATCH(26,$AZ$11:$AZ$4010,0)),""))</f>
        <v/>
      </c>
      <c r="AL36" s="31" t="str">
        <f t="shared" si="5"/>
        <v/>
      </c>
      <c r="AM36" s="26" t="str">
        <f t="shared" si="6"/>
        <v/>
      </c>
      <c r="AN36" s="32" t="str">
        <f t="shared" si="7"/>
        <v/>
      </c>
      <c r="AO36" s="32" t="str">
        <f t="shared" si="8"/>
        <v/>
      </c>
      <c r="AP36" s="24" t="str">
        <f t="shared" si="9"/>
        <v/>
      </c>
      <c r="AQ36" s="24" t="str">
        <f t="shared" si="10"/>
        <v/>
      </c>
      <c r="AR36" s="33" t="str">
        <f t="shared" si="11"/>
        <v/>
      </c>
      <c r="AS36" s="34"/>
      <c r="AT36" s="33"/>
      <c r="AV36" s="21">
        <f>IF(AND($AL36&lt;&gt;"",COUNTIF($AL$11:$AL36,$AL36)=1),1,0)</f>
        <v>0</v>
      </c>
      <c r="AW36" s="21">
        <f t="shared" si="13"/>
        <v>0</v>
      </c>
      <c r="AX36" s="21" t="str">
        <f t="shared" si="12"/>
        <v/>
      </c>
      <c r="AY36" s="21" t="str">
        <f>IF(AND($AM36&lt;&gt;"",$AS36&lt;&gt;"✓"),SUMPRODUCT(($AM$11:$AM36&lt;&gt;"")*($AS$11:$AS36&lt;&gt;"✓")),"")</f>
        <v/>
      </c>
      <c r="AZ36" s="21" t="str">
        <f>IF(AND($AM36&lt;&gt;"",$AS36="✓"),SUMPRODUCT(($AM$11:$AM36&lt;&gt;"")*($AS$11:$AS36="✓")),"")</f>
        <v/>
      </c>
      <c r="BA36" s="21" t="str">
        <f>IF($AL36="","",$AL36&amp;"|"&amp;COUNTIF($AL$11:$AL36,$AL36))</f>
        <v/>
      </c>
      <c r="BD36" s="36" t="str">
        <f>IF(IFERROR(INDEX($AM$11:$AM$4010,MATCH($S$8&amp;"|"&amp;24,$BA$11:$BA$4010,0)),"")="","",24)</f>
        <v/>
      </c>
      <c r="BE36" s="36" t="str">
        <f>IFERROR(INDEX($AM$11:$AM$4010,MATCH($S$8&amp;"|"&amp;24,$BA$11:$BA$4010,0)),"")</f>
        <v/>
      </c>
      <c r="BF36" s="36" t="str">
        <f>IFERROR(INDEX($AP$11:$AP$4010,MATCH($S$8&amp;"|"&amp;24,$BA$11:$BA$4010,0)),"")</f>
        <v/>
      </c>
      <c r="BG36" s="36" t="str">
        <f>IFERROR(INDEX($AQ$11:$AQ$4010,MATCH($S$8&amp;"|"&amp;24,$BA$11:$BA$4010,0)),"")</f>
        <v/>
      </c>
      <c r="BH36" s="37" t="str">
        <f>IFERROR(INDEX($AN$11:$AN$4010,MATCH($S$8&amp;"|"&amp;24,$BA$11:$BA$4010,0)),"")</f>
        <v/>
      </c>
      <c r="BI36" s="37" t="str">
        <f>IFERROR(INDEX($AO$11:$AO$4010,MATCH($S$8&amp;"|"&amp;24,$BA$11:$BA$4010,0)),"")</f>
        <v/>
      </c>
      <c r="BL36" s="36" t="str">
        <f>IF(IFERROR(INDEX($AM$11:$AM$4010,MATCH($S$8&amp;"|"&amp;24,$BA$11:$BA$4010,0)),"")="","",24)</f>
        <v/>
      </c>
      <c r="BM36" s="36" t="str">
        <f>IFERROR(INDEX($AM$11:$AM$4010,MATCH($S$8&amp;"|"&amp;24,$BA$11:$BA$4010,0)),"")</f>
        <v/>
      </c>
      <c r="BN36" s="36" t="str">
        <f>IFERROR(INDEX($AP$11:$AP$4010,MATCH($S$8&amp;"|"&amp;24,$BA$11:$BA$4010,0)),"")</f>
        <v/>
      </c>
      <c r="BO36" s="36" t="str">
        <f>IFERROR(INDEX($AQ$11:$AQ$4010,MATCH($S$8&amp;"|"&amp;24,$BA$11:$BA$4010,0)),"")</f>
        <v/>
      </c>
      <c r="BP36" s="37" t="str">
        <f>IFERROR(INDEX($AN$11:$AN$4010,MATCH($S$8&amp;"|"&amp;24,$BA$11:$BA$4010,0)),"")</f>
        <v/>
      </c>
      <c r="BQ36" s="37" t="str">
        <f>IFERROR(INDEX($AO$11:$AO$4010,MATCH($S$8&amp;"|"&amp;24,$BA$11:$BA$4010,0)),"")</f>
        <v/>
      </c>
    </row>
    <row r="37" spans="2:69" ht="13.5" customHeight="1" x14ac:dyDescent="0.25">
      <c r="B37" s="5" t="str">
        <f t="shared" si="0"/>
        <v/>
      </c>
      <c r="C37" s="5"/>
      <c r="D37" s="5"/>
      <c r="E37" s="5"/>
      <c r="F37" s="6"/>
      <c r="G37" s="6"/>
      <c r="H37" s="7"/>
      <c r="I37" s="8"/>
      <c r="K37" s="9" t="str">
        <f>IFERROR(INDEX($AL$11:$AL$4010,MATCH(27,$AX$11:$AX$4010,0)),"")</f>
        <v/>
      </c>
      <c r="L37" s="10" t="str">
        <f t="shared" si="1"/>
        <v/>
      </c>
      <c r="M37" s="11" t="str">
        <f t="shared" si="2"/>
        <v/>
      </c>
      <c r="N37" s="11" t="str">
        <f t="shared" si="3"/>
        <v/>
      </c>
      <c r="P37" s="12" t="str">
        <f>IFERROR(INDEX($AM$11:$AM$4010,MATCH($S$8&amp;"|"&amp;27,$BA$11:$BA$4010,0)),"")</f>
        <v/>
      </c>
      <c r="Q37" s="11" t="str">
        <f>IF(P37="","",IFERROR(INDEX($AN$11:$AN$4010,MATCH($S$8&amp;"|"&amp;27,$BA$11:$BA$4010,0)),""))</f>
        <v/>
      </c>
      <c r="R37" s="11" t="str">
        <f>IF(P37="","",IFERROR(INDEX($AO$11:$AO$4010,MATCH($S$8&amp;"|"&amp;27,$BA$11:$BA$4010,0)),""))</f>
        <v/>
      </c>
      <c r="S37" s="10" t="str">
        <f>IF(P37="","",IFERROR(INDEX($AP$11:$AP$4010,MATCH($S$8&amp;"|"&amp;27,$BA$11:$BA$4010,0)),""))</f>
        <v/>
      </c>
      <c r="T37" s="10" t="str">
        <f>IF(P37="","",IFERROR(INDEX($AQ$11:$AQ$4010,MATCH($S$8&amp;"|"&amp;27,$BA$11:$BA$4010,0)),""))</f>
        <v/>
      </c>
      <c r="U37" s="39" t="str">
        <f t="shared" si="4"/>
        <v/>
      </c>
      <c r="W37" s="14" t="str">
        <f>IF(X37="","",IFERROR(INDEX($AL$11:$AL$4010,MATCH(27,$AY$11:$AY$4010,0)),""))</f>
        <v/>
      </c>
      <c r="X37" s="12" t="str">
        <f>IFERROR(INDEX($AM$11:$AM$4010,MATCH(27,$AY$11:$AY$4010,0)),"")</f>
        <v/>
      </c>
      <c r="Y37" s="11" t="str">
        <f>IF(X37="","",IFERROR(INDEX($AN$11:$AN$4010,MATCH(27,$AY$11:$AY$4010,0)),""))</f>
        <v/>
      </c>
      <c r="Z37" s="11" t="str">
        <f>IF(X37="","",IFERROR(INDEX($AO$11:$AO$4010,MATCH(27,$AY$11:$AY$4010,0)),""))</f>
        <v/>
      </c>
      <c r="AA37" s="10" t="str">
        <f>IF(X37="","",IFERROR(INDEX($AQ$11:$AQ$4010,MATCH(27,$AY$11:$AY$4010,0)),""))</f>
        <v/>
      </c>
      <c r="AB37" s="15" t="str">
        <f>IF(X37="","",IFERROR(INDEX($AR$11:$AR$4010,MATCH(27,$AY$11:$AY$4010,0)),""))</f>
        <v/>
      </c>
      <c r="AD37" s="16" t="str">
        <f>IF(AE37="","",IFERROR(INDEX($AL$11:$AL$4010,MATCH(27,$AZ$11:$AZ$4010,0)),""))</f>
        <v/>
      </c>
      <c r="AE37" s="12" t="str">
        <f>IFERROR(INDEX($AM$11:$AM$4010,MATCH(27,$AZ$11:$AZ$4010,0)),"")</f>
        <v/>
      </c>
      <c r="AF37" s="11" t="str">
        <f>IF(AE37="","",IFERROR(INDEX($AN$11:$AN$4010,MATCH(27,$AZ$11:$AZ$4010,0)),""))</f>
        <v/>
      </c>
      <c r="AG37" s="11" t="str">
        <f>IF(AE37="","",IFERROR(INDEX($AO$11:$AO$4010,MATCH(27,$AZ$11:$AZ$4010,0)),""))</f>
        <v/>
      </c>
      <c r="AH37" s="10" t="str">
        <f>IF(AE37="","",IFERROR(INDEX($AQ$11:$AQ$4010,MATCH(27,$AZ$11:$AZ$4010,0)),""))</f>
        <v/>
      </c>
      <c r="AI37" s="15" t="str">
        <f>IF(AE37="","",IFERROR(INDEX($AR$11:$AR$4010,MATCH(27,$AZ$11:$AZ$4010,0)),""))</f>
        <v/>
      </c>
      <c r="AJ37" s="15" t="str">
        <f>IF(AE37="","",IFERROR(INDEX($AT$11:$AT$4010,MATCH(27,$AZ$11:$AZ$4010,0)),""))</f>
        <v/>
      </c>
      <c r="AL37" s="17" t="str">
        <f t="shared" si="5"/>
        <v/>
      </c>
      <c r="AM37" s="12" t="str">
        <f t="shared" si="6"/>
        <v/>
      </c>
      <c r="AN37" s="18" t="str">
        <f t="shared" si="7"/>
        <v/>
      </c>
      <c r="AO37" s="18" t="str">
        <f t="shared" si="8"/>
        <v/>
      </c>
      <c r="AP37" s="10" t="str">
        <f t="shared" si="9"/>
        <v/>
      </c>
      <c r="AQ37" s="10" t="str">
        <f t="shared" si="10"/>
        <v/>
      </c>
      <c r="AR37" s="19" t="str">
        <f t="shared" si="11"/>
        <v/>
      </c>
      <c r="AS37" s="20"/>
      <c r="AT37" s="19"/>
      <c r="AV37" s="21">
        <f>IF(AND($AL37&lt;&gt;"",COUNTIF($AL$11:$AL37,$AL37)=1),1,0)</f>
        <v>0</v>
      </c>
      <c r="AW37" s="21">
        <f t="shared" si="13"/>
        <v>0</v>
      </c>
      <c r="AX37" s="21" t="str">
        <f t="shared" si="12"/>
        <v/>
      </c>
      <c r="AY37" s="21" t="str">
        <f>IF(AND($AM37&lt;&gt;"",$AS37&lt;&gt;"✓"),SUMPRODUCT(($AM$11:$AM37&lt;&gt;"")*($AS$11:$AS37&lt;&gt;"✓")),"")</f>
        <v/>
      </c>
      <c r="AZ37" s="21" t="str">
        <f>IF(AND($AM37&lt;&gt;"",$AS37="✓"),SUMPRODUCT(($AM$11:$AM37&lt;&gt;"")*($AS$11:$AS37="✓")),"")</f>
        <v/>
      </c>
      <c r="BA37" s="21" t="str">
        <f>IF($AL37="","",$AL37&amp;"|"&amp;COUNTIF($AL$11:$AL37,$AL37))</f>
        <v/>
      </c>
      <c r="BD37" s="36" t="str">
        <f>IF(IFERROR(INDEX($AM$11:$AM$4010,MATCH($S$8&amp;"|"&amp;25,$BA$11:$BA$4010,0)),"")="","",25)</f>
        <v/>
      </c>
      <c r="BE37" s="36" t="str">
        <f>IFERROR(INDEX($AM$11:$AM$4010,MATCH($S$8&amp;"|"&amp;25,$BA$11:$BA$4010,0)),"")</f>
        <v/>
      </c>
      <c r="BF37" s="36" t="str">
        <f>IFERROR(INDEX($AP$11:$AP$4010,MATCH($S$8&amp;"|"&amp;25,$BA$11:$BA$4010,0)),"")</f>
        <v/>
      </c>
      <c r="BG37" s="36" t="str">
        <f>IFERROR(INDEX($AQ$11:$AQ$4010,MATCH($S$8&amp;"|"&amp;25,$BA$11:$BA$4010,0)),"")</f>
        <v/>
      </c>
      <c r="BH37" s="37" t="str">
        <f>IFERROR(INDEX($AN$11:$AN$4010,MATCH($S$8&amp;"|"&amp;25,$BA$11:$BA$4010,0)),"")</f>
        <v/>
      </c>
      <c r="BI37" s="37" t="str">
        <f>IFERROR(INDEX($AO$11:$AO$4010,MATCH($S$8&amp;"|"&amp;25,$BA$11:$BA$4010,0)),"")</f>
        <v/>
      </c>
      <c r="BL37" s="36" t="str">
        <f>IF(IFERROR(INDEX($AM$11:$AM$4010,MATCH($S$8&amp;"|"&amp;25,$BA$11:$BA$4010,0)),"")="","",25)</f>
        <v/>
      </c>
      <c r="BM37" s="36" t="str">
        <f>IFERROR(INDEX($AM$11:$AM$4010,MATCH($S$8&amp;"|"&amp;25,$BA$11:$BA$4010,0)),"")</f>
        <v/>
      </c>
      <c r="BN37" s="36" t="str">
        <f>IFERROR(INDEX($AP$11:$AP$4010,MATCH($S$8&amp;"|"&amp;25,$BA$11:$BA$4010,0)),"")</f>
        <v/>
      </c>
      <c r="BO37" s="36" t="str">
        <f>IFERROR(INDEX($AQ$11:$AQ$4010,MATCH($S$8&amp;"|"&amp;25,$BA$11:$BA$4010,0)),"")</f>
        <v/>
      </c>
      <c r="BP37" s="37" t="str">
        <f>IFERROR(INDEX($AN$11:$AN$4010,MATCH($S$8&amp;"|"&amp;25,$BA$11:$BA$4010,0)),"")</f>
        <v/>
      </c>
      <c r="BQ37" s="37" t="str">
        <f>IFERROR(INDEX($AO$11:$AO$4010,MATCH($S$8&amp;"|"&amp;25,$BA$11:$BA$4010,0)),"")</f>
        <v/>
      </c>
    </row>
    <row r="38" spans="2:69" ht="13.5" customHeight="1" x14ac:dyDescent="0.25">
      <c r="B38" s="5" t="str">
        <f t="shared" si="0"/>
        <v/>
      </c>
      <c r="C38" s="5"/>
      <c r="D38" s="5"/>
      <c r="E38" s="5"/>
      <c r="F38" s="6"/>
      <c r="G38" s="6"/>
      <c r="H38" s="7"/>
      <c r="I38" s="8"/>
      <c r="K38" s="23" t="str">
        <f>IFERROR(INDEX($AL$11:$AL$4010,MATCH(28,$AX$11:$AX$4010,0)),"")</f>
        <v/>
      </c>
      <c r="L38" s="24" t="str">
        <f t="shared" si="1"/>
        <v/>
      </c>
      <c r="M38" s="25" t="str">
        <f t="shared" si="2"/>
        <v/>
      </c>
      <c r="N38" s="25" t="str">
        <f t="shared" si="3"/>
        <v/>
      </c>
      <c r="P38" s="26" t="str">
        <f>IFERROR(INDEX($AM$11:$AM$4010,MATCH($S$8&amp;"|"&amp;28,$BA$11:$BA$4010,0)),"")</f>
        <v/>
      </c>
      <c r="Q38" s="25" t="str">
        <f>IF(P38="","",IFERROR(INDEX($AN$11:$AN$4010,MATCH($S$8&amp;"|"&amp;28,$BA$11:$BA$4010,0)),""))</f>
        <v/>
      </c>
      <c r="R38" s="25" t="str">
        <f>IF(P38="","",IFERROR(INDEX($AO$11:$AO$4010,MATCH($S$8&amp;"|"&amp;28,$BA$11:$BA$4010,0)),""))</f>
        <v/>
      </c>
      <c r="S38" s="24" t="str">
        <f>IF(P38="","",IFERROR(INDEX($AP$11:$AP$4010,MATCH($S$8&amp;"|"&amp;28,$BA$11:$BA$4010,0)),""))</f>
        <v/>
      </c>
      <c r="T38" s="24" t="str">
        <f>IF(P38="","",IFERROR(INDEX($AQ$11:$AQ$4010,MATCH($S$8&amp;"|"&amp;28,$BA$11:$BA$4010,0)),""))</f>
        <v/>
      </c>
      <c r="U38" s="38" t="str">
        <f t="shared" si="4"/>
        <v/>
      </c>
      <c r="W38" s="28" t="str">
        <f>IF(X38="","",IFERROR(INDEX($AL$11:$AL$4010,MATCH(28,$AY$11:$AY$4010,0)),""))</f>
        <v/>
      </c>
      <c r="X38" s="26" t="str">
        <f>IFERROR(INDEX($AM$11:$AM$4010,MATCH(28,$AY$11:$AY$4010,0)),"")</f>
        <v/>
      </c>
      <c r="Y38" s="25" t="str">
        <f>IF(X38="","",IFERROR(INDEX($AN$11:$AN$4010,MATCH(28,$AY$11:$AY$4010,0)),""))</f>
        <v/>
      </c>
      <c r="Z38" s="25" t="str">
        <f>IF(X38="","",IFERROR(INDEX($AO$11:$AO$4010,MATCH(28,$AY$11:$AY$4010,0)),""))</f>
        <v/>
      </c>
      <c r="AA38" s="24" t="str">
        <f>IF(X38="","",IFERROR(INDEX($AQ$11:$AQ$4010,MATCH(28,$AY$11:$AY$4010,0)),""))</f>
        <v/>
      </c>
      <c r="AB38" s="29" t="str">
        <f>IF(X38="","",IFERROR(INDEX($AR$11:$AR$4010,MATCH(28,$AY$11:$AY$4010,0)),""))</f>
        <v/>
      </c>
      <c r="AD38" s="30" t="str">
        <f>IF(AE38="","",IFERROR(INDEX($AL$11:$AL$4010,MATCH(28,$AZ$11:$AZ$4010,0)),""))</f>
        <v/>
      </c>
      <c r="AE38" s="26" t="str">
        <f>IFERROR(INDEX($AM$11:$AM$4010,MATCH(28,$AZ$11:$AZ$4010,0)),"")</f>
        <v/>
      </c>
      <c r="AF38" s="25" t="str">
        <f>IF(AE38="","",IFERROR(INDEX($AN$11:$AN$4010,MATCH(28,$AZ$11:$AZ$4010,0)),""))</f>
        <v/>
      </c>
      <c r="AG38" s="25" t="str">
        <f>IF(AE38="","",IFERROR(INDEX($AO$11:$AO$4010,MATCH(28,$AZ$11:$AZ$4010,0)),""))</f>
        <v/>
      </c>
      <c r="AH38" s="24" t="str">
        <f>IF(AE38="","",IFERROR(INDEX($AQ$11:$AQ$4010,MATCH(28,$AZ$11:$AZ$4010,0)),""))</f>
        <v/>
      </c>
      <c r="AI38" s="29" t="str">
        <f>IF(AE38="","",IFERROR(INDEX($AR$11:$AR$4010,MATCH(28,$AZ$11:$AZ$4010,0)),""))</f>
        <v/>
      </c>
      <c r="AJ38" s="29" t="str">
        <f>IF(AE38="","",IFERROR(INDEX($AT$11:$AT$4010,MATCH(28,$AZ$11:$AZ$4010,0)),""))</f>
        <v/>
      </c>
      <c r="AL38" s="31" t="str">
        <f t="shared" si="5"/>
        <v/>
      </c>
      <c r="AM38" s="26" t="str">
        <f t="shared" si="6"/>
        <v/>
      </c>
      <c r="AN38" s="32" t="str">
        <f t="shared" si="7"/>
        <v/>
      </c>
      <c r="AO38" s="32" t="str">
        <f t="shared" si="8"/>
        <v/>
      </c>
      <c r="AP38" s="24" t="str">
        <f t="shared" si="9"/>
        <v/>
      </c>
      <c r="AQ38" s="24" t="str">
        <f t="shared" si="10"/>
        <v/>
      </c>
      <c r="AR38" s="33" t="str">
        <f t="shared" si="11"/>
        <v/>
      </c>
      <c r="AS38" s="34"/>
      <c r="AT38" s="33"/>
      <c r="AV38" s="21">
        <f>IF(AND($AL38&lt;&gt;"",COUNTIF($AL$11:$AL38,$AL38)=1),1,0)</f>
        <v>0</v>
      </c>
      <c r="AW38" s="21">
        <f t="shared" si="13"/>
        <v>0</v>
      </c>
      <c r="AX38" s="21" t="str">
        <f t="shared" si="12"/>
        <v/>
      </c>
      <c r="AY38" s="21" t="str">
        <f>IF(AND($AM38&lt;&gt;"",$AS38&lt;&gt;"✓"),SUMPRODUCT(($AM$11:$AM38&lt;&gt;"")*($AS$11:$AS38&lt;&gt;"✓")),"")</f>
        <v/>
      </c>
      <c r="AZ38" s="21" t="str">
        <f>IF(AND($AM38&lt;&gt;"",$AS38="✓"),SUMPRODUCT(($AM$11:$AM38&lt;&gt;"")*($AS$11:$AS38="✓")),"")</f>
        <v/>
      </c>
      <c r="BA38" s="21" t="str">
        <f>IF($AL38="","",$AL38&amp;"|"&amp;COUNTIF($AL$11:$AL38,$AL38))</f>
        <v/>
      </c>
      <c r="BD38" s="36" t="str">
        <f>IF(IFERROR(INDEX($AM$11:$AM$4010,MATCH($S$8&amp;"|"&amp;26,$BA$11:$BA$4010,0)),"")="","",26)</f>
        <v/>
      </c>
      <c r="BE38" s="36" t="str">
        <f>IFERROR(INDEX($AM$11:$AM$4010,MATCH($S$8&amp;"|"&amp;26,$BA$11:$BA$4010,0)),"")</f>
        <v/>
      </c>
      <c r="BF38" s="36" t="str">
        <f>IFERROR(INDEX($AP$11:$AP$4010,MATCH($S$8&amp;"|"&amp;26,$BA$11:$BA$4010,0)),"")</f>
        <v/>
      </c>
      <c r="BG38" s="36" t="str">
        <f>IFERROR(INDEX($AQ$11:$AQ$4010,MATCH($S$8&amp;"|"&amp;26,$BA$11:$BA$4010,0)),"")</f>
        <v/>
      </c>
      <c r="BH38" s="37" t="str">
        <f>IFERROR(INDEX($AN$11:$AN$4010,MATCH($S$8&amp;"|"&amp;26,$BA$11:$BA$4010,0)),"")</f>
        <v/>
      </c>
      <c r="BI38" s="37" t="str">
        <f>IFERROR(INDEX($AO$11:$AO$4010,MATCH($S$8&amp;"|"&amp;26,$BA$11:$BA$4010,0)),"")</f>
        <v/>
      </c>
      <c r="BL38" s="36" t="str">
        <f>IF(IFERROR(INDEX($AM$11:$AM$4010,MATCH($S$8&amp;"|"&amp;26,$BA$11:$BA$4010,0)),"")="","",26)</f>
        <v/>
      </c>
      <c r="BM38" s="36" t="str">
        <f>IFERROR(INDEX($AM$11:$AM$4010,MATCH($S$8&amp;"|"&amp;26,$BA$11:$BA$4010,0)),"")</f>
        <v/>
      </c>
      <c r="BN38" s="36" t="str">
        <f>IFERROR(INDEX($AP$11:$AP$4010,MATCH($S$8&amp;"|"&amp;26,$BA$11:$BA$4010,0)),"")</f>
        <v/>
      </c>
      <c r="BO38" s="36" t="str">
        <f>IFERROR(INDEX($AQ$11:$AQ$4010,MATCH($S$8&amp;"|"&amp;26,$BA$11:$BA$4010,0)),"")</f>
        <v/>
      </c>
      <c r="BP38" s="37" t="str">
        <f>IFERROR(INDEX($AN$11:$AN$4010,MATCH($S$8&amp;"|"&amp;26,$BA$11:$BA$4010,0)),"")</f>
        <v/>
      </c>
      <c r="BQ38" s="37" t="str">
        <f>IFERROR(INDEX($AO$11:$AO$4010,MATCH($S$8&amp;"|"&amp;26,$BA$11:$BA$4010,0)),"")</f>
        <v/>
      </c>
    </row>
    <row r="39" spans="2:69" ht="13.5" customHeight="1" x14ac:dyDescent="0.25">
      <c r="B39" s="5" t="str">
        <f t="shared" si="0"/>
        <v/>
      </c>
      <c r="C39" s="5"/>
      <c r="D39" s="5"/>
      <c r="E39" s="5"/>
      <c r="F39" s="6"/>
      <c r="G39" s="6"/>
      <c r="H39" s="7"/>
      <c r="I39" s="8"/>
      <c r="K39" s="9" t="str">
        <f>IFERROR(INDEX($AL$11:$AL$4010,MATCH(29,$AX$11:$AX$4010,0)),"")</f>
        <v/>
      </c>
      <c r="L39" s="10" t="str">
        <f t="shared" si="1"/>
        <v/>
      </c>
      <c r="M39" s="11" t="str">
        <f t="shared" si="2"/>
        <v/>
      </c>
      <c r="N39" s="11" t="str">
        <f t="shared" si="3"/>
        <v/>
      </c>
      <c r="P39" s="12" t="str">
        <f>IFERROR(INDEX($AM$11:$AM$4010,MATCH($S$8&amp;"|"&amp;29,$BA$11:$BA$4010,0)),"")</f>
        <v/>
      </c>
      <c r="Q39" s="11" t="str">
        <f>IF(P39="","",IFERROR(INDEX($AN$11:$AN$4010,MATCH($S$8&amp;"|"&amp;29,$BA$11:$BA$4010,0)),""))</f>
        <v/>
      </c>
      <c r="R39" s="11" t="str">
        <f>IF(P39="","",IFERROR(INDEX($AO$11:$AO$4010,MATCH($S$8&amp;"|"&amp;29,$BA$11:$BA$4010,0)),""))</f>
        <v/>
      </c>
      <c r="S39" s="10" t="str">
        <f>IF(P39="","",IFERROR(INDEX($AP$11:$AP$4010,MATCH($S$8&amp;"|"&amp;29,$BA$11:$BA$4010,0)),""))</f>
        <v/>
      </c>
      <c r="T39" s="10" t="str">
        <f>IF(P39="","",IFERROR(INDEX($AQ$11:$AQ$4010,MATCH($S$8&amp;"|"&amp;29,$BA$11:$BA$4010,0)),""))</f>
        <v/>
      </c>
      <c r="U39" s="39" t="str">
        <f t="shared" si="4"/>
        <v/>
      </c>
      <c r="W39" s="14" t="str">
        <f>IF(X39="","",IFERROR(INDEX($AL$11:$AL$4010,MATCH(29,$AY$11:$AY$4010,0)),""))</f>
        <v/>
      </c>
      <c r="X39" s="12" t="str">
        <f>IFERROR(INDEX($AM$11:$AM$4010,MATCH(29,$AY$11:$AY$4010,0)),"")</f>
        <v/>
      </c>
      <c r="Y39" s="11" t="str">
        <f>IF(X39="","",IFERROR(INDEX($AN$11:$AN$4010,MATCH(29,$AY$11:$AY$4010,0)),""))</f>
        <v/>
      </c>
      <c r="Z39" s="11" t="str">
        <f>IF(X39="","",IFERROR(INDEX($AO$11:$AO$4010,MATCH(29,$AY$11:$AY$4010,0)),""))</f>
        <v/>
      </c>
      <c r="AA39" s="10" t="str">
        <f>IF(X39="","",IFERROR(INDEX($AQ$11:$AQ$4010,MATCH(29,$AY$11:$AY$4010,0)),""))</f>
        <v/>
      </c>
      <c r="AB39" s="15" t="str">
        <f>IF(X39="","",IFERROR(INDEX($AR$11:$AR$4010,MATCH(29,$AY$11:$AY$4010,0)),""))</f>
        <v/>
      </c>
      <c r="AD39" s="16" t="str">
        <f>IF(AE39="","",IFERROR(INDEX($AL$11:$AL$4010,MATCH(29,$AZ$11:$AZ$4010,0)),""))</f>
        <v/>
      </c>
      <c r="AE39" s="12" t="str">
        <f>IFERROR(INDEX($AM$11:$AM$4010,MATCH(29,$AZ$11:$AZ$4010,0)),"")</f>
        <v/>
      </c>
      <c r="AF39" s="11" t="str">
        <f>IF(AE39="","",IFERROR(INDEX($AN$11:$AN$4010,MATCH(29,$AZ$11:$AZ$4010,0)),""))</f>
        <v/>
      </c>
      <c r="AG39" s="11" t="str">
        <f>IF(AE39="","",IFERROR(INDEX($AO$11:$AO$4010,MATCH(29,$AZ$11:$AZ$4010,0)),""))</f>
        <v/>
      </c>
      <c r="AH39" s="10" t="str">
        <f>IF(AE39="","",IFERROR(INDEX($AQ$11:$AQ$4010,MATCH(29,$AZ$11:$AZ$4010,0)),""))</f>
        <v/>
      </c>
      <c r="AI39" s="15" t="str">
        <f>IF(AE39="","",IFERROR(INDEX($AR$11:$AR$4010,MATCH(29,$AZ$11:$AZ$4010,0)),""))</f>
        <v/>
      </c>
      <c r="AJ39" s="15" t="str">
        <f>IF(AE39="","",IFERROR(INDEX($AT$11:$AT$4010,MATCH(29,$AZ$11:$AZ$4010,0)),""))</f>
        <v/>
      </c>
      <c r="AL39" s="17" t="str">
        <f t="shared" si="5"/>
        <v/>
      </c>
      <c r="AM39" s="12" t="str">
        <f t="shared" si="6"/>
        <v/>
      </c>
      <c r="AN39" s="18" t="str">
        <f t="shared" si="7"/>
        <v/>
      </c>
      <c r="AO39" s="18" t="str">
        <f t="shared" si="8"/>
        <v/>
      </c>
      <c r="AP39" s="10" t="str">
        <f t="shared" si="9"/>
        <v/>
      </c>
      <c r="AQ39" s="10" t="str">
        <f t="shared" si="10"/>
        <v/>
      </c>
      <c r="AR39" s="19" t="str">
        <f t="shared" si="11"/>
        <v/>
      </c>
      <c r="AS39" s="20"/>
      <c r="AT39" s="19"/>
      <c r="AV39" s="21">
        <f>IF(AND($AL39&lt;&gt;"",COUNTIF($AL$11:$AL39,$AL39)=1),1,0)</f>
        <v>0</v>
      </c>
      <c r="AW39" s="21">
        <f t="shared" si="13"/>
        <v>0</v>
      </c>
      <c r="AX39" s="21" t="str">
        <f t="shared" si="12"/>
        <v/>
      </c>
      <c r="AY39" s="21" t="str">
        <f>IF(AND($AM39&lt;&gt;"",$AS39&lt;&gt;"✓"),SUMPRODUCT(($AM$11:$AM39&lt;&gt;"")*($AS$11:$AS39&lt;&gt;"✓")),"")</f>
        <v/>
      </c>
      <c r="AZ39" s="21" t="str">
        <f>IF(AND($AM39&lt;&gt;"",$AS39="✓"),SUMPRODUCT(($AM$11:$AM39&lt;&gt;"")*($AS$11:$AS39="✓")),"")</f>
        <v/>
      </c>
      <c r="BA39" s="21" t="str">
        <f>IF($AL39="","",$AL39&amp;"|"&amp;COUNTIF($AL$11:$AL39,$AL39))</f>
        <v/>
      </c>
      <c r="BD39" s="36" t="str">
        <f>IF(IFERROR(INDEX($AM$11:$AM$4010,MATCH($S$8&amp;"|"&amp;27,$BA$11:$BA$4010,0)),"")="","",27)</f>
        <v/>
      </c>
      <c r="BE39" s="36" t="str">
        <f>IFERROR(INDEX($AM$11:$AM$4010,MATCH($S$8&amp;"|"&amp;27,$BA$11:$BA$4010,0)),"")</f>
        <v/>
      </c>
      <c r="BF39" s="36" t="str">
        <f>IFERROR(INDEX($AP$11:$AP$4010,MATCH($S$8&amp;"|"&amp;27,$BA$11:$BA$4010,0)),"")</f>
        <v/>
      </c>
      <c r="BG39" s="36" t="str">
        <f>IFERROR(INDEX($AQ$11:$AQ$4010,MATCH($S$8&amp;"|"&amp;27,$BA$11:$BA$4010,0)),"")</f>
        <v/>
      </c>
      <c r="BH39" s="37" t="str">
        <f>IFERROR(INDEX($AN$11:$AN$4010,MATCH($S$8&amp;"|"&amp;27,$BA$11:$BA$4010,0)),"")</f>
        <v/>
      </c>
      <c r="BI39" s="37" t="str">
        <f>IFERROR(INDEX($AO$11:$AO$4010,MATCH($S$8&amp;"|"&amp;27,$BA$11:$BA$4010,0)),"")</f>
        <v/>
      </c>
      <c r="BL39" s="36" t="str">
        <f>IF(IFERROR(INDEX($AM$11:$AM$4010,MATCH($S$8&amp;"|"&amp;27,$BA$11:$BA$4010,0)),"")="","",27)</f>
        <v/>
      </c>
      <c r="BM39" s="36" t="str">
        <f>IFERROR(INDEX($AM$11:$AM$4010,MATCH($S$8&amp;"|"&amp;27,$BA$11:$BA$4010,0)),"")</f>
        <v/>
      </c>
      <c r="BN39" s="36" t="str">
        <f>IFERROR(INDEX($AP$11:$AP$4010,MATCH($S$8&amp;"|"&amp;27,$BA$11:$BA$4010,0)),"")</f>
        <v/>
      </c>
      <c r="BO39" s="36" t="str">
        <f>IFERROR(INDEX($AQ$11:$AQ$4010,MATCH($S$8&amp;"|"&amp;27,$BA$11:$BA$4010,0)),"")</f>
        <v/>
      </c>
      <c r="BP39" s="37" t="str">
        <f>IFERROR(INDEX($AN$11:$AN$4010,MATCH($S$8&amp;"|"&amp;27,$BA$11:$BA$4010,0)),"")</f>
        <v/>
      </c>
      <c r="BQ39" s="37" t="str">
        <f>IFERROR(INDEX($AO$11:$AO$4010,MATCH($S$8&amp;"|"&amp;27,$BA$11:$BA$4010,0)),"")</f>
        <v/>
      </c>
    </row>
    <row r="40" spans="2:69" ht="13.5" customHeight="1" x14ac:dyDescent="0.25">
      <c r="B40" s="5" t="str">
        <f t="shared" si="0"/>
        <v/>
      </c>
      <c r="C40" s="5"/>
      <c r="D40" s="5"/>
      <c r="E40" s="5"/>
      <c r="F40" s="6"/>
      <c r="G40" s="6"/>
      <c r="H40" s="7"/>
      <c r="I40" s="8"/>
      <c r="K40" s="23" t="str">
        <f>IFERROR(INDEX($AL$11:$AL$4010,MATCH(30,$AX$11:$AX$4010,0)),"")</f>
        <v/>
      </c>
      <c r="L40" s="24" t="str">
        <f t="shared" si="1"/>
        <v/>
      </c>
      <c r="M40" s="25" t="str">
        <f t="shared" si="2"/>
        <v/>
      </c>
      <c r="N40" s="25" t="str">
        <f t="shared" si="3"/>
        <v/>
      </c>
      <c r="P40" s="26" t="str">
        <f>IFERROR(INDEX($AM$11:$AM$4010,MATCH($S$8&amp;"|"&amp;30,$BA$11:$BA$4010,0)),"")</f>
        <v/>
      </c>
      <c r="Q40" s="25" t="str">
        <f>IF(P40="","",IFERROR(INDEX($AN$11:$AN$4010,MATCH($S$8&amp;"|"&amp;30,$BA$11:$BA$4010,0)),""))</f>
        <v/>
      </c>
      <c r="R40" s="25" t="str">
        <f>IF(P40="","",IFERROR(INDEX($AO$11:$AO$4010,MATCH($S$8&amp;"|"&amp;30,$BA$11:$BA$4010,0)),""))</f>
        <v/>
      </c>
      <c r="S40" s="24" t="str">
        <f>IF(P40="","",IFERROR(INDEX($AP$11:$AP$4010,MATCH($S$8&amp;"|"&amp;30,$BA$11:$BA$4010,0)),""))</f>
        <v/>
      </c>
      <c r="T40" s="24" t="str">
        <f>IF(P40="","",IFERROR(INDEX($AQ$11:$AQ$4010,MATCH($S$8&amp;"|"&amp;30,$BA$11:$BA$4010,0)),""))</f>
        <v/>
      </c>
      <c r="U40" s="38" t="str">
        <f t="shared" si="4"/>
        <v/>
      </c>
      <c r="W40" s="28" t="str">
        <f>IF(X40="","",IFERROR(INDEX($AL$11:$AL$4010,MATCH(30,$AY$11:$AY$4010,0)),""))</f>
        <v/>
      </c>
      <c r="X40" s="26" t="str">
        <f>IFERROR(INDEX($AM$11:$AM$4010,MATCH(30,$AY$11:$AY$4010,0)),"")</f>
        <v/>
      </c>
      <c r="Y40" s="25" t="str">
        <f>IF(X40="","",IFERROR(INDEX($AN$11:$AN$4010,MATCH(30,$AY$11:$AY$4010,0)),""))</f>
        <v/>
      </c>
      <c r="Z40" s="25" t="str">
        <f>IF(X40="","",IFERROR(INDEX($AO$11:$AO$4010,MATCH(30,$AY$11:$AY$4010,0)),""))</f>
        <v/>
      </c>
      <c r="AA40" s="24" t="str">
        <f>IF(X40="","",IFERROR(INDEX($AQ$11:$AQ$4010,MATCH(30,$AY$11:$AY$4010,0)),""))</f>
        <v/>
      </c>
      <c r="AB40" s="29" t="str">
        <f>IF(X40="","",IFERROR(INDEX($AR$11:$AR$4010,MATCH(30,$AY$11:$AY$4010,0)),""))</f>
        <v/>
      </c>
      <c r="AD40" s="30" t="str">
        <f>IF(AE40="","",IFERROR(INDEX($AL$11:$AL$4010,MATCH(30,$AZ$11:$AZ$4010,0)),""))</f>
        <v/>
      </c>
      <c r="AE40" s="26" t="str">
        <f>IFERROR(INDEX($AM$11:$AM$4010,MATCH(30,$AZ$11:$AZ$4010,0)),"")</f>
        <v/>
      </c>
      <c r="AF40" s="25" t="str">
        <f>IF(AE40="","",IFERROR(INDEX($AN$11:$AN$4010,MATCH(30,$AZ$11:$AZ$4010,0)),""))</f>
        <v/>
      </c>
      <c r="AG40" s="25" t="str">
        <f>IF(AE40="","",IFERROR(INDEX($AO$11:$AO$4010,MATCH(30,$AZ$11:$AZ$4010,0)),""))</f>
        <v/>
      </c>
      <c r="AH40" s="24" t="str">
        <f>IF(AE40="","",IFERROR(INDEX($AQ$11:$AQ$4010,MATCH(30,$AZ$11:$AZ$4010,0)),""))</f>
        <v/>
      </c>
      <c r="AI40" s="29" t="str">
        <f>IF(AE40="","",IFERROR(INDEX($AR$11:$AR$4010,MATCH(30,$AZ$11:$AZ$4010,0)),""))</f>
        <v/>
      </c>
      <c r="AJ40" s="29" t="str">
        <f>IF(AE40="","",IFERROR(INDEX($AT$11:$AT$4010,MATCH(30,$AZ$11:$AZ$4010,0)),""))</f>
        <v/>
      </c>
      <c r="AL40" s="31" t="str">
        <f t="shared" si="5"/>
        <v/>
      </c>
      <c r="AM40" s="26" t="str">
        <f t="shared" si="6"/>
        <v/>
      </c>
      <c r="AN40" s="32" t="str">
        <f t="shared" si="7"/>
        <v/>
      </c>
      <c r="AO40" s="32" t="str">
        <f t="shared" si="8"/>
        <v/>
      </c>
      <c r="AP40" s="24" t="str">
        <f t="shared" si="9"/>
        <v/>
      </c>
      <c r="AQ40" s="24" t="str">
        <f t="shared" si="10"/>
        <v/>
      </c>
      <c r="AR40" s="33" t="str">
        <f t="shared" si="11"/>
        <v/>
      </c>
      <c r="AS40" s="34"/>
      <c r="AT40" s="33"/>
      <c r="AV40" s="21">
        <f>IF(AND($AL40&lt;&gt;"",COUNTIF($AL$11:$AL40,$AL40)=1),1,0)</f>
        <v>0</v>
      </c>
      <c r="AW40" s="21">
        <f t="shared" si="13"/>
        <v>0</v>
      </c>
      <c r="AX40" s="21" t="str">
        <f t="shared" si="12"/>
        <v/>
      </c>
      <c r="AY40" s="21" t="str">
        <f>IF(AND($AM40&lt;&gt;"",$AS40&lt;&gt;"✓"),SUMPRODUCT(($AM$11:$AM40&lt;&gt;"")*($AS$11:$AS40&lt;&gt;"✓")),"")</f>
        <v/>
      </c>
      <c r="AZ40" s="21" t="str">
        <f>IF(AND($AM40&lt;&gt;"",$AS40="✓"),SUMPRODUCT(($AM$11:$AM40&lt;&gt;"")*($AS$11:$AS40="✓")),"")</f>
        <v/>
      </c>
      <c r="BA40" s="21" t="str">
        <f>IF($AL40="","",$AL40&amp;"|"&amp;COUNTIF($AL$11:$AL40,$AL40))</f>
        <v/>
      </c>
      <c r="BD40" s="36" t="str">
        <f>IF(IFERROR(INDEX($AM$11:$AM$4010,MATCH($S$8&amp;"|"&amp;28,$BA$11:$BA$4010,0)),"")="","",28)</f>
        <v/>
      </c>
      <c r="BE40" s="36" t="str">
        <f>IFERROR(INDEX($AM$11:$AM$4010,MATCH($S$8&amp;"|"&amp;28,$BA$11:$BA$4010,0)),"")</f>
        <v/>
      </c>
      <c r="BF40" s="36" t="str">
        <f>IFERROR(INDEX($AP$11:$AP$4010,MATCH($S$8&amp;"|"&amp;28,$BA$11:$BA$4010,0)),"")</f>
        <v/>
      </c>
      <c r="BG40" s="36" t="str">
        <f>IFERROR(INDEX($AQ$11:$AQ$4010,MATCH($S$8&amp;"|"&amp;28,$BA$11:$BA$4010,0)),"")</f>
        <v/>
      </c>
      <c r="BH40" s="37" t="str">
        <f>IFERROR(INDEX($AN$11:$AN$4010,MATCH($S$8&amp;"|"&amp;28,$BA$11:$BA$4010,0)),"")</f>
        <v/>
      </c>
      <c r="BI40" s="37" t="str">
        <f>IFERROR(INDEX($AO$11:$AO$4010,MATCH($S$8&amp;"|"&amp;28,$BA$11:$BA$4010,0)),"")</f>
        <v/>
      </c>
      <c r="BL40" s="36" t="str">
        <f>IF(IFERROR(INDEX($AM$11:$AM$4010,MATCH($S$8&amp;"|"&amp;28,$BA$11:$BA$4010,0)),"")="","",28)</f>
        <v/>
      </c>
      <c r="BM40" s="36" t="str">
        <f>IFERROR(INDEX($AM$11:$AM$4010,MATCH($S$8&amp;"|"&amp;28,$BA$11:$BA$4010,0)),"")</f>
        <v/>
      </c>
      <c r="BN40" s="36" t="str">
        <f>IFERROR(INDEX($AP$11:$AP$4010,MATCH($S$8&amp;"|"&amp;28,$BA$11:$BA$4010,0)),"")</f>
        <v/>
      </c>
      <c r="BO40" s="36" t="str">
        <f>IFERROR(INDEX($AQ$11:$AQ$4010,MATCH($S$8&amp;"|"&amp;28,$BA$11:$BA$4010,0)),"")</f>
        <v/>
      </c>
      <c r="BP40" s="37" t="str">
        <f>IFERROR(INDEX($AN$11:$AN$4010,MATCH($S$8&amp;"|"&amp;28,$BA$11:$BA$4010,0)),"")</f>
        <v/>
      </c>
      <c r="BQ40" s="37" t="str">
        <f>IFERROR(INDEX($AO$11:$AO$4010,MATCH($S$8&amp;"|"&amp;28,$BA$11:$BA$4010,0)),"")</f>
        <v/>
      </c>
    </row>
    <row r="41" spans="2:69" ht="13.5" customHeight="1" x14ac:dyDescent="0.25">
      <c r="B41" s="5" t="str">
        <f t="shared" si="0"/>
        <v/>
      </c>
      <c r="C41" s="5"/>
      <c r="D41" s="5"/>
      <c r="E41" s="5"/>
      <c r="F41" s="6"/>
      <c r="G41" s="6"/>
      <c r="H41" s="7"/>
      <c r="I41" s="8"/>
      <c r="K41" s="9" t="str">
        <f>IFERROR(INDEX($AL$11:$AL$4010,MATCH(31,$AX$11:$AX$4010,0)),"")</f>
        <v/>
      </c>
      <c r="L41" s="10" t="str">
        <f t="shared" si="1"/>
        <v/>
      </c>
      <c r="M41" s="11" t="str">
        <f t="shared" si="2"/>
        <v/>
      </c>
      <c r="N41" s="11" t="str">
        <f t="shared" si="3"/>
        <v/>
      </c>
      <c r="P41" s="12" t="str">
        <f>IFERROR(INDEX($AM$11:$AM$4010,MATCH($S$8&amp;"|"&amp;31,$BA$11:$BA$4010,0)),"")</f>
        <v/>
      </c>
      <c r="Q41" s="11" t="str">
        <f>IF(P41="","",IFERROR(INDEX($AN$11:$AN$4010,MATCH($S$8&amp;"|"&amp;31,$BA$11:$BA$4010,0)),""))</f>
        <v/>
      </c>
      <c r="R41" s="11" t="str">
        <f>IF(P41="","",IFERROR(INDEX($AO$11:$AO$4010,MATCH($S$8&amp;"|"&amp;31,$BA$11:$BA$4010,0)),""))</f>
        <v/>
      </c>
      <c r="S41" s="10" t="str">
        <f>IF(P41="","",IFERROR(INDEX($AP$11:$AP$4010,MATCH($S$8&amp;"|"&amp;31,$BA$11:$BA$4010,0)),""))</f>
        <v/>
      </c>
      <c r="T41" s="10" t="str">
        <f>IF(P41="","",IFERROR(INDEX($AQ$11:$AQ$4010,MATCH($S$8&amp;"|"&amp;31,$BA$11:$BA$4010,0)),""))</f>
        <v/>
      </c>
      <c r="U41" s="39" t="str">
        <f t="shared" si="4"/>
        <v/>
      </c>
      <c r="W41" s="14" t="str">
        <f>IF(X41="","",IFERROR(INDEX($AL$11:$AL$4010,MATCH(31,$AY$11:$AY$4010,0)),""))</f>
        <v/>
      </c>
      <c r="X41" s="12" t="str">
        <f>IFERROR(INDEX($AM$11:$AM$4010,MATCH(31,$AY$11:$AY$4010,0)),"")</f>
        <v/>
      </c>
      <c r="Y41" s="11" t="str">
        <f>IF(X41="","",IFERROR(INDEX($AN$11:$AN$4010,MATCH(31,$AY$11:$AY$4010,0)),""))</f>
        <v/>
      </c>
      <c r="Z41" s="11" t="str">
        <f>IF(X41="","",IFERROR(INDEX($AO$11:$AO$4010,MATCH(31,$AY$11:$AY$4010,0)),""))</f>
        <v/>
      </c>
      <c r="AA41" s="10" t="str">
        <f>IF(X41="","",IFERROR(INDEX($AQ$11:$AQ$4010,MATCH(31,$AY$11:$AY$4010,0)),""))</f>
        <v/>
      </c>
      <c r="AB41" s="15" t="str">
        <f>IF(X41="","",IFERROR(INDEX($AR$11:$AR$4010,MATCH(31,$AY$11:$AY$4010,0)),""))</f>
        <v/>
      </c>
      <c r="AD41" s="16" t="str">
        <f>IF(AE41="","",IFERROR(INDEX($AL$11:$AL$4010,MATCH(31,$AZ$11:$AZ$4010,0)),""))</f>
        <v/>
      </c>
      <c r="AE41" s="12" t="str">
        <f>IFERROR(INDEX($AM$11:$AM$4010,MATCH(31,$AZ$11:$AZ$4010,0)),"")</f>
        <v/>
      </c>
      <c r="AF41" s="11" t="str">
        <f>IF(AE41="","",IFERROR(INDEX($AN$11:$AN$4010,MATCH(31,$AZ$11:$AZ$4010,0)),""))</f>
        <v/>
      </c>
      <c r="AG41" s="11" t="str">
        <f>IF(AE41="","",IFERROR(INDEX($AO$11:$AO$4010,MATCH(31,$AZ$11:$AZ$4010,0)),""))</f>
        <v/>
      </c>
      <c r="AH41" s="10" t="str">
        <f>IF(AE41="","",IFERROR(INDEX($AQ$11:$AQ$4010,MATCH(31,$AZ$11:$AZ$4010,0)),""))</f>
        <v/>
      </c>
      <c r="AI41" s="15" t="str">
        <f>IF(AE41="","",IFERROR(INDEX($AR$11:$AR$4010,MATCH(31,$AZ$11:$AZ$4010,0)),""))</f>
        <v/>
      </c>
      <c r="AJ41" s="15" t="str">
        <f>IF(AE41="","",IFERROR(INDEX($AT$11:$AT$4010,MATCH(31,$AZ$11:$AZ$4010,0)),""))</f>
        <v/>
      </c>
      <c r="AL41" s="17" t="str">
        <f t="shared" si="5"/>
        <v/>
      </c>
      <c r="AM41" s="12" t="str">
        <f t="shared" si="6"/>
        <v/>
      </c>
      <c r="AN41" s="18" t="str">
        <f t="shared" si="7"/>
        <v/>
      </c>
      <c r="AO41" s="18" t="str">
        <f t="shared" si="8"/>
        <v/>
      </c>
      <c r="AP41" s="10" t="str">
        <f t="shared" si="9"/>
        <v/>
      </c>
      <c r="AQ41" s="10" t="str">
        <f t="shared" si="10"/>
        <v/>
      </c>
      <c r="AR41" s="19" t="str">
        <f t="shared" si="11"/>
        <v/>
      </c>
      <c r="AS41" s="20"/>
      <c r="AT41" s="19"/>
      <c r="AV41" s="21">
        <f>IF(AND($AL41&lt;&gt;"",COUNTIF($AL$11:$AL41,$AL41)=1),1,0)</f>
        <v>0</v>
      </c>
      <c r="AW41" s="21">
        <f t="shared" si="13"/>
        <v>0</v>
      </c>
      <c r="AX41" s="21" t="str">
        <f t="shared" si="12"/>
        <v/>
      </c>
      <c r="AY41" s="21" t="str">
        <f>IF(AND($AM41&lt;&gt;"",$AS41&lt;&gt;"✓"),SUMPRODUCT(($AM$11:$AM41&lt;&gt;"")*($AS$11:$AS41&lt;&gt;"✓")),"")</f>
        <v/>
      </c>
      <c r="AZ41" s="21" t="str">
        <f>IF(AND($AM41&lt;&gt;"",$AS41="✓"),SUMPRODUCT(($AM$11:$AM41&lt;&gt;"")*($AS$11:$AS41="✓")),"")</f>
        <v/>
      </c>
      <c r="BA41" s="21" t="str">
        <f>IF($AL41="","",$AL41&amp;"|"&amp;COUNTIF($AL$11:$AL41,$AL41))</f>
        <v/>
      </c>
      <c r="BD41" s="36" t="str">
        <f>IF(IFERROR(INDEX($AM$11:$AM$4010,MATCH($S$8&amp;"|"&amp;29,$BA$11:$BA$4010,0)),"")="","",29)</f>
        <v/>
      </c>
      <c r="BE41" s="36" t="str">
        <f>IFERROR(INDEX($AM$11:$AM$4010,MATCH($S$8&amp;"|"&amp;29,$BA$11:$BA$4010,0)),"")</f>
        <v/>
      </c>
      <c r="BF41" s="36" t="str">
        <f>IFERROR(INDEX($AP$11:$AP$4010,MATCH($S$8&amp;"|"&amp;29,$BA$11:$BA$4010,0)),"")</f>
        <v/>
      </c>
      <c r="BG41" s="36" t="str">
        <f>IFERROR(INDEX($AQ$11:$AQ$4010,MATCH($S$8&amp;"|"&amp;29,$BA$11:$BA$4010,0)),"")</f>
        <v/>
      </c>
      <c r="BH41" s="37" t="str">
        <f>IFERROR(INDEX($AN$11:$AN$4010,MATCH($S$8&amp;"|"&amp;29,$BA$11:$BA$4010,0)),"")</f>
        <v/>
      </c>
      <c r="BI41" s="37" t="str">
        <f>IFERROR(INDEX($AO$11:$AO$4010,MATCH($S$8&amp;"|"&amp;29,$BA$11:$BA$4010,0)),"")</f>
        <v/>
      </c>
      <c r="BL41" s="36" t="str">
        <f>IF(IFERROR(INDEX($AM$11:$AM$4010,MATCH($S$8&amp;"|"&amp;29,$BA$11:$BA$4010,0)),"")="","",29)</f>
        <v/>
      </c>
      <c r="BM41" s="36" t="str">
        <f>IFERROR(INDEX($AM$11:$AM$4010,MATCH($S$8&amp;"|"&amp;29,$BA$11:$BA$4010,0)),"")</f>
        <v/>
      </c>
      <c r="BN41" s="36" t="str">
        <f>IFERROR(INDEX($AP$11:$AP$4010,MATCH($S$8&amp;"|"&amp;29,$BA$11:$BA$4010,0)),"")</f>
        <v/>
      </c>
      <c r="BO41" s="36" t="str">
        <f>IFERROR(INDEX($AQ$11:$AQ$4010,MATCH($S$8&amp;"|"&amp;29,$BA$11:$BA$4010,0)),"")</f>
        <v/>
      </c>
      <c r="BP41" s="37" t="str">
        <f>IFERROR(INDEX($AN$11:$AN$4010,MATCH($S$8&amp;"|"&amp;29,$BA$11:$BA$4010,0)),"")</f>
        <v/>
      </c>
      <c r="BQ41" s="37" t="str">
        <f>IFERROR(INDEX($AO$11:$AO$4010,MATCH($S$8&amp;"|"&amp;29,$BA$11:$BA$4010,0)),"")</f>
        <v/>
      </c>
    </row>
    <row r="42" spans="2:69" ht="13.5" customHeight="1" x14ac:dyDescent="0.25">
      <c r="B42" s="5" t="str">
        <f t="shared" si="0"/>
        <v/>
      </c>
      <c r="C42" s="5"/>
      <c r="D42" s="5"/>
      <c r="E42" s="5"/>
      <c r="F42" s="6"/>
      <c r="G42" s="6"/>
      <c r="H42" s="7"/>
      <c r="I42" s="8"/>
      <c r="K42" s="23" t="str">
        <f>IFERROR(INDEX($AL$11:$AL$4010,MATCH(32,$AX$11:$AX$4010,0)),"")</f>
        <v/>
      </c>
      <c r="L42" s="24" t="str">
        <f t="shared" si="1"/>
        <v/>
      </c>
      <c r="M42" s="25" t="str">
        <f t="shared" si="2"/>
        <v/>
      </c>
      <c r="N42" s="25" t="str">
        <f t="shared" si="3"/>
        <v/>
      </c>
      <c r="P42" s="26" t="str">
        <f>IFERROR(INDEX($AM$11:$AM$4010,MATCH($S$8&amp;"|"&amp;32,$BA$11:$BA$4010,0)),"")</f>
        <v/>
      </c>
      <c r="Q42" s="25" t="str">
        <f>IF(P42="","",IFERROR(INDEX($AN$11:$AN$4010,MATCH($S$8&amp;"|"&amp;32,$BA$11:$BA$4010,0)),""))</f>
        <v/>
      </c>
      <c r="R42" s="25" t="str">
        <f>IF(P42="","",IFERROR(INDEX($AO$11:$AO$4010,MATCH($S$8&amp;"|"&amp;32,$BA$11:$BA$4010,0)),""))</f>
        <v/>
      </c>
      <c r="S42" s="24" t="str">
        <f>IF(P42="","",IFERROR(INDEX($AP$11:$AP$4010,MATCH($S$8&amp;"|"&amp;32,$BA$11:$BA$4010,0)),""))</f>
        <v/>
      </c>
      <c r="T42" s="24" t="str">
        <f>IF(P42="","",IFERROR(INDEX($AQ$11:$AQ$4010,MATCH($S$8&amp;"|"&amp;32,$BA$11:$BA$4010,0)),""))</f>
        <v/>
      </c>
      <c r="U42" s="38" t="str">
        <f t="shared" si="4"/>
        <v/>
      </c>
      <c r="W42" s="28" t="str">
        <f>IF(X42="","",IFERROR(INDEX($AL$11:$AL$4010,MATCH(32,$AY$11:$AY$4010,0)),""))</f>
        <v/>
      </c>
      <c r="X42" s="26" t="str">
        <f>IFERROR(INDEX($AM$11:$AM$4010,MATCH(32,$AY$11:$AY$4010,0)),"")</f>
        <v/>
      </c>
      <c r="Y42" s="25" t="str">
        <f>IF(X42="","",IFERROR(INDEX($AN$11:$AN$4010,MATCH(32,$AY$11:$AY$4010,0)),""))</f>
        <v/>
      </c>
      <c r="Z42" s="25" t="str">
        <f>IF(X42="","",IFERROR(INDEX($AO$11:$AO$4010,MATCH(32,$AY$11:$AY$4010,0)),""))</f>
        <v/>
      </c>
      <c r="AA42" s="24" t="str">
        <f>IF(X42="","",IFERROR(INDEX($AQ$11:$AQ$4010,MATCH(32,$AY$11:$AY$4010,0)),""))</f>
        <v/>
      </c>
      <c r="AB42" s="29" t="str">
        <f>IF(X42="","",IFERROR(INDEX($AR$11:$AR$4010,MATCH(32,$AY$11:$AY$4010,0)),""))</f>
        <v/>
      </c>
      <c r="AD42" s="30" t="str">
        <f>IF(AE42="","",IFERROR(INDEX($AL$11:$AL$4010,MATCH(32,$AZ$11:$AZ$4010,0)),""))</f>
        <v/>
      </c>
      <c r="AE42" s="26" t="str">
        <f>IFERROR(INDEX($AM$11:$AM$4010,MATCH(32,$AZ$11:$AZ$4010,0)),"")</f>
        <v/>
      </c>
      <c r="AF42" s="25" t="str">
        <f>IF(AE42="","",IFERROR(INDEX($AN$11:$AN$4010,MATCH(32,$AZ$11:$AZ$4010,0)),""))</f>
        <v/>
      </c>
      <c r="AG42" s="25" t="str">
        <f>IF(AE42="","",IFERROR(INDEX($AO$11:$AO$4010,MATCH(32,$AZ$11:$AZ$4010,0)),""))</f>
        <v/>
      </c>
      <c r="AH42" s="24" t="str">
        <f>IF(AE42="","",IFERROR(INDEX($AQ$11:$AQ$4010,MATCH(32,$AZ$11:$AZ$4010,0)),""))</f>
        <v/>
      </c>
      <c r="AI42" s="29" t="str">
        <f>IF(AE42="","",IFERROR(INDEX($AR$11:$AR$4010,MATCH(32,$AZ$11:$AZ$4010,0)),""))</f>
        <v/>
      </c>
      <c r="AJ42" s="29" t="str">
        <f>IF(AE42="","",IFERROR(INDEX($AT$11:$AT$4010,MATCH(32,$AZ$11:$AZ$4010,0)),""))</f>
        <v/>
      </c>
      <c r="AL42" s="31" t="str">
        <f t="shared" si="5"/>
        <v/>
      </c>
      <c r="AM42" s="26" t="str">
        <f t="shared" si="6"/>
        <v/>
      </c>
      <c r="AN42" s="32" t="str">
        <f t="shared" si="7"/>
        <v/>
      </c>
      <c r="AO42" s="32" t="str">
        <f t="shared" si="8"/>
        <v/>
      </c>
      <c r="AP42" s="24" t="str">
        <f t="shared" si="9"/>
        <v/>
      </c>
      <c r="AQ42" s="24" t="str">
        <f t="shared" si="10"/>
        <v/>
      </c>
      <c r="AR42" s="33" t="str">
        <f t="shared" si="11"/>
        <v/>
      </c>
      <c r="AS42" s="34"/>
      <c r="AT42" s="33"/>
      <c r="AV42" s="21">
        <f>IF(AND($AL42&lt;&gt;"",COUNTIF($AL$11:$AL42,$AL42)=1),1,0)</f>
        <v>0</v>
      </c>
      <c r="AW42" s="21">
        <f t="shared" si="13"/>
        <v>0</v>
      </c>
      <c r="AX42" s="21" t="str">
        <f t="shared" si="12"/>
        <v/>
      </c>
      <c r="AY42" s="21" t="str">
        <f>IF(AND($AM42&lt;&gt;"",$AS42&lt;&gt;"✓"),SUMPRODUCT(($AM$11:$AM42&lt;&gt;"")*($AS$11:$AS42&lt;&gt;"✓")),"")</f>
        <v/>
      </c>
      <c r="AZ42" s="21" t="str">
        <f>IF(AND($AM42&lt;&gt;"",$AS42="✓"),SUMPRODUCT(($AM$11:$AM42&lt;&gt;"")*($AS$11:$AS42="✓")),"")</f>
        <v/>
      </c>
      <c r="BA42" s="21" t="str">
        <f>IF($AL42="","",$AL42&amp;"|"&amp;COUNTIF($AL$11:$AL42,$AL42))</f>
        <v/>
      </c>
      <c r="BD42" s="36" t="str">
        <f>IF(IFERROR(INDEX($AM$11:$AM$4010,MATCH($S$8&amp;"|"&amp;30,$BA$11:$BA$4010,0)),"")="","",30)</f>
        <v/>
      </c>
      <c r="BE42" s="36" t="str">
        <f>IFERROR(INDEX($AM$11:$AM$4010,MATCH($S$8&amp;"|"&amp;30,$BA$11:$BA$4010,0)),"")</f>
        <v/>
      </c>
      <c r="BF42" s="36" t="str">
        <f>IFERROR(INDEX($AP$11:$AP$4010,MATCH($S$8&amp;"|"&amp;30,$BA$11:$BA$4010,0)),"")</f>
        <v/>
      </c>
      <c r="BG42" s="36" t="str">
        <f>IFERROR(INDEX($AQ$11:$AQ$4010,MATCH($S$8&amp;"|"&amp;30,$BA$11:$BA$4010,0)),"")</f>
        <v/>
      </c>
      <c r="BH42" s="37" t="str">
        <f>IFERROR(INDEX($AN$11:$AN$4010,MATCH($S$8&amp;"|"&amp;30,$BA$11:$BA$4010,0)),"")</f>
        <v/>
      </c>
      <c r="BI42" s="37" t="str">
        <f>IFERROR(INDEX($AO$11:$AO$4010,MATCH($S$8&amp;"|"&amp;30,$BA$11:$BA$4010,0)),"")</f>
        <v/>
      </c>
      <c r="BL42" s="36" t="str">
        <f>IF(IFERROR(INDEX($AM$11:$AM$4010,MATCH($S$8&amp;"|"&amp;30,$BA$11:$BA$4010,0)),"")="","",30)</f>
        <v/>
      </c>
      <c r="BM42" s="36" t="str">
        <f>IFERROR(INDEX($AM$11:$AM$4010,MATCH($S$8&amp;"|"&amp;30,$BA$11:$BA$4010,0)),"")</f>
        <v/>
      </c>
      <c r="BN42" s="36" t="str">
        <f>IFERROR(INDEX($AP$11:$AP$4010,MATCH($S$8&amp;"|"&amp;30,$BA$11:$BA$4010,0)),"")</f>
        <v/>
      </c>
      <c r="BO42" s="36" t="str">
        <f>IFERROR(INDEX($AQ$11:$AQ$4010,MATCH($S$8&amp;"|"&amp;30,$BA$11:$BA$4010,0)),"")</f>
        <v/>
      </c>
      <c r="BP42" s="37" t="str">
        <f>IFERROR(INDEX($AN$11:$AN$4010,MATCH($S$8&amp;"|"&amp;30,$BA$11:$BA$4010,0)),"")</f>
        <v/>
      </c>
      <c r="BQ42" s="37" t="str">
        <f>IFERROR(INDEX($AO$11:$AO$4010,MATCH($S$8&amp;"|"&amp;30,$BA$11:$BA$4010,0)),"")</f>
        <v/>
      </c>
    </row>
    <row r="43" spans="2:69" ht="13.5" customHeight="1" x14ac:dyDescent="0.25">
      <c r="B43" s="5" t="str">
        <f t="shared" si="0"/>
        <v/>
      </c>
      <c r="C43" s="5"/>
      <c r="D43" s="5"/>
      <c r="E43" s="5"/>
      <c r="F43" s="6"/>
      <c r="G43" s="6"/>
      <c r="H43" s="7"/>
      <c r="I43" s="8"/>
      <c r="K43" s="9" t="str">
        <f>IFERROR(INDEX($AL$11:$AL$4010,MATCH(33,$AX$11:$AX$4010,0)),"")</f>
        <v/>
      </c>
      <c r="L43" s="10" t="str">
        <f t="shared" si="1"/>
        <v/>
      </c>
      <c r="M43" s="11" t="str">
        <f t="shared" si="2"/>
        <v/>
      </c>
      <c r="N43" s="11" t="str">
        <f t="shared" si="3"/>
        <v/>
      </c>
      <c r="P43" s="12" t="str">
        <f>IFERROR(INDEX($AM$11:$AM$4010,MATCH($S$8&amp;"|"&amp;33,$BA$11:$BA$4010,0)),"")</f>
        <v/>
      </c>
      <c r="Q43" s="11" t="str">
        <f>IF(P43="","",IFERROR(INDEX($AN$11:$AN$4010,MATCH($S$8&amp;"|"&amp;33,$BA$11:$BA$4010,0)),""))</f>
        <v/>
      </c>
      <c r="R43" s="11" t="str">
        <f>IF(P43="","",IFERROR(INDEX($AO$11:$AO$4010,MATCH($S$8&amp;"|"&amp;33,$BA$11:$BA$4010,0)),""))</f>
        <v/>
      </c>
      <c r="S43" s="10" t="str">
        <f>IF(P43="","",IFERROR(INDEX($AP$11:$AP$4010,MATCH($S$8&amp;"|"&amp;33,$BA$11:$BA$4010,0)),""))</f>
        <v/>
      </c>
      <c r="T43" s="10" t="str">
        <f>IF(P43="","",IFERROR(INDEX($AQ$11:$AQ$4010,MATCH($S$8&amp;"|"&amp;33,$BA$11:$BA$4010,0)),""))</f>
        <v/>
      </c>
      <c r="U43" s="39" t="str">
        <f t="shared" ref="U43:U74" si="14">IF(P43="","",$S$8)</f>
        <v/>
      </c>
      <c r="W43" s="14" t="str">
        <f>IF(X43="","",IFERROR(INDEX($AL$11:$AL$4010,MATCH(33,$AY$11:$AY$4010,0)),""))</f>
        <v/>
      </c>
      <c r="X43" s="12" t="str">
        <f>IFERROR(INDEX($AM$11:$AM$4010,MATCH(33,$AY$11:$AY$4010,0)),"")</f>
        <v/>
      </c>
      <c r="Y43" s="11" t="str">
        <f>IF(X43="","",IFERROR(INDEX($AN$11:$AN$4010,MATCH(33,$AY$11:$AY$4010,0)),""))</f>
        <v/>
      </c>
      <c r="Z43" s="11" t="str">
        <f>IF(X43="","",IFERROR(INDEX($AO$11:$AO$4010,MATCH(33,$AY$11:$AY$4010,0)),""))</f>
        <v/>
      </c>
      <c r="AA43" s="10" t="str">
        <f>IF(X43="","",IFERROR(INDEX($AQ$11:$AQ$4010,MATCH(33,$AY$11:$AY$4010,0)),""))</f>
        <v/>
      </c>
      <c r="AB43" s="15" t="str">
        <f>IF(X43="","",IFERROR(INDEX($AR$11:$AR$4010,MATCH(33,$AY$11:$AY$4010,0)),""))</f>
        <v/>
      </c>
      <c r="AD43" s="16" t="str">
        <f>IF(AE43="","",IFERROR(INDEX($AL$11:$AL$4010,MATCH(33,$AZ$11:$AZ$4010,0)),""))</f>
        <v/>
      </c>
      <c r="AE43" s="12" t="str">
        <f>IFERROR(INDEX($AM$11:$AM$4010,MATCH(33,$AZ$11:$AZ$4010,0)),"")</f>
        <v/>
      </c>
      <c r="AF43" s="11" t="str">
        <f>IF(AE43="","",IFERROR(INDEX($AN$11:$AN$4010,MATCH(33,$AZ$11:$AZ$4010,0)),""))</f>
        <v/>
      </c>
      <c r="AG43" s="11" t="str">
        <f>IF(AE43="","",IFERROR(INDEX($AO$11:$AO$4010,MATCH(33,$AZ$11:$AZ$4010,0)),""))</f>
        <v/>
      </c>
      <c r="AH43" s="10" t="str">
        <f>IF(AE43="","",IFERROR(INDEX($AQ$11:$AQ$4010,MATCH(33,$AZ$11:$AZ$4010,0)),""))</f>
        <v/>
      </c>
      <c r="AI43" s="15" t="str">
        <f>IF(AE43="","",IFERROR(INDEX($AR$11:$AR$4010,MATCH(33,$AZ$11:$AZ$4010,0)),""))</f>
        <v/>
      </c>
      <c r="AJ43" s="15" t="str">
        <f>IF(AE43="","",IFERROR(INDEX($AT$11:$AT$4010,MATCH(33,$AZ$11:$AZ$4010,0)),""))</f>
        <v/>
      </c>
      <c r="AL43" s="17" t="str">
        <f t="shared" si="5"/>
        <v/>
      </c>
      <c r="AM43" s="12" t="str">
        <f t="shared" si="6"/>
        <v/>
      </c>
      <c r="AN43" s="18" t="str">
        <f t="shared" si="7"/>
        <v/>
      </c>
      <c r="AO43" s="18" t="str">
        <f t="shared" si="8"/>
        <v/>
      </c>
      <c r="AP43" s="10" t="str">
        <f t="shared" si="9"/>
        <v/>
      </c>
      <c r="AQ43" s="10" t="str">
        <f t="shared" si="10"/>
        <v/>
      </c>
      <c r="AR43" s="19" t="str">
        <f t="shared" si="11"/>
        <v/>
      </c>
      <c r="AS43" s="20"/>
      <c r="AT43" s="19"/>
      <c r="AV43" s="21">
        <f>IF(AND($AL43&lt;&gt;"",COUNTIF($AL$11:$AL43,$AL43)=1),1,0)</f>
        <v>0</v>
      </c>
      <c r="AW43" s="21">
        <f t="shared" si="13"/>
        <v>0</v>
      </c>
      <c r="AX43" s="21" t="str">
        <f t="shared" si="12"/>
        <v/>
      </c>
      <c r="AY43" s="21" t="str">
        <f>IF(AND($AM43&lt;&gt;"",$AS43&lt;&gt;"✓"),SUMPRODUCT(($AM$11:$AM43&lt;&gt;"")*($AS$11:$AS43&lt;&gt;"✓")),"")</f>
        <v/>
      </c>
      <c r="AZ43" s="21" t="str">
        <f>IF(AND($AM43&lt;&gt;"",$AS43="✓"),SUMPRODUCT(($AM$11:$AM43&lt;&gt;"")*($AS$11:$AS43="✓")),"")</f>
        <v/>
      </c>
      <c r="BA43" s="21" t="str">
        <f>IF($AL43="","",$AL43&amp;"|"&amp;COUNTIF($AL$11:$AL43,$AL43))</f>
        <v/>
      </c>
      <c r="BD43" s="36" t="str">
        <f>IF(IFERROR(INDEX($AM$11:$AM$4010,MATCH($S$8&amp;"|"&amp;31,$BA$11:$BA$4010,0)),"")="","",31)</f>
        <v/>
      </c>
      <c r="BE43" s="36" t="str">
        <f>IFERROR(INDEX($AM$11:$AM$4010,MATCH($S$8&amp;"|"&amp;31,$BA$11:$BA$4010,0)),"")</f>
        <v/>
      </c>
      <c r="BF43" s="36" t="str">
        <f>IFERROR(INDEX($AP$11:$AP$4010,MATCH($S$8&amp;"|"&amp;31,$BA$11:$BA$4010,0)),"")</f>
        <v/>
      </c>
      <c r="BG43" s="36" t="str">
        <f>IFERROR(INDEX($AQ$11:$AQ$4010,MATCH($S$8&amp;"|"&amp;31,$BA$11:$BA$4010,0)),"")</f>
        <v/>
      </c>
      <c r="BH43" s="37" t="str">
        <f>IFERROR(INDEX($AN$11:$AN$4010,MATCH($S$8&amp;"|"&amp;31,$BA$11:$BA$4010,0)),"")</f>
        <v/>
      </c>
      <c r="BI43" s="37" t="str">
        <f>IFERROR(INDEX($AO$11:$AO$4010,MATCH($S$8&amp;"|"&amp;31,$BA$11:$BA$4010,0)),"")</f>
        <v/>
      </c>
      <c r="BL43" s="36" t="str">
        <f>IF(IFERROR(INDEX($AM$11:$AM$4010,MATCH($S$8&amp;"|"&amp;31,$BA$11:$BA$4010,0)),"")="","",31)</f>
        <v/>
      </c>
      <c r="BM43" s="36" t="str">
        <f>IFERROR(INDEX($AM$11:$AM$4010,MATCH($S$8&amp;"|"&amp;31,$BA$11:$BA$4010,0)),"")</f>
        <v/>
      </c>
      <c r="BN43" s="36" t="str">
        <f>IFERROR(INDEX($AP$11:$AP$4010,MATCH($S$8&amp;"|"&amp;31,$BA$11:$BA$4010,0)),"")</f>
        <v/>
      </c>
      <c r="BO43" s="36" t="str">
        <f>IFERROR(INDEX($AQ$11:$AQ$4010,MATCH($S$8&amp;"|"&amp;31,$BA$11:$BA$4010,0)),"")</f>
        <v/>
      </c>
      <c r="BP43" s="37" t="str">
        <f>IFERROR(INDEX($AN$11:$AN$4010,MATCH($S$8&amp;"|"&amp;31,$BA$11:$BA$4010,0)),"")</f>
        <v/>
      </c>
      <c r="BQ43" s="37" t="str">
        <f>IFERROR(INDEX($AO$11:$AO$4010,MATCH($S$8&amp;"|"&amp;31,$BA$11:$BA$4010,0)),"")</f>
        <v/>
      </c>
    </row>
    <row r="44" spans="2:69" ht="13.5" customHeight="1" x14ac:dyDescent="0.25">
      <c r="B44" s="5" t="str">
        <f t="shared" si="0"/>
        <v/>
      </c>
      <c r="C44" s="5"/>
      <c r="D44" s="5"/>
      <c r="E44" s="5"/>
      <c r="F44" s="6"/>
      <c r="G44" s="6"/>
      <c r="H44" s="7"/>
      <c r="I44" s="8"/>
      <c r="K44" s="23" t="str">
        <f>IFERROR(INDEX($AL$11:$AL$4010,MATCH(34,$AX$11:$AX$4010,0)),"")</f>
        <v/>
      </c>
      <c r="L44" s="24" t="str">
        <f t="shared" si="1"/>
        <v/>
      </c>
      <c r="M44" s="25" t="str">
        <f t="shared" si="2"/>
        <v/>
      </c>
      <c r="N44" s="25" t="str">
        <f t="shared" si="3"/>
        <v/>
      </c>
      <c r="P44" s="26" t="str">
        <f>IFERROR(INDEX($AM$11:$AM$4010,MATCH($S$8&amp;"|"&amp;34,$BA$11:$BA$4010,0)),"")</f>
        <v/>
      </c>
      <c r="Q44" s="25" t="str">
        <f>IF(P44="","",IFERROR(INDEX($AN$11:$AN$4010,MATCH($S$8&amp;"|"&amp;34,$BA$11:$BA$4010,0)),""))</f>
        <v/>
      </c>
      <c r="R44" s="25" t="str">
        <f>IF(P44="","",IFERROR(INDEX($AO$11:$AO$4010,MATCH($S$8&amp;"|"&amp;34,$BA$11:$BA$4010,0)),""))</f>
        <v/>
      </c>
      <c r="S44" s="24" t="str">
        <f>IF(P44="","",IFERROR(INDEX($AP$11:$AP$4010,MATCH($S$8&amp;"|"&amp;34,$BA$11:$BA$4010,0)),""))</f>
        <v/>
      </c>
      <c r="T44" s="24" t="str">
        <f>IF(P44="","",IFERROR(INDEX($AQ$11:$AQ$4010,MATCH($S$8&amp;"|"&amp;34,$BA$11:$BA$4010,0)),""))</f>
        <v/>
      </c>
      <c r="U44" s="38" t="str">
        <f t="shared" si="14"/>
        <v/>
      </c>
      <c r="W44" s="28" t="str">
        <f>IF(X44="","",IFERROR(INDEX($AL$11:$AL$4010,MATCH(34,$AY$11:$AY$4010,0)),""))</f>
        <v/>
      </c>
      <c r="X44" s="26" t="str">
        <f>IFERROR(INDEX($AM$11:$AM$4010,MATCH(34,$AY$11:$AY$4010,0)),"")</f>
        <v/>
      </c>
      <c r="Y44" s="25" t="str">
        <f>IF(X44="","",IFERROR(INDEX($AN$11:$AN$4010,MATCH(34,$AY$11:$AY$4010,0)),""))</f>
        <v/>
      </c>
      <c r="Z44" s="25" t="str">
        <f>IF(X44="","",IFERROR(INDEX($AO$11:$AO$4010,MATCH(34,$AY$11:$AY$4010,0)),""))</f>
        <v/>
      </c>
      <c r="AA44" s="24" t="str">
        <f>IF(X44="","",IFERROR(INDEX($AQ$11:$AQ$4010,MATCH(34,$AY$11:$AY$4010,0)),""))</f>
        <v/>
      </c>
      <c r="AB44" s="29" t="str">
        <f>IF(X44="","",IFERROR(INDEX($AR$11:$AR$4010,MATCH(34,$AY$11:$AY$4010,0)),""))</f>
        <v/>
      </c>
      <c r="AD44" s="30" t="str">
        <f>IF(AE44="","",IFERROR(INDEX($AL$11:$AL$4010,MATCH(34,$AZ$11:$AZ$4010,0)),""))</f>
        <v/>
      </c>
      <c r="AE44" s="26" t="str">
        <f>IFERROR(INDEX($AM$11:$AM$4010,MATCH(34,$AZ$11:$AZ$4010,0)),"")</f>
        <v/>
      </c>
      <c r="AF44" s="25" t="str">
        <f>IF(AE44="","",IFERROR(INDEX($AN$11:$AN$4010,MATCH(34,$AZ$11:$AZ$4010,0)),""))</f>
        <v/>
      </c>
      <c r="AG44" s="25" t="str">
        <f>IF(AE44="","",IFERROR(INDEX($AO$11:$AO$4010,MATCH(34,$AZ$11:$AZ$4010,0)),""))</f>
        <v/>
      </c>
      <c r="AH44" s="24" t="str">
        <f>IF(AE44="","",IFERROR(INDEX($AQ$11:$AQ$4010,MATCH(34,$AZ$11:$AZ$4010,0)),""))</f>
        <v/>
      </c>
      <c r="AI44" s="29" t="str">
        <f>IF(AE44="","",IFERROR(INDEX($AR$11:$AR$4010,MATCH(34,$AZ$11:$AZ$4010,0)),""))</f>
        <v/>
      </c>
      <c r="AJ44" s="29" t="str">
        <f>IF(AE44="","",IFERROR(INDEX($AT$11:$AT$4010,MATCH(34,$AZ$11:$AZ$4010,0)),""))</f>
        <v/>
      </c>
      <c r="AL44" s="31" t="str">
        <f t="shared" si="5"/>
        <v/>
      </c>
      <c r="AM44" s="26" t="str">
        <f t="shared" si="6"/>
        <v/>
      </c>
      <c r="AN44" s="32" t="str">
        <f t="shared" si="7"/>
        <v/>
      </c>
      <c r="AO44" s="32" t="str">
        <f t="shared" si="8"/>
        <v/>
      </c>
      <c r="AP44" s="24" t="str">
        <f t="shared" si="9"/>
        <v/>
      </c>
      <c r="AQ44" s="24" t="str">
        <f t="shared" si="10"/>
        <v/>
      </c>
      <c r="AR44" s="33" t="str">
        <f t="shared" si="11"/>
        <v/>
      </c>
      <c r="AS44" s="34"/>
      <c r="AT44" s="33"/>
      <c r="AV44" s="21">
        <f>IF(AND($AL44&lt;&gt;"",COUNTIF($AL$11:$AL44,$AL44)=1),1,0)</f>
        <v>0</v>
      </c>
      <c r="AW44" s="21">
        <f t="shared" si="13"/>
        <v>0</v>
      </c>
      <c r="AX44" s="21" t="str">
        <f t="shared" si="12"/>
        <v/>
      </c>
      <c r="AY44" s="21" t="str">
        <f>IF(AND($AM44&lt;&gt;"",$AS44&lt;&gt;"✓"),SUMPRODUCT(($AM$11:$AM44&lt;&gt;"")*($AS$11:$AS44&lt;&gt;"✓")),"")</f>
        <v/>
      </c>
      <c r="AZ44" s="21" t="str">
        <f>IF(AND($AM44&lt;&gt;"",$AS44="✓"),SUMPRODUCT(($AM$11:$AM44&lt;&gt;"")*($AS$11:$AS44="✓")),"")</f>
        <v/>
      </c>
      <c r="BA44" s="21" t="str">
        <f>IF($AL44="","",$AL44&amp;"|"&amp;COUNTIF($AL$11:$AL44,$AL44))</f>
        <v/>
      </c>
      <c r="BD44" s="36" t="str">
        <f>IF(IFERROR(INDEX($AM$11:$AM$4010,MATCH($S$8&amp;"|"&amp;32,$BA$11:$BA$4010,0)),"")="","",32)</f>
        <v/>
      </c>
      <c r="BE44" s="36" t="str">
        <f>IFERROR(INDEX($AM$11:$AM$4010,MATCH($S$8&amp;"|"&amp;32,$BA$11:$BA$4010,0)),"")</f>
        <v/>
      </c>
      <c r="BF44" s="36" t="str">
        <f>IFERROR(INDEX($AP$11:$AP$4010,MATCH($S$8&amp;"|"&amp;32,$BA$11:$BA$4010,0)),"")</f>
        <v/>
      </c>
      <c r="BG44" s="36" t="str">
        <f>IFERROR(INDEX($AQ$11:$AQ$4010,MATCH($S$8&amp;"|"&amp;32,$BA$11:$BA$4010,0)),"")</f>
        <v/>
      </c>
      <c r="BH44" s="37" t="str">
        <f>IFERROR(INDEX($AN$11:$AN$4010,MATCH($S$8&amp;"|"&amp;32,$BA$11:$BA$4010,0)),"")</f>
        <v/>
      </c>
      <c r="BI44" s="37" t="str">
        <f>IFERROR(INDEX($AO$11:$AO$4010,MATCH($S$8&amp;"|"&amp;32,$BA$11:$BA$4010,0)),"")</f>
        <v/>
      </c>
      <c r="BL44" s="36" t="str">
        <f>IF(IFERROR(INDEX($AM$11:$AM$4010,MATCH($S$8&amp;"|"&amp;32,$BA$11:$BA$4010,0)),"")="","",32)</f>
        <v/>
      </c>
      <c r="BM44" s="36" t="str">
        <f>IFERROR(INDEX($AM$11:$AM$4010,MATCH($S$8&amp;"|"&amp;32,$BA$11:$BA$4010,0)),"")</f>
        <v/>
      </c>
      <c r="BN44" s="36" t="str">
        <f>IFERROR(INDEX($AP$11:$AP$4010,MATCH($S$8&amp;"|"&amp;32,$BA$11:$BA$4010,0)),"")</f>
        <v/>
      </c>
      <c r="BO44" s="36" t="str">
        <f>IFERROR(INDEX($AQ$11:$AQ$4010,MATCH($S$8&amp;"|"&amp;32,$BA$11:$BA$4010,0)),"")</f>
        <v/>
      </c>
      <c r="BP44" s="37" t="str">
        <f>IFERROR(INDEX($AN$11:$AN$4010,MATCH($S$8&amp;"|"&amp;32,$BA$11:$BA$4010,0)),"")</f>
        <v/>
      </c>
      <c r="BQ44" s="37" t="str">
        <f>IFERROR(INDEX($AO$11:$AO$4010,MATCH($S$8&amp;"|"&amp;32,$BA$11:$BA$4010,0)),"")</f>
        <v/>
      </c>
    </row>
    <row r="45" spans="2:69" ht="13.5" customHeight="1" x14ac:dyDescent="0.25">
      <c r="B45" s="5" t="str">
        <f t="shared" si="0"/>
        <v/>
      </c>
      <c r="C45" s="5"/>
      <c r="D45" s="5"/>
      <c r="E45" s="5"/>
      <c r="F45" s="6"/>
      <c r="G45" s="6"/>
      <c r="H45" s="7"/>
      <c r="I45" s="8"/>
      <c r="K45" s="9" t="str">
        <f>IFERROR(INDEX($AL$11:$AL$4010,MATCH(35,$AX$11:$AX$4010,0)),"")</f>
        <v/>
      </c>
      <c r="L45" s="10" t="str">
        <f t="shared" si="1"/>
        <v/>
      </c>
      <c r="M45" s="11" t="str">
        <f t="shared" si="2"/>
        <v/>
      </c>
      <c r="N45" s="11" t="str">
        <f t="shared" si="3"/>
        <v/>
      </c>
      <c r="P45" s="12" t="str">
        <f>IFERROR(INDEX($AM$11:$AM$4010,MATCH($S$8&amp;"|"&amp;35,$BA$11:$BA$4010,0)),"")</f>
        <v/>
      </c>
      <c r="Q45" s="11" t="str">
        <f>IF(P45="","",IFERROR(INDEX($AN$11:$AN$4010,MATCH($S$8&amp;"|"&amp;35,$BA$11:$BA$4010,0)),""))</f>
        <v/>
      </c>
      <c r="R45" s="11" t="str">
        <f>IF(P45="","",IFERROR(INDEX($AO$11:$AO$4010,MATCH($S$8&amp;"|"&amp;35,$BA$11:$BA$4010,0)),""))</f>
        <v/>
      </c>
      <c r="S45" s="10" t="str">
        <f>IF(P45="","",IFERROR(INDEX($AP$11:$AP$4010,MATCH($S$8&amp;"|"&amp;35,$BA$11:$BA$4010,0)),""))</f>
        <v/>
      </c>
      <c r="T45" s="10" t="str">
        <f>IF(P45="","",IFERROR(INDEX($AQ$11:$AQ$4010,MATCH($S$8&amp;"|"&amp;35,$BA$11:$BA$4010,0)),""))</f>
        <v/>
      </c>
      <c r="U45" s="39" t="str">
        <f t="shared" si="14"/>
        <v/>
      </c>
      <c r="W45" s="14" t="str">
        <f>IF(X45="","",IFERROR(INDEX($AL$11:$AL$4010,MATCH(35,$AY$11:$AY$4010,0)),""))</f>
        <v/>
      </c>
      <c r="X45" s="12" t="str">
        <f>IFERROR(INDEX($AM$11:$AM$4010,MATCH(35,$AY$11:$AY$4010,0)),"")</f>
        <v/>
      </c>
      <c r="Y45" s="11" t="str">
        <f>IF(X45="","",IFERROR(INDEX($AN$11:$AN$4010,MATCH(35,$AY$11:$AY$4010,0)),""))</f>
        <v/>
      </c>
      <c r="Z45" s="11" t="str">
        <f>IF(X45="","",IFERROR(INDEX($AO$11:$AO$4010,MATCH(35,$AY$11:$AY$4010,0)),""))</f>
        <v/>
      </c>
      <c r="AA45" s="10" t="str">
        <f>IF(X45="","",IFERROR(INDEX($AQ$11:$AQ$4010,MATCH(35,$AY$11:$AY$4010,0)),""))</f>
        <v/>
      </c>
      <c r="AB45" s="15" t="str">
        <f>IF(X45="","",IFERROR(INDEX($AR$11:$AR$4010,MATCH(35,$AY$11:$AY$4010,0)),""))</f>
        <v/>
      </c>
      <c r="AD45" s="16" t="str">
        <f>IF(AE45="","",IFERROR(INDEX($AL$11:$AL$4010,MATCH(35,$AZ$11:$AZ$4010,0)),""))</f>
        <v/>
      </c>
      <c r="AE45" s="12" t="str">
        <f>IFERROR(INDEX($AM$11:$AM$4010,MATCH(35,$AZ$11:$AZ$4010,0)),"")</f>
        <v/>
      </c>
      <c r="AF45" s="11" t="str">
        <f>IF(AE45="","",IFERROR(INDEX($AN$11:$AN$4010,MATCH(35,$AZ$11:$AZ$4010,0)),""))</f>
        <v/>
      </c>
      <c r="AG45" s="11" t="str">
        <f>IF(AE45="","",IFERROR(INDEX($AO$11:$AO$4010,MATCH(35,$AZ$11:$AZ$4010,0)),""))</f>
        <v/>
      </c>
      <c r="AH45" s="10" t="str">
        <f>IF(AE45="","",IFERROR(INDEX($AQ$11:$AQ$4010,MATCH(35,$AZ$11:$AZ$4010,0)),""))</f>
        <v/>
      </c>
      <c r="AI45" s="15" t="str">
        <f>IF(AE45="","",IFERROR(INDEX($AR$11:$AR$4010,MATCH(35,$AZ$11:$AZ$4010,0)),""))</f>
        <v/>
      </c>
      <c r="AJ45" s="15" t="str">
        <f>IF(AE45="","",IFERROR(INDEX($AT$11:$AT$4010,MATCH(35,$AZ$11:$AZ$4010,0)),""))</f>
        <v/>
      </c>
      <c r="AL45" s="17" t="str">
        <f t="shared" si="5"/>
        <v/>
      </c>
      <c r="AM45" s="12" t="str">
        <f t="shared" si="6"/>
        <v/>
      </c>
      <c r="AN45" s="18" t="str">
        <f t="shared" si="7"/>
        <v/>
      </c>
      <c r="AO45" s="18" t="str">
        <f t="shared" si="8"/>
        <v/>
      </c>
      <c r="AP45" s="10" t="str">
        <f t="shared" si="9"/>
        <v/>
      </c>
      <c r="AQ45" s="10" t="str">
        <f t="shared" si="10"/>
        <v/>
      </c>
      <c r="AR45" s="19" t="str">
        <f t="shared" si="11"/>
        <v/>
      </c>
      <c r="AS45" s="20"/>
      <c r="AT45" s="19"/>
      <c r="AV45" s="21">
        <f>IF(AND($AL45&lt;&gt;"",COUNTIF($AL$11:$AL45,$AL45)=1),1,0)</f>
        <v>0</v>
      </c>
      <c r="AW45" s="21">
        <f t="shared" si="13"/>
        <v>0</v>
      </c>
      <c r="AX45" s="21" t="str">
        <f t="shared" si="12"/>
        <v/>
      </c>
      <c r="AY45" s="21" t="str">
        <f>IF(AND($AM45&lt;&gt;"",$AS45&lt;&gt;"✓"),SUMPRODUCT(($AM$11:$AM45&lt;&gt;"")*($AS$11:$AS45&lt;&gt;"✓")),"")</f>
        <v/>
      </c>
      <c r="AZ45" s="21" t="str">
        <f>IF(AND($AM45&lt;&gt;"",$AS45="✓"),SUMPRODUCT(($AM$11:$AM45&lt;&gt;"")*($AS$11:$AS45="✓")),"")</f>
        <v/>
      </c>
      <c r="BA45" s="21" t="str">
        <f>IF($AL45="","",$AL45&amp;"|"&amp;COUNTIF($AL$11:$AL45,$AL45))</f>
        <v/>
      </c>
      <c r="BD45" s="36" t="str">
        <f>IF(IFERROR(INDEX($AM$11:$AM$4010,MATCH($S$8&amp;"|"&amp;33,$BA$11:$BA$4010,0)),"")="","",33)</f>
        <v/>
      </c>
      <c r="BE45" s="36" t="str">
        <f>IFERROR(INDEX($AM$11:$AM$4010,MATCH($S$8&amp;"|"&amp;33,$BA$11:$BA$4010,0)),"")</f>
        <v/>
      </c>
      <c r="BF45" s="36" t="str">
        <f>IFERROR(INDEX($AP$11:$AP$4010,MATCH($S$8&amp;"|"&amp;33,$BA$11:$BA$4010,0)),"")</f>
        <v/>
      </c>
      <c r="BG45" s="36" t="str">
        <f>IFERROR(INDEX($AQ$11:$AQ$4010,MATCH($S$8&amp;"|"&amp;33,$BA$11:$BA$4010,0)),"")</f>
        <v/>
      </c>
      <c r="BH45" s="37" t="str">
        <f>IFERROR(INDEX($AN$11:$AN$4010,MATCH($S$8&amp;"|"&amp;33,$BA$11:$BA$4010,0)),"")</f>
        <v/>
      </c>
      <c r="BI45" s="37" t="str">
        <f>IFERROR(INDEX($AO$11:$AO$4010,MATCH($S$8&amp;"|"&amp;33,$BA$11:$BA$4010,0)),"")</f>
        <v/>
      </c>
      <c r="BL45" s="36" t="str">
        <f>IF(IFERROR(INDEX($AM$11:$AM$4010,MATCH($S$8&amp;"|"&amp;33,$BA$11:$BA$4010,0)),"")="","",33)</f>
        <v/>
      </c>
      <c r="BM45" s="36" t="str">
        <f>IFERROR(INDEX($AM$11:$AM$4010,MATCH($S$8&amp;"|"&amp;33,$BA$11:$BA$4010,0)),"")</f>
        <v/>
      </c>
      <c r="BN45" s="36" t="str">
        <f>IFERROR(INDEX($AP$11:$AP$4010,MATCH($S$8&amp;"|"&amp;33,$BA$11:$BA$4010,0)),"")</f>
        <v/>
      </c>
      <c r="BO45" s="36" t="str">
        <f>IFERROR(INDEX($AQ$11:$AQ$4010,MATCH($S$8&amp;"|"&amp;33,$BA$11:$BA$4010,0)),"")</f>
        <v/>
      </c>
      <c r="BP45" s="37" t="str">
        <f>IFERROR(INDEX($AN$11:$AN$4010,MATCH($S$8&amp;"|"&amp;33,$BA$11:$BA$4010,0)),"")</f>
        <v/>
      </c>
      <c r="BQ45" s="37" t="str">
        <f>IFERROR(INDEX($AO$11:$AO$4010,MATCH($S$8&amp;"|"&amp;33,$BA$11:$BA$4010,0)),"")</f>
        <v/>
      </c>
    </row>
    <row r="46" spans="2:69" ht="13.5" customHeight="1" x14ac:dyDescent="0.25">
      <c r="B46" s="5" t="str">
        <f t="shared" si="0"/>
        <v/>
      </c>
      <c r="C46" s="5"/>
      <c r="D46" s="5"/>
      <c r="E46" s="5"/>
      <c r="F46" s="6"/>
      <c r="G46" s="6"/>
      <c r="H46" s="7"/>
      <c r="I46" s="8"/>
      <c r="K46" s="23" t="str">
        <f>IFERROR(INDEX($AL$11:$AL$4010,MATCH(36,$AX$11:$AX$4010,0)),"")</f>
        <v/>
      </c>
      <c r="L46" s="24" t="str">
        <f t="shared" si="1"/>
        <v/>
      </c>
      <c r="M46" s="25" t="str">
        <f t="shared" si="2"/>
        <v/>
      </c>
      <c r="N46" s="25" t="str">
        <f t="shared" si="3"/>
        <v/>
      </c>
      <c r="P46" s="26" t="str">
        <f>IFERROR(INDEX($AM$11:$AM$4010,MATCH($S$8&amp;"|"&amp;36,$BA$11:$BA$4010,0)),"")</f>
        <v/>
      </c>
      <c r="Q46" s="25" t="str">
        <f>IF(P46="","",IFERROR(INDEX($AN$11:$AN$4010,MATCH($S$8&amp;"|"&amp;36,$BA$11:$BA$4010,0)),""))</f>
        <v/>
      </c>
      <c r="R46" s="25" t="str">
        <f>IF(P46="","",IFERROR(INDEX($AO$11:$AO$4010,MATCH($S$8&amp;"|"&amp;36,$BA$11:$BA$4010,0)),""))</f>
        <v/>
      </c>
      <c r="S46" s="24" t="str">
        <f>IF(P46="","",IFERROR(INDEX($AP$11:$AP$4010,MATCH($S$8&amp;"|"&amp;36,$BA$11:$BA$4010,0)),""))</f>
        <v/>
      </c>
      <c r="T46" s="24" t="str">
        <f>IF(P46="","",IFERROR(INDEX($AQ$11:$AQ$4010,MATCH($S$8&amp;"|"&amp;36,$BA$11:$BA$4010,0)),""))</f>
        <v/>
      </c>
      <c r="U46" s="38" t="str">
        <f t="shared" si="14"/>
        <v/>
      </c>
      <c r="W46" s="28" t="str">
        <f>IF(X46="","",IFERROR(INDEX($AL$11:$AL$4010,MATCH(36,$AY$11:$AY$4010,0)),""))</f>
        <v/>
      </c>
      <c r="X46" s="26" t="str">
        <f>IFERROR(INDEX($AM$11:$AM$4010,MATCH(36,$AY$11:$AY$4010,0)),"")</f>
        <v/>
      </c>
      <c r="Y46" s="25" t="str">
        <f>IF(X46="","",IFERROR(INDEX($AN$11:$AN$4010,MATCH(36,$AY$11:$AY$4010,0)),""))</f>
        <v/>
      </c>
      <c r="Z46" s="25" t="str">
        <f>IF(X46="","",IFERROR(INDEX($AO$11:$AO$4010,MATCH(36,$AY$11:$AY$4010,0)),""))</f>
        <v/>
      </c>
      <c r="AA46" s="24" t="str">
        <f>IF(X46="","",IFERROR(INDEX($AQ$11:$AQ$4010,MATCH(36,$AY$11:$AY$4010,0)),""))</f>
        <v/>
      </c>
      <c r="AB46" s="29" t="str">
        <f>IF(X46="","",IFERROR(INDEX($AR$11:$AR$4010,MATCH(36,$AY$11:$AY$4010,0)),""))</f>
        <v/>
      </c>
      <c r="AD46" s="30" t="str">
        <f>IF(AE46="","",IFERROR(INDEX($AL$11:$AL$4010,MATCH(36,$AZ$11:$AZ$4010,0)),""))</f>
        <v/>
      </c>
      <c r="AE46" s="26" t="str">
        <f>IFERROR(INDEX($AM$11:$AM$4010,MATCH(36,$AZ$11:$AZ$4010,0)),"")</f>
        <v/>
      </c>
      <c r="AF46" s="25" t="str">
        <f>IF(AE46="","",IFERROR(INDEX($AN$11:$AN$4010,MATCH(36,$AZ$11:$AZ$4010,0)),""))</f>
        <v/>
      </c>
      <c r="AG46" s="25" t="str">
        <f>IF(AE46="","",IFERROR(INDEX($AO$11:$AO$4010,MATCH(36,$AZ$11:$AZ$4010,0)),""))</f>
        <v/>
      </c>
      <c r="AH46" s="24" t="str">
        <f>IF(AE46="","",IFERROR(INDEX($AQ$11:$AQ$4010,MATCH(36,$AZ$11:$AZ$4010,0)),""))</f>
        <v/>
      </c>
      <c r="AI46" s="29" t="str">
        <f>IF(AE46="","",IFERROR(INDEX($AR$11:$AR$4010,MATCH(36,$AZ$11:$AZ$4010,0)),""))</f>
        <v/>
      </c>
      <c r="AJ46" s="29" t="str">
        <f>IF(AE46="","",IFERROR(INDEX($AT$11:$AT$4010,MATCH(36,$AZ$11:$AZ$4010,0)),""))</f>
        <v/>
      </c>
      <c r="AL46" s="31" t="str">
        <f t="shared" si="5"/>
        <v/>
      </c>
      <c r="AM46" s="26" t="str">
        <f t="shared" si="6"/>
        <v/>
      </c>
      <c r="AN46" s="32" t="str">
        <f t="shared" si="7"/>
        <v/>
      </c>
      <c r="AO46" s="32" t="str">
        <f t="shared" si="8"/>
        <v/>
      </c>
      <c r="AP46" s="24" t="str">
        <f t="shared" si="9"/>
        <v/>
      </c>
      <c r="AQ46" s="24" t="str">
        <f t="shared" si="10"/>
        <v/>
      </c>
      <c r="AR46" s="33" t="str">
        <f t="shared" si="11"/>
        <v/>
      </c>
      <c r="AS46" s="34"/>
      <c r="AT46" s="33"/>
      <c r="AV46" s="21">
        <f>IF(AND($AL46&lt;&gt;"",COUNTIF($AL$11:$AL46,$AL46)=1),1,0)</f>
        <v>0</v>
      </c>
      <c r="AW46" s="21">
        <f t="shared" si="13"/>
        <v>0</v>
      </c>
      <c r="AX46" s="21" t="str">
        <f t="shared" si="12"/>
        <v/>
      </c>
      <c r="AY46" s="21" t="str">
        <f>IF(AND($AM46&lt;&gt;"",$AS46&lt;&gt;"✓"),SUMPRODUCT(($AM$11:$AM46&lt;&gt;"")*($AS$11:$AS46&lt;&gt;"✓")),"")</f>
        <v/>
      </c>
      <c r="AZ46" s="21" t="str">
        <f>IF(AND($AM46&lt;&gt;"",$AS46="✓"),SUMPRODUCT(($AM$11:$AM46&lt;&gt;"")*($AS$11:$AS46="✓")),"")</f>
        <v/>
      </c>
      <c r="BA46" s="21" t="str">
        <f>IF($AL46="","",$AL46&amp;"|"&amp;COUNTIF($AL$11:$AL46,$AL46))</f>
        <v/>
      </c>
      <c r="BD46" s="36" t="str">
        <f>IF(IFERROR(INDEX($AM$11:$AM$4010,MATCH($S$8&amp;"|"&amp;34,$BA$11:$BA$4010,0)),"")="","",34)</f>
        <v/>
      </c>
      <c r="BE46" s="36" t="str">
        <f>IFERROR(INDEX($AM$11:$AM$4010,MATCH($S$8&amp;"|"&amp;34,$BA$11:$BA$4010,0)),"")</f>
        <v/>
      </c>
      <c r="BF46" s="36" t="str">
        <f>IFERROR(INDEX($AP$11:$AP$4010,MATCH($S$8&amp;"|"&amp;34,$BA$11:$BA$4010,0)),"")</f>
        <v/>
      </c>
      <c r="BG46" s="36" t="str">
        <f>IFERROR(INDEX($AQ$11:$AQ$4010,MATCH($S$8&amp;"|"&amp;34,$BA$11:$BA$4010,0)),"")</f>
        <v/>
      </c>
      <c r="BH46" s="37" t="str">
        <f>IFERROR(INDEX($AN$11:$AN$4010,MATCH($S$8&amp;"|"&amp;34,$BA$11:$BA$4010,0)),"")</f>
        <v/>
      </c>
      <c r="BI46" s="37" t="str">
        <f>IFERROR(INDEX($AO$11:$AO$4010,MATCH($S$8&amp;"|"&amp;34,$BA$11:$BA$4010,0)),"")</f>
        <v/>
      </c>
      <c r="BL46" s="36" t="str">
        <f>IF(IFERROR(INDEX($AM$11:$AM$4010,MATCH($S$8&amp;"|"&amp;34,$BA$11:$BA$4010,0)),"")="","",34)</f>
        <v/>
      </c>
      <c r="BM46" s="36" t="str">
        <f>IFERROR(INDEX($AM$11:$AM$4010,MATCH($S$8&amp;"|"&amp;34,$BA$11:$BA$4010,0)),"")</f>
        <v/>
      </c>
      <c r="BN46" s="36" t="str">
        <f>IFERROR(INDEX($AP$11:$AP$4010,MATCH($S$8&amp;"|"&amp;34,$BA$11:$BA$4010,0)),"")</f>
        <v/>
      </c>
      <c r="BO46" s="36" t="str">
        <f>IFERROR(INDEX($AQ$11:$AQ$4010,MATCH($S$8&amp;"|"&amp;34,$BA$11:$BA$4010,0)),"")</f>
        <v/>
      </c>
      <c r="BP46" s="37" t="str">
        <f>IFERROR(INDEX($AN$11:$AN$4010,MATCH($S$8&amp;"|"&amp;34,$BA$11:$BA$4010,0)),"")</f>
        <v/>
      </c>
      <c r="BQ46" s="37" t="str">
        <f>IFERROR(INDEX($AO$11:$AO$4010,MATCH($S$8&amp;"|"&amp;34,$BA$11:$BA$4010,0)),"")</f>
        <v/>
      </c>
    </row>
    <row r="47" spans="2:69" ht="13.5" customHeight="1" x14ac:dyDescent="0.25">
      <c r="B47" s="5" t="str">
        <f t="shared" si="0"/>
        <v/>
      </c>
      <c r="C47" s="5"/>
      <c r="D47" s="5"/>
      <c r="E47" s="5"/>
      <c r="F47" s="6"/>
      <c r="G47" s="6"/>
      <c r="H47" s="7"/>
      <c r="I47" s="8"/>
      <c r="K47" s="9" t="str">
        <f>IFERROR(INDEX($AL$11:$AL$4010,MATCH(37,$AX$11:$AX$4010,0)),"")</f>
        <v/>
      </c>
      <c r="L47" s="10" t="str">
        <f t="shared" si="1"/>
        <v/>
      </c>
      <c r="M47" s="11" t="str">
        <f t="shared" si="2"/>
        <v/>
      </c>
      <c r="N47" s="11" t="str">
        <f t="shared" si="3"/>
        <v/>
      </c>
      <c r="P47" s="12" t="str">
        <f>IFERROR(INDEX($AM$11:$AM$4010,MATCH($S$8&amp;"|"&amp;37,$BA$11:$BA$4010,0)),"")</f>
        <v/>
      </c>
      <c r="Q47" s="11" t="str">
        <f>IF(P47="","",IFERROR(INDEX($AN$11:$AN$4010,MATCH($S$8&amp;"|"&amp;37,$BA$11:$BA$4010,0)),""))</f>
        <v/>
      </c>
      <c r="R47" s="11" t="str">
        <f>IF(P47="","",IFERROR(INDEX($AO$11:$AO$4010,MATCH($S$8&amp;"|"&amp;37,$BA$11:$BA$4010,0)),""))</f>
        <v/>
      </c>
      <c r="S47" s="10" t="str">
        <f>IF(P47="","",IFERROR(INDEX($AP$11:$AP$4010,MATCH($S$8&amp;"|"&amp;37,$BA$11:$BA$4010,0)),""))</f>
        <v/>
      </c>
      <c r="T47" s="10" t="str">
        <f>IF(P47="","",IFERROR(INDEX($AQ$11:$AQ$4010,MATCH($S$8&amp;"|"&amp;37,$BA$11:$BA$4010,0)),""))</f>
        <v/>
      </c>
      <c r="U47" s="39" t="str">
        <f t="shared" si="14"/>
        <v/>
      </c>
      <c r="W47" s="14" t="str">
        <f>IF(X47="","",IFERROR(INDEX($AL$11:$AL$4010,MATCH(37,$AY$11:$AY$4010,0)),""))</f>
        <v/>
      </c>
      <c r="X47" s="12" t="str">
        <f>IFERROR(INDEX($AM$11:$AM$4010,MATCH(37,$AY$11:$AY$4010,0)),"")</f>
        <v/>
      </c>
      <c r="Y47" s="11" t="str">
        <f>IF(X47="","",IFERROR(INDEX($AN$11:$AN$4010,MATCH(37,$AY$11:$AY$4010,0)),""))</f>
        <v/>
      </c>
      <c r="Z47" s="11" t="str">
        <f>IF(X47="","",IFERROR(INDEX($AO$11:$AO$4010,MATCH(37,$AY$11:$AY$4010,0)),""))</f>
        <v/>
      </c>
      <c r="AA47" s="10" t="str">
        <f>IF(X47="","",IFERROR(INDEX($AQ$11:$AQ$4010,MATCH(37,$AY$11:$AY$4010,0)),""))</f>
        <v/>
      </c>
      <c r="AB47" s="15" t="str">
        <f>IF(X47="","",IFERROR(INDEX($AR$11:$AR$4010,MATCH(37,$AY$11:$AY$4010,0)),""))</f>
        <v/>
      </c>
      <c r="AD47" s="16" t="str">
        <f>IF(AE47="","",IFERROR(INDEX($AL$11:$AL$4010,MATCH(37,$AZ$11:$AZ$4010,0)),""))</f>
        <v/>
      </c>
      <c r="AE47" s="12" t="str">
        <f>IFERROR(INDEX($AM$11:$AM$4010,MATCH(37,$AZ$11:$AZ$4010,0)),"")</f>
        <v/>
      </c>
      <c r="AF47" s="11" t="str">
        <f>IF(AE47="","",IFERROR(INDEX($AN$11:$AN$4010,MATCH(37,$AZ$11:$AZ$4010,0)),""))</f>
        <v/>
      </c>
      <c r="AG47" s="11" t="str">
        <f>IF(AE47="","",IFERROR(INDEX($AO$11:$AO$4010,MATCH(37,$AZ$11:$AZ$4010,0)),""))</f>
        <v/>
      </c>
      <c r="AH47" s="10" t="str">
        <f>IF(AE47="","",IFERROR(INDEX($AQ$11:$AQ$4010,MATCH(37,$AZ$11:$AZ$4010,0)),""))</f>
        <v/>
      </c>
      <c r="AI47" s="15" t="str">
        <f>IF(AE47="","",IFERROR(INDEX($AR$11:$AR$4010,MATCH(37,$AZ$11:$AZ$4010,0)),""))</f>
        <v/>
      </c>
      <c r="AJ47" s="15" t="str">
        <f>IF(AE47="","",IFERROR(INDEX($AT$11:$AT$4010,MATCH(37,$AZ$11:$AZ$4010,0)),""))</f>
        <v/>
      </c>
      <c r="AL47" s="17" t="str">
        <f t="shared" si="5"/>
        <v/>
      </c>
      <c r="AM47" s="12" t="str">
        <f t="shared" si="6"/>
        <v/>
      </c>
      <c r="AN47" s="18" t="str">
        <f t="shared" si="7"/>
        <v/>
      </c>
      <c r="AO47" s="18" t="str">
        <f t="shared" si="8"/>
        <v/>
      </c>
      <c r="AP47" s="10" t="str">
        <f t="shared" si="9"/>
        <v/>
      </c>
      <c r="AQ47" s="10" t="str">
        <f t="shared" si="10"/>
        <v/>
      </c>
      <c r="AR47" s="19" t="str">
        <f t="shared" si="11"/>
        <v/>
      </c>
      <c r="AS47" s="20"/>
      <c r="AT47" s="19"/>
      <c r="AV47" s="21">
        <f>IF(AND($AL47&lt;&gt;"",COUNTIF($AL$11:$AL47,$AL47)=1),1,0)</f>
        <v>0</v>
      </c>
      <c r="AW47" s="21">
        <f t="shared" si="13"/>
        <v>0</v>
      </c>
      <c r="AX47" s="21" t="str">
        <f t="shared" si="12"/>
        <v/>
      </c>
      <c r="AY47" s="21" t="str">
        <f>IF(AND($AM47&lt;&gt;"",$AS47&lt;&gt;"✓"),SUMPRODUCT(($AM$11:$AM47&lt;&gt;"")*($AS$11:$AS47&lt;&gt;"✓")),"")</f>
        <v/>
      </c>
      <c r="AZ47" s="21" t="str">
        <f>IF(AND($AM47&lt;&gt;"",$AS47="✓"),SUMPRODUCT(($AM$11:$AM47&lt;&gt;"")*($AS$11:$AS47="✓")),"")</f>
        <v/>
      </c>
      <c r="BA47" s="21" t="str">
        <f>IF($AL47="","",$AL47&amp;"|"&amp;COUNTIF($AL$11:$AL47,$AL47))</f>
        <v/>
      </c>
      <c r="BD47" s="36" t="str">
        <f>IF(IFERROR(INDEX($AM$11:$AM$4010,MATCH($S$8&amp;"|"&amp;35,$BA$11:$BA$4010,0)),"")="","",35)</f>
        <v/>
      </c>
      <c r="BE47" s="36" t="str">
        <f>IFERROR(INDEX($AM$11:$AM$4010,MATCH($S$8&amp;"|"&amp;35,$BA$11:$BA$4010,0)),"")</f>
        <v/>
      </c>
      <c r="BF47" s="36" t="str">
        <f>IFERROR(INDEX($AP$11:$AP$4010,MATCH($S$8&amp;"|"&amp;35,$BA$11:$BA$4010,0)),"")</f>
        <v/>
      </c>
      <c r="BG47" s="36" t="str">
        <f>IFERROR(INDEX($AQ$11:$AQ$4010,MATCH($S$8&amp;"|"&amp;35,$BA$11:$BA$4010,0)),"")</f>
        <v/>
      </c>
      <c r="BH47" s="37" t="str">
        <f>IFERROR(INDEX($AN$11:$AN$4010,MATCH($S$8&amp;"|"&amp;35,$BA$11:$BA$4010,0)),"")</f>
        <v/>
      </c>
      <c r="BI47" s="37" t="str">
        <f>IFERROR(INDEX($AO$11:$AO$4010,MATCH($S$8&amp;"|"&amp;35,$BA$11:$BA$4010,0)),"")</f>
        <v/>
      </c>
      <c r="BL47" s="36" t="str">
        <f>IF(IFERROR(INDEX($AM$11:$AM$4010,MATCH($S$8&amp;"|"&amp;35,$BA$11:$BA$4010,0)),"")="","",35)</f>
        <v/>
      </c>
      <c r="BM47" s="36" t="str">
        <f>IFERROR(INDEX($AM$11:$AM$4010,MATCH($S$8&amp;"|"&amp;35,$BA$11:$BA$4010,0)),"")</f>
        <v/>
      </c>
      <c r="BN47" s="36" t="str">
        <f>IFERROR(INDEX($AP$11:$AP$4010,MATCH($S$8&amp;"|"&amp;35,$BA$11:$BA$4010,0)),"")</f>
        <v/>
      </c>
      <c r="BO47" s="36" t="str">
        <f>IFERROR(INDEX($AQ$11:$AQ$4010,MATCH($S$8&amp;"|"&amp;35,$BA$11:$BA$4010,0)),"")</f>
        <v/>
      </c>
      <c r="BP47" s="37" t="str">
        <f>IFERROR(INDEX($AN$11:$AN$4010,MATCH($S$8&amp;"|"&amp;35,$BA$11:$BA$4010,0)),"")</f>
        <v/>
      </c>
      <c r="BQ47" s="37" t="str">
        <f>IFERROR(INDEX($AO$11:$AO$4010,MATCH($S$8&amp;"|"&amp;35,$BA$11:$BA$4010,0)),"")</f>
        <v/>
      </c>
    </row>
    <row r="48" spans="2:69" ht="13.5" customHeight="1" x14ac:dyDescent="0.25">
      <c r="B48" s="5" t="str">
        <f t="shared" si="0"/>
        <v/>
      </c>
      <c r="C48" s="5"/>
      <c r="D48" s="5"/>
      <c r="E48" s="5"/>
      <c r="F48" s="6"/>
      <c r="G48" s="6"/>
      <c r="H48" s="7"/>
      <c r="I48" s="8"/>
      <c r="K48" s="23" t="str">
        <f>IFERROR(INDEX($AL$11:$AL$4010,MATCH(38,$AX$11:$AX$4010,0)),"")</f>
        <v/>
      </c>
      <c r="L48" s="24" t="str">
        <f t="shared" si="1"/>
        <v/>
      </c>
      <c r="M48" s="25" t="str">
        <f t="shared" si="2"/>
        <v/>
      </c>
      <c r="N48" s="25" t="str">
        <f t="shared" si="3"/>
        <v/>
      </c>
      <c r="P48" s="26" t="str">
        <f>IFERROR(INDEX($AM$11:$AM$4010,MATCH($S$8&amp;"|"&amp;38,$BA$11:$BA$4010,0)),"")</f>
        <v/>
      </c>
      <c r="Q48" s="25" t="str">
        <f>IF(P48="","",IFERROR(INDEX($AN$11:$AN$4010,MATCH($S$8&amp;"|"&amp;38,$BA$11:$BA$4010,0)),""))</f>
        <v/>
      </c>
      <c r="R48" s="25" t="str">
        <f>IF(P48="","",IFERROR(INDEX($AO$11:$AO$4010,MATCH($S$8&amp;"|"&amp;38,$BA$11:$BA$4010,0)),""))</f>
        <v/>
      </c>
      <c r="S48" s="24" t="str">
        <f>IF(P48="","",IFERROR(INDEX($AP$11:$AP$4010,MATCH($S$8&amp;"|"&amp;38,$BA$11:$BA$4010,0)),""))</f>
        <v/>
      </c>
      <c r="T48" s="24" t="str">
        <f>IF(P48="","",IFERROR(INDEX($AQ$11:$AQ$4010,MATCH($S$8&amp;"|"&amp;38,$BA$11:$BA$4010,0)),""))</f>
        <v/>
      </c>
      <c r="U48" s="38" t="str">
        <f t="shared" si="14"/>
        <v/>
      </c>
      <c r="W48" s="28" t="str">
        <f>IF(X48="","",IFERROR(INDEX($AL$11:$AL$4010,MATCH(38,$AY$11:$AY$4010,0)),""))</f>
        <v/>
      </c>
      <c r="X48" s="26" t="str">
        <f>IFERROR(INDEX($AM$11:$AM$4010,MATCH(38,$AY$11:$AY$4010,0)),"")</f>
        <v/>
      </c>
      <c r="Y48" s="25" t="str">
        <f>IF(X48="","",IFERROR(INDEX($AN$11:$AN$4010,MATCH(38,$AY$11:$AY$4010,0)),""))</f>
        <v/>
      </c>
      <c r="Z48" s="25" t="str">
        <f>IF(X48="","",IFERROR(INDEX($AO$11:$AO$4010,MATCH(38,$AY$11:$AY$4010,0)),""))</f>
        <v/>
      </c>
      <c r="AA48" s="24" t="str">
        <f>IF(X48="","",IFERROR(INDEX($AQ$11:$AQ$4010,MATCH(38,$AY$11:$AY$4010,0)),""))</f>
        <v/>
      </c>
      <c r="AB48" s="29" t="str">
        <f>IF(X48="","",IFERROR(INDEX($AR$11:$AR$4010,MATCH(38,$AY$11:$AY$4010,0)),""))</f>
        <v/>
      </c>
      <c r="AD48" s="30" t="str">
        <f>IF(AE48="","",IFERROR(INDEX($AL$11:$AL$4010,MATCH(38,$AZ$11:$AZ$4010,0)),""))</f>
        <v/>
      </c>
      <c r="AE48" s="26" t="str">
        <f>IFERROR(INDEX($AM$11:$AM$4010,MATCH(38,$AZ$11:$AZ$4010,0)),"")</f>
        <v/>
      </c>
      <c r="AF48" s="25" t="str">
        <f>IF(AE48="","",IFERROR(INDEX($AN$11:$AN$4010,MATCH(38,$AZ$11:$AZ$4010,0)),""))</f>
        <v/>
      </c>
      <c r="AG48" s="25" t="str">
        <f>IF(AE48="","",IFERROR(INDEX($AO$11:$AO$4010,MATCH(38,$AZ$11:$AZ$4010,0)),""))</f>
        <v/>
      </c>
      <c r="AH48" s="24" t="str">
        <f>IF(AE48="","",IFERROR(INDEX($AQ$11:$AQ$4010,MATCH(38,$AZ$11:$AZ$4010,0)),""))</f>
        <v/>
      </c>
      <c r="AI48" s="29" t="str">
        <f>IF(AE48="","",IFERROR(INDEX($AR$11:$AR$4010,MATCH(38,$AZ$11:$AZ$4010,0)),""))</f>
        <v/>
      </c>
      <c r="AJ48" s="29" t="str">
        <f>IF(AE48="","",IFERROR(INDEX($AT$11:$AT$4010,MATCH(38,$AZ$11:$AZ$4010,0)),""))</f>
        <v/>
      </c>
      <c r="AL48" s="31" t="str">
        <f t="shared" si="5"/>
        <v/>
      </c>
      <c r="AM48" s="26" t="str">
        <f t="shared" si="6"/>
        <v/>
      </c>
      <c r="AN48" s="32" t="str">
        <f t="shared" si="7"/>
        <v/>
      </c>
      <c r="AO48" s="32" t="str">
        <f t="shared" si="8"/>
        <v/>
      </c>
      <c r="AP48" s="24" t="str">
        <f t="shared" si="9"/>
        <v/>
      </c>
      <c r="AQ48" s="24" t="str">
        <f t="shared" si="10"/>
        <v/>
      </c>
      <c r="AR48" s="33" t="str">
        <f t="shared" si="11"/>
        <v/>
      </c>
      <c r="AS48" s="34"/>
      <c r="AT48" s="33"/>
      <c r="AV48" s="21">
        <f>IF(AND($AL48&lt;&gt;"",COUNTIF($AL$11:$AL48,$AL48)=1),1,0)</f>
        <v>0</v>
      </c>
      <c r="AW48" s="21">
        <f t="shared" si="13"/>
        <v>0</v>
      </c>
      <c r="AX48" s="21" t="str">
        <f t="shared" si="12"/>
        <v/>
      </c>
      <c r="AY48" s="21" t="str">
        <f>IF(AND($AM48&lt;&gt;"",$AS48&lt;&gt;"✓"),SUMPRODUCT(($AM$11:$AM48&lt;&gt;"")*($AS$11:$AS48&lt;&gt;"✓")),"")</f>
        <v/>
      </c>
      <c r="AZ48" s="21" t="str">
        <f>IF(AND($AM48&lt;&gt;"",$AS48="✓"),SUMPRODUCT(($AM$11:$AM48&lt;&gt;"")*($AS$11:$AS48="✓")),"")</f>
        <v/>
      </c>
      <c r="BA48" s="21" t="str">
        <f>IF($AL48="","",$AL48&amp;"|"&amp;COUNTIF($AL$11:$AL48,$AL48))</f>
        <v/>
      </c>
      <c r="BD48" s="36" t="str">
        <f>IF(IFERROR(INDEX($AM$11:$AM$4010,MATCH($S$8&amp;"|"&amp;36,$BA$11:$BA$4010,0)),"")="","",36)</f>
        <v/>
      </c>
      <c r="BE48" s="36" t="str">
        <f>IFERROR(INDEX($AM$11:$AM$4010,MATCH($S$8&amp;"|"&amp;36,$BA$11:$BA$4010,0)),"")</f>
        <v/>
      </c>
      <c r="BF48" s="36" t="str">
        <f>IFERROR(INDEX($AP$11:$AP$4010,MATCH($S$8&amp;"|"&amp;36,$BA$11:$BA$4010,0)),"")</f>
        <v/>
      </c>
      <c r="BG48" s="36" t="str">
        <f>IFERROR(INDEX($AQ$11:$AQ$4010,MATCH($S$8&amp;"|"&amp;36,$BA$11:$BA$4010,0)),"")</f>
        <v/>
      </c>
      <c r="BH48" s="37" t="str">
        <f>IFERROR(INDEX($AN$11:$AN$4010,MATCH($S$8&amp;"|"&amp;36,$BA$11:$BA$4010,0)),"")</f>
        <v/>
      </c>
      <c r="BI48" s="37" t="str">
        <f>IFERROR(INDEX($AO$11:$AO$4010,MATCH($S$8&amp;"|"&amp;36,$BA$11:$BA$4010,0)),"")</f>
        <v/>
      </c>
      <c r="BL48" s="36" t="str">
        <f>IF(IFERROR(INDEX($AM$11:$AM$4010,MATCH($S$8&amp;"|"&amp;36,$BA$11:$BA$4010,0)),"")="","",36)</f>
        <v/>
      </c>
      <c r="BM48" s="36" t="str">
        <f>IFERROR(INDEX($AM$11:$AM$4010,MATCH($S$8&amp;"|"&amp;36,$BA$11:$BA$4010,0)),"")</f>
        <v/>
      </c>
      <c r="BN48" s="36" t="str">
        <f>IFERROR(INDEX($AP$11:$AP$4010,MATCH($S$8&amp;"|"&amp;36,$BA$11:$BA$4010,0)),"")</f>
        <v/>
      </c>
      <c r="BO48" s="36" t="str">
        <f>IFERROR(INDEX($AQ$11:$AQ$4010,MATCH($S$8&amp;"|"&amp;36,$BA$11:$BA$4010,0)),"")</f>
        <v/>
      </c>
      <c r="BP48" s="37" t="str">
        <f>IFERROR(INDEX($AN$11:$AN$4010,MATCH($S$8&amp;"|"&amp;36,$BA$11:$BA$4010,0)),"")</f>
        <v/>
      </c>
      <c r="BQ48" s="37" t="str">
        <f>IFERROR(INDEX($AO$11:$AO$4010,MATCH($S$8&amp;"|"&amp;36,$BA$11:$BA$4010,0)),"")</f>
        <v/>
      </c>
    </row>
    <row r="49" spans="2:69" ht="13.5" customHeight="1" x14ac:dyDescent="0.25">
      <c r="B49" s="5" t="str">
        <f t="shared" si="0"/>
        <v/>
      </c>
      <c r="C49" s="5"/>
      <c r="D49" s="5"/>
      <c r="E49" s="5"/>
      <c r="F49" s="6"/>
      <c r="G49" s="6"/>
      <c r="H49" s="7"/>
      <c r="I49" s="8"/>
      <c r="K49" s="9" t="str">
        <f>IFERROR(INDEX($AL$11:$AL$4010,MATCH(39,$AX$11:$AX$4010,0)),"")</f>
        <v/>
      </c>
      <c r="L49" s="10" t="str">
        <f t="shared" si="1"/>
        <v/>
      </c>
      <c r="M49" s="11" t="str">
        <f t="shared" si="2"/>
        <v/>
      </c>
      <c r="N49" s="11" t="str">
        <f t="shared" si="3"/>
        <v/>
      </c>
      <c r="P49" s="12" t="str">
        <f>IFERROR(INDEX($AM$11:$AM$4010,MATCH($S$8&amp;"|"&amp;39,$BA$11:$BA$4010,0)),"")</f>
        <v/>
      </c>
      <c r="Q49" s="11" t="str">
        <f>IF(P49="","",IFERROR(INDEX($AN$11:$AN$4010,MATCH($S$8&amp;"|"&amp;39,$BA$11:$BA$4010,0)),""))</f>
        <v/>
      </c>
      <c r="R49" s="11" t="str">
        <f>IF(P49="","",IFERROR(INDEX($AO$11:$AO$4010,MATCH($S$8&amp;"|"&amp;39,$BA$11:$BA$4010,0)),""))</f>
        <v/>
      </c>
      <c r="S49" s="10" t="str">
        <f>IF(P49="","",IFERROR(INDEX($AP$11:$AP$4010,MATCH($S$8&amp;"|"&amp;39,$BA$11:$BA$4010,0)),""))</f>
        <v/>
      </c>
      <c r="T49" s="10" t="str">
        <f>IF(P49="","",IFERROR(INDEX($AQ$11:$AQ$4010,MATCH($S$8&amp;"|"&amp;39,$BA$11:$BA$4010,0)),""))</f>
        <v/>
      </c>
      <c r="U49" s="39" t="str">
        <f t="shared" si="14"/>
        <v/>
      </c>
      <c r="W49" s="14" t="str">
        <f>IF(X49="","",IFERROR(INDEX($AL$11:$AL$4010,MATCH(39,$AY$11:$AY$4010,0)),""))</f>
        <v/>
      </c>
      <c r="X49" s="12" t="str">
        <f>IFERROR(INDEX($AM$11:$AM$4010,MATCH(39,$AY$11:$AY$4010,0)),"")</f>
        <v/>
      </c>
      <c r="Y49" s="11" t="str">
        <f>IF(X49="","",IFERROR(INDEX($AN$11:$AN$4010,MATCH(39,$AY$11:$AY$4010,0)),""))</f>
        <v/>
      </c>
      <c r="Z49" s="11" t="str">
        <f>IF(X49="","",IFERROR(INDEX($AO$11:$AO$4010,MATCH(39,$AY$11:$AY$4010,0)),""))</f>
        <v/>
      </c>
      <c r="AA49" s="10" t="str">
        <f>IF(X49="","",IFERROR(INDEX($AQ$11:$AQ$4010,MATCH(39,$AY$11:$AY$4010,0)),""))</f>
        <v/>
      </c>
      <c r="AB49" s="15" t="str">
        <f>IF(X49="","",IFERROR(INDEX($AR$11:$AR$4010,MATCH(39,$AY$11:$AY$4010,0)),""))</f>
        <v/>
      </c>
      <c r="AD49" s="16" t="str">
        <f>IF(AE49="","",IFERROR(INDEX($AL$11:$AL$4010,MATCH(39,$AZ$11:$AZ$4010,0)),""))</f>
        <v/>
      </c>
      <c r="AE49" s="12" t="str">
        <f>IFERROR(INDEX($AM$11:$AM$4010,MATCH(39,$AZ$11:$AZ$4010,0)),"")</f>
        <v/>
      </c>
      <c r="AF49" s="11" t="str">
        <f>IF(AE49="","",IFERROR(INDEX($AN$11:$AN$4010,MATCH(39,$AZ$11:$AZ$4010,0)),""))</f>
        <v/>
      </c>
      <c r="AG49" s="11" t="str">
        <f>IF(AE49="","",IFERROR(INDEX($AO$11:$AO$4010,MATCH(39,$AZ$11:$AZ$4010,0)),""))</f>
        <v/>
      </c>
      <c r="AH49" s="10" t="str">
        <f>IF(AE49="","",IFERROR(INDEX($AQ$11:$AQ$4010,MATCH(39,$AZ$11:$AZ$4010,0)),""))</f>
        <v/>
      </c>
      <c r="AI49" s="15" t="str">
        <f>IF(AE49="","",IFERROR(INDEX($AR$11:$AR$4010,MATCH(39,$AZ$11:$AZ$4010,0)),""))</f>
        <v/>
      </c>
      <c r="AJ49" s="15" t="str">
        <f>IF(AE49="","",IFERROR(INDEX($AT$11:$AT$4010,MATCH(39,$AZ$11:$AZ$4010,0)),""))</f>
        <v/>
      </c>
      <c r="AL49" s="17" t="str">
        <f t="shared" si="5"/>
        <v/>
      </c>
      <c r="AM49" s="12" t="str">
        <f t="shared" si="6"/>
        <v/>
      </c>
      <c r="AN49" s="18" t="str">
        <f t="shared" si="7"/>
        <v/>
      </c>
      <c r="AO49" s="18" t="str">
        <f t="shared" si="8"/>
        <v/>
      </c>
      <c r="AP49" s="10" t="str">
        <f t="shared" si="9"/>
        <v/>
      </c>
      <c r="AQ49" s="10" t="str">
        <f t="shared" si="10"/>
        <v/>
      </c>
      <c r="AR49" s="19" t="str">
        <f t="shared" si="11"/>
        <v/>
      </c>
      <c r="AS49" s="20"/>
      <c r="AT49" s="19"/>
      <c r="AV49" s="21">
        <f>IF(AND($AL49&lt;&gt;"",COUNTIF($AL$11:$AL49,$AL49)=1),1,0)</f>
        <v>0</v>
      </c>
      <c r="AW49" s="21">
        <f t="shared" si="13"/>
        <v>0</v>
      </c>
      <c r="AX49" s="21" t="str">
        <f t="shared" si="12"/>
        <v/>
      </c>
      <c r="AY49" s="21" t="str">
        <f>IF(AND($AM49&lt;&gt;"",$AS49&lt;&gt;"✓"),SUMPRODUCT(($AM$11:$AM49&lt;&gt;"")*($AS$11:$AS49&lt;&gt;"✓")),"")</f>
        <v/>
      </c>
      <c r="AZ49" s="21" t="str">
        <f>IF(AND($AM49&lt;&gt;"",$AS49="✓"),SUMPRODUCT(($AM$11:$AM49&lt;&gt;"")*($AS$11:$AS49="✓")),"")</f>
        <v/>
      </c>
      <c r="BA49" s="21" t="str">
        <f>IF($AL49="","",$AL49&amp;"|"&amp;COUNTIF($AL$11:$AL49,$AL49))</f>
        <v/>
      </c>
      <c r="BD49" s="36" t="str">
        <f>IF(IFERROR(INDEX($AM$11:$AM$4010,MATCH($S$8&amp;"|"&amp;37,$BA$11:$BA$4010,0)),"")="","",37)</f>
        <v/>
      </c>
      <c r="BE49" s="36" t="str">
        <f>IFERROR(INDEX($AM$11:$AM$4010,MATCH($S$8&amp;"|"&amp;37,$BA$11:$BA$4010,0)),"")</f>
        <v/>
      </c>
      <c r="BF49" s="36" t="str">
        <f>IFERROR(INDEX($AP$11:$AP$4010,MATCH($S$8&amp;"|"&amp;37,$BA$11:$BA$4010,0)),"")</f>
        <v/>
      </c>
      <c r="BG49" s="36" t="str">
        <f>IFERROR(INDEX($AQ$11:$AQ$4010,MATCH($S$8&amp;"|"&amp;37,$BA$11:$BA$4010,0)),"")</f>
        <v/>
      </c>
      <c r="BH49" s="37" t="str">
        <f>IFERROR(INDEX($AN$11:$AN$4010,MATCH($S$8&amp;"|"&amp;37,$BA$11:$BA$4010,0)),"")</f>
        <v/>
      </c>
      <c r="BI49" s="37" t="str">
        <f>IFERROR(INDEX($AO$11:$AO$4010,MATCH($S$8&amp;"|"&amp;37,$BA$11:$BA$4010,0)),"")</f>
        <v/>
      </c>
      <c r="BL49" s="36" t="str">
        <f>IF(IFERROR(INDEX($AM$11:$AM$4010,MATCH($S$8&amp;"|"&amp;37,$BA$11:$BA$4010,0)),"")="","",37)</f>
        <v/>
      </c>
      <c r="BM49" s="36" t="str">
        <f>IFERROR(INDEX($AM$11:$AM$4010,MATCH($S$8&amp;"|"&amp;37,$BA$11:$BA$4010,0)),"")</f>
        <v/>
      </c>
      <c r="BN49" s="36" t="str">
        <f>IFERROR(INDEX($AP$11:$AP$4010,MATCH($S$8&amp;"|"&amp;37,$BA$11:$BA$4010,0)),"")</f>
        <v/>
      </c>
      <c r="BO49" s="36" t="str">
        <f>IFERROR(INDEX($AQ$11:$AQ$4010,MATCH($S$8&amp;"|"&amp;37,$BA$11:$BA$4010,0)),"")</f>
        <v/>
      </c>
      <c r="BP49" s="37" t="str">
        <f>IFERROR(INDEX($AN$11:$AN$4010,MATCH($S$8&amp;"|"&amp;37,$BA$11:$BA$4010,0)),"")</f>
        <v/>
      </c>
      <c r="BQ49" s="37" t="str">
        <f>IFERROR(INDEX($AO$11:$AO$4010,MATCH($S$8&amp;"|"&amp;37,$BA$11:$BA$4010,0)),"")</f>
        <v/>
      </c>
    </row>
    <row r="50" spans="2:69" ht="13.5" customHeight="1" x14ac:dyDescent="0.25">
      <c r="B50" s="5" t="str">
        <f t="shared" si="0"/>
        <v/>
      </c>
      <c r="C50" s="5"/>
      <c r="D50" s="5"/>
      <c r="E50" s="5"/>
      <c r="F50" s="6"/>
      <c r="G50" s="6"/>
      <c r="H50" s="7"/>
      <c r="I50" s="8"/>
      <c r="K50" s="23" t="str">
        <f>IFERROR(INDEX($AL$11:$AL$4010,MATCH(40,$AX$11:$AX$4010,0)),"")</f>
        <v/>
      </c>
      <c r="L50" s="24" t="str">
        <f t="shared" si="1"/>
        <v/>
      </c>
      <c r="M50" s="25" t="str">
        <f t="shared" si="2"/>
        <v/>
      </c>
      <c r="N50" s="25" t="str">
        <f t="shared" si="3"/>
        <v/>
      </c>
      <c r="P50" s="26" t="str">
        <f>IFERROR(INDEX($AM$11:$AM$4010,MATCH($S$8&amp;"|"&amp;40,$BA$11:$BA$4010,0)),"")</f>
        <v/>
      </c>
      <c r="Q50" s="25" t="str">
        <f>IF(P50="","",IFERROR(INDEX($AN$11:$AN$4010,MATCH($S$8&amp;"|"&amp;40,$BA$11:$BA$4010,0)),""))</f>
        <v/>
      </c>
      <c r="R50" s="25" t="str">
        <f>IF(P50="","",IFERROR(INDEX($AO$11:$AO$4010,MATCH($S$8&amp;"|"&amp;40,$BA$11:$BA$4010,0)),""))</f>
        <v/>
      </c>
      <c r="S50" s="24" t="str">
        <f>IF(P50="","",IFERROR(INDEX($AP$11:$AP$4010,MATCH($S$8&amp;"|"&amp;40,$BA$11:$BA$4010,0)),""))</f>
        <v/>
      </c>
      <c r="T50" s="24" t="str">
        <f>IF(P50="","",IFERROR(INDEX($AQ$11:$AQ$4010,MATCH($S$8&amp;"|"&amp;40,$BA$11:$BA$4010,0)),""))</f>
        <v/>
      </c>
      <c r="U50" s="38" t="str">
        <f t="shared" si="14"/>
        <v/>
      </c>
      <c r="W50" s="28" t="str">
        <f>IF(X50="","",IFERROR(INDEX($AL$11:$AL$4010,MATCH(40,$AY$11:$AY$4010,0)),""))</f>
        <v/>
      </c>
      <c r="X50" s="26" t="str">
        <f>IFERROR(INDEX($AM$11:$AM$4010,MATCH(40,$AY$11:$AY$4010,0)),"")</f>
        <v/>
      </c>
      <c r="Y50" s="25" t="str">
        <f>IF(X50="","",IFERROR(INDEX($AN$11:$AN$4010,MATCH(40,$AY$11:$AY$4010,0)),""))</f>
        <v/>
      </c>
      <c r="Z50" s="25" t="str">
        <f>IF(X50="","",IFERROR(INDEX($AO$11:$AO$4010,MATCH(40,$AY$11:$AY$4010,0)),""))</f>
        <v/>
      </c>
      <c r="AA50" s="24" t="str">
        <f>IF(X50="","",IFERROR(INDEX($AQ$11:$AQ$4010,MATCH(40,$AY$11:$AY$4010,0)),""))</f>
        <v/>
      </c>
      <c r="AB50" s="29" t="str">
        <f>IF(X50="","",IFERROR(INDEX($AR$11:$AR$4010,MATCH(40,$AY$11:$AY$4010,0)),""))</f>
        <v/>
      </c>
      <c r="AD50" s="30" t="str">
        <f>IF(AE50="","",IFERROR(INDEX($AL$11:$AL$4010,MATCH(40,$AZ$11:$AZ$4010,0)),""))</f>
        <v/>
      </c>
      <c r="AE50" s="26" t="str">
        <f>IFERROR(INDEX($AM$11:$AM$4010,MATCH(40,$AZ$11:$AZ$4010,0)),"")</f>
        <v/>
      </c>
      <c r="AF50" s="25" t="str">
        <f>IF(AE50="","",IFERROR(INDEX($AN$11:$AN$4010,MATCH(40,$AZ$11:$AZ$4010,0)),""))</f>
        <v/>
      </c>
      <c r="AG50" s="25" t="str">
        <f>IF(AE50="","",IFERROR(INDEX($AO$11:$AO$4010,MATCH(40,$AZ$11:$AZ$4010,0)),""))</f>
        <v/>
      </c>
      <c r="AH50" s="24" t="str">
        <f>IF(AE50="","",IFERROR(INDEX($AQ$11:$AQ$4010,MATCH(40,$AZ$11:$AZ$4010,0)),""))</f>
        <v/>
      </c>
      <c r="AI50" s="29" t="str">
        <f>IF(AE50="","",IFERROR(INDEX($AR$11:$AR$4010,MATCH(40,$AZ$11:$AZ$4010,0)),""))</f>
        <v/>
      </c>
      <c r="AJ50" s="29" t="str">
        <f>IF(AE50="","",IFERROR(INDEX($AT$11:$AT$4010,MATCH(40,$AZ$11:$AZ$4010,0)),""))</f>
        <v/>
      </c>
      <c r="AL50" s="31" t="str">
        <f t="shared" si="5"/>
        <v/>
      </c>
      <c r="AM50" s="26" t="str">
        <f t="shared" si="6"/>
        <v/>
      </c>
      <c r="AN50" s="32" t="str">
        <f t="shared" si="7"/>
        <v/>
      </c>
      <c r="AO50" s="32" t="str">
        <f t="shared" si="8"/>
        <v/>
      </c>
      <c r="AP50" s="24" t="str">
        <f t="shared" si="9"/>
        <v/>
      </c>
      <c r="AQ50" s="24" t="str">
        <f t="shared" si="10"/>
        <v/>
      </c>
      <c r="AR50" s="33" t="str">
        <f t="shared" si="11"/>
        <v/>
      </c>
      <c r="AS50" s="34"/>
      <c r="AT50" s="33"/>
      <c r="AV50" s="21">
        <f>IF(AND($AL50&lt;&gt;"",COUNTIF($AL$11:$AL50,$AL50)=1),1,0)</f>
        <v>0</v>
      </c>
      <c r="AW50" s="21">
        <f t="shared" si="13"/>
        <v>0</v>
      </c>
      <c r="AX50" s="21" t="str">
        <f t="shared" si="12"/>
        <v/>
      </c>
      <c r="AY50" s="21" t="str">
        <f>IF(AND($AM50&lt;&gt;"",$AS50&lt;&gt;"✓"),SUMPRODUCT(($AM$11:$AM50&lt;&gt;"")*($AS$11:$AS50&lt;&gt;"✓")),"")</f>
        <v/>
      </c>
      <c r="AZ50" s="21" t="str">
        <f>IF(AND($AM50&lt;&gt;"",$AS50="✓"),SUMPRODUCT(($AM$11:$AM50&lt;&gt;"")*($AS$11:$AS50="✓")),"")</f>
        <v/>
      </c>
      <c r="BA50" s="21" t="str">
        <f>IF($AL50="","",$AL50&amp;"|"&amp;COUNTIF($AL$11:$AL50,$AL50))</f>
        <v/>
      </c>
      <c r="BD50" s="36" t="str">
        <f>IF(IFERROR(INDEX($AM$11:$AM$4010,MATCH($S$8&amp;"|"&amp;38,$BA$11:$BA$4010,0)),"")="","",38)</f>
        <v/>
      </c>
      <c r="BE50" s="36" t="str">
        <f>IFERROR(INDEX($AM$11:$AM$4010,MATCH($S$8&amp;"|"&amp;38,$BA$11:$BA$4010,0)),"")</f>
        <v/>
      </c>
      <c r="BF50" s="36" t="str">
        <f>IFERROR(INDEX($AP$11:$AP$4010,MATCH($S$8&amp;"|"&amp;38,$BA$11:$BA$4010,0)),"")</f>
        <v/>
      </c>
      <c r="BG50" s="36" t="str">
        <f>IFERROR(INDEX($AQ$11:$AQ$4010,MATCH($S$8&amp;"|"&amp;38,$BA$11:$BA$4010,0)),"")</f>
        <v/>
      </c>
      <c r="BH50" s="37" t="str">
        <f>IFERROR(INDEX($AN$11:$AN$4010,MATCH($S$8&amp;"|"&amp;38,$BA$11:$BA$4010,0)),"")</f>
        <v/>
      </c>
      <c r="BI50" s="37" t="str">
        <f>IFERROR(INDEX($AO$11:$AO$4010,MATCH($S$8&amp;"|"&amp;38,$BA$11:$BA$4010,0)),"")</f>
        <v/>
      </c>
      <c r="BL50" s="36" t="str">
        <f>IF(IFERROR(INDEX($AM$11:$AM$4010,MATCH($S$8&amp;"|"&amp;38,$BA$11:$BA$4010,0)),"")="","",38)</f>
        <v/>
      </c>
      <c r="BM50" s="36" t="str">
        <f>IFERROR(INDEX($AM$11:$AM$4010,MATCH($S$8&amp;"|"&amp;38,$BA$11:$BA$4010,0)),"")</f>
        <v/>
      </c>
      <c r="BN50" s="36" t="str">
        <f>IFERROR(INDEX($AP$11:$AP$4010,MATCH($S$8&amp;"|"&amp;38,$BA$11:$BA$4010,0)),"")</f>
        <v/>
      </c>
      <c r="BO50" s="36" t="str">
        <f>IFERROR(INDEX($AQ$11:$AQ$4010,MATCH($S$8&amp;"|"&amp;38,$BA$11:$BA$4010,0)),"")</f>
        <v/>
      </c>
      <c r="BP50" s="37" t="str">
        <f>IFERROR(INDEX($AN$11:$AN$4010,MATCH($S$8&amp;"|"&amp;38,$BA$11:$BA$4010,0)),"")</f>
        <v/>
      </c>
      <c r="BQ50" s="37" t="str">
        <f>IFERROR(INDEX($AO$11:$AO$4010,MATCH($S$8&amp;"|"&amp;38,$BA$11:$BA$4010,0)),"")</f>
        <v/>
      </c>
    </row>
    <row r="51" spans="2:69" ht="13.5" customHeight="1" x14ac:dyDescent="0.25">
      <c r="B51" s="5" t="str">
        <f t="shared" si="0"/>
        <v/>
      </c>
      <c r="C51" s="5"/>
      <c r="D51" s="5"/>
      <c r="E51" s="5"/>
      <c r="F51" s="6"/>
      <c r="G51" s="6"/>
      <c r="H51" s="7"/>
      <c r="I51" s="8"/>
      <c r="K51" s="9" t="str">
        <f>IFERROR(INDEX($AL$11:$AL$4010,MATCH(41,$AX$11:$AX$4010,0)),"")</f>
        <v/>
      </c>
      <c r="L51" s="10" t="str">
        <f t="shared" si="1"/>
        <v/>
      </c>
      <c r="M51" s="11" t="str">
        <f t="shared" si="2"/>
        <v/>
      </c>
      <c r="N51" s="11" t="str">
        <f t="shared" si="3"/>
        <v/>
      </c>
      <c r="P51" s="12" t="str">
        <f>IFERROR(INDEX($AM$11:$AM$4010,MATCH($S$8&amp;"|"&amp;41,$BA$11:$BA$4010,0)),"")</f>
        <v/>
      </c>
      <c r="Q51" s="11" t="str">
        <f>IF(P51="","",IFERROR(INDEX($AN$11:$AN$4010,MATCH($S$8&amp;"|"&amp;41,$BA$11:$BA$4010,0)),""))</f>
        <v/>
      </c>
      <c r="R51" s="11" t="str">
        <f>IF(P51="","",IFERROR(INDEX($AO$11:$AO$4010,MATCH($S$8&amp;"|"&amp;41,$BA$11:$BA$4010,0)),""))</f>
        <v/>
      </c>
      <c r="S51" s="10" t="str">
        <f>IF(P51="","",IFERROR(INDEX($AP$11:$AP$4010,MATCH($S$8&amp;"|"&amp;41,$BA$11:$BA$4010,0)),""))</f>
        <v/>
      </c>
      <c r="T51" s="10" t="str">
        <f>IF(P51="","",IFERROR(INDEX($AQ$11:$AQ$4010,MATCH($S$8&amp;"|"&amp;41,$BA$11:$BA$4010,0)),""))</f>
        <v/>
      </c>
      <c r="U51" s="39" t="str">
        <f t="shared" si="14"/>
        <v/>
      </c>
      <c r="W51" s="14" t="str">
        <f>IF(X51="","",IFERROR(INDEX($AL$11:$AL$4010,MATCH(41,$AY$11:$AY$4010,0)),""))</f>
        <v/>
      </c>
      <c r="X51" s="12" t="str">
        <f>IFERROR(INDEX($AM$11:$AM$4010,MATCH(41,$AY$11:$AY$4010,0)),"")</f>
        <v/>
      </c>
      <c r="Y51" s="11" t="str">
        <f>IF(X51="","",IFERROR(INDEX($AN$11:$AN$4010,MATCH(41,$AY$11:$AY$4010,0)),""))</f>
        <v/>
      </c>
      <c r="Z51" s="11" t="str">
        <f>IF(X51="","",IFERROR(INDEX($AO$11:$AO$4010,MATCH(41,$AY$11:$AY$4010,0)),""))</f>
        <v/>
      </c>
      <c r="AA51" s="10" t="str">
        <f>IF(X51="","",IFERROR(INDEX($AQ$11:$AQ$4010,MATCH(41,$AY$11:$AY$4010,0)),""))</f>
        <v/>
      </c>
      <c r="AB51" s="15" t="str">
        <f>IF(X51="","",IFERROR(INDEX($AR$11:$AR$4010,MATCH(41,$AY$11:$AY$4010,0)),""))</f>
        <v/>
      </c>
      <c r="AD51" s="16" t="str">
        <f>IF(AE51="","",IFERROR(INDEX($AL$11:$AL$4010,MATCH(41,$AZ$11:$AZ$4010,0)),""))</f>
        <v/>
      </c>
      <c r="AE51" s="12" t="str">
        <f>IFERROR(INDEX($AM$11:$AM$4010,MATCH(41,$AZ$11:$AZ$4010,0)),"")</f>
        <v/>
      </c>
      <c r="AF51" s="11" t="str">
        <f>IF(AE51="","",IFERROR(INDEX($AN$11:$AN$4010,MATCH(41,$AZ$11:$AZ$4010,0)),""))</f>
        <v/>
      </c>
      <c r="AG51" s="11" t="str">
        <f>IF(AE51="","",IFERROR(INDEX($AO$11:$AO$4010,MATCH(41,$AZ$11:$AZ$4010,0)),""))</f>
        <v/>
      </c>
      <c r="AH51" s="10" t="str">
        <f>IF(AE51="","",IFERROR(INDEX($AQ$11:$AQ$4010,MATCH(41,$AZ$11:$AZ$4010,0)),""))</f>
        <v/>
      </c>
      <c r="AI51" s="15" t="str">
        <f>IF(AE51="","",IFERROR(INDEX($AR$11:$AR$4010,MATCH(41,$AZ$11:$AZ$4010,0)),""))</f>
        <v/>
      </c>
      <c r="AJ51" s="15" t="str">
        <f>IF(AE51="","",IFERROR(INDEX($AT$11:$AT$4010,MATCH(41,$AZ$11:$AZ$4010,0)),""))</f>
        <v/>
      </c>
      <c r="AL51" s="17" t="str">
        <f t="shared" si="5"/>
        <v/>
      </c>
      <c r="AM51" s="12" t="str">
        <f t="shared" si="6"/>
        <v/>
      </c>
      <c r="AN51" s="18" t="str">
        <f t="shared" si="7"/>
        <v/>
      </c>
      <c r="AO51" s="18" t="str">
        <f t="shared" si="8"/>
        <v/>
      </c>
      <c r="AP51" s="10" t="str">
        <f t="shared" si="9"/>
        <v/>
      </c>
      <c r="AQ51" s="10" t="str">
        <f t="shared" si="10"/>
        <v/>
      </c>
      <c r="AR51" s="19" t="str">
        <f t="shared" si="11"/>
        <v/>
      </c>
      <c r="AS51" s="20"/>
      <c r="AT51" s="19"/>
      <c r="AV51" s="21">
        <f>IF(AND($AL51&lt;&gt;"",COUNTIF($AL$11:$AL51,$AL51)=1),1,0)</f>
        <v>0</v>
      </c>
      <c r="AW51" s="21">
        <f t="shared" si="13"/>
        <v>0</v>
      </c>
      <c r="AX51" s="21" t="str">
        <f t="shared" si="12"/>
        <v/>
      </c>
      <c r="AY51" s="21" t="str">
        <f>IF(AND($AM51&lt;&gt;"",$AS51&lt;&gt;"✓"),SUMPRODUCT(($AM$11:$AM51&lt;&gt;"")*($AS$11:$AS51&lt;&gt;"✓")),"")</f>
        <v/>
      </c>
      <c r="AZ51" s="21" t="str">
        <f>IF(AND($AM51&lt;&gt;"",$AS51="✓"),SUMPRODUCT(($AM$11:$AM51&lt;&gt;"")*($AS$11:$AS51="✓")),"")</f>
        <v/>
      </c>
      <c r="BA51" s="21" t="str">
        <f>IF($AL51="","",$AL51&amp;"|"&amp;COUNTIF($AL$11:$AL51,$AL51))</f>
        <v/>
      </c>
      <c r="BD51" s="36" t="str">
        <f>IF(IFERROR(INDEX($AM$11:$AM$4010,MATCH($S$8&amp;"|"&amp;39,$BA$11:$BA$4010,0)),"")="","",39)</f>
        <v/>
      </c>
      <c r="BE51" s="36" t="str">
        <f>IFERROR(INDEX($AM$11:$AM$4010,MATCH($S$8&amp;"|"&amp;39,$BA$11:$BA$4010,0)),"")</f>
        <v/>
      </c>
      <c r="BF51" s="36" t="str">
        <f>IFERROR(INDEX($AP$11:$AP$4010,MATCH($S$8&amp;"|"&amp;39,$BA$11:$BA$4010,0)),"")</f>
        <v/>
      </c>
      <c r="BG51" s="36" t="str">
        <f>IFERROR(INDEX($AQ$11:$AQ$4010,MATCH($S$8&amp;"|"&amp;39,$BA$11:$BA$4010,0)),"")</f>
        <v/>
      </c>
      <c r="BH51" s="37" t="str">
        <f>IFERROR(INDEX($AN$11:$AN$4010,MATCH($S$8&amp;"|"&amp;39,$BA$11:$BA$4010,0)),"")</f>
        <v/>
      </c>
      <c r="BI51" s="37" t="str">
        <f>IFERROR(INDEX($AO$11:$AO$4010,MATCH($S$8&amp;"|"&amp;39,$BA$11:$BA$4010,0)),"")</f>
        <v/>
      </c>
      <c r="BL51" s="36" t="str">
        <f>IF(IFERROR(INDEX($AM$11:$AM$4010,MATCH($S$8&amp;"|"&amp;39,$BA$11:$BA$4010,0)),"")="","",39)</f>
        <v/>
      </c>
      <c r="BM51" s="36" t="str">
        <f>IFERROR(INDEX($AM$11:$AM$4010,MATCH($S$8&amp;"|"&amp;39,$BA$11:$BA$4010,0)),"")</f>
        <v/>
      </c>
      <c r="BN51" s="36" t="str">
        <f>IFERROR(INDEX($AP$11:$AP$4010,MATCH($S$8&amp;"|"&amp;39,$BA$11:$BA$4010,0)),"")</f>
        <v/>
      </c>
      <c r="BO51" s="36" t="str">
        <f>IFERROR(INDEX($AQ$11:$AQ$4010,MATCH($S$8&amp;"|"&amp;39,$BA$11:$BA$4010,0)),"")</f>
        <v/>
      </c>
      <c r="BP51" s="37" t="str">
        <f>IFERROR(INDEX($AN$11:$AN$4010,MATCH($S$8&amp;"|"&amp;39,$BA$11:$BA$4010,0)),"")</f>
        <v/>
      </c>
      <c r="BQ51" s="37" t="str">
        <f>IFERROR(INDEX($AO$11:$AO$4010,MATCH($S$8&amp;"|"&amp;39,$BA$11:$BA$4010,0)),"")</f>
        <v/>
      </c>
    </row>
    <row r="52" spans="2:69" ht="13.5" customHeight="1" x14ac:dyDescent="0.25">
      <c r="B52" s="5" t="str">
        <f t="shared" si="0"/>
        <v/>
      </c>
      <c r="C52" s="5"/>
      <c r="D52" s="5"/>
      <c r="E52" s="5"/>
      <c r="F52" s="6"/>
      <c r="G52" s="6"/>
      <c r="H52" s="7"/>
      <c r="I52" s="8"/>
      <c r="K52" s="23" t="str">
        <f>IFERROR(INDEX($AL$11:$AL$4010,MATCH(42,$AX$11:$AX$4010,0)),"")</f>
        <v/>
      </c>
      <c r="L52" s="24" t="str">
        <f t="shared" si="1"/>
        <v/>
      </c>
      <c r="M52" s="25" t="str">
        <f t="shared" si="2"/>
        <v/>
      </c>
      <c r="N52" s="25" t="str">
        <f t="shared" si="3"/>
        <v/>
      </c>
      <c r="P52" s="26" t="str">
        <f>IFERROR(INDEX($AM$11:$AM$4010,MATCH($S$8&amp;"|"&amp;42,$BA$11:$BA$4010,0)),"")</f>
        <v/>
      </c>
      <c r="Q52" s="25" t="str">
        <f>IF(P52="","",IFERROR(INDEX($AN$11:$AN$4010,MATCH($S$8&amp;"|"&amp;42,$BA$11:$BA$4010,0)),""))</f>
        <v/>
      </c>
      <c r="R52" s="25" t="str">
        <f>IF(P52="","",IFERROR(INDEX($AO$11:$AO$4010,MATCH($S$8&amp;"|"&amp;42,$BA$11:$BA$4010,0)),""))</f>
        <v/>
      </c>
      <c r="S52" s="24" t="str">
        <f>IF(P52="","",IFERROR(INDEX($AP$11:$AP$4010,MATCH($S$8&amp;"|"&amp;42,$BA$11:$BA$4010,0)),""))</f>
        <v/>
      </c>
      <c r="T52" s="24" t="str">
        <f>IF(P52="","",IFERROR(INDEX($AQ$11:$AQ$4010,MATCH($S$8&amp;"|"&amp;42,$BA$11:$BA$4010,0)),""))</f>
        <v/>
      </c>
      <c r="U52" s="38" t="str">
        <f t="shared" si="14"/>
        <v/>
      </c>
      <c r="W52" s="28" t="str">
        <f>IF(X52="","",IFERROR(INDEX($AL$11:$AL$4010,MATCH(42,$AY$11:$AY$4010,0)),""))</f>
        <v/>
      </c>
      <c r="X52" s="26" t="str">
        <f>IFERROR(INDEX($AM$11:$AM$4010,MATCH(42,$AY$11:$AY$4010,0)),"")</f>
        <v/>
      </c>
      <c r="Y52" s="25" t="str">
        <f>IF(X52="","",IFERROR(INDEX($AN$11:$AN$4010,MATCH(42,$AY$11:$AY$4010,0)),""))</f>
        <v/>
      </c>
      <c r="Z52" s="25" t="str">
        <f>IF(X52="","",IFERROR(INDEX($AO$11:$AO$4010,MATCH(42,$AY$11:$AY$4010,0)),""))</f>
        <v/>
      </c>
      <c r="AA52" s="24" t="str">
        <f>IF(X52="","",IFERROR(INDEX($AQ$11:$AQ$4010,MATCH(42,$AY$11:$AY$4010,0)),""))</f>
        <v/>
      </c>
      <c r="AB52" s="29" t="str">
        <f>IF(X52="","",IFERROR(INDEX($AR$11:$AR$4010,MATCH(42,$AY$11:$AY$4010,0)),""))</f>
        <v/>
      </c>
      <c r="AD52" s="30" t="str">
        <f>IF(AE52="","",IFERROR(INDEX($AL$11:$AL$4010,MATCH(42,$AZ$11:$AZ$4010,0)),""))</f>
        <v/>
      </c>
      <c r="AE52" s="26" t="str">
        <f>IFERROR(INDEX($AM$11:$AM$4010,MATCH(42,$AZ$11:$AZ$4010,0)),"")</f>
        <v/>
      </c>
      <c r="AF52" s="25" t="str">
        <f>IF(AE52="","",IFERROR(INDEX($AN$11:$AN$4010,MATCH(42,$AZ$11:$AZ$4010,0)),""))</f>
        <v/>
      </c>
      <c r="AG52" s="25" t="str">
        <f>IF(AE52="","",IFERROR(INDEX($AO$11:$AO$4010,MATCH(42,$AZ$11:$AZ$4010,0)),""))</f>
        <v/>
      </c>
      <c r="AH52" s="24" t="str">
        <f>IF(AE52="","",IFERROR(INDEX($AQ$11:$AQ$4010,MATCH(42,$AZ$11:$AZ$4010,0)),""))</f>
        <v/>
      </c>
      <c r="AI52" s="29" t="str">
        <f>IF(AE52="","",IFERROR(INDEX($AR$11:$AR$4010,MATCH(42,$AZ$11:$AZ$4010,0)),""))</f>
        <v/>
      </c>
      <c r="AJ52" s="29" t="str">
        <f>IF(AE52="","",IFERROR(INDEX($AT$11:$AT$4010,MATCH(42,$AZ$11:$AZ$4010,0)),""))</f>
        <v/>
      </c>
      <c r="AL52" s="31" t="str">
        <f t="shared" si="5"/>
        <v/>
      </c>
      <c r="AM52" s="26" t="str">
        <f t="shared" si="6"/>
        <v/>
      </c>
      <c r="AN52" s="32" t="str">
        <f t="shared" si="7"/>
        <v/>
      </c>
      <c r="AO52" s="32" t="str">
        <f t="shared" si="8"/>
        <v/>
      </c>
      <c r="AP52" s="24" t="str">
        <f t="shared" si="9"/>
        <v/>
      </c>
      <c r="AQ52" s="24" t="str">
        <f t="shared" si="10"/>
        <v/>
      </c>
      <c r="AR52" s="33" t="str">
        <f t="shared" si="11"/>
        <v/>
      </c>
      <c r="AS52" s="34"/>
      <c r="AT52" s="33"/>
      <c r="AV52" s="21">
        <f>IF(AND($AL52&lt;&gt;"",COUNTIF($AL$11:$AL52,$AL52)=1),1,0)</f>
        <v>0</v>
      </c>
      <c r="AW52" s="21">
        <f t="shared" si="13"/>
        <v>0</v>
      </c>
      <c r="AX52" s="21" t="str">
        <f t="shared" si="12"/>
        <v/>
      </c>
      <c r="AY52" s="21" t="str">
        <f>IF(AND($AM52&lt;&gt;"",$AS52&lt;&gt;"✓"),SUMPRODUCT(($AM$11:$AM52&lt;&gt;"")*($AS$11:$AS52&lt;&gt;"✓")),"")</f>
        <v/>
      </c>
      <c r="AZ52" s="21" t="str">
        <f>IF(AND($AM52&lt;&gt;"",$AS52="✓"),SUMPRODUCT(($AM$11:$AM52&lt;&gt;"")*($AS$11:$AS52="✓")),"")</f>
        <v/>
      </c>
      <c r="BA52" s="21" t="str">
        <f>IF($AL52="","",$AL52&amp;"|"&amp;COUNTIF($AL$11:$AL52,$AL52))</f>
        <v/>
      </c>
      <c r="BD52" s="36" t="str">
        <f>IF(IFERROR(INDEX($AM$11:$AM$4010,MATCH($S$8&amp;"|"&amp;40,$BA$11:$BA$4010,0)),"")="","",40)</f>
        <v/>
      </c>
      <c r="BE52" s="36" t="str">
        <f>IFERROR(INDEX($AM$11:$AM$4010,MATCH($S$8&amp;"|"&amp;40,$BA$11:$BA$4010,0)),"")</f>
        <v/>
      </c>
      <c r="BF52" s="36" t="str">
        <f>IFERROR(INDEX($AP$11:$AP$4010,MATCH($S$8&amp;"|"&amp;40,$BA$11:$BA$4010,0)),"")</f>
        <v/>
      </c>
      <c r="BG52" s="36" t="str">
        <f>IFERROR(INDEX($AQ$11:$AQ$4010,MATCH($S$8&amp;"|"&amp;40,$BA$11:$BA$4010,0)),"")</f>
        <v/>
      </c>
      <c r="BH52" s="37" t="str">
        <f>IFERROR(INDEX($AN$11:$AN$4010,MATCH($S$8&amp;"|"&amp;40,$BA$11:$BA$4010,0)),"")</f>
        <v/>
      </c>
      <c r="BI52" s="37" t="str">
        <f>IFERROR(INDEX($AO$11:$AO$4010,MATCH($S$8&amp;"|"&amp;40,$BA$11:$BA$4010,0)),"")</f>
        <v/>
      </c>
      <c r="BL52" s="36" t="str">
        <f>IF(IFERROR(INDEX($AM$11:$AM$4010,MATCH($S$8&amp;"|"&amp;40,$BA$11:$BA$4010,0)),"")="","",40)</f>
        <v/>
      </c>
      <c r="BM52" s="36" t="str">
        <f>IFERROR(INDEX($AM$11:$AM$4010,MATCH($S$8&amp;"|"&amp;40,$BA$11:$BA$4010,0)),"")</f>
        <v/>
      </c>
      <c r="BN52" s="36" t="str">
        <f>IFERROR(INDEX($AP$11:$AP$4010,MATCH($S$8&amp;"|"&amp;40,$BA$11:$BA$4010,0)),"")</f>
        <v/>
      </c>
      <c r="BO52" s="36" t="str">
        <f>IFERROR(INDEX($AQ$11:$AQ$4010,MATCH($S$8&amp;"|"&amp;40,$BA$11:$BA$4010,0)),"")</f>
        <v/>
      </c>
      <c r="BP52" s="37" t="str">
        <f>IFERROR(INDEX($AN$11:$AN$4010,MATCH($S$8&amp;"|"&amp;40,$BA$11:$BA$4010,0)),"")</f>
        <v/>
      </c>
      <c r="BQ52" s="37" t="str">
        <f>IFERROR(INDEX($AO$11:$AO$4010,MATCH($S$8&amp;"|"&amp;40,$BA$11:$BA$4010,0)),"")</f>
        <v/>
      </c>
    </row>
    <row r="53" spans="2:69" ht="13.5" customHeight="1" x14ac:dyDescent="0.25">
      <c r="B53" s="5" t="str">
        <f t="shared" si="0"/>
        <v/>
      </c>
      <c r="C53" s="5"/>
      <c r="D53" s="5"/>
      <c r="E53" s="5"/>
      <c r="F53" s="6"/>
      <c r="G53" s="6"/>
      <c r="H53" s="7"/>
      <c r="I53" s="8"/>
      <c r="K53" s="9" t="str">
        <f>IFERROR(INDEX($AL$11:$AL$4010,MATCH(43,$AX$11:$AX$4010,0)),"")</f>
        <v/>
      </c>
      <c r="L53" s="10" t="str">
        <f t="shared" si="1"/>
        <v/>
      </c>
      <c r="M53" s="11" t="str">
        <f t="shared" si="2"/>
        <v/>
      </c>
      <c r="N53" s="11" t="str">
        <f t="shared" si="3"/>
        <v/>
      </c>
      <c r="P53" s="12" t="str">
        <f>IFERROR(INDEX($AM$11:$AM$4010,MATCH($S$8&amp;"|"&amp;43,$BA$11:$BA$4010,0)),"")</f>
        <v/>
      </c>
      <c r="Q53" s="11" t="str">
        <f>IF(P53="","",IFERROR(INDEX($AN$11:$AN$4010,MATCH($S$8&amp;"|"&amp;43,$BA$11:$BA$4010,0)),""))</f>
        <v/>
      </c>
      <c r="R53" s="11" t="str">
        <f>IF(P53="","",IFERROR(INDEX($AO$11:$AO$4010,MATCH($S$8&amp;"|"&amp;43,$BA$11:$BA$4010,0)),""))</f>
        <v/>
      </c>
      <c r="S53" s="10" t="str">
        <f>IF(P53="","",IFERROR(INDEX($AP$11:$AP$4010,MATCH($S$8&amp;"|"&amp;43,$BA$11:$BA$4010,0)),""))</f>
        <v/>
      </c>
      <c r="T53" s="10" t="str">
        <f>IF(P53="","",IFERROR(INDEX($AQ$11:$AQ$4010,MATCH($S$8&amp;"|"&amp;43,$BA$11:$BA$4010,0)),""))</f>
        <v/>
      </c>
      <c r="U53" s="39" t="str">
        <f t="shared" si="14"/>
        <v/>
      </c>
      <c r="W53" s="14" t="str">
        <f>IF(X53="","",IFERROR(INDEX($AL$11:$AL$4010,MATCH(43,$AY$11:$AY$4010,0)),""))</f>
        <v/>
      </c>
      <c r="X53" s="12" t="str">
        <f>IFERROR(INDEX($AM$11:$AM$4010,MATCH(43,$AY$11:$AY$4010,0)),"")</f>
        <v/>
      </c>
      <c r="Y53" s="11" t="str">
        <f>IF(X53="","",IFERROR(INDEX($AN$11:$AN$4010,MATCH(43,$AY$11:$AY$4010,0)),""))</f>
        <v/>
      </c>
      <c r="Z53" s="11" t="str">
        <f>IF(X53="","",IFERROR(INDEX($AO$11:$AO$4010,MATCH(43,$AY$11:$AY$4010,0)),""))</f>
        <v/>
      </c>
      <c r="AA53" s="10" t="str">
        <f>IF(X53="","",IFERROR(INDEX($AQ$11:$AQ$4010,MATCH(43,$AY$11:$AY$4010,0)),""))</f>
        <v/>
      </c>
      <c r="AB53" s="15" t="str">
        <f>IF(X53="","",IFERROR(INDEX($AR$11:$AR$4010,MATCH(43,$AY$11:$AY$4010,0)),""))</f>
        <v/>
      </c>
      <c r="AD53" s="16" t="str">
        <f>IF(AE53="","",IFERROR(INDEX($AL$11:$AL$4010,MATCH(43,$AZ$11:$AZ$4010,0)),""))</f>
        <v/>
      </c>
      <c r="AE53" s="12" t="str">
        <f>IFERROR(INDEX($AM$11:$AM$4010,MATCH(43,$AZ$11:$AZ$4010,0)),"")</f>
        <v/>
      </c>
      <c r="AF53" s="11" t="str">
        <f>IF(AE53="","",IFERROR(INDEX($AN$11:$AN$4010,MATCH(43,$AZ$11:$AZ$4010,0)),""))</f>
        <v/>
      </c>
      <c r="AG53" s="11" t="str">
        <f>IF(AE53="","",IFERROR(INDEX($AO$11:$AO$4010,MATCH(43,$AZ$11:$AZ$4010,0)),""))</f>
        <v/>
      </c>
      <c r="AH53" s="10" t="str">
        <f>IF(AE53="","",IFERROR(INDEX($AQ$11:$AQ$4010,MATCH(43,$AZ$11:$AZ$4010,0)),""))</f>
        <v/>
      </c>
      <c r="AI53" s="15" t="str">
        <f>IF(AE53="","",IFERROR(INDEX($AR$11:$AR$4010,MATCH(43,$AZ$11:$AZ$4010,0)),""))</f>
        <v/>
      </c>
      <c r="AJ53" s="15" t="str">
        <f>IF(AE53="","",IFERROR(INDEX($AT$11:$AT$4010,MATCH(43,$AZ$11:$AZ$4010,0)),""))</f>
        <v/>
      </c>
      <c r="AL53" s="17" t="str">
        <f t="shared" si="5"/>
        <v/>
      </c>
      <c r="AM53" s="12" t="str">
        <f t="shared" si="6"/>
        <v/>
      </c>
      <c r="AN53" s="18" t="str">
        <f t="shared" si="7"/>
        <v/>
      </c>
      <c r="AO53" s="18" t="str">
        <f t="shared" si="8"/>
        <v/>
      </c>
      <c r="AP53" s="10" t="str">
        <f t="shared" si="9"/>
        <v/>
      </c>
      <c r="AQ53" s="10" t="str">
        <f t="shared" si="10"/>
        <v/>
      </c>
      <c r="AR53" s="19" t="str">
        <f t="shared" si="11"/>
        <v/>
      </c>
      <c r="AS53" s="20"/>
      <c r="AT53" s="19"/>
      <c r="AV53" s="21">
        <f>IF(AND($AL53&lt;&gt;"",COUNTIF($AL$11:$AL53,$AL53)=1),1,0)</f>
        <v>0</v>
      </c>
      <c r="AW53" s="21">
        <f t="shared" si="13"/>
        <v>0</v>
      </c>
      <c r="AX53" s="21" t="str">
        <f t="shared" si="12"/>
        <v/>
      </c>
      <c r="AY53" s="21" t="str">
        <f>IF(AND($AM53&lt;&gt;"",$AS53&lt;&gt;"✓"),SUMPRODUCT(($AM$11:$AM53&lt;&gt;"")*($AS$11:$AS53&lt;&gt;"✓")),"")</f>
        <v/>
      </c>
      <c r="AZ53" s="21" t="str">
        <f>IF(AND($AM53&lt;&gt;"",$AS53="✓"),SUMPRODUCT(($AM$11:$AM53&lt;&gt;"")*($AS$11:$AS53="✓")),"")</f>
        <v/>
      </c>
      <c r="BA53" s="21" t="str">
        <f>IF($AL53="","",$AL53&amp;"|"&amp;COUNTIF($AL$11:$AL53,$AL53))</f>
        <v/>
      </c>
      <c r="BD53" s="36" t="str">
        <f>IF(IFERROR(INDEX($AM$11:$AM$4010,MATCH($S$8&amp;"|"&amp;41,$BA$11:$BA$4010,0)),"")="","",41)</f>
        <v/>
      </c>
      <c r="BE53" s="36" t="str">
        <f>IFERROR(INDEX($AM$11:$AM$4010,MATCH($S$8&amp;"|"&amp;41,$BA$11:$BA$4010,0)),"")</f>
        <v/>
      </c>
      <c r="BF53" s="36" t="str">
        <f>IFERROR(INDEX($AP$11:$AP$4010,MATCH($S$8&amp;"|"&amp;41,$BA$11:$BA$4010,0)),"")</f>
        <v/>
      </c>
      <c r="BG53" s="36" t="str">
        <f>IFERROR(INDEX($AQ$11:$AQ$4010,MATCH($S$8&amp;"|"&amp;41,$BA$11:$BA$4010,0)),"")</f>
        <v/>
      </c>
      <c r="BH53" s="37" t="str">
        <f>IFERROR(INDEX($AN$11:$AN$4010,MATCH($S$8&amp;"|"&amp;41,$BA$11:$BA$4010,0)),"")</f>
        <v/>
      </c>
      <c r="BI53" s="37" t="str">
        <f>IFERROR(INDEX($AO$11:$AO$4010,MATCH($S$8&amp;"|"&amp;41,$BA$11:$BA$4010,0)),"")</f>
        <v/>
      </c>
      <c r="BL53" s="36" t="str">
        <f>IF(IFERROR(INDEX($AM$11:$AM$4010,MATCH($S$8&amp;"|"&amp;41,$BA$11:$BA$4010,0)),"")="","",41)</f>
        <v/>
      </c>
      <c r="BM53" s="36" t="str">
        <f>IFERROR(INDEX($AM$11:$AM$4010,MATCH($S$8&amp;"|"&amp;41,$BA$11:$BA$4010,0)),"")</f>
        <v/>
      </c>
      <c r="BN53" s="36" t="str">
        <f>IFERROR(INDEX($AP$11:$AP$4010,MATCH($S$8&amp;"|"&amp;41,$BA$11:$BA$4010,0)),"")</f>
        <v/>
      </c>
      <c r="BO53" s="36" t="str">
        <f>IFERROR(INDEX($AQ$11:$AQ$4010,MATCH($S$8&amp;"|"&amp;41,$BA$11:$BA$4010,0)),"")</f>
        <v/>
      </c>
      <c r="BP53" s="37" t="str">
        <f>IFERROR(INDEX($AN$11:$AN$4010,MATCH($S$8&amp;"|"&amp;41,$BA$11:$BA$4010,0)),"")</f>
        <v/>
      </c>
      <c r="BQ53" s="37" t="str">
        <f>IFERROR(INDEX($AO$11:$AO$4010,MATCH($S$8&amp;"|"&amp;41,$BA$11:$BA$4010,0)),"")</f>
        <v/>
      </c>
    </row>
    <row r="54" spans="2:69" ht="13.5" customHeight="1" x14ac:dyDescent="0.25">
      <c r="B54" s="5" t="str">
        <f t="shared" si="0"/>
        <v/>
      </c>
      <c r="C54" s="5"/>
      <c r="D54" s="5"/>
      <c r="E54" s="5"/>
      <c r="F54" s="6"/>
      <c r="G54" s="6"/>
      <c r="H54" s="7"/>
      <c r="I54" s="8"/>
      <c r="K54" s="23" t="str">
        <f>IFERROR(INDEX($AL$11:$AL$4010,MATCH(44,$AX$11:$AX$4010,0)),"")</f>
        <v/>
      </c>
      <c r="L54" s="24" t="str">
        <f t="shared" si="1"/>
        <v/>
      </c>
      <c r="M54" s="25" t="str">
        <f t="shared" si="2"/>
        <v/>
      </c>
      <c r="N54" s="25" t="str">
        <f t="shared" si="3"/>
        <v/>
      </c>
      <c r="P54" s="26" t="str">
        <f>IFERROR(INDEX($AM$11:$AM$4010,MATCH($S$8&amp;"|"&amp;44,$BA$11:$BA$4010,0)),"")</f>
        <v/>
      </c>
      <c r="Q54" s="25" t="str">
        <f>IF(P54="","",IFERROR(INDEX($AN$11:$AN$4010,MATCH($S$8&amp;"|"&amp;44,$BA$11:$BA$4010,0)),""))</f>
        <v/>
      </c>
      <c r="R54" s="25" t="str">
        <f>IF(P54="","",IFERROR(INDEX($AO$11:$AO$4010,MATCH($S$8&amp;"|"&amp;44,$BA$11:$BA$4010,0)),""))</f>
        <v/>
      </c>
      <c r="S54" s="24" t="str">
        <f>IF(P54="","",IFERROR(INDEX($AP$11:$AP$4010,MATCH($S$8&amp;"|"&amp;44,$BA$11:$BA$4010,0)),""))</f>
        <v/>
      </c>
      <c r="T54" s="24" t="str">
        <f>IF(P54="","",IFERROR(INDEX($AQ$11:$AQ$4010,MATCH($S$8&amp;"|"&amp;44,$BA$11:$BA$4010,0)),""))</f>
        <v/>
      </c>
      <c r="U54" s="38" t="str">
        <f t="shared" si="14"/>
        <v/>
      </c>
      <c r="W54" s="28" t="str">
        <f>IF(X54="","",IFERROR(INDEX($AL$11:$AL$4010,MATCH(44,$AY$11:$AY$4010,0)),""))</f>
        <v/>
      </c>
      <c r="X54" s="26" t="str">
        <f>IFERROR(INDEX($AM$11:$AM$4010,MATCH(44,$AY$11:$AY$4010,0)),"")</f>
        <v/>
      </c>
      <c r="Y54" s="25" t="str">
        <f>IF(X54="","",IFERROR(INDEX($AN$11:$AN$4010,MATCH(44,$AY$11:$AY$4010,0)),""))</f>
        <v/>
      </c>
      <c r="Z54" s="25" t="str">
        <f>IF(X54="","",IFERROR(INDEX($AO$11:$AO$4010,MATCH(44,$AY$11:$AY$4010,0)),""))</f>
        <v/>
      </c>
      <c r="AA54" s="24" t="str">
        <f>IF(X54="","",IFERROR(INDEX($AQ$11:$AQ$4010,MATCH(44,$AY$11:$AY$4010,0)),""))</f>
        <v/>
      </c>
      <c r="AB54" s="29" t="str">
        <f>IF(X54="","",IFERROR(INDEX($AR$11:$AR$4010,MATCH(44,$AY$11:$AY$4010,0)),""))</f>
        <v/>
      </c>
      <c r="AD54" s="30" t="str">
        <f>IF(AE54="","",IFERROR(INDEX($AL$11:$AL$4010,MATCH(44,$AZ$11:$AZ$4010,0)),""))</f>
        <v/>
      </c>
      <c r="AE54" s="26" t="str">
        <f>IFERROR(INDEX($AM$11:$AM$4010,MATCH(44,$AZ$11:$AZ$4010,0)),"")</f>
        <v/>
      </c>
      <c r="AF54" s="25" t="str">
        <f>IF(AE54="","",IFERROR(INDEX($AN$11:$AN$4010,MATCH(44,$AZ$11:$AZ$4010,0)),""))</f>
        <v/>
      </c>
      <c r="AG54" s="25" t="str">
        <f>IF(AE54="","",IFERROR(INDEX($AO$11:$AO$4010,MATCH(44,$AZ$11:$AZ$4010,0)),""))</f>
        <v/>
      </c>
      <c r="AH54" s="24" t="str">
        <f>IF(AE54="","",IFERROR(INDEX($AQ$11:$AQ$4010,MATCH(44,$AZ$11:$AZ$4010,0)),""))</f>
        <v/>
      </c>
      <c r="AI54" s="29" t="str">
        <f>IF(AE54="","",IFERROR(INDEX($AR$11:$AR$4010,MATCH(44,$AZ$11:$AZ$4010,0)),""))</f>
        <v/>
      </c>
      <c r="AJ54" s="29" t="str">
        <f>IF(AE54="","",IFERROR(INDEX($AT$11:$AT$4010,MATCH(44,$AZ$11:$AZ$4010,0)),""))</f>
        <v/>
      </c>
      <c r="AL54" s="31" t="str">
        <f t="shared" si="5"/>
        <v/>
      </c>
      <c r="AM54" s="26" t="str">
        <f t="shared" si="6"/>
        <v/>
      </c>
      <c r="AN54" s="32" t="str">
        <f t="shared" si="7"/>
        <v/>
      </c>
      <c r="AO54" s="32" t="str">
        <f t="shared" si="8"/>
        <v/>
      </c>
      <c r="AP54" s="24" t="str">
        <f t="shared" si="9"/>
        <v/>
      </c>
      <c r="AQ54" s="24" t="str">
        <f t="shared" si="10"/>
        <v/>
      </c>
      <c r="AR54" s="33" t="str">
        <f t="shared" si="11"/>
        <v/>
      </c>
      <c r="AS54" s="34"/>
      <c r="AT54" s="33"/>
      <c r="AV54" s="21">
        <f>IF(AND($AL54&lt;&gt;"",COUNTIF($AL$11:$AL54,$AL54)=1),1,0)</f>
        <v>0</v>
      </c>
      <c r="AW54" s="21">
        <f t="shared" si="13"/>
        <v>0</v>
      </c>
      <c r="AX54" s="21" t="str">
        <f t="shared" si="12"/>
        <v/>
      </c>
      <c r="AY54" s="21" t="str">
        <f>IF(AND($AM54&lt;&gt;"",$AS54&lt;&gt;"✓"),SUMPRODUCT(($AM$11:$AM54&lt;&gt;"")*($AS$11:$AS54&lt;&gt;"✓")),"")</f>
        <v/>
      </c>
      <c r="AZ54" s="21" t="str">
        <f>IF(AND($AM54&lt;&gt;"",$AS54="✓"),SUMPRODUCT(($AM$11:$AM54&lt;&gt;"")*($AS$11:$AS54="✓")),"")</f>
        <v/>
      </c>
      <c r="BA54" s="21" t="str">
        <f>IF($AL54="","",$AL54&amp;"|"&amp;COUNTIF($AL$11:$AL54,$AL54))</f>
        <v/>
      </c>
      <c r="BD54" s="36" t="str">
        <f>IF(IFERROR(INDEX($AM$11:$AM$4010,MATCH($S$8&amp;"|"&amp;42,$BA$11:$BA$4010,0)),"")="","",42)</f>
        <v/>
      </c>
      <c r="BE54" s="36" t="str">
        <f>IFERROR(INDEX($AM$11:$AM$4010,MATCH($S$8&amp;"|"&amp;42,$BA$11:$BA$4010,0)),"")</f>
        <v/>
      </c>
      <c r="BF54" s="36" t="str">
        <f>IFERROR(INDEX($AP$11:$AP$4010,MATCH($S$8&amp;"|"&amp;42,$BA$11:$BA$4010,0)),"")</f>
        <v/>
      </c>
      <c r="BG54" s="36" t="str">
        <f>IFERROR(INDEX($AQ$11:$AQ$4010,MATCH($S$8&amp;"|"&amp;42,$BA$11:$BA$4010,0)),"")</f>
        <v/>
      </c>
      <c r="BH54" s="37" t="str">
        <f>IFERROR(INDEX($AN$11:$AN$4010,MATCH($S$8&amp;"|"&amp;42,$BA$11:$BA$4010,0)),"")</f>
        <v/>
      </c>
      <c r="BI54" s="37" t="str">
        <f>IFERROR(INDEX($AO$11:$AO$4010,MATCH($S$8&amp;"|"&amp;42,$BA$11:$BA$4010,0)),"")</f>
        <v/>
      </c>
      <c r="BL54" s="36" t="str">
        <f>IF(IFERROR(INDEX($AM$11:$AM$4010,MATCH($S$8&amp;"|"&amp;42,$BA$11:$BA$4010,0)),"")="","",42)</f>
        <v/>
      </c>
      <c r="BM54" s="36" t="str">
        <f>IFERROR(INDEX($AM$11:$AM$4010,MATCH($S$8&amp;"|"&amp;42,$BA$11:$BA$4010,0)),"")</f>
        <v/>
      </c>
      <c r="BN54" s="36" t="str">
        <f>IFERROR(INDEX($AP$11:$AP$4010,MATCH($S$8&amp;"|"&amp;42,$BA$11:$BA$4010,0)),"")</f>
        <v/>
      </c>
      <c r="BO54" s="36" t="str">
        <f>IFERROR(INDEX($AQ$11:$AQ$4010,MATCH($S$8&amp;"|"&amp;42,$BA$11:$BA$4010,0)),"")</f>
        <v/>
      </c>
      <c r="BP54" s="37" t="str">
        <f>IFERROR(INDEX($AN$11:$AN$4010,MATCH($S$8&amp;"|"&amp;42,$BA$11:$BA$4010,0)),"")</f>
        <v/>
      </c>
      <c r="BQ54" s="37" t="str">
        <f>IFERROR(INDEX($AO$11:$AO$4010,MATCH($S$8&amp;"|"&amp;42,$BA$11:$BA$4010,0)),"")</f>
        <v/>
      </c>
    </row>
    <row r="55" spans="2:69" ht="13.5" customHeight="1" x14ac:dyDescent="0.25">
      <c r="B55" s="5" t="str">
        <f t="shared" si="0"/>
        <v/>
      </c>
      <c r="C55" s="5"/>
      <c r="D55" s="5"/>
      <c r="E55" s="5"/>
      <c r="F55" s="6"/>
      <c r="G55" s="6"/>
      <c r="H55" s="7"/>
      <c r="I55" s="8"/>
      <c r="K55" s="9" t="str">
        <f>IFERROR(INDEX($AL$11:$AL$4010,MATCH(45,$AX$11:$AX$4010,0)),"")</f>
        <v/>
      </c>
      <c r="L55" s="10" t="str">
        <f t="shared" si="1"/>
        <v/>
      </c>
      <c r="M55" s="11" t="str">
        <f t="shared" si="2"/>
        <v/>
      </c>
      <c r="N55" s="11" t="str">
        <f t="shared" si="3"/>
        <v/>
      </c>
      <c r="P55" s="12" t="str">
        <f>IFERROR(INDEX($AM$11:$AM$4010,MATCH($S$8&amp;"|"&amp;45,$BA$11:$BA$4010,0)),"")</f>
        <v/>
      </c>
      <c r="Q55" s="11" t="str">
        <f>IF(P55="","",IFERROR(INDEX($AN$11:$AN$4010,MATCH($S$8&amp;"|"&amp;45,$BA$11:$BA$4010,0)),""))</f>
        <v/>
      </c>
      <c r="R55" s="11" t="str">
        <f>IF(P55="","",IFERROR(INDEX($AO$11:$AO$4010,MATCH($S$8&amp;"|"&amp;45,$BA$11:$BA$4010,0)),""))</f>
        <v/>
      </c>
      <c r="S55" s="10" t="str">
        <f>IF(P55="","",IFERROR(INDEX($AP$11:$AP$4010,MATCH($S$8&amp;"|"&amp;45,$BA$11:$BA$4010,0)),""))</f>
        <v/>
      </c>
      <c r="T55" s="10" t="str">
        <f>IF(P55="","",IFERROR(INDEX($AQ$11:$AQ$4010,MATCH($S$8&amp;"|"&amp;45,$BA$11:$BA$4010,0)),""))</f>
        <v/>
      </c>
      <c r="U55" s="39" t="str">
        <f t="shared" si="14"/>
        <v/>
      </c>
      <c r="W55" s="14" t="str">
        <f>IF(X55="","",IFERROR(INDEX($AL$11:$AL$4010,MATCH(45,$AY$11:$AY$4010,0)),""))</f>
        <v/>
      </c>
      <c r="X55" s="12" t="str">
        <f>IFERROR(INDEX($AM$11:$AM$4010,MATCH(45,$AY$11:$AY$4010,0)),"")</f>
        <v/>
      </c>
      <c r="Y55" s="11" t="str">
        <f>IF(X55="","",IFERROR(INDEX($AN$11:$AN$4010,MATCH(45,$AY$11:$AY$4010,0)),""))</f>
        <v/>
      </c>
      <c r="Z55" s="11" t="str">
        <f>IF(X55="","",IFERROR(INDEX($AO$11:$AO$4010,MATCH(45,$AY$11:$AY$4010,0)),""))</f>
        <v/>
      </c>
      <c r="AA55" s="10" t="str">
        <f>IF(X55="","",IFERROR(INDEX($AQ$11:$AQ$4010,MATCH(45,$AY$11:$AY$4010,0)),""))</f>
        <v/>
      </c>
      <c r="AB55" s="15" t="str">
        <f>IF(X55="","",IFERROR(INDEX($AR$11:$AR$4010,MATCH(45,$AY$11:$AY$4010,0)),""))</f>
        <v/>
      </c>
      <c r="AD55" s="16" t="str">
        <f>IF(AE55="","",IFERROR(INDEX($AL$11:$AL$4010,MATCH(45,$AZ$11:$AZ$4010,0)),""))</f>
        <v/>
      </c>
      <c r="AE55" s="12" t="str">
        <f>IFERROR(INDEX($AM$11:$AM$4010,MATCH(45,$AZ$11:$AZ$4010,0)),"")</f>
        <v/>
      </c>
      <c r="AF55" s="11" t="str">
        <f>IF(AE55="","",IFERROR(INDEX($AN$11:$AN$4010,MATCH(45,$AZ$11:$AZ$4010,0)),""))</f>
        <v/>
      </c>
      <c r="AG55" s="11" t="str">
        <f>IF(AE55="","",IFERROR(INDEX($AO$11:$AO$4010,MATCH(45,$AZ$11:$AZ$4010,0)),""))</f>
        <v/>
      </c>
      <c r="AH55" s="10" t="str">
        <f>IF(AE55="","",IFERROR(INDEX($AQ$11:$AQ$4010,MATCH(45,$AZ$11:$AZ$4010,0)),""))</f>
        <v/>
      </c>
      <c r="AI55" s="15" t="str">
        <f>IF(AE55="","",IFERROR(INDEX($AR$11:$AR$4010,MATCH(45,$AZ$11:$AZ$4010,0)),""))</f>
        <v/>
      </c>
      <c r="AJ55" s="15" t="str">
        <f>IF(AE55="","",IFERROR(INDEX($AT$11:$AT$4010,MATCH(45,$AZ$11:$AZ$4010,0)),""))</f>
        <v/>
      </c>
      <c r="AL55" s="17" t="str">
        <f t="shared" si="5"/>
        <v/>
      </c>
      <c r="AM55" s="12" t="str">
        <f t="shared" si="6"/>
        <v/>
      </c>
      <c r="AN55" s="18" t="str">
        <f t="shared" si="7"/>
        <v/>
      </c>
      <c r="AO55" s="18" t="str">
        <f t="shared" si="8"/>
        <v/>
      </c>
      <c r="AP55" s="10" t="str">
        <f t="shared" si="9"/>
        <v/>
      </c>
      <c r="AQ55" s="10" t="str">
        <f t="shared" si="10"/>
        <v/>
      </c>
      <c r="AR55" s="19" t="str">
        <f t="shared" si="11"/>
        <v/>
      </c>
      <c r="AS55" s="20"/>
      <c r="AT55" s="19"/>
      <c r="AV55" s="21">
        <f>IF(AND($AL55&lt;&gt;"",COUNTIF($AL$11:$AL55,$AL55)=1),1,0)</f>
        <v>0</v>
      </c>
      <c r="AW55" s="21">
        <f t="shared" si="13"/>
        <v>0</v>
      </c>
      <c r="AX55" s="21" t="str">
        <f t="shared" si="12"/>
        <v/>
      </c>
      <c r="AY55" s="21" t="str">
        <f>IF(AND($AM55&lt;&gt;"",$AS55&lt;&gt;"✓"),SUMPRODUCT(($AM$11:$AM55&lt;&gt;"")*($AS$11:$AS55&lt;&gt;"✓")),"")</f>
        <v/>
      </c>
      <c r="AZ55" s="21" t="str">
        <f>IF(AND($AM55&lt;&gt;"",$AS55="✓"),SUMPRODUCT(($AM$11:$AM55&lt;&gt;"")*($AS$11:$AS55="✓")),"")</f>
        <v/>
      </c>
      <c r="BA55" s="21" t="str">
        <f>IF($AL55="","",$AL55&amp;"|"&amp;COUNTIF($AL$11:$AL55,$AL55))</f>
        <v/>
      </c>
      <c r="BD55" s="36" t="str">
        <f>IF(IFERROR(INDEX($AM$11:$AM$4010,MATCH($S$8&amp;"|"&amp;43,$BA$11:$BA$4010,0)),"")="","",43)</f>
        <v/>
      </c>
      <c r="BE55" s="36" t="str">
        <f>IFERROR(INDEX($AM$11:$AM$4010,MATCH($S$8&amp;"|"&amp;43,$BA$11:$BA$4010,0)),"")</f>
        <v/>
      </c>
      <c r="BF55" s="36" t="str">
        <f>IFERROR(INDEX($AP$11:$AP$4010,MATCH($S$8&amp;"|"&amp;43,$BA$11:$BA$4010,0)),"")</f>
        <v/>
      </c>
      <c r="BG55" s="36" t="str">
        <f>IFERROR(INDEX($AQ$11:$AQ$4010,MATCH($S$8&amp;"|"&amp;43,$BA$11:$BA$4010,0)),"")</f>
        <v/>
      </c>
      <c r="BH55" s="37" t="str">
        <f>IFERROR(INDEX($AN$11:$AN$4010,MATCH($S$8&amp;"|"&amp;43,$BA$11:$BA$4010,0)),"")</f>
        <v/>
      </c>
      <c r="BI55" s="37" t="str">
        <f>IFERROR(INDEX($AO$11:$AO$4010,MATCH($S$8&amp;"|"&amp;43,$BA$11:$BA$4010,0)),"")</f>
        <v/>
      </c>
      <c r="BL55" s="36" t="str">
        <f>IF(IFERROR(INDEX($AM$11:$AM$4010,MATCH($S$8&amp;"|"&amp;43,$BA$11:$BA$4010,0)),"")="","",43)</f>
        <v/>
      </c>
      <c r="BM55" s="36" t="str">
        <f>IFERROR(INDEX($AM$11:$AM$4010,MATCH($S$8&amp;"|"&amp;43,$BA$11:$BA$4010,0)),"")</f>
        <v/>
      </c>
      <c r="BN55" s="36" t="str">
        <f>IFERROR(INDEX($AP$11:$AP$4010,MATCH($S$8&amp;"|"&amp;43,$BA$11:$BA$4010,0)),"")</f>
        <v/>
      </c>
      <c r="BO55" s="36" t="str">
        <f>IFERROR(INDEX($AQ$11:$AQ$4010,MATCH($S$8&amp;"|"&amp;43,$BA$11:$BA$4010,0)),"")</f>
        <v/>
      </c>
      <c r="BP55" s="37" t="str">
        <f>IFERROR(INDEX($AN$11:$AN$4010,MATCH($S$8&amp;"|"&amp;43,$BA$11:$BA$4010,0)),"")</f>
        <v/>
      </c>
      <c r="BQ55" s="37" t="str">
        <f>IFERROR(INDEX($AO$11:$AO$4010,MATCH($S$8&amp;"|"&amp;43,$BA$11:$BA$4010,0)),"")</f>
        <v/>
      </c>
    </row>
    <row r="56" spans="2:69" ht="13.5" customHeight="1" x14ac:dyDescent="0.25">
      <c r="B56" s="5" t="str">
        <f t="shared" si="0"/>
        <v/>
      </c>
      <c r="C56" s="5"/>
      <c r="D56" s="5"/>
      <c r="E56" s="5"/>
      <c r="F56" s="6"/>
      <c r="G56" s="6"/>
      <c r="H56" s="7"/>
      <c r="I56" s="8"/>
      <c r="K56" s="23" t="str">
        <f>IFERROR(INDEX($AL$11:$AL$4010,MATCH(46,$AX$11:$AX$4010,0)),"")</f>
        <v/>
      </c>
      <c r="L56" s="24" t="str">
        <f t="shared" si="1"/>
        <v/>
      </c>
      <c r="M56" s="25" t="str">
        <f t="shared" si="2"/>
        <v/>
      </c>
      <c r="N56" s="25" t="str">
        <f t="shared" si="3"/>
        <v/>
      </c>
      <c r="P56" s="26" t="str">
        <f>IFERROR(INDEX($AM$11:$AM$4010,MATCH($S$8&amp;"|"&amp;46,$BA$11:$BA$4010,0)),"")</f>
        <v/>
      </c>
      <c r="Q56" s="25" t="str">
        <f>IF(P56="","",IFERROR(INDEX($AN$11:$AN$4010,MATCH($S$8&amp;"|"&amp;46,$BA$11:$BA$4010,0)),""))</f>
        <v/>
      </c>
      <c r="R56" s="25" t="str">
        <f>IF(P56="","",IFERROR(INDEX($AO$11:$AO$4010,MATCH($S$8&amp;"|"&amp;46,$BA$11:$BA$4010,0)),""))</f>
        <v/>
      </c>
      <c r="S56" s="24" t="str">
        <f>IF(P56="","",IFERROR(INDEX($AP$11:$AP$4010,MATCH($S$8&amp;"|"&amp;46,$BA$11:$BA$4010,0)),""))</f>
        <v/>
      </c>
      <c r="T56" s="24" t="str">
        <f>IF(P56="","",IFERROR(INDEX($AQ$11:$AQ$4010,MATCH($S$8&amp;"|"&amp;46,$BA$11:$BA$4010,0)),""))</f>
        <v/>
      </c>
      <c r="U56" s="38" t="str">
        <f t="shared" si="14"/>
        <v/>
      </c>
      <c r="W56" s="28" t="str">
        <f>IF(X56="","",IFERROR(INDEX($AL$11:$AL$4010,MATCH(46,$AY$11:$AY$4010,0)),""))</f>
        <v/>
      </c>
      <c r="X56" s="26" t="str">
        <f>IFERROR(INDEX($AM$11:$AM$4010,MATCH(46,$AY$11:$AY$4010,0)),"")</f>
        <v/>
      </c>
      <c r="Y56" s="25" t="str">
        <f>IF(X56="","",IFERROR(INDEX($AN$11:$AN$4010,MATCH(46,$AY$11:$AY$4010,0)),""))</f>
        <v/>
      </c>
      <c r="Z56" s="25" t="str">
        <f>IF(X56="","",IFERROR(INDEX($AO$11:$AO$4010,MATCH(46,$AY$11:$AY$4010,0)),""))</f>
        <v/>
      </c>
      <c r="AA56" s="24" t="str">
        <f>IF(X56="","",IFERROR(INDEX($AQ$11:$AQ$4010,MATCH(46,$AY$11:$AY$4010,0)),""))</f>
        <v/>
      </c>
      <c r="AB56" s="29" t="str">
        <f>IF(X56="","",IFERROR(INDEX($AR$11:$AR$4010,MATCH(46,$AY$11:$AY$4010,0)),""))</f>
        <v/>
      </c>
      <c r="AD56" s="30" t="str">
        <f>IF(AE56="","",IFERROR(INDEX($AL$11:$AL$4010,MATCH(46,$AZ$11:$AZ$4010,0)),""))</f>
        <v/>
      </c>
      <c r="AE56" s="26" t="str">
        <f>IFERROR(INDEX($AM$11:$AM$4010,MATCH(46,$AZ$11:$AZ$4010,0)),"")</f>
        <v/>
      </c>
      <c r="AF56" s="25" t="str">
        <f>IF(AE56="","",IFERROR(INDEX($AN$11:$AN$4010,MATCH(46,$AZ$11:$AZ$4010,0)),""))</f>
        <v/>
      </c>
      <c r="AG56" s="25" t="str">
        <f>IF(AE56="","",IFERROR(INDEX($AO$11:$AO$4010,MATCH(46,$AZ$11:$AZ$4010,0)),""))</f>
        <v/>
      </c>
      <c r="AH56" s="24" t="str">
        <f>IF(AE56="","",IFERROR(INDEX($AQ$11:$AQ$4010,MATCH(46,$AZ$11:$AZ$4010,0)),""))</f>
        <v/>
      </c>
      <c r="AI56" s="29" t="str">
        <f>IF(AE56="","",IFERROR(INDEX($AR$11:$AR$4010,MATCH(46,$AZ$11:$AZ$4010,0)),""))</f>
        <v/>
      </c>
      <c r="AJ56" s="29" t="str">
        <f>IF(AE56="","",IFERROR(INDEX($AT$11:$AT$4010,MATCH(46,$AZ$11:$AZ$4010,0)),""))</f>
        <v/>
      </c>
      <c r="AL56" s="31" t="str">
        <f t="shared" si="5"/>
        <v/>
      </c>
      <c r="AM56" s="26" t="str">
        <f t="shared" si="6"/>
        <v/>
      </c>
      <c r="AN56" s="32" t="str">
        <f t="shared" si="7"/>
        <v/>
      </c>
      <c r="AO56" s="32" t="str">
        <f t="shared" si="8"/>
        <v/>
      </c>
      <c r="AP56" s="24" t="str">
        <f t="shared" si="9"/>
        <v/>
      </c>
      <c r="AQ56" s="24" t="str">
        <f t="shared" si="10"/>
        <v/>
      </c>
      <c r="AR56" s="33" t="str">
        <f t="shared" si="11"/>
        <v/>
      </c>
      <c r="AS56" s="34"/>
      <c r="AT56" s="33"/>
      <c r="AV56" s="21">
        <f>IF(AND($AL56&lt;&gt;"",COUNTIF($AL$11:$AL56,$AL56)=1),1,0)</f>
        <v>0</v>
      </c>
      <c r="AW56" s="21">
        <f t="shared" si="13"/>
        <v>0</v>
      </c>
      <c r="AX56" s="21" t="str">
        <f t="shared" si="12"/>
        <v/>
      </c>
      <c r="AY56" s="21" t="str">
        <f>IF(AND($AM56&lt;&gt;"",$AS56&lt;&gt;"✓"),SUMPRODUCT(($AM$11:$AM56&lt;&gt;"")*($AS$11:$AS56&lt;&gt;"✓")),"")</f>
        <v/>
      </c>
      <c r="AZ56" s="21" t="str">
        <f>IF(AND($AM56&lt;&gt;"",$AS56="✓"),SUMPRODUCT(($AM$11:$AM56&lt;&gt;"")*($AS$11:$AS56="✓")),"")</f>
        <v/>
      </c>
      <c r="BA56" s="21" t="str">
        <f>IF($AL56="","",$AL56&amp;"|"&amp;COUNTIF($AL$11:$AL56,$AL56))</f>
        <v/>
      </c>
      <c r="BD56" s="36" t="str">
        <f>IF(IFERROR(INDEX($AM$11:$AM$4010,MATCH($S$8&amp;"|"&amp;44,$BA$11:$BA$4010,0)),"")="","",44)</f>
        <v/>
      </c>
      <c r="BE56" s="36" t="str">
        <f>IFERROR(INDEX($AM$11:$AM$4010,MATCH($S$8&amp;"|"&amp;44,$BA$11:$BA$4010,0)),"")</f>
        <v/>
      </c>
      <c r="BF56" s="36" t="str">
        <f>IFERROR(INDEX($AP$11:$AP$4010,MATCH($S$8&amp;"|"&amp;44,$BA$11:$BA$4010,0)),"")</f>
        <v/>
      </c>
      <c r="BG56" s="36" t="str">
        <f>IFERROR(INDEX($AQ$11:$AQ$4010,MATCH($S$8&amp;"|"&amp;44,$BA$11:$BA$4010,0)),"")</f>
        <v/>
      </c>
      <c r="BH56" s="37" t="str">
        <f>IFERROR(INDEX($AN$11:$AN$4010,MATCH($S$8&amp;"|"&amp;44,$BA$11:$BA$4010,0)),"")</f>
        <v/>
      </c>
      <c r="BI56" s="37" t="str">
        <f>IFERROR(INDEX($AO$11:$AO$4010,MATCH($S$8&amp;"|"&amp;44,$BA$11:$BA$4010,0)),"")</f>
        <v/>
      </c>
      <c r="BL56" s="36" t="str">
        <f>IF(IFERROR(INDEX($AM$11:$AM$4010,MATCH($S$8&amp;"|"&amp;44,$BA$11:$BA$4010,0)),"")="","",44)</f>
        <v/>
      </c>
      <c r="BM56" s="36" t="str">
        <f>IFERROR(INDEX($AM$11:$AM$4010,MATCH($S$8&amp;"|"&amp;44,$BA$11:$BA$4010,0)),"")</f>
        <v/>
      </c>
      <c r="BN56" s="36" t="str">
        <f>IFERROR(INDEX($AP$11:$AP$4010,MATCH($S$8&amp;"|"&amp;44,$BA$11:$BA$4010,0)),"")</f>
        <v/>
      </c>
      <c r="BO56" s="36" t="str">
        <f>IFERROR(INDEX($AQ$11:$AQ$4010,MATCH($S$8&amp;"|"&amp;44,$BA$11:$BA$4010,0)),"")</f>
        <v/>
      </c>
      <c r="BP56" s="37" t="str">
        <f>IFERROR(INDEX($AN$11:$AN$4010,MATCH($S$8&amp;"|"&amp;44,$BA$11:$BA$4010,0)),"")</f>
        <v/>
      </c>
      <c r="BQ56" s="37" t="str">
        <f>IFERROR(INDEX($AO$11:$AO$4010,MATCH($S$8&amp;"|"&amp;44,$BA$11:$BA$4010,0)),"")</f>
        <v/>
      </c>
    </row>
    <row r="57" spans="2:69" ht="13.5" customHeight="1" x14ac:dyDescent="0.25">
      <c r="B57" s="5" t="str">
        <f t="shared" si="0"/>
        <v/>
      </c>
      <c r="C57" s="5"/>
      <c r="D57" s="5"/>
      <c r="E57" s="5"/>
      <c r="F57" s="6"/>
      <c r="G57" s="6"/>
      <c r="H57" s="7"/>
      <c r="I57" s="8"/>
      <c r="K57" s="9" t="str">
        <f>IFERROR(INDEX($AL$11:$AL$4010,MATCH(47,$AX$11:$AX$4010,0)),"")</f>
        <v/>
      </c>
      <c r="L57" s="10" t="str">
        <f t="shared" si="1"/>
        <v/>
      </c>
      <c r="M57" s="11" t="str">
        <f t="shared" si="2"/>
        <v/>
      </c>
      <c r="N57" s="11" t="str">
        <f t="shared" si="3"/>
        <v/>
      </c>
      <c r="P57" s="12" t="str">
        <f>IFERROR(INDEX($AM$11:$AM$4010,MATCH($S$8&amp;"|"&amp;47,$BA$11:$BA$4010,0)),"")</f>
        <v/>
      </c>
      <c r="Q57" s="11" t="str">
        <f>IF(P57="","",IFERROR(INDEX($AN$11:$AN$4010,MATCH($S$8&amp;"|"&amp;47,$BA$11:$BA$4010,0)),""))</f>
        <v/>
      </c>
      <c r="R57" s="11" t="str">
        <f>IF(P57="","",IFERROR(INDEX($AO$11:$AO$4010,MATCH($S$8&amp;"|"&amp;47,$BA$11:$BA$4010,0)),""))</f>
        <v/>
      </c>
      <c r="S57" s="10" t="str">
        <f>IF(P57="","",IFERROR(INDEX($AP$11:$AP$4010,MATCH($S$8&amp;"|"&amp;47,$BA$11:$BA$4010,0)),""))</f>
        <v/>
      </c>
      <c r="T57" s="10" t="str">
        <f>IF(P57="","",IFERROR(INDEX($AQ$11:$AQ$4010,MATCH($S$8&amp;"|"&amp;47,$BA$11:$BA$4010,0)),""))</f>
        <v/>
      </c>
      <c r="U57" s="39" t="str">
        <f t="shared" si="14"/>
        <v/>
      </c>
      <c r="W57" s="14" t="str">
        <f>IF(X57="","",IFERROR(INDEX($AL$11:$AL$4010,MATCH(47,$AY$11:$AY$4010,0)),""))</f>
        <v/>
      </c>
      <c r="X57" s="12" t="str">
        <f>IFERROR(INDEX($AM$11:$AM$4010,MATCH(47,$AY$11:$AY$4010,0)),"")</f>
        <v/>
      </c>
      <c r="Y57" s="11" t="str">
        <f>IF(X57="","",IFERROR(INDEX($AN$11:$AN$4010,MATCH(47,$AY$11:$AY$4010,0)),""))</f>
        <v/>
      </c>
      <c r="Z57" s="11" t="str">
        <f>IF(X57="","",IFERROR(INDEX($AO$11:$AO$4010,MATCH(47,$AY$11:$AY$4010,0)),""))</f>
        <v/>
      </c>
      <c r="AA57" s="10" t="str">
        <f>IF(X57="","",IFERROR(INDEX($AQ$11:$AQ$4010,MATCH(47,$AY$11:$AY$4010,0)),""))</f>
        <v/>
      </c>
      <c r="AB57" s="15" t="str">
        <f>IF(X57="","",IFERROR(INDEX($AR$11:$AR$4010,MATCH(47,$AY$11:$AY$4010,0)),""))</f>
        <v/>
      </c>
      <c r="AD57" s="16" t="str">
        <f>IF(AE57="","",IFERROR(INDEX($AL$11:$AL$4010,MATCH(47,$AZ$11:$AZ$4010,0)),""))</f>
        <v/>
      </c>
      <c r="AE57" s="12" t="str">
        <f>IFERROR(INDEX($AM$11:$AM$4010,MATCH(47,$AZ$11:$AZ$4010,0)),"")</f>
        <v/>
      </c>
      <c r="AF57" s="11" t="str">
        <f>IF(AE57="","",IFERROR(INDEX($AN$11:$AN$4010,MATCH(47,$AZ$11:$AZ$4010,0)),""))</f>
        <v/>
      </c>
      <c r="AG57" s="11" t="str">
        <f>IF(AE57="","",IFERROR(INDEX($AO$11:$AO$4010,MATCH(47,$AZ$11:$AZ$4010,0)),""))</f>
        <v/>
      </c>
      <c r="AH57" s="10" t="str">
        <f>IF(AE57="","",IFERROR(INDEX($AQ$11:$AQ$4010,MATCH(47,$AZ$11:$AZ$4010,0)),""))</f>
        <v/>
      </c>
      <c r="AI57" s="15" t="str">
        <f>IF(AE57="","",IFERROR(INDEX($AR$11:$AR$4010,MATCH(47,$AZ$11:$AZ$4010,0)),""))</f>
        <v/>
      </c>
      <c r="AJ57" s="15" t="str">
        <f>IF(AE57="","",IFERROR(INDEX($AT$11:$AT$4010,MATCH(47,$AZ$11:$AZ$4010,0)),""))</f>
        <v/>
      </c>
      <c r="AL57" s="17" t="str">
        <f t="shared" si="5"/>
        <v/>
      </c>
      <c r="AM57" s="12" t="str">
        <f t="shared" si="6"/>
        <v/>
      </c>
      <c r="AN57" s="18" t="str">
        <f t="shared" si="7"/>
        <v/>
      </c>
      <c r="AO57" s="18" t="str">
        <f t="shared" si="8"/>
        <v/>
      </c>
      <c r="AP57" s="10" t="str">
        <f t="shared" si="9"/>
        <v/>
      </c>
      <c r="AQ57" s="10" t="str">
        <f t="shared" si="10"/>
        <v/>
      </c>
      <c r="AR57" s="19" t="str">
        <f t="shared" si="11"/>
        <v/>
      </c>
      <c r="AS57" s="20"/>
      <c r="AT57" s="19"/>
      <c r="AV57" s="21">
        <f>IF(AND($AL57&lt;&gt;"",COUNTIF($AL$11:$AL57,$AL57)=1),1,0)</f>
        <v>0</v>
      </c>
      <c r="AW57" s="21">
        <f t="shared" si="13"/>
        <v>0</v>
      </c>
      <c r="AX57" s="21" t="str">
        <f t="shared" si="12"/>
        <v/>
      </c>
      <c r="AY57" s="21" t="str">
        <f>IF(AND($AM57&lt;&gt;"",$AS57&lt;&gt;"✓"),SUMPRODUCT(($AM$11:$AM57&lt;&gt;"")*($AS$11:$AS57&lt;&gt;"✓")),"")</f>
        <v/>
      </c>
      <c r="AZ57" s="21" t="str">
        <f>IF(AND($AM57&lt;&gt;"",$AS57="✓"),SUMPRODUCT(($AM$11:$AM57&lt;&gt;"")*($AS$11:$AS57="✓")),"")</f>
        <v/>
      </c>
      <c r="BA57" s="21" t="str">
        <f>IF($AL57="","",$AL57&amp;"|"&amp;COUNTIF($AL$11:$AL57,$AL57))</f>
        <v/>
      </c>
      <c r="BD57" s="36" t="str">
        <f>IF(IFERROR(INDEX($AM$11:$AM$4010,MATCH($S$8&amp;"|"&amp;45,$BA$11:$BA$4010,0)),"")="","",45)</f>
        <v/>
      </c>
      <c r="BE57" s="36" t="str">
        <f>IFERROR(INDEX($AM$11:$AM$4010,MATCH($S$8&amp;"|"&amp;45,$BA$11:$BA$4010,0)),"")</f>
        <v/>
      </c>
      <c r="BF57" s="36" t="str">
        <f>IFERROR(INDEX($AP$11:$AP$4010,MATCH($S$8&amp;"|"&amp;45,$BA$11:$BA$4010,0)),"")</f>
        <v/>
      </c>
      <c r="BG57" s="36" t="str">
        <f>IFERROR(INDEX($AQ$11:$AQ$4010,MATCH($S$8&amp;"|"&amp;45,$BA$11:$BA$4010,0)),"")</f>
        <v/>
      </c>
      <c r="BH57" s="37" t="str">
        <f>IFERROR(INDEX($AN$11:$AN$4010,MATCH($S$8&amp;"|"&amp;45,$BA$11:$BA$4010,0)),"")</f>
        <v/>
      </c>
      <c r="BI57" s="37" t="str">
        <f>IFERROR(INDEX($AO$11:$AO$4010,MATCH($S$8&amp;"|"&amp;45,$BA$11:$BA$4010,0)),"")</f>
        <v/>
      </c>
      <c r="BL57" s="36" t="str">
        <f>IF(IFERROR(INDEX($AM$11:$AM$4010,MATCH($S$8&amp;"|"&amp;45,$BA$11:$BA$4010,0)),"")="","",45)</f>
        <v/>
      </c>
      <c r="BM57" s="36" t="str">
        <f>IFERROR(INDEX($AM$11:$AM$4010,MATCH($S$8&amp;"|"&amp;45,$BA$11:$BA$4010,0)),"")</f>
        <v/>
      </c>
      <c r="BN57" s="36" t="str">
        <f>IFERROR(INDEX($AP$11:$AP$4010,MATCH($S$8&amp;"|"&amp;45,$BA$11:$BA$4010,0)),"")</f>
        <v/>
      </c>
      <c r="BO57" s="36" t="str">
        <f>IFERROR(INDEX($AQ$11:$AQ$4010,MATCH($S$8&amp;"|"&amp;45,$BA$11:$BA$4010,0)),"")</f>
        <v/>
      </c>
      <c r="BP57" s="37" t="str">
        <f>IFERROR(INDEX($AN$11:$AN$4010,MATCH($S$8&amp;"|"&amp;45,$BA$11:$BA$4010,0)),"")</f>
        <v/>
      </c>
      <c r="BQ57" s="37" t="str">
        <f>IFERROR(INDEX($AO$11:$AO$4010,MATCH($S$8&amp;"|"&amp;45,$BA$11:$BA$4010,0)),"")</f>
        <v/>
      </c>
    </row>
    <row r="58" spans="2:69" ht="13.5" customHeight="1" x14ac:dyDescent="0.25">
      <c r="B58" s="5" t="str">
        <f t="shared" si="0"/>
        <v/>
      </c>
      <c r="C58" s="5"/>
      <c r="D58" s="5"/>
      <c r="E58" s="5"/>
      <c r="F58" s="6"/>
      <c r="G58" s="6"/>
      <c r="H58" s="7"/>
      <c r="I58" s="8"/>
      <c r="K58" s="23" t="str">
        <f>IFERROR(INDEX($AL$11:$AL$4010,MATCH(48,$AX$11:$AX$4010,0)),"")</f>
        <v/>
      </c>
      <c r="L58" s="24" t="str">
        <f t="shared" si="1"/>
        <v/>
      </c>
      <c r="M58" s="25" t="str">
        <f t="shared" si="2"/>
        <v/>
      </c>
      <c r="N58" s="25" t="str">
        <f t="shared" si="3"/>
        <v/>
      </c>
      <c r="P58" s="26" t="str">
        <f>IFERROR(INDEX($AM$11:$AM$4010,MATCH($S$8&amp;"|"&amp;48,$BA$11:$BA$4010,0)),"")</f>
        <v/>
      </c>
      <c r="Q58" s="25" t="str">
        <f>IF(P58="","",IFERROR(INDEX($AN$11:$AN$4010,MATCH($S$8&amp;"|"&amp;48,$BA$11:$BA$4010,0)),""))</f>
        <v/>
      </c>
      <c r="R58" s="25" t="str">
        <f>IF(P58="","",IFERROR(INDEX($AO$11:$AO$4010,MATCH($S$8&amp;"|"&amp;48,$BA$11:$BA$4010,0)),""))</f>
        <v/>
      </c>
      <c r="S58" s="24" t="str">
        <f>IF(P58="","",IFERROR(INDEX($AP$11:$AP$4010,MATCH($S$8&amp;"|"&amp;48,$BA$11:$BA$4010,0)),""))</f>
        <v/>
      </c>
      <c r="T58" s="24" t="str">
        <f>IF(P58="","",IFERROR(INDEX($AQ$11:$AQ$4010,MATCH($S$8&amp;"|"&amp;48,$BA$11:$BA$4010,0)),""))</f>
        <v/>
      </c>
      <c r="U58" s="38" t="str">
        <f t="shared" si="14"/>
        <v/>
      </c>
      <c r="W58" s="28" t="str">
        <f>IF(X58="","",IFERROR(INDEX($AL$11:$AL$4010,MATCH(48,$AY$11:$AY$4010,0)),""))</f>
        <v/>
      </c>
      <c r="X58" s="26" t="str">
        <f>IFERROR(INDEX($AM$11:$AM$4010,MATCH(48,$AY$11:$AY$4010,0)),"")</f>
        <v/>
      </c>
      <c r="Y58" s="25" t="str">
        <f>IF(X58="","",IFERROR(INDEX($AN$11:$AN$4010,MATCH(48,$AY$11:$AY$4010,0)),""))</f>
        <v/>
      </c>
      <c r="Z58" s="25" t="str">
        <f>IF(X58="","",IFERROR(INDEX($AO$11:$AO$4010,MATCH(48,$AY$11:$AY$4010,0)),""))</f>
        <v/>
      </c>
      <c r="AA58" s="24" t="str">
        <f>IF(X58="","",IFERROR(INDEX($AQ$11:$AQ$4010,MATCH(48,$AY$11:$AY$4010,0)),""))</f>
        <v/>
      </c>
      <c r="AB58" s="29" t="str">
        <f>IF(X58="","",IFERROR(INDEX($AR$11:$AR$4010,MATCH(48,$AY$11:$AY$4010,0)),""))</f>
        <v/>
      </c>
      <c r="AD58" s="30" t="str">
        <f>IF(AE58="","",IFERROR(INDEX($AL$11:$AL$4010,MATCH(48,$AZ$11:$AZ$4010,0)),""))</f>
        <v/>
      </c>
      <c r="AE58" s="26" t="str">
        <f>IFERROR(INDEX($AM$11:$AM$4010,MATCH(48,$AZ$11:$AZ$4010,0)),"")</f>
        <v/>
      </c>
      <c r="AF58" s="25" t="str">
        <f>IF(AE58="","",IFERROR(INDEX($AN$11:$AN$4010,MATCH(48,$AZ$11:$AZ$4010,0)),""))</f>
        <v/>
      </c>
      <c r="AG58" s="25" t="str">
        <f>IF(AE58="","",IFERROR(INDEX($AO$11:$AO$4010,MATCH(48,$AZ$11:$AZ$4010,0)),""))</f>
        <v/>
      </c>
      <c r="AH58" s="24" t="str">
        <f>IF(AE58="","",IFERROR(INDEX($AQ$11:$AQ$4010,MATCH(48,$AZ$11:$AZ$4010,0)),""))</f>
        <v/>
      </c>
      <c r="AI58" s="29" t="str">
        <f>IF(AE58="","",IFERROR(INDEX($AR$11:$AR$4010,MATCH(48,$AZ$11:$AZ$4010,0)),""))</f>
        <v/>
      </c>
      <c r="AJ58" s="29" t="str">
        <f>IF(AE58="","",IFERROR(INDEX($AT$11:$AT$4010,MATCH(48,$AZ$11:$AZ$4010,0)),""))</f>
        <v/>
      </c>
      <c r="AL58" s="31" t="str">
        <f t="shared" si="5"/>
        <v/>
      </c>
      <c r="AM58" s="26" t="str">
        <f t="shared" si="6"/>
        <v/>
      </c>
      <c r="AN58" s="32" t="str">
        <f t="shared" si="7"/>
        <v/>
      </c>
      <c r="AO58" s="32" t="str">
        <f t="shared" si="8"/>
        <v/>
      </c>
      <c r="AP58" s="24" t="str">
        <f t="shared" si="9"/>
        <v/>
      </c>
      <c r="AQ58" s="24" t="str">
        <f t="shared" si="10"/>
        <v/>
      </c>
      <c r="AR58" s="33" t="str">
        <f t="shared" si="11"/>
        <v/>
      </c>
      <c r="AS58" s="34"/>
      <c r="AT58" s="33"/>
      <c r="AV58" s="21">
        <f>IF(AND($AL58&lt;&gt;"",COUNTIF($AL$11:$AL58,$AL58)=1),1,0)</f>
        <v>0</v>
      </c>
      <c r="AW58" s="21">
        <f t="shared" si="13"/>
        <v>0</v>
      </c>
      <c r="AX58" s="21" t="str">
        <f t="shared" si="12"/>
        <v/>
      </c>
      <c r="AY58" s="21" t="str">
        <f>IF(AND($AM58&lt;&gt;"",$AS58&lt;&gt;"✓"),SUMPRODUCT(($AM$11:$AM58&lt;&gt;"")*($AS$11:$AS58&lt;&gt;"✓")),"")</f>
        <v/>
      </c>
      <c r="AZ58" s="21" t="str">
        <f>IF(AND($AM58&lt;&gt;"",$AS58="✓"),SUMPRODUCT(($AM$11:$AM58&lt;&gt;"")*($AS$11:$AS58="✓")),"")</f>
        <v/>
      </c>
      <c r="BA58" s="21" t="str">
        <f>IF($AL58="","",$AL58&amp;"|"&amp;COUNTIF($AL$11:$AL58,$AL58))</f>
        <v/>
      </c>
      <c r="BD58" s="36" t="str">
        <f>IF(IFERROR(INDEX($AM$11:$AM$4010,MATCH($S$8&amp;"|"&amp;46,$BA$11:$BA$4010,0)),"")="","",46)</f>
        <v/>
      </c>
      <c r="BE58" s="36" t="str">
        <f>IFERROR(INDEX($AM$11:$AM$4010,MATCH($S$8&amp;"|"&amp;46,$BA$11:$BA$4010,0)),"")</f>
        <v/>
      </c>
      <c r="BF58" s="36" t="str">
        <f>IFERROR(INDEX($AP$11:$AP$4010,MATCH($S$8&amp;"|"&amp;46,$BA$11:$BA$4010,0)),"")</f>
        <v/>
      </c>
      <c r="BG58" s="36" t="str">
        <f>IFERROR(INDEX($AQ$11:$AQ$4010,MATCH($S$8&amp;"|"&amp;46,$BA$11:$BA$4010,0)),"")</f>
        <v/>
      </c>
      <c r="BH58" s="37" t="str">
        <f>IFERROR(INDEX($AN$11:$AN$4010,MATCH($S$8&amp;"|"&amp;46,$BA$11:$BA$4010,0)),"")</f>
        <v/>
      </c>
      <c r="BI58" s="37" t="str">
        <f>IFERROR(INDEX($AO$11:$AO$4010,MATCH($S$8&amp;"|"&amp;46,$BA$11:$BA$4010,0)),"")</f>
        <v/>
      </c>
      <c r="BL58" s="36" t="str">
        <f>IF(IFERROR(INDEX($AM$11:$AM$4010,MATCH($S$8&amp;"|"&amp;46,$BA$11:$BA$4010,0)),"")="","",46)</f>
        <v/>
      </c>
      <c r="BM58" s="36" t="str">
        <f>IFERROR(INDEX($AM$11:$AM$4010,MATCH($S$8&amp;"|"&amp;46,$BA$11:$BA$4010,0)),"")</f>
        <v/>
      </c>
      <c r="BN58" s="36" t="str">
        <f>IFERROR(INDEX($AP$11:$AP$4010,MATCH($S$8&amp;"|"&amp;46,$BA$11:$BA$4010,0)),"")</f>
        <v/>
      </c>
      <c r="BO58" s="36" t="str">
        <f>IFERROR(INDEX($AQ$11:$AQ$4010,MATCH($S$8&amp;"|"&amp;46,$BA$11:$BA$4010,0)),"")</f>
        <v/>
      </c>
      <c r="BP58" s="37" t="str">
        <f>IFERROR(INDEX($AN$11:$AN$4010,MATCH($S$8&amp;"|"&amp;46,$BA$11:$BA$4010,0)),"")</f>
        <v/>
      </c>
      <c r="BQ58" s="37" t="str">
        <f>IFERROR(INDEX($AO$11:$AO$4010,MATCH($S$8&amp;"|"&amp;46,$BA$11:$BA$4010,0)),"")</f>
        <v/>
      </c>
    </row>
    <row r="59" spans="2:69" ht="13.5" customHeight="1" x14ac:dyDescent="0.25">
      <c r="B59" s="5" t="str">
        <f t="shared" si="0"/>
        <v/>
      </c>
      <c r="C59" s="5"/>
      <c r="D59" s="5"/>
      <c r="E59" s="5"/>
      <c r="F59" s="6"/>
      <c r="G59" s="6"/>
      <c r="H59" s="7"/>
      <c r="I59" s="8"/>
      <c r="K59" s="9" t="str">
        <f>IFERROR(INDEX($AL$11:$AL$4010,MATCH(49,$AX$11:$AX$4010,0)),"")</f>
        <v/>
      </c>
      <c r="L59" s="10" t="str">
        <f t="shared" si="1"/>
        <v/>
      </c>
      <c r="M59" s="11" t="str">
        <f t="shared" si="2"/>
        <v/>
      </c>
      <c r="N59" s="11" t="str">
        <f t="shared" si="3"/>
        <v/>
      </c>
      <c r="P59" s="12" t="str">
        <f>IFERROR(INDEX($AM$11:$AM$4010,MATCH($S$8&amp;"|"&amp;49,$BA$11:$BA$4010,0)),"")</f>
        <v/>
      </c>
      <c r="Q59" s="11" t="str">
        <f>IF(P59="","",IFERROR(INDEX($AN$11:$AN$4010,MATCH($S$8&amp;"|"&amp;49,$BA$11:$BA$4010,0)),""))</f>
        <v/>
      </c>
      <c r="R59" s="11" t="str">
        <f>IF(P59="","",IFERROR(INDEX($AO$11:$AO$4010,MATCH($S$8&amp;"|"&amp;49,$BA$11:$BA$4010,0)),""))</f>
        <v/>
      </c>
      <c r="S59" s="10" t="str">
        <f>IF(P59="","",IFERROR(INDEX($AP$11:$AP$4010,MATCH($S$8&amp;"|"&amp;49,$BA$11:$BA$4010,0)),""))</f>
        <v/>
      </c>
      <c r="T59" s="10" t="str">
        <f>IF(P59="","",IFERROR(INDEX($AQ$11:$AQ$4010,MATCH($S$8&amp;"|"&amp;49,$BA$11:$BA$4010,0)),""))</f>
        <v/>
      </c>
      <c r="U59" s="39" t="str">
        <f t="shared" si="14"/>
        <v/>
      </c>
      <c r="W59" s="14" t="str">
        <f>IF(X59="","",IFERROR(INDEX($AL$11:$AL$4010,MATCH(49,$AY$11:$AY$4010,0)),""))</f>
        <v/>
      </c>
      <c r="X59" s="12" t="str">
        <f>IFERROR(INDEX($AM$11:$AM$4010,MATCH(49,$AY$11:$AY$4010,0)),"")</f>
        <v/>
      </c>
      <c r="Y59" s="11" t="str">
        <f>IF(X59="","",IFERROR(INDEX($AN$11:$AN$4010,MATCH(49,$AY$11:$AY$4010,0)),""))</f>
        <v/>
      </c>
      <c r="Z59" s="11" t="str">
        <f>IF(X59="","",IFERROR(INDEX($AO$11:$AO$4010,MATCH(49,$AY$11:$AY$4010,0)),""))</f>
        <v/>
      </c>
      <c r="AA59" s="10" t="str">
        <f>IF(X59="","",IFERROR(INDEX($AQ$11:$AQ$4010,MATCH(49,$AY$11:$AY$4010,0)),""))</f>
        <v/>
      </c>
      <c r="AB59" s="15" t="str">
        <f>IF(X59="","",IFERROR(INDEX($AR$11:$AR$4010,MATCH(49,$AY$11:$AY$4010,0)),""))</f>
        <v/>
      </c>
      <c r="AD59" s="16" t="str">
        <f>IF(AE59="","",IFERROR(INDEX($AL$11:$AL$4010,MATCH(49,$AZ$11:$AZ$4010,0)),""))</f>
        <v/>
      </c>
      <c r="AE59" s="12" t="str">
        <f>IFERROR(INDEX($AM$11:$AM$4010,MATCH(49,$AZ$11:$AZ$4010,0)),"")</f>
        <v/>
      </c>
      <c r="AF59" s="11" t="str">
        <f>IF(AE59="","",IFERROR(INDEX($AN$11:$AN$4010,MATCH(49,$AZ$11:$AZ$4010,0)),""))</f>
        <v/>
      </c>
      <c r="AG59" s="11" t="str">
        <f>IF(AE59="","",IFERROR(INDEX($AO$11:$AO$4010,MATCH(49,$AZ$11:$AZ$4010,0)),""))</f>
        <v/>
      </c>
      <c r="AH59" s="10" t="str">
        <f>IF(AE59="","",IFERROR(INDEX($AQ$11:$AQ$4010,MATCH(49,$AZ$11:$AZ$4010,0)),""))</f>
        <v/>
      </c>
      <c r="AI59" s="15" t="str">
        <f>IF(AE59="","",IFERROR(INDEX($AR$11:$AR$4010,MATCH(49,$AZ$11:$AZ$4010,0)),""))</f>
        <v/>
      </c>
      <c r="AJ59" s="15" t="str">
        <f>IF(AE59="","",IFERROR(INDEX($AT$11:$AT$4010,MATCH(49,$AZ$11:$AZ$4010,0)),""))</f>
        <v/>
      </c>
      <c r="AL59" s="17" t="str">
        <f t="shared" si="5"/>
        <v/>
      </c>
      <c r="AM59" s="12" t="str">
        <f t="shared" si="6"/>
        <v/>
      </c>
      <c r="AN59" s="18" t="str">
        <f t="shared" si="7"/>
        <v/>
      </c>
      <c r="AO59" s="18" t="str">
        <f t="shared" si="8"/>
        <v/>
      </c>
      <c r="AP59" s="10" t="str">
        <f t="shared" si="9"/>
        <v/>
      </c>
      <c r="AQ59" s="10" t="str">
        <f t="shared" si="10"/>
        <v/>
      </c>
      <c r="AR59" s="19" t="str">
        <f t="shared" si="11"/>
        <v/>
      </c>
      <c r="AS59" s="20"/>
      <c r="AT59" s="19"/>
      <c r="AV59" s="21">
        <f>IF(AND($AL59&lt;&gt;"",COUNTIF($AL$11:$AL59,$AL59)=1),1,0)</f>
        <v>0</v>
      </c>
      <c r="AW59" s="21">
        <f t="shared" si="13"/>
        <v>0</v>
      </c>
      <c r="AX59" s="21" t="str">
        <f t="shared" si="12"/>
        <v/>
      </c>
      <c r="AY59" s="21" t="str">
        <f>IF(AND($AM59&lt;&gt;"",$AS59&lt;&gt;"✓"),SUMPRODUCT(($AM$11:$AM59&lt;&gt;"")*($AS$11:$AS59&lt;&gt;"✓")),"")</f>
        <v/>
      </c>
      <c r="AZ59" s="21" t="str">
        <f>IF(AND($AM59&lt;&gt;"",$AS59="✓"),SUMPRODUCT(($AM$11:$AM59&lt;&gt;"")*($AS$11:$AS59="✓")),"")</f>
        <v/>
      </c>
      <c r="BA59" s="21" t="str">
        <f>IF($AL59="","",$AL59&amp;"|"&amp;COUNTIF($AL$11:$AL59,$AL59))</f>
        <v/>
      </c>
      <c r="BD59" s="36" t="str">
        <f>IF(IFERROR(INDEX($AM$11:$AM$4010,MATCH($S$8&amp;"|"&amp;47,$BA$11:$BA$4010,0)),"")="","",47)</f>
        <v/>
      </c>
      <c r="BE59" s="36" t="str">
        <f>IFERROR(INDEX($AM$11:$AM$4010,MATCH($S$8&amp;"|"&amp;47,$BA$11:$BA$4010,0)),"")</f>
        <v/>
      </c>
      <c r="BF59" s="36" t="str">
        <f>IFERROR(INDEX($AP$11:$AP$4010,MATCH($S$8&amp;"|"&amp;47,$BA$11:$BA$4010,0)),"")</f>
        <v/>
      </c>
      <c r="BG59" s="36" t="str">
        <f>IFERROR(INDEX($AQ$11:$AQ$4010,MATCH($S$8&amp;"|"&amp;47,$BA$11:$BA$4010,0)),"")</f>
        <v/>
      </c>
      <c r="BH59" s="37" t="str">
        <f>IFERROR(INDEX($AN$11:$AN$4010,MATCH($S$8&amp;"|"&amp;47,$BA$11:$BA$4010,0)),"")</f>
        <v/>
      </c>
      <c r="BI59" s="37" t="str">
        <f>IFERROR(INDEX($AO$11:$AO$4010,MATCH($S$8&amp;"|"&amp;47,$BA$11:$BA$4010,0)),"")</f>
        <v/>
      </c>
      <c r="BL59" s="36" t="str">
        <f>IF(IFERROR(INDEX($AM$11:$AM$4010,MATCH($S$8&amp;"|"&amp;47,$BA$11:$BA$4010,0)),"")="","",47)</f>
        <v/>
      </c>
      <c r="BM59" s="36" t="str">
        <f>IFERROR(INDEX($AM$11:$AM$4010,MATCH($S$8&amp;"|"&amp;47,$BA$11:$BA$4010,0)),"")</f>
        <v/>
      </c>
      <c r="BN59" s="36" t="str">
        <f>IFERROR(INDEX($AP$11:$AP$4010,MATCH($S$8&amp;"|"&amp;47,$BA$11:$BA$4010,0)),"")</f>
        <v/>
      </c>
      <c r="BO59" s="36" t="str">
        <f>IFERROR(INDEX($AQ$11:$AQ$4010,MATCH($S$8&amp;"|"&amp;47,$BA$11:$BA$4010,0)),"")</f>
        <v/>
      </c>
      <c r="BP59" s="37" t="str">
        <f>IFERROR(INDEX($AN$11:$AN$4010,MATCH($S$8&amp;"|"&amp;47,$BA$11:$BA$4010,0)),"")</f>
        <v/>
      </c>
      <c r="BQ59" s="37" t="str">
        <f>IFERROR(INDEX($AO$11:$AO$4010,MATCH($S$8&amp;"|"&amp;47,$BA$11:$BA$4010,0)),"")</f>
        <v/>
      </c>
    </row>
    <row r="60" spans="2:69" ht="13.5" customHeight="1" x14ac:dyDescent="0.25">
      <c r="B60" s="5" t="str">
        <f t="shared" si="0"/>
        <v/>
      </c>
      <c r="C60" s="5"/>
      <c r="D60" s="5"/>
      <c r="E60" s="5"/>
      <c r="F60" s="6"/>
      <c r="G60" s="6"/>
      <c r="H60" s="7"/>
      <c r="I60" s="8"/>
      <c r="K60" s="23" t="str">
        <f>IFERROR(INDEX($AL$11:$AL$4010,MATCH(50,$AX$11:$AX$4010,0)),"")</f>
        <v/>
      </c>
      <c r="L60" s="24" t="str">
        <f t="shared" si="1"/>
        <v/>
      </c>
      <c r="M60" s="25" t="str">
        <f t="shared" si="2"/>
        <v/>
      </c>
      <c r="N60" s="25" t="str">
        <f t="shared" si="3"/>
        <v/>
      </c>
      <c r="P60" s="26" t="str">
        <f>IFERROR(INDEX($AM$11:$AM$4010,MATCH($S$8&amp;"|"&amp;50,$BA$11:$BA$4010,0)),"")</f>
        <v/>
      </c>
      <c r="Q60" s="25" t="str">
        <f>IF(P60="","",IFERROR(INDEX($AN$11:$AN$4010,MATCH($S$8&amp;"|"&amp;50,$BA$11:$BA$4010,0)),""))</f>
        <v/>
      </c>
      <c r="R60" s="25" t="str">
        <f>IF(P60="","",IFERROR(INDEX($AO$11:$AO$4010,MATCH($S$8&amp;"|"&amp;50,$BA$11:$BA$4010,0)),""))</f>
        <v/>
      </c>
      <c r="S60" s="24" t="str">
        <f>IF(P60="","",IFERROR(INDEX($AP$11:$AP$4010,MATCH($S$8&amp;"|"&amp;50,$BA$11:$BA$4010,0)),""))</f>
        <v/>
      </c>
      <c r="T60" s="24" t="str">
        <f>IF(P60="","",IFERROR(INDEX($AQ$11:$AQ$4010,MATCH($S$8&amp;"|"&amp;50,$BA$11:$BA$4010,0)),""))</f>
        <v/>
      </c>
      <c r="U60" s="38" t="str">
        <f t="shared" si="14"/>
        <v/>
      </c>
      <c r="W60" s="28" t="str">
        <f>IF(X60="","",IFERROR(INDEX($AL$11:$AL$4010,MATCH(50,$AY$11:$AY$4010,0)),""))</f>
        <v/>
      </c>
      <c r="X60" s="26" t="str">
        <f>IFERROR(INDEX($AM$11:$AM$4010,MATCH(50,$AY$11:$AY$4010,0)),"")</f>
        <v/>
      </c>
      <c r="Y60" s="25" t="str">
        <f>IF(X60="","",IFERROR(INDEX($AN$11:$AN$4010,MATCH(50,$AY$11:$AY$4010,0)),""))</f>
        <v/>
      </c>
      <c r="Z60" s="25" t="str">
        <f>IF(X60="","",IFERROR(INDEX($AO$11:$AO$4010,MATCH(50,$AY$11:$AY$4010,0)),""))</f>
        <v/>
      </c>
      <c r="AA60" s="24" t="str">
        <f>IF(X60="","",IFERROR(INDEX($AQ$11:$AQ$4010,MATCH(50,$AY$11:$AY$4010,0)),""))</f>
        <v/>
      </c>
      <c r="AB60" s="29" t="str">
        <f>IF(X60="","",IFERROR(INDEX($AR$11:$AR$4010,MATCH(50,$AY$11:$AY$4010,0)),""))</f>
        <v/>
      </c>
      <c r="AD60" s="30" t="str">
        <f>IF(AE60="","",IFERROR(INDEX($AL$11:$AL$4010,MATCH(50,$AZ$11:$AZ$4010,0)),""))</f>
        <v/>
      </c>
      <c r="AE60" s="26" t="str">
        <f>IFERROR(INDEX($AM$11:$AM$4010,MATCH(50,$AZ$11:$AZ$4010,0)),"")</f>
        <v/>
      </c>
      <c r="AF60" s="25" t="str">
        <f>IF(AE60="","",IFERROR(INDEX($AN$11:$AN$4010,MATCH(50,$AZ$11:$AZ$4010,0)),""))</f>
        <v/>
      </c>
      <c r="AG60" s="25" t="str">
        <f>IF(AE60="","",IFERROR(INDEX($AO$11:$AO$4010,MATCH(50,$AZ$11:$AZ$4010,0)),""))</f>
        <v/>
      </c>
      <c r="AH60" s="24" t="str">
        <f>IF(AE60="","",IFERROR(INDEX($AQ$11:$AQ$4010,MATCH(50,$AZ$11:$AZ$4010,0)),""))</f>
        <v/>
      </c>
      <c r="AI60" s="29" t="str">
        <f>IF(AE60="","",IFERROR(INDEX($AR$11:$AR$4010,MATCH(50,$AZ$11:$AZ$4010,0)),""))</f>
        <v/>
      </c>
      <c r="AJ60" s="29" t="str">
        <f>IF(AE60="","",IFERROR(INDEX($AT$11:$AT$4010,MATCH(50,$AZ$11:$AZ$4010,0)),""))</f>
        <v/>
      </c>
      <c r="AL60" s="31" t="str">
        <f t="shared" si="5"/>
        <v/>
      </c>
      <c r="AM60" s="26" t="str">
        <f t="shared" si="6"/>
        <v/>
      </c>
      <c r="AN60" s="32" t="str">
        <f t="shared" si="7"/>
        <v/>
      </c>
      <c r="AO60" s="32" t="str">
        <f t="shared" si="8"/>
        <v/>
      </c>
      <c r="AP60" s="24" t="str">
        <f t="shared" si="9"/>
        <v/>
      </c>
      <c r="AQ60" s="24" t="str">
        <f t="shared" si="10"/>
        <v/>
      </c>
      <c r="AR60" s="33" t="str">
        <f t="shared" si="11"/>
        <v/>
      </c>
      <c r="AS60" s="34"/>
      <c r="AT60" s="33"/>
      <c r="AV60" s="21">
        <f>IF(AND($AL60&lt;&gt;"",COUNTIF($AL$11:$AL60,$AL60)=1),1,0)</f>
        <v>0</v>
      </c>
      <c r="AW60" s="21">
        <f t="shared" si="13"/>
        <v>0</v>
      </c>
      <c r="AX60" s="21" t="str">
        <f t="shared" si="12"/>
        <v/>
      </c>
      <c r="AY60" s="21" t="str">
        <f>IF(AND($AM60&lt;&gt;"",$AS60&lt;&gt;"✓"),SUMPRODUCT(($AM$11:$AM60&lt;&gt;"")*($AS$11:$AS60&lt;&gt;"✓")),"")</f>
        <v/>
      </c>
      <c r="AZ60" s="21" t="str">
        <f>IF(AND($AM60&lt;&gt;"",$AS60="✓"),SUMPRODUCT(($AM$11:$AM60&lt;&gt;"")*($AS$11:$AS60="✓")),"")</f>
        <v/>
      </c>
      <c r="BA60" s="21" t="str">
        <f>IF($AL60="","",$AL60&amp;"|"&amp;COUNTIF($AL$11:$AL60,$AL60))</f>
        <v/>
      </c>
      <c r="BD60" s="36" t="str">
        <f>IF(IFERROR(INDEX($AM$11:$AM$4010,MATCH($S$8&amp;"|"&amp;48,$BA$11:$BA$4010,0)),"")="","",48)</f>
        <v/>
      </c>
      <c r="BE60" s="36" t="str">
        <f>IFERROR(INDEX($AM$11:$AM$4010,MATCH($S$8&amp;"|"&amp;48,$BA$11:$BA$4010,0)),"")</f>
        <v/>
      </c>
      <c r="BF60" s="36" t="str">
        <f>IFERROR(INDEX($AP$11:$AP$4010,MATCH($S$8&amp;"|"&amp;48,$BA$11:$BA$4010,0)),"")</f>
        <v/>
      </c>
      <c r="BG60" s="36" t="str">
        <f>IFERROR(INDEX($AQ$11:$AQ$4010,MATCH($S$8&amp;"|"&amp;48,$BA$11:$BA$4010,0)),"")</f>
        <v/>
      </c>
      <c r="BH60" s="37" t="str">
        <f>IFERROR(INDEX($AN$11:$AN$4010,MATCH($S$8&amp;"|"&amp;48,$BA$11:$BA$4010,0)),"")</f>
        <v/>
      </c>
      <c r="BI60" s="37" t="str">
        <f>IFERROR(INDEX($AO$11:$AO$4010,MATCH($S$8&amp;"|"&amp;48,$BA$11:$BA$4010,0)),"")</f>
        <v/>
      </c>
      <c r="BL60" s="36" t="str">
        <f>IF(IFERROR(INDEX($AM$11:$AM$4010,MATCH($S$8&amp;"|"&amp;48,$BA$11:$BA$4010,0)),"")="","",48)</f>
        <v/>
      </c>
      <c r="BM60" s="36" t="str">
        <f>IFERROR(INDEX($AM$11:$AM$4010,MATCH($S$8&amp;"|"&amp;48,$BA$11:$BA$4010,0)),"")</f>
        <v/>
      </c>
      <c r="BN60" s="36" t="str">
        <f>IFERROR(INDEX($AP$11:$AP$4010,MATCH($S$8&amp;"|"&amp;48,$BA$11:$BA$4010,0)),"")</f>
        <v/>
      </c>
      <c r="BO60" s="36" t="str">
        <f>IFERROR(INDEX($AQ$11:$AQ$4010,MATCH($S$8&amp;"|"&amp;48,$BA$11:$BA$4010,0)),"")</f>
        <v/>
      </c>
      <c r="BP60" s="37" t="str">
        <f>IFERROR(INDEX($AN$11:$AN$4010,MATCH($S$8&amp;"|"&amp;48,$BA$11:$BA$4010,0)),"")</f>
        <v/>
      </c>
      <c r="BQ60" s="37" t="str">
        <f>IFERROR(INDEX($AO$11:$AO$4010,MATCH($S$8&amp;"|"&amp;48,$BA$11:$BA$4010,0)),"")</f>
        <v/>
      </c>
    </row>
    <row r="61" spans="2:69" ht="13.5" customHeight="1" x14ac:dyDescent="0.25">
      <c r="B61" s="5" t="str">
        <f t="shared" si="0"/>
        <v/>
      </c>
      <c r="C61" s="5"/>
      <c r="D61" s="5"/>
      <c r="E61" s="5"/>
      <c r="F61" s="6"/>
      <c r="G61" s="6"/>
      <c r="H61" s="7"/>
      <c r="I61" s="8"/>
      <c r="K61" s="9" t="str">
        <f>IFERROR(INDEX($AL$11:$AL$4010,MATCH(51,$AX$11:$AX$4010,0)),"")</f>
        <v/>
      </c>
      <c r="L61" s="10" t="str">
        <f t="shared" si="1"/>
        <v/>
      </c>
      <c r="M61" s="11" t="str">
        <f t="shared" si="2"/>
        <v/>
      </c>
      <c r="N61" s="11" t="str">
        <f t="shared" si="3"/>
        <v/>
      </c>
      <c r="P61" s="12" t="str">
        <f>IFERROR(INDEX($AM$11:$AM$4010,MATCH($S$8&amp;"|"&amp;51,$BA$11:$BA$4010,0)),"")</f>
        <v/>
      </c>
      <c r="Q61" s="11" t="str">
        <f>IF(P61="","",IFERROR(INDEX($AN$11:$AN$4010,MATCH($S$8&amp;"|"&amp;51,$BA$11:$BA$4010,0)),""))</f>
        <v/>
      </c>
      <c r="R61" s="11" t="str">
        <f>IF(P61="","",IFERROR(INDEX($AO$11:$AO$4010,MATCH($S$8&amp;"|"&amp;51,$BA$11:$BA$4010,0)),""))</f>
        <v/>
      </c>
      <c r="S61" s="10" t="str">
        <f>IF(P61="","",IFERROR(INDEX($AP$11:$AP$4010,MATCH($S$8&amp;"|"&amp;51,$BA$11:$BA$4010,0)),""))</f>
        <v/>
      </c>
      <c r="T61" s="10" t="str">
        <f>IF(P61="","",IFERROR(INDEX($AQ$11:$AQ$4010,MATCH($S$8&amp;"|"&amp;51,$BA$11:$BA$4010,0)),""))</f>
        <v/>
      </c>
      <c r="U61" s="39" t="str">
        <f t="shared" si="14"/>
        <v/>
      </c>
      <c r="W61" s="14" t="str">
        <f>IF(X61="","",IFERROR(INDEX($AL$11:$AL$4010,MATCH(51,$AY$11:$AY$4010,0)),""))</f>
        <v/>
      </c>
      <c r="X61" s="12" t="str">
        <f>IFERROR(INDEX($AM$11:$AM$4010,MATCH(51,$AY$11:$AY$4010,0)),"")</f>
        <v/>
      </c>
      <c r="Y61" s="11" t="str">
        <f>IF(X61="","",IFERROR(INDEX($AN$11:$AN$4010,MATCH(51,$AY$11:$AY$4010,0)),""))</f>
        <v/>
      </c>
      <c r="Z61" s="11" t="str">
        <f>IF(X61="","",IFERROR(INDEX($AO$11:$AO$4010,MATCH(51,$AY$11:$AY$4010,0)),""))</f>
        <v/>
      </c>
      <c r="AA61" s="10" t="str">
        <f>IF(X61="","",IFERROR(INDEX($AQ$11:$AQ$4010,MATCH(51,$AY$11:$AY$4010,0)),""))</f>
        <v/>
      </c>
      <c r="AB61" s="15" t="str">
        <f>IF(X61="","",IFERROR(INDEX($AR$11:$AR$4010,MATCH(51,$AY$11:$AY$4010,0)),""))</f>
        <v/>
      </c>
      <c r="AD61" s="16" t="str">
        <f>IF(AE61="","",IFERROR(INDEX($AL$11:$AL$4010,MATCH(51,$AZ$11:$AZ$4010,0)),""))</f>
        <v/>
      </c>
      <c r="AE61" s="12" t="str">
        <f>IFERROR(INDEX($AM$11:$AM$4010,MATCH(51,$AZ$11:$AZ$4010,0)),"")</f>
        <v/>
      </c>
      <c r="AF61" s="11" t="str">
        <f>IF(AE61="","",IFERROR(INDEX($AN$11:$AN$4010,MATCH(51,$AZ$11:$AZ$4010,0)),""))</f>
        <v/>
      </c>
      <c r="AG61" s="11" t="str">
        <f>IF(AE61="","",IFERROR(INDEX($AO$11:$AO$4010,MATCH(51,$AZ$11:$AZ$4010,0)),""))</f>
        <v/>
      </c>
      <c r="AH61" s="10" t="str">
        <f>IF(AE61="","",IFERROR(INDEX($AQ$11:$AQ$4010,MATCH(51,$AZ$11:$AZ$4010,0)),""))</f>
        <v/>
      </c>
      <c r="AI61" s="15" t="str">
        <f>IF(AE61="","",IFERROR(INDEX($AR$11:$AR$4010,MATCH(51,$AZ$11:$AZ$4010,0)),""))</f>
        <v/>
      </c>
      <c r="AJ61" s="15" t="str">
        <f>IF(AE61="","",IFERROR(INDEX($AT$11:$AT$4010,MATCH(51,$AZ$11:$AZ$4010,0)),""))</f>
        <v/>
      </c>
      <c r="AL61" s="17" t="str">
        <f t="shared" si="5"/>
        <v/>
      </c>
      <c r="AM61" s="12" t="str">
        <f t="shared" si="6"/>
        <v/>
      </c>
      <c r="AN61" s="18" t="str">
        <f t="shared" si="7"/>
        <v/>
      </c>
      <c r="AO61" s="18" t="str">
        <f t="shared" si="8"/>
        <v/>
      </c>
      <c r="AP61" s="10" t="str">
        <f t="shared" si="9"/>
        <v/>
      </c>
      <c r="AQ61" s="10" t="str">
        <f t="shared" si="10"/>
        <v/>
      </c>
      <c r="AR61" s="19" t="str">
        <f t="shared" si="11"/>
        <v/>
      </c>
      <c r="AS61" s="20"/>
      <c r="AT61" s="19"/>
      <c r="AV61" s="21">
        <f>IF(AND($AL61&lt;&gt;"",COUNTIF($AL$11:$AL61,$AL61)=1),1,0)</f>
        <v>0</v>
      </c>
      <c r="AW61" s="21">
        <f t="shared" si="13"/>
        <v>0</v>
      </c>
      <c r="AX61" s="21" t="str">
        <f t="shared" si="12"/>
        <v/>
      </c>
      <c r="AY61" s="21" t="str">
        <f>IF(AND($AM61&lt;&gt;"",$AS61&lt;&gt;"✓"),SUMPRODUCT(($AM$11:$AM61&lt;&gt;"")*($AS$11:$AS61&lt;&gt;"✓")),"")</f>
        <v/>
      </c>
      <c r="AZ61" s="21" t="str">
        <f>IF(AND($AM61&lt;&gt;"",$AS61="✓"),SUMPRODUCT(($AM$11:$AM61&lt;&gt;"")*($AS$11:$AS61="✓")),"")</f>
        <v/>
      </c>
      <c r="BA61" s="21" t="str">
        <f>IF($AL61="","",$AL61&amp;"|"&amp;COUNTIF($AL$11:$AL61,$AL61))</f>
        <v/>
      </c>
      <c r="BD61" s="36" t="str">
        <f>IF(IFERROR(INDEX($AM$11:$AM$4010,MATCH($S$8&amp;"|"&amp;49,$BA$11:$BA$4010,0)),"")="","",49)</f>
        <v/>
      </c>
      <c r="BE61" s="36" t="str">
        <f>IFERROR(INDEX($AM$11:$AM$4010,MATCH($S$8&amp;"|"&amp;49,$BA$11:$BA$4010,0)),"")</f>
        <v/>
      </c>
      <c r="BF61" s="36" t="str">
        <f>IFERROR(INDEX($AP$11:$AP$4010,MATCH($S$8&amp;"|"&amp;49,$BA$11:$BA$4010,0)),"")</f>
        <v/>
      </c>
      <c r="BG61" s="36" t="str">
        <f>IFERROR(INDEX($AQ$11:$AQ$4010,MATCH($S$8&amp;"|"&amp;49,$BA$11:$BA$4010,0)),"")</f>
        <v/>
      </c>
      <c r="BH61" s="37" t="str">
        <f>IFERROR(INDEX($AN$11:$AN$4010,MATCH($S$8&amp;"|"&amp;49,$BA$11:$BA$4010,0)),"")</f>
        <v/>
      </c>
      <c r="BI61" s="37" t="str">
        <f>IFERROR(INDEX($AO$11:$AO$4010,MATCH($S$8&amp;"|"&amp;49,$BA$11:$BA$4010,0)),"")</f>
        <v/>
      </c>
      <c r="BL61" s="36" t="str">
        <f>IF(IFERROR(INDEX($AM$11:$AM$4010,MATCH($S$8&amp;"|"&amp;49,$BA$11:$BA$4010,0)),"")="","",49)</f>
        <v/>
      </c>
      <c r="BM61" s="36" t="str">
        <f>IFERROR(INDEX($AM$11:$AM$4010,MATCH($S$8&amp;"|"&amp;49,$BA$11:$BA$4010,0)),"")</f>
        <v/>
      </c>
      <c r="BN61" s="36" t="str">
        <f>IFERROR(INDEX($AP$11:$AP$4010,MATCH($S$8&amp;"|"&amp;49,$BA$11:$BA$4010,0)),"")</f>
        <v/>
      </c>
      <c r="BO61" s="36" t="str">
        <f>IFERROR(INDEX($AQ$11:$AQ$4010,MATCH($S$8&amp;"|"&amp;49,$BA$11:$BA$4010,0)),"")</f>
        <v/>
      </c>
      <c r="BP61" s="37" t="str">
        <f>IFERROR(INDEX($AN$11:$AN$4010,MATCH($S$8&amp;"|"&amp;49,$BA$11:$BA$4010,0)),"")</f>
        <v/>
      </c>
      <c r="BQ61" s="37" t="str">
        <f>IFERROR(INDEX($AO$11:$AO$4010,MATCH($S$8&amp;"|"&amp;49,$BA$11:$BA$4010,0)),"")</f>
        <v/>
      </c>
    </row>
    <row r="62" spans="2:69" ht="13.5" customHeight="1" x14ac:dyDescent="0.25">
      <c r="B62" s="5" t="str">
        <f t="shared" si="0"/>
        <v/>
      </c>
      <c r="C62" s="5"/>
      <c r="D62" s="5"/>
      <c r="E62" s="5"/>
      <c r="F62" s="6"/>
      <c r="G62" s="6"/>
      <c r="H62" s="7"/>
      <c r="I62" s="8"/>
      <c r="K62" s="23" t="str">
        <f>IFERROR(INDEX($AL$11:$AL$4010,MATCH(52,$AX$11:$AX$4010,0)),"")</f>
        <v/>
      </c>
      <c r="L62" s="24" t="str">
        <f t="shared" si="1"/>
        <v/>
      </c>
      <c r="M62" s="25" t="str">
        <f t="shared" si="2"/>
        <v/>
      </c>
      <c r="N62" s="25" t="str">
        <f t="shared" si="3"/>
        <v/>
      </c>
      <c r="P62" s="26" t="str">
        <f>IFERROR(INDEX($AM$11:$AM$4010,MATCH($S$8&amp;"|"&amp;52,$BA$11:$BA$4010,0)),"")</f>
        <v/>
      </c>
      <c r="Q62" s="25" t="str">
        <f>IF(P62="","",IFERROR(INDEX($AN$11:$AN$4010,MATCH($S$8&amp;"|"&amp;52,$BA$11:$BA$4010,0)),""))</f>
        <v/>
      </c>
      <c r="R62" s="25" t="str">
        <f>IF(P62="","",IFERROR(INDEX($AO$11:$AO$4010,MATCH($S$8&amp;"|"&amp;52,$BA$11:$BA$4010,0)),""))</f>
        <v/>
      </c>
      <c r="S62" s="24" t="str">
        <f>IF(P62="","",IFERROR(INDEX($AP$11:$AP$4010,MATCH($S$8&amp;"|"&amp;52,$BA$11:$BA$4010,0)),""))</f>
        <v/>
      </c>
      <c r="T62" s="24" t="str">
        <f>IF(P62="","",IFERROR(INDEX($AQ$11:$AQ$4010,MATCH($S$8&amp;"|"&amp;52,$BA$11:$BA$4010,0)),""))</f>
        <v/>
      </c>
      <c r="U62" s="38" t="str">
        <f t="shared" si="14"/>
        <v/>
      </c>
      <c r="W62" s="28" t="str">
        <f>IF(X62="","",IFERROR(INDEX($AL$11:$AL$4010,MATCH(52,$AY$11:$AY$4010,0)),""))</f>
        <v/>
      </c>
      <c r="X62" s="26" t="str">
        <f>IFERROR(INDEX($AM$11:$AM$4010,MATCH(52,$AY$11:$AY$4010,0)),"")</f>
        <v/>
      </c>
      <c r="Y62" s="25" t="str">
        <f>IF(X62="","",IFERROR(INDEX($AN$11:$AN$4010,MATCH(52,$AY$11:$AY$4010,0)),""))</f>
        <v/>
      </c>
      <c r="Z62" s="25" t="str">
        <f>IF(X62="","",IFERROR(INDEX($AO$11:$AO$4010,MATCH(52,$AY$11:$AY$4010,0)),""))</f>
        <v/>
      </c>
      <c r="AA62" s="24" t="str">
        <f>IF(X62="","",IFERROR(INDEX($AQ$11:$AQ$4010,MATCH(52,$AY$11:$AY$4010,0)),""))</f>
        <v/>
      </c>
      <c r="AB62" s="29" t="str">
        <f>IF(X62="","",IFERROR(INDEX($AR$11:$AR$4010,MATCH(52,$AY$11:$AY$4010,0)),""))</f>
        <v/>
      </c>
      <c r="AD62" s="30" t="str">
        <f>IF(AE62="","",IFERROR(INDEX($AL$11:$AL$4010,MATCH(52,$AZ$11:$AZ$4010,0)),""))</f>
        <v/>
      </c>
      <c r="AE62" s="26" t="str">
        <f>IFERROR(INDEX($AM$11:$AM$4010,MATCH(52,$AZ$11:$AZ$4010,0)),"")</f>
        <v/>
      </c>
      <c r="AF62" s="25" t="str">
        <f>IF(AE62="","",IFERROR(INDEX($AN$11:$AN$4010,MATCH(52,$AZ$11:$AZ$4010,0)),""))</f>
        <v/>
      </c>
      <c r="AG62" s="25" t="str">
        <f>IF(AE62="","",IFERROR(INDEX($AO$11:$AO$4010,MATCH(52,$AZ$11:$AZ$4010,0)),""))</f>
        <v/>
      </c>
      <c r="AH62" s="24" t="str">
        <f>IF(AE62="","",IFERROR(INDEX($AQ$11:$AQ$4010,MATCH(52,$AZ$11:$AZ$4010,0)),""))</f>
        <v/>
      </c>
      <c r="AI62" s="29" t="str">
        <f>IF(AE62="","",IFERROR(INDEX($AR$11:$AR$4010,MATCH(52,$AZ$11:$AZ$4010,0)),""))</f>
        <v/>
      </c>
      <c r="AJ62" s="29" t="str">
        <f>IF(AE62="","",IFERROR(INDEX($AT$11:$AT$4010,MATCH(52,$AZ$11:$AZ$4010,0)),""))</f>
        <v/>
      </c>
      <c r="AL62" s="31" t="str">
        <f t="shared" si="5"/>
        <v/>
      </c>
      <c r="AM62" s="26" t="str">
        <f t="shared" si="6"/>
        <v/>
      </c>
      <c r="AN62" s="32" t="str">
        <f t="shared" si="7"/>
        <v/>
      </c>
      <c r="AO62" s="32" t="str">
        <f t="shared" si="8"/>
        <v/>
      </c>
      <c r="AP62" s="24" t="str">
        <f t="shared" si="9"/>
        <v/>
      </c>
      <c r="AQ62" s="24" t="str">
        <f t="shared" si="10"/>
        <v/>
      </c>
      <c r="AR62" s="33" t="str">
        <f t="shared" si="11"/>
        <v/>
      </c>
      <c r="AS62" s="34"/>
      <c r="AT62" s="33"/>
      <c r="AV62" s="21">
        <f>IF(AND($AL62&lt;&gt;"",COUNTIF($AL$11:$AL62,$AL62)=1),1,0)</f>
        <v>0</v>
      </c>
      <c r="AW62" s="21">
        <f t="shared" si="13"/>
        <v>0</v>
      </c>
      <c r="AX62" s="21" t="str">
        <f t="shared" si="12"/>
        <v/>
      </c>
      <c r="AY62" s="21" t="str">
        <f>IF(AND($AM62&lt;&gt;"",$AS62&lt;&gt;"✓"),SUMPRODUCT(($AM$11:$AM62&lt;&gt;"")*($AS$11:$AS62&lt;&gt;"✓")),"")</f>
        <v/>
      </c>
      <c r="AZ62" s="21" t="str">
        <f>IF(AND($AM62&lt;&gt;"",$AS62="✓"),SUMPRODUCT(($AM$11:$AM62&lt;&gt;"")*($AS$11:$AS62="✓")),"")</f>
        <v/>
      </c>
      <c r="BA62" s="21" t="str">
        <f>IF($AL62="","",$AL62&amp;"|"&amp;COUNTIF($AL$11:$AL62,$AL62))</f>
        <v/>
      </c>
      <c r="BD62" s="36" t="str">
        <f>IF(IFERROR(INDEX($AM$11:$AM$4010,MATCH($S$8&amp;"|"&amp;50,$BA$11:$BA$4010,0)),"")="","",50)</f>
        <v/>
      </c>
      <c r="BE62" s="36" t="str">
        <f>IFERROR(INDEX($AM$11:$AM$4010,MATCH($S$8&amp;"|"&amp;50,$BA$11:$BA$4010,0)),"")</f>
        <v/>
      </c>
      <c r="BF62" s="36" t="str">
        <f>IFERROR(INDEX($AP$11:$AP$4010,MATCH($S$8&amp;"|"&amp;50,$BA$11:$BA$4010,0)),"")</f>
        <v/>
      </c>
      <c r="BG62" s="36" t="str">
        <f>IFERROR(INDEX($AQ$11:$AQ$4010,MATCH($S$8&amp;"|"&amp;50,$BA$11:$BA$4010,0)),"")</f>
        <v/>
      </c>
      <c r="BH62" s="37" t="str">
        <f>IFERROR(INDEX($AN$11:$AN$4010,MATCH($S$8&amp;"|"&amp;50,$BA$11:$BA$4010,0)),"")</f>
        <v/>
      </c>
      <c r="BI62" s="37" t="str">
        <f>IFERROR(INDEX($AO$11:$AO$4010,MATCH($S$8&amp;"|"&amp;50,$BA$11:$BA$4010,0)),"")</f>
        <v/>
      </c>
      <c r="BL62" s="36" t="str">
        <f>IF(IFERROR(INDEX($AM$11:$AM$4010,MATCH($S$8&amp;"|"&amp;50,$BA$11:$BA$4010,0)),"")="","",50)</f>
        <v/>
      </c>
      <c r="BM62" s="36" t="str">
        <f>IFERROR(INDEX($AM$11:$AM$4010,MATCH($S$8&amp;"|"&amp;50,$BA$11:$BA$4010,0)),"")</f>
        <v/>
      </c>
      <c r="BN62" s="36" t="str">
        <f>IFERROR(INDEX($AP$11:$AP$4010,MATCH($S$8&amp;"|"&amp;50,$BA$11:$BA$4010,0)),"")</f>
        <v/>
      </c>
      <c r="BO62" s="36" t="str">
        <f>IFERROR(INDEX($AQ$11:$AQ$4010,MATCH($S$8&amp;"|"&amp;50,$BA$11:$BA$4010,0)),"")</f>
        <v/>
      </c>
      <c r="BP62" s="37" t="str">
        <f>IFERROR(INDEX($AN$11:$AN$4010,MATCH($S$8&amp;"|"&amp;50,$BA$11:$BA$4010,0)),"")</f>
        <v/>
      </c>
      <c r="BQ62" s="37" t="str">
        <f>IFERROR(INDEX($AO$11:$AO$4010,MATCH($S$8&amp;"|"&amp;50,$BA$11:$BA$4010,0)),"")</f>
        <v/>
      </c>
    </row>
    <row r="63" spans="2:69" ht="13.5" customHeight="1" x14ac:dyDescent="0.25">
      <c r="B63" s="5" t="str">
        <f t="shared" si="0"/>
        <v/>
      </c>
      <c r="C63" s="5"/>
      <c r="D63" s="5"/>
      <c r="E63" s="5"/>
      <c r="F63" s="6"/>
      <c r="G63" s="6"/>
      <c r="H63" s="7"/>
      <c r="I63" s="8"/>
      <c r="K63" s="9" t="str">
        <f>IFERROR(INDEX($AL$11:$AL$4010,MATCH(53,$AX$11:$AX$4010,0)),"")</f>
        <v/>
      </c>
      <c r="L63" s="10" t="str">
        <f t="shared" si="1"/>
        <v/>
      </c>
      <c r="M63" s="11" t="str">
        <f t="shared" si="2"/>
        <v/>
      </c>
      <c r="N63" s="11" t="str">
        <f t="shared" si="3"/>
        <v/>
      </c>
      <c r="P63" s="12" t="str">
        <f>IFERROR(INDEX($AM$11:$AM$4010,MATCH($S$8&amp;"|"&amp;53,$BA$11:$BA$4010,0)),"")</f>
        <v/>
      </c>
      <c r="Q63" s="11" t="str">
        <f>IF(P63="","",IFERROR(INDEX($AN$11:$AN$4010,MATCH($S$8&amp;"|"&amp;53,$BA$11:$BA$4010,0)),""))</f>
        <v/>
      </c>
      <c r="R63" s="11" t="str">
        <f>IF(P63="","",IFERROR(INDEX($AO$11:$AO$4010,MATCH($S$8&amp;"|"&amp;53,$BA$11:$BA$4010,0)),""))</f>
        <v/>
      </c>
      <c r="S63" s="10" t="str">
        <f>IF(P63="","",IFERROR(INDEX($AP$11:$AP$4010,MATCH($S$8&amp;"|"&amp;53,$BA$11:$BA$4010,0)),""))</f>
        <v/>
      </c>
      <c r="T63" s="10" t="str">
        <f>IF(P63="","",IFERROR(INDEX($AQ$11:$AQ$4010,MATCH($S$8&amp;"|"&amp;53,$BA$11:$BA$4010,0)),""))</f>
        <v/>
      </c>
      <c r="U63" s="39" t="str">
        <f t="shared" si="14"/>
        <v/>
      </c>
      <c r="W63" s="14" t="str">
        <f>IF(X63="","",IFERROR(INDEX($AL$11:$AL$4010,MATCH(53,$AY$11:$AY$4010,0)),""))</f>
        <v/>
      </c>
      <c r="X63" s="12" t="str">
        <f>IFERROR(INDEX($AM$11:$AM$4010,MATCH(53,$AY$11:$AY$4010,0)),"")</f>
        <v/>
      </c>
      <c r="Y63" s="11" t="str">
        <f>IF(X63="","",IFERROR(INDEX($AN$11:$AN$4010,MATCH(53,$AY$11:$AY$4010,0)),""))</f>
        <v/>
      </c>
      <c r="Z63" s="11" t="str">
        <f>IF(X63="","",IFERROR(INDEX($AO$11:$AO$4010,MATCH(53,$AY$11:$AY$4010,0)),""))</f>
        <v/>
      </c>
      <c r="AA63" s="10" t="str">
        <f>IF(X63="","",IFERROR(INDEX($AQ$11:$AQ$4010,MATCH(53,$AY$11:$AY$4010,0)),""))</f>
        <v/>
      </c>
      <c r="AB63" s="15" t="str">
        <f>IF(X63="","",IFERROR(INDEX($AR$11:$AR$4010,MATCH(53,$AY$11:$AY$4010,0)),""))</f>
        <v/>
      </c>
      <c r="AD63" s="16" t="str">
        <f>IF(AE63="","",IFERROR(INDEX($AL$11:$AL$4010,MATCH(53,$AZ$11:$AZ$4010,0)),""))</f>
        <v/>
      </c>
      <c r="AE63" s="12" t="str">
        <f>IFERROR(INDEX($AM$11:$AM$4010,MATCH(53,$AZ$11:$AZ$4010,0)),"")</f>
        <v/>
      </c>
      <c r="AF63" s="11" t="str">
        <f>IF(AE63="","",IFERROR(INDEX($AN$11:$AN$4010,MATCH(53,$AZ$11:$AZ$4010,0)),""))</f>
        <v/>
      </c>
      <c r="AG63" s="11" t="str">
        <f>IF(AE63="","",IFERROR(INDEX($AO$11:$AO$4010,MATCH(53,$AZ$11:$AZ$4010,0)),""))</f>
        <v/>
      </c>
      <c r="AH63" s="10" t="str">
        <f>IF(AE63="","",IFERROR(INDEX($AQ$11:$AQ$4010,MATCH(53,$AZ$11:$AZ$4010,0)),""))</f>
        <v/>
      </c>
      <c r="AI63" s="15" t="str">
        <f>IF(AE63="","",IFERROR(INDEX($AR$11:$AR$4010,MATCH(53,$AZ$11:$AZ$4010,0)),""))</f>
        <v/>
      </c>
      <c r="AJ63" s="15" t="str">
        <f>IF(AE63="","",IFERROR(INDEX($AT$11:$AT$4010,MATCH(53,$AZ$11:$AZ$4010,0)),""))</f>
        <v/>
      </c>
      <c r="AL63" s="17" t="str">
        <f t="shared" si="5"/>
        <v/>
      </c>
      <c r="AM63" s="12" t="str">
        <f t="shared" si="6"/>
        <v/>
      </c>
      <c r="AN63" s="18" t="str">
        <f t="shared" si="7"/>
        <v/>
      </c>
      <c r="AO63" s="18" t="str">
        <f t="shared" si="8"/>
        <v/>
      </c>
      <c r="AP63" s="10" t="str">
        <f t="shared" si="9"/>
        <v/>
      </c>
      <c r="AQ63" s="10" t="str">
        <f t="shared" si="10"/>
        <v/>
      </c>
      <c r="AR63" s="19" t="str">
        <f t="shared" si="11"/>
        <v/>
      </c>
      <c r="AS63" s="20"/>
      <c r="AT63" s="19"/>
      <c r="AV63" s="21">
        <f>IF(AND($AL63&lt;&gt;"",COUNTIF($AL$11:$AL63,$AL63)=1),1,0)</f>
        <v>0</v>
      </c>
      <c r="AW63" s="21">
        <f t="shared" si="13"/>
        <v>0</v>
      </c>
      <c r="AX63" s="21" t="str">
        <f t="shared" si="12"/>
        <v/>
      </c>
      <c r="AY63" s="21" t="str">
        <f>IF(AND($AM63&lt;&gt;"",$AS63&lt;&gt;"✓"),SUMPRODUCT(($AM$11:$AM63&lt;&gt;"")*($AS$11:$AS63&lt;&gt;"✓")),"")</f>
        <v/>
      </c>
      <c r="AZ63" s="21" t="str">
        <f>IF(AND($AM63&lt;&gt;"",$AS63="✓"),SUMPRODUCT(($AM$11:$AM63&lt;&gt;"")*($AS$11:$AS63="✓")),"")</f>
        <v/>
      </c>
      <c r="BA63" s="21" t="str">
        <f>IF($AL63="","",$AL63&amp;"|"&amp;COUNTIF($AL$11:$AL63,$AL63))</f>
        <v/>
      </c>
      <c r="BD63" s="36" t="str">
        <f>IF(IFERROR(INDEX($AM$11:$AM$4010,MATCH($S$8&amp;"|"&amp;51,$BA$11:$BA$4010,0)),"")="","",51)</f>
        <v/>
      </c>
      <c r="BE63" s="36" t="str">
        <f>IFERROR(INDEX($AM$11:$AM$4010,MATCH($S$8&amp;"|"&amp;51,$BA$11:$BA$4010,0)),"")</f>
        <v/>
      </c>
      <c r="BF63" s="36" t="str">
        <f>IFERROR(INDEX($AP$11:$AP$4010,MATCH($S$8&amp;"|"&amp;51,$BA$11:$BA$4010,0)),"")</f>
        <v/>
      </c>
      <c r="BG63" s="36" t="str">
        <f>IFERROR(INDEX($AQ$11:$AQ$4010,MATCH($S$8&amp;"|"&amp;51,$BA$11:$BA$4010,0)),"")</f>
        <v/>
      </c>
      <c r="BH63" s="37" t="str">
        <f>IFERROR(INDEX($AN$11:$AN$4010,MATCH($S$8&amp;"|"&amp;51,$BA$11:$BA$4010,0)),"")</f>
        <v/>
      </c>
      <c r="BI63" s="37" t="str">
        <f>IFERROR(INDEX($AO$11:$AO$4010,MATCH($S$8&amp;"|"&amp;51,$BA$11:$BA$4010,0)),"")</f>
        <v/>
      </c>
      <c r="BL63" s="36" t="str">
        <f>IF(IFERROR(INDEX($AM$11:$AM$4010,MATCH($S$8&amp;"|"&amp;51,$BA$11:$BA$4010,0)),"")="","",51)</f>
        <v/>
      </c>
      <c r="BM63" s="36" t="str">
        <f>IFERROR(INDEX($AM$11:$AM$4010,MATCH($S$8&amp;"|"&amp;51,$BA$11:$BA$4010,0)),"")</f>
        <v/>
      </c>
      <c r="BN63" s="36" t="str">
        <f>IFERROR(INDEX($AP$11:$AP$4010,MATCH($S$8&amp;"|"&amp;51,$BA$11:$BA$4010,0)),"")</f>
        <v/>
      </c>
      <c r="BO63" s="36" t="str">
        <f>IFERROR(INDEX($AQ$11:$AQ$4010,MATCH($S$8&amp;"|"&amp;51,$BA$11:$BA$4010,0)),"")</f>
        <v/>
      </c>
      <c r="BP63" s="37" t="str">
        <f>IFERROR(INDEX($AN$11:$AN$4010,MATCH($S$8&amp;"|"&amp;51,$BA$11:$BA$4010,0)),"")</f>
        <v/>
      </c>
      <c r="BQ63" s="37" t="str">
        <f>IFERROR(INDEX($AO$11:$AO$4010,MATCH($S$8&amp;"|"&amp;51,$BA$11:$BA$4010,0)),"")</f>
        <v/>
      </c>
    </row>
    <row r="64" spans="2:69" ht="13.5" customHeight="1" x14ac:dyDescent="0.25">
      <c r="B64" s="5" t="str">
        <f t="shared" si="0"/>
        <v/>
      </c>
      <c r="C64" s="5"/>
      <c r="D64" s="5"/>
      <c r="E64" s="5"/>
      <c r="F64" s="6"/>
      <c r="G64" s="6"/>
      <c r="H64" s="7"/>
      <c r="I64" s="8"/>
      <c r="K64" s="23" t="str">
        <f>IFERROR(INDEX($AL$11:$AL$4010,MATCH(54,$AX$11:$AX$4010,0)),"")</f>
        <v/>
      </c>
      <c r="L64" s="24" t="str">
        <f t="shared" si="1"/>
        <v/>
      </c>
      <c r="M64" s="25" t="str">
        <f t="shared" si="2"/>
        <v/>
      </c>
      <c r="N64" s="25" t="str">
        <f t="shared" si="3"/>
        <v/>
      </c>
      <c r="P64" s="26" t="str">
        <f>IFERROR(INDEX($AM$11:$AM$4010,MATCH($S$8&amp;"|"&amp;54,$BA$11:$BA$4010,0)),"")</f>
        <v/>
      </c>
      <c r="Q64" s="25" t="str">
        <f>IF(P64="","",IFERROR(INDEX($AN$11:$AN$4010,MATCH($S$8&amp;"|"&amp;54,$BA$11:$BA$4010,0)),""))</f>
        <v/>
      </c>
      <c r="R64" s="25" t="str">
        <f>IF(P64="","",IFERROR(INDEX($AO$11:$AO$4010,MATCH($S$8&amp;"|"&amp;54,$BA$11:$BA$4010,0)),""))</f>
        <v/>
      </c>
      <c r="S64" s="24" t="str">
        <f>IF(P64="","",IFERROR(INDEX($AP$11:$AP$4010,MATCH($S$8&amp;"|"&amp;54,$BA$11:$BA$4010,0)),""))</f>
        <v/>
      </c>
      <c r="T64" s="24" t="str">
        <f>IF(P64="","",IFERROR(INDEX($AQ$11:$AQ$4010,MATCH($S$8&amp;"|"&amp;54,$BA$11:$BA$4010,0)),""))</f>
        <v/>
      </c>
      <c r="U64" s="38" t="str">
        <f t="shared" si="14"/>
        <v/>
      </c>
      <c r="W64" s="28" t="str">
        <f>IF(X64="","",IFERROR(INDEX($AL$11:$AL$4010,MATCH(54,$AY$11:$AY$4010,0)),""))</f>
        <v/>
      </c>
      <c r="X64" s="26" t="str">
        <f>IFERROR(INDEX($AM$11:$AM$4010,MATCH(54,$AY$11:$AY$4010,0)),"")</f>
        <v/>
      </c>
      <c r="Y64" s="25" t="str">
        <f>IF(X64="","",IFERROR(INDEX($AN$11:$AN$4010,MATCH(54,$AY$11:$AY$4010,0)),""))</f>
        <v/>
      </c>
      <c r="Z64" s="25" t="str">
        <f>IF(X64="","",IFERROR(INDEX($AO$11:$AO$4010,MATCH(54,$AY$11:$AY$4010,0)),""))</f>
        <v/>
      </c>
      <c r="AA64" s="24" t="str">
        <f>IF(X64="","",IFERROR(INDEX($AQ$11:$AQ$4010,MATCH(54,$AY$11:$AY$4010,0)),""))</f>
        <v/>
      </c>
      <c r="AB64" s="29" t="str">
        <f>IF(X64="","",IFERROR(INDEX($AR$11:$AR$4010,MATCH(54,$AY$11:$AY$4010,0)),""))</f>
        <v/>
      </c>
      <c r="AD64" s="30" t="str">
        <f>IF(AE64="","",IFERROR(INDEX($AL$11:$AL$4010,MATCH(54,$AZ$11:$AZ$4010,0)),""))</f>
        <v/>
      </c>
      <c r="AE64" s="26" t="str">
        <f>IFERROR(INDEX($AM$11:$AM$4010,MATCH(54,$AZ$11:$AZ$4010,0)),"")</f>
        <v/>
      </c>
      <c r="AF64" s="25" t="str">
        <f>IF(AE64="","",IFERROR(INDEX($AN$11:$AN$4010,MATCH(54,$AZ$11:$AZ$4010,0)),""))</f>
        <v/>
      </c>
      <c r="AG64" s="25" t="str">
        <f>IF(AE64="","",IFERROR(INDEX($AO$11:$AO$4010,MATCH(54,$AZ$11:$AZ$4010,0)),""))</f>
        <v/>
      </c>
      <c r="AH64" s="24" t="str">
        <f>IF(AE64="","",IFERROR(INDEX($AQ$11:$AQ$4010,MATCH(54,$AZ$11:$AZ$4010,0)),""))</f>
        <v/>
      </c>
      <c r="AI64" s="29" t="str">
        <f>IF(AE64="","",IFERROR(INDEX($AR$11:$AR$4010,MATCH(54,$AZ$11:$AZ$4010,0)),""))</f>
        <v/>
      </c>
      <c r="AJ64" s="29" t="str">
        <f>IF(AE64="","",IFERROR(INDEX($AT$11:$AT$4010,MATCH(54,$AZ$11:$AZ$4010,0)),""))</f>
        <v/>
      </c>
      <c r="AL64" s="31" t="str">
        <f t="shared" si="5"/>
        <v/>
      </c>
      <c r="AM64" s="26" t="str">
        <f t="shared" si="6"/>
        <v/>
      </c>
      <c r="AN64" s="32" t="str">
        <f t="shared" si="7"/>
        <v/>
      </c>
      <c r="AO64" s="32" t="str">
        <f t="shared" si="8"/>
        <v/>
      </c>
      <c r="AP64" s="24" t="str">
        <f t="shared" si="9"/>
        <v/>
      </c>
      <c r="AQ64" s="24" t="str">
        <f t="shared" si="10"/>
        <v/>
      </c>
      <c r="AR64" s="33" t="str">
        <f t="shared" si="11"/>
        <v/>
      </c>
      <c r="AS64" s="34"/>
      <c r="AT64" s="33"/>
      <c r="AV64" s="21">
        <f>IF(AND($AL64&lt;&gt;"",COUNTIF($AL$11:$AL64,$AL64)=1),1,0)</f>
        <v>0</v>
      </c>
      <c r="AW64" s="21">
        <f t="shared" si="13"/>
        <v>0</v>
      </c>
      <c r="AX64" s="21" t="str">
        <f t="shared" si="12"/>
        <v/>
      </c>
      <c r="AY64" s="21" t="str">
        <f>IF(AND($AM64&lt;&gt;"",$AS64&lt;&gt;"✓"),SUMPRODUCT(($AM$11:$AM64&lt;&gt;"")*($AS$11:$AS64&lt;&gt;"✓")),"")</f>
        <v/>
      </c>
      <c r="AZ64" s="21" t="str">
        <f>IF(AND($AM64&lt;&gt;"",$AS64="✓"),SUMPRODUCT(($AM$11:$AM64&lt;&gt;"")*($AS$11:$AS64="✓")),"")</f>
        <v/>
      </c>
      <c r="BA64" s="21" t="str">
        <f>IF($AL64="","",$AL64&amp;"|"&amp;COUNTIF($AL$11:$AL64,$AL64))</f>
        <v/>
      </c>
      <c r="BD64" s="36" t="str">
        <f>IF(IFERROR(INDEX($AM$11:$AM$4010,MATCH($S$8&amp;"|"&amp;52,$BA$11:$BA$4010,0)),"")="","",52)</f>
        <v/>
      </c>
      <c r="BE64" s="36" t="str">
        <f>IFERROR(INDEX($AM$11:$AM$4010,MATCH($S$8&amp;"|"&amp;52,$BA$11:$BA$4010,0)),"")</f>
        <v/>
      </c>
      <c r="BF64" s="36" t="str">
        <f>IFERROR(INDEX($AP$11:$AP$4010,MATCH($S$8&amp;"|"&amp;52,$BA$11:$BA$4010,0)),"")</f>
        <v/>
      </c>
      <c r="BG64" s="36" t="str">
        <f>IFERROR(INDEX($AQ$11:$AQ$4010,MATCH($S$8&amp;"|"&amp;52,$BA$11:$BA$4010,0)),"")</f>
        <v/>
      </c>
      <c r="BH64" s="37" t="str">
        <f>IFERROR(INDEX($AN$11:$AN$4010,MATCH($S$8&amp;"|"&amp;52,$BA$11:$BA$4010,0)),"")</f>
        <v/>
      </c>
      <c r="BI64" s="37" t="str">
        <f>IFERROR(INDEX($AO$11:$AO$4010,MATCH($S$8&amp;"|"&amp;52,$BA$11:$BA$4010,0)),"")</f>
        <v/>
      </c>
      <c r="BL64" s="36" t="str">
        <f>IF(IFERROR(INDEX($AM$11:$AM$4010,MATCH($S$8&amp;"|"&amp;52,$BA$11:$BA$4010,0)),"")="","",52)</f>
        <v/>
      </c>
      <c r="BM64" s="36" t="str">
        <f>IFERROR(INDEX($AM$11:$AM$4010,MATCH($S$8&amp;"|"&amp;52,$BA$11:$BA$4010,0)),"")</f>
        <v/>
      </c>
      <c r="BN64" s="36" t="str">
        <f>IFERROR(INDEX($AP$11:$AP$4010,MATCH($S$8&amp;"|"&amp;52,$BA$11:$BA$4010,0)),"")</f>
        <v/>
      </c>
      <c r="BO64" s="36" t="str">
        <f>IFERROR(INDEX($AQ$11:$AQ$4010,MATCH($S$8&amp;"|"&amp;52,$BA$11:$BA$4010,0)),"")</f>
        <v/>
      </c>
      <c r="BP64" s="37" t="str">
        <f>IFERROR(INDEX($AN$11:$AN$4010,MATCH($S$8&amp;"|"&amp;52,$BA$11:$BA$4010,0)),"")</f>
        <v/>
      </c>
      <c r="BQ64" s="37" t="str">
        <f>IFERROR(INDEX($AO$11:$AO$4010,MATCH($S$8&amp;"|"&amp;52,$BA$11:$BA$4010,0)),"")</f>
        <v/>
      </c>
    </row>
    <row r="65" spans="2:69" ht="13.5" customHeight="1" x14ac:dyDescent="0.25">
      <c r="B65" s="5" t="str">
        <f t="shared" si="0"/>
        <v/>
      </c>
      <c r="C65" s="5"/>
      <c r="D65" s="5"/>
      <c r="E65" s="5"/>
      <c r="F65" s="6"/>
      <c r="G65" s="6"/>
      <c r="H65" s="7"/>
      <c r="I65" s="8"/>
      <c r="K65" s="9" t="str">
        <f>IFERROR(INDEX($AL$11:$AL$4010,MATCH(55,$AX$11:$AX$4010,0)),"")</f>
        <v/>
      </c>
      <c r="L65" s="10" t="str">
        <f t="shared" si="1"/>
        <v/>
      </c>
      <c r="M65" s="11" t="str">
        <f t="shared" si="2"/>
        <v/>
      </c>
      <c r="N65" s="11" t="str">
        <f t="shared" si="3"/>
        <v/>
      </c>
      <c r="P65" s="12" t="str">
        <f>IFERROR(INDEX($AM$11:$AM$4010,MATCH($S$8&amp;"|"&amp;55,$BA$11:$BA$4010,0)),"")</f>
        <v/>
      </c>
      <c r="Q65" s="11" t="str">
        <f>IF(P65="","",IFERROR(INDEX($AN$11:$AN$4010,MATCH($S$8&amp;"|"&amp;55,$BA$11:$BA$4010,0)),""))</f>
        <v/>
      </c>
      <c r="R65" s="11" t="str">
        <f>IF(P65="","",IFERROR(INDEX($AO$11:$AO$4010,MATCH($S$8&amp;"|"&amp;55,$BA$11:$BA$4010,0)),""))</f>
        <v/>
      </c>
      <c r="S65" s="10" t="str">
        <f>IF(P65="","",IFERROR(INDEX($AP$11:$AP$4010,MATCH($S$8&amp;"|"&amp;55,$BA$11:$BA$4010,0)),""))</f>
        <v/>
      </c>
      <c r="T65" s="10" t="str">
        <f>IF(P65="","",IFERROR(INDEX($AQ$11:$AQ$4010,MATCH($S$8&amp;"|"&amp;55,$BA$11:$BA$4010,0)),""))</f>
        <v/>
      </c>
      <c r="U65" s="39" t="str">
        <f t="shared" si="14"/>
        <v/>
      </c>
      <c r="W65" s="14" t="str">
        <f>IF(X65="","",IFERROR(INDEX($AL$11:$AL$4010,MATCH(55,$AY$11:$AY$4010,0)),""))</f>
        <v/>
      </c>
      <c r="X65" s="12" t="str">
        <f>IFERROR(INDEX($AM$11:$AM$4010,MATCH(55,$AY$11:$AY$4010,0)),"")</f>
        <v/>
      </c>
      <c r="Y65" s="11" t="str">
        <f>IF(X65="","",IFERROR(INDEX($AN$11:$AN$4010,MATCH(55,$AY$11:$AY$4010,0)),""))</f>
        <v/>
      </c>
      <c r="Z65" s="11" t="str">
        <f>IF(X65="","",IFERROR(INDEX($AO$11:$AO$4010,MATCH(55,$AY$11:$AY$4010,0)),""))</f>
        <v/>
      </c>
      <c r="AA65" s="10" t="str">
        <f>IF(X65="","",IFERROR(INDEX($AQ$11:$AQ$4010,MATCH(55,$AY$11:$AY$4010,0)),""))</f>
        <v/>
      </c>
      <c r="AB65" s="15" t="str">
        <f>IF(X65="","",IFERROR(INDEX($AR$11:$AR$4010,MATCH(55,$AY$11:$AY$4010,0)),""))</f>
        <v/>
      </c>
      <c r="AD65" s="16" t="str">
        <f>IF(AE65="","",IFERROR(INDEX($AL$11:$AL$4010,MATCH(55,$AZ$11:$AZ$4010,0)),""))</f>
        <v/>
      </c>
      <c r="AE65" s="12" t="str">
        <f>IFERROR(INDEX($AM$11:$AM$4010,MATCH(55,$AZ$11:$AZ$4010,0)),"")</f>
        <v/>
      </c>
      <c r="AF65" s="11" t="str">
        <f>IF(AE65="","",IFERROR(INDEX($AN$11:$AN$4010,MATCH(55,$AZ$11:$AZ$4010,0)),""))</f>
        <v/>
      </c>
      <c r="AG65" s="11" t="str">
        <f>IF(AE65="","",IFERROR(INDEX($AO$11:$AO$4010,MATCH(55,$AZ$11:$AZ$4010,0)),""))</f>
        <v/>
      </c>
      <c r="AH65" s="10" t="str">
        <f>IF(AE65="","",IFERROR(INDEX($AQ$11:$AQ$4010,MATCH(55,$AZ$11:$AZ$4010,0)),""))</f>
        <v/>
      </c>
      <c r="AI65" s="15" t="str">
        <f>IF(AE65="","",IFERROR(INDEX($AR$11:$AR$4010,MATCH(55,$AZ$11:$AZ$4010,0)),""))</f>
        <v/>
      </c>
      <c r="AJ65" s="15" t="str">
        <f>IF(AE65="","",IFERROR(INDEX($AT$11:$AT$4010,MATCH(55,$AZ$11:$AZ$4010,0)),""))</f>
        <v/>
      </c>
      <c r="AL65" s="17" t="str">
        <f t="shared" si="5"/>
        <v/>
      </c>
      <c r="AM65" s="12" t="str">
        <f t="shared" si="6"/>
        <v/>
      </c>
      <c r="AN65" s="18" t="str">
        <f t="shared" si="7"/>
        <v/>
      </c>
      <c r="AO65" s="18" t="str">
        <f t="shared" si="8"/>
        <v/>
      </c>
      <c r="AP65" s="10" t="str">
        <f t="shared" si="9"/>
        <v/>
      </c>
      <c r="AQ65" s="10" t="str">
        <f t="shared" si="10"/>
        <v/>
      </c>
      <c r="AR65" s="19" t="str">
        <f t="shared" si="11"/>
        <v/>
      </c>
      <c r="AS65" s="20"/>
      <c r="AT65" s="19"/>
      <c r="AV65" s="21">
        <f>IF(AND($AL65&lt;&gt;"",COUNTIF($AL$11:$AL65,$AL65)=1),1,0)</f>
        <v>0</v>
      </c>
      <c r="AW65" s="21">
        <f t="shared" si="13"/>
        <v>0</v>
      </c>
      <c r="AX65" s="21" t="str">
        <f t="shared" si="12"/>
        <v/>
      </c>
      <c r="AY65" s="21" t="str">
        <f>IF(AND($AM65&lt;&gt;"",$AS65&lt;&gt;"✓"),SUMPRODUCT(($AM$11:$AM65&lt;&gt;"")*($AS$11:$AS65&lt;&gt;"✓")),"")</f>
        <v/>
      </c>
      <c r="AZ65" s="21" t="str">
        <f>IF(AND($AM65&lt;&gt;"",$AS65="✓"),SUMPRODUCT(($AM$11:$AM65&lt;&gt;"")*($AS$11:$AS65="✓")),"")</f>
        <v/>
      </c>
      <c r="BA65" s="21" t="str">
        <f>IF($AL65="","",$AL65&amp;"|"&amp;COUNTIF($AL$11:$AL65,$AL65))</f>
        <v/>
      </c>
      <c r="BD65" s="36" t="str">
        <f>IF(IFERROR(INDEX($AM$11:$AM$4010,MATCH($S$8&amp;"|"&amp;53,$BA$11:$BA$4010,0)),"")="","",53)</f>
        <v/>
      </c>
      <c r="BE65" s="36" t="str">
        <f>IFERROR(INDEX($AM$11:$AM$4010,MATCH($S$8&amp;"|"&amp;53,$BA$11:$BA$4010,0)),"")</f>
        <v/>
      </c>
      <c r="BF65" s="36" t="str">
        <f>IFERROR(INDEX($AP$11:$AP$4010,MATCH($S$8&amp;"|"&amp;53,$BA$11:$BA$4010,0)),"")</f>
        <v/>
      </c>
      <c r="BG65" s="36" t="str">
        <f>IFERROR(INDEX($AQ$11:$AQ$4010,MATCH($S$8&amp;"|"&amp;53,$BA$11:$BA$4010,0)),"")</f>
        <v/>
      </c>
      <c r="BH65" s="37" t="str">
        <f>IFERROR(INDEX($AN$11:$AN$4010,MATCH($S$8&amp;"|"&amp;53,$BA$11:$BA$4010,0)),"")</f>
        <v/>
      </c>
      <c r="BI65" s="37" t="str">
        <f>IFERROR(INDEX($AO$11:$AO$4010,MATCH($S$8&amp;"|"&amp;53,$BA$11:$BA$4010,0)),"")</f>
        <v/>
      </c>
      <c r="BL65" s="36" t="str">
        <f>IF(IFERROR(INDEX($AM$11:$AM$4010,MATCH($S$8&amp;"|"&amp;53,$BA$11:$BA$4010,0)),"")="","",53)</f>
        <v/>
      </c>
      <c r="BM65" s="36" t="str">
        <f>IFERROR(INDEX($AM$11:$AM$4010,MATCH($S$8&amp;"|"&amp;53,$BA$11:$BA$4010,0)),"")</f>
        <v/>
      </c>
      <c r="BN65" s="36" t="str">
        <f>IFERROR(INDEX($AP$11:$AP$4010,MATCH($S$8&amp;"|"&amp;53,$BA$11:$BA$4010,0)),"")</f>
        <v/>
      </c>
      <c r="BO65" s="36" t="str">
        <f>IFERROR(INDEX($AQ$11:$AQ$4010,MATCH($S$8&amp;"|"&amp;53,$BA$11:$BA$4010,0)),"")</f>
        <v/>
      </c>
      <c r="BP65" s="37" t="str">
        <f>IFERROR(INDEX($AN$11:$AN$4010,MATCH($S$8&amp;"|"&amp;53,$BA$11:$BA$4010,0)),"")</f>
        <v/>
      </c>
      <c r="BQ65" s="37" t="str">
        <f>IFERROR(INDEX($AO$11:$AO$4010,MATCH($S$8&amp;"|"&amp;53,$BA$11:$BA$4010,0)),"")</f>
        <v/>
      </c>
    </row>
    <row r="66" spans="2:69" ht="13.5" customHeight="1" x14ac:dyDescent="0.25">
      <c r="B66" s="5" t="str">
        <f t="shared" si="0"/>
        <v/>
      </c>
      <c r="C66" s="5"/>
      <c r="D66" s="5"/>
      <c r="E66" s="5"/>
      <c r="F66" s="6"/>
      <c r="G66" s="6"/>
      <c r="H66" s="7"/>
      <c r="I66" s="8"/>
      <c r="K66" s="23" t="str">
        <f>IFERROR(INDEX($AL$11:$AL$4010,MATCH(56,$AX$11:$AX$4010,0)),"")</f>
        <v/>
      </c>
      <c r="L66" s="24" t="str">
        <f t="shared" si="1"/>
        <v/>
      </c>
      <c r="M66" s="25" t="str">
        <f t="shared" si="2"/>
        <v/>
      </c>
      <c r="N66" s="25" t="str">
        <f t="shared" si="3"/>
        <v/>
      </c>
      <c r="P66" s="26" t="str">
        <f>IFERROR(INDEX($AM$11:$AM$4010,MATCH($S$8&amp;"|"&amp;56,$BA$11:$BA$4010,0)),"")</f>
        <v/>
      </c>
      <c r="Q66" s="25" t="str">
        <f>IF(P66="","",IFERROR(INDEX($AN$11:$AN$4010,MATCH($S$8&amp;"|"&amp;56,$BA$11:$BA$4010,0)),""))</f>
        <v/>
      </c>
      <c r="R66" s="25" t="str">
        <f>IF(P66="","",IFERROR(INDEX($AO$11:$AO$4010,MATCH($S$8&amp;"|"&amp;56,$BA$11:$BA$4010,0)),""))</f>
        <v/>
      </c>
      <c r="S66" s="24" t="str">
        <f>IF(P66="","",IFERROR(INDEX($AP$11:$AP$4010,MATCH($S$8&amp;"|"&amp;56,$BA$11:$BA$4010,0)),""))</f>
        <v/>
      </c>
      <c r="T66" s="24" t="str">
        <f>IF(P66="","",IFERROR(INDEX($AQ$11:$AQ$4010,MATCH($S$8&amp;"|"&amp;56,$BA$11:$BA$4010,0)),""))</f>
        <v/>
      </c>
      <c r="U66" s="38" t="str">
        <f t="shared" si="14"/>
        <v/>
      </c>
      <c r="W66" s="28" t="str">
        <f>IF(X66="","",IFERROR(INDEX($AL$11:$AL$4010,MATCH(56,$AY$11:$AY$4010,0)),""))</f>
        <v/>
      </c>
      <c r="X66" s="26" t="str">
        <f>IFERROR(INDEX($AM$11:$AM$4010,MATCH(56,$AY$11:$AY$4010,0)),"")</f>
        <v/>
      </c>
      <c r="Y66" s="25" t="str">
        <f>IF(X66="","",IFERROR(INDEX($AN$11:$AN$4010,MATCH(56,$AY$11:$AY$4010,0)),""))</f>
        <v/>
      </c>
      <c r="Z66" s="25" t="str">
        <f>IF(X66="","",IFERROR(INDEX($AO$11:$AO$4010,MATCH(56,$AY$11:$AY$4010,0)),""))</f>
        <v/>
      </c>
      <c r="AA66" s="24" t="str">
        <f>IF(X66="","",IFERROR(INDEX($AQ$11:$AQ$4010,MATCH(56,$AY$11:$AY$4010,0)),""))</f>
        <v/>
      </c>
      <c r="AB66" s="29" t="str">
        <f>IF(X66="","",IFERROR(INDEX($AR$11:$AR$4010,MATCH(56,$AY$11:$AY$4010,0)),""))</f>
        <v/>
      </c>
      <c r="AD66" s="30" t="str">
        <f>IF(AE66="","",IFERROR(INDEX($AL$11:$AL$4010,MATCH(56,$AZ$11:$AZ$4010,0)),""))</f>
        <v/>
      </c>
      <c r="AE66" s="26" t="str">
        <f>IFERROR(INDEX($AM$11:$AM$4010,MATCH(56,$AZ$11:$AZ$4010,0)),"")</f>
        <v/>
      </c>
      <c r="AF66" s="25" t="str">
        <f>IF(AE66="","",IFERROR(INDEX($AN$11:$AN$4010,MATCH(56,$AZ$11:$AZ$4010,0)),""))</f>
        <v/>
      </c>
      <c r="AG66" s="25" t="str">
        <f>IF(AE66="","",IFERROR(INDEX($AO$11:$AO$4010,MATCH(56,$AZ$11:$AZ$4010,0)),""))</f>
        <v/>
      </c>
      <c r="AH66" s="24" t="str">
        <f>IF(AE66="","",IFERROR(INDEX($AQ$11:$AQ$4010,MATCH(56,$AZ$11:$AZ$4010,0)),""))</f>
        <v/>
      </c>
      <c r="AI66" s="29" t="str">
        <f>IF(AE66="","",IFERROR(INDEX($AR$11:$AR$4010,MATCH(56,$AZ$11:$AZ$4010,0)),""))</f>
        <v/>
      </c>
      <c r="AJ66" s="29" t="str">
        <f>IF(AE66="","",IFERROR(INDEX($AT$11:$AT$4010,MATCH(56,$AZ$11:$AZ$4010,0)),""))</f>
        <v/>
      </c>
      <c r="AL66" s="31" t="str">
        <f t="shared" si="5"/>
        <v/>
      </c>
      <c r="AM66" s="26" t="str">
        <f t="shared" si="6"/>
        <v/>
      </c>
      <c r="AN66" s="32" t="str">
        <f t="shared" si="7"/>
        <v/>
      </c>
      <c r="AO66" s="32" t="str">
        <f t="shared" si="8"/>
        <v/>
      </c>
      <c r="AP66" s="24" t="str">
        <f t="shared" si="9"/>
        <v/>
      </c>
      <c r="AQ66" s="24" t="str">
        <f t="shared" si="10"/>
        <v/>
      </c>
      <c r="AR66" s="33" t="str">
        <f t="shared" si="11"/>
        <v/>
      </c>
      <c r="AS66" s="34"/>
      <c r="AT66" s="33"/>
      <c r="AV66" s="21">
        <f>IF(AND($AL66&lt;&gt;"",COUNTIF($AL$11:$AL66,$AL66)=1),1,0)</f>
        <v>0</v>
      </c>
      <c r="AW66" s="21">
        <f t="shared" si="13"/>
        <v>0</v>
      </c>
      <c r="AX66" s="21" t="str">
        <f t="shared" si="12"/>
        <v/>
      </c>
      <c r="AY66" s="21" t="str">
        <f>IF(AND($AM66&lt;&gt;"",$AS66&lt;&gt;"✓"),SUMPRODUCT(($AM$11:$AM66&lt;&gt;"")*($AS$11:$AS66&lt;&gt;"✓")),"")</f>
        <v/>
      </c>
      <c r="AZ66" s="21" t="str">
        <f>IF(AND($AM66&lt;&gt;"",$AS66="✓"),SUMPRODUCT(($AM$11:$AM66&lt;&gt;"")*($AS$11:$AS66="✓")),"")</f>
        <v/>
      </c>
      <c r="BA66" s="21" t="str">
        <f>IF($AL66="","",$AL66&amp;"|"&amp;COUNTIF($AL$11:$AL66,$AL66))</f>
        <v/>
      </c>
      <c r="BD66" s="36" t="str">
        <f>IF(IFERROR(INDEX($AM$11:$AM$4010,MATCH($S$8&amp;"|"&amp;54,$BA$11:$BA$4010,0)),"")="","",54)</f>
        <v/>
      </c>
      <c r="BE66" s="36" t="str">
        <f>IFERROR(INDEX($AM$11:$AM$4010,MATCH($S$8&amp;"|"&amp;54,$BA$11:$BA$4010,0)),"")</f>
        <v/>
      </c>
      <c r="BF66" s="36" t="str">
        <f>IFERROR(INDEX($AP$11:$AP$4010,MATCH($S$8&amp;"|"&amp;54,$BA$11:$BA$4010,0)),"")</f>
        <v/>
      </c>
      <c r="BG66" s="36" t="str">
        <f>IFERROR(INDEX($AQ$11:$AQ$4010,MATCH($S$8&amp;"|"&amp;54,$BA$11:$BA$4010,0)),"")</f>
        <v/>
      </c>
      <c r="BH66" s="37" t="str">
        <f>IFERROR(INDEX($AN$11:$AN$4010,MATCH($S$8&amp;"|"&amp;54,$BA$11:$BA$4010,0)),"")</f>
        <v/>
      </c>
      <c r="BI66" s="37" t="str">
        <f>IFERROR(INDEX($AO$11:$AO$4010,MATCH($S$8&amp;"|"&amp;54,$BA$11:$BA$4010,0)),"")</f>
        <v/>
      </c>
      <c r="BL66" s="36" t="str">
        <f>IF(IFERROR(INDEX($AM$11:$AM$4010,MATCH($S$8&amp;"|"&amp;54,$BA$11:$BA$4010,0)),"")="","",54)</f>
        <v/>
      </c>
      <c r="BM66" s="36" t="str">
        <f>IFERROR(INDEX($AM$11:$AM$4010,MATCH($S$8&amp;"|"&amp;54,$BA$11:$BA$4010,0)),"")</f>
        <v/>
      </c>
      <c r="BN66" s="36" t="str">
        <f>IFERROR(INDEX($AP$11:$AP$4010,MATCH($S$8&amp;"|"&amp;54,$BA$11:$BA$4010,0)),"")</f>
        <v/>
      </c>
      <c r="BO66" s="36" t="str">
        <f>IFERROR(INDEX($AQ$11:$AQ$4010,MATCH($S$8&amp;"|"&amp;54,$BA$11:$BA$4010,0)),"")</f>
        <v/>
      </c>
      <c r="BP66" s="37" t="str">
        <f>IFERROR(INDEX($AN$11:$AN$4010,MATCH($S$8&amp;"|"&amp;54,$BA$11:$BA$4010,0)),"")</f>
        <v/>
      </c>
      <c r="BQ66" s="37" t="str">
        <f>IFERROR(INDEX($AO$11:$AO$4010,MATCH($S$8&amp;"|"&amp;54,$BA$11:$BA$4010,0)),"")</f>
        <v/>
      </c>
    </row>
    <row r="67" spans="2:69" ht="13.5" customHeight="1" x14ac:dyDescent="0.25">
      <c r="B67" s="5" t="str">
        <f t="shared" si="0"/>
        <v/>
      </c>
      <c r="C67" s="5"/>
      <c r="D67" s="5"/>
      <c r="E67" s="5"/>
      <c r="F67" s="6"/>
      <c r="G67" s="6"/>
      <c r="H67" s="7"/>
      <c r="I67" s="8"/>
      <c r="K67" s="9" t="str">
        <f>IFERROR(INDEX($AL$11:$AL$4010,MATCH(57,$AX$11:$AX$4010,0)),"")</f>
        <v/>
      </c>
      <c r="L67" s="10" t="str">
        <f t="shared" si="1"/>
        <v/>
      </c>
      <c r="M67" s="11" t="str">
        <f t="shared" si="2"/>
        <v/>
      </c>
      <c r="N67" s="11" t="str">
        <f t="shared" si="3"/>
        <v/>
      </c>
      <c r="P67" s="12" t="str">
        <f>IFERROR(INDEX($AM$11:$AM$4010,MATCH($S$8&amp;"|"&amp;57,$BA$11:$BA$4010,0)),"")</f>
        <v/>
      </c>
      <c r="Q67" s="11" t="str">
        <f>IF(P67="","",IFERROR(INDEX($AN$11:$AN$4010,MATCH($S$8&amp;"|"&amp;57,$BA$11:$BA$4010,0)),""))</f>
        <v/>
      </c>
      <c r="R67" s="11" t="str">
        <f>IF(P67="","",IFERROR(INDEX($AO$11:$AO$4010,MATCH($S$8&amp;"|"&amp;57,$BA$11:$BA$4010,0)),""))</f>
        <v/>
      </c>
      <c r="S67" s="10" t="str">
        <f>IF(P67="","",IFERROR(INDEX($AP$11:$AP$4010,MATCH($S$8&amp;"|"&amp;57,$BA$11:$BA$4010,0)),""))</f>
        <v/>
      </c>
      <c r="T67" s="10" t="str">
        <f>IF(P67="","",IFERROR(INDEX($AQ$11:$AQ$4010,MATCH($S$8&amp;"|"&amp;57,$BA$11:$BA$4010,0)),""))</f>
        <v/>
      </c>
      <c r="U67" s="39" t="str">
        <f t="shared" si="14"/>
        <v/>
      </c>
      <c r="W67" s="14" t="str">
        <f>IF(X67="","",IFERROR(INDEX($AL$11:$AL$4010,MATCH(57,$AY$11:$AY$4010,0)),""))</f>
        <v/>
      </c>
      <c r="X67" s="12" t="str">
        <f>IFERROR(INDEX($AM$11:$AM$4010,MATCH(57,$AY$11:$AY$4010,0)),"")</f>
        <v/>
      </c>
      <c r="Y67" s="11" t="str">
        <f>IF(X67="","",IFERROR(INDEX($AN$11:$AN$4010,MATCH(57,$AY$11:$AY$4010,0)),""))</f>
        <v/>
      </c>
      <c r="Z67" s="11" t="str">
        <f>IF(X67="","",IFERROR(INDEX($AO$11:$AO$4010,MATCH(57,$AY$11:$AY$4010,0)),""))</f>
        <v/>
      </c>
      <c r="AA67" s="10" t="str">
        <f>IF(X67="","",IFERROR(INDEX($AQ$11:$AQ$4010,MATCH(57,$AY$11:$AY$4010,0)),""))</f>
        <v/>
      </c>
      <c r="AB67" s="15" t="str">
        <f>IF(X67="","",IFERROR(INDEX($AR$11:$AR$4010,MATCH(57,$AY$11:$AY$4010,0)),""))</f>
        <v/>
      </c>
      <c r="AD67" s="16" t="str">
        <f>IF(AE67="","",IFERROR(INDEX($AL$11:$AL$4010,MATCH(57,$AZ$11:$AZ$4010,0)),""))</f>
        <v/>
      </c>
      <c r="AE67" s="12" t="str">
        <f>IFERROR(INDEX($AM$11:$AM$4010,MATCH(57,$AZ$11:$AZ$4010,0)),"")</f>
        <v/>
      </c>
      <c r="AF67" s="11" t="str">
        <f>IF(AE67="","",IFERROR(INDEX($AN$11:$AN$4010,MATCH(57,$AZ$11:$AZ$4010,0)),""))</f>
        <v/>
      </c>
      <c r="AG67" s="11" t="str">
        <f>IF(AE67="","",IFERROR(INDEX($AO$11:$AO$4010,MATCH(57,$AZ$11:$AZ$4010,0)),""))</f>
        <v/>
      </c>
      <c r="AH67" s="10" t="str">
        <f>IF(AE67="","",IFERROR(INDEX($AQ$11:$AQ$4010,MATCH(57,$AZ$11:$AZ$4010,0)),""))</f>
        <v/>
      </c>
      <c r="AI67" s="15" t="str">
        <f>IF(AE67="","",IFERROR(INDEX($AR$11:$AR$4010,MATCH(57,$AZ$11:$AZ$4010,0)),""))</f>
        <v/>
      </c>
      <c r="AJ67" s="15" t="str">
        <f>IF(AE67="","",IFERROR(INDEX($AT$11:$AT$4010,MATCH(57,$AZ$11:$AZ$4010,0)),""))</f>
        <v/>
      </c>
      <c r="AL67" s="17" t="str">
        <f t="shared" si="5"/>
        <v/>
      </c>
      <c r="AM67" s="12" t="str">
        <f t="shared" si="6"/>
        <v/>
      </c>
      <c r="AN67" s="18" t="str">
        <f t="shared" si="7"/>
        <v/>
      </c>
      <c r="AO67" s="18" t="str">
        <f t="shared" si="8"/>
        <v/>
      </c>
      <c r="AP67" s="10" t="str">
        <f t="shared" si="9"/>
        <v/>
      </c>
      <c r="AQ67" s="10" t="str">
        <f t="shared" si="10"/>
        <v/>
      </c>
      <c r="AR67" s="19" t="str">
        <f t="shared" si="11"/>
        <v/>
      </c>
      <c r="AS67" s="20"/>
      <c r="AT67" s="19"/>
      <c r="AV67" s="21">
        <f>IF(AND($AL67&lt;&gt;"",COUNTIF($AL$11:$AL67,$AL67)=1),1,0)</f>
        <v>0</v>
      </c>
      <c r="AW67" s="21">
        <f t="shared" si="13"/>
        <v>0</v>
      </c>
      <c r="AX67" s="21" t="str">
        <f t="shared" si="12"/>
        <v/>
      </c>
      <c r="AY67" s="21" t="str">
        <f>IF(AND($AM67&lt;&gt;"",$AS67&lt;&gt;"✓"),SUMPRODUCT(($AM$11:$AM67&lt;&gt;"")*($AS$11:$AS67&lt;&gt;"✓")),"")</f>
        <v/>
      </c>
      <c r="AZ67" s="21" t="str">
        <f>IF(AND($AM67&lt;&gt;"",$AS67="✓"),SUMPRODUCT(($AM$11:$AM67&lt;&gt;"")*($AS$11:$AS67="✓")),"")</f>
        <v/>
      </c>
      <c r="BA67" s="21" t="str">
        <f>IF($AL67="","",$AL67&amp;"|"&amp;COUNTIF($AL$11:$AL67,$AL67))</f>
        <v/>
      </c>
      <c r="BD67" s="36" t="str">
        <f>IF(IFERROR(INDEX($AM$11:$AM$4010,MATCH($S$8&amp;"|"&amp;55,$BA$11:$BA$4010,0)),"")="","",55)</f>
        <v/>
      </c>
      <c r="BE67" s="36" t="str">
        <f>IFERROR(INDEX($AM$11:$AM$4010,MATCH($S$8&amp;"|"&amp;55,$BA$11:$BA$4010,0)),"")</f>
        <v/>
      </c>
      <c r="BF67" s="36" t="str">
        <f>IFERROR(INDEX($AP$11:$AP$4010,MATCH($S$8&amp;"|"&amp;55,$BA$11:$BA$4010,0)),"")</f>
        <v/>
      </c>
      <c r="BG67" s="36" t="str">
        <f>IFERROR(INDEX($AQ$11:$AQ$4010,MATCH($S$8&amp;"|"&amp;55,$BA$11:$BA$4010,0)),"")</f>
        <v/>
      </c>
      <c r="BH67" s="37" t="str">
        <f>IFERROR(INDEX($AN$11:$AN$4010,MATCH($S$8&amp;"|"&amp;55,$BA$11:$BA$4010,0)),"")</f>
        <v/>
      </c>
      <c r="BI67" s="37" t="str">
        <f>IFERROR(INDEX($AO$11:$AO$4010,MATCH($S$8&amp;"|"&amp;55,$BA$11:$BA$4010,0)),"")</f>
        <v/>
      </c>
      <c r="BL67" s="36" t="str">
        <f>IF(IFERROR(INDEX($AM$11:$AM$4010,MATCH($S$8&amp;"|"&amp;55,$BA$11:$BA$4010,0)),"")="","",55)</f>
        <v/>
      </c>
      <c r="BM67" s="36" t="str">
        <f>IFERROR(INDEX($AM$11:$AM$4010,MATCH($S$8&amp;"|"&amp;55,$BA$11:$BA$4010,0)),"")</f>
        <v/>
      </c>
      <c r="BN67" s="36" t="str">
        <f>IFERROR(INDEX($AP$11:$AP$4010,MATCH($S$8&amp;"|"&amp;55,$BA$11:$BA$4010,0)),"")</f>
        <v/>
      </c>
      <c r="BO67" s="36" t="str">
        <f>IFERROR(INDEX($AQ$11:$AQ$4010,MATCH($S$8&amp;"|"&amp;55,$BA$11:$BA$4010,0)),"")</f>
        <v/>
      </c>
      <c r="BP67" s="37" t="str">
        <f>IFERROR(INDEX($AN$11:$AN$4010,MATCH($S$8&amp;"|"&amp;55,$BA$11:$BA$4010,0)),"")</f>
        <v/>
      </c>
      <c r="BQ67" s="37" t="str">
        <f>IFERROR(INDEX($AO$11:$AO$4010,MATCH($S$8&amp;"|"&amp;55,$BA$11:$BA$4010,0)),"")</f>
        <v/>
      </c>
    </row>
    <row r="68" spans="2:69" ht="13.5" customHeight="1" x14ac:dyDescent="0.25">
      <c r="B68" s="5" t="str">
        <f t="shared" si="0"/>
        <v/>
      </c>
      <c r="C68" s="5"/>
      <c r="D68" s="5"/>
      <c r="E68" s="5"/>
      <c r="F68" s="6"/>
      <c r="G68" s="6"/>
      <c r="H68" s="7"/>
      <c r="I68" s="8"/>
      <c r="K68" s="23" t="str">
        <f>IFERROR(INDEX($AL$11:$AL$4010,MATCH(58,$AX$11:$AX$4010,0)),"")</f>
        <v/>
      </c>
      <c r="L68" s="24" t="str">
        <f t="shared" si="1"/>
        <v/>
      </c>
      <c r="M68" s="25" t="str">
        <f t="shared" si="2"/>
        <v/>
      </c>
      <c r="N68" s="25" t="str">
        <f t="shared" si="3"/>
        <v/>
      </c>
      <c r="P68" s="26" t="str">
        <f>IFERROR(INDEX($AM$11:$AM$4010,MATCH($S$8&amp;"|"&amp;58,$BA$11:$BA$4010,0)),"")</f>
        <v/>
      </c>
      <c r="Q68" s="25" t="str">
        <f>IF(P68="","",IFERROR(INDEX($AN$11:$AN$4010,MATCH($S$8&amp;"|"&amp;58,$BA$11:$BA$4010,0)),""))</f>
        <v/>
      </c>
      <c r="R68" s="25" t="str">
        <f>IF(P68="","",IFERROR(INDEX($AO$11:$AO$4010,MATCH($S$8&amp;"|"&amp;58,$BA$11:$BA$4010,0)),""))</f>
        <v/>
      </c>
      <c r="S68" s="24" t="str">
        <f>IF(P68="","",IFERROR(INDEX($AP$11:$AP$4010,MATCH($S$8&amp;"|"&amp;58,$BA$11:$BA$4010,0)),""))</f>
        <v/>
      </c>
      <c r="T68" s="24" t="str">
        <f>IF(P68="","",IFERROR(INDEX($AQ$11:$AQ$4010,MATCH($S$8&amp;"|"&amp;58,$BA$11:$BA$4010,0)),""))</f>
        <v/>
      </c>
      <c r="U68" s="38" t="str">
        <f t="shared" si="14"/>
        <v/>
      </c>
      <c r="W68" s="28" t="str">
        <f>IF(X68="","",IFERROR(INDEX($AL$11:$AL$4010,MATCH(58,$AY$11:$AY$4010,0)),""))</f>
        <v/>
      </c>
      <c r="X68" s="26" t="str">
        <f>IFERROR(INDEX($AM$11:$AM$4010,MATCH(58,$AY$11:$AY$4010,0)),"")</f>
        <v/>
      </c>
      <c r="Y68" s="25" t="str">
        <f>IF(X68="","",IFERROR(INDEX($AN$11:$AN$4010,MATCH(58,$AY$11:$AY$4010,0)),""))</f>
        <v/>
      </c>
      <c r="Z68" s="25" t="str">
        <f>IF(X68="","",IFERROR(INDEX($AO$11:$AO$4010,MATCH(58,$AY$11:$AY$4010,0)),""))</f>
        <v/>
      </c>
      <c r="AA68" s="24" t="str">
        <f>IF(X68="","",IFERROR(INDEX($AQ$11:$AQ$4010,MATCH(58,$AY$11:$AY$4010,0)),""))</f>
        <v/>
      </c>
      <c r="AB68" s="29" t="str">
        <f>IF(X68="","",IFERROR(INDEX($AR$11:$AR$4010,MATCH(58,$AY$11:$AY$4010,0)),""))</f>
        <v/>
      </c>
      <c r="AD68" s="30" t="str">
        <f>IF(AE68="","",IFERROR(INDEX($AL$11:$AL$4010,MATCH(58,$AZ$11:$AZ$4010,0)),""))</f>
        <v/>
      </c>
      <c r="AE68" s="26" t="str">
        <f>IFERROR(INDEX($AM$11:$AM$4010,MATCH(58,$AZ$11:$AZ$4010,0)),"")</f>
        <v/>
      </c>
      <c r="AF68" s="25" t="str">
        <f>IF(AE68="","",IFERROR(INDEX($AN$11:$AN$4010,MATCH(58,$AZ$11:$AZ$4010,0)),""))</f>
        <v/>
      </c>
      <c r="AG68" s="25" t="str">
        <f>IF(AE68="","",IFERROR(INDEX($AO$11:$AO$4010,MATCH(58,$AZ$11:$AZ$4010,0)),""))</f>
        <v/>
      </c>
      <c r="AH68" s="24" t="str">
        <f>IF(AE68="","",IFERROR(INDEX($AQ$11:$AQ$4010,MATCH(58,$AZ$11:$AZ$4010,0)),""))</f>
        <v/>
      </c>
      <c r="AI68" s="29" t="str">
        <f>IF(AE68="","",IFERROR(INDEX($AR$11:$AR$4010,MATCH(58,$AZ$11:$AZ$4010,0)),""))</f>
        <v/>
      </c>
      <c r="AJ68" s="29" t="str">
        <f>IF(AE68="","",IFERROR(INDEX($AT$11:$AT$4010,MATCH(58,$AZ$11:$AZ$4010,0)),""))</f>
        <v/>
      </c>
      <c r="AL68" s="31" t="str">
        <f t="shared" si="5"/>
        <v/>
      </c>
      <c r="AM68" s="26" t="str">
        <f t="shared" si="6"/>
        <v/>
      </c>
      <c r="AN68" s="32" t="str">
        <f t="shared" si="7"/>
        <v/>
      </c>
      <c r="AO68" s="32" t="str">
        <f t="shared" si="8"/>
        <v/>
      </c>
      <c r="AP68" s="24" t="str">
        <f t="shared" si="9"/>
        <v/>
      </c>
      <c r="AQ68" s="24" t="str">
        <f t="shared" si="10"/>
        <v/>
      </c>
      <c r="AR68" s="33" t="str">
        <f t="shared" si="11"/>
        <v/>
      </c>
      <c r="AS68" s="34"/>
      <c r="AT68" s="33"/>
      <c r="AV68" s="21">
        <f>IF(AND($AL68&lt;&gt;"",COUNTIF($AL$11:$AL68,$AL68)=1),1,0)</f>
        <v>0</v>
      </c>
      <c r="AW68" s="21">
        <f t="shared" si="13"/>
        <v>0</v>
      </c>
      <c r="AX68" s="21" t="str">
        <f t="shared" si="12"/>
        <v/>
      </c>
      <c r="AY68" s="21" t="str">
        <f>IF(AND($AM68&lt;&gt;"",$AS68&lt;&gt;"✓"),SUMPRODUCT(($AM$11:$AM68&lt;&gt;"")*($AS$11:$AS68&lt;&gt;"✓")),"")</f>
        <v/>
      </c>
      <c r="AZ68" s="21" t="str">
        <f>IF(AND($AM68&lt;&gt;"",$AS68="✓"),SUMPRODUCT(($AM$11:$AM68&lt;&gt;"")*($AS$11:$AS68="✓")),"")</f>
        <v/>
      </c>
      <c r="BA68" s="21" t="str">
        <f>IF($AL68="","",$AL68&amp;"|"&amp;COUNTIF($AL$11:$AL68,$AL68))</f>
        <v/>
      </c>
      <c r="BD68" s="36" t="str">
        <f>IF(IFERROR(INDEX($AM$11:$AM$4010,MATCH($S$8&amp;"|"&amp;56,$BA$11:$BA$4010,0)),"")="","",56)</f>
        <v/>
      </c>
      <c r="BE68" s="36" t="str">
        <f>IFERROR(INDEX($AM$11:$AM$4010,MATCH($S$8&amp;"|"&amp;56,$BA$11:$BA$4010,0)),"")</f>
        <v/>
      </c>
      <c r="BF68" s="36" t="str">
        <f>IFERROR(INDEX($AP$11:$AP$4010,MATCH($S$8&amp;"|"&amp;56,$BA$11:$BA$4010,0)),"")</f>
        <v/>
      </c>
      <c r="BG68" s="36" t="str">
        <f>IFERROR(INDEX($AQ$11:$AQ$4010,MATCH($S$8&amp;"|"&amp;56,$BA$11:$BA$4010,0)),"")</f>
        <v/>
      </c>
      <c r="BH68" s="37" t="str">
        <f>IFERROR(INDEX($AN$11:$AN$4010,MATCH($S$8&amp;"|"&amp;56,$BA$11:$BA$4010,0)),"")</f>
        <v/>
      </c>
      <c r="BI68" s="37" t="str">
        <f>IFERROR(INDEX($AO$11:$AO$4010,MATCH($S$8&amp;"|"&amp;56,$BA$11:$BA$4010,0)),"")</f>
        <v/>
      </c>
      <c r="BL68" s="36" t="str">
        <f>IF(IFERROR(INDEX($AM$11:$AM$4010,MATCH($S$8&amp;"|"&amp;56,$BA$11:$BA$4010,0)),"")="","",56)</f>
        <v/>
      </c>
      <c r="BM68" s="36" t="str">
        <f>IFERROR(INDEX($AM$11:$AM$4010,MATCH($S$8&amp;"|"&amp;56,$BA$11:$BA$4010,0)),"")</f>
        <v/>
      </c>
      <c r="BN68" s="36" t="str">
        <f>IFERROR(INDEX($AP$11:$AP$4010,MATCH($S$8&amp;"|"&amp;56,$BA$11:$BA$4010,0)),"")</f>
        <v/>
      </c>
      <c r="BO68" s="36" t="str">
        <f>IFERROR(INDEX($AQ$11:$AQ$4010,MATCH($S$8&amp;"|"&amp;56,$BA$11:$BA$4010,0)),"")</f>
        <v/>
      </c>
      <c r="BP68" s="37" t="str">
        <f>IFERROR(INDEX($AN$11:$AN$4010,MATCH($S$8&amp;"|"&amp;56,$BA$11:$BA$4010,0)),"")</f>
        <v/>
      </c>
      <c r="BQ68" s="37" t="str">
        <f>IFERROR(INDEX($AO$11:$AO$4010,MATCH($S$8&amp;"|"&amp;56,$BA$11:$BA$4010,0)),"")</f>
        <v/>
      </c>
    </row>
    <row r="69" spans="2:69" ht="13.5" customHeight="1" x14ac:dyDescent="0.25">
      <c r="B69" s="5" t="str">
        <f t="shared" si="0"/>
        <v/>
      </c>
      <c r="C69" s="5"/>
      <c r="D69" s="5"/>
      <c r="E69" s="5"/>
      <c r="F69" s="6"/>
      <c r="G69" s="6"/>
      <c r="H69" s="7"/>
      <c r="I69" s="8"/>
      <c r="K69" s="9" t="str">
        <f>IFERROR(INDEX($AL$11:$AL$4010,MATCH(59,$AX$11:$AX$4010,0)),"")</f>
        <v/>
      </c>
      <c r="L69" s="10" t="str">
        <f t="shared" si="1"/>
        <v/>
      </c>
      <c r="M69" s="11" t="str">
        <f t="shared" si="2"/>
        <v/>
      </c>
      <c r="N69" s="11" t="str">
        <f t="shared" si="3"/>
        <v/>
      </c>
      <c r="P69" s="12" t="str">
        <f>IFERROR(INDEX($AM$11:$AM$4010,MATCH($S$8&amp;"|"&amp;59,$BA$11:$BA$4010,0)),"")</f>
        <v/>
      </c>
      <c r="Q69" s="11" t="str">
        <f>IF(P69="","",IFERROR(INDEX($AN$11:$AN$4010,MATCH($S$8&amp;"|"&amp;59,$BA$11:$BA$4010,0)),""))</f>
        <v/>
      </c>
      <c r="R69" s="11" t="str">
        <f>IF(P69="","",IFERROR(INDEX($AO$11:$AO$4010,MATCH($S$8&amp;"|"&amp;59,$BA$11:$BA$4010,0)),""))</f>
        <v/>
      </c>
      <c r="S69" s="10" t="str">
        <f>IF(P69="","",IFERROR(INDEX($AP$11:$AP$4010,MATCH($S$8&amp;"|"&amp;59,$BA$11:$BA$4010,0)),""))</f>
        <v/>
      </c>
      <c r="T69" s="10" t="str">
        <f>IF(P69="","",IFERROR(INDEX($AQ$11:$AQ$4010,MATCH($S$8&amp;"|"&amp;59,$BA$11:$BA$4010,0)),""))</f>
        <v/>
      </c>
      <c r="U69" s="39" t="str">
        <f t="shared" si="14"/>
        <v/>
      </c>
      <c r="W69" s="14" t="str">
        <f>IF(X69="","",IFERROR(INDEX($AL$11:$AL$4010,MATCH(59,$AY$11:$AY$4010,0)),""))</f>
        <v/>
      </c>
      <c r="X69" s="12" t="str">
        <f>IFERROR(INDEX($AM$11:$AM$4010,MATCH(59,$AY$11:$AY$4010,0)),"")</f>
        <v/>
      </c>
      <c r="Y69" s="11" t="str">
        <f>IF(X69="","",IFERROR(INDEX($AN$11:$AN$4010,MATCH(59,$AY$11:$AY$4010,0)),""))</f>
        <v/>
      </c>
      <c r="Z69" s="11" t="str">
        <f>IF(X69="","",IFERROR(INDEX($AO$11:$AO$4010,MATCH(59,$AY$11:$AY$4010,0)),""))</f>
        <v/>
      </c>
      <c r="AA69" s="10" t="str">
        <f>IF(X69="","",IFERROR(INDEX($AQ$11:$AQ$4010,MATCH(59,$AY$11:$AY$4010,0)),""))</f>
        <v/>
      </c>
      <c r="AB69" s="15" t="str">
        <f>IF(X69="","",IFERROR(INDEX($AR$11:$AR$4010,MATCH(59,$AY$11:$AY$4010,0)),""))</f>
        <v/>
      </c>
      <c r="AD69" s="16" t="str">
        <f>IF(AE69="","",IFERROR(INDEX($AL$11:$AL$4010,MATCH(59,$AZ$11:$AZ$4010,0)),""))</f>
        <v/>
      </c>
      <c r="AE69" s="12" t="str">
        <f>IFERROR(INDEX($AM$11:$AM$4010,MATCH(59,$AZ$11:$AZ$4010,0)),"")</f>
        <v/>
      </c>
      <c r="AF69" s="11" t="str">
        <f>IF(AE69="","",IFERROR(INDEX($AN$11:$AN$4010,MATCH(59,$AZ$11:$AZ$4010,0)),""))</f>
        <v/>
      </c>
      <c r="AG69" s="11" t="str">
        <f>IF(AE69="","",IFERROR(INDEX($AO$11:$AO$4010,MATCH(59,$AZ$11:$AZ$4010,0)),""))</f>
        <v/>
      </c>
      <c r="AH69" s="10" t="str">
        <f>IF(AE69="","",IFERROR(INDEX($AQ$11:$AQ$4010,MATCH(59,$AZ$11:$AZ$4010,0)),""))</f>
        <v/>
      </c>
      <c r="AI69" s="15" t="str">
        <f>IF(AE69="","",IFERROR(INDEX($AR$11:$AR$4010,MATCH(59,$AZ$11:$AZ$4010,0)),""))</f>
        <v/>
      </c>
      <c r="AJ69" s="15" t="str">
        <f>IF(AE69="","",IFERROR(INDEX($AT$11:$AT$4010,MATCH(59,$AZ$11:$AZ$4010,0)),""))</f>
        <v/>
      </c>
      <c r="AL69" s="17" t="str">
        <f t="shared" si="5"/>
        <v/>
      </c>
      <c r="AM69" s="12" t="str">
        <f t="shared" si="6"/>
        <v/>
      </c>
      <c r="AN69" s="18" t="str">
        <f t="shared" si="7"/>
        <v/>
      </c>
      <c r="AO69" s="18" t="str">
        <f t="shared" si="8"/>
        <v/>
      </c>
      <c r="AP69" s="10" t="str">
        <f t="shared" si="9"/>
        <v/>
      </c>
      <c r="AQ69" s="10" t="str">
        <f t="shared" si="10"/>
        <v/>
      </c>
      <c r="AR69" s="19" t="str">
        <f t="shared" si="11"/>
        <v/>
      </c>
      <c r="AS69" s="20"/>
      <c r="AT69" s="19"/>
      <c r="AV69" s="21">
        <f>IF(AND($AL69&lt;&gt;"",COUNTIF($AL$11:$AL69,$AL69)=1),1,0)</f>
        <v>0</v>
      </c>
      <c r="AW69" s="21">
        <f t="shared" si="13"/>
        <v>0</v>
      </c>
      <c r="AX69" s="21" t="str">
        <f t="shared" si="12"/>
        <v/>
      </c>
      <c r="AY69" s="21" t="str">
        <f>IF(AND($AM69&lt;&gt;"",$AS69&lt;&gt;"✓"),SUMPRODUCT(($AM$11:$AM69&lt;&gt;"")*($AS$11:$AS69&lt;&gt;"✓")),"")</f>
        <v/>
      </c>
      <c r="AZ69" s="21" t="str">
        <f>IF(AND($AM69&lt;&gt;"",$AS69="✓"),SUMPRODUCT(($AM$11:$AM69&lt;&gt;"")*($AS$11:$AS69="✓")),"")</f>
        <v/>
      </c>
      <c r="BA69" s="21" t="str">
        <f>IF($AL69="","",$AL69&amp;"|"&amp;COUNTIF($AL$11:$AL69,$AL69))</f>
        <v/>
      </c>
      <c r="BD69" s="36" t="str">
        <f>IF(IFERROR(INDEX($AM$11:$AM$4010,MATCH($S$8&amp;"|"&amp;57,$BA$11:$BA$4010,0)),"")="","",57)</f>
        <v/>
      </c>
      <c r="BE69" s="36" t="str">
        <f>IFERROR(INDEX($AM$11:$AM$4010,MATCH($S$8&amp;"|"&amp;57,$BA$11:$BA$4010,0)),"")</f>
        <v/>
      </c>
      <c r="BF69" s="36" t="str">
        <f>IFERROR(INDEX($AP$11:$AP$4010,MATCH($S$8&amp;"|"&amp;57,$BA$11:$BA$4010,0)),"")</f>
        <v/>
      </c>
      <c r="BG69" s="36" t="str">
        <f>IFERROR(INDEX($AQ$11:$AQ$4010,MATCH($S$8&amp;"|"&amp;57,$BA$11:$BA$4010,0)),"")</f>
        <v/>
      </c>
      <c r="BH69" s="37" t="str">
        <f>IFERROR(INDEX($AN$11:$AN$4010,MATCH($S$8&amp;"|"&amp;57,$BA$11:$BA$4010,0)),"")</f>
        <v/>
      </c>
      <c r="BI69" s="37" t="str">
        <f>IFERROR(INDEX($AO$11:$AO$4010,MATCH($S$8&amp;"|"&amp;57,$BA$11:$BA$4010,0)),"")</f>
        <v/>
      </c>
      <c r="BL69" s="36" t="str">
        <f>IF(IFERROR(INDEX($AM$11:$AM$4010,MATCH($S$8&amp;"|"&amp;57,$BA$11:$BA$4010,0)),"")="","",57)</f>
        <v/>
      </c>
      <c r="BM69" s="36" t="str">
        <f>IFERROR(INDEX($AM$11:$AM$4010,MATCH($S$8&amp;"|"&amp;57,$BA$11:$BA$4010,0)),"")</f>
        <v/>
      </c>
      <c r="BN69" s="36" t="str">
        <f>IFERROR(INDEX($AP$11:$AP$4010,MATCH($S$8&amp;"|"&amp;57,$BA$11:$BA$4010,0)),"")</f>
        <v/>
      </c>
      <c r="BO69" s="36" t="str">
        <f>IFERROR(INDEX($AQ$11:$AQ$4010,MATCH($S$8&amp;"|"&amp;57,$BA$11:$BA$4010,0)),"")</f>
        <v/>
      </c>
      <c r="BP69" s="37" t="str">
        <f>IFERROR(INDEX($AN$11:$AN$4010,MATCH($S$8&amp;"|"&amp;57,$BA$11:$BA$4010,0)),"")</f>
        <v/>
      </c>
      <c r="BQ69" s="37" t="str">
        <f>IFERROR(INDEX($AO$11:$AO$4010,MATCH($S$8&amp;"|"&amp;57,$BA$11:$BA$4010,0)),"")</f>
        <v/>
      </c>
    </row>
    <row r="70" spans="2:69" ht="13.5" customHeight="1" x14ac:dyDescent="0.25">
      <c r="B70" s="5" t="str">
        <f t="shared" si="0"/>
        <v/>
      </c>
      <c r="C70" s="5"/>
      <c r="D70" s="5"/>
      <c r="E70" s="5"/>
      <c r="F70" s="6"/>
      <c r="G70" s="6"/>
      <c r="H70" s="7"/>
      <c r="I70" s="8"/>
      <c r="K70" s="23" t="str">
        <f>IFERROR(INDEX($AL$11:$AL$4010,MATCH(60,$AX$11:$AX$4010,0)),"")</f>
        <v/>
      </c>
      <c r="L70" s="24" t="str">
        <f t="shared" si="1"/>
        <v/>
      </c>
      <c r="M70" s="25" t="str">
        <f t="shared" si="2"/>
        <v/>
      </c>
      <c r="N70" s="25" t="str">
        <f t="shared" si="3"/>
        <v/>
      </c>
      <c r="P70" s="26" t="str">
        <f>IFERROR(INDEX($AM$11:$AM$4010,MATCH($S$8&amp;"|"&amp;60,$BA$11:$BA$4010,0)),"")</f>
        <v/>
      </c>
      <c r="Q70" s="25" t="str">
        <f>IF(P70="","",IFERROR(INDEX($AN$11:$AN$4010,MATCH($S$8&amp;"|"&amp;60,$BA$11:$BA$4010,0)),""))</f>
        <v/>
      </c>
      <c r="R70" s="25" t="str">
        <f>IF(P70="","",IFERROR(INDEX($AO$11:$AO$4010,MATCH($S$8&amp;"|"&amp;60,$BA$11:$BA$4010,0)),""))</f>
        <v/>
      </c>
      <c r="S70" s="24" t="str">
        <f>IF(P70="","",IFERROR(INDEX($AP$11:$AP$4010,MATCH($S$8&amp;"|"&amp;60,$BA$11:$BA$4010,0)),""))</f>
        <v/>
      </c>
      <c r="T70" s="24" t="str">
        <f>IF(P70="","",IFERROR(INDEX($AQ$11:$AQ$4010,MATCH($S$8&amp;"|"&amp;60,$BA$11:$BA$4010,0)),""))</f>
        <v/>
      </c>
      <c r="U70" s="38" t="str">
        <f t="shared" si="14"/>
        <v/>
      </c>
      <c r="W70" s="28" t="str">
        <f>IF(X70="","",IFERROR(INDEX($AL$11:$AL$4010,MATCH(60,$AY$11:$AY$4010,0)),""))</f>
        <v/>
      </c>
      <c r="X70" s="26" t="str">
        <f>IFERROR(INDEX($AM$11:$AM$4010,MATCH(60,$AY$11:$AY$4010,0)),"")</f>
        <v/>
      </c>
      <c r="Y70" s="25" t="str">
        <f>IF(X70="","",IFERROR(INDEX($AN$11:$AN$4010,MATCH(60,$AY$11:$AY$4010,0)),""))</f>
        <v/>
      </c>
      <c r="Z70" s="25" t="str">
        <f>IF(X70="","",IFERROR(INDEX($AO$11:$AO$4010,MATCH(60,$AY$11:$AY$4010,0)),""))</f>
        <v/>
      </c>
      <c r="AA70" s="24" t="str">
        <f>IF(X70="","",IFERROR(INDEX($AQ$11:$AQ$4010,MATCH(60,$AY$11:$AY$4010,0)),""))</f>
        <v/>
      </c>
      <c r="AB70" s="29" t="str">
        <f>IF(X70="","",IFERROR(INDEX($AR$11:$AR$4010,MATCH(60,$AY$11:$AY$4010,0)),""))</f>
        <v/>
      </c>
      <c r="AD70" s="30" t="str">
        <f>IF(AE70="","",IFERROR(INDEX($AL$11:$AL$4010,MATCH(60,$AZ$11:$AZ$4010,0)),""))</f>
        <v/>
      </c>
      <c r="AE70" s="26" t="str">
        <f>IFERROR(INDEX($AM$11:$AM$4010,MATCH(60,$AZ$11:$AZ$4010,0)),"")</f>
        <v/>
      </c>
      <c r="AF70" s="25" t="str">
        <f>IF(AE70="","",IFERROR(INDEX($AN$11:$AN$4010,MATCH(60,$AZ$11:$AZ$4010,0)),""))</f>
        <v/>
      </c>
      <c r="AG70" s="25" t="str">
        <f>IF(AE70="","",IFERROR(INDEX($AO$11:$AO$4010,MATCH(60,$AZ$11:$AZ$4010,0)),""))</f>
        <v/>
      </c>
      <c r="AH70" s="24" t="str">
        <f>IF(AE70="","",IFERROR(INDEX($AQ$11:$AQ$4010,MATCH(60,$AZ$11:$AZ$4010,0)),""))</f>
        <v/>
      </c>
      <c r="AI70" s="29" t="str">
        <f>IF(AE70="","",IFERROR(INDEX($AR$11:$AR$4010,MATCH(60,$AZ$11:$AZ$4010,0)),""))</f>
        <v/>
      </c>
      <c r="AJ70" s="29" t="str">
        <f>IF(AE70="","",IFERROR(INDEX($AT$11:$AT$4010,MATCH(60,$AZ$11:$AZ$4010,0)),""))</f>
        <v/>
      </c>
      <c r="AL70" s="31" t="str">
        <f t="shared" si="5"/>
        <v/>
      </c>
      <c r="AM70" s="26" t="str">
        <f t="shared" si="6"/>
        <v/>
      </c>
      <c r="AN70" s="32" t="str">
        <f t="shared" si="7"/>
        <v/>
      </c>
      <c r="AO70" s="32" t="str">
        <f t="shared" si="8"/>
        <v/>
      </c>
      <c r="AP70" s="24" t="str">
        <f t="shared" si="9"/>
        <v/>
      </c>
      <c r="AQ70" s="24" t="str">
        <f t="shared" si="10"/>
        <v/>
      </c>
      <c r="AR70" s="33" t="str">
        <f t="shared" si="11"/>
        <v/>
      </c>
      <c r="AS70" s="34"/>
      <c r="AT70" s="33"/>
      <c r="AV70" s="21">
        <f>IF(AND($AL70&lt;&gt;"",COUNTIF($AL$11:$AL70,$AL70)=1),1,0)</f>
        <v>0</v>
      </c>
      <c r="AW70" s="21">
        <f t="shared" si="13"/>
        <v>0</v>
      </c>
      <c r="AX70" s="21" t="str">
        <f t="shared" si="12"/>
        <v/>
      </c>
      <c r="AY70" s="21" t="str">
        <f>IF(AND($AM70&lt;&gt;"",$AS70&lt;&gt;"✓"),SUMPRODUCT(($AM$11:$AM70&lt;&gt;"")*($AS$11:$AS70&lt;&gt;"✓")),"")</f>
        <v/>
      </c>
      <c r="AZ70" s="21" t="str">
        <f>IF(AND($AM70&lt;&gt;"",$AS70="✓"),SUMPRODUCT(($AM$11:$AM70&lt;&gt;"")*($AS$11:$AS70="✓")),"")</f>
        <v/>
      </c>
      <c r="BA70" s="21" t="str">
        <f>IF($AL70="","",$AL70&amp;"|"&amp;COUNTIF($AL$11:$AL70,$AL70))</f>
        <v/>
      </c>
      <c r="BD70" s="36" t="str">
        <f>IF(IFERROR(INDEX($AM$11:$AM$4010,MATCH($S$8&amp;"|"&amp;58,$BA$11:$BA$4010,0)),"")="","",58)</f>
        <v/>
      </c>
      <c r="BE70" s="36" t="str">
        <f>IFERROR(INDEX($AM$11:$AM$4010,MATCH($S$8&amp;"|"&amp;58,$BA$11:$BA$4010,0)),"")</f>
        <v/>
      </c>
      <c r="BF70" s="36" t="str">
        <f>IFERROR(INDEX($AP$11:$AP$4010,MATCH($S$8&amp;"|"&amp;58,$BA$11:$BA$4010,0)),"")</f>
        <v/>
      </c>
      <c r="BG70" s="36" t="str">
        <f>IFERROR(INDEX($AQ$11:$AQ$4010,MATCH($S$8&amp;"|"&amp;58,$BA$11:$BA$4010,0)),"")</f>
        <v/>
      </c>
      <c r="BH70" s="37" t="str">
        <f>IFERROR(INDEX($AN$11:$AN$4010,MATCH($S$8&amp;"|"&amp;58,$BA$11:$BA$4010,0)),"")</f>
        <v/>
      </c>
      <c r="BI70" s="37" t="str">
        <f>IFERROR(INDEX($AO$11:$AO$4010,MATCH($S$8&amp;"|"&amp;58,$BA$11:$BA$4010,0)),"")</f>
        <v/>
      </c>
      <c r="BL70" s="36" t="str">
        <f>IF(IFERROR(INDEX($AM$11:$AM$4010,MATCH($S$8&amp;"|"&amp;58,$BA$11:$BA$4010,0)),"")="","",58)</f>
        <v/>
      </c>
      <c r="BM70" s="36" t="str">
        <f>IFERROR(INDEX($AM$11:$AM$4010,MATCH($S$8&amp;"|"&amp;58,$BA$11:$BA$4010,0)),"")</f>
        <v/>
      </c>
      <c r="BN70" s="36" t="str">
        <f>IFERROR(INDEX($AP$11:$AP$4010,MATCH($S$8&amp;"|"&amp;58,$BA$11:$BA$4010,0)),"")</f>
        <v/>
      </c>
      <c r="BO70" s="36" t="str">
        <f>IFERROR(INDEX($AQ$11:$AQ$4010,MATCH($S$8&amp;"|"&amp;58,$BA$11:$BA$4010,0)),"")</f>
        <v/>
      </c>
      <c r="BP70" s="37" t="str">
        <f>IFERROR(INDEX($AN$11:$AN$4010,MATCH($S$8&amp;"|"&amp;58,$BA$11:$BA$4010,0)),"")</f>
        <v/>
      </c>
      <c r="BQ70" s="37" t="str">
        <f>IFERROR(INDEX($AO$11:$AO$4010,MATCH($S$8&amp;"|"&amp;58,$BA$11:$BA$4010,0)),"")</f>
        <v/>
      </c>
    </row>
    <row r="71" spans="2:69" ht="13.5" customHeight="1" x14ac:dyDescent="0.25">
      <c r="B71" s="5" t="str">
        <f t="shared" si="0"/>
        <v/>
      </c>
      <c r="C71" s="5"/>
      <c r="D71" s="5"/>
      <c r="E71" s="5"/>
      <c r="F71" s="6"/>
      <c r="G71" s="6"/>
      <c r="H71" s="7"/>
      <c r="I71" s="8"/>
      <c r="K71" s="9" t="str">
        <f>IFERROR(INDEX($AL$11:$AL$4010,MATCH(61,$AX$11:$AX$4010,0)),"")</f>
        <v/>
      </c>
      <c r="L71" s="10" t="str">
        <f t="shared" si="1"/>
        <v/>
      </c>
      <c r="M71" s="11" t="str">
        <f t="shared" si="2"/>
        <v/>
      </c>
      <c r="N71" s="11" t="str">
        <f t="shared" si="3"/>
        <v/>
      </c>
      <c r="P71" s="12" t="str">
        <f>IFERROR(INDEX($AM$11:$AM$4010,MATCH($S$8&amp;"|"&amp;61,$BA$11:$BA$4010,0)),"")</f>
        <v/>
      </c>
      <c r="Q71" s="11" t="str">
        <f>IF(P71="","",IFERROR(INDEX($AN$11:$AN$4010,MATCH($S$8&amp;"|"&amp;61,$BA$11:$BA$4010,0)),""))</f>
        <v/>
      </c>
      <c r="R71" s="11" t="str">
        <f>IF(P71="","",IFERROR(INDEX($AO$11:$AO$4010,MATCH($S$8&amp;"|"&amp;61,$BA$11:$BA$4010,0)),""))</f>
        <v/>
      </c>
      <c r="S71" s="10" t="str">
        <f>IF(P71="","",IFERROR(INDEX($AP$11:$AP$4010,MATCH($S$8&amp;"|"&amp;61,$BA$11:$BA$4010,0)),""))</f>
        <v/>
      </c>
      <c r="T71" s="10" t="str">
        <f>IF(P71="","",IFERROR(INDEX($AQ$11:$AQ$4010,MATCH($S$8&amp;"|"&amp;61,$BA$11:$BA$4010,0)),""))</f>
        <v/>
      </c>
      <c r="U71" s="39" t="str">
        <f t="shared" si="14"/>
        <v/>
      </c>
      <c r="W71" s="14" t="str">
        <f>IF(X71="","",IFERROR(INDEX($AL$11:$AL$4010,MATCH(61,$AY$11:$AY$4010,0)),""))</f>
        <v/>
      </c>
      <c r="X71" s="12" t="str">
        <f>IFERROR(INDEX($AM$11:$AM$4010,MATCH(61,$AY$11:$AY$4010,0)),"")</f>
        <v/>
      </c>
      <c r="Y71" s="11" t="str">
        <f>IF(X71="","",IFERROR(INDEX($AN$11:$AN$4010,MATCH(61,$AY$11:$AY$4010,0)),""))</f>
        <v/>
      </c>
      <c r="Z71" s="11" t="str">
        <f>IF(X71="","",IFERROR(INDEX($AO$11:$AO$4010,MATCH(61,$AY$11:$AY$4010,0)),""))</f>
        <v/>
      </c>
      <c r="AA71" s="10" t="str">
        <f>IF(X71="","",IFERROR(INDEX($AQ$11:$AQ$4010,MATCH(61,$AY$11:$AY$4010,0)),""))</f>
        <v/>
      </c>
      <c r="AB71" s="15" t="str">
        <f>IF(X71="","",IFERROR(INDEX($AR$11:$AR$4010,MATCH(61,$AY$11:$AY$4010,0)),""))</f>
        <v/>
      </c>
      <c r="AD71" s="16" t="str">
        <f>IF(AE71="","",IFERROR(INDEX($AL$11:$AL$4010,MATCH(61,$AZ$11:$AZ$4010,0)),""))</f>
        <v/>
      </c>
      <c r="AE71" s="12" t="str">
        <f>IFERROR(INDEX($AM$11:$AM$4010,MATCH(61,$AZ$11:$AZ$4010,0)),"")</f>
        <v/>
      </c>
      <c r="AF71" s="11" t="str">
        <f>IF(AE71="","",IFERROR(INDEX($AN$11:$AN$4010,MATCH(61,$AZ$11:$AZ$4010,0)),""))</f>
        <v/>
      </c>
      <c r="AG71" s="11" t="str">
        <f>IF(AE71="","",IFERROR(INDEX($AO$11:$AO$4010,MATCH(61,$AZ$11:$AZ$4010,0)),""))</f>
        <v/>
      </c>
      <c r="AH71" s="10" t="str">
        <f>IF(AE71="","",IFERROR(INDEX($AQ$11:$AQ$4010,MATCH(61,$AZ$11:$AZ$4010,0)),""))</f>
        <v/>
      </c>
      <c r="AI71" s="15" t="str">
        <f>IF(AE71="","",IFERROR(INDEX($AR$11:$AR$4010,MATCH(61,$AZ$11:$AZ$4010,0)),""))</f>
        <v/>
      </c>
      <c r="AJ71" s="15" t="str">
        <f>IF(AE71="","",IFERROR(INDEX($AT$11:$AT$4010,MATCH(61,$AZ$11:$AZ$4010,0)),""))</f>
        <v/>
      </c>
      <c r="AL71" s="17" t="str">
        <f t="shared" si="5"/>
        <v/>
      </c>
      <c r="AM71" s="12" t="str">
        <f t="shared" si="6"/>
        <v/>
      </c>
      <c r="AN71" s="18" t="str">
        <f t="shared" si="7"/>
        <v/>
      </c>
      <c r="AO71" s="18" t="str">
        <f t="shared" si="8"/>
        <v/>
      </c>
      <c r="AP71" s="10" t="str">
        <f t="shared" si="9"/>
        <v/>
      </c>
      <c r="AQ71" s="10" t="str">
        <f t="shared" si="10"/>
        <v/>
      </c>
      <c r="AR71" s="19" t="str">
        <f t="shared" si="11"/>
        <v/>
      </c>
      <c r="AS71" s="20"/>
      <c r="AT71" s="19"/>
      <c r="AV71" s="21">
        <f>IF(AND($AL71&lt;&gt;"",COUNTIF($AL$11:$AL71,$AL71)=1),1,0)</f>
        <v>0</v>
      </c>
      <c r="AW71" s="21">
        <f t="shared" si="13"/>
        <v>0</v>
      </c>
      <c r="AX71" s="21" t="str">
        <f t="shared" si="12"/>
        <v/>
      </c>
      <c r="AY71" s="21" t="str">
        <f>IF(AND($AM71&lt;&gt;"",$AS71&lt;&gt;"✓"),SUMPRODUCT(($AM$11:$AM71&lt;&gt;"")*($AS$11:$AS71&lt;&gt;"✓")),"")</f>
        <v/>
      </c>
      <c r="AZ71" s="21" t="str">
        <f>IF(AND($AM71&lt;&gt;"",$AS71="✓"),SUMPRODUCT(($AM$11:$AM71&lt;&gt;"")*($AS$11:$AS71="✓")),"")</f>
        <v/>
      </c>
      <c r="BA71" s="21" t="str">
        <f>IF($AL71="","",$AL71&amp;"|"&amp;COUNTIF($AL$11:$AL71,$AL71))</f>
        <v/>
      </c>
      <c r="BD71" s="36" t="str">
        <f>IF(IFERROR(INDEX($AM$11:$AM$4010,MATCH($S$8&amp;"|"&amp;59,$BA$11:$BA$4010,0)),"")="","",59)</f>
        <v/>
      </c>
      <c r="BE71" s="36" t="str">
        <f>IFERROR(INDEX($AM$11:$AM$4010,MATCH($S$8&amp;"|"&amp;59,$BA$11:$BA$4010,0)),"")</f>
        <v/>
      </c>
      <c r="BF71" s="36" t="str">
        <f>IFERROR(INDEX($AP$11:$AP$4010,MATCH($S$8&amp;"|"&amp;59,$BA$11:$BA$4010,0)),"")</f>
        <v/>
      </c>
      <c r="BG71" s="36" t="str">
        <f>IFERROR(INDEX($AQ$11:$AQ$4010,MATCH($S$8&amp;"|"&amp;59,$BA$11:$BA$4010,0)),"")</f>
        <v/>
      </c>
      <c r="BH71" s="37" t="str">
        <f>IFERROR(INDEX($AN$11:$AN$4010,MATCH($S$8&amp;"|"&amp;59,$BA$11:$BA$4010,0)),"")</f>
        <v/>
      </c>
      <c r="BI71" s="37" t="str">
        <f>IFERROR(INDEX($AO$11:$AO$4010,MATCH($S$8&amp;"|"&amp;59,$BA$11:$BA$4010,0)),"")</f>
        <v/>
      </c>
      <c r="BL71" s="36" t="str">
        <f>IF(IFERROR(INDEX($AM$11:$AM$4010,MATCH($S$8&amp;"|"&amp;59,$BA$11:$BA$4010,0)),"")="","",59)</f>
        <v/>
      </c>
      <c r="BM71" s="36" t="str">
        <f>IFERROR(INDEX($AM$11:$AM$4010,MATCH($S$8&amp;"|"&amp;59,$BA$11:$BA$4010,0)),"")</f>
        <v/>
      </c>
      <c r="BN71" s="36" t="str">
        <f>IFERROR(INDEX($AP$11:$AP$4010,MATCH($S$8&amp;"|"&amp;59,$BA$11:$BA$4010,0)),"")</f>
        <v/>
      </c>
      <c r="BO71" s="36" t="str">
        <f>IFERROR(INDEX($AQ$11:$AQ$4010,MATCH($S$8&amp;"|"&amp;59,$BA$11:$BA$4010,0)),"")</f>
        <v/>
      </c>
      <c r="BP71" s="37" t="str">
        <f>IFERROR(INDEX($AN$11:$AN$4010,MATCH($S$8&amp;"|"&amp;59,$BA$11:$BA$4010,0)),"")</f>
        <v/>
      </c>
      <c r="BQ71" s="37" t="str">
        <f>IFERROR(INDEX($AO$11:$AO$4010,MATCH($S$8&amp;"|"&amp;59,$BA$11:$BA$4010,0)),"")</f>
        <v/>
      </c>
    </row>
    <row r="72" spans="2:69" ht="13.5" customHeight="1" x14ac:dyDescent="0.25">
      <c r="B72" s="5" t="str">
        <f t="shared" si="0"/>
        <v/>
      </c>
      <c r="C72" s="5"/>
      <c r="D72" s="5"/>
      <c r="E72" s="5"/>
      <c r="F72" s="6"/>
      <c r="G72" s="6"/>
      <c r="H72" s="7"/>
      <c r="I72" s="8"/>
      <c r="K72" s="23" t="str">
        <f>IFERROR(INDEX($AL$11:$AL$4010,MATCH(62,$AX$11:$AX$4010,0)),"")</f>
        <v/>
      </c>
      <c r="L72" s="24" t="str">
        <f t="shared" si="1"/>
        <v/>
      </c>
      <c r="M72" s="25" t="str">
        <f t="shared" si="2"/>
        <v/>
      </c>
      <c r="N72" s="25" t="str">
        <f t="shared" si="3"/>
        <v/>
      </c>
      <c r="P72" s="26" t="str">
        <f>IFERROR(INDEX($AM$11:$AM$4010,MATCH($S$8&amp;"|"&amp;62,$BA$11:$BA$4010,0)),"")</f>
        <v/>
      </c>
      <c r="Q72" s="25" t="str">
        <f>IF(P72="","",IFERROR(INDEX($AN$11:$AN$4010,MATCH($S$8&amp;"|"&amp;62,$BA$11:$BA$4010,0)),""))</f>
        <v/>
      </c>
      <c r="R72" s="25" t="str">
        <f>IF(P72="","",IFERROR(INDEX($AO$11:$AO$4010,MATCH($S$8&amp;"|"&amp;62,$BA$11:$BA$4010,0)),""))</f>
        <v/>
      </c>
      <c r="S72" s="24" t="str">
        <f>IF(P72="","",IFERROR(INDEX($AP$11:$AP$4010,MATCH($S$8&amp;"|"&amp;62,$BA$11:$BA$4010,0)),""))</f>
        <v/>
      </c>
      <c r="T72" s="24" t="str">
        <f>IF(P72="","",IFERROR(INDEX($AQ$11:$AQ$4010,MATCH($S$8&amp;"|"&amp;62,$BA$11:$BA$4010,0)),""))</f>
        <v/>
      </c>
      <c r="U72" s="38" t="str">
        <f t="shared" si="14"/>
        <v/>
      </c>
      <c r="W72" s="28" t="str">
        <f>IF(X72="","",IFERROR(INDEX($AL$11:$AL$4010,MATCH(62,$AY$11:$AY$4010,0)),""))</f>
        <v/>
      </c>
      <c r="X72" s="26" t="str">
        <f>IFERROR(INDEX($AM$11:$AM$4010,MATCH(62,$AY$11:$AY$4010,0)),"")</f>
        <v/>
      </c>
      <c r="Y72" s="25" t="str">
        <f>IF(X72="","",IFERROR(INDEX($AN$11:$AN$4010,MATCH(62,$AY$11:$AY$4010,0)),""))</f>
        <v/>
      </c>
      <c r="Z72" s="25" t="str">
        <f>IF(X72="","",IFERROR(INDEX($AO$11:$AO$4010,MATCH(62,$AY$11:$AY$4010,0)),""))</f>
        <v/>
      </c>
      <c r="AA72" s="24" t="str">
        <f>IF(X72="","",IFERROR(INDEX($AQ$11:$AQ$4010,MATCH(62,$AY$11:$AY$4010,0)),""))</f>
        <v/>
      </c>
      <c r="AB72" s="29" t="str">
        <f>IF(X72="","",IFERROR(INDEX($AR$11:$AR$4010,MATCH(62,$AY$11:$AY$4010,0)),""))</f>
        <v/>
      </c>
      <c r="AD72" s="30" t="str">
        <f>IF(AE72="","",IFERROR(INDEX($AL$11:$AL$4010,MATCH(62,$AZ$11:$AZ$4010,0)),""))</f>
        <v/>
      </c>
      <c r="AE72" s="26" t="str">
        <f>IFERROR(INDEX($AM$11:$AM$4010,MATCH(62,$AZ$11:$AZ$4010,0)),"")</f>
        <v/>
      </c>
      <c r="AF72" s="25" t="str">
        <f>IF(AE72="","",IFERROR(INDEX($AN$11:$AN$4010,MATCH(62,$AZ$11:$AZ$4010,0)),""))</f>
        <v/>
      </c>
      <c r="AG72" s="25" t="str">
        <f>IF(AE72="","",IFERROR(INDEX($AO$11:$AO$4010,MATCH(62,$AZ$11:$AZ$4010,0)),""))</f>
        <v/>
      </c>
      <c r="AH72" s="24" t="str">
        <f>IF(AE72="","",IFERROR(INDEX($AQ$11:$AQ$4010,MATCH(62,$AZ$11:$AZ$4010,0)),""))</f>
        <v/>
      </c>
      <c r="AI72" s="29" t="str">
        <f>IF(AE72="","",IFERROR(INDEX($AR$11:$AR$4010,MATCH(62,$AZ$11:$AZ$4010,0)),""))</f>
        <v/>
      </c>
      <c r="AJ72" s="29" t="str">
        <f>IF(AE72="","",IFERROR(INDEX($AT$11:$AT$4010,MATCH(62,$AZ$11:$AZ$4010,0)),""))</f>
        <v/>
      </c>
      <c r="AL72" s="31" t="str">
        <f t="shared" si="5"/>
        <v/>
      </c>
      <c r="AM72" s="26" t="str">
        <f t="shared" si="6"/>
        <v/>
      </c>
      <c r="AN72" s="32" t="str">
        <f t="shared" si="7"/>
        <v/>
      </c>
      <c r="AO72" s="32" t="str">
        <f t="shared" si="8"/>
        <v/>
      </c>
      <c r="AP72" s="24" t="str">
        <f t="shared" si="9"/>
        <v/>
      </c>
      <c r="AQ72" s="24" t="str">
        <f t="shared" si="10"/>
        <v/>
      </c>
      <c r="AR72" s="33" t="str">
        <f t="shared" si="11"/>
        <v/>
      </c>
      <c r="AS72" s="34"/>
      <c r="AT72" s="33"/>
      <c r="AV72" s="21">
        <f>IF(AND($AL72&lt;&gt;"",COUNTIF($AL$11:$AL72,$AL72)=1),1,0)</f>
        <v>0</v>
      </c>
      <c r="AW72" s="21">
        <f t="shared" si="13"/>
        <v>0</v>
      </c>
      <c r="AX72" s="21" t="str">
        <f t="shared" si="12"/>
        <v/>
      </c>
      <c r="AY72" s="21" t="str">
        <f>IF(AND($AM72&lt;&gt;"",$AS72&lt;&gt;"✓"),SUMPRODUCT(($AM$11:$AM72&lt;&gt;"")*($AS$11:$AS72&lt;&gt;"✓")),"")</f>
        <v/>
      </c>
      <c r="AZ72" s="21" t="str">
        <f>IF(AND($AM72&lt;&gt;"",$AS72="✓"),SUMPRODUCT(($AM$11:$AM72&lt;&gt;"")*($AS$11:$AS72="✓")),"")</f>
        <v/>
      </c>
      <c r="BA72" s="21" t="str">
        <f>IF($AL72="","",$AL72&amp;"|"&amp;COUNTIF($AL$11:$AL72,$AL72))</f>
        <v/>
      </c>
      <c r="BD72" s="36" t="str">
        <f>IF(IFERROR(INDEX($AM$11:$AM$4010,MATCH($S$8&amp;"|"&amp;60,$BA$11:$BA$4010,0)),"")="","",60)</f>
        <v/>
      </c>
      <c r="BE72" s="36" t="str">
        <f>IFERROR(INDEX($AM$11:$AM$4010,MATCH($S$8&amp;"|"&amp;60,$BA$11:$BA$4010,0)),"")</f>
        <v/>
      </c>
      <c r="BF72" s="36" t="str">
        <f>IFERROR(INDEX($AP$11:$AP$4010,MATCH($S$8&amp;"|"&amp;60,$BA$11:$BA$4010,0)),"")</f>
        <v/>
      </c>
      <c r="BG72" s="36" t="str">
        <f>IFERROR(INDEX($AQ$11:$AQ$4010,MATCH($S$8&amp;"|"&amp;60,$BA$11:$BA$4010,0)),"")</f>
        <v/>
      </c>
      <c r="BH72" s="37" t="str">
        <f>IFERROR(INDEX($AN$11:$AN$4010,MATCH($S$8&amp;"|"&amp;60,$BA$11:$BA$4010,0)),"")</f>
        <v/>
      </c>
      <c r="BI72" s="37" t="str">
        <f>IFERROR(INDEX($AO$11:$AO$4010,MATCH($S$8&amp;"|"&amp;60,$BA$11:$BA$4010,0)),"")</f>
        <v/>
      </c>
      <c r="BL72" s="36" t="str">
        <f>IF(IFERROR(INDEX($AM$11:$AM$4010,MATCH($S$8&amp;"|"&amp;60,$BA$11:$BA$4010,0)),"")="","",60)</f>
        <v/>
      </c>
      <c r="BM72" s="36" t="str">
        <f>IFERROR(INDEX($AM$11:$AM$4010,MATCH($S$8&amp;"|"&amp;60,$BA$11:$BA$4010,0)),"")</f>
        <v/>
      </c>
      <c r="BN72" s="36" t="str">
        <f>IFERROR(INDEX($AP$11:$AP$4010,MATCH($S$8&amp;"|"&amp;60,$BA$11:$BA$4010,0)),"")</f>
        <v/>
      </c>
      <c r="BO72" s="36" t="str">
        <f>IFERROR(INDEX($AQ$11:$AQ$4010,MATCH($S$8&amp;"|"&amp;60,$BA$11:$BA$4010,0)),"")</f>
        <v/>
      </c>
      <c r="BP72" s="37" t="str">
        <f>IFERROR(INDEX($AN$11:$AN$4010,MATCH($S$8&amp;"|"&amp;60,$BA$11:$BA$4010,0)),"")</f>
        <v/>
      </c>
      <c r="BQ72" s="37" t="str">
        <f>IFERROR(INDEX($AO$11:$AO$4010,MATCH($S$8&amp;"|"&amp;60,$BA$11:$BA$4010,0)),"")</f>
        <v/>
      </c>
    </row>
    <row r="73" spans="2:69" ht="15" customHeight="1" x14ac:dyDescent="0.25">
      <c r="B73" s="5" t="str">
        <f t="shared" si="0"/>
        <v/>
      </c>
      <c r="C73" s="5"/>
      <c r="D73" s="5"/>
      <c r="E73" s="5"/>
      <c r="F73" s="6"/>
      <c r="G73" s="6"/>
      <c r="H73" s="7"/>
      <c r="I73" s="8"/>
      <c r="K73" s="9" t="str">
        <f>IFERROR(INDEX($AL$11:$AL$4010,MATCH(63,$AX$11:$AX$4010,0)),"")</f>
        <v/>
      </c>
      <c r="L73" s="10" t="str">
        <f t="shared" si="1"/>
        <v/>
      </c>
      <c r="M73" s="11" t="str">
        <f t="shared" si="2"/>
        <v/>
      </c>
      <c r="N73" s="11" t="str">
        <f t="shared" si="3"/>
        <v/>
      </c>
      <c r="P73" s="12" t="str">
        <f>IFERROR(INDEX($AM$11:$AM$4010,MATCH($S$8&amp;"|"&amp;63,$BA$11:$BA$4010,0)),"")</f>
        <v/>
      </c>
      <c r="Q73" s="11" t="str">
        <f>IF(P73="","",IFERROR(INDEX($AN$11:$AN$4010,MATCH($S$8&amp;"|"&amp;63,$BA$11:$BA$4010,0)),""))</f>
        <v/>
      </c>
      <c r="R73" s="11" t="str">
        <f>IF(P73="","",IFERROR(INDEX($AO$11:$AO$4010,MATCH($S$8&amp;"|"&amp;63,$BA$11:$BA$4010,0)),""))</f>
        <v/>
      </c>
      <c r="S73" s="10" t="str">
        <f>IF(P73="","",IFERROR(INDEX($AP$11:$AP$4010,MATCH($S$8&amp;"|"&amp;63,$BA$11:$BA$4010,0)),""))</f>
        <v/>
      </c>
      <c r="T73" s="10" t="str">
        <f>IF(P73="","",IFERROR(INDEX($AQ$11:$AQ$4010,MATCH($S$8&amp;"|"&amp;63,$BA$11:$BA$4010,0)),""))</f>
        <v/>
      </c>
      <c r="U73" s="39" t="str">
        <f t="shared" si="14"/>
        <v/>
      </c>
      <c r="W73" s="14" t="str">
        <f>IF(X73="","",IFERROR(INDEX($AL$11:$AL$4010,MATCH(63,$AY$11:$AY$4010,0)),""))</f>
        <v/>
      </c>
      <c r="X73" s="12" t="str">
        <f>IFERROR(INDEX($AM$11:$AM$4010,MATCH(63,$AY$11:$AY$4010,0)),"")</f>
        <v/>
      </c>
      <c r="Y73" s="11" t="str">
        <f>IF(X73="","",IFERROR(INDEX($AN$11:$AN$4010,MATCH(63,$AY$11:$AY$4010,0)),""))</f>
        <v/>
      </c>
      <c r="Z73" s="11" t="str">
        <f>IF(X73="","",IFERROR(INDEX($AO$11:$AO$4010,MATCH(63,$AY$11:$AY$4010,0)),""))</f>
        <v/>
      </c>
      <c r="AA73" s="10" t="str">
        <f>IF(X73="","",IFERROR(INDEX($AQ$11:$AQ$4010,MATCH(63,$AY$11:$AY$4010,0)),""))</f>
        <v/>
      </c>
      <c r="AB73" s="15" t="str">
        <f>IF(X73="","",IFERROR(INDEX($AR$11:$AR$4010,MATCH(63,$AY$11:$AY$4010,0)),""))</f>
        <v/>
      </c>
      <c r="AD73" s="16" t="str">
        <f>IF(AE73="","",IFERROR(INDEX($AL$11:$AL$4010,MATCH(63,$AZ$11:$AZ$4010,0)),""))</f>
        <v/>
      </c>
      <c r="AE73" s="12" t="str">
        <f>IFERROR(INDEX($AM$11:$AM$4010,MATCH(63,$AZ$11:$AZ$4010,0)),"")</f>
        <v/>
      </c>
      <c r="AF73" s="11" t="str">
        <f>IF(AE73="","",IFERROR(INDEX($AN$11:$AN$4010,MATCH(63,$AZ$11:$AZ$4010,0)),""))</f>
        <v/>
      </c>
      <c r="AG73" s="11" t="str">
        <f>IF(AE73="","",IFERROR(INDEX($AO$11:$AO$4010,MATCH(63,$AZ$11:$AZ$4010,0)),""))</f>
        <v/>
      </c>
      <c r="AH73" s="10" t="str">
        <f>IF(AE73="","",IFERROR(INDEX($AQ$11:$AQ$4010,MATCH(63,$AZ$11:$AZ$4010,0)),""))</f>
        <v/>
      </c>
      <c r="AI73" s="15" t="str">
        <f>IF(AE73="","",IFERROR(INDEX($AR$11:$AR$4010,MATCH(63,$AZ$11:$AZ$4010,0)),""))</f>
        <v/>
      </c>
      <c r="AJ73" s="15" t="str">
        <f>IF(AE73="","",IFERROR(INDEX($AT$11:$AT$4010,MATCH(63,$AZ$11:$AZ$4010,0)),""))</f>
        <v/>
      </c>
      <c r="AL73" s="17" t="str">
        <f t="shared" si="5"/>
        <v/>
      </c>
      <c r="AM73" s="12" t="str">
        <f t="shared" si="6"/>
        <v/>
      </c>
      <c r="AN73" s="18" t="str">
        <f t="shared" si="7"/>
        <v/>
      </c>
      <c r="AO73" s="18" t="str">
        <f t="shared" si="8"/>
        <v/>
      </c>
      <c r="AP73" s="10" t="str">
        <f t="shared" si="9"/>
        <v/>
      </c>
      <c r="AQ73" s="10" t="str">
        <f t="shared" si="10"/>
        <v/>
      </c>
      <c r="AR73" s="19" t="str">
        <f t="shared" si="11"/>
        <v/>
      </c>
      <c r="AS73" s="20"/>
      <c r="AT73" s="19"/>
      <c r="AV73" s="21">
        <f>IF(AND($AL73&lt;&gt;"",COUNTIF($AL$11:$AL73,$AL73)=1),1,0)</f>
        <v>0</v>
      </c>
      <c r="AW73" s="21">
        <f t="shared" si="13"/>
        <v>0</v>
      </c>
      <c r="AX73" s="21" t="str">
        <f t="shared" si="12"/>
        <v/>
      </c>
      <c r="AY73" s="21" t="str">
        <f>IF(AND($AM73&lt;&gt;"",$AS73&lt;&gt;"✓"),SUMPRODUCT(($AM$11:$AM73&lt;&gt;"")*($AS$11:$AS73&lt;&gt;"✓")),"")</f>
        <v/>
      </c>
      <c r="AZ73" s="21" t="str">
        <f>IF(AND($AM73&lt;&gt;"",$AS73="✓"),SUMPRODUCT(($AM$11:$AM73&lt;&gt;"")*($AS$11:$AS73="✓")),"")</f>
        <v/>
      </c>
      <c r="BA73" s="21" t="str">
        <f>IF($AL73="","",$AL73&amp;"|"&amp;COUNTIF($AL$11:$AL73,$AL73))</f>
        <v/>
      </c>
    </row>
    <row r="74" spans="2:69" ht="15" customHeight="1" x14ac:dyDescent="0.25">
      <c r="B74" s="5" t="str">
        <f t="shared" si="0"/>
        <v/>
      </c>
      <c r="C74" s="5"/>
      <c r="D74" s="5"/>
      <c r="E74" s="5"/>
      <c r="F74" s="6"/>
      <c r="G74" s="6"/>
      <c r="H74" s="7"/>
      <c r="I74" s="8"/>
      <c r="K74" s="23" t="str">
        <f>IFERROR(INDEX($AL$11:$AL$4010,MATCH(64,$AX$11:$AX$4010,0)),"")</f>
        <v/>
      </c>
      <c r="L74" s="24" t="str">
        <f t="shared" si="1"/>
        <v/>
      </c>
      <c r="M74" s="25" t="str">
        <f t="shared" si="2"/>
        <v/>
      </c>
      <c r="N74" s="25" t="str">
        <f t="shared" si="3"/>
        <v/>
      </c>
      <c r="P74" s="26" t="str">
        <f>IFERROR(INDEX($AM$11:$AM$4010,MATCH($S$8&amp;"|"&amp;64,$BA$11:$BA$4010,0)),"")</f>
        <v/>
      </c>
      <c r="Q74" s="25" t="str">
        <f>IF(P74="","",IFERROR(INDEX($AN$11:$AN$4010,MATCH($S$8&amp;"|"&amp;64,$BA$11:$BA$4010,0)),""))</f>
        <v/>
      </c>
      <c r="R74" s="25" t="str">
        <f>IF(P74="","",IFERROR(INDEX($AO$11:$AO$4010,MATCH($S$8&amp;"|"&amp;64,$BA$11:$BA$4010,0)),""))</f>
        <v/>
      </c>
      <c r="S74" s="24" t="str">
        <f>IF(P74="","",IFERROR(INDEX($AP$11:$AP$4010,MATCH($S$8&amp;"|"&amp;64,$BA$11:$BA$4010,0)),""))</f>
        <v/>
      </c>
      <c r="T74" s="24" t="str">
        <f>IF(P74="","",IFERROR(INDEX($AQ$11:$AQ$4010,MATCH($S$8&amp;"|"&amp;64,$BA$11:$BA$4010,0)),""))</f>
        <v/>
      </c>
      <c r="U74" s="38" t="str">
        <f t="shared" si="14"/>
        <v/>
      </c>
      <c r="W74" s="28" t="str">
        <f>IF(X74="","",IFERROR(INDEX($AL$11:$AL$4010,MATCH(64,$AY$11:$AY$4010,0)),""))</f>
        <v/>
      </c>
      <c r="X74" s="26" t="str">
        <f>IFERROR(INDEX($AM$11:$AM$4010,MATCH(64,$AY$11:$AY$4010,0)),"")</f>
        <v/>
      </c>
      <c r="Y74" s="25" t="str">
        <f>IF(X74="","",IFERROR(INDEX($AN$11:$AN$4010,MATCH(64,$AY$11:$AY$4010,0)),""))</f>
        <v/>
      </c>
      <c r="Z74" s="25" t="str">
        <f>IF(X74="","",IFERROR(INDEX($AO$11:$AO$4010,MATCH(64,$AY$11:$AY$4010,0)),""))</f>
        <v/>
      </c>
      <c r="AA74" s="24" t="str">
        <f>IF(X74="","",IFERROR(INDEX($AQ$11:$AQ$4010,MATCH(64,$AY$11:$AY$4010,0)),""))</f>
        <v/>
      </c>
      <c r="AB74" s="29" t="str">
        <f>IF(X74="","",IFERROR(INDEX($AR$11:$AR$4010,MATCH(64,$AY$11:$AY$4010,0)),""))</f>
        <v/>
      </c>
      <c r="AD74" s="30" t="str">
        <f>IF(AE74="","",IFERROR(INDEX($AL$11:$AL$4010,MATCH(64,$AZ$11:$AZ$4010,0)),""))</f>
        <v/>
      </c>
      <c r="AE74" s="26" t="str">
        <f>IFERROR(INDEX($AM$11:$AM$4010,MATCH(64,$AZ$11:$AZ$4010,0)),"")</f>
        <v/>
      </c>
      <c r="AF74" s="25" t="str">
        <f>IF(AE74="","",IFERROR(INDEX($AN$11:$AN$4010,MATCH(64,$AZ$11:$AZ$4010,0)),""))</f>
        <v/>
      </c>
      <c r="AG74" s="25" t="str">
        <f>IF(AE74="","",IFERROR(INDEX($AO$11:$AO$4010,MATCH(64,$AZ$11:$AZ$4010,0)),""))</f>
        <v/>
      </c>
      <c r="AH74" s="24" t="str">
        <f>IF(AE74="","",IFERROR(INDEX($AQ$11:$AQ$4010,MATCH(64,$AZ$11:$AZ$4010,0)),""))</f>
        <v/>
      </c>
      <c r="AI74" s="29" t="str">
        <f>IF(AE74="","",IFERROR(INDEX($AR$11:$AR$4010,MATCH(64,$AZ$11:$AZ$4010,0)),""))</f>
        <v/>
      </c>
      <c r="AJ74" s="29" t="str">
        <f>IF(AE74="","",IFERROR(INDEX($AT$11:$AT$4010,MATCH(64,$AZ$11:$AZ$4010,0)),""))</f>
        <v/>
      </c>
      <c r="AL74" s="31" t="str">
        <f t="shared" si="5"/>
        <v/>
      </c>
      <c r="AM74" s="26" t="str">
        <f t="shared" si="6"/>
        <v/>
      </c>
      <c r="AN74" s="32" t="str">
        <f t="shared" si="7"/>
        <v/>
      </c>
      <c r="AO74" s="32" t="str">
        <f t="shared" si="8"/>
        <v/>
      </c>
      <c r="AP74" s="24" t="str">
        <f t="shared" si="9"/>
        <v/>
      </c>
      <c r="AQ74" s="24" t="str">
        <f t="shared" si="10"/>
        <v/>
      </c>
      <c r="AR74" s="33" t="str">
        <f t="shared" si="11"/>
        <v/>
      </c>
      <c r="AS74" s="34"/>
      <c r="AT74" s="33"/>
      <c r="AV74" s="21">
        <f>IF(AND($AL74&lt;&gt;"",COUNTIF($AL$11:$AL74,$AL74)=1),1,0)</f>
        <v>0</v>
      </c>
      <c r="AW74" s="21">
        <f t="shared" si="13"/>
        <v>0</v>
      </c>
      <c r="AX74" s="21" t="str">
        <f t="shared" si="12"/>
        <v/>
      </c>
      <c r="AY74" s="21" t="str">
        <f>IF(AND($AM74&lt;&gt;"",$AS74&lt;&gt;"✓"),SUMPRODUCT(($AM$11:$AM74&lt;&gt;"")*($AS$11:$AS74&lt;&gt;"✓")),"")</f>
        <v/>
      </c>
      <c r="AZ74" s="21" t="str">
        <f>IF(AND($AM74&lt;&gt;"",$AS74="✓"),SUMPRODUCT(($AM$11:$AM74&lt;&gt;"")*($AS$11:$AS74="✓")),"")</f>
        <v/>
      </c>
      <c r="BA74" s="21" t="str">
        <f>IF($AL74="","",$AL74&amp;"|"&amp;COUNTIF($AL$11:$AL74,$AL74))</f>
        <v/>
      </c>
    </row>
    <row r="75" spans="2:69" ht="15" customHeight="1" x14ac:dyDescent="0.25">
      <c r="B75" s="5" t="str">
        <f t="shared" ref="B75:B138" si="15">IF($C75="","",ROW()-10)</f>
        <v/>
      </c>
      <c r="C75" s="5"/>
      <c r="D75" s="5"/>
      <c r="E75" s="5"/>
      <c r="F75" s="6"/>
      <c r="G75" s="6"/>
      <c r="H75" s="7"/>
      <c r="I75" s="8"/>
      <c r="K75" s="9" t="str">
        <f>IFERROR(INDEX($AL$11:$AL$4010,MATCH(65,$AX$11:$AX$4010,0)),"")</f>
        <v/>
      </c>
      <c r="L75" s="10" t="str">
        <f t="shared" ref="L75:L138" si="16">IF(K75="","",COUNTIF($AL$11:$AL$4010,K75))</f>
        <v/>
      </c>
      <c r="M75" s="11" t="str">
        <f t="shared" ref="M75:M138" si="17">IF(K75="","",SUMIF($AL$11:$AL$4010,K75,$AN$11:$AN$4010))</f>
        <v/>
      </c>
      <c r="N75" s="11" t="str">
        <f t="shared" ref="N75:N138" si="18">IF(K75="","",SUMIF($AL$11:$AL$4010,K75,$AO$11:$AO$4010))</f>
        <v/>
      </c>
      <c r="P75" s="12" t="str">
        <f>IFERROR(INDEX($AM$11:$AM$4010,MATCH($S$8&amp;"|"&amp;65,$BA$11:$BA$4010,0)),"")</f>
        <v/>
      </c>
      <c r="Q75" s="11" t="str">
        <f>IF(P75="","",IFERROR(INDEX($AN$11:$AN$4010,MATCH($S$8&amp;"|"&amp;65,$BA$11:$BA$4010,0)),""))</f>
        <v/>
      </c>
      <c r="R75" s="11" t="str">
        <f>IF(P75="","",IFERROR(INDEX($AO$11:$AO$4010,MATCH($S$8&amp;"|"&amp;65,$BA$11:$BA$4010,0)),""))</f>
        <v/>
      </c>
      <c r="S75" s="10" t="str">
        <f>IF(P75="","",IFERROR(INDEX($AP$11:$AP$4010,MATCH($S$8&amp;"|"&amp;65,$BA$11:$BA$4010,0)),""))</f>
        <v/>
      </c>
      <c r="T75" s="10" t="str">
        <f>IF(P75="","",IFERROR(INDEX($AQ$11:$AQ$4010,MATCH($S$8&amp;"|"&amp;65,$BA$11:$BA$4010,0)),""))</f>
        <v/>
      </c>
      <c r="U75" s="39" t="str">
        <f t="shared" ref="U75:U106" si="19">IF(P75="","",$S$8)</f>
        <v/>
      </c>
      <c r="W75" s="14" t="str">
        <f>IF(X75="","",IFERROR(INDEX($AL$11:$AL$4010,MATCH(65,$AY$11:$AY$4010,0)),""))</f>
        <v/>
      </c>
      <c r="X75" s="12" t="str">
        <f>IFERROR(INDEX($AM$11:$AM$4010,MATCH(65,$AY$11:$AY$4010,0)),"")</f>
        <v/>
      </c>
      <c r="Y75" s="11" t="str">
        <f>IF(X75="","",IFERROR(INDEX($AN$11:$AN$4010,MATCH(65,$AY$11:$AY$4010,0)),""))</f>
        <v/>
      </c>
      <c r="Z75" s="11" t="str">
        <f>IF(X75="","",IFERROR(INDEX($AO$11:$AO$4010,MATCH(65,$AY$11:$AY$4010,0)),""))</f>
        <v/>
      </c>
      <c r="AA75" s="10" t="str">
        <f>IF(X75="","",IFERROR(INDEX($AQ$11:$AQ$4010,MATCH(65,$AY$11:$AY$4010,0)),""))</f>
        <v/>
      </c>
      <c r="AB75" s="15" t="str">
        <f>IF(X75="","",IFERROR(INDEX($AR$11:$AR$4010,MATCH(65,$AY$11:$AY$4010,0)),""))</f>
        <v/>
      </c>
      <c r="AD75" s="16" t="str">
        <f>IF(AE75="","",IFERROR(INDEX($AL$11:$AL$4010,MATCH(65,$AZ$11:$AZ$4010,0)),""))</f>
        <v/>
      </c>
      <c r="AE75" s="12" t="str">
        <f>IFERROR(INDEX($AM$11:$AM$4010,MATCH(65,$AZ$11:$AZ$4010,0)),"")</f>
        <v/>
      </c>
      <c r="AF75" s="11" t="str">
        <f>IF(AE75="","",IFERROR(INDEX($AN$11:$AN$4010,MATCH(65,$AZ$11:$AZ$4010,0)),""))</f>
        <v/>
      </c>
      <c r="AG75" s="11" t="str">
        <f>IF(AE75="","",IFERROR(INDEX($AO$11:$AO$4010,MATCH(65,$AZ$11:$AZ$4010,0)),""))</f>
        <v/>
      </c>
      <c r="AH75" s="10" t="str">
        <f>IF(AE75="","",IFERROR(INDEX($AQ$11:$AQ$4010,MATCH(65,$AZ$11:$AZ$4010,0)),""))</f>
        <v/>
      </c>
      <c r="AI75" s="15" t="str">
        <f>IF(AE75="","",IFERROR(INDEX($AR$11:$AR$4010,MATCH(65,$AZ$11:$AZ$4010,0)),""))</f>
        <v/>
      </c>
      <c r="AJ75" s="15" t="str">
        <f>IF(AE75="","",IFERROR(INDEX($AT$11:$AT$4010,MATCH(65,$AZ$11:$AZ$4010,0)),""))</f>
        <v/>
      </c>
      <c r="AL75" s="17" t="str">
        <f t="shared" ref="AL75:AL138" si="20">IF($C75="","",$I75)</f>
        <v/>
      </c>
      <c r="AM75" s="12" t="str">
        <f t="shared" ref="AM75:AM138" si="21">IF($C75="","",$C75)</f>
        <v/>
      </c>
      <c r="AN75" s="18" t="str">
        <f t="shared" ref="AN75:AN138" si="22">IF($C75="","",$F75)</f>
        <v/>
      </c>
      <c r="AO75" s="18" t="str">
        <f t="shared" ref="AO75:AO138" si="23">IF($C75="","",$G75)</f>
        <v/>
      </c>
      <c r="AP75" s="10" t="str">
        <f t="shared" ref="AP75:AP138" si="24">IF($C75="","",$D75)</f>
        <v/>
      </c>
      <c r="AQ75" s="10" t="str">
        <f t="shared" ref="AQ75:AQ138" si="25">IF($C75="","",$E75)</f>
        <v/>
      </c>
      <c r="AR75" s="19" t="str">
        <f t="shared" ref="AR75:AR138" si="26">IF($C75="","",$H75)</f>
        <v/>
      </c>
      <c r="AS75" s="20"/>
      <c r="AT75" s="19"/>
      <c r="AV75" s="21">
        <f>IF(AND($AL75&lt;&gt;"",COUNTIF($AL$11:$AL75,$AL75)=1),1,0)</f>
        <v>0</v>
      </c>
      <c r="AW75" s="21">
        <f t="shared" si="13"/>
        <v>0</v>
      </c>
      <c r="AX75" s="21" t="str">
        <f t="shared" ref="AX75:AX138" si="27">IF(AV75=1,AW75,"")</f>
        <v/>
      </c>
      <c r="AY75" s="21" t="str">
        <f>IF(AND($AM75&lt;&gt;"",$AS75&lt;&gt;"✓"),SUMPRODUCT(($AM$11:$AM75&lt;&gt;"")*($AS$11:$AS75&lt;&gt;"✓")),"")</f>
        <v/>
      </c>
      <c r="AZ75" s="21" t="str">
        <f>IF(AND($AM75&lt;&gt;"",$AS75="✓"),SUMPRODUCT(($AM$11:$AM75&lt;&gt;"")*($AS$11:$AS75="✓")),"")</f>
        <v/>
      </c>
      <c r="BA75" s="21" t="str">
        <f>IF($AL75="","",$AL75&amp;"|"&amp;COUNTIF($AL$11:$AL75,$AL75))</f>
        <v/>
      </c>
    </row>
    <row r="76" spans="2:69" ht="15" customHeight="1" x14ac:dyDescent="0.25">
      <c r="B76" s="5" t="str">
        <f t="shared" si="15"/>
        <v/>
      </c>
      <c r="C76" s="5"/>
      <c r="D76" s="5"/>
      <c r="E76" s="5"/>
      <c r="F76" s="6"/>
      <c r="G76" s="6"/>
      <c r="H76" s="7"/>
      <c r="I76" s="8"/>
      <c r="K76" s="23" t="str">
        <f>IFERROR(INDEX($AL$11:$AL$4010,MATCH(66,$AX$11:$AX$4010,0)),"")</f>
        <v/>
      </c>
      <c r="L76" s="24" t="str">
        <f t="shared" si="16"/>
        <v/>
      </c>
      <c r="M76" s="25" t="str">
        <f t="shared" si="17"/>
        <v/>
      </c>
      <c r="N76" s="25" t="str">
        <f t="shared" si="18"/>
        <v/>
      </c>
      <c r="P76" s="26" t="str">
        <f>IFERROR(INDEX($AM$11:$AM$4010,MATCH($S$8&amp;"|"&amp;66,$BA$11:$BA$4010,0)),"")</f>
        <v/>
      </c>
      <c r="Q76" s="25" t="str">
        <f>IF(P76="","",IFERROR(INDEX($AN$11:$AN$4010,MATCH($S$8&amp;"|"&amp;66,$BA$11:$BA$4010,0)),""))</f>
        <v/>
      </c>
      <c r="R76" s="25" t="str">
        <f>IF(P76="","",IFERROR(INDEX($AO$11:$AO$4010,MATCH($S$8&amp;"|"&amp;66,$BA$11:$BA$4010,0)),""))</f>
        <v/>
      </c>
      <c r="S76" s="24" t="str">
        <f>IF(P76="","",IFERROR(INDEX($AP$11:$AP$4010,MATCH($S$8&amp;"|"&amp;66,$BA$11:$BA$4010,0)),""))</f>
        <v/>
      </c>
      <c r="T76" s="24" t="str">
        <f>IF(P76="","",IFERROR(INDEX($AQ$11:$AQ$4010,MATCH($S$8&amp;"|"&amp;66,$BA$11:$BA$4010,0)),""))</f>
        <v/>
      </c>
      <c r="U76" s="38" t="str">
        <f t="shared" si="19"/>
        <v/>
      </c>
      <c r="W76" s="28" t="str">
        <f>IF(X76="","",IFERROR(INDEX($AL$11:$AL$4010,MATCH(66,$AY$11:$AY$4010,0)),""))</f>
        <v/>
      </c>
      <c r="X76" s="26" t="str">
        <f>IFERROR(INDEX($AM$11:$AM$4010,MATCH(66,$AY$11:$AY$4010,0)),"")</f>
        <v/>
      </c>
      <c r="Y76" s="25" t="str">
        <f>IF(X76="","",IFERROR(INDEX($AN$11:$AN$4010,MATCH(66,$AY$11:$AY$4010,0)),""))</f>
        <v/>
      </c>
      <c r="Z76" s="25" t="str">
        <f>IF(X76="","",IFERROR(INDEX($AO$11:$AO$4010,MATCH(66,$AY$11:$AY$4010,0)),""))</f>
        <v/>
      </c>
      <c r="AA76" s="24" t="str">
        <f>IF(X76="","",IFERROR(INDEX($AQ$11:$AQ$4010,MATCH(66,$AY$11:$AY$4010,0)),""))</f>
        <v/>
      </c>
      <c r="AB76" s="29" t="str">
        <f>IF(X76="","",IFERROR(INDEX($AR$11:$AR$4010,MATCH(66,$AY$11:$AY$4010,0)),""))</f>
        <v/>
      </c>
      <c r="AD76" s="30" t="str">
        <f>IF(AE76="","",IFERROR(INDEX($AL$11:$AL$4010,MATCH(66,$AZ$11:$AZ$4010,0)),""))</f>
        <v/>
      </c>
      <c r="AE76" s="26" t="str">
        <f>IFERROR(INDEX($AM$11:$AM$4010,MATCH(66,$AZ$11:$AZ$4010,0)),"")</f>
        <v/>
      </c>
      <c r="AF76" s="25" t="str">
        <f>IF(AE76="","",IFERROR(INDEX($AN$11:$AN$4010,MATCH(66,$AZ$11:$AZ$4010,0)),""))</f>
        <v/>
      </c>
      <c r="AG76" s="25" t="str">
        <f>IF(AE76="","",IFERROR(INDEX($AO$11:$AO$4010,MATCH(66,$AZ$11:$AZ$4010,0)),""))</f>
        <v/>
      </c>
      <c r="AH76" s="24" t="str">
        <f>IF(AE76="","",IFERROR(INDEX($AQ$11:$AQ$4010,MATCH(66,$AZ$11:$AZ$4010,0)),""))</f>
        <v/>
      </c>
      <c r="AI76" s="29" t="str">
        <f>IF(AE76="","",IFERROR(INDEX($AR$11:$AR$4010,MATCH(66,$AZ$11:$AZ$4010,0)),""))</f>
        <v/>
      </c>
      <c r="AJ76" s="29" t="str">
        <f>IF(AE76="","",IFERROR(INDEX($AT$11:$AT$4010,MATCH(66,$AZ$11:$AZ$4010,0)),""))</f>
        <v/>
      </c>
      <c r="AL76" s="31" t="str">
        <f t="shared" si="20"/>
        <v/>
      </c>
      <c r="AM76" s="26" t="str">
        <f t="shared" si="21"/>
        <v/>
      </c>
      <c r="AN76" s="32" t="str">
        <f t="shared" si="22"/>
        <v/>
      </c>
      <c r="AO76" s="32" t="str">
        <f t="shared" si="23"/>
        <v/>
      </c>
      <c r="AP76" s="24" t="str">
        <f t="shared" si="24"/>
        <v/>
      </c>
      <c r="AQ76" s="24" t="str">
        <f t="shared" si="25"/>
        <v/>
      </c>
      <c r="AR76" s="33" t="str">
        <f t="shared" si="26"/>
        <v/>
      </c>
      <c r="AS76" s="34"/>
      <c r="AT76" s="33"/>
      <c r="AV76" s="21">
        <f>IF(AND($AL76&lt;&gt;"",COUNTIF($AL$11:$AL76,$AL76)=1),1,0)</f>
        <v>0</v>
      </c>
      <c r="AW76" s="21">
        <f t="shared" ref="AW76:AW139" si="28">AW75+AV76</f>
        <v>0</v>
      </c>
      <c r="AX76" s="21" t="str">
        <f t="shared" si="27"/>
        <v/>
      </c>
      <c r="AY76" s="21" t="str">
        <f>IF(AND($AM76&lt;&gt;"",$AS76&lt;&gt;"✓"),SUMPRODUCT(($AM$11:$AM76&lt;&gt;"")*($AS$11:$AS76&lt;&gt;"✓")),"")</f>
        <v/>
      </c>
      <c r="AZ76" s="21" t="str">
        <f>IF(AND($AM76&lt;&gt;"",$AS76="✓"),SUMPRODUCT(($AM$11:$AM76&lt;&gt;"")*($AS$11:$AS76="✓")),"")</f>
        <v/>
      </c>
      <c r="BA76" s="21" t="str">
        <f>IF($AL76="","",$AL76&amp;"|"&amp;COUNTIF($AL$11:$AL76,$AL76))</f>
        <v/>
      </c>
    </row>
    <row r="77" spans="2:69" ht="15" customHeight="1" x14ac:dyDescent="0.25">
      <c r="B77" s="5" t="str">
        <f t="shared" si="15"/>
        <v/>
      </c>
      <c r="C77" s="5"/>
      <c r="D77" s="5"/>
      <c r="E77" s="5"/>
      <c r="F77" s="6"/>
      <c r="G77" s="6"/>
      <c r="H77" s="7"/>
      <c r="I77" s="8"/>
      <c r="K77" s="9" t="str">
        <f>IFERROR(INDEX($AL$11:$AL$4010,MATCH(67,$AX$11:$AX$4010,0)),"")</f>
        <v/>
      </c>
      <c r="L77" s="10" t="str">
        <f t="shared" si="16"/>
        <v/>
      </c>
      <c r="M77" s="11" t="str">
        <f t="shared" si="17"/>
        <v/>
      </c>
      <c r="N77" s="11" t="str">
        <f t="shared" si="18"/>
        <v/>
      </c>
      <c r="P77" s="12" t="str">
        <f>IFERROR(INDEX($AM$11:$AM$4010,MATCH($S$8&amp;"|"&amp;67,$BA$11:$BA$4010,0)),"")</f>
        <v/>
      </c>
      <c r="Q77" s="11" t="str">
        <f>IF(P77="","",IFERROR(INDEX($AN$11:$AN$4010,MATCH($S$8&amp;"|"&amp;67,$BA$11:$BA$4010,0)),""))</f>
        <v/>
      </c>
      <c r="R77" s="11" t="str">
        <f>IF(P77="","",IFERROR(INDEX($AO$11:$AO$4010,MATCH($S$8&amp;"|"&amp;67,$BA$11:$BA$4010,0)),""))</f>
        <v/>
      </c>
      <c r="S77" s="10" t="str">
        <f>IF(P77="","",IFERROR(INDEX($AP$11:$AP$4010,MATCH($S$8&amp;"|"&amp;67,$BA$11:$BA$4010,0)),""))</f>
        <v/>
      </c>
      <c r="T77" s="10" t="str">
        <f>IF(P77="","",IFERROR(INDEX($AQ$11:$AQ$4010,MATCH($S$8&amp;"|"&amp;67,$BA$11:$BA$4010,0)),""))</f>
        <v/>
      </c>
      <c r="U77" s="39" t="str">
        <f t="shared" si="19"/>
        <v/>
      </c>
      <c r="W77" s="14" t="str">
        <f>IF(X77="","",IFERROR(INDEX($AL$11:$AL$4010,MATCH(67,$AY$11:$AY$4010,0)),""))</f>
        <v/>
      </c>
      <c r="X77" s="12" t="str">
        <f>IFERROR(INDEX($AM$11:$AM$4010,MATCH(67,$AY$11:$AY$4010,0)),"")</f>
        <v/>
      </c>
      <c r="Y77" s="11" t="str">
        <f>IF(X77="","",IFERROR(INDEX($AN$11:$AN$4010,MATCH(67,$AY$11:$AY$4010,0)),""))</f>
        <v/>
      </c>
      <c r="Z77" s="11" t="str">
        <f>IF(X77="","",IFERROR(INDEX($AO$11:$AO$4010,MATCH(67,$AY$11:$AY$4010,0)),""))</f>
        <v/>
      </c>
      <c r="AA77" s="10" t="str">
        <f>IF(X77="","",IFERROR(INDEX($AQ$11:$AQ$4010,MATCH(67,$AY$11:$AY$4010,0)),""))</f>
        <v/>
      </c>
      <c r="AB77" s="15" t="str">
        <f>IF(X77="","",IFERROR(INDEX($AR$11:$AR$4010,MATCH(67,$AY$11:$AY$4010,0)),""))</f>
        <v/>
      </c>
      <c r="AD77" s="16" t="str">
        <f>IF(AE77="","",IFERROR(INDEX($AL$11:$AL$4010,MATCH(67,$AZ$11:$AZ$4010,0)),""))</f>
        <v/>
      </c>
      <c r="AE77" s="12" t="str">
        <f>IFERROR(INDEX($AM$11:$AM$4010,MATCH(67,$AZ$11:$AZ$4010,0)),"")</f>
        <v/>
      </c>
      <c r="AF77" s="11" t="str">
        <f>IF(AE77="","",IFERROR(INDEX($AN$11:$AN$4010,MATCH(67,$AZ$11:$AZ$4010,0)),""))</f>
        <v/>
      </c>
      <c r="AG77" s="11" t="str">
        <f>IF(AE77="","",IFERROR(INDEX($AO$11:$AO$4010,MATCH(67,$AZ$11:$AZ$4010,0)),""))</f>
        <v/>
      </c>
      <c r="AH77" s="10" t="str">
        <f>IF(AE77="","",IFERROR(INDEX($AQ$11:$AQ$4010,MATCH(67,$AZ$11:$AZ$4010,0)),""))</f>
        <v/>
      </c>
      <c r="AI77" s="15" t="str">
        <f>IF(AE77="","",IFERROR(INDEX($AR$11:$AR$4010,MATCH(67,$AZ$11:$AZ$4010,0)),""))</f>
        <v/>
      </c>
      <c r="AJ77" s="15" t="str">
        <f>IF(AE77="","",IFERROR(INDEX($AT$11:$AT$4010,MATCH(67,$AZ$11:$AZ$4010,0)),""))</f>
        <v/>
      </c>
      <c r="AL77" s="17" t="str">
        <f t="shared" si="20"/>
        <v/>
      </c>
      <c r="AM77" s="12" t="str">
        <f t="shared" si="21"/>
        <v/>
      </c>
      <c r="AN77" s="18" t="str">
        <f t="shared" si="22"/>
        <v/>
      </c>
      <c r="AO77" s="18" t="str">
        <f t="shared" si="23"/>
        <v/>
      </c>
      <c r="AP77" s="10" t="str">
        <f t="shared" si="24"/>
        <v/>
      </c>
      <c r="AQ77" s="10" t="str">
        <f t="shared" si="25"/>
        <v/>
      </c>
      <c r="AR77" s="19" t="str">
        <f t="shared" si="26"/>
        <v/>
      </c>
      <c r="AS77" s="20"/>
      <c r="AT77" s="19"/>
      <c r="AV77" s="21">
        <f>IF(AND($AL77&lt;&gt;"",COUNTIF($AL$11:$AL77,$AL77)=1),1,0)</f>
        <v>0</v>
      </c>
      <c r="AW77" s="21">
        <f t="shared" si="28"/>
        <v>0</v>
      </c>
      <c r="AX77" s="21" t="str">
        <f t="shared" si="27"/>
        <v/>
      </c>
      <c r="AY77" s="21" t="str">
        <f>IF(AND($AM77&lt;&gt;"",$AS77&lt;&gt;"✓"),SUMPRODUCT(($AM$11:$AM77&lt;&gt;"")*($AS$11:$AS77&lt;&gt;"✓")),"")</f>
        <v/>
      </c>
      <c r="AZ77" s="21" t="str">
        <f>IF(AND($AM77&lt;&gt;"",$AS77="✓"),SUMPRODUCT(($AM$11:$AM77&lt;&gt;"")*($AS$11:$AS77="✓")),"")</f>
        <v/>
      </c>
      <c r="BA77" s="21" t="str">
        <f>IF($AL77="","",$AL77&amp;"|"&amp;COUNTIF($AL$11:$AL77,$AL77))</f>
        <v/>
      </c>
    </row>
    <row r="78" spans="2:69" ht="15" customHeight="1" x14ac:dyDescent="0.25">
      <c r="B78" s="5" t="str">
        <f t="shared" si="15"/>
        <v/>
      </c>
      <c r="C78" s="5"/>
      <c r="D78" s="5"/>
      <c r="E78" s="5"/>
      <c r="F78" s="6"/>
      <c r="G78" s="6"/>
      <c r="H78" s="7"/>
      <c r="I78" s="8"/>
      <c r="K78" s="23" t="str">
        <f>IFERROR(INDEX($AL$11:$AL$4010,MATCH(68,$AX$11:$AX$4010,0)),"")</f>
        <v/>
      </c>
      <c r="L78" s="24" t="str">
        <f t="shared" si="16"/>
        <v/>
      </c>
      <c r="M78" s="25" t="str">
        <f t="shared" si="17"/>
        <v/>
      </c>
      <c r="N78" s="25" t="str">
        <f t="shared" si="18"/>
        <v/>
      </c>
      <c r="P78" s="26" t="str">
        <f>IFERROR(INDEX($AM$11:$AM$4010,MATCH($S$8&amp;"|"&amp;68,$BA$11:$BA$4010,0)),"")</f>
        <v/>
      </c>
      <c r="Q78" s="25" t="str">
        <f>IF(P78="","",IFERROR(INDEX($AN$11:$AN$4010,MATCH($S$8&amp;"|"&amp;68,$BA$11:$BA$4010,0)),""))</f>
        <v/>
      </c>
      <c r="R78" s="25" t="str">
        <f>IF(P78="","",IFERROR(INDEX($AO$11:$AO$4010,MATCH($S$8&amp;"|"&amp;68,$BA$11:$BA$4010,0)),""))</f>
        <v/>
      </c>
      <c r="S78" s="24" t="str">
        <f>IF(P78="","",IFERROR(INDEX($AP$11:$AP$4010,MATCH($S$8&amp;"|"&amp;68,$BA$11:$BA$4010,0)),""))</f>
        <v/>
      </c>
      <c r="T78" s="24" t="str">
        <f>IF(P78="","",IFERROR(INDEX($AQ$11:$AQ$4010,MATCH($S$8&amp;"|"&amp;68,$BA$11:$BA$4010,0)),""))</f>
        <v/>
      </c>
      <c r="U78" s="38" t="str">
        <f t="shared" si="19"/>
        <v/>
      </c>
      <c r="W78" s="28" t="str">
        <f>IF(X78="","",IFERROR(INDEX($AL$11:$AL$4010,MATCH(68,$AY$11:$AY$4010,0)),""))</f>
        <v/>
      </c>
      <c r="X78" s="26" t="str">
        <f>IFERROR(INDEX($AM$11:$AM$4010,MATCH(68,$AY$11:$AY$4010,0)),"")</f>
        <v/>
      </c>
      <c r="Y78" s="25" t="str">
        <f>IF(X78="","",IFERROR(INDEX($AN$11:$AN$4010,MATCH(68,$AY$11:$AY$4010,0)),""))</f>
        <v/>
      </c>
      <c r="Z78" s="25" t="str">
        <f>IF(X78="","",IFERROR(INDEX($AO$11:$AO$4010,MATCH(68,$AY$11:$AY$4010,0)),""))</f>
        <v/>
      </c>
      <c r="AA78" s="24" t="str">
        <f>IF(X78="","",IFERROR(INDEX($AQ$11:$AQ$4010,MATCH(68,$AY$11:$AY$4010,0)),""))</f>
        <v/>
      </c>
      <c r="AB78" s="29" t="str">
        <f>IF(X78="","",IFERROR(INDEX($AR$11:$AR$4010,MATCH(68,$AY$11:$AY$4010,0)),""))</f>
        <v/>
      </c>
      <c r="AD78" s="30" t="str">
        <f>IF(AE78="","",IFERROR(INDEX($AL$11:$AL$4010,MATCH(68,$AZ$11:$AZ$4010,0)),""))</f>
        <v/>
      </c>
      <c r="AE78" s="26" t="str">
        <f>IFERROR(INDEX($AM$11:$AM$4010,MATCH(68,$AZ$11:$AZ$4010,0)),"")</f>
        <v/>
      </c>
      <c r="AF78" s="25" t="str">
        <f>IF(AE78="","",IFERROR(INDEX($AN$11:$AN$4010,MATCH(68,$AZ$11:$AZ$4010,0)),""))</f>
        <v/>
      </c>
      <c r="AG78" s="25" t="str">
        <f>IF(AE78="","",IFERROR(INDEX($AO$11:$AO$4010,MATCH(68,$AZ$11:$AZ$4010,0)),""))</f>
        <v/>
      </c>
      <c r="AH78" s="24" t="str">
        <f>IF(AE78="","",IFERROR(INDEX($AQ$11:$AQ$4010,MATCH(68,$AZ$11:$AZ$4010,0)),""))</f>
        <v/>
      </c>
      <c r="AI78" s="29" t="str">
        <f>IF(AE78="","",IFERROR(INDEX($AR$11:$AR$4010,MATCH(68,$AZ$11:$AZ$4010,0)),""))</f>
        <v/>
      </c>
      <c r="AJ78" s="29" t="str">
        <f>IF(AE78="","",IFERROR(INDEX($AT$11:$AT$4010,MATCH(68,$AZ$11:$AZ$4010,0)),""))</f>
        <v/>
      </c>
      <c r="AL78" s="31" t="str">
        <f t="shared" si="20"/>
        <v/>
      </c>
      <c r="AM78" s="26" t="str">
        <f t="shared" si="21"/>
        <v/>
      </c>
      <c r="AN78" s="32" t="str">
        <f t="shared" si="22"/>
        <v/>
      </c>
      <c r="AO78" s="32" t="str">
        <f t="shared" si="23"/>
        <v/>
      </c>
      <c r="AP78" s="24" t="str">
        <f t="shared" si="24"/>
        <v/>
      </c>
      <c r="AQ78" s="24" t="str">
        <f t="shared" si="25"/>
        <v/>
      </c>
      <c r="AR78" s="33" t="str">
        <f t="shared" si="26"/>
        <v/>
      </c>
      <c r="AS78" s="34"/>
      <c r="AT78" s="33"/>
      <c r="AV78" s="21">
        <f>IF(AND($AL78&lt;&gt;"",COUNTIF($AL$11:$AL78,$AL78)=1),1,0)</f>
        <v>0</v>
      </c>
      <c r="AW78" s="21">
        <f t="shared" si="28"/>
        <v>0</v>
      </c>
      <c r="AX78" s="21" t="str">
        <f t="shared" si="27"/>
        <v/>
      </c>
      <c r="AY78" s="21" t="str">
        <f>IF(AND($AM78&lt;&gt;"",$AS78&lt;&gt;"✓"),SUMPRODUCT(($AM$11:$AM78&lt;&gt;"")*($AS$11:$AS78&lt;&gt;"✓")),"")</f>
        <v/>
      </c>
      <c r="AZ78" s="21" t="str">
        <f>IF(AND($AM78&lt;&gt;"",$AS78="✓"),SUMPRODUCT(($AM$11:$AM78&lt;&gt;"")*($AS$11:$AS78="✓")),"")</f>
        <v/>
      </c>
      <c r="BA78" s="21" t="str">
        <f>IF($AL78="","",$AL78&amp;"|"&amp;COUNTIF($AL$11:$AL78,$AL78))</f>
        <v/>
      </c>
    </row>
    <row r="79" spans="2:69" ht="15" customHeight="1" x14ac:dyDescent="0.25">
      <c r="B79" s="5" t="str">
        <f t="shared" si="15"/>
        <v/>
      </c>
      <c r="C79" s="5"/>
      <c r="D79" s="5"/>
      <c r="E79" s="5"/>
      <c r="F79" s="6"/>
      <c r="G79" s="6"/>
      <c r="H79" s="7"/>
      <c r="I79" s="8"/>
      <c r="K79" s="9" t="str">
        <f>IFERROR(INDEX($AL$11:$AL$4010,MATCH(69,$AX$11:$AX$4010,0)),"")</f>
        <v/>
      </c>
      <c r="L79" s="10" t="str">
        <f t="shared" si="16"/>
        <v/>
      </c>
      <c r="M79" s="11" t="str">
        <f t="shared" si="17"/>
        <v/>
      </c>
      <c r="N79" s="11" t="str">
        <f t="shared" si="18"/>
        <v/>
      </c>
      <c r="P79" s="12" t="str">
        <f>IFERROR(INDEX($AM$11:$AM$4010,MATCH($S$8&amp;"|"&amp;69,$BA$11:$BA$4010,0)),"")</f>
        <v/>
      </c>
      <c r="Q79" s="11" t="str">
        <f>IF(P79="","",IFERROR(INDEX($AN$11:$AN$4010,MATCH($S$8&amp;"|"&amp;69,$BA$11:$BA$4010,0)),""))</f>
        <v/>
      </c>
      <c r="R79" s="11" t="str">
        <f>IF(P79="","",IFERROR(INDEX($AO$11:$AO$4010,MATCH($S$8&amp;"|"&amp;69,$BA$11:$BA$4010,0)),""))</f>
        <v/>
      </c>
      <c r="S79" s="10" t="str">
        <f>IF(P79="","",IFERROR(INDEX($AP$11:$AP$4010,MATCH($S$8&amp;"|"&amp;69,$BA$11:$BA$4010,0)),""))</f>
        <v/>
      </c>
      <c r="T79" s="10" t="str">
        <f>IF(P79="","",IFERROR(INDEX($AQ$11:$AQ$4010,MATCH($S$8&amp;"|"&amp;69,$BA$11:$BA$4010,0)),""))</f>
        <v/>
      </c>
      <c r="U79" s="39" t="str">
        <f t="shared" si="19"/>
        <v/>
      </c>
      <c r="W79" s="14" t="str">
        <f>IF(X79="","",IFERROR(INDEX($AL$11:$AL$4010,MATCH(69,$AY$11:$AY$4010,0)),""))</f>
        <v/>
      </c>
      <c r="X79" s="12" t="str">
        <f>IFERROR(INDEX($AM$11:$AM$4010,MATCH(69,$AY$11:$AY$4010,0)),"")</f>
        <v/>
      </c>
      <c r="Y79" s="11" t="str">
        <f>IF(X79="","",IFERROR(INDEX($AN$11:$AN$4010,MATCH(69,$AY$11:$AY$4010,0)),""))</f>
        <v/>
      </c>
      <c r="Z79" s="11" t="str">
        <f>IF(X79="","",IFERROR(INDEX($AO$11:$AO$4010,MATCH(69,$AY$11:$AY$4010,0)),""))</f>
        <v/>
      </c>
      <c r="AA79" s="10" t="str">
        <f>IF(X79="","",IFERROR(INDEX($AQ$11:$AQ$4010,MATCH(69,$AY$11:$AY$4010,0)),""))</f>
        <v/>
      </c>
      <c r="AB79" s="15" t="str">
        <f>IF(X79="","",IFERROR(INDEX($AR$11:$AR$4010,MATCH(69,$AY$11:$AY$4010,0)),""))</f>
        <v/>
      </c>
      <c r="AD79" s="16" t="str">
        <f>IF(AE79="","",IFERROR(INDEX($AL$11:$AL$4010,MATCH(69,$AZ$11:$AZ$4010,0)),""))</f>
        <v/>
      </c>
      <c r="AE79" s="12" t="str">
        <f>IFERROR(INDEX($AM$11:$AM$4010,MATCH(69,$AZ$11:$AZ$4010,0)),"")</f>
        <v/>
      </c>
      <c r="AF79" s="11" t="str">
        <f>IF(AE79="","",IFERROR(INDEX($AN$11:$AN$4010,MATCH(69,$AZ$11:$AZ$4010,0)),""))</f>
        <v/>
      </c>
      <c r="AG79" s="11" t="str">
        <f>IF(AE79="","",IFERROR(INDEX($AO$11:$AO$4010,MATCH(69,$AZ$11:$AZ$4010,0)),""))</f>
        <v/>
      </c>
      <c r="AH79" s="10" t="str">
        <f>IF(AE79="","",IFERROR(INDEX($AQ$11:$AQ$4010,MATCH(69,$AZ$11:$AZ$4010,0)),""))</f>
        <v/>
      </c>
      <c r="AI79" s="15" t="str">
        <f>IF(AE79="","",IFERROR(INDEX($AR$11:$AR$4010,MATCH(69,$AZ$11:$AZ$4010,0)),""))</f>
        <v/>
      </c>
      <c r="AJ79" s="15" t="str">
        <f>IF(AE79="","",IFERROR(INDEX($AT$11:$AT$4010,MATCH(69,$AZ$11:$AZ$4010,0)),""))</f>
        <v/>
      </c>
      <c r="AL79" s="17" t="str">
        <f t="shared" si="20"/>
        <v/>
      </c>
      <c r="AM79" s="12" t="str">
        <f t="shared" si="21"/>
        <v/>
      </c>
      <c r="AN79" s="18" t="str">
        <f t="shared" si="22"/>
        <v/>
      </c>
      <c r="AO79" s="18" t="str">
        <f t="shared" si="23"/>
        <v/>
      </c>
      <c r="AP79" s="10" t="str">
        <f t="shared" si="24"/>
        <v/>
      </c>
      <c r="AQ79" s="10" t="str">
        <f t="shared" si="25"/>
        <v/>
      </c>
      <c r="AR79" s="19" t="str">
        <f t="shared" si="26"/>
        <v/>
      </c>
      <c r="AS79" s="20"/>
      <c r="AT79" s="19"/>
      <c r="AV79" s="21">
        <f>IF(AND($AL79&lt;&gt;"",COUNTIF($AL$11:$AL79,$AL79)=1),1,0)</f>
        <v>0</v>
      </c>
      <c r="AW79" s="21">
        <f t="shared" si="28"/>
        <v>0</v>
      </c>
      <c r="AX79" s="21" t="str">
        <f t="shared" si="27"/>
        <v/>
      </c>
      <c r="AY79" s="21" t="str">
        <f>IF(AND($AM79&lt;&gt;"",$AS79&lt;&gt;"✓"),SUMPRODUCT(($AM$11:$AM79&lt;&gt;"")*($AS$11:$AS79&lt;&gt;"✓")),"")</f>
        <v/>
      </c>
      <c r="AZ79" s="21" t="str">
        <f>IF(AND($AM79&lt;&gt;"",$AS79="✓"),SUMPRODUCT(($AM$11:$AM79&lt;&gt;"")*($AS$11:$AS79="✓")),"")</f>
        <v/>
      </c>
      <c r="BA79" s="21" t="str">
        <f>IF($AL79="","",$AL79&amp;"|"&amp;COUNTIF($AL$11:$AL79,$AL79))</f>
        <v/>
      </c>
    </row>
    <row r="80" spans="2:69" ht="15" customHeight="1" x14ac:dyDescent="0.25">
      <c r="B80" s="5" t="str">
        <f t="shared" si="15"/>
        <v/>
      </c>
      <c r="C80" s="5"/>
      <c r="D80" s="5"/>
      <c r="E80" s="5"/>
      <c r="F80" s="6"/>
      <c r="G80" s="6"/>
      <c r="H80" s="7"/>
      <c r="I80" s="8"/>
      <c r="K80" s="23" t="str">
        <f>IFERROR(INDEX($AL$11:$AL$4010,MATCH(70,$AX$11:$AX$4010,0)),"")</f>
        <v/>
      </c>
      <c r="L80" s="24" t="str">
        <f t="shared" si="16"/>
        <v/>
      </c>
      <c r="M80" s="25" t="str">
        <f t="shared" si="17"/>
        <v/>
      </c>
      <c r="N80" s="25" t="str">
        <f t="shared" si="18"/>
        <v/>
      </c>
      <c r="P80" s="26" t="str">
        <f>IFERROR(INDEX($AM$11:$AM$4010,MATCH($S$8&amp;"|"&amp;70,$BA$11:$BA$4010,0)),"")</f>
        <v/>
      </c>
      <c r="Q80" s="25" t="str">
        <f>IF(P80="","",IFERROR(INDEX($AN$11:$AN$4010,MATCH($S$8&amp;"|"&amp;70,$BA$11:$BA$4010,0)),""))</f>
        <v/>
      </c>
      <c r="R80" s="25" t="str">
        <f>IF(P80="","",IFERROR(INDEX($AO$11:$AO$4010,MATCH($S$8&amp;"|"&amp;70,$BA$11:$BA$4010,0)),""))</f>
        <v/>
      </c>
      <c r="S80" s="24" t="str">
        <f>IF(P80="","",IFERROR(INDEX($AP$11:$AP$4010,MATCH($S$8&amp;"|"&amp;70,$BA$11:$BA$4010,0)),""))</f>
        <v/>
      </c>
      <c r="T80" s="24" t="str">
        <f>IF(P80="","",IFERROR(INDEX($AQ$11:$AQ$4010,MATCH($S$8&amp;"|"&amp;70,$BA$11:$BA$4010,0)),""))</f>
        <v/>
      </c>
      <c r="U80" s="38" t="str">
        <f t="shared" si="19"/>
        <v/>
      </c>
      <c r="W80" s="28" t="str">
        <f>IF(X80="","",IFERROR(INDEX($AL$11:$AL$4010,MATCH(70,$AY$11:$AY$4010,0)),""))</f>
        <v/>
      </c>
      <c r="X80" s="26" t="str">
        <f>IFERROR(INDEX($AM$11:$AM$4010,MATCH(70,$AY$11:$AY$4010,0)),"")</f>
        <v/>
      </c>
      <c r="Y80" s="25" t="str">
        <f>IF(X80="","",IFERROR(INDEX($AN$11:$AN$4010,MATCH(70,$AY$11:$AY$4010,0)),""))</f>
        <v/>
      </c>
      <c r="Z80" s="25" t="str">
        <f>IF(X80="","",IFERROR(INDEX($AO$11:$AO$4010,MATCH(70,$AY$11:$AY$4010,0)),""))</f>
        <v/>
      </c>
      <c r="AA80" s="24" t="str">
        <f>IF(X80="","",IFERROR(INDEX($AQ$11:$AQ$4010,MATCH(70,$AY$11:$AY$4010,0)),""))</f>
        <v/>
      </c>
      <c r="AB80" s="29" t="str">
        <f>IF(X80="","",IFERROR(INDEX($AR$11:$AR$4010,MATCH(70,$AY$11:$AY$4010,0)),""))</f>
        <v/>
      </c>
      <c r="AD80" s="30" t="str">
        <f>IF(AE80="","",IFERROR(INDEX($AL$11:$AL$4010,MATCH(70,$AZ$11:$AZ$4010,0)),""))</f>
        <v/>
      </c>
      <c r="AE80" s="26" t="str">
        <f>IFERROR(INDEX($AM$11:$AM$4010,MATCH(70,$AZ$11:$AZ$4010,0)),"")</f>
        <v/>
      </c>
      <c r="AF80" s="25" t="str">
        <f>IF(AE80="","",IFERROR(INDEX($AN$11:$AN$4010,MATCH(70,$AZ$11:$AZ$4010,0)),""))</f>
        <v/>
      </c>
      <c r="AG80" s="25" t="str">
        <f>IF(AE80="","",IFERROR(INDEX($AO$11:$AO$4010,MATCH(70,$AZ$11:$AZ$4010,0)),""))</f>
        <v/>
      </c>
      <c r="AH80" s="24" t="str">
        <f>IF(AE80="","",IFERROR(INDEX($AQ$11:$AQ$4010,MATCH(70,$AZ$11:$AZ$4010,0)),""))</f>
        <v/>
      </c>
      <c r="AI80" s="29" t="str">
        <f>IF(AE80="","",IFERROR(INDEX($AR$11:$AR$4010,MATCH(70,$AZ$11:$AZ$4010,0)),""))</f>
        <v/>
      </c>
      <c r="AJ80" s="29" t="str">
        <f>IF(AE80="","",IFERROR(INDEX($AT$11:$AT$4010,MATCH(70,$AZ$11:$AZ$4010,0)),""))</f>
        <v/>
      </c>
      <c r="AL80" s="31" t="str">
        <f t="shared" si="20"/>
        <v/>
      </c>
      <c r="AM80" s="26" t="str">
        <f t="shared" si="21"/>
        <v/>
      </c>
      <c r="AN80" s="32" t="str">
        <f t="shared" si="22"/>
        <v/>
      </c>
      <c r="AO80" s="32" t="str">
        <f t="shared" si="23"/>
        <v/>
      </c>
      <c r="AP80" s="24" t="str">
        <f t="shared" si="24"/>
        <v/>
      </c>
      <c r="AQ80" s="24" t="str">
        <f t="shared" si="25"/>
        <v/>
      </c>
      <c r="AR80" s="33" t="str">
        <f t="shared" si="26"/>
        <v/>
      </c>
      <c r="AS80" s="34"/>
      <c r="AT80" s="33"/>
      <c r="AV80" s="21">
        <f>IF(AND($AL80&lt;&gt;"",COUNTIF($AL$11:$AL80,$AL80)=1),1,0)</f>
        <v>0</v>
      </c>
      <c r="AW80" s="21">
        <f t="shared" si="28"/>
        <v>0</v>
      </c>
      <c r="AX80" s="21" t="str">
        <f t="shared" si="27"/>
        <v/>
      </c>
      <c r="AY80" s="21" t="str">
        <f>IF(AND($AM80&lt;&gt;"",$AS80&lt;&gt;"✓"),SUMPRODUCT(($AM$11:$AM80&lt;&gt;"")*($AS$11:$AS80&lt;&gt;"✓")),"")</f>
        <v/>
      </c>
      <c r="AZ80" s="21" t="str">
        <f>IF(AND($AM80&lt;&gt;"",$AS80="✓"),SUMPRODUCT(($AM$11:$AM80&lt;&gt;"")*($AS$11:$AS80="✓")),"")</f>
        <v/>
      </c>
      <c r="BA80" s="21" t="str">
        <f>IF($AL80="","",$AL80&amp;"|"&amp;COUNTIF($AL$11:$AL80,$AL80))</f>
        <v/>
      </c>
    </row>
    <row r="81" spans="2:53" ht="15" customHeight="1" x14ac:dyDescent="0.25">
      <c r="B81" s="5" t="str">
        <f t="shared" si="15"/>
        <v/>
      </c>
      <c r="C81" s="5"/>
      <c r="D81" s="5"/>
      <c r="E81" s="5"/>
      <c r="F81" s="6"/>
      <c r="G81" s="6"/>
      <c r="H81" s="7"/>
      <c r="I81" s="8"/>
      <c r="K81" s="9" t="str">
        <f>IFERROR(INDEX($AL$11:$AL$4010,MATCH(71,$AX$11:$AX$4010,0)),"")</f>
        <v/>
      </c>
      <c r="L81" s="10" t="str">
        <f t="shared" si="16"/>
        <v/>
      </c>
      <c r="M81" s="11" t="str">
        <f t="shared" si="17"/>
        <v/>
      </c>
      <c r="N81" s="11" t="str">
        <f t="shared" si="18"/>
        <v/>
      </c>
      <c r="P81" s="12" t="str">
        <f>IFERROR(INDEX($AM$11:$AM$4010,MATCH($S$8&amp;"|"&amp;71,$BA$11:$BA$4010,0)),"")</f>
        <v/>
      </c>
      <c r="Q81" s="11" t="str">
        <f>IF(P81="","",IFERROR(INDEX($AN$11:$AN$4010,MATCH($S$8&amp;"|"&amp;71,$BA$11:$BA$4010,0)),""))</f>
        <v/>
      </c>
      <c r="R81" s="11" t="str">
        <f>IF(P81="","",IFERROR(INDEX($AO$11:$AO$4010,MATCH($S$8&amp;"|"&amp;71,$BA$11:$BA$4010,0)),""))</f>
        <v/>
      </c>
      <c r="S81" s="10" t="str">
        <f>IF(P81="","",IFERROR(INDEX($AP$11:$AP$4010,MATCH($S$8&amp;"|"&amp;71,$BA$11:$BA$4010,0)),""))</f>
        <v/>
      </c>
      <c r="T81" s="10" t="str">
        <f>IF(P81="","",IFERROR(INDEX($AQ$11:$AQ$4010,MATCH($S$8&amp;"|"&amp;71,$BA$11:$BA$4010,0)),""))</f>
        <v/>
      </c>
      <c r="U81" s="39" t="str">
        <f t="shared" si="19"/>
        <v/>
      </c>
      <c r="W81" s="14" t="str">
        <f>IF(X81="","",IFERROR(INDEX($AL$11:$AL$4010,MATCH(71,$AY$11:$AY$4010,0)),""))</f>
        <v/>
      </c>
      <c r="X81" s="12" t="str">
        <f>IFERROR(INDEX($AM$11:$AM$4010,MATCH(71,$AY$11:$AY$4010,0)),"")</f>
        <v/>
      </c>
      <c r="Y81" s="11" t="str">
        <f>IF(X81="","",IFERROR(INDEX($AN$11:$AN$4010,MATCH(71,$AY$11:$AY$4010,0)),""))</f>
        <v/>
      </c>
      <c r="Z81" s="11" t="str">
        <f>IF(X81="","",IFERROR(INDEX($AO$11:$AO$4010,MATCH(71,$AY$11:$AY$4010,0)),""))</f>
        <v/>
      </c>
      <c r="AA81" s="10" t="str">
        <f>IF(X81="","",IFERROR(INDEX($AQ$11:$AQ$4010,MATCH(71,$AY$11:$AY$4010,0)),""))</f>
        <v/>
      </c>
      <c r="AB81" s="15" t="str">
        <f>IF(X81="","",IFERROR(INDEX($AR$11:$AR$4010,MATCH(71,$AY$11:$AY$4010,0)),""))</f>
        <v/>
      </c>
      <c r="AD81" s="16" t="str">
        <f>IF(AE81="","",IFERROR(INDEX($AL$11:$AL$4010,MATCH(71,$AZ$11:$AZ$4010,0)),""))</f>
        <v/>
      </c>
      <c r="AE81" s="12" t="str">
        <f>IFERROR(INDEX($AM$11:$AM$4010,MATCH(71,$AZ$11:$AZ$4010,0)),"")</f>
        <v/>
      </c>
      <c r="AF81" s="11" t="str">
        <f>IF(AE81="","",IFERROR(INDEX($AN$11:$AN$4010,MATCH(71,$AZ$11:$AZ$4010,0)),""))</f>
        <v/>
      </c>
      <c r="AG81" s="11" t="str">
        <f>IF(AE81="","",IFERROR(INDEX($AO$11:$AO$4010,MATCH(71,$AZ$11:$AZ$4010,0)),""))</f>
        <v/>
      </c>
      <c r="AH81" s="10" t="str">
        <f>IF(AE81="","",IFERROR(INDEX($AQ$11:$AQ$4010,MATCH(71,$AZ$11:$AZ$4010,0)),""))</f>
        <v/>
      </c>
      <c r="AI81" s="15" t="str">
        <f>IF(AE81="","",IFERROR(INDEX($AR$11:$AR$4010,MATCH(71,$AZ$11:$AZ$4010,0)),""))</f>
        <v/>
      </c>
      <c r="AJ81" s="15" t="str">
        <f>IF(AE81="","",IFERROR(INDEX($AT$11:$AT$4010,MATCH(71,$AZ$11:$AZ$4010,0)),""))</f>
        <v/>
      </c>
      <c r="AL81" s="17" t="str">
        <f t="shared" si="20"/>
        <v/>
      </c>
      <c r="AM81" s="12" t="str">
        <f t="shared" si="21"/>
        <v/>
      </c>
      <c r="AN81" s="18" t="str">
        <f t="shared" si="22"/>
        <v/>
      </c>
      <c r="AO81" s="18" t="str">
        <f t="shared" si="23"/>
        <v/>
      </c>
      <c r="AP81" s="10" t="str">
        <f t="shared" si="24"/>
        <v/>
      </c>
      <c r="AQ81" s="10" t="str">
        <f t="shared" si="25"/>
        <v/>
      </c>
      <c r="AR81" s="19" t="str">
        <f t="shared" si="26"/>
        <v/>
      </c>
      <c r="AS81" s="20"/>
      <c r="AT81" s="19"/>
      <c r="AV81" s="21">
        <f>IF(AND($AL81&lt;&gt;"",COUNTIF($AL$11:$AL81,$AL81)=1),1,0)</f>
        <v>0</v>
      </c>
      <c r="AW81" s="21">
        <f t="shared" si="28"/>
        <v>0</v>
      </c>
      <c r="AX81" s="21" t="str">
        <f t="shared" si="27"/>
        <v/>
      </c>
      <c r="AY81" s="21" t="str">
        <f>IF(AND($AM81&lt;&gt;"",$AS81&lt;&gt;"✓"),SUMPRODUCT(($AM$11:$AM81&lt;&gt;"")*($AS$11:$AS81&lt;&gt;"✓")),"")</f>
        <v/>
      </c>
      <c r="AZ81" s="21" t="str">
        <f>IF(AND($AM81&lt;&gt;"",$AS81="✓"),SUMPRODUCT(($AM$11:$AM81&lt;&gt;"")*($AS$11:$AS81="✓")),"")</f>
        <v/>
      </c>
      <c r="BA81" s="21" t="str">
        <f>IF($AL81="","",$AL81&amp;"|"&amp;COUNTIF($AL$11:$AL81,$AL81))</f>
        <v/>
      </c>
    </row>
    <row r="82" spans="2:53" ht="15" customHeight="1" x14ac:dyDescent="0.25">
      <c r="B82" s="5" t="str">
        <f t="shared" si="15"/>
        <v/>
      </c>
      <c r="C82" s="5"/>
      <c r="D82" s="5"/>
      <c r="E82" s="5"/>
      <c r="F82" s="6"/>
      <c r="G82" s="6"/>
      <c r="H82" s="7"/>
      <c r="I82" s="8"/>
      <c r="K82" s="23" t="str">
        <f>IFERROR(INDEX($AL$11:$AL$4010,MATCH(72,$AX$11:$AX$4010,0)),"")</f>
        <v/>
      </c>
      <c r="L82" s="24" t="str">
        <f t="shared" si="16"/>
        <v/>
      </c>
      <c r="M82" s="25" t="str">
        <f t="shared" si="17"/>
        <v/>
      </c>
      <c r="N82" s="25" t="str">
        <f t="shared" si="18"/>
        <v/>
      </c>
      <c r="P82" s="26" t="str">
        <f>IFERROR(INDEX($AM$11:$AM$4010,MATCH($S$8&amp;"|"&amp;72,$BA$11:$BA$4010,0)),"")</f>
        <v/>
      </c>
      <c r="Q82" s="25" t="str">
        <f>IF(P82="","",IFERROR(INDEX($AN$11:$AN$4010,MATCH($S$8&amp;"|"&amp;72,$BA$11:$BA$4010,0)),""))</f>
        <v/>
      </c>
      <c r="R82" s="25" t="str">
        <f>IF(P82="","",IFERROR(INDEX($AO$11:$AO$4010,MATCH($S$8&amp;"|"&amp;72,$BA$11:$BA$4010,0)),""))</f>
        <v/>
      </c>
      <c r="S82" s="24" t="str">
        <f>IF(P82="","",IFERROR(INDEX($AP$11:$AP$4010,MATCH($S$8&amp;"|"&amp;72,$BA$11:$BA$4010,0)),""))</f>
        <v/>
      </c>
      <c r="T82" s="24" t="str">
        <f>IF(P82="","",IFERROR(INDEX($AQ$11:$AQ$4010,MATCH($S$8&amp;"|"&amp;72,$BA$11:$BA$4010,0)),""))</f>
        <v/>
      </c>
      <c r="U82" s="38" t="str">
        <f t="shared" si="19"/>
        <v/>
      </c>
      <c r="W82" s="28" t="str">
        <f>IF(X82="","",IFERROR(INDEX($AL$11:$AL$4010,MATCH(72,$AY$11:$AY$4010,0)),""))</f>
        <v/>
      </c>
      <c r="X82" s="26" t="str">
        <f>IFERROR(INDEX($AM$11:$AM$4010,MATCH(72,$AY$11:$AY$4010,0)),"")</f>
        <v/>
      </c>
      <c r="Y82" s="25" t="str">
        <f>IF(X82="","",IFERROR(INDEX($AN$11:$AN$4010,MATCH(72,$AY$11:$AY$4010,0)),""))</f>
        <v/>
      </c>
      <c r="Z82" s="25" t="str">
        <f>IF(X82="","",IFERROR(INDEX($AO$11:$AO$4010,MATCH(72,$AY$11:$AY$4010,0)),""))</f>
        <v/>
      </c>
      <c r="AA82" s="24" t="str">
        <f>IF(X82="","",IFERROR(INDEX($AQ$11:$AQ$4010,MATCH(72,$AY$11:$AY$4010,0)),""))</f>
        <v/>
      </c>
      <c r="AB82" s="29" t="str">
        <f>IF(X82="","",IFERROR(INDEX($AR$11:$AR$4010,MATCH(72,$AY$11:$AY$4010,0)),""))</f>
        <v/>
      </c>
      <c r="AD82" s="30" t="str">
        <f>IF(AE82="","",IFERROR(INDEX($AL$11:$AL$4010,MATCH(72,$AZ$11:$AZ$4010,0)),""))</f>
        <v/>
      </c>
      <c r="AE82" s="26" t="str">
        <f>IFERROR(INDEX($AM$11:$AM$4010,MATCH(72,$AZ$11:$AZ$4010,0)),"")</f>
        <v/>
      </c>
      <c r="AF82" s="25" t="str">
        <f>IF(AE82="","",IFERROR(INDEX($AN$11:$AN$4010,MATCH(72,$AZ$11:$AZ$4010,0)),""))</f>
        <v/>
      </c>
      <c r="AG82" s="25" t="str">
        <f>IF(AE82="","",IFERROR(INDEX($AO$11:$AO$4010,MATCH(72,$AZ$11:$AZ$4010,0)),""))</f>
        <v/>
      </c>
      <c r="AH82" s="24" t="str">
        <f>IF(AE82="","",IFERROR(INDEX($AQ$11:$AQ$4010,MATCH(72,$AZ$11:$AZ$4010,0)),""))</f>
        <v/>
      </c>
      <c r="AI82" s="29" t="str">
        <f>IF(AE82="","",IFERROR(INDEX($AR$11:$AR$4010,MATCH(72,$AZ$11:$AZ$4010,0)),""))</f>
        <v/>
      </c>
      <c r="AJ82" s="29" t="str">
        <f>IF(AE82="","",IFERROR(INDEX($AT$11:$AT$4010,MATCH(72,$AZ$11:$AZ$4010,0)),""))</f>
        <v/>
      </c>
      <c r="AL82" s="31" t="str">
        <f t="shared" si="20"/>
        <v/>
      </c>
      <c r="AM82" s="26" t="str">
        <f t="shared" si="21"/>
        <v/>
      </c>
      <c r="AN82" s="32" t="str">
        <f t="shared" si="22"/>
        <v/>
      </c>
      <c r="AO82" s="32" t="str">
        <f t="shared" si="23"/>
        <v/>
      </c>
      <c r="AP82" s="24" t="str">
        <f t="shared" si="24"/>
        <v/>
      </c>
      <c r="AQ82" s="24" t="str">
        <f t="shared" si="25"/>
        <v/>
      </c>
      <c r="AR82" s="33" t="str">
        <f t="shared" si="26"/>
        <v/>
      </c>
      <c r="AS82" s="34"/>
      <c r="AT82" s="33"/>
      <c r="AV82" s="21">
        <f>IF(AND($AL82&lt;&gt;"",COUNTIF($AL$11:$AL82,$AL82)=1),1,0)</f>
        <v>0</v>
      </c>
      <c r="AW82" s="21">
        <f t="shared" si="28"/>
        <v>0</v>
      </c>
      <c r="AX82" s="21" t="str">
        <f t="shared" si="27"/>
        <v/>
      </c>
      <c r="AY82" s="21" t="str">
        <f>IF(AND($AM82&lt;&gt;"",$AS82&lt;&gt;"✓"),SUMPRODUCT(($AM$11:$AM82&lt;&gt;"")*($AS$11:$AS82&lt;&gt;"✓")),"")</f>
        <v/>
      </c>
      <c r="AZ82" s="21" t="str">
        <f>IF(AND($AM82&lt;&gt;"",$AS82="✓"),SUMPRODUCT(($AM$11:$AM82&lt;&gt;"")*($AS$11:$AS82="✓")),"")</f>
        <v/>
      </c>
      <c r="BA82" s="21" t="str">
        <f>IF($AL82="","",$AL82&amp;"|"&amp;COUNTIF($AL$11:$AL82,$AL82))</f>
        <v/>
      </c>
    </row>
    <row r="83" spans="2:53" ht="15" customHeight="1" x14ac:dyDescent="0.25">
      <c r="B83" s="5" t="str">
        <f t="shared" si="15"/>
        <v/>
      </c>
      <c r="C83" s="5"/>
      <c r="D83" s="5"/>
      <c r="E83" s="5"/>
      <c r="F83" s="6"/>
      <c r="G83" s="6"/>
      <c r="H83" s="7"/>
      <c r="I83" s="8"/>
      <c r="K83" s="9" t="str">
        <f>IFERROR(INDEX($AL$11:$AL$4010,MATCH(73,$AX$11:$AX$4010,0)),"")</f>
        <v/>
      </c>
      <c r="L83" s="10" t="str">
        <f t="shared" si="16"/>
        <v/>
      </c>
      <c r="M83" s="11" t="str">
        <f t="shared" si="17"/>
        <v/>
      </c>
      <c r="N83" s="11" t="str">
        <f t="shared" si="18"/>
        <v/>
      </c>
      <c r="P83" s="12" t="str">
        <f>IFERROR(INDEX($AM$11:$AM$4010,MATCH($S$8&amp;"|"&amp;73,$BA$11:$BA$4010,0)),"")</f>
        <v/>
      </c>
      <c r="Q83" s="11" t="str">
        <f>IF(P83="","",IFERROR(INDEX($AN$11:$AN$4010,MATCH($S$8&amp;"|"&amp;73,$BA$11:$BA$4010,0)),""))</f>
        <v/>
      </c>
      <c r="R83" s="11" t="str">
        <f>IF(P83="","",IFERROR(INDEX($AO$11:$AO$4010,MATCH($S$8&amp;"|"&amp;73,$BA$11:$BA$4010,0)),""))</f>
        <v/>
      </c>
      <c r="S83" s="10" t="str">
        <f>IF(P83="","",IFERROR(INDEX($AP$11:$AP$4010,MATCH($S$8&amp;"|"&amp;73,$BA$11:$BA$4010,0)),""))</f>
        <v/>
      </c>
      <c r="T83" s="10" t="str">
        <f>IF(P83="","",IFERROR(INDEX($AQ$11:$AQ$4010,MATCH($S$8&amp;"|"&amp;73,$BA$11:$BA$4010,0)),""))</f>
        <v/>
      </c>
      <c r="U83" s="39" t="str">
        <f t="shared" si="19"/>
        <v/>
      </c>
      <c r="W83" s="14" t="str">
        <f>IF(X83="","",IFERROR(INDEX($AL$11:$AL$4010,MATCH(73,$AY$11:$AY$4010,0)),""))</f>
        <v/>
      </c>
      <c r="X83" s="12" t="str">
        <f>IFERROR(INDEX($AM$11:$AM$4010,MATCH(73,$AY$11:$AY$4010,0)),"")</f>
        <v/>
      </c>
      <c r="Y83" s="11" t="str">
        <f>IF(X83="","",IFERROR(INDEX($AN$11:$AN$4010,MATCH(73,$AY$11:$AY$4010,0)),""))</f>
        <v/>
      </c>
      <c r="Z83" s="11" t="str">
        <f>IF(X83="","",IFERROR(INDEX($AO$11:$AO$4010,MATCH(73,$AY$11:$AY$4010,0)),""))</f>
        <v/>
      </c>
      <c r="AA83" s="10" t="str">
        <f>IF(X83="","",IFERROR(INDEX($AQ$11:$AQ$4010,MATCH(73,$AY$11:$AY$4010,0)),""))</f>
        <v/>
      </c>
      <c r="AB83" s="15" t="str">
        <f>IF(X83="","",IFERROR(INDEX($AR$11:$AR$4010,MATCH(73,$AY$11:$AY$4010,0)),""))</f>
        <v/>
      </c>
      <c r="AD83" s="16" t="str">
        <f>IF(AE83="","",IFERROR(INDEX($AL$11:$AL$4010,MATCH(73,$AZ$11:$AZ$4010,0)),""))</f>
        <v/>
      </c>
      <c r="AE83" s="12" t="str">
        <f>IFERROR(INDEX($AM$11:$AM$4010,MATCH(73,$AZ$11:$AZ$4010,0)),"")</f>
        <v/>
      </c>
      <c r="AF83" s="11" t="str">
        <f>IF(AE83="","",IFERROR(INDEX($AN$11:$AN$4010,MATCH(73,$AZ$11:$AZ$4010,0)),""))</f>
        <v/>
      </c>
      <c r="AG83" s="11" t="str">
        <f>IF(AE83="","",IFERROR(INDEX($AO$11:$AO$4010,MATCH(73,$AZ$11:$AZ$4010,0)),""))</f>
        <v/>
      </c>
      <c r="AH83" s="10" t="str">
        <f>IF(AE83="","",IFERROR(INDEX($AQ$11:$AQ$4010,MATCH(73,$AZ$11:$AZ$4010,0)),""))</f>
        <v/>
      </c>
      <c r="AI83" s="15" t="str">
        <f>IF(AE83="","",IFERROR(INDEX($AR$11:$AR$4010,MATCH(73,$AZ$11:$AZ$4010,0)),""))</f>
        <v/>
      </c>
      <c r="AJ83" s="15" t="str">
        <f>IF(AE83="","",IFERROR(INDEX($AT$11:$AT$4010,MATCH(73,$AZ$11:$AZ$4010,0)),""))</f>
        <v/>
      </c>
      <c r="AL83" s="17" t="str">
        <f t="shared" si="20"/>
        <v/>
      </c>
      <c r="AM83" s="12" t="str">
        <f t="shared" si="21"/>
        <v/>
      </c>
      <c r="AN83" s="18" t="str">
        <f t="shared" si="22"/>
        <v/>
      </c>
      <c r="AO83" s="18" t="str">
        <f t="shared" si="23"/>
        <v/>
      </c>
      <c r="AP83" s="10" t="str">
        <f t="shared" si="24"/>
        <v/>
      </c>
      <c r="AQ83" s="10" t="str">
        <f t="shared" si="25"/>
        <v/>
      </c>
      <c r="AR83" s="19" t="str">
        <f t="shared" si="26"/>
        <v/>
      </c>
      <c r="AS83" s="20"/>
      <c r="AT83" s="19"/>
      <c r="AV83" s="21">
        <f>IF(AND($AL83&lt;&gt;"",COUNTIF($AL$11:$AL83,$AL83)=1),1,0)</f>
        <v>0</v>
      </c>
      <c r="AW83" s="21">
        <f t="shared" si="28"/>
        <v>0</v>
      </c>
      <c r="AX83" s="21" t="str">
        <f t="shared" si="27"/>
        <v/>
      </c>
      <c r="AY83" s="21" t="str">
        <f>IF(AND($AM83&lt;&gt;"",$AS83&lt;&gt;"✓"),SUMPRODUCT(($AM$11:$AM83&lt;&gt;"")*($AS$11:$AS83&lt;&gt;"✓")),"")</f>
        <v/>
      </c>
      <c r="AZ83" s="21" t="str">
        <f>IF(AND($AM83&lt;&gt;"",$AS83="✓"),SUMPRODUCT(($AM$11:$AM83&lt;&gt;"")*($AS$11:$AS83="✓")),"")</f>
        <v/>
      </c>
      <c r="BA83" s="21" t="str">
        <f>IF($AL83="","",$AL83&amp;"|"&amp;COUNTIF($AL$11:$AL83,$AL83))</f>
        <v/>
      </c>
    </row>
    <row r="84" spans="2:53" ht="15" customHeight="1" x14ac:dyDescent="0.25">
      <c r="B84" s="5" t="str">
        <f t="shared" si="15"/>
        <v/>
      </c>
      <c r="C84" s="5"/>
      <c r="D84" s="5"/>
      <c r="E84" s="5"/>
      <c r="F84" s="6"/>
      <c r="G84" s="6"/>
      <c r="H84" s="7"/>
      <c r="I84" s="8"/>
      <c r="K84" s="23" t="str">
        <f>IFERROR(INDEX($AL$11:$AL$4010,MATCH(74,$AX$11:$AX$4010,0)),"")</f>
        <v/>
      </c>
      <c r="L84" s="24" t="str">
        <f t="shared" si="16"/>
        <v/>
      </c>
      <c r="M84" s="25" t="str">
        <f t="shared" si="17"/>
        <v/>
      </c>
      <c r="N84" s="25" t="str">
        <f t="shared" si="18"/>
        <v/>
      </c>
      <c r="P84" s="26" t="str">
        <f>IFERROR(INDEX($AM$11:$AM$4010,MATCH($S$8&amp;"|"&amp;74,$BA$11:$BA$4010,0)),"")</f>
        <v/>
      </c>
      <c r="Q84" s="25" t="str">
        <f>IF(P84="","",IFERROR(INDEX($AN$11:$AN$4010,MATCH($S$8&amp;"|"&amp;74,$BA$11:$BA$4010,0)),""))</f>
        <v/>
      </c>
      <c r="R84" s="25" t="str">
        <f>IF(P84="","",IFERROR(INDEX($AO$11:$AO$4010,MATCH($S$8&amp;"|"&amp;74,$BA$11:$BA$4010,0)),""))</f>
        <v/>
      </c>
      <c r="S84" s="24" t="str">
        <f>IF(P84="","",IFERROR(INDEX($AP$11:$AP$4010,MATCH($S$8&amp;"|"&amp;74,$BA$11:$BA$4010,0)),""))</f>
        <v/>
      </c>
      <c r="T84" s="24" t="str">
        <f>IF(P84="","",IFERROR(INDEX($AQ$11:$AQ$4010,MATCH($S$8&amp;"|"&amp;74,$BA$11:$BA$4010,0)),""))</f>
        <v/>
      </c>
      <c r="U84" s="38" t="str">
        <f t="shared" si="19"/>
        <v/>
      </c>
      <c r="W84" s="28" t="str">
        <f>IF(X84="","",IFERROR(INDEX($AL$11:$AL$4010,MATCH(74,$AY$11:$AY$4010,0)),""))</f>
        <v/>
      </c>
      <c r="X84" s="26" t="str">
        <f>IFERROR(INDEX($AM$11:$AM$4010,MATCH(74,$AY$11:$AY$4010,0)),"")</f>
        <v/>
      </c>
      <c r="Y84" s="25" t="str">
        <f>IF(X84="","",IFERROR(INDEX($AN$11:$AN$4010,MATCH(74,$AY$11:$AY$4010,0)),""))</f>
        <v/>
      </c>
      <c r="Z84" s="25" t="str">
        <f>IF(X84="","",IFERROR(INDEX($AO$11:$AO$4010,MATCH(74,$AY$11:$AY$4010,0)),""))</f>
        <v/>
      </c>
      <c r="AA84" s="24" t="str">
        <f>IF(X84="","",IFERROR(INDEX($AQ$11:$AQ$4010,MATCH(74,$AY$11:$AY$4010,0)),""))</f>
        <v/>
      </c>
      <c r="AB84" s="29" t="str">
        <f>IF(X84="","",IFERROR(INDEX($AR$11:$AR$4010,MATCH(74,$AY$11:$AY$4010,0)),""))</f>
        <v/>
      </c>
      <c r="AD84" s="30" t="str">
        <f>IF(AE84="","",IFERROR(INDEX($AL$11:$AL$4010,MATCH(74,$AZ$11:$AZ$4010,0)),""))</f>
        <v/>
      </c>
      <c r="AE84" s="26" t="str">
        <f>IFERROR(INDEX($AM$11:$AM$4010,MATCH(74,$AZ$11:$AZ$4010,0)),"")</f>
        <v/>
      </c>
      <c r="AF84" s="25" t="str">
        <f>IF(AE84="","",IFERROR(INDEX($AN$11:$AN$4010,MATCH(74,$AZ$11:$AZ$4010,0)),""))</f>
        <v/>
      </c>
      <c r="AG84" s="25" t="str">
        <f>IF(AE84="","",IFERROR(INDEX($AO$11:$AO$4010,MATCH(74,$AZ$11:$AZ$4010,0)),""))</f>
        <v/>
      </c>
      <c r="AH84" s="24" t="str">
        <f>IF(AE84="","",IFERROR(INDEX($AQ$11:$AQ$4010,MATCH(74,$AZ$11:$AZ$4010,0)),""))</f>
        <v/>
      </c>
      <c r="AI84" s="29" t="str">
        <f>IF(AE84="","",IFERROR(INDEX($AR$11:$AR$4010,MATCH(74,$AZ$11:$AZ$4010,0)),""))</f>
        <v/>
      </c>
      <c r="AJ84" s="29" t="str">
        <f>IF(AE84="","",IFERROR(INDEX($AT$11:$AT$4010,MATCH(74,$AZ$11:$AZ$4010,0)),""))</f>
        <v/>
      </c>
      <c r="AL84" s="31" t="str">
        <f t="shared" si="20"/>
        <v/>
      </c>
      <c r="AM84" s="26" t="str">
        <f t="shared" si="21"/>
        <v/>
      </c>
      <c r="AN84" s="32" t="str">
        <f t="shared" si="22"/>
        <v/>
      </c>
      <c r="AO84" s="32" t="str">
        <f t="shared" si="23"/>
        <v/>
      </c>
      <c r="AP84" s="24" t="str">
        <f t="shared" si="24"/>
        <v/>
      </c>
      <c r="AQ84" s="24" t="str">
        <f t="shared" si="25"/>
        <v/>
      </c>
      <c r="AR84" s="33" t="str">
        <f t="shared" si="26"/>
        <v/>
      </c>
      <c r="AS84" s="34"/>
      <c r="AT84" s="33"/>
      <c r="AV84" s="21">
        <f>IF(AND($AL84&lt;&gt;"",COUNTIF($AL$11:$AL84,$AL84)=1),1,0)</f>
        <v>0</v>
      </c>
      <c r="AW84" s="21">
        <f t="shared" si="28"/>
        <v>0</v>
      </c>
      <c r="AX84" s="21" t="str">
        <f t="shared" si="27"/>
        <v/>
      </c>
      <c r="AY84" s="21" t="str">
        <f>IF(AND($AM84&lt;&gt;"",$AS84&lt;&gt;"✓"),SUMPRODUCT(($AM$11:$AM84&lt;&gt;"")*($AS$11:$AS84&lt;&gt;"✓")),"")</f>
        <v/>
      </c>
      <c r="AZ84" s="21" t="str">
        <f>IF(AND($AM84&lt;&gt;"",$AS84="✓"),SUMPRODUCT(($AM$11:$AM84&lt;&gt;"")*($AS$11:$AS84="✓")),"")</f>
        <v/>
      </c>
      <c r="BA84" s="21" t="str">
        <f>IF($AL84="","",$AL84&amp;"|"&amp;COUNTIF($AL$11:$AL84,$AL84))</f>
        <v/>
      </c>
    </row>
    <row r="85" spans="2:53" ht="15" customHeight="1" x14ac:dyDescent="0.25">
      <c r="B85" s="5" t="str">
        <f t="shared" si="15"/>
        <v/>
      </c>
      <c r="C85" s="5"/>
      <c r="D85" s="5"/>
      <c r="E85" s="5"/>
      <c r="F85" s="6"/>
      <c r="G85" s="6"/>
      <c r="H85" s="7"/>
      <c r="I85" s="8"/>
      <c r="K85" s="9" t="str">
        <f>IFERROR(INDEX($AL$11:$AL$4010,MATCH(75,$AX$11:$AX$4010,0)),"")</f>
        <v/>
      </c>
      <c r="L85" s="10" t="str">
        <f t="shared" si="16"/>
        <v/>
      </c>
      <c r="M85" s="11" t="str">
        <f t="shared" si="17"/>
        <v/>
      </c>
      <c r="N85" s="11" t="str">
        <f t="shared" si="18"/>
        <v/>
      </c>
      <c r="P85" s="12" t="str">
        <f>IFERROR(INDEX($AM$11:$AM$4010,MATCH($S$8&amp;"|"&amp;75,$BA$11:$BA$4010,0)),"")</f>
        <v/>
      </c>
      <c r="Q85" s="11" t="str">
        <f>IF(P85="","",IFERROR(INDEX($AN$11:$AN$4010,MATCH($S$8&amp;"|"&amp;75,$BA$11:$BA$4010,0)),""))</f>
        <v/>
      </c>
      <c r="R85" s="11" t="str">
        <f>IF(P85="","",IFERROR(INDEX($AO$11:$AO$4010,MATCH($S$8&amp;"|"&amp;75,$BA$11:$BA$4010,0)),""))</f>
        <v/>
      </c>
      <c r="S85" s="10" t="str">
        <f>IF(P85="","",IFERROR(INDEX($AP$11:$AP$4010,MATCH($S$8&amp;"|"&amp;75,$BA$11:$BA$4010,0)),""))</f>
        <v/>
      </c>
      <c r="T85" s="10" t="str">
        <f>IF(P85="","",IFERROR(INDEX($AQ$11:$AQ$4010,MATCH($S$8&amp;"|"&amp;75,$BA$11:$BA$4010,0)),""))</f>
        <v/>
      </c>
      <c r="U85" s="39" t="str">
        <f t="shared" si="19"/>
        <v/>
      </c>
      <c r="W85" s="14" t="str">
        <f>IF(X85="","",IFERROR(INDEX($AL$11:$AL$4010,MATCH(75,$AY$11:$AY$4010,0)),""))</f>
        <v/>
      </c>
      <c r="X85" s="12" t="str">
        <f>IFERROR(INDEX($AM$11:$AM$4010,MATCH(75,$AY$11:$AY$4010,0)),"")</f>
        <v/>
      </c>
      <c r="Y85" s="11" t="str">
        <f>IF(X85="","",IFERROR(INDEX($AN$11:$AN$4010,MATCH(75,$AY$11:$AY$4010,0)),""))</f>
        <v/>
      </c>
      <c r="Z85" s="11" t="str">
        <f>IF(X85="","",IFERROR(INDEX($AO$11:$AO$4010,MATCH(75,$AY$11:$AY$4010,0)),""))</f>
        <v/>
      </c>
      <c r="AA85" s="10" t="str">
        <f>IF(X85="","",IFERROR(INDEX($AQ$11:$AQ$4010,MATCH(75,$AY$11:$AY$4010,0)),""))</f>
        <v/>
      </c>
      <c r="AB85" s="15" t="str">
        <f>IF(X85="","",IFERROR(INDEX($AR$11:$AR$4010,MATCH(75,$AY$11:$AY$4010,0)),""))</f>
        <v/>
      </c>
      <c r="AD85" s="16" t="str">
        <f>IF(AE85="","",IFERROR(INDEX($AL$11:$AL$4010,MATCH(75,$AZ$11:$AZ$4010,0)),""))</f>
        <v/>
      </c>
      <c r="AE85" s="12" t="str">
        <f>IFERROR(INDEX($AM$11:$AM$4010,MATCH(75,$AZ$11:$AZ$4010,0)),"")</f>
        <v/>
      </c>
      <c r="AF85" s="11" t="str">
        <f>IF(AE85="","",IFERROR(INDEX($AN$11:$AN$4010,MATCH(75,$AZ$11:$AZ$4010,0)),""))</f>
        <v/>
      </c>
      <c r="AG85" s="11" t="str">
        <f>IF(AE85="","",IFERROR(INDEX($AO$11:$AO$4010,MATCH(75,$AZ$11:$AZ$4010,0)),""))</f>
        <v/>
      </c>
      <c r="AH85" s="10" t="str">
        <f>IF(AE85="","",IFERROR(INDEX($AQ$11:$AQ$4010,MATCH(75,$AZ$11:$AZ$4010,0)),""))</f>
        <v/>
      </c>
      <c r="AI85" s="15" t="str">
        <f>IF(AE85="","",IFERROR(INDEX($AR$11:$AR$4010,MATCH(75,$AZ$11:$AZ$4010,0)),""))</f>
        <v/>
      </c>
      <c r="AJ85" s="15" t="str">
        <f>IF(AE85="","",IFERROR(INDEX($AT$11:$AT$4010,MATCH(75,$AZ$11:$AZ$4010,0)),""))</f>
        <v/>
      </c>
      <c r="AL85" s="17" t="str">
        <f t="shared" si="20"/>
        <v/>
      </c>
      <c r="AM85" s="12" t="str">
        <f t="shared" si="21"/>
        <v/>
      </c>
      <c r="AN85" s="18" t="str">
        <f t="shared" si="22"/>
        <v/>
      </c>
      <c r="AO85" s="18" t="str">
        <f t="shared" si="23"/>
        <v/>
      </c>
      <c r="AP85" s="10" t="str">
        <f t="shared" si="24"/>
        <v/>
      </c>
      <c r="AQ85" s="10" t="str">
        <f t="shared" si="25"/>
        <v/>
      </c>
      <c r="AR85" s="19" t="str">
        <f t="shared" si="26"/>
        <v/>
      </c>
      <c r="AS85" s="20"/>
      <c r="AT85" s="19"/>
      <c r="AV85" s="21">
        <f>IF(AND($AL85&lt;&gt;"",COUNTIF($AL$11:$AL85,$AL85)=1),1,0)</f>
        <v>0</v>
      </c>
      <c r="AW85" s="21">
        <f t="shared" si="28"/>
        <v>0</v>
      </c>
      <c r="AX85" s="21" t="str">
        <f t="shared" si="27"/>
        <v/>
      </c>
      <c r="AY85" s="21" t="str">
        <f>IF(AND($AM85&lt;&gt;"",$AS85&lt;&gt;"✓"),SUMPRODUCT(($AM$11:$AM85&lt;&gt;"")*($AS$11:$AS85&lt;&gt;"✓")),"")</f>
        <v/>
      </c>
      <c r="AZ85" s="21" t="str">
        <f>IF(AND($AM85&lt;&gt;"",$AS85="✓"),SUMPRODUCT(($AM$11:$AM85&lt;&gt;"")*($AS$11:$AS85="✓")),"")</f>
        <v/>
      </c>
      <c r="BA85" s="21" t="str">
        <f>IF($AL85="","",$AL85&amp;"|"&amp;COUNTIF($AL$11:$AL85,$AL85))</f>
        <v/>
      </c>
    </row>
    <row r="86" spans="2:53" ht="15" customHeight="1" x14ac:dyDescent="0.25">
      <c r="B86" s="5" t="str">
        <f t="shared" si="15"/>
        <v/>
      </c>
      <c r="C86" s="5"/>
      <c r="D86" s="5"/>
      <c r="E86" s="5"/>
      <c r="F86" s="6"/>
      <c r="G86" s="6"/>
      <c r="H86" s="7"/>
      <c r="I86" s="8"/>
      <c r="K86" s="23" t="str">
        <f>IFERROR(INDEX($AL$11:$AL$4010,MATCH(76,$AX$11:$AX$4010,0)),"")</f>
        <v/>
      </c>
      <c r="L86" s="24" t="str">
        <f t="shared" si="16"/>
        <v/>
      </c>
      <c r="M86" s="25" t="str">
        <f t="shared" si="17"/>
        <v/>
      </c>
      <c r="N86" s="25" t="str">
        <f t="shared" si="18"/>
        <v/>
      </c>
      <c r="P86" s="26" t="str">
        <f>IFERROR(INDEX($AM$11:$AM$4010,MATCH($S$8&amp;"|"&amp;76,$BA$11:$BA$4010,0)),"")</f>
        <v/>
      </c>
      <c r="Q86" s="25" t="str">
        <f>IF(P86="","",IFERROR(INDEX($AN$11:$AN$4010,MATCH($S$8&amp;"|"&amp;76,$BA$11:$BA$4010,0)),""))</f>
        <v/>
      </c>
      <c r="R86" s="25" t="str">
        <f>IF(P86="","",IFERROR(INDEX($AO$11:$AO$4010,MATCH($S$8&amp;"|"&amp;76,$BA$11:$BA$4010,0)),""))</f>
        <v/>
      </c>
      <c r="S86" s="24" t="str">
        <f>IF(P86="","",IFERROR(INDEX($AP$11:$AP$4010,MATCH($S$8&amp;"|"&amp;76,$BA$11:$BA$4010,0)),""))</f>
        <v/>
      </c>
      <c r="T86" s="24" t="str">
        <f>IF(P86="","",IFERROR(INDEX($AQ$11:$AQ$4010,MATCH($S$8&amp;"|"&amp;76,$BA$11:$BA$4010,0)),""))</f>
        <v/>
      </c>
      <c r="U86" s="38" t="str">
        <f t="shared" si="19"/>
        <v/>
      </c>
      <c r="W86" s="28" t="str">
        <f>IF(X86="","",IFERROR(INDEX($AL$11:$AL$4010,MATCH(76,$AY$11:$AY$4010,0)),""))</f>
        <v/>
      </c>
      <c r="X86" s="26" t="str">
        <f>IFERROR(INDEX($AM$11:$AM$4010,MATCH(76,$AY$11:$AY$4010,0)),"")</f>
        <v/>
      </c>
      <c r="Y86" s="25" t="str">
        <f>IF(X86="","",IFERROR(INDEX($AN$11:$AN$4010,MATCH(76,$AY$11:$AY$4010,0)),""))</f>
        <v/>
      </c>
      <c r="Z86" s="25" t="str">
        <f>IF(X86="","",IFERROR(INDEX($AO$11:$AO$4010,MATCH(76,$AY$11:$AY$4010,0)),""))</f>
        <v/>
      </c>
      <c r="AA86" s="24" t="str">
        <f>IF(X86="","",IFERROR(INDEX($AQ$11:$AQ$4010,MATCH(76,$AY$11:$AY$4010,0)),""))</f>
        <v/>
      </c>
      <c r="AB86" s="29" t="str">
        <f>IF(X86="","",IFERROR(INDEX($AR$11:$AR$4010,MATCH(76,$AY$11:$AY$4010,0)),""))</f>
        <v/>
      </c>
      <c r="AD86" s="30" t="str">
        <f>IF(AE86="","",IFERROR(INDEX($AL$11:$AL$4010,MATCH(76,$AZ$11:$AZ$4010,0)),""))</f>
        <v/>
      </c>
      <c r="AE86" s="26" t="str">
        <f>IFERROR(INDEX($AM$11:$AM$4010,MATCH(76,$AZ$11:$AZ$4010,0)),"")</f>
        <v/>
      </c>
      <c r="AF86" s="25" t="str">
        <f>IF(AE86="","",IFERROR(INDEX($AN$11:$AN$4010,MATCH(76,$AZ$11:$AZ$4010,0)),""))</f>
        <v/>
      </c>
      <c r="AG86" s="25" t="str">
        <f>IF(AE86="","",IFERROR(INDEX($AO$11:$AO$4010,MATCH(76,$AZ$11:$AZ$4010,0)),""))</f>
        <v/>
      </c>
      <c r="AH86" s="24" t="str">
        <f>IF(AE86="","",IFERROR(INDEX($AQ$11:$AQ$4010,MATCH(76,$AZ$11:$AZ$4010,0)),""))</f>
        <v/>
      </c>
      <c r="AI86" s="29" t="str">
        <f>IF(AE86="","",IFERROR(INDEX($AR$11:$AR$4010,MATCH(76,$AZ$11:$AZ$4010,0)),""))</f>
        <v/>
      </c>
      <c r="AJ86" s="29" t="str">
        <f>IF(AE86="","",IFERROR(INDEX($AT$11:$AT$4010,MATCH(76,$AZ$11:$AZ$4010,0)),""))</f>
        <v/>
      </c>
      <c r="AL86" s="31" t="str">
        <f t="shared" si="20"/>
        <v/>
      </c>
      <c r="AM86" s="26" t="str">
        <f t="shared" si="21"/>
        <v/>
      </c>
      <c r="AN86" s="32" t="str">
        <f t="shared" si="22"/>
        <v/>
      </c>
      <c r="AO86" s="32" t="str">
        <f t="shared" si="23"/>
        <v/>
      </c>
      <c r="AP86" s="24" t="str">
        <f t="shared" si="24"/>
        <v/>
      </c>
      <c r="AQ86" s="24" t="str">
        <f t="shared" si="25"/>
        <v/>
      </c>
      <c r="AR86" s="33" t="str">
        <f t="shared" si="26"/>
        <v/>
      </c>
      <c r="AS86" s="34"/>
      <c r="AT86" s="33"/>
      <c r="AV86" s="21">
        <f>IF(AND($AL86&lt;&gt;"",COUNTIF($AL$11:$AL86,$AL86)=1),1,0)</f>
        <v>0</v>
      </c>
      <c r="AW86" s="21">
        <f t="shared" si="28"/>
        <v>0</v>
      </c>
      <c r="AX86" s="21" t="str">
        <f t="shared" si="27"/>
        <v/>
      </c>
      <c r="AY86" s="21" t="str">
        <f>IF(AND($AM86&lt;&gt;"",$AS86&lt;&gt;"✓"),SUMPRODUCT(($AM$11:$AM86&lt;&gt;"")*($AS$11:$AS86&lt;&gt;"✓")),"")</f>
        <v/>
      </c>
      <c r="AZ86" s="21" t="str">
        <f>IF(AND($AM86&lt;&gt;"",$AS86="✓"),SUMPRODUCT(($AM$11:$AM86&lt;&gt;"")*($AS$11:$AS86="✓")),"")</f>
        <v/>
      </c>
      <c r="BA86" s="21" t="str">
        <f>IF($AL86="","",$AL86&amp;"|"&amp;COUNTIF($AL$11:$AL86,$AL86))</f>
        <v/>
      </c>
    </row>
    <row r="87" spans="2:53" ht="15" customHeight="1" x14ac:dyDescent="0.25">
      <c r="B87" s="5" t="str">
        <f t="shared" si="15"/>
        <v/>
      </c>
      <c r="C87" s="5"/>
      <c r="D87" s="5"/>
      <c r="E87" s="5"/>
      <c r="F87" s="6"/>
      <c r="G87" s="6"/>
      <c r="H87" s="7"/>
      <c r="I87" s="8"/>
      <c r="K87" s="9" t="str">
        <f>IFERROR(INDEX($AL$11:$AL$4010,MATCH(77,$AX$11:$AX$4010,0)),"")</f>
        <v/>
      </c>
      <c r="L87" s="10" t="str">
        <f t="shared" si="16"/>
        <v/>
      </c>
      <c r="M87" s="11" t="str">
        <f t="shared" si="17"/>
        <v/>
      </c>
      <c r="N87" s="11" t="str">
        <f t="shared" si="18"/>
        <v/>
      </c>
      <c r="P87" s="12" t="str">
        <f>IFERROR(INDEX($AM$11:$AM$4010,MATCH($S$8&amp;"|"&amp;77,$BA$11:$BA$4010,0)),"")</f>
        <v/>
      </c>
      <c r="Q87" s="11" t="str">
        <f>IF(P87="","",IFERROR(INDEX($AN$11:$AN$4010,MATCH($S$8&amp;"|"&amp;77,$BA$11:$BA$4010,0)),""))</f>
        <v/>
      </c>
      <c r="R87" s="11" t="str">
        <f>IF(P87="","",IFERROR(INDEX($AO$11:$AO$4010,MATCH($S$8&amp;"|"&amp;77,$BA$11:$BA$4010,0)),""))</f>
        <v/>
      </c>
      <c r="S87" s="10" t="str">
        <f>IF(P87="","",IFERROR(INDEX($AP$11:$AP$4010,MATCH($S$8&amp;"|"&amp;77,$BA$11:$BA$4010,0)),""))</f>
        <v/>
      </c>
      <c r="T87" s="10" t="str">
        <f>IF(P87="","",IFERROR(INDEX($AQ$11:$AQ$4010,MATCH($S$8&amp;"|"&amp;77,$BA$11:$BA$4010,0)),""))</f>
        <v/>
      </c>
      <c r="U87" s="39" t="str">
        <f t="shared" si="19"/>
        <v/>
      </c>
      <c r="W87" s="14" t="str">
        <f>IF(X87="","",IFERROR(INDEX($AL$11:$AL$4010,MATCH(77,$AY$11:$AY$4010,0)),""))</f>
        <v/>
      </c>
      <c r="X87" s="12" t="str">
        <f>IFERROR(INDEX($AM$11:$AM$4010,MATCH(77,$AY$11:$AY$4010,0)),"")</f>
        <v/>
      </c>
      <c r="Y87" s="11" t="str">
        <f>IF(X87="","",IFERROR(INDEX($AN$11:$AN$4010,MATCH(77,$AY$11:$AY$4010,0)),""))</f>
        <v/>
      </c>
      <c r="Z87" s="11" t="str">
        <f>IF(X87="","",IFERROR(INDEX($AO$11:$AO$4010,MATCH(77,$AY$11:$AY$4010,0)),""))</f>
        <v/>
      </c>
      <c r="AA87" s="10" t="str">
        <f>IF(X87="","",IFERROR(INDEX($AQ$11:$AQ$4010,MATCH(77,$AY$11:$AY$4010,0)),""))</f>
        <v/>
      </c>
      <c r="AB87" s="15" t="str">
        <f>IF(X87="","",IFERROR(INDEX($AR$11:$AR$4010,MATCH(77,$AY$11:$AY$4010,0)),""))</f>
        <v/>
      </c>
      <c r="AD87" s="16" t="str">
        <f>IF(AE87="","",IFERROR(INDEX($AL$11:$AL$4010,MATCH(77,$AZ$11:$AZ$4010,0)),""))</f>
        <v/>
      </c>
      <c r="AE87" s="12" t="str">
        <f>IFERROR(INDEX($AM$11:$AM$4010,MATCH(77,$AZ$11:$AZ$4010,0)),"")</f>
        <v/>
      </c>
      <c r="AF87" s="11" t="str">
        <f>IF(AE87="","",IFERROR(INDEX($AN$11:$AN$4010,MATCH(77,$AZ$11:$AZ$4010,0)),""))</f>
        <v/>
      </c>
      <c r="AG87" s="11" t="str">
        <f>IF(AE87="","",IFERROR(INDEX($AO$11:$AO$4010,MATCH(77,$AZ$11:$AZ$4010,0)),""))</f>
        <v/>
      </c>
      <c r="AH87" s="10" t="str">
        <f>IF(AE87="","",IFERROR(INDEX($AQ$11:$AQ$4010,MATCH(77,$AZ$11:$AZ$4010,0)),""))</f>
        <v/>
      </c>
      <c r="AI87" s="15" t="str">
        <f>IF(AE87="","",IFERROR(INDEX($AR$11:$AR$4010,MATCH(77,$AZ$11:$AZ$4010,0)),""))</f>
        <v/>
      </c>
      <c r="AJ87" s="15" t="str">
        <f>IF(AE87="","",IFERROR(INDEX($AT$11:$AT$4010,MATCH(77,$AZ$11:$AZ$4010,0)),""))</f>
        <v/>
      </c>
      <c r="AL87" s="17" t="str">
        <f t="shared" si="20"/>
        <v/>
      </c>
      <c r="AM87" s="12" t="str">
        <f t="shared" si="21"/>
        <v/>
      </c>
      <c r="AN87" s="18" t="str">
        <f t="shared" si="22"/>
        <v/>
      </c>
      <c r="AO87" s="18" t="str">
        <f t="shared" si="23"/>
        <v/>
      </c>
      <c r="AP87" s="10" t="str">
        <f t="shared" si="24"/>
        <v/>
      </c>
      <c r="AQ87" s="10" t="str">
        <f t="shared" si="25"/>
        <v/>
      </c>
      <c r="AR87" s="19" t="str">
        <f t="shared" si="26"/>
        <v/>
      </c>
      <c r="AS87" s="20"/>
      <c r="AT87" s="19"/>
      <c r="AV87" s="21">
        <f>IF(AND($AL87&lt;&gt;"",COUNTIF($AL$11:$AL87,$AL87)=1),1,0)</f>
        <v>0</v>
      </c>
      <c r="AW87" s="21">
        <f t="shared" si="28"/>
        <v>0</v>
      </c>
      <c r="AX87" s="21" t="str">
        <f t="shared" si="27"/>
        <v/>
      </c>
      <c r="AY87" s="21" t="str">
        <f>IF(AND($AM87&lt;&gt;"",$AS87&lt;&gt;"✓"),SUMPRODUCT(($AM$11:$AM87&lt;&gt;"")*($AS$11:$AS87&lt;&gt;"✓")),"")</f>
        <v/>
      </c>
      <c r="AZ87" s="21" t="str">
        <f>IF(AND($AM87&lt;&gt;"",$AS87="✓"),SUMPRODUCT(($AM$11:$AM87&lt;&gt;"")*($AS$11:$AS87="✓")),"")</f>
        <v/>
      </c>
      <c r="BA87" s="21" t="str">
        <f>IF($AL87="","",$AL87&amp;"|"&amp;COUNTIF($AL$11:$AL87,$AL87))</f>
        <v/>
      </c>
    </row>
    <row r="88" spans="2:53" ht="15" customHeight="1" x14ac:dyDescent="0.25">
      <c r="B88" s="5" t="str">
        <f t="shared" si="15"/>
        <v/>
      </c>
      <c r="C88" s="5"/>
      <c r="D88" s="5"/>
      <c r="E88" s="5"/>
      <c r="F88" s="6"/>
      <c r="G88" s="6"/>
      <c r="H88" s="7"/>
      <c r="I88" s="8"/>
      <c r="K88" s="23" t="str">
        <f>IFERROR(INDEX($AL$11:$AL$4010,MATCH(78,$AX$11:$AX$4010,0)),"")</f>
        <v/>
      </c>
      <c r="L88" s="24" t="str">
        <f t="shared" si="16"/>
        <v/>
      </c>
      <c r="M88" s="25" t="str">
        <f t="shared" si="17"/>
        <v/>
      </c>
      <c r="N88" s="25" t="str">
        <f t="shared" si="18"/>
        <v/>
      </c>
      <c r="P88" s="26" t="str">
        <f>IFERROR(INDEX($AM$11:$AM$4010,MATCH($S$8&amp;"|"&amp;78,$BA$11:$BA$4010,0)),"")</f>
        <v/>
      </c>
      <c r="Q88" s="25" t="str">
        <f>IF(P88="","",IFERROR(INDEX($AN$11:$AN$4010,MATCH($S$8&amp;"|"&amp;78,$BA$11:$BA$4010,0)),""))</f>
        <v/>
      </c>
      <c r="R88" s="25" t="str">
        <f>IF(P88="","",IFERROR(INDEX($AO$11:$AO$4010,MATCH($S$8&amp;"|"&amp;78,$BA$11:$BA$4010,0)),""))</f>
        <v/>
      </c>
      <c r="S88" s="24" t="str">
        <f>IF(P88="","",IFERROR(INDEX($AP$11:$AP$4010,MATCH($S$8&amp;"|"&amp;78,$BA$11:$BA$4010,0)),""))</f>
        <v/>
      </c>
      <c r="T88" s="24" t="str">
        <f>IF(P88="","",IFERROR(INDEX($AQ$11:$AQ$4010,MATCH($S$8&amp;"|"&amp;78,$BA$11:$BA$4010,0)),""))</f>
        <v/>
      </c>
      <c r="U88" s="38" t="str">
        <f t="shared" si="19"/>
        <v/>
      </c>
      <c r="W88" s="28" t="str">
        <f>IF(X88="","",IFERROR(INDEX($AL$11:$AL$4010,MATCH(78,$AY$11:$AY$4010,0)),""))</f>
        <v/>
      </c>
      <c r="X88" s="26" t="str">
        <f>IFERROR(INDEX($AM$11:$AM$4010,MATCH(78,$AY$11:$AY$4010,0)),"")</f>
        <v/>
      </c>
      <c r="Y88" s="25" t="str">
        <f>IF(X88="","",IFERROR(INDEX($AN$11:$AN$4010,MATCH(78,$AY$11:$AY$4010,0)),""))</f>
        <v/>
      </c>
      <c r="Z88" s="25" t="str">
        <f>IF(X88="","",IFERROR(INDEX($AO$11:$AO$4010,MATCH(78,$AY$11:$AY$4010,0)),""))</f>
        <v/>
      </c>
      <c r="AA88" s="24" t="str">
        <f>IF(X88="","",IFERROR(INDEX($AQ$11:$AQ$4010,MATCH(78,$AY$11:$AY$4010,0)),""))</f>
        <v/>
      </c>
      <c r="AB88" s="29" t="str">
        <f>IF(X88="","",IFERROR(INDEX($AR$11:$AR$4010,MATCH(78,$AY$11:$AY$4010,0)),""))</f>
        <v/>
      </c>
      <c r="AD88" s="30" t="str">
        <f>IF(AE88="","",IFERROR(INDEX($AL$11:$AL$4010,MATCH(78,$AZ$11:$AZ$4010,0)),""))</f>
        <v/>
      </c>
      <c r="AE88" s="26" t="str">
        <f>IFERROR(INDEX($AM$11:$AM$4010,MATCH(78,$AZ$11:$AZ$4010,0)),"")</f>
        <v/>
      </c>
      <c r="AF88" s="25" t="str">
        <f>IF(AE88="","",IFERROR(INDEX($AN$11:$AN$4010,MATCH(78,$AZ$11:$AZ$4010,0)),""))</f>
        <v/>
      </c>
      <c r="AG88" s="25" t="str">
        <f>IF(AE88="","",IFERROR(INDEX($AO$11:$AO$4010,MATCH(78,$AZ$11:$AZ$4010,0)),""))</f>
        <v/>
      </c>
      <c r="AH88" s="24" t="str">
        <f>IF(AE88="","",IFERROR(INDEX($AQ$11:$AQ$4010,MATCH(78,$AZ$11:$AZ$4010,0)),""))</f>
        <v/>
      </c>
      <c r="AI88" s="29" t="str">
        <f>IF(AE88="","",IFERROR(INDEX($AR$11:$AR$4010,MATCH(78,$AZ$11:$AZ$4010,0)),""))</f>
        <v/>
      </c>
      <c r="AJ88" s="29" t="str">
        <f>IF(AE88="","",IFERROR(INDEX($AT$11:$AT$4010,MATCH(78,$AZ$11:$AZ$4010,0)),""))</f>
        <v/>
      </c>
      <c r="AL88" s="31" t="str">
        <f t="shared" si="20"/>
        <v/>
      </c>
      <c r="AM88" s="26" t="str">
        <f t="shared" si="21"/>
        <v/>
      </c>
      <c r="AN88" s="32" t="str">
        <f t="shared" si="22"/>
        <v/>
      </c>
      <c r="AO88" s="32" t="str">
        <f t="shared" si="23"/>
        <v/>
      </c>
      <c r="AP88" s="24" t="str">
        <f t="shared" si="24"/>
        <v/>
      </c>
      <c r="AQ88" s="24" t="str">
        <f t="shared" si="25"/>
        <v/>
      </c>
      <c r="AR88" s="33" t="str">
        <f t="shared" si="26"/>
        <v/>
      </c>
      <c r="AS88" s="34"/>
      <c r="AT88" s="33"/>
      <c r="AV88" s="21">
        <f>IF(AND($AL88&lt;&gt;"",COUNTIF($AL$11:$AL88,$AL88)=1),1,0)</f>
        <v>0</v>
      </c>
      <c r="AW88" s="21">
        <f t="shared" si="28"/>
        <v>0</v>
      </c>
      <c r="AX88" s="21" t="str">
        <f t="shared" si="27"/>
        <v/>
      </c>
      <c r="AY88" s="21" t="str">
        <f>IF(AND($AM88&lt;&gt;"",$AS88&lt;&gt;"✓"),SUMPRODUCT(($AM$11:$AM88&lt;&gt;"")*($AS$11:$AS88&lt;&gt;"✓")),"")</f>
        <v/>
      </c>
      <c r="AZ88" s="21" t="str">
        <f>IF(AND($AM88&lt;&gt;"",$AS88="✓"),SUMPRODUCT(($AM$11:$AM88&lt;&gt;"")*($AS$11:$AS88="✓")),"")</f>
        <v/>
      </c>
      <c r="BA88" s="21" t="str">
        <f>IF($AL88="","",$AL88&amp;"|"&amp;COUNTIF($AL$11:$AL88,$AL88))</f>
        <v/>
      </c>
    </row>
    <row r="89" spans="2:53" ht="15" customHeight="1" x14ac:dyDescent="0.25">
      <c r="B89" s="5" t="str">
        <f t="shared" si="15"/>
        <v/>
      </c>
      <c r="C89" s="5"/>
      <c r="D89" s="5"/>
      <c r="E89" s="5"/>
      <c r="F89" s="6"/>
      <c r="G89" s="6"/>
      <c r="H89" s="7"/>
      <c r="I89" s="8"/>
      <c r="K89" s="9" t="str">
        <f>IFERROR(INDEX($AL$11:$AL$4010,MATCH(79,$AX$11:$AX$4010,0)),"")</f>
        <v/>
      </c>
      <c r="L89" s="10" t="str">
        <f t="shared" si="16"/>
        <v/>
      </c>
      <c r="M89" s="11" t="str">
        <f t="shared" si="17"/>
        <v/>
      </c>
      <c r="N89" s="11" t="str">
        <f t="shared" si="18"/>
        <v/>
      </c>
      <c r="P89" s="12" t="str">
        <f>IFERROR(INDEX($AM$11:$AM$4010,MATCH($S$8&amp;"|"&amp;79,$BA$11:$BA$4010,0)),"")</f>
        <v/>
      </c>
      <c r="Q89" s="11" t="str">
        <f>IF(P89="","",IFERROR(INDEX($AN$11:$AN$4010,MATCH($S$8&amp;"|"&amp;79,$BA$11:$BA$4010,0)),""))</f>
        <v/>
      </c>
      <c r="R89" s="11" t="str">
        <f>IF(P89="","",IFERROR(INDEX($AO$11:$AO$4010,MATCH($S$8&amp;"|"&amp;79,$BA$11:$BA$4010,0)),""))</f>
        <v/>
      </c>
      <c r="S89" s="10" t="str">
        <f>IF(P89="","",IFERROR(INDEX($AP$11:$AP$4010,MATCH($S$8&amp;"|"&amp;79,$BA$11:$BA$4010,0)),""))</f>
        <v/>
      </c>
      <c r="T89" s="10" t="str">
        <f>IF(P89="","",IFERROR(INDEX($AQ$11:$AQ$4010,MATCH($S$8&amp;"|"&amp;79,$BA$11:$BA$4010,0)),""))</f>
        <v/>
      </c>
      <c r="U89" s="39" t="str">
        <f t="shared" si="19"/>
        <v/>
      </c>
      <c r="W89" s="14" t="str">
        <f>IF(X89="","",IFERROR(INDEX($AL$11:$AL$4010,MATCH(79,$AY$11:$AY$4010,0)),""))</f>
        <v/>
      </c>
      <c r="X89" s="12" t="str">
        <f>IFERROR(INDEX($AM$11:$AM$4010,MATCH(79,$AY$11:$AY$4010,0)),"")</f>
        <v/>
      </c>
      <c r="Y89" s="11" t="str">
        <f>IF(X89="","",IFERROR(INDEX($AN$11:$AN$4010,MATCH(79,$AY$11:$AY$4010,0)),""))</f>
        <v/>
      </c>
      <c r="Z89" s="11" t="str">
        <f>IF(X89="","",IFERROR(INDEX($AO$11:$AO$4010,MATCH(79,$AY$11:$AY$4010,0)),""))</f>
        <v/>
      </c>
      <c r="AA89" s="10" t="str">
        <f>IF(X89="","",IFERROR(INDEX($AQ$11:$AQ$4010,MATCH(79,$AY$11:$AY$4010,0)),""))</f>
        <v/>
      </c>
      <c r="AB89" s="15" t="str">
        <f>IF(X89="","",IFERROR(INDEX($AR$11:$AR$4010,MATCH(79,$AY$11:$AY$4010,0)),""))</f>
        <v/>
      </c>
      <c r="AD89" s="16" t="str">
        <f>IF(AE89="","",IFERROR(INDEX($AL$11:$AL$4010,MATCH(79,$AZ$11:$AZ$4010,0)),""))</f>
        <v/>
      </c>
      <c r="AE89" s="12" t="str">
        <f>IFERROR(INDEX($AM$11:$AM$4010,MATCH(79,$AZ$11:$AZ$4010,0)),"")</f>
        <v/>
      </c>
      <c r="AF89" s="11" t="str">
        <f>IF(AE89="","",IFERROR(INDEX($AN$11:$AN$4010,MATCH(79,$AZ$11:$AZ$4010,0)),""))</f>
        <v/>
      </c>
      <c r="AG89" s="11" t="str">
        <f>IF(AE89="","",IFERROR(INDEX($AO$11:$AO$4010,MATCH(79,$AZ$11:$AZ$4010,0)),""))</f>
        <v/>
      </c>
      <c r="AH89" s="10" t="str">
        <f>IF(AE89="","",IFERROR(INDEX($AQ$11:$AQ$4010,MATCH(79,$AZ$11:$AZ$4010,0)),""))</f>
        <v/>
      </c>
      <c r="AI89" s="15" t="str">
        <f>IF(AE89="","",IFERROR(INDEX($AR$11:$AR$4010,MATCH(79,$AZ$11:$AZ$4010,0)),""))</f>
        <v/>
      </c>
      <c r="AJ89" s="15" t="str">
        <f>IF(AE89="","",IFERROR(INDEX($AT$11:$AT$4010,MATCH(79,$AZ$11:$AZ$4010,0)),""))</f>
        <v/>
      </c>
      <c r="AL89" s="17" t="str">
        <f t="shared" si="20"/>
        <v/>
      </c>
      <c r="AM89" s="12" t="str">
        <f t="shared" si="21"/>
        <v/>
      </c>
      <c r="AN89" s="18" t="str">
        <f t="shared" si="22"/>
        <v/>
      </c>
      <c r="AO89" s="18" t="str">
        <f t="shared" si="23"/>
        <v/>
      </c>
      <c r="AP89" s="10" t="str">
        <f t="shared" si="24"/>
        <v/>
      </c>
      <c r="AQ89" s="10" t="str">
        <f t="shared" si="25"/>
        <v/>
      </c>
      <c r="AR89" s="19" t="str">
        <f t="shared" si="26"/>
        <v/>
      </c>
      <c r="AS89" s="20"/>
      <c r="AT89" s="19"/>
      <c r="AV89" s="21">
        <f>IF(AND($AL89&lt;&gt;"",COUNTIF($AL$11:$AL89,$AL89)=1),1,0)</f>
        <v>0</v>
      </c>
      <c r="AW89" s="21">
        <f t="shared" si="28"/>
        <v>0</v>
      </c>
      <c r="AX89" s="21" t="str">
        <f t="shared" si="27"/>
        <v/>
      </c>
      <c r="AY89" s="21" t="str">
        <f>IF(AND($AM89&lt;&gt;"",$AS89&lt;&gt;"✓"),SUMPRODUCT(($AM$11:$AM89&lt;&gt;"")*($AS$11:$AS89&lt;&gt;"✓")),"")</f>
        <v/>
      </c>
      <c r="AZ89" s="21" t="str">
        <f>IF(AND($AM89&lt;&gt;"",$AS89="✓"),SUMPRODUCT(($AM$11:$AM89&lt;&gt;"")*($AS$11:$AS89="✓")),"")</f>
        <v/>
      </c>
      <c r="BA89" s="21" t="str">
        <f>IF($AL89="","",$AL89&amp;"|"&amp;COUNTIF($AL$11:$AL89,$AL89))</f>
        <v/>
      </c>
    </row>
    <row r="90" spans="2:53" ht="15" customHeight="1" x14ac:dyDescent="0.25">
      <c r="B90" s="5" t="str">
        <f t="shared" si="15"/>
        <v/>
      </c>
      <c r="C90" s="5"/>
      <c r="D90" s="5"/>
      <c r="E90" s="5"/>
      <c r="F90" s="6"/>
      <c r="G90" s="6"/>
      <c r="H90" s="7"/>
      <c r="I90" s="8"/>
      <c r="K90" s="23" t="str">
        <f>IFERROR(INDEX($AL$11:$AL$4010,MATCH(80,$AX$11:$AX$4010,0)),"")</f>
        <v/>
      </c>
      <c r="L90" s="24" t="str">
        <f t="shared" si="16"/>
        <v/>
      </c>
      <c r="M90" s="25" t="str">
        <f t="shared" si="17"/>
        <v/>
      </c>
      <c r="N90" s="25" t="str">
        <f t="shared" si="18"/>
        <v/>
      </c>
      <c r="P90" s="26" t="str">
        <f>IFERROR(INDEX($AM$11:$AM$4010,MATCH($S$8&amp;"|"&amp;80,$BA$11:$BA$4010,0)),"")</f>
        <v/>
      </c>
      <c r="Q90" s="25" t="str">
        <f>IF(P90="","",IFERROR(INDEX($AN$11:$AN$4010,MATCH($S$8&amp;"|"&amp;80,$BA$11:$BA$4010,0)),""))</f>
        <v/>
      </c>
      <c r="R90" s="25" t="str">
        <f>IF(P90="","",IFERROR(INDEX($AO$11:$AO$4010,MATCH($S$8&amp;"|"&amp;80,$BA$11:$BA$4010,0)),""))</f>
        <v/>
      </c>
      <c r="S90" s="24" t="str">
        <f>IF(P90="","",IFERROR(INDEX($AP$11:$AP$4010,MATCH($S$8&amp;"|"&amp;80,$BA$11:$BA$4010,0)),""))</f>
        <v/>
      </c>
      <c r="T90" s="24" t="str">
        <f>IF(P90="","",IFERROR(INDEX($AQ$11:$AQ$4010,MATCH($S$8&amp;"|"&amp;80,$BA$11:$BA$4010,0)),""))</f>
        <v/>
      </c>
      <c r="U90" s="38" t="str">
        <f t="shared" si="19"/>
        <v/>
      </c>
      <c r="W90" s="28" t="str">
        <f>IF(X90="","",IFERROR(INDEX($AL$11:$AL$4010,MATCH(80,$AY$11:$AY$4010,0)),""))</f>
        <v/>
      </c>
      <c r="X90" s="26" t="str">
        <f>IFERROR(INDEX($AM$11:$AM$4010,MATCH(80,$AY$11:$AY$4010,0)),"")</f>
        <v/>
      </c>
      <c r="Y90" s="25" t="str">
        <f>IF(X90="","",IFERROR(INDEX($AN$11:$AN$4010,MATCH(80,$AY$11:$AY$4010,0)),""))</f>
        <v/>
      </c>
      <c r="Z90" s="25" t="str">
        <f>IF(X90="","",IFERROR(INDEX($AO$11:$AO$4010,MATCH(80,$AY$11:$AY$4010,0)),""))</f>
        <v/>
      </c>
      <c r="AA90" s="24" t="str">
        <f>IF(X90="","",IFERROR(INDEX($AQ$11:$AQ$4010,MATCH(80,$AY$11:$AY$4010,0)),""))</f>
        <v/>
      </c>
      <c r="AB90" s="29" t="str">
        <f>IF(X90="","",IFERROR(INDEX($AR$11:$AR$4010,MATCH(80,$AY$11:$AY$4010,0)),""))</f>
        <v/>
      </c>
      <c r="AD90" s="30" t="str">
        <f>IF(AE90="","",IFERROR(INDEX($AL$11:$AL$4010,MATCH(80,$AZ$11:$AZ$4010,0)),""))</f>
        <v/>
      </c>
      <c r="AE90" s="26" t="str">
        <f>IFERROR(INDEX($AM$11:$AM$4010,MATCH(80,$AZ$11:$AZ$4010,0)),"")</f>
        <v/>
      </c>
      <c r="AF90" s="25" t="str">
        <f>IF(AE90="","",IFERROR(INDEX($AN$11:$AN$4010,MATCH(80,$AZ$11:$AZ$4010,0)),""))</f>
        <v/>
      </c>
      <c r="AG90" s="25" t="str">
        <f>IF(AE90="","",IFERROR(INDEX($AO$11:$AO$4010,MATCH(80,$AZ$11:$AZ$4010,0)),""))</f>
        <v/>
      </c>
      <c r="AH90" s="24" t="str">
        <f>IF(AE90="","",IFERROR(INDEX($AQ$11:$AQ$4010,MATCH(80,$AZ$11:$AZ$4010,0)),""))</f>
        <v/>
      </c>
      <c r="AI90" s="29" t="str">
        <f>IF(AE90="","",IFERROR(INDEX($AR$11:$AR$4010,MATCH(80,$AZ$11:$AZ$4010,0)),""))</f>
        <v/>
      </c>
      <c r="AJ90" s="29" t="str">
        <f>IF(AE90="","",IFERROR(INDEX($AT$11:$AT$4010,MATCH(80,$AZ$11:$AZ$4010,0)),""))</f>
        <v/>
      </c>
      <c r="AL90" s="31" t="str">
        <f t="shared" si="20"/>
        <v/>
      </c>
      <c r="AM90" s="26" t="str">
        <f t="shared" si="21"/>
        <v/>
      </c>
      <c r="AN90" s="32" t="str">
        <f t="shared" si="22"/>
        <v/>
      </c>
      <c r="AO90" s="32" t="str">
        <f t="shared" si="23"/>
        <v/>
      </c>
      <c r="AP90" s="24" t="str">
        <f t="shared" si="24"/>
        <v/>
      </c>
      <c r="AQ90" s="24" t="str">
        <f t="shared" si="25"/>
        <v/>
      </c>
      <c r="AR90" s="33" t="str">
        <f t="shared" si="26"/>
        <v/>
      </c>
      <c r="AS90" s="34"/>
      <c r="AT90" s="33"/>
      <c r="AV90" s="21">
        <f>IF(AND($AL90&lt;&gt;"",COUNTIF($AL$11:$AL90,$AL90)=1),1,0)</f>
        <v>0</v>
      </c>
      <c r="AW90" s="21">
        <f t="shared" si="28"/>
        <v>0</v>
      </c>
      <c r="AX90" s="21" t="str">
        <f t="shared" si="27"/>
        <v/>
      </c>
      <c r="AY90" s="21" t="str">
        <f>IF(AND($AM90&lt;&gt;"",$AS90&lt;&gt;"✓"),SUMPRODUCT(($AM$11:$AM90&lt;&gt;"")*($AS$11:$AS90&lt;&gt;"✓")),"")</f>
        <v/>
      </c>
      <c r="AZ90" s="21" t="str">
        <f>IF(AND($AM90&lt;&gt;"",$AS90="✓"),SUMPRODUCT(($AM$11:$AM90&lt;&gt;"")*($AS$11:$AS90="✓")),"")</f>
        <v/>
      </c>
      <c r="BA90" s="21" t="str">
        <f>IF($AL90="","",$AL90&amp;"|"&amp;COUNTIF($AL$11:$AL90,$AL90))</f>
        <v/>
      </c>
    </row>
    <row r="91" spans="2:53" ht="15" customHeight="1" x14ac:dyDescent="0.25">
      <c r="B91" s="5" t="str">
        <f t="shared" si="15"/>
        <v/>
      </c>
      <c r="C91" s="5"/>
      <c r="D91" s="5"/>
      <c r="E91" s="5"/>
      <c r="F91" s="6"/>
      <c r="G91" s="6"/>
      <c r="H91" s="7"/>
      <c r="I91" s="8"/>
      <c r="K91" s="9" t="str">
        <f>IFERROR(INDEX($AL$11:$AL$4010,MATCH(81,$AX$11:$AX$4010,0)),"")</f>
        <v/>
      </c>
      <c r="L91" s="10" t="str">
        <f t="shared" si="16"/>
        <v/>
      </c>
      <c r="M91" s="11" t="str">
        <f t="shared" si="17"/>
        <v/>
      </c>
      <c r="N91" s="11" t="str">
        <f t="shared" si="18"/>
        <v/>
      </c>
      <c r="P91" s="12" t="str">
        <f>IFERROR(INDEX($AM$11:$AM$4010,MATCH($S$8&amp;"|"&amp;81,$BA$11:$BA$4010,0)),"")</f>
        <v/>
      </c>
      <c r="Q91" s="11" t="str">
        <f>IF(P91="","",IFERROR(INDEX($AN$11:$AN$4010,MATCH($S$8&amp;"|"&amp;81,$BA$11:$BA$4010,0)),""))</f>
        <v/>
      </c>
      <c r="R91" s="11" t="str">
        <f>IF(P91="","",IFERROR(INDEX($AO$11:$AO$4010,MATCH($S$8&amp;"|"&amp;81,$BA$11:$BA$4010,0)),""))</f>
        <v/>
      </c>
      <c r="S91" s="10" t="str">
        <f>IF(P91="","",IFERROR(INDEX($AP$11:$AP$4010,MATCH($S$8&amp;"|"&amp;81,$BA$11:$BA$4010,0)),""))</f>
        <v/>
      </c>
      <c r="T91" s="10" t="str">
        <f>IF(P91="","",IFERROR(INDEX($AQ$11:$AQ$4010,MATCH($S$8&amp;"|"&amp;81,$BA$11:$BA$4010,0)),""))</f>
        <v/>
      </c>
      <c r="U91" s="39" t="str">
        <f t="shared" si="19"/>
        <v/>
      </c>
      <c r="W91" s="14" t="str">
        <f>IF(X91="","",IFERROR(INDEX($AL$11:$AL$4010,MATCH(81,$AY$11:$AY$4010,0)),""))</f>
        <v/>
      </c>
      <c r="X91" s="12" t="str">
        <f>IFERROR(INDEX($AM$11:$AM$4010,MATCH(81,$AY$11:$AY$4010,0)),"")</f>
        <v/>
      </c>
      <c r="Y91" s="11" t="str">
        <f>IF(X91="","",IFERROR(INDEX($AN$11:$AN$4010,MATCH(81,$AY$11:$AY$4010,0)),""))</f>
        <v/>
      </c>
      <c r="Z91" s="11" t="str">
        <f>IF(X91="","",IFERROR(INDEX($AO$11:$AO$4010,MATCH(81,$AY$11:$AY$4010,0)),""))</f>
        <v/>
      </c>
      <c r="AA91" s="10" t="str">
        <f>IF(X91="","",IFERROR(INDEX($AQ$11:$AQ$4010,MATCH(81,$AY$11:$AY$4010,0)),""))</f>
        <v/>
      </c>
      <c r="AB91" s="15" t="str">
        <f>IF(X91="","",IFERROR(INDEX($AR$11:$AR$4010,MATCH(81,$AY$11:$AY$4010,0)),""))</f>
        <v/>
      </c>
      <c r="AD91" s="16" t="str">
        <f>IF(AE91="","",IFERROR(INDEX($AL$11:$AL$4010,MATCH(81,$AZ$11:$AZ$4010,0)),""))</f>
        <v/>
      </c>
      <c r="AE91" s="12" t="str">
        <f>IFERROR(INDEX($AM$11:$AM$4010,MATCH(81,$AZ$11:$AZ$4010,0)),"")</f>
        <v/>
      </c>
      <c r="AF91" s="11" t="str">
        <f>IF(AE91="","",IFERROR(INDEX($AN$11:$AN$4010,MATCH(81,$AZ$11:$AZ$4010,0)),""))</f>
        <v/>
      </c>
      <c r="AG91" s="11" t="str">
        <f>IF(AE91="","",IFERROR(INDEX($AO$11:$AO$4010,MATCH(81,$AZ$11:$AZ$4010,0)),""))</f>
        <v/>
      </c>
      <c r="AH91" s="10" t="str">
        <f>IF(AE91="","",IFERROR(INDEX($AQ$11:$AQ$4010,MATCH(81,$AZ$11:$AZ$4010,0)),""))</f>
        <v/>
      </c>
      <c r="AI91" s="15" t="str">
        <f>IF(AE91="","",IFERROR(INDEX($AR$11:$AR$4010,MATCH(81,$AZ$11:$AZ$4010,0)),""))</f>
        <v/>
      </c>
      <c r="AJ91" s="15" t="str">
        <f>IF(AE91="","",IFERROR(INDEX($AT$11:$AT$4010,MATCH(81,$AZ$11:$AZ$4010,0)),""))</f>
        <v/>
      </c>
      <c r="AL91" s="17" t="str">
        <f t="shared" si="20"/>
        <v/>
      </c>
      <c r="AM91" s="12" t="str">
        <f t="shared" si="21"/>
        <v/>
      </c>
      <c r="AN91" s="18" t="str">
        <f t="shared" si="22"/>
        <v/>
      </c>
      <c r="AO91" s="18" t="str">
        <f t="shared" si="23"/>
        <v/>
      </c>
      <c r="AP91" s="10" t="str">
        <f t="shared" si="24"/>
        <v/>
      </c>
      <c r="AQ91" s="10" t="str">
        <f t="shared" si="25"/>
        <v/>
      </c>
      <c r="AR91" s="19" t="str">
        <f t="shared" si="26"/>
        <v/>
      </c>
      <c r="AS91" s="20"/>
      <c r="AT91" s="19"/>
      <c r="AV91" s="21">
        <f>IF(AND($AL91&lt;&gt;"",COUNTIF($AL$11:$AL91,$AL91)=1),1,0)</f>
        <v>0</v>
      </c>
      <c r="AW91" s="21">
        <f t="shared" si="28"/>
        <v>0</v>
      </c>
      <c r="AX91" s="21" t="str">
        <f t="shared" si="27"/>
        <v/>
      </c>
      <c r="AY91" s="21" t="str">
        <f>IF(AND($AM91&lt;&gt;"",$AS91&lt;&gt;"✓"),SUMPRODUCT(($AM$11:$AM91&lt;&gt;"")*($AS$11:$AS91&lt;&gt;"✓")),"")</f>
        <v/>
      </c>
      <c r="AZ91" s="21" t="str">
        <f>IF(AND($AM91&lt;&gt;"",$AS91="✓"),SUMPRODUCT(($AM$11:$AM91&lt;&gt;"")*($AS$11:$AS91="✓")),"")</f>
        <v/>
      </c>
      <c r="BA91" s="21" t="str">
        <f>IF($AL91="","",$AL91&amp;"|"&amp;COUNTIF($AL$11:$AL91,$AL91))</f>
        <v/>
      </c>
    </row>
    <row r="92" spans="2:53" ht="15" customHeight="1" x14ac:dyDescent="0.25">
      <c r="B92" s="5" t="str">
        <f t="shared" si="15"/>
        <v/>
      </c>
      <c r="C92" s="5"/>
      <c r="D92" s="5"/>
      <c r="E92" s="5"/>
      <c r="F92" s="6"/>
      <c r="G92" s="6"/>
      <c r="H92" s="7"/>
      <c r="I92" s="8"/>
      <c r="K92" s="23" t="str">
        <f>IFERROR(INDEX($AL$11:$AL$4010,MATCH(82,$AX$11:$AX$4010,0)),"")</f>
        <v/>
      </c>
      <c r="L92" s="24" t="str">
        <f t="shared" si="16"/>
        <v/>
      </c>
      <c r="M92" s="25" t="str">
        <f t="shared" si="17"/>
        <v/>
      </c>
      <c r="N92" s="25" t="str">
        <f t="shared" si="18"/>
        <v/>
      </c>
      <c r="P92" s="26" t="str">
        <f>IFERROR(INDEX($AM$11:$AM$4010,MATCH($S$8&amp;"|"&amp;82,$BA$11:$BA$4010,0)),"")</f>
        <v/>
      </c>
      <c r="Q92" s="25" t="str">
        <f>IF(P92="","",IFERROR(INDEX($AN$11:$AN$4010,MATCH($S$8&amp;"|"&amp;82,$BA$11:$BA$4010,0)),""))</f>
        <v/>
      </c>
      <c r="R92" s="25" t="str">
        <f>IF(P92="","",IFERROR(INDEX($AO$11:$AO$4010,MATCH($S$8&amp;"|"&amp;82,$BA$11:$BA$4010,0)),""))</f>
        <v/>
      </c>
      <c r="S92" s="24" t="str">
        <f>IF(P92="","",IFERROR(INDEX($AP$11:$AP$4010,MATCH($S$8&amp;"|"&amp;82,$BA$11:$BA$4010,0)),""))</f>
        <v/>
      </c>
      <c r="T92" s="24" t="str">
        <f>IF(P92="","",IFERROR(INDEX($AQ$11:$AQ$4010,MATCH($S$8&amp;"|"&amp;82,$BA$11:$BA$4010,0)),""))</f>
        <v/>
      </c>
      <c r="U92" s="38" t="str">
        <f t="shared" si="19"/>
        <v/>
      </c>
      <c r="W92" s="28" t="str">
        <f>IF(X92="","",IFERROR(INDEX($AL$11:$AL$4010,MATCH(82,$AY$11:$AY$4010,0)),""))</f>
        <v/>
      </c>
      <c r="X92" s="26" t="str">
        <f>IFERROR(INDEX($AM$11:$AM$4010,MATCH(82,$AY$11:$AY$4010,0)),"")</f>
        <v/>
      </c>
      <c r="Y92" s="25" t="str">
        <f>IF(X92="","",IFERROR(INDEX($AN$11:$AN$4010,MATCH(82,$AY$11:$AY$4010,0)),""))</f>
        <v/>
      </c>
      <c r="Z92" s="25" t="str">
        <f>IF(X92="","",IFERROR(INDEX($AO$11:$AO$4010,MATCH(82,$AY$11:$AY$4010,0)),""))</f>
        <v/>
      </c>
      <c r="AA92" s="24" t="str">
        <f>IF(X92="","",IFERROR(INDEX($AQ$11:$AQ$4010,MATCH(82,$AY$11:$AY$4010,0)),""))</f>
        <v/>
      </c>
      <c r="AB92" s="29" t="str">
        <f>IF(X92="","",IFERROR(INDEX($AR$11:$AR$4010,MATCH(82,$AY$11:$AY$4010,0)),""))</f>
        <v/>
      </c>
      <c r="AD92" s="30" t="str">
        <f>IF(AE92="","",IFERROR(INDEX($AL$11:$AL$4010,MATCH(82,$AZ$11:$AZ$4010,0)),""))</f>
        <v/>
      </c>
      <c r="AE92" s="26" t="str">
        <f>IFERROR(INDEX($AM$11:$AM$4010,MATCH(82,$AZ$11:$AZ$4010,0)),"")</f>
        <v/>
      </c>
      <c r="AF92" s="25" t="str">
        <f>IF(AE92="","",IFERROR(INDEX($AN$11:$AN$4010,MATCH(82,$AZ$11:$AZ$4010,0)),""))</f>
        <v/>
      </c>
      <c r="AG92" s="25" t="str">
        <f>IF(AE92="","",IFERROR(INDEX($AO$11:$AO$4010,MATCH(82,$AZ$11:$AZ$4010,0)),""))</f>
        <v/>
      </c>
      <c r="AH92" s="24" t="str">
        <f>IF(AE92="","",IFERROR(INDEX($AQ$11:$AQ$4010,MATCH(82,$AZ$11:$AZ$4010,0)),""))</f>
        <v/>
      </c>
      <c r="AI92" s="29" t="str">
        <f>IF(AE92="","",IFERROR(INDEX($AR$11:$AR$4010,MATCH(82,$AZ$11:$AZ$4010,0)),""))</f>
        <v/>
      </c>
      <c r="AJ92" s="29" t="str">
        <f>IF(AE92="","",IFERROR(INDEX($AT$11:$AT$4010,MATCH(82,$AZ$11:$AZ$4010,0)),""))</f>
        <v/>
      </c>
      <c r="AL92" s="31" t="str">
        <f t="shared" si="20"/>
        <v/>
      </c>
      <c r="AM92" s="26" t="str">
        <f t="shared" si="21"/>
        <v/>
      </c>
      <c r="AN92" s="32" t="str">
        <f t="shared" si="22"/>
        <v/>
      </c>
      <c r="AO92" s="32" t="str">
        <f t="shared" si="23"/>
        <v/>
      </c>
      <c r="AP92" s="24" t="str">
        <f t="shared" si="24"/>
        <v/>
      </c>
      <c r="AQ92" s="24" t="str">
        <f t="shared" si="25"/>
        <v/>
      </c>
      <c r="AR92" s="33" t="str">
        <f t="shared" si="26"/>
        <v/>
      </c>
      <c r="AS92" s="34"/>
      <c r="AT92" s="33"/>
      <c r="AV92" s="21">
        <f>IF(AND($AL92&lt;&gt;"",COUNTIF($AL$11:$AL92,$AL92)=1),1,0)</f>
        <v>0</v>
      </c>
      <c r="AW92" s="21">
        <f t="shared" si="28"/>
        <v>0</v>
      </c>
      <c r="AX92" s="21" t="str">
        <f t="shared" si="27"/>
        <v/>
      </c>
      <c r="AY92" s="21" t="str">
        <f>IF(AND($AM92&lt;&gt;"",$AS92&lt;&gt;"✓"),SUMPRODUCT(($AM$11:$AM92&lt;&gt;"")*($AS$11:$AS92&lt;&gt;"✓")),"")</f>
        <v/>
      </c>
      <c r="AZ92" s="21" t="str">
        <f>IF(AND($AM92&lt;&gt;"",$AS92="✓"),SUMPRODUCT(($AM$11:$AM92&lt;&gt;"")*($AS$11:$AS92="✓")),"")</f>
        <v/>
      </c>
      <c r="BA92" s="21" t="str">
        <f>IF($AL92="","",$AL92&amp;"|"&amp;COUNTIF($AL$11:$AL92,$AL92))</f>
        <v/>
      </c>
    </row>
    <row r="93" spans="2:53" ht="15" customHeight="1" x14ac:dyDescent="0.25">
      <c r="B93" s="5" t="str">
        <f t="shared" si="15"/>
        <v/>
      </c>
      <c r="C93" s="5"/>
      <c r="D93" s="5"/>
      <c r="E93" s="5"/>
      <c r="F93" s="6"/>
      <c r="G93" s="6"/>
      <c r="H93" s="7"/>
      <c r="I93" s="8"/>
      <c r="K93" s="9" t="str">
        <f>IFERROR(INDEX($AL$11:$AL$4010,MATCH(83,$AX$11:$AX$4010,0)),"")</f>
        <v/>
      </c>
      <c r="L93" s="10" t="str">
        <f t="shared" si="16"/>
        <v/>
      </c>
      <c r="M93" s="11" t="str">
        <f t="shared" si="17"/>
        <v/>
      </c>
      <c r="N93" s="11" t="str">
        <f t="shared" si="18"/>
        <v/>
      </c>
      <c r="P93" s="12" t="str">
        <f>IFERROR(INDEX($AM$11:$AM$4010,MATCH($S$8&amp;"|"&amp;83,$BA$11:$BA$4010,0)),"")</f>
        <v/>
      </c>
      <c r="Q93" s="11" t="str">
        <f>IF(P93="","",IFERROR(INDEX($AN$11:$AN$4010,MATCH($S$8&amp;"|"&amp;83,$BA$11:$BA$4010,0)),""))</f>
        <v/>
      </c>
      <c r="R93" s="11" t="str">
        <f>IF(P93="","",IFERROR(INDEX($AO$11:$AO$4010,MATCH($S$8&amp;"|"&amp;83,$BA$11:$BA$4010,0)),""))</f>
        <v/>
      </c>
      <c r="S93" s="10" t="str">
        <f>IF(P93="","",IFERROR(INDEX($AP$11:$AP$4010,MATCH($S$8&amp;"|"&amp;83,$BA$11:$BA$4010,0)),""))</f>
        <v/>
      </c>
      <c r="T93" s="10" t="str">
        <f>IF(P93="","",IFERROR(INDEX($AQ$11:$AQ$4010,MATCH($S$8&amp;"|"&amp;83,$BA$11:$BA$4010,0)),""))</f>
        <v/>
      </c>
      <c r="U93" s="39" t="str">
        <f t="shared" si="19"/>
        <v/>
      </c>
      <c r="W93" s="14" t="str">
        <f>IF(X93="","",IFERROR(INDEX($AL$11:$AL$4010,MATCH(83,$AY$11:$AY$4010,0)),""))</f>
        <v/>
      </c>
      <c r="X93" s="12" t="str">
        <f>IFERROR(INDEX($AM$11:$AM$4010,MATCH(83,$AY$11:$AY$4010,0)),"")</f>
        <v/>
      </c>
      <c r="Y93" s="11" t="str">
        <f>IF(X93="","",IFERROR(INDEX($AN$11:$AN$4010,MATCH(83,$AY$11:$AY$4010,0)),""))</f>
        <v/>
      </c>
      <c r="Z93" s="11" t="str">
        <f>IF(X93="","",IFERROR(INDEX($AO$11:$AO$4010,MATCH(83,$AY$11:$AY$4010,0)),""))</f>
        <v/>
      </c>
      <c r="AA93" s="10" t="str">
        <f>IF(X93="","",IFERROR(INDEX($AQ$11:$AQ$4010,MATCH(83,$AY$11:$AY$4010,0)),""))</f>
        <v/>
      </c>
      <c r="AB93" s="15" t="str">
        <f>IF(X93="","",IFERROR(INDEX($AR$11:$AR$4010,MATCH(83,$AY$11:$AY$4010,0)),""))</f>
        <v/>
      </c>
      <c r="AD93" s="16" t="str">
        <f>IF(AE93="","",IFERROR(INDEX($AL$11:$AL$4010,MATCH(83,$AZ$11:$AZ$4010,0)),""))</f>
        <v/>
      </c>
      <c r="AE93" s="12" t="str">
        <f>IFERROR(INDEX($AM$11:$AM$4010,MATCH(83,$AZ$11:$AZ$4010,0)),"")</f>
        <v/>
      </c>
      <c r="AF93" s="11" t="str">
        <f>IF(AE93="","",IFERROR(INDEX($AN$11:$AN$4010,MATCH(83,$AZ$11:$AZ$4010,0)),""))</f>
        <v/>
      </c>
      <c r="AG93" s="11" t="str">
        <f>IF(AE93="","",IFERROR(INDEX($AO$11:$AO$4010,MATCH(83,$AZ$11:$AZ$4010,0)),""))</f>
        <v/>
      </c>
      <c r="AH93" s="10" t="str">
        <f>IF(AE93="","",IFERROR(INDEX($AQ$11:$AQ$4010,MATCH(83,$AZ$11:$AZ$4010,0)),""))</f>
        <v/>
      </c>
      <c r="AI93" s="15" t="str">
        <f>IF(AE93="","",IFERROR(INDEX($AR$11:$AR$4010,MATCH(83,$AZ$11:$AZ$4010,0)),""))</f>
        <v/>
      </c>
      <c r="AJ93" s="15" t="str">
        <f>IF(AE93="","",IFERROR(INDEX($AT$11:$AT$4010,MATCH(83,$AZ$11:$AZ$4010,0)),""))</f>
        <v/>
      </c>
      <c r="AL93" s="17" t="str">
        <f t="shared" si="20"/>
        <v/>
      </c>
      <c r="AM93" s="12" t="str">
        <f t="shared" si="21"/>
        <v/>
      </c>
      <c r="AN93" s="18" t="str">
        <f t="shared" si="22"/>
        <v/>
      </c>
      <c r="AO93" s="18" t="str">
        <f t="shared" si="23"/>
        <v/>
      </c>
      <c r="AP93" s="10" t="str">
        <f t="shared" si="24"/>
        <v/>
      </c>
      <c r="AQ93" s="10" t="str">
        <f t="shared" si="25"/>
        <v/>
      </c>
      <c r="AR93" s="19" t="str">
        <f t="shared" si="26"/>
        <v/>
      </c>
      <c r="AS93" s="20"/>
      <c r="AT93" s="19"/>
      <c r="AV93" s="21">
        <f>IF(AND($AL93&lt;&gt;"",COUNTIF($AL$11:$AL93,$AL93)=1),1,0)</f>
        <v>0</v>
      </c>
      <c r="AW93" s="21">
        <f t="shared" si="28"/>
        <v>0</v>
      </c>
      <c r="AX93" s="21" t="str">
        <f t="shared" si="27"/>
        <v/>
      </c>
      <c r="AY93" s="21" t="str">
        <f>IF(AND($AM93&lt;&gt;"",$AS93&lt;&gt;"✓"),SUMPRODUCT(($AM$11:$AM93&lt;&gt;"")*($AS$11:$AS93&lt;&gt;"✓")),"")</f>
        <v/>
      </c>
      <c r="AZ93" s="21" t="str">
        <f>IF(AND($AM93&lt;&gt;"",$AS93="✓"),SUMPRODUCT(($AM$11:$AM93&lt;&gt;"")*($AS$11:$AS93="✓")),"")</f>
        <v/>
      </c>
      <c r="BA93" s="21" t="str">
        <f>IF($AL93="","",$AL93&amp;"|"&amp;COUNTIF($AL$11:$AL93,$AL93))</f>
        <v/>
      </c>
    </row>
    <row r="94" spans="2:53" ht="15" customHeight="1" x14ac:dyDescent="0.25">
      <c r="B94" s="5" t="str">
        <f t="shared" si="15"/>
        <v/>
      </c>
      <c r="C94" s="5"/>
      <c r="D94" s="5"/>
      <c r="E94" s="5"/>
      <c r="F94" s="6"/>
      <c r="G94" s="6"/>
      <c r="H94" s="7"/>
      <c r="I94" s="8"/>
      <c r="K94" s="23" t="str">
        <f>IFERROR(INDEX($AL$11:$AL$4010,MATCH(84,$AX$11:$AX$4010,0)),"")</f>
        <v/>
      </c>
      <c r="L94" s="24" t="str">
        <f t="shared" si="16"/>
        <v/>
      </c>
      <c r="M94" s="25" t="str">
        <f t="shared" si="17"/>
        <v/>
      </c>
      <c r="N94" s="25" t="str">
        <f t="shared" si="18"/>
        <v/>
      </c>
      <c r="P94" s="26" t="str">
        <f>IFERROR(INDEX($AM$11:$AM$4010,MATCH($S$8&amp;"|"&amp;84,$BA$11:$BA$4010,0)),"")</f>
        <v/>
      </c>
      <c r="Q94" s="25" t="str">
        <f>IF(P94="","",IFERROR(INDEX($AN$11:$AN$4010,MATCH($S$8&amp;"|"&amp;84,$BA$11:$BA$4010,0)),""))</f>
        <v/>
      </c>
      <c r="R94" s="25" t="str">
        <f>IF(P94="","",IFERROR(INDEX($AO$11:$AO$4010,MATCH($S$8&amp;"|"&amp;84,$BA$11:$BA$4010,0)),""))</f>
        <v/>
      </c>
      <c r="S94" s="24" t="str">
        <f>IF(P94="","",IFERROR(INDEX($AP$11:$AP$4010,MATCH($S$8&amp;"|"&amp;84,$BA$11:$BA$4010,0)),""))</f>
        <v/>
      </c>
      <c r="T94" s="24" t="str">
        <f>IF(P94="","",IFERROR(INDEX($AQ$11:$AQ$4010,MATCH($S$8&amp;"|"&amp;84,$BA$11:$BA$4010,0)),""))</f>
        <v/>
      </c>
      <c r="U94" s="38" t="str">
        <f t="shared" si="19"/>
        <v/>
      </c>
      <c r="W94" s="28" t="str">
        <f>IF(X94="","",IFERROR(INDEX($AL$11:$AL$4010,MATCH(84,$AY$11:$AY$4010,0)),""))</f>
        <v/>
      </c>
      <c r="X94" s="26" t="str">
        <f>IFERROR(INDEX($AM$11:$AM$4010,MATCH(84,$AY$11:$AY$4010,0)),"")</f>
        <v/>
      </c>
      <c r="Y94" s="25" t="str">
        <f>IF(X94="","",IFERROR(INDEX($AN$11:$AN$4010,MATCH(84,$AY$11:$AY$4010,0)),""))</f>
        <v/>
      </c>
      <c r="Z94" s="25" t="str">
        <f>IF(X94="","",IFERROR(INDEX($AO$11:$AO$4010,MATCH(84,$AY$11:$AY$4010,0)),""))</f>
        <v/>
      </c>
      <c r="AA94" s="24" t="str">
        <f>IF(X94="","",IFERROR(INDEX($AQ$11:$AQ$4010,MATCH(84,$AY$11:$AY$4010,0)),""))</f>
        <v/>
      </c>
      <c r="AB94" s="29" t="str">
        <f>IF(X94="","",IFERROR(INDEX($AR$11:$AR$4010,MATCH(84,$AY$11:$AY$4010,0)),""))</f>
        <v/>
      </c>
      <c r="AD94" s="30" t="str">
        <f>IF(AE94="","",IFERROR(INDEX($AL$11:$AL$4010,MATCH(84,$AZ$11:$AZ$4010,0)),""))</f>
        <v/>
      </c>
      <c r="AE94" s="26" t="str">
        <f>IFERROR(INDEX($AM$11:$AM$4010,MATCH(84,$AZ$11:$AZ$4010,0)),"")</f>
        <v/>
      </c>
      <c r="AF94" s="25" t="str">
        <f>IF(AE94="","",IFERROR(INDEX($AN$11:$AN$4010,MATCH(84,$AZ$11:$AZ$4010,0)),""))</f>
        <v/>
      </c>
      <c r="AG94" s="25" t="str">
        <f>IF(AE94="","",IFERROR(INDEX($AO$11:$AO$4010,MATCH(84,$AZ$11:$AZ$4010,0)),""))</f>
        <v/>
      </c>
      <c r="AH94" s="24" t="str">
        <f>IF(AE94="","",IFERROR(INDEX($AQ$11:$AQ$4010,MATCH(84,$AZ$11:$AZ$4010,0)),""))</f>
        <v/>
      </c>
      <c r="AI94" s="29" t="str">
        <f>IF(AE94="","",IFERROR(INDEX($AR$11:$AR$4010,MATCH(84,$AZ$11:$AZ$4010,0)),""))</f>
        <v/>
      </c>
      <c r="AJ94" s="29" t="str">
        <f>IF(AE94="","",IFERROR(INDEX($AT$11:$AT$4010,MATCH(84,$AZ$11:$AZ$4010,0)),""))</f>
        <v/>
      </c>
      <c r="AL94" s="31" t="str">
        <f t="shared" si="20"/>
        <v/>
      </c>
      <c r="AM94" s="26" t="str">
        <f t="shared" si="21"/>
        <v/>
      </c>
      <c r="AN94" s="32" t="str">
        <f t="shared" si="22"/>
        <v/>
      </c>
      <c r="AO94" s="32" t="str">
        <f t="shared" si="23"/>
        <v/>
      </c>
      <c r="AP94" s="24" t="str">
        <f t="shared" si="24"/>
        <v/>
      </c>
      <c r="AQ94" s="24" t="str">
        <f t="shared" si="25"/>
        <v/>
      </c>
      <c r="AR94" s="33" t="str">
        <f t="shared" si="26"/>
        <v/>
      </c>
      <c r="AS94" s="34"/>
      <c r="AT94" s="33"/>
      <c r="AV94" s="21">
        <f>IF(AND($AL94&lt;&gt;"",COUNTIF($AL$11:$AL94,$AL94)=1),1,0)</f>
        <v>0</v>
      </c>
      <c r="AW94" s="21">
        <f t="shared" si="28"/>
        <v>0</v>
      </c>
      <c r="AX94" s="21" t="str">
        <f t="shared" si="27"/>
        <v/>
      </c>
      <c r="AY94" s="21" t="str">
        <f>IF(AND($AM94&lt;&gt;"",$AS94&lt;&gt;"✓"),SUMPRODUCT(($AM$11:$AM94&lt;&gt;"")*($AS$11:$AS94&lt;&gt;"✓")),"")</f>
        <v/>
      </c>
      <c r="AZ94" s="21" t="str">
        <f>IF(AND($AM94&lt;&gt;"",$AS94="✓"),SUMPRODUCT(($AM$11:$AM94&lt;&gt;"")*($AS$11:$AS94="✓")),"")</f>
        <v/>
      </c>
      <c r="BA94" s="21" t="str">
        <f>IF($AL94="","",$AL94&amp;"|"&amp;COUNTIF($AL$11:$AL94,$AL94))</f>
        <v/>
      </c>
    </row>
    <row r="95" spans="2:53" ht="15" customHeight="1" x14ac:dyDescent="0.25">
      <c r="B95" s="5" t="str">
        <f t="shared" si="15"/>
        <v/>
      </c>
      <c r="C95" s="5"/>
      <c r="D95" s="5"/>
      <c r="E95" s="5"/>
      <c r="F95" s="6"/>
      <c r="G95" s="6"/>
      <c r="H95" s="7"/>
      <c r="I95" s="8"/>
      <c r="K95" s="9" t="str">
        <f>IFERROR(INDEX($AL$11:$AL$4010,MATCH(85,$AX$11:$AX$4010,0)),"")</f>
        <v/>
      </c>
      <c r="L95" s="10" t="str">
        <f t="shared" si="16"/>
        <v/>
      </c>
      <c r="M95" s="11" t="str">
        <f t="shared" si="17"/>
        <v/>
      </c>
      <c r="N95" s="11" t="str">
        <f t="shared" si="18"/>
        <v/>
      </c>
      <c r="P95" s="12" t="str">
        <f>IFERROR(INDEX($AM$11:$AM$4010,MATCH($S$8&amp;"|"&amp;85,$BA$11:$BA$4010,0)),"")</f>
        <v/>
      </c>
      <c r="Q95" s="11" t="str">
        <f>IF(P95="","",IFERROR(INDEX($AN$11:$AN$4010,MATCH($S$8&amp;"|"&amp;85,$BA$11:$BA$4010,0)),""))</f>
        <v/>
      </c>
      <c r="R95" s="11" t="str">
        <f>IF(P95="","",IFERROR(INDEX($AO$11:$AO$4010,MATCH($S$8&amp;"|"&amp;85,$BA$11:$BA$4010,0)),""))</f>
        <v/>
      </c>
      <c r="S95" s="10" t="str">
        <f>IF(P95="","",IFERROR(INDEX($AP$11:$AP$4010,MATCH($S$8&amp;"|"&amp;85,$BA$11:$BA$4010,0)),""))</f>
        <v/>
      </c>
      <c r="T95" s="10" t="str">
        <f>IF(P95="","",IFERROR(INDEX($AQ$11:$AQ$4010,MATCH($S$8&amp;"|"&amp;85,$BA$11:$BA$4010,0)),""))</f>
        <v/>
      </c>
      <c r="U95" s="39" t="str">
        <f t="shared" si="19"/>
        <v/>
      </c>
      <c r="W95" s="14" t="str">
        <f>IF(X95="","",IFERROR(INDEX($AL$11:$AL$4010,MATCH(85,$AY$11:$AY$4010,0)),""))</f>
        <v/>
      </c>
      <c r="X95" s="12" t="str">
        <f>IFERROR(INDEX($AM$11:$AM$4010,MATCH(85,$AY$11:$AY$4010,0)),"")</f>
        <v/>
      </c>
      <c r="Y95" s="11" t="str">
        <f>IF(X95="","",IFERROR(INDEX($AN$11:$AN$4010,MATCH(85,$AY$11:$AY$4010,0)),""))</f>
        <v/>
      </c>
      <c r="Z95" s="11" t="str">
        <f>IF(X95="","",IFERROR(INDEX($AO$11:$AO$4010,MATCH(85,$AY$11:$AY$4010,0)),""))</f>
        <v/>
      </c>
      <c r="AA95" s="10" t="str">
        <f>IF(X95="","",IFERROR(INDEX($AQ$11:$AQ$4010,MATCH(85,$AY$11:$AY$4010,0)),""))</f>
        <v/>
      </c>
      <c r="AB95" s="15" t="str">
        <f>IF(X95="","",IFERROR(INDEX($AR$11:$AR$4010,MATCH(85,$AY$11:$AY$4010,0)),""))</f>
        <v/>
      </c>
      <c r="AD95" s="16" t="str">
        <f>IF(AE95="","",IFERROR(INDEX($AL$11:$AL$4010,MATCH(85,$AZ$11:$AZ$4010,0)),""))</f>
        <v/>
      </c>
      <c r="AE95" s="12" t="str">
        <f>IFERROR(INDEX($AM$11:$AM$4010,MATCH(85,$AZ$11:$AZ$4010,0)),"")</f>
        <v/>
      </c>
      <c r="AF95" s="11" t="str">
        <f>IF(AE95="","",IFERROR(INDEX($AN$11:$AN$4010,MATCH(85,$AZ$11:$AZ$4010,0)),""))</f>
        <v/>
      </c>
      <c r="AG95" s="11" t="str">
        <f>IF(AE95="","",IFERROR(INDEX($AO$11:$AO$4010,MATCH(85,$AZ$11:$AZ$4010,0)),""))</f>
        <v/>
      </c>
      <c r="AH95" s="10" t="str">
        <f>IF(AE95="","",IFERROR(INDEX($AQ$11:$AQ$4010,MATCH(85,$AZ$11:$AZ$4010,0)),""))</f>
        <v/>
      </c>
      <c r="AI95" s="15" t="str">
        <f>IF(AE95="","",IFERROR(INDEX($AR$11:$AR$4010,MATCH(85,$AZ$11:$AZ$4010,0)),""))</f>
        <v/>
      </c>
      <c r="AJ95" s="15" t="str">
        <f>IF(AE95="","",IFERROR(INDEX($AT$11:$AT$4010,MATCH(85,$AZ$11:$AZ$4010,0)),""))</f>
        <v/>
      </c>
      <c r="AL95" s="17" t="str">
        <f t="shared" si="20"/>
        <v/>
      </c>
      <c r="AM95" s="12" t="str">
        <f t="shared" si="21"/>
        <v/>
      </c>
      <c r="AN95" s="18" t="str">
        <f t="shared" si="22"/>
        <v/>
      </c>
      <c r="AO95" s="18" t="str">
        <f t="shared" si="23"/>
        <v/>
      </c>
      <c r="AP95" s="10" t="str">
        <f t="shared" si="24"/>
        <v/>
      </c>
      <c r="AQ95" s="10" t="str">
        <f t="shared" si="25"/>
        <v/>
      </c>
      <c r="AR95" s="19" t="str">
        <f t="shared" si="26"/>
        <v/>
      </c>
      <c r="AS95" s="20"/>
      <c r="AT95" s="19"/>
      <c r="AV95" s="21">
        <f>IF(AND($AL95&lt;&gt;"",COUNTIF($AL$11:$AL95,$AL95)=1),1,0)</f>
        <v>0</v>
      </c>
      <c r="AW95" s="21">
        <f t="shared" si="28"/>
        <v>0</v>
      </c>
      <c r="AX95" s="21" t="str">
        <f t="shared" si="27"/>
        <v/>
      </c>
      <c r="AY95" s="21" t="str">
        <f>IF(AND($AM95&lt;&gt;"",$AS95&lt;&gt;"✓"),SUMPRODUCT(($AM$11:$AM95&lt;&gt;"")*($AS$11:$AS95&lt;&gt;"✓")),"")</f>
        <v/>
      </c>
      <c r="AZ95" s="21" t="str">
        <f>IF(AND($AM95&lt;&gt;"",$AS95="✓"),SUMPRODUCT(($AM$11:$AM95&lt;&gt;"")*($AS$11:$AS95="✓")),"")</f>
        <v/>
      </c>
      <c r="BA95" s="21" t="str">
        <f>IF($AL95="","",$AL95&amp;"|"&amp;COUNTIF($AL$11:$AL95,$AL95))</f>
        <v/>
      </c>
    </row>
    <row r="96" spans="2:53" ht="15" customHeight="1" x14ac:dyDescent="0.25">
      <c r="B96" s="5" t="str">
        <f t="shared" si="15"/>
        <v/>
      </c>
      <c r="C96" s="5"/>
      <c r="D96" s="5"/>
      <c r="E96" s="5"/>
      <c r="F96" s="6"/>
      <c r="G96" s="6"/>
      <c r="H96" s="7"/>
      <c r="I96" s="8"/>
      <c r="K96" s="23" t="str">
        <f>IFERROR(INDEX($AL$11:$AL$4010,MATCH(86,$AX$11:$AX$4010,0)),"")</f>
        <v/>
      </c>
      <c r="L96" s="24" t="str">
        <f t="shared" si="16"/>
        <v/>
      </c>
      <c r="M96" s="25" t="str">
        <f t="shared" si="17"/>
        <v/>
      </c>
      <c r="N96" s="25" t="str">
        <f t="shared" si="18"/>
        <v/>
      </c>
      <c r="P96" s="26" t="str">
        <f>IFERROR(INDEX($AM$11:$AM$4010,MATCH($S$8&amp;"|"&amp;86,$BA$11:$BA$4010,0)),"")</f>
        <v/>
      </c>
      <c r="Q96" s="25" t="str">
        <f>IF(P96="","",IFERROR(INDEX($AN$11:$AN$4010,MATCH($S$8&amp;"|"&amp;86,$BA$11:$BA$4010,0)),""))</f>
        <v/>
      </c>
      <c r="R96" s="25" t="str">
        <f>IF(P96="","",IFERROR(INDEX($AO$11:$AO$4010,MATCH($S$8&amp;"|"&amp;86,$BA$11:$BA$4010,0)),""))</f>
        <v/>
      </c>
      <c r="S96" s="24" t="str">
        <f>IF(P96="","",IFERROR(INDEX($AP$11:$AP$4010,MATCH($S$8&amp;"|"&amp;86,$BA$11:$BA$4010,0)),""))</f>
        <v/>
      </c>
      <c r="T96" s="24" t="str">
        <f>IF(P96="","",IFERROR(INDEX($AQ$11:$AQ$4010,MATCH($S$8&amp;"|"&amp;86,$BA$11:$BA$4010,0)),""))</f>
        <v/>
      </c>
      <c r="U96" s="38" t="str">
        <f t="shared" si="19"/>
        <v/>
      </c>
      <c r="W96" s="28" t="str">
        <f>IF(X96="","",IFERROR(INDEX($AL$11:$AL$4010,MATCH(86,$AY$11:$AY$4010,0)),""))</f>
        <v/>
      </c>
      <c r="X96" s="26" t="str">
        <f>IFERROR(INDEX($AM$11:$AM$4010,MATCH(86,$AY$11:$AY$4010,0)),"")</f>
        <v/>
      </c>
      <c r="Y96" s="25" t="str">
        <f>IF(X96="","",IFERROR(INDEX($AN$11:$AN$4010,MATCH(86,$AY$11:$AY$4010,0)),""))</f>
        <v/>
      </c>
      <c r="Z96" s="25" t="str">
        <f>IF(X96="","",IFERROR(INDEX($AO$11:$AO$4010,MATCH(86,$AY$11:$AY$4010,0)),""))</f>
        <v/>
      </c>
      <c r="AA96" s="24" t="str">
        <f>IF(X96="","",IFERROR(INDEX($AQ$11:$AQ$4010,MATCH(86,$AY$11:$AY$4010,0)),""))</f>
        <v/>
      </c>
      <c r="AB96" s="29" t="str">
        <f>IF(X96="","",IFERROR(INDEX($AR$11:$AR$4010,MATCH(86,$AY$11:$AY$4010,0)),""))</f>
        <v/>
      </c>
      <c r="AD96" s="30" t="str">
        <f>IF(AE96="","",IFERROR(INDEX($AL$11:$AL$4010,MATCH(86,$AZ$11:$AZ$4010,0)),""))</f>
        <v/>
      </c>
      <c r="AE96" s="26" t="str">
        <f>IFERROR(INDEX($AM$11:$AM$4010,MATCH(86,$AZ$11:$AZ$4010,0)),"")</f>
        <v/>
      </c>
      <c r="AF96" s="25" t="str">
        <f>IF(AE96="","",IFERROR(INDEX($AN$11:$AN$4010,MATCH(86,$AZ$11:$AZ$4010,0)),""))</f>
        <v/>
      </c>
      <c r="AG96" s="25" t="str">
        <f>IF(AE96="","",IFERROR(INDEX($AO$11:$AO$4010,MATCH(86,$AZ$11:$AZ$4010,0)),""))</f>
        <v/>
      </c>
      <c r="AH96" s="24" t="str">
        <f>IF(AE96="","",IFERROR(INDEX($AQ$11:$AQ$4010,MATCH(86,$AZ$11:$AZ$4010,0)),""))</f>
        <v/>
      </c>
      <c r="AI96" s="29" t="str">
        <f>IF(AE96="","",IFERROR(INDEX($AR$11:$AR$4010,MATCH(86,$AZ$11:$AZ$4010,0)),""))</f>
        <v/>
      </c>
      <c r="AJ96" s="29" t="str">
        <f>IF(AE96="","",IFERROR(INDEX($AT$11:$AT$4010,MATCH(86,$AZ$11:$AZ$4010,0)),""))</f>
        <v/>
      </c>
      <c r="AL96" s="31" t="str">
        <f t="shared" si="20"/>
        <v/>
      </c>
      <c r="AM96" s="26" t="str">
        <f t="shared" si="21"/>
        <v/>
      </c>
      <c r="AN96" s="32" t="str">
        <f t="shared" si="22"/>
        <v/>
      </c>
      <c r="AO96" s="32" t="str">
        <f t="shared" si="23"/>
        <v/>
      </c>
      <c r="AP96" s="24" t="str">
        <f t="shared" si="24"/>
        <v/>
      </c>
      <c r="AQ96" s="24" t="str">
        <f t="shared" si="25"/>
        <v/>
      </c>
      <c r="AR96" s="33" t="str">
        <f t="shared" si="26"/>
        <v/>
      </c>
      <c r="AS96" s="34"/>
      <c r="AT96" s="33"/>
      <c r="AV96" s="21">
        <f>IF(AND($AL96&lt;&gt;"",COUNTIF($AL$11:$AL96,$AL96)=1),1,0)</f>
        <v>0</v>
      </c>
      <c r="AW96" s="21">
        <f t="shared" si="28"/>
        <v>0</v>
      </c>
      <c r="AX96" s="21" t="str">
        <f t="shared" si="27"/>
        <v/>
      </c>
      <c r="AY96" s="21" t="str">
        <f>IF(AND($AM96&lt;&gt;"",$AS96&lt;&gt;"✓"),SUMPRODUCT(($AM$11:$AM96&lt;&gt;"")*($AS$11:$AS96&lt;&gt;"✓")),"")</f>
        <v/>
      </c>
      <c r="AZ96" s="21" t="str">
        <f>IF(AND($AM96&lt;&gt;"",$AS96="✓"),SUMPRODUCT(($AM$11:$AM96&lt;&gt;"")*($AS$11:$AS96="✓")),"")</f>
        <v/>
      </c>
      <c r="BA96" s="21" t="str">
        <f>IF($AL96="","",$AL96&amp;"|"&amp;COUNTIF($AL$11:$AL96,$AL96))</f>
        <v/>
      </c>
    </row>
    <row r="97" spans="2:53" ht="15" customHeight="1" x14ac:dyDescent="0.25">
      <c r="B97" s="5" t="str">
        <f t="shared" si="15"/>
        <v/>
      </c>
      <c r="C97" s="5"/>
      <c r="D97" s="5"/>
      <c r="E97" s="5"/>
      <c r="F97" s="6"/>
      <c r="G97" s="6"/>
      <c r="H97" s="7"/>
      <c r="I97" s="8"/>
      <c r="K97" s="9" t="str">
        <f>IFERROR(INDEX($AL$11:$AL$4010,MATCH(87,$AX$11:$AX$4010,0)),"")</f>
        <v/>
      </c>
      <c r="L97" s="10" t="str">
        <f t="shared" si="16"/>
        <v/>
      </c>
      <c r="M97" s="11" t="str">
        <f t="shared" si="17"/>
        <v/>
      </c>
      <c r="N97" s="11" t="str">
        <f t="shared" si="18"/>
        <v/>
      </c>
      <c r="P97" s="12" t="str">
        <f>IFERROR(INDEX($AM$11:$AM$4010,MATCH($S$8&amp;"|"&amp;87,$BA$11:$BA$4010,0)),"")</f>
        <v/>
      </c>
      <c r="Q97" s="11" t="str">
        <f>IF(P97="","",IFERROR(INDEX($AN$11:$AN$4010,MATCH($S$8&amp;"|"&amp;87,$BA$11:$BA$4010,0)),""))</f>
        <v/>
      </c>
      <c r="R97" s="11" t="str">
        <f>IF(P97="","",IFERROR(INDEX($AO$11:$AO$4010,MATCH($S$8&amp;"|"&amp;87,$BA$11:$BA$4010,0)),""))</f>
        <v/>
      </c>
      <c r="S97" s="10" t="str">
        <f>IF(P97="","",IFERROR(INDEX($AP$11:$AP$4010,MATCH($S$8&amp;"|"&amp;87,$BA$11:$BA$4010,0)),""))</f>
        <v/>
      </c>
      <c r="T97" s="10" t="str">
        <f>IF(P97="","",IFERROR(INDEX($AQ$11:$AQ$4010,MATCH($S$8&amp;"|"&amp;87,$BA$11:$BA$4010,0)),""))</f>
        <v/>
      </c>
      <c r="U97" s="39" t="str">
        <f t="shared" si="19"/>
        <v/>
      </c>
      <c r="W97" s="14" t="str">
        <f>IF(X97="","",IFERROR(INDEX($AL$11:$AL$4010,MATCH(87,$AY$11:$AY$4010,0)),""))</f>
        <v/>
      </c>
      <c r="X97" s="12" t="str">
        <f>IFERROR(INDEX($AM$11:$AM$4010,MATCH(87,$AY$11:$AY$4010,0)),"")</f>
        <v/>
      </c>
      <c r="Y97" s="11" t="str">
        <f>IF(X97="","",IFERROR(INDEX($AN$11:$AN$4010,MATCH(87,$AY$11:$AY$4010,0)),""))</f>
        <v/>
      </c>
      <c r="Z97" s="11" t="str">
        <f>IF(X97="","",IFERROR(INDEX($AO$11:$AO$4010,MATCH(87,$AY$11:$AY$4010,0)),""))</f>
        <v/>
      </c>
      <c r="AA97" s="10" t="str">
        <f>IF(X97="","",IFERROR(INDEX($AQ$11:$AQ$4010,MATCH(87,$AY$11:$AY$4010,0)),""))</f>
        <v/>
      </c>
      <c r="AB97" s="15" t="str">
        <f>IF(X97="","",IFERROR(INDEX($AR$11:$AR$4010,MATCH(87,$AY$11:$AY$4010,0)),""))</f>
        <v/>
      </c>
      <c r="AD97" s="16" t="str">
        <f>IF(AE97="","",IFERROR(INDEX($AL$11:$AL$4010,MATCH(87,$AZ$11:$AZ$4010,0)),""))</f>
        <v/>
      </c>
      <c r="AE97" s="12" t="str">
        <f>IFERROR(INDEX($AM$11:$AM$4010,MATCH(87,$AZ$11:$AZ$4010,0)),"")</f>
        <v/>
      </c>
      <c r="AF97" s="11" t="str">
        <f>IF(AE97="","",IFERROR(INDEX($AN$11:$AN$4010,MATCH(87,$AZ$11:$AZ$4010,0)),""))</f>
        <v/>
      </c>
      <c r="AG97" s="11" t="str">
        <f>IF(AE97="","",IFERROR(INDEX($AO$11:$AO$4010,MATCH(87,$AZ$11:$AZ$4010,0)),""))</f>
        <v/>
      </c>
      <c r="AH97" s="10" t="str">
        <f>IF(AE97="","",IFERROR(INDEX($AQ$11:$AQ$4010,MATCH(87,$AZ$11:$AZ$4010,0)),""))</f>
        <v/>
      </c>
      <c r="AI97" s="15" t="str">
        <f>IF(AE97="","",IFERROR(INDEX($AR$11:$AR$4010,MATCH(87,$AZ$11:$AZ$4010,0)),""))</f>
        <v/>
      </c>
      <c r="AJ97" s="15" t="str">
        <f>IF(AE97="","",IFERROR(INDEX($AT$11:$AT$4010,MATCH(87,$AZ$11:$AZ$4010,0)),""))</f>
        <v/>
      </c>
      <c r="AL97" s="17" t="str">
        <f t="shared" si="20"/>
        <v/>
      </c>
      <c r="AM97" s="12" t="str">
        <f t="shared" si="21"/>
        <v/>
      </c>
      <c r="AN97" s="18" t="str">
        <f t="shared" si="22"/>
        <v/>
      </c>
      <c r="AO97" s="18" t="str">
        <f t="shared" si="23"/>
        <v/>
      </c>
      <c r="AP97" s="10" t="str">
        <f t="shared" si="24"/>
        <v/>
      </c>
      <c r="AQ97" s="10" t="str">
        <f t="shared" si="25"/>
        <v/>
      </c>
      <c r="AR97" s="19" t="str">
        <f t="shared" si="26"/>
        <v/>
      </c>
      <c r="AS97" s="20"/>
      <c r="AT97" s="19"/>
      <c r="AV97" s="21">
        <f>IF(AND($AL97&lt;&gt;"",COUNTIF($AL$11:$AL97,$AL97)=1),1,0)</f>
        <v>0</v>
      </c>
      <c r="AW97" s="21">
        <f t="shared" si="28"/>
        <v>0</v>
      </c>
      <c r="AX97" s="21" t="str">
        <f t="shared" si="27"/>
        <v/>
      </c>
      <c r="AY97" s="21" t="str">
        <f>IF(AND($AM97&lt;&gt;"",$AS97&lt;&gt;"✓"),SUMPRODUCT(($AM$11:$AM97&lt;&gt;"")*($AS$11:$AS97&lt;&gt;"✓")),"")</f>
        <v/>
      </c>
      <c r="AZ97" s="21" t="str">
        <f>IF(AND($AM97&lt;&gt;"",$AS97="✓"),SUMPRODUCT(($AM$11:$AM97&lt;&gt;"")*($AS$11:$AS97="✓")),"")</f>
        <v/>
      </c>
      <c r="BA97" s="21" t="str">
        <f>IF($AL97="","",$AL97&amp;"|"&amp;COUNTIF($AL$11:$AL97,$AL97))</f>
        <v/>
      </c>
    </row>
    <row r="98" spans="2:53" ht="15" customHeight="1" x14ac:dyDescent="0.25">
      <c r="B98" s="5" t="str">
        <f t="shared" si="15"/>
        <v/>
      </c>
      <c r="C98" s="5"/>
      <c r="D98" s="5"/>
      <c r="E98" s="5"/>
      <c r="F98" s="6"/>
      <c r="G98" s="6"/>
      <c r="H98" s="7"/>
      <c r="I98" s="8"/>
      <c r="K98" s="23" t="str">
        <f>IFERROR(INDEX($AL$11:$AL$4010,MATCH(88,$AX$11:$AX$4010,0)),"")</f>
        <v/>
      </c>
      <c r="L98" s="24" t="str">
        <f t="shared" si="16"/>
        <v/>
      </c>
      <c r="M98" s="25" t="str">
        <f t="shared" si="17"/>
        <v/>
      </c>
      <c r="N98" s="25" t="str">
        <f t="shared" si="18"/>
        <v/>
      </c>
      <c r="P98" s="26" t="str">
        <f>IFERROR(INDEX($AM$11:$AM$4010,MATCH($S$8&amp;"|"&amp;88,$BA$11:$BA$4010,0)),"")</f>
        <v/>
      </c>
      <c r="Q98" s="25" t="str">
        <f>IF(P98="","",IFERROR(INDEX($AN$11:$AN$4010,MATCH($S$8&amp;"|"&amp;88,$BA$11:$BA$4010,0)),""))</f>
        <v/>
      </c>
      <c r="R98" s="25" t="str">
        <f>IF(P98="","",IFERROR(INDEX($AO$11:$AO$4010,MATCH($S$8&amp;"|"&amp;88,$BA$11:$BA$4010,0)),""))</f>
        <v/>
      </c>
      <c r="S98" s="24" t="str">
        <f>IF(P98="","",IFERROR(INDEX($AP$11:$AP$4010,MATCH($S$8&amp;"|"&amp;88,$BA$11:$BA$4010,0)),""))</f>
        <v/>
      </c>
      <c r="T98" s="24" t="str">
        <f>IF(P98="","",IFERROR(INDEX($AQ$11:$AQ$4010,MATCH($S$8&amp;"|"&amp;88,$BA$11:$BA$4010,0)),""))</f>
        <v/>
      </c>
      <c r="U98" s="38" t="str">
        <f t="shared" si="19"/>
        <v/>
      </c>
      <c r="W98" s="28" t="str">
        <f>IF(X98="","",IFERROR(INDEX($AL$11:$AL$4010,MATCH(88,$AY$11:$AY$4010,0)),""))</f>
        <v/>
      </c>
      <c r="X98" s="26" t="str">
        <f>IFERROR(INDEX($AM$11:$AM$4010,MATCH(88,$AY$11:$AY$4010,0)),"")</f>
        <v/>
      </c>
      <c r="Y98" s="25" t="str">
        <f>IF(X98="","",IFERROR(INDEX($AN$11:$AN$4010,MATCH(88,$AY$11:$AY$4010,0)),""))</f>
        <v/>
      </c>
      <c r="Z98" s="25" t="str">
        <f>IF(X98="","",IFERROR(INDEX($AO$11:$AO$4010,MATCH(88,$AY$11:$AY$4010,0)),""))</f>
        <v/>
      </c>
      <c r="AA98" s="24" t="str">
        <f>IF(X98="","",IFERROR(INDEX($AQ$11:$AQ$4010,MATCH(88,$AY$11:$AY$4010,0)),""))</f>
        <v/>
      </c>
      <c r="AB98" s="29" t="str">
        <f>IF(X98="","",IFERROR(INDEX($AR$11:$AR$4010,MATCH(88,$AY$11:$AY$4010,0)),""))</f>
        <v/>
      </c>
      <c r="AD98" s="30" t="str">
        <f>IF(AE98="","",IFERROR(INDEX($AL$11:$AL$4010,MATCH(88,$AZ$11:$AZ$4010,0)),""))</f>
        <v/>
      </c>
      <c r="AE98" s="26" t="str">
        <f>IFERROR(INDEX($AM$11:$AM$4010,MATCH(88,$AZ$11:$AZ$4010,0)),"")</f>
        <v/>
      </c>
      <c r="AF98" s="25" t="str">
        <f>IF(AE98="","",IFERROR(INDEX($AN$11:$AN$4010,MATCH(88,$AZ$11:$AZ$4010,0)),""))</f>
        <v/>
      </c>
      <c r="AG98" s="25" t="str">
        <f>IF(AE98="","",IFERROR(INDEX($AO$11:$AO$4010,MATCH(88,$AZ$11:$AZ$4010,0)),""))</f>
        <v/>
      </c>
      <c r="AH98" s="24" t="str">
        <f>IF(AE98="","",IFERROR(INDEX($AQ$11:$AQ$4010,MATCH(88,$AZ$11:$AZ$4010,0)),""))</f>
        <v/>
      </c>
      <c r="AI98" s="29" t="str">
        <f>IF(AE98="","",IFERROR(INDEX($AR$11:$AR$4010,MATCH(88,$AZ$11:$AZ$4010,0)),""))</f>
        <v/>
      </c>
      <c r="AJ98" s="29" t="str">
        <f>IF(AE98="","",IFERROR(INDEX($AT$11:$AT$4010,MATCH(88,$AZ$11:$AZ$4010,0)),""))</f>
        <v/>
      </c>
      <c r="AL98" s="31" t="str">
        <f t="shared" si="20"/>
        <v/>
      </c>
      <c r="AM98" s="26" t="str">
        <f t="shared" si="21"/>
        <v/>
      </c>
      <c r="AN98" s="32" t="str">
        <f t="shared" si="22"/>
        <v/>
      </c>
      <c r="AO98" s="32" t="str">
        <f t="shared" si="23"/>
        <v/>
      </c>
      <c r="AP98" s="24" t="str">
        <f t="shared" si="24"/>
        <v/>
      </c>
      <c r="AQ98" s="24" t="str">
        <f t="shared" si="25"/>
        <v/>
      </c>
      <c r="AR98" s="33" t="str">
        <f t="shared" si="26"/>
        <v/>
      </c>
      <c r="AS98" s="34"/>
      <c r="AT98" s="33"/>
      <c r="AV98" s="21">
        <f>IF(AND($AL98&lt;&gt;"",COUNTIF($AL$11:$AL98,$AL98)=1),1,0)</f>
        <v>0</v>
      </c>
      <c r="AW98" s="21">
        <f t="shared" si="28"/>
        <v>0</v>
      </c>
      <c r="AX98" s="21" t="str">
        <f t="shared" si="27"/>
        <v/>
      </c>
      <c r="AY98" s="21" t="str">
        <f>IF(AND($AM98&lt;&gt;"",$AS98&lt;&gt;"✓"),SUMPRODUCT(($AM$11:$AM98&lt;&gt;"")*($AS$11:$AS98&lt;&gt;"✓")),"")</f>
        <v/>
      </c>
      <c r="AZ98" s="21" t="str">
        <f>IF(AND($AM98&lt;&gt;"",$AS98="✓"),SUMPRODUCT(($AM$11:$AM98&lt;&gt;"")*($AS$11:$AS98="✓")),"")</f>
        <v/>
      </c>
      <c r="BA98" s="21" t="str">
        <f>IF($AL98="","",$AL98&amp;"|"&amp;COUNTIF($AL$11:$AL98,$AL98))</f>
        <v/>
      </c>
    </row>
    <row r="99" spans="2:53" ht="15" customHeight="1" x14ac:dyDescent="0.25">
      <c r="B99" s="5" t="str">
        <f t="shared" si="15"/>
        <v/>
      </c>
      <c r="C99" s="5"/>
      <c r="D99" s="5"/>
      <c r="E99" s="5"/>
      <c r="F99" s="6"/>
      <c r="G99" s="6"/>
      <c r="H99" s="7"/>
      <c r="I99" s="8"/>
      <c r="K99" s="9" t="str">
        <f>IFERROR(INDEX($AL$11:$AL$4010,MATCH(89,$AX$11:$AX$4010,0)),"")</f>
        <v/>
      </c>
      <c r="L99" s="10" t="str">
        <f t="shared" si="16"/>
        <v/>
      </c>
      <c r="M99" s="11" t="str">
        <f t="shared" si="17"/>
        <v/>
      </c>
      <c r="N99" s="11" t="str">
        <f t="shared" si="18"/>
        <v/>
      </c>
      <c r="P99" s="12" t="str">
        <f>IFERROR(INDEX($AM$11:$AM$4010,MATCH($S$8&amp;"|"&amp;89,$BA$11:$BA$4010,0)),"")</f>
        <v/>
      </c>
      <c r="Q99" s="11" t="str">
        <f>IF(P99="","",IFERROR(INDEX($AN$11:$AN$4010,MATCH($S$8&amp;"|"&amp;89,$BA$11:$BA$4010,0)),""))</f>
        <v/>
      </c>
      <c r="R99" s="11" t="str">
        <f>IF(P99="","",IFERROR(INDEX($AO$11:$AO$4010,MATCH($S$8&amp;"|"&amp;89,$BA$11:$BA$4010,0)),""))</f>
        <v/>
      </c>
      <c r="S99" s="10" t="str">
        <f>IF(P99="","",IFERROR(INDEX($AP$11:$AP$4010,MATCH($S$8&amp;"|"&amp;89,$BA$11:$BA$4010,0)),""))</f>
        <v/>
      </c>
      <c r="T99" s="10" t="str">
        <f>IF(P99="","",IFERROR(INDEX($AQ$11:$AQ$4010,MATCH($S$8&amp;"|"&amp;89,$BA$11:$BA$4010,0)),""))</f>
        <v/>
      </c>
      <c r="U99" s="39" t="str">
        <f t="shared" si="19"/>
        <v/>
      </c>
      <c r="W99" s="14" t="str">
        <f>IF(X99="","",IFERROR(INDEX($AL$11:$AL$4010,MATCH(89,$AY$11:$AY$4010,0)),""))</f>
        <v/>
      </c>
      <c r="X99" s="12" t="str">
        <f>IFERROR(INDEX($AM$11:$AM$4010,MATCH(89,$AY$11:$AY$4010,0)),"")</f>
        <v/>
      </c>
      <c r="Y99" s="11" t="str">
        <f>IF(X99="","",IFERROR(INDEX($AN$11:$AN$4010,MATCH(89,$AY$11:$AY$4010,0)),""))</f>
        <v/>
      </c>
      <c r="Z99" s="11" t="str">
        <f>IF(X99="","",IFERROR(INDEX($AO$11:$AO$4010,MATCH(89,$AY$11:$AY$4010,0)),""))</f>
        <v/>
      </c>
      <c r="AA99" s="10" t="str">
        <f>IF(X99="","",IFERROR(INDEX($AQ$11:$AQ$4010,MATCH(89,$AY$11:$AY$4010,0)),""))</f>
        <v/>
      </c>
      <c r="AB99" s="15" t="str">
        <f>IF(X99="","",IFERROR(INDEX($AR$11:$AR$4010,MATCH(89,$AY$11:$AY$4010,0)),""))</f>
        <v/>
      </c>
      <c r="AD99" s="16" t="str">
        <f>IF(AE99="","",IFERROR(INDEX($AL$11:$AL$4010,MATCH(89,$AZ$11:$AZ$4010,0)),""))</f>
        <v/>
      </c>
      <c r="AE99" s="12" t="str">
        <f>IFERROR(INDEX($AM$11:$AM$4010,MATCH(89,$AZ$11:$AZ$4010,0)),"")</f>
        <v/>
      </c>
      <c r="AF99" s="11" t="str">
        <f>IF(AE99="","",IFERROR(INDEX($AN$11:$AN$4010,MATCH(89,$AZ$11:$AZ$4010,0)),""))</f>
        <v/>
      </c>
      <c r="AG99" s="11" t="str">
        <f>IF(AE99="","",IFERROR(INDEX($AO$11:$AO$4010,MATCH(89,$AZ$11:$AZ$4010,0)),""))</f>
        <v/>
      </c>
      <c r="AH99" s="10" t="str">
        <f>IF(AE99="","",IFERROR(INDEX($AQ$11:$AQ$4010,MATCH(89,$AZ$11:$AZ$4010,0)),""))</f>
        <v/>
      </c>
      <c r="AI99" s="15" t="str">
        <f>IF(AE99="","",IFERROR(INDEX($AR$11:$AR$4010,MATCH(89,$AZ$11:$AZ$4010,0)),""))</f>
        <v/>
      </c>
      <c r="AJ99" s="15" t="str">
        <f>IF(AE99="","",IFERROR(INDEX($AT$11:$AT$4010,MATCH(89,$AZ$11:$AZ$4010,0)),""))</f>
        <v/>
      </c>
      <c r="AL99" s="17" t="str">
        <f t="shared" si="20"/>
        <v/>
      </c>
      <c r="AM99" s="12" t="str">
        <f t="shared" si="21"/>
        <v/>
      </c>
      <c r="AN99" s="18" t="str">
        <f t="shared" si="22"/>
        <v/>
      </c>
      <c r="AO99" s="18" t="str">
        <f t="shared" si="23"/>
        <v/>
      </c>
      <c r="AP99" s="10" t="str">
        <f t="shared" si="24"/>
        <v/>
      </c>
      <c r="AQ99" s="10" t="str">
        <f t="shared" si="25"/>
        <v/>
      </c>
      <c r="AR99" s="19" t="str">
        <f t="shared" si="26"/>
        <v/>
      </c>
      <c r="AS99" s="20"/>
      <c r="AT99" s="19"/>
      <c r="AV99" s="21">
        <f>IF(AND($AL99&lt;&gt;"",COUNTIF($AL$11:$AL99,$AL99)=1),1,0)</f>
        <v>0</v>
      </c>
      <c r="AW99" s="21">
        <f t="shared" si="28"/>
        <v>0</v>
      </c>
      <c r="AX99" s="21" t="str">
        <f t="shared" si="27"/>
        <v/>
      </c>
      <c r="AY99" s="21" t="str">
        <f>IF(AND($AM99&lt;&gt;"",$AS99&lt;&gt;"✓"),SUMPRODUCT(($AM$11:$AM99&lt;&gt;"")*($AS$11:$AS99&lt;&gt;"✓")),"")</f>
        <v/>
      </c>
      <c r="AZ99" s="21" t="str">
        <f>IF(AND($AM99&lt;&gt;"",$AS99="✓"),SUMPRODUCT(($AM$11:$AM99&lt;&gt;"")*($AS$11:$AS99="✓")),"")</f>
        <v/>
      </c>
      <c r="BA99" s="21" t="str">
        <f>IF($AL99="","",$AL99&amp;"|"&amp;COUNTIF($AL$11:$AL99,$AL99))</f>
        <v/>
      </c>
    </row>
    <row r="100" spans="2:53" ht="15" customHeight="1" x14ac:dyDescent="0.25">
      <c r="B100" s="5" t="str">
        <f t="shared" si="15"/>
        <v/>
      </c>
      <c r="C100" s="5"/>
      <c r="D100" s="5"/>
      <c r="E100" s="5"/>
      <c r="F100" s="6"/>
      <c r="G100" s="6"/>
      <c r="H100" s="7"/>
      <c r="I100" s="8"/>
      <c r="K100" s="23" t="str">
        <f>IFERROR(INDEX($AL$11:$AL$4010,MATCH(90,$AX$11:$AX$4010,0)),"")</f>
        <v/>
      </c>
      <c r="L100" s="24" t="str">
        <f t="shared" si="16"/>
        <v/>
      </c>
      <c r="M100" s="25" t="str">
        <f t="shared" si="17"/>
        <v/>
      </c>
      <c r="N100" s="25" t="str">
        <f t="shared" si="18"/>
        <v/>
      </c>
      <c r="P100" s="26" t="str">
        <f>IFERROR(INDEX($AM$11:$AM$4010,MATCH($S$8&amp;"|"&amp;90,$BA$11:$BA$4010,0)),"")</f>
        <v/>
      </c>
      <c r="Q100" s="25" t="str">
        <f>IF(P100="","",IFERROR(INDEX($AN$11:$AN$4010,MATCH($S$8&amp;"|"&amp;90,$BA$11:$BA$4010,0)),""))</f>
        <v/>
      </c>
      <c r="R100" s="25" t="str">
        <f>IF(P100="","",IFERROR(INDEX($AO$11:$AO$4010,MATCH($S$8&amp;"|"&amp;90,$BA$11:$BA$4010,0)),""))</f>
        <v/>
      </c>
      <c r="S100" s="24" t="str">
        <f>IF(P100="","",IFERROR(INDEX($AP$11:$AP$4010,MATCH($S$8&amp;"|"&amp;90,$BA$11:$BA$4010,0)),""))</f>
        <v/>
      </c>
      <c r="T100" s="24" t="str">
        <f>IF(P100="","",IFERROR(INDEX($AQ$11:$AQ$4010,MATCH($S$8&amp;"|"&amp;90,$BA$11:$BA$4010,0)),""))</f>
        <v/>
      </c>
      <c r="U100" s="38" t="str">
        <f t="shared" si="19"/>
        <v/>
      </c>
      <c r="W100" s="28" t="str">
        <f>IF(X100="","",IFERROR(INDEX($AL$11:$AL$4010,MATCH(90,$AY$11:$AY$4010,0)),""))</f>
        <v/>
      </c>
      <c r="X100" s="26" t="str">
        <f>IFERROR(INDEX($AM$11:$AM$4010,MATCH(90,$AY$11:$AY$4010,0)),"")</f>
        <v/>
      </c>
      <c r="Y100" s="25" t="str">
        <f>IF(X100="","",IFERROR(INDEX($AN$11:$AN$4010,MATCH(90,$AY$11:$AY$4010,0)),""))</f>
        <v/>
      </c>
      <c r="Z100" s="25" t="str">
        <f>IF(X100="","",IFERROR(INDEX($AO$11:$AO$4010,MATCH(90,$AY$11:$AY$4010,0)),""))</f>
        <v/>
      </c>
      <c r="AA100" s="24" t="str">
        <f>IF(X100="","",IFERROR(INDEX($AQ$11:$AQ$4010,MATCH(90,$AY$11:$AY$4010,0)),""))</f>
        <v/>
      </c>
      <c r="AB100" s="29" t="str">
        <f>IF(X100="","",IFERROR(INDEX($AR$11:$AR$4010,MATCH(90,$AY$11:$AY$4010,0)),""))</f>
        <v/>
      </c>
      <c r="AD100" s="30" t="str">
        <f>IF(AE100="","",IFERROR(INDEX($AL$11:$AL$4010,MATCH(90,$AZ$11:$AZ$4010,0)),""))</f>
        <v/>
      </c>
      <c r="AE100" s="26" t="str">
        <f>IFERROR(INDEX($AM$11:$AM$4010,MATCH(90,$AZ$11:$AZ$4010,0)),"")</f>
        <v/>
      </c>
      <c r="AF100" s="25" t="str">
        <f>IF(AE100="","",IFERROR(INDEX($AN$11:$AN$4010,MATCH(90,$AZ$11:$AZ$4010,0)),""))</f>
        <v/>
      </c>
      <c r="AG100" s="25" t="str">
        <f>IF(AE100="","",IFERROR(INDEX($AO$11:$AO$4010,MATCH(90,$AZ$11:$AZ$4010,0)),""))</f>
        <v/>
      </c>
      <c r="AH100" s="24" t="str">
        <f>IF(AE100="","",IFERROR(INDEX($AQ$11:$AQ$4010,MATCH(90,$AZ$11:$AZ$4010,0)),""))</f>
        <v/>
      </c>
      <c r="AI100" s="29" t="str">
        <f>IF(AE100="","",IFERROR(INDEX($AR$11:$AR$4010,MATCH(90,$AZ$11:$AZ$4010,0)),""))</f>
        <v/>
      </c>
      <c r="AJ100" s="29" t="str">
        <f>IF(AE100="","",IFERROR(INDEX($AT$11:$AT$4010,MATCH(90,$AZ$11:$AZ$4010,0)),""))</f>
        <v/>
      </c>
      <c r="AL100" s="31" t="str">
        <f t="shared" si="20"/>
        <v/>
      </c>
      <c r="AM100" s="26" t="str">
        <f t="shared" si="21"/>
        <v/>
      </c>
      <c r="AN100" s="32" t="str">
        <f t="shared" si="22"/>
        <v/>
      </c>
      <c r="AO100" s="32" t="str">
        <f t="shared" si="23"/>
        <v/>
      </c>
      <c r="AP100" s="24" t="str">
        <f t="shared" si="24"/>
        <v/>
      </c>
      <c r="AQ100" s="24" t="str">
        <f t="shared" si="25"/>
        <v/>
      </c>
      <c r="AR100" s="33" t="str">
        <f t="shared" si="26"/>
        <v/>
      </c>
      <c r="AS100" s="34"/>
      <c r="AT100" s="33"/>
      <c r="AV100" s="21">
        <f>IF(AND($AL100&lt;&gt;"",COUNTIF($AL$11:$AL100,$AL100)=1),1,0)</f>
        <v>0</v>
      </c>
      <c r="AW100" s="21">
        <f t="shared" si="28"/>
        <v>0</v>
      </c>
      <c r="AX100" s="21" t="str">
        <f t="shared" si="27"/>
        <v/>
      </c>
      <c r="AY100" s="21" t="str">
        <f>IF(AND($AM100&lt;&gt;"",$AS100&lt;&gt;"✓"),SUMPRODUCT(($AM$11:$AM100&lt;&gt;"")*($AS$11:$AS100&lt;&gt;"✓")),"")</f>
        <v/>
      </c>
      <c r="AZ100" s="21" t="str">
        <f>IF(AND($AM100&lt;&gt;"",$AS100="✓"),SUMPRODUCT(($AM$11:$AM100&lt;&gt;"")*($AS$11:$AS100="✓")),"")</f>
        <v/>
      </c>
      <c r="BA100" s="21" t="str">
        <f>IF($AL100="","",$AL100&amp;"|"&amp;COUNTIF($AL$11:$AL100,$AL100))</f>
        <v/>
      </c>
    </row>
    <row r="101" spans="2:53" ht="15" customHeight="1" x14ac:dyDescent="0.25">
      <c r="B101" s="5" t="str">
        <f t="shared" si="15"/>
        <v/>
      </c>
      <c r="C101" s="5"/>
      <c r="D101" s="5"/>
      <c r="E101" s="5"/>
      <c r="F101" s="6"/>
      <c r="G101" s="6"/>
      <c r="H101" s="7"/>
      <c r="I101" s="8"/>
      <c r="K101" s="9" t="str">
        <f>IFERROR(INDEX($AL$11:$AL$4010,MATCH(91,$AX$11:$AX$4010,0)),"")</f>
        <v/>
      </c>
      <c r="L101" s="10" t="str">
        <f t="shared" si="16"/>
        <v/>
      </c>
      <c r="M101" s="11" t="str">
        <f t="shared" si="17"/>
        <v/>
      </c>
      <c r="N101" s="11" t="str">
        <f t="shared" si="18"/>
        <v/>
      </c>
      <c r="P101" s="12" t="str">
        <f>IFERROR(INDEX($AM$11:$AM$4010,MATCH($S$8&amp;"|"&amp;91,$BA$11:$BA$4010,0)),"")</f>
        <v/>
      </c>
      <c r="Q101" s="11" t="str">
        <f>IF(P101="","",IFERROR(INDEX($AN$11:$AN$4010,MATCH($S$8&amp;"|"&amp;91,$BA$11:$BA$4010,0)),""))</f>
        <v/>
      </c>
      <c r="R101" s="11" t="str">
        <f>IF(P101="","",IFERROR(INDEX($AO$11:$AO$4010,MATCH($S$8&amp;"|"&amp;91,$BA$11:$BA$4010,0)),""))</f>
        <v/>
      </c>
      <c r="S101" s="10" t="str">
        <f>IF(P101="","",IFERROR(INDEX($AP$11:$AP$4010,MATCH($S$8&amp;"|"&amp;91,$BA$11:$BA$4010,0)),""))</f>
        <v/>
      </c>
      <c r="T101" s="10" t="str">
        <f>IF(P101="","",IFERROR(INDEX($AQ$11:$AQ$4010,MATCH($S$8&amp;"|"&amp;91,$BA$11:$BA$4010,0)),""))</f>
        <v/>
      </c>
      <c r="U101" s="39" t="str">
        <f t="shared" si="19"/>
        <v/>
      </c>
      <c r="W101" s="14" t="str">
        <f>IF(X101="","",IFERROR(INDEX($AL$11:$AL$4010,MATCH(91,$AY$11:$AY$4010,0)),""))</f>
        <v/>
      </c>
      <c r="X101" s="12" t="str">
        <f>IFERROR(INDEX($AM$11:$AM$4010,MATCH(91,$AY$11:$AY$4010,0)),"")</f>
        <v/>
      </c>
      <c r="Y101" s="11" t="str">
        <f>IF(X101="","",IFERROR(INDEX($AN$11:$AN$4010,MATCH(91,$AY$11:$AY$4010,0)),""))</f>
        <v/>
      </c>
      <c r="Z101" s="11" t="str">
        <f>IF(X101="","",IFERROR(INDEX($AO$11:$AO$4010,MATCH(91,$AY$11:$AY$4010,0)),""))</f>
        <v/>
      </c>
      <c r="AA101" s="10" t="str">
        <f>IF(X101="","",IFERROR(INDEX($AQ$11:$AQ$4010,MATCH(91,$AY$11:$AY$4010,0)),""))</f>
        <v/>
      </c>
      <c r="AB101" s="15" t="str">
        <f>IF(X101="","",IFERROR(INDEX($AR$11:$AR$4010,MATCH(91,$AY$11:$AY$4010,0)),""))</f>
        <v/>
      </c>
      <c r="AD101" s="16" t="str">
        <f>IF(AE101="","",IFERROR(INDEX($AL$11:$AL$4010,MATCH(91,$AZ$11:$AZ$4010,0)),""))</f>
        <v/>
      </c>
      <c r="AE101" s="12" t="str">
        <f>IFERROR(INDEX($AM$11:$AM$4010,MATCH(91,$AZ$11:$AZ$4010,0)),"")</f>
        <v/>
      </c>
      <c r="AF101" s="11" t="str">
        <f>IF(AE101="","",IFERROR(INDEX($AN$11:$AN$4010,MATCH(91,$AZ$11:$AZ$4010,0)),""))</f>
        <v/>
      </c>
      <c r="AG101" s="11" t="str">
        <f>IF(AE101="","",IFERROR(INDEX($AO$11:$AO$4010,MATCH(91,$AZ$11:$AZ$4010,0)),""))</f>
        <v/>
      </c>
      <c r="AH101" s="10" t="str">
        <f>IF(AE101="","",IFERROR(INDEX($AQ$11:$AQ$4010,MATCH(91,$AZ$11:$AZ$4010,0)),""))</f>
        <v/>
      </c>
      <c r="AI101" s="15" t="str">
        <f>IF(AE101="","",IFERROR(INDEX($AR$11:$AR$4010,MATCH(91,$AZ$11:$AZ$4010,0)),""))</f>
        <v/>
      </c>
      <c r="AJ101" s="15" t="str">
        <f>IF(AE101="","",IFERROR(INDEX($AT$11:$AT$4010,MATCH(91,$AZ$11:$AZ$4010,0)),""))</f>
        <v/>
      </c>
      <c r="AL101" s="17" t="str">
        <f t="shared" si="20"/>
        <v/>
      </c>
      <c r="AM101" s="12" t="str">
        <f t="shared" si="21"/>
        <v/>
      </c>
      <c r="AN101" s="18" t="str">
        <f t="shared" si="22"/>
        <v/>
      </c>
      <c r="AO101" s="18" t="str">
        <f t="shared" si="23"/>
        <v/>
      </c>
      <c r="AP101" s="10" t="str">
        <f t="shared" si="24"/>
        <v/>
      </c>
      <c r="AQ101" s="10" t="str">
        <f t="shared" si="25"/>
        <v/>
      </c>
      <c r="AR101" s="19" t="str">
        <f t="shared" si="26"/>
        <v/>
      </c>
      <c r="AS101" s="20"/>
      <c r="AT101" s="19"/>
      <c r="AV101" s="21">
        <f>IF(AND($AL101&lt;&gt;"",COUNTIF($AL$11:$AL101,$AL101)=1),1,0)</f>
        <v>0</v>
      </c>
      <c r="AW101" s="21">
        <f t="shared" si="28"/>
        <v>0</v>
      </c>
      <c r="AX101" s="21" t="str">
        <f t="shared" si="27"/>
        <v/>
      </c>
      <c r="AY101" s="21" t="str">
        <f>IF(AND($AM101&lt;&gt;"",$AS101&lt;&gt;"✓"),SUMPRODUCT(($AM$11:$AM101&lt;&gt;"")*($AS$11:$AS101&lt;&gt;"✓")),"")</f>
        <v/>
      </c>
      <c r="AZ101" s="21" t="str">
        <f>IF(AND($AM101&lt;&gt;"",$AS101="✓"),SUMPRODUCT(($AM$11:$AM101&lt;&gt;"")*($AS$11:$AS101="✓")),"")</f>
        <v/>
      </c>
      <c r="BA101" s="21" t="str">
        <f>IF($AL101="","",$AL101&amp;"|"&amp;COUNTIF($AL$11:$AL101,$AL101))</f>
        <v/>
      </c>
    </row>
    <row r="102" spans="2:53" ht="15" customHeight="1" x14ac:dyDescent="0.25">
      <c r="B102" s="5" t="str">
        <f t="shared" si="15"/>
        <v/>
      </c>
      <c r="C102" s="5"/>
      <c r="D102" s="5"/>
      <c r="E102" s="5"/>
      <c r="F102" s="6"/>
      <c r="G102" s="6"/>
      <c r="H102" s="7"/>
      <c r="I102" s="8"/>
      <c r="K102" s="23" t="str">
        <f>IFERROR(INDEX($AL$11:$AL$4010,MATCH(92,$AX$11:$AX$4010,0)),"")</f>
        <v/>
      </c>
      <c r="L102" s="24" t="str">
        <f t="shared" si="16"/>
        <v/>
      </c>
      <c r="M102" s="25" t="str">
        <f t="shared" si="17"/>
        <v/>
      </c>
      <c r="N102" s="25" t="str">
        <f t="shared" si="18"/>
        <v/>
      </c>
      <c r="P102" s="26" t="str">
        <f>IFERROR(INDEX($AM$11:$AM$4010,MATCH($S$8&amp;"|"&amp;92,$BA$11:$BA$4010,0)),"")</f>
        <v/>
      </c>
      <c r="Q102" s="25" t="str">
        <f>IF(P102="","",IFERROR(INDEX($AN$11:$AN$4010,MATCH($S$8&amp;"|"&amp;92,$BA$11:$BA$4010,0)),""))</f>
        <v/>
      </c>
      <c r="R102" s="25" t="str">
        <f>IF(P102="","",IFERROR(INDEX($AO$11:$AO$4010,MATCH($S$8&amp;"|"&amp;92,$BA$11:$BA$4010,0)),""))</f>
        <v/>
      </c>
      <c r="S102" s="24" t="str">
        <f>IF(P102="","",IFERROR(INDEX($AP$11:$AP$4010,MATCH($S$8&amp;"|"&amp;92,$BA$11:$BA$4010,0)),""))</f>
        <v/>
      </c>
      <c r="T102" s="24" t="str">
        <f>IF(P102="","",IFERROR(INDEX($AQ$11:$AQ$4010,MATCH($S$8&amp;"|"&amp;92,$BA$11:$BA$4010,0)),""))</f>
        <v/>
      </c>
      <c r="U102" s="38" t="str">
        <f t="shared" si="19"/>
        <v/>
      </c>
      <c r="W102" s="28" t="str">
        <f>IF(X102="","",IFERROR(INDEX($AL$11:$AL$4010,MATCH(92,$AY$11:$AY$4010,0)),""))</f>
        <v/>
      </c>
      <c r="X102" s="26" t="str">
        <f>IFERROR(INDEX($AM$11:$AM$4010,MATCH(92,$AY$11:$AY$4010,0)),"")</f>
        <v/>
      </c>
      <c r="Y102" s="25" t="str">
        <f>IF(X102="","",IFERROR(INDEX($AN$11:$AN$4010,MATCH(92,$AY$11:$AY$4010,0)),""))</f>
        <v/>
      </c>
      <c r="Z102" s="25" t="str">
        <f>IF(X102="","",IFERROR(INDEX($AO$11:$AO$4010,MATCH(92,$AY$11:$AY$4010,0)),""))</f>
        <v/>
      </c>
      <c r="AA102" s="24" t="str">
        <f>IF(X102="","",IFERROR(INDEX($AQ$11:$AQ$4010,MATCH(92,$AY$11:$AY$4010,0)),""))</f>
        <v/>
      </c>
      <c r="AB102" s="29" t="str">
        <f>IF(X102="","",IFERROR(INDEX($AR$11:$AR$4010,MATCH(92,$AY$11:$AY$4010,0)),""))</f>
        <v/>
      </c>
      <c r="AD102" s="30" t="str">
        <f>IF(AE102="","",IFERROR(INDEX($AL$11:$AL$4010,MATCH(92,$AZ$11:$AZ$4010,0)),""))</f>
        <v/>
      </c>
      <c r="AE102" s="26" t="str">
        <f>IFERROR(INDEX($AM$11:$AM$4010,MATCH(92,$AZ$11:$AZ$4010,0)),"")</f>
        <v/>
      </c>
      <c r="AF102" s="25" t="str">
        <f>IF(AE102="","",IFERROR(INDEX($AN$11:$AN$4010,MATCH(92,$AZ$11:$AZ$4010,0)),""))</f>
        <v/>
      </c>
      <c r="AG102" s="25" t="str">
        <f>IF(AE102="","",IFERROR(INDEX($AO$11:$AO$4010,MATCH(92,$AZ$11:$AZ$4010,0)),""))</f>
        <v/>
      </c>
      <c r="AH102" s="24" t="str">
        <f>IF(AE102="","",IFERROR(INDEX($AQ$11:$AQ$4010,MATCH(92,$AZ$11:$AZ$4010,0)),""))</f>
        <v/>
      </c>
      <c r="AI102" s="29" t="str">
        <f>IF(AE102="","",IFERROR(INDEX($AR$11:$AR$4010,MATCH(92,$AZ$11:$AZ$4010,0)),""))</f>
        <v/>
      </c>
      <c r="AJ102" s="29" t="str">
        <f>IF(AE102="","",IFERROR(INDEX($AT$11:$AT$4010,MATCH(92,$AZ$11:$AZ$4010,0)),""))</f>
        <v/>
      </c>
      <c r="AL102" s="31" t="str">
        <f t="shared" si="20"/>
        <v/>
      </c>
      <c r="AM102" s="26" t="str">
        <f t="shared" si="21"/>
        <v/>
      </c>
      <c r="AN102" s="32" t="str">
        <f t="shared" si="22"/>
        <v/>
      </c>
      <c r="AO102" s="32" t="str">
        <f t="shared" si="23"/>
        <v/>
      </c>
      <c r="AP102" s="24" t="str">
        <f t="shared" si="24"/>
        <v/>
      </c>
      <c r="AQ102" s="24" t="str">
        <f t="shared" si="25"/>
        <v/>
      </c>
      <c r="AR102" s="33" t="str">
        <f t="shared" si="26"/>
        <v/>
      </c>
      <c r="AS102" s="34"/>
      <c r="AT102" s="33"/>
      <c r="AV102" s="21">
        <f>IF(AND($AL102&lt;&gt;"",COUNTIF($AL$11:$AL102,$AL102)=1),1,0)</f>
        <v>0</v>
      </c>
      <c r="AW102" s="21">
        <f t="shared" si="28"/>
        <v>0</v>
      </c>
      <c r="AX102" s="21" t="str">
        <f t="shared" si="27"/>
        <v/>
      </c>
      <c r="AY102" s="21" t="str">
        <f>IF(AND($AM102&lt;&gt;"",$AS102&lt;&gt;"✓"),SUMPRODUCT(($AM$11:$AM102&lt;&gt;"")*($AS$11:$AS102&lt;&gt;"✓")),"")</f>
        <v/>
      </c>
      <c r="AZ102" s="21" t="str">
        <f>IF(AND($AM102&lt;&gt;"",$AS102="✓"),SUMPRODUCT(($AM$11:$AM102&lt;&gt;"")*($AS$11:$AS102="✓")),"")</f>
        <v/>
      </c>
      <c r="BA102" s="21" t="str">
        <f>IF($AL102="","",$AL102&amp;"|"&amp;COUNTIF($AL$11:$AL102,$AL102))</f>
        <v/>
      </c>
    </row>
    <row r="103" spans="2:53" ht="15" customHeight="1" x14ac:dyDescent="0.25">
      <c r="B103" s="5" t="str">
        <f t="shared" si="15"/>
        <v/>
      </c>
      <c r="C103" s="5"/>
      <c r="D103" s="5"/>
      <c r="E103" s="5"/>
      <c r="F103" s="6"/>
      <c r="G103" s="6"/>
      <c r="H103" s="7"/>
      <c r="I103" s="8"/>
      <c r="K103" s="9" t="str">
        <f>IFERROR(INDEX($AL$11:$AL$4010,MATCH(93,$AX$11:$AX$4010,0)),"")</f>
        <v/>
      </c>
      <c r="L103" s="10" t="str">
        <f t="shared" si="16"/>
        <v/>
      </c>
      <c r="M103" s="11" t="str">
        <f t="shared" si="17"/>
        <v/>
      </c>
      <c r="N103" s="11" t="str">
        <f t="shared" si="18"/>
        <v/>
      </c>
      <c r="P103" s="12" t="str">
        <f>IFERROR(INDEX($AM$11:$AM$4010,MATCH($S$8&amp;"|"&amp;93,$BA$11:$BA$4010,0)),"")</f>
        <v/>
      </c>
      <c r="Q103" s="11" t="str">
        <f>IF(P103="","",IFERROR(INDEX($AN$11:$AN$4010,MATCH($S$8&amp;"|"&amp;93,$BA$11:$BA$4010,0)),""))</f>
        <v/>
      </c>
      <c r="R103" s="11" t="str">
        <f>IF(P103="","",IFERROR(INDEX($AO$11:$AO$4010,MATCH($S$8&amp;"|"&amp;93,$BA$11:$BA$4010,0)),""))</f>
        <v/>
      </c>
      <c r="S103" s="10" t="str">
        <f>IF(P103="","",IFERROR(INDEX($AP$11:$AP$4010,MATCH($S$8&amp;"|"&amp;93,$BA$11:$BA$4010,0)),""))</f>
        <v/>
      </c>
      <c r="T103" s="10" t="str">
        <f>IF(P103="","",IFERROR(INDEX($AQ$11:$AQ$4010,MATCH($S$8&amp;"|"&amp;93,$BA$11:$BA$4010,0)),""))</f>
        <v/>
      </c>
      <c r="U103" s="39" t="str">
        <f t="shared" si="19"/>
        <v/>
      </c>
      <c r="W103" s="14" t="str">
        <f>IF(X103="","",IFERROR(INDEX($AL$11:$AL$4010,MATCH(93,$AY$11:$AY$4010,0)),""))</f>
        <v/>
      </c>
      <c r="X103" s="12" t="str">
        <f>IFERROR(INDEX($AM$11:$AM$4010,MATCH(93,$AY$11:$AY$4010,0)),"")</f>
        <v/>
      </c>
      <c r="Y103" s="11" t="str">
        <f>IF(X103="","",IFERROR(INDEX($AN$11:$AN$4010,MATCH(93,$AY$11:$AY$4010,0)),""))</f>
        <v/>
      </c>
      <c r="Z103" s="11" t="str">
        <f>IF(X103="","",IFERROR(INDEX($AO$11:$AO$4010,MATCH(93,$AY$11:$AY$4010,0)),""))</f>
        <v/>
      </c>
      <c r="AA103" s="10" t="str">
        <f>IF(X103="","",IFERROR(INDEX($AQ$11:$AQ$4010,MATCH(93,$AY$11:$AY$4010,0)),""))</f>
        <v/>
      </c>
      <c r="AB103" s="15" t="str">
        <f>IF(X103="","",IFERROR(INDEX($AR$11:$AR$4010,MATCH(93,$AY$11:$AY$4010,0)),""))</f>
        <v/>
      </c>
      <c r="AD103" s="16" t="str">
        <f>IF(AE103="","",IFERROR(INDEX($AL$11:$AL$4010,MATCH(93,$AZ$11:$AZ$4010,0)),""))</f>
        <v/>
      </c>
      <c r="AE103" s="12" t="str">
        <f>IFERROR(INDEX($AM$11:$AM$4010,MATCH(93,$AZ$11:$AZ$4010,0)),"")</f>
        <v/>
      </c>
      <c r="AF103" s="11" t="str">
        <f>IF(AE103="","",IFERROR(INDEX($AN$11:$AN$4010,MATCH(93,$AZ$11:$AZ$4010,0)),""))</f>
        <v/>
      </c>
      <c r="AG103" s="11" t="str">
        <f>IF(AE103="","",IFERROR(INDEX($AO$11:$AO$4010,MATCH(93,$AZ$11:$AZ$4010,0)),""))</f>
        <v/>
      </c>
      <c r="AH103" s="10" t="str">
        <f>IF(AE103="","",IFERROR(INDEX($AQ$11:$AQ$4010,MATCH(93,$AZ$11:$AZ$4010,0)),""))</f>
        <v/>
      </c>
      <c r="AI103" s="15" t="str">
        <f>IF(AE103="","",IFERROR(INDEX($AR$11:$AR$4010,MATCH(93,$AZ$11:$AZ$4010,0)),""))</f>
        <v/>
      </c>
      <c r="AJ103" s="15" t="str">
        <f>IF(AE103="","",IFERROR(INDEX($AT$11:$AT$4010,MATCH(93,$AZ$11:$AZ$4010,0)),""))</f>
        <v/>
      </c>
      <c r="AL103" s="17" t="str">
        <f t="shared" si="20"/>
        <v/>
      </c>
      <c r="AM103" s="12" t="str">
        <f t="shared" si="21"/>
        <v/>
      </c>
      <c r="AN103" s="18" t="str">
        <f t="shared" si="22"/>
        <v/>
      </c>
      <c r="AO103" s="18" t="str">
        <f t="shared" si="23"/>
        <v/>
      </c>
      <c r="AP103" s="10" t="str">
        <f t="shared" si="24"/>
        <v/>
      </c>
      <c r="AQ103" s="10" t="str">
        <f t="shared" si="25"/>
        <v/>
      </c>
      <c r="AR103" s="19" t="str">
        <f t="shared" si="26"/>
        <v/>
      </c>
      <c r="AS103" s="20"/>
      <c r="AT103" s="19"/>
      <c r="AV103" s="21">
        <f>IF(AND($AL103&lt;&gt;"",COUNTIF($AL$11:$AL103,$AL103)=1),1,0)</f>
        <v>0</v>
      </c>
      <c r="AW103" s="21">
        <f t="shared" si="28"/>
        <v>0</v>
      </c>
      <c r="AX103" s="21" t="str">
        <f t="shared" si="27"/>
        <v/>
      </c>
      <c r="AY103" s="21" t="str">
        <f>IF(AND($AM103&lt;&gt;"",$AS103&lt;&gt;"✓"),SUMPRODUCT(($AM$11:$AM103&lt;&gt;"")*($AS$11:$AS103&lt;&gt;"✓")),"")</f>
        <v/>
      </c>
      <c r="AZ103" s="21" t="str">
        <f>IF(AND($AM103&lt;&gt;"",$AS103="✓"),SUMPRODUCT(($AM$11:$AM103&lt;&gt;"")*($AS$11:$AS103="✓")),"")</f>
        <v/>
      </c>
      <c r="BA103" s="21" t="str">
        <f>IF($AL103="","",$AL103&amp;"|"&amp;COUNTIF($AL$11:$AL103,$AL103))</f>
        <v/>
      </c>
    </row>
    <row r="104" spans="2:53" ht="15" customHeight="1" x14ac:dyDescent="0.25">
      <c r="B104" s="5" t="str">
        <f t="shared" si="15"/>
        <v/>
      </c>
      <c r="C104" s="5"/>
      <c r="D104" s="5"/>
      <c r="E104" s="5"/>
      <c r="F104" s="6"/>
      <c r="G104" s="6"/>
      <c r="H104" s="7"/>
      <c r="I104" s="8"/>
      <c r="K104" s="23" t="str">
        <f>IFERROR(INDEX($AL$11:$AL$4010,MATCH(94,$AX$11:$AX$4010,0)),"")</f>
        <v/>
      </c>
      <c r="L104" s="24" t="str">
        <f t="shared" si="16"/>
        <v/>
      </c>
      <c r="M104" s="25" t="str">
        <f t="shared" si="17"/>
        <v/>
      </c>
      <c r="N104" s="25" t="str">
        <f t="shared" si="18"/>
        <v/>
      </c>
      <c r="P104" s="26" t="str">
        <f>IFERROR(INDEX($AM$11:$AM$4010,MATCH($S$8&amp;"|"&amp;94,$BA$11:$BA$4010,0)),"")</f>
        <v/>
      </c>
      <c r="Q104" s="25" t="str">
        <f>IF(P104="","",IFERROR(INDEX($AN$11:$AN$4010,MATCH($S$8&amp;"|"&amp;94,$BA$11:$BA$4010,0)),""))</f>
        <v/>
      </c>
      <c r="R104" s="25" t="str">
        <f>IF(P104="","",IFERROR(INDEX($AO$11:$AO$4010,MATCH($S$8&amp;"|"&amp;94,$BA$11:$BA$4010,0)),""))</f>
        <v/>
      </c>
      <c r="S104" s="24" t="str">
        <f>IF(P104="","",IFERROR(INDEX($AP$11:$AP$4010,MATCH($S$8&amp;"|"&amp;94,$BA$11:$BA$4010,0)),""))</f>
        <v/>
      </c>
      <c r="T104" s="24" t="str">
        <f>IF(P104="","",IFERROR(INDEX($AQ$11:$AQ$4010,MATCH($S$8&amp;"|"&amp;94,$BA$11:$BA$4010,0)),""))</f>
        <v/>
      </c>
      <c r="U104" s="38" t="str">
        <f t="shared" si="19"/>
        <v/>
      </c>
      <c r="W104" s="28" t="str">
        <f>IF(X104="","",IFERROR(INDEX($AL$11:$AL$4010,MATCH(94,$AY$11:$AY$4010,0)),""))</f>
        <v/>
      </c>
      <c r="X104" s="26" t="str">
        <f>IFERROR(INDEX($AM$11:$AM$4010,MATCH(94,$AY$11:$AY$4010,0)),"")</f>
        <v/>
      </c>
      <c r="Y104" s="25" t="str">
        <f>IF(X104="","",IFERROR(INDEX($AN$11:$AN$4010,MATCH(94,$AY$11:$AY$4010,0)),""))</f>
        <v/>
      </c>
      <c r="Z104" s="25" t="str">
        <f>IF(X104="","",IFERROR(INDEX($AO$11:$AO$4010,MATCH(94,$AY$11:$AY$4010,0)),""))</f>
        <v/>
      </c>
      <c r="AA104" s="24" t="str">
        <f>IF(X104="","",IFERROR(INDEX($AQ$11:$AQ$4010,MATCH(94,$AY$11:$AY$4010,0)),""))</f>
        <v/>
      </c>
      <c r="AB104" s="29" t="str">
        <f>IF(X104="","",IFERROR(INDEX($AR$11:$AR$4010,MATCH(94,$AY$11:$AY$4010,0)),""))</f>
        <v/>
      </c>
      <c r="AD104" s="30" t="str">
        <f>IF(AE104="","",IFERROR(INDEX($AL$11:$AL$4010,MATCH(94,$AZ$11:$AZ$4010,0)),""))</f>
        <v/>
      </c>
      <c r="AE104" s="26" t="str">
        <f>IFERROR(INDEX($AM$11:$AM$4010,MATCH(94,$AZ$11:$AZ$4010,0)),"")</f>
        <v/>
      </c>
      <c r="AF104" s="25" t="str">
        <f>IF(AE104="","",IFERROR(INDEX($AN$11:$AN$4010,MATCH(94,$AZ$11:$AZ$4010,0)),""))</f>
        <v/>
      </c>
      <c r="AG104" s="25" t="str">
        <f>IF(AE104="","",IFERROR(INDEX($AO$11:$AO$4010,MATCH(94,$AZ$11:$AZ$4010,0)),""))</f>
        <v/>
      </c>
      <c r="AH104" s="24" t="str">
        <f>IF(AE104="","",IFERROR(INDEX($AQ$11:$AQ$4010,MATCH(94,$AZ$11:$AZ$4010,0)),""))</f>
        <v/>
      </c>
      <c r="AI104" s="29" t="str">
        <f>IF(AE104="","",IFERROR(INDEX($AR$11:$AR$4010,MATCH(94,$AZ$11:$AZ$4010,0)),""))</f>
        <v/>
      </c>
      <c r="AJ104" s="29" t="str">
        <f>IF(AE104="","",IFERROR(INDEX($AT$11:$AT$4010,MATCH(94,$AZ$11:$AZ$4010,0)),""))</f>
        <v/>
      </c>
      <c r="AL104" s="31" t="str">
        <f t="shared" si="20"/>
        <v/>
      </c>
      <c r="AM104" s="26" t="str">
        <f t="shared" si="21"/>
        <v/>
      </c>
      <c r="AN104" s="32" t="str">
        <f t="shared" si="22"/>
        <v/>
      </c>
      <c r="AO104" s="32" t="str">
        <f t="shared" si="23"/>
        <v/>
      </c>
      <c r="AP104" s="24" t="str">
        <f t="shared" si="24"/>
        <v/>
      </c>
      <c r="AQ104" s="24" t="str">
        <f t="shared" si="25"/>
        <v/>
      </c>
      <c r="AR104" s="33" t="str">
        <f t="shared" si="26"/>
        <v/>
      </c>
      <c r="AS104" s="34"/>
      <c r="AT104" s="33"/>
      <c r="AV104" s="21">
        <f>IF(AND($AL104&lt;&gt;"",COUNTIF($AL$11:$AL104,$AL104)=1),1,0)</f>
        <v>0</v>
      </c>
      <c r="AW104" s="21">
        <f t="shared" si="28"/>
        <v>0</v>
      </c>
      <c r="AX104" s="21" t="str">
        <f t="shared" si="27"/>
        <v/>
      </c>
      <c r="AY104" s="21" t="str">
        <f>IF(AND($AM104&lt;&gt;"",$AS104&lt;&gt;"✓"),SUMPRODUCT(($AM$11:$AM104&lt;&gt;"")*($AS$11:$AS104&lt;&gt;"✓")),"")</f>
        <v/>
      </c>
      <c r="AZ104" s="21" t="str">
        <f>IF(AND($AM104&lt;&gt;"",$AS104="✓"),SUMPRODUCT(($AM$11:$AM104&lt;&gt;"")*($AS$11:$AS104="✓")),"")</f>
        <v/>
      </c>
      <c r="BA104" s="21" t="str">
        <f>IF($AL104="","",$AL104&amp;"|"&amp;COUNTIF($AL$11:$AL104,$AL104))</f>
        <v/>
      </c>
    </row>
    <row r="105" spans="2:53" ht="15" customHeight="1" x14ac:dyDescent="0.25">
      <c r="B105" s="5" t="str">
        <f t="shared" si="15"/>
        <v/>
      </c>
      <c r="C105" s="5"/>
      <c r="D105" s="5"/>
      <c r="E105" s="5"/>
      <c r="F105" s="6"/>
      <c r="G105" s="6"/>
      <c r="H105" s="7"/>
      <c r="I105" s="8"/>
      <c r="K105" s="9" t="str">
        <f>IFERROR(INDEX($AL$11:$AL$4010,MATCH(95,$AX$11:$AX$4010,0)),"")</f>
        <v/>
      </c>
      <c r="L105" s="10" t="str">
        <f t="shared" si="16"/>
        <v/>
      </c>
      <c r="M105" s="11" t="str">
        <f t="shared" si="17"/>
        <v/>
      </c>
      <c r="N105" s="11" t="str">
        <f t="shared" si="18"/>
        <v/>
      </c>
      <c r="P105" s="12" t="str">
        <f>IFERROR(INDEX($AM$11:$AM$4010,MATCH($S$8&amp;"|"&amp;95,$BA$11:$BA$4010,0)),"")</f>
        <v/>
      </c>
      <c r="Q105" s="11" t="str">
        <f>IF(P105="","",IFERROR(INDEX($AN$11:$AN$4010,MATCH($S$8&amp;"|"&amp;95,$BA$11:$BA$4010,0)),""))</f>
        <v/>
      </c>
      <c r="R105" s="11" t="str">
        <f>IF(P105="","",IFERROR(INDEX($AO$11:$AO$4010,MATCH($S$8&amp;"|"&amp;95,$BA$11:$BA$4010,0)),""))</f>
        <v/>
      </c>
      <c r="S105" s="10" t="str">
        <f>IF(P105="","",IFERROR(INDEX($AP$11:$AP$4010,MATCH($S$8&amp;"|"&amp;95,$BA$11:$BA$4010,0)),""))</f>
        <v/>
      </c>
      <c r="T105" s="10" t="str">
        <f>IF(P105="","",IFERROR(INDEX($AQ$11:$AQ$4010,MATCH($S$8&amp;"|"&amp;95,$BA$11:$BA$4010,0)),""))</f>
        <v/>
      </c>
      <c r="U105" s="39" t="str">
        <f t="shared" si="19"/>
        <v/>
      </c>
      <c r="W105" s="14" t="str">
        <f>IF(X105="","",IFERROR(INDEX($AL$11:$AL$4010,MATCH(95,$AY$11:$AY$4010,0)),""))</f>
        <v/>
      </c>
      <c r="X105" s="12" t="str">
        <f>IFERROR(INDEX($AM$11:$AM$4010,MATCH(95,$AY$11:$AY$4010,0)),"")</f>
        <v/>
      </c>
      <c r="Y105" s="11" t="str">
        <f>IF(X105="","",IFERROR(INDEX($AN$11:$AN$4010,MATCH(95,$AY$11:$AY$4010,0)),""))</f>
        <v/>
      </c>
      <c r="Z105" s="11" t="str">
        <f>IF(X105="","",IFERROR(INDEX($AO$11:$AO$4010,MATCH(95,$AY$11:$AY$4010,0)),""))</f>
        <v/>
      </c>
      <c r="AA105" s="10" t="str">
        <f>IF(X105="","",IFERROR(INDEX($AQ$11:$AQ$4010,MATCH(95,$AY$11:$AY$4010,0)),""))</f>
        <v/>
      </c>
      <c r="AB105" s="15" t="str">
        <f>IF(X105="","",IFERROR(INDEX($AR$11:$AR$4010,MATCH(95,$AY$11:$AY$4010,0)),""))</f>
        <v/>
      </c>
      <c r="AD105" s="16" t="str">
        <f>IF(AE105="","",IFERROR(INDEX($AL$11:$AL$4010,MATCH(95,$AZ$11:$AZ$4010,0)),""))</f>
        <v/>
      </c>
      <c r="AE105" s="12" t="str">
        <f>IFERROR(INDEX($AM$11:$AM$4010,MATCH(95,$AZ$11:$AZ$4010,0)),"")</f>
        <v/>
      </c>
      <c r="AF105" s="11" t="str">
        <f>IF(AE105="","",IFERROR(INDEX($AN$11:$AN$4010,MATCH(95,$AZ$11:$AZ$4010,0)),""))</f>
        <v/>
      </c>
      <c r="AG105" s="11" t="str">
        <f>IF(AE105="","",IFERROR(INDEX($AO$11:$AO$4010,MATCH(95,$AZ$11:$AZ$4010,0)),""))</f>
        <v/>
      </c>
      <c r="AH105" s="10" t="str">
        <f>IF(AE105="","",IFERROR(INDEX($AQ$11:$AQ$4010,MATCH(95,$AZ$11:$AZ$4010,0)),""))</f>
        <v/>
      </c>
      <c r="AI105" s="15" t="str">
        <f>IF(AE105="","",IFERROR(INDEX($AR$11:$AR$4010,MATCH(95,$AZ$11:$AZ$4010,0)),""))</f>
        <v/>
      </c>
      <c r="AJ105" s="15" t="str">
        <f>IF(AE105="","",IFERROR(INDEX($AT$11:$AT$4010,MATCH(95,$AZ$11:$AZ$4010,0)),""))</f>
        <v/>
      </c>
      <c r="AL105" s="17" t="str">
        <f t="shared" si="20"/>
        <v/>
      </c>
      <c r="AM105" s="12" t="str">
        <f t="shared" si="21"/>
        <v/>
      </c>
      <c r="AN105" s="18" t="str">
        <f t="shared" si="22"/>
        <v/>
      </c>
      <c r="AO105" s="18" t="str">
        <f t="shared" si="23"/>
        <v/>
      </c>
      <c r="AP105" s="10" t="str">
        <f t="shared" si="24"/>
        <v/>
      </c>
      <c r="AQ105" s="10" t="str">
        <f t="shared" si="25"/>
        <v/>
      </c>
      <c r="AR105" s="19" t="str">
        <f t="shared" si="26"/>
        <v/>
      </c>
      <c r="AS105" s="20"/>
      <c r="AT105" s="19"/>
      <c r="AV105" s="21">
        <f>IF(AND($AL105&lt;&gt;"",COUNTIF($AL$11:$AL105,$AL105)=1),1,0)</f>
        <v>0</v>
      </c>
      <c r="AW105" s="21">
        <f t="shared" si="28"/>
        <v>0</v>
      </c>
      <c r="AX105" s="21" t="str">
        <f t="shared" si="27"/>
        <v/>
      </c>
      <c r="AY105" s="21" t="str">
        <f>IF(AND($AM105&lt;&gt;"",$AS105&lt;&gt;"✓"),SUMPRODUCT(($AM$11:$AM105&lt;&gt;"")*($AS$11:$AS105&lt;&gt;"✓")),"")</f>
        <v/>
      </c>
      <c r="AZ105" s="21" t="str">
        <f>IF(AND($AM105&lt;&gt;"",$AS105="✓"),SUMPRODUCT(($AM$11:$AM105&lt;&gt;"")*($AS$11:$AS105="✓")),"")</f>
        <v/>
      </c>
      <c r="BA105" s="21" t="str">
        <f>IF($AL105="","",$AL105&amp;"|"&amp;COUNTIF($AL$11:$AL105,$AL105))</f>
        <v/>
      </c>
    </row>
    <row r="106" spans="2:53" ht="15" customHeight="1" x14ac:dyDescent="0.25">
      <c r="B106" s="5" t="str">
        <f t="shared" si="15"/>
        <v/>
      </c>
      <c r="C106" s="5"/>
      <c r="D106" s="5"/>
      <c r="E106" s="5"/>
      <c r="F106" s="6"/>
      <c r="G106" s="6"/>
      <c r="H106" s="7"/>
      <c r="I106" s="8"/>
      <c r="K106" s="23" t="str">
        <f>IFERROR(INDEX($AL$11:$AL$4010,MATCH(96,$AX$11:$AX$4010,0)),"")</f>
        <v/>
      </c>
      <c r="L106" s="24" t="str">
        <f t="shared" si="16"/>
        <v/>
      </c>
      <c r="M106" s="25" t="str">
        <f t="shared" si="17"/>
        <v/>
      </c>
      <c r="N106" s="25" t="str">
        <f t="shared" si="18"/>
        <v/>
      </c>
      <c r="P106" s="26" t="str">
        <f>IFERROR(INDEX($AM$11:$AM$4010,MATCH($S$8&amp;"|"&amp;96,$BA$11:$BA$4010,0)),"")</f>
        <v/>
      </c>
      <c r="Q106" s="25" t="str">
        <f>IF(P106="","",IFERROR(INDEX($AN$11:$AN$4010,MATCH($S$8&amp;"|"&amp;96,$BA$11:$BA$4010,0)),""))</f>
        <v/>
      </c>
      <c r="R106" s="25" t="str">
        <f>IF(P106="","",IFERROR(INDEX($AO$11:$AO$4010,MATCH($S$8&amp;"|"&amp;96,$BA$11:$BA$4010,0)),""))</f>
        <v/>
      </c>
      <c r="S106" s="24" t="str">
        <f>IF(P106="","",IFERROR(INDEX($AP$11:$AP$4010,MATCH($S$8&amp;"|"&amp;96,$BA$11:$BA$4010,0)),""))</f>
        <v/>
      </c>
      <c r="T106" s="24" t="str">
        <f>IF(P106="","",IFERROR(INDEX($AQ$11:$AQ$4010,MATCH($S$8&amp;"|"&amp;96,$BA$11:$BA$4010,0)),""))</f>
        <v/>
      </c>
      <c r="U106" s="38" t="str">
        <f t="shared" si="19"/>
        <v/>
      </c>
      <c r="W106" s="28" t="str">
        <f>IF(X106="","",IFERROR(INDEX($AL$11:$AL$4010,MATCH(96,$AY$11:$AY$4010,0)),""))</f>
        <v/>
      </c>
      <c r="X106" s="26" t="str">
        <f>IFERROR(INDEX($AM$11:$AM$4010,MATCH(96,$AY$11:$AY$4010,0)),"")</f>
        <v/>
      </c>
      <c r="Y106" s="25" t="str">
        <f>IF(X106="","",IFERROR(INDEX($AN$11:$AN$4010,MATCH(96,$AY$11:$AY$4010,0)),""))</f>
        <v/>
      </c>
      <c r="Z106" s="25" t="str">
        <f>IF(X106="","",IFERROR(INDEX($AO$11:$AO$4010,MATCH(96,$AY$11:$AY$4010,0)),""))</f>
        <v/>
      </c>
      <c r="AA106" s="24" t="str">
        <f>IF(X106="","",IFERROR(INDEX($AQ$11:$AQ$4010,MATCH(96,$AY$11:$AY$4010,0)),""))</f>
        <v/>
      </c>
      <c r="AB106" s="29" t="str">
        <f>IF(X106="","",IFERROR(INDEX($AR$11:$AR$4010,MATCH(96,$AY$11:$AY$4010,0)),""))</f>
        <v/>
      </c>
      <c r="AD106" s="30" t="str">
        <f>IF(AE106="","",IFERROR(INDEX($AL$11:$AL$4010,MATCH(96,$AZ$11:$AZ$4010,0)),""))</f>
        <v/>
      </c>
      <c r="AE106" s="26" t="str">
        <f>IFERROR(INDEX($AM$11:$AM$4010,MATCH(96,$AZ$11:$AZ$4010,0)),"")</f>
        <v/>
      </c>
      <c r="AF106" s="25" t="str">
        <f>IF(AE106="","",IFERROR(INDEX($AN$11:$AN$4010,MATCH(96,$AZ$11:$AZ$4010,0)),""))</f>
        <v/>
      </c>
      <c r="AG106" s="25" t="str">
        <f>IF(AE106="","",IFERROR(INDEX($AO$11:$AO$4010,MATCH(96,$AZ$11:$AZ$4010,0)),""))</f>
        <v/>
      </c>
      <c r="AH106" s="24" t="str">
        <f>IF(AE106="","",IFERROR(INDEX($AQ$11:$AQ$4010,MATCH(96,$AZ$11:$AZ$4010,0)),""))</f>
        <v/>
      </c>
      <c r="AI106" s="29" t="str">
        <f>IF(AE106="","",IFERROR(INDEX($AR$11:$AR$4010,MATCH(96,$AZ$11:$AZ$4010,0)),""))</f>
        <v/>
      </c>
      <c r="AJ106" s="29" t="str">
        <f>IF(AE106="","",IFERROR(INDEX($AT$11:$AT$4010,MATCH(96,$AZ$11:$AZ$4010,0)),""))</f>
        <v/>
      </c>
      <c r="AL106" s="31" t="str">
        <f t="shared" si="20"/>
        <v/>
      </c>
      <c r="AM106" s="26" t="str">
        <f t="shared" si="21"/>
        <v/>
      </c>
      <c r="AN106" s="32" t="str">
        <f t="shared" si="22"/>
        <v/>
      </c>
      <c r="AO106" s="32" t="str">
        <f t="shared" si="23"/>
        <v/>
      </c>
      <c r="AP106" s="24" t="str">
        <f t="shared" si="24"/>
        <v/>
      </c>
      <c r="AQ106" s="24" t="str">
        <f t="shared" si="25"/>
        <v/>
      </c>
      <c r="AR106" s="33" t="str">
        <f t="shared" si="26"/>
        <v/>
      </c>
      <c r="AS106" s="34"/>
      <c r="AT106" s="33"/>
      <c r="AV106" s="21">
        <f>IF(AND($AL106&lt;&gt;"",COUNTIF($AL$11:$AL106,$AL106)=1),1,0)</f>
        <v>0</v>
      </c>
      <c r="AW106" s="21">
        <f t="shared" si="28"/>
        <v>0</v>
      </c>
      <c r="AX106" s="21" t="str">
        <f t="shared" si="27"/>
        <v/>
      </c>
      <c r="AY106" s="21" t="str">
        <f>IF(AND($AM106&lt;&gt;"",$AS106&lt;&gt;"✓"),SUMPRODUCT(($AM$11:$AM106&lt;&gt;"")*($AS$11:$AS106&lt;&gt;"✓")),"")</f>
        <v/>
      </c>
      <c r="AZ106" s="21" t="str">
        <f>IF(AND($AM106&lt;&gt;"",$AS106="✓"),SUMPRODUCT(($AM$11:$AM106&lt;&gt;"")*($AS$11:$AS106="✓")),"")</f>
        <v/>
      </c>
      <c r="BA106" s="21" t="str">
        <f>IF($AL106="","",$AL106&amp;"|"&amp;COUNTIF($AL$11:$AL106,$AL106))</f>
        <v/>
      </c>
    </row>
    <row r="107" spans="2:53" ht="15" customHeight="1" x14ac:dyDescent="0.25">
      <c r="B107" s="5" t="str">
        <f t="shared" si="15"/>
        <v/>
      </c>
      <c r="C107" s="5"/>
      <c r="D107" s="5"/>
      <c r="E107" s="5"/>
      <c r="F107" s="6"/>
      <c r="G107" s="6"/>
      <c r="H107" s="7"/>
      <c r="I107" s="8"/>
      <c r="K107" s="9" t="str">
        <f>IFERROR(INDEX($AL$11:$AL$4010,MATCH(97,$AX$11:$AX$4010,0)),"")</f>
        <v/>
      </c>
      <c r="L107" s="10" t="str">
        <f t="shared" si="16"/>
        <v/>
      </c>
      <c r="M107" s="11" t="str">
        <f t="shared" si="17"/>
        <v/>
      </c>
      <c r="N107" s="11" t="str">
        <f t="shared" si="18"/>
        <v/>
      </c>
      <c r="P107" s="12" t="str">
        <f>IFERROR(INDEX($AM$11:$AM$4010,MATCH($S$8&amp;"|"&amp;97,$BA$11:$BA$4010,0)),"")</f>
        <v/>
      </c>
      <c r="Q107" s="11" t="str">
        <f>IF(P107="","",IFERROR(INDEX($AN$11:$AN$4010,MATCH($S$8&amp;"|"&amp;97,$BA$11:$BA$4010,0)),""))</f>
        <v/>
      </c>
      <c r="R107" s="11" t="str">
        <f>IF(P107="","",IFERROR(INDEX($AO$11:$AO$4010,MATCH($S$8&amp;"|"&amp;97,$BA$11:$BA$4010,0)),""))</f>
        <v/>
      </c>
      <c r="S107" s="10" t="str">
        <f>IF(P107="","",IFERROR(INDEX($AP$11:$AP$4010,MATCH($S$8&amp;"|"&amp;97,$BA$11:$BA$4010,0)),""))</f>
        <v/>
      </c>
      <c r="T107" s="10" t="str">
        <f>IF(P107="","",IFERROR(INDEX($AQ$11:$AQ$4010,MATCH($S$8&amp;"|"&amp;97,$BA$11:$BA$4010,0)),""))</f>
        <v/>
      </c>
      <c r="U107" s="39" t="str">
        <f t="shared" ref="U107:U138" si="29">IF(P107="","",$S$8)</f>
        <v/>
      </c>
      <c r="W107" s="14" t="str">
        <f>IF(X107="","",IFERROR(INDEX($AL$11:$AL$4010,MATCH(97,$AY$11:$AY$4010,0)),""))</f>
        <v/>
      </c>
      <c r="X107" s="12" t="str">
        <f>IFERROR(INDEX($AM$11:$AM$4010,MATCH(97,$AY$11:$AY$4010,0)),"")</f>
        <v/>
      </c>
      <c r="Y107" s="11" t="str">
        <f>IF(X107="","",IFERROR(INDEX($AN$11:$AN$4010,MATCH(97,$AY$11:$AY$4010,0)),""))</f>
        <v/>
      </c>
      <c r="Z107" s="11" t="str">
        <f>IF(X107="","",IFERROR(INDEX($AO$11:$AO$4010,MATCH(97,$AY$11:$AY$4010,0)),""))</f>
        <v/>
      </c>
      <c r="AA107" s="10" t="str">
        <f>IF(X107="","",IFERROR(INDEX($AQ$11:$AQ$4010,MATCH(97,$AY$11:$AY$4010,0)),""))</f>
        <v/>
      </c>
      <c r="AB107" s="15" t="str">
        <f>IF(X107="","",IFERROR(INDEX($AR$11:$AR$4010,MATCH(97,$AY$11:$AY$4010,0)),""))</f>
        <v/>
      </c>
      <c r="AD107" s="16" t="str">
        <f>IF(AE107="","",IFERROR(INDEX($AL$11:$AL$4010,MATCH(97,$AZ$11:$AZ$4010,0)),""))</f>
        <v/>
      </c>
      <c r="AE107" s="12" t="str">
        <f>IFERROR(INDEX($AM$11:$AM$4010,MATCH(97,$AZ$11:$AZ$4010,0)),"")</f>
        <v/>
      </c>
      <c r="AF107" s="11" t="str">
        <f>IF(AE107="","",IFERROR(INDEX($AN$11:$AN$4010,MATCH(97,$AZ$11:$AZ$4010,0)),""))</f>
        <v/>
      </c>
      <c r="AG107" s="11" t="str">
        <f>IF(AE107="","",IFERROR(INDEX($AO$11:$AO$4010,MATCH(97,$AZ$11:$AZ$4010,0)),""))</f>
        <v/>
      </c>
      <c r="AH107" s="10" t="str">
        <f>IF(AE107="","",IFERROR(INDEX($AQ$11:$AQ$4010,MATCH(97,$AZ$11:$AZ$4010,0)),""))</f>
        <v/>
      </c>
      <c r="AI107" s="15" t="str">
        <f>IF(AE107="","",IFERROR(INDEX($AR$11:$AR$4010,MATCH(97,$AZ$11:$AZ$4010,0)),""))</f>
        <v/>
      </c>
      <c r="AJ107" s="15" t="str">
        <f>IF(AE107="","",IFERROR(INDEX($AT$11:$AT$4010,MATCH(97,$AZ$11:$AZ$4010,0)),""))</f>
        <v/>
      </c>
      <c r="AL107" s="17" t="str">
        <f t="shared" si="20"/>
        <v/>
      </c>
      <c r="AM107" s="12" t="str">
        <f t="shared" si="21"/>
        <v/>
      </c>
      <c r="AN107" s="18" t="str">
        <f t="shared" si="22"/>
        <v/>
      </c>
      <c r="AO107" s="18" t="str">
        <f t="shared" si="23"/>
        <v/>
      </c>
      <c r="AP107" s="10" t="str">
        <f t="shared" si="24"/>
        <v/>
      </c>
      <c r="AQ107" s="10" t="str">
        <f t="shared" si="25"/>
        <v/>
      </c>
      <c r="AR107" s="19" t="str">
        <f t="shared" si="26"/>
        <v/>
      </c>
      <c r="AS107" s="20"/>
      <c r="AT107" s="19"/>
      <c r="AV107" s="21">
        <f>IF(AND($AL107&lt;&gt;"",COUNTIF($AL$11:$AL107,$AL107)=1),1,0)</f>
        <v>0</v>
      </c>
      <c r="AW107" s="21">
        <f t="shared" si="28"/>
        <v>0</v>
      </c>
      <c r="AX107" s="21" t="str">
        <f t="shared" si="27"/>
        <v/>
      </c>
      <c r="AY107" s="21" t="str">
        <f>IF(AND($AM107&lt;&gt;"",$AS107&lt;&gt;"✓"),SUMPRODUCT(($AM$11:$AM107&lt;&gt;"")*($AS$11:$AS107&lt;&gt;"✓")),"")</f>
        <v/>
      </c>
      <c r="AZ107" s="21" t="str">
        <f>IF(AND($AM107&lt;&gt;"",$AS107="✓"),SUMPRODUCT(($AM$11:$AM107&lt;&gt;"")*($AS$11:$AS107="✓")),"")</f>
        <v/>
      </c>
      <c r="BA107" s="21" t="str">
        <f>IF($AL107="","",$AL107&amp;"|"&amp;COUNTIF($AL$11:$AL107,$AL107))</f>
        <v/>
      </c>
    </row>
    <row r="108" spans="2:53" ht="15" customHeight="1" x14ac:dyDescent="0.25">
      <c r="B108" s="5" t="str">
        <f t="shared" si="15"/>
        <v/>
      </c>
      <c r="C108" s="5"/>
      <c r="D108" s="5"/>
      <c r="E108" s="5"/>
      <c r="F108" s="6"/>
      <c r="G108" s="6"/>
      <c r="H108" s="7"/>
      <c r="I108" s="8"/>
      <c r="K108" s="23" t="str">
        <f>IFERROR(INDEX($AL$11:$AL$4010,MATCH(98,$AX$11:$AX$4010,0)),"")</f>
        <v/>
      </c>
      <c r="L108" s="24" t="str">
        <f t="shared" si="16"/>
        <v/>
      </c>
      <c r="M108" s="25" t="str">
        <f t="shared" si="17"/>
        <v/>
      </c>
      <c r="N108" s="25" t="str">
        <f t="shared" si="18"/>
        <v/>
      </c>
      <c r="P108" s="26" t="str">
        <f>IFERROR(INDEX($AM$11:$AM$4010,MATCH($S$8&amp;"|"&amp;98,$BA$11:$BA$4010,0)),"")</f>
        <v/>
      </c>
      <c r="Q108" s="25" t="str">
        <f>IF(P108="","",IFERROR(INDEX($AN$11:$AN$4010,MATCH($S$8&amp;"|"&amp;98,$BA$11:$BA$4010,0)),""))</f>
        <v/>
      </c>
      <c r="R108" s="25" t="str">
        <f>IF(P108="","",IFERROR(INDEX($AO$11:$AO$4010,MATCH($S$8&amp;"|"&amp;98,$BA$11:$BA$4010,0)),""))</f>
        <v/>
      </c>
      <c r="S108" s="24" t="str">
        <f>IF(P108="","",IFERROR(INDEX($AP$11:$AP$4010,MATCH($S$8&amp;"|"&amp;98,$BA$11:$BA$4010,0)),""))</f>
        <v/>
      </c>
      <c r="T108" s="24" t="str">
        <f>IF(P108="","",IFERROR(INDEX($AQ$11:$AQ$4010,MATCH($S$8&amp;"|"&amp;98,$BA$11:$BA$4010,0)),""))</f>
        <v/>
      </c>
      <c r="U108" s="38" t="str">
        <f t="shared" si="29"/>
        <v/>
      </c>
      <c r="W108" s="28" t="str">
        <f>IF(X108="","",IFERROR(INDEX($AL$11:$AL$4010,MATCH(98,$AY$11:$AY$4010,0)),""))</f>
        <v/>
      </c>
      <c r="X108" s="26" t="str">
        <f>IFERROR(INDEX($AM$11:$AM$4010,MATCH(98,$AY$11:$AY$4010,0)),"")</f>
        <v/>
      </c>
      <c r="Y108" s="25" t="str">
        <f>IF(X108="","",IFERROR(INDEX($AN$11:$AN$4010,MATCH(98,$AY$11:$AY$4010,0)),""))</f>
        <v/>
      </c>
      <c r="Z108" s="25" t="str">
        <f>IF(X108="","",IFERROR(INDEX($AO$11:$AO$4010,MATCH(98,$AY$11:$AY$4010,0)),""))</f>
        <v/>
      </c>
      <c r="AA108" s="24" t="str">
        <f>IF(X108="","",IFERROR(INDEX($AQ$11:$AQ$4010,MATCH(98,$AY$11:$AY$4010,0)),""))</f>
        <v/>
      </c>
      <c r="AB108" s="29" t="str">
        <f>IF(X108="","",IFERROR(INDEX($AR$11:$AR$4010,MATCH(98,$AY$11:$AY$4010,0)),""))</f>
        <v/>
      </c>
      <c r="AD108" s="30" t="str">
        <f>IF(AE108="","",IFERROR(INDEX($AL$11:$AL$4010,MATCH(98,$AZ$11:$AZ$4010,0)),""))</f>
        <v/>
      </c>
      <c r="AE108" s="26" t="str">
        <f>IFERROR(INDEX($AM$11:$AM$4010,MATCH(98,$AZ$11:$AZ$4010,0)),"")</f>
        <v/>
      </c>
      <c r="AF108" s="25" t="str">
        <f>IF(AE108="","",IFERROR(INDEX($AN$11:$AN$4010,MATCH(98,$AZ$11:$AZ$4010,0)),""))</f>
        <v/>
      </c>
      <c r="AG108" s="25" t="str">
        <f>IF(AE108="","",IFERROR(INDEX($AO$11:$AO$4010,MATCH(98,$AZ$11:$AZ$4010,0)),""))</f>
        <v/>
      </c>
      <c r="AH108" s="24" t="str">
        <f>IF(AE108="","",IFERROR(INDEX($AQ$11:$AQ$4010,MATCH(98,$AZ$11:$AZ$4010,0)),""))</f>
        <v/>
      </c>
      <c r="AI108" s="29" t="str">
        <f>IF(AE108="","",IFERROR(INDEX($AR$11:$AR$4010,MATCH(98,$AZ$11:$AZ$4010,0)),""))</f>
        <v/>
      </c>
      <c r="AJ108" s="29" t="str">
        <f>IF(AE108="","",IFERROR(INDEX($AT$11:$AT$4010,MATCH(98,$AZ$11:$AZ$4010,0)),""))</f>
        <v/>
      </c>
      <c r="AL108" s="31" t="str">
        <f t="shared" si="20"/>
        <v/>
      </c>
      <c r="AM108" s="26" t="str">
        <f t="shared" si="21"/>
        <v/>
      </c>
      <c r="AN108" s="32" t="str">
        <f t="shared" si="22"/>
        <v/>
      </c>
      <c r="AO108" s="32" t="str">
        <f t="shared" si="23"/>
        <v/>
      </c>
      <c r="AP108" s="24" t="str">
        <f t="shared" si="24"/>
        <v/>
      </c>
      <c r="AQ108" s="24" t="str">
        <f t="shared" si="25"/>
        <v/>
      </c>
      <c r="AR108" s="33" t="str">
        <f t="shared" si="26"/>
        <v/>
      </c>
      <c r="AS108" s="34"/>
      <c r="AT108" s="33"/>
      <c r="AV108" s="21">
        <f>IF(AND($AL108&lt;&gt;"",COUNTIF($AL$11:$AL108,$AL108)=1),1,0)</f>
        <v>0</v>
      </c>
      <c r="AW108" s="21">
        <f t="shared" si="28"/>
        <v>0</v>
      </c>
      <c r="AX108" s="21" t="str">
        <f t="shared" si="27"/>
        <v/>
      </c>
      <c r="AY108" s="21" t="str">
        <f>IF(AND($AM108&lt;&gt;"",$AS108&lt;&gt;"✓"),SUMPRODUCT(($AM$11:$AM108&lt;&gt;"")*($AS$11:$AS108&lt;&gt;"✓")),"")</f>
        <v/>
      </c>
      <c r="AZ108" s="21" t="str">
        <f>IF(AND($AM108&lt;&gt;"",$AS108="✓"),SUMPRODUCT(($AM$11:$AM108&lt;&gt;"")*($AS$11:$AS108="✓")),"")</f>
        <v/>
      </c>
      <c r="BA108" s="21" t="str">
        <f>IF($AL108="","",$AL108&amp;"|"&amp;COUNTIF($AL$11:$AL108,$AL108))</f>
        <v/>
      </c>
    </row>
    <row r="109" spans="2:53" ht="15" customHeight="1" x14ac:dyDescent="0.25">
      <c r="B109" s="5" t="str">
        <f t="shared" si="15"/>
        <v/>
      </c>
      <c r="C109" s="5"/>
      <c r="D109" s="5"/>
      <c r="E109" s="5"/>
      <c r="F109" s="6"/>
      <c r="G109" s="6"/>
      <c r="H109" s="7"/>
      <c r="I109" s="8"/>
      <c r="K109" s="9" t="str">
        <f>IFERROR(INDEX($AL$11:$AL$4010,MATCH(99,$AX$11:$AX$4010,0)),"")</f>
        <v/>
      </c>
      <c r="L109" s="10" t="str">
        <f t="shared" si="16"/>
        <v/>
      </c>
      <c r="M109" s="11" t="str">
        <f t="shared" si="17"/>
        <v/>
      </c>
      <c r="N109" s="11" t="str">
        <f t="shared" si="18"/>
        <v/>
      </c>
      <c r="P109" s="12" t="str">
        <f>IFERROR(INDEX($AM$11:$AM$4010,MATCH($S$8&amp;"|"&amp;99,$BA$11:$BA$4010,0)),"")</f>
        <v/>
      </c>
      <c r="Q109" s="11" t="str">
        <f>IF(P109="","",IFERROR(INDEX($AN$11:$AN$4010,MATCH($S$8&amp;"|"&amp;99,$BA$11:$BA$4010,0)),""))</f>
        <v/>
      </c>
      <c r="R109" s="11" t="str">
        <f>IF(P109="","",IFERROR(INDEX($AO$11:$AO$4010,MATCH($S$8&amp;"|"&amp;99,$BA$11:$BA$4010,0)),""))</f>
        <v/>
      </c>
      <c r="S109" s="10" t="str">
        <f>IF(P109="","",IFERROR(INDEX($AP$11:$AP$4010,MATCH($S$8&amp;"|"&amp;99,$BA$11:$BA$4010,0)),""))</f>
        <v/>
      </c>
      <c r="T109" s="10" t="str">
        <f>IF(P109="","",IFERROR(INDEX($AQ$11:$AQ$4010,MATCH($S$8&amp;"|"&amp;99,$BA$11:$BA$4010,0)),""))</f>
        <v/>
      </c>
      <c r="U109" s="39" t="str">
        <f t="shared" si="29"/>
        <v/>
      </c>
      <c r="W109" s="14" t="str">
        <f>IF(X109="","",IFERROR(INDEX($AL$11:$AL$4010,MATCH(99,$AY$11:$AY$4010,0)),""))</f>
        <v/>
      </c>
      <c r="X109" s="12" t="str">
        <f>IFERROR(INDEX($AM$11:$AM$4010,MATCH(99,$AY$11:$AY$4010,0)),"")</f>
        <v/>
      </c>
      <c r="Y109" s="11" t="str">
        <f>IF(X109="","",IFERROR(INDEX($AN$11:$AN$4010,MATCH(99,$AY$11:$AY$4010,0)),""))</f>
        <v/>
      </c>
      <c r="Z109" s="11" t="str">
        <f>IF(X109="","",IFERROR(INDEX($AO$11:$AO$4010,MATCH(99,$AY$11:$AY$4010,0)),""))</f>
        <v/>
      </c>
      <c r="AA109" s="10" t="str">
        <f>IF(X109="","",IFERROR(INDEX($AQ$11:$AQ$4010,MATCH(99,$AY$11:$AY$4010,0)),""))</f>
        <v/>
      </c>
      <c r="AB109" s="15" t="str">
        <f>IF(X109="","",IFERROR(INDEX($AR$11:$AR$4010,MATCH(99,$AY$11:$AY$4010,0)),""))</f>
        <v/>
      </c>
      <c r="AD109" s="16" t="str">
        <f>IF(AE109="","",IFERROR(INDEX($AL$11:$AL$4010,MATCH(99,$AZ$11:$AZ$4010,0)),""))</f>
        <v/>
      </c>
      <c r="AE109" s="12" t="str">
        <f>IFERROR(INDEX($AM$11:$AM$4010,MATCH(99,$AZ$11:$AZ$4010,0)),"")</f>
        <v/>
      </c>
      <c r="AF109" s="11" t="str">
        <f>IF(AE109="","",IFERROR(INDEX($AN$11:$AN$4010,MATCH(99,$AZ$11:$AZ$4010,0)),""))</f>
        <v/>
      </c>
      <c r="AG109" s="11" t="str">
        <f>IF(AE109="","",IFERROR(INDEX($AO$11:$AO$4010,MATCH(99,$AZ$11:$AZ$4010,0)),""))</f>
        <v/>
      </c>
      <c r="AH109" s="10" t="str">
        <f>IF(AE109="","",IFERROR(INDEX($AQ$11:$AQ$4010,MATCH(99,$AZ$11:$AZ$4010,0)),""))</f>
        <v/>
      </c>
      <c r="AI109" s="15" t="str">
        <f>IF(AE109="","",IFERROR(INDEX($AR$11:$AR$4010,MATCH(99,$AZ$11:$AZ$4010,0)),""))</f>
        <v/>
      </c>
      <c r="AJ109" s="15" t="str">
        <f>IF(AE109="","",IFERROR(INDEX($AT$11:$AT$4010,MATCH(99,$AZ$11:$AZ$4010,0)),""))</f>
        <v/>
      </c>
      <c r="AL109" s="17" t="str">
        <f t="shared" si="20"/>
        <v/>
      </c>
      <c r="AM109" s="12" t="str">
        <f t="shared" si="21"/>
        <v/>
      </c>
      <c r="AN109" s="18" t="str">
        <f t="shared" si="22"/>
        <v/>
      </c>
      <c r="AO109" s="18" t="str">
        <f t="shared" si="23"/>
        <v/>
      </c>
      <c r="AP109" s="10" t="str">
        <f t="shared" si="24"/>
        <v/>
      </c>
      <c r="AQ109" s="10" t="str">
        <f t="shared" si="25"/>
        <v/>
      </c>
      <c r="AR109" s="19" t="str">
        <f t="shared" si="26"/>
        <v/>
      </c>
      <c r="AS109" s="20"/>
      <c r="AT109" s="19"/>
      <c r="AV109" s="21">
        <f>IF(AND($AL109&lt;&gt;"",COUNTIF($AL$11:$AL109,$AL109)=1),1,0)</f>
        <v>0</v>
      </c>
      <c r="AW109" s="21">
        <f t="shared" si="28"/>
        <v>0</v>
      </c>
      <c r="AX109" s="21" t="str">
        <f t="shared" si="27"/>
        <v/>
      </c>
      <c r="AY109" s="21" t="str">
        <f>IF(AND($AM109&lt;&gt;"",$AS109&lt;&gt;"✓"),SUMPRODUCT(($AM$11:$AM109&lt;&gt;"")*($AS$11:$AS109&lt;&gt;"✓")),"")</f>
        <v/>
      </c>
      <c r="AZ109" s="21" t="str">
        <f>IF(AND($AM109&lt;&gt;"",$AS109="✓"),SUMPRODUCT(($AM$11:$AM109&lt;&gt;"")*($AS$11:$AS109="✓")),"")</f>
        <v/>
      </c>
      <c r="BA109" s="21" t="str">
        <f>IF($AL109="","",$AL109&amp;"|"&amp;COUNTIF($AL$11:$AL109,$AL109))</f>
        <v/>
      </c>
    </row>
    <row r="110" spans="2:53" ht="15" customHeight="1" x14ac:dyDescent="0.25">
      <c r="B110" s="5" t="str">
        <f t="shared" si="15"/>
        <v/>
      </c>
      <c r="C110" s="5"/>
      <c r="D110" s="5"/>
      <c r="E110" s="5"/>
      <c r="F110" s="6"/>
      <c r="G110" s="6"/>
      <c r="H110" s="7"/>
      <c r="I110" s="8"/>
      <c r="K110" s="23" t="str">
        <f>IFERROR(INDEX($AL$11:$AL$4010,MATCH(100,$AX$11:$AX$4010,0)),"")</f>
        <v/>
      </c>
      <c r="L110" s="24" t="str">
        <f t="shared" si="16"/>
        <v/>
      </c>
      <c r="M110" s="25" t="str">
        <f t="shared" si="17"/>
        <v/>
      </c>
      <c r="N110" s="25" t="str">
        <f t="shared" si="18"/>
        <v/>
      </c>
      <c r="P110" s="26" t="str">
        <f>IFERROR(INDEX($AM$11:$AM$4010,MATCH($S$8&amp;"|"&amp;100,$BA$11:$BA$4010,0)),"")</f>
        <v/>
      </c>
      <c r="Q110" s="25" t="str">
        <f>IF(P110="","",IFERROR(INDEX($AN$11:$AN$4010,MATCH($S$8&amp;"|"&amp;100,$BA$11:$BA$4010,0)),""))</f>
        <v/>
      </c>
      <c r="R110" s="25" t="str">
        <f>IF(P110="","",IFERROR(INDEX($AO$11:$AO$4010,MATCH($S$8&amp;"|"&amp;100,$BA$11:$BA$4010,0)),""))</f>
        <v/>
      </c>
      <c r="S110" s="24" t="str">
        <f>IF(P110="","",IFERROR(INDEX($AP$11:$AP$4010,MATCH($S$8&amp;"|"&amp;100,$BA$11:$BA$4010,0)),""))</f>
        <v/>
      </c>
      <c r="T110" s="24" t="str">
        <f>IF(P110="","",IFERROR(INDEX($AQ$11:$AQ$4010,MATCH($S$8&amp;"|"&amp;100,$BA$11:$BA$4010,0)),""))</f>
        <v/>
      </c>
      <c r="U110" s="38" t="str">
        <f t="shared" si="29"/>
        <v/>
      </c>
      <c r="W110" s="28" t="str">
        <f>IF(X110="","",IFERROR(INDEX($AL$11:$AL$4010,MATCH(100,$AY$11:$AY$4010,0)),""))</f>
        <v/>
      </c>
      <c r="X110" s="26" t="str">
        <f>IFERROR(INDEX($AM$11:$AM$4010,MATCH(100,$AY$11:$AY$4010,0)),"")</f>
        <v/>
      </c>
      <c r="Y110" s="25" t="str">
        <f>IF(X110="","",IFERROR(INDEX($AN$11:$AN$4010,MATCH(100,$AY$11:$AY$4010,0)),""))</f>
        <v/>
      </c>
      <c r="Z110" s="25" t="str">
        <f>IF(X110="","",IFERROR(INDEX($AO$11:$AO$4010,MATCH(100,$AY$11:$AY$4010,0)),""))</f>
        <v/>
      </c>
      <c r="AA110" s="24" t="str">
        <f>IF(X110="","",IFERROR(INDEX($AQ$11:$AQ$4010,MATCH(100,$AY$11:$AY$4010,0)),""))</f>
        <v/>
      </c>
      <c r="AB110" s="29" t="str">
        <f>IF(X110="","",IFERROR(INDEX($AR$11:$AR$4010,MATCH(100,$AY$11:$AY$4010,0)),""))</f>
        <v/>
      </c>
      <c r="AD110" s="30" t="str">
        <f>IF(AE110="","",IFERROR(INDEX($AL$11:$AL$4010,MATCH(100,$AZ$11:$AZ$4010,0)),""))</f>
        <v/>
      </c>
      <c r="AE110" s="26" t="str">
        <f>IFERROR(INDEX($AM$11:$AM$4010,MATCH(100,$AZ$11:$AZ$4010,0)),"")</f>
        <v/>
      </c>
      <c r="AF110" s="25" t="str">
        <f>IF(AE110="","",IFERROR(INDEX($AN$11:$AN$4010,MATCH(100,$AZ$11:$AZ$4010,0)),""))</f>
        <v/>
      </c>
      <c r="AG110" s="25" t="str">
        <f>IF(AE110="","",IFERROR(INDEX($AO$11:$AO$4010,MATCH(100,$AZ$11:$AZ$4010,0)),""))</f>
        <v/>
      </c>
      <c r="AH110" s="24" t="str">
        <f>IF(AE110="","",IFERROR(INDEX($AQ$11:$AQ$4010,MATCH(100,$AZ$11:$AZ$4010,0)),""))</f>
        <v/>
      </c>
      <c r="AI110" s="29" t="str">
        <f>IF(AE110="","",IFERROR(INDEX($AR$11:$AR$4010,MATCH(100,$AZ$11:$AZ$4010,0)),""))</f>
        <v/>
      </c>
      <c r="AJ110" s="29" t="str">
        <f>IF(AE110="","",IFERROR(INDEX($AT$11:$AT$4010,MATCH(100,$AZ$11:$AZ$4010,0)),""))</f>
        <v/>
      </c>
      <c r="AL110" s="31" t="str">
        <f t="shared" si="20"/>
        <v/>
      </c>
      <c r="AM110" s="26" t="str">
        <f t="shared" si="21"/>
        <v/>
      </c>
      <c r="AN110" s="32" t="str">
        <f t="shared" si="22"/>
        <v/>
      </c>
      <c r="AO110" s="32" t="str">
        <f t="shared" si="23"/>
        <v/>
      </c>
      <c r="AP110" s="24" t="str">
        <f t="shared" si="24"/>
        <v/>
      </c>
      <c r="AQ110" s="24" t="str">
        <f t="shared" si="25"/>
        <v/>
      </c>
      <c r="AR110" s="33" t="str">
        <f t="shared" si="26"/>
        <v/>
      </c>
      <c r="AS110" s="34"/>
      <c r="AT110" s="33"/>
      <c r="AV110" s="21">
        <f>IF(AND($AL110&lt;&gt;"",COUNTIF($AL$11:$AL110,$AL110)=1),1,0)</f>
        <v>0</v>
      </c>
      <c r="AW110" s="21">
        <f t="shared" si="28"/>
        <v>0</v>
      </c>
      <c r="AX110" s="21" t="str">
        <f t="shared" si="27"/>
        <v/>
      </c>
      <c r="AY110" s="21" t="str">
        <f>IF(AND($AM110&lt;&gt;"",$AS110&lt;&gt;"✓"),SUMPRODUCT(($AM$11:$AM110&lt;&gt;"")*($AS$11:$AS110&lt;&gt;"✓")),"")</f>
        <v/>
      </c>
      <c r="AZ110" s="21" t="str">
        <f>IF(AND($AM110&lt;&gt;"",$AS110="✓"),SUMPRODUCT(($AM$11:$AM110&lt;&gt;"")*($AS$11:$AS110="✓")),"")</f>
        <v/>
      </c>
      <c r="BA110" s="21" t="str">
        <f>IF($AL110="","",$AL110&amp;"|"&amp;COUNTIF($AL$11:$AL110,$AL110))</f>
        <v/>
      </c>
    </row>
    <row r="111" spans="2:53" ht="15" customHeight="1" x14ac:dyDescent="0.25">
      <c r="B111" s="5" t="str">
        <f t="shared" si="15"/>
        <v/>
      </c>
      <c r="C111" s="5"/>
      <c r="D111" s="5"/>
      <c r="E111" s="5"/>
      <c r="F111" s="6"/>
      <c r="G111" s="6"/>
      <c r="H111" s="7"/>
      <c r="I111" s="8"/>
      <c r="K111" s="9" t="str">
        <f>IFERROR(INDEX($AL$11:$AL$4010,MATCH(101,$AX$11:$AX$4010,0)),"")</f>
        <v/>
      </c>
      <c r="L111" s="10" t="str">
        <f t="shared" si="16"/>
        <v/>
      </c>
      <c r="M111" s="11" t="str">
        <f t="shared" si="17"/>
        <v/>
      </c>
      <c r="N111" s="11" t="str">
        <f t="shared" si="18"/>
        <v/>
      </c>
      <c r="P111" s="12" t="str">
        <f>IFERROR(INDEX($AM$11:$AM$4010,MATCH($S$8&amp;"|"&amp;101,$BA$11:$BA$4010,0)),"")</f>
        <v/>
      </c>
      <c r="Q111" s="11" t="str">
        <f>IF(P111="","",IFERROR(INDEX($AN$11:$AN$4010,MATCH($S$8&amp;"|"&amp;101,$BA$11:$BA$4010,0)),""))</f>
        <v/>
      </c>
      <c r="R111" s="11" t="str">
        <f>IF(P111="","",IFERROR(INDEX($AO$11:$AO$4010,MATCH($S$8&amp;"|"&amp;101,$BA$11:$BA$4010,0)),""))</f>
        <v/>
      </c>
      <c r="S111" s="10" t="str">
        <f>IF(P111="","",IFERROR(INDEX($AP$11:$AP$4010,MATCH($S$8&amp;"|"&amp;101,$BA$11:$BA$4010,0)),""))</f>
        <v/>
      </c>
      <c r="T111" s="10" t="str">
        <f>IF(P111="","",IFERROR(INDEX($AQ$11:$AQ$4010,MATCH($S$8&amp;"|"&amp;101,$BA$11:$BA$4010,0)),""))</f>
        <v/>
      </c>
      <c r="U111" s="39" t="str">
        <f t="shared" si="29"/>
        <v/>
      </c>
      <c r="W111" s="14" t="str">
        <f>IF(X111="","",IFERROR(INDEX($AL$11:$AL$4010,MATCH(101,$AY$11:$AY$4010,0)),""))</f>
        <v/>
      </c>
      <c r="X111" s="12" t="str">
        <f>IFERROR(INDEX($AM$11:$AM$4010,MATCH(101,$AY$11:$AY$4010,0)),"")</f>
        <v/>
      </c>
      <c r="Y111" s="11" t="str">
        <f>IF(X111="","",IFERROR(INDEX($AN$11:$AN$4010,MATCH(101,$AY$11:$AY$4010,0)),""))</f>
        <v/>
      </c>
      <c r="Z111" s="11" t="str">
        <f>IF(X111="","",IFERROR(INDEX($AO$11:$AO$4010,MATCH(101,$AY$11:$AY$4010,0)),""))</f>
        <v/>
      </c>
      <c r="AA111" s="10" t="str">
        <f>IF(X111="","",IFERROR(INDEX($AQ$11:$AQ$4010,MATCH(101,$AY$11:$AY$4010,0)),""))</f>
        <v/>
      </c>
      <c r="AB111" s="15" t="str">
        <f>IF(X111="","",IFERROR(INDEX($AR$11:$AR$4010,MATCH(101,$AY$11:$AY$4010,0)),""))</f>
        <v/>
      </c>
      <c r="AD111" s="16" t="str">
        <f>IF(AE111="","",IFERROR(INDEX($AL$11:$AL$4010,MATCH(101,$AZ$11:$AZ$4010,0)),""))</f>
        <v/>
      </c>
      <c r="AE111" s="12" t="str">
        <f>IFERROR(INDEX($AM$11:$AM$4010,MATCH(101,$AZ$11:$AZ$4010,0)),"")</f>
        <v/>
      </c>
      <c r="AF111" s="11" t="str">
        <f>IF(AE111="","",IFERROR(INDEX($AN$11:$AN$4010,MATCH(101,$AZ$11:$AZ$4010,0)),""))</f>
        <v/>
      </c>
      <c r="AG111" s="11" t="str">
        <f>IF(AE111="","",IFERROR(INDEX($AO$11:$AO$4010,MATCH(101,$AZ$11:$AZ$4010,0)),""))</f>
        <v/>
      </c>
      <c r="AH111" s="10" t="str">
        <f>IF(AE111="","",IFERROR(INDEX($AQ$11:$AQ$4010,MATCH(101,$AZ$11:$AZ$4010,0)),""))</f>
        <v/>
      </c>
      <c r="AI111" s="15" t="str">
        <f>IF(AE111="","",IFERROR(INDEX($AR$11:$AR$4010,MATCH(101,$AZ$11:$AZ$4010,0)),""))</f>
        <v/>
      </c>
      <c r="AJ111" s="15" t="str">
        <f>IF(AE111="","",IFERROR(INDEX($AT$11:$AT$4010,MATCH(101,$AZ$11:$AZ$4010,0)),""))</f>
        <v/>
      </c>
      <c r="AL111" s="17" t="str">
        <f t="shared" si="20"/>
        <v/>
      </c>
      <c r="AM111" s="12" t="str">
        <f t="shared" si="21"/>
        <v/>
      </c>
      <c r="AN111" s="18" t="str">
        <f t="shared" si="22"/>
        <v/>
      </c>
      <c r="AO111" s="18" t="str">
        <f t="shared" si="23"/>
        <v/>
      </c>
      <c r="AP111" s="10" t="str">
        <f t="shared" si="24"/>
        <v/>
      </c>
      <c r="AQ111" s="10" t="str">
        <f t="shared" si="25"/>
        <v/>
      </c>
      <c r="AR111" s="19" t="str">
        <f t="shared" si="26"/>
        <v/>
      </c>
      <c r="AS111" s="20"/>
      <c r="AT111" s="19"/>
      <c r="AV111" s="21">
        <f>IF(AND($AL111&lt;&gt;"",COUNTIF($AL$11:$AL111,$AL111)=1),1,0)</f>
        <v>0</v>
      </c>
      <c r="AW111" s="21">
        <f t="shared" si="28"/>
        <v>0</v>
      </c>
      <c r="AX111" s="21" t="str">
        <f t="shared" si="27"/>
        <v/>
      </c>
      <c r="AY111" s="21" t="str">
        <f>IF(AND($AM111&lt;&gt;"",$AS111&lt;&gt;"✓"),SUMPRODUCT(($AM$11:$AM111&lt;&gt;"")*($AS$11:$AS111&lt;&gt;"✓")),"")</f>
        <v/>
      </c>
      <c r="AZ111" s="21" t="str">
        <f>IF(AND($AM111&lt;&gt;"",$AS111="✓"),SUMPRODUCT(($AM$11:$AM111&lt;&gt;"")*($AS$11:$AS111="✓")),"")</f>
        <v/>
      </c>
      <c r="BA111" s="21" t="str">
        <f>IF($AL111="","",$AL111&amp;"|"&amp;COUNTIF($AL$11:$AL111,$AL111))</f>
        <v/>
      </c>
    </row>
    <row r="112" spans="2:53" ht="15" customHeight="1" x14ac:dyDescent="0.25">
      <c r="B112" s="5" t="str">
        <f t="shared" si="15"/>
        <v/>
      </c>
      <c r="C112" s="5"/>
      <c r="D112" s="5"/>
      <c r="E112" s="5"/>
      <c r="F112" s="6"/>
      <c r="G112" s="6"/>
      <c r="H112" s="7"/>
      <c r="I112" s="8"/>
      <c r="K112" s="23" t="str">
        <f>IFERROR(INDEX($AL$11:$AL$4010,MATCH(102,$AX$11:$AX$4010,0)),"")</f>
        <v/>
      </c>
      <c r="L112" s="24" t="str">
        <f t="shared" si="16"/>
        <v/>
      </c>
      <c r="M112" s="25" t="str">
        <f t="shared" si="17"/>
        <v/>
      </c>
      <c r="N112" s="25" t="str">
        <f t="shared" si="18"/>
        <v/>
      </c>
      <c r="P112" s="26" t="str">
        <f>IFERROR(INDEX($AM$11:$AM$4010,MATCH($S$8&amp;"|"&amp;102,$BA$11:$BA$4010,0)),"")</f>
        <v/>
      </c>
      <c r="Q112" s="25" t="str">
        <f>IF(P112="","",IFERROR(INDEX($AN$11:$AN$4010,MATCH($S$8&amp;"|"&amp;102,$BA$11:$BA$4010,0)),""))</f>
        <v/>
      </c>
      <c r="R112" s="25" t="str">
        <f>IF(P112="","",IFERROR(INDEX($AO$11:$AO$4010,MATCH($S$8&amp;"|"&amp;102,$BA$11:$BA$4010,0)),""))</f>
        <v/>
      </c>
      <c r="S112" s="24" t="str">
        <f>IF(P112="","",IFERROR(INDEX($AP$11:$AP$4010,MATCH($S$8&amp;"|"&amp;102,$BA$11:$BA$4010,0)),""))</f>
        <v/>
      </c>
      <c r="T112" s="24" t="str">
        <f>IF(P112="","",IFERROR(INDEX($AQ$11:$AQ$4010,MATCH($S$8&amp;"|"&amp;102,$BA$11:$BA$4010,0)),""))</f>
        <v/>
      </c>
      <c r="U112" s="38" t="str">
        <f t="shared" si="29"/>
        <v/>
      </c>
      <c r="W112" s="28" t="str">
        <f>IF(X112="","",IFERROR(INDEX($AL$11:$AL$4010,MATCH(102,$AY$11:$AY$4010,0)),""))</f>
        <v/>
      </c>
      <c r="X112" s="26" t="str">
        <f>IFERROR(INDEX($AM$11:$AM$4010,MATCH(102,$AY$11:$AY$4010,0)),"")</f>
        <v/>
      </c>
      <c r="Y112" s="25" t="str">
        <f>IF(X112="","",IFERROR(INDEX($AN$11:$AN$4010,MATCH(102,$AY$11:$AY$4010,0)),""))</f>
        <v/>
      </c>
      <c r="Z112" s="25" t="str">
        <f>IF(X112="","",IFERROR(INDEX($AO$11:$AO$4010,MATCH(102,$AY$11:$AY$4010,0)),""))</f>
        <v/>
      </c>
      <c r="AA112" s="24" t="str">
        <f>IF(X112="","",IFERROR(INDEX($AQ$11:$AQ$4010,MATCH(102,$AY$11:$AY$4010,0)),""))</f>
        <v/>
      </c>
      <c r="AB112" s="29" t="str">
        <f>IF(X112="","",IFERROR(INDEX($AR$11:$AR$4010,MATCH(102,$AY$11:$AY$4010,0)),""))</f>
        <v/>
      </c>
      <c r="AD112" s="30" t="str">
        <f>IF(AE112="","",IFERROR(INDEX($AL$11:$AL$4010,MATCH(102,$AZ$11:$AZ$4010,0)),""))</f>
        <v/>
      </c>
      <c r="AE112" s="26" t="str">
        <f>IFERROR(INDEX($AM$11:$AM$4010,MATCH(102,$AZ$11:$AZ$4010,0)),"")</f>
        <v/>
      </c>
      <c r="AF112" s="25" t="str">
        <f>IF(AE112="","",IFERROR(INDEX($AN$11:$AN$4010,MATCH(102,$AZ$11:$AZ$4010,0)),""))</f>
        <v/>
      </c>
      <c r="AG112" s="25" t="str">
        <f>IF(AE112="","",IFERROR(INDEX($AO$11:$AO$4010,MATCH(102,$AZ$11:$AZ$4010,0)),""))</f>
        <v/>
      </c>
      <c r="AH112" s="24" t="str">
        <f>IF(AE112="","",IFERROR(INDEX($AQ$11:$AQ$4010,MATCH(102,$AZ$11:$AZ$4010,0)),""))</f>
        <v/>
      </c>
      <c r="AI112" s="29" t="str">
        <f>IF(AE112="","",IFERROR(INDEX($AR$11:$AR$4010,MATCH(102,$AZ$11:$AZ$4010,0)),""))</f>
        <v/>
      </c>
      <c r="AJ112" s="29" t="str">
        <f>IF(AE112="","",IFERROR(INDEX($AT$11:$AT$4010,MATCH(102,$AZ$11:$AZ$4010,0)),""))</f>
        <v/>
      </c>
      <c r="AL112" s="31" t="str">
        <f t="shared" si="20"/>
        <v/>
      </c>
      <c r="AM112" s="26" t="str">
        <f t="shared" si="21"/>
        <v/>
      </c>
      <c r="AN112" s="32" t="str">
        <f t="shared" si="22"/>
        <v/>
      </c>
      <c r="AO112" s="32" t="str">
        <f t="shared" si="23"/>
        <v/>
      </c>
      <c r="AP112" s="24" t="str">
        <f t="shared" si="24"/>
        <v/>
      </c>
      <c r="AQ112" s="24" t="str">
        <f t="shared" si="25"/>
        <v/>
      </c>
      <c r="AR112" s="33" t="str">
        <f t="shared" si="26"/>
        <v/>
      </c>
      <c r="AS112" s="34"/>
      <c r="AT112" s="33"/>
      <c r="AV112" s="21">
        <f>IF(AND($AL112&lt;&gt;"",COUNTIF($AL$11:$AL112,$AL112)=1),1,0)</f>
        <v>0</v>
      </c>
      <c r="AW112" s="21">
        <f t="shared" si="28"/>
        <v>0</v>
      </c>
      <c r="AX112" s="21" t="str">
        <f t="shared" si="27"/>
        <v/>
      </c>
      <c r="AY112" s="21" t="str">
        <f>IF(AND($AM112&lt;&gt;"",$AS112&lt;&gt;"✓"),SUMPRODUCT(($AM$11:$AM112&lt;&gt;"")*($AS$11:$AS112&lt;&gt;"✓")),"")</f>
        <v/>
      </c>
      <c r="AZ112" s="21" t="str">
        <f>IF(AND($AM112&lt;&gt;"",$AS112="✓"),SUMPRODUCT(($AM$11:$AM112&lt;&gt;"")*($AS$11:$AS112="✓")),"")</f>
        <v/>
      </c>
      <c r="BA112" s="21" t="str">
        <f>IF($AL112="","",$AL112&amp;"|"&amp;COUNTIF($AL$11:$AL112,$AL112))</f>
        <v/>
      </c>
    </row>
    <row r="113" spans="2:53" ht="15" customHeight="1" x14ac:dyDescent="0.25">
      <c r="B113" s="5" t="str">
        <f t="shared" si="15"/>
        <v/>
      </c>
      <c r="C113" s="5"/>
      <c r="D113" s="5"/>
      <c r="E113" s="5"/>
      <c r="F113" s="6"/>
      <c r="G113" s="6"/>
      <c r="H113" s="7"/>
      <c r="I113" s="8"/>
      <c r="K113" s="9" t="str">
        <f>IFERROR(INDEX($AL$11:$AL$4010,MATCH(103,$AX$11:$AX$4010,0)),"")</f>
        <v/>
      </c>
      <c r="L113" s="10" t="str">
        <f t="shared" si="16"/>
        <v/>
      </c>
      <c r="M113" s="11" t="str">
        <f t="shared" si="17"/>
        <v/>
      </c>
      <c r="N113" s="11" t="str">
        <f t="shared" si="18"/>
        <v/>
      </c>
      <c r="P113" s="12" t="str">
        <f>IFERROR(INDEX($AM$11:$AM$4010,MATCH($S$8&amp;"|"&amp;103,$BA$11:$BA$4010,0)),"")</f>
        <v/>
      </c>
      <c r="Q113" s="11" t="str">
        <f>IF(P113="","",IFERROR(INDEX($AN$11:$AN$4010,MATCH($S$8&amp;"|"&amp;103,$BA$11:$BA$4010,0)),""))</f>
        <v/>
      </c>
      <c r="R113" s="11" t="str">
        <f>IF(P113="","",IFERROR(INDEX($AO$11:$AO$4010,MATCH($S$8&amp;"|"&amp;103,$BA$11:$BA$4010,0)),""))</f>
        <v/>
      </c>
      <c r="S113" s="10" t="str">
        <f>IF(P113="","",IFERROR(INDEX($AP$11:$AP$4010,MATCH($S$8&amp;"|"&amp;103,$BA$11:$BA$4010,0)),""))</f>
        <v/>
      </c>
      <c r="T113" s="10" t="str">
        <f>IF(P113="","",IFERROR(INDEX($AQ$11:$AQ$4010,MATCH($S$8&amp;"|"&amp;103,$BA$11:$BA$4010,0)),""))</f>
        <v/>
      </c>
      <c r="U113" s="39" t="str">
        <f t="shared" si="29"/>
        <v/>
      </c>
      <c r="W113" s="14" t="str">
        <f>IF(X113="","",IFERROR(INDEX($AL$11:$AL$4010,MATCH(103,$AY$11:$AY$4010,0)),""))</f>
        <v/>
      </c>
      <c r="X113" s="12" t="str">
        <f>IFERROR(INDEX($AM$11:$AM$4010,MATCH(103,$AY$11:$AY$4010,0)),"")</f>
        <v/>
      </c>
      <c r="Y113" s="11" t="str">
        <f>IF(X113="","",IFERROR(INDEX($AN$11:$AN$4010,MATCH(103,$AY$11:$AY$4010,0)),""))</f>
        <v/>
      </c>
      <c r="Z113" s="11" t="str">
        <f>IF(X113="","",IFERROR(INDEX($AO$11:$AO$4010,MATCH(103,$AY$11:$AY$4010,0)),""))</f>
        <v/>
      </c>
      <c r="AA113" s="10" t="str">
        <f>IF(X113="","",IFERROR(INDEX($AQ$11:$AQ$4010,MATCH(103,$AY$11:$AY$4010,0)),""))</f>
        <v/>
      </c>
      <c r="AB113" s="15" t="str">
        <f>IF(X113="","",IFERROR(INDEX($AR$11:$AR$4010,MATCH(103,$AY$11:$AY$4010,0)),""))</f>
        <v/>
      </c>
      <c r="AD113" s="16" t="str">
        <f>IF(AE113="","",IFERROR(INDEX($AL$11:$AL$4010,MATCH(103,$AZ$11:$AZ$4010,0)),""))</f>
        <v/>
      </c>
      <c r="AE113" s="12" t="str">
        <f>IFERROR(INDEX($AM$11:$AM$4010,MATCH(103,$AZ$11:$AZ$4010,0)),"")</f>
        <v/>
      </c>
      <c r="AF113" s="11" t="str">
        <f>IF(AE113="","",IFERROR(INDEX($AN$11:$AN$4010,MATCH(103,$AZ$11:$AZ$4010,0)),""))</f>
        <v/>
      </c>
      <c r="AG113" s="11" t="str">
        <f>IF(AE113="","",IFERROR(INDEX($AO$11:$AO$4010,MATCH(103,$AZ$11:$AZ$4010,0)),""))</f>
        <v/>
      </c>
      <c r="AH113" s="10" t="str">
        <f>IF(AE113="","",IFERROR(INDEX($AQ$11:$AQ$4010,MATCH(103,$AZ$11:$AZ$4010,0)),""))</f>
        <v/>
      </c>
      <c r="AI113" s="15" t="str">
        <f>IF(AE113="","",IFERROR(INDEX($AR$11:$AR$4010,MATCH(103,$AZ$11:$AZ$4010,0)),""))</f>
        <v/>
      </c>
      <c r="AJ113" s="15" t="str">
        <f>IF(AE113="","",IFERROR(INDEX($AT$11:$AT$4010,MATCH(103,$AZ$11:$AZ$4010,0)),""))</f>
        <v/>
      </c>
      <c r="AL113" s="17" t="str">
        <f t="shared" si="20"/>
        <v/>
      </c>
      <c r="AM113" s="12" t="str">
        <f t="shared" si="21"/>
        <v/>
      </c>
      <c r="AN113" s="18" t="str">
        <f t="shared" si="22"/>
        <v/>
      </c>
      <c r="AO113" s="18" t="str">
        <f t="shared" si="23"/>
        <v/>
      </c>
      <c r="AP113" s="10" t="str">
        <f t="shared" si="24"/>
        <v/>
      </c>
      <c r="AQ113" s="10" t="str">
        <f t="shared" si="25"/>
        <v/>
      </c>
      <c r="AR113" s="19" t="str">
        <f t="shared" si="26"/>
        <v/>
      </c>
      <c r="AS113" s="20"/>
      <c r="AT113" s="19"/>
      <c r="AV113" s="21">
        <f>IF(AND($AL113&lt;&gt;"",COUNTIF($AL$11:$AL113,$AL113)=1),1,0)</f>
        <v>0</v>
      </c>
      <c r="AW113" s="21">
        <f t="shared" si="28"/>
        <v>0</v>
      </c>
      <c r="AX113" s="21" t="str">
        <f t="shared" si="27"/>
        <v/>
      </c>
      <c r="AY113" s="21" t="str">
        <f>IF(AND($AM113&lt;&gt;"",$AS113&lt;&gt;"✓"),SUMPRODUCT(($AM$11:$AM113&lt;&gt;"")*($AS$11:$AS113&lt;&gt;"✓")),"")</f>
        <v/>
      </c>
      <c r="AZ113" s="21" t="str">
        <f>IF(AND($AM113&lt;&gt;"",$AS113="✓"),SUMPRODUCT(($AM$11:$AM113&lt;&gt;"")*($AS$11:$AS113="✓")),"")</f>
        <v/>
      </c>
      <c r="BA113" s="21" t="str">
        <f>IF($AL113="","",$AL113&amp;"|"&amp;COUNTIF($AL$11:$AL113,$AL113))</f>
        <v/>
      </c>
    </row>
    <row r="114" spans="2:53" ht="15" customHeight="1" x14ac:dyDescent="0.25">
      <c r="B114" s="5" t="str">
        <f t="shared" si="15"/>
        <v/>
      </c>
      <c r="C114" s="5"/>
      <c r="D114" s="5"/>
      <c r="E114" s="5"/>
      <c r="F114" s="6"/>
      <c r="G114" s="6"/>
      <c r="H114" s="7"/>
      <c r="I114" s="8"/>
      <c r="K114" s="23" t="str">
        <f>IFERROR(INDEX($AL$11:$AL$4010,MATCH(104,$AX$11:$AX$4010,0)),"")</f>
        <v/>
      </c>
      <c r="L114" s="24" t="str">
        <f t="shared" si="16"/>
        <v/>
      </c>
      <c r="M114" s="25" t="str">
        <f t="shared" si="17"/>
        <v/>
      </c>
      <c r="N114" s="25" t="str">
        <f t="shared" si="18"/>
        <v/>
      </c>
      <c r="P114" s="26" t="str">
        <f>IFERROR(INDEX($AM$11:$AM$4010,MATCH($S$8&amp;"|"&amp;104,$BA$11:$BA$4010,0)),"")</f>
        <v/>
      </c>
      <c r="Q114" s="25" t="str">
        <f>IF(P114="","",IFERROR(INDEX($AN$11:$AN$4010,MATCH($S$8&amp;"|"&amp;104,$BA$11:$BA$4010,0)),""))</f>
        <v/>
      </c>
      <c r="R114" s="25" t="str">
        <f>IF(P114="","",IFERROR(INDEX($AO$11:$AO$4010,MATCH($S$8&amp;"|"&amp;104,$BA$11:$BA$4010,0)),""))</f>
        <v/>
      </c>
      <c r="S114" s="24" t="str">
        <f>IF(P114="","",IFERROR(INDEX($AP$11:$AP$4010,MATCH($S$8&amp;"|"&amp;104,$BA$11:$BA$4010,0)),""))</f>
        <v/>
      </c>
      <c r="T114" s="24" t="str">
        <f>IF(P114="","",IFERROR(INDEX($AQ$11:$AQ$4010,MATCH($S$8&amp;"|"&amp;104,$BA$11:$BA$4010,0)),""))</f>
        <v/>
      </c>
      <c r="U114" s="38" t="str">
        <f t="shared" si="29"/>
        <v/>
      </c>
      <c r="W114" s="28" t="str">
        <f>IF(X114="","",IFERROR(INDEX($AL$11:$AL$4010,MATCH(104,$AY$11:$AY$4010,0)),""))</f>
        <v/>
      </c>
      <c r="X114" s="26" t="str">
        <f>IFERROR(INDEX($AM$11:$AM$4010,MATCH(104,$AY$11:$AY$4010,0)),"")</f>
        <v/>
      </c>
      <c r="Y114" s="25" t="str">
        <f>IF(X114="","",IFERROR(INDEX($AN$11:$AN$4010,MATCH(104,$AY$11:$AY$4010,0)),""))</f>
        <v/>
      </c>
      <c r="Z114" s="25" t="str">
        <f>IF(X114="","",IFERROR(INDEX($AO$11:$AO$4010,MATCH(104,$AY$11:$AY$4010,0)),""))</f>
        <v/>
      </c>
      <c r="AA114" s="24" t="str">
        <f>IF(X114="","",IFERROR(INDEX($AQ$11:$AQ$4010,MATCH(104,$AY$11:$AY$4010,0)),""))</f>
        <v/>
      </c>
      <c r="AB114" s="29" t="str">
        <f>IF(X114="","",IFERROR(INDEX($AR$11:$AR$4010,MATCH(104,$AY$11:$AY$4010,0)),""))</f>
        <v/>
      </c>
      <c r="AD114" s="30" t="str">
        <f>IF(AE114="","",IFERROR(INDEX($AL$11:$AL$4010,MATCH(104,$AZ$11:$AZ$4010,0)),""))</f>
        <v/>
      </c>
      <c r="AE114" s="26" t="str">
        <f>IFERROR(INDEX($AM$11:$AM$4010,MATCH(104,$AZ$11:$AZ$4010,0)),"")</f>
        <v/>
      </c>
      <c r="AF114" s="25" t="str">
        <f>IF(AE114="","",IFERROR(INDEX($AN$11:$AN$4010,MATCH(104,$AZ$11:$AZ$4010,0)),""))</f>
        <v/>
      </c>
      <c r="AG114" s="25" t="str">
        <f>IF(AE114="","",IFERROR(INDEX($AO$11:$AO$4010,MATCH(104,$AZ$11:$AZ$4010,0)),""))</f>
        <v/>
      </c>
      <c r="AH114" s="24" t="str">
        <f>IF(AE114="","",IFERROR(INDEX($AQ$11:$AQ$4010,MATCH(104,$AZ$11:$AZ$4010,0)),""))</f>
        <v/>
      </c>
      <c r="AI114" s="29" t="str">
        <f>IF(AE114="","",IFERROR(INDEX($AR$11:$AR$4010,MATCH(104,$AZ$11:$AZ$4010,0)),""))</f>
        <v/>
      </c>
      <c r="AJ114" s="29" t="str">
        <f>IF(AE114="","",IFERROR(INDEX($AT$11:$AT$4010,MATCH(104,$AZ$11:$AZ$4010,0)),""))</f>
        <v/>
      </c>
      <c r="AL114" s="31" t="str">
        <f t="shared" si="20"/>
        <v/>
      </c>
      <c r="AM114" s="26" t="str">
        <f t="shared" si="21"/>
        <v/>
      </c>
      <c r="AN114" s="32" t="str">
        <f t="shared" si="22"/>
        <v/>
      </c>
      <c r="AO114" s="32" t="str">
        <f t="shared" si="23"/>
        <v/>
      </c>
      <c r="AP114" s="24" t="str">
        <f t="shared" si="24"/>
        <v/>
      </c>
      <c r="AQ114" s="24" t="str">
        <f t="shared" si="25"/>
        <v/>
      </c>
      <c r="AR114" s="33" t="str">
        <f t="shared" si="26"/>
        <v/>
      </c>
      <c r="AS114" s="34"/>
      <c r="AT114" s="33"/>
      <c r="AV114" s="21">
        <f>IF(AND($AL114&lt;&gt;"",COUNTIF($AL$11:$AL114,$AL114)=1),1,0)</f>
        <v>0</v>
      </c>
      <c r="AW114" s="21">
        <f t="shared" si="28"/>
        <v>0</v>
      </c>
      <c r="AX114" s="21" t="str">
        <f t="shared" si="27"/>
        <v/>
      </c>
      <c r="AY114" s="21" t="str">
        <f>IF(AND($AM114&lt;&gt;"",$AS114&lt;&gt;"✓"),SUMPRODUCT(($AM$11:$AM114&lt;&gt;"")*($AS$11:$AS114&lt;&gt;"✓")),"")</f>
        <v/>
      </c>
      <c r="AZ114" s="21" t="str">
        <f>IF(AND($AM114&lt;&gt;"",$AS114="✓"),SUMPRODUCT(($AM$11:$AM114&lt;&gt;"")*($AS$11:$AS114="✓")),"")</f>
        <v/>
      </c>
      <c r="BA114" s="21" t="str">
        <f>IF($AL114="","",$AL114&amp;"|"&amp;COUNTIF($AL$11:$AL114,$AL114))</f>
        <v/>
      </c>
    </row>
    <row r="115" spans="2:53" ht="15" customHeight="1" x14ac:dyDescent="0.25">
      <c r="B115" s="5" t="str">
        <f t="shared" si="15"/>
        <v/>
      </c>
      <c r="C115" s="5"/>
      <c r="D115" s="5"/>
      <c r="E115" s="5"/>
      <c r="F115" s="6"/>
      <c r="G115" s="6"/>
      <c r="H115" s="7"/>
      <c r="I115" s="8"/>
      <c r="K115" s="9" t="str">
        <f>IFERROR(INDEX($AL$11:$AL$4010,MATCH(105,$AX$11:$AX$4010,0)),"")</f>
        <v/>
      </c>
      <c r="L115" s="10" t="str">
        <f t="shared" si="16"/>
        <v/>
      </c>
      <c r="M115" s="11" t="str">
        <f t="shared" si="17"/>
        <v/>
      </c>
      <c r="N115" s="11" t="str">
        <f t="shared" si="18"/>
        <v/>
      </c>
      <c r="P115" s="12" t="str">
        <f>IFERROR(INDEX($AM$11:$AM$4010,MATCH($S$8&amp;"|"&amp;105,$BA$11:$BA$4010,0)),"")</f>
        <v/>
      </c>
      <c r="Q115" s="11" t="str">
        <f>IF(P115="","",IFERROR(INDEX($AN$11:$AN$4010,MATCH($S$8&amp;"|"&amp;105,$BA$11:$BA$4010,0)),""))</f>
        <v/>
      </c>
      <c r="R115" s="11" t="str">
        <f>IF(P115="","",IFERROR(INDEX($AO$11:$AO$4010,MATCH($S$8&amp;"|"&amp;105,$BA$11:$BA$4010,0)),""))</f>
        <v/>
      </c>
      <c r="S115" s="10" t="str">
        <f>IF(P115="","",IFERROR(INDEX($AP$11:$AP$4010,MATCH($S$8&amp;"|"&amp;105,$BA$11:$BA$4010,0)),""))</f>
        <v/>
      </c>
      <c r="T115" s="10" t="str">
        <f>IF(P115="","",IFERROR(INDEX($AQ$11:$AQ$4010,MATCH($S$8&amp;"|"&amp;105,$BA$11:$BA$4010,0)),""))</f>
        <v/>
      </c>
      <c r="U115" s="39" t="str">
        <f t="shared" si="29"/>
        <v/>
      </c>
      <c r="W115" s="14" t="str">
        <f>IF(X115="","",IFERROR(INDEX($AL$11:$AL$4010,MATCH(105,$AY$11:$AY$4010,0)),""))</f>
        <v/>
      </c>
      <c r="X115" s="12" t="str">
        <f>IFERROR(INDEX($AM$11:$AM$4010,MATCH(105,$AY$11:$AY$4010,0)),"")</f>
        <v/>
      </c>
      <c r="Y115" s="11" t="str">
        <f>IF(X115="","",IFERROR(INDEX($AN$11:$AN$4010,MATCH(105,$AY$11:$AY$4010,0)),""))</f>
        <v/>
      </c>
      <c r="Z115" s="11" t="str">
        <f>IF(X115="","",IFERROR(INDEX($AO$11:$AO$4010,MATCH(105,$AY$11:$AY$4010,0)),""))</f>
        <v/>
      </c>
      <c r="AA115" s="10" t="str">
        <f>IF(X115="","",IFERROR(INDEX($AQ$11:$AQ$4010,MATCH(105,$AY$11:$AY$4010,0)),""))</f>
        <v/>
      </c>
      <c r="AB115" s="15" t="str">
        <f>IF(X115="","",IFERROR(INDEX($AR$11:$AR$4010,MATCH(105,$AY$11:$AY$4010,0)),""))</f>
        <v/>
      </c>
      <c r="AD115" s="16" t="str">
        <f>IF(AE115="","",IFERROR(INDEX($AL$11:$AL$4010,MATCH(105,$AZ$11:$AZ$4010,0)),""))</f>
        <v/>
      </c>
      <c r="AE115" s="12" t="str">
        <f>IFERROR(INDEX($AM$11:$AM$4010,MATCH(105,$AZ$11:$AZ$4010,0)),"")</f>
        <v/>
      </c>
      <c r="AF115" s="11" t="str">
        <f>IF(AE115="","",IFERROR(INDEX($AN$11:$AN$4010,MATCH(105,$AZ$11:$AZ$4010,0)),""))</f>
        <v/>
      </c>
      <c r="AG115" s="11" t="str">
        <f>IF(AE115="","",IFERROR(INDEX($AO$11:$AO$4010,MATCH(105,$AZ$11:$AZ$4010,0)),""))</f>
        <v/>
      </c>
      <c r="AH115" s="10" t="str">
        <f>IF(AE115="","",IFERROR(INDEX($AQ$11:$AQ$4010,MATCH(105,$AZ$11:$AZ$4010,0)),""))</f>
        <v/>
      </c>
      <c r="AI115" s="15" t="str">
        <f>IF(AE115="","",IFERROR(INDEX($AR$11:$AR$4010,MATCH(105,$AZ$11:$AZ$4010,0)),""))</f>
        <v/>
      </c>
      <c r="AJ115" s="15" t="str">
        <f>IF(AE115="","",IFERROR(INDEX($AT$11:$AT$4010,MATCH(105,$AZ$11:$AZ$4010,0)),""))</f>
        <v/>
      </c>
      <c r="AL115" s="17" t="str">
        <f t="shared" si="20"/>
        <v/>
      </c>
      <c r="AM115" s="12" t="str">
        <f t="shared" si="21"/>
        <v/>
      </c>
      <c r="AN115" s="18" t="str">
        <f t="shared" si="22"/>
        <v/>
      </c>
      <c r="AO115" s="18" t="str">
        <f t="shared" si="23"/>
        <v/>
      </c>
      <c r="AP115" s="10" t="str">
        <f t="shared" si="24"/>
        <v/>
      </c>
      <c r="AQ115" s="10" t="str">
        <f t="shared" si="25"/>
        <v/>
      </c>
      <c r="AR115" s="19" t="str">
        <f t="shared" si="26"/>
        <v/>
      </c>
      <c r="AS115" s="20"/>
      <c r="AT115" s="19"/>
      <c r="AV115" s="21">
        <f>IF(AND($AL115&lt;&gt;"",COUNTIF($AL$11:$AL115,$AL115)=1),1,0)</f>
        <v>0</v>
      </c>
      <c r="AW115" s="21">
        <f t="shared" si="28"/>
        <v>0</v>
      </c>
      <c r="AX115" s="21" t="str">
        <f t="shared" si="27"/>
        <v/>
      </c>
      <c r="AY115" s="21" t="str">
        <f>IF(AND($AM115&lt;&gt;"",$AS115&lt;&gt;"✓"),SUMPRODUCT(($AM$11:$AM115&lt;&gt;"")*($AS$11:$AS115&lt;&gt;"✓")),"")</f>
        <v/>
      </c>
      <c r="AZ115" s="21" t="str">
        <f>IF(AND($AM115&lt;&gt;"",$AS115="✓"),SUMPRODUCT(($AM$11:$AM115&lt;&gt;"")*($AS$11:$AS115="✓")),"")</f>
        <v/>
      </c>
      <c r="BA115" s="21" t="str">
        <f>IF($AL115="","",$AL115&amp;"|"&amp;COUNTIF($AL$11:$AL115,$AL115))</f>
        <v/>
      </c>
    </row>
    <row r="116" spans="2:53" ht="15" customHeight="1" x14ac:dyDescent="0.25">
      <c r="B116" s="5" t="str">
        <f t="shared" si="15"/>
        <v/>
      </c>
      <c r="C116" s="5"/>
      <c r="D116" s="5"/>
      <c r="E116" s="5"/>
      <c r="F116" s="6"/>
      <c r="G116" s="6"/>
      <c r="H116" s="7"/>
      <c r="I116" s="8"/>
      <c r="K116" s="23" t="str">
        <f>IFERROR(INDEX($AL$11:$AL$4010,MATCH(106,$AX$11:$AX$4010,0)),"")</f>
        <v/>
      </c>
      <c r="L116" s="24" t="str">
        <f t="shared" si="16"/>
        <v/>
      </c>
      <c r="M116" s="25" t="str">
        <f t="shared" si="17"/>
        <v/>
      </c>
      <c r="N116" s="25" t="str">
        <f t="shared" si="18"/>
        <v/>
      </c>
      <c r="P116" s="26" t="str">
        <f>IFERROR(INDEX($AM$11:$AM$4010,MATCH($S$8&amp;"|"&amp;106,$BA$11:$BA$4010,0)),"")</f>
        <v/>
      </c>
      <c r="Q116" s="25" t="str">
        <f>IF(P116="","",IFERROR(INDEX($AN$11:$AN$4010,MATCH($S$8&amp;"|"&amp;106,$BA$11:$BA$4010,0)),""))</f>
        <v/>
      </c>
      <c r="R116" s="25" t="str">
        <f>IF(P116="","",IFERROR(INDEX($AO$11:$AO$4010,MATCH($S$8&amp;"|"&amp;106,$BA$11:$BA$4010,0)),""))</f>
        <v/>
      </c>
      <c r="S116" s="24" t="str">
        <f>IF(P116="","",IFERROR(INDEX($AP$11:$AP$4010,MATCH($S$8&amp;"|"&amp;106,$BA$11:$BA$4010,0)),""))</f>
        <v/>
      </c>
      <c r="T116" s="24" t="str">
        <f>IF(P116="","",IFERROR(INDEX($AQ$11:$AQ$4010,MATCH($S$8&amp;"|"&amp;106,$BA$11:$BA$4010,0)),""))</f>
        <v/>
      </c>
      <c r="U116" s="38" t="str">
        <f t="shared" si="29"/>
        <v/>
      </c>
      <c r="W116" s="28" t="str">
        <f>IF(X116="","",IFERROR(INDEX($AL$11:$AL$4010,MATCH(106,$AY$11:$AY$4010,0)),""))</f>
        <v/>
      </c>
      <c r="X116" s="26" t="str">
        <f>IFERROR(INDEX($AM$11:$AM$4010,MATCH(106,$AY$11:$AY$4010,0)),"")</f>
        <v/>
      </c>
      <c r="Y116" s="25" t="str">
        <f>IF(X116="","",IFERROR(INDEX($AN$11:$AN$4010,MATCH(106,$AY$11:$AY$4010,0)),""))</f>
        <v/>
      </c>
      <c r="Z116" s="25" t="str">
        <f>IF(X116="","",IFERROR(INDEX($AO$11:$AO$4010,MATCH(106,$AY$11:$AY$4010,0)),""))</f>
        <v/>
      </c>
      <c r="AA116" s="24" t="str">
        <f>IF(X116="","",IFERROR(INDEX($AQ$11:$AQ$4010,MATCH(106,$AY$11:$AY$4010,0)),""))</f>
        <v/>
      </c>
      <c r="AB116" s="29" t="str">
        <f>IF(X116="","",IFERROR(INDEX($AR$11:$AR$4010,MATCH(106,$AY$11:$AY$4010,0)),""))</f>
        <v/>
      </c>
      <c r="AD116" s="30" t="str">
        <f>IF(AE116="","",IFERROR(INDEX($AL$11:$AL$4010,MATCH(106,$AZ$11:$AZ$4010,0)),""))</f>
        <v/>
      </c>
      <c r="AE116" s="26" t="str">
        <f>IFERROR(INDEX($AM$11:$AM$4010,MATCH(106,$AZ$11:$AZ$4010,0)),"")</f>
        <v/>
      </c>
      <c r="AF116" s="25" t="str">
        <f>IF(AE116="","",IFERROR(INDEX($AN$11:$AN$4010,MATCH(106,$AZ$11:$AZ$4010,0)),""))</f>
        <v/>
      </c>
      <c r="AG116" s="25" t="str">
        <f>IF(AE116="","",IFERROR(INDEX($AO$11:$AO$4010,MATCH(106,$AZ$11:$AZ$4010,0)),""))</f>
        <v/>
      </c>
      <c r="AH116" s="24" t="str">
        <f>IF(AE116="","",IFERROR(INDEX($AQ$11:$AQ$4010,MATCH(106,$AZ$11:$AZ$4010,0)),""))</f>
        <v/>
      </c>
      <c r="AI116" s="29" t="str">
        <f>IF(AE116="","",IFERROR(INDEX($AR$11:$AR$4010,MATCH(106,$AZ$11:$AZ$4010,0)),""))</f>
        <v/>
      </c>
      <c r="AJ116" s="29" t="str">
        <f>IF(AE116="","",IFERROR(INDEX($AT$11:$AT$4010,MATCH(106,$AZ$11:$AZ$4010,0)),""))</f>
        <v/>
      </c>
      <c r="AL116" s="31" t="str">
        <f t="shared" si="20"/>
        <v/>
      </c>
      <c r="AM116" s="26" t="str">
        <f t="shared" si="21"/>
        <v/>
      </c>
      <c r="AN116" s="32" t="str">
        <f t="shared" si="22"/>
        <v/>
      </c>
      <c r="AO116" s="32" t="str">
        <f t="shared" si="23"/>
        <v/>
      </c>
      <c r="AP116" s="24" t="str">
        <f t="shared" si="24"/>
        <v/>
      </c>
      <c r="AQ116" s="24" t="str">
        <f t="shared" si="25"/>
        <v/>
      </c>
      <c r="AR116" s="33" t="str">
        <f t="shared" si="26"/>
        <v/>
      </c>
      <c r="AS116" s="34"/>
      <c r="AT116" s="33"/>
      <c r="AV116" s="21">
        <f>IF(AND($AL116&lt;&gt;"",COUNTIF($AL$11:$AL116,$AL116)=1),1,0)</f>
        <v>0</v>
      </c>
      <c r="AW116" s="21">
        <f t="shared" si="28"/>
        <v>0</v>
      </c>
      <c r="AX116" s="21" t="str">
        <f t="shared" si="27"/>
        <v/>
      </c>
      <c r="AY116" s="21" t="str">
        <f>IF(AND($AM116&lt;&gt;"",$AS116&lt;&gt;"✓"),SUMPRODUCT(($AM$11:$AM116&lt;&gt;"")*($AS$11:$AS116&lt;&gt;"✓")),"")</f>
        <v/>
      </c>
      <c r="AZ116" s="21" t="str">
        <f>IF(AND($AM116&lt;&gt;"",$AS116="✓"),SUMPRODUCT(($AM$11:$AM116&lt;&gt;"")*($AS$11:$AS116="✓")),"")</f>
        <v/>
      </c>
      <c r="BA116" s="21" t="str">
        <f>IF($AL116="","",$AL116&amp;"|"&amp;COUNTIF($AL$11:$AL116,$AL116))</f>
        <v/>
      </c>
    </row>
    <row r="117" spans="2:53" ht="15" customHeight="1" x14ac:dyDescent="0.25">
      <c r="B117" s="5" t="str">
        <f t="shared" si="15"/>
        <v/>
      </c>
      <c r="C117" s="5"/>
      <c r="D117" s="5"/>
      <c r="E117" s="5"/>
      <c r="F117" s="6"/>
      <c r="G117" s="6"/>
      <c r="H117" s="7"/>
      <c r="I117" s="8"/>
      <c r="K117" s="9" t="str">
        <f>IFERROR(INDEX($AL$11:$AL$4010,MATCH(107,$AX$11:$AX$4010,0)),"")</f>
        <v/>
      </c>
      <c r="L117" s="10" t="str">
        <f t="shared" si="16"/>
        <v/>
      </c>
      <c r="M117" s="11" t="str">
        <f t="shared" si="17"/>
        <v/>
      </c>
      <c r="N117" s="11" t="str">
        <f t="shared" si="18"/>
        <v/>
      </c>
      <c r="P117" s="12" t="str">
        <f>IFERROR(INDEX($AM$11:$AM$4010,MATCH($S$8&amp;"|"&amp;107,$BA$11:$BA$4010,0)),"")</f>
        <v/>
      </c>
      <c r="Q117" s="11" t="str">
        <f>IF(P117="","",IFERROR(INDEX($AN$11:$AN$4010,MATCH($S$8&amp;"|"&amp;107,$BA$11:$BA$4010,0)),""))</f>
        <v/>
      </c>
      <c r="R117" s="11" t="str">
        <f>IF(P117="","",IFERROR(INDEX($AO$11:$AO$4010,MATCH($S$8&amp;"|"&amp;107,$BA$11:$BA$4010,0)),""))</f>
        <v/>
      </c>
      <c r="S117" s="10" t="str">
        <f>IF(P117="","",IFERROR(INDEX($AP$11:$AP$4010,MATCH($S$8&amp;"|"&amp;107,$BA$11:$BA$4010,0)),""))</f>
        <v/>
      </c>
      <c r="T117" s="10" t="str">
        <f>IF(P117="","",IFERROR(INDEX($AQ$11:$AQ$4010,MATCH($S$8&amp;"|"&amp;107,$BA$11:$BA$4010,0)),""))</f>
        <v/>
      </c>
      <c r="U117" s="39" t="str">
        <f t="shared" si="29"/>
        <v/>
      </c>
      <c r="W117" s="14" t="str">
        <f>IF(X117="","",IFERROR(INDEX($AL$11:$AL$4010,MATCH(107,$AY$11:$AY$4010,0)),""))</f>
        <v/>
      </c>
      <c r="X117" s="12" t="str">
        <f>IFERROR(INDEX($AM$11:$AM$4010,MATCH(107,$AY$11:$AY$4010,0)),"")</f>
        <v/>
      </c>
      <c r="Y117" s="11" t="str">
        <f>IF(X117="","",IFERROR(INDEX($AN$11:$AN$4010,MATCH(107,$AY$11:$AY$4010,0)),""))</f>
        <v/>
      </c>
      <c r="Z117" s="11" t="str">
        <f>IF(X117="","",IFERROR(INDEX($AO$11:$AO$4010,MATCH(107,$AY$11:$AY$4010,0)),""))</f>
        <v/>
      </c>
      <c r="AA117" s="10" t="str">
        <f>IF(X117="","",IFERROR(INDEX($AQ$11:$AQ$4010,MATCH(107,$AY$11:$AY$4010,0)),""))</f>
        <v/>
      </c>
      <c r="AB117" s="15" t="str">
        <f>IF(X117="","",IFERROR(INDEX($AR$11:$AR$4010,MATCH(107,$AY$11:$AY$4010,0)),""))</f>
        <v/>
      </c>
      <c r="AD117" s="16" t="str">
        <f>IF(AE117="","",IFERROR(INDEX($AL$11:$AL$4010,MATCH(107,$AZ$11:$AZ$4010,0)),""))</f>
        <v/>
      </c>
      <c r="AE117" s="12" t="str">
        <f>IFERROR(INDEX($AM$11:$AM$4010,MATCH(107,$AZ$11:$AZ$4010,0)),"")</f>
        <v/>
      </c>
      <c r="AF117" s="11" t="str">
        <f>IF(AE117="","",IFERROR(INDEX($AN$11:$AN$4010,MATCH(107,$AZ$11:$AZ$4010,0)),""))</f>
        <v/>
      </c>
      <c r="AG117" s="11" t="str">
        <f>IF(AE117="","",IFERROR(INDEX($AO$11:$AO$4010,MATCH(107,$AZ$11:$AZ$4010,0)),""))</f>
        <v/>
      </c>
      <c r="AH117" s="10" t="str">
        <f>IF(AE117="","",IFERROR(INDEX($AQ$11:$AQ$4010,MATCH(107,$AZ$11:$AZ$4010,0)),""))</f>
        <v/>
      </c>
      <c r="AI117" s="15" t="str">
        <f>IF(AE117="","",IFERROR(INDEX($AR$11:$AR$4010,MATCH(107,$AZ$11:$AZ$4010,0)),""))</f>
        <v/>
      </c>
      <c r="AJ117" s="15" t="str">
        <f>IF(AE117="","",IFERROR(INDEX($AT$11:$AT$4010,MATCH(107,$AZ$11:$AZ$4010,0)),""))</f>
        <v/>
      </c>
      <c r="AL117" s="17" t="str">
        <f t="shared" si="20"/>
        <v/>
      </c>
      <c r="AM117" s="12" t="str">
        <f t="shared" si="21"/>
        <v/>
      </c>
      <c r="AN117" s="18" t="str">
        <f t="shared" si="22"/>
        <v/>
      </c>
      <c r="AO117" s="18" t="str">
        <f t="shared" si="23"/>
        <v/>
      </c>
      <c r="AP117" s="10" t="str">
        <f t="shared" si="24"/>
        <v/>
      </c>
      <c r="AQ117" s="10" t="str">
        <f t="shared" si="25"/>
        <v/>
      </c>
      <c r="AR117" s="19" t="str">
        <f t="shared" si="26"/>
        <v/>
      </c>
      <c r="AS117" s="20"/>
      <c r="AT117" s="19"/>
      <c r="AV117" s="21">
        <f>IF(AND($AL117&lt;&gt;"",COUNTIF($AL$11:$AL117,$AL117)=1),1,0)</f>
        <v>0</v>
      </c>
      <c r="AW117" s="21">
        <f t="shared" si="28"/>
        <v>0</v>
      </c>
      <c r="AX117" s="21" t="str">
        <f t="shared" si="27"/>
        <v/>
      </c>
      <c r="AY117" s="21" t="str">
        <f>IF(AND($AM117&lt;&gt;"",$AS117&lt;&gt;"✓"),SUMPRODUCT(($AM$11:$AM117&lt;&gt;"")*($AS$11:$AS117&lt;&gt;"✓")),"")</f>
        <v/>
      </c>
      <c r="AZ117" s="21" t="str">
        <f>IF(AND($AM117&lt;&gt;"",$AS117="✓"),SUMPRODUCT(($AM$11:$AM117&lt;&gt;"")*($AS$11:$AS117="✓")),"")</f>
        <v/>
      </c>
      <c r="BA117" s="21" t="str">
        <f>IF($AL117="","",$AL117&amp;"|"&amp;COUNTIF($AL$11:$AL117,$AL117))</f>
        <v/>
      </c>
    </row>
    <row r="118" spans="2:53" ht="15" customHeight="1" x14ac:dyDescent="0.25">
      <c r="B118" s="5" t="str">
        <f t="shared" si="15"/>
        <v/>
      </c>
      <c r="C118" s="5"/>
      <c r="D118" s="5"/>
      <c r="E118" s="5"/>
      <c r="F118" s="6"/>
      <c r="G118" s="6"/>
      <c r="H118" s="7"/>
      <c r="I118" s="8"/>
      <c r="K118" s="23" t="str">
        <f>IFERROR(INDEX($AL$11:$AL$4010,MATCH(108,$AX$11:$AX$4010,0)),"")</f>
        <v/>
      </c>
      <c r="L118" s="24" t="str">
        <f t="shared" si="16"/>
        <v/>
      </c>
      <c r="M118" s="25" t="str">
        <f t="shared" si="17"/>
        <v/>
      </c>
      <c r="N118" s="25" t="str">
        <f t="shared" si="18"/>
        <v/>
      </c>
      <c r="P118" s="26" t="str">
        <f>IFERROR(INDEX($AM$11:$AM$4010,MATCH($S$8&amp;"|"&amp;108,$BA$11:$BA$4010,0)),"")</f>
        <v/>
      </c>
      <c r="Q118" s="25" t="str">
        <f>IF(P118="","",IFERROR(INDEX($AN$11:$AN$4010,MATCH($S$8&amp;"|"&amp;108,$BA$11:$BA$4010,0)),""))</f>
        <v/>
      </c>
      <c r="R118" s="25" t="str">
        <f>IF(P118="","",IFERROR(INDEX($AO$11:$AO$4010,MATCH($S$8&amp;"|"&amp;108,$BA$11:$BA$4010,0)),""))</f>
        <v/>
      </c>
      <c r="S118" s="24" t="str">
        <f>IF(P118="","",IFERROR(INDEX($AP$11:$AP$4010,MATCH($S$8&amp;"|"&amp;108,$BA$11:$BA$4010,0)),""))</f>
        <v/>
      </c>
      <c r="T118" s="24" t="str">
        <f>IF(P118="","",IFERROR(INDEX($AQ$11:$AQ$4010,MATCH($S$8&amp;"|"&amp;108,$BA$11:$BA$4010,0)),""))</f>
        <v/>
      </c>
      <c r="U118" s="38" t="str">
        <f t="shared" si="29"/>
        <v/>
      </c>
      <c r="W118" s="28" t="str">
        <f>IF(X118="","",IFERROR(INDEX($AL$11:$AL$4010,MATCH(108,$AY$11:$AY$4010,0)),""))</f>
        <v/>
      </c>
      <c r="X118" s="26" t="str">
        <f>IFERROR(INDEX($AM$11:$AM$4010,MATCH(108,$AY$11:$AY$4010,0)),"")</f>
        <v/>
      </c>
      <c r="Y118" s="25" t="str">
        <f>IF(X118="","",IFERROR(INDEX($AN$11:$AN$4010,MATCH(108,$AY$11:$AY$4010,0)),""))</f>
        <v/>
      </c>
      <c r="Z118" s="25" t="str">
        <f>IF(X118="","",IFERROR(INDEX($AO$11:$AO$4010,MATCH(108,$AY$11:$AY$4010,0)),""))</f>
        <v/>
      </c>
      <c r="AA118" s="24" t="str">
        <f>IF(X118="","",IFERROR(INDEX($AQ$11:$AQ$4010,MATCH(108,$AY$11:$AY$4010,0)),""))</f>
        <v/>
      </c>
      <c r="AB118" s="29" t="str">
        <f>IF(X118="","",IFERROR(INDEX($AR$11:$AR$4010,MATCH(108,$AY$11:$AY$4010,0)),""))</f>
        <v/>
      </c>
      <c r="AD118" s="30" t="str">
        <f>IF(AE118="","",IFERROR(INDEX($AL$11:$AL$4010,MATCH(108,$AZ$11:$AZ$4010,0)),""))</f>
        <v/>
      </c>
      <c r="AE118" s="26" t="str">
        <f>IFERROR(INDEX($AM$11:$AM$4010,MATCH(108,$AZ$11:$AZ$4010,0)),"")</f>
        <v/>
      </c>
      <c r="AF118" s="25" t="str">
        <f>IF(AE118="","",IFERROR(INDEX($AN$11:$AN$4010,MATCH(108,$AZ$11:$AZ$4010,0)),""))</f>
        <v/>
      </c>
      <c r="AG118" s="25" t="str">
        <f>IF(AE118="","",IFERROR(INDEX($AO$11:$AO$4010,MATCH(108,$AZ$11:$AZ$4010,0)),""))</f>
        <v/>
      </c>
      <c r="AH118" s="24" t="str">
        <f>IF(AE118="","",IFERROR(INDEX($AQ$11:$AQ$4010,MATCH(108,$AZ$11:$AZ$4010,0)),""))</f>
        <v/>
      </c>
      <c r="AI118" s="29" t="str">
        <f>IF(AE118="","",IFERROR(INDEX($AR$11:$AR$4010,MATCH(108,$AZ$11:$AZ$4010,0)),""))</f>
        <v/>
      </c>
      <c r="AJ118" s="29" t="str">
        <f>IF(AE118="","",IFERROR(INDEX($AT$11:$AT$4010,MATCH(108,$AZ$11:$AZ$4010,0)),""))</f>
        <v/>
      </c>
      <c r="AL118" s="31" t="str">
        <f t="shared" si="20"/>
        <v/>
      </c>
      <c r="AM118" s="26" t="str">
        <f t="shared" si="21"/>
        <v/>
      </c>
      <c r="AN118" s="32" t="str">
        <f t="shared" si="22"/>
        <v/>
      </c>
      <c r="AO118" s="32" t="str">
        <f t="shared" si="23"/>
        <v/>
      </c>
      <c r="AP118" s="24" t="str">
        <f t="shared" si="24"/>
        <v/>
      </c>
      <c r="AQ118" s="24" t="str">
        <f t="shared" si="25"/>
        <v/>
      </c>
      <c r="AR118" s="33" t="str">
        <f t="shared" si="26"/>
        <v/>
      </c>
      <c r="AS118" s="34"/>
      <c r="AT118" s="33"/>
      <c r="AV118" s="21">
        <f>IF(AND($AL118&lt;&gt;"",COUNTIF($AL$11:$AL118,$AL118)=1),1,0)</f>
        <v>0</v>
      </c>
      <c r="AW118" s="21">
        <f t="shared" si="28"/>
        <v>0</v>
      </c>
      <c r="AX118" s="21" t="str">
        <f t="shared" si="27"/>
        <v/>
      </c>
      <c r="AY118" s="21" t="str">
        <f>IF(AND($AM118&lt;&gt;"",$AS118&lt;&gt;"✓"),SUMPRODUCT(($AM$11:$AM118&lt;&gt;"")*($AS$11:$AS118&lt;&gt;"✓")),"")</f>
        <v/>
      </c>
      <c r="AZ118" s="21" t="str">
        <f>IF(AND($AM118&lt;&gt;"",$AS118="✓"),SUMPRODUCT(($AM$11:$AM118&lt;&gt;"")*($AS$11:$AS118="✓")),"")</f>
        <v/>
      </c>
      <c r="BA118" s="21" t="str">
        <f>IF($AL118="","",$AL118&amp;"|"&amp;COUNTIF($AL$11:$AL118,$AL118))</f>
        <v/>
      </c>
    </row>
    <row r="119" spans="2:53" ht="15" customHeight="1" x14ac:dyDescent="0.25">
      <c r="B119" s="5" t="str">
        <f t="shared" si="15"/>
        <v/>
      </c>
      <c r="C119" s="5"/>
      <c r="D119" s="5"/>
      <c r="E119" s="5"/>
      <c r="F119" s="6"/>
      <c r="G119" s="6"/>
      <c r="H119" s="7"/>
      <c r="I119" s="8"/>
      <c r="K119" s="9" t="str">
        <f>IFERROR(INDEX($AL$11:$AL$4010,MATCH(109,$AX$11:$AX$4010,0)),"")</f>
        <v/>
      </c>
      <c r="L119" s="10" t="str">
        <f t="shared" si="16"/>
        <v/>
      </c>
      <c r="M119" s="11" t="str">
        <f t="shared" si="17"/>
        <v/>
      </c>
      <c r="N119" s="11" t="str">
        <f t="shared" si="18"/>
        <v/>
      </c>
      <c r="P119" s="12" t="str">
        <f>IFERROR(INDEX($AM$11:$AM$4010,MATCH($S$8&amp;"|"&amp;109,$BA$11:$BA$4010,0)),"")</f>
        <v/>
      </c>
      <c r="Q119" s="11" t="str">
        <f>IF(P119="","",IFERROR(INDEX($AN$11:$AN$4010,MATCH($S$8&amp;"|"&amp;109,$BA$11:$BA$4010,0)),""))</f>
        <v/>
      </c>
      <c r="R119" s="11" t="str">
        <f>IF(P119="","",IFERROR(INDEX($AO$11:$AO$4010,MATCH($S$8&amp;"|"&amp;109,$BA$11:$BA$4010,0)),""))</f>
        <v/>
      </c>
      <c r="S119" s="10" t="str">
        <f>IF(P119="","",IFERROR(INDEX($AP$11:$AP$4010,MATCH($S$8&amp;"|"&amp;109,$BA$11:$BA$4010,0)),""))</f>
        <v/>
      </c>
      <c r="T119" s="10" t="str">
        <f>IF(P119="","",IFERROR(INDEX($AQ$11:$AQ$4010,MATCH($S$8&amp;"|"&amp;109,$BA$11:$BA$4010,0)),""))</f>
        <v/>
      </c>
      <c r="U119" s="39" t="str">
        <f t="shared" si="29"/>
        <v/>
      </c>
      <c r="W119" s="14" t="str">
        <f>IF(X119="","",IFERROR(INDEX($AL$11:$AL$4010,MATCH(109,$AY$11:$AY$4010,0)),""))</f>
        <v/>
      </c>
      <c r="X119" s="12" t="str">
        <f>IFERROR(INDEX($AM$11:$AM$4010,MATCH(109,$AY$11:$AY$4010,0)),"")</f>
        <v/>
      </c>
      <c r="Y119" s="11" t="str">
        <f>IF(X119="","",IFERROR(INDEX($AN$11:$AN$4010,MATCH(109,$AY$11:$AY$4010,0)),""))</f>
        <v/>
      </c>
      <c r="Z119" s="11" t="str">
        <f>IF(X119="","",IFERROR(INDEX($AO$11:$AO$4010,MATCH(109,$AY$11:$AY$4010,0)),""))</f>
        <v/>
      </c>
      <c r="AA119" s="10" t="str">
        <f>IF(X119="","",IFERROR(INDEX($AQ$11:$AQ$4010,MATCH(109,$AY$11:$AY$4010,0)),""))</f>
        <v/>
      </c>
      <c r="AB119" s="15" t="str">
        <f>IF(X119="","",IFERROR(INDEX($AR$11:$AR$4010,MATCH(109,$AY$11:$AY$4010,0)),""))</f>
        <v/>
      </c>
      <c r="AD119" s="16" t="str">
        <f>IF(AE119="","",IFERROR(INDEX($AL$11:$AL$4010,MATCH(109,$AZ$11:$AZ$4010,0)),""))</f>
        <v/>
      </c>
      <c r="AE119" s="12" t="str">
        <f>IFERROR(INDEX($AM$11:$AM$4010,MATCH(109,$AZ$11:$AZ$4010,0)),"")</f>
        <v/>
      </c>
      <c r="AF119" s="11" t="str">
        <f>IF(AE119="","",IFERROR(INDEX($AN$11:$AN$4010,MATCH(109,$AZ$11:$AZ$4010,0)),""))</f>
        <v/>
      </c>
      <c r="AG119" s="11" t="str">
        <f>IF(AE119="","",IFERROR(INDEX($AO$11:$AO$4010,MATCH(109,$AZ$11:$AZ$4010,0)),""))</f>
        <v/>
      </c>
      <c r="AH119" s="10" t="str">
        <f>IF(AE119="","",IFERROR(INDEX($AQ$11:$AQ$4010,MATCH(109,$AZ$11:$AZ$4010,0)),""))</f>
        <v/>
      </c>
      <c r="AI119" s="15" t="str">
        <f>IF(AE119="","",IFERROR(INDEX($AR$11:$AR$4010,MATCH(109,$AZ$11:$AZ$4010,0)),""))</f>
        <v/>
      </c>
      <c r="AJ119" s="15" t="str">
        <f>IF(AE119="","",IFERROR(INDEX($AT$11:$AT$4010,MATCH(109,$AZ$11:$AZ$4010,0)),""))</f>
        <v/>
      </c>
      <c r="AL119" s="17" t="str">
        <f t="shared" si="20"/>
        <v/>
      </c>
      <c r="AM119" s="12" t="str">
        <f t="shared" si="21"/>
        <v/>
      </c>
      <c r="AN119" s="18" t="str">
        <f t="shared" si="22"/>
        <v/>
      </c>
      <c r="AO119" s="18" t="str">
        <f t="shared" si="23"/>
        <v/>
      </c>
      <c r="AP119" s="10" t="str">
        <f t="shared" si="24"/>
        <v/>
      </c>
      <c r="AQ119" s="10" t="str">
        <f t="shared" si="25"/>
        <v/>
      </c>
      <c r="AR119" s="19" t="str">
        <f t="shared" si="26"/>
        <v/>
      </c>
      <c r="AS119" s="20"/>
      <c r="AT119" s="19"/>
      <c r="AV119" s="21">
        <f>IF(AND($AL119&lt;&gt;"",COUNTIF($AL$11:$AL119,$AL119)=1),1,0)</f>
        <v>0</v>
      </c>
      <c r="AW119" s="21">
        <f t="shared" si="28"/>
        <v>0</v>
      </c>
      <c r="AX119" s="21" t="str">
        <f t="shared" si="27"/>
        <v/>
      </c>
      <c r="AY119" s="21" t="str">
        <f>IF(AND($AM119&lt;&gt;"",$AS119&lt;&gt;"✓"),SUMPRODUCT(($AM$11:$AM119&lt;&gt;"")*($AS$11:$AS119&lt;&gt;"✓")),"")</f>
        <v/>
      </c>
      <c r="AZ119" s="21" t="str">
        <f>IF(AND($AM119&lt;&gt;"",$AS119="✓"),SUMPRODUCT(($AM$11:$AM119&lt;&gt;"")*($AS$11:$AS119="✓")),"")</f>
        <v/>
      </c>
      <c r="BA119" s="21" t="str">
        <f>IF($AL119="","",$AL119&amp;"|"&amp;COUNTIF($AL$11:$AL119,$AL119))</f>
        <v/>
      </c>
    </row>
    <row r="120" spans="2:53" ht="15" customHeight="1" x14ac:dyDescent="0.25">
      <c r="B120" s="5" t="str">
        <f t="shared" si="15"/>
        <v/>
      </c>
      <c r="C120" s="5"/>
      <c r="D120" s="5"/>
      <c r="E120" s="5"/>
      <c r="F120" s="6"/>
      <c r="G120" s="6"/>
      <c r="H120" s="7"/>
      <c r="I120" s="8"/>
      <c r="K120" s="23" t="str">
        <f>IFERROR(INDEX($AL$11:$AL$4010,MATCH(110,$AX$11:$AX$4010,0)),"")</f>
        <v/>
      </c>
      <c r="L120" s="24" t="str">
        <f t="shared" si="16"/>
        <v/>
      </c>
      <c r="M120" s="25" t="str">
        <f t="shared" si="17"/>
        <v/>
      </c>
      <c r="N120" s="25" t="str">
        <f t="shared" si="18"/>
        <v/>
      </c>
      <c r="P120" s="26" t="str">
        <f>IFERROR(INDEX($AM$11:$AM$4010,MATCH($S$8&amp;"|"&amp;110,$BA$11:$BA$4010,0)),"")</f>
        <v/>
      </c>
      <c r="Q120" s="25" t="str">
        <f>IF(P120="","",IFERROR(INDEX($AN$11:$AN$4010,MATCH($S$8&amp;"|"&amp;110,$BA$11:$BA$4010,0)),""))</f>
        <v/>
      </c>
      <c r="R120" s="25" t="str">
        <f>IF(P120="","",IFERROR(INDEX($AO$11:$AO$4010,MATCH($S$8&amp;"|"&amp;110,$BA$11:$BA$4010,0)),""))</f>
        <v/>
      </c>
      <c r="S120" s="24" t="str">
        <f>IF(P120="","",IFERROR(INDEX($AP$11:$AP$4010,MATCH($S$8&amp;"|"&amp;110,$BA$11:$BA$4010,0)),""))</f>
        <v/>
      </c>
      <c r="T120" s="24" t="str">
        <f>IF(P120="","",IFERROR(INDEX($AQ$11:$AQ$4010,MATCH($S$8&amp;"|"&amp;110,$BA$11:$BA$4010,0)),""))</f>
        <v/>
      </c>
      <c r="U120" s="38" t="str">
        <f t="shared" si="29"/>
        <v/>
      </c>
      <c r="W120" s="28" t="str">
        <f>IF(X120="","",IFERROR(INDEX($AL$11:$AL$4010,MATCH(110,$AY$11:$AY$4010,0)),""))</f>
        <v/>
      </c>
      <c r="X120" s="26" t="str">
        <f>IFERROR(INDEX($AM$11:$AM$4010,MATCH(110,$AY$11:$AY$4010,0)),"")</f>
        <v/>
      </c>
      <c r="Y120" s="25" t="str">
        <f>IF(X120="","",IFERROR(INDEX($AN$11:$AN$4010,MATCH(110,$AY$11:$AY$4010,0)),""))</f>
        <v/>
      </c>
      <c r="Z120" s="25" t="str">
        <f>IF(X120="","",IFERROR(INDEX($AO$11:$AO$4010,MATCH(110,$AY$11:$AY$4010,0)),""))</f>
        <v/>
      </c>
      <c r="AA120" s="24" t="str">
        <f>IF(X120="","",IFERROR(INDEX($AQ$11:$AQ$4010,MATCH(110,$AY$11:$AY$4010,0)),""))</f>
        <v/>
      </c>
      <c r="AB120" s="29" t="str">
        <f>IF(X120="","",IFERROR(INDEX($AR$11:$AR$4010,MATCH(110,$AY$11:$AY$4010,0)),""))</f>
        <v/>
      </c>
      <c r="AD120" s="30" t="str">
        <f>IF(AE120="","",IFERROR(INDEX($AL$11:$AL$4010,MATCH(110,$AZ$11:$AZ$4010,0)),""))</f>
        <v/>
      </c>
      <c r="AE120" s="26" t="str">
        <f>IFERROR(INDEX($AM$11:$AM$4010,MATCH(110,$AZ$11:$AZ$4010,0)),"")</f>
        <v/>
      </c>
      <c r="AF120" s="25" t="str">
        <f>IF(AE120="","",IFERROR(INDEX($AN$11:$AN$4010,MATCH(110,$AZ$11:$AZ$4010,0)),""))</f>
        <v/>
      </c>
      <c r="AG120" s="25" t="str">
        <f>IF(AE120="","",IFERROR(INDEX($AO$11:$AO$4010,MATCH(110,$AZ$11:$AZ$4010,0)),""))</f>
        <v/>
      </c>
      <c r="AH120" s="24" t="str">
        <f>IF(AE120="","",IFERROR(INDEX($AQ$11:$AQ$4010,MATCH(110,$AZ$11:$AZ$4010,0)),""))</f>
        <v/>
      </c>
      <c r="AI120" s="29" t="str">
        <f>IF(AE120="","",IFERROR(INDEX($AR$11:$AR$4010,MATCH(110,$AZ$11:$AZ$4010,0)),""))</f>
        <v/>
      </c>
      <c r="AJ120" s="29" t="str">
        <f>IF(AE120="","",IFERROR(INDEX($AT$11:$AT$4010,MATCH(110,$AZ$11:$AZ$4010,0)),""))</f>
        <v/>
      </c>
      <c r="AL120" s="31" t="str">
        <f t="shared" si="20"/>
        <v/>
      </c>
      <c r="AM120" s="26" t="str">
        <f t="shared" si="21"/>
        <v/>
      </c>
      <c r="AN120" s="32" t="str">
        <f t="shared" si="22"/>
        <v/>
      </c>
      <c r="AO120" s="32" t="str">
        <f t="shared" si="23"/>
        <v/>
      </c>
      <c r="AP120" s="24" t="str">
        <f t="shared" si="24"/>
        <v/>
      </c>
      <c r="AQ120" s="24" t="str">
        <f t="shared" si="25"/>
        <v/>
      </c>
      <c r="AR120" s="33" t="str">
        <f t="shared" si="26"/>
        <v/>
      </c>
      <c r="AS120" s="34"/>
      <c r="AT120" s="33"/>
      <c r="AV120" s="21">
        <f>IF(AND($AL120&lt;&gt;"",COUNTIF($AL$11:$AL120,$AL120)=1),1,0)</f>
        <v>0</v>
      </c>
      <c r="AW120" s="21">
        <f t="shared" si="28"/>
        <v>0</v>
      </c>
      <c r="AX120" s="21" t="str">
        <f t="shared" si="27"/>
        <v/>
      </c>
      <c r="AY120" s="21" t="str">
        <f>IF(AND($AM120&lt;&gt;"",$AS120&lt;&gt;"✓"),SUMPRODUCT(($AM$11:$AM120&lt;&gt;"")*($AS$11:$AS120&lt;&gt;"✓")),"")</f>
        <v/>
      </c>
      <c r="AZ120" s="21" t="str">
        <f>IF(AND($AM120&lt;&gt;"",$AS120="✓"),SUMPRODUCT(($AM$11:$AM120&lt;&gt;"")*($AS$11:$AS120="✓")),"")</f>
        <v/>
      </c>
      <c r="BA120" s="21" t="str">
        <f>IF($AL120="","",$AL120&amp;"|"&amp;COUNTIF($AL$11:$AL120,$AL120))</f>
        <v/>
      </c>
    </row>
    <row r="121" spans="2:53" ht="15" customHeight="1" x14ac:dyDescent="0.25">
      <c r="B121" s="5" t="str">
        <f t="shared" si="15"/>
        <v/>
      </c>
      <c r="C121" s="5"/>
      <c r="D121" s="5"/>
      <c r="E121" s="5"/>
      <c r="F121" s="6"/>
      <c r="G121" s="6"/>
      <c r="H121" s="7"/>
      <c r="I121" s="8"/>
      <c r="K121" s="9" t="str">
        <f>IFERROR(INDEX($AL$11:$AL$4010,MATCH(111,$AX$11:$AX$4010,0)),"")</f>
        <v/>
      </c>
      <c r="L121" s="10" t="str">
        <f t="shared" si="16"/>
        <v/>
      </c>
      <c r="M121" s="11" t="str">
        <f t="shared" si="17"/>
        <v/>
      </c>
      <c r="N121" s="11" t="str">
        <f t="shared" si="18"/>
        <v/>
      </c>
      <c r="P121" s="12" t="str">
        <f>IFERROR(INDEX($AM$11:$AM$4010,MATCH($S$8&amp;"|"&amp;111,$BA$11:$BA$4010,0)),"")</f>
        <v/>
      </c>
      <c r="Q121" s="11" t="str">
        <f>IF(P121="","",IFERROR(INDEX($AN$11:$AN$4010,MATCH($S$8&amp;"|"&amp;111,$BA$11:$BA$4010,0)),""))</f>
        <v/>
      </c>
      <c r="R121" s="11" t="str">
        <f>IF(P121="","",IFERROR(INDEX($AO$11:$AO$4010,MATCH($S$8&amp;"|"&amp;111,$BA$11:$BA$4010,0)),""))</f>
        <v/>
      </c>
      <c r="S121" s="10" t="str">
        <f>IF(P121="","",IFERROR(INDEX($AP$11:$AP$4010,MATCH($S$8&amp;"|"&amp;111,$BA$11:$BA$4010,0)),""))</f>
        <v/>
      </c>
      <c r="T121" s="10" t="str">
        <f>IF(P121="","",IFERROR(INDEX($AQ$11:$AQ$4010,MATCH($S$8&amp;"|"&amp;111,$BA$11:$BA$4010,0)),""))</f>
        <v/>
      </c>
      <c r="U121" s="39" t="str">
        <f t="shared" si="29"/>
        <v/>
      </c>
      <c r="W121" s="14" t="str">
        <f>IF(X121="","",IFERROR(INDEX($AL$11:$AL$4010,MATCH(111,$AY$11:$AY$4010,0)),""))</f>
        <v/>
      </c>
      <c r="X121" s="12" t="str">
        <f>IFERROR(INDEX($AM$11:$AM$4010,MATCH(111,$AY$11:$AY$4010,0)),"")</f>
        <v/>
      </c>
      <c r="Y121" s="11" t="str">
        <f>IF(X121="","",IFERROR(INDEX($AN$11:$AN$4010,MATCH(111,$AY$11:$AY$4010,0)),""))</f>
        <v/>
      </c>
      <c r="Z121" s="11" t="str">
        <f>IF(X121="","",IFERROR(INDEX($AO$11:$AO$4010,MATCH(111,$AY$11:$AY$4010,0)),""))</f>
        <v/>
      </c>
      <c r="AA121" s="10" t="str">
        <f>IF(X121="","",IFERROR(INDEX($AQ$11:$AQ$4010,MATCH(111,$AY$11:$AY$4010,0)),""))</f>
        <v/>
      </c>
      <c r="AB121" s="15" t="str">
        <f>IF(X121="","",IFERROR(INDEX($AR$11:$AR$4010,MATCH(111,$AY$11:$AY$4010,0)),""))</f>
        <v/>
      </c>
      <c r="AD121" s="16" t="str">
        <f>IF(AE121="","",IFERROR(INDEX($AL$11:$AL$4010,MATCH(111,$AZ$11:$AZ$4010,0)),""))</f>
        <v/>
      </c>
      <c r="AE121" s="12" t="str">
        <f>IFERROR(INDEX($AM$11:$AM$4010,MATCH(111,$AZ$11:$AZ$4010,0)),"")</f>
        <v/>
      </c>
      <c r="AF121" s="11" t="str">
        <f>IF(AE121="","",IFERROR(INDEX($AN$11:$AN$4010,MATCH(111,$AZ$11:$AZ$4010,0)),""))</f>
        <v/>
      </c>
      <c r="AG121" s="11" t="str">
        <f>IF(AE121="","",IFERROR(INDEX($AO$11:$AO$4010,MATCH(111,$AZ$11:$AZ$4010,0)),""))</f>
        <v/>
      </c>
      <c r="AH121" s="10" t="str">
        <f>IF(AE121="","",IFERROR(INDEX($AQ$11:$AQ$4010,MATCH(111,$AZ$11:$AZ$4010,0)),""))</f>
        <v/>
      </c>
      <c r="AI121" s="15" t="str">
        <f>IF(AE121="","",IFERROR(INDEX($AR$11:$AR$4010,MATCH(111,$AZ$11:$AZ$4010,0)),""))</f>
        <v/>
      </c>
      <c r="AJ121" s="15" t="str">
        <f>IF(AE121="","",IFERROR(INDEX($AT$11:$AT$4010,MATCH(111,$AZ$11:$AZ$4010,0)),""))</f>
        <v/>
      </c>
      <c r="AL121" s="17" t="str">
        <f t="shared" si="20"/>
        <v/>
      </c>
      <c r="AM121" s="12" t="str">
        <f t="shared" si="21"/>
        <v/>
      </c>
      <c r="AN121" s="18" t="str">
        <f t="shared" si="22"/>
        <v/>
      </c>
      <c r="AO121" s="18" t="str">
        <f t="shared" si="23"/>
        <v/>
      </c>
      <c r="AP121" s="10" t="str">
        <f t="shared" si="24"/>
        <v/>
      </c>
      <c r="AQ121" s="10" t="str">
        <f t="shared" si="25"/>
        <v/>
      </c>
      <c r="AR121" s="19" t="str">
        <f t="shared" si="26"/>
        <v/>
      </c>
      <c r="AS121" s="20"/>
      <c r="AT121" s="19"/>
      <c r="AV121" s="21">
        <f>IF(AND($AL121&lt;&gt;"",COUNTIF($AL$11:$AL121,$AL121)=1),1,0)</f>
        <v>0</v>
      </c>
      <c r="AW121" s="21">
        <f t="shared" si="28"/>
        <v>0</v>
      </c>
      <c r="AX121" s="21" t="str">
        <f t="shared" si="27"/>
        <v/>
      </c>
      <c r="AY121" s="21" t="str">
        <f>IF(AND($AM121&lt;&gt;"",$AS121&lt;&gt;"✓"),SUMPRODUCT(($AM$11:$AM121&lt;&gt;"")*($AS$11:$AS121&lt;&gt;"✓")),"")</f>
        <v/>
      </c>
      <c r="AZ121" s="21" t="str">
        <f>IF(AND($AM121&lt;&gt;"",$AS121="✓"),SUMPRODUCT(($AM$11:$AM121&lt;&gt;"")*($AS$11:$AS121="✓")),"")</f>
        <v/>
      </c>
      <c r="BA121" s="21" t="str">
        <f>IF($AL121="","",$AL121&amp;"|"&amp;COUNTIF($AL$11:$AL121,$AL121))</f>
        <v/>
      </c>
    </row>
    <row r="122" spans="2:53" ht="15" customHeight="1" x14ac:dyDescent="0.25">
      <c r="B122" s="5" t="str">
        <f t="shared" si="15"/>
        <v/>
      </c>
      <c r="C122" s="5"/>
      <c r="D122" s="5"/>
      <c r="E122" s="5"/>
      <c r="F122" s="6"/>
      <c r="G122" s="6"/>
      <c r="H122" s="7"/>
      <c r="I122" s="8"/>
      <c r="K122" s="23" t="str">
        <f>IFERROR(INDEX($AL$11:$AL$4010,MATCH(112,$AX$11:$AX$4010,0)),"")</f>
        <v/>
      </c>
      <c r="L122" s="24" t="str">
        <f t="shared" si="16"/>
        <v/>
      </c>
      <c r="M122" s="25" t="str">
        <f t="shared" si="17"/>
        <v/>
      </c>
      <c r="N122" s="25" t="str">
        <f t="shared" si="18"/>
        <v/>
      </c>
      <c r="P122" s="26" t="str">
        <f>IFERROR(INDEX($AM$11:$AM$4010,MATCH($S$8&amp;"|"&amp;112,$BA$11:$BA$4010,0)),"")</f>
        <v/>
      </c>
      <c r="Q122" s="25" t="str">
        <f>IF(P122="","",IFERROR(INDEX($AN$11:$AN$4010,MATCH($S$8&amp;"|"&amp;112,$BA$11:$BA$4010,0)),""))</f>
        <v/>
      </c>
      <c r="R122" s="25" t="str">
        <f>IF(P122="","",IFERROR(INDEX($AO$11:$AO$4010,MATCH($S$8&amp;"|"&amp;112,$BA$11:$BA$4010,0)),""))</f>
        <v/>
      </c>
      <c r="S122" s="24" t="str">
        <f>IF(P122="","",IFERROR(INDEX($AP$11:$AP$4010,MATCH($S$8&amp;"|"&amp;112,$BA$11:$BA$4010,0)),""))</f>
        <v/>
      </c>
      <c r="T122" s="24" t="str">
        <f>IF(P122="","",IFERROR(INDEX($AQ$11:$AQ$4010,MATCH($S$8&amp;"|"&amp;112,$BA$11:$BA$4010,0)),""))</f>
        <v/>
      </c>
      <c r="U122" s="38" t="str">
        <f t="shared" si="29"/>
        <v/>
      </c>
      <c r="W122" s="28" t="str">
        <f>IF(X122="","",IFERROR(INDEX($AL$11:$AL$4010,MATCH(112,$AY$11:$AY$4010,0)),""))</f>
        <v/>
      </c>
      <c r="X122" s="26" t="str">
        <f>IFERROR(INDEX($AM$11:$AM$4010,MATCH(112,$AY$11:$AY$4010,0)),"")</f>
        <v/>
      </c>
      <c r="Y122" s="25" t="str">
        <f>IF(X122="","",IFERROR(INDEX($AN$11:$AN$4010,MATCH(112,$AY$11:$AY$4010,0)),""))</f>
        <v/>
      </c>
      <c r="Z122" s="25" t="str">
        <f>IF(X122="","",IFERROR(INDEX($AO$11:$AO$4010,MATCH(112,$AY$11:$AY$4010,0)),""))</f>
        <v/>
      </c>
      <c r="AA122" s="24" t="str">
        <f>IF(X122="","",IFERROR(INDEX($AQ$11:$AQ$4010,MATCH(112,$AY$11:$AY$4010,0)),""))</f>
        <v/>
      </c>
      <c r="AB122" s="29" t="str">
        <f>IF(X122="","",IFERROR(INDEX($AR$11:$AR$4010,MATCH(112,$AY$11:$AY$4010,0)),""))</f>
        <v/>
      </c>
      <c r="AD122" s="30" t="str">
        <f>IF(AE122="","",IFERROR(INDEX($AL$11:$AL$4010,MATCH(112,$AZ$11:$AZ$4010,0)),""))</f>
        <v/>
      </c>
      <c r="AE122" s="26" t="str">
        <f>IFERROR(INDEX($AM$11:$AM$4010,MATCH(112,$AZ$11:$AZ$4010,0)),"")</f>
        <v/>
      </c>
      <c r="AF122" s="25" t="str">
        <f>IF(AE122="","",IFERROR(INDEX($AN$11:$AN$4010,MATCH(112,$AZ$11:$AZ$4010,0)),""))</f>
        <v/>
      </c>
      <c r="AG122" s="25" t="str">
        <f>IF(AE122="","",IFERROR(INDEX($AO$11:$AO$4010,MATCH(112,$AZ$11:$AZ$4010,0)),""))</f>
        <v/>
      </c>
      <c r="AH122" s="24" t="str">
        <f>IF(AE122="","",IFERROR(INDEX($AQ$11:$AQ$4010,MATCH(112,$AZ$11:$AZ$4010,0)),""))</f>
        <v/>
      </c>
      <c r="AI122" s="29" t="str">
        <f>IF(AE122="","",IFERROR(INDEX($AR$11:$AR$4010,MATCH(112,$AZ$11:$AZ$4010,0)),""))</f>
        <v/>
      </c>
      <c r="AJ122" s="29" t="str">
        <f>IF(AE122="","",IFERROR(INDEX($AT$11:$AT$4010,MATCH(112,$AZ$11:$AZ$4010,0)),""))</f>
        <v/>
      </c>
      <c r="AL122" s="31" t="str">
        <f t="shared" si="20"/>
        <v/>
      </c>
      <c r="AM122" s="26" t="str">
        <f t="shared" si="21"/>
        <v/>
      </c>
      <c r="AN122" s="32" t="str">
        <f t="shared" si="22"/>
        <v/>
      </c>
      <c r="AO122" s="32" t="str">
        <f t="shared" si="23"/>
        <v/>
      </c>
      <c r="AP122" s="24" t="str">
        <f t="shared" si="24"/>
        <v/>
      </c>
      <c r="AQ122" s="24" t="str">
        <f t="shared" si="25"/>
        <v/>
      </c>
      <c r="AR122" s="33" t="str">
        <f t="shared" si="26"/>
        <v/>
      </c>
      <c r="AS122" s="34"/>
      <c r="AT122" s="33"/>
      <c r="AV122" s="21">
        <f>IF(AND($AL122&lt;&gt;"",COUNTIF($AL$11:$AL122,$AL122)=1),1,0)</f>
        <v>0</v>
      </c>
      <c r="AW122" s="21">
        <f t="shared" si="28"/>
        <v>0</v>
      </c>
      <c r="AX122" s="21" t="str">
        <f t="shared" si="27"/>
        <v/>
      </c>
      <c r="AY122" s="21" t="str">
        <f>IF(AND($AM122&lt;&gt;"",$AS122&lt;&gt;"✓"),SUMPRODUCT(($AM$11:$AM122&lt;&gt;"")*($AS$11:$AS122&lt;&gt;"✓")),"")</f>
        <v/>
      </c>
      <c r="AZ122" s="21" t="str">
        <f>IF(AND($AM122&lt;&gt;"",$AS122="✓"),SUMPRODUCT(($AM$11:$AM122&lt;&gt;"")*($AS$11:$AS122="✓")),"")</f>
        <v/>
      </c>
      <c r="BA122" s="21" t="str">
        <f>IF($AL122="","",$AL122&amp;"|"&amp;COUNTIF($AL$11:$AL122,$AL122))</f>
        <v/>
      </c>
    </row>
    <row r="123" spans="2:53" ht="15" customHeight="1" x14ac:dyDescent="0.25">
      <c r="B123" s="5" t="str">
        <f t="shared" si="15"/>
        <v/>
      </c>
      <c r="C123" s="5"/>
      <c r="D123" s="5"/>
      <c r="E123" s="5"/>
      <c r="F123" s="6"/>
      <c r="G123" s="6"/>
      <c r="H123" s="7"/>
      <c r="I123" s="8"/>
      <c r="K123" s="9" t="str">
        <f>IFERROR(INDEX($AL$11:$AL$4010,MATCH(113,$AX$11:$AX$4010,0)),"")</f>
        <v/>
      </c>
      <c r="L123" s="10" t="str">
        <f t="shared" si="16"/>
        <v/>
      </c>
      <c r="M123" s="11" t="str">
        <f t="shared" si="17"/>
        <v/>
      </c>
      <c r="N123" s="11" t="str">
        <f t="shared" si="18"/>
        <v/>
      </c>
      <c r="P123" s="12" t="str">
        <f>IFERROR(INDEX($AM$11:$AM$4010,MATCH($S$8&amp;"|"&amp;113,$BA$11:$BA$4010,0)),"")</f>
        <v/>
      </c>
      <c r="Q123" s="11" t="str">
        <f>IF(P123="","",IFERROR(INDEX($AN$11:$AN$4010,MATCH($S$8&amp;"|"&amp;113,$BA$11:$BA$4010,0)),""))</f>
        <v/>
      </c>
      <c r="R123" s="11" t="str">
        <f>IF(P123="","",IFERROR(INDEX($AO$11:$AO$4010,MATCH($S$8&amp;"|"&amp;113,$BA$11:$BA$4010,0)),""))</f>
        <v/>
      </c>
      <c r="S123" s="10" t="str">
        <f>IF(P123="","",IFERROR(INDEX($AP$11:$AP$4010,MATCH($S$8&amp;"|"&amp;113,$BA$11:$BA$4010,0)),""))</f>
        <v/>
      </c>
      <c r="T123" s="10" t="str">
        <f>IF(P123="","",IFERROR(INDEX($AQ$11:$AQ$4010,MATCH($S$8&amp;"|"&amp;113,$BA$11:$BA$4010,0)),""))</f>
        <v/>
      </c>
      <c r="U123" s="39" t="str">
        <f t="shared" si="29"/>
        <v/>
      </c>
      <c r="W123" s="14" t="str">
        <f>IF(X123="","",IFERROR(INDEX($AL$11:$AL$4010,MATCH(113,$AY$11:$AY$4010,0)),""))</f>
        <v/>
      </c>
      <c r="X123" s="12" t="str">
        <f>IFERROR(INDEX($AM$11:$AM$4010,MATCH(113,$AY$11:$AY$4010,0)),"")</f>
        <v/>
      </c>
      <c r="Y123" s="11" t="str">
        <f>IF(X123="","",IFERROR(INDEX($AN$11:$AN$4010,MATCH(113,$AY$11:$AY$4010,0)),""))</f>
        <v/>
      </c>
      <c r="Z123" s="11" t="str">
        <f>IF(X123="","",IFERROR(INDEX($AO$11:$AO$4010,MATCH(113,$AY$11:$AY$4010,0)),""))</f>
        <v/>
      </c>
      <c r="AA123" s="10" t="str">
        <f>IF(X123="","",IFERROR(INDEX($AQ$11:$AQ$4010,MATCH(113,$AY$11:$AY$4010,0)),""))</f>
        <v/>
      </c>
      <c r="AB123" s="15" t="str">
        <f>IF(X123="","",IFERROR(INDEX($AR$11:$AR$4010,MATCH(113,$AY$11:$AY$4010,0)),""))</f>
        <v/>
      </c>
      <c r="AD123" s="16" t="str">
        <f>IF(AE123="","",IFERROR(INDEX($AL$11:$AL$4010,MATCH(113,$AZ$11:$AZ$4010,0)),""))</f>
        <v/>
      </c>
      <c r="AE123" s="12" t="str">
        <f>IFERROR(INDEX($AM$11:$AM$4010,MATCH(113,$AZ$11:$AZ$4010,0)),"")</f>
        <v/>
      </c>
      <c r="AF123" s="11" t="str">
        <f>IF(AE123="","",IFERROR(INDEX($AN$11:$AN$4010,MATCH(113,$AZ$11:$AZ$4010,0)),""))</f>
        <v/>
      </c>
      <c r="AG123" s="11" t="str">
        <f>IF(AE123="","",IFERROR(INDEX($AO$11:$AO$4010,MATCH(113,$AZ$11:$AZ$4010,0)),""))</f>
        <v/>
      </c>
      <c r="AH123" s="10" t="str">
        <f>IF(AE123="","",IFERROR(INDEX($AQ$11:$AQ$4010,MATCH(113,$AZ$11:$AZ$4010,0)),""))</f>
        <v/>
      </c>
      <c r="AI123" s="15" t="str">
        <f>IF(AE123="","",IFERROR(INDEX($AR$11:$AR$4010,MATCH(113,$AZ$11:$AZ$4010,0)),""))</f>
        <v/>
      </c>
      <c r="AJ123" s="15" t="str">
        <f>IF(AE123="","",IFERROR(INDEX($AT$11:$AT$4010,MATCH(113,$AZ$11:$AZ$4010,0)),""))</f>
        <v/>
      </c>
      <c r="AL123" s="17" t="str">
        <f t="shared" si="20"/>
        <v/>
      </c>
      <c r="AM123" s="12" t="str">
        <f t="shared" si="21"/>
        <v/>
      </c>
      <c r="AN123" s="18" t="str">
        <f t="shared" si="22"/>
        <v/>
      </c>
      <c r="AO123" s="18" t="str">
        <f t="shared" si="23"/>
        <v/>
      </c>
      <c r="AP123" s="10" t="str">
        <f t="shared" si="24"/>
        <v/>
      </c>
      <c r="AQ123" s="10" t="str">
        <f t="shared" si="25"/>
        <v/>
      </c>
      <c r="AR123" s="19" t="str">
        <f t="shared" si="26"/>
        <v/>
      </c>
      <c r="AS123" s="20"/>
      <c r="AT123" s="19"/>
      <c r="AV123" s="21">
        <f>IF(AND($AL123&lt;&gt;"",COUNTIF($AL$11:$AL123,$AL123)=1),1,0)</f>
        <v>0</v>
      </c>
      <c r="AW123" s="21">
        <f t="shared" si="28"/>
        <v>0</v>
      </c>
      <c r="AX123" s="21" t="str">
        <f t="shared" si="27"/>
        <v/>
      </c>
      <c r="AY123" s="21" t="str">
        <f>IF(AND($AM123&lt;&gt;"",$AS123&lt;&gt;"✓"),SUMPRODUCT(($AM$11:$AM123&lt;&gt;"")*($AS$11:$AS123&lt;&gt;"✓")),"")</f>
        <v/>
      </c>
      <c r="AZ123" s="21" t="str">
        <f>IF(AND($AM123&lt;&gt;"",$AS123="✓"),SUMPRODUCT(($AM$11:$AM123&lt;&gt;"")*($AS$11:$AS123="✓")),"")</f>
        <v/>
      </c>
      <c r="BA123" s="21" t="str">
        <f>IF($AL123="","",$AL123&amp;"|"&amp;COUNTIF($AL$11:$AL123,$AL123))</f>
        <v/>
      </c>
    </row>
    <row r="124" spans="2:53" ht="15" customHeight="1" x14ac:dyDescent="0.25">
      <c r="B124" s="5" t="str">
        <f t="shared" si="15"/>
        <v/>
      </c>
      <c r="C124" s="5"/>
      <c r="D124" s="5"/>
      <c r="E124" s="5"/>
      <c r="F124" s="6"/>
      <c r="G124" s="6"/>
      <c r="H124" s="7"/>
      <c r="I124" s="8"/>
      <c r="K124" s="23" t="str">
        <f>IFERROR(INDEX($AL$11:$AL$4010,MATCH(114,$AX$11:$AX$4010,0)),"")</f>
        <v/>
      </c>
      <c r="L124" s="24" t="str">
        <f t="shared" si="16"/>
        <v/>
      </c>
      <c r="M124" s="25" t="str">
        <f t="shared" si="17"/>
        <v/>
      </c>
      <c r="N124" s="25" t="str">
        <f t="shared" si="18"/>
        <v/>
      </c>
      <c r="P124" s="26" t="str">
        <f>IFERROR(INDEX($AM$11:$AM$4010,MATCH($S$8&amp;"|"&amp;114,$BA$11:$BA$4010,0)),"")</f>
        <v/>
      </c>
      <c r="Q124" s="25" t="str">
        <f>IF(P124="","",IFERROR(INDEX($AN$11:$AN$4010,MATCH($S$8&amp;"|"&amp;114,$BA$11:$BA$4010,0)),""))</f>
        <v/>
      </c>
      <c r="R124" s="25" t="str">
        <f>IF(P124="","",IFERROR(INDEX($AO$11:$AO$4010,MATCH($S$8&amp;"|"&amp;114,$BA$11:$BA$4010,0)),""))</f>
        <v/>
      </c>
      <c r="S124" s="24" t="str">
        <f>IF(P124="","",IFERROR(INDEX($AP$11:$AP$4010,MATCH($S$8&amp;"|"&amp;114,$BA$11:$BA$4010,0)),""))</f>
        <v/>
      </c>
      <c r="T124" s="24" t="str">
        <f>IF(P124="","",IFERROR(INDEX($AQ$11:$AQ$4010,MATCH($S$8&amp;"|"&amp;114,$BA$11:$BA$4010,0)),""))</f>
        <v/>
      </c>
      <c r="U124" s="38" t="str">
        <f t="shared" si="29"/>
        <v/>
      </c>
      <c r="W124" s="28" t="str">
        <f>IF(X124="","",IFERROR(INDEX($AL$11:$AL$4010,MATCH(114,$AY$11:$AY$4010,0)),""))</f>
        <v/>
      </c>
      <c r="X124" s="26" t="str">
        <f>IFERROR(INDEX($AM$11:$AM$4010,MATCH(114,$AY$11:$AY$4010,0)),"")</f>
        <v/>
      </c>
      <c r="Y124" s="25" t="str">
        <f>IF(X124="","",IFERROR(INDEX($AN$11:$AN$4010,MATCH(114,$AY$11:$AY$4010,0)),""))</f>
        <v/>
      </c>
      <c r="Z124" s="25" t="str">
        <f>IF(X124="","",IFERROR(INDEX($AO$11:$AO$4010,MATCH(114,$AY$11:$AY$4010,0)),""))</f>
        <v/>
      </c>
      <c r="AA124" s="24" t="str">
        <f>IF(X124="","",IFERROR(INDEX($AQ$11:$AQ$4010,MATCH(114,$AY$11:$AY$4010,0)),""))</f>
        <v/>
      </c>
      <c r="AB124" s="29" t="str">
        <f>IF(X124="","",IFERROR(INDEX($AR$11:$AR$4010,MATCH(114,$AY$11:$AY$4010,0)),""))</f>
        <v/>
      </c>
      <c r="AD124" s="30" t="str">
        <f>IF(AE124="","",IFERROR(INDEX($AL$11:$AL$4010,MATCH(114,$AZ$11:$AZ$4010,0)),""))</f>
        <v/>
      </c>
      <c r="AE124" s="26" t="str">
        <f>IFERROR(INDEX($AM$11:$AM$4010,MATCH(114,$AZ$11:$AZ$4010,0)),"")</f>
        <v/>
      </c>
      <c r="AF124" s="25" t="str">
        <f>IF(AE124="","",IFERROR(INDEX($AN$11:$AN$4010,MATCH(114,$AZ$11:$AZ$4010,0)),""))</f>
        <v/>
      </c>
      <c r="AG124" s="25" t="str">
        <f>IF(AE124="","",IFERROR(INDEX($AO$11:$AO$4010,MATCH(114,$AZ$11:$AZ$4010,0)),""))</f>
        <v/>
      </c>
      <c r="AH124" s="24" t="str">
        <f>IF(AE124="","",IFERROR(INDEX($AQ$11:$AQ$4010,MATCH(114,$AZ$11:$AZ$4010,0)),""))</f>
        <v/>
      </c>
      <c r="AI124" s="29" t="str">
        <f>IF(AE124="","",IFERROR(INDEX($AR$11:$AR$4010,MATCH(114,$AZ$11:$AZ$4010,0)),""))</f>
        <v/>
      </c>
      <c r="AJ124" s="29" t="str">
        <f>IF(AE124="","",IFERROR(INDEX($AT$11:$AT$4010,MATCH(114,$AZ$11:$AZ$4010,0)),""))</f>
        <v/>
      </c>
      <c r="AL124" s="31" t="str">
        <f t="shared" si="20"/>
        <v/>
      </c>
      <c r="AM124" s="26" t="str">
        <f t="shared" si="21"/>
        <v/>
      </c>
      <c r="AN124" s="32" t="str">
        <f t="shared" si="22"/>
        <v/>
      </c>
      <c r="AO124" s="32" t="str">
        <f t="shared" si="23"/>
        <v/>
      </c>
      <c r="AP124" s="24" t="str">
        <f t="shared" si="24"/>
        <v/>
      </c>
      <c r="AQ124" s="24" t="str">
        <f t="shared" si="25"/>
        <v/>
      </c>
      <c r="AR124" s="33" t="str">
        <f t="shared" si="26"/>
        <v/>
      </c>
      <c r="AS124" s="34"/>
      <c r="AT124" s="33"/>
      <c r="AV124" s="21">
        <f>IF(AND($AL124&lt;&gt;"",COUNTIF($AL$11:$AL124,$AL124)=1),1,0)</f>
        <v>0</v>
      </c>
      <c r="AW124" s="21">
        <f t="shared" si="28"/>
        <v>0</v>
      </c>
      <c r="AX124" s="21" t="str">
        <f t="shared" si="27"/>
        <v/>
      </c>
      <c r="AY124" s="21" t="str">
        <f>IF(AND($AM124&lt;&gt;"",$AS124&lt;&gt;"✓"),SUMPRODUCT(($AM$11:$AM124&lt;&gt;"")*($AS$11:$AS124&lt;&gt;"✓")),"")</f>
        <v/>
      </c>
      <c r="AZ124" s="21" t="str">
        <f>IF(AND($AM124&lt;&gt;"",$AS124="✓"),SUMPRODUCT(($AM$11:$AM124&lt;&gt;"")*($AS$11:$AS124="✓")),"")</f>
        <v/>
      </c>
      <c r="BA124" s="21" t="str">
        <f>IF($AL124="","",$AL124&amp;"|"&amp;COUNTIF($AL$11:$AL124,$AL124))</f>
        <v/>
      </c>
    </row>
    <row r="125" spans="2:53" ht="15" customHeight="1" x14ac:dyDescent="0.25">
      <c r="B125" s="5" t="str">
        <f t="shared" si="15"/>
        <v/>
      </c>
      <c r="C125" s="5"/>
      <c r="D125" s="5"/>
      <c r="E125" s="5"/>
      <c r="F125" s="6"/>
      <c r="G125" s="6"/>
      <c r="H125" s="7"/>
      <c r="I125" s="8"/>
      <c r="K125" s="9" t="str">
        <f>IFERROR(INDEX($AL$11:$AL$4010,MATCH(115,$AX$11:$AX$4010,0)),"")</f>
        <v/>
      </c>
      <c r="L125" s="10" t="str">
        <f t="shared" si="16"/>
        <v/>
      </c>
      <c r="M125" s="11" t="str">
        <f t="shared" si="17"/>
        <v/>
      </c>
      <c r="N125" s="11" t="str">
        <f t="shared" si="18"/>
        <v/>
      </c>
      <c r="P125" s="12" t="str">
        <f>IFERROR(INDEX($AM$11:$AM$4010,MATCH($S$8&amp;"|"&amp;115,$BA$11:$BA$4010,0)),"")</f>
        <v/>
      </c>
      <c r="Q125" s="11" t="str">
        <f>IF(P125="","",IFERROR(INDEX($AN$11:$AN$4010,MATCH($S$8&amp;"|"&amp;115,$BA$11:$BA$4010,0)),""))</f>
        <v/>
      </c>
      <c r="R125" s="11" t="str">
        <f>IF(P125="","",IFERROR(INDEX($AO$11:$AO$4010,MATCH($S$8&amp;"|"&amp;115,$BA$11:$BA$4010,0)),""))</f>
        <v/>
      </c>
      <c r="S125" s="10" t="str">
        <f>IF(P125="","",IFERROR(INDEX($AP$11:$AP$4010,MATCH($S$8&amp;"|"&amp;115,$BA$11:$BA$4010,0)),""))</f>
        <v/>
      </c>
      <c r="T125" s="10" t="str">
        <f>IF(P125="","",IFERROR(INDEX($AQ$11:$AQ$4010,MATCH($S$8&amp;"|"&amp;115,$BA$11:$BA$4010,0)),""))</f>
        <v/>
      </c>
      <c r="U125" s="39" t="str">
        <f t="shared" si="29"/>
        <v/>
      </c>
      <c r="W125" s="14" t="str">
        <f>IF(X125="","",IFERROR(INDEX($AL$11:$AL$4010,MATCH(115,$AY$11:$AY$4010,0)),""))</f>
        <v/>
      </c>
      <c r="X125" s="12" t="str">
        <f>IFERROR(INDEX($AM$11:$AM$4010,MATCH(115,$AY$11:$AY$4010,0)),"")</f>
        <v/>
      </c>
      <c r="Y125" s="11" t="str">
        <f>IF(X125="","",IFERROR(INDEX($AN$11:$AN$4010,MATCH(115,$AY$11:$AY$4010,0)),""))</f>
        <v/>
      </c>
      <c r="Z125" s="11" t="str">
        <f>IF(X125="","",IFERROR(INDEX($AO$11:$AO$4010,MATCH(115,$AY$11:$AY$4010,0)),""))</f>
        <v/>
      </c>
      <c r="AA125" s="10" t="str">
        <f>IF(X125="","",IFERROR(INDEX($AQ$11:$AQ$4010,MATCH(115,$AY$11:$AY$4010,0)),""))</f>
        <v/>
      </c>
      <c r="AB125" s="15" t="str">
        <f>IF(X125="","",IFERROR(INDEX($AR$11:$AR$4010,MATCH(115,$AY$11:$AY$4010,0)),""))</f>
        <v/>
      </c>
      <c r="AD125" s="16" t="str">
        <f>IF(AE125="","",IFERROR(INDEX($AL$11:$AL$4010,MATCH(115,$AZ$11:$AZ$4010,0)),""))</f>
        <v/>
      </c>
      <c r="AE125" s="12" t="str">
        <f>IFERROR(INDEX($AM$11:$AM$4010,MATCH(115,$AZ$11:$AZ$4010,0)),"")</f>
        <v/>
      </c>
      <c r="AF125" s="11" t="str">
        <f>IF(AE125="","",IFERROR(INDEX($AN$11:$AN$4010,MATCH(115,$AZ$11:$AZ$4010,0)),""))</f>
        <v/>
      </c>
      <c r="AG125" s="11" t="str">
        <f>IF(AE125="","",IFERROR(INDEX($AO$11:$AO$4010,MATCH(115,$AZ$11:$AZ$4010,0)),""))</f>
        <v/>
      </c>
      <c r="AH125" s="10" t="str">
        <f>IF(AE125="","",IFERROR(INDEX($AQ$11:$AQ$4010,MATCH(115,$AZ$11:$AZ$4010,0)),""))</f>
        <v/>
      </c>
      <c r="AI125" s="15" t="str">
        <f>IF(AE125="","",IFERROR(INDEX($AR$11:$AR$4010,MATCH(115,$AZ$11:$AZ$4010,0)),""))</f>
        <v/>
      </c>
      <c r="AJ125" s="15" t="str">
        <f>IF(AE125="","",IFERROR(INDEX($AT$11:$AT$4010,MATCH(115,$AZ$11:$AZ$4010,0)),""))</f>
        <v/>
      </c>
      <c r="AL125" s="17" t="str">
        <f t="shared" si="20"/>
        <v/>
      </c>
      <c r="AM125" s="12" t="str">
        <f t="shared" si="21"/>
        <v/>
      </c>
      <c r="AN125" s="18" t="str">
        <f t="shared" si="22"/>
        <v/>
      </c>
      <c r="AO125" s="18" t="str">
        <f t="shared" si="23"/>
        <v/>
      </c>
      <c r="AP125" s="10" t="str">
        <f t="shared" si="24"/>
        <v/>
      </c>
      <c r="AQ125" s="10" t="str">
        <f t="shared" si="25"/>
        <v/>
      </c>
      <c r="AR125" s="19" t="str">
        <f t="shared" si="26"/>
        <v/>
      </c>
      <c r="AS125" s="20"/>
      <c r="AT125" s="19"/>
      <c r="AV125" s="21">
        <f>IF(AND($AL125&lt;&gt;"",COUNTIF($AL$11:$AL125,$AL125)=1),1,0)</f>
        <v>0</v>
      </c>
      <c r="AW125" s="21">
        <f t="shared" si="28"/>
        <v>0</v>
      </c>
      <c r="AX125" s="21" t="str">
        <f t="shared" si="27"/>
        <v/>
      </c>
      <c r="AY125" s="21" t="str">
        <f>IF(AND($AM125&lt;&gt;"",$AS125&lt;&gt;"✓"),SUMPRODUCT(($AM$11:$AM125&lt;&gt;"")*($AS$11:$AS125&lt;&gt;"✓")),"")</f>
        <v/>
      </c>
      <c r="AZ125" s="21" t="str">
        <f>IF(AND($AM125&lt;&gt;"",$AS125="✓"),SUMPRODUCT(($AM$11:$AM125&lt;&gt;"")*($AS$11:$AS125="✓")),"")</f>
        <v/>
      </c>
      <c r="BA125" s="21" t="str">
        <f>IF($AL125="","",$AL125&amp;"|"&amp;COUNTIF($AL$11:$AL125,$AL125))</f>
        <v/>
      </c>
    </row>
    <row r="126" spans="2:53" ht="15" customHeight="1" x14ac:dyDescent="0.25">
      <c r="B126" s="5" t="str">
        <f t="shared" si="15"/>
        <v/>
      </c>
      <c r="C126" s="5"/>
      <c r="D126" s="5"/>
      <c r="E126" s="5"/>
      <c r="F126" s="6"/>
      <c r="G126" s="6"/>
      <c r="H126" s="7"/>
      <c r="I126" s="8"/>
      <c r="K126" s="23" t="str">
        <f>IFERROR(INDEX($AL$11:$AL$4010,MATCH(116,$AX$11:$AX$4010,0)),"")</f>
        <v/>
      </c>
      <c r="L126" s="24" t="str">
        <f t="shared" si="16"/>
        <v/>
      </c>
      <c r="M126" s="25" t="str">
        <f t="shared" si="17"/>
        <v/>
      </c>
      <c r="N126" s="25" t="str">
        <f t="shared" si="18"/>
        <v/>
      </c>
      <c r="P126" s="26" t="str">
        <f>IFERROR(INDEX($AM$11:$AM$4010,MATCH($S$8&amp;"|"&amp;116,$BA$11:$BA$4010,0)),"")</f>
        <v/>
      </c>
      <c r="Q126" s="25" t="str">
        <f>IF(P126="","",IFERROR(INDEX($AN$11:$AN$4010,MATCH($S$8&amp;"|"&amp;116,$BA$11:$BA$4010,0)),""))</f>
        <v/>
      </c>
      <c r="R126" s="25" t="str">
        <f>IF(P126="","",IFERROR(INDEX($AO$11:$AO$4010,MATCH($S$8&amp;"|"&amp;116,$BA$11:$BA$4010,0)),""))</f>
        <v/>
      </c>
      <c r="S126" s="24" t="str">
        <f>IF(P126="","",IFERROR(INDEX($AP$11:$AP$4010,MATCH($S$8&amp;"|"&amp;116,$BA$11:$BA$4010,0)),""))</f>
        <v/>
      </c>
      <c r="T126" s="24" t="str">
        <f>IF(P126="","",IFERROR(INDEX($AQ$11:$AQ$4010,MATCH($S$8&amp;"|"&amp;116,$BA$11:$BA$4010,0)),""))</f>
        <v/>
      </c>
      <c r="U126" s="38" t="str">
        <f t="shared" si="29"/>
        <v/>
      </c>
      <c r="W126" s="28" t="str">
        <f>IF(X126="","",IFERROR(INDEX($AL$11:$AL$4010,MATCH(116,$AY$11:$AY$4010,0)),""))</f>
        <v/>
      </c>
      <c r="X126" s="26" t="str">
        <f>IFERROR(INDEX($AM$11:$AM$4010,MATCH(116,$AY$11:$AY$4010,0)),"")</f>
        <v/>
      </c>
      <c r="Y126" s="25" t="str">
        <f>IF(X126="","",IFERROR(INDEX($AN$11:$AN$4010,MATCH(116,$AY$11:$AY$4010,0)),""))</f>
        <v/>
      </c>
      <c r="Z126" s="25" t="str">
        <f>IF(X126="","",IFERROR(INDEX($AO$11:$AO$4010,MATCH(116,$AY$11:$AY$4010,0)),""))</f>
        <v/>
      </c>
      <c r="AA126" s="24" t="str">
        <f>IF(X126="","",IFERROR(INDEX($AQ$11:$AQ$4010,MATCH(116,$AY$11:$AY$4010,0)),""))</f>
        <v/>
      </c>
      <c r="AB126" s="29" t="str">
        <f>IF(X126="","",IFERROR(INDEX($AR$11:$AR$4010,MATCH(116,$AY$11:$AY$4010,0)),""))</f>
        <v/>
      </c>
      <c r="AD126" s="30" t="str">
        <f>IF(AE126="","",IFERROR(INDEX($AL$11:$AL$4010,MATCH(116,$AZ$11:$AZ$4010,0)),""))</f>
        <v/>
      </c>
      <c r="AE126" s="26" t="str">
        <f>IFERROR(INDEX($AM$11:$AM$4010,MATCH(116,$AZ$11:$AZ$4010,0)),"")</f>
        <v/>
      </c>
      <c r="AF126" s="25" t="str">
        <f>IF(AE126="","",IFERROR(INDEX($AN$11:$AN$4010,MATCH(116,$AZ$11:$AZ$4010,0)),""))</f>
        <v/>
      </c>
      <c r="AG126" s="25" t="str">
        <f>IF(AE126="","",IFERROR(INDEX($AO$11:$AO$4010,MATCH(116,$AZ$11:$AZ$4010,0)),""))</f>
        <v/>
      </c>
      <c r="AH126" s="24" t="str">
        <f>IF(AE126="","",IFERROR(INDEX($AQ$11:$AQ$4010,MATCH(116,$AZ$11:$AZ$4010,0)),""))</f>
        <v/>
      </c>
      <c r="AI126" s="29" t="str">
        <f>IF(AE126="","",IFERROR(INDEX($AR$11:$AR$4010,MATCH(116,$AZ$11:$AZ$4010,0)),""))</f>
        <v/>
      </c>
      <c r="AJ126" s="29" t="str">
        <f>IF(AE126="","",IFERROR(INDEX($AT$11:$AT$4010,MATCH(116,$AZ$11:$AZ$4010,0)),""))</f>
        <v/>
      </c>
      <c r="AL126" s="31" t="str">
        <f t="shared" si="20"/>
        <v/>
      </c>
      <c r="AM126" s="26" t="str">
        <f t="shared" si="21"/>
        <v/>
      </c>
      <c r="AN126" s="32" t="str">
        <f t="shared" si="22"/>
        <v/>
      </c>
      <c r="AO126" s="32" t="str">
        <f t="shared" si="23"/>
        <v/>
      </c>
      <c r="AP126" s="24" t="str">
        <f t="shared" si="24"/>
        <v/>
      </c>
      <c r="AQ126" s="24" t="str">
        <f t="shared" si="25"/>
        <v/>
      </c>
      <c r="AR126" s="33" t="str">
        <f t="shared" si="26"/>
        <v/>
      </c>
      <c r="AS126" s="34"/>
      <c r="AT126" s="33"/>
      <c r="AV126" s="21">
        <f>IF(AND($AL126&lt;&gt;"",COUNTIF($AL$11:$AL126,$AL126)=1),1,0)</f>
        <v>0</v>
      </c>
      <c r="AW126" s="21">
        <f t="shared" si="28"/>
        <v>0</v>
      </c>
      <c r="AX126" s="21" t="str">
        <f t="shared" si="27"/>
        <v/>
      </c>
      <c r="AY126" s="21" t="str">
        <f>IF(AND($AM126&lt;&gt;"",$AS126&lt;&gt;"✓"),SUMPRODUCT(($AM$11:$AM126&lt;&gt;"")*($AS$11:$AS126&lt;&gt;"✓")),"")</f>
        <v/>
      </c>
      <c r="AZ126" s="21" t="str">
        <f>IF(AND($AM126&lt;&gt;"",$AS126="✓"),SUMPRODUCT(($AM$11:$AM126&lt;&gt;"")*($AS$11:$AS126="✓")),"")</f>
        <v/>
      </c>
      <c r="BA126" s="21" t="str">
        <f>IF($AL126="","",$AL126&amp;"|"&amp;COUNTIF($AL$11:$AL126,$AL126))</f>
        <v/>
      </c>
    </row>
    <row r="127" spans="2:53" ht="15" customHeight="1" x14ac:dyDescent="0.25">
      <c r="B127" s="5" t="str">
        <f t="shared" si="15"/>
        <v/>
      </c>
      <c r="C127" s="5"/>
      <c r="D127" s="5"/>
      <c r="E127" s="5"/>
      <c r="F127" s="6"/>
      <c r="G127" s="6"/>
      <c r="H127" s="7"/>
      <c r="I127" s="8"/>
      <c r="K127" s="9" t="str">
        <f>IFERROR(INDEX($AL$11:$AL$4010,MATCH(117,$AX$11:$AX$4010,0)),"")</f>
        <v/>
      </c>
      <c r="L127" s="10" t="str">
        <f t="shared" si="16"/>
        <v/>
      </c>
      <c r="M127" s="11" t="str">
        <f t="shared" si="17"/>
        <v/>
      </c>
      <c r="N127" s="11" t="str">
        <f t="shared" si="18"/>
        <v/>
      </c>
      <c r="P127" s="12" t="str">
        <f>IFERROR(INDEX($AM$11:$AM$4010,MATCH($S$8&amp;"|"&amp;117,$BA$11:$BA$4010,0)),"")</f>
        <v/>
      </c>
      <c r="Q127" s="11" t="str">
        <f>IF(P127="","",IFERROR(INDEX($AN$11:$AN$4010,MATCH($S$8&amp;"|"&amp;117,$BA$11:$BA$4010,0)),""))</f>
        <v/>
      </c>
      <c r="R127" s="11" t="str">
        <f>IF(P127="","",IFERROR(INDEX($AO$11:$AO$4010,MATCH($S$8&amp;"|"&amp;117,$BA$11:$BA$4010,0)),""))</f>
        <v/>
      </c>
      <c r="S127" s="10" t="str">
        <f>IF(P127="","",IFERROR(INDEX($AP$11:$AP$4010,MATCH($S$8&amp;"|"&amp;117,$BA$11:$BA$4010,0)),""))</f>
        <v/>
      </c>
      <c r="T127" s="10" t="str">
        <f>IF(P127="","",IFERROR(INDEX($AQ$11:$AQ$4010,MATCH($S$8&amp;"|"&amp;117,$BA$11:$BA$4010,0)),""))</f>
        <v/>
      </c>
      <c r="U127" s="39" t="str">
        <f t="shared" si="29"/>
        <v/>
      </c>
      <c r="W127" s="14" t="str">
        <f>IF(X127="","",IFERROR(INDEX($AL$11:$AL$4010,MATCH(117,$AY$11:$AY$4010,0)),""))</f>
        <v/>
      </c>
      <c r="X127" s="12" t="str">
        <f>IFERROR(INDEX($AM$11:$AM$4010,MATCH(117,$AY$11:$AY$4010,0)),"")</f>
        <v/>
      </c>
      <c r="Y127" s="11" t="str">
        <f>IF(X127="","",IFERROR(INDEX($AN$11:$AN$4010,MATCH(117,$AY$11:$AY$4010,0)),""))</f>
        <v/>
      </c>
      <c r="Z127" s="11" t="str">
        <f>IF(X127="","",IFERROR(INDEX($AO$11:$AO$4010,MATCH(117,$AY$11:$AY$4010,0)),""))</f>
        <v/>
      </c>
      <c r="AA127" s="10" t="str">
        <f>IF(X127="","",IFERROR(INDEX($AQ$11:$AQ$4010,MATCH(117,$AY$11:$AY$4010,0)),""))</f>
        <v/>
      </c>
      <c r="AB127" s="15" t="str">
        <f>IF(X127="","",IFERROR(INDEX($AR$11:$AR$4010,MATCH(117,$AY$11:$AY$4010,0)),""))</f>
        <v/>
      </c>
      <c r="AD127" s="16" t="str">
        <f>IF(AE127="","",IFERROR(INDEX($AL$11:$AL$4010,MATCH(117,$AZ$11:$AZ$4010,0)),""))</f>
        <v/>
      </c>
      <c r="AE127" s="12" t="str">
        <f>IFERROR(INDEX($AM$11:$AM$4010,MATCH(117,$AZ$11:$AZ$4010,0)),"")</f>
        <v/>
      </c>
      <c r="AF127" s="11" t="str">
        <f>IF(AE127="","",IFERROR(INDEX($AN$11:$AN$4010,MATCH(117,$AZ$11:$AZ$4010,0)),""))</f>
        <v/>
      </c>
      <c r="AG127" s="11" t="str">
        <f>IF(AE127="","",IFERROR(INDEX($AO$11:$AO$4010,MATCH(117,$AZ$11:$AZ$4010,0)),""))</f>
        <v/>
      </c>
      <c r="AH127" s="10" t="str">
        <f>IF(AE127="","",IFERROR(INDEX($AQ$11:$AQ$4010,MATCH(117,$AZ$11:$AZ$4010,0)),""))</f>
        <v/>
      </c>
      <c r="AI127" s="15" t="str">
        <f>IF(AE127="","",IFERROR(INDEX($AR$11:$AR$4010,MATCH(117,$AZ$11:$AZ$4010,0)),""))</f>
        <v/>
      </c>
      <c r="AJ127" s="15" t="str">
        <f>IF(AE127="","",IFERROR(INDEX($AT$11:$AT$4010,MATCH(117,$AZ$11:$AZ$4010,0)),""))</f>
        <v/>
      </c>
      <c r="AL127" s="17" t="str">
        <f t="shared" si="20"/>
        <v/>
      </c>
      <c r="AM127" s="12" t="str">
        <f t="shared" si="21"/>
        <v/>
      </c>
      <c r="AN127" s="18" t="str">
        <f t="shared" si="22"/>
        <v/>
      </c>
      <c r="AO127" s="18" t="str">
        <f t="shared" si="23"/>
        <v/>
      </c>
      <c r="AP127" s="10" t="str">
        <f t="shared" si="24"/>
        <v/>
      </c>
      <c r="AQ127" s="10" t="str">
        <f t="shared" si="25"/>
        <v/>
      </c>
      <c r="AR127" s="19" t="str">
        <f t="shared" si="26"/>
        <v/>
      </c>
      <c r="AS127" s="20"/>
      <c r="AT127" s="19"/>
      <c r="AV127" s="21">
        <f>IF(AND($AL127&lt;&gt;"",COUNTIF($AL$11:$AL127,$AL127)=1),1,0)</f>
        <v>0</v>
      </c>
      <c r="AW127" s="21">
        <f t="shared" si="28"/>
        <v>0</v>
      </c>
      <c r="AX127" s="21" t="str">
        <f t="shared" si="27"/>
        <v/>
      </c>
      <c r="AY127" s="21" t="str">
        <f>IF(AND($AM127&lt;&gt;"",$AS127&lt;&gt;"✓"),SUMPRODUCT(($AM$11:$AM127&lt;&gt;"")*($AS$11:$AS127&lt;&gt;"✓")),"")</f>
        <v/>
      </c>
      <c r="AZ127" s="21" t="str">
        <f>IF(AND($AM127&lt;&gt;"",$AS127="✓"),SUMPRODUCT(($AM$11:$AM127&lt;&gt;"")*($AS$11:$AS127="✓")),"")</f>
        <v/>
      </c>
      <c r="BA127" s="21" t="str">
        <f>IF($AL127="","",$AL127&amp;"|"&amp;COUNTIF($AL$11:$AL127,$AL127))</f>
        <v/>
      </c>
    </row>
    <row r="128" spans="2:53" ht="15" customHeight="1" x14ac:dyDescent="0.25">
      <c r="B128" s="5" t="str">
        <f t="shared" si="15"/>
        <v/>
      </c>
      <c r="C128" s="5"/>
      <c r="D128" s="5"/>
      <c r="E128" s="5"/>
      <c r="F128" s="6"/>
      <c r="G128" s="6"/>
      <c r="H128" s="7"/>
      <c r="I128" s="8"/>
      <c r="K128" s="23" t="str">
        <f>IFERROR(INDEX($AL$11:$AL$4010,MATCH(118,$AX$11:$AX$4010,0)),"")</f>
        <v/>
      </c>
      <c r="L128" s="24" t="str">
        <f t="shared" si="16"/>
        <v/>
      </c>
      <c r="M128" s="25" t="str">
        <f t="shared" si="17"/>
        <v/>
      </c>
      <c r="N128" s="25" t="str">
        <f t="shared" si="18"/>
        <v/>
      </c>
      <c r="P128" s="26" t="str">
        <f>IFERROR(INDEX($AM$11:$AM$4010,MATCH($S$8&amp;"|"&amp;118,$BA$11:$BA$4010,0)),"")</f>
        <v/>
      </c>
      <c r="Q128" s="25" t="str">
        <f>IF(P128="","",IFERROR(INDEX($AN$11:$AN$4010,MATCH($S$8&amp;"|"&amp;118,$BA$11:$BA$4010,0)),""))</f>
        <v/>
      </c>
      <c r="R128" s="25" t="str">
        <f>IF(P128="","",IFERROR(INDEX($AO$11:$AO$4010,MATCH($S$8&amp;"|"&amp;118,$BA$11:$BA$4010,0)),""))</f>
        <v/>
      </c>
      <c r="S128" s="24" t="str">
        <f>IF(P128="","",IFERROR(INDEX($AP$11:$AP$4010,MATCH($S$8&amp;"|"&amp;118,$BA$11:$BA$4010,0)),""))</f>
        <v/>
      </c>
      <c r="T128" s="24" t="str">
        <f>IF(P128="","",IFERROR(INDEX($AQ$11:$AQ$4010,MATCH($S$8&amp;"|"&amp;118,$BA$11:$BA$4010,0)),""))</f>
        <v/>
      </c>
      <c r="U128" s="38" t="str">
        <f t="shared" si="29"/>
        <v/>
      </c>
      <c r="W128" s="28" t="str">
        <f>IF(X128="","",IFERROR(INDEX($AL$11:$AL$4010,MATCH(118,$AY$11:$AY$4010,0)),""))</f>
        <v/>
      </c>
      <c r="X128" s="26" t="str">
        <f>IFERROR(INDEX($AM$11:$AM$4010,MATCH(118,$AY$11:$AY$4010,0)),"")</f>
        <v/>
      </c>
      <c r="Y128" s="25" t="str">
        <f>IF(X128="","",IFERROR(INDEX($AN$11:$AN$4010,MATCH(118,$AY$11:$AY$4010,0)),""))</f>
        <v/>
      </c>
      <c r="Z128" s="25" t="str">
        <f>IF(X128="","",IFERROR(INDEX($AO$11:$AO$4010,MATCH(118,$AY$11:$AY$4010,0)),""))</f>
        <v/>
      </c>
      <c r="AA128" s="24" t="str">
        <f>IF(X128="","",IFERROR(INDEX($AQ$11:$AQ$4010,MATCH(118,$AY$11:$AY$4010,0)),""))</f>
        <v/>
      </c>
      <c r="AB128" s="29" t="str">
        <f>IF(X128="","",IFERROR(INDEX($AR$11:$AR$4010,MATCH(118,$AY$11:$AY$4010,0)),""))</f>
        <v/>
      </c>
      <c r="AD128" s="30" t="str">
        <f>IF(AE128="","",IFERROR(INDEX($AL$11:$AL$4010,MATCH(118,$AZ$11:$AZ$4010,0)),""))</f>
        <v/>
      </c>
      <c r="AE128" s="26" t="str">
        <f>IFERROR(INDEX($AM$11:$AM$4010,MATCH(118,$AZ$11:$AZ$4010,0)),"")</f>
        <v/>
      </c>
      <c r="AF128" s="25" t="str">
        <f>IF(AE128="","",IFERROR(INDEX($AN$11:$AN$4010,MATCH(118,$AZ$11:$AZ$4010,0)),""))</f>
        <v/>
      </c>
      <c r="AG128" s="25" t="str">
        <f>IF(AE128="","",IFERROR(INDEX($AO$11:$AO$4010,MATCH(118,$AZ$11:$AZ$4010,0)),""))</f>
        <v/>
      </c>
      <c r="AH128" s="24" t="str">
        <f>IF(AE128="","",IFERROR(INDEX($AQ$11:$AQ$4010,MATCH(118,$AZ$11:$AZ$4010,0)),""))</f>
        <v/>
      </c>
      <c r="AI128" s="29" t="str">
        <f>IF(AE128="","",IFERROR(INDEX($AR$11:$AR$4010,MATCH(118,$AZ$11:$AZ$4010,0)),""))</f>
        <v/>
      </c>
      <c r="AJ128" s="29" t="str">
        <f>IF(AE128="","",IFERROR(INDEX($AT$11:$AT$4010,MATCH(118,$AZ$11:$AZ$4010,0)),""))</f>
        <v/>
      </c>
      <c r="AL128" s="31" t="str">
        <f t="shared" si="20"/>
        <v/>
      </c>
      <c r="AM128" s="26" t="str">
        <f t="shared" si="21"/>
        <v/>
      </c>
      <c r="AN128" s="32" t="str">
        <f t="shared" si="22"/>
        <v/>
      </c>
      <c r="AO128" s="32" t="str">
        <f t="shared" si="23"/>
        <v/>
      </c>
      <c r="AP128" s="24" t="str">
        <f t="shared" si="24"/>
        <v/>
      </c>
      <c r="AQ128" s="24" t="str">
        <f t="shared" si="25"/>
        <v/>
      </c>
      <c r="AR128" s="33" t="str">
        <f t="shared" si="26"/>
        <v/>
      </c>
      <c r="AS128" s="34"/>
      <c r="AT128" s="33"/>
      <c r="AV128" s="21">
        <f>IF(AND($AL128&lt;&gt;"",COUNTIF($AL$11:$AL128,$AL128)=1),1,0)</f>
        <v>0</v>
      </c>
      <c r="AW128" s="21">
        <f t="shared" si="28"/>
        <v>0</v>
      </c>
      <c r="AX128" s="21" t="str">
        <f t="shared" si="27"/>
        <v/>
      </c>
      <c r="AY128" s="21" t="str">
        <f>IF(AND($AM128&lt;&gt;"",$AS128&lt;&gt;"✓"),SUMPRODUCT(($AM$11:$AM128&lt;&gt;"")*($AS$11:$AS128&lt;&gt;"✓")),"")</f>
        <v/>
      </c>
      <c r="AZ128" s="21" t="str">
        <f>IF(AND($AM128&lt;&gt;"",$AS128="✓"),SUMPRODUCT(($AM$11:$AM128&lt;&gt;"")*($AS$11:$AS128="✓")),"")</f>
        <v/>
      </c>
      <c r="BA128" s="21" t="str">
        <f>IF($AL128="","",$AL128&amp;"|"&amp;COUNTIF($AL$11:$AL128,$AL128))</f>
        <v/>
      </c>
    </row>
    <row r="129" spans="2:53" ht="15" customHeight="1" x14ac:dyDescent="0.25">
      <c r="B129" s="5" t="str">
        <f t="shared" si="15"/>
        <v/>
      </c>
      <c r="C129" s="5"/>
      <c r="D129" s="5"/>
      <c r="E129" s="5"/>
      <c r="F129" s="6"/>
      <c r="G129" s="6"/>
      <c r="H129" s="7"/>
      <c r="I129" s="8"/>
      <c r="K129" s="9" t="str">
        <f>IFERROR(INDEX($AL$11:$AL$4010,MATCH(119,$AX$11:$AX$4010,0)),"")</f>
        <v/>
      </c>
      <c r="L129" s="10" t="str">
        <f t="shared" si="16"/>
        <v/>
      </c>
      <c r="M129" s="11" t="str">
        <f t="shared" si="17"/>
        <v/>
      </c>
      <c r="N129" s="11" t="str">
        <f t="shared" si="18"/>
        <v/>
      </c>
      <c r="P129" s="12" t="str">
        <f>IFERROR(INDEX($AM$11:$AM$4010,MATCH($S$8&amp;"|"&amp;119,$BA$11:$BA$4010,0)),"")</f>
        <v/>
      </c>
      <c r="Q129" s="11" t="str">
        <f>IF(P129="","",IFERROR(INDEX($AN$11:$AN$4010,MATCH($S$8&amp;"|"&amp;119,$BA$11:$BA$4010,0)),""))</f>
        <v/>
      </c>
      <c r="R129" s="11" t="str">
        <f>IF(P129="","",IFERROR(INDEX($AO$11:$AO$4010,MATCH($S$8&amp;"|"&amp;119,$BA$11:$BA$4010,0)),""))</f>
        <v/>
      </c>
      <c r="S129" s="10" t="str">
        <f>IF(P129="","",IFERROR(INDEX($AP$11:$AP$4010,MATCH($S$8&amp;"|"&amp;119,$BA$11:$BA$4010,0)),""))</f>
        <v/>
      </c>
      <c r="T129" s="10" t="str">
        <f>IF(P129="","",IFERROR(INDEX($AQ$11:$AQ$4010,MATCH($S$8&amp;"|"&amp;119,$BA$11:$BA$4010,0)),""))</f>
        <v/>
      </c>
      <c r="U129" s="39" t="str">
        <f t="shared" si="29"/>
        <v/>
      </c>
      <c r="W129" s="14" t="str">
        <f>IF(X129="","",IFERROR(INDEX($AL$11:$AL$4010,MATCH(119,$AY$11:$AY$4010,0)),""))</f>
        <v/>
      </c>
      <c r="X129" s="12" t="str">
        <f>IFERROR(INDEX($AM$11:$AM$4010,MATCH(119,$AY$11:$AY$4010,0)),"")</f>
        <v/>
      </c>
      <c r="Y129" s="11" t="str">
        <f>IF(X129="","",IFERROR(INDEX($AN$11:$AN$4010,MATCH(119,$AY$11:$AY$4010,0)),""))</f>
        <v/>
      </c>
      <c r="Z129" s="11" t="str">
        <f>IF(X129="","",IFERROR(INDEX($AO$11:$AO$4010,MATCH(119,$AY$11:$AY$4010,0)),""))</f>
        <v/>
      </c>
      <c r="AA129" s="10" t="str">
        <f>IF(X129="","",IFERROR(INDEX($AQ$11:$AQ$4010,MATCH(119,$AY$11:$AY$4010,0)),""))</f>
        <v/>
      </c>
      <c r="AB129" s="15" t="str">
        <f>IF(X129="","",IFERROR(INDEX($AR$11:$AR$4010,MATCH(119,$AY$11:$AY$4010,0)),""))</f>
        <v/>
      </c>
      <c r="AD129" s="16" t="str">
        <f>IF(AE129="","",IFERROR(INDEX($AL$11:$AL$4010,MATCH(119,$AZ$11:$AZ$4010,0)),""))</f>
        <v/>
      </c>
      <c r="AE129" s="12" t="str">
        <f>IFERROR(INDEX($AM$11:$AM$4010,MATCH(119,$AZ$11:$AZ$4010,0)),"")</f>
        <v/>
      </c>
      <c r="AF129" s="11" t="str">
        <f>IF(AE129="","",IFERROR(INDEX($AN$11:$AN$4010,MATCH(119,$AZ$11:$AZ$4010,0)),""))</f>
        <v/>
      </c>
      <c r="AG129" s="11" t="str">
        <f>IF(AE129="","",IFERROR(INDEX($AO$11:$AO$4010,MATCH(119,$AZ$11:$AZ$4010,0)),""))</f>
        <v/>
      </c>
      <c r="AH129" s="10" t="str">
        <f>IF(AE129="","",IFERROR(INDEX($AQ$11:$AQ$4010,MATCH(119,$AZ$11:$AZ$4010,0)),""))</f>
        <v/>
      </c>
      <c r="AI129" s="15" t="str">
        <f>IF(AE129="","",IFERROR(INDEX($AR$11:$AR$4010,MATCH(119,$AZ$11:$AZ$4010,0)),""))</f>
        <v/>
      </c>
      <c r="AJ129" s="15" t="str">
        <f>IF(AE129="","",IFERROR(INDEX($AT$11:$AT$4010,MATCH(119,$AZ$11:$AZ$4010,0)),""))</f>
        <v/>
      </c>
      <c r="AL129" s="17" t="str">
        <f t="shared" si="20"/>
        <v/>
      </c>
      <c r="AM129" s="12" t="str">
        <f t="shared" si="21"/>
        <v/>
      </c>
      <c r="AN129" s="18" t="str">
        <f t="shared" si="22"/>
        <v/>
      </c>
      <c r="AO129" s="18" t="str">
        <f t="shared" si="23"/>
        <v/>
      </c>
      <c r="AP129" s="10" t="str">
        <f t="shared" si="24"/>
        <v/>
      </c>
      <c r="AQ129" s="10" t="str">
        <f t="shared" si="25"/>
        <v/>
      </c>
      <c r="AR129" s="19" t="str">
        <f t="shared" si="26"/>
        <v/>
      </c>
      <c r="AS129" s="20"/>
      <c r="AT129" s="19"/>
      <c r="AV129" s="21">
        <f>IF(AND($AL129&lt;&gt;"",COUNTIF($AL$11:$AL129,$AL129)=1),1,0)</f>
        <v>0</v>
      </c>
      <c r="AW129" s="21">
        <f t="shared" si="28"/>
        <v>0</v>
      </c>
      <c r="AX129" s="21" t="str">
        <f t="shared" si="27"/>
        <v/>
      </c>
      <c r="AY129" s="21" t="str">
        <f>IF(AND($AM129&lt;&gt;"",$AS129&lt;&gt;"✓"),SUMPRODUCT(($AM$11:$AM129&lt;&gt;"")*($AS$11:$AS129&lt;&gt;"✓")),"")</f>
        <v/>
      </c>
      <c r="AZ129" s="21" t="str">
        <f>IF(AND($AM129&lt;&gt;"",$AS129="✓"),SUMPRODUCT(($AM$11:$AM129&lt;&gt;"")*($AS$11:$AS129="✓")),"")</f>
        <v/>
      </c>
      <c r="BA129" s="21" t="str">
        <f>IF($AL129="","",$AL129&amp;"|"&amp;COUNTIF($AL$11:$AL129,$AL129))</f>
        <v/>
      </c>
    </row>
    <row r="130" spans="2:53" ht="15" customHeight="1" x14ac:dyDescent="0.25">
      <c r="B130" s="5" t="str">
        <f t="shared" si="15"/>
        <v/>
      </c>
      <c r="C130" s="5"/>
      <c r="D130" s="5"/>
      <c r="E130" s="5"/>
      <c r="F130" s="6"/>
      <c r="G130" s="6"/>
      <c r="H130" s="7"/>
      <c r="I130" s="8"/>
      <c r="K130" s="23" t="str">
        <f>IFERROR(INDEX($AL$11:$AL$4010,MATCH(120,$AX$11:$AX$4010,0)),"")</f>
        <v/>
      </c>
      <c r="L130" s="24" t="str">
        <f t="shared" si="16"/>
        <v/>
      </c>
      <c r="M130" s="25" t="str">
        <f t="shared" si="17"/>
        <v/>
      </c>
      <c r="N130" s="25" t="str">
        <f t="shared" si="18"/>
        <v/>
      </c>
      <c r="P130" s="26" t="str">
        <f>IFERROR(INDEX($AM$11:$AM$4010,MATCH($S$8&amp;"|"&amp;120,$BA$11:$BA$4010,0)),"")</f>
        <v/>
      </c>
      <c r="Q130" s="25" t="str">
        <f>IF(P130="","",IFERROR(INDEX($AN$11:$AN$4010,MATCH($S$8&amp;"|"&amp;120,$BA$11:$BA$4010,0)),""))</f>
        <v/>
      </c>
      <c r="R130" s="25" t="str">
        <f>IF(P130="","",IFERROR(INDEX($AO$11:$AO$4010,MATCH($S$8&amp;"|"&amp;120,$BA$11:$BA$4010,0)),""))</f>
        <v/>
      </c>
      <c r="S130" s="24" t="str">
        <f>IF(P130="","",IFERROR(INDEX($AP$11:$AP$4010,MATCH($S$8&amp;"|"&amp;120,$BA$11:$BA$4010,0)),""))</f>
        <v/>
      </c>
      <c r="T130" s="24" t="str">
        <f>IF(P130="","",IFERROR(INDEX($AQ$11:$AQ$4010,MATCH($S$8&amp;"|"&amp;120,$BA$11:$BA$4010,0)),""))</f>
        <v/>
      </c>
      <c r="U130" s="38" t="str">
        <f t="shared" si="29"/>
        <v/>
      </c>
      <c r="W130" s="28" t="str">
        <f>IF(X130="","",IFERROR(INDEX($AL$11:$AL$4010,MATCH(120,$AY$11:$AY$4010,0)),""))</f>
        <v/>
      </c>
      <c r="X130" s="26" t="str">
        <f>IFERROR(INDEX($AM$11:$AM$4010,MATCH(120,$AY$11:$AY$4010,0)),"")</f>
        <v/>
      </c>
      <c r="Y130" s="25" t="str">
        <f>IF(X130="","",IFERROR(INDEX($AN$11:$AN$4010,MATCH(120,$AY$11:$AY$4010,0)),""))</f>
        <v/>
      </c>
      <c r="Z130" s="25" t="str">
        <f>IF(X130="","",IFERROR(INDEX($AO$11:$AO$4010,MATCH(120,$AY$11:$AY$4010,0)),""))</f>
        <v/>
      </c>
      <c r="AA130" s="24" t="str">
        <f>IF(X130="","",IFERROR(INDEX($AQ$11:$AQ$4010,MATCH(120,$AY$11:$AY$4010,0)),""))</f>
        <v/>
      </c>
      <c r="AB130" s="29" t="str">
        <f>IF(X130="","",IFERROR(INDEX($AR$11:$AR$4010,MATCH(120,$AY$11:$AY$4010,0)),""))</f>
        <v/>
      </c>
      <c r="AD130" s="30" t="str">
        <f>IF(AE130="","",IFERROR(INDEX($AL$11:$AL$4010,MATCH(120,$AZ$11:$AZ$4010,0)),""))</f>
        <v/>
      </c>
      <c r="AE130" s="26" t="str">
        <f>IFERROR(INDEX($AM$11:$AM$4010,MATCH(120,$AZ$11:$AZ$4010,0)),"")</f>
        <v/>
      </c>
      <c r="AF130" s="25" t="str">
        <f>IF(AE130="","",IFERROR(INDEX($AN$11:$AN$4010,MATCH(120,$AZ$11:$AZ$4010,0)),""))</f>
        <v/>
      </c>
      <c r="AG130" s="25" t="str">
        <f>IF(AE130="","",IFERROR(INDEX($AO$11:$AO$4010,MATCH(120,$AZ$11:$AZ$4010,0)),""))</f>
        <v/>
      </c>
      <c r="AH130" s="24" t="str">
        <f>IF(AE130="","",IFERROR(INDEX($AQ$11:$AQ$4010,MATCH(120,$AZ$11:$AZ$4010,0)),""))</f>
        <v/>
      </c>
      <c r="AI130" s="29" t="str">
        <f>IF(AE130="","",IFERROR(INDEX($AR$11:$AR$4010,MATCH(120,$AZ$11:$AZ$4010,0)),""))</f>
        <v/>
      </c>
      <c r="AJ130" s="29" t="str">
        <f>IF(AE130="","",IFERROR(INDEX($AT$11:$AT$4010,MATCH(120,$AZ$11:$AZ$4010,0)),""))</f>
        <v/>
      </c>
      <c r="AL130" s="31" t="str">
        <f t="shared" si="20"/>
        <v/>
      </c>
      <c r="AM130" s="26" t="str">
        <f t="shared" si="21"/>
        <v/>
      </c>
      <c r="AN130" s="32" t="str">
        <f t="shared" si="22"/>
        <v/>
      </c>
      <c r="AO130" s="32" t="str">
        <f t="shared" si="23"/>
        <v/>
      </c>
      <c r="AP130" s="24" t="str">
        <f t="shared" si="24"/>
        <v/>
      </c>
      <c r="AQ130" s="24" t="str">
        <f t="shared" si="25"/>
        <v/>
      </c>
      <c r="AR130" s="33" t="str">
        <f t="shared" si="26"/>
        <v/>
      </c>
      <c r="AS130" s="34"/>
      <c r="AT130" s="33"/>
      <c r="AV130" s="21">
        <f>IF(AND($AL130&lt;&gt;"",COUNTIF($AL$11:$AL130,$AL130)=1),1,0)</f>
        <v>0</v>
      </c>
      <c r="AW130" s="21">
        <f t="shared" si="28"/>
        <v>0</v>
      </c>
      <c r="AX130" s="21" t="str">
        <f t="shared" si="27"/>
        <v/>
      </c>
      <c r="AY130" s="21" t="str">
        <f>IF(AND($AM130&lt;&gt;"",$AS130&lt;&gt;"✓"),SUMPRODUCT(($AM$11:$AM130&lt;&gt;"")*($AS$11:$AS130&lt;&gt;"✓")),"")</f>
        <v/>
      </c>
      <c r="AZ130" s="21" t="str">
        <f>IF(AND($AM130&lt;&gt;"",$AS130="✓"),SUMPRODUCT(($AM$11:$AM130&lt;&gt;"")*($AS$11:$AS130="✓")),"")</f>
        <v/>
      </c>
      <c r="BA130" s="21" t="str">
        <f>IF($AL130="","",$AL130&amp;"|"&amp;COUNTIF($AL$11:$AL130,$AL130))</f>
        <v/>
      </c>
    </row>
    <row r="131" spans="2:53" ht="15" customHeight="1" x14ac:dyDescent="0.25">
      <c r="B131" s="5" t="str">
        <f t="shared" si="15"/>
        <v/>
      </c>
      <c r="C131" s="5"/>
      <c r="D131" s="5"/>
      <c r="E131" s="5"/>
      <c r="F131" s="6"/>
      <c r="G131" s="6"/>
      <c r="H131" s="7"/>
      <c r="I131" s="8"/>
      <c r="K131" s="9" t="str">
        <f>IFERROR(INDEX($AL$11:$AL$4010,MATCH(121,$AX$11:$AX$4010,0)),"")</f>
        <v/>
      </c>
      <c r="L131" s="10" t="str">
        <f t="shared" si="16"/>
        <v/>
      </c>
      <c r="M131" s="11" t="str">
        <f t="shared" si="17"/>
        <v/>
      </c>
      <c r="N131" s="11" t="str">
        <f t="shared" si="18"/>
        <v/>
      </c>
      <c r="P131" s="12" t="str">
        <f>IFERROR(INDEX($AM$11:$AM$4010,MATCH($S$8&amp;"|"&amp;121,$BA$11:$BA$4010,0)),"")</f>
        <v/>
      </c>
      <c r="Q131" s="11" t="str">
        <f>IF(P131="","",IFERROR(INDEX($AN$11:$AN$4010,MATCH($S$8&amp;"|"&amp;121,$BA$11:$BA$4010,0)),""))</f>
        <v/>
      </c>
      <c r="R131" s="11" t="str">
        <f>IF(P131="","",IFERROR(INDEX($AO$11:$AO$4010,MATCH($S$8&amp;"|"&amp;121,$BA$11:$BA$4010,0)),""))</f>
        <v/>
      </c>
      <c r="S131" s="10" t="str">
        <f>IF(P131="","",IFERROR(INDEX($AP$11:$AP$4010,MATCH($S$8&amp;"|"&amp;121,$BA$11:$BA$4010,0)),""))</f>
        <v/>
      </c>
      <c r="T131" s="10" t="str">
        <f>IF(P131="","",IFERROR(INDEX($AQ$11:$AQ$4010,MATCH($S$8&amp;"|"&amp;121,$BA$11:$BA$4010,0)),""))</f>
        <v/>
      </c>
      <c r="U131" s="39" t="str">
        <f t="shared" si="29"/>
        <v/>
      </c>
      <c r="W131" s="14" t="str">
        <f>IF(X131="","",IFERROR(INDEX($AL$11:$AL$4010,MATCH(121,$AY$11:$AY$4010,0)),""))</f>
        <v/>
      </c>
      <c r="X131" s="12" t="str">
        <f>IFERROR(INDEX($AM$11:$AM$4010,MATCH(121,$AY$11:$AY$4010,0)),"")</f>
        <v/>
      </c>
      <c r="Y131" s="11" t="str">
        <f>IF(X131="","",IFERROR(INDEX($AN$11:$AN$4010,MATCH(121,$AY$11:$AY$4010,0)),""))</f>
        <v/>
      </c>
      <c r="Z131" s="11" t="str">
        <f>IF(X131="","",IFERROR(INDEX($AO$11:$AO$4010,MATCH(121,$AY$11:$AY$4010,0)),""))</f>
        <v/>
      </c>
      <c r="AA131" s="10" t="str">
        <f>IF(X131="","",IFERROR(INDEX($AQ$11:$AQ$4010,MATCH(121,$AY$11:$AY$4010,0)),""))</f>
        <v/>
      </c>
      <c r="AB131" s="15" t="str">
        <f>IF(X131="","",IFERROR(INDEX($AR$11:$AR$4010,MATCH(121,$AY$11:$AY$4010,0)),""))</f>
        <v/>
      </c>
      <c r="AD131" s="16" t="str">
        <f>IF(AE131="","",IFERROR(INDEX($AL$11:$AL$4010,MATCH(121,$AZ$11:$AZ$4010,0)),""))</f>
        <v/>
      </c>
      <c r="AE131" s="12" t="str">
        <f>IFERROR(INDEX($AM$11:$AM$4010,MATCH(121,$AZ$11:$AZ$4010,0)),"")</f>
        <v/>
      </c>
      <c r="AF131" s="11" t="str">
        <f>IF(AE131="","",IFERROR(INDEX($AN$11:$AN$4010,MATCH(121,$AZ$11:$AZ$4010,0)),""))</f>
        <v/>
      </c>
      <c r="AG131" s="11" t="str">
        <f>IF(AE131="","",IFERROR(INDEX($AO$11:$AO$4010,MATCH(121,$AZ$11:$AZ$4010,0)),""))</f>
        <v/>
      </c>
      <c r="AH131" s="10" t="str">
        <f>IF(AE131="","",IFERROR(INDEX($AQ$11:$AQ$4010,MATCH(121,$AZ$11:$AZ$4010,0)),""))</f>
        <v/>
      </c>
      <c r="AI131" s="15" t="str">
        <f>IF(AE131="","",IFERROR(INDEX($AR$11:$AR$4010,MATCH(121,$AZ$11:$AZ$4010,0)),""))</f>
        <v/>
      </c>
      <c r="AJ131" s="15" t="str">
        <f>IF(AE131="","",IFERROR(INDEX($AT$11:$AT$4010,MATCH(121,$AZ$11:$AZ$4010,0)),""))</f>
        <v/>
      </c>
      <c r="AL131" s="17" t="str">
        <f t="shared" si="20"/>
        <v/>
      </c>
      <c r="AM131" s="12" t="str">
        <f t="shared" si="21"/>
        <v/>
      </c>
      <c r="AN131" s="18" t="str">
        <f t="shared" si="22"/>
        <v/>
      </c>
      <c r="AO131" s="18" t="str">
        <f t="shared" si="23"/>
        <v/>
      </c>
      <c r="AP131" s="10" t="str">
        <f t="shared" si="24"/>
        <v/>
      </c>
      <c r="AQ131" s="10" t="str">
        <f t="shared" si="25"/>
        <v/>
      </c>
      <c r="AR131" s="19" t="str">
        <f t="shared" si="26"/>
        <v/>
      </c>
      <c r="AS131" s="20"/>
      <c r="AT131" s="19"/>
      <c r="AV131" s="21">
        <f>IF(AND($AL131&lt;&gt;"",COUNTIF($AL$11:$AL131,$AL131)=1),1,0)</f>
        <v>0</v>
      </c>
      <c r="AW131" s="21">
        <f t="shared" si="28"/>
        <v>0</v>
      </c>
      <c r="AX131" s="21" t="str">
        <f t="shared" si="27"/>
        <v/>
      </c>
      <c r="AY131" s="21" t="str">
        <f>IF(AND($AM131&lt;&gt;"",$AS131&lt;&gt;"✓"),SUMPRODUCT(($AM$11:$AM131&lt;&gt;"")*($AS$11:$AS131&lt;&gt;"✓")),"")</f>
        <v/>
      </c>
      <c r="AZ131" s="21" t="str">
        <f>IF(AND($AM131&lt;&gt;"",$AS131="✓"),SUMPRODUCT(($AM$11:$AM131&lt;&gt;"")*($AS$11:$AS131="✓")),"")</f>
        <v/>
      </c>
      <c r="BA131" s="21" t="str">
        <f>IF($AL131="","",$AL131&amp;"|"&amp;COUNTIF($AL$11:$AL131,$AL131))</f>
        <v/>
      </c>
    </row>
    <row r="132" spans="2:53" ht="15" customHeight="1" x14ac:dyDescent="0.25">
      <c r="B132" s="5" t="str">
        <f t="shared" si="15"/>
        <v/>
      </c>
      <c r="C132" s="5"/>
      <c r="D132" s="5"/>
      <c r="E132" s="5"/>
      <c r="F132" s="6"/>
      <c r="G132" s="6"/>
      <c r="H132" s="7"/>
      <c r="I132" s="8"/>
      <c r="K132" s="23" t="str">
        <f>IFERROR(INDEX($AL$11:$AL$4010,MATCH(122,$AX$11:$AX$4010,0)),"")</f>
        <v/>
      </c>
      <c r="L132" s="24" t="str">
        <f t="shared" si="16"/>
        <v/>
      </c>
      <c r="M132" s="25" t="str">
        <f t="shared" si="17"/>
        <v/>
      </c>
      <c r="N132" s="25" t="str">
        <f t="shared" si="18"/>
        <v/>
      </c>
      <c r="P132" s="26" t="str">
        <f>IFERROR(INDEX($AM$11:$AM$4010,MATCH($S$8&amp;"|"&amp;122,$BA$11:$BA$4010,0)),"")</f>
        <v/>
      </c>
      <c r="Q132" s="25" t="str">
        <f>IF(P132="","",IFERROR(INDEX($AN$11:$AN$4010,MATCH($S$8&amp;"|"&amp;122,$BA$11:$BA$4010,0)),""))</f>
        <v/>
      </c>
      <c r="R132" s="25" t="str">
        <f>IF(P132="","",IFERROR(INDEX($AO$11:$AO$4010,MATCH($S$8&amp;"|"&amp;122,$BA$11:$BA$4010,0)),""))</f>
        <v/>
      </c>
      <c r="S132" s="24" t="str">
        <f>IF(P132="","",IFERROR(INDEX($AP$11:$AP$4010,MATCH($S$8&amp;"|"&amp;122,$BA$11:$BA$4010,0)),""))</f>
        <v/>
      </c>
      <c r="T132" s="24" t="str">
        <f>IF(P132="","",IFERROR(INDEX($AQ$11:$AQ$4010,MATCH($S$8&amp;"|"&amp;122,$BA$11:$BA$4010,0)),""))</f>
        <v/>
      </c>
      <c r="U132" s="38" t="str">
        <f t="shared" si="29"/>
        <v/>
      </c>
      <c r="W132" s="28" t="str">
        <f>IF(X132="","",IFERROR(INDEX($AL$11:$AL$4010,MATCH(122,$AY$11:$AY$4010,0)),""))</f>
        <v/>
      </c>
      <c r="X132" s="26" t="str">
        <f>IFERROR(INDEX($AM$11:$AM$4010,MATCH(122,$AY$11:$AY$4010,0)),"")</f>
        <v/>
      </c>
      <c r="Y132" s="25" t="str">
        <f>IF(X132="","",IFERROR(INDEX($AN$11:$AN$4010,MATCH(122,$AY$11:$AY$4010,0)),""))</f>
        <v/>
      </c>
      <c r="Z132" s="25" t="str">
        <f>IF(X132="","",IFERROR(INDEX($AO$11:$AO$4010,MATCH(122,$AY$11:$AY$4010,0)),""))</f>
        <v/>
      </c>
      <c r="AA132" s="24" t="str">
        <f>IF(X132="","",IFERROR(INDEX($AQ$11:$AQ$4010,MATCH(122,$AY$11:$AY$4010,0)),""))</f>
        <v/>
      </c>
      <c r="AB132" s="29" t="str">
        <f>IF(X132="","",IFERROR(INDEX($AR$11:$AR$4010,MATCH(122,$AY$11:$AY$4010,0)),""))</f>
        <v/>
      </c>
      <c r="AD132" s="30" t="str">
        <f>IF(AE132="","",IFERROR(INDEX($AL$11:$AL$4010,MATCH(122,$AZ$11:$AZ$4010,0)),""))</f>
        <v/>
      </c>
      <c r="AE132" s="26" t="str">
        <f>IFERROR(INDEX($AM$11:$AM$4010,MATCH(122,$AZ$11:$AZ$4010,0)),"")</f>
        <v/>
      </c>
      <c r="AF132" s="25" t="str">
        <f>IF(AE132="","",IFERROR(INDEX($AN$11:$AN$4010,MATCH(122,$AZ$11:$AZ$4010,0)),""))</f>
        <v/>
      </c>
      <c r="AG132" s="25" t="str">
        <f>IF(AE132="","",IFERROR(INDEX($AO$11:$AO$4010,MATCH(122,$AZ$11:$AZ$4010,0)),""))</f>
        <v/>
      </c>
      <c r="AH132" s="24" t="str">
        <f>IF(AE132="","",IFERROR(INDEX($AQ$11:$AQ$4010,MATCH(122,$AZ$11:$AZ$4010,0)),""))</f>
        <v/>
      </c>
      <c r="AI132" s="29" t="str">
        <f>IF(AE132="","",IFERROR(INDEX($AR$11:$AR$4010,MATCH(122,$AZ$11:$AZ$4010,0)),""))</f>
        <v/>
      </c>
      <c r="AJ132" s="29" t="str">
        <f>IF(AE132="","",IFERROR(INDEX($AT$11:$AT$4010,MATCH(122,$AZ$11:$AZ$4010,0)),""))</f>
        <v/>
      </c>
      <c r="AL132" s="31" t="str">
        <f t="shared" si="20"/>
        <v/>
      </c>
      <c r="AM132" s="26" t="str">
        <f t="shared" si="21"/>
        <v/>
      </c>
      <c r="AN132" s="32" t="str">
        <f t="shared" si="22"/>
        <v/>
      </c>
      <c r="AO132" s="32" t="str">
        <f t="shared" si="23"/>
        <v/>
      </c>
      <c r="AP132" s="24" t="str">
        <f t="shared" si="24"/>
        <v/>
      </c>
      <c r="AQ132" s="24" t="str">
        <f t="shared" si="25"/>
        <v/>
      </c>
      <c r="AR132" s="33" t="str">
        <f t="shared" si="26"/>
        <v/>
      </c>
      <c r="AS132" s="34"/>
      <c r="AT132" s="33"/>
      <c r="AV132" s="21">
        <f>IF(AND($AL132&lt;&gt;"",COUNTIF($AL$11:$AL132,$AL132)=1),1,0)</f>
        <v>0</v>
      </c>
      <c r="AW132" s="21">
        <f t="shared" si="28"/>
        <v>0</v>
      </c>
      <c r="AX132" s="21" t="str">
        <f t="shared" si="27"/>
        <v/>
      </c>
      <c r="AY132" s="21" t="str">
        <f>IF(AND($AM132&lt;&gt;"",$AS132&lt;&gt;"✓"),SUMPRODUCT(($AM$11:$AM132&lt;&gt;"")*($AS$11:$AS132&lt;&gt;"✓")),"")</f>
        <v/>
      </c>
      <c r="AZ132" s="21" t="str">
        <f>IF(AND($AM132&lt;&gt;"",$AS132="✓"),SUMPRODUCT(($AM$11:$AM132&lt;&gt;"")*($AS$11:$AS132="✓")),"")</f>
        <v/>
      </c>
      <c r="BA132" s="21" t="str">
        <f>IF($AL132="","",$AL132&amp;"|"&amp;COUNTIF($AL$11:$AL132,$AL132))</f>
        <v/>
      </c>
    </row>
    <row r="133" spans="2:53" ht="15" customHeight="1" x14ac:dyDescent="0.25">
      <c r="B133" s="5" t="str">
        <f t="shared" si="15"/>
        <v/>
      </c>
      <c r="C133" s="5"/>
      <c r="D133" s="5"/>
      <c r="E133" s="5"/>
      <c r="F133" s="6"/>
      <c r="G133" s="6"/>
      <c r="H133" s="7"/>
      <c r="I133" s="8"/>
      <c r="K133" s="9" t="str">
        <f>IFERROR(INDEX($AL$11:$AL$4010,MATCH(123,$AX$11:$AX$4010,0)),"")</f>
        <v/>
      </c>
      <c r="L133" s="10" t="str">
        <f t="shared" si="16"/>
        <v/>
      </c>
      <c r="M133" s="11" t="str">
        <f t="shared" si="17"/>
        <v/>
      </c>
      <c r="N133" s="11" t="str">
        <f t="shared" si="18"/>
        <v/>
      </c>
      <c r="P133" s="12" t="str">
        <f>IFERROR(INDEX($AM$11:$AM$4010,MATCH($S$8&amp;"|"&amp;123,$BA$11:$BA$4010,0)),"")</f>
        <v/>
      </c>
      <c r="Q133" s="11" t="str">
        <f>IF(P133="","",IFERROR(INDEX($AN$11:$AN$4010,MATCH($S$8&amp;"|"&amp;123,$BA$11:$BA$4010,0)),""))</f>
        <v/>
      </c>
      <c r="R133" s="11" t="str">
        <f>IF(P133="","",IFERROR(INDEX($AO$11:$AO$4010,MATCH($S$8&amp;"|"&amp;123,$BA$11:$BA$4010,0)),""))</f>
        <v/>
      </c>
      <c r="S133" s="10" t="str">
        <f>IF(P133="","",IFERROR(INDEX($AP$11:$AP$4010,MATCH($S$8&amp;"|"&amp;123,$BA$11:$BA$4010,0)),""))</f>
        <v/>
      </c>
      <c r="T133" s="10" t="str">
        <f>IF(P133="","",IFERROR(INDEX($AQ$11:$AQ$4010,MATCH($S$8&amp;"|"&amp;123,$BA$11:$BA$4010,0)),""))</f>
        <v/>
      </c>
      <c r="U133" s="39" t="str">
        <f t="shared" si="29"/>
        <v/>
      </c>
      <c r="W133" s="14" t="str">
        <f>IF(X133="","",IFERROR(INDEX($AL$11:$AL$4010,MATCH(123,$AY$11:$AY$4010,0)),""))</f>
        <v/>
      </c>
      <c r="X133" s="12" t="str">
        <f>IFERROR(INDEX($AM$11:$AM$4010,MATCH(123,$AY$11:$AY$4010,0)),"")</f>
        <v/>
      </c>
      <c r="Y133" s="11" t="str">
        <f>IF(X133="","",IFERROR(INDEX($AN$11:$AN$4010,MATCH(123,$AY$11:$AY$4010,0)),""))</f>
        <v/>
      </c>
      <c r="Z133" s="11" t="str">
        <f>IF(X133="","",IFERROR(INDEX($AO$11:$AO$4010,MATCH(123,$AY$11:$AY$4010,0)),""))</f>
        <v/>
      </c>
      <c r="AA133" s="10" t="str">
        <f>IF(X133="","",IFERROR(INDEX($AQ$11:$AQ$4010,MATCH(123,$AY$11:$AY$4010,0)),""))</f>
        <v/>
      </c>
      <c r="AB133" s="15" t="str">
        <f>IF(X133="","",IFERROR(INDEX($AR$11:$AR$4010,MATCH(123,$AY$11:$AY$4010,0)),""))</f>
        <v/>
      </c>
      <c r="AD133" s="16" t="str">
        <f>IF(AE133="","",IFERROR(INDEX($AL$11:$AL$4010,MATCH(123,$AZ$11:$AZ$4010,0)),""))</f>
        <v/>
      </c>
      <c r="AE133" s="12" t="str">
        <f>IFERROR(INDEX($AM$11:$AM$4010,MATCH(123,$AZ$11:$AZ$4010,0)),"")</f>
        <v/>
      </c>
      <c r="AF133" s="11" t="str">
        <f>IF(AE133="","",IFERROR(INDEX($AN$11:$AN$4010,MATCH(123,$AZ$11:$AZ$4010,0)),""))</f>
        <v/>
      </c>
      <c r="AG133" s="11" t="str">
        <f>IF(AE133="","",IFERROR(INDEX($AO$11:$AO$4010,MATCH(123,$AZ$11:$AZ$4010,0)),""))</f>
        <v/>
      </c>
      <c r="AH133" s="10" t="str">
        <f>IF(AE133="","",IFERROR(INDEX($AQ$11:$AQ$4010,MATCH(123,$AZ$11:$AZ$4010,0)),""))</f>
        <v/>
      </c>
      <c r="AI133" s="15" t="str">
        <f>IF(AE133="","",IFERROR(INDEX($AR$11:$AR$4010,MATCH(123,$AZ$11:$AZ$4010,0)),""))</f>
        <v/>
      </c>
      <c r="AJ133" s="15" t="str">
        <f>IF(AE133="","",IFERROR(INDEX($AT$11:$AT$4010,MATCH(123,$AZ$11:$AZ$4010,0)),""))</f>
        <v/>
      </c>
      <c r="AL133" s="17" t="str">
        <f t="shared" si="20"/>
        <v/>
      </c>
      <c r="AM133" s="12" t="str">
        <f t="shared" si="21"/>
        <v/>
      </c>
      <c r="AN133" s="18" t="str">
        <f t="shared" si="22"/>
        <v/>
      </c>
      <c r="AO133" s="18" t="str">
        <f t="shared" si="23"/>
        <v/>
      </c>
      <c r="AP133" s="10" t="str">
        <f t="shared" si="24"/>
        <v/>
      </c>
      <c r="AQ133" s="10" t="str">
        <f t="shared" si="25"/>
        <v/>
      </c>
      <c r="AR133" s="19" t="str">
        <f t="shared" si="26"/>
        <v/>
      </c>
      <c r="AS133" s="20"/>
      <c r="AT133" s="19"/>
      <c r="AV133" s="21">
        <f>IF(AND($AL133&lt;&gt;"",COUNTIF($AL$11:$AL133,$AL133)=1),1,0)</f>
        <v>0</v>
      </c>
      <c r="AW133" s="21">
        <f t="shared" si="28"/>
        <v>0</v>
      </c>
      <c r="AX133" s="21" t="str">
        <f t="shared" si="27"/>
        <v/>
      </c>
      <c r="AY133" s="21" t="str">
        <f>IF(AND($AM133&lt;&gt;"",$AS133&lt;&gt;"✓"),SUMPRODUCT(($AM$11:$AM133&lt;&gt;"")*($AS$11:$AS133&lt;&gt;"✓")),"")</f>
        <v/>
      </c>
      <c r="AZ133" s="21" t="str">
        <f>IF(AND($AM133&lt;&gt;"",$AS133="✓"),SUMPRODUCT(($AM$11:$AM133&lt;&gt;"")*($AS$11:$AS133="✓")),"")</f>
        <v/>
      </c>
      <c r="BA133" s="21" t="str">
        <f>IF($AL133="","",$AL133&amp;"|"&amp;COUNTIF($AL$11:$AL133,$AL133))</f>
        <v/>
      </c>
    </row>
    <row r="134" spans="2:53" ht="15" customHeight="1" x14ac:dyDescent="0.25">
      <c r="B134" s="5" t="str">
        <f t="shared" si="15"/>
        <v/>
      </c>
      <c r="C134" s="5"/>
      <c r="D134" s="5"/>
      <c r="E134" s="5"/>
      <c r="F134" s="6"/>
      <c r="G134" s="6"/>
      <c r="H134" s="7"/>
      <c r="I134" s="8"/>
      <c r="K134" s="23" t="str">
        <f>IFERROR(INDEX($AL$11:$AL$4010,MATCH(124,$AX$11:$AX$4010,0)),"")</f>
        <v/>
      </c>
      <c r="L134" s="24" t="str">
        <f t="shared" si="16"/>
        <v/>
      </c>
      <c r="M134" s="25" t="str">
        <f t="shared" si="17"/>
        <v/>
      </c>
      <c r="N134" s="25" t="str">
        <f t="shared" si="18"/>
        <v/>
      </c>
      <c r="P134" s="26" t="str">
        <f>IFERROR(INDEX($AM$11:$AM$4010,MATCH($S$8&amp;"|"&amp;124,$BA$11:$BA$4010,0)),"")</f>
        <v/>
      </c>
      <c r="Q134" s="25" t="str">
        <f>IF(P134="","",IFERROR(INDEX($AN$11:$AN$4010,MATCH($S$8&amp;"|"&amp;124,$BA$11:$BA$4010,0)),""))</f>
        <v/>
      </c>
      <c r="R134" s="25" t="str">
        <f>IF(P134="","",IFERROR(INDEX($AO$11:$AO$4010,MATCH($S$8&amp;"|"&amp;124,$BA$11:$BA$4010,0)),""))</f>
        <v/>
      </c>
      <c r="S134" s="24" t="str">
        <f>IF(P134="","",IFERROR(INDEX($AP$11:$AP$4010,MATCH($S$8&amp;"|"&amp;124,$BA$11:$BA$4010,0)),""))</f>
        <v/>
      </c>
      <c r="T134" s="24" t="str">
        <f>IF(P134="","",IFERROR(INDEX($AQ$11:$AQ$4010,MATCH($S$8&amp;"|"&amp;124,$BA$11:$BA$4010,0)),""))</f>
        <v/>
      </c>
      <c r="U134" s="38" t="str">
        <f t="shared" si="29"/>
        <v/>
      </c>
      <c r="W134" s="28" t="str">
        <f>IF(X134="","",IFERROR(INDEX($AL$11:$AL$4010,MATCH(124,$AY$11:$AY$4010,0)),""))</f>
        <v/>
      </c>
      <c r="X134" s="26" t="str">
        <f>IFERROR(INDEX($AM$11:$AM$4010,MATCH(124,$AY$11:$AY$4010,0)),"")</f>
        <v/>
      </c>
      <c r="Y134" s="25" t="str">
        <f>IF(X134="","",IFERROR(INDEX($AN$11:$AN$4010,MATCH(124,$AY$11:$AY$4010,0)),""))</f>
        <v/>
      </c>
      <c r="Z134" s="25" t="str">
        <f>IF(X134="","",IFERROR(INDEX($AO$11:$AO$4010,MATCH(124,$AY$11:$AY$4010,0)),""))</f>
        <v/>
      </c>
      <c r="AA134" s="24" t="str">
        <f>IF(X134="","",IFERROR(INDEX($AQ$11:$AQ$4010,MATCH(124,$AY$11:$AY$4010,0)),""))</f>
        <v/>
      </c>
      <c r="AB134" s="29" t="str">
        <f>IF(X134="","",IFERROR(INDEX($AR$11:$AR$4010,MATCH(124,$AY$11:$AY$4010,0)),""))</f>
        <v/>
      </c>
      <c r="AD134" s="30" t="str">
        <f>IF(AE134="","",IFERROR(INDEX($AL$11:$AL$4010,MATCH(124,$AZ$11:$AZ$4010,0)),""))</f>
        <v/>
      </c>
      <c r="AE134" s="26" t="str">
        <f>IFERROR(INDEX($AM$11:$AM$4010,MATCH(124,$AZ$11:$AZ$4010,0)),"")</f>
        <v/>
      </c>
      <c r="AF134" s="25" t="str">
        <f>IF(AE134="","",IFERROR(INDEX($AN$11:$AN$4010,MATCH(124,$AZ$11:$AZ$4010,0)),""))</f>
        <v/>
      </c>
      <c r="AG134" s="25" t="str">
        <f>IF(AE134="","",IFERROR(INDEX($AO$11:$AO$4010,MATCH(124,$AZ$11:$AZ$4010,0)),""))</f>
        <v/>
      </c>
      <c r="AH134" s="24" t="str">
        <f>IF(AE134="","",IFERROR(INDEX($AQ$11:$AQ$4010,MATCH(124,$AZ$11:$AZ$4010,0)),""))</f>
        <v/>
      </c>
      <c r="AI134" s="29" t="str">
        <f>IF(AE134="","",IFERROR(INDEX($AR$11:$AR$4010,MATCH(124,$AZ$11:$AZ$4010,0)),""))</f>
        <v/>
      </c>
      <c r="AJ134" s="29" t="str">
        <f>IF(AE134="","",IFERROR(INDEX($AT$11:$AT$4010,MATCH(124,$AZ$11:$AZ$4010,0)),""))</f>
        <v/>
      </c>
      <c r="AL134" s="31" t="str">
        <f t="shared" si="20"/>
        <v/>
      </c>
      <c r="AM134" s="26" t="str">
        <f t="shared" si="21"/>
        <v/>
      </c>
      <c r="AN134" s="32" t="str">
        <f t="shared" si="22"/>
        <v/>
      </c>
      <c r="AO134" s="32" t="str">
        <f t="shared" si="23"/>
        <v/>
      </c>
      <c r="AP134" s="24" t="str">
        <f t="shared" si="24"/>
        <v/>
      </c>
      <c r="AQ134" s="24" t="str">
        <f t="shared" si="25"/>
        <v/>
      </c>
      <c r="AR134" s="33" t="str">
        <f t="shared" si="26"/>
        <v/>
      </c>
      <c r="AS134" s="34"/>
      <c r="AT134" s="33"/>
      <c r="AV134" s="21">
        <f>IF(AND($AL134&lt;&gt;"",COUNTIF($AL$11:$AL134,$AL134)=1),1,0)</f>
        <v>0</v>
      </c>
      <c r="AW134" s="21">
        <f t="shared" si="28"/>
        <v>0</v>
      </c>
      <c r="AX134" s="21" t="str">
        <f t="shared" si="27"/>
        <v/>
      </c>
      <c r="AY134" s="21" t="str">
        <f>IF(AND($AM134&lt;&gt;"",$AS134&lt;&gt;"✓"),SUMPRODUCT(($AM$11:$AM134&lt;&gt;"")*($AS$11:$AS134&lt;&gt;"✓")),"")</f>
        <v/>
      </c>
      <c r="AZ134" s="21" t="str">
        <f>IF(AND($AM134&lt;&gt;"",$AS134="✓"),SUMPRODUCT(($AM$11:$AM134&lt;&gt;"")*($AS$11:$AS134="✓")),"")</f>
        <v/>
      </c>
      <c r="BA134" s="21" t="str">
        <f>IF($AL134="","",$AL134&amp;"|"&amp;COUNTIF($AL$11:$AL134,$AL134))</f>
        <v/>
      </c>
    </row>
    <row r="135" spans="2:53" ht="15" customHeight="1" x14ac:dyDescent="0.25">
      <c r="B135" s="5" t="str">
        <f t="shared" si="15"/>
        <v/>
      </c>
      <c r="C135" s="5"/>
      <c r="D135" s="5"/>
      <c r="E135" s="5"/>
      <c r="F135" s="6"/>
      <c r="G135" s="6"/>
      <c r="H135" s="7"/>
      <c r="I135" s="8"/>
      <c r="K135" s="9" t="str">
        <f>IFERROR(INDEX($AL$11:$AL$4010,MATCH(125,$AX$11:$AX$4010,0)),"")</f>
        <v/>
      </c>
      <c r="L135" s="10" t="str">
        <f t="shared" si="16"/>
        <v/>
      </c>
      <c r="M135" s="11" t="str">
        <f t="shared" si="17"/>
        <v/>
      </c>
      <c r="N135" s="11" t="str">
        <f t="shared" si="18"/>
        <v/>
      </c>
      <c r="P135" s="12" t="str">
        <f>IFERROR(INDEX($AM$11:$AM$4010,MATCH($S$8&amp;"|"&amp;125,$BA$11:$BA$4010,0)),"")</f>
        <v/>
      </c>
      <c r="Q135" s="11" t="str">
        <f>IF(P135="","",IFERROR(INDEX($AN$11:$AN$4010,MATCH($S$8&amp;"|"&amp;125,$BA$11:$BA$4010,0)),""))</f>
        <v/>
      </c>
      <c r="R135" s="11" t="str">
        <f>IF(P135="","",IFERROR(INDEX($AO$11:$AO$4010,MATCH($S$8&amp;"|"&amp;125,$BA$11:$BA$4010,0)),""))</f>
        <v/>
      </c>
      <c r="S135" s="10" t="str">
        <f>IF(P135="","",IFERROR(INDEX($AP$11:$AP$4010,MATCH($S$8&amp;"|"&amp;125,$BA$11:$BA$4010,0)),""))</f>
        <v/>
      </c>
      <c r="T135" s="10" t="str">
        <f>IF(P135="","",IFERROR(INDEX($AQ$11:$AQ$4010,MATCH($S$8&amp;"|"&amp;125,$BA$11:$BA$4010,0)),""))</f>
        <v/>
      </c>
      <c r="U135" s="39" t="str">
        <f t="shared" si="29"/>
        <v/>
      </c>
      <c r="W135" s="14" t="str">
        <f>IF(X135="","",IFERROR(INDEX($AL$11:$AL$4010,MATCH(125,$AY$11:$AY$4010,0)),""))</f>
        <v/>
      </c>
      <c r="X135" s="12" t="str">
        <f>IFERROR(INDEX($AM$11:$AM$4010,MATCH(125,$AY$11:$AY$4010,0)),"")</f>
        <v/>
      </c>
      <c r="Y135" s="11" t="str">
        <f>IF(X135="","",IFERROR(INDEX($AN$11:$AN$4010,MATCH(125,$AY$11:$AY$4010,0)),""))</f>
        <v/>
      </c>
      <c r="Z135" s="11" t="str">
        <f>IF(X135="","",IFERROR(INDEX($AO$11:$AO$4010,MATCH(125,$AY$11:$AY$4010,0)),""))</f>
        <v/>
      </c>
      <c r="AA135" s="10" t="str">
        <f>IF(X135="","",IFERROR(INDEX($AQ$11:$AQ$4010,MATCH(125,$AY$11:$AY$4010,0)),""))</f>
        <v/>
      </c>
      <c r="AB135" s="15" t="str">
        <f>IF(X135="","",IFERROR(INDEX($AR$11:$AR$4010,MATCH(125,$AY$11:$AY$4010,0)),""))</f>
        <v/>
      </c>
      <c r="AD135" s="16" t="str">
        <f>IF(AE135="","",IFERROR(INDEX($AL$11:$AL$4010,MATCH(125,$AZ$11:$AZ$4010,0)),""))</f>
        <v/>
      </c>
      <c r="AE135" s="12" t="str">
        <f>IFERROR(INDEX($AM$11:$AM$4010,MATCH(125,$AZ$11:$AZ$4010,0)),"")</f>
        <v/>
      </c>
      <c r="AF135" s="11" t="str">
        <f>IF(AE135="","",IFERROR(INDEX($AN$11:$AN$4010,MATCH(125,$AZ$11:$AZ$4010,0)),""))</f>
        <v/>
      </c>
      <c r="AG135" s="11" t="str">
        <f>IF(AE135="","",IFERROR(INDEX($AO$11:$AO$4010,MATCH(125,$AZ$11:$AZ$4010,0)),""))</f>
        <v/>
      </c>
      <c r="AH135" s="10" t="str">
        <f>IF(AE135="","",IFERROR(INDEX($AQ$11:$AQ$4010,MATCH(125,$AZ$11:$AZ$4010,0)),""))</f>
        <v/>
      </c>
      <c r="AI135" s="15" t="str">
        <f>IF(AE135="","",IFERROR(INDEX($AR$11:$AR$4010,MATCH(125,$AZ$11:$AZ$4010,0)),""))</f>
        <v/>
      </c>
      <c r="AJ135" s="15" t="str">
        <f>IF(AE135="","",IFERROR(INDEX($AT$11:$AT$4010,MATCH(125,$AZ$11:$AZ$4010,0)),""))</f>
        <v/>
      </c>
      <c r="AL135" s="17" t="str">
        <f t="shared" si="20"/>
        <v/>
      </c>
      <c r="AM135" s="12" t="str">
        <f t="shared" si="21"/>
        <v/>
      </c>
      <c r="AN135" s="18" t="str">
        <f t="shared" si="22"/>
        <v/>
      </c>
      <c r="AO135" s="18" t="str">
        <f t="shared" si="23"/>
        <v/>
      </c>
      <c r="AP135" s="10" t="str">
        <f t="shared" si="24"/>
        <v/>
      </c>
      <c r="AQ135" s="10" t="str">
        <f t="shared" si="25"/>
        <v/>
      </c>
      <c r="AR135" s="19" t="str">
        <f t="shared" si="26"/>
        <v/>
      </c>
      <c r="AS135" s="20"/>
      <c r="AT135" s="19"/>
      <c r="AV135" s="21">
        <f>IF(AND($AL135&lt;&gt;"",COUNTIF($AL$11:$AL135,$AL135)=1),1,0)</f>
        <v>0</v>
      </c>
      <c r="AW135" s="21">
        <f t="shared" si="28"/>
        <v>0</v>
      </c>
      <c r="AX135" s="21" t="str">
        <f t="shared" si="27"/>
        <v/>
      </c>
      <c r="AY135" s="21" t="str">
        <f>IF(AND($AM135&lt;&gt;"",$AS135&lt;&gt;"✓"),SUMPRODUCT(($AM$11:$AM135&lt;&gt;"")*($AS$11:$AS135&lt;&gt;"✓")),"")</f>
        <v/>
      </c>
      <c r="AZ135" s="21" t="str">
        <f>IF(AND($AM135&lt;&gt;"",$AS135="✓"),SUMPRODUCT(($AM$11:$AM135&lt;&gt;"")*($AS$11:$AS135="✓")),"")</f>
        <v/>
      </c>
      <c r="BA135" s="21" t="str">
        <f>IF($AL135="","",$AL135&amp;"|"&amp;COUNTIF($AL$11:$AL135,$AL135))</f>
        <v/>
      </c>
    </row>
    <row r="136" spans="2:53" ht="15" customHeight="1" x14ac:dyDescent="0.25">
      <c r="B136" s="5" t="str">
        <f t="shared" si="15"/>
        <v/>
      </c>
      <c r="C136" s="5"/>
      <c r="D136" s="5"/>
      <c r="E136" s="5"/>
      <c r="F136" s="6"/>
      <c r="G136" s="6"/>
      <c r="H136" s="7"/>
      <c r="I136" s="8"/>
      <c r="K136" s="23" t="str">
        <f>IFERROR(INDEX($AL$11:$AL$4010,MATCH(126,$AX$11:$AX$4010,0)),"")</f>
        <v/>
      </c>
      <c r="L136" s="24" t="str">
        <f t="shared" si="16"/>
        <v/>
      </c>
      <c r="M136" s="25" t="str">
        <f t="shared" si="17"/>
        <v/>
      </c>
      <c r="N136" s="25" t="str">
        <f t="shared" si="18"/>
        <v/>
      </c>
      <c r="P136" s="26" t="str">
        <f>IFERROR(INDEX($AM$11:$AM$4010,MATCH($S$8&amp;"|"&amp;126,$BA$11:$BA$4010,0)),"")</f>
        <v/>
      </c>
      <c r="Q136" s="25" t="str">
        <f>IF(P136="","",IFERROR(INDEX($AN$11:$AN$4010,MATCH($S$8&amp;"|"&amp;126,$BA$11:$BA$4010,0)),""))</f>
        <v/>
      </c>
      <c r="R136" s="25" t="str">
        <f>IF(P136="","",IFERROR(INDEX($AO$11:$AO$4010,MATCH($S$8&amp;"|"&amp;126,$BA$11:$BA$4010,0)),""))</f>
        <v/>
      </c>
      <c r="S136" s="24" t="str">
        <f>IF(P136="","",IFERROR(INDEX($AP$11:$AP$4010,MATCH($S$8&amp;"|"&amp;126,$BA$11:$BA$4010,0)),""))</f>
        <v/>
      </c>
      <c r="T136" s="24" t="str">
        <f>IF(P136="","",IFERROR(INDEX($AQ$11:$AQ$4010,MATCH($S$8&amp;"|"&amp;126,$BA$11:$BA$4010,0)),""))</f>
        <v/>
      </c>
      <c r="U136" s="38" t="str">
        <f t="shared" si="29"/>
        <v/>
      </c>
      <c r="W136" s="28" t="str">
        <f>IF(X136="","",IFERROR(INDEX($AL$11:$AL$4010,MATCH(126,$AY$11:$AY$4010,0)),""))</f>
        <v/>
      </c>
      <c r="X136" s="26" t="str">
        <f>IFERROR(INDEX($AM$11:$AM$4010,MATCH(126,$AY$11:$AY$4010,0)),"")</f>
        <v/>
      </c>
      <c r="Y136" s="25" t="str">
        <f>IF(X136="","",IFERROR(INDEX($AN$11:$AN$4010,MATCH(126,$AY$11:$AY$4010,0)),""))</f>
        <v/>
      </c>
      <c r="Z136" s="25" t="str">
        <f>IF(X136="","",IFERROR(INDEX($AO$11:$AO$4010,MATCH(126,$AY$11:$AY$4010,0)),""))</f>
        <v/>
      </c>
      <c r="AA136" s="24" t="str">
        <f>IF(X136="","",IFERROR(INDEX($AQ$11:$AQ$4010,MATCH(126,$AY$11:$AY$4010,0)),""))</f>
        <v/>
      </c>
      <c r="AB136" s="29" t="str">
        <f>IF(X136="","",IFERROR(INDEX($AR$11:$AR$4010,MATCH(126,$AY$11:$AY$4010,0)),""))</f>
        <v/>
      </c>
      <c r="AD136" s="30" t="str">
        <f>IF(AE136="","",IFERROR(INDEX($AL$11:$AL$4010,MATCH(126,$AZ$11:$AZ$4010,0)),""))</f>
        <v/>
      </c>
      <c r="AE136" s="26" t="str">
        <f>IFERROR(INDEX($AM$11:$AM$4010,MATCH(126,$AZ$11:$AZ$4010,0)),"")</f>
        <v/>
      </c>
      <c r="AF136" s="25" t="str">
        <f>IF(AE136="","",IFERROR(INDEX($AN$11:$AN$4010,MATCH(126,$AZ$11:$AZ$4010,0)),""))</f>
        <v/>
      </c>
      <c r="AG136" s="25" t="str">
        <f>IF(AE136="","",IFERROR(INDEX($AO$11:$AO$4010,MATCH(126,$AZ$11:$AZ$4010,0)),""))</f>
        <v/>
      </c>
      <c r="AH136" s="24" t="str">
        <f>IF(AE136="","",IFERROR(INDEX($AQ$11:$AQ$4010,MATCH(126,$AZ$11:$AZ$4010,0)),""))</f>
        <v/>
      </c>
      <c r="AI136" s="29" t="str">
        <f>IF(AE136="","",IFERROR(INDEX($AR$11:$AR$4010,MATCH(126,$AZ$11:$AZ$4010,0)),""))</f>
        <v/>
      </c>
      <c r="AJ136" s="29" t="str">
        <f>IF(AE136="","",IFERROR(INDEX($AT$11:$AT$4010,MATCH(126,$AZ$11:$AZ$4010,0)),""))</f>
        <v/>
      </c>
      <c r="AL136" s="31" t="str">
        <f t="shared" si="20"/>
        <v/>
      </c>
      <c r="AM136" s="26" t="str">
        <f t="shared" si="21"/>
        <v/>
      </c>
      <c r="AN136" s="32" t="str">
        <f t="shared" si="22"/>
        <v/>
      </c>
      <c r="AO136" s="32" t="str">
        <f t="shared" si="23"/>
        <v/>
      </c>
      <c r="AP136" s="24" t="str">
        <f t="shared" si="24"/>
        <v/>
      </c>
      <c r="AQ136" s="24" t="str">
        <f t="shared" si="25"/>
        <v/>
      </c>
      <c r="AR136" s="33" t="str">
        <f t="shared" si="26"/>
        <v/>
      </c>
      <c r="AS136" s="34"/>
      <c r="AT136" s="33"/>
      <c r="AV136" s="21">
        <f>IF(AND($AL136&lt;&gt;"",COUNTIF($AL$11:$AL136,$AL136)=1),1,0)</f>
        <v>0</v>
      </c>
      <c r="AW136" s="21">
        <f t="shared" si="28"/>
        <v>0</v>
      </c>
      <c r="AX136" s="21" t="str">
        <f t="shared" si="27"/>
        <v/>
      </c>
      <c r="AY136" s="21" t="str">
        <f>IF(AND($AM136&lt;&gt;"",$AS136&lt;&gt;"✓"),SUMPRODUCT(($AM$11:$AM136&lt;&gt;"")*($AS$11:$AS136&lt;&gt;"✓")),"")</f>
        <v/>
      </c>
      <c r="AZ136" s="21" t="str">
        <f>IF(AND($AM136&lt;&gt;"",$AS136="✓"),SUMPRODUCT(($AM$11:$AM136&lt;&gt;"")*($AS$11:$AS136="✓")),"")</f>
        <v/>
      </c>
      <c r="BA136" s="21" t="str">
        <f>IF($AL136="","",$AL136&amp;"|"&amp;COUNTIF($AL$11:$AL136,$AL136))</f>
        <v/>
      </c>
    </row>
    <row r="137" spans="2:53" ht="15" customHeight="1" x14ac:dyDescent="0.25">
      <c r="B137" s="5" t="str">
        <f t="shared" si="15"/>
        <v/>
      </c>
      <c r="C137" s="5"/>
      <c r="D137" s="5"/>
      <c r="E137" s="5"/>
      <c r="F137" s="6"/>
      <c r="G137" s="6"/>
      <c r="H137" s="7"/>
      <c r="I137" s="8"/>
      <c r="K137" s="9" t="str">
        <f>IFERROR(INDEX($AL$11:$AL$4010,MATCH(127,$AX$11:$AX$4010,0)),"")</f>
        <v/>
      </c>
      <c r="L137" s="10" t="str">
        <f t="shared" si="16"/>
        <v/>
      </c>
      <c r="M137" s="11" t="str">
        <f t="shared" si="17"/>
        <v/>
      </c>
      <c r="N137" s="11" t="str">
        <f t="shared" si="18"/>
        <v/>
      </c>
      <c r="P137" s="12" t="str">
        <f>IFERROR(INDEX($AM$11:$AM$4010,MATCH($S$8&amp;"|"&amp;127,$BA$11:$BA$4010,0)),"")</f>
        <v/>
      </c>
      <c r="Q137" s="11" t="str">
        <f>IF(P137="","",IFERROR(INDEX($AN$11:$AN$4010,MATCH($S$8&amp;"|"&amp;127,$BA$11:$BA$4010,0)),""))</f>
        <v/>
      </c>
      <c r="R137" s="11" t="str">
        <f>IF(P137="","",IFERROR(INDEX($AO$11:$AO$4010,MATCH($S$8&amp;"|"&amp;127,$BA$11:$BA$4010,0)),""))</f>
        <v/>
      </c>
      <c r="S137" s="10" t="str">
        <f>IF(P137="","",IFERROR(INDEX($AP$11:$AP$4010,MATCH($S$8&amp;"|"&amp;127,$BA$11:$BA$4010,0)),""))</f>
        <v/>
      </c>
      <c r="T137" s="10" t="str">
        <f>IF(P137="","",IFERROR(INDEX($AQ$11:$AQ$4010,MATCH($S$8&amp;"|"&amp;127,$BA$11:$BA$4010,0)),""))</f>
        <v/>
      </c>
      <c r="U137" s="39" t="str">
        <f t="shared" si="29"/>
        <v/>
      </c>
      <c r="W137" s="14" t="str">
        <f>IF(X137="","",IFERROR(INDEX($AL$11:$AL$4010,MATCH(127,$AY$11:$AY$4010,0)),""))</f>
        <v/>
      </c>
      <c r="X137" s="12" t="str">
        <f>IFERROR(INDEX($AM$11:$AM$4010,MATCH(127,$AY$11:$AY$4010,0)),"")</f>
        <v/>
      </c>
      <c r="Y137" s="11" t="str">
        <f>IF(X137="","",IFERROR(INDEX($AN$11:$AN$4010,MATCH(127,$AY$11:$AY$4010,0)),""))</f>
        <v/>
      </c>
      <c r="Z137" s="11" t="str">
        <f>IF(X137="","",IFERROR(INDEX($AO$11:$AO$4010,MATCH(127,$AY$11:$AY$4010,0)),""))</f>
        <v/>
      </c>
      <c r="AA137" s="10" t="str">
        <f>IF(X137="","",IFERROR(INDEX($AQ$11:$AQ$4010,MATCH(127,$AY$11:$AY$4010,0)),""))</f>
        <v/>
      </c>
      <c r="AB137" s="15" t="str">
        <f>IF(X137="","",IFERROR(INDEX($AR$11:$AR$4010,MATCH(127,$AY$11:$AY$4010,0)),""))</f>
        <v/>
      </c>
      <c r="AD137" s="16" t="str">
        <f>IF(AE137="","",IFERROR(INDEX($AL$11:$AL$4010,MATCH(127,$AZ$11:$AZ$4010,0)),""))</f>
        <v/>
      </c>
      <c r="AE137" s="12" t="str">
        <f>IFERROR(INDEX($AM$11:$AM$4010,MATCH(127,$AZ$11:$AZ$4010,0)),"")</f>
        <v/>
      </c>
      <c r="AF137" s="11" t="str">
        <f>IF(AE137="","",IFERROR(INDEX($AN$11:$AN$4010,MATCH(127,$AZ$11:$AZ$4010,0)),""))</f>
        <v/>
      </c>
      <c r="AG137" s="11" t="str">
        <f>IF(AE137="","",IFERROR(INDEX($AO$11:$AO$4010,MATCH(127,$AZ$11:$AZ$4010,0)),""))</f>
        <v/>
      </c>
      <c r="AH137" s="10" t="str">
        <f>IF(AE137="","",IFERROR(INDEX($AQ$11:$AQ$4010,MATCH(127,$AZ$11:$AZ$4010,0)),""))</f>
        <v/>
      </c>
      <c r="AI137" s="15" t="str">
        <f>IF(AE137="","",IFERROR(INDEX($AR$11:$AR$4010,MATCH(127,$AZ$11:$AZ$4010,0)),""))</f>
        <v/>
      </c>
      <c r="AJ137" s="15" t="str">
        <f>IF(AE137="","",IFERROR(INDEX($AT$11:$AT$4010,MATCH(127,$AZ$11:$AZ$4010,0)),""))</f>
        <v/>
      </c>
      <c r="AL137" s="17" t="str">
        <f t="shared" si="20"/>
        <v/>
      </c>
      <c r="AM137" s="12" t="str">
        <f t="shared" si="21"/>
        <v/>
      </c>
      <c r="AN137" s="18" t="str">
        <f t="shared" si="22"/>
        <v/>
      </c>
      <c r="AO137" s="18" t="str">
        <f t="shared" si="23"/>
        <v/>
      </c>
      <c r="AP137" s="10" t="str">
        <f t="shared" si="24"/>
        <v/>
      </c>
      <c r="AQ137" s="10" t="str">
        <f t="shared" si="25"/>
        <v/>
      </c>
      <c r="AR137" s="19" t="str">
        <f t="shared" si="26"/>
        <v/>
      </c>
      <c r="AS137" s="20"/>
      <c r="AT137" s="19"/>
      <c r="AV137" s="21">
        <f>IF(AND($AL137&lt;&gt;"",COUNTIF($AL$11:$AL137,$AL137)=1),1,0)</f>
        <v>0</v>
      </c>
      <c r="AW137" s="21">
        <f t="shared" si="28"/>
        <v>0</v>
      </c>
      <c r="AX137" s="21" t="str">
        <f t="shared" si="27"/>
        <v/>
      </c>
      <c r="AY137" s="21" t="str">
        <f>IF(AND($AM137&lt;&gt;"",$AS137&lt;&gt;"✓"),SUMPRODUCT(($AM$11:$AM137&lt;&gt;"")*($AS$11:$AS137&lt;&gt;"✓")),"")</f>
        <v/>
      </c>
      <c r="AZ137" s="21" t="str">
        <f>IF(AND($AM137&lt;&gt;"",$AS137="✓"),SUMPRODUCT(($AM$11:$AM137&lt;&gt;"")*($AS$11:$AS137="✓")),"")</f>
        <v/>
      </c>
      <c r="BA137" s="21" t="str">
        <f>IF($AL137="","",$AL137&amp;"|"&amp;COUNTIF($AL$11:$AL137,$AL137))</f>
        <v/>
      </c>
    </row>
    <row r="138" spans="2:53" ht="15" customHeight="1" x14ac:dyDescent="0.25">
      <c r="B138" s="5" t="str">
        <f t="shared" si="15"/>
        <v/>
      </c>
      <c r="C138" s="5"/>
      <c r="D138" s="5"/>
      <c r="E138" s="5"/>
      <c r="F138" s="6"/>
      <c r="G138" s="6"/>
      <c r="H138" s="7"/>
      <c r="I138" s="8"/>
      <c r="K138" s="23" t="str">
        <f>IFERROR(INDEX($AL$11:$AL$4010,MATCH(128,$AX$11:$AX$4010,0)),"")</f>
        <v/>
      </c>
      <c r="L138" s="24" t="str">
        <f t="shared" si="16"/>
        <v/>
      </c>
      <c r="M138" s="25" t="str">
        <f t="shared" si="17"/>
        <v/>
      </c>
      <c r="N138" s="25" t="str">
        <f t="shared" si="18"/>
        <v/>
      </c>
      <c r="P138" s="26" t="str">
        <f>IFERROR(INDEX($AM$11:$AM$4010,MATCH($S$8&amp;"|"&amp;128,$BA$11:$BA$4010,0)),"")</f>
        <v/>
      </c>
      <c r="Q138" s="25" t="str">
        <f>IF(P138="","",IFERROR(INDEX($AN$11:$AN$4010,MATCH($S$8&amp;"|"&amp;128,$BA$11:$BA$4010,0)),""))</f>
        <v/>
      </c>
      <c r="R138" s="25" t="str">
        <f>IF(P138="","",IFERROR(INDEX($AO$11:$AO$4010,MATCH($S$8&amp;"|"&amp;128,$BA$11:$BA$4010,0)),""))</f>
        <v/>
      </c>
      <c r="S138" s="24" t="str">
        <f>IF(P138="","",IFERROR(INDEX($AP$11:$AP$4010,MATCH($S$8&amp;"|"&amp;128,$BA$11:$BA$4010,0)),""))</f>
        <v/>
      </c>
      <c r="T138" s="24" t="str">
        <f>IF(P138="","",IFERROR(INDEX($AQ$11:$AQ$4010,MATCH($S$8&amp;"|"&amp;128,$BA$11:$BA$4010,0)),""))</f>
        <v/>
      </c>
      <c r="U138" s="38" t="str">
        <f t="shared" si="29"/>
        <v/>
      </c>
      <c r="W138" s="28" t="str">
        <f>IF(X138="","",IFERROR(INDEX($AL$11:$AL$4010,MATCH(128,$AY$11:$AY$4010,0)),""))</f>
        <v/>
      </c>
      <c r="X138" s="26" t="str">
        <f>IFERROR(INDEX($AM$11:$AM$4010,MATCH(128,$AY$11:$AY$4010,0)),"")</f>
        <v/>
      </c>
      <c r="Y138" s="25" t="str">
        <f>IF(X138="","",IFERROR(INDEX($AN$11:$AN$4010,MATCH(128,$AY$11:$AY$4010,0)),""))</f>
        <v/>
      </c>
      <c r="Z138" s="25" t="str">
        <f>IF(X138="","",IFERROR(INDEX($AO$11:$AO$4010,MATCH(128,$AY$11:$AY$4010,0)),""))</f>
        <v/>
      </c>
      <c r="AA138" s="24" t="str">
        <f>IF(X138="","",IFERROR(INDEX($AQ$11:$AQ$4010,MATCH(128,$AY$11:$AY$4010,0)),""))</f>
        <v/>
      </c>
      <c r="AB138" s="29" t="str">
        <f>IF(X138="","",IFERROR(INDEX($AR$11:$AR$4010,MATCH(128,$AY$11:$AY$4010,0)),""))</f>
        <v/>
      </c>
      <c r="AD138" s="30" t="str">
        <f>IF(AE138="","",IFERROR(INDEX($AL$11:$AL$4010,MATCH(128,$AZ$11:$AZ$4010,0)),""))</f>
        <v/>
      </c>
      <c r="AE138" s="26" t="str">
        <f>IFERROR(INDEX($AM$11:$AM$4010,MATCH(128,$AZ$11:$AZ$4010,0)),"")</f>
        <v/>
      </c>
      <c r="AF138" s="25" t="str">
        <f>IF(AE138="","",IFERROR(INDEX($AN$11:$AN$4010,MATCH(128,$AZ$11:$AZ$4010,0)),""))</f>
        <v/>
      </c>
      <c r="AG138" s="25" t="str">
        <f>IF(AE138="","",IFERROR(INDEX($AO$11:$AO$4010,MATCH(128,$AZ$11:$AZ$4010,0)),""))</f>
        <v/>
      </c>
      <c r="AH138" s="24" t="str">
        <f>IF(AE138="","",IFERROR(INDEX($AQ$11:$AQ$4010,MATCH(128,$AZ$11:$AZ$4010,0)),""))</f>
        <v/>
      </c>
      <c r="AI138" s="29" t="str">
        <f>IF(AE138="","",IFERROR(INDEX($AR$11:$AR$4010,MATCH(128,$AZ$11:$AZ$4010,0)),""))</f>
        <v/>
      </c>
      <c r="AJ138" s="29" t="str">
        <f>IF(AE138="","",IFERROR(INDEX($AT$11:$AT$4010,MATCH(128,$AZ$11:$AZ$4010,0)),""))</f>
        <v/>
      </c>
      <c r="AL138" s="31" t="str">
        <f t="shared" si="20"/>
        <v/>
      </c>
      <c r="AM138" s="26" t="str">
        <f t="shared" si="21"/>
        <v/>
      </c>
      <c r="AN138" s="32" t="str">
        <f t="shared" si="22"/>
        <v/>
      </c>
      <c r="AO138" s="32" t="str">
        <f t="shared" si="23"/>
        <v/>
      </c>
      <c r="AP138" s="24" t="str">
        <f t="shared" si="24"/>
        <v/>
      </c>
      <c r="AQ138" s="24" t="str">
        <f t="shared" si="25"/>
        <v/>
      </c>
      <c r="AR138" s="33" t="str">
        <f t="shared" si="26"/>
        <v/>
      </c>
      <c r="AS138" s="34"/>
      <c r="AT138" s="33"/>
      <c r="AV138" s="21">
        <f>IF(AND($AL138&lt;&gt;"",COUNTIF($AL$11:$AL138,$AL138)=1),1,0)</f>
        <v>0</v>
      </c>
      <c r="AW138" s="21">
        <f t="shared" si="28"/>
        <v>0</v>
      </c>
      <c r="AX138" s="21" t="str">
        <f t="shared" si="27"/>
        <v/>
      </c>
      <c r="AY138" s="21" t="str">
        <f>IF(AND($AM138&lt;&gt;"",$AS138&lt;&gt;"✓"),SUMPRODUCT(($AM$11:$AM138&lt;&gt;"")*($AS$11:$AS138&lt;&gt;"✓")),"")</f>
        <v/>
      </c>
      <c r="AZ138" s="21" t="str">
        <f>IF(AND($AM138&lt;&gt;"",$AS138="✓"),SUMPRODUCT(($AM$11:$AM138&lt;&gt;"")*($AS$11:$AS138="✓")),"")</f>
        <v/>
      </c>
      <c r="BA138" s="21" t="str">
        <f>IF($AL138="","",$AL138&amp;"|"&amp;COUNTIF($AL$11:$AL138,$AL138))</f>
        <v/>
      </c>
    </row>
    <row r="139" spans="2:53" ht="15" customHeight="1" x14ac:dyDescent="0.25">
      <c r="B139" s="5" t="str">
        <f t="shared" ref="B139:B202" si="30">IF($C139="","",ROW()-10)</f>
        <v/>
      </c>
      <c r="C139" s="5"/>
      <c r="D139" s="5"/>
      <c r="E139" s="5"/>
      <c r="F139" s="6"/>
      <c r="G139" s="6"/>
      <c r="H139" s="7"/>
      <c r="I139" s="8"/>
      <c r="K139" s="9" t="str">
        <f>IFERROR(INDEX($AL$11:$AL$4010,MATCH(129,$AX$11:$AX$4010,0)),"")</f>
        <v/>
      </c>
      <c r="L139" s="10" t="str">
        <f t="shared" ref="L139:L202" si="31">IF(K139="","",COUNTIF($AL$11:$AL$4010,K139))</f>
        <v/>
      </c>
      <c r="M139" s="11" t="str">
        <f t="shared" ref="M139:M202" si="32">IF(K139="","",SUMIF($AL$11:$AL$4010,K139,$AN$11:$AN$4010))</f>
        <v/>
      </c>
      <c r="N139" s="11" t="str">
        <f t="shared" ref="N139:N202" si="33">IF(K139="","",SUMIF($AL$11:$AL$4010,K139,$AO$11:$AO$4010))</f>
        <v/>
      </c>
      <c r="P139" s="12" t="str">
        <f>IFERROR(INDEX($AM$11:$AM$4010,MATCH($S$8&amp;"|"&amp;129,$BA$11:$BA$4010,0)),"")</f>
        <v/>
      </c>
      <c r="Q139" s="11" t="str">
        <f>IF(P139="","",IFERROR(INDEX($AN$11:$AN$4010,MATCH($S$8&amp;"|"&amp;129,$BA$11:$BA$4010,0)),""))</f>
        <v/>
      </c>
      <c r="R139" s="11" t="str">
        <f>IF(P139="","",IFERROR(INDEX($AO$11:$AO$4010,MATCH($S$8&amp;"|"&amp;129,$BA$11:$BA$4010,0)),""))</f>
        <v/>
      </c>
      <c r="S139" s="10" t="str">
        <f>IF(P139="","",IFERROR(INDEX($AP$11:$AP$4010,MATCH($S$8&amp;"|"&amp;129,$BA$11:$BA$4010,0)),""))</f>
        <v/>
      </c>
      <c r="T139" s="10" t="str">
        <f>IF(P139="","",IFERROR(INDEX($AQ$11:$AQ$4010,MATCH($S$8&amp;"|"&amp;129,$BA$11:$BA$4010,0)),""))</f>
        <v/>
      </c>
      <c r="U139" s="39" t="str">
        <f t="shared" ref="U139:U170" si="34">IF(P139="","",$S$8)</f>
        <v/>
      </c>
      <c r="W139" s="14" t="str">
        <f>IF(X139="","",IFERROR(INDEX($AL$11:$AL$4010,MATCH(129,$AY$11:$AY$4010,0)),""))</f>
        <v/>
      </c>
      <c r="X139" s="12" t="str">
        <f>IFERROR(INDEX($AM$11:$AM$4010,MATCH(129,$AY$11:$AY$4010,0)),"")</f>
        <v/>
      </c>
      <c r="Y139" s="11" t="str">
        <f>IF(X139="","",IFERROR(INDEX($AN$11:$AN$4010,MATCH(129,$AY$11:$AY$4010,0)),""))</f>
        <v/>
      </c>
      <c r="Z139" s="11" t="str">
        <f>IF(X139="","",IFERROR(INDEX($AO$11:$AO$4010,MATCH(129,$AY$11:$AY$4010,0)),""))</f>
        <v/>
      </c>
      <c r="AA139" s="10" t="str">
        <f>IF(X139="","",IFERROR(INDEX($AQ$11:$AQ$4010,MATCH(129,$AY$11:$AY$4010,0)),""))</f>
        <v/>
      </c>
      <c r="AB139" s="15" t="str">
        <f>IF(X139="","",IFERROR(INDEX($AR$11:$AR$4010,MATCH(129,$AY$11:$AY$4010,0)),""))</f>
        <v/>
      </c>
      <c r="AD139" s="16" t="str">
        <f>IF(AE139="","",IFERROR(INDEX($AL$11:$AL$4010,MATCH(129,$AZ$11:$AZ$4010,0)),""))</f>
        <v/>
      </c>
      <c r="AE139" s="12" t="str">
        <f>IFERROR(INDEX($AM$11:$AM$4010,MATCH(129,$AZ$11:$AZ$4010,0)),"")</f>
        <v/>
      </c>
      <c r="AF139" s="11" t="str">
        <f>IF(AE139="","",IFERROR(INDEX($AN$11:$AN$4010,MATCH(129,$AZ$11:$AZ$4010,0)),""))</f>
        <v/>
      </c>
      <c r="AG139" s="11" t="str">
        <f>IF(AE139="","",IFERROR(INDEX($AO$11:$AO$4010,MATCH(129,$AZ$11:$AZ$4010,0)),""))</f>
        <v/>
      </c>
      <c r="AH139" s="10" t="str">
        <f>IF(AE139="","",IFERROR(INDEX($AQ$11:$AQ$4010,MATCH(129,$AZ$11:$AZ$4010,0)),""))</f>
        <v/>
      </c>
      <c r="AI139" s="15" t="str">
        <f>IF(AE139="","",IFERROR(INDEX($AR$11:$AR$4010,MATCH(129,$AZ$11:$AZ$4010,0)),""))</f>
        <v/>
      </c>
      <c r="AJ139" s="15" t="str">
        <f>IF(AE139="","",IFERROR(INDEX($AT$11:$AT$4010,MATCH(129,$AZ$11:$AZ$4010,0)),""))</f>
        <v/>
      </c>
      <c r="AL139" s="17" t="str">
        <f t="shared" ref="AL139:AL202" si="35">IF($C139="","",$I139)</f>
        <v/>
      </c>
      <c r="AM139" s="12" t="str">
        <f t="shared" ref="AM139:AM202" si="36">IF($C139="","",$C139)</f>
        <v/>
      </c>
      <c r="AN139" s="18" t="str">
        <f t="shared" ref="AN139:AN202" si="37">IF($C139="","",$F139)</f>
        <v/>
      </c>
      <c r="AO139" s="18" t="str">
        <f t="shared" ref="AO139:AO202" si="38">IF($C139="","",$G139)</f>
        <v/>
      </c>
      <c r="AP139" s="10" t="str">
        <f t="shared" ref="AP139:AP202" si="39">IF($C139="","",$D139)</f>
        <v/>
      </c>
      <c r="AQ139" s="10" t="str">
        <f t="shared" ref="AQ139:AQ202" si="40">IF($C139="","",$E139)</f>
        <v/>
      </c>
      <c r="AR139" s="19" t="str">
        <f t="shared" ref="AR139:AR202" si="41">IF($C139="","",$H139)</f>
        <v/>
      </c>
      <c r="AS139" s="20"/>
      <c r="AT139" s="19"/>
      <c r="AV139" s="21">
        <f>IF(AND($AL139&lt;&gt;"",COUNTIF($AL$11:$AL139,$AL139)=1),1,0)</f>
        <v>0</v>
      </c>
      <c r="AW139" s="21">
        <f t="shared" si="28"/>
        <v>0</v>
      </c>
      <c r="AX139" s="21" t="str">
        <f t="shared" ref="AX139:AX202" si="42">IF(AV139=1,AW139,"")</f>
        <v/>
      </c>
      <c r="AY139" s="21" t="str">
        <f>IF(AND($AM139&lt;&gt;"",$AS139&lt;&gt;"✓"),SUMPRODUCT(($AM$11:$AM139&lt;&gt;"")*($AS$11:$AS139&lt;&gt;"✓")),"")</f>
        <v/>
      </c>
      <c r="AZ139" s="21" t="str">
        <f>IF(AND($AM139&lt;&gt;"",$AS139="✓"),SUMPRODUCT(($AM$11:$AM139&lt;&gt;"")*($AS$11:$AS139="✓")),"")</f>
        <v/>
      </c>
      <c r="BA139" s="21" t="str">
        <f>IF($AL139="","",$AL139&amp;"|"&amp;COUNTIF($AL$11:$AL139,$AL139))</f>
        <v/>
      </c>
    </row>
    <row r="140" spans="2:53" ht="15" customHeight="1" x14ac:dyDescent="0.25">
      <c r="B140" s="5" t="str">
        <f t="shared" si="30"/>
        <v/>
      </c>
      <c r="C140" s="5"/>
      <c r="D140" s="5"/>
      <c r="E140" s="5"/>
      <c r="F140" s="6"/>
      <c r="G140" s="6"/>
      <c r="H140" s="7"/>
      <c r="I140" s="8"/>
      <c r="K140" s="23" t="str">
        <f>IFERROR(INDEX($AL$11:$AL$4010,MATCH(130,$AX$11:$AX$4010,0)),"")</f>
        <v/>
      </c>
      <c r="L140" s="24" t="str">
        <f t="shared" si="31"/>
        <v/>
      </c>
      <c r="M140" s="25" t="str">
        <f t="shared" si="32"/>
        <v/>
      </c>
      <c r="N140" s="25" t="str">
        <f t="shared" si="33"/>
        <v/>
      </c>
      <c r="P140" s="26" t="str">
        <f>IFERROR(INDEX($AM$11:$AM$4010,MATCH($S$8&amp;"|"&amp;130,$BA$11:$BA$4010,0)),"")</f>
        <v/>
      </c>
      <c r="Q140" s="25" t="str">
        <f>IF(P140="","",IFERROR(INDEX($AN$11:$AN$4010,MATCH($S$8&amp;"|"&amp;130,$BA$11:$BA$4010,0)),""))</f>
        <v/>
      </c>
      <c r="R140" s="25" t="str">
        <f>IF(P140="","",IFERROR(INDEX($AO$11:$AO$4010,MATCH($S$8&amp;"|"&amp;130,$BA$11:$BA$4010,0)),""))</f>
        <v/>
      </c>
      <c r="S140" s="24" t="str">
        <f>IF(P140="","",IFERROR(INDEX($AP$11:$AP$4010,MATCH($S$8&amp;"|"&amp;130,$BA$11:$BA$4010,0)),""))</f>
        <v/>
      </c>
      <c r="T140" s="24" t="str">
        <f>IF(P140="","",IFERROR(INDEX($AQ$11:$AQ$4010,MATCH($S$8&amp;"|"&amp;130,$BA$11:$BA$4010,0)),""))</f>
        <v/>
      </c>
      <c r="U140" s="38" t="str">
        <f t="shared" si="34"/>
        <v/>
      </c>
      <c r="W140" s="28" t="str">
        <f>IF(X140="","",IFERROR(INDEX($AL$11:$AL$4010,MATCH(130,$AY$11:$AY$4010,0)),""))</f>
        <v/>
      </c>
      <c r="X140" s="26" t="str">
        <f>IFERROR(INDEX($AM$11:$AM$4010,MATCH(130,$AY$11:$AY$4010,0)),"")</f>
        <v/>
      </c>
      <c r="Y140" s="25" t="str">
        <f>IF(X140="","",IFERROR(INDEX($AN$11:$AN$4010,MATCH(130,$AY$11:$AY$4010,0)),""))</f>
        <v/>
      </c>
      <c r="Z140" s="25" t="str">
        <f>IF(X140="","",IFERROR(INDEX($AO$11:$AO$4010,MATCH(130,$AY$11:$AY$4010,0)),""))</f>
        <v/>
      </c>
      <c r="AA140" s="24" t="str">
        <f>IF(X140="","",IFERROR(INDEX($AQ$11:$AQ$4010,MATCH(130,$AY$11:$AY$4010,0)),""))</f>
        <v/>
      </c>
      <c r="AB140" s="29" t="str">
        <f>IF(X140="","",IFERROR(INDEX($AR$11:$AR$4010,MATCH(130,$AY$11:$AY$4010,0)),""))</f>
        <v/>
      </c>
      <c r="AD140" s="30" t="str">
        <f>IF(AE140="","",IFERROR(INDEX($AL$11:$AL$4010,MATCH(130,$AZ$11:$AZ$4010,0)),""))</f>
        <v/>
      </c>
      <c r="AE140" s="26" t="str">
        <f>IFERROR(INDEX($AM$11:$AM$4010,MATCH(130,$AZ$11:$AZ$4010,0)),"")</f>
        <v/>
      </c>
      <c r="AF140" s="25" t="str">
        <f>IF(AE140="","",IFERROR(INDEX($AN$11:$AN$4010,MATCH(130,$AZ$11:$AZ$4010,0)),""))</f>
        <v/>
      </c>
      <c r="AG140" s="25" t="str">
        <f>IF(AE140="","",IFERROR(INDEX($AO$11:$AO$4010,MATCH(130,$AZ$11:$AZ$4010,0)),""))</f>
        <v/>
      </c>
      <c r="AH140" s="24" t="str">
        <f>IF(AE140="","",IFERROR(INDEX($AQ$11:$AQ$4010,MATCH(130,$AZ$11:$AZ$4010,0)),""))</f>
        <v/>
      </c>
      <c r="AI140" s="29" t="str">
        <f>IF(AE140="","",IFERROR(INDEX($AR$11:$AR$4010,MATCH(130,$AZ$11:$AZ$4010,0)),""))</f>
        <v/>
      </c>
      <c r="AJ140" s="29" t="str">
        <f>IF(AE140="","",IFERROR(INDEX($AT$11:$AT$4010,MATCH(130,$AZ$11:$AZ$4010,0)),""))</f>
        <v/>
      </c>
      <c r="AL140" s="31" t="str">
        <f t="shared" si="35"/>
        <v/>
      </c>
      <c r="AM140" s="26" t="str">
        <f t="shared" si="36"/>
        <v/>
      </c>
      <c r="AN140" s="32" t="str">
        <f t="shared" si="37"/>
        <v/>
      </c>
      <c r="AO140" s="32" t="str">
        <f t="shared" si="38"/>
        <v/>
      </c>
      <c r="AP140" s="24" t="str">
        <f t="shared" si="39"/>
        <v/>
      </c>
      <c r="AQ140" s="24" t="str">
        <f t="shared" si="40"/>
        <v/>
      </c>
      <c r="AR140" s="33" t="str">
        <f t="shared" si="41"/>
        <v/>
      </c>
      <c r="AS140" s="34"/>
      <c r="AT140" s="33"/>
      <c r="AV140" s="21">
        <f>IF(AND($AL140&lt;&gt;"",COUNTIF($AL$11:$AL140,$AL140)=1),1,0)</f>
        <v>0</v>
      </c>
      <c r="AW140" s="21">
        <f t="shared" ref="AW140:AW203" si="43">AW139+AV140</f>
        <v>0</v>
      </c>
      <c r="AX140" s="21" t="str">
        <f t="shared" si="42"/>
        <v/>
      </c>
      <c r="AY140" s="21" t="str">
        <f>IF(AND($AM140&lt;&gt;"",$AS140&lt;&gt;"✓"),SUMPRODUCT(($AM$11:$AM140&lt;&gt;"")*($AS$11:$AS140&lt;&gt;"✓")),"")</f>
        <v/>
      </c>
      <c r="AZ140" s="21" t="str">
        <f>IF(AND($AM140&lt;&gt;"",$AS140="✓"),SUMPRODUCT(($AM$11:$AM140&lt;&gt;"")*($AS$11:$AS140="✓")),"")</f>
        <v/>
      </c>
      <c r="BA140" s="21" t="str">
        <f>IF($AL140="","",$AL140&amp;"|"&amp;COUNTIF($AL$11:$AL140,$AL140))</f>
        <v/>
      </c>
    </row>
    <row r="141" spans="2:53" ht="15" customHeight="1" x14ac:dyDescent="0.25">
      <c r="B141" s="5" t="str">
        <f t="shared" si="30"/>
        <v/>
      </c>
      <c r="C141" s="5"/>
      <c r="D141" s="5"/>
      <c r="E141" s="5"/>
      <c r="F141" s="6"/>
      <c r="G141" s="6"/>
      <c r="H141" s="7"/>
      <c r="I141" s="8"/>
      <c r="K141" s="9" t="str">
        <f>IFERROR(INDEX($AL$11:$AL$4010,MATCH(131,$AX$11:$AX$4010,0)),"")</f>
        <v/>
      </c>
      <c r="L141" s="10" t="str">
        <f t="shared" si="31"/>
        <v/>
      </c>
      <c r="M141" s="11" t="str">
        <f t="shared" si="32"/>
        <v/>
      </c>
      <c r="N141" s="11" t="str">
        <f t="shared" si="33"/>
        <v/>
      </c>
      <c r="P141" s="12" t="str">
        <f>IFERROR(INDEX($AM$11:$AM$4010,MATCH($S$8&amp;"|"&amp;131,$BA$11:$BA$4010,0)),"")</f>
        <v/>
      </c>
      <c r="Q141" s="11" t="str">
        <f>IF(P141="","",IFERROR(INDEX($AN$11:$AN$4010,MATCH($S$8&amp;"|"&amp;131,$BA$11:$BA$4010,0)),""))</f>
        <v/>
      </c>
      <c r="R141" s="11" t="str">
        <f>IF(P141="","",IFERROR(INDEX($AO$11:$AO$4010,MATCH($S$8&amp;"|"&amp;131,$BA$11:$BA$4010,0)),""))</f>
        <v/>
      </c>
      <c r="S141" s="10" t="str">
        <f>IF(P141="","",IFERROR(INDEX($AP$11:$AP$4010,MATCH($S$8&amp;"|"&amp;131,$BA$11:$BA$4010,0)),""))</f>
        <v/>
      </c>
      <c r="T141" s="10" t="str">
        <f>IF(P141="","",IFERROR(INDEX($AQ$11:$AQ$4010,MATCH($S$8&amp;"|"&amp;131,$BA$11:$BA$4010,0)),""))</f>
        <v/>
      </c>
      <c r="U141" s="39" t="str">
        <f t="shared" si="34"/>
        <v/>
      </c>
      <c r="W141" s="14" t="str">
        <f>IF(X141="","",IFERROR(INDEX($AL$11:$AL$4010,MATCH(131,$AY$11:$AY$4010,0)),""))</f>
        <v/>
      </c>
      <c r="X141" s="12" t="str">
        <f>IFERROR(INDEX($AM$11:$AM$4010,MATCH(131,$AY$11:$AY$4010,0)),"")</f>
        <v/>
      </c>
      <c r="Y141" s="11" t="str">
        <f>IF(X141="","",IFERROR(INDEX($AN$11:$AN$4010,MATCH(131,$AY$11:$AY$4010,0)),""))</f>
        <v/>
      </c>
      <c r="Z141" s="11" t="str">
        <f>IF(X141="","",IFERROR(INDEX($AO$11:$AO$4010,MATCH(131,$AY$11:$AY$4010,0)),""))</f>
        <v/>
      </c>
      <c r="AA141" s="10" t="str">
        <f>IF(X141="","",IFERROR(INDEX($AQ$11:$AQ$4010,MATCH(131,$AY$11:$AY$4010,0)),""))</f>
        <v/>
      </c>
      <c r="AB141" s="15" t="str">
        <f>IF(X141="","",IFERROR(INDEX($AR$11:$AR$4010,MATCH(131,$AY$11:$AY$4010,0)),""))</f>
        <v/>
      </c>
      <c r="AD141" s="16" t="str">
        <f>IF(AE141="","",IFERROR(INDEX($AL$11:$AL$4010,MATCH(131,$AZ$11:$AZ$4010,0)),""))</f>
        <v/>
      </c>
      <c r="AE141" s="12" t="str">
        <f>IFERROR(INDEX($AM$11:$AM$4010,MATCH(131,$AZ$11:$AZ$4010,0)),"")</f>
        <v/>
      </c>
      <c r="AF141" s="11" t="str">
        <f>IF(AE141="","",IFERROR(INDEX($AN$11:$AN$4010,MATCH(131,$AZ$11:$AZ$4010,0)),""))</f>
        <v/>
      </c>
      <c r="AG141" s="11" t="str">
        <f>IF(AE141="","",IFERROR(INDEX($AO$11:$AO$4010,MATCH(131,$AZ$11:$AZ$4010,0)),""))</f>
        <v/>
      </c>
      <c r="AH141" s="10" t="str">
        <f>IF(AE141="","",IFERROR(INDEX($AQ$11:$AQ$4010,MATCH(131,$AZ$11:$AZ$4010,0)),""))</f>
        <v/>
      </c>
      <c r="AI141" s="15" t="str">
        <f>IF(AE141="","",IFERROR(INDEX($AR$11:$AR$4010,MATCH(131,$AZ$11:$AZ$4010,0)),""))</f>
        <v/>
      </c>
      <c r="AJ141" s="15" t="str">
        <f>IF(AE141="","",IFERROR(INDEX($AT$11:$AT$4010,MATCH(131,$AZ$11:$AZ$4010,0)),""))</f>
        <v/>
      </c>
      <c r="AL141" s="17" t="str">
        <f t="shared" si="35"/>
        <v/>
      </c>
      <c r="AM141" s="12" t="str">
        <f t="shared" si="36"/>
        <v/>
      </c>
      <c r="AN141" s="18" t="str">
        <f t="shared" si="37"/>
        <v/>
      </c>
      <c r="AO141" s="18" t="str">
        <f t="shared" si="38"/>
        <v/>
      </c>
      <c r="AP141" s="10" t="str">
        <f t="shared" si="39"/>
        <v/>
      </c>
      <c r="AQ141" s="10" t="str">
        <f t="shared" si="40"/>
        <v/>
      </c>
      <c r="AR141" s="19" t="str">
        <f t="shared" si="41"/>
        <v/>
      </c>
      <c r="AS141" s="20"/>
      <c r="AT141" s="19"/>
      <c r="AV141" s="21">
        <f>IF(AND($AL141&lt;&gt;"",COUNTIF($AL$11:$AL141,$AL141)=1),1,0)</f>
        <v>0</v>
      </c>
      <c r="AW141" s="21">
        <f t="shared" si="43"/>
        <v>0</v>
      </c>
      <c r="AX141" s="21" t="str">
        <f t="shared" si="42"/>
        <v/>
      </c>
      <c r="AY141" s="21" t="str">
        <f>IF(AND($AM141&lt;&gt;"",$AS141&lt;&gt;"✓"),SUMPRODUCT(($AM$11:$AM141&lt;&gt;"")*($AS$11:$AS141&lt;&gt;"✓")),"")</f>
        <v/>
      </c>
      <c r="AZ141" s="21" t="str">
        <f>IF(AND($AM141&lt;&gt;"",$AS141="✓"),SUMPRODUCT(($AM$11:$AM141&lt;&gt;"")*($AS$11:$AS141="✓")),"")</f>
        <v/>
      </c>
      <c r="BA141" s="21" t="str">
        <f>IF($AL141="","",$AL141&amp;"|"&amp;COUNTIF($AL$11:$AL141,$AL141))</f>
        <v/>
      </c>
    </row>
    <row r="142" spans="2:53" ht="15" customHeight="1" x14ac:dyDescent="0.25">
      <c r="B142" s="5" t="str">
        <f t="shared" si="30"/>
        <v/>
      </c>
      <c r="C142" s="5"/>
      <c r="D142" s="5"/>
      <c r="E142" s="5"/>
      <c r="F142" s="6"/>
      <c r="G142" s="6"/>
      <c r="H142" s="7"/>
      <c r="I142" s="8"/>
      <c r="K142" s="23" t="str">
        <f>IFERROR(INDEX($AL$11:$AL$4010,MATCH(132,$AX$11:$AX$4010,0)),"")</f>
        <v/>
      </c>
      <c r="L142" s="24" t="str">
        <f t="shared" si="31"/>
        <v/>
      </c>
      <c r="M142" s="25" t="str">
        <f t="shared" si="32"/>
        <v/>
      </c>
      <c r="N142" s="25" t="str">
        <f t="shared" si="33"/>
        <v/>
      </c>
      <c r="P142" s="26" t="str">
        <f>IFERROR(INDEX($AM$11:$AM$4010,MATCH($S$8&amp;"|"&amp;132,$BA$11:$BA$4010,0)),"")</f>
        <v/>
      </c>
      <c r="Q142" s="25" t="str">
        <f>IF(P142="","",IFERROR(INDEX($AN$11:$AN$4010,MATCH($S$8&amp;"|"&amp;132,$BA$11:$BA$4010,0)),""))</f>
        <v/>
      </c>
      <c r="R142" s="25" t="str">
        <f>IF(P142="","",IFERROR(INDEX($AO$11:$AO$4010,MATCH($S$8&amp;"|"&amp;132,$BA$11:$BA$4010,0)),""))</f>
        <v/>
      </c>
      <c r="S142" s="24" t="str">
        <f>IF(P142="","",IFERROR(INDEX($AP$11:$AP$4010,MATCH($S$8&amp;"|"&amp;132,$BA$11:$BA$4010,0)),""))</f>
        <v/>
      </c>
      <c r="T142" s="24" t="str">
        <f>IF(P142="","",IFERROR(INDEX($AQ$11:$AQ$4010,MATCH($S$8&amp;"|"&amp;132,$BA$11:$BA$4010,0)),""))</f>
        <v/>
      </c>
      <c r="U142" s="38" t="str">
        <f t="shared" si="34"/>
        <v/>
      </c>
      <c r="W142" s="28" t="str">
        <f>IF(X142="","",IFERROR(INDEX($AL$11:$AL$4010,MATCH(132,$AY$11:$AY$4010,0)),""))</f>
        <v/>
      </c>
      <c r="X142" s="26" t="str">
        <f>IFERROR(INDEX($AM$11:$AM$4010,MATCH(132,$AY$11:$AY$4010,0)),"")</f>
        <v/>
      </c>
      <c r="Y142" s="25" t="str">
        <f>IF(X142="","",IFERROR(INDEX($AN$11:$AN$4010,MATCH(132,$AY$11:$AY$4010,0)),""))</f>
        <v/>
      </c>
      <c r="Z142" s="25" t="str">
        <f>IF(X142="","",IFERROR(INDEX($AO$11:$AO$4010,MATCH(132,$AY$11:$AY$4010,0)),""))</f>
        <v/>
      </c>
      <c r="AA142" s="24" t="str">
        <f>IF(X142="","",IFERROR(INDEX($AQ$11:$AQ$4010,MATCH(132,$AY$11:$AY$4010,0)),""))</f>
        <v/>
      </c>
      <c r="AB142" s="29" t="str">
        <f>IF(X142="","",IFERROR(INDEX($AR$11:$AR$4010,MATCH(132,$AY$11:$AY$4010,0)),""))</f>
        <v/>
      </c>
      <c r="AD142" s="30" t="str">
        <f>IF(AE142="","",IFERROR(INDEX($AL$11:$AL$4010,MATCH(132,$AZ$11:$AZ$4010,0)),""))</f>
        <v/>
      </c>
      <c r="AE142" s="26" t="str">
        <f>IFERROR(INDEX($AM$11:$AM$4010,MATCH(132,$AZ$11:$AZ$4010,0)),"")</f>
        <v/>
      </c>
      <c r="AF142" s="25" t="str">
        <f>IF(AE142="","",IFERROR(INDEX($AN$11:$AN$4010,MATCH(132,$AZ$11:$AZ$4010,0)),""))</f>
        <v/>
      </c>
      <c r="AG142" s="25" t="str">
        <f>IF(AE142="","",IFERROR(INDEX($AO$11:$AO$4010,MATCH(132,$AZ$11:$AZ$4010,0)),""))</f>
        <v/>
      </c>
      <c r="AH142" s="24" t="str">
        <f>IF(AE142="","",IFERROR(INDEX($AQ$11:$AQ$4010,MATCH(132,$AZ$11:$AZ$4010,0)),""))</f>
        <v/>
      </c>
      <c r="AI142" s="29" t="str">
        <f>IF(AE142="","",IFERROR(INDEX($AR$11:$AR$4010,MATCH(132,$AZ$11:$AZ$4010,0)),""))</f>
        <v/>
      </c>
      <c r="AJ142" s="29" t="str">
        <f>IF(AE142="","",IFERROR(INDEX($AT$11:$AT$4010,MATCH(132,$AZ$11:$AZ$4010,0)),""))</f>
        <v/>
      </c>
      <c r="AL142" s="31" t="str">
        <f t="shared" si="35"/>
        <v/>
      </c>
      <c r="AM142" s="26" t="str">
        <f t="shared" si="36"/>
        <v/>
      </c>
      <c r="AN142" s="32" t="str">
        <f t="shared" si="37"/>
        <v/>
      </c>
      <c r="AO142" s="32" t="str">
        <f t="shared" si="38"/>
        <v/>
      </c>
      <c r="AP142" s="24" t="str">
        <f t="shared" si="39"/>
        <v/>
      </c>
      <c r="AQ142" s="24" t="str">
        <f t="shared" si="40"/>
        <v/>
      </c>
      <c r="AR142" s="33" t="str">
        <f t="shared" si="41"/>
        <v/>
      </c>
      <c r="AS142" s="34"/>
      <c r="AT142" s="33"/>
      <c r="AV142" s="21">
        <f>IF(AND($AL142&lt;&gt;"",COUNTIF($AL$11:$AL142,$AL142)=1),1,0)</f>
        <v>0</v>
      </c>
      <c r="AW142" s="21">
        <f t="shared" si="43"/>
        <v>0</v>
      </c>
      <c r="AX142" s="21" t="str">
        <f t="shared" si="42"/>
        <v/>
      </c>
      <c r="AY142" s="21" t="str">
        <f>IF(AND($AM142&lt;&gt;"",$AS142&lt;&gt;"✓"),SUMPRODUCT(($AM$11:$AM142&lt;&gt;"")*($AS$11:$AS142&lt;&gt;"✓")),"")</f>
        <v/>
      </c>
      <c r="AZ142" s="21" t="str">
        <f>IF(AND($AM142&lt;&gt;"",$AS142="✓"),SUMPRODUCT(($AM$11:$AM142&lt;&gt;"")*($AS$11:$AS142="✓")),"")</f>
        <v/>
      </c>
      <c r="BA142" s="21" t="str">
        <f>IF($AL142="","",$AL142&amp;"|"&amp;COUNTIF($AL$11:$AL142,$AL142))</f>
        <v/>
      </c>
    </row>
    <row r="143" spans="2:53" ht="15" customHeight="1" x14ac:dyDescent="0.25">
      <c r="B143" s="5" t="str">
        <f t="shared" si="30"/>
        <v/>
      </c>
      <c r="C143" s="5"/>
      <c r="D143" s="5"/>
      <c r="E143" s="5"/>
      <c r="F143" s="6"/>
      <c r="G143" s="6"/>
      <c r="H143" s="7"/>
      <c r="I143" s="8"/>
      <c r="K143" s="9" t="str">
        <f>IFERROR(INDEX($AL$11:$AL$4010,MATCH(133,$AX$11:$AX$4010,0)),"")</f>
        <v/>
      </c>
      <c r="L143" s="10" t="str">
        <f t="shared" si="31"/>
        <v/>
      </c>
      <c r="M143" s="11" t="str">
        <f t="shared" si="32"/>
        <v/>
      </c>
      <c r="N143" s="11" t="str">
        <f t="shared" si="33"/>
        <v/>
      </c>
      <c r="P143" s="12" t="str">
        <f>IFERROR(INDEX($AM$11:$AM$4010,MATCH($S$8&amp;"|"&amp;133,$BA$11:$BA$4010,0)),"")</f>
        <v/>
      </c>
      <c r="Q143" s="11" t="str">
        <f>IF(P143="","",IFERROR(INDEX($AN$11:$AN$4010,MATCH($S$8&amp;"|"&amp;133,$BA$11:$BA$4010,0)),""))</f>
        <v/>
      </c>
      <c r="R143" s="11" t="str">
        <f>IF(P143="","",IFERROR(INDEX($AO$11:$AO$4010,MATCH($S$8&amp;"|"&amp;133,$BA$11:$BA$4010,0)),""))</f>
        <v/>
      </c>
      <c r="S143" s="10" t="str">
        <f>IF(P143="","",IFERROR(INDEX($AP$11:$AP$4010,MATCH($S$8&amp;"|"&amp;133,$BA$11:$BA$4010,0)),""))</f>
        <v/>
      </c>
      <c r="T143" s="10" t="str">
        <f>IF(P143="","",IFERROR(INDEX($AQ$11:$AQ$4010,MATCH($S$8&amp;"|"&amp;133,$BA$11:$BA$4010,0)),""))</f>
        <v/>
      </c>
      <c r="U143" s="39" t="str">
        <f t="shared" si="34"/>
        <v/>
      </c>
      <c r="W143" s="14" t="str">
        <f>IF(X143="","",IFERROR(INDEX($AL$11:$AL$4010,MATCH(133,$AY$11:$AY$4010,0)),""))</f>
        <v/>
      </c>
      <c r="X143" s="12" t="str">
        <f>IFERROR(INDEX($AM$11:$AM$4010,MATCH(133,$AY$11:$AY$4010,0)),"")</f>
        <v/>
      </c>
      <c r="Y143" s="11" t="str">
        <f>IF(X143="","",IFERROR(INDEX($AN$11:$AN$4010,MATCH(133,$AY$11:$AY$4010,0)),""))</f>
        <v/>
      </c>
      <c r="Z143" s="11" t="str">
        <f>IF(X143="","",IFERROR(INDEX($AO$11:$AO$4010,MATCH(133,$AY$11:$AY$4010,0)),""))</f>
        <v/>
      </c>
      <c r="AA143" s="10" t="str">
        <f>IF(X143="","",IFERROR(INDEX($AQ$11:$AQ$4010,MATCH(133,$AY$11:$AY$4010,0)),""))</f>
        <v/>
      </c>
      <c r="AB143" s="15" t="str">
        <f>IF(X143="","",IFERROR(INDEX($AR$11:$AR$4010,MATCH(133,$AY$11:$AY$4010,0)),""))</f>
        <v/>
      </c>
      <c r="AD143" s="16" t="str">
        <f>IF(AE143="","",IFERROR(INDEX($AL$11:$AL$4010,MATCH(133,$AZ$11:$AZ$4010,0)),""))</f>
        <v/>
      </c>
      <c r="AE143" s="12" t="str">
        <f>IFERROR(INDEX($AM$11:$AM$4010,MATCH(133,$AZ$11:$AZ$4010,0)),"")</f>
        <v/>
      </c>
      <c r="AF143" s="11" t="str">
        <f>IF(AE143="","",IFERROR(INDEX($AN$11:$AN$4010,MATCH(133,$AZ$11:$AZ$4010,0)),""))</f>
        <v/>
      </c>
      <c r="AG143" s="11" t="str">
        <f>IF(AE143="","",IFERROR(INDEX($AO$11:$AO$4010,MATCH(133,$AZ$11:$AZ$4010,0)),""))</f>
        <v/>
      </c>
      <c r="AH143" s="10" t="str">
        <f>IF(AE143="","",IFERROR(INDEX($AQ$11:$AQ$4010,MATCH(133,$AZ$11:$AZ$4010,0)),""))</f>
        <v/>
      </c>
      <c r="AI143" s="15" t="str">
        <f>IF(AE143="","",IFERROR(INDEX($AR$11:$AR$4010,MATCH(133,$AZ$11:$AZ$4010,0)),""))</f>
        <v/>
      </c>
      <c r="AJ143" s="15" t="str">
        <f>IF(AE143="","",IFERROR(INDEX($AT$11:$AT$4010,MATCH(133,$AZ$11:$AZ$4010,0)),""))</f>
        <v/>
      </c>
      <c r="AL143" s="17" t="str">
        <f t="shared" si="35"/>
        <v/>
      </c>
      <c r="AM143" s="12" t="str">
        <f t="shared" si="36"/>
        <v/>
      </c>
      <c r="AN143" s="18" t="str">
        <f t="shared" si="37"/>
        <v/>
      </c>
      <c r="AO143" s="18" t="str">
        <f t="shared" si="38"/>
        <v/>
      </c>
      <c r="AP143" s="10" t="str">
        <f t="shared" si="39"/>
        <v/>
      </c>
      <c r="AQ143" s="10" t="str">
        <f t="shared" si="40"/>
        <v/>
      </c>
      <c r="AR143" s="19" t="str">
        <f t="shared" si="41"/>
        <v/>
      </c>
      <c r="AS143" s="20"/>
      <c r="AT143" s="19"/>
      <c r="AV143" s="21">
        <f>IF(AND($AL143&lt;&gt;"",COUNTIF($AL$11:$AL143,$AL143)=1),1,0)</f>
        <v>0</v>
      </c>
      <c r="AW143" s="21">
        <f t="shared" si="43"/>
        <v>0</v>
      </c>
      <c r="AX143" s="21" t="str">
        <f t="shared" si="42"/>
        <v/>
      </c>
      <c r="AY143" s="21" t="str">
        <f>IF(AND($AM143&lt;&gt;"",$AS143&lt;&gt;"✓"),SUMPRODUCT(($AM$11:$AM143&lt;&gt;"")*($AS$11:$AS143&lt;&gt;"✓")),"")</f>
        <v/>
      </c>
      <c r="AZ143" s="21" t="str">
        <f>IF(AND($AM143&lt;&gt;"",$AS143="✓"),SUMPRODUCT(($AM$11:$AM143&lt;&gt;"")*($AS$11:$AS143="✓")),"")</f>
        <v/>
      </c>
      <c r="BA143" s="21" t="str">
        <f>IF($AL143="","",$AL143&amp;"|"&amp;COUNTIF($AL$11:$AL143,$AL143))</f>
        <v/>
      </c>
    </row>
    <row r="144" spans="2:53" ht="15" customHeight="1" x14ac:dyDescent="0.25">
      <c r="B144" s="5" t="str">
        <f t="shared" si="30"/>
        <v/>
      </c>
      <c r="C144" s="5"/>
      <c r="D144" s="5"/>
      <c r="E144" s="5"/>
      <c r="F144" s="6"/>
      <c r="G144" s="6"/>
      <c r="H144" s="7"/>
      <c r="I144" s="8"/>
      <c r="K144" s="23" t="str">
        <f>IFERROR(INDEX($AL$11:$AL$4010,MATCH(134,$AX$11:$AX$4010,0)),"")</f>
        <v/>
      </c>
      <c r="L144" s="24" t="str">
        <f t="shared" si="31"/>
        <v/>
      </c>
      <c r="M144" s="25" t="str">
        <f t="shared" si="32"/>
        <v/>
      </c>
      <c r="N144" s="25" t="str">
        <f t="shared" si="33"/>
        <v/>
      </c>
      <c r="P144" s="26" t="str">
        <f>IFERROR(INDEX($AM$11:$AM$4010,MATCH($S$8&amp;"|"&amp;134,$BA$11:$BA$4010,0)),"")</f>
        <v/>
      </c>
      <c r="Q144" s="25" t="str">
        <f>IF(P144="","",IFERROR(INDEX($AN$11:$AN$4010,MATCH($S$8&amp;"|"&amp;134,$BA$11:$BA$4010,0)),""))</f>
        <v/>
      </c>
      <c r="R144" s="25" t="str">
        <f>IF(P144="","",IFERROR(INDEX($AO$11:$AO$4010,MATCH($S$8&amp;"|"&amp;134,$BA$11:$BA$4010,0)),""))</f>
        <v/>
      </c>
      <c r="S144" s="24" t="str">
        <f>IF(P144="","",IFERROR(INDEX($AP$11:$AP$4010,MATCH($S$8&amp;"|"&amp;134,$BA$11:$BA$4010,0)),""))</f>
        <v/>
      </c>
      <c r="T144" s="24" t="str">
        <f>IF(P144="","",IFERROR(INDEX($AQ$11:$AQ$4010,MATCH($S$8&amp;"|"&amp;134,$BA$11:$BA$4010,0)),""))</f>
        <v/>
      </c>
      <c r="U144" s="38" t="str">
        <f t="shared" si="34"/>
        <v/>
      </c>
      <c r="W144" s="28" t="str">
        <f>IF(X144="","",IFERROR(INDEX($AL$11:$AL$4010,MATCH(134,$AY$11:$AY$4010,0)),""))</f>
        <v/>
      </c>
      <c r="X144" s="26" t="str">
        <f>IFERROR(INDEX($AM$11:$AM$4010,MATCH(134,$AY$11:$AY$4010,0)),"")</f>
        <v/>
      </c>
      <c r="Y144" s="25" t="str">
        <f>IF(X144="","",IFERROR(INDEX($AN$11:$AN$4010,MATCH(134,$AY$11:$AY$4010,0)),""))</f>
        <v/>
      </c>
      <c r="Z144" s="25" t="str">
        <f>IF(X144="","",IFERROR(INDEX($AO$11:$AO$4010,MATCH(134,$AY$11:$AY$4010,0)),""))</f>
        <v/>
      </c>
      <c r="AA144" s="24" t="str">
        <f>IF(X144="","",IFERROR(INDEX($AQ$11:$AQ$4010,MATCH(134,$AY$11:$AY$4010,0)),""))</f>
        <v/>
      </c>
      <c r="AB144" s="29" t="str">
        <f>IF(X144="","",IFERROR(INDEX($AR$11:$AR$4010,MATCH(134,$AY$11:$AY$4010,0)),""))</f>
        <v/>
      </c>
      <c r="AD144" s="30" t="str">
        <f>IF(AE144="","",IFERROR(INDEX($AL$11:$AL$4010,MATCH(134,$AZ$11:$AZ$4010,0)),""))</f>
        <v/>
      </c>
      <c r="AE144" s="26" t="str">
        <f>IFERROR(INDEX($AM$11:$AM$4010,MATCH(134,$AZ$11:$AZ$4010,0)),"")</f>
        <v/>
      </c>
      <c r="AF144" s="25" t="str">
        <f>IF(AE144="","",IFERROR(INDEX($AN$11:$AN$4010,MATCH(134,$AZ$11:$AZ$4010,0)),""))</f>
        <v/>
      </c>
      <c r="AG144" s="25" t="str">
        <f>IF(AE144="","",IFERROR(INDEX($AO$11:$AO$4010,MATCH(134,$AZ$11:$AZ$4010,0)),""))</f>
        <v/>
      </c>
      <c r="AH144" s="24" t="str">
        <f>IF(AE144="","",IFERROR(INDEX($AQ$11:$AQ$4010,MATCH(134,$AZ$11:$AZ$4010,0)),""))</f>
        <v/>
      </c>
      <c r="AI144" s="29" t="str">
        <f>IF(AE144="","",IFERROR(INDEX($AR$11:$AR$4010,MATCH(134,$AZ$11:$AZ$4010,0)),""))</f>
        <v/>
      </c>
      <c r="AJ144" s="29" t="str">
        <f>IF(AE144="","",IFERROR(INDEX($AT$11:$AT$4010,MATCH(134,$AZ$11:$AZ$4010,0)),""))</f>
        <v/>
      </c>
      <c r="AL144" s="31" t="str">
        <f t="shared" si="35"/>
        <v/>
      </c>
      <c r="AM144" s="26" t="str">
        <f t="shared" si="36"/>
        <v/>
      </c>
      <c r="AN144" s="32" t="str">
        <f t="shared" si="37"/>
        <v/>
      </c>
      <c r="AO144" s="32" t="str">
        <f t="shared" si="38"/>
        <v/>
      </c>
      <c r="AP144" s="24" t="str">
        <f t="shared" si="39"/>
        <v/>
      </c>
      <c r="AQ144" s="24" t="str">
        <f t="shared" si="40"/>
        <v/>
      </c>
      <c r="AR144" s="33" t="str">
        <f t="shared" si="41"/>
        <v/>
      </c>
      <c r="AS144" s="34"/>
      <c r="AT144" s="33"/>
      <c r="AV144" s="21">
        <f>IF(AND($AL144&lt;&gt;"",COUNTIF($AL$11:$AL144,$AL144)=1),1,0)</f>
        <v>0</v>
      </c>
      <c r="AW144" s="21">
        <f t="shared" si="43"/>
        <v>0</v>
      </c>
      <c r="AX144" s="21" t="str">
        <f t="shared" si="42"/>
        <v/>
      </c>
      <c r="AY144" s="21" t="str">
        <f>IF(AND($AM144&lt;&gt;"",$AS144&lt;&gt;"✓"),SUMPRODUCT(($AM$11:$AM144&lt;&gt;"")*($AS$11:$AS144&lt;&gt;"✓")),"")</f>
        <v/>
      </c>
      <c r="AZ144" s="21" t="str">
        <f>IF(AND($AM144&lt;&gt;"",$AS144="✓"),SUMPRODUCT(($AM$11:$AM144&lt;&gt;"")*($AS$11:$AS144="✓")),"")</f>
        <v/>
      </c>
      <c r="BA144" s="21" t="str">
        <f>IF($AL144="","",$AL144&amp;"|"&amp;COUNTIF($AL$11:$AL144,$AL144))</f>
        <v/>
      </c>
    </row>
    <row r="145" spans="2:53" ht="15" customHeight="1" x14ac:dyDescent="0.25">
      <c r="B145" s="5" t="str">
        <f t="shared" si="30"/>
        <v/>
      </c>
      <c r="C145" s="5"/>
      <c r="D145" s="5"/>
      <c r="E145" s="5"/>
      <c r="F145" s="6"/>
      <c r="G145" s="6"/>
      <c r="H145" s="7"/>
      <c r="I145" s="8"/>
      <c r="K145" s="9" t="str">
        <f>IFERROR(INDEX($AL$11:$AL$4010,MATCH(135,$AX$11:$AX$4010,0)),"")</f>
        <v/>
      </c>
      <c r="L145" s="10" t="str">
        <f t="shared" si="31"/>
        <v/>
      </c>
      <c r="M145" s="11" t="str">
        <f t="shared" si="32"/>
        <v/>
      </c>
      <c r="N145" s="11" t="str">
        <f t="shared" si="33"/>
        <v/>
      </c>
      <c r="P145" s="12" t="str">
        <f>IFERROR(INDEX($AM$11:$AM$4010,MATCH($S$8&amp;"|"&amp;135,$BA$11:$BA$4010,0)),"")</f>
        <v/>
      </c>
      <c r="Q145" s="11" t="str">
        <f>IF(P145="","",IFERROR(INDEX($AN$11:$AN$4010,MATCH($S$8&amp;"|"&amp;135,$BA$11:$BA$4010,0)),""))</f>
        <v/>
      </c>
      <c r="R145" s="11" t="str">
        <f>IF(P145="","",IFERROR(INDEX($AO$11:$AO$4010,MATCH($S$8&amp;"|"&amp;135,$BA$11:$BA$4010,0)),""))</f>
        <v/>
      </c>
      <c r="S145" s="10" t="str">
        <f>IF(P145="","",IFERROR(INDEX($AP$11:$AP$4010,MATCH($S$8&amp;"|"&amp;135,$BA$11:$BA$4010,0)),""))</f>
        <v/>
      </c>
      <c r="T145" s="10" t="str">
        <f>IF(P145="","",IFERROR(INDEX($AQ$11:$AQ$4010,MATCH($S$8&amp;"|"&amp;135,$BA$11:$BA$4010,0)),""))</f>
        <v/>
      </c>
      <c r="U145" s="39" t="str">
        <f t="shared" si="34"/>
        <v/>
      </c>
      <c r="W145" s="14" t="str">
        <f>IF(X145="","",IFERROR(INDEX($AL$11:$AL$4010,MATCH(135,$AY$11:$AY$4010,0)),""))</f>
        <v/>
      </c>
      <c r="X145" s="12" t="str">
        <f>IFERROR(INDEX($AM$11:$AM$4010,MATCH(135,$AY$11:$AY$4010,0)),"")</f>
        <v/>
      </c>
      <c r="Y145" s="11" t="str">
        <f>IF(X145="","",IFERROR(INDEX($AN$11:$AN$4010,MATCH(135,$AY$11:$AY$4010,0)),""))</f>
        <v/>
      </c>
      <c r="Z145" s="11" t="str">
        <f>IF(X145="","",IFERROR(INDEX($AO$11:$AO$4010,MATCH(135,$AY$11:$AY$4010,0)),""))</f>
        <v/>
      </c>
      <c r="AA145" s="10" t="str">
        <f>IF(X145="","",IFERROR(INDEX($AQ$11:$AQ$4010,MATCH(135,$AY$11:$AY$4010,0)),""))</f>
        <v/>
      </c>
      <c r="AB145" s="15" t="str">
        <f>IF(X145="","",IFERROR(INDEX($AR$11:$AR$4010,MATCH(135,$AY$11:$AY$4010,0)),""))</f>
        <v/>
      </c>
      <c r="AD145" s="16" t="str">
        <f>IF(AE145="","",IFERROR(INDEX($AL$11:$AL$4010,MATCH(135,$AZ$11:$AZ$4010,0)),""))</f>
        <v/>
      </c>
      <c r="AE145" s="12" t="str">
        <f>IFERROR(INDEX($AM$11:$AM$4010,MATCH(135,$AZ$11:$AZ$4010,0)),"")</f>
        <v/>
      </c>
      <c r="AF145" s="11" t="str">
        <f>IF(AE145="","",IFERROR(INDEX($AN$11:$AN$4010,MATCH(135,$AZ$11:$AZ$4010,0)),""))</f>
        <v/>
      </c>
      <c r="AG145" s="11" t="str">
        <f>IF(AE145="","",IFERROR(INDEX($AO$11:$AO$4010,MATCH(135,$AZ$11:$AZ$4010,0)),""))</f>
        <v/>
      </c>
      <c r="AH145" s="10" t="str">
        <f>IF(AE145="","",IFERROR(INDEX($AQ$11:$AQ$4010,MATCH(135,$AZ$11:$AZ$4010,0)),""))</f>
        <v/>
      </c>
      <c r="AI145" s="15" t="str">
        <f>IF(AE145="","",IFERROR(INDEX($AR$11:$AR$4010,MATCH(135,$AZ$11:$AZ$4010,0)),""))</f>
        <v/>
      </c>
      <c r="AJ145" s="15" t="str">
        <f>IF(AE145="","",IFERROR(INDEX($AT$11:$AT$4010,MATCH(135,$AZ$11:$AZ$4010,0)),""))</f>
        <v/>
      </c>
      <c r="AL145" s="17" t="str">
        <f t="shared" si="35"/>
        <v/>
      </c>
      <c r="AM145" s="12" t="str">
        <f t="shared" si="36"/>
        <v/>
      </c>
      <c r="AN145" s="18" t="str">
        <f t="shared" si="37"/>
        <v/>
      </c>
      <c r="AO145" s="18" t="str">
        <f t="shared" si="38"/>
        <v/>
      </c>
      <c r="AP145" s="10" t="str">
        <f t="shared" si="39"/>
        <v/>
      </c>
      <c r="AQ145" s="10" t="str">
        <f t="shared" si="40"/>
        <v/>
      </c>
      <c r="AR145" s="19" t="str">
        <f t="shared" si="41"/>
        <v/>
      </c>
      <c r="AS145" s="20"/>
      <c r="AT145" s="19"/>
      <c r="AV145" s="21">
        <f>IF(AND($AL145&lt;&gt;"",COUNTIF($AL$11:$AL145,$AL145)=1),1,0)</f>
        <v>0</v>
      </c>
      <c r="AW145" s="21">
        <f t="shared" si="43"/>
        <v>0</v>
      </c>
      <c r="AX145" s="21" t="str">
        <f t="shared" si="42"/>
        <v/>
      </c>
      <c r="AY145" s="21" t="str">
        <f>IF(AND($AM145&lt;&gt;"",$AS145&lt;&gt;"✓"),SUMPRODUCT(($AM$11:$AM145&lt;&gt;"")*($AS$11:$AS145&lt;&gt;"✓")),"")</f>
        <v/>
      </c>
      <c r="AZ145" s="21" t="str">
        <f>IF(AND($AM145&lt;&gt;"",$AS145="✓"),SUMPRODUCT(($AM$11:$AM145&lt;&gt;"")*($AS$11:$AS145="✓")),"")</f>
        <v/>
      </c>
      <c r="BA145" s="21" t="str">
        <f>IF($AL145="","",$AL145&amp;"|"&amp;COUNTIF($AL$11:$AL145,$AL145))</f>
        <v/>
      </c>
    </row>
    <row r="146" spans="2:53" ht="15" customHeight="1" x14ac:dyDescent="0.25">
      <c r="B146" s="5" t="str">
        <f t="shared" si="30"/>
        <v/>
      </c>
      <c r="C146" s="5"/>
      <c r="D146" s="5"/>
      <c r="E146" s="5"/>
      <c r="F146" s="6"/>
      <c r="G146" s="6"/>
      <c r="H146" s="7"/>
      <c r="I146" s="8"/>
      <c r="K146" s="23" t="str">
        <f>IFERROR(INDEX($AL$11:$AL$4010,MATCH(136,$AX$11:$AX$4010,0)),"")</f>
        <v/>
      </c>
      <c r="L146" s="24" t="str">
        <f t="shared" si="31"/>
        <v/>
      </c>
      <c r="M146" s="25" t="str">
        <f t="shared" si="32"/>
        <v/>
      </c>
      <c r="N146" s="25" t="str">
        <f t="shared" si="33"/>
        <v/>
      </c>
      <c r="P146" s="26" t="str">
        <f>IFERROR(INDEX($AM$11:$AM$4010,MATCH($S$8&amp;"|"&amp;136,$BA$11:$BA$4010,0)),"")</f>
        <v/>
      </c>
      <c r="Q146" s="25" t="str">
        <f>IF(P146="","",IFERROR(INDEX($AN$11:$AN$4010,MATCH($S$8&amp;"|"&amp;136,$BA$11:$BA$4010,0)),""))</f>
        <v/>
      </c>
      <c r="R146" s="25" t="str">
        <f>IF(P146="","",IFERROR(INDEX($AO$11:$AO$4010,MATCH($S$8&amp;"|"&amp;136,$BA$11:$BA$4010,0)),""))</f>
        <v/>
      </c>
      <c r="S146" s="24" t="str">
        <f>IF(P146="","",IFERROR(INDEX($AP$11:$AP$4010,MATCH($S$8&amp;"|"&amp;136,$BA$11:$BA$4010,0)),""))</f>
        <v/>
      </c>
      <c r="T146" s="24" t="str">
        <f>IF(P146="","",IFERROR(INDEX($AQ$11:$AQ$4010,MATCH($S$8&amp;"|"&amp;136,$BA$11:$BA$4010,0)),""))</f>
        <v/>
      </c>
      <c r="U146" s="38" t="str">
        <f t="shared" si="34"/>
        <v/>
      </c>
      <c r="W146" s="28" t="str">
        <f>IF(X146="","",IFERROR(INDEX($AL$11:$AL$4010,MATCH(136,$AY$11:$AY$4010,0)),""))</f>
        <v/>
      </c>
      <c r="X146" s="26" t="str">
        <f>IFERROR(INDEX($AM$11:$AM$4010,MATCH(136,$AY$11:$AY$4010,0)),"")</f>
        <v/>
      </c>
      <c r="Y146" s="25" t="str">
        <f>IF(X146="","",IFERROR(INDEX($AN$11:$AN$4010,MATCH(136,$AY$11:$AY$4010,0)),""))</f>
        <v/>
      </c>
      <c r="Z146" s="25" t="str">
        <f>IF(X146="","",IFERROR(INDEX($AO$11:$AO$4010,MATCH(136,$AY$11:$AY$4010,0)),""))</f>
        <v/>
      </c>
      <c r="AA146" s="24" t="str">
        <f>IF(X146="","",IFERROR(INDEX($AQ$11:$AQ$4010,MATCH(136,$AY$11:$AY$4010,0)),""))</f>
        <v/>
      </c>
      <c r="AB146" s="29" t="str">
        <f>IF(X146="","",IFERROR(INDEX($AR$11:$AR$4010,MATCH(136,$AY$11:$AY$4010,0)),""))</f>
        <v/>
      </c>
      <c r="AD146" s="30" t="str">
        <f>IF(AE146="","",IFERROR(INDEX($AL$11:$AL$4010,MATCH(136,$AZ$11:$AZ$4010,0)),""))</f>
        <v/>
      </c>
      <c r="AE146" s="26" t="str">
        <f>IFERROR(INDEX($AM$11:$AM$4010,MATCH(136,$AZ$11:$AZ$4010,0)),"")</f>
        <v/>
      </c>
      <c r="AF146" s="25" t="str">
        <f>IF(AE146="","",IFERROR(INDEX($AN$11:$AN$4010,MATCH(136,$AZ$11:$AZ$4010,0)),""))</f>
        <v/>
      </c>
      <c r="AG146" s="25" t="str">
        <f>IF(AE146="","",IFERROR(INDEX($AO$11:$AO$4010,MATCH(136,$AZ$11:$AZ$4010,0)),""))</f>
        <v/>
      </c>
      <c r="AH146" s="24" t="str">
        <f>IF(AE146="","",IFERROR(INDEX($AQ$11:$AQ$4010,MATCH(136,$AZ$11:$AZ$4010,0)),""))</f>
        <v/>
      </c>
      <c r="AI146" s="29" t="str">
        <f>IF(AE146="","",IFERROR(INDEX($AR$11:$AR$4010,MATCH(136,$AZ$11:$AZ$4010,0)),""))</f>
        <v/>
      </c>
      <c r="AJ146" s="29" t="str">
        <f>IF(AE146="","",IFERROR(INDEX($AT$11:$AT$4010,MATCH(136,$AZ$11:$AZ$4010,0)),""))</f>
        <v/>
      </c>
      <c r="AL146" s="31" t="str">
        <f t="shared" si="35"/>
        <v/>
      </c>
      <c r="AM146" s="26" t="str">
        <f t="shared" si="36"/>
        <v/>
      </c>
      <c r="AN146" s="32" t="str">
        <f t="shared" si="37"/>
        <v/>
      </c>
      <c r="AO146" s="32" t="str">
        <f t="shared" si="38"/>
        <v/>
      </c>
      <c r="AP146" s="24" t="str">
        <f t="shared" si="39"/>
        <v/>
      </c>
      <c r="AQ146" s="24" t="str">
        <f t="shared" si="40"/>
        <v/>
      </c>
      <c r="AR146" s="33" t="str">
        <f t="shared" si="41"/>
        <v/>
      </c>
      <c r="AS146" s="34"/>
      <c r="AT146" s="33"/>
      <c r="AV146" s="21">
        <f>IF(AND($AL146&lt;&gt;"",COUNTIF($AL$11:$AL146,$AL146)=1),1,0)</f>
        <v>0</v>
      </c>
      <c r="AW146" s="21">
        <f t="shared" si="43"/>
        <v>0</v>
      </c>
      <c r="AX146" s="21" t="str">
        <f t="shared" si="42"/>
        <v/>
      </c>
      <c r="AY146" s="21" t="str">
        <f>IF(AND($AM146&lt;&gt;"",$AS146&lt;&gt;"✓"),SUMPRODUCT(($AM$11:$AM146&lt;&gt;"")*($AS$11:$AS146&lt;&gt;"✓")),"")</f>
        <v/>
      </c>
      <c r="AZ146" s="21" t="str">
        <f>IF(AND($AM146&lt;&gt;"",$AS146="✓"),SUMPRODUCT(($AM$11:$AM146&lt;&gt;"")*($AS$11:$AS146="✓")),"")</f>
        <v/>
      </c>
      <c r="BA146" s="21" t="str">
        <f>IF($AL146="","",$AL146&amp;"|"&amp;COUNTIF($AL$11:$AL146,$AL146))</f>
        <v/>
      </c>
    </row>
    <row r="147" spans="2:53" ht="15" customHeight="1" x14ac:dyDescent="0.25">
      <c r="B147" s="5" t="str">
        <f t="shared" si="30"/>
        <v/>
      </c>
      <c r="C147" s="5"/>
      <c r="D147" s="5"/>
      <c r="E147" s="5"/>
      <c r="F147" s="6"/>
      <c r="G147" s="6"/>
      <c r="H147" s="7"/>
      <c r="I147" s="8"/>
      <c r="K147" s="9" t="str">
        <f>IFERROR(INDEX($AL$11:$AL$4010,MATCH(137,$AX$11:$AX$4010,0)),"")</f>
        <v/>
      </c>
      <c r="L147" s="10" t="str">
        <f t="shared" si="31"/>
        <v/>
      </c>
      <c r="M147" s="11" t="str">
        <f t="shared" si="32"/>
        <v/>
      </c>
      <c r="N147" s="11" t="str">
        <f t="shared" si="33"/>
        <v/>
      </c>
      <c r="P147" s="12" t="str">
        <f>IFERROR(INDEX($AM$11:$AM$4010,MATCH($S$8&amp;"|"&amp;137,$BA$11:$BA$4010,0)),"")</f>
        <v/>
      </c>
      <c r="Q147" s="11" t="str">
        <f>IF(P147="","",IFERROR(INDEX($AN$11:$AN$4010,MATCH($S$8&amp;"|"&amp;137,$BA$11:$BA$4010,0)),""))</f>
        <v/>
      </c>
      <c r="R147" s="11" t="str">
        <f>IF(P147="","",IFERROR(INDEX($AO$11:$AO$4010,MATCH($S$8&amp;"|"&amp;137,$BA$11:$BA$4010,0)),""))</f>
        <v/>
      </c>
      <c r="S147" s="10" t="str">
        <f>IF(P147="","",IFERROR(INDEX($AP$11:$AP$4010,MATCH($S$8&amp;"|"&amp;137,$BA$11:$BA$4010,0)),""))</f>
        <v/>
      </c>
      <c r="T147" s="10" t="str">
        <f>IF(P147="","",IFERROR(INDEX($AQ$11:$AQ$4010,MATCH($S$8&amp;"|"&amp;137,$BA$11:$BA$4010,0)),""))</f>
        <v/>
      </c>
      <c r="U147" s="39" t="str">
        <f t="shared" si="34"/>
        <v/>
      </c>
      <c r="W147" s="14" t="str">
        <f>IF(X147="","",IFERROR(INDEX($AL$11:$AL$4010,MATCH(137,$AY$11:$AY$4010,0)),""))</f>
        <v/>
      </c>
      <c r="X147" s="12" t="str">
        <f>IFERROR(INDEX($AM$11:$AM$4010,MATCH(137,$AY$11:$AY$4010,0)),"")</f>
        <v/>
      </c>
      <c r="Y147" s="11" t="str">
        <f>IF(X147="","",IFERROR(INDEX($AN$11:$AN$4010,MATCH(137,$AY$11:$AY$4010,0)),""))</f>
        <v/>
      </c>
      <c r="Z147" s="11" t="str">
        <f>IF(X147="","",IFERROR(INDEX($AO$11:$AO$4010,MATCH(137,$AY$11:$AY$4010,0)),""))</f>
        <v/>
      </c>
      <c r="AA147" s="10" t="str">
        <f>IF(X147="","",IFERROR(INDEX($AQ$11:$AQ$4010,MATCH(137,$AY$11:$AY$4010,0)),""))</f>
        <v/>
      </c>
      <c r="AB147" s="15" t="str">
        <f>IF(X147="","",IFERROR(INDEX($AR$11:$AR$4010,MATCH(137,$AY$11:$AY$4010,0)),""))</f>
        <v/>
      </c>
      <c r="AD147" s="16" t="str">
        <f>IF(AE147="","",IFERROR(INDEX($AL$11:$AL$4010,MATCH(137,$AZ$11:$AZ$4010,0)),""))</f>
        <v/>
      </c>
      <c r="AE147" s="12" t="str">
        <f>IFERROR(INDEX($AM$11:$AM$4010,MATCH(137,$AZ$11:$AZ$4010,0)),"")</f>
        <v/>
      </c>
      <c r="AF147" s="11" t="str">
        <f>IF(AE147="","",IFERROR(INDEX($AN$11:$AN$4010,MATCH(137,$AZ$11:$AZ$4010,0)),""))</f>
        <v/>
      </c>
      <c r="AG147" s="11" t="str">
        <f>IF(AE147="","",IFERROR(INDEX($AO$11:$AO$4010,MATCH(137,$AZ$11:$AZ$4010,0)),""))</f>
        <v/>
      </c>
      <c r="AH147" s="10" t="str">
        <f>IF(AE147="","",IFERROR(INDEX($AQ$11:$AQ$4010,MATCH(137,$AZ$11:$AZ$4010,0)),""))</f>
        <v/>
      </c>
      <c r="AI147" s="15" t="str">
        <f>IF(AE147="","",IFERROR(INDEX($AR$11:$AR$4010,MATCH(137,$AZ$11:$AZ$4010,0)),""))</f>
        <v/>
      </c>
      <c r="AJ147" s="15" t="str">
        <f>IF(AE147="","",IFERROR(INDEX($AT$11:$AT$4010,MATCH(137,$AZ$11:$AZ$4010,0)),""))</f>
        <v/>
      </c>
      <c r="AL147" s="17" t="str">
        <f t="shared" si="35"/>
        <v/>
      </c>
      <c r="AM147" s="12" t="str">
        <f t="shared" si="36"/>
        <v/>
      </c>
      <c r="AN147" s="18" t="str">
        <f t="shared" si="37"/>
        <v/>
      </c>
      <c r="AO147" s="18" t="str">
        <f t="shared" si="38"/>
        <v/>
      </c>
      <c r="AP147" s="10" t="str">
        <f t="shared" si="39"/>
        <v/>
      </c>
      <c r="AQ147" s="10" t="str">
        <f t="shared" si="40"/>
        <v/>
      </c>
      <c r="AR147" s="19" t="str">
        <f t="shared" si="41"/>
        <v/>
      </c>
      <c r="AS147" s="20"/>
      <c r="AT147" s="19"/>
      <c r="AV147" s="21">
        <f>IF(AND($AL147&lt;&gt;"",COUNTIF($AL$11:$AL147,$AL147)=1),1,0)</f>
        <v>0</v>
      </c>
      <c r="AW147" s="21">
        <f t="shared" si="43"/>
        <v>0</v>
      </c>
      <c r="AX147" s="21" t="str">
        <f t="shared" si="42"/>
        <v/>
      </c>
      <c r="AY147" s="21" t="str">
        <f>IF(AND($AM147&lt;&gt;"",$AS147&lt;&gt;"✓"),SUMPRODUCT(($AM$11:$AM147&lt;&gt;"")*($AS$11:$AS147&lt;&gt;"✓")),"")</f>
        <v/>
      </c>
      <c r="AZ147" s="21" t="str">
        <f>IF(AND($AM147&lt;&gt;"",$AS147="✓"),SUMPRODUCT(($AM$11:$AM147&lt;&gt;"")*($AS$11:$AS147="✓")),"")</f>
        <v/>
      </c>
      <c r="BA147" s="21" t="str">
        <f>IF($AL147="","",$AL147&amp;"|"&amp;COUNTIF($AL$11:$AL147,$AL147))</f>
        <v/>
      </c>
    </row>
    <row r="148" spans="2:53" ht="15" customHeight="1" x14ac:dyDescent="0.25">
      <c r="B148" s="5" t="str">
        <f t="shared" si="30"/>
        <v/>
      </c>
      <c r="C148" s="5"/>
      <c r="D148" s="5"/>
      <c r="E148" s="5"/>
      <c r="F148" s="6"/>
      <c r="G148" s="6"/>
      <c r="H148" s="7"/>
      <c r="I148" s="8"/>
      <c r="K148" s="23" t="str">
        <f>IFERROR(INDEX($AL$11:$AL$4010,MATCH(138,$AX$11:$AX$4010,0)),"")</f>
        <v/>
      </c>
      <c r="L148" s="24" t="str">
        <f t="shared" si="31"/>
        <v/>
      </c>
      <c r="M148" s="25" t="str">
        <f t="shared" si="32"/>
        <v/>
      </c>
      <c r="N148" s="25" t="str">
        <f t="shared" si="33"/>
        <v/>
      </c>
      <c r="P148" s="26" t="str">
        <f>IFERROR(INDEX($AM$11:$AM$4010,MATCH($S$8&amp;"|"&amp;138,$BA$11:$BA$4010,0)),"")</f>
        <v/>
      </c>
      <c r="Q148" s="25" t="str">
        <f>IF(P148="","",IFERROR(INDEX($AN$11:$AN$4010,MATCH($S$8&amp;"|"&amp;138,$BA$11:$BA$4010,0)),""))</f>
        <v/>
      </c>
      <c r="R148" s="25" t="str">
        <f>IF(P148="","",IFERROR(INDEX($AO$11:$AO$4010,MATCH($S$8&amp;"|"&amp;138,$BA$11:$BA$4010,0)),""))</f>
        <v/>
      </c>
      <c r="S148" s="24" t="str">
        <f>IF(P148="","",IFERROR(INDEX($AP$11:$AP$4010,MATCH($S$8&amp;"|"&amp;138,$BA$11:$BA$4010,0)),""))</f>
        <v/>
      </c>
      <c r="T148" s="24" t="str">
        <f>IF(P148="","",IFERROR(INDEX($AQ$11:$AQ$4010,MATCH($S$8&amp;"|"&amp;138,$BA$11:$BA$4010,0)),""))</f>
        <v/>
      </c>
      <c r="U148" s="38" t="str">
        <f t="shared" si="34"/>
        <v/>
      </c>
      <c r="W148" s="28" t="str">
        <f>IF(X148="","",IFERROR(INDEX($AL$11:$AL$4010,MATCH(138,$AY$11:$AY$4010,0)),""))</f>
        <v/>
      </c>
      <c r="X148" s="26" t="str">
        <f>IFERROR(INDEX($AM$11:$AM$4010,MATCH(138,$AY$11:$AY$4010,0)),"")</f>
        <v/>
      </c>
      <c r="Y148" s="25" t="str">
        <f>IF(X148="","",IFERROR(INDEX($AN$11:$AN$4010,MATCH(138,$AY$11:$AY$4010,0)),""))</f>
        <v/>
      </c>
      <c r="Z148" s="25" t="str">
        <f>IF(X148="","",IFERROR(INDEX($AO$11:$AO$4010,MATCH(138,$AY$11:$AY$4010,0)),""))</f>
        <v/>
      </c>
      <c r="AA148" s="24" t="str">
        <f>IF(X148="","",IFERROR(INDEX($AQ$11:$AQ$4010,MATCH(138,$AY$11:$AY$4010,0)),""))</f>
        <v/>
      </c>
      <c r="AB148" s="29" t="str">
        <f>IF(X148="","",IFERROR(INDEX($AR$11:$AR$4010,MATCH(138,$AY$11:$AY$4010,0)),""))</f>
        <v/>
      </c>
      <c r="AD148" s="30" t="str">
        <f>IF(AE148="","",IFERROR(INDEX($AL$11:$AL$4010,MATCH(138,$AZ$11:$AZ$4010,0)),""))</f>
        <v/>
      </c>
      <c r="AE148" s="26" t="str">
        <f>IFERROR(INDEX($AM$11:$AM$4010,MATCH(138,$AZ$11:$AZ$4010,0)),"")</f>
        <v/>
      </c>
      <c r="AF148" s="25" t="str">
        <f>IF(AE148="","",IFERROR(INDEX($AN$11:$AN$4010,MATCH(138,$AZ$11:$AZ$4010,0)),""))</f>
        <v/>
      </c>
      <c r="AG148" s="25" t="str">
        <f>IF(AE148="","",IFERROR(INDEX($AO$11:$AO$4010,MATCH(138,$AZ$11:$AZ$4010,0)),""))</f>
        <v/>
      </c>
      <c r="AH148" s="24" t="str">
        <f>IF(AE148="","",IFERROR(INDEX($AQ$11:$AQ$4010,MATCH(138,$AZ$11:$AZ$4010,0)),""))</f>
        <v/>
      </c>
      <c r="AI148" s="29" t="str">
        <f>IF(AE148="","",IFERROR(INDEX($AR$11:$AR$4010,MATCH(138,$AZ$11:$AZ$4010,0)),""))</f>
        <v/>
      </c>
      <c r="AJ148" s="29" t="str">
        <f>IF(AE148="","",IFERROR(INDEX($AT$11:$AT$4010,MATCH(138,$AZ$11:$AZ$4010,0)),""))</f>
        <v/>
      </c>
      <c r="AL148" s="31" t="str">
        <f t="shared" si="35"/>
        <v/>
      </c>
      <c r="AM148" s="26" t="str">
        <f t="shared" si="36"/>
        <v/>
      </c>
      <c r="AN148" s="32" t="str">
        <f t="shared" si="37"/>
        <v/>
      </c>
      <c r="AO148" s="32" t="str">
        <f t="shared" si="38"/>
        <v/>
      </c>
      <c r="AP148" s="24" t="str">
        <f t="shared" si="39"/>
        <v/>
      </c>
      <c r="AQ148" s="24" t="str">
        <f t="shared" si="40"/>
        <v/>
      </c>
      <c r="AR148" s="33" t="str">
        <f t="shared" si="41"/>
        <v/>
      </c>
      <c r="AS148" s="34"/>
      <c r="AT148" s="33"/>
      <c r="AV148" s="21">
        <f>IF(AND($AL148&lt;&gt;"",COUNTIF($AL$11:$AL148,$AL148)=1),1,0)</f>
        <v>0</v>
      </c>
      <c r="AW148" s="21">
        <f t="shared" si="43"/>
        <v>0</v>
      </c>
      <c r="AX148" s="21" t="str">
        <f t="shared" si="42"/>
        <v/>
      </c>
      <c r="AY148" s="21" t="str">
        <f>IF(AND($AM148&lt;&gt;"",$AS148&lt;&gt;"✓"),SUMPRODUCT(($AM$11:$AM148&lt;&gt;"")*($AS$11:$AS148&lt;&gt;"✓")),"")</f>
        <v/>
      </c>
      <c r="AZ148" s="21" t="str">
        <f>IF(AND($AM148&lt;&gt;"",$AS148="✓"),SUMPRODUCT(($AM$11:$AM148&lt;&gt;"")*($AS$11:$AS148="✓")),"")</f>
        <v/>
      </c>
      <c r="BA148" s="21" t="str">
        <f>IF($AL148="","",$AL148&amp;"|"&amp;COUNTIF($AL$11:$AL148,$AL148))</f>
        <v/>
      </c>
    </row>
    <row r="149" spans="2:53" ht="15" customHeight="1" x14ac:dyDescent="0.25">
      <c r="B149" s="5" t="str">
        <f t="shared" si="30"/>
        <v/>
      </c>
      <c r="C149" s="5"/>
      <c r="D149" s="5"/>
      <c r="E149" s="5"/>
      <c r="F149" s="6"/>
      <c r="G149" s="6"/>
      <c r="H149" s="7"/>
      <c r="I149" s="8"/>
      <c r="K149" s="9" t="str">
        <f>IFERROR(INDEX($AL$11:$AL$4010,MATCH(139,$AX$11:$AX$4010,0)),"")</f>
        <v/>
      </c>
      <c r="L149" s="10" t="str">
        <f t="shared" si="31"/>
        <v/>
      </c>
      <c r="M149" s="11" t="str">
        <f t="shared" si="32"/>
        <v/>
      </c>
      <c r="N149" s="11" t="str">
        <f t="shared" si="33"/>
        <v/>
      </c>
      <c r="P149" s="12" t="str">
        <f>IFERROR(INDEX($AM$11:$AM$4010,MATCH($S$8&amp;"|"&amp;139,$BA$11:$BA$4010,0)),"")</f>
        <v/>
      </c>
      <c r="Q149" s="11" t="str">
        <f>IF(P149="","",IFERROR(INDEX($AN$11:$AN$4010,MATCH($S$8&amp;"|"&amp;139,$BA$11:$BA$4010,0)),""))</f>
        <v/>
      </c>
      <c r="R149" s="11" t="str">
        <f>IF(P149="","",IFERROR(INDEX($AO$11:$AO$4010,MATCH($S$8&amp;"|"&amp;139,$BA$11:$BA$4010,0)),""))</f>
        <v/>
      </c>
      <c r="S149" s="10" t="str">
        <f>IF(P149="","",IFERROR(INDEX($AP$11:$AP$4010,MATCH($S$8&amp;"|"&amp;139,$BA$11:$BA$4010,0)),""))</f>
        <v/>
      </c>
      <c r="T149" s="10" t="str">
        <f>IF(P149="","",IFERROR(INDEX($AQ$11:$AQ$4010,MATCH($S$8&amp;"|"&amp;139,$BA$11:$BA$4010,0)),""))</f>
        <v/>
      </c>
      <c r="U149" s="39" t="str">
        <f t="shared" si="34"/>
        <v/>
      </c>
      <c r="W149" s="14" t="str">
        <f>IF(X149="","",IFERROR(INDEX($AL$11:$AL$4010,MATCH(139,$AY$11:$AY$4010,0)),""))</f>
        <v/>
      </c>
      <c r="X149" s="12" t="str">
        <f>IFERROR(INDEX($AM$11:$AM$4010,MATCH(139,$AY$11:$AY$4010,0)),"")</f>
        <v/>
      </c>
      <c r="Y149" s="11" t="str">
        <f>IF(X149="","",IFERROR(INDEX($AN$11:$AN$4010,MATCH(139,$AY$11:$AY$4010,0)),""))</f>
        <v/>
      </c>
      <c r="Z149" s="11" t="str">
        <f>IF(X149="","",IFERROR(INDEX($AO$11:$AO$4010,MATCH(139,$AY$11:$AY$4010,0)),""))</f>
        <v/>
      </c>
      <c r="AA149" s="10" t="str">
        <f>IF(X149="","",IFERROR(INDEX($AQ$11:$AQ$4010,MATCH(139,$AY$11:$AY$4010,0)),""))</f>
        <v/>
      </c>
      <c r="AB149" s="15" t="str">
        <f>IF(X149="","",IFERROR(INDEX($AR$11:$AR$4010,MATCH(139,$AY$11:$AY$4010,0)),""))</f>
        <v/>
      </c>
      <c r="AD149" s="16" t="str">
        <f>IF(AE149="","",IFERROR(INDEX($AL$11:$AL$4010,MATCH(139,$AZ$11:$AZ$4010,0)),""))</f>
        <v/>
      </c>
      <c r="AE149" s="12" t="str">
        <f>IFERROR(INDEX($AM$11:$AM$4010,MATCH(139,$AZ$11:$AZ$4010,0)),"")</f>
        <v/>
      </c>
      <c r="AF149" s="11" t="str">
        <f>IF(AE149="","",IFERROR(INDEX($AN$11:$AN$4010,MATCH(139,$AZ$11:$AZ$4010,0)),""))</f>
        <v/>
      </c>
      <c r="AG149" s="11" t="str">
        <f>IF(AE149="","",IFERROR(INDEX($AO$11:$AO$4010,MATCH(139,$AZ$11:$AZ$4010,0)),""))</f>
        <v/>
      </c>
      <c r="AH149" s="10" t="str">
        <f>IF(AE149="","",IFERROR(INDEX($AQ$11:$AQ$4010,MATCH(139,$AZ$11:$AZ$4010,0)),""))</f>
        <v/>
      </c>
      <c r="AI149" s="15" t="str">
        <f>IF(AE149="","",IFERROR(INDEX($AR$11:$AR$4010,MATCH(139,$AZ$11:$AZ$4010,0)),""))</f>
        <v/>
      </c>
      <c r="AJ149" s="15" t="str">
        <f>IF(AE149="","",IFERROR(INDEX($AT$11:$AT$4010,MATCH(139,$AZ$11:$AZ$4010,0)),""))</f>
        <v/>
      </c>
      <c r="AL149" s="17" t="str">
        <f t="shared" si="35"/>
        <v/>
      </c>
      <c r="AM149" s="12" t="str">
        <f t="shared" si="36"/>
        <v/>
      </c>
      <c r="AN149" s="18" t="str">
        <f t="shared" si="37"/>
        <v/>
      </c>
      <c r="AO149" s="18" t="str">
        <f t="shared" si="38"/>
        <v/>
      </c>
      <c r="AP149" s="10" t="str">
        <f t="shared" si="39"/>
        <v/>
      </c>
      <c r="AQ149" s="10" t="str">
        <f t="shared" si="40"/>
        <v/>
      </c>
      <c r="AR149" s="19" t="str">
        <f t="shared" si="41"/>
        <v/>
      </c>
      <c r="AS149" s="20"/>
      <c r="AT149" s="19"/>
      <c r="AV149" s="21">
        <f>IF(AND($AL149&lt;&gt;"",COUNTIF($AL$11:$AL149,$AL149)=1),1,0)</f>
        <v>0</v>
      </c>
      <c r="AW149" s="21">
        <f t="shared" si="43"/>
        <v>0</v>
      </c>
      <c r="AX149" s="21" t="str">
        <f t="shared" si="42"/>
        <v/>
      </c>
      <c r="AY149" s="21" t="str">
        <f>IF(AND($AM149&lt;&gt;"",$AS149&lt;&gt;"✓"),SUMPRODUCT(($AM$11:$AM149&lt;&gt;"")*($AS$11:$AS149&lt;&gt;"✓")),"")</f>
        <v/>
      </c>
      <c r="AZ149" s="21" t="str">
        <f>IF(AND($AM149&lt;&gt;"",$AS149="✓"),SUMPRODUCT(($AM$11:$AM149&lt;&gt;"")*($AS$11:$AS149="✓")),"")</f>
        <v/>
      </c>
      <c r="BA149" s="21" t="str">
        <f>IF($AL149="","",$AL149&amp;"|"&amp;COUNTIF($AL$11:$AL149,$AL149))</f>
        <v/>
      </c>
    </row>
    <row r="150" spans="2:53" ht="15" customHeight="1" x14ac:dyDescent="0.25">
      <c r="B150" s="5" t="str">
        <f t="shared" si="30"/>
        <v/>
      </c>
      <c r="C150" s="5"/>
      <c r="D150" s="5"/>
      <c r="E150" s="5"/>
      <c r="F150" s="6"/>
      <c r="G150" s="6"/>
      <c r="H150" s="7"/>
      <c r="I150" s="8"/>
      <c r="K150" s="23" t="str">
        <f>IFERROR(INDEX($AL$11:$AL$4010,MATCH(140,$AX$11:$AX$4010,0)),"")</f>
        <v/>
      </c>
      <c r="L150" s="24" t="str">
        <f t="shared" si="31"/>
        <v/>
      </c>
      <c r="M150" s="25" t="str">
        <f t="shared" si="32"/>
        <v/>
      </c>
      <c r="N150" s="25" t="str">
        <f t="shared" si="33"/>
        <v/>
      </c>
      <c r="P150" s="26" t="str">
        <f>IFERROR(INDEX($AM$11:$AM$4010,MATCH($S$8&amp;"|"&amp;140,$BA$11:$BA$4010,0)),"")</f>
        <v/>
      </c>
      <c r="Q150" s="25" t="str">
        <f>IF(P150="","",IFERROR(INDEX($AN$11:$AN$4010,MATCH($S$8&amp;"|"&amp;140,$BA$11:$BA$4010,0)),""))</f>
        <v/>
      </c>
      <c r="R150" s="25" t="str">
        <f>IF(P150="","",IFERROR(INDEX($AO$11:$AO$4010,MATCH($S$8&amp;"|"&amp;140,$BA$11:$BA$4010,0)),""))</f>
        <v/>
      </c>
      <c r="S150" s="24" t="str">
        <f>IF(P150="","",IFERROR(INDEX($AP$11:$AP$4010,MATCH($S$8&amp;"|"&amp;140,$BA$11:$BA$4010,0)),""))</f>
        <v/>
      </c>
      <c r="T150" s="24" t="str">
        <f>IF(P150="","",IFERROR(INDEX($AQ$11:$AQ$4010,MATCH($S$8&amp;"|"&amp;140,$BA$11:$BA$4010,0)),""))</f>
        <v/>
      </c>
      <c r="U150" s="38" t="str">
        <f t="shared" si="34"/>
        <v/>
      </c>
      <c r="W150" s="28" t="str">
        <f>IF(X150="","",IFERROR(INDEX($AL$11:$AL$4010,MATCH(140,$AY$11:$AY$4010,0)),""))</f>
        <v/>
      </c>
      <c r="X150" s="26" t="str">
        <f>IFERROR(INDEX($AM$11:$AM$4010,MATCH(140,$AY$11:$AY$4010,0)),"")</f>
        <v/>
      </c>
      <c r="Y150" s="25" t="str">
        <f>IF(X150="","",IFERROR(INDEX($AN$11:$AN$4010,MATCH(140,$AY$11:$AY$4010,0)),""))</f>
        <v/>
      </c>
      <c r="Z150" s="25" t="str">
        <f>IF(X150="","",IFERROR(INDEX($AO$11:$AO$4010,MATCH(140,$AY$11:$AY$4010,0)),""))</f>
        <v/>
      </c>
      <c r="AA150" s="24" t="str">
        <f>IF(X150="","",IFERROR(INDEX($AQ$11:$AQ$4010,MATCH(140,$AY$11:$AY$4010,0)),""))</f>
        <v/>
      </c>
      <c r="AB150" s="29" t="str">
        <f>IF(X150="","",IFERROR(INDEX($AR$11:$AR$4010,MATCH(140,$AY$11:$AY$4010,0)),""))</f>
        <v/>
      </c>
      <c r="AD150" s="30" t="str">
        <f>IF(AE150="","",IFERROR(INDEX($AL$11:$AL$4010,MATCH(140,$AZ$11:$AZ$4010,0)),""))</f>
        <v/>
      </c>
      <c r="AE150" s="26" t="str">
        <f>IFERROR(INDEX($AM$11:$AM$4010,MATCH(140,$AZ$11:$AZ$4010,0)),"")</f>
        <v/>
      </c>
      <c r="AF150" s="25" t="str">
        <f>IF(AE150="","",IFERROR(INDEX($AN$11:$AN$4010,MATCH(140,$AZ$11:$AZ$4010,0)),""))</f>
        <v/>
      </c>
      <c r="AG150" s="25" t="str">
        <f>IF(AE150="","",IFERROR(INDEX($AO$11:$AO$4010,MATCH(140,$AZ$11:$AZ$4010,0)),""))</f>
        <v/>
      </c>
      <c r="AH150" s="24" t="str">
        <f>IF(AE150="","",IFERROR(INDEX($AQ$11:$AQ$4010,MATCH(140,$AZ$11:$AZ$4010,0)),""))</f>
        <v/>
      </c>
      <c r="AI150" s="29" t="str">
        <f>IF(AE150="","",IFERROR(INDEX($AR$11:$AR$4010,MATCH(140,$AZ$11:$AZ$4010,0)),""))</f>
        <v/>
      </c>
      <c r="AJ150" s="29" t="str">
        <f>IF(AE150="","",IFERROR(INDEX($AT$11:$AT$4010,MATCH(140,$AZ$11:$AZ$4010,0)),""))</f>
        <v/>
      </c>
      <c r="AL150" s="31" t="str">
        <f t="shared" si="35"/>
        <v/>
      </c>
      <c r="AM150" s="26" t="str">
        <f t="shared" si="36"/>
        <v/>
      </c>
      <c r="AN150" s="32" t="str">
        <f t="shared" si="37"/>
        <v/>
      </c>
      <c r="AO150" s="32" t="str">
        <f t="shared" si="38"/>
        <v/>
      </c>
      <c r="AP150" s="24" t="str">
        <f t="shared" si="39"/>
        <v/>
      </c>
      <c r="AQ150" s="24" t="str">
        <f t="shared" si="40"/>
        <v/>
      </c>
      <c r="AR150" s="33" t="str">
        <f t="shared" si="41"/>
        <v/>
      </c>
      <c r="AS150" s="34"/>
      <c r="AT150" s="33"/>
      <c r="AV150" s="21">
        <f>IF(AND($AL150&lt;&gt;"",COUNTIF($AL$11:$AL150,$AL150)=1),1,0)</f>
        <v>0</v>
      </c>
      <c r="AW150" s="21">
        <f t="shared" si="43"/>
        <v>0</v>
      </c>
      <c r="AX150" s="21" t="str">
        <f t="shared" si="42"/>
        <v/>
      </c>
      <c r="AY150" s="21" t="str">
        <f>IF(AND($AM150&lt;&gt;"",$AS150&lt;&gt;"✓"),SUMPRODUCT(($AM$11:$AM150&lt;&gt;"")*($AS$11:$AS150&lt;&gt;"✓")),"")</f>
        <v/>
      </c>
      <c r="AZ150" s="21" t="str">
        <f>IF(AND($AM150&lt;&gt;"",$AS150="✓"),SUMPRODUCT(($AM$11:$AM150&lt;&gt;"")*($AS$11:$AS150="✓")),"")</f>
        <v/>
      </c>
      <c r="BA150" s="21" t="str">
        <f>IF($AL150="","",$AL150&amp;"|"&amp;COUNTIF($AL$11:$AL150,$AL150))</f>
        <v/>
      </c>
    </row>
    <row r="151" spans="2:53" ht="15" customHeight="1" x14ac:dyDescent="0.25">
      <c r="B151" s="5" t="str">
        <f t="shared" si="30"/>
        <v/>
      </c>
      <c r="C151" s="5"/>
      <c r="D151" s="5"/>
      <c r="E151" s="5"/>
      <c r="F151" s="6"/>
      <c r="G151" s="6"/>
      <c r="H151" s="7"/>
      <c r="I151" s="8"/>
      <c r="K151" s="9" t="str">
        <f>IFERROR(INDEX($AL$11:$AL$4010,MATCH(141,$AX$11:$AX$4010,0)),"")</f>
        <v/>
      </c>
      <c r="L151" s="10" t="str">
        <f t="shared" si="31"/>
        <v/>
      </c>
      <c r="M151" s="11" t="str">
        <f t="shared" si="32"/>
        <v/>
      </c>
      <c r="N151" s="11" t="str">
        <f t="shared" si="33"/>
        <v/>
      </c>
      <c r="P151" s="12" t="str">
        <f>IFERROR(INDEX($AM$11:$AM$4010,MATCH($S$8&amp;"|"&amp;141,$BA$11:$BA$4010,0)),"")</f>
        <v/>
      </c>
      <c r="Q151" s="11" t="str">
        <f>IF(P151="","",IFERROR(INDEX($AN$11:$AN$4010,MATCH($S$8&amp;"|"&amp;141,$BA$11:$BA$4010,0)),""))</f>
        <v/>
      </c>
      <c r="R151" s="11" t="str">
        <f>IF(P151="","",IFERROR(INDEX($AO$11:$AO$4010,MATCH($S$8&amp;"|"&amp;141,$BA$11:$BA$4010,0)),""))</f>
        <v/>
      </c>
      <c r="S151" s="10" t="str">
        <f>IF(P151="","",IFERROR(INDEX($AP$11:$AP$4010,MATCH($S$8&amp;"|"&amp;141,$BA$11:$BA$4010,0)),""))</f>
        <v/>
      </c>
      <c r="T151" s="10" t="str">
        <f>IF(P151="","",IFERROR(INDEX($AQ$11:$AQ$4010,MATCH($S$8&amp;"|"&amp;141,$BA$11:$BA$4010,0)),""))</f>
        <v/>
      </c>
      <c r="U151" s="39" t="str">
        <f t="shared" si="34"/>
        <v/>
      </c>
      <c r="W151" s="14" t="str">
        <f>IF(X151="","",IFERROR(INDEX($AL$11:$AL$4010,MATCH(141,$AY$11:$AY$4010,0)),""))</f>
        <v/>
      </c>
      <c r="X151" s="12" t="str">
        <f>IFERROR(INDEX($AM$11:$AM$4010,MATCH(141,$AY$11:$AY$4010,0)),"")</f>
        <v/>
      </c>
      <c r="Y151" s="11" t="str">
        <f>IF(X151="","",IFERROR(INDEX($AN$11:$AN$4010,MATCH(141,$AY$11:$AY$4010,0)),""))</f>
        <v/>
      </c>
      <c r="Z151" s="11" t="str">
        <f>IF(X151="","",IFERROR(INDEX($AO$11:$AO$4010,MATCH(141,$AY$11:$AY$4010,0)),""))</f>
        <v/>
      </c>
      <c r="AA151" s="10" t="str">
        <f>IF(X151="","",IFERROR(INDEX($AQ$11:$AQ$4010,MATCH(141,$AY$11:$AY$4010,0)),""))</f>
        <v/>
      </c>
      <c r="AB151" s="15" t="str">
        <f>IF(X151="","",IFERROR(INDEX($AR$11:$AR$4010,MATCH(141,$AY$11:$AY$4010,0)),""))</f>
        <v/>
      </c>
      <c r="AD151" s="16" t="str">
        <f>IF(AE151="","",IFERROR(INDEX($AL$11:$AL$4010,MATCH(141,$AZ$11:$AZ$4010,0)),""))</f>
        <v/>
      </c>
      <c r="AE151" s="12" t="str">
        <f>IFERROR(INDEX($AM$11:$AM$4010,MATCH(141,$AZ$11:$AZ$4010,0)),"")</f>
        <v/>
      </c>
      <c r="AF151" s="11" t="str">
        <f>IF(AE151="","",IFERROR(INDEX($AN$11:$AN$4010,MATCH(141,$AZ$11:$AZ$4010,0)),""))</f>
        <v/>
      </c>
      <c r="AG151" s="11" t="str">
        <f>IF(AE151="","",IFERROR(INDEX($AO$11:$AO$4010,MATCH(141,$AZ$11:$AZ$4010,0)),""))</f>
        <v/>
      </c>
      <c r="AH151" s="10" t="str">
        <f>IF(AE151="","",IFERROR(INDEX($AQ$11:$AQ$4010,MATCH(141,$AZ$11:$AZ$4010,0)),""))</f>
        <v/>
      </c>
      <c r="AI151" s="15" t="str">
        <f>IF(AE151="","",IFERROR(INDEX($AR$11:$AR$4010,MATCH(141,$AZ$11:$AZ$4010,0)),""))</f>
        <v/>
      </c>
      <c r="AJ151" s="15" t="str">
        <f>IF(AE151="","",IFERROR(INDEX($AT$11:$AT$4010,MATCH(141,$AZ$11:$AZ$4010,0)),""))</f>
        <v/>
      </c>
      <c r="AL151" s="17" t="str">
        <f t="shared" si="35"/>
        <v/>
      </c>
      <c r="AM151" s="12" t="str">
        <f t="shared" si="36"/>
        <v/>
      </c>
      <c r="AN151" s="18" t="str">
        <f t="shared" si="37"/>
        <v/>
      </c>
      <c r="AO151" s="18" t="str">
        <f t="shared" si="38"/>
        <v/>
      </c>
      <c r="AP151" s="10" t="str">
        <f t="shared" si="39"/>
        <v/>
      </c>
      <c r="AQ151" s="10" t="str">
        <f t="shared" si="40"/>
        <v/>
      </c>
      <c r="AR151" s="19" t="str">
        <f t="shared" si="41"/>
        <v/>
      </c>
      <c r="AS151" s="20"/>
      <c r="AT151" s="19"/>
      <c r="AV151" s="21">
        <f>IF(AND($AL151&lt;&gt;"",COUNTIF($AL$11:$AL151,$AL151)=1),1,0)</f>
        <v>0</v>
      </c>
      <c r="AW151" s="21">
        <f t="shared" si="43"/>
        <v>0</v>
      </c>
      <c r="AX151" s="21" t="str">
        <f t="shared" si="42"/>
        <v/>
      </c>
      <c r="AY151" s="21" t="str">
        <f>IF(AND($AM151&lt;&gt;"",$AS151&lt;&gt;"✓"),SUMPRODUCT(($AM$11:$AM151&lt;&gt;"")*($AS$11:$AS151&lt;&gt;"✓")),"")</f>
        <v/>
      </c>
      <c r="AZ151" s="21" t="str">
        <f>IF(AND($AM151&lt;&gt;"",$AS151="✓"),SUMPRODUCT(($AM$11:$AM151&lt;&gt;"")*($AS$11:$AS151="✓")),"")</f>
        <v/>
      </c>
      <c r="BA151" s="21" t="str">
        <f>IF($AL151="","",$AL151&amp;"|"&amp;COUNTIF($AL$11:$AL151,$AL151))</f>
        <v/>
      </c>
    </row>
    <row r="152" spans="2:53" ht="15" customHeight="1" x14ac:dyDescent="0.25">
      <c r="B152" s="5" t="str">
        <f t="shared" si="30"/>
        <v/>
      </c>
      <c r="C152" s="5"/>
      <c r="D152" s="5"/>
      <c r="E152" s="5"/>
      <c r="F152" s="6"/>
      <c r="G152" s="6"/>
      <c r="H152" s="7"/>
      <c r="I152" s="8"/>
      <c r="K152" s="23" t="str">
        <f>IFERROR(INDEX($AL$11:$AL$4010,MATCH(142,$AX$11:$AX$4010,0)),"")</f>
        <v/>
      </c>
      <c r="L152" s="24" t="str">
        <f t="shared" si="31"/>
        <v/>
      </c>
      <c r="M152" s="25" t="str">
        <f t="shared" si="32"/>
        <v/>
      </c>
      <c r="N152" s="25" t="str">
        <f t="shared" si="33"/>
        <v/>
      </c>
      <c r="P152" s="26" t="str">
        <f>IFERROR(INDEX($AM$11:$AM$4010,MATCH($S$8&amp;"|"&amp;142,$BA$11:$BA$4010,0)),"")</f>
        <v/>
      </c>
      <c r="Q152" s="25" t="str">
        <f>IF(P152="","",IFERROR(INDEX($AN$11:$AN$4010,MATCH($S$8&amp;"|"&amp;142,$BA$11:$BA$4010,0)),""))</f>
        <v/>
      </c>
      <c r="R152" s="25" t="str">
        <f>IF(P152="","",IFERROR(INDEX($AO$11:$AO$4010,MATCH($S$8&amp;"|"&amp;142,$BA$11:$BA$4010,0)),""))</f>
        <v/>
      </c>
      <c r="S152" s="24" t="str">
        <f>IF(P152="","",IFERROR(INDEX($AP$11:$AP$4010,MATCH($S$8&amp;"|"&amp;142,$BA$11:$BA$4010,0)),""))</f>
        <v/>
      </c>
      <c r="T152" s="24" t="str">
        <f>IF(P152="","",IFERROR(INDEX($AQ$11:$AQ$4010,MATCH($S$8&amp;"|"&amp;142,$BA$11:$BA$4010,0)),""))</f>
        <v/>
      </c>
      <c r="U152" s="38" t="str">
        <f t="shared" si="34"/>
        <v/>
      </c>
      <c r="W152" s="28" t="str">
        <f>IF(X152="","",IFERROR(INDEX($AL$11:$AL$4010,MATCH(142,$AY$11:$AY$4010,0)),""))</f>
        <v/>
      </c>
      <c r="X152" s="26" t="str">
        <f>IFERROR(INDEX($AM$11:$AM$4010,MATCH(142,$AY$11:$AY$4010,0)),"")</f>
        <v/>
      </c>
      <c r="Y152" s="25" t="str">
        <f>IF(X152="","",IFERROR(INDEX($AN$11:$AN$4010,MATCH(142,$AY$11:$AY$4010,0)),""))</f>
        <v/>
      </c>
      <c r="Z152" s="25" t="str">
        <f>IF(X152="","",IFERROR(INDEX($AO$11:$AO$4010,MATCH(142,$AY$11:$AY$4010,0)),""))</f>
        <v/>
      </c>
      <c r="AA152" s="24" t="str">
        <f>IF(X152="","",IFERROR(INDEX($AQ$11:$AQ$4010,MATCH(142,$AY$11:$AY$4010,0)),""))</f>
        <v/>
      </c>
      <c r="AB152" s="29" t="str">
        <f>IF(X152="","",IFERROR(INDEX($AR$11:$AR$4010,MATCH(142,$AY$11:$AY$4010,0)),""))</f>
        <v/>
      </c>
      <c r="AD152" s="30" t="str">
        <f>IF(AE152="","",IFERROR(INDEX($AL$11:$AL$4010,MATCH(142,$AZ$11:$AZ$4010,0)),""))</f>
        <v/>
      </c>
      <c r="AE152" s="26" t="str">
        <f>IFERROR(INDEX($AM$11:$AM$4010,MATCH(142,$AZ$11:$AZ$4010,0)),"")</f>
        <v/>
      </c>
      <c r="AF152" s="25" t="str">
        <f>IF(AE152="","",IFERROR(INDEX($AN$11:$AN$4010,MATCH(142,$AZ$11:$AZ$4010,0)),""))</f>
        <v/>
      </c>
      <c r="AG152" s="25" t="str">
        <f>IF(AE152="","",IFERROR(INDEX($AO$11:$AO$4010,MATCH(142,$AZ$11:$AZ$4010,0)),""))</f>
        <v/>
      </c>
      <c r="AH152" s="24" t="str">
        <f>IF(AE152="","",IFERROR(INDEX($AQ$11:$AQ$4010,MATCH(142,$AZ$11:$AZ$4010,0)),""))</f>
        <v/>
      </c>
      <c r="AI152" s="29" t="str">
        <f>IF(AE152="","",IFERROR(INDEX($AR$11:$AR$4010,MATCH(142,$AZ$11:$AZ$4010,0)),""))</f>
        <v/>
      </c>
      <c r="AJ152" s="29" t="str">
        <f>IF(AE152="","",IFERROR(INDEX($AT$11:$AT$4010,MATCH(142,$AZ$11:$AZ$4010,0)),""))</f>
        <v/>
      </c>
      <c r="AL152" s="31" t="str">
        <f t="shared" si="35"/>
        <v/>
      </c>
      <c r="AM152" s="26" t="str">
        <f t="shared" si="36"/>
        <v/>
      </c>
      <c r="AN152" s="32" t="str">
        <f t="shared" si="37"/>
        <v/>
      </c>
      <c r="AO152" s="32" t="str">
        <f t="shared" si="38"/>
        <v/>
      </c>
      <c r="AP152" s="24" t="str">
        <f t="shared" si="39"/>
        <v/>
      </c>
      <c r="AQ152" s="24" t="str">
        <f t="shared" si="40"/>
        <v/>
      </c>
      <c r="AR152" s="33" t="str">
        <f t="shared" si="41"/>
        <v/>
      </c>
      <c r="AS152" s="34"/>
      <c r="AT152" s="33"/>
      <c r="AV152" s="21">
        <f>IF(AND($AL152&lt;&gt;"",COUNTIF($AL$11:$AL152,$AL152)=1),1,0)</f>
        <v>0</v>
      </c>
      <c r="AW152" s="21">
        <f t="shared" si="43"/>
        <v>0</v>
      </c>
      <c r="AX152" s="21" t="str">
        <f t="shared" si="42"/>
        <v/>
      </c>
      <c r="AY152" s="21" t="str">
        <f>IF(AND($AM152&lt;&gt;"",$AS152&lt;&gt;"✓"),SUMPRODUCT(($AM$11:$AM152&lt;&gt;"")*($AS$11:$AS152&lt;&gt;"✓")),"")</f>
        <v/>
      </c>
      <c r="AZ152" s="21" t="str">
        <f>IF(AND($AM152&lt;&gt;"",$AS152="✓"),SUMPRODUCT(($AM$11:$AM152&lt;&gt;"")*($AS$11:$AS152="✓")),"")</f>
        <v/>
      </c>
      <c r="BA152" s="21" t="str">
        <f>IF($AL152="","",$AL152&amp;"|"&amp;COUNTIF($AL$11:$AL152,$AL152))</f>
        <v/>
      </c>
    </row>
    <row r="153" spans="2:53" ht="15" customHeight="1" x14ac:dyDescent="0.25">
      <c r="B153" s="5" t="str">
        <f t="shared" si="30"/>
        <v/>
      </c>
      <c r="C153" s="5"/>
      <c r="D153" s="5"/>
      <c r="E153" s="5"/>
      <c r="F153" s="6"/>
      <c r="G153" s="6"/>
      <c r="H153" s="7"/>
      <c r="I153" s="8"/>
      <c r="K153" s="9" t="str">
        <f>IFERROR(INDEX($AL$11:$AL$4010,MATCH(143,$AX$11:$AX$4010,0)),"")</f>
        <v/>
      </c>
      <c r="L153" s="10" t="str">
        <f t="shared" si="31"/>
        <v/>
      </c>
      <c r="M153" s="11" t="str">
        <f t="shared" si="32"/>
        <v/>
      </c>
      <c r="N153" s="11" t="str">
        <f t="shared" si="33"/>
        <v/>
      </c>
      <c r="P153" s="12" t="str">
        <f>IFERROR(INDEX($AM$11:$AM$4010,MATCH($S$8&amp;"|"&amp;143,$BA$11:$BA$4010,0)),"")</f>
        <v/>
      </c>
      <c r="Q153" s="11" t="str">
        <f>IF(P153="","",IFERROR(INDEX($AN$11:$AN$4010,MATCH($S$8&amp;"|"&amp;143,$BA$11:$BA$4010,0)),""))</f>
        <v/>
      </c>
      <c r="R153" s="11" t="str">
        <f>IF(P153="","",IFERROR(INDEX($AO$11:$AO$4010,MATCH($S$8&amp;"|"&amp;143,$BA$11:$BA$4010,0)),""))</f>
        <v/>
      </c>
      <c r="S153" s="10" t="str">
        <f>IF(P153="","",IFERROR(INDEX($AP$11:$AP$4010,MATCH($S$8&amp;"|"&amp;143,$BA$11:$BA$4010,0)),""))</f>
        <v/>
      </c>
      <c r="T153" s="10" t="str">
        <f>IF(P153="","",IFERROR(INDEX($AQ$11:$AQ$4010,MATCH($S$8&amp;"|"&amp;143,$BA$11:$BA$4010,0)),""))</f>
        <v/>
      </c>
      <c r="U153" s="39" t="str">
        <f t="shared" si="34"/>
        <v/>
      </c>
      <c r="W153" s="14" t="str">
        <f>IF(X153="","",IFERROR(INDEX($AL$11:$AL$4010,MATCH(143,$AY$11:$AY$4010,0)),""))</f>
        <v/>
      </c>
      <c r="X153" s="12" t="str">
        <f>IFERROR(INDEX($AM$11:$AM$4010,MATCH(143,$AY$11:$AY$4010,0)),"")</f>
        <v/>
      </c>
      <c r="Y153" s="11" t="str">
        <f>IF(X153="","",IFERROR(INDEX($AN$11:$AN$4010,MATCH(143,$AY$11:$AY$4010,0)),""))</f>
        <v/>
      </c>
      <c r="Z153" s="11" t="str">
        <f>IF(X153="","",IFERROR(INDEX($AO$11:$AO$4010,MATCH(143,$AY$11:$AY$4010,0)),""))</f>
        <v/>
      </c>
      <c r="AA153" s="10" t="str">
        <f>IF(X153="","",IFERROR(INDEX($AQ$11:$AQ$4010,MATCH(143,$AY$11:$AY$4010,0)),""))</f>
        <v/>
      </c>
      <c r="AB153" s="15" t="str">
        <f>IF(X153="","",IFERROR(INDEX($AR$11:$AR$4010,MATCH(143,$AY$11:$AY$4010,0)),""))</f>
        <v/>
      </c>
      <c r="AD153" s="16" t="str">
        <f>IF(AE153="","",IFERROR(INDEX($AL$11:$AL$4010,MATCH(143,$AZ$11:$AZ$4010,0)),""))</f>
        <v/>
      </c>
      <c r="AE153" s="12" t="str">
        <f>IFERROR(INDEX($AM$11:$AM$4010,MATCH(143,$AZ$11:$AZ$4010,0)),"")</f>
        <v/>
      </c>
      <c r="AF153" s="11" t="str">
        <f>IF(AE153="","",IFERROR(INDEX($AN$11:$AN$4010,MATCH(143,$AZ$11:$AZ$4010,0)),""))</f>
        <v/>
      </c>
      <c r="AG153" s="11" t="str">
        <f>IF(AE153="","",IFERROR(INDEX($AO$11:$AO$4010,MATCH(143,$AZ$11:$AZ$4010,0)),""))</f>
        <v/>
      </c>
      <c r="AH153" s="10" t="str">
        <f>IF(AE153="","",IFERROR(INDEX($AQ$11:$AQ$4010,MATCH(143,$AZ$11:$AZ$4010,0)),""))</f>
        <v/>
      </c>
      <c r="AI153" s="15" t="str">
        <f>IF(AE153="","",IFERROR(INDEX($AR$11:$AR$4010,MATCH(143,$AZ$11:$AZ$4010,0)),""))</f>
        <v/>
      </c>
      <c r="AJ153" s="15" t="str">
        <f>IF(AE153="","",IFERROR(INDEX($AT$11:$AT$4010,MATCH(143,$AZ$11:$AZ$4010,0)),""))</f>
        <v/>
      </c>
      <c r="AL153" s="17" t="str">
        <f t="shared" si="35"/>
        <v/>
      </c>
      <c r="AM153" s="12" t="str">
        <f t="shared" si="36"/>
        <v/>
      </c>
      <c r="AN153" s="18" t="str">
        <f t="shared" si="37"/>
        <v/>
      </c>
      <c r="AO153" s="18" t="str">
        <f t="shared" si="38"/>
        <v/>
      </c>
      <c r="AP153" s="10" t="str">
        <f t="shared" si="39"/>
        <v/>
      </c>
      <c r="AQ153" s="10" t="str">
        <f t="shared" si="40"/>
        <v/>
      </c>
      <c r="AR153" s="19" t="str">
        <f t="shared" si="41"/>
        <v/>
      </c>
      <c r="AS153" s="20"/>
      <c r="AT153" s="19"/>
      <c r="AV153" s="21">
        <f>IF(AND($AL153&lt;&gt;"",COUNTIF($AL$11:$AL153,$AL153)=1),1,0)</f>
        <v>0</v>
      </c>
      <c r="AW153" s="21">
        <f t="shared" si="43"/>
        <v>0</v>
      </c>
      <c r="AX153" s="21" t="str">
        <f t="shared" si="42"/>
        <v/>
      </c>
      <c r="AY153" s="21" t="str">
        <f>IF(AND($AM153&lt;&gt;"",$AS153&lt;&gt;"✓"),SUMPRODUCT(($AM$11:$AM153&lt;&gt;"")*($AS$11:$AS153&lt;&gt;"✓")),"")</f>
        <v/>
      </c>
      <c r="AZ153" s="21" t="str">
        <f>IF(AND($AM153&lt;&gt;"",$AS153="✓"),SUMPRODUCT(($AM$11:$AM153&lt;&gt;"")*($AS$11:$AS153="✓")),"")</f>
        <v/>
      </c>
      <c r="BA153" s="21" t="str">
        <f>IF($AL153="","",$AL153&amp;"|"&amp;COUNTIF($AL$11:$AL153,$AL153))</f>
        <v/>
      </c>
    </row>
    <row r="154" spans="2:53" ht="15" customHeight="1" x14ac:dyDescent="0.25">
      <c r="B154" s="5" t="str">
        <f t="shared" si="30"/>
        <v/>
      </c>
      <c r="C154" s="5"/>
      <c r="D154" s="5"/>
      <c r="E154" s="5"/>
      <c r="F154" s="6"/>
      <c r="G154" s="6"/>
      <c r="H154" s="7"/>
      <c r="I154" s="8"/>
      <c r="K154" s="23" t="str">
        <f>IFERROR(INDEX($AL$11:$AL$4010,MATCH(144,$AX$11:$AX$4010,0)),"")</f>
        <v/>
      </c>
      <c r="L154" s="24" t="str">
        <f t="shared" si="31"/>
        <v/>
      </c>
      <c r="M154" s="25" t="str">
        <f t="shared" si="32"/>
        <v/>
      </c>
      <c r="N154" s="25" t="str">
        <f t="shared" si="33"/>
        <v/>
      </c>
      <c r="P154" s="26" t="str">
        <f>IFERROR(INDEX($AM$11:$AM$4010,MATCH($S$8&amp;"|"&amp;144,$BA$11:$BA$4010,0)),"")</f>
        <v/>
      </c>
      <c r="Q154" s="25" t="str">
        <f>IF(P154="","",IFERROR(INDEX($AN$11:$AN$4010,MATCH($S$8&amp;"|"&amp;144,$BA$11:$BA$4010,0)),""))</f>
        <v/>
      </c>
      <c r="R154" s="25" t="str">
        <f>IF(P154="","",IFERROR(INDEX($AO$11:$AO$4010,MATCH($S$8&amp;"|"&amp;144,$BA$11:$BA$4010,0)),""))</f>
        <v/>
      </c>
      <c r="S154" s="24" t="str">
        <f>IF(P154="","",IFERROR(INDEX($AP$11:$AP$4010,MATCH($S$8&amp;"|"&amp;144,$BA$11:$BA$4010,0)),""))</f>
        <v/>
      </c>
      <c r="T154" s="24" t="str">
        <f>IF(P154="","",IFERROR(INDEX($AQ$11:$AQ$4010,MATCH($S$8&amp;"|"&amp;144,$BA$11:$BA$4010,0)),""))</f>
        <v/>
      </c>
      <c r="U154" s="38" t="str">
        <f t="shared" si="34"/>
        <v/>
      </c>
      <c r="W154" s="28" t="str">
        <f>IF(X154="","",IFERROR(INDEX($AL$11:$AL$4010,MATCH(144,$AY$11:$AY$4010,0)),""))</f>
        <v/>
      </c>
      <c r="X154" s="26" t="str">
        <f>IFERROR(INDEX($AM$11:$AM$4010,MATCH(144,$AY$11:$AY$4010,0)),"")</f>
        <v/>
      </c>
      <c r="Y154" s="25" t="str">
        <f>IF(X154="","",IFERROR(INDEX($AN$11:$AN$4010,MATCH(144,$AY$11:$AY$4010,0)),""))</f>
        <v/>
      </c>
      <c r="Z154" s="25" t="str">
        <f>IF(X154="","",IFERROR(INDEX($AO$11:$AO$4010,MATCH(144,$AY$11:$AY$4010,0)),""))</f>
        <v/>
      </c>
      <c r="AA154" s="24" t="str">
        <f>IF(X154="","",IFERROR(INDEX($AQ$11:$AQ$4010,MATCH(144,$AY$11:$AY$4010,0)),""))</f>
        <v/>
      </c>
      <c r="AB154" s="29" t="str">
        <f>IF(X154="","",IFERROR(INDEX($AR$11:$AR$4010,MATCH(144,$AY$11:$AY$4010,0)),""))</f>
        <v/>
      </c>
      <c r="AD154" s="30" t="str">
        <f>IF(AE154="","",IFERROR(INDEX($AL$11:$AL$4010,MATCH(144,$AZ$11:$AZ$4010,0)),""))</f>
        <v/>
      </c>
      <c r="AE154" s="26" t="str">
        <f>IFERROR(INDEX($AM$11:$AM$4010,MATCH(144,$AZ$11:$AZ$4010,0)),"")</f>
        <v/>
      </c>
      <c r="AF154" s="25" t="str">
        <f>IF(AE154="","",IFERROR(INDEX($AN$11:$AN$4010,MATCH(144,$AZ$11:$AZ$4010,0)),""))</f>
        <v/>
      </c>
      <c r="AG154" s="25" t="str">
        <f>IF(AE154="","",IFERROR(INDEX($AO$11:$AO$4010,MATCH(144,$AZ$11:$AZ$4010,0)),""))</f>
        <v/>
      </c>
      <c r="AH154" s="24" t="str">
        <f>IF(AE154="","",IFERROR(INDEX($AQ$11:$AQ$4010,MATCH(144,$AZ$11:$AZ$4010,0)),""))</f>
        <v/>
      </c>
      <c r="AI154" s="29" t="str">
        <f>IF(AE154="","",IFERROR(INDEX($AR$11:$AR$4010,MATCH(144,$AZ$11:$AZ$4010,0)),""))</f>
        <v/>
      </c>
      <c r="AJ154" s="29" t="str">
        <f>IF(AE154="","",IFERROR(INDEX($AT$11:$AT$4010,MATCH(144,$AZ$11:$AZ$4010,0)),""))</f>
        <v/>
      </c>
      <c r="AL154" s="31" t="str">
        <f t="shared" si="35"/>
        <v/>
      </c>
      <c r="AM154" s="26" t="str">
        <f t="shared" si="36"/>
        <v/>
      </c>
      <c r="AN154" s="32" t="str">
        <f t="shared" si="37"/>
        <v/>
      </c>
      <c r="AO154" s="32" t="str">
        <f t="shared" si="38"/>
        <v/>
      </c>
      <c r="AP154" s="24" t="str">
        <f t="shared" si="39"/>
        <v/>
      </c>
      <c r="AQ154" s="24" t="str">
        <f t="shared" si="40"/>
        <v/>
      </c>
      <c r="AR154" s="33" t="str">
        <f t="shared" si="41"/>
        <v/>
      </c>
      <c r="AS154" s="34"/>
      <c r="AT154" s="33"/>
      <c r="AV154" s="21">
        <f>IF(AND($AL154&lt;&gt;"",COUNTIF($AL$11:$AL154,$AL154)=1),1,0)</f>
        <v>0</v>
      </c>
      <c r="AW154" s="21">
        <f t="shared" si="43"/>
        <v>0</v>
      </c>
      <c r="AX154" s="21" t="str">
        <f t="shared" si="42"/>
        <v/>
      </c>
      <c r="AY154" s="21" t="str">
        <f>IF(AND($AM154&lt;&gt;"",$AS154&lt;&gt;"✓"),SUMPRODUCT(($AM$11:$AM154&lt;&gt;"")*($AS$11:$AS154&lt;&gt;"✓")),"")</f>
        <v/>
      </c>
      <c r="AZ154" s="21" t="str">
        <f>IF(AND($AM154&lt;&gt;"",$AS154="✓"),SUMPRODUCT(($AM$11:$AM154&lt;&gt;"")*($AS$11:$AS154="✓")),"")</f>
        <v/>
      </c>
      <c r="BA154" s="21" t="str">
        <f>IF($AL154="","",$AL154&amp;"|"&amp;COUNTIF($AL$11:$AL154,$AL154))</f>
        <v/>
      </c>
    </row>
    <row r="155" spans="2:53" ht="15" customHeight="1" x14ac:dyDescent="0.25">
      <c r="B155" s="5" t="str">
        <f t="shared" si="30"/>
        <v/>
      </c>
      <c r="C155" s="5"/>
      <c r="D155" s="5"/>
      <c r="E155" s="5"/>
      <c r="F155" s="6"/>
      <c r="G155" s="6"/>
      <c r="H155" s="7"/>
      <c r="I155" s="8"/>
      <c r="K155" s="9" t="str">
        <f>IFERROR(INDEX($AL$11:$AL$4010,MATCH(145,$AX$11:$AX$4010,0)),"")</f>
        <v/>
      </c>
      <c r="L155" s="10" t="str">
        <f t="shared" si="31"/>
        <v/>
      </c>
      <c r="M155" s="11" t="str">
        <f t="shared" si="32"/>
        <v/>
      </c>
      <c r="N155" s="11" t="str">
        <f t="shared" si="33"/>
        <v/>
      </c>
      <c r="P155" s="12" t="str">
        <f>IFERROR(INDEX($AM$11:$AM$4010,MATCH($S$8&amp;"|"&amp;145,$BA$11:$BA$4010,0)),"")</f>
        <v/>
      </c>
      <c r="Q155" s="11" t="str">
        <f>IF(P155="","",IFERROR(INDEX($AN$11:$AN$4010,MATCH($S$8&amp;"|"&amp;145,$BA$11:$BA$4010,0)),""))</f>
        <v/>
      </c>
      <c r="R155" s="11" t="str">
        <f>IF(P155="","",IFERROR(INDEX($AO$11:$AO$4010,MATCH($S$8&amp;"|"&amp;145,$BA$11:$BA$4010,0)),""))</f>
        <v/>
      </c>
      <c r="S155" s="10" t="str">
        <f>IF(P155="","",IFERROR(INDEX($AP$11:$AP$4010,MATCH($S$8&amp;"|"&amp;145,$BA$11:$BA$4010,0)),""))</f>
        <v/>
      </c>
      <c r="T155" s="10" t="str">
        <f>IF(P155="","",IFERROR(INDEX($AQ$11:$AQ$4010,MATCH($S$8&amp;"|"&amp;145,$BA$11:$BA$4010,0)),""))</f>
        <v/>
      </c>
      <c r="U155" s="39" t="str">
        <f t="shared" si="34"/>
        <v/>
      </c>
      <c r="W155" s="14" t="str">
        <f>IF(X155="","",IFERROR(INDEX($AL$11:$AL$4010,MATCH(145,$AY$11:$AY$4010,0)),""))</f>
        <v/>
      </c>
      <c r="X155" s="12" t="str">
        <f>IFERROR(INDEX($AM$11:$AM$4010,MATCH(145,$AY$11:$AY$4010,0)),"")</f>
        <v/>
      </c>
      <c r="Y155" s="11" t="str">
        <f>IF(X155="","",IFERROR(INDEX($AN$11:$AN$4010,MATCH(145,$AY$11:$AY$4010,0)),""))</f>
        <v/>
      </c>
      <c r="Z155" s="11" t="str">
        <f>IF(X155="","",IFERROR(INDEX($AO$11:$AO$4010,MATCH(145,$AY$11:$AY$4010,0)),""))</f>
        <v/>
      </c>
      <c r="AA155" s="10" t="str">
        <f>IF(X155="","",IFERROR(INDEX($AQ$11:$AQ$4010,MATCH(145,$AY$11:$AY$4010,0)),""))</f>
        <v/>
      </c>
      <c r="AB155" s="15" t="str">
        <f>IF(X155="","",IFERROR(INDEX($AR$11:$AR$4010,MATCH(145,$AY$11:$AY$4010,0)),""))</f>
        <v/>
      </c>
      <c r="AD155" s="16" t="str">
        <f>IF(AE155="","",IFERROR(INDEX($AL$11:$AL$4010,MATCH(145,$AZ$11:$AZ$4010,0)),""))</f>
        <v/>
      </c>
      <c r="AE155" s="12" t="str">
        <f>IFERROR(INDEX($AM$11:$AM$4010,MATCH(145,$AZ$11:$AZ$4010,0)),"")</f>
        <v/>
      </c>
      <c r="AF155" s="11" t="str">
        <f>IF(AE155="","",IFERROR(INDEX($AN$11:$AN$4010,MATCH(145,$AZ$11:$AZ$4010,0)),""))</f>
        <v/>
      </c>
      <c r="AG155" s="11" t="str">
        <f>IF(AE155="","",IFERROR(INDEX($AO$11:$AO$4010,MATCH(145,$AZ$11:$AZ$4010,0)),""))</f>
        <v/>
      </c>
      <c r="AH155" s="10" t="str">
        <f>IF(AE155="","",IFERROR(INDEX($AQ$11:$AQ$4010,MATCH(145,$AZ$11:$AZ$4010,0)),""))</f>
        <v/>
      </c>
      <c r="AI155" s="15" t="str">
        <f>IF(AE155="","",IFERROR(INDEX($AR$11:$AR$4010,MATCH(145,$AZ$11:$AZ$4010,0)),""))</f>
        <v/>
      </c>
      <c r="AJ155" s="15" t="str">
        <f>IF(AE155="","",IFERROR(INDEX($AT$11:$AT$4010,MATCH(145,$AZ$11:$AZ$4010,0)),""))</f>
        <v/>
      </c>
      <c r="AL155" s="17" t="str">
        <f t="shared" si="35"/>
        <v/>
      </c>
      <c r="AM155" s="12" t="str">
        <f t="shared" si="36"/>
        <v/>
      </c>
      <c r="AN155" s="18" t="str">
        <f t="shared" si="37"/>
        <v/>
      </c>
      <c r="AO155" s="18" t="str">
        <f t="shared" si="38"/>
        <v/>
      </c>
      <c r="AP155" s="10" t="str">
        <f t="shared" si="39"/>
        <v/>
      </c>
      <c r="AQ155" s="10" t="str">
        <f t="shared" si="40"/>
        <v/>
      </c>
      <c r="AR155" s="19" t="str">
        <f t="shared" si="41"/>
        <v/>
      </c>
      <c r="AS155" s="20"/>
      <c r="AT155" s="19"/>
      <c r="AV155" s="21">
        <f>IF(AND($AL155&lt;&gt;"",COUNTIF($AL$11:$AL155,$AL155)=1),1,0)</f>
        <v>0</v>
      </c>
      <c r="AW155" s="21">
        <f t="shared" si="43"/>
        <v>0</v>
      </c>
      <c r="AX155" s="21" t="str">
        <f t="shared" si="42"/>
        <v/>
      </c>
      <c r="AY155" s="21" t="str">
        <f>IF(AND($AM155&lt;&gt;"",$AS155&lt;&gt;"✓"),SUMPRODUCT(($AM$11:$AM155&lt;&gt;"")*($AS$11:$AS155&lt;&gt;"✓")),"")</f>
        <v/>
      </c>
      <c r="AZ155" s="21" t="str">
        <f>IF(AND($AM155&lt;&gt;"",$AS155="✓"),SUMPRODUCT(($AM$11:$AM155&lt;&gt;"")*($AS$11:$AS155="✓")),"")</f>
        <v/>
      </c>
      <c r="BA155" s="21" t="str">
        <f>IF($AL155="","",$AL155&amp;"|"&amp;COUNTIF($AL$11:$AL155,$AL155))</f>
        <v/>
      </c>
    </row>
    <row r="156" spans="2:53" ht="15" customHeight="1" x14ac:dyDescent="0.25">
      <c r="B156" s="5" t="str">
        <f t="shared" si="30"/>
        <v/>
      </c>
      <c r="C156" s="5"/>
      <c r="D156" s="5"/>
      <c r="E156" s="5"/>
      <c r="F156" s="6"/>
      <c r="G156" s="6"/>
      <c r="H156" s="7"/>
      <c r="I156" s="8"/>
      <c r="K156" s="23" t="str">
        <f>IFERROR(INDEX($AL$11:$AL$4010,MATCH(146,$AX$11:$AX$4010,0)),"")</f>
        <v/>
      </c>
      <c r="L156" s="24" t="str">
        <f t="shared" si="31"/>
        <v/>
      </c>
      <c r="M156" s="25" t="str">
        <f t="shared" si="32"/>
        <v/>
      </c>
      <c r="N156" s="25" t="str">
        <f t="shared" si="33"/>
        <v/>
      </c>
      <c r="P156" s="26" t="str">
        <f>IFERROR(INDEX($AM$11:$AM$4010,MATCH($S$8&amp;"|"&amp;146,$BA$11:$BA$4010,0)),"")</f>
        <v/>
      </c>
      <c r="Q156" s="25" t="str">
        <f>IF(P156="","",IFERROR(INDEX($AN$11:$AN$4010,MATCH($S$8&amp;"|"&amp;146,$BA$11:$BA$4010,0)),""))</f>
        <v/>
      </c>
      <c r="R156" s="25" t="str">
        <f>IF(P156="","",IFERROR(INDEX($AO$11:$AO$4010,MATCH($S$8&amp;"|"&amp;146,$BA$11:$BA$4010,0)),""))</f>
        <v/>
      </c>
      <c r="S156" s="24" t="str">
        <f>IF(P156="","",IFERROR(INDEX($AP$11:$AP$4010,MATCH($S$8&amp;"|"&amp;146,$BA$11:$BA$4010,0)),""))</f>
        <v/>
      </c>
      <c r="T156" s="24" t="str">
        <f>IF(P156="","",IFERROR(INDEX($AQ$11:$AQ$4010,MATCH($S$8&amp;"|"&amp;146,$BA$11:$BA$4010,0)),""))</f>
        <v/>
      </c>
      <c r="U156" s="38" t="str">
        <f t="shared" si="34"/>
        <v/>
      </c>
      <c r="W156" s="28" t="str">
        <f>IF(X156="","",IFERROR(INDEX($AL$11:$AL$4010,MATCH(146,$AY$11:$AY$4010,0)),""))</f>
        <v/>
      </c>
      <c r="X156" s="26" t="str">
        <f>IFERROR(INDEX($AM$11:$AM$4010,MATCH(146,$AY$11:$AY$4010,0)),"")</f>
        <v/>
      </c>
      <c r="Y156" s="25" t="str">
        <f>IF(X156="","",IFERROR(INDEX($AN$11:$AN$4010,MATCH(146,$AY$11:$AY$4010,0)),""))</f>
        <v/>
      </c>
      <c r="Z156" s="25" t="str">
        <f>IF(X156="","",IFERROR(INDEX($AO$11:$AO$4010,MATCH(146,$AY$11:$AY$4010,0)),""))</f>
        <v/>
      </c>
      <c r="AA156" s="24" t="str">
        <f>IF(X156="","",IFERROR(INDEX($AQ$11:$AQ$4010,MATCH(146,$AY$11:$AY$4010,0)),""))</f>
        <v/>
      </c>
      <c r="AB156" s="29" t="str">
        <f>IF(X156="","",IFERROR(INDEX($AR$11:$AR$4010,MATCH(146,$AY$11:$AY$4010,0)),""))</f>
        <v/>
      </c>
      <c r="AD156" s="30" t="str">
        <f>IF(AE156="","",IFERROR(INDEX($AL$11:$AL$4010,MATCH(146,$AZ$11:$AZ$4010,0)),""))</f>
        <v/>
      </c>
      <c r="AE156" s="26" t="str">
        <f>IFERROR(INDEX($AM$11:$AM$4010,MATCH(146,$AZ$11:$AZ$4010,0)),"")</f>
        <v/>
      </c>
      <c r="AF156" s="25" t="str">
        <f>IF(AE156="","",IFERROR(INDEX($AN$11:$AN$4010,MATCH(146,$AZ$11:$AZ$4010,0)),""))</f>
        <v/>
      </c>
      <c r="AG156" s="25" t="str">
        <f>IF(AE156="","",IFERROR(INDEX($AO$11:$AO$4010,MATCH(146,$AZ$11:$AZ$4010,0)),""))</f>
        <v/>
      </c>
      <c r="AH156" s="24" t="str">
        <f>IF(AE156="","",IFERROR(INDEX($AQ$11:$AQ$4010,MATCH(146,$AZ$11:$AZ$4010,0)),""))</f>
        <v/>
      </c>
      <c r="AI156" s="29" t="str">
        <f>IF(AE156="","",IFERROR(INDEX($AR$11:$AR$4010,MATCH(146,$AZ$11:$AZ$4010,0)),""))</f>
        <v/>
      </c>
      <c r="AJ156" s="29" t="str">
        <f>IF(AE156="","",IFERROR(INDEX($AT$11:$AT$4010,MATCH(146,$AZ$11:$AZ$4010,0)),""))</f>
        <v/>
      </c>
      <c r="AL156" s="31" t="str">
        <f t="shared" si="35"/>
        <v/>
      </c>
      <c r="AM156" s="26" t="str">
        <f t="shared" si="36"/>
        <v/>
      </c>
      <c r="AN156" s="32" t="str">
        <f t="shared" si="37"/>
        <v/>
      </c>
      <c r="AO156" s="32" t="str">
        <f t="shared" si="38"/>
        <v/>
      </c>
      <c r="AP156" s="24" t="str">
        <f t="shared" si="39"/>
        <v/>
      </c>
      <c r="AQ156" s="24" t="str">
        <f t="shared" si="40"/>
        <v/>
      </c>
      <c r="AR156" s="33" t="str">
        <f t="shared" si="41"/>
        <v/>
      </c>
      <c r="AS156" s="34"/>
      <c r="AT156" s="33"/>
      <c r="AV156" s="21">
        <f>IF(AND($AL156&lt;&gt;"",COUNTIF($AL$11:$AL156,$AL156)=1),1,0)</f>
        <v>0</v>
      </c>
      <c r="AW156" s="21">
        <f t="shared" si="43"/>
        <v>0</v>
      </c>
      <c r="AX156" s="21" t="str">
        <f t="shared" si="42"/>
        <v/>
      </c>
      <c r="AY156" s="21" t="str">
        <f>IF(AND($AM156&lt;&gt;"",$AS156&lt;&gt;"✓"),SUMPRODUCT(($AM$11:$AM156&lt;&gt;"")*($AS$11:$AS156&lt;&gt;"✓")),"")</f>
        <v/>
      </c>
      <c r="AZ156" s="21" t="str">
        <f>IF(AND($AM156&lt;&gt;"",$AS156="✓"),SUMPRODUCT(($AM$11:$AM156&lt;&gt;"")*($AS$11:$AS156="✓")),"")</f>
        <v/>
      </c>
      <c r="BA156" s="21" t="str">
        <f>IF($AL156="","",$AL156&amp;"|"&amp;COUNTIF($AL$11:$AL156,$AL156))</f>
        <v/>
      </c>
    </row>
    <row r="157" spans="2:53" ht="15" customHeight="1" x14ac:dyDescent="0.25">
      <c r="B157" s="5" t="str">
        <f t="shared" si="30"/>
        <v/>
      </c>
      <c r="C157" s="5"/>
      <c r="D157" s="5"/>
      <c r="E157" s="5"/>
      <c r="F157" s="6"/>
      <c r="G157" s="6"/>
      <c r="H157" s="7"/>
      <c r="I157" s="8"/>
      <c r="K157" s="9" t="str">
        <f>IFERROR(INDEX($AL$11:$AL$4010,MATCH(147,$AX$11:$AX$4010,0)),"")</f>
        <v/>
      </c>
      <c r="L157" s="10" t="str">
        <f t="shared" si="31"/>
        <v/>
      </c>
      <c r="M157" s="11" t="str">
        <f t="shared" si="32"/>
        <v/>
      </c>
      <c r="N157" s="11" t="str">
        <f t="shared" si="33"/>
        <v/>
      </c>
      <c r="P157" s="12" t="str">
        <f>IFERROR(INDEX($AM$11:$AM$4010,MATCH($S$8&amp;"|"&amp;147,$BA$11:$BA$4010,0)),"")</f>
        <v/>
      </c>
      <c r="Q157" s="11" t="str">
        <f>IF(P157="","",IFERROR(INDEX($AN$11:$AN$4010,MATCH($S$8&amp;"|"&amp;147,$BA$11:$BA$4010,0)),""))</f>
        <v/>
      </c>
      <c r="R157" s="11" t="str">
        <f>IF(P157="","",IFERROR(INDEX($AO$11:$AO$4010,MATCH($S$8&amp;"|"&amp;147,$BA$11:$BA$4010,0)),""))</f>
        <v/>
      </c>
      <c r="S157" s="10" t="str">
        <f>IF(P157="","",IFERROR(INDEX($AP$11:$AP$4010,MATCH($S$8&amp;"|"&amp;147,$BA$11:$BA$4010,0)),""))</f>
        <v/>
      </c>
      <c r="T157" s="10" t="str">
        <f>IF(P157="","",IFERROR(INDEX($AQ$11:$AQ$4010,MATCH($S$8&amp;"|"&amp;147,$BA$11:$BA$4010,0)),""))</f>
        <v/>
      </c>
      <c r="U157" s="39" t="str">
        <f t="shared" si="34"/>
        <v/>
      </c>
      <c r="W157" s="14" t="str">
        <f>IF(X157="","",IFERROR(INDEX($AL$11:$AL$4010,MATCH(147,$AY$11:$AY$4010,0)),""))</f>
        <v/>
      </c>
      <c r="X157" s="12" t="str">
        <f>IFERROR(INDEX($AM$11:$AM$4010,MATCH(147,$AY$11:$AY$4010,0)),"")</f>
        <v/>
      </c>
      <c r="Y157" s="11" t="str">
        <f>IF(X157="","",IFERROR(INDEX($AN$11:$AN$4010,MATCH(147,$AY$11:$AY$4010,0)),""))</f>
        <v/>
      </c>
      <c r="Z157" s="11" t="str">
        <f>IF(X157="","",IFERROR(INDEX($AO$11:$AO$4010,MATCH(147,$AY$11:$AY$4010,0)),""))</f>
        <v/>
      </c>
      <c r="AA157" s="10" t="str">
        <f>IF(X157="","",IFERROR(INDEX($AQ$11:$AQ$4010,MATCH(147,$AY$11:$AY$4010,0)),""))</f>
        <v/>
      </c>
      <c r="AB157" s="15" t="str">
        <f>IF(X157="","",IFERROR(INDEX($AR$11:$AR$4010,MATCH(147,$AY$11:$AY$4010,0)),""))</f>
        <v/>
      </c>
      <c r="AD157" s="16" t="str">
        <f>IF(AE157="","",IFERROR(INDEX($AL$11:$AL$4010,MATCH(147,$AZ$11:$AZ$4010,0)),""))</f>
        <v/>
      </c>
      <c r="AE157" s="12" t="str">
        <f>IFERROR(INDEX($AM$11:$AM$4010,MATCH(147,$AZ$11:$AZ$4010,0)),"")</f>
        <v/>
      </c>
      <c r="AF157" s="11" t="str">
        <f>IF(AE157="","",IFERROR(INDEX($AN$11:$AN$4010,MATCH(147,$AZ$11:$AZ$4010,0)),""))</f>
        <v/>
      </c>
      <c r="AG157" s="11" t="str">
        <f>IF(AE157="","",IFERROR(INDEX($AO$11:$AO$4010,MATCH(147,$AZ$11:$AZ$4010,0)),""))</f>
        <v/>
      </c>
      <c r="AH157" s="10" t="str">
        <f>IF(AE157="","",IFERROR(INDEX($AQ$11:$AQ$4010,MATCH(147,$AZ$11:$AZ$4010,0)),""))</f>
        <v/>
      </c>
      <c r="AI157" s="15" t="str">
        <f>IF(AE157="","",IFERROR(INDEX($AR$11:$AR$4010,MATCH(147,$AZ$11:$AZ$4010,0)),""))</f>
        <v/>
      </c>
      <c r="AJ157" s="15" t="str">
        <f>IF(AE157="","",IFERROR(INDEX($AT$11:$AT$4010,MATCH(147,$AZ$11:$AZ$4010,0)),""))</f>
        <v/>
      </c>
      <c r="AL157" s="17" t="str">
        <f t="shared" si="35"/>
        <v/>
      </c>
      <c r="AM157" s="12" t="str">
        <f t="shared" si="36"/>
        <v/>
      </c>
      <c r="AN157" s="18" t="str">
        <f t="shared" si="37"/>
        <v/>
      </c>
      <c r="AO157" s="18" t="str">
        <f t="shared" si="38"/>
        <v/>
      </c>
      <c r="AP157" s="10" t="str">
        <f t="shared" si="39"/>
        <v/>
      </c>
      <c r="AQ157" s="10" t="str">
        <f t="shared" si="40"/>
        <v/>
      </c>
      <c r="AR157" s="19" t="str">
        <f t="shared" si="41"/>
        <v/>
      </c>
      <c r="AS157" s="20"/>
      <c r="AT157" s="19"/>
      <c r="AV157" s="21">
        <f>IF(AND($AL157&lt;&gt;"",COUNTIF($AL$11:$AL157,$AL157)=1),1,0)</f>
        <v>0</v>
      </c>
      <c r="AW157" s="21">
        <f t="shared" si="43"/>
        <v>0</v>
      </c>
      <c r="AX157" s="21" t="str">
        <f t="shared" si="42"/>
        <v/>
      </c>
      <c r="AY157" s="21" t="str">
        <f>IF(AND($AM157&lt;&gt;"",$AS157&lt;&gt;"✓"),SUMPRODUCT(($AM$11:$AM157&lt;&gt;"")*($AS$11:$AS157&lt;&gt;"✓")),"")</f>
        <v/>
      </c>
      <c r="AZ157" s="21" t="str">
        <f>IF(AND($AM157&lt;&gt;"",$AS157="✓"),SUMPRODUCT(($AM$11:$AM157&lt;&gt;"")*($AS$11:$AS157="✓")),"")</f>
        <v/>
      </c>
      <c r="BA157" s="21" t="str">
        <f>IF($AL157="","",$AL157&amp;"|"&amp;COUNTIF($AL$11:$AL157,$AL157))</f>
        <v/>
      </c>
    </row>
    <row r="158" spans="2:53" ht="15" customHeight="1" x14ac:dyDescent="0.25">
      <c r="B158" s="5" t="str">
        <f t="shared" si="30"/>
        <v/>
      </c>
      <c r="C158" s="5"/>
      <c r="D158" s="5"/>
      <c r="E158" s="5"/>
      <c r="F158" s="6"/>
      <c r="G158" s="6"/>
      <c r="H158" s="7"/>
      <c r="I158" s="8"/>
      <c r="K158" s="23" t="str">
        <f>IFERROR(INDEX($AL$11:$AL$4010,MATCH(148,$AX$11:$AX$4010,0)),"")</f>
        <v/>
      </c>
      <c r="L158" s="24" t="str">
        <f t="shared" si="31"/>
        <v/>
      </c>
      <c r="M158" s="25" t="str">
        <f t="shared" si="32"/>
        <v/>
      </c>
      <c r="N158" s="25" t="str">
        <f t="shared" si="33"/>
        <v/>
      </c>
      <c r="P158" s="26" t="str">
        <f>IFERROR(INDEX($AM$11:$AM$4010,MATCH($S$8&amp;"|"&amp;148,$BA$11:$BA$4010,0)),"")</f>
        <v/>
      </c>
      <c r="Q158" s="25" t="str">
        <f>IF(P158="","",IFERROR(INDEX($AN$11:$AN$4010,MATCH($S$8&amp;"|"&amp;148,$BA$11:$BA$4010,0)),""))</f>
        <v/>
      </c>
      <c r="R158" s="25" t="str">
        <f>IF(P158="","",IFERROR(INDEX($AO$11:$AO$4010,MATCH($S$8&amp;"|"&amp;148,$BA$11:$BA$4010,0)),""))</f>
        <v/>
      </c>
      <c r="S158" s="24" t="str">
        <f>IF(P158="","",IFERROR(INDEX($AP$11:$AP$4010,MATCH($S$8&amp;"|"&amp;148,$BA$11:$BA$4010,0)),""))</f>
        <v/>
      </c>
      <c r="T158" s="24" t="str">
        <f>IF(P158="","",IFERROR(INDEX($AQ$11:$AQ$4010,MATCH($S$8&amp;"|"&amp;148,$BA$11:$BA$4010,0)),""))</f>
        <v/>
      </c>
      <c r="U158" s="38" t="str">
        <f t="shared" si="34"/>
        <v/>
      </c>
      <c r="W158" s="28" t="str">
        <f>IF(X158="","",IFERROR(INDEX($AL$11:$AL$4010,MATCH(148,$AY$11:$AY$4010,0)),""))</f>
        <v/>
      </c>
      <c r="X158" s="26" t="str">
        <f>IFERROR(INDEX($AM$11:$AM$4010,MATCH(148,$AY$11:$AY$4010,0)),"")</f>
        <v/>
      </c>
      <c r="Y158" s="25" t="str">
        <f>IF(X158="","",IFERROR(INDEX($AN$11:$AN$4010,MATCH(148,$AY$11:$AY$4010,0)),""))</f>
        <v/>
      </c>
      <c r="Z158" s="25" t="str">
        <f>IF(X158="","",IFERROR(INDEX($AO$11:$AO$4010,MATCH(148,$AY$11:$AY$4010,0)),""))</f>
        <v/>
      </c>
      <c r="AA158" s="24" t="str">
        <f>IF(X158="","",IFERROR(INDEX($AQ$11:$AQ$4010,MATCH(148,$AY$11:$AY$4010,0)),""))</f>
        <v/>
      </c>
      <c r="AB158" s="29" t="str">
        <f>IF(X158="","",IFERROR(INDEX($AR$11:$AR$4010,MATCH(148,$AY$11:$AY$4010,0)),""))</f>
        <v/>
      </c>
      <c r="AD158" s="30" t="str">
        <f>IF(AE158="","",IFERROR(INDEX($AL$11:$AL$4010,MATCH(148,$AZ$11:$AZ$4010,0)),""))</f>
        <v/>
      </c>
      <c r="AE158" s="26" t="str">
        <f>IFERROR(INDEX($AM$11:$AM$4010,MATCH(148,$AZ$11:$AZ$4010,0)),"")</f>
        <v/>
      </c>
      <c r="AF158" s="25" t="str">
        <f>IF(AE158="","",IFERROR(INDEX($AN$11:$AN$4010,MATCH(148,$AZ$11:$AZ$4010,0)),""))</f>
        <v/>
      </c>
      <c r="AG158" s="25" t="str">
        <f>IF(AE158="","",IFERROR(INDEX($AO$11:$AO$4010,MATCH(148,$AZ$11:$AZ$4010,0)),""))</f>
        <v/>
      </c>
      <c r="AH158" s="24" t="str">
        <f>IF(AE158="","",IFERROR(INDEX($AQ$11:$AQ$4010,MATCH(148,$AZ$11:$AZ$4010,0)),""))</f>
        <v/>
      </c>
      <c r="AI158" s="29" t="str">
        <f>IF(AE158="","",IFERROR(INDEX($AR$11:$AR$4010,MATCH(148,$AZ$11:$AZ$4010,0)),""))</f>
        <v/>
      </c>
      <c r="AJ158" s="29" t="str">
        <f>IF(AE158="","",IFERROR(INDEX($AT$11:$AT$4010,MATCH(148,$AZ$11:$AZ$4010,0)),""))</f>
        <v/>
      </c>
      <c r="AL158" s="31" t="str">
        <f t="shared" si="35"/>
        <v/>
      </c>
      <c r="AM158" s="26" t="str">
        <f t="shared" si="36"/>
        <v/>
      </c>
      <c r="AN158" s="32" t="str">
        <f t="shared" si="37"/>
        <v/>
      </c>
      <c r="AO158" s="32" t="str">
        <f t="shared" si="38"/>
        <v/>
      </c>
      <c r="AP158" s="24" t="str">
        <f t="shared" si="39"/>
        <v/>
      </c>
      <c r="AQ158" s="24" t="str">
        <f t="shared" si="40"/>
        <v/>
      </c>
      <c r="AR158" s="33" t="str">
        <f t="shared" si="41"/>
        <v/>
      </c>
      <c r="AS158" s="34"/>
      <c r="AT158" s="33"/>
      <c r="AV158" s="21">
        <f>IF(AND($AL158&lt;&gt;"",COUNTIF($AL$11:$AL158,$AL158)=1),1,0)</f>
        <v>0</v>
      </c>
      <c r="AW158" s="21">
        <f t="shared" si="43"/>
        <v>0</v>
      </c>
      <c r="AX158" s="21" t="str">
        <f t="shared" si="42"/>
        <v/>
      </c>
      <c r="AY158" s="21" t="str">
        <f>IF(AND($AM158&lt;&gt;"",$AS158&lt;&gt;"✓"),SUMPRODUCT(($AM$11:$AM158&lt;&gt;"")*($AS$11:$AS158&lt;&gt;"✓")),"")</f>
        <v/>
      </c>
      <c r="AZ158" s="21" t="str">
        <f>IF(AND($AM158&lt;&gt;"",$AS158="✓"),SUMPRODUCT(($AM$11:$AM158&lt;&gt;"")*($AS$11:$AS158="✓")),"")</f>
        <v/>
      </c>
      <c r="BA158" s="21" t="str">
        <f>IF($AL158="","",$AL158&amp;"|"&amp;COUNTIF($AL$11:$AL158,$AL158))</f>
        <v/>
      </c>
    </row>
    <row r="159" spans="2:53" ht="15" customHeight="1" x14ac:dyDescent="0.25">
      <c r="B159" s="5" t="str">
        <f t="shared" si="30"/>
        <v/>
      </c>
      <c r="C159" s="5"/>
      <c r="D159" s="5"/>
      <c r="E159" s="5"/>
      <c r="F159" s="6"/>
      <c r="G159" s="6"/>
      <c r="H159" s="7"/>
      <c r="I159" s="8"/>
      <c r="K159" s="9" t="str">
        <f>IFERROR(INDEX($AL$11:$AL$4010,MATCH(149,$AX$11:$AX$4010,0)),"")</f>
        <v/>
      </c>
      <c r="L159" s="10" t="str">
        <f t="shared" si="31"/>
        <v/>
      </c>
      <c r="M159" s="11" t="str">
        <f t="shared" si="32"/>
        <v/>
      </c>
      <c r="N159" s="11" t="str">
        <f t="shared" si="33"/>
        <v/>
      </c>
      <c r="P159" s="12" t="str">
        <f>IFERROR(INDEX($AM$11:$AM$4010,MATCH($S$8&amp;"|"&amp;149,$BA$11:$BA$4010,0)),"")</f>
        <v/>
      </c>
      <c r="Q159" s="11" t="str">
        <f>IF(P159="","",IFERROR(INDEX($AN$11:$AN$4010,MATCH($S$8&amp;"|"&amp;149,$BA$11:$BA$4010,0)),""))</f>
        <v/>
      </c>
      <c r="R159" s="11" t="str">
        <f>IF(P159="","",IFERROR(INDEX($AO$11:$AO$4010,MATCH($S$8&amp;"|"&amp;149,$BA$11:$BA$4010,0)),""))</f>
        <v/>
      </c>
      <c r="S159" s="10" t="str">
        <f>IF(P159="","",IFERROR(INDEX($AP$11:$AP$4010,MATCH($S$8&amp;"|"&amp;149,$BA$11:$BA$4010,0)),""))</f>
        <v/>
      </c>
      <c r="T159" s="10" t="str">
        <f>IF(P159="","",IFERROR(INDEX($AQ$11:$AQ$4010,MATCH($S$8&amp;"|"&amp;149,$BA$11:$BA$4010,0)),""))</f>
        <v/>
      </c>
      <c r="U159" s="39" t="str">
        <f t="shared" si="34"/>
        <v/>
      </c>
      <c r="W159" s="14" t="str">
        <f>IF(X159="","",IFERROR(INDEX($AL$11:$AL$4010,MATCH(149,$AY$11:$AY$4010,0)),""))</f>
        <v/>
      </c>
      <c r="X159" s="12" t="str">
        <f>IFERROR(INDEX($AM$11:$AM$4010,MATCH(149,$AY$11:$AY$4010,0)),"")</f>
        <v/>
      </c>
      <c r="Y159" s="11" t="str">
        <f>IF(X159="","",IFERROR(INDEX($AN$11:$AN$4010,MATCH(149,$AY$11:$AY$4010,0)),""))</f>
        <v/>
      </c>
      <c r="Z159" s="11" t="str">
        <f>IF(X159="","",IFERROR(INDEX($AO$11:$AO$4010,MATCH(149,$AY$11:$AY$4010,0)),""))</f>
        <v/>
      </c>
      <c r="AA159" s="10" t="str">
        <f>IF(X159="","",IFERROR(INDEX($AQ$11:$AQ$4010,MATCH(149,$AY$11:$AY$4010,0)),""))</f>
        <v/>
      </c>
      <c r="AB159" s="15" t="str">
        <f>IF(X159="","",IFERROR(INDEX($AR$11:$AR$4010,MATCH(149,$AY$11:$AY$4010,0)),""))</f>
        <v/>
      </c>
      <c r="AD159" s="16" t="str">
        <f>IF(AE159="","",IFERROR(INDEX($AL$11:$AL$4010,MATCH(149,$AZ$11:$AZ$4010,0)),""))</f>
        <v/>
      </c>
      <c r="AE159" s="12" t="str">
        <f>IFERROR(INDEX($AM$11:$AM$4010,MATCH(149,$AZ$11:$AZ$4010,0)),"")</f>
        <v/>
      </c>
      <c r="AF159" s="11" t="str">
        <f>IF(AE159="","",IFERROR(INDEX($AN$11:$AN$4010,MATCH(149,$AZ$11:$AZ$4010,0)),""))</f>
        <v/>
      </c>
      <c r="AG159" s="11" t="str">
        <f>IF(AE159="","",IFERROR(INDEX($AO$11:$AO$4010,MATCH(149,$AZ$11:$AZ$4010,0)),""))</f>
        <v/>
      </c>
      <c r="AH159" s="10" t="str">
        <f>IF(AE159="","",IFERROR(INDEX($AQ$11:$AQ$4010,MATCH(149,$AZ$11:$AZ$4010,0)),""))</f>
        <v/>
      </c>
      <c r="AI159" s="15" t="str">
        <f>IF(AE159="","",IFERROR(INDEX($AR$11:$AR$4010,MATCH(149,$AZ$11:$AZ$4010,0)),""))</f>
        <v/>
      </c>
      <c r="AJ159" s="15" t="str">
        <f>IF(AE159="","",IFERROR(INDEX($AT$11:$AT$4010,MATCH(149,$AZ$11:$AZ$4010,0)),""))</f>
        <v/>
      </c>
      <c r="AL159" s="17" t="str">
        <f t="shared" si="35"/>
        <v/>
      </c>
      <c r="AM159" s="12" t="str">
        <f t="shared" si="36"/>
        <v/>
      </c>
      <c r="AN159" s="18" t="str">
        <f t="shared" si="37"/>
        <v/>
      </c>
      <c r="AO159" s="18" t="str">
        <f t="shared" si="38"/>
        <v/>
      </c>
      <c r="AP159" s="10" t="str">
        <f t="shared" si="39"/>
        <v/>
      </c>
      <c r="AQ159" s="10" t="str">
        <f t="shared" si="40"/>
        <v/>
      </c>
      <c r="AR159" s="19" t="str">
        <f t="shared" si="41"/>
        <v/>
      </c>
      <c r="AS159" s="20"/>
      <c r="AT159" s="19"/>
      <c r="AV159" s="21">
        <f>IF(AND($AL159&lt;&gt;"",COUNTIF($AL$11:$AL159,$AL159)=1),1,0)</f>
        <v>0</v>
      </c>
      <c r="AW159" s="21">
        <f t="shared" si="43"/>
        <v>0</v>
      </c>
      <c r="AX159" s="21" t="str">
        <f t="shared" si="42"/>
        <v/>
      </c>
      <c r="AY159" s="21" t="str">
        <f>IF(AND($AM159&lt;&gt;"",$AS159&lt;&gt;"✓"),SUMPRODUCT(($AM$11:$AM159&lt;&gt;"")*($AS$11:$AS159&lt;&gt;"✓")),"")</f>
        <v/>
      </c>
      <c r="AZ159" s="21" t="str">
        <f>IF(AND($AM159&lt;&gt;"",$AS159="✓"),SUMPRODUCT(($AM$11:$AM159&lt;&gt;"")*($AS$11:$AS159="✓")),"")</f>
        <v/>
      </c>
      <c r="BA159" s="21" t="str">
        <f>IF($AL159="","",$AL159&amp;"|"&amp;COUNTIF($AL$11:$AL159,$AL159))</f>
        <v/>
      </c>
    </row>
    <row r="160" spans="2:53" ht="15" customHeight="1" x14ac:dyDescent="0.25">
      <c r="B160" s="5" t="str">
        <f t="shared" si="30"/>
        <v/>
      </c>
      <c r="C160" s="5"/>
      <c r="D160" s="5"/>
      <c r="E160" s="5"/>
      <c r="F160" s="6"/>
      <c r="G160" s="6"/>
      <c r="H160" s="7"/>
      <c r="I160" s="8"/>
      <c r="K160" s="23" t="str">
        <f>IFERROR(INDEX($AL$11:$AL$4010,MATCH(150,$AX$11:$AX$4010,0)),"")</f>
        <v/>
      </c>
      <c r="L160" s="24" t="str">
        <f t="shared" si="31"/>
        <v/>
      </c>
      <c r="M160" s="25" t="str">
        <f t="shared" si="32"/>
        <v/>
      </c>
      <c r="N160" s="25" t="str">
        <f t="shared" si="33"/>
        <v/>
      </c>
      <c r="P160" s="26" t="str">
        <f>IFERROR(INDEX($AM$11:$AM$4010,MATCH($S$8&amp;"|"&amp;150,$BA$11:$BA$4010,0)),"")</f>
        <v/>
      </c>
      <c r="Q160" s="25" t="str">
        <f>IF(P160="","",IFERROR(INDEX($AN$11:$AN$4010,MATCH($S$8&amp;"|"&amp;150,$BA$11:$BA$4010,0)),""))</f>
        <v/>
      </c>
      <c r="R160" s="25" t="str">
        <f>IF(P160="","",IFERROR(INDEX($AO$11:$AO$4010,MATCH($S$8&amp;"|"&amp;150,$BA$11:$BA$4010,0)),""))</f>
        <v/>
      </c>
      <c r="S160" s="24" t="str">
        <f>IF(P160="","",IFERROR(INDEX($AP$11:$AP$4010,MATCH($S$8&amp;"|"&amp;150,$BA$11:$BA$4010,0)),""))</f>
        <v/>
      </c>
      <c r="T160" s="24" t="str">
        <f>IF(P160="","",IFERROR(INDEX($AQ$11:$AQ$4010,MATCH($S$8&amp;"|"&amp;150,$BA$11:$BA$4010,0)),""))</f>
        <v/>
      </c>
      <c r="U160" s="38" t="str">
        <f t="shared" si="34"/>
        <v/>
      </c>
      <c r="W160" s="28" t="str">
        <f>IF(X160="","",IFERROR(INDEX($AL$11:$AL$4010,MATCH(150,$AY$11:$AY$4010,0)),""))</f>
        <v/>
      </c>
      <c r="X160" s="26" t="str">
        <f>IFERROR(INDEX($AM$11:$AM$4010,MATCH(150,$AY$11:$AY$4010,0)),"")</f>
        <v/>
      </c>
      <c r="Y160" s="25" t="str">
        <f>IF(X160="","",IFERROR(INDEX($AN$11:$AN$4010,MATCH(150,$AY$11:$AY$4010,0)),""))</f>
        <v/>
      </c>
      <c r="Z160" s="25" t="str">
        <f>IF(X160="","",IFERROR(INDEX($AO$11:$AO$4010,MATCH(150,$AY$11:$AY$4010,0)),""))</f>
        <v/>
      </c>
      <c r="AA160" s="24" t="str">
        <f>IF(X160="","",IFERROR(INDEX($AQ$11:$AQ$4010,MATCH(150,$AY$11:$AY$4010,0)),""))</f>
        <v/>
      </c>
      <c r="AB160" s="29" t="str">
        <f>IF(X160="","",IFERROR(INDEX($AR$11:$AR$4010,MATCH(150,$AY$11:$AY$4010,0)),""))</f>
        <v/>
      </c>
      <c r="AD160" s="30" t="str">
        <f>IF(AE160="","",IFERROR(INDEX($AL$11:$AL$4010,MATCH(150,$AZ$11:$AZ$4010,0)),""))</f>
        <v/>
      </c>
      <c r="AE160" s="26" t="str">
        <f>IFERROR(INDEX($AM$11:$AM$4010,MATCH(150,$AZ$11:$AZ$4010,0)),"")</f>
        <v/>
      </c>
      <c r="AF160" s="25" t="str">
        <f>IF(AE160="","",IFERROR(INDEX($AN$11:$AN$4010,MATCH(150,$AZ$11:$AZ$4010,0)),""))</f>
        <v/>
      </c>
      <c r="AG160" s="25" t="str">
        <f>IF(AE160="","",IFERROR(INDEX($AO$11:$AO$4010,MATCH(150,$AZ$11:$AZ$4010,0)),""))</f>
        <v/>
      </c>
      <c r="AH160" s="24" t="str">
        <f>IF(AE160="","",IFERROR(INDEX($AQ$11:$AQ$4010,MATCH(150,$AZ$11:$AZ$4010,0)),""))</f>
        <v/>
      </c>
      <c r="AI160" s="29" t="str">
        <f>IF(AE160="","",IFERROR(INDEX($AR$11:$AR$4010,MATCH(150,$AZ$11:$AZ$4010,0)),""))</f>
        <v/>
      </c>
      <c r="AJ160" s="29" t="str">
        <f>IF(AE160="","",IFERROR(INDEX($AT$11:$AT$4010,MATCH(150,$AZ$11:$AZ$4010,0)),""))</f>
        <v/>
      </c>
      <c r="AL160" s="31" t="str">
        <f t="shared" si="35"/>
        <v/>
      </c>
      <c r="AM160" s="26" t="str">
        <f t="shared" si="36"/>
        <v/>
      </c>
      <c r="AN160" s="32" t="str">
        <f t="shared" si="37"/>
        <v/>
      </c>
      <c r="AO160" s="32" t="str">
        <f t="shared" si="38"/>
        <v/>
      </c>
      <c r="AP160" s="24" t="str">
        <f t="shared" si="39"/>
        <v/>
      </c>
      <c r="AQ160" s="24" t="str">
        <f t="shared" si="40"/>
        <v/>
      </c>
      <c r="AR160" s="33" t="str">
        <f t="shared" si="41"/>
        <v/>
      </c>
      <c r="AS160" s="34"/>
      <c r="AT160" s="33"/>
      <c r="AV160" s="21">
        <f>IF(AND($AL160&lt;&gt;"",COUNTIF($AL$11:$AL160,$AL160)=1),1,0)</f>
        <v>0</v>
      </c>
      <c r="AW160" s="21">
        <f t="shared" si="43"/>
        <v>0</v>
      </c>
      <c r="AX160" s="21" t="str">
        <f t="shared" si="42"/>
        <v/>
      </c>
      <c r="AY160" s="21" t="str">
        <f>IF(AND($AM160&lt;&gt;"",$AS160&lt;&gt;"✓"),SUMPRODUCT(($AM$11:$AM160&lt;&gt;"")*($AS$11:$AS160&lt;&gt;"✓")),"")</f>
        <v/>
      </c>
      <c r="AZ160" s="21" t="str">
        <f>IF(AND($AM160&lt;&gt;"",$AS160="✓"),SUMPRODUCT(($AM$11:$AM160&lt;&gt;"")*($AS$11:$AS160="✓")),"")</f>
        <v/>
      </c>
      <c r="BA160" s="21" t="str">
        <f>IF($AL160="","",$AL160&amp;"|"&amp;COUNTIF($AL$11:$AL160,$AL160))</f>
        <v/>
      </c>
    </row>
    <row r="161" spans="2:53" ht="15" customHeight="1" x14ac:dyDescent="0.25">
      <c r="B161" s="5" t="str">
        <f t="shared" si="30"/>
        <v/>
      </c>
      <c r="C161" s="5"/>
      <c r="D161" s="5"/>
      <c r="E161" s="5"/>
      <c r="F161" s="6"/>
      <c r="G161" s="6"/>
      <c r="H161" s="7"/>
      <c r="I161" s="8"/>
      <c r="K161" s="9" t="str">
        <f>IFERROR(INDEX($AL$11:$AL$4010,MATCH(151,$AX$11:$AX$4010,0)),"")</f>
        <v/>
      </c>
      <c r="L161" s="10" t="str">
        <f t="shared" si="31"/>
        <v/>
      </c>
      <c r="M161" s="11" t="str">
        <f t="shared" si="32"/>
        <v/>
      </c>
      <c r="N161" s="11" t="str">
        <f t="shared" si="33"/>
        <v/>
      </c>
      <c r="P161" s="12" t="str">
        <f>IFERROR(INDEX($AM$11:$AM$4010,MATCH($S$8&amp;"|"&amp;151,$BA$11:$BA$4010,0)),"")</f>
        <v/>
      </c>
      <c r="Q161" s="11" t="str">
        <f>IF(P161="","",IFERROR(INDEX($AN$11:$AN$4010,MATCH($S$8&amp;"|"&amp;151,$BA$11:$BA$4010,0)),""))</f>
        <v/>
      </c>
      <c r="R161" s="11" t="str">
        <f>IF(P161="","",IFERROR(INDEX($AO$11:$AO$4010,MATCH($S$8&amp;"|"&amp;151,$BA$11:$BA$4010,0)),""))</f>
        <v/>
      </c>
      <c r="S161" s="10" t="str">
        <f>IF(P161="","",IFERROR(INDEX($AP$11:$AP$4010,MATCH($S$8&amp;"|"&amp;151,$BA$11:$BA$4010,0)),""))</f>
        <v/>
      </c>
      <c r="T161" s="10" t="str">
        <f>IF(P161="","",IFERROR(INDEX($AQ$11:$AQ$4010,MATCH($S$8&amp;"|"&amp;151,$BA$11:$BA$4010,0)),""))</f>
        <v/>
      </c>
      <c r="U161" s="39" t="str">
        <f t="shared" si="34"/>
        <v/>
      </c>
      <c r="W161" s="14" t="str">
        <f>IF(X161="","",IFERROR(INDEX($AL$11:$AL$4010,MATCH(151,$AY$11:$AY$4010,0)),""))</f>
        <v/>
      </c>
      <c r="X161" s="12" t="str">
        <f>IFERROR(INDEX($AM$11:$AM$4010,MATCH(151,$AY$11:$AY$4010,0)),"")</f>
        <v/>
      </c>
      <c r="Y161" s="11" t="str">
        <f>IF(X161="","",IFERROR(INDEX($AN$11:$AN$4010,MATCH(151,$AY$11:$AY$4010,0)),""))</f>
        <v/>
      </c>
      <c r="Z161" s="11" t="str">
        <f>IF(X161="","",IFERROR(INDEX($AO$11:$AO$4010,MATCH(151,$AY$11:$AY$4010,0)),""))</f>
        <v/>
      </c>
      <c r="AA161" s="10" t="str">
        <f>IF(X161="","",IFERROR(INDEX($AQ$11:$AQ$4010,MATCH(151,$AY$11:$AY$4010,0)),""))</f>
        <v/>
      </c>
      <c r="AB161" s="15" t="str">
        <f>IF(X161="","",IFERROR(INDEX($AR$11:$AR$4010,MATCH(151,$AY$11:$AY$4010,0)),""))</f>
        <v/>
      </c>
      <c r="AD161" s="16" t="str">
        <f>IF(AE161="","",IFERROR(INDEX($AL$11:$AL$4010,MATCH(151,$AZ$11:$AZ$4010,0)),""))</f>
        <v/>
      </c>
      <c r="AE161" s="12" t="str">
        <f>IFERROR(INDEX($AM$11:$AM$4010,MATCH(151,$AZ$11:$AZ$4010,0)),"")</f>
        <v/>
      </c>
      <c r="AF161" s="11" t="str">
        <f>IF(AE161="","",IFERROR(INDEX($AN$11:$AN$4010,MATCH(151,$AZ$11:$AZ$4010,0)),""))</f>
        <v/>
      </c>
      <c r="AG161" s="11" t="str">
        <f>IF(AE161="","",IFERROR(INDEX($AO$11:$AO$4010,MATCH(151,$AZ$11:$AZ$4010,0)),""))</f>
        <v/>
      </c>
      <c r="AH161" s="10" t="str">
        <f>IF(AE161="","",IFERROR(INDEX($AQ$11:$AQ$4010,MATCH(151,$AZ$11:$AZ$4010,0)),""))</f>
        <v/>
      </c>
      <c r="AI161" s="15" t="str">
        <f>IF(AE161="","",IFERROR(INDEX($AR$11:$AR$4010,MATCH(151,$AZ$11:$AZ$4010,0)),""))</f>
        <v/>
      </c>
      <c r="AJ161" s="15" t="str">
        <f>IF(AE161="","",IFERROR(INDEX($AT$11:$AT$4010,MATCH(151,$AZ$11:$AZ$4010,0)),""))</f>
        <v/>
      </c>
      <c r="AL161" s="17" t="str">
        <f t="shared" si="35"/>
        <v/>
      </c>
      <c r="AM161" s="12" t="str">
        <f t="shared" si="36"/>
        <v/>
      </c>
      <c r="AN161" s="18" t="str">
        <f t="shared" si="37"/>
        <v/>
      </c>
      <c r="AO161" s="18" t="str">
        <f t="shared" si="38"/>
        <v/>
      </c>
      <c r="AP161" s="10" t="str">
        <f t="shared" si="39"/>
        <v/>
      </c>
      <c r="AQ161" s="10" t="str">
        <f t="shared" si="40"/>
        <v/>
      </c>
      <c r="AR161" s="19" t="str">
        <f t="shared" si="41"/>
        <v/>
      </c>
      <c r="AS161" s="20"/>
      <c r="AT161" s="19"/>
      <c r="AV161" s="21">
        <f>IF(AND($AL161&lt;&gt;"",COUNTIF($AL$11:$AL161,$AL161)=1),1,0)</f>
        <v>0</v>
      </c>
      <c r="AW161" s="21">
        <f t="shared" si="43"/>
        <v>0</v>
      </c>
      <c r="AX161" s="21" t="str">
        <f t="shared" si="42"/>
        <v/>
      </c>
      <c r="AY161" s="21" t="str">
        <f>IF(AND($AM161&lt;&gt;"",$AS161&lt;&gt;"✓"),SUMPRODUCT(($AM$11:$AM161&lt;&gt;"")*($AS$11:$AS161&lt;&gt;"✓")),"")</f>
        <v/>
      </c>
      <c r="AZ161" s="21" t="str">
        <f>IF(AND($AM161&lt;&gt;"",$AS161="✓"),SUMPRODUCT(($AM$11:$AM161&lt;&gt;"")*($AS$11:$AS161="✓")),"")</f>
        <v/>
      </c>
      <c r="BA161" s="21" t="str">
        <f>IF($AL161="","",$AL161&amp;"|"&amp;COUNTIF($AL$11:$AL161,$AL161))</f>
        <v/>
      </c>
    </row>
    <row r="162" spans="2:53" ht="15" customHeight="1" x14ac:dyDescent="0.25">
      <c r="B162" s="5" t="str">
        <f t="shared" si="30"/>
        <v/>
      </c>
      <c r="C162" s="5"/>
      <c r="D162" s="5"/>
      <c r="E162" s="5"/>
      <c r="F162" s="6"/>
      <c r="G162" s="6"/>
      <c r="H162" s="7"/>
      <c r="I162" s="8"/>
      <c r="K162" s="23" t="str">
        <f>IFERROR(INDEX($AL$11:$AL$4010,MATCH(152,$AX$11:$AX$4010,0)),"")</f>
        <v/>
      </c>
      <c r="L162" s="24" t="str">
        <f t="shared" si="31"/>
        <v/>
      </c>
      <c r="M162" s="25" t="str">
        <f t="shared" si="32"/>
        <v/>
      </c>
      <c r="N162" s="25" t="str">
        <f t="shared" si="33"/>
        <v/>
      </c>
      <c r="P162" s="26" t="str">
        <f>IFERROR(INDEX($AM$11:$AM$4010,MATCH($S$8&amp;"|"&amp;152,$BA$11:$BA$4010,0)),"")</f>
        <v/>
      </c>
      <c r="Q162" s="25" t="str">
        <f>IF(P162="","",IFERROR(INDEX($AN$11:$AN$4010,MATCH($S$8&amp;"|"&amp;152,$BA$11:$BA$4010,0)),""))</f>
        <v/>
      </c>
      <c r="R162" s="25" t="str">
        <f>IF(P162="","",IFERROR(INDEX($AO$11:$AO$4010,MATCH($S$8&amp;"|"&amp;152,$BA$11:$BA$4010,0)),""))</f>
        <v/>
      </c>
      <c r="S162" s="24" t="str">
        <f>IF(P162="","",IFERROR(INDEX($AP$11:$AP$4010,MATCH($S$8&amp;"|"&amp;152,$BA$11:$BA$4010,0)),""))</f>
        <v/>
      </c>
      <c r="T162" s="24" t="str">
        <f>IF(P162="","",IFERROR(INDEX($AQ$11:$AQ$4010,MATCH($S$8&amp;"|"&amp;152,$BA$11:$BA$4010,0)),""))</f>
        <v/>
      </c>
      <c r="U162" s="38" t="str">
        <f t="shared" si="34"/>
        <v/>
      </c>
      <c r="W162" s="28" t="str">
        <f>IF(X162="","",IFERROR(INDEX($AL$11:$AL$4010,MATCH(152,$AY$11:$AY$4010,0)),""))</f>
        <v/>
      </c>
      <c r="X162" s="26" t="str">
        <f>IFERROR(INDEX($AM$11:$AM$4010,MATCH(152,$AY$11:$AY$4010,0)),"")</f>
        <v/>
      </c>
      <c r="Y162" s="25" t="str">
        <f>IF(X162="","",IFERROR(INDEX($AN$11:$AN$4010,MATCH(152,$AY$11:$AY$4010,0)),""))</f>
        <v/>
      </c>
      <c r="Z162" s="25" t="str">
        <f>IF(X162="","",IFERROR(INDEX($AO$11:$AO$4010,MATCH(152,$AY$11:$AY$4010,0)),""))</f>
        <v/>
      </c>
      <c r="AA162" s="24" t="str">
        <f>IF(X162="","",IFERROR(INDEX($AQ$11:$AQ$4010,MATCH(152,$AY$11:$AY$4010,0)),""))</f>
        <v/>
      </c>
      <c r="AB162" s="29" t="str">
        <f>IF(X162="","",IFERROR(INDEX($AR$11:$AR$4010,MATCH(152,$AY$11:$AY$4010,0)),""))</f>
        <v/>
      </c>
      <c r="AD162" s="30" t="str">
        <f>IF(AE162="","",IFERROR(INDEX($AL$11:$AL$4010,MATCH(152,$AZ$11:$AZ$4010,0)),""))</f>
        <v/>
      </c>
      <c r="AE162" s="26" t="str">
        <f>IFERROR(INDEX($AM$11:$AM$4010,MATCH(152,$AZ$11:$AZ$4010,0)),"")</f>
        <v/>
      </c>
      <c r="AF162" s="25" t="str">
        <f>IF(AE162="","",IFERROR(INDEX($AN$11:$AN$4010,MATCH(152,$AZ$11:$AZ$4010,0)),""))</f>
        <v/>
      </c>
      <c r="AG162" s="25" t="str">
        <f>IF(AE162="","",IFERROR(INDEX($AO$11:$AO$4010,MATCH(152,$AZ$11:$AZ$4010,0)),""))</f>
        <v/>
      </c>
      <c r="AH162" s="24" t="str">
        <f>IF(AE162="","",IFERROR(INDEX($AQ$11:$AQ$4010,MATCH(152,$AZ$11:$AZ$4010,0)),""))</f>
        <v/>
      </c>
      <c r="AI162" s="29" t="str">
        <f>IF(AE162="","",IFERROR(INDEX($AR$11:$AR$4010,MATCH(152,$AZ$11:$AZ$4010,0)),""))</f>
        <v/>
      </c>
      <c r="AJ162" s="29" t="str">
        <f>IF(AE162="","",IFERROR(INDEX($AT$11:$AT$4010,MATCH(152,$AZ$11:$AZ$4010,0)),""))</f>
        <v/>
      </c>
      <c r="AL162" s="31" t="str">
        <f t="shared" si="35"/>
        <v/>
      </c>
      <c r="AM162" s="26" t="str">
        <f t="shared" si="36"/>
        <v/>
      </c>
      <c r="AN162" s="32" t="str">
        <f t="shared" si="37"/>
        <v/>
      </c>
      <c r="AO162" s="32" t="str">
        <f t="shared" si="38"/>
        <v/>
      </c>
      <c r="AP162" s="24" t="str">
        <f t="shared" si="39"/>
        <v/>
      </c>
      <c r="AQ162" s="24" t="str">
        <f t="shared" si="40"/>
        <v/>
      </c>
      <c r="AR162" s="33" t="str">
        <f t="shared" si="41"/>
        <v/>
      </c>
      <c r="AS162" s="34"/>
      <c r="AT162" s="33"/>
      <c r="AV162" s="21">
        <f>IF(AND($AL162&lt;&gt;"",COUNTIF($AL$11:$AL162,$AL162)=1),1,0)</f>
        <v>0</v>
      </c>
      <c r="AW162" s="21">
        <f t="shared" si="43"/>
        <v>0</v>
      </c>
      <c r="AX162" s="21" t="str">
        <f t="shared" si="42"/>
        <v/>
      </c>
      <c r="AY162" s="21" t="str">
        <f>IF(AND($AM162&lt;&gt;"",$AS162&lt;&gt;"✓"),SUMPRODUCT(($AM$11:$AM162&lt;&gt;"")*($AS$11:$AS162&lt;&gt;"✓")),"")</f>
        <v/>
      </c>
      <c r="AZ162" s="21" t="str">
        <f>IF(AND($AM162&lt;&gt;"",$AS162="✓"),SUMPRODUCT(($AM$11:$AM162&lt;&gt;"")*($AS$11:$AS162="✓")),"")</f>
        <v/>
      </c>
      <c r="BA162" s="21" t="str">
        <f>IF($AL162="","",$AL162&amp;"|"&amp;COUNTIF($AL$11:$AL162,$AL162))</f>
        <v/>
      </c>
    </row>
    <row r="163" spans="2:53" ht="15" customHeight="1" x14ac:dyDescent="0.25">
      <c r="B163" s="5" t="str">
        <f t="shared" si="30"/>
        <v/>
      </c>
      <c r="C163" s="5"/>
      <c r="D163" s="5"/>
      <c r="E163" s="5"/>
      <c r="F163" s="6"/>
      <c r="G163" s="6"/>
      <c r="H163" s="7"/>
      <c r="I163" s="8"/>
      <c r="K163" s="9" t="str">
        <f>IFERROR(INDEX($AL$11:$AL$4010,MATCH(153,$AX$11:$AX$4010,0)),"")</f>
        <v/>
      </c>
      <c r="L163" s="10" t="str">
        <f t="shared" si="31"/>
        <v/>
      </c>
      <c r="M163" s="11" t="str">
        <f t="shared" si="32"/>
        <v/>
      </c>
      <c r="N163" s="11" t="str">
        <f t="shared" si="33"/>
        <v/>
      </c>
      <c r="P163" s="12" t="str">
        <f>IFERROR(INDEX($AM$11:$AM$4010,MATCH($S$8&amp;"|"&amp;153,$BA$11:$BA$4010,0)),"")</f>
        <v/>
      </c>
      <c r="Q163" s="11" t="str">
        <f>IF(P163="","",IFERROR(INDEX($AN$11:$AN$4010,MATCH($S$8&amp;"|"&amp;153,$BA$11:$BA$4010,0)),""))</f>
        <v/>
      </c>
      <c r="R163" s="11" t="str">
        <f>IF(P163="","",IFERROR(INDEX($AO$11:$AO$4010,MATCH($S$8&amp;"|"&amp;153,$BA$11:$BA$4010,0)),""))</f>
        <v/>
      </c>
      <c r="S163" s="10" t="str">
        <f>IF(P163="","",IFERROR(INDEX($AP$11:$AP$4010,MATCH($S$8&amp;"|"&amp;153,$BA$11:$BA$4010,0)),""))</f>
        <v/>
      </c>
      <c r="T163" s="10" t="str">
        <f>IF(P163="","",IFERROR(INDEX($AQ$11:$AQ$4010,MATCH($S$8&amp;"|"&amp;153,$BA$11:$BA$4010,0)),""))</f>
        <v/>
      </c>
      <c r="U163" s="39" t="str">
        <f t="shared" si="34"/>
        <v/>
      </c>
      <c r="W163" s="14" t="str">
        <f>IF(X163="","",IFERROR(INDEX($AL$11:$AL$4010,MATCH(153,$AY$11:$AY$4010,0)),""))</f>
        <v/>
      </c>
      <c r="X163" s="12" t="str">
        <f>IFERROR(INDEX($AM$11:$AM$4010,MATCH(153,$AY$11:$AY$4010,0)),"")</f>
        <v/>
      </c>
      <c r="Y163" s="11" t="str">
        <f>IF(X163="","",IFERROR(INDEX($AN$11:$AN$4010,MATCH(153,$AY$11:$AY$4010,0)),""))</f>
        <v/>
      </c>
      <c r="Z163" s="11" t="str">
        <f>IF(X163="","",IFERROR(INDEX($AO$11:$AO$4010,MATCH(153,$AY$11:$AY$4010,0)),""))</f>
        <v/>
      </c>
      <c r="AA163" s="10" t="str">
        <f>IF(X163="","",IFERROR(INDEX($AQ$11:$AQ$4010,MATCH(153,$AY$11:$AY$4010,0)),""))</f>
        <v/>
      </c>
      <c r="AB163" s="15" t="str">
        <f>IF(X163="","",IFERROR(INDEX($AR$11:$AR$4010,MATCH(153,$AY$11:$AY$4010,0)),""))</f>
        <v/>
      </c>
      <c r="AD163" s="16" t="str">
        <f>IF(AE163="","",IFERROR(INDEX($AL$11:$AL$4010,MATCH(153,$AZ$11:$AZ$4010,0)),""))</f>
        <v/>
      </c>
      <c r="AE163" s="12" t="str">
        <f>IFERROR(INDEX($AM$11:$AM$4010,MATCH(153,$AZ$11:$AZ$4010,0)),"")</f>
        <v/>
      </c>
      <c r="AF163" s="11" t="str">
        <f>IF(AE163="","",IFERROR(INDEX($AN$11:$AN$4010,MATCH(153,$AZ$11:$AZ$4010,0)),""))</f>
        <v/>
      </c>
      <c r="AG163" s="11" t="str">
        <f>IF(AE163="","",IFERROR(INDEX($AO$11:$AO$4010,MATCH(153,$AZ$11:$AZ$4010,0)),""))</f>
        <v/>
      </c>
      <c r="AH163" s="10" t="str">
        <f>IF(AE163="","",IFERROR(INDEX($AQ$11:$AQ$4010,MATCH(153,$AZ$11:$AZ$4010,0)),""))</f>
        <v/>
      </c>
      <c r="AI163" s="15" t="str">
        <f>IF(AE163="","",IFERROR(INDEX($AR$11:$AR$4010,MATCH(153,$AZ$11:$AZ$4010,0)),""))</f>
        <v/>
      </c>
      <c r="AJ163" s="15" t="str">
        <f>IF(AE163="","",IFERROR(INDEX($AT$11:$AT$4010,MATCH(153,$AZ$11:$AZ$4010,0)),""))</f>
        <v/>
      </c>
      <c r="AL163" s="17" t="str">
        <f t="shared" si="35"/>
        <v/>
      </c>
      <c r="AM163" s="12" t="str">
        <f t="shared" si="36"/>
        <v/>
      </c>
      <c r="AN163" s="18" t="str">
        <f t="shared" si="37"/>
        <v/>
      </c>
      <c r="AO163" s="18" t="str">
        <f t="shared" si="38"/>
        <v/>
      </c>
      <c r="AP163" s="10" t="str">
        <f t="shared" si="39"/>
        <v/>
      </c>
      <c r="AQ163" s="10" t="str">
        <f t="shared" si="40"/>
        <v/>
      </c>
      <c r="AR163" s="19" t="str">
        <f t="shared" si="41"/>
        <v/>
      </c>
      <c r="AS163" s="20"/>
      <c r="AT163" s="19"/>
      <c r="AV163" s="21">
        <f>IF(AND($AL163&lt;&gt;"",COUNTIF($AL$11:$AL163,$AL163)=1),1,0)</f>
        <v>0</v>
      </c>
      <c r="AW163" s="21">
        <f t="shared" si="43"/>
        <v>0</v>
      </c>
      <c r="AX163" s="21" t="str">
        <f t="shared" si="42"/>
        <v/>
      </c>
      <c r="AY163" s="21" t="str">
        <f>IF(AND($AM163&lt;&gt;"",$AS163&lt;&gt;"✓"),SUMPRODUCT(($AM$11:$AM163&lt;&gt;"")*($AS$11:$AS163&lt;&gt;"✓")),"")</f>
        <v/>
      </c>
      <c r="AZ163" s="21" t="str">
        <f>IF(AND($AM163&lt;&gt;"",$AS163="✓"),SUMPRODUCT(($AM$11:$AM163&lt;&gt;"")*($AS$11:$AS163="✓")),"")</f>
        <v/>
      </c>
      <c r="BA163" s="21" t="str">
        <f>IF($AL163="","",$AL163&amp;"|"&amp;COUNTIF($AL$11:$AL163,$AL163))</f>
        <v/>
      </c>
    </row>
    <row r="164" spans="2:53" ht="15" customHeight="1" x14ac:dyDescent="0.25">
      <c r="B164" s="5" t="str">
        <f t="shared" si="30"/>
        <v/>
      </c>
      <c r="C164" s="5"/>
      <c r="D164" s="5"/>
      <c r="E164" s="5"/>
      <c r="F164" s="6"/>
      <c r="G164" s="6"/>
      <c r="H164" s="7"/>
      <c r="I164" s="8"/>
      <c r="K164" s="23" t="str">
        <f>IFERROR(INDEX($AL$11:$AL$4010,MATCH(154,$AX$11:$AX$4010,0)),"")</f>
        <v/>
      </c>
      <c r="L164" s="24" t="str">
        <f t="shared" si="31"/>
        <v/>
      </c>
      <c r="M164" s="25" t="str">
        <f t="shared" si="32"/>
        <v/>
      </c>
      <c r="N164" s="25" t="str">
        <f t="shared" si="33"/>
        <v/>
      </c>
      <c r="P164" s="26" t="str">
        <f>IFERROR(INDEX($AM$11:$AM$4010,MATCH($S$8&amp;"|"&amp;154,$BA$11:$BA$4010,0)),"")</f>
        <v/>
      </c>
      <c r="Q164" s="25" t="str">
        <f>IF(P164="","",IFERROR(INDEX($AN$11:$AN$4010,MATCH($S$8&amp;"|"&amp;154,$BA$11:$BA$4010,0)),""))</f>
        <v/>
      </c>
      <c r="R164" s="25" t="str">
        <f>IF(P164="","",IFERROR(INDEX($AO$11:$AO$4010,MATCH($S$8&amp;"|"&amp;154,$BA$11:$BA$4010,0)),""))</f>
        <v/>
      </c>
      <c r="S164" s="24" t="str">
        <f>IF(P164="","",IFERROR(INDEX($AP$11:$AP$4010,MATCH($S$8&amp;"|"&amp;154,$BA$11:$BA$4010,0)),""))</f>
        <v/>
      </c>
      <c r="T164" s="24" t="str">
        <f>IF(P164="","",IFERROR(INDEX($AQ$11:$AQ$4010,MATCH($S$8&amp;"|"&amp;154,$BA$11:$BA$4010,0)),""))</f>
        <v/>
      </c>
      <c r="U164" s="38" t="str">
        <f t="shared" si="34"/>
        <v/>
      </c>
      <c r="W164" s="28" t="str">
        <f>IF(X164="","",IFERROR(INDEX($AL$11:$AL$4010,MATCH(154,$AY$11:$AY$4010,0)),""))</f>
        <v/>
      </c>
      <c r="X164" s="26" t="str">
        <f>IFERROR(INDEX($AM$11:$AM$4010,MATCH(154,$AY$11:$AY$4010,0)),"")</f>
        <v/>
      </c>
      <c r="Y164" s="25" t="str">
        <f>IF(X164="","",IFERROR(INDEX($AN$11:$AN$4010,MATCH(154,$AY$11:$AY$4010,0)),""))</f>
        <v/>
      </c>
      <c r="Z164" s="25" t="str">
        <f>IF(X164="","",IFERROR(INDEX($AO$11:$AO$4010,MATCH(154,$AY$11:$AY$4010,0)),""))</f>
        <v/>
      </c>
      <c r="AA164" s="24" t="str">
        <f>IF(X164="","",IFERROR(INDEX($AQ$11:$AQ$4010,MATCH(154,$AY$11:$AY$4010,0)),""))</f>
        <v/>
      </c>
      <c r="AB164" s="29" t="str">
        <f>IF(X164="","",IFERROR(INDEX($AR$11:$AR$4010,MATCH(154,$AY$11:$AY$4010,0)),""))</f>
        <v/>
      </c>
      <c r="AD164" s="30" t="str">
        <f>IF(AE164="","",IFERROR(INDEX($AL$11:$AL$4010,MATCH(154,$AZ$11:$AZ$4010,0)),""))</f>
        <v/>
      </c>
      <c r="AE164" s="26" t="str">
        <f>IFERROR(INDEX($AM$11:$AM$4010,MATCH(154,$AZ$11:$AZ$4010,0)),"")</f>
        <v/>
      </c>
      <c r="AF164" s="25" t="str">
        <f>IF(AE164="","",IFERROR(INDEX($AN$11:$AN$4010,MATCH(154,$AZ$11:$AZ$4010,0)),""))</f>
        <v/>
      </c>
      <c r="AG164" s="25" t="str">
        <f>IF(AE164="","",IFERROR(INDEX($AO$11:$AO$4010,MATCH(154,$AZ$11:$AZ$4010,0)),""))</f>
        <v/>
      </c>
      <c r="AH164" s="24" t="str">
        <f>IF(AE164="","",IFERROR(INDEX($AQ$11:$AQ$4010,MATCH(154,$AZ$11:$AZ$4010,0)),""))</f>
        <v/>
      </c>
      <c r="AI164" s="29" t="str">
        <f>IF(AE164="","",IFERROR(INDEX($AR$11:$AR$4010,MATCH(154,$AZ$11:$AZ$4010,0)),""))</f>
        <v/>
      </c>
      <c r="AJ164" s="29" t="str">
        <f>IF(AE164="","",IFERROR(INDEX($AT$11:$AT$4010,MATCH(154,$AZ$11:$AZ$4010,0)),""))</f>
        <v/>
      </c>
      <c r="AL164" s="31" t="str">
        <f t="shared" si="35"/>
        <v/>
      </c>
      <c r="AM164" s="26" t="str">
        <f t="shared" si="36"/>
        <v/>
      </c>
      <c r="AN164" s="32" t="str">
        <f t="shared" si="37"/>
        <v/>
      </c>
      <c r="AO164" s="32" t="str">
        <f t="shared" si="38"/>
        <v/>
      </c>
      <c r="AP164" s="24" t="str">
        <f t="shared" si="39"/>
        <v/>
      </c>
      <c r="AQ164" s="24" t="str">
        <f t="shared" si="40"/>
        <v/>
      </c>
      <c r="AR164" s="33" t="str">
        <f t="shared" si="41"/>
        <v/>
      </c>
      <c r="AS164" s="34"/>
      <c r="AT164" s="33"/>
      <c r="AV164" s="21">
        <f>IF(AND($AL164&lt;&gt;"",COUNTIF($AL$11:$AL164,$AL164)=1),1,0)</f>
        <v>0</v>
      </c>
      <c r="AW164" s="21">
        <f t="shared" si="43"/>
        <v>0</v>
      </c>
      <c r="AX164" s="21" t="str">
        <f t="shared" si="42"/>
        <v/>
      </c>
      <c r="AY164" s="21" t="str">
        <f>IF(AND($AM164&lt;&gt;"",$AS164&lt;&gt;"✓"),SUMPRODUCT(($AM$11:$AM164&lt;&gt;"")*($AS$11:$AS164&lt;&gt;"✓")),"")</f>
        <v/>
      </c>
      <c r="AZ164" s="21" t="str">
        <f>IF(AND($AM164&lt;&gt;"",$AS164="✓"),SUMPRODUCT(($AM$11:$AM164&lt;&gt;"")*($AS$11:$AS164="✓")),"")</f>
        <v/>
      </c>
      <c r="BA164" s="21" t="str">
        <f>IF($AL164="","",$AL164&amp;"|"&amp;COUNTIF($AL$11:$AL164,$AL164))</f>
        <v/>
      </c>
    </row>
    <row r="165" spans="2:53" ht="15" customHeight="1" x14ac:dyDescent="0.25">
      <c r="B165" s="5" t="str">
        <f t="shared" si="30"/>
        <v/>
      </c>
      <c r="C165" s="5"/>
      <c r="D165" s="5"/>
      <c r="E165" s="5"/>
      <c r="F165" s="6"/>
      <c r="G165" s="6"/>
      <c r="H165" s="7"/>
      <c r="I165" s="8"/>
      <c r="K165" s="9" t="str">
        <f>IFERROR(INDEX($AL$11:$AL$4010,MATCH(155,$AX$11:$AX$4010,0)),"")</f>
        <v/>
      </c>
      <c r="L165" s="10" t="str">
        <f t="shared" si="31"/>
        <v/>
      </c>
      <c r="M165" s="11" t="str">
        <f t="shared" si="32"/>
        <v/>
      </c>
      <c r="N165" s="11" t="str">
        <f t="shared" si="33"/>
        <v/>
      </c>
      <c r="P165" s="12" t="str">
        <f>IFERROR(INDEX($AM$11:$AM$4010,MATCH($S$8&amp;"|"&amp;155,$BA$11:$BA$4010,0)),"")</f>
        <v/>
      </c>
      <c r="Q165" s="11" t="str">
        <f>IF(P165="","",IFERROR(INDEX($AN$11:$AN$4010,MATCH($S$8&amp;"|"&amp;155,$BA$11:$BA$4010,0)),""))</f>
        <v/>
      </c>
      <c r="R165" s="11" t="str">
        <f>IF(P165="","",IFERROR(INDEX($AO$11:$AO$4010,MATCH($S$8&amp;"|"&amp;155,$BA$11:$BA$4010,0)),""))</f>
        <v/>
      </c>
      <c r="S165" s="10" t="str">
        <f>IF(P165="","",IFERROR(INDEX($AP$11:$AP$4010,MATCH($S$8&amp;"|"&amp;155,$BA$11:$BA$4010,0)),""))</f>
        <v/>
      </c>
      <c r="T165" s="10" t="str">
        <f>IF(P165="","",IFERROR(INDEX($AQ$11:$AQ$4010,MATCH($S$8&amp;"|"&amp;155,$BA$11:$BA$4010,0)),""))</f>
        <v/>
      </c>
      <c r="U165" s="39" t="str">
        <f t="shared" si="34"/>
        <v/>
      </c>
      <c r="W165" s="14" t="str">
        <f>IF(X165="","",IFERROR(INDEX($AL$11:$AL$4010,MATCH(155,$AY$11:$AY$4010,0)),""))</f>
        <v/>
      </c>
      <c r="X165" s="12" t="str">
        <f>IFERROR(INDEX($AM$11:$AM$4010,MATCH(155,$AY$11:$AY$4010,0)),"")</f>
        <v/>
      </c>
      <c r="Y165" s="11" t="str">
        <f>IF(X165="","",IFERROR(INDEX($AN$11:$AN$4010,MATCH(155,$AY$11:$AY$4010,0)),""))</f>
        <v/>
      </c>
      <c r="Z165" s="11" t="str">
        <f>IF(X165="","",IFERROR(INDEX($AO$11:$AO$4010,MATCH(155,$AY$11:$AY$4010,0)),""))</f>
        <v/>
      </c>
      <c r="AA165" s="10" t="str">
        <f>IF(X165="","",IFERROR(INDEX($AQ$11:$AQ$4010,MATCH(155,$AY$11:$AY$4010,0)),""))</f>
        <v/>
      </c>
      <c r="AB165" s="15" t="str">
        <f>IF(X165="","",IFERROR(INDEX($AR$11:$AR$4010,MATCH(155,$AY$11:$AY$4010,0)),""))</f>
        <v/>
      </c>
      <c r="AD165" s="16" t="str">
        <f>IF(AE165="","",IFERROR(INDEX($AL$11:$AL$4010,MATCH(155,$AZ$11:$AZ$4010,0)),""))</f>
        <v/>
      </c>
      <c r="AE165" s="12" t="str">
        <f>IFERROR(INDEX($AM$11:$AM$4010,MATCH(155,$AZ$11:$AZ$4010,0)),"")</f>
        <v/>
      </c>
      <c r="AF165" s="11" t="str">
        <f>IF(AE165="","",IFERROR(INDEX($AN$11:$AN$4010,MATCH(155,$AZ$11:$AZ$4010,0)),""))</f>
        <v/>
      </c>
      <c r="AG165" s="11" t="str">
        <f>IF(AE165="","",IFERROR(INDEX($AO$11:$AO$4010,MATCH(155,$AZ$11:$AZ$4010,0)),""))</f>
        <v/>
      </c>
      <c r="AH165" s="10" t="str">
        <f>IF(AE165="","",IFERROR(INDEX($AQ$11:$AQ$4010,MATCH(155,$AZ$11:$AZ$4010,0)),""))</f>
        <v/>
      </c>
      <c r="AI165" s="15" t="str">
        <f>IF(AE165="","",IFERROR(INDEX($AR$11:$AR$4010,MATCH(155,$AZ$11:$AZ$4010,0)),""))</f>
        <v/>
      </c>
      <c r="AJ165" s="15" t="str">
        <f>IF(AE165="","",IFERROR(INDEX($AT$11:$AT$4010,MATCH(155,$AZ$11:$AZ$4010,0)),""))</f>
        <v/>
      </c>
      <c r="AL165" s="17" t="str">
        <f t="shared" si="35"/>
        <v/>
      </c>
      <c r="AM165" s="12" t="str">
        <f t="shared" si="36"/>
        <v/>
      </c>
      <c r="AN165" s="18" t="str">
        <f t="shared" si="37"/>
        <v/>
      </c>
      <c r="AO165" s="18" t="str">
        <f t="shared" si="38"/>
        <v/>
      </c>
      <c r="AP165" s="10" t="str">
        <f t="shared" si="39"/>
        <v/>
      </c>
      <c r="AQ165" s="10" t="str">
        <f t="shared" si="40"/>
        <v/>
      </c>
      <c r="AR165" s="19" t="str">
        <f t="shared" si="41"/>
        <v/>
      </c>
      <c r="AS165" s="20"/>
      <c r="AT165" s="19"/>
      <c r="AV165" s="21">
        <f>IF(AND($AL165&lt;&gt;"",COUNTIF($AL$11:$AL165,$AL165)=1),1,0)</f>
        <v>0</v>
      </c>
      <c r="AW165" s="21">
        <f t="shared" si="43"/>
        <v>0</v>
      </c>
      <c r="AX165" s="21" t="str">
        <f t="shared" si="42"/>
        <v/>
      </c>
      <c r="AY165" s="21" t="str">
        <f>IF(AND($AM165&lt;&gt;"",$AS165&lt;&gt;"✓"),SUMPRODUCT(($AM$11:$AM165&lt;&gt;"")*($AS$11:$AS165&lt;&gt;"✓")),"")</f>
        <v/>
      </c>
      <c r="AZ165" s="21" t="str">
        <f>IF(AND($AM165&lt;&gt;"",$AS165="✓"),SUMPRODUCT(($AM$11:$AM165&lt;&gt;"")*($AS$11:$AS165="✓")),"")</f>
        <v/>
      </c>
      <c r="BA165" s="21" t="str">
        <f>IF($AL165="","",$AL165&amp;"|"&amp;COUNTIF($AL$11:$AL165,$AL165))</f>
        <v/>
      </c>
    </row>
    <row r="166" spans="2:53" ht="15" customHeight="1" x14ac:dyDescent="0.25">
      <c r="B166" s="5" t="str">
        <f t="shared" si="30"/>
        <v/>
      </c>
      <c r="C166" s="5"/>
      <c r="D166" s="5"/>
      <c r="E166" s="5"/>
      <c r="F166" s="6"/>
      <c r="G166" s="6"/>
      <c r="H166" s="7"/>
      <c r="I166" s="8"/>
      <c r="K166" s="23" t="str">
        <f>IFERROR(INDEX($AL$11:$AL$4010,MATCH(156,$AX$11:$AX$4010,0)),"")</f>
        <v/>
      </c>
      <c r="L166" s="24" t="str">
        <f t="shared" si="31"/>
        <v/>
      </c>
      <c r="M166" s="25" t="str">
        <f t="shared" si="32"/>
        <v/>
      </c>
      <c r="N166" s="25" t="str">
        <f t="shared" si="33"/>
        <v/>
      </c>
      <c r="P166" s="26" t="str">
        <f>IFERROR(INDEX($AM$11:$AM$4010,MATCH($S$8&amp;"|"&amp;156,$BA$11:$BA$4010,0)),"")</f>
        <v/>
      </c>
      <c r="Q166" s="25" t="str">
        <f>IF(P166="","",IFERROR(INDEX($AN$11:$AN$4010,MATCH($S$8&amp;"|"&amp;156,$BA$11:$BA$4010,0)),""))</f>
        <v/>
      </c>
      <c r="R166" s="25" t="str">
        <f>IF(P166="","",IFERROR(INDEX($AO$11:$AO$4010,MATCH($S$8&amp;"|"&amp;156,$BA$11:$BA$4010,0)),""))</f>
        <v/>
      </c>
      <c r="S166" s="24" t="str">
        <f>IF(P166="","",IFERROR(INDEX($AP$11:$AP$4010,MATCH($S$8&amp;"|"&amp;156,$BA$11:$BA$4010,0)),""))</f>
        <v/>
      </c>
      <c r="T166" s="24" t="str">
        <f>IF(P166="","",IFERROR(INDEX($AQ$11:$AQ$4010,MATCH($S$8&amp;"|"&amp;156,$BA$11:$BA$4010,0)),""))</f>
        <v/>
      </c>
      <c r="U166" s="38" t="str">
        <f t="shared" si="34"/>
        <v/>
      </c>
      <c r="W166" s="28" t="str">
        <f>IF(X166="","",IFERROR(INDEX($AL$11:$AL$4010,MATCH(156,$AY$11:$AY$4010,0)),""))</f>
        <v/>
      </c>
      <c r="X166" s="26" t="str">
        <f>IFERROR(INDEX($AM$11:$AM$4010,MATCH(156,$AY$11:$AY$4010,0)),"")</f>
        <v/>
      </c>
      <c r="Y166" s="25" t="str">
        <f>IF(X166="","",IFERROR(INDEX($AN$11:$AN$4010,MATCH(156,$AY$11:$AY$4010,0)),""))</f>
        <v/>
      </c>
      <c r="Z166" s="25" t="str">
        <f>IF(X166="","",IFERROR(INDEX($AO$11:$AO$4010,MATCH(156,$AY$11:$AY$4010,0)),""))</f>
        <v/>
      </c>
      <c r="AA166" s="24" t="str">
        <f>IF(X166="","",IFERROR(INDEX($AQ$11:$AQ$4010,MATCH(156,$AY$11:$AY$4010,0)),""))</f>
        <v/>
      </c>
      <c r="AB166" s="29" t="str">
        <f>IF(X166="","",IFERROR(INDEX($AR$11:$AR$4010,MATCH(156,$AY$11:$AY$4010,0)),""))</f>
        <v/>
      </c>
      <c r="AD166" s="30" t="str">
        <f>IF(AE166="","",IFERROR(INDEX($AL$11:$AL$4010,MATCH(156,$AZ$11:$AZ$4010,0)),""))</f>
        <v/>
      </c>
      <c r="AE166" s="26" t="str">
        <f>IFERROR(INDEX($AM$11:$AM$4010,MATCH(156,$AZ$11:$AZ$4010,0)),"")</f>
        <v/>
      </c>
      <c r="AF166" s="25" t="str">
        <f>IF(AE166="","",IFERROR(INDEX($AN$11:$AN$4010,MATCH(156,$AZ$11:$AZ$4010,0)),""))</f>
        <v/>
      </c>
      <c r="AG166" s="25" t="str">
        <f>IF(AE166="","",IFERROR(INDEX($AO$11:$AO$4010,MATCH(156,$AZ$11:$AZ$4010,0)),""))</f>
        <v/>
      </c>
      <c r="AH166" s="24" t="str">
        <f>IF(AE166="","",IFERROR(INDEX($AQ$11:$AQ$4010,MATCH(156,$AZ$11:$AZ$4010,0)),""))</f>
        <v/>
      </c>
      <c r="AI166" s="29" t="str">
        <f>IF(AE166="","",IFERROR(INDEX($AR$11:$AR$4010,MATCH(156,$AZ$11:$AZ$4010,0)),""))</f>
        <v/>
      </c>
      <c r="AJ166" s="29" t="str">
        <f>IF(AE166="","",IFERROR(INDEX($AT$11:$AT$4010,MATCH(156,$AZ$11:$AZ$4010,0)),""))</f>
        <v/>
      </c>
      <c r="AL166" s="31" t="str">
        <f t="shared" si="35"/>
        <v/>
      </c>
      <c r="AM166" s="26" t="str">
        <f t="shared" si="36"/>
        <v/>
      </c>
      <c r="AN166" s="32" t="str">
        <f t="shared" si="37"/>
        <v/>
      </c>
      <c r="AO166" s="32" t="str">
        <f t="shared" si="38"/>
        <v/>
      </c>
      <c r="AP166" s="24" t="str">
        <f t="shared" si="39"/>
        <v/>
      </c>
      <c r="AQ166" s="24" t="str">
        <f t="shared" si="40"/>
        <v/>
      </c>
      <c r="AR166" s="33" t="str">
        <f t="shared" si="41"/>
        <v/>
      </c>
      <c r="AS166" s="34"/>
      <c r="AT166" s="33"/>
      <c r="AV166" s="21">
        <f>IF(AND($AL166&lt;&gt;"",COUNTIF($AL$11:$AL166,$AL166)=1),1,0)</f>
        <v>0</v>
      </c>
      <c r="AW166" s="21">
        <f t="shared" si="43"/>
        <v>0</v>
      </c>
      <c r="AX166" s="21" t="str">
        <f t="shared" si="42"/>
        <v/>
      </c>
      <c r="AY166" s="21" t="str">
        <f>IF(AND($AM166&lt;&gt;"",$AS166&lt;&gt;"✓"),SUMPRODUCT(($AM$11:$AM166&lt;&gt;"")*($AS$11:$AS166&lt;&gt;"✓")),"")</f>
        <v/>
      </c>
      <c r="AZ166" s="21" t="str">
        <f>IF(AND($AM166&lt;&gt;"",$AS166="✓"),SUMPRODUCT(($AM$11:$AM166&lt;&gt;"")*($AS$11:$AS166="✓")),"")</f>
        <v/>
      </c>
      <c r="BA166" s="21" t="str">
        <f>IF($AL166="","",$AL166&amp;"|"&amp;COUNTIF($AL$11:$AL166,$AL166))</f>
        <v/>
      </c>
    </row>
    <row r="167" spans="2:53" ht="15" customHeight="1" x14ac:dyDescent="0.25">
      <c r="B167" s="5" t="str">
        <f t="shared" si="30"/>
        <v/>
      </c>
      <c r="C167" s="5"/>
      <c r="D167" s="5"/>
      <c r="E167" s="5"/>
      <c r="F167" s="6"/>
      <c r="G167" s="6"/>
      <c r="H167" s="7"/>
      <c r="I167" s="8"/>
      <c r="K167" s="9" t="str">
        <f>IFERROR(INDEX($AL$11:$AL$4010,MATCH(157,$AX$11:$AX$4010,0)),"")</f>
        <v/>
      </c>
      <c r="L167" s="10" t="str">
        <f t="shared" si="31"/>
        <v/>
      </c>
      <c r="M167" s="11" t="str">
        <f t="shared" si="32"/>
        <v/>
      </c>
      <c r="N167" s="11" t="str">
        <f t="shared" si="33"/>
        <v/>
      </c>
      <c r="P167" s="12" t="str">
        <f>IFERROR(INDEX($AM$11:$AM$4010,MATCH($S$8&amp;"|"&amp;157,$BA$11:$BA$4010,0)),"")</f>
        <v/>
      </c>
      <c r="Q167" s="11" t="str">
        <f>IF(P167="","",IFERROR(INDEX($AN$11:$AN$4010,MATCH($S$8&amp;"|"&amp;157,$BA$11:$BA$4010,0)),""))</f>
        <v/>
      </c>
      <c r="R167" s="11" t="str">
        <f>IF(P167="","",IFERROR(INDEX($AO$11:$AO$4010,MATCH($S$8&amp;"|"&amp;157,$BA$11:$BA$4010,0)),""))</f>
        <v/>
      </c>
      <c r="S167" s="10" t="str">
        <f>IF(P167="","",IFERROR(INDEX($AP$11:$AP$4010,MATCH($S$8&amp;"|"&amp;157,$BA$11:$BA$4010,0)),""))</f>
        <v/>
      </c>
      <c r="T167" s="10" t="str">
        <f>IF(P167="","",IFERROR(INDEX($AQ$11:$AQ$4010,MATCH($S$8&amp;"|"&amp;157,$BA$11:$BA$4010,0)),""))</f>
        <v/>
      </c>
      <c r="U167" s="39" t="str">
        <f t="shared" si="34"/>
        <v/>
      </c>
      <c r="W167" s="14" t="str">
        <f>IF(X167="","",IFERROR(INDEX($AL$11:$AL$4010,MATCH(157,$AY$11:$AY$4010,0)),""))</f>
        <v/>
      </c>
      <c r="X167" s="12" t="str">
        <f>IFERROR(INDEX($AM$11:$AM$4010,MATCH(157,$AY$11:$AY$4010,0)),"")</f>
        <v/>
      </c>
      <c r="Y167" s="11" t="str">
        <f>IF(X167="","",IFERROR(INDEX($AN$11:$AN$4010,MATCH(157,$AY$11:$AY$4010,0)),""))</f>
        <v/>
      </c>
      <c r="Z167" s="11" t="str">
        <f>IF(X167="","",IFERROR(INDEX($AO$11:$AO$4010,MATCH(157,$AY$11:$AY$4010,0)),""))</f>
        <v/>
      </c>
      <c r="AA167" s="10" t="str">
        <f>IF(X167="","",IFERROR(INDEX($AQ$11:$AQ$4010,MATCH(157,$AY$11:$AY$4010,0)),""))</f>
        <v/>
      </c>
      <c r="AB167" s="15" t="str">
        <f>IF(X167="","",IFERROR(INDEX($AR$11:$AR$4010,MATCH(157,$AY$11:$AY$4010,0)),""))</f>
        <v/>
      </c>
      <c r="AD167" s="16" t="str">
        <f>IF(AE167="","",IFERROR(INDEX($AL$11:$AL$4010,MATCH(157,$AZ$11:$AZ$4010,0)),""))</f>
        <v/>
      </c>
      <c r="AE167" s="12" t="str">
        <f>IFERROR(INDEX($AM$11:$AM$4010,MATCH(157,$AZ$11:$AZ$4010,0)),"")</f>
        <v/>
      </c>
      <c r="AF167" s="11" t="str">
        <f>IF(AE167="","",IFERROR(INDEX($AN$11:$AN$4010,MATCH(157,$AZ$11:$AZ$4010,0)),""))</f>
        <v/>
      </c>
      <c r="AG167" s="11" t="str">
        <f>IF(AE167="","",IFERROR(INDEX($AO$11:$AO$4010,MATCH(157,$AZ$11:$AZ$4010,0)),""))</f>
        <v/>
      </c>
      <c r="AH167" s="10" t="str">
        <f>IF(AE167="","",IFERROR(INDEX($AQ$11:$AQ$4010,MATCH(157,$AZ$11:$AZ$4010,0)),""))</f>
        <v/>
      </c>
      <c r="AI167" s="15" t="str">
        <f>IF(AE167="","",IFERROR(INDEX($AR$11:$AR$4010,MATCH(157,$AZ$11:$AZ$4010,0)),""))</f>
        <v/>
      </c>
      <c r="AJ167" s="15" t="str">
        <f>IF(AE167="","",IFERROR(INDEX($AT$11:$AT$4010,MATCH(157,$AZ$11:$AZ$4010,0)),""))</f>
        <v/>
      </c>
      <c r="AL167" s="17" t="str">
        <f t="shared" si="35"/>
        <v/>
      </c>
      <c r="AM167" s="12" t="str">
        <f t="shared" si="36"/>
        <v/>
      </c>
      <c r="AN167" s="18" t="str">
        <f t="shared" si="37"/>
        <v/>
      </c>
      <c r="AO167" s="18" t="str">
        <f t="shared" si="38"/>
        <v/>
      </c>
      <c r="AP167" s="10" t="str">
        <f t="shared" si="39"/>
        <v/>
      </c>
      <c r="AQ167" s="10" t="str">
        <f t="shared" si="40"/>
        <v/>
      </c>
      <c r="AR167" s="19" t="str">
        <f t="shared" si="41"/>
        <v/>
      </c>
      <c r="AS167" s="20"/>
      <c r="AT167" s="19"/>
      <c r="AV167" s="21">
        <f>IF(AND($AL167&lt;&gt;"",COUNTIF($AL$11:$AL167,$AL167)=1),1,0)</f>
        <v>0</v>
      </c>
      <c r="AW167" s="21">
        <f t="shared" si="43"/>
        <v>0</v>
      </c>
      <c r="AX167" s="21" t="str">
        <f t="shared" si="42"/>
        <v/>
      </c>
      <c r="AY167" s="21" t="str">
        <f>IF(AND($AM167&lt;&gt;"",$AS167&lt;&gt;"✓"),SUMPRODUCT(($AM$11:$AM167&lt;&gt;"")*($AS$11:$AS167&lt;&gt;"✓")),"")</f>
        <v/>
      </c>
      <c r="AZ167" s="21" t="str">
        <f>IF(AND($AM167&lt;&gt;"",$AS167="✓"),SUMPRODUCT(($AM$11:$AM167&lt;&gt;"")*($AS$11:$AS167="✓")),"")</f>
        <v/>
      </c>
      <c r="BA167" s="21" t="str">
        <f>IF($AL167="","",$AL167&amp;"|"&amp;COUNTIF($AL$11:$AL167,$AL167))</f>
        <v/>
      </c>
    </row>
    <row r="168" spans="2:53" ht="15" customHeight="1" x14ac:dyDescent="0.25">
      <c r="B168" s="5" t="str">
        <f t="shared" si="30"/>
        <v/>
      </c>
      <c r="C168" s="5"/>
      <c r="D168" s="5"/>
      <c r="E168" s="5"/>
      <c r="F168" s="6"/>
      <c r="G168" s="6"/>
      <c r="H168" s="7"/>
      <c r="I168" s="8"/>
      <c r="K168" s="23" t="str">
        <f>IFERROR(INDEX($AL$11:$AL$4010,MATCH(158,$AX$11:$AX$4010,0)),"")</f>
        <v/>
      </c>
      <c r="L168" s="24" t="str">
        <f t="shared" si="31"/>
        <v/>
      </c>
      <c r="M168" s="25" t="str">
        <f t="shared" si="32"/>
        <v/>
      </c>
      <c r="N168" s="25" t="str">
        <f t="shared" si="33"/>
        <v/>
      </c>
      <c r="P168" s="26" t="str">
        <f>IFERROR(INDEX($AM$11:$AM$4010,MATCH($S$8&amp;"|"&amp;158,$BA$11:$BA$4010,0)),"")</f>
        <v/>
      </c>
      <c r="Q168" s="25" t="str">
        <f>IF(P168="","",IFERROR(INDEX($AN$11:$AN$4010,MATCH($S$8&amp;"|"&amp;158,$BA$11:$BA$4010,0)),""))</f>
        <v/>
      </c>
      <c r="R168" s="25" t="str">
        <f>IF(P168="","",IFERROR(INDEX($AO$11:$AO$4010,MATCH($S$8&amp;"|"&amp;158,$BA$11:$BA$4010,0)),""))</f>
        <v/>
      </c>
      <c r="S168" s="24" t="str">
        <f>IF(P168="","",IFERROR(INDEX($AP$11:$AP$4010,MATCH($S$8&amp;"|"&amp;158,$BA$11:$BA$4010,0)),""))</f>
        <v/>
      </c>
      <c r="T168" s="24" t="str">
        <f>IF(P168="","",IFERROR(INDEX($AQ$11:$AQ$4010,MATCH($S$8&amp;"|"&amp;158,$BA$11:$BA$4010,0)),""))</f>
        <v/>
      </c>
      <c r="U168" s="38" t="str">
        <f t="shared" si="34"/>
        <v/>
      </c>
      <c r="W168" s="28" t="str">
        <f>IF(X168="","",IFERROR(INDEX($AL$11:$AL$4010,MATCH(158,$AY$11:$AY$4010,0)),""))</f>
        <v/>
      </c>
      <c r="X168" s="26" t="str">
        <f>IFERROR(INDEX($AM$11:$AM$4010,MATCH(158,$AY$11:$AY$4010,0)),"")</f>
        <v/>
      </c>
      <c r="Y168" s="25" t="str">
        <f>IF(X168="","",IFERROR(INDEX($AN$11:$AN$4010,MATCH(158,$AY$11:$AY$4010,0)),""))</f>
        <v/>
      </c>
      <c r="Z168" s="25" t="str">
        <f>IF(X168="","",IFERROR(INDEX($AO$11:$AO$4010,MATCH(158,$AY$11:$AY$4010,0)),""))</f>
        <v/>
      </c>
      <c r="AA168" s="24" t="str">
        <f>IF(X168="","",IFERROR(INDEX($AQ$11:$AQ$4010,MATCH(158,$AY$11:$AY$4010,0)),""))</f>
        <v/>
      </c>
      <c r="AB168" s="29" t="str">
        <f>IF(X168="","",IFERROR(INDEX($AR$11:$AR$4010,MATCH(158,$AY$11:$AY$4010,0)),""))</f>
        <v/>
      </c>
      <c r="AD168" s="30" t="str">
        <f>IF(AE168="","",IFERROR(INDEX($AL$11:$AL$4010,MATCH(158,$AZ$11:$AZ$4010,0)),""))</f>
        <v/>
      </c>
      <c r="AE168" s="26" t="str">
        <f>IFERROR(INDEX($AM$11:$AM$4010,MATCH(158,$AZ$11:$AZ$4010,0)),"")</f>
        <v/>
      </c>
      <c r="AF168" s="25" t="str">
        <f>IF(AE168="","",IFERROR(INDEX($AN$11:$AN$4010,MATCH(158,$AZ$11:$AZ$4010,0)),""))</f>
        <v/>
      </c>
      <c r="AG168" s="25" t="str">
        <f>IF(AE168="","",IFERROR(INDEX($AO$11:$AO$4010,MATCH(158,$AZ$11:$AZ$4010,0)),""))</f>
        <v/>
      </c>
      <c r="AH168" s="24" t="str">
        <f>IF(AE168="","",IFERROR(INDEX($AQ$11:$AQ$4010,MATCH(158,$AZ$11:$AZ$4010,0)),""))</f>
        <v/>
      </c>
      <c r="AI168" s="29" t="str">
        <f>IF(AE168="","",IFERROR(INDEX($AR$11:$AR$4010,MATCH(158,$AZ$11:$AZ$4010,0)),""))</f>
        <v/>
      </c>
      <c r="AJ168" s="29" t="str">
        <f>IF(AE168="","",IFERROR(INDEX($AT$11:$AT$4010,MATCH(158,$AZ$11:$AZ$4010,0)),""))</f>
        <v/>
      </c>
      <c r="AL168" s="31" t="str">
        <f t="shared" si="35"/>
        <v/>
      </c>
      <c r="AM168" s="26" t="str">
        <f t="shared" si="36"/>
        <v/>
      </c>
      <c r="AN168" s="32" t="str">
        <f t="shared" si="37"/>
        <v/>
      </c>
      <c r="AO168" s="32" t="str">
        <f t="shared" si="38"/>
        <v/>
      </c>
      <c r="AP168" s="24" t="str">
        <f t="shared" si="39"/>
        <v/>
      </c>
      <c r="AQ168" s="24" t="str">
        <f t="shared" si="40"/>
        <v/>
      </c>
      <c r="AR168" s="33" t="str">
        <f t="shared" si="41"/>
        <v/>
      </c>
      <c r="AS168" s="34"/>
      <c r="AT168" s="33"/>
      <c r="AV168" s="21">
        <f>IF(AND($AL168&lt;&gt;"",COUNTIF($AL$11:$AL168,$AL168)=1),1,0)</f>
        <v>0</v>
      </c>
      <c r="AW168" s="21">
        <f t="shared" si="43"/>
        <v>0</v>
      </c>
      <c r="AX168" s="21" t="str">
        <f t="shared" si="42"/>
        <v/>
      </c>
      <c r="AY168" s="21" t="str">
        <f>IF(AND($AM168&lt;&gt;"",$AS168&lt;&gt;"✓"),SUMPRODUCT(($AM$11:$AM168&lt;&gt;"")*($AS$11:$AS168&lt;&gt;"✓")),"")</f>
        <v/>
      </c>
      <c r="AZ168" s="21" t="str">
        <f>IF(AND($AM168&lt;&gt;"",$AS168="✓"),SUMPRODUCT(($AM$11:$AM168&lt;&gt;"")*($AS$11:$AS168="✓")),"")</f>
        <v/>
      </c>
      <c r="BA168" s="21" t="str">
        <f>IF($AL168="","",$AL168&amp;"|"&amp;COUNTIF($AL$11:$AL168,$AL168))</f>
        <v/>
      </c>
    </row>
    <row r="169" spans="2:53" ht="15" customHeight="1" x14ac:dyDescent="0.25">
      <c r="B169" s="5" t="str">
        <f t="shared" si="30"/>
        <v/>
      </c>
      <c r="C169" s="5"/>
      <c r="D169" s="5"/>
      <c r="E169" s="5"/>
      <c r="F169" s="6"/>
      <c r="G169" s="6"/>
      <c r="H169" s="7"/>
      <c r="I169" s="8"/>
      <c r="K169" s="9" t="str">
        <f>IFERROR(INDEX($AL$11:$AL$4010,MATCH(159,$AX$11:$AX$4010,0)),"")</f>
        <v/>
      </c>
      <c r="L169" s="10" t="str">
        <f t="shared" si="31"/>
        <v/>
      </c>
      <c r="M169" s="11" t="str">
        <f t="shared" si="32"/>
        <v/>
      </c>
      <c r="N169" s="11" t="str">
        <f t="shared" si="33"/>
        <v/>
      </c>
      <c r="P169" s="12" t="str">
        <f>IFERROR(INDEX($AM$11:$AM$4010,MATCH($S$8&amp;"|"&amp;159,$BA$11:$BA$4010,0)),"")</f>
        <v/>
      </c>
      <c r="Q169" s="11" t="str">
        <f>IF(P169="","",IFERROR(INDEX($AN$11:$AN$4010,MATCH($S$8&amp;"|"&amp;159,$BA$11:$BA$4010,0)),""))</f>
        <v/>
      </c>
      <c r="R169" s="11" t="str">
        <f>IF(P169="","",IFERROR(INDEX($AO$11:$AO$4010,MATCH($S$8&amp;"|"&amp;159,$BA$11:$BA$4010,0)),""))</f>
        <v/>
      </c>
      <c r="S169" s="10" t="str">
        <f>IF(P169="","",IFERROR(INDEX($AP$11:$AP$4010,MATCH($S$8&amp;"|"&amp;159,$BA$11:$BA$4010,0)),""))</f>
        <v/>
      </c>
      <c r="T169" s="10" t="str">
        <f>IF(P169="","",IFERROR(INDEX($AQ$11:$AQ$4010,MATCH($S$8&amp;"|"&amp;159,$BA$11:$BA$4010,0)),""))</f>
        <v/>
      </c>
      <c r="U169" s="39" t="str">
        <f t="shared" si="34"/>
        <v/>
      </c>
      <c r="W169" s="14" t="str">
        <f>IF(X169="","",IFERROR(INDEX($AL$11:$AL$4010,MATCH(159,$AY$11:$AY$4010,0)),""))</f>
        <v/>
      </c>
      <c r="X169" s="12" t="str">
        <f>IFERROR(INDEX($AM$11:$AM$4010,MATCH(159,$AY$11:$AY$4010,0)),"")</f>
        <v/>
      </c>
      <c r="Y169" s="11" t="str">
        <f>IF(X169="","",IFERROR(INDEX($AN$11:$AN$4010,MATCH(159,$AY$11:$AY$4010,0)),""))</f>
        <v/>
      </c>
      <c r="Z169" s="11" t="str">
        <f>IF(X169="","",IFERROR(INDEX($AO$11:$AO$4010,MATCH(159,$AY$11:$AY$4010,0)),""))</f>
        <v/>
      </c>
      <c r="AA169" s="10" t="str">
        <f>IF(X169="","",IFERROR(INDEX($AQ$11:$AQ$4010,MATCH(159,$AY$11:$AY$4010,0)),""))</f>
        <v/>
      </c>
      <c r="AB169" s="15" t="str">
        <f>IF(X169="","",IFERROR(INDEX($AR$11:$AR$4010,MATCH(159,$AY$11:$AY$4010,0)),""))</f>
        <v/>
      </c>
      <c r="AD169" s="16" t="str">
        <f>IF(AE169="","",IFERROR(INDEX($AL$11:$AL$4010,MATCH(159,$AZ$11:$AZ$4010,0)),""))</f>
        <v/>
      </c>
      <c r="AE169" s="12" t="str">
        <f>IFERROR(INDEX($AM$11:$AM$4010,MATCH(159,$AZ$11:$AZ$4010,0)),"")</f>
        <v/>
      </c>
      <c r="AF169" s="11" t="str">
        <f>IF(AE169="","",IFERROR(INDEX($AN$11:$AN$4010,MATCH(159,$AZ$11:$AZ$4010,0)),""))</f>
        <v/>
      </c>
      <c r="AG169" s="11" t="str">
        <f>IF(AE169="","",IFERROR(INDEX($AO$11:$AO$4010,MATCH(159,$AZ$11:$AZ$4010,0)),""))</f>
        <v/>
      </c>
      <c r="AH169" s="10" t="str">
        <f>IF(AE169="","",IFERROR(INDEX($AQ$11:$AQ$4010,MATCH(159,$AZ$11:$AZ$4010,0)),""))</f>
        <v/>
      </c>
      <c r="AI169" s="15" t="str">
        <f>IF(AE169="","",IFERROR(INDEX($AR$11:$AR$4010,MATCH(159,$AZ$11:$AZ$4010,0)),""))</f>
        <v/>
      </c>
      <c r="AJ169" s="15" t="str">
        <f>IF(AE169="","",IFERROR(INDEX($AT$11:$AT$4010,MATCH(159,$AZ$11:$AZ$4010,0)),""))</f>
        <v/>
      </c>
      <c r="AL169" s="17" t="str">
        <f t="shared" si="35"/>
        <v/>
      </c>
      <c r="AM169" s="12" t="str">
        <f t="shared" si="36"/>
        <v/>
      </c>
      <c r="AN169" s="18" t="str">
        <f t="shared" si="37"/>
        <v/>
      </c>
      <c r="AO169" s="18" t="str">
        <f t="shared" si="38"/>
        <v/>
      </c>
      <c r="AP169" s="10" t="str">
        <f t="shared" si="39"/>
        <v/>
      </c>
      <c r="AQ169" s="10" t="str">
        <f t="shared" si="40"/>
        <v/>
      </c>
      <c r="AR169" s="19" t="str">
        <f t="shared" si="41"/>
        <v/>
      </c>
      <c r="AS169" s="20"/>
      <c r="AT169" s="19"/>
      <c r="AV169" s="21">
        <f>IF(AND($AL169&lt;&gt;"",COUNTIF($AL$11:$AL169,$AL169)=1),1,0)</f>
        <v>0</v>
      </c>
      <c r="AW169" s="21">
        <f t="shared" si="43"/>
        <v>0</v>
      </c>
      <c r="AX169" s="21" t="str">
        <f t="shared" si="42"/>
        <v/>
      </c>
      <c r="AY169" s="21" t="str">
        <f>IF(AND($AM169&lt;&gt;"",$AS169&lt;&gt;"✓"),SUMPRODUCT(($AM$11:$AM169&lt;&gt;"")*($AS$11:$AS169&lt;&gt;"✓")),"")</f>
        <v/>
      </c>
      <c r="AZ169" s="21" t="str">
        <f>IF(AND($AM169&lt;&gt;"",$AS169="✓"),SUMPRODUCT(($AM$11:$AM169&lt;&gt;"")*($AS$11:$AS169="✓")),"")</f>
        <v/>
      </c>
      <c r="BA169" s="21" t="str">
        <f>IF($AL169="","",$AL169&amp;"|"&amp;COUNTIF($AL$11:$AL169,$AL169))</f>
        <v/>
      </c>
    </row>
    <row r="170" spans="2:53" ht="15" customHeight="1" x14ac:dyDescent="0.25">
      <c r="B170" s="5" t="str">
        <f t="shared" si="30"/>
        <v/>
      </c>
      <c r="C170" s="5"/>
      <c r="D170" s="5"/>
      <c r="E170" s="5"/>
      <c r="F170" s="6"/>
      <c r="G170" s="6"/>
      <c r="H170" s="7"/>
      <c r="I170" s="8"/>
      <c r="K170" s="23" t="str">
        <f>IFERROR(INDEX($AL$11:$AL$4010,MATCH(160,$AX$11:$AX$4010,0)),"")</f>
        <v/>
      </c>
      <c r="L170" s="24" t="str">
        <f t="shared" si="31"/>
        <v/>
      </c>
      <c r="M170" s="25" t="str">
        <f t="shared" si="32"/>
        <v/>
      </c>
      <c r="N170" s="25" t="str">
        <f t="shared" si="33"/>
        <v/>
      </c>
      <c r="P170" s="26" t="str">
        <f>IFERROR(INDEX($AM$11:$AM$4010,MATCH($S$8&amp;"|"&amp;160,$BA$11:$BA$4010,0)),"")</f>
        <v/>
      </c>
      <c r="Q170" s="25" t="str">
        <f>IF(P170="","",IFERROR(INDEX($AN$11:$AN$4010,MATCH($S$8&amp;"|"&amp;160,$BA$11:$BA$4010,0)),""))</f>
        <v/>
      </c>
      <c r="R170" s="25" t="str">
        <f>IF(P170="","",IFERROR(INDEX($AO$11:$AO$4010,MATCH($S$8&amp;"|"&amp;160,$BA$11:$BA$4010,0)),""))</f>
        <v/>
      </c>
      <c r="S170" s="24" t="str">
        <f>IF(P170="","",IFERROR(INDEX($AP$11:$AP$4010,MATCH($S$8&amp;"|"&amp;160,$BA$11:$BA$4010,0)),""))</f>
        <v/>
      </c>
      <c r="T170" s="24" t="str">
        <f>IF(P170="","",IFERROR(INDEX($AQ$11:$AQ$4010,MATCH($S$8&amp;"|"&amp;160,$BA$11:$BA$4010,0)),""))</f>
        <v/>
      </c>
      <c r="U170" s="38" t="str">
        <f t="shared" si="34"/>
        <v/>
      </c>
      <c r="W170" s="28" t="str">
        <f>IF(X170="","",IFERROR(INDEX($AL$11:$AL$4010,MATCH(160,$AY$11:$AY$4010,0)),""))</f>
        <v/>
      </c>
      <c r="X170" s="26" t="str">
        <f>IFERROR(INDEX($AM$11:$AM$4010,MATCH(160,$AY$11:$AY$4010,0)),"")</f>
        <v/>
      </c>
      <c r="Y170" s="25" t="str">
        <f>IF(X170="","",IFERROR(INDEX($AN$11:$AN$4010,MATCH(160,$AY$11:$AY$4010,0)),""))</f>
        <v/>
      </c>
      <c r="Z170" s="25" t="str">
        <f>IF(X170="","",IFERROR(INDEX($AO$11:$AO$4010,MATCH(160,$AY$11:$AY$4010,0)),""))</f>
        <v/>
      </c>
      <c r="AA170" s="24" t="str">
        <f>IF(X170="","",IFERROR(INDEX($AQ$11:$AQ$4010,MATCH(160,$AY$11:$AY$4010,0)),""))</f>
        <v/>
      </c>
      <c r="AB170" s="29" t="str">
        <f>IF(X170="","",IFERROR(INDEX($AR$11:$AR$4010,MATCH(160,$AY$11:$AY$4010,0)),""))</f>
        <v/>
      </c>
      <c r="AD170" s="30" t="str">
        <f>IF(AE170="","",IFERROR(INDEX($AL$11:$AL$4010,MATCH(160,$AZ$11:$AZ$4010,0)),""))</f>
        <v/>
      </c>
      <c r="AE170" s="26" t="str">
        <f>IFERROR(INDEX($AM$11:$AM$4010,MATCH(160,$AZ$11:$AZ$4010,0)),"")</f>
        <v/>
      </c>
      <c r="AF170" s="25" t="str">
        <f>IF(AE170="","",IFERROR(INDEX($AN$11:$AN$4010,MATCH(160,$AZ$11:$AZ$4010,0)),""))</f>
        <v/>
      </c>
      <c r="AG170" s="25" t="str">
        <f>IF(AE170="","",IFERROR(INDEX($AO$11:$AO$4010,MATCH(160,$AZ$11:$AZ$4010,0)),""))</f>
        <v/>
      </c>
      <c r="AH170" s="24" t="str">
        <f>IF(AE170="","",IFERROR(INDEX($AQ$11:$AQ$4010,MATCH(160,$AZ$11:$AZ$4010,0)),""))</f>
        <v/>
      </c>
      <c r="AI170" s="29" t="str">
        <f>IF(AE170="","",IFERROR(INDEX($AR$11:$AR$4010,MATCH(160,$AZ$11:$AZ$4010,0)),""))</f>
        <v/>
      </c>
      <c r="AJ170" s="29" t="str">
        <f>IF(AE170="","",IFERROR(INDEX($AT$11:$AT$4010,MATCH(160,$AZ$11:$AZ$4010,0)),""))</f>
        <v/>
      </c>
      <c r="AL170" s="31" t="str">
        <f t="shared" si="35"/>
        <v/>
      </c>
      <c r="AM170" s="26" t="str">
        <f t="shared" si="36"/>
        <v/>
      </c>
      <c r="AN170" s="32" t="str">
        <f t="shared" si="37"/>
        <v/>
      </c>
      <c r="AO170" s="32" t="str">
        <f t="shared" si="38"/>
        <v/>
      </c>
      <c r="AP170" s="24" t="str">
        <f t="shared" si="39"/>
        <v/>
      </c>
      <c r="AQ170" s="24" t="str">
        <f t="shared" si="40"/>
        <v/>
      </c>
      <c r="AR170" s="33" t="str">
        <f t="shared" si="41"/>
        <v/>
      </c>
      <c r="AS170" s="34"/>
      <c r="AT170" s="33"/>
      <c r="AV170" s="21">
        <f>IF(AND($AL170&lt;&gt;"",COUNTIF($AL$11:$AL170,$AL170)=1),1,0)</f>
        <v>0</v>
      </c>
      <c r="AW170" s="21">
        <f t="shared" si="43"/>
        <v>0</v>
      </c>
      <c r="AX170" s="21" t="str">
        <f t="shared" si="42"/>
        <v/>
      </c>
      <c r="AY170" s="21" t="str">
        <f>IF(AND($AM170&lt;&gt;"",$AS170&lt;&gt;"✓"),SUMPRODUCT(($AM$11:$AM170&lt;&gt;"")*($AS$11:$AS170&lt;&gt;"✓")),"")</f>
        <v/>
      </c>
      <c r="AZ170" s="21" t="str">
        <f>IF(AND($AM170&lt;&gt;"",$AS170="✓"),SUMPRODUCT(($AM$11:$AM170&lt;&gt;"")*($AS$11:$AS170="✓")),"")</f>
        <v/>
      </c>
      <c r="BA170" s="21" t="str">
        <f>IF($AL170="","",$AL170&amp;"|"&amp;COUNTIF($AL$11:$AL170,$AL170))</f>
        <v/>
      </c>
    </row>
    <row r="171" spans="2:53" ht="15" customHeight="1" x14ac:dyDescent="0.25">
      <c r="B171" s="5" t="str">
        <f t="shared" si="30"/>
        <v/>
      </c>
      <c r="C171" s="5"/>
      <c r="D171" s="5"/>
      <c r="E171" s="5"/>
      <c r="F171" s="6"/>
      <c r="G171" s="6"/>
      <c r="H171" s="7"/>
      <c r="I171" s="8"/>
      <c r="K171" s="9" t="str">
        <f>IFERROR(INDEX($AL$11:$AL$4010,MATCH(161,$AX$11:$AX$4010,0)),"")</f>
        <v/>
      </c>
      <c r="L171" s="10" t="str">
        <f t="shared" si="31"/>
        <v/>
      </c>
      <c r="M171" s="11" t="str">
        <f t="shared" si="32"/>
        <v/>
      </c>
      <c r="N171" s="11" t="str">
        <f t="shared" si="33"/>
        <v/>
      </c>
      <c r="P171" s="12" t="str">
        <f>IFERROR(INDEX($AM$11:$AM$4010,MATCH($S$8&amp;"|"&amp;161,$BA$11:$BA$4010,0)),"")</f>
        <v/>
      </c>
      <c r="Q171" s="11" t="str">
        <f>IF(P171="","",IFERROR(INDEX($AN$11:$AN$4010,MATCH($S$8&amp;"|"&amp;161,$BA$11:$BA$4010,0)),""))</f>
        <v/>
      </c>
      <c r="R171" s="11" t="str">
        <f>IF(P171="","",IFERROR(INDEX($AO$11:$AO$4010,MATCH($S$8&amp;"|"&amp;161,$BA$11:$BA$4010,0)),""))</f>
        <v/>
      </c>
      <c r="S171" s="10" t="str">
        <f>IF(P171="","",IFERROR(INDEX($AP$11:$AP$4010,MATCH($S$8&amp;"|"&amp;161,$BA$11:$BA$4010,0)),""))</f>
        <v/>
      </c>
      <c r="T171" s="10" t="str">
        <f>IF(P171="","",IFERROR(INDEX($AQ$11:$AQ$4010,MATCH($S$8&amp;"|"&amp;161,$BA$11:$BA$4010,0)),""))</f>
        <v/>
      </c>
      <c r="U171" s="39" t="str">
        <f t="shared" ref="U171:U202" si="44">IF(P171="","",$S$8)</f>
        <v/>
      </c>
      <c r="W171" s="14" t="str">
        <f>IF(X171="","",IFERROR(INDEX($AL$11:$AL$4010,MATCH(161,$AY$11:$AY$4010,0)),""))</f>
        <v/>
      </c>
      <c r="X171" s="12" t="str">
        <f>IFERROR(INDEX($AM$11:$AM$4010,MATCH(161,$AY$11:$AY$4010,0)),"")</f>
        <v/>
      </c>
      <c r="Y171" s="11" t="str">
        <f>IF(X171="","",IFERROR(INDEX($AN$11:$AN$4010,MATCH(161,$AY$11:$AY$4010,0)),""))</f>
        <v/>
      </c>
      <c r="Z171" s="11" t="str">
        <f>IF(X171="","",IFERROR(INDEX($AO$11:$AO$4010,MATCH(161,$AY$11:$AY$4010,0)),""))</f>
        <v/>
      </c>
      <c r="AA171" s="10" t="str">
        <f>IF(X171="","",IFERROR(INDEX($AQ$11:$AQ$4010,MATCH(161,$AY$11:$AY$4010,0)),""))</f>
        <v/>
      </c>
      <c r="AB171" s="15" t="str">
        <f>IF(X171="","",IFERROR(INDEX($AR$11:$AR$4010,MATCH(161,$AY$11:$AY$4010,0)),""))</f>
        <v/>
      </c>
      <c r="AD171" s="16" t="str">
        <f>IF(AE171="","",IFERROR(INDEX($AL$11:$AL$4010,MATCH(161,$AZ$11:$AZ$4010,0)),""))</f>
        <v/>
      </c>
      <c r="AE171" s="12" t="str">
        <f>IFERROR(INDEX($AM$11:$AM$4010,MATCH(161,$AZ$11:$AZ$4010,0)),"")</f>
        <v/>
      </c>
      <c r="AF171" s="11" t="str">
        <f>IF(AE171="","",IFERROR(INDEX($AN$11:$AN$4010,MATCH(161,$AZ$11:$AZ$4010,0)),""))</f>
        <v/>
      </c>
      <c r="AG171" s="11" t="str">
        <f>IF(AE171="","",IFERROR(INDEX($AO$11:$AO$4010,MATCH(161,$AZ$11:$AZ$4010,0)),""))</f>
        <v/>
      </c>
      <c r="AH171" s="10" t="str">
        <f>IF(AE171="","",IFERROR(INDEX($AQ$11:$AQ$4010,MATCH(161,$AZ$11:$AZ$4010,0)),""))</f>
        <v/>
      </c>
      <c r="AI171" s="15" t="str">
        <f>IF(AE171="","",IFERROR(INDEX($AR$11:$AR$4010,MATCH(161,$AZ$11:$AZ$4010,0)),""))</f>
        <v/>
      </c>
      <c r="AJ171" s="15" t="str">
        <f>IF(AE171="","",IFERROR(INDEX($AT$11:$AT$4010,MATCH(161,$AZ$11:$AZ$4010,0)),""))</f>
        <v/>
      </c>
      <c r="AL171" s="17" t="str">
        <f t="shared" si="35"/>
        <v/>
      </c>
      <c r="AM171" s="12" t="str">
        <f t="shared" si="36"/>
        <v/>
      </c>
      <c r="AN171" s="18" t="str">
        <f t="shared" si="37"/>
        <v/>
      </c>
      <c r="AO171" s="18" t="str">
        <f t="shared" si="38"/>
        <v/>
      </c>
      <c r="AP171" s="10" t="str">
        <f t="shared" si="39"/>
        <v/>
      </c>
      <c r="AQ171" s="10" t="str">
        <f t="shared" si="40"/>
        <v/>
      </c>
      <c r="AR171" s="19" t="str">
        <f t="shared" si="41"/>
        <v/>
      </c>
      <c r="AS171" s="20"/>
      <c r="AT171" s="19"/>
      <c r="AV171" s="21">
        <f>IF(AND($AL171&lt;&gt;"",COUNTIF($AL$11:$AL171,$AL171)=1),1,0)</f>
        <v>0</v>
      </c>
      <c r="AW171" s="21">
        <f t="shared" si="43"/>
        <v>0</v>
      </c>
      <c r="AX171" s="21" t="str">
        <f t="shared" si="42"/>
        <v/>
      </c>
      <c r="AY171" s="21" t="str">
        <f>IF(AND($AM171&lt;&gt;"",$AS171&lt;&gt;"✓"),SUMPRODUCT(($AM$11:$AM171&lt;&gt;"")*($AS$11:$AS171&lt;&gt;"✓")),"")</f>
        <v/>
      </c>
      <c r="AZ171" s="21" t="str">
        <f>IF(AND($AM171&lt;&gt;"",$AS171="✓"),SUMPRODUCT(($AM$11:$AM171&lt;&gt;"")*($AS$11:$AS171="✓")),"")</f>
        <v/>
      </c>
      <c r="BA171" s="21" t="str">
        <f>IF($AL171="","",$AL171&amp;"|"&amp;COUNTIF($AL$11:$AL171,$AL171))</f>
        <v/>
      </c>
    </row>
    <row r="172" spans="2:53" ht="15" customHeight="1" x14ac:dyDescent="0.25">
      <c r="B172" s="5" t="str">
        <f t="shared" si="30"/>
        <v/>
      </c>
      <c r="C172" s="5"/>
      <c r="D172" s="5"/>
      <c r="E172" s="5"/>
      <c r="F172" s="6"/>
      <c r="G172" s="6"/>
      <c r="H172" s="7"/>
      <c r="I172" s="8"/>
      <c r="K172" s="23" t="str">
        <f>IFERROR(INDEX($AL$11:$AL$4010,MATCH(162,$AX$11:$AX$4010,0)),"")</f>
        <v/>
      </c>
      <c r="L172" s="24" t="str">
        <f t="shared" si="31"/>
        <v/>
      </c>
      <c r="M172" s="25" t="str">
        <f t="shared" si="32"/>
        <v/>
      </c>
      <c r="N172" s="25" t="str">
        <f t="shared" si="33"/>
        <v/>
      </c>
      <c r="P172" s="26" t="str">
        <f>IFERROR(INDEX($AM$11:$AM$4010,MATCH($S$8&amp;"|"&amp;162,$BA$11:$BA$4010,0)),"")</f>
        <v/>
      </c>
      <c r="Q172" s="25" t="str">
        <f>IF(P172="","",IFERROR(INDEX($AN$11:$AN$4010,MATCH($S$8&amp;"|"&amp;162,$BA$11:$BA$4010,0)),""))</f>
        <v/>
      </c>
      <c r="R172" s="25" t="str">
        <f>IF(P172="","",IFERROR(INDEX($AO$11:$AO$4010,MATCH($S$8&amp;"|"&amp;162,$BA$11:$BA$4010,0)),""))</f>
        <v/>
      </c>
      <c r="S172" s="24" t="str">
        <f>IF(P172="","",IFERROR(INDEX($AP$11:$AP$4010,MATCH($S$8&amp;"|"&amp;162,$BA$11:$BA$4010,0)),""))</f>
        <v/>
      </c>
      <c r="T172" s="24" t="str">
        <f>IF(P172="","",IFERROR(INDEX($AQ$11:$AQ$4010,MATCH($S$8&amp;"|"&amp;162,$BA$11:$BA$4010,0)),""))</f>
        <v/>
      </c>
      <c r="U172" s="38" t="str">
        <f t="shared" si="44"/>
        <v/>
      </c>
      <c r="W172" s="28" t="str">
        <f>IF(X172="","",IFERROR(INDEX($AL$11:$AL$4010,MATCH(162,$AY$11:$AY$4010,0)),""))</f>
        <v/>
      </c>
      <c r="X172" s="26" t="str">
        <f>IFERROR(INDEX($AM$11:$AM$4010,MATCH(162,$AY$11:$AY$4010,0)),"")</f>
        <v/>
      </c>
      <c r="Y172" s="25" t="str">
        <f>IF(X172="","",IFERROR(INDEX($AN$11:$AN$4010,MATCH(162,$AY$11:$AY$4010,0)),""))</f>
        <v/>
      </c>
      <c r="Z172" s="25" t="str">
        <f>IF(X172="","",IFERROR(INDEX($AO$11:$AO$4010,MATCH(162,$AY$11:$AY$4010,0)),""))</f>
        <v/>
      </c>
      <c r="AA172" s="24" t="str">
        <f>IF(X172="","",IFERROR(INDEX($AQ$11:$AQ$4010,MATCH(162,$AY$11:$AY$4010,0)),""))</f>
        <v/>
      </c>
      <c r="AB172" s="29" t="str">
        <f>IF(X172="","",IFERROR(INDEX($AR$11:$AR$4010,MATCH(162,$AY$11:$AY$4010,0)),""))</f>
        <v/>
      </c>
      <c r="AD172" s="30" t="str">
        <f>IF(AE172="","",IFERROR(INDEX($AL$11:$AL$4010,MATCH(162,$AZ$11:$AZ$4010,0)),""))</f>
        <v/>
      </c>
      <c r="AE172" s="26" t="str">
        <f>IFERROR(INDEX($AM$11:$AM$4010,MATCH(162,$AZ$11:$AZ$4010,0)),"")</f>
        <v/>
      </c>
      <c r="AF172" s="25" t="str">
        <f>IF(AE172="","",IFERROR(INDEX($AN$11:$AN$4010,MATCH(162,$AZ$11:$AZ$4010,0)),""))</f>
        <v/>
      </c>
      <c r="AG172" s="25" t="str">
        <f>IF(AE172="","",IFERROR(INDEX($AO$11:$AO$4010,MATCH(162,$AZ$11:$AZ$4010,0)),""))</f>
        <v/>
      </c>
      <c r="AH172" s="24" t="str">
        <f>IF(AE172="","",IFERROR(INDEX($AQ$11:$AQ$4010,MATCH(162,$AZ$11:$AZ$4010,0)),""))</f>
        <v/>
      </c>
      <c r="AI172" s="29" t="str">
        <f>IF(AE172="","",IFERROR(INDEX($AR$11:$AR$4010,MATCH(162,$AZ$11:$AZ$4010,0)),""))</f>
        <v/>
      </c>
      <c r="AJ172" s="29" t="str">
        <f>IF(AE172="","",IFERROR(INDEX($AT$11:$AT$4010,MATCH(162,$AZ$11:$AZ$4010,0)),""))</f>
        <v/>
      </c>
      <c r="AL172" s="31" t="str">
        <f t="shared" si="35"/>
        <v/>
      </c>
      <c r="AM172" s="26" t="str">
        <f t="shared" si="36"/>
        <v/>
      </c>
      <c r="AN172" s="32" t="str">
        <f t="shared" si="37"/>
        <v/>
      </c>
      <c r="AO172" s="32" t="str">
        <f t="shared" si="38"/>
        <v/>
      </c>
      <c r="AP172" s="24" t="str">
        <f t="shared" si="39"/>
        <v/>
      </c>
      <c r="AQ172" s="24" t="str">
        <f t="shared" si="40"/>
        <v/>
      </c>
      <c r="AR172" s="33" t="str">
        <f t="shared" si="41"/>
        <v/>
      </c>
      <c r="AS172" s="34"/>
      <c r="AT172" s="33"/>
      <c r="AV172" s="21">
        <f>IF(AND($AL172&lt;&gt;"",COUNTIF($AL$11:$AL172,$AL172)=1),1,0)</f>
        <v>0</v>
      </c>
      <c r="AW172" s="21">
        <f t="shared" si="43"/>
        <v>0</v>
      </c>
      <c r="AX172" s="21" t="str">
        <f t="shared" si="42"/>
        <v/>
      </c>
      <c r="AY172" s="21" t="str">
        <f>IF(AND($AM172&lt;&gt;"",$AS172&lt;&gt;"✓"),SUMPRODUCT(($AM$11:$AM172&lt;&gt;"")*($AS$11:$AS172&lt;&gt;"✓")),"")</f>
        <v/>
      </c>
      <c r="AZ172" s="21" t="str">
        <f>IF(AND($AM172&lt;&gt;"",$AS172="✓"),SUMPRODUCT(($AM$11:$AM172&lt;&gt;"")*($AS$11:$AS172="✓")),"")</f>
        <v/>
      </c>
      <c r="BA172" s="21" t="str">
        <f>IF($AL172="","",$AL172&amp;"|"&amp;COUNTIF($AL$11:$AL172,$AL172))</f>
        <v/>
      </c>
    </row>
    <row r="173" spans="2:53" ht="15" customHeight="1" x14ac:dyDescent="0.25">
      <c r="B173" s="5" t="str">
        <f t="shared" si="30"/>
        <v/>
      </c>
      <c r="C173" s="5"/>
      <c r="D173" s="5"/>
      <c r="E173" s="5"/>
      <c r="F173" s="6"/>
      <c r="G173" s="6"/>
      <c r="H173" s="7"/>
      <c r="I173" s="8"/>
      <c r="K173" s="9" t="str">
        <f>IFERROR(INDEX($AL$11:$AL$4010,MATCH(163,$AX$11:$AX$4010,0)),"")</f>
        <v/>
      </c>
      <c r="L173" s="10" t="str">
        <f t="shared" si="31"/>
        <v/>
      </c>
      <c r="M173" s="11" t="str">
        <f t="shared" si="32"/>
        <v/>
      </c>
      <c r="N173" s="11" t="str">
        <f t="shared" si="33"/>
        <v/>
      </c>
      <c r="P173" s="12" t="str">
        <f>IFERROR(INDEX($AM$11:$AM$4010,MATCH($S$8&amp;"|"&amp;163,$BA$11:$BA$4010,0)),"")</f>
        <v/>
      </c>
      <c r="Q173" s="11" t="str">
        <f>IF(P173="","",IFERROR(INDEX($AN$11:$AN$4010,MATCH($S$8&amp;"|"&amp;163,$BA$11:$BA$4010,0)),""))</f>
        <v/>
      </c>
      <c r="R173" s="11" t="str">
        <f>IF(P173="","",IFERROR(INDEX($AO$11:$AO$4010,MATCH($S$8&amp;"|"&amp;163,$BA$11:$BA$4010,0)),""))</f>
        <v/>
      </c>
      <c r="S173" s="10" t="str">
        <f>IF(P173="","",IFERROR(INDEX($AP$11:$AP$4010,MATCH($S$8&amp;"|"&amp;163,$BA$11:$BA$4010,0)),""))</f>
        <v/>
      </c>
      <c r="T173" s="10" t="str">
        <f>IF(P173="","",IFERROR(INDEX($AQ$11:$AQ$4010,MATCH($S$8&amp;"|"&amp;163,$BA$11:$BA$4010,0)),""))</f>
        <v/>
      </c>
      <c r="U173" s="39" t="str">
        <f t="shared" si="44"/>
        <v/>
      </c>
      <c r="W173" s="14" t="str">
        <f>IF(X173="","",IFERROR(INDEX($AL$11:$AL$4010,MATCH(163,$AY$11:$AY$4010,0)),""))</f>
        <v/>
      </c>
      <c r="X173" s="12" t="str">
        <f>IFERROR(INDEX($AM$11:$AM$4010,MATCH(163,$AY$11:$AY$4010,0)),"")</f>
        <v/>
      </c>
      <c r="Y173" s="11" t="str">
        <f>IF(X173="","",IFERROR(INDEX($AN$11:$AN$4010,MATCH(163,$AY$11:$AY$4010,0)),""))</f>
        <v/>
      </c>
      <c r="Z173" s="11" t="str">
        <f>IF(X173="","",IFERROR(INDEX($AO$11:$AO$4010,MATCH(163,$AY$11:$AY$4010,0)),""))</f>
        <v/>
      </c>
      <c r="AA173" s="10" t="str">
        <f>IF(X173="","",IFERROR(INDEX($AQ$11:$AQ$4010,MATCH(163,$AY$11:$AY$4010,0)),""))</f>
        <v/>
      </c>
      <c r="AB173" s="15" t="str">
        <f>IF(X173="","",IFERROR(INDEX($AR$11:$AR$4010,MATCH(163,$AY$11:$AY$4010,0)),""))</f>
        <v/>
      </c>
      <c r="AD173" s="16" t="str">
        <f>IF(AE173="","",IFERROR(INDEX($AL$11:$AL$4010,MATCH(163,$AZ$11:$AZ$4010,0)),""))</f>
        <v/>
      </c>
      <c r="AE173" s="12" t="str">
        <f>IFERROR(INDEX($AM$11:$AM$4010,MATCH(163,$AZ$11:$AZ$4010,0)),"")</f>
        <v/>
      </c>
      <c r="AF173" s="11" t="str">
        <f>IF(AE173="","",IFERROR(INDEX($AN$11:$AN$4010,MATCH(163,$AZ$11:$AZ$4010,0)),""))</f>
        <v/>
      </c>
      <c r="AG173" s="11" t="str">
        <f>IF(AE173="","",IFERROR(INDEX($AO$11:$AO$4010,MATCH(163,$AZ$11:$AZ$4010,0)),""))</f>
        <v/>
      </c>
      <c r="AH173" s="10" t="str">
        <f>IF(AE173="","",IFERROR(INDEX($AQ$11:$AQ$4010,MATCH(163,$AZ$11:$AZ$4010,0)),""))</f>
        <v/>
      </c>
      <c r="AI173" s="15" t="str">
        <f>IF(AE173="","",IFERROR(INDEX($AR$11:$AR$4010,MATCH(163,$AZ$11:$AZ$4010,0)),""))</f>
        <v/>
      </c>
      <c r="AJ173" s="15" t="str">
        <f>IF(AE173="","",IFERROR(INDEX($AT$11:$AT$4010,MATCH(163,$AZ$11:$AZ$4010,0)),""))</f>
        <v/>
      </c>
      <c r="AL173" s="17" t="str">
        <f t="shared" si="35"/>
        <v/>
      </c>
      <c r="AM173" s="12" t="str">
        <f t="shared" si="36"/>
        <v/>
      </c>
      <c r="AN173" s="18" t="str">
        <f t="shared" si="37"/>
        <v/>
      </c>
      <c r="AO173" s="18" t="str">
        <f t="shared" si="38"/>
        <v/>
      </c>
      <c r="AP173" s="10" t="str">
        <f t="shared" si="39"/>
        <v/>
      </c>
      <c r="AQ173" s="10" t="str">
        <f t="shared" si="40"/>
        <v/>
      </c>
      <c r="AR173" s="19" t="str">
        <f t="shared" si="41"/>
        <v/>
      </c>
      <c r="AS173" s="20"/>
      <c r="AT173" s="19"/>
      <c r="AV173" s="21">
        <f>IF(AND($AL173&lt;&gt;"",COUNTIF($AL$11:$AL173,$AL173)=1),1,0)</f>
        <v>0</v>
      </c>
      <c r="AW173" s="21">
        <f t="shared" si="43"/>
        <v>0</v>
      </c>
      <c r="AX173" s="21" t="str">
        <f t="shared" si="42"/>
        <v/>
      </c>
      <c r="AY173" s="21" t="str">
        <f>IF(AND($AM173&lt;&gt;"",$AS173&lt;&gt;"✓"),SUMPRODUCT(($AM$11:$AM173&lt;&gt;"")*($AS$11:$AS173&lt;&gt;"✓")),"")</f>
        <v/>
      </c>
      <c r="AZ173" s="21" t="str">
        <f>IF(AND($AM173&lt;&gt;"",$AS173="✓"),SUMPRODUCT(($AM$11:$AM173&lt;&gt;"")*($AS$11:$AS173="✓")),"")</f>
        <v/>
      </c>
      <c r="BA173" s="21" t="str">
        <f>IF($AL173="","",$AL173&amp;"|"&amp;COUNTIF($AL$11:$AL173,$AL173))</f>
        <v/>
      </c>
    </row>
    <row r="174" spans="2:53" ht="15" customHeight="1" x14ac:dyDescent="0.25">
      <c r="B174" s="5" t="str">
        <f t="shared" si="30"/>
        <v/>
      </c>
      <c r="C174" s="5"/>
      <c r="D174" s="5"/>
      <c r="E174" s="5"/>
      <c r="F174" s="6"/>
      <c r="G174" s="6"/>
      <c r="H174" s="7"/>
      <c r="I174" s="8"/>
      <c r="K174" s="23" t="str">
        <f>IFERROR(INDEX($AL$11:$AL$4010,MATCH(164,$AX$11:$AX$4010,0)),"")</f>
        <v/>
      </c>
      <c r="L174" s="24" t="str">
        <f t="shared" si="31"/>
        <v/>
      </c>
      <c r="M174" s="25" t="str">
        <f t="shared" si="32"/>
        <v/>
      </c>
      <c r="N174" s="25" t="str">
        <f t="shared" si="33"/>
        <v/>
      </c>
      <c r="P174" s="26" t="str">
        <f>IFERROR(INDEX($AM$11:$AM$4010,MATCH($S$8&amp;"|"&amp;164,$BA$11:$BA$4010,0)),"")</f>
        <v/>
      </c>
      <c r="Q174" s="25" t="str">
        <f>IF(P174="","",IFERROR(INDEX($AN$11:$AN$4010,MATCH($S$8&amp;"|"&amp;164,$BA$11:$BA$4010,0)),""))</f>
        <v/>
      </c>
      <c r="R174" s="25" t="str">
        <f>IF(P174="","",IFERROR(INDEX($AO$11:$AO$4010,MATCH($S$8&amp;"|"&amp;164,$BA$11:$BA$4010,0)),""))</f>
        <v/>
      </c>
      <c r="S174" s="24" t="str">
        <f>IF(P174="","",IFERROR(INDEX($AP$11:$AP$4010,MATCH($S$8&amp;"|"&amp;164,$BA$11:$BA$4010,0)),""))</f>
        <v/>
      </c>
      <c r="T174" s="24" t="str">
        <f>IF(P174="","",IFERROR(INDEX($AQ$11:$AQ$4010,MATCH($S$8&amp;"|"&amp;164,$BA$11:$BA$4010,0)),""))</f>
        <v/>
      </c>
      <c r="U174" s="38" t="str">
        <f t="shared" si="44"/>
        <v/>
      </c>
      <c r="W174" s="28" t="str">
        <f>IF(X174="","",IFERROR(INDEX($AL$11:$AL$4010,MATCH(164,$AY$11:$AY$4010,0)),""))</f>
        <v/>
      </c>
      <c r="X174" s="26" t="str">
        <f>IFERROR(INDEX($AM$11:$AM$4010,MATCH(164,$AY$11:$AY$4010,0)),"")</f>
        <v/>
      </c>
      <c r="Y174" s="25" t="str">
        <f>IF(X174="","",IFERROR(INDEX($AN$11:$AN$4010,MATCH(164,$AY$11:$AY$4010,0)),""))</f>
        <v/>
      </c>
      <c r="Z174" s="25" t="str">
        <f>IF(X174="","",IFERROR(INDEX($AO$11:$AO$4010,MATCH(164,$AY$11:$AY$4010,0)),""))</f>
        <v/>
      </c>
      <c r="AA174" s="24" t="str">
        <f>IF(X174="","",IFERROR(INDEX($AQ$11:$AQ$4010,MATCH(164,$AY$11:$AY$4010,0)),""))</f>
        <v/>
      </c>
      <c r="AB174" s="29" t="str">
        <f>IF(X174="","",IFERROR(INDEX($AR$11:$AR$4010,MATCH(164,$AY$11:$AY$4010,0)),""))</f>
        <v/>
      </c>
      <c r="AD174" s="30" t="str">
        <f>IF(AE174="","",IFERROR(INDEX($AL$11:$AL$4010,MATCH(164,$AZ$11:$AZ$4010,0)),""))</f>
        <v/>
      </c>
      <c r="AE174" s="26" t="str">
        <f>IFERROR(INDEX($AM$11:$AM$4010,MATCH(164,$AZ$11:$AZ$4010,0)),"")</f>
        <v/>
      </c>
      <c r="AF174" s="25" t="str">
        <f>IF(AE174="","",IFERROR(INDEX($AN$11:$AN$4010,MATCH(164,$AZ$11:$AZ$4010,0)),""))</f>
        <v/>
      </c>
      <c r="AG174" s="25" t="str">
        <f>IF(AE174="","",IFERROR(INDEX($AO$11:$AO$4010,MATCH(164,$AZ$11:$AZ$4010,0)),""))</f>
        <v/>
      </c>
      <c r="AH174" s="24" t="str">
        <f>IF(AE174="","",IFERROR(INDEX($AQ$11:$AQ$4010,MATCH(164,$AZ$11:$AZ$4010,0)),""))</f>
        <v/>
      </c>
      <c r="AI174" s="29" t="str">
        <f>IF(AE174="","",IFERROR(INDEX($AR$11:$AR$4010,MATCH(164,$AZ$11:$AZ$4010,0)),""))</f>
        <v/>
      </c>
      <c r="AJ174" s="29" t="str">
        <f>IF(AE174="","",IFERROR(INDEX($AT$11:$AT$4010,MATCH(164,$AZ$11:$AZ$4010,0)),""))</f>
        <v/>
      </c>
      <c r="AL174" s="31" t="str">
        <f t="shared" si="35"/>
        <v/>
      </c>
      <c r="AM174" s="26" t="str">
        <f t="shared" si="36"/>
        <v/>
      </c>
      <c r="AN174" s="32" t="str">
        <f t="shared" si="37"/>
        <v/>
      </c>
      <c r="AO174" s="32" t="str">
        <f t="shared" si="38"/>
        <v/>
      </c>
      <c r="AP174" s="24" t="str">
        <f t="shared" si="39"/>
        <v/>
      </c>
      <c r="AQ174" s="24" t="str">
        <f t="shared" si="40"/>
        <v/>
      </c>
      <c r="AR174" s="33" t="str">
        <f t="shared" si="41"/>
        <v/>
      </c>
      <c r="AS174" s="34"/>
      <c r="AT174" s="33"/>
      <c r="AV174" s="21">
        <f>IF(AND($AL174&lt;&gt;"",COUNTIF($AL$11:$AL174,$AL174)=1),1,0)</f>
        <v>0</v>
      </c>
      <c r="AW174" s="21">
        <f t="shared" si="43"/>
        <v>0</v>
      </c>
      <c r="AX174" s="21" t="str">
        <f t="shared" si="42"/>
        <v/>
      </c>
      <c r="AY174" s="21" t="str">
        <f>IF(AND($AM174&lt;&gt;"",$AS174&lt;&gt;"✓"),SUMPRODUCT(($AM$11:$AM174&lt;&gt;"")*($AS$11:$AS174&lt;&gt;"✓")),"")</f>
        <v/>
      </c>
      <c r="AZ174" s="21" t="str">
        <f>IF(AND($AM174&lt;&gt;"",$AS174="✓"),SUMPRODUCT(($AM$11:$AM174&lt;&gt;"")*($AS$11:$AS174="✓")),"")</f>
        <v/>
      </c>
      <c r="BA174" s="21" t="str">
        <f>IF($AL174="","",$AL174&amp;"|"&amp;COUNTIF($AL$11:$AL174,$AL174))</f>
        <v/>
      </c>
    </row>
    <row r="175" spans="2:53" ht="15" customHeight="1" x14ac:dyDescent="0.25">
      <c r="B175" s="5" t="str">
        <f t="shared" si="30"/>
        <v/>
      </c>
      <c r="C175" s="5"/>
      <c r="D175" s="5"/>
      <c r="E175" s="5"/>
      <c r="F175" s="6"/>
      <c r="G175" s="6"/>
      <c r="H175" s="7"/>
      <c r="I175" s="8"/>
      <c r="K175" s="9" t="str">
        <f>IFERROR(INDEX($AL$11:$AL$4010,MATCH(165,$AX$11:$AX$4010,0)),"")</f>
        <v/>
      </c>
      <c r="L175" s="10" t="str">
        <f t="shared" si="31"/>
        <v/>
      </c>
      <c r="M175" s="11" t="str">
        <f t="shared" si="32"/>
        <v/>
      </c>
      <c r="N175" s="11" t="str">
        <f t="shared" si="33"/>
        <v/>
      </c>
      <c r="P175" s="12" t="str">
        <f>IFERROR(INDEX($AM$11:$AM$4010,MATCH($S$8&amp;"|"&amp;165,$BA$11:$BA$4010,0)),"")</f>
        <v/>
      </c>
      <c r="Q175" s="11" t="str">
        <f>IF(P175="","",IFERROR(INDEX($AN$11:$AN$4010,MATCH($S$8&amp;"|"&amp;165,$BA$11:$BA$4010,0)),""))</f>
        <v/>
      </c>
      <c r="R175" s="11" t="str">
        <f>IF(P175="","",IFERROR(INDEX($AO$11:$AO$4010,MATCH($S$8&amp;"|"&amp;165,$BA$11:$BA$4010,0)),""))</f>
        <v/>
      </c>
      <c r="S175" s="10" t="str">
        <f>IF(P175="","",IFERROR(INDEX($AP$11:$AP$4010,MATCH($S$8&amp;"|"&amp;165,$BA$11:$BA$4010,0)),""))</f>
        <v/>
      </c>
      <c r="T175" s="10" t="str">
        <f>IF(P175="","",IFERROR(INDEX($AQ$11:$AQ$4010,MATCH($S$8&amp;"|"&amp;165,$BA$11:$BA$4010,0)),""))</f>
        <v/>
      </c>
      <c r="U175" s="39" t="str">
        <f t="shared" si="44"/>
        <v/>
      </c>
      <c r="W175" s="14" t="str">
        <f>IF(X175="","",IFERROR(INDEX($AL$11:$AL$4010,MATCH(165,$AY$11:$AY$4010,0)),""))</f>
        <v/>
      </c>
      <c r="X175" s="12" t="str">
        <f>IFERROR(INDEX($AM$11:$AM$4010,MATCH(165,$AY$11:$AY$4010,0)),"")</f>
        <v/>
      </c>
      <c r="Y175" s="11" t="str">
        <f>IF(X175="","",IFERROR(INDEX($AN$11:$AN$4010,MATCH(165,$AY$11:$AY$4010,0)),""))</f>
        <v/>
      </c>
      <c r="Z175" s="11" t="str">
        <f>IF(X175="","",IFERROR(INDEX($AO$11:$AO$4010,MATCH(165,$AY$11:$AY$4010,0)),""))</f>
        <v/>
      </c>
      <c r="AA175" s="10" t="str">
        <f>IF(X175="","",IFERROR(INDEX($AQ$11:$AQ$4010,MATCH(165,$AY$11:$AY$4010,0)),""))</f>
        <v/>
      </c>
      <c r="AB175" s="15" t="str">
        <f>IF(X175="","",IFERROR(INDEX($AR$11:$AR$4010,MATCH(165,$AY$11:$AY$4010,0)),""))</f>
        <v/>
      </c>
      <c r="AD175" s="16" t="str">
        <f>IF(AE175="","",IFERROR(INDEX($AL$11:$AL$4010,MATCH(165,$AZ$11:$AZ$4010,0)),""))</f>
        <v/>
      </c>
      <c r="AE175" s="12" t="str">
        <f>IFERROR(INDEX($AM$11:$AM$4010,MATCH(165,$AZ$11:$AZ$4010,0)),"")</f>
        <v/>
      </c>
      <c r="AF175" s="11" t="str">
        <f>IF(AE175="","",IFERROR(INDEX($AN$11:$AN$4010,MATCH(165,$AZ$11:$AZ$4010,0)),""))</f>
        <v/>
      </c>
      <c r="AG175" s="11" t="str">
        <f>IF(AE175="","",IFERROR(INDEX($AO$11:$AO$4010,MATCH(165,$AZ$11:$AZ$4010,0)),""))</f>
        <v/>
      </c>
      <c r="AH175" s="10" t="str">
        <f>IF(AE175="","",IFERROR(INDEX($AQ$11:$AQ$4010,MATCH(165,$AZ$11:$AZ$4010,0)),""))</f>
        <v/>
      </c>
      <c r="AI175" s="15" t="str">
        <f>IF(AE175="","",IFERROR(INDEX($AR$11:$AR$4010,MATCH(165,$AZ$11:$AZ$4010,0)),""))</f>
        <v/>
      </c>
      <c r="AJ175" s="15" t="str">
        <f>IF(AE175="","",IFERROR(INDEX($AT$11:$AT$4010,MATCH(165,$AZ$11:$AZ$4010,0)),""))</f>
        <v/>
      </c>
      <c r="AL175" s="17" t="str">
        <f t="shared" si="35"/>
        <v/>
      </c>
      <c r="AM175" s="12" t="str">
        <f t="shared" si="36"/>
        <v/>
      </c>
      <c r="AN175" s="18" t="str">
        <f t="shared" si="37"/>
        <v/>
      </c>
      <c r="AO175" s="18" t="str">
        <f t="shared" si="38"/>
        <v/>
      </c>
      <c r="AP175" s="10" t="str">
        <f t="shared" si="39"/>
        <v/>
      </c>
      <c r="AQ175" s="10" t="str">
        <f t="shared" si="40"/>
        <v/>
      </c>
      <c r="AR175" s="19" t="str">
        <f t="shared" si="41"/>
        <v/>
      </c>
      <c r="AS175" s="20"/>
      <c r="AT175" s="19"/>
      <c r="AV175" s="21">
        <f>IF(AND($AL175&lt;&gt;"",COUNTIF($AL$11:$AL175,$AL175)=1),1,0)</f>
        <v>0</v>
      </c>
      <c r="AW175" s="21">
        <f t="shared" si="43"/>
        <v>0</v>
      </c>
      <c r="AX175" s="21" t="str">
        <f t="shared" si="42"/>
        <v/>
      </c>
      <c r="AY175" s="21" t="str">
        <f>IF(AND($AM175&lt;&gt;"",$AS175&lt;&gt;"✓"),SUMPRODUCT(($AM$11:$AM175&lt;&gt;"")*($AS$11:$AS175&lt;&gt;"✓")),"")</f>
        <v/>
      </c>
      <c r="AZ175" s="21" t="str">
        <f>IF(AND($AM175&lt;&gt;"",$AS175="✓"),SUMPRODUCT(($AM$11:$AM175&lt;&gt;"")*($AS$11:$AS175="✓")),"")</f>
        <v/>
      </c>
      <c r="BA175" s="21" t="str">
        <f>IF($AL175="","",$AL175&amp;"|"&amp;COUNTIF($AL$11:$AL175,$AL175))</f>
        <v/>
      </c>
    </row>
    <row r="176" spans="2:53" ht="15" customHeight="1" x14ac:dyDescent="0.25">
      <c r="B176" s="5" t="str">
        <f t="shared" si="30"/>
        <v/>
      </c>
      <c r="C176" s="5"/>
      <c r="D176" s="5"/>
      <c r="E176" s="5"/>
      <c r="F176" s="6"/>
      <c r="G176" s="6"/>
      <c r="H176" s="7"/>
      <c r="I176" s="8"/>
      <c r="K176" s="23" t="str">
        <f>IFERROR(INDEX($AL$11:$AL$4010,MATCH(166,$AX$11:$AX$4010,0)),"")</f>
        <v/>
      </c>
      <c r="L176" s="24" t="str">
        <f t="shared" si="31"/>
        <v/>
      </c>
      <c r="M176" s="25" t="str">
        <f t="shared" si="32"/>
        <v/>
      </c>
      <c r="N176" s="25" t="str">
        <f t="shared" si="33"/>
        <v/>
      </c>
      <c r="P176" s="26" t="str">
        <f>IFERROR(INDEX($AM$11:$AM$4010,MATCH($S$8&amp;"|"&amp;166,$BA$11:$BA$4010,0)),"")</f>
        <v/>
      </c>
      <c r="Q176" s="25" t="str">
        <f>IF(P176="","",IFERROR(INDEX($AN$11:$AN$4010,MATCH($S$8&amp;"|"&amp;166,$BA$11:$BA$4010,0)),""))</f>
        <v/>
      </c>
      <c r="R176" s="25" t="str">
        <f>IF(P176="","",IFERROR(INDEX($AO$11:$AO$4010,MATCH($S$8&amp;"|"&amp;166,$BA$11:$BA$4010,0)),""))</f>
        <v/>
      </c>
      <c r="S176" s="24" t="str">
        <f>IF(P176="","",IFERROR(INDEX($AP$11:$AP$4010,MATCH($S$8&amp;"|"&amp;166,$BA$11:$BA$4010,0)),""))</f>
        <v/>
      </c>
      <c r="T176" s="24" t="str">
        <f>IF(P176="","",IFERROR(INDEX($AQ$11:$AQ$4010,MATCH($S$8&amp;"|"&amp;166,$BA$11:$BA$4010,0)),""))</f>
        <v/>
      </c>
      <c r="U176" s="38" t="str">
        <f t="shared" si="44"/>
        <v/>
      </c>
      <c r="W176" s="28" t="str">
        <f>IF(X176="","",IFERROR(INDEX($AL$11:$AL$4010,MATCH(166,$AY$11:$AY$4010,0)),""))</f>
        <v/>
      </c>
      <c r="X176" s="26" t="str">
        <f>IFERROR(INDEX($AM$11:$AM$4010,MATCH(166,$AY$11:$AY$4010,0)),"")</f>
        <v/>
      </c>
      <c r="Y176" s="25" t="str">
        <f>IF(X176="","",IFERROR(INDEX($AN$11:$AN$4010,MATCH(166,$AY$11:$AY$4010,0)),""))</f>
        <v/>
      </c>
      <c r="Z176" s="25" t="str">
        <f>IF(X176="","",IFERROR(INDEX($AO$11:$AO$4010,MATCH(166,$AY$11:$AY$4010,0)),""))</f>
        <v/>
      </c>
      <c r="AA176" s="24" t="str">
        <f>IF(X176="","",IFERROR(INDEX($AQ$11:$AQ$4010,MATCH(166,$AY$11:$AY$4010,0)),""))</f>
        <v/>
      </c>
      <c r="AB176" s="29" t="str">
        <f>IF(X176="","",IFERROR(INDEX($AR$11:$AR$4010,MATCH(166,$AY$11:$AY$4010,0)),""))</f>
        <v/>
      </c>
      <c r="AD176" s="30" t="str">
        <f>IF(AE176="","",IFERROR(INDEX($AL$11:$AL$4010,MATCH(166,$AZ$11:$AZ$4010,0)),""))</f>
        <v/>
      </c>
      <c r="AE176" s="26" t="str">
        <f>IFERROR(INDEX($AM$11:$AM$4010,MATCH(166,$AZ$11:$AZ$4010,0)),"")</f>
        <v/>
      </c>
      <c r="AF176" s="25" t="str">
        <f>IF(AE176="","",IFERROR(INDEX($AN$11:$AN$4010,MATCH(166,$AZ$11:$AZ$4010,0)),""))</f>
        <v/>
      </c>
      <c r="AG176" s="25" t="str">
        <f>IF(AE176="","",IFERROR(INDEX($AO$11:$AO$4010,MATCH(166,$AZ$11:$AZ$4010,0)),""))</f>
        <v/>
      </c>
      <c r="AH176" s="24" t="str">
        <f>IF(AE176="","",IFERROR(INDEX($AQ$11:$AQ$4010,MATCH(166,$AZ$11:$AZ$4010,0)),""))</f>
        <v/>
      </c>
      <c r="AI176" s="29" t="str">
        <f>IF(AE176="","",IFERROR(INDEX($AR$11:$AR$4010,MATCH(166,$AZ$11:$AZ$4010,0)),""))</f>
        <v/>
      </c>
      <c r="AJ176" s="29" t="str">
        <f>IF(AE176="","",IFERROR(INDEX($AT$11:$AT$4010,MATCH(166,$AZ$11:$AZ$4010,0)),""))</f>
        <v/>
      </c>
      <c r="AL176" s="31" t="str">
        <f t="shared" si="35"/>
        <v/>
      </c>
      <c r="AM176" s="26" t="str">
        <f t="shared" si="36"/>
        <v/>
      </c>
      <c r="AN176" s="32" t="str">
        <f t="shared" si="37"/>
        <v/>
      </c>
      <c r="AO176" s="32" t="str">
        <f t="shared" si="38"/>
        <v/>
      </c>
      <c r="AP176" s="24" t="str">
        <f t="shared" si="39"/>
        <v/>
      </c>
      <c r="AQ176" s="24" t="str">
        <f t="shared" si="40"/>
        <v/>
      </c>
      <c r="AR176" s="33" t="str">
        <f t="shared" si="41"/>
        <v/>
      </c>
      <c r="AS176" s="34"/>
      <c r="AT176" s="33"/>
      <c r="AV176" s="21">
        <f>IF(AND($AL176&lt;&gt;"",COUNTIF($AL$11:$AL176,$AL176)=1),1,0)</f>
        <v>0</v>
      </c>
      <c r="AW176" s="21">
        <f t="shared" si="43"/>
        <v>0</v>
      </c>
      <c r="AX176" s="21" t="str">
        <f t="shared" si="42"/>
        <v/>
      </c>
      <c r="AY176" s="21" t="str">
        <f>IF(AND($AM176&lt;&gt;"",$AS176&lt;&gt;"✓"),SUMPRODUCT(($AM$11:$AM176&lt;&gt;"")*($AS$11:$AS176&lt;&gt;"✓")),"")</f>
        <v/>
      </c>
      <c r="AZ176" s="21" t="str">
        <f>IF(AND($AM176&lt;&gt;"",$AS176="✓"),SUMPRODUCT(($AM$11:$AM176&lt;&gt;"")*($AS$11:$AS176="✓")),"")</f>
        <v/>
      </c>
      <c r="BA176" s="21" t="str">
        <f>IF($AL176="","",$AL176&amp;"|"&amp;COUNTIF($AL$11:$AL176,$AL176))</f>
        <v/>
      </c>
    </row>
    <row r="177" spans="2:53" ht="15" customHeight="1" x14ac:dyDescent="0.25">
      <c r="B177" s="5" t="str">
        <f t="shared" si="30"/>
        <v/>
      </c>
      <c r="C177" s="5"/>
      <c r="D177" s="5"/>
      <c r="E177" s="5"/>
      <c r="F177" s="6"/>
      <c r="G177" s="6"/>
      <c r="H177" s="7"/>
      <c r="I177" s="8"/>
      <c r="K177" s="9" t="str">
        <f>IFERROR(INDEX($AL$11:$AL$4010,MATCH(167,$AX$11:$AX$4010,0)),"")</f>
        <v/>
      </c>
      <c r="L177" s="10" t="str">
        <f t="shared" si="31"/>
        <v/>
      </c>
      <c r="M177" s="11" t="str">
        <f t="shared" si="32"/>
        <v/>
      </c>
      <c r="N177" s="11" t="str">
        <f t="shared" si="33"/>
        <v/>
      </c>
      <c r="P177" s="12" t="str">
        <f>IFERROR(INDEX($AM$11:$AM$4010,MATCH($S$8&amp;"|"&amp;167,$BA$11:$BA$4010,0)),"")</f>
        <v/>
      </c>
      <c r="Q177" s="11" t="str">
        <f>IF(P177="","",IFERROR(INDEX($AN$11:$AN$4010,MATCH($S$8&amp;"|"&amp;167,$BA$11:$BA$4010,0)),""))</f>
        <v/>
      </c>
      <c r="R177" s="11" t="str">
        <f>IF(P177="","",IFERROR(INDEX($AO$11:$AO$4010,MATCH($S$8&amp;"|"&amp;167,$BA$11:$BA$4010,0)),""))</f>
        <v/>
      </c>
      <c r="S177" s="10" t="str">
        <f>IF(P177="","",IFERROR(INDEX($AP$11:$AP$4010,MATCH($S$8&amp;"|"&amp;167,$BA$11:$BA$4010,0)),""))</f>
        <v/>
      </c>
      <c r="T177" s="10" t="str">
        <f>IF(P177="","",IFERROR(INDEX($AQ$11:$AQ$4010,MATCH($S$8&amp;"|"&amp;167,$BA$11:$BA$4010,0)),""))</f>
        <v/>
      </c>
      <c r="U177" s="39" t="str">
        <f t="shared" si="44"/>
        <v/>
      </c>
      <c r="W177" s="14" t="str">
        <f>IF(X177="","",IFERROR(INDEX($AL$11:$AL$4010,MATCH(167,$AY$11:$AY$4010,0)),""))</f>
        <v/>
      </c>
      <c r="X177" s="12" t="str">
        <f>IFERROR(INDEX($AM$11:$AM$4010,MATCH(167,$AY$11:$AY$4010,0)),"")</f>
        <v/>
      </c>
      <c r="Y177" s="11" t="str">
        <f>IF(X177="","",IFERROR(INDEX($AN$11:$AN$4010,MATCH(167,$AY$11:$AY$4010,0)),""))</f>
        <v/>
      </c>
      <c r="Z177" s="11" t="str">
        <f>IF(X177="","",IFERROR(INDEX($AO$11:$AO$4010,MATCH(167,$AY$11:$AY$4010,0)),""))</f>
        <v/>
      </c>
      <c r="AA177" s="10" t="str">
        <f>IF(X177="","",IFERROR(INDEX($AQ$11:$AQ$4010,MATCH(167,$AY$11:$AY$4010,0)),""))</f>
        <v/>
      </c>
      <c r="AB177" s="15" t="str">
        <f>IF(X177="","",IFERROR(INDEX($AR$11:$AR$4010,MATCH(167,$AY$11:$AY$4010,0)),""))</f>
        <v/>
      </c>
      <c r="AD177" s="16" t="str">
        <f>IF(AE177="","",IFERROR(INDEX($AL$11:$AL$4010,MATCH(167,$AZ$11:$AZ$4010,0)),""))</f>
        <v/>
      </c>
      <c r="AE177" s="12" t="str">
        <f>IFERROR(INDEX($AM$11:$AM$4010,MATCH(167,$AZ$11:$AZ$4010,0)),"")</f>
        <v/>
      </c>
      <c r="AF177" s="11" t="str">
        <f>IF(AE177="","",IFERROR(INDEX($AN$11:$AN$4010,MATCH(167,$AZ$11:$AZ$4010,0)),""))</f>
        <v/>
      </c>
      <c r="AG177" s="11" t="str">
        <f>IF(AE177="","",IFERROR(INDEX($AO$11:$AO$4010,MATCH(167,$AZ$11:$AZ$4010,0)),""))</f>
        <v/>
      </c>
      <c r="AH177" s="10" t="str">
        <f>IF(AE177="","",IFERROR(INDEX($AQ$11:$AQ$4010,MATCH(167,$AZ$11:$AZ$4010,0)),""))</f>
        <v/>
      </c>
      <c r="AI177" s="15" t="str">
        <f>IF(AE177="","",IFERROR(INDEX($AR$11:$AR$4010,MATCH(167,$AZ$11:$AZ$4010,0)),""))</f>
        <v/>
      </c>
      <c r="AJ177" s="15" t="str">
        <f>IF(AE177="","",IFERROR(INDEX($AT$11:$AT$4010,MATCH(167,$AZ$11:$AZ$4010,0)),""))</f>
        <v/>
      </c>
      <c r="AL177" s="17" t="str">
        <f t="shared" si="35"/>
        <v/>
      </c>
      <c r="AM177" s="12" t="str">
        <f t="shared" si="36"/>
        <v/>
      </c>
      <c r="AN177" s="18" t="str">
        <f t="shared" si="37"/>
        <v/>
      </c>
      <c r="AO177" s="18" t="str">
        <f t="shared" si="38"/>
        <v/>
      </c>
      <c r="AP177" s="10" t="str">
        <f t="shared" si="39"/>
        <v/>
      </c>
      <c r="AQ177" s="10" t="str">
        <f t="shared" si="40"/>
        <v/>
      </c>
      <c r="AR177" s="19" t="str">
        <f t="shared" si="41"/>
        <v/>
      </c>
      <c r="AS177" s="20"/>
      <c r="AT177" s="19"/>
      <c r="AV177" s="21">
        <f>IF(AND($AL177&lt;&gt;"",COUNTIF($AL$11:$AL177,$AL177)=1),1,0)</f>
        <v>0</v>
      </c>
      <c r="AW177" s="21">
        <f t="shared" si="43"/>
        <v>0</v>
      </c>
      <c r="AX177" s="21" t="str">
        <f t="shared" si="42"/>
        <v/>
      </c>
      <c r="AY177" s="21" t="str">
        <f>IF(AND($AM177&lt;&gt;"",$AS177&lt;&gt;"✓"),SUMPRODUCT(($AM$11:$AM177&lt;&gt;"")*($AS$11:$AS177&lt;&gt;"✓")),"")</f>
        <v/>
      </c>
      <c r="AZ177" s="21" t="str">
        <f>IF(AND($AM177&lt;&gt;"",$AS177="✓"),SUMPRODUCT(($AM$11:$AM177&lt;&gt;"")*($AS$11:$AS177="✓")),"")</f>
        <v/>
      </c>
      <c r="BA177" s="21" t="str">
        <f>IF($AL177="","",$AL177&amp;"|"&amp;COUNTIF($AL$11:$AL177,$AL177))</f>
        <v/>
      </c>
    </row>
    <row r="178" spans="2:53" ht="15" customHeight="1" x14ac:dyDescent="0.25">
      <c r="B178" s="5" t="str">
        <f t="shared" si="30"/>
        <v/>
      </c>
      <c r="C178" s="5"/>
      <c r="D178" s="5"/>
      <c r="E178" s="5"/>
      <c r="F178" s="6"/>
      <c r="G178" s="6"/>
      <c r="H178" s="7"/>
      <c r="I178" s="8"/>
      <c r="K178" s="23" t="str">
        <f>IFERROR(INDEX($AL$11:$AL$4010,MATCH(168,$AX$11:$AX$4010,0)),"")</f>
        <v/>
      </c>
      <c r="L178" s="24" t="str">
        <f t="shared" si="31"/>
        <v/>
      </c>
      <c r="M178" s="25" t="str">
        <f t="shared" si="32"/>
        <v/>
      </c>
      <c r="N178" s="25" t="str">
        <f t="shared" si="33"/>
        <v/>
      </c>
      <c r="P178" s="26" t="str">
        <f>IFERROR(INDEX($AM$11:$AM$4010,MATCH($S$8&amp;"|"&amp;168,$BA$11:$BA$4010,0)),"")</f>
        <v/>
      </c>
      <c r="Q178" s="25" t="str">
        <f>IF(P178="","",IFERROR(INDEX($AN$11:$AN$4010,MATCH($S$8&amp;"|"&amp;168,$BA$11:$BA$4010,0)),""))</f>
        <v/>
      </c>
      <c r="R178" s="25" t="str">
        <f>IF(P178="","",IFERROR(INDEX($AO$11:$AO$4010,MATCH($S$8&amp;"|"&amp;168,$BA$11:$BA$4010,0)),""))</f>
        <v/>
      </c>
      <c r="S178" s="24" t="str">
        <f>IF(P178="","",IFERROR(INDEX($AP$11:$AP$4010,MATCH($S$8&amp;"|"&amp;168,$BA$11:$BA$4010,0)),""))</f>
        <v/>
      </c>
      <c r="T178" s="24" t="str">
        <f>IF(P178="","",IFERROR(INDEX($AQ$11:$AQ$4010,MATCH($S$8&amp;"|"&amp;168,$BA$11:$BA$4010,0)),""))</f>
        <v/>
      </c>
      <c r="U178" s="38" t="str">
        <f t="shared" si="44"/>
        <v/>
      </c>
      <c r="W178" s="28" t="str">
        <f>IF(X178="","",IFERROR(INDEX($AL$11:$AL$4010,MATCH(168,$AY$11:$AY$4010,0)),""))</f>
        <v/>
      </c>
      <c r="X178" s="26" t="str">
        <f>IFERROR(INDEX($AM$11:$AM$4010,MATCH(168,$AY$11:$AY$4010,0)),"")</f>
        <v/>
      </c>
      <c r="Y178" s="25" t="str">
        <f>IF(X178="","",IFERROR(INDEX($AN$11:$AN$4010,MATCH(168,$AY$11:$AY$4010,0)),""))</f>
        <v/>
      </c>
      <c r="Z178" s="25" t="str">
        <f>IF(X178="","",IFERROR(INDEX($AO$11:$AO$4010,MATCH(168,$AY$11:$AY$4010,0)),""))</f>
        <v/>
      </c>
      <c r="AA178" s="24" t="str">
        <f>IF(X178="","",IFERROR(INDEX($AQ$11:$AQ$4010,MATCH(168,$AY$11:$AY$4010,0)),""))</f>
        <v/>
      </c>
      <c r="AB178" s="29" t="str">
        <f>IF(X178="","",IFERROR(INDEX($AR$11:$AR$4010,MATCH(168,$AY$11:$AY$4010,0)),""))</f>
        <v/>
      </c>
      <c r="AD178" s="30" t="str">
        <f>IF(AE178="","",IFERROR(INDEX($AL$11:$AL$4010,MATCH(168,$AZ$11:$AZ$4010,0)),""))</f>
        <v/>
      </c>
      <c r="AE178" s="26" t="str">
        <f>IFERROR(INDEX($AM$11:$AM$4010,MATCH(168,$AZ$11:$AZ$4010,0)),"")</f>
        <v/>
      </c>
      <c r="AF178" s="25" t="str">
        <f>IF(AE178="","",IFERROR(INDEX($AN$11:$AN$4010,MATCH(168,$AZ$11:$AZ$4010,0)),""))</f>
        <v/>
      </c>
      <c r="AG178" s="25" t="str">
        <f>IF(AE178="","",IFERROR(INDEX($AO$11:$AO$4010,MATCH(168,$AZ$11:$AZ$4010,0)),""))</f>
        <v/>
      </c>
      <c r="AH178" s="24" t="str">
        <f>IF(AE178="","",IFERROR(INDEX($AQ$11:$AQ$4010,MATCH(168,$AZ$11:$AZ$4010,0)),""))</f>
        <v/>
      </c>
      <c r="AI178" s="29" t="str">
        <f>IF(AE178="","",IFERROR(INDEX($AR$11:$AR$4010,MATCH(168,$AZ$11:$AZ$4010,0)),""))</f>
        <v/>
      </c>
      <c r="AJ178" s="29" t="str">
        <f>IF(AE178="","",IFERROR(INDEX($AT$11:$AT$4010,MATCH(168,$AZ$11:$AZ$4010,0)),""))</f>
        <v/>
      </c>
      <c r="AL178" s="31" t="str">
        <f t="shared" si="35"/>
        <v/>
      </c>
      <c r="AM178" s="26" t="str">
        <f t="shared" si="36"/>
        <v/>
      </c>
      <c r="AN178" s="32" t="str">
        <f t="shared" si="37"/>
        <v/>
      </c>
      <c r="AO178" s="32" t="str">
        <f t="shared" si="38"/>
        <v/>
      </c>
      <c r="AP178" s="24" t="str">
        <f t="shared" si="39"/>
        <v/>
      </c>
      <c r="AQ178" s="24" t="str">
        <f t="shared" si="40"/>
        <v/>
      </c>
      <c r="AR178" s="33" t="str">
        <f t="shared" si="41"/>
        <v/>
      </c>
      <c r="AS178" s="34"/>
      <c r="AT178" s="33"/>
      <c r="AV178" s="21">
        <f>IF(AND($AL178&lt;&gt;"",COUNTIF($AL$11:$AL178,$AL178)=1),1,0)</f>
        <v>0</v>
      </c>
      <c r="AW178" s="21">
        <f t="shared" si="43"/>
        <v>0</v>
      </c>
      <c r="AX178" s="21" t="str">
        <f t="shared" si="42"/>
        <v/>
      </c>
      <c r="AY178" s="21" t="str">
        <f>IF(AND($AM178&lt;&gt;"",$AS178&lt;&gt;"✓"),SUMPRODUCT(($AM$11:$AM178&lt;&gt;"")*($AS$11:$AS178&lt;&gt;"✓")),"")</f>
        <v/>
      </c>
      <c r="AZ178" s="21" t="str">
        <f>IF(AND($AM178&lt;&gt;"",$AS178="✓"),SUMPRODUCT(($AM$11:$AM178&lt;&gt;"")*($AS$11:$AS178="✓")),"")</f>
        <v/>
      </c>
      <c r="BA178" s="21" t="str">
        <f>IF($AL178="","",$AL178&amp;"|"&amp;COUNTIF($AL$11:$AL178,$AL178))</f>
        <v/>
      </c>
    </row>
    <row r="179" spans="2:53" ht="15" customHeight="1" x14ac:dyDescent="0.25">
      <c r="B179" s="5" t="str">
        <f t="shared" si="30"/>
        <v/>
      </c>
      <c r="C179" s="5"/>
      <c r="D179" s="5"/>
      <c r="E179" s="5"/>
      <c r="F179" s="6"/>
      <c r="G179" s="6"/>
      <c r="H179" s="7"/>
      <c r="I179" s="8"/>
      <c r="K179" s="9" t="str">
        <f>IFERROR(INDEX($AL$11:$AL$4010,MATCH(169,$AX$11:$AX$4010,0)),"")</f>
        <v/>
      </c>
      <c r="L179" s="10" t="str">
        <f t="shared" si="31"/>
        <v/>
      </c>
      <c r="M179" s="11" t="str">
        <f t="shared" si="32"/>
        <v/>
      </c>
      <c r="N179" s="11" t="str">
        <f t="shared" si="33"/>
        <v/>
      </c>
      <c r="P179" s="12" t="str">
        <f>IFERROR(INDEX($AM$11:$AM$4010,MATCH($S$8&amp;"|"&amp;169,$BA$11:$BA$4010,0)),"")</f>
        <v/>
      </c>
      <c r="Q179" s="11" t="str">
        <f>IF(P179="","",IFERROR(INDEX($AN$11:$AN$4010,MATCH($S$8&amp;"|"&amp;169,$BA$11:$BA$4010,0)),""))</f>
        <v/>
      </c>
      <c r="R179" s="11" t="str">
        <f>IF(P179="","",IFERROR(INDEX($AO$11:$AO$4010,MATCH($S$8&amp;"|"&amp;169,$BA$11:$BA$4010,0)),""))</f>
        <v/>
      </c>
      <c r="S179" s="10" t="str">
        <f>IF(P179="","",IFERROR(INDEX($AP$11:$AP$4010,MATCH($S$8&amp;"|"&amp;169,$BA$11:$BA$4010,0)),""))</f>
        <v/>
      </c>
      <c r="T179" s="10" t="str">
        <f>IF(P179="","",IFERROR(INDEX($AQ$11:$AQ$4010,MATCH($S$8&amp;"|"&amp;169,$BA$11:$BA$4010,0)),""))</f>
        <v/>
      </c>
      <c r="U179" s="39" t="str">
        <f t="shared" si="44"/>
        <v/>
      </c>
      <c r="W179" s="14" t="str">
        <f>IF(X179="","",IFERROR(INDEX($AL$11:$AL$4010,MATCH(169,$AY$11:$AY$4010,0)),""))</f>
        <v/>
      </c>
      <c r="X179" s="12" t="str">
        <f>IFERROR(INDEX($AM$11:$AM$4010,MATCH(169,$AY$11:$AY$4010,0)),"")</f>
        <v/>
      </c>
      <c r="Y179" s="11" t="str">
        <f>IF(X179="","",IFERROR(INDEX($AN$11:$AN$4010,MATCH(169,$AY$11:$AY$4010,0)),""))</f>
        <v/>
      </c>
      <c r="Z179" s="11" t="str">
        <f>IF(X179="","",IFERROR(INDEX($AO$11:$AO$4010,MATCH(169,$AY$11:$AY$4010,0)),""))</f>
        <v/>
      </c>
      <c r="AA179" s="10" t="str">
        <f>IF(X179="","",IFERROR(INDEX($AQ$11:$AQ$4010,MATCH(169,$AY$11:$AY$4010,0)),""))</f>
        <v/>
      </c>
      <c r="AB179" s="15" t="str">
        <f>IF(X179="","",IFERROR(INDEX($AR$11:$AR$4010,MATCH(169,$AY$11:$AY$4010,0)),""))</f>
        <v/>
      </c>
      <c r="AD179" s="16" t="str">
        <f>IF(AE179="","",IFERROR(INDEX($AL$11:$AL$4010,MATCH(169,$AZ$11:$AZ$4010,0)),""))</f>
        <v/>
      </c>
      <c r="AE179" s="12" t="str">
        <f>IFERROR(INDEX($AM$11:$AM$4010,MATCH(169,$AZ$11:$AZ$4010,0)),"")</f>
        <v/>
      </c>
      <c r="AF179" s="11" t="str">
        <f>IF(AE179="","",IFERROR(INDEX($AN$11:$AN$4010,MATCH(169,$AZ$11:$AZ$4010,0)),""))</f>
        <v/>
      </c>
      <c r="AG179" s="11" t="str">
        <f>IF(AE179="","",IFERROR(INDEX($AO$11:$AO$4010,MATCH(169,$AZ$11:$AZ$4010,0)),""))</f>
        <v/>
      </c>
      <c r="AH179" s="10" t="str">
        <f>IF(AE179="","",IFERROR(INDEX($AQ$11:$AQ$4010,MATCH(169,$AZ$11:$AZ$4010,0)),""))</f>
        <v/>
      </c>
      <c r="AI179" s="15" t="str">
        <f>IF(AE179="","",IFERROR(INDEX($AR$11:$AR$4010,MATCH(169,$AZ$11:$AZ$4010,0)),""))</f>
        <v/>
      </c>
      <c r="AJ179" s="15" t="str">
        <f>IF(AE179="","",IFERROR(INDEX($AT$11:$AT$4010,MATCH(169,$AZ$11:$AZ$4010,0)),""))</f>
        <v/>
      </c>
      <c r="AL179" s="17" t="str">
        <f t="shared" si="35"/>
        <v/>
      </c>
      <c r="AM179" s="12" t="str">
        <f t="shared" si="36"/>
        <v/>
      </c>
      <c r="AN179" s="18" t="str">
        <f t="shared" si="37"/>
        <v/>
      </c>
      <c r="AO179" s="18" t="str">
        <f t="shared" si="38"/>
        <v/>
      </c>
      <c r="AP179" s="10" t="str">
        <f t="shared" si="39"/>
        <v/>
      </c>
      <c r="AQ179" s="10" t="str">
        <f t="shared" si="40"/>
        <v/>
      </c>
      <c r="AR179" s="19" t="str">
        <f t="shared" si="41"/>
        <v/>
      </c>
      <c r="AS179" s="20"/>
      <c r="AT179" s="19"/>
      <c r="AV179" s="21">
        <f>IF(AND($AL179&lt;&gt;"",COUNTIF($AL$11:$AL179,$AL179)=1),1,0)</f>
        <v>0</v>
      </c>
      <c r="AW179" s="21">
        <f t="shared" si="43"/>
        <v>0</v>
      </c>
      <c r="AX179" s="21" t="str">
        <f t="shared" si="42"/>
        <v/>
      </c>
      <c r="AY179" s="21" t="str">
        <f>IF(AND($AM179&lt;&gt;"",$AS179&lt;&gt;"✓"),SUMPRODUCT(($AM$11:$AM179&lt;&gt;"")*($AS$11:$AS179&lt;&gt;"✓")),"")</f>
        <v/>
      </c>
      <c r="AZ179" s="21" t="str">
        <f>IF(AND($AM179&lt;&gt;"",$AS179="✓"),SUMPRODUCT(($AM$11:$AM179&lt;&gt;"")*($AS$11:$AS179="✓")),"")</f>
        <v/>
      </c>
      <c r="BA179" s="21" t="str">
        <f>IF($AL179="","",$AL179&amp;"|"&amp;COUNTIF($AL$11:$AL179,$AL179))</f>
        <v/>
      </c>
    </row>
    <row r="180" spans="2:53" ht="15" customHeight="1" x14ac:dyDescent="0.25">
      <c r="B180" s="5" t="str">
        <f t="shared" si="30"/>
        <v/>
      </c>
      <c r="C180" s="5"/>
      <c r="D180" s="5"/>
      <c r="E180" s="5"/>
      <c r="F180" s="6"/>
      <c r="G180" s="6"/>
      <c r="H180" s="7"/>
      <c r="I180" s="8"/>
      <c r="K180" s="23" t="str">
        <f>IFERROR(INDEX($AL$11:$AL$4010,MATCH(170,$AX$11:$AX$4010,0)),"")</f>
        <v/>
      </c>
      <c r="L180" s="24" t="str">
        <f t="shared" si="31"/>
        <v/>
      </c>
      <c r="M180" s="25" t="str">
        <f t="shared" si="32"/>
        <v/>
      </c>
      <c r="N180" s="25" t="str">
        <f t="shared" si="33"/>
        <v/>
      </c>
      <c r="P180" s="26" t="str">
        <f>IFERROR(INDEX($AM$11:$AM$4010,MATCH($S$8&amp;"|"&amp;170,$BA$11:$BA$4010,0)),"")</f>
        <v/>
      </c>
      <c r="Q180" s="25" t="str">
        <f>IF(P180="","",IFERROR(INDEX($AN$11:$AN$4010,MATCH($S$8&amp;"|"&amp;170,$BA$11:$BA$4010,0)),""))</f>
        <v/>
      </c>
      <c r="R180" s="25" t="str">
        <f>IF(P180="","",IFERROR(INDEX($AO$11:$AO$4010,MATCH($S$8&amp;"|"&amp;170,$BA$11:$BA$4010,0)),""))</f>
        <v/>
      </c>
      <c r="S180" s="24" t="str">
        <f>IF(P180="","",IFERROR(INDEX($AP$11:$AP$4010,MATCH($S$8&amp;"|"&amp;170,$BA$11:$BA$4010,0)),""))</f>
        <v/>
      </c>
      <c r="T180" s="24" t="str">
        <f>IF(P180="","",IFERROR(INDEX($AQ$11:$AQ$4010,MATCH($S$8&amp;"|"&amp;170,$BA$11:$BA$4010,0)),""))</f>
        <v/>
      </c>
      <c r="U180" s="38" t="str">
        <f t="shared" si="44"/>
        <v/>
      </c>
      <c r="W180" s="28" t="str">
        <f>IF(X180="","",IFERROR(INDEX($AL$11:$AL$4010,MATCH(170,$AY$11:$AY$4010,0)),""))</f>
        <v/>
      </c>
      <c r="X180" s="26" t="str">
        <f>IFERROR(INDEX($AM$11:$AM$4010,MATCH(170,$AY$11:$AY$4010,0)),"")</f>
        <v/>
      </c>
      <c r="Y180" s="25" t="str">
        <f>IF(X180="","",IFERROR(INDEX($AN$11:$AN$4010,MATCH(170,$AY$11:$AY$4010,0)),""))</f>
        <v/>
      </c>
      <c r="Z180" s="25" t="str">
        <f>IF(X180="","",IFERROR(INDEX($AO$11:$AO$4010,MATCH(170,$AY$11:$AY$4010,0)),""))</f>
        <v/>
      </c>
      <c r="AA180" s="24" t="str">
        <f>IF(X180="","",IFERROR(INDEX($AQ$11:$AQ$4010,MATCH(170,$AY$11:$AY$4010,0)),""))</f>
        <v/>
      </c>
      <c r="AB180" s="29" t="str">
        <f>IF(X180="","",IFERROR(INDEX($AR$11:$AR$4010,MATCH(170,$AY$11:$AY$4010,0)),""))</f>
        <v/>
      </c>
      <c r="AD180" s="30" t="str">
        <f>IF(AE180="","",IFERROR(INDEX($AL$11:$AL$4010,MATCH(170,$AZ$11:$AZ$4010,0)),""))</f>
        <v/>
      </c>
      <c r="AE180" s="26" t="str">
        <f>IFERROR(INDEX($AM$11:$AM$4010,MATCH(170,$AZ$11:$AZ$4010,0)),"")</f>
        <v/>
      </c>
      <c r="AF180" s="25" t="str">
        <f>IF(AE180="","",IFERROR(INDEX($AN$11:$AN$4010,MATCH(170,$AZ$11:$AZ$4010,0)),""))</f>
        <v/>
      </c>
      <c r="AG180" s="25" t="str">
        <f>IF(AE180="","",IFERROR(INDEX($AO$11:$AO$4010,MATCH(170,$AZ$11:$AZ$4010,0)),""))</f>
        <v/>
      </c>
      <c r="AH180" s="24" t="str">
        <f>IF(AE180="","",IFERROR(INDEX($AQ$11:$AQ$4010,MATCH(170,$AZ$11:$AZ$4010,0)),""))</f>
        <v/>
      </c>
      <c r="AI180" s="29" t="str">
        <f>IF(AE180="","",IFERROR(INDEX($AR$11:$AR$4010,MATCH(170,$AZ$11:$AZ$4010,0)),""))</f>
        <v/>
      </c>
      <c r="AJ180" s="29" t="str">
        <f>IF(AE180="","",IFERROR(INDEX($AT$11:$AT$4010,MATCH(170,$AZ$11:$AZ$4010,0)),""))</f>
        <v/>
      </c>
      <c r="AL180" s="31" t="str">
        <f t="shared" si="35"/>
        <v/>
      </c>
      <c r="AM180" s="26" t="str">
        <f t="shared" si="36"/>
        <v/>
      </c>
      <c r="AN180" s="32" t="str">
        <f t="shared" si="37"/>
        <v/>
      </c>
      <c r="AO180" s="32" t="str">
        <f t="shared" si="38"/>
        <v/>
      </c>
      <c r="AP180" s="24" t="str">
        <f t="shared" si="39"/>
        <v/>
      </c>
      <c r="AQ180" s="24" t="str">
        <f t="shared" si="40"/>
        <v/>
      </c>
      <c r="AR180" s="33" t="str">
        <f t="shared" si="41"/>
        <v/>
      </c>
      <c r="AS180" s="34"/>
      <c r="AT180" s="33"/>
      <c r="AV180" s="21">
        <f>IF(AND($AL180&lt;&gt;"",COUNTIF($AL$11:$AL180,$AL180)=1),1,0)</f>
        <v>0</v>
      </c>
      <c r="AW180" s="21">
        <f t="shared" si="43"/>
        <v>0</v>
      </c>
      <c r="AX180" s="21" t="str">
        <f t="shared" si="42"/>
        <v/>
      </c>
      <c r="AY180" s="21" t="str">
        <f>IF(AND($AM180&lt;&gt;"",$AS180&lt;&gt;"✓"),SUMPRODUCT(($AM$11:$AM180&lt;&gt;"")*($AS$11:$AS180&lt;&gt;"✓")),"")</f>
        <v/>
      </c>
      <c r="AZ180" s="21" t="str">
        <f>IF(AND($AM180&lt;&gt;"",$AS180="✓"),SUMPRODUCT(($AM$11:$AM180&lt;&gt;"")*($AS$11:$AS180="✓")),"")</f>
        <v/>
      </c>
      <c r="BA180" s="21" t="str">
        <f>IF($AL180="","",$AL180&amp;"|"&amp;COUNTIF($AL$11:$AL180,$AL180))</f>
        <v/>
      </c>
    </row>
    <row r="181" spans="2:53" ht="15" customHeight="1" x14ac:dyDescent="0.25">
      <c r="B181" s="5" t="str">
        <f t="shared" si="30"/>
        <v/>
      </c>
      <c r="C181" s="5"/>
      <c r="D181" s="5"/>
      <c r="E181" s="5"/>
      <c r="F181" s="6"/>
      <c r="G181" s="6"/>
      <c r="H181" s="7"/>
      <c r="I181" s="8"/>
      <c r="K181" s="9" t="str">
        <f>IFERROR(INDEX($AL$11:$AL$4010,MATCH(171,$AX$11:$AX$4010,0)),"")</f>
        <v/>
      </c>
      <c r="L181" s="10" t="str">
        <f t="shared" si="31"/>
        <v/>
      </c>
      <c r="M181" s="11" t="str">
        <f t="shared" si="32"/>
        <v/>
      </c>
      <c r="N181" s="11" t="str">
        <f t="shared" si="33"/>
        <v/>
      </c>
      <c r="P181" s="12" t="str">
        <f>IFERROR(INDEX($AM$11:$AM$4010,MATCH($S$8&amp;"|"&amp;171,$BA$11:$BA$4010,0)),"")</f>
        <v/>
      </c>
      <c r="Q181" s="11" t="str">
        <f>IF(P181="","",IFERROR(INDEX($AN$11:$AN$4010,MATCH($S$8&amp;"|"&amp;171,$BA$11:$BA$4010,0)),""))</f>
        <v/>
      </c>
      <c r="R181" s="11" t="str">
        <f>IF(P181="","",IFERROR(INDEX($AO$11:$AO$4010,MATCH($S$8&amp;"|"&amp;171,$BA$11:$BA$4010,0)),""))</f>
        <v/>
      </c>
      <c r="S181" s="10" t="str">
        <f>IF(P181="","",IFERROR(INDEX($AP$11:$AP$4010,MATCH($S$8&amp;"|"&amp;171,$BA$11:$BA$4010,0)),""))</f>
        <v/>
      </c>
      <c r="T181" s="10" t="str">
        <f>IF(P181="","",IFERROR(INDEX($AQ$11:$AQ$4010,MATCH($S$8&amp;"|"&amp;171,$BA$11:$BA$4010,0)),""))</f>
        <v/>
      </c>
      <c r="U181" s="39" t="str">
        <f t="shared" si="44"/>
        <v/>
      </c>
      <c r="W181" s="14" t="str">
        <f>IF(X181="","",IFERROR(INDEX($AL$11:$AL$4010,MATCH(171,$AY$11:$AY$4010,0)),""))</f>
        <v/>
      </c>
      <c r="X181" s="12" t="str">
        <f>IFERROR(INDEX($AM$11:$AM$4010,MATCH(171,$AY$11:$AY$4010,0)),"")</f>
        <v/>
      </c>
      <c r="Y181" s="11" t="str">
        <f>IF(X181="","",IFERROR(INDEX($AN$11:$AN$4010,MATCH(171,$AY$11:$AY$4010,0)),""))</f>
        <v/>
      </c>
      <c r="Z181" s="11" t="str">
        <f>IF(X181="","",IFERROR(INDEX($AO$11:$AO$4010,MATCH(171,$AY$11:$AY$4010,0)),""))</f>
        <v/>
      </c>
      <c r="AA181" s="10" t="str">
        <f>IF(X181="","",IFERROR(INDEX($AQ$11:$AQ$4010,MATCH(171,$AY$11:$AY$4010,0)),""))</f>
        <v/>
      </c>
      <c r="AB181" s="15" t="str">
        <f>IF(X181="","",IFERROR(INDEX($AR$11:$AR$4010,MATCH(171,$AY$11:$AY$4010,0)),""))</f>
        <v/>
      </c>
      <c r="AD181" s="16" t="str">
        <f>IF(AE181="","",IFERROR(INDEX($AL$11:$AL$4010,MATCH(171,$AZ$11:$AZ$4010,0)),""))</f>
        <v/>
      </c>
      <c r="AE181" s="12" t="str">
        <f>IFERROR(INDEX($AM$11:$AM$4010,MATCH(171,$AZ$11:$AZ$4010,0)),"")</f>
        <v/>
      </c>
      <c r="AF181" s="11" t="str">
        <f>IF(AE181="","",IFERROR(INDEX($AN$11:$AN$4010,MATCH(171,$AZ$11:$AZ$4010,0)),""))</f>
        <v/>
      </c>
      <c r="AG181" s="11" t="str">
        <f>IF(AE181="","",IFERROR(INDEX($AO$11:$AO$4010,MATCH(171,$AZ$11:$AZ$4010,0)),""))</f>
        <v/>
      </c>
      <c r="AH181" s="10" t="str">
        <f>IF(AE181="","",IFERROR(INDEX($AQ$11:$AQ$4010,MATCH(171,$AZ$11:$AZ$4010,0)),""))</f>
        <v/>
      </c>
      <c r="AI181" s="15" t="str">
        <f>IF(AE181="","",IFERROR(INDEX($AR$11:$AR$4010,MATCH(171,$AZ$11:$AZ$4010,0)),""))</f>
        <v/>
      </c>
      <c r="AJ181" s="15" t="str">
        <f>IF(AE181="","",IFERROR(INDEX($AT$11:$AT$4010,MATCH(171,$AZ$11:$AZ$4010,0)),""))</f>
        <v/>
      </c>
      <c r="AL181" s="17" t="str">
        <f t="shared" si="35"/>
        <v/>
      </c>
      <c r="AM181" s="12" t="str">
        <f t="shared" si="36"/>
        <v/>
      </c>
      <c r="AN181" s="18" t="str">
        <f t="shared" si="37"/>
        <v/>
      </c>
      <c r="AO181" s="18" t="str">
        <f t="shared" si="38"/>
        <v/>
      </c>
      <c r="AP181" s="10" t="str">
        <f t="shared" si="39"/>
        <v/>
      </c>
      <c r="AQ181" s="10" t="str">
        <f t="shared" si="40"/>
        <v/>
      </c>
      <c r="AR181" s="19" t="str">
        <f t="shared" si="41"/>
        <v/>
      </c>
      <c r="AS181" s="20"/>
      <c r="AT181" s="19"/>
      <c r="AV181" s="21">
        <f>IF(AND($AL181&lt;&gt;"",COUNTIF($AL$11:$AL181,$AL181)=1),1,0)</f>
        <v>0</v>
      </c>
      <c r="AW181" s="21">
        <f t="shared" si="43"/>
        <v>0</v>
      </c>
      <c r="AX181" s="21" t="str">
        <f t="shared" si="42"/>
        <v/>
      </c>
      <c r="AY181" s="21" t="str">
        <f>IF(AND($AM181&lt;&gt;"",$AS181&lt;&gt;"✓"),SUMPRODUCT(($AM$11:$AM181&lt;&gt;"")*($AS$11:$AS181&lt;&gt;"✓")),"")</f>
        <v/>
      </c>
      <c r="AZ181" s="21" t="str">
        <f>IF(AND($AM181&lt;&gt;"",$AS181="✓"),SUMPRODUCT(($AM$11:$AM181&lt;&gt;"")*($AS$11:$AS181="✓")),"")</f>
        <v/>
      </c>
      <c r="BA181" s="21" t="str">
        <f>IF($AL181="","",$AL181&amp;"|"&amp;COUNTIF($AL$11:$AL181,$AL181))</f>
        <v/>
      </c>
    </row>
    <row r="182" spans="2:53" ht="15" customHeight="1" x14ac:dyDescent="0.25">
      <c r="B182" s="5" t="str">
        <f t="shared" si="30"/>
        <v/>
      </c>
      <c r="C182" s="5"/>
      <c r="D182" s="5"/>
      <c r="E182" s="5"/>
      <c r="F182" s="6"/>
      <c r="G182" s="6"/>
      <c r="H182" s="7"/>
      <c r="I182" s="8"/>
      <c r="K182" s="23" t="str">
        <f>IFERROR(INDEX($AL$11:$AL$4010,MATCH(172,$AX$11:$AX$4010,0)),"")</f>
        <v/>
      </c>
      <c r="L182" s="24" t="str">
        <f t="shared" si="31"/>
        <v/>
      </c>
      <c r="M182" s="25" t="str">
        <f t="shared" si="32"/>
        <v/>
      </c>
      <c r="N182" s="25" t="str">
        <f t="shared" si="33"/>
        <v/>
      </c>
      <c r="P182" s="26" t="str">
        <f>IFERROR(INDEX($AM$11:$AM$4010,MATCH($S$8&amp;"|"&amp;172,$BA$11:$BA$4010,0)),"")</f>
        <v/>
      </c>
      <c r="Q182" s="25" t="str">
        <f>IF(P182="","",IFERROR(INDEX($AN$11:$AN$4010,MATCH($S$8&amp;"|"&amp;172,$BA$11:$BA$4010,0)),""))</f>
        <v/>
      </c>
      <c r="R182" s="25" t="str">
        <f>IF(P182="","",IFERROR(INDEX($AO$11:$AO$4010,MATCH($S$8&amp;"|"&amp;172,$BA$11:$BA$4010,0)),""))</f>
        <v/>
      </c>
      <c r="S182" s="24" t="str">
        <f>IF(P182="","",IFERROR(INDEX($AP$11:$AP$4010,MATCH($S$8&amp;"|"&amp;172,$BA$11:$BA$4010,0)),""))</f>
        <v/>
      </c>
      <c r="T182" s="24" t="str">
        <f>IF(P182="","",IFERROR(INDEX($AQ$11:$AQ$4010,MATCH($S$8&amp;"|"&amp;172,$BA$11:$BA$4010,0)),""))</f>
        <v/>
      </c>
      <c r="U182" s="38" t="str">
        <f t="shared" si="44"/>
        <v/>
      </c>
      <c r="W182" s="28" t="str">
        <f>IF(X182="","",IFERROR(INDEX($AL$11:$AL$4010,MATCH(172,$AY$11:$AY$4010,0)),""))</f>
        <v/>
      </c>
      <c r="X182" s="26" t="str">
        <f>IFERROR(INDEX($AM$11:$AM$4010,MATCH(172,$AY$11:$AY$4010,0)),"")</f>
        <v/>
      </c>
      <c r="Y182" s="25" t="str">
        <f>IF(X182="","",IFERROR(INDEX($AN$11:$AN$4010,MATCH(172,$AY$11:$AY$4010,0)),""))</f>
        <v/>
      </c>
      <c r="Z182" s="25" t="str">
        <f>IF(X182="","",IFERROR(INDEX($AO$11:$AO$4010,MATCH(172,$AY$11:$AY$4010,0)),""))</f>
        <v/>
      </c>
      <c r="AA182" s="24" t="str">
        <f>IF(X182="","",IFERROR(INDEX($AQ$11:$AQ$4010,MATCH(172,$AY$11:$AY$4010,0)),""))</f>
        <v/>
      </c>
      <c r="AB182" s="29" t="str">
        <f>IF(X182="","",IFERROR(INDEX($AR$11:$AR$4010,MATCH(172,$AY$11:$AY$4010,0)),""))</f>
        <v/>
      </c>
      <c r="AD182" s="30" t="str">
        <f>IF(AE182="","",IFERROR(INDEX($AL$11:$AL$4010,MATCH(172,$AZ$11:$AZ$4010,0)),""))</f>
        <v/>
      </c>
      <c r="AE182" s="26" t="str">
        <f>IFERROR(INDEX($AM$11:$AM$4010,MATCH(172,$AZ$11:$AZ$4010,0)),"")</f>
        <v/>
      </c>
      <c r="AF182" s="25" t="str">
        <f>IF(AE182="","",IFERROR(INDEX($AN$11:$AN$4010,MATCH(172,$AZ$11:$AZ$4010,0)),""))</f>
        <v/>
      </c>
      <c r="AG182" s="25" t="str">
        <f>IF(AE182="","",IFERROR(INDEX($AO$11:$AO$4010,MATCH(172,$AZ$11:$AZ$4010,0)),""))</f>
        <v/>
      </c>
      <c r="AH182" s="24" t="str">
        <f>IF(AE182="","",IFERROR(INDEX($AQ$11:$AQ$4010,MATCH(172,$AZ$11:$AZ$4010,0)),""))</f>
        <v/>
      </c>
      <c r="AI182" s="29" t="str">
        <f>IF(AE182="","",IFERROR(INDEX($AR$11:$AR$4010,MATCH(172,$AZ$11:$AZ$4010,0)),""))</f>
        <v/>
      </c>
      <c r="AJ182" s="29" t="str">
        <f>IF(AE182="","",IFERROR(INDEX($AT$11:$AT$4010,MATCH(172,$AZ$11:$AZ$4010,0)),""))</f>
        <v/>
      </c>
      <c r="AL182" s="31" t="str">
        <f t="shared" si="35"/>
        <v/>
      </c>
      <c r="AM182" s="26" t="str">
        <f t="shared" si="36"/>
        <v/>
      </c>
      <c r="AN182" s="32" t="str">
        <f t="shared" si="37"/>
        <v/>
      </c>
      <c r="AO182" s="32" t="str">
        <f t="shared" si="38"/>
        <v/>
      </c>
      <c r="AP182" s="24" t="str">
        <f t="shared" si="39"/>
        <v/>
      </c>
      <c r="AQ182" s="24" t="str">
        <f t="shared" si="40"/>
        <v/>
      </c>
      <c r="AR182" s="33" t="str">
        <f t="shared" si="41"/>
        <v/>
      </c>
      <c r="AS182" s="34"/>
      <c r="AT182" s="33"/>
      <c r="AV182" s="21">
        <f>IF(AND($AL182&lt;&gt;"",COUNTIF($AL$11:$AL182,$AL182)=1),1,0)</f>
        <v>0</v>
      </c>
      <c r="AW182" s="21">
        <f t="shared" si="43"/>
        <v>0</v>
      </c>
      <c r="AX182" s="21" t="str">
        <f t="shared" si="42"/>
        <v/>
      </c>
      <c r="AY182" s="21" t="str">
        <f>IF(AND($AM182&lt;&gt;"",$AS182&lt;&gt;"✓"),SUMPRODUCT(($AM$11:$AM182&lt;&gt;"")*($AS$11:$AS182&lt;&gt;"✓")),"")</f>
        <v/>
      </c>
      <c r="AZ182" s="21" t="str">
        <f>IF(AND($AM182&lt;&gt;"",$AS182="✓"),SUMPRODUCT(($AM$11:$AM182&lt;&gt;"")*($AS$11:$AS182="✓")),"")</f>
        <v/>
      </c>
      <c r="BA182" s="21" t="str">
        <f>IF($AL182="","",$AL182&amp;"|"&amp;COUNTIF($AL$11:$AL182,$AL182))</f>
        <v/>
      </c>
    </row>
    <row r="183" spans="2:53" ht="15" customHeight="1" x14ac:dyDescent="0.25">
      <c r="B183" s="5" t="str">
        <f t="shared" si="30"/>
        <v/>
      </c>
      <c r="C183" s="5"/>
      <c r="D183" s="5"/>
      <c r="E183" s="5"/>
      <c r="F183" s="6"/>
      <c r="G183" s="6"/>
      <c r="H183" s="7"/>
      <c r="I183" s="8"/>
      <c r="K183" s="9" t="str">
        <f>IFERROR(INDEX($AL$11:$AL$4010,MATCH(173,$AX$11:$AX$4010,0)),"")</f>
        <v/>
      </c>
      <c r="L183" s="10" t="str">
        <f t="shared" si="31"/>
        <v/>
      </c>
      <c r="M183" s="11" t="str">
        <f t="shared" si="32"/>
        <v/>
      </c>
      <c r="N183" s="11" t="str">
        <f t="shared" si="33"/>
        <v/>
      </c>
      <c r="P183" s="12" t="str">
        <f>IFERROR(INDEX($AM$11:$AM$4010,MATCH($S$8&amp;"|"&amp;173,$BA$11:$BA$4010,0)),"")</f>
        <v/>
      </c>
      <c r="Q183" s="11" t="str">
        <f>IF(P183="","",IFERROR(INDEX($AN$11:$AN$4010,MATCH($S$8&amp;"|"&amp;173,$BA$11:$BA$4010,0)),""))</f>
        <v/>
      </c>
      <c r="R183" s="11" t="str">
        <f>IF(P183="","",IFERROR(INDEX($AO$11:$AO$4010,MATCH($S$8&amp;"|"&amp;173,$BA$11:$BA$4010,0)),""))</f>
        <v/>
      </c>
      <c r="S183" s="10" t="str">
        <f>IF(P183="","",IFERROR(INDEX($AP$11:$AP$4010,MATCH($S$8&amp;"|"&amp;173,$BA$11:$BA$4010,0)),""))</f>
        <v/>
      </c>
      <c r="T183" s="10" t="str">
        <f>IF(P183="","",IFERROR(INDEX($AQ$11:$AQ$4010,MATCH($S$8&amp;"|"&amp;173,$BA$11:$BA$4010,0)),""))</f>
        <v/>
      </c>
      <c r="U183" s="39" t="str">
        <f t="shared" si="44"/>
        <v/>
      </c>
      <c r="W183" s="14" t="str">
        <f>IF(X183="","",IFERROR(INDEX($AL$11:$AL$4010,MATCH(173,$AY$11:$AY$4010,0)),""))</f>
        <v/>
      </c>
      <c r="X183" s="12" t="str">
        <f>IFERROR(INDEX($AM$11:$AM$4010,MATCH(173,$AY$11:$AY$4010,0)),"")</f>
        <v/>
      </c>
      <c r="Y183" s="11" t="str">
        <f>IF(X183="","",IFERROR(INDEX($AN$11:$AN$4010,MATCH(173,$AY$11:$AY$4010,0)),""))</f>
        <v/>
      </c>
      <c r="Z183" s="11" t="str">
        <f>IF(X183="","",IFERROR(INDEX($AO$11:$AO$4010,MATCH(173,$AY$11:$AY$4010,0)),""))</f>
        <v/>
      </c>
      <c r="AA183" s="10" t="str">
        <f>IF(X183="","",IFERROR(INDEX($AQ$11:$AQ$4010,MATCH(173,$AY$11:$AY$4010,0)),""))</f>
        <v/>
      </c>
      <c r="AB183" s="15" t="str">
        <f>IF(X183="","",IFERROR(INDEX($AR$11:$AR$4010,MATCH(173,$AY$11:$AY$4010,0)),""))</f>
        <v/>
      </c>
      <c r="AD183" s="16" t="str">
        <f>IF(AE183="","",IFERROR(INDEX($AL$11:$AL$4010,MATCH(173,$AZ$11:$AZ$4010,0)),""))</f>
        <v/>
      </c>
      <c r="AE183" s="12" t="str">
        <f>IFERROR(INDEX($AM$11:$AM$4010,MATCH(173,$AZ$11:$AZ$4010,0)),"")</f>
        <v/>
      </c>
      <c r="AF183" s="11" t="str">
        <f>IF(AE183="","",IFERROR(INDEX($AN$11:$AN$4010,MATCH(173,$AZ$11:$AZ$4010,0)),""))</f>
        <v/>
      </c>
      <c r="AG183" s="11" t="str">
        <f>IF(AE183="","",IFERROR(INDEX($AO$11:$AO$4010,MATCH(173,$AZ$11:$AZ$4010,0)),""))</f>
        <v/>
      </c>
      <c r="AH183" s="10" t="str">
        <f>IF(AE183="","",IFERROR(INDEX($AQ$11:$AQ$4010,MATCH(173,$AZ$11:$AZ$4010,0)),""))</f>
        <v/>
      </c>
      <c r="AI183" s="15" t="str">
        <f>IF(AE183="","",IFERROR(INDEX($AR$11:$AR$4010,MATCH(173,$AZ$11:$AZ$4010,0)),""))</f>
        <v/>
      </c>
      <c r="AJ183" s="15" t="str">
        <f>IF(AE183="","",IFERROR(INDEX($AT$11:$AT$4010,MATCH(173,$AZ$11:$AZ$4010,0)),""))</f>
        <v/>
      </c>
      <c r="AL183" s="17" t="str">
        <f t="shared" si="35"/>
        <v/>
      </c>
      <c r="AM183" s="12" t="str">
        <f t="shared" si="36"/>
        <v/>
      </c>
      <c r="AN183" s="18" t="str">
        <f t="shared" si="37"/>
        <v/>
      </c>
      <c r="AO183" s="18" t="str">
        <f t="shared" si="38"/>
        <v/>
      </c>
      <c r="AP183" s="10" t="str">
        <f t="shared" si="39"/>
        <v/>
      </c>
      <c r="AQ183" s="10" t="str">
        <f t="shared" si="40"/>
        <v/>
      </c>
      <c r="AR183" s="19" t="str">
        <f t="shared" si="41"/>
        <v/>
      </c>
      <c r="AS183" s="20"/>
      <c r="AT183" s="19"/>
      <c r="AV183" s="21">
        <f>IF(AND($AL183&lt;&gt;"",COUNTIF($AL$11:$AL183,$AL183)=1),1,0)</f>
        <v>0</v>
      </c>
      <c r="AW183" s="21">
        <f t="shared" si="43"/>
        <v>0</v>
      </c>
      <c r="AX183" s="21" t="str">
        <f t="shared" si="42"/>
        <v/>
      </c>
      <c r="AY183" s="21" t="str">
        <f>IF(AND($AM183&lt;&gt;"",$AS183&lt;&gt;"✓"),SUMPRODUCT(($AM$11:$AM183&lt;&gt;"")*($AS$11:$AS183&lt;&gt;"✓")),"")</f>
        <v/>
      </c>
      <c r="AZ183" s="21" t="str">
        <f>IF(AND($AM183&lt;&gt;"",$AS183="✓"),SUMPRODUCT(($AM$11:$AM183&lt;&gt;"")*($AS$11:$AS183="✓")),"")</f>
        <v/>
      </c>
      <c r="BA183" s="21" t="str">
        <f>IF($AL183="","",$AL183&amp;"|"&amp;COUNTIF($AL$11:$AL183,$AL183))</f>
        <v/>
      </c>
    </row>
    <row r="184" spans="2:53" ht="15" customHeight="1" x14ac:dyDescent="0.25">
      <c r="B184" s="5" t="str">
        <f t="shared" si="30"/>
        <v/>
      </c>
      <c r="C184" s="5"/>
      <c r="D184" s="5"/>
      <c r="E184" s="5"/>
      <c r="F184" s="6"/>
      <c r="G184" s="6"/>
      <c r="H184" s="7"/>
      <c r="I184" s="8"/>
      <c r="K184" s="23" t="str">
        <f>IFERROR(INDEX($AL$11:$AL$4010,MATCH(174,$AX$11:$AX$4010,0)),"")</f>
        <v/>
      </c>
      <c r="L184" s="24" t="str">
        <f t="shared" si="31"/>
        <v/>
      </c>
      <c r="M184" s="25" t="str">
        <f t="shared" si="32"/>
        <v/>
      </c>
      <c r="N184" s="25" t="str">
        <f t="shared" si="33"/>
        <v/>
      </c>
      <c r="P184" s="26" t="str">
        <f>IFERROR(INDEX($AM$11:$AM$4010,MATCH($S$8&amp;"|"&amp;174,$BA$11:$BA$4010,0)),"")</f>
        <v/>
      </c>
      <c r="Q184" s="25" t="str">
        <f>IF(P184="","",IFERROR(INDEX($AN$11:$AN$4010,MATCH($S$8&amp;"|"&amp;174,$BA$11:$BA$4010,0)),""))</f>
        <v/>
      </c>
      <c r="R184" s="25" t="str">
        <f>IF(P184="","",IFERROR(INDEX($AO$11:$AO$4010,MATCH($S$8&amp;"|"&amp;174,$BA$11:$BA$4010,0)),""))</f>
        <v/>
      </c>
      <c r="S184" s="24" t="str">
        <f>IF(P184="","",IFERROR(INDEX($AP$11:$AP$4010,MATCH($S$8&amp;"|"&amp;174,$BA$11:$BA$4010,0)),""))</f>
        <v/>
      </c>
      <c r="T184" s="24" t="str">
        <f>IF(P184="","",IFERROR(INDEX($AQ$11:$AQ$4010,MATCH($S$8&amp;"|"&amp;174,$BA$11:$BA$4010,0)),""))</f>
        <v/>
      </c>
      <c r="U184" s="38" t="str">
        <f t="shared" si="44"/>
        <v/>
      </c>
      <c r="W184" s="28" t="str">
        <f>IF(X184="","",IFERROR(INDEX($AL$11:$AL$4010,MATCH(174,$AY$11:$AY$4010,0)),""))</f>
        <v/>
      </c>
      <c r="X184" s="26" t="str">
        <f>IFERROR(INDEX($AM$11:$AM$4010,MATCH(174,$AY$11:$AY$4010,0)),"")</f>
        <v/>
      </c>
      <c r="Y184" s="25" t="str">
        <f>IF(X184="","",IFERROR(INDEX($AN$11:$AN$4010,MATCH(174,$AY$11:$AY$4010,0)),""))</f>
        <v/>
      </c>
      <c r="Z184" s="25" t="str">
        <f>IF(X184="","",IFERROR(INDEX($AO$11:$AO$4010,MATCH(174,$AY$11:$AY$4010,0)),""))</f>
        <v/>
      </c>
      <c r="AA184" s="24" t="str">
        <f>IF(X184="","",IFERROR(INDEX($AQ$11:$AQ$4010,MATCH(174,$AY$11:$AY$4010,0)),""))</f>
        <v/>
      </c>
      <c r="AB184" s="29" t="str">
        <f>IF(X184="","",IFERROR(INDEX($AR$11:$AR$4010,MATCH(174,$AY$11:$AY$4010,0)),""))</f>
        <v/>
      </c>
      <c r="AD184" s="30" t="str">
        <f>IF(AE184="","",IFERROR(INDEX($AL$11:$AL$4010,MATCH(174,$AZ$11:$AZ$4010,0)),""))</f>
        <v/>
      </c>
      <c r="AE184" s="26" t="str">
        <f>IFERROR(INDEX($AM$11:$AM$4010,MATCH(174,$AZ$11:$AZ$4010,0)),"")</f>
        <v/>
      </c>
      <c r="AF184" s="25" t="str">
        <f>IF(AE184="","",IFERROR(INDEX($AN$11:$AN$4010,MATCH(174,$AZ$11:$AZ$4010,0)),""))</f>
        <v/>
      </c>
      <c r="AG184" s="25" t="str">
        <f>IF(AE184="","",IFERROR(INDEX($AO$11:$AO$4010,MATCH(174,$AZ$11:$AZ$4010,0)),""))</f>
        <v/>
      </c>
      <c r="AH184" s="24" t="str">
        <f>IF(AE184="","",IFERROR(INDEX($AQ$11:$AQ$4010,MATCH(174,$AZ$11:$AZ$4010,0)),""))</f>
        <v/>
      </c>
      <c r="AI184" s="29" t="str">
        <f>IF(AE184="","",IFERROR(INDEX($AR$11:$AR$4010,MATCH(174,$AZ$11:$AZ$4010,0)),""))</f>
        <v/>
      </c>
      <c r="AJ184" s="29" t="str">
        <f>IF(AE184="","",IFERROR(INDEX($AT$11:$AT$4010,MATCH(174,$AZ$11:$AZ$4010,0)),""))</f>
        <v/>
      </c>
      <c r="AL184" s="31" t="str">
        <f t="shared" si="35"/>
        <v/>
      </c>
      <c r="AM184" s="26" t="str">
        <f t="shared" si="36"/>
        <v/>
      </c>
      <c r="AN184" s="32" t="str">
        <f t="shared" si="37"/>
        <v/>
      </c>
      <c r="AO184" s="32" t="str">
        <f t="shared" si="38"/>
        <v/>
      </c>
      <c r="AP184" s="24" t="str">
        <f t="shared" si="39"/>
        <v/>
      </c>
      <c r="AQ184" s="24" t="str">
        <f t="shared" si="40"/>
        <v/>
      </c>
      <c r="AR184" s="33" t="str">
        <f t="shared" si="41"/>
        <v/>
      </c>
      <c r="AS184" s="34"/>
      <c r="AT184" s="33"/>
      <c r="AV184" s="21">
        <f>IF(AND($AL184&lt;&gt;"",COUNTIF($AL$11:$AL184,$AL184)=1),1,0)</f>
        <v>0</v>
      </c>
      <c r="AW184" s="21">
        <f t="shared" si="43"/>
        <v>0</v>
      </c>
      <c r="AX184" s="21" t="str">
        <f t="shared" si="42"/>
        <v/>
      </c>
      <c r="AY184" s="21" t="str">
        <f>IF(AND($AM184&lt;&gt;"",$AS184&lt;&gt;"✓"),SUMPRODUCT(($AM$11:$AM184&lt;&gt;"")*($AS$11:$AS184&lt;&gt;"✓")),"")</f>
        <v/>
      </c>
      <c r="AZ184" s="21" t="str">
        <f>IF(AND($AM184&lt;&gt;"",$AS184="✓"),SUMPRODUCT(($AM$11:$AM184&lt;&gt;"")*($AS$11:$AS184="✓")),"")</f>
        <v/>
      </c>
      <c r="BA184" s="21" t="str">
        <f>IF($AL184="","",$AL184&amp;"|"&amp;COUNTIF($AL$11:$AL184,$AL184))</f>
        <v/>
      </c>
    </row>
    <row r="185" spans="2:53" ht="15" customHeight="1" x14ac:dyDescent="0.25">
      <c r="B185" s="5" t="str">
        <f t="shared" si="30"/>
        <v/>
      </c>
      <c r="C185" s="5"/>
      <c r="D185" s="5"/>
      <c r="E185" s="5"/>
      <c r="F185" s="6"/>
      <c r="G185" s="6"/>
      <c r="H185" s="7"/>
      <c r="I185" s="8"/>
      <c r="K185" s="9" t="str">
        <f>IFERROR(INDEX($AL$11:$AL$4010,MATCH(175,$AX$11:$AX$4010,0)),"")</f>
        <v/>
      </c>
      <c r="L185" s="10" t="str">
        <f t="shared" si="31"/>
        <v/>
      </c>
      <c r="M185" s="11" t="str">
        <f t="shared" si="32"/>
        <v/>
      </c>
      <c r="N185" s="11" t="str">
        <f t="shared" si="33"/>
        <v/>
      </c>
      <c r="P185" s="12" t="str">
        <f>IFERROR(INDEX($AM$11:$AM$4010,MATCH($S$8&amp;"|"&amp;175,$BA$11:$BA$4010,0)),"")</f>
        <v/>
      </c>
      <c r="Q185" s="11" t="str">
        <f>IF(P185="","",IFERROR(INDEX($AN$11:$AN$4010,MATCH($S$8&amp;"|"&amp;175,$BA$11:$BA$4010,0)),""))</f>
        <v/>
      </c>
      <c r="R185" s="11" t="str">
        <f>IF(P185="","",IFERROR(INDEX($AO$11:$AO$4010,MATCH($S$8&amp;"|"&amp;175,$BA$11:$BA$4010,0)),""))</f>
        <v/>
      </c>
      <c r="S185" s="10" t="str">
        <f>IF(P185="","",IFERROR(INDEX($AP$11:$AP$4010,MATCH($S$8&amp;"|"&amp;175,$BA$11:$BA$4010,0)),""))</f>
        <v/>
      </c>
      <c r="T185" s="10" t="str">
        <f>IF(P185="","",IFERROR(INDEX($AQ$11:$AQ$4010,MATCH($S$8&amp;"|"&amp;175,$BA$11:$BA$4010,0)),""))</f>
        <v/>
      </c>
      <c r="U185" s="39" t="str">
        <f t="shared" si="44"/>
        <v/>
      </c>
      <c r="W185" s="14" t="str">
        <f>IF(X185="","",IFERROR(INDEX($AL$11:$AL$4010,MATCH(175,$AY$11:$AY$4010,0)),""))</f>
        <v/>
      </c>
      <c r="X185" s="12" t="str">
        <f>IFERROR(INDEX($AM$11:$AM$4010,MATCH(175,$AY$11:$AY$4010,0)),"")</f>
        <v/>
      </c>
      <c r="Y185" s="11" t="str">
        <f>IF(X185="","",IFERROR(INDEX($AN$11:$AN$4010,MATCH(175,$AY$11:$AY$4010,0)),""))</f>
        <v/>
      </c>
      <c r="Z185" s="11" t="str">
        <f>IF(X185="","",IFERROR(INDEX($AO$11:$AO$4010,MATCH(175,$AY$11:$AY$4010,0)),""))</f>
        <v/>
      </c>
      <c r="AA185" s="10" t="str">
        <f>IF(X185="","",IFERROR(INDEX($AQ$11:$AQ$4010,MATCH(175,$AY$11:$AY$4010,0)),""))</f>
        <v/>
      </c>
      <c r="AB185" s="15" t="str">
        <f>IF(X185="","",IFERROR(INDEX($AR$11:$AR$4010,MATCH(175,$AY$11:$AY$4010,0)),""))</f>
        <v/>
      </c>
      <c r="AD185" s="16" t="str">
        <f>IF(AE185="","",IFERROR(INDEX($AL$11:$AL$4010,MATCH(175,$AZ$11:$AZ$4010,0)),""))</f>
        <v/>
      </c>
      <c r="AE185" s="12" t="str">
        <f>IFERROR(INDEX($AM$11:$AM$4010,MATCH(175,$AZ$11:$AZ$4010,0)),"")</f>
        <v/>
      </c>
      <c r="AF185" s="11" t="str">
        <f>IF(AE185="","",IFERROR(INDEX($AN$11:$AN$4010,MATCH(175,$AZ$11:$AZ$4010,0)),""))</f>
        <v/>
      </c>
      <c r="AG185" s="11" t="str">
        <f>IF(AE185="","",IFERROR(INDEX($AO$11:$AO$4010,MATCH(175,$AZ$11:$AZ$4010,0)),""))</f>
        <v/>
      </c>
      <c r="AH185" s="10" t="str">
        <f>IF(AE185="","",IFERROR(INDEX($AQ$11:$AQ$4010,MATCH(175,$AZ$11:$AZ$4010,0)),""))</f>
        <v/>
      </c>
      <c r="AI185" s="15" t="str">
        <f>IF(AE185="","",IFERROR(INDEX($AR$11:$AR$4010,MATCH(175,$AZ$11:$AZ$4010,0)),""))</f>
        <v/>
      </c>
      <c r="AJ185" s="15" t="str">
        <f>IF(AE185="","",IFERROR(INDEX($AT$11:$AT$4010,MATCH(175,$AZ$11:$AZ$4010,0)),""))</f>
        <v/>
      </c>
      <c r="AL185" s="17" t="str">
        <f t="shared" si="35"/>
        <v/>
      </c>
      <c r="AM185" s="12" t="str">
        <f t="shared" si="36"/>
        <v/>
      </c>
      <c r="AN185" s="18" t="str">
        <f t="shared" si="37"/>
        <v/>
      </c>
      <c r="AO185" s="18" t="str">
        <f t="shared" si="38"/>
        <v/>
      </c>
      <c r="AP185" s="10" t="str">
        <f t="shared" si="39"/>
        <v/>
      </c>
      <c r="AQ185" s="10" t="str">
        <f t="shared" si="40"/>
        <v/>
      </c>
      <c r="AR185" s="19" t="str">
        <f t="shared" si="41"/>
        <v/>
      </c>
      <c r="AS185" s="20"/>
      <c r="AT185" s="19"/>
      <c r="AV185" s="21">
        <f>IF(AND($AL185&lt;&gt;"",COUNTIF($AL$11:$AL185,$AL185)=1),1,0)</f>
        <v>0</v>
      </c>
      <c r="AW185" s="21">
        <f t="shared" si="43"/>
        <v>0</v>
      </c>
      <c r="AX185" s="21" t="str">
        <f t="shared" si="42"/>
        <v/>
      </c>
      <c r="AY185" s="21" t="str">
        <f>IF(AND($AM185&lt;&gt;"",$AS185&lt;&gt;"✓"),SUMPRODUCT(($AM$11:$AM185&lt;&gt;"")*($AS$11:$AS185&lt;&gt;"✓")),"")</f>
        <v/>
      </c>
      <c r="AZ185" s="21" t="str">
        <f>IF(AND($AM185&lt;&gt;"",$AS185="✓"),SUMPRODUCT(($AM$11:$AM185&lt;&gt;"")*($AS$11:$AS185="✓")),"")</f>
        <v/>
      </c>
      <c r="BA185" s="21" t="str">
        <f>IF($AL185="","",$AL185&amp;"|"&amp;COUNTIF($AL$11:$AL185,$AL185))</f>
        <v/>
      </c>
    </row>
    <row r="186" spans="2:53" ht="15" customHeight="1" x14ac:dyDescent="0.25">
      <c r="B186" s="5" t="str">
        <f t="shared" si="30"/>
        <v/>
      </c>
      <c r="C186" s="5"/>
      <c r="D186" s="5"/>
      <c r="E186" s="5"/>
      <c r="F186" s="6"/>
      <c r="G186" s="6"/>
      <c r="H186" s="7"/>
      <c r="I186" s="8"/>
      <c r="K186" s="23" t="str">
        <f>IFERROR(INDEX($AL$11:$AL$4010,MATCH(176,$AX$11:$AX$4010,0)),"")</f>
        <v/>
      </c>
      <c r="L186" s="24" t="str">
        <f t="shared" si="31"/>
        <v/>
      </c>
      <c r="M186" s="25" t="str">
        <f t="shared" si="32"/>
        <v/>
      </c>
      <c r="N186" s="25" t="str">
        <f t="shared" si="33"/>
        <v/>
      </c>
      <c r="P186" s="26" t="str">
        <f>IFERROR(INDEX($AM$11:$AM$4010,MATCH($S$8&amp;"|"&amp;176,$BA$11:$BA$4010,0)),"")</f>
        <v/>
      </c>
      <c r="Q186" s="25" t="str">
        <f>IF(P186="","",IFERROR(INDEX($AN$11:$AN$4010,MATCH($S$8&amp;"|"&amp;176,$BA$11:$BA$4010,0)),""))</f>
        <v/>
      </c>
      <c r="R186" s="25" t="str">
        <f>IF(P186="","",IFERROR(INDEX($AO$11:$AO$4010,MATCH($S$8&amp;"|"&amp;176,$BA$11:$BA$4010,0)),""))</f>
        <v/>
      </c>
      <c r="S186" s="24" t="str">
        <f>IF(P186="","",IFERROR(INDEX($AP$11:$AP$4010,MATCH($S$8&amp;"|"&amp;176,$BA$11:$BA$4010,0)),""))</f>
        <v/>
      </c>
      <c r="T186" s="24" t="str">
        <f>IF(P186="","",IFERROR(INDEX($AQ$11:$AQ$4010,MATCH($S$8&amp;"|"&amp;176,$BA$11:$BA$4010,0)),""))</f>
        <v/>
      </c>
      <c r="U186" s="38" t="str">
        <f t="shared" si="44"/>
        <v/>
      </c>
      <c r="W186" s="28" t="str">
        <f>IF(X186="","",IFERROR(INDEX($AL$11:$AL$4010,MATCH(176,$AY$11:$AY$4010,0)),""))</f>
        <v/>
      </c>
      <c r="X186" s="26" t="str">
        <f>IFERROR(INDEX($AM$11:$AM$4010,MATCH(176,$AY$11:$AY$4010,0)),"")</f>
        <v/>
      </c>
      <c r="Y186" s="25" t="str">
        <f>IF(X186="","",IFERROR(INDEX($AN$11:$AN$4010,MATCH(176,$AY$11:$AY$4010,0)),""))</f>
        <v/>
      </c>
      <c r="Z186" s="25" t="str">
        <f>IF(X186="","",IFERROR(INDEX($AO$11:$AO$4010,MATCH(176,$AY$11:$AY$4010,0)),""))</f>
        <v/>
      </c>
      <c r="AA186" s="24" t="str">
        <f>IF(X186="","",IFERROR(INDEX($AQ$11:$AQ$4010,MATCH(176,$AY$11:$AY$4010,0)),""))</f>
        <v/>
      </c>
      <c r="AB186" s="29" t="str">
        <f>IF(X186="","",IFERROR(INDEX($AR$11:$AR$4010,MATCH(176,$AY$11:$AY$4010,0)),""))</f>
        <v/>
      </c>
      <c r="AD186" s="30" t="str">
        <f>IF(AE186="","",IFERROR(INDEX($AL$11:$AL$4010,MATCH(176,$AZ$11:$AZ$4010,0)),""))</f>
        <v/>
      </c>
      <c r="AE186" s="26" t="str">
        <f>IFERROR(INDEX($AM$11:$AM$4010,MATCH(176,$AZ$11:$AZ$4010,0)),"")</f>
        <v/>
      </c>
      <c r="AF186" s="25" t="str">
        <f>IF(AE186="","",IFERROR(INDEX($AN$11:$AN$4010,MATCH(176,$AZ$11:$AZ$4010,0)),""))</f>
        <v/>
      </c>
      <c r="AG186" s="25" t="str">
        <f>IF(AE186="","",IFERROR(INDEX($AO$11:$AO$4010,MATCH(176,$AZ$11:$AZ$4010,0)),""))</f>
        <v/>
      </c>
      <c r="AH186" s="24" t="str">
        <f>IF(AE186="","",IFERROR(INDEX($AQ$11:$AQ$4010,MATCH(176,$AZ$11:$AZ$4010,0)),""))</f>
        <v/>
      </c>
      <c r="AI186" s="29" t="str">
        <f>IF(AE186="","",IFERROR(INDEX($AR$11:$AR$4010,MATCH(176,$AZ$11:$AZ$4010,0)),""))</f>
        <v/>
      </c>
      <c r="AJ186" s="29" t="str">
        <f>IF(AE186="","",IFERROR(INDEX($AT$11:$AT$4010,MATCH(176,$AZ$11:$AZ$4010,0)),""))</f>
        <v/>
      </c>
      <c r="AL186" s="31" t="str">
        <f t="shared" si="35"/>
        <v/>
      </c>
      <c r="AM186" s="26" t="str">
        <f t="shared" si="36"/>
        <v/>
      </c>
      <c r="AN186" s="32" t="str">
        <f t="shared" si="37"/>
        <v/>
      </c>
      <c r="AO186" s="32" t="str">
        <f t="shared" si="38"/>
        <v/>
      </c>
      <c r="AP186" s="24" t="str">
        <f t="shared" si="39"/>
        <v/>
      </c>
      <c r="AQ186" s="24" t="str">
        <f t="shared" si="40"/>
        <v/>
      </c>
      <c r="AR186" s="33" t="str">
        <f t="shared" si="41"/>
        <v/>
      </c>
      <c r="AS186" s="34"/>
      <c r="AT186" s="33"/>
      <c r="AV186" s="21">
        <f>IF(AND($AL186&lt;&gt;"",COUNTIF($AL$11:$AL186,$AL186)=1),1,0)</f>
        <v>0</v>
      </c>
      <c r="AW186" s="21">
        <f t="shared" si="43"/>
        <v>0</v>
      </c>
      <c r="AX186" s="21" t="str">
        <f t="shared" si="42"/>
        <v/>
      </c>
      <c r="AY186" s="21" t="str">
        <f>IF(AND($AM186&lt;&gt;"",$AS186&lt;&gt;"✓"),SUMPRODUCT(($AM$11:$AM186&lt;&gt;"")*($AS$11:$AS186&lt;&gt;"✓")),"")</f>
        <v/>
      </c>
      <c r="AZ186" s="21" t="str">
        <f>IF(AND($AM186&lt;&gt;"",$AS186="✓"),SUMPRODUCT(($AM$11:$AM186&lt;&gt;"")*($AS$11:$AS186="✓")),"")</f>
        <v/>
      </c>
      <c r="BA186" s="21" t="str">
        <f>IF($AL186="","",$AL186&amp;"|"&amp;COUNTIF($AL$11:$AL186,$AL186))</f>
        <v/>
      </c>
    </row>
    <row r="187" spans="2:53" ht="15" customHeight="1" x14ac:dyDescent="0.25">
      <c r="B187" s="5" t="str">
        <f t="shared" si="30"/>
        <v/>
      </c>
      <c r="C187" s="5"/>
      <c r="D187" s="5"/>
      <c r="E187" s="5"/>
      <c r="F187" s="6"/>
      <c r="G187" s="6"/>
      <c r="H187" s="7"/>
      <c r="I187" s="8"/>
      <c r="K187" s="9" t="str">
        <f>IFERROR(INDEX($AL$11:$AL$4010,MATCH(177,$AX$11:$AX$4010,0)),"")</f>
        <v/>
      </c>
      <c r="L187" s="10" t="str">
        <f t="shared" si="31"/>
        <v/>
      </c>
      <c r="M187" s="11" t="str">
        <f t="shared" si="32"/>
        <v/>
      </c>
      <c r="N187" s="11" t="str">
        <f t="shared" si="33"/>
        <v/>
      </c>
      <c r="P187" s="12" t="str">
        <f>IFERROR(INDEX($AM$11:$AM$4010,MATCH($S$8&amp;"|"&amp;177,$BA$11:$BA$4010,0)),"")</f>
        <v/>
      </c>
      <c r="Q187" s="11" t="str">
        <f>IF(P187="","",IFERROR(INDEX($AN$11:$AN$4010,MATCH($S$8&amp;"|"&amp;177,$BA$11:$BA$4010,0)),""))</f>
        <v/>
      </c>
      <c r="R187" s="11" t="str">
        <f>IF(P187="","",IFERROR(INDEX($AO$11:$AO$4010,MATCH($S$8&amp;"|"&amp;177,$BA$11:$BA$4010,0)),""))</f>
        <v/>
      </c>
      <c r="S187" s="10" t="str">
        <f>IF(P187="","",IFERROR(INDEX($AP$11:$AP$4010,MATCH($S$8&amp;"|"&amp;177,$BA$11:$BA$4010,0)),""))</f>
        <v/>
      </c>
      <c r="T187" s="10" t="str">
        <f>IF(P187="","",IFERROR(INDEX($AQ$11:$AQ$4010,MATCH($S$8&amp;"|"&amp;177,$BA$11:$BA$4010,0)),""))</f>
        <v/>
      </c>
      <c r="U187" s="39" t="str">
        <f t="shared" si="44"/>
        <v/>
      </c>
      <c r="W187" s="14" t="str">
        <f>IF(X187="","",IFERROR(INDEX($AL$11:$AL$4010,MATCH(177,$AY$11:$AY$4010,0)),""))</f>
        <v/>
      </c>
      <c r="X187" s="12" t="str">
        <f>IFERROR(INDEX($AM$11:$AM$4010,MATCH(177,$AY$11:$AY$4010,0)),"")</f>
        <v/>
      </c>
      <c r="Y187" s="11" t="str">
        <f>IF(X187="","",IFERROR(INDEX($AN$11:$AN$4010,MATCH(177,$AY$11:$AY$4010,0)),""))</f>
        <v/>
      </c>
      <c r="Z187" s="11" t="str">
        <f>IF(X187="","",IFERROR(INDEX($AO$11:$AO$4010,MATCH(177,$AY$11:$AY$4010,0)),""))</f>
        <v/>
      </c>
      <c r="AA187" s="10" t="str">
        <f>IF(X187="","",IFERROR(INDEX($AQ$11:$AQ$4010,MATCH(177,$AY$11:$AY$4010,0)),""))</f>
        <v/>
      </c>
      <c r="AB187" s="15" t="str">
        <f>IF(X187="","",IFERROR(INDEX($AR$11:$AR$4010,MATCH(177,$AY$11:$AY$4010,0)),""))</f>
        <v/>
      </c>
      <c r="AD187" s="16" t="str">
        <f>IF(AE187="","",IFERROR(INDEX($AL$11:$AL$4010,MATCH(177,$AZ$11:$AZ$4010,0)),""))</f>
        <v/>
      </c>
      <c r="AE187" s="12" t="str">
        <f>IFERROR(INDEX($AM$11:$AM$4010,MATCH(177,$AZ$11:$AZ$4010,0)),"")</f>
        <v/>
      </c>
      <c r="AF187" s="11" t="str">
        <f>IF(AE187="","",IFERROR(INDEX($AN$11:$AN$4010,MATCH(177,$AZ$11:$AZ$4010,0)),""))</f>
        <v/>
      </c>
      <c r="AG187" s="11" t="str">
        <f>IF(AE187="","",IFERROR(INDEX($AO$11:$AO$4010,MATCH(177,$AZ$11:$AZ$4010,0)),""))</f>
        <v/>
      </c>
      <c r="AH187" s="10" t="str">
        <f>IF(AE187="","",IFERROR(INDEX($AQ$11:$AQ$4010,MATCH(177,$AZ$11:$AZ$4010,0)),""))</f>
        <v/>
      </c>
      <c r="AI187" s="15" t="str">
        <f>IF(AE187="","",IFERROR(INDEX($AR$11:$AR$4010,MATCH(177,$AZ$11:$AZ$4010,0)),""))</f>
        <v/>
      </c>
      <c r="AJ187" s="15" t="str">
        <f>IF(AE187="","",IFERROR(INDEX($AT$11:$AT$4010,MATCH(177,$AZ$11:$AZ$4010,0)),""))</f>
        <v/>
      </c>
      <c r="AL187" s="17" t="str">
        <f t="shared" si="35"/>
        <v/>
      </c>
      <c r="AM187" s="12" t="str">
        <f t="shared" si="36"/>
        <v/>
      </c>
      <c r="AN187" s="18" t="str">
        <f t="shared" si="37"/>
        <v/>
      </c>
      <c r="AO187" s="18" t="str">
        <f t="shared" si="38"/>
        <v/>
      </c>
      <c r="AP187" s="10" t="str">
        <f t="shared" si="39"/>
        <v/>
      </c>
      <c r="AQ187" s="10" t="str">
        <f t="shared" si="40"/>
        <v/>
      </c>
      <c r="AR187" s="19" t="str">
        <f t="shared" si="41"/>
        <v/>
      </c>
      <c r="AS187" s="20"/>
      <c r="AT187" s="19"/>
      <c r="AV187" s="21">
        <f>IF(AND($AL187&lt;&gt;"",COUNTIF($AL$11:$AL187,$AL187)=1),1,0)</f>
        <v>0</v>
      </c>
      <c r="AW187" s="21">
        <f t="shared" si="43"/>
        <v>0</v>
      </c>
      <c r="AX187" s="21" t="str">
        <f t="shared" si="42"/>
        <v/>
      </c>
      <c r="AY187" s="21" t="str">
        <f>IF(AND($AM187&lt;&gt;"",$AS187&lt;&gt;"✓"),SUMPRODUCT(($AM$11:$AM187&lt;&gt;"")*($AS$11:$AS187&lt;&gt;"✓")),"")</f>
        <v/>
      </c>
      <c r="AZ187" s="21" t="str">
        <f>IF(AND($AM187&lt;&gt;"",$AS187="✓"),SUMPRODUCT(($AM$11:$AM187&lt;&gt;"")*($AS$11:$AS187="✓")),"")</f>
        <v/>
      </c>
      <c r="BA187" s="21" t="str">
        <f>IF($AL187="","",$AL187&amp;"|"&amp;COUNTIF($AL$11:$AL187,$AL187))</f>
        <v/>
      </c>
    </row>
    <row r="188" spans="2:53" ht="15" customHeight="1" x14ac:dyDescent="0.25">
      <c r="B188" s="5" t="str">
        <f t="shared" si="30"/>
        <v/>
      </c>
      <c r="C188" s="5"/>
      <c r="D188" s="5"/>
      <c r="E188" s="5"/>
      <c r="F188" s="6"/>
      <c r="G188" s="6"/>
      <c r="H188" s="7"/>
      <c r="I188" s="8"/>
      <c r="K188" s="23" t="str">
        <f>IFERROR(INDEX($AL$11:$AL$4010,MATCH(178,$AX$11:$AX$4010,0)),"")</f>
        <v/>
      </c>
      <c r="L188" s="24" t="str">
        <f t="shared" si="31"/>
        <v/>
      </c>
      <c r="M188" s="25" t="str">
        <f t="shared" si="32"/>
        <v/>
      </c>
      <c r="N188" s="25" t="str">
        <f t="shared" si="33"/>
        <v/>
      </c>
      <c r="P188" s="26" t="str">
        <f>IFERROR(INDEX($AM$11:$AM$4010,MATCH($S$8&amp;"|"&amp;178,$BA$11:$BA$4010,0)),"")</f>
        <v/>
      </c>
      <c r="Q188" s="25" t="str">
        <f>IF(P188="","",IFERROR(INDEX($AN$11:$AN$4010,MATCH($S$8&amp;"|"&amp;178,$BA$11:$BA$4010,0)),""))</f>
        <v/>
      </c>
      <c r="R188" s="25" t="str">
        <f>IF(P188="","",IFERROR(INDEX($AO$11:$AO$4010,MATCH($S$8&amp;"|"&amp;178,$BA$11:$BA$4010,0)),""))</f>
        <v/>
      </c>
      <c r="S188" s="24" t="str">
        <f>IF(P188="","",IFERROR(INDEX($AP$11:$AP$4010,MATCH($S$8&amp;"|"&amp;178,$BA$11:$BA$4010,0)),""))</f>
        <v/>
      </c>
      <c r="T188" s="24" t="str">
        <f>IF(P188="","",IFERROR(INDEX($AQ$11:$AQ$4010,MATCH($S$8&amp;"|"&amp;178,$BA$11:$BA$4010,0)),""))</f>
        <v/>
      </c>
      <c r="U188" s="38" t="str">
        <f t="shared" si="44"/>
        <v/>
      </c>
      <c r="W188" s="28" t="str">
        <f>IF(X188="","",IFERROR(INDEX($AL$11:$AL$4010,MATCH(178,$AY$11:$AY$4010,0)),""))</f>
        <v/>
      </c>
      <c r="X188" s="26" t="str">
        <f>IFERROR(INDEX($AM$11:$AM$4010,MATCH(178,$AY$11:$AY$4010,0)),"")</f>
        <v/>
      </c>
      <c r="Y188" s="25" t="str">
        <f>IF(X188="","",IFERROR(INDEX($AN$11:$AN$4010,MATCH(178,$AY$11:$AY$4010,0)),""))</f>
        <v/>
      </c>
      <c r="Z188" s="25" t="str">
        <f>IF(X188="","",IFERROR(INDEX($AO$11:$AO$4010,MATCH(178,$AY$11:$AY$4010,0)),""))</f>
        <v/>
      </c>
      <c r="AA188" s="24" t="str">
        <f>IF(X188="","",IFERROR(INDEX($AQ$11:$AQ$4010,MATCH(178,$AY$11:$AY$4010,0)),""))</f>
        <v/>
      </c>
      <c r="AB188" s="29" t="str">
        <f>IF(X188="","",IFERROR(INDEX($AR$11:$AR$4010,MATCH(178,$AY$11:$AY$4010,0)),""))</f>
        <v/>
      </c>
      <c r="AD188" s="30" t="str">
        <f>IF(AE188="","",IFERROR(INDEX($AL$11:$AL$4010,MATCH(178,$AZ$11:$AZ$4010,0)),""))</f>
        <v/>
      </c>
      <c r="AE188" s="26" t="str">
        <f>IFERROR(INDEX($AM$11:$AM$4010,MATCH(178,$AZ$11:$AZ$4010,0)),"")</f>
        <v/>
      </c>
      <c r="AF188" s="25" t="str">
        <f>IF(AE188="","",IFERROR(INDEX($AN$11:$AN$4010,MATCH(178,$AZ$11:$AZ$4010,0)),""))</f>
        <v/>
      </c>
      <c r="AG188" s="25" t="str">
        <f>IF(AE188="","",IFERROR(INDEX($AO$11:$AO$4010,MATCH(178,$AZ$11:$AZ$4010,0)),""))</f>
        <v/>
      </c>
      <c r="AH188" s="24" t="str">
        <f>IF(AE188="","",IFERROR(INDEX($AQ$11:$AQ$4010,MATCH(178,$AZ$11:$AZ$4010,0)),""))</f>
        <v/>
      </c>
      <c r="AI188" s="29" t="str">
        <f>IF(AE188="","",IFERROR(INDEX($AR$11:$AR$4010,MATCH(178,$AZ$11:$AZ$4010,0)),""))</f>
        <v/>
      </c>
      <c r="AJ188" s="29" t="str">
        <f>IF(AE188="","",IFERROR(INDEX($AT$11:$AT$4010,MATCH(178,$AZ$11:$AZ$4010,0)),""))</f>
        <v/>
      </c>
      <c r="AL188" s="31" t="str">
        <f t="shared" si="35"/>
        <v/>
      </c>
      <c r="AM188" s="26" t="str">
        <f t="shared" si="36"/>
        <v/>
      </c>
      <c r="AN188" s="32" t="str">
        <f t="shared" si="37"/>
        <v/>
      </c>
      <c r="AO188" s="32" t="str">
        <f t="shared" si="38"/>
        <v/>
      </c>
      <c r="AP188" s="24" t="str">
        <f t="shared" si="39"/>
        <v/>
      </c>
      <c r="AQ188" s="24" t="str">
        <f t="shared" si="40"/>
        <v/>
      </c>
      <c r="AR188" s="33" t="str">
        <f t="shared" si="41"/>
        <v/>
      </c>
      <c r="AS188" s="34"/>
      <c r="AT188" s="33"/>
      <c r="AV188" s="21">
        <f>IF(AND($AL188&lt;&gt;"",COUNTIF($AL$11:$AL188,$AL188)=1),1,0)</f>
        <v>0</v>
      </c>
      <c r="AW188" s="21">
        <f t="shared" si="43"/>
        <v>0</v>
      </c>
      <c r="AX188" s="21" t="str">
        <f t="shared" si="42"/>
        <v/>
      </c>
      <c r="AY188" s="21" t="str">
        <f>IF(AND($AM188&lt;&gt;"",$AS188&lt;&gt;"✓"),SUMPRODUCT(($AM$11:$AM188&lt;&gt;"")*($AS$11:$AS188&lt;&gt;"✓")),"")</f>
        <v/>
      </c>
      <c r="AZ188" s="21" t="str">
        <f>IF(AND($AM188&lt;&gt;"",$AS188="✓"),SUMPRODUCT(($AM$11:$AM188&lt;&gt;"")*($AS$11:$AS188="✓")),"")</f>
        <v/>
      </c>
      <c r="BA188" s="21" t="str">
        <f>IF($AL188="","",$AL188&amp;"|"&amp;COUNTIF($AL$11:$AL188,$AL188))</f>
        <v/>
      </c>
    </row>
    <row r="189" spans="2:53" ht="15" customHeight="1" x14ac:dyDescent="0.25">
      <c r="B189" s="5" t="str">
        <f t="shared" si="30"/>
        <v/>
      </c>
      <c r="C189" s="5"/>
      <c r="D189" s="5"/>
      <c r="E189" s="5"/>
      <c r="F189" s="6"/>
      <c r="G189" s="6"/>
      <c r="H189" s="7"/>
      <c r="I189" s="8"/>
      <c r="K189" s="9" t="str">
        <f>IFERROR(INDEX($AL$11:$AL$4010,MATCH(179,$AX$11:$AX$4010,0)),"")</f>
        <v/>
      </c>
      <c r="L189" s="10" t="str">
        <f t="shared" si="31"/>
        <v/>
      </c>
      <c r="M189" s="11" t="str">
        <f t="shared" si="32"/>
        <v/>
      </c>
      <c r="N189" s="11" t="str">
        <f t="shared" si="33"/>
        <v/>
      </c>
      <c r="P189" s="12" t="str">
        <f>IFERROR(INDEX($AM$11:$AM$4010,MATCH($S$8&amp;"|"&amp;179,$BA$11:$BA$4010,0)),"")</f>
        <v/>
      </c>
      <c r="Q189" s="11" t="str">
        <f>IF(P189="","",IFERROR(INDEX($AN$11:$AN$4010,MATCH($S$8&amp;"|"&amp;179,$BA$11:$BA$4010,0)),""))</f>
        <v/>
      </c>
      <c r="R189" s="11" t="str">
        <f>IF(P189="","",IFERROR(INDEX($AO$11:$AO$4010,MATCH($S$8&amp;"|"&amp;179,$BA$11:$BA$4010,0)),""))</f>
        <v/>
      </c>
      <c r="S189" s="10" t="str">
        <f>IF(P189="","",IFERROR(INDEX($AP$11:$AP$4010,MATCH($S$8&amp;"|"&amp;179,$BA$11:$BA$4010,0)),""))</f>
        <v/>
      </c>
      <c r="T189" s="10" t="str">
        <f>IF(P189="","",IFERROR(INDEX($AQ$11:$AQ$4010,MATCH($S$8&amp;"|"&amp;179,$BA$11:$BA$4010,0)),""))</f>
        <v/>
      </c>
      <c r="U189" s="39" t="str">
        <f t="shared" si="44"/>
        <v/>
      </c>
      <c r="W189" s="14" t="str">
        <f>IF(X189="","",IFERROR(INDEX($AL$11:$AL$4010,MATCH(179,$AY$11:$AY$4010,0)),""))</f>
        <v/>
      </c>
      <c r="X189" s="12" t="str">
        <f>IFERROR(INDEX($AM$11:$AM$4010,MATCH(179,$AY$11:$AY$4010,0)),"")</f>
        <v/>
      </c>
      <c r="Y189" s="11" t="str">
        <f>IF(X189="","",IFERROR(INDEX($AN$11:$AN$4010,MATCH(179,$AY$11:$AY$4010,0)),""))</f>
        <v/>
      </c>
      <c r="Z189" s="11" t="str">
        <f>IF(X189="","",IFERROR(INDEX($AO$11:$AO$4010,MATCH(179,$AY$11:$AY$4010,0)),""))</f>
        <v/>
      </c>
      <c r="AA189" s="10" t="str">
        <f>IF(X189="","",IFERROR(INDEX($AQ$11:$AQ$4010,MATCH(179,$AY$11:$AY$4010,0)),""))</f>
        <v/>
      </c>
      <c r="AB189" s="15" t="str">
        <f>IF(X189="","",IFERROR(INDEX($AR$11:$AR$4010,MATCH(179,$AY$11:$AY$4010,0)),""))</f>
        <v/>
      </c>
      <c r="AD189" s="16" t="str">
        <f>IF(AE189="","",IFERROR(INDEX($AL$11:$AL$4010,MATCH(179,$AZ$11:$AZ$4010,0)),""))</f>
        <v/>
      </c>
      <c r="AE189" s="12" t="str">
        <f>IFERROR(INDEX($AM$11:$AM$4010,MATCH(179,$AZ$11:$AZ$4010,0)),"")</f>
        <v/>
      </c>
      <c r="AF189" s="11" t="str">
        <f>IF(AE189="","",IFERROR(INDEX($AN$11:$AN$4010,MATCH(179,$AZ$11:$AZ$4010,0)),""))</f>
        <v/>
      </c>
      <c r="AG189" s="11" t="str">
        <f>IF(AE189="","",IFERROR(INDEX($AO$11:$AO$4010,MATCH(179,$AZ$11:$AZ$4010,0)),""))</f>
        <v/>
      </c>
      <c r="AH189" s="10" t="str">
        <f>IF(AE189="","",IFERROR(INDEX($AQ$11:$AQ$4010,MATCH(179,$AZ$11:$AZ$4010,0)),""))</f>
        <v/>
      </c>
      <c r="AI189" s="15" t="str">
        <f>IF(AE189="","",IFERROR(INDEX($AR$11:$AR$4010,MATCH(179,$AZ$11:$AZ$4010,0)),""))</f>
        <v/>
      </c>
      <c r="AJ189" s="15" t="str">
        <f>IF(AE189="","",IFERROR(INDEX($AT$11:$AT$4010,MATCH(179,$AZ$11:$AZ$4010,0)),""))</f>
        <v/>
      </c>
      <c r="AL189" s="17" t="str">
        <f t="shared" si="35"/>
        <v/>
      </c>
      <c r="AM189" s="12" t="str">
        <f t="shared" si="36"/>
        <v/>
      </c>
      <c r="AN189" s="18" t="str">
        <f t="shared" si="37"/>
        <v/>
      </c>
      <c r="AO189" s="18" t="str">
        <f t="shared" si="38"/>
        <v/>
      </c>
      <c r="AP189" s="10" t="str">
        <f t="shared" si="39"/>
        <v/>
      </c>
      <c r="AQ189" s="10" t="str">
        <f t="shared" si="40"/>
        <v/>
      </c>
      <c r="AR189" s="19" t="str">
        <f t="shared" si="41"/>
        <v/>
      </c>
      <c r="AS189" s="20"/>
      <c r="AT189" s="19"/>
      <c r="AV189" s="21">
        <f>IF(AND($AL189&lt;&gt;"",COUNTIF($AL$11:$AL189,$AL189)=1),1,0)</f>
        <v>0</v>
      </c>
      <c r="AW189" s="21">
        <f t="shared" si="43"/>
        <v>0</v>
      </c>
      <c r="AX189" s="21" t="str">
        <f t="shared" si="42"/>
        <v/>
      </c>
      <c r="AY189" s="21" t="str">
        <f>IF(AND($AM189&lt;&gt;"",$AS189&lt;&gt;"✓"),SUMPRODUCT(($AM$11:$AM189&lt;&gt;"")*($AS$11:$AS189&lt;&gt;"✓")),"")</f>
        <v/>
      </c>
      <c r="AZ189" s="21" t="str">
        <f>IF(AND($AM189&lt;&gt;"",$AS189="✓"),SUMPRODUCT(($AM$11:$AM189&lt;&gt;"")*($AS$11:$AS189="✓")),"")</f>
        <v/>
      </c>
      <c r="BA189" s="21" t="str">
        <f>IF($AL189="","",$AL189&amp;"|"&amp;COUNTIF($AL$11:$AL189,$AL189))</f>
        <v/>
      </c>
    </row>
    <row r="190" spans="2:53" ht="15" customHeight="1" x14ac:dyDescent="0.25">
      <c r="B190" s="5" t="str">
        <f t="shared" si="30"/>
        <v/>
      </c>
      <c r="C190" s="5"/>
      <c r="D190" s="5"/>
      <c r="E190" s="5"/>
      <c r="F190" s="6"/>
      <c r="G190" s="6"/>
      <c r="H190" s="7"/>
      <c r="I190" s="8"/>
      <c r="K190" s="23" t="str">
        <f>IFERROR(INDEX($AL$11:$AL$4010,MATCH(180,$AX$11:$AX$4010,0)),"")</f>
        <v/>
      </c>
      <c r="L190" s="24" t="str">
        <f t="shared" si="31"/>
        <v/>
      </c>
      <c r="M190" s="25" t="str">
        <f t="shared" si="32"/>
        <v/>
      </c>
      <c r="N190" s="25" t="str">
        <f t="shared" si="33"/>
        <v/>
      </c>
      <c r="P190" s="26" t="str">
        <f>IFERROR(INDEX($AM$11:$AM$4010,MATCH($S$8&amp;"|"&amp;180,$BA$11:$BA$4010,0)),"")</f>
        <v/>
      </c>
      <c r="Q190" s="25" t="str">
        <f>IF(P190="","",IFERROR(INDEX($AN$11:$AN$4010,MATCH($S$8&amp;"|"&amp;180,$BA$11:$BA$4010,0)),""))</f>
        <v/>
      </c>
      <c r="R190" s="25" t="str">
        <f>IF(P190="","",IFERROR(INDEX($AO$11:$AO$4010,MATCH($S$8&amp;"|"&amp;180,$BA$11:$BA$4010,0)),""))</f>
        <v/>
      </c>
      <c r="S190" s="24" t="str">
        <f>IF(P190="","",IFERROR(INDEX($AP$11:$AP$4010,MATCH($S$8&amp;"|"&amp;180,$BA$11:$BA$4010,0)),""))</f>
        <v/>
      </c>
      <c r="T190" s="24" t="str">
        <f>IF(P190="","",IFERROR(INDEX($AQ$11:$AQ$4010,MATCH($S$8&amp;"|"&amp;180,$BA$11:$BA$4010,0)),""))</f>
        <v/>
      </c>
      <c r="U190" s="38" t="str">
        <f t="shared" si="44"/>
        <v/>
      </c>
      <c r="W190" s="28" t="str">
        <f>IF(X190="","",IFERROR(INDEX($AL$11:$AL$4010,MATCH(180,$AY$11:$AY$4010,0)),""))</f>
        <v/>
      </c>
      <c r="X190" s="26" t="str">
        <f>IFERROR(INDEX($AM$11:$AM$4010,MATCH(180,$AY$11:$AY$4010,0)),"")</f>
        <v/>
      </c>
      <c r="Y190" s="25" t="str">
        <f>IF(X190="","",IFERROR(INDEX($AN$11:$AN$4010,MATCH(180,$AY$11:$AY$4010,0)),""))</f>
        <v/>
      </c>
      <c r="Z190" s="25" t="str">
        <f>IF(X190="","",IFERROR(INDEX($AO$11:$AO$4010,MATCH(180,$AY$11:$AY$4010,0)),""))</f>
        <v/>
      </c>
      <c r="AA190" s="24" t="str">
        <f>IF(X190="","",IFERROR(INDEX($AQ$11:$AQ$4010,MATCH(180,$AY$11:$AY$4010,0)),""))</f>
        <v/>
      </c>
      <c r="AB190" s="29" t="str">
        <f>IF(X190="","",IFERROR(INDEX($AR$11:$AR$4010,MATCH(180,$AY$11:$AY$4010,0)),""))</f>
        <v/>
      </c>
      <c r="AD190" s="30" t="str">
        <f>IF(AE190="","",IFERROR(INDEX($AL$11:$AL$4010,MATCH(180,$AZ$11:$AZ$4010,0)),""))</f>
        <v/>
      </c>
      <c r="AE190" s="26" t="str">
        <f>IFERROR(INDEX($AM$11:$AM$4010,MATCH(180,$AZ$11:$AZ$4010,0)),"")</f>
        <v/>
      </c>
      <c r="AF190" s="25" t="str">
        <f>IF(AE190="","",IFERROR(INDEX($AN$11:$AN$4010,MATCH(180,$AZ$11:$AZ$4010,0)),""))</f>
        <v/>
      </c>
      <c r="AG190" s="25" t="str">
        <f>IF(AE190="","",IFERROR(INDEX($AO$11:$AO$4010,MATCH(180,$AZ$11:$AZ$4010,0)),""))</f>
        <v/>
      </c>
      <c r="AH190" s="24" t="str">
        <f>IF(AE190="","",IFERROR(INDEX($AQ$11:$AQ$4010,MATCH(180,$AZ$11:$AZ$4010,0)),""))</f>
        <v/>
      </c>
      <c r="AI190" s="29" t="str">
        <f>IF(AE190="","",IFERROR(INDEX($AR$11:$AR$4010,MATCH(180,$AZ$11:$AZ$4010,0)),""))</f>
        <v/>
      </c>
      <c r="AJ190" s="29" t="str">
        <f>IF(AE190="","",IFERROR(INDEX($AT$11:$AT$4010,MATCH(180,$AZ$11:$AZ$4010,0)),""))</f>
        <v/>
      </c>
      <c r="AL190" s="31" t="str">
        <f t="shared" si="35"/>
        <v/>
      </c>
      <c r="AM190" s="26" t="str">
        <f t="shared" si="36"/>
        <v/>
      </c>
      <c r="AN190" s="32" t="str">
        <f t="shared" si="37"/>
        <v/>
      </c>
      <c r="AO190" s="32" t="str">
        <f t="shared" si="38"/>
        <v/>
      </c>
      <c r="AP190" s="24" t="str">
        <f t="shared" si="39"/>
        <v/>
      </c>
      <c r="AQ190" s="24" t="str">
        <f t="shared" si="40"/>
        <v/>
      </c>
      <c r="AR190" s="33" t="str">
        <f t="shared" si="41"/>
        <v/>
      </c>
      <c r="AS190" s="34"/>
      <c r="AT190" s="33"/>
      <c r="AV190" s="21">
        <f>IF(AND($AL190&lt;&gt;"",COUNTIF($AL$11:$AL190,$AL190)=1),1,0)</f>
        <v>0</v>
      </c>
      <c r="AW190" s="21">
        <f t="shared" si="43"/>
        <v>0</v>
      </c>
      <c r="AX190" s="21" t="str">
        <f t="shared" si="42"/>
        <v/>
      </c>
      <c r="AY190" s="21" t="str">
        <f>IF(AND($AM190&lt;&gt;"",$AS190&lt;&gt;"✓"),SUMPRODUCT(($AM$11:$AM190&lt;&gt;"")*($AS$11:$AS190&lt;&gt;"✓")),"")</f>
        <v/>
      </c>
      <c r="AZ190" s="21" t="str">
        <f>IF(AND($AM190&lt;&gt;"",$AS190="✓"),SUMPRODUCT(($AM$11:$AM190&lt;&gt;"")*($AS$11:$AS190="✓")),"")</f>
        <v/>
      </c>
      <c r="BA190" s="21" t="str">
        <f>IF($AL190="","",$AL190&amp;"|"&amp;COUNTIF($AL$11:$AL190,$AL190))</f>
        <v/>
      </c>
    </row>
    <row r="191" spans="2:53" ht="15" customHeight="1" x14ac:dyDescent="0.25">
      <c r="B191" s="5" t="str">
        <f t="shared" si="30"/>
        <v/>
      </c>
      <c r="C191" s="5"/>
      <c r="D191" s="5"/>
      <c r="E191" s="5"/>
      <c r="F191" s="6"/>
      <c r="G191" s="6"/>
      <c r="H191" s="7"/>
      <c r="I191" s="8"/>
      <c r="K191" s="9" t="str">
        <f>IFERROR(INDEX($AL$11:$AL$4010,MATCH(181,$AX$11:$AX$4010,0)),"")</f>
        <v/>
      </c>
      <c r="L191" s="10" t="str">
        <f t="shared" si="31"/>
        <v/>
      </c>
      <c r="M191" s="11" t="str">
        <f t="shared" si="32"/>
        <v/>
      </c>
      <c r="N191" s="11" t="str">
        <f t="shared" si="33"/>
        <v/>
      </c>
      <c r="P191" s="12" t="str">
        <f>IFERROR(INDEX($AM$11:$AM$4010,MATCH($S$8&amp;"|"&amp;181,$BA$11:$BA$4010,0)),"")</f>
        <v/>
      </c>
      <c r="Q191" s="11" t="str">
        <f>IF(P191="","",IFERROR(INDEX($AN$11:$AN$4010,MATCH($S$8&amp;"|"&amp;181,$BA$11:$BA$4010,0)),""))</f>
        <v/>
      </c>
      <c r="R191" s="11" t="str">
        <f>IF(P191="","",IFERROR(INDEX($AO$11:$AO$4010,MATCH($S$8&amp;"|"&amp;181,$BA$11:$BA$4010,0)),""))</f>
        <v/>
      </c>
      <c r="S191" s="10" t="str">
        <f>IF(P191="","",IFERROR(INDEX($AP$11:$AP$4010,MATCH($S$8&amp;"|"&amp;181,$BA$11:$BA$4010,0)),""))</f>
        <v/>
      </c>
      <c r="T191" s="10" t="str">
        <f>IF(P191="","",IFERROR(INDEX($AQ$11:$AQ$4010,MATCH($S$8&amp;"|"&amp;181,$BA$11:$BA$4010,0)),""))</f>
        <v/>
      </c>
      <c r="U191" s="39" t="str">
        <f t="shared" si="44"/>
        <v/>
      </c>
      <c r="W191" s="14" t="str">
        <f>IF(X191="","",IFERROR(INDEX($AL$11:$AL$4010,MATCH(181,$AY$11:$AY$4010,0)),""))</f>
        <v/>
      </c>
      <c r="X191" s="12" t="str">
        <f>IFERROR(INDEX($AM$11:$AM$4010,MATCH(181,$AY$11:$AY$4010,0)),"")</f>
        <v/>
      </c>
      <c r="Y191" s="11" t="str">
        <f>IF(X191="","",IFERROR(INDEX($AN$11:$AN$4010,MATCH(181,$AY$11:$AY$4010,0)),""))</f>
        <v/>
      </c>
      <c r="Z191" s="11" t="str">
        <f>IF(X191="","",IFERROR(INDEX($AO$11:$AO$4010,MATCH(181,$AY$11:$AY$4010,0)),""))</f>
        <v/>
      </c>
      <c r="AA191" s="10" t="str">
        <f>IF(X191="","",IFERROR(INDEX($AQ$11:$AQ$4010,MATCH(181,$AY$11:$AY$4010,0)),""))</f>
        <v/>
      </c>
      <c r="AB191" s="15" t="str">
        <f>IF(X191="","",IFERROR(INDEX($AR$11:$AR$4010,MATCH(181,$AY$11:$AY$4010,0)),""))</f>
        <v/>
      </c>
      <c r="AD191" s="16" t="str">
        <f>IF(AE191="","",IFERROR(INDEX($AL$11:$AL$4010,MATCH(181,$AZ$11:$AZ$4010,0)),""))</f>
        <v/>
      </c>
      <c r="AE191" s="12" t="str">
        <f>IFERROR(INDEX($AM$11:$AM$4010,MATCH(181,$AZ$11:$AZ$4010,0)),"")</f>
        <v/>
      </c>
      <c r="AF191" s="11" t="str">
        <f>IF(AE191="","",IFERROR(INDEX($AN$11:$AN$4010,MATCH(181,$AZ$11:$AZ$4010,0)),""))</f>
        <v/>
      </c>
      <c r="AG191" s="11" t="str">
        <f>IF(AE191="","",IFERROR(INDEX($AO$11:$AO$4010,MATCH(181,$AZ$11:$AZ$4010,0)),""))</f>
        <v/>
      </c>
      <c r="AH191" s="10" t="str">
        <f>IF(AE191="","",IFERROR(INDEX($AQ$11:$AQ$4010,MATCH(181,$AZ$11:$AZ$4010,0)),""))</f>
        <v/>
      </c>
      <c r="AI191" s="15" t="str">
        <f>IF(AE191="","",IFERROR(INDEX($AR$11:$AR$4010,MATCH(181,$AZ$11:$AZ$4010,0)),""))</f>
        <v/>
      </c>
      <c r="AJ191" s="15" t="str">
        <f>IF(AE191="","",IFERROR(INDEX($AT$11:$AT$4010,MATCH(181,$AZ$11:$AZ$4010,0)),""))</f>
        <v/>
      </c>
      <c r="AL191" s="17" t="str">
        <f t="shared" si="35"/>
        <v/>
      </c>
      <c r="AM191" s="12" t="str">
        <f t="shared" si="36"/>
        <v/>
      </c>
      <c r="AN191" s="18" t="str">
        <f t="shared" si="37"/>
        <v/>
      </c>
      <c r="AO191" s="18" t="str">
        <f t="shared" si="38"/>
        <v/>
      </c>
      <c r="AP191" s="10" t="str">
        <f t="shared" si="39"/>
        <v/>
      </c>
      <c r="AQ191" s="10" t="str">
        <f t="shared" si="40"/>
        <v/>
      </c>
      <c r="AR191" s="19" t="str">
        <f t="shared" si="41"/>
        <v/>
      </c>
      <c r="AS191" s="20"/>
      <c r="AT191" s="19"/>
      <c r="AV191" s="21">
        <f>IF(AND($AL191&lt;&gt;"",COUNTIF($AL$11:$AL191,$AL191)=1),1,0)</f>
        <v>0</v>
      </c>
      <c r="AW191" s="21">
        <f t="shared" si="43"/>
        <v>0</v>
      </c>
      <c r="AX191" s="21" t="str">
        <f t="shared" si="42"/>
        <v/>
      </c>
      <c r="AY191" s="21" t="str">
        <f>IF(AND($AM191&lt;&gt;"",$AS191&lt;&gt;"✓"),SUMPRODUCT(($AM$11:$AM191&lt;&gt;"")*($AS$11:$AS191&lt;&gt;"✓")),"")</f>
        <v/>
      </c>
      <c r="AZ191" s="21" t="str">
        <f>IF(AND($AM191&lt;&gt;"",$AS191="✓"),SUMPRODUCT(($AM$11:$AM191&lt;&gt;"")*($AS$11:$AS191="✓")),"")</f>
        <v/>
      </c>
      <c r="BA191" s="21" t="str">
        <f>IF($AL191="","",$AL191&amp;"|"&amp;COUNTIF($AL$11:$AL191,$AL191))</f>
        <v/>
      </c>
    </row>
    <row r="192" spans="2:53" ht="15" customHeight="1" x14ac:dyDescent="0.25">
      <c r="B192" s="5" t="str">
        <f t="shared" si="30"/>
        <v/>
      </c>
      <c r="C192" s="5"/>
      <c r="D192" s="5"/>
      <c r="E192" s="5"/>
      <c r="F192" s="6"/>
      <c r="G192" s="6"/>
      <c r="H192" s="7"/>
      <c r="I192" s="8"/>
      <c r="K192" s="23" t="str">
        <f>IFERROR(INDEX($AL$11:$AL$4010,MATCH(182,$AX$11:$AX$4010,0)),"")</f>
        <v/>
      </c>
      <c r="L192" s="24" t="str">
        <f t="shared" si="31"/>
        <v/>
      </c>
      <c r="M192" s="25" t="str">
        <f t="shared" si="32"/>
        <v/>
      </c>
      <c r="N192" s="25" t="str">
        <f t="shared" si="33"/>
        <v/>
      </c>
      <c r="P192" s="26" t="str">
        <f>IFERROR(INDEX($AM$11:$AM$4010,MATCH($S$8&amp;"|"&amp;182,$BA$11:$BA$4010,0)),"")</f>
        <v/>
      </c>
      <c r="Q192" s="25" t="str">
        <f>IF(P192="","",IFERROR(INDEX($AN$11:$AN$4010,MATCH($S$8&amp;"|"&amp;182,$BA$11:$BA$4010,0)),""))</f>
        <v/>
      </c>
      <c r="R192" s="25" t="str">
        <f>IF(P192="","",IFERROR(INDEX($AO$11:$AO$4010,MATCH($S$8&amp;"|"&amp;182,$BA$11:$BA$4010,0)),""))</f>
        <v/>
      </c>
      <c r="S192" s="24" t="str">
        <f>IF(P192="","",IFERROR(INDEX($AP$11:$AP$4010,MATCH($S$8&amp;"|"&amp;182,$BA$11:$BA$4010,0)),""))</f>
        <v/>
      </c>
      <c r="T192" s="24" t="str">
        <f>IF(P192="","",IFERROR(INDEX($AQ$11:$AQ$4010,MATCH($S$8&amp;"|"&amp;182,$BA$11:$BA$4010,0)),""))</f>
        <v/>
      </c>
      <c r="U192" s="38" t="str">
        <f t="shared" si="44"/>
        <v/>
      </c>
      <c r="W192" s="28" t="str">
        <f>IF(X192="","",IFERROR(INDEX($AL$11:$AL$4010,MATCH(182,$AY$11:$AY$4010,0)),""))</f>
        <v/>
      </c>
      <c r="X192" s="26" t="str">
        <f>IFERROR(INDEX($AM$11:$AM$4010,MATCH(182,$AY$11:$AY$4010,0)),"")</f>
        <v/>
      </c>
      <c r="Y192" s="25" t="str">
        <f>IF(X192="","",IFERROR(INDEX($AN$11:$AN$4010,MATCH(182,$AY$11:$AY$4010,0)),""))</f>
        <v/>
      </c>
      <c r="Z192" s="25" t="str">
        <f>IF(X192="","",IFERROR(INDEX($AO$11:$AO$4010,MATCH(182,$AY$11:$AY$4010,0)),""))</f>
        <v/>
      </c>
      <c r="AA192" s="24" t="str">
        <f>IF(X192="","",IFERROR(INDEX($AQ$11:$AQ$4010,MATCH(182,$AY$11:$AY$4010,0)),""))</f>
        <v/>
      </c>
      <c r="AB192" s="29" t="str">
        <f>IF(X192="","",IFERROR(INDEX($AR$11:$AR$4010,MATCH(182,$AY$11:$AY$4010,0)),""))</f>
        <v/>
      </c>
      <c r="AD192" s="30" t="str">
        <f>IF(AE192="","",IFERROR(INDEX($AL$11:$AL$4010,MATCH(182,$AZ$11:$AZ$4010,0)),""))</f>
        <v/>
      </c>
      <c r="AE192" s="26" t="str">
        <f>IFERROR(INDEX($AM$11:$AM$4010,MATCH(182,$AZ$11:$AZ$4010,0)),"")</f>
        <v/>
      </c>
      <c r="AF192" s="25" t="str">
        <f>IF(AE192="","",IFERROR(INDEX($AN$11:$AN$4010,MATCH(182,$AZ$11:$AZ$4010,0)),""))</f>
        <v/>
      </c>
      <c r="AG192" s="25" t="str">
        <f>IF(AE192="","",IFERROR(INDEX($AO$11:$AO$4010,MATCH(182,$AZ$11:$AZ$4010,0)),""))</f>
        <v/>
      </c>
      <c r="AH192" s="24" t="str">
        <f>IF(AE192="","",IFERROR(INDEX($AQ$11:$AQ$4010,MATCH(182,$AZ$11:$AZ$4010,0)),""))</f>
        <v/>
      </c>
      <c r="AI192" s="29" t="str">
        <f>IF(AE192="","",IFERROR(INDEX($AR$11:$AR$4010,MATCH(182,$AZ$11:$AZ$4010,0)),""))</f>
        <v/>
      </c>
      <c r="AJ192" s="29" t="str">
        <f>IF(AE192="","",IFERROR(INDEX($AT$11:$AT$4010,MATCH(182,$AZ$11:$AZ$4010,0)),""))</f>
        <v/>
      </c>
      <c r="AL192" s="31" t="str">
        <f t="shared" si="35"/>
        <v/>
      </c>
      <c r="AM192" s="26" t="str">
        <f t="shared" si="36"/>
        <v/>
      </c>
      <c r="AN192" s="32" t="str">
        <f t="shared" si="37"/>
        <v/>
      </c>
      <c r="AO192" s="32" t="str">
        <f t="shared" si="38"/>
        <v/>
      </c>
      <c r="AP192" s="24" t="str">
        <f t="shared" si="39"/>
        <v/>
      </c>
      <c r="AQ192" s="24" t="str">
        <f t="shared" si="40"/>
        <v/>
      </c>
      <c r="AR192" s="33" t="str">
        <f t="shared" si="41"/>
        <v/>
      </c>
      <c r="AS192" s="34"/>
      <c r="AT192" s="33"/>
      <c r="AV192" s="21">
        <f>IF(AND($AL192&lt;&gt;"",COUNTIF($AL$11:$AL192,$AL192)=1),1,0)</f>
        <v>0</v>
      </c>
      <c r="AW192" s="21">
        <f t="shared" si="43"/>
        <v>0</v>
      </c>
      <c r="AX192" s="21" t="str">
        <f t="shared" si="42"/>
        <v/>
      </c>
      <c r="AY192" s="21" t="str">
        <f>IF(AND($AM192&lt;&gt;"",$AS192&lt;&gt;"✓"),SUMPRODUCT(($AM$11:$AM192&lt;&gt;"")*($AS$11:$AS192&lt;&gt;"✓")),"")</f>
        <v/>
      </c>
      <c r="AZ192" s="21" t="str">
        <f>IF(AND($AM192&lt;&gt;"",$AS192="✓"),SUMPRODUCT(($AM$11:$AM192&lt;&gt;"")*($AS$11:$AS192="✓")),"")</f>
        <v/>
      </c>
      <c r="BA192" s="21" t="str">
        <f>IF($AL192="","",$AL192&amp;"|"&amp;COUNTIF($AL$11:$AL192,$AL192))</f>
        <v/>
      </c>
    </row>
    <row r="193" spans="2:53" ht="15" customHeight="1" x14ac:dyDescent="0.25">
      <c r="B193" s="5" t="str">
        <f t="shared" si="30"/>
        <v/>
      </c>
      <c r="C193" s="5"/>
      <c r="D193" s="5"/>
      <c r="E193" s="5"/>
      <c r="F193" s="6"/>
      <c r="G193" s="6"/>
      <c r="H193" s="7"/>
      <c r="I193" s="8"/>
      <c r="K193" s="9" t="str">
        <f>IFERROR(INDEX($AL$11:$AL$4010,MATCH(183,$AX$11:$AX$4010,0)),"")</f>
        <v/>
      </c>
      <c r="L193" s="10" t="str">
        <f t="shared" si="31"/>
        <v/>
      </c>
      <c r="M193" s="11" t="str">
        <f t="shared" si="32"/>
        <v/>
      </c>
      <c r="N193" s="11" t="str">
        <f t="shared" si="33"/>
        <v/>
      </c>
      <c r="P193" s="12" t="str">
        <f>IFERROR(INDEX($AM$11:$AM$4010,MATCH($S$8&amp;"|"&amp;183,$BA$11:$BA$4010,0)),"")</f>
        <v/>
      </c>
      <c r="Q193" s="11" t="str">
        <f>IF(P193="","",IFERROR(INDEX($AN$11:$AN$4010,MATCH($S$8&amp;"|"&amp;183,$BA$11:$BA$4010,0)),""))</f>
        <v/>
      </c>
      <c r="R193" s="11" t="str">
        <f>IF(P193="","",IFERROR(INDEX($AO$11:$AO$4010,MATCH($S$8&amp;"|"&amp;183,$BA$11:$BA$4010,0)),""))</f>
        <v/>
      </c>
      <c r="S193" s="10" t="str">
        <f>IF(P193="","",IFERROR(INDEX($AP$11:$AP$4010,MATCH($S$8&amp;"|"&amp;183,$BA$11:$BA$4010,0)),""))</f>
        <v/>
      </c>
      <c r="T193" s="10" t="str">
        <f>IF(P193="","",IFERROR(INDEX($AQ$11:$AQ$4010,MATCH($S$8&amp;"|"&amp;183,$BA$11:$BA$4010,0)),""))</f>
        <v/>
      </c>
      <c r="U193" s="39" t="str">
        <f t="shared" si="44"/>
        <v/>
      </c>
      <c r="W193" s="14" t="str">
        <f>IF(X193="","",IFERROR(INDEX($AL$11:$AL$4010,MATCH(183,$AY$11:$AY$4010,0)),""))</f>
        <v/>
      </c>
      <c r="X193" s="12" t="str">
        <f>IFERROR(INDEX($AM$11:$AM$4010,MATCH(183,$AY$11:$AY$4010,0)),"")</f>
        <v/>
      </c>
      <c r="Y193" s="11" t="str">
        <f>IF(X193="","",IFERROR(INDEX($AN$11:$AN$4010,MATCH(183,$AY$11:$AY$4010,0)),""))</f>
        <v/>
      </c>
      <c r="Z193" s="11" t="str">
        <f>IF(X193="","",IFERROR(INDEX($AO$11:$AO$4010,MATCH(183,$AY$11:$AY$4010,0)),""))</f>
        <v/>
      </c>
      <c r="AA193" s="10" t="str">
        <f>IF(X193="","",IFERROR(INDEX($AQ$11:$AQ$4010,MATCH(183,$AY$11:$AY$4010,0)),""))</f>
        <v/>
      </c>
      <c r="AB193" s="15" t="str">
        <f>IF(X193="","",IFERROR(INDEX($AR$11:$AR$4010,MATCH(183,$AY$11:$AY$4010,0)),""))</f>
        <v/>
      </c>
      <c r="AD193" s="16" t="str">
        <f>IF(AE193="","",IFERROR(INDEX($AL$11:$AL$4010,MATCH(183,$AZ$11:$AZ$4010,0)),""))</f>
        <v/>
      </c>
      <c r="AE193" s="12" t="str">
        <f>IFERROR(INDEX($AM$11:$AM$4010,MATCH(183,$AZ$11:$AZ$4010,0)),"")</f>
        <v/>
      </c>
      <c r="AF193" s="11" t="str">
        <f>IF(AE193="","",IFERROR(INDEX($AN$11:$AN$4010,MATCH(183,$AZ$11:$AZ$4010,0)),""))</f>
        <v/>
      </c>
      <c r="AG193" s="11" t="str">
        <f>IF(AE193="","",IFERROR(INDEX($AO$11:$AO$4010,MATCH(183,$AZ$11:$AZ$4010,0)),""))</f>
        <v/>
      </c>
      <c r="AH193" s="10" t="str">
        <f>IF(AE193="","",IFERROR(INDEX($AQ$11:$AQ$4010,MATCH(183,$AZ$11:$AZ$4010,0)),""))</f>
        <v/>
      </c>
      <c r="AI193" s="15" t="str">
        <f>IF(AE193="","",IFERROR(INDEX($AR$11:$AR$4010,MATCH(183,$AZ$11:$AZ$4010,0)),""))</f>
        <v/>
      </c>
      <c r="AJ193" s="15" t="str">
        <f>IF(AE193="","",IFERROR(INDEX($AT$11:$AT$4010,MATCH(183,$AZ$11:$AZ$4010,0)),""))</f>
        <v/>
      </c>
      <c r="AL193" s="17" t="str">
        <f t="shared" si="35"/>
        <v/>
      </c>
      <c r="AM193" s="12" t="str">
        <f t="shared" si="36"/>
        <v/>
      </c>
      <c r="AN193" s="18" t="str">
        <f t="shared" si="37"/>
        <v/>
      </c>
      <c r="AO193" s="18" t="str">
        <f t="shared" si="38"/>
        <v/>
      </c>
      <c r="AP193" s="10" t="str">
        <f t="shared" si="39"/>
        <v/>
      </c>
      <c r="AQ193" s="10" t="str">
        <f t="shared" si="40"/>
        <v/>
      </c>
      <c r="AR193" s="19" t="str">
        <f t="shared" si="41"/>
        <v/>
      </c>
      <c r="AS193" s="20"/>
      <c r="AT193" s="19"/>
      <c r="AV193" s="21">
        <f>IF(AND($AL193&lt;&gt;"",COUNTIF($AL$11:$AL193,$AL193)=1),1,0)</f>
        <v>0</v>
      </c>
      <c r="AW193" s="21">
        <f t="shared" si="43"/>
        <v>0</v>
      </c>
      <c r="AX193" s="21" t="str">
        <f t="shared" si="42"/>
        <v/>
      </c>
      <c r="AY193" s="21" t="str">
        <f>IF(AND($AM193&lt;&gt;"",$AS193&lt;&gt;"✓"),SUMPRODUCT(($AM$11:$AM193&lt;&gt;"")*($AS$11:$AS193&lt;&gt;"✓")),"")</f>
        <v/>
      </c>
      <c r="AZ193" s="21" t="str">
        <f>IF(AND($AM193&lt;&gt;"",$AS193="✓"),SUMPRODUCT(($AM$11:$AM193&lt;&gt;"")*($AS$11:$AS193="✓")),"")</f>
        <v/>
      </c>
      <c r="BA193" s="21" t="str">
        <f>IF($AL193="","",$AL193&amp;"|"&amp;COUNTIF($AL$11:$AL193,$AL193))</f>
        <v/>
      </c>
    </row>
    <row r="194" spans="2:53" ht="15" customHeight="1" x14ac:dyDescent="0.25">
      <c r="B194" s="5" t="str">
        <f t="shared" si="30"/>
        <v/>
      </c>
      <c r="C194" s="5"/>
      <c r="D194" s="5"/>
      <c r="E194" s="5"/>
      <c r="F194" s="6"/>
      <c r="G194" s="6"/>
      <c r="H194" s="7"/>
      <c r="I194" s="8"/>
      <c r="K194" s="23" t="str">
        <f>IFERROR(INDEX($AL$11:$AL$4010,MATCH(184,$AX$11:$AX$4010,0)),"")</f>
        <v/>
      </c>
      <c r="L194" s="24" t="str">
        <f t="shared" si="31"/>
        <v/>
      </c>
      <c r="M194" s="25" t="str">
        <f t="shared" si="32"/>
        <v/>
      </c>
      <c r="N194" s="25" t="str">
        <f t="shared" si="33"/>
        <v/>
      </c>
      <c r="P194" s="26" t="str">
        <f>IFERROR(INDEX($AM$11:$AM$4010,MATCH($S$8&amp;"|"&amp;184,$BA$11:$BA$4010,0)),"")</f>
        <v/>
      </c>
      <c r="Q194" s="25" t="str">
        <f>IF(P194="","",IFERROR(INDEX($AN$11:$AN$4010,MATCH($S$8&amp;"|"&amp;184,$BA$11:$BA$4010,0)),""))</f>
        <v/>
      </c>
      <c r="R194" s="25" t="str">
        <f>IF(P194="","",IFERROR(INDEX($AO$11:$AO$4010,MATCH($S$8&amp;"|"&amp;184,$BA$11:$BA$4010,0)),""))</f>
        <v/>
      </c>
      <c r="S194" s="24" t="str">
        <f>IF(P194="","",IFERROR(INDEX($AP$11:$AP$4010,MATCH($S$8&amp;"|"&amp;184,$BA$11:$BA$4010,0)),""))</f>
        <v/>
      </c>
      <c r="T194" s="24" t="str">
        <f>IF(P194="","",IFERROR(INDEX($AQ$11:$AQ$4010,MATCH($S$8&amp;"|"&amp;184,$BA$11:$BA$4010,0)),""))</f>
        <v/>
      </c>
      <c r="U194" s="38" t="str">
        <f t="shared" si="44"/>
        <v/>
      </c>
      <c r="W194" s="28" t="str">
        <f>IF(X194="","",IFERROR(INDEX($AL$11:$AL$4010,MATCH(184,$AY$11:$AY$4010,0)),""))</f>
        <v/>
      </c>
      <c r="X194" s="26" t="str">
        <f>IFERROR(INDEX($AM$11:$AM$4010,MATCH(184,$AY$11:$AY$4010,0)),"")</f>
        <v/>
      </c>
      <c r="Y194" s="25" t="str">
        <f>IF(X194="","",IFERROR(INDEX($AN$11:$AN$4010,MATCH(184,$AY$11:$AY$4010,0)),""))</f>
        <v/>
      </c>
      <c r="Z194" s="25" t="str">
        <f>IF(X194="","",IFERROR(INDEX($AO$11:$AO$4010,MATCH(184,$AY$11:$AY$4010,0)),""))</f>
        <v/>
      </c>
      <c r="AA194" s="24" t="str">
        <f>IF(X194="","",IFERROR(INDEX($AQ$11:$AQ$4010,MATCH(184,$AY$11:$AY$4010,0)),""))</f>
        <v/>
      </c>
      <c r="AB194" s="29" t="str">
        <f>IF(X194="","",IFERROR(INDEX($AR$11:$AR$4010,MATCH(184,$AY$11:$AY$4010,0)),""))</f>
        <v/>
      </c>
      <c r="AD194" s="30" t="str">
        <f>IF(AE194="","",IFERROR(INDEX($AL$11:$AL$4010,MATCH(184,$AZ$11:$AZ$4010,0)),""))</f>
        <v/>
      </c>
      <c r="AE194" s="26" t="str">
        <f>IFERROR(INDEX($AM$11:$AM$4010,MATCH(184,$AZ$11:$AZ$4010,0)),"")</f>
        <v/>
      </c>
      <c r="AF194" s="25" t="str">
        <f>IF(AE194="","",IFERROR(INDEX($AN$11:$AN$4010,MATCH(184,$AZ$11:$AZ$4010,0)),""))</f>
        <v/>
      </c>
      <c r="AG194" s="25" t="str">
        <f>IF(AE194="","",IFERROR(INDEX($AO$11:$AO$4010,MATCH(184,$AZ$11:$AZ$4010,0)),""))</f>
        <v/>
      </c>
      <c r="AH194" s="24" t="str">
        <f>IF(AE194="","",IFERROR(INDEX($AQ$11:$AQ$4010,MATCH(184,$AZ$11:$AZ$4010,0)),""))</f>
        <v/>
      </c>
      <c r="AI194" s="29" t="str">
        <f>IF(AE194="","",IFERROR(INDEX($AR$11:$AR$4010,MATCH(184,$AZ$11:$AZ$4010,0)),""))</f>
        <v/>
      </c>
      <c r="AJ194" s="29" t="str">
        <f>IF(AE194="","",IFERROR(INDEX($AT$11:$AT$4010,MATCH(184,$AZ$11:$AZ$4010,0)),""))</f>
        <v/>
      </c>
      <c r="AL194" s="31" t="str">
        <f t="shared" si="35"/>
        <v/>
      </c>
      <c r="AM194" s="26" t="str">
        <f t="shared" si="36"/>
        <v/>
      </c>
      <c r="AN194" s="32" t="str">
        <f t="shared" si="37"/>
        <v/>
      </c>
      <c r="AO194" s="32" t="str">
        <f t="shared" si="38"/>
        <v/>
      </c>
      <c r="AP194" s="24" t="str">
        <f t="shared" si="39"/>
        <v/>
      </c>
      <c r="AQ194" s="24" t="str">
        <f t="shared" si="40"/>
        <v/>
      </c>
      <c r="AR194" s="33" t="str">
        <f t="shared" si="41"/>
        <v/>
      </c>
      <c r="AS194" s="34"/>
      <c r="AT194" s="33"/>
      <c r="AV194" s="21">
        <f>IF(AND($AL194&lt;&gt;"",COUNTIF($AL$11:$AL194,$AL194)=1),1,0)</f>
        <v>0</v>
      </c>
      <c r="AW194" s="21">
        <f t="shared" si="43"/>
        <v>0</v>
      </c>
      <c r="AX194" s="21" t="str">
        <f t="shared" si="42"/>
        <v/>
      </c>
      <c r="AY194" s="21" t="str">
        <f>IF(AND($AM194&lt;&gt;"",$AS194&lt;&gt;"✓"),SUMPRODUCT(($AM$11:$AM194&lt;&gt;"")*($AS$11:$AS194&lt;&gt;"✓")),"")</f>
        <v/>
      </c>
      <c r="AZ194" s="21" t="str">
        <f>IF(AND($AM194&lt;&gt;"",$AS194="✓"),SUMPRODUCT(($AM$11:$AM194&lt;&gt;"")*($AS$11:$AS194="✓")),"")</f>
        <v/>
      </c>
      <c r="BA194" s="21" t="str">
        <f>IF($AL194="","",$AL194&amp;"|"&amp;COUNTIF($AL$11:$AL194,$AL194))</f>
        <v/>
      </c>
    </row>
    <row r="195" spans="2:53" ht="15" customHeight="1" x14ac:dyDescent="0.25">
      <c r="B195" s="5" t="str">
        <f t="shared" si="30"/>
        <v/>
      </c>
      <c r="C195" s="5"/>
      <c r="D195" s="5"/>
      <c r="E195" s="5"/>
      <c r="F195" s="6"/>
      <c r="G195" s="6"/>
      <c r="H195" s="7"/>
      <c r="I195" s="8"/>
      <c r="K195" s="9" t="str">
        <f>IFERROR(INDEX($AL$11:$AL$4010,MATCH(185,$AX$11:$AX$4010,0)),"")</f>
        <v/>
      </c>
      <c r="L195" s="10" t="str">
        <f t="shared" si="31"/>
        <v/>
      </c>
      <c r="M195" s="11" t="str">
        <f t="shared" si="32"/>
        <v/>
      </c>
      <c r="N195" s="11" t="str">
        <f t="shared" si="33"/>
        <v/>
      </c>
      <c r="P195" s="12" t="str">
        <f>IFERROR(INDEX($AM$11:$AM$4010,MATCH($S$8&amp;"|"&amp;185,$BA$11:$BA$4010,0)),"")</f>
        <v/>
      </c>
      <c r="Q195" s="11" t="str">
        <f>IF(P195="","",IFERROR(INDEX($AN$11:$AN$4010,MATCH($S$8&amp;"|"&amp;185,$BA$11:$BA$4010,0)),""))</f>
        <v/>
      </c>
      <c r="R195" s="11" t="str">
        <f>IF(P195="","",IFERROR(INDEX($AO$11:$AO$4010,MATCH($S$8&amp;"|"&amp;185,$BA$11:$BA$4010,0)),""))</f>
        <v/>
      </c>
      <c r="S195" s="10" t="str">
        <f>IF(P195="","",IFERROR(INDEX($AP$11:$AP$4010,MATCH($S$8&amp;"|"&amp;185,$BA$11:$BA$4010,0)),""))</f>
        <v/>
      </c>
      <c r="T195" s="10" t="str">
        <f>IF(P195="","",IFERROR(INDEX($AQ$11:$AQ$4010,MATCH($S$8&amp;"|"&amp;185,$BA$11:$BA$4010,0)),""))</f>
        <v/>
      </c>
      <c r="U195" s="39" t="str">
        <f t="shared" si="44"/>
        <v/>
      </c>
      <c r="W195" s="14" t="str">
        <f>IF(X195="","",IFERROR(INDEX($AL$11:$AL$4010,MATCH(185,$AY$11:$AY$4010,0)),""))</f>
        <v/>
      </c>
      <c r="X195" s="12" t="str">
        <f>IFERROR(INDEX($AM$11:$AM$4010,MATCH(185,$AY$11:$AY$4010,0)),"")</f>
        <v/>
      </c>
      <c r="Y195" s="11" t="str">
        <f>IF(X195="","",IFERROR(INDEX($AN$11:$AN$4010,MATCH(185,$AY$11:$AY$4010,0)),""))</f>
        <v/>
      </c>
      <c r="Z195" s="11" t="str">
        <f>IF(X195="","",IFERROR(INDEX($AO$11:$AO$4010,MATCH(185,$AY$11:$AY$4010,0)),""))</f>
        <v/>
      </c>
      <c r="AA195" s="10" t="str">
        <f>IF(X195="","",IFERROR(INDEX($AQ$11:$AQ$4010,MATCH(185,$AY$11:$AY$4010,0)),""))</f>
        <v/>
      </c>
      <c r="AB195" s="15" t="str">
        <f>IF(X195="","",IFERROR(INDEX($AR$11:$AR$4010,MATCH(185,$AY$11:$AY$4010,0)),""))</f>
        <v/>
      </c>
      <c r="AD195" s="16" t="str">
        <f>IF(AE195="","",IFERROR(INDEX($AL$11:$AL$4010,MATCH(185,$AZ$11:$AZ$4010,0)),""))</f>
        <v/>
      </c>
      <c r="AE195" s="12" t="str">
        <f>IFERROR(INDEX($AM$11:$AM$4010,MATCH(185,$AZ$11:$AZ$4010,0)),"")</f>
        <v/>
      </c>
      <c r="AF195" s="11" t="str">
        <f>IF(AE195="","",IFERROR(INDEX($AN$11:$AN$4010,MATCH(185,$AZ$11:$AZ$4010,0)),""))</f>
        <v/>
      </c>
      <c r="AG195" s="11" t="str">
        <f>IF(AE195="","",IFERROR(INDEX($AO$11:$AO$4010,MATCH(185,$AZ$11:$AZ$4010,0)),""))</f>
        <v/>
      </c>
      <c r="AH195" s="10" t="str">
        <f>IF(AE195="","",IFERROR(INDEX($AQ$11:$AQ$4010,MATCH(185,$AZ$11:$AZ$4010,0)),""))</f>
        <v/>
      </c>
      <c r="AI195" s="15" t="str">
        <f>IF(AE195="","",IFERROR(INDEX($AR$11:$AR$4010,MATCH(185,$AZ$11:$AZ$4010,0)),""))</f>
        <v/>
      </c>
      <c r="AJ195" s="15" t="str">
        <f>IF(AE195="","",IFERROR(INDEX($AT$11:$AT$4010,MATCH(185,$AZ$11:$AZ$4010,0)),""))</f>
        <v/>
      </c>
      <c r="AL195" s="17" t="str">
        <f t="shared" si="35"/>
        <v/>
      </c>
      <c r="AM195" s="12" t="str">
        <f t="shared" si="36"/>
        <v/>
      </c>
      <c r="AN195" s="18" t="str">
        <f t="shared" si="37"/>
        <v/>
      </c>
      <c r="AO195" s="18" t="str">
        <f t="shared" si="38"/>
        <v/>
      </c>
      <c r="AP195" s="10" t="str">
        <f t="shared" si="39"/>
        <v/>
      </c>
      <c r="AQ195" s="10" t="str">
        <f t="shared" si="40"/>
        <v/>
      </c>
      <c r="AR195" s="19" t="str">
        <f t="shared" si="41"/>
        <v/>
      </c>
      <c r="AS195" s="20"/>
      <c r="AT195" s="19"/>
      <c r="AV195" s="21">
        <f>IF(AND($AL195&lt;&gt;"",COUNTIF($AL$11:$AL195,$AL195)=1),1,0)</f>
        <v>0</v>
      </c>
      <c r="AW195" s="21">
        <f t="shared" si="43"/>
        <v>0</v>
      </c>
      <c r="AX195" s="21" t="str">
        <f t="shared" si="42"/>
        <v/>
      </c>
      <c r="AY195" s="21" t="str">
        <f>IF(AND($AM195&lt;&gt;"",$AS195&lt;&gt;"✓"),SUMPRODUCT(($AM$11:$AM195&lt;&gt;"")*($AS$11:$AS195&lt;&gt;"✓")),"")</f>
        <v/>
      </c>
      <c r="AZ195" s="21" t="str">
        <f>IF(AND($AM195&lt;&gt;"",$AS195="✓"),SUMPRODUCT(($AM$11:$AM195&lt;&gt;"")*($AS$11:$AS195="✓")),"")</f>
        <v/>
      </c>
      <c r="BA195" s="21" t="str">
        <f>IF($AL195="","",$AL195&amp;"|"&amp;COUNTIF($AL$11:$AL195,$AL195))</f>
        <v/>
      </c>
    </row>
    <row r="196" spans="2:53" ht="15" customHeight="1" x14ac:dyDescent="0.25">
      <c r="B196" s="5" t="str">
        <f t="shared" si="30"/>
        <v/>
      </c>
      <c r="C196" s="5"/>
      <c r="D196" s="5"/>
      <c r="E196" s="5"/>
      <c r="F196" s="6"/>
      <c r="G196" s="6"/>
      <c r="H196" s="7"/>
      <c r="I196" s="8"/>
      <c r="K196" s="23" t="str">
        <f>IFERROR(INDEX($AL$11:$AL$4010,MATCH(186,$AX$11:$AX$4010,0)),"")</f>
        <v/>
      </c>
      <c r="L196" s="24" t="str">
        <f t="shared" si="31"/>
        <v/>
      </c>
      <c r="M196" s="25" t="str">
        <f t="shared" si="32"/>
        <v/>
      </c>
      <c r="N196" s="25" t="str">
        <f t="shared" si="33"/>
        <v/>
      </c>
      <c r="P196" s="26" t="str">
        <f>IFERROR(INDEX($AM$11:$AM$4010,MATCH($S$8&amp;"|"&amp;186,$BA$11:$BA$4010,0)),"")</f>
        <v/>
      </c>
      <c r="Q196" s="25" t="str">
        <f>IF(P196="","",IFERROR(INDEX($AN$11:$AN$4010,MATCH($S$8&amp;"|"&amp;186,$BA$11:$BA$4010,0)),""))</f>
        <v/>
      </c>
      <c r="R196" s="25" t="str">
        <f>IF(P196="","",IFERROR(INDEX($AO$11:$AO$4010,MATCH($S$8&amp;"|"&amp;186,$BA$11:$BA$4010,0)),""))</f>
        <v/>
      </c>
      <c r="S196" s="24" t="str">
        <f>IF(P196="","",IFERROR(INDEX($AP$11:$AP$4010,MATCH($S$8&amp;"|"&amp;186,$BA$11:$BA$4010,0)),""))</f>
        <v/>
      </c>
      <c r="T196" s="24" t="str">
        <f>IF(P196="","",IFERROR(INDEX($AQ$11:$AQ$4010,MATCH($S$8&amp;"|"&amp;186,$BA$11:$BA$4010,0)),""))</f>
        <v/>
      </c>
      <c r="U196" s="38" t="str">
        <f t="shared" si="44"/>
        <v/>
      </c>
      <c r="W196" s="28" t="str">
        <f>IF(X196="","",IFERROR(INDEX($AL$11:$AL$4010,MATCH(186,$AY$11:$AY$4010,0)),""))</f>
        <v/>
      </c>
      <c r="X196" s="26" t="str">
        <f>IFERROR(INDEX($AM$11:$AM$4010,MATCH(186,$AY$11:$AY$4010,0)),"")</f>
        <v/>
      </c>
      <c r="Y196" s="25" t="str">
        <f>IF(X196="","",IFERROR(INDEX($AN$11:$AN$4010,MATCH(186,$AY$11:$AY$4010,0)),""))</f>
        <v/>
      </c>
      <c r="Z196" s="25" t="str">
        <f>IF(X196="","",IFERROR(INDEX($AO$11:$AO$4010,MATCH(186,$AY$11:$AY$4010,0)),""))</f>
        <v/>
      </c>
      <c r="AA196" s="24" t="str">
        <f>IF(X196="","",IFERROR(INDEX($AQ$11:$AQ$4010,MATCH(186,$AY$11:$AY$4010,0)),""))</f>
        <v/>
      </c>
      <c r="AB196" s="29" t="str">
        <f>IF(X196="","",IFERROR(INDEX($AR$11:$AR$4010,MATCH(186,$AY$11:$AY$4010,0)),""))</f>
        <v/>
      </c>
      <c r="AD196" s="30" t="str">
        <f>IF(AE196="","",IFERROR(INDEX($AL$11:$AL$4010,MATCH(186,$AZ$11:$AZ$4010,0)),""))</f>
        <v/>
      </c>
      <c r="AE196" s="26" t="str">
        <f>IFERROR(INDEX($AM$11:$AM$4010,MATCH(186,$AZ$11:$AZ$4010,0)),"")</f>
        <v/>
      </c>
      <c r="AF196" s="25" t="str">
        <f>IF(AE196="","",IFERROR(INDEX($AN$11:$AN$4010,MATCH(186,$AZ$11:$AZ$4010,0)),""))</f>
        <v/>
      </c>
      <c r="AG196" s="25" t="str">
        <f>IF(AE196="","",IFERROR(INDEX($AO$11:$AO$4010,MATCH(186,$AZ$11:$AZ$4010,0)),""))</f>
        <v/>
      </c>
      <c r="AH196" s="24" t="str">
        <f>IF(AE196="","",IFERROR(INDEX($AQ$11:$AQ$4010,MATCH(186,$AZ$11:$AZ$4010,0)),""))</f>
        <v/>
      </c>
      <c r="AI196" s="29" t="str">
        <f>IF(AE196="","",IFERROR(INDEX($AR$11:$AR$4010,MATCH(186,$AZ$11:$AZ$4010,0)),""))</f>
        <v/>
      </c>
      <c r="AJ196" s="29" t="str">
        <f>IF(AE196="","",IFERROR(INDEX($AT$11:$AT$4010,MATCH(186,$AZ$11:$AZ$4010,0)),""))</f>
        <v/>
      </c>
      <c r="AL196" s="31" t="str">
        <f t="shared" si="35"/>
        <v/>
      </c>
      <c r="AM196" s="26" t="str">
        <f t="shared" si="36"/>
        <v/>
      </c>
      <c r="AN196" s="32" t="str">
        <f t="shared" si="37"/>
        <v/>
      </c>
      <c r="AO196" s="32" t="str">
        <f t="shared" si="38"/>
        <v/>
      </c>
      <c r="AP196" s="24" t="str">
        <f t="shared" si="39"/>
        <v/>
      </c>
      <c r="AQ196" s="24" t="str">
        <f t="shared" si="40"/>
        <v/>
      </c>
      <c r="AR196" s="33" t="str">
        <f t="shared" si="41"/>
        <v/>
      </c>
      <c r="AS196" s="34"/>
      <c r="AT196" s="33"/>
      <c r="AV196" s="21">
        <f>IF(AND($AL196&lt;&gt;"",COUNTIF($AL$11:$AL196,$AL196)=1),1,0)</f>
        <v>0</v>
      </c>
      <c r="AW196" s="21">
        <f t="shared" si="43"/>
        <v>0</v>
      </c>
      <c r="AX196" s="21" t="str">
        <f t="shared" si="42"/>
        <v/>
      </c>
      <c r="AY196" s="21" t="str">
        <f>IF(AND($AM196&lt;&gt;"",$AS196&lt;&gt;"✓"),SUMPRODUCT(($AM$11:$AM196&lt;&gt;"")*($AS$11:$AS196&lt;&gt;"✓")),"")</f>
        <v/>
      </c>
      <c r="AZ196" s="21" t="str">
        <f>IF(AND($AM196&lt;&gt;"",$AS196="✓"),SUMPRODUCT(($AM$11:$AM196&lt;&gt;"")*($AS$11:$AS196="✓")),"")</f>
        <v/>
      </c>
      <c r="BA196" s="21" t="str">
        <f>IF($AL196="","",$AL196&amp;"|"&amp;COUNTIF($AL$11:$AL196,$AL196))</f>
        <v/>
      </c>
    </row>
    <row r="197" spans="2:53" ht="15" customHeight="1" x14ac:dyDescent="0.25">
      <c r="B197" s="5" t="str">
        <f t="shared" si="30"/>
        <v/>
      </c>
      <c r="C197" s="5"/>
      <c r="D197" s="5"/>
      <c r="E197" s="5"/>
      <c r="F197" s="6"/>
      <c r="G197" s="6"/>
      <c r="H197" s="7"/>
      <c r="I197" s="8"/>
      <c r="K197" s="9" t="str">
        <f>IFERROR(INDEX($AL$11:$AL$4010,MATCH(187,$AX$11:$AX$4010,0)),"")</f>
        <v/>
      </c>
      <c r="L197" s="10" t="str">
        <f t="shared" si="31"/>
        <v/>
      </c>
      <c r="M197" s="11" t="str">
        <f t="shared" si="32"/>
        <v/>
      </c>
      <c r="N197" s="11" t="str">
        <f t="shared" si="33"/>
        <v/>
      </c>
      <c r="P197" s="12" t="str">
        <f>IFERROR(INDEX($AM$11:$AM$4010,MATCH($S$8&amp;"|"&amp;187,$BA$11:$BA$4010,0)),"")</f>
        <v/>
      </c>
      <c r="Q197" s="11" t="str">
        <f>IF(P197="","",IFERROR(INDEX($AN$11:$AN$4010,MATCH($S$8&amp;"|"&amp;187,$BA$11:$BA$4010,0)),""))</f>
        <v/>
      </c>
      <c r="R197" s="11" t="str">
        <f>IF(P197="","",IFERROR(INDEX($AO$11:$AO$4010,MATCH($S$8&amp;"|"&amp;187,$BA$11:$BA$4010,0)),""))</f>
        <v/>
      </c>
      <c r="S197" s="10" t="str">
        <f>IF(P197="","",IFERROR(INDEX($AP$11:$AP$4010,MATCH($S$8&amp;"|"&amp;187,$BA$11:$BA$4010,0)),""))</f>
        <v/>
      </c>
      <c r="T197" s="10" t="str">
        <f>IF(P197="","",IFERROR(INDEX($AQ$11:$AQ$4010,MATCH($S$8&amp;"|"&amp;187,$BA$11:$BA$4010,0)),""))</f>
        <v/>
      </c>
      <c r="U197" s="39" t="str">
        <f t="shared" si="44"/>
        <v/>
      </c>
      <c r="W197" s="14" t="str">
        <f>IF(X197="","",IFERROR(INDEX($AL$11:$AL$4010,MATCH(187,$AY$11:$AY$4010,0)),""))</f>
        <v/>
      </c>
      <c r="X197" s="12" t="str">
        <f>IFERROR(INDEX($AM$11:$AM$4010,MATCH(187,$AY$11:$AY$4010,0)),"")</f>
        <v/>
      </c>
      <c r="Y197" s="11" t="str">
        <f>IF(X197="","",IFERROR(INDEX($AN$11:$AN$4010,MATCH(187,$AY$11:$AY$4010,0)),""))</f>
        <v/>
      </c>
      <c r="Z197" s="11" t="str">
        <f>IF(X197="","",IFERROR(INDEX($AO$11:$AO$4010,MATCH(187,$AY$11:$AY$4010,0)),""))</f>
        <v/>
      </c>
      <c r="AA197" s="10" t="str">
        <f>IF(X197="","",IFERROR(INDEX($AQ$11:$AQ$4010,MATCH(187,$AY$11:$AY$4010,0)),""))</f>
        <v/>
      </c>
      <c r="AB197" s="15" t="str">
        <f>IF(X197="","",IFERROR(INDEX($AR$11:$AR$4010,MATCH(187,$AY$11:$AY$4010,0)),""))</f>
        <v/>
      </c>
      <c r="AD197" s="16" t="str">
        <f>IF(AE197="","",IFERROR(INDEX($AL$11:$AL$4010,MATCH(187,$AZ$11:$AZ$4010,0)),""))</f>
        <v/>
      </c>
      <c r="AE197" s="12" t="str">
        <f>IFERROR(INDEX($AM$11:$AM$4010,MATCH(187,$AZ$11:$AZ$4010,0)),"")</f>
        <v/>
      </c>
      <c r="AF197" s="11" t="str">
        <f>IF(AE197="","",IFERROR(INDEX($AN$11:$AN$4010,MATCH(187,$AZ$11:$AZ$4010,0)),""))</f>
        <v/>
      </c>
      <c r="AG197" s="11" t="str">
        <f>IF(AE197="","",IFERROR(INDEX($AO$11:$AO$4010,MATCH(187,$AZ$11:$AZ$4010,0)),""))</f>
        <v/>
      </c>
      <c r="AH197" s="10" t="str">
        <f>IF(AE197="","",IFERROR(INDEX($AQ$11:$AQ$4010,MATCH(187,$AZ$11:$AZ$4010,0)),""))</f>
        <v/>
      </c>
      <c r="AI197" s="15" t="str">
        <f>IF(AE197="","",IFERROR(INDEX($AR$11:$AR$4010,MATCH(187,$AZ$11:$AZ$4010,0)),""))</f>
        <v/>
      </c>
      <c r="AJ197" s="15" t="str">
        <f>IF(AE197="","",IFERROR(INDEX($AT$11:$AT$4010,MATCH(187,$AZ$11:$AZ$4010,0)),""))</f>
        <v/>
      </c>
      <c r="AL197" s="17" t="str">
        <f t="shared" si="35"/>
        <v/>
      </c>
      <c r="AM197" s="12" t="str">
        <f t="shared" si="36"/>
        <v/>
      </c>
      <c r="AN197" s="18" t="str">
        <f t="shared" si="37"/>
        <v/>
      </c>
      <c r="AO197" s="18" t="str">
        <f t="shared" si="38"/>
        <v/>
      </c>
      <c r="AP197" s="10" t="str">
        <f t="shared" si="39"/>
        <v/>
      </c>
      <c r="AQ197" s="10" t="str">
        <f t="shared" si="40"/>
        <v/>
      </c>
      <c r="AR197" s="19" t="str">
        <f t="shared" si="41"/>
        <v/>
      </c>
      <c r="AS197" s="20"/>
      <c r="AT197" s="19"/>
      <c r="AV197" s="21">
        <f>IF(AND($AL197&lt;&gt;"",COUNTIF($AL$11:$AL197,$AL197)=1),1,0)</f>
        <v>0</v>
      </c>
      <c r="AW197" s="21">
        <f t="shared" si="43"/>
        <v>0</v>
      </c>
      <c r="AX197" s="21" t="str">
        <f t="shared" si="42"/>
        <v/>
      </c>
      <c r="AY197" s="21" t="str">
        <f>IF(AND($AM197&lt;&gt;"",$AS197&lt;&gt;"✓"),SUMPRODUCT(($AM$11:$AM197&lt;&gt;"")*($AS$11:$AS197&lt;&gt;"✓")),"")</f>
        <v/>
      </c>
      <c r="AZ197" s="21" t="str">
        <f>IF(AND($AM197&lt;&gt;"",$AS197="✓"),SUMPRODUCT(($AM$11:$AM197&lt;&gt;"")*($AS$11:$AS197="✓")),"")</f>
        <v/>
      </c>
      <c r="BA197" s="21" t="str">
        <f>IF($AL197="","",$AL197&amp;"|"&amp;COUNTIF($AL$11:$AL197,$AL197))</f>
        <v/>
      </c>
    </row>
    <row r="198" spans="2:53" ht="15" customHeight="1" x14ac:dyDescent="0.25">
      <c r="B198" s="5" t="str">
        <f t="shared" si="30"/>
        <v/>
      </c>
      <c r="C198" s="5"/>
      <c r="D198" s="5"/>
      <c r="E198" s="5"/>
      <c r="F198" s="6"/>
      <c r="G198" s="6"/>
      <c r="H198" s="7"/>
      <c r="I198" s="8"/>
      <c r="K198" s="23" t="str">
        <f>IFERROR(INDEX($AL$11:$AL$4010,MATCH(188,$AX$11:$AX$4010,0)),"")</f>
        <v/>
      </c>
      <c r="L198" s="24" t="str">
        <f t="shared" si="31"/>
        <v/>
      </c>
      <c r="M198" s="25" t="str">
        <f t="shared" si="32"/>
        <v/>
      </c>
      <c r="N198" s="25" t="str">
        <f t="shared" si="33"/>
        <v/>
      </c>
      <c r="P198" s="26" t="str">
        <f>IFERROR(INDEX($AM$11:$AM$4010,MATCH($S$8&amp;"|"&amp;188,$BA$11:$BA$4010,0)),"")</f>
        <v/>
      </c>
      <c r="Q198" s="25" t="str">
        <f>IF(P198="","",IFERROR(INDEX($AN$11:$AN$4010,MATCH($S$8&amp;"|"&amp;188,$BA$11:$BA$4010,0)),""))</f>
        <v/>
      </c>
      <c r="R198" s="25" t="str">
        <f>IF(P198="","",IFERROR(INDEX($AO$11:$AO$4010,MATCH($S$8&amp;"|"&amp;188,$BA$11:$BA$4010,0)),""))</f>
        <v/>
      </c>
      <c r="S198" s="24" t="str">
        <f>IF(P198="","",IFERROR(INDEX($AP$11:$AP$4010,MATCH($S$8&amp;"|"&amp;188,$BA$11:$BA$4010,0)),""))</f>
        <v/>
      </c>
      <c r="T198" s="24" t="str">
        <f>IF(P198="","",IFERROR(INDEX($AQ$11:$AQ$4010,MATCH($S$8&amp;"|"&amp;188,$BA$11:$BA$4010,0)),""))</f>
        <v/>
      </c>
      <c r="U198" s="38" t="str">
        <f t="shared" si="44"/>
        <v/>
      </c>
      <c r="W198" s="28" t="str">
        <f>IF(X198="","",IFERROR(INDEX($AL$11:$AL$4010,MATCH(188,$AY$11:$AY$4010,0)),""))</f>
        <v/>
      </c>
      <c r="X198" s="26" t="str">
        <f>IFERROR(INDEX($AM$11:$AM$4010,MATCH(188,$AY$11:$AY$4010,0)),"")</f>
        <v/>
      </c>
      <c r="Y198" s="25" t="str">
        <f>IF(X198="","",IFERROR(INDEX($AN$11:$AN$4010,MATCH(188,$AY$11:$AY$4010,0)),""))</f>
        <v/>
      </c>
      <c r="Z198" s="25" t="str">
        <f>IF(X198="","",IFERROR(INDEX($AO$11:$AO$4010,MATCH(188,$AY$11:$AY$4010,0)),""))</f>
        <v/>
      </c>
      <c r="AA198" s="24" t="str">
        <f>IF(X198="","",IFERROR(INDEX($AQ$11:$AQ$4010,MATCH(188,$AY$11:$AY$4010,0)),""))</f>
        <v/>
      </c>
      <c r="AB198" s="29" t="str">
        <f>IF(X198="","",IFERROR(INDEX($AR$11:$AR$4010,MATCH(188,$AY$11:$AY$4010,0)),""))</f>
        <v/>
      </c>
      <c r="AD198" s="30" t="str">
        <f>IF(AE198="","",IFERROR(INDEX($AL$11:$AL$4010,MATCH(188,$AZ$11:$AZ$4010,0)),""))</f>
        <v/>
      </c>
      <c r="AE198" s="26" t="str">
        <f>IFERROR(INDEX($AM$11:$AM$4010,MATCH(188,$AZ$11:$AZ$4010,0)),"")</f>
        <v/>
      </c>
      <c r="AF198" s="25" t="str">
        <f>IF(AE198="","",IFERROR(INDEX($AN$11:$AN$4010,MATCH(188,$AZ$11:$AZ$4010,0)),""))</f>
        <v/>
      </c>
      <c r="AG198" s="25" t="str">
        <f>IF(AE198="","",IFERROR(INDEX($AO$11:$AO$4010,MATCH(188,$AZ$11:$AZ$4010,0)),""))</f>
        <v/>
      </c>
      <c r="AH198" s="24" t="str">
        <f>IF(AE198="","",IFERROR(INDEX($AQ$11:$AQ$4010,MATCH(188,$AZ$11:$AZ$4010,0)),""))</f>
        <v/>
      </c>
      <c r="AI198" s="29" t="str">
        <f>IF(AE198="","",IFERROR(INDEX($AR$11:$AR$4010,MATCH(188,$AZ$11:$AZ$4010,0)),""))</f>
        <v/>
      </c>
      <c r="AJ198" s="29" t="str">
        <f>IF(AE198="","",IFERROR(INDEX($AT$11:$AT$4010,MATCH(188,$AZ$11:$AZ$4010,0)),""))</f>
        <v/>
      </c>
      <c r="AL198" s="31" t="str">
        <f t="shared" si="35"/>
        <v/>
      </c>
      <c r="AM198" s="26" t="str">
        <f t="shared" si="36"/>
        <v/>
      </c>
      <c r="AN198" s="32" t="str">
        <f t="shared" si="37"/>
        <v/>
      </c>
      <c r="AO198" s="32" t="str">
        <f t="shared" si="38"/>
        <v/>
      </c>
      <c r="AP198" s="24" t="str">
        <f t="shared" si="39"/>
        <v/>
      </c>
      <c r="AQ198" s="24" t="str">
        <f t="shared" si="40"/>
        <v/>
      </c>
      <c r="AR198" s="33" t="str">
        <f t="shared" si="41"/>
        <v/>
      </c>
      <c r="AS198" s="34"/>
      <c r="AT198" s="33"/>
      <c r="AV198" s="21">
        <f>IF(AND($AL198&lt;&gt;"",COUNTIF($AL$11:$AL198,$AL198)=1),1,0)</f>
        <v>0</v>
      </c>
      <c r="AW198" s="21">
        <f t="shared" si="43"/>
        <v>0</v>
      </c>
      <c r="AX198" s="21" t="str">
        <f t="shared" si="42"/>
        <v/>
      </c>
      <c r="AY198" s="21" t="str">
        <f>IF(AND($AM198&lt;&gt;"",$AS198&lt;&gt;"✓"),SUMPRODUCT(($AM$11:$AM198&lt;&gt;"")*($AS$11:$AS198&lt;&gt;"✓")),"")</f>
        <v/>
      </c>
      <c r="AZ198" s="21" t="str">
        <f>IF(AND($AM198&lt;&gt;"",$AS198="✓"),SUMPRODUCT(($AM$11:$AM198&lt;&gt;"")*($AS$11:$AS198="✓")),"")</f>
        <v/>
      </c>
      <c r="BA198" s="21" t="str">
        <f>IF($AL198="","",$AL198&amp;"|"&amp;COUNTIF($AL$11:$AL198,$AL198))</f>
        <v/>
      </c>
    </row>
    <row r="199" spans="2:53" ht="15" customHeight="1" x14ac:dyDescent="0.25">
      <c r="B199" s="5" t="str">
        <f t="shared" si="30"/>
        <v/>
      </c>
      <c r="C199" s="5"/>
      <c r="D199" s="5"/>
      <c r="E199" s="5"/>
      <c r="F199" s="6"/>
      <c r="G199" s="6"/>
      <c r="H199" s="7"/>
      <c r="I199" s="8"/>
      <c r="K199" s="9" t="str">
        <f>IFERROR(INDEX($AL$11:$AL$4010,MATCH(189,$AX$11:$AX$4010,0)),"")</f>
        <v/>
      </c>
      <c r="L199" s="10" t="str">
        <f t="shared" si="31"/>
        <v/>
      </c>
      <c r="M199" s="11" t="str">
        <f t="shared" si="32"/>
        <v/>
      </c>
      <c r="N199" s="11" t="str">
        <f t="shared" si="33"/>
        <v/>
      </c>
      <c r="P199" s="12" t="str">
        <f>IFERROR(INDEX($AM$11:$AM$4010,MATCH($S$8&amp;"|"&amp;189,$BA$11:$BA$4010,0)),"")</f>
        <v/>
      </c>
      <c r="Q199" s="11" t="str">
        <f>IF(P199="","",IFERROR(INDEX($AN$11:$AN$4010,MATCH($S$8&amp;"|"&amp;189,$BA$11:$BA$4010,0)),""))</f>
        <v/>
      </c>
      <c r="R199" s="11" t="str">
        <f>IF(P199="","",IFERROR(INDEX($AO$11:$AO$4010,MATCH($S$8&amp;"|"&amp;189,$BA$11:$BA$4010,0)),""))</f>
        <v/>
      </c>
      <c r="S199" s="10" t="str">
        <f>IF(P199="","",IFERROR(INDEX($AP$11:$AP$4010,MATCH($S$8&amp;"|"&amp;189,$BA$11:$BA$4010,0)),""))</f>
        <v/>
      </c>
      <c r="T199" s="10" t="str">
        <f>IF(P199="","",IFERROR(INDEX($AQ$11:$AQ$4010,MATCH($S$8&amp;"|"&amp;189,$BA$11:$BA$4010,0)),""))</f>
        <v/>
      </c>
      <c r="U199" s="39" t="str">
        <f t="shared" si="44"/>
        <v/>
      </c>
      <c r="W199" s="14" t="str">
        <f>IF(X199="","",IFERROR(INDEX($AL$11:$AL$4010,MATCH(189,$AY$11:$AY$4010,0)),""))</f>
        <v/>
      </c>
      <c r="X199" s="12" t="str">
        <f>IFERROR(INDEX($AM$11:$AM$4010,MATCH(189,$AY$11:$AY$4010,0)),"")</f>
        <v/>
      </c>
      <c r="Y199" s="11" t="str">
        <f>IF(X199="","",IFERROR(INDEX($AN$11:$AN$4010,MATCH(189,$AY$11:$AY$4010,0)),""))</f>
        <v/>
      </c>
      <c r="Z199" s="11" t="str">
        <f>IF(X199="","",IFERROR(INDEX($AO$11:$AO$4010,MATCH(189,$AY$11:$AY$4010,0)),""))</f>
        <v/>
      </c>
      <c r="AA199" s="10" t="str">
        <f>IF(X199="","",IFERROR(INDEX($AQ$11:$AQ$4010,MATCH(189,$AY$11:$AY$4010,0)),""))</f>
        <v/>
      </c>
      <c r="AB199" s="15" t="str">
        <f>IF(X199="","",IFERROR(INDEX($AR$11:$AR$4010,MATCH(189,$AY$11:$AY$4010,0)),""))</f>
        <v/>
      </c>
      <c r="AD199" s="16" t="str">
        <f>IF(AE199="","",IFERROR(INDEX($AL$11:$AL$4010,MATCH(189,$AZ$11:$AZ$4010,0)),""))</f>
        <v/>
      </c>
      <c r="AE199" s="12" t="str">
        <f>IFERROR(INDEX($AM$11:$AM$4010,MATCH(189,$AZ$11:$AZ$4010,0)),"")</f>
        <v/>
      </c>
      <c r="AF199" s="11" t="str">
        <f>IF(AE199="","",IFERROR(INDEX($AN$11:$AN$4010,MATCH(189,$AZ$11:$AZ$4010,0)),""))</f>
        <v/>
      </c>
      <c r="AG199" s="11" t="str">
        <f>IF(AE199="","",IFERROR(INDEX($AO$11:$AO$4010,MATCH(189,$AZ$11:$AZ$4010,0)),""))</f>
        <v/>
      </c>
      <c r="AH199" s="10" t="str">
        <f>IF(AE199="","",IFERROR(INDEX($AQ$11:$AQ$4010,MATCH(189,$AZ$11:$AZ$4010,0)),""))</f>
        <v/>
      </c>
      <c r="AI199" s="15" t="str">
        <f>IF(AE199="","",IFERROR(INDEX($AR$11:$AR$4010,MATCH(189,$AZ$11:$AZ$4010,0)),""))</f>
        <v/>
      </c>
      <c r="AJ199" s="15" t="str">
        <f>IF(AE199="","",IFERROR(INDEX($AT$11:$AT$4010,MATCH(189,$AZ$11:$AZ$4010,0)),""))</f>
        <v/>
      </c>
      <c r="AL199" s="17" t="str">
        <f t="shared" si="35"/>
        <v/>
      </c>
      <c r="AM199" s="12" t="str">
        <f t="shared" si="36"/>
        <v/>
      </c>
      <c r="AN199" s="18" t="str">
        <f t="shared" si="37"/>
        <v/>
      </c>
      <c r="AO199" s="18" t="str">
        <f t="shared" si="38"/>
        <v/>
      </c>
      <c r="AP199" s="10" t="str">
        <f t="shared" si="39"/>
        <v/>
      </c>
      <c r="AQ199" s="10" t="str">
        <f t="shared" si="40"/>
        <v/>
      </c>
      <c r="AR199" s="19" t="str">
        <f t="shared" si="41"/>
        <v/>
      </c>
      <c r="AS199" s="20"/>
      <c r="AT199" s="19"/>
      <c r="AV199" s="21">
        <f>IF(AND($AL199&lt;&gt;"",COUNTIF($AL$11:$AL199,$AL199)=1),1,0)</f>
        <v>0</v>
      </c>
      <c r="AW199" s="21">
        <f t="shared" si="43"/>
        <v>0</v>
      </c>
      <c r="AX199" s="21" t="str">
        <f t="shared" si="42"/>
        <v/>
      </c>
      <c r="AY199" s="21" t="str">
        <f>IF(AND($AM199&lt;&gt;"",$AS199&lt;&gt;"✓"),SUMPRODUCT(($AM$11:$AM199&lt;&gt;"")*($AS$11:$AS199&lt;&gt;"✓")),"")</f>
        <v/>
      </c>
      <c r="AZ199" s="21" t="str">
        <f>IF(AND($AM199&lt;&gt;"",$AS199="✓"),SUMPRODUCT(($AM$11:$AM199&lt;&gt;"")*($AS$11:$AS199="✓")),"")</f>
        <v/>
      </c>
      <c r="BA199" s="21" t="str">
        <f>IF($AL199="","",$AL199&amp;"|"&amp;COUNTIF($AL$11:$AL199,$AL199))</f>
        <v/>
      </c>
    </row>
    <row r="200" spans="2:53" ht="15" customHeight="1" x14ac:dyDescent="0.25">
      <c r="B200" s="5" t="str">
        <f t="shared" si="30"/>
        <v/>
      </c>
      <c r="C200" s="5"/>
      <c r="D200" s="5"/>
      <c r="E200" s="5"/>
      <c r="F200" s="6"/>
      <c r="G200" s="6"/>
      <c r="H200" s="7"/>
      <c r="I200" s="8"/>
      <c r="K200" s="23" t="str">
        <f>IFERROR(INDEX($AL$11:$AL$4010,MATCH(190,$AX$11:$AX$4010,0)),"")</f>
        <v/>
      </c>
      <c r="L200" s="24" t="str">
        <f t="shared" si="31"/>
        <v/>
      </c>
      <c r="M200" s="25" t="str">
        <f t="shared" si="32"/>
        <v/>
      </c>
      <c r="N200" s="25" t="str">
        <f t="shared" si="33"/>
        <v/>
      </c>
      <c r="P200" s="26" t="str">
        <f>IFERROR(INDEX($AM$11:$AM$4010,MATCH($S$8&amp;"|"&amp;190,$BA$11:$BA$4010,0)),"")</f>
        <v/>
      </c>
      <c r="Q200" s="25" t="str">
        <f>IF(P200="","",IFERROR(INDEX($AN$11:$AN$4010,MATCH($S$8&amp;"|"&amp;190,$BA$11:$BA$4010,0)),""))</f>
        <v/>
      </c>
      <c r="R200" s="25" t="str">
        <f>IF(P200="","",IFERROR(INDEX($AO$11:$AO$4010,MATCH($S$8&amp;"|"&amp;190,$BA$11:$BA$4010,0)),""))</f>
        <v/>
      </c>
      <c r="S200" s="24" t="str">
        <f>IF(P200="","",IFERROR(INDEX($AP$11:$AP$4010,MATCH($S$8&amp;"|"&amp;190,$BA$11:$BA$4010,0)),""))</f>
        <v/>
      </c>
      <c r="T200" s="24" t="str">
        <f>IF(P200="","",IFERROR(INDEX($AQ$11:$AQ$4010,MATCH($S$8&amp;"|"&amp;190,$BA$11:$BA$4010,0)),""))</f>
        <v/>
      </c>
      <c r="U200" s="38" t="str">
        <f t="shared" si="44"/>
        <v/>
      </c>
      <c r="W200" s="28" t="str">
        <f>IF(X200="","",IFERROR(INDEX($AL$11:$AL$4010,MATCH(190,$AY$11:$AY$4010,0)),""))</f>
        <v/>
      </c>
      <c r="X200" s="26" t="str">
        <f>IFERROR(INDEX($AM$11:$AM$4010,MATCH(190,$AY$11:$AY$4010,0)),"")</f>
        <v/>
      </c>
      <c r="Y200" s="25" t="str">
        <f>IF(X200="","",IFERROR(INDEX($AN$11:$AN$4010,MATCH(190,$AY$11:$AY$4010,0)),""))</f>
        <v/>
      </c>
      <c r="Z200" s="25" t="str">
        <f>IF(X200="","",IFERROR(INDEX($AO$11:$AO$4010,MATCH(190,$AY$11:$AY$4010,0)),""))</f>
        <v/>
      </c>
      <c r="AA200" s="24" t="str">
        <f>IF(X200="","",IFERROR(INDEX($AQ$11:$AQ$4010,MATCH(190,$AY$11:$AY$4010,0)),""))</f>
        <v/>
      </c>
      <c r="AB200" s="29" t="str">
        <f>IF(X200="","",IFERROR(INDEX($AR$11:$AR$4010,MATCH(190,$AY$11:$AY$4010,0)),""))</f>
        <v/>
      </c>
      <c r="AD200" s="30" t="str">
        <f>IF(AE200="","",IFERROR(INDEX($AL$11:$AL$4010,MATCH(190,$AZ$11:$AZ$4010,0)),""))</f>
        <v/>
      </c>
      <c r="AE200" s="26" t="str">
        <f>IFERROR(INDEX($AM$11:$AM$4010,MATCH(190,$AZ$11:$AZ$4010,0)),"")</f>
        <v/>
      </c>
      <c r="AF200" s="25" t="str">
        <f>IF(AE200="","",IFERROR(INDEX($AN$11:$AN$4010,MATCH(190,$AZ$11:$AZ$4010,0)),""))</f>
        <v/>
      </c>
      <c r="AG200" s="25" t="str">
        <f>IF(AE200="","",IFERROR(INDEX($AO$11:$AO$4010,MATCH(190,$AZ$11:$AZ$4010,0)),""))</f>
        <v/>
      </c>
      <c r="AH200" s="24" t="str">
        <f>IF(AE200="","",IFERROR(INDEX($AQ$11:$AQ$4010,MATCH(190,$AZ$11:$AZ$4010,0)),""))</f>
        <v/>
      </c>
      <c r="AI200" s="29" t="str">
        <f>IF(AE200="","",IFERROR(INDEX($AR$11:$AR$4010,MATCH(190,$AZ$11:$AZ$4010,0)),""))</f>
        <v/>
      </c>
      <c r="AJ200" s="29" t="str">
        <f>IF(AE200="","",IFERROR(INDEX($AT$11:$AT$4010,MATCH(190,$AZ$11:$AZ$4010,0)),""))</f>
        <v/>
      </c>
      <c r="AL200" s="31" t="str">
        <f t="shared" si="35"/>
        <v/>
      </c>
      <c r="AM200" s="26" t="str">
        <f t="shared" si="36"/>
        <v/>
      </c>
      <c r="AN200" s="32" t="str">
        <f t="shared" si="37"/>
        <v/>
      </c>
      <c r="AO200" s="32" t="str">
        <f t="shared" si="38"/>
        <v/>
      </c>
      <c r="AP200" s="24" t="str">
        <f t="shared" si="39"/>
        <v/>
      </c>
      <c r="AQ200" s="24" t="str">
        <f t="shared" si="40"/>
        <v/>
      </c>
      <c r="AR200" s="33" t="str">
        <f t="shared" si="41"/>
        <v/>
      </c>
      <c r="AS200" s="34"/>
      <c r="AT200" s="33"/>
      <c r="AV200" s="21">
        <f>IF(AND($AL200&lt;&gt;"",COUNTIF($AL$11:$AL200,$AL200)=1),1,0)</f>
        <v>0</v>
      </c>
      <c r="AW200" s="21">
        <f t="shared" si="43"/>
        <v>0</v>
      </c>
      <c r="AX200" s="21" t="str">
        <f t="shared" si="42"/>
        <v/>
      </c>
      <c r="AY200" s="21" t="str">
        <f>IF(AND($AM200&lt;&gt;"",$AS200&lt;&gt;"✓"),SUMPRODUCT(($AM$11:$AM200&lt;&gt;"")*($AS$11:$AS200&lt;&gt;"✓")),"")</f>
        <v/>
      </c>
      <c r="AZ200" s="21" t="str">
        <f>IF(AND($AM200&lt;&gt;"",$AS200="✓"),SUMPRODUCT(($AM$11:$AM200&lt;&gt;"")*($AS$11:$AS200="✓")),"")</f>
        <v/>
      </c>
      <c r="BA200" s="21" t="str">
        <f>IF($AL200="","",$AL200&amp;"|"&amp;COUNTIF($AL$11:$AL200,$AL200))</f>
        <v/>
      </c>
    </row>
    <row r="201" spans="2:53" ht="15" customHeight="1" x14ac:dyDescent="0.25">
      <c r="B201" s="5" t="str">
        <f t="shared" si="30"/>
        <v/>
      </c>
      <c r="C201" s="5"/>
      <c r="D201" s="5"/>
      <c r="E201" s="5"/>
      <c r="F201" s="6"/>
      <c r="G201" s="6"/>
      <c r="H201" s="7"/>
      <c r="I201" s="8"/>
      <c r="K201" s="9" t="str">
        <f>IFERROR(INDEX($AL$11:$AL$4010,MATCH(191,$AX$11:$AX$4010,0)),"")</f>
        <v/>
      </c>
      <c r="L201" s="10" t="str">
        <f t="shared" si="31"/>
        <v/>
      </c>
      <c r="M201" s="11" t="str">
        <f t="shared" si="32"/>
        <v/>
      </c>
      <c r="N201" s="11" t="str">
        <f t="shared" si="33"/>
        <v/>
      </c>
      <c r="P201" s="12" t="str">
        <f>IFERROR(INDEX($AM$11:$AM$4010,MATCH($S$8&amp;"|"&amp;191,$BA$11:$BA$4010,0)),"")</f>
        <v/>
      </c>
      <c r="Q201" s="11" t="str">
        <f>IF(P201="","",IFERROR(INDEX($AN$11:$AN$4010,MATCH($S$8&amp;"|"&amp;191,$BA$11:$BA$4010,0)),""))</f>
        <v/>
      </c>
      <c r="R201" s="11" t="str">
        <f>IF(P201="","",IFERROR(INDEX($AO$11:$AO$4010,MATCH($S$8&amp;"|"&amp;191,$BA$11:$BA$4010,0)),""))</f>
        <v/>
      </c>
      <c r="S201" s="10" t="str">
        <f>IF(P201="","",IFERROR(INDEX($AP$11:$AP$4010,MATCH($S$8&amp;"|"&amp;191,$BA$11:$BA$4010,0)),""))</f>
        <v/>
      </c>
      <c r="T201" s="10" t="str">
        <f>IF(P201="","",IFERROR(INDEX($AQ$11:$AQ$4010,MATCH($S$8&amp;"|"&amp;191,$BA$11:$BA$4010,0)),""))</f>
        <v/>
      </c>
      <c r="U201" s="39" t="str">
        <f t="shared" si="44"/>
        <v/>
      </c>
      <c r="W201" s="14" t="str">
        <f>IF(X201="","",IFERROR(INDEX($AL$11:$AL$4010,MATCH(191,$AY$11:$AY$4010,0)),""))</f>
        <v/>
      </c>
      <c r="X201" s="12" t="str">
        <f>IFERROR(INDEX($AM$11:$AM$4010,MATCH(191,$AY$11:$AY$4010,0)),"")</f>
        <v/>
      </c>
      <c r="Y201" s="11" t="str">
        <f>IF(X201="","",IFERROR(INDEX($AN$11:$AN$4010,MATCH(191,$AY$11:$AY$4010,0)),""))</f>
        <v/>
      </c>
      <c r="Z201" s="11" t="str">
        <f>IF(X201="","",IFERROR(INDEX($AO$11:$AO$4010,MATCH(191,$AY$11:$AY$4010,0)),""))</f>
        <v/>
      </c>
      <c r="AA201" s="10" t="str">
        <f>IF(X201="","",IFERROR(INDEX($AQ$11:$AQ$4010,MATCH(191,$AY$11:$AY$4010,0)),""))</f>
        <v/>
      </c>
      <c r="AB201" s="15" t="str">
        <f>IF(X201="","",IFERROR(INDEX($AR$11:$AR$4010,MATCH(191,$AY$11:$AY$4010,0)),""))</f>
        <v/>
      </c>
      <c r="AD201" s="16" t="str">
        <f>IF(AE201="","",IFERROR(INDEX($AL$11:$AL$4010,MATCH(191,$AZ$11:$AZ$4010,0)),""))</f>
        <v/>
      </c>
      <c r="AE201" s="12" t="str">
        <f>IFERROR(INDEX($AM$11:$AM$4010,MATCH(191,$AZ$11:$AZ$4010,0)),"")</f>
        <v/>
      </c>
      <c r="AF201" s="11" t="str">
        <f>IF(AE201="","",IFERROR(INDEX($AN$11:$AN$4010,MATCH(191,$AZ$11:$AZ$4010,0)),""))</f>
        <v/>
      </c>
      <c r="AG201" s="11" t="str">
        <f>IF(AE201="","",IFERROR(INDEX($AO$11:$AO$4010,MATCH(191,$AZ$11:$AZ$4010,0)),""))</f>
        <v/>
      </c>
      <c r="AH201" s="10" t="str">
        <f>IF(AE201="","",IFERROR(INDEX($AQ$11:$AQ$4010,MATCH(191,$AZ$11:$AZ$4010,0)),""))</f>
        <v/>
      </c>
      <c r="AI201" s="15" t="str">
        <f>IF(AE201="","",IFERROR(INDEX($AR$11:$AR$4010,MATCH(191,$AZ$11:$AZ$4010,0)),""))</f>
        <v/>
      </c>
      <c r="AJ201" s="15" t="str">
        <f>IF(AE201="","",IFERROR(INDEX($AT$11:$AT$4010,MATCH(191,$AZ$11:$AZ$4010,0)),""))</f>
        <v/>
      </c>
      <c r="AL201" s="17" t="str">
        <f t="shared" si="35"/>
        <v/>
      </c>
      <c r="AM201" s="12" t="str">
        <f t="shared" si="36"/>
        <v/>
      </c>
      <c r="AN201" s="18" t="str">
        <f t="shared" si="37"/>
        <v/>
      </c>
      <c r="AO201" s="18" t="str">
        <f t="shared" si="38"/>
        <v/>
      </c>
      <c r="AP201" s="10" t="str">
        <f t="shared" si="39"/>
        <v/>
      </c>
      <c r="AQ201" s="10" t="str">
        <f t="shared" si="40"/>
        <v/>
      </c>
      <c r="AR201" s="19" t="str">
        <f t="shared" si="41"/>
        <v/>
      </c>
      <c r="AS201" s="20"/>
      <c r="AT201" s="19"/>
      <c r="AV201" s="21">
        <f>IF(AND($AL201&lt;&gt;"",COUNTIF($AL$11:$AL201,$AL201)=1),1,0)</f>
        <v>0</v>
      </c>
      <c r="AW201" s="21">
        <f t="shared" si="43"/>
        <v>0</v>
      </c>
      <c r="AX201" s="21" t="str">
        <f t="shared" si="42"/>
        <v/>
      </c>
      <c r="AY201" s="21" t="str">
        <f>IF(AND($AM201&lt;&gt;"",$AS201&lt;&gt;"✓"),SUMPRODUCT(($AM$11:$AM201&lt;&gt;"")*($AS$11:$AS201&lt;&gt;"✓")),"")</f>
        <v/>
      </c>
      <c r="AZ201" s="21" t="str">
        <f>IF(AND($AM201&lt;&gt;"",$AS201="✓"),SUMPRODUCT(($AM$11:$AM201&lt;&gt;"")*($AS$11:$AS201="✓")),"")</f>
        <v/>
      </c>
      <c r="BA201" s="21" t="str">
        <f>IF($AL201="","",$AL201&amp;"|"&amp;COUNTIF($AL$11:$AL201,$AL201))</f>
        <v/>
      </c>
    </row>
    <row r="202" spans="2:53" ht="15" customHeight="1" x14ac:dyDescent="0.25">
      <c r="B202" s="5" t="str">
        <f t="shared" si="30"/>
        <v/>
      </c>
      <c r="C202" s="5"/>
      <c r="D202" s="5"/>
      <c r="E202" s="5"/>
      <c r="F202" s="6"/>
      <c r="G202" s="6"/>
      <c r="H202" s="7"/>
      <c r="I202" s="8"/>
      <c r="K202" s="23" t="str">
        <f>IFERROR(INDEX($AL$11:$AL$4010,MATCH(192,$AX$11:$AX$4010,0)),"")</f>
        <v/>
      </c>
      <c r="L202" s="24" t="str">
        <f t="shared" si="31"/>
        <v/>
      </c>
      <c r="M202" s="25" t="str">
        <f t="shared" si="32"/>
        <v/>
      </c>
      <c r="N202" s="25" t="str">
        <f t="shared" si="33"/>
        <v/>
      </c>
      <c r="P202" s="26" t="str">
        <f>IFERROR(INDEX($AM$11:$AM$4010,MATCH($S$8&amp;"|"&amp;192,$BA$11:$BA$4010,0)),"")</f>
        <v/>
      </c>
      <c r="Q202" s="25" t="str">
        <f>IF(P202="","",IFERROR(INDEX($AN$11:$AN$4010,MATCH($S$8&amp;"|"&amp;192,$BA$11:$BA$4010,0)),""))</f>
        <v/>
      </c>
      <c r="R202" s="25" t="str">
        <f>IF(P202="","",IFERROR(INDEX($AO$11:$AO$4010,MATCH($S$8&amp;"|"&amp;192,$BA$11:$BA$4010,0)),""))</f>
        <v/>
      </c>
      <c r="S202" s="24" t="str">
        <f>IF(P202="","",IFERROR(INDEX($AP$11:$AP$4010,MATCH($S$8&amp;"|"&amp;192,$BA$11:$BA$4010,0)),""))</f>
        <v/>
      </c>
      <c r="T202" s="24" t="str">
        <f>IF(P202="","",IFERROR(INDEX($AQ$11:$AQ$4010,MATCH($S$8&amp;"|"&amp;192,$BA$11:$BA$4010,0)),""))</f>
        <v/>
      </c>
      <c r="U202" s="38" t="str">
        <f t="shared" si="44"/>
        <v/>
      </c>
      <c r="W202" s="28" t="str">
        <f>IF(X202="","",IFERROR(INDEX($AL$11:$AL$4010,MATCH(192,$AY$11:$AY$4010,0)),""))</f>
        <v/>
      </c>
      <c r="X202" s="26" t="str">
        <f>IFERROR(INDEX($AM$11:$AM$4010,MATCH(192,$AY$11:$AY$4010,0)),"")</f>
        <v/>
      </c>
      <c r="Y202" s="25" t="str">
        <f>IF(X202="","",IFERROR(INDEX($AN$11:$AN$4010,MATCH(192,$AY$11:$AY$4010,0)),""))</f>
        <v/>
      </c>
      <c r="Z202" s="25" t="str">
        <f>IF(X202="","",IFERROR(INDEX($AO$11:$AO$4010,MATCH(192,$AY$11:$AY$4010,0)),""))</f>
        <v/>
      </c>
      <c r="AA202" s="24" t="str">
        <f>IF(X202="","",IFERROR(INDEX($AQ$11:$AQ$4010,MATCH(192,$AY$11:$AY$4010,0)),""))</f>
        <v/>
      </c>
      <c r="AB202" s="29" t="str">
        <f>IF(X202="","",IFERROR(INDEX($AR$11:$AR$4010,MATCH(192,$AY$11:$AY$4010,0)),""))</f>
        <v/>
      </c>
      <c r="AD202" s="30" t="str">
        <f>IF(AE202="","",IFERROR(INDEX($AL$11:$AL$4010,MATCH(192,$AZ$11:$AZ$4010,0)),""))</f>
        <v/>
      </c>
      <c r="AE202" s="26" t="str">
        <f>IFERROR(INDEX($AM$11:$AM$4010,MATCH(192,$AZ$11:$AZ$4010,0)),"")</f>
        <v/>
      </c>
      <c r="AF202" s="25" t="str">
        <f>IF(AE202="","",IFERROR(INDEX($AN$11:$AN$4010,MATCH(192,$AZ$11:$AZ$4010,0)),""))</f>
        <v/>
      </c>
      <c r="AG202" s="25" t="str">
        <f>IF(AE202="","",IFERROR(INDEX($AO$11:$AO$4010,MATCH(192,$AZ$11:$AZ$4010,0)),""))</f>
        <v/>
      </c>
      <c r="AH202" s="24" t="str">
        <f>IF(AE202="","",IFERROR(INDEX($AQ$11:$AQ$4010,MATCH(192,$AZ$11:$AZ$4010,0)),""))</f>
        <v/>
      </c>
      <c r="AI202" s="29" t="str">
        <f>IF(AE202="","",IFERROR(INDEX($AR$11:$AR$4010,MATCH(192,$AZ$11:$AZ$4010,0)),""))</f>
        <v/>
      </c>
      <c r="AJ202" s="29" t="str">
        <f>IF(AE202="","",IFERROR(INDEX($AT$11:$AT$4010,MATCH(192,$AZ$11:$AZ$4010,0)),""))</f>
        <v/>
      </c>
      <c r="AL202" s="31" t="str">
        <f t="shared" si="35"/>
        <v/>
      </c>
      <c r="AM202" s="26" t="str">
        <f t="shared" si="36"/>
        <v/>
      </c>
      <c r="AN202" s="32" t="str">
        <f t="shared" si="37"/>
        <v/>
      </c>
      <c r="AO202" s="32" t="str">
        <f t="shared" si="38"/>
        <v/>
      </c>
      <c r="AP202" s="24" t="str">
        <f t="shared" si="39"/>
        <v/>
      </c>
      <c r="AQ202" s="24" t="str">
        <f t="shared" si="40"/>
        <v/>
      </c>
      <c r="AR202" s="33" t="str">
        <f t="shared" si="41"/>
        <v/>
      </c>
      <c r="AS202" s="34"/>
      <c r="AT202" s="33"/>
      <c r="AV202" s="21">
        <f>IF(AND($AL202&lt;&gt;"",COUNTIF($AL$11:$AL202,$AL202)=1),1,0)</f>
        <v>0</v>
      </c>
      <c r="AW202" s="21">
        <f t="shared" si="43"/>
        <v>0</v>
      </c>
      <c r="AX202" s="21" t="str">
        <f t="shared" si="42"/>
        <v/>
      </c>
      <c r="AY202" s="21" t="str">
        <f>IF(AND($AM202&lt;&gt;"",$AS202&lt;&gt;"✓"),SUMPRODUCT(($AM$11:$AM202&lt;&gt;"")*($AS$11:$AS202&lt;&gt;"✓")),"")</f>
        <v/>
      </c>
      <c r="AZ202" s="21" t="str">
        <f>IF(AND($AM202&lt;&gt;"",$AS202="✓"),SUMPRODUCT(($AM$11:$AM202&lt;&gt;"")*($AS$11:$AS202="✓")),"")</f>
        <v/>
      </c>
      <c r="BA202" s="21" t="str">
        <f>IF($AL202="","",$AL202&amp;"|"&amp;COUNTIF($AL$11:$AL202,$AL202))</f>
        <v/>
      </c>
    </row>
    <row r="203" spans="2:53" ht="15" customHeight="1" x14ac:dyDescent="0.25">
      <c r="B203" s="5" t="str">
        <f t="shared" ref="B203:B266" si="45">IF($C203="","",ROW()-10)</f>
        <v/>
      </c>
      <c r="C203" s="5"/>
      <c r="D203" s="5"/>
      <c r="E203" s="5"/>
      <c r="F203" s="6"/>
      <c r="G203" s="6"/>
      <c r="H203" s="7"/>
      <c r="I203" s="8"/>
      <c r="K203" s="9" t="str">
        <f>IFERROR(INDEX($AL$11:$AL$4010,MATCH(193,$AX$11:$AX$4010,0)),"")</f>
        <v/>
      </c>
      <c r="L203" s="10" t="str">
        <f t="shared" ref="L203:L266" si="46">IF(K203="","",COUNTIF($AL$11:$AL$4010,K203))</f>
        <v/>
      </c>
      <c r="M203" s="11" t="str">
        <f t="shared" ref="M203:M266" si="47">IF(K203="","",SUMIF($AL$11:$AL$4010,K203,$AN$11:$AN$4010))</f>
        <v/>
      </c>
      <c r="N203" s="11" t="str">
        <f t="shared" ref="N203:N266" si="48">IF(K203="","",SUMIF($AL$11:$AL$4010,K203,$AO$11:$AO$4010))</f>
        <v/>
      </c>
      <c r="P203" s="12" t="str">
        <f>IFERROR(INDEX($AM$11:$AM$4010,MATCH($S$8&amp;"|"&amp;193,$BA$11:$BA$4010,0)),"")</f>
        <v/>
      </c>
      <c r="Q203" s="11" t="str">
        <f>IF(P203="","",IFERROR(INDEX($AN$11:$AN$4010,MATCH($S$8&amp;"|"&amp;193,$BA$11:$BA$4010,0)),""))</f>
        <v/>
      </c>
      <c r="R203" s="11" t="str">
        <f>IF(P203="","",IFERROR(INDEX($AO$11:$AO$4010,MATCH($S$8&amp;"|"&amp;193,$BA$11:$BA$4010,0)),""))</f>
        <v/>
      </c>
      <c r="S203" s="10" t="str">
        <f>IF(P203="","",IFERROR(INDEX($AP$11:$AP$4010,MATCH($S$8&amp;"|"&amp;193,$BA$11:$BA$4010,0)),""))</f>
        <v/>
      </c>
      <c r="T203" s="10" t="str">
        <f>IF(P203="","",IFERROR(INDEX($AQ$11:$AQ$4010,MATCH($S$8&amp;"|"&amp;193,$BA$11:$BA$4010,0)),""))</f>
        <v/>
      </c>
      <c r="U203" s="39" t="str">
        <f t="shared" ref="U203:U210" si="49">IF(P203="","",$S$8)</f>
        <v/>
      </c>
      <c r="W203" s="14" t="str">
        <f>IF(X203="","",IFERROR(INDEX($AL$11:$AL$4010,MATCH(193,$AY$11:$AY$4010,0)),""))</f>
        <v/>
      </c>
      <c r="X203" s="12" t="str">
        <f>IFERROR(INDEX($AM$11:$AM$4010,MATCH(193,$AY$11:$AY$4010,0)),"")</f>
        <v/>
      </c>
      <c r="Y203" s="11" t="str">
        <f>IF(X203="","",IFERROR(INDEX($AN$11:$AN$4010,MATCH(193,$AY$11:$AY$4010,0)),""))</f>
        <v/>
      </c>
      <c r="Z203" s="11" t="str">
        <f>IF(X203="","",IFERROR(INDEX($AO$11:$AO$4010,MATCH(193,$AY$11:$AY$4010,0)),""))</f>
        <v/>
      </c>
      <c r="AA203" s="10" t="str">
        <f>IF(X203="","",IFERROR(INDEX($AQ$11:$AQ$4010,MATCH(193,$AY$11:$AY$4010,0)),""))</f>
        <v/>
      </c>
      <c r="AB203" s="15" t="str">
        <f>IF(X203="","",IFERROR(INDEX($AR$11:$AR$4010,MATCH(193,$AY$11:$AY$4010,0)),""))</f>
        <v/>
      </c>
      <c r="AD203" s="16" t="str">
        <f>IF(AE203="","",IFERROR(INDEX($AL$11:$AL$4010,MATCH(193,$AZ$11:$AZ$4010,0)),""))</f>
        <v/>
      </c>
      <c r="AE203" s="12" t="str">
        <f>IFERROR(INDEX($AM$11:$AM$4010,MATCH(193,$AZ$11:$AZ$4010,0)),"")</f>
        <v/>
      </c>
      <c r="AF203" s="11" t="str">
        <f>IF(AE203="","",IFERROR(INDEX($AN$11:$AN$4010,MATCH(193,$AZ$11:$AZ$4010,0)),""))</f>
        <v/>
      </c>
      <c r="AG203" s="11" t="str">
        <f>IF(AE203="","",IFERROR(INDEX($AO$11:$AO$4010,MATCH(193,$AZ$11:$AZ$4010,0)),""))</f>
        <v/>
      </c>
      <c r="AH203" s="10" t="str">
        <f>IF(AE203="","",IFERROR(INDEX($AQ$11:$AQ$4010,MATCH(193,$AZ$11:$AZ$4010,0)),""))</f>
        <v/>
      </c>
      <c r="AI203" s="15" t="str">
        <f>IF(AE203="","",IFERROR(INDEX($AR$11:$AR$4010,MATCH(193,$AZ$11:$AZ$4010,0)),""))</f>
        <v/>
      </c>
      <c r="AJ203" s="15" t="str">
        <f>IF(AE203="","",IFERROR(INDEX($AT$11:$AT$4010,MATCH(193,$AZ$11:$AZ$4010,0)),""))</f>
        <v/>
      </c>
      <c r="AL203" s="17" t="str">
        <f t="shared" ref="AL203:AL266" si="50">IF($C203="","",$I203)</f>
        <v/>
      </c>
      <c r="AM203" s="12" t="str">
        <f t="shared" ref="AM203:AM266" si="51">IF($C203="","",$C203)</f>
        <v/>
      </c>
      <c r="AN203" s="18" t="str">
        <f t="shared" ref="AN203:AN266" si="52">IF($C203="","",$F203)</f>
        <v/>
      </c>
      <c r="AO203" s="18" t="str">
        <f t="shared" ref="AO203:AO266" si="53">IF($C203="","",$G203)</f>
        <v/>
      </c>
      <c r="AP203" s="10" t="str">
        <f t="shared" ref="AP203:AP266" si="54">IF($C203="","",$D203)</f>
        <v/>
      </c>
      <c r="AQ203" s="10" t="str">
        <f t="shared" ref="AQ203:AQ266" si="55">IF($C203="","",$E203)</f>
        <v/>
      </c>
      <c r="AR203" s="19" t="str">
        <f t="shared" ref="AR203:AR266" si="56">IF($C203="","",$H203)</f>
        <v/>
      </c>
      <c r="AS203" s="20"/>
      <c r="AT203" s="19"/>
      <c r="AV203" s="21">
        <f>IF(AND($AL203&lt;&gt;"",COUNTIF($AL$11:$AL203,$AL203)=1),1,0)</f>
        <v>0</v>
      </c>
      <c r="AW203" s="21">
        <f t="shared" si="43"/>
        <v>0</v>
      </c>
      <c r="AX203" s="21" t="str">
        <f t="shared" ref="AX203:AX266" si="57">IF(AV203=1,AW203,"")</f>
        <v/>
      </c>
      <c r="AY203" s="21" t="str">
        <f>IF(AND($AM203&lt;&gt;"",$AS203&lt;&gt;"✓"),SUMPRODUCT(($AM$11:$AM203&lt;&gt;"")*($AS$11:$AS203&lt;&gt;"✓")),"")</f>
        <v/>
      </c>
      <c r="AZ203" s="21" t="str">
        <f>IF(AND($AM203&lt;&gt;"",$AS203="✓"),SUMPRODUCT(($AM$11:$AM203&lt;&gt;"")*($AS$11:$AS203="✓")),"")</f>
        <v/>
      </c>
      <c r="BA203" s="21" t="str">
        <f>IF($AL203="","",$AL203&amp;"|"&amp;COUNTIF($AL$11:$AL203,$AL203))</f>
        <v/>
      </c>
    </row>
    <row r="204" spans="2:53" ht="15" customHeight="1" x14ac:dyDescent="0.25">
      <c r="B204" s="5" t="str">
        <f t="shared" si="45"/>
        <v/>
      </c>
      <c r="C204" s="5"/>
      <c r="D204" s="5"/>
      <c r="E204" s="5"/>
      <c r="F204" s="6"/>
      <c r="G204" s="6"/>
      <c r="H204" s="7"/>
      <c r="I204" s="8"/>
      <c r="K204" s="23" t="str">
        <f>IFERROR(INDEX($AL$11:$AL$4010,MATCH(194,$AX$11:$AX$4010,0)),"")</f>
        <v/>
      </c>
      <c r="L204" s="24" t="str">
        <f t="shared" si="46"/>
        <v/>
      </c>
      <c r="M204" s="25" t="str">
        <f t="shared" si="47"/>
        <v/>
      </c>
      <c r="N204" s="25" t="str">
        <f t="shared" si="48"/>
        <v/>
      </c>
      <c r="P204" s="26" t="str">
        <f>IFERROR(INDEX($AM$11:$AM$4010,MATCH($S$8&amp;"|"&amp;194,$BA$11:$BA$4010,0)),"")</f>
        <v/>
      </c>
      <c r="Q204" s="25" t="str">
        <f>IF(P204="","",IFERROR(INDEX($AN$11:$AN$4010,MATCH($S$8&amp;"|"&amp;194,$BA$11:$BA$4010,0)),""))</f>
        <v/>
      </c>
      <c r="R204" s="25" t="str">
        <f>IF(P204="","",IFERROR(INDEX($AO$11:$AO$4010,MATCH($S$8&amp;"|"&amp;194,$BA$11:$BA$4010,0)),""))</f>
        <v/>
      </c>
      <c r="S204" s="24" t="str">
        <f>IF(P204="","",IFERROR(INDEX($AP$11:$AP$4010,MATCH($S$8&amp;"|"&amp;194,$BA$11:$BA$4010,0)),""))</f>
        <v/>
      </c>
      <c r="T204" s="24" t="str">
        <f>IF(P204="","",IFERROR(INDEX($AQ$11:$AQ$4010,MATCH($S$8&amp;"|"&amp;194,$BA$11:$BA$4010,0)),""))</f>
        <v/>
      </c>
      <c r="U204" s="38" t="str">
        <f t="shared" si="49"/>
        <v/>
      </c>
      <c r="W204" s="28" t="str">
        <f>IF(X204="","",IFERROR(INDEX($AL$11:$AL$4010,MATCH(194,$AY$11:$AY$4010,0)),""))</f>
        <v/>
      </c>
      <c r="X204" s="26" t="str">
        <f>IFERROR(INDEX($AM$11:$AM$4010,MATCH(194,$AY$11:$AY$4010,0)),"")</f>
        <v/>
      </c>
      <c r="Y204" s="25" t="str">
        <f>IF(X204="","",IFERROR(INDEX($AN$11:$AN$4010,MATCH(194,$AY$11:$AY$4010,0)),""))</f>
        <v/>
      </c>
      <c r="Z204" s="25" t="str">
        <f>IF(X204="","",IFERROR(INDEX($AO$11:$AO$4010,MATCH(194,$AY$11:$AY$4010,0)),""))</f>
        <v/>
      </c>
      <c r="AA204" s="24" t="str">
        <f>IF(X204="","",IFERROR(INDEX($AQ$11:$AQ$4010,MATCH(194,$AY$11:$AY$4010,0)),""))</f>
        <v/>
      </c>
      <c r="AB204" s="29" t="str">
        <f>IF(X204="","",IFERROR(INDEX($AR$11:$AR$4010,MATCH(194,$AY$11:$AY$4010,0)),""))</f>
        <v/>
      </c>
      <c r="AD204" s="30" t="str">
        <f>IF(AE204="","",IFERROR(INDEX($AL$11:$AL$4010,MATCH(194,$AZ$11:$AZ$4010,0)),""))</f>
        <v/>
      </c>
      <c r="AE204" s="26" t="str">
        <f>IFERROR(INDEX($AM$11:$AM$4010,MATCH(194,$AZ$11:$AZ$4010,0)),"")</f>
        <v/>
      </c>
      <c r="AF204" s="25" t="str">
        <f>IF(AE204="","",IFERROR(INDEX($AN$11:$AN$4010,MATCH(194,$AZ$11:$AZ$4010,0)),""))</f>
        <v/>
      </c>
      <c r="AG204" s="25" t="str">
        <f>IF(AE204="","",IFERROR(INDEX($AO$11:$AO$4010,MATCH(194,$AZ$11:$AZ$4010,0)),""))</f>
        <v/>
      </c>
      <c r="AH204" s="24" t="str">
        <f>IF(AE204="","",IFERROR(INDEX($AQ$11:$AQ$4010,MATCH(194,$AZ$11:$AZ$4010,0)),""))</f>
        <v/>
      </c>
      <c r="AI204" s="29" t="str">
        <f>IF(AE204="","",IFERROR(INDEX($AR$11:$AR$4010,MATCH(194,$AZ$11:$AZ$4010,0)),""))</f>
        <v/>
      </c>
      <c r="AJ204" s="29" t="str">
        <f>IF(AE204="","",IFERROR(INDEX($AT$11:$AT$4010,MATCH(194,$AZ$11:$AZ$4010,0)),""))</f>
        <v/>
      </c>
      <c r="AL204" s="31" t="str">
        <f t="shared" si="50"/>
        <v/>
      </c>
      <c r="AM204" s="26" t="str">
        <f t="shared" si="51"/>
        <v/>
      </c>
      <c r="AN204" s="32" t="str">
        <f t="shared" si="52"/>
        <v/>
      </c>
      <c r="AO204" s="32" t="str">
        <f t="shared" si="53"/>
        <v/>
      </c>
      <c r="AP204" s="24" t="str">
        <f t="shared" si="54"/>
        <v/>
      </c>
      <c r="AQ204" s="24" t="str">
        <f t="shared" si="55"/>
        <v/>
      </c>
      <c r="AR204" s="33" t="str">
        <f t="shared" si="56"/>
        <v/>
      </c>
      <c r="AS204" s="34"/>
      <c r="AT204" s="33"/>
      <c r="AV204" s="21">
        <f>IF(AND($AL204&lt;&gt;"",COUNTIF($AL$11:$AL204,$AL204)=1),1,0)</f>
        <v>0</v>
      </c>
      <c r="AW204" s="21">
        <f t="shared" ref="AW204:AW267" si="58">AW203+AV204</f>
        <v>0</v>
      </c>
      <c r="AX204" s="21" t="str">
        <f t="shared" si="57"/>
        <v/>
      </c>
      <c r="AY204" s="21" t="str">
        <f>IF(AND($AM204&lt;&gt;"",$AS204&lt;&gt;"✓"),SUMPRODUCT(($AM$11:$AM204&lt;&gt;"")*($AS$11:$AS204&lt;&gt;"✓")),"")</f>
        <v/>
      </c>
      <c r="AZ204" s="21" t="str">
        <f>IF(AND($AM204&lt;&gt;"",$AS204="✓"),SUMPRODUCT(($AM$11:$AM204&lt;&gt;"")*($AS$11:$AS204="✓")),"")</f>
        <v/>
      </c>
      <c r="BA204" s="21" t="str">
        <f>IF($AL204="","",$AL204&amp;"|"&amp;COUNTIF($AL$11:$AL204,$AL204))</f>
        <v/>
      </c>
    </row>
    <row r="205" spans="2:53" ht="15" customHeight="1" x14ac:dyDescent="0.25">
      <c r="B205" s="5" t="str">
        <f t="shared" si="45"/>
        <v/>
      </c>
      <c r="C205" s="5"/>
      <c r="D205" s="5"/>
      <c r="E205" s="5"/>
      <c r="F205" s="6"/>
      <c r="G205" s="6"/>
      <c r="H205" s="7"/>
      <c r="I205" s="8"/>
      <c r="K205" s="9" t="str">
        <f>IFERROR(INDEX($AL$11:$AL$4010,MATCH(195,$AX$11:$AX$4010,0)),"")</f>
        <v/>
      </c>
      <c r="L205" s="10" t="str">
        <f t="shared" si="46"/>
        <v/>
      </c>
      <c r="M205" s="11" t="str">
        <f t="shared" si="47"/>
        <v/>
      </c>
      <c r="N205" s="11" t="str">
        <f t="shared" si="48"/>
        <v/>
      </c>
      <c r="P205" s="12" t="str">
        <f>IFERROR(INDEX($AM$11:$AM$4010,MATCH($S$8&amp;"|"&amp;195,$BA$11:$BA$4010,0)),"")</f>
        <v/>
      </c>
      <c r="Q205" s="11" t="str">
        <f>IF(P205="","",IFERROR(INDEX($AN$11:$AN$4010,MATCH($S$8&amp;"|"&amp;195,$BA$11:$BA$4010,0)),""))</f>
        <v/>
      </c>
      <c r="R205" s="11" t="str">
        <f>IF(P205="","",IFERROR(INDEX($AO$11:$AO$4010,MATCH($S$8&amp;"|"&amp;195,$BA$11:$BA$4010,0)),""))</f>
        <v/>
      </c>
      <c r="S205" s="10" t="str">
        <f>IF(P205="","",IFERROR(INDEX($AP$11:$AP$4010,MATCH($S$8&amp;"|"&amp;195,$BA$11:$BA$4010,0)),""))</f>
        <v/>
      </c>
      <c r="T205" s="10" t="str">
        <f>IF(P205="","",IFERROR(INDEX($AQ$11:$AQ$4010,MATCH($S$8&amp;"|"&amp;195,$BA$11:$BA$4010,0)),""))</f>
        <v/>
      </c>
      <c r="U205" s="39" t="str">
        <f t="shared" si="49"/>
        <v/>
      </c>
      <c r="W205" s="14" t="str">
        <f>IF(X205="","",IFERROR(INDEX($AL$11:$AL$4010,MATCH(195,$AY$11:$AY$4010,0)),""))</f>
        <v/>
      </c>
      <c r="X205" s="12" t="str">
        <f>IFERROR(INDEX($AM$11:$AM$4010,MATCH(195,$AY$11:$AY$4010,0)),"")</f>
        <v/>
      </c>
      <c r="Y205" s="11" t="str">
        <f>IF(X205="","",IFERROR(INDEX($AN$11:$AN$4010,MATCH(195,$AY$11:$AY$4010,0)),""))</f>
        <v/>
      </c>
      <c r="Z205" s="11" t="str">
        <f>IF(X205="","",IFERROR(INDEX($AO$11:$AO$4010,MATCH(195,$AY$11:$AY$4010,0)),""))</f>
        <v/>
      </c>
      <c r="AA205" s="10" t="str">
        <f>IF(X205="","",IFERROR(INDEX($AQ$11:$AQ$4010,MATCH(195,$AY$11:$AY$4010,0)),""))</f>
        <v/>
      </c>
      <c r="AB205" s="15" t="str">
        <f>IF(X205="","",IFERROR(INDEX($AR$11:$AR$4010,MATCH(195,$AY$11:$AY$4010,0)),""))</f>
        <v/>
      </c>
      <c r="AD205" s="16" t="str">
        <f>IF(AE205="","",IFERROR(INDEX($AL$11:$AL$4010,MATCH(195,$AZ$11:$AZ$4010,0)),""))</f>
        <v/>
      </c>
      <c r="AE205" s="12" t="str">
        <f>IFERROR(INDEX($AM$11:$AM$4010,MATCH(195,$AZ$11:$AZ$4010,0)),"")</f>
        <v/>
      </c>
      <c r="AF205" s="11" t="str">
        <f>IF(AE205="","",IFERROR(INDEX($AN$11:$AN$4010,MATCH(195,$AZ$11:$AZ$4010,0)),""))</f>
        <v/>
      </c>
      <c r="AG205" s="11" t="str">
        <f>IF(AE205="","",IFERROR(INDEX($AO$11:$AO$4010,MATCH(195,$AZ$11:$AZ$4010,0)),""))</f>
        <v/>
      </c>
      <c r="AH205" s="10" t="str">
        <f>IF(AE205="","",IFERROR(INDEX($AQ$11:$AQ$4010,MATCH(195,$AZ$11:$AZ$4010,0)),""))</f>
        <v/>
      </c>
      <c r="AI205" s="15" t="str">
        <f>IF(AE205="","",IFERROR(INDEX($AR$11:$AR$4010,MATCH(195,$AZ$11:$AZ$4010,0)),""))</f>
        <v/>
      </c>
      <c r="AJ205" s="15" t="str">
        <f>IF(AE205="","",IFERROR(INDEX($AT$11:$AT$4010,MATCH(195,$AZ$11:$AZ$4010,0)),""))</f>
        <v/>
      </c>
      <c r="AL205" s="17" t="str">
        <f t="shared" si="50"/>
        <v/>
      </c>
      <c r="AM205" s="12" t="str">
        <f t="shared" si="51"/>
        <v/>
      </c>
      <c r="AN205" s="18" t="str">
        <f t="shared" si="52"/>
        <v/>
      </c>
      <c r="AO205" s="18" t="str">
        <f t="shared" si="53"/>
        <v/>
      </c>
      <c r="AP205" s="10" t="str">
        <f t="shared" si="54"/>
        <v/>
      </c>
      <c r="AQ205" s="10" t="str">
        <f t="shared" si="55"/>
        <v/>
      </c>
      <c r="AR205" s="19" t="str">
        <f t="shared" si="56"/>
        <v/>
      </c>
      <c r="AS205" s="20"/>
      <c r="AT205" s="19"/>
      <c r="AV205" s="21">
        <f>IF(AND($AL205&lt;&gt;"",COUNTIF($AL$11:$AL205,$AL205)=1),1,0)</f>
        <v>0</v>
      </c>
      <c r="AW205" s="21">
        <f t="shared" si="58"/>
        <v>0</v>
      </c>
      <c r="AX205" s="21" t="str">
        <f t="shared" si="57"/>
        <v/>
      </c>
      <c r="AY205" s="21" t="str">
        <f>IF(AND($AM205&lt;&gt;"",$AS205&lt;&gt;"✓"),SUMPRODUCT(($AM$11:$AM205&lt;&gt;"")*($AS$11:$AS205&lt;&gt;"✓")),"")</f>
        <v/>
      </c>
      <c r="AZ205" s="21" t="str">
        <f>IF(AND($AM205&lt;&gt;"",$AS205="✓"),SUMPRODUCT(($AM$11:$AM205&lt;&gt;"")*($AS$11:$AS205="✓")),"")</f>
        <v/>
      </c>
      <c r="BA205" s="21" t="str">
        <f>IF($AL205="","",$AL205&amp;"|"&amp;COUNTIF($AL$11:$AL205,$AL205))</f>
        <v/>
      </c>
    </row>
    <row r="206" spans="2:53" ht="15" customHeight="1" x14ac:dyDescent="0.25">
      <c r="B206" s="5" t="str">
        <f t="shared" si="45"/>
        <v/>
      </c>
      <c r="C206" s="5"/>
      <c r="D206" s="5"/>
      <c r="E206" s="5"/>
      <c r="F206" s="6"/>
      <c r="G206" s="6"/>
      <c r="H206" s="7"/>
      <c r="I206" s="8"/>
      <c r="K206" s="23" t="str">
        <f>IFERROR(INDEX($AL$11:$AL$4010,MATCH(196,$AX$11:$AX$4010,0)),"")</f>
        <v/>
      </c>
      <c r="L206" s="24" t="str">
        <f t="shared" si="46"/>
        <v/>
      </c>
      <c r="M206" s="25" t="str">
        <f t="shared" si="47"/>
        <v/>
      </c>
      <c r="N206" s="25" t="str">
        <f t="shared" si="48"/>
        <v/>
      </c>
      <c r="P206" s="26" t="str">
        <f>IFERROR(INDEX($AM$11:$AM$4010,MATCH($S$8&amp;"|"&amp;196,$BA$11:$BA$4010,0)),"")</f>
        <v/>
      </c>
      <c r="Q206" s="25" t="str">
        <f>IF(P206="","",IFERROR(INDEX($AN$11:$AN$4010,MATCH($S$8&amp;"|"&amp;196,$BA$11:$BA$4010,0)),""))</f>
        <v/>
      </c>
      <c r="R206" s="25" t="str">
        <f>IF(P206="","",IFERROR(INDEX($AO$11:$AO$4010,MATCH($S$8&amp;"|"&amp;196,$BA$11:$BA$4010,0)),""))</f>
        <v/>
      </c>
      <c r="S206" s="24" t="str">
        <f>IF(P206="","",IFERROR(INDEX($AP$11:$AP$4010,MATCH($S$8&amp;"|"&amp;196,$BA$11:$BA$4010,0)),""))</f>
        <v/>
      </c>
      <c r="T206" s="24" t="str">
        <f>IF(P206="","",IFERROR(INDEX($AQ$11:$AQ$4010,MATCH($S$8&amp;"|"&amp;196,$BA$11:$BA$4010,0)),""))</f>
        <v/>
      </c>
      <c r="U206" s="38" t="str">
        <f t="shared" si="49"/>
        <v/>
      </c>
      <c r="W206" s="28" t="str">
        <f>IF(X206="","",IFERROR(INDEX($AL$11:$AL$4010,MATCH(196,$AY$11:$AY$4010,0)),""))</f>
        <v/>
      </c>
      <c r="X206" s="26" t="str">
        <f>IFERROR(INDEX($AM$11:$AM$4010,MATCH(196,$AY$11:$AY$4010,0)),"")</f>
        <v/>
      </c>
      <c r="Y206" s="25" t="str">
        <f>IF(X206="","",IFERROR(INDEX($AN$11:$AN$4010,MATCH(196,$AY$11:$AY$4010,0)),""))</f>
        <v/>
      </c>
      <c r="Z206" s="25" t="str">
        <f>IF(X206="","",IFERROR(INDEX($AO$11:$AO$4010,MATCH(196,$AY$11:$AY$4010,0)),""))</f>
        <v/>
      </c>
      <c r="AA206" s="24" t="str">
        <f>IF(X206="","",IFERROR(INDEX($AQ$11:$AQ$4010,MATCH(196,$AY$11:$AY$4010,0)),""))</f>
        <v/>
      </c>
      <c r="AB206" s="29" t="str">
        <f>IF(X206="","",IFERROR(INDEX($AR$11:$AR$4010,MATCH(196,$AY$11:$AY$4010,0)),""))</f>
        <v/>
      </c>
      <c r="AD206" s="30" t="str">
        <f>IF(AE206="","",IFERROR(INDEX($AL$11:$AL$4010,MATCH(196,$AZ$11:$AZ$4010,0)),""))</f>
        <v/>
      </c>
      <c r="AE206" s="26" t="str">
        <f>IFERROR(INDEX($AM$11:$AM$4010,MATCH(196,$AZ$11:$AZ$4010,0)),"")</f>
        <v/>
      </c>
      <c r="AF206" s="25" t="str">
        <f>IF(AE206="","",IFERROR(INDEX($AN$11:$AN$4010,MATCH(196,$AZ$11:$AZ$4010,0)),""))</f>
        <v/>
      </c>
      <c r="AG206" s="25" t="str">
        <f>IF(AE206="","",IFERROR(INDEX($AO$11:$AO$4010,MATCH(196,$AZ$11:$AZ$4010,0)),""))</f>
        <v/>
      </c>
      <c r="AH206" s="24" t="str">
        <f>IF(AE206="","",IFERROR(INDEX($AQ$11:$AQ$4010,MATCH(196,$AZ$11:$AZ$4010,0)),""))</f>
        <v/>
      </c>
      <c r="AI206" s="29" t="str">
        <f>IF(AE206="","",IFERROR(INDEX($AR$11:$AR$4010,MATCH(196,$AZ$11:$AZ$4010,0)),""))</f>
        <v/>
      </c>
      <c r="AJ206" s="29" t="str">
        <f>IF(AE206="","",IFERROR(INDEX($AT$11:$AT$4010,MATCH(196,$AZ$11:$AZ$4010,0)),""))</f>
        <v/>
      </c>
      <c r="AL206" s="31" t="str">
        <f t="shared" si="50"/>
        <v/>
      </c>
      <c r="AM206" s="26" t="str">
        <f t="shared" si="51"/>
        <v/>
      </c>
      <c r="AN206" s="32" t="str">
        <f t="shared" si="52"/>
        <v/>
      </c>
      <c r="AO206" s="32" t="str">
        <f t="shared" si="53"/>
        <v/>
      </c>
      <c r="AP206" s="24" t="str">
        <f t="shared" si="54"/>
        <v/>
      </c>
      <c r="AQ206" s="24" t="str">
        <f t="shared" si="55"/>
        <v/>
      </c>
      <c r="AR206" s="33" t="str">
        <f t="shared" si="56"/>
        <v/>
      </c>
      <c r="AS206" s="34"/>
      <c r="AT206" s="33"/>
      <c r="AV206" s="21">
        <f>IF(AND($AL206&lt;&gt;"",COUNTIF($AL$11:$AL206,$AL206)=1),1,0)</f>
        <v>0</v>
      </c>
      <c r="AW206" s="21">
        <f t="shared" si="58"/>
        <v>0</v>
      </c>
      <c r="AX206" s="21" t="str">
        <f t="shared" si="57"/>
        <v/>
      </c>
      <c r="AY206" s="21" t="str">
        <f>IF(AND($AM206&lt;&gt;"",$AS206&lt;&gt;"✓"),SUMPRODUCT(($AM$11:$AM206&lt;&gt;"")*($AS$11:$AS206&lt;&gt;"✓")),"")</f>
        <v/>
      </c>
      <c r="AZ206" s="21" t="str">
        <f>IF(AND($AM206&lt;&gt;"",$AS206="✓"),SUMPRODUCT(($AM$11:$AM206&lt;&gt;"")*($AS$11:$AS206="✓")),"")</f>
        <v/>
      </c>
      <c r="BA206" s="21" t="str">
        <f>IF($AL206="","",$AL206&amp;"|"&amp;COUNTIF($AL$11:$AL206,$AL206))</f>
        <v/>
      </c>
    </row>
    <row r="207" spans="2:53" ht="15" customHeight="1" x14ac:dyDescent="0.25">
      <c r="B207" s="5" t="str">
        <f t="shared" si="45"/>
        <v/>
      </c>
      <c r="C207" s="5"/>
      <c r="D207" s="5"/>
      <c r="E207" s="5"/>
      <c r="F207" s="6"/>
      <c r="G207" s="6"/>
      <c r="H207" s="7"/>
      <c r="I207" s="8"/>
      <c r="K207" s="9" t="str">
        <f>IFERROR(INDEX($AL$11:$AL$4010,MATCH(197,$AX$11:$AX$4010,0)),"")</f>
        <v/>
      </c>
      <c r="L207" s="10" t="str">
        <f t="shared" si="46"/>
        <v/>
      </c>
      <c r="M207" s="11" t="str">
        <f t="shared" si="47"/>
        <v/>
      </c>
      <c r="N207" s="11" t="str">
        <f t="shared" si="48"/>
        <v/>
      </c>
      <c r="P207" s="12" t="str">
        <f>IFERROR(INDEX($AM$11:$AM$4010,MATCH($S$8&amp;"|"&amp;197,$BA$11:$BA$4010,0)),"")</f>
        <v/>
      </c>
      <c r="Q207" s="11" t="str">
        <f>IF(P207="","",IFERROR(INDEX($AN$11:$AN$4010,MATCH($S$8&amp;"|"&amp;197,$BA$11:$BA$4010,0)),""))</f>
        <v/>
      </c>
      <c r="R207" s="11" t="str">
        <f>IF(P207="","",IFERROR(INDEX($AO$11:$AO$4010,MATCH($S$8&amp;"|"&amp;197,$BA$11:$BA$4010,0)),""))</f>
        <v/>
      </c>
      <c r="S207" s="10" t="str">
        <f>IF(P207="","",IFERROR(INDEX($AP$11:$AP$4010,MATCH($S$8&amp;"|"&amp;197,$BA$11:$BA$4010,0)),""))</f>
        <v/>
      </c>
      <c r="T207" s="10" t="str">
        <f>IF(P207="","",IFERROR(INDEX($AQ$11:$AQ$4010,MATCH($S$8&amp;"|"&amp;197,$BA$11:$BA$4010,0)),""))</f>
        <v/>
      </c>
      <c r="U207" s="39" t="str">
        <f t="shared" si="49"/>
        <v/>
      </c>
      <c r="W207" s="14" t="str">
        <f>IF(X207="","",IFERROR(INDEX($AL$11:$AL$4010,MATCH(197,$AY$11:$AY$4010,0)),""))</f>
        <v/>
      </c>
      <c r="X207" s="12" t="str">
        <f>IFERROR(INDEX($AM$11:$AM$4010,MATCH(197,$AY$11:$AY$4010,0)),"")</f>
        <v/>
      </c>
      <c r="Y207" s="11" t="str">
        <f>IF(X207="","",IFERROR(INDEX($AN$11:$AN$4010,MATCH(197,$AY$11:$AY$4010,0)),""))</f>
        <v/>
      </c>
      <c r="Z207" s="11" t="str">
        <f>IF(X207="","",IFERROR(INDEX($AO$11:$AO$4010,MATCH(197,$AY$11:$AY$4010,0)),""))</f>
        <v/>
      </c>
      <c r="AA207" s="10" t="str">
        <f>IF(X207="","",IFERROR(INDEX($AQ$11:$AQ$4010,MATCH(197,$AY$11:$AY$4010,0)),""))</f>
        <v/>
      </c>
      <c r="AB207" s="15" t="str">
        <f>IF(X207="","",IFERROR(INDEX($AR$11:$AR$4010,MATCH(197,$AY$11:$AY$4010,0)),""))</f>
        <v/>
      </c>
      <c r="AD207" s="16" t="str">
        <f>IF(AE207="","",IFERROR(INDEX($AL$11:$AL$4010,MATCH(197,$AZ$11:$AZ$4010,0)),""))</f>
        <v/>
      </c>
      <c r="AE207" s="12" t="str">
        <f>IFERROR(INDEX($AM$11:$AM$4010,MATCH(197,$AZ$11:$AZ$4010,0)),"")</f>
        <v/>
      </c>
      <c r="AF207" s="11" t="str">
        <f>IF(AE207="","",IFERROR(INDEX($AN$11:$AN$4010,MATCH(197,$AZ$11:$AZ$4010,0)),""))</f>
        <v/>
      </c>
      <c r="AG207" s="11" t="str">
        <f>IF(AE207="","",IFERROR(INDEX($AO$11:$AO$4010,MATCH(197,$AZ$11:$AZ$4010,0)),""))</f>
        <v/>
      </c>
      <c r="AH207" s="10" t="str">
        <f>IF(AE207="","",IFERROR(INDEX($AQ$11:$AQ$4010,MATCH(197,$AZ$11:$AZ$4010,0)),""))</f>
        <v/>
      </c>
      <c r="AI207" s="15" t="str">
        <f>IF(AE207="","",IFERROR(INDEX($AR$11:$AR$4010,MATCH(197,$AZ$11:$AZ$4010,0)),""))</f>
        <v/>
      </c>
      <c r="AJ207" s="15" t="str">
        <f>IF(AE207="","",IFERROR(INDEX($AT$11:$AT$4010,MATCH(197,$AZ$11:$AZ$4010,0)),""))</f>
        <v/>
      </c>
      <c r="AL207" s="17" t="str">
        <f t="shared" si="50"/>
        <v/>
      </c>
      <c r="AM207" s="12" t="str">
        <f t="shared" si="51"/>
        <v/>
      </c>
      <c r="AN207" s="18" t="str">
        <f t="shared" si="52"/>
        <v/>
      </c>
      <c r="AO207" s="18" t="str">
        <f t="shared" si="53"/>
        <v/>
      </c>
      <c r="AP207" s="10" t="str">
        <f t="shared" si="54"/>
        <v/>
      </c>
      <c r="AQ207" s="10" t="str">
        <f t="shared" si="55"/>
        <v/>
      </c>
      <c r="AR207" s="19" t="str">
        <f t="shared" si="56"/>
        <v/>
      </c>
      <c r="AS207" s="20"/>
      <c r="AT207" s="19"/>
      <c r="AV207" s="21">
        <f>IF(AND($AL207&lt;&gt;"",COUNTIF($AL$11:$AL207,$AL207)=1),1,0)</f>
        <v>0</v>
      </c>
      <c r="AW207" s="21">
        <f t="shared" si="58"/>
        <v>0</v>
      </c>
      <c r="AX207" s="21" t="str">
        <f t="shared" si="57"/>
        <v/>
      </c>
      <c r="AY207" s="21" t="str">
        <f>IF(AND($AM207&lt;&gt;"",$AS207&lt;&gt;"✓"),SUMPRODUCT(($AM$11:$AM207&lt;&gt;"")*($AS$11:$AS207&lt;&gt;"✓")),"")</f>
        <v/>
      </c>
      <c r="AZ207" s="21" t="str">
        <f>IF(AND($AM207&lt;&gt;"",$AS207="✓"),SUMPRODUCT(($AM$11:$AM207&lt;&gt;"")*($AS$11:$AS207="✓")),"")</f>
        <v/>
      </c>
      <c r="BA207" s="21" t="str">
        <f>IF($AL207="","",$AL207&amp;"|"&amp;COUNTIF($AL$11:$AL207,$AL207))</f>
        <v/>
      </c>
    </row>
    <row r="208" spans="2:53" ht="15" customHeight="1" x14ac:dyDescent="0.25">
      <c r="B208" s="5" t="str">
        <f t="shared" si="45"/>
        <v/>
      </c>
      <c r="C208" s="5"/>
      <c r="D208" s="5"/>
      <c r="E208" s="5"/>
      <c r="F208" s="6"/>
      <c r="G208" s="6"/>
      <c r="H208" s="7"/>
      <c r="I208" s="8"/>
      <c r="K208" s="23" t="str">
        <f>IFERROR(INDEX($AL$11:$AL$4010,MATCH(198,$AX$11:$AX$4010,0)),"")</f>
        <v/>
      </c>
      <c r="L208" s="24" t="str">
        <f t="shared" si="46"/>
        <v/>
      </c>
      <c r="M208" s="25" t="str">
        <f t="shared" si="47"/>
        <v/>
      </c>
      <c r="N208" s="25" t="str">
        <f t="shared" si="48"/>
        <v/>
      </c>
      <c r="P208" s="26" t="str">
        <f>IFERROR(INDEX($AM$11:$AM$4010,MATCH($S$8&amp;"|"&amp;198,$BA$11:$BA$4010,0)),"")</f>
        <v/>
      </c>
      <c r="Q208" s="25" t="str">
        <f>IF(P208="","",IFERROR(INDEX($AN$11:$AN$4010,MATCH($S$8&amp;"|"&amp;198,$BA$11:$BA$4010,0)),""))</f>
        <v/>
      </c>
      <c r="R208" s="25" t="str">
        <f>IF(P208="","",IFERROR(INDEX($AO$11:$AO$4010,MATCH($S$8&amp;"|"&amp;198,$BA$11:$BA$4010,0)),""))</f>
        <v/>
      </c>
      <c r="S208" s="24" t="str">
        <f>IF(P208="","",IFERROR(INDEX($AP$11:$AP$4010,MATCH($S$8&amp;"|"&amp;198,$BA$11:$BA$4010,0)),""))</f>
        <v/>
      </c>
      <c r="T208" s="24" t="str">
        <f>IF(P208="","",IFERROR(INDEX($AQ$11:$AQ$4010,MATCH($S$8&amp;"|"&amp;198,$BA$11:$BA$4010,0)),""))</f>
        <v/>
      </c>
      <c r="U208" s="38" t="str">
        <f t="shared" si="49"/>
        <v/>
      </c>
      <c r="W208" s="28" t="str">
        <f>IF(X208="","",IFERROR(INDEX($AL$11:$AL$4010,MATCH(198,$AY$11:$AY$4010,0)),""))</f>
        <v/>
      </c>
      <c r="X208" s="26" t="str">
        <f>IFERROR(INDEX($AM$11:$AM$4010,MATCH(198,$AY$11:$AY$4010,0)),"")</f>
        <v/>
      </c>
      <c r="Y208" s="25" t="str">
        <f>IF(X208="","",IFERROR(INDEX($AN$11:$AN$4010,MATCH(198,$AY$11:$AY$4010,0)),""))</f>
        <v/>
      </c>
      <c r="Z208" s="25" t="str">
        <f>IF(X208="","",IFERROR(INDEX($AO$11:$AO$4010,MATCH(198,$AY$11:$AY$4010,0)),""))</f>
        <v/>
      </c>
      <c r="AA208" s="24" t="str">
        <f>IF(X208="","",IFERROR(INDEX($AQ$11:$AQ$4010,MATCH(198,$AY$11:$AY$4010,0)),""))</f>
        <v/>
      </c>
      <c r="AB208" s="29" t="str">
        <f>IF(X208="","",IFERROR(INDEX($AR$11:$AR$4010,MATCH(198,$AY$11:$AY$4010,0)),""))</f>
        <v/>
      </c>
      <c r="AD208" s="30" t="str">
        <f>IF(AE208="","",IFERROR(INDEX($AL$11:$AL$4010,MATCH(198,$AZ$11:$AZ$4010,0)),""))</f>
        <v/>
      </c>
      <c r="AE208" s="26" t="str">
        <f>IFERROR(INDEX($AM$11:$AM$4010,MATCH(198,$AZ$11:$AZ$4010,0)),"")</f>
        <v/>
      </c>
      <c r="AF208" s="25" t="str">
        <f>IF(AE208="","",IFERROR(INDEX($AN$11:$AN$4010,MATCH(198,$AZ$11:$AZ$4010,0)),""))</f>
        <v/>
      </c>
      <c r="AG208" s="25" t="str">
        <f>IF(AE208="","",IFERROR(INDEX($AO$11:$AO$4010,MATCH(198,$AZ$11:$AZ$4010,0)),""))</f>
        <v/>
      </c>
      <c r="AH208" s="24" t="str">
        <f>IF(AE208="","",IFERROR(INDEX($AQ$11:$AQ$4010,MATCH(198,$AZ$11:$AZ$4010,0)),""))</f>
        <v/>
      </c>
      <c r="AI208" s="29" t="str">
        <f>IF(AE208="","",IFERROR(INDEX($AR$11:$AR$4010,MATCH(198,$AZ$11:$AZ$4010,0)),""))</f>
        <v/>
      </c>
      <c r="AJ208" s="29" t="str">
        <f>IF(AE208="","",IFERROR(INDEX($AT$11:$AT$4010,MATCH(198,$AZ$11:$AZ$4010,0)),""))</f>
        <v/>
      </c>
      <c r="AL208" s="31" t="str">
        <f t="shared" si="50"/>
        <v/>
      </c>
      <c r="AM208" s="26" t="str">
        <f t="shared" si="51"/>
        <v/>
      </c>
      <c r="AN208" s="32" t="str">
        <f t="shared" si="52"/>
        <v/>
      </c>
      <c r="AO208" s="32" t="str">
        <f t="shared" si="53"/>
        <v/>
      </c>
      <c r="AP208" s="24" t="str">
        <f t="shared" si="54"/>
        <v/>
      </c>
      <c r="AQ208" s="24" t="str">
        <f t="shared" si="55"/>
        <v/>
      </c>
      <c r="AR208" s="33" t="str">
        <f t="shared" si="56"/>
        <v/>
      </c>
      <c r="AS208" s="34"/>
      <c r="AT208" s="33"/>
      <c r="AV208" s="21">
        <f>IF(AND($AL208&lt;&gt;"",COUNTIF($AL$11:$AL208,$AL208)=1),1,0)</f>
        <v>0</v>
      </c>
      <c r="AW208" s="21">
        <f t="shared" si="58"/>
        <v>0</v>
      </c>
      <c r="AX208" s="21" t="str">
        <f t="shared" si="57"/>
        <v/>
      </c>
      <c r="AY208" s="21" t="str">
        <f>IF(AND($AM208&lt;&gt;"",$AS208&lt;&gt;"✓"),SUMPRODUCT(($AM$11:$AM208&lt;&gt;"")*($AS$11:$AS208&lt;&gt;"✓")),"")</f>
        <v/>
      </c>
      <c r="AZ208" s="21" t="str">
        <f>IF(AND($AM208&lt;&gt;"",$AS208="✓"),SUMPRODUCT(($AM$11:$AM208&lt;&gt;"")*($AS$11:$AS208="✓")),"")</f>
        <v/>
      </c>
      <c r="BA208" s="21" t="str">
        <f>IF($AL208="","",$AL208&amp;"|"&amp;COUNTIF($AL$11:$AL208,$AL208))</f>
        <v/>
      </c>
    </row>
    <row r="209" spans="2:53" ht="15" customHeight="1" x14ac:dyDescent="0.25">
      <c r="B209" s="5" t="str">
        <f t="shared" si="45"/>
        <v/>
      </c>
      <c r="C209" s="5"/>
      <c r="D209" s="5"/>
      <c r="E209" s="5"/>
      <c r="F209" s="6"/>
      <c r="G209" s="6"/>
      <c r="H209" s="7"/>
      <c r="I209" s="8"/>
      <c r="K209" s="9" t="str">
        <f>IFERROR(INDEX($AL$11:$AL$4010,MATCH(199,$AX$11:$AX$4010,0)),"")</f>
        <v/>
      </c>
      <c r="L209" s="10" t="str">
        <f t="shared" si="46"/>
        <v/>
      </c>
      <c r="M209" s="11" t="str">
        <f t="shared" si="47"/>
        <v/>
      </c>
      <c r="N209" s="11" t="str">
        <f t="shared" si="48"/>
        <v/>
      </c>
      <c r="P209" s="12" t="str">
        <f>IFERROR(INDEX($AM$11:$AM$4010,MATCH($S$8&amp;"|"&amp;199,$BA$11:$BA$4010,0)),"")</f>
        <v/>
      </c>
      <c r="Q209" s="11" t="str">
        <f>IF(P209="","",IFERROR(INDEX($AN$11:$AN$4010,MATCH($S$8&amp;"|"&amp;199,$BA$11:$BA$4010,0)),""))</f>
        <v/>
      </c>
      <c r="R209" s="11" t="str">
        <f>IF(P209="","",IFERROR(INDEX($AO$11:$AO$4010,MATCH($S$8&amp;"|"&amp;199,$BA$11:$BA$4010,0)),""))</f>
        <v/>
      </c>
      <c r="S209" s="10" t="str">
        <f>IF(P209="","",IFERROR(INDEX($AP$11:$AP$4010,MATCH($S$8&amp;"|"&amp;199,$BA$11:$BA$4010,0)),""))</f>
        <v/>
      </c>
      <c r="T209" s="10" t="str">
        <f>IF(P209="","",IFERROR(INDEX($AQ$11:$AQ$4010,MATCH($S$8&amp;"|"&amp;199,$BA$11:$BA$4010,0)),""))</f>
        <v/>
      </c>
      <c r="U209" s="39" t="str">
        <f t="shared" si="49"/>
        <v/>
      </c>
      <c r="W209" s="14" t="str">
        <f>IF(X209="","",IFERROR(INDEX($AL$11:$AL$4010,MATCH(199,$AY$11:$AY$4010,0)),""))</f>
        <v/>
      </c>
      <c r="X209" s="12" t="str">
        <f>IFERROR(INDEX($AM$11:$AM$4010,MATCH(199,$AY$11:$AY$4010,0)),"")</f>
        <v/>
      </c>
      <c r="Y209" s="11" t="str">
        <f>IF(X209="","",IFERROR(INDEX($AN$11:$AN$4010,MATCH(199,$AY$11:$AY$4010,0)),""))</f>
        <v/>
      </c>
      <c r="Z209" s="11" t="str">
        <f>IF(X209="","",IFERROR(INDEX($AO$11:$AO$4010,MATCH(199,$AY$11:$AY$4010,0)),""))</f>
        <v/>
      </c>
      <c r="AA209" s="10" t="str">
        <f>IF(X209="","",IFERROR(INDEX($AQ$11:$AQ$4010,MATCH(199,$AY$11:$AY$4010,0)),""))</f>
        <v/>
      </c>
      <c r="AB209" s="15" t="str">
        <f>IF(X209="","",IFERROR(INDEX($AR$11:$AR$4010,MATCH(199,$AY$11:$AY$4010,0)),""))</f>
        <v/>
      </c>
      <c r="AD209" s="16" t="str">
        <f>IF(AE209="","",IFERROR(INDEX($AL$11:$AL$4010,MATCH(199,$AZ$11:$AZ$4010,0)),""))</f>
        <v/>
      </c>
      <c r="AE209" s="12" t="str">
        <f>IFERROR(INDEX($AM$11:$AM$4010,MATCH(199,$AZ$11:$AZ$4010,0)),"")</f>
        <v/>
      </c>
      <c r="AF209" s="11" t="str">
        <f>IF(AE209="","",IFERROR(INDEX($AN$11:$AN$4010,MATCH(199,$AZ$11:$AZ$4010,0)),""))</f>
        <v/>
      </c>
      <c r="AG209" s="11" t="str">
        <f>IF(AE209="","",IFERROR(INDEX($AO$11:$AO$4010,MATCH(199,$AZ$11:$AZ$4010,0)),""))</f>
        <v/>
      </c>
      <c r="AH209" s="10" t="str">
        <f>IF(AE209="","",IFERROR(INDEX($AQ$11:$AQ$4010,MATCH(199,$AZ$11:$AZ$4010,0)),""))</f>
        <v/>
      </c>
      <c r="AI209" s="15" t="str">
        <f>IF(AE209="","",IFERROR(INDEX($AR$11:$AR$4010,MATCH(199,$AZ$11:$AZ$4010,0)),""))</f>
        <v/>
      </c>
      <c r="AJ209" s="15" t="str">
        <f>IF(AE209="","",IFERROR(INDEX($AT$11:$AT$4010,MATCH(199,$AZ$11:$AZ$4010,0)),""))</f>
        <v/>
      </c>
      <c r="AL209" s="17" t="str">
        <f t="shared" si="50"/>
        <v/>
      </c>
      <c r="AM209" s="12" t="str">
        <f t="shared" si="51"/>
        <v/>
      </c>
      <c r="AN209" s="18" t="str">
        <f t="shared" si="52"/>
        <v/>
      </c>
      <c r="AO209" s="18" t="str">
        <f t="shared" si="53"/>
        <v/>
      </c>
      <c r="AP209" s="10" t="str">
        <f t="shared" si="54"/>
        <v/>
      </c>
      <c r="AQ209" s="10" t="str">
        <f t="shared" si="55"/>
        <v/>
      </c>
      <c r="AR209" s="19" t="str">
        <f t="shared" si="56"/>
        <v/>
      </c>
      <c r="AS209" s="20"/>
      <c r="AT209" s="19"/>
      <c r="AV209" s="21">
        <f>IF(AND($AL209&lt;&gt;"",COUNTIF($AL$11:$AL209,$AL209)=1),1,0)</f>
        <v>0</v>
      </c>
      <c r="AW209" s="21">
        <f t="shared" si="58"/>
        <v>0</v>
      </c>
      <c r="AX209" s="21" t="str">
        <f t="shared" si="57"/>
        <v/>
      </c>
      <c r="AY209" s="21" t="str">
        <f>IF(AND($AM209&lt;&gt;"",$AS209&lt;&gt;"✓"),SUMPRODUCT(($AM$11:$AM209&lt;&gt;"")*($AS$11:$AS209&lt;&gt;"✓")),"")</f>
        <v/>
      </c>
      <c r="AZ209" s="21" t="str">
        <f>IF(AND($AM209&lt;&gt;"",$AS209="✓"),SUMPRODUCT(($AM$11:$AM209&lt;&gt;"")*($AS$11:$AS209="✓")),"")</f>
        <v/>
      </c>
      <c r="BA209" s="21" t="str">
        <f>IF($AL209="","",$AL209&amp;"|"&amp;COUNTIF($AL$11:$AL209,$AL209))</f>
        <v/>
      </c>
    </row>
    <row r="210" spans="2:53" ht="15" customHeight="1" x14ac:dyDescent="0.25">
      <c r="B210" s="5" t="str">
        <f t="shared" si="45"/>
        <v/>
      </c>
      <c r="C210" s="5"/>
      <c r="D210" s="5"/>
      <c r="E210" s="5"/>
      <c r="F210" s="6"/>
      <c r="G210" s="6"/>
      <c r="H210" s="7"/>
      <c r="I210" s="8"/>
      <c r="K210" s="23" t="str">
        <f>IFERROR(INDEX($AL$11:$AL$4010,MATCH(200,$AX$11:$AX$4010,0)),"")</f>
        <v/>
      </c>
      <c r="L210" s="24" t="str">
        <f t="shared" si="46"/>
        <v/>
      </c>
      <c r="M210" s="25" t="str">
        <f t="shared" si="47"/>
        <v/>
      </c>
      <c r="N210" s="25" t="str">
        <f t="shared" si="48"/>
        <v/>
      </c>
      <c r="P210" s="26" t="str">
        <f>IFERROR(INDEX($AM$11:$AM$4010,MATCH($S$8&amp;"|"&amp;200,$BA$11:$BA$4010,0)),"")</f>
        <v/>
      </c>
      <c r="Q210" s="25" t="str">
        <f>IF(P210="","",IFERROR(INDEX($AN$11:$AN$4010,MATCH($S$8&amp;"|"&amp;200,$BA$11:$BA$4010,0)),""))</f>
        <v/>
      </c>
      <c r="R210" s="25" t="str">
        <f>IF(P210="","",IFERROR(INDEX($AO$11:$AO$4010,MATCH($S$8&amp;"|"&amp;200,$BA$11:$BA$4010,0)),""))</f>
        <v/>
      </c>
      <c r="S210" s="24" t="str">
        <f>IF(P210="","",IFERROR(INDEX($AP$11:$AP$4010,MATCH($S$8&amp;"|"&amp;200,$BA$11:$BA$4010,0)),""))</f>
        <v/>
      </c>
      <c r="T210" s="24" t="str">
        <f>IF(P210="","",IFERROR(INDEX($AQ$11:$AQ$4010,MATCH($S$8&amp;"|"&amp;200,$BA$11:$BA$4010,0)),""))</f>
        <v/>
      </c>
      <c r="U210" s="38" t="str">
        <f t="shared" si="49"/>
        <v/>
      </c>
      <c r="W210" s="28" t="str">
        <f>IF(X210="","",IFERROR(INDEX($AL$11:$AL$4010,MATCH(200,$AY$11:$AY$4010,0)),""))</f>
        <v/>
      </c>
      <c r="X210" s="26" t="str">
        <f>IFERROR(INDEX($AM$11:$AM$4010,MATCH(200,$AY$11:$AY$4010,0)),"")</f>
        <v/>
      </c>
      <c r="Y210" s="25" t="str">
        <f>IF(X210="","",IFERROR(INDEX($AN$11:$AN$4010,MATCH(200,$AY$11:$AY$4010,0)),""))</f>
        <v/>
      </c>
      <c r="Z210" s="25" t="str">
        <f>IF(X210="","",IFERROR(INDEX($AO$11:$AO$4010,MATCH(200,$AY$11:$AY$4010,0)),""))</f>
        <v/>
      </c>
      <c r="AA210" s="24" t="str">
        <f>IF(X210="","",IFERROR(INDEX($AQ$11:$AQ$4010,MATCH(200,$AY$11:$AY$4010,0)),""))</f>
        <v/>
      </c>
      <c r="AB210" s="29" t="str">
        <f>IF(X210="","",IFERROR(INDEX($AR$11:$AR$4010,MATCH(200,$AY$11:$AY$4010,0)),""))</f>
        <v/>
      </c>
      <c r="AD210" s="30" t="str">
        <f>IF(AE210="","",IFERROR(INDEX($AL$11:$AL$4010,MATCH(200,$AZ$11:$AZ$4010,0)),""))</f>
        <v/>
      </c>
      <c r="AE210" s="26" t="str">
        <f>IFERROR(INDEX($AM$11:$AM$4010,MATCH(200,$AZ$11:$AZ$4010,0)),"")</f>
        <v/>
      </c>
      <c r="AF210" s="25" t="str">
        <f>IF(AE210="","",IFERROR(INDEX($AN$11:$AN$4010,MATCH(200,$AZ$11:$AZ$4010,0)),""))</f>
        <v/>
      </c>
      <c r="AG210" s="25" t="str">
        <f>IF(AE210="","",IFERROR(INDEX($AO$11:$AO$4010,MATCH(200,$AZ$11:$AZ$4010,0)),""))</f>
        <v/>
      </c>
      <c r="AH210" s="24" t="str">
        <f>IF(AE210="","",IFERROR(INDEX($AQ$11:$AQ$4010,MATCH(200,$AZ$11:$AZ$4010,0)),""))</f>
        <v/>
      </c>
      <c r="AI210" s="29" t="str">
        <f>IF(AE210="","",IFERROR(INDEX($AR$11:$AR$4010,MATCH(200,$AZ$11:$AZ$4010,0)),""))</f>
        <v/>
      </c>
      <c r="AJ210" s="29" t="str">
        <f>IF(AE210="","",IFERROR(INDEX($AT$11:$AT$4010,MATCH(200,$AZ$11:$AZ$4010,0)),""))</f>
        <v/>
      </c>
      <c r="AL210" s="31" t="str">
        <f t="shared" si="50"/>
        <v/>
      </c>
      <c r="AM210" s="26" t="str">
        <f t="shared" si="51"/>
        <v/>
      </c>
      <c r="AN210" s="32" t="str">
        <f t="shared" si="52"/>
        <v/>
      </c>
      <c r="AO210" s="32" t="str">
        <f t="shared" si="53"/>
        <v/>
      </c>
      <c r="AP210" s="24" t="str">
        <f t="shared" si="54"/>
        <v/>
      </c>
      <c r="AQ210" s="24" t="str">
        <f t="shared" si="55"/>
        <v/>
      </c>
      <c r="AR210" s="33" t="str">
        <f t="shared" si="56"/>
        <v/>
      </c>
      <c r="AS210" s="34"/>
      <c r="AT210" s="33"/>
      <c r="AV210" s="21">
        <f>IF(AND($AL210&lt;&gt;"",COUNTIF($AL$11:$AL210,$AL210)=1),1,0)</f>
        <v>0</v>
      </c>
      <c r="AW210" s="21">
        <f t="shared" si="58"/>
        <v>0</v>
      </c>
      <c r="AX210" s="21" t="str">
        <f t="shared" si="57"/>
        <v/>
      </c>
      <c r="AY210" s="21" t="str">
        <f>IF(AND($AM210&lt;&gt;"",$AS210&lt;&gt;"✓"),SUMPRODUCT(($AM$11:$AM210&lt;&gt;"")*($AS$11:$AS210&lt;&gt;"✓")),"")</f>
        <v/>
      </c>
      <c r="AZ210" s="21" t="str">
        <f>IF(AND($AM210&lt;&gt;"",$AS210="✓"),SUMPRODUCT(($AM$11:$AM210&lt;&gt;"")*($AS$11:$AS210="✓")),"")</f>
        <v/>
      </c>
      <c r="BA210" s="21" t="str">
        <f>IF($AL210="","",$AL210&amp;"|"&amp;COUNTIF($AL$11:$AL210,$AL210))</f>
        <v/>
      </c>
    </row>
    <row r="211" spans="2:53" ht="15" customHeight="1" x14ac:dyDescent="0.25">
      <c r="B211" s="5" t="str">
        <f t="shared" si="45"/>
        <v/>
      </c>
      <c r="C211" s="5"/>
      <c r="D211" s="5"/>
      <c r="E211" s="5"/>
      <c r="F211" s="6"/>
      <c r="G211" s="6"/>
      <c r="H211" s="7"/>
      <c r="I211" s="8"/>
      <c r="K211" s="9" t="str">
        <f>IFERROR(INDEX($AL$11:$AL$4010,MATCH(201,$AX$11:$AX$4010,0)),"")</f>
        <v/>
      </c>
      <c r="L211" s="10" t="str">
        <f t="shared" si="46"/>
        <v/>
      </c>
      <c r="M211" s="11" t="str">
        <f t="shared" si="47"/>
        <v/>
      </c>
      <c r="N211" s="11" t="str">
        <f t="shared" si="48"/>
        <v/>
      </c>
      <c r="W211" s="14" t="str">
        <f>IF(X211="","",IFERROR(INDEX($AL$11:$AL$4010,MATCH(201,$AY$11:$AY$4010,0)),""))</f>
        <v/>
      </c>
      <c r="X211" s="12" t="str">
        <f>IFERROR(INDEX($AM$11:$AM$4010,MATCH(201,$AY$11:$AY$4010,0)),"")</f>
        <v/>
      </c>
      <c r="Y211" s="11" t="str">
        <f>IF(X211="","",IFERROR(INDEX($AN$11:$AN$4010,MATCH(201,$AY$11:$AY$4010,0)),""))</f>
        <v/>
      </c>
      <c r="Z211" s="11" t="str">
        <f>IF(X211="","",IFERROR(INDEX($AO$11:$AO$4010,MATCH(201,$AY$11:$AY$4010,0)),""))</f>
        <v/>
      </c>
      <c r="AA211" s="10" t="str">
        <f>IF(X211="","",IFERROR(INDEX($AQ$11:$AQ$4010,MATCH(201,$AY$11:$AY$4010,0)),""))</f>
        <v/>
      </c>
      <c r="AB211" s="15" t="str">
        <f>IF(X211="","",IFERROR(INDEX($AR$11:$AR$4010,MATCH(201,$AY$11:$AY$4010,0)),""))</f>
        <v/>
      </c>
      <c r="AD211" s="16" t="str">
        <f>IF(AE211="","",IFERROR(INDEX($AL$11:$AL$4010,MATCH(201,$AZ$11:$AZ$4010,0)),""))</f>
        <v/>
      </c>
      <c r="AE211" s="12" t="str">
        <f>IFERROR(INDEX($AM$11:$AM$4010,MATCH(201,$AZ$11:$AZ$4010,0)),"")</f>
        <v/>
      </c>
      <c r="AF211" s="11" t="str">
        <f>IF(AE211="","",IFERROR(INDEX($AN$11:$AN$4010,MATCH(201,$AZ$11:$AZ$4010,0)),""))</f>
        <v/>
      </c>
      <c r="AG211" s="11" t="str">
        <f>IF(AE211="","",IFERROR(INDEX($AO$11:$AO$4010,MATCH(201,$AZ$11:$AZ$4010,0)),""))</f>
        <v/>
      </c>
      <c r="AH211" s="10" t="str">
        <f>IF(AE211="","",IFERROR(INDEX($AQ$11:$AQ$4010,MATCH(201,$AZ$11:$AZ$4010,0)),""))</f>
        <v/>
      </c>
      <c r="AI211" s="15" t="str">
        <f>IF(AE211="","",IFERROR(INDEX($AR$11:$AR$4010,MATCH(201,$AZ$11:$AZ$4010,0)),""))</f>
        <v/>
      </c>
      <c r="AJ211" s="15" t="str">
        <f>IF(AE211="","",IFERROR(INDEX($AT$11:$AT$4010,MATCH(201,$AZ$11:$AZ$4010,0)),""))</f>
        <v/>
      </c>
      <c r="AL211" s="17" t="str">
        <f t="shared" si="50"/>
        <v/>
      </c>
      <c r="AM211" s="12" t="str">
        <f t="shared" si="51"/>
        <v/>
      </c>
      <c r="AN211" s="18" t="str">
        <f t="shared" si="52"/>
        <v/>
      </c>
      <c r="AO211" s="18" t="str">
        <f t="shared" si="53"/>
        <v/>
      </c>
      <c r="AP211" s="10" t="str">
        <f t="shared" si="54"/>
        <v/>
      </c>
      <c r="AQ211" s="10" t="str">
        <f t="shared" si="55"/>
        <v/>
      </c>
      <c r="AR211" s="19" t="str">
        <f t="shared" si="56"/>
        <v/>
      </c>
      <c r="AS211" s="20"/>
      <c r="AT211" s="19"/>
      <c r="AV211" s="21">
        <f>IF(AND($AL211&lt;&gt;"",COUNTIF($AL$11:$AL211,$AL211)=1),1,0)</f>
        <v>0</v>
      </c>
      <c r="AW211" s="21">
        <f t="shared" si="58"/>
        <v>0</v>
      </c>
      <c r="AX211" s="21" t="str">
        <f t="shared" si="57"/>
        <v/>
      </c>
      <c r="AY211" s="21" t="str">
        <f>IF(AND($AM211&lt;&gt;"",$AS211&lt;&gt;"✓"),SUMPRODUCT(($AM$11:$AM211&lt;&gt;"")*($AS$11:$AS211&lt;&gt;"✓")),"")</f>
        <v/>
      </c>
      <c r="AZ211" s="21" t="str">
        <f>IF(AND($AM211&lt;&gt;"",$AS211="✓"),SUMPRODUCT(($AM$11:$AM211&lt;&gt;"")*($AS$11:$AS211="✓")),"")</f>
        <v/>
      </c>
      <c r="BA211" s="21" t="str">
        <f>IF($AL211="","",$AL211&amp;"|"&amp;COUNTIF($AL$11:$AL211,$AL211))</f>
        <v/>
      </c>
    </row>
    <row r="212" spans="2:53" ht="15" customHeight="1" x14ac:dyDescent="0.25">
      <c r="B212" s="5" t="str">
        <f t="shared" si="45"/>
        <v/>
      </c>
      <c r="C212" s="5"/>
      <c r="D212" s="5"/>
      <c r="E212" s="5"/>
      <c r="F212" s="6"/>
      <c r="G212" s="6"/>
      <c r="H212" s="7"/>
      <c r="I212" s="8"/>
      <c r="K212" s="23" t="str">
        <f>IFERROR(INDEX($AL$11:$AL$4010,MATCH(202,$AX$11:$AX$4010,0)),"")</f>
        <v/>
      </c>
      <c r="L212" s="24" t="str">
        <f t="shared" si="46"/>
        <v/>
      </c>
      <c r="M212" s="25" t="str">
        <f t="shared" si="47"/>
        <v/>
      </c>
      <c r="N212" s="25" t="str">
        <f t="shared" si="48"/>
        <v/>
      </c>
      <c r="W212" s="28" t="str">
        <f>IF(X212="","",IFERROR(INDEX($AL$11:$AL$4010,MATCH(202,$AY$11:$AY$4010,0)),""))</f>
        <v/>
      </c>
      <c r="X212" s="26" t="str">
        <f>IFERROR(INDEX($AM$11:$AM$4010,MATCH(202,$AY$11:$AY$4010,0)),"")</f>
        <v/>
      </c>
      <c r="Y212" s="25" t="str">
        <f>IF(X212="","",IFERROR(INDEX($AN$11:$AN$4010,MATCH(202,$AY$11:$AY$4010,0)),""))</f>
        <v/>
      </c>
      <c r="Z212" s="25" t="str">
        <f>IF(X212="","",IFERROR(INDEX($AO$11:$AO$4010,MATCH(202,$AY$11:$AY$4010,0)),""))</f>
        <v/>
      </c>
      <c r="AA212" s="24" t="str">
        <f>IF(X212="","",IFERROR(INDEX($AQ$11:$AQ$4010,MATCH(202,$AY$11:$AY$4010,0)),""))</f>
        <v/>
      </c>
      <c r="AB212" s="29" t="str">
        <f>IF(X212="","",IFERROR(INDEX($AR$11:$AR$4010,MATCH(202,$AY$11:$AY$4010,0)),""))</f>
        <v/>
      </c>
      <c r="AD212" s="30" t="str">
        <f>IF(AE212="","",IFERROR(INDEX($AL$11:$AL$4010,MATCH(202,$AZ$11:$AZ$4010,0)),""))</f>
        <v/>
      </c>
      <c r="AE212" s="26" t="str">
        <f>IFERROR(INDEX($AM$11:$AM$4010,MATCH(202,$AZ$11:$AZ$4010,0)),"")</f>
        <v/>
      </c>
      <c r="AF212" s="25" t="str">
        <f>IF(AE212="","",IFERROR(INDEX($AN$11:$AN$4010,MATCH(202,$AZ$11:$AZ$4010,0)),""))</f>
        <v/>
      </c>
      <c r="AG212" s="25" t="str">
        <f>IF(AE212="","",IFERROR(INDEX($AO$11:$AO$4010,MATCH(202,$AZ$11:$AZ$4010,0)),""))</f>
        <v/>
      </c>
      <c r="AH212" s="24" t="str">
        <f>IF(AE212="","",IFERROR(INDEX($AQ$11:$AQ$4010,MATCH(202,$AZ$11:$AZ$4010,0)),""))</f>
        <v/>
      </c>
      <c r="AI212" s="29" t="str">
        <f>IF(AE212="","",IFERROR(INDEX($AR$11:$AR$4010,MATCH(202,$AZ$11:$AZ$4010,0)),""))</f>
        <v/>
      </c>
      <c r="AJ212" s="29" t="str">
        <f>IF(AE212="","",IFERROR(INDEX($AT$11:$AT$4010,MATCH(202,$AZ$11:$AZ$4010,0)),""))</f>
        <v/>
      </c>
      <c r="AL212" s="31" t="str">
        <f t="shared" si="50"/>
        <v/>
      </c>
      <c r="AM212" s="26" t="str">
        <f t="shared" si="51"/>
        <v/>
      </c>
      <c r="AN212" s="32" t="str">
        <f t="shared" si="52"/>
        <v/>
      </c>
      <c r="AO212" s="32" t="str">
        <f t="shared" si="53"/>
        <v/>
      </c>
      <c r="AP212" s="24" t="str">
        <f t="shared" si="54"/>
        <v/>
      </c>
      <c r="AQ212" s="24" t="str">
        <f t="shared" si="55"/>
        <v/>
      </c>
      <c r="AR212" s="33" t="str">
        <f t="shared" si="56"/>
        <v/>
      </c>
      <c r="AS212" s="34"/>
      <c r="AT212" s="33"/>
      <c r="AV212" s="21">
        <f>IF(AND($AL212&lt;&gt;"",COUNTIF($AL$11:$AL212,$AL212)=1),1,0)</f>
        <v>0</v>
      </c>
      <c r="AW212" s="21">
        <f t="shared" si="58"/>
        <v>0</v>
      </c>
      <c r="AX212" s="21" t="str">
        <f t="shared" si="57"/>
        <v/>
      </c>
      <c r="AY212" s="21" t="str">
        <f>IF(AND($AM212&lt;&gt;"",$AS212&lt;&gt;"✓"),SUMPRODUCT(($AM$11:$AM212&lt;&gt;"")*($AS$11:$AS212&lt;&gt;"✓")),"")</f>
        <v/>
      </c>
      <c r="AZ212" s="21" t="str">
        <f>IF(AND($AM212&lt;&gt;"",$AS212="✓"),SUMPRODUCT(($AM$11:$AM212&lt;&gt;"")*($AS$11:$AS212="✓")),"")</f>
        <v/>
      </c>
      <c r="BA212" s="21" t="str">
        <f>IF($AL212="","",$AL212&amp;"|"&amp;COUNTIF($AL$11:$AL212,$AL212))</f>
        <v/>
      </c>
    </row>
    <row r="213" spans="2:53" ht="15" customHeight="1" x14ac:dyDescent="0.25">
      <c r="B213" s="5" t="str">
        <f t="shared" si="45"/>
        <v/>
      </c>
      <c r="C213" s="5"/>
      <c r="D213" s="5"/>
      <c r="E213" s="5"/>
      <c r="F213" s="6"/>
      <c r="G213" s="6"/>
      <c r="H213" s="7"/>
      <c r="I213" s="8"/>
      <c r="K213" s="9" t="str">
        <f>IFERROR(INDEX($AL$11:$AL$4010,MATCH(203,$AX$11:$AX$4010,0)),"")</f>
        <v/>
      </c>
      <c r="L213" s="10" t="str">
        <f t="shared" si="46"/>
        <v/>
      </c>
      <c r="M213" s="11" t="str">
        <f t="shared" si="47"/>
        <v/>
      </c>
      <c r="N213" s="11" t="str">
        <f t="shared" si="48"/>
        <v/>
      </c>
      <c r="W213" s="14" t="str">
        <f>IF(X213="","",IFERROR(INDEX($AL$11:$AL$4010,MATCH(203,$AY$11:$AY$4010,0)),""))</f>
        <v/>
      </c>
      <c r="X213" s="12" t="str">
        <f>IFERROR(INDEX($AM$11:$AM$4010,MATCH(203,$AY$11:$AY$4010,0)),"")</f>
        <v/>
      </c>
      <c r="Y213" s="11" t="str">
        <f>IF(X213="","",IFERROR(INDEX($AN$11:$AN$4010,MATCH(203,$AY$11:$AY$4010,0)),""))</f>
        <v/>
      </c>
      <c r="Z213" s="11" t="str">
        <f>IF(X213="","",IFERROR(INDEX($AO$11:$AO$4010,MATCH(203,$AY$11:$AY$4010,0)),""))</f>
        <v/>
      </c>
      <c r="AA213" s="10" t="str">
        <f>IF(X213="","",IFERROR(INDEX($AQ$11:$AQ$4010,MATCH(203,$AY$11:$AY$4010,0)),""))</f>
        <v/>
      </c>
      <c r="AB213" s="15" t="str">
        <f>IF(X213="","",IFERROR(INDEX($AR$11:$AR$4010,MATCH(203,$AY$11:$AY$4010,0)),""))</f>
        <v/>
      </c>
      <c r="AD213" s="16" t="str">
        <f>IF(AE213="","",IFERROR(INDEX($AL$11:$AL$4010,MATCH(203,$AZ$11:$AZ$4010,0)),""))</f>
        <v/>
      </c>
      <c r="AE213" s="12" t="str">
        <f>IFERROR(INDEX($AM$11:$AM$4010,MATCH(203,$AZ$11:$AZ$4010,0)),"")</f>
        <v/>
      </c>
      <c r="AF213" s="11" t="str">
        <f>IF(AE213="","",IFERROR(INDEX($AN$11:$AN$4010,MATCH(203,$AZ$11:$AZ$4010,0)),""))</f>
        <v/>
      </c>
      <c r="AG213" s="11" t="str">
        <f>IF(AE213="","",IFERROR(INDEX($AO$11:$AO$4010,MATCH(203,$AZ$11:$AZ$4010,0)),""))</f>
        <v/>
      </c>
      <c r="AH213" s="10" t="str">
        <f>IF(AE213="","",IFERROR(INDEX($AQ$11:$AQ$4010,MATCH(203,$AZ$11:$AZ$4010,0)),""))</f>
        <v/>
      </c>
      <c r="AI213" s="15" t="str">
        <f>IF(AE213="","",IFERROR(INDEX($AR$11:$AR$4010,MATCH(203,$AZ$11:$AZ$4010,0)),""))</f>
        <v/>
      </c>
      <c r="AJ213" s="15" t="str">
        <f>IF(AE213="","",IFERROR(INDEX($AT$11:$AT$4010,MATCH(203,$AZ$11:$AZ$4010,0)),""))</f>
        <v/>
      </c>
      <c r="AL213" s="17" t="str">
        <f t="shared" si="50"/>
        <v/>
      </c>
      <c r="AM213" s="12" t="str">
        <f t="shared" si="51"/>
        <v/>
      </c>
      <c r="AN213" s="18" t="str">
        <f t="shared" si="52"/>
        <v/>
      </c>
      <c r="AO213" s="18" t="str">
        <f t="shared" si="53"/>
        <v/>
      </c>
      <c r="AP213" s="10" t="str">
        <f t="shared" si="54"/>
        <v/>
      </c>
      <c r="AQ213" s="10" t="str">
        <f t="shared" si="55"/>
        <v/>
      </c>
      <c r="AR213" s="19" t="str">
        <f t="shared" si="56"/>
        <v/>
      </c>
      <c r="AS213" s="20"/>
      <c r="AT213" s="19"/>
      <c r="AV213" s="21">
        <f>IF(AND($AL213&lt;&gt;"",COUNTIF($AL$11:$AL213,$AL213)=1),1,0)</f>
        <v>0</v>
      </c>
      <c r="AW213" s="21">
        <f t="shared" si="58"/>
        <v>0</v>
      </c>
      <c r="AX213" s="21" t="str">
        <f t="shared" si="57"/>
        <v/>
      </c>
      <c r="AY213" s="21" t="str">
        <f>IF(AND($AM213&lt;&gt;"",$AS213&lt;&gt;"✓"),SUMPRODUCT(($AM$11:$AM213&lt;&gt;"")*($AS$11:$AS213&lt;&gt;"✓")),"")</f>
        <v/>
      </c>
      <c r="AZ213" s="21" t="str">
        <f>IF(AND($AM213&lt;&gt;"",$AS213="✓"),SUMPRODUCT(($AM$11:$AM213&lt;&gt;"")*($AS$11:$AS213="✓")),"")</f>
        <v/>
      </c>
      <c r="BA213" s="21" t="str">
        <f>IF($AL213="","",$AL213&amp;"|"&amp;COUNTIF($AL$11:$AL213,$AL213))</f>
        <v/>
      </c>
    </row>
    <row r="214" spans="2:53" ht="15" customHeight="1" x14ac:dyDescent="0.25">
      <c r="B214" s="5" t="str">
        <f t="shared" si="45"/>
        <v/>
      </c>
      <c r="C214" s="5"/>
      <c r="D214" s="5"/>
      <c r="E214" s="5"/>
      <c r="F214" s="6"/>
      <c r="G214" s="6"/>
      <c r="H214" s="7"/>
      <c r="I214" s="8"/>
      <c r="K214" s="23" t="str">
        <f>IFERROR(INDEX($AL$11:$AL$4010,MATCH(204,$AX$11:$AX$4010,0)),"")</f>
        <v/>
      </c>
      <c r="L214" s="24" t="str">
        <f t="shared" si="46"/>
        <v/>
      </c>
      <c r="M214" s="25" t="str">
        <f t="shared" si="47"/>
        <v/>
      </c>
      <c r="N214" s="25" t="str">
        <f t="shared" si="48"/>
        <v/>
      </c>
      <c r="W214" s="28" t="str">
        <f>IF(X214="","",IFERROR(INDEX($AL$11:$AL$4010,MATCH(204,$AY$11:$AY$4010,0)),""))</f>
        <v/>
      </c>
      <c r="X214" s="26" t="str">
        <f>IFERROR(INDEX($AM$11:$AM$4010,MATCH(204,$AY$11:$AY$4010,0)),"")</f>
        <v/>
      </c>
      <c r="Y214" s="25" t="str">
        <f>IF(X214="","",IFERROR(INDEX($AN$11:$AN$4010,MATCH(204,$AY$11:$AY$4010,0)),""))</f>
        <v/>
      </c>
      <c r="Z214" s="25" t="str">
        <f>IF(X214="","",IFERROR(INDEX($AO$11:$AO$4010,MATCH(204,$AY$11:$AY$4010,0)),""))</f>
        <v/>
      </c>
      <c r="AA214" s="24" t="str">
        <f>IF(X214="","",IFERROR(INDEX($AQ$11:$AQ$4010,MATCH(204,$AY$11:$AY$4010,0)),""))</f>
        <v/>
      </c>
      <c r="AB214" s="29" t="str">
        <f>IF(X214="","",IFERROR(INDEX($AR$11:$AR$4010,MATCH(204,$AY$11:$AY$4010,0)),""))</f>
        <v/>
      </c>
      <c r="AD214" s="30" t="str">
        <f>IF(AE214="","",IFERROR(INDEX($AL$11:$AL$4010,MATCH(204,$AZ$11:$AZ$4010,0)),""))</f>
        <v/>
      </c>
      <c r="AE214" s="26" t="str">
        <f>IFERROR(INDEX($AM$11:$AM$4010,MATCH(204,$AZ$11:$AZ$4010,0)),"")</f>
        <v/>
      </c>
      <c r="AF214" s="25" t="str">
        <f>IF(AE214="","",IFERROR(INDEX($AN$11:$AN$4010,MATCH(204,$AZ$11:$AZ$4010,0)),""))</f>
        <v/>
      </c>
      <c r="AG214" s="25" t="str">
        <f>IF(AE214="","",IFERROR(INDEX($AO$11:$AO$4010,MATCH(204,$AZ$11:$AZ$4010,0)),""))</f>
        <v/>
      </c>
      <c r="AH214" s="24" t="str">
        <f>IF(AE214="","",IFERROR(INDEX($AQ$11:$AQ$4010,MATCH(204,$AZ$11:$AZ$4010,0)),""))</f>
        <v/>
      </c>
      <c r="AI214" s="29" t="str">
        <f>IF(AE214="","",IFERROR(INDEX($AR$11:$AR$4010,MATCH(204,$AZ$11:$AZ$4010,0)),""))</f>
        <v/>
      </c>
      <c r="AJ214" s="29" t="str">
        <f>IF(AE214="","",IFERROR(INDEX($AT$11:$AT$4010,MATCH(204,$AZ$11:$AZ$4010,0)),""))</f>
        <v/>
      </c>
      <c r="AL214" s="31" t="str">
        <f t="shared" si="50"/>
        <v/>
      </c>
      <c r="AM214" s="26" t="str">
        <f t="shared" si="51"/>
        <v/>
      </c>
      <c r="AN214" s="32" t="str">
        <f t="shared" si="52"/>
        <v/>
      </c>
      <c r="AO214" s="32" t="str">
        <f t="shared" si="53"/>
        <v/>
      </c>
      <c r="AP214" s="24" t="str">
        <f t="shared" si="54"/>
        <v/>
      </c>
      <c r="AQ214" s="24" t="str">
        <f t="shared" si="55"/>
        <v/>
      </c>
      <c r="AR214" s="33" t="str">
        <f t="shared" si="56"/>
        <v/>
      </c>
      <c r="AS214" s="34"/>
      <c r="AT214" s="33"/>
      <c r="AV214" s="21">
        <f>IF(AND($AL214&lt;&gt;"",COUNTIF($AL$11:$AL214,$AL214)=1),1,0)</f>
        <v>0</v>
      </c>
      <c r="AW214" s="21">
        <f t="shared" si="58"/>
        <v>0</v>
      </c>
      <c r="AX214" s="21" t="str">
        <f t="shared" si="57"/>
        <v/>
      </c>
      <c r="AY214" s="21" t="str">
        <f>IF(AND($AM214&lt;&gt;"",$AS214&lt;&gt;"✓"),SUMPRODUCT(($AM$11:$AM214&lt;&gt;"")*($AS$11:$AS214&lt;&gt;"✓")),"")</f>
        <v/>
      </c>
      <c r="AZ214" s="21" t="str">
        <f>IF(AND($AM214&lt;&gt;"",$AS214="✓"),SUMPRODUCT(($AM$11:$AM214&lt;&gt;"")*($AS$11:$AS214="✓")),"")</f>
        <v/>
      </c>
      <c r="BA214" s="21" t="str">
        <f>IF($AL214="","",$AL214&amp;"|"&amp;COUNTIF($AL$11:$AL214,$AL214))</f>
        <v/>
      </c>
    </row>
    <row r="215" spans="2:53" ht="15" customHeight="1" x14ac:dyDescent="0.25">
      <c r="B215" s="5" t="str">
        <f t="shared" si="45"/>
        <v/>
      </c>
      <c r="C215" s="5"/>
      <c r="D215" s="5"/>
      <c r="E215" s="5"/>
      <c r="F215" s="6"/>
      <c r="G215" s="6"/>
      <c r="H215" s="7"/>
      <c r="I215" s="8"/>
      <c r="K215" s="9" t="str">
        <f>IFERROR(INDEX($AL$11:$AL$4010,MATCH(205,$AX$11:$AX$4010,0)),"")</f>
        <v/>
      </c>
      <c r="L215" s="10" t="str">
        <f t="shared" si="46"/>
        <v/>
      </c>
      <c r="M215" s="11" t="str">
        <f t="shared" si="47"/>
        <v/>
      </c>
      <c r="N215" s="11" t="str">
        <f t="shared" si="48"/>
        <v/>
      </c>
      <c r="W215" s="14" t="str">
        <f>IF(X215="","",IFERROR(INDEX($AL$11:$AL$4010,MATCH(205,$AY$11:$AY$4010,0)),""))</f>
        <v/>
      </c>
      <c r="X215" s="12" t="str">
        <f>IFERROR(INDEX($AM$11:$AM$4010,MATCH(205,$AY$11:$AY$4010,0)),"")</f>
        <v/>
      </c>
      <c r="Y215" s="11" t="str">
        <f>IF(X215="","",IFERROR(INDEX($AN$11:$AN$4010,MATCH(205,$AY$11:$AY$4010,0)),""))</f>
        <v/>
      </c>
      <c r="Z215" s="11" t="str">
        <f>IF(X215="","",IFERROR(INDEX($AO$11:$AO$4010,MATCH(205,$AY$11:$AY$4010,0)),""))</f>
        <v/>
      </c>
      <c r="AA215" s="10" t="str">
        <f>IF(X215="","",IFERROR(INDEX($AQ$11:$AQ$4010,MATCH(205,$AY$11:$AY$4010,0)),""))</f>
        <v/>
      </c>
      <c r="AB215" s="15" t="str">
        <f>IF(X215="","",IFERROR(INDEX($AR$11:$AR$4010,MATCH(205,$AY$11:$AY$4010,0)),""))</f>
        <v/>
      </c>
      <c r="AD215" s="16" t="str">
        <f>IF(AE215="","",IFERROR(INDEX($AL$11:$AL$4010,MATCH(205,$AZ$11:$AZ$4010,0)),""))</f>
        <v/>
      </c>
      <c r="AE215" s="12" t="str">
        <f>IFERROR(INDEX($AM$11:$AM$4010,MATCH(205,$AZ$11:$AZ$4010,0)),"")</f>
        <v/>
      </c>
      <c r="AF215" s="11" t="str">
        <f>IF(AE215="","",IFERROR(INDEX($AN$11:$AN$4010,MATCH(205,$AZ$11:$AZ$4010,0)),""))</f>
        <v/>
      </c>
      <c r="AG215" s="11" t="str">
        <f>IF(AE215="","",IFERROR(INDEX($AO$11:$AO$4010,MATCH(205,$AZ$11:$AZ$4010,0)),""))</f>
        <v/>
      </c>
      <c r="AH215" s="10" t="str">
        <f>IF(AE215="","",IFERROR(INDEX($AQ$11:$AQ$4010,MATCH(205,$AZ$11:$AZ$4010,0)),""))</f>
        <v/>
      </c>
      <c r="AI215" s="15" t="str">
        <f>IF(AE215="","",IFERROR(INDEX($AR$11:$AR$4010,MATCH(205,$AZ$11:$AZ$4010,0)),""))</f>
        <v/>
      </c>
      <c r="AJ215" s="15" t="str">
        <f>IF(AE215="","",IFERROR(INDEX($AT$11:$AT$4010,MATCH(205,$AZ$11:$AZ$4010,0)),""))</f>
        <v/>
      </c>
      <c r="AL215" s="17" t="str">
        <f t="shared" si="50"/>
        <v/>
      </c>
      <c r="AM215" s="12" t="str">
        <f t="shared" si="51"/>
        <v/>
      </c>
      <c r="AN215" s="18" t="str">
        <f t="shared" si="52"/>
        <v/>
      </c>
      <c r="AO215" s="18" t="str">
        <f t="shared" si="53"/>
        <v/>
      </c>
      <c r="AP215" s="10" t="str">
        <f t="shared" si="54"/>
        <v/>
      </c>
      <c r="AQ215" s="10" t="str">
        <f t="shared" si="55"/>
        <v/>
      </c>
      <c r="AR215" s="19" t="str">
        <f t="shared" si="56"/>
        <v/>
      </c>
      <c r="AS215" s="20"/>
      <c r="AT215" s="19"/>
      <c r="AV215" s="21">
        <f>IF(AND($AL215&lt;&gt;"",COUNTIF($AL$11:$AL215,$AL215)=1),1,0)</f>
        <v>0</v>
      </c>
      <c r="AW215" s="21">
        <f t="shared" si="58"/>
        <v>0</v>
      </c>
      <c r="AX215" s="21" t="str">
        <f t="shared" si="57"/>
        <v/>
      </c>
      <c r="AY215" s="21" t="str">
        <f>IF(AND($AM215&lt;&gt;"",$AS215&lt;&gt;"✓"),SUMPRODUCT(($AM$11:$AM215&lt;&gt;"")*($AS$11:$AS215&lt;&gt;"✓")),"")</f>
        <v/>
      </c>
      <c r="AZ215" s="21" t="str">
        <f>IF(AND($AM215&lt;&gt;"",$AS215="✓"),SUMPRODUCT(($AM$11:$AM215&lt;&gt;"")*($AS$11:$AS215="✓")),"")</f>
        <v/>
      </c>
      <c r="BA215" s="21" t="str">
        <f>IF($AL215="","",$AL215&amp;"|"&amp;COUNTIF($AL$11:$AL215,$AL215))</f>
        <v/>
      </c>
    </row>
    <row r="216" spans="2:53" ht="15" customHeight="1" x14ac:dyDescent="0.25">
      <c r="B216" s="5" t="str">
        <f t="shared" si="45"/>
        <v/>
      </c>
      <c r="C216" s="5"/>
      <c r="D216" s="5"/>
      <c r="E216" s="5"/>
      <c r="F216" s="6"/>
      <c r="G216" s="6"/>
      <c r="H216" s="7"/>
      <c r="I216" s="8"/>
      <c r="K216" s="23" t="str">
        <f>IFERROR(INDEX($AL$11:$AL$4010,MATCH(206,$AX$11:$AX$4010,0)),"")</f>
        <v/>
      </c>
      <c r="L216" s="24" t="str">
        <f t="shared" si="46"/>
        <v/>
      </c>
      <c r="M216" s="25" t="str">
        <f t="shared" si="47"/>
        <v/>
      </c>
      <c r="N216" s="25" t="str">
        <f t="shared" si="48"/>
        <v/>
      </c>
      <c r="W216" s="28" t="str">
        <f>IF(X216="","",IFERROR(INDEX($AL$11:$AL$4010,MATCH(206,$AY$11:$AY$4010,0)),""))</f>
        <v/>
      </c>
      <c r="X216" s="26" t="str">
        <f>IFERROR(INDEX($AM$11:$AM$4010,MATCH(206,$AY$11:$AY$4010,0)),"")</f>
        <v/>
      </c>
      <c r="Y216" s="25" t="str">
        <f>IF(X216="","",IFERROR(INDEX($AN$11:$AN$4010,MATCH(206,$AY$11:$AY$4010,0)),""))</f>
        <v/>
      </c>
      <c r="Z216" s="25" t="str">
        <f>IF(X216="","",IFERROR(INDEX($AO$11:$AO$4010,MATCH(206,$AY$11:$AY$4010,0)),""))</f>
        <v/>
      </c>
      <c r="AA216" s="24" t="str">
        <f>IF(X216="","",IFERROR(INDEX($AQ$11:$AQ$4010,MATCH(206,$AY$11:$AY$4010,0)),""))</f>
        <v/>
      </c>
      <c r="AB216" s="29" t="str">
        <f>IF(X216="","",IFERROR(INDEX($AR$11:$AR$4010,MATCH(206,$AY$11:$AY$4010,0)),""))</f>
        <v/>
      </c>
      <c r="AD216" s="30" t="str">
        <f>IF(AE216="","",IFERROR(INDEX($AL$11:$AL$4010,MATCH(206,$AZ$11:$AZ$4010,0)),""))</f>
        <v/>
      </c>
      <c r="AE216" s="26" t="str">
        <f>IFERROR(INDEX($AM$11:$AM$4010,MATCH(206,$AZ$11:$AZ$4010,0)),"")</f>
        <v/>
      </c>
      <c r="AF216" s="25" t="str">
        <f>IF(AE216="","",IFERROR(INDEX($AN$11:$AN$4010,MATCH(206,$AZ$11:$AZ$4010,0)),""))</f>
        <v/>
      </c>
      <c r="AG216" s="25" t="str">
        <f>IF(AE216="","",IFERROR(INDEX($AO$11:$AO$4010,MATCH(206,$AZ$11:$AZ$4010,0)),""))</f>
        <v/>
      </c>
      <c r="AH216" s="24" t="str">
        <f>IF(AE216="","",IFERROR(INDEX($AQ$11:$AQ$4010,MATCH(206,$AZ$11:$AZ$4010,0)),""))</f>
        <v/>
      </c>
      <c r="AI216" s="29" t="str">
        <f>IF(AE216="","",IFERROR(INDEX($AR$11:$AR$4010,MATCH(206,$AZ$11:$AZ$4010,0)),""))</f>
        <v/>
      </c>
      <c r="AJ216" s="29" t="str">
        <f>IF(AE216="","",IFERROR(INDEX($AT$11:$AT$4010,MATCH(206,$AZ$11:$AZ$4010,0)),""))</f>
        <v/>
      </c>
      <c r="AL216" s="31" t="str">
        <f t="shared" si="50"/>
        <v/>
      </c>
      <c r="AM216" s="26" t="str">
        <f t="shared" si="51"/>
        <v/>
      </c>
      <c r="AN216" s="32" t="str">
        <f t="shared" si="52"/>
        <v/>
      </c>
      <c r="AO216" s="32" t="str">
        <f t="shared" si="53"/>
        <v/>
      </c>
      <c r="AP216" s="24" t="str">
        <f t="shared" si="54"/>
        <v/>
      </c>
      <c r="AQ216" s="24" t="str">
        <f t="shared" si="55"/>
        <v/>
      </c>
      <c r="AR216" s="33" t="str">
        <f t="shared" si="56"/>
        <v/>
      </c>
      <c r="AS216" s="34"/>
      <c r="AT216" s="33"/>
      <c r="AV216" s="21">
        <f>IF(AND($AL216&lt;&gt;"",COUNTIF($AL$11:$AL216,$AL216)=1),1,0)</f>
        <v>0</v>
      </c>
      <c r="AW216" s="21">
        <f t="shared" si="58"/>
        <v>0</v>
      </c>
      <c r="AX216" s="21" t="str">
        <f t="shared" si="57"/>
        <v/>
      </c>
      <c r="AY216" s="21" t="str">
        <f>IF(AND($AM216&lt;&gt;"",$AS216&lt;&gt;"✓"),SUMPRODUCT(($AM$11:$AM216&lt;&gt;"")*($AS$11:$AS216&lt;&gt;"✓")),"")</f>
        <v/>
      </c>
      <c r="AZ216" s="21" t="str">
        <f>IF(AND($AM216&lt;&gt;"",$AS216="✓"),SUMPRODUCT(($AM$11:$AM216&lt;&gt;"")*($AS$11:$AS216="✓")),"")</f>
        <v/>
      </c>
      <c r="BA216" s="21" t="str">
        <f>IF($AL216="","",$AL216&amp;"|"&amp;COUNTIF($AL$11:$AL216,$AL216))</f>
        <v/>
      </c>
    </row>
    <row r="217" spans="2:53" ht="15" customHeight="1" x14ac:dyDescent="0.25">
      <c r="B217" s="5" t="str">
        <f t="shared" si="45"/>
        <v/>
      </c>
      <c r="C217" s="5"/>
      <c r="D217" s="5"/>
      <c r="E217" s="5"/>
      <c r="F217" s="6"/>
      <c r="G217" s="6"/>
      <c r="H217" s="7"/>
      <c r="I217" s="8"/>
      <c r="K217" s="9" t="str">
        <f>IFERROR(INDEX($AL$11:$AL$4010,MATCH(207,$AX$11:$AX$4010,0)),"")</f>
        <v/>
      </c>
      <c r="L217" s="10" t="str">
        <f t="shared" si="46"/>
        <v/>
      </c>
      <c r="M217" s="11" t="str">
        <f t="shared" si="47"/>
        <v/>
      </c>
      <c r="N217" s="11" t="str">
        <f t="shared" si="48"/>
        <v/>
      </c>
      <c r="W217" s="14" t="str">
        <f>IF(X217="","",IFERROR(INDEX($AL$11:$AL$4010,MATCH(207,$AY$11:$AY$4010,0)),""))</f>
        <v/>
      </c>
      <c r="X217" s="12" t="str">
        <f>IFERROR(INDEX($AM$11:$AM$4010,MATCH(207,$AY$11:$AY$4010,0)),"")</f>
        <v/>
      </c>
      <c r="Y217" s="11" t="str">
        <f>IF(X217="","",IFERROR(INDEX($AN$11:$AN$4010,MATCH(207,$AY$11:$AY$4010,0)),""))</f>
        <v/>
      </c>
      <c r="Z217" s="11" t="str">
        <f>IF(X217="","",IFERROR(INDEX($AO$11:$AO$4010,MATCH(207,$AY$11:$AY$4010,0)),""))</f>
        <v/>
      </c>
      <c r="AA217" s="10" t="str">
        <f>IF(X217="","",IFERROR(INDEX($AQ$11:$AQ$4010,MATCH(207,$AY$11:$AY$4010,0)),""))</f>
        <v/>
      </c>
      <c r="AB217" s="15" t="str">
        <f>IF(X217="","",IFERROR(INDEX($AR$11:$AR$4010,MATCH(207,$AY$11:$AY$4010,0)),""))</f>
        <v/>
      </c>
      <c r="AD217" s="16" t="str">
        <f>IF(AE217="","",IFERROR(INDEX($AL$11:$AL$4010,MATCH(207,$AZ$11:$AZ$4010,0)),""))</f>
        <v/>
      </c>
      <c r="AE217" s="12" t="str">
        <f>IFERROR(INDEX($AM$11:$AM$4010,MATCH(207,$AZ$11:$AZ$4010,0)),"")</f>
        <v/>
      </c>
      <c r="AF217" s="11" t="str">
        <f>IF(AE217="","",IFERROR(INDEX($AN$11:$AN$4010,MATCH(207,$AZ$11:$AZ$4010,0)),""))</f>
        <v/>
      </c>
      <c r="AG217" s="11" t="str">
        <f>IF(AE217="","",IFERROR(INDEX($AO$11:$AO$4010,MATCH(207,$AZ$11:$AZ$4010,0)),""))</f>
        <v/>
      </c>
      <c r="AH217" s="10" t="str">
        <f>IF(AE217="","",IFERROR(INDEX($AQ$11:$AQ$4010,MATCH(207,$AZ$11:$AZ$4010,0)),""))</f>
        <v/>
      </c>
      <c r="AI217" s="15" t="str">
        <f>IF(AE217="","",IFERROR(INDEX($AR$11:$AR$4010,MATCH(207,$AZ$11:$AZ$4010,0)),""))</f>
        <v/>
      </c>
      <c r="AJ217" s="15" t="str">
        <f>IF(AE217="","",IFERROR(INDEX($AT$11:$AT$4010,MATCH(207,$AZ$11:$AZ$4010,0)),""))</f>
        <v/>
      </c>
      <c r="AL217" s="17" t="str">
        <f t="shared" si="50"/>
        <v/>
      </c>
      <c r="AM217" s="12" t="str">
        <f t="shared" si="51"/>
        <v/>
      </c>
      <c r="AN217" s="18" t="str">
        <f t="shared" si="52"/>
        <v/>
      </c>
      <c r="AO217" s="18" t="str">
        <f t="shared" si="53"/>
        <v/>
      </c>
      <c r="AP217" s="10" t="str">
        <f t="shared" si="54"/>
        <v/>
      </c>
      <c r="AQ217" s="10" t="str">
        <f t="shared" si="55"/>
        <v/>
      </c>
      <c r="AR217" s="19" t="str">
        <f t="shared" si="56"/>
        <v/>
      </c>
      <c r="AS217" s="20"/>
      <c r="AT217" s="19"/>
      <c r="AV217" s="21">
        <f>IF(AND($AL217&lt;&gt;"",COUNTIF($AL$11:$AL217,$AL217)=1),1,0)</f>
        <v>0</v>
      </c>
      <c r="AW217" s="21">
        <f t="shared" si="58"/>
        <v>0</v>
      </c>
      <c r="AX217" s="21" t="str">
        <f t="shared" si="57"/>
        <v/>
      </c>
      <c r="AY217" s="21" t="str">
        <f>IF(AND($AM217&lt;&gt;"",$AS217&lt;&gt;"✓"),SUMPRODUCT(($AM$11:$AM217&lt;&gt;"")*($AS$11:$AS217&lt;&gt;"✓")),"")</f>
        <v/>
      </c>
      <c r="AZ217" s="21" t="str">
        <f>IF(AND($AM217&lt;&gt;"",$AS217="✓"),SUMPRODUCT(($AM$11:$AM217&lt;&gt;"")*($AS$11:$AS217="✓")),"")</f>
        <v/>
      </c>
      <c r="BA217" s="21" t="str">
        <f>IF($AL217="","",$AL217&amp;"|"&amp;COUNTIF($AL$11:$AL217,$AL217))</f>
        <v/>
      </c>
    </row>
    <row r="218" spans="2:53" ht="15" customHeight="1" x14ac:dyDescent="0.25">
      <c r="B218" s="5" t="str">
        <f t="shared" si="45"/>
        <v/>
      </c>
      <c r="C218" s="5"/>
      <c r="D218" s="5"/>
      <c r="E218" s="5"/>
      <c r="F218" s="6"/>
      <c r="G218" s="6"/>
      <c r="H218" s="7"/>
      <c r="I218" s="8"/>
      <c r="K218" s="23" t="str">
        <f>IFERROR(INDEX($AL$11:$AL$4010,MATCH(208,$AX$11:$AX$4010,0)),"")</f>
        <v/>
      </c>
      <c r="L218" s="24" t="str">
        <f t="shared" si="46"/>
        <v/>
      </c>
      <c r="M218" s="25" t="str">
        <f t="shared" si="47"/>
        <v/>
      </c>
      <c r="N218" s="25" t="str">
        <f t="shared" si="48"/>
        <v/>
      </c>
      <c r="W218" s="28" t="str">
        <f>IF(X218="","",IFERROR(INDEX($AL$11:$AL$4010,MATCH(208,$AY$11:$AY$4010,0)),""))</f>
        <v/>
      </c>
      <c r="X218" s="26" t="str">
        <f>IFERROR(INDEX($AM$11:$AM$4010,MATCH(208,$AY$11:$AY$4010,0)),"")</f>
        <v/>
      </c>
      <c r="Y218" s="25" t="str">
        <f>IF(X218="","",IFERROR(INDEX($AN$11:$AN$4010,MATCH(208,$AY$11:$AY$4010,0)),""))</f>
        <v/>
      </c>
      <c r="Z218" s="25" t="str">
        <f>IF(X218="","",IFERROR(INDEX($AO$11:$AO$4010,MATCH(208,$AY$11:$AY$4010,0)),""))</f>
        <v/>
      </c>
      <c r="AA218" s="24" t="str">
        <f>IF(X218="","",IFERROR(INDEX($AQ$11:$AQ$4010,MATCH(208,$AY$11:$AY$4010,0)),""))</f>
        <v/>
      </c>
      <c r="AB218" s="29" t="str">
        <f>IF(X218="","",IFERROR(INDEX($AR$11:$AR$4010,MATCH(208,$AY$11:$AY$4010,0)),""))</f>
        <v/>
      </c>
      <c r="AD218" s="30" t="str">
        <f>IF(AE218="","",IFERROR(INDEX($AL$11:$AL$4010,MATCH(208,$AZ$11:$AZ$4010,0)),""))</f>
        <v/>
      </c>
      <c r="AE218" s="26" t="str">
        <f>IFERROR(INDEX($AM$11:$AM$4010,MATCH(208,$AZ$11:$AZ$4010,0)),"")</f>
        <v/>
      </c>
      <c r="AF218" s="25" t="str">
        <f>IF(AE218="","",IFERROR(INDEX($AN$11:$AN$4010,MATCH(208,$AZ$11:$AZ$4010,0)),""))</f>
        <v/>
      </c>
      <c r="AG218" s="25" t="str">
        <f>IF(AE218="","",IFERROR(INDEX($AO$11:$AO$4010,MATCH(208,$AZ$11:$AZ$4010,0)),""))</f>
        <v/>
      </c>
      <c r="AH218" s="24" t="str">
        <f>IF(AE218="","",IFERROR(INDEX($AQ$11:$AQ$4010,MATCH(208,$AZ$11:$AZ$4010,0)),""))</f>
        <v/>
      </c>
      <c r="AI218" s="29" t="str">
        <f>IF(AE218="","",IFERROR(INDEX($AR$11:$AR$4010,MATCH(208,$AZ$11:$AZ$4010,0)),""))</f>
        <v/>
      </c>
      <c r="AJ218" s="29" t="str">
        <f>IF(AE218="","",IFERROR(INDEX($AT$11:$AT$4010,MATCH(208,$AZ$11:$AZ$4010,0)),""))</f>
        <v/>
      </c>
      <c r="AL218" s="31" t="str">
        <f t="shared" si="50"/>
        <v/>
      </c>
      <c r="AM218" s="26" t="str">
        <f t="shared" si="51"/>
        <v/>
      </c>
      <c r="AN218" s="32" t="str">
        <f t="shared" si="52"/>
        <v/>
      </c>
      <c r="AO218" s="32" t="str">
        <f t="shared" si="53"/>
        <v/>
      </c>
      <c r="AP218" s="24" t="str">
        <f t="shared" si="54"/>
        <v/>
      </c>
      <c r="AQ218" s="24" t="str">
        <f t="shared" si="55"/>
        <v/>
      </c>
      <c r="AR218" s="33" t="str">
        <f t="shared" si="56"/>
        <v/>
      </c>
      <c r="AS218" s="34"/>
      <c r="AT218" s="33"/>
      <c r="AV218" s="21">
        <f>IF(AND($AL218&lt;&gt;"",COUNTIF($AL$11:$AL218,$AL218)=1),1,0)</f>
        <v>0</v>
      </c>
      <c r="AW218" s="21">
        <f t="shared" si="58"/>
        <v>0</v>
      </c>
      <c r="AX218" s="21" t="str">
        <f t="shared" si="57"/>
        <v/>
      </c>
      <c r="AY218" s="21" t="str">
        <f>IF(AND($AM218&lt;&gt;"",$AS218&lt;&gt;"✓"),SUMPRODUCT(($AM$11:$AM218&lt;&gt;"")*($AS$11:$AS218&lt;&gt;"✓")),"")</f>
        <v/>
      </c>
      <c r="AZ218" s="21" t="str">
        <f>IF(AND($AM218&lt;&gt;"",$AS218="✓"),SUMPRODUCT(($AM$11:$AM218&lt;&gt;"")*($AS$11:$AS218="✓")),"")</f>
        <v/>
      </c>
      <c r="BA218" s="21" t="str">
        <f>IF($AL218="","",$AL218&amp;"|"&amp;COUNTIF($AL$11:$AL218,$AL218))</f>
        <v/>
      </c>
    </row>
    <row r="219" spans="2:53" ht="15" customHeight="1" x14ac:dyDescent="0.25">
      <c r="B219" s="5" t="str">
        <f t="shared" si="45"/>
        <v/>
      </c>
      <c r="C219" s="5"/>
      <c r="D219" s="5"/>
      <c r="E219" s="5"/>
      <c r="F219" s="6"/>
      <c r="G219" s="6"/>
      <c r="H219" s="7"/>
      <c r="I219" s="8"/>
      <c r="K219" s="9" t="str">
        <f>IFERROR(INDEX($AL$11:$AL$4010,MATCH(209,$AX$11:$AX$4010,0)),"")</f>
        <v/>
      </c>
      <c r="L219" s="10" t="str">
        <f t="shared" si="46"/>
        <v/>
      </c>
      <c r="M219" s="11" t="str">
        <f t="shared" si="47"/>
        <v/>
      </c>
      <c r="N219" s="11" t="str">
        <f t="shared" si="48"/>
        <v/>
      </c>
      <c r="W219" s="14" t="str">
        <f>IF(X219="","",IFERROR(INDEX($AL$11:$AL$4010,MATCH(209,$AY$11:$AY$4010,0)),""))</f>
        <v/>
      </c>
      <c r="X219" s="12" t="str">
        <f>IFERROR(INDEX($AM$11:$AM$4010,MATCH(209,$AY$11:$AY$4010,0)),"")</f>
        <v/>
      </c>
      <c r="Y219" s="11" t="str">
        <f>IF(X219="","",IFERROR(INDEX($AN$11:$AN$4010,MATCH(209,$AY$11:$AY$4010,0)),""))</f>
        <v/>
      </c>
      <c r="Z219" s="11" t="str">
        <f>IF(X219="","",IFERROR(INDEX($AO$11:$AO$4010,MATCH(209,$AY$11:$AY$4010,0)),""))</f>
        <v/>
      </c>
      <c r="AA219" s="10" t="str">
        <f>IF(X219="","",IFERROR(INDEX($AQ$11:$AQ$4010,MATCH(209,$AY$11:$AY$4010,0)),""))</f>
        <v/>
      </c>
      <c r="AB219" s="15" t="str">
        <f>IF(X219="","",IFERROR(INDEX($AR$11:$AR$4010,MATCH(209,$AY$11:$AY$4010,0)),""))</f>
        <v/>
      </c>
      <c r="AD219" s="16" t="str">
        <f>IF(AE219="","",IFERROR(INDEX($AL$11:$AL$4010,MATCH(209,$AZ$11:$AZ$4010,0)),""))</f>
        <v/>
      </c>
      <c r="AE219" s="12" t="str">
        <f>IFERROR(INDEX($AM$11:$AM$4010,MATCH(209,$AZ$11:$AZ$4010,0)),"")</f>
        <v/>
      </c>
      <c r="AF219" s="11" t="str">
        <f>IF(AE219="","",IFERROR(INDEX($AN$11:$AN$4010,MATCH(209,$AZ$11:$AZ$4010,0)),""))</f>
        <v/>
      </c>
      <c r="AG219" s="11" t="str">
        <f>IF(AE219="","",IFERROR(INDEX($AO$11:$AO$4010,MATCH(209,$AZ$11:$AZ$4010,0)),""))</f>
        <v/>
      </c>
      <c r="AH219" s="10" t="str">
        <f>IF(AE219="","",IFERROR(INDEX($AQ$11:$AQ$4010,MATCH(209,$AZ$11:$AZ$4010,0)),""))</f>
        <v/>
      </c>
      <c r="AI219" s="15" t="str">
        <f>IF(AE219="","",IFERROR(INDEX($AR$11:$AR$4010,MATCH(209,$AZ$11:$AZ$4010,0)),""))</f>
        <v/>
      </c>
      <c r="AJ219" s="15" t="str">
        <f>IF(AE219="","",IFERROR(INDEX($AT$11:$AT$4010,MATCH(209,$AZ$11:$AZ$4010,0)),""))</f>
        <v/>
      </c>
      <c r="AL219" s="17" t="str">
        <f t="shared" si="50"/>
        <v/>
      </c>
      <c r="AM219" s="12" t="str">
        <f t="shared" si="51"/>
        <v/>
      </c>
      <c r="AN219" s="18" t="str">
        <f t="shared" si="52"/>
        <v/>
      </c>
      <c r="AO219" s="18" t="str">
        <f t="shared" si="53"/>
        <v/>
      </c>
      <c r="AP219" s="10" t="str">
        <f t="shared" si="54"/>
        <v/>
      </c>
      <c r="AQ219" s="10" t="str">
        <f t="shared" si="55"/>
        <v/>
      </c>
      <c r="AR219" s="19" t="str">
        <f t="shared" si="56"/>
        <v/>
      </c>
      <c r="AS219" s="20"/>
      <c r="AT219" s="19"/>
      <c r="AV219" s="21">
        <f>IF(AND($AL219&lt;&gt;"",COUNTIF($AL$11:$AL219,$AL219)=1),1,0)</f>
        <v>0</v>
      </c>
      <c r="AW219" s="21">
        <f t="shared" si="58"/>
        <v>0</v>
      </c>
      <c r="AX219" s="21" t="str">
        <f t="shared" si="57"/>
        <v/>
      </c>
      <c r="AY219" s="21" t="str">
        <f>IF(AND($AM219&lt;&gt;"",$AS219&lt;&gt;"✓"),SUMPRODUCT(($AM$11:$AM219&lt;&gt;"")*($AS$11:$AS219&lt;&gt;"✓")),"")</f>
        <v/>
      </c>
      <c r="AZ219" s="21" t="str">
        <f>IF(AND($AM219&lt;&gt;"",$AS219="✓"),SUMPRODUCT(($AM$11:$AM219&lt;&gt;"")*($AS$11:$AS219="✓")),"")</f>
        <v/>
      </c>
      <c r="BA219" s="21" t="str">
        <f>IF($AL219="","",$AL219&amp;"|"&amp;COUNTIF($AL$11:$AL219,$AL219))</f>
        <v/>
      </c>
    </row>
    <row r="220" spans="2:53" ht="15" customHeight="1" x14ac:dyDescent="0.25">
      <c r="B220" s="5" t="str">
        <f t="shared" si="45"/>
        <v/>
      </c>
      <c r="C220" s="5"/>
      <c r="D220" s="5"/>
      <c r="E220" s="5"/>
      <c r="F220" s="6"/>
      <c r="G220" s="6"/>
      <c r="H220" s="7"/>
      <c r="I220" s="8"/>
      <c r="K220" s="23" t="str">
        <f>IFERROR(INDEX($AL$11:$AL$4010,MATCH(210,$AX$11:$AX$4010,0)),"")</f>
        <v/>
      </c>
      <c r="L220" s="24" t="str">
        <f t="shared" si="46"/>
        <v/>
      </c>
      <c r="M220" s="25" t="str">
        <f t="shared" si="47"/>
        <v/>
      </c>
      <c r="N220" s="25" t="str">
        <f t="shared" si="48"/>
        <v/>
      </c>
      <c r="W220" s="28" t="str">
        <f>IF(X220="","",IFERROR(INDEX($AL$11:$AL$4010,MATCH(210,$AY$11:$AY$4010,0)),""))</f>
        <v/>
      </c>
      <c r="X220" s="26" t="str">
        <f>IFERROR(INDEX($AM$11:$AM$4010,MATCH(210,$AY$11:$AY$4010,0)),"")</f>
        <v/>
      </c>
      <c r="Y220" s="25" t="str">
        <f>IF(X220="","",IFERROR(INDEX($AN$11:$AN$4010,MATCH(210,$AY$11:$AY$4010,0)),""))</f>
        <v/>
      </c>
      <c r="Z220" s="25" t="str">
        <f>IF(X220="","",IFERROR(INDEX($AO$11:$AO$4010,MATCH(210,$AY$11:$AY$4010,0)),""))</f>
        <v/>
      </c>
      <c r="AA220" s="24" t="str">
        <f>IF(X220="","",IFERROR(INDEX($AQ$11:$AQ$4010,MATCH(210,$AY$11:$AY$4010,0)),""))</f>
        <v/>
      </c>
      <c r="AB220" s="29" t="str">
        <f>IF(X220="","",IFERROR(INDEX($AR$11:$AR$4010,MATCH(210,$AY$11:$AY$4010,0)),""))</f>
        <v/>
      </c>
      <c r="AD220" s="30" t="str">
        <f>IF(AE220="","",IFERROR(INDEX($AL$11:$AL$4010,MATCH(210,$AZ$11:$AZ$4010,0)),""))</f>
        <v/>
      </c>
      <c r="AE220" s="26" t="str">
        <f>IFERROR(INDEX($AM$11:$AM$4010,MATCH(210,$AZ$11:$AZ$4010,0)),"")</f>
        <v/>
      </c>
      <c r="AF220" s="25" t="str">
        <f>IF(AE220="","",IFERROR(INDEX($AN$11:$AN$4010,MATCH(210,$AZ$11:$AZ$4010,0)),""))</f>
        <v/>
      </c>
      <c r="AG220" s="25" t="str">
        <f>IF(AE220="","",IFERROR(INDEX($AO$11:$AO$4010,MATCH(210,$AZ$11:$AZ$4010,0)),""))</f>
        <v/>
      </c>
      <c r="AH220" s="24" t="str">
        <f>IF(AE220="","",IFERROR(INDEX($AQ$11:$AQ$4010,MATCH(210,$AZ$11:$AZ$4010,0)),""))</f>
        <v/>
      </c>
      <c r="AI220" s="29" t="str">
        <f>IF(AE220="","",IFERROR(INDEX($AR$11:$AR$4010,MATCH(210,$AZ$11:$AZ$4010,0)),""))</f>
        <v/>
      </c>
      <c r="AJ220" s="29" t="str">
        <f>IF(AE220="","",IFERROR(INDEX($AT$11:$AT$4010,MATCH(210,$AZ$11:$AZ$4010,0)),""))</f>
        <v/>
      </c>
      <c r="AL220" s="31" t="str">
        <f t="shared" si="50"/>
        <v/>
      </c>
      <c r="AM220" s="26" t="str">
        <f t="shared" si="51"/>
        <v/>
      </c>
      <c r="AN220" s="32" t="str">
        <f t="shared" si="52"/>
        <v/>
      </c>
      <c r="AO220" s="32" t="str">
        <f t="shared" si="53"/>
        <v/>
      </c>
      <c r="AP220" s="24" t="str">
        <f t="shared" si="54"/>
        <v/>
      </c>
      <c r="AQ220" s="24" t="str">
        <f t="shared" si="55"/>
        <v/>
      </c>
      <c r="AR220" s="33" t="str">
        <f t="shared" si="56"/>
        <v/>
      </c>
      <c r="AS220" s="34"/>
      <c r="AT220" s="33"/>
      <c r="AV220" s="21">
        <f>IF(AND($AL220&lt;&gt;"",COUNTIF($AL$11:$AL220,$AL220)=1),1,0)</f>
        <v>0</v>
      </c>
      <c r="AW220" s="21">
        <f t="shared" si="58"/>
        <v>0</v>
      </c>
      <c r="AX220" s="21" t="str">
        <f t="shared" si="57"/>
        <v/>
      </c>
      <c r="AY220" s="21" t="str">
        <f>IF(AND($AM220&lt;&gt;"",$AS220&lt;&gt;"✓"),SUMPRODUCT(($AM$11:$AM220&lt;&gt;"")*($AS$11:$AS220&lt;&gt;"✓")),"")</f>
        <v/>
      </c>
      <c r="AZ220" s="21" t="str">
        <f>IF(AND($AM220&lt;&gt;"",$AS220="✓"),SUMPRODUCT(($AM$11:$AM220&lt;&gt;"")*($AS$11:$AS220="✓")),"")</f>
        <v/>
      </c>
      <c r="BA220" s="21" t="str">
        <f>IF($AL220="","",$AL220&amp;"|"&amp;COUNTIF($AL$11:$AL220,$AL220))</f>
        <v/>
      </c>
    </row>
    <row r="221" spans="2:53" ht="15" customHeight="1" x14ac:dyDescent="0.25">
      <c r="B221" s="5" t="str">
        <f t="shared" si="45"/>
        <v/>
      </c>
      <c r="C221" s="5"/>
      <c r="D221" s="5"/>
      <c r="E221" s="5"/>
      <c r="F221" s="6"/>
      <c r="G221" s="6"/>
      <c r="H221" s="7"/>
      <c r="I221" s="8"/>
      <c r="K221" s="9" t="str">
        <f>IFERROR(INDEX($AL$11:$AL$4010,MATCH(211,$AX$11:$AX$4010,0)),"")</f>
        <v/>
      </c>
      <c r="L221" s="10" t="str">
        <f t="shared" si="46"/>
        <v/>
      </c>
      <c r="M221" s="11" t="str">
        <f t="shared" si="47"/>
        <v/>
      </c>
      <c r="N221" s="11" t="str">
        <f t="shared" si="48"/>
        <v/>
      </c>
      <c r="W221" s="14" t="str">
        <f>IF(X221="","",IFERROR(INDEX($AL$11:$AL$4010,MATCH(211,$AY$11:$AY$4010,0)),""))</f>
        <v/>
      </c>
      <c r="X221" s="12" t="str">
        <f>IFERROR(INDEX($AM$11:$AM$4010,MATCH(211,$AY$11:$AY$4010,0)),"")</f>
        <v/>
      </c>
      <c r="Y221" s="11" t="str">
        <f>IF(X221="","",IFERROR(INDEX($AN$11:$AN$4010,MATCH(211,$AY$11:$AY$4010,0)),""))</f>
        <v/>
      </c>
      <c r="Z221" s="11" t="str">
        <f>IF(X221="","",IFERROR(INDEX($AO$11:$AO$4010,MATCH(211,$AY$11:$AY$4010,0)),""))</f>
        <v/>
      </c>
      <c r="AA221" s="10" t="str">
        <f>IF(X221="","",IFERROR(INDEX($AQ$11:$AQ$4010,MATCH(211,$AY$11:$AY$4010,0)),""))</f>
        <v/>
      </c>
      <c r="AB221" s="15" t="str">
        <f>IF(X221="","",IFERROR(INDEX($AR$11:$AR$4010,MATCH(211,$AY$11:$AY$4010,0)),""))</f>
        <v/>
      </c>
      <c r="AD221" s="16" t="str">
        <f>IF(AE221="","",IFERROR(INDEX($AL$11:$AL$4010,MATCH(211,$AZ$11:$AZ$4010,0)),""))</f>
        <v/>
      </c>
      <c r="AE221" s="12" t="str">
        <f>IFERROR(INDEX($AM$11:$AM$4010,MATCH(211,$AZ$11:$AZ$4010,0)),"")</f>
        <v/>
      </c>
      <c r="AF221" s="11" t="str">
        <f>IF(AE221="","",IFERROR(INDEX($AN$11:$AN$4010,MATCH(211,$AZ$11:$AZ$4010,0)),""))</f>
        <v/>
      </c>
      <c r="AG221" s="11" t="str">
        <f>IF(AE221="","",IFERROR(INDEX($AO$11:$AO$4010,MATCH(211,$AZ$11:$AZ$4010,0)),""))</f>
        <v/>
      </c>
      <c r="AH221" s="10" t="str">
        <f>IF(AE221="","",IFERROR(INDEX($AQ$11:$AQ$4010,MATCH(211,$AZ$11:$AZ$4010,0)),""))</f>
        <v/>
      </c>
      <c r="AI221" s="15" t="str">
        <f>IF(AE221="","",IFERROR(INDEX($AR$11:$AR$4010,MATCH(211,$AZ$11:$AZ$4010,0)),""))</f>
        <v/>
      </c>
      <c r="AJ221" s="15" t="str">
        <f>IF(AE221="","",IFERROR(INDEX($AT$11:$AT$4010,MATCH(211,$AZ$11:$AZ$4010,0)),""))</f>
        <v/>
      </c>
      <c r="AL221" s="17" t="str">
        <f t="shared" si="50"/>
        <v/>
      </c>
      <c r="AM221" s="12" t="str">
        <f t="shared" si="51"/>
        <v/>
      </c>
      <c r="AN221" s="18" t="str">
        <f t="shared" si="52"/>
        <v/>
      </c>
      <c r="AO221" s="18" t="str">
        <f t="shared" si="53"/>
        <v/>
      </c>
      <c r="AP221" s="10" t="str">
        <f t="shared" si="54"/>
        <v/>
      </c>
      <c r="AQ221" s="10" t="str">
        <f t="shared" si="55"/>
        <v/>
      </c>
      <c r="AR221" s="19" t="str">
        <f t="shared" si="56"/>
        <v/>
      </c>
      <c r="AS221" s="20"/>
      <c r="AT221" s="19"/>
      <c r="AV221" s="21">
        <f>IF(AND($AL221&lt;&gt;"",COUNTIF($AL$11:$AL221,$AL221)=1),1,0)</f>
        <v>0</v>
      </c>
      <c r="AW221" s="21">
        <f t="shared" si="58"/>
        <v>0</v>
      </c>
      <c r="AX221" s="21" t="str">
        <f t="shared" si="57"/>
        <v/>
      </c>
      <c r="AY221" s="21" t="str">
        <f>IF(AND($AM221&lt;&gt;"",$AS221&lt;&gt;"✓"),SUMPRODUCT(($AM$11:$AM221&lt;&gt;"")*($AS$11:$AS221&lt;&gt;"✓")),"")</f>
        <v/>
      </c>
      <c r="AZ221" s="21" t="str">
        <f>IF(AND($AM221&lt;&gt;"",$AS221="✓"),SUMPRODUCT(($AM$11:$AM221&lt;&gt;"")*($AS$11:$AS221="✓")),"")</f>
        <v/>
      </c>
      <c r="BA221" s="21" t="str">
        <f>IF($AL221="","",$AL221&amp;"|"&amp;COUNTIF($AL$11:$AL221,$AL221))</f>
        <v/>
      </c>
    </row>
    <row r="222" spans="2:53" ht="15" customHeight="1" x14ac:dyDescent="0.25">
      <c r="B222" s="5" t="str">
        <f t="shared" si="45"/>
        <v/>
      </c>
      <c r="C222" s="5"/>
      <c r="D222" s="5"/>
      <c r="E222" s="5"/>
      <c r="F222" s="6"/>
      <c r="G222" s="6"/>
      <c r="H222" s="7"/>
      <c r="I222" s="8"/>
      <c r="K222" s="23" t="str">
        <f>IFERROR(INDEX($AL$11:$AL$4010,MATCH(212,$AX$11:$AX$4010,0)),"")</f>
        <v/>
      </c>
      <c r="L222" s="24" t="str">
        <f t="shared" si="46"/>
        <v/>
      </c>
      <c r="M222" s="25" t="str">
        <f t="shared" si="47"/>
        <v/>
      </c>
      <c r="N222" s="25" t="str">
        <f t="shared" si="48"/>
        <v/>
      </c>
      <c r="W222" s="28" t="str">
        <f>IF(X222="","",IFERROR(INDEX($AL$11:$AL$4010,MATCH(212,$AY$11:$AY$4010,0)),""))</f>
        <v/>
      </c>
      <c r="X222" s="26" t="str">
        <f>IFERROR(INDEX($AM$11:$AM$4010,MATCH(212,$AY$11:$AY$4010,0)),"")</f>
        <v/>
      </c>
      <c r="Y222" s="25" t="str">
        <f>IF(X222="","",IFERROR(INDEX($AN$11:$AN$4010,MATCH(212,$AY$11:$AY$4010,0)),""))</f>
        <v/>
      </c>
      <c r="Z222" s="25" t="str">
        <f>IF(X222="","",IFERROR(INDEX($AO$11:$AO$4010,MATCH(212,$AY$11:$AY$4010,0)),""))</f>
        <v/>
      </c>
      <c r="AA222" s="24" t="str">
        <f>IF(X222="","",IFERROR(INDEX($AQ$11:$AQ$4010,MATCH(212,$AY$11:$AY$4010,0)),""))</f>
        <v/>
      </c>
      <c r="AB222" s="29" t="str">
        <f>IF(X222="","",IFERROR(INDEX($AR$11:$AR$4010,MATCH(212,$AY$11:$AY$4010,0)),""))</f>
        <v/>
      </c>
      <c r="AD222" s="30" t="str">
        <f>IF(AE222="","",IFERROR(INDEX($AL$11:$AL$4010,MATCH(212,$AZ$11:$AZ$4010,0)),""))</f>
        <v/>
      </c>
      <c r="AE222" s="26" t="str">
        <f>IFERROR(INDEX($AM$11:$AM$4010,MATCH(212,$AZ$11:$AZ$4010,0)),"")</f>
        <v/>
      </c>
      <c r="AF222" s="25" t="str">
        <f>IF(AE222="","",IFERROR(INDEX($AN$11:$AN$4010,MATCH(212,$AZ$11:$AZ$4010,0)),""))</f>
        <v/>
      </c>
      <c r="AG222" s="25" t="str">
        <f>IF(AE222="","",IFERROR(INDEX($AO$11:$AO$4010,MATCH(212,$AZ$11:$AZ$4010,0)),""))</f>
        <v/>
      </c>
      <c r="AH222" s="24" t="str">
        <f>IF(AE222="","",IFERROR(INDEX($AQ$11:$AQ$4010,MATCH(212,$AZ$11:$AZ$4010,0)),""))</f>
        <v/>
      </c>
      <c r="AI222" s="29" t="str">
        <f>IF(AE222="","",IFERROR(INDEX($AR$11:$AR$4010,MATCH(212,$AZ$11:$AZ$4010,0)),""))</f>
        <v/>
      </c>
      <c r="AJ222" s="29" t="str">
        <f>IF(AE222="","",IFERROR(INDEX($AT$11:$AT$4010,MATCH(212,$AZ$11:$AZ$4010,0)),""))</f>
        <v/>
      </c>
      <c r="AL222" s="31" t="str">
        <f t="shared" si="50"/>
        <v/>
      </c>
      <c r="AM222" s="26" t="str">
        <f t="shared" si="51"/>
        <v/>
      </c>
      <c r="AN222" s="32" t="str">
        <f t="shared" si="52"/>
        <v/>
      </c>
      <c r="AO222" s="32" t="str">
        <f t="shared" si="53"/>
        <v/>
      </c>
      <c r="AP222" s="24" t="str">
        <f t="shared" si="54"/>
        <v/>
      </c>
      <c r="AQ222" s="24" t="str">
        <f t="shared" si="55"/>
        <v/>
      </c>
      <c r="AR222" s="33" t="str">
        <f t="shared" si="56"/>
        <v/>
      </c>
      <c r="AS222" s="34"/>
      <c r="AT222" s="33"/>
      <c r="AV222" s="21">
        <f>IF(AND($AL222&lt;&gt;"",COUNTIF($AL$11:$AL222,$AL222)=1),1,0)</f>
        <v>0</v>
      </c>
      <c r="AW222" s="21">
        <f t="shared" si="58"/>
        <v>0</v>
      </c>
      <c r="AX222" s="21" t="str">
        <f t="shared" si="57"/>
        <v/>
      </c>
      <c r="AY222" s="21" t="str">
        <f>IF(AND($AM222&lt;&gt;"",$AS222&lt;&gt;"✓"),SUMPRODUCT(($AM$11:$AM222&lt;&gt;"")*($AS$11:$AS222&lt;&gt;"✓")),"")</f>
        <v/>
      </c>
      <c r="AZ222" s="21" t="str">
        <f>IF(AND($AM222&lt;&gt;"",$AS222="✓"),SUMPRODUCT(($AM$11:$AM222&lt;&gt;"")*($AS$11:$AS222="✓")),"")</f>
        <v/>
      </c>
      <c r="BA222" s="21" t="str">
        <f>IF($AL222="","",$AL222&amp;"|"&amp;COUNTIF($AL$11:$AL222,$AL222))</f>
        <v/>
      </c>
    </row>
    <row r="223" spans="2:53" ht="15" customHeight="1" x14ac:dyDescent="0.25">
      <c r="B223" s="5" t="str">
        <f t="shared" si="45"/>
        <v/>
      </c>
      <c r="C223" s="5"/>
      <c r="D223" s="5"/>
      <c r="E223" s="5"/>
      <c r="F223" s="6"/>
      <c r="G223" s="6"/>
      <c r="H223" s="7"/>
      <c r="I223" s="8"/>
      <c r="K223" s="9" t="str">
        <f>IFERROR(INDEX($AL$11:$AL$4010,MATCH(213,$AX$11:$AX$4010,0)),"")</f>
        <v/>
      </c>
      <c r="L223" s="10" t="str">
        <f t="shared" si="46"/>
        <v/>
      </c>
      <c r="M223" s="11" t="str">
        <f t="shared" si="47"/>
        <v/>
      </c>
      <c r="N223" s="11" t="str">
        <f t="shared" si="48"/>
        <v/>
      </c>
      <c r="W223" s="14" t="str">
        <f>IF(X223="","",IFERROR(INDEX($AL$11:$AL$4010,MATCH(213,$AY$11:$AY$4010,0)),""))</f>
        <v/>
      </c>
      <c r="X223" s="12" t="str">
        <f>IFERROR(INDEX($AM$11:$AM$4010,MATCH(213,$AY$11:$AY$4010,0)),"")</f>
        <v/>
      </c>
      <c r="Y223" s="11" t="str">
        <f>IF(X223="","",IFERROR(INDEX($AN$11:$AN$4010,MATCH(213,$AY$11:$AY$4010,0)),""))</f>
        <v/>
      </c>
      <c r="Z223" s="11" t="str">
        <f>IF(X223="","",IFERROR(INDEX($AO$11:$AO$4010,MATCH(213,$AY$11:$AY$4010,0)),""))</f>
        <v/>
      </c>
      <c r="AA223" s="10" t="str">
        <f>IF(X223="","",IFERROR(INDEX($AQ$11:$AQ$4010,MATCH(213,$AY$11:$AY$4010,0)),""))</f>
        <v/>
      </c>
      <c r="AB223" s="15" t="str">
        <f>IF(X223="","",IFERROR(INDEX($AR$11:$AR$4010,MATCH(213,$AY$11:$AY$4010,0)),""))</f>
        <v/>
      </c>
      <c r="AD223" s="16" t="str">
        <f>IF(AE223="","",IFERROR(INDEX($AL$11:$AL$4010,MATCH(213,$AZ$11:$AZ$4010,0)),""))</f>
        <v/>
      </c>
      <c r="AE223" s="12" t="str">
        <f>IFERROR(INDEX($AM$11:$AM$4010,MATCH(213,$AZ$11:$AZ$4010,0)),"")</f>
        <v/>
      </c>
      <c r="AF223" s="11" t="str">
        <f>IF(AE223="","",IFERROR(INDEX($AN$11:$AN$4010,MATCH(213,$AZ$11:$AZ$4010,0)),""))</f>
        <v/>
      </c>
      <c r="AG223" s="11" t="str">
        <f>IF(AE223="","",IFERROR(INDEX($AO$11:$AO$4010,MATCH(213,$AZ$11:$AZ$4010,0)),""))</f>
        <v/>
      </c>
      <c r="AH223" s="10" t="str">
        <f>IF(AE223="","",IFERROR(INDEX($AQ$11:$AQ$4010,MATCH(213,$AZ$11:$AZ$4010,0)),""))</f>
        <v/>
      </c>
      <c r="AI223" s="15" t="str">
        <f>IF(AE223="","",IFERROR(INDEX($AR$11:$AR$4010,MATCH(213,$AZ$11:$AZ$4010,0)),""))</f>
        <v/>
      </c>
      <c r="AJ223" s="15" t="str">
        <f>IF(AE223="","",IFERROR(INDEX($AT$11:$AT$4010,MATCH(213,$AZ$11:$AZ$4010,0)),""))</f>
        <v/>
      </c>
      <c r="AL223" s="17" t="str">
        <f t="shared" si="50"/>
        <v/>
      </c>
      <c r="AM223" s="12" t="str">
        <f t="shared" si="51"/>
        <v/>
      </c>
      <c r="AN223" s="18" t="str">
        <f t="shared" si="52"/>
        <v/>
      </c>
      <c r="AO223" s="18" t="str">
        <f t="shared" si="53"/>
        <v/>
      </c>
      <c r="AP223" s="10" t="str">
        <f t="shared" si="54"/>
        <v/>
      </c>
      <c r="AQ223" s="10" t="str">
        <f t="shared" si="55"/>
        <v/>
      </c>
      <c r="AR223" s="19" t="str">
        <f t="shared" si="56"/>
        <v/>
      </c>
      <c r="AS223" s="20"/>
      <c r="AT223" s="19"/>
      <c r="AV223" s="21">
        <f>IF(AND($AL223&lt;&gt;"",COUNTIF($AL$11:$AL223,$AL223)=1),1,0)</f>
        <v>0</v>
      </c>
      <c r="AW223" s="21">
        <f t="shared" si="58"/>
        <v>0</v>
      </c>
      <c r="AX223" s="21" t="str">
        <f t="shared" si="57"/>
        <v/>
      </c>
      <c r="AY223" s="21" t="str">
        <f>IF(AND($AM223&lt;&gt;"",$AS223&lt;&gt;"✓"),SUMPRODUCT(($AM$11:$AM223&lt;&gt;"")*($AS$11:$AS223&lt;&gt;"✓")),"")</f>
        <v/>
      </c>
      <c r="AZ223" s="21" t="str">
        <f>IF(AND($AM223&lt;&gt;"",$AS223="✓"),SUMPRODUCT(($AM$11:$AM223&lt;&gt;"")*($AS$11:$AS223="✓")),"")</f>
        <v/>
      </c>
      <c r="BA223" s="21" t="str">
        <f>IF($AL223="","",$AL223&amp;"|"&amp;COUNTIF($AL$11:$AL223,$AL223))</f>
        <v/>
      </c>
    </row>
    <row r="224" spans="2:53" ht="15" customHeight="1" x14ac:dyDescent="0.25">
      <c r="B224" s="5" t="str">
        <f t="shared" si="45"/>
        <v/>
      </c>
      <c r="C224" s="5"/>
      <c r="D224" s="5"/>
      <c r="E224" s="5"/>
      <c r="F224" s="6"/>
      <c r="G224" s="6"/>
      <c r="H224" s="7"/>
      <c r="I224" s="8"/>
      <c r="K224" s="23" t="str">
        <f>IFERROR(INDEX($AL$11:$AL$4010,MATCH(214,$AX$11:$AX$4010,0)),"")</f>
        <v/>
      </c>
      <c r="L224" s="24" t="str">
        <f t="shared" si="46"/>
        <v/>
      </c>
      <c r="M224" s="25" t="str">
        <f t="shared" si="47"/>
        <v/>
      </c>
      <c r="N224" s="25" t="str">
        <f t="shared" si="48"/>
        <v/>
      </c>
      <c r="W224" s="28" t="str">
        <f>IF(X224="","",IFERROR(INDEX($AL$11:$AL$4010,MATCH(214,$AY$11:$AY$4010,0)),""))</f>
        <v/>
      </c>
      <c r="X224" s="26" t="str">
        <f>IFERROR(INDEX($AM$11:$AM$4010,MATCH(214,$AY$11:$AY$4010,0)),"")</f>
        <v/>
      </c>
      <c r="Y224" s="25" t="str">
        <f>IF(X224="","",IFERROR(INDEX($AN$11:$AN$4010,MATCH(214,$AY$11:$AY$4010,0)),""))</f>
        <v/>
      </c>
      <c r="Z224" s="25" t="str">
        <f>IF(X224="","",IFERROR(INDEX($AO$11:$AO$4010,MATCH(214,$AY$11:$AY$4010,0)),""))</f>
        <v/>
      </c>
      <c r="AA224" s="24" t="str">
        <f>IF(X224="","",IFERROR(INDEX($AQ$11:$AQ$4010,MATCH(214,$AY$11:$AY$4010,0)),""))</f>
        <v/>
      </c>
      <c r="AB224" s="29" t="str">
        <f>IF(X224="","",IFERROR(INDEX($AR$11:$AR$4010,MATCH(214,$AY$11:$AY$4010,0)),""))</f>
        <v/>
      </c>
      <c r="AD224" s="30" t="str">
        <f>IF(AE224="","",IFERROR(INDEX($AL$11:$AL$4010,MATCH(214,$AZ$11:$AZ$4010,0)),""))</f>
        <v/>
      </c>
      <c r="AE224" s="26" t="str">
        <f>IFERROR(INDEX($AM$11:$AM$4010,MATCH(214,$AZ$11:$AZ$4010,0)),"")</f>
        <v/>
      </c>
      <c r="AF224" s="25" t="str">
        <f>IF(AE224="","",IFERROR(INDEX($AN$11:$AN$4010,MATCH(214,$AZ$11:$AZ$4010,0)),""))</f>
        <v/>
      </c>
      <c r="AG224" s="25" t="str">
        <f>IF(AE224="","",IFERROR(INDEX($AO$11:$AO$4010,MATCH(214,$AZ$11:$AZ$4010,0)),""))</f>
        <v/>
      </c>
      <c r="AH224" s="24" t="str">
        <f>IF(AE224="","",IFERROR(INDEX($AQ$11:$AQ$4010,MATCH(214,$AZ$11:$AZ$4010,0)),""))</f>
        <v/>
      </c>
      <c r="AI224" s="29" t="str">
        <f>IF(AE224="","",IFERROR(INDEX($AR$11:$AR$4010,MATCH(214,$AZ$11:$AZ$4010,0)),""))</f>
        <v/>
      </c>
      <c r="AJ224" s="29" t="str">
        <f>IF(AE224="","",IFERROR(INDEX($AT$11:$AT$4010,MATCH(214,$AZ$11:$AZ$4010,0)),""))</f>
        <v/>
      </c>
      <c r="AL224" s="31" t="str">
        <f t="shared" si="50"/>
        <v/>
      </c>
      <c r="AM224" s="26" t="str">
        <f t="shared" si="51"/>
        <v/>
      </c>
      <c r="AN224" s="32" t="str">
        <f t="shared" si="52"/>
        <v/>
      </c>
      <c r="AO224" s="32" t="str">
        <f t="shared" si="53"/>
        <v/>
      </c>
      <c r="AP224" s="24" t="str">
        <f t="shared" si="54"/>
        <v/>
      </c>
      <c r="AQ224" s="24" t="str">
        <f t="shared" si="55"/>
        <v/>
      </c>
      <c r="AR224" s="33" t="str">
        <f t="shared" si="56"/>
        <v/>
      </c>
      <c r="AS224" s="34"/>
      <c r="AT224" s="33"/>
      <c r="AV224" s="21">
        <f>IF(AND($AL224&lt;&gt;"",COUNTIF($AL$11:$AL224,$AL224)=1),1,0)</f>
        <v>0</v>
      </c>
      <c r="AW224" s="21">
        <f t="shared" si="58"/>
        <v>0</v>
      </c>
      <c r="AX224" s="21" t="str">
        <f t="shared" si="57"/>
        <v/>
      </c>
      <c r="AY224" s="21" t="str">
        <f>IF(AND($AM224&lt;&gt;"",$AS224&lt;&gt;"✓"),SUMPRODUCT(($AM$11:$AM224&lt;&gt;"")*($AS$11:$AS224&lt;&gt;"✓")),"")</f>
        <v/>
      </c>
      <c r="AZ224" s="21" t="str">
        <f>IF(AND($AM224&lt;&gt;"",$AS224="✓"),SUMPRODUCT(($AM$11:$AM224&lt;&gt;"")*($AS$11:$AS224="✓")),"")</f>
        <v/>
      </c>
      <c r="BA224" s="21" t="str">
        <f>IF($AL224="","",$AL224&amp;"|"&amp;COUNTIF($AL$11:$AL224,$AL224))</f>
        <v/>
      </c>
    </row>
    <row r="225" spans="2:53" ht="15" customHeight="1" x14ac:dyDescent="0.25">
      <c r="B225" s="5" t="str">
        <f t="shared" si="45"/>
        <v/>
      </c>
      <c r="C225" s="5"/>
      <c r="D225" s="5"/>
      <c r="E225" s="5"/>
      <c r="F225" s="6"/>
      <c r="G225" s="6"/>
      <c r="H225" s="7"/>
      <c r="I225" s="8"/>
      <c r="K225" s="9" t="str">
        <f>IFERROR(INDEX($AL$11:$AL$4010,MATCH(215,$AX$11:$AX$4010,0)),"")</f>
        <v/>
      </c>
      <c r="L225" s="10" t="str">
        <f t="shared" si="46"/>
        <v/>
      </c>
      <c r="M225" s="11" t="str">
        <f t="shared" si="47"/>
        <v/>
      </c>
      <c r="N225" s="11" t="str">
        <f t="shared" si="48"/>
        <v/>
      </c>
      <c r="W225" s="14" t="str">
        <f>IF(X225="","",IFERROR(INDEX($AL$11:$AL$4010,MATCH(215,$AY$11:$AY$4010,0)),""))</f>
        <v/>
      </c>
      <c r="X225" s="12" t="str">
        <f>IFERROR(INDEX($AM$11:$AM$4010,MATCH(215,$AY$11:$AY$4010,0)),"")</f>
        <v/>
      </c>
      <c r="Y225" s="11" t="str">
        <f>IF(X225="","",IFERROR(INDEX($AN$11:$AN$4010,MATCH(215,$AY$11:$AY$4010,0)),""))</f>
        <v/>
      </c>
      <c r="Z225" s="11" t="str">
        <f>IF(X225="","",IFERROR(INDEX($AO$11:$AO$4010,MATCH(215,$AY$11:$AY$4010,0)),""))</f>
        <v/>
      </c>
      <c r="AA225" s="10" t="str">
        <f>IF(X225="","",IFERROR(INDEX($AQ$11:$AQ$4010,MATCH(215,$AY$11:$AY$4010,0)),""))</f>
        <v/>
      </c>
      <c r="AB225" s="15" t="str">
        <f>IF(X225="","",IFERROR(INDEX($AR$11:$AR$4010,MATCH(215,$AY$11:$AY$4010,0)),""))</f>
        <v/>
      </c>
      <c r="AD225" s="16" t="str">
        <f>IF(AE225="","",IFERROR(INDEX($AL$11:$AL$4010,MATCH(215,$AZ$11:$AZ$4010,0)),""))</f>
        <v/>
      </c>
      <c r="AE225" s="12" t="str">
        <f>IFERROR(INDEX($AM$11:$AM$4010,MATCH(215,$AZ$11:$AZ$4010,0)),"")</f>
        <v/>
      </c>
      <c r="AF225" s="11" t="str">
        <f>IF(AE225="","",IFERROR(INDEX($AN$11:$AN$4010,MATCH(215,$AZ$11:$AZ$4010,0)),""))</f>
        <v/>
      </c>
      <c r="AG225" s="11" t="str">
        <f>IF(AE225="","",IFERROR(INDEX($AO$11:$AO$4010,MATCH(215,$AZ$11:$AZ$4010,0)),""))</f>
        <v/>
      </c>
      <c r="AH225" s="10" t="str">
        <f>IF(AE225="","",IFERROR(INDEX($AQ$11:$AQ$4010,MATCH(215,$AZ$11:$AZ$4010,0)),""))</f>
        <v/>
      </c>
      <c r="AI225" s="15" t="str">
        <f>IF(AE225="","",IFERROR(INDEX($AR$11:$AR$4010,MATCH(215,$AZ$11:$AZ$4010,0)),""))</f>
        <v/>
      </c>
      <c r="AJ225" s="15" t="str">
        <f>IF(AE225="","",IFERROR(INDEX($AT$11:$AT$4010,MATCH(215,$AZ$11:$AZ$4010,0)),""))</f>
        <v/>
      </c>
      <c r="AL225" s="17" t="str">
        <f t="shared" si="50"/>
        <v/>
      </c>
      <c r="AM225" s="12" t="str">
        <f t="shared" si="51"/>
        <v/>
      </c>
      <c r="AN225" s="18" t="str">
        <f t="shared" si="52"/>
        <v/>
      </c>
      <c r="AO225" s="18" t="str">
        <f t="shared" si="53"/>
        <v/>
      </c>
      <c r="AP225" s="10" t="str">
        <f t="shared" si="54"/>
        <v/>
      </c>
      <c r="AQ225" s="10" t="str">
        <f t="shared" si="55"/>
        <v/>
      </c>
      <c r="AR225" s="19" t="str">
        <f t="shared" si="56"/>
        <v/>
      </c>
      <c r="AS225" s="20"/>
      <c r="AT225" s="19"/>
      <c r="AV225" s="21">
        <f>IF(AND($AL225&lt;&gt;"",COUNTIF($AL$11:$AL225,$AL225)=1),1,0)</f>
        <v>0</v>
      </c>
      <c r="AW225" s="21">
        <f t="shared" si="58"/>
        <v>0</v>
      </c>
      <c r="AX225" s="21" t="str">
        <f t="shared" si="57"/>
        <v/>
      </c>
      <c r="AY225" s="21" t="str">
        <f>IF(AND($AM225&lt;&gt;"",$AS225&lt;&gt;"✓"),SUMPRODUCT(($AM$11:$AM225&lt;&gt;"")*($AS$11:$AS225&lt;&gt;"✓")),"")</f>
        <v/>
      </c>
      <c r="AZ225" s="21" t="str">
        <f>IF(AND($AM225&lt;&gt;"",$AS225="✓"),SUMPRODUCT(($AM$11:$AM225&lt;&gt;"")*($AS$11:$AS225="✓")),"")</f>
        <v/>
      </c>
      <c r="BA225" s="21" t="str">
        <f>IF($AL225="","",$AL225&amp;"|"&amp;COUNTIF($AL$11:$AL225,$AL225))</f>
        <v/>
      </c>
    </row>
    <row r="226" spans="2:53" ht="15" customHeight="1" x14ac:dyDescent="0.25">
      <c r="B226" s="5" t="str">
        <f t="shared" si="45"/>
        <v/>
      </c>
      <c r="C226" s="5"/>
      <c r="D226" s="5"/>
      <c r="E226" s="5"/>
      <c r="F226" s="6"/>
      <c r="G226" s="6"/>
      <c r="H226" s="7"/>
      <c r="I226" s="8"/>
      <c r="K226" s="23" t="str">
        <f>IFERROR(INDEX($AL$11:$AL$4010,MATCH(216,$AX$11:$AX$4010,0)),"")</f>
        <v/>
      </c>
      <c r="L226" s="24" t="str">
        <f t="shared" si="46"/>
        <v/>
      </c>
      <c r="M226" s="25" t="str">
        <f t="shared" si="47"/>
        <v/>
      </c>
      <c r="N226" s="25" t="str">
        <f t="shared" si="48"/>
        <v/>
      </c>
      <c r="W226" s="28" t="str">
        <f>IF(X226="","",IFERROR(INDEX($AL$11:$AL$4010,MATCH(216,$AY$11:$AY$4010,0)),""))</f>
        <v/>
      </c>
      <c r="X226" s="26" t="str">
        <f>IFERROR(INDEX($AM$11:$AM$4010,MATCH(216,$AY$11:$AY$4010,0)),"")</f>
        <v/>
      </c>
      <c r="Y226" s="25" t="str">
        <f>IF(X226="","",IFERROR(INDEX($AN$11:$AN$4010,MATCH(216,$AY$11:$AY$4010,0)),""))</f>
        <v/>
      </c>
      <c r="Z226" s="25" t="str">
        <f>IF(X226="","",IFERROR(INDEX($AO$11:$AO$4010,MATCH(216,$AY$11:$AY$4010,0)),""))</f>
        <v/>
      </c>
      <c r="AA226" s="24" t="str">
        <f>IF(X226="","",IFERROR(INDEX($AQ$11:$AQ$4010,MATCH(216,$AY$11:$AY$4010,0)),""))</f>
        <v/>
      </c>
      <c r="AB226" s="29" t="str">
        <f>IF(X226="","",IFERROR(INDEX($AR$11:$AR$4010,MATCH(216,$AY$11:$AY$4010,0)),""))</f>
        <v/>
      </c>
      <c r="AD226" s="30" t="str">
        <f>IF(AE226="","",IFERROR(INDEX($AL$11:$AL$4010,MATCH(216,$AZ$11:$AZ$4010,0)),""))</f>
        <v/>
      </c>
      <c r="AE226" s="26" t="str">
        <f>IFERROR(INDEX($AM$11:$AM$4010,MATCH(216,$AZ$11:$AZ$4010,0)),"")</f>
        <v/>
      </c>
      <c r="AF226" s="25" t="str">
        <f>IF(AE226="","",IFERROR(INDEX($AN$11:$AN$4010,MATCH(216,$AZ$11:$AZ$4010,0)),""))</f>
        <v/>
      </c>
      <c r="AG226" s="25" t="str">
        <f>IF(AE226="","",IFERROR(INDEX($AO$11:$AO$4010,MATCH(216,$AZ$11:$AZ$4010,0)),""))</f>
        <v/>
      </c>
      <c r="AH226" s="24" t="str">
        <f>IF(AE226="","",IFERROR(INDEX($AQ$11:$AQ$4010,MATCH(216,$AZ$11:$AZ$4010,0)),""))</f>
        <v/>
      </c>
      <c r="AI226" s="29" t="str">
        <f>IF(AE226="","",IFERROR(INDEX($AR$11:$AR$4010,MATCH(216,$AZ$11:$AZ$4010,0)),""))</f>
        <v/>
      </c>
      <c r="AJ226" s="29" t="str">
        <f>IF(AE226="","",IFERROR(INDEX($AT$11:$AT$4010,MATCH(216,$AZ$11:$AZ$4010,0)),""))</f>
        <v/>
      </c>
      <c r="AL226" s="31" t="str">
        <f t="shared" si="50"/>
        <v/>
      </c>
      <c r="AM226" s="26" t="str">
        <f t="shared" si="51"/>
        <v/>
      </c>
      <c r="AN226" s="32" t="str">
        <f t="shared" si="52"/>
        <v/>
      </c>
      <c r="AO226" s="32" t="str">
        <f t="shared" si="53"/>
        <v/>
      </c>
      <c r="AP226" s="24" t="str">
        <f t="shared" si="54"/>
        <v/>
      </c>
      <c r="AQ226" s="24" t="str">
        <f t="shared" si="55"/>
        <v/>
      </c>
      <c r="AR226" s="33" t="str">
        <f t="shared" si="56"/>
        <v/>
      </c>
      <c r="AS226" s="34"/>
      <c r="AT226" s="33"/>
      <c r="AV226" s="21">
        <f>IF(AND($AL226&lt;&gt;"",COUNTIF($AL$11:$AL226,$AL226)=1),1,0)</f>
        <v>0</v>
      </c>
      <c r="AW226" s="21">
        <f t="shared" si="58"/>
        <v>0</v>
      </c>
      <c r="AX226" s="21" t="str">
        <f t="shared" si="57"/>
        <v/>
      </c>
      <c r="AY226" s="21" t="str">
        <f>IF(AND($AM226&lt;&gt;"",$AS226&lt;&gt;"✓"),SUMPRODUCT(($AM$11:$AM226&lt;&gt;"")*($AS$11:$AS226&lt;&gt;"✓")),"")</f>
        <v/>
      </c>
      <c r="AZ226" s="21" t="str">
        <f>IF(AND($AM226&lt;&gt;"",$AS226="✓"),SUMPRODUCT(($AM$11:$AM226&lt;&gt;"")*($AS$11:$AS226="✓")),"")</f>
        <v/>
      </c>
      <c r="BA226" s="21" t="str">
        <f>IF($AL226="","",$AL226&amp;"|"&amp;COUNTIF($AL$11:$AL226,$AL226))</f>
        <v/>
      </c>
    </row>
    <row r="227" spans="2:53" ht="15" customHeight="1" x14ac:dyDescent="0.25">
      <c r="B227" s="5" t="str">
        <f t="shared" si="45"/>
        <v/>
      </c>
      <c r="C227" s="5"/>
      <c r="D227" s="5"/>
      <c r="E227" s="5"/>
      <c r="F227" s="6"/>
      <c r="G227" s="6"/>
      <c r="H227" s="7"/>
      <c r="I227" s="8"/>
      <c r="K227" s="9" t="str">
        <f>IFERROR(INDEX($AL$11:$AL$4010,MATCH(217,$AX$11:$AX$4010,0)),"")</f>
        <v/>
      </c>
      <c r="L227" s="10" t="str">
        <f t="shared" si="46"/>
        <v/>
      </c>
      <c r="M227" s="11" t="str">
        <f t="shared" si="47"/>
        <v/>
      </c>
      <c r="N227" s="11" t="str">
        <f t="shared" si="48"/>
        <v/>
      </c>
      <c r="W227" s="14" t="str">
        <f>IF(X227="","",IFERROR(INDEX($AL$11:$AL$4010,MATCH(217,$AY$11:$AY$4010,0)),""))</f>
        <v/>
      </c>
      <c r="X227" s="12" t="str">
        <f>IFERROR(INDEX($AM$11:$AM$4010,MATCH(217,$AY$11:$AY$4010,0)),"")</f>
        <v/>
      </c>
      <c r="Y227" s="11" t="str">
        <f>IF(X227="","",IFERROR(INDEX($AN$11:$AN$4010,MATCH(217,$AY$11:$AY$4010,0)),""))</f>
        <v/>
      </c>
      <c r="Z227" s="11" t="str">
        <f>IF(X227="","",IFERROR(INDEX($AO$11:$AO$4010,MATCH(217,$AY$11:$AY$4010,0)),""))</f>
        <v/>
      </c>
      <c r="AA227" s="10" t="str">
        <f>IF(X227="","",IFERROR(INDEX($AQ$11:$AQ$4010,MATCH(217,$AY$11:$AY$4010,0)),""))</f>
        <v/>
      </c>
      <c r="AB227" s="15" t="str">
        <f>IF(X227="","",IFERROR(INDEX($AR$11:$AR$4010,MATCH(217,$AY$11:$AY$4010,0)),""))</f>
        <v/>
      </c>
      <c r="AD227" s="16" t="str">
        <f>IF(AE227="","",IFERROR(INDEX($AL$11:$AL$4010,MATCH(217,$AZ$11:$AZ$4010,0)),""))</f>
        <v/>
      </c>
      <c r="AE227" s="12" t="str">
        <f>IFERROR(INDEX($AM$11:$AM$4010,MATCH(217,$AZ$11:$AZ$4010,0)),"")</f>
        <v/>
      </c>
      <c r="AF227" s="11" t="str">
        <f>IF(AE227="","",IFERROR(INDEX($AN$11:$AN$4010,MATCH(217,$AZ$11:$AZ$4010,0)),""))</f>
        <v/>
      </c>
      <c r="AG227" s="11" t="str">
        <f>IF(AE227="","",IFERROR(INDEX($AO$11:$AO$4010,MATCH(217,$AZ$11:$AZ$4010,0)),""))</f>
        <v/>
      </c>
      <c r="AH227" s="10" t="str">
        <f>IF(AE227="","",IFERROR(INDEX($AQ$11:$AQ$4010,MATCH(217,$AZ$11:$AZ$4010,0)),""))</f>
        <v/>
      </c>
      <c r="AI227" s="15" t="str">
        <f>IF(AE227="","",IFERROR(INDEX($AR$11:$AR$4010,MATCH(217,$AZ$11:$AZ$4010,0)),""))</f>
        <v/>
      </c>
      <c r="AJ227" s="15" t="str">
        <f>IF(AE227="","",IFERROR(INDEX($AT$11:$AT$4010,MATCH(217,$AZ$11:$AZ$4010,0)),""))</f>
        <v/>
      </c>
      <c r="AL227" s="17" t="str">
        <f t="shared" si="50"/>
        <v/>
      </c>
      <c r="AM227" s="12" t="str">
        <f t="shared" si="51"/>
        <v/>
      </c>
      <c r="AN227" s="18" t="str">
        <f t="shared" si="52"/>
        <v/>
      </c>
      <c r="AO227" s="18" t="str">
        <f t="shared" si="53"/>
        <v/>
      </c>
      <c r="AP227" s="10" t="str">
        <f t="shared" si="54"/>
        <v/>
      </c>
      <c r="AQ227" s="10" t="str">
        <f t="shared" si="55"/>
        <v/>
      </c>
      <c r="AR227" s="19" t="str">
        <f t="shared" si="56"/>
        <v/>
      </c>
      <c r="AS227" s="20"/>
      <c r="AT227" s="19"/>
      <c r="AV227" s="21">
        <f>IF(AND($AL227&lt;&gt;"",COUNTIF($AL$11:$AL227,$AL227)=1),1,0)</f>
        <v>0</v>
      </c>
      <c r="AW227" s="21">
        <f t="shared" si="58"/>
        <v>0</v>
      </c>
      <c r="AX227" s="21" t="str">
        <f t="shared" si="57"/>
        <v/>
      </c>
      <c r="AY227" s="21" t="str">
        <f>IF(AND($AM227&lt;&gt;"",$AS227&lt;&gt;"✓"),SUMPRODUCT(($AM$11:$AM227&lt;&gt;"")*($AS$11:$AS227&lt;&gt;"✓")),"")</f>
        <v/>
      </c>
      <c r="AZ227" s="21" t="str">
        <f>IF(AND($AM227&lt;&gt;"",$AS227="✓"),SUMPRODUCT(($AM$11:$AM227&lt;&gt;"")*($AS$11:$AS227="✓")),"")</f>
        <v/>
      </c>
      <c r="BA227" s="21" t="str">
        <f>IF($AL227="","",$AL227&amp;"|"&amp;COUNTIF($AL$11:$AL227,$AL227))</f>
        <v/>
      </c>
    </row>
    <row r="228" spans="2:53" ht="15" customHeight="1" x14ac:dyDescent="0.25">
      <c r="B228" s="5" t="str">
        <f t="shared" si="45"/>
        <v/>
      </c>
      <c r="C228" s="5"/>
      <c r="D228" s="5"/>
      <c r="E228" s="5"/>
      <c r="F228" s="6"/>
      <c r="G228" s="6"/>
      <c r="H228" s="7"/>
      <c r="I228" s="8"/>
      <c r="K228" s="23" t="str">
        <f>IFERROR(INDEX($AL$11:$AL$4010,MATCH(218,$AX$11:$AX$4010,0)),"")</f>
        <v/>
      </c>
      <c r="L228" s="24" t="str">
        <f t="shared" si="46"/>
        <v/>
      </c>
      <c r="M228" s="25" t="str">
        <f t="shared" si="47"/>
        <v/>
      </c>
      <c r="N228" s="25" t="str">
        <f t="shared" si="48"/>
        <v/>
      </c>
      <c r="W228" s="28" t="str">
        <f>IF(X228="","",IFERROR(INDEX($AL$11:$AL$4010,MATCH(218,$AY$11:$AY$4010,0)),""))</f>
        <v/>
      </c>
      <c r="X228" s="26" t="str">
        <f>IFERROR(INDEX($AM$11:$AM$4010,MATCH(218,$AY$11:$AY$4010,0)),"")</f>
        <v/>
      </c>
      <c r="Y228" s="25" t="str">
        <f>IF(X228="","",IFERROR(INDEX($AN$11:$AN$4010,MATCH(218,$AY$11:$AY$4010,0)),""))</f>
        <v/>
      </c>
      <c r="Z228" s="25" t="str">
        <f>IF(X228="","",IFERROR(INDEX($AO$11:$AO$4010,MATCH(218,$AY$11:$AY$4010,0)),""))</f>
        <v/>
      </c>
      <c r="AA228" s="24" t="str">
        <f>IF(X228="","",IFERROR(INDEX($AQ$11:$AQ$4010,MATCH(218,$AY$11:$AY$4010,0)),""))</f>
        <v/>
      </c>
      <c r="AB228" s="29" t="str">
        <f>IF(X228="","",IFERROR(INDEX($AR$11:$AR$4010,MATCH(218,$AY$11:$AY$4010,0)),""))</f>
        <v/>
      </c>
      <c r="AD228" s="30" t="str">
        <f>IF(AE228="","",IFERROR(INDEX($AL$11:$AL$4010,MATCH(218,$AZ$11:$AZ$4010,0)),""))</f>
        <v/>
      </c>
      <c r="AE228" s="26" t="str">
        <f>IFERROR(INDEX($AM$11:$AM$4010,MATCH(218,$AZ$11:$AZ$4010,0)),"")</f>
        <v/>
      </c>
      <c r="AF228" s="25" t="str">
        <f>IF(AE228="","",IFERROR(INDEX($AN$11:$AN$4010,MATCH(218,$AZ$11:$AZ$4010,0)),""))</f>
        <v/>
      </c>
      <c r="AG228" s="25" t="str">
        <f>IF(AE228="","",IFERROR(INDEX($AO$11:$AO$4010,MATCH(218,$AZ$11:$AZ$4010,0)),""))</f>
        <v/>
      </c>
      <c r="AH228" s="24" t="str">
        <f>IF(AE228="","",IFERROR(INDEX($AQ$11:$AQ$4010,MATCH(218,$AZ$11:$AZ$4010,0)),""))</f>
        <v/>
      </c>
      <c r="AI228" s="29" t="str">
        <f>IF(AE228="","",IFERROR(INDEX($AR$11:$AR$4010,MATCH(218,$AZ$11:$AZ$4010,0)),""))</f>
        <v/>
      </c>
      <c r="AJ228" s="29" t="str">
        <f>IF(AE228="","",IFERROR(INDEX($AT$11:$AT$4010,MATCH(218,$AZ$11:$AZ$4010,0)),""))</f>
        <v/>
      </c>
      <c r="AL228" s="31" t="str">
        <f t="shared" si="50"/>
        <v/>
      </c>
      <c r="AM228" s="26" t="str">
        <f t="shared" si="51"/>
        <v/>
      </c>
      <c r="AN228" s="32" t="str">
        <f t="shared" si="52"/>
        <v/>
      </c>
      <c r="AO228" s="32" t="str">
        <f t="shared" si="53"/>
        <v/>
      </c>
      <c r="AP228" s="24" t="str">
        <f t="shared" si="54"/>
        <v/>
      </c>
      <c r="AQ228" s="24" t="str">
        <f t="shared" si="55"/>
        <v/>
      </c>
      <c r="AR228" s="33" t="str">
        <f t="shared" si="56"/>
        <v/>
      </c>
      <c r="AS228" s="34"/>
      <c r="AT228" s="33"/>
      <c r="AV228" s="21">
        <f>IF(AND($AL228&lt;&gt;"",COUNTIF($AL$11:$AL228,$AL228)=1),1,0)</f>
        <v>0</v>
      </c>
      <c r="AW228" s="21">
        <f t="shared" si="58"/>
        <v>0</v>
      </c>
      <c r="AX228" s="21" t="str">
        <f t="shared" si="57"/>
        <v/>
      </c>
      <c r="AY228" s="21" t="str">
        <f>IF(AND($AM228&lt;&gt;"",$AS228&lt;&gt;"✓"),SUMPRODUCT(($AM$11:$AM228&lt;&gt;"")*($AS$11:$AS228&lt;&gt;"✓")),"")</f>
        <v/>
      </c>
      <c r="AZ228" s="21" t="str">
        <f>IF(AND($AM228&lt;&gt;"",$AS228="✓"),SUMPRODUCT(($AM$11:$AM228&lt;&gt;"")*($AS$11:$AS228="✓")),"")</f>
        <v/>
      </c>
      <c r="BA228" s="21" t="str">
        <f>IF($AL228="","",$AL228&amp;"|"&amp;COUNTIF($AL$11:$AL228,$AL228))</f>
        <v/>
      </c>
    </row>
    <row r="229" spans="2:53" ht="15" customHeight="1" x14ac:dyDescent="0.25">
      <c r="B229" s="5" t="str">
        <f t="shared" si="45"/>
        <v/>
      </c>
      <c r="C229" s="5"/>
      <c r="D229" s="5"/>
      <c r="E229" s="5"/>
      <c r="F229" s="6"/>
      <c r="G229" s="6"/>
      <c r="H229" s="7"/>
      <c r="I229" s="8"/>
      <c r="K229" s="9" t="str">
        <f>IFERROR(INDEX($AL$11:$AL$4010,MATCH(219,$AX$11:$AX$4010,0)),"")</f>
        <v/>
      </c>
      <c r="L229" s="10" t="str">
        <f t="shared" si="46"/>
        <v/>
      </c>
      <c r="M229" s="11" t="str">
        <f t="shared" si="47"/>
        <v/>
      </c>
      <c r="N229" s="11" t="str">
        <f t="shared" si="48"/>
        <v/>
      </c>
      <c r="W229" s="14" t="str">
        <f>IF(X229="","",IFERROR(INDEX($AL$11:$AL$4010,MATCH(219,$AY$11:$AY$4010,0)),""))</f>
        <v/>
      </c>
      <c r="X229" s="12" t="str">
        <f>IFERROR(INDEX($AM$11:$AM$4010,MATCH(219,$AY$11:$AY$4010,0)),"")</f>
        <v/>
      </c>
      <c r="Y229" s="11" t="str">
        <f>IF(X229="","",IFERROR(INDEX($AN$11:$AN$4010,MATCH(219,$AY$11:$AY$4010,0)),""))</f>
        <v/>
      </c>
      <c r="Z229" s="11" t="str">
        <f>IF(X229="","",IFERROR(INDEX($AO$11:$AO$4010,MATCH(219,$AY$11:$AY$4010,0)),""))</f>
        <v/>
      </c>
      <c r="AA229" s="10" t="str">
        <f>IF(X229="","",IFERROR(INDEX($AQ$11:$AQ$4010,MATCH(219,$AY$11:$AY$4010,0)),""))</f>
        <v/>
      </c>
      <c r="AB229" s="15" t="str">
        <f>IF(X229="","",IFERROR(INDEX($AR$11:$AR$4010,MATCH(219,$AY$11:$AY$4010,0)),""))</f>
        <v/>
      </c>
      <c r="AD229" s="16" t="str">
        <f>IF(AE229="","",IFERROR(INDEX($AL$11:$AL$4010,MATCH(219,$AZ$11:$AZ$4010,0)),""))</f>
        <v/>
      </c>
      <c r="AE229" s="12" t="str">
        <f>IFERROR(INDEX($AM$11:$AM$4010,MATCH(219,$AZ$11:$AZ$4010,0)),"")</f>
        <v/>
      </c>
      <c r="AF229" s="11" t="str">
        <f>IF(AE229="","",IFERROR(INDEX($AN$11:$AN$4010,MATCH(219,$AZ$11:$AZ$4010,0)),""))</f>
        <v/>
      </c>
      <c r="AG229" s="11" t="str">
        <f>IF(AE229="","",IFERROR(INDEX($AO$11:$AO$4010,MATCH(219,$AZ$11:$AZ$4010,0)),""))</f>
        <v/>
      </c>
      <c r="AH229" s="10" t="str">
        <f>IF(AE229="","",IFERROR(INDEX($AQ$11:$AQ$4010,MATCH(219,$AZ$11:$AZ$4010,0)),""))</f>
        <v/>
      </c>
      <c r="AI229" s="15" t="str">
        <f>IF(AE229="","",IFERROR(INDEX($AR$11:$AR$4010,MATCH(219,$AZ$11:$AZ$4010,0)),""))</f>
        <v/>
      </c>
      <c r="AJ229" s="15" t="str">
        <f>IF(AE229="","",IFERROR(INDEX($AT$11:$AT$4010,MATCH(219,$AZ$11:$AZ$4010,0)),""))</f>
        <v/>
      </c>
      <c r="AL229" s="17" t="str">
        <f t="shared" si="50"/>
        <v/>
      </c>
      <c r="AM229" s="12" t="str">
        <f t="shared" si="51"/>
        <v/>
      </c>
      <c r="AN229" s="18" t="str">
        <f t="shared" si="52"/>
        <v/>
      </c>
      <c r="AO229" s="18" t="str">
        <f t="shared" si="53"/>
        <v/>
      </c>
      <c r="AP229" s="10" t="str">
        <f t="shared" si="54"/>
        <v/>
      </c>
      <c r="AQ229" s="10" t="str">
        <f t="shared" si="55"/>
        <v/>
      </c>
      <c r="AR229" s="19" t="str">
        <f t="shared" si="56"/>
        <v/>
      </c>
      <c r="AS229" s="20"/>
      <c r="AT229" s="19"/>
      <c r="AV229" s="21">
        <f>IF(AND($AL229&lt;&gt;"",COUNTIF($AL$11:$AL229,$AL229)=1),1,0)</f>
        <v>0</v>
      </c>
      <c r="AW229" s="21">
        <f t="shared" si="58"/>
        <v>0</v>
      </c>
      <c r="AX229" s="21" t="str">
        <f t="shared" si="57"/>
        <v/>
      </c>
      <c r="AY229" s="21" t="str">
        <f>IF(AND($AM229&lt;&gt;"",$AS229&lt;&gt;"✓"),SUMPRODUCT(($AM$11:$AM229&lt;&gt;"")*($AS$11:$AS229&lt;&gt;"✓")),"")</f>
        <v/>
      </c>
      <c r="AZ229" s="21" t="str">
        <f>IF(AND($AM229&lt;&gt;"",$AS229="✓"),SUMPRODUCT(($AM$11:$AM229&lt;&gt;"")*($AS$11:$AS229="✓")),"")</f>
        <v/>
      </c>
      <c r="BA229" s="21" t="str">
        <f>IF($AL229="","",$AL229&amp;"|"&amp;COUNTIF($AL$11:$AL229,$AL229))</f>
        <v/>
      </c>
    </row>
    <row r="230" spans="2:53" ht="15" customHeight="1" x14ac:dyDescent="0.25">
      <c r="B230" s="5" t="str">
        <f t="shared" si="45"/>
        <v/>
      </c>
      <c r="C230" s="5"/>
      <c r="D230" s="5"/>
      <c r="E230" s="5"/>
      <c r="F230" s="6"/>
      <c r="G230" s="6"/>
      <c r="H230" s="7"/>
      <c r="I230" s="8"/>
      <c r="K230" s="23" t="str">
        <f>IFERROR(INDEX($AL$11:$AL$4010,MATCH(220,$AX$11:$AX$4010,0)),"")</f>
        <v/>
      </c>
      <c r="L230" s="24" t="str">
        <f t="shared" si="46"/>
        <v/>
      </c>
      <c r="M230" s="25" t="str">
        <f t="shared" si="47"/>
        <v/>
      </c>
      <c r="N230" s="25" t="str">
        <f t="shared" si="48"/>
        <v/>
      </c>
      <c r="W230" s="28" t="str">
        <f>IF(X230="","",IFERROR(INDEX($AL$11:$AL$4010,MATCH(220,$AY$11:$AY$4010,0)),""))</f>
        <v/>
      </c>
      <c r="X230" s="26" t="str">
        <f>IFERROR(INDEX($AM$11:$AM$4010,MATCH(220,$AY$11:$AY$4010,0)),"")</f>
        <v/>
      </c>
      <c r="Y230" s="25" t="str">
        <f>IF(X230="","",IFERROR(INDEX($AN$11:$AN$4010,MATCH(220,$AY$11:$AY$4010,0)),""))</f>
        <v/>
      </c>
      <c r="Z230" s="25" t="str">
        <f>IF(X230="","",IFERROR(INDEX($AO$11:$AO$4010,MATCH(220,$AY$11:$AY$4010,0)),""))</f>
        <v/>
      </c>
      <c r="AA230" s="24" t="str">
        <f>IF(X230="","",IFERROR(INDEX($AQ$11:$AQ$4010,MATCH(220,$AY$11:$AY$4010,0)),""))</f>
        <v/>
      </c>
      <c r="AB230" s="29" t="str">
        <f>IF(X230="","",IFERROR(INDEX($AR$11:$AR$4010,MATCH(220,$AY$11:$AY$4010,0)),""))</f>
        <v/>
      </c>
      <c r="AD230" s="30" t="str">
        <f>IF(AE230="","",IFERROR(INDEX($AL$11:$AL$4010,MATCH(220,$AZ$11:$AZ$4010,0)),""))</f>
        <v/>
      </c>
      <c r="AE230" s="26" t="str">
        <f>IFERROR(INDEX($AM$11:$AM$4010,MATCH(220,$AZ$11:$AZ$4010,0)),"")</f>
        <v/>
      </c>
      <c r="AF230" s="25" t="str">
        <f>IF(AE230="","",IFERROR(INDEX($AN$11:$AN$4010,MATCH(220,$AZ$11:$AZ$4010,0)),""))</f>
        <v/>
      </c>
      <c r="AG230" s="25" t="str">
        <f>IF(AE230="","",IFERROR(INDEX($AO$11:$AO$4010,MATCH(220,$AZ$11:$AZ$4010,0)),""))</f>
        <v/>
      </c>
      <c r="AH230" s="24" t="str">
        <f>IF(AE230="","",IFERROR(INDEX($AQ$11:$AQ$4010,MATCH(220,$AZ$11:$AZ$4010,0)),""))</f>
        <v/>
      </c>
      <c r="AI230" s="29" t="str">
        <f>IF(AE230="","",IFERROR(INDEX($AR$11:$AR$4010,MATCH(220,$AZ$11:$AZ$4010,0)),""))</f>
        <v/>
      </c>
      <c r="AJ230" s="29" t="str">
        <f>IF(AE230="","",IFERROR(INDEX($AT$11:$AT$4010,MATCH(220,$AZ$11:$AZ$4010,0)),""))</f>
        <v/>
      </c>
      <c r="AL230" s="31" t="str">
        <f t="shared" si="50"/>
        <v/>
      </c>
      <c r="AM230" s="26" t="str">
        <f t="shared" si="51"/>
        <v/>
      </c>
      <c r="AN230" s="32" t="str">
        <f t="shared" si="52"/>
        <v/>
      </c>
      <c r="AO230" s="32" t="str">
        <f t="shared" si="53"/>
        <v/>
      </c>
      <c r="AP230" s="24" t="str">
        <f t="shared" si="54"/>
        <v/>
      </c>
      <c r="AQ230" s="24" t="str">
        <f t="shared" si="55"/>
        <v/>
      </c>
      <c r="AR230" s="33" t="str">
        <f t="shared" si="56"/>
        <v/>
      </c>
      <c r="AS230" s="34"/>
      <c r="AT230" s="33"/>
      <c r="AV230" s="21">
        <f>IF(AND($AL230&lt;&gt;"",COUNTIF($AL$11:$AL230,$AL230)=1),1,0)</f>
        <v>0</v>
      </c>
      <c r="AW230" s="21">
        <f t="shared" si="58"/>
        <v>0</v>
      </c>
      <c r="AX230" s="21" t="str">
        <f t="shared" si="57"/>
        <v/>
      </c>
      <c r="AY230" s="21" t="str">
        <f>IF(AND($AM230&lt;&gt;"",$AS230&lt;&gt;"✓"),SUMPRODUCT(($AM$11:$AM230&lt;&gt;"")*($AS$11:$AS230&lt;&gt;"✓")),"")</f>
        <v/>
      </c>
      <c r="AZ230" s="21" t="str">
        <f>IF(AND($AM230&lt;&gt;"",$AS230="✓"),SUMPRODUCT(($AM$11:$AM230&lt;&gt;"")*($AS$11:$AS230="✓")),"")</f>
        <v/>
      </c>
      <c r="BA230" s="21" t="str">
        <f>IF($AL230="","",$AL230&amp;"|"&amp;COUNTIF($AL$11:$AL230,$AL230))</f>
        <v/>
      </c>
    </row>
    <row r="231" spans="2:53" ht="15" customHeight="1" x14ac:dyDescent="0.25">
      <c r="B231" s="5" t="str">
        <f t="shared" si="45"/>
        <v/>
      </c>
      <c r="C231" s="5"/>
      <c r="D231" s="5"/>
      <c r="E231" s="5"/>
      <c r="F231" s="6"/>
      <c r="G231" s="6"/>
      <c r="H231" s="7"/>
      <c r="I231" s="8"/>
      <c r="K231" s="9" t="str">
        <f>IFERROR(INDEX($AL$11:$AL$4010,MATCH(221,$AX$11:$AX$4010,0)),"")</f>
        <v/>
      </c>
      <c r="L231" s="10" t="str">
        <f t="shared" si="46"/>
        <v/>
      </c>
      <c r="M231" s="11" t="str">
        <f t="shared" si="47"/>
        <v/>
      </c>
      <c r="N231" s="11" t="str">
        <f t="shared" si="48"/>
        <v/>
      </c>
      <c r="W231" s="14" t="str">
        <f>IF(X231="","",IFERROR(INDEX($AL$11:$AL$4010,MATCH(221,$AY$11:$AY$4010,0)),""))</f>
        <v/>
      </c>
      <c r="X231" s="12" t="str">
        <f>IFERROR(INDEX($AM$11:$AM$4010,MATCH(221,$AY$11:$AY$4010,0)),"")</f>
        <v/>
      </c>
      <c r="Y231" s="11" t="str">
        <f>IF(X231="","",IFERROR(INDEX($AN$11:$AN$4010,MATCH(221,$AY$11:$AY$4010,0)),""))</f>
        <v/>
      </c>
      <c r="Z231" s="11" t="str">
        <f>IF(X231="","",IFERROR(INDEX($AO$11:$AO$4010,MATCH(221,$AY$11:$AY$4010,0)),""))</f>
        <v/>
      </c>
      <c r="AA231" s="10" t="str">
        <f>IF(X231="","",IFERROR(INDEX($AQ$11:$AQ$4010,MATCH(221,$AY$11:$AY$4010,0)),""))</f>
        <v/>
      </c>
      <c r="AB231" s="15" t="str">
        <f>IF(X231="","",IFERROR(INDEX($AR$11:$AR$4010,MATCH(221,$AY$11:$AY$4010,0)),""))</f>
        <v/>
      </c>
      <c r="AD231" s="16" t="str">
        <f>IF(AE231="","",IFERROR(INDEX($AL$11:$AL$4010,MATCH(221,$AZ$11:$AZ$4010,0)),""))</f>
        <v/>
      </c>
      <c r="AE231" s="12" t="str">
        <f>IFERROR(INDEX($AM$11:$AM$4010,MATCH(221,$AZ$11:$AZ$4010,0)),"")</f>
        <v/>
      </c>
      <c r="AF231" s="11" t="str">
        <f>IF(AE231="","",IFERROR(INDEX($AN$11:$AN$4010,MATCH(221,$AZ$11:$AZ$4010,0)),""))</f>
        <v/>
      </c>
      <c r="AG231" s="11" t="str">
        <f>IF(AE231="","",IFERROR(INDEX($AO$11:$AO$4010,MATCH(221,$AZ$11:$AZ$4010,0)),""))</f>
        <v/>
      </c>
      <c r="AH231" s="10" t="str">
        <f>IF(AE231="","",IFERROR(INDEX($AQ$11:$AQ$4010,MATCH(221,$AZ$11:$AZ$4010,0)),""))</f>
        <v/>
      </c>
      <c r="AI231" s="15" t="str">
        <f>IF(AE231="","",IFERROR(INDEX($AR$11:$AR$4010,MATCH(221,$AZ$11:$AZ$4010,0)),""))</f>
        <v/>
      </c>
      <c r="AJ231" s="15" t="str">
        <f>IF(AE231="","",IFERROR(INDEX($AT$11:$AT$4010,MATCH(221,$AZ$11:$AZ$4010,0)),""))</f>
        <v/>
      </c>
      <c r="AL231" s="17" t="str">
        <f t="shared" si="50"/>
        <v/>
      </c>
      <c r="AM231" s="12" t="str">
        <f t="shared" si="51"/>
        <v/>
      </c>
      <c r="AN231" s="18" t="str">
        <f t="shared" si="52"/>
        <v/>
      </c>
      <c r="AO231" s="18" t="str">
        <f t="shared" si="53"/>
        <v/>
      </c>
      <c r="AP231" s="10" t="str">
        <f t="shared" si="54"/>
        <v/>
      </c>
      <c r="AQ231" s="10" t="str">
        <f t="shared" si="55"/>
        <v/>
      </c>
      <c r="AR231" s="19" t="str">
        <f t="shared" si="56"/>
        <v/>
      </c>
      <c r="AS231" s="20"/>
      <c r="AT231" s="19"/>
      <c r="AV231" s="21">
        <f>IF(AND($AL231&lt;&gt;"",COUNTIF($AL$11:$AL231,$AL231)=1),1,0)</f>
        <v>0</v>
      </c>
      <c r="AW231" s="21">
        <f t="shared" si="58"/>
        <v>0</v>
      </c>
      <c r="AX231" s="21" t="str">
        <f t="shared" si="57"/>
        <v/>
      </c>
      <c r="AY231" s="21" t="str">
        <f>IF(AND($AM231&lt;&gt;"",$AS231&lt;&gt;"✓"),SUMPRODUCT(($AM$11:$AM231&lt;&gt;"")*($AS$11:$AS231&lt;&gt;"✓")),"")</f>
        <v/>
      </c>
      <c r="AZ231" s="21" t="str">
        <f>IF(AND($AM231&lt;&gt;"",$AS231="✓"),SUMPRODUCT(($AM$11:$AM231&lt;&gt;"")*($AS$11:$AS231="✓")),"")</f>
        <v/>
      </c>
      <c r="BA231" s="21" t="str">
        <f>IF($AL231="","",$AL231&amp;"|"&amp;COUNTIF($AL$11:$AL231,$AL231))</f>
        <v/>
      </c>
    </row>
    <row r="232" spans="2:53" ht="15" customHeight="1" x14ac:dyDescent="0.25">
      <c r="B232" s="5" t="str">
        <f t="shared" si="45"/>
        <v/>
      </c>
      <c r="C232" s="5"/>
      <c r="D232" s="5"/>
      <c r="E232" s="5"/>
      <c r="F232" s="6"/>
      <c r="G232" s="6"/>
      <c r="H232" s="7"/>
      <c r="I232" s="8"/>
      <c r="K232" s="23" t="str">
        <f>IFERROR(INDEX($AL$11:$AL$4010,MATCH(222,$AX$11:$AX$4010,0)),"")</f>
        <v/>
      </c>
      <c r="L232" s="24" t="str">
        <f t="shared" si="46"/>
        <v/>
      </c>
      <c r="M232" s="25" t="str">
        <f t="shared" si="47"/>
        <v/>
      </c>
      <c r="N232" s="25" t="str">
        <f t="shared" si="48"/>
        <v/>
      </c>
      <c r="W232" s="28" t="str">
        <f>IF(X232="","",IFERROR(INDEX($AL$11:$AL$4010,MATCH(222,$AY$11:$AY$4010,0)),""))</f>
        <v/>
      </c>
      <c r="X232" s="26" t="str">
        <f>IFERROR(INDEX($AM$11:$AM$4010,MATCH(222,$AY$11:$AY$4010,0)),"")</f>
        <v/>
      </c>
      <c r="Y232" s="25" t="str">
        <f>IF(X232="","",IFERROR(INDEX($AN$11:$AN$4010,MATCH(222,$AY$11:$AY$4010,0)),""))</f>
        <v/>
      </c>
      <c r="Z232" s="25" t="str">
        <f>IF(X232="","",IFERROR(INDEX($AO$11:$AO$4010,MATCH(222,$AY$11:$AY$4010,0)),""))</f>
        <v/>
      </c>
      <c r="AA232" s="24" t="str">
        <f>IF(X232="","",IFERROR(INDEX($AQ$11:$AQ$4010,MATCH(222,$AY$11:$AY$4010,0)),""))</f>
        <v/>
      </c>
      <c r="AB232" s="29" t="str">
        <f>IF(X232="","",IFERROR(INDEX($AR$11:$AR$4010,MATCH(222,$AY$11:$AY$4010,0)),""))</f>
        <v/>
      </c>
      <c r="AD232" s="30" t="str">
        <f>IF(AE232="","",IFERROR(INDEX($AL$11:$AL$4010,MATCH(222,$AZ$11:$AZ$4010,0)),""))</f>
        <v/>
      </c>
      <c r="AE232" s="26" t="str">
        <f>IFERROR(INDEX($AM$11:$AM$4010,MATCH(222,$AZ$11:$AZ$4010,0)),"")</f>
        <v/>
      </c>
      <c r="AF232" s="25" t="str">
        <f>IF(AE232="","",IFERROR(INDEX($AN$11:$AN$4010,MATCH(222,$AZ$11:$AZ$4010,0)),""))</f>
        <v/>
      </c>
      <c r="AG232" s="25" t="str">
        <f>IF(AE232="","",IFERROR(INDEX($AO$11:$AO$4010,MATCH(222,$AZ$11:$AZ$4010,0)),""))</f>
        <v/>
      </c>
      <c r="AH232" s="24" t="str">
        <f>IF(AE232="","",IFERROR(INDEX($AQ$11:$AQ$4010,MATCH(222,$AZ$11:$AZ$4010,0)),""))</f>
        <v/>
      </c>
      <c r="AI232" s="29" t="str">
        <f>IF(AE232="","",IFERROR(INDEX($AR$11:$AR$4010,MATCH(222,$AZ$11:$AZ$4010,0)),""))</f>
        <v/>
      </c>
      <c r="AJ232" s="29" t="str">
        <f>IF(AE232="","",IFERROR(INDEX($AT$11:$AT$4010,MATCH(222,$AZ$11:$AZ$4010,0)),""))</f>
        <v/>
      </c>
      <c r="AL232" s="31" t="str">
        <f t="shared" si="50"/>
        <v/>
      </c>
      <c r="AM232" s="26" t="str">
        <f t="shared" si="51"/>
        <v/>
      </c>
      <c r="AN232" s="32" t="str">
        <f t="shared" si="52"/>
        <v/>
      </c>
      <c r="AO232" s="32" t="str">
        <f t="shared" si="53"/>
        <v/>
      </c>
      <c r="AP232" s="24" t="str">
        <f t="shared" si="54"/>
        <v/>
      </c>
      <c r="AQ232" s="24" t="str">
        <f t="shared" si="55"/>
        <v/>
      </c>
      <c r="AR232" s="33" t="str">
        <f t="shared" si="56"/>
        <v/>
      </c>
      <c r="AS232" s="34"/>
      <c r="AT232" s="33"/>
      <c r="AV232" s="21">
        <f>IF(AND($AL232&lt;&gt;"",COUNTIF($AL$11:$AL232,$AL232)=1),1,0)</f>
        <v>0</v>
      </c>
      <c r="AW232" s="21">
        <f t="shared" si="58"/>
        <v>0</v>
      </c>
      <c r="AX232" s="21" t="str">
        <f t="shared" si="57"/>
        <v/>
      </c>
      <c r="AY232" s="21" t="str">
        <f>IF(AND($AM232&lt;&gt;"",$AS232&lt;&gt;"✓"),SUMPRODUCT(($AM$11:$AM232&lt;&gt;"")*($AS$11:$AS232&lt;&gt;"✓")),"")</f>
        <v/>
      </c>
      <c r="AZ232" s="21" t="str">
        <f>IF(AND($AM232&lt;&gt;"",$AS232="✓"),SUMPRODUCT(($AM$11:$AM232&lt;&gt;"")*($AS$11:$AS232="✓")),"")</f>
        <v/>
      </c>
      <c r="BA232" s="21" t="str">
        <f>IF($AL232="","",$AL232&amp;"|"&amp;COUNTIF($AL$11:$AL232,$AL232))</f>
        <v/>
      </c>
    </row>
    <row r="233" spans="2:53" ht="15" customHeight="1" x14ac:dyDescent="0.25">
      <c r="B233" s="5" t="str">
        <f t="shared" si="45"/>
        <v/>
      </c>
      <c r="C233" s="5"/>
      <c r="D233" s="5"/>
      <c r="E233" s="5"/>
      <c r="F233" s="6"/>
      <c r="G233" s="6"/>
      <c r="H233" s="7"/>
      <c r="I233" s="8"/>
      <c r="K233" s="9" t="str">
        <f>IFERROR(INDEX($AL$11:$AL$4010,MATCH(223,$AX$11:$AX$4010,0)),"")</f>
        <v/>
      </c>
      <c r="L233" s="10" t="str">
        <f t="shared" si="46"/>
        <v/>
      </c>
      <c r="M233" s="11" t="str">
        <f t="shared" si="47"/>
        <v/>
      </c>
      <c r="N233" s="11" t="str">
        <f t="shared" si="48"/>
        <v/>
      </c>
      <c r="W233" s="14" t="str">
        <f>IF(X233="","",IFERROR(INDEX($AL$11:$AL$4010,MATCH(223,$AY$11:$AY$4010,0)),""))</f>
        <v/>
      </c>
      <c r="X233" s="12" t="str">
        <f>IFERROR(INDEX($AM$11:$AM$4010,MATCH(223,$AY$11:$AY$4010,0)),"")</f>
        <v/>
      </c>
      <c r="Y233" s="11" t="str">
        <f>IF(X233="","",IFERROR(INDEX($AN$11:$AN$4010,MATCH(223,$AY$11:$AY$4010,0)),""))</f>
        <v/>
      </c>
      <c r="Z233" s="11" t="str">
        <f>IF(X233="","",IFERROR(INDEX($AO$11:$AO$4010,MATCH(223,$AY$11:$AY$4010,0)),""))</f>
        <v/>
      </c>
      <c r="AA233" s="10" t="str">
        <f>IF(X233="","",IFERROR(INDEX($AQ$11:$AQ$4010,MATCH(223,$AY$11:$AY$4010,0)),""))</f>
        <v/>
      </c>
      <c r="AB233" s="15" t="str">
        <f>IF(X233="","",IFERROR(INDEX($AR$11:$AR$4010,MATCH(223,$AY$11:$AY$4010,0)),""))</f>
        <v/>
      </c>
      <c r="AD233" s="16" t="str">
        <f>IF(AE233="","",IFERROR(INDEX($AL$11:$AL$4010,MATCH(223,$AZ$11:$AZ$4010,0)),""))</f>
        <v/>
      </c>
      <c r="AE233" s="12" t="str">
        <f>IFERROR(INDEX($AM$11:$AM$4010,MATCH(223,$AZ$11:$AZ$4010,0)),"")</f>
        <v/>
      </c>
      <c r="AF233" s="11" t="str">
        <f>IF(AE233="","",IFERROR(INDEX($AN$11:$AN$4010,MATCH(223,$AZ$11:$AZ$4010,0)),""))</f>
        <v/>
      </c>
      <c r="AG233" s="11" t="str">
        <f>IF(AE233="","",IFERROR(INDEX($AO$11:$AO$4010,MATCH(223,$AZ$11:$AZ$4010,0)),""))</f>
        <v/>
      </c>
      <c r="AH233" s="10" t="str">
        <f>IF(AE233="","",IFERROR(INDEX($AQ$11:$AQ$4010,MATCH(223,$AZ$11:$AZ$4010,0)),""))</f>
        <v/>
      </c>
      <c r="AI233" s="15" t="str">
        <f>IF(AE233="","",IFERROR(INDEX($AR$11:$AR$4010,MATCH(223,$AZ$11:$AZ$4010,0)),""))</f>
        <v/>
      </c>
      <c r="AJ233" s="15" t="str">
        <f>IF(AE233="","",IFERROR(INDEX($AT$11:$AT$4010,MATCH(223,$AZ$11:$AZ$4010,0)),""))</f>
        <v/>
      </c>
      <c r="AL233" s="17" t="str">
        <f t="shared" si="50"/>
        <v/>
      </c>
      <c r="AM233" s="12" t="str">
        <f t="shared" si="51"/>
        <v/>
      </c>
      <c r="AN233" s="18" t="str">
        <f t="shared" si="52"/>
        <v/>
      </c>
      <c r="AO233" s="18" t="str">
        <f t="shared" si="53"/>
        <v/>
      </c>
      <c r="AP233" s="10" t="str">
        <f t="shared" si="54"/>
        <v/>
      </c>
      <c r="AQ233" s="10" t="str">
        <f t="shared" si="55"/>
        <v/>
      </c>
      <c r="AR233" s="19" t="str">
        <f t="shared" si="56"/>
        <v/>
      </c>
      <c r="AS233" s="20"/>
      <c r="AT233" s="19"/>
      <c r="AV233" s="21">
        <f>IF(AND($AL233&lt;&gt;"",COUNTIF($AL$11:$AL233,$AL233)=1),1,0)</f>
        <v>0</v>
      </c>
      <c r="AW233" s="21">
        <f t="shared" si="58"/>
        <v>0</v>
      </c>
      <c r="AX233" s="21" t="str">
        <f t="shared" si="57"/>
        <v/>
      </c>
      <c r="AY233" s="21" t="str">
        <f>IF(AND($AM233&lt;&gt;"",$AS233&lt;&gt;"✓"),SUMPRODUCT(($AM$11:$AM233&lt;&gt;"")*($AS$11:$AS233&lt;&gt;"✓")),"")</f>
        <v/>
      </c>
      <c r="AZ233" s="21" t="str">
        <f>IF(AND($AM233&lt;&gt;"",$AS233="✓"),SUMPRODUCT(($AM$11:$AM233&lt;&gt;"")*($AS$11:$AS233="✓")),"")</f>
        <v/>
      </c>
      <c r="BA233" s="21" t="str">
        <f>IF($AL233="","",$AL233&amp;"|"&amp;COUNTIF($AL$11:$AL233,$AL233))</f>
        <v/>
      </c>
    </row>
    <row r="234" spans="2:53" ht="15" customHeight="1" x14ac:dyDescent="0.25">
      <c r="B234" s="5" t="str">
        <f t="shared" si="45"/>
        <v/>
      </c>
      <c r="C234" s="5"/>
      <c r="D234" s="5"/>
      <c r="E234" s="5"/>
      <c r="F234" s="6"/>
      <c r="G234" s="6"/>
      <c r="H234" s="7"/>
      <c r="I234" s="8"/>
      <c r="K234" s="23" t="str">
        <f>IFERROR(INDEX($AL$11:$AL$4010,MATCH(224,$AX$11:$AX$4010,0)),"")</f>
        <v/>
      </c>
      <c r="L234" s="24" t="str">
        <f t="shared" si="46"/>
        <v/>
      </c>
      <c r="M234" s="25" t="str">
        <f t="shared" si="47"/>
        <v/>
      </c>
      <c r="N234" s="25" t="str">
        <f t="shared" si="48"/>
        <v/>
      </c>
      <c r="W234" s="28" t="str">
        <f>IF(X234="","",IFERROR(INDEX($AL$11:$AL$4010,MATCH(224,$AY$11:$AY$4010,0)),""))</f>
        <v/>
      </c>
      <c r="X234" s="26" t="str">
        <f>IFERROR(INDEX($AM$11:$AM$4010,MATCH(224,$AY$11:$AY$4010,0)),"")</f>
        <v/>
      </c>
      <c r="Y234" s="25" t="str">
        <f>IF(X234="","",IFERROR(INDEX($AN$11:$AN$4010,MATCH(224,$AY$11:$AY$4010,0)),""))</f>
        <v/>
      </c>
      <c r="Z234" s="25" t="str">
        <f>IF(X234="","",IFERROR(INDEX($AO$11:$AO$4010,MATCH(224,$AY$11:$AY$4010,0)),""))</f>
        <v/>
      </c>
      <c r="AA234" s="24" t="str">
        <f>IF(X234="","",IFERROR(INDEX($AQ$11:$AQ$4010,MATCH(224,$AY$11:$AY$4010,0)),""))</f>
        <v/>
      </c>
      <c r="AB234" s="29" t="str">
        <f>IF(X234="","",IFERROR(INDEX($AR$11:$AR$4010,MATCH(224,$AY$11:$AY$4010,0)),""))</f>
        <v/>
      </c>
      <c r="AD234" s="30" t="str">
        <f>IF(AE234="","",IFERROR(INDEX($AL$11:$AL$4010,MATCH(224,$AZ$11:$AZ$4010,0)),""))</f>
        <v/>
      </c>
      <c r="AE234" s="26" t="str">
        <f>IFERROR(INDEX($AM$11:$AM$4010,MATCH(224,$AZ$11:$AZ$4010,0)),"")</f>
        <v/>
      </c>
      <c r="AF234" s="25" t="str">
        <f>IF(AE234="","",IFERROR(INDEX($AN$11:$AN$4010,MATCH(224,$AZ$11:$AZ$4010,0)),""))</f>
        <v/>
      </c>
      <c r="AG234" s="25" t="str">
        <f>IF(AE234="","",IFERROR(INDEX($AO$11:$AO$4010,MATCH(224,$AZ$11:$AZ$4010,0)),""))</f>
        <v/>
      </c>
      <c r="AH234" s="24" t="str">
        <f>IF(AE234="","",IFERROR(INDEX($AQ$11:$AQ$4010,MATCH(224,$AZ$11:$AZ$4010,0)),""))</f>
        <v/>
      </c>
      <c r="AI234" s="29" t="str">
        <f>IF(AE234="","",IFERROR(INDEX($AR$11:$AR$4010,MATCH(224,$AZ$11:$AZ$4010,0)),""))</f>
        <v/>
      </c>
      <c r="AJ234" s="29" t="str">
        <f>IF(AE234="","",IFERROR(INDEX($AT$11:$AT$4010,MATCH(224,$AZ$11:$AZ$4010,0)),""))</f>
        <v/>
      </c>
      <c r="AL234" s="31" t="str">
        <f t="shared" si="50"/>
        <v/>
      </c>
      <c r="AM234" s="26" t="str">
        <f t="shared" si="51"/>
        <v/>
      </c>
      <c r="AN234" s="32" t="str">
        <f t="shared" si="52"/>
        <v/>
      </c>
      <c r="AO234" s="32" t="str">
        <f t="shared" si="53"/>
        <v/>
      </c>
      <c r="AP234" s="24" t="str">
        <f t="shared" si="54"/>
        <v/>
      </c>
      <c r="AQ234" s="24" t="str">
        <f t="shared" si="55"/>
        <v/>
      </c>
      <c r="AR234" s="33" t="str">
        <f t="shared" si="56"/>
        <v/>
      </c>
      <c r="AS234" s="34"/>
      <c r="AT234" s="33"/>
      <c r="AV234" s="21">
        <f>IF(AND($AL234&lt;&gt;"",COUNTIF($AL$11:$AL234,$AL234)=1),1,0)</f>
        <v>0</v>
      </c>
      <c r="AW234" s="21">
        <f t="shared" si="58"/>
        <v>0</v>
      </c>
      <c r="AX234" s="21" t="str">
        <f t="shared" si="57"/>
        <v/>
      </c>
      <c r="AY234" s="21" t="str">
        <f>IF(AND($AM234&lt;&gt;"",$AS234&lt;&gt;"✓"),SUMPRODUCT(($AM$11:$AM234&lt;&gt;"")*($AS$11:$AS234&lt;&gt;"✓")),"")</f>
        <v/>
      </c>
      <c r="AZ234" s="21" t="str">
        <f>IF(AND($AM234&lt;&gt;"",$AS234="✓"),SUMPRODUCT(($AM$11:$AM234&lt;&gt;"")*($AS$11:$AS234="✓")),"")</f>
        <v/>
      </c>
      <c r="BA234" s="21" t="str">
        <f>IF($AL234="","",$AL234&amp;"|"&amp;COUNTIF($AL$11:$AL234,$AL234))</f>
        <v/>
      </c>
    </row>
    <row r="235" spans="2:53" ht="15" customHeight="1" x14ac:dyDescent="0.25">
      <c r="B235" s="5" t="str">
        <f t="shared" si="45"/>
        <v/>
      </c>
      <c r="C235" s="5"/>
      <c r="D235" s="5"/>
      <c r="E235" s="5"/>
      <c r="F235" s="6"/>
      <c r="G235" s="6"/>
      <c r="H235" s="7"/>
      <c r="I235" s="8"/>
      <c r="K235" s="9" t="str">
        <f>IFERROR(INDEX($AL$11:$AL$4010,MATCH(225,$AX$11:$AX$4010,0)),"")</f>
        <v/>
      </c>
      <c r="L235" s="10" t="str">
        <f t="shared" si="46"/>
        <v/>
      </c>
      <c r="M235" s="11" t="str">
        <f t="shared" si="47"/>
        <v/>
      </c>
      <c r="N235" s="11" t="str">
        <f t="shared" si="48"/>
        <v/>
      </c>
      <c r="W235" s="14" t="str">
        <f>IF(X235="","",IFERROR(INDEX($AL$11:$AL$4010,MATCH(225,$AY$11:$AY$4010,0)),""))</f>
        <v/>
      </c>
      <c r="X235" s="12" t="str">
        <f>IFERROR(INDEX($AM$11:$AM$4010,MATCH(225,$AY$11:$AY$4010,0)),"")</f>
        <v/>
      </c>
      <c r="Y235" s="11" t="str">
        <f>IF(X235="","",IFERROR(INDEX($AN$11:$AN$4010,MATCH(225,$AY$11:$AY$4010,0)),""))</f>
        <v/>
      </c>
      <c r="Z235" s="11" t="str">
        <f>IF(X235="","",IFERROR(INDEX($AO$11:$AO$4010,MATCH(225,$AY$11:$AY$4010,0)),""))</f>
        <v/>
      </c>
      <c r="AA235" s="10" t="str">
        <f>IF(X235="","",IFERROR(INDEX($AQ$11:$AQ$4010,MATCH(225,$AY$11:$AY$4010,0)),""))</f>
        <v/>
      </c>
      <c r="AB235" s="15" t="str">
        <f>IF(X235="","",IFERROR(INDEX($AR$11:$AR$4010,MATCH(225,$AY$11:$AY$4010,0)),""))</f>
        <v/>
      </c>
      <c r="AD235" s="16" t="str">
        <f>IF(AE235="","",IFERROR(INDEX($AL$11:$AL$4010,MATCH(225,$AZ$11:$AZ$4010,0)),""))</f>
        <v/>
      </c>
      <c r="AE235" s="12" t="str">
        <f>IFERROR(INDEX($AM$11:$AM$4010,MATCH(225,$AZ$11:$AZ$4010,0)),"")</f>
        <v/>
      </c>
      <c r="AF235" s="11" t="str">
        <f>IF(AE235="","",IFERROR(INDEX($AN$11:$AN$4010,MATCH(225,$AZ$11:$AZ$4010,0)),""))</f>
        <v/>
      </c>
      <c r="AG235" s="11" t="str">
        <f>IF(AE235="","",IFERROR(INDEX($AO$11:$AO$4010,MATCH(225,$AZ$11:$AZ$4010,0)),""))</f>
        <v/>
      </c>
      <c r="AH235" s="10" t="str">
        <f>IF(AE235="","",IFERROR(INDEX($AQ$11:$AQ$4010,MATCH(225,$AZ$11:$AZ$4010,0)),""))</f>
        <v/>
      </c>
      <c r="AI235" s="15" t="str">
        <f>IF(AE235="","",IFERROR(INDEX($AR$11:$AR$4010,MATCH(225,$AZ$11:$AZ$4010,0)),""))</f>
        <v/>
      </c>
      <c r="AJ235" s="15" t="str">
        <f>IF(AE235="","",IFERROR(INDEX($AT$11:$AT$4010,MATCH(225,$AZ$11:$AZ$4010,0)),""))</f>
        <v/>
      </c>
      <c r="AL235" s="17" t="str">
        <f t="shared" si="50"/>
        <v/>
      </c>
      <c r="AM235" s="12" t="str">
        <f t="shared" si="51"/>
        <v/>
      </c>
      <c r="AN235" s="18" t="str">
        <f t="shared" si="52"/>
        <v/>
      </c>
      <c r="AO235" s="18" t="str">
        <f t="shared" si="53"/>
        <v/>
      </c>
      <c r="AP235" s="10" t="str">
        <f t="shared" si="54"/>
        <v/>
      </c>
      <c r="AQ235" s="10" t="str">
        <f t="shared" si="55"/>
        <v/>
      </c>
      <c r="AR235" s="19" t="str">
        <f t="shared" si="56"/>
        <v/>
      </c>
      <c r="AS235" s="20"/>
      <c r="AT235" s="19"/>
      <c r="AV235" s="21">
        <f>IF(AND($AL235&lt;&gt;"",COUNTIF($AL$11:$AL235,$AL235)=1),1,0)</f>
        <v>0</v>
      </c>
      <c r="AW235" s="21">
        <f t="shared" si="58"/>
        <v>0</v>
      </c>
      <c r="AX235" s="21" t="str">
        <f t="shared" si="57"/>
        <v/>
      </c>
      <c r="AY235" s="21" t="str">
        <f>IF(AND($AM235&lt;&gt;"",$AS235&lt;&gt;"✓"),SUMPRODUCT(($AM$11:$AM235&lt;&gt;"")*($AS$11:$AS235&lt;&gt;"✓")),"")</f>
        <v/>
      </c>
      <c r="AZ235" s="21" t="str">
        <f>IF(AND($AM235&lt;&gt;"",$AS235="✓"),SUMPRODUCT(($AM$11:$AM235&lt;&gt;"")*($AS$11:$AS235="✓")),"")</f>
        <v/>
      </c>
      <c r="BA235" s="21" t="str">
        <f>IF($AL235="","",$AL235&amp;"|"&amp;COUNTIF($AL$11:$AL235,$AL235))</f>
        <v/>
      </c>
    </row>
    <row r="236" spans="2:53" ht="15" customHeight="1" x14ac:dyDescent="0.25">
      <c r="B236" s="5" t="str">
        <f t="shared" si="45"/>
        <v/>
      </c>
      <c r="C236" s="5"/>
      <c r="D236" s="5"/>
      <c r="E236" s="5"/>
      <c r="F236" s="6"/>
      <c r="G236" s="6"/>
      <c r="H236" s="7"/>
      <c r="I236" s="8"/>
      <c r="K236" s="23" t="str">
        <f>IFERROR(INDEX($AL$11:$AL$4010,MATCH(226,$AX$11:$AX$4010,0)),"")</f>
        <v/>
      </c>
      <c r="L236" s="24" t="str">
        <f t="shared" si="46"/>
        <v/>
      </c>
      <c r="M236" s="25" t="str">
        <f t="shared" si="47"/>
        <v/>
      </c>
      <c r="N236" s="25" t="str">
        <f t="shared" si="48"/>
        <v/>
      </c>
      <c r="W236" s="28" t="str">
        <f>IF(X236="","",IFERROR(INDEX($AL$11:$AL$4010,MATCH(226,$AY$11:$AY$4010,0)),""))</f>
        <v/>
      </c>
      <c r="X236" s="26" t="str">
        <f>IFERROR(INDEX($AM$11:$AM$4010,MATCH(226,$AY$11:$AY$4010,0)),"")</f>
        <v/>
      </c>
      <c r="Y236" s="25" t="str">
        <f>IF(X236="","",IFERROR(INDEX($AN$11:$AN$4010,MATCH(226,$AY$11:$AY$4010,0)),""))</f>
        <v/>
      </c>
      <c r="Z236" s="25" t="str">
        <f>IF(X236="","",IFERROR(INDEX($AO$11:$AO$4010,MATCH(226,$AY$11:$AY$4010,0)),""))</f>
        <v/>
      </c>
      <c r="AA236" s="24" t="str">
        <f>IF(X236="","",IFERROR(INDEX($AQ$11:$AQ$4010,MATCH(226,$AY$11:$AY$4010,0)),""))</f>
        <v/>
      </c>
      <c r="AB236" s="29" t="str">
        <f>IF(X236="","",IFERROR(INDEX($AR$11:$AR$4010,MATCH(226,$AY$11:$AY$4010,0)),""))</f>
        <v/>
      </c>
      <c r="AD236" s="30" t="str">
        <f>IF(AE236="","",IFERROR(INDEX($AL$11:$AL$4010,MATCH(226,$AZ$11:$AZ$4010,0)),""))</f>
        <v/>
      </c>
      <c r="AE236" s="26" t="str">
        <f>IFERROR(INDEX($AM$11:$AM$4010,MATCH(226,$AZ$11:$AZ$4010,0)),"")</f>
        <v/>
      </c>
      <c r="AF236" s="25" t="str">
        <f>IF(AE236="","",IFERROR(INDEX($AN$11:$AN$4010,MATCH(226,$AZ$11:$AZ$4010,0)),""))</f>
        <v/>
      </c>
      <c r="AG236" s="25" t="str">
        <f>IF(AE236="","",IFERROR(INDEX($AO$11:$AO$4010,MATCH(226,$AZ$11:$AZ$4010,0)),""))</f>
        <v/>
      </c>
      <c r="AH236" s="24" t="str">
        <f>IF(AE236="","",IFERROR(INDEX($AQ$11:$AQ$4010,MATCH(226,$AZ$11:$AZ$4010,0)),""))</f>
        <v/>
      </c>
      <c r="AI236" s="29" t="str">
        <f>IF(AE236="","",IFERROR(INDEX($AR$11:$AR$4010,MATCH(226,$AZ$11:$AZ$4010,0)),""))</f>
        <v/>
      </c>
      <c r="AJ236" s="29" t="str">
        <f>IF(AE236="","",IFERROR(INDEX($AT$11:$AT$4010,MATCH(226,$AZ$11:$AZ$4010,0)),""))</f>
        <v/>
      </c>
      <c r="AL236" s="31" t="str">
        <f t="shared" si="50"/>
        <v/>
      </c>
      <c r="AM236" s="26" t="str">
        <f t="shared" si="51"/>
        <v/>
      </c>
      <c r="AN236" s="32" t="str">
        <f t="shared" si="52"/>
        <v/>
      </c>
      <c r="AO236" s="32" t="str">
        <f t="shared" si="53"/>
        <v/>
      </c>
      <c r="AP236" s="24" t="str">
        <f t="shared" si="54"/>
        <v/>
      </c>
      <c r="AQ236" s="24" t="str">
        <f t="shared" si="55"/>
        <v/>
      </c>
      <c r="AR236" s="33" t="str">
        <f t="shared" si="56"/>
        <v/>
      </c>
      <c r="AS236" s="34"/>
      <c r="AT236" s="33"/>
      <c r="AV236" s="21">
        <f>IF(AND($AL236&lt;&gt;"",COUNTIF($AL$11:$AL236,$AL236)=1),1,0)</f>
        <v>0</v>
      </c>
      <c r="AW236" s="21">
        <f t="shared" si="58"/>
        <v>0</v>
      </c>
      <c r="AX236" s="21" t="str">
        <f t="shared" si="57"/>
        <v/>
      </c>
      <c r="AY236" s="21" t="str">
        <f>IF(AND($AM236&lt;&gt;"",$AS236&lt;&gt;"✓"),SUMPRODUCT(($AM$11:$AM236&lt;&gt;"")*($AS$11:$AS236&lt;&gt;"✓")),"")</f>
        <v/>
      </c>
      <c r="AZ236" s="21" t="str">
        <f>IF(AND($AM236&lt;&gt;"",$AS236="✓"),SUMPRODUCT(($AM$11:$AM236&lt;&gt;"")*($AS$11:$AS236="✓")),"")</f>
        <v/>
      </c>
      <c r="BA236" s="21" t="str">
        <f>IF($AL236="","",$AL236&amp;"|"&amp;COUNTIF($AL$11:$AL236,$AL236))</f>
        <v/>
      </c>
    </row>
    <row r="237" spans="2:53" ht="15" customHeight="1" x14ac:dyDescent="0.25">
      <c r="B237" s="5" t="str">
        <f t="shared" si="45"/>
        <v/>
      </c>
      <c r="C237" s="5"/>
      <c r="D237" s="5"/>
      <c r="E237" s="5"/>
      <c r="F237" s="6"/>
      <c r="G237" s="6"/>
      <c r="H237" s="7"/>
      <c r="I237" s="8"/>
      <c r="K237" s="9" t="str">
        <f>IFERROR(INDEX($AL$11:$AL$4010,MATCH(227,$AX$11:$AX$4010,0)),"")</f>
        <v/>
      </c>
      <c r="L237" s="10" t="str">
        <f t="shared" si="46"/>
        <v/>
      </c>
      <c r="M237" s="11" t="str">
        <f t="shared" si="47"/>
        <v/>
      </c>
      <c r="N237" s="11" t="str">
        <f t="shared" si="48"/>
        <v/>
      </c>
      <c r="W237" s="14" t="str">
        <f>IF(X237="","",IFERROR(INDEX($AL$11:$AL$4010,MATCH(227,$AY$11:$AY$4010,0)),""))</f>
        <v/>
      </c>
      <c r="X237" s="12" t="str">
        <f>IFERROR(INDEX($AM$11:$AM$4010,MATCH(227,$AY$11:$AY$4010,0)),"")</f>
        <v/>
      </c>
      <c r="Y237" s="11" t="str">
        <f>IF(X237="","",IFERROR(INDEX($AN$11:$AN$4010,MATCH(227,$AY$11:$AY$4010,0)),""))</f>
        <v/>
      </c>
      <c r="Z237" s="11" t="str">
        <f>IF(X237="","",IFERROR(INDEX($AO$11:$AO$4010,MATCH(227,$AY$11:$AY$4010,0)),""))</f>
        <v/>
      </c>
      <c r="AA237" s="10" t="str">
        <f>IF(X237="","",IFERROR(INDEX($AQ$11:$AQ$4010,MATCH(227,$AY$11:$AY$4010,0)),""))</f>
        <v/>
      </c>
      <c r="AB237" s="15" t="str">
        <f>IF(X237="","",IFERROR(INDEX($AR$11:$AR$4010,MATCH(227,$AY$11:$AY$4010,0)),""))</f>
        <v/>
      </c>
      <c r="AD237" s="16" t="str">
        <f>IF(AE237="","",IFERROR(INDEX($AL$11:$AL$4010,MATCH(227,$AZ$11:$AZ$4010,0)),""))</f>
        <v/>
      </c>
      <c r="AE237" s="12" t="str">
        <f>IFERROR(INDEX($AM$11:$AM$4010,MATCH(227,$AZ$11:$AZ$4010,0)),"")</f>
        <v/>
      </c>
      <c r="AF237" s="11" t="str">
        <f>IF(AE237="","",IFERROR(INDEX($AN$11:$AN$4010,MATCH(227,$AZ$11:$AZ$4010,0)),""))</f>
        <v/>
      </c>
      <c r="AG237" s="11" t="str">
        <f>IF(AE237="","",IFERROR(INDEX($AO$11:$AO$4010,MATCH(227,$AZ$11:$AZ$4010,0)),""))</f>
        <v/>
      </c>
      <c r="AH237" s="10" t="str">
        <f>IF(AE237="","",IFERROR(INDEX($AQ$11:$AQ$4010,MATCH(227,$AZ$11:$AZ$4010,0)),""))</f>
        <v/>
      </c>
      <c r="AI237" s="15" t="str">
        <f>IF(AE237="","",IFERROR(INDEX($AR$11:$AR$4010,MATCH(227,$AZ$11:$AZ$4010,0)),""))</f>
        <v/>
      </c>
      <c r="AJ237" s="15" t="str">
        <f>IF(AE237="","",IFERROR(INDEX($AT$11:$AT$4010,MATCH(227,$AZ$11:$AZ$4010,0)),""))</f>
        <v/>
      </c>
      <c r="AL237" s="17" t="str">
        <f t="shared" si="50"/>
        <v/>
      </c>
      <c r="AM237" s="12" t="str">
        <f t="shared" si="51"/>
        <v/>
      </c>
      <c r="AN237" s="18" t="str">
        <f t="shared" si="52"/>
        <v/>
      </c>
      <c r="AO237" s="18" t="str">
        <f t="shared" si="53"/>
        <v/>
      </c>
      <c r="AP237" s="10" t="str">
        <f t="shared" si="54"/>
        <v/>
      </c>
      <c r="AQ237" s="10" t="str">
        <f t="shared" si="55"/>
        <v/>
      </c>
      <c r="AR237" s="19" t="str">
        <f t="shared" si="56"/>
        <v/>
      </c>
      <c r="AS237" s="20"/>
      <c r="AT237" s="19"/>
      <c r="AV237" s="21">
        <f>IF(AND($AL237&lt;&gt;"",COUNTIF($AL$11:$AL237,$AL237)=1),1,0)</f>
        <v>0</v>
      </c>
      <c r="AW237" s="21">
        <f t="shared" si="58"/>
        <v>0</v>
      </c>
      <c r="AX237" s="21" t="str">
        <f t="shared" si="57"/>
        <v/>
      </c>
      <c r="AY237" s="21" t="str">
        <f>IF(AND($AM237&lt;&gt;"",$AS237&lt;&gt;"✓"),SUMPRODUCT(($AM$11:$AM237&lt;&gt;"")*($AS$11:$AS237&lt;&gt;"✓")),"")</f>
        <v/>
      </c>
      <c r="AZ237" s="21" t="str">
        <f>IF(AND($AM237&lt;&gt;"",$AS237="✓"),SUMPRODUCT(($AM$11:$AM237&lt;&gt;"")*($AS$11:$AS237="✓")),"")</f>
        <v/>
      </c>
      <c r="BA237" s="21" t="str">
        <f>IF($AL237="","",$AL237&amp;"|"&amp;COUNTIF($AL$11:$AL237,$AL237))</f>
        <v/>
      </c>
    </row>
    <row r="238" spans="2:53" ht="15" customHeight="1" x14ac:dyDescent="0.25">
      <c r="B238" s="5" t="str">
        <f t="shared" si="45"/>
        <v/>
      </c>
      <c r="C238" s="5"/>
      <c r="D238" s="5"/>
      <c r="E238" s="5"/>
      <c r="F238" s="6"/>
      <c r="G238" s="6"/>
      <c r="H238" s="7"/>
      <c r="I238" s="8"/>
      <c r="K238" s="23" t="str">
        <f>IFERROR(INDEX($AL$11:$AL$4010,MATCH(228,$AX$11:$AX$4010,0)),"")</f>
        <v/>
      </c>
      <c r="L238" s="24" t="str">
        <f t="shared" si="46"/>
        <v/>
      </c>
      <c r="M238" s="25" t="str">
        <f t="shared" si="47"/>
        <v/>
      </c>
      <c r="N238" s="25" t="str">
        <f t="shared" si="48"/>
        <v/>
      </c>
      <c r="W238" s="28" t="str">
        <f>IF(X238="","",IFERROR(INDEX($AL$11:$AL$4010,MATCH(228,$AY$11:$AY$4010,0)),""))</f>
        <v/>
      </c>
      <c r="X238" s="26" t="str">
        <f>IFERROR(INDEX($AM$11:$AM$4010,MATCH(228,$AY$11:$AY$4010,0)),"")</f>
        <v/>
      </c>
      <c r="Y238" s="25" t="str">
        <f>IF(X238="","",IFERROR(INDEX($AN$11:$AN$4010,MATCH(228,$AY$11:$AY$4010,0)),""))</f>
        <v/>
      </c>
      <c r="Z238" s="25" t="str">
        <f>IF(X238="","",IFERROR(INDEX($AO$11:$AO$4010,MATCH(228,$AY$11:$AY$4010,0)),""))</f>
        <v/>
      </c>
      <c r="AA238" s="24" t="str">
        <f>IF(X238="","",IFERROR(INDEX($AQ$11:$AQ$4010,MATCH(228,$AY$11:$AY$4010,0)),""))</f>
        <v/>
      </c>
      <c r="AB238" s="29" t="str">
        <f>IF(X238="","",IFERROR(INDEX($AR$11:$AR$4010,MATCH(228,$AY$11:$AY$4010,0)),""))</f>
        <v/>
      </c>
      <c r="AD238" s="30" t="str">
        <f>IF(AE238="","",IFERROR(INDEX($AL$11:$AL$4010,MATCH(228,$AZ$11:$AZ$4010,0)),""))</f>
        <v/>
      </c>
      <c r="AE238" s="26" t="str">
        <f>IFERROR(INDEX($AM$11:$AM$4010,MATCH(228,$AZ$11:$AZ$4010,0)),"")</f>
        <v/>
      </c>
      <c r="AF238" s="25" t="str">
        <f>IF(AE238="","",IFERROR(INDEX($AN$11:$AN$4010,MATCH(228,$AZ$11:$AZ$4010,0)),""))</f>
        <v/>
      </c>
      <c r="AG238" s="25" t="str">
        <f>IF(AE238="","",IFERROR(INDEX($AO$11:$AO$4010,MATCH(228,$AZ$11:$AZ$4010,0)),""))</f>
        <v/>
      </c>
      <c r="AH238" s="24" t="str">
        <f>IF(AE238="","",IFERROR(INDEX($AQ$11:$AQ$4010,MATCH(228,$AZ$11:$AZ$4010,0)),""))</f>
        <v/>
      </c>
      <c r="AI238" s="29" t="str">
        <f>IF(AE238="","",IFERROR(INDEX($AR$11:$AR$4010,MATCH(228,$AZ$11:$AZ$4010,0)),""))</f>
        <v/>
      </c>
      <c r="AJ238" s="29" t="str">
        <f>IF(AE238="","",IFERROR(INDEX($AT$11:$AT$4010,MATCH(228,$AZ$11:$AZ$4010,0)),""))</f>
        <v/>
      </c>
      <c r="AL238" s="31" t="str">
        <f t="shared" si="50"/>
        <v/>
      </c>
      <c r="AM238" s="26" t="str">
        <f t="shared" si="51"/>
        <v/>
      </c>
      <c r="AN238" s="32" t="str">
        <f t="shared" si="52"/>
        <v/>
      </c>
      <c r="AO238" s="32" t="str">
        <f t="shared" si="53"/>
        <v/>
      </c>
      <c r="AP238" s="24" t="str">
        <f t="shared" si="54"/>
        <v/>
      </c>
      <c r="AQ238" s="24" t="str">
        <f t="shared" si="55"/>
        <v/>
      </c>
      <c r="AR238" s="33" t="str">
        <f t="shared" si="56"/>
        <v/>
      </c>
      <c r="AS238" s="34"/>
      <c r="AT238" s="33"/>
      <c r="AV238" s="21">
        <f>IF(AND($AL238&lt;&gt;"",COUNTIF($AL$11:$AL238,$AL238)=1),1,0)</f>
        <v>0</v>
      </c>
      <c r="AW238" s="21">
        <f t="shared" si="58"/>
        <v>0</v>
      </c>
      <c r="AX238" s="21" t="str">
        <f t="shared" si="57"/>
        <v/>
      </c>
      <c r="AY238" s="21" t="str">
        <f>IF(AND($AM238&lt;&gt;"",$AS238&lt;&gt;"✓"),SUMPRODUCT(($AM$11:$AM238&lt;&gt;"")*($AS$11:$AS238&lt;&gt;"✓")),"")</f>
        <v/>
      </c>
      <c r="AZ238" s="21" t="str">
        <f>IF(AND($AM238&lt;&gt;"",$AS238="✓"),SUMPRODUCT(($AM$11:$AM238&lt;&gt;"")*($AS$11:$AS238="✓")),"")</f>
        <v/>
      </c>
      <c r="BA238" s="21" t="str">
        <f>IF($AL238="","",$AL238&amp;"|"&amp;COUNTIF($AL$11:$AL238,$AL238))</f>
        <v/>
      </c>
    </row>
    <row r="239" spans="2:53" ht="15" customHeight="1" x14ac:dyDescent="0.25">
      <c r="B239" s="5" t="str">
        <f t="shared" si="45"/>
        <v/>
      </c>
      <c r="C239" s="5"/>
      <c r="D239" s="5"/>
      <c r="E239" s="5"/>
      <c r="F239" s="6"/>
      <c r="G239" s="6"/>
      <c r="H239" s="7"/>
      <c r="I239" s="8"/>
      <c r="K239" s="9" t="str">
        <f>IFERROR(INDEX($AL$11:$AL$4010,MATCH(229,$AX$11:$AX$4010,0)),"")</f>
        <v/>
      </c>
      <c r="L239" s="10" t="str">
        <f t="shared" si="46"/>
        <v/>
      </c>
      <c r="M239" s="11" t="str">
        <f t="shared" si="47"/>
        <v/>
      </c>
      <c r="N239" s="11" t="str">
        <f t="shared" si="48"/>
        <v/>
      </c>
      <c r="W239" s="14" t="str">
        <f>IF(X239="","",IFERROR(INDEX($AL$11:$AL$4010,MATCH(229,$AY$11:$AY$4010,0)),""))</f>
        <v/>
      </c>
      <c r="X239" s="12" t="str">
        <f>IFERROR(INDEX($AM$11:$AM$4010,MATCH(229,$AY$11:$AY$4010,0)),"")</f>
        <v/>
      </c>
      <c r="Y239" s="11" t="str">
        <f>IF(X239="","",IFERROR(INDEX($AN$11:$AN$4010,MATCH(229,$AY$11:$AY$4010,0)),""))</f>
        <v/>
      </c>
      <c r="Z239" s="11" t="str">
        <f>IF(X239="","",IFERROR(INDEX($AO$11:$AO$4010,MATCH(229,$AY$11:$AY$4010,0)),""))</f>
        <v/>
      </c>
      <c r="AA239" s="10" t="str">
        <f>IF(X239="","",IFERROR(INDEX($AQ$11:$AQ$4010,MATCH(229,$AY$11:$AY$4010,0)),""))</f>
        <v/>
      </c>
      <c r="AB239" s="15" t="str">
        <f>IF(X239="","",IFERROR(INDEX($AR$11:$AR$4010,MATCH(229,$AY$11:$AY$4010,0)),""))</f>
        <v/>
      </c>
      <c r="AD239" s="16" t="str">
        <f>IF(AE239="","",IFERROR(INDEX($AL$11:$AL$4010,MATCH(229,$AZ$11:$AZ$4010,0)),""))</f>
        <v/>
      </c>
      <c r="AE239" s="12" t="str">
        <f>IFERROR(INDEX($AM$11:$AM$4010,MATCH(229,$AZ$11:$AZ$4010,0)),"")</f>
        <v/>
      </c>
      <c r="AF239" s="11" t="str">
        <f>IF(AE239="","",IFERROR(INDEX($AN$11:$AN$4010,MATCH(229,$AZ$11:$AZ$4010,0)),""))</f>
        <v/>
      </c>
      <c r="AG239" s="11" t="str">
        <f>IF(AE239="","",IFERROR(INDEX($AO$11:$AO$4010,MATCH(229,$AZ$11:$AZ$4010,0)),""))</f>
        <v/>
      </c>
      <c r="AH239" s="10" t="str">
        <f>IF(AE239="","",IFERROR(INDEX($AQ$11:$AQ$4010,MATCH(229,$AZ$11:$AZ$4010,0)),""))</f>
        <v/>
      </c>
      <c r="AI239" s="15" t="str">
        <f>IF(AE239="","",IFERROR(INDEX($AR$11:$AR$4010,MATCH(229,$AZ$11:$AZ$4010,0)),""))</f>
        <v/>
      </c>
      <c r="AJ239" s="15" t="str">
        <f>IF(AE239="","",IFERROR(INDEX($AT$11:$AT$4010,MATCH(229,$AZ$11:$AZ$4010,0)),""))</f>
        <v/>
      </c>
      <c r="AL239" s="17" t="str">
        <f t="shared" si="50"/>
        <v/>
      </c>
      <c r="AM239" s="12" t="str">
        <f t="shared" si="51"/>
        <v/>
      </c>
      <c r="AN239" s="18" t="str">
        <f t="shared" si="52"/>
        <v/>
      </c>
      <c r="AO239" s="18" t="str">
        <f t="shared" si="53"/>
        <v/>
      </c>
      <c r="AP239" s="10" t="str">
        <f t="shared" si="54"/>
        <v/>
      </c>
      <c r="AQ239" s="10" t="str">
        <f t="shared" si="55"/>
        <v/>
      </c>
      <c r="AR239" s="19" t="str">
        <f t="shared" si="56"/>
        <v/>
      </c>
      <c r="AS239" s="20"/>
      <c r="AT239" s="19"/>
      <c r="AV239" s="21">
        <f>IF(AND($AL239&lt;&gt;"",COUNTIF($AL$11:$AL239,$AL239)=1),1,0)</f>
        <v>0</v>
      </c>
      <c r="AW239" s="21">
        <f t="shared" si="58"/>
        <v>0</v>
      </c>
      <c r="AX239" s="21" t="str">
        <f t="shared" si="57"/>
        <v/>
      </c>
      <c r="AY239" s="21" t="str">
        <f>IF(AND($AM239&lt;&gt;"",$AS239&lt;&gt;"✓"),SUMPRODUCT(($AM$11:$AM239&lt;&gt;"")*($AS$11:$AS239&lt;&gt;"✓")),"")</f>
        <v/>
      </c>
      <c r="AZ239" s="21" t="str">
        <f>IF(AND($AM239&lt;&gt;"",$AS239="✓"),SUMPRODUCT(($AM$11:$AM239&lt;&gt;"")*($AS$11:$AS239="✓")),"")</f>
        <v/>
      </c>
      <c r="BA239" s="21" t="str">
        <f>IF($AL239="","",$AL239&amp;"|"&amp;COUNTIF($AL$11:$AL239,$AL239))</f>
        <v/>
      </c>
    </row>
    <row r="240" spans="2:53" ht="15" customHeight="1" x14ac:dyDescent="0.25">
      <c r="B240" s="5" t="str">
        <f t="shared" si="45"/>
        <v/>
      </c>
      <c r="C240" s="5"/>
      <c r="D240" s="5"/>
      <c r="E240" s="5"/>
      <c r="F240" s="6"/>
      <c r="G240" s="6"/>
      <c r="H240" s="7"/>
      <c r="I240" s="8"/>
      <c r="K240" s="23" t="str">
        <f>IFERROR(INDEX($AL$11:$AL$4010,MATCH(230,$AX$11:$AX$4010,0)),"")</f>
        <v/>
      </c>
      <c r="L240" s="24" t="str">
        <f t="shared" si="46"/>
        <v/>
      </c>
      <c r="M240" s="25" t="str">
        <f t="shared" si="47"/>
        <v/>
      </c>
      <c r="N240" s="25" t="str">
        <f t="shared" si="48"/>
        <v/>
      </c>
      <c r="W240" s="28" t="str">
        <f>IF(X240="","",IFERROR(INDEX($AL$11:$AL$4010,MATCH(230,$AY$11:$AY$4010,0)),""))</f>
        <v/>
      </c>
      <c r="X240" s="26" t="str">
        <f>IFERROR(INDEX($AM$11:$AM$4010,MATCH(230,$AY$11:$AY$4010,0)),"")</f>
        <v/>
      </c>
      <c r="Y240" s="25" t="str">
        <f>IF(X240="","",IFERROR(INDEX($AN$11:$AN$4010,MATCH(230,$AY$11:$AY$4010,0)),""))</f>
        <v/>
      </c>
      <c r="Z240" s="25" t="str">
        <f>IF(X240="","",IFERROR(INDEX($AO$11:$AO$4010,MATCH(230,$AY$11:$AY$4010,0)),""))</f>
        <v/>
      </c>
      <c r="AA240" s="24" t="str">
        <f>IF(X240="","",IFERROR(INDEX($AQ$11:$AQ$4010,MATCH(230,$AY$11:$AY$4010,0)),""))</f>
        <v/>
      </c>
      <c r="AB240" s="29" t="str">
        <f>IF(X240="","",IFERROR(INDEX($AR$11:$AR$4010,MATCH(230,$AY$11:$AY$4010,0)),""))</f>
        <v/>
      </c>
      <c r="AD240" s="30" t="str">
        <f>IF(AE240="","",IFERROR(INDEX($AL$11:$AL$4010,MATCH(230,$AZ$11:$AZ$4010,0)),""))</f>
        <v/>
      </c>
      <c r="AE240" s="26" t="str">
        <f>IFERROR(INDEX($AM$11:$AM$4010,MATCH(230,$AZ$11:$AZ$4010,0)),"")</f>
        <v/>
      </c>
      <c r="AF240" s="25" t="str">
        <f>IF(AE240="","",IFERROR(INDEX($AN$11:$AN$4010,MATCH(230,$AZ$11:$AZ$4010,0)),""))</f>
        <v/>
      </c>
      <c r="AG240" s="25" t="str">
        <f>IF(AE240="","",IFERROR(INDEX($AO$11:$AO$4010,MATCH(230,$AZ$11:$AZ$4010,0)),""))</f>
        <v/>
      </c>
      <c r="AH240" s="24" t="str">
        <f>IF(AE240="","",IFERROR(INDEX($AQ$11:$AQ$4010,MATCH(230,$AZ$11:$AZ$4010,0)),""))</f>
        <v/>
      </c>
      <c r="AI240" s="29" t="str">
        <f>IF(AE240="","",IFERROR(INDEX($AR$11:$AR$4010,MATCH(230,$AZ$11:$AZ$4010,0)),""))</f>
        <v/>
      </c>
      <c r="AJ240" s="29" t="str">
        <f>IF(AE240="","",IFERROR(INDEX($AT$11:$AT$4010,MATCH(230,$AZ$11:$AZ$4010,0)),""))</f>
        <v/>
      </c>
      <c r="AL240" s="31" t="str">
        <f t="shared" si="50"/>
        <v/>
      </c>
      <c r="AM240" s="26" t="str">
        <f t="shared" si="51"/>
        <v/>
      </c>
      <c r="AN240" s="32" t="str">
        <f t="shared" si="52"/>
        <v/>
      </c>
      <c r="AO240" s="32" t="str">
        <f t="shared" si="53"/>
        <v/>
      </c>
      <c r="AP240" s="24" t="str">
        <f t="shared" si="54"/>
        <v/>
      </c>
      <c r="AQ240" s="24" t="str">
        <f t="shared" si="55"/>
        <v/>
      </c>
      <c r="AR240" s="33" t="str">
        <f t="shared" si="56"/>
        <v/>
      </c>
      <c r="AS240" s="34"/>
      <c r="AT240" s="33"/>
      <c r="AV240" s="21">
        <f>IF(AND($AL240&lt;&gt;"",COUNTIF($AL$11:$AL240,$AL240)=1),1,0)</f>
        <v>0</v>
      </c>
      <c r="AW240" s="21">
        <f t="shared" si="58"/>
        <v>0</v>
      </c>
      <c r="AX240" s="21" t="str">
        <f t="shared" si="57"/>
        <v/>
      </c>
      <c r="AY240" s="21" t="str">
        <f>IF(AND($AM240&lt;&gt;"",$AS240&lt;&gt;"✓"),SUMPRODUCT(($AM$11:$AM240&lt;&gt;"")*($AS$11:$AS240&lt;&gt;"✓")),"")</f>
        <v/>
      </c>
      <c r="AZ240" s="21" t="str">
        <f>IF(AND($AM240&lt;&gt;"",$AS240="✓"),SUMPRODUCT(($AM$11:$AM240&lt;&gt;"")*($AS$11:$AS240="✓")),"")</f>
        <v/>
      </c>
      <c r="BA240" s="21" t="str">
        <f>IF($AL240="","",$AL240&amp;"|"&amp;COUNTIF($AL$11:$AL240,$AL240))</f>
        <v/>
      </c>
    </row>
    <row r="241" spans="2:53" ht="15" customHeight="1" x14ac:dyDescent="0.25">
      <c r="B241" s="5" t="str">
        <f t="shared" si="45"/>
        <v/>
      </c>
      <c r="C241" s="5"/>
      <c r="D241" s="5"/>
      <c r="E241" s="5"/>
      <c r="F241" s="6"/>
      <c r="G241" s="6"/>
      <c r="H241" s="7"/>
      <c r="I241" s="8"/>
      <c r="K241" s="9" t="str">
        <f>IFERROR(INDEX($AL$11:$AL$4010,MATCH(231,$AX$11:$AX$4010,0)),"")</f>
        <v/>
      </c>
      <c r="L241" s="10" t="str">
        <f t="shared" si="46"/>
        <v/>
      </c>
      <c r="M241" s="11" t="str">
        <f t="shared" si="47"/>
        <v/>
      </c>
      <c r="N241" s="11" t="str">
        <f t="shared" si="48"/>
        <v/>
      </c>
      <c r="W241" s="14" t="str">
        <f>IF(X241="","",IFERROR(INDEX($AL$11:$AL$4010,MATCH(231,$AY$11:$AY$4010,0)),""))</f>
        <v/>
      </c>
      <c r="X241" s="12" t="str">
        <f>IFERROR(INDEX($AM$11:$AM$4010,MATCH(231,$AY$11:$AY$4010,0)),"")</f>
        <v/>
      </c>
      <c r="Y241" s="11" t="str">
        <f>IF(X241="","",IFERROR(INDEX($AN$11:$AN$4010,MATCH(231,$AY$11:$AY$4010,0)),""))</f>
        <v/>
      </c>
      <c r="Z241" s="11" t="str">
        <f>IF(X241="","",IFERROR(INDEX($AO$11:$AO$4010,MATCH(231,$AY$11:$AY$4010,0)),""))</f>
        <v/>
      </c>
      <c r="AA241" s="10" t="str">
        <f>IF(X241="","",IFERROR(INDEX($AQ$11:$AQ$4010,MATCH(231,$AY$11:$AY$4010,0)),""))</f>
        <v/>
      </c>
      <c r="AB241" s="15" t="str">
        <f>IF(X241="","",IFERROR(INDEX($AR$11:$AR$4010,MATCH(231,$AY$11:$AY$4010,0)),""))</f>
        <v/>
      </c>
      <c r="AD241" s="16" t="str">
        <f>IF(AE241="","",IFERROR(INDEX($AL$11:$AL$4010,MATCH(231,$AZ$11:$AZ$4010,0)),""))</f>
        <v/>
      </c>
      <c r="AE241" s="12" t="str">
        <f>IFERROR(INDEX($AM$11:$AM$4010,MATCH(231,$AZ$11:$AZ$4010,0)),"")</f>
        <v/>
      </c>
      <c r="AF241" s="11" t="str">
        <f>IF(AE241="","",IFERROR(INDEX($AN$11:$AN$4010,MATCH(231,$AZ$11:$AZ$4010,0)),""))</f>
        <v/>
      </c>
      <c r="AG241" s="11" t="str">
        <f>IF(AE241="","",IFERROR(INDEX($AO$11:$AO$4010,MATCH(231,$AZ$11:$AZ$4010,0)),""))</f>
        <v/>
      </c>
      <c r="AH241" s="10" t="str">
        <f>IF(AE241="","",IFERROR(INDEX($AQ$11:$AQ$4010,MATCH(231,$AZ$11:$AZ$4010,0)),""))</f>
        <v/>
      </c>
      <c r="AI241" s="15" t="str">
        <f>IF(AE241="","",IFERROR(INDEX($AR$11:$AR$4010,MATCH(231,$AZ$11:$AZ$4010,0)),""))</f>
        <v/>
      </c>
      <c r="AJ241" s="15" t="str">
        <f>IF(AE241="","",IFERROR(INDEX($AT$11:$AT$4010,MATCH(231,$AZ$11:$AZ$4010,0)),""))</f>
        <v/>
      </c>
      <c r="AL241" s="17" t="str">
        <f t="shared" si="50"/>
        <v/>
      </c>
      <c r="AM241" s="12" t="str">
        <f t="shared" si="51"/>
        <v/>
      </c>
      <c r="AN241" s="18" t="str">
        <f t="shared" si="52"/>
        <v/>
      </c>
      <c r="AO241" s="18" t="str">
        <f t="shared" si="53"/>
        <v/>
      </c>
      <c r="AP241" s="10" t="str">
        <f t="shared" si="54"/>
        <v/>
      </c>
      <c r="AQ241" s="10" t="str">
        <f t="shared" si="55"/>
        <v/>
      </c>
      <c r="AR241" s="19" t="str">
        <f t="shared" si="56"/>
        <v/>
      </c>
      <c r="AS241" s="20"/>
      <c r="AT241" s="19"/>
      <c r="AV241" s="21">
        <f>IF(AND($AL241&lt;&gt;"",COUNTIF($AL$11:$AL241,$AL241)=1),1,0)</f>
        <v>0</v>
      </c>
      <c r="AW241" s="21">
        <f t="shared" si="58"/>
        <v>0</v>
      </c>
      <c r="AX241" s="21" t="str">
        <f t="shared" si="57"/>
        <v/>
      </c>
      <c r="AY241" s="21" t="str">
        <f>IF(AND($AM241&lt;&gt;"",$AS241&lt;&gt;"✓"),SUMPRODUCT(($AM$11:$AM241&lt;&gt;"")*($AS$11:$AS241&lt;&gt;"✓")),"")</f>
        <v/>
      </c>
      <c r="AZ241" s="21" t="str">
        <f>IF(AND($AM241&lt;&gt;"",$AS241="✓"),SUMPRODUCT(($AM$11:$AM241&lt;&gt;"")*($AS$11:$AS241="✓")),"")</f>
        <v/>
      </c>
      <c r="BA241" s="21" t="str">
        <f>IF($AL241="","",$AL241&amp;"|"&amp;COUNTIF($AL$11:$AL241,$AL241))</f>
        <v/>
      </c>
    </row>
    <row r="242" spans="2:53" ht="15" customHeight="1" x14ac:dyDescent="0.25">
      <c r="B242" s="5" t="str">
        <f t="shared" si="45"/>
        <v/>
      </c>
      <c r="C242" s="5"/>
      <c r="D242" s="5"/>
      <c r="E242" s="5"/>
      <c r="F242" s="6"/>
      <c r="G242" s="6"/>
      <c r="H242" s="7"/>
      <c r="I242" s="8"/>
      <c r="K242" s="23" t="str">
        <f>IFERROR(INDEX($AL$11:$AL$4010,MATCH(232,$AX$11:$AX$4010,0)),"")</f>
        <v/>
      </c>
      <c r="L242" s="24" t="str">
        <f t="shared" si="46"/>
        <v/>
      </c>
      <c r="M242" s="25" t="str">
        <f t="shared" si="47"/>
        <v/>
      </c>
      <c r="N242" s="25" t="str">
        <f t="shared" si="48"/>
        <v/>
      </c>
      <c r="W242" s="28" t="str">
        <f>IF(X242="","",IFERROR(INDEX($AL$11:$AL$4010,MATCH(232,$AY$11:$AY$4010,0)),""))</f>
        <v/>
      </c>
      <c r="X242" s="26" t="str">
        <f>IFERROR(INDEX($AM$11:$AM$4010,MATCH(232,$AY$11:$AY$4010,0)),"")</f>
        <v/>
      </c>
      <c r="Y242" s="25" t="str">
        <f>IF(X242="","",IFERROR(INDEX($AN$11:$AN$4010,MATCH(232,$AY$11:$AY$4010,0)),""))</f>
        <v/>
      </c>
      <c r="Z242" s="25" t="str">
        <f>IF(X242="","",IFERROR(INDEX($AO$11:$AO$4010,MATCH(232,$AY$11:$AY$4010,0)),""))</f>
        <v/>
      </c>
      <c r="AA242" s="24" t="str">
        <f>IF(X242="","",IFERROR(INDEX($AQ$11:$AQ$4010,MATCH(232,$AY$11:$AY$4010,0)),""))</f>
        <v/>
      </c>
      <c r="AB242" s="29" t="str">
        <f>IF(X242="","",IFERROR(INDEX($AR$11:$AR$4010,MATCH(232,$AY$11:$AY$4010,0)),""))</f>
        <v/>
      </c>
      <c r="AD242" s="30" t="str">
        <f>IF(AE242="","",IFERROR(INDEX($AL$11:$AL$4010,MATCH(232,$AZ$11:$AZ$4010,0)),""))</f>
        <v/>
      </c>
      <c r="AE242" s="26" t="str">
        <f>IFERROR(INDEX($AM$11:$AM$4010,MATCH(232,$AZ$11:$AZ$4010,0)),"")</f>
        <v/>
      </c>
      <c r="AF242" s="25" t="str">
        <f>IF(AE242="","",IFERROR(INDEX($AN$11:$AN$4010,MATCH(232,$AZ$11:$AZ$4010,0)),""))</f>
        <v/>
      </c>
      <c r="AG242" s="25" t="str">
        <f>IF(AE242="","",IFERROR(INDEX($AO$11:$AO$4010,MATCH(232,$AZ$11:$AZ$4010,0)),""))</f>
        <v/>
      </c>
      <c r="AH242" s="24" t="str">
        <f>IF(AE242="","",IFERROR(INDEX($AQ$11:$AQ$4010,MATCH(232,$AZ$11:$AZ$4010,0)),""))</f>
        <v/>
      </c>
      <c r="AI242" s="29" t="str">
        <f>IF(AE242="","",IFERROR(INDEX($AR$11:$AR$4010,MATCH(232,$AZ$11:$AZ$4010,0)),""))</f>
        <v/>
      </c>
      <c r="AJ242" s="29" t="str">
        <f>IF(AE242="","",IFERROR(INDEX($AT$11:$AT$4010,MATCH(232,$AZ$11:$AZ$4010,0)),""))</f>
        <v/>
      </c>
      <c r="AL242" s="31" t="str">
        <f t="shared" si="50"/>
        <v/>
      </c>
      <c r="AM242" s="26" t="str">
        <f t="shared" si="51"/>
        <v/>
      </c>
      <c r="AN242" s="32" t="str">
        <f t="shared" si="52"/>
        <v/>
      </c>
      <c r="AO242" s="32" t="str">
        <f t="shared" si="53"/>
        <v/>
      </c>
      <c r="AP242" s="24" t="str">
        <f t="shared" si="54"/>
        <v/>
      </c>
      <c r="AQ242" s="24" t="str">
        <f t="shared" si="55"/>
        <v/>
      </c>
      <c r="AR242" s="33" t="str">
        <f t="shared" si="56"/>
        <v/>
      </c>
      <c r="AS242" s="34"/>
      <c r="AT242" s="33"/>
      <c r="AV242" s="21">
        <f>IF(AND($AL242&lt;&gt;"",COUNTIF($AL$11:$AL242,$AL242)=1),1,0)</f>
        <v>0</v>
      </c>
      <c r="AW242" s="21">
        <f t="shared" si="58"/>
        <v>0</v>
      </c>
      <c r="AX242" s="21" t="str">
        <f t="shared" si="57"/>
        <v/>
      </c>
      <c r="AY242" s="21" t="str">
        <f>IF(AND($AM242&lt;&gt;"",$AS242&lt;&gt;"✓"),SUMPRODUCT(($AM$11:$AM242&lt;&gt;"")*($AS$11:$AS242&lt;&gt;"✓")),"")</f>
        <v/>
      </c>
      <c r="AZ242" s="21" t="str">
        <f>IF(AND($AM242&lt;&gt;"",$AS242="✓"),SUMPRODUCT(($AM$11:$AM242&lt;&gt;"")*($AS$11:$AS242="✓")),"")</f>
        <v/>
      </c>
      <c r="BA242" s="21" t="str">
        <f>IF($AL242="","",$AL242&amp;"|"&amp;COUNTIF($AL$11:$AL242,$AL242))</f>
        <v/>
      </c>
    </row>
    <row r="243" spans="2:53" ht="15" customHeight="1" x14ac:dyDescent="0.25">
      <c r="B243" s="5" t="str">
        <f t="shared" si="45"/>
        <v/>
      </c>
      <c r="C243" s="5"/>
      <c r="D243" s="5"/>
      <c r="E243" s="5"/>
      <c r="F243" s="6"/>
      <c r="G243" s="6"/>
      <c r="H243" s="7"/>
      <c r="I243" s="8"/>
      <c r="K243" s="9" t="str">
        <f>IFERROR(INDEX($AL$11:$AL$4010,MATCH(233,$AX$11:$AX$4010,0)),"")</f>
        <v/>
      </c>
      <c r="L243" s="10" t="str">
        <f t="shared" si="46"/>
        <v/>
      </c>
      <c r="M243" s="11" t="str">
        <f t="shared" si="47"/>
        <v/>
      </c>
      <c r="N243" s="11" t="str">
        <f t="shared" si="48"/>
        <v/>
      </c>
      <c r="W243" s="14" t="str">
        <f>IF(X243="","",IFERROR(INDEX($AL$11:$AL$4010,MATCH(233,$AY$11:$AY$4010,0)),""))</f>
        <v/>
      </c>
      <c r="X243" s="12" t="str">
        <f>IFERROR(INDEX($AM$11:$AM$4010,MATCH(233,$AY$11:$AY$4010,0)),"")</f>
        <v/>
      </c>
      <c r="Y243" s="11" t="str">
        <f>IF(X243="","",IFERROR(INDEX($AN$11:$AN$4010,MATCH(233,$AY$11:$AY$4010,0)),""))</f>
        <v/>
      </c>
      <c r="Z243" s="11" t="str">
        <f>IF(X243="","",IFERROR(INDEX($AO$11:$AO$4010,MATCH(233,$AY$11:$AY$4010,0)),""))</f>
        <v/>
      </c>
      <c r="AA243" s="10" t="str">
        <f>IF(X243="","",IFERROR(INDEX($AQ$11:$AQ$4010,MATCH(233,$AY$11:$AY$4010,0)),""))</f>
        <v/>
      </c>
      <c r="AB243" s="15" t="str">
        <f>IF(X243="","",IFERROR(INDEX($AR$11:$AR$4010,MATCH(233,$AY$11:$AY$4010,0)),""))</f>
        <v/>
      </c>
      <c r="AD243" s="16" t="str">
        <f>IF(AE243="","",IFERROR(INDEX($AL$11:$AL$4010,MATCH(233,$AZ$11:$AZ$4010,0)),""))</f>
        <v/>
      </c>
      <c r="AE243" s="12" t="str">
        <f>IFERROR(INDEX($AM$11:$AM$4010,MATCH(233,$AZ$11:$AZ$4010,0)),"")</f>
        <v/>
      </c>
      <c r="AF243" s="11" t="str">
        <f>IF(AE243="","",IFERROR(INDEX($AN$11:$AN$4010,MATCH(233,$AZ$11:$AZ$4010,0)),""))</f>
        <v/>
      </c>
      <c r="AG243" s="11" t="str">
        <f>IF(AE243="","",IFERROR(INDEX($AO$11:$AO$4010,MATCH(233,$AZ$11:$AZ$4010,0)),""))</f>
        <v/>
      </c>
      <c r="AH243" s="10" t="str">
        <f>IF(AE243="","",IFERROR(INDEX($AQ$11:$AQ$4010,MATCH(233,$AZ$11:$AZ$4010,0)),""))</f>
        <v/>
      </c>
      <c r="AI243" s="15" t="str">
        <f>IF(AE243="","",IFERROR(INDEX($AR$11:$AR$4010,MATCH(233,$AZ$11:$AZ$4010,0)),""))</f>
        <v/>
      </c>
      <c r="AJ243" s="15" t="str">
        <f>IF(AE243="","",IFERROR(INDEX($AT$11:$AT$4010,MATCH(233,$AZ$11:$AZ$4010,0)),""))</f>
        <v/>
      </c>
      <c r="AL243" s="17" t="str">
        <f t="shared" si="50"/>
        <v/>
      </c>
      <c r="AM243" s="12" t="str">
        <f t="shared" si="51"/>
        <v/>
      </c>
      <c r="AN243" s="18" t="str">
        <f t="shared" si="52"/>
        <v/>
      </c>
      <c r="AO243" s="18" t="str">
        <f t="shared" si="53"/>
        <v/>
      </c>
      <c r="AP243" s="10" t="str">
        <f t="shared" si="54"/>
        <v/>
      </c>
      <c r="AQ243" s="10" t="str">
        <f t="shared" si="55"/>
        <v/>
      </c>
      <c r="AR243" s="19" t="str">
        <f t="shared" si="56"/>
        <v/>
      </c>
      <c r="AS243" s="20"/>
      <c r="AT243" s="19"/>
      <c r="AV243" s="21">
        <f>IF(AND($AL243&lt;&gt;"",COUNTIF($AL$11:$AL243,$AL243)=1),1,0)</f>
        <v>0</v>
      </c>
      <c r="AW243" s="21">
        <f t="shared" si="58"/>
        <v>0</v>
      </c>
      <c r="AX243" s="21" t="str">
        <f t="shared" si="57"/>
        <v/>
      </c>
      <c r="AY243" s="21" t="str">
        <f>IF(AND($AM243&lt;&gt;"",$AS243&lt;&gt;"✓"),SUMPRODUCT(($AM$11:$AM243&lt;&gt;"")*($AS$11:$AS243&lt;&gt;"✓")),"")</f>
        <v/>
      </c>
      <c r="AZ243" s="21" t="str">
        <f>IF(AND($AM243&lt;&gt;"",$AS243="✓"),SUMPRODUCT(($AM$11:$AM243&lt;&gt;"")*($AS$11:$AS243="✓")),"")</f>
        <v/>
      </c>
      <c r="BA243" s="21" t="str">
        <f>IF($AL243="","",$AL243&amp;"|"&amp;COUNTIF($AL$11:$AL243,$AL243))</f>
        <v/>
      </c>
    </row>
    <row r="244" spans="2:53" ht="15" customHeight="1" x14ac:dyDescent="0.25">
      <c r="B244" s="5" t="str">
        <f t="shared" si="45"/>
        <v/>
      </c>
      <c r="C244" s="5"/>
      <c r="D244" s="5"/>
      <c r="E244" s="5"/>
      <c r="F244" s="6"/>
      <c r="G244" s="6"/>
      <c r="H244" s="7"/>
      <c r="I244" s="8"/>
      <c r="K244" s="23" t="str">
        <f>IFERROR(INDEX($AL$11:$AL$4010,MATCH(234,$AX$11:$AX$4010,0)),"")</f>
        <v/>
      </c>
      <c r="L244" s="24" t="str">
        <f t="shared" si="46"/>
        <v/>
      </c>
      <c r="M244" s="25" t="str">
        <f t="shared" si="47"/>
        <v/>
      </c>
      <c r="N244" s="25" t="str">
        <f t="shared" si="48"/>
        <v/>
      </c>
      <c r="W244" s="28" t="str">
        <f>IF(X244="","",IFERROR(INDEX($AL$11:$AL$4010,MATCH(234,$AY$11:$AY$4010,0)),""))</f>
        <v/>
      </c>
      <c r="X244" s="26" t="str">
        <f>IFERROR(INDEX($AM$11:$AM$4010,MATCH(234,$AY$11:$AY$4010,0)),"")</f>
        <v/>
      </c>
      <c r="Y244" s="25" t="str">
        <f>IF(X244="","",IFERROR(INDEX($AN$11:$AN$4010,MATCH(234,$AY$11:$AY$4010,0)),""))</f>
        <v/>
      </c>
      <c r="Z244" s="25" t="str">
        <f>IF(X244="","",IFERROR(INDEX($AO$11:$AO$4010,MATCH(234,$AY$11:$AY$4010,0)),""))</f>
        <v/>
      </c>
      <c r="AA244" s="24" t="str">
        <f>IF(X244="","",IFERROR(INDEX($AQ$11:$AQ$4010,MATCH(234,$AY$11:$AY$4010,0)),""))</f>
        <v/>
      </c>
      <c r="AB244" s="29" t="str">
        <f>IF(X244="","",IFERROR(INDEX($AR$11:$AR$4010,MATCH(234,$AY$11:$AY$4010,0)),""))</f>
        <v/>
      </c>
      <c r="AD244" s="30" t="str">
        <f>IF(AE244="","",IFERROR(INDEX($AL$11:$AL$4010,MATCH(234,$AZ$11:$AZ$4010,0)),""))</f>
        <v/>
      </c>
      <c r="AE244" s="26" t="str">
        <f>IFERROR(INDEX($AM$11:$AM$4010,MATCH(234,$AZ$11:$AZ$4010,0)),"")</f>
        <v/>
      </c>
      <c r="AF244" s="25" t="str">
        <f>IF(AE244="","",IFERROR(INDEX($AN$11:$AN$4010,MATCH(234,$AZ$11:$AZ$4010,0)),""))</f>
        <v/>
      </c>
      <c r="AG244" s="25" t="str">
        <f>IF(AE244="","",IFERROR(INDEX($AO$11:$AO$4010,MATCH(234,$AZ$11:$AZ$4010,0)),""))</f>
        <v/>
      </c>
      <c r="AH244" s="24" t="str">
        <f>IF(AE244="","",IFERROR(INDEX($AQ$11:$AQ$4010,MATCH(234,$AZ$11:$AZ$4010,0)),""))</f>
        <v/>
      </c>
      <c r="AI244" s="29" t="str">
        <f>IF(AE244="","",IFERROR(INDEX($AR$11:$AR$4010,MATCH(234,$AZ$11:$AZ$4010,0)),""))</f>
        <v/>
      </c>
      <c r="AJ244" s="29" t="str">
        <f>IF(AE244="","",IFERROR(INDEX($AT$11:$AT$4010,MATCH(234,$AZ$11:$AZ$4010,0)),""))</f>
        <v/>
      </c>
      <c r="AL244" s="31" t="str">
        <f t="shared" si="50"/>
        <v/>
      </c>
      <c r="AM244" s="26" t="str">
        <f t="shared" si="51"/>
        <v/>
      </c>
      <c r="AN244" s="32" t="str">
        <f t="shared" si="52"/>
        <v/>
      </c>
      <c r="AO244" s="32" t="str">
        <f t="shared" si="53"/>
        <v/>
      </c>
      <c r="AP244" s="24" t="str">
        <f t="shared" si="54"/>
        <v/>
      </c>
      <c r="AQ244" s="24" t="str">
        <f t="shared" si="55"/>
        <v/>
      </c>
      <c r="AR244" s="33" t="str">
        <f t="shared" si="56"/>
        <v/>
      </c>
      <c r="AS244" s="34"/>
      <c r="AT244" s="33"/>
      <c r="AV244" s="21">
        <f>IF(AND($AL244&lt;&gt;"",COUNTIF($AL$11:$AL244,$AL244)=1),1,0)</f>
        <v>0</v>
      </c>
      <c r="AW244" s="21">
        <f t="shared" si="58"/>
        <v>0</v>
      </c>
      <c r="AX244" s="21" t="str">
        <f t="shared" si="57"/>
        <v/>
      </c>
      <c r="AY244" s="21" t="str">
        <f>IF(AND($AM244&lt;&gt;"",$AS244&lt;&gt;"✓"),SUMPRODUCT(($AM$11:$AM244&lt;&gt;"")*($AS$11:$AS244&lt;&gt;"✓")),"")</f>
        <v/>
      </c>
      <c r="AZ244" s="21" t="str">
        <f>IF(AND($AM244&lt;&gt;"",$AS244="✓"),SUMPRODUCT(($AM$11:$AM244&lt;&gt;"")*($AS$11:$AS244="✓")),"")</f>
        <v/>
      </c>
      <c r="BA244" s="21" t="str">
        <f>IF($AL244="","",$AL244&amp;"|"&amp;COUNTIF($AL$11:$AL244,$AL244))</f>
        <v/>
      </c>
    </row>
    <row r="245" spans="2:53" ht="15" customHeight="1" x14ac:dyDescent="0.25">
      <c r="B245" s="5" t="str">
        <f t="shared" si="45"/>
        <v/>
      </c>
      <c r="C245" s="5"/>
      <c r="D245" s="5"/>
      <c r="E245" s="5"/>
      <c r="F245" s="6"/>
      <c r="G245" s="6"/>
      <c r="H245" s="7"/>
      <c r="I245" s="8"/>
      <c r="K245" s="9" t="str">
        <f>IFERROR(INDEX($AL$11:$AL$4010,MATCH(235,$AX$11:$AX$4010,0)),"")</f>
        <v/>
      </c>
      <c r="L245" s="10" t="str">
        <f t="shared" si="46"/>
        <v/>
      </c>
      <c r="M245" s="11" t="str">
        <f t="shared" si="47"/>
        <v/>
      </c>
      <c r="N245" s="11" t="str">
        <f t="shared" si="48"/>
        <v/>
      </c>
      <c r="W245" s="14" t="str">
        <f>IF(X245="","",IFERROR(INDEX($AL$11:$AL$4010,MATCH(235,$AY$11:$AY$4010,0)),""))</f>
        <v/>
      </c>
      <c r="X245" s="12" t="str">
        <f>IFERROR(INDEX($AM$11:$AM$4010,MATCH(235,$AY$11:$AY$4010,0)),"")</f>
        <v/>
      </c>
      <c r="Y245" s="11" t="str">
        <f>IF(X245="","",IFERROR(INDEX($AN$11:$AN$4010,MATCH(235,$AY$11:$AY$4010,0)),""))</f>
        <v/>
      </c>
      <c r="Z245" s="11" t="str">
        <f>IF(X245="","",IFERROR(INDEX($AO$11:$AO$4010,MATCH(235,$AY$11:$AY$4010,0)),""))</f>
        <v/>
      </c>
      <c r="AA245" s="10" t="str">
        <f>IF(X245="","",IFERROR(INDEX($AQ$11:$AQ$4010,MATCH(235,$AY$11:$AY$4010,0)),""))</f>
        <v/>
      </c>
      <c r="AB245" s="15" t="str">
        <f>IF(X245="","",IFERROR(INDEX($AR$11:$AR$4010,MATCH(235,$AY$11:$AY$4010,0)),""))</f>
        <v/>
      </c>
      <c r="AD245" s="16" t="str">
        <f>IF(AE245="","",IFERROR(INDEX($AL$11:$AL$4010,MATCH(235,$AZ$11:$AZ$4010,0)),""))</f>
        <v/>
      </c>
      <c r="AE245" s="12" t="str">
        <f>IFERROR(INDEX($AM$11:$AM$4010,MATCH(235,$AZ$11:$AZ$4010,0)),"")</f>
        <v/>
      </c>
      <c r="AF245" s="11" t="str">
        <f>IF(AE245="","",IFERROR(INDEX($AN$11:$AN$4010,MATCH(235,$AZ$11:$AZ$4010,0)),""))</f>
        <v/>
      </c>
      <c r="AG245" s="11" t="str">
        <f>IF(AE245="","",IFERROR(INDEX($AO$11:$AO$4010,MATCH(235,$AZ$11:$AZ$4010,0)),""))</f>
        <v/>
      </c>
      <c r="AH245" s="10" t="str">
        <f>IF(AE245="","",IFERROR(INDEX($AQ$11:$AQ$4010,MATCH(235,$AZ$11:$AZ$4010,0)),""))</f>
        <v/>
      </c>
      <c r="AI245" s="15" t="str">
        <f>IF(AE245="","",IFERROR(INDEX($AR$11:$AR$4010,MATCH(235,$AZ$11:$AZ$4010,0)),""))</f>
        <v/>
      </c>
      <c r="AJ245" s="15" t="str">
        <f>IF(AE245="","",IFERROR(INDEX($AT$11:$AT$4010,MATCH(235,$AZ$11:$AZ$4010,0)),""))</f>
        <v/>
      </c>
      <c r="AL245" s="17" t="str">
        <f t="shared" si="50"/>
        <v/>
      </c>
      <c r="AM245" s="12" t="str">
        <f t="shared" si="51"/>
        <v/>
      </c>
      <c r="AN245" s="18" t="str">
        <f t="shared" si="52"/>
        <v/>
      </c>
      <c r="AO245" s="18" t="str">
        <f t="shared" si="53"/>
        <v/>
      </c>
      <c r="AP245" s="10" t="str">
        <f t="shared" si="54"/>
        <v/>
      </c>
      <c r="AQ245" s="10" t="str">
        <f t="shared" si="55"/>
        <v/>
      </c>
      <c r="AR245" s="19" t="str">
        <f t="shared" si="56"/>
        <v/>
      </c>
      <c r="AS245" s="20"/>
      <c r="AT245" s="19"/>
      <c r="AV245" s="21">
        <f>IF(AND($AL245&lt;&gt;"",COUNTIF($AL$11:$AL245,$AL245)=1),1,0)</f>
        <v>0</v>
      </c>
      <c r="AW245" s="21">
        <f t="shared" si="58"/>
        <v>0</v>
      </c>
      <c r="AX245" s="21" t="str">
        <f t="shared" si="57"/>
        <v/>
      </c>
      <c r="AY245" s="21" t="str">
        <f>IF(AND($AM245&lt;&gt;"",$AS245&lt;&gt;"✓"),SUMPRODUCT(($AM$11:$AM245&lt;&gt;"")*($AS$11:$AS245&lt;&gt;"✓")),"")</f>
        <v/>
      </c>
      <c r="AZ245" s="21" t="str">
        <f>IF(AND($AM245&lt;&gt;"",$AS245="✓"),SUMPRODUCT(($AM$11:$AM245&lt;&gt;"")*($AS$11:$AS245="✓")),"")</f>
        <v/>
      </c>
      <c r="BA245" s="21" t="str">
        <f>IF($AL245="","",$AL245&amp;"|"&amp;COUNTIF($AL$11:$AL245,$AL245))</f>
        <v/>
      </c>
    </row>
    <row r="246" spans="2:53" ht="15" customHeight="1" x14ac:dyDescent="0.25">
      <c r="B246" s="5" t="str">
        <f t="shared" si="45"/>
        <v/>
      </c>
      <c r="C246" s="5"/>
      <c r="D246" s="5"/>
      <c r="E246" s="5"/>
      <c r="F246" s="6"/>
      <c r="G246" s="6"/>
      <c r="H246" s="7"/>
      <c r="I246" s="8"/>
      <c r="K246" s="23" t="str">
        <f>IFERROR(INDEX($AL$11:$AL$4010,MATCH(236,$AX$11:$AX$4010,0)),"")</f>
        <v/>
      </c>
      <c r="L246" s="24" t="str">
        <f t="shared" si="46"/>
        <v/>
      </c>
      <c r="M246" s="25" t="str">
        <f t="shared" si="47"/>
        <v/>
      </c>
      <c r="N246" s="25" t="str">
        <f t="shared" si="48"/>
        <v/>
      </c>
      <c r="W246" s="28" t="str">
        <f>IF(X246="","",IFERROR(INDEX($AL$11:$AL$4010,MATCH(236,$AY$11:$AY$4010,0)),""))</f>
        <v/>
      </c>
      <c r="X246" s="26" t="str">
        <f>IFERROR(INDEX($AM$11:$AM$4010,MATCH(236,$AY$11:$AY$4010,0)),"")</f>
        <v/>
      </c>
      <c r="Y246" s="25" t="str">
        <f>IF(X246="","",IFERROR(INDEX($AN$11:$AN$4010,MATCH(236,$AY$11:$AY$4010,0)),""))</f>
        <v/>
      </c>
      <c r="Z246" s="25" t="str">
        <f>IF(X246="","",IFERROR(INDEX($AO$11:$AO$4010,MATCH(236,$AY$11:$AY$4010,0)),""))</f>
        <v/>
      </c>
      <c r="AA246" s="24" t="str">
        <f>IF(X246="","",IFERROR(INDEX($AQ$11:$AQ$4010,MATCH(236,$AY$11:$AY$4010,0)),""))</f>
        <v/>
      </c>
      <c r="AB246" s="29" t="str">
        <f>IF(X246="","",IFERROR(INDEX($AR$11:$AR$4010,MATCH(236,$AY$11:$AY$4010,0)),""))</f>
        <v/>
      </c>
      <c r="AD246" s="30" t="str">
        <f>IF(AE246="","",IFERROR(INDEX($AL$11:$AL$4010,MATCH(236,$AZ$11:$AZ$4010,0)),""))</f>
        <v/>
      </c>
      <c r="AE246" s="26" t="str">
        <f>IFERROR(INDEX($AM$11:$AM$4010,MATCH(236,$AZ$11:$AZ$4010,0)),"")</f>
        <v/>
      </c>
      <c r="AF246" s="25" t="str">
        <f>IF(AE246="","",IFERROR(INDEX($AN$11:$AN$4010,MATCH(236,$AZ$11:$AZ$4010,0)),""))</f>
        <v/>
      </c>
      <c r="AG246" s="25" t="str">
        <f>IF(AE246="","",IFERROR(INDEX($AO$11:$AO$4010,MATCH(236,$AZ$11:$AZ$4010,0)),""))</f>
        <v/>
      </c>
      <c r="AH246" s="24" t="str">
        <f>IF(AE246="","",IFERROR(INDEX($AQ$11:$AQ$4010,MATCH(236,$AZ$11:$AZ$4010,0)),""))</f>
        <v/>
      </c>
      <c r="AI246" s="29" t="str">
        <f>IF(AE246="","",IFERROR(INDEX($AR$11:$AR$4010,MATCH(236,$AZ$11:$AZ$4010,0)),""))</f>
        <v/>
      </c>
      <c r="AJ246" s="29" t="str">
        <f>IF(AE246="","",IFERROR(INDEX($AT$11:$AT$4010,MATCH(236,$AZ$11:$AZ$4010,0)),""))</f>
        <v/>
      </c>
      <c r="AL246" s="31" t="str">
        <f t="shared" si="50"/>
        <v/>
      </c>
      <c r="AM246" s="26" t="str">
        <f t="shared" si="51"/>
        <v/>
      </c>
      <c r="AN246" s="32" t="str">
        <f t="shared" si="52"/>
        <v/>
      </c>
      <c r="AO246" s="32" t="str">
        <f t="shared" si="53"/>
        <v/>
      </c>
      <c r="AP246" s="24" t="str">
        <f t="shared" si="54"/>
        <v/>
      </c>
      <c r="AQ246" s="24" t="str">
        <f t="shared" si="55"/>
        <v/>
      </c>
      <c r="AR246" s="33" t="str">
        <f t="shared" si="56"/>
        <v/>
      </c>
      <c r="AS246" s="34"/>
      <c r="AT246" s="33"/>
      <c r="AV246" s="21">
        <f>IF(AND($AL246&lt;&gt;"",COUNTIF($AL$11:$AL246,$AL246)=1),1,0)</f>
        <v>0</v>
      </c>
      <c r="AW246" s="21">
        <f t="shared" si="58"/>
        <v>0</v>
      </c>
      <c r="AX246" s="21" t="str">
        <f t="shared" si="57"/>
        <v/>
      </c>
      <c r="AY246" s="21" t="str">
        <f>IF(AND($AM246&lt;&gt;"",$AS246&lt;&gt;"✓"),SUMPRODUCT(($AM$11:$AM246&lt;&gt;"")*($AS$11:$AS246&lt;&gt;"✓")),"")</f>
        <v/>
      </c>
      <c r="AZ246" s="21" t="str">
        <f>IF(AND($AM246&lt;&gt;"",$AS246="✓"),SUMPRODUCT(($AM$11:$AM246&lt;&gt;"")*($AS$11:$AS246="✓")),"")</f>
        <v/>
      </c>
      <c r="BA246" s="21" t="str">
        <f>IF($AL246="","",$AL246&amp;"|"&amp;COUNTIF($AL$11:$AL246,$AL246))</f>
        <v/>
      </c>
    </row>
    <row r="247" spans="2:53" ht="15" customHeight="1" x14ac:dyDescent="0.25">
      <c r="B247" s="5" t="str">
        <f t="shared" si="45"/>
        <v/>
      </c>
      <c r="C247" s="5"/>
      <c r="D247" s="5"/>
      <c r="E247" s="5"/>
      <c r="F247" s="6"/>
      <c r="G247" s="6"/>
      <c r="H247" s="7"/>
      <c r="I247" s="8"/>
      <c r="K247" s="9" t="str">
        <f>IFERROR(INDEX($AL$11:$AL$4010,MATCH(237,$AX$11:$AX$4010,0)),"")</f>
        <v/>
      </c>
      <c r="L247" s="10" t="str">
        <f t="shared" si="46"/>
        <v/>
      </c>
      <c r="M247" s="11" t="str">
        <f t="shared" si="47"/>
        <v/>
      </c>
      <c r="N247" s="11" t="str">
        <f t="shared" si="48"/>
        <v/>
      </c>
      <c r="W247" s="14" t="str">
        <f>IF(X247="","",IFERROR(INDEX($AL$11:$AL$4010,MATCH(237,$AY$11:$AY$4010,0)),""))</f>
        <v/>
      </c>
      <c r="X247" s="12" t="str">
        <f>IFERROR(INDEX($AM$11:$AM$4010,MATCH(237,$AY$11:$AY$4010,0)),"")</f>
        <v/>
      </c>
      <c r="Y247" s="11" t="str">
        <f>IF(X247="","",IFERROR(INDEX($AN$11:$AN$4010,MATCH(237,$AY$11:$AY$4010,0)),""))</f>
        <v/>
      </c>
      <c r="Z247" s="11" t="str">
        <f>IF(X247="","",IFERROR(INDEX($AO$11:$AO$4010,MATCH(237,$AY$11:$AY$4010,0)),""))</f>
        <v/>
      </c>
      <c r="AA247" s="10" t="str">
        <f>IF(X247="","",IFERROR(INDEX($AQ$11:$AQ$4010,MATCH(237,$AY$11:$AY$4010,0)),""))</f>
        <v/>
      </c>
      <c r="AB247" s="15" t="str">
        <f>IF(X247="","",IFERROR(INDEX($AR$11:$AR$4010,MATCH(237,$AY$11:$AY$4010,0)),""))</f>
        <v/>
      </c>
      <c r="AD247" s="16" t="str">
        <f>IF(AE247="","",IFERROR(INDEX($AL$11:$AL$4010,MATCH(237,$AZ$11:$AZ$4010,0)),""))</f>
        <v/>
      </c>
      <c r="AE247" s="12" t="str">
        <f>IFERROR(INDEX($AM$11:$AM$4010,MATCH(237,$AZ$11:$AZ$4010,0)),"")</f>
        <v/>
      </c>
      <c r="AF247" s="11" t="str">
        <f>IF(AE247="","",IFERROR(INDEX($AN$11:$AN$4010,MATCH(237,$AZ$11:$AZ$4010,0)),""))</f>
        <v/>
      </c>
      <c r="AG247" s="11" t="str">
        <f>IF(AE247="","",IFERROR(INDEX($AO$11:$AO$4010,MATCH(237,$AZ$11:$AZ$4010,0)),""))</f>
        <v/>
      </c>
      <c r="AH247" s="10" t="str">
        <f>IF(AE247="","",IFERROR(INDEX($AQ$11:$AQ$4010,MATCH(237,$AZ$11:$AZ$4010,0)),""))</f>
        <v/>
      </c>
      <c r="AI247" s="15" t="str">
        <f>IF(AE247="","",IFERROR(INDEX($AR$11:$AR$4010,MATCH(237,$AZ$11:$AZ$4010,0)),""))</f>
        <v/>
      </c>
      <c r="AJ247" s="15" t="str">
        <f>IF(AE247="","",IFERROR(INDEX($AT$11:$AT$4010,MATCH(237,$AZ$11:$AZ$4010,0)),""))</f>
        <v/>
      </c>
      <c r="AL247" s="17" t="str">
        <f t="shared" si="50"/>
        <v/>
      </c>
      <c r="AM247" s="12" t="str">
        <f t="shared" si="51"/>
        <v/>
      </c>
      <c r="AN247" s="18" t="str">
        <f t="shared" si="52"/>
        <v/>
      </c>
      <c r="AO247" s="18" t="str">
        <f t="shared" si="53"/>
        <v/>
      </c>
      <c r="AP247" s="10" t="str">
        <f t="shared" si="54"/>
        <v/>
      </c>
      <c r="AQ247" s="10" t="str">
        <f t="shared" si="55"/>
        <v/>
      </c>
      <c r="AR247" s="19" t="str">
        <f t="shared" si="56"/>
        <v/>
      </c>
      <c r="AS247" s="20"/>
      <c r="AT247" s="19"/>
      <c r="AV247" s="21">
        <f>IF(AND($AL247&lt;&gt;"",COUNTIF($AL$11:$AL247,$AL247)=1),1,0)</f>
        <v>0</v>
      </c>
      <c r="AW247" s="21">
        <f t="shared" si="58"/>
        <v>0</v>
      </c>
      <c r="AX247" s="21" t="str">
        <f t="shared" si="57"/>
        <v/>
      </c>
      <c r="AY247" s="21" t="str">
        <f>IF(AND($AM247&lt;&gt;"",$AS247&lt;&gt;"✓"),SUMPRODUCT(($AM$11:$AM247&lt;&gt;"")*($AS$11:$AS247&lt;&gt;"✓")),"")</f>
        <v/>
      </c>
      <c r="AZ247" s="21" t="str">
        <f>IF(AND($AM247&lt;&gt;"",$AS247="✓"),SUMPRODUCT(($AM$11:$AM247&lt;&gt;"")*($AS$11:$AS247="✓")),"")</f>
        <v/>
      </c>
      <c r="BA247" s="21" t="str">
        <f>IF($AL247="","",$AL247&amp;"|"&amp;COUNTIF($AL$11:$AL247,$AL247))</f>
        <v/>
      </c>
    </row>
    <row r="248" spans="2:53" ht="15" customHeight="1" x14ac:dyDescent="0.25">
      <c r="B248" s="5" t="str">
        <f t="shared" si="45"/>
        <v/>
      </c>
      <c r="C248" s="5"/>
      <c r="D248" s="5"/>
      <c r="E248" s="5"/>
      <c r="F248" s="6"/>
      <c r="G248" s="6"/>
      <c r="H248" s="7"/>
      <c r="I248" s="8"/>
      <c r="K248" s="23" t="str">
        <f>IFERROR(INDEX($AL$11:$AL$4010,MATCH(238,$AX$11:$AX$4010,0)),"")</f>
        <v/>
      </c>
      <c r="L248" s="24" t="str">
        <f t="shared" si="46"/>
        <v/>
      </c>
      <c r="M248" s="25" t="str">
        <f t="shared" si="47"/>
        <v/>
      </c>
      <c r="N248" s="25" t="str">
        <f t="shared" si="48"/>
        <v/>
      </c>
      <c r="W248" s="28" t="str">
        <f>IF(X248="","",IFERROR(INDEX($AL$11:$AL$4010,MATCH(238,$AY$11:$AY$4010,0)),""))</f>
        <v/>
      </c>
      <c r="X248" s="26" t="str">
        <f>IFERROR(INDEX($AM$11:$AM$4010,MATCH(238,$AY$11:$AY$4010,0)),"")</f>
        <v/>
      </c>
      <c r="Y248" s="25" t="str">
        <f>IF(X248="","",IFERROR(INDEX($AN$11:$AN$4010,MATCH(238,$AY$11:$AY$4010,0)),""))</f>
        <v/>
      </c>
      <c r="Z248" s="25" t="str">
        <f>IF(X248="","",IFERROR(INDEX($AO$11:$AO$4010,MATCH(238,$AY$11:$AY$4010,0)),""))</f>
        <v/>
      </c>
      <c r="AA248" s="24" t="str">
        <f>IF(X248="","",IFERROR(INDEX($AQ$11:$AQ$4010,MATCH(238,$AY$11:$AY$4010,0)),""))</f>
        <v/>
      </c>
      <c r="AB248" s="29" t="str">
        <f>IF(X248="","",IFERROR(INDEX($AR$11:$AR$4010,MATCH(238,$AY$11:$AY$4010,0)),""))</f>
        <v/>
      </c>
      <c r="AD248" s="30" t="str">
        <f>IF(AE248="","",IFERROR(INDEX($AL$11:$AL$4010,MATCH(238,$AZ$11:$AZ$4010,0)),""))</f>
        <v/>
      </c>
      <c r="AE248" s="26" t="str">
        <f>IFERROR(INDEX($AM$11:$AM$4010,MATCH(238,$AZ$11:$AZ$4010,0)),"")</f>
        <v/>
      </c>
      <c r="AF248" s="25" t="str">
        <f>IF(AE248="","",IFERROR(INDEX($AN$11:$AN$4010,MATCH(238,$AZ$11:$AZ$4010,0)),""))</f>
        <v/>
      </c>
      <c r="AG248" s="25" t="str">
        <f>IF(AE248="","",IFERROR(INDEX($AO$11:$AO$4010,MATCH(238,$AZ$11:$AZ$4010,0)),""))</f>
        <v/>
      </c>
      <c r="AH248" s="24" t="str">
        <f>IF(AE248="","",IFERROR(INDEX($AQ$11:$AQ$4010,MATCH(238,$AZ$11:$AZ$4010,0)),""))</f>
        <v/>
      </c>
      <c r="AI248" s="29" t="str">
        <f>IF(AE248="","",IFERROR(INDEX($AR$11:$AR$4010,MATCH(238,$AZ$11:$AZ$4010,0)),""))</f>
        <v/>
      </c>
      <c r="AJ248" s="29" t="str">
        <f>IF(AE248="","",IFERROR(INDEX($AT$11:$AT$4010,MATCH(238,$AZ$11:$AZ$4010,0)),""))</f>
        <v/>
      </c>
      <c r="AL248" s="31" t="str">
        <f t="shared" si="50"/>
        <v/>
      </c>
      <c r="AM248" s="26" t="str">
        <f t="shared" si="51"/>
        <v/>
      </c>
      <c r="AN248" s="32" t="str">
        <f t="shared" si="52"/>
        <v/>
      </c>
      <c r="AO248" s="32" t="str">
        <f t="shared" si="53"/>
        <v/>
      </c>
      <c r="AP248" s="24" t="str">
        <f t="shared" si="54"/>
        <v/>
      </c>
      <c r="AQ248" s="24" t="str">
        <f t="shared" si="55"/>
        <v/>
      </c>
      <c r="AR248" s="33" t="str">
        <f t="shared" si="56"/>
        <v/>
      </c>
      <c r="AS248" s="34"/>
      <c r="AT248" s="33"/>
      <c r="AV248" s="21">
        <f>IF(AND($AL248&lt;&gt;"",COUNTIF($AL$11:$AL248,$AL248)=1),1,0)</f>
        <v>0</v>
      </c>
      <c r="AW248" s="21">
        <f t="shared" si="58"/>
        <v>0</v>
      </c>
      <c r="AX248" s="21" t="str">
        <f t="shared" si="57"/>
        <v/>
      </c>
      <c r="AY248" s="21" t="str">
        <f>IF(AND($AM248&lt;&gt;"",$AS248&lt;&gt;"✓"),SUMPRODUCT(($AM$11:$AM248&lt;&gt;"")*($AS$11:$AS248&lt;&gt;"✓")),"")</f>
        <v/>
      </c>
      <c r="AZ248" s="21" t="str">
        <f>IF(AND($AM248&lt;&gt;"",$AS248="✓"),SUMPRODUCT(($AM$11:$AM248&lt;&gt;"")*($AS$11:$AS248="✓")),"")</f>
        <v/>
      </c>
      <c r="BA248" s="21" t="str">
        <f>IF($AL248="","",$AL248&amp;"|"&amp;COUNTIF($AL$11:$AL248,$AL248))</f>
        <v/>
      </c>
    </row>
    <row r="249" spans="2:53" ht="15" customHeight="1" x14ac:dyDescent="0.25">
      <c r="B249" s="5" t="str">
        <f t="shared" si="45"/>
        <v/>
      </c>
      <c r="C249" s="5"/>
      <c r="D249" s="5"/>
      <c r="E249" s="5"/>
      <c r="F249" s="6"/>
      <c r="G249" s="6"/>
      <c r="H249" s="7"/>
      <c r="I249" s="8"/>
      <c r="K249" s="9" t="str">
        <f>IFERROR(INDEX($AL$11:$AL$4010,MATCH(239,$AX$11:$AX$4010,0)),"")</f>
        <v/>
      </c>
      <c r="L249" s="10" t="str">
        <f t="shared" si="46"/>
        <v/>
      </c>
      <c r="M249" s="11" t="str">
        <f t="shared" si="47"/>
        <v/>
      </c>
      <c r="N249" s="11" t="str">
        <f t="shared" si="48"/>
        <v/>
      </c>
      <c r="W249" s="14" t="str">
        <f>IF(X249="","",IFERROR(INDEX($AL$11:$AL$4010,MATCH(239,$AY$11:$AY$4010,0)),""))</f>
        <v/>
      </c>
      <c r="X249" s="12" t="str">
        <f>IFERROR(INDEX($AM$11:$AM$4010,MATCH(239,$AY$11:$AY$4010,0)),"")</f>
        <v/>
      </c>
      <c r="Y249" s="11" t="str">
        <f>IF(X249="","",IFERROR(INDEX($AN$11:$AN$4010,MATCH(239,$AY$11:$AY$4010,0)),""))</f>
        <v/>
      </c>
      <c r="Z249" s="11" t="str">
        <f>IF(X249="","",IFERROR(INDEX($AO$11:$AO$4010,MATCH(239,$AY$11:$AY$4010,0)),""))</f>
        <v/>
      </c>
      <c r="AA249" s="10" t="str">
        <f>IF(X249="","",IFERROR(INDEX($AQ$11:$AQ$4010,MATCH(239,$AY$11:$AY$4010,0)),""))</f>
        <v/>
      </c>
      <c r="AB249" s="15" t="str">
        <f>IF(X249="","",IFERROR(INDEX($AR$11:$AR$4010,MATCH(239,$AY$11:$AY$4010,0)),""))</f>
        <v/>
      </c>
      <c r="AD249" s="16" t="str">
        <f>IF(AE249="","",IFERROR(INDEX($AL$11:$AL$4010,MATCH(239,$AZ$11:$AZ$4010,0)),""))</f>
        <v/>
      </c>
      <c r="AE249" s="12" t="str">
        <f>IFERROR(INDEX($AM$11:$AM$4010,MATCH(239,$AZ$11:$AZ$4010,0)),"")</f>
        <v/>
      </c>
      <c r="AF249" s="11" t="str">
        <f>IF(AE249="","",IFERROR(INDEX($AN$11:$AN$4010,MATCH(239,$AZ$11:$AZ$4010,0)),""))</f>
        <v/>
      </c>
      <c r="AG249" s="11" t="str">
        <f>IF(AE249="","",IFERROR(INDEX($AO$11:$AO$4010,MATCH(239,$AZ$11:$AZ$4010,0)),""))</f>
        <v/>
      </c>
      <c r="AH249" s="10" t="str">
        <f>IF(AE249="","",IFERROR(INDEX($AQ$11:$AQ$4010,MATCH(239,$AZ$11:$AZ$4010,0)),""))</f>
        <v/>
      </c>
      <c r="AI249" s="15" t="str">
        <f>IF(AE249="","",IFERROR(INDEX($AR$11:$AR$4010,MATCH(239,$AZ$11:$AZ$4010,0)),""))</f>
        <v/>
      </c>
      <c r="AJ249" s="15" t="str">
        <f>IF(AE249="","",IFERROR(INDEX($AT$11:$AT$4010,MATCH(239,$AZ$11:$AZ$4010,0)),""))</f>
        <v/>
      </c>
      <c r="AL249" s="17" t="str">
        <f t="shared" si="50"/>
        <v/>
      </c>
      <c r="AM249" s="12" t="str">
        <f t="shared" si="51"/>
        <v/>
      </c>
      <c r="AN249" s="18" t="str">
        <f t="shared" si="52"/>
        <v/>
      </c>
      <c r="AO249" s="18" t="str">
        <f t="shared" si="53"/>
        <v/>
      </c>
      <c r="AP249" s="10" t="str">
        <f t="shared" si="54"/>
        <v/>
      </c>
      <c r="AQ249" s="10" t="str">
        <f t="shared" si="55"/>
        <v/>
      </c>
      <c r="AR249" s="19" t="str">
        <f t="shared" si="56"/>
        <v/>
      </c>
      <c r="AS249" s="20"/>
      <c r="AT249" s="19"/>
      <c r="AV249" s="21">
        <f>IF(AND($AL249&lt;&gt;"",COUNTIF($AL$11:$AL249,$AL249)=1),1,0)</f>
        <v>0</v>
      </c>
      <c r="AW249" s="21">
        <f t="shared" si="58"/>
        <v>0</v>
      </c>
      <c r="AX249" s="21" t="str">
        <f t="shared" si="57"/>
        <v/>
      </c>
      <c r="AY249" s="21" t="str">
        <f>IF(AND($AM249&lt;&gt;"",$AS249&lt;&gt;"✓"),SUMPRODUCT(($AM$11:$AM249&lt;&gt;"")*($AS$11:$AS249&lt;&gt;"✓")),"")</f>
        <v/>
      </c>
      <c r="AZ249" s="21" t="str">
        <f>IF(AND($AM249&lt;&gt;"",$AS249="✓"),SUMPRODUCT(($AM$11:$AM249&lt;&gt;"")*($AS$11:$AS249="✓")),"")</f>
        <v/>
      </c>
      <c r="BA249" s="21" t="str">
        <f>IF($AL249="","",$AL249&amp;"|"&amp;COUNTIF($AL$11:$AL249,$AL249))</f>
        <v/>
      </c>
    </row>
    <row r="250" spans="2:53" ht="15" customHeight="1" x14ac:dyDescent="0.25">
      <c r="B250" s="5" t="str">
        <f t="shared" si="45"/>
        <v/>
      </c>
      <c r="C250" s="5"/>
      <c r="D250" s="5"/>
      <c r="E250" s="5"/>
      <c r="F250" s="6"/>
      <c r="G250" s="6"/>
      <c r="H250" s="7"/>
      <c r="I250" s="8"/>
      <c r="K250" s="23" t="str">
        <f>IFERROR(INDEX($AL$11:$AL$4010,MATCH(240,$AX$11:$AX$4010,0)),"")</f>
        <v/>
      </c>
      <c r="L250" s="24" t="str">
        <f t="shared" si="46"/>
        <v/>
      </c>
      <c r="M250" s="25" t="str">
        <f t="shared" si="47"/>
        <v/>
      </c>
      <c r="N250" s="25" t="str">
        <f t="shared" si="48"/>
        <v/>
      </c>
      <c r="W250" s="28" t="str">
        <f>IF(X250="","",IFERROR(INDEX($AL$11:$AL$4010,MATCH(240,$AY$11:$AY$4010,0)),""))</f>
        <v/>
      </c>
      <c r="X250" s="26" t="str">
        <f>IFERROR(INDEX($AM$11:$AM$4010,MATCH(240,$AY$11:$AY$4010,0)),"")</f>
        <v/>
      </c>
      <c r="Y250" s="25" t="str">
        <f>IF(X250="","",IFERROR(INDEX($AN$11:$AN$4010,MATCH(240,$AY$11:$AY$4010,0)),""))</f>
        <v/>
      </c>
      <c r="Z250" s="25" t="str">
        <f>IF(X250="","",IFERROR(INDEX($AO$11:$AO$4010,MATCH(240,$AY$11:$AY$4010,0)),""))</f>
        <v/>
      </c>
      <c r="AA250" s="24" t="str">
        <f>IF(X250="","",IFERROR(INDEX($AQ$11:$AQ$4010,MATCH(240,$AY$11:$AY$4010,0)),""))</f>
        <v/>
      </c>
      <c r="AB250" s="29" t="str">
        <f>IF(X250="","",IFERROR(INDEX($AR$11:$AR$4010,MATCH(240,$AY$11:$AY$4010,0)),""))</f>
        <v/>
      </c>
      <c r="AD250" s="30" t="str">
        <f>IF(AE250="","",IFERROR(INDEX($AL$11:$AL$4010,MATCH(240,$AZ$11:$AZ$4010,0)),""))</f>
        <v/>
      </c>
      <c r="AE250" s="26" t="str">
        <f>IFERROR(INDEX($AM$11:$AM$4010,MATCH(240,$AZ$11:$AZ$4010,0)),"")</f>
        <v/>
      </c>
      <c r="AF250" s="25" t="str">
        <f>IF(AE250="","",IFERROR(INDEX($AN$11:$AN$4010,MATCH(240,$AZ$11:$AZ$4010,0)),""))</f>
        <v/>
      </c>
      <c r="AG250" s="25" t="str">
        <f>IF(AE250="","",IFERROR(INDEX($AO$11:$AO$4010,MATCH(240,$AZ$11:$AZ$4010,0)),""))</f>
        <v/>
      </c>
      <c r="AH250" s="24" t="str">
        <f>IF(AE250="","",IFERROR(INDEX($AQ$11:$AQ$4010,MATCH(240,$AZ$11:$AZ$4010,0)),""))</f>
        <v/>
      </c>
      <c r="AI250" s="29" t="str">
        <f>IF(AE250="","",IFERROR(INDEX($AR$11:$AR$4010,MATCH(240,$AZ$11:$AZ$4010,0)),""))</f>
        <v/>
      </c>
      <c r="AJ250" s="29" t="str">
        <f>IF(AE250="","",IFERROR(INDEX($AT$11:$AT$4010,MATCH(240,$AZ$11:$AZ$4010,0)),""))</f>
        <v/>
      </c>
      <c r="AL250" s="31" t="str">
        <f t="shared" si="50"/>
        <v/>
      </c>
      <c r="AM250" s="26" t="str">
        <f t="shared" si="51"/>
        <v/>
      </c>
      <c r="AN250" s="32" t="str">
        <f t="shared" si="52"/>
        <v/>
      </c>
      <c r="AO250" s="32" t="str">
        <f t="shared" si="53"/>
        <v/>
      </c>
      <c r="AP250" s="24" t="str">
        <f t="shared" si="54"/>
        <v/>
      </c>
      <c r="AQ250" s="24" t="str">
        <f t="shared" si="55"/>
        <v/>
      </c>
      <c r="AR250" s="33" t="str">
        <f t="shared" si="56"/>
        <v/>
      </c>
      <c r="AS250" s="34"/>
      <c r="AT250" s="33"/>
      <c r="AV250" s="21">
        <f>IF(AND($AL250&lt;&gt;"",COUNTIF($AL$11:$AL250,$AL250)=1),1,0)</f>
        <v>0</v>
      </c>
      <c r="AW250" s="21">
        <f t="shared" si="58"/>
        <v>0</v>
      </c>
      <c r="AX250" s="21" t="str">
        <f t="shared" si="57"/>
        <v/>
      </c>
      <c r="AY250" s="21" t="str">
        <f>IF(AND($AM250&lt;&gt;"",$AS250&lt;&gt;"✓"),SUMPRODUCT(($AM$11:$AM250&lt;&gt;"")*($AS$11:$AS250&lt;&gt;"✓")),"")</f>
        <v/>
      </c>
      <c r="AZ250" s="21" t="str">
        <f>IF(AND($AM250&lt;&gt;"",$AS250="✓"),SUMPRODUCT(($AM$11:$AM250&lt;&gt;"")*($AS$11:$AS250="✓")),"")</f>
        <v/>
      </c>
      <c r="BA250" s="21" t="str">
        <f>IF($AL250="","",$AL250&amp;"|"&amp;COUNTIF($AL$11:$AL250,$AL250))</f>
        <v/>
      </c>
    </row>
    <row r="251" spans="2:53" ht="15" customHeight="1" x14ac:dyDescent="0.25">
      <c r="B251" s="5" t="str">
        <f t="shared" si="45"/>
        <v/>
      </c>
      <c r="C251" s="5"/>
      <c r="D251" s="5"/>
      <c r="E251" s="5"/>
      <c r="F251" s="6"/>
      <c r="G251" s="6"/>
      <c r="H251" s="7"/>
      <c r="I251" s="8"/>
      <c r="K251" s="9" t="str">
        <f>IFERROR(INDEX($AL$11:$AL$4010,MATCH(241,$AX$11:$AX$4010,0)),"")</f>
        <v/>
      </c>
      <c r="L251" s="10" t="str">
        <f t="shared" si="46"/>
        <v/>
      </c>
      <c r="M251" s="11" t="str">
        <f t="shared" si="47"/>
        <v/>
      </c>
      <c r="N251" s="11" t="str">
        <f t="shared" si="48"/>
        <v/>
      </c>
      <c r="W251" s="14" t="str">
        <f>IF(X251="","",IFERROR(INDEX($AL$11:$AL$4010,MATCH(241,$AY$11:$AY$4010,0)),""))</f>
        <v/>
      </c>
      <c r="X251" s="12" t="str">
        <f>IFERROR(INDEX($AM$11:$AM$4010,MATCH(241,$AY$11:$AY$4010,0)),"")</f>
        <v/>
      </c>
      <c r="Y251" s="11" t="str">
        <f>IF(X251="","",IFERROR(INDEX($AN$11:$AN$4010,MATCH(241,$AY$11:$AY$4010,0)),""))</f>
        <v/>
      </c>
      <c r="Z251" s="11" t="str">
        <f>IF(X251="","",IFERROR(INDEX($AO$11:$AO$4010,MATCH(241,$AY$11:$AY$4010,0)),""))</f>
        <v/>
      </c>
      <c r="AA251" s="10" t="str">
        <f>IF(X251="","",IFERROR(INDEX($AQ$11:$AQ$4010,MATCH(241,$AY$11:$AY$4010,0)),""))</f>
        <v/>
      </c>
      <c r="AB251" s="15" t="str">
        <f>IF(X251="","",IFERROR(INDEX($AR$11:$AR$4010,MATCH(241,$AY$11:$AY$4010,0)),""))</f>
        <v/>
      </c>
      <c r="AD251" s="16" t="str">
        <f>IF(AE251="","",IFERROR(INDEX($AL$11:$AL$4010,MATCH(241,$AZ$11:$AZ$4010,0)),""))</f>
        <v/>
      </c>
      <c r="AE251" s="12" t="str">
        <f>IFERROR(INDEX($AM$11:$AM$4010,MATCH(241,$AZ$11:$AZ$4010,0)),"")</f>
        <v/>
      </c>
      <c r="AF251" s="11" t="str">
        <f>IF(AE251="","",IFERROR(INDEX($AN$11:$AN$4010,MATCH(241,$AZ$11:$AZ$4010,0)),""))</f>
        <v/>
      </c>
      <c r="AG251" s="11" t="str">
        <f>IF(AE251="","",IFERROR(INDEX($AO$11:$AO$4010,MATCH(241,$AZ$11:$AZ$4010,0)),""))</f>
        <v/>
      </c>
      <c r="AH251" s="10" t="str">
        <f>IF(AE251="","",IFERROR(INDEX($AQ$11:$AQ$4010,MATCH(241,$AZ$11:$AZ$4010,0)),""))</f>
        <v/>
      </c>
      <c r="AI251" s="15" t="str">
        <f>IF(AE251="","",IFERROR(INDEX($AR$11:$AR$4010,MATCH(241,$AZ$11:$AZ$4010,0)),""))</f>
        <v/>
      </c>
      <c r="AJ251" s="15" t="str">
        <f>IF(AE251="","",IFERROR(INDEX($AT$11:$AT$4010,MATCH(241,$AZ$11:$AZ$4010,0)),""))</f>
        <v/>
      </c>
      <c r="AL251" s="17" t="str">
        <f t="shared" si="50"/>
        <v/>
      </c>
      <c r="AM251" s="12" t="str">
        <f t="shared" si="51"/>
        <v/>
      </c>
      <c r="AN251" s="18" t="str">
        <f t="shared" si="52"/>
        <v/>
      </c>
      <c r="AO251" s="18" t="str">
        <f t="shared" si="53"/>
        <v/>
      </c>
      <c r="AP251" s="10" t="str">
        <f t="shared" si="54"/>
        <v/>
      </c>
      <c r="AQ251" s="10" t="str">
        <f t="shared" si="55"/>
        <v/>
      </c>
      <c r="AR251" s="19" t="str">
        <f t="shared" si="56"/>
        <v/>
      </c>
      <c r="AS251" s="20"/>
      <c r="AT251" s="19"/>
      <c r="AV251" s="21">
        <f>IF(AND($AL251&lt;&gt;"",COUNTIF($AL$11:$AL251,$AL251)=1),1,0)</f>
        <v>0</v>
      </c>
      <c r="AW251" s="21">
        <f t="shared" si="58"/>
        <v>0</v>
      </c>
      <c r="AX251" s="21" t="str">
        <f t="shared" si="57"/>
        <v/>
      </c>
      <c r="AY251" s="21" t="str">
        <f>IF(AND($AM251&lt;&gt;"",$AS251&lt;&gt;"✓"),SUMPRODUCT(($AM$11:$AM251&lt;&gt;"")*($AS$11:$AS251&lt;&gt;"✓")),"")</f>
        <v/>
      </c>
      <c r="AZ251" s="21" t="str">
        <f>IF(AND($AM251&lt;&gt;"",$AS251="✓"),SUMPRODUCT(($AM$11:$AM251&lt;&gt;"")*($AS$11:$AS251="✓")),"")</f>
        <v/>
      </c>
      <c r="BA251" s="21" t="str">
        <f>IF($AL251="","",$AL251&amp;"|"&amp;COUNTIF($AL$11:$AL251,$AL251))</f>
        <v/>
      </c>
    </row>
    <row r="252" spans="2:53" ht="15" customHeight="1" x14ac:dyDescent="0.25">
      <c r="B252" s="5" t="str">
        <f t="shared" si="45"/>
        <v/>
      </c>
      <c r="C252" s="5"/>
      <c r="D252" s="5"/>
      <c r="E252" s="5"/>
      <c r="F252" s="6"/>
      <c r="G252" s="6"/>
      <c r="H252" s="7"/>
      <c r="I252" s="8"/>
      <c r="K252" s="23" t="str">
        <f>IFERROR(INDEX($AL$11:$AL$4010,MATCH(242,$AX$11:$AX$4010,0)),"")</f>
        <v/>
      </c>
      <c r="L252" s="24" t="str">
        <f t="shared" si="46"/>
        <v/>
      </c>
      <c r="M252" s="25" t="str">
        <f t="shared" si="47"/>
        <v/>
      </c>
      <c r="N252" s="25" t="str">
        <f t="shared" si="48"/>
        <v/>
      </c>
      <c r="W252" s="28" t="str">
        <f>IF(X252="","",IFERROR(INDEX($AL$11:$AL$4010,MATCH(242,$AY$11:$AY$4010,0)),""))</f>
        <v/>
      </c>
      <c r="X252" s="26" t="str">
        <f>IFERROR(INDEX($AM$11:$AM$4010,MATCH(242,$AY$11:$AY$4010,0)),"")</f>
        <v/>
      </c>
      <c r="Y252" s="25" t="str">
        <f>IF(X252="","",IFERROR(INDEX($AN$11:$AN$4010,MATCH(242,$AY$11:$AY$4010,0)),""))</f>
        <v/>
      </c>
      <c r="Z252" s="25" t="str">
        <f>IF(X252="","",IFERROR(INDEX($AO$11:$AO$4010,MATCH(242,$AY$11:$AY$4010,0)),""))</f>
        <v/>
      </c>
      <c r="AA252" s="24" t="str">
        <f>IF(X252="","",IFERROR(INDEX($AQ$11:$AQ$4010,MATCH(242,$AY$11:$AY$4010,0)),""))</f>
        <v/>
      </c>
      <c r="AB252" s="29" t="str">
        <f>IF(X252="","",IFERROR(INDEX($AR$11:$AR$4010,MATCH(242,$AY$11:$AY$4010,0)),""))</f>
        <v/>
      </c>
      <c r="AD252" s="30" t="str">
        <f>IF(AE252="","",IFERROR(INDEX($AL$11:$AL$4010,MATCH(242,$AZ$11:$AZ$4010,0)),""))</f>
        <v/>
      </c>
      <c r="AE252" s="26" t="str">
        <f>IFERROR(INDEX($AM$11:$AM$4010,MATCH(242,$AZ$11:$AZ$4010,0)),"")</f>
        <v/>
      </c>
      <c r="AF252" s="25" t="str">
        <f>IF(AE252="","",IFERROR(INDEX($AN$11:$AN$4010,MATCH(242,$AZ$11:$AZ$4010,0)),""))</f>
        <v/>
      </c>
      <c r="AG252" s="25" t="str">
        <f>IF(AE252="","",IFERROR(INDEX($AO$11:$AO$4010,MATCH(242,$AZ$11:$AZ$4010,0)),""))</f>
        <v/>
      </c>
      <c r="AH252" s="24" t="str">
        <f>IF(AE252="","",IFERROR(INDEX($AQ$11:$AQ$4010,MATCH(242,$AZ$11:$AZ$4010,0)),""))</f>
        <v/>
      </c>
      <c r="AI252" s="29" t="str">
        <f>IF(AE252="","",IFERROR(INDEX($AR$11:$AR$4010,MATCH(242,$AZ$11:$AZ$4010,0)),""))</f>
        <v/>
      </c>
      <c r="AJ252" s="29" t="str">
        <f>IF(AE252="","",IFERROR(INDEX($AT$11:$AT$4010,MATCH(242,$AZ$11:$AZ$4010,0)),""))</f>
        <v/>
      </c>
      <c r="AL252" s="31" t="str">
        <f t="shared" si="50"/>
        <v/>
      </c>
      <c r="AM252" s="26" t="str">
        <f t="shared" si="51"/>
        <v/>
      </c>
      <c r="AN252" s="32" t="str">
        <f t="shared" si="52"/>
        <v/>
      </c>
      <c r="AO252" s="32" t="str">
        <f t="shared" si="53"/>
        <v/>
      </c>
      <c r="AP252" s="24" t="str">
        <f t="shared" si="54"/>
        <v/>
      </c>
      <c r="AQ252" s="24" t="str">
        <f t="shared" si="55"/>
        <v/>
      </c>
      <c r="AR252" s="33" t="str">
        <f t="shared" si="56"/>
        <v/>
      </c>
      <c r="AS252" s="34"/>
      <c r="AT252" s="33"/>
      <c r="AV252" s="21">
        <f>IF(AND($AL252&lt;&gt;"",COUNTIF($AL$11:$AL252,$AL252)=1),1,0)</f>
        <v>0</v>
      </c>
      <c r="AW252" s="21">
        <f t="shared" si="58"/>
        <v>0</v>
      </c>
      <c r="AX252" s="21" t="str">
        <f t="shared" si="57"/>
        <v/>
      </c>
      <c r="AY252" s="21" t="str">
        <f>IF(AND($AM252&lt;&gt;"",$AS252&lt;&gt;"✓"),SUMPRODUCT(($AM$11:$AM252&lt;&gt;"")*($AS$11:$AS252&lt;&gt;"✓")),"")</f>
        <v/>
      </c>
      <c r="AZ252" s="21" t="str">
        <f>IF(AND($AM252&lt;&gt;"",$AS252="✓"),SUMPRODUCT(($AM$11:$AM252&lt;&gt;"")*($AS$11:$AS252="✓")),"")</f>
        <v/>
      </c>
      <c r="BA252" s="21" t="str">
        <f>IF($AL252="","",$AL252&amp;"|"&amp;COUNTIF($AL$11:$AL252,$AL252))</f>
        <v/>
      </c>
    </row>
    <row r="253" spans="2:53" ht="15" customHeight="1" x14ac:dyDescent="0.25">
      <c r="B253" s="5" t="str">
        <f t="shared" si="45"/>
        <v/>
      </c>
      <c r="C253" s="5"/>
      <c r="D253" s="5"/>
      <c r="E253" s="5"/>
      <c r="F253" s="6"/>
      <c r="G253" s="6"/>
      <c r="H253" s="7"/>
      <c r="I253" s="8"/>
      <c r="K253" s="9" t="str">
        <f>IFERROR(INDEX($AL$11:$AL$4010,MATCH(243,$AX$11:$AX$4010,0)),"")</f>
        <v/>
      </c>
      <c r="L253" s="10" t="str">
        <f t="shared" si="46"/>
        <v/>
      </c>
      <c r="M253" s="11" t="str">
        <f t="shared" si="47"/>
        <v/>
      </c>
      <c r="N253" s="11" t="str">
        <f t="shared" si="48"/>
        <v/>
      </c>
      <c r="W253" s="14" t="str">
        <f>IF(X253="","",IFERROR(INDEX($AL$11:$AL$4010,MATCH(243,$AY$11:$AY$4010,0)),""))</f>
        <v/>
      </c>
      <c r="X253" s="12" t="str">
        <f>IFERROR(INDEX($AM$11:$AM$4010,MATCH(243,$AY$11:$AY$4010,0)),"")</f>
        <v/>
      </c>
      <c r="Y253" s="11" t="str">
        <f>IF(X253="","",IFERROR(INDEX($AN$11:$AN$4010,MATCH(243,$AY$11:$AY$4010,0)),""))</f>
        <v/>
      </c>
      <c r="Z253" s="11" t="str">
        <f>IF(X253="","",IFERROR(INDEX($AO$11:$AO$4010,MATCH(243,$AY$11:$AY$4010,0)),""))</f>
        <v/>
      </c>
      <c r="AA253" s="10" t="str">
        <f>IF(X253="","",IFERROR(INDEX($AQ$11:$AQ$4010,MATCH(243,$AY$11:$AY$4010,0)),""))</f>
        <v/>
      </c>
      <c r="AB253" s="15" t="str">
        <f>IF(X253="","",IFERROR(INDEX($AR$11:$AR$4010,MATCH(243,$AY$11:$AY$4010,0)),""))</f>
        <v/>
      </c>
      <c r="AD253" s="16" t="str">
        <f>IF(AE253="","",IFERROR(INDEX($AL$11:$AL$4010,MATCH(243,$AZ$11:$AZ$4010,0)),""))</f>
        <v/>
      </c>
      <c r="AE253" s="12" t="str">
        <f>IFERROR(INDEX($AM$11:$AM$4010,MATCH(243,$AZ$11:$AZ$4010,0)),"")</f>
        <v/>
      </c>
      <c r="AF253" s="11" t="str">
        <f>IF(AE253="","",IFERROR(INDEX($AN$11:$AN$4010,MATCH(243,$AZ$11:$AZ$4010,0)),""))</f>
        <v/>
      </c>
      <c r="AG253" s="11" t="str">
        <f>IF(AE253="","",IFERROR(INDEX($AO$11:$AO$4010,MATCH(243,$AZ$11:$AZ$4010,0)),""))</f>
        <v/>
      </c>
      <c r="AH253" s="10" t="str">
        <f>IF(AE253="","",IFERROR(INDEX($AQ$11:$AQ$4010,MATCH(243,$AZ$11:$AZ$4010,0)),""))</f>
        <v/>
      </c>
      <c r="AI253" s="15" t="str">
        <f>IF(AE253="","",IFERROR(INDEX($AR$11:$AR$4010,MATCH(243,$AZ$11:$AZ$4010,0)),""))</f>
        <v/>
      </c>
      <c r="AJ253" s="15" t="str">
        <f>IF(AE253="","",IFERROR(INDEX($AT$11:$AT$4010,MATCH(243,$AZ$11:$AZ$4010,0)),""))</f>
        <v/>
      </c>
      <c r="AL253" s="17" t="str">
        <f t="shared" si="50"/>
        <v/>
      </c>
      <c r="AM253" s="12" t="str">
        <f t="shared" si="51"/>
        <v/>
      </c>
      <c r="AN253" s="18" t="str">
        <f t="shared" si="52"/>
        <v/>
      </c>
      <c r="AO253" s="18" t="str">
        <f t="shared" si="53"/>
        <v/>
      </c>
      <c r="AP253" s="10" t="str">
        <f t="shared" si="54"/>
        <v/>
      </c>
      <c r="AQ253" s="10" t="str">
        <f t="shared" si="55"/>
        <v/>
      </c>
      <c r="AR253" s="19" t="str">
        <f t="shared" si="56"/>
        <v/>
      </c>
      <c r="AS253" s="20"/>
      <c r="AT253" s="19"/>
      <c r="AV253" s="21">
        <f>IF(AND($AL253&lt;&gt;"",COUNTIF($AL$11:$AL253,$AL253)=1),1,0)</f>
        <v>0</v>
      </c>
      <c r="AW253" s="21">
        <f t="shared" si="58"/>
        <v>0</v>
      </c>
      <c r="AX253" s="21" t="str">
        <f t="shared" si="57"/>
        <v/>
      </c>
      <c r="AY253" s="21" t="str">
        <f>IF(AND($AM253&lt;&gt;"",$AS253&lt;&gt;"✓"),SUMPRODUCT(($AM$11:$AM253&lt;&gt;"")*($AS$11:$AS253&lt;&gt;"✓")),"")</f>
        <v/>
      </c>
      <c r="AZ253" s="21" t="str">
        <f>IF(AND($AM253&lt;&gt;"",$AS253="✓"),SUMPRODUCT(($AM$11:$AM253&lt;&gt;"")*($AS$11:$AS253="✓")),"")</f>
        <v/>
      </c>
      <c r="BA253" s="21" t="str">
        <f>IF($AL253="","",$AL253&amp;"|"&amp;COUNTIF($AL$11:$AL253,$AL253))</f>
        <v/>
      </c>
    </row>
    <row r="254" spans="2:53" ht="15" customHeight="1" x14ac:dyDescent="0.25">
      <c r="B254" s="5" t="str">
        <f t="shared" si="45"/>
        <v/>
      </c>
      <c r="C254" s="5"/>
      <c r="D254" s="5"/>
      <c r="E254" s="5"/>
      <c r="F254" s="6"/>
      <c r="G254" s="6"/>
      <c r="H254" s="7"/>
      <c r="I254" s="8"/>
      <c r="K254" s="23" t="str">
        <f>IFERROR(INDEX($AL$11:$AL$4010,MATCH(244,$AX$11:$AX$4010,0)),"")</f>
        <v/>
      </c>
      <c r="L254" s="24" t="str">
        <f t="shared" si="46"/>
        <v/>
      </c>
      <c r="M254" s="25" t="str">
        <f t="shared" si="47"/>
        <v/>
      </c>
      <c r="N254" s="25" t="str">
        <f t="shared" si="48"/>
        <v/>
      </c>
      <c r="W254" s="28" t="str">
        <f>IF(X254="","",IFERROR(INDEX($AL$11:$AL$4010,MATCH(244,$AY$11:$AY$4010,0)),""))</f>
        <v/>
      </c>
      <c r="X254" s="26" t="str">
        <f>IFERROR(INDEX($AM$11:$AM$4010,MATCH(244,$AY$11:$AY$4010,0)),"")</f>
        <v/>
      </c>
      <c r="Y254" s="25" t="str">
        <f>IF(X254="","",IFERROR(INDEX($AN$11:$AN$4010,MATCH(244,$AY$11:$AY$4010,0)),""))</f>
        <v/>
      </c>
      <c r="Z254" s="25" t="str">
        <f>IF(X254="","",IFERROR(INDEX($AO$11:$AO$4010,MATCH(244,$AY$11:$AY$4010,0)),""))</f>
        <v/>
      </c>
      <c r="AA254" s="24" t="str">
        <f>IF(X254="","",IFERROR(INDEX($AQ$11:$AQ$4010,MATCH(244,$AY$11:$AY$4010,0)),""))</f>
        <v/>
      </c>
      <c r="AB254" s="29" t="str">
        <f>IF(X254="","",IFERROR(INDEX($AR$11:$AR$4010,MATCH(244,$AY$11:$AY$4010,0)),""))</f>
        <v/>
      </c>
      <c r="AD254" s="30" t="str">
        <f>IF(AE254="","",IFERROR(INDEX($AL$11:$AL$4010,MATCH(244,$AZ$11:$AZ$4010,0)),""))</f>
        <v/>
      </c>
      <c r="AE254" s="26" t="str">
        <f>IFERROR(INDEX($AM$11:$AM$4010,MATCH(244,$AZ$11:$AZ$4010,0)),"")</f>
        <v/>
      </c>
      <c r="AF254" s="25" t="str">
        <f>IF(AE254="","",IFERROR(INDEX($AN$11:$AN$4010,MATCH(244,$AZ$11:$AZ$4010,0)),""))</f>
        <v/>
      </c>
      <c r="AG254" s="25" t="str">
        <f>IF(AE254="","",IFERROR(INDEX($AO$11:$AO$4010,MATCH(244,$AZ$11:$AZ$4010,0)),""))</f>
        <v/>
      </c>
      <c r="AH254" s="24" t="str">
        <f>IF(AE254="","",IFERROR(INDEX($AQ$11:$AQ$4010,MATCH(244,$AZ$11:$AZ$4010,0)),""))</f>
        <v/>
      </c>
      <c r="AI254" s="29" t="str">
        <f>IF(AE254="","",IFERROR(INDEX($AR$11:$AR$4010,MATCH(244,$AZ$11:$AZ$4010,0)),""))</f>
        <v/>
      </c>
      <c r="AJ254" s="29" t="str">
        <f>IF(AE254="","",IFERROR(INDEX($AT$11:$AT$4010,MATCH(244,$AZ$11:$AZ$4010,0)),""))</f>
        <v/>
      </c>
      <c r="AL254" s="31" t="str">
        <f t="shared" si="50"/>
        <v/>
      </c>
      <c r="AM254" s="26" t="str">
        <f t="shared" si="51"/>
        <v/>
      </c>
      <c r="AN254" s="32" t="str">
        <f t="shared" si="52"/>
        <v/>
      </c>
      <c r="AO254" s="32" t="str">
        <f t="shared" si="53"/>
        <v/>
      </c>
      <c r="AP254" s="24" t="str">
        <f t="shared" si="54"/>
        <v/>
      </c>
      <c r="AQ254" s="24" t="str">
        <f t="shared" si="55"/>
        <v/>
      </c>
      <c r="AR254" s="33" t="str">
        <f t="shared" si="56"/>
        <v/>
      </c>
      <c r="AS254" s="34"/>
      <c r="AT254" s="33"/>
      <c r="AV254" s="21">
        <f>IF(AND($AL254&lt;&gt;"",COUNTIF($AL$11:$AL254,$AL254)=1),1,0)</f>
        <v>0</v>
      </c>
      <c r="AW254" s="21">
        <f t="shared" si="58"/>
        <v>0</v>
      </c>
      <c r="AX254" s="21" t="str">
        <f t="shared" si="57"/>
        <v/>
      </c>
      <c r="AY254" s="21" t="str">
        <f>IF(AND($AM254&lt;&gt;"",$AS254&lt;&gt;"✓"),SUMPRODUCT(($AM$11:$AM254&lt;&gt;"")*($AS$11:$AS254&lt;&gt;"✓")),"")</f>
        <v/>
      </c>
      <c r="AZ254" s="21" t="str">
        <f>IF(AND($AM254&lt;&gt;"",$AS254="✓"),SUMPRODUCT(($AM$11:$AM254&lt;&gt;"")*($AS$11:$AS254="✓")),"")</f>
        <v/>
      </c>
      <c r="BA254" s="21" t="str">
        <f>IF($AL254="","",$AL254&amp;"|"&amp;COUNTIF($AL$11:$AL254,$AL254))</f>
        <v/>
      </c>
    </row>
    <row r="255" spans="2:53" ht="15" customHeight="1" x14ac:dyDescent="0.25">
      <c r="B255" s="5" t="str">
        <f t="shared" si="45"/>
        <v/>
      </c>
      <c r="C255" s="5"/>
      <c r="D255" s="5"/>
      <c r="E255" s="5"/>
      <c r="F255" s="6"/>
      <c r="G255" s="6"/>
      <c r="H255" s="7"/>
      <c r="I255" s="8"/>
      <c r="K255" s="9" t="str">
        <f>IFERROR(INDEX($AL$11:$AL$4010,MATCH(245,$AX$11:$AX$4010,0)),"")</f>
        <v/>
      </c>
      <c r="L255" s="10" t="str">
        <f t="shared" si="46"/>
        <v/>
      </c>
      <c r="M255" s="11" t="str">
        <f t="shared" si="47"/>
        <v/>
      </c>
      <c r="N255" s="11" t="str">
        <f t="shared" si="48"/>
        <v/>
      </c>
      <c r="W255" s="14" t="str">
        <f>IF(X255="","",IFERROR(INDEX($AL$11:$AL$4010,MATCH(245,$AY$11:$AY$4010,0)),""))</f>
        <v/>
      </c>
      <c r="X255" s="12" t="str">
        <f>IFERROR(INDEX($AM$11:$AM$4010,MATCH(245,$AY$11:$AY$4010,0)),"")</f>
        <v/>
      </c>
      <c r="Y255" s="11" t="str">
        <f>IF(X255="","",IFERROR(INDEX($AN$11:$AN$4010,MATCH(245,$AY$11:$AY$4010,0)),""))</f>
        <v/>
      </c>
      <c r="Z255" s="11" t="str">
        <f>IF(X255="","",IFERROR(INDEX($AO$11:$AO$4010,MATCH(245,$AY$11:$AY$4010,0)),""))</f>
        <v/>
      </c>
      <c r="AA255" s="10" t="str">
        <f>IF(X255="","",IFERROR(INDEX($AQ$11:$AQ$4010,MATCH(245,$AY$11:$AY$4010,0)),""))</f>
        <v/>
      </c>
      <c r="AB255" s="15" t="str">
        <f>IF(X255="","",IFERROR(INDEX($AR$11:$AR$4010,MATCH(245,$AY$11:$AY$4010,0)),""))</f>
        <v/>
      </c>
      <c r="AD255" s="16" t="str">
        <f>IF(AE255="","",IFERROR(INDEX($AL$11:$AL$4010,MATCH(245,$AZ$11:$AZ$4010,0)),""))</f>
        <v/>
      </c>
      <c r="AE255" s="12" t="str">
        <f>IFERROR(INDEX($AM$11:$AM$4010,MATCH(245,$AZ$11:$AZ$4010,0)),"")</f>
        <v/>
      </c>
      <c r="AF255" s="11" t="str">
        <f>IF(AE255="","",IFERROR(INDEX($AN$11:$AN$4010,MATCH(245,$AZ$11:$AZ$4010,0)),""))</f>
        <v/>
      </c>
      <c r="AG255" s="11" t="str">
        <f>IF(AE255="","",IFERROR(INDEX($AO$11:$AO$4010,MATCH(245,$AZ$11:$AZ$4010,0)),""))</f>
        <v/>
      </c>
      <c r="AH255" s="10" t="str">
        <f>IF(AE255="","",IFERROR(INDEX($AQ$11:$AQ$4010,MATCH(245,$AZ$11:$AZ$4010,0)),""))</f>
        <v/>
      </c>
      <c r="AI255" s="15" t="str">
        <f>IF(AE255="","",IFERROR(INDEX($AR$11:$AR$4010,MATCH(245,$AZ$11:$AZ$4010,0)),""))</f>
        <v/>
      </c>
      <c r="AJ255" s="15" t="str">
        <f>IF(AE255="","",IFERROR(INDEX($AT$11:$AT$4010,MATCH(245,$AZ$11:$AZ$4010,0)),""))</f>
        <v/>
      </c>
      <c r="AL255" s="17" t="str">
        <f t="shared" si="50"/>
        <v/>
      </c>
      <c r="AM255" s="12" t="str">
        <f t="shared" si="51"/>
        <v/>
      </c>
      <c r="AN255" s="18" t="str">
        <f t="shared" si="52"/>
        <v/>
      </c>
      <c r="AO255" s="18" t="str">
        <f t="shared" si="53"/>
        <v/>
      </c>
      <c r="AP255" s="10" t="str">
        <f t="shared" si="54"/>
        <v/>
      </c>
      <c r="AQ255" s="10" t="str">
        <f t="shared" si="55"/>
        <v/>
      </c>
      <c r="AR255" s="19" t="str">
        <f t="shared" si="56"/>
        <v/>
      </c>
      <c r="AS255" s="20"/>
      <c r="AT255" s="19"/>
      <c r="AV255" s="21">
        <f>IF(AND($AL255&lt;&gt;"",COUNTIF($AL$11:$AL255,$AL255)=1),1,0)</f>
        <v>0</v>
      </c>
      <c r="AW255" s="21">
        <f t="shared" si="58"/>
        <v>0</v>
      </c>
      <c r="AX255" s="21" t="str">
        <f t="shared" si="57"/>
        <v/>
      </c>
      <c r="AY255" s="21" t="str">
        <f>IF(AND($AM255&lt;&gt;"",$AS255&lt;&gt;"✓"),SUMPRODUCT(($AM$11:$AM255&lt;&gt;"")*($AS$11:$AS255&lt;&gt;"✓")),"")</f>
        <v/>
      </c>
      <c r="AZ255" s="21" t="str">
        <f>IF(AND($AM255&lt;&gt;"",$AS255="✓"),SUMPRODUCT(($AM$11:$AM255&lt;&gt;"")*($AS$11:$AS255="✓")),"")</f>
        <v/>
      </c>
      <c r="BA255" s="21" t="str">
        <f>IF($AL255="","",$AL255&amp;"|"&amp;COUNTIF($AL$11:$AL255,$AL255))</f>
        <v/>
      </c>
    </row>
    <row r="256" spans="2:53" ht="15" customHeight="1" x14ac:dyDescent="0.25">
      <c r="B256" s="5" t="str">
        <f t="shared" si="45"/>
        <v/>
      </c>
      <c r="C256" s="5"/>
      <c r="D256" s="5"/>
      <c r="E256" s="5"/>
      <c r="F256" s="6"/>
      <c r="G256" s="6"/>
      <c r="H256" s="7"/>
      <c r="I256" s="8"/>
      <c r="K256" s="23" t="str">
        <f>IFERROR(INDEX($AL$11:$AL$4010,MATCH(246,$AX$11:$AX$4010,0)),"")</f>
        <v/>
      </c>
      <c r="L256" s="24" t="str">
        <f t="shared" si="46"/>
        <v/>
      </c>
      <c r="M256" s="25" t="str">
        <f t="shared" si="47"/>
        <v/>
      </c>
      <c r="N256" s="25" t="str">
        <f t="shared" si="48"/>
        <v/>
      </c>
      <c r="W256" s="28" t="str">
        <f>IF(X256="","",IFERROR(INDEX($AL$11:$AL$4010,MATCH(246,$AY$11:$AY$4010,0)),""))</f>
        <v/>
      </c>
      <c r="X256" s="26" t="str">
        <f>IFERROR(INDEX($AM$11:$AM$4010,MATCH(246,$AY$11:$AY$4010,0)),"")</f>
        <v/>
      </c>
      <c r="Y256" s="25" t="str">
        <f>IF(X256="","",IFERROR(INDEX($AN$11:$AN$4010,MATCH(246,$AY$11:$AY$4010,0)),""))</f>
        <v/>
      </c>
      <c r="Z256" s="25" t="str">
        <f>IF(X256="","",IFERROR(INDEX($AO$11:$AO$4010,MATCH(246,$AY$11:$AY$4010,0)),""))</f>
        <v/>
      </c>
      <c r="AA256" s="24" t="str">
        <f>IF(X256="","",IFERROR(INDEX($AQ$11:$AQ$4010,MATCH(246,$AY$11:$AY$4010,0)),""))</f>
        <v/>
      </c>
      <c r="AB256" s="29" t="str">
        <f>IF(X256="","",IFERROR(INDEX($AR$11:$AR$4010,MATCH(246,$AY$11:$AY$4010,0)),""))</f>
        <v/>
      </c>
      <c r="AD256" s="30" t="str">
        <f>IF(AE256="","",IFERROR(INDEX($AL$11:$AL$4010,MATCH(246,$AZ$11:$AZ$4010,0)),""))</f>
        <v/>
      </c>
      <c r="AE256" s="26" t="str">
        <f>IFERROR(INDEX($AM$11:$AM$4010,MATCH(246,$AZ$11:$AZ$4010,0)),"")</f>
        <v/>
      </c>
      <c r="AF256" s="25" t="str">
        <f>IF(AE256="","",IFERROR(INDEX($AN$11:$AN$4010,MATCH(246,$AZ$11:$AZ$4010,0)),""))</f>
        <v/>
      </c>
      <c r="AG256" s="25" t="str">
        <f>IF(AE256="","",IFERROR(INDEX($AO$11:$AO$4010,MATCH(246,$AZ$11:$AZ$4010,0)),""))</f>
        <v/>
      </c>
      <c r="AH256" s="24" t="str">
        <f>IF(AE256="","",IFERROR(INDEX($AQ$11:$AQ$4010,MATCH(246,$AZ$11:$AZ$4010,0)),""))</f>
        <v/>
      </c>
      <c r="AI256" s="29" t="str">
        <f>IF(AE256="","",IFERROR(INDEX($AR$11:$AR$4010,MATCH(246,$AZ$11:$AZ$4010,0)),""))</f>
        <v/>
      </c>
      <c r="AJ256" s="29" t="str">
        <f>IF(AE256="","",IFERROR(INDEX($AT$11:$AT$4010,MATCH(246,$AZ$11:$AZ$4010,0)),""))</f>
        <v/>
      </c>
      <c r="AL256" s="31" t="str">
        <f t="shared" si="50"/>
        <v/>
      </c>
      <c r="AM256" s="26" t="str">
        <f t="shared" si="51"/>
        <v/>
      </c>
      <c r="AN256" s="32" t="str">
        <f t="shared" si="52"/>
        <v/>
      </c>
      <c r="AO256" s="32" t="str">
        <f t="shared" si="53"/>
        <v/>
      </c>
      <c r="AP256" s="24" t="str">
        <f t="shared" si="54"/>
        <v/>
      </c>
      <c r="AQ256" s="24" t="str">
        <f t="shared" si="55"/>
        <v/>
      </c>
      <c r="AR256" s="33" t="str">
        <f t="shared" si="56"/>
        <v/>
      </c>
      <c r="AS256" s="34"/>
      <c r="AT256" s="33"/>
      <c r="AV256" s="21">
        <f>IF(AND($AL256&lt;&gt;"",COUNTIF($AL$11:$AL256,$AL256)=1),1,0)</f>
        <v>0</v>
      </c>
      <c r="AW256" s="21">
        <f t="shared" si="58"/>
        <v>0</v>
      </c>
      <c r="AX256" s="21" t="str">
        <f t="shared" si="57"/>
        <v/>
      </c>
      <c r="AY256" s="21" t="str">
        <f>IF(AND($AM256&lt;&gt;"",$AS256&lt;&gt;"✓"),SUMPRODUCT(($AM$11:$AM256&lt;&gt;"")*($AS$11:$AS256&lt;&gt;"✓")),"")</f>
        <v/>
      </c>
      <c r="AZ256" s="21" t="str">
        <f>IF(AND($AM256&lt;&gt;"",$AS256="✓"),SUMPRODUCT(($AM$11:$AM256&lt;&gt;"")*($AS$11:$AS256="✓")),"")</f>
        <v/>
      </c>
      <c r="BA256" s="21" t="str">
        <f>IF($AL256="","",$AL256&amp;"|"&amp;COUNTIF($AL$11:$AL256,$AL256))</f>
        <v/>
      </c>
    </row>
    <row r="257" spans="2:53" ht="15" customHeight="1" x14ac:dyDescent="0.25">
      <c r="B257" s="5" t="str">
        <f t="shared" si="45"/>
        <v/>
      </c>
      <c r="C257" s="5"/>
      <c r="D257" s="5"/>
      <c r="E257" s="5"/>
      <c r="F257" s="6"/>
      <c r="G257" s="6"/>
      <c r="H257" s="7"/>
      <c r="I257" s="8"/>
      <c r="K257" s="9" t="str">
        <f>IFERROR(INDEX($AL$11:$AL$4010,MATCH(247,$AX$11:$AX$4010,0)),"")</f>
        <v/>
      </c>
      <c r="L257" s="10" t="str">
        <f t="shared" si="46"/>
        <v/>
      </c>
      <c r="M257" s="11" t="str">
        <f t="shared" si="47"/>
        <v/>
      </c>
      <c r="N257" s="11" t="str">
        <f t="shared" si="48"/>
        <v/>
      </c>
      <c r="W257" s="14" t="str">
        <f>IF(X257="","",IFERROR(INDEX($AL$11:$AL$4010,MATCH(247,$AY$11:$AY$4010,0)),""))</f>
        <v/>
      </c>
      <c r="X257" s="12" t="str">
        <f>IFERROR(INDEX($AM$11:$AM$4010,MATCH(247,$AY$11:$AY$4010,0)),"")</f>
        <v/>
      </c>
      <c r="Y257" s="11" t="str">
        <f>IF(X257="","",IFERROR(INDEX($AN$11:$AN$4010,MATCH(247,$AY$11:$AY$4010,0)),""))</f>
        <v/>
      </c>
      <c r="Z257" s="11" t="str">
        <f>IF(X257="","",IFERROR(INDEX($AO$11:$AO$4010,MATCH(247,$AY$11:$AY$4010,0)),""))</f>
        <v/>
      </c>
      <c r="AA257" s="10" t="str">
        <f>IF(X257="","",IFERROR(INDEX($AQ$11:$AQ$4010,MATCH(247,$AY$11:$AY$4010,0)),""))</f>
        <v/>
      </c>
      <c r="AB257" s="15" t="str">
        <f>IF(X257="","",IFERROR(INDEX($AR$11:$AR$4010,MATCH(247,$AY$11:$AY$4010,0)),""))</f>
        <v/>
      </c>
      <c r="AD257" s="16" t="str">
        <f>IF(AE257="","",IFERROR(INDEX($AL$11:$AL$4010,MATCH(247,$AZ$11:$AZ$4010,0)),""))</f>
        <v/>
      </c>
      <c r="AE257" s="12" t="str">
        <f>IFERROR(INDEX($AM$11:$AM$4010,MATCH(247,$AZ$11:$AZ$4010,0)),"")</f>
        <v/>
      </c>
      <c r="AF257" s="11" t="str">
        <f>IF(AE257="","",IFERROR(INDEX($AN$11:$AN$4010,MATCH(247,$AZ$11:$AZ$4010,0)),""))</f>
        <v/>
      </c>
      <c r="AG257" s="11" t="str">
        <f>IF(AE257="","",IFERROR(INDEX($AO$11:$AO$4010,MATCH(247,$AZ$11:$AZ$4010,0)),""))</f>
        <v/>
      </c>
      <c r="AH257" s="10" t="str">
        <f>IF(AE257="","",IFERROR(INDEX($AQ$11:$AQ$4010,MATCH(247,$AZ$11:$AZ$4010,0)),""))</f>
        <v/>
      </c>
      <c r="AI257" s="15" t="str">
        <f>IF(AE257="","",IFERROR(INDEX($AR$11:$AR$4010,MATCH(247,$AZ$11:$AZ$4010,0)),""))</f>
        <v/>
      </c>
      <c r="AJ257" s="15" t="str">
        <f>IF(AE257="","",IFERROR(INDEX($AT$11:$AT$4010,MATCH(247,$AZ$11:$AZ$4010,0)),""))</f>
        <v/>
      </c>
      <c r="AL257" s="17" t="str">
        <f t="shared" si="50"/>
        <v/>
      </c>
      <c r="AM257" s="12" t="str">
        <f t="shared" si="51"/>
        <v/>
      </c>
      <c r="AN257" s="18" t="str">
        <f t="shared" si="52"/>
        <v/>
      </c>
      <c r="AO257" s="18" t="str">
        <f t="shared" si="53"/>
        <v/>
      </c>
      <c r="AP257" s="10" t="str">
        <f t="shared" si="54"/>
        <v/>
      </c>
      <c r="AQ257" s="10" t="str">
        <f t="shared" si="55"/>
        <v/>
      </c>
      <c r="AR257" s="19" t="str">
        <f t="shared" si="56"/>
        <v/>
      </c>
      <c r="AS257" s="20"/>
      <c r="AT257" s="19"/>
      <c r="AV257" s="21">
        <f>IF(AND($AL257&lt;&gt;"",COUNTIF($AL$11:$AL257,$AL257)=1),1,0)</f>
        <v>0</v>
      </c>
      <c r="AW257" s="21">
        <f t="shared" si="58"/>
        <v>0</v>
      </c>
      <c r="AX257" s="21" t="str">
        <f t="shared" si="57"/>
        <v/>
      </c>
      <c r="AY257" s="21" t="str">
        <f>IF(AND($AM257&lt;&gt;"",$AS257&lt;&gt;"✓"),SUMPRODUCT(($AM$11:$AM257&lt;&gt;"")*($AS$11:$AS257&lt;&gt;"✓")),"")</f>
        <v/>
      </c>
      <c r="AZ257" s="21" t="str">
        <f>IF(AND($AM257&lt;&gt;"",$AS257="✓"),SUMPRODUCT(($AM$11:$AM257&lt;&gt;"")*($AS$11:$AS257="✓")),"")</f>
        <v/>
      </c>
      <c r="BA257" s="21" t="str">
        <f>IF($AL257="","",$AL257&amp;"|"&amp;COUNTIF($AL$11:$AL257,$AL257))</f>
        <v/>
      </c>
    </row>
    <row r="258" spans="2:53" ht="15" customHeight="1" x14ac:dyDescent="0.25">
      <c r="B258" s="5" t="str">
        <f t="shared" si="45"/>
        <v/>
      </c>
      <c r="C258" s="5"/>
      <c r="D258" s="5"/>
      <c r="E258" s="5"/>
      <c r="F258" s="6"/>
      <c r="G258" s="6"/>
      <c r="H258" s="7"/>
      <c r="I258" s="8"/>
      <c r="K258" s="23" t="str">
        <f>IFERROR(INDEX($AL$11:$AL$4010,MATCH(248,$AX$11:$AX$4010,0)),"")</f>
        <v/>
      </c>
      <c r="L258" s="24" t="str">
        <f t="shared" si="46"/>
        <v/>
      </c>
      <c r="M258" s="25" t="str">
        <f t="shared" si="47"/>
        <v/>
      </c>
      <c r="N258" s="25" t="str">
        <f t="shared" si="48"/>
        <v/>
      </c>
      <c r="W258" s="28" t="str">
        <f>IF(X258="","",IFERROR(INDEX($AL$11:$AL$4010,MATCH(248,$AY$11:$AY$4010,0)),""))</f>
        <v/>
      </c>
      <c r="X258" s="26" t="str">
        <f>IFERROR(INDEX($AM$11:$AM$4010,MATCH(248,$AY$11:$AY$4010,0)),"")</f>
        <v/>
      </c>
      <c r="Y258" s="25" t="str">
        <f>IF(X258="","",IFERROR(INDEX($AN$11:$AN$4010,MATCH(248,$AY$11:$AY$4010,0)),""))</f>
        <v/>
      </c>
      <c r="Z258" s="25" t="str">
        <f>IF(X258="","",IFERROR(INDEX($AO$11:$AO$4010,MATCH(248,$AY$11:$AY$4010,0)),""))</f>
        <v/>
      </c>
      <c r="AA258" s="24" t="str">
        <f>IF(X258="","",IFERROR(INDEX($AQ$11:$AQ$4010,MATCH(248,$AY$11:$AY$4010,0)),""))</f>
        <v/>
      </c>
      <c r="AB258" s="29" t="str">
        <f>IF(X258="","",IFERROR(INDEX($AR$11:$AR$4010,MATCH(248,$AY$11:$AY$4010,0)),""))</f>
        <v/>
      </c>
      <c r="AD258" s="30" t="str">
        <f>IF(AE258="","",IFERROR(INDEX($AL$11:$AL$4010,MATCH(248,$AZ$11:$AZ$4010,0)),""))</f>
        <v/>
      </c>
      <c r="AE258" s="26" t="str">
        <f>IFERROR(INDEX($AM$11:$AM$4010,MATCH(248,$AZ$11:$AZ$4010,0)),"")</f>
        <v/>
      </c>
      <c r="AF258" s="25" t="str">
        <f>IF(AE258="","",IFERROR(INDEX($AN$11:$AN$4010,MATCH(248,$AZ$11:$AZ$4010,0)),""))</f>
        <v/>
      </c>
      <c r="AG258" s="25" t="str">
        <f>IF(AE258="","",IFERROR(INDEX($AO$11:$AO$4010,MATCH(248,$AZ$11:$AZ$4010,0)),""))</f>
        <v/>
      </c>
      <c r="AH258" s="24" t="str">
        <f>IF(AE258="","",IFERROR(INDEX($AQ$11:$AQ$4010,MATCH(248,$AZ$11:$AZ$4010,0)),""))</f>
        <v/>
      </c>
      <c r="AI258" s="29" t="str">
        <f>IF(AE258="","",IFERROR(INDEX($AR$11:$AR$4010,MATCH(248,$AZ$11:$AZ$4010,0)),""))</f>
        <v/>
      </c>
      <c r="AJ258" s="29" t="str">
        <f>IF(AE258="","",IFERROR(INDEX($AT$11:$AT$4010,MATCH(248,$AZ$11:$AZ$4010,0)),""))</f>
        <v/>
      </c>
      <c r="AL258" s="31" t="str">
        <f t="shared" si="50"/>
        <v/>
      </c>
      <c r="AM258" s="26" t="str">
        <f t="shared" si="51"/>
        <v/>
      </c>
      <c r="AN258" s="32" t="str">
        <f t="shared" si="52"/>
        <v/>
      </c>
      <c r="AO258" s="32" t="str">
        <f t="shared" si="53"/>
        <v/>
      </c>
      <c r="AP258" s="24" t="str">
        <f t="shared" si="54"/>
        <v/>
      </c>
      <c r="AQ258" s="24" t="str">
        <f t="shared" si="55"/>
        <v/>
      </c>
      <c r="AR258" s="33" t="str">
        <f t="shared" si="56"/>
        <v/>
      </c>
      <c r="AS258" s="34"/>
      <c r="AT258" s="33"/>
      <c r="AV258" s="21">
        <f>IF(AND($AL258&lt;&gt;"",COUNTIF($AL$11:$AL258,$AL258)=1),1,0)</f>
        <v>0</v>
      </c>
      <c r="AW258" s="21">
        <f t="shared" si="58"/>
        <v>0</v>
      </c>
      <c r="AX258" s="21" t="str">
        <f t="shared" si="57"/>
        <v/>
      </c>
      <c r="AY258" s="21" t="str">
        <f>IF(AND($AM258&lt;&gt;"",$AS258&lt;&gt;"✓"),SUMPRODUCT(($AM$11:$AM258&lt;&gt;"")*($AS$11:$AS258&lt;&gt;"✓")),"")</f>
        <v/>
      </c>
      <c r="AZ258" s="21" t="str">
        <f>IF(AND($AM258&lt;&gt;"",$AS258="✓"),SUMPRODUCT(($AM$11:$AM258&lt;&gt;"")*($AS$11:$AS258="✓")),"")</f>
        <v/>
      </c>
      <c r="BA258" s="21" t="str">
        <f>IF($AL258="","",$AL258&amp;"|"&amp;COUNTIF($AL$11:$AL258,$AL258))</f>
        <v/>
      </c>
    </row>
    <row r="259" spans="2:53" ht="15" customHeight="1" x14ac:dyDescent="0.25">
      <c r="B259" s="5" t="str">
        <f t="shared" si="45"/>
        <v/>
      </c>
      <c r="C259" s="5"/>
      <c r="D259" s="5"/>
      <c r="E259" s="5"/>
      <c r="F259" s="6"/>
      <c r="G259" s="6"/>
      <c r="H259" s="7"/>
      <c r="I259" s="8"/>
      <c r="K259" s="9" t="str">
        <f>IFERROR(INDEX($AL$11:$AL$4010,MATCH(249,$AX$11:$AX$4010,0)),"")</f>
        <v/>
      </c>
      <c r="L259" s="10" t="str">
        <f t="shared" si="46"/>
        <v/>
      </c>
      <c r="M259" s="11" t="str">
        <f t="shared" si="47"/>
        <v/>
      </c>
      <c r="N259" s="11" t="str">
        <f t="shared" si="48"/>
        <v/>
      </c>
      <c r="W259" s="14" t="str">
        <f>IF(X259="","",IFERROR(INDEX($AL$11:$AL$4010,MATCH(249,$AY$11:$AY$4010,0)),""))</f>
        <v/>
      </c>
      <c r="X259" s="12" t="str">
        <f>IFERROR(INDEX($AM$11:$AM$4010,MATCH(249,$AY$11:$AY$4010,0)),"")</f>
        <v/>
      </c>
      <c r="Y259" s="11" t="str">
        <f>IF(X259="","",IFERROR(INDEX($AN$11:$AN$4010,MATCH(249,$AY$11:$AY$4010,0)),""))</f>
        <v/>
      </c>
      <c r="Z259" s="11" t="str">
        <f>IF(X259="","",IFERROR(INDEX($AO$11:$AO$4010,MATCH(249,$AY$11:$AY$4010,0)),""))</f>
        <v/>
      </c>
      <c r="AA259" s="10" t="str">
        <f>IF(X259="","",IFERROR(INDEX($AQ$11:$AQ$4010,MATCH(249,$AY$11:$AY$4010,0)),""))</f>
        <v/>
      </c>
      <c r="AB259" s="15" t="str">
        <f>IF(X259="","",IFERROR(INDEX($AR$11:$AR$4010,MATCH(249,$AY$11:$AY$4010,0)),""))</f>
        <v/>
      </c>
      <c r="AD259" s="16" t="str">
        <f>IF(AE259="","",IFERROR(INDEX($AL$11:$AL$4010,MATCH(249,$AZ$11:$AZ$4010,0)),""))</f>
        <v/>
      </c>
      <c r="AE259" s="12" t="str">
        <f>IFERROR(INDEX($AM$11:$AM$4010,MATCH(249,$AZ$11:$AZ$4010,0)),"")</f>
        <v/>
      </c>
      <c r="AF259" s="11" t="str">
        <f>IF(AE259="","",IFERROR(INDEX($AN$11:$AN$4010,MATCH(249,$AZ$11:$AZ$4010,0)),""))</f>
        <v/>
      </c>
      <c r="AG259" s="11" t="str">
        <f>IF(AE259="","",IFERROR(INDEX($AO$11:$AO$4010,MATCH(249,$AZ$11:$AZ$4010,0)),""))</f>
        <v/>
      </c>
      <c r="AH259" s="10" t="str">
        <f>IF(AE259="","",IFERROR(INDEX($AQ$11:$AQ$4010,MATCH(249,$AZ$11:$AZ$4010,0)),""))</f>
        <v/>
      </c>
      <c r="AI259" s="15" t="str">
        <f>IF(AE259="","",IFERROR(INDEX($AR$11:$AR$4010,MATCH(249,$AZ$11:$AZ$4010,0)),""))</f>
        <v/>
      </c>
      <c r="AJ259" s="15" t="str">
        <f>IF(AE259="","",IFERROR(INDEX($AT$11:$AT$4010,MATCH(249,$AZ$11:$AZ$4010,0)),""))</f>
        <v/>
      </c>
      <c r="AL259" s="17" t="str">
        <f t="shared" si="50"/>
        <v/>
      </c>
      <c r="AM259" s="12" t="str">
        <f t="shared" si="51"/>
        <v/>
      </c>
      <c r="AN259" s="18" t="str">
        <f t="shared" si="52"/>
        <v/>
      </c>
      <c r="AO259" s="18" t="str">
        <f t="shared" si="53"/>
        <v/>
      </c>
      <c r="AP259" s="10" t="str">
        <f t="shared" si="54"/>
        <v/>
      </c>
      <c r="AQ259" s="10" t="str">
        <f t="shared" si="55"/>
        <v/>
      </c>
      <c r="AR259" s="19" t="str">
        <f t="shared" si="56"/>
        <v/>
      </c>
      <c r="AS259" s="20"/>
      <c r="AT259" s="19"/>
      <c r="AV259" s="21">
        <f>IF(AND($AL259&lt;&gt;"",COUNTIF($AL$11:$AL259,$AL259)=1),1,0)</f>
        <v>0</v>
      </c>
      <c r="AW259" s="21">
        <f t="shared" si="58"/>
        <v>0</v>
      </c>
      <c r="AX259" s="21" t="str">
        <f t="shared" si="57"/>
        <v/>
      </c>
      <c r="AY259" s="21" t="str">
        <f>IF(AND($AM259&lt;&gt;"",$AS259&lt;&gt;"✓"),SUMPRODUCT(($AM$11:$AM259&lt;&gt;"")*($AS$11:$AS259&lt;&gt;"✓")),"")</f>
        <v/>
      </c>
      <c r="AZ259" s="21" t="str">
        <f>IF(AND($AM259&lt;&gt;"",$AS259="✓"),SUMPRODUCT(($AM$11:$AM259&lt;&gt;"")*($AS$11:$AS259="✓")),"")</f>
        <v/>
      </c>
      <c r="BA259" s="21" t="str">
        <f>IF($AL259="","",$AL259&amp;"|"&amp;COUNTIF($AL$11:$AL259,$AL259))</f>
        <v/>
      </c>
    </row>
    <row r="260" spans="2:53" ht="15" customHeight="1" x14ac:dyDescent="0.25">
      <c r="B260" s="5" t="str">
        <f t="shared" si="45"/>
        <v/>
      </c>
      <c r="C260" s="5"/>
      <c r="D260" s="5"/>
      <c r="E260" s="5"/>
      <c r="F260" s="6"/>
      <c r="G260" s="6"/>
      <c r="H260" s="7"/>
      <c r="I260" s="8"/>
      <c r="K260" s="23" t="str">
        <f>IFERROR(INDEX($AL$11:$AL$4010,MATCH(250,$AX$11:$AX$4010,0)),"")</f>
        <v/>
      </c>
      <c r="L260" s="24" t="str">
        <f t="shared" si="46"/>
        <v/>
      </c>
      <c r="M260" s="25" t="str">
        <f t="shared" si="47"/>
        <v/>
      </c>
      <c r="N260" s="25" t="str">
        <f t="shared" si="48"/>
        <v/>
      </c>
      <c r="W260" s="28" t="str">
        <f>IF(X260="","",IFERROR(INDEX($AL$11:$AL$4010,MATCH(250,$AY$11:$AY$4010,0)),""))</f>
        <v/>
      </c>
      <c r="X260" s="26" t="str">
        <f>IFERROR(INDEX($AM$11:$AM$4010,MATCH(250,$AY$11:$AY$4010,0)),"")</f>
        <v/>
      </c>
      <c r="Y260" s="25" t="str">
        <f>IF(X260="","",IFERROR(INDEX($AN$11:$AN$4010,MATCH(250,$AY$11:$AY$4010,0)),""))</f>
        <v/>
      </c>
      <c r="Z260" s="25" t="str">
        <f>IF(X260="","",IFERROR(INDEX($AO$11:$AO$4010,MATCH(250,$AY$11:$AY$4010,0)),""))</f>
        <v/>
      </c>
      <c r="AA260" s="24" t="str">
        <f>IF(X260="","",IFERROR(INDEX($AQ$11:$AQ$4010,MATCH(250,$AY$11:$AY$4010,0)),""))</f>
        <v/>
      </c>
      <c r="AB260" s="29" t="str">
        <f>IF(X260="","",IFERROR(INDEX($AR$11:$AR$4010,MATCH(250,$AY$11:$AY$4010,0)),""))</f>
        <v/>
      </c>
      <c r="AD260" s="30" t="str">
        <f>IF(AE260="","",IFERROR(INDEX($AL$11:$AL$4010,MATCH(250,$AZ$11:$AZ$4010,0)),""))</f>
        <v/>
      </c>
      <c r="AE260" s="26" t="str">
        <f>IFERROR(INDEX($AM$11:$AM$4010,MATCH(250,$AZ$11:$AZ$4010,0)),"")</f>
        <v/>
      </c>
      <c r="AF260" s="25" t="str">
        <f>IF(AE260="","",IFERROR(INDEX($AN$11:$AN$4010,MATCH(250,$AZ$11:$AZ$4010,0)),""))</f>
        <v/>
      </c>
      <c r="AG260" s="25" t="str">
        <f>IF(AE260="","",IFERROR(INDEX($AO$11:$AO$4010,MATCH(250,$AZ$11:$AZ$4010,0)),""))</f>
        <v/>
      </c>
      <c r="AH260" s="24" t="str">
        <f>IF(AE260="","",IFERROR(INDEX($AQ$11:$AQ$4010,MATCH(250,$AZ$11:$AZ$4010,0)),""))</f>
        <v/>
      </c>
      <c r="AI260" s="29" t="str">
        <f>IF(AE260="","",IFERROR(INDEX($AR$11:$AR$4010,MATCH(250,$AZ$11:$AZ$4010,0)),""))</f>
        <v/>
      </c>
      <c r="AJ260" s="29" t="str">
        <f>IF(AE260="","",IFERROR(INDEX($AT$11:$AT$4010,MATCH(250,$AZ$11:$AZ$4010,0)),""))</f>
        <v/>
      </c>
      <c r="AL260" s="31" t="str">
        <f t="shared" si="50"/>
        <v/>
      </c>
      <c r="AM260" s="26" t="str">
        <f t="shared" si="51"/>
        <v/>
      </c>
      <c r="AN260" s="32" t="str">
        <f t="shared" si="52"/>
        <v/>
      </c>
      <c r="AO260" s="32" t="str">
        <f t="shared" si="53"/>
        <v/>
      </c>
      <c r="AP260" s="24" t="str">
        <f t="shared" si="54"/>
        <v/>
      </c>
      <c r="AQ260" s="24" t="str">
        <f t="shared" si="55"/>
        <v/>
      </c>
      <c r="AR260" s="33" t="str">
        <f t="shared" si="56"/>
        <v/>
      </c>
      <c r="AS260" s="34"/>
      <c r="AT260" s="33"/>
      <c r="AV260" s="21">
        <f>IF(AND($AL260&lt;&gt;"",COUNTIF($AL$11:$AL260,$AL260)=1),1,0)</f>
        <v>0</v>
      </c>
      <c r="AW260" s="21">
        <f t="shared" si="58"/>
        <v>0</v>
      </c>
      <c r="AX260" s="21" t="str">
        <f t="shared" si="57"/>
        <v/>
      </c>
      <c r="AY260" s="21" t="str">
        <f>IF(AND($AM260&lt;&gt;"",$AS260&lt;&gt;"✓"),SUMPRODUCT(($AM$11:$AM260&lt;&gt;"")*($AS$11:$AS260&lt;&gt;"✓")),"")</f>
        <v/>
      </c>
      <c r="AZ260" s="21" t="str">
        <f>IF(AND($AM260&lt;&gt;"",$AS260="✓"),SUMPRODUCT(($AM$11:$AM260&lt;&gt;"")*($AS$11:$AS260="✓")),"")</f>
        <v/>
      </c>
      <c r="BA260" s="21" t="str">
        <f>IF($AL260="","",$AL260&amp;"|"&amp;COUNTIF($AL$11:$AL260,$AL260))</f>
        <v/>
      </c>
    </row>
    <row r="261" spans="2:53" ht="15" customHeight="1" x14ac:dyDescent="0.25">
      <c r="B261" s="5" t="str">
        <f t="shared" si="45"/>
        <v/>
      </c>
      <c r="C261" s="5"/>
      <c r="D261" s="5"/>
      <c r="E261" s="5"/>
      <c r="F261" s="6"/>
      <c r="G261" s="6"/>
      <c r="H261" s="7"/>
      <c r="I261" s="8"/>
      <c r="K261" s="9" t="str">
        <f>IFERROR(INDEX($AL$11:$AL$4010,MATCH(251,$AX$11:$AX$4010,0)),"")</f>
        <v/>
      </c>
      <c r="L261" s="10" t="str">
        <f t="shared" si="46"/>
        <v/>
      </c>
      <c r="M261" s="11" t="str">
        <f t="shared" si="47"/>
        <v/>
      </c>
      <c r="N261" s="11" t="str">
        <f t="shared" si="48"/>
        <v/>
      </c>
      <c r="W261" s="14" t="str">
        <f>IF(X261="","",IFERROR(INDEX($AL$11:$AL$4010,MATCH(251,$AY$11:$AY$4010,0)),""))</f>
        <v/>
      </c>
      <c r="X261" s="12" t="str">
        <f>IFERROR(INDEX($AM$11:$AM$4010,MATCH(251,$AY$11:$AY$4010,0)),"")</f>
        <v/>
      </c>
      <c r="Y261" s="11" t="str">
        <f>IF(X261="","",IFERROR(INDEX($AN$11:$AN$4010,MATCH(251,$AY$11:$AY$4010,0)),""))</f>
        <v/>
      </c>
      <c r="Z261" s="11" t="str">
        <f>IF(X261="","",IFERROR(INDEX($AO$11:$AO$4010,MATCH(251,$AY$11:$AY$4010,0)),""))</f>
        <v/>
      </c>
      <c r="AA261" s="10" t="str">
        <f>IF(X261="","",IFERROR(INDEX($AQ$11:$AQ$4010,MATCH(251,$AY$11:$AY$4010,0)),""))</f>
        <v/>
      </c>
      <c r="AB261" s="15" t="str">
        <f>IF(X261="","",IFERROR(INDEX($AR$11:$AR$4010,MATCH(251,$AY$11:$AY$4010,0)),""))</f>
        <v/>
      </c>
      <c r="AD261" s="16" t="str">
        <f>IF(AE261="","",IFERROR(INDEX($AL$11:$AL$4010,MATCH(251,$AZ$11:$AZ$4010,0)),""))</f>
        <v/>
      </c>
      <c r="AE261" s="12" t="str">
        <f>IFERROR(INDEX($AM$11:$AM$4010,MATCH(251,$AZ$11:$AZ$4010,0)),"")</f>
        <v/>
      </c>
      <c r="AF261" s="11" t="str">
        <f>IF(AE261="","",IFERROR(INDEX($AN$11:$AN$4010,MATCH(251,$AZ$11:$AZ$4010,0)),""))</f>
        <v/>
      </c>
      <c r="AG261" s="11" t="str">
        <f>IF(AE261="","",IFERROR(INDEX($AO$11:$AO$4010,MATCH(251,$AZ$11:$AZ$4010,0)),""))</f>
        <v/>
      </c>
      <c r="AH261" s="10" t="str">
        <f>IF(AE261="","",IFERROR(INDEX($AQ$11:$AQ$4010,MATCH(251,$AZ$11:$AZ$4010,0)),""))</f>
        <v/>
      </c>
      <c r="AI261" s="15" t="str">
        <f>IF(AE261="","",IFERROR(INDEX($AR$11:$AR$4010,MATCH(251,$AZ$11:$AZ$4010,0)),""))</f>
        <v/>
      </c>
      <c r="AJ261" s="15" t="str">
        <f>IF(AE261="","",IFERROR(INDEX($AT$11:$AT$4010,MATCH(251,$AZ$11:$AZ$4010,0)),""))</f>
        <v/>
      </c>
      <c r="AL261" s="17" t="str">
        <f t="shared" si="50"/>
        <v/>
      </c>
      <c r="AM261" s="12" t="str">
        <f t="shared" si="51"/>
        <v/>
      </c>
      <c r="AN261" s="18" t="str">
        <f t="shared" si="52"/>
        <v/>
      </c>
      <c r="AO261" s="18" t="str">
        <f t="shared" si="53"/>
        <v/>
      </c>
      <c r="AP261" s="10" t="str">
        <f t="shared" si="54"/>
        <v/>
      </c>
      <c r="AQ261" s="10" t="str">
        <f t="shared" si="55"/>
        <v/>
      </c>
      <c r="AR261" s="19" t="str">
        <f t="shared" si="56"/>
        <v/>
      </c>
      <c r="AS261" s="20"/>
      <c r="AT261" s="19"/>
      <c r="AV261" s="21">
        <f>IF(AND($AL261&lt;&gt;"",COUNTIF($AL$11:$AL261,$AL261)=1),1,0)</f>
        <v>0</v>
      </c>
      <c r="AW261" s="21">
        <f t="shared" si="58"/>
        <v>0</v>
      </c>
      <c r="AX261" s="21" t="str">
        <f t="shared" si="57"/>
        <v/>
      </c>
      <c r="AY261" s="21" t="str">
        <f>IF(AND($AM261&lt;&gt;"",$AS261&lt;&gt;"✓"),SUMPRODUCT(($AM$11:$AM261&lt;&gt;"")*($AS$11:$AS261&lt;&gt;"✓")),"")</f>
        <v/>
      </c>
      <c r="AZ261" s="21" t="str">
        <f>IF(AND($AM261&lt;&gt;"",$AS261="✓"),SUMPRODUCT(($AM$11:$AM261&lt;&gt;"")*($AS$11:$AS261="✓")),"")</f>
        <v/>
      </c>
      <c r="BA261" s="21" t="str">
        <f>IF($AL261="","",$AL261&amp;"|"&amp;COUNTIF($AL$11:$AL261,$AL261))</f>
        <v/>
      </c>
    </row>
    <row r="262" spans="2:53" ht="15" customHeight="1" x14ac:dyDescent="0.25">
      <c r="B262" s="5" t="str">
        <f t="shared" si="45"/>
        <v/>
      </c>
      <c r="C262" s="5"/>
      <c r="D262" s="5"/>
      <c r="E262" s="5"/>
      <c r="F262" s="6"/>
      <c r="G262" s="6"/>
      <c r="H262" s="7"/>
      <c r="I262" s="8"/>
      <c r="K262" s="23" t="str">
        <f>IFERROR(INDEX($AL$11:$AL$4010,MATCH(252,$AX$11:$AX$4010,0)),"")</f>
        <v/>
      </c>
      <c r="L262" s="24" t="str">
        <f t="shared" si="46"/>
        <v/>
      </c>
      <c r="M262" s="25" t="str">
        <f t="shared" si="47"/>
        <v/>
      </c>
      <c r="N262" s="25" t="str">
        <f t="shared" si="48"/>
        <v/>
      </c>
      <c r="W262" s="28" t="str">
        <f>IF(X262="","",IFERROR(INDEX($AL$11:$AL$4010,MATCH(252,$AY$11:$AY$4010,0)),""))</f>
        <v/>
      </c>
      <c r="X262" s="26" t="str">
        <f>IFERROR(INDEX($AM$11:$AM$4010,MATCH(252,$AY$11:$AY$4010,0)),"")</f>
        <v/>
      </c>
      <c r="Y262" s="25" t="str">
        <f>IF(X262="","",IFERROR(INDEX($AN$11:$AN$4010,MATCH(252,$AY$11:$AY$4010,0)),""))</f>
        <v/>
      </c>
      <c r="Z262" s="25" t="str">
        <f>IF(X262="","",IFERROR(INDEX($AO$11:$AO$4010,MATCH(252,$AY$11:$AY$4010,0)),""))</f>
        <v/>
      </c>
      <c r="AA262" s="24" t="str">
        <f>IF(X262="","",IFERROR(INDEX($AQ$11:$AQ$4010,MATCH(252,$AY$11:$AY$4010,0)),""))</f>
        <v/>
      </c>
      <c r="AB262" s="29" t="str">
        <f>IF(X262="","",IFERROR(INDEX($AR$11:$AR$4010,MATCH(252,$AY$11:$AY$4010,0)),""))</f>
        <v/>
      </c>
      <c r="AD262" s="30" t="str">
        <f>IF(AE262="","",IFERROR(INDEX($AL$11:$AL$4010,MATCH(252,$AZ$11:$AZ$4010,0)),""))</f>
        <v/>
      </c>
      <c r="AE262" s="26" t="str">
        <f>IFERROR(INDEX($AM$11:$AM$4010,MATCH(252,$AZ$11:$AZ$4010,0)),"")</f>
        <v/>
      </c>
      <c r="AF262" s="25" t="str">
        <f>IF(AE262="","",IFERROR(INDEX($AN$11:$AN$4010,MATCH(252,$AZ$11:$AZ$4010,0)),""))</f>
        <v/>
      </c>
      <c r="AG262" s="25" t="str">
        <f>IF(AE262="","",IFERROR(INDEX($AO$11:$AO$4010,MATCH(252,$AZ$11:$AZ$4010,0)),""))</f>
        <v/>
      </c>
      <c r="AH262" s="24" t="str">
        <f>IF(AE262="","",IFERROR(INDEX($AQ$11:$AQ$4010,MATCH(252,$AZ$11:$AZ$4010,0)),""))</f>
        <v/>
      </c>
      <c r="AI262" s="29" t="str">
        <f>IF(AE262="","",IFERROR(INDEX($AR$11:$AR$4010,MATCH(252,$AZ$11:$AZ$4010,0)),""))</f>
        <v/>
      </c>
      <c r="AJ262" s="29" t="str">
        <f>IF(AE262="","",IFERROR(INDEX($AT$11:$AT$4010,MATCH(252,$AZ$11:$AZ$4010,0)),""))</f>
        <v/>
      </c>
      <c r="AL262" s="31" t="str">
        <f t="shared" si="50"/>
        <v/>
      </c>
      <c r="AM262" s="26" t="str">
        <f t="shared" si="51"/>
        <v/>
      </c>
      <c r="AN262" s="32" t="str">
        <f t="shared" si="52"/>
        <v/>
      </c>
      <c r="AO262" s="32" t="str">
        <f t="shared" si="53"/>
        <v/>
      </c>
      <c r="AP262" s="24" t="str">
        <f t="shared" si="54"/>
        <v/>
      </c>
      <c r="AQ262" s="24" t="str">
        <f t="shared" si="55"/>
        <v/>
      </c>
      <c r="AR262" s="33" t="str">
        <f t="shared" si="56"/>
        <v/>
      </c>
      <c r="AS262" s="34"/>
      <c r="AT262" s="33"/>
      <c r="AV262" s="21">
        <f>IF(AND($AL262&lt;&gt;"",COUNTIF($AL$11:$AL262,$AL262)=1),1,0)</f>
        <v>0</v>
      </c>
      <c r="AW262" s="21">
        <f t="shared" si="58"/>
        <v>0</v>
      </c>
      <c r="AX262" s="21" t="str">
        <f t="shared" si="57"/>
        <v/>
      </c>
      <c r="AY262" s="21" t="str">
        <f>IF(AND($AM262&lt;&gt;"",$AS262&lt;&gt;"✓"),SUMPRODUCT(($AM$11:$AM262&lt;&gt;"")*($AS$11:$AS262&lt;&gt;"✓")),"")</f>
        <v/>
      </c>
      <c r="AZ262" s="21" t="str">
        <f>IF(AND($AM262&lt;&gt;"",$AS262="✓"),SUMPRODUCT(($AM$11:$AM262&lt;&gt;"")*($AS$11:$AS262="✓")),"")</f>
        <v/>
      </c>
      <c r="BA262" s="21" t="str">
        <f>IF($AL262="","",$AL262&amp;"|"&amp;COUNTIF($AL$11:$AL262,$AL262))</f>
        <v/>
      </c>
    </row>
    <row r="263" spans="2:53" ht="15" customHeight="1" x14ac:dyDescent="0.25">
      <c r="B263" s="5" t="str">
        <f t="shared" si="45"/>
        <v/>
      </c>
      <c r="C263" s="5"/>
      <c r="D263" s="5"/>
      <c r="E263" s="5"/>
      <c r="F263" s="6"/>
      <c r="G263" s="6"/>
      <c r="H263" s="7"/>
      <c r="I263" s="8"/>
      <c r="K263" s="9" t="str">
        <f>IFERROR(INDEX($AL$11:$AL$4010,MATCH(253,$AX$11:$AX$4010,0)),"")</f>
        <v/>
      </c>
      <c r="L263" s="10" t="str">
        <f t="shared" si="46"/>
        <v/>
      </c>
      <c r="M263" s="11" t="str">
        <f t="shared" si="47"/>
        <v/>
      </c>
      <c r="N263" s="11" t="str">
        <f t="shared" si="48"/>
        <v/>
      </c>
      <c r="W263" s="14" t="str">
        <f>IF(X263="","",IFERROR(INDEX($AL$11:$AL$4010,MATCH(253,$AY$11:$AY$4010,0)),""))</f>
        <v/>
      </c>
      <c r="X263" s="12" t="str">
        <f>IFERROR(INDEX($AM$11:$AM$4010,MATCH(253,$AY$11:$AY$4010,0)),"")</f>
        <v/>
      </c>
      <c r="Y263" s="11" t="str">
        <f>IF(X263="","",IFERROR(INDEX($AN$11:$AN$4010,MATCH(253,$AY$11:$AY$4010,0)),""))</f>
        <v/>
      </c>
      <c r="Z263" s="11" t="str">
        <f>IF(X263="","",IFERROR(INDEX($AO$11:$AO$4010,MATCH(253,$AY$11:$AY$4010,0)),""))</f>
        <v/>
      </c>
      <c r="AA263" s="10" t="str">
        <f>IF(X263="","",IFERROR(INDEX($AQ$11:$AQ$4010,MATCH(253,$AY$11:$AY$4010,0)),""))</f>
        <v/>
      </c>
      <c r="AB263" s="15" t="str">
        <f>IF(X263="","",IFERROR(INDEX($AR$11:$AR$4010,MATCH(253,$AY$11:$AY$4010,0)),""))</f>
        <v/>
      </c>
      <c r="AD263" s="16" t="str">
        <f>IF(AE263="","",IFERROR(INDEX($AL$11:$AL$4010,MATCH(253,$AZ$11:$AZ$4010,0)),""))</f>
        <v/>
      </c>
      <c r="AE263" s="12" t="str">
        <f>IFERROR(INDEX($AM$11:$AM$4010,MATCH(253,$AZ$11:$AZ$4010,0)),"")</f>
        <v/>
      </c>
      <c r="AF263" s="11" t="str">
        <f>IF(AE263="","",IFERROR(INDEX($AN$11:$AN$4010,MATCH(253,$AZ$11:$AZ$4010,0)),""))</f>
        <v/>
      </c>
      <c r="AG263" s="11" t="str">
        <f>IF(AE263="","",IFERROR(INDEX($AO$11:$AO$4010,MATCH(253,$AZ$11:$AZ$4010,0)),""))</f>
        <v/>
      </c>
      <c r="AH263" s="10" t="str">
        <f>IF(AE263="","",IFERROR(INDEX($AQ$11:$AQ$4010,MATCH(253,$AZ$11:$AZ$4010,0)),""))</f>
        <v/>
      </c>
      <c r="AI263" s="15" t="str">
        <f>IF(AE263="","",IFERROR(INDEX($AR$11:$AR$4010,MATCH(253,$AZ$11:$AZ$4010,0)),""))</f>
        <v/>
      </c>
      <c r="AJ263" s="15" t="str">
        <f>IF(AE263="","",IFERROR(INDEX($AT$11:$AT$4010,MATCH(253,$AZ$11:$AZ$4010,0)),""))</f>
        <v/>
      </c>
      <c r="AL263" s="17" t="str">
        <f t="shared" si="50"/>
        <v/>
      </c>
      <c r="AM263" s="12" t="str">
        <f t="shared" si="51"/>
        <v/>
      </c>
      <c r="AN263" s="18" t="str">
        <f t="shared" si="52"/>
        <v/>
      </c>
      <c r="AO263" s="18" t="str">
        <f t="shared" si="53"/>
        <v/>
      </c>
      <c r="AP263" s="10" t="str">
        <f t="shared" si="54"/>
        <v/>
      </c>
      <c r="AQ263" s="10" t="str">
        <f t="shared" si="55"/>
        <v/>
      </c>
      <c r="AR263" s="19" t="str">
        <f t="shared" si="56"/>
        <v/>
      </c>
      <c r="AS263" s="20"/>
      <c r="AT263" s="19"/>
      <c r="AV263" s="21">
        <f>IF(AND($AL263&lt;&gt;"",COUNTIF($AL$11:$AL263,$AL263)=1),1,0)</f>
        <v>0</v>
      </c>
      <c r="AW263" s="21">
        <f t="shared" si="58"/>
        <v>0</v>
      </c>
      <c r="AX263" s="21" t="str">
        <f t="shared" si="57"/>
        <v/>
      </c>
      <c r="AY263" s="21" t="str">
        <f>IF(AND($AM263&lt;&gt;"",$AS263&lt;&gt;"✓"),SUMPRODUCT(($AM$11:$AM263&lt;&gt;"")*($AS$11:$AS263&lt;&gt;"✓")),"")</f>
        <v/>
      </c>
      <c r="AZ263" s="21" t="str">
        <f>IF(AND($AM263&lt;&gt;"",$AS263="✓"),SUMPRODUCT(($AM$11:$AM263&lt;&gt;"")*($AS$11:$AS263="✓")),"")</f>
        <v/>
      </c>
      <c r="BA263" s="21" t="str">
        <f>IF($AL263="","",$AL263&amp;"|"&amp;COUNTIF($AL$11:$AL263,$AL263))</f>
        <v/>
      </c>
    </row>
    <row r="264" spans="2:53" ht="15" customHeight="1" x14ac:dyDescent="0.25">
      <c r="B264" s="5" t="str">
        <f t="shared" si="45"/>
        <v/>
      </c>
      <c r="C264" s="5"/>
      <c r="D264" s="5"/>
      <c r="E264" s="5"/>
      <c r="F264" s="6"/>
      <c r="G264" s="6"/>
      <c r="H264" s="7"/>
      <c r="I264" s="8"/>
      <c r="K264" s="23" t="str">
        <f>IFERROR(INDEX($AL$11:$AL$4010,MATCH(254,$AX$11:$AX$4010,0)),"")</f>
        <v/>
      </c>
      <c r="L264" s="24" t="str">
        <f t="shared" si="46"/>
        <v/>
      </c>
      <c r="M264" s="25" t="str">
        <f t="shared" si="47"/>
        <v/>
      </c>
      <c r="N264" s="25" t="str">
        <f t="shared" si="48"/>
        <v/>
      </c>
      <c r="W264" s="28" t="str">
        <f>IF(X264="","",IFERROR(INDEX($AL$11:$AL$4010,MATCH(254,$AY$11:$AY$4010,0)),""))</f>
        <v/>
      </c>
      <c r="X264" s="26" t="str">
        <f>IFERROR(INDEX($AM$11:$AM$4010,MATCH(254,$AY$11:$AY$4010,0)),"")</f>
        <v/>
      </c>
      <c r="Y264" s="25" t="str">
        <f>IF(X264="","",IFERROR(INDEX($AN$11:$AN$4010,MATCH(254,$AY$11:$AY$4010,0)),""))</f>
        <v/>
      </c>
      <c r="Z264" s="25" t="str">
        <f>IF(X264="","",IFERROR(INDEX($AO$11:$AO$4010,MATCH(254,$AY$11:$AY$4010,0)),""))</f>
        <v/>
      </c>
      <c r="AA264" s="24" t="str">
        <f>IF(X264="","",IFERROR(INDEX($AQ$11:$AQ$4010,MATCH(254,$AY$11:$AY$4010,0)),""))</f>
        <v/>
      </c>
      <c r="AB264" s="29" t="str">
        <f>IF(X264="","",IFERROR(INDEX($AR$11:$AR$4010,MATCH(254,$AY$11:$AY$4010,0)),""))</f>
        <v/>
      </c>
      <c r="AD264" s="30" t="str">
        <f>IF(AE264="","",IFERROR(INDEX($AL$11:$AL$4010,MATCH(254,$AZ$11:$AZ$4010,0)),""))</f>
        <v/>
      </c>
      <c r="AE264" s="26" t="str">
        <f>IFERROR(INDEX($AM$11:$AM$4010,MATCH(254,$AZ$11:$AZ$4010,0)),"")</f>
        <v/>
      </c>
      <c r="AF264" s="25" t="str">
        <f>IF(AE264="","",IFERROR(INDEX($AN$11:$AN$4010,MATCH(254,$AZ$11:$AZ$4010,0)),""))</f>
        <v/>
      </c>
      <c r="AG264" s="25" t="str">
        <f>IF(AE264="","",IFERROR(INDEX($AO$11:$AO$4010,MATCH(254,$AZ$11:$AZ$4010,0)),""))</f>
        <v/>
      </c>
      <c r="AH264" s="24" t="str">
        <f>IF(AE264="","",IFERROR(INDEX($AQ$11:$AQ$4010,MATCH(254,$AZ$11:$AZ$4010,0)),""))</f>
        <v/>
      </c>
      <c r="AI264" s="29" t="str">
        <f>IF(AE264="","",IFERROR(INDEX($AR$11:$AR$4010,MATCH(254,$AZ$11:$AZ$4010,0)),""))</f>
        <v/>
      </c>
      <c r="AJ264" s="29" t="str">
        <f>IF(AE264="","",IFERROR(INDEX($AT$11:$AT$4010,MATCH(254,$AZ$11:$AZ$4010,0)),""))</f>
        <v/>
      </c>
      <c r="AL264" s="31" t="str">
        <f t="shared" si="50"/>
        <v/>
      </c>
      <c r="AM264" s="26" t="str">
        <f t="shared" si="51"/>
        <v/>
      </c>
      <c r="AN264" s="32" t="str">
        <f t="shared" si="52"/>
        <v/>
      </c>
      <c r="AO264" s="32" t="str">
        <f t="shared" si="53"/>
        <v/>
      </c>
      <c r="AP264" s="24" t="str">
        <f t="shared" si="54"/>
        <v/>
      </c>
      <c r="AQ264" s="24" t="str">
        <f t="shared" si="55"/>
        <v/>
      </c>
      <c r="AR264" s="33" t="str">
        <f t="shared" si="56"/>
        <v/>
      </c>
      <c r="AS264" s="34"/>
      <c r="AT264" s="33"/>
      <c r="AV264" s="21">
        <f>IF(AND($AL264&lt;&gt;"",COUNTIF($AL$11:$AL264,$AL264)=1),1,0)</f>
        <v>0</v>
      </c>
      <c r="AW264" s="21">
        <f t="shared" si="58"/>
        <v>0</v>
      </c>
      <c r="AX264" s="21" t="str">
        <f t="shared" si="57"/>
        <v/>
      </c>
      <c r="AY264" s="21" t="str">
        <f>IF(AND($AM264&lt;&gt;"",$AS264&lt;&gt;"✓"),SUMPRODUCT(($AM$11:$AM264&lt;&gt;"")*($AS$11:$AS264&lt;&gt;"✓")),"")</f>
        <v/>
      </c>
      <c r="AZ264" s="21" t="str">
        <f>IF(AND($AM264&lt;&gt;"",$AS264="✓"),SUMPRODUCT(($AM$11:$AM264&lt;&gt;"")*($AS$11:$AS264="✓")),"")</f>
        <v/>
      </c>
      <c r="BA264" s="21" t="str">
        <f>IF($AL264="","",$AL264&amp;"|"&amp;COUNTIF($AL$11:$AL264,$AL264))</f>
        <v/>
      </c>
    </row>
    <row r="265" spans="2:53" ht="15" customHeight="1" x14ac:dyDescent="0.25">
      <c r="B265" s="5" t="str">
        <f t="shared" si="45"/>
        <v/>
      </c>
      <c r="C265" s="5"/>
      <c r="D265" s="5"/>
      <c r="E265" s="5"/>
      <c r="F265" s="6"/>
      <c r="G265" s="6"/>
      <c r="H265" s="7"/>
      <c r="I265" s="8"/>
      <c r="K265" s="9" t="str">
        <f>IFERROR(INDEX($AL$11:$AL$4010,MATCH(255,$AX$11:$AX$4010,0)),"")</f>
        <v/>
      </c>
      <c r="L265" s="10" t="str">
        <f t="shared" si="46"/>
        <v/>
      </c>
      <c r="M265" s="11" t="str">
        <f t="shared" si="47"/>
        <v/>
      </c>
      <c r="N265" s="11" t="str">
        <f t="shared" si="48"/>
        <v/>
      </c>
      <c r="W265" s="14" t="str">
        <f>IF(X265="","",IFERROR(INDEX($AL$11:$AL$4010,MATCH(255,$AY$11:$AY$4010,0)),""))</f>
        <v/>
      </c>
      <c r="X265" s="12" t="str">
        <f>IFERROR(INDEX($AM$11:$AM$4010,MATCH(255,$AY$11:$AY$4010,0)),"")</f>
        <v/>
      </c>
      <c r="Y265" s="11" t="str">
        <f>IF(X265="","",IFERROR(INDEX($AN$11:$AN$4010,MATCH(255,$AY$11:$AY$4010,0)),""))</f>
        <v/>
      </c>
      <c r="Z265" s="11" t="str">
        <f>IF(X265="","",IFERROR(INDEX($AO$11:$AO$4010,MATCH(255,$AY$11:$AY$4010,0)),""))</f>
        <v/>
      </c>
      <c r="AA265" s="10" t="str">
        <f>IF(X265="","",IFERROR(INDEX($AQ$11:$AQ$4010,MATCH(255,$AY$11:$AY$4010,0)),""))</f>
        <v/>
      </c>
      <c r="AB265" s="15" t="str">
        <f>IF(X265="","",IFERROR(INDEX($AR$11:$AR$4010,MATCH(255,$AY$11:$AY$4010,0)),""))</f>
        <v/>
      </c>
      <c r="AD265" s="16" t="str">
        <f>IF(AE265="","",IFERROR(INDEX($AL$11:$AL$4010,MATCH(255,$AZ$11:$AZ$4010,0)),""))</f>
        <v/>
      </c>
      <c r="AE265" s="12" t="str">
        <f>IFERROR(INDEX($AM$11:$AM$4010,MATCH(255,$AZ$11:$AZ$4010,0)),"")</f>
        <v/>
      </c>
      <c r="AF265" s="11" t="str">
        <f>IF(AE265="","",IFERROR(INDEX($AN$11:$AN$4010,MATCH(255,$AZ$11:$AZ$4010,0)),""))</f>
        <v/>
      </c>
      <c r="AG265" s="11" t="str">
        <f>IF(AE265="","",IFERROR(INDEX($AO$11:$AO$4010,MATCH(255,$AZ$11:$AZ$4010,0)),""))</f>
        <v/>
      </c>
      <c r="AH265" s="10" t="str">
        <f>IF(AE265="","",IFERROR(INDEX($AQ$11:$AQ$4010,MATCH(255,$AZ$11:$AZ$4010,0)),""))</f>
        <v/>
      </c>
      <c r="AI265" s="15" t="str">
        <f>IF(AE265="","",IFERROR(INDEX($AR$11:$AR$4010,MATCH(255,$AZ$11:$AZ$4010,0)),""))</f>
        <v/>
      </c>
      <c r="AJ265" s="15" t="str">
        <f>IF(AE265="","",IFERROR(INDEX($AT$11:$AT$4010,MATCH(255,$AZ$11:$AZ$4010,0)),""))</f>
        <v/>
      </c>
      <c r="AL265" s="17" t="str">
        <f t="shared" si="50"/>
        <v/>
      </c>
      <c r="AM265" s="12" t="str">
        <f t="shared" si="51"/>
        <v/>
      </c>
      <c r="AN265" s="18" t="str">
        <f t="shared" si="52"/>
        <v/>
      </c>
      <c r="AO265" s="18" t="str">
        <f t="shared" si="53"/>
        <v/>
      </c>
      <c r="AP265" s="10" t="str">
        <f t="shared" si="54"/>
        <v/>
      </c>
      <c r="AQ265" s="10" t="str">
        <f t="shared" si="55"/>
        <v/>
      </c>
      <c r="AR265" s="19" t="str">
        <f t="shared" si="56"/>
        <v/>
      </c>
      <c r="AS265" s="20"/>
      <c r="AT265" s="19"/>
      <c r="AV265" s="21">
        <f>IF(AND($AL265&lt;&gt;"",COUNTIF($AL$11:$AL265,$AL265)=1),1,0)</f>
        <v>0</v>
      </c>
      <c r="AW265" s="21">
        <f t="shared" si="58"/>
        <v>0</v>
      </c>
      <c r="AX265" s="21" t="str">
        <f t="shared" si="57"/>
        <v/>
      </c>
      <c r="AY265" s="21" t="str">
        <f>IF(AND($AM265&lt;&gt;"",$AS265&lt;&gt;"✓"),SUMPRODUCT(($AM$11:$AM265&lt;&gt;"")*($AS$11:$AS265&lt;&gt;"✓")),"")</f>
        <v/>
      </c>
      <c r="AZ265" s="21" t="str">
        <f>IF(AND($AM265&lt;&gt;"",$AS265="✓"),SUMPRODUCT(($AM$11:$AM265&lt;&gt;"")*($AS$11:$AS265="✓")),"")</f>
        <v/>
      </c>
      <c r="BA265" s="21" t="str">
        <f>IF($AL265="","",$AL265&amp;"|"&amp;COUNTIF($AL$11:$AL265,$AL265))</f>
        <v/>
      </c>
    </row>
    <row r="266" spans="2:53" ht="15" customHeight="1" x14ac:dyDescent="0.25">
      <c r="B266" s="5" t="str">
        <f t="shared" si="45"/>
        <v/>
      </c>
      <c r="C266" s="5"/>
      <c r="D266" s="5"/>
      <c r="E266" s="5"/>
      <c r="F266" s="6"/>
      <c r="G266" s="6"/>
      <c r="H266" s="7"/>
      <c r="I266" s="8"/>
      <c r="K266" s="23" t="str">
        <f>IFERROR(INDEX($AL$11:$AL$4010,MATCH(256,$AX$11:$AX$4010,0)),"")</f>
        <v/>
      </c>
      <c r="L266" s="24" t="str">
        <f t="shared" si="46"/>
        <v/>
      </c>
      <c r="M266" s="25" t="str">
        <f t="shared" si="47"/>
        <v/>
      </c>
      <c r="N266" s="25" t="str">
        <f t="shared" si="48"/>
        <v/>
      </c>
      <c r="W266" s="28" t="str">
        <f>IF(X266="","",IFERROR(INDEX($AL$11:$AL$4010,MATCH(256,$AY$11:$AY$4010,0)),""))</f>
        <v/>
      </c>
      <c r="X266" s="26" t="str">
        <f>IFERROR(INDEX($AM$11:$AM$4010,MATCH(256,$AY$11:$AY$4010,0)),"")</f>
        <v/>
      </c>
      <c r="Y266" s="25" t="str">
        <f>IF(X266="","",IFERROR(INDEX($AN$11:$AN$4010,MATCH(256,$AY$11:$AY$4010,0)),""))</f>
        <v/>
      </c>
      <c r="Z266" s="25" t="str">
        <f>IF(X266="","",IFERROR(INDEX($AO$11:$AO$4010,MATCH(256,$AY$11:$AY$4010,0)),""))</f>
        <v/>
      </c>
      <c r="AA266" s="24" t="str">
        <f>IF(X266="","",IFERROR(INDEX($AQ$11:$AQ$4010,MATCH(256,$AY$11:$AY$4010,0)),""))</f>
        <v/>
      </c>
      <c r="AB266" s="29" t="str">
        <f>IF(X266="","",IFERROR(INDEX($AR$11:$AR$4010,MATCH(256,$AY$11:$AY$4010,0)),""))</f>
        <v/>
      </c>
      <c r="AD266" s="30" t="str">
        <f>IF(AE266="","",IFERROR(INDEX($AL$11:$AL$4010,MATCH(256,$AZ$11:$AZ$4010,0)),""))</f>
        <v/>
      </c>
      <c r="AE266" s="26" t="str">
        <f>IFERROR(INDEX($AM$11:$AM$4010,MATCH(256,$AZ$11:$AZ$4010,0)),"")</f>
        <v/>
      </c>
      <c r="AF266" s="25" t="str">
        <f>IF(AE266="","",IFERROR(INDEX($AN$11:$AN$4010,MATCH(256,$AZ$11:$AZ$4010,0)),""))</f>
        <v/>
      </c>
      <c r="AG266" s="25" t="str">
        <f>IF(AE266="","",IFERROR(INDEX($AO$11:$AO$4010,MATCH(256,$AZ$11:$AZ$4010,0)),""))</f>
        <v/>
      </c>
      <c r="AH266" s="24" t="str">
        <f>IF(AE266="","",IFERROR(INDEX($AQ$11:$AQ$4010,MATCH(256,$AZ$11:$AZ$4010,0)),""))</f>
        <v/>
      </c>
      <c r="AI266" s="29" t="str">
        <f>IF(AE266="","",IFERROR(INDEX($AR$11:$AR$4010,MATCH(256,$AZ$11:$AZ$4010,0)),""))</f>
        <v/>
      </c>
      <c r="AJ266" s="29" t="str">
        <f>IF(AE266="","",IFERROR(INDEX($AT$11:$AT$4010,MATCH(256,$AZ$11:$AZ$4010,0)),""))</f>
        <v/>
      </c>
      <c r="AL266" s="31" t="str">
        <f t="shared" si="50"/>
        <v/>
      </c>
      <c r="AM266" s="26" t="str">
        <f t="shared" si="51"/>
        <v/>
      </c>
      <c r="AN266" s="32" t="str">
        <f t="shared" si="52"/>
        <v/>
      </c>
      <c r="AO266" s="32" t="str">
        <f t="shared" si="53"/>
        <v/>
      </c>
      <c r="AP266" s="24" t="str">
        <f t="shared" si="54"/>
        <v/>
      </c>
      <c r="AQ266" s="24" t="str">
        <f t="shared" si="55"/>
        <v/>
      </c>
      <c r="AR266" s="33" t="str">
        <f t="shared" si="56"/>
        <v/>
      </c>
      <c r="AS266" s="34"/>
      <c r="AT266" s="33"/>
      <c r="AV266" s="21">
        <f>IF(AND($AL266&lt;&gt;"",COUNTIF($AL$11:$AL266,$AL266)=1),1,0)</f>
        <v>0</v>
      </c>
      <c r="AW266" s="21">
        <f t="shared" si="58"/>
        <v>0</v>
      </c>
      <c r="AX266" s="21" t="str">
        <f t="shared" si="57"/>
        <v/>
      </c>
      <c r="AY266" s="21" t="str">
        <f>IF(AND($AM266&lt;&gt;"",$AS266&lt;&gt;"✓"),SUMPRODUCT(($AM$11:$AM266&lt;&gt;"")*($AS$11:$AS266&lt;&gt;"✓")),"")</f>
        <v/>
      </c>
      <c r="AZ266" s="21" t="str">
        <f>IF(AND($AM266&lt;&gt;"",$AS266="✓"),SUMPRODUCT(($AM$11:$AM266&lt;&gt;"")*($AS$11:$AS266="✓")),"")</f>
        <v/>
      </c>
      <c r="BA266" s="21" t="str">
        <f>IF($AL266="","",$AL266&amp;"|"&amp;COUNTIF($AL$11:$AL266,$AL266))</f>
        <v/>
      </c>
    </row>
    <row r="267" spans="2:53" ht="15" customHeight="1" x14ac:dyDescent="0.25">
      <c r="B267" s="5" t="str">
        <f t="shared" ref="B267:B330" si="59">IF($C267="","",ROW()-10)</f>
        <v/>
      </c>
      <c r="C267" s="5"/>
      <c r="D267" s="5"/>
      <c r="E267" s="5"/>
      <c r="F267" s="6"/>
      <c r="G267" s="6"/>
      <c r="H267" s="7"/>
      <c r="I267" s="8"/>
      <c r="K267" s="9" t="str">
        <f>IFERROR(INDEX($AL$11:$AL$4010,MATCH(257,$AX$11:$AX$4010,0)),"")</f>
        <v/>
      </c>
      <c r="L267" s="10" t="str">
        <f t="shared" ref="L267:L330" si="60">IF(K267="","",COUNTIF($AL$11:$AL$4010,K267))</f>
        <v/>
      </c>
      <c r="M267" s="11" t="str">
        <f t="shared" ref="M267:M310" si="61">IF(K267="","",SUMIF($AL$11:$AL$4010,K267,$AN$11:$AN$4010))</f>
        <v/>
      </c>
      <c r="N267" s="11" t="str">
        <f t="shared" ref="N267:N310" si="62">IF(K267="","",SUMIF($AL$11:$AL$4010,K267,$AO$11:$AO$4010))</f>
        <v/>
      </c>
      <c r="W267" s="14" t="str">
        <f>IF(X267="","",IFERROR(INDEX($AL$11:$AL$4010,MATCH(257,$AY$11:$AY$4010,0)),""))</f>
        <v/>
      </c>
      <c r="X267" s="12" t="str">
        <f>IFERROR(INDEX($AM$11:$AM$4010,MATCH(257,$AY$11:$AY$4010,0)),"")</f>
        <v/>
      </c>
      <c r="Y267" s="11" t="str">
        <f>IF(X267="","",IFERROR(INDEX($AN$11:$AN$4010,MATCH(257,$AY$11:$AY$4010,0)),""))</f>
        <v/>
      </c>
      <c r="Z267" s="11" t="str">
        <f>IF(X267="","",IFERROR(INDEX($AO$11:$AO$4010,MATCH(257,$AY$11:$AY$4010,0)),""))</f>
        <v/>
      </c>
      <c r="AA267" s="10" t="str">
        <f>IF(X267="","",IFERROR(INDEX($AQ$11:$AQ$4010,MATCH(257,$AY$11:$AY$4010,0)),""))</f>
        <v/>
      </c>
      <c r="AB267" s="15" t="str">
        <f>IF(X267="","",IFERROR(INDEX($AR$11:$AR$4010,MATCH(257,$AY$11:$AY$4010,0)),""))</f>
        <v/>
      </c>
      <c r="AD267" s="16" t="str">
        <f>IF(AE267="","",IFERROR(INDEX($AL$11:$AL$4010,MATCH(257,$AZ$11:$AZ$4010,0)),""))</f>
        <v/>
      </c>
      <c r="AE267" s="12" t="str">
        <f>IFERROR(INDEX($AM$11:$AM$4010,MATCH(257,$AZ$11:$AZ$4010,0)),"")</f>
        <v/>
      </c>
      <c r="AF267" s="11" t="str">
        <f>IF(AE267="","",IFERROR(INDEX($AN$11:$AN$4010,MATCH(257,$AZ$11:$AZ$4010,0)),""))</f>
        <v/>
      </c>
      <c r="AG267" s="11" t="str">
        <f>IF(AE267="","",IFERROR(INDEX($AO$11:$AO$4010,MATCH(257,$AZ$11:$AZ$4010,0)),""))</f>
        <v/>
      </c>
      <c r="AH267" s="10" t="str">
        <f>IF(AE267="","",IFERROR(INDEX($AQ$11:$AQ$4010,MATCH(257,$AZ$11:$AZ$4010,0)),""))</f>
        <v/>
      </c>
      <c r="AI267" s="15" t="str">
        <f>IF(AE267="","",IFERROR(INDEX($AR$11:$AR$4010,MATCH(257,$AZ$11:$AZ$4010,0)),""))</f>
        <v/>
      </c>
      <c r="AJ267" s="15" t="str">
        <f>IF(AE267="","",IFERROR(INDEX($AT$11:$AT$4010,MATCH(257,$AZ$11:$AZ$4010,0)),""))</f>
        <v/>
      </c>
      <c r="AL267" s="17" t="str">
        <f t="shared" ref="AL267:AL330" si="63">IF($C267="","",$I267)</f>
        <v/>
      </c>
      <c r="AM267" s="12" t="str">
        <f t="shared" ref="AM267:AM330" si="64">IF($C267="","",$C267)</f>
        <v/>
      </c>
      <c r="AN267" s="18" t="str">
        <f t="shared" ref="AN267:AN330" si="65">IF($C267="","",$F267)</f>
        <v/>
      </c>
      <c r="AO267" s="18" t="str">
        <f t="shared" ref="AO267:AO330" si="66">IF($C267="","",$G267)</f>
        <v/>
      </c>
      <c r="AP267" s="10" t="str">
        <f t="shared" ref="AP267:AP330" si="67">IF($C267="","",$D267)</f>
        <v/>
      </c>
      <c r="AQ267" s="10" t="str">
        <f t="shared" ref="AQ267:AQ330" si="68">IF($C267="","",$E267)</f>
        <v/>
      </c>
      <c r="AR267" s="19" t="str">
        <f t="shared" ref="AR267:AR330" si="69">IF($C267="","",$H267)</f>
        <v/>
      </c>
      <c r="AS267" s="20"/>
      <c r="AT267" s="19"/>
      <c r="AV267" s="21">
        <f>IF(AND($AL267&lt;&gt;"",COUNTIF($AL$11:$AL267,$AL267)=1),1,0)</f>
        <v>0</v>
      </c>
      <c r="AW267" s="21">
        <f t="shared" si="58"/>
        <v>0</v>
      </c>
      <c r="AX267" s="21" t="str">
        <f t="shared" ref="AX267:AX330" si="70">IF(AV267=1,AW267,"")</f>
        <v/>
      </c>
      <c r="AY267" s="21" t="str">
        <f>IF(AND($AM267&lt;&gt;"",$AS267&lt;&gt;"✓"),SUMPRODUCT(($AM$11:$AM267&lt;&gt;"")*($AS$11:$AS267&lt;&gt;"✓")),"")</f>
        <v/>
      </c>
      <c r="AZ267" s="21" t="str">
        <f>IF(AND($AM267&lt;&gt;"",$AS267="✓"),SUMPRODUCT(($AM$11:$AM267&lt;&gt;"")*($AS$11:$AS267="✓")),"")</f>
        <v/>
      </c>
      <c r="BA267" s="21" t="str">
        <f>IF($AL267="","",$AL267&amp;"|"&amp;COUNTIF($AL$11:$AL267,$AL267))</f>
        <v/>
      </c>
    </row>
    <row r="268" spans="2:53" ht="15" customHeight="1" x14ac:dyDescent="0.25">
      <c r="B268" s="5" t="str">
        <f t="shared" si="59"/>
        <v/>
      </c>
      <c r="C268" s="5"/>
      <c r="D268" s="5"/>
      <c r="E268" s="5"/>
      <c r="F268" s="6"/>
      <c r="G268" s="6"/>
      <c r="H268" s="7"/>
      <c r="I268" s="8"/>
      <c r="K268" s="23" t="str">
        <f>IFERROR(INDEX($AL$11:$AL$4010,MATCH(258,$AX$11:$AX$4010,0)),"")</f>
        <v/>
      </c>
      <c r="L268" s="24" t="str">
        <f t="shared" si="60"/>
        <v/>
      </c>
      <c r="M268" s="25" t="str">
        <f t="shared" si="61"/>
        <v/>
      </c>
      <c r="N268" s="25" t="str">
        <f t="shared" si="62"/>
        <v/>
      </c>
      <c r="W268" s="28" t="str">
        <f>IF(X268="","",IFERROR(INDEX($AL$11:$AL$4010,MATCH(258,$AY$11:$AY$4010,0)),""))</f>
        <v/>
      </c>
      <c r="X268" s="26" t="str">
        <f>IFERROR(INDEX($AM$11:$AM$4010,MATCH(258,$AY$11:$AY$4010,0)),"")</f>
        <v/>
      </c>
      <c r="Y268" s="25" t="str">
        <f>IF(X268="","",IFERROR(INDEX($AN$11:$AN$4010,MATCH(258,$AY$11:$AY$4010,0)),""))</f>
        <v/>
      </c>
      <c r="Z268" s="25" t="str">
        <f>IF(X268="","",IFERROR(INDEX($AO$11:$AO$4010,MATCH(258,$AY$11:$AY$4010,0)),""))</f>
        <v/>
      </c>
      <c r="AA268" s="24" t="str">
        <f>IF(X268="","",IFERROR(INDEX($AQ$11:$AQ$4010,MATCH(258,$AY$11:$AY$4010,0)),""))</f>
        <v/>
      </c>
      <c r="AB268" s="29" t="str">
        <f>IF(X268="","",IFERROR(INDEX($AR$11:$AR$4010,MATCH(258,$AY$11:$AY$4010,0)),""))</f>
        <v/>
      </c>
      <c r="AD268" s="30" t="str">
        <f>IF(AE268="","",IFERROR(INDEX($AL$11:$AL$4010,MATCH(258,$AZ$11:$AZ$4010,0)),""))</f>
        <v/>
      </c>
      <c r="AE268" s="26" t="str">
        <f>IFERROR(INDEX($AM$11:$AM$4010,MATCH(258,$AZ$11:$AZ$4010,0)),"")</f>
        <v/>
      </c>
      <c r="AF268" s="25" t="str">
        <f>IF(AE268="","",IFERROR(INDEX($AN$11:$AN$4010,MATCH(258,$AZ$11:$AZ$4010,0)),""))</f>
        <v/>
      </c>
      <c r="AG268" s="25" t="str">
        <f>IF(AE268="","",IFERROR(INDEX($AO$11:$AO$4010,MATCH(258,$AZ$11:$AZ$4010,0)),""))</f>
        <v/>
      </c>
      <c r="AH268" s="24" t="str">
        <f>IF(AE268="","",IFERROR(INDEX($AQ$11:$AQ$4010,MATCH(258,$AZ$11:$AZ$4010,0)),""))</f>
        <v/>
      </c>
      <c r="AI268" s="29" t="str">
        <f>IF(AE268="","",IFERROR(INDEX($AR$11:$AR$4010,MATCH(258,$AZ$11:$AZ$4010,0)),""))</f>
        <v/>
      </c>
      <c r="AJ268" s="29" t="str">
        <f>IF(AE268="","",IFERROR(INDEX($AT$11:$AT$4010,MATCH(258,$AZ$11:$AZ$4010,0)),""))</f>
        <v/>
      </c>
      <c r="AL268" s="31" t="str">
        <f t="shared" si="63"/>
        <v/>
      </c>
      <c r="AM268" s="26" t="str">
        <f t="shared" si="64"/>
        <v/>
      </c>
      <c r="AN268" s="32" t="str">
        <f t="shared" si="65"/>
        <v/>
      </c>
      <c r="AO268" s="32" t="str">
        <f t="shared" si="66"/>
        <v/>
      </c>
      <c r="AP268" s="24" t="str">
        <f t="shared" si="67"/>
        <v/>
      </c>
      <c r="AQ268" s="24" t="str">
        <f t="shared" si="68"/>
        <v/>
      </c>
      <c r="AR268" s="33" t="str">
        <f t="shared" si="69"/>
        <v/>
      </c>
      <c r="AS268" s="34"/>
      <c r="AT268" s="33"/>
      <c r="AV268" s="21">
        <f>IF(AND($AL268&lt;&gt;"",COUNTIF($AL$11:$AL268,$AL268)=1),1,0)</f>
        <v>0</v>
      </c>
      <c r="AW268" s="21">
        <f t="shared" ref="AW268:AW331" si="71">AW267+AV268</f>
        <v>0</v>
      </c>
      <c r="AX268" s="21" t="str">
        <f t="shared" si="70"/>
        <v/>
      </c>
      <c r="AY268" s="21" t="str">
        <f>IF(AND($AM268&lt;&gt;"",$AS268&lt;&gt;"✓"),SUMPRODUCT(($AM$11:$AM268&lt;&gt;"")*($AS$11:$AS268&lt;&gt;"✓")),"")</f>
        <v/>
      </c>
      <c r="AZ268" s="21" t="str">
        <f>IF(AND($AM268&lt;&gt;"",$AS268="✓"),SUMPRODUCT(($AM$11:$AM268&lt;&gt;"")*($AS$11:$AS268="✓")),"")</f>
        <v/>
      </c>
      <c r="BA268" s="21" t="str">
        <f>IF($AL268="","",$AL268&amp;"|"&amp;COUNTIF($AL$11:$AL268,$AL268))</f>
        <v/>
      </c>
    </row>
    <row r="269" spans="2:53" ht="15" customHeight="1" x14ac:dyDescent="0.25">
      <c r="B269" s="5" t="str">
        <f t="shared" si="59"/>
        <v/>
      </c>
      <c r="C269" s="5"/>
      <c r="D269" s="5"/>
      <c r="E269" s="5"/>
      <c r="F269" s="6"/>
      <c r="G269" s="6"/>
      <c r="H269" s="7"/>
      <c r="I269" s="8"/>
      <c r="K269" s="9" t="str">
        <f>IFERROR(INDEX($AL$11:$AL$4010,MATCH(259,$AX$11:$AX$4010,0)),"")</f>
        <v/>
      </c>
      <c r="L269" s="10" t="str">
        <f t="shared" si="60"/>
        <v/>
      </c>
      <c r="M269" s="11" t="str">
        <f t="shared" si="61"/>
        <v/>
      </c>
      <c r="N269" s="11" t="str">
        <f t="shared" si="62"/>
        <v/>
      </c>
      <c r="W269" s="14" t="str">
        <f>IF(X269="","",IFERROR(INDEX($AL$11:$AL$4010,MATCH(259,$AY$11:$AY$4010,0)),""))</f>
        <v/>
      </c>
      <c r="X269" s="12" t="str">
        <f>IFERROR(INDEX($AM$11:$AM$4010,MATCH(259,$AY$11:$AY$4010,0)),"")</f>
        <v/>
      </c>
      <c r="Y269" s="11" t="str">
        <f>IF(X269="","",IFERROR(INDEX($AN$11:$AN$4010,MATCH(259,$AY$11:$AY$4010,0)),""))</f>
        <v/>
      </c>
      <c r="Z269" s="11" t="str">
        <f>IF(X269="","",IFERROR(INDEX($AO$11:$AO$4010,MATCH(259,$AY$11:$AY$4010,0)),""))</f>
        <v/>
      </c>
      <c r="AA269" s="10" t="str">
        <f>IF(X269="","",IFERROR(INDEX($AQ$11:$AQ$4010,MATCH(259,$AY$11:$AY$4010,0)),""))</f>
        <v/>
      </c>
      <c r="AB269" s="15" t="str">
        <f>IF(X269="","",IFERROR(INDEX($AR$11:$AR$4010,MATCH(259,$AY$11:$AY$4010,0)),""))</f>
        <v/>
      </c>
      <c r="AD269" s="16" t="str">
        <f>IF(AE269="","",IFERROR(INDEX($AL$11:$AL$4010,MATCH(259,$AZ$11:$AZ$4010,0)),""))</f>
        <v/>
      </c>
      <c r="AE269" s="12" t="str">
        <f>IFERROR(INDEX($AM$11:$AM$4010,MATCH(259,$AZ$11:$AZ$4010,0)),"")</f>
        <v/>
      </c>
      <c r="AF269" s="11" t="str">
        <f>IF(AE269="","",IFERROR(INDEX($AN$11:$AN$4010,MATCH(259,$AZ$11:$AZ$4010,0)),""))</f>
        <v/>
      </c>
      <c r="AG269" s="11" t="str">
        <f>IF(AE269="","",IFERROR(INDEX($AO$11:$AO$4010,MATCH(259,$AZ$11:$AZ$4010,0)),""))</f>
        <v/>
      </c>
      <c r="AH269" s="10" t="str">
        <f>IF(AE269="","",IFERROR(INDEX($AQ$11:$AQ$4010,MATCH(259,$AZ$11:$AZ$4010,0)),""))</f>
        <v/>
      </c>
      <c r="AI269" s="15" t="str">
        <f>IF(AE269="","",IFERROR(INDEX($AR$11:$AR$4010,MATCH(259,$AZ$11:$AZ$4010,0)),""))</f>
        <v/>
      </c>
      <c r="AJ269" s="15" t="str">
        <f>IF(AE269="","",IFERROR(INDEX($AT$11:$AT$4010,MATCH(259,$AZ$11:$AZ$4010,0)),""))</f>
        <v/>
      </c>
      <c r="AL269" s="17" t="str">
        <f t="shared" si="63"/>
        <v/>
      </c>
      <c r="AM269" s="12" t="str">
        <f t="shared" si="64"/>
        <v/>
      </c>
      <c r="AN269" s="18" t="str">
        <f t="shared" si="65"/>
        <v/>
      </c>
      <c r="AO269" s="18" t="str">
        <f t="shared" si="66"/>
        <v/>
      </c>
      <c r="AP269" s="10" t="str">
        <f t="shared" si="67"/>
        <v/>
      </c>
      <c r="AQ269" s="10" t="str">
        <f t="shared" si="68"/>
        <v/>
      </c>
      <c r="AR269" s="19" t="str">
        <f t="shared" si="69"/>
        <v/>
      </c>
      <c r="AS269" s="20"/>
      <c r="AT269" s="19"/>
      <c r="AV269" s="21">
        <f>IF(AND($AL269&lt;&gt;"",COUNTIF($AL$11:$AL269,$AL269)=1),1,0)</f>
        <v>0</v>
      </c>
      <c r="AW269" s="21">
        <f t="shared" si="71"/>
        <v>0</v>
      </c>
      <c r="AX269" s="21" t="str">
        <f t="shared" si="70"/>
        <v/>
      </c>
      <c r="AY269" s="21" t="str">
        <f>IF(AND($AM269&lt;&gt;"",$AS269&lt;&gt;"✓"),SUMPRODUCT(($AM$11:$AM269&lt;&gt;"")*($AS$11:$AS269&lt;&gt;"✓")),"")</f>
        <v/>
      </c>
      <c r="AZ269" s="21" t="str">
        <f>IF(AND($AM269&lt;&gt;"",$AS269="✓"),SUMPRODUCT(($AM$11:$AM269&lt;&gt;"")*($AS$11:$AS269="✓")),"")</f>
        <v/>
      </c>
      <c r="BA269" s="21" t="str">
        <f>IF($AL269="","",$AL269&amp;"|"&amp;COUNTIF($AL$11:$AL269,$AL269))</f>
        <v/>
      </c>
    </row>
    <row r="270" spans="2:53" ht="15" customHeight="1" x14ac:dyDescent="0.25">
      <c r="B270" s="5" t="str">
        <f t="shared" si="59"/>
        <v/>
      </c>
      <c r="C270" s="5"/>
      <c r="D270" s="5"/>
      <c r="E270" s="5"/>
      <c r="F270" s="6"/>
      <c r="G270" s="6"/>
      <c r="H270" s="7"/>
      <c r="I270" s="8"/>
      <c r="K270" s="23" t="str">
        <f>IFERROR(INDEX($AL$11:$AL$4010,MATCH(260,$AX$11:$AX$4010,0)),"")</f>
        <v/>
      </c>
      <c r="L270" s="24" t="str">
        <f t="shared" si="60"/>
        <v/>
      </c>
      <c r="M270" s="25" t="str">
        <f t="shared" si="61"/>
        <v/>
      </c>
      <c r="N270" s="25" t="str">
        <f t="shared" si="62"/>
        <v/>
      </c>
      <c r="W270" s="28" t="str">
        <f>IF(X270="","",IFERROR(INDEX($AL$11:$AL$4010,MATCH(260,$AY$11:$AY$4010,0)),""))</f>
        <v/>
      </c>
      <c r="X270" s="26" t="str">
        <f>IFERROR(INDEX($AM$11:$AM$4010,MATCH(260,$AY$11:$AY$4010,0)),"")</f>
        <v/>
      </c>
      <c r="Y270" s="25" t="str">
        <f>IF(X270="","",IFERROR(INDEX($AN$11:$AN$4010,MATCH(260,$AY$11:$AY$4010,0)),""))</f>
        <v/>
      </c>
      <c r="Z270" s="25" t="str">
        <f>IF(X270="","",IFERROR(INDEX($AO$11:$AO$4010,MATCH(260,$AY$11:$AY$4010,0)),""))</f>
        <v/>
      </c>
      <c r="AA270" s="24" t="str">
        <f>IF(X270="","",IFERROR(INDEX($AQ$11:$AQ$4010,MATCH(260,$AY$11:$AY$4010,0)),""))</f>
        <v/>
      </c>
      <c r="AB270" s="29" t="str">
        <f>IF(X270="","",IFERROR(INDEX($AR$11:$AR$4010,MATCH(260,$AY$11:$AY$4010,0)),""))</f>
        <v/>
      </c>
      <c r="AD270" s="30" t="str">
        <f>IF(AE270="","",IFERROR(INDEX($AL$11:$AL$4010,MATCH(260,$AZ$11:$AZ$4010,0)),""))</f>
        <v/>
      </c>
      <c r="AE270" s="26" t="str">
        <f>IFERROR(INDEX($AM$11:$AM$4010,MATCH(260,$AZ$11:$AZ$4010,0)),"")</f>
        <v/>
      </c>
      <c r="AF270" s="25" t="str">
        <f>IF(AE270="","",IFERROR(INDEX($AN$11:$AN$4010,MATCH(260,$AZ$11:$AZ$4010,0)),""))</f>
        <v/>
      </c>
      <c r="AG270" s="25" t="str">
        <f>IF(AE270="","",IFERROR(INDEX($AO$11:$AO$4010,MATCH(260,$AZ$11:$AZ$4010,0)),""))</f>
        <v/>
      </c>
      <c r="AH270" s="24" t="str">
        <f>IF(AE270="","",IFERROR(INDEX($AQ$11:$AQ$4010,MATCH(260,$AZ$11:$AZ$4010,0)),""))</f>
        <v/>
      </c>
      <c r="AI270" s="29" t="str">
        <f>IF(AE270="","",IFERROR(INDEX($AR$11:$AR$4010,MATCH(260,$AZ$11:$AZ$4010,0)),""))</f>
        <v/>
      </c>
      <c r="AJ270" s="29" t="str">
        <f>IF(AE270="","",IFERROR(INDEX($AT$11:$AT$4010,MATCH(260,$AZ$11:$AZ$4010,0)),""))</f>
        <v/>
      </c>
      <c r="AL270" s="31" t="str">
        <f t="shared" si="63"/>
        <v/>
      </c>
      <c r="AM270" s="26" t="str">
        <f t="shared" si="64"/>
        <v/>
      </c>
      <c r="AN270" s="32" t="str">
        <f t="shared" si="65"/>
        <v/>
      </c>
      <c r="AO270" s="32" t="str">
        <f t="shared" si="66"/>
        <v/>
      </c>
      <c r="AP270" s="24" t="str">
        <f t="shared" si="67"/>
        <v/>
      </c>
      <c r="AQ270" s="24" t="str">
        <f t="shared" si="68"/>
        <v/>
      </c>
      <c r="AR270" s="33" t="str">
        <f t="shared" si="69"/>
        <v/>
      </c>
      <c r="AS270" s="34"/>
      <c r="AT270" s="33"/>
      <c r="AV270" s="21">
        <f>IF(AND($AL270&lt;&gt;"",COUNTIF($AL$11:$AL270,$AL270)=1),1,0)</f>
        <v>0</v>
      </c>
      <c r="AW270" s="21">
        <f t="shared" si="71"/>
        <v>0</v>
      </c>
      <c r="AX270" s="21" t="str">
        <f t="shared" si="70"/>
        <v/>
      </c>
      <c r="AY270" s="21" t="str">
        <f>IF(AND($AM270&lt;&gt;"",$AS270&lt;&gt;"✓"),SUMPRODUCT(($AM$11:$AM270&lt;&gt;"")*($AS$11:$AS270&lt;&gt;"✓")),"")</f>
        <v/>
      </c>
      <c r="AZ270" s="21" t="str">
        <f>IF(AND($AM270&lt;&gt;"",$AS270="✓"),SUMPRODUCT(($AM$11:$AM270&lt;&gt;"")*($AS$11:$AS270="✓")),"")</f>
        <v/>
      </c>
      <c r="BA270" s="21" t="str">
        <f>IF($AL270="","",$AL270&amp;"|"&amp;COUNTIF($AL$11:$AL270,$AL270))</f>
        <v/>
      </c>
    </row>
    <row r="271" spans="2:53" ht="15" customHeight="1" x14ac:dyDescent="0.25">
      <c r="B271" s="5" t="str">
        <f t="shared" si="59"/>
        <v/>
      </c>
      <c r="C271" s="5"/>
      <c r="D271" s="5"/>
      <c r="E271" s="5"/>
      <c r="F271" s="6"/>
      <c r="G271" s="6"/>
      <c r="H271" s="7"/>
      <c r="I271" s="8"/>
      <c r="K271" s="9" t="str">
        <f>IFERROR(INDEX($AL$11:$AL$4010,MATCH(261,$AX$11:$AX$4010,0)),"")</f>
        <v/>
      </c>
      <c r="L271" s="10" t="str">
        <f t="shared" si="60"/>
        <v/>
      </c>
      <c r="M271" s="11" t="str">
        <f t="shared" si="61"/>
        <v/>
      </c>
      <c r="N271" s="11" t="str">
        <f t="shared" si="62"/>
        <v/>
      </c>
      <c r="W271" s="14" t="str">
        <f>IF(X271="","",IFERROR(INDEX($AL$11:$AL$4010,MATCH(261,$AY$11:$AY$4010,0)),""))</f>
        <v/>
      </c>
      <c r="X271" s="12" t="str">
        <f>IFERROR(INDEX($AM$11:$AM$4010,MATCH(261,$AY$11:$AY$4010,0)),"")</f>
        <v/>
      </c>
      <c r="Y271" s="11" t="str">
        <f>IF(X271="","",IFERROR(INDEX($AN$11:$AN$4010,MATCH(261,$AY$11:$AY$4010,0)),""))</f>
        <v/>
      </c>
      <c r="Z271" s="11" t="str">
        <f>IF(X271="","",IFERROR(INDEX($AO$11:$AO$4010,MATCH(261,$AY$11:$AY$4010,0)),""))</f>
        <v/>
      </c>
      <c r="AA271" s="10" t="str">
        <f>IF(X271="","",IFERROR(INDEX($AQ$11:$AQ$4010,MATCH(261,$AY$11:$AY$4010,0)),""))</f>
        <v/>
      </c>
      <c r="AB271" s="15" t="str">
        <f>IF(X271="","",IFERROR(INDEX($AR$11:$AR$4010,MATCH(261,$AY$11:$AY$4010,0)),""))</f>
        <v/>
      </c>
      <c r="AD271" s="16" t="str">
        <f>IF(AE271="","",IFERROR(INDEX($AL$11:$AL$4010,MATCH(261,$AZ$11:$AZ$4010,0)),""))</f>
        <v/>
      </c>
      <c r="AE271" s="12" t="str">
        <f>IFERROR(INDEX($AM$11:$AM$4010,MATCH(261,$AZ$11:$AZ$4010,0)),"")</f>
        <v/>
      </c>
      <c r="AF271" s="11" t="str">
        <f>IF(AE271="","",IFERROR(INDEX($AN$11:$AN$4010,MATCH(261,$AZ$11:$AZ$4010,0)),""))</f>
        <v/>
      </c>
      <c r="AG271" s="11" t="str">
        <f>IF(AE271="","",IFERROR(INDEX($AO$11:$AO$4010,MATCH(261,$AZ$11:$AZ$4010,0)),""))</f>
        <v/>
      </c>
      <c r="AH271" s="10" t="str">
        <f>IF(AE271="","",IFERROR(INDEX($AQ$11:$AQ$4010,MATCH(261,$AZ$11:$AZ$4010,0)),""))</f>
        <v/>
      </c>
      <c r="AI271" s="15" t="str">
        <f>IF(AE271="","",IFERROR(INDEX($AR$11:$AR$4010,MATCH(261,$AZ$11:$AZ$4010,0)),""))</f>
        <v/>
      </c>
      <c r="AJ271" s="15" t="str">
        <f>IF(AE271="","",IFERROR(INDEX($AT$11:$AT$4010,MATCH(261,$AZ$11:$AZ$4010,0)),""))</f>
        <v/>
      </c>
      <c r="AL271" s="17" t="str">
        <f t="shared" si="63"/>
        <v/>
      </c>
      <c r="AM271" s="12" t="str">
        <f t="shared" si="64"/>
        <v/>
      </c>
      <c r="AN271" s="18" t="str">
        <f t="shared" si="65"/>
        <v/>
      </c>
      <c r="AO271" s="18" t="str">
        <f t="shared" si="66"/>
        <v/>
      </c>
      <c r="AP271" s="10" t="str">
        <f t="shared" si="67"/>
        <v/>
      </c>
      <c r="AQ271" s="10" t="str">
        <f t="shared" si="68"/>
        <v/>
      </c>
      <c r="AR271" s="19" t="str">
        <f t="shared" si="69"/>
        <v/>
      </c>
      <c r="AS271" s="20"/>
      <c r="AT271" s="19"/>
      <c r="AV271" s="21">
        <f>IF(AND($AL271&lt;&gt;"",COUNTIF($AL$11:$AL271,$AL271)=1),1,0)</f>
        <v>0</v>
      </c>
      <c r="AW271" s="21">
        <f t="shared" si="71"/>
        <v>0</v>
      </c>
      <c r="AX271" s="21" t="str">
        <f t="shared" si="70"/>
        <v/>
      </c>
      <c r="AY271" s="21" t="str">
        <f>IF(AND($AM271&lt;&gt;"",$AS271&lt;&gt;"✓"),SUMPRODUCT(($AM$11:$AM271&lt;&gt;"")*($AS$11:$AS271&lt;&gt;"✓")),"")</f>
        <v/>
      </c>
      <c r="AZ271" s="21" t="str">
        <f>IF(AND($AM271&lt;&gt;"",$AS271="✓"),SUMPRODUCT(($AM$11:$AM271&lt;&gt;"")*($AS$11:$AS271="✓")),"")</f>
        <v/>
      </c>
      <c r="BA271" s="21" t="str">
        <f>IF($AL271="","",$AL271&amp;"|"&amp;COUNTIF($AL$11:$AL271,$AL271))</f>
        <v/>
      </c>
    </row>
    <row r="272" spans="2:53" ht="15" customHeight="1" x14ac:dyDescent="0.25">
      <c r="B272" s="5" t="str">
        <f t="shared" si="59"/>
        <v/>
      </c>
      <c r="C272" s="5"/>
      <c r="D272" s="5"/>
      <c r="E272" s="5"/>
      <c r="F272" s="6"/>
      <c r="G272" s="6"/>
      <c r="H272" s="7"/>
      <c r="I272" s="8"/>
      <c r="K272" s="23" t="str">
        <f>IFERROR(INDEX($AL$11:$AL$4010,MATCH(262,$AX$11:$AX$4010,0)),"")</f>
        <v/>
      </c>
      <c r="L272" s="24" t="str">
        <f t="shared" si="60"/>
        <v/>
      </c>
      <c r="M272" s="25" t="str">
        <f t="shared" si="61"/>
        <v/>
      </c>
      <c r="N272" s="25" t="str">
        <f t="shared" si="62"/>
        <v/>
      </c>
      <c r="W272" s="28" t="str">
        <f>IF(X272="","",IFERROR(INDEX($AL$11:$AL$4010,MATCH(262,$AY$11:$AY$4010,0)),""))</f>
        <v/>
      </c>
      <c r="X272" s="26" t="str">
        <f>IFERROR(INDEX($AM$11:$AM$4010,MATCH(262,$AY$11:$AY$4010,0)),"")</f>
        <v/>
      </c>
      <c r="Y272" s="25" t="str">
        <f>IF(X272="","",IFERROR(INDEX($AN$11:$AN$4010,MATCH(262,$AY$11:$AY$4010,0)),""))</f>
        <v/>
      </c>
      <c r="Z272" s="25" t="str">
        <f>IF(X272="","",IFERROR(INDEX($AO$11:$AO$4010,MATCH(262,$AY$11:$AY$4010,0)),""))</f>
        <v/>
      </c>
      <c r="AA272" s="24" t="str">
        <f>IF(X272="","",IFERROR(INDEX($AQ$11:$AQ$4010,MATCH(262,$AY$11:$AY$4010,0)),""))</f>
        <v/>
      </c>
      <c r="AB272" s="29" t="str">
        <f>IF(X272="","",IFERROR(INDEX($AR$11:$AR$4010,MATCH(262,$AY$11:$AY$4010,0)),""))</f>
        <v/>
      </c>
      <c r="AD272" s="30" t="str">
        <f>IF(AE272="","",IFERROR(INDEX($AL$11:$AL$4010,MATCH(262,$AZ$11:$AZ$4010,0)),""))</f>
        <v/>
      </c>
      <c r="AE272" s="26" t="str">
        <f>IFERROR(INDEX($AM$11:$AM$4010,MATCH(262,$AZ$11:$AZ$4010,0)),"")</f>
        <v/>
      </c>
      <c r="AF272" s="25" t="str">
        <f>IF(AE272="","",IFERROR(INDEX($AN$11:$AN$4010,MATCH(262,$AZ$11:$AZ$4010,0)),""))</f>
        <v/>
      </c>
      <c r="AG272" s="25" t="str">
        <f>IF(AE272="","",IFERROR(INDEX($AO$11:$AO$4010,MATCH(262,$AZ$11:$AZ$4010,0)),""))</f>
        <v/>
      </c>
      <c r="AH272" s="24" t="str">
        <f>IF(AE272="","",IFERROR(INDEX($AQ$11:$AQ$4010,MATCH(262,$AZ$11:$AZ$4010,0)),""))</f>
        <v/>
      </c>
      <c r="AI272" s="29" t="str">
        <f>IF(AE272="","",IFERROR(INDEX($AR$11:$AR$4010,MATCH(262,$AZ$11:$AZ$4010,0)),""))</f>
        <v/>
      </c>
      <c r="AJ272" s="29" t="str">
        <f>IF(AE272="","",IFERROR(INDEX($AT$11:$AT$4010,MATCH(262,$AZ$11:$AZ$4010,0)),""))</f>
        <v/>
      </c>
      <c r="AL272" s="31" t="str">
        <f t="shared" si="63"/>
        <v/>
      </c>
      <c r="AM272" s="26" t="str">
        <f t="shared" si="64"/>
        <v/>
      </c>
      <c r="AN272" s="32" t="str">
        <f t="shared" si="65"/>
        <v/>
      </c>
      <c r="AO272" s="32" t="str">
        <f t="shared" si="66"/>
        <v/>
      </c>
      <c r="AP272" s="24" t="str">
        <f t="shared" si="67"/>
        <v/>
      </c>
      <c r="AQ272" s="24" t="str">
        <f t="shared" si="68"/>
        <v/>
      </c>
      <c r="AR272" s="33" t="str">
        <f t="shared" si="69"/>
        <v/>
      </c>
      <c r="AS272" s="34"/>
      <c r="AT272" s="33"/>
      <c r="AV272" s="21">
        <f>IF(AND($AL272&lt;&gt;"",COUNTIF($AL$11:$AL272,$AL272)=1),1,0)</f>
        <v>0</v>
      </c>
      <c r="AW272" s="21">
        <f t="shared" si="71"/>
        <v>0</v>
      </c>
      <c r="AX272" s="21" t="str">
        <f t="shared" si="70"/>
        <v/>
      </c>
      <c r="AY272" s="21" t="str">
        <f>IF(AND($AM272&lt;&gt;"",$AS272&lt;&gt;"✓"),SUMPRODUCT(($AM$11:$AM272&lt;&gt;"")*($AS$11:$AS272&lt;&gt;"✓")),"")</f>
        <v/>
      </c>
      <c r="AZ272" s="21" t="str">
        <f>IF(AND($AM272&lt;&gt;"",$AS272="✓"),SUMPRODUCT(($AM$11:$AM272&lt;&gt;"")*($AS$11:$AS272="✓")),"")</f>
        <v/>
      </c>
      <c r="BA272" s="21" t="str">
        <f>IF($AL272="","",$AL272&amp;"|"&amp;COUNTIF($AL$11:$AL272,$AL272))</f>
        <v/>
      </c>
    </row>
    <row r="273" spans="2:53" ht="15" customHeight="1" x14ac:dyDescent="0.25">
      <c r="B273" s="5" t="str">
        <f t="shared" si="59"/>
        <v/>
      </c>
      <c r="C273" s="5"/>
      <c r="D273" s="5"/>
      <c r="E273" s="5"/>
      <c r="F273" s="6"/>
      <c r="G273" s="6"/>
      <c r="H273" s="7"/>
      <c r="I273" s="8"/>
      <c r="K273" s="9" t="str">
        <f>IFERROR(INDEX($AL$11:$AL$4010,MATCH(263,$AX$11:$AX$4010,0)),"")</f>
        <v/>
      </c>
      <c r="L273" s="10" t="str">
        <f t="shared" si="60"/>
        <v/>
      </c>
      <c r="M273" s="11" t="str">
        <f t="shared" si="61"/>
        <v/>
      </c>
      <c r="N273" s="11" t="str">
        <f t="shared" si="62"/>
        <v/>
      </c>
      <c r="W273" s="14" t="str">
        <f>IF(X273="","",IFERROR(INDEX($AL$11:$AL$4010,MATCH(263,$AY$11:$AY$4010,0)),""))</f>
        <v/>
      </c>
      <c r="X273" s="12" t="str">
        <f>IFERROR(INDEX($AM$11:$AM$4010,MATCH(263,$AY$11:$AY$4010,0)),"")</f>
        <v/>
      </c>
      <c r="Y273" s="11" t="str">
        <f>IF(X273="","",IFERROR(INDEX($AN$11:$AN$4010,MATCH(263,$AY$11:$AY$4010,0)),""))</f>
        <v/>
      </c>
      <c r="Z273" s="11" t="str">
        <f>IF(X273="","",IFERROR(INDEX($AO$11:$AO$4010,MATCH(263,$AY$11:$AY$4010,0)),""))</f>
        <v/>
      </c>
      <c r="AA273" s="10" t="str">
        <f>IF(X273="","",IFERROR(INDEX($AQ$11:$AQ$4010,MATCH(263,$AY$11:$AY$4010,0)),""))</f>
        <v/>
      </c>
      <c r="AB273" s="15" t="str">
        <f>IF(X273="","",IFERROR(INDEX($AR$11:$AR$4010,MATCH(263,$AY$11:$AY$4010,0)),""))</f>
        <v/>
      </c>
      <c r="AD273" s="16" t="str">
        <f>IF(AE273="","",IFERROR(INDEX($AL$11:$AL$4010,MATCH(263,$AZ$11:$AZ$4010,0)),""))</f>
        <v/>
      </c>
      <c r="AE273" s="12" t="str">
        <f>IFERROR(INDEX($AM$11:$AM$4010,MATCH(263,$AZ$11:$AZ$4010,0)),"")</f>
        <v/>
      </c>
      <c r="AF273" s="11" t="str">
        <f>IF(AE273="","",IFERROR(INDEX($AN$11:$AN$4010,MATCH(263,$AZ$11:$AZ$4010,0)),""))</f>
        <v/>
      </c>
      <c r="AG273" s="11" t="str">
        <f>IF(AE273="","",IFERROR(INDEX($AO$11:$AO$4010,MATCH(263,$AZ$11:$AZ$4010,0)),""))</f>
        <v/>
      </c>
      <c r="AH273" s="10" t="str">
        <f>IF(AE273="","",IFERROR(INDEX($AQ$11:$AQ$4010,MATCH(263,$AZ$11:$AZ$4010,0)),""))</f>
        <v/>
      </c>
      <c r="AI273" s="15" t="str">
        <f>IF(AE273="","",IFERROR(INDEX($AR$11:$AR$4010,MATCH(263,$AZ$11:$AZ$4010,0)),""))</f>
        <v/>
      </c>
      <c r="AJ273" s="15" t="str">
        <f>IF(AE273="","",IFERROR(INDEX($AT$11:$AT$4010,MATCH(263,$AZ$11:$AZ$4010,0)),""))</f>
        <v/>
      </c>
      <c r="AL273" s="17" t="str">
        <f t="shared" si="63"/>
        <v/>
      </c>
      <c r="AM273" s="12" t="str">
        <f t="shared" si="64"/>
        <v/>
      </c>
      <c r="AN273" s="18" t="str">
        <f t="shared" si="65"/>
        <v/>
      </c>
      <c r="AO273" s="18" t="str">
        <f t="shared" si="66"/>
        <v/>
      </c>
      <c r="AP273" s="10" t="str">
        <f t="shared" si="67"/>
        <v/>
      </c>
      <c r="AQ273" s="10" t="str">
        <f t="shared" si="68"/>
        <v/>
      </c>
      <c r="AR273" s="19" t="str">
        <f t="shared" si="69"/>
        <v/>
      </c>
      <c r="AS273" s="20"/>
      <c r="AT273" s="19"/>
      <c r="AV273" s="21">
        <f>IF(AND($AL273&lt;&gt;"",COUNTIF($AL$11:$AL273,$AL273)=1),1,0)</f>
        <v>0</v>
      </c>
      <c r="AW273" s="21">
        <f t="shared" si="71"/>
        <v>0</v>
      </c>
      <c r="AX273" s="21" t="str">
        <f t="shared" si="70"/>
        <v/>
      </c>
      <c r="AY273" s="21" t="str">
        <f>IF(AND($AM273&lt;&gt;"",$AS273&lt;&gt;"✓"),SUMPRODUCT(($AM$11:$AM273&lt;&gt;"")*($AS$11:$AS273&lt;&gt;"✓")),"")</f>
        <v/>
      </c>
      <c r="AZ273" s="21" t="str">
        <f>IF(AND($AM273&lt;&gt;"",$AS273="✓"),SUMPRODUCT(($AM$11:$AM273&lt;&gt;"")*($AS$11:$AS273="✓")),"")</f>
        <v/>
      </c>
      <c r="BA273" s="21" t="str">
        <f>IF($AL273="","",$AL273&amp;"|"&amp;COUNTIF($AL$11:$AL273,$AL273))</f>
        <v/>
      </c>
    </row>
    <row r="274" spans="2:53" ht="15" customHeight="1" x14ac:dyDescent="0.25">
      <c r="B274" s="5" t="str">
        <f t="shared" si="59"/>
        <v/>
      </c>
      <c r="C274" s="5"/>
      <c r="D274" s="5"/>
      <c r="E274" s="5"/>
      <c r="F274" s="6"/>
      <c r="G274" s="6"/>
      <c r="H274" s="7"/>
      <c r="I274" s="8"/>
      <c r="K274" s="23" t="str">
        <f>IFERROR(INDEX($AL$11:$AL$4010,MATCH(264,$AX$11:$AX$4010,0)),"")</f>
        <v/>
      </c>
      <c r="L274" s="24" t="str">
        <f t="shared" si="60"/>
        <v/>
      </c>
      <c r="M274" s="25" t="str">
        <f t="shared" si="61"/>
        <v/>
      </c>
      <c r="N274" s="25" t="str">
        <f t="shared" si="62"/>
        <v/>
      </c>
      <c r="W274" s="28" t="str">
        <f>IF(X274="","",IFERROR(INDEX($AL$11:$AL$4010,MATCH(264,$AY$11:$AY$4010,0)),""))</f>
        <v/>
      </c>
      <c r="X274" s="26" t="str">
        <f>IFERROR(INDEX($AM$11:$AM$4010,MATCH(264,$AY$11:$AY$4010,0)),"")</f>
        <v/>
      </c>
      <c r="Y274" s="25" t="str">
        <f>IF(X274="","",IFERROR(INDEX($AN$11:$AN$4010,MATCH(264,$AY$11:$AY$4010,0)),""))</f>
        <v/>
      </c>
      <c r="Z274" s="25" t="str">
        <f>IF(X274="","",IFERROR(INDEX($AO$11:$AO$4010,MATCH(264,$AY$11:$AY$4010,0)),""))</f>
        <v/>
      </c>
      <c r="AA274" s="24" t="str">
        <f>IF(X274="","",IFERROR(INDEX($AQ$11:$AQ$4010,MATCH(264,$AY$11:$AY$4010,0)),""))</f>
        <v/>
      </c>
      <c r="AB274" s="29" t="str">
        <f>IF(X274="","",IFERROR(INDEX($AR$11:$AR$4010,MATCH(264,$AY$11:$AY$4010,0)),""))</f>
        <v/>
      </c>
      <c r="AD274" s="30" t="str">
        <f>IF(AE274="","",IFERROR(INDEX($AL$11:$AL$4010,MATCH(264,$AZ$11:$AZ$4010,0)),""))</f>
        <v/>
      </c>
      <c r="AE274" s="26" t="str">
        <f>IFERROR(INDEX($AM$11:$AM$4010,MATCH(264,$AZ$11:$AZ$4010,0)),"")</f>
        <v/>
      </c>
      <c r="AF274" s="25" t="str">
        <f>IF(AE274="","",IFERROR(INDEX($AN$11:$AN$4010,MATCH(264,$AZ$11:$AZ$4010,0)),""))</f>
        <v/>
      </c>
      <c r="AG274" s="25" t="str">
        <f>IF(AE274="","",IFERROR(INDEX($AO$11:$AO$4010,MATCH(264,$AZ$11:$AZ$4010,0)),""))</f>
        <v/>
      </c>
      <c r="AH274" s="24" t="str">
        <f>IF(AE274="","",IFERROR(INDEX($AQ$11:$AQ$4010,MATCH(264,$AZ$11:$AZ$4010,0)),""))</f>
        <v/>
      </c>
      <c r="AI274" s="29" t="str">
        <f>IF(AE274="","",IFERROR(INDEX($AR$11:$AR$4010,MATCH(264,$AZ$11:$AZ$4010,0)),""))</f>
        <v/>
      </c>
      <c r="AJ274" s="29" t="str">
        <f>IF(AE274="","",IFERROR(INDEX($AT$11:$AT$4010,MATCH(264,$AZ$11:$AZ$4010,0)),""))</f>
        <v/>
      </c>
      <c r="AL274" s="31" t="str">
        <f t="shared" si="63"/>
        <v/>
      </c>
      <c r="AM274" s="26" t="str">
        <f t="shared" si="64"/>
        <v/>
      </c>
      <c r="AN274" s="32" t="str">
        <f t="shared" si="65"/>
        <v/>
      </c>
      <c r="AO274" s="32" t="str">
        <f t="shared" si="66"/>
        <v/>
      </c>
      <c r="AP274" s="24" t="str">
        <f t="shared" si="67"/>
        <v/>
      </c>
      <c r="AQ274" s="24" t="str">
        <f t="shared" si="68"/>
        <v/>
      </c>
      <c r="AR274" s="33" t="str">
        <f t="shared" si="69"/>
        <v/>
      </c>
      <c r="AS274" s="34"/>
      <c r="AT274" s="33"/>
      <c r="AV274" s="21">
        <f>IF(AND($AL274&lt;&gt;"",COUNTIF($AL$11:$AL274,$AL274)=1),1,0)</f>
        <v>0</v>
      </c>
      <c r="AW274" s="21">
        <f t="shared" si="71"/>
        <v>0</v>
      </c>
      <c r="AX274" s="21" t="str">
        <f t="shared" si="70"/>
        <v/>
      </c>
      <c r="AY274" s="21" t="str">
        <f>IF(AND($AM274&lt;&gt;"",$AS274&lt;&gt;"✓"),SUMPRODUCT(($AM$11:$AM274&lt;&gt;"")*($AS$11:$AS274&lt;&gt;"✓")),"")</f>
        <v/>
      </c>
      <c r="AZ274" s="21" t="str">
        <f>IF(AND($AM274&lt;&gt;"",$AS274="✓"),SUMPRODUCT(($AM$11:$AM274&lt;&gt;"")*($AS$11:$AS274="✓")),"")</f>
        <v/>
      </c>
      <c r="BA274" s="21" t="str">
        <f>IF($AL274="","",$AL274&amp;"|"&amp;COUNTIF($AL$11:$AL274,$AL274))</f>
        <v/>
      </c>
    </row>
    <row r="275" spans="2:53" ht="15" customHeight="1" x14ac:dyDescent="0.25">
      <c r="B275" s="5" t="str">
        <f t="shared" si="59"/>
        <v/>
      </c>
      <c r="C275" s="5"/>
      <c r="D275" s="5"/>
      <c r="E275" s="5"/>
      <c r="F275" s="6"/>
      <c r="G275" s="6"/>
      <c r="H275" s="7"/>
      <c r="I275" s="8"/>
      <c r="K275" s="9" t="str">
        <f>IFERROR(INDEX($AL$11:$AL$4010,MATCH(265,$AX$11:$AX$4010,0)),"")</f>
        <v/>
      </c>
      <c r="L275" s="10" t="str">
        <f t="shared" si="60"/>
        <v/>
      </c>
      <c r="M275" s="11" t="str">
        <f t="shared" si="61"/>
        <v/>
      </c>
      <c r="N275" s="11" t="str">
        <f t="shared" si="62"/>
        <v/>
      </c>
      <c r="W275" s="14" t="str">
        <f>IF(X275="","",IFERROR(INDEX($AL$11:$AL$4010,MATCH(265,$AY$11:$AY$4010,0)),""))</f>
        <v/>
      </c>
      <c r="X275" s="12" t="str">
        <f>IFERROR(INDEX($AM$11:$AM$4010,MATCH(265,$AY$11:$AY$4010,0)),"")</f>
        <v/>
      </c>
      <c r="Y275" s="11" t="str">
        <f>IF(X275="","",IFERROR(INDEX($AN$11:$AN$4010,MATCH(265,$AY$11:$AY$4010,0)),""))</f>
        <v/>
      </c>
      <c r="Z275" s="11" t="str">
        <f>IF(X275="","",IFERROR(INDEX($AO$11:$AO$4010,MATCH(265,$AY$11:$AY$4010,0)),""))</f>
        <v/>
      </c>
      <c r="AA275" s="10" t="str">
        <f>IF(X275="","",IFERROR(INDEX($AQ$11:$AQ$4010,MATCH(265,$AY$11:$AY$4010,0)),""))</f>
        <v/>
      </c>
      <c r="AB275" s="15" t="str">
        <f>IF(X275="","",IFERROR(INDEX($AR$11:$AR$4010,MATCH(265,$AY$11:$AY$4010,0)),""))</f>
        <v/>
      </c>
      <c r="AD275" s="16" t="str">
        <f>IF(AE275="","",IFERROR(INDEX($AL$11:$AL$4010,MATCH(265,$AZ$11:$AZ$4010,0)),""))</f>
        <v/>
      </c>
      <c r="AE275" s="12" t="str">
        <f>IFERROR(INDEX($AM$11:$AM$4010,MATCH(265,$AZ$11:$AZ$4010,0)),"")</f>
        <v/>
      </c>
      <c r="AF275" s="11" t="str">
        <f>IF(AE275="","",IFERROR(INDEX($AN$11:$AN$4010,MATCH(265,$AZ$11:$AZ$4010,0)),""))</f>
        <v/>
      </c>
      <c r="AG275" s="11" t="str">
        <f>IF(AE275="","",IFERROR(INDEX($AO$11:$AO$4010,MATCH(265,$AZ$11:$AZ$4010,0)),""))</f>
        <v/>
      </c>
      <c r="AH275" s="10" t="str">
        <f>IF(AE275="","",IFERROR(INDEX($AQ$11:$AQ$4010,MATCH(265,$AZ$11:$AZ$4010,0)),""))</f>
        <v/>
      </c>
      <c r="AI275" s="15" t="str">
        <f>IF(AE275="","",IFERROR(INDEX($AR$11:$AR$4010,MATCH(265,$AZ$11:$AZ$4010,0)),""))</f>
        <v/>
      </c>
      <c r="AJ275" s="15" t="str">
        <f>IF(AE275="","",IFERROR(INDEX($AT$11:$AT$4010,MATCH(265,$AZ$11:$AZ$4010,0)),""))</f>
        <v/>
      </c>
      <c r="AL275" s="17" t="str">
        <f t="shared" si="63"/>
        <v/>
      </c>
      <c r="AM275" s="12" t="str">
        <f t="shared" si="64"/>
        <v/>
      </c>
      <c r="AN275" s="18" t="str">
        <f t="shared" si="65"/>
        <v/>
      </c>
      <c r="AO275" s="18" t="str">
        <f t="shared" si="66"/>
        <v/>
      </c>
      <c r="AP275" s="10" t="str">
        <f t="shared" si="67"/>
        <v/>
      </c>
      <c r="AQ275" s="10" t="str">
        <f t="shared" si="68"/>
        <v/>
      </c>
      <c r="AR275" s="19" t="str">
        <f t="shared" si="69"/>
        <v/>
      </c>
      <c r="AS275" s="20"/>
      <c r="AT275" s="19"/>
      <c r="AV275" s="21">
        <f>IF(AND($AL275&lt;&gt;"",COUNTIF($AL$11:$AL275,$AL275)=1),1,0)</f>
        <v>0</v>
      </c>
      <c r="AW275" s="21">
        <f t="shared" si="71"/>
        <v>0</v>
      </c>
      <c r="AX275" s="21" t="str">
        <f t="shared" si="70"/>
        <v/>
      </c>
      <c r="AY275" s="21" t="str">
        <f>IF(AND($AM275&lt;&gt;"",$AS275&lt;&gt;"✓"),SUMPRODUCT(($AM$11:$AM275&lt;&gt;"")*($AS$11:$AS275&lt;&gt;"✓")),"")</f>
        <v/>
      </c>
      <c r="AZ275" s="21" t="str">
        <f>IF(AND($AM275&lt;&gt;"",$AS275="✓"),SUMPRODUCT(($AM$11:$AM275&lt;&gt;"")*($AS$11:$AS275="✓")),"")</f>
        <v/>
      </c>
      <c r="BA275" s="21" t="str">
        <f>IF($AL275="","",$AL275&amp;"|"&amp;COUNTIF($AL$11:$AL275,$AL275))</f>
        <v/>
      </c>
    </row>
    <row r="276" spans="2:53" ht="15" customHeight="1" x14ac:dyDescent="0.25">
      <c r="B276" s="5" t="str">
        <f t="shared" si="59"/>
        <v/>
      </c>
      <c r="C276" s="5"/>
      <c r="D276" s="5"/>
      <c r="E276" s="5"/>
      <c r="F276" s="6"/>
      <c r="G276" s="6"/>
      <c r="H276" s="7"/>
      <c r="I276" s="8"/>
      <c r="K276" s="23" t="str">
        <f>IFERROR(INDEX($AL$11:$AL$4010,MATCH(266,$AX$11:$AX$4010,0)),"")</f>
        <v/>
      </c>
      <c r="L276" s="24" t="str">
        <f t="shared" si="60"/>
        <v/>
      </c>
      <c r="M276" s="25" t="str">
        <f t="shared" si="61"/>
        <v/>
      </c>
      <c r="N276" s="25" t="str">
        <f t="shared" si="62"/>
        <v/>
      </c>
      <c r="W276" s="28" t="str">
        <f>IF(X276="","",IFERROR(INDEX($AL$11:$AL$4010,MATCH(266,$AY$11:$AY$4010,0)),""))</f>
        <v/>
      </c>
      <c r="X276" s="26" t="str">
        <f>IFERROR(INDEX($AM$11:$AM$4010,MATCH(266,$AY$11:$AY$4010,0)),"")</f>
        <v/>
      </c>
      <c r="Y276" s="25" t="str">
        <f>IF(X276="","",IFERROR(INDEX($AN$11:$AN$4010,MATCH(266,$AY$11:$AY$4010,0)),""))</f>
        <v/>
      </c>
      <c r="Z276" s="25" t="str">
        <f>IF(X276="","",IFERROR(INDEX($AO$11:$AO$4010,MATCH(266,$AY$11:$AY$4010,0)),""))</f>
        <v/>
      </c>
      <c r="AA276" s="24" t="str">
        <f>IF(X276="","",IFERROR(INDEX($AQ$11:$AQ$4010,MATCH(266,$AY$11:$AY$4010,0)),""))</f>
        <v/>
      </c>
      <c r="AB276" s="29" t="str">
        <f>IF(X276="","",IFERROR(INDEX($AR$11:$AR$4010,MATCH(266,$AY$11:$AY$4010,0)),""))</f>
        <v/>
      </c>
      <c r="AD276" s="30" t="str">
        <f>IF(AE276="","",IFERROR(INDEX($AL$11:$AL$4010,MATCH(266,$AZ$11:$AZ$4010,0)),""))</f>
        <v/>
      </c>
      <c r="AE276" s="26" t="str">
        <f>IFERROR(INDEX($AM$11:$AM$4010,MATCH(266,$AZ$11:$AZ$4010,0)),"")</f>
        <v/>
      </c>
      <c r="AF276" s="25" t="str">
        <f>IF(AE276="","",IFERROR(INDEX($AN$11:$AN$4010,MATCH(266,$AZ$11:$AZ$4010,0)),""))</f>
        <v/>
      </c>
      <c r="AG276" s="25" t="str">
        <f>IF(AE276="","",IFERROR(INDEX($AO$11:$AO$4010,MATCH(266,$AZ$11:$AZ$4010,0)),""))</f>
        <v/>
      </c>
      <c r="AH276" s="24" t="str">
        <f>IF(AE276="","",IFERROR(INDEX($AQ$11:$AQ$4010,MATCH(266,$AZ$11:$AZ$4010,0)),""))</f>
        <v/>
      </c>
      <c r="AI276" s="29" t="str">
        <f>IF(AE276="","",IFERROR(INDEX($AR$11:$AR$4010,MATCH(266,$AZ$11:$AZ$4010,0)),""))</f>
        <v/>
      </c>
      <c r="AJ276" s="29" t="str">
        <f>IF(AE276="","",IFERROR(INDEX($AT$11:$AT$4010,MATCH(266,$AZ$11:$AZ$4010,0)),""))</f>
        <v/>
      </c>
      <c r="AL276" s="31" t="str">
        <f t="shared" si="63"/>
        <v/>
      </c>
      <c r="AM276" s="26" t="str">
        <f t="shared" si="64"/>
        <v/>
      </c>
      <c r="AN276" s="32" t="str">
        <f t="shared" si="65"/>
        <v/>
      </c>
      <c r="AO276" s="32" t="str">
        <f t="shared" si="66"/>
        <v/>
      </c>
      <c r="AP276" s="24" t="str">
        <f t="shared" si="67"/>
        <v/>
      </c>
      <c r="AQ276" s="24" t="str">
        <f t="shared" si="68"/>
        <v/>
      </c>
      <c r="AR276" s="33" t="str">
        <f t="shared" si="69"/>
        <v/>
      </c>
      <c r="AS276" s="34"/>
      <c r="AT276" s="33"/>
      <c r="AV276" s="21">
        <f>IF(AND($AL276&lt;&gt;"",COUNTIF($AL$11:$AL276,$AL276)=1),1,0)</f>
        <v>0</v>
      </c>
      <c r="AW276" s="21">
        <f t="shared" si="71"/>
        <v>0</v>
      </c>
      <c r="AX276" s="21" t="str">
        <f t="shared" si="70"/>
        <v/>
      </c>
      <c r="AY276" s="21" t="str">
        <f>IF(AND($AM276&lt;&gt;"",$AS276&lt;&gt;"✓"),SUMPRODUCT(($AM$11:$AM276&lt;&gt;"")*($AS$11:$AS276&lt;&gt;"✓")),"")</f>
        <v/>
      </c>
      <c r="AZ276" s="21" t="str">
        <f>IF(AND($AM276&lt;&gt;"",$AS276="✓"),SUMPRODUCT(($AM$11:$AM276&lt;&gt;"")*($AS$11:$AS276="✓")),"")</f>
        <v/>
      </c>
      <c r="BA276" s="21" t="str">
        <f>IF($AL276="","",$AL276&amp;"|"&amp;COUNTIF($AL$11:$AL276,$AL276))</f>
        <v/>
      </c>
    </row>
    <row r="277" spans="2:53" ht="15" customHeight="1" x14ac:dyDescent="0.25">
      <c r="B277" s="5" t="str">
        <f t="shared" si="59"/>
        <v/>
      </c>
      <c r="C277" s="5"/>
      <c r="D277" s="5"/>
      <c r="E277" s="5"/>
      <c r="F277" s="6"/>
      <c r="G277" s="6"/>
      <c r="H277" s="7"/>
      <c r="I277" s="8"/>
      <c r="K277" s="9" t="str">
        <f>IFERROR(INDEX($AL$11:$AL$4010,MATCH(267,$AX$11:$AX$4010,0)),"")</f>
        <v/>
      </c>
      <c r="L277" s="10" t="str">
        <f t="shared" si="60"/>
        <v/>
      </c>
      <c r="M277" s="11" t="str">
        <f t="shared" si="61"/>
        <v/>
      </c>
      <c r="N277" s="11" t="str">
        <f t="shared" si="62"/>
        <v/>
      </c>
      <c r="W277" s="14" t="str">
        <f>IF(X277="","",IFERROR(INDEX($AL$11:$AL$4010,MATCH(267,$AY$11:$AY$4010,0)),""))</f>
        <v/>
      </c>
      <c r="X277" s="12" t="str">
        <f>IFERROR(INDEX($AM$11:$AM$4010,MATCH(267,$AY$11:$AY$4010,0)),"")</f>
        <v/>
      </c>
      <c r="Y277" s="11" t="str">
        <f>IF(X277="","",IFERROR(INDEX($AN$11:$AN$4010,MATCH(267,$AY$11:$AY$4010,0)),""))</f>
        <v/>
      </c>
      <c r="Z277" s="11" t="str">
        <f>IF(X277="","",IFERROR(INDEX($AO$11:$AO$4010,MATCH(267,$AY$11:$AY$4010,0)),""))</f>
        <v/>
      </c>
      <c r="AA277" s="10" t="str">
        <f>IF(X277="","",IFERROR(INDEX($AQ$11:$AQ$4010,MATCH(267,$AY$11:$AY$4010,0)),""))</f>
        <v/>
      </c>
      <c r="AB277" s="15" t="str">
        <f>IF(X277="","",IFERROR(INDEX($AR$11:$AR$4010,MATCH(267,$AY$11:$AY$4010,0)),""))</f>
        <v/>
      </c>
      <c r="AD277" s="16" t="str">
        <f>IF(AE277="","",IFERROR(INDEX($AL$11:$AL$4010,MATCH(267,$AZ$11:$AZ$4010,0)),""))</f>
        <v/>
      </c>
      <c r="AE277" s="12" t="str">
        <f>IFERROR(INDEX($AM$11:$AM$4010,MATCH(267,$AZ$11:$AZ$4010,0)),"")</f>
        <v/>
      </c>
      <c r="AF277" s="11" t="str">
        <f>IF(AE277="","",IFERROR(INDEX($AN$11:$AN$4010,MATCH(267,$AZ$11:$AZ$4010,0)),""))</f>
        <v/>
      </c>
      <c r="AG277" s="11" t="str">
        <f>IF(AE277="","",IFERROR(INDEX($AO$11:$AO$4010,MATCH(267,$AZ$11:$AZ$4010,0)),""))</f>
        <v/>
      </c>
      <c r="AH277" s="10" t="str">
        <f>IF(AE277="","",IFERROR(INDEX($AQ$11:$AQ$4010,MATCH(267,$AZ$11:$AZ$4010,0)),""))</f>
        <v/>
      </c>
      <c r="AI277" s="15" t="str">
        <f>IF(AE277="","",IFERROR(INDEX($AR$11:$AR$4010,MATCH(267,$AZ$11:$AZ$4010,0)),""))</f>
        <v/>
      </c>
      <c r="AJ277" s="15" t="str">
        <f>IF(AE277="","",IFERROR(INDEX($AT$11:$AT$4010,MATCH(267,$AZ$11:$AZ$4010,0)),""))</f>
        <v/>
      </c>
      <c r="AL277" s="17" t="str">
        <f t="shared" si="63"/>
        <v/>
      </c>
      <c r="AM277" s="12" t="str">
        <f t="shared" si="64"/>
        <v/>
      </c>
      <c r="AN277" s="18" t="str">
        <f t="shared" si="65"/>
        <v/>
      </c>
      <c r="AO277" s="18" t="str">
        <f t="shared" si="66"/>
        <v/>
      </c>
      <c r="AP277" s="10" t="str">
        <f t="shared" si="67"/>
        <v/>
      </c>
      <c r="AQ277" s="10" t="str">
        <f t="shared" si="68"/>
        <v/>
      </c>
      <c r="AR277" s="19" t="str">
        <f t="shared" si="69"/>
        <v/>
      </c>
      <c r="AS277" s="20"/>
      <c r="AT277" s="19"/>
      <c r="AV277" s="21">
        <f>IF(AND($AL277&lt;&gt;"",COUNTIF($AL$11:$AL277,$AL277)=1),1,0)</f>
        <v>0</v>
      </c>
      <c r="AW277" s="21">
        <f t="shared" si="71"/>
        <v>0</v>
      </c>
      <c r="AX277" s="21" t="str">
        <f t="shared" si="70"/>
        <v/>
      </c>
      <c r="AY277" s="21" t="str">
        <f>IF(AND($AM277&lt;&gt;"",$AS277&lt;&gt;"✓"),SUMPRODUCT(($AM$11:$AM277&lt;&gt;"")*($AS$11:$AS277&lt;&gt;"✓")),"")</f>
        <v/>
      </c>
      <c r="AZ277" s="21" t="str">
        <f>IF(AND($AM277&lt;&gt;"",$AS277="✓"),SUMPRODUCT(($AM$11:$AM277&lt;&gt;"")*($AS$11:$AS277="✓")),"")</f>
        <v/>
      </c>
      <c r="BA277" s="21" t="str">
        <f>IF($AL277="","",$AL277&amp;"|"&amp;COUNTIF($AL$11:$AL277,$AL277))</f>
        <v/>
      </c>
    </row>
    <row r="278" spans="2:53" ht="15" customHeight="1" x14ac:dyDescent="0.25">
      <c r="B278" s="5" t="str">
        <f t="shared" si="59"/>
        <v/>
      </c>
      <c r="C278" s="5"/>
      <c r="D278" s="5"/>
      <c r="E278" s="5"/>
      <c r="F278" s="6"/>
      <c r="G278" s="6"/>
      <c r="H278" s="7"/>
      <c r="I278" s="8"/>
      <c r="K278" s="23" t="str">
        <f>IFERROR(INDEX($AL$11:$AL$4010,MATCH(268,$AX$11:$AX$4010,0)),"")</f>
        <v/>
      </c>
      <c r="L278" s="24" t="str">
        <f t="shared" si="60"/>
        <v/>
      </c>
      <c r="M278" s="25" t="str">
        <f t="shared" si="61"/>
        <v/>
      </c>
      <c r="N278" s="25" t="str">
        <f t="shared" si="62"/>
        <v/>
      </c>
      <c r="W278" s="28" t="str">
        <f>IF(X278="","",IFERROR(INDEX($AL$11:$AL$4010,MATCH(268,$AY$11:$AY$4010,0)),""))</f>
        <v/>
      </c>
      <c r="X278" s="26" t="str">
        <f>IFERROR(INDEX($AM$11:$AM$4010,MATCH(268,$AY$11:$AY$4010,0)),"")</f>
        <v/>
      </c>
      <c r="Y278" s="25" t="str">
        <f>IF(X278="","",IFERROR(INDEX($AN$11:$AN$4010,MATCH(268,$AY$11:$AY$4010,0)),""))</f>
        <v/>
      </c>
      <c r="Z278" s="25" t="str">
        <f>IF(X278="","",IFERROR(INDEX($AO$11:$AO$4010,MATCH(268,$AY$11:$AY$4010,0)),""))</f>
        <v/>
      </c>
      <c r="AA278" s="24" t="str">
        <f>IF(X278="","",IFERROR(INDEX($AQ$11:$AQ$4010,MATCH(268,$AY$11:$AY$4010,0)),""))</f>
        <v/>
      </c>
      <c r="AB278" s="29" t="str">
        <f>IF(X278="","",IFERROR(INDEX($AR$11:$AR$4010,MATCH(268,$AY$11:$AY$4010,0)),""))</f>
        <v/>
      </c>
      <c r="AD278" s="30" t="str">
        <f>IF(AE278="","",IFERROR(INDEX($AL$11:$AL$4010,MATCH(268,$AZ$11:$AZ$4010,0)),""))</f>
        <v/>
      </c>
      <c r="AE278" s="26" t="str">
        <f>IFERROR(INDEX($AM$11:$AM$4010,MATCH(268,$AZ$11:$AZ$4010,0)),"")</f>
        <v/>
      </c>
      <c r="AF278" s="25" t="str">
        <f>IF(AE278="","",IFERROR(INDEX($AN$11:$AN$4010,MATCH(268,$AZ$11:$AZ$4010,0)),""))</f>
        <v/>
      </c>
      <c r="AG278" s="25" t="str">
        <f>IF(AE278="","",IFERROR(INDEX($AO$11:$AO$4010,MATCH(268,$AZ$11:$AZ$4010,0)),""))</f>
        <v/>
      </c>
      <c r="AH278" s="24" t="str">
        <f>IF(AE278="","",IFERROR(INDEX($AQ$11:$AQ$4010,MATCH(268,$AZ$11:$AZ$4010,0)),""))</f>
        <v/>
      </c>
      <c r="AI278" s="29" t="str">
        <f>IF(AE278="","",IFERROR(INDEX($AR$11:$AR$4010,MATCH(268,$AZ$11:$AZ$4010,0)),""))</f>
        <v/>
      </c>
      <c r="AJ278" s="29" t="str">
        <f>IF(AE278="","",IFERROR(INDEX($AT$11:$AT$4010,MATCH(268,$AZ$11:$AZ$4010,0)),""))</f>
        <v/>
      </c>
      <c r="AL278" s="31" t="str">
        <f t="shared" si="63"/>
        <v/>
      </c>
      <c r="AM278" s="26" t="str">
        <f t="shared" si="64"/>
        <v/>
      </c>
      <c r="AN278" s="32" t="str">
        <f t="shared" si="65"/>
        <v/>
      </c>
      <c r="AO278" s="32" t="str">
        <f t="shared" si="66"/>
        <v/>
      </c>
      <c r="AP278" s="24" t="str">
        <f t="shared" si="67"/>
        <v/>
      </c>
      <c r="AQ278" s="24" t="str">
        <f t="shared" si="68"/>
        <v/>
      </c>
      <c r="AR278" s="33" t="str">
        <f t="shared" si="69"/>
        <v/>
      </c>
      <c r="AS278" s="34"/>
      <c r="AT278" s="33"/>
      <c r="AV278" s="21">
        <f>IF(AND($AL278&lt;&gt;"",COUNTIF($AL$11:$AL278,$AL278)=1),1,0)</f>
        <v>0</v>
      </c>
      <c r="AW278" s="21">
        <f t="shared" si="71"/>
        <v>0</v>
      </c>
      <c r="AX278" s="21" t="str">
        <f t="shared" si="70"/>
        <v/>
      </c>
      <c r="AY278" s="21" t="str">
        <f>IF(AND($AM278&lt;&gt;"",$AS278&lt;&gt;"✓"),SUMPRODUCT(($AM$11:$AM278&lt;&gt;"")*($AS$11:$AS278&lt;&gt;"✓")),"")</f>
        <v/>
      </c>
      <c r="AZ278" s="21" t="str">
        <f>IF(AND($AM278&lt;&gt;"",$AS278="✓"),SUMPRODUCT(($AM$11:$AM278&lt;&gt;"")*($AS$11:$AS278="✓")),"")</f>
        <v/>
      </c>
      <c r="BA278" s="21" t="str">
        <f>IF($AL278="","",$AL278&amp;"|"&amp;COUNTIF($AL$11:$AL278,$AL278))</f>
        <v/>
      </c>
    </row>
    <row r="279" spans="2:53" ht="15" customHeight="1" x14ac:dyDescent="0.25">
      <c r="B279" s="5" t="str">
        <f t="shared" si="59"/>
        <v/>
      </c>
      <c r="C279" s="5"/>
      <c r="D279" s="5"/>
      <c r="E279" s="5"/>
      <c r="F279" s="6"/>
      <c r="G279" s="6"/>
      <c r="H279" s="7"/>
      <c r="I279" s="8"/>
      <c r="K279" s="9" t="str">
        <f>IFERROR(INDEX($AL$11:$AL$4010,MATCH(269,$AX$11:$AX$4010,0)),"")</f>
        <v/>
      </c>
      <c r="L279" s="10" t="str">
        <f t="shared" si="60"/>
        <v/>
      </c>
      <c r="M279" s="11" t="str">
        <f t="shared" si="61"/>
        <v/>
      </c>
      <c r="N279" s="11" t="str">
        <f t="shared" si="62"/>
        <v/>
      </c>
      <c r="W279" s="14" t="str">
        <f>IF(X279="","",IFERROR(INDEX($AL$11:$AL$4010,MATCH(269,$AY$11:$AY$4010,0)),""))</f>
        <v/>
      </c>
      <c r="X279" s="12" t="str">
        <f>IFERROR(INDEX($AM$11:$AM$4010,MATCH(269,$AY$11:$AY$4010,0)),"")</f>
        <v/>
      </c>
      <c r="Y279" s="11" t="str">
        <f>IF(X279="","",IFERROR(INDEX($AN$11:$AN$4010,MATCH(269,$AY$11:$AY$4010,0)),""))</f>
        <v/>
      </c>
      <c r="Z279" s="11" t="str">
        <f>IF(X279="","",IFERROR(INDEX($AO$11:$AO$4010,MATCH(269,$AY$11:$AY$4010,0)),""))</f>
        <v/>
      </c>
      <c r="AA279" s="10" t="str">
        <f>IF(X279="","",IFERROR(INDEX($AQ$11:$AQ$4010,MATCH(269,$AY$11:$AY$4010,0)),""))</f>
        <v/>
      </c>
      <c r="AB279" s="15" t="str">
        <f>IF(X279="","",IFERROR(INDEX($AR$11:$AR$4010,MATCH(269,$AY$11:$AY$4010,0)),""))</f>
        <v/>
      </c>
      <c r="AD279" s="16" t="str">
        <f>IF(AE279="","",IFERROR(INDEX($AL$11:$AL$4010,MATCH(269,$AZ$11:$AZ$4010,0)),""))</f>
        <v/>
      </c>
      <c r="AE279" s="12" t="str">
        <f>IFERROR(INDEX($AM$11:$AM$4010,MATCH(269,$AZ$11:$AZ$4010,0)),"")</f>
        <v/>
      </c>
      <c r="AF279" s="11" t="str">
        <f>IF(AE279="","",IFERROR(INDEX($AN$11:$AN$4010,MATCH(269,$AZ$11:$AZ$4010,0)),""))</f>
        <v/>
      </c>
      <c r="AG279" s="11" t="str">
        <f>IF(AE279="","",IFERROR(INDEX($AO$11:$AO$4010,MATCH(269,$AZ$11:$AZ$4010,0)),""))</f>
        <v/>
      </c>
      <c r="AH279" s="10" t="str">
        <f>IF(AE279="","",IFERROR(INDEX($AQ$11:$AQ$4010,MATCH(269,$AZ$11:$AZ$4010,0)),""))</f>
        <v/>
      </c>
      <c r="AI279" s="15" t="str">
        <f>IF(AE279="","",IFERROR(INDEX($AR$11:$AR$4010,MATCH(269,$AZ$11:$AZ$4010,0)),""))</f>
        <v/>
      </c>
      <c r="AJ279" s="15" t="str">
        <f>IF(AE279="","",IFERROR(INDEX($AT$11:$AT$4010,MATCH(269,$AZ$11:$AZ$4010,0)),""))</f>
        <v/>
      </c>
      <c r="AL279" s="17" t="str">
        <f t="shared" si="63"/>
        <v/>
      </c>
      <c r="AM279" s="12" t="str">
        <f t="shared" si="64"/>
        <v/>
      </c>
      <c r="AN279" s="18" t="str">
        <f t="shared" si="65"/>
        <v/>
      </c>
      <c r="AO279" s="18" t="str">
        <f t="shared" si="66"/>
        <v/>
      </c>
      <c r="AP279" s="10" t="str">
        <f t="shared" si="67"/>
        <v/>
      </c>
      <c r="AQ279" s="10" t="str">
        <f t="shared" si="68"/>
        <v/>
      </c>
      <c r="AR279" s="19" t="str">
        <f t="shared" si="69"/>
        <v/>
      </c>
      <c r="AS279" s="20"/>
      <c r="AT279" s="19"/>
      <c r="AV279" s="21">
        <f>IF(AND($AL279&lt;&gt;"",COUNTIF($AL$11:$AL279,$AL279)=1),1,0)</f>
        <v>0</v>
      </c>
      <c r="AW279" s="21">
        <f t="shared" si="71"/>
        <v>0</v>
      </c>
      <c r="AX279" s="21" t="str">
        <f t="shared" si="70"/>
        <v/>
      </c>
      <c r="AY279" s="21" t="str">
        <f>IF(AND($AM279&lt;&gt;"",$AS279&lt;&gt;"✓"),SUMPRODUCT(($AM$11:$AM279&lt;&gt;"")*($AS$11:$AS279&lt;&gt;"✓")),"")</f>
        <v/>
      </c>
      <c r="AZ279" s="21" t="str">
        <f>IF(AND($AM279&lt;&gt;"",$AS279="✓"),SUMPRODUCT(($AM$11:$AM279&lt;&gt;"")*($AS$11:$AS279="✓")),"")</f>
        <v/>
      </c>
      <c r="BA279" s="21" t="str">
        <f>IF($AL279="","",$AL279&amp;"|"&amp;COUNTIF($AL$11:$AL279,$AL279))</f>
        <v/>
      </c>
    </row>
    <row r="280" spans="2:53" ht="15" customHeight="1" x14ac:dyDescent="0.25">
      <c r="B280" s="5" t="str">
        <f t="shared" si="59"/>
        <v/>
      </c>
      <c r="C280" s="5"/>
      <c r="D280" s="5"/>
      <c r="E280" s="5"/>
      <c r="F280" s="6"/>
      <c r="G280" s="6"/>
      <c r="H280" s="7"/>
      <c r="I280" s="8"/>
      <c r="K280" s="23" t="str">
        <f>IFERROR(INDEX($AL$11:$AL$4010,MATCH(270,$AX$11:$AX$4010,0)),"")</f>
        <v/>
      </c>
      <c r="L280" s="24" t="str">
        <f t="shared" si="60"/>
        <v/>
      </c>
      <c r="M280" s="25" t="str">
        <f t="shared" si="61"/>
        <v/>
      </c>
      <c r="N280" s="25" t="str">
        <f t="shared" si="62"/>
        <v/>
      </c>
      <c r="W280" s="28" t="str">
        <f>IF(X280="","",IFERROR(INDEX($AL$11:$AL$4010,MATCH(270,$AY$11:$AY$4010,0)),""))</f>
        <v/>
      </c>
      <c r="X280" s="26" t="str">
        <f>IFERROR(INDEX($AM$11:$AM$4010,MATCH(270,$AY$11:$AY$4010,0)),"")</f>
        <v/>
      </c>
      <c r="Y280" s="25" t="str">
        <f>IF(X280="","",IFERROR(INDEX($AN$11:$AN$4010,MATCH(270,$AY$11:$AY$4010,0)),""))</f>
        <v/>
      </c>
      <c r="Z280" s="25" t="str">
        <f>IF(X280="","",IFERROR(INDEX($AO$11:$AO$4010,MATCH(270,$AY$11:$AY$4010,0)),""))</f>
        <v/>
      </c>
      <c r="AA280" s="24" t="str">
        <f>IF(X280="","",IFERROR(INDEX($AQ$11:$AQ$4010,MATCH(270,$AY$11:$AY$4010,0)),""))</f>
        <v/>
      </c>
      <c r="AB280" s="29" t="str">
        <f>IF(X280="","",IFERROR(INDEX($AR$11:$AR$4010,MATCH(270,$AY$11:$AY$4010,0)),""))</f>
        <v/>
      </c>
      <c r="AD280" s="30" t="str">
        <f>IF(AE280="","",IFERROR(INDEX($AL$11:$AL$4010,MATCH(270,$AZ$11:$AZ$4010,0)),""))</f>
        <v/>
      </c>
      <c r="AE280" s="26" t="str">
        <f>IFERROR(INDEX($AM$11:$AM$4010,MATCH(270,$AZ$11:$AZ$4010,0)),"")</f>
        <v/>
      </c>
      <c r="AF280" s="25" t="str">
        <f>IF(AE280="","",IFERROR(INDEX($AN$11:$AN$4010,MATCH(270,$AZ$11:$AZ$4010,0)),""))</f>
        <v/>
      </c>
      <c r="AG280" s="25" t="str">
        <f>IF(AE280="","",IFERROR(INDEX($AO$11:$AO$4010,MATCH(270,$AZ$11:$AZ$4010,0)),""))</f>
        <v/>
      </c>
      <c r="AH280" s="24" t="str">
        <f>IF(AE280="","",IFERROR(INDEX($AQ$11:$AQ$4010,MATCH(270,$AZ$11:$AZ$4010,0)),""))</f>
        <v/>
      </c>
      <c r="AI280" s="29" t="str">
        <f>IF(AE280="","",IFERROR(INDEX($AR$11:$AR$4010,MATCH(270,$AZ$11:$AZ$4010,0)),""))</f>
        <v/>
      </c>
      <c r="AJ280" s="29" t="str">
        <f>IF(AE280="","",IFERROR(INDEX($AT$11:$AT$4010,MATCH(270,$AZ$11:$AZ$4010,0)),""))</f>
        <v/>
      </c>
      <c r="AL280" s="31" t="str">
        <f t="shared" si="63"/>
        <v/>
      </c>
      <c r="AM280" s="26" t="str">
        <f t="shared" si="64"/>
        <v/>
      </c>
      <c r="AN280" s="32" t="str">
        <f t="shared" si="65"/>
        <v/>
      </c>
      <c r="AO280" s="32" t="str">
        <f t="shared" si="66"/>
        <v/>
      </c>
      <c r="AP280" s="24" t="str">
        <f t="shared" si="67"/>
        <v/>
      </c>
      <c r="AQ280" s="24" t="str">
        <f t="shared" si="68"/>
        <v/>
      </c>
      <c r="AR280" s="33" t="str">
        <f t="shared" si="69"/>
        <v/>
      </c>
      <c r="AS280" s="34"/>
      <c r="AT280" s="33"/>
      <c r="AV280" s="21">
        <f>IF(AND($AL280&lt;&gt;"",COUNTIF($AL$11:$AL280,$AL280)=1),1,0)</f>
        <v>0</v>
      </c>
      <c r="AW280" s="21">
        <f t="shared" si="71"/>
        <v>0</v>
      </c>
      <c r="AX280" s="21" t="str">
        <f t="shared" si="70"/>
        <v/>
      </c>
      <c r="AY280" s="21" t="str">
        <f>IF(AND($AM280&lt;&gt;"",$AS280&lt;&gt;"✓"),SUMPRODUCT(($AM$11:$AM280&lt;&gt;"")*($AS$11:$AS280&lt;&gt;"✓")),"")</f>
        <v/>
      </c>
      <c r="AZ280" s="21" t="str">
        <f>IF(AND($AM280&lt;&gt;"",$AS280="✓"),SUMPRODUCT(($AM$11:$AM280&lt;&gt;"")*($AS$11:$AS280="✓")),"")</f>
        <v/>
      </c>
      <c r="BA280" s="21" t="str">
        <f>IF($AL280="","",$AL280&amp;"|"&amp;COUNTIF($AL$11:$AL280,$AL280))</f>
        <v/>
      </c>
    </row>
    <row r="281" spans="2:53" ht="15" customHeight="1" x14ac:dyDescent="0.25">
      <c r="B281" s="5" t="str">
        <f t="shared" si="59"/>
        <v/>
      </c>
      <c r="C281" s="5"/>
      <c r="D281" s="5"/>
      <c r="E281" s="5"/>
      <c r="F281" s="6"/>
      <c r="G281" s="6"/>
      <c r="H281" s="7"/>
      <c r="I281" s="8"/>
      <c r="K281" s="9" t="str">
        <f>IFERROR(INDEX($AL$11:$AL$4010,MATCH(271,$AX$11:$AX$4010,0)),"")</f>
        <v/>
      </c>
      <c r="L281" s="10" t="str">
        <f t="shared" si="60"/>
        <v/>
      </c>
      <c r="M281" s="11" t="str">
        <f t="shared" si="61"/>
        <v/>
      </c>
      <c r="N281" s="11" t="str">
        <f t="shared" si="62"/>
        <v/>
      </c>
      <c r="W281" s="14" t="str">
        <f>IF(X281="","",IFERROR(INDEX($AL$11:$AL$4010,MATCH(271,$AY$11:$AY$4010,0)),""))</f>
        <v/>
      </c>
      <c r="X281" s="12" t="str">
        <f>IFERROR(INDEX($AM$11:$AM$4010,MATCH(271,$AY$11:$AY$4010,0)),"")</f>
        <v/>
      </c>
      <c r="Y281" s="11" t="str">
        <f>IF(X281="","",IFERROR(INDEX($AN$11:$AN$4010,MATCH(271,$AY$11:$AY$4010,0)),""))</f>
        <v/>
      </c>
      <c r="Z281" s="11" t="str">
        <f>IF(X281="","",IFERROR(INDEX($AO$11:$AO$4010,MATCH(271,$AY$11:$AY$4010,0)),""))</f>
        <v/>
      </c>
      <c r="AA281" s="10" t="str">
        <f>IF(X281="","",IFERROR(INDEX($AQ$11:$AQ$4010,MATCH(271,$AY$11:$AY$4010,0)),""))</f>
        <v/>
      </c>
      <c r="AB281" s="15" t="str">
        <f>IF(X281="","",IFERROR(INDEX($AR$11:$AR$4010,MATCH(271,$AY$11:$AY$4010,0)),""))</f>
        <v/>
      </c>
      <c r="AD281" s="16" t="str">
        <f>IF(AE281="","",IFERROR(INDEX($AL$11:$AL$4010,MATCH(271,$AZ$11:$AZ$4010,0)),""))</f>
        <v/>
      </c>
      <c r="AE281" s="12" t="str">
        <f>IFERROR(INDEX($AM$11:$AM$4010,MATCH(271,$AZ$11:$AZ$4010,0)),"")</f>
        <v/>
      </c>
      <c r="AF281" s="11" t="str">
        <f>IF(AE281="","",IFERROR(INDEX($AN$11:$AN$4010,MATCH(271,$AZ$11:$AZ$4010,0)),""))</f>
        <v/>
      </c>
      <c r="AG281" s="11" t="str">
        <f>IF(AE281="","",IFERROR(INDEX($AO$11:$AO$4010,MATCH(271,$AZ$11:$AZ$4010,0)),""))</f>
        <v/>
      </c>
      <c r="AH281" s="10" t="str">
        <f>IF(AE281="","",IFERROR(INDEX($AQ$11:$AQ$4010,MATCH(271,$AZ$11:$AZ$4010,0)),""))</f>
        <v/>
      </c>
      <c r="AI281" s="15" t="str">
        <f>IF(AE281="","",IFERROR(INDEX($AR$11:$AR$4010,MATCH(271,$AZ$11:$AZ$4010,0)),""))</f>
        <v/>
      </c>
      <c r="AJ281" s="15" t="str">
        <f>IF(AE281="","",IFERROR(INDEX($AT$11:$AT$4010,MATCH(271,$AZ$11:$AZ$4010,0)),""))</f>
        <v/>
      </c>
      <c r="AL281" s="17" t="str">
        <f t="shared" si="63"/>
        <v/>
      </c>
      <c r="AM281" s="12" t="str">
        <f t="shared" si="64"/>
        <v/>
      </c>
      <c r="AN281" s="18" t="str">
        <f t="shared" si="65"/>
        <v/>
      </c>
      <c r="AO281" s="18" t="str">
        <f t="shared" si="66"/>
        <v/>
      </c>
      <c r="AP281" s="10" t="str">
        <f t="shared" si="67"/>
        <v/>
      </c>
      <c r="AQ281" s="10" t="str">
        <f t="shared" si="68"/>
        <v/>
      </c>
      <c r="AR281" s="19" t="str">
        <f t="shared" si="69"/>
        <v/>
      </c>
      <c r="AS281" s="20"/>
      <c r="AT281" s="19"/>
      <c r="AV281" s="21">
        <f>IF(AND($AL281&lt;&gt;"",COUNTIF($AL$11:$AL281,$AL281)=1),1,0)</f>
        <v>0</v>
      </c>
      <c r="AW281" s="21">
        <f t="shared" si="71"/>
        <v>0</v>
      </c>
      <c r="AX281" s="21" t="str">
        <f t="shared" si="70"/>
        <v/>
      </c>
      <c r="AY281" s="21" t="str">
        <f>IF(AND($AM281&lt;&gt;"",$AS281&lt;&gt;"✓"),SUMPRODUCT(($AM$11:$AM281&lt;&gt;"")*($AS$11:$AS281&lt;&gt;"✓")),"")</f>
        <v/>
      </c>
      <c r="AZ281" s="21" t="str">
        <f>IF(AND($AM281&lt;&gt;"",$AS281="✓"),SUMPRODUCT(($AM$11:$AM281&lt;&gt;"")*($AS$11:$AS281="✓")),"")</f>
        <v/>
      </c>
      <c r="BA281" s="21" t="str">
        <f>IF($AL281="","",$AL281&amp;"|"&amp;COUNTIF($AL$11:$AL281,$AL281))</f>
        <v/>
      </c>
    </row>
    <row r="282" spans="2:53" ht="15" customHeight="1" x14ac:dyDescent="0.25">
      <c r="B282" s="5" t="str">
        <f t="shared" si="59"/>
        <v/>
      </c>
      <c r="C282" s="5"/>
      <c r="D282" s="5"/>
      <c r="E282" s="5"/>
      <c r="F282" s="6"/>
      <c r="G282" s="6"/>
      <c r="H282" s="7"/>
      <c r="I282" s="8"/>
      <c r="K282" s="23" t="str">
        <f>IFERROR(INDEX($AL$11:$AL$4010,MATCH(272,$AX$11:$AX$4010,0)),"")</f>
        <v/>
      </c>
      <c r="L282" s="24" t="str">
        <f t="shared" si="60"/>
        <v/>
      </c>
      <c r="M282" s="25" t="str">
        <f t="shared" si="61"/>
        <v/>
      </c>
      <c r="N282" s="25" t="str">
        <f t="shared" si="62"/>
        <v/>
      </c>
      <c r="W282" s="28" t="str">
        <f>IF(X282="","",IFERROR(INDEX($AL$11:$AL$4010,MATCH(272,$AY$11:$AY$4010,0)),""))</f>
        <v/>
      </c>
      <c r="X282" s="26" t="str">
        <f>IFERROR(INDEX($AM$11:$AM$4010,MATCH(272,$AY$11:$AY$4010,0)),"")</f>
        <v/>
      </c>
      <c r="Y282" s="25" t="str">
        <f>IF(X282="","",IFERROR(INDEX($AN$11:$AN$4010,MATCH(272,$AY$11:$AY$4010,0)),""))</f>
        <v/>
      </c>
      <c r="Z282" s="25" t="str">
        <f>IF(X282="","",IFERROR(INDEX($AO$11:$AO$4010,MATCH(272,$AY$11:$AY$4010,0)),""))</f>
        <v/>
      </c>
      <c r="AA282" s="24" t="str">
        <f>IF(X282="","",IFERROR(INDEX($AQ$11:$AQ$4010,MATCH(272,$AY$11:$AY$4010,0)),""))</f>
        <v/>
      </c>
      <c r="AB282" s="29" t="str">
        <f>IF(X282="","",IFERROR(INDEX($AR$11:$AR$4010,MATCH(272,$AY$11:$AY$4010,0)),""))</f>
        <v/>
      </c>
      <c r="AD282" s="30" t="str">
        <f>IF(AE282="","",IFERROR(INDEX($AL$11:$AL$4010,MATCH(272,$AZ$11:$AZ$4010,0)),""))</f>
        <v/>
      </c>
      <c r="AE282" s="26" t="str">
        <f>IFERROR(INDEX($AM$11:$AM$4010,MATCH(272,$AZ$11:$AZ$4010,0)),"")</f>
        <v/>
      </c>
      <c r="AF282" s="25" t="str">
        <f>IF(AE282="","",IFERROR(INDEX($AN$11:$AN$4010,MATCH(272,$AZ$11:$AZ$4010,0)),""))</f>
        <v/>
      </c>
      <c r="AG282" s="25" t="str">
        <f>IF(AE282="","",IFERROR(INDEX($AO$11:$AO$4010,MATCH(272,$AZ$11:$AZ$4010,0)),""))</f>
        <v/>
      </c>
      <c r="AH282" s="24" t="str">
        <f>IF(AE282="","",IFERROR(INDEX($AQ$11:$AQ$4010,MATCH(272,$AZ$11:$AZ$4010,0)),""))</f>
        <v/>
      </c>
      <c r="AI282" s="29" t="str">
        <f>IF(AE282="","",IFERROR(INDEX($AR$11:$AR$4010,MATCH(272,$AZ$11:$AZ$4010,0)),""))</f>
        <v/>
      </c>
      <c r="AJ282" s="29" t="str">
        <f>IF(AE282="","",IFERROR(INDEX($AT$11:$AT$4010,MATCH(272,$AZ$11:$AZ$4010,0)),""))</f>
        <v/>
      </c>
      <c r="AL282" s="31" t="str">
        <f t="shared" si="63"/>
        <v/>
      </c>
      <c r="AM282" s="26" t="str">
        <f t="shared" si="64"/>
        <v/>
      </c>
      <c r="AN282" s="32" t="str">
        <f t="shared" si="65"/>
        <v/>
      </c>
      <c r="AO282" s="32" t="str">
        <f t="shared" si="66"/>
        <v/>
      </c>
      <c r="AP282" s="24" t="str">
        <f t="shared" si="67"/>
        <v/>
      </c>
      <c r="AQ282" s="24" t="str">
        <f t="shared" si="68"/>
        <v/>
      </c>
      <c r="AR282" s="33" t="str">
        <f t="shared" si="69"/>
        <v/>
      </c>
      <c r="AS282" s="34"/>
      <c r="AT282" s="33"/>
      <c r="AV282" s="21">
        <f>IF(AND($AL282&lt;&gt;"",COUNTIF($AL$11:$AL282,$AL282)=1),1,0)</f>
        <v>0</v>
      </c>
      <c r="AW282" s="21">
        <f t="shared" si="71"/>
        <v>0</v>
      </c>
      <c r="AX282" s="21" t="str">
        <f t="shared" si="70"/>
        <v/>
      </c>
      <c r="AY282" s="21" t="str">
        <f>IF(AND($AM282&lt;&gt;"",$AS282&lt;&gt;"✓"),SUMPRODUCT(($AM$11:$AM282&lt;&gt;"")*($AS$11:$AS282&lt;&gt;"✓")),"")</f>
        <v/>
      </c>
      <c r="AZ282" s="21" t="str">
        <f>IF(AND($AM282&lt;&gt;"",$AS282="✓"),SUMPRODUCT(($AM$11:$AM282&lt;&gt;"")*($AS$11:$AS282="✓")),"")</f>
        <v/>
      </c>
      <c r="BA282" s="21" t="str">
        <f>IF($AL282="","",$AL282&amp;"|"&amp;COUNTIF($AL$11:$AL282,$AL282))</f>
        <v/>
      </c>
    </row>
    <row r="283" spans="2:53" ht="15" customHeight="1" x14ac:dyDescent="0.25">
      <c r="B283" s="5" t="str">
        <f t="shared" si="59"/>
        <v/>
      </c>
      <c r="C283" s="5"/>
      <c r="D283" s="5"/>
      <c r="E283" s="5"/>
      <c r="F283" s="6"/>
      <c r="G283" s="6"/>
      <c r="H283" s="7"/>
      <c r="I283" s="8"/>
      <c r="K283" s="9" t="str">
        <f>IFERROR(INDEX($AL$11:$AL$4010,MATCH(273,$AX$11:$AX$4010,0)),"")</f>
        <v/>
      </c>
      <c r="L283" s="10" t="str">
        <f t="shared" si="60"/>
        <v/>
      </c>
      <c r="M283" s="11" t="str">
        <f t="shared" si="61"/>
        <v/>
      </c>
      <c r="N283" s="11" t="str">
        <f t="shared" si="62"/>
        <v/>
      </c>
      <c r="W283" s="14" t="str">
        <f>IF(X283="","",IFERROR(INDEX($AL$11:$AL$4010,MATCH(273,$AY$11:$AY$4010,0)),""))</f>
        <v/>
      </c>
      <c r="X283" s="12" t="str">
        <f>IFERROR(INDEX($AM$11:$AM$4010,MATCH(273,$AY$11:$AY$4010,0)),"")</f>
        <v/>
      </c>
      <c r="Y283" s="11" t="str">
        <f>IF(X283="","",IFERROR(INDEX($AN$11:$AN$4010,MATCH(273,$AY$11:$AY$4010,0)),""))</f>
        <v/>
      </c>
      <c r="Z283" s="11" t="str">
        <f>IF(X283="","",IFERROR(INDEX($AO$11:$AO$4010,MATCH(273,$AY$11:$AY$4010,0)),""))</f>
        <v/>
      </c>
      <c r="AA283" s="10" t="str">
        <f>IF(X283="","",IFERROR(INDEX($AQ$11:$AQ$4010,MATCH(273,$AY$11:$AY$4010,0)),""))</f>
        <v/>
      </c>
      <c r="AB283" s="15" t="str">
        <f>IF(X283="","",IFERROR(INDEX($AR$11:$AR$4010,MATCH(273,$AY$11:$AY$4010,0)),""))</f>
        <v/>
      </c>
      <c r="AD283" s="16" t="str">
        <f>IF(AE283="","",IFERROR(INDEX($AL$11:$AL$4010,MATCH(273,$AZ$11:$AZ$4010,0)),""))</f>
        <v/>
      </c>
      <c r="AE283" s="12" t="str">
        <f>IFERROR(INDEX($AM$11:$AM$4010,MATCH(273,$AZ$11:$AZ$4010,0)),"")</f>
        <v/>
      </c>
      <c r="AF283" s="11" t="str">
        <f>IF(AE283="","",IFERROR(INDEX($AN$11:$AN$4010,MATCH(273,$AZ$11:$AZ$4010,0)),""))</f>
        <v/>
      </c>
      <c r="AG283" s="11" t="str">
        <f>IF(AE283="","",IFERROR(INDEX($AO$11:$AO$4010,MATCH(273,$AZ$11:$AZ$4010,0)),""))</f>
        <v/>
      </c>
      <c r="AH283" s="10" t="str">
        <f>IF(AE283="","",IFERROR(INDEX($AQ$11:$AQ$4010,MATCH(273,$AZ$11:$AZ$4010,0)),""))</f>
        <v/>
      </c>
      <c r="AI283" s="15" t="str">
        <f>IF(AE283="","",IFERROR(INDEX($AR$11:$AR$4010,MATCH(273,$AZ$11:$AZ$4010,0)),""))</f>
        <v/>
      </c>
      <c r="AJ283" s="15" t="str">
        <f>IF(AE283="","",IFERROR(INDEX($AT$11:$AT$4010,MATCH(273,$AZ$11:$AZ$4010,0)),""))</f>
        <v/>
      </c>
      <c r="AL283" s="17" t="str">
        <f t="shared" si="63"/>
        <v/>
      </c>
      <c r="AM283" s="12" t="str">
        <f t="shared" si="64"/>
        <v/>
      </c>
      <c r="AN283" s="18" t="str">
        <f t="shared" si="65"/>
        <v/>
      </c>
      <c r="AO283" s="18" t="str">
        <f t="shared" si="66"/>
        <v/>
      </c>
      <c r="AP283" s="10" t="str">
        <f t="shared" si="67"/>
        <v/>
      </c>
      <c r="AQ283" s="10" t="str">
        <f t="shared" si="68"/>
        <v/>
      </c>
      <c r="AR283" s="19" t="str">
        <f t="shared" si="69"/>
        <v/>
      </c>
      <c r="AS283" s="20"/>
      <c r="AT283" s="19"/>
      <c r="AV283" s="21">
        <f>IF(AND($AL283&lt;&gt;"",COUNTIF($AL$11:$AL283,$AL283)=1),1,0)</f>
        <v>0</v>
      </c>
      <c r="AW283" s="21">
        <f t="shared" si="71"/>
        <v>0</v>
      </c>
      <c r="AX283" s="21" t="str">
        <f t="shared" si="70"/>
        <v/>
      </c>
      <c r="AY283" s="21" t="str">
        <f>IF(AND($AM283&lt;&gt;"",$AS283&lt;&gt;"✓"),SUMPRODUCT(($AM$11:$AM283&lt;&gt;"")*($AS$11:$AS283&lt;&gt;"✓")),"")</f>
        <v/>
      </c>
      <c r="AZ283" s="21" t="str">
        <f>IF(AND($AM283&lt;&gt;"",$AS283="✓"),SUMPRODUCT(($AM$11:$AM283&lt;&gt;"")*($AS$11:$AS283="✓")),"")</f>
        <v/>
      </c>
      <c r="BA283" s="21" t="str">
        <f>IF($AL283="","",$AL283&amp;"|"&amp;COUNTIF($AL$11:$AL283,$AL283))</f>
        <v/>
      </c>
    </row>
    <row r="284" spans="2:53" ht="15" customHeight="1" x14ac:dyDescent="0.25">
      <c r="B284" s="5" t="str">
        <f t="shared" si="59"/>
        <v/>
      </c>
      <c r="C284" s="5"/>
      <c r="D284" s="5"/>
      <c r="E284" s="5"/>
      <c r="F284" s="6"/>
      <c r="G284" s="6"/>
      <c r="H284" s="7"/>
      <c r="I284" s="8"/>
      <c r="K284" s="23" t="str">
        <f>IFERROR(INDEX($AL$11:$AL$4010,MATCH(274,$AX$11:$AX$4010,0)),"")</f>
        <v/>
      </c>
      <c r="L284" s="24" t="str">
        <f t="shared" si="60"/>
        <v/>
      </c>
      <c r="M284" s="25" t="str">
        <f t="shared" si="61"/>
        <v/>
      </c>
      <c r="N284" s="25" t="str">
        <f t="shared" si="62"/>
        <v/>
      </c>
      <c r="W284" s="28" t="str">
        <f>IF(X284="","",IFERROR(INDEX($AL$11:$AL$4010,MATCH(274,$AY$11:$AY$4010,0)),""))</f>
        <v/>
      </c>
      <c r="X284" s="26" t="str">
        <f>IFERROR(INDEX($AM$11:$AM$4010,MATCH(274,$AY$11:$AY$4010,0)),"")</f>
        <v/>
      </c>
      <c r="Y284" s="25" t="str">
        <f>IF(X284="","",IFERROR(INDEX($AN$11:$AN$4010,MATCH(274,$AY$11:$AY$4010,0)),""))</f>
        <v/>
      </c>
      <c r="Z284" s="25" t="str">
        <f>IF(X284="","",IFERROR(INDEX($AO$11:$AO$4010,MATCH(274,$AY$11:$AY$4010,0)),""))</f>
        <v/>
      </c>
      <c r="AA284" s="24" t="str">
        <f>IF(X284="","",IFERROR(INDEX($AQ$11:$AQ$4010,MATCH(274,$AY$11:$AY$4010,0)),""))</f>
        <v/>
      </c>
      <c r="AB284" s="29" t="str">
        <f>IF(X284="","",IFERROR(INDEX($AR$11:$AR$4010,MATCH(274,$AY$11:$AY$4010,0)),""))</f>
        <v/>
      </c>
      <c r="AD284" s="30" t="str">
        <f>IF(AE284="","",IFERROR(INDEX($AL$11:$AL$4010,MATCH(274,$AZ$11:$AZ$4010,0)),""))</f>
        <v/>
      </c>
      <c r="AE284" s="26" t="str">
        <f>IFERROR(INDEX($AM$11:$AM$4010,MATCH(274,$AZ$11:$AZ$4010,0)),"")</f>
        <v/>
      </c>
      <c r="AF284" s="25" t="str">
        <f>IF(AE284="","",IFERROR(INDEX($AN$11:$AN$4010,MATCH(274,$AZ$11:$AZ$4010,0)),""))</f>
        <v/>
      </c>
      <c r="AG284" s="25" t="str">
        <f>IF(AE284="","",IFERROR(INDEX($AO$11:$AO$4010,MATCH(274,$AZ$11:$AZ$4010,0)),""))</f>
        <v/>
      </c>
      <c r="AH284" s="24" t="str">
        <f>IF(AE284="","",IFERROR(INDEX($AQ$11:$AQ$4010,MATCH(274,$AZ$11:$AZ$4010,0)),""))</f>
        <v/>
      </c>
      <c r="AI284" s="29" t="str">
        <f>IF(AE284="","",IFERROR(INDEX($AR$11:$AR$4010,MATCH(274,$AZ$11:$AZ$4010,0)),""))</f>
        <v/>
      </c>
      <c r="AJ284" s="29" t="str">
        <f>IF(AE284="","",IFERROR(INDEX($AT$11:$AT$4010,MATCH(274,$AZ$11:$AZ$4010,0)),""))</f>
        <v/>
      </c>
      <c r="AL284" s="31" t="str">
        <f t="shared" si="63"/>
        <v/>
      </c>
      <c r="AM284" s="26" t="str">
        <f t="shared" si="64"/>
        <v/>
      </c>
      <c r="AN284" s="32" t="str">
        <f t="shared" si="65"/>
        <v/>
      </c>
      <c r="AO284" s="32" t="str">
        <f t="shared" si="66"/>
        <v/>
      </c>
      <c r="AP284" s="24" t="str">
        <f t="shared" si="67"/>
        <v/>
      </c>
      <c r="AQ284" s="24" t="str">
        <f t="shared" si="68"/>
        <v/>
      </c>
      <c r="AR284" s="33" t="str">
        <f t="shared" si="69"/>
        <v/>
      </c>
      <c r="AS284" s="34"/>
      <c r="AT284" s="33"/>
      <c r="AV284" s="21">
        <f>IF(AND($AL284&lt;&gt;"",COUNTIF($AL$11:$AL284,$AL284)=1),1,0)</f>
        <v>0</v>
      </c>
      <c r="AW284" s="21">
        <f t="shared" si="71"/>
        <v>0</v>
      </c>
      <c r="AX284" s="21" t="str">
        <f t="shared" si="70"/>
        <v/>
      </c>
      <c r="AY284" s="21" t="str">
        <f>IF(AND($AM284&lt;&gt;"",$AS284&lt;&gt;"✓"),SUMPRODUCT(($AM$11:$AM284&lt;&gt;"")*($AS$11:$AS284&lt;&gt;"✓")),"")</f>
        <v/>
      </c>
      <c r="AZ284" s="21" t="str">
        <f>IF(AND($AM284&lt;&gt;"",$AS284="✓"),SUMPRODUCT(($AM$11:$AM284&lt;&gt;"")*($AS$11:$AS284="✓")),"")</f>
        <v/>
      </c>
      <c r="BA284" s="21" t="str">
        <f>IF($AL284="","",$AL284&amp;"|"&amp;COUNTIF($AL$11:$AL284,$AL284))</f>
        <v/>
      </c>
    </row>
    <row r="285" spans="2:53" ht="15" customHeight="1" x14ac:dyDescent="0.25">
      <c r="B285" s="5" t="str">
        <f t="shared" si="59"/>
        <v/>
      </c>
      <c r="C285" s="5"/>
      <c r="D285" s="5"/>
      <c r="E285" s="5"/>
      <c r="F285" s="6"/>
      <c r="G285" s="6"/>
      <c r="H285" s="7"/>
      <c r="I285" s="8"/>
      <c r="K285" s="9" t="str">
        <f>IFERROR(INDEX($AL$11:$AL$4010,MATCH(275,$AX$11:$AX$4010,0)),"")</f>
        <v/>
      </c>
      <c r="L285" s="10" t="str">
        <f t="shared" si="60"/>
        <v/>
      </c>
      <c r="M285" s="11" t="str">
        <f t="shared" si="61"/>
        <v/>
      </c>
      <c r="N285" s="11" t="str">
        <f t="shared" si="62"/>
        <v/>
      </c>
      <c r="W285" s="14" t="str">
        <f>IF(X285="","",IFERROR(INDEX($AL$11:$AL$4010,MATCH(275,$AY$11:$AY$4010,0)),""))</f>
        <v/>
      </c>
      <c r="X285" s="12" t="str">
        <f>IFERROR(INDEX($AM$11:$AM$4010,MATCH(275,$AY$11:$AY$4010,0)),"")</f>
        <v/>
      </c>
      <c r="Y285" s="11" t="str">
        <f>IF(X285="","",IFERROR(INDEX($AN$11:$AN$4010,MATCH(275,$AY$11:$AY$4010,0)),""))</f>
        <v/>
      </c>
      <c r="Z285" s="11" t="str">
        <f>IF(X285="","",IFERROR(INDEX($AO$11:$AO$4010,MATCH(275,$AY$11:$AY$4010,0)),""))</f>
        <v/>
      </c>
      <c r="AA285" s="10" t="str">
        <f>IF(X285="","",IFERROR(INDEX($AQ$11:$AQ$4010,MATCH(275,$AY$11:$AY$4010,0)),""))</f>
        <v/>
      </c>
      <c r="AB285" s="15" t="str">
        <f>IF(X285="","",IFERROR(INDEX($AR$11:$AR$4010,MATCH(275,$AY$11:$AY$4010,0)),""))</f>
        <v/>
      </c>
      <c r="AD285" s="16" t="str">
        <f>IF(AE285="","",IFERROR(INDEX($AL$11:$AL$4010,MATCH(275,$AZ$11:$AZ$4010,0)),""))</f>
        <v/>
      </c>
      <c r="AE285" s="12" t="str">
        <f>IFERROR(INDEX($AM$11:$AM$4010,MATCH(275,$AZ$11:$AZ$4010,0)),"")</f>
        <v/>
      </c>
      <c r="AF285" s="11" t="str">
        <f>IF(AE285="","",IFERROR(INDEX($AN$11:$AN$4010,MATCH(275,$AZ$11:$AZ$4010,0)),""))</f>
        <v/>
      </c>
      <c r="AG285" s="11" t="str">
        <f>IF(AE285="","",IFERROR(INDEX($AO$11:$AO$4010,MATCH(275,$AZ$11:$AZ$4010,0)),""))</f>
        <v/>
      </c>
      <c r="AH285" s="10" t="str">
        <f>IF(AE285="","",IFERROR(INDEX($AQ$11:$AQ$4010,MATCH(275,$AZ$11:$AZ$4010,0)),""))</f>
        <v/>
      </c>
      <c r="AI285" s="15" t="str">
        <f>IF(AE285="","",IFERROR(INDEX($AR$11:$AR$4010,MATCH(275,$AZ$11:$AZ$4010,0)),""))</f>
        <v/>
      </c>
      <c r="AJ285" s="15" t="str">
        <f>IF(AE285="","",IFERROR(INDEX($AT$11:$AT$4010,MATCH(275,$AZ$11:$AZ$4010,0)),""))</f>
        <v/>
      </c>
      <c r="AL285" s="17" t="str">
        <f t="shared" si="63"/>
        <v/>
      </c>
      <c r="AM285" s="12" t="str">
        <f t="shared" si="64"/>
        <v/>
      </c>
      <c r="AN285" s="18" t="str">
        <f t="shared" si="65"/>
        <v/>
      </c>
      <c r="AO285" s="18" t="str">
        <f t="shared" si="66"/>
        <v/>
      </c>
      <c r="AP285" s="10" t="str">
        <f t="shared" si="67"/>
        <v/>
      </c>
      <c r="AQ285" s="10" t="str">
        <f t="shared" si="68"/>
        <v/>
      </c>
      <c r="AR285" s="19" t="str">
        <f t="shared" si="69"/>
        <v/>
      </c>
      <c r="AS285" s="20"/>
      <c r="AT285" s="19"/>
      <c r="AV285" s="21">
        <f>IF(AND($AL285&lt;&gt;"",COUNTIF($AL$11:$AL285,$AL285)=1),1,0)</f>
        <v>0</v>
      </c>
      <c r="AW285" s="21">
        <f t="shared" si="71"/>
        <v>0</v>
      </c>
      <c r="AX285" s="21" t="str">
        <f t="shared" si="70"/>
        <v/>
      </c>
      <c r="AY285" s="21" t="str">
        <f>IF(AND($AM285&lt;&gt;"",$AS285&lt;&gt;"✓"),SUMPRODUCT(($AM$11:$AM285&lt;&gt;"")*($AS$11:$AS285&lt;&gt;"✓")),"")</f>
        <v/>
      </c>
      <c r="AZ285" s="21" t="str">
        <f>IF(AND($AM285&lt;&gt;"",$AS285="✓"),SUMPRODUCT(($AM$11:$AM285&lt;&gt;"")*($AS$11:$AS285="✓")),"")</f>
        <v/>
      </c>
      <c r="BA285" s="21" t="str">
        <f>IF($AL285="","",$AL285&amp;"|"&amp;COUNTIF($AL$11:$AL285,$AL285))</f>
        <v/>
      </c>
    </row>
    <row r="286" spans="2:53" ht="15" customHeight="1" x14ac:dyDescent="0.25">
      <c r="B286" s="5" t="str">
        <f t="shared" si="59"/>
        <v/>
      </c>
      <c r="C286" s="5"/>
      <c r="D286" s="5"/>
      <c r="E286" s="5"/>
      <c r="F286" s="6"/>
      <c r="G286" s="6"/>
      <c r="H286" s="7"/>
      <c r="I286" s="8"/>
      <c r="K286" s="23" t="str">
        <f>IFERROR(INDEX($AL$11:$AL$4010,MATCH(276,$AX$11:$AX$4010,0)),"")</f>
        <v/>
      </c>
      <c r="L286" s="24" t="str">
        <f t="shared" si="60"/>
        <v/>
      </c>
      <c r="M286" s="25" t="str">
        <f t="shared" si="61"/>
        <v/>
      </c>
      <c r="N286" s="25" t="str">
        <f t="shared" si="62"/>
        <v/>
      </c>
      <c r="W286" s="28" t="str">
        <f>IF(X286="","",IFERROR(INDEX($AL$11:$AL$4010,MATCH(276,$AY$11:$AY$4010,0)),""))</f>
        <v/>
      </c>
      <c r="X286" s="26" t="str">
        <f>IFERROR(INDEX($AM$11:$AM$4010,MATCH(276,$AY$11:$AY$4010,0)),"")</f>
        <v/>
      </c>
      <c r="Y286" s="25" t="str">
        <f>IF(X286="","",IFERROR(INDEX($AN$11:$AN$4010,MATCH(276,$AY$11:$AY$4010,0)),""))</f>
        <v/>
      </c>
      <c r="Z286" s="25" t="str">
        <f>IF(X286="","",IFERROR(INDEX($AO$11:$AO$4010,MATCH(276,$AY$11:$AY$4010,0)),""))</f>
        <v/>
      </c>
      <c r="AA286" s="24" t="str">
        <f>IF(X286="","",IFERROR(INDEX($AQ$11:$AQ$4010,MATCH(276,$AY$11:$AY$4010,0)),""))</f>
        <v/>
      </c>
      <c r="AB286" s="29" t="str">
        <f>IF(X286="","",IFERROR(INDEX($AR$11:$AR$4010,MATCH(276,$AY$11:$AY$4010,0)),""))</f>
        <v/>
      </c>
      <c r="AD286" s="30" t="str">
        <f>IF(AE286="","",IFERROR(INDEX($AL$11:$AL$4010,MATCH(276,$AZ$11:$AZ$4010,0)),""))</f>
        <v/>
      </c>
      <c r="AE286" s="26" t="str">
        <f>IFERROR(INDEX($AM$11:$AM$4010,MATCH(276,$AZ$11:$AZ$4010,0)),"")</f>
        <v/>
      </c>
      <c r="AF286" s="25" t="str">
        <f>IF(AE286="","",IFERROR(INDEX($AN$11:$AN$4010,MATCH(276,$AZ$11:$AZ$4010,0)),""))</f>
        <v/>
      </c>
      <c r="AG286" s="25" t="str">
        <f>IF(AE286="","",IFERROR(INDEX($AO$11:$AO$4010,MATCH(276,$AZ$11:$AZ$4010,0)),""))</f>
        <v/>
      </c>
      <c r="AH286" s="24" t="str">
        <f>IF(AE286="","",IFERROR(INDEX($AQ$11:$AQ$4010,MATCH(276,$AZ$11:$AZ$4010,0)),""))</f>
        <v/>
      </c>
      <c r="AI286" s="29" t="str">
        <f>IF(AE286="","",IFERROR(INDEX($AR$11:$AR$4010,MATCH(276,$AZ$11:$AZ$4010,0)),""))</f>
        <v/>
      </c>
      <c r="AJ286" s="29" t="str">
        <f>IF(AE286="","",IFERROR(INDEX($AT$11:$AT$4010,MATCH(276,$AZ$11:$AZ$4010,0)),""))</f>
        <v/>
      </c>
      <c r="AL286" s="31" t="str">
        <f t="shared" si="63"/>
        <v/>
      </c>
      <c r="AM286" s="26" t="str">
        <f t="shared" si="64"/>
        <v/>
      </c>
      <c r="AN286" s="32" t="str">
        <f t="shared" si="65"/>
        <v/>
      </c>
      <c r="AO286" s="32" t="str">
        <f t="shared" si="66"/>
        <v/>
      </c>
      <c r="AP286" s="24" t="str">
        <f t="shared" si="67"/>
        <v/>
      </c>
      <c r="AQ286" s="24" t="str">
        <f t="shared" si="68"/>
        <v/>
      </c>
      <c r="AR286" s="33" t="str">
        <f t="shared" si="69"/>
        <v/>
      </c>
      <c r="AS286" s="34"/>
      <c r="AT286" s="33"/>
      <c r="AV286" s="21">
        <f>IF(AND($AL286&lt;&gt;"",COUNTIF($AL$11:$AL286,$AL286)=1),1,0)</f>
        <v>0</v>
      </c>
      <c r="AW286" s="21">
        <f t="shared" si="71"/>
        <v>0</v>
      </c>
      <c r="AX286" s="21" t="str">
        <f t="shared" si="70"/>
        <v/>
      </c>
      <c r="AY286" s="21" t="str">
        <f>IF(AND($AM286&lt;&gt;"",$AS286&lt;&gt;"✓"),SUMPRODUCT(($AM$11:$AM286&lt;&gt;"")*($AS$11:$AS286&lt;&gt;"✓")),"")</f>
        <v/>
      </c>
      <c r="AZ286" s="21" t="str">
        <f>IF(AND($AM286&lt;&gt;"",$AS286="✓"),SUMPRODUCT(($AM$11:$AM286&lt;&gt;"")*($AS$11:$AS286="✓")),"")</f>
        <v/>
      </c>
      <c r="BA286" s="21" t="str">
        <f>IF($AL286="","",$AL286&amp;"|"&amp;COUNTIF($AL$11:$AL286,$AL286))</f>
        <v/>
      </c>
    </row>
    <row r="287" spans="2:53" ht="15" customHeight="1" x14ac:dyDescent="0.25">
      <c r="B287" s="5" t="str">
        <f t="shared" si="59"/>
        <v/>
      </c>
      <c r="C287" s="5"/>
      <c r="D287" s="5"/>
      <c r="E287" s="5"/>
      <c r="F287" s="6"/>
      <c r="G287" s="6"/>
      <c r="H287" s="7"/>
      <c r="I287" s="8"/>
      <c r="K287" s="9" t="str">
        <f>IFERROR(INDEX($AL$11:$AL$4010,MATCH(277,$AX$11:$AX$4010,0)),"")</f>
        <v/>
      </c>
      <c r="L287" s="10" t="str">
        <f t="shared" si="60"/>
        <v/>
      </c>
      <c r="M287" s="11" t="str">
        <f t="shared" si="61"/>
        <v/>
      </c>
      <c r="N287" s="11" t="str">
        <f t="shared" si="62"/>
        <v/>
      </c>
      <c r="W287" s="14" t="str">
        <f>IF(X287="","",IFERROR(INDEX($AL$11:$AL$4010,MATCH(277,$AY$11:$AY$4010,0)),""))</f>
        <v/>
      </c>
      <c r="X287" s="12" t="str">
        <f>IFERROR(INDEX($AM$11:$AM$4010,MATCH(277,$AY$11:$AY$4010,0)),"")</f>
        <v/>
      </c>
      <c r="Y287" s="11" t="str">
        <f>IF(X287="","",IFERROR(INDEX($AN$11:$AN$4010,MATCH(277,$AY$11:$AY$4010,0)),""))</f>
        <v/>
      </c>
      <c r="Z287" s="11" t="str">
        <f>IF(X287="","",IFERROR(INDEX($AO$11:$AO$4010,MATCH(277,$AY$11:$AY$4010,0)),""))</f>
        <v/>
      </c>
      <c r="AA287" s="10" t="str">
        <f>IF(X287="","",IFERROR(INDEX($AQ$11:$AQ$4010,MATCH(277,$AY$11:$AY$4010,0)),""))</f>
        <v/>
      </c>
      <c r="AB287" s="15" t="str">
        <f>IF(X287="","",IFERROR(INDEX($AR$11:$AR$4010,MATCH(277,$AY$11:$AY$4010,0)),""))</f>
        <v/>
      </c>
      <c r="AD287" s="16" t="str">
        <f>IF(AE287="","",IFERROR(INDEX($AL$11:$AL$4010,MATCH(277,$AZ$11:$AZ$4010,0)),""))</f>
        <v/>
      </c>
      <c r="AE287" s="12" t="str">
        <f>IFERROR(INDEX($AM$11:$AM$4010,MATCH(277,$AZ$11:$AZ$4010,0)),"")</f>
        <v/>
      </c>
      <c r="AF287" s="11" t="str">
        <f>IF(AE287="","",IFERROR(INDEX($AN$11:$AN$4010,MATCH(277,$AZ$11:$AZ$4010,0)),""))</f>
        <v/>
      </c>
      <c r="AG287" s="11" t="str">
        <f>IF(AE287="","",IFERROR(INDEX($AO$11:$AO$4010,MATCH(277,$AZ$11:$AZ$4010,0)),""))</f>
        <v/>
      </c>
      <c r="AH287" s="10" t="str">
        <f>IF(AE287="","",IFERROR(INDEX($AQ$11:$AQ$4010,MATCH(277,$AZ$11:$AZ$4010,0)),""))</f>
        <v/>
      </c>
      <c r="AI287" s="15" t="str">
        <f>IF(AE287="","",IFERROR(INDEX($AR$11:$AR$4010,MATCH(277,$AZ$11:$AZ$4010,0)),""))</f>
        <v/>
      </c>
      <c r="AJ287" s="15" t="str">
        <f>IF(AE287="","",IFERROR(INDEX($AT$11:$AT$4010,MATCH(277,$AZ$11:$AZ$4010,0)),""))</f>
        <v/>
      </c>
      <c r="AL287" s="17" t="str">
        <f t="shared" si="63"/>
        <v/>
      </c>
      <c r="AM287" s="12" t="str">
        <f t="shared" si="64"/>
        <v/>
      </c>
      <c r="AN287" s="18" t="str">
        <f t="shared" si="65"/>
        <v/>
      </c>
      <c r="AO287" s="18" t="str">
        <f t="shared" si="66"/>
        <v/>
      </c>
      <c r="AP287" s="10" t="str">
        <f t="shared" si="67"/>
        <v/>
      </c>
      <c r="AQ287" s="10" t="str">
        <f t="shared" si="68"/>
        <v/>
      </c>
      <c r="AR287" s="19" t="str">
        <f t="shared" si="69"/>
        <v/>
      </c>
      <c r="AS287" s="20"/>
      <c r="AT287" s="19"/>
      <c r="AV287" s="21">
        <f>IF(AND($AL287&lt;&gt;"",COUNTIF($AL$11:$AL287,$AL287)=1),1,0)</f>
        <v>0</v>
      </c>
      <c r="AW287" s="21">
        <f t="shared" si="71"/>
        <v>0</v>
      </c>
      <c r="AX287" s="21" t="str">
        <f t="shared" si="70"/>
        <v/>
      </c>
      <c r="AY287" s="21" t="str">
        <f>IF(AND($AM287&lt;&gt;"",$AS287&lt;&gt;"✓"),SUMPRODUCT(($AM$11:$AM287&lt;&gt;"")*($AS$11:$AS287&lt;&gt;"✓")),"")</f>
        <v/>
      </c>
      <c r="AZ287" s="21" t="str">
        <f>IF(AND($AM287&lt;&gt;"",$AS287="✓"),SUMPRODUCT(($AM$11:$AM287&lt;&gt;"")*($AS$11:$AS287="✓")),"")</f>
        <v/>
      </c>
      <c r="BA287" s="21" t="str">
        <f>IF($AL287="","",$AL287&amp;"|"&amp;COUNTIF($AL$11:$AL287,$AL287))</f>
        <v/>
      </c>
    </row>
    <row r="288" spans="2:53" ht="15" customHeight="1" x14ac:dyDescent="0.25">
      <c r="B288" s="5" t="str">
        <f t="shared" si="59"/>
        <v/>
      </c>
      <c r="C288" s="5"/>
      <c r="D288" s="5"/>
      <c r="E288" s="5"/>
      <c r="F288" s="6"/>
      <c r="G288" s="6"/>
      <c r="H288" s="7"/>
      <c r="I288" s="8"/>
      <c r="K288" s="23" t="str">
        <f>IFERROR(INDEX($AL$11:$AL$4010,MATCH(278,$AX$11:$AX$4010,0)),"")</f>
        <v/>
      </c>
      <c r="L288" s="24" t="str">
        <f t="shared" si="60"/>
        <v/>
      </c>
      <c r="M288" s="25" t="str">
        <f t="shared" si="61"/>
        <v/>
      </c>
      <c r="N288" s="25" t="str">
        <f t="shared" si="62"/>
        <v/>
      </c>
      <c r="W288" s="28" t="str">
        <f>IF(X288="","",IFERROR(INDEX($AL$11:$AL$4010,MATCH(278,$AY$11:$AY$4010,0)),""))</f>
        <v/>
      </c>
      <c r="X288" s="26" t="str">
        <f>IFERROR(INDEX($AM$11:$AM$4010,MATCH(278,$AY$11:$AY$4010,0)),"")</f>
        <v/>
      </c>
      <c r="Y288" s="25" t="str">
        <f>IF(X288="","",IFERROR(INDEX($AN$11:$AN$4010,MATCH(278,$AY$11:$AY$4010,0)),""))</f>
        <v/>
      </c>
      <c r="Z288" s="25" t="str">
        <f>IF(X288="","",IFERROR(INDEX($AO$11:$AO$4010,MATCH(278,$AY$11:$AY$4010,0)),""))</f>
        <v/>
      </c>
      <c r="AA288" s="24" t="str">
        <f>IF(X288="","",IFERROR(INDEX($AQ$11:$AQ$4010,MATCH(278,$AY$11:$AY$4010,0)),""))</f>
        <v/>
      </c>
      <c r="AB288" s="29" t="str">
        <f>IF(X288="","",IFERROR(INDEX($AR$11:$AR$4010,MATCH(278,$AY$11:$AY$4010,0)),""))</f>
        <v/>
      </c>
      <c r="AD288" s="30" t="str">
        <f>IF(AE288="","",IFERROR(INDEX($AL$11:$AL$4010,MATCH(278,$AZ$11:$AZ$4010,0)),""))</f>
        <v/>
      </c>
      <c r="AE288" s="26" t="str">
        <f>IFERROR(INDEX($AM$11:$AM$4010,MATCH(278,$AZ$11:$AZ$4010,0)),"")</f>
        <v/>
      </c>
      <c r="AF288" s="25" t="str">
        <f>IF(AE288="","",IFERROR(INDEX($AN$11:$AN$4010,MATCH(278,$AZ$11:$AZ$4010,0)),""))</f>
        <v/>
      </c>
      <c r="AG288" s="25" t="str">
        <f>IF(AE288="","",IFERROR(INDEX($AO$11:$AO$4010,MATCH(278,$AZ$11:$AZ$4010,0)),""))</f>
        <v/>
      </c>
      <c r="AH288" s="24" t="str">
        <f>IF(AE288="","",IFERROR(INDEX($AQ$11:$AQ$4010,MATCH(278,$AZ$11:$AZ$4010,0)),""))</f>
        <v/>
      </c>
      <c r="AI288" s="29" t="str">
        <f>IF(AE288="","",IFERROR(INDEX($AR$11:$AR$4010,MATCH(278,$AZ$11:$AZ$4010,0)),""))</f>
        <v/>
      </c>
      <c r="AJ288" s="29" t="str">
        <f>IF(AE288="","",IFERROR(INDEX($AT$11:$AT$4010,MATCH(278,$AZ$11:$AZ$4010,0)),""))</f>
        <v/>
      </c>
      <c r="AL288" s="31" t="str">
        <f t="shared" si="63"/>
        <v/>
      </c>
      <c r="AM288" s="26" t="str">
        <f t="shared" si="64"/>
        <v/>
      </c>
      <c r="AN288" s="32" t="str">
        <f t="shared" si="65"/>
        <v/>
      </c>
      <c r="AO288" s="32" t="str">
        <f t="shared" si="66"/>
        <v/>
      </c>
      <c r="AP288" s="24" t="str">
        <f t="shared" si="67"/>
        <v/>
      </c>
      <c r="AQ288" s="24" t="str">
        <f t="shared" si="68"/>
        <v/>
      </c>
      <c r="AR288" s="33" t="str">
        <f t="shared" si="69"/>
        <v/>
      </c>
      <c r="AS288" s="34"/>
      <c r="AT288" s="33"/>
      <c r="AV288" s="21">
        <f>IF(AND($AL288&lt;&gt;"",COUNTIF($AL$11:$AL288,$AL288)=1),1,0)</f>
        <v>0</v>
      </c>
      <c r="AW288" s="21">
        <f t="shared" si="71"/>
        <v>0</v>
      </c>
      <c r="AX288" s="21" t="str">
        <f t="shared" si="70"/>
        <v/>
      </c>
      <c r="AY288" s="21" t="str">
        <f>IF(AND($AM288&lt;&gt;"",$AS288&lt;&gt;"✓"),SUMPRODUCT(($AM$11:$AM288&lt;&gt;"")*($AS$11:$AS288&lt;&gt;"✓")),"")</f>
        <v/>
      </c>
      <c r="AZ288" s="21" t="str">
        <f>IF(AND($AM288&lt;&gt;"",$AS288="✓"),SUMPRODUCT(($AM$11:$AM288&lt;&gt;"")*($AS$11:$AS288="✓")),"")</f>
        <v/>
      </c>
      <c r="BA288" s="21" t="str">
        <f>IF($AL288="","",$AL288&amp;"|"&amp;COUNTIF($AL$11:$AL288,$AL288))</f>
        <v/>
      </c>
    </row>
    <row r="289" spans="2:53" ht="15" customHeight="1" x14ac:dyDescent="0.25">
      <c r="B289" s="5" t="str">
        <f t="shared" si="59"/>
        <v/>
      </c>
      <c r="C289" s="5"/>
      <c r="D289" s="5"/>
      <c r="E289" s="5"/>
      <c r="F289" s="6"/>
      <c r="G289" s="6"/>
      <c r="H289" s="7"/>
      <c r="I289" s="8"/>
      <c r="K289" s="9" t="str">
        <f>IFERROR(INDEX($AL$11:$AL$4010,MATCH(279,$AX$11:$AX$4010,0)),"")</f>
        <v/>
      </c>
      <c r="L289" s="10" t="str">
        <f t="shared" si="60"/>
        <v/>
      </c>
      <c r="M289" s="11" t="str">
        <f t="shared" si="61"/>
        <v/>
      </c>
      <c r="N289" s="11" t="str">
        <f t="shared" si="62"/>
        <v/>
      </c>
      <c r="W289" s="14" t="str">
        <f>IF(X289="","",IFERROR(INDEX($AL$11:$AL$4010,MATCH(279,$AY$11:$AY$4010,0)),""))</f>
        <v/>
      </c>
      <c r="X289" s="12" t="str">
        <f>IFERROR(INDEX($AM$11:$AM$4010,MATCH(279,$AY$11:$AY$4010,0)),"")</f>
        <v/>
      </c>
      <c r="Y289" s="11" t="str">
        <f>IF(X289="","",IFERROR(INDEX($AN$11:$AN$4010,MATCH(279,$AY$11:$AY$4010,0)),""))</f>
        <v/>
      </c>
      <c r="Z289" s="11" t="str">
        <f>IF(X289="","",IFERROR(INDEX($AO$11:$AO$4010,MATCH(279,$AY$11:$AY$4010,0)),""))</f>
        <v/>
      </c>
      <c r="AA289" s="10" t="str">
        <f>IF(X289="","",IFERROR(INDEX($AQ$11:$AQ$4010,MATCH(279,$AY$11:$AY$4010,0)),""))</f>
        <v/>
      </c>
      <c r="AB289" s="15" t="str">
        <f>IF(X289="","",IFERROR(INDEX($AR$11:$AR$4010,MATCH(279,$AY$11:$AY$4010,0)),""))</f>
        <v/>
      </c>
      <c r="AD289" s="16" t="str">
        <f>IF(AE289="","",IFERROR(INDEX($AL$11:$AL$4010,MATCH(279,$AZ$11:$AZ$4010,0)),""))</f>
        <v/>
      </c>
      <c r="AE289" s="12" t="str">
        <f>IFERROR(INDEX($AM$11:$AM$4010,MATCH(279,$AZ$11:$AZ$4010,0)),"")</f>
        <v/>
      </c>
      <c r="AF289" s="11" t="str">
        <f>IF(AE289="","",IFERROR(INDEX($AN$11:$AN$4010,MATCH(279,$AZ$11:$AZ$4010,0)),""))</f>
        <v/>
      </c>
      <c r="AG289" s="11" t="str">
        <f>IF(AE289="","",IFERROR(INDEX($AO$11:$AO$4010,MATCH(279,$AZ$11:$AZ$4010,0)),""))</f>
        <v/>
      </c>
      <c r="AH289" s="10" t="str">
        <f>IF(AE289="","",IFERROR(INDEX($AQ$11:$AQ$4010,MATCH(279,$AZ$11:$AZ$4010,0)),""))</f>
        <v/>
      </c>
      <c r="AI289" s="15" t="str">
        <f>IF(AE289="","",IFERROR(INDEX($AR$11:$AR$4010,MATCH(279,$AZ$11:$AZ$4010,0)),""))</f>
        <v/>
      </c>
      <c r="AJ289" s="15" t="str">
        <f>IF(AE289="","",IFERROR(INDEX($AT$11:$AT$4010,MATCH(279,$AZ$11:$AZ$4010,0)),""))</f>
        <v/>
      </c>
      <c r="AL289" s="17" t="str">
        <f t="shared" si="63"/>
        <v/>
      </c>
      <c r="AM289" s="12" t="str">
        <f t="shared" si="64"/>
        <v/>
      </c>
      <c r="AN289" s="18" t="str">
        <f t="shared" si="65"/>
        <v/>
      </c>
      <c r="AO289" s="18" t="str">
        <f t="shared" si="66"/>
        <v/>
      </c>
      <c r="AP289" s="10" t="str">
        <f t="shared" si="67"/>
        <v/>
      </c>
      <c r="AQ289" s="10" t="str">
        <f t="shared" si="68"/>
        <v/>
      </c>
      <c r="AR289" s="19" t="str">
        <f t="shared" si="69"/>
        <v/>
      </c>
      <c r="AS289" s="20"/>
      <c r="AT289" s="19"/>
      <c r="AV289" s="21">
        <f>IF(AND($AL289&lt;&gt;"",COUNTIF($AL$11:$AL289,$AL289)=1),1,0)</f>
        <v>0</v>
      </c>
      <c r="AW289" s="21">
        <f t="shared" si="71"/>
        <v>0</v>
      </c>
      <c r="AX289" s="21" t="str">
        <f t="shared" si="70"/>
        <v/>
      </c>
      <c r="AY289" s="21" t="str">
        <f>IF(AND($AM289&lt;&gt;"",$AS289&lt;&gt;"✓"),SUMPRODUCT(($AM$11:$AM289&lt;&gt;"")*($AS$11:$AS289&lt;&gt;"✓")),"")</f>
        <v/>
      </c>
      <c r="AZ289" s="21" t="str">
        <f>IF(AND($AM289&lt;&gt;"",$AS289="✓"),SUMPRODUCT(($AM$11:$AM289&lt;&gt;"")*($AS$11:$AS289="✓")),"")</f>
        <v/>
      </c>
      <c r="BA289" s="21" t="str">
        <f>IF($AL289="","",$AL289&amp;"|"&amp;COUNTIF($AL$11:$AL289,$AL289))</f>
        <v/>
      </c>
    </row>
    <row r="290" spans="2:53" ht="15" customHeight="1" x14ac:dyDescent="0.25">
      <c r="B290" s="5" t="str">
        <f t="shared" si="59"/>
        <v/>
      </c>
      <c r="C290" s="5"/>
      <c r="D290" s="5"/>
      <c r="E290" s="5"/>
      <c r="F290" s="6"/>
      <c r="G290" s="6"/>
      <c r="H290" s="7"/>
      <c r="I290" s="8"/>
      <c r="K290" s="23" t="str">
        <f>IFERROR(INDEX($AL$11:$AL$4010,MATCH(280,$AX$11:$AX$4010,0)),"")</f>
        <v/>
      </c>
      <c r="L290" s="24" t="str">
        <f t="shared" si="60"/>
        <v/>
      </c>
      <c r="M290" s="25" t="str">
        <f t="shared" si="61"/>
        <v/>
      </c>
      <c r="N290" s="25" t="str">
        <f t="shared" si="62"/>
        <v/>
      </c>
      <c r="W290" s="28" t="str">
        <f>IF(X290="","",IFERROR(INDEX($AL$11:$AL$4010,MATCH(280,$AY$11:$AY$4010,0)),""))</f>
        <v/>
      </c>
      <c r="X290" s="26" t="str">
        <f>IFERROR(INDEX($AM$11:$AM$4010,MATCH(280,$AY$11:$AY$4010,0)),"")</f>
        <v/>
      </c>
      <c r="Y290" s="25" t="str">
        <f>IF(X290="","",IFERROR(INDEX($AN$11:$AN$4010,MATCH(280,$AY$11:$AY$4010,0)),""))</f>
        <v/>
      </c>
      <c r="Z290" s="25" t="str">
        <f>IF(X290="","",IFERROR(INDEX($AO$11:$AO$4010,MATCH(280,$AY$11:$AY$4010,0)),""))</f>
        <v/>
      </c>
      <c r="AA290" s="24" t="str">
        <f>IF(X290="","",IFERROR(INDEX($AQ$11:$AQ$4010,MATCH(280,$AY$11:$AY$4010,0)),""))</f>
        <v/>
      </c>
      <c r="AB290" s="29" t="str">
        <f>IF(X290="","",IFERROR(INDEX($AR$11:$AR$4010,MATCH(280,$AY$11:$AY$4010,0)),""))</f>
        <v/>
      </c>
      <c r="AD290" s="30" t="str">
        <f>IF(AE290="","",IFERROR(INDEX($AL$11:$AL$4010,MATCH(280,$AZ$11:$AZ$4010,0)),""))</f>
        <v/>
      </c>
      <c r="AE290" s="26" t="str">
        <f>IFERROR(INDEX($AM$11:$AM$4010,MATCH(280,$AZ$11:$AZ$4010,0)),"")</f>
        <v/>
      </c>
      <c r="AF290" s="25" t="str">
        <f>IF(AE290="","",IFERROR(INDEX($AN$11:$AN$4010,MATCH(280,$AZ$11:$AZ$4010,0)),""))</f>
        <v/>
      </c>
      <c r="AG290" s="25" t="str">
        <f>IF(AE290="","",IFERROR(INDEX($AO$11:$AO$4010,MATCH(280,$AZ$11:$AZ$4010,0)),""))</f>
        <v/>
      </c>
      <c r="AH290" s="24" t="str">
        <f>IF(AE290="","",IFERROR(INDEX($AQ$11:$AQ$4010,MATCH(280,$AZ$11:$AZ$4010,0)),""))</f>
        <v/>
      </c>
      <c r="AI290" s="29" t="str">
        <f>IF(AE290="","",IFERROR(INDEX($AR$11:$AR$4010,MATCH(280,$AZ$11:$AZ$4010,0)),""))</f>
        <v/>
      </c>
      <c r="AJ290" s="29" t="str">
        <f>IF(AE290="","",IFERROR(INDEX($AT$11:$AT$4010,MATCH(280,$AZ$11:$AZ$4010,0)),""))</f>
        <v/>
      </c>
      <c r="AL290" s="31" t="str">
        <f t="shared" si="63"/>
        <v/>
      </c>
      <c r="AM290" s="26" t="str">
        <f t="shared" si="64"/>
        <v/>
      </c>
      <c r="AN290" s="32" t="str">
        <f t="shared" si="65"/>
        <v/>
      </c>
      <c r="AO290" s="32" t="str">
        <f t="shared" si="66"/>
        <v/>
      </c>
      <c r="AP290" s="24" t="str">
        <f t="shared" si="67"/>
        <v/>
      </c>
      <c r="AQ290" s="24" t="str">
        <f t="shared" si="68"/>
        <v/>
      </c>
      <c r="AR290" s="33" t="str">
        <f t="shared" si="69"/>
        <v/>
      </c>
      <c r="AS290" s="34"/>
      <c r="AT290" s="33"/>
      <c r="AV290" s="21">
        <f>IF(AND($AL290&lt;&gt;"",COUNTIF($AL$11:$AL290,$AL290)=1),1,0)</f>
        <v>0</v>
      </c>
      <c r="AW290" s="21">
        <f t="shared" si="71"/>
        <v>0</v>
      </c>
      <c r="AX290" s="21" t="str">
        <f t="shared" si="70"/>
        <v/>
      </c>
      <c r="AY290" s="21" t="str">
        <f>IF(AND($AM290&lt;&gt;"",$AS290&lt;&gt;"✓"),SUMPRODUCT(($AM$11:$AM290&lt;&gt;"")*($AS$11:$AS290&lt;&gt;"✓")),"")</f>
        <v/>
      </c>
      <c r="AZ290" s="21" t="str">
        <f>IF(AND($AM290&lt;&gt;"",$AS290="✓"),SUMPRODUCT(($AM$11:$AM290&lt;&gt;"")*($AS$11:$AS290="✓")),"")</f>
        <v/>
      </c>
      <c r="BA290" s="21" t="str">
        <f>IF($AL290="","",$AL290&amp;"|"&amp;COUNTIF($AL$11:$AL290,$AL290))</f>
        <v/>
      </c>
    </row>
    <row r="291" spans="2:53" ht="15" customHeight="1" x14ac:dyDescent="0.25">
      <c r="B291" s="5" t="str">
        <f t="shared" si="59"/>
        <v/>
      </c>
      <c r="C291" s="5"/>
      <c r="D291" s="5"/>
      <c r="E291" s="5"/>
      <c r="F291" s="6"/>
      <c r="G291" s="6"/>
      <c r="H291" s="7"/>
      <c r="I291" s="8"/>
      <c r="K291" s="9" t="str">
        <f>IFERROR(INDEX($AL$11:$AL$4010,MATCH(281,$AX$11:$AX$4010,0)),"")</f>
        <v/>
      </c>
      <c r="L291" s="10" t="str">
        <f t="shared" si="60"/>
        <v/>
      </c>
      <c r="M291" s="11" t="str">
        <f t="shared" si="61"/>
        <v/>
      </c>
      <c r="N291" s="11" t="str">
        <f t="shared" si="62"/>
        <v/>
      </c>
      <c r="W291" s="14" t="str">
        <f>IF(X291="","",IFERROR(INDEX($AL$11:$AL$4010,MATCH(281,$AY$11:$AY$4010,0)),""))</f>
        <v/>
      </c>
      <c r="X291" s="12" t="str">
        <f>IFERROR(INDEX($AM$11:$AM$4010,MATCH(281,$AY$11:$AY$4010,0)),"")</f>
        <v/>
      </c>
      <c r="Y291" s="11" t="str">
        <f>IF(X291="","",IFERROR(INDEX($AN$11:$AN$4010,MATCH(281,$AY$11:$AY$4010,0)),""))</f>
        <v/>
      </c>
      <c r="Z291" s="11" t="str">
        <f>IF(X291="","",IFERROR(INDEX($AO$11:$AO$4010,MATCH(281,$AY$11:$AY$4010,0)),""))</f>
        <v/>
      </c>
      <c r="AA291" s="10" t="str">
        <f>IF(X291="","",IFERROR(INDEX($AQ$11:$AQ$4010,MATCH(281,$AY$11:$AY$4010,0)),""))</f>
        <v/>
      </c>
      <c r="AB291" s="15" t="str">
        <f>IF(X291="","",IFERROR(INDEX($AR$11:$AR$4010,MATCH(281,$AY$11:$AY$4010,0)),""))</f>
        <v/>
      </c>
      <c r="AD291" s="16" t="str">
        <f>IF(AE291="","",IFERROR(INDEX($AL$11:$AL$4010,MATCH(281,$AZ$11:$AZ$4010,0)),""))</f>
        <v/>
      </c>
      <c r="AE291" s="12" t="str">
        <f>IFERROR(INDEX($AM$11:$AM$4010,MATCH(281,$AZ$11:$AZ$4010,0)),"")</f>
        <v/>
      </c>
      <c r="AF291" s="11" t="str">
        <f>IF(AE291="","",IFERROR(INDEX($AN$11:$AN$4010,MATCH(281,$AZ$11:$AZ$4010,0)),""))</f>
        <v/>
      </c>
      <c r="AG291" s="11" t="str">
        <f>IF(AE291="","",IFERROR(INDEX($AO$11:$AO$4010,MATCH(281,$AZ$11:$AZ$4010,0)),""))</f>
        <v/>
      </c>
      <c r="AH291" s="10" t="str">
        <f>IF(AE291="","",IFERROR(INDEX($AQ$11:$AQ$4010,MATCH(281,$AZ$11:$AZ$4010,0)),""))</f>
        <v/>
      </c>
      <c r="AI291" s="15" t="str">
        <f>IF(AE291="","",IFERROR(INDEX($AR$11:$AR$4010,MATCH(281,$AZ$11:$AZ$4010,0)),""))</f>
        <v/>
      </c>
      <c r="AJ291" s="15" t="str">
        <f>IF(AE291="","",IFERROR(INDEX($AT$11:$AT$4010,MATCH(281,$AZ$11:$AZ$4010,0)),""))</f>
        <v/>
      </c>
      <c r="AL291" s="17" t="str">
        <f t="shared" si="63"/>
        <v/>
      </c>
      <c r="AM291" s="12" t="str">
        <f t="shared" si="64"/>
        <v/>
      </c>
      <c r="AN291" s="18" t="str">
        <f t="shared" si="65"/>
        <v/>
      </c>
      <c r="AO291" s="18" t="str">
        <f t="shared" si="66"/>
        <v/>
      </c>
      <c r="AP291" s="10" t="str">
        <f t="shared" si="67"/>
        <v/>
      </c>
      <c r="AQ291" s="10" t="str">
        <f t="shared" si="68"/>
        <v/>
      </c>
      <c r="AR291" s="19" t="str">
        <f t="shared" si="69"/>
        <v/>
      </c>
      <c r="AS291" s="20"/>
      <c r="AT291" s="19"/>
      <c r="AV291" s="21">
        <f>IF(AND($AL291&lt;&gt;"",COUNTIF($AL$11:$AL291,$AL291)=1),1,0)</f>
        <v>0</v>
      </c>
      <c r="AW291" s="21">
        <f t="shared" si="71"/>
        <v>0</v>
      </c>
      <c r="AX291" s="21" t="str">
        <f t="shared" si="70"/>
        <v/>
      </c>
      <c r="AY291" s="21" t="str">
        <f>IF(AND($AM291&lt;&gt;"",$AS291&lt;&gt;"✓"),SUMPRODUCT(($AM$11:$AM291&lt;&gt;"")*($AS$11:$AS291&lt;&gt;"✓")),"")</f>
        <v/>
      </c>
      <c r="AZ291" s="21" t="str">
        <f>IF(AND($AM291&lt;&gt;"",$AS291="✓"),SUMPRODUCT(($AM$11:$AM291&lt;&gt;"")*($AS$11:$AS291="✓")),"")</f>
        <v/>
      </c>
      <c r="BA291" s="21" t="str">
        <f>IF($AL291="","",$AL291&amp;"|"&amp;COUNTIF($AL$11:$AL291,$AL291))</f>
        <v/>
      </c>
    </row>
    <row r="292" spans="2:53" ht="15" customHeight="1" x14ac:dyDescent="0.25">
      <c r="B292" s="5" t="str">
        <f t="shared" si="59"/>
        <v/>
      </c>
      <c r="C292" s="5"/>
      <c r="D292" s="5"/>
      <c r="E292" s="5"/>
      <c r="F292" s="6"/>
      <c r="G292" s="6"/>
      <c r="H292" s="7"/>
      <c r="I292" s="8"/>
      <c r="K292" s="23" t="str">
        <f>IFERROR(INDEX($AL$11:$AL$4010,MATCH(282,$AX$11:$AX$4010,0)),"")</f>
        <v/>
      </c>
      <c r="L292" s="24" t="str">
        <f t="shared" si="60"/>
        <v/>
      </c>
      <c r="M292" s="25" t="str">
        <f t="shared" si="61"/>
        <v/>
      </c>
      <c r="N292" s="25" t="str">
        <f t="shared" si="62"/>
        <v/>
      </c>
      <c r="W292" s="28" t="str">
        <f>IF(X292="","",IFERROR(INDEX($AL$11:$AL$4010,MATCH(282,$AY$11:$AY$4010,0)),""))</f>
        <v/>
      </c>
      <c r="X292" s="26" t="str">
        <f>IFERROR(INDEX($AM$11:$AM$4010,MATCH(282,$AY$11:$AY$4010,0)),"")</f>
        <v/>
      </c>
      <c r="Y292" s="25" t="str">
        <f>IF(X292="","",IFERROR(INDEX($AN$11:$AN$4010,MATCH(282,$AY$11:$AY$4010,0)),""))</f>
        <v/>
      </c>
      <c r="Z292" s="25" t="str">
        <f>IF(X292="","",IFERROR(INDEX($AO$11:$AO$4010,MATCH(282,$AY$11:$AY$4010,0)),""))</f>
        <v/>
      </c>
      <c r="AA292" s="24" t="str">
        <f>IF(X292="","",IFERROR(INDEX($AQ$11:$AQ$4010,MATCH(282,$AY$11:$AY$4010,0)),""))</f>
        <v/>
      </c>
      <c r="AB292" s="29" t="str">
        <f>IF(X292="","",IFERROR(INDEX($AR$11:$AR$4010,MATCH(282,$AY$11:$AY$4010,0)),""))</f>
        <v/>
      </c>
      <c r="AD292" s="30" t="str">
        <f>IF(AE292="","",IFERROR(INDEX($AL$11:$AL$4010,MATCH(282,$AZ$11:$AZ$4010,0)),""))</f>
        <v/>
      </c>
      <c r="AE292" s="26" t="str">
        <f>IFERROR(INDEX($AM$11:$AM$4010,MATCH(282,$AZ$11:$AZ$4010,0)),"")</f>
        <v/>
      </c>
      <c r="AF292" s="25" t="str">
        <f>IF(AE292="","",IFERROR(INDEX($AN$11:$AN$4010,MATCH(282,$AZ$11:$AZ$4010,0)),""))</f>
        <v/>
      </c>
      <c r="AG292" s="25" t="str">
        <f>IF(AE292="","",IFERROR(INDEX($AO$11:$AO$4010,MATCH(282,$AZ$11:$AZ$4010,0)),""))</f>
        <v/>
      </c>
      <c r="AH292" s="24" t="str">
        <f>IF(AE292="","",IFERROR(INDEX($AQ$11:$AQ$4010,MATCH(282,$AZ$11:$AZ$4010,0)),""))</f>
        <v/>
      </c>
      <c r="AI292" s="29" t="str">
        <f>IF(AE292="","",IFERROR(INDEX($AR$11:$AR$4010,MATCH(282,$AZ$11:$AZ$4010,0)),""))</f>
        <v/>
      </c>
      <c r="AJ292" s="29" t="str">
        <f>IF(AE292="","",IFERROR(INDEX($AT$11:$AT$4010,MATCH(282,$AZ$11:$AZ$4010,0)),""))</f>
        <v/>
      </c>
      <c r="AL292" s="31" t="str">
        <f t="shared" si="63"/>
        <v/>
      </c>
      <c r="AM292" s="26" t="str">
        <f t="shared" si="64"/>
        <v/>
      </c>
      <c r="AN292" s="32" t="str">
        <f t="shared" si="65"/>
        <v/>
      </c>
      <c r="AO292" s="32" t="str">
        <f t="shared" si="66"/>
        <v/>
      </c>
      <c r="AP292" s="24" t="str">
        <f t="shared" si="67"/>
        <v/>
      </c>
      <c r="AQ292" s="24" t="str">
        <f t="shared" si="68"/>
        <v/>
      </c>
      <c r="AR292" s="33" t="str">
        <f t="shared" si="69"/>
        <v/>
      </c>
      <c r="AS292" s="34"/>
      <c r="AT292" s="33"/>
      <c r="AV292" s="21">
        <f>IF(AND($AL292&lt;&gt;"",COUNTIF($AL$11:$AL292,$AL292)=1),1,0)</f>
        <v>0</v>
      </c>
      <c r="AW292" s="21">
        <f t="shared" si="71"/>
        <v>0</v>
      </c>
      <c r="AX292" s="21" t="str">
        <f t="shared" si="70"/>
        <v/>
      </c>
      <c r="AY292" s="21" t="str">
        <f>IF(AND($AM292&lt;&gt;"",$AS292&lt;&gt;"✓"),SUMPRODUCT(($AM$11:$AM292&lt;&gt;"")*($AS$11:$AS292&lt;&gt;"✓")),"")</f>
        <v/>
      </c>
      <c r="AZ292" s="21" t="str">
        <f>IF(AND($AM292&lt;&gt;"",$AS292="✓"),SUMPRODUCT(($AM$11:$AM292&lt;&gt;"")*($AS$11:$AS292="✓")),"")</f>
        <v/>
      </c>
      <c r="BA292" s="21" t="str">
        <f>IF($AL292="","",$AL292&amp;"|"&amp;COUNTIF($AL$11:$AL292,$AL292))</f>
        <v/>
      </c>
    </row>
    <row r="293" spans="2:53" ht="15" customHeight="1" x14ac:dyDescent="0.25">
      <c r="B293" s="5" t="str">
        <f t="shared" si="59"/>
        <v/>
      </c>
      <c r="C293" s="5"/>
      <c r="D293" s="5"/>
      <c r="E293" s="5"/>
      <c r="F293" s="6"/>
      <c r="G293" s="6"/>
      <c r="H293" s="7"/>
      <c r="I293" s="8"/>
      <c r="K293" s="9" t="str">
        <f>IFERROR(INDEX($AL$11:$AL$4010,MATCH(283,$AX$11:$AX$4010,0)),"")</f>
        <v/>
      </c>
      <c r="L293" s="10" t="str">
        <f t="shared" si="60"/>
        <v/>
      </c>
      <c r="M293" s="11" t="str">
        <f t="shared" si="61"/>
        <v/>
      </c>
      <c r="N293" s="11" t="str">
        <f t="shared" si="62"/>
        <v/>
      </c>
      <c r="W293" s="14" t="str">
        <f>IF(X293="","",IFERROR(INDEX($AL$11:$AL$4010,MATCH(283,$AY$11:$AY$4010,0)),""))</f>
        <v/>
      </c>
      <c r="X293" s="12" t="str">
        <f>IFERROR(INDEX($AM$11:$AM$4010,MATCH(283,$AY$11:$AY$4010,0)),"")</f>
        <v/>
      </c>
      <c r="Y293" s="11" t="str">
        <f>IF(X293="","",IFERROR(INDEX($AN$11:$AN$4010,MATCH(283,$AY$11:$AY$4010,0)),""))</f>
        <v/>
      </c>
      <c r="Z293" s="11" t="str">
        <f>IF(X293="","",IFERROR(INDEX($AO$11:$AO$4010,MATCH(283,$AY$11:$AY$4010,0)),""))</f>
        <v/>
      </c>
      <c r="AA293" s="10" t="str">
        <f>IF(X293="","",IFERROR(INDEX($AQ$11:$AQ$4010,MATCH(283,$AY$11:$AY$4010,0)),""))</f>
        <v/>
      </c>
      <c r="AB293" s="15" t="str">
        <f>IF(X293="","",IFERROR(INDEX($AR$11:$AR$4010,MATCH(283,$AY$11:$AY$4010,0)),""))</f>
        <v/>
      </c>
      <c r="AD293" s="16" t="str">
        <f>IF(AE293="","",IFERROR(INDEX($AL$11:$AL$4010,MATCH(283,$AZ$11:$AZ$4010,0)),""))</f>
        <v/>
      </c>
      <c r="AE293" s="12" t="str">
        <f>IFERROR(INDEX($AM$11:$AM$4010,MATCH(283,$AZ$11:$AZ$4010,0)),"")</f>
        <v/>
      </c>
      <c r="AF293" s="11" t="str">
        <f>IF(AE293="","",IFERROR(INDEX($AN$11:$AN$4010,MATCH(283,$AZ$11:$AZ$4010,0)),""))</f>
        <v/>
      </c>
      <c r="AG293" s="11" t="str">
        <f>IF(AE293="","",IFERROR(INDEX($AO$11:$AO$4010,MATCH(283,$AZ$11:$AZ$4010,0)),""))</f>
        <v/>
      </c>
      <c r="AH293" s="10" t="str">
        <f>IF(AE293="","",IFERROR(INDEX($AQ$11:$AQ$4010,MATCH(283,$AZ$11:$AZ$4010,0)),""))</f>
        <v/>
      </c>
      <c r="AI293" s="15" t="str">
        <f>IF(AE293="","",IFERROR(INDEX($AR$11:$AR$4010,MATCH(283,$AZ$11:$AZ$4010,0)),""))</f>
        <v/>
      </c>
      <c r="AJ293" s="15" t="str">
        <f>IF(AE293="","",IFERROR(INDEX($AT$11:$AT$4010,MATCH(283,$AZ$11:$AZ$4010,0)),""))</f>
        <v/>
      </c>
      <c r="AL293" s="17" t="str">
        <f t="shared" si="63"/>
        <v/>
      </c>
      <c r="AM293" s="12" t="str">
        <f t="shared" si="64"/>
        <v/>
      </c>
      <c r="AN293" s="18" t="str">
        <f t="shared" si="65"/>
        <v/>
      </c>
      <c r="AO293" s="18" t="str">
        <f t="shared" si="66"/>
        <v/>
      </c>
      <c r="AP293" s="10" t="str">
        <f t="shared" si="67"/>
        <v/>
      </c>
      <c r="AQ293" s="10" t="str">
        <f t="shared" si="68"/>
        <v/>
      </c>
      <c r="AR293" s="19" t="str">
        <f t="shared" si="69"/>
        <v/>
      </c>
      <c r="AS293" s="20"/>
      <c r="AT293" s="19"/>
      <c r="AV293" s="21">
        <f>IF(AND($AL293&lt;&gt;"",COUNTIF($AL$11:$AL293,$AL293)=1),1,0)</f>
        <v>0</v>
      </c>
      <c r="AW293" s="21">
        <f t="shared" si="71"/>
        <v>0</v>
      </c>
      <c r="AX293" s="21" t="str">
        <f t="shared" si="70"/>
        <v/>
      </c>
      <c r="AY293" s="21" t="str">
        <f>IF(AND($AM293&lt;&gt;"",$AS293&lt;&gt;"✓"),SUMPRODUCT(($AM$11:$AM293&lt;&gt;"")*($AS$11:$AS293&lt;&gt;"✓")),"")</f>
        <v/>
      </c>
      <c r="AZ293" s="21" t="str">
        <f>IF(AND($AM293&lt;&gt;"",$AS293="✓"),SUMPRODUCT(($AM$11:$AM293&lt;&gt;"")*($AS$11:$AS293="✓")),"")</f>
        <v/>
      </c>
      <c r="BA293" s="21" t="str">
        <f>IF($AL293="","",$AL293&amp;"|"&amp;COUNTIF($AL$11:$AL293,$AL293))</f>
        <v/>
      </c>
    </row>
    <row r="294" spans="2:53" ht="15" customHeight="1" x14ac:dyDescent="0.25">
      <c r="B294" s="5" t="str">
        <f t="shared" si="59"/>
        <v/>
      </c>
      <c r="C294" s="5"/>
      <c r="D294" s="5"/>
      <c r="E294" s="5"/>
      <c r="F294" s="6"/>
      <c r="G294" s="6"/>
      <c r="H294" s="7"/>
      <c r="I294" s="8"/>
      <c r="K294" s="23" t="str">
        <f>IFERROR(INDEX($AL$11:$AL$4010,MATCH(284,$AX$11:$AX$4010,0)),"")</f>
        <v/>
      </c>
      <c r="L294" s="24" t="str">
        <f t="shared" si="60"/>
        <v/>
      </c>
      <c r="M294" s="25" t="str">
        <f t="shared" si="61"/>
        <v/>
      </c>
      <c r="N294" s="25" t="str">
        <f t="shared" si="62"/>
        <v/>
      </c>
      <c r="W294" s="28" t="str">
        <f>IF(X294="","",IFERROR(INDEX($AL$11:$AL$4010,MATCH(284,$AY$11:$AY$4010,0)),""))</f>
        <v/>
      </c>
      <c r="X294" s="26" t="str">
        <f>IFERROR(INDEX($AM$11:$AM$4010,MATCH(284,$AY$11:$AY$4010,0)),"")</f>
        <v/>
      </c>
      <c r="Y294" s="25" t="str">
        <f>IF(X294="","",IFERROR(INDEX($AN$11:$AN$4010,MATCH(284,$AY$11:$AY$4010,0)),""))</f>
        <v/>
      </c>
      <c r="Z294" s="25" t="str">
        <f>IF(X294="","",IFERROR(INDEX($AO$11:$AO$4010,MATCH(284,$AY$11:$AY$4010,0)),""))</f>
        <v/>
      </c>
      <c r="AA294" s="24" t="str">
        <f>IF(X294="","",IFERROR(INDEX($AQ$11:$AQ$4010,MATCH(284,$AY$11:$AY$4010,0)),""))</f>
        <v/>
      </c>
      <c r="AB294" s="29" t="str">
        <f>IF(X294="","",IFERROR(INDEX($AR$11:$AR$4010,MATCH(284,$AY$11:$AY$4010,0)),""))</f>
        <v/>
      </c>
      <c r="AD294" s="30" t="str">
        <f>IF(AE294="","",IFERROR(INDEX($AL$11:$AL$4010,MATCH(284,$AZ$11:$AZ$4010,0)),""))</f>
        <v/>
      </c>
      <c r="AE294" s="26" t="str">
        <f>IFERROR(INDEX($AM$11:$AM$4010,MATCH(284,$AZ$11:$AZ$4010,0)),"")</f>
        <v/>
      </c>
      <c r="AF294" s="25" t="str">
        <f>IF(AE294="","",IFERROR(INDEX($AN$11:$AN$4010,MATCH(284,$AZ$11:$AZ$4010,0)),""))</f>
        <v/>
      </c>
      <c r="AG294" s="25" t="str">
        <f>IF(AE294="","",IFERROR(INDEX($AO$11:$AO$4010,MATCH(284,$AZ$11:$AZ$4010,0)),""))</f>
        <v/>
      </c>
      <c r="AH294" s="24" t="str">
        <f>IF(AE294="","",IFERROR(INDEX($AQ$11:$AQ$4010,MATCH(284,$AZ$11:$AZ$4010,0)),""))</f>
        <v/>
      </c>
      <c r="AI294" s="29" t="str">
        <f>IF(AE294="","",IFERROR(INDEX($AR$11:$AR$4010,MATCH(284,$AZ$11:$AZ$4010,0)),""))</f>
        <v/>
      </c>
      <c r="AJ294" s="29" t="str">
        <f>IF(AE294="","",IFERROR(INDEX($AT$11:$AT$4010,MATCH(284,$AZ$11:$AZ$4010,0)),""))</f>
        <v/>
      </c>
      <c r="AL294" s="31" t="str">
        <f t="shared" si="63"/>
        <v/>
      </c>
      <c r="AM294" s="26" t="str">
        <f t="shared" si="64"/>
        <v/>
      </c>
      <c r="AN294" s="32" t="str">
        <f t="shared" si="65"/>
        <v/>
      </c>
      <c r="AO294" s="32" t="str">
        <f t="shared" si="66"/>
        <v/>
      </c>
      <c r="AP294" s="24" t="str">
        <f t="shared" si="67"/>
        <v/>
      </c>
      <c r="AQ294" s="24" t="str">
        <f t="shared" si="68"/>
        <v/>
      </c>
      <c r="AR294" s="33" t="str">
        <f t="shared" si="69"/>
        <v/>
      </c>
      <c r="AS294" s="34"/>
      <c r="AT294" s="33"/>
      <c r="AV294" s="21">
        <f>IF(AND($AL294&lt;&gt;"",COUNTIF($AL$11:$AL294,$AL294)=1),1,0)</f>
        <v>0</v>
      </c>
      <c r="AW294" s="21">
        <f t="shared" si="71"/>
        <v>0</v>
      </c>
      <c r="AX294" s="21" t="str">
        <f t="shared" si="70"/>
        <v/>
      </c>
      <c r="AY294" s="21" t="str">
        <f>IF(AND($AM294&lt;&gt;"",$AS294&lt;&gt;"✓"),SUMPRODUCT(($AM$11:$AM294&lt;&gt;"")*($AS$11:$AS294&lt;&gt;"✓")),"")</f>
        <v/>
      </c>
      <c r="AZ294" s="21" t="str">
        <f>IF(AND($AM294&lt;&gt;"",$AS294="✓"),SUMPRODUCT(($AM$11:$AM294&lt;&gt;"")*($AS$11:$AS294="✓")),"")</f>
        <v/>
      </c>
      <c r="BA294" s="21" t="str">
        <f>IF($AL294="","",$AL294&amp;"|"&amp;COUNTIF($AL$11:$AL294,$AL294))</f>
        <v/>
      </c>
    </row>
    <row r="295" spans="2:53" ht="15" customHeight="1" x14ac:dyDescent="0.25">
      <c r="B295" s="5" t="str">
        <f t="shared" si="59"/>
        <v/>
      </c>
      <c r="C295" s="5"/>
      <c r="D295" s="5"/>
      <c r="E295" s="5"/>
      <c r="F295" s="6"/>
      <c r="G295" s="6"/>
      <c r="H295" s="7"/>
      <c r="I295" s="8"/>
      <c r="K295" s="9" t="str">
        <f>IFERROR(INDEX($AL$11:$AL$4010,MATCH(285,$AX$11:$AX$4010,0)),"")</f>
        <v/>
      </c>
      <c r="L295" s="10" t="str">
        <f t="shared" si="60"/>
        <v/>
      </c>
      <c r="M295" s="11" t="str">
        <f t="shared" si="61"/>
        <v/>
      </c>
      <c r="N295" s="11" t="str">
        <f t="shared" si="62"/>
        <v/>
      </c>
      <c r="W295" s="14" t="str">
        <f>IF(X295="","",IFERROR(INDEX($AL$11:$AL$4010,MATCH(285,$AY$11:$AY$4010,0)),""))</f>
        <v/>
      </c>
      <c r="X295" s="12" t="str">
        <f>IFERROR(INDEX($AM$11:$AM$4010,MATCH(285,$AY$11:$AY$4010,0)),"")</f>
        <v/>
      </c>
      <c r="Y295" s="11" t="str">
        <f>IF(X295="","",IFERROR(INDEX($AN$11:$AN$4010,MATCH(285,$AY$11:$AY$4010,0)),""))</f>
        <v/>
      </c>
      <c r="Z295" s="11" t="str">
        <f>IF(X295="","",IFERROR(INDEX($AO$11:$AO$4010,MATCH(285,$AY$11:$AY$4010,0)),""))</f>
        <v/>
      </c>
      <c r="AA295" s="10" t="str">
        <f>IF(X295="","",IFERROR(INDEX($AQ$11:$AQ$4010,MATCH(285,$AY$11:$AY$4010,0)),""))</f>
        <v/>
      </c>
      <c r="AB295" s="15" t="str">
        <f>IF(X295="","",IFERROR(INDEX($AR$11:$AR$4010,MATCH(285,$AY$11:$AY$4010,0)),""))</f>
        <v/>
      </c>
      <c r="AD295" s="16" t="str">
        <f>IF(AE295="","",IFERROR(INDEX($AL$11:$AL$4010,MATCH(285,$AZ$11:$AZ$4010,0)),""))</f>
        <v/>
      </c>
      <c r="AE295" s="12" t="str">
        <f>IFERROR(INDEX($AM$11:$AM$4010,MATCH(285,$AZ$11:$AZ$4010,0)),"")</f>
        <v/>
      </c>
      <c r="AF295" s="11" t="str">
        <f>IF(AE295="","",IFERROR(INDEX($AN$11:$AN$4010,MATCH(285,$AZ$11:$AZ$4010,0)),""))</f>
        <v/>
      </c>
      <c r="AG295" s="11" t="str">
        <f>IF(AE295="","",IFERROR(INDEX($AO$11:$AO$4010,MATCH(285,$AZ$11:$AZ$4010,0)),""))</f>
        <v/>
      </c>
      <c r="AH295" s="10" t="str">
        <f>IF(AE295="","",IFERROR(INDEX($AQ$11:$AQ$4010,MATCH(285,$AZ$11:$AZ$4010,0)),""))</f>
        <v/>
      </c>
      <c r="AI295" s="15" t="str">
        <f>IF(AE295="","",IFERROR(INDEX($AR$11:$AR$4010,MATCH(285,$AZ$11:$AZ$4010,0)),""))</f>
        <v/>
      </c>
      <c r="AJ295" s="15" t="str">
        <f>IF(AE295="","",IFERROR(INDEX($AT$11:$AT$4010,MATCH(285,$AZ$11:$AZ$4010,0)),""))</f>
        <v/>
      </c>
      <c r="AL295" s="17" t="str">
        <f t="shared" si="63"/>
        <v/>
      </c>
      <c r="AM295" s="12" t="str">
        <f t="shared" si="64"/>
        <v/>
      </c>
      <c r="AN295" s="18" t="str">
        <f t="shared" si="65"/>
        <v/>
      </c>
      <c r="AO295" s="18" t="str">
        <f t="shared" si="66"/>
        <v/>
      </c>
      <c r="AP295" s="10" t="str">
        <f t="shared" si="67"/>
        <v/>
      </c>
      <c r="AQ295" s="10" t="str">
        <f t="shared" si="68"/>
        <v/>
      </c>
      <c r="AR295" s="19" t="str">
        <f t="shared" si="69"/>
        <v/>
      </c>
      <c r="AS295" s="20"/>
      <c r="AT295" s="19"/>
      <c r="AV295" s="21">
        <f>IF(AND($AL295&lt;&gt;"",COUNTIF($AL$11:$AL295,$AL295)=1),1,0)</f>
        <v>0</v>
      </c>
      <c r="AW295" s="21">
        <f t="shared" si="71"/>
        <v>0</v>
      </c>
      <c r="AX295" s="21" t="str">
        <f t="shared" si="70"/>
        <v/>
      </c>
      <c r="AY295" s="21" t="str">
        <f>IF(AND($AM295&lt;&gt;"",$AS295&lt;&gt;"✓"),SUMPRODUCT(($AM$11:$AM295&lt;&gt;"")*($AS$11:$AS295&lt;&gt;"✓")),"")</f>
        <v/>
      </c>
      <c r="AZ295" s="21" t="str">
        <f>IF(AND($AM295&lt;&gt;"",$AS295="✓"),SUMPRODUCT(($AM$11:$AM295&lt;&gt;"")*($AS$11:$AS295="✓")),"")</f>
        <v/>
      </c>
      <c r="BA295" s="21" t="str">
        <f>IF($AL295="","",$AL295&amp;"|"&amp;COUNTIF($AL$11:$AL295,$AL295))</f>
        <v/>
      </c>
    </row>
    <row r="296" spans="2:53" ht="15" customHeight="1" x14ac:dyDescent="0.25">
      <c r="B296" s="5" t="str">
        <f t="shared" si="59"/>
        <v/>
      </c>
      <c r="C296" s="5"/>
      <c r="D296" s="5"/>
      <c r="E296" s="5"/>
      <c r="F296" s="6"/>
      <c r="G296" s="6"/>
      <c r="H296" s="7"/>
      <c r="I296" s="8"/>
      <c r="K296" s="23" t="str">
        <f>IFERROR(INDEX($AL$11:$AL$4010,MATCH(286,$AX$11:$AX$4010,0)),"")</f>
        <v/>
      </c>
      <c r="L296" s="24" t="str">
        <f t="shared" si="60"/>
        <v/>
      </c>
      <c r="M296" s="25" t="str">
        <f t="shared" si="61"/>
        <v/>
      </c>
      <c r="N296" s="25" t="str">
        <f t="shared" si="62"/>
        <v/>
      </c>
      <c r="W296" s="28" t="str">
        <f>IF(X296="","",IFERROR(INDEX($AL$11:$AL$4010,MATCH(286,$AY$11:$AY$4010,0)),""))</f>
        <v/>
      </c>
      <c r="X296" s="26" t="str">
        <f>IFERROR(INDEX($AM$11:$AM$4010,MATCH(286,$AY$11:$AY$4010,0)),"")</f>
        <v/>
      </c>
      <c r="Y296" s="25" t="str">
        <f>IF(X296="","",IFERROR(INDEX($AN$11:$AN$4010,MATCH(286,$AY$11:$AY$4010,0)),""))</f>
        <v/>
      </c>
      <c r="Z296" s="25" t="str">
        <f>IF(X296="","",IFERROR(INDEX($AO$11:$AO$4010,MATCH(286,$AY$11:$AY$4010,0)),""))</f>
        <v/>
      </c>
      <c r="AA296" s="24" t="str">
        <f>IF(X296="","",IFERROR(INDEX($AQ$11:$AQ$4010,MATCH(286,$AY$11:$AY$4010,0)),""))</f>
        <v/>
      </c>
      <c r="AB296" s="29" t="str">
        <f>IF(X296="","",IFERROR(INDEX($AR$11:$AR$4010,MATCH(286,$AY$11:$AY$4010,0)),""))</f>
        <v/>
      </c>
      <c r="AD296" s="30" t="str">
        <f>IF(AE296="","",IFERROR(INDEX($AL$11:$AL$4010,MATCH(286,$AZ$11:$AZ$4010,0)),""))</f>
        <v/>
      </c>
      <c r="AE296" s="26" t="str">
        <f>IFERROR(INDEX($AM$11:$AM$4010,MATCH(286,$AZ$11:$AZ$4010,0)),"")</f>
        <v/>
      </c>
      <c r="AF296" s="25" t="str">
        <f>IF(AE296="","",IFERROR(INDEX($AN$11:$AN$4010,MATCH(286,$AZ$11:$AZ$4010,0)),""))</f>
        <v/>
      </c>
      <c r="AG296" s="25" t="str">
        <f>IF(AE296="","",IFERROR(INDEX($AO$11:$AO$4010,MATCH(286,$AZ$11:$AZ$4010,0)),""))</f>
        <v/>
      </c>
      <c r="AH296" s="24" t="str">
        <f>IF(AE296="","",IFERROR(INDEX($AQ$11:$AQ$4010,MATCH(286,$AZ$11:$AZ$4010,0)),""))</f>
        <v/>
      </c>
      <c r="AI296" s="29" t="str">
        <f>IF(AE296="","",IFERROR(INDEX($AR$11:$AR$4010,MATCH(286,$AZ$11:$AZ$4010,0)),""))</f>
        <v/>
      </c>
      <c r="AJ296" s="29" t="str">
        <f>IF(AE296="","",IFERROR(INDEX($AT$11:$AT$4010,MATCH(286,$AZ$11:$AZ$4010,0)),""))</f>
        <v/>
      </c>
      <c r="AL296" s="31" t="str">
        <f t="shared" si="63"/>
        <v/>
      </c>
      <c r="AM296" s="26" t="str">
        <f t="shared" si="64"/>
        <v/>
      </c>
      <c r="AN296" s="32" t="str">
        <f t="shared" si="65"/>
        <v/>
      </c>
      <c r="AO296" s="32" t="str">
        <f t="shared" si="66"/>
        <v/>
      </c>
      <c r="AP296" s="24" t="str">
        <f t="shared" si="67"/>
        <v/>
      </c>
      <c r="AQ296" s="24" t="str">
        <f t="shared" si="68"/>
        <v/>
      </c>
      <c r="AR296" s="33" t="str">
        <f t="shared" si="69"/>
        <v/>
      </c>
      <c r="AS296" s="34"/>
      <c r="AT296" s="33"/>
      <c r="AV296" s="21">
        <f>IF(AND($AL296&lt;&gt;"",COUNTIF($AL$11:$AL296,$AL296)=1),1,0)</f>
        <v>0</v>
      </c>
      <c r="AW296" s="21">
        <f t="shared" si="71"/>
        <v>0</v>
      </c>
      <c r="AX296" s="21" t="str">
        <f t="shared" si="70"/>
        <v/>
      </c>
      <c r="AY296" s="21" t="str">
        <f>IF(AND($AM296&lt;&gt;"",$AS296&lt;&gt;"✓"),SUMPRODUCT(($AM$11:$AM296&lt;&gt;"")*($AS$11:$AS296&lt;&gt;"✓")),"")</f>
        <v/>
      </c>
      <c r="AZ296" s="21" t="str">
        <f>IF(AND($AM296&lt;&gt;"",$AS296="✓"),SUMPRODUCT(($AM$11:$AM296&lt;&gt;"")*($AS$11:$AS296="✓")),"")</f>
        <v/>
      </c>
      <c r="BA296" s="21" t="str">
        <f>IF($AL296="","",$AL296&amp;"|"&amp;COUNTIF($AL$11:$AL296,$AL296))</f>
        <v/>
      </c>
    </row>
    <row r="297" spans="2:53" ht="15" customHeight="1" x14ac:dyDescent="0.25">
      <c r="B297" s="5" t="str">
        <f t="shared" si="59"/>
        <v/>
      </c>
      <c r="C297" s="5"/>
      <c r="D297" s="5"/>
      <c r="E297" s="5"/>
      <c r="F297" s="6"/>
      <c r="G297" s="6"/>
      <c r="H297" s="7"/>
      <c r="I297" s="8"/>
      <c r="K297" s="9" t="str">
        <f>IFERROR(INDEX($AL$11:$AL$4010,MATCH(287,$AX$11:$AX$4010,0)),"")</f>
        <v/>
      </c>
      <c r="L297" s="10" t="str">
        <f t="shared" si="60"/>
        <v/>
      </c>
      <c r="M297" s="11" t="str">
        <f t="shared" si="61"/>
        <v/>
      </c>
      <c r="N297" s="11" t="str">
        <f t="shared" si="62"/>
        <v/>
      </c>
      <c r="W297" s="14" t="str">
        <f>IF(X297="","",IFERROR(INDEX($AL$11:$AL$4010,MATCH(287,$AY$11:$AY$4010,0)),""))</f>
        <v/>
      </c>
      <c r="X297" s="12" t="str">
        <f>IFERROR(INDEX($AM$11:$AM$4010,MATCH(287,$AY$11:$AY$4010,0)),"")</f>
        <v/>
      </c>
      <c r="Y297" s="11" t="str">
        <f>IF(X297="","",IFERROR(INDEX($AN$11:$AN$4010,MATCH(287,$AY$11:$AY$4010,0)),""))</f>
        <v/>
      </c>
      <c r="Z297" s="11" t="str">
        <f>IF(X297="","",IFERROR(INDEX($AO$11:$AO$4010,MATCH(287,$AY$11:$AY$4010,0)),""))</f>
        <v/>
      </c>
      <c r="AA297" s="10" t="str">
        <f>IF(X297="","",IFERROR(INDEX($AQ$11:$AQ$4010,MATCH(287,$AY$11:$AY$4010,0)),""))</f>
        <v/>
      </c>
      <c r="AB297" s="15" t="str">
        <f>IF(X297="","",IFERROR(INDEX($AR$11:$AR$4010,MATCH(287,$AY$11:$AY$4010,0)),""))</f>
        <v/>
      </c>
      <c r="AD297" s="16" t="str">
        <f>IF(AE297="","",IFERROR(INDEX($AL$11:$AL$4010,MATCH(287,$AZ$11:$AZ$4010,0)),""))</f>
        <v/>
      </c>
      <c r="AE297" s="12" t="str">
        <f>IFERROR(INDEX($AM$11:$AM$4010,MATCH(287,$AZ$11:$AZ$4010,0)),"")</f>
        <v/>
      </c>
      <c r="AF297" s="11" t="str">
        <f>IF(AE297="","",IFERROR(INDEX($AN$11:$AN$4010,MATCH(287,$AZ$11:$AZ$4010,0)),""))</f>
        <v/>
      </c>
      <c r="AG297" s="11" t="str">
        <f>IF(AE297="","",IFERROR(INDEX($AO$11:$AO$4010,MATCH(287,$AZ$11:$AZ$4010,0)),""))</f>
        <v/>
      </c>
      <c r="AH297" s="10" t="str">
        <f>IF(AE297="","",IFERROR(INDEX($AQ$11:$AQ$4010,MATCH(287,$AZ$11:$AZ$4010,0)),""))</f>
        <v/>
      </c>
      <c r="AI297" s="15" t="str">
        <f>IF(AE297="","",IFERROR(INDEX($AR$11:$AR$4010,MATCH(287,$AZ$11:$AZ$4010,0)),""))</f>
        <v/>
      </c>
      <c r="AJ297" s="15" t="str">
        <f>IF(AE297="","",IFERROR(INDEX($AT$11:$AT$4010,MATCH(287,$AZ$11:$AZ$4010,0)),""))</f>
        <v/>
      </c>
      <c r="AL297" s="17" t="str">
        <f t="shared" si="63"/>
        <v/>
      </c>
      <c r="AM297" s="12" t="str">
        <f t="shared" si="64"/>
        <v/>
      </c>
      <c r="AN297" s="18" t="str">
        <f t="shared" si="65"/>
        <v/>
      </c>
      <c r="AO297" s="18" t="str">
        <f t="shared" si="66"/>
        <v/>
      </c>
      <c r="AP297" s="10" t="str">
        <f t="shared" si="67"/>
        <v/>
      </c>
      <c r="AQ297" s="10" t="str">
        <f t="shared" si="68"/>
        <v/>
      </c>
      <c r="AR297" s="19" t="str">
        <f t="shared" si="69"/>
        <v/>
      </c>
      <c r="AS297" s="20"/>
      <c r="AT297" s="19"/>
      <c r="AV297" s="21">
        <f>IF(AND($AL297&lt;&gt;"",COUNTIF($AL$11:$AL297,$AL297)=1),1,0)</f>
        <v>0</v>
      </c>
      <c r="AW297" s="21">
        <f t="shared" si="71"/>
        <v>0</v>
      </c>
      <c r="AX297" s="21" t="str">
        <f t="shared" si="70"/>
        <v/>
      </c>
      <c r="AY297" s="21" t="str">
        <f>IF(AND($AM297&lt;&gt;"",$AS297&lt;&gt;"✓"),SUMPRODUCT(($AM$11:$AM297&lt;&gt;"")*($AS$11:$AS297&lt;&gt;"✓")),"")</f>
        <v/>
      </c>
      <c r="AZ297" s="21" t="str">
        <f>IF(AND($AM297&lt;&gt;"",$AS297="✓"),SUMPRODUCT(($AM$11:$AM297&lt;&gt;"")*($AS$11:$AS297="✓")),"")</f>
        <v/>
      </c>
      <c r="BA297" s="21" t="str">
        <f>IF($AL297="","",$AL297&amp;"|"&amp;COUNTIF($AL$11:$AL297,$AL297))</f>
        <v/>
      </c>
    </row>
    <row r="298" spans="2:53" ht="15" customHeight="1" x14ac:dyDescent="0.25">
      <c r="B298" s="5" t="str">
        <f t="shared" si="59"/>
        <v/>
      </c>
      <c r="C298" s="5"/>
      <c r="D298" s="5"/>
      <c r="E298" s="5"/>
      <c r="F298" s="6"/>
      <c r="G298" s="6"/>
      <c r="H298" s="7"/>
      <c r="I298" s="8"/>
      <c r="K298" s="23" t="str">
        <f>IFERROR(INDEX($AL$11:$AL$4010,MATCH(288,$AX$11:$AX$4010,0)),"")</f>
        <v/>
      </c>
      <c r="L298" s="24" t="str">
        <f t="shared" si="60"/>
        <v/>
      </c>
      <c r="M298" s="25" t="str">
        <f t="shared" si="61"/>
        <v/>
      </c>
      <c r="N298" s="25" t="str">
        <f t="shared" si="62"/>
        <v/>
      </c>
      <c r="W298" s="28" t="str">
        <f>IF(X298="","",IFERROR(INDEX($AL$11:$AL$4010,MATCH(288,$AY$11:$AY$4010,0)),""))</f>
        <v/>
      </c>
      <c r="X298" s="26" t="str">
        <f>IFERROR(INDEX($AM$11:$AM$4010,MATCH(288,$AY$11:$AY$4010,0)),"")</f>
        <v/>
      </c>
      <c r="Y298" s="25" t="str">
        <f>IF(X298="","",IFERROR(INDEX($AN$11:$AN$4010,MATCH(288,$AY$11:$AY$4010,0)),""))</f>
        <v/>
      </c>
      <c r="Z298" s="25" t="str">
        <f>IF(X298="","",IFERROR(INDEX($AO$11:$AO$4010,MATCH(288,$AY$11:$AY$4010,0)),""))</f>
        <v/>
      </c>
      <c r="AA298" s="24" t="str">
        <f>IF(X298="","",IFERROR(INDEX($AQ$11:$AQ$4010,MATCH(288,$AY$11:$AY$4010,0)),""))</f>
        <v/>
      </c>
      <c r="AB298" s="29" t="str">
        <f>IF(X298="","",IFERROR(INDEX($AR$11:$AR$4010,MATCH(288,$AY$11:$AY$4010,0)),""))</f>
        <v/>
      </c>
      <c r="AD298" s="30" t="str">
        <f>IF(AE298="","",IFERROR(INDEX($AL$11:$AL$4010,MATCH(288,$AZ$11:$AZ$4010,0)),""))</f>
        <v/>
      </c>
      <c r="AE298" s="26" t="str">
        <f>IFERROR(INDEX($AM$11:$AM$4010,MATCH(288,$AZ$11:$AZ$4010,0)),"")</f>
        <v/>
      </c>
      <c r="AF298" s="25" t="str">
        <f>IF(AE298="","",IFERROR(INDEX($AN$11:$AN$4010,MATCH(288,$AZ$11:$AZ$4010,0)),""))</f>
        <v/>
      </c>
      <c r="AG298" s="25" t="str">
        <f>IF(AE298="","",IFERROR(INDEX($AO$11:$AO$4010,MATCH(288,$AZ$11:$AZ$4010,0)),""))</f>
        <v/>
      </c>
      <c r="AH298" s="24" t="str">
        <f>IF(AE298="","",IFERROR(INDEX($AQ$11:$AQ$4010,MATCH(288,$AZ$11:$AZ$4010,0)),""))</f>
        <v/>
      </c>
      <c r="AI298" s="29" t="str">
        <f>IF(AE298="","",IFERROR(INDEX($AR$11:$AR$4010,MATCH(288,$AZ$11:$AZ$4010,0)),""))</f>
        <v/>
      </c>
      <c r="AJ298" s="29" t="str">
        <f>IF(AE298="","",IFERROR(INDEX($AT$11:$AT$4010,MATCH(288,$AZ$11:$AZ$4010,0)),""))</f>
        <v/>
      </c>
      <c r="AL298" s="31" t="str">
        <f t="shared" si="63"/>
        <v/>
      </c>
      <c r="AM298" s="26" t="str">
        <f t="shared" si="64"/>
        <v/>
      </c>
      <c r="AN298" s="32" t="str">
        <f t="shared" si="65"/>
        <v/>
      </c>
      <c r="AO298" s="32" t="str">
        <f t="shared" si="66"/>
        <v/>
      </c>
      <c r="AP298" s="24" t="str">
        <f t="shared" si="67"/>
        <v/>
      </c>
      <c r="AQ298" s="24" t="str">
        <f t="shared" si="68"/>
        <v/>
      </c>
      <c r="AR298" s="33" t="str">
        <f t="shared" si="69"/>
        <v/>
      </c>
      <c r="AS298" s="34"/>
      <c r="AT298" s="33"/>
      <c r="AV298" s="21">
        <f>IF(AND($AL298&lt;&gt;"",COUNTIF($AL$11:$AL298,$AL298)=1),1,0)</f>
        <v>0</v>
      </c>
      <c r="AW298" s="21">
        <f t="shared" si="71"/>
        <v>0</v>
      </c>
      <c r="AX298" s="21" t="str">
        <f t="shared" si="70"/>
        <v/>
      </c>
      <c r="AY298" s="21" t="str">
        <f>IF(AND($AM298&lt;&gt;"",$AS298&lt;&gt;"✓"),SUMPRODUCT(($AM$11:$AM298&lt;&gt;"")*($AS$11:$AS298&lt;&gt;"✓")),"")</f>
        <v/>
      </c>
      <c r="AZ298" s="21" t="str">
        <f>IF(AND($AM298&lt;&gt;"",$AS298="✓"),SUMPRODUCT(($AM$11:$AM298&lt;&gt;"")*($AS$11:$AS298="✓")),"")</f>
        <v/>
      </c>
      <c r="BA298" s="21" t="str">
        <f>IF($AL298="","",$AL298&amp;"|"&amp;COUNTIF($AL$11:$AL298,$AL298))</f>
        <v/>
      </c>
    </row>
    <row r="299" spans="2:53" ht="15" customHeight="1" x14ac:dyDescent="0.25">
      <c r="B299" s="5" t="str">
        <f t="shared" si="59"/>
        <v/>
      </c>
      <c r="C299" s="5"/>
      <c r="D299" s="5"/>
      <c r="E299" s="5"/>
      <c r="F299" s="6"/>
      <c r="G299" s="6"/>
      <c r="H299" s="7"/>
      <c r="I299" s="8"/>
      <c r="K299" s="9" t="str">
        <f>IFERROR(INDEX($AL$11:$AL$4010,MATCH(289,$AX$11:$AX$4010,0)),"")</f>
        <v/>
      </c>
      <c r="L299" s="10" t="str">
        <f t="shared" si="60"/>
        <v/>
      </c>
      <c r="M299" s="11" t="str">
        <f t="shared" si="61"/>
        <v/>
      </c>
      <c r="N299" s="11" t="str">
        <f t="shared" si="62"/>
        <v/>
      </c>
      <c r="W299" s="14" t="str">
        <f>IF(X299="","",IFERROR(INDEX($AL$11:$AL$4010,MATCH(289,$AY$11:$AY$4010,0)),""))</f>
        <v/>
      </c>
      <c r="X299" s="12" t="str">
        <f>IFERROR(INDEX($AM$11:$AM$4010,MATCH(289,$AY$11:$AY$4010,0)),"")</f>
        <v/>
      </c>
      <c r="Y299" s="11" t="str">
        <f>IF(X299="","",IFERROR(INDEX($AN$11:$AN$4010,MATCH(289,$AY$11:$AY$4010,0)),""))</f>
        <v/>
      </c>
      <c r="Z299" s="11" t="str">
        <f>IF(X299="","",IFERROR(INDEX($AO$11:$AO$4010,MATCH(289,$AY$11:$AY$4010,0)),""))</f>
        <v/>
      </c>
      <c r="AA299" s="10" t="str">
        <f>IF(X299="","",IFERROR(INDEX($AQ$11:$AQ$4010,MATCH(289,$AY$11:$AY$4010,0)),""))</f>
        <v/>
      </c>
      <c r="AB299" s="15" t="str">
        <f>IF(X299="","",IFERROR(INDEX($AR$11:$AR$4010,MATCH(289,$AY$11:$AY$4010,0)),""))</f>
        <v/>
      </c>
      <c r="AD299" s="16" t="str">
        <f>IF(AE299="","",IFERROR(INDEX($AL$11:$AL$4010,MATCH(289,$AZ$11:$AZ$4010,0)),""))</f>
        <v/>
      </c>
      <c r="AE299" s="12" t="str">
        <f>IFERROR(INDEX($AM$11:$AM$4010,MATCH(289,$AZ$11:$AZ$4010,0)),"")</f>
        <v/>
      </c>
      <c r="AF299" s="11" t="str">
        <f>IF(AE299="","",IFERROR(INDEX($AN$11:$AN$4010,MATCH(289,$AZ$11:$AZ$4010,0)),""))</f>
        <v/>
      </c>
      <c r="AG299" s="11" t="str">
        <f>IF(AE299="","",IFERROR(INDEX($AO$11:$AO$4010,MATCH(289,$AZ$11:$AZ$4010,0)),""))</f>
        <v/>
      </c>
      <c r="AH299" s="10" t="str">
        <f>IF(AE299="","",IFERROR(INDEX($AQ$11:$AQ$4010,MATCH(289,$AZ$11:$AZ$4010,0)),""))</f>
        <v/>
      </c>
      <c r="AI299" s="15" t="str">
        <f>IF(AE299="","",IFERROR(INDEX($AR$11:$AR$4010,MATCH(289,$AZ$11:$AZ$4010,0)),""))</f>
        <v/>
      </c>
      <c r="AJ299" s="15" t="str">
        <f>IF(AE299="","",IFERROR(INDEX($AT$11:$AT$4010,MATCH(289,$AZ$11:$AZ$4010,0)),""))</f>
        <v/>
      </c>
      <c r="AL299" s="17" t="str">
        <f t="shared" si="63"/>
        <v/>
      </c>
      <c r="AM299" s="12" t="str">
        <f t="shared" si="64"/>
        <v/>
      </c>
      <c r="AN299" s="18" t="str">
        <f t="shared" si="65"/>
        <v/>
      </c>
      <c r="AO299" s="18" t="str">
        <f t="shared" si="66"/>
        <v/>
      </c>
      <c r="AP299" s="10" t="str">
        <f t="shared" si="67"/>
        <v/>
      </c>
      <c r="AQ299" s="10" t="str">
        <f t="shared" si="68"/>
        <v/>
      </c>
      <c r="AR299" s="19" t="str">
        <f t="shared" si="69"/>
        <v/>
      </c>
      <c r="AS299" s="20"/>
      <c r="AT299" s="19"/>
      <c r="AV299" s="21">
        <f>IF(AND($AL299&lt;&gt;"",COUNTIF($AL$11:$AL299,$AL299)=1),1,0)</f>
        <v>0</v>
      </c>
      <c r="AW299" s="21">
        <f t="shared" si="71"/>
        <v>0</v>
      </c>
      <c r="AX299" s="21" t="str">
        <f t="shared" si="70"/>
        <v/>
      </c>
      <c r="AY299" s="21" t="str">
        <f>IF(AND($AM299&lt;&gt;"",$AS299&lt;&gt;"✓"),SUMPRODUCT(($AM$11:$AM299&lt;&gt;"")*($AS$11:$AS299&lt;&gt;"✓")),"")</f>
        <v/>
      </c>
      <c r="AZ299" s="21" t="str">
        <f>IF(AND($AM299&lt;&gt;"",$AS299="✓"),SUMPRODUCT(($AM$11:$AM299&lt;&gt;"")*($AS$11:$AS299="✓")),"")</f>
        <v/>
      </c>
      <c r="BA299" s="21" t="str">
        <f>IF($AL299="","",$AL299&amp;"|"&amp;COUNTIF($AL$11:$AL299,$AL299))</f>
        <v/>
      </c>
    </row>
    <row r="300" spans="2:53" ht="15" customHeight="1" x14ac:dyDescent="0.25">
      <c r="B300" s="5" t="str">
        <f t="shared" si="59"/>
        <v/>
      </c>
      <c r="C300" s="5"/>
      <c r="D300" s="5"/>
      <c r="E300" s="5"/>
      <c r="F300" s="6"/>
      <c r="G300" s="6"/>
      <c r="H300" s="7"/>
      <c r="I300" s="8"/>
      <c r="K300" s="23" t="str">
        <f>IFERROR(INDEX($AL$11:$AL$4010,MATCH(290,$AX$11:$AX$4010,0)),"")</f>
        <v/>
      </c>
      <c r="L300" s="24" t="str">
        <f t="shared" si="60"/>
        <v/>
      </c>
      <c r="M300" s="25" t="str">
        <f t="shared" si="61"/>
        <v/>
      </c>
      <c r="N300" s="25" t="str">
        <f t="shared" si="62"/>
        <v/>
      </c>
      <c r="W300" s="28" t="str">
        <f>IF(X300="","",IFERROR(INDEX($AL$11:$AL$4010,MATCH(290,$AY$11:$AY$4010,0)),""))</f>
        <v/>
      </c>
      <c r="X300" s="26" t="str">
        <f>IFERROR(INDEX($AM$11:$AM$4010,MATCH(290,$AY$11:$AY$4010,0)),"")</f>
        <v/>
      </c>
      <c r="Y300" s="25" t="str">
        <f>IF(X300="","",IFERROR(INDEX($AN$11:$AN$4010,MATCH(290,$AY$11:$AY$4010,0)),""))</f>
        <v/>
      </c>
      <c r="Z300" s="25" t="str">
        <f>IF(X300="","",IFERROR(INDEX($AO$11:$AO$4010,MATCH(290,$AY$11:$AY$4010,0)),""))</f>
        <v/>
      </c>
      <c r="AA300" s="24" t="str">
        <f>IF(X300="","",IFERROR(INDEX($AQ$11:$AQ$4010,MATCH(290,$AY$11:$AY$4010,0)),""))</f>
        <v/>
      </c>
      <c r="AB300" s="29" t="str">
        <f>IF(X300="","",IFERROR(INDEX($AR$11:$AR$4010,MATCH(290,$AY$11:$AY$4010,0)),""))</f>
        <v/>
      </c>
      <c r="AD300" s="30" t="str">
        <f>IF(AE300="","",IFERROR(INDEX($AL$11:$AL$4010,MATCH(290,$AZ$11:$AZ$4010,0)),""))</f>
        <v/>
      </c>
      <c r="AE300" s="26" t="str">
        <f>IFERROR(INDEX($AM$11:$AM$4010,MATCH(290,$AZ$11:$AZ$4010,0)),"")</f>
        <v/>
      </c>
      <c r="AF300" s="25" t="str">
        <f>IF(AE300="","",IFERROR(INDEX($AN$11:$AN$4010,MATCH(290,$AZ$11:$AZ$4010,0)),""))</f>
        <v/>
      </c>
      <c r="AG300" s="25" t="str">
        <f>IF(AE300="","",IFERROR(INDEX($AO$11:$AO$4010,MATCH(290,$AZ$11:$AZ$4010,0)),""))</f>
        <v/>
      </c>
      <c r="AH300" s="24" t="str">
        <f>IF(AE300="","",IFERROR(INDEX($AQ$11:$AQ$4010,MATCH(290,$AZ$11:$AZ$4010,0)),""))</f>
        <v/>
      </c>
      <c r="AI300" s="29" t="str">
        <f>IF(AE300="","",IFERROR(INDEX($AR$11:$AR$4010,MATCH(290,$AZ$11:$AZ$4010,0)),""))</f>
        <v/>
      </c>
      <c r="AJ300" s="29" t="str">
        <f>IF(AE300="","",IFERROR(INDEX($AT$11:$AT$4010,MATCH(290,$AZ$11:$AZ$4010,0)),""))</f>
        <v/>
      </c>
      <c r="AL300" s="31" t="str">
        <f t="shared" si="63"/>
        <v/>
      </c>
      <c r="AM300" s="26" t="str">
        <f t="shared" si="64"/>
        <v/>
      </c>
      <c r="AN300" s="32" t="str">
        <f t="shared" si="65"/>
        <v/>
      </c>
      <c r="AO300" s="32" t="str">
        <f t="shared" si="66"/>
        <v/>
      </c>
      <c r="AP300" s="24" t="str">
        <f t="shared" si="67"/>
        <v/>
      </c>
      <c r="AQ300" s="24" t="str">
        <f t="shared" si="68"/>
        <v/>
      </c>
      <c r="AR300" s="33" t="str">
        <f t="shared" si="69"/>
        <v/>
      </c>
      <c r="AS300" s="34"/>
      <c r="AT300" s="33"/>
      <c r="AV300" s="21">
        <f>IF(AND($AL300&lt;&gt;"",COUNTIF($AL$11:$AL300,$AL300)=1),1,0)</f>
        <v>0</v>
      </c>
      <c r="AW300" s="21">
        <f t="shared" si="71"/>
        <v>0</v>
      </c>
      <c r="AX300" s="21" t="str">
        <f t="shared" si="70"/>
        <v/>
      </c>
      <c r="AY300" s="21" t="str">
        <f>IF(AND($AM300&lt;&gt;"",$AS300&lt;&gt;"✓"),SUMPRODUCT(($AM$11:$AM300&lt;&gt;"")*($AS$11:$AS300&lt;&gt;"✓")),"")</f>
        <v/>
      </c>
      <c r="AZ300" s="21" t="str">
        <f>IF(AND($AM300&lt;&gt;"",$AS300="✓"),SUMPRODUCT(($AM$11:$AM300&lt;&gt;"")*($AS$11:$AS300="✓")),"")</f>
        <v/>
      </c>
      <c r="BA300" s="21" t="str">
        <f>IF($AL300="","",$AL300&amp;"|"&amp;COUNTIF($AL$11:$AL300,$AL300))</f>
        <v/>
      </c>
    </row>
    <row r="301" spans="2:53" ht="15" customHeight="1" x14ac:dyDescent="0.25">
      <c r="B301" s="5" t="str">
        <f t="shared" si="59"/>
        <v/>
      </c>
      <c r="C301" s="5"/>
      <c r="D301" s="5"/>
      <c r="E301" s="5"/>
      <c r="F301" s="6"/>
      <c r="G301" s="6"/>
      <c r="H301" s="7"/>
      <c r="I301" s="8"/>
      <c r="K301" s="9" t="str">
        <f>IFERROR(INDEX($AL$11:$AL$4010,MATCH(291,$AX$11:$AX$4010,0)),"")</f>
        <v/>
      </c>
      <c r="L301" s="10" t="str">
        <f t="shared" si="60"/>
        <v/>
      </c>
      <c r="M301" s="11" t="str">
        <f t="shared" si="61"/>
        <v/>
      </c>
      <c r="N301" s="11" t="str">
        <f t="shared" si="62"/>
        <v/>
      </c>
      <c r="W301" s="14" t="str">
        <f>IF(X301="","",IFERROR(INDEX($AL$11:$AL$4010,MATCH(291,$AY$11:$AY$4010,0)),""))</f>
        <v/>
      </c>
      <c r="X301" s="12" t="str">
        <f>IFERROR(INDEX($AM$11:$AM$4010,MATCH(291,$AY$11:$AY$4010,0)),"")</f>
        <v/>
      </c>
      <c r="Y301" s="11" t="str">
        <f>IF(X301="","",IFERROR(INDEX($AN$11:$AN$4010,MATCH(291,$AY$11:$AY$4010,0)),""))</f>
        <v/>
      </c>
      <c r="Z301" s="11" t="str">
        <f>IF(X301="","",IFERROR(INDEX($AO$11:$AO$4010,MATCH(291,$AY$11:$AY$4010,0)),""))</f>
        <v/>
      </c>
      <c r="AA301" s="10" t="str">
        <f>IF(X301="","",IFERROR(INDEX($AQ$11:$AQ$4010,MATCH(291,$AY$11:$AY$4010,0)),""))</f>
        <v/>
      </c>
      <c r="AB301" s="15" t="str">
        <f>IF(X301="","",IFERROR(INDEX($AR$11:$AR$4010,MATCH(291,$AY$11:$AY$4010,0)),""))</f>
        <v/>
      </c>
      <c r="AD301" s="16" t="str">
        <f>IF(AE301="","",IFERROR(INDEX($AL$11:$AL$4010,MATCH(291,$AZ$11:$AZ$4010,0)),""))</f>
        <v/>
      </c>
      <c r="AE301" s="12" t="str">
        <f>IFERROR(INDEX($AM$11:$AM$4010,MATCH(291,$AZ$11:$AZ$4010,0)),"")</f>
        <v/>
      </c>
      <c r="AF301" s="11" t="str">
        <f>IF(AE301="","",IFERROR(INDEX($AN$11:$AN$4010,MATCH(291,$AZ$11:$AZ$4010,0)),""))</f>
        <v/>
      </c>
      <c r="AG301" s="11" t="str">
        <f>IF(AE301="","",IFERROR(INDEX($AO$11:$AO$4010,MATCH(291,$AZ$11:$AZ$4010,0)),""))</f>
        <v/>
      </c>
      <c r="AH301" s="10" t="str">
        <f>IF(AE301="","",IFERROR(INDEX($AQ$11:$AQ$4010,MATCH(291,$AZ$11:$AZ$4010,0)),""))</f>
        <v/>
      </c>
      <c r="AI301" s="15" t="str">
        <f>IF(AE301="","",IFERROR(INDEX($AR$11:$AR$4010,MATCH(291,$AZ$11:$AZ$4010,0)),""))</f>
        <v/>
      </c>
      <c r="AJ301" s="15" t="str">
        <f>IF(AE301="","",IFERROR(INDEX($AT$11:$AT$4010,MATCH(291,$AZ$11:$AZ$4010,0)),""))</f>
        <v/>
      </c>
      <c r="AL301" s="17" t="str">
        <f t="shared" si="63"/>
        <v/>
      </c>
      <c r="AM301" s="12" t="str">
        <f t="shared" si="64"/>
        <v/>
      </c>
      <c r="AN301" s="18" t="str">
        <f t="shared" si="65"/>
        <v/>
      </c>
      <c r="AO301" s="18" t="str">
        <f t="shared" si="66"/>
        <v/>
      </c>
      <c r="AP301" s="10" t="str">
        <f t="shared" si="67"/>
        <v/>
      </c>
      <c r="AQ301" s="10" t="str">
        <f t="shared" si="68"/>
        <v/>
      </c>
      <c r="AR301" s="19" t="str">
        <f t="shared" si="69"/>
        <v/>
      </c>
      <c r="AS301" s="20"/>
      <c r="AT301" s="19"/>
      <c r="AV301" s="21">
        <f>IF(AND($AL301&lt;&gt;"",COUNTIF($AL$11:$AL301,$AL301)=1),1,0)</f>
        <v>0</v>
      </c>
      <c r="AW301" s="21">
        <f t="shared" si="71"/>
        <v>0</v>
      </c>
      <c r="AX301" s="21" t="str">
        <f t="shared" si="70"/>
        <v/>
      </c>
      <c r="AY301" s="21" t="str">
        <f>IF(AND($AM301&lt;&gt;"",$AS301&lt;&gt;"✓"),SUMPRODUCT(($AM$11:$AM301&lt;&gt;"")*($AS$11:$AS301&lt;&gt;"✓")),"")</f>
        <v/>
      </c>
      <c r="AZ301" s="21" t="str">
        <f>IF(AND($AM301&lt;&gt;"",$AS301="✓"),SUMPRODUCT(($AM$11:$AM301&lt;&gt;"")*($AS$11:$AS301="✓")),"")</f>
        <v/>
      </c>
      <c r="BA301" s="21" t="str">
        <f>IF($AL301="","",$AL301&amp;"|"&amp;COUNTIF($AL$11:$AL301,$AL301))</f>
        <v/>
      </c>
    </row>
    <row r="302" spans="2:53" ht="15" customHeight="1" x14ac:dyDescent="0.25">
      <c r="B302" s="5" t="str">
        <f t="shared" si="59"/>
        <v/>
      </c>
      <c r="C302" s="5"/>
      <c r="D302" s="5"/>
      <c r="E302" s="5"/>
      <c r="F302" s="6"/>
      <c r="G302" s="6"/>
      <c r="H302" s="7"/>
      <c r="I302" s="8"/>
      <c r="K302" s="23" t="str">
        <f>IFERROR(INDEX($AL$11:$AL$4010,MATCH(292,$AX$11:$AX$4010,0)),"")</f>
        <v/>
      </c>
      <c r="L302" s="24" t="str">
        <f t="shared" si="60"/>
        <v/>
      </c>
      <c r="M302" s="25" t="str">
        <f t="shared" si="61"/>
        <v/>
      </c>
      <c r="N302" s="25" t="str">
        <f t="shared" si="62"/>
        <v/>
      </c>
      <c r="W302" s="28" t="str">
        <f>IF(X302="","",IFERROR(INDEX($AL$11:$AL$4010,MATCH(292,$AY$11:$AY$4010,0)),""))</f>
        <v/>
      </c>
      <c r="X302" s="26" t="str">
        <f>IFERROR(INDEX($AM$11:$AM$4010,MATCH(292,$AY$11:$AY$4010,0)),"")</f>
        <v/>
      </c>
      <c r="Y302" s="25" t="str">
        <f>IF(X302="","",IFERROR(INDEX($AN$11:$AN$4010,MATCH(292,$AY$11:$AY$4010,0)),""))</f>
        <v/>
      </c>
      <c r="Z302" s="25" t="str">
        <f>IF(X302="","",IFERROR(INDEX($AO$11:$AO$4010,MATCH(292,$AY$11:$AY$4010,0)),""))</f>
        <v/>
      </c>
      <c r="AA302" s="24" t="str">
        <f>IF(X302="","",IFERROR(INDEX($AQ$11:$AQ$4010,MATCH(292,$AY$11:$AY$4010,0)),""))</f>
        <v/>
      </c>
      <c r="AB302" s="29" t="str">
        <f>IF(X302="","",IFERROR(INDEX($AR$11:$AR$4010,MATCH(292,$AY$11:$AY$4010,0)),""))</f>
        <v/>
      </c>
      <c r="AD302" s="30" t="str">
        <f>IF(AE302="","",IFERROR(INDEX($AL$11:$AL$4010,MATCH(292,$AZ$11:$AZ$4010,0)),""))</f>
        <v/>
      </c>
      <c r="AE302" s="26" t="str">
        <f>IFERROR(INDEX($AM$11:$AM$4010,MATCH(292,$AZ$11:$AZ$4010,0)),"")</f>
        <v/>
      </c>
      <c r="AF302" s="25" t="str">
        <f>IF(AE302="","",IFERROR(INDEX($AN$11:$AN$4010,MATCH(292,$AZ$11:$AZ$4010,0)),""))</f>
        <v/>
      </c>
      <c r="AG302" s="25" t="str">
        <f>IF(AE302="","",IFERROR(INDEX($AO$11:$AO$4010,MATCH(292,$AZ$11:$AZ$4010,0)),""))</f>
        <v/>
      </c>
      <c r="AH302" s="24" t="str">
        <f>IF(AE302="","",IFERROR(INDEX($AQ$11:$AQ$4010,MATCH(292,$AZ$11:$AZ$4010,0)),""))</f>
        <v/>
      </c>
      <c r="AI302" s="29" t="str">
        <f>IF(AE302="","",IFERROR(INDEX($AR$11:$AR$4010,MATCH(292,$AZ$11:$AZ$4010,0)),""))</f>
        <v/>
      </c>
      <c r="AJ302" s="29" t="str">
        <f>IF(AE302="","",IFERROR(INDEX($AT$11:$AT$4010,MATCH(292,$AZ$11:$AZ$4010,0)),""))</f>
        <v/>
      </c>
      <c r="AL302" s="31" t="str">
        <f t="shared" si="63"/>
        <v/>
      </c>
      <c r="AM302" s="26" t="str">
        <f t="shared" si="64"/>
        <v/>
      </c>
      <c r="AN302" s="32" t="str">
        <f t="shared" si="65"/>
        <v/>
      </c>
      <c r="AO302" s="32" t="str">
        <f t="shared" si="66"/>
        <v/>
      </c>
      <c r="AP302" s="24" t="str">
        <f t="shared" si="67"/>
        <v/>
      </c>
      <c r="AQ302" s="24" t="str">
        <f t="shared" si="68"/>
        <v/>
      </c>
      <c r="AR302" s="33" t="str">
        <f t="shared" si="69"/>
        <v/>
      </c>
      <c r="AS302" s="34"/>
      <c r="AT302" s="33"/>
      <c r="AV302" s="21">
        <f>IF(AND($AL302&lt;&gt;"",COUNTIF($AL$11:$AL302,$AL302)=1),1,0)</f>
        <v>0</v>
      </c>
      <c r="AW302" s="21">
        <f t="shared" si="71"/>
        <v>0</v>
      </c>
      <c r="AX302" s="21" t="str">
        <f t="shared" si="70"/>
        <v/>
      </c>
      <c r="AY302" s="21" t="str">
        <f>IF(AND($AM302&lt;&gt;"",$AS302&lt;&gt;"✓"),SUMPRODUCT(($AM$11:$AM302&lt;&gt;"")*($AS$11:$AS302&lt;&gt;"✓")),"")</f>
        <v/>
      </c>
      <c r="AZ302" s="21" t="str">
        <f>IF(AND($AM302&lt;&gt;"",$AS302="✓"),SUMPRODUCT(($AM$11:$AM302&lt;&gt;"")*($AS$11:$AS302="✓")),"")</f>
        <v/>
      </c>
      <c r="BA302" s="21" t="str">
        <f>IF($AL302="","",$AL302&amp;"|"&amp;COUNTIF($AL$11:$AL302,$AL302))</f>
        <v/>
      </c>
    </row>
    <row r="303" spans="2:53" ht="15" customHeight="1" x14ac:dyDescent="0.25">
      <c r="B303" s="5" t="str">
        <f t="shared" si="59"/>
        <v/>
      </c>
      <c r="C303" s="5"/>
      <c r="D303" s="5"/>
      <c r="E303" s="5"/>
      <c r="F303" s="6"/>
      <c r="G303" s="6"/>
      <c r="H303" s="7"/>
      <c r="I303" s="8"/>
      <c r="K303" s="9" t="str">
        <f>IFERROR(INDEX($AL$11:$AL$4010,MATCH(293,$AX$11:$AX$4010,0)),"")</f>
        <v/>
      </c>
      <c r="L303" s="10" t="str">
        <f t="shared" si="60"/>
        <v/>
      </c>
      <c r="M303" s="11" t="str">
        <f t="shared" si="61"/>
        <v/>
      </c>
      <c r="N303" s="11" t="str">
        <f t="shared" si="62"/>
        <v/>
      </c>
      <c r="W303" s="14" t="str">
        <f>IF(X303="","",IFERROR(INDEX($AL$11:$AL$4010,MATCH(293,$AY$11:$AY$4010,0)),""))</f>
        <v/>
      </c>
      <c r="X303" s="12" t="str">
        <f>IFERROR(INDEX($AM$11:$AM$4010,MATCH(293,$AY$11:$AY$4010,0)),"")</f>
        <v/>
      </c>
      <c r="Y303" s="11" t="str">
        <f>IF(X303="","",IFERROR(INDEX($AN$11:$AN$4010,MATCH(293,$AY$11:$AY$4010,0)),""))</f>
        <v/>
      </c>
      <c r="Z303" s="11" t="str">
        <f>IF(X303="","",IFERROR(INDEX($AO$11:$AO$4010,MATCH(293,$AY$11:$AY$4010,0)),""))</f>
        <v/>
      </c>
      <c r="AA303" s="10" t="str">
        <f>IF(X303="","",IFERROR(INDEX($AQ$11:$AQ$4010,MATCH(293,$AY$11:$AY$4010,0)),""))</f>
        <v/>
      </c>
      <c r="AB303" s="15" t="str">
        <f>IF(X303="","",IFERROR(INDEX($AR$11:$AR$4010,MATCH(293,$AY$11:$AY$4010,0)),""))</f>
        <v/>
      </c>
      <c r="AD303" s="16" t="str">
        <f>IF(AE303="","",IFERROR(INDEX($AL$11:$AL$4010,MATCH(293,$AZ$11:$AZ$4010,0)),""))</f>
        <v/>
      </c>
      <c r="AE303" s="12" t="str">
        <f>IFERROR(INDEX($AM$11:$AM$4010,MATCH(293,$AZ$11:$AZ$4010,0)),"")</f>
        <v/>
      </c>
      <c r="AF303" s="11" t="str">
        <f>IF(AE303="","",IFERROR(INDEX($AN$11:$AN$4010,MATCH(293,$AZ$11:$AZ$4010,0)),""))</f>
        <v/>
      </c>
      <c r="AG303" s="11" t="str">
        <f>IF(AE303="","",IFERROR(INDEX($AO$11:$AO$4010,MATCH(293,$AZ$11:$AZ$4010,0)),""))</f>
        <v/>
      </c>
      <c r="AH303" s="10" t="str">
        <f>IF(AE303="","",IFERROR(INDEX($AQ$11:$AQ$4010,MATCH(293,$AZ$11:$AZ$4010,0)),""))</f>
        <v/>
      </c>
      <c r="AI303" s="15" t="str">
        <f>IF(AE303="","",IFERROR(INDEX($AR$11:$AR$4010,MATCH(293,$AZ$11:$AZ$4010,0)),""))</f>
        <v/>
      </c>
      <c r="AJ303" s="15" t="str">
        <f>IF(AE303="","",IFERROR(INDEX($AT$11:$AT$4010,MATCH(293,$AZ$11:$AZ$4010,0)),""))</f>
        <v/>
      </c>
      <c r="AL303" s="17" t="str">
        <f t="shared" si="63"/>
        <v/>
      </c>
      <c r="AM303" s="12" t="str">
        <f t="shared" si="64"/>
        <v/>
      </c>
      <c r="AN303" s="18" t="str">
        <f t="shared" si="65"/>
        <v/>
      </c>
      <c r="AO303" s="18" t="str">
        <f t="shared" si="66"/>
        <v/>
      </c>
      <c r="AP303" s="10" t="str">
        <f t="shared" si="67"/>
        <v/>
      </c>
      <c r="AQ303" s="10" t="str">
        <f t="shared" si="68"/>
        <v/>
      </c>
      <c r="AR303" s="19" t="str">
        <f t="shared" si="69"/>
        <v/>
      </c>
      <c r="AS303" s="20"/>
      <c r="AT303" s="19"/>
      <c r="AV303" s="21">
        <f>IF(AND($AL303&lt;&gt;"",COUNTIF($AL$11:$AL303,$AL303)=1),1,0)</f>
        <v>0</v>
      </c>
      <c r="AW303" s="21">
        <f t="shared" si="71"/>
        <v>0</v>
      </c>
      <c r="AX303" s="21" t="str">
        <f t="shared" si="70"/>
        <v/>
      </c>
      <c r="AY303" s="21" t="str">
        <f>IF(AND($AM303&lt;&gt;"",$AS303&lt;&gt;"✓"),SUMPRODUCT(($AM$11:$AM303&lt;&gt;"")*($AS$11:$AS303&lt;&gt;"✓")),"")</f>
        <v/>
      </c>
      <c r="AZ303" s="21" t="str">
        <f>IF(AND($AM303&lt;&gt;"",$AS303="✓"),SUMPRODUCT(($AM$11:$AM303&lt;&gt;"")*($AS$11:$AS303="✓")),"")</f>
        <v/>
      </c>
      <c r="BA303" s="21" t="str">
        <f>IF($AL303="","",$AL303&amp;"|"&amp;COUNTIF($AL$11:$AL303,$AL303))</f>
        <v/>
      </c>
    </row>
    <row r="304" spans="2:53" ht="15" customHeight="1" x14ac:dyDescent="0.25">
      <c r="B304" s="5" t="str">
        <f t="shared" si="59"/>
        <v/>
      </c>
      <c r="C304" s="5"/>
      <c r="D304" s="5"/>
      <c r="E304" s="5"/>
      <c r="F304" s="6"/>
      <c r="G304" s="6"/>
      <c r="H304" s="7"/>
      <c r="I304" s="8"/>
      <c r="K304" s="23" t="str">
        <f>IFERROR(INDEX($AL$11:$AL$4010,MATCH(294,$AX$11:$AX$4010,0)),"")</f>
        <v/>
      </c>
      <c r="L304" s="24" t="str">
        <f t="shared" si="60"/>
        <v/>
      </c>
      <c r="M304" s="25" t="str">
        <f t="shared" si="61"/>
        <v/>
      </c>
      <c r="N304" s="25" t="str">
        <f t="shared" si="62"/>
        <v/>
      </c>
      <c r="W304" s="28" t="str">
        <f>IF(X304="","",IFERROR(INDEX($AL$11:$AL$4010,MATCH(294,$AY$11:$AY$4010,0)),""))</f>
        <v/>
      </c>
      <c r="X304" s="26" t="str">
        <f>IFERROR(INDEX($AM$11:$AM$4010,MATCH(294,$AY$11:$AY$4010,0)),"")</f>
        <v/>
      </c>
      <c r="Y304" s="25" t="str">
        <f>IF(X304="","",IFERROR(INDEX($AN$11:$AN$4010,MATCH(294,$AY$11:$AY$4010,0)),""))</f>
        <v/>
      </c>
      <c r="Z304" s="25" t="str">
        <f>IF(X304="","",IFERROR(INDEX($AO$11:$AO$4010,MATCH(294,$AY$11:$AY$4010,0)),""))</f>
        <v/>
      </c>
      <c r="AA304" s="24" t="str">
        <f>IF(X304="","",IFERROR(INDEX($AQ$11:$AQ$4010,MATCH(294,$AY$11:$AY$4010,0)),""))</f>
        <v/>
      </c>
      <c r="AB304" s="29" t="str">
        <f>IF(X304="","",IFERROR(INDEX($AR$11:$AR$4010,MATCH(294,$AY$11:$AY$4010,0)),""))</f>
        <v/>
      </c>
      <c r="AD304" s="30" t="str">
        <f>IF(AE304="","",IFERROR(INDEX($AL$11:$AL$4010,MATCH(294,$AZ$11:$AZ$4010,0)),""))</f>
        <v/>
      </c>
      <c r="AE304" s="26" t="str">
        <f>IFERROR(INDEX($AM$11:$AM$4010,MATCH(294,$AZ$11:$AZ$4010,0)),"")</f>
        <v/>
      </c>
      <c r="AF304" s="25" t="str">
        <f>IF(AE304="","",IFERROR(INDEX($AN$11:$AN$4010,MATCH(294,$AZ$11:$AZ$4010,0)),""))</f>
        <v/>
      </c>
      <c r="AG304" s="25" t="str">
        <f>IF(AE304="","",IFERROR(INDEX($AO$11:$AO$4010,MATCH(294,$AZ$11:$AZ$4010,0)),""))</f>
        <v/>
      </c>
      <c r="AH304" s="24" t="str">
        <f>IF(AE304="","",IFERROR(INDEX($AQ$11:$AQ$4010,MATCH(294,$AZ$11:$AZ$4010,0)),""))</f>
        <v/>
      </c>
      <c r="AI304" s="29" t="str">
        <f>IF(AE304="","",IFERROR(INDEX($AR$11:$AR$4010,MATCH(294,$AZ$11:$AZ$4010,0)),""))</f>
        <v/>
      </c>
      <c r="AJ304" s="29" t="str">
        <f>IF(AE304="","",IFERROR(INDEX($AT$11:$AT$4010,MATCH(294,$AZ$11:$AZ$4010,0)),""))</f>
        <v/>
      </c>
      <c r="AL304" s="31" t="str">
        <f t="shared" si="63"/>
        <v/>
      </c>
      <c r="AM304" s="26" t="str">
        <f t="shared" si="64"/>
        <v/>
      </c>
      <c r="AN304" s="32" t="str">
        <f t="shared" si="65"/>
        <v/>
      </c>
      <c r="AO304" s="32" t="str">
        <f t="shared" si="66"/>
        <v/>
      </c>
      <c r="AP304" s="24" t="str">
        <f t="shared" si="67"/>
        <v/>
      </c>
      <c r="AQ304" s="24" t="str">
        <f t="shared" si="68"/>
        <v/>
      </c>
      <c r="AR304" s="33" t="str">
        <f t="shared" si="69"/>
        <v/>
      </c>
      <c r="AS304" s="34"/>
      <c r="AT304" s="33"/>
      <c r="AV304" s="21">
        <f>IF(AND($AL304&lt;&gt;"",COUNTIF($AL$11:$AL304,$AL304)=1),1,0)</f>
        <v>0</v>
      </c>
      <c r="AW304" s="21">
        <f t="shared" si="71"/>
        <v>0</v>
      </c>
      <c r="AX304" s="21" t="str">
        <f t="shared" si="70"/>
        <v/>
      </c>
      <c r="AY304" s="21" t="str">
        <f>IF(AND($AM304&lt;&gt;"",$AS304&lt;&gt;"✓"),SUMPRODUCT(($AM$11:$AM304&lt;&gt;"")*($AS$11:$AS304&lt;&gt;"✓")),"")</f>
        <v/>
      </c>
      <c r="AZ304" s="21" t="str">
        <f>IF(AND($AM304&lt;&gt;"",$AS304="✓"),SUMPRODUCT(($AM$11:$AM304&lt;&gt;"")*($AS$11:$AS304="✓")),"")</f>
        <v/>
      </c>
      <c r="BA304" s="21" t="str">
        <f>IF($AL304="","",$AL304&amp;"|"&amp;COUNTIF($AL$11:$AL304,$AL304))</f>
        <v/>
      </c>
    </row>
    <row r="305" spans="2:53" ht="15" customHeight="1" x14ac:dyDescent="0.25">
      <c r="B305" s="5" t="str">
        <f t="shared" si="59"/>
        <v/>
      </c>
      <c r="C305" s="5"/>
      <c r="D305" s="5"/>
      <c r="E305" s="5"/>
      <c r="F305" s="6"/>
      <c r="G305" s="6"/>
      <c r="H305" s="7"/>
      <c r="I305" s="8"/>
      <c r="K305" s="9" t="str">
        <f>IFERROR(INDEX($AL$11:$AL$4010,MATCH(295,$AX$11:$AX$4010,0)),"")</f>
        <v/>
      </c>
      <c r="L305" s="10" t="str">
        <f t="shared" si="60"/>
        <v/>
      </c>
      <c r="M305" s="11" t="str">
        <f t="shared" si="61"/>
        <v/>
      </c>
      <c r="N305" s="11" t="str">
        <f t="shared" si="62"/>
        <v/>
      </c>
      <c r="W305" s="14" t="str">
        <f>IF(X305="","",IFERROR(INDEX($AL$11:$AL$4010,MATCH(295,$AY$11:$AY$4010,0)),""))</f>
        <v/>
      </c>
      <c r="X305" s="12" t="str">
        <f>IFERROR(INDEX($AM$11:$AM$4010,MATCH(295,$AY$11:$AY$4010,0)),"")</f>
        <v/>
      </c>
      <c r="Y305" s="11" t="str">
        <f>IF(X305="","",IFERROR(INDEX($AN$11:$AN$4010,MATCH(295,$AY$11:$AY$4010,0)),""))</f>
        <v/>
      </c>
      <c r="Z305" s="11" t="str">
        <f>IF(X305="","",IFERROR(INDEX($AO$11:$AO$4010,MATCH(295,$AY$11:$AY$4010,0)),""))</f>
        <v/>
      </c>
      <c r="AA305" s="10" t="str">
        <f>IF(X305="","",IFERROR(INDEX($AQ$11:$AQ$4010,MATCH(295,$AY$11:$AY$4010,0)),""))</f>
        <v/>
      </c>
      <c r="AB305" s="15" t="str">
        <f>IF(X305="","",IFERROR(INDEX($AR$11:$AR$4010,MATCH(295,$AY$11:$AY$4010,0)),""))</f>
        <v/>
      </c>
      <c r="AD305" s="16" t="str">
        <f>IF(AE305="","",IFERROR(INDEX($AL$11:$AL$4010,MATCH(295,$AZ$11:$AZ$4010,0)),""))</f>
        <v/>
      </c>
      <c r="AE305" s="12" t="str">
        <f>IFERROR(INDEX($AM$11:$AM$4010,MATCH(295,$AZ$11:$AZ$4010,0)),"")</f>
        <v/>
      </c>
      <c r="AF305" s="11" t="str">
        <f>IF(AE305="","",IFERROR(INDEX($AN$11:$AN$4010,MATCH(295,$AZ$11:$AZ$4010,0)),""))</f>
        <v/>
      </c>
      <c r="AG305" s="11" t="str">
        <f>IF(AE305="","",IFERROR(INDEX($AO$11:$AO$4010,MATCH(295,$AZ$11:$AZ$4010,0)),""))</f>
        <v/>
      </c>
      <c r="AH305" s="10" t="str">
        <f>IF(AE305="","",IFERROR(INDEX($AQ$11:$AQ$4010,MATCH(295,$AZ$11:$AZ$4010,0)),""))</f>
        <v/>
      </c>
      <c r="AI305" s="15" t="str">
        <f>IF(AE305="","",IFERROR(INDEX($AR$11:$AR$4010,MATCH(295,$AZ$11:$AZ$4010,0)),""))</f>
        <v/>
      </c>
      <c r="AJ305" s="15" t="str">
        <f>IF(AE305="","",IFERROR(INDEX($AT$11:$AT$4010,MATCH(295,$AZ$11:$AZ$4010,0)),""))</f>
        <v/>
      </c>
      <c r="AL305" s="17" t="str">
        <f t="shared" si="63"/>
        <v/>
      </c>
      <c r="AM305" s="12" t="str">
        <f t="shared" si="64"/>
        <v/>
      </c>
      <c r="AN305" s="18" t="str">
        <f t="shared" si="65"/>
        <v/>
      </c>
      <c r="AO305" s="18" t="str">
        <f t="shared" si="66"/>
        <v/>
      </c>
      <c r="AP305" s="10" t="str">
        <f t="shared" si="67"/>
        <v/>
      </c>
      <c r="AQ305" s="10" t="str">
        <f t="shared" si="68"/>
        <v/>
      </c>
      <c r="AR305" s="19" t="str">
        <f t="shared" si="69"/>
        <v/>
      </c>
      <c r="AS305" s="20"/>
      <c r="AT305" s="19"/>
      <c r="AV305" s="21">
        <f>IF(AND($AL305&lt;&gt;"",COUNTIF($AL$11:$AL305,$AL305)=1),1,0)</f>
        <v>0</v>
      </c>
      <c r="AW305" s="21">
        <f t="shared" si="71"/>
        <v>0</v>
      </c>
      <c r="AX305" s="21" t="str">
        <f t="shared" si="70"/>
        <v/>
      </c>
      <c r="AY305" s="21" t="str">
        <f>IF(AND($AM305&lt;&gt;"",$AS305&lt;&gt;"✓"),SUMPRODUCT(($AM$11:$AM305&lt;&gt;"")*($AS$11:$AS305&lt;&gt;"✓")),"")</f>
        <v/>
      </c>
      <c r="AZ305" s="21" t="str">
        <f>IF(AND($AM305&lt;&gt;"",$AS305="✓"),SUMPRODUCT(($AM$11:$AM305&lt;&gt;"")*($AS$11:$AS305="✓")),"")</f>
        <v/>
      </c>
      <c r="BA305" s="21" t="str">
        <f>IF($AL305="","",$AL305&amp;"|"&amp;COUNTIF($AL$11:$AL305,$AL305))</f>
        <v/>
      </c>
    </row>
    <row r="306" spans="2:53" ht="15" customHeight="1" x14ac:dyDescent="0.25">
      <c r="B306" s="5" t="str">
        <f t="shared" si="59"/>
        <v/>
      </c>
      <c r="C306" s="5"/>
      <c r="D306" s="5"/>
      <c r="E306" s="5"/>
      <c r="F306" s="6"/>
      <c r="G306" s="6"/>
      <c r="H306" s="7"/>
      <c r="I306" s="8"/>
      <c r="K306" s="23" t="str">
        <f>IFERROR(INDEX($AL$11:$AL$4010,MATCH(296,$AX$11:$AX$4010,0)),"")</f>
        <v/>
      </c>
      <c r="L306" s="24" t="str">
        <f t="shared" si="60"/>
        <v/>
      </c>
      <c r="M306" s="25" t="str">
        <f t="shared" si="61"/>
        <v/>
      </c>
      <c r="N306" s="25" t="str">
        <f t="shared" si="62"/>
        <v/>
      </c>
      <c r="W306" s="28" t="str">
        <f>IF(X306="","",IFERROR(INDEX($AL$11:$AL$4010,MATCH(296,$AY$11:$AY$4010,0)),""))</f>
        <v/>
      </c>
      <c r="X306" s="26" t="str">
        <f>IFERROR(INDEX($AM$11:$AM$4010,MATCH(296,$AY$11:$AY$4010,0)),"")</f>
        <v/>
      </c>
      <c r="Y306" s="25" t="str">
        <f>IF(X306="","",IFERROR(INDEX($AN$11:$AN$4010,MATCH(296,$AY$11:$AY$4010,0)),""))</f>
        <v/>
      </c>
      <c r="Z306" s="25" t="str">
        <f>IF(X306="","",IFERROR(INDEX($AO$11:$AO$4010,MATCH(296,$AY$11:$AY$4010,0)),""))</f>
        <v/>
      </c>
      <c r="AA306" s="24" t="str">
        <f>IF(X306="","",IFERROR(INDEX($AQ$11:$AQ$4010,MATCH(296,$AY$11:$AY$4010,0)),""))</f>
        <v/>
      </c>
      <c r="AB306" s="29" t="str">
        <f>IF(X306="","",IFERROR(INDEX($AR$11:$AR$4010,MATCH(296,$AY$11:$AY$4010,0)),""))</f>
        <v/>
      </c>
      <c r="AD306" s="30" t="str">
        <f>IF(AE306="","",IFERROR(INDEX($AL$11:$AL$4010,MATCH(296,$AZ$11:$AZ$4010,0)),""))</f>
        <v/>
      </c>
      <c r="AE306" s="26" t="str">
        <f>IFERROR(INDEX($AM$11:$AM$4010,MATCH(296,$AZ$11:$AZ$4010,0)),"")</f>
        <v/>
      </c>
      <c r="AF306" s="25" t="str">
        <f>IF(AE306="","",IFERROR(INDEX($AN$11:$AN$4010,MATCH(296,$AZ$11:$AZ$4010,0)),""))</f>
        <v/>
      </c>
      <c r="AG306" s="25" t="str">
        <f>IF(AE306="","",IFERROR(INDEX($AO$11:$AO$4010,MATCH(296,$AZ$11:$AZ$4010,0)),""))</f>
        <v/>
      </c>
      <c r="AH306" s="24" t="str">
        <f>IF(AE306="","",IFERROR(INDEX($AQ$11:$AQ$4010,MATCH(296,$AZ$11:$AZ$4010,0)),""))</f>
        <v/>
      </c>
      <c r="AI306" s="29" t="str">
        <f>IF(AE306="","",IFERROR(INDEX($AR$11:$AR$4010,MATCH(296,$AZ$11:$AZ$4010,0)),""))</f>
        <v/>
      </c>
      <c r="AJ306" s="29" t="str">
        <f>IF(AE306="","",IFERROR(INDEX($AT$11:$AT$4010,MATCH(296,$AZ$11:$AZ$4010,0)),""))</f>
        <v/>
      </c>
      <c r="AL306" s="31" t="str">
        <f t="shared" si="63"/>
        <v/>
      </c>
      <c r="AM306" s="26" t="str">
        <f t="shared" si="64"/>
        <v/>
      </c>
      <c r="AN306" s="32" t="str">
        <f t="shared" si="65"/>
        <v/>
      </c>
      <c r="AO306" s="32" t="str">
        <f t="shared" si="66"/>
        <v/>
      </c>
      <c r="AP306" s="24" t="str">
        <f t="shared" si="67"/>
        <v/>
      </c>
      <c r="AQ306" s="24" t="str">
        <f t="shared" si="68"/>
        <v/>
      </c>
      <c r="AR306" s="33" t="str">
        <f t="shared" si="69"/>
        <v/>
      </c>
      <c r="AS306" s="34"/>
      <c r="AT306" s="33"/>
      <c r="AV306" s="21">
        <f>IF(AND($AL306&lt;&gt;"",COUNTIF($AL$11:$AL306,$AL306)=1),1,0)</f>
        <v>0</v>
      </c>
      <c r="AW306" s="21">
        <f t="shared" si="71"/>
        <v>0</v>
      </c>
      <c r="AX306" s="21" t="str">
        <f t="shared" si="70"/>
        <v/>
      </c>
      <c r="AY306" s="21" t="str">
        <f>IF(AND($AM306&lt;&gt;"",$AS306&lt;&gt;"✓"),SUMPRODUCT(($AM$11:$AM306&lt;&gt;"")*($AS$11:$AS306&lt;&gt;"✓")),"")</f>
        <v/>
      </c>
      <c r="AZ306" s="21" t="str">
        <f>IF(AND($AM306&lt;&gt;"",$AS306="✓"),SUMPRODUCT(($AM$11:$AM306&lt;&gt;"")*($AS$11:$AS306="✓")),"")</f>
        <v/>
      </c>
      <c r="BA306" s="21" t="str">
        <f>IF($AL306="","",$AL306&amp;"|"&amp;COUNTIF($AL$11:$AL306,$AL306))</f>
        <v/>
      </c>
    </row>
    <row r="307" spans="2:53" ht="15" customHeight="1" x14ac:dyDescent="0.25">
      <c r="B307" s="5" t="str">
        <f t="shared" si="59"/>
        <v/>
      </c>
      <c r="C307" s="5"/>
      <c r="D307" s="5"/>
      <c r="E307" s="5"/>
      <c r="F307" s="6"/>
      <c r="G307" s="6"/>
      <c r="H307" s="7"/>
      <c r="I307" s="8"/>
      <c r="K307" s="9" t="str">
        <f>IFERROR(INDEX($AL$11:$AL$4010,MATCH(297,$AX$11:$AX$4010,0)),"")</f>
        <v/>
      </c>
      <c r="L307" s="10" t="str">
        <f t="shared" si="60"/>
        <v/>
      </c>
      <c r="M307" s="11" t="str">
        <f t="shared" si="61"/>
        <v/>
      </c>
      <c r="N307" s="11" t="str">
        <f t="shared" si="62"/>
        <v/>
      </c>
      <c r="W307" s="14" t="str">
        <f>IF(X307="","",IFERROR(INDEX($AL$11:$AL$4010,MATCH(297,$AY$11:$AY$4010,0)),""))</f>
        <v/>
      </c>
      <c r="X307" s="12" t="str">
        <f>IFERROR(INDEX($AM$11:$AM$4010,MATCH(297,$AY$11:$AY$4010,0)),"")</f>
        <v/>
      </c>
      <c r="Y307" s="11" t="str">
        <f>IF(X307="","",IFERROR(INDEX($AN$11:$AN$4010,MATCH(297,$AY$11:$AY$4010,0)),""))</f>
        <v/>
      </c>
      <c r="Z307" s="11" t="str">
        <f>IF(X307="","",IFERROR(INDEX($AO$11:$AO$4010,MATCH(297,$AY$11:$AY$4010,0)),""))</f>
        <v/>
      </c>
      <c r="AA307" s="10" t="str">
        <f>IF(X307="","",IFERROR(INDEX($AQ$11:$AQ$4010,MATCH(297,$AY$11:$AY$4010,0)),""))</f>
        <v/>
      </c>
      <c r="AB307" s="15" t="str">
        <f>IF(X307="","",IFERROR(INDEX($AR$11:$AR$4010,MATCH(297,$AY$11:$AY$4010,0)),""))</f>
        <v/>
      </c>
      <c r="AD307" s="16" t="str">
        <f>IF(AE307="","",IFERROR(INDEX($AL$11:$AL$4010,MATCH(297,$AZ$11:$AZ$4010,0)),""))</f>
        <v/>
      </c>
      <c r="AE307" s="12" t="str">
        <f>IFERROR(INDEX($AM$11:$AM$4010,MATCH(297,$AZ$11:$AZ$4010,0)),"")</f>
        <v/>
      </c>
      <c r="AF307" s="11" t="str">
        <f>IF(AE307="","",IFERROR(INDEX($AN$11:$AN$4010,MATCH(297,$AZ$11:$AZ$4010,0)),""))</f>
        <v/>
      </c>
      <c r="AG307" s="11" t="str">
        <f>IF(AE307="","",IFERROR(INDEX($AO$11:$AO$4010,MATCH(297,$AZ$11:$AZ$4010,0)),""))</f>
        <v/>
      </c>
      <c r="AH307" s="10" t="str">
        <f>IF(AE307="","",IFERROR(INDEX($AQ$11:$AQ$4010,MATCH(297,$AZ$11:$AZ$4010,0)),""))</f>
        <v/>
      </c>
      <c r="AI307" s="15" t="str">
        <f>IF(AE307="","",IFERROR(INDEX($AR$11:$AR$4010,MATCH(297,$AZ$11:$AZ$4010,0)),""))</f>
        <v/>
      </c>
      <c r="AJ307" s="15" t="str">
        <f>IF(AE307="","",IFERROR(INDEX($AT$11:$AT$4010,MATCH(297,$AZ$11:$AZ$4010,0)),""))</f>
        <v/>
      </c>
      <c r="AL307" s="17" t="str">
        <f t="shared" si="63"/>
        <v/>
      </c>
      <c r="AM307" s="12" t="str">
        <f t="shared" si="64"/>
        <v/>
      </c>
      <c r="AN307" s="18" t="str">
        <f t="shared" si="65"/>
        <v/>
      </c>
      <c r="AO307" s="18" t="str">
        <f t="shared" si="66"/>
        <v/>
      </c>
      <c r="AP307" s="10" t="str">
        <f t="shared" si="67"/>
        <v/>
      </c>
      <c r="AQ307" s="10" t="str">
        <f t="shared" si="68"/>
        <v/>
      </c>
      <c r="AR307" s="19" t="str">
        <f t="shared" si="69"/>
        <v/>
      </c>
      <c r="AS307" s="20"/>
      <c r="AT307" s="19"/>
      <c r="AV307" s="21">
        <f>IF(AND($AL307&lt;&gt;"",COUNTIF($AL$11:$AL307,$AL307)=1),1,0)</f>
        <v>0</v>
      </c>
      <c r="AW307" s="21">
        <f t="shared" si="71"/>
        <v>0</v>
      </c>
      <c r="AX307" s="21" t="str">
        <f t="shared" si="70"/>
        <v/>
      </c>
      <c r="AY307" s="21" t="str">
        <f>IF(AND($AM307&lt;&gt;"",$AS307&lt;&gt;"✓"),SUMPRODUCT(($AM$11:$AM307&lt;&gt;"")*($AS$11:$AS307&lt;&gt;"✓")),"")</f>
        <v/>
      </c>
      <c r="AZ307" s="21" t="str">
        <f>IF(AND($AM307&lt;&gt;"",$AS307="✓"),SUMPRODUCT(($AM$11:$AM307&lt;&gt;"")*($AS$11:$AS307="✓")),"")</f>
        <v/>
      </c>
      <c r="BA307" s="21" t="str">
        <f>IF($AL307="","",$AL307&amp;"|"&amp;COUNTIF($AL$11:$AL307,$AL307))</f>
        <v/>
      </c>
    </row>
    <row r="308" spans="2:53" ht="15" customHeight="1" x14ac:dyDescent="0.25">
      <c r="B308" s="5" t="str">
        <f t="shared" si="59"/>
        <v/>
      </c>
      <c r="C308" s="5"/>
      <c r="D308" s="5"/>
      <c r="E308" s="5"/>
      <c r="F308" s="6"/>
      <c r="G308" s="6"/>
      <c r="H308" s="7"/>
      <c r="I308" s="8"/>
      <c r="K308" s="23" t="str">
        <f>IFERROR(INDEX($AL$11:$AL$4010,MATCH(298,$AX$11:$AX$4010,0)),"")</f>
        <v/>
      </c>
      <c r="L308" s="24" t="str">
        <f t="shared" si="60"/>
        <v/>
      </c>
      <c r="M308" s="25" t="str">
        <f t="shared" si="61"/>
        <v/>
      </c>
      <c r="N308" s="25" t="str">
        <f t="shared" si="62"/>
        <v/>
      </c>
      <c r="W308" s="28" t="str">
        <f>IF(X308="","",IFERROR(INDEX($AL$11:$AL$4010,MATCH(298,$AY$11:$AY$4010,0)),""))</f>
        <v/>
      </c>
      <c r="X308" s="26" t="str">
        <f>IFERROR(INDEX($AM$11:$AM$4010,MATCH(298,$AY$11:$AY$4010,0)),"")</f>
        <v/>
      </c>
      <c r="Y308" s="25" t="str">
        <f>IF(X308="","",IFERROR(INDEX($AN$11:$AN$4010,MATCH(298,$AY$11:$AY$4010,0)),""))</f>
        <v/>
      </c>
      <c r="Z308" s="25" t="str">
        <f>IF(X308="","",IFERROR(INDEX($AO$11:$AO$4010,MATCH(298,$AY$11:$AY$4010,0)),""))</f>
        <v/>
      </c>
      <c r="AA308" s="24" t="str">
        <f>IF(X308="","",IFERROR(INDEX($AQ$11:$AQ$4010,MATCH(298,$AY$11:$AY$4010,0)),""))</f>
        <v/>
      </c>
      <c r="AB308" s="29" t="str">
        <f>IF(X308="","",IFERROR(INDEX($AR$11:$AR$4010,MATCH(298,$AY$11:$AY$4010,0)),""))</f>
        <v/>
      </c>
      <c r="AD308" s="30" t="str">
        <f>IF(AE308="","",IFERROR(INDEX($AL$11:$AL$4010,MATCH(298,$AZ$11:$AZ$4010,0)),""))</f>
        <v/>
      </c>
      <c r="AE308" s="26" t="str">
        <f>IFERROR(INDEX($AM$11:$AM$4010,MATCH(298,$AZ$11:$AZ$4010,0)),"")</f>
        <v/>
      </c>
      <c r="AF308" s="25" t="str">
        <f>IF(AE308="","",IFERROR(INDEX($AN$11:$AN$4010,MATCH(298,$AZ$11:$AZ$4010,0)),""))</f>
        <v/>
      </c>
      <c r="AG308" s="25" t="str">
        <f>IF(AE308="","",IFERROR(INDEX($AO$11:$AO$4010,MATCH(298,$AZ$11:$AZ$4010,0)),""))</f>
        <v/>
      </c>
      <c r="AH308" s="24" t="str">
        <f>IF(AE308="","",IFERROR(INDEX($AQ$11:$AQ$4010,MATCH(298,$AZ$11:$AZ$4010,0)),""))</f>
        <v/>
      </c>
      <c r="AI308" s="29" t="str">
        <f>IF(AE308="","",IFERROR(INDEX($AR$11:$AR$4010,MATCH(298,$AZ$11:$AZ$4010,0)),""))</f>
        <v/>
      </c>
      <c r="AJ308" s="29" t="str">
        <f>IF(AE308="","",IFERROR(INDEX($AT$11:$AT$4010,MATCH(298,$AZ$11:$AZ$4010,0)),""))</f>
        <v/>
      </c>
      <c r="AL308" s="31" t="str">
        <f t="shared" si="63"/>
        <v/>
      </c>
      <c r="AM308" s="26" t="str">
        <f t="shared" si="64"/>
        <v/>
      </c>
      <c r="AN308" s="32" t="str">
        <f t="shared" si="65"/>
        <v/>
      </c>
      <c r="AO308" s="32" t="str">
        <f t="shared" si="66"/>
        <v/>
      </c>
      <c r="AP308" s="24" t="str">
        <f t="shared" si="67"/>
        <v/>
      </c>
      <c r="AQ308" s="24" t="str">
        <f t="shared" si="68"/>
        <v/>
      </c>
      <c r="AR308" s="33" t="str">
        <f t="shared" si="69"/>
        <v/>
      </c>
      <c r="AS308" s="34"/>
      <c r="AT308" s="33"/>
      <c r="AV308" s="21">
        <f>IF(AND($AL308&lt;&gt;"",COUNTIF($AL$11:$AL308,$AL308)=1),1,0)</f>
        <v>0</v>
      </c>
      <c r="AW308" s="21">
        <f t="shared" si="71"/>
        <v>0</v>
      </c>
      <c r="AX308" s="21" t="str">
        <f t="shared" si="70"/>
        <v/>
      </c>
      <c r="AY308" s="21" t="str">
        <f>IF(AND($AM308&lt;&gt;"",$AS308&lt;&gt;"✓"),SUMPRODUCT(($AM$11:$AM308&lt;&gt;"")*($AS$11:$AS308&lt;&gt;"✓")),"")</f>
        <v/>
      </c>
      <c r="AZ308" s="21" t="str">
        <f>IF(AND($AM308&lt;&gt;"",$AS308="✓"),SUMPRODUCT(($AM$11:$AM308&lt;&gt;"")*($AS$11:$AS308="✓")),"")</f>
        <v/>
      </c>
      <c r="BA308" s="21" t="str">
        <f>IF($AL308="","",$AL308&amp;"|"&amp;COUNTIF($AL$11:$AL308,$AL308))</f>
        <v/>
      </c>
    </row>
    <row r="309" spans="2:53" ht="15" customHeight="1" x14ac:dyDescent="0.25">
      <c r="B309" s="5" t="str">
        <f t="shared" si="59"/>
        <v/>
      </c>
      <c r="C309" s="5"/>
      <c r="D309" s="5"/>
      <c r="E309" s="5"/>
      <c r="F309" s="6"/>
      <c r="G309" s="6"/>
      <c r="H309" s="7"/>
      <c r="I309" s="8"/>
      <c r="K309" s="9" t="str">
        <f>IFERROR(INDEX($AL$11:$AL$4010,MATCH(299,$AX$11:$AX$4010,0)),"")</f>
        <v/>
      </c>
      <c r="L309" s="10" t="str">
        <f t="shared" si="60"/>
        <v/>
      </c>
      <c r="M309" s="11" t="str">
        <f t="shared" si="61"/>
        <v/>
      </c>
      <c r="N309" s="11" t="str">
        <f t="shared" si="62"/>
        <v/>
      </c>
      <c r="W309" s="14" t="str">
        <f>IF(X309="","",IFERROR(INDEX($AL$11:$AL$4010,MATCH(299,$AY$11:$AY$4010,0)),""))</f>
        <v/>
      </c>
      <c r="X309" s="12" t="str">
        <f>IFERROR(INDEX($AM$11:$AM$4010,MATCH(299,$AY$11:$AY$4010,0)),"")</f>
        <v/>
      </c>
      <c r="Y309" s="11" t="str">
        <f>IF(X309="","",IFERROR(INDEX($AN$11:$AN$4010,MATCH(299,$AY$11:$AY$4010,0)),""))</f>
        <v/>
      </c>
      <c r="Z309" s="11" t="str">
        <f>IF(X309="","",IFERROR(INDEX($AO$11:$AO$4010,MATCH(299,$AY$11:$AY$4010,0)),""))</f>
        <v/>
      </c>
      <c r="AA309" s="10" t="str">
        <f>IF(X309="","",IFERROR(INDEX($AQ$11:$AQ$4010,MATCH(299,$AY$11:$AY$4010,0)),""))</f>
        <v/>
      </c>
      <c r="AB309" s="15" t="str">
        <f>IF(X309="","",IFERROR(INDEX($AR$11:$AR$4010,MATCH(299,$AY$11:$AY$4010,0)),""))</f>
        <v/>
      </c>
      <c r="AD309" s="16" t="str">
        <f>IF(AE309="","",IFERROR(INDEX($AL$11:$AL$4010,MATCH(299,$AZ$11:$AZ$4010,0)),""))</f>
        <v/>
      </c>
      <c r="AE309" s="12" t="str">
        <f>IFERROR(INDEX($AM$11:$AM$4010,MATCH(299,$AZ$11:$AZ$4010,0)),"")</f>
        <v/>
      </c>
      <c r="AF309" s="11" t="str">
        <f>IF(AE309="","",IFERROR(INDEX($AN$11:$AN$4010,MATCH(299,$AZ$11:$AZ$4010,0)),""))</f>
        <v/>
      </c>
      <c r="AG309" s="11" t="str">
        <f>IF(AE309="","",IFERROR(INDEX($AO$11:$AO$4010,MATCH(299,$AZ$11:$AZ$4010,0)),""))</f>
        <v/>
      </c>
      <c r="AH309" s="10" t="str">
        <f>IF(AE309="","",IFERROR(INDEX($AQ$11:$AQ$4010,MATCH(299,$AZ$11:$AZ$4010,0)),""))</f>
        <v/>
      </c>
      <c r="AI309" s="15" t="str">
        <f>IF(AE309="","",IFERROR(INDEX($AR$11:$AR$4010,MATCH(299,$AZ$11:$AZ$4010,0)),""))</f>
        <v/>
      </c>
      <c r="AJ309" s="15" t="str">
        <f>IF(AE309="","",IFERROR(INDEX($AT$11:$AT$4010,MATCH(299,$AZ$11:$AZ$4010,0)),""))</f>
        <v/>
      </c>
      <c r="AL309" s="17" t="str">
        <f t="shared" si="63"/>
        <v/>
      </c>
      <c r="AM309" s="12" t="str">
        <f t="shared" si="64"/>
        <v/>
      </c>
      <c r="AN309" s="18" t="str">
        <f t="shared" si="65"/>
        <v/>
      </c>
      <c r="AO309" s="18" t="str">
        <f t="shared" si="66"/>
        <v/>
      </c>
      <c r="AP309" s="10" t="str">
        <f t="shared" si="67"/>
        <v/>
      </c>
      <c r="AQ309" s="10" t="str">
        <f t="shared" si="68"/>
        <v/>
      </c>
      <c r="AR309" s="19" t="str">
        <f t="shared" si="69"/>
        <v/>
      </c>
      <c r="AS309" s="20"/>
      <c r="AT309" s="19"/>
      <c r="AV309" s="21">
        <f>IF(AND($AL309&lt;&gt;"",COUNTIF($AL$11:$AL309,$AL309)=1),1,0)</f>
        <v>0</v>
      </c>
      <c r="AW309" s="21">
        <f t="shared" si="71"/>
        <v>0</v>
      </c>
      <c r="AX309" s="21" t="str">
        <f t="shared" si="70"/>
        <v/>
      </c>
      <c r="AY309" s="21" t="str">
        <f>IF(AND($AM309&lt;&gt;"",$AS309&lt;&gt;"✓"),SUMPRODUCT(($AM$11:$AM309&lt;&gt;"")*($AS$11:$AS309&lt;&gt;"✓")),"")</f>
        <v/>
      </c>
      <c r="AZ309" s="21" t="str">
        <f>IF(AND($AM309&lt;&gt;"",$AS309="✓"),SUMPRODUCT(($AM$11:$AM309&lt;&gt;"")*($AS$11:$AS309="✓")),"")</f>
        <v/>
      </c>
      <c r="BA309" s="21" t="str">
        <f>IF($AL309="","",$AL309&amp;"|"&amp;COUNTIF($AL$11:$AL309,$AL309))</f>
        <v/>
      </c>
    </row>
    <row r="310" spans="2:53" ht="15" customHeight="1" x14ac:dyDescent="0.25">
      <c r="B310" s="5" t="str">
        <f t="shared" si="59"/>
        <v/>
      </c>
      <c r="C310" s="5"/>
      <c r="D310" s="5"/>
      <c r="E310" s="5"/>
      <c r="F310" s="6"/>
      <c r="G310" s="6"/>
      <c r="H310" s="7"/>
      <c r="I310" s="8"/>
      <c r="K310" s="23" t="str">
        <f>IFERROR(INDEX($AL$11:$AL$4010,MATCH(300,$AX$11:$AX$4010,0)),"")</f>
        <v/>
      </c>
      <c r="L310" s="24" t="str">
        <f t="shared" si="60"/>
        <v/>
      </c>
      <c r="M310" s="25" t="str">
        <f t="shared" si="61"/>
        <v/>
      </c>
      <c r="N310" s="25" t="str">
        <f t="shared" si="62"/>
        <v/>
      </c>
      <c r="W310" s="28" t="str">
        <f>IF(X310="","",IFERROR(INDEX($AL$11:$AL$4010,MATCH(300,$AY$11:$AY$4010,0)),""))</f>
        <v/>
      </c>
      <c r="X310" s="26" t="str">
        <f>IFERROR(INDEX($AM$11:$AM$4010,MATCH(300,$AY$11:$AY$4010,0)),"")</f>
        <v/>
      </c>
      <c r="Y310" s="25" t="str">
        <f>IF(X310="","",IFERROR(INDEX($AN$11:$AN$4010,MATCH(300,$AY$11:$AY$4010,0)),""))</f>
        <v/>
      </c>
      <c r="Z310" s="25" t="str">
        <f>IF(X310="","",IFERROR(INDEX($AO$11:$AO$4010,MATCH(300,$AY$11:$AY$4010,0)),""))</f>
        <v/>
      </c>
      <c r="AA310" s="24" t="str">
        <f>IF(X310="","",IFERROR(INDEX($AQ$11:$AQ$4010,MATCH(300,$AY$11:$AY$4010,0)),""))</f>
        <v/>
      </c>
      <c r="AB310" s="29" t="str">
        <f>IF(X310="","",IFERROR(INDEX($AR$11:$AR$4010,MATCH(300,$AY$11:$AY$4010,0)),""))</f>
        <v/>
      </c>
      <c r="AD310" s="30" t="str">
        <f>IF(AE310="","",IFERROR(INDEX($AL$11:$AL$4010,MATCH(300,$AZ$11:$AZ$4010,0)),""))</f>
        <v/>
      </c>
      <c r="AE310" s="26" t="str">
        <f>IFERROR(INDEX($AM$11:$AM$4010,MATCH(300,$AZ$11:$AZ$4010,0)),"")</f>
        <v/>
      </c>
      <c r="AF310" s="25" t="str">
        <f>IF(AE310="","",IFERROR(INDEX($AN$11:$AN$4010,MATCH(300,$AZ$11:$AZ$4010,0)),""))</f>
        <v/>
      </c>
      <c r="AG310" s="25" t="str">
        <f>IF(AE310="","",IFERROR(INDEX($AO$11:$AO$4010,MATCH(300,$AZ$11:$AZ$4010,0)),""))</f>
        <v/>
      </c>
      <c r="AH310" s="24" t="str">
        <f>IF(AE310="","",IFERROR(INDEX($AQ$11:$AQ$4010,MATCH(300,$AZ$11:$AZ$4010,0)),""))</f>
        <v/>
      </c>
      <c r="AI310" s="29" t="str">
        <f>IF(AE310="","",IFERROR(INDEX($AR$11:$AR$4010,MATCH(300,$AZ$11:$AZ$4010,0)),""))</f>
        <v/>
      </c>
      <c r="AJ310" s="29" t="str">
        <f>IF(AE310="","",IFERROR(INDEX($AT$11:$AT$4010,MATCH(300,$AZ$11:$AZ$4010,0)),""))</f>
        <v/>
      </c>
      <c r="AL310" s="31" t="str">
        <f t="shared" si="63"/>
        <v/>
      </c>
      <c r="AM310" s="26" t="str">
        <f t="shared" si="64"/>
        <v/>
      </c>
      <c r="AN310" s="32" t="str">
        <f t="shared" si="65"/>
        <v/>
      </c>
      <c r="AO310" s="32" t="str">
        <f t="shared" si="66"/>
        <v/>
      </c>
      <c r="AP310" s="24" t="str">
        <f t="shared" si="67"/>
        <v/>
      </c>
      <c r="AQ310" s="24" t="str">
        <f t="shared" si="68"/>
        <v/>
      </c>
      <c r="AR310" s="33" t="str">
        <f t="shared" si="69"/>
        <v/>
      </c>
      <c r="AS310" s="34"/>
      <c r="AT310" s="33"/>
      <c r="AV310" s="21">
        <f>IF(AND($AL310&lt;&gt;"",COUNTIF($AL$11:$AL310,$AL310)=1),1,0)</f>
        <v>0</v>
      </c>
      <c r="AW310" s="21">
        <f t="shared" si="71"/>
        <v>0</v>
      </c>
      <c r="AX310" s="21" t="str">
        <f t="shared" si="70"/>
        <v/>
      </c>
      <c r="AY310" s="21" t="str">
        <f>IF(AND($AM310&lt;&gt;"",$AS310&lt;&gt;"✓"),SUMPRODUCT(($AM$11:$AM310&lt;&gt;"")*($AS$11:$AS310&lt;&gt;"✓")),"")</f>
        <v/>
      </c>
      <c r="AZ310" s="21" t="str">
        <f>IF(AND($AM310&lt;&gt;"",$AS310="✓"),SUMPRODUCT(($AM$11:$AM310&lt;&gt;"")*($AS$11:$AS310="✓")),"")</f>
        <v/>
      </c>
      <c r="BA310" s="21" t="str">
        <f>IF($AL310="","",$AL310&amp;"|"&amp;COUNTIF($AL$11:$AL310,$AL310))</f>
        <v/>
      </c>
    </row>
    <row r="311" spans="2:53" ht="15" customHeight="1" x14ac:dyDescent="0.25">
      <c r="B311" s="5" t="str">
        <f t="shared" si="59"/>
        <v/>
      </c>
      <c r="C311" s="5"/>
      <c r="D311" s="5"/>
      <c r="E311" s="5"/>
      <c r="F311" s="6"/>
      <c r="G311" s="6"/>
      <c r="H311" s="7"/>
      <c r="I311" s="8"/>
      <c r="W311" s="14" t="str">
        <f>IF(X311="","",IFERROR(INDEX($AL$11:$AL$4010,MATCH(301,$AY$11:$AY$4010,0)),""))</f>
        <v/>
      </c>
      <c r="X311" s="12" t="str">
        <f>IFERROR(INDEX($AM$11:$AM$4010,MATCH(301,$AY$11:$AY$4010,0)),"")</f>
        <v/>
      </c>
      <c r="Y311" s="11" t="str">
        <f>IF(X311="","",IFERROR(INDEX($AN$11:$AN$4010,MATCH(301,$AY$11:$AY$4010,0)),""))</f>
        <v/>
      </c>
      <c r="Z311" s="11" t="str">
        <f>IF(X311="","",IFERROR(INDEX($AO$11:$AO$4010,MATCH(301,$AY$11:$AY$4010,0)),""))</f>
        <v/>
      </c>
      <c r="AA311" s="10" t="str">
        <f>IF(X311="","",IFERROR(INDEX($AQ$11:$AQ$4010,MATCH(301,$AY$11:$AY$4010,0)),""))</f>
        <v/>
      </c>
      <c r="AB311" s="15" t="str">
        <f>IF(X311="","",IFERROR(INDEX($AR$11:$AR$4010,MATCH(301,$AY$11:$AY$4010,0)),""))</f>
        <v/>
      </c>
      <c r="AD311" s="16" t="str">
        <f>IF(AE311="","",IFERROR(INDEX($AL$11:$AL$4010,MATCH(301,$AZ$11:$AZ$4010,0)),""))</f>
        <v/>
      </c>
      <c r="AE311" s="12" t="str">
        <f>IFERROR(INDEX($AM$11:$AM$4010,MATCH(301,$AZ$11:$AZ$4010,0)),"")</f>
        <v/>
      </c>
      <c r="AF311" s="11" t="str">
        <f>IF(AE311="","",IFERROR(INDEX($AN$11:$AN$4010,MATCH(301,$AZ$11:$AZ$4010,0)),""))</f>
        <v/>
      </c>
      <c r="AG311" s="11" t="str">
        <f>IF(AE311="","",IFERROR(INDEX($AO$11:$AO$4010,MATCH(301,$AZ$11:$AZ$4010,0)),""))</f>
        <v/>
      </c>
      <c r="AH311" s="10" t="str">
        <f>IF(AE311="","",IFERROR(INDEX($AQ$11:$AQ$4010,MATCH(301,$AZ$11:$AZ$4010,0)),""))</f>
        <v/>
      </c>
      <c r="AI311" s="15" t="str">
        <f>IF(AE311="","",IFERROR(INDEX($AR$11:$AR$4010,MATCH(301,$AZ$11:$AZ$4010,0)),""))</f>
        <v/>
      </c>
      <c r="AJ311" s="15" t="str">
        <f>IF(AE311="","",IFERROR(INDEX($AT$11:$AT$4010,MATCH(301,$AZ$11:$AZ$4010,0)),""))</f>
        <v/>
      </c>
      <c r="AL311" s="17" t="str">
        <f t="shared" si="63"/>
        <v/>
      </c>
      <c r="AM311" s="12" t="str">
        <f t="shared" si="64"/>
        <v/>
      </c>
      <c r="AN311" s="18" t="str">
        <f t="shared" si="65"/>
        <v/>
      </c>
      <c r="AO311" s="18" t="str">
        <f t="shared" si="66"/>
        <v/>
      </c>
      <c r="AP311" s="10" t="str">
        <f t="shared" si="67"/>
        <v/>
      </c>
      <c r="AQ311" s="10" t="str">
        <f t="shared" si="68"/>
        <v/>
      </c>
      <c r="AR311" s="19" t="str">
        <f t="shared" si="69"/>
        <v/>
      </c>
      <c r="AS311" s="20"/>
      <c r="AT311" s="19"/>
      <c r="AV311" s="21">
        <f>IF(AND($AL311&lt;&gt;"",COUNTIF($AL$11:$AL311,$AL311)=1),1,0)</f>
        <v>0</v>
      </c>
      <c r="AW311" s="21">
        <f t="shared" si="71"/>
        <v>0</v>
      </c>
      <c r="AX311" s="21" t="str">
        <f t="shared" si="70"/>
        <v/>
      </c>
      <c r="AY311" s="21" t="str">
        <f>IF(AND($AM311&lt;&gt;"",$AS311&lt;&gt;"✓"),SUMPRODUCT(($AM$11:$AM311&lt;&gt;"")*($AS$11:$AS311&lt;&gt;"✓")),"")</f>
        <v/>
      </c>
      <c r="AZ311" s="21" t="str">
        <f>IF(AND($AM311&lt;&gt;"",$AS311="✓"),SUMPRODUCT(($AM$11:$AM311&lt;&gt;"")*($AS$11:$AS311="✓")),"")</f>
        <v/>
      </c>
      <c r="BA311" s="21" t="str">
        <f>IF($AL311="","",$AL311&amp;"|"&amp;COUNTIF($AL$11:$AL311,$AL311))</f>
        <v/>
      </c>
    </row>
    <row r="312" spans="2:53" ht="15" customHeight="1" x14ac:dyDescent="0.25">
      <c r="B312" s="5" t="str">
        <f t="shared" si="59"/>
        <v/>
      </c>
      <c r="C312" s="5"/>
      <c r="D312" s="5"/>
      <c r="E312" s="5"/>
      <c r="F312" s="6"/>
      <c r="G312" s="6"/>
      <c r="H312" s="7"/>
      <c r="I312" s="8"/>
      <c r="W312" s="28" t="str">
        <f>IF(X312="","",IFERROR(INDEX($AL$11:$AL$4010,MATCH(302,$AY$11:$AY$4010,0)),""))</f>
        <v/>
      </c>
      <c r="X312" s="26" t="str">
        <f>IFERROR(INDEX($AM$11:$AM$4010,MATCH(302,$AY$11:$AY$4010,0)),"")</f>
        <v/>
      </c>
      <c r="Y312" s="25" t="str">
        <f>IF(X312="","",IFERROR(INDEX($AN$11:$AN$4010,MATCH(302,$AY$11:$AY$4010,0)),""))</f>
        <v/>
      </c>
      <c r="Z312" s="25" t="str">
        <f>IF(X312="","",IFERROR(INDEX($AO$11:$AO$4010,MATCH(302,$AY$11:$AY$4010,0)),""))</f>
        <v/>
      </c>
      <c r="AA312" s="24" t="str">
        <f>IF(X312="","",IFERROR(INDEX($AQ$11:$AQ$4010,MATCH(302,$AY$11:$AY$4010,0)),""))</f>
        <v/>
      </c>
      <c r="AB312" s="29" t="str">
        <f>IF(X312="","",IFERROR(INDEX($AR$11:$AR$4010,MATCH(302,$AY$11:$AY$4010,0)),""))</f>
        <v/>
      </c>
      <c r="AD312" s="30" t="str">
        <f>IF(AE312="","",IFERROR(INDEX($AL$11:$AL$4010,MATCH(302,$AZ$11:$AZ$4010,0)),""))</f>
        <v/>
      </c>
      <c r="AE312" s="26" t="str">
        <f>IFERROR(INDEX($AM$11:$AM$4010,MATCH(302,$AZ$11:$AZ$4010,0)),"")</f>
        <v/>
      </c>
      <c r="AF312" s="25" t="str">
        <f>IF(AE312="","",IFERROR(INDEX($AN$11:$AN$4010,MATCH(302,$AZ$11:$AZ$4010,0)),""))</f>
        <v/>
      </c>
      <c r="AG312" s="25" t="str">
        <f>IF(AE312="","",IFERROR(INDEX($AO$11:$AO$4010,MATCH(302,$AZ$11:$AZ$4010,0)),""))</f>
        <v/>
      </c>
      <c r="AH312" s="24" t="str">
        <f>IF(AE312="","",IFERROR(INDEX($AQ$11:$AQ$4010,MATCH(302,$AZ$11:$AZ$4010,0)),""))</f>
        <v/>
      </c>
      <c r="AI312" s="29" t="str">
        <f>IF(AE312="","",IFERROR(INDEX($AR$11:$AR$4010,MATCH(302,$AZ$11:$AZ$4010,0)),""))</f>
        <v/>
      </c>
      <c r="AJ312" s="29" t="str">
        <f>IF(AE312="","",IFERROR(INDEX($AT$11:$AT$4010,MATCH(302,$AZ$11:$AZ$4010,0)),""))</f>
        <v/>
      </c>
      <c r="AL312" s="31" t="str">
        <f t="shared" si="63"/>
        <v/>
      </c>
      <c r="AM312" s="26" t="str">
        <f t="shared" si="64"/>
        <v/>
      </c>
      <c r="AN312" s="32" t="str">
        <f t="shared" si="65"/>
        <v/>
      </c>
      <c r="AO312" s="32" t="str">
        <f t="shared" si="66"/>
        <v/>
      </c>
      <c r="AP312" s="24" t="str">
        <f t="shared" si="67"/>
        <v/>
      </c>
      <c r="AQ312" s="24" t="str">
        <f t="shared" si="68"/>
        <v/>
      </c>
      <c r="AR312" s="33" t="str">
        <f t="shared" si="69"/>
        <v/>
      </c>
      <c r="AS312" s="34"/>
      <c r="AT312" s="33"/>
      <c r="AV312" s="21">
        <f>IF(AND($AL312&lt;&gt;"",COUNTIF($AL$11:$AL312,$AL312)=1),1,0)</f>
        <v>0</v>
      </c>
      <c r="AW312" s="21">
        <f t="shared" si="71"/>
        <v>0</v>
      </c>
      <c r="AX312" s="21" t="str">
        <f t="shared" si="70"/>
        <v/>
      </c>
      <c r="AY312" s="21" t="str">
        <f>IF(AND($AM312&lt;&gt;"",$AS312&lt;&gt;"✓"),SUMPRODUCT(($AM$11:$AM312&lt;&gt;"")*($AS$11:$AS312&lt;&gt;"✓")),"")</f>
        <v/>
      </c>
      <c r="AZ312" s="21" t="str">
        <f>IF(AND($AM312&lt;&gt;"",$AS312="✓"),SUMPRODUCT(($AM$11:$AM312&lt;&gt;"")*($AS$11:$AS312="✓")),"")</f>
        <v/>
      </c>
      <c r="BA312" s="21" t="str">
        <f>IF($AL312="","",$AL312&amp;"|"&amp;COUNTIF($AL$11:$AL312,$AL312))</f>
        <v/>
      </c>
    </row>
    <row r="313" spans="2:53" ht="15" customHeight="1" x14ac:dyDescent="0.25">
      <c r="B313" s="5" t="str">
        <f t="shared" si="59"/>
        <v/>
      </c>
      <c r="C313" s="5"/>
      <c r="D313" s="5"/>
      <c r="E313" s="5"/>
      <c r="F313" s="6"/>
      <c r="G313" s="6"/>
      <c r="H313" s="7"/>
      <c r="I313" s="8"/>
      <c r="W313" s="14" t="str">
        <f>IF(X313="","",IFERROR(INDEX($AL$11:$AL$4010,MATCH(303,$AY$11:$AY$4010,0)),""))</f>
        <v/>
      </c>
      <c r="X313" s="12" t="str">
        <f>IFERROR(INDEX($AM$11:$AM$4010,MATCH(303,$AY$11:$AY$4010,0)),"")</f>
        <v/>
      </c>
      <c r="Y313" s="11" t="str">
        <f>IF(X313="","",IFERROR(INDEX($AN$11:$AN$4010,MATCH(303,$AY$11:$AY$4010,0)),""))</f>
        <v/>
      </c>
      <c r="Z313" s="11" t="str">
        <f>IF(X313="","",IFERROR(INDEX($AO$11:$AO$4010,MATCH(303,$AY$11:$AY$4010,0)),""))</f>
        <v/>
      </c>
      <c r="AA313" s="10" t="str">
        <f>IF(X313="","",IFERROR(INDEX($AQ$11:$AQ$4010,MATCH(303,$AY$11:$AY$4010,0)),""))</f>
        <v/>
      </c>
      <c r="AB313" s="15" t="str">
        <f>IF(X313="","",IFERROR(INDEX($AR$11:$AR$4010,MATCH(303,$AY$11:$AY$4010,0)),""))</f>
        <v/>
      </c>
      <c r="AD313" s="16" t="str">
        <f>IF(AE313="","",IFERROR(INDEX($AL$11:$AL$4010,MATCH(303,$AZ$11:$AZ$4010,0)),""))</f>
        <v/>
      </c>
      <c r="AE313" s="12" t="str">
        <f>IFERROR(INDEX($AM$11:$AM$4010,MATCH(303,$AZ$11:$AZ$4010,0)),"")</f>
        <v/>
      </c>
      <c r="AF313" s="11" t="str">
        <f>IF(AE313="","",IFERROR(INDEX($AN$11:$AN$4010,MATCH(303,$AZ$11:$AZ$4010,0)),""))</f>
        <v/>
      </c>
      <c r="AG313" s="11" t="str">
        <f>IF(AE313="","",IFERROR(INDEX($AO$11:$AO$4010,MATCH(303,$AZ$11:$AZ$4010,0)),""))</f>
        <v/>
      </c>
      <c r="AH313" s="10" t="str">
        <f>IF(AE313="","",IFERROR(INDEX($AQ$11:$AQ$4010,MATCH(303,$AZ$11:$AZ$4010,0)),""))</f>
        <v/>
      </c>
      <c r="AI313" s="15" t="str">
        <f>IF(AE313="","",IFERROR(INDEX($AR$11:$AR$4010,MATCH(303,$AZ$11:$AZ$4010,0)),""))</f>
        <v/>
      </c>
      <c r="AJ313" s="15" t="str">
        <f>IF(AE313="","",IFERROR(INDEX($AT$11:$AT$4010,MATCH(303,$AZ$11:$AZ$4010,0)),""))</f>
        <v/>
      </c>
      <c r="AL313" s="17" t="str">
        <f t="shared" si="63"/>
        <v/>
      </c>
      <c r="AM313" s="12" t="str">
        <f t="shared" si="64"/>
        <v/>
      </c>
      <c r="AN313" s="18" t="str">
        <f t="shared" si="65"/>
        <v/>
      </c>
      <c r="AO313" s="18" t="str">
        <f t="shared" si="66"/>
        <v/>
      </c>
      <c r="AP313" s="10" t="str">
        <f t="shared" si="67"/>
        <v/>
      </c>
      <c r="AQ313" s="10" t="str">
        <f t="shared" si="68"/>
        <v/>
      </c>
      <c r="AR313" s="19" t="str">
        <f t="shared" si="69"/>
        <v/>
      </c>
      <c r="AS313" s="20"/>
      <c r="AT313" s="19"/>
      <c r="AV313" s="21">
        <f>IF(AND($AL313&lt;&gt;"",COUNTIF($AL$11:$AL313,$AL313)=1),1,0)</f>
        <v>0</v>
      </c>
      <c r="AW313" s="21">
        <f t="shared" si="71"/>
        <v>0</v>
      </c>
      <c r="AX313" s="21" t="str">
        <f t="shared" si="70"/>
        <v/>
      </c>
      <c r="AY313" s="21" t="str">
        <f>IF(AND($AM313&lt;&gt;"",$AS313&lt;&gt;"✓"),SUMPRODUCT(($AM$11:$AM313&lt;&gt;"")*($AS$11:$AS313&lt;&gt;"✓")),"")</f>
        <v/>
      </c>
      <c r="AZ313" s="21" t="str">
        <f>IF(AND($AM313&lt;&gt;"",$AS313="✓"),SUMPRODUCT(($AM$11:$AM313&lt;&gt;"")*($AS$11:$AS313="✓")),"")</f>
        <v/>
      </c>
      <c r="BA313" s="21" t="str">
        <f>IF($AL313="","",$AL313&amp;"|"&amp;COUNTIF($AL$11:$AL313,$AL313))</f>
        <v/>
      </c>
    </row>
    <row r="314" spans="2:53" ht="15" customHeight="1" x14ac:dyDescent="0.25">
      <c r="B314" s="5" t="str">
        <f t="shared" si="59"/>
        <v/>
      </c>
      <c r="C314" s="5"/>
      <c r="D314" s="5"/>
      <c r="E314" s="5"/>
      <c r="F314" s="6"/>
      <c r="G314" s="6"/>
      <c r="H314" s="7"/>
      <c r="I314" s="8"/>
      <c r="W314" s="28" t="str">
        <f>IF(X314="","",IFERROR(INDEX($AL$11:$AL$4010,MATCH(304,$AY$11:$AY$4010,0)),""))</f>
        <v/>
      </c>
      <c r="X314" s="26" t="str">
        <f>IFERROR(INDEX($AM$11:$AM$4010,MATCH(304,$AY$11:$AY$4010,0)),"")</f>
        <v/>
      </c>
      <c r="Y314" s="25" t="str">
        <f>IF(X314="","",IFERROR(INDEX($AN$11:$AN$4010,MATCH(304,$AY$11:$AY$4010,0)),""))</f>
        <v/>
      </c>
      <c r="Z314" s="25" t="str">
        <f>IF(X314="","",IFERROR(INDEX($AO$11:$AO$4010,MATCH(304,$AY$11:$AY$4010,0)),""))</f>
        <v/>
      </c>
      <c r="AA314" s="24" t="str">
        <f>IF(X314="","",IFERROR(INDEX($AQ$11:$AQ$4010,MATCH(304,$AY$11:$AY$4010,0)),""))</f>
        <v/>
      </c>
      <c r="AB314" s="29" t="str">
        <f>IF(X314="","",IFERROR(INDEX($AR$11:$AR$4010,MATCH(304,$AY$11:$AY$4010,0)),""))</f>
        <v/>
      </c>
      <c r="AD314" s="30" t="str">
        <f>IF(AE314="","",IFERROR(INDEX($AL$11:$AL$4010,MATCH(304,$AZ$11:$AZ$4010,0)),""))</f>
        <v/>
      </c>
      <c r="AE314" s="26" t="str">
        <f>IFERROR(INDEX($AM$11:$AM$4010,MATCH(304,$AZ$11:$AZ$4010,0)),"")</f>
        <v/>
      </c>
      <c r="AF314" s="25" t="str">
        <f>IF(AE314="","",IFERROR(INDEX($AN$11:$AN$4010,MATCH(304,$AZ$11:$AZ$4010,0)),""))</f>
        <v/>
      </c>
      <c r="AG314" s="25" t="str">
        <f>IF(AE314="","",IFERROR(INDEX($AO$11:$AO$4010,MATCH(304,$AZ$11:$AZ$4010,0)),""))</f>
        <v/>
      </c>
      <c r="AH314" s="24" t="str">
        <f>IF(AE314="","",IFERROR(INDEX($AQ$11:$AQ$4010,MATCH(304,$AZ$11:$AZ$4010,0)),""))</f>
        <v/>
      </c>
      <c r="AI314" s="29" t="str">
        <f>IF(AE314="","",IFERROR(INDEX($AR$11:$AR$4010,MATCH(304,$AZ$11:$AZ$4010,0)),""))</f>
        <v/>
      </c>
      <c r="AJ314" s="29" t="str">
        <f>IF(AE314="","",IFERROR(INDEX($AT$11:$AT$4010,MATCH(304,$AZ$11:$AZ$4010,0)),""))</f>
        <v/>
      </c>
      <c r="AL314" s="31" t="str">
        <f t="shared" si="63"/>
        <v/>
      </c>
      <c r="AM314" s="26" t="str">
        <f t="shared" si="64"/>
        <v/>
      </c>
      <c r="AN314" s="32" t="str">
        <f t="shared" si="65"/>
        <v/>
      </c>
      <c r="AO314" s="32" t="str">
        <f t="shared" si="66"/>
        <v/>
      </c>
      <c r="AP314" s="24" t="str">
        <f t="shared" si="67"/>
        <v/>
      </c>
      <c r="AQ314" s="24" t="str">
        <f t="shared" si="68"/>
        <v/>
      </c>
      <c r="AR314" s="33" t="str">
        <f t="shared" si="69"/>
        <v/>
      </c>
      <c r="AS314" s="34"/>
      <c r="AT314" s="33"/>
      <c r="AV314" s="21">
        <f>IF(AND($AL314&lt;&gt;"",COUNTIF($AL$11:$AL314,$AL314)=1),1,0)</f>
        <v>0</v>
      </c>
      <c r="AW314" s="21">
        <f t="shared" si="71"/>
        <v>0</v>
      </c>
      <c r="AX314" s="21" t="str">
        <f t="shared" si="70"/>
        <v/>
      </c>
      <c r="AY314" s="21" t="str">
        <f>IF(AND($AM314&lt;&gt;"",$AS314&lt;&gt;"✓"),SUMPRODUCT(($AM$11:$AM314&lt;&gt;"")*($AS$11:$AS314&lt;&gt;"✓")),"")</f>
        <v/>
      </c>
      <c r="AZ314" s="21" t="str">
        <f>IF(AND($AM314&lt;&gt;"",$AS314="✓"),SUMPRODUCT(($AM$11:$AM314&lt;&gt;"")*($AS$11:$AS314="✓")),"")</f>
        <v/>
      </c>
      <c r="BA314" s="21" t="str">
        <f>IF($AL314="","",$AL314&amp;"|"&amp;COUNTIF($AL$11:$AL314,$AL314))</f>
        <v/>
      </c>
    </row>
    <row r="315" spans="2:53" ht="15" customHeight="1" x14ac:dyDescent="0.25">
      <c r="B315" s="5" t="str">
        <f t="shared" si="59"/>
        <v/>
      </c>
      <c r="C315" s="5"/>
      <c r="D315" s="5"/>
      <c r="E315" s="5"/>
      <c r="F315" s="6"/>
      <c r="G315" s="6"/>
      <c r="H315" s="7"/>
      <c r="I315" s="8"/>
      <c r="W315" s="14" t="str">
        <f>IF(X315="","",IFERROR(INDEX($AL$11:$AL$4010,MATCH(305,$AY$11:$AY$4010,0)),""))</f>
        <v/>
      </c>
      <c r="X315" s="12" t="str">
        <f>IFERROR(INDEX($AM$11:$AM$4010,MATCH(305,$AY$11:$AY$4010,0)),"")</f>
        <v/>
      </c>
      <c r="Y315" s="11" t="str">
        <f>IF(X315="","",IFERROR(INDEX($AN$11:$AN$4010,MATCH(305,$AY$11:$AY$4010,0)),""))</f>
        <v/>
      </c>
      <c r="Z315" s="11" t="str">
        <f>IF(X315="","",IFERROR(INDEX($AO$11:$AO$4010,MATCH(305,$AY$11:$AY$4010,0)),""))</f>
        <v/>
      </c>
      <c r="AA315" s="10" t="str">
        <f>IF(X315="","",IFERROR(INDEX($AQ$11:$AQ$4010,MATCH(305,$AY$11:$AY$4010,0)),""))</f>
        <v/>
      </c>
      <c r="AB315" s="15" t="str">
        <f>IF(X315="","",IFERROR(INDEX($AR$11:$AR$4010,MATCH(305,$AY$11:$AY$4010,0)),""))</f>
        <v/>
      </c>
      <c r="AD315" s="16" t="str">
        <f>IF(AE315="","",IFERROR(INDEX($AL$11:$AL$4010,MATCH(305,$AZ$11:$AZ$4010,0)),""))</f>
        <v/>
      </c>
      <c r="AE315" s="12" t="str">
        <f>IFERROR(INDEX($AM$11:$AM$4010,MATCH(305,$AZ$11:$AZ$4010,0)),"")</f>
        <v/>
      </c>
      <c r="AF315" s="11" t="str">
        <f>IF(AE315="","",IFERROR(INDEX($AN$11:$AN$4010,MATCH(305,$AZ$11:$AZ$4010,0)),""))</f>
        <v/>
      </c>
      <c r="AG315" s="11" t="str">
        <f>IF(AE315="","",IFERROR(INDEX($AO$11:$AO$4010,MATCH(305,$AZ$11:$AZ$4010,0)),""))</f>
        <v/>
      </c>
      <c r="AH315" s="10" t="str">
        <f>IF(AE315="","",IFERROR(INDEX($AQ$11:$AQ$4010,MATCH(305,$AZ$11:$AZ$4010,0)),""))</f>
        <v/>
      </c>
      <c r="AI315" s="15" t="str">
        <f>IF(AE315="","",IFERROR(INDEX($AR$11:$AR$4010,MATCH(305,$AZ$11:$AZ$4010,0)),""))</f>
        <v/>
      </c>
      <c r="AJ315" s="15" t="str">
        <f>IF(AE315="","",IFERROR(INDEX($AT$11:$AT$4010,MATCH(305,$AZ$11:$AZ$4010,0)),""))</f>
        <v/>
      </c>
      <c r="AL315" s="17" t="str">
        <f t="shared" si="63"/>
        <v/>
      </c>
      <c r="AM315" s="12" t="str">
        <f t="shared" si="64"/>
        <v/>
      </c>
      <c r="AN315" s="18" t="str">
        <f t="shared" si="65"/>
        <v/>
      </c>
      <c r="AO315" s="18" t="str">
        <f t="shared" si="66"/>
        <v/>
      </c>
      <c r="AP315" s="10" t="str">
        <f t="shared" si="67"/>
        <v/>
      </c>
      <c r="AQ315" s="10" t="str">
        <f t="shared" si="68"/>
        <v/>
      </c>
      <c r="AR315" s="19" t="str">
        <f t="shared" si="69"/>
        <v/>
      </c>
      <c r="AS315" s="20"/>
      <c r="AT315" s="19"/>
      <c r="AV315" s="21">
        <f>IF(AND($AL315&lt;&gt;"",COUNTIF($AL$11:$AL315,$AL315)=1),1,0)</f>
        <v>0</v>
      </c>
      <c r="AW315" s="21">
        <f t="shared" si="71"/>
        <v>0</v>
      </c>
      <c r="AX315" s="21" t="str">
        <f t="shared" si="70"/>
        <v/>
      </c>
      <c r="AY315" s="21" t="str">
        <f>IF(AND($AM315&lt;&gt;"",$AS315&lt;&gt;"✓"),SUMPRODUCT(($AM$11:$AM315&lt;&gt;"")*($AS$11:$AS315&lt;&gt;"✓")),"")</f>
        <v/>
      </c>
      <c r="AZ315" s="21" t="str">
        <f>IF(AND($AM315&lt;&gt;"",$AS315="✓"),SUMPRODUCT(($AM$11:$AM315&lt;&gt;"")*($AS$11:$AS315="✓")),"")</f>
        <v/>
      </c>
      <c r="BA315" s="21" t="str">
        <f>IF($AL315="","",$AL315&amp;"|"&amp;COUNTIF($AL$11:$AL315,$AL315))</f>
        <v/>
      </c>
    </row>
    <row r="316" spans="2:53" ht="15" customHeight="1" x14ac:dyDescent="0.25">
      <c r="B316" s="5" t="str">
        <f t="shared" si="59"/>
        <v/>
      </c>
      <c r="C316" s="5"/>
      <c r="D316" s="5"/>
      <c r="E316" s="5"/>
      <c r="F316" s="6"/>
      <c r="G316" s="6"/>
      <c r="H316" s="7"/>
      <c r="I316" s="8"/>
      <c r="W316" s="28" t="str">
        <f>IF(X316="","",IFERROR(INDEX($AL$11:$AL$4010,MATCH(306,$AY$11:$AY$4010,0)),""))</f>
        <v/>
      </c>
      <c r="X316" s="26" t="str">
        <f>IFERROR(INDEX($AM$11:$AM$4010,MATCH(306,$AY$11:$AY$4010,0)),"")</f>
        <v/>
      </c>
      <c r="Y316" s="25" t="str">
        <f>IF(X316="","",IFERROR(INDEX($AN$11:$AN$4010,MATCH(306,$AY$11:$AY$4010,0)),""))</f>
        <v/>
      </c>
      <c r="Z316" s="25" t="str">
        <f>IF(X316="","",IFERROR(INDEX($AO$11:$AO$4010,MATCH(306,$AY$11:$AY$4010,0)),""))</f>
        <v/>
      </c>
      <c r="AA316" s="24" t="str">
        <f>IF(X316="","",IFERROR(INDEX($AQ$11:$AQ$4010,MATCH(306,$AY$11:$AY$4010,0)),""))</f>
        <v/>
      </c>
      <c r="AB316" s="29" t="str">
        <f>IF(X316="","",IFERROR(INDEX($AR$11:$AR$4010,MATCH(306,$AY$11:$AY$4010,0)),""))</f>
        <v/>
      </c>
      <c r="AD316" s="30" t="str">
        <f>IF(AE316="","",IFERROR(INDEX($AL$11:$AL$4010,MATCH(306,$AZ$11:$AZ$4010,0)),""))</f>
        <v/>
      </c>
      <c r="AE316" s="26" t="str">
        <f>IFERROR(INDEX($AM$11:$AM$4010,MATCH(306,$AZ$11:$AZ$4010,0)),"")</f>
        <v/>
      </c>
      <c r="AF316" s="25" t="str">
        <f>IF(AE316="","",IFERROR(INDEX($AN$11:$AN$4010,MATCH(306,$AZ$11:$AZ$4010,0)),""))</f>
        <v/>
      </c>
      <c r="AG316" s="25" t="str">
        <f>IF(AE316="","",IFERROR(INDEX($AO$11:$AO$4010,MATCH(306,$AZ$11:$AZ$4010,0)),""))</f>
        <v/>
      </c>
      <c r="AH316" s="24" t="str">
        <f>IF(AE316="","",IFERROR(INDEX($AQ$11:$AQ$4010,MATCH(306,$AZ$11:$AZ$4010,0)),""))</f>
        <v/>
      </c>
      <c r="AI316" s="29" t="str">
        <f>IF(AE316="","",IFERROR(INDEX($AR$11:$AR$4010,MATCH(306,$AZ$11:$AZ$4010,0)),""))</f>
        <v/>
      </c>
      <c r="AJ316" s="29" t="str">
        <f>IF(AE316="","",IFERROR(INDEX($AT$11:$AT$4010,MATCH(306,$AZ$11:$AZ$4010,0)),""))</f>
        <v/>
      </c>
      <c r="AL316" s="31" t="str">
        <f t="shared" si="63"/>
        <v/>
      </c>
      <c r="AM316" s="26" t="str">
        <f t="shared" si="64"/>
        <v/>
      </c>
      <c r="AN316" s="32" t="str">
        <f t="shared" si="65"/>
        <v/>
      </c>
      <c r="AO316" s="32" t="str">
        <f t="shared" si="66"/>
        <v/>
      </c>
      <c r="AP316" s="24" t="str">
        <f t="shared" si="67"/>
        <v/>
      </c>
      <c r="AQ316" s="24" t="str">
        <f t="shared" si="68"/>
        <v/>
      </c>
      <c r="AR316" s="33" t="str">
        <f t="shared" si="69"/>
        <v/>
      </c>
      <c r="AS316" s="34"/>
      <c r="AT316" s="33"/>
      <c r="AV316" s="21">
        <f>IF(AND($AL316&lt;&gt;"",COUNTIF($AL$11:$AL316,$AL316)=1),1,0)</f>
        <v>0</v>
      </c>
      <c r="AW316" s="21">
        <f t="shared" si="71"/>
        <v>0</v>
      </c>
      <c r="AX316" s="21" t="str">
        <f t="shared" si="70"/>
        <v/>
      </c>
      <c r="AY316" s="21" t="str">
        <f>IF(AND($AM316&lt;&gt;"",$AS316&lt;&gt;"✓"),SUMPRODUCT(($AM$11:$AM316&lt;&gt;"")*($AS$11:$AS316&lt;&gt;"✓")),"")</f>
        <v/>
      </c>
      <c r="AZ316" s="21" t="str">
        <f>IF(AND($AM316&lt;&gt;"",$AS316="✓"),SUMPRODUCT(($AM$11:$AM316&lt;&gt;"")*($AS$11:$AS316="✓")),"")</f>
        <v/>
      </c>
      <c r="BA316" s="21" t="str">
        <f>IF($AL316="","",$AL316&amp;"|"&amp;COUNTIF($AL$11:$AL316,$AL316))</f>
        <v/>
      </c>
    </row>
    <row r="317" spans="2:53" ht="15" customHeight="1" x14ac:dyDescent="0.25">
      <c r="B317" s="5" t="str">
        <f t="shared" si="59"/>
        <v/>
      </c>
      <c r="C317" s="5"/>
      <c r="D317" s="5"/>
      <c r="E317" s="5"/>
      <c r="F317" s="6"/>
      <c r="G317" s="6"/>
      <c r="H317" s="7"/>
      <c r="I317" s="8"/>
      <c r="W317" s="14" t="str">
        <f>IF(X317="","",IFERROR(INDEX($AL$11:$AL$4010,MATCH(307,$AY$11:$AY$4010,0)),""))</f>
        <v/>
      </c>
      <c r="X317" s="12" t="str">
        <f>IFERROR(INDEX($AM$11:$AM$4010,MATCH(307,$AY$11:$AY$4010,0)),"")</f>
        <v/>
      </c>
      <c r="Y317" s="11" t="str">
        <f>IF(X317="","",IFERROR(INDEX($AN$11:$AN$4010,MATCH(307,$AY$11:$AY$4010,0)),""))</f>
        <v/>
      </c>
      <c r="Z317" s="11" t="str">
        <f>IF(X317="","",IFERROR(INDEX($AO$11:$AO$4010,MATCH(307,$AY$11:$AY$4010,0)),""))</f>
        <v/>
      </c>
      <c r="AA317" s="10" t="str">
        <f>IF(X317="","",IFERROR(INDEX($AQ$11:$AQ$4010,MATCH(307,$AY$11:$AY$4010,0)),""))</f>
        <v/>
      </c>
      <c r="AB317" s="15" t="str">
        <f>IF(X317="","",IFERROR(INDEX($AR$11:$AR$4010,MATCH(307,$AY$11:$AY$4010,0)),""))</f>
        <v/>
      </c>
      <c r="AD317" s="16" t="str">
        <f>IF(AE317="","",IFERROR(INDEX($AL$11:$AL$4010,MATCH(307,$AZ$11:$AZ$4010,0)),""))</f>
        <v/>
      </c>
      <c r="AE317" s="12" t="str">
        <f>IFERROR(INDEX($AM$11:$AM$4010,MATCH(307,$AZ$11:$AZ$4010,0)),"")</f>
        <v/>
      </c>
      <c r="AF317" s="11" t="str">
        <f>IF(AE317="","",IFERROR(INDEX($AN$11:$AN$4010,MATCH(307,$AZ$11:$AZ$4010,0)),""))</f>
        <v/>
      </c>
      <c r="AG317" s="11" t="str">
        <f>IF(AE317="","",IFERROR(INDEX($AO$11:$AO$4010,MATCH(307,$AZ$11:$AZ$4010,0)),""))</f>
        <v/>
      </c>
      <c r="AH317" s="10" t="str">
        <f>IF(AE317="","",IFERROR(INDEX($AQ$11:$AQ$4010,MATCH(307,$AZ$11:$AZ$4010,0)),""))</f>
        <v/>
      </c>
      <c r="AI317" s="15" t="str">
        <f>IF(AE317="","",IFERROR(INDEX($AR$11:$AR$4010,MATCH(307,$AZ$11:$AZ$4010,0)),""))</f>
        <v/>
      </c>
      <c r="AJ317" s="15" t="str">
        <f>IF(AE317="","",IFERROR(INDEX($AT$11:$AT$4010,MATCH(307,$AZ$11:$AZ$4010,0)),""))</f>
        <v/>
      </c>
      <c r="AL317" s="17" t="str">
        <f t="shared" si="63"/>
        <v/>
      </c>
      <c r="AM317" s="12" t="str">
        <f t="shared" si="64"/>
        <v/>
      </c>
      <c r="AN317" s="18" t="str">
        <f t="shared" si="65"/>
        <v/>
      </c>
      <c r="AO317" s="18" t="str">
        <f t="shared" si="66"/>
        <v/>
      </c>
      <c r="AP317" s="10" t="str">
        <f t="shared" si="67"/>
        <v/>
      </c>
      <c r="AQ317" s="10" t="str">
        <f t="shared" si="68"/>
        <v/>
      </c>
      <c r="AR317" s="19" t="str">
        <f t="shared" si="69"/>
        <v/>
      </c>
      <c r="AS317" s="20"/>
      <c r="AT317" s="19"/>
      <c r="AV317" s="21">
        <f>IF(AND($AL317&lt;&gt;"",COUNTIF($AL$11:$AL317,$AL317)=1),1,0)</f>
        <v>0</v>
      </c>
      <c r="AW317" s="21">
        <f t="shared" si="71"/>
        <v>0</v>
      </c>
      <c r="AX317" s="21" t="str">
        <f t="shared" si="70"/>
        <v/>
      </c>
      <c r="AY317" s="21" t="str">
        <f>IF(AND($AM317&lt;&gt;"",$AS317&lt;&gt;"✓"),SUMPRODUCT(($AM$11:$AM317&lt;&gt;"")*($AS$11:$AS317&lt;&gt;"✓")),"")</f>
        <v/>
      </c>
      <c r="AZ317" s="21" t="str">
        <f>IF(AND($AM317&lt;&gt;"",$AS317="✓"),SUMPRODUCT(($AM$11:$AM317&lt;&gt;"")*($AS$11:$AS317="✓")),"")</f>
        <v/>
      </c>
      <c r="BA317" s="21" t="str">
        <f>IF($AL317="","",$AL317&amp;"|"&amp;COUNTIF($AL$11:$AL317,$AL317))</f>
        <v/>
      </c>
    </row>
    <row r="318" spans="2:53" ht="15" customHeight="1" x14ac:dyDescent="0.25">
      <c r="B318" s="5" t="str">
        <f t="shared" si="59"/>
        <v/>
      </c>
      <c r="C318" s="5"/>
      <c r="D318" s="5"/>
      <c r="E318" s="5"/>
      <c r="F318" s="6"/>
      <c r="G318" s="6"/>
      <c r="H318" s="7"/>
      <c r="I318" s="8"/>
      <c r="W318" s="28" t="str">
        <f>IF(X318="","",IFERROR(INDEX($AL$11:$AL$4010,MATCH(308,$AY$11:$AY$4010,0)),""))</f>
        <v/>
      </c>
      <c r="X318" s="26" t="str">
        <f>IFERROR(INDEX($AM$11:$AM$4010,MATCH(308,$AY$11:$AY$4010,0)),"")</f>
        <v/>
      </c>
      <c r="Y318" s="25" t="str">
        <f>IF(X318="","",IFERROR(INDEX($AN$11:$AN$4010,MATCH(308,$AY$11:$AY$4010,0)),""))</f>
        <v/>
      </c>
      <c r="Z318" s="25" t="str">
        <f>IF(X318="","",IFERROR(INDEX($AO$11:$AO$4010,MATCH(308,$AY$11:$AY$4010,0)),""))</f>
        <v/>
      </c>
      <c r="AA318" s="24" t="str">
        <f>IF(X318="","",IFERROR(INDEX($AQ$11:$AQ$4010,MATCH(308,$AY$11:$AY$4010,0)),""))</f>
        <v/>
      </c>
      <c r="AB318" s="29" t="str">
        <f>IF(X318="","",IFERROR(INDEX($AR$11:$AR$4010,MATCH(308,$AY$11:$AY$4010,0)),""))</f>
        <v/>
      </c>
      <c r="AD318" s="30" t="str">
        <f>IF(AE318="","",IFERROR(INDEX($AL$11:$AL$4010,MATCH(308,$AZ$11:$AZ$4010,0)),""))</f>
        <v/>
      </c>
      <c r="AE318" s="26" t="str">
        <f>IFERROR(INDEX($AM$11:$AM$4010,MATCH(308,$AZ$11:$AZ$4010,0)),"")</f>
        <v/>
      </c>
      <c r="AF318" s="25" t="str">
        <f>IF(AE318="","",IFERROR(INDEX($AN$11:$AN$4010,MATCH(308,$AZ$11:$AZ$4010,0)),""))</f>
        <v/>
      </c>
      <c r="AG318" s="25" t="str">
        <f>IF(AE318="","",IFERROR(INDEX($AO$11:$AO$4010,MATCH(308,$AZ$11:$AZ$4010,0)),""))</f>
        <v/>
      </c>
      <c r="AH318" s="24" t="str">
        <f>IF(AE318="","",IFERROR(INDEX($AQ$11:$AQ$4010,MATCH(308,$AZ$11:$AZ$4010,0)),""))</f>
        <v/>
      </c>
      <c r="AI318" s="29" t="str">
        <f>IF(AE318="","",IFERROR(INDEX($AR$11:$AR$4010,MATCH(308,$AZ$11:$AZ$4010,0)),""))</f>
        <v/>
      </c>
      <c r="AJ318" s="29" t="str">
        <f>IF(AE318="","",IFERROR(INDEX($AT$11:$AT$4010,MATCH(308,$AZ$11:$AZ$4010,0)),""))</f>
        <v/>
      </c>
      <c r="AL318" s="31" t="str">
        <f t="shared" si="63"/>
        <v/>
      </c>
      <c r="AM318" s="26" t="str">
        <f t="shared" si="64"/>
        <v/>
      </c>
      <c r="AN318" s="32" t="str">
        <f t="shared" si="65"/>
        <v/>
      </c>
      <c r="AO318" s="32" t="str">
        <f t="shared" si="66"/>
        <v/>
      </c>
      <c r="AP318" s="24" t="str">
        <f t="shared" si="67"/>
        <v/>
      </c>
      <c r="AQ318" s="24" t="str">
        <f t="shared" si="68"/>
        <v/>
      </c>
      <c r="AR318" s="33" t="str">
        <f t="shared" si="69"/>
        <v/>
      </c>
      <c r="AS318" s="34"/>
      <c r="AT318" s="33"/>
      <c r="AV318" s="21">
        <f>IF(AND($AL318&lt;&gt;"",COUNTIF($AL$11:$AL318,$AL318)=1),1,0)</f>
        <v>0</v>
      </c>
      <c r="AW318" s="21">
        <f t="shared" si="71"/>
        <v>0</v>
      </c>
      <c r="AX318" s="21" t="str">
        <f t="shared" si="70"/>
        <v/>
      </c>
      <c r="AY318" s="21" t="str">
        <f>IF(AND($AM318&lt;&gt;"",$AS318&lt;&gt;"✓"),SUMPRODUCT(($AM$11:$AM318&lt;&gt;"")*($AS$11:$AS318&lt;&gt;"✓")),"")</f>
        <v/>
      </c>
      <c r="AZ318" s="21" t="str">
        <f>IF(AND($AM318&lt;&gt;"",$AS318="✓"),SUMPRODUCT(($AM$11:$AM318&lt;&gt;"")*($AS$11:$AS318="✓")),"")</f>
        <v/>
      </c>
      <c r="BA318" s="21" t="str">
        <f>IF($AL318="","",$AL318&amp;"|"&amp;COUNTIF($AL$11:$AL318,$AL318))</f>
        <v/>
      </c>
    </row>
    <row r="319" spans="2:53" ht="15" customHeight="1" x14ac:dyDescent="0.25">
      <c r="B319" s="5" t="str">
        <f t="shared" si="59"/>
        <v/>
      </c>
      <c r="C319" s="5"/>
      <c r="D319" s="5"/>
      <c r="E319" s="5"/>
      <c r="F319" s="6"/>
      <c r="G319" s="6"/>
      <c r="H319" s="7"/>
      <c r="I319" s="8"/>
      <c r="W319" s="14" t="str">
        <f>IF(X319="","",IFERROR(INDEX($AL$11:$AL$4010,MATCH(309,$AY$11:$AY$4010,0)),""))</f>
        <v/>
      </c>
      <c r="X319" s="12" t="str">
        <f>IFERROR(INDEX($AM$11:$AM$4010,MATCH(309,$AY$11:$AY$4010,0)),"")</f>
        <v/>
      </c>
      <c r="Y319" s="11" t="str">
        <f>IF(X319="","",IFERROR(INDEX($AN$11:$AN$4010,MATCH(309,$AY$11:$AY$4010,0)),""))</f>
        <v/>
      </c>
      <c r="Z319" s="11" t="str">
        <f>IF(X319="","",IFERROR(INDEX($AO$11:$AO$4010,MATCH(309,$AY$11:$AY$4010,0)),""))</f>
        <v/>
      </c>
      <c r="AA319" s="10" t="str">
        <f>IF(X319="","",IFERROR(INDEX($AQ$11:$AQ$4010,MATCH(309,$AY$11:$AY$4010,0)),""))</f>
        <v/>
      </c>
      <c r="AB319" s="15" t="str">
        <f>IF(X319="","",IFERROR(INDEX($AR$11:$AR$4010,MATCH(309,$AY$11:$AY$4010,0)),""))</f>
        <v/>
      </c>
      <c r="AD319" s="16" t="str">
        <f>IF(AE319="","",IFERROR(INDEX($AL$11:$AL$4010,MATCH(309,$AZ$11:$AZ$4010,0)),""))</f>
        <v/>
      </c>
      <c r="AE319" s="12" t="str">
        <f>IFERROR(INDEX($AM$11:$AM$4010,MATCH(309,$AZ$11:$AZ$4010,0)),"")</f>
        <v/>
      </c>
      <c r="AF319" s="11" t="str">
        <f>IF(AE319="","",IFERROR(INDEX($AN$11:$AN$4010,MATCH(309,$AZ$11:$AZ$4010,0)),""))</f>
        <v/>
      </c>
      <c r="AG319" s="11" t="str">
        <f>IF(AE319="","",IFERROR(INDEX($AO$11:$AO$4010,MATCH(309,$AZ$11:$AZ$4010,0)),""))</f>
        <v/>
      </c>
      <c r="AH319" s="10" t="str">
        <f>IF(AE319="","",IFERROR(INDEX($AQ$11:$AQ$4010,MATCH(309,$AZ$11:$AZ$4010,0)),""))</f>
        <v/>
      </c>
      <c r="AI319" s="15" t="str">
        <f>IF(AE319="","",IFERROR(INDEX($AR$11:$AR$4010,MATCH(309,$AZ$11:$AZ$4010,0)),""))</f>
        <v/>
      </c>
      <c r="AJ319" s="15" t="str">
        <f>IF(AE319="","",IFERROR(INDEX($AT$11:$AT$4010,MATCH(309,$AZ$11:$AZ$4010,0)),""))</f>
        <v/>
      </c>
      <c r="AL319" s="17" t="str">
        <f t="shared" si="63"/>
        <v/>
      </c>
      <c r="AM319" s="12" t="str">
        <f t="shared" si="64"/>
        <v/>
      </c>
      <c r="AN319" s="18" t="str">
        <f t="shared" si="65"/>
        <v/>
      </c>
      <c r="AO319" s="18" t="str">
        <f t="shared" si="66"/>
        <v/>
      </c>
      <c r="AP319" s="10" t="str">
        <f t="shared" si="67"/>
        <v/>
      </c>
      <c r="AQ319" s="10" t="str">
        <f t="shared" si="68"/>
        <v/>
      </c>
      <c r="AR319" s="19" t="str">
        <f t="shared" si="69"/>
        <v/>
      </c>
      <c r="AS319" s="20"/>
      <c r="AT319" s="19"/>
      <c r="AV319" s="21">
        <f>IF(AND($AL319&lt;&gt;"",COUNTIF($AL$11:$AL319,$AL319)=1),1,0)</f>
        <v>0</v>
      </c>
      <c r="AW319" s="21">
        <f t="shared" si="71"/>
        <v>0</v>
      </c>
      <c r="AX319" s="21" t="str">
        <f t="shared" si="70"/>
        <v/>
      </c>
      <c r="AY319" s="21" t="str">
        <f>IF(AND($AM319&lt;&gt;"",$AS319&lt;&gt;"✓"),SUMPRODUCT(($AM$11:$AM319&lt;&gt;"")*($AS$11:$AS319&lt;&gt;"✓")),"")</f>
        <v/>
      </c>
      <c r="AZ319" s="21" t="str">
        <f>IF(AND($AM319&lt;&gt;"",$AS319="✓"),SUMPRODUCT(($AM$11:$AM319&lt;&gt;"")*($AS$11:$AS319="✓")),"")</f>
        <v/>
      </c>
      <c r="BA319" s="21" t="str">
        <f>IF($AL319="","",$AL319&amp;"|"&amp;COUNTIF($AL$11:$AL319,$AL319))</f>
        <v/>
      </c>
    </row>
    <row r="320" spans="2:53" ht="15" customHeight="1" x14ac:dyDescent="0.25">
      <c r="B320" s="5" t="str">
        <f t="shared" si="59"/>
        <v/>
      </c>
      <c r="C320" s="5"/>
      <c r="D320" s="5"/>
      <c r="E320" s="5"/>
      <c r="F320" s="6"/>
      <c r="G320" s="6"/>
      <c r="H320" s="7"/>
      <c r="I320" s="8"/>
      <c r="W320" s="28" t="str">
        <f>IF(X320="","",IFERROR(INDEX($AL$11:$AL$4010,MATCH(310,$AY$11:$AY$4010,0)),""))</f>
        <v/>
      </c>
      <c r="X320" s="26" t="str">
        <f>IFERROR(INDEX($AM$11:$AM$4010,MATCH(310,$AY$11:$AY$4010,0)),"")</f>
        <v/>
      </c>
      <c r="Y320" s="25" t="str">
        <f>IF(X320="","",IFERROR(INDEX($AN$11:$AN$4010,MATCH(310,$AY$11:$AY$4010,0)),""))</f>
        <v/>
      </c>
      <c r="Z320" s="25" t="str">
        <f>IF(X320="","",IFERROR(INDEX($AO$11:$AO$4010,MATCH(310,$AY$11:$AY$4010,0)),""))</f>
        <v/>
      </c>
      <c r="AA320" s="24" t="str">
        <f>IF(X320="","",IFERROR(INDEX($AQ$11:$AQ$4010,MATCH(310,$AY$11:$AY$4010,0)),""))</f>
        <v/>
      </c>
      <c r="AB320" s="29" t="str">
        <f>IF(X320="","",IFERROR(INDEX($AR$11:$AR$4010,MATCH(310,$AY$11:$AY$4010,0)),""))</f>
        <v/>
      </c>
      <c r="AD320" s="30" t="str">
        <f>IF(AE320="","",IFERROR(INDEX($AL$11:$AL$4010,MATCH(310,$AZ$11:$AZ$4010,0)),""))</f>
        <v/>
      </c>
      <c r="AE320" s="26" t="str">
        <f>IFERROR(INDEX($AM$11:$AM$4010,MATCH(310,$AZ$11:$AZ$4010,0)),"")</f>
        <v/>
      </c>
      <c r="AF320" s="25" t="str">
        <f>IF(AE320="","",IFERROR(INDEX($AN$11:$AN$4010,MATCH(310,$AZ$11:$AZ$4010,0)),""))</f>
        <v/>
      </c>
      <c r="AG320" s="25" t="str">
        <f>IF(AE320="","",IFERROR(INDEX($AO$11:$AO$4010,MATCH(310,$AZ$11:$AZ$4010,0)),""))</f>
        <v/>
      </c>
      <c r="AH320" s="24" t="str">
        <f>IF(AE320="","",IFERROR(INDEX($AQ$11:$AQ$4010,MATCH(310,$AZ$11:$AZ$4010,0)),""))</f>
        <v/>
      </c>
      <c r="AI320" s="29" t="str">
        <f>IF(AE320="","",IFERROR(INDEX($AR$11:$AR$4010,MATCH(310,$AZ$11:$AZ$4010,0)),""))</f>
        <v/>
      </c>
      <c r="AJ320" s="29" t="str">
        <f>IF(AE320="","",IFERROR(INDEX($AT$11:$AT$4010,MATCH(310,$AZ$11:$AZ$4010,0)),""))</f>
        <v/>
      </c>
      <c r="AL320" s="31" t="str">
        <f t="shared" si="63"/>
        <v/>
      </c>
      <c r="AM320" s="26" t="str">
        <f t="shared" si="64"/>
        <v/>
      </c>
      <c r="AN320" s="32" t="str">
        <f t="shared" si="65"/>
        <v/>
      </c>
      <c r="AO320" s="32" t="str">
        <f t="shared" si="66"/>
        <v/>
      </c>
      <c r="AP320" s="24" t="str">
        <f t="shared" si="67"/>
        <v/>
      </c>
      <c r="AQ320" s="24" t="str">
        <f t="shared" si="68"/>
        <v/>
      </c>
      <c r="AR320" s="33" t="str">
        <f t="shared" si="69"/>
        <v/>
      </c>
      <c r="AS320" s="34"/>
      <c r="AT320" s="33"/>
      <c r="AV320" s="21">
        <f>IF(AND($AL320&lt;&gt;"",COUNTIF($AL$11:$AL320,$AL320)=1),1,0)</f>
        <v>0</v>
      </c>
      <c r="AW320" s="21">
        <f t="shared" si="71"/>
        <v>0</v>
      </c>
      <c r="AX320" s="21" t="str">
        <f t="shared" si="70"/>
        <v/>
      </c>
      <c r="AY320" s="21" t="str">
        <f>IF(AND($AM320&lt;&gt;"",$AS320&lt;&gt;"✓"),SUMPRODUCT(($AM$11:$AM320&lt;&gt;"")*($AS$11:$AS320&lt;&gt;"✓")),"")</f>
        <v/>
      </c>
      <c r="AZ320" s="21" t="str">
        <f>IF(AND($AM320&lt;&gt;"",$AS320="✓"),SUMPRODUCT(($AM$11:$AM320&lt;&gt;"")*($AS$11:$AS320="✓")),"")</f>
        <v/>
      </c>
      <c r="BA320" s="21" t="str">
        <f>IF($AL320="","",$AL320&amp;"|"&amp;COUNTIF($AL$11:$AL320,$AL320))</f>
        <v/>
      </c>
    </row>
    <row r="321" spans="2:53" ht="15" customHeight="1" x14ac:dyDescent="0.25">
      <c r="B321" s="5" t="str">
        <f t="shared" si="59"/>
        <v/>
      </c>
      <c r="C321" s="5"/>
      <c r="D321" s="5"/>
      <c r="E321" s="5"/>
      <c r="F321" s="6"/>
      <c r="G321" s="6"/>
      <c r="H321" s="7"/>
      <c r="I321" s="8"/>
      <c r="W321" s="14" t="str">
        <f>IF(X321="","",IFERROR(INDEX($AL$11:$AL$4010,MATCH(311,$AY$11:$AY$4010,0)),""))</f>
        <v/>
      </c>
      <c r="X321" s="12" t="str">
        <f>IFERROR(INDEX($AM$11:$AM$4010,MATCH(311,$AY$11:$AY$4010,0)),"")</f>
        <v/>
      </c>
      <c r="Y321" s="11" t="str">
        <f>IF(X321="","",IFERROR(INDEX($AN$11:$AN$4010,MATCH(311,$AY$11:$AY$4010,0)),""))</f>
        <v/>
      </c>
      <c r="Z321" s="11" t="str">
        <f>IF(X321="","",IFERROR(INDEX($AO$11:$AO$4010,MATCH(311,$AY$11:$AY$4010,0)),""))</f>
        <v/>
      </c>
      <c r="AA321" s="10" t="str">
        <f>IF(X321="","",IFERROR(INDEX($AQ$11:$AQ$4010,MATCH(311,$AY$11:$AY$4010,0)),""))</f>
        <v/>
      </c>
      <c r="AB321" s="15" t="str">
        <f>IF(X321="","",IFERROR(INDEX($AR$11:$AR$4010,MATCH(311,$AY$11:$AY$4010,0)),""))</f>
        <v/>
      </c>
      <c r="AD321" s="16" t="str">
        <f>IF(AE321="","",IFERROR(INDEX($AL$11:$AL$4010,MATCH(311,$AZ$11:$AZ$4010,0)),""))</f>
        <v/>
      </c>
      <c r="AE321" s="12" t="str">
        <f>IFERROR(INDEX($AM$11:$AM$4010,MATCH(311,$AZ$11:$AZ$4010,0)),"")</f>
        <v/>
      </c>
      <c r="AF321" s="11" t="str">
        <f>IF(AE321="","",IFERROR(INDEX($AN$11:$AN$4010,MATCH(311,$AZ$11:$AZ$4010,0)),""))</f>
        <v/>
      </c>
      <c r="AG321" s="11" t="str">
        <f>IF(AE321="","",IFERROR(INDEX($AO$11:$AO$4010,MATCH(311,$AZ$11:$AZ$4010,0)),""))</f>
        <v/>
      </c>
      <c r="AH321" s="10" t="str">
        <f>IF(AE321="","",IFERROR(INDEX($AQ$11:$AQ$4010,MATCH(311,$AZ$11:$AZ$4010,0)),""))</f>
        <v/>
      </c>
      <c r="AI321" s="15" t="str">
        <f>IF(AE321="","",IFERROR(INDEX($AR$11:$AR$4010,MATCH(311,$AZ$11:$AZ$4010,0)),""))</f>
        <v/>
      </c>
      <c r="AJ321" s="15" t="str">
        <f>IF(AE321="","",IFERROR(INDEX($AT$11:$AT$4010,MATCH(311,$AZ$11:$AZ$4010,0)),""))</f>
        <v/>
      </c>
      <c r="AL321" s="17" t="str">
        <f t="shared" si="63"/>
        <v/>
      </c>
      <c r="AM321" s="12" t="str">
        <f t="shared" si="64"/>
        <v/>
      </c>
      <c r="AN321" s="18" t="str">
        <f t="shared" si="65"/>
        <v/>
      </c>
      <c r="AO321" s="18" t="str">
        <f t="shared" si="66"/>
        <v/>
      </c>
      <c r="AP321" s="10" t="str">
        <f t="shared" si="67"/>
        <v/>
      </c>
      <c r="AQ321" s="10" t="str">
        <f t="shared" si="68"/>
        <v/>
      </c>
      <c r="AR321" s="19" t="str">
        <f t="shared" si="69"/>
        <v/>
      </c>
      <c r="AS321" s="20"/>
      <c r="AT321" s="19"/>
      <c r="AV321" s="21">
        <f>IF(AND($AL321&lt;&gt;"",COUNTIF($AL$11:$AL321,$AL321)=1),1,0)</f>
        <v>0</v>
      </c>
      <c r="AW321" s="21">
        <f t="shared" si="71"/>
        <v>0</v>
      </c>
      <c r="AX321" s="21" t="str">
        <f t="shared" si="70"/>
        <v/>
      </c>
      <c r="AY321" s="21" t="str">
        <f>IF(AND($AM321&lt;&gt;"",$AS321&lt;&gt;"✓"),SUMPRODUCT(($AM$11:$AM321&lt;&gt;"")*($AS$11:$AS321&lt;&gt;"✓")),"")</f>
        <v/>
      </c>
      <c r="AZ321" s="21" t="str">
        <f>IF(AND($AM321&lt;&gt;"",$AS321="✓"),SUMPRODUCT(($AM$11:$AM321&lt;&gt;"")*($AS$11:$AS321="✓")),"")</f>
        <v/>
      </c>
      <c r="BA321" s="21" t="str">
        <f>IF($AL321="","",$AL321&amp;"|"&amp;COUNTIF($AL$11:$AL321,$AL321))</f>
        <v/>
      </c>
    </row>
    <row r="322" spans="2:53" ht="15" customHeight="1" x14ac:dyDescent="0.25">
      <c r="B322" s="5" t="str">
        <f t="shared" si="59"/>
        <v/>
      </c>
      <c r="C322" s="5"/>
      <c r="D322" s="5"/>
      <c r="E322" s="5"/>
      <c r="F322" s="6"/>
      <c r="G322" s="6"/>
      <c r="H322" s="7"/>
      <c r="I322" s="8"/>
      <c r="W322" s="28" t="str">
        <f>IF(X322="","",IFERROR(INDEX($AL$11:$AL$4010,MATCH(312,$AY$11:$AY$4010,0)),""))</f>
        <v/>
      </c>
      <c r="X322" s="26" t="str">
        <f>IFERROR(INDEX($AM$11:$AM$4010,MATCH(312,$AY$11:$AY$4010,0)),"")</f>
        <v/>
      </c>
      <c r="Y322" s="25" t="str">
        <f>IF(X322="","",IFERROR(INDEX($AN$11:$AN$4010,MATCH(312,$AY$11:$AY$4010,0)),""))</f>
        <v/>
      </c>
      <c r="Z322" s="25" t="str">
        <f>IF(X322="","",IFERROR(INDEX($AO$11:$AO$4010,MATCH(312,$AY$11:$AY$4010,0)),""))</f>
        <v/>
      </c>
      <c r="AA322" s="24" t="str">
        <f>IF(X322="","",IFERROR(INDEX($AQ$11:$AQ$4010,MATCH(312,$AY$11:$AY$4010,0)),""))</f>
        <v/>
      </c>
      <c r="AB322" s="29" t="str">
        <f>IF(X322="","",IFERROR(INDEX($AR$11:$AR$4010,MATCH(312,$AY$11:$AY$4010,0)),""))</f>
        <v/>
      </c>
      <c r="AD322" s="30" t="str">
        <f>IF(AE322="","",IFERROR(INDEX($AL$11:$AL$4010,MATCH(312,$AZ$11:$AZ$4010,0)),""))</f>
        <v/>
      </c>
      <c r="AE322" s="26" t="str">
        <f>IFERROR(INDEX($AM$11:$AM$4010,MATCH(312,$AZ$11:$AZ$4010,0)),"")</f>
        <v/>
      </c>
      <c r="AF322" s="25" t="str">
        <f>IF(AE322="","",IFERROR(INDEX($AN$11:$AN$4010,MATCH(312,$AZ$11:$AZ$4010,0)),""))</f>
        <v/>
      </c>
      <c r="AG322" s="25" t="str">
        <f>IF(AE322="","",IFERROR(INDEX($AO$11:$AO$4010,MATCH(312,$AZ$11:$AZ$4010,0)),""))</f>
        <v/>
      </c>
      <c r="AH322" s="24" t="str">
        <f>IF(AE322="","",IFERROR(INDEX($AQ$11:$AQ$4010,MATCH(312,$AZ$11:$AZ$4010,0)),""))</f>
        <v/>
      </c>
      <c r="AI322" s="29" t="str">
        <f>IF(AE322="","",IFERROR(INDEX($AR$11:$AR$4010,MATCH(312,$AZ$11:$AZ$4010,0)),""))</f>
        <v/>
      </c>
      <c r="AJ322" s="29" t="str">
        <f>IF(AE322="","",IFERROR(INDEX($AT$11:$AT$4010,MATCH(312,$AZ$11:$AZ$4010,0)),""))</f>
        <v/>
      </c>
      <c r="AL322" s="31" t="str">
        <f t="shared" si="63"/>
        <v/>
      </c>
      <c r="AM322" s="26" t="str">
        <f t="shared" si="64"/>
        <v/>
      </c>
      <c r="AN322" s="32" t="str">
        <f t="shared" si="65"/>
        <v/>
      </c>
      <c r="AO322" s="32" t="str">
        <f t="shared" si="66"/>
        <v/>
      </c>
      <c r="AP322" s="24" t="str">
        <f t="shared" si="67"/>
        <v/>
      </c>
      <c r="AQ322" s="24" t="str">
        <f t="shared" si="68"/>
        <v/>
      </c>
      <c r="AR322" s="33" t="str">
        <f t="shared" si="69"/>
        <v/>
      </c>
      <c r="AS322" s="34"/>
      <c r="AT322" s="33"/>
      <c r="AV322" s="21">
        <f>IF(AND($AL322&lt;&gt;"",COUNTIF($AL$11:$AL322,$AL322)=1),1,0)</f>
        <v>0</v>
      </c>
      <c r="AW322" s="21">
        <f t="shared" si="71"/>
        <v>0</v>
      </c>
      <c r="AX322" s="21" t="str">
        <f t="shared" si="70"/>
        <v/>
      </c>
      <c r="AY322" s="21" t="str">
        <f>IF(AND($AM322&lt;&gt;"",$AS322&lt;&gt;"✓"),SUMPRODUCT(($AM$11:$AM322&lt;&gt;"")*($AS$11:$AS322&lt;&gt;"✓")),"")</f>
        <v/>
      </c>
      <c r="AZ322" s="21" t="str">
        <f>IF(AND($AM322&lt;&gt;"",$AS322="✓"),SUMPRODUCT(($AM$11:$AM322&lt;&gt;"")*($AS$11:$AS322="✓")),"")</f>
        <v/>
      </c>
      <c r="BA322" s="21" t="str">
        <f>IF($AL322="","",$AL322&amp;"|"&amp;COUNTIF($AL$11:$AL322,$AL322))</f>
        <v/>
      </c>
    </row>
    <row r="323" spans="2:53" ht="15" customHeight="1" x14ac:dyDescent="0.25">
      <c r="B323" s="5" t="str">
        <f t="shared" si="59"/>
        <v/>
      </c>
      <c r="C323" s="5"/>
      <c r="D323" s="5"/>
      <c r="E323" s="5"/>
      <c r="F323" s="6"/>
      <c r="G323" s="6"/>
      <c r="H323" s="7"/>
      <c r="I323" s="8"/>
      <c r="W323" s="14" t="str">
        <f>IF(X323="","",IFERROR(INDEX($AL$11:$AL$4010,MATCH(313,$AY$11:$AY$4010,0)),""))</f>
        <v/>
      </c>
      <c r="X323" s="12" t="str">
        <f>IFERROR(INDEX($AM$11:$AM$4010,MATCH(313,$AY$11:$AY$4010,0)),"")</f>
        <v/>
      </c>
      <c r="Y323" s="11" t="str">
        <f>IF(X323="","",IFERROR(INDEX($AN$11:$AN$4010,MATCH(313,$AY$11:$AY$4010,0)),""))</f>
        <v/>
      </c>
      <c r="Z323" s="11" t="str">
        <f>IF(X323="","",IFERROR(INDEX($AO$11:$AO$4010,MATCH(313,$AY$11:$AY$4010,0)),""))</f>
        <v/>
      </c>
      <c r="AA323" s="10" t="str">
        <f>IF(X323="","",IFERROR(INDEX($AQ$11:$AQ$4010,MATCH(313,$AY$11:$AY$4010,0)),""))</f>
        <v/>
      </c>
      <c r="AB323" s="15" t="str">
        <f>IF(X323="","",IFERROR(INDEX($AR$11:$AR$4010,MATCH(313,$AY$11:$AY$4010,0)),""))</f>
        <v/>
      </c>
      <c r="AD323" s="16" t="str">
        <f>IF(AE323="","",IFERROR(INDEX($AL$11:$AL$4010,MATCH(313,$AZ$11:$AZ$4010,0)),""))</f>
        <v/>
      </c>
      <c r="AE323" s="12" t="str">
        <f>IFERROR(INDEX($AM$11:$AM$4010,MATCH(313,$AZ$11:$AZ$4010,0)),"")</f>
        <v/>
      </c>
      <c r="AF323" s="11" t="str">
        <f>IF(AE323="","",IFERROR(INDEX($AN$11:$AN$4010,MATCH(313,$AZ$11:$AZ$4010,0)),""))</f>
        <v/>
      </c>
      <c r="AG323" s="11" t="str">
        <f>IF(AE323="","",IFERROR(INDEX($AO$11:$AO$4010,MATCH(313,$AZ$11:$AZ$4010,0)),""))</f>
        <v/>
      </c>
      <c r="AH323" s="10" t="str">
        <f>IF(AE323="","",IFERROR(INDEX($AQ$11:$AQ$4010,MATCH(313,$AZ$11:$AZ$4010,0)),""))</f>
        <v/>
      </c>
      <c r="AI323" s="15" t="str">
        <f>IF(AE323="","",IFERROR(INDEX($AR$11:$AR$4010,MATCH(313,$AZ$11:$AZ$4010,0)),""))</f>
        <v/>
      </c>
      <c r="AJ323" s="15" t="str">
        <f>IF(AE323="","",IFERROR(INDEX($AT$11:$AT$4010,MATCH(313,$AZ$11:$AZ$4010,0)),""))</f>
        <v/>
      </c>
      <c r="AL323" s="17" t="str">
        <f t="shared" si="63"/>
        <v/>
      </c>
      <c r="AM323" s="12" t="str">
        <f t="shared" si="64"/>
        <v/>
      </c>
      <c r="AN323" s="18" t="str">
        <f t="shared" si="65"/>
        <v/>
      </c>
      <c r="AO323" s="18" t="str">
        <f t="shared" si="66"/>
        <v/>
      </c>
      <c r="AP323" s="10" t="str">
        <f t="shared" si="67"/>
        <v/>
      </c>
      <c r="AQ323" s="10" t="str">
        <f t="shared" si="68"/>
        <v/>
      </c>
      <c r="AR323" s="19" t="str">
        <f t="shared" si="69"/>
        <v/>
      </c>
      <c r="AS323" s="20"/>
      <c r="AT323" s="19"/>
      <c r="AV323" s="21">
        <f>IF(AND($AL323&lt;&gt;"",COUNTIF($AL$11:$AL323,$AL323)=1),1,0)</f>
        <v>0</v>
      </c>
      <c r="AW323" s="21">
        <f t="shared" si="71"/>
        <v>0</v>
      </c>
      <c r="AX323" s="21" t="str">
        <f t="shared" si="70"/>
        <v/>
      </c>
      <c r="AY323" s="21" t="str">
        <f>IF(AND($AM323&lt;&gt;"",$AS323&lt;&gt;"✓"),SUMPRODUCT(($AM$11:$AM323&lt;&gt;"")*($AS$11:$AS323&lt;&gt;"✓")),"")</f>
        <v/>
      </c>
      <c r="AZ323" s="21" t="str">
        <f>IF(AND($AM323&lt;&gt;"",$AS323="✓"),SUMPRODUCT(($AM$11:$AM323&lt;&gt;"")*($AS$11:$AS323="✓")),"")</f>
        <v/>
      </c>
      <c r="BA323" s="21" t="str">
        <f>IF($AL323="","",$AL323&amp;"|"&amp;COUNTIF($AL$11:$AL323,$AL323))</f>
        <v/>
      </c>
    </row>
    <row r="324" spans="2:53" ht="15" customHeight="1" x14ac:dyDescent="0.25">
      <c r="B324" s="5" t="str">
        <f t="shared" si="59"/>
        <v/>
      </c>
      <c r="C324" s="5"/>
      <c r="D324" s="5"/>
      <c r="E324" s="5"/>
      <c r="F324" s="6"/>
      <c r="G324" s="6"/>
      <c r="H324" s="7"/>
      <c r="I324" s="8"/>
      <c r="W324" s="28" t="str">
        <f>IF(X324="","",IFERROR(INDEX($AL$11:$AL$4010,MATCH(314,$AY$11:$AY$4010,0)),""))</f>
        <v/>
      </c>
      <c r="X324" s="26" t="str">
        <f>IFERROR(INDEX($AM$11:$AM$4010,MATCH(314,$AY$11:$AY$4010,0)),"")</f>
        <v/>
      </c>
      <c r="Y324" s="25" t="str">
        <f>IF(X324="","",IFERROR(INDEX($AN$11:$AN$4010,MATCH(314,$AY$11:$AY$4010,0)),""))</f>
        <v/>
      </c>
      <c r="Z324" s="25" t="str">
        <f>IF(X324="","",IFERROR(INDEX($AO$11:$AO$4010,MATCH(314,$AY$11:$AY$4010,0)),""))</f>
        <v/>
      </c>
      <c r="AA324" s="24" t="str">
        <f>IF(X324="","",IFERROR(INDEX($AQ$11:$AQ$4010,MATCH(314,$AY$11:$AY$4010,0)),""))</f>
        <v/>
      </c>
      <c r="AB324" s="29" t="str">
        <f>IF(X324="","",IFERROR(INDEX($AR$11:$AR$4010,MATCH(314,$AY$11:$AY$4010,0)),""))</f>
        <v/>
      </c>
      <c r="AD324" s="30" t="str">
        <f>IF(AE324="","",IFERROR(INDEX($AL$11:$AL$4010,MATCH(314,$AZ$11:$AZ$4010,0)),""))</f>
        <v/>
      </c>
      <c r="AE324" s="26" t="str">
        <f>IFERROR(INDEX($AM$11:$AM$4010,MATCH(314,$AZ$11:$AZ$4010,0)),"")</f>
        <v/>
      </c>
      <c r="AF324" s="25" t="str">
        <f>IF(AE324="","",IFERROR(INDEX($AN$11:$AN$4010,MATCH(314,$AZ$11:$AZ$4010,0)),""))</f>
        <v/>
      </c>
      <c r="AG324" s="25" t="str">
        <f>IF(AE324="","",IFERROR(INDEX($AO$11:$AO$4010,MATCH(314,$AZ$11:$AZ$4010,0)),""))</f>
        <v/>
      </c>
      <c r="AH324" s="24" t="str">
        <f>IF(AE324="","",IFERROR(INDEX($AQ$11:$AQ$4010,MATCH(314,$AZ$11:$AZ$4010,0)),""))</f>
        <v/>
      </c>
      <c r="AI324" s="29" t="str">
        <f>IF(AE324="","",IFERROR(INDEX($AR$11:$AR$4010,MATCH(314,$AZ$11:$AZ$4010,0)),""))</f>
        <v/>
      </c>
      <c r="AJ324" s="29" t="str">
        <f>IF(AE324="","",IFERROR(INDEX($AT$11:$AT$4010,MATCH(314,$AZ$11:$AZ$4010,0)),""))</f>
        <v/>
      </c>
      <c r="AL324" s="31" t="str">
        <f t="shared" si="63"/>
        <v/>
      </c>
      <c r="AM324" s="26" t="str">
        <f t="shared" si="64"/>
        <v/>
      </c>
      <c r="AN324" s="32" t="str">
        <f t="shared" si="65"/>
        <v/>
      </c>
      <c r="AO324" s="32" t="str">
        <f t="shared" si="66"/>
        <v/>
      </c>
      <c r="AP324" s="24" t="str">
        <f t="shared" si="67"/>
        <v/>
      </c>
      <c r="AQ324" s="24" t="str">
        <f t="shared" si="68"/>
        <v/>
      </c>
      <c r="AR324" s="33" t="str">
        <f t="shared" si="69"/>
        <v/>
      </c>
      <c r="AS324" s="34"/>
      <c r="AT324" s="33"/>
      <c r="AV324" s="21">
        <f>IF(AND($AL324&lt;&gt;"",COUNTIF($AL$11:$AL324,$AL324)=1),1,0)</f>
        <v>0</v>
      </c>
      <c r="AW324" s="21">
        <f t="shared" si="71"/>
        <v>0</v>
      </c>
      <c r="AX324" s="21" t="str">
        <f t="shared" si="70"/>
        <v/>
      </c>
      <c r="AY324" s="21" t="str">
        <f>IF(AND($AM324&lt;&gt;"",$AS324&lt;&gt;"✓"),SUMPRODUCT(($AM$11:$AM324&lt;&gt;"")*($AS$11:$AS324&lt;&gt;"✓")),"")</f>
        <v/>
      </c>
      <c r="AZ324" s="21" t="str">
        <f>IF(AND($AM324&lt;&gt;"",$AS324="✓"),SUMPRODUCT(($AM$11:$AM324&lt;&gt;"")*($AS$11:$AS324="✓")),"")</f>
        <v/>
      </c>
      <c r="BA324" s="21" t="str">
        <f>IF($AL324="","",$AL324&amp;"|"&amp;COUNTIF($AL$11:$AL324,$AL324))</f>
        <v/>
      </c>
    </row>
    <row r="325" spans="2:53" ht="15" customHeight="1" x14ac:dyDescent="0.25">
      <c r="B325" s="5" t="str">
        <f t="shared" si="59"/>
        <v/>
      </c>
      <c r="C325" s="5"/>
      <c r="D325" s="5"/>
      <c r="E325" s="5"/>
      <c r="F325" s="6"/>
      <c r="G325" s="6"/>
      <c r="H325" s="7"/>
      <c r="I325" s="8"/>
      <c r="W325" s="14" t="str">
        <f>IF(X325="","",IFERROR(INDEX($AL$11:$AL$4010,MATCH(315,$AY$11:$AY$4010,0)),""))</f>
        <v/>
      </c>
      <c r="X325" s="12" t="str">
        <f>IFERROR(INDEX($AM$11:$AM$4010,MATCH(315,$AY$11:$AY$4010,0)),"")</f>
        <v/>
      </c>
      <c r="Y325" s="11" t="str">
        <f>IF(X325="","",IFERROR(INDEX($AN$11:$AN$4010,MATCH(315,$AY$11:$AY$4010,0)),""))</f>
        <v/>
      </c>
      <c r="Z325" s="11" t="str">
        <f>IF(X325="","",IFERROR(INDEX($AO$11:$AO$4010,MATCH(315,$AY$11:$AY$4010,0)),""))</f>
        <v/>
      </c>
      <c r="AA325" s="10" t="str">
        <f>IF(X325="","",IFERROR(INDEX($AQ$11:$AQ$4010,MATCH(315,$AY$11:$AY$4010,0)),""))</f>
        <v/>
      </c>
      <c r="AB325" s="15" t="str">
        <f>IF(X325="","",IFERROR(INDEX($AR$11:$AR$4010,MATCH(315,$AY$11:$AY$4010,0)),""))</f>
        <v/>
      </c>
      <c r="AD325" s="16" t="str">
        <f>IF(AE325="","",IFERROR(INDEX($AL$11:$AL$4010,MATCH(315,$AZ$11:$AZ$4010,0)),""))</f>
        <v/>
      </c>
      <c r="AE325" s="12" t="str">
        <f>IFERROR(INDEX($AM$11:$AM$4010,MATCH(315,$AZ$11:$AZ$4010,0)),"")</f>
        <v/>
      </c>
      <c r="AF325" s="11" t="str">
        <f>IF(AE325="","",IFERROR(INDEX($AN$11:$AN$4010,MATCH(315,$AZ$11:$AZ$4010,0)),""))</f>
        <v/>
      </c>
      <c r="AG325" s="11" t="str">
        <f>IF(AE325="","",IFERROR(INDEX($AO$11:$AO$4010,MATCH(315,$AZ$11:$AZ$4010,0)),""))</f>
        <v/>
      </c>
      <c r="AH325" s="10" t="str">
        <f>IF(AE325="","",IFERROR(INDEX($AQ$11:$AQ$4010,MATCH(315,$AZ$11:$AZ$4010,0)),""))</f>
        <v/>
      </c>
      <c r="AI325" s="15" t="str">
        <f>IF(AE325="","",IFERROR(INDEX($AR$11:$AR$4010,MATCH(315,$AZ$11:$AZ$4010,0)),""))</f>
        <v/>
      </c>
      <c r="AJ325" s="15" t="str">
        <f>IF(AE325="","",IFERROR(INDEX($AT$11:$AT$4010,MATCH(315,$AZ$11:$AZ$4010,0)),""))</f>
        <v/>
      </c>
      <c r="AL325" s="17" t="str">
        <f t="shared" si="63"/>
        <v/>
      </c>
      <c r="AM325" s="12" t="str">
        <f t="shared" si="64"/>
        <v/>
      </c>
      <c r="AN325" s="18" t="str">
        <f t="shared" si="65"/>
        <v/>
      </c>
      <c r="AO325" s="18" t="str">
        <f t="shared" si="66"/>
        <v/>
      </c>
      <c r="AP325" s="10" t="str">
        <f t="shared" si="67"/>
        <v/>
      </c>
      <c r="AQ325" s="10" t="str">
        <f t="shared" si="68"/>
        <v/>
      </c>
      <c r="AR325" s="19" t="str">
        <f t="shared" si="69"/>
        <v/>
      </c>
      <c r="AS325" s="20"/>
      <c r="AT325" s="19"/>
      <c r="AV325" s="21">
        <f>IF(AND($AL325&lt;&gt;"",COUNTIF($AL$11:$AL325,$AL325)=1),1,0)</f>
        <v>0</v>
      </c>
      <c r="AW325" s="21">
        <f t="shared" si="71"/>
        <v>0</v>
      </c>
      <c r="AX325" s="21" t="str">
        <f t="shared" si="70"/>
        <v/>
      </c>
      <c r="AY325" s="21" t="str">
        <f>IF(AND($AM325&lt;&gt;"",$AS325&lt;&gt;"✓"),SUMPRODUCT(($AM$11:$AM325&lt;&gt;"")*($AS$11:$AS325&lt;&gt;"✓")),"")</f>
        <v/>
      </c>
      <c r="AZ325" s="21" t="str">
        <f>IF(AND($AM325&lt;&gt;"",$AS325="✓"),SUMPRODUCT(($AM$11:$AM325&lt;&gt;"")*($AS$11:$AS325="✓")),"")</f>
        <v/>
      </c>
      <c r="BA325" s="21" t="str">
        <f>IF($AL325="","",$AL325&amp;"|"&amp;COUNTIF($AL$11:$AL325,$AL325))</f>
        <v/>
      </c>
    </row>
    <row r="326" spans="2:53" ht="15" customHeight="1" x14ac:dyDescent="0.25">
      <c r="B326" s="5" t="str">
        <f t="shared" si="59"/>
        <v/>
      </c>
      <c r="C326" s="5"/>
      <c r="D326" s="5"/>
      <c r="E326" s="5"/>
      <c r="F326" s="6"/>
      <c r="G326" s="6"/>
      <c r="H326" s="7"/>
      <c r="I326" s="8"/>
      <c r="W326" s="28" t="str">
        <f>IF(X326="","",IFERROR(INDEX($AL$11:$AL$4010,MATCH(316,$AY$11:$AY$4010,0)),""))</f>
        <v/>
      </c>
      <c r="X326" s="26" t="str">
        <f>IFERROR(INDEX($AM$11:$AM$4010,MATCH(316,$AY$11:$AY$4010,0)),"")</f>
        <v/>
      </c>
      <c r="Y326" s="25" t="str">
        <f>IF(X326="","",IFERROR(INDEX($AN$11:$AN$4010,MATCH(316,$AY$11:$AY$4010,0)),""))</f>
        <v/>
      </c>
      <c r="Z326" s="25" t="str">
        <f>IF(X326="","",IFERROR(INDEX($AO$11:$AO$4010,MATCH(316,$AY$11:$AY$4010,0)),""))</f>
        <v/>
      </c>
      <c r="AA326" s="24" t="str">
        <f>IF(X326="","",IFERROR(INDEX($AQ$11:$AQ$4010,MATCH(316,$AY$11:$AY$4010,0)),""))</f>
        <v/>
      </c>
      <c r="AB326" s="29" t="str">
        <f>IF(X326="","",IFERROR(INDEX($AR$11:$AR$4010,MATCH(316,$AY$11:$AY$4010,0)),""))</f>
        <v/>
      </c>
      <c r="AD326" s="30" t="str">
        <f>IF(AE326="","",IFERROR(INDEX($AL$11:$AL$4010,MATCH(316,$AZ$11:$AZ$4010,0)),""))</f>
        <v/>
      </c>
      <c r="AE326" s="26" t="str">
        <f>IFERROR(INDEX($AM$11:$AM$4010,MATCH(316,$AZ$11:$AZ$4010,0)),"")</f>
        <v/>
      </c>
      <c r="AF326" s="25" t="str">
        <f>IF(AE326="","",IFERROR(INDEX($AN$11:$AN$4010,MATCH(316,$AZ$11:$AZ$4010,0)),""))</f>
        <v/>
      </c>
      <c r="AG326" s="25" t="str">
        <f>IF(AE326="","",IFERROR(INDEX($AO$11:$AO$4010,MATCH(316,$AZ$11:$AZ$4010,0)),""))</f>
        <v/>
      </c>
      <c r="AH326" s="24" t="str">
        <f>IF(AE326="","",IFERROR(INDEX($AQ$11:$AQ$4010,MATCH(316,$AZ$11:$AZ$4010,0)),""))</f>
        <v/>
      </c>
      <c r="AI326" s="29" t="str">
        <f>IF(AE326="","",IFERROR(INDEX($AR$11:$AR$4010,MATCH(316,$AZ$11:$AZ$4010,0)),""))</f>
        <v/>
      </c>
      <c r="AJ326" s="29" t="str">
        <f>IF(AE326="","",IFERROR(INDEX($AT$11:$AT$4010,MATCH(316,$AZ$11:$AZ$4010,0)),""))</f>
        <v/>
      </c>
      <c r="AL326" s="31" t="str">
        <f t="shared" si="63"/>
        <v/>
      </c>
      <c r="AM326" s="26" t="str">
        <f t="shared" si="64"/>
        <v/>
      </c>
      <c r="AN326" s="32" t="str">
        <f t="shared" si="65"/>
        <v/>
      </c>
      <c r="AO326" s="32" t="str">
        <f t="shared" si="66"/>
        <v/>
      </c>
      <c r="AP326" s="24" t="str">
        <f t="shared" si="67"/>
        <v/>
      </c>
      <c r="AQ326" s="24" t="str">
        <f t="shared" si="68"/>
        <v/>
      </c>
      <c r="AR326" s="33" t="str">
        <f t="shared" si="69"/>
        <v/>
      </c>
      <c r="AS326" s="34"/>
      <c r="AT326" s="33"/>
      <c r="AV326" s="21">
        <f>IF(AND($AL326&lt;&gt;"",COUNTIF($AL$11:$AL326,$AL326)=1),1,0)</f>
        <v>0</v>
      </c>
      <c r="AW326" s="21">
        <f t="shared" si="71"/>
        <v>0</v>
      </c>
      <c r="AX326" s="21" t="str">
        <f t="shared" si="70"/>
        <v/>
      </c>
      <c r="AY326" s="21" t="str">
        <f>IF(AND($AM326&lt;&gt;"",$AS326&lt;&gt;"✓"),SUMPRODUCT(($AM$11:$AM326&lt;&gt;"")*($AS$11:$AS326&lt;&gt;"✓")),"")</f>
        <v/>
      </c>
      <c r="AZ326" s="21" t="str">
        <f>IF(AND($AM326&lt;&gt;"",$AS326="✓"),SUMPRODUCT(($AM$11:$AM326&lt;&gt;"")*($AS$11:$AS326="✓")),"")</f>
        <v/>
      </c>
      <c r="BA326" s="21" t="str">
        <f>IF($AL326="","",$AL326&amp;"|"&amp;COUNTIF($AL$11:$AL326,$AL326))</f>
        <v/>
      </c>
    </row>
    <row r="327" spans="2:53" ht="15" customHeight="1" x14ac:dyDescent="0.25">
      <c r="B327" s="5" t="str">
        <f t="shared" si="59"/>
        <v/>
      </c>
      <c r="C327" s="5"/>
      <c r="D327" s="5"/>
      <c r="E327" s="5"/>
      <c r="F327" s="6"/>
      <c r="G327" s="6"/>
      <c r="H327" s="7"/>
      <c r="I327" s="8"/>
      <c r="W327" s="14" t="str">
        <f>IF(X327="","",IFERROR(INDEX($AL$11:$AL$4010,MATCH(317,$AY$11:$AY$4010,0)),""))</f>
        <v/>
      </c>
      <c r="X327" s="12" t="str">
        <f>IFERROR(INDEX($AM$11:$AM$4010,MATCH(317,$AY$11:$AY$4010,0)),"")</f>
        <v/>
      </c>
      <c r="Y327" s="11" t="str">
        <f>IF(X327="","",IFERROR(INDEX($AN$11:$AN$4010,MATCH(317,$AY$11:$AY$4010,0)),""))</f>
        <v/>
      </c>
      <c r="Z327" s="11" t="str">
        <f>IF(X327="","",IFERROR(INDEX($AO$11:$AO$4010,MATCH(317,$AY$11:$AY$4010,0)),""))</f>
        <v/>
      </c>
      <c r="AA327" s="10" t="str">
        <f>IF(X327="","",IFERROR(INDEX($AQ$11:$AQ$4010,MATCH(317,$AY$11:$AY$4010,0)),""))</f>
        <v/>
      </c>
      <c r="AB327" s="15" t="str">
        <f>IF(X327="","",IFERROR(INDEX($AR$11:$AR$4010,MATCH(317,$AY$11:$AY$4010,0)),""))</f>
        <v/>
      </c>
      <c r="AD327" s="16" t="str">
        <f>IF(AE327="","",IFERROR(INDEX($AL$11:$AL$4010,MATCH(317,$AZ$11:$AZ$4010,0)),""))</f>
        <v/>
      </c>
      <c r="AE327" s="12" t="str">
        <f>IFERROR(INDEX($AM$11:$AM$4010,MATCH(317,$AZ$11:$AZ$4010,0)),"")</f>
        <v/>
      </c>
      <c r="AF327" s="11" t="str">
        <f>IF(AE327="","",IFERROR(INDEX($AN$11:$AN$4010,MATCH(317,$AZ$11:$AZ$4010,0)),""))</f>
        <v/>
      </c>
      <c r="AG327" s="11" t="str">
        <f>IF(AE327="","",IFERROR(INDEX($AO$11:$AO$4010,MATCH(317,$AZ$11:$AZ$4010,0)),""))</f>
        <v/>
      </c>
      <c r="AH327" s="10" t="str">
        <f>IF(AE327="","",IFERROR(INDEX($AQ$11:$AQ$4010,MATCH(317,$AZ$11:$AZ$4010,0)),""))</f>
        <v/>
      </c>
      <c r="AI327" s="15" t="str">
        <f>IF(AE327="","",IFERROR(INDEX($AR$11:$AR$4010,MATCH(317,$AZ$11:$AZ$4010,0)),""))</f>
        <v/>
      </c>
      <c r="AJ327" s="15" t="str">
        <f>IF(AE327="","",IFERROR(INDEX($AT$11:$AT$4010,MATCH(317,$AZ$11:$AZ$4010,0)),""))</f>
        <v/>
      </c>
      <c r="AL327" s="17" t="str">
        <f t="shared" si="63"/>
        <v/>
      </c>
      <c r="AM327" s="12" t="str">
        <f t="shared" si="64"/>
        <v/>
      </c>
      <c r="AN327" s="18" t="str">
        <f t="shared" si="65"/>
        <v/>
      </c>
      <c r="AO327" s="18" t="str">
        <f t="shared" si="66"/>
        <v/>
      </c>
      <c r="AP327" s="10" t="str">
        <f t="shared" si="67"/>
        <v/>
      </c>
      <c r="AQ327" s="10" t="str">
        <f t="shared" si="68"/>
        <v/>
      </c>
      <c r="AR327" s="19" t="str">
        <f t="shared" si="69"/>
        <v/>
      </c>
      <c r="AS327" s="20"/>
      <c r="AT327" s="19"/>
      <c r="AV327" s="21">
        <f>IF(AND($AL327&lt;&gt;"",COUNTIF($AL$11:$AL327,$AL327)=1),1,0)</f>
        <v>0</v>
      </c>
      <c r="AW327" s="21">
        <f t="shared" si="71"/>
        <v>0</v>
      </c>
      <c r="AX327" s="21" t="str">
        <f t="shared" si="70"/>
        <v/>
      </c>
      <c r="AY327" s="21" t="str">
        <f>IF(AND($AM327&lt;&gt;"",$AS327&lt;&gt;"✓"),SUMPRODUCT(($AM$11:$AM327&lt;&gt;"")*($AS$11:$AS327&lt;&gt;"✓")),"")</f>
        <v/>
      </c>
      <c r="AZ327" s="21" t="str">
        <f>IF(AND($AM327&lt;&gt;"",$AS327="✓"),SUMPRODUCT(($AM$11:$AM327&lt;&gt;"")*($AS$11:$AS327="✓")),"")</f>
        <v/>
      </c>
      <c r="BA327" s="21" t="str">
        <f>IF($AL327="","",$AL327&amp;"|"&amp;COUNTIF($AL$11:$AL327,$AL327))</f>
        <v/>
      </c>
    </row>
    <row r="328" spans="2:53" ht="15" customHeight="1" x14ac:dyDescent="0.25">
      <c r="B328" s="5" t="str">
        <f t="shared" si="59"/>
        <v/>
      </c>
      <c r="C328" s="5"/>
      <c r="D328" s="5"/>
      <c r="E328" s="5"/>
      <c r="F328" s="6"/>
      <c r="G328" s="6"/>
      <c r="H328" s="7"/>
      <c r="I328" s="8"/>
      <c r="W328" s="28" t="str">
        <f>IF(X328="","",IFERROR(INDEX($AL$11:$AL$4010,MATCH(318,$AY$11:$AY$4010,0)),""))</f>
        <v/>
      </c>
      <c r="X328" s="26" t="str">
        <f>IFERROR(INDEX($AM$11:$AM$4010,MATCH(318,$AY$11:$AY$4010,0)),"")</f>
        <v/>
      </c>
      <c r="Y328" s="25" t="str">
        <f>IF(X328="","",IFERROR(INDEX($AN$11:$AN$4010,MATCH(318,$AY$11:$AY$4010,0)),""))</f>
        <v/>
      </c>
      <c r="Z328" s="25" t="str">
        <f>IF(X328="","",IFERROR(INDEX($AO$11:$AO$4010,MATCH(318,$AY$11:$AY$4010,0)),""))</f>
        <v/>
      </c>
      <c r="AA328" s="24" t="str">
        <f>IF(X328="","",IFERROR(INDEX($AQ$11:$AQ$4010,MATCH(318,$AY$11:$AY$4010,0)),""))</f>
        <v/>
      </c>
      <c r="AB328" s="29" t="str">
        <f>IF(X328="","",IFERROR(INDEX($AR$11:$AR$4010,MATCH(318,$AY$11:$AY$4010,0)),""))</f>
        <v/>
      </c>
      <c r="AD328" s="30" t="str">
        <f>IF(AE328="","",IFERROR(INDEX($AL$11:$AL$4010,MATCH(318,$AZ$11:$AZ$4010,0)),""))</f>
        <v/>
      </c>
      <c r="AE328" s="26" t="str">
        <f>IFERROR(INDEX($AM$11:$AM$4010,MATCH(318,$AZ$11:$AZ$4010,0)),"")</f>
        <v/>
      </c>
      <c r="AF328" s="25" t="str">
        <f>IF(AE328="","",IFERROR(INDEX($AN$11:$AN$4010,MATCH(318,$AZ$11:$AZ$4010,0)),""))</f>
        <v/>
      </c>
      <c r="AG328" s="25" t="str">
        <f>IF(AE328="","",IFERROR(INDEX($AO$11:$AO$4010,MATCH(318,$AZ$11:$AZ$4010,0)),""))</f>
        <v/>
      </c>
      <c r="AH328" s="24" t="str">
        <f>IF(AE328="","",IFERROR(INDEX($AQ$11:$AQ$4010,MATCH(318,$AZ$11:$AZ$4010,0)),""))</f>
        <v/>
      </c>
      <c r="AI328" s="29" t="str">
        <f>IF(AE328="","",IFERROR(INDEX($AR$11:$AR$4010,MATCH(318,$AZ$11:$AZ$4010,0)),""))</f>
        <v/>
      </c>
      <c r="AJ328" s="29" t="str">
        <f>IF(AE328="","",IFERROR(INDEX($AT$11:$AT$4010,MATCH(318,$AZ$11:$AZ$4010,0)),""))</f>
        <v/>
      </c>
      <c r="AL328" s="31" t="str">
        <f t="shared" si="63"/>
        <v/>
      </c>
      <c r="AM328" s="26" t="str">
        <f t="shared" si="64"/>
        <v/>
      </c>
      <c r="AN328" s="32" t="str">
        <f t="shared" si="65"/>
        <v/>
      </c>
      <c r="AO328" s="32" t="str">
        <f t="shared" si="66"/>
        <v/>
      </c>
      <c r="AP328" s="24" t="str">
        <f t="shared" si="67"/>
        <v/>
      </c>
      <c r="AQ328" s="24" t="str">
        <f t="shared" si="68"/>
        <v/>
      </c>
      <c r="AR328" s="33" t="str">
        <f t="shared" si="69"/>
        <v/>
      </c>
      <c r="AS328" s="34"/>
      <c r="AT328" s="33"/>
      <c r="AV328" s="21">
        <f>IF(AND($AL328&lt;&gt;"",COUNTIF($AL$11:$AL328,$AL328)=1),1,0)</f>
        <v>0</v>
      </c>
      <c r="AW328" s="21">
        <f t="shared" si="71"/>
        <v>0</v>
      </c>
      <c r="AX328" s="21" t="str">
        <f t="shared" si="70"/>
        <v/>
      </c>
      <c r="AY328" s="21" t="str">
        <f>IF(AND($AM328&lt;&gt;"",$AS328&lt;&gt;"✓"),SUMPRODUCT(($AM$11:$AM328&lt;&gt;"")*($AS$11:$AS328&lt;&gt;"✓")),"")</f>
        <v/>
      </c>
      <c r="AZ328" s="21" t="str">
        <f>IF(AND($AM328&lt;&gt;"",$AS328="✓"),SUMPRODUCT(($AM$11:$AM328&lt;&gt;"")*($AS$11:$AS328="✓")),"")</f>
        <v/>
      </c>
      <c r="BA328" s="21" t="str">
        <f>IF($AL328="","",$AL328&amp;"|"&amp;COUNTIF($AL$11:$AL328,$AL328))</f>
        <v/>
      </c>
    </row>
    <row r="329" spans="2:53" ht="15" customHeight="1" x14ac:dyDescent="0.25">
      <c r="B329" s="5" t="str">
        <f t="shared" si="59"/>
        <v/>
      </c>
      <c r="C329" s="5"/>
      <c r="D329" s="5"/>
      <c r="E329" s="5"/>
      <c r="F329" s="6"/>
      <c r="G329" s="6"/>
      <c r="H329" s="7"/>
      <c r="I329" s="8"/>
      <c r="W329" s="14" t="str">
        <f>IF(X329="","",IFERROR(INDEX($AL$11:$AL$4010,MATCH(319,$AY$11:$AY$4010,0)),""))</f>
        <v/>
      </c>
      <c r="X329" s="12" t="str">
        <f>IFERROR(INDEX($AM$11:$AM$4010,MATCH(319,$AY$11:$AY$4010,0)),"")</f>
        <v/>
      </c>
      <c r="Y329" s="11" t="str">
        <f>IF(X329="","",IFERROR(INDEX($AN$11:$AN$4010,MATCH(319,$AY$11:$AY$4010,0)),""))</f>
        <v/>
      </c>
      <c r="Z329" s="11" t="str">
        <f>IF(X329="","",IFERROR(INDEX($AO$11:$AO$4010,MATCH(319,$AY$11:$AY$4010,0)),""))</f>
        <v/>
      </c>
      <c r="AA329" s="10" t="str">
        <f>IF(X329="","",IFERROR(INDEX($AQ$11:$AQ$4010,MATCH(319,$AY$11:$AY$4010,0)),""))</f>
        <v/>
      </c>
      <c r="AB329" s="15" t="str">
        <f>IF(X329="","",IFERROR(INDEX($AR$11:$AR$4010,MATCH(319,$AY$11:$AY$4010,0)),""))</f>
        <v/>
      </c>
      <c r="AD329" s="16" t="str">
        <f>IF(AE329="","",IFERROR(INDEX($AL$11:$AL$4010,MATCH(319,$AZ$11:$AZ$4010,0)),""))</f>
        <v/>
      </c>
      <c r="AE329" s="12" t="str">
        <f>IFERROR(INDEX($AM$11:$AM$4010,MATCH(319,$AZ$11:$AZ$4010,0)),"")</f>
        <v/>
      </c>
      <c r="AF329" s="11" t="str">
        <f>IF(AE329="","",IFERROR(INDEX($AN$11:$AN$4010,MATCH(319,$AZ$11:$AZ$4010,0)),""))</f>
        <v/>
      </c>
      <c r="AG329" s="11" t="str">
        <f>IF(AE329="","",IFERROR(INDEX($AO$11:$AO$4010,MATCH(319,$AZ$11:$AZ$4010,0)),""))</f>
        <v/>
      </c>
      <c r="AH329" s="10" t="str">
        <f>IF(AE329="","",IFERROR(INDEX($AQ$11:$AQ$4010,MATCH(319,$AZ$11:$AZ$4010,0)),""))</f>
        <v/>
      </c>
      <c r="AI329" s="15" t="str">
        <f>IF(AE329="","",IFERROR(INDEX($AR$11:$AR$4010,MATCH(319,$AZ$11:$AZ$4010,0)),""))</f>
        <v/>
      </c>
      <c r="AJ329" s="15" t="str">
        <f>IF(AE329="","",IFERROR(INDEX($AT$11:$AT$4010,MATCH(319,$AZ$11:$AZ$4010,0)),""))</f>
        <v/>
      </c>
      <c r="AL329" s="17" t="str">
        <f t="shared" si="63"/>
        <v/>
      </c>
      <c r="AM329" s="12" t="str">
        <f t="shared" si="64"/>
        <v/>
      </c>
      <c r="AN329" s="18" t="str">
        <f t="shared" si="65"/>
        <v/>
      </c>
      <c r="AO329" s="18" t="str">
        <f t="shared" si="66"/>
        <v/>
      </c>
      <c r="AP329" s="10" t="str">
        <f t="shared" si="67"/>
        <v/>
      </c>
      <c r="AQ329" s="10" t="str">
        <f t="shared" si="68"/>
        <v/>
      </c>
      <c r="AR329" s="19" t="str">
        <f t="shared" si="69"/>
        <v/>
      </c>
      <c r="AS329" s="20"/>
      <c r="AT329" s="19"/>
      <c r="AV329" s="21">
        <f>IF(AND($AL329&lt;&gt;"",COUNTIF($AL$11:$AL329,$AL329)=1),1,0)</f>
        <v>0</v>
      </c>
      <c r="AW329" s="21">
        <f t="shared" si="71"/>
        <v>0</v>
      </c>
      <c r="AX329" s="21" t="str">
        <f t="shared" si="70"/>
        <v/>
      </c>
      <c r="AY329" s="21" t="str">
        <f>IF(AND($AM329&lt;&gt;"",$AS329&lt;&gt;"✓"),SUMPRODUCT(($AM$11:$AM329&lt;&gt;"")*($AS$11:$AS329&lt;&gt;"✓")),"")</f>
        <v/>
      </c>
      <c r="AZ329" s="21" t="str">
        <f>IF(AND($AM329&lt;&gt;"",$AS329="✓"),SUMPRODUCT(($AM$11:$AM329&lt;&gt;"")*($AS$11:$AS329="✓")),"")</f>
        <v/>
      </c>
      <c r="BA329" s="21" t="str">
        <f>IF($AL329="","",$AL329&amp;"|"&amp;COUNTIF($AL$11:$AL329,$AL329))</f>
        <v/>
      </c>
    </row>
    <row r="330" spans="2:53" ht="15" customHeight="1" x14ac:dyDescent="0.25">
      <c r="B330" s="5" t="str">
        <f t="shared" si="59"/>
        <v/>
      </c>
      <c r="C330" s="5"/>
      <c r="D330" s="5"/>
      <c r="E330" s="5"/>
      <c r="F330" s="6"/>
      <c r="G330" s="6"/>
      <c r="H330" s="7"/>
      <c r="I330" s="8"/>
      <c r="W330" s="28" t="str">
        <f>IF(X330="","",IFERROR(INDEX($AL$11:$AL$4010,MATCH(320,$AY$11:$AY$4010,0)),""))</f>
        <v/>
      </c>
      <c r="X330" s="26" t="str">
        <f>IFERROR(INDEX($AM$11:$AM$4010,MATCH(320,$AY$11:$AY$4010,0)),"")</f>
        <v/>
      </c>
      <c r="Y330" s="25" t="str">
        <f>IF(X330="","",IFERROR(INDEX($AN$11:$AN$4010,MATCH(320,$AY$11:$AY$4010,0)),""))</f>
        <v/>
      </c>
      <c r="Z330" s="25" t="str">
        <f>IF(X330="","",IFERROR(INDEX($AO$11:$AO$4010,MATCH(320,$AY$11:$AY$4010,0)),""))</f>
        <v/>
      </c>
      <c r="AA330" s="24" t="str">
        <f>IF(X330="","",IFERROR(INDEX($AQ$11:$AQ$4010,MATCH(320,$AY$11:$AY$4010,0)),""))</f>
        <v/>
      </c>
      <c r="AB330" s="29" t="str">
        <f>IF(X330="","",IFERROR(INDEX($AR$11:$AR$4010,MATCH(320,$AY$11:$AY$4010,0)),""))</f>
        <v/>
      </c>
      <c r="AD330" s="30" t="str">
        <f>IF(AE330="","",IFERROR(INDEX($AL$11:$AL$4010,MATCH(320,$AZ$11:$AZ$4010,0)),""))</f>
        <v/>
      </c>
      <c r="AE330" s="26" t="str">
        <f>IFERROR(INDEX($AM$11:$AM$4010,MATCH(320,$AZ$11:$AZ$4010,0)),"")</f>
        <v/>
      </c>
      <c r="AF330" s="25" t="str">
        <f>IF(AE330="","",IFERROR(INDEX($AN$11:$AN$4010,MATCH(320,$AZ$11:$AZ$4010,0)),""))</f>
        <v/>
      </c>
      <c r="AG330" s="25" t="str">
        <f>IF(AE330="","",IFERROR(INDEX($AO$11:$AO$4010,MATCH(320,$AZ$11:$AZ$4010,0)),""))</f>
        <v/>
      </c>
      <c r="AH330" s="24" t="str">
        <f>IF(AE330="","",IFERROR(INDEX($AQ$11:$AQ$4010,MATCH(320,$AZ$11:$AZ$4010,0)),""))</f>
        <v/>
      </c>
      <c r="AI330" s="29" t="str">
        <f>IF(AE330="","",IFERROR(INDEX($AR$11:$AR$4010,MATCH(320,$AZ$11:$AZ$4010,0)),""))</f>
        <v/>
      </c>
      <c r="AJ330" s="29" t="str">
        <f>IF(AE330="","",IFERROR(INDEX($AT$11:$AT$4010,MATCH(320,$AZ$11:$AZ$4010,0)),""))</f>
        <v/>
      </c>
      <c r="AL330" s="31" t="str">
        <f t="shared" si="63"/>
        <v/>
      </c>
      <c r="AM330" s="26" t="str">
        <f t="shared" si="64"/>
        <v/>
      </c>
      <c r="AN330" s="32" t="str">
        <f t="shared" si="65"/>
        <v/>
      </c>
      <c r="AO330" s="32" t="str">
        <f t="shared" si="66"/>
        <v/>
      </c>
      <c r="AP330" s="24" t="str">
        <f t="shared" si="67"/>
        <v/>
      </c>
      <c r="AQ330" s="24" t="str">
        <f t="shared" si="68"/>
        <v/>
      </c>
      <c r="AR330" s="33" t="str">
        <f t="shared" si="69"/>
        <v/>
      </c>
      <c r="AS330" s="34"/>
      <c r="AT330" s="33"/>
      <c r="AV330" s="21">
        <f>IF(AND($AL330&lt;&gt;"",COUNTIF($AL$11:$AL330,$AL330)=1),1,0)</f>
        <v>0</v>
      </c>
      <c r="AW330" s="21">
        <f t="shared" si="71"/>
        <v>0</v>
      </c>
      <c r="AX330" s="21" t="str">
        <f t="shared" si="70"/>
        <v/>
      </c>
      <c r="AY330" s="21" t="str">
        <f>IF(AND($AM330&lt;&gt;"",$AS330&lt;&gt;"✓"),SUMPRODUCT(($AM$11:$AM330&lt;&gt;"")*($AS$11:$AS330&lt;&gt;"✓")),"")</f>
        <v/>
      </c>
      <c r="AZ330" s="21" t="str">
        <f>IF(AND($AM330&lt;&gt;"",$AS330="✓"),SUMPRODUCT(($AM$11:$AM330&lt;&gt;"")*($AS$11:$AS330="✓")),"")</f>
        <v/>
      </c>
      <c r="BA330" s="21" t="str">
        <f>IF($AL330="","",$AL330&amp;"|"&amp;COUNTIF($AL$11:$AL330,$AL330))</f>
        <v/>
      </c>
    </row>
    <row r="331" spans="2:53" ht="15" customHeight="1" x14ac:dyDescent="0.25">
      <c r="B331" s="5" t="str">
        <f t="shared" ref="B331:B394" si="72">IF($C331="","",ROW()-10)</f>
        <v/>
      </c>
      <c r="C331" s="5"/>
      <c r="D331" s="5"/>
      <c r="E331" s="5"/>
      <c r="F331" s="6"/>
      <c r="G331" s="6"/>
      <c r="H331" s="7"/>
      <c r="I331" s="8"/>
      <c r="W331" s="14" t="str">
        <f>IF(X331="","",IFERROR(INDEX($AL$11:$AL$4010,MATCH(321,$AY$11:$AY$4010,0)),""))</f>
        <v/>
      </c>
      <c r="X331" s="12" t="str">
        <f>IFERROR(INDEX($AM$11:$AM$4010,MATCH(321,$AY$11:$AY$4010,0)),"")</f>
        <v/>
      </c>
      <c r="Y331" s="11" t="str">
        <f>IF(X331="","",IFERROR(INDEX($AN$11:$AN$4010,MATCH(321,$AY$11:$AY$4010,0)),""))</f>
        <v/>
      </c>
      <c r="Z331" s="11" t="str">
        <f>IF(X331="","",IFERROR(INDEX($AO$11:$AO$4010,MATCH(321,$AY$11:$AY$4010,0)),""))</f>
        <v/>
      </c>
      <c r="AA331" s="10" t="str">
        <f>IF(X331="","",IFERROR(INDEX($AQ$11:$AQ$4010,MATCH(321,$AY$11:$AY$4010,0)),""))</f>
        <v/>
      </c>
      <c r="AB331" s="15" t="str">
        <f>IF(X331="","",IFERROR(INDEX($AR$11:$AR$4010,MATCH(321,$AY$11:$AY$4010,0)),""))</f>
        <v/>
      </c>
      <c r="AD331" s="16" t="str">
        <f>IF(AE331="","",IFERROR(INDEX($AL$11:$AL$4010,MATCH(321,$AZ$11:$AZ$4010,0)),""))</f>
        <v/>
      </c>
      <c r="AE331" s="12" t="str">
        <f>IFERROR(INDEX($AM$11:$AM$4010,MATCH(321,$AZ$11:$AZ$4010,0)),"")</f>
        <v/>
      </c>
      <c r="AF331" s="11" t="str">
        <f>IF(AE331="","",IFERROR(INDEX($AN$11:$AN$4010,MATCH(321,$AZ$11:$AZ$4010,0)),""))</f>
        <v/>
      </c>
      <c r="AG331" s="11" t="str">
        <f>IF(AE331="","",IFERROR(INDEX($AO$11:$AO$4010,MATCH(321,$AZ$11:$AZ$4010,0)),""))</f>
        <v/>
      </c>
      <c r="AH331" s="10" t="str">
        <f>IF(AE331="","",IFERROR(INDEX($AQ$11:$AQ$4010,MATCH(321,$AZ$11:$AZ$4010,0)),""))</f>
        <v/>
      </c>
      <c r="AI331" s="15" t="str">
        <f>IF(AE331="","",IFERROR(INDEX($AR$11:$AR$4010,MATCH(321,$AZ$11:$AZ$4010,0)),""))</f>
        <v/>
      </c>
      <c r="AJ331" s="15" t="str">
        <f>IF(AE331="","",IFERROR(INDEX($AT$11:$AT$4010,MATCH(321,$AZ$11:$AZ$4010,0)),""))</f>
        <v/>
      </c>
      <c r="AL331" s="17" t="str">
        <f t="shared" ref="AL331:AL394" si="73">IF($C331="","",$I331)</f>
        <v/>
      </c>
      <c r="AM331" s="12" t="str">
        <f t="shared" ref="AM331:AM394" si="74">IF($C331="","",$C331)</f>
        <v/>
      </c>
      <c r="AN331" s="18" t="str">
        <f t="shared" ref="AN331:AN394" si="75">IF($C331="","",$F331)</f>
        <v/>
      </c>
      <c r="AO331" s="18" t="str">
        <f t="shared" ref="AO331:AO394" si="76">IF($C331="","",$G331)</f>
        <v/>
      </c>
      <c r="AP331" s="10" t="str">
        <f t="shared" ref="AP331:AP394" si="77">IF($C331="","",$D331)</f>
        <v/>
      </c>
      <c r="AQ331" s="10" t="str">
        <f t="shared" ref="AQ331:AQ394" si="78">IF($C331="","",$E331)</f>
        <v/>
      </c>
      <c r="AR331" s="19" t="str">
        <f t="shared" ref="AR331:AR394" si="79">IF($C331="","",$H331)</f>
        <v/>
      </c>
      <c r="AS331" s="20"/>
      <c r="AT331" s="19"/>
      <c r="AV331" s="21">
        <f>IF(AND($AL331&lt;&gt;"",COUNTIF($AL$11:$AL331,$AL331)=1),1,0)</f>
        <v>0</v>
      </c>
      <c r="AW331" s="21">
        <f t="shared" si="71"/>
        <v>0</v>
      </c>
      <c r="AX331" s="21" t="str">
        <f t="shared" ref="AX331:AX394" si="80">IF(AV331=1,AW331,"")</f>
        <v/>
      </c>
      <c r="AY331" s="21" t="str">
        <f>IF(AND($AM331&lt;&gt;"",$AS331&lt;&gt;"✓"),SUMPRODUCT(($AM$11:$AM331&lt;&gt;"")*($AS$11:$AS331&lt;&gt;"✓")),"")</f>
        <v/>
      </c>
      <c r="AZ331" s="21" t="str">
        <f>IF(AND($AM331&lt;&gt;"",$AS331="✓"),SUMPRODUCT(($AM$11:$AM331&lt;&gt;"")*($AS$11:$AS331="✓")),"")</f>
        <v/>
      </c>
      <c r="BA331" s="21" t="str">
        <f>IF($AL331="","",$AL331&amp;"|"&amp;COUNTIF($AL$11:$AL331,$AL331))</f>
        <v/>
      </c>
    </row>
    <row r="332" spans="2:53" ht="15" customHeight="1" x14ac:dyDescent="0.25">
      <c r="B332" s="5" t="str">
        <f t="shared" si="72"/>
        <v/>
      </c>
      <c r="C332" s="5"/>
      <c r="D332" s="5"/>
      <c r="E332" s="5"/>
      <c r="F332" s="6"/>
      <c r="G332" s="6"/>
      <c r="H332" s="7"/>
      <c r="I332" s="8"/>
      <c r="W332" s="28" t="str">
        <f>IF(X332="","",IFERROR(INDEX($AL$11:$AL$4010,MATCH(322,$AY$11:$AY$4010,0)),""))</f>
        <v/>
      </c>
      <c r="X332" s="26" t="str">
        <f>IFERROR(INDEX($AM$11:$AM$4010,MATCH(322,$AY$11:$AY$4010,0)),"")</f>
        <v/>
      </c>
      <c r="Y332" s="25" t="str">
        <f>IF(X332="","",IFERROR(INDEX($AN$11:$AN$4010,MATCH(322,$AY$11:$AY$4010,0)),""))</f>
        <v/>
      </c>
      <c r="Z332" s="25" t="str">
        <f>IF(X332="","",IFERROR(INDEX($AO$11:$AO$4010,MATCH(322,$AY$11:$AY$4010,0)),""))</f>
        <v/>
      </c>
      <c r="AA332" s="24" t="str">
        <f>IF(X332="","",IFERROR(INDEX($AQ$11:$AQ$4010,MATCH(322,$AY$11:$AY$4010,0)),""))</f>
        <v/>
      </c>
      <c r="AB332" s="29" t="str">
        <f>IF(X332="","",IFERROR(INDEX($AR$11:$AR$4010,MATCH(322,$AY$11:$AY$4010,0)),""))</f>
        <v/>
      </c>
      <c r="AD332" s="30" t="str">
        <f>IF(AE332="","",IFERROR(INDEX($AL$11:$AL$4010,MATCH(322,$AZ$11:$AZ$4010,0)),""))</f>
        <v/>
      </c>
      <c r="AE332" s="26" t="str">
        <f>IFERROR(INDEX($AM$11:$AM$4010,MATCH(322,$AZ$11:$AZ$4010,0)),"")</f>
        <v/>
      </c>
      <c r="AF332" s="25" t="str">
        <f>IF(AE332="","",IFERROR(INDEX($AN$11:$AN$4010,MATCH(322,$AZ$11:$AZ$4010,0)),""))</f>
        <v/>
      </c>
      <c r="AG332" s="25" t="str">
        <f>IF(AE332="","",IFERROR(INDEX($AO$11:$AO$4010,MATCH(322,$AZ$11:$AZ$4010,0)),""))</f>
        <v/>
      </c>
      <c r="AH332" s="24" t="str">
        <f>IF(AE332="","",IFERROR(INDEX($AQ$11:$AQ$4010,MATCH(322,$AZ$11:$AZ$4010,0)),""))</f>
        <v/>
      </c>
      <c r="AI332" s="29" t="str">
        <f>IF(AE332="","",IFERROR(INDEX($AR$11:$AR$4010,MATCH(322,$AZ$11:$AZ$4010,0)),""))</f>
        <v/>
      </c>
      <c r="AJ332" s="29" t="str">
        <f>IF(AE332="","",IFERROR(INDEX($AT$11:$AT$4010,MATCH(322,$AZ$11:$AZ$4010,0)),""))</f>
        <v/>
      </c>
      <c r="AL332" s="31" t="str">
        <f t="shared" si="73"/>
        <v/>
      </c>
      <c r="AM332" s="26" t="str">
        <f t="shared" si="74"/>
        <v/>
      </c>
      <c r="AN332" s="32" t="str">
        <f t="shared" si="75"/>
        <v/>
      </c>
      <c r="AO332" s="32" t="str">
        <f t="shared" si="76"/>
        <v/>
      </c>
      <c r="AP332" s="24" t="str">
        <f t="shared" si="77"/>
        <v/>
      </c>
      <c r="AQ332" s="24" t="str">
        <f t="shared" si="78"/>
        <v/>
      </c>
      <c r="AR332" s="33" t="str">
        <f t="shared" si="79"/>
        <v/>
      </c>
      <c r="AS332" s="34"/>
      <c r="AT332" s="33"/>
      <c r="AV332" s="21">
        <f>IF(AND($AL332&lt;&gt;"",COUNTIF($AL$11:$AL332,$AL332)=1),1,0)</f>
        <v>0</v>
      </c>
      <c r="AW332" s="21">
        <f t="shared" ref="AW332:AW395" si="81">AW331+AV332</f>
        <v>0</v>
      </c>
      <c r="AX332" s="21" t="str">
        <f t="shared" si="80"/>
        <v/>
      </c>
      <c r="AY332" s="21" t="str">
        <f>IF(AND($AM332&lt;&gt;"",$AS332&lt;&gt;"✓"),SUMPRODUCT(($AM$11:$AM332&lt;&gt;"")*($AS$11:$AS332&lt;&gt;"✓")),"")</f>
        <v/>
      </c>
      <c r="AZ332" s="21" t="str">
        <f>IF(AND($AM332&lt;&gt;"",$AS332="✓"),SUMPRODUCT(($AM$11:$AM332&lt;&gt;"")*($AS$11:$AS332="✓")),"")</f>
        <v/>
      </c>
      <c r="BA332" s="21" t="str">
        <f>IF($AL332="","",$AL332&amp;"|"&amp;COUNTIF($AL$11:$AL332,$AL332))</f>
        <v/>
      </c>
    </row>
    <row r="333" spans="2:53" ht="15" customHeight="1" x14ac:dyDescent="0.25">
      <c r="B333" s="5" t="str">
        <f t="shared" si="72"/>
        <v/>
      </c>
      <c r="C333" s="5"/>
      <c r="D333" s="5"/>
      <c r="E333" s="5"/>
      <c r="F333" s="6"/>
      <c r="G333" s="6"/>
      <c r="H333" s="7"/>
      <c r="I333" s="8"/>
      <c r="W333" s="14" t="str">
        <f>IF(X333="","",IFERROR(INDEX($AL$11:$AL$4010,MATCH(323,$AY$11:$AY$4010,0)),""))</f>
        <v/>
      </c>
      <c r="X333" s="12" t="str">
        <f>IFERROR(INDEX($AM$11:$AM$4010,MATCH(323,$AY$11:$AY$4010,0)),"")</f>
        <v/>
      </c>
      <c r="Y333" s="11" t="str">
        <f>IF(X333="","",IFERROR(INDEX($AN$11:$AN$4010,MATCH(323,$AY$11:$AY$4010,0)),""))</f>
        <v/>
      </c>
      <c r="Z333" s="11" t="str">
        <f>IF(X333="","",IFERROR(INDEX($AO$11:$AO$4010,MATCH(323,$AY$11:$AY$4010,0)),""))</f>
        <v/>
      </c>
      <c r="AA333" s="10" t="str">
        <f>IF(X333="","",IFERROR(INDEX($AQ$11:$AQ$4010,MATCH(323,$AY$11:$AY$4010,0)),""))</f>
        <v/>
      </c>
      <c r="AB333" s="15" t="str">
        <f>IF(X333="","",IFERROR(INDEX($AR$11:$AR$4010,MATCH(323,$AY$11:$AY$4010,0)),""))</f>
        <v/>
      </c>
      <c r="AD333" s="16" t="str">
        <f>IF(AE333="","",IFERROR(INDEX($AL$11:$AL$4010,MATCH(323,$AZ$11:$AZ$4010,0)),""))</f>
        <v/>
      </c>
      <c r="AE333" s="12" t="str">
        <f>IFERROR(INDEX($AM$11:$AM$4010,MATCH(323,$AZ$11:$AZ$4010,0)),"")</f>
        <v/>
      </c>
      <c r="AF333" s="11" t="str">
        <f>IF(AE333="","",IFERROR(INDEX($AN$11:$AN$4010,MATCH(323,$AZ$11:$AZ$4010,0)),""))</f>
        <v/>
      </c>
      <c r="AG333" s="11" t="str">
        <f>IF(AE333="","",IFERROR(INDEX($AO$11:$AO$4010,MATCH(323,$AZ$11:$AZ$4010,0)),""))</f>
        <v/>
      </c>
      <c r="AH333" s="10" t="str">
        <f>IF(AE333="","",IFERROR(INDEX($AQ$11:$AQ$4010,MATCH(323,$AZ$11:$AZ$4010,0)),""))</f>
        <v/>
      </c>
      <c r="AI333" s="15" t="str">
        <f>IF(AE333="","",IFERROR(INDEX($AR$11:$AR$4010,MATCH(323,$AZ$11:$AZ$4010,0)),""))</f>
        <v/>
      </c>
      <c r="AJ333" s="15" t="str">
        <f>IF(AE333="","",IFERROR(INDEX($AT$11:$AT$4010,MATCH(323,$AZ$11:$AZ$4010,0)),""))</f>
        <v/>
      </c>
      <c r="AL333" s="17" t="str">
        <f t="shared" si="73"/>
        <v/>
      </c>
      <c r="AM333" s="12" t="str">
        <f t="shared" si="74"/>
        <v/>
      </c>
      <c r="AN333" s="18" t="str">
        <f t="shared" si="75"/>
        <v/>
      </c>
      <c r="AO333" s="18" t="str">
        <f t="shared" si="76"/>
        <v/>
      </c>
      <c r="AP333" s="10" t="str">
        <f t="shared" si="77"/>
        <v/>
      </c>
      <c r="AQ333" s="10" t="str">
        <f t="shared" si="78"/>
        <v/>
      </c>
      <c r="AR333" s="19" t="str">
        <f t="shared" si="79"/>
        <v/>
      </c>
      <c r="AS333" s="20"/>
      <c r="AT333" s="19"/>
      <c r="AV333" s="21">
        <f>IF(AND($AL333&lt;&gt;"",COUNTIF($AL$11:$AL333,$AL333)=1),1,0)</f>
        <v>0</v>
      </c>
      <c r="AW333" s="21">
        <f t="shared" si="81"/>
        <v>0</v>
      </c>
      <c r="AX333" s="21" t="str">
        <f t="shared" si="80"/>
        <v/>
      </c>
      <c r="AY333" s="21" t="str">
        <f>IF(AND($AM333&lt;&gt;"",$AS333&lt;&gt;"✓"),SUMPRODUCT(($AM$11:$AM333&lt;&gt;"")*($AS$11:$AS333&lt;&gt;"✓")),"")</f>
        <v/>
      </c>
      <c r="AZ333" s="21" t="str">
        <f>IF(AND($AM333&lt;&gt;"",$AS333="✓"),SUMPRODUCT(($AM$11:$AM333&lt;&gt;"")*($AS$11:$AS333="✓")),"")</f>
        <v/>
      </c>
      <c r="BA333" s="21" t="str">
        <f>IF($AL333="","",$AL333&amp;"|"&amp;COUNTIF($AL$11:$AL333,$AL333))</f>
        <v/>
      </c>
    </row>
    <row r="334" spans="2:53" ht="15" customHeight="1" x14ac:dyDescent="0.25">
      <c r="B334" s="5" t="str">
        <f t="shared" si="72"/>
        <v/>
      </c>
      <c r="C334" s="5"/>
      <c r="D334" s="5"/>
      <c r="E334" s="5"/>
      <c r="F334" s="6"/>
      <c r="G334" s="6"/>
      <c r="H334" s="7"/>
      <c r="I334" s="8"/>
      <c r="W334" s="28" t="str">
        <f>IF(X334="","",IFERROR(INDEX($AL$11:$AL$4010,MATCH(324,$AY$11:$AY$4010,0)),""))</f>
        <v/>
      </c>
      <c r="X334" s="26" t="str">
        <f>IFERROR(INDEX($AM$11:$AM$4010,MATCH(324,$AY$11:$AY$4010,0)),"")</f>
        <v/>
      </c>
      <c r="Y334" s="25" t="str">
        <f>IF(X334="","",IFERROR(INDEX($AN$11:$AN$4010,MATCH(324,$AY$11:$AY$4010,0)),""))</f>
        <v/>
      </c>
      <c r="Z334" s="25" t="str">
        <f>IF(X334="","",IFERROR(INDEX($AO$11:$AO$4010,MATCH(324,$AY$11:$AY$4010,0)),""))</f>
        <v/>
      </c>
      <c r="AA334" s="24" t="str">
        <f>IF(X334="","",IFERROR(INDEX($AQ$11:$AQ$4010,MATCH(324,$AY$11:$AY$4010,0)),""))</f>
        <v/>
      </c>
      <c r="AB334" s="29" t="str">
        <f>IF(X334="","",IFERROR(INDEX($AR$11:$AR$4010,MATCH(324,$AY$11:$AY$4010,0)),""))</f>
        <v/>
      </c>
      <c r="AD334" s="30" t="str">
        <f>IF(AE334="","",IFERROR(INDEX($AL$11:$AL$4010,MATCH(324,$AZ$11:$AZ$4010,0)),""))</f>
        <v/>
      </c>
      <c r="AE334" s="26" t="str">
        <f>IFERROR(INDEX($AM$11:$AM$4010,MATCH(324,$AZ$11:$AZ$4010,0)),"")</f>
        <v/>
      </c>
      <c r="AF334" s="25" t="str">
        <f>IF(AE334="","",IFERROR(INDEX($AN$11:$AN$4010,MATCH(324,$AZ$11:$AZ$4010,0)),""))</f>
        <v/>
      </c>
      <c r="AG334" s="25" t="str">
        <f>IF(AE334="","",IFERROR(INDEX($AO$11:$AO$4010,MATCH(324,$AZ$11:$AZ$4010,0)),""))</f>
        <v/>
      </c>
      <c r="AH334" s="24" t="str">
        <f>IF(AE334="","",IFERROR(INDEX($AQ$11:$AQ$4010,MATCH(324,$AZ$11:$AZ$4010,0)),""))</f>
        <v/>
      </c>
      <c r="AI334" s="29" t="str">
        <f>IF(AE334="","",IFERROR(INDEX($AR$11:$AR$4010,MATCH(324,$AZ$11:$AZ$4010,0)),""))</f>
        <v/>
      </c>
      <c r="AJ334" s="29" t="str">
        <f>IF(AE334="","",IFERROR(INDEX($AT$11:$AT$4010,MATCH(324,$AZ$11:$AZ$4010,0)),""))</f>
        <v/>
      </c>
      <c r="AL334" s="31" t="str">
        <f t="shared" si="73"/>
        <v/>
      </c>
      <c r="AM334" s="26" t="str">
        <f t="shared" si="74"/>
        <v/>
      </c>
      <c r="AN334" s="32" t="str">
        <f t="shared" si="75"/>
        <v/>
      </c>
      <c r="AO334" s="32" t="str">
        <f t="shared" si="76"/>
        <v/>
      </c>
      <c r="AP334" s="24" t="str">
        <f t="shared" si="77"/>
        <v/>
      </c>
      <c r="AQ334" s="24" t="str">
        <f t="shared" si="78"/>
        <v/>
      </c>
      <c r="AR334" s="33" t="str">
        <f t="shared" si="79"/>
        <v/>
      </c>
      <c r="AS334" s="34"/>
      <c r="AT334" s="33"/>
      <c r="AV334" s="21">
        <f>IF(AND($AL334&lt;&gt;"",COUNTIF($AL$11:$AL334,$AL334)=1),1,0)</f>
        <v>0</v>
      </c>
      <c r="AW334" s="21">
        <f t="shared" si="81"/>
        <v>0</v>
      </c>
      <c r="AX334" s="21" t="str">
        <f t="shared" si="80"/>
        <v/>
      </c>
      <c r="AY334" s="21" t="str">
        <f>IF(AND($AM334&lt;&gt;"",$AS334&lt;&gt;"✓"),SUMPRODUCT(($AM$11:$AM334&lt;&gt;"")*($AS$11:$AS334&lt;&gt;"✓")),"")</f>
        <v/>
      </c>
      <c r="AZ334" s="21" t="str">
        <f>IF(AND($AM334&lt;&gt;"",$AS334="✓"),SUMPRODUCT(($AM$11:$AM334&lt;&gt;"")*($AS$11:$AS334="✓")),"")</f>
        <v/>
      </c>
      <c r="BA334" s="21" t="str">
        <f>IF($AL334="","",$AL334&amp;"|"&amp;COUNTIF($AL$11:$AL334,$AL334))</f>
        <v/>
      </c>
    </row>
    <row r="335" spans="2:53" ht="15" customHeight="1" x14ac:dyDescent="0.25">
      <c r="B335" s="5" t="str">
        <f t="shared" si="72"/>
        <v/>
      </c>
      <c r="C335" s="5"/>
      <c r="D335" s="5"/>
      <c r="E335" s="5"/>
      <c r="F335" s="6"/>
      <c r="G335" s="6"/>
      <c r="H335" s="7"/>
      <c r="I335" s="8"/>
      <c r="W335" s="14" t="str">
        <f>IF(X335="","",IFERROR(INDEX($AL$11:$AL$4010,MATCH(325,$AY$11:$AY$4010,0)),""))</f>
        <v/>
      </c>
      <c r="X335" s="12" t="str">
        <f>IFERROR(INDEX($AM$11:$AM$4010,MATCH(325,$AY$11:$AY$4010,0)),"")</f>
        <v/>
      </c>
      <c r="Y335" s="11" t="str">
        <f>IF(X335="","",IFERROR(INDEX($AN$11:$AN$4010,MATCH(325,$AY$11:$AY$4010,0)),""))</f>
        <v/>
      </c>
      <c r="Z335" s="11" t="str">
        <f>IF(X335="","",IFERROR(INDEX($AO$11:$AO$4010,MATCH(325,$AY$11:$AY$4010,0)),""))</f>
        <v/>
      </c>
      <c r="AA335" s="10" t="str">
        <f>IF(X335="","",IFERROR(INDEX($AQ$11:$AQ$4010,MATCH(325,$AY$11:$AY$4010,0)),""))</f>
        <v/>
      </c>
      <c r="AB335" s="15" t="str">
        <f>IF(X335="","",IFERROR(INDEX($AR$11:$AR$4010,MATCH(325,$AY$11:$AY$4010,0)),""))</f>
        <v/>
      </c>
      <c r="AD335" s="16" t="str">
        <f>IF(AE335="","",IFERROR(INDEX($AL$11:$AL$4010,MATCH(325,$AZ$11:$AZ$4010,0)),""))</f>
        <v/>
      </c>
      <c r="AE335" s="12" t="str">
        <f>IFERROR(INDEX($AM$11:$AM$4010,MATCH(325,$AZ$11:$AZ$4010,0)),"")</f>
        <v/>
      </c>
      <c r="AF335" s="11" t="str">
        <f>IF(AE335="","",IFERROR(INDEX($AN$11:$AN$4010,MATCH(325,$AZ$11:$AZ$4010,0)),""))</f>
        <v/>
      </c>
      <c r="AG335" s="11" t="str">
        <f>IF(AE335="","",IFERROR(INDEX($AO$11:$AO$4010,MATCH(325,$AZ$11:$AZ$4010,0)),""))</f>
        <v/>
      </c>
      <c r="AH335" s="10" t="str">
        <f>IF(AE335="","",IFERROR(INDEX($AQ$11:$AQ$4010,MATCH(325,$AZ$11:$AZ$4010,0)),""))</f>
        <v/>
      </c>
      <c r="AI335" s="15" t="str">
        <f>IF(AE335="","",IFERROR(INDEX($AR$11:$AR$4010,MATCH(325,$AZ$11:$AZ$4010,0)),""))</f>
        <v/>
      </c>
      <c r="AJ335" s="15" t="str">
        <f>IF(AE335="","",IFERROR(INDEX($AT$11:$AT$4010,MATCH(325,$AZ$11:$AZ$4010,0)),""))</f>
        <v/>
      </c>
      <c r="AL335" s="17" t="str">
        <f t="shared" si="73"/>
        <v/>
      </c>
      <c r="AM335" s="12" t="str">
        <f t="shared" si="74"/>
        <v/>
      </c>
      <c r="AN335" s="18" t="str">
        <f t="shared" si="75"/>
        <v/>
      </c>
      <c r="AO335" s="18" t="str">
        <f t="shared" si="76"/>
        <v/>
      </c>
      <c r="AP335" s="10" t="str">
        <f t="shared" si="77"/>
        <v/>
      </c>
      <c r="AQ335" s="10" t="str">
        <f t="shared" si="78"/>
        <v/>
      </c>
      <c r="AR335" s="19" t="str">
        <f t="shared" si="79"/>
        <v/>
      </c>
      <c r="AS335" s="20"/>
      <c r="AT335" s="19"/>
      <c r="AV335" s="21">
        <f>IF(AND($AL335&lt;&gt;"",COUNTIF($AL$11:$AL335,$AL335)=1),1,0)</f>
        <v>0</v>
      </c>
      <c r="AW335" s="21">
        <f t="shared" si="81"/>
        <v>0</v>
      </c>
      <c r="AX335" s="21" t="str">
        <f t="shared" si="80"/>
        <v/>
      </c>
      <c r="AY335" s="21" t="str">
        <f>IF(AND($AM335&lt;&gt;"",$AS335&lt;&gt;"✓"),SUMPRODUCT(($AM$11:$AM335&lt;&gt;"")*($AS$11:$AS335&lt;&gt;"✓")),"")</f>
        <v/>
      </c>
      <c r="AZ335" s="21" t="str">
        <f>IF(AND($AM335&lt;&gt;"",$AS335="✓"),SUMPRODUCT(($AM$11:$AM335&lt;&gt;"")*($AS$11:$AS335="✓")),"")</f>
        <v/>
      </c>
      <c r="BA335" s="21" t="str">
        <f>IF($AL335="","",$AL335&amp;"|"&amp;COUNTIF($AL$11:$AL335,$AL335))</f>
        <v/>
      </c>
    </row>
    <row r="336" spans="2:53" ht="15" customHeight="1" x14ac:dyDescent="0.25">
      <c r="B336" s="5" t="str">
        <f t="shared" si="72"/>
        <v/>
      </c>
      <c r="C336" s="5"/>
      <c r="D336" s="5"/>
      <c r="E336" s="5"/>
      <c r="F336" s="6"/>
      <c r="G336" s="6"/>
      <c r="H336" s="7"/>
      <c r="I336" s="8"/>
      <c r="W336" s="28" t="str">
        <f>IF(X336="","",IFERROR(INDEX($AL$11:$AL$4010,MATCH(326,$AY$11:$AY$4010,0)),""))</f>
        <v/>
      </c>
      <c r="X336" s="26" t="str">
        <f>IFERROR(INDEX($AM$11:$AM$4010,MATCH(326,$AY$11:$AY$4010,0)),"")</f>
        <v/>
      </c>
      <c r="Y336" s="25" t="str">
        <f>IF(X336="","",IFERROR(INDEX($AN$11:$AN$4010,MATCH(326,$AY$11:$AY$4010,0)),""))</f>
        <v/>
      </c>
      <c r="Z336" s="25" t="str">
        <f>IF(X336="","",IFERROR(INDEX($AO$11:$AO$4010,MATCH(326,$AY$11:$AY$4010,0)),""))</f>
        <v/>
      </c>
      <c r="AA336" s="24" t="str">
        <f>IF(X336="","",IFERROR(INDEX($AQ$11:$AQ$4010,MATCH(326,$AY$11:$AY$4010,0)),""))</f>
        <v/>
      </c>
      <c r="AB336" s="29" t="str">
        <f>IF(X336="","",IFERROR(INDEX($AR$11:$AR$4010,MATCH(326,$AY$11:$AY$4010,0)),""))</f>
        <v/>
      </c>
      <c r="AD336" s="30" t="str">
        <f>IF(AE336="","",IFERROR(INDEX($AL$11:$AL$4010,MATCH(326,$AZ$11:$AZ$4010,0)),""))</f>
        <v/>
      </c>
      <c r="AE336" s="26" t="str">
        <f>IFERROR(INDEX($AM$11:$AM$4010,MATCH(326,$AZ$11:$AZ$4010,0)),"")</f>
        <v/>
      </c>
      <c r="AF336" s="25" t="str">
        <f>IF(AE336="","",IFERROR(INDEX($AN$11:$AN$4010,MATCH(326,$AZ$11:$AZ$4010,0)),""))</f>
        <v/>
      </c>
      <c r="AG336" s="25" t="str">
        <f>IF(AE336="","",IFERROR(INDEX($AO$11:$AO$4010,MATCH(326,$AZ$11:$AZ$4010,0)),""))</f>
        <v/>
      </c>
      <c r="AH336" s="24" t="str">
        <f>IF(AE336="","",IFERROR(INDEX($AQ$11:$AQ$4010,MATCH(326,$AZ$11:$AZ$4010,0)),""))</f>
        <v/>
      </c>
      <c r="AI336" s="29" t="str">
        <f>IF(AE336="","",IFERROR(INDEX($AR$11:$AR$4010,MATCH(326,$AZ$11:$AZ$4010,0)),""))</f>
        <v/>
      </c>
      <c r="AJ336" s="29" t="str">
        <f>IF(AE336="","",IFERROR(INDEX($AT$11:$AT$4010,MATCH(326,$AZ$11:$AZ$4010,0)),""))</f>
        <v/>
      </c>
      <c r="AL336" s="31" t="str">
        <f t="shared" si="73"/>
        <v/>
      </c>
      <c r="AM336" s="26" t="str">
        <f t="shared" si="74"/>
        <v/>
      </c>
      <c r="AN336" s="32" t="str">
        <f t="shared" si="75"/>
        <v/>
      </c>
      <c r="AO336" s="32" t="str">
        <f t="shared" si="76"/>
        <v/>
      </c>
      <c r="AP336" s="24" t="str">
        <f t="shared" si="77"/>
        <v/>
      </c>
      <c r="AQ336" s="24" t="str">
        <f t="shared" si="78"/>
        <v/>
      </c>
      <c r="AR336" s="33" t="str">
        <f t="shared" si="79"/>
        <v/>
      </c>
      <c r="AS336" s="34"/>
      <c r="AT336" s="33"/>
      <c r="AV336" s="21">
        <f>IF(AND($AL336&lt;&gt;"",COUNTIF($AL$11:$AL336,$AL336)=1),1,0)</f>
        <v>0</v>
      </c>
      <c r="AW336" s="21">
        <f t="shared" si="81"/>
        <v>0</v>
      </c>
      <c r="AX336" s="21" t="str">
        <f t="shared" si="80"/>
        <v/>
      </c>
      <c r="AY336" s="21" t="str">
        <f>IF(AND($AM336&lt;&gt;"",$AS336&lt;&gt;"✓"),SUMPRODUCT(($AM$11:$AM336&lt;&gt;"")*($AS$11:$AS336&lt;&gt;"✓")),"")</f>
        <v/>
      </c>
      <c r="AZ336" s="21" t="str">
        <f>IF(AND($AM336&lt;&gt;"",$AS336="✓"),SUMPRODUCT(($AM$11:$AM336&lt;&gt;"")*($AS$11:$AS336="✓")),"")</f>
        <v/>
      </c>
      <c r="BA336" s="21" t="str">
        <f>IF($AL336="","",$AL336&amp;"|"&amp;COUNTIF($AL$11:$AL336,$AL336))</f>
        <v/>
      </c>
    </row>
    <row r="337" spans="2:53" ht="15" customHeight="1" x14ac:dyDescent="0.25">
      <c r="B337" s="5" t="str">
        <f t="shared" si="72"/>
        <v/>
      </c>
      <c r="C337" s="5"/>
      <c r="D337" s="5"/>
      <c r="E337" s="5"/>
      <c r="F337" s="6"/>
      <c r="G337" s="6"/>
      <c r="H337" s="7"/>
      <c r="I337" s="8"/>
      <c r="W337" s="14" t="str">
        <f>IF(X337="","",IFERROR(INDEX($AL$11:$AL$4010,MATCH(327,$AY$11:$AY$4010,0)),""))</f>
        <v/>
      </c>
      <c r="X337" s="12" t="str">
        <f>IFERROR(INDEX($AM$11:$AM$4010,MATCH(327,$AY$11:$AY$4010,0)),"")</f>
        <v/>
      </c>
      <c r="Y337" s="11" t="str">
        <f>IF(X337="","",IFERROR(INDEX($AN$11:$AN$4010,MATCH(327,$AY$11:$AY$4010,0)),""))</f>
        <v/>
      </c>
      <c r="Z337" s="11" t="str">
        <f>IF(X337="","",IFERROR(INDEX($AO$11:$AO$4010,MATCH(327,$AY$11:$AY$4010,0)),""))</f>
        <v/>
      </c>
      <c r="AA337" s="10" t="str">
        <f>IF(X337="","",IFERROR(INDEX($AQ$11:$AQ$4010,MATCH(327,$AY$11:$AY$4010,0)),""))</f>
        <v/>
      </c>
      <c r="AB337" s="15" t="str">
        <f>IF(X337="","",IFERROR(INDEX($AR$11:$AR$4010,MATCH(327,$AY$11:$AY$4010,0)),""))</f>
        <v/>
      </c>
      <c r="AD337" s="16" t="str">
        <f>IF(AE337="","",IFERROR(INDEX($AL$11:$AL$4010,MATCH(327,$AZ$11:$AZ$4010,0)),""))</f>
        <v/>
      </c>
      <c r="AE337" s="12" t="str">
        <f>IFERROR(INDEX($AM$11:$AM$4010,MATCH(327,$AZ$11:$AZ$4010,0)),"")</f>
        <v/>
      </c>
      <c r="AF337" s="11" t="str">
        <f>IF(AE337="","",IFERROR(INDEX($AN$11:$AN$4010,MATCH(327,$AZ$11:$AZ$4010,0)),""))</f>
        <v/>
      </c>
      <c r="AG337" s="11" t="str">
        <f>IF(AE337="","",IFERROR(INDEX($AO$11:$AO$4010,MATCH(327,$AZ$11:$AZ$4010,0)),""))</f>
        <v/>
      </c>
      <c r="AH337" s="10" t="str">
        <f>IF(AE337="","",IFERROR(INDEX($AQ$11:$AQ$4010,MATCH(327,$AZ$11:$AZ$4010,0)),""))</f>
        <v/>
      </c>
      <c r="AI337" s="15" t="str">
        <f>IF(AE337="","",IFERROR(INDEX($AR$11:$AR$4010,MATCH(327,$AZ$11:$AZ$4010,0)),""))</f>
        <v/>
      </c>
      <c r="AJ337" s="15" t="str">
        <f>IF(AE337="","",IFERROR(INDEX($AT$11:$AT$4010,MATCH(327,$AZ$11:$AZ$4010,0)),""))</f>
        <v/>
      </c>
      <c r="AL337" s="17" t="str">
        <f t="shared" si="73"/>
        <v/>
      </c>
      <c r="AM337" s="12" t="str">
        <f t="shared" si="74"/>
        <v/>
      </c>
      <c r="AN337" s="18" t="str">
        <f t="shared" si="75"/>
        <v/>
      </c>
      <c r="AO337" s="18" t="str">
        <f t="shared" si="76"/>
        <v/>
      </c>
      <c r="AP337" s="10" t="str">
        <f t="shared" si="77"/>
        <v/>
      </c>
      <c r="AQ337" s="10" t="str">
        <f t="shared" si="78"/>
        <v/>
      </c>
      <c r="AR337" s="19" t="str">
        <f t="shared" si="79"/>
        <v/>
      </c>
      <c r="AS337" s="20"/>
      <c r="AT337" s="19"/>
      <c r="AV337" s="21">
        <f>IF(AND($AL337&lt;&gt;"",COUNTIF($AL$11:$AL337,$AL337)=1),1,0)</f>
        <v>0</v>
      </c>
      <c r="AW337" s="21">
        <f t="shared" si="81"/>
        <v>0</v>
      </c>
      <c r="AX337" s="21" t="str">
        <f t="shared" si="80"/>
        <v/>
      </c>
      <c r="AY337" s="21" t="str">
        <f>IF(AND($AM337&lt;&gt;"",$AS337&lt;&gt;"✓"),SUMPRODUCT(($AM$11:$AM337&lt;&gt;"")*($AS$11:$AS337&lt;&gt;"✓")),"")</f>
        <v/>
      </c>
      <c r="AZ337" s="21" t="str">
        <f>IF(AND($AM337&lt;&gt;"",$AS337="✓"),SUMPRODUCT(($AM$11:$AM337&lt;&gt;"")*($AS$11:$AS337="✓")),"")</f>
        <v/>
      </c>
      <c r="BA337" s="21" t="str">
        <f>IF($AL337="","",$AL337&amp;"|"&amp;COUNTIF($AL$11:$AL337,$AL337))</f>
        <v/>
      </c>
    </row>
    <row r="338" spans="2:53" ht="15" customHeight="1" x14ac:dyDescent="0.25">
      <c r="B338" s="5" t="str">
        <f t="shared" si="72"/>
        <v/>
      </c>
      <c r="C338" s="5"/>
      <c r="D338" s="5"/>
      <c r="E338" s="5"/>
      <c r="F338" s="6"/>
      <c r="G338" s="6"/>
      <c r="H338" s="7"/>
      <c r="I338" s="8"/>
      <c r="W338" s="28" t="str">
        <f>IF(X338="","",IFERROR(INDEX($AL$11:$AL$4010,MATCH(328,$AY$11:$AY$4010,0)),""))</f>
        <v/>
      </c>
      <c r="X338" s="26" t="str">
        <f>IFERROR(INDEX($AM$11:$AM$4010,MATCH(328,$AY$11:$AY$4010,0)),"")</f>
        <v/>
      </c>
      <c r="Y338" s="25" t="str">
        <f>IF(X338="","",IFERROR(INDEX($AN$11:$AN$4010,MATCH(328,$AY$11:$AY$4010,0)),""))</f>
        <v/>
      </c>
      <c r="Z338" s="25" t="str">
        <f>IF(X338="","",IFERROR(INDEX($AO$11:$AO$4010,MATCH(328,$AY$11:$AY$4010,0)),""))</f>
        <v/>
      </c>
      <c r="AA338" s="24" t="str">
        <f>IF(X338="","",IFERROR(INDEX($AQ$11:$AQ$4010,MATCH(328,$AY$11:$AY$4010,0)),""))</f>
        <v/>
      </c>
      <c r="AB338" s="29" t="str">
        <f>IF(X338="","",IFERROR(INDEX($AR$11:$AR$4010,MATCH(328,$AY$11:$AY$4010,0)),""))</f>
        <v/>
      </c>
      <c r="AD338" s="30" t="str">
        <f>IF(AE338="","",IFERROR(INDEX($AL$11:$AL$4010,MATCH(328,$AZ$11:$AZ$4010,0)),""))</f>
        <v/>
      </c>
      <c r="AE338" s="26" t="str">
        <f>IFERROR(INDEX($AM$11:$AM$4010,MATCH(328,$AZ$11:$AZ$4010,0)),"")</f>
        <v/>
      </c>
      <c r="AF338" s="25" t="str">
        <f>IF(AE338="","",IFERROR(INDEX($AN$11:$AN$4010,MATCH(328,$AZ$11:$AZ$4010,0)),""))</f>
        <v/>
      </c>
      <c r="AG338" s="25" t="str">
        <f>IF(AE338="","",IFERROR(INDEX($AO$11:$AO$4010,MATCH(328,$AZ$11:$AZ$4010,0)),""))</f>
        <v/>
      </c>
      <c r="AH338" s="24" t="str">
        <f>IF(AE338="","",IFERROR(INDEX($AQ$11:$AQ$4010,MATCH(328,$AZ$11:$AZ$4010,0)),""))</f>
        <v/>
      </c>
      <c r="AI338" s="29" t="str">
        <f>IF(AE338="","",IFERROR(INDEX($AR$11:$AR$4010,MATCH(328,$AZ$11:$AZ$4010,0)),""))</f>
        <v/>
      </c>
      <c r="AJ338" s="29" t="str">
        <f>IF(AE338="","",IFERROR(INDEX($AT$11:$AT$4010,MATCH(328,$AZ$11:$AZ$4010,0)),""))</f>
        <v/>
      </c>
      <c r="AL338" s="31" t="str">
        <f t="shared" si="73"/>
        <v/>
      </c>
      <c r="AM338" s="26" t="str">
        <f t="shared" si="74"/>
        <v/>
      </c>
      <c r="AN338" s="32" t="str">
        <f t="shared" si="75"/>
        <v/>
      </c>
      <c r="AO338" s="32" t="str">
        <f t="shared" si="76"/>
        <v/>
      </c>
      <c r="AP338" s="24" t="str">
        <f t="shared" si="77"/>
        <v/>
      </c>
      <c r="AQ338" s="24" t="str">
        <f t="shared" si="78"/>
        <v/>
      </c>
      <c r="AR338" s="33" t="str">
        <f t="shared" si="79"/>
        <v/>
      </c>
      <c r="AS338" s="34"/>
      <c r="AT338" s="33"/>
      <c r="AV338" s="21">
        <f>IF(AND($AL338&lt;&gt;"",COUNTIF($AL$11:$AL338,$AL338)=1),1,0)</f>
        <v>0</v>
      </c>
      <c r="AW338" s="21">
        <f t="shared" si="81"/>
        <v>0</v>
      </c>
      <c r="AX338" s="21" t="str">
        <f t="shared" si="80"/>
        <v/>
      </c>
      <c r="AY338" s="21" t="str">
        <f>IF(AND($AM338&lt;&gt;"",$AS338&lt;&gt;"✓"),SUMPRODUCT(($AM$11:$AM338&lt;&gt;"")*($AS$11:$AS338&lt;&gt;"✓")),"")</f>
        <v/>
      </c>
      <c r="AZ338" s="21" t="str">
        <f>IF(AND($AM338&lt;&gt;"",$AS338="✓"),SUMPRODUCT(($AM$11:$AM338&lt;&gt;"")*($AS$11:$AS338="✓")),"")</f>
        <v/>
      </c>
      <c r="BA338" s="21" t="str">
        <f>IF($AL338="","",$AL338&amp;"|"&amp;COUNTIF($AL$11:$AL338,$AL338))</f>
        <v/>
      </c>
    </row>
    <row r="339" spans="2:53" ht="15" customHeight="1" x14ac:dyDescent="0.25">
      <c r="B339" s="5" t="str">
        <f t="shared" si="72"/>
        <v/>
      </c>
      <c r="C339" s="5"/>
      <c r="D339" s="5"/>
      <c r="E339" s="5"/>
      <c r="F339" s="6"/>
      <c r="G339" s="6"/>
      <c r="H339" s="7"/>
      <c r="I339" s="8"/>
      <c r="W339" s="14" t="str">
        <f>IF(X339="","",IFERROR(INDEX($AL$11:$AL$4010,MATCH(329,$AY$11:$AY$4010,0)),""))</f>
        <v/>
      </c>
      <c r="X339" s="12" t="str">
        <f>IFERROR(INDEX($AM$11:$AM$4010,MATCH(329,$AY$11:$AY$4010,0)),"")</f>
        <v/>
      </c>
      <c r="Y339" s="11" t="str">
        <f>IF(X339="","",IFERROR(INDEX($AN$11:$AN$4010,MATCH(329,$AY$11:$AY$4010,0)),""))</f>
        <v/>
      </c>
      <c r="Z339" s="11" t="str">
        <f>IF(X339="","",IFERROR(INDEX($AO$11:$AO$4010,MATCH(329,$AY$11:$AY$4010,0)),""))</f>
        <v/>
      </c>
      <c r="AA339" s="10" t="str">
        <f>IF(X339="","",IFERROR(INDEX($AQ$11:$AQ$4010,MATCH(329,$AY$11:$AY$4010,0)),""))</f>
        <v/>
      </c>
      <c r="AB339" s="15" t="str">
        <f>IF(X339="","",IFERROR(INDEX($AR$11:$AR$4010,MATCH(329,$AY$11:$AY$4010,0)),""))</f>
        <v/>
      </c>
      <c r="AD339" s="16" t="str">
        <f>IF(AE339="","",IFERROR(INDEX($AL$11:$AL$4010,MATCH(329,$AZ$11:$AZ$4010,0)),""))</f>
        <v/>
      </c>
      <c r="AE339" s="12" t="str">
        <f>IFERROR(INDEX($AM$11:$AM$4010,MATCH(329,$AZ$11:$AZ$4010,0)),"")</f>
        <v/>
      </c>
      <c r="AF339" s="11" t="str">
        <f>IF(AE339="","",IFERROR(INDEX($AN$11:$AN$4010,MATCH(329,$AZ$11:$AZ$4010,0)),""))</f>
        <v/>
      </c>
      <c r="AG339" s="11" t="str">
        <f>IF(AE339="","",IFERROR(INDEX($AO$11:$AO$4010,MATCH(329,$AZ$11:$AZ$4010,0)),""))</f>
        <v/>
      </c>
      <c r="AH339" s="10" t="str">
        <f>IF(AE339="","",IFERROR(INDEX($AQ$11:$AQ$4010,MATCH(329,$AZ$11:$AZ$4010,0)),""))</f>
        <v/>
      </c>
      <c r="AI339" s="15" t="str">
        <f>IF(AE339="","",IFERROR(INDEX($AR$11:$AR$4010,MATCH(329,$AZ$11:$AZ$4010,0)),""))</f>
        <v/>
      </c>
      <c r="AJ339" s="15" t="str">
        <f>IF(AE339="","",IFERROR(INDEX($AT$11:$AT$4010,MATCH(329,$AZ$11:$AZ$4010,0)),""))</f>
        <v/>
      </c>
      <c r="AL339" s="17" t="str">
        <f t="shared" si="73"/>
        <v/>
      </c>
      <c r="AM339" s="12" t="str">
        <f t="shared" si="74"/>
        <v/>
      </c>
      <c r="AN339" s="18" t="str">
        <f t="shared" si="75"/>
        <v/>
      </c>
      <c r="AO339" s="18" t="str">
        <f t="shared" si="76"/>
        <v/>
      </c>
      <c r="AP339" s="10" t="str">
        <f t="shared" si="77"/>
        <v/>
      </c>
      <c r="AQ339" s="10" t="str">
        <f t="shared" si="78"/>
        <v/>
      </c>
      <c r="AR339" s="19" t="str">
        <f t="shared" si="79"/>
        <v/>
      </c>
      <c r="AS339" s="20"/>
      <c r="AT339" s="19"/>
      <c r="AV339" s="21">
        <f>IF(AND($AL339&lt;&gt;"",COUNTIF($AL$11:$AL339,$AL339)=1),1,0)</f>
        <v>0</v>
      </c>
      <c r="AW339" s="21">
        <f t="shared" si="81"/>
        <v>0</v>
      </c>
      <c r="AX339" s="21" t="str">
        <f t="shared" si="80"/>
        <v/>
      </c>
      <c r="AY339" s="21" t="str">
        <f>IF(AND($AM339&lt;&gt;"",$AS339&lt;&gt;"✓"),SUMPRODUCT(($AM$11:$AM339&lt;&gt;"")*($AS$11:$AS339&lt;&gt;"✓")),"")</f>
        <v/>
      </c>
      <c r="AZ339" s="21" t="str">
        <f>IF(AND($AM339&lt;&gt;"",$AS339="✓"),SUMPRODUCT(($AM$11:$AM339&lt;&gt;"")*($AS$11:$AS339="✓")),"")</f>
        <v/>
      </c>
      <c r="BA339" s="21" t="str">
        <f>IF($AL339="","",$AL339&amp;"|"&amp;COUNTIF($AL$11:$AL339,$AL339))</f>
        <v/>
      </c>
    </row>
    <row r="340" spans="2:53" ht="15" customHeight="1" x14ac:dyDescent="0.25">
      <c r="B340" s="5" t="str">
        <f t="shared" si="72"/>
        <v/>
      </c>
      <c r="C340" s="5"/>
      <c r="D340" s="5"/>
      <c r="E340" s="5"/>
      <c r="F340" s="6"/>
      <c r="G340" s="6"/>
      <c r="H340" s="7"/>
      <c r="I340" s="8"/>
      <c r="W340" s="28" t="str">
        <f>IF(X340="","",IFERROR(INDEX($AL$11:$AL$4010,MATCH(330,$AY$11:$AY$4010,0)),""))</f>
        <v/>
      </c>
      <c r="X340" s="26" t="str">
        <f>IFERROR(INDEX($AM$11:$AM$4010,MATCH(330,$AY$11:$AY$4010,0)),"")</f>
        <v/>
      </c>
      <c r="Y340" s="25" t="str">
        <f>IF(X340="","",IFERROR(INDEX($AN$11:$AN$4010,MATCH(330,$AY$11:$AY$4010,0)),""))</f>
        <v/>
      </c>
      <c r="Z340" s="25" t="str">
        <f>IF(X340="","",IFERROR(INDEX($AO$11:$AO$4010,MATCH(330,$AY$11:$AY$4010,0)),""))</f>
        <v/>
      </c>
      <c r="AA340" s="24" t="str">
        <f>IF(X340="","",IFERROR(INDEX($AQ$11:$AQ$4010,MATCH(330,$AY$11:$AY$4010,0)),""))</f>
        <v/>
      </c>
      <c r="AB340" s="29" t="str">
        <f>IF(X340="","",IFERROR(INDEX($AR$11:$AR$4010,MATCH(330,$AY$11:$AY$4010,0)),""))</f>
        <v/>
      </c>
      <c r="AD340" s="30" t="str">
        <f>IF(AE340="","",IFERROR(INDEX($AL$11:$AL$4010,MATCH(330,$AZ$11:$AZ$4010,0)),""))</f>
        <v/>
      </c>
      <c r="AE340" s="26" t="str">
        <f>IFERROR(INDEX($AM$11:$AM$4010,MATCH(330,$AZ$11:$AZ$4010,0)),"")</f>
        <v/>
      </c>
      <c r="AF340" s="25" t="str">
        <f>IF(AE340="","",IFERROR(INDEX($AN$11:$AN$4010,MATCH(330,$AZ$11:$AZ$4010,0)),""))</f>
        <v/>
      </c>
      <c r="AG340" s="25" t="str">
        <f>IF(AE340="","",IFERROR(INDEX($AO$11:$AO$4010,MATCH(330,$AZ$11:$AZ$4010,0)),""))</f>
        <v/>
      </c>
      <c r="AH340" s="24" t="str">
        <f>IF(AE340="","",IFERROR(INDEX($AQ$11:$AQ$4010,MATCH(330,$AZ$11:$AZ$4010,0)),""))</f>
        <v/>
      </c>
      <c r="AI340" s="29" t="str">
        <f>IF(AE340="","",IFERROR(INDEX($AR$11:$AR$4010,MATCH(330,$AZ$11:$AZ$4010,0)),""))</f>
        <v/>
      </c>
      <c r="AJ340" s="29" t="str">
        <f>IF(AE340="","",IFERROR(INDEX($AT$11:$AT$4010,MATCH(330,$AZ$11:$AZ$4010,0)),""))</f>
        <v/>
      </c>
      <c r="AL340" s="31" t="str">
        <f t="shared" si="73"/>
        <v/>
      </c>
      <c r="AM340" s="26" t="str">
        <f t="shared" si="74"/>
        <v/>
      </c>
      <c r="AN340" s="32" t="str">
        <f t="shared" si="75"/>
        <v/>
      </c>
      <c r="AO340" s="32" t="str">
        <f t="shared" si="76"/>
        <v/>
      </c>
      <c r="AP340" s="24" t="str">
        <f t="shared" si="77"/>
        <v/>
      </c>
      <c r="AQ340" s="24" t="str">
        <f t="shared" si="78"/>
        <v/>
      </c>
      <c r="AR340" s="33" t="str">
        <f t="shared" si="79"/>
        <v/>
      </c>
      <c r="AS340" s="34"/>
      <c r="AT340" s="33"/>
      <c r="AV340" s="21">
        <f>IF(AND($AL340&lt;&gt;"",COUNTIF($AL$11:$AL340,$AL340)=1),1,0)</f>
        <v>0</v>
      </c>
      <c r="AW340" s="21">
        <f t="shared" si="81"/>
        <v>0</v>
      </c>
      <c r="AX340" s="21" t="str">
        <f t="shared" si="80"/>
        <v/>
      </c>
      <c r="AY340" s="21" t="str">
        <f>IF(AND($AM340&lt;&gt;"",$AS340&lt;&gt;"✓"),SUMPRODUCT(($AM$11:$AM340&lt;&gt;"")*($AS$11:$AS340&lt;&gt;"✓")),"")</f>
        <v/>
      </c>
      <c r="AZ340" s="21" t="str">
        <f>IF(AND($AM340&lt;&gt;"",$AS340="✓"),SUMPRODUCT(($AM$11:$AM340&lt;&gt;"")*($AS$11:$AS340="✓")),"")</f>
        <v/>
      </c>
      <c r="BA340" s="21" t="str">
        <f>IF($AL340="","",$AL340&amp;"|"&amp;COUNTIF($AL$11:$AL340,$AL340))</f>
        <v/>
      </c>
    </row>
    <row r="341" spans="2:53" ht="15" customHeight="1" x14ac:dyDescent="0.25">
      <c r="B341" s="5" t="str">
        <f t="shared" si="72"/>
        <v/>
      </c>
      <c r="C341" s="5"/>
      <c r="D341" s="5"/>
      <c r="E341" s="5"/>
      <c r="F341" s="6"/>
      <c r="G341" s="6"/>
      <c r="H341" s="7"/>
      <c r="I341" s="8"/>
      <c r="W341" s="14" t="str">
        <f>IF(X341="","",IFERROR(INDEX($AL$11:$AL$4010,MATCH(331,$AY$11:$AY$4010,0)),""))</f>
        <v/>
      </c>
      <c r="X341" s="12" t="str">
        <f>IFERROR(INDEX($AM$11:$AM$4010,MATCH(331,$AY$11:$AY$4010,0)),"")</f>
        <v/>
      </c>
      <c r="Y341" s="11" t="str">
        <f>IF(X341="","",IFERROR(INDEX($AN$11:$AN$4010,MATCH(331,$AY$11:$AY$4010,0)),""))</f>
        <v/>
      </c>
      <c r="Z341" s="11" t="str">
        <f>IF(X341="","",IFERROR(INDEX($AO$11:$AO$4010,MATCH(331,$AY$11:$AY$4010,0)),""))</f>
        <v/>
      </c>
      <c r="AA341" s="10" t="str">
        <f>IF(X341="","",IFERROR(INDEX($AQ$11:$AQ$4010,MATCH(331,$AY$11:$AY$4010,0)),""))</f>
        <v/>
      </c>
      <c r="AB341" s="15" t="str">
        <f>IF(X341="","",IFERROR(INDEX($AR$11:$AR$4010,MATCH(331,$AY$11:$AY$4010,0)),""))</f>
        <v/>
      </c>
      <c r="AD341" s="16" t="str">
        <f>IF(AE341="","",IFERROR(INDEX($AL$11:$AL$4010,MATCH(331,$AZ$11:$AZ$4010,0)),""))</f>
        <v/>
      </c>
      <c r="AE341" s="12" t="str">
        <f>IFERROR(INDEX($AM$11:$AM$4010,MATCH(331,$AZ$11:$AZ$4010,0)),"")</f>
        <v/>
      </c>
      <c r="AF341" s="11" t="str">
        <f>IF(AE341="","",IFERROR(INDEX($AN$11:$AN$4010,MATCH(331,$AZ$11:$AZ$4010,0)),""))</f>
        <v/>
      </c>
      <c r="AG341" s="11" t="str">
        <f>IF(AE341="","",IFERROR(INDEX($AO$11:$AO$4010,MATCH(331,$AZ$11:$AZ$4010,0)),""))</f>
        <v/>
      </c>
      <c r="AH341" s="10" t="str">
        <f>IF(AE341="","",IFERROR(INDEX($AQ$11:$AQ$4010,MATCH(331,$AZ$11:$AZ$4010,0)),""))</f>
        <v/>
      </c>
      <c r="AI341" s="15" t="str">
        <f>IF(AE341="","",IFERROR(INDEX($AR$11:$AR$4010,MATCH(331,$AZ$11:$AZ$4010,0)),""))</f>
        <v/>
      </c>
      <c r="AJ341" s="15" t="str">
        <f>IF(AE341="","",IFERROR(INDEX($AT$11:$AT$4010,MATCH(331,$AZ$11:$AZ$4010,0)),""))</f>
        <v/>
      </c>
      <c r="AL341" s="17" t="str">
        <f t="shared" si="73"/>
        <v/>
      </c>
      <c r="AM341" s="12" t="str">
        <f t="shared" si="74"/>
        <v/>
      </c>
      <c r="AN341" s="18" t="str">
        <f t="shared" si="75"/>
        <v/>
      </c>
      <c r="AO341" s="18" t="str">
        <f t="shared" si="76"/>
        <v/>
      </c>
      <c r="AP341" s="10" t="str">
        <f t="shared" si="77"/>
        <v/>
      </c>
      <c r="AQ341" s="10" t="str">
        <f t="shared" si="78"/>
        <v/>
      </c>
      <c r="AR341" s="19" t="str">
        <f t="shared" si="79"/>
        <v/>
      </c>
      <c r="AS341" s="20"/>
      <c r="AT341" s="19"/>
      <c r="AV341" s="21">
        <f>IF(AND($AL341&lt;&gt;"",COUNTIF($AL$11:$AL341,$AL341)=1),1,0)</f>
        <v>0</v>
      </c>
      <c r="AW341" s="21">
        <f t="shared" si="81"/>
        <v>0</v>
      </c>
      <c r="AX341" s="21" t="str">
        <f t="shared" si="80"/>
        <v/>
      </c>
      <c r="AY341" s="21" t="str">
        <f>IF(AND($AM341&lt;&gt;"",$AS341&lt;&gt;"✓"),SUMPRODUCT(($AM$11:$AM341&lt;&gt;"")*($AS$11:$AS341&lt;&gt;"✓")),"")</f>
        <v/>
      </c>
      <c r="AZ341" s="21" t="str">
        <f>IF(AND($AM341&lt;&gt;"",$AS341="✓"),SUMPRODUCT(($AM$11:$AM341&lt;&gt;"")*($AS$11:$AS341="✓")),"")</f>
        <v/>
      </c>
      <c r="BA341" s="21" t="str">
        <f>IF($AL341="","",$AL341&amp;"|"&amp;COUNTIF($AL$11:$AL341,$AL341))</f>
        <v/>
      </c>
    </row>
    <row r="342" spans="2:53" ht="15" customHeight="1" x14ac:dyDescent="0.25">
      <c r="B342" s="5" t="str">
        <f t="shared" si="72"/>
        <v/>
      </c>
      <c r="C342" s="5"/>
      <c r="D342" s="5"/>
      <c r="E342" s="5"/>
      <c r="F342" s="6"/>
      <c r="G342" s="6"/>
      <c r="H342" s="7"/>
      <c r="I342" s="8"/>
      <c r="W342" s="28" t="str">
        <f>IF(X342="","",IFERROR(INDEX($AL$11:$AL$4010,MATCH(332,$AY$11:$AY$4010,0)),""))</f>
        <v/>
      </c>
      <c r="X342" s="26" t="str">
        <f>IFERROR(INDEX($AM$11:$AM$4010,MATCH(332,$AY$11:$AY$4010,0)),"")</f>
        <v/>
      </c>
      <c r="Y342" s="25" t="str">
        <f>IF(X342="","",IFERROR(INDEX($AN$11:$AN$4010,MATCH(332,$AY$11:$AY$4010,0)),""))</f>
        <v/>
      </c>
      <c r="Z342" s="25" t="str">
        <f>IF(X342="","",IFERROR(INDEX($AO$11:$AO$4010,MATCH(332,$AY$11:$AY$4010,0)),""))</f>
        <v/>
      </c>
      <c r="AA342" s="24" t="str">
        <f>IF(X342="","",IFERROR(INDEX($AQ$11:$AQ$4010,MATCH(332,$AY$11:$AY$4010,0)),""))</f>
        <v/>
      </c>
      <c r="AB342" s="29" t="str">
        <f>IF(X342="","",IFERROR(INDEX($AR$11:$AR$4010,MATCH(332,$AY$11:$AY$4010,0)),""))</f>
        <v/>
      </c>
      <c r="AD342" s="30" t="str">
        <f>IF(AE342="","",IFERROR(INDEX($AL$11:$AL$4010,MATCH(332,$AZ$11:$AZ$4010,0)),""))</f>
        <v/>
      </c>
      <c r="AE342" s="26" t="str">
        <f>IFERROR(INDEX($AM$11:$AM$4010,MATCH(332,$AZ$11:$AZ$4010,0)),"")</f>
        <v/>
      </c>
      <c r="AF342" s="25" t="str">
        <f>IF(AE342="","",IFERROR(INDEX($AN$11:$AN$4010,MATCH(332,$AZ$11:$AZ$4010,0)),""))</f>
        <v/>
      </c>
      <c r="AG342" s="25" t="str">
        <f>IF(AE342="","",IFERROR(INDEX($AO$11:$AO$4010,MATCH(332,$AZ$11:$AZ$4010,0)),""))</f>
        <v/>
      </c>
      <c r="AH342" s="24" t="str">
        <f>IF(AE342="","",IFERROR(INDEX($AQ$11:$AQ$4010,MATCH(332,$AZ$11:$AZ$4010,0)),""))</f>
        <v/>
      </c>
      <c r="AI342" s="29" t="str">
        <f>IF(AE342="","",IFERROR(INDEX($AR$11:$AR$4010,MATCH(332,$AZ$11:$AZ$4010,0)),""))</f>
        <v/>
      </c>
      <c r="AJ342" s="29" t="str">
        <f>IF(AE342="","",IFERROR(INDEX($AT$11:$AT$4010,MATCH(332,$AZ$11:$AZ$4010,0)),""))</f>
        <v/>
      </c>
      <c r="AL342" s="31" t="str">
        <f t="shared" si="73"/>
        <v/>
      </c>
      <c r="AM342" s="26" t="str">
        <f t="shared" si="74"/>
        <v/>
      </c>
      <c r="AN342" s="32" t="str">
        <f t="shared" si="75"/>
        <v/>
      </c>
      <c r="AO342" s="32" t="str">
        <f t="shared" si="76"/>
        <v/>
      </c>
      <c r="AP342" s="24" t="str">
        <f t="shared" si="77"/>
        <v/>
      </c>
      <c r="AQ342" s="24" t="str">
        <f t="shared" si="78"/>
        <v/>
      </c>
      <c r="AR342" s="33" t="str">
        <f t="shared" si="79"/>
        <v/>
      </c>
      <c r="AS342" s="34"/>
      <c r="AT342" s="33"/>
      <c r="AV342" s="21">
        <f>IF(AND($AL342&lt;&gt;"",COUNTIF($AL$11:$AL342,$AL342)=1),1,0)</f>
        <v>0</v>
      </c>
      <c r="AW342" s="21">
        <f t="shared" si="81"/>
        <v>0</v>
      </c>
      <c r="AX342" s="21" t="str">
        <f t="shared" si="80"/>
        <v/>
      </c>
      <c r="AY342" s="21" t="str">
        <f>IF(AND($AM342&lt;&gt;"",$AS342&lt;&gt;"✓"),SUMPRODUCT(($AM$11:$AM342&lt;&gt;"")*($AS$11:$AS342&lt;&gt;"✓")),"")</f>
        <v/>
      </c>
      <c r="AZ342" s="21" t="str">
        <f>IF(AND($AM342&lt;&gt;"",$AS342="✓"),SUMPRODUCT(($AM$11:$AM342&lt;&gt;"")*($AS$11:$AS342="✓")),"")</f>
        <v/>
      </c>
      <c r="BA342" s="21" t="str">
        <f>IF($AL342="","",$AL342&amp;"|"&amp;COUNTIF($AL$11:$AL342,$AL342))</f>
        <v/>
      </c>
    </row>
    <row r="343" spans="2:53" ht="15" customHeight="1" x14ac:dyDescent="0.25">
      <c r="B343" s="5" t="str">
        <f t="shared" si="72"/>
        <v/>
      </c>
      <c r="C343" s="5"/>
      <c r="D343" s="5"/>
      <c r="E343" s="5"/>
      <c r="F343" s="6"/>
      <c r="G343" s="6"/>
      <c r="H343" s="7"/>
      <c r="I343" s="8"/>
      <c r="W343" s="14" t="str">
        <f>IF(X343="","",IFERROR(INDEX($AL$11:$AL$4010,MATCH(333,$AY$11:$AY$4010,0)),""))</f>
        <v/>
      </c>
      <c r="X343" s="12" t="str">
        <f>IFERROR(INDEX($AM$11:$AM$4010,MATCH(333,$AY$11:$AY$4010,0)),"")</f>
        <v/>
      </c>
      <c r="Y343" s="11" t="str">
        <f>IF(X343="","",IFERROR(INDEX($AN$11:$AN$4010,MATCH(333,$AY$11:$AY$4010,0)),""))</f>
        <v/>
      </c>
      <c r="Z343" s="11" t="str">
        <f>IF(X343="","",IFERROR(INDEX($AO$11:$AO$4010,MATCH(333,$AY$11:$AY$4010,0)),""))</f>
        <v/>
      </c>
      <c r="AA343" s="10" t="str">
        <f>IF(X343="","",IFERROR(INDEX($AQ$11:$AQ$4010,MATCH(333,$AY$11:$AY$4010,0)),""))</f>
        <v/>
      </c>
      <c r="AB343" s="15" t="str">
        <f>IF(X343="","",IFERROR(INDEX($AR$11:$AR$4010,MATCH(333,$AY$11:$AY$4010,0)),""))</f>
        <v/>
      </c>
      <c r="AD343" s="16" t="str">
        <f>IF(AE343="","",IFERROR(INDEX($AL$11:$AL$4010,MATCH(333,$AZ$11:$AZ$4010,0)),""))</f>
        <v/>
      </c>
      <c r="AE343" s="12" t="str">
        <f>IFERROR(INDEX($AM$11:$AM$4010,MATCH(333,$AZ$11:$AZ$4010,0)),"")</f>
        <v/>
      </c>
      <c r="AF343" s="11" t="str">
        <f>IF(AE343="","",IFERROR(INDEX($AN$11:$AN$4010,MATCH(333,$AZ$11:$AZ$4010,0)),""))</f>
        <v/>
      </c>
      <c r="AG343" s="11" t="str">
        <f>IF(AE343="","",IFERROR(INDEX($AO$11:$AO$4010,MATCH(333,$AZ$11:$AZ$4010,0)),""))</f>
        <v/>
      </c>
      <c r="AH343" s="10" t="str">
        <f>IF(AE343="","",IFERROR(INDEX($AQ$11:$AQ$4010,MATCH(333,$AZ$11:$AZ$4010,0)),""))</f>
        <v/>
      </c>
      <c r="AI343" s="15" t="str">
        <f>IF(AE343="","",IFERROR(INDEX($AR$11:$AR$4010,MATCH(333,$AZ$11:$AZ$4010,0)),""))</f>
        <v/>
      </c>
      <c r="AJ343" s="15" t="str">
        <f>IF(AE343="","",IFERROR(INDEX($AT$11:$AT$4010,MATCH(333,$AZ$11:$AZ$4010,0)),""))</f>
        <v/>
      </c>
      <c r="AL343" s="17" t="str">
        <f t="shared" si="73"/>
        <v/>
      </c>
      <c r="AM343" s="12" t="str">
        <f t="shared" si="74"/>
        <v/>
      </c>
      <c r="AN343" s="18" t="str">
        <f t="shared" si="75"/>
        <v/>
      </c>
      <c r="AO343" s="18" t="str">
        <f t="shared" si="76"/>
        <v/>
      </c>
      <c r="AP343" s="10" t="str">
        <f t="shared" si="77"/>
        <v/>
      </c>
      <c r="AQ343" s="10" t="str">
        <f t="shared" si="78"/>
        <v/>
      </c>
      <c r="AR343" s="19" t="str">
        <f t="shared" si="79"/>
        <v/>
      </c>
      <c r="AS343" s="20"/>
      <c r="AT343" s="19"/>
      <c r="AV343" s="21">
        <f>IF(AND($AL343&lt;&gt;"",COUNTIF($AL$11:$AL343,$AL343)=1),1,0)</f>
        <v>0</v>
      </c>
      <c r="AW343" s="21">
        <f t="shared" si="81"/>
        <v>0</v>
      </c>
      <c r="AX343" s="21" t="str">
        <f t="shared" si="80"/>
        <v/>
      </c>
      <c r="AY343" s="21" t="str">
        <f>IF(AND($AM343&lt;&gt;"",$AS343&lt;&gt;"✓"),SUMPRODUCT(($AM$11:$AM343&lt;&gt;"")*($AS$11:$AS343&lt;&gt;"✓")),"")</f>
        <v/>
      </c>
      <c r="AZ343" s="21" t="str">
        <f>IF(AND($AM343&lt;&gt;"",$AS343="✓"),SUMPRODUCT(($AM$11:$AM343&lt;&gt;"")*($AS$11:$AS343="✓")),"")</f>
        <v/>
      </c>
      <c r="BA343" s="21" t="str">
        <f>IF($AL343="","",$AL343&amp;"|"&amp;COUNTIF($AL$11:$AL343,$AL343))</f>
        <v/>
      </c>
    </row>
    <row r="344" spans="2:53" ht="15" customHeight="1" x14ac:dyDescent="0.25">
      <c r="B344" s="5" t="str">
        <f t="shared" si="72"/>
        <v/>
      </c>
      <c r="C344" s="5"/>
      <c r="D344" s="5"/>
      <c r="E344" s="5"/>
      <c r="F344" s="6"/>
      <c r="G344" s="6"/>
      <c r="H344" s="7"/>
      <c r="I344" s="8"/>
      <c r="W344" s="28" t="str">
        <f>IF(X344="","",IFERROR(INDEX($AL$11:$AL$4010,MATCH(334,$AY$11:$AY$4010,0)),""))</f>
        <v/>
      </c>
      <c r="X344" s="26" t="str">
        <f>IFERROR(INDEX($AM$11:$AM$4010,MATCH(334,$AY$11:$AY$4010,0)),"")</f>
        <v/>
      </c>
      <c r="Y344" s="25" t="str">
        <f>IF(X344="","",IFERROR(INDEX($AN$11:$AN$4010,MATCH(334,$AY$11:$AY$4010,0)),""))</f>
        <v/>
      </c>
      <c r="Z344" s="25" t="str">
        <f>IF(X344="","",IFERROR(INDEX($AO$11:$AO$4010,MATCH(334,$AY$11:$AY$4010,0)),""))</f>
        <v/>
      </c>
      <c r="AA344" s="24" t="str">
        <f>IF(X344="","",IFERROR(INDEX($AQ$11:$AQ$4010,MATCH(334,$AY$11:$AY$4010,0)),""))</f>
        <v/>
      </c>
      <c r="AB344" s="29" t="str">
        <f>IF(X344="","",IFERROR(INDEX($AR$11:$AR$4010,MATCH(334,$AY$11:$AY$4010,0)),""))</f>
        <v/>
      </c>
      <c r="AD344" s="30" t="str">
        <f>IF(AE344="","",IFERROR(INDEX($AL$11:$AL$4010,MATCH(334,$AZ$11:$AZ$4010,0)),""))</f>
        <v/>
      </c>
      <c r="AE344" s="26" t="str">
        <f>IFERROR(INDEX($AM$11:$AM$4010,MATCH(334,$AZ$11:$AZ$4010,0)),"")</f>
        <v/>
      </c>
      <c r="AF344" s="25" t="str">
        <f>IF(AE344="","",IFERROR(INDEX($AN$11:$AN$4010,MATCH(334,$AZ$11:$AZ$4010,0)),""))</f>
        <v/>
      </c>
      <c r="AG344" s="25" t="str">
        <f>IF(AE344="","",IFERROR(INDEX($AO$11:$AO$4010,MATCH(334,$AZ$11:$AZ$4010,0)),""))</f>
        <v/>
      </c>
      <c r="AH344" s="24" t="str">
        <f>IF(AE344="","",IFERROR(INDEX($AQ$11:$AQ$4010,MATCH(334,$AZ$11:$AZ$4010,0)),""))</f>
        <v/>
      </c>
      <c r="AI344" s="29" t="str">
        <f>IF(AE344="","",IFERROR(INDEX($AR$11:$AR$4010,MATCH(334,$AZ$11:$AZ$4010,0)),""))</f>
        <v/>
      </c>
      <c r="AJ344" s="29" t="str">
        <f>IF(AE344="","",IFERROR(INDEX($AT$11:$AT$4010,MATCH(334,$AZ$11:$AZ$4010,0)),""))</f>
        <v/>
      </c>
      <c r="AL344" s="31" t="str">
        <f t="shared" si="73"/>
        <v/>
      </c>
      <c r="AM344" s="26" t="str">
        <f t="shared" si="74"/>
        <v/>
      </c>
      <c r="AN344" s="32" t="str">
        <f t="shared" si="75"/>
        <v/>
      </c>
      <c r="AO344" s="32" t="str">
        <f t="shared" si="76"/>
        <v/>
      </c>
      <c r="AP344" s="24" t="str">
        <f t="shared" si="77"/>
        <v/>
      </c>
      <c r="AQ344" s="24" t="str">
        <f t="shared" si="78"/>
        <v/>
      </c>
      <c r="AR344" s="33" t="str">
        <f t="shared" si="79"/>
        <v/>
      </c>
      <c r="AS344" s="34"/>
      <c r="AT344" s="33"/>
      <c r="AV344" s="21">
        <f>IF(AND($AL344&lt;&gt;"",COUNTIF($AL$11:$AL344,$AL344)=1),1,0)</f>
        <v>0</v>
      </c>
      <c r="AW344" s="21">
        <f t="shared" si="81"/>
        <v>0</v>
      </c>
      <c r="AX344" s="21" t="str">
        <f t="shared" si="80"/>
        <v/>
      </c>
      <c r="AY344" s="21" t="str">
        <f>IF(AND($AM344&lt;&gt;"",$AS344&lt;&gt;"✓"),SUMPRODUCT(($AM$11:$AM344&lt;&gt;"")*($AS$11:$AS344&lt;&gt;"✓")),"")</f>
        <v/>
      </c>
      <c r="AZ344" s="21" t="str">
        <f>IF(AND($AM344&lt;&gt;"",$AS344="✓"),SUMPRODUCT(($AM$11:$AM344&lt;&gt;"")*($AS$11:$AS344="✓")),"")</f>
        <v/>
      </c>
      <c r="BA344" s="21" t="str">
        <f>IF($AL344="","",$AL344&amp;"|"&amp;COUNTIF($AL$11:$AL344,$AL344))</f>
        <v/>
      </c>
    </row>
    <row r="345" spans="2:53" ht="15" customHeight="1" x14ac:dyDescent="0.25">
      <c r="B345" s="5" t="str">
        <f t="shared" si="72"/>
        <v/>
      </c>
      <c r="C345" s="5"/>
      <c r="D345" s="5"/>
      <c r="E345" s="5"/>
      <c r="F345" s="6"/>
      <c r="G345" s="6"/>
      <c r="H345" s="7"/>
      <c r="I345" s="8"/>
      <c r="W345" s="14" t="str">
        <f>IF(X345="","",IFERROR(INDEX($AL$11:$AL$4010,MATCH(335,$AY$11:$AY$4010,0)),""))</f>
        <v/>
      </c>
      <c r="X345" s="12" t="str">
        <f>IFERROR(INDEX($AM$11:$AM$4010,MATCH(335,$AY$11:$AY$4010,0)),"")</f>
        <v/>
      </c>
      <c r="Y345" s="11" t="str">
        <f>IF(X345="","",IFERROR(INDEX($AN$11:$AN$4010,MATCH(335,$AY$11:$AY$4010,0)),""))</f>
        <v/>
      </c>
      <c r="Z345" s="11" t="str">
        <f>IF(X345="","",IFERROR(INDEX($AO$11:$AO$4010,MATCH(335,$AY$11:$AY$4010,0)),""))</f>
        <v/>
      </c>
      <c r="AA345" s="10" t="str">
        <f>IF(X345="","",IFERROR(INDEX($AQ$11:$AQ$4010,MATCH(335,$AY$11:$AY$4010,0)),""))</f>
        <v/>
      </c>
      <c r="AB345" s="15" t="str">
        <f>IF(X345="","",IFERROR(INDEX($AR$11:$AR$4010,MATCH(335,$AY$11:$AY$4010,0)),""))</f>
        <v/>
      </c>
      <c r="AD345" s="16" t="str">
        <f>IF(AE345="","",IFERROR(INDEX($AL$11:$AL$4010,MATCH(335,$AZ$11:$AZ$4010,0)),""))</f>
        <v/>
      </c>
      <c r="AE345" s="12" t="str">
        <f>IFERROR(INDEX($AM$11:$AM$4010,MATCH(335,$AZ$11:$AZ$4010,0)),"")</f>
        <v/>
      </c>
      <c r="AF345" s="11" t="str">
        <f>IF(AE345="","",IFERROR(INDEX($AN$11:$AN$4010,MATCH(335,$AZ$11:$AZ$4010,0)),""))</f>
        <v/>
      </c>
      <c r="AG345" s="11" t="str">
        <f>IF(AE345="","",IFERROR(INDEX($AO$11:$AO$4010,MATCH(335,$AZ$11:$AZ$4010,0)),""))</f>
        <v/>
      </c>
      <c r="AH345" s="10" t="str">
        <f>IF(AE345="","",IFERROR(INDEX($AQ$11:$AQ$4010,MATCH(335,$AZ$11:$AZ$4010,0)),""))</f>
        <v/>
      </c>
      <c r="AI345" s="15" t="str">
        <f>IF(AE345="","",IFERROR(INDEX($AR$11:$AR$4010,MATCH(335,$AZ$11:$AZ$4010,0)),""))</f>
        <v/>
      </c>
      <c r="AJ345" s="15" t="str">
        <f>IF(AE345="","",IFERROR(INDEX($AT$11:$AT$4010,MATCH(335,$AZ$11:$AZ$4010,0)),""))</f>
        <v/>
      </c>
      <c r="AL345" s="17" t="str">
        <f t="shared" si="73"/>
        <v/>
      </c>
      <c r="AM345" s="12" t="str">
        <f t="shared" si="74"/>
        <v/>
      </c>
      <c r="AN345" s="18" t="str">
        <f t="shared" si="75"/>
        <v/>
      </c>
      <c r="AO345" s="18" t="str">
        <f t="shared" si="76"/>
        <v/>
      </c>
      <c r="AP345" s="10" t="str">
        <f t="shared" si="77"/>
        <v/>
      </c>
      <c r="AQ345" s="10" t="str">
        <f t="shared" si="78"/>
        <v/>
      </c>
      <c r="AR345" s="19" t="str">
        <f t="shared" si="79"/>
        <v/>
      </c>
      <c r="AS345" s="20"/>
      <c r="AT345" s="19"/>
      <c r="AV345" s="21">
        <f>IF(AND($AL345&lt;&gt;"",COUNTIF($AL$11:$AL345,$AL345)=1),1,0)</f>
        <v>0</v>
      </c>
      <c r="AW345" s="21">
        <f t="shared" si="81"/>
        <v>0</v>
      </c>
      <c r="AX345" s="21" t="str">
        <f t="shared" si="80"/>
        <v/>
      </c>
      <c r="AY345" s="21" t="str">
        <f>IF(AND($AM345&lt;&gt;"",$AS345&lt;&gt;"✓"),SUMPRODUCT(($AM$11:$AM345&lt;&gt;"")*($AS$11:$AS345&lt;&gt;"✓")),"")</f>
        <v/>
      </c>
      <c r="AZ345" s="21" t="str">
        <f>IF(AND($AM345&lt;&gt;"",$AS345="✓"),SUMPRODUCT(($AM$11:$AM345&lt;&gt;"")*($AS$11:$AS345="✓")),"")</f>
        <v/>
      </c>
      <c r="BA345" s="21" t="str">
        <f>IF($AL345="","",$AL345&amp;"|"&amp;COUNTIF($AL$11:$AL345,$AL345))</f>
        <v/>
      </c>
    </row>
    <row r="346" spans="2:53" ht="15" customHeight="1" x14ac:dyDescent="0.25">
      <c r="B346" s="5" t="str">
        <f t="shared" si="72"/>
        <v/>
      </c>
      <c r="C346" s="5"/>
      <c r="D346" s="5"/>
      <c r="E346" s="5"/>
      <c r="F346" s="6"/>
      <c r="G346" s="6"/>
      <c r="H346" s="7"/>
      <c r="I346" s="8"/>
      <c r="W346" s="28" t="str">
        <f>IF(X346="","",IFERROR(INDEX($AL$11:$AL$4010,MATCH(336,$AY$11:$AY$4010,0)),""))</f>
        <v/>
      </c>
      <c r="X346" s="26" t="str">
        <f>IFERROR(INDEX($AM$11:$AM$4010,MATCH(336,$AY$11:$AY$4010,0)),"")</f>
        <v/>
      </c>
      <c r="Y346" s="25" t="str">
        <f>IF(X346="","",IFERROR(INDEX($AN$11:$AN$4010,MATCH(336,$AY$11:$AY$4010,0)),""))</f>
        <v/>
      </c>
      <c r="Z346" s="25" t="str">
        <f>IF(X346="","",IFERROR(INDEX($AO$11:$AO$4010,MATCH(336,$AY$11:$AY$4010,0)),""))</f>
        <v/>
      </c>
      <c r="AA346" s="24" t="str">
        <f>IF(X346="","",IFERROR(INDEX($AQ$11:$AQ$4010,MATCH(336,$AY$11:$AY$4010,0)),""))</f>
        <v/>
      </c>
      <c r="AB346" s="29" t="str">
        <f>IF(X346="","",IFERROR(INDEX($AR$11:$AR$4010,MATCH(336,$AY$11:$AY$4010,0)),""))</f>
        <v/>
      </c>
      <c r="AD346" s="30" t="str">
        <f>IF(AE346="","",IFERROR(INDEX($AL$11:$AL$4010,MATCH(336,$AZ$11:$AZ$4010,0)),""))</f>
        <v/>
      </c>
      <c r="AE346" s="26" t="str">
        <f>IFERROR(INDEX($AM$11:$AM$4010,MATCH(336,$AZ$11:$AZ$4010,0)),"")</f>
        <v/>
      </c>
      <c r="AF346" s="25" t="str">
        <f>IF(AE346="","",IFERROR(INDEX($AN$11:$AN$4010,MATCH(336,$AZ$11:$AZ$4010,0)),""))</f>
        <v/>
      </c>
      <c r="AG346" s="25" t="str">
        <f>IF(AE346="","",IFERROR(INDEX($AO$11:$AO$4010,MATCH(336,$AZ$11:$AZ$4010,0)),""))</f>
        <v/>
      </c>
      <c r="AH346" s="24" t="str">
        <f>IF(AE346="","",IFERROR(INDEX($AQ$11:$AQ$4010,MATCH(336,$AZ$11:$AZ$4010,0)),""))</f>
        <v/>
      </c>
      <c r="AI346" s="29" t="str">
        <f>IF(AE346="","",IFERROR(INDEX($AR$11:$AR$4010,MATCH(336,$AZ$11:$AZ$4010,0)),""))</f>
        <v/>
      </c>
      <c r="AJ346" s="29" t="str">
        <f>IF(AE346="","",IFERROR(INDEX($AT$11:$AT$4010,MATCH(336,$AZ$11:$AZ$4010,0)),""))</f>
        <v/>
      </c>
      <c r="AL346" s="31" t="str">
        <f t="shared" si="73"/>
        <v/>
      </c>
      <c r="AM346" s="26" t="str">
        <f t="shared" si="74"/>
        <v/>
      </c>
      <c r="AN346" s="32" t="str">
        <f t="shared" si="75"/>
        <v/>
      </c>
      <c r="AO346" s="32" t="str">
        <f t="shared" si="76"/>
        <v/>
      </c>
      <c r="AP346" s="24" t="str">
        <f t="shared" si="77"/>
        <v/>
      </c>
      <c r="AQ346" s="24" t="str">
        <f t="shared" si="78"/>
        <v/>
      </c>
      <c r="AR346" s="33" t="str">
        <f t="shared" si="79"/>
        <v/>
      </c>
      <c r="AS346" s="34"/>
      <c r="AT346" s="33"/>
      <c r="AV346" s="21">
        <f>IF(AND($AL346&lt;&gt;"",COUNTIF($AL$11:$AL346,$AL346)=1),1,0)</f>
        <v>0</v>
      </c>
      <c r="AW346" s="21">
        <f t="shared" si="81"/>
        <v>0</v>
      </c>
      <c r="AX346" s="21" t="str">
        <f t="shared" si="80"/>
        <v/>
      </c>
      <c r="AY346" s="21" t="str">
        <f>IF(AND($AM346&lt;&gt;"",$AS346&lt;&gt;"✓"),SUMPRODUCT(($AM$11:$AM346&lt;&gt;"")*($AS$11:$AS346&lt;&gt;"✓")),"")</f>
        <v/>
      </c>
      <c r="AZ346" s="21" t="str">
        <f>IF(AND($AM346&lt;&gt;"",$AS346="✓"),SUMPRODUCT(($AM$11:$AM346&lt;&gt;"")*($AS$11:$AS346="✓")),"")</f>
        <v/>
      </c>
      <c r="BA346" s="21" t="str">
        <f>IF($AL346="","",$AL346&amp;"|"&amp;COUNTIF($AL$11:$AL346,$AL346))</f>
        <v/>
      </c>
    </row>
    <row r="347" spans="2:53" ht="15" customHeight="1" x14ac:dyDescent="0.25">
      <c r="B347" s="5" t="str">
        <f t="shared" si="72"/>
        <v/>
      </c>
      <c r="C347" s="5"/>
      <c r="D347" s="5"/>
      <c r="E347" s="5"/>
      <c r="F347" s="6"/>
      <c r="G347" s="6"/>
      <c r="H347" s="7"/>
      <c r="I347" s="8"/>
      <c r="W347" s="14" t="str">
        <f>IF(X347="","",IFERROR(INDEX($AL$11:$AL$4010,MATCH(337,$AY$11:$AY$4010,0)),""))</f>
        <v/>
      </c>
      <c r="X347" s="12" t="str">
        <f>IFERROR(INDEX($AM$11:$AM$4010,MATCH(337,$AY$11:$AY$4010,0)),"")</f>
        <v/>
      </c>
      <c r="Y347" s="11" t="str">
        <f>IF(X347="","",IFERROR(INDEX($AN$11:$AN$4010,MATCH(337,$AY$11:$AY$4010,0)),""))</f>
        <v/>
      </c>
      <c r="Z347" s="11" t="str">
        <f>IF(X347="","",IFERROR(INDEX($AO$11:$AO$4010,MATCH(337,$AY$11:$AY$4010,0)),""))</f>
        <v/>
      </c>
      <c r="AA347" s="10" t="str">
        <f>IF(X347="","",IFERROR(INDEX($AQ$11:$AQ$4010,MATCH(337,$AY$11:$AY$4010,0)),""))</f>
        <v/>
      </c>
      <c r="AB347" s="15" t="str">
        <f>IF(X347="","",IFERROR(INDEX($AR$11:$AR$4010,MATCH(337,$AY$11:$AY$4010,0)),""))</f>
        <v/>
      </c>
      <c r="AD347" s="16" t="str">
        <f>IF(AE347="","",IFERROR(INDEX($AL$11:$AL$4010,MATCH(337,$AZ$11:$AZ$4010,0)),""))</f>
        <v/>
      </c>
      <c r="AE347" s="12" t="str">
        <f>IFERROR(INDEX($AM$11:$AM$4010,MATCH(337,$AZ$11:$AZ$4010,0)),"")</f>
        <v/>
      </c>
      <c r="AF347" s="11" t="str">
        <f>IF(AE347="","",IFERROR(INDEX($AN$11:$AN$4010,MATCH(337,$AZ$11:$AZ$4010,0)),""))</f>
        <v/>
      </c>
      <c r="AG347" s="11" t="str">
        <f>IF(AE347="","",IFERROR(INDEX($AO$11:$AO$4010,MATCH(337,$AZ$11:$AZ$4010,0)),""))</f>
        <v/>
      </c>
      <c r="AH347" s="10" t="str">
        <f>IF(AE347="","",IFERROR(INDEX($AQ$11:$AQ$4010,MATCH(337,$AZ$11:$AZ$4010,0)),""))</f>
        <v/>
      </c>
      <c r="AI347" s="15" t="str">
        <f>IF(AE347="","",IFERROR(INDEX($AR$11:$AR$4010,MATCH(337,$AZ$11:$AZ$4010,0)),""))</f>
        <v/>
      </c>
      <c r="AJ347" s="15" t="str">
        <f>IF(AE347="","",IFERROR(INDEX($AT$11:$AT$4010,MATCH(337,$AZ$11:$AZ$4010,0)),""))</f>
        <v/>
      </c>
      <c r="AL347" s="17" t="str">
        <f t="shared" si="73"/>
        <v/>
      </c>
      <c r="AM347" s="12" t="str">
        <f t="shared" si="74"/>
        <v/>
      </c>
      <c r="AN347" s="18" t="str">
        <f t="shared" si="75"/>
        <v/>
      </c>
      <c r="AO347" s="18" t="str">
        <f t="shared" si="76"/>
        <v/>
      </c>
      <c r="AP347" s="10" t="str">
        <f t="shared" si="77"/>
        <v/>
      </c>
      <c r="AQ347" s="10" t="str">
        <f t="shared" si="78"/>
        <v/>
      </c>
      <c r="AR347" s="19" t="str">
        <f t="shared" si="79"/>
        <v/>
      </c>
      <c r="AS347" s="20"/>
      <c r="AT347" s="19"/>
      <c r="AV347" s="21">
        <f>IF(AND($AL347&lt;&gt;"",COUNTIF($AL$11:$AL347,$AL347)=1),1,0)</f>
        <v>0</v>
      </c>
      <c r="AW347" s="21">
        <f t="shared" si="81"/>
        <v>0</v>
      </c>
      <c r="AX347" s="21" t="str">
        <f t="shared" si="80"/>
        <v/>
      </c>
      <c r="AY347" s="21" t="str">
        <f>IF(AND($AM347&lt;&gt;"",$AS347&lt;&gt;"✓"),SUMPRODUCT(($AM$11:$AM347&lt;&gt;"")*($AS$11:$AS347&lt;&gt;"✓")),"")</f>
        <v/>
      </c>
      <c r="AZ347" s="21" t="str">
        <f>IF(AND($AM347&lt;&gt;"",$AS347="✓"),SUMPRODUCT(($AM$11:$AM347&lt;&gt;"")*($AS$11:$AS347="✓")),"")</f>
        <v/>
      </c>
      <c r="BA347" s="21" t="str">
        <f>IF($AL347="","",$AL347&amp;"|"&amp;COUNTIF($AL$11:$AL347,$AL347))</f>
        <v/>
      </c>
    </row>
    <row r="348" spans="2:53" ht="15" customHeight="1" x14ac:dyDescent="0.25">
      <c r="B348" s="5" t="str">
        <f t="shared" si="72"/>
        <v/>
      </c>
      <c r="C348" s="5"/>
      <c r="D348" s="5"/>
      <c r="E348" s="5"/>
      <c r="F348" s="6"/>
      <c r="G348" s="6"/>
      <c r="H348" s="7"/>
      <c r="I348" s="8"/>
      <c r="W348" s="28" t="str">
        <f>IF(X348="","",IFERROR(INDEX($AL$11:$AL$4010,MATCH(338,$AY$11:$AY$4010,0)),""))</f>
        <v/>
      </c>
      <c r="X348" s="26" t="str">
        <f>IFERROR(INDEX($AM$11:$AM$4010,MATCH(338,$AY$11:$AY$4010,0)),"")</f>
        <v/>
      </c>
      <c r="Y348" s="25" t="str">
        <f>IF(X348="","",IFERROR(INDEX($AN$11:$AN$4010,MATCH(338,$AY$11:$AY$4010,0)),""))</f>
        <v/>
      </c>
      <c r="Z348" s="25" t="str">
        <f>IF(X348="","",IFERROR(INDEX($AO$11:$AO$4010,MATCH(338,$AY$11:$AY$4010,0)),""))</f>
        <v/>
      </c>
      <c r="AA348" s="24" t="str">
        <f>IF(X348="","",IFERROR(INDEX($AQ$11:$AQ$4010,MATCH(338,$AY$11:$AY$4010,0)),""))</f>
        <v/>
      </c>
      <c r="AB348" s="29" t="str">
        <f>IF(X348="","",IFERROR(INDEX($AR$11:$AR$4010,MATCH(338,$AY$11:$AY$4010,0)),""))</f>
        <v/>
      </c>
      <c r="AD348" s="30" t="str">
        <f>IF(AE348="","",IFERROR(INDEX($AL$11:$AL$4010,MATCH(338,$AZ$11:$AZ$4010,0)),""))</f>
        <v/>
      </c>
      <c r="AE348" s="26" t="str">
        <f>IFERROR(INDEX($AM$11:$AM$4010,MATCH(338,$AZ$11:$AZ$4010,0)),"")</f>
        <v/>
      </c>
      <c r="AF348" s="25" t="str">
        <f>IF(AE348="","",IFERROR(INDEX($AN$11:$AN$4010,MATCH(338,$AZ$11:$AZ$4010,0)),""))</f>
        <v/>
      </c>
      <c r="AG348" s="25" t="str">
        <f>IF(AE348="","",IFERROR(INDEX($AO$11:$AO$4010,MATCH(338,$AZ$11:$AZ$4010,0)),""))</f>
        <v/>
      </c>
      <c r="AH348" s="24" t="str">
        <f>IF(AE348="","",IFERROR(INDEX($AQ$11:$AQ$4010,MATCH(338,$AZ$11:$AZ$4010,0)),""))</f>
        <v/>
      </c>
      <c r="AI348" s="29" t="str">
        <f>IF(AE348="","",IFERROR(INDEX($AR$11:$AR$4010,MATCH(338,$AZ$11:$AZ$4010,0)),""))</f>
        <v/>
      </c>
      <c r="AJ348" s="29" t="str">
        <f>IF(AE348="","",IFERROR(INDEX($AT$11:$AT$4010,MATCH(338,$AZ$11:$AZ$4010,0)),""))</f>
        <v/>
      </c>
      <c r="AL348" s="31" t="str">
        <f t="shared" si="73"/>
        <v/>
      </c>
      <c r="AM348" s="26" t="str">
        <f t="shared" si="74"/>
        <v/>
      </c>
      <c r="AN348" s="32" t="str">
        <f t="shared" si="75"/>
        <v/>
      </c>
      <c r="AO348" s="32" t="str">
        <f t="shared" si="76"/>
        <v/>
      </c>
      <c r="AP348" s="24" t="str">
        <f t="shared" si="77"/>
        <v/>
      </c>
      <c r="AQ348" s="24" t="str">
        <f t="shared" si="78"/>
        <v/>
      </c>
      <c r="AR348" s="33" t="str">
        <f t="shared" si="79"/>
        <v/>
      </c>
      <c r="AS348" s="34"/>
      <c r="AT348" s="33"/>
      <c r="AV348" s="21">
        <f>IF(AND($AL348&lt;&gt;"",COUNTIF($AL$11:$AL348,$AL348)=1),1,0)</f>
        <v>0</v>
      </c>
      <c r="AW348" s="21">
        <f t="shared" si="81"/>
        <v>0</v>
      </c>
      <c r="AX348" s="21" t="str">
        <f t="shared" si="80"/>
        <v/>
      </c>
      <c r="AY348" s="21" t="str">
        <f>IF(AND($AM348&lt;&gt;"",$AS348&lt;&gt;"✓"),SUMPRODUCT(($AM$11:$AM348&lt;&gt;"")*($AS$11:$AS348&lt;&gt;"✓")),"")</f>
        <v/>
      </c>
      <c r="AZ348" s="21" t="str">
        <f>IF(AND($AM348&lt;&gt;"",$AS348="✓"),SUMPRODUCT(($AM$11:$AM348&lt;&gt;"")*($AS$11:$AS348="✓")),"")</f>
        <v/>
      </c>
      <c r="BA348" s="21" t="str">
        <f>IF($AL348="","",$AL348&amp;"|"&amp;COUNTIF($AL$11:$AL348,$AL348))</f>
        <v/>
      </c>
    </row>
    <row r="349" spans="2:53" ht="15" customHeight="1" x14ac:dyDescent="0.25">
      <c r="B349" s="5" t="str">
        <f t="shared" si="72"/>
        <v/>
      </c>
      <c r="C349" s="5"/>
      <c r="D349" s="5"/>
      <c r="E349" s="5"/>
      <c r="F349" s="6"/>
      <c r="G349" s="6"/>
      <c r="H349" s="7"/>
      <c r="I349" s="8"/>
      <c r="W349" s="14" t="str">
        <f>IF(X349="","",IFERROR(INDEX($AL$11:$AL$4010,MATCH(339,$AY$11:$AY$4010,0)),""))</f>
        <v/>
      </c>
      <c r="X349" s="12" t="str">
        <f>IFERROR(INDEX($AM$11:$AM$4010,MATCH(339,$AY$11:$AY$4010,0)),"")</f>
        <v/>
      </c>
      <c r="Y349" s="11" t="str">
        <f>IF(X349="","",IFERROR(INDEX($AN$11:$AN$4010,MATCH(339,$AY$11:$AY$4010,0)),""))</f>
        <v/>
      </c>
      <c r="Z349" s="11" t="str">
        <f>IF(X349="","",IFERROR(INDEX($AO$11:$AO$4010,MATCH(339,$AY$11:$AY$4010,0)),""))</f>
        <v/>
      </c>
      <c r="AA349" s="10" t="str">
        <f>IF(X349="","",IFERROR(INDEX($AQ$11:$AQ$4010,MATCH(339,$AY$11:$AY$4010,0)),""))</f>
        <v/>
      </c>
      <c r="AB349" s="15" t="str">
        <f>IF(X349="","",IFERROR(INDEX($AR$11:$AR$4010,MATCH(339,$AY$11:$AY$4010,0)),""))</f>
        <v/>
      </c>
      <c r="AD349" s="16" t="str">
        <f>IF(AE349="","",IFERROR(INDEX($AL$11:$AL$4010,MATCH(339,$AZ$11:$AZ$4010,0)),""))</f>
        <v/>
      </c>
      <c r="AE349" s="12" t="str">
        <f>IFERROR(INDEX($AM$11:$AM$4010,MATCH(339,$AZ$11:$AZ$4010,0)),"")</f>
        <v/>
      </c>
      <c r="AF349" s="11" t="str">
        <f>IF(AE349="","",IFERROR(INDEX($AN$11:$AN$4010,MATCH(339,$AZ$11:$AZ$4010,0)),""))</f>
        <v/>
      </c>
      <c r="AG349" s="11" t="str">
        <f>IF(AE349="","",IFERROR(INDEX($AO$11:$AO$4010,MATCH(339,$AZ$11:$AZ$4010,0)),""))</f>
        <v/>
      </c>
      <c r="AH349" s="10" t="str">
        <f>IF(AE349="","",IFERROR(INDEX($AQ$11:$AQ$4010,MATCH(339,$AZ$11:$AZ$4010,0)),""))</f>
        <v/>
      </c>
      <c r="AI349" s="15" t="str">
        <f>IF(AE349="","",IFERROR(INDEX($AR$11:$AR$4010,MATCH(339,$AZ$11:$AZ$4010,0)),""))</f>
        <v/>
      </c>
      <c r="AJ349" s="15" t="str">
        <f>IF(AE349="","",IFERROR(INDEX($AT$11:$AT$4010,MATCH(339,$AZ$11:$AZ$4010,0)),""))</f>
        <v/>
      </c>
      <c r="AL349" s="17" t="str">
        <f t="shared" si="73"/>
        <v/>
      </c>
      <c r="AM349" s="12" t="str">
        <f t="shared" si="74"/>
        <v/>
      </c>
      <c r="AN349" s="18" t="str">
        <f t="shared" si="75"/>
        <v/>
      </c>
      <c r="AO349" s="18" t="str">
        <f t="shared" si="76"/>
        <v/>
      </c>
      <c r="AP349" s="10" t="str">
        <f t="shared" si="77"/>
        <v/>
      </c>
      <c r="AQ349" s="10" t="str">
        <f t="shared" si="78"/>
        <v/>
      </c>
      <c r="AR349" s="19" t="str">
        <f t="shared" si="79"/>
        <v/>
      </c>
      <c r="AS349" s="20"/>
      <c r="AT349" s="19"/>
      <c r="AV349" s="21">
        <f>IF(AND($AL349&lt;&gt;"",COUNTIF($AL$11:$AL349,$AL349)=1),1,0)</f>
        <v>0</v>
      </c>
      <c r="AW349" s="21">
        <f t="shared" si="81"/>
        <v>0</v>
      </c>
      <c r="AX349" s="21" t="str">
        <f t="shared" si="80"/>
        <v/>
      </c>
      <c r="AY349" s="21" t="str">
        <f>IF(AND($AM349&lt;&gt;"",$AS349&lt;&gt;"✓"),SUMPRODUCT(($AM$11:$AM349&lt;&gt;"")*($AS$11:$AS349&lt;&gt;"✓")),"")</f>
        <v/>
      </c>
      <c r="AZ349" s="21" t="str">
        <f>IF(AND($AM349&lt;&gt;"",$AS349="✓"),SUMPRODUCT(($AM$11:$AM349&lt;&gt;"")*($AS$11:$AS349="✓")),"")</f>
        <v/>
      </c>
      <c r="BA349" s="21" t="str">
        <f>IF($AL349="","",$AL349&amp;"|"&amp;COUNTIF($AL$11:$AL349,$AL349))</f>
        <v/>
      </c>
    </row>
    <row r="350" spans="2:53" ht="15" customHeight="1" x14ac:dyDescent="0.25">
      <c r="B350" s="5" t="str">
        <f t="shared" si="72"/>
        <v/>
      </c>
      <c r="C350" s="5"/>
      <c r="D350" s="5"/>
      <c r="E350" s="5"/>
      <c r="F350" s="6"/>
      <c r="G350" s="6"/>
      <c r="H350" s="7"/>
      <c r="I350" s="8"/>
      <c r="W350" s="28" t="str">
        <f>IF(X350="","",IFERROR(INDEX($AL$11:$AL$4010,MATCH(340,$AY$11:$AY$4010,0)),""))</f>
        <v/>
      </c>
      <c r="X350" s="26" t="str">
        <f>IFERROR(INDEX($AM$11:$AM$4010,MATCH(340,$AY$11:$AY$4010,0)),"")</f>
        <v/>
      </c>
      <c r="Y350" s="25" t="str">
        <f>IF(X350="","",IFERROR(INDEX($AN$11:$AN$4010,MATCH(340,$AY$11:$AY$4010,0)),""))</f>
        <v/>
      </c>
      <c r="Z350" s="25" t="str">
        <f>IF(X350="","",IFERROR(INDEX($AO$11:$AO$4010,MATCH(340,$AY$11:$AY$4010,0)),""))</f>
        <v/>
      </c>
      <c r="AA350" s="24" t="str">
        <f>IF(X350="","",IFERROR(INDEX($AQ$11:$AQ$4010,MATCH(340,$AY$11:$AY$4010,0)),""))</f>
        <v/>
      </c>
      <c r="AB350" s="29" t="str">
        <f>IF(X350="","",IFERROR(INDEX($AR$11:$AR$4010,MATCH(340,$AY$11:$AY$4010,0)),""))</f>
        <v/>
      </c>
      <c r="AD350" s="30" t="str">
        <f>IF(AE350="","",IFERROR(INDEX($AL$11:$AL$4010,MATCH(340,$AZ$11:$AZ$4010,0)),""))</f>
        <v/>
      </c>
      <c r="AE350" s="26" t="str">
        <f>IFERROR(INDEX($AM$11:$AM$4010,MATCH(340,$AZ$11:$AZ$4010,0)),"")</f>
        <v/>
      </c>
      <c r="AF350" s="25" t="str">
        <f>IF(AE350="","",IFERROR(INDEX($AN$11:$AN$4010,MATCH(340,$AZ$11:$AZ$4010,0)),""))</f>
        <v/>
      </c>
      <c r="AG350" s="25" t="str">
        <f>IF(AE350="","",IFERROR(INDEX($AO$11:$AO$4010,MATCH(340,$AZ$11:$AZ$4010,0)),""))</f>
        <v/>
      </c>
      <c r="AH350" s="24" t="str">
        <f>IF(AE350="","",IFERROR(INDEX($AQ$11:$AQ$4010,MATCH(340,$AZ$11:$AZ$4010,0)),""))</f>
        <v/>
      </c>
      <c r="AI350" s="29" t="str">
        <f>IF(AE350="","",IFERROR(INDEX($AR$11:$AR$4010,MATCH(340,$AZ$11:$AZ$4010,0)),""))</f>
        <v/>
      </c>
      <c r="AJ350" s="29" t="str">
        <f>IF(AE350="","",IFERROR(INDEX($AT$11:$AT$4010,MATCH(340,$AZ$11:$AZ$4010,0)),""))</f>
        <v/>
      </c>
      <c r="AL350" s="31" t="str">
        <f t="shared" si="73"/>
        <v/>
      </c>
      <c r="AM350" s="26" t="str">
        <f t="shared" si="74"/>
        <v/>
      </c>
      <c r="AN350" s="32" t="str">
        <f t="shared" si="75"/>
        <v/>
      </c>
      <c r="AO350" s="32" t="str">
        <f t="shared" si="76"/>
        <v/>
      </c>
      <c r="AP350" s="24" t="str">
        <f t="shared" si="77"/>
        <v/>
      </c>
      <c r="AQ350" s="24" t="str">
        <f t="shared" si="78"/>
        <v/>
      </c>
      <c r="AR350" s="33" t="str">
        <f t="shared" si="79"/>
        <v/>
      </c>
      <c r="AS350" s="34"/>
      <c r="AT350" s="33"/>
      <c r="AV350" s="21">
        <f>IF(AND($AL350&lt;&gt;"",COUNTIF($AL$11:$AL350,$AL350)=1),1,0)</f>
        <v>0</v>
      </c>
      <c r="AW350" s="21">
        <f t="shared" si="81"/>
        <v>0</v>
      </c>
      <c r="AX350" s="21" t="str">
        <f t="shared" si="80"/>
        <v/>
      </c>
      <c r="AY350" s="21" t="str">
        <f>IF(AND($AM350&lt;&gt;"",$AS350&lt;&gt;"✓"),SUMPRODUCT(($AM$11:$AM350&lt;&gt;"")*($AS$11:$AS350&lt;&gt;"✓")),"")</f>
        <v/>
      </c>
      <c r="AZ350" s="21" t="str">
        <f>IF(AND($AM350&lt;&gt;"",$AS350="✓"),SUMPRODUCT(($AM$11:$AM350&lt;&gt;"")*($AS$11:$AS350="✓")),"")</f>
        <v/>
      </c>
      <c r="BA350" s="21" t="str">
        <f>IF($AL350="","",$AL350&amp;"|"&amp;COUNTIF($AL$11:$AL350,$AL350))</f>
        <v/>
      </c>
    </row>
    <row r="351" spans="2:53" ht="15" customHeight="1" x14ac:dyDescent="0.25">
      <c r="B351" s="5" t="str">
        <f t="shared" si="72"/>
        <v/>
      </c>
      <c r="C351" s="5"/>
      <c r="D351" s="5"/>
      <c r="E351" s="5"/>
      <c r="F351" s="6"/>
      <c r="G351" s="6"/>
      <c r="H351" s="7"/>
      <c r="I351" s="8"/>
      <c r="W351" s="14" t="str">
        <f>IF(X351="","",IFERROR(INDEX($AL$11:$AL$4010,MATCH(341,$AY$11:$AY$4010,0)),""))</f>
        <v/>
      </c>
      <c r="X351" s="12" t="str">
        <f>IFERROR(INDEX($AM$11:$AM$4010,MATCH(341,$AY$11:$AY$4010,0)),"")</f>
        <v/>
      </c>
      <c r="Y351" s="11" t="str">
        <f>IF(X351="","",IFERROR(INDEX($AN$11:$AN$4010,MATCH(341,$AY$11:$AY$4010,0)),""))</f>
        <v/>
      </c>
      <c r="Z351" s="11" t="str">
        <f>IF(X351="","",IFERROR(INDEX($AO$11:$AO$4010,MATCH(341,$AY$11:$AY$4010,0)),""))</f>
        <v/>
      </c>
      <c r="AA351" s="10" t="str">
        <f>IF(X351="","",IFERROR(INDEX($AQ$11:$AQ$4010,MATCH(341,$AY$11:$AY$4010,0)),""))</f>
        <v/>
      </c>
      <c r="AB351" s="15" t="str">
        <f>IF(X351="","",IFERROR(INDEX($AR$11:$AR$4010,MATCH(341,$AY$11:$AY$4010,0)),""))</f>
        <v/>
      </c>
      <c r="AD351" s="16" t="str">
        <f>IF(AE351="","",IFERROR(INDEX($AL$11:$AL$4010,MATCH(341,$AZ$11:$AZ$4010,0)),""))</f>
        <v/>
      </c>
      <c r="AE351" s="12" t="str">
        <f>IFERROR(INDEX($AM$11:$AM$4010,MATCH(341,$AZ$11:$AZ$4010,0)),"")</f>
        <v/>
      </c>
      <c r="AF351" s="11" t="str">
        <f>IF(AE351="","",IFERROR(INDEX($AN$11:$AN$4010,MATCH(341,$AZ$11:$AZ$4010,0)),""))</f>
        <v/>
      </c>
      <c r="AG351" s="11" t="str">
        <f>IF(AE351="","",IFERROR(INDEX($AO$11:$AO$4010,MATCH(341,$AZ$11:$AZ$4010,0)),""))</f>
        <v/>
      </c>
      <c r="AH351" s="10" t="str">
        <f>IF(AE351="","",IFERROR(INDEX($AQ$11:$AQ$4010,MATCH(341,$AZ$11:$AZ$4010,0)),""))</f>
        <v/>
      </c>
      <c r="AI351" s="15" t="str">
        <f>IF(AE351="","",IFERROR(INDEX($AR$11:$AR$4010,MATCH(341,$AZ$11:$AZ$4010,0)),""))</f>
        <v/>
      </c>
      <c r="AJ351" s="15" t="str">
        <f>IF(AE351="","",IFERROR(INDEX($AT$11:$AT$4010,MATCH(341,$AZ$11:$AZ$4010,0)),""))</f>
        <v/>
      </c>
      <c r="AL351" s="17" t="str">
        <f t="shared" si="73"/>
        <v/>
      </c>
      <c r="AM351" s="12" t="str">
        <f t="shared" si="74"/>
        <v/>
      </c>
      <c r="AN351" s="18" t="str">
        <f t="shared" si="75"/>
        <v/>
      </c>
      <c r="AO351" s="18" t="str">
        <f t="shared" si="76"/>
        <v/>
      </c>
      <c r="AP351" s="10" t="str">
        <f t="shared" si="77"/>
        <v/>
      </c>
      <c r="AQ351" s="10" t="str">
        <f t="shared" si="78"/>
        <v/>
      </c>
      <c r="AR351" s="19" t="str">
        <f t="shared" si="79"/>
        <v/>
      </c>
      <c r="AS351" s="20"/>
      <c r="AT351" s="19"/>
      <c r="AV351" s="21">
        <f>IF(AND($AL351&lt;&gt;"",COUNTIF($AL$11:$AL351,$AL351)=1),1,0)</f>
        <v>0</v>
      </c>
      <c r="AW351" s="21">
        <f t="shared" si="81"/>
        <v>0</v>
      </c>
      <c r="AX351" s="21" t="str">
        <f t="shared" si="80"/>
        <v/>
      </c>
      <c r="AY351" s="21" t="str">
        <f>IF(AND($AM351&lt;&gt;"",$AS351&lt;&gt;"✓"),SUMPRODUCT(($AM$11:$AM351&lt;&gt;"")*($AS$11:$AS351&lt;&gt;"✓")),"")</f>
        <v/>
      </c>
      <c r="AZ351" s="21" t="str">
        <f>IF(AND($AM351&lt;&gt;"",$AS351="✓"),SUMPRODUCT(($AM$11:$AM351&lt;&gt;"")*($AS$11:$AS351="✓")),"")</f>
        <v/>
      </c>
      <c r="BA351" s="21" t="str">
        <f>IF($AL351="","",$AL351&amp;"|"&amp;COUNTIF($AL$11:$AL351,$AL351))</f>
        <v/>
      </c>
    </row>
    <row r="352" spans="2:53" ht="15" customHeight="1" x14ac:dyDescent="0.25">
      <c r="B352" s="5" t="str">
        <f t="shared" si="72"/>
        <v/>
      </c>
      <c r="C352" s="5"/>
      <c r="D352" s="5"/>
      <c r="E352" s="5"/>
      <c r="F352" s="6"/>
      <c r="G352" s="6"/>
      <c r="H352" s="7"/>
      <c r="I352" s="8"/>
      <c r="W352" s="28" t="str">
        <f>IF(X352="","",IFERROR(INDEX($AL$11:$AL$4010,MATCH(342,$AY$11:$AY$4010,0)),""))</f>
        <v/>
      </c>
      <c r="X352" s="26" t="str">
        <f>IFERROR(INDEX($AM$11:$AM$4010,MATCH(342,$AY$11:$AY$4010,0)),"")</f>
        <v/>
      </c>
      <c r="Y352" s="25" t="str">
        <f>IF(X352="","",IFERROR(INDEX($AN$11:$AN$4010,MATCH(342,$AY$11:$AY$4010,0)),""))</f>
        <v/>
      </c>
      <c r="Z352" s="25" t="str">
        <f>IF(X352="","",IFERROR(INDEX($AO$11:$AO$4010,MATCH(342,$AY$11:$AY$4010,0)),""))</f>
        <v/>
      </c>
      <c r="AA352" s="24" t="str">
        <f>IF(X352="","",IFERROR(INDEX($AQ$11:$AQ$4010,MATCH(342,$AY$11:$AY$4010,0)),""))</f>
        <v/>
      </c>
      <c r="AB352" s="29" t="str">
        <f>IF(X352="","",IFERROR(INDEX($AR$11:$AR$4010,MATCH(342,$AY$11:$AY$4010,0)),""))</f>
        <v/>
      </c>
      <c r="AD352" s="30" t="str">
        <f>IF(AE352="","",IFERROR(INDEX($AL$11:$AL$4010,MATCH(342,$AZ$11:$AZ$4010,0)),""))</f>
        <v/>
      </c>
      <c r="AE352" s="26" t="str">
        <f>IFERROR(INDEX($AM$11:$AM$4010,MATCH(342,$AZ$11:$AZ$4010,0)),"")</f>
        <v/>
      </c>
      <c r="AF352" s="25" t="str">
        <f>IF(AE352="","",IFERROR(INDEX($AN$11:$AN$4010,MATCH(342,$AZ$11:$AZ$4010,0)),""))</f>
        <v/>
      </c>
      <c r="AG352" s="25" t="str">
        <f>IF(AE352="","",IFERROR(INDEX($AO$11:$AO$4010,MATCH(342,$AZ$11:$AZ$4010,0)),""))</f>
        <v/>
      </c>
      <c r="AH352" s="24" t="str">
        <f>IF(AE352="","",IFERROR(INDEX($AQ$11:$AQ$4010,MATCH(342,$AZ$11:$AZ$4010,0)),""))</f>
        <v/>
      </c>
      <c r="AI352" s="29" t="str">
        <f>IF(AE352="","",IFERROR(INDEX($AR$11:$AR$4010,MATCH(342,$AZ$11:$AZ$4010,0)),""))</f>
        <v/>
      </c>
      <c r="AJ352" s="29" t="str">
        <f>IF(AE352="","",IFERROR(INDEX($AT$11:$AT$4010,MATCH(342,$AZ$11:$AZ$4010,0)),""))</f>
        <v/>
      </c>
      <c r="AL352" s="31" t="str">
        <f t="shared" si="73"/>
        <v/>
      </c>
      <c r="AM352" s="26" t="str">
        <f t="shared" si="74"/>
        <v/>
      </c>
      <c r="AN352" s="32" t="str">
        <f t="shared" si="75"/>
        <v/>
      </c>
      <c r="AO352" s="32" t="str">
        <f t="shared" si="76"/>
        <v/>
      </c>
      <c r="AP352" s="24" t="str">
        <f t="shared" si="77"/>
        <v/>
      </c>
      <c r="AQ352" s="24" t="str">
        <f t="shared" si="78"/>
        <v/>
      </c>
      <c r="AR352" s="33" t="str">
        <f t="shared" si="79"/>
        <v/>
      </c>
      <c r="AS352" s="34"/>
      <c r="AT352" s="33"/>
      <c r="AV352" s="21">
        <f>IF(AND($AL352&lt;&gt;"",COUNTIF($AL$11:$AL352,$AL352)=1),1,0)</f>
        <v>0</v>
      </c>
      <c r="AW352" s="21">
        <f t="shared" si="81"/>
        <v>0</v>
      </c>
      <c r="AX352" s="21" t="str">
        <f t="shared" si="80"/>
        <v/>
      </c>
      <c r="AY352" s="21" t="str">
        <f>IF(AND($AM352&lt;&gt;"",$AS352&lt;&gt;"✓"),SUMPRODUCT(($AM$11:$AM352&lt;&gt;"")*($AS$11:$AS352&lt;&gt;"✓")),"")</f>
        <v/>
      </c>
      <c r="AZ352" s="21" t="str">
        <f>IF(AND($AM352&lt;&gt;"",$AS352="✓"),SUMPRODUCT(($AM$11:$AM352&lt;&gt;"")*($AS$11:$AS352="✓")),"")</f>
        <v/>
      </c>
      <c r="BA352" s="21" t="str">
        <f>IF($AL352="","",$AL352&amp;"|"&amp;COUNTIF($AL$11:$AL352,$AL352))</f>
        <v/>
      </c>
    </row>
    <row r="353" spans="2:53" ht="15" customHeight="1" x14ac:dyDescent="0.25">
      <c r="B353" s="5" t="str">
        <f t="shared" si="72"/>
        <v/>
      </c>
      <c r="C353" s="5"/>
      <c r="D353" s="5"/>
      <c r="E353" s="5"/>
      <c r="F353" s="6"/>
      <c r="G353" s="6"/>
      <c r="H353" s="7"/>
      <c r="I353" s="8"/>
      <c r="W353" s="14" t="str">
        <f>IF(X353="","",IFERROR(INDEX($AL$11:$AL$4010,MATCH(343,$AY$11:$AY$4010,0)),""))</f>
        <v/>
      </c>
      <c r="X353" s="12" t="str">
        <f>IFERROR(INDEX($AM$11:$AM$4010,MATCH(343,$AY$11:$AY$4010,0)),"")</f>
        <v/>
      </c>
      <c r="Y353" s="11" t="str">
        <f>IF(X353="","",IFERROR(INDEX($AN$11:$AN$4010,MATCH(343,$AY$11:$AY$4010,0)),""))</f>
        <v/>
      </c>
      <c r="Z353" s="11" t="str">
        <f>IF(X353="","",IFERROR(INDEX($AO$11:$AO$4010,MATCH(343,$AY$11:$AY$4010,0)),""))</f>
        <v/>
      </c>
      <c r="AA353" s="10" t="str">
        <f>IF(X353="","",IFERROR(INDEX($AQ$11:$AQ$4010,MATCH(343,$AY$11:$AY$4010,0)),""))</f>
        <v/>
      </c>
      <c r="AB353" s="15" t="str">
        <f>IF(X353="","",IFERROR(INDEX($AR$11:$AR$4010,MATCH(343,$AY$11:$AY$4010,0)),""))</f>
        <v/>
      </c>
      <c r="AD353" s="16" t="str">
        <f>IF(AE353="","",IFERROR(INDEX($AL$11:$AL$4010,MATCH(343,$AZ$11:$AZ$4010,0)),""))</f>
        <v/>
      </c>
      <c r="AE353" s="12" t="str">
        <f>IFERROR(INDEX($AM$11:$AM$4010,MATCH(343,$AZ$11:$AZ$4010,0)),"")</f>
        <v/>
      </c>
      <c r="AF353" s="11" t="str">
        <f>IF(AE353="","",IFERROR(INDEX($AN$11:$AN$4010,MATCH(343,$AZ$11:$AZ$4010,0)),""))</f>
        <v/>
      </c>
      <c r="AG353" s="11" t="str">
        <f>IF(AE353="","",IFERROR(INDEX($AO$11:$AO$4010,MATCH(343,$AZ$11:$AZ$4010,0)),""))</f>
        <v/>
      </c>
      <c r="AH353" s="10" t="str">
        <f>IF(AE353="","",IFERROR(INDEX($AQ$11:$AQ$4010,MATCH(343,$AZ$11:$AZ$4010,0)),""))</f>
        <v/>
      </c>
      <c r="AI353" s="15" t="str">
        <f>IF(AE353="","",IFERROR(INDEX($AR$11:$AR$4010,MATCH(343,$AZ$11:$AZ$4010,0)),""))</f>
        <v/>
      </c>
      <c r="AJ353" s="15" t="str">
        <f>IF(AE353="","",IFERROR(INDEX($AT$11:$AT$4010,MATCH(343,$AZ$11:$AZ$4010,0)),""))</f>
        <v/>
      </c>
      <c r="AL353" s="17" t="str">
        <f t="shared" si="73"/>
        <v/>
      </c>
      <c r="AM353" s="12" t="str">
        <f t="shared" si="74"/>
        <v/>
      </c>
      <c r="AN353" s="18" t="str">
        <f t="shared" si="75"/>
        <v/>
      </c>
      <c r="AO353" s="18" t="str">
        <f t="shared" si="76"/>
        <v/>
      </c>
      <c r="AP353" s="10" t="str">
        <f t="shared" si="77"/>
        <v/>
      </c>
      <c r="AQ353" s="10" t="str">
        <f t="shared" si="78"/>
        <v/>
      </c>
      <c r="AR353" s="19" t="str">
        <f t="shared" si="79"/>
        <v/>
      </c>
      <c r="AS353" s="20"/>
      <c r="AT353" s="19"/>
      <c r="AV353" s="21">
        <f>IF(AND($AL353&lt;&gt;"",COUNTIF($AL$11:$AL353,$AL353)=1),1,0)</f>
        <v>0</v>
      </c>
      <c r="AW353" s="21">
        <f t="shared" si="81"/>
        <v>0</v>
      </c>
      <c r="AX353" s="21" t="str">
        <f t="shared" si="80"/>
        <v/>
      </c>
      <c r="AY353" s="21" t="str">
        <f>IF(AND($AM353&lt;&gt;"",$AS353&lt;&gt;"✓"),SUMPRODUCT(($AM$11:$AM353&lt;&gt;"")*($AS$11:$AS353&lt;&gt;"✓")),"")</f>
        <v/>
      </c>
      <c r="AZ353" s="21" t="str">
        <f>IF(AND($AM353&lt;&gt;"",$AS353="✓"),SUMPRODUCT(($AM$11:$AM353&lt;&gt;"")*($AS$11:$AS353="✓")),"")</f>
        <v/>
      </c>
      <c r="BA353" s="21" t="str">
        <f>IF($AL353="","",$AL353&amp;"|"&amp;COUNTIF($AL$11:$AL353,$AL353))</f>
        <v/>
      </c>
    </row>
    <row r="354" spans="2:53" ht="15" customHeight="1" x14ac:dyDescent="0.25">
      <c r="B354" s="5" t="str">
        <f t="shared" si="72"/>
        <v/>
      </c>
      <c r="C354" s="5"/>
      <c r="D354" s="5"/>
      <c r="E354" s="5"/>
      <c r="F354" s="6"/>
      <c r="G354" s="6"/>
      <c r="H354" s="7"/>
      <c r="I354" s="8"/>
      <c r="W354" s="28" t="str">
        <f>IF(X354="","",IFERROR(INDEX($AL$11:$AL$4010,MATCH(344,$AY$11:$AY$4010,0)),""))</f>
        <v/>
      </c>
      <c r="X354" s="26" t="str">
        <f>IFERROR(INDEX($AM$11:$AM$4010,MATCH(344,$AY$11:$AY$4010,0)),"")</f>
        <v/>
      </c>
      <c r="Y354" s="25" t="str">
        <f>IF(X354="","",IFERROR(INDEX($AN$11:$AN$4010,MATCH(344,$AY$11:$AY$4010,0)),""))</f>
        <v/>
      </c>
      <c r="Z354" s="25" t="str">
        <f>IF(X354="","",IFERROR(INDEX($AO$11:$AO$4010,MATCH(344,$AY$11:$AY$4010,0)),""))</f>
        <v/>
      </c>
      <c r="AA354" s="24" t="str">
        <f>IF(X354="","",IFERROR(INDEX($AQ$11:$AQ$4010,MATCH(344,$AY$11:$AY$4010,0)),""))</f>
        <v/>
      </c>
      <c r="AB354" s="29" t="str">
        <f>IF(X354="","",IFERROR(INDEX($AR$11:$AR$4010,MATCH(344,$AY$11:$AY$4010,0)),""))</f>
        <v/>
      </c>
      <c r="AD354" s="30" t="str">
        <f>IF(AE354="","",IFERROR(INDEX($AL$11:$AL$4010,MATCH(344,$AZ$11:$AZ$4010,0)),""))</f>
        <v/>
      </c>
      <c r="AE354" s="26" t="str">
        <f>IFERROR(INDEX($AM$11:$AM$4010,MATCH(344,$AZ$11:$AZ$4010,0)),"")</f>
        <v/>
      </c>
      <c r="AF354" s="25" t="str">
        <f>IF(AE354="","",IFERROR(INDEX($AN$11:$AN$4010,MATCH(344,$AZ$11:$AZ$4010,0)),""))</f>
        <v/>
      </c>
      <c r="AG354" s="25" t="str">
        <f>IF(AE354="","",IFERROR(INDEX($AO$11:$AO$4010,MATCH(344,$AZ$11:$AZ$4010,0)),""))</f>
        <v/>
      </c>
      <c r="AH354" s="24" t="str">
        <f>IF(AE354="","",IFERROR(INDEX($AQ$11:$AQ$4010,MATCH(344,$AZ$11:$AZ$4010,0)),""))</f>
        <v/>
      </c>
      <c r="AI354" s="29" t="str">
        <f>IF(AE354="","",IFERROR(INDEX($AR$11:$AR$4010,MATCH(344,$AZ$11:$AZ$4010,0)),""))</f>
        <v/>
      </c>
      <c r="AJ354" s="29" t="str">
        <f>IF(AE354="","",IFERROR(INDEX($AT$11:$AT$4010,MATCH(344,$AZ$11:$AZ$4010,0)),""))</f>
        <v/>
      </c>
      <c r="AL354" s="31" t="str">
        <f t="shared" si="73"/>
        <v/>
      </c>
      <c r="AM354" s="26" t="str">
        <f t="shared" si="74"/>
        <v/>
      </c>
      <c r="AN354" s="32" t="str">
        <f t="shared" si="75"/>
        <v/>
      </c>
      <c r="AO354" s="32" t="str">
        <f t="shared" si="76"/>
        <v/>
      </c>
      <c r="AP354" s="24" t="str">
        <f t="shared" si="77"/>
        <v/>
      </c>
      <c r="AQ354" s="24" t="str">
        <f t="shared" si="78"/>
        <v/>
      </c>
      <c r="AR354" s="33" t="str">
        <f t="shared" si="79"/>
        <v/>
      </c>
      <c r="AS354" s="34"/>
      <c r="AT354" s="33"/>
      <c r="AV354" s="21">
        <f>IF(AND($AL354&lt;&gt;"",COUNTIF($AL$11:$AL354,$AL354)=1),1,0)</f>
        <v>0</v>
      </c>
      <c r="AW354" s="21">
        <f t="shared" si="81"/>
        <v>0</v>
      </c>
      <c r="AX354" s="21" t="str">
        <f t="shared" si="80"/>
        <v/>
      </c>
      <c r="AY354" s="21" t="str">
        <f>IF(AND($AM354&lt;&gt;"",$AS354&lt;&gt;"✓"),SUMPRODUCT(($AM$11:$AM354&lt;&gt;"")*($AS$11:$AS354&lt;&gt;"✓")),"")</f>
        <v/>
      </c>
      <c r="AZ354" s="21" t="str">
        <f>IF(AND($AM354&lt;&gt;"",$AS354="✓"),SUMPRODUCT(($AM$11:$AM354&lt;&gt;"")*($AS$11:$AS354="✓")),"")</f>
        <v/>
      </c>
      <c r="BA354" s="21" t="str">
        <f>IF($AL354="","",$AL354&amp;"|"&amp;COUNTIF($AL$11:$AL354,$AL354))</f>
        <v/>
      </c>
    </row>
    <row r="355" spans="2:53" ht="15" customHeight="1" x14ac:dyDescent="0.25">
      <c r="B355" s="5" t="str">
        <f t="shared" si="72"/>
        <v/>
      </c>
      <c r="C355" s="5"/>
      <c r="D355" s="5"/>
      <c r="E355" s="5"/>
      <c r="F355" s="6"/>
      <c r="G355" s="6"/>
      <c r="H355" s="7"/>
      <c r="I355" s="8"/>
      <c r="W355" s="14" t="str">
        <f>IF(X355="","",IFERROR(INDEX($AL$11:$AL$4010,MATCH(345,$AY$11:$AY$4010,0)),""))</f>
        <v/>
      </c>
      <c r="X355" s="12" t="str">
        <f>IFERROR(INDEX($AM$11:$AM$4010,MATCH(345,$AY$11:$AY$4010,0)),"")</f>
        <v/>
      </c>
      <c r="Y355" s="11" t="str">
        <f>IF(X355="","",IFERROR(INDEX($AN$11:$AN$4010,MATCH(345,$AY$11:$AY$4010,0)),""))</f>
        <v/>
      </c>
      <c r="Z355" s="11" t="str">
        <f>IF(X355="","",IFERROR(INDEX($AO$11:$AO$4010,MATCH(345,$AY$11:$AY$4010,0)),""))</f>
        <v/>
      </c>
      <c r="AA355" s="10" t="str">
        <f>IF(X355="","",IFERROR(INDEX($AQ$11:$AQ$4010,MATCH(345,$AY$11:$AY$4010,0)),""))</f>
        <v/>
      </c>
      <c r="AB355" s="15" t="str">
        <f>IF(X355="","",IFERROR(INDEX($AR$11:$AR$4010,MATCH(345,$AY$11:$AY$4010,0)),""))</f>
        <v/>
      </c>
      <c r="AD355" s="16" t="str">
        <f>IF(AE355="","",IFERROR(INDEX($AL$11:$AL$4010,MATCH(345,$AZ$11:$AZ$4010,0)),""))</f>
        <v/>
      </c>
      <c r="AE355" s="12" t="str">
        <f>IFERROR(INDEX($AM$11:$AM$4010,MATCH(345,$AZ$11:$AZ$4010,0)),"")</f>
        <v/>
      </c>
      <c r="AF355" s="11" t="str">
        <f>IF(AE355="","",IFERROR(INDEX($AN$11:$AN$4010,MATCH(345,$AZ$11:$AZ$4010,0)),""))</f>
        <v/>
      </c>
      <c r="AG355" s="11" t="str">
        <f>IF(AE355="","",IFERROR(INDEX($AO$11:$AO$4010,MATCH(345,$AZ$11:$AZ$4010,0)),""))</f>
        <v/>
      </c>
      <c r="AH355" s="10" t="str">
        <f>IF(AE355="","",IFERROR(INDEX($AQ$11:$AQ$4010,MATCH(345,$AZ$11:$AZ$4010,0)),""))</f>
        <v/>
      </c>
      <c r="AI355" s="15" t="str">
        <f>IF(AE355="","",IFERROR(INDEX($AR$11:$AR$4010,MATCH(345,$AZ$11:$AZ$4010,0)),""))</f>
        <v/>
      </c>
      <c r="AJ355" s="15" t="str">
        <f>IF(AE355="","",IFERROR(INDEX($AT$11:$AT$4010,MATCH(345,$AZ$11:$AZ$4010,0)),""))</f>
        <v/>
      </c>
      <c r="AL355" s="17" t="str">
        <f t="shared" si="73"/>
        <v/>
      </c>
      <c r="AM355" s="12" t="str">
        <f t="shared" si="74"/>
        <v/>
      </c>
      <c r="AN355" s="18" t="str">
        <f t="shared" si="75"/>
        <v/>
      </c>
      <c r="AO355" s="18" t="str">
        <f t="shared" si="76"/>
        <v/>
      </c>
      <c r="AP355" s="10" t="str">
        <f t="shared" si="77"/>
        <v/>
      </c>
      <c r="AQ355" s="10" t="str">
        <f t="shared" si="78"/>
        <v/>
      </c>
      <c r="AR355" s="19" t="str">
        <f t="shared" si="79"/>
        <v/>
      </c>
      <c r="AS355" s="20"/>
      <c r="AT355" s="19"/>
      <c r="AV355" s="21">
        <f>IF(AND($AL355&lt;&gt;"",COUNTIF($AL$11:$AL355,$AL355)=1),1,0)</f>
        <v>0</v>
      </c>
      <c r="AW355" s="21">
        <f t="shared" si="81"/>
        <v>0</v>
      </c>
      <c r="AX355" s="21" t="str">
        <f t="shared" si="80"/>
        <v/>
      </c>
      <c r="AY355" s="21" t="str">
        <f>IF(AND($AM355&lt;&gt;"",$AS355&lt;&gt;"✓"),SUMPRODUCT(($AM$11:$AM355&lt;&gt;"")*($AS$11:$AS355&lt;&gt;"✓")),"")</f>
        <v/>
      </c>
      <c r="AZ355" s="21" t="str">
        <f>IF(AND($AM355&lt;&gt;"",$AS355="✓"),SUMPRODUCT(($AM$11:$AM355&lt;&gt;"")*($AS$11:$AS355="✓")),"")</f>
        <v/>
      </c>
      <c r="BA355" s="21" t="str">
        <f>IF($AL355="","",$AL355&amp;"|"&amp;COUNTIF($AL$11:$AL355,$AL355))</f>
        <v/>
      </c>
    </row>
    <row r="356" spans="2:53" ht="15" customHeight="1" x14ac:dyDescent="0.25">
      <c r="B356" s="5" t="str">
        <f t="shared" si="72"/>
        <v/>
      </c>
      <c r="C356" s="5"/>
      <c r="D356" s="5"/>
      <c r="E356" s="5"/>
      <c r="F356" s="6"/>
      <c r="G356" s="6"/>
      <c r="H356" s="7"/>
      <c r="I356" s="8"/>
      <c r="W356" s="28" t="str">
        <f>IF(X356="","",IFERROR(INDEX($AL$11:$AL$4010,MATCH(346,$AY$11:$AY$4010,0)),""))</f>
        <v/>
      </c>
      <c r="X356" s="26" t="str">
        <f>IFERROR(INDEX($AM$11:$AM$4010,MATCH(346,$AY$11:$AY$4010,0)),"")</f>
        <v/>
      </c>
      <c r="Y356" s="25" t="str">
        <f>IF(X356="","",IFERROR(INDEX($AN$11:$AN$4010,MATCH(346,$AY$11:$AY$4010,0)),""))</f>
        <v/>
      </c>
      <c r="Z356" s="25" t="str">
        <f>IF(X356="","",IFERROR(INDEX($AO$11:$AO$4010,MATCH(346,$AY$11:$AY$4010,0)),""))</f>
        <v/>
      </c>
      <c r="AA356" s="24" t="str">
        <f>IF(X356="","",IFERROR(INDEX($AQ$11:$AQ$4010,MATCH(346,$AY$11:$AY$4010,0)),""))</f>
        <v/>
      </c>
      <c r="AB356" s="29" t="str">
        <f>IF(X356="","",IFERROR(INDEX($AR$11:$AR$4010,MATCH(346,$AY$11:$AY$4010,0)),""))</f>
        <v/>
      </c>
      <c r="AD356" s="30" t="str">
        <f>IF(AE356="","",IFERROR(INDEX($AL$11:$AL$4010,MATCH(346,$AZ$11:$AZ$4010,0)),""))</f>
        <v/>
      </c>
      <c r="AE356" s="26" t="str">
        <f>IFERROR(INDEX($AM$11:$AM$4010,MATCH(346,$AZ$11:$AZ$4010,0)),"")</f>
        <v/>
      </c>
      <c r="AF356" s="25" t="str">
        <f>IF(AE356="","",IFERROR(INDEX($AN$11:$AN$4010,MATCH(346,$AZ$11:$AZ$4010,0)),""))</f>
        <v/>
      </c>
      <c r="AG356" s="25" t="str">
        <f>IF(AE356="","",IFERROR(INDEX($AO$11:$AO$4010,MATCH(346,$AZ$11:$AZ$4010,0)),""))</f>
        <v/>
      </c>
      <c r="AH356" s="24" t="str">
        <f>IF(AE356="","",IFERROR(INDEX($AQ$11:$AQ$4010,MATCH(346,$AZ$11:$AZ$4010,0)),""))</f>
        <v/>
      </c>
      <c r="AI356" s="29" t="str">
        <f>IF(AE356="","",IFERROR(INDEX($AR$11:$AR$4010,MATCH(346,$AZ$11:$AZ$4010,0)),""))</f>
        <v/>
      </c>
      <c r="AJ356" s="29" t="str">
        <f>IF(AE356="","",IFERROR(INDEX($AT$11:$AT$4010,MATCH(346,$AZ$11:$AZ$4010,0)),""))</f>
        <v/>
      </c>
      <c r="AL356" s="31" t="str">
        <f t="shared" si="73"/>
        <v/>
      </c>
      <c r="AM356" s="26" t="str">
        <f t="shared" si="74"/>
        <v/>
      </c>
      <c r="AN356" s="32" t="str">
        <f t="shared" si="75"/>
        <v/>
      </c>
      <c r="AO356" s="32" t="str">
        <f t="shared" si="76"/>
        <v/>
      </c>
      <c r="AP356" s="24" t="str">
        <f t="shared" si="77"/>
        <v/>
      </c>
      <c r="AQ356" s="24" t="str">
        <f t="shared" si="78"/>
        <v/>
      </c>
      <c r="AR356" s="33" t="str">
        <f t="shared" si="79"/>
        <v/>
      </c>
      <c r="AS356" s="34"/>
      <c r="AT356" s="33"/>
      <c r="AV356" s="21">
        <f>IF(AND($AL356&lt;&gt;"",COUNTIF($AL$11:$AL356,$AL356)=1),1,0)</f>
        <v>0</v>
      </c>
      <c r="AW356" s="21">
        <f t="shared" si="81"/>
        <v>0</v>
      </c>
      <c r="AX356" s="21" t="str">
        <f t="shared" si="80"/>
        <v/>
      </c>
      <c r="AY356" s="21" t="str">
        <f>IF(AND($AM356&lt;&gt;"",$AS356&lt;&gt;"✓"),SUMPRODUCT(($AM$11:$AM356&lt;&gt;"")*($AS$11:$AS356&lt;&gt;"✓")),"")</f>
        <v/>
      </c>
      <c r="AZ356" s="21" t="str">
        <f>IF(AND($AM356&lt;&gt;"",$AS356="✓"),SUMPRODUCT(($AM$11:$AM356&lt;&gt;"")*($AS$11:$AS356="✓")),"")</f>
        <v/>
      </c>
      <c r="BA356" s="21" t="str">
        <f>IF($AL356="","",$AL356&amp;"|"&amp;COUNTIF($AL$11:$AL356,$AL356))</f>
        <v/>
      </c>
    </row>
    <row r="357" spans="2:53" ht="15" customHeight="1" x14ac:dyDescent="0.25">
      <c r="B357" s="5" t="str">
        <f t="shared" si="72"/>
        <v/>
      </c>
      <c r="C357" s="5"/>
      <c r="D357" s="5"/>
      <c r="E357" s="5"/>
      <c r="F357" s="6"/>
      <c r="G357" s="6"/>
      <c r="H357" s="7"/>
      <c r="I357" s="8"/>
      <c r="W357" s="14" t="str">
        <f>IF(X357="","",IFERROR(INDEX($AL$11:$AL$4010,MATCH(347,$AY$11:$AY$4010,0)),""))</f>
        <v/>
      </c>
      <c r="X357" s="12" t="str">
        <f>IFERROR(INDEX($AM$11:$AM$4010,MATCH(347,$AY$11:$AY$4010,0)),"")</f>
        <v/>
      </c>
      <c r="Y357" s="11" t="str">
        <f>IF(X357="","",IFERROR(INDEX($AN$11:$AN$4010,MATCH(347,$AY$11:$AY$4010,0)),""))</f>
        <v/>
      </c>
      <c r="Z357" s="11" t="str">
        <f>IF(X357="","",IFERROR(INDEX($AO$11:$AO$4010,MATCH(347,$AY$11:$AY$4010,0)),""))</f>
        <v/>
      </c>
      <c r="AA357" s="10" t="str">
        <f>IF(X357="","",IFERROR(INDEX($AQ$11:$AQ$4010,MATCH(347,$AY$11:$AY$4010,0)),""))</f>
        <v/>
      </c>
      <c r="AB357" s="15" t="str">
        <f>IF(X357="","",IFERROR(INDEX($AR$11:$AR$4010,MATCH(347,$AY$11:$AY$4010,0)),""))</f>
        <v/>
      </c>
      <c r="AD357" s="16" t="str">
        <f>IF(AE357="","",IFERROR(INDEX($AL$11:$AL$4010,MATCH(347,$AZ$11:$AZ$4010,0)),""))</f>
        <v/>
      </c>
      <c r="AE357" s="12" t="str">
        <f>IFERROR(INDEX($AM$11:$AM$4010,MATCH(347,$AZ$11:$AZ$4010,0)),"")</f>
        <v/>
      </c>
      <c r="AF357" s="11" t="str">
        <f>IF(AE357="","",IFERROR(INDEX($AN$11:$AN$4010,MATCH(347,$AZ$11:$AZ$4010,0)),""))</f>
        <v/>
      </c>
      <c r="AG357" s="11" t="str">
        <f>IF(AE357="","",IFERROR(INDEX($AO$11:$AO$4010,MATCH(347,$AZ$11:$AZ$4010,0)),""))</f>
        <v/>
      </c>
      <c r="AH357" s="10" t="str">
        <f>IF(AE357="","",IFERROR(INDEX($AQ$11:$AQ$4010,MATCH(347,$AZ$11:$AZ$4010,0)),""))</f>
        <v/>
      </c>
      <c r="AI357" s="15" t="str">
        <f>IF(AE357="","",IFERROR(INDEX($AR$11:$AR$4010,MATCH(347,$AZ$11:$AZ$4010,0)),""))</f>
        <v/>
      </c>
      <c r="AJ357" s="15" t="str">
        <f>IF(AE357="","",IFERROR(INDEX($AT$11:$AT$4010,MATCH(347,$AZ$11:$AZ$4010,0)),""))</f>
        <v/>
      </c>
      <c r="AL357" s="17" t="str">
        <f t="shared" si="73"/>
        <v/>
      </c>
      <c r="AM357" s="12" t="str">
        <f t="shared" si="74"/>
        <v/>
      </c>
      <c r="AN357" s="18" t="str">
        <f t="shared" si="75"/>
        <v/>
      </c>
      <c r="AO357" s="18" t="str">
        <f t="shared" si="76"/>
        <v/>
      </c>
      <c r="AP357" s="10" t="str">
        <f t="shared" si="77"/>
        <v/>
      </c>
      <c r="AQ357" s="10" t="str">
        <f t="shared" si="78"/>
        <v/>
      </c>
      <c r="AR357" s="19" t="str">
        <f t="shared" si="79"/>
        <v/>
      </c>
      <c r="AS357" s="20"/>
      <c r="AT357" s="19"/>
      <c r="AV357" s="21">
        <f>IF(AND($AL357&lt;&gt;"",COUNTIF($AL$11:$AL357,$AL357)=1),1,0)</f>
        <v>0</v>
      </c>
      <c r="AW357" s="21">
        <f t="shared" si="81"/>
        <v>0</v>
      </c>
      <c r="AX357" s="21" t="str">
        <f t="shared" si="80"/>
        <v/>
      </c>
      <c r="AY357" s="21" t="str">
        <f>IF(AND($AM357&lt;&gt;"",$AS357&lt;&gt;"✓"),SUMPRODUCT(($AM$11:$AM357&lt;&gt;"")*($AS$11:$AS357&lt;&gt;"✓")),"")</f>
        <v/>
      </c>
      <c r="AZ357" s="21" t="str">
        <f>IF(AND($AM357&lt;&gt;"",$AS357="✓"),SUMPRODUCT(($AM$11:$AM357&lt;&gt;"")*($AS$11:$AS357="✓")),"")</f>
        <v/>
      </c>
      <c r="BA357" s="21" t="str">
        <f>IF($AL357="","",$AL357&amp;"|"&amp;COUNTIF($AL$11:$AL357,$AL357))</f>
        <v/>
      </c>
    </row>
    <row r="358" spans="2:53" ht="15" customHeight="1" x14ac:dyDescent="0.25">
      <c r="B358" s="5" t="str">
        <f t="shared" si="72"/>
        <v/>
      </c>
      <c r="C358" s="5"/>
      <c r="D358" s="5"/>
      <c r="E358" s="5"/>
      <c r="F358" s="6"/>
      <c r="G358" s="6"/>
      <c r="H358" s="7"/>
      <c r="I358" s="8"/>
      <c r="W358" s="28" t="str">
        <f>IF(X358="","",IFERROR(INDEX($AL$11:$AL$4010,MATCH(348,$AY$11:$AY$4010,0)),""))</f>
        <v/>
      </c>
      <c r="X358" s="26" t="str">
        <f>IFERROR(INDEX($AM$11:$AM$4010,MATCH(348,$AY$11:$AY$4010,0)),"")</f>
        <v/>
      </c>
      <c r="Y358" s="25" t="str">
        <f>IF(X358="","",IFERROR(INDEX($AN$11:$AN$4010,MATCH(348,$AY$11:$AY$4010,0)),""))</f>
        <v/>
      </c>
      <c r="Z358" s="25" t="str">
        <f>IF(X358="","",IFERROR(INDEX($AO$11:$AO$4010,MATCH(348,$AY$11:$AY$4010,0)),""))</f>
        <v/>
      </c>
      <c r="AA358" s="24" t="str">
        <f>IF(X358="","",IFERROR(INDEX($AQ$11:$AQ$4010,MATCH(348,$AY$11:$AY$4010,0)),""))</f>
        <v/>
      </c>
      <c r="AB358" s="29" t="str">
        <f>IF(X358="","",IFERROR(INDEX($AR$11:$AR$4010,MATCH(348,$AY$11:$AY$4010,0)),""))</f>
        <v/>
      </c>
      <c r="AD358" s="30" t="str">
        <f>IF(AE358="","",IFERROR(INDEX($AL$11:$AL$4010,MATCH(348,$AZ$11:$AZ$4010,0)),""))</f>
        <v/>
      </c>
      <c r="AE358" s="26" t="str">
        <f>IFERROR(INDEX($AM$11:$AM$4010,MATCH(348,$AZ$11:$AZ$4010,0)),"")</f>
        <v/>
      </c>
      <c r="AF358" s="25" t="str">
        <f>IF(AE358="","",IFERROR(INDEX($AN$11:$AN$4010,MATCH(348,$AZ$11:$AZ$4010,0)),""))</f>
        <v/>
      </c>
      <c r="AG358" s="25" t="str">
        <f>IF(AE358="","",IFERROR(INDEX($AO$11:$AO$4010,MATCH(348,$AZ$11:$AZ$4010,0)),""))</f>
        <v/>
      </c>
      <c r="AH358" s="24" t="str">
        <f>IF(AE358="","",IFERROR(INDEX($AQ$11:$AQ$4010,MATCH(348,$AZ$11:$AZ$4010,0)),""))</f>
        <v/>
      </c>
      <c r="AI358" s="29" t="str">
        <f>IF(AE358="","",IFERROR(INDEX($AR$11:$AR$4010,MATCH(348,$AZ$11:$AZ$4010,0)),""))</f>
        <v/>
      </c>
      <c r="AJ358" s="29" t="str">
        <f>IF(AE358="","",IFERROR(INDEX($AT$11:$AT$4010,MATCH(348,$AZ$11:$AZ$4010,0)),""))</f>
        <v/>
      </c>
      <c r="AL358" s="31" t="str">
        <f t="shared" si="73"/>
        <v/>
      </c>
      <c r="AM358" s="26" t="str">
        <f t="shared" si="74"/>
        <v/>
      </c>
      <c r="AN358" s="32" t="str">
        <f t="shared" si="75"/>
        <v/>
      </c>
      <c r="AO358" s="32" t="str">
        <f t="shared" si="76"/>
        <v/>
      </c>
      <c r="AP358" s="24" t="str">
        <f t="shared" si="77"/>
        <v/>
      </c>
      <c r="AQ358" s="24" t="str">
        <f t="shared" si="78"/>
        <v/>
      </c>
      <c r="AR358" s="33" t="str">
        <f t="shared" si="79"/>
        <v/>
      </c>
      <c r="AS358" s="34"/>
      <c r="AT358" s="33"/>
      <c r="AV358" s="21">
        <f>IF(AND($AL358&lt;&gt;"",COUNTIF($AL$11:$AL358,$AL358)=1),1,0)</f>
        <v>0</v>
      </c>
      <c r="AW358" s="21">
        <f t="shared" si="81"/>
        <v>0</v>
      </c>
      <c r="AX358" s="21" t="str">
        <f t="shared" si="80"/>
        <v/>
      </c>
      <c r="AY358" s="21" t="str">
        <f>IF(AND($AM358&lt;&gt;"",$AS358&lt;&gt;"✓"),SUMPRODUCT(($AM$11:$AM358&lt;&gt;"")*($AS$11:$AS358&lt;&gt;"✓")),"")</f>
        <v/>
      </c>
      <c r="AZ358" s="21" t="str">
        <f>IF(AND($AM358&lt;&gt;"",$AS358="✓"),SUMPRODUCT(($AM$11:$AM358&lt;&gt;"")*($AS$11:$AS358="✓")),"")</f>
        <v/>
      </c>
      <c r="BA358" s="21" t="str">
        <f>IF($AL358="","",$AL358&amp;"|"&amp;COUNTIF($AL$11:$AL358,$AL358))</f>
        <v/>
      </c>
    </row>
    <row r="359" spans="2:53" ht="15" customHeight="1" x14ac:dyDescent="0.25">
      <c r="B359" s="5" t="str">
        <f t="shared" si="72"/>
        <v/>
      </c>
      <c r="C359" s="5"/>
      <c r="D359" s="5"/>
      <c r="E359" s="5"/>
      <c r="F359" s="6"/>
      <c r="G359" s="6"/>
      <c r="H359" s="7"/>
      <c r="I359" s="8"/>
      <c r="W359" s="14" t="str">
        <f>IF(X359="","",IFERROR(INDEX($AL$11:$AL$4010,MATCH(349,$AY$11:$AY$4010,0)),""))</f>
        <v/>
      </c>
      <c r="X359" s="12" t="str">
        <f>IFERROR(INDEX($AM$11:$AM$4010,MATCH(349,$AY$11:$AY$4010,0)),"")</f>
        <v/>
      </c>
      <c r="Y359" s="11" t="str">
        <f>IF(X359="","",IFERROR(INDEX($AN$11:$AN$4010,MATCH(349,$AY$11:$AY$4010,0)),""))</f>
        <v/>
      </c>
      <c r="Z359" s="11" t="str">
        <f>IF(X359="","",IFERROR(INDEX($AO$11:$AO$4010,MATCH(349,$AY$11:$AY$4010,0)),""))</f>
        <v/>
      </c>
      <c r="AA359" s="10" t="str">
        <f>IF(X359="","",IFERROR(INDEX($AQ$11:$AQ$4010,MATCH(349,$AY$11:$AY$4010,0)),""))</f>
        <v/>
      </c>
      <c r="AB359" s="15" t="str">
        <f>IF(X359="","",IFERROR(INDEX($AR$11:$AR$4010,MATCH(349,$AY$11:$AY$4010,0)),""))</f>
        <v/>
      </c>
      <c r="AD359" s="16" t="str">
        <f>IF(AE359="","",IFERROR(INDEX($AL$11:$AL$4010,MATCH(349,$AZ$11:$AZ$4010,0)),""))</f>
        <v/>
      </c>
      <c r="AE359" s="12" t="str">
        <f>IFERROR(INDEX($AM$11:$AM$4010,MATCH(349,$AZ$11:$AZ$4010,0)),"")</f>
        <v/>
      </c>
      <c r="AF359" s="11" t="str">
        <f>IF(AE359="","",IFERROR(INDEX($AN$11:$AN$4010,MATCH(349,$AZ$11:$AZ$4010,0)),""))</f>
        <v/>
      </c>
      <c r="AG359" s="11" t="str">
        <f>IF(AE359="","",IFERROR(INDEX($AO$11:$AO$4010,MATCH(349,$AZ$11:$AZ$4010,0)),""))</f>
        <v/>
      </c>
      <c r="AH359" s="10" t="str">
        <f>IF(AE359="","",IFERROR(INDEX($AQ$11:$AQ$4010,MATCH(349,$AZ$11:$AZ$4010,0)),""))</f>
        <v/>
      </c>
      <c r="AI359" s="15" t="str">
        <f>IF(AE359="","",IFERROR(INDEX($AR$11:$AR$4010,MATCH(349,$AZ$11:$AZ$4010,0)),""))</f>
        <v/>
      </c>
      <c r="AJ359" s="15" t="str">
        <f>IF(AE359="","",IFERROR(INDEX($AT$11:$AT$4010,MATCH(349,$AZ$11:$AZ$4010,0)),""))</f>
        <v/>
      </c>
      <c r="AL359" s="17" t="str">
        <f t="shared" si="73"/>
        <v/>
      </c>
      <c r="AM359" s="12" t="str">
        <f t="shared" si="74"/>
        <v/>
      </c>
      <c r="AN359" s="18" t="str">
        <f t="shared" si="75"/>
        <v/>
      </c>
      <c r="AO359" s="18" t="str">
        <f t="shared" si="76"/>
        <v/>
      </c>
      <c r="AP359" s="10" t="str">
        <f t="shared" si="77"/>
        <v/>
      </c>
      <c r="AQ359" s="10" t="str">
        <f t="shared" si="78"/>
        <v/>
      </c>
      <c r="AR359" s="19" t="str">
        <f t="shared" si="79"/>
        <v/>
      </c>
      <c r="AS359" s="20"/>
      <c r="AT359" s="19"/>
      <c r="AV359" s="21">
        <f>IF(AND($AL359&lt;&gt;"",COUNTIF($AL$11:$AL359,$AL359)=1),1,0)</f>
        <v>0</v>
      </c>
      <c r="AW359" s="21">
        <f t="shared" si="81"/>
        <v>0</v>
      </c>
      <c r="AX359" s="21" t="str">
        <f t="shared" si="80"/>
        <v/>
      </c>
      <c r="AY359" s="21" t="str">
        <f>IF(AND($AM359&lt;&gt;"",$AS359&lt;&gt;"✓"),SUMPRODUCT(($AM$11:$AM359&lt;&gt;"")*($AS$11:$AS359&lt;&gt;"✓")),"")</f>
        <v/>
      </c>
      <c r="AZ359" s="21" t="str">
        <f>IF(AND($AM359&lt;&gt;"",$AS359="✓"),SUMPRODUCT(($AM$11:$AM359&lt;&gt;"")*($AS$11:$AS359="✓")),"")</f>
        <v/>
      </c>
      <c r="BA359" s="21" t="str">
        <f>IF($AL359="","",$AL359&amp;"|"&amp;COUNTIF($AL$11:$AL359,$AL359))</f>
        <v/>
      </c>
    </row>
    <row r="360" spans="2:53" ht="15" customHeight="1" x14ac:dyDescent="0.25">
      <c r="B360" s="5" t="str">
        <f t="shared" si="72"/>
        <v/>
      </c>
      <c r="C360" s="5"/>
      <c r="D360" s="5"/>
      <c r="E360" s="5"/>
      <c r="F360" s="6"/>
      <c r="G360" s="6"/>
      <c r="H360" s="7"/>
      <c r="I360" s="8"/>
      <c r="W360" s="28" t="str">
        <f>IF(X360="","",IFERROR(INDEX($AL$11:$AL$4010,MATCH(350,$AY$11:$AY$4010,0)),""))</f>
        <v/>
      </c>
      <c r="X360" s="26" t="str">
        <f>IFERROR(INDEX($AM$11:$AM$4010,MATCH(350,$AY$11:$AY$4010,0)),"")</f>
        <v/>
      </c>
      <c r="Y360" s="25" t="str">
        <f>IF(X360="","",IFERROR(INDEX($AN$11:$AN$4010,MATCH(350,$AY$11:$AY$4010,0)),""))</f>
        <v/>
      </c>
      <c r="Z360" s="25" t="str">
        <f>IF(X360="","",IFERROR(INDEX($AO$11:$AO$4010,MATCH(350,$AY$11:$AY$4010,0)),""))</f>
        <v/>
      </c>
      <c r="AA360" s="24" t="str">
        <f>IF(X360="","",IFERROR(INDEX($AQ$11:$AQ$4010,MATCH(350,$AY$11:$AY$4010,0)),""))</f>
        <v/>
      </c>
      <c r="AB360" s="29" t="str">
        <f>IF(X360="","",IFERROR(INDEX($AR$11:$AR$4010,MATCH(350,$AY$11:$AY$4010,0)),""))</f>
        <v/>
      </c>
      <c r="AD360" s="30" t="str">
        <f>IF(AE360="","",IFERROR(INDEX($AL$11:$AL$4010,MATCH(350,$AZ$11:$AZ$4010,0)),""))</f>
        <v/>
      </c>
      <c r="AE360" s="26" t="str">
        <f>IFERROR(INDEX($AM$11:$AM$4010,MATCH(350,$AZ$11:$AZ$4010,0)),"")</f>
        <v/>
      </c>
      <c r="AF360" s="25" t="str">
        <f>IF(AE360="","",IFERROR(INDEX($AN$11:$AN$4010,MATCH(350,$AZ$11:$AZ$4010,0)),""))</f>
        <v/>
      </c>
      <c r="AG360" s="25" t="str">
        <f>IF(AE360="","",IFERROR(INDEX($AO$11:$AO$4010,MATCH(350,$AZ$11:$AZ$4010,0)),""))</f>
        <v/>
      </c>
      <c r="AH360" s="24" t="str">
        <f>IF(AE360="","",IFERROR(INDEX($AQ$11:$AQ$4010,MATCH(350,$AZ$11:$AZ$4010,0)),""))</f>
        <v/>
      </c>
      <c r="AI360" s="29" t="str">
        <f>IF(AE360="","",IFERROR(INDEX($AR$11:$AR$4010,MATCH(350,$AZ$11:$AZ$4010,0)),""))</f>
        <v/>
      </c>
      <c r="AJ360" s="29" t="str">
        <f>IF(AE360="","",IFERROR(INDEX($AT$11:$AT$4010,MATCH(350,$AZ$11:$AZ$4010,0)),""))</f>
        <v/>
      </c>
      <c r="AL360" s="31" t="str">
        <f t="shared" si="73"/>
        <v/>
      </c>
      <c r="AM360" s="26" t="str">
        <f t="shared" si="74"/>
        <v/>
      </c>
      <c r="AN360" s="32" t="str">
        <f t="shared" si="75"/>
        <v/>
      </c>
      <c r="AO360" s="32" t="str">
        <f t="shared" si="76"/>
        <v/>
      </c>
      <c r="AP360" s="24" t="str">
        <f t="shared" si="77"/>
        <v/>
      </c>
      <c r="AQ360" s="24" t="str">
        <f t="shared" si="78"/>
        <v/>
      </c>
      <c r="AR360" s="33" t="str">
        <f t="shared" si="79"/>
        <v/>
      </c>
      <c r="AS360" s="34"/>
      <c r="AT360" s="33"/>
      <c r="AV360" s="21">
        <f>IF(AND($AL360&lt;&gt;"",COUNTIF($AL$11:$AL360,$AL360)=1),1,0)</f>
        <v>0</v>
      </c>
      <c r="AW360" s="21">
        <f t="shared" si="81"/>
        <v>0</v>
      </c>
      <c r="AX360" s="21" t="str">
        <f t="shared" si="80"/>
        <v/>
      </c>
      <c r="AY360" s="21" t="str">
        <f>IF(AND($AM360&lt;&gt;"",$AS360&lt;&gt;"✓"),SUMPRODUCT(($AM$11:$AM360&lt;&gt;"")*($AS$11:$AS360&lt;&gt;"✓")),"")</f>
        <v/>
      </c>
      <c r="AZ360" s="21" t="str">
        <f>IF(AND($AM360&lt;&gt;"",$AS360="✓"),SUMPRODUCT(($AM$11:$AM360&lt;&gt;"")*($AS$11:$AS360="✓")),"")</f>
        <v/>
      </c>
      <c r="BA360" s="21" t="str">
        <f>IF($AL360="","",$AL360&amp;"|"&amp;COUNTIF($AL$11:$AL360,$AL360))</f>
        <v/>
      </c>
    </row>
    <row r="361" spans="2:53" ht="15" customHeight="1" x14ac:dyDescent="0.25">
      <c r="B361" s="5" t="str">
        <f t="shared" si="72"/>
        <v/>
      </c>
      <c r="C361" s="5"/>
      <c r="D361" s="5"/>
      <c r="E361" s="5"/>
      <c r="F361" s="6"/>
      <c r="G361" s="6"/>
      <c r="H361" s="7"/>
      <c r="I361" s="8"/>
      <c r="W361" s="14" t="str">
        <f>IF(X361="","",IFERROR(INDEX($AL$11:$AL$4010,MATCH(351,$AY$11:$AY$4010,0)),""))</f>
        <v/>
      </c>
      <c r="X361" s="12" t="str">
        <f>IFERROR(INDEX($AM$11:$AM$4010,MATCH(351,$AY$11:$AY$4010,0)),"")</f>
        <v/>
      </c>
      <c r="Y361" s="11" t="str">
        <f>IF(X361="","",IFERROR(INDEX($AN$11:$AN$4010,MATCH(351,$AY$11:$AY$4010,0)),""))</f>
        <v/>
      </c>
      <c r="Z361" s="11" t="str">
        <f>IF(X361="","",IFERROR(INDEX($AO$11:$AO$4010,MATCH(351,$AY$11:$AY$4010,0)),""))</f>
        <v/>
      </c>
      <c r="AA361" s="10" t="str">
        <f>IF(X361="","",IFERROR(INDEX($AQ$11:$AQ$4010,MATCH(351,$AY$11:$AY$4010,0)),""))</f>
        <v/>
      </c>
      <c r="AB361" s="15" t="str">
        <f>IF(X361="","",IFERROR(INDEX($AR$11:$AR$4010,MATCH(351,$AY$11:$AY$4010,0)),""))</f>
        <v/>
      </c>
      <c r="AD361" s="16" t="str">
        <f>IF(AE361="","",IFERROR(INDEX($AL$11:$AL$4010,MATCH(351,$AZ$11:$AZ$4010,0)),""))</f>
        <v/>
      </c>
      <c r="AE361" s="12" t="str">
        <f>IFERROR(INDEX($AM$11:$AM$4010,MATCH(351,$AZ$11:$AZ$4010,0)),"")</f>
        <v/>
      </c>
      <c r="AF361" s="11" t="str">
        <f>IF(AE361="","",IFERROR(INDEX($AN$11:$AN$4010,MATCH(351,$AZ$11:$AZ$4010,0)),""))</f>
        <v/>
      </c>
      <c r="AG361" s="11" t="str">
        <f>IF(AE361="","",IFERROR(INDEX($AO$11:$AO$4010,MATCH(351,$AZ$11:$AZ$4010,0)),""))</f>
        <v/>
      </c>
      <c r="AH361" s="10" t="str">
        <f>IF(AE361="","",IFERROR(INDEX($AQ$11:$AQ$4010,MATCH(351,$AZ$11:$AZ$4010,0)),""))</f>
        <v/>
      </c>
      <c r="AI361" s="15" t="str">
        <f>IF(AE361="","",IFERROR(INDEX($AR$11:$AR$4010,MATCH(351,$AZ$11:$AZ$4010,0)),""))</f>
        <v/>
      </c>
      <c r="AJ361" s="15" t="str">
        <f>IF(AE361="","",IFERROR(INDEX($AT$11:$AT$4010,MATCH(351,$AZ$11:$AZ$4010,0)),""))</f>
        <v/>
      </c>
      <c r="AL361" s="17" t="str">
        <f t="shared" si="73"/>
        <v/>
      </c>
      <c r="AM361" s="12" t="str">
        <f t="shared" si="74"/>
        <v/>
      </c>
      <c r="AN361" s="18" t="str">
        <f t="shared" si="75"/>
        <v/>
      </c>
      <c r="AO361" s="18" t="str">
        <f t="shared" si="76"/>
        <v/>
      </c>
      <c r="AP361" s="10" t="str">
        <f t="shared" si="77"/>
        <v/>
      </c>
      <c r="AQ361" s="10" t="str">
        <f t="shared" si="78"/>
        <v/>
      </c>
      <c r="AR361" s="19" t="str">
        <f t="shared" si="79"/>
        <v/>
      </c>
      <c r="AS361" s="20"/>
      <c r="AT361" s="19"/>
      <c r="AV361" s="21">
        <f>IF(AND($AL361&lt;&gt;"",COUNTIF($AL$11:$AL361,$AL361)=1),1,0)</f>
        <v>0</v>
      </c>
      <c r="AW361" s="21">
        <f t="shared" si="81"/>
        <v>0</v>
      </c>
      <c r="AX361" s="21" t="str">
        <f t="shared" si="80"/>
        <v/>
      </c>
      <c r="AY361" s="21" t="str">
        <f>IF(AND($AM361&lt;&gt;"",$AS361&lt;&gt;"✓"),SUMPRODUCT(($AM$11:$AM361&lt;&gt;"")*($AS$11:$AS361&lt;&gt;"✓")),"")</f>
        <v/>
      </c>
      <c r="AZ361" s="21" t="str">
        <f>IF(AND($AM361&lt;&gt;"",$AS361="✓"),SUMPRODUCT(($AM$11:$AM361&lt;&gt;"")*($AS$11:$AS361="✓")),"")</f>
        <v/>
      </c>
      <c r="BA361" s="21" t="str">
        <f>IF($AL361="","",$AL361&amp;"|"&amp;COUNTIF($AL$11:$AL361,$AL361))</f>
        <v/>
      </c>
    </row>
    <row r="362" spans="2:53" ht="15" customHeight="1" x14ac:dyDescent="0.25">
      <c r="B362" s="5" t="str">
        <f t="shared" si="72"/>
        <v/>
      </c>
      <c r="C362" s="5"/>
      <c r="D362" s="5"/>
      <c r="E362" s="5"/>
      <c r="F362" s="6"/>
      <c r="G362" s="6"/>
      <c r="H362" s="7"/>
      <c r="I362" s="8"/>
      <c r="W362" s="28" t="str">
        <f>IF(X362="","",IFERROR(INDEX($AL$11:$AL$4010,MATCH(352,$AY$11:$AY$4010,0)),""))</f>
        <v/>
      </c>
      <c r="X362" s="26" t="str">
        <f>IFERROR(INDEX($AM$11:$AM$4010,MATCH(352,$AY$11:$AY$4010,0)),"")</f>
        <v/>
      </c>
      <c r="Y362" s="25" t="str">
        <f>IF(X362="","",IFERROR(INDEX($AN$11:$AN$4010,MATCH(352,$AY$11:$AY$4010,0)),""))</f>
        <v/>
      </c>
      <c r="Z362" s="25" t="str">
        <f>IF(X362="","",IFERROR(INDEX($AO$11:$AO$4010,MATCH(352,$AY$11:$AY$4010,0)),""))</f>
        <v/>
      </c>
      <c r="AA362" s="24" t="str">
        <f>IF(X362="","",IFERROR(INDEX($AQ$11:$AQ$4010,MATCH(352,$AY$11:$AY$4010,0)),""))</f>
        <v/>
      </c>
      <c r="AB362" s="29" t="str">
        <f>IF(X362="","",IFERROR(INDEX($AR$11:$AR$4010,MATCH(352,$AY$11:$AY$4010,0)),""))</f>
        <v/>
      </c>
      <c r="AD362" s="30" t="str">
        <f>IF(AE362="","",IFERROR(INDEX($AL$11:$AL$4010,MATCH(352,$AZ$11:$AZ$4010,0)),""))</f>
        <v/>
      </c>
      <c r="AE362" s="26" t="str">
        <f>IFERROR(INDEX($AM$11:$AM$4010,MATCH(352,$AZ$11:$AZ$4010,0)),"")</f>
        <v/>
      </c>
      <c r="AF362" s="25" t="str">
        <f>IF(AE362="","",IFERROR(INDEX($AN$11:$AN$4010,MATCH(352,$AZ$11:$AZ$4010,0)),""))</f>
        <v/>
      </c>
      <c r="AG362" s="25" t="str">
        <f>IF(AE362="","",IFERROR(INDEX($AO$11:$AO$4010,MATCH(352,$AZ$11:$AZ$4010,0)),""))</f>
        <v/>
      </c>
      <c r="AH362" s="24" t="str">
        <f>IF(AE362="","",IFERROR(INDEX($AQ$11:$AQ$4010,MATCH(352,$AZ$11:$AZ$4010,0)),""))</f>
        <v/>
      </c>
      <c r="AI362" s="29" t="str">
        <f>IF(AE362="","",IFERROR(INDEX($AR$11:$AR$4010,MATCH(352,$AZ$11:$AZ$4010,0)),""))</f>
        <v/>
      </c>
      <c r="AJ362" s="29" t="str">
        <f>IF(AE362="","",IFERROR(INDEX($AT$11:$AT$4010,MATCH(352,$AZ$11:$AZ$4010,0)),""))</f>
        <v/>
      </c>
      <c r="AL362" s="31" t="str">
        <f t="shared" si="73"/>
        <v/>
      </c>
      <c r="AM362" s="26" t="str">
        <f t="shared" si="74"/>
        <v/>
      </c>
      <c r="AN362" s="32" t="str">
        <f t="shared" si="75"/>
        <v/>
      </c>
      <c r="AO362" s="32" t="str">
        <f t="shared" si="76"/>
        <v/>
      </c>
      <c r="AP362" s="24" t="str">
        <f t="shared" si="77"/>
        <v/>
      </c>
      <c r="AQ362" s="24" t="str">
        <f t="shared" si="78"/>
        <v/>
      </c>
      <c r="AR362" s="33" t="str">
        <f t="shared" si="79"/>
        <v/>
      </c>
      <c r="AS362" s="34"/>
      <c r="AT362" s="33"/>
      <c r="AV362" s="21">
        <f>IF(AND($AL362&lt;&gt;"",COUNTIF($AL$11:$AL362,$AL362)=1),1,0)</f>
        <v>0</v>
      </c>
      <c r="AW362" s="21">
        <f t="shared" si="81"/>
        <v>0</v>
      </c>
      <c r="AX362" s="21" t="str">
        <f t="shared" si="80"/>
        <v/>
      </c>
      <c r="AY362" s="21" t="str">
        <f>IF(AND($AM362&lt;&gt;"",$AS362&lt;&gt;"✓"),SUMPRODUCT(($AM$11:$AM362&lt;&gt;"")*($AS$11:$AS362&lt;&gt;"✓")),"")</f>
        <v/>
      </c>
      <c r="AZ362" s="21" t="str">
        <f>IF(AND($AM362&lt;&gt;"",$AS362="✓"),SUMPRODUCT(($AM$11:$AM362&lt;&gt;"")*($AS$11:$AS362="✓")),"")</f>
        <v/>
      </c>
      <c r="BA362" s="21" t="str">
        <f>IF($AL362="","",$AL362&amp;"|"&amp;COUNTIF($AL$11:$AL362,$AL362))</f>
        <v/>
      </c>
    </row>
    <row r="363" spans="2:53" ht="15" customHeight="1" x14ac:dyDescent="0.25">
      <c r="B363" s="5" t="str">
        <f t="shared" si="72"/>
        <v/>
      </c>
      <c r="C363" s="5"/>
      <c r="D363" s="5"/>
      <c r="E363" s="5"/>
      <c r="F363" s="6"/>
      <c r="G363" s="6"/>
      <c r="H363" s="7"/>
      <c r="I363" s="8"/>
      <c r="W363" s="14" t="str">
        <f>IF(X363="","",IFERROR(INDEX($AL$11:$AL$4010,MATCH(353,$AY$11:$AY$4010,0)),""))</f>
        <v/>
      </c>
      <c r="X363" s="12" t="str">
        <f>IFERROR(INDEX($AM$11:$AM$4010,MATCH(353,$AY$11:$AY$4010,0)),"")</f>
        <v/>
      </c>
      <c r="Y363" s="11" t="str">
        <f>IF(X363="","",IFERROR(INDEX($AN$11:$AN$4010,MATCH(353,$AY$11:$AY$4010,0)),""))</f>
        <v/>
      </c>
      <c r="Z363" s="11" t="str">
        <f>IF(X363="","",IFERROR(INDEX($AO$11:$AO$4010,MATCH(353,$AY$11:$AY$4010,0)),""))</f>
        <v/>
      </c>
      <c r="AA363" s="10" t="str">
        <f>IF(X363="","",IFERROR(INDEX($AQ$11:$AQ$4010,MATCH(353,$AY$11:$AY$4010,0)),""))</f>
        <v/>
      </c>
      <c r="AB363" s="15" t="str">
        <f>IF(X363="","",IFERROR(INDEX($AR$11:$AR$4010,MATCH(353,$AY$11:$AY$4010,0)),""))</f>
        <v/>
      </c>
      <c r="AD363" s="16" t="str">
        <f>IF(AE363="","",IFERROR(INDEX($AL$11:$AL$4010,MATCH(353,$AZ$11:$AZ$4010,0)),""))</f>
        <v/>
      </c>
      <c r="AE363" s="12" t="str">
        <f>IFERROR(INDEX($AM$11:$AM$4010,MATCH(353,$AZ$11:$AZ$4010,0)),"")</f>
        <v/>
      </c>
      <c r="AF363" s="11" t="str">
        <f>IF(AE363="","",IFERROR(INDEX($AN$11:$AN$4010,MATCH(353,$AZ$11:$AZ$4010,0)),""))</f>
        <v/>
      </c>
      <c r="AG363" s="11" t="str">
        <f>IF(AE363="","",IFERROR(INDEX($AO$11:$AO$4010,MATCH(353,$AZ$11:$AZ$4010,0)),""))</f>
        <v/>
      </c>
      <c r="AH363" s="10" t="str">
        <f>IF(AE363="","",IFERROR(INDEX($AQ$11:$AQ$4010,MATCH(353,$AZ$11:$AZ$4010,0)),""))</f>
        <v/>
      </c>
      <c r="AI363" s="15" t="str">
        <f>IF(AE363="","",IFERROR(INDEX($AR$11:$AR$4010,MATCH(353,$AZ$11:$AZ$4010,0)),""))</f>
        <v/>
      </c>
      <c r="AJ363" s="15" t="str">
        <f>IF(AE363="","",IFERROR(INDEX($AT$11:$AT$4010,MATCH(353,$AZ$11:$AZ$4010,0)),""))</f>
        <v/>
      </c>
      <c r="AL363" s="17" t="str">
        <f t="shared" si="73"/>
        <v/>
      </c>
      <c r="AM363" s="12" t="str">
        <f t="shared" si="74"/>
        <v/>
      </c>
      <c r="AN363" s="18" t="str">
        <f t="shared" si="75"/>
        <v/>
      </c>
      <c r="AO363" s="18" t="str">
        <f t="shared" si="76"/>
        <v/>
      </c>
      <c r="AP363" s="10" t="str">
        <f t="shared" si="77"/>
        <v/>
      </c>
      <c r="AQ363" s="10" t="str">
        <f t="shared" si="78"/>
        <v/>
      </c>
      <c r="AR363" s="19" t="str">
        <f t="shared" si="79"/>
        <v/>
      </c>
      <c r="AS363" s="20"/>
      <c r="AT363" s="19"/>
      <c r="AV363" s="21">
        <f>IF(AND($AL363&lt;&gt;"",COUNTIF($AL$11:$AL363,$AL363)=1),1,0)</f>
        <v>0</v>
      </c>
      <c r="AW363" s="21">
        <f t="shared" si="81"/>
        <v>0</v>
      </c>
      <c r="AX363" s="21" t="str">
        <f t="shared" si="80"/>
        <v/>
      </c>
      <c r="AY363" s="21" t="str">
        <f>IF(AND($AM363&lt;&gt;"",$AS363&lt;&gt;"✓"),SUMPRODUCT(($AM$11:$AM363&lt;&gt;"")*($AS$11:$AS363&lt;&gt;"✓")),"")</f>
        <v/>
      </c>
      <c r="AZ363" s="21" t="str">
        <f>IF(AND($AM363&lt;&gt;"",$AS363="✓"),SUMPRODUCT(($AM$11:$AM363&lt;&gt;"")*($AS$11:$AS363="✓")),"")</f>
        <v/>
      </c>
      <c r="BA363" s="21" t="str">
        <f>IF($AL363="","",$AL363&amp;"|"&amp;COUNTIF($AL$11:$AL363,$AL363))</f>
        <v/>
      </c>
    </row>
    <row r="364" spans="2:53" ht="15" customHeight="1" x14ac:dyDescent="0.25">
      <c r="B364" s="5" t="str">
        <f t="shared" si="72"/>
        <v/>
      </c>
      <c r="C364" s="5"/>
      <c r="D364" s="5"/>
      <c r="E364" s="5"/>
      <c r="F364" s="6"/>
      <c r="G364" s="6"/>
      <c r="H364" s="7"/>
      <c r="I364" s="8"/>
      <c r="W364" s="28" t="str">
        <f>IF(X364="","",IFERROR(INDEX($AL$11:$AL$4010,MATCH(354,$AY$11:$AY$4010,0)),""))</f>
        <v/>
      </c>
      <c r="X364" s="26" t="str">
        <f>IFERROR(INDEX($AM$11:$AM$4010,MATCH(354,$AY$11:$AY$4010,0)),"")</f>
        <v/>
      </c>
      <c r="Y364" s="25" t="str">
        <f>IF(X364="","",IFERROR(INDEX($AN$11:$AN$4010,MATCH(354,$AY$11:$AY$4010,0)),""))</f>
        <v/>
      </c>
      <c r="Z364" s="25" t="str">
        <f>IF(X364="","",IFERROR(INDEX($AO$11:$AO$4010,MATCH(354,$AY$11:$AY$4010,0)),""))</f>
        <v/>
      </c>
      <c r="AA364" s="24" t="str">
        <f>IF(X364="","",IFERROR(INDEX($AQ$11:$AQ$4010,MATCH(354,$AY$11:$AY$4010,0)),""))</f>
        <v/>
      </c>
      <c r="AB364" s="29" t="str">
        <f>IF(X364="","",IFERROR(INDEX($AR$11:$AR$4010,MATCH(354,$AY$11:$AY$4010,0)),""))</f>
        <v/>
      </c>
      <c r="AD364" s="30" t="str">
        <f>IF(AE364="","",IFERROR(INDEX($AL$11:$AL$4010,MATCH(354,$AZ$11:$AZ$4010,0)),""))</f>
        <v/>
      </c>
      <c r="AE364" s="26" t="str">
        <f>IFERROR(INDEX($AM$11:$AM$4010,MATCH(354,$AZ$11:$AZ$4010,0)),"")</f>
        <v/>
      </c>
      <c r="AF364" s="25" t="str">
        <f>IF(AE364="","",IFERROR(INDEX($AN$11:$AN$4010,MATCH(354,$AZ$11:$AZ$4010,0)),""))</f>
        <v/>
      </c>
      <c r="AG364" s="25" t="str">
        <f>IF(AE364="","",IFERROR(INDEX($AO$11:$AO$4010,MATCH(354,$AZ$11:$AZ$4010,0)),""))</f>
        <v/>
      </c>
      <c r="AH364" s="24" t="str">
        <f>IF(AE364="","",IFERROR(INDEX($AQ$11:$AQ$4010,MATCH(354,$AZ$11:$AZ$4010,0)),""))</f>
        <v/>
      </c>
      <c r="AI364" s="29" t="str">
        <f>IF(AE364="","",IFERROR(INDEX($AR$11:$AR$4010,MATCH(354,$AZ$11:$AZ$4010,0)),""))</f>
        <v/>
      </c>
      <c r="AJ364" s="29" t="str">
        <f>IF(AE364="","",IFERROR(INDEX($AT$11:$AT$4010,MATCH(354,$AZ$11:$AZ$4010,0)),""))</f>
        <v/>
      </c>
      <c r="AL364" s="31" t="str">
        <f t="shared" si="73"/>
        <v/>
      </c>
      <c r="AM364" s="26" t="str">
        <f t="shared" si="74"/>
        <v/>
      </c>
      <c r="AN364" s="32" t="str">
        <f t="shared" si="75"/>
        <v/>
      </c>
      <c r="AO364" s="32" t="str">
        <f t="shared" si="76"/>
        <v/>
      </c>
      <c r="AP364" s="24" t="str">
        <f t="shared" si="77"/>
        <v/>
      </c>
      <c r="AQ364" s="24" t="str">
        <f t="shared" si="78"/>
        <v/>
      </c>
      <c r="AR364" s="33" t="str">
        <f t="shared" si="79"/>
        <v/>
      </c>
      <c r="AS364" s="34"/>
      <c r="AT364" s="33"/>
      <c r="AV364" s="21">
        <f>IF(AND($AL364&lt;&gt;"",COUNTIF($AL$11:$AL364,$AL364)=1),1,0)</f>
        <v>0</v>
      </c>
      <c r="AW364" s="21">
        <f t="shared" si="81"/>
        <v>0</v>
      </c>
      <c r="AX364" s="21" t="str">
        <f t="shared" si="80"/>
        <v/>
      </c>
      <c r="AY364" s="21" t="str">
        <f>IF(AND($AM364&lt;&gt;"",$AS364&lt;&gt;"✓"),SUMPRODUCT(($AM$11:$AM364&lt;&gt;"")*($AS$11:$AS364&lt;&gt;"✓")),"")</f>
        <v/>
      </c>
      <c r="AZ364" s="21" t="str">
        <f>IF(AND($AM364&lt;&gt;"",$AS364="✓"),SUMPRODUCT(($AM$11:$AM364&lt;&gt;"")*($AS$11:$AS364="✓")),"")</f>
        <v/>
      </c>
      <c r="BA364" s="21" t="str">
        <f>IF($AL364="","",$AL364&amp;"|"&amp;COUNTIF($AL$11:$AL364,$AL364))</f>
        <v/>
      </c>
    </row>
    <row r="365" spans="2:53" ht="15" customHeight="1" x14ac:dyDescent="0.25">
      <c r="B365" s="5" t="str">
        <f t="shared" si="72"/>
        <v/>
      </c>
      <c r="C365" s="5"/>
      <c r="D365" s="5"/>
      <c r="E365" s="5"/>
      <c r="F365" s="6"/>
      <c r="G365" s="6"/>
      <c r="H365" s="7"/>
      <c r="I365" s="8"/>
      <c r="W365" s="14" t="str">
        <f>IF(X365="","",IFERROR(INDEX($AL$11:$AL$4010,MATCH(355,$AY$11:$AY$4010,0)),""))</f>
        <v/>
      </c>
      <c r="X365" s="12" t="str">
        <f>IFERROR(INDEX($AM$11:$AM$4010,MATCH(355,$AY$11:$AY$4010,0)),"")</f>
        <v/>
      </c>
      <c r="Y365" s="11" t="str">
        <f>IF(X365="","",IFERROR(INDEX($AN$11:$AN$4010,MATCH(355,$AY$11:$AY$4010,0)),""))</f>
        <v/>
      </c>
      <c r="Z365" s="11" t="str">
        <f>IF(X365="","",IFERROR(INDEX($AO$11:$AO$4010,MATCH(355,$AY$11:$AY$4010,0)),""))</f>
        <v/>
      </c>
      <c r="AA365" s="10" t="str">
        <f>IF(X365="","",IFERROR(INDEX($AQ$11:$AQ$4010,MATCH(355,$AY$11:$AY$4010,0)),""))</f>
        <v/>
      </c>
      <c r="AB365" s="15" t="str">
        <f>IF(X365="","",IFERROR(INDEX($AR$11:$AR$4010,MATCH(355,$AY$11:$AY$4010,0)),""))</f>
        <v/>
      </c>
      <c r="AD365" s="16" t="str">
        <f>IF(AE365="","",IFERROR(INDEX($AL$11:$AL$4010,MATCH(355,$AZ$11:$AZ$4010,0)),""))</f>
        <v/>
      </c>
      <c r="AE365" s="12" t="str">
        <f>IFERROR(INDEX($AM$11:$AM$4010,MATCH(355,$AZ$11:$AZ$4010,0)),"")</f>
        <v/>
      </c>
      <c r="AF365" s="11" t="str">
        <f>IF(AE365="","",IFERROR(INDEX($AN$11:$AN$4010,MATCH(355,$AZ$11:$AZ$4010,0)),""))</f>
        <v/>
      </c>
      <c r="AG365" s="11" t="str">
        <f>IF(AE365="","",IFERROR(INDEX($AO$11:$AO$4010,MATCH(355,$AZ$11:$AZ$4010,0)),""))</f>
        <v/>
      </c>
      <c r="AH365" s="10" t="str">
        <f>IF(AE365="","",IFERROR(INDEX($AQ$11:$AQ$4010,MATCH(355,$AZ$11:$AZ$4010,0)),""))</f>
        <v/>
      </c>
      <c r="AI365" s="15" t="str">
        <f>IF(AE365="","",IFERROR(INDEX($AR$11:$AR$4010,MATCH(355,$AZ$11:$AZ$4010,0)),""))</f>
        <v/>
      </c>
      <c r="AJ365" s="15" t="str">
        <f>IF(AE365="","",IFERROR(INDEX($AT$11:$AT$4010,MATCH(355,$AZ$11:$AZ$4010,0)),""))</f>
        <v/>
      </c>
      <c r="AL365" s="17" t="str">
        <f t="shared" si="73"/>
        <v/>
      </c>
      <c r="AM365" s="12" t="str">
        <f t="shared" si="74"/>
        <v/>
      </c>
      <c r="AN365" s="18" t="str">
        <f t="shared" si="75"/>
        <v/>
      </c>
      <c r="AO365" s="18" t="str">
        <f t="shared" si="76"/>
        <v/>
      </c>
      <c r="AP365" s="10" t="str">
        <f t="shared" si="77"/>
        <v/>
      </c>
      <c r="AQ365" s="10" t="str">
        <f t="shared" si="78"/>
        <v/>
      </c>
      <c r="AR365" s="19" t="str">
        <f t="shared" si="79"/>
        <v/>
      </c>
      <c r="AS365" s="20"/>
      <c r="AT365" s="19"/>
      <c r="AV365" s="21">
        <f>IF(AND($AL365&lt;&gt;"",COUNTIF($AL$11:$AL365,$AL365)=1),1,0)</f>
        <v>0</v>
      </c>
      <c r="AW365" s="21">
        <f t="shared" si="81"/>
        <v>0</v>
      </c>
      <c r="AX365" s="21" t="str">
        <f t="shared" si="80"/>
        <v/>
      </c>
      <c r="AY365" s="21" t="str">
        <f>IF(AND($AM365&lt;&gt;"",$AS365&lt;&gt;"✓"),SUMPRODUCT(($AM$11:$AM365&lt;&gt;"")*($AS$11:$AS365&lt;&gt;"✓")),"")</f>
        <v/>
      </c>
      <c r="AZ365" s="21" t="str">
        <f>IF(AND($AM365&lt;&gt;"",$AS365="✓"),SUMPRODUCT(($AM$11:$AM365&lt;&gt;"")*($AS$11:$AS365="✓")),"")</f>
        <v/>
      </c>
      <c r="BA365" s="21" t="str">
        <f>IF($AL365="","",$AL365&amp;"|"&amp;COUNTIF($AL$11:$AL365,$AL365))</f>
        <v/>
      </c>
    </row>
    <row r="366" spans="2:53" ht="15" customHeight="1" x14ac:dyDescent="0.25">
      <c r="B366" s="5" t="str">
        <f t="shared" si="72"/>
        <v/>
      </c>
      <c r="C366" s="5"/>
      <c r="D366" s="5"/>
      <c r="E366" s="5"/>
      <c r="F366" s="6"/>
      <c r="G366" s="6"/>
      <c r="H366" s="7"/>
      <c r="I366" s="8"/>
      <c r="W366" s="28" t="str">
        <f>IF(X366="","",IFERROR(INDEX($AL$11:$AL$4010,MATCH(356,$AY$11:$AY$4010,0)),""))</f>
        <v/>
      </c>
      <c r="X366" s="26" t="str">
        <f>IFERROR(INDEX($AM$11:$AM$4010,MATCH(356,$AY$11:$AY$4010,0)),"")</f>
        <v/>
      </c>
      <c r="Y366" s="25" t="str">
        <f>IF(X366="","",IFERROR(INDEX($AN$11:$AN$4010,MATCH(356,$AY$11:$AY$4010,0)),""))</f>
        <v/>
      </c>
      <c r="Z366" s="25" t="str">
        <f>IF(X366="","",IFERROR(INDEX($AO$11:$AO$4010,MATCH(356,$AY$11:$AY$4010,0)),""))</f>
        <v/>
      </c>
      <c r="AA366" s="24" t="str">
        <f>IF(X366="","",IFERROR(INDEX($AQ$11:$AQ$4010,MATCH(356,$AY$11:$AY$4010,0)),""))</f>
        <v/>
      </c>
      <c r="AB366" s="29" t="str">
        <f>IF(X366="","",IFERROR(INDEX($AR$11:$AR$4010,MATCH(356,$AY$11:$AY$4010,0)),""))</f>
        <v/>
      </c>
      <c r="AD366" s="30" t="str">
        <f>IF(AE366="","",IFERROR(INDEX($AL$11:$AL$4010,MATCH(356,$AZ$11:$AZ$4010,0)),""))</f>
        <v/>
      </c>
      <c r="AE366" s="26" t="str">
        <f>IFERROR(INDEX($AM$11:$AM$4010,MATCH(356,$AZ$11:$AZ$4010,0)),"")</f>
        <v/>
      </c>
      <c r="AF366" s="25" t="str">
        <f>IF(AE366="","",IFERROR(INDEX($AN$11:$AN$4010,MATCH(356,$AZ$11:$AZ$4010,0)),""))</f>
        <v/>
      </c>
      <c r="AG366" s="25" t="str">
        <f>IF(AE366="","",IFERROR(INDEX($AO$11:$AO$4010,MATCH(356,$AZ$11:$AZ$4010,0)),""))</f>
        <v/>
      </c>
      <c r="AH366" s="24" t="str">
        <f>IF(AE366="","",IFERROR(INDEX($AQ$11:$AQ$4010,MATCH(356,$AZ$11:$AZ$4010,0)),""))</f>
        <v/>
      </c>
      <c r="AI366" s="29" t="str">
        <f>IF(AE366="","",IFERROR(INDEX($AR$11:$AR$4010,MATCH(356,$AZ$11:$AZ$4010,0)),""))</f>
        <v/>
      </c>
      <c r="AJ366" s="29" t="str">
        <f>IF(AE366="","",IFERROR(INDEX($AT$11:$AT$4010,MATCH(356,$AZ$11:$AZ$4010,0)),""))</f>
        <v/>
      </c>
      <c r="AL366" s="31" t="str">
        <f t="shared" si="73"/>
        <v/>
      </c>
      <c r="AM366" s="26" t="str">
        <f t="shared" si="74"/>
        <v/>
      </c>
      <c r="AN366" s="32" t="str">
        <f t="shared" si="75"/>
        <v/>
      </c>
      <c r="AO366" s="32" t="str">
        <f t="shared" si="76"/>
        <v/>
      </c>
      <c r="AP366" s="24" t="str">
        <f t="shared" si="77"/>
        <v/>
      </c>
      <c r="AQ366" s="24" t="str">
        <f t="shared" si="78"/>
        <v/>
      </c>
      <c r="AR366" s="33" t="str">
        <f t="shared" si="79"/>
        <v/>
      </c>
      <c r="AS366" s="34"/>
      <c r="AT366" s="33"/>
      <c r="AV366" s="21">
        <f>IF(AND($AL366&lt;&gt;"",COUNTIF($AL$11:$AL366,$AL366)=1),1,0)</f>
        <v>0</v>
      </c>
      <c r="AW366" s="21">
        <f t="shared" si="81"/>
        <v>0</v>
      </c>
      <c r="AX366" s="21" t="str">
        <f t="shared" si="80"/>
        <v/>
      </c>
      <c r="AY366" s="21" t="str">
        <f>IF(AND($AM366&lt;&gt;"",$AS366&lt;&gt;"✓"),SUMPRODUCT(($AM$11:$AM366&lt;&gt;"")*($AS$11:$AS366&lt;&gt;"✓")),"")</f>
        <v/>
      </c>
      <c r="AZ366" s="21" t="str">
        <f>IF(AND($AM366&lt;&gt;"",$AS366="✓"),SUMPRODUCT(($AM$11:$AM366&lt;&gt;"")*($AS$11:$AS366="✓")),"")</f>
        <v/>
      </c>
      <c r="BA366" s="21" t="str">
        <f>IF($AL366="","",$AL366&amp;"|"&amp;COUNTIF($AL$11:$AL366,$AL366))</f>
        <v/>
      </c>
    </row>
    <row r="367" spans="2:53" ht="15" customHeight="1" x14ac:dyDescent="0.25">
      <c r="B367" s="5" t="str">
        <f t="shared" si="72"/>
        <v/>
      </c>
      <c r="C367" s="5"/>
      <c r="D367" s="5"/>
      <c r="E367" s="5"/>
      <c r="F367" s="6"/>
      <c r="G367" s="6"/>
      <c r="H367" s="7"/>
      <c r="I367" s="8"/>
      <c r="W367" s="14" t="str">
        <f>IF(X367="","",IFERROR(INDEX($AL$11:$AL$4010,MATCH(357,$AY$11:$AY$4010,0)),""))</f>
        <v/>
      </c>
      <c r="X367" s="12" t="str">
        <f>IFERROR(INDEX($AM$11:$AM$4010,MATCH(357,$AY$11:$AY$4010,0)),"")</f>
        <v/>
      </c>
      <c r="Y367" s="11" t="str">
        <f>IF(X367="","",IFERROR(INDEX($AN$11:$AN$4010,MATCH(357,$AY$11:$AY$4010,0)),""))</f>
        <v/>
      </c>
      <c r="Z367" s="11" t="str">
        <f>IF(X367="","",IFERROR(INDEX($AO$11:$AO$4010,MATCH(357,$AY$11:$AY$4010,0)),""))</f>
        <v/>
      </c>
      <c r="AA367" s="10" t="str">
        <f>IF(X367="","",IFERROR(INDEX($AQ$11:$AQ$4010,MATCH(357,$AY$11:$AY$4010,0)),""))</f>
        <v/>
      </c>
      <c r="AB367" s="15" t="str">
        <f>IF(X367="","",IFERROR(INDEX($AR$11:$AR$4010,MATCH(357,$AY$11:$AY$4010,0)),""))</f>
        <v/>
      </c>
      <c r="AD367" s="16" t="str">
        <f>IF(AE367="","",IFERROR(INDEX($AL$11:$AL$4010,MATCH(357,$AZ$11:$AZ$4010,0)),""))</f>
        <v/>
      </c>
      <c r="AE367" s="12" t="str">
        <f>IFERROR(INDEX($AM$11:$AM$4010,MATCH(357,$AZ$11:$AZ$4010,0)),"")</f>
        <v/>
      </c>
      <c r="AF367" s="11" t="str">
        <f>IF(AE367="","",IFERROR(INDEX($AN$11:$AN$4010,MATCH(357,$AZ$11:$AZ$4010,0)),""))</f>
        <v/>
      </c>
      <c r="AG367" s="11" t="str">
        <f>IF(AE367="","",IFERROR(INDEX($AO$11:$AO$4010,MATCH(357,$AZ$11:$AZ$4010,0)),""))</f>
        <v/>
      </c>
      <c r="AH367" s="10" t="str">
        <f>IF(AE367="","",IFERROR(INDEX($AQ$11:$AQ$4010,MATCH(357,$AZ$11:$AZ$4010,0)),""))</f>
        <v/>
      </c>
      <c r="AI367" s="15" t="str">
        <f>IF(AE367="","",IFERROR(INDEX($AR$11:$AR$4010,MATCH(357,$AZ$11:$AZ$4010,0)),""))</f>
        <v/>
      </c>
      <c r="AJ367" s="15" t="str">
        <f>IF(AE367="","",IFERROR(INDEX($AT$11:$AT$4010,MATCH(357,$AZ$11:$AZ$4010,0)),""))</f>
        <v/>
      </c>
      <c r="AL367" s="17" t="str">
        <f t="shared" si="73"/>
        <v/>
      </c>
      <c r="AM367" s="12" t="str">
        <f t="shared" si="74"/>
        <v/>
      </c>
      <c r="AN367" s="18" t="str">
        <f t="shared" si="75"/>
        <v/>
      </c>
      <c r="AO367" s="18" t="str">
        <f t="shared" si="76"/>
        <v/>
      </c>
      <c r="AP367" s="10" t="str">
        <f t="shared" si="77"/>
        <v/>
      </c>
      <c r="AQ367" s="10" t="str">
        <f t="shared" si="78"/>
        <v/>
      </c>
      <c r="AR367" s="19" t="str">
        <f t="shared" si="79"/>
        <v/>
      </c>
      <c r="AS367" s="20"/>
      <c r="AT367" s="19"/>
      <c r="AV367" s="21">
        <f>IF(AND($AL367&lt;&gt;"",COUNTIF($AL$11:$AL367,$AL367)=1),1,0)</f>
        <v>0</v>
      </c>
      <c r="AW367" s="21">
        <f t="shared" si="81"/>
        <v>0</v>
      </c>
      <c r="AX367" s="21" t="str">
        <f t="shared" si="80"/>
        <v/>
      </c>
      <c r="AY367" s="21" t="str">
        <f>IF(AND($AM367&lt;&gt;"",$AS367&lt;&gt;"✓"),SUMPRODUCT(($AM$11:$AM367&lt;&gt;"")*($AS$11:$AS367&lt;&gt;"✓")),"")</f>
        <v/>
      </c>
      <c r="AZ367" s="21" t="str">
        <f>IF(AND($AM367&lt;&gt;"",$AS367="✓"),SUMPRODUCT(($AM$11:$AM367&lt;&gt;"")*($AS$11:$AS367="✓")),"")</f>
        <v/>
      </c>
      <c r="BA367" s="21" t="str">
        <f>IF($AL367="","",$AL367&amp;"|"&amp;COUNTIF($AL$11:$AL367,$AL367))</f>
        <v/>
      </c>
    </row>
    <row r="368" spans="2:53" ht="15" customHeight="1" x14ac:dyDescent="0.25">
      <c r="B368" s="5" t="str">
        <f t="shared" si="72"/>
        <v/>
      </c>
      <c r="C368" s="5"/>
      <c r="D368" s="5"/>
      <c r="E368" s="5"/>
      <c r="F368" s="6"/>
      <c r="G368" s="6"/>
      <c r="H368" s="7"/>
      <c r="I368" s="8"/>
      <c r="W368" s="28" t="str">
        <f>IF(X368="","",IFERROR(INDEX($AL$11:$AL$4010,MATCH(358,$AY$11:$AY$4010,0)),""))</f>
        <v/>
      </c>
      <c r="X368" s="26" t="str">
        <f>IFERROR(INDEX($AM$11:$AM$4010,MATCH(358,$AY$11:$AY$4010,0)),"")</f>
        <v/>
      </c>
      <c r="Y368" s="25" t="str">
        <f>IF(X368="","",IFERROR(INDEX($AN$11:$AN$4010,MATCH(358,$AY$11:$AY$4010,0)),""))</f>
        <v/>
      </c>
      <c r="Z368" s="25" t="str">
        <f>IF(X368="","",IFERROR(INDEX($AO$11:$AO$4010,MATCH(358,$AY$11:$AY$4010,0)),""))</f>
        <v/>
      </c>
      <c r="AA368" s="24" t="str">
        <f>IF(X368="","",IFERROR(INDEX($AQ$11:$AQ$4010,MATCH(358,$AY$11:$AY$4010,0)),""))</f>
        <v/>
      </c>
      <c r="AB368" s="29" t="str">
        <f>IF(X368="","",IFERROR(INDEX($AR$11:$AR$4010,MATCH(358,$AY$11:$AY$4010,0)),""))</f>
        <v/>
      </c>
      <c r="AD368" s="30" t="str">
        <f>IF(AE368="","",IFERROR(INDEX($AL$11:$AL$4010,MATCH(358,$AZ$11:$AZ$4010,0)),""))</f>
        <v/>
      </c>
      <c r="AE368" s="26" t="str">
        <f>IFERROR(INDEX($AM$11:$AM$4010,MATCH(358,$AZ$11:$AZ$4010,0)),"")</f>
        <v/>
      </c>
      <c r="AF368" s="25" t="str">
        <f>IF(AE368="","",IFERROR(INDEX($AN$11:$AN$4010,MATCH(358,$AZ$11:$AZ$4010,0)),""))</f>
        <v/>
      </c>
      <c r="AG368" s="25" t="str">
        <f>IF(AE368="","",IFERROR(INDEX($AO$11:$AO$4010,MATCH(358,$AZ$11:$AZ$4010,0)),""))</f>
        <v/>
      </c>
      <c r="AH368" s="24" t="str">
        <f>IF(AE368="","",IFERROR(INDEX($AQ$11:$AQ$4010,MATCH(358,$AZ$11:$AZ$4010,0)),""))</f>
        <v/>
      </c>
      <c r="AI368" s="29" t="str">
        <f>IF(AE368="","",IFERROR(INDEX($AR$11:$AR$4010,MATCH(358,$AZ$11:$AZ$4010,0)),""))</f>
        <v/>
      </c>
      <c r="AJ368" s="29" t="str">
        <f>IF(AE368="","",IFERROR(INDEX($AT$11:$AT$4010,MATCH(358,$AZ$11:$AZ$4010,0)),""))</f>
        <v/>
      </c>
      <c r="AL368" s="31" t="str">
        <f t="shared" si="73"/>
        <v/>
      </c>
      <c r="AM368" s="26" t="str">
        <f t="shared" si="74"/>
        <v/>
      </c>
      <c r="AN368" s="32" t="str">
        <f t="shared" si="75"/>
        <v/>
      </c>
      <c r="AO368" s="32" t="str">
        <f t="shared" si="76"/>
        <v/>
      </c>
      <c r="AP368" s="24" t="str">
        <f t="shared" si="77"/>
        <v/>
      </c>
      <c r="AQ368" s="24" t="str">
        <f t="shared" si="78"/>
        <v/>
      </c>
      <c r="AR368" s="33" t="str">
        <f t="shared" si="79"/>
        <v/>
      </c>
      <c r="AS368" s="34"/>
      <c r="AT368" s="33"/>
      <c r="AV368" s="21">
        <f>IF(AND($AL368&lt;&gt;"",COUNTIF($AL$11:$AL368,$AL368)=1),1,0)</f>
        <v>0</v>
      </c>
      <c r="AW368" s="21">
        <f t="shared" si="81"/>
        <v>0</v>
      </c>
      <c r="AX368" s="21" t="str">
        <f t="shared" si="80"/>
        <v/>
      </c>
      <c r="AY368" s="21" t="str">
        <f>IF(AND($AM368&lt;&gt;"",$AS368&lt;&gt;"✓"),SUMPRODUCT(($AM$11:$AM368&lt;&gt;"")*($AS$11:$AS368&lt;&gt;"✓")),"")</f>
        <v/>
      </c>
      <c r="AZ368" s="21" t="str">
        <f>IF(AND($AM368&lt;&gt;"",$AS368="✓"),SUMPRODUCT(($AM$11:$AM368&lt;&gt;"")*($AS$11:$AS368="✓")),"")</f>
        <v/>
      </c>
      <c r="BA368" s="21" t="str">
        <f>IF($AL368="","",$AL368&amp;"|"&amp;COUNTIF($AL$11:$AL368,$AL368))</f>
        <v/>
      </c>
    </row>
    <row r="369" spans="2:53" ht="15" customHeight="1" x14ac:dyDescent="0.25">
      <c r="B369" s="5" t="str">
        <f t="shared" si="72"/>
        <v/>
      </c>
      <c r="C369" s="5"/>
      <c r="D369" s="5"/>
      <c r="E369" s="5"/>
      <c r="F369" s="6"/>
      <c r="G369" s="6"/>
      <c r="H369" s="7"/>
      <c r="I369" s="8"/>
      <c r="W369" s="14" t="str">
        <f>IF(X369="","",IFERROR(INDEX($AL$11:$AL$4010,MATCH(359,$AY$11:$AY$4010,0)),""))</f>
        <v/>
      </c>
      <c r="X369" s="12" t="str">
        <f>IFERROR(INDEX($AM$11:$AM$4010,MATCH(359,$AY$11:$AY$4010,0)),"")</f>
        <v/>
      </c>
      <c r="Y369" s="11" t="str">
        <f>IF(X369="","",IFERROR(INDEX($AN$11:$AN$4010,MATCH(359,$AY$11:$AY$4010,0)),""))</f>
        <v/>
      </c>
      <c r="Z369" s="11" t="str">
        <f>IF(X369="","",IFERROR(INDEX($AO$11:$AO$4010,MATCH(359,$AY$11:$AY$4010,0)),""))</f>
        <v/>
      </c>
      <c r="AA369" s="10" t="str">
        <f>IF(X369="","",IFERROR(INDEX($AQ$11:$AQ$4010,MATCH(359,$AY$11:$AY$4010,0)),""))</f>
        <v/>
      </c>
      <c r="AB369" s="15" t="str">
        <f>IF(X369="","",IFERROR(INDEX($AR$11:$AR$4010,MATCH(359,$AY$11:$AY$4010,0)),""))</f>
        <v/>
      </c>
      <c r="AD369" s="16" t="str">
        <f>IF(AE369="","",IFERROR(INDEX($AL$11:$AL$4010,MATCH(359,$AZ$11:$AZ$4010,0)),""))</f>
        <v/>
      </c>
      <c r="AE369" s="12" t="str">
        <f>IFERROR(INDEX($AM$11:$AM$4010,MATCH(359,$AZ$11:$AZ$4010,0)),"")</f>
        <v/>
      </c>
      <c r="AF369" s="11" t="str">
        <f>IF(AE369="","",IFERROR(INDEX($AN$11:$AN$4010,MATCH(359,$AZ$11:$AZ$4010,0)),""))</f>
        <v/>
      </c>
      <c r="AG369" s="11" t="str">
        <f>IF(AE369="","",IFERROR(INDEX($AO$11:$AO$4010,MATCH(359,$AZ$11:$AZ$4010,0)),""))</f>
        <v/>
      </c>
      <c r="AH369" s="10" t="str">
        <f>IF(AE369="","",IFERROR(INDEX($AQ$11:$AQ$4010,MATCH(359,$AZ$11:$AZ$4010,0)),""))</f>
        <v/>
      </c>
      <c r="AI369" s="15" t="str">
        <f>IF(AE369="","",IFERROR(INDEX($AR$11:$AR$4010,MATCH(359,$AZ$11:$AZ$4010,0)),""))</f>
        <v/>
      </c>
      <c r="AJ369" s="15" t="str">
        <f>IF(AE369="","",IFERROR(INDEX($AT$11:$AT$4010,MATCH(359,$AZ$11:$AZ$4010,0)),""))</f>
        <v/>
      </c>
      <c r="AL369" s="17" t="str">
        <f t="shared" si="73"/>
        <v/>
      </c>
      <c r="AM369" s="12" t="str">
        <f t="shared" si="74"/>
        <v/>
      </c>
      <c r="AN369" s="18" t="str">
        <f t="shared" si="75"/>
        <v/>
      </c>
      <c r="AO369" s="18" t="str">
        <f t="shared" si="76"/>
        <v/>
      </c>
      <c r="AP369" s="10" t="str">
        <f t="shared" si="77"/>
        <v/>
      </c>
      <c r="AQ369" s="10" t="str">
        <f t="shared" si="78"/>
        <v/>
      </c>
      <c r="AR369" s="19" t="str">
        <f t="shared" si="79"/>
        <v/>
      </c>
      <c r="AS369" s="20"/>
      <c r="AT369" s="19"/>
      <c r="AV369" s="21">
        <f>IF(AND($AL369&lt;&gt;"",COUNTIF($AL$11:$AL369,$AL369)=1),1,0)</f>
        <v>0</v>
      </c>
      <c r="AW369" s="21">
        <f t="shared" si="81"/>
        <v>0</v>
      </c>
      <c r="AX369" s="21" t="str">
        <f t="shared" si="80"/>
        <v/>
      </c>
      <c r="AY369" s="21" t="str">
        <f>IF(AND($AM369&lt;&gt;"",$AS369&lt;&gt;"✓"),SUMPRODUCT(($AM$11:$AM369&lt;&gt;"")*($AS$11:$AS369&lt;&gt;"✓")),"")</f>
        <v/>
      </c>
      <c r="AZ369" s="21" t="str">
        <f>IF(AND($AM369&lt;&gt;"",$AS369="✓"),SUMPRODUCT(($AM$11:$AM369&lt;&gt;"")*($AS$11:$AS369="✓")),"")</f>
        <v/>
      </c>
      <c r="BA369" s="21" t="str">
        <f>IF($AL369="","",$AL369&amp;"|"&amp;COUNTIF($AL$11:$AL369,$AL369))</f>
        <v/>
      </c>
    </row>
    <row r="370" spans="2:53" ht="15" customHeight="1" x14ac:dyDescent="0.25">
      <c r="B370" s="5" t="str">
        <f t="shared" si="72"/>
        <v/>
      </c>
      <c r="C370" s="5"/>
      <c r="D370" s="5"/>
      <c r="E370" s="5"/>
      <c r="F370" s="6"/>
      <c r="G370" s="6"/>
      <c r="H370" s="7"/>
      <c r="I370" s="8"/>
      <c r="W370" s="28" t="str">
        <f>IF(X370="","",IFERROR(INDEX($AL$11:$AL$4010,MATCH(360,$AY$11:$AY$4010,0)),""))</f>
        <v/>
      </c>
      <c r="X370" s="26" t="str">
        <f>IFERROR(INDEX($AM$11:$AM$4010,MATCH(360,$AY$11:$AY$4010,0)),"")</f>
        <v/>
      </c>
      <c r="Y370" s="25" t="str">
        <f>IF(X370="","",IFERROR(INDEX($AN$11:$AN$4010,MATCH(360,$AY$11:$AY$4010,0)),""))</f>
        <v/>
      </c>
      <c r="Z370" s="25" t="str">
        <f>IF(X370="","",IFERROR(INDEX($AO$11:$AO$4010,MATCH(360,$AY$11:$AY$4010,0)),""))</f>
        <v/>
      </c>
      <c r="AA370" s="24" t="str">
        <f>IF(X370="","",IFERROR(INDEX($AQ$11:$AQ$4010,MATCH(360,$AY$11:$AY$4010,0)),""))</f>
        <v/>
      </c>
      <c r="AB370" s="29" t="str">
        <f>IF(X370="","",IFERROR(INDEX($AR$11:$AR$4010,MATCH(360,$AY$11:$AY$4010,0)),""))</f>
        <v/>
      </c>
      <c r="AD370" s="30" t="str">
        <f>IF(AE370="","",IFERROR(INDEX($AL$11:$AL$4010,MATCH(360,$AZ$11:$AZ$4010,0)),""))</f>
        <v/>
      </c>
      <c r="AE370" s="26" t="str">
        <f>IFERROR(INDEX($AM$11:$AM$4010,MATCH(360,$AZ$11:$AZ$4010,0)),"")</f>
        <v/>
      </c>
      <c r="AF370" s="25" t="str">
        <f>IF(AE370="","",IFERROR(INDEX($AN$11:$AN$4010,MATCH(360,$AZ$11:$AZ$4010,0)),""))</f>
        <v/>
      </c>
      <c r="AG370" s="25" t="str">
        <f>IF(AE370="","",IFERROR(INDEX($AO$11:$AO$4010,MATCH(360,$AZ$11:$AZ$4010,0)),""))</f>
        <v/>
      </c>
      <c r="AH370" s="24" t="str">
        <f>IF(AE370="","",IFERROR(INDEX($AQ$11:$AQ$4010,MATCH(360,$AZ$11:$AZ$4010,0)),""))</f>
        <v/>
      </c>
      <c r="AI370" s="29" t="str">
        <f>IF(AE370="","",IFERROR(INDEX($AR$11:$AR$4010,MATCH(360,$AZ$11:$AZ$4010,0)),""))</f>
        <v/>
      </c>
      <c r="AJ370" s="29" t="str">
        <f>IF(AE370="","",IFERROR(INDEX($AT$11:$AT$4010,MATCH(360,$AZ$11:$AZ$4010,0)),""))</f>
        <v/>
      </c>
      <c r="AL370" s="31" t="str">
        <f t="shared" si="73"/>
        <v/>
      </c>
      <c r="AM370" s="26" t="str">
        <f t="shared" si="74"/>
        <v/>
      </c>
      <c r="AN370" s="32" t="str">
        <f t="shared" si="75"/>
        <v/>
      </c>
      <c r="AO370" s="32" t="str">
        <f t="shared" si="76"/>
        <v/>
      </c>
      <c r="AP370" s="24" t="str">
        <f t="shared" si="77"/>
        <v/>
      </c>
      <c r="AQ370" s="24" t="str">
        <f t="shared" si="78"/>
        <v/>
      </c>
      <c r="AR370" s="33" t="str">
        <f t="shared" si="79"/>
        <v/>
      </c>
      <c r="AS370" s="34"/>
      <c r="AT370" s="33"/>
      <c r="AV370" s="21">
        <f>IF(AND($AL370&lt;&gt;"",COUNTIF($AL$11:$AL370,$AL370)=1),1,0)</f>
        <v>0</v>
      </c>
      <c r="AW370" s="21">
        <f t="shared" si="81"/>
        <v>0</v>
      </c>
      <c r="AX370" s="21" t="str">
        <f t="shared" si="80"/>
        <v/>
      </c>
      <c r="AY370" s="21" t="str">
        <f>IF(AND($AM370&lt;&gt;"",$AS370&lt;&gt;"✓"),SUMPRODUCT(($AM$11:$AM370&lt;&gt;"")*($AS$11:$AS370&lt;&gt;"✓")),"")</f>
        <v/>
      </c>
      <c r="AZ370" s="21" t="str">
        <f>IF(AND($AM370&lt;&gt;"",$AS370="✓"),SUMPRODUCT(($AM$11:$AM370&lt;&gt;"")*($AS$11:$AS370="✓")),"")</f>
        <v/>
      </c>
      <c r="BA370" s="21" t="str">
        <f>IF($AL370="","",$AL370&amp;"|"&amp;COUNTIF($AL$11:$AL370,$AL370))</f>
        <v/>
      </c>
    </row>
    <row r="371" spans="2:53" ht="15" customHeight="1" x14ac:dyDescent="0.25">
      <c r="B371" s="5" t="str">
        <f t="shared" si="72"/>
        <v/>
      </c>
      <c r="C371" s="5"/>
      <c r="D371" s="5"/>
      <c r="E371" s="5"/>
      <c r="F371" s="6"/>
      <c r="G371" s="6"/>
      <c r="H371" s="7"/>
      <c r="I371" s="8"/>
      <c r="W371" s="14" t="str">
        <f>IF(X371="","",IFERROR(INDEX($AL$11:$AL$4010,MATCH(361,$AY$11:$AY$4010,0)),""))</f>
        <v/>
      </c>
      <c r="X371" s="12" t="str">
        <f>IFERROR(INDEX($AM$11:$AM$4010,MATCH(361,$AY$11:$AY$4010,0)),"")</f>
        <v/>
      </c>
      <c r="Y371" s="11" t="str">
        <f>IF(X371="","",IFERROR(INDEX($AN$11:$AN$4010,MATCH(361,$AY$11:$AY$4010,0)),""))</f>
        <v/>
      </c>
      <c r="Z371" s="11" t="str">
        <f>IF(X371="","",IFERROR(INDEX($AO$11:$AO$4010,MATCH(361,$AY$11:$AY$4010,0)),""))</f>
        <v/>
      </c>
      <c r="AA371" s="10" t="str">
        <f>IF(X371="","",IFERROR(INDEX($AQ$11:$AQ$4010,MATCH(361,$AY$11:$AY$4010,0)),""))</f>
        <v/>
      </c>
      <c r="AB371" s="15" t="str">
        <f>IF(X371="","",IFERROR(INDEX($AR$11:$AR$4010,MATCH(361,$AY$11:$AY$4010,0)),""))</f>
        <v/>
      </c>
      <c r="AD371" s="16" t="str">
        <f>IF(AE371="","",IFERROR(INDEX($AL$11:$AL$4010,MATCH(361,$AZ$11:$AZ$4010,0)),""))</f>
        <v/>
      </c>
      <c r="AE371" s="12" t="str">
        <f>IFERROR(INDEX($AM$11:$AM$4010,MATCH(361,$AZ$11:$AZ$4010,0)),"")</f>
        <v/>
      </c>
      <c r="AF371" s="11" t="str">
        <f>IF(AE371="","",IFERROR(INDEX($AN$11:$AN$4010,MATCH(361,$AZ$11:$AZ$4010,0)),""))</f>
        <v/>
      </c>
      <c r="AG371" s="11" t="str">
        <f>IF(AE371="","",IFERROR(INDEX($AO$11:$AO$4010,MATCH(361,$AZ$11:$AZ$4010,0)),""))</f>
        <v/>
      </c>
      <c r="AH371" s="10" t="str">
        <f>IF(AE371="","",IFERROR(INDEX($AQ$11:$AQ$4010,MATCH(361,$AZ$11:$AZ$4010,0)),""))</f>
        <v/>
      </c>
      <c r="AI371" s="15" t="str">
        <f>IF(AE371="","",IFERROR(INDEX($AR$11:$AR$4010,MATCH(361,$AZ$11:$AZ$4010,0)),""))</f>
        <v/>
      </c>
      <c r="AJ371" s="15" t="str">
        <f>IF(AE371="","",IFERROR(INDEX($AT$11:$AT$4010,MATCH(361,$AZ$11:$AZ$4010,0)),""))</f>
        <v/>
      </c>
      <c r="AL371" s="17" t="str">
        <f t="shared" si="73"/>
        <v/>
      </c>
      <c r="AM371" s="12" t="str">
        <f t="shared" si="74"/>
        <v/>
      </c>
      <c r="AN371" s="18" t="str">
        <f t="shared" si="75"/>
        <v/>
      </c>
      <c r="AO371" s="18" t="str">
        <f t="shared" si="76"/>
        <v/>
      </c>
      <c r="AP371" s="10" t="str">
        <f t="shared" si="77"/>
        <v/>
      </c>
      <c r="AQ371" s="10" t="str">
        <f t="shared" si="78"/>
        <v/>
      </c>
      <c r="AR371" s="19" t="str">
        <f t="shared" si="79"/>
        <v/>
      </c>
      <c r="AS371" s="20"/>
      <c r="AT371" s="19"/>
      <c r="AV371" s="21">
        <f>IF(AND($AL371&lt;&gt;"",COUNTIF($AL$11:$AL371,$AL371)=1),1,0)</f>
        <v>0</v>
      </c>
      <c r="AW371" s="21">
        <f t="shared" si="81"/>
        <v>0</v>
      </c>
      <c r="AX371" s="21" t="str">
        <f t="shared" si="80"/>
        <v/>
      </c>
      <c r="AY371" s="21" t="str">
        <f>IF(AND($AM371&lt;&gt;"",$AS371&lt;&gt;"✓"),SUMPRODUCT(($AM$11:$AM371&lt;&gt;"")*($AS$11:$AS371&lt;&gt;"✓")),"")</f>
        <v/>
      </c>
      <c r="AZ371" s="21" t="str">
        <f>IF(AND($AM371&lt;&gt;"",$AS371="✓"),SUMPRODUCT(($AM$11:$AM371&lt;&gt;"")*($AS$11:$AS371="✓")),"")</f>
        <v/>
      </c>
      <c r="BA371" s="21" t="str">
        <f>IF($AL371="","",$AL371&amp;"|"&amp;COUNTIF($AL$11:$AL371,$AL371))</f>
        <v/>
      </c>
    </row>
    <row r="372" spans="2:53" ht="15" customHeight="1" x14ac:dyDescent="0.25">
      <c r="B372" s="5" t="str">
        <f t="shared" si="72"/>
        <v/>
      </c>
      <c r="C372" s="5"/>
      <c r="D372" s="5"/>
      <c r="E372" s="5"/>
      <c r="F372" s="6"/>
      <c r="G372" s="6"/>
      <c r="H372" s="7"/>
      <c r="I372" s="8"/>
      <c r="W372" s="28" t="str">
        <f>IF(X372="","",IFERROR(INDEX($AL$11:$AL$4010,MATCH(362,$AY$11:$AY$4010,0)),""))</f>
        <v/>
      </c>
      <c r="X372" s="26" t="str">
        <f>IFERROR(INDEX($AM$11:$AM$4010,MATCH(362,$AY$11:$AY$4010,0)),"")</f>
        <v/>
      </c>
      <c r="Y372" s="25" t="str">
        <f>IF(X372="","",IFERROR(INDEX($AN$11:$AN$4010,MATCH(362,$AY$11:$AY$4010,0)),""))</f>
        <v/>
      </c>
      <c r="Z372" s="25" t="str">
        <f>IF(X372="","",IFERROR(INDEX($AO$11:$AO$4010,MATCH(362,$AY$11:$AY$4010,0)),""))</f>
        <v/>
      </c>
      <c r="AA372" s="24" t="str">
        <f>IF(X372="","",IFERROR(INDEX($AQ$11:$AQ$4010,MATCH(362,$AY$11:$AY$4010,0)),""))</f>
        <v/>
      </c>
      <c r="AB372" s="29" t="str">
        <f>IF(X372="","",IFERROR(INDEX($AR$11:$AR$4010,MATCH(362,$AY$11:$AY$4010,0)),""))</f>
        <v/>
      </c>
      <c r="AD372" s="30" t="str">
        <f>IF(AE372="","",IFERROR(INDEX($AL$11:$AL$4010,MATCH(362,$AZ$11:$AZ$4010,0)),""))</f>
        <v/>
      </c>
      <c r="AE372" s="26" t="str">
        <f>IFERROR(INDEX($AM$11:$AM$4010,MATCH(362,$AZ$11:$AZ$4010,0)),"")</f>
        <v/>
      </c>
      <c r="AF372" s="25" t="str">
        <f>IF(AE372="","",IFERROR(INDEX($AN$11:$AN$4010,MATCH(362,$AZ$11:$AZ$4010,0)),""))</f>
        <v/>
      </c>
      <c r="AG372" s="25" t="str">
        <f>IF(AE372="","",IFERROR(INDEX($AO$11:$AO$4010,MATCH(362,$AZ$11:$AZ$4010,0)),""))</f>
        <v/>
      </c>
      <c r="AH372" s="24" t="str">
        <f>IF(AE372="","",IFERROR(INDEX($AQ$11:$AQ$4010,MATCH(362,$AZ$11:$AZ$4010,0)),""))</f>
        <v/>
      </c>
      <c r="AI372" s="29" t="str">
        <f>IF(AE372="","",IFERROR(INDEX($AR$11:$AR$4010,MATCH(362,$AZ$11:$AZ$4010,0)),""))</f>
        <v/>
      </c>
      <c r="AJ372" s="29" t="str">
        <f>IF(AE372="","",IFERROR(INDEX($AT$11:$AT$4010,MATCH(362,$AZ$11:$AZ$4010,0)),""))</f>
        <v/>
      </c>
      <c r="AL372" s="31" t="str">
        <f t="shared" si="73"/>
        <v/>
      </c>
      <c r="AM372" s="26" t="str">
        <f t="shared" si="74"/>
        <v/>
      </c>
      <c r="AN372" s="32" t="str">
        <f t="shared" si="75"/>
        <v/>
      </c>
      <c r="AO372" s="32" t="str">
        <f t="shared" si="76"/>
        <v/>
      </c>
      <c r="AP372" s="24" t="str">
        <f t="shared" si="77"/>
        <v/>
      </c>
      <c r="AQ372" s="24" t="str">
        <f t="shared" si="78"/>
        <v/>
      </c>
      <c r="AR372" s="33" t="str">
        <f t="shared" si="79"/>
        <v/>
      </c>
      <c r="AS372" s="34"/>
      <c r="AT372" s="33"/>
      <c r="AV372" s="21">
        <f>IF(AND($AL372&lt;&gt;"",COUNTIF($AL$11:$AL372,$AL372)=1),1,0)</f>
        <v>0</v>
      </c>
      <c r="AW372" s="21">
        <f t="shared" si="81"/>
        <v>0</v>
      </c>
      <c r="AX372" s="21" t="str">
        <f t="shared" si="80"/>
        <v/>
      </c>
      <c r="AY372" s="21" t="str">
        <f>IF(AND($AM372&lt;&gt;"",$AS372&lt;&gt;"✓"),SUMPRODUCT(($AM$11:$AM372&lt;&gt;"")*($AS$11:$AS372&lt;&gt;"✓")),"")</f>
        <v/>
      </c>
      <c r="AZ372" s="21" t="str">
        <f>IF(AND($AM372&lt;&gt;"",$AS372="✓"),SUMPRODUCT(($AM$11:$AM372&lt;&gt;"")*($AS$11:$AS372="✓")),"")</f>
        <v/>
      </c>
      <c r="BA372" s="21" t="str">
        <f>IF($AL372="","",$AL372&amp;"|"&amp;COUNTIF($AL$11:$AL372,$AL372))</f>
        <v/>
      </c>
    </row>
    <row r="373" spans="2:53" ht="15" customHeight="1" x14ac:dyDescent="0.25">
      <c r="B373" s="5" t="str">
        <f t="shared" si="72"/>
        <v/>
      </c>
      <c r="C373" s="5"/>
      <c r="D373" s="5"/>
      <c r="E373" s="5"/>
      <c r="F373" s="6"/>
      <c r="G373" s="6"/>
      <c r="H373" s="7"/>
      <c r="I373" s="8"/>
      <c r="W373" s="14" t="str">
        <f>IF(X373="","",IFERROR(INDEX($AL$11:$AL$4010,MATCH(363,$AY$11:$AY$4010,0)),""))</f>
        <v/>
      </c>
      <c r="X373" s="12" t="str">
        <f>IFERROR(INDEX($AM$11:$AM$4010,MATCH(363,$AY$11:$AY$4010,0)),"")</f>
        <v/>
      </c>
      <c r="Y373" s="11" t="str">
        <f>IF(X373="","",IFERROR(INDEX($AN$11:$AN$4010,MATCH(363,$AY$11:$AY$4010,0)),""))</f>
        <v/>
      </c>
      <c r="Z373" s="11" t="str">
        <f>IF(X373="","",IFERROR(INDEX($AO$11:$AO$4010,MATCH(363,$AY$11:$AY$4010,0)),""))</f>
        <v/>
      </c>
      <c r="AA373" s="10" t="str">
        <f>IF(X373="","",IFERROR(INDEX($AQ$11:$AQ$4010,MATCH(363,$AY$11:$AY$4010,0)),""))</f>
        <v/>
      </c>
      <c r="AB373" s="15" t="str">
        <f>IF(X373="","",IFERROR(INDEX($AR$11:$AR$4010,MATCH(363,$AY$11:$AY$4010,0)),""))</f>
        <v/>
      </c>
      <c r="AD373" s="16" t="str">
        <f>IF(AE373="","",IFERROR(INDEX($AL$11:$AL$4010,MATCH(363,$AZ$11:$AZ$4010,0)),""))</f>
        <v/>
      </c>
      <c r="AE373" s="12" t="str">
        <f>IFERROR(INDEX($AM$11:$AM$4010,MATCH(363,$AZ$11:$AZ$4010,0)),"")</f>
        <v/>
      </c>
      <c r="AF373" s="11" t="str">
        <f>IF(AE373="","",IFERROR(INDEX($AN$11:$AN$4010,MATCH(363,$AZ$11:$AZ$4010,0)),""))</f>
        <v/>
      </c>
      <c r="AG373" s="11" t="str">
        <f>IF(AE373="","",IFERROR(INDEX($AO$11:$AO$4010,MATCH(363,$AZ$11:$AZ$4010,0)),""))</f>
        <v/>
      </c>
      <c r="AH373" s="10" t="str">
        <f>IF(AE373="","",IFERROR(INDEX($AQ$11:$AQ$4010,MATCH(363,$AZ$11:$AZ$4010,0)),""))</f>
        <v/>
      </c>
      <c r="AI373" s="15" t="str">
        <f>IF(AE373="","",IFERROR(INDEX($AR$11:$AR$4010,MATCH(363,$AZ$11:$AZ$4010,0)),""))</f>
        <v/>
      </c>
      <c r="AJ373" s="15" t="str">
        <f>IF(AE373="","",IFERROR(INDEX($AT$11:$AT$4010,MATCH(363,$AZ$11:$AZ$4010,0)),""))</f>
        <v/>
      </c>
      <c r="AL373" s="17" t="str">
        <f t="shared" si="73"/>
        <v/>
      </c>
      <c r="AM373" s="12" t="str">
        <f t="shared" si="74"/>
        <v/>
      </c>
      <c r="AN373" s="18" t="str">
        <f t="shared" si="75"/>
        <v/>
      </c>
      <c r="AO373" s="18" t="str">
        <f t="shared" si="76"/>
        <v/>
      </c>
      <c r="AP373" s="10" t="str">
        <f t="shared" si="77"/>
        <v/>
      </c>
      <c r="AQ373" s="10" t="str">
        <f t="shared" si="78"/>
        <v/>
      </c>
      <c r="AR373" s="19" t="str">
        <f t="shared" si="79"/>
        <v/>
      </c>
      <c r="AS373" s="20"/>
      <c r="AT373" s="19"/>
      <c r="AV373" s="21">
        <f>IF(AND($AL373&lt;&gt;"",COUNTIF($AL$11:$AL373,$AL373)=1),1,0)</f>
        <v>0</v>
      </c>
      <c r="AW373" s="21">
        <f t="shared" si="81"/>
        <v>0</v>
      </c>
      <c r="AX373" s="21" t="str">
        <f t="shared" si="80"/>
        <v/>
      </c>
      <c r="AY373" s="21" t="str">
        <f>IF(AND($AM373&lt;&gt;"",$AS373&lt;&gt;"✓"),SUMPRODUCT(($AM$11:$AM373&lt;&gt;"")*($AS$11:$AS373&lt;&gt;"✓")),"")</f>
        <v/>
      </c>
      <c r="AZ373" s="21" t="str">
        <f>IF(AND($AM373&lt;&gt;"",$AS373="✓"),SUMPRODUCT(($AM$11:$AM373&lt;&gt;"")*($AS$11:$AS373="✓")),"")</f>
        <v/>
      </c>
      <c r="BA373" s="21" t="str">
        <f>IF($AL373="","",$AL373&amp;"|"&amp;COUNTIF($AL$11:$AL373,$AL373))</f>
        <v/>
      </c>
    </row>
    <row r="374" spans="2:53" ht="15" customHeight="1" x14ac:dyDescent="0.25">
      <c r="B374" s="5" t="str">
        <f t="shared" si="72"/>
        <v/>
      </c>
      <c r="C374" s="5"/>
      <c r="D374" s="5"/>
      <c r="E374" s="5"/>
      <c r="F374" s="6"/>
      <c r="G374" s="6"/>
      <c r="H374" s="7"/>
      <c r="I374" s="8"/>
      <c r="W374" s="28" t="str">
        <f>IF(X374="","",IFERROR(INDEX($AL$11:$AL$4010,MATCH(364,$AY$11:$AY$4010,0)),""))</f>
        <v/>
      </c>
      <c r="X374" s="26" t="str">
        <f>IFERROR(INDEX($AM$11:$AM$4010,MATCH(364,$AY$11:$AY$4010,0)),"")</f>
        <v/>
      </c>
      <c r="Y374" s="25" t="str">
        <f>IF(X374="","",IFERROR(INDEX($AN$11:$AN$4010,MATCH(364,$AY$11:$AY$4010,0)),""))</f>
        <v/>
      </c>
      <c r="Z374" s="25" t="str">
        <f>IF(X374="","",IFERROR(INDEX($AO$11:$AO$4010,MATCH(364,$AY$11:$AY$4010,0)),""))</f>
        <v/>
      </c>
      <c r="AA374" s="24" t="str">
        <f>IF(X374="","",IFERROR(INDEX($AQ$11:$AQ$4010,MATCH(364,$AY$11:$AY$4010,0)),""))</f>
        <v/>
      </c>
      <c r="AB374" s="29" t="str">
        <f>IF(X374="","",IFERROR(INDEX($AR$11:$AR$4010,MATCH(364,$AY$11:$AY$4010,0)),""))</f>
        <v/>
      </c>
      <c r="AD374" s="30" t="str">
        <f>IF(AE374="","",IFERROR(INDEX($AL$11:$AL$4010,MATCH(364,$AZ$11:$AZ$4010,0)),""))</f>
        <v/>
      </c>
      <c r="AE374" s="26" t="str">
        <f>IFERROR(INDEX($AM$11:$AM$4010,MATCH(364,$AZ$11:$AZ$4010,0)),"")</f>
        <v/>
      </c>
      <c r="AF374" s="25" t="str">
        <f>IF(AE374="","",IFERROR(INDEX($AN$11:$AN$4010,MATCH(364,$AZ$11:$AZ$4010,0)),""))</f>
        <v/>
      </c>
      <c r="AG374" s="25" t="str">
        <f>IF(AE374="","",IFERROR(INDEX($AO$11:$AO$4010,MATCH(364,$AZ$11:$AZ$4010,0)),""))</f>
        <v/>
      </c>
      <c r="AH374" s="24" t="str">
        <f>IF(AE374="","",IFERROR(INDEX($AQ$11:$AQ$4010,MATCH(364,$AZ$11:$AZ$4010,0)),""))</f>
        <v/>
      </c>
      <c r="AI374" s="29" t="str">
        <f>IF(AE374="","",IFERROR(INDEX($AR$11:$AR$4010,MATCH(364,$AZ$11:$AZ$4010,0)),""))</f>
        <v/>
      </c>
      <c r="AJ374" s="29" t="str">
        <f>IF(AE374="","",IFERROR(INDEX($AT$11:$AT$4010,MATCH(364,$AZ$11:$AZ$4010,0)),""))</f>
        <v/>
      </c>
      <c r="AL374" s="31" t="str">
        <f t="shared" si="73"/>
        <v/>
      </c>
      <c r="AM374" s="26" t="str">
        <f t="shared" si="74"/>
        <v/>
      </c>
      <c r="AN374" s="32" t="str">
        <f t="shared" si="75"/>
        <v/>
      </c>
      <c r="AO374" s="32" t="str">
        <f t="shared" si="76"/>
        <v/>
      </c>
      <c r="AP374" s="24" t="str">
        <f t="shared" si="77"/>
        <v/>
      </c>
      <c r="AQ374" s="24" t="str">
        <f t="shared" si="78"/>
        <v/>
      </c>
      <c r="AR374" s="33" t="str">
        <f t="shared" si="79"/>
        <v/>
      </c>
      <c r="AS374" s="34"/>
      <c r="AT374" s="33"/>
      <c r="AV374" s="21">
        <f>IF(AND($AL374&lt;&gt;"",COUNTIF($AL$11:$AL374,$AL374)=1),1,0)</f>
        <v>0</v>
      </c>
      <c r="AW374" s="21">
        <f t="shared" si="81"/>
        <v>0</v>
      </c>
      <c r="AX374" s="21" t="str">
        <f t="shared" si="80"/>
        <v/>
      </c>
      <c r="AY374" s="21" t="str">
        <f>IF(AND($AM374&lt;&gt;"",$AS374&lt;&gt;"✓"),SUMPRODUCT(($AM$11:$AM374&lt;&gt;"")*($AS$11:$AS374&lt;&gt;"✓")),"")</f>
        <v/>
      </c>
      <c r="AZ374" s="21" t="str">
        <f>IF(AND($AM374&lt;&gt;"",$AS374="✓"),SUMPRODUCT(($AM$11:$AM374&lt;&gt;"")*($AS$11:$AS374="✓")),"")</f>
        <v/>
      </c>
      <c r="BA374" s="21" t="str">
        <f>IF($AL374="","",$AL374&amp;"|"&amp;COUNTIF($AL$11:$AL374,$AL374))</f>
        <v/>
      </c>
    </row>
    <row r="375" spans="2:53" ht="15" customHeight="1" x14ac:dyDescent="0.25">
      <c r="B375" s="5" t="str">
        <f t="shared" si="72"/>
        <v/>
      </c>
      <c r="C375" s="5"/>
      <c r="D375" s="5"/>
      <c r="E375" s="5"/>
      <c r="F375" s="6"/>
      <c r="G375" s="6"/>
      <c r="H375" s="7"/>
      <c r="I375" s="8"/>
      <c r="W375" s="14" t="str">
        <f>IF(X375="","",IFERROR(INDEX($AL$11:$AL$4010,MATCH(365,$AY$11:$AY$4010,0)),""))</f>
        <v/>
      </c>
      <c r="X375" s="12" t="str">
        <f>IFERROR(INDEX($AM$11:$AM$4010,MATCH(365,$AY$11:$AY$4010,0)),"")</f>
        <v/>
      </c>
      <c r="Y375" s="11" t="str">
        <f>IF(X375="","",IFERROR(INDEX($AN$11:$AN$4010,MATCH(365,$AY$11:$AY$4010,0)),""))</f>
        <v/>
      </c>
      <c r="Z375" s="11" t="str">
        <f>IF(X375="","",IFERROR(INDEX($AO$11:$AO$4010,MATCH(365,$AY$11:$AY$4010,0)),""))</f>
        <v/>
      </c>
      <c r="AA375" s="10" t="str">
        <f>IF(X375="","",IFERROR(INDEX($AQ$11:$AQ$4010,MATCH(365,$AY$11:$AY$4010,0)),""))</f>
        <v/>
      </c>
      <c r="AB375" s="15" t="str">
        <f>IF(X375="","",IFERROR(INDEX($AR$11:$AR$4010,MATCH(365,$AY$11:$AY$4010,0)),""))</f>
        <v/>
      </c>
      <c r="AD375" s="16" t="str">
        <f>IF(AE375="","",IFERROR(INDEX($AL$11:$AL$4010,MATCH(365,$AZ$11:$AZ$4010,0)),""))</f>
        <v/>
      </c>
      <c r="AE375" s="12" t="str">
        <f>IFERROR(INDEX($AM$11:$AM$4010,MATCH(365,$AZ$11:$AZ$4010,0)),"")</f>
        <v/>
      </c>
      <c r="AF375" s="11" t="str">
        <f>IF(AE375="","",IFERROR(INDEX($AN$11:$AN$4010,MATCH(365,$AZ$11:$AZ$4010,0)),""))</f>
        <v/>
      </c>
      <c r="AG375" s="11" t="str">
        <f>IF(AE375="","",IFERROR(INDEX($AO$11:$AO$4010,MATCH(365,$AZ$11:$AZ$4010,0)),""))</f>
        <v/>
      </c>
      <c r="AH375" s="10" t="str">
        <f>IF(AE375="","",IFERROR(INDEX($AQ$11:$AQ$4010,MATCH(365,$AZ$11:$AZ$4010,0)),""))</f>
        <v/>
      </c>
      <c r="AI375" s="15" t="str">
        <f>IF(AE375="","",IFERROR(INDEX($AR$11:$AR$4010,MATCH(365,$AZ$11:$AZ$4010,0)),""))</f>
        <v/>
      </c>
      <c r="AJ375" s="15" t="str">
        <f>IF(AE375="","",IFERROR(INDEX($AT$11:$AT$4010,MATCH(365,$AZ$11:$AZ$4010,0)),""))</f>
        <v/>
      </c>
      <c r="AL375" s="17" t="str">
        <f t="shared" si="73"/>
        <v/>
      </c>
      <c r="AM375" s="12" t="str">
        <f t="shared" si="74"/>
        <v/>
      </c>
      <c r="AN375" s="18" t="str">
        <f t="shared" si="75"/>
        <v/>
      </c>
      <c r="AO375" s="18" t="str">
        <f t="shared" si="76"/>
        <v/>
      </c>
      <c r="AP375" s="10" t="str">
        <f t="shared" si="77"/>
        <v/>
      </c>
      <c r="AQ375" s="10" t="str">
        <f t="shared" si="78"/>
        <v/>
      </c>
      <c r="AR375" s="19" t="str">
        <f t="shared" si="79"/>
        <v/>
      </c>
      <c r="AS375" s="20"/>
      <c r="AT375" s="19"/>
      <c r="AV375" s="21">
        <f>IF(AND($AL375&lt;&gt;"",COUNTIF($AL$11:$AL375,$AL375)=1),1,0)</f>
        <v>0</v>
      </c>
      <c r="AW375" s="21">
        <f t="shared" si="81"/>
        <v>0</v>
      </c>
      <c r="AX375" s="21" t="str">
        <f t="shared" si="80"/>
        <v/>
      </c>
      <c r="AY375" s="21" t="str">
        <f>IF(AND($AM375&lt;&gt;"",$AS375&lt;&gt;"✓"),SUMPRODUCT(($AM$11:$AM375&lt;&gt;"")*($AS$11:$AS375&lt;&gt;"✓")),"")</f>
        <v/>
      </c>
      <c r="AZ375" s="21" t="str">
        <f>IF(AND($AM375&lt;&gt;"",$AS375="✓"),SUMPRODUCT(($AM$11:$AM375&lt;&gt;"")*($AS$11:$AS375="✓")),"")</f>
        <v/>
      </c>
      <c r="BA375" s="21" t="str">
        <f>IF($AL375="","",$AL375&amp;"|"&amp;COUNTIF($AL$11:$AL375,$AL375))</f>
        <v/>
      </c>
    </row>
    <row r="376" spans="2:53" ht="15" customHeight="1" x14ac:dyDescent="0.25">
      <c r="B376" s="5" t="str">
        <f t="shared" si="72"/>
        <v/>
      </c>
      <c r="C376" s="5"/>
      <c r="D376" s="5"/>
      <c r="E376" s="5"/>
      <c r="F376" s="6"/>
      <c r="G376" s="6"/>
      <c r="H376" s="7"/>
      <c r="I376" s="8"/>
      <c r="W376" s="28" t="str">
        <f>IF(X376="","",IFERROR(INDEX($AL$11:$AL$4010,MATCH(366,$AY$11:$AY$4010,0)),""))</f>
        <v/>
      </c>
      <c r="X376" s="26" t="str">
        <f>IFERROR(INDEX($AM$11:$AM$4010,MATCH(366,$AY$11:$AY$4010,0)),"")</f>
        <v/>
      </c>
      <c r="Y376" s="25" t="str">
        <f>IF(X376="","",IFERROR(INDEX($AN$11:$AN$4010,MATCH(366,$AY$11:$AY$4010,0)),""))</f>
        <v/>
      </c>
      <c r="Z376" s="25" t="str">
        <f>IF(X376="","",IFERROR(INDEX($AO$11:$AO$4010,MATCH(366,$AY$11:$AY$4010,0)),""))</f>
        <v/>
      </c>
      <c r="AA376" s="24" t="str">
        <f>IF(X376="","",IFERROR(INDEX($AQ$11:$AQ$4010,MATCH(366,$AY$11:$AY$4010,0)),""))</f>
        <v/>
      </c>
      <c r="AB376" s="29" t="str">
        <f>IF(X376="","",IFERROR(INDEX($AR$11:$AR$4010,MATCH(366,$AY$11:$AY$4010,0)),""))</f>
        <v/>
      </c>
      <c r="AD376" s="30" t="str">
        <f>IF(AE376="","",IFERROR(INDEX($AL$11:$AL$4010,MATCH(366,$AZ$11:$AZ$4010,0)),""))</f>
        <v/>
      </c>
      <c r="AE376" s="26" t="str">
        <f>IFERROR(INDEX($AM$11:$AM$4010,MATCH(366,$AZ$11:$AZ$4010,0)),"")</f>
        <v/>
      </c>
      <c r="AF376" s="25" t="str">
        <f>IF(AE376="","",IFERROR(INDEX($AN$11:$AN$4010,MATCH(366,$AZ$11:$AZ$4010,0)),""))</f>
        <v/>
      </c>
      <c r="AG376" s="25" t="str">
        <f>IF(AE376="","",IFERROR(INDEX($AO$11:$AO$4010,MATCH(366,$AZ$11:$AZ$4010,0)),""))</f>
        <v/>
      </c>
      <c r="AH376" s="24" t="str">
        <f>IF(AE376="","",IFERROR(INDEX($AQ$11:$AQ$4010,MATCH(366,$AZ$11:$AZ$4010,0)),""))</f>
        <v/>
      </c>
      <c r="AI376" s="29" t="str">
        <f>IF(AE376="","",IFERROR(INDEX($AR$11:$AR$4010,MATCH(366,$AZ$11:$AZ$4010,0)),""))</f>
        <v/>
      </c>
      <c r="AJ376" s="29" t="str">
        <f>IF(AE376="","",IFERROR(INDEX($AT$11:$AT$4010,MATCH(366,$AZ$11:$AZ$4010,0)),""))</f>
        <v/>
      </c>
      <c r="AL376" s="31" t="str">
        <f t="shared" si="73"/>
        <v/>
      </c>
      <c r="AM376" s="26" t="str">
        <f t="shared" si="74"/>
        <v/>
      </c>
      <c r="AN376" s="32" t="str">
        <f t="shared" si="75"/>
        <v/>
      </c>
      <c r="AO376" s="32" t="str">
        <f t="shared" si="76"/>
        <v/>
      </c>
      <c r="AP376" s="24" t="str">
        <f t="shared" si="77"/>
        <v/>
      </c>
      <c r="AQ376" s="24" t="str">
        <f t="shared" si="78"/>
        <v/>
      </c>
      <c r="AR376" s="33" t="str">
        <f t="shared" si="79"/>
        <v/>
      </c>
      <c r="AS376" s="34"/>
      <c r="AT376" s="33"/>
      <c r="AV376" s="21">
        <f>IF(AND($AL376&lt;&gt;"",COUNTIF($AL$11:$AL376,$AL376)=1),1,0)</f>
        <v>0</v>
      </c>
      <c r="AW376" s="21">
        <f t="shared" si="81"/>
        <v>0</v>
      </c>
      <c r="AX376" s="21" t="str">
        <f t="shared" si="80"/>
        <v/>
      </c>
      <c r="AY376" s="21" t="str">
        <f>IF(AND($AM376&lt;&gt;"",$AS376&lt;&gt;"✓"),SUMPRODUCT(($AM$11:$AM376&lt;&gt;"")*($AS$11:$AS376&lt;&gt;"✓")),"")</f>
        <v/>
      </c>
      <c r="AZ376" s="21" t="str">
        <f>IF(AND($AM376&lt;&gt;"",$AS376="✓"),SUMPRODUCT(($AM$11:$AM376&lt;&gt;"")*($AS$11:$AS376="✓")),"")</f>
        <v/>
      </c>
      <c r="BA376" s="21" t="str">
        <f>IF($AL376="","",$AL376&amp;"|"&amp;COUNTIF($AL$11:$AL376,$AL376))</f>
        <v/>
      </c>
    </row>
    <row r="377" spans="2:53" ht="15" customHeight="1" x14ac:dyDescent="0.25">
      <c r="B377" s="5" t="str">
        <f t="shared" si="72"/>
        <v/>
      </c>
      <c r="C377" s="5"/>
      <c r="D377" s="5"/>
      <c r="E377" s="5"/>
      <c r="F377" s="6"/>
      <c r="G377" s="6"/>
      <c r="H377" s="7"/>
      <c r="I377" s="8"/>
      <c r="W377" s="14" t="str">
        <f>IF(X377="","",IFERROR(INDEX($AL$11:$AL$4010,MATCH(367,$AY$11:$AY$4010,0)),""))</f>
        <v/>
      </c>
      <c r="X377" s="12" t="str">
        <f>IFERROR(INDEX($AM$11:$AM$4010,MATCH(367,$AY$11:$AY$4010,0)),"")</f>
        <v/>
      </c>
      <c r="Y377" s="11" t="str">
        <f>IF(X377="","",IFERROR(INDEX($AN$11:$AN$4010,MATCH(367,$AY$11:$AY$4010,0)),""))</f>
        <v/>
      </c>
      <c r="Z377" s="11" t="str">
        <f>IF(X377="","",IFERROR(INDEX($AO$11:$AO$4010,MATCH(367,$AY$11:$AY$4010,0)),""))</f>
        <v/>
      </c>
      <c r="AA377" s="10" t="str">
        <f>IF(X377="","",IFERROR(INDEX($AQ$11:$AQ$4010,MATCH(367,$AY$11:$AY$4010,0)),""))</f>
        <v/>
      </c>
      <c r="AB377" s="15" t="str">
        <f>IF(X377="","",IFERROR(INDEX($AR$11:$AR$4010,MATCH(367,$AY$11:$AY$4010,0)),""))</f>
        <v/>
      </c>
      <c r="AD377" s="16" t="str">
        <f>IF(AE377="","",IFERROR(INDEX($AL$11:$AL$4010,MATCH(367,$AZ$11:$AZ$4010,0)),""))</f>
        <v/>
      </c>
      <c r="AE377" s="12" t="str">
        <f>IFERROR(INDEX($AM$11:$AM$4010,MATCH(367,$AZ$11:$AZ$4010,0)),"")</f>
        <v/>
      </c>
      <c r="AF377" s="11" t="str">
        <f>IF(AE377="","",IFERROR(INDEX($AN$11:$AN$4010,MATCH(367,$AZ$11:$AZ$4010,0)),""))</f>
        <v/>
      </c>
      <c r="AG377" s="11" t="str">
        <f>IF(AE377="","",IFERROR(INDEX($AO$11:$AO$4010,MATCH(367,$AZ$11:$AZ$4010,0)),""))</f>
        <v/>
      </c>
      <c r="AH377" s="10" t="str">
        <f>IF(AE377="","",IFERROR(INDEX($AQ$11:$AQ$4010,MATCH(367,$AZ$11:$AZ$4010,0)),""))</f>
        <v/>
      </c>
      <c r="AI377" s="15" t="str">
        <f>IF(AE377="","",IFERROR(INDEX($AR$11:$AR$4010,MATCH(367,$AZ$11:$AZ$4010,0)),""))</f>
        <v/>
      </c>
      <c r="AJ377" s="15" t="str">
        <f>IF(AE377="","",IFERROR(INDEX($AT$11:$AT$4010,MATCH(367,$AZ$11:$AZ$4010,0)),""))</f>
        <v/>
      </c>
      <c r="AL377" s="17" t="str">
        <f t="shared" si="73"/>
        <v/>
      </c>
      <c r="AM377" s="12" t="str">
        <f t="shared" si="74"/>
        <v/>
      </c>
      <c r="AN377" s="18" t="str">
        <f t="shared" si="75"/>
        <v/>
      </c>
      <c r="AO377" s="18" t="str">
        <f t="shared" si="76"/>
        <v/>
      </c>
      <c r="AP377" s="10" t="str">
        <f t="shared" si="77"/>
        <v/>
      </c>
      <c r="AQ377" s="10" t="str">
        <f t="shared" si="78"/>
        <v/>
      </c>
      <c r="AR377" s="19" t="str">
        <f t="shared" si="79"/>
        <v/>
      </c>
      <c r="AS377" s="20"/>
      <c r="AT377" s="19"/>
      <c r="AV377" s="21">
        <f>IF(AND($AL377&lt;&gt;"",COUNTIF($AL$11:$AL377,$AL377)=1),1,0)</f>
        <v>0</v>
      </c>
      <c r="AW377" s="21">
        <f t="shared" si="81"/>
        <v>0</v>
      </c>
      <c r="AX377" s="21" t="str">
        <f t="shared" si="80"/>
        <v/>
      </c>
      <c r="AY377" s="21" t="str">
        <f>IF(AND($AM377&lt;&gt;"",$AS377&lt;&gt;"✓"),SUMPRODUCT(($AM$11:$AM377&lt;&gt;"")*($AS$11:$AS377&lt;&gt;"✓")),"")</f>
        <v/>
      </c>
      <c r="AZ377" s="21" t="str">
        <f>IF(AND($AM377&lt;&gt;"",$AS377="✓"),SUMPRODUCT(($AM$11:$AM377&lt;&gt;"")*($AS$11:$AS377="✓")),"")</f>
        <v/>
      </c>
      <c r="BA377" s="21" t="str">
        <f>IF($AL377="","",$AL377&amp;"|"&amp;COUNTIF($AL$11:$AL377,$AL377))</f>
        <v/>
      </c>
    </row>
    <row r="378" spans="2:53" ht="15" customHeight="1" x14ac:dyDescent="0.25">
      <c r="B378" s="5" t="str">
        <f t="shared" si="72"/>
        <v/>
      </c>
      <c r="C378" s="5"/>
      <c r="D378" s="5"/>
      <c r="E378" s="5"/>
      <c r="F378" s="6"/>
      <c r="G378" s="6"/>
      <c r="H378" s="7"/>
      <c r="I378" s="8"/>
      <c r="W378" s="28" t="str">
        <f>IF(X378="","",IFERROR(INDEX($AL$11:$AL$4010,MATCH(368,$AY$11:$AY$4010,0)),""))</f>
        <v/>
      </c>
      <c r="X378" s="26" t="str">
        <f>IFERROR(INDEX($AM$11:$AM$4010,MATCH(368,$AY$11:$AY$4010,0)),"")</f>
        <v/>
      </c>
      <c r="Y378" s="25" t="str">
        <f>IF(X378="","",IFERROR(INDEX($AN$11:$AN$4010,MATCH(368,$AY$11:$AY$4010,0)),""))</f>
        <v/>
      </c>
      <c r="Z378" s="25" t="str">
        <f>IF(X378="","",IFERROR(INDEX($AO$11:$AO$4010,MATCH(368,$AY$11:$AY$4010,0)),""))</f>
        <v/>
      </c>
      <c r="AA378" s="24" t="str">
        <f>IF(X378="","",IFERROR(INDEX($AQ$11:$AQ$4010,MATCH(368,$AY$11:$AY$4010,0)),""))</f>
        <v/>
      </c>
      <c r="AB378" s="29" t="str">
        <f>IF(X378="","",IFERROR(INDEX($AR$11:$AR$4010,MATCH(368,$AY$11:$AY$4010,0)),""))</f>
        <v/>
      </c>
      <c r="AD378" s="30" t="str">
        <f>IF(AE378="","",IFERROR(INDEX($AL$11:$AL$4010,MATCH(368,$AZ$11:$AZ$4010,0)),""))</f>
        <v/>
      </c>
      <c r="AE378" s="26" t="str">
        <f>IFERROR(INDEX($AM$11:$AM$4010,MATCH(368,$AZ$11:$AZ$4010,0)),"")</f>
        <v/>
      </c>
      <c r="AF378" s="25" t="str">
        <f>IF(AE378="","",IFERROR(INDEX($AN$11:$AN$4010,MATCH(368,$AZ$11:$AZ$4010,0)),""))</f>
        <v/>
      </c>
      <c r="AG378" s="25" t="str">
        <f>IF(AE378="","",IFERROR(INDEX($AO$11:$AO$4010,MATCH(368,$AZ$11:$AZ$4010,0)),""))</f>
        <v/>
      </c>
      <c r="AH378" s="24" t="str">
        <f>IF(AE378="","",IFERROR(INDEX($AQ$11:$AQ$4010,MATCH(368,$AZ$11:$AZ$4010,0)),""))</f>
        <v/>
      </c>
      <c r="AI378" s="29" t="str">
        <f>IF(AE378="","",IFERROR(INDEX($AR$11:$AR$4010,MATCH(368,$AZ$11:$AZ$4010,0)),""))</f>
        <v/>
      </c>
      <c r="AJ378" s="29" t="str">
        <f>IF(AE378="","",IFERROR(INDEX($AT$11:$AT$4010,MATCH(368,$AZ$11:$AZ$4010,0)),""))</f>
        <v/>
      </c>
      <c r="AL378" s="31" t="str">
        <f t="shared" si="73"/>
        <v/>
      </c>
      <c r="AM378" s="26" t="str">
        <f t="shared" si="74"/>
        <v/>
      </c>
      <c r="AN378" s="32" t="str">
        <f t="shared" si="75"/>
        <v/>
      </c>
      <c r="AO378" s="32" t="str">
        <f t="shared" si="76"/>
        <v/>
      </c>
      <c r="AP378" s="24" t="str">
        <f t="shared" si="77"/>
        <v/>
      </c>
      <c r="AQ378" s="24" t="str">
        <f t="shared" si="78"/>
        <v/>
      </c>
      <c r="AR378" s="33" t="str">
        <f t="shared" si="79"/>
        <v/>
      </c>
      <c r="AS378" s="34"/>
      <c r="AT378" s="33"/>
      <c r="AV378" s="21">
        <f>IF(AND($AL378&lt;&gt;"",COUNTIF($AL$11:$AL378,$AL378)=1),1,0)</f>
        <v>0</v>
      </c>
      <c r="AW378" s="21">
        <f t="shared" si="81"/>
        <v>0</v>
      </c>
      <c r="AX378" s="21" t="str">
        <f t="shared" si="80"/>
        <v/>
      </c>
      <c r="AY378" s="21" t="str">
        <f>IF(AND($AM378&lt;&gt;"",$AS378&lt;&gt;"✓"),SUMPRODUCT(($AM$11:$AM378&lt;&gt;"")*($AS$11:$AS378&lt;&gt;"✓")),"")</f>
        <v/>
      </c>
      <c r="AZ378" s="21" t="str">
        <f>IF(AND($AM378&lt;&gt;"",$AS378="✓"),SUMPRODUCT(($AM$11:$AM378&lt;&gt;"")*($AS$11:$AS378="✓")),"")</f>
        <v/>
      </c>
      <c r="BA378" s="21" t="str">
        <f>IF($AL378="","",$AL378&amp;"|"&amp;COUNTIF($AL$11:$AL378,$AL378))</f>
        <v/>
      </c>
    </row>
    <row r="379" spans="2:53" ht="15" customHeight="1" x14ac:dyDescent="0.25">
      <c r="B379" s="5" t="str">
        <f t="shared" si="72"/>
        <v/>
      </c>
      <c r="C379" s="5"/>
      <c r="D379" s="5"/>
      <c r="E379" s="5"/>
      <c r="F379" s="6"/>
      <c r="G379" s="6"/>
      <c r="H379" s="7"/>
      <c r="I379" s="8"/>
      <c r="W379" s="14" t="str">
        <f>IF(X379="","",IFERROR(INDEX($AL$11:$AL$4010,MATCH(369,$AY$11:$AY$4010,0)),""))</f>
        <v/>
      </c>
      <c r="X379" s="12" t="str">
        <f>IFERROR(INDEX($AM$11:$AM$4010,MATCH(369,$AY$11:$AY$4010,0)),"")</f>
        <v/>
      </c>
      <c r="Y379" s="11" t="str">
        <f>IF(X379="","",IFERROR(INDEX($AN$11:$AN$4010,MATCH(369,$AY$11:$AY$4010,0)),""))</f>
        <v/>
      </c>
      <c r="Z379" s="11" t="str">
        <f>IF(X379="","",IFERROR(INDEX($AO$11:$AO$4010,MATCH(369,$AY$11:$AY$4010,0)),""))</f>
        <v/>
      </c>
      <c r="AA379" s="10" t="str">
        <f>IF(X379="","",IFERROR(INDEX($AQ$11:$AQ$4010,MATCH(369,$AY$11:$AY$4010,0)),""))</f>
        <v/>
      </c>
      <c r="AB379" s="15" t="str">
        <f>IF(X379="","",IFERROR(INDEX($AR$11:$AR$4010,MATCH(369,$AY$11:$AY$4010,0)),""))</f>
        <v/>
      </c>
      <c r="AD379" s="16" t="str">
        <f>IF(AE379="","",IFERROR(INDEX($AL$11:$AL$4010,MATCH(369,$AZ$11:$AZ$4010,0)),""))</f>
        <v/>
      </c>
      <c r="AE379" s="12" t="str">
        <f>IFERROR(INDEX($AM$11:$AM$4010,MATCH(369,$AZ$11:$AZ$4010,0)),"")</f>
        <v/>
      </c>
      <c r="AF379" s="11" t="str">
        <f>IF(AE379="","",IFERROR(INDEX($AN$11:$AN$4010,MATCH(369,$AZ$11:$AZ$4010,0)),""))</f>
        <v/>
      </c>
      <c r="AG379" s="11" t="str">
        <f>IF(AE379="","",IFERROR(INDEX($AO$11:$AO$4010,MATCH(369,$AZ$11:$AZ$4010,0)),""))</f>
        <v/>
      </c>
      <c r="AH379" s="10" t="str">
        <f>IF(AE379="","",IFERROR(INDEX($AQ$11:$AQ$4010,MATCH(369,$AZ$11:$AZ$4010,0)),""))</f>
        <v/>
      </c>
      <c r="AI379" s="15" t="str">
        <f>IF(AE379="","",IFERROR(INDEX($AR$11:$AR$4010,MATCH(369,$AZ$11:$AZ$4010,0)),""))</f>
        <v/>
      </c>
      <c r="AJ379" s="15" t="str">
        <f>IF(AE379="","",IFERROR(INDEX($AT$11:$AT$4010,MATCH(369,$AZ$11:$AZ$4010,0)),""))</f>
        <v/>
      </c>
      <c r="AL379" s="17" t="str">
        <f t="shared" si="73"/>
        <v/>
      </c>
      <c r="AM379" s="12" t="str">
        <f t="shared" si="74"/>
        <v/>
      </c>
      <c r="AN379" s="18" t="str">
        <f t="shared" si="75"/>
        <v/>
      </c>
      <c r="AO379" s="18" t="str">
        <f t="shared" si="76"/>
        <v/>
      </c>
      <c r="AP379" s="10" t="str">
        <f t="shared" si="77"/>
        <v/>
      </c>
      <c r="AQ379" s="10" t="str">
        <f t="shared" si="78"/>
        <v/>
      </c>
      <c r="AR379" s="19" t="str">
        <f t="shared" si="79"/>
        <v/>
      </c>
      <c r="AS379" s="20"/>
      <c r="AT379" s="19"/>
      <c r="AV379" s="21">
        <f>IF(AND($AL379&lt;&gt;"",COUNTIF($AL$11:$AL379,$AL379)=1),1,0)</f>
        <v>0</v>
      </c>
      <c r="AW379" s="21">
        <f t="shared" si="81"/>
        <v>0</v>
      </c>
      <c r="AX379" s="21" t="str">
        <f t="shared" si="80"/>
        <v/>
      </c>
      <c r="AY379" s="21" t="str">
        <f>IF(AND($AM379&lt;&gt;"",$AS379&lt;&gt;"✓"),SUMPRODUCT(($AM$11:$AM379&lt;&gt;"")*($AS$11:$AS379&lt;&gt;"✓")),"")</f>
        <v/>
      </c>
      <c r="AZ379" s="21" t="str">
        <f>IF(AND($AM379&lt;&gt;"",$AS379="✓"),SUMPRODUCT(($AM$11:$AM379&lt;&gt;"")*($AS$11:$AS379="✓")),"")</f>
        <v/>
      </c>
      <c r="BA379" s="21" t="str">
        <f>IF($AL379="","",$AL379&amp;"|"&amp;COUNTIF($AL$11:$AL379,$AL379))</f>
        <v/>
      </c>
    </row>
    <row r="380" spans="2:53" ht="15" customHeight="1" x14ac:dyDescent="0.25">
      <c r="B380" s="5" t="str">
        <f t="shared" si="72"/>
        <v/>
      </c>
      <c r="C380" s="5"/>
      <c r="D380" s="5"/>
      <c r="E380" s="5"/>
      <c r="F380" s="6"/>
      <c r="G380" s="6"/>
      <c r="H380" s="7"/>
      <c r="I380" s="8"/>
      <c r="W380" s="28" t="str">
        <f>IF(X380="","",IFERROR(INDEX($AL$11:$AL$4010,MATCH(370,$AY$11:$AY$4010,0)),""))</f>
        <v/>
      </c>
      <c r="X380" s="26" t="str">
        <f>IFERROR(INDEX($AM$11:$AM$4010,MATCH(370,$AY$11:$AY$4010,0)),"")</f>
        <v/>
      </c>
      <c r="Y380" s="25" t="str">
        <f>IF(X380="","",IFERROR(INDEX($AN$11:$AN$4010,MATCH(370,$AY$11:$AY$4010,0)),""))</f>
        <v/>
      </c>
      <c r="Z380" s="25" t="str">
        <f>IF(X380="","",IFERROR(INDEX($AO$11:$AO$4010,MATCH(370,$AY$11:$AY$4010,0)),""))</f>
        <v/>
      </c>
      <c r="AA380" s="24" t="str">
        <f>IF(X380="","",IFERROR(INDEX($AQ$11:$AQ$4010,MATCH(370,$AY$11:$AY$4010,0)),""))</f>
        <v/>
      </c>
      <c r="AB380" s="29" t="str">
        <f>IF(X380="","",IFERROR(INDEX($AR$11:$AR$4010,MATCH(370,$AY$11:$AY$4010,0)),""))</f>
        <v/>
      </c>
      <c r="AD380" s="30" t="str">
        <f>IF(AE380="","",IFERROR(INDEX($AL$11:$AL$4010,MATCH(370,$AZ$11:$AZ$4010,0)),""))</f>
        <v/>
      </c>
      <c r="AE380" s="26" t="str">
        <f>IFERROR(INDEX($AM$11:$AM$4010,MATCH(370,$AZ$11:$AZ$4010,0)),"")</f>
        <v/>
      </c>
      <c r="AF380" s="25" t="str">
        <f>IF(AE380="","",IFERROR(INDEX($AN$11:$AN$4010,MATCH(370,$AZ$11:$AZ$4010,0)),""))</f>
        <v/>
      </c>
      <c r="AG380" s="25" t="str">
        <f>IF(AE380="","",IFERROR(INDEX($AO$11:$AO$4010,MATCH(370,$AZ$11:$AZ$4010,0)),""))</f>
        <v/>
      </c>
      <c r="AH380" s="24" t="str">
        <f>IF(AE380="","",IFERROR(INDEX($AQ$11:$AQ$4010,MATCH(370,$AZ$11:$AZ$4010,0)),""))</f>
        <v/>
      </c>
      <c r="AI380" s="29" t="str">
        <f>IF(AE380="","",IFERROR(INDEX($AR$11:$AR$4010,MATCH(370,$AZ$11:$AZ$4010,0)),""))</f>
        <v/>
      </c>
      <c r="AJ380" s="29" t="str">
        <f>IF(AE380="","",IFERROR(INDEX($AT$11:$AT$4010,MATCH(370,$AZ$11:$AZ$4010,0)),""))</f>
        <v/>
      </c>
      <c r="AL380" s="31" t="str">
        <f t="shared" si="73"/>
        <v/>
      </c>
      <c r="AM380" s="26" t="str">
        <f t="shared" si="74"/>
        <v/>
      </c>
      <c r="AN380" s="32" t="str">
        <f t="shared" si="75"/>
        <v/>
      </c>
      <c r="AO380" s="32" t="str">
        <f t="shared" si="76"/>
        <v/>
      </c>
      <c r="AP380" s="24" t="str">
        <f t="shared" si="77"/>
        <v/>
      </c>
      <c r="AQ380" s="24" t="str">
        <f t="shared" si="78"/>
        <v/>
      </c>
      <c r="AR380" s="33" t="str">
        <f t="shared" si="79"/>
        <v/>
      </c>
      <c r="AS380" s="34"/>
      <c r="AT380" s="33"/>
      <c r="AV380" s="21">
        <f>IF(AND($AL380&lt;&gt;"",COUNTIF($AL$11:$AL380,$AL380)=1),1,0)</f>
        <v>0</v>
      </c>
      <c r="AW380" s="21">
        <f t="shared" si="81"/>
        <v>0</v>
      </c>
      <c r="AX380" s="21" t="str">
        <f t="shared" si="80"/>
        <v/>
      </c>
      <c r="AY380" s="21" t="str">
        <f>IF(AND($AM380&lt;&gt;"",$AS380&lt;&gt;"✓"),SUMPRODUCT(($AM$11:$AM380&lt;&gt;"")*($AS$11:$AS380&lt;&gt;"✓")),"")</f>
        <v/>
      </c>
      <c r="AZ380" s="21" t="str">
        <f>IF(AND($AM380&lt;&gt;"",$AS380="✓"),SUMPRODUCT(($AM$11:$AM380&lt;&gt;"")*($AS$11:$AS380="✓")),"")</f>
        <v/>
      </c>
      <c r="BA380" s="21" t="str">
        <f>IF($AL380="","",$AL380&amp;"|"&amp;COUNTIF($AL$11:$AL380,$AL380))</f>
        <v/>
      </c>
    </row>
    <row r="381" spans="2:53" ht="15" customHeight="1" x14ac:dyDescent="0.25">
      <c r="B381" s="5" t="str">
        <f t="shared" si="72"/>
        <v/>
      </c>
      <c r="C381" s="5"/>
      <c r="D381" s="5"/>
      <c r="E381" s="5"/>
      <c r="F381" s="6"/>
      <c r="G381" s="6"/>
      <c r="H381" s="7"/>
      <c r="I381" s="8"/>
      <c r="W381" s="14" t="str">
        <f>IF(X381="","",IFERROR(INDEX($AL$11:$AL$4010,MATCH(371,$AY$11:$AY$4010,0)),""))</f>
        <v/>
      </c>
      <c r="X381" s="12" t="str">
        <f>IFERROR(INDEX($AM$11:$AM$4010,MATCH(371,$AY$11:$AY$4010,0)),"")</f>
        <v/>
      </c>
      <c r="Y381" s="11" t="str">
        <f>IF(X381="","",IFERROR(INDEX($AN$11:$AN$4010,MATCH(371,$AY$11:$AY$4010,0)),""))</f>
        <v/>
      </c>
      <c r="Z381" s="11" t="str">
        <f>IF(X381="","",IFERROR(INDEX($AO$11:$AO$4010,MATCH(371,$AY$11:$AY$4010,0)),""))</f>
        <v/>
      </c>
      <c r="AA381" s="10" t="str">
        <f>IF(X381="","",IFERROR(INDEX($AQ$11:$AQ$4010,MATCH(371,$AY$11:$AY$4010,0)),""))</f>
        <v/>
      </c>
      <c r="AB381" s="15" t="str">
        <f>IF(X381="","",IFERROR(INDEX($AR$11:$AR$4010,MATCH(371,$AY$11:$AY$4010,0)),""))</f>
        <v/>
      </c>
      <c r="AD381" s="16" t="str">
        <f>IF(AE381="","",IFERROR(INDEX($AL$11:$AL$4010,MATCH(371,$AZ$11:$AZ$4010,0)),""))</f>
        <v/>
      </c>
      <c r="AE381" s="12" t="str">
        <f>IFERROR(INDEX($AM$11:$AM$4010,MATCH(371,$AZ$11:$AZ$4010,0)),"")</f>
        <v/>
      </c>
      <c r="AF381" s="11" t="str">
        <f>IF(AE381="","",IFERROR(INDEX($AN$11:$AN$4010,MATCH(371,$AZ$11:$AZ$4010,0)),""))</f>
        <v/>
      </c>
      <c r="AG381" s="11" t="str">
        <f>IF(AE381="","",IFERROR(INDEX($AO$11:$AO$4010,MATCH(371,$AZ$11:$AZ$4010,0)),""))</f>
        <v/>
      </c>
      <c r="AH381" s="10" t="str">
        <f>IF(AE381="","",IFERROR(INDEX($AQ$11:$AQ$4010,MATCH(371,$AZ$11:$AZ$4010,0)),""))</f>
        <v/>
      </c>
      <c r="AI381" s="15" t="str">
        <f>IF(AE381="","",IFERROR(INDEX($AR$11:$AR$4010,MATCH(371,$AZ$11:$AZ$4010,0)),""))</f>
        <v/>
      </c>
      <c r="AJ381" s="15" t="str">
        <f>IF(AE381="","",IFERROR(INDEX($AT$11:$AT$4010,MATCH(371,$AZ$11:$AZ$4010,0)),""))</f>
        <v/>
      </c>
      <c r="AL381" s="17" t="str">
        <f t="shared" si="73"/>
        <v/>
      </c>
      <c r="AM381" s="12" t="str">
        <f t="shared" si="74"/>
        <v/>
      </c>
      <c r="AN381" s="18" t="str">
        <f t="shared" si="75"/>
        <v/>
      </c>
      <c r="AO381" s="18" t="str">
        <f t="shared" si="76"/>
        <v/>
      </c>
      <c r="AP381" s="10" t="str">
        <f t="shared" si="77"/>
        <v/>
      </c>
      <c r="AQ381" s="10" t="str">
        <f t="shared" si="78"/>
        <v/>
      </c>
      <c r="AR381" s="19" t="str">
        <f t="shared" si="79"/>
        <v/>
      </c>
      <c r="AS381" s="20"/>
      <c r="AT381" s="19"/>
      <c r="AV381" s="21">
        <f>IF(AND($AL381&lt;&gt;"",COUNTIF($AL$11:$AL381,$AL381)=1),1,0)</f>
        <v>0</v>
      </c>
      <c r="AW381" s="21">
        <f t="shared" si="81"/>
        <v>0</v>
      </c>
      <c r="AX381" s="21" t="str">
        <f t="shared" si="80"/>
        <v/>
      </c>
      <c r="AY381" s="21" t="str">
        <f>IF(AND($AM381&lt;&gt;"",$AS381&lt;&gt;"✓"),SUMPRODUCT(($AM$11:$AM381&lt;&gt;"")*($AS$11:$AS381&lt;&gt;"✓")),"")</f>
        <v/>
      </c>
      <c r="AZ381" s="21" t="str">
        <f>IF(AND($AM381&lt;&gt;"",$AS381="✓"),SUMPRODUCT(($AM$11:$AM381&lt;&gt;"")*($AS$11:$AS381="✓")),"")</f>
        <v/>
      </c>
      <c r="BA381" s="21" t="str">
        <f>IF($AL381="","",$AL381&amp;"|"&amp;COUNTIF($AL$11:$AL381,$AL381))</f>
        <v/>
      </c>
    </row>
    <row r="382" spans="2:53" ht="15" customHeight="1" x14ac:dyDescent="0.25">
      <c r="B382" s="5" t="str">
        <f t="shared" si="72"/>
        <v/>
      </c>
      <c r="C382" s="5"/>
      <c r="D382" s="5"/>
      <c r="E382" s="5"/>
      <c r="F382" s="6"/>
      <c r="G382" s="6"/>
      <c r="H382" s="7"/>
      <c r="I382" s="8"/>
      <c r="W382" s="28" t="str">
        <f>IF(X382="","",IFERROR(INDEX($AL$11:$AL$4010,MATCH(372,$AY$11:$AY$4010,0)),""))</f>
        <v/>
      </c>
      <c r="X382" s="26" t="str">
        <f>IFERROR(INDEX($AM$11:$AM$4010,MATCH(372,$AY$11:$AY$4010,0)),"")</f>
        <v/>
      </c>
      <c r="Y382" s="25" t="str">
        <f>IF(X382="","",IFERROR(INDEX($AN$11:$AN$4010,MATCH(372,$AY$11:$AY$4010,0)),""))</f>
        <v/>
      </c>
      <c r="Z382" s="25" t="str">
        <f>IF(X382="","",IFERROR(INDEX($AO$11:$AO$4010,MATCH(372,$AY$11:$AY$4010,0)),""))</f>
        <v/>
      </c>
      <c r="AA382" s="24" t="str">
        <f>IF(X382="","",IFERROR(INDEX($AQ$11:$AQ$4010,MATCH(372,$AY$11:$AY$4010,0)),""))</f>
        <v/>
      </c>
      <c r="AB382" s="29" t="str">
        <f>IF(X382="","",IFERROR(INDEX($AR$11:$AR$4010,MATCH(372,$AY$11:$AY$4010,0)),""))</f>
        <v/>
      </c>
      <c r="AD382" s="30" t="str">
        <f>IF(AE382="","",IFERROR(INDEX($AL$11:$AL$4010,MATCH(372,$AZ$11:$AZ$4010,0)),""))</f>
        <v/>
      </c>
      <c r="AE382" s="26" t="str">
        <f>IFERROR(INDEX($AM$11:$AM$4010,MATCH(372,$AZ$11:$AZ$4010,0)),"")</f>
        <v/>
      </c>
      <c r="AF382" s="25" t="str">
        <f>IF(AE382="","",IFERROR(INDEX($AN$11:$AN$4010,MATCH(372,$AZ$11:$AZ$4010,0)),""))</f>
        <v/>
      </c>
      <c r="AG382" s="25" t="str">
        <f>IF(AE382="","",IFERROR(INDEX($AO$11:$AO$4010,MATCH(372,$AZ$11:$AZ$4010,0)),""))</f>
        <v/>
      </c>
      <c r="AH382" s="24" t="str">
        <f>IF(AE382="","",IFERROR(INDEX($AQ$11:$AQ$4010,MATCH(372,$AZ$11:$AZ$4010,0)),""))</f>
        <v/>
      </c>
      <c r="AI382" s="29" t="str">
        <f>IF(AE382="","",IFERROR(INDEX($AR$11:$AR$4010,MATCH(372,$AZ$11:$AZ$4010,0)),""))</f>
        <v/>
      </c>
      <c r="AJ382" s="29" t="str">
        <f>IF(AE382="","",IFERROR(INDEX($AT$11:$AT$4010,MATCH(372,$AZ$11:$AZ$4010,0)),""))</f>
        <v/>
      </c>
      <c r="AL382" s="31" t="str">
        <f t="shared" si="73"/>
        <v/>
      </c>
      <c r="AM382" s="26" t="str">
        <f t="shared" si="74"/>
        <v/>
      </c>
      <c r="AN382" s="32" t="str">
        <f t="shared" si="75"/>
        <v/>
      </c>
      <c r="AO382" s="32" t="str">
        <f t="shared" si="76"/>
        <v/>
      </c>
      <c r="AP382" s="24" t="str">
        <f t="shared" si="77"/>
        <v/>
      </c>
      <c r="AQ382" s="24" t="str">
        <f t="shared" si="78"/>
        <v/>
      </c>
      <c r="AR382" s="33" t="str">
        <f t="shared" si="79"/>
        <v/>
      </c>
      <c r="AS382" s="34"/>
      <c r="AT382" s="33"/>
      <c r="AV382" s="21">
        <f>IF(AND($AL382&lt;&gt;"",COUNTIF($AL$11:$AL382,$AL382)=1),1,0)</f>
        <v>0</v>
      </c>
      <c r="AW382" s="21">
        <f t="shared" si="81"/>
        <v>0</v>
      </c>
      <c r="AX382" s="21" t="str">
        <f t="shared" si="80"/>
        <v/>
      </c>
      <c r="AY382" s="21" t="str">
        <f>IF(AND($AM382&lt;&gt;"",$AS382&lt;&gt;"✓"),SUMPRODUCT(($AM$11:$AM382&lt;&gt;"")*($AS$11:$AS382&lt;&gt;"✓")),"")</f>
        <v/>
      </c>
      <c r="AZ382" s="21" t="str">
        <f>IF(AND($AM382&lt;&gt;"",$AS382="✓"),SUMPRODUCT(($AM$11:$AM382&lt;&gt;"")*($AS$11:$AS382="✓")),"")</f>
        <v/>
      </c>
      <c r="BA382" s="21" t="str">
        <f>IF($AL382="","",$AL382&amp;"|"&amp;COUNTIF($AL$11:$AL382,$AL382))</f>
        <v/>
      </c>
    </row>
    <row r="383" spans="2:53" ht="15" customHeight="1" x14ac:dyDescent="0.25">
      <c r="B383" s="5" t="str">
        <f t="shared" si="72"/>
        <v/>
      </c>
      <c r="C383" s="5"/>
      <c r="D383" s="5"/>
      <c r="E383" s="5"/>
      <c r="F383" s="6"/>
      <c r="G383" s="6"/>
      <c r="H383" s="7"/>
      <c r="I383" s="8"/>
      <c r="W383" s="14" t="str">
        <f>IF(X383="","",IFERROR(INDEX($AL$11:$AL$4010,MATCH(373,$AY$11:$AY$4010,0)),""))</f>
        <v/>
      </c>
      <c r="X383" s="12" t="str">
        <f>IFERROR(INDEX($AM$11:$AM$4010,MATCH(373,$AY$11:$AY$4010,0)),"")</f>
        <v/>
      </c>
      <c r="Y383" s="11" t="str">
        <f>IF(X383="","",IFERROR(INDEX($AN$11:$AN$4010,MATCH(373,$AY$11:$AY$4010,0)),""))</f>
        <v/>
      </c>
      <c r="Z383" s="11" t="str">
        <f>IF(X383="","",IFERROR(INDEX($AO$11:$AO$4010,MATCH(373,$AY$11:$AY$4010,0)),""))</f>
        <v/>
      </c>
      <c r="AA383" s="10" t="str">
        <f>IF(X383="","",IFERROR(INDEX($AQ$11:$AQ$4010,MATCH(373,$AY$11:$AY$4010,0)),""))</f>
        <v/>
      </c>
      <c r="AB383" s="15" t="str">
        <f>IF(X383="","",IFERROR(INDEX($AR$11:$AR$4010,MATCH(373,$AY$11:$AY$4010,0)),""))</f>
        <v/>
      </c>
      <c r="AD383" s="16" t="str">
        <f>IF(AE383="","",IFERROR(INDEX($AL$11:$AL$4010,MATCH(373,$AZ$11:$AZ$4010,0)),""))</f>
        <v/>
      </c>
      <c r="AE383" s="12" t="str">
        <f>IFERROR(INDEX($AM$11:$AM$4010,MATCH(373,$AZ$11:$AZ$4010,0)),"")</f>
        <v/>
      </c>
      <c r="AF383" s="11" t="str">
        <f>IF(AE383="","",IFERROR(INDEX($AN$11:$AN$4010,MATCH(373,$AZ$11:$AZ$4010,0)),""))</f>
        <v/>
      </c>
      <c r="AG383" s="11" t="str">
        <f>IF(AE383="","",IFERROR(INDEX($AO$11:$AO$4010,MATCH(373,$AZ$11:$AZ$4010,0)),""))</f>
        <v/>
      </c>
      <c r="AH383" s="10" t="str">
        <f>IF(AE383="","",IFERROR(INDEX($AQ$11:$AQ$4010,MATCH(373,$AZ$11:$AZ$4010,0)),""))</f>
        <v/>
      </c>
      <c r="AI383" s="15" t="str">
        <f>IF(AE383="","",IFERROR(INDEX($AR$11:$AR$4010,MATCH(373,$AZ$11:$AZ$4010,0)),""))</f>
        <v/>
      </c>
      <c r="AJ383" s="15" t="str">
        <f>IF(AE383="","",IFERROR(INDEX($AT$11:$AT$4010,MATCH(373,$AZ$11:$AZ$4010,0)),""))</f>
        <v/>
      </c>
      <c r="AL383" s="17" t="str">
        <f t="shared" si="73"/>
        <v/>
      </c>
      <c r="AM383" s="12" t="str">
        <f t="shared" si="74"/>
        <v/>
      </c>
      <c r="AN383" s="18" t="str">
        <f t="shared" si="75"/>
        <v/>
      </c>
      <c r="AO383" s="18" t="str">
        <f t="shared" si="76"/>
        <v/>
      </c>
      <c r="AP383" s="10" t="str">
        <f t="shared" si="77"/>
        <v/>
      </c>
      <c r="AQ383" s="10" t="str">
        <f t="shared" si="78"/>
        <v/>
      </c>
      <c r="AR383" s="19" t="str">
        <f t="shared" si="79"/>
        <v/>
      </c>
      <c r="AS383" s="20"/>
      <c r="AT383" s="19"/>
      <c r="AV383" s="21">
        <f>IF(AND($AL383&lt;&gt;"",COUNTIF($AL$11:$AL383,$AL383)=1),1,0)</f>
        <v>0</v>
      </c>
      <c r="AW383" s="21">
        <f t="shared" si="81"/>
        <v>0</v>
      </c>
      <c r="AX383" s="21" t="str">
        <f t="shared" si="80"/>
        <v/>
      </c>
      <c r="AY383" s="21" t="str">
        <f>IF(AND($AM383&lt;&gt;"",$AS383&lt;&gt;"✓"),SUMPRODUCT(($AM$11:$AM383&lt;&gt;"")*($AS$11:$AS383&lt;&gt;"✓")),"")</f>
        <v/>
      </c>
      <c r="AZ383" s="21" t="str">
        <f>IF(AND($AM383&lt;&gt;"",$AS383="✓"),SUMPRODUCT(($AM$11:$AM383&lt;&gt;"")*($AS$11:$AS383="✓")),"")</f>
        <v/>
      </c>
      <c r="BA383" s="21" t="str">
        <f>IF($AL383="","",$AL383&amp;"|"&amp;COUNTIF($AL$11:$AL383,$AL383))</f>
        <v/>
      </c>
    </row>
    <row r="384" spans="2:53" ht="15" customHeight="1" x14ac:dyDescent="0.25">
      <c r="B384" s="5" t="str">
        <f t="shared" si="72"/>
        <v/>
      </c>
      <c r="C384" s="5"/>
      <c r="D384" s="5"/>
      <c r="E384" s="5"/>
      <c r="F384" s="6"/>
      <c r="G384" s="6"/>
      <c r="H384" s="7"/>
      <c r="I384" s="8"/>
      <c r="W384" s="28" t="str">
        <f>IF(X384="","",IFERROR(INDEX($AL$11:$AL$4010,MATCH(374,$AY$11:$AY$4010,0)),""))</f>
        <v/>
      </c>
      <c r="X384" s="26" t="str">
        <f>IFERROR(INDEX($AM$11:$AM$4010,MATCH(374,$AY$11:$AY$4010,0)),"")</f>
        <v/>
      </c>
      <c r="Y384" s="25" t="str">
        <f>IF(X384="","",IFERROR(INDEX($AN$11:$AN$4010,MATCH(374,$AY$11:$AY$4010,0)),""))</f>
        <v/>
      </c>
      <c r="Z384" s="25" t="str">
        <f>IF(X384="","",IFERROR(INDEX($AO$11:$AO$4010,MATCH(374,$AY$11:$AY$4010,0)),""))</f>
        <v/>
      </c>
      <c r="AA384" s="24" t="str">
        <f>IF(X384="","",IFERROR(INDEX($AQ$11:$AQ$4010,MATCH(374,$AY$11:$AY$4010,0)),""))</f>
        <v/>
      </c>
      <c r="AB384" s="29" t="str">
        <f>IF(X384="","",IFERROR(INDEX($AR$11:$AR$4010,MATCH(374,$AY$11:$AY$4010,0)),""))</f>
        <v/>
      </c>
      <c r="AD384" s="30" t="str">
        <f>IF(AE384="","",IFERROR(INDEX($AL$11:$AL$4010,MATCH(374,$AZ$11:$AZ$4010,0)),""))</f>
        <v/>
      </c>
      <c r="AE384" s="26" t="str">
        <f>IFERROR(INDEX($AM$11:$AM$4010,MATCH(374,$AZ$11:$AZ$4010,0)),"")</f>
        <v/>
      </c>
      <c r="AF384" s="25" t="str">
        <f>IF(AE384="","",IFERROR(INDEX($AN$11:$AN$4010,MATCH(374,$AZ$11:$AZ$4010,0)),""))</f>
        <v/>
      </c>
      <c r="AG384" s="25" t="str">
        <f>IF(AE384="","",IFERROR(INDEX($AO$11:$AO$4010,MATCH(374,$AZ$11:$AZ$4010,0)),""))</f>
        <v/>
      </c>
      <c r="AH384" s="24" t="str">
        <f>IF(AE384="","",IFERROR(INDEX($AQ$11:$AQ$4010,MATCH(374,$AZ$11:$AZ$4010,0)),""))</f>
        <v/>
      </c>
      <c r="AI384" s="29" t="str">
        <f>IF(AE384="","",IFERROR(INDEX($AR$11:$AR$4010,MATCH(374,$AZ$11:$AZ$4010,0)),""))</f>
        <v/>
      </c>
      <c r="AJ384" s="29" t="str">
        <f>IF(AE384="","",IFERROR(INDEX($AT$11:$AT$4010,MATCH(374,$AZ$11:$AZ$4010,0)),""))</f>
        <v/>
      </c>
      <c r="AL384" s="31" t="str">
        <f t="shared" si="73"/>
        <v/>
      </c>
      <c r="AM384" s="26" t="str">
        <f t="shared" si="74"/>
        <v/>
      </c>
      <c r="AN384" s="32" t="str">
        <f t="shared" si="75"/>
        <v/>
      </c>
      <c r="AO384" s="32" t="str">
        <f t="shared" si="76"/>
        <v/>
      </c>
      <c r="AP384" s="24" t="str">
        <f t="shared" si="77"/>
        <v/>
      </c>
      <c r="AQ384" s="24" t="str">
        <f t="shared" si="78"/>
        <v/>
      </c>
      <c r="AR384" s="33" t="str">
        <f t="shared" si="79"/>
        <v/>
      </c>
      <c r="AS384" s="34"/>
      <c r="AT384" s="33"/>
      <c r="AV384" s="21">
        <f>IF(AND($AL384&lt;&gt;"",COUNTIF($AL$11:$AL384,$AL384)=1),1,0)</f>
        <v>0</v>
      </c>
      <c r="AW384" s="21">
        <f t="shared" si="81"/>
        <v>0</v>
      </c>
      <c r="AX384" s="21" t="str">
        <f t="shared" si="80"/>
        <v/>
      </c>
      <c r="AY384" s="21" t="str">
        <f>IF(AND($AM384&lt;&gt;"",$AS384&lt;&gt;"✓"),SUMPRODUCT(($AM$11:$AM384&lt;&gt;"")*($AS$11:$AS384&lt;&gt;"✓")),"")</f>
        <v/>
      </c>
      <c r="AZ384" s="21" t="str">
        <f>IF(AND($AM384&lt;&gt;"",$AS384="✓"),SUMPRODUCT(($AM$11:$AM384&lt;&gt;"")*($AS$11:$AS384="✓")),"")</f>
        <v/>
      </c>
      <c r="BA384" s="21" t="str">
        <f>IF($AL384="","",$AL384&amp;"|"&amp;COUNTIF($AL$11:$AL384,$AL384))</f>
        <v/>
      </c>
    </row>
    <row r="385" spans="2:53" ht="15" customHeight="1" x14ac:dyDescent="0.25">
      <c r="B385" s="5" t="str">
        <f t="shared" si="72"/>
        <v/>
      </c>
      <c r="C385" s="5"/>
      <c r="D385" s="5"/>
      <c r="E385" s="5"/>
      <c r="F385" s="6"/>
      <c r="G385" s="6"/>
      <c r="H385" s="7"/>
      <c r="I385" s="8"/>
      <c r="W385" s="14" t="str">
        <f>IF(X385="","",IFERROR(INDEX($AL$11:$AL$4010,MATCH(375,$AY$11:$AY$4010,0)),""))</f>
        <v/>
      </c>
      <c r="X385" s="12" t="str">
        <f>IFERROR(INDEX($AM$11:$AM$4010,MATCH(375,$AY$11:$AY$4010,0)),"")</f>
        <v/>
      </c>
      <c r="Y385" s="11" t="str">
        <f>IF(X385="","",IFERROR(INDEX($AN$11:$AN$4010,MATCH(375,$AY$11:$AY$4010,0)),""))</f>
        <v/>
      </c>
      <c r="Z385" s="11" t="str">
        <f>IF(X385="","",IFERROR(INDEX($AO$11:$AO$4010,MATCH(375,$AY$11:$AY$4010,0)),""))</f>
        <v/>
      </c>
      <c r="AA385" s="10" t="str">
        <f>IF(X385="","",IFERROR(INDEX($AQ$11:$AQ$4010,MATCH(375,$AY$11:$AY$4010,0)),""))</f>
        <v/>
      </c>
      <c r="AB385" s="15" t="str">
        <f>IF(X385="","",IFERROR(INDEX($AR$11:$AR$4010,MATCH(375,$AY$11:$AY$4010,0)),""))</f>
        <v/>
      </c>
      <c r="AD385" s="16" t="str">
        <f>IF(AE385="","",IFERROR(INDEX($AL$11:$AL$4010,MATCH(375,$AZ$11:$AZ$4010,0)),""))</f>
        <v/>
      </c>
      <c r="AE385" s="12" t="str">
        <f>IFERROR(INDEX($AM$11:$AM$4010,MATCH(375,$AZ$11:$AZ$4010,0)),"")</f>
        <v/>
      </c>
      <c r="AF385" s="11" t="str">
        <f>IF(AE385="","",IFERROR(INDEX($AN$11:$AN$4010,MATCH(375,$AZ$11:$AZ$4010,0)),""))</f>
        <v/>
      </c>
      <c r="AG385" s="11" t="str">
        <f>IF(AE385="","",IFERROR(INDEX($AO$11:$AO$4010,MATCH(375,$AZ$11:$AZ$4010,0)),""))</f>
        <v/>
      </c>
      <c r="AH385" s="10" t="str">
        <f>IF(AE385="","",IFERROR(INDEX($AQ$11:$AQ$4010,MATCH(375,$AZ$11:$AZ$4010,0)),""))</f>
        <v/>
      </c>
      <c r="AI385" s="15" t="str">
        <f>IF(AE385="","",IFERROR(INDEX($AR$11:$AR$4010,MATCH(375,$AZ$11:$AZ$4010,0)),""))</f>
        <v/>
      </c>
      <c r="AJ385" s="15" t="str">
        <f>IF(AE385="","",IFERROR(INDEX($AT$11:$AT$4010,MATCH(375,$AZ$11:$AZ$4010,0)),""))</f>
        <v/>
      </c>
      <c r="AL385" s="17" t="str">
        <f t="shared" si="73"/>
        <v/>
      </c>
      <c r="AM385" s="12" t="str">
        <f t="shared" si="74"/>
        <v/>
      </c>
      <c r="AN385" s="18" t="str">
        <f t="shared" si="75"/>
        <v/>
      </c>
      <c r="AO385" s="18" t="str">
        <f t="shared" si="76"/>
        <v/>
      </c>
      <c r="AP385" s="10" t="str">
        <f t="shared" si="77"/>
        <v/>
      </c>
      <c r="AQ385" s="10" t="str">
        <f t="shared" si="78"/>
        <v/>
      </c>
      <c r="AR385" s="19" t="str">
        <f t="shared" si="79"/>
        <v/>
      </c>
      <c r="AS385" s="20"/>
      <c r="AT385" s="19"/>
      <c r="AV385" s="21">
        <f>IF(AND($AL385&lt;&gt;"",COUNTIF($AL$11:$AL385,$AL385)=1),1,0)</f>
        <v>0</v>
      </c>
      <c r="AW385" s="21">
        <f t="shared" si="81"/>
        <v>0</v>
      </c>
      <c r="AX385" s="21" t="str">
        <f t="shared" si="80"/>
        <v/>
      </c>
      <c r="AY385" s="21" t="str">
        <f>IF(AND($AM385&lt;&gt;"",$AS385&lt;&gt;"✓"),SUMPRODUCT(($AM$11:$AM385&lt;&gt;"")*($AS$11:$AS385&lt;&gt;"✓")),"")</f>
        <v/>
      </c>
      <c r="AZ385" s="21" t="str">
        <f>IF(AND($AM385&lt;&gt;"",$AS385="✓"),SUMPRODUCT(($AM$11:$AM385&lt;&gt;"")*($AS$11:$AS385="✓")),"")</f>
        <v/>
      </c>
      <c r="BA385" s="21" t="str">
        <f>IF($AL385="","",$AL385&amp;"|"&amp;COUNTIF($AL$11:$AL385,$AL385))</f>
        <v/>
      </c>
    </row>
    <row r="386" spans="2:53" ht="15" customHeight="1" x14ac:dyDescent="0.25">
      <c r="B386" s="5" t="str">
        <f t="shared" si="72"/>
        <v/>
      </c>
      <c r="C386" s="5"/>
      <c r="D386" s="5"/>
      <c r="E386" s="5"/>
      <c r="F386" s="6"/>
      <c r="G386" s="6"/>
      <c r="H386" s="7"/>
      <c r="I386" s="8"/>
      <c r="W386" s="28" t="str">
        <f>IF(X386="","",IFERROR(INDEX($AL$11:$AL$4010,MATCH(376,$AY$11:$AY$4010,0)),""))</f>
        <v/>
      </c>
      <c r="X386" s="26" t="str">
        <f>IFERROR(INDEX($AM$11:$AM$4010,MATCH(376,$AY$11:$AY$4010,0)),"")</f>
        <v/>
      </c>
      <c r="Y386" s="25" t="str">
        <f>IF(X386="","",IFERROR(INDEX($AN$11:$AN$4010,MATCH(376,$AY$11:$AY$4010,0)),""))</f>
        <v/>
      </c>
      <c r="Z386" s="25" t="str">
        <f>IF(X386="","",IFERROR(INDEX($AO$11:$AO$4010,MATCH(376,$AY$11:$AY$4010,0)),""))</f>
        <v/>
      </c>
      <c r="AA386" s="24" t="str">
        <f>IF(X386="","",IFERROR(INDEX($AQ$11:$AQ$4010,MATCH(376,$AY$11:$AY$4010,0)),""))</f>
        <v/>
      </c>
      <c r="AB386" s="29" t="str">
        <f>IF(X386="","",IFERROR(INDEX($AR$11:$AR$4010,MATCH(376,$AY$11:$AY$4010,0)),""))</f>
        <v/>
      </c>
      <c r="AD386" s="30" t="str">
        <f>IF(AE386="","",IFERROR(INDEX($AL$11:$AL$4010,MATCH(376,$AZ$11:$AZ$4010,0)),""))</f>
        <v/>
      </c>
      <c r="AE386" s="26" t="str">
        <f>IFERROR(INDEX($AM$11:$AM$4010,MATCH(376,$AZ$11:$AZ$4010,0)),"")</f>
        <v/>
      </c>
      <c r="AF386" s="25" t="str">
        <f>IF(AE386="","",IFERROR(INDEX($AN$11:$AN$4010,MATCH(376,$AZ$11:$AZ$4010,0)),""))</f>
        <v/>
      </c>
      <c r="AG386" s="25" t="str">
        <f>IF(AE386="","",IFERROR(INDEX($AO$11:$AO$4010,MATCH(376,$AZ$11:$AZ$4010,0)),""))</f>
        <v/>
      </c>
      <c r="AH386" s="24" t="str">
        <f>IF(AE386="","",IFERROR(INDEX($AQ$11:$AQ$4010,MATCH(376,$AZ$11:$AZ$4010,0)),""))</f>
        <v/>
      </c>
      <c r="AI386" s="29" t="str">
        <f>IF(AE386="","",IFERROR(INDEX($AR$11:$AR$4010,MATCH(376,$AZ$11:$AZ$4010,0)),""))</f>
        <v/>
      </c>
      <c r="AJ386" s="29" t="str">
        <f>IF(AE386="","",IFERROR(INDEX($AT$11:$AT$4010,MATCH(376,$AZ$11:$AZ$4010,0)),""))</f>
        <v/>
      </c>
      <c r="AL386" s="31" t="str">
        <f t="shared" si="73"/>
        <v/>
      </c>
      <c r="AM386" s="26" t="str">
        <f t="shared" si="74"/>
        <v/>
      </c>
      <c r="AN386" s="32" t="str">
        <f t="shared" si="75"/>
        <v/>
      </c>
      <c r="AO386" s="32" t="str">
        <f t="shared" si="76"/>
        <v/>
      </c>
      <c r="AP386" s="24" t="str">
        <f t="shared" si="77"/>
        <v/>
      </c>
      <c r="AQ386" s="24" t="str">
        <f t="shared" si="78"/>
        <v/>
      </c>
      <c r="AR386" s="33" t="str">
        <f t="shared" si="79"/>
        <v/>
      </c>
      <c r="AS386" s="34"/>
      <c r="AT386" s="33"/>
      <c r="AV386" s="21">
        <f>IF(AND($AL386&lt;&gt;"",COUNTIF($AL$11:$AL386,$AL386)=1),1,0)</f>
        <v>0</v>
      </c>
      <c r="AW386" s="21">
        <f t="shared" si="81"/>
        <v>0</v>
      </c>
      <c r="AX386" s="21" t="str">
        <f t="shared" si="80"/>
        <v/>
      </c>
      <c r="AY386" s="21" t="str">
        <f>IF(AND($AM386&lt;&gt;"",$AS386&lt;&gt;"✓"),SUMPRODUCT(($AM$11:$AM386&lt;&gt;"")*($AS$11:$AS386&lt;&gt;"✓")),"")</f>
        <v/>
      </c>
      <c r="AZ386" s="21" t="str">
        <f>IF(AND($AM386&lt;&gt;"",$AS386="✓"),SUMPRODUCT(($AM$11:$AM386&lt;&gt;"")*($AS$11:$AS386="✓")),"")</f>
        <v/>
      </c>
      <c r="BA386" s="21" t="str">
        <f>IF($AL386="","",$AL386&amp;"|"&amp;COUNTIF($AL$11:$AL386,$AL386))</f>
        <v/>
      </c>
    </row>
    <row r="387" spans="2:53" ht="15" customHeight="1" x14ac:dyDescent="0.25">
      <c r="B387" s="5" t="str">
        <f t="shared" si="72"/>
        <v/>
      </c>
      <c r="C387" s="5"/>
      <c r="D387" s="5"/>
      <c r="E387" s="5"/>
      <c r="F387" s="6"/>
      <c r="G387" s="6"/>
      <c r="H387" s="7"/>
      <c r="I387" s="8"/>
      <c r="W387" s="14" t="str">
        <f>IF(X387="","",IFERROR(INDEX($AL$11:$AL$4010,MATCH(377,$AY$11:$AY$4010,0)),""))</f>
        <v/>
      </c>
      <c r="X387" s="12" t="str">
        <f>IFERROR(INDEX($AM$11:$AM$4010,MATCH(377,$AY$11:$AY$4010,0)),"")</f>
        <v/>
      </c>
      <c r="Y387" s="11" t="str">
        <f>IF(X387="","",IFERROR(INDEX($AN$11:$AN$4010,MATCH(377,$AY$11:$AY$4010,0)),""))</f>
        <v/>
      </c>
      <c r="Z387" s="11" t="str">
        <f>IF(X387="","",IFERROR(INDEX($AO$11:$AO$4010,MATCH(377,$AY$11:$AY$4010,0)),""))</f>
        <v/>
      </c>
      <c r="AA387" s="10" t="str">
        <f>IF(X387="","",IFERROR(INDEX($AQ$11:$AQ$4010,MATCH(377,$AY$11:$AY$4010,0)),""))</f>
        <v/>
      </c>
      <c r="AB387" s="15" t="str">
        <f>IF(X387="","",IFERROR(INDEX($AR$11:$AR$4010,MATCH(377,$AY$11:$AY$4010,0)),""))</f>
        <v/>
      </c>
      <c r="AD387" s="16" t="str">
        <f>IF(AE387="","",IFERROR(INDEX($AL$11:$AL$4010,MATCH(377,$AZ$11:$AZ$4010,0)),""))</f>
        <v/>
      </c>
      <c r="AE387" s="12" t="str">
        <f>IFERROR(INDEX($AM$11:$AM$4010,MATCH(377,$AZ$11:$AZ$4010,0)),"")</f>
        <v/>
      </c>
      <c r="AF387" s="11" t="str">
        <f>IF(AE387="","",IFERROR(INDEX($AN$11:$AN$4010,MATCH(377,$AZ$11:$AZ$4010,0)),""))</f>
        <v/>
      </c>
      <c r="AG387" s="11" t="str">
        <f>IF(AE387="","",IFERROR(INDEX($AO$11:$AO$4010,MATCH(377,$AZ$11:$AZ$4010,0)),""))</f>
        <v/>
      </c>
      <c r="AH387" s="10" t="str">
        <f>IF(AE387="","",IFERROR(INDEX($AQ$11:$AQ$4010,MATCH(377,$AZ$11:$AZ$4010,0)),""))</f>
        <v/>
      </c>
      <c r="AI387" s="15" t="str">
        <f>IF(AE387="","",IFERROR(INDEX($AR$11:$AR$4010,MATCH(377,$AZ$11:$AZ$4010,0)),""))</f>
        <v/>
      </c>
      <c r="AJ387" s="15" t="str">
        <f>IF(AE387="","",IFERROR(INDEX($AT$11:$AT$4010,MATCH(377,$AZ$11:$AZ$4010,0)),""))</f>
        <v/>
      </c>
      <c r="AL387" s="17" t="str">
        <f t="shared" si="73"/>
        <v/>
      </c>
      <c r="AM387" s="12" t="str">
        <f t="shared" si="74"/>
        <v/>
      </c>
      <c r="AN387" s="18" t="str">
        <f t="shared" si="75"/>
        <v/>
      </c>
      <c r="AO387" s="18" t="str">
        <f t="shared" si="76"/>
        <v/>
      </c>
      <c r="AP387" s="10" t="str">
        <f t="shared" si="77"/>
        <v/>
      </c>
      <c r="AQ387" s="10" t="str">
        <f t="shared" si="78"/>
        <v/>
      </c>
      <c r="AR387" s="19" t="str">
        <f t="shared" si="79"/>
        <v/>
      </c>
      <c r="AS387" s="20"/>
      <c r="AT387" s="19"/>
      <c r="AV387" s="21">
        <f>IF(AND($AL387&lt;&gt;"",COUNTIF($AL$11:$AL387,$AL387)=1),1,0)</f>
        <v>0</v>
      </c>
      <c r="AW387" s="21">
        <f t="shared" si="81"/>
        <v>0</v>
      </c>
      <c r="AX387" s="21" t="str">
        <f t="shared" si="80"/>
        <v/>
      </c>
      <c r="AY387" s="21" t="str">
        <f>IF(AND($AM387&lt;&gt;"",$AS387&lt;&gt;"✓"),SUMPRODUCT(($AM$11:$AM387&lt;&gt;"")*($AS$11:$AS387&lt;&gt;"✓")),"")</f>
        <v/>
      </c>
      <c r="AZ387" s="21" t="str">
        <f>IF(AND($AM387&lt;&gt;"",$AS387="✓"),SUMPRODUCT(($AM$11:$AM387&lt;&gt;"")*($AS$11:$AS387="✓")),"")</f>
        <v/>
      </c>
      <c r="BA387" s="21" t="str">
        <f>IF($AL387="","",$AL387&amp;"|"&amp;COUNTIF($AL$11:$AL387,$AL387))</f>
        <v/>
      </c>
    </row>
    <row r="388" spans="2:53" ht="15" customHeight="1" x14ac:dyDescent="0.25">
      <c r="B388" s="5" t="str">
        <f t="shared" si="72"/>
        <v/>
      </c>
      <c r="C388" s="5"/>
      <c r="D388" s="5"/>
      <c r="E388" s="5"/>
      <c r="F388" s="6"/>
      <c r="G388" s="6"/>
      <c r="H388" s="7"/>
      <c r="I388" s="8"/>
      <c r="W388" s="28" t="str">
        <f>IF(X388="","",IFERROR(INDEX($AL$11:$AL$4010,MATCH(378,$AY$11:$AY$4010,0)),""))</f>
        <v/>
      </c>
      <c r="X388" s="26" t="str">
        <f>IFERROR(INDEX($AM$11:$AM$4010,MATCH(378,$AY$11:$AY$4010,0)),"")</f>
        <v/>
      </c>
      <c r="Y388" s="25" t="str">
        <f>IF(X388="","",IFERROR(INDEX($AN$11:$AN$4010,MATCH(378,$AY$11:$AY$4010,0)),""))</f>
        <v/>
      </c>
      <c r="Z388" s="25" t="str">
        <f>IF(X388="","",IFERROR(INDEX($AO$11:$AO$4010,MATCH(378,$AY$11:$AY$4010,0)),""))</f>
        <v/>
      </c>
      <c r="AA388" s="24" t="str">
        <f>IF(X388="","",IFERROR(INDEX($AQ$11:$AQ$4010,MATCH(378,$AY$11:$AY$4010,0)),""))</f>
        <v/>
      </c>
      <c r="AB388" s="29" t="str">
        <f>IF(X388="","",IFERROR(INDEX($AR$11:$AR$4010,MATCH(378,$AY$11:$AY$4010,0)),""))</f>
        <v/>
      </c>
      <c r="AD388" s="30" t="str">
        <f>IF(AE388="","",IFERROR(INDEX($AL$11:$AL$4010,MATCH(378,$AZ$11:$AZ$4010,0)),""))</f>
        <v/>
      </c>
      <c r="AE388" s="26" t="str">
        <f>IFERROR(INDEX($AM$11:$AM$4010,MATCH(378,$AZ$11:$AZ$4010,0)),"")</f>
        <v/>
      </c>
      <c r="AF388" s="25" t="str">
        <f>IF(AE388="","",IFERROR(INDEX($AN$11:$AN$4010,MATCH(378,$AZ$11:$AZ$4010,0)),""))</f>
        <v/>
      </c>
      <c r="AG388" s="25" t="str">
        <f>IF(AE388="","",IFERROR(INDEX($AO$11:$AO$4010,MATCH(378,$AZ$11:$AZ$4010,0)),""))</f>
        <v/>
      </c>
      <c r="AH388" s="24" t="str">
        <f>IF(AE388="","",IFERROR(INDEX($AQ$11:$AQ$4010,MATCH(378,$AZ$11:$AZ$4010,0)),""))</f>
        <v/>
      </c>
      <c r="AI388" s="29" t="str">
        <f>IF(AE388="","",IFERROR(INDEX($AR$11:$AR$4010,MATCH(378,$AZ$11:$AZ$4010,0)),""))</f>
        <v/>
      </c>
      <c r="AJ388" s="29" t="str">
        <f>IF(AE388="","",IFERROR(INDEX($AT$11:$AT$4010,MATCH(378,$AZ$11:$AZ$4010,0)),""))</f>
        <v/>
      </c>
      <c r="AL388" s="31" t="str">
        <f t="shared" si="73"/>
        <v/>
      </c>
      <c r="AM388" s="26" t="str">
        <f t="shared" si="74"/>
        <v/>
      </c>
      <c r="AN388" s="32" t="str">
        <f t="shared" si="75"/>
        <v/>
      </c>
      <c r="AO388" s="32" t="str">
        <f t="shared" si="76"/>
        <v/>
      </c>
      <c r="AP388" s="24" t="str">
        <f t="shared" si="77"/>
        <v/>
      </c>
      <c r="AQ388" s="24" t="str">
        <f t="shared" si="78"/>
        <v/>
      </c>
      <c r="AR388" s="33" t="str">
        <f t="shared" si="79"/>
        <v/>
      </c>
      <c r="AS388" s="34"/>
      <c r="AT388" s="33"/>
      <c r="AV388" s="21">
        <f>IF(AND($AL388&lt;&gt;"",COUNTIF($AL$11:$AL388,$AL388)=1),1,0)</f>
        <v>0</v>
      </c>
      <c r="AW388" s="21">
        <f t="shared" si="81"/>
        <v>0</v>
      </c>
      <c r="AX388" s="21" t="str">
        <f t="shared" si="80"/>
        <v/>
      </c>
      <c r="AY388" s="21" t="str">
        <f>IF(AND($AM388&lt;&gt;"",$AS388&lt;&gt;"✓"),SUMPRODUCT(($AM$11:$AM388&lt;&gt;"")*($AS$11:$AS388&lt;&gt;"✓")),"")</f>
        <v/>
      </c>
      <c r="AZ388" s="21" t="str">
        <f>IF(AND($AM388&lt;&gt;"",$AS388="✓"),SUMPRODUCT(($AM$11:$AM388&lt;&gt;"")*($AS$11:$AS388="✓")),"")</f>
        <v/>
      </c>
      <c r="BA388" s="21" t="str">
        <f>IF($AL388="","",$AL388&amp;"|"&amp;COUNTIF($AL$11:$AL388,$AL388))</f>
        <v/>
      </c>
    </row>
    <row r="389" spans="2:53" ht="15" customHeight="1" x14ac:dyDescent="0.25">
      <c r="B389" s="5" t="str">
        <f t="shared" si="72"/>
        <v/>
      </c>
      <c r="C389" s="5"/>
      <c r="D389" s="5"/>
      <c r="E389" s="5"/>
      <c r="F389" s="6"/>
      <c r="G389" s="6"/>
      <c r="H389" s="7"/>
      <c r="I389" s="8"/>
      <c r="W389" s="14" t="str">
        <f>IF(X389="","",IFERROR(INDEX($AL$11:$AL$4010,MATCH(379,$AY$11:$AY$4010,0)),""))</f>
        <v/>
      </c>
      <c r="X389" s="12" t="str">
        <f>IFERROR(INDEX($AM$11:$AM$4010,MATCH(379,$AY$11:$AY$4010,0)),"")</f>
        <v/>
      </c>
      <c r="Y389" s="11" t="str">
        <f>IF(X389="","",IFERROR(INDEX($AN$11:$AN$4010,MATCH(379,$AY$11:$AY$4010,0)),""))</f>
        <v/>
      </c>
      <c r="Z389" s="11" t="str">
        <f>IF(X389="","",IFERROR(INDEX($AO$11:$AO$4010,MATCH(379,$AY$11:$AY$4010,0)),""))</f>
        <v/>
      </c>
      <c r="AA389" s="10" t="str">
        <f>IF(X389="","",IFERROR(INDEX($AQ$11:$AQ$4010,MATCH(379,$AY$11:$AY$4010,0)),""))</f>
        <v/>
      </c>
      <c r="AB389" s="15" t="str">
        <f>IF(X389="","",IFERROR(INDEX($AR$11:$AR$4010,MATCH(379,$AY$11:$AY$4010,0)),""))</f>
        <v/>
      </c>
      <c r="AD389" s="16" t="str">
        <f>IF(AE389="","",IFERROR(INDEX($AL$11:$AL$4010,MATCH(379,$AZ$11:$AZ$4010,0)),""))</f>
        <v/>
      </c>
      <c r="AE389" s="12" t="str">
        <f>IFERROR(INDEX($AM$11:$AM$4010,MATCH(379,$AZ$11:$AZ$4010,0)),"")</f>
        <v/>
      </c>
      <c r="AF389" s="11" t="str">
        <f>IF(AE389="","",IFERROR(INDEX($AN$11:$AN$4010,MATCH(379,$AZ$11:$AZ$4010,0)),""))</f>
        <v/>
      </c>
      <c r="AG389" s="11" t="str">
        <f>IF(AE389="","",IFERROR(INDEX($AO$11:$AO$4010,MATCH(379,$AZ$11:$AZ$4010,0)),""))</f>
        <v/>
      </c>
      <c r="AH389" s="10" t="str">
        <f>IF(AE389="","",IFERROR(INDEX($AQ$11:$AQ$4010,MATCH(379,$AZ$11:$AZ$4010,0)),""))</f>
        <v/>
      </c>
      <c r="AI389" s="15" t="str">
        <f>IF(AE389="","",IFERROR(INDEX($AR$11:$AR$4010,MATCH(379,$AZ$11:$AZ$4010,0)),""))</f>
        <v/>
      </c>
      <c r="AJ389" s="15" t="str">
        <f>IF(AE389="","",IFERROR(INDEX($AT$11:$AT$4010,MATCH(379,$AZ$11:$AZ$4010,0)),""))</f>
        <v/>
      </c>
      <c r="AL389" s="17" t="str">
        <f t="shared" si="73"/>
        <v/>
      </c>
      <c r="AM389" s="12" t="str">
        <f t="shared" si="74"/>
        <v/>
      </c>
      <c r="AN389" s="18" t="str">
        <f t="shared" si="75"/>
        <v/>
      </c>
      <c r="AO389" s="18" t="str">
        <f t="shared" si="76"/>
        <v/>
      </c>
      <c r="AP389" s="10" t="str">
        <f t="shared" si="77"/>
        <v/>
      </c>
      <c r="AQ389" s="10" t="str">
        <f t="shared" si="78"/>
        <v/>
      </c>
      <c r="AR389" s="19" t="str">
        <f t="shared" si="79"/>
        <v/>
      </c>
      <c r="AS389" s="20"/>
      <c r="AT389" s="19"/>
      <c r="AV389" s="21">
        <f>IF(AND($AL389&lt;&gt;"",COUNTIF($AL$11:$AL389,$AL389)=1),1,0)</f>
        <v>0</v>
      </c>
      <c r="AW389" s="21">
        <f t="shared" si="81"/>
        <v>0</v>
      </c>
      <c r="AX389" s="21" t="str">
        <f t="shared" si="80"/>
        <v/>
      </c>
      <c r="AY389" s="21" t="str">
        <f>IF(AND($AM389&lt;&gt;"",$AS389&lt;&gt;"✓"),SUMPRODUCT(($AM$11:$AM389&lt;&gt;"")*($AS$11:$AS389&lt;&gt;"✓")),"")</f>
        <v/>
      </c>
      <c r="AZ389" s="21" t="str">
        <f>IF(AND($AM389&lt;&gt;"",$AS389="✓"),SUMPRODUCT(($AM$11:$AM389&lt;&gt;"")*($AS$11:$AS389="✓")),"")</f>
        <v/>
      </c>
      <c r="BA389" s="21" t="str">
        <f>IF($AL389="","",$AL389&amp;"|"&amp;COUNTIF($AL$11:$AL389,$AL389))</f>
        <v/>
      </c>
    </row>
    <row r="390" spans="2:53" ht="15" customHeight="1" x14ac:dyDescent="0.25">
      <c r="B390" s="5" t="str">
        <f t="shared" si="72"/>
        <v/>
      </c>
      <c r="C390" s="5"/>
      <c r="D390" s="5"/>
      <c r="E390" s="5"/>
      <c r="F390" s="6"/>
      <c r="G390" s="6"/>
      <c r="H390" s="7"/>
      <c r="I390" s="8"/>
      <c r="W390" s="28" t="str">
        <f>IF(X390="","",IFERROR(INDEX($AL$11:$AL$4010,MATCH(380,$AY$11:$AY$4010,0)),""))</f>
        <v/>
      </c>
      <c r="X390" s="26" t="str">
        <f>IFERROR(INDEX($AM$11:$AM$4010,MATCH(380,$AY$11:$AY$4010,0)),"")</f>
        <v/>
      </c>
      <c r="Y390" s="25" t="str">
        <f>IF(X390="","",IFERROR(INDEX($AN$11:$AN$4010,MATCH(380,$AY$11:$AY$4010,0)),""))</f>
        <v/>
      </c>
      <c r="Z390" s="25" t="str">
        <f>IF(X390="","",IFERROR(INDEX($AO$11:$AO$4010,MATCH(380,$AY$11:$AY$4010,0)),""))</f>
        <v/>
      </c>
      <c r="AA390" s="24" t="str">
        <f>IF(X390="","",IFERROR(INDEX($AQ$11:$AQ$4010,MATCH(380,$AY$11:$AY$4010,0)),""))</f>
        <v/>
      </c>
      <c r="AB390" s="29" t="str">
        <f>IF(X390="","",IFERROR(INDEX($AR$11:$AR$4010,MATCH(380,$AY$11:$AY$4010,0)),""))</f>
        <v/>
      </c>
      <c r="AD390" s="30" t="str">
        <f>IF(AE390="","",IFERROR(INDEX($AL$11:$AL$4010,MATCH(380,$AZ$11:$AZ$4010,0)),""))</f>
        <v/>
      </c>
      <c r="AE390" s="26" t="str">
        <f>IFERROR(INDEX($AM$11:$AM$4010,MATCH(380,$AZ$11:$AZ$4010,0)),"")</f>
        <v/>
      </c>
      <c r="AF390" s="25" t="str">
        <f>IF(AE390="","",IFERROR(INDEX($AN$11:$AN$4010,MATCH(380,$AZ$11:$AZ$4010,0)),""))</f>
        <v/>
      </c>
      <c r="AG390" s="25" t="str">
        <f>IF(AE390="","",IFERROR(INDEX($AO$11:$AO$4010,MATCH(380,$AZ$11:$AZ$4010,0)),""))</f>
        <v/>
      </c>
      <c r="AH390" s="24" t="str">
        <f>IF(AE390="","",IFERROR(INDEX($AQ$11:$AQ$4010,MATCH(380,$AZ$11:$AZ$4010,0)),""))</f>
        <v/>
      </c>
      <c r="AI390" s="29" t="str">
        <f>IF(AE390="","",IFERROR(INDEX($AR$11:$AR$4010,MATCH(380,$AZ$11:$AZ$4010,0)),""))</f>
        <v/>
      </c>
      <c r="AJ390" s="29" t="str">
        <f>IF(AE390="","",IFERROR(INDEX($AT$11:$AT$4010,MATCH(380,$AZ$11:$AZ$4010,0)),""))</f>
        <v/>
      </c>
      <c r="AL390" s="31" t="str">
        <f t="shared" si="73"/>
        <v/>
      </c>
      <c r="AM390" s="26" t="str">
        <f t="shared" si="74"/>
        <v/>
      </c>
      <c r="AN390" s="32" t="str">
        <f t="shared" si="75"/>
        <v/>
      </c>
      <c r="AO390" s="32" t="str">
        <f t="shared" si="76"/>
        <v/>
      </c>
      <c r="AP390" s="24" t="str">
        <f t="shared" si="77"/>
        <v/>
      </c>
      <c r="AQ390" s="24" t="str">
        <f t="shared" si="78"/>
        <v/>
      </c>
      <c r="AR390" s="33" t="str">
        <f t="shared" si="79"/>
        <v/>
      </c>
      <c r="AS390" s="34"/>
      <c r="AT390" s="33"/>
      <c r="AV390" s="21">
        <f>IF(AND($AL390&lt;&gt;"",COUNTIF($AL$11:$AL390,$AL390)=1),1,0)</f>
        <v>0</v>
      </c>
      <c r="AW390" s="21">
        <f t="shared" si="81"/>
        <v>0</v>
      </c>
      <c r="AX390" s="21" t="str">
        <f t="shared" si="80"/>
        <v/>
      </c>
      <c r="AY390" s="21" t="str">
        <f>IF(AND($AM390&lt;&gt;"",$AS390&lt;&gt;"✓"),SUMPRODUCT(($AM$11:$AM390&lt;&gt;"")*($AS$11:$AS390&lt;&gt;"✓")),"")</f>
        <v/>
      </c>
      <c r="AZ390" s="21" t="str">
        <f>IF(AND($AM390&lt;&gt;"",$AS390="✓"),SUMPRODUCT(($AM$11:$AM390&lt;&gt;"")*($AS$11:$AS390="✓")),"")</f>
        <v/>
      </c>
      <c r="BA390" s="21" t="str">
        <f>IF($AL390="","",$AL390&amp;"|"&amp;COUNTIF($AL$11:$AL390,$AL390))</f>
        <v/>
      </c>
    </row>
    <row r="391" spans="2:53" ht="15" customHeight="1" x14ac:dyDescent="0.25">
      <c r="B391" s="5" t="str">
        <f t="shared" si="72"/>
        <v/>
      </c>
      <c r="C391" s="5"/>
      <c r="D391" s="5"/>
      <c r="E391" s="5"/>
      <c r="F391" s="6"/>
      <c r="G391" s="6"/>
      <c r="H391" s="7"/>
      <c r="I391" s="8"/>
      <c r="W391" s="14" t="str">
        <f>IF(X391="","",IFERROR(INDEX($AL$11:$AL$4010,MATCH(381,$AY$11:$AY$4010,0)),""))</f>
        <v/>
      </c>
      <c r="X391" s="12" t="str">
        <f>IFERROR(INDEX($AM$11:$AM$4010,MATCH(381,$AY$11:$AY$4010,0)),"")</f>
        <v/>
      </c>
      <c r="Y391" s="11" t="str">
        <f>IF(X391="","",IFERROR(INDEX($AN$11:$AN$4010,MATCH(381,$AY$11:$AY$4010,0)),""))</f>
        <v/>
      </c>
      <c r="Z391" s="11" t="str">
        <f>IF(X391="","",IFERROR(INDEX($AO$11:$AO$4010,MATCH(381,$AY$11:$AY$4010,0)),""))</f>
        <v/>
      </c>
      <c r="AA391" s="10" t="str">
        <f>IF(X391="","",IFERROR(INDEX($AQ$11:$AQ$4010,MATCH(381,$AY$11:$AY$4010,0)),""))</f>
        <v/>
      </c>
      <c r="AB391" s="15" t="str">
        <f>IF(X391="","",IFERROR(INDEX($AR$11:$AR$4010,MATCH(381,$AY$11:$AY$4010,0)),""))</f>
        <v/>
      </c>
      <c r="AD391" s="16" t="str">
        <f>IF(AE391="","",IFERROR(INDEX($AL$11:$AL$4010,MATCH(381,$AZ$11:$AZ$4010,0)),""))</f>
        <v/>
      </c>
      <c r="AE391" s="12" t="str">
        <f>IFERROR(INDEX($AM$11:$AM$4010,MATCH(381,$AZ$11:$AZ$4010,0)),"")</f>
        <v/>
      </c>
      <c r="AF391" s="11" t="str">
        <f>IF(AE391="","",IFERROR(INDEX($AN$11:$AN$4010,MATCH(381,$AZ$11:$AZ$4010,0)),""))</f>
        <v/>
      </c>
      <c r="AG391" s="11" t="str">
        <f>IF(AE391="","",IFERROR(INDEX($AO$11:$AO$4010,MATCH(381,$AZ$11:$AZ$4010,0)),""))</f>
        <v/>
      </c>
      <c r="AH391" s="10" t="str">
        <f>IF(AE391="","",IFERROR(INDEX($AQ$11:$AQ$4010,MATCH(381,$AZ$11:$AZ$4010,0)),""))</f>
        <v/>
      </c>
      <c r="AI391" s="15" t="str">
        <f>IF(AE391="","",IFERROR(INDEX($AR$11:$AR$4010,MATCH(381,$AZ$11:$AZ$4010,0)),""))</f>
        <v/>
      </c>
      <c r="AJ391" s="15" t="str">
        <f>IF(AE391="","",IFERROR(INDEX($AT$11:$AT$4010,MATCH(381,$AZ$11:$AZ$4010,0)),""))</f>
        <v/>
      </c>
      <c r="AL391" s="17" t="str">
        <f t="shared" si="73"/>
        <v/>
      </c>
      <c r="AM391" s="12" t="str">
        <f t="shared" si="74"/>
        <v/>
      </c>
      <c r="AN391" s="18" t="str">
        <f t="shared" si="75"/>
        <v/>
      </c>
      <c r="AO391" s="18" t="str">
        <f t="shared" si="76"/>
        <v/>
      </c>
      <c r="AP391" s="10" t="str">
        <f t="shared" si="77"/>
        <v/>
      </c>
      <c r="AQ391" s="10" t="str">
        <f t="shared" si="78"/>
        <v/>
      </c>
      <c r="AR391" s="19" t="str">
        <f t="shared" si="79"/>
        <v/>
      </c>
      <c r="AS391" s="20"/>
      <c r="AT391" s="19"/>
      <c r="AV391" s="21">
        <f>IF(AND($AL391&lt;&gt;"",COUNTIF($AL$11:$AL391,$AL391)=1),1,0)</f>
        <v>0</v>
      </c>
      <c r="AW391" s="21">
        <f t="shared" si="81"/>
        <v>0</v>
      </c>
      <c r="AX391" s="21" t="str">
        <f t="shared" si="80"/>
        <v/>
      </c>
      <c r="AY391" s="21" t="str">
        <f>IF(AND($AM391&lt;&gt;"",$AS391&lt;&gt;"✓"),SUMPRODUCT(($AM$11:$AM391&lt;&gt;"")*($AS$11:$AS391&lt;&gt;"✓")),"")</f>
        <v/>
      </c>
      <c r="AZ391" s="21" t="str">
        <f>IF(AND($AM391&lt;&gt;"",$AS391="✓"),SUMPRODUCT(($AM$11:$AM391&lt;&gt;"")*($AS$11:$AS391="✓")),"")</f>
        <v/>
      </c>
      <c r="BA391" s="21" t="str">
        <f>IF($AL391="","",$AL391&amp;"|"&amp;COUNTIF($AL$11:$AL391,$AL391))</f>
        <v/>
      </c>
    </row>
    <row r="392" spans="2:53" ht="15" customHeight="1" x14ac:dyDescent="0.25">
      <c r="B392" s="5" t="str">
        <f t="shared" si="72"/>
        <v/>
      </c>
      <c r="C392" s="5"/>
      <c r="D392" s="5"/>
      <c r="E392" s="5"/>
      <c r="F392" s="6"/>
      <c r="G392" s="6"/>
      <c r="H392" s="7"/>
      <c r="I392" s="8"/>
      <c r="W392" s="28" t="str">
        <f>IF(X392="","",IFERROR(INDEX($AL$11:$AL$4010,MATCH(382,$AY$11:$AY$4010,0)),""))</f>
        <v/>
      </c>
      <c r="X392" s="26" t="str">
        <f>IFERROR(INDEX($AM$11:$AM$4010,MATCH(382,$AY$11:$AY$4010,0)),"")</f>
        <v/>
      </c>
      <c r="Y392" s="25" t="str">
        <f>IF(X392="","",IFERROR(INDEX($AN$11:$AN$4010,MATCH(382,$AY$11:$AY$4010,0)),""))</f>
        <v/>
      </c>
      <c r="Z392" s="25" t="str">
        <f>IF(X392="","",IFERROR(INDEX($AO$11:$AO$4010,MATCH(382,$AY$11:$AY$4010,0)),""))</f>
        <v/>
      </c>
      <c r="AA392" s="24" t="str">
        <f>IF(X392="","",IFERROR(INDEX($AQ$11:$AQ$4010,MATCH(382,$AY$11:$AY$4010,0)),""))</f>
        <v/>
      </c>
      <c r="AB392" s="29" t="str">
        <f>IF(X392="","",IFERROR(INDEX($AR$11:$AR$4010,MATCH(382,$AY$11:$AY$4010,0)),""))</f>
        <v/>
      </c>
      <c r="AD392" s="30" t="str">
        <f>IF(AE392="","",IFERROR(INDEX($AL$11:$AL$4010,MATCH(382,$AZ$11:$AZ$4010,0)),""))</f>
        <v/>
      </c>
      <c r="AE392" s="26" t="str">
        <f>IFERROR(INDEX($AM$11:$AM$4010,MATCH(382,$AZ$11:$AZ$4010,0)),"")</f>
        <v/>
      </c>
      <c r="AF392" s="25" t="str">
        <f>IF(AE392="","",IFERROR(INDEX($AN$11:$AN$4010,MATCH(382,$AZ$11:$AZ$4010,0)),""))</f>
        <v/>
      </c>
      <c r="AG392" s="25" t="str">
        <f>IF(AE392="","",IFERROR(INDEX($AO$11:$AO$4010,MATCH(382,$AZ$11:$AZ$4010,0)),""))</f>
        <v/>
      </c>
      <c r="AH392" s="24" t="str">
        <f>IF(AE392="","",IFERROR(INDEX($AQ$11:$AQ$4010,MATCH(382,$AZ$11:$AZ$4010,0)),""))</f>
        <v/>
      </c>
      <c r="AI392" s="29" t="str">
        <f>IF(AE392="","",IFERROR(INDEX($AR$11:$AR$4010,MATCH(382,$AZ$11:$AZ$4010,0)),""))</f>
        <v/>
      </c>
      <c r="AJ392" s="29" t="str">
        <f>IF(AE392="","",IFERROR(INDEX($AT$11:$AT$4010,MATCH(382,$AZ$11:$AZ$4010,0)),""))</f>
        <v/>
      </c>
      <c r="AL392" s="31" t="str">
        <f t="shared" si="73"/>
        <v/>
      </c>
      <c r="AM392" s="26" t="str">
        <f t="shared" si="74"/>
        <v/>
      </c>
      <c r="AN392" s="32" t="str">
        <f t="shared" si="75"/>
        <v/>
      </c>
      <c r="AO392" s="32" t="str">
        <f t="shared" si="76"/>
        <v/>
      </c>
      <c r="AP392" s="24" t="str">
        <f t="shared" si="77"/>
        <v/>
      </c>
      <c r="AQ392" s="24" t="str">
        <f t="shared" si="78"/>
        <v/>
      </c>
      <c r="AR392" s="33" t="str">
        <f t="shared" si="79"/>
        <v/>
      </c>
      <c r="AS392" s="34"/>
      <c r="AT392" s="33"/>
      <c r="AV392" s="21">
        <f>IF(AND($AL392&lt;&gt;"",COUNTIF($AL$11:$AL392,$AL392)=1),1,0)</f>
        <v>0</v>
      </c>
      <c r="AW392" s="21">
        <f t="shared" si="81"/>
        <v>0</v>
      </c>
      <c r="AX392" s="21" t="str">
        <f t="shared" si="80"/>
        <v/>
      </c>
      <c r="AY392" s="21" t="str">
        <f>IF(AND($AM392&lt;&gt;"",$AS392&lt;&gt;"✓"),SUMPRODUCT(($AM$11:$AM392&lt;&gt;"")*($AS$11:$AS392&lt;&gt;"✓")),"")</f>
        <v/>
      </c>
      <c r="AZ392" s="21" t="str">
        <f>IF(AND($AM392&lt;&gt;"",$AS392="✓"),SUMPRODUCT(($AM$11:$AM392&lt;&gt;"")*($AS$11:$AS392="✓")),"")</f>
        <v/>
      </c>
      <c r="BA392" s="21" t="str">
        <f>IF($AL392="","",$AL392&amp;"|"&amp;COUNTIF($AL$11:$AL392,$AL392))</f>
        <v/>
      </c>
    </row>
    <row r="393" spans="2:53" ht="15" customHeight="1" x14ac:dyDescent="0.25">
      <c r="B393" s="5" t="str">
        <f t="shared" si="72"/>
        <v/>
      </c>
      <c r="C393" s="5"/>
      <c r="D393" s="5"/>
      <c r="E393" s="5"/>
      <c r="F393" s="6"/>
      <c r="G393" s="6"/>
      <c r="H393" s="7"/>
      <c r="I393" s="8"/>
      <c r="W393" s="14" t="str">
        <f>IF(X393="","",IFERROR(INDEX($AL$11:$AL$4010,MATCH(383,$AY$11:$AY$4010,0)),""))</f>
        <v/>
      </c>
      <c r="X393" s="12" t="str">
        <f>IFERROR(INDEX($AM$11:$AM$4010,MATCH(383,$AY$11:$AY$4010,0)),"")</f>
        <v/>
      </c>
      <c r="Y393" s="11" t="str">
        <f>IF(X393="","",IFERROR(INDEX($AN$11:$AN$4010,MATCH(383,$AY$11:$AY$4010,0)),""))</f>
        <v/>
      </c>
      <c r="Z393" s="11" t="str">
        <f>IF(X393="","",IFERROR(INDEX($AO$11:$AO$4010,MATCH(383,$AY$11:$AY$4010,0)),""))</f>
        <v/>
      </c>
      <c r="AA393" s="10" t="str">
        <f>IF(X393="","",IFERROR(INDEX($AQ$11:$AQ$4010,MATCH(383,$AY$11:$AY$4010,0)),""))</f>
        <v/>
      </c>
      <c r="AB393" s="15" t="str">
        <f>IF(X393="","",IFERROR(INDEX($AR$11:$AR$4010,MATCH(383,$AY$11:$AY$4010,0)),""))</f>
        <v/>
      </c>
      <c r="AD393" s="16" t="str">
        <f>IF(AE393="","",IFERROR(INDEX($AL$11:$AL$4010,MATCH(383,$AZ$11:$AZ$4010,0)),""))</f>
        <v/>
      </c>
      <c r="AE393" s="12" t="str">
        <f>IFERROR(INDEX($AM$11:$AM$4010,MATCH(383,$AZ$11:$AZ$4010,0)),"")</f>
        <v/>
      </c>
      <c r="AF393" s="11" t="str">
        <f>IF(AE393="","",IFERROR(INDEX($AN$11:$AN$4010,MATCH(383,$AZ$11:$AZ$4010,0)),""))</f>
        <v/>
      </c>
      <c r="AG393" s="11" t="str">
        <f>IF(AE393="","",IFERROR(INDEX($AO$11:$AO$4010,MATCH(383,$AZ$11:$AZ$4010,0)),""))</f>
        <v/>
      </c>
      <c r="AH393" s="10" t="str">
        <f>IF(AE393="","",IFERROR(INDEX($AQ$11:$AQ$4010,MATCH(383,$AZ$11:$AZ$4010,0)),""))</f>
        <v/>
      </c>
      <c r="AI393" s="15" t="str">
        <f>IF(AE393="","",IFERROR(INDEX($AR$11:$AR$4010,MATCH(383,$AZ$11:$AZ$4010,0)),""))</f>
        <v/>
      </c>
      <c r="AJ393" s="15" t="str">
        <f>IF(AE393="","",IFERROR(INDEX($AT$11:$AT$4010,MATCH(383,$AZ$11:$AZ$4010,0)),""))</f>
        <v/>
      </c>
      <c r="AL393" s="17" t="str">
        <f t="shared" si="73"/>
        <v/>
      </c>
      <c r="AM393" s="12" t="str">
        <f t="shared" si="74"/>
        <v/>
      </c>
      <c r="AN393" s="18" t="str">
        <f t="shared" si="75"/>
        <v/>
      </c>
      <c r="AO393" s="18" t="str">
        <f t="shared" si="76"/>
        <v/>
      </c>
      <c r="AP393" s="10" t="str">
        <f t="shared" si="77"/>
        <v/>
      </c>
      <c r="AQ393" s="10" t="str">
        <f t="shared" si="78"/>
        <v/>
      </c>
      <c r="AR393" s="19" t="str">
        <f t="shared" si="79"/>
        <v/>
      </c>
      <c r="AS393" s="20"/>
      <c r="AT393" s="19"/>
      <c r="AV393" s="21">
        <f>IF(AND($AL393&lt;&gt;"",COUNTIF($AL$11:$AL393,$AL393)=1),1,0)</f>
        <v>0</v>
      </c>
      <c r="AW393" s="21">
        <f t="shared" si="81"/>
        <v>0</v>
      </c>
      <c r="AX393" s="21" t="str">
        <f t="shared" si="80"/>
        <v/>
      </c>
      <c r="AY393" s="21" t="str">
        <f>IF(AND($AM393&lt;&gt;"",$AS393&lt;&gt;"✓"),SUMPRODUCT(($AM$11:$AM393&lt;&gt;"")*($AS$11:$AS393&lt;&gt;"✓")),"")</f>
        <v/>
      </c>
      <c r="AZ393" s="21" t="str">
        <f>IF(AND($AM393&lt;&gt;"",$AS393="✓"),SUMPRODUCT(($AM$11:$AM393&lt;&gt;"")*($AS$11:$AS393="✓")),"")</f>
        <v/>
      </c>
      <c r="BA393" s="21" t="str">
        <f>IF($AL393="","",$AL393&amp;"|"&amp;COUNTIF($AL$11:$AL393,$AL393))</f>
        <v/>
      </c>
    </row>
    <row r="394" spans="2:53" ht="15" customHeight="1" x14ac:dyDescent="0.25">
      <c r="B394" s="5" t="str">
        <f t="shared" si="72"/>
        <v/>
      </c>
      <c r="C394" s="5"/>
      <c r="D394" s="5"/>
      <c r="E394" s="5"/>
      <c r="F394" s="6"/>
      <c r="G394" s="6"/>
      <c r="H394" s="7"/>
      <c r="I394" s="8"/>
      <c r="W394" s="28" t="str">
        <f>IF(X394="","",IFERROR(INDEX($AL$11:$AL$4010,MATCH(384,$AY$11:$AY$4010,0)),""))</f>
        <v/>
      </c>
      <c r="X394" s="26" t="str">
        <f>IFERROR(INDEX($AM$11:$AM$4010,MATCH(384,$AY$11:$AY$4010,0)),"")</f>
        <v/>
      </c>
      <c r="Y394" s="25" t="str">
        <f>IF(X394="","",IFERROR(INDEX($AN$11:$AN$4010,MATCH(384,$AY$11:$AY$4010,0)),""))</f>
        <v/>
      </c>
      <c r="Z394" s="25" t="str">
        <f>IF(X394="","",IFERROR(INDEX($AO$11:$AO$4010,MATCH(384,$AY$11:$AY$4010,0)),""))</f>
        <v/>
      </c>
      <c r="AA394" s="24" t="str">
        <f>IF(X394="","",IFERROR(INDEX($AQ$11:$AQ$4010,MATCH(384,$AY$11:$AY$4010,0)),""))</f>
        <v/>
      </c>
      <c r="AB394" s="29" t="str">
        <f>IF(X394="","",IFERROR(INDEX($AR$11:$AR$4010,MATCH(384,$AY$11:$AY$4010,0)),""))</f>
        <v/>
      </c>
      <c r="AD394" s="30" t="str">
        <f>IF(AE394="","",IFERROR(INDEX($AL$11:$AL$4010,MATCH(384,$AZ$11:$AZ$4010,0)),""))</f>
        <v/>
      </c>
      <c r="AE394" s="26" t="str">
        <f>IFERROR(INDEX($AM$11:$AM$4010,MATCH(384,$AZ$11:$AZ$4010,0)),"")</f>
        <v/>
      </c>
      <c r="AF394" s="25" t="str">
        <f>IF(AE394="","",IFERROR(INDEX($AN$11:$AN$4010,MATCH(384,$AZ$11:$AZ$4010,0)),""))</f>
        <v/>
      </c>
      <c r="AG394" s="25" t="str">
        <f>IF(AE394="","",IFERROR(INDEX($AO$11:$AO$4010,MATCH(384,$AZ$11:$AZ$4010,0)),""))</f>
        <v/>
      </c>
      <c r="AH394" s="24" t="str">
        <f>IF(AE394="","",IFERROR(INDEX($AQ$11:$AQ$4010,MATCH(384,$AZ$11:$AZ$4010,0)),""))</f>
        <v/>
      </c>
      <c r="AI394" s="29" t="str">
        <f>IF(AE394="","",IFERROR(INDEX($AR$11:$AR$4010,MATCH(384,$AZ$11:$AZ$4010,0)),""))</f>
        <v/>
      </c>
      <c r="AJ394" s="29" t="str">
        <f>IF(AE394="","",IFERROR(INDEX($AT$11:$AT$4010,MATCH(384,$AZ$11:$AZ$4010,0)),""))</f>
        <v/>
      </c>
      <c r="AL394" s="31" t="str">
        <f t="shared" si="73"/>
        <v/>
      </c>
      <c r="AM394" s="26" t="str">
        <f t="shared" si="74"/>
        <v/>
      </c>
      <c r="AN394" s="32" t="str">
        <f t="shared" si="75"/>
        <v/>
      </c>
      <c r="AO394" s="32" t="str">
        <f t="shared" si="76"/>
        <v/>
      </c>
      <c r="AP394" s="24" t="str">
        <f t="shared" si="77"/>
        <v/>
      </c>
      <c r="AQ394" s="24" t="str">
        <f t="shared" si="78"/>
        <v/>
      </c>
      <c r="AR394" s="33" t="str">
        <f t="shared" si="79"/>
        <v/>
      </c>
      <c r="AS394" s="34"/>
      <c r="AT394" s="33"/>
      <c r="AV394" s="21">
        <f>IF(AND($AL394&lt;&gt;"",COUNTIF($AL$11:$AL394,$AL394)=1),1,0)</f>
        <v>0</v>
      </c>
      <c r="AW394" s="21">
        <f t="shared" si="81"/>
        <v>0</v>
      </c>
      <c r="AX394" s="21" t="str">
        <f t="shared" si="80"/>
        <v/>
      </c>
      <c r="AY394" s="21" t="str">
        <f>IF(AND($AM394&lt;&gt;"",$AS394&lt;&gt;"✓"),SUMPRODUCT(($AM$11:$AM394&lt;&gt;"")*($AS$11:$AS394&lt;&gt;"✓")),"")</f>
        <v/>
      </c>
      <c r="AZ394" s="21" t="str">
        <f>IF(AND($AM394&lt;&gt;"",$AS394="✓"),SUMPRODUCT(($AM$11:$AM394&lt;&gt;"")*($AS$11:$AS394="✓")),"")</f>
        <v/>
      </c>
      <c r="BA394" s="21" t="str">
        <f>IF($AL394="","",$AL394&amp;"|"&amp;COUNTIF($AL$11:$AL394,$AL394))</f>
        <v/>
      </c>
    </row>
    <row r="395" spans="2:53" ht="15" customHeight="1" x14ac:dyDescent="0.25">
      <c r="B395" s="5" t="str">
        <f t="shared" ref="B395:B458" si="82">IF($C395="","",ROW()-10)</f>
        <v/>
      </c>
      <c r="C395" s="5"/>
      <c r="D395" s="5"/>
      <c r="E395" s="5"/>
      <c r="F395" s="6"/>
      <c r="G395" s="6"/>
      <c r="H395" s="7"/>
      <c r="I395" s="8"/>
      <c r="W395" s="14" t="str">
        <f>IF(X395="","",IFERROR(INDEX($AL$11:$AL$4010,MATCH(385,$AY$11:$AY$4010,0)),""))</f>
        <v/>
      </c>
      <c r="X395" s="12" t="str">
        <f>IFERROR(INDEX($AM$11:$AM$4010,MATCH(385,$AY$11:$AY$4010,0)),"")</f>
        <v/>
      </c>
      <c r="Y395" s="11" t="str">
        <f>IF(X395="","",IFERROR(INDEX($AN$11:$AN$4010,MATCH(385,$AY$11:$AY$4010,0)),""))</f>
        <v/>
      </c>
      <c r="Z395" s="11" t="str">
        <f>IF(X395="","",IFERROR(INDEX($AO$11:$AO$4010,MATCH(385,$AY$11:$AY$4010,0)),""))</f>
        <v/>
      </c>
      <c r="AA395" s="10" t="str">
        <f>IF(X395="","",IFERROR(INDEX($AQ$11:$AQ$4010,MATCH(385,$AY$11:$AY$4010,0)),""))</f>
        <v/>
      </c>
      <c r="AB395" s="15" t="str">
        <f>IF(X395="","",IFERROR(INDEX($AR$11:$AR$4010,MATCH(385,$AY$11:$AY$4010,0)),""))</f>
        <v/>
      </c>
      <c r="AD395" s="16" t="str">
        <f>IF(AE395="","",IFERROR(INDEX($AL$11:$AL$4010,MATCH(385,$AZ$11:$AZ$4010,0)),""))</f>
        <v/>
      </c>
      <c r="AE395" s="12" t="str">
        <f>IFERROR(INDEX($AM$11:$AM$4010,MATCH(385,$AZ$11:$AZ$4010,0)),"")</f>
        <v/>
      </c>
      <c r="AF395" s="11" t="str">
        <f>IF(AE395="","",IFERROR(INDEX($AN$11:$AN$4010,MATCH(385,$AZ$11:$AZ$4010,0)),""))</f>
        <v/>
      </c>
      <c r="AG395" s="11" t="str">
        <f>IF(AE395="","",IFERROR(INDEX($AO$11:$AO$4010,MATCH(385,$AZ$11:$AZ$4010,0)),""))</f>
        <v/>
      </c>
      <c r="AH395" s="10" t="str">
        <f>IF(AE395="","",IFERROR(INDEX($AQ$11:$AQ$4010,MATCH(385,$AZ$11:$AZ$4010,0)),""))</f>
        <v/>
      </c>
      <c r="AI395" s="15" t="str">
        <f>IF(AE395="","",IFERROR(INDEX($AR$11:$AR$4010,MATCH(385,$AZ$11:$AZ$4010,0)),""))</f>
        <v/>
      </c>
      <c r="AJ395" s="15" t="str">
        <f>IF(AE395="","",IFERROR(INDEX($AT$11:$AT$4010,MATCH(385,$AZ$11:$AZ$4010,0)),""))</f>
        <v/>
      </c>
      <c r="AL395" s="17" t="str">
        <f t="shared" ref="AL395:AL458" si="83">IF($C395="","",$I395)</f>
        <v/>
      </c>
      <c r="AM395" s="12" t="str">
        <f t="shared" ref="AM395:AM458" si="84">IF($C395="","",$C395)</f>
        <v/>
      </c>
      <c r="AN395" s="18" t="str">
        <f t="shared" ref="AN395:AN458" si="85">IF($C395="","",$F395)</f>
        <v/>
      </c>
      <c r="AO395" s="18" t="str">
        <f t="shared" ref="AO395:AO458" si="86">IF($C395="","",$G395)</f>
        <v/>
      </c>
      <c r="AP395" s="10" t="str">
        <f t="shared" ref="AP395:AP458" si="87">IF($C395="","",$D395)</f>
        <v/>
      </c>
      <c r="AQ395" s="10" t="str">
        <f t="shared" ref="AQ395:AQ458" si="88">IF($C395="","",$E395)</f>
        <v/>
      </c>
      <c r="AR395" s="19" t="str">
        <f t="shared" ref="AR395:AR458" si="89">IF($C395="","",$H395)</f>
        <v/>
      </c>
      <c r="AS395" s="20"/>
      <c r="AT395" s="19"/>
      <c r="AV395" s="21">
        <f>IF(AND($AL395&lt;&gt;"",COUNTIF($AL$11:$AL395,$AL395)=1),1,0)</f>
        <v>0</v>
      </c>
      <c r="AW395" s="21">
        <f t="shared" si="81"/>
        <v>0</v>
      </c>
      <c r="AX395" s="21" t="str">
        <f t="shared" ref="AX395:AX458" si="90">IF(AV395=1,AW395,"")</f>
        <v/>
      </c>
      <c r="AY395" s="21" t="str">
        <f>IF(AND($AM395&lt;&gt;"",$AS395&lt;&gt;"✓"),SUMPRODUCT(($AM$11:$AM395&lt;&gt;"")*($AS$11:$AS395&lt;&gt;"✓")),"")</f>
        <v/>
      </c>
      <c r="AZ395" s="21" t="str">
        <f>IF(AND($AM395&lt;&gt;"",$AS395="✓"),SUMPRODUCT(($AM$11:$AM395&lt;&gt;"")*($AS$11:$AS395="✓")),"")</f>
        <v/>
      </c>
      <c r="BA395" s="21" t="str">
        <f>IF($AL395="","",$AL395&amp;"|"&amp;COUNTIF($AL$11:$AL395,$AL395))</f>
        <v/>
      </c>
    </row>
    <row r="396" spans="2:53" ht="15" customHeight="1" x14ac:dyDescent="0.25">
      <c r="B396" s="5" t="str">
        <f t="shared" si="82"/>
        <v/>
      </c>
      <c r="C396" s="5"/>
      <c r="D396" s="5"/>
      <c r="E396" s="5"/>
      <c r="F396" s="6"/>
      <c r="G396" s="6"/>
      <c r="H396" s="7"/>
      <c r="I396" s="8"/>
      <c r="W396" s="28" t="str">
        <f>IF(X396="","",IFERROR(INDEX($AL$11:$AL$4010,MATCH(386,$AY$11:$AY$4010,0)),""))</f>
        <v/>
      </c>
      <c r="X396" s="26" t="str">
        <f>IFERROR(INDEX($AM$11:$AM$4010,MATCH(386,$AY$11:$AY$4010,0)),"")</f>
        <v/>
      </c>
      <c r="Y396" s="25" t="str">
        <f>IF(X396="","",IFERROR(INDEX($AN$11:$AN$4010,MATCH(386,$AY$11:$AY$4010,0)),""))</f>
        <v/>
      </c>
      <c r="Z396" s="25" t="str">
        <f>IF(X396="","",IFERROR(INDEX($AO$11:$AO$4010,MATCH(386,$AY$11:$AY$4010,0)),""))</f>
        <v/>
      </c>
      <c r="AA396" s="24" t="str">
        <f>IF(X396="","",IFERROR(INDEX($AQ$11:$AQ$4010,MATCH(386,$AY$11:$AY$4010,0)),""))</f>
        <v/>
      </c>
      <c r="AB396" s="29" t="str">
        <f>IF(X396="","",IFERROR(INDEX($AR$11:$AR$4010,MATCH(386,$AY$11:$AY$4010,0)),""))</f>
        <v/>
      </c>
      <c r="AD396" s="30" t="str">
        <f>IF(AE396="","",IFERROR(INDEX($AL$11:$AL$4010,MATCH(386,$AZ$11:$AZ$4010,0)),""))</f>
        <v/>
      </c>
      <c r="AE396" s="26" t="str">
        <f>IFERROR(INDEX($AM$11:$AM$4010,MATCH(386,$AZ$11:$AZ$4010,0)),"")</f>
        <v/>
      </c>
      <c r="AF396" s="25" t="str">
        <f>IF(AE396="","",IFERROR(INDEX($AN$11:$AN$4010,MATCH(386,$AZ$11:$AZ$4010,0)),""))</f>
        <v/>
      </c>
      <c r="AG396" s="25" t="str">
        <f>IF(AE396="","",IFERROR(INDEX($AO$11:$AO$4010,MATCH(386,$AZ$11:$AZ$4010,0)),""))</f>
        <v/>
      </c>
      <c r="AH396" s="24" t="str">
        <f>IF(AE396="","",IFERROR(INDEX($AQ$11:$AQ$4010,MATCH(386,$AZ$11:$AZ$4010,0)),""))</f>
        <v/>
      </c>
      <c r="AI396" s="29" t="str">
        <f>IF(AE396="","",IFERROR(INDEX($AR$11:$AR$4010,MATCH(386,$AZ$11:$AZ$4010,0)),""))</f>
        <v/>
      </c>
      <c r="AJ396" s="29" t="str">
        <f>IF(AE396="","",IFERROR(INDEX($AT$11:$AT$4010,MATCH(386,$AZ$11:$AZ$4010,0)),""))</f>
        <v/>
      </c>
      <c r="AL396" s="31" t="str">
        <f t="shared" si="83"/>
        <v/>
      </c>
      <c r="AM396" s="26" t="str">
        <f t="shared" si="84"/>
        <v/>
      </c>
      <c r="AN396" s="32" t="str">
        <f t="shared" si="85"/>
        <v/>
      </c>
      <c r="AO396" s="32" t="str">
        <f t="shared" si="86"/>
        <v/>
      </c>
      <c r="AP396" s="24" t="str">
        <f t="shared" si="87"/>
        <v/>
      </c>
      <c r="AQ396" s="24" t="str">
        <f t="shared" si="88"/>
        <v/>
      </c>
      <c r="AR396" s="33" t="str">
        <f t="shared" si="89"/>
        <v/>
      </c>
      <c r="AS396" s="34"/>
      <c r="AT396" s="33"/>
      <c r="AV396" s="21">
        <f>IF(AND($AL396&lt;&gt;"",COUNTIF($AL$11:$AL396,$AL396)=1),1,0)</f>
        <v>0</v>
      </c>
      <c r="AW396" s="21">
        <f t="shared" ref="AW396:AW459" si="91">AW395+AV396</f>
        <v>0</v>
      </c>
      <c r="AX396" s="21" t="str">
        <f t="shared" si="90"/>
        <v/>
      </c>
      <c r="AY396" s="21" t="str">
        <f>IF(AND($AM396&lt;&gt;"",$AS396&lt;&gt;"✓"),SUMPRODUCT(($AM$11:$AM396&lt;&gt;"")*($AS$11:$AS396&lt;&gt;"✓")),"")</f>
        <v/>
      </c>
      <c r="AZ396" s="21" t="str">
        <f>IF(AND($AM396&lt;&gt;"",$AS396="✓"),SUMPRODUCT(($AM$11:$AM396&lt;&gt;"")*($AS$11:$AS396="✓")),"")</f>
        <v/>
      </c>
      <c r="BA396" s="21" t="str">
        <f>IF($AL396="","",$AL396&amp;"|"&amp;COUNTIF($AL$11:$AL396,$AL396))</f>
        <v/>
      </c>
    </row>
    <row r="397" spans="2:53" ht="15" customHeight="1" x14ac:dyDescent="0.25">
      <c r="B397" s="5" t="str">
        <f t="shared" si="82"/>
        <v/>
      </c>
      <c r="C397" s="5"/>
      <c r="D397" s="5"/>
      <c r="E397" s="5"/>
      <c r="F397" s="6"/>
      <c r="G397" s="6"/>
      <c r="H397" s="7"/>
      <c r="I397" s="8"/>
      <c r="W397" s="14" t="str">
        <f>IF(X397="","",IFERROR(INDEX($AL$11:$AL$4010,MATCH(387,$AY$11:$AY$4010,0)),""))</f>
        <v/>
      </c>
      <c r="X397" s="12" t="str">
        <f>IFERROR(INDEX($AM$11:$AM$4010,MATCH(387,$AY$11:$AY$4010,0)),"")</f>
        <v/>
      </c>
      <c r="Y397" s="11" t="str">
        <f>IF(X397="","",IFERROR(INDEX($AN$11:$AN$4010,MATCH(387,$AY$11:$AY$4010,0)),""))</f>
        <v/>
      </c>
      <c r="Z397" s="11" t="str">
        <f>IF(X397="","",IFERROR(INDEX($AO$11:$AO$4010,MATCH(387,$AY$11:$AY$4010,0)),""))</f>
        <v/>
      </c>
      <c r="AA397" s="10" t="str">
        <f>IF(X397="","",IFERROR(INDEX($AQ$11:$AQ$4010,MATCH(387,$AY$11:$AY$4010,0)),""))</f>
        <v/>
      </c>
      <c r="AB397" s="15" t="str">
        <f>IF(X397="","",IFERROR(INDEX($AR$11:$AR$4010,MATCH(387,$AY$11:$AY$4010,0)),""))</f>
        <v/>
      </c>
      <c r="AD397" s="16" t="str">
        <f>IF(AE397="","",IFERROR(INDEX($AL$11:$AL$4010,MATCH(387,$AZ$11:$AZ$4010,0)),""))</f>
        <v/>
      </c>
      <c r="AE397" s="12" t="str">
        <f>IFERROR(INDEX($AM$11:$AM$4010,MATCH(387,$AZ$11:$AZ$4010,0)),"")</f>
        <v/>
      </c>
      <c r="AF397" s="11" t="str">
        <f>IF(AE397="","",IFERROR(INDEX($AN$11:$AN$4010,MATCH(387,$AZ$11:$AZ$4010,0)),""))</f>
        <v/>
      </c>
      <c r="AG397" s="11" t="str">
        <f>IF(AE397="","",IFERROR(INDEX($AO$11:$AO$4010,MATCH(387,$AZ$11:$AZ$4010,0)),""))</f>
        <v/>
      </c>
      <c r="AH397" s="10" t="str">
        <f>IF(AE397="","",IFERROR(INDEX($AQ$11:$AQ$4010,MATCH(387,$AZ$11:$AZ$4010,0)),""))</f>
        <v/>
      </c>
      <c r="AI397" s="15" t="str">
        <f>IF(AE397="","",IFERROR(INDEX($AR$11:$AR$4010,MATCH(387,$AZ$11:$AZ$4010,0)),""))</f>
        <v/>
      </c>
      <c r="AJ397" s="15" t="str">
        <f>IF(AE397="","",IFERROR(INDEX($AT$11:$AT$4010,MATCH(387,$AZ$11:$AZ$4010,0)),""))</f>
        <v/>
      </c>
      <c r="AL397" s="17" t="str">
        <f t="shared" si="83"/>
        <v/>
      </c>
      <c r="AM397" s="12" t="str">
        <f t="shared" si="84"/>
        <v/>
      </c>
      <c r="AN397" s="18" t="str">
        <f t="shared" si="85"/>
        <v/>
      </c>
      <c r="AO397" s="18" t="str">
        <f t="shared" si="86"/>
        <v/>
      </c>
      <c r="AP397" s="10" t="str">
        <f t="shared" si="87"/>
        <v/>
      </c>
      <c r="AQ397" s="10" t="str">
        <f t="shared" si="88"/>
        <v/>
      </c>
      <c r="AR397" s="19" t="str">
        <f t="shared" si="89"/>
        <v/>
      </c>
      <c r="AS397" s="20"/>
      <c r="AT397" s="19"/>
      <c r="AV397" s="21">
        <f>IF(AND($AL397&lt;&gt;"",COUNTIF($AL$11:$AL397,$AL397)=1),1,0)</f>
        <v>0</v>
      </c>
      <c r="AW397" s="21">
        <f t="shared" si="91"/>
        <v>0</v>
      </c>
      <c r="AX397" s="21" t="str">
        <f t="shared" si="90"/>
        <v/>
      </c>
      <c r="AY397" s="21" t="str">
        <f>IF(AND($AM397&lt;&gt;"",$AS397&lt;&gt;"✓"),SUMPRODUCT(($AM$11:$AM397&lt;&gt;"")*($AS$11:$AS397&lt;&gt;"✓")),"")</f>
        <v/>
      </c>
      <c r="AZ397" s="21" t="str">
        <f>IF(AND($AM397&lt;&gt;"",$AS397="✓"),SUMPRODUCT(($AM$11:$AM397&lt;&gt;"")*($AS$11:$AS397="✓")),"")</f>
        <v/>
      </c>
      <c r="BA397" s="21" t="str">
        <f>IF($AL397="","",$AL397&amp;"|"&amp;COUNTIF($AL$11:$AL397,$AL397))</f>
        <v/>
      </c>
    </row>
    <row r="398" spans="2:53" ht="15" customHeight="1" x14ac:dyDescent="0.25">
      <c r="B398" s="5" t="str">
        <f t="shared" si="82"/>
        <v/>
      </c>
      <c r="C398" s="5"/>
      <c r="D398" s="5"/>
      <c r="E398" s="5"/>
      <c r="F398" s="6"/>
      <c r="G398" s="6"/>
      <c r="H398" s="7"/>
      <c r="I398" s="8"/>
      <c r="W398" s="28" t="str">
        <f>IF(X398="","",IFERROR(INDEX($AL$11:$AL$4010,MATCH(388,$AY$11:$AY$4010,0)),""))</f>
        <v/>
      </c>
      <c r="X398" s="26" t="str">
        <f>IFERROR(INDEX($AM$11:$AM$4010,MATCH(388,$AY$11:$AY$4010,0)),"")</f>
        <v/>
      </c>
      <c r="Y398" s="25" t="str">
        <f>IF(X398="","",IFERROR(INDEX($AN$11:$AN$4010,MATCH(388,$AY$11:$AY$4010,0)),""))</f>
        <v/>
      </c>
      <c r="Z398" s="25" t="str">
        <f>IF(X398="","",IFERROR(INDEX($AO$11:$AO$4010,MATCH(388,$AY$11:$AY$4010,0)),""))</f>
        <v/>
      </c>
      <c r="AA398" s="24" t="str">
        <f>IF(X398="","",IFERROR(INDEX($AQ$11:$AQ$4010,MATCH(388,$AY$11:$AY$4010,0)),""))</f>
        <v/>
      </c>
      <c r="AB398" s="29" t="str">
        <f>IF(X398="","",IFERROR(INDEX($AR$11:$AR$4010,MATCH(388,$AY$11:$AY$4010,0)),""))</f>
        <v/>
      </c>
      <c r="AD398" s="30" t="str">
        <f>IF(AE398="","",IFERROR(INDEX($AL$11:$AL$4010,MATCH(388,$AZ$11:$AZ$4010,0)),""))</f>
        <v/>
      </c>
      <c r="AE398" s="26" t="str">
        <f>IFERROR(INDEX($AM$11:$AM$4010,MATCH(388,$AZ$11:$AZ$4010,0)),"")</f>
        <v/>
      </c>
      <c r="AF398" s="25" t="str">
        <f>IF(AE398="","",IFERROR(INDEX($AN$11:$AN$4010,MATCH(388,$AZ$11:$AZ$4010,0)),""))</f>
        <v/>
      </c>
      <c r="AG398" s="25" t="str">
        <f>IF(AE398="","",IFERROR(INDEX($AO$11:$AO$4010,MATCH(388,$AZ$11:$AZ$4010,0)),""))</f>
        <v/>
      </c>
      <c r="AH398" s="24" t="str">
        <f>IF(AE398="","",IFERROR(INDEX($AQ$11:$AQ$4010,MATCH(388,$AZ$11:$AZ$4010,0)),""))</f>
        <v/>
      </c>
      <c r="AI398" s="29" t="str">
        <f>IF(AE398="","",IFERROR(INDEX($AR$11:$AR$4010,MATCH(388,$AZ$11:$AZ$4010,0)),""))</f>
        <v/>
      </c>
      <c r="AJ398" s="29" t="str">
        <f>IF(AE398="","",IFERROR(INDEX($AT$11:$AT$4010,MATCH(388,$AZ$11:$AZ$4010,0)),""))</f>
        <v/>
      </c>
      <c r="AL398" s="31" t="str">
        <f t="shared" si="83"/>
        <v/>
      </c>
      <c r="AM398" s="26" t="str">
        <f t="shared" si="84"/>
        <v/>
      </c>
      <c r="AN398" s="32" t="str">
        <f t="shared" si="85"/>
        <v/>
      </c>
      <c r="AO398" s="32" t="str">
        <f t="shared" si="86"/>
        <v/>
      </c>
      <c r="AP398" s="24" t="str">
        <f t="shared" si="87"/>
        <v/>
      </c>
      <c r="AQ398" s="24" t="str">
        <f t="shared" si="88"/>
        <v/>
      </c>
      <c r="AR398" s="33" t="str">
        <f t="shared" si="89"/>
        <v/>
      </c>
      <c r="AS398" s="34"/>
      <c r="AT398" s="33"/>
      <c r="AV398" s="21">
        <f>IF(AND($AL398&lt;&gt;"",COUNTIF($AL$11:$AL398,$AL398)=1),1,0)</f>
        <v>0</v>
      </c>
      <c r="AW398" s="21">
        <f t="shared" si="91"/>
        <v>0</v>
      </c>
      <c r="AX398" s="21" t="str">
        <f t="shared" si="90"/>
        <v/>
      </c>
      <c r="AY398" s="21" t="str">
        <f>IF(AND($AM398&lt;&gt;"",$AS398&lt;&gt;"✓"),SUMPRODUCT(($AM$11:$AM398&lt;&gt;"")*($AS$11:$AS398&lt;&gt;"✓")),"")</f>
        <v/>
      </c>
      <c r="AZ398" s="21" t="str">
        <f>IF(AND($AM398&lt;&gt;"",$AS398="✓"),SUMPRODUCT(($AM$11:$AM398&lt;&gt;"")*($AS$11:$AS398="✓")),"")</f>
        <v/>
      </c>
      <c r="BA398" s="21" t="str">
        <f>IF($AL398="","",$AL398&amp;"|"&amp;COUNTIF($AL$11:$AL398,$AL398))</f>
        <v/>
      </c>
    </row>
    <row r="399" spans="2:53" ht="15" customHeight="1" x14ac:dyDescent="0.25">
      <c r="B399" s="5" t="str">
        <f t="shared" si="82"/>
        <v/>
      </c>
      <c r="C399" s="5"/>
      <c r="D399" s="5"/>
      <c r="E399" s="5"/>
      <c r="F399" s="6"/>
      <c r="G399" s="6"/>
      <c r="H399" s="7"/>
      <c r="I399" s="8"/>
      <c r="W399" s="14" t="str">
        <f>IF(X399="","",IFERROR(INDEX($AL$11:$AL$4010,MATCH(389,$AY$11:$AY$4010,0)),""))</f>
        <v/>
      </c>
      <c r="X399" s="12" t="str">
        <f>IFERROR(INDEX($AM$11:$AM$4010,MATCH(389,$AY$11:$AY$4010,0)),"")</f>
        <v/>
      </c>
      <c r="Y399" s="11" t="str">
        <f>IF(X399="","",IFERROR(INDEX($AN$11:$AN$4010,MATCH(389,$AY$11:$AY$4010,0)),""))</f>
        <v/>
      </c>
      <c r="Z399" s="11" t="str">
        <f>IF(X399="","",IFERROR(INDEX($AO$11:$AO$4010,MATCH(389,$AY$11:$AY$4010,0)),""))</f>
        <v/>
      </c>
      <c r="AA399" s="10" t="str">
        <f>IF(X399="","",IFERROR(INDEX($AQ$11:$AQ$4010,MATCH(389,$AY$11:$AY$4010,0)),""))</f>
        <v/>
      </c>
      <c r="AB399" s="15" t="str">
        <f>IF(X399="","",IFERROR(INDEX($AR$11:$AR$4010,MATCH(389,$AY$11:$AY$4010,0)),""))</f>
        <v/>
      </c>
      <c r="AD399" s="16" t="str">
        <f>IF(AE399="","",IFERROR(INDEX($AL$11:$AL$4010,MATCH(389,$AZ$11:$AZ$4010,0)),""))</f>
        <v/>
      </c>
      <c r="AE399" s="12" t="str">
        <f>IFERROR(INDEX($AM$11:$AM$4010,MATCH(389,$AZ$11:$AZ$4010,0)),"")</f>
        <v/>
      </c>
      <c r="AF399" s="11" t="str">
        <f>IF(AE399="","",IFERROR(INDEX($AN$11:$AN$4010,MATCH(389,$AZ$11:$AZ$4010,0)),""))</f>
        <v/>
      </c>
      <c r="AG399" s="11" t="str">
        <f>IF(AE399="","",IFERROR(INDEX($AO$11:$AO$4010,MATCH(389,$AZ$11:$AZ$4010,0)),""))</f>
        <v/>
      </c>
      <c r="AH399" s="10" t="str">
        <f>IF(AE399="","",IFERROR(INDEX($AQ$11:$AQ$4010,MATCH(389,$AZ$11:$AZ$4010,0)),""))</f>
        <v/>
      </c>
      <c r="AI399" s="15" t="str">
        <f>IF(AE399="","",IFERROR(INDEX($AR$11:$AR$4010,MATCH(389,$AZ$11:$AZ$4010,0)),""))</f>
        <v/>
      </c>
      <c r="AJ399" s="15" t="str">
        <f>IF(AE399="","",IFERROR(INDEX($AT$11:$AT$4010,MATCH(389,$AZ$11:$AZ$4010,0)),""))</f>
        <v/>
      </c>
      <c r="AL399" s="17" t="str">
        <f t="shared" si="83"/>
        <v/>
      </c>
      <c r="AM399" s="12" t="str">
        <f t="shared" si="84"/>
        <v/>
      </c>
      <c r="AN399" s="18" t="str">
        <f t="shared" si="85"/>
        <v/>
      </c>
      <c r="AO399" s="18" t="str">
        <f t="shared" si="86"/>
        <v/>
      </c>
      <c r="AP399" s="10" t="str">
        <f t="shared" si="87"/>
        <v/>
      </c>
      <c r="AQ399" s="10" t="str">
        <f t="shared" si="88"/>
        <v/>
      </c>
      <c r="AR399" s="19" t="str">
        <f t="shared" si="89"/>
        <v/>
      </c>
      <c r="AS399" s="20"/>
      <c r="AT399" s="19"/>
      <c r="AV399" s="21">
        <f>IF(AND($AL399&lt;&gt;"",COUNTIF($AL$11:$AL399,$AL399)=1),1,0)</f>
        <v>0</v>
      </c>
      <c r="AW399" s="21">
        <f t="shared" si="91"/>
        <v>0</v>
      </c>
      <c r="AX399" s="21" t="str">
        <f t="shared" si="90"/>
        <v/>
      </c>
      <c r="AY399" s="21" t="str">
        <f>IF(AND($AM399&lt;&gt;"",$AS399&lt;&gt;"✓"),SUMPRODUCT(($AM$11:$AM399&lt;&gt;"")*($AS$11:$AS399&lt;&gt;"✓")),"")</f>
        <v/>
      </c>
      <c r="AZ399" s="21" t="str">
        <f>IF(AND($AM399&lt;&gt;"",$AS399="✓"),SUMPRODUCT(($AM$11:$AM399&lt;&gt;"")*($AS$11:$AS399="✓")),"")</f>
        <v/>
      </c>
      <c r="BA399" s="21" t="str">
        <f>IF($AL399="","",$AL399&amp;"|"&amp;COUNTIF($AL$11:$AL399,$AL399))</f>
        <v/>
      </c>
    </row>
    <row r="400" spans="2:53" ht="15" customHeight="1" x14ac:dyDescent="0.25">
      <c r="B400" s="5" t="str">
        <f t="shared" si="82"/>
        <v/>
      </c>
      <c r="C400" s="5"/>
      <c r="D400" s="5"/>
      <c r="E400" s="5"/>
      <c r="F400" s="6"/>
      <c r="G400" s="6"/>
      <c r="H400" s="7"/>
      <c r="I400" s="8"/>
      <c r="W400" s="28" t="str">
        <f>IF(X400="","",IFERROR(INDEX($AL$11:$AL$4010,MATCH(390,$AY$11:$AY$4010,0)),""))</f>
        <v/>
      </c>
      <c r="X400" s="26" t="str">
        <f>IFERROR(INDEX($AM$11:$AM$4010,MATCH(390,$AY$11:$AY$4010,0)),"")</f>
        <v/>
      </c>
      <c r="Y400" s="25" t="str">
        <f>IF(X400="","",IFERROR(INDEX($AN$11:$AN$4010,MATCH(390,$AY$11:$AY$4010,0)),""))</f>
        <v/>
      </c>
      <c r="Z400" s="25" t="str">
        <f>IF(X400="","",IFERROR(INDEX($AO$11:$AO$4010,MATCH(390,$AY$11:$AY$4010,0)),""))</f>
        <v/>
      </c>
      <c r="AA400" s="24" t="str">
        <f>IF(X400="","",IFERROR(INDEX($AQ$11:$AQ$4010,MATCH(390,$AY$11:$AY$4010,0)),""))</f>
        <v/>
      </c>
      <c r="AB400" s="29" t="str">
        <f>IF(X400="","",IFERROR(INDEX($AR$11:$AR$4010,MATCH(390,$AY$11:$AY$4010,0)),""))</f>
        <v/>
      </c>
      <c r="AD400" s="30" t="str">
        <f>IF(AE400="","",IFERROR(INDEX($AL$11:$AL$4010,MATCH(390,$AZ$11:$AZ$4010,0)),""))</f>
        <v/>
      </c>
      <c r="AE400" s="26" t="str">
        <f>IFERROR(INDEX($AM$11:$AM$4010,MATCH(390,$AZ$11:$AZ$4010,0)),"")</f>
        <v/>
      </c>
      <c r="AF400" s="25" t="str">
        <f>IF(AE400="","",IFERROR(INDEX($AN$11:$AN$4010,MATCH(390,$AZ$11:$AZ$4010,0)),""))</f>
        <v/>
      </c>
      <c r="AG400" s="25" t="str">
        <f>IF(AE400="","",IFERROR(INDEX($AO$11:$AO$4010,MATCH(390,$AZ$11:$AZ$4010,0)),""))</f>
        <v/>
      </c>
      <c r="AH400" s="24" t="str">
        <f>IF(AE400="","",IFERROR(INDEX($AQ$11:$AQ$4010,MATCH(390,$AZ$11:$AZ$4010,0)),""))</f>
        <v/>
      </c>
      <c r="AI400" s="29" t="str">
        <f>IF(AE400="","",IFERROR(INDEX($AR$11:$AR$4010,MATCH(390,$AZ$11:$AZ$4010,0)),""))</f>
        <v/>
      </c>
      <c r="AJ400" s="29" t="str">
        <f>IF(AE400="","",IFERROR(INDEX($AT$11:$AT$4010,MATCH(390,$AZ$11:$AZ$4010,0)),""))</f>
        <v/>
      </c>
      <c r="AL400" s="31" t="str">
        <f t="shared" si="83"/>
        <v/>
      </c>
      <c r="AM400" s="26" t="str">
        <f t="shared" si="84"/>
        <v/>
      </c>
      <c r="AN400" s="32" t="str">
        <f t="shared" si="85"/>
        <v/>
      </c>
      <c r="AO400" s="32" t="str">
        <f t="shared" si="86"/>
        <v/>
      </c>
      <c r="AP400" s="24" t="str">
        <f t="shared" si="87"/>
        <v/>
      </c>
      <c r="AQ400" s="24" t="str">
        <f t="shared" si="88"/>
        <v/>
      </c>
      <c r="AR400" s="33" t="str">
        <f t="shared" si="89"/>
        <v/>
      </c>
      <c r="AS400" s="34"/>
      <c r="AT400" s="33"/>
      <c r="AV400" s="21">
        <f>IF(AND($AL400&lt;&gt;"",COUNTIF($AL$11:$AL400,$AL400)=1),1,0)</f>
        <v>0</v>
      </c>
      <c r="AW400" s="21">
        <f t="shared" si="91"/>
        <v>0</v>
      </c>
      <c r="AX400" s="21" t="str">
        <f t="shared" si="90"/>
        <v/>
      </c>
      <c r="AY400" s="21" t="str">
        <f>IF(AND($AM400&lt;&gt;"",$AS400&lt;&gt;"✓"),SUMPRODUCT(($AM$11:$AM400&lt;&gt;"")*($AS$11:$AS400&lt;&gt;"✓")),"")</f>
        <v/>
      </c>
      <c r="AZ400" s="21" t="str">
        <f>IF(AND($AM400&lt;&gt;"",$AS400="✓"),SUMPRODUCT(($AM$11:$AM400&lt;&gt;"")*($AS$11:$AS400="✓")),"")</f>
        <v/>
      </c>
      <c r="BA400" s="21" t="str">
        <f>IF($AL400="","",$AL400&amp;"|"&amp;COUNTIF($AL$11:$AL400,$AL400))</f>
        <v/>
      </c>
    </row>
    <row r="401" spans="2:53" ht="15" customHeight="1" x14ac:dyDescent="0.25">
      <c r="B401" s="5" t="str">
        <f t="shared" si="82"/>
        <v/>
      </c>
      <c r="C401" s="5"/>
      <c r="D401" s="5"/>
      <c r="E401" s="5"/>
      <c r="F401" s="6"/>
      <c r="G401" s="6"/>
      <c r="H401" s="7"/>
      <c r="I401" s="8"/>
      <c r="W401" s="14" t="str">
        <f>IF(X401="","",IFERROR(INDEX($AL$11:$AL$4010,MATCH(391,$AY$11:$AY$4010,0)),""))</f>
        <v/>
      </c>
      <c r="X401" s="12" t="str">
        <f>IFERROR(INDEX($AM$11:$AM$4010,MATCH(391,$AY$11:$AY$4010,0)),"")</f>
        <v/>
      </c>
      <c r="Y401" s="11" t="str">
        <f>IF(X401="","",IFERROR(INDEX($AN$11:$AN$4010,MATCH(391,$AY$11:$AY$4010,0)),""))</f>
        <v/>
      </c>
      <c r="Z401" s="11" t="str">
        <f>IF(X401="","",IFERROR(INDEX($AO$11:$AO$4010,MATCH(391,$AY$11:$AY$4010,0)),""))</f>
        <v/>
      </c>
      <c r="AA401" s="10" t="str">
        <f>IF(X401="","",IFERROR(INDEX($AQ$11:$AQ$4010,MATCH(391,$AY$11:$AY$4010,0)),""))</f>
        <v/>
      </c>
      <c r="AB401" s="15" t="str">
        <f>IF(X401="","",IFERROR(INDEX($AR$11:$AR$4010,MATCH(391,$AY$11:$AY$4010,0)),""))</f>
        <v/>
      </c>
      <c r="AD401" s="16" t="str">
        <f>IF(AE401="","",IFERROR(INDEX($AL$11:$AL$4010,MATCH(391,$AZ$11:$AZ$4010,0)),""))</f>
        <v/>
      </c>
      <c r="AE401" s="12" t="str">
        <f>IFERROR(INDEX($AM$11:$AM$4010,MATCH(391,$AZ$11:$AZ$4010,0)),"")</f>
        <v/>
      </c>
      <c r="AF401" s="11" t="str">
        <f>IF(AE401="","",IFERROR(INDEX($AN$11:$AN$4010,MATCH(391,$AZ$11:$AZ$4010,0)),""))</f>
        <v/>
      </c>
      <c r="AG401" s="11" t="str">
        <f>IF(AE401="","",IFERROR(INDEX($AO$11:$AO$4010,MATCH(391,$AZ$11:$AZ$4010,0)),""))</f>
        <v/>
      </c>
      <c r="AH401" s="10" t="str">
        <f>IF(AE401="","",IFERROR(INDEX($AQ$11:$AQ$4010,MATCH(391,$AZ$11:$AZ$4010,0)),""))</f>
        <v/>
      </c>
      <c r="AI401" s="15" t="str">
        <f>IF(AE401="","",IFERROR(INDEX($AR$11:$AR$4010,MATCH(391,$AZ$11:$AZ$4010,0)),""))</f>
        <v/>
      </c>
      <c r="AJ401" s="15" t="str">
        <f>IF(AE401="","",IFERROR(INDEX($AT$11:$AT$4010,MATCH(391,$AZ$11:$AZ$4010,0)),""))</f>
        <v/>
      </c>
      <c r="AL401" s="17" t="str">
        <f t="shared" si="83"/>
        <v/>
      </c>
      <c r="AM401" s="12" t="str">
        <f t="shared" si="84"/>
        <v/>
      </c>
      <c r="AN401" s="18" t="str">
        <f t="shared" si="85"/>
        <v/>
      </c>
      <c r="AO401" s="18" t="str">
        <f t="shared" si="86"/>
        <v/>
      </c>
      <c r="AP401" s="10" t="str">
        <f t="shared" si="87"/>
        <v/>
      </c>
      <c r="AQ401" s="10" t="str">
        <f t="shared" si="88"/>
        <v/>
      </c>
      <c r="AR401" s="19" t="str">
        <f t="shared" si="89"/>
        <v/>
      </c>
      <c r="AS401" s="20"/>
      <c r="AT401" s="19"/>
      <c r="AV401" s="21">
        <f>IF(AND($AL401&lt;&gt;"",COUNTIF($AL$11:$AL401,$AL401)=1),1,0)</f>
        <v>0</v>
      </c>
      <c r="AW401" s="21">
        <f t="shared" si="91"/>
        <v>0</v>
      </c>
      <c r="AX401" s="21" t="str">
        <f t="shared" si="90"/>
        <v/>
      </c>
      <c r="AY401" s="21" t="str">
        <f>IF(AND($AM401&lt;&gt;"",$AS401&lt;&gt;"✓"),SUMPRODUCT(($AM$11:$AM401&lt;&gt;"")*($AS$11:$AS401&lt;&gt;"✓")),"")</f>
        <v/>
      </c>
      <c r="AZ401" s="21" t="str">
        <f>IF(AND($AM401&lt;&gt;"",$AS401="✓"),SUMPRODUCT(($AM$11:$AM401&lt;&gt;"")*($AS$11:$AS401="✓")),"")</f>
        <v/>
      </c>
      <c r="BA401" s="21" t="str">
        <f>IF($AL401="","",$AL401&amp;"|"&amp;COUNTIF($AL$11:$AL401,$AL401))</f>
        <v/>
      </c>
    </row>
    <row r="402" spans="2:53" ht="15" customHeight="1" x14ac:dyDescent="0.25">
      <c r="B402" s="5" t="str">
        <f t="shared" si="82"/>
        <v/>
      </c>
      <c r="C402" s="5"/>
      <c r="D402" s="5"/>
      <c r="E402" s="5"/>
      <c r="F402" s="6"/>
      <c r="G402" s="6"/>
      <c r="H402" s="7"/>
      <c r="I402" s="8"/>
      <c r="W402" s="28" t="str">
        <f>IF(X402="","",IFERROR(INDEX($AL$11:$AL$4010,MATCH(392,$AY$11:$AY$4010,0)),""))</f>
        <v/>
      </c>
      <c r="X402" s="26" t="str">
        <f>IFERROR(INDEX($AM$11:$AM$4010,MATCH(392,$AY$11:$AY$4010,0)),"")</f>
        <v/>
      </c>
      <c r="Y402" s="25" t="str">
        <f>IF(X402="","",IFERROR(INDEX($AN$11:$AN$4010,MATCH(392,$AY$11:$AY$4010,0)),""))</f>
        <v/>
      </c>
      <c r="Z402" s="25" t="str">
        <f>IF(X402="","",IFERROR(INDEX($AO$11:$AO$4010,MATCH(392,$AY$11:$AY$4010,0)),""))</f>
        <v/>
      </c>
      <c r="AA402" s="24" t="str">
        <f>IF(X402="","",IFERROR(INDEX($AQ$11:$AQ$4010,MATCH(392,$AY$11:$AY$4010,0)),""))</f>
        <v/>
      </c>
      <c r="AB402" s="29" t="str">
        <f>IF(X402="","",IFERROR(INDEX($AR$11:$AR$4010,MATCH(392,$AY$11:$AY$4010,0)),""))</f>
        <v/>
      </c>
      <c r="AD402" s="30" t="str">
        <f>IF(AE402="","",IFERROR(INDEX($AL$11:$AL$4010,MATCH(392,$AZ$11:$AZ$4010,0)),""))</f>
        <v/>
      </c>
      <c r="AE402" s="26" t="str">
        <f>IFERROR(INDEX($AM$11:$AM$4010,MATCH(392,$AZ$11:$AZ$4010,0)),"")</f>
        <v/>
      </c>
      <c r="AF402" s="25" t="str">
        <f>IF(AE402="","",IFERROR(INDEX($AN$11:$AN$4010,MATCH(392,$AZ$11:$AZ$4010,0)),""))</f>
        <v/>
      </c>
      <c r="AG402" s="25" t="str">
        <f>IF(AE402="","",IFERROR(INDEX($AO$11:$AO$4010,MATCH(392,$AZ$11:$AZ$4010,0)),""))</f>
        <v/>
      </c>
      <c r="AH402" s="24" t="str">
        <f>IF(AE402="","",IFERROR(INDEX($AQ$11:$AQ$4010,MATCH(392,$AZ$11:$AZ$4010,0)),""))</f>
        <v/>
      </c>
      <c r="AI402" s="29" t="str">
        <f>IF(AE402="","",IFERROR(INDEX($AR$11:$AR$4010,MATCH(392,$AZ$11:$AZ$4010,0)),""))</f>
        <v/>
      </c>
      <c r="AJ402" s="29" t="str">
        <f>IF(AE402="","",IFERROR(INDEX($AT$11:$AT$4010,MATCH(392,$AZ$11:$AZ$4010,0)),""))</f>
        <v/>
      </c>
      <c r="AL402" s="31" t="str">
        <f t="shared" si="83"/>
        <v/>
      </c>
      <c r="AM402" s="26" t="str">
        <f t="shared" si="84"/>
        <v/>
      </c>
      <c r="AN402" s="32" t="str">
        <f t="shared" si="85"/>
        <v/>
      </c>
      <c r="AO402" s="32" t="str">
        <f t="shared" si="86"/>
        <v/>
      </c>
      <c r="AP402" s="24" t="str">
        <f t="shared" si="87"/>
        <v/>
      </c>
      <c r="AQ402" s="24" t="str">
        <f t="shared" si="88"/>
        <v/>
      </c>
      <c r="AR402" s="33" t="str">
        <f t="shared" si="89"/>
        <v/>
      </c>
      <c r="AS402" s="34"/>
      <c r="AT402" s="33"/>
      <c r="AV402" s="21">
        <f>IF(AND($AL402&lt;&gt;"",COUNTIF($AL$11:$AL402,$AL402)=1),1,0)</f>
        <v>0</v>
      </c>
      <c r="AW402" s="21">
        <f t="shared" si="91"/>
        <v>0</v>
      </c>
      <c r="AX402" s="21" t="str">
        <f t="shared" si="90"/>
        <v/>
      </c>
      <c r="AY402" s="21" t="str">
        <f>IF(AND($AM402&lt;&gt;"",$AS402&lt;&gt;"✓"),SUMPRODUCT(($AM$11:$AM402&lt;&gt;"")*($AS$11:$AS402&lt;&gt;"✓")),"")</f>
        <v/>
      </c>
      <c r="AZ402" s="21" t="str">
        <f>IF(AND($AM402&lt;&gt;"",$AS402="✓"),SUMPRODUCT(($AM$11:$AM402&lt;&gt;"")*($AS$11:$AS402="✓")),"")</f>
        <v/>
      </c>
      <c r="BA402" s="21" t="str">
        <f>IF($AL402="","",$AL402&amp;"|"&amp;COUNTIF($AL$11:$AL402,$AL402))</f>
        <v/>
      </c>
    </row>
    <row r="403" spans="2:53" ht="15" customHeight="1" x14ac:dyDescent="0.25">
      <c r="B403" s="5" t="str">
        <f t="shared" si="82"/>
        <v/>
      </c>
      <c r="C403" s="5"/>
      <c r="D403" s="5"/>
      <c r="E403" s="5"/>
      <c r="F403" s="6"/>
      <c r="G403" s="6"/>
      <c r="H403" s="7"/>
      <c r="I403" s="8"/>
      <c r="W403" s="14" t="str">
        <f>IF(X403="","",IFERROR(INDEX($AL$11:$AL$4010,MATCH(393,$AY$11:$AY$4010,0)),""))</f>
        <v/>
      </c>
      <c r="X403" s="12" t="str">
        <f>IFERROR(INDEX($AM$11:$AM$4010,MATCH(393,$AY$11:$AY$4010,0)),"")</f>
        <v/>
      </c>
      <c r="Y403" s="11" t="str">
        <f>IF(X403="","",IFERROR(INDEX($AN$11:$AN$4010,MATCH(393,$AY$11:$AY$4010,0)),""))</f>
        <v/>
      </c>
      <c r="Z403" s="11" t="str">
        <f>IF(X403="","",IFERROR(INDEX($AO$11:$AO$4010,MATCH(393,$AY$11:$AY$4010,0)),""))</f>
        <v/>
      </c>
      <c r="AA403" s="10" t="str">
        <f>IF(X403="","",IFERROR(INDEX($AQ$11:$AQ$4010,MATCH(393,$AY$11:$AY$4010,0)),""))</f>
        <v/>
      </c>
      <c r="AB403" s="15" t="str">
        <f>IF(X403="","",IFERROR(INDEX($AR$11:$AR$4010,MATCH(393,$AY$11:$AY$4010,0)),""))</f>
        <v/>
      </c>
      <c r="AD403" s="16" t="str">
        <f>IF(AE403="","",IFERROR(INDEX($AL$11:$AL$4010,MATCH(393,$AZ$11:$AZ$4010,0)),""))</f>
        <v/>
      </c>
      <c r="AE403" s="12" t="str">
        <f>IFERROR(INDEX($AM$11:$AM$4010,MATCH(393,$AZ$11:$AZ$4010,0)),"")</f>
        <v/>
      </c>
      <c r="AF403" s="11" t="str">
        <f>IF(AE403="","",IFERROR(INDEX($AN$11:$AN$4010,MATCH(393,$AZ$11:$AZ$4010,0)),""))</f>
        <v/>
      </c>
      <c r="AG403" s="11" t="str">
        <f>IF(AE403="","",IFERROR(INDEX($AO$11:$AO$4010,MATCH(393,$AZ$11:$AZ$4010,0)),""))</f>
        <v/>
      </c>
      <c r="AH403" s="10" t="str">
        <f>IF(AE403="","",IFERROR(INDEX($AQ$11:$AQ$4010,MATCH(393,$AZ$11:$AZ$4010,0)),""))</f>
        <v/>
      </c>
      <c r="AI403" s="15" t="str">
        <f>IF(AE403="","",IFERROR(INDEX($AR$11:$AR$4010,MATCH(393,$AZ$11:$AZ$4010,0)),""))</f>
        <v/>
      </c>
      <c r="AJ403" s="15" t="str">
        <f>IF(AE403="","",IFERROR(INDEX($AT$11:$AT$4010,MATCH(393,$AZ$11:$AZ$4010,0)),""))</f>
        <v/>
      </c>
      <c r="AL403" s="17" t="str">
        <f t="shared" si="83"/>
        <v/>
      </c>
      <c r="AM403" s="12" t="str">
        <f t="shared" si="84"/>
        <v/>
      </c>
      <c r="AN403" s="18" t="str">
        <f t="shared" si="85"/>
        <v/>
      </c>
      <c r="AO403" s="18" t="str">
        <f t="shared" si="86"/>
        <v/>
      </c>
      <c r="AP403" s="10" t="str">
        <f t="shared" si="87"/>
        <v/>
      </c>
      <c r="AQ403" s="10" t="str">
        <f t="shared" si="88"/>
        <v/>
      </c>
      <c r="AR403" s="19" t="str">
        <f t="shared" si="89"/>
        <v/>
      </c>
      <c r="AS403" s="20"/>
      <c r="AT403" s="19"/>
      <c r="AV403" s="21">
        <f>IF(AND($AL403&lt;&gt;"",COUNTIF($AL$11:$AL403,$AL403)=1),1,0)</f>
        <v>0</v>
      </c>
      <c r="AW403" s="21">
        <f t="shared" si="91"/>
        <v>0</v>
      </c>
      <c r="AX403" s="21" t="str">
        <f t="shared" si="90"/>
        <v/>
      </c>
      <c r="AY403" s="21" t="str">
        <f>IF(AND($AM403&lt;&gt;"",$AS403&lt;&gt;"✓"),SUMPRODUCT(($AM$11:$AM403&lt;&gt;"")*($AS$11:$AS403&lt;&gt;"✓")),"")</f>
        <v/>
      </c>
      <c r="AZ403" s="21" t="str">
        <f>IF(AND($AM403&lt;&gt;"",$AS403="✓"),SUMPRODUCT(($AM$11:$AM403&lt;&gt;"")*($AS$11:$AS403="✓")),"")</f>
        <v/>
      </c>
      <c r="BA403" s="21" t="str">
        <f>IF($AL403="","",$AL403&amp;"|"&amp;COUNTIF($AL$11:$AL403,$AL403))</f>
        <v/>
      </c>
    </row>
    <row r="404" spans="2:53" ht="15" customHeight="1" x14ac:dyDescent="0.25">
      <c r="B404" s="5" t="str">
        <f t="shared" si="82"/>
        <v/>
      </c>
      <c r="C404" s="5"/>
      <c r="D404" s="5"/>
      <c r="E404" s="5"/>
      <c r="F404" s="6"/>
      <c r="G404" s="6"/>
      <c r="H404" s="7"/>
      <c r="I404" s="8"/>
      <c r="W404" s="28" t="str">
        <f>IF(X404="","",IFERROR(INDEX($AL$11:$AL$4010,MATCH(394,$AY$11:$AY$4010,0)),""))</f>
        <v/>
      </c>
      <c r="X404" s="26" t="str">
        <f>IFERROR(INDEX($AM$11:$AM$4010,MATCH(394,$AY$11:$AY$4010,0)),"")</f>
        <v/>
      </c>
      <c r="Y404" s="25" t="str">
        <f>IF(X404="","",IFERROR(INDEX($AN$11:$AN$4010,MATCH(394,$AY$11:$AY$4010,0)),""))</f>
        <v/>
      </c>
      <c r="Z404" s="25" t="str">
        <f>IF(X404="","",IFERROR(INDEX($AO$11:$AO$4010,MATCH(394,$AY$11:$AY$4010,0)),""))</f>
        <v/>
      </c>
      <c r="AA404" s="24" t="str">
        <f>IF(X404="","",IFERROR(INDEX($AQ$11:$AQ$4010,MATCH(394,$AY$11:$AY$4010,0)),""))</f>
        <v/>
      </c>
      <c r="AB404" s="29" t="str">
        <f>IF(X404="","",IFERROR(INDEX($AR$11:$AR$4010,MATCH(394,$AY$11:$AY$4010,0)),""))</f>
        <v/>
      </c>
      <c r="AD404" s="30" t="str">
        <f>IF(AE404="","",IFERROR(INDEX($AL$11:$AL$4010,MATCH(394,$AZ$11:$AZ$4010,0)),""))</f>
        <v/>
      </c>
      <c r="AE404" s="26" t="str">
        <f>IFERROR(INDEX($AM$11:$AM$4010,MATCH(394,$AZ$11:$AZ$4010,0)),"")</f>
        <v/>
      </c>
      <c r="AF404" s="25" t="str">
        <f>IF(AE404="","",IFERROR(INDEX($AN$11:$AN$4010,MATCH(394,$AZ$11:$AZ$4010,0)),""))</f>
        <v/>
      </c>
      <c r="AG404" s="25" t="str">
        <f>IF(AE404="","",IFERROR(INDEX($AO$11:$AO$4010,MATCH(394,$AZ$11:$AZ$4010,0)),""))</f>
        <v/>
      </c>
      <c r="AH404" s="24" t="str">
        <f>IF(AE404="","",IFERROR(INDEX($AQ$11:$AQ$4010,MATCH(394,$AZ$11:$AZ$4010,0)),""))</f>
        <v/>
      </c>
      <c r="AI404" s="29" t="str">
        <f>IF(AE404="","",IFERROR(INDEX($AR$11:$AR$4010,MATCH(394,$AZ$11:$AZ$4010,0)),""))</f>
        <v/>
      </c>
      <c r="AJ404" s="29" t="str">
        <f>IF(AE404="","",IFERROR(INDEX($AT$11:$AT$4010,MATCH(394,$AZ$11:$AZ$4010,0)),""))</f>
        <v/>
      </c>
      <c r="AL404" s="31" t="str">
        <f t="shared" si="83"/>
        <v/>
      </c>
      <c r="AM404" s="26" t="str">
        <f t="shared" si="84"/>
        <v/>
      </c>
      <c r="AN404" s="32" t="str">
        <f t="shared" si="85"/>
        <v/>
      </c>
      <c r="AO404" s="32" t="str">
        <f t="shared" si="86"/>
        <v/>
      </c>
      <c r="AP404" s="24" t="str">
        <f t="shared" si="87"/>
        <v/>
      </c>
      <c r="AQ404" s="24" t="str">
        <f t="shared" si="88"/>
        <v/>
      </c>
      <c r="AR404" s="33" t="str">
        <f t="shared" si="89"/>
        <v/>
      </c>
      <c r="AS404" s="34"/>
      <c r="AT404" s="33"/>
      <c r="AV404" s="21">
        <f>IF(AND($AL404&lt;&gt;"",COUNTIF($AL$11:$AL404,$AL404)=1),1,0)</f>
        <v>0</v>
      </c>
      <c r="AW404" s="21">
        <f t="shared" si="91"/>
        <v>0</v>
      </c>
      <c r="AX404" s="21" t="str">
        <f t="shared" si="90"/>
        <v/>
      </c>
      <c r="AY404" s="21" t="str">
        <f>IF(AND($AM404&lt;&gt;"",$AS404&lt;&gt;"✓"),SUMPRODUCT(($AM$11:$AM404&lt;&gt;"")*($AS$11:$AS404&lt;&gt;"✓")),"")</f>
        <v/>
      </c>
      <c r="AZ404" s="21" t="str">
        <f>IF(AND($AM404&lt;&gt;"",$AS404="✓"),SUMPRODUCT(($AM$11:$AM404&lt;&gt;"")*($AS$11:$AS404="✓")),"")</f>
        <v/>
      </c>
      <c r="BA404" s="21" t="str">
        <f>IF($AL404="","",$AL404&amp;"|"&amp;COUNTIF($AL$11:$AL404,$AL404))</f>
        <v/>
      </c>
    </row>
    <row r="405" spans="2:53" ht="15" customHeight="1" x14ac:dyDescent="0.25">
      <c r="B405" s="5" t="str">
        <f t="shared" si="82"/>
        <v/>
      </c>
      <c r="C405" s="5"/>
      <c r="D405" s="5"/>
      <c r="E405" s="5"/>
      <c r="F405" s="6"/>
      <c r="G405" s="6"/>
      <c r="H405" s="7"/>
      <c r="I405" s="8"/>
      <c r="W405" s="14" t="str">
        <f>IF(X405="","",IFERROR(INDEX($AL$11:$AL$4010,MATCH(395,$AY$11:$AY$4010,0)),""))</f>
        <v/>
      </c>
      <c r="X405" s="12" t="str">
        <f>IFERROR(INDEX($AM$11:$AM$4010,MATCH(395,$AY$11:$AY$4010,0)),"")</f>
        <v/>
      </c>
      <c r="Y405" s="11" t="str">
        <f>IF(X405="","",IFERROR(INDEX($AN$11:$AN$4010,MATCH(395,$AY$11:$AY$4010,0)),""))</f>
        <v/>
      </c>
      <c r="Z405" s="11" t="str">
        <f>IF(X405="","",IFERROR(INDEX($AO$11:$AO$4010,MATCH(395,$AY$11:$AY$4010,0)),""))</f>
        <v/>
      </c>
      <c r="AA405" s="10" t="str">
        <f>IF(X405="","",IFERROR(INDEX($AQ$11:$AQ$4010,MATCH(395,$AY$11:$AY$4010,0)),""))</f>
        <v/>
      </c>
      <c r="AB405" s="15" t="str">
        <f>IF(X405="","",IFERROR(INDEX($AR$11:$AR$4010,MATCH(395,$AY$11:$AY$4010,0)),""))</f>
        <v/>
      </c>
      <c r="AD405" s="16" t="str">
        <f>IF(AE405="","",IFERROR(INDEX($AL$11:$AL$4010,MATCH(395,$AZ$11:$AZ$4010,0)),""))</f>
        <v/>
      </c>
      <c r="AE405" s="12" t="str">
        <f>IFERROR(INDEX($AM$11:$AM$4010,MATCH(395,$AZ$11:$AZ$4010,0)),"")</f>
        <v/>
      </c>
      <c r="AF405" s="11" t="str">
        <f>IF(AE405="","",IFERROR(INDEX($AN$11:$AN$4010,MATCH(395,$AZ$11:$AZ$4010,0)),""))</f>
        <v/>
      </c>
      <c r="AG405" s="11" t="str">
        <f>IF(AE405="","",IFERROR(INDEX($AO$11:$AO$4010,MATCH(395,$AZ$11:$AZ$4010,0)),""))</f>
        <v/>
      </c>
      <c r="AH405" s="10" t="str">
        <f>IF(AE405="","",IFERROR(INDEX($AQ$11:$AQ$4010,MATCH(395,$AZ$11:$AZ$4010,0)),""))</f>
        <v/>
      </c>
      <c r="AI405" s="15" t="str">
        <f>IF(AE405="","",IFERROR(INDEX($AR$11:$AR$4010,MATCH(395,$AZ$11:$AZ$4010,0)),""))</f>
        <v/>
      </c>
      <c r="AJ405" s="15" t="str">
        <f>IF(AE405="","",IFERROR(INDEX($AT$11:$AT$4010,MATCH(395,$AZ$11:$AZ$4010,0)),""))</f>
        <v/>
      </c>
      <c r="AL405" s="17" t="str">
        <f t="shared" si="83"/>
        <v/>
      </c>
      <c r="AM405" s="12" t="str">
        <f t="shared" si="84"/>
        <v/>
      </c>
      <c r="AN405" s="18" t="str">
        <f t="shared" si="85"/>
        <v/>
      </c>
      <c r="AO405" s="18" t="str">
        <f t="shared" si="86"/>
        <v/>
      </c>
      <c r="AP405" s="10" t="str">
        <f t="shared" si="87"/>
        <v/>
      </c>
      <c r="AQ405" s="10" t="str">
        <f t="shared" si="88"/>
        <v/>
      </c>
      <c r="AR405" s="19" t="str">
        <f t="shared" si="89"/>
        <v/>
      </c>
      <c r="AS405" s="20"/>
      <c r="AT405" s="19"/>
      <c r="AV405" s="21">
        <f>IF(AND($AL405&lt;&gt;"",COUNTIF($AL$11:$AL405,$AL405)=1),1,0)</f>
        <v>0</v>
      </c>
      <c r="AW405" s="21">
        <f t="shared" si="91"/>
        <v>0</v>
      </c>
      <c r="AX405" s="21" t="str">
        <f t="shared" si="90"/>
        <v/>
      </c>
      <c r="AY405" s="21" t="str">
        <f>IF(AND($AM405&lt;&gt;"",$AS405&lt;&gt;"✓"),SUMPRODUCT(($AM$11:$AM405&lt;&gt;"")*($AS$11:$AS405&lt;&gt;"✓")),"")</f>
        <v/>
      </c>
      <c r="AZ405" s="21" t="str">
        <f>IF(AND($AM405&lt;&gt;"",$AS405="✓"),SUMPRODUCT(($AM$11:$AM405&lt;&gt;"")*($AS$11:$AS405="✓")),"")</f>
        <v/>
      </c>
      <c r="BA405" s="21" t="str">
        <f>IF($AL405="","",$AL405&amp;"|"&amp;COUNTIF($AL$11:$AL405,$AL405))</f>
        <v/>
      </c>
    </row>
    <row r="406" spans="2:53" ht="15" customHeight="1" x14ac:dyDescent="0.25">
      <c r="B406" s="5" t="str">
        <f t="shared" si="82"/>
        <v/>
      </c>
      <c r="C406" s="5"/>
      <c r="D406" s="5"/>
      <c r="E406" s="5"/>
      <c r="F406" s="6"/>
      <c r="G406" s="6"/>
      <c r="H406" s="7"/>
      <c r="I406" s="8"/>
      <c r="W406" s="28" t="str">
        <f>IF(X406="","",IFERROR(INDEX($AL$11:$AL$4010,MATCH(396,$AY$11:$AY$4010,0)),""))</f>
        <v/>
      </c>
      <c r="X406" s="26" t="str">
        <f>IFERROR(INDEX($AM$11:$AM$4010,MATCH(396,$AY$11:$AY$4010,0)),"")</f>
        <v/>
      </c>
      <c r="Y406" s="25" t="str">
        <f>IF(X406="","",IFERROR(INDEX($AN$11:$AN$4010,MATCH(396,$AY$11:$AY$4010,0)),""))</f>
        <v/>
      </c>
      <c r="Z406" s="25" t="str">
        <f>IF(X406="","",IFERROR(INDEX($AO$11:$AO$4010,MATCH(396,$AY$11:$AY$4010,0)),""))</f>
        <v/>
      </c>
      <c r="AA406" s="24" t="str">
        <f>IF(X406="","",IFERROR(INDEX($AQ$11:$AQ$4010,MATCH(396,$AY$11:$AY$4010,0)),""))</f>
        <v/>
      </c>
      <c r="AB406" s="29" t="str">
        <f>IF(X406="","",IFERROR(INDEX($AR$11:$AR$4010,MATCH(396,$AY$11:$AY$4010,0)),""))</f>
        <v/>
      </c>
      <c r="AD406" s="30" t="str">
        <f>IF(AE406="","",IFERROR(INDEX($AL$11:$AL$4010,MATCH(396,$AZ$11:$AZ$4010,0)),""))</f>
        <v/>
      </c>
      <c r="AE406" s="26" t="str">
        <f>IFERROR(INDEX($AM$11:$AM$4010,MATCH(396,$AZ$11:$AZ$4010,0)),"")</f>
        <v/>
      </c>
      <c r="AF406" s="25" t="str">
        <f>IF(AE406="","",IFERROR(INDEX($AN$11:$AN$4010,MATCH(396,$AZ$11:$AZ$4010,0)),""))</f>
        <v/>
      </c>
      <c r="AG406" s="25" t="str">
        <f>IF(AE406="","",IFERROR(INDEX($AO$11:$AO$4010,MATCH(396,$AZ$11:$AZ$4010,0)),""))</f>
        <v/>
      </c>
      <c r="AH406" s="24" t="str">
        <f>IF(AE406="","",IFERROR(INDEX($AQ$11:$AQ$4010,MATCH(396,$AZ$11:$AZ$4010,0)),""))</f>
        <v/>
      </c>
      <c r="AI406" s="29" t="str">
        <f>IF(AE406="","",IFERROR(INDEX($AR$11:$AR$4010,MATCH(396,$AZ$11:$AZ$4010,0)),""))</f>
        <v/>
      </c>
      <c r="AJ406" s="29" t="str">
        <f>IF(AE406="","",IFERROR(INDEX($AT$11:$AT$4010,MATCH(396,$AZ$11:$AZ$4010,0)),""))</f>
        <v/>
      </c>
      <c r="AL406" s="31" t="str">
        <f t="shared" si="83"/>
        <v/>
      </c>
      <c r="AM406" s="26" t="str">
        <f t="shared" si="84"/>
        <v/>
      </c>
      <c r="AN406" s="32" t="str">
        <f t="shared" si="85"/>
        <v/>
      </c>
      <c r="AO406" s="32" t="str">
        <f t="shared" si="86"/>
        <v/>
      </c>
      <c r="AP406" s="24" t="str">
        <f t="shared" si="87"/>
        <v/>
      </c>
      <c r="AQ406" s="24" t="str">
        <f t="shared" si="88"/>
        <v/>
      </c>
      <c r="AR406" s="33" t="str">
        <f t="shared" si="89"/>
        <v/>
      </c>
      <c r="AS406" s="34"/>
      <c r="AT406" s="33"/>
      <c r="AV406" s="21">
        <f>IF(AND($AL406&lt;&gt;"",COUNTIF($AL$11:$AL406,$AL406)=1),1,0)</f>
        <v>0</v>
      </c>
      <c r="AW406" s="21">
        <f t="shared" si="91"/>
        <v>0</v>
      </c>
      <c r="AX406" s="21" t="str">
        <f t="shared" si="90"/>
        <v/>
      </c>
      <c r="AY406" s="21" t="str">
        <f>IF(AND($AM406&lt;&gt;"",$AS406&lt;&gt;"✓"),SUMPRODUCT(($AM$11:$AM406&lt;&gt;"")*($AS$11:$AS406&lt;&gt;"✓")),"")</f>
        <v/>
      </c>
      <c r="AZ406" s="21" t="str">
        <f>IF(AND($AM406&lt;&gt;"",$AS406="✓"),SUMPRODUCT(($AM$11:$AM406&lt;&gt;"")*($AS$11:$AS406="✓")),"")</f>
        <v/>
      </c>
      <c r="BA406" s="21" t="str">
        <f>IF($AL406="","",$AL406&amp;"|"&amp;COUNTIF($AL$11:$AL406,$AL406))</f>
        <v/>
      </c>
    </row>
    <row r="407" spans="2:53" ht="15" customHeight="1" x14ac:dyDescent="0.25">
      <c r="B407" s="5" t="str">
        <f t="shared" si="82"/>
        <v/>
      </c>
      <c r="C407" s="5"/>
      <c r="D407" s="5"/>
      <c r="E407" s="5"/>
      <c r="F407" s="6"/>
      <c r="G407" s="6"/>
      <c r="H407" s="7"/>
      <c r="I407" s="8"/>
      <c r="W407" s="14" t="str">
        <f>IF(X407="","",IFERROR(INDEX($AL$11:$AL$4010,MATCH(397,$AY$11:$AY$4010,0)),""))</f>
        <v/>
      </c>
      <c r="X407" s="12" t="str">
        <f>IFERROR(INDEX($AM$11:$AM$4010,MATCH(397,$AY$11:$AY$4010,0)),"")</f>
        <v/>
      </c>
      <c r="Y407" s="11" t="str">
        <f>IF(X407="","",IFERROR(INDEX($AN$11:$AN$4010,MATCH(397,$AY$11:$AY$4010,0)),""))</f>
        <v/>
      </c>
      <c r="Z407" s="11" t="str">
        <f>IF(X407="","",IFERROR(INDEX($AO$11:$AO$4010,MATCH(397,$AY$11:$AY$4010,0)),""))</f>
        <v/>
      </c>
      <c r="AA407" s="10" t="str">
        <f>IF(X407="","",IFERROR(INDEX($AQ$11:$AQ$4010,MATCH(397,$AY$11:$AY$4010,0)),""))</f>
        <v/>
      </c>
      <c r="AB407" s="15" t="str">
        <f>IF(X407="","",IFERROR(INDEX($AR$11:$AR$4010,MATCH(397,$AY$11:$AY$4010,0)),""))</f>
        <v/>
      </c>
      <c r="AD407" s="16" t="str">
        <f>IF(AE407="","",IFERROR(INDEX($AL$11:$AL$4010,MATCH(397,$AZ$11:$AZ$4010,0)),""))</f>
        <v/>
      </c>
      <c r="AE407" s="12" t="str">
        <f>IFERROR(INDEX($AM$11:$AM$4010,MATCH(397,$AZ$11:$AZ$4010,0)),"")</f>
        <v/>
      </c>
      <c r="AF407" s="11" t="str">
        <f>IF(AE407="","",IFERROR(INDEX($AN$11:$AN$4010,MATCH(397,$AZ$11:$AZ$4010,0)),""))</f>
        <v/>
      </c>
      <c r="AG407" s="11" t="str">
        <f>IF(AE407="","",IFERROR(INDEX($AO$11:$AO$4010,MATCH(397,$AZ$11:$AZ$4010,0)),""))</f>
        <v/>
      </c>
      <c r="AH407" s="10" t="str">
        <f>IF(AE407="","",IFERROR(INDEX($AQ$11:$AQ$4010,MATCH(397,$AZ$11:$AZ$4010,0)),""))</f>
        <v/>
      </c>
      <c r="AI407" s="15" t="str">
        <f>IF(AE407="","",IFERROR(INDEX($AR$11:$AR$4010,MATCH(397,$AZ$11:$AZ$4010,0)),""))</f>
        <v/>
      </c>
      <c r="AJ407" s="15" t="str">
        <f>IF(AE407="","",IFERROR(INDEX($AT$11:$AT$4010,MATCH(397,$AZ$11:$AZ$4010,0)),""))</f>
        <v/>
      </c>
      <c r="AL407" s="17" t="str">
        <f t="shared" si="83"/>
        <v/>
      </c>
      <c r="AM407" s="12" t="str">
        <f t="shared" si="84"/>
        <v/>
      </c>
      <c r="AN407" s="18" t="str">
        <f t="shared" si="85"/>
        <v/>
      </c>
      <c r="AO407" s="18" t="str">
        <f t="shared" si="86"/>
        <v/>
      </c>
      <c r="AP407" s="10" t="str">
        <f t="shared" si="87"/>
        <v/>
      </c>
      <c r="AQ407" s="10" t="str">
        <f t="shared" si="88"/>
        <v/>
      </c>
      <c r="AR407" s="19" t="str">
        <f t="shared" si="89"/>
        <v/>
      </c>
      <c r="AS407" s="20"/>
      <c r="AT407" s="19"/>
      <c r="AV407" s="21">
        <f>IF(AND($AL407&lt;&gt;"",COUNTIF($AL$11:$AL407,$AL407)=1),1,0)</f>
        <v>0</v>
      </c>
      <c r="AW407" s="21">
        <f t="shared" si="91"/>
        <v>0</v>
      </c>
      <c r="AX407" s="21" t="str">
        <f t="shared" si="90"/>
        <v/>
      </c>
      <c r="AY407" s="21" t="str">
        <f>IF(AND($AM407&lt;&gt;"",$AS407&lt;&gt;"✓"),SUMPRODUCT(($AM$11:$AM407&lt;&gt;"")*($AS$11:$AS407&lt;&gt;"✓")),"")</f>
        <v/>
      </c>
      <c r="AZ407" s="21" t="str">
        <f>IF(AND($AM407&lt;&gt;"",$AS407="✓"),SUMPRODUCT(($AM$11:$AM407&lt;&gt;"")*($AS$11:$AS407="✓")),"")</f>
        <v/>
      </c>
      <c r="BA407" s="21" t="str">
        <f>IF($AL407="","",$AL407&amp;"|"&amp;COUNTIF($AL$11:$AL407,$AL407))</f>
        <v/>
      </c>
    </row>
    <row r="408" spans="2:53" ht="15" customHeight="1" x14ac:dyDescent="0.25">
      <c r="B408" s="5" t="str">
        <f t="shared" si="82"/>
        <v/>
      </c>
      <c r="C408" s="5"/>
      <c r="D408" s="5"/>
      <c r="E408" s="5"/>
      <c r="F408" s="6"/>
      <c r="G408" s="6"/>
      <c r="H408" s="7"/>
      <c r="I408" s="8"/>
      <c r="W408" s="28" t="str">
        <f>IF(X408="","",IFERROR(INDEX($AL$11:$AL$4010,MATCH(398,$AY$11:$AY$4010,0)),""))</f>
        <v/>
      </c>
      <c r="X408" s="26" t="str">
        <f>IFERROR(INDEX($AM$11:$AM$4010,MATCH(398,$AY$11:$AY$4010,0)),"")</f>
        <v/>
      </c>
      <c r="Y408" s="25" t="str">
        <f>IF(X408="","",IFERROR(INDEX($AN$11:$AN$4010,MATCH(398,$AY$11:$AY$4010,0)),""))</f>
        <v/>
      </c>
      <c r="Z408" s="25" t="str">
        <f>IF(X408="","",IFERROR(INDEX($AO$11:$AO$4010,MATCH(398,$AY$11:$AY$4010,0)),""))</f>
        <v/>
      </c>
      <c r="AA408" s="24" t="str">
        <f>IF(X408="","",IFERROR(INDEX($AQ$11:$AQ$4010,MATCH(398,$AY$11:$AY$4010,0)),""))</f>
        <v/>
      </c>
      <c r="AB408" s="29" t="str">
        <f>IF(X408="","",IFERROR(INDEX($AR$11:$AR$4010,MATCH(398,$AY$11:$AY$4010,0)),""))</f>
        <v/>
      </c>
      <c r="AD408" s="30" t="str">
        <f>IF(AE408="","",IFERROR(INDEX($AL$11:$AL$4010,MATCH(398,$AZ$11:$AZ$4010,0)),""))</f>
        <v/>
      </c>
      <c r="AE408" s="26" t="str">
        <f>IFERROR(INDEX($AM$11:$AM$4010,MATCH(398,$AZ$11:$AZ$4010,0)),"")</f>
        <v/>
      </c>
      <c r="AF408" s="25" t="str">
        <f>IF(AE408="","",IFERROR(INDEX($AN$11:$AN$4010,MATCH(398,$AZ$11:$AZ$4010,0)),""))</f>
        <v/>
      </c>
      <c r="AG408" s="25" t="str">
        <f>IF(AE408="","",IFERROR(INDEX($AO$11:$AO$4010,MATCH(398,$AZ$11:$AZ$4010,0)),""))</f>
        <v/>
      </c>
      <c r="AH408" s="24" t="str">
        <f>IF(AE408="","",IFERROR(INDEX($AQ$11:$AQ$4010,MATCH(398,$AZ$11:$AZ$4010,0)),""))</f>
        <v/>
      </c>
      <c r="AI408" s="29" t="str">
        <f>IF(AE408="","",IFERROR(INDEX($AR$11:$AR$4010,MATCH(398,$AZ$11:$AZ$4010,0)),""))</f>
        <v/>
      </c>
      <c r="AJ408" s="29" t="str">
        <f>IF(AE408="","",IFERROR(INDEX($AT$11:$AT$4010,MATCH(398,$AZ$11:$AZ$4010,0)),""))</f>
        <v/>
      </c>
      <c r="AL408" s="31" t="str">
        <f t="shared" si="83"/>
        <v/>
      </c>
      <c r="AM408" s="26" t="str">
        <f t="shared" si="84"/>
        <v/>
      </c>
      <c r="AN408" s="32" t="str">
        <f t="shared" si="85"/>
        <v/>
      </c>
      <c r="AO408" s="32" t="str">
        <f t="shared" si="86"/>
        <v/>
      </c>
      <c r="AP408" s="24" t="str">
        <f t="shared" si="87"/>
        <v/>
      </c>
      <c r="AQ408" s="24" t="str">
        <f t="shared" si="88"/>
        <v/>
      </c>
      <c r="AR408" s="33" t="str">
        <f t="shared" si="89"/>
        <v/>
      </c>
      <c r="AS408" s="34"/>
      <c r="AT408" s="33"/>
      <c r="AV408" s="21">
        <f>IF(AND($AL408&lt;&gt;"",COUNTIF($AL$11:$AL408,$AL408)=1),1,0)</f>
        <v>0</v>
      </c>
      <c r="AW408" s="21">
        <f t="shared" si="91"/>
        <v>0</v>
      </c>
      <c r="AX408" s="21" t="str">
        <f t="shared" si="90"/>
        <v/>
      </c>
      <c r="AY408" s="21" t="str">
        <f>IF(AND($AM408&lt;&gt;"",$AS408&lt;&gt;"✓"),SUMPRODUCT(($AM$11:$AM408&lt;&gt;"")*($AS$11:$AS408&lt;&gt;"✓")),"")</f>
        <v/>
      </c>
      <c r="AZ408" s="21" t="str">
        <f>IF(AND($AM408&lt;&gt;"",$AS408="✓"),SUMPRODUCT(($AM$11:$AM408&lt;&gt;"")*($AS$11:$AS408="✓")),"")</f>
        <v/>
      </c>
      <c r="BA408" s="21" t="str">
        <f>IF($AL408="","",$AL408&amp;"|"&amp;COUNTIF($AL$11:$AL408,$AL408))</f>
        <v/>
      </c>
    </row>
    <row r="409" spans="2:53" ht="15" customHeight="1" x14ac:dyDescent="0.25">
      <c r="B409" s="5" t="str">
        <f t="shared" si="82"/>
        <v/>
      </c>
      <c r="C409" s="5"/>
      <c r="D409" s="5"/>
      <c r="E409" s="5"/>
      <c r="F409" s="6"/>
      <c r="G409" s="6"/>
      <c r="H409" s="7"/>
      <c r="I409" s="8"/>
      <c r="W409" s="14" t="str">
        <f>IF(X409="","",IFERROR(INDEX($AL$11:$AL$4010,MATCH(399,$AY$11:$AY$4010,0)),""))</f>
        <v/>
      </c>
      <c r="X409" s="12" t="str">
        <f>IFERROR(INDEX($AM$11:$AM$4010,MATCH(399,$AY$11:$AY$4010,0)),"")</f>
        <v/>
      </c>
      <c r="Y409" s="11" t="str">
        <f>IF(X409="","",IFERROR(INDEX($AN$11:$AN$4010,MATCH(399,$AY$11:$AY$4010,0)),""))</f>
        <v/>
      </c>
      <c r="Z409" s="11" t="str">
        <f>IF(X409="","",IFERROR(INDEX($AO$11:$AO$4010,MATCH(399,$AY$11:$AY$4010,0)),""))</f>
        <v/>
      </c>
      <c r="AA409" s="10" t="str">
        <f>IF(X409="","",IFERROR(INDEX($AQ$11:$AQ$4010,MATCH(399,$AY$11:$AY$4010,0)),""))</f>
        <v/>
      </c>
      <c r="AB409" s="15" t="str">
        <f>IF(X409="","",IFERROR(INDEX($AR$11:$AR$4010,MATCH(399,$AY$11:$AY$4010,0)),""))</f>
        <v/>
      </c>
      <c r="AD409" s="16" t="str">
        <f>IF(AE409="","",IFERROR(INDEX($AL$11:$AL$4010,MATCH(399,$AZ$11:$AZ$4010,0)),""))</f>
        <v/>
      </c>
      <c r="AE409" s="12" t="str">
        <f>IFERROR(INDEX($AM$11:$AM$4010,MATCH(399,$AZ$11:$AZ$4010,0)),"")</f>
        <v/>
      </c>
      <c r="AF409" s="11" t="str">
        <f>IF(AE409="","",IFERROR(INDEX($AN$11:$AN$4010,MATCH(399,$AZ$11:$AZ$4010,0)),""))</f>
        <v/>
      </c>
      <c r="AG409" s="11" t="str">
        <f>IF(AE409="","",IFERROR(INDEX($AO$11:$AO$4010,MATCH(399,$AZ$11:$AZ$4010,0)),""))</f>
        <v/>
      </c>
      <c r="AH409" s="10" t="str">
        <f>IF(AE409="","",IFERROR(INDEX($AQ$11:$AQ$4010,MATCH(399,$AZ$11:$AZ$4010,0)),""))</f>
        <v/>
      </c>
      <c r="AI409" s="15" t="str">
        <f>IF(AE409="","",IFERROR(INDEX($AR$11:$AR$4010,MATCH(399,$AZ$11:$AZ$4010,0)),""))</f>
        <v/>
      </c>
      <c r="AJ409" s="15" t="str">
        <f>IF(AE409="","",IFERROR(INDEX($AT$11:$AT$4010,MATCH(399,$AZ$11:$AZ$4010,0)),""))</f>
        <v/>
      </c>
      <c r="AL409" s="17" t="str">
        <f t="shared" si="83"/>
        <v/>
      </c>
      <c r="AM409" s="12" t="str">
        <f t="shared" si="84"/>
        <v/>
      </c>
      <c r="AN409" s="18" t="str">
        <f t="shared" si="85"/>
        <v/>
      </c>
      <c r="AO409" s="18" t="str">
        <f t="shared" si="86"/>
        <v/>
      </c>
      <c r="AP409" s="10" t="str">
        <f t="shared" si="87"/>
        <v/>
      </c>
      <c r="AQ409" s="10" t="str">
        <f t="shared" si="88"/>
        <v/>
      </c>
      <c r="AR409" s="19" t="str">
        <f t="shared" si="89"/>
        <v/>
      </c>
      <c r="AS409" s="20"/>
      <c r="AT409" s="19"/>
      <c r="AV409" s="21">
        <f>IF(AND($AL409&lt;&gt;"",COUNTIF($AL$11:$AL409,$AL409)=1),1,0)</f>
        <v>0</v>
      </c>
      <c r="AW409" s="21">
        <f t="shared" si="91"/>
        <v>0</v>
      </c>
      <c r="AX409" s="21" t="str">
        <f t="shared" si="90"/>
        <v/>
      </c>
      <c r="AY409" s="21" t="str">
        <f>IF(AND($AM409&lt;&gt;"",$AS409&lt;&gt;"✓"),SUMPRODUCT(($AM$11:$AM409&lt;&gt;"")*($AS$11:$AS409&lt;&gt;"✓")),"")</f>
        <v/>
      </c>
      <c r="AZ409" s="21" t="str">
        <f>IF(AND($AM409&lt;&gt;"",$AS409="✓"),SUMPRODUCT(($AM$11:$AM409&lt;&gt;"")*($AS$11:$AS409="✓")),"")</f>
        <v/>
      </c>
      <c r="BA409" s="21" t="str">
        <f>IF($AL409="","",$AL409&amp;"|"&amp;COUNTIF($AL$11:$AL409,$AL409))</f>
        <v/>
      </c>
    </row>
    <row r="410" spans="2:53" ht="15" customHeight="1" x14ac:dyDescent="0.25">
      <c r="B410" s="5" t="str">
        <f t="shared" si="82"/>
        <v/>
      </c>
      <c r="C410" s="5"/>
      <c r="D410" s="5"/>
      <c r="E410" s="5"/>
      <c r="F410" s="6"/>
      <c r="G410" s="6"/>
      <c r="H410" s="7"/>
      <c r="I410" s="8"/>
      <c r="W410" s="28" t="str">
        <f>IF(X410="","",IFERROR(INDEX($AL$11:$AL$4010,MATCH(400,$AY$11:$AY$4010,0)),""))</f>
        <v/>
      </c>
      <c r="X410" s="26" t="str">
        <f>IFERROR(INDEX($AM$11:$AM$4010,MATCH(400,$AY$11:$AY$4010,0)),"")</f>
        <v/>
      </c>
      <c r="Y410" s="25" t="str">
        <f>IF(X410="","",IFERROR(INDEX($AN$11:$AN$4010,MATCH(400,$AY$11:$AY$4010,0)),""))</f>
        <v/>
      </c>
      <c r="Z410" s="25" t="str">
        <f>IF(X410="","",IFERROR(INDEX($AO$11:$AO$4010,MATCH(400,$AY$11:$AY$4010,0)),""))</f>
        <v/>
      </c>
      <c r="AA410" s="24" t="str">
        <f>IF(X410="","",IFERROR(INDEX($AQ$11:$AQ$4010,MATCH(400,$AY$11:$AY$4010,0)),""))</f>
        <v/>
      </c>
      <c r="AB410" s="29" t="str">
        <f>IF(X410="","",IFERROR(INDEX($AR$11:$AR$4010,MATCH(400,$AY$11:$AY$4010,0)),""))</f>
        <v/>
      </c>
      <c r="AD410" s="30" t="str">
        <f>IF(AE410="","",IFERROR(INDEX($AL$11:$AL$4010,MATCH(400,$AZ$11:$AZ$4010,0)),""))</f>
        <v/>
      </c>
      <c r="AE410" s="26" t="str">
        <f>IFERROR(INDEX($AM$11:$AM$4010,MATCH(400,$AZ$11:$AZ$4010,0)),"")</f>
        <v/>
      </c>
      <c r="AF410" s="25" t="str">
        <f>IF(AE410="","",IFERROR(INDEX($AN$11:$AN$4010,MATCH(400,$AZ$11:$AZ$4010,0)),""))</f>
        <v/>
      </c>
      <c r="AG410" s="25" t="str">
        <f>IF(AE410="","",IFERROR(INDEX($AO$11:$AO$4010,MATCH(400,$AZ$11:$AZ$4010,0)),""))</f>
        <v/>
      </c>
      <c r="AH410" s="24" t="str">
        <f>IF(AE410="","",IFERROR(INDEX($AQ$11:$AQ$4010,MATCH(400,$AZ$11:$AZ$4010,0)),""))</f>
        <v/>
      </c>
      <c r="AI410" s="29" t="str">
        <f>IF(AE410="","",IFERROR(INDEX($AR$11:$AR$4010,MATCH(400,$AZ$11:$AZ$4010,0)),""))</f>
        <v/>
      </c>
      <c r="AJ410" s="29" t="str">
        <f>IF(AE410="","",IFERROR(INDEX($AT$11:$AT$4010,MATCH(400,$AZ$11:$AZ$4010,0)),""))</f>
        <v/>
      </c>
      <c r="AL410" s="31" t="str">
        <f t="shared" si="83"/>
        <v/>
      </c>
      <c r="AM410" s="26" t="str">
        <f t="shared" si="84"/>
        <v/>
      </c>
      <c r="AN410" s="32" t="str">
        <f t="shared" si="85"/>
        <v/>
      </c>
      <c r="AO410" s="32" t="str">
        <f t="shared" si="86"/>
        <v/>
      </c>
      <c r="AP410" s="24" t="str">
        <f t="shared" si="87"/>
        <v/>
      </c>
      <c r="AQ410" s="24" t="str">
        <f t="shared" si="88"/>
        <v/>
      </c>
      <c r="AR410" s="33" t="str">
        <f t="shared" si="89"/>
        <v/>
      </c>
      <c r="AS410" s="34"/>
      <c r="AT410" s="33"/>
      <c r="AV410" s="21">
        <f>IF(AND($AL410&lt;&gt;"",COUNTIF($AL$11:$AL410,$AL410)=1),1,0)</f>
        <v>0</v>
      </c>
      <c r="AW410" s="21">
        <f t="shared" si="91"/>
        <v>0</v>
      </c>
      <c r="AX410" s="21" t="str">
        <f t="shared" si="90"/>
        <v/>
      </c>
      <c r="AY410" s="21" t="str">
        <f>IF(AND($AM410&lt;&gt;"",$AS410&lt;&gt;"✓"),SUMPRODUCT(($AM$11:$AM410&lt;&gt;"")*($AS$11:$AS410&lt;&gt;"✓")),"")</f>
        <v/>
      </c>
      <c r="AZ410" s="21" t="str">
        <f>IF(AND($AM410&lt;&gt;"",$AS410="✓"),SUMPRODUCT(($AM$11:$AM410&lt;&gt;"")*($AS$11:$AS410="✓")),"")</f>
        <v/>
      </c>
      <c r="BA410" s="21" t="str">
        <f>IF($AL410="","",$AL410&amp;"|"&amp;COUNTIF($AL$11:$AL410,$AL410))</f>
        <v/>
      </c>
    </row>
    <row r="411" spans="2:53" ht="15" customHeight="1" x14ac:dyDescent="0.25">
      <c r="B411" s="5" t="str">
        <f t="shared" si="82"/>
        <v/>
      </c>
      <c r="C411" s="5"/>
      <c r="D411" s="5"/>
      <c r="E411" s="5"/>
      <c r="F411" s="6"/>
      <c r="G411" s="6"/>
      <c r="H411" s="7"/>
      <c r="I411" s="8"/>
      <c r="W411" s="14" t="str">
        <f>IF(X411="","",IFERROR(INDEX($AL$11:$AL$4010,MATCH(401,$AY$11:$AY$4010,0)),""))</f>
        <v/>
      </c>
      <c r="X411" s="12" t="str">
        <f>IFERROR(INDEX($AM$11:$AM$4010,MATCH(401,$AY$11:$AY$4010,0)),"")</f>
        <v/>
      </c>
      <c r="Y411" s="11" t="str">
        <f>IF(X411="","",IFERROR(INDEX($AN$11:$AN$4010,MATCH(401,$AY$11:$AY$4010,0)),""))</f>
        <v/>
      </c>
      <c r="Z411" s="11" t="str">
        <f>IF(X411="","",IFERROR(INDEX($AO$11:$AO$4010,MATCH(401,$AY$11:$AY$4010,0)),""))</f>
        <v/>
      </c>
      <c r="AA411" s="10" t="str">
        <f>IF(X411="","",IFERROR(INDEX($AQ$11:$AQ$4010,MATCH(401,$AY$11:$AY$4010,0)),""))</f>
        <v/>
      </c>
      <c r="AB411" s="15" t="str">
        <f>IF(X411="","",IFERROR(INDEX($AR$11:$AR$4010,MATCH(401,$AY$11:$AY$4010,0)),""))</f>
        <v/>
      </c>
      <c r="AD411" s="16" t="str">
        <f>IF(AE411="","",IFERROR(INDEX($AL$11:$AL$4010,MATCH(401,$AZ$11:$AZ$4010,0)),""))</f>
        <v/>
      </c>
      <c r="AE411" s="12" t="str">
        <f>IFERROR(INDEX($AM$11:$AM$4010,MATCH(401,$AZ$11:$AZ$4010,0)),"")</f>
        <v/>
      </c>
      <c r="AF411" s="11" t="str">
        <f>IF(AE411="","",IFERROR(INDEX($AN$11:$AN$4010,MATCH(401,$AZ$11:$AZ$4010,0)),""))</f>
        <v/>
      </c>
      <c r="AG411" s="11" t="str">
        <f>IF(AE411="","",IFERROR(INDEX($AO$11:$AO$4010,MATCH(401,$AZ$11:$AZ$4010,0)),""))</f>
        <v/>
      </c>
      <c r="AH411" s="10" t="str">
        <f>IF(AE411="","",IFERROR(INDEX($AQ$11:$AQ$4010,MATCH(401,$AZ$11:$AZ$4010,0)),""))</f>
        <v/>
      </c>
      <c r="AI411" s="15" t="str">
        <f>IF(AE411="","",IFERROR(INDEX($AR$11:$AR$4010,MATCH(401,$AZ$11:$AZ$4010,0)),""))</f>
        <v/>
      </c>
      <c r="AJ411" s="15" t="str">
        <f>IF(AE411="","",IFERROR(INDEX($AT$11:$AT$4010,MATCH(401,$AZ$11:$AZ$4010,0)),""))</f>
        <v/>
      </c>
      <c r="AL411" s="17" t="str">
        <f t="shared" si="83"/>
        <v/>
      </c>
      <c r="AM411" s="12" t="str">
        <f t="shared" si="84"/>
        <v/>
      </c>
      <c r="AN411" s="18" t="str">
        <f t="shared" si="85"/>
        <v/>
      </c>
      <c r="AO411" s="18" t="str">
        <f t="shared" si="86"/>
        <v/>
      </c>
      <c r="AP411" s="10" t="str">
        <f t="shared" si="87"/>
        <v/>
      </c>
      <c r="AQ411" s="10" t="str">
        <f t="shared" si="88"/>
        <v/>
      </c>
      <c r="AR411" s="19" t="str">
        <f t="shared" si="89"/>
        <v/>
      </c>
      <c r="AS411" s="20"/>
      <c r="AT411" s="19"/>
      <c r="AV411" s="21">
        <f>IF(AND($AL411&lt;&gt;"",COUNTIF($AL$11:$AL411,$AL411)=1),1,0)</f>
        <v>0</v>
      </c>
      <c r="AW411" s="21">
        <f t="shared" si="91"/>
        <v>0</v>
      </c>
      <c r="AX411" s="21" t="str">
        <f t="shared" si="90"/>
        <v/>
      </c>
      <c r="AY411" s="21" t="str">
        <f>IF(AND($AM411&lt;&gt;"",$AS411&lt;&gt;"✓"),SUMPRODUCT(($AM$11:$AM411&lt;&gt;"")*($AS$11:$AS411&lt;&gt;"✓")),"")</f>
        <v/>
      </c>
      <c r="AZ411" s="21" t="str">
        <f>IF(AND($AM411&lt;&gt;"",$AS411="✓"),SUMPRODUCT(($AM$11:$AM411&lt;&gt;"")*($AS$11:$AS411="✓")),"")</f>
        <v/>
      </c>
      <c r="BA411" s="21" t="str">
        <f>IF($AL411="","",$AL411&amp;"|"&amp;COUNTIF($AL$11:$AL411,$AL411))</f>
        <v/>
      </c>
    </row>
    <row r="412" spans="2:53" ht="15" customHeight="1" x14ac:dyDescent="0.25">
      <c r="B412" s="5" t="str">
        <f t="shared" si="82"/>
        <v/>
      </c>
      <c r="C412" s="5"/>
      <c r="D412" s="5"/>
      <c r="E412" s="5"/>
      <c r="F412" s="6"/>
      <c r="G412" s="6"/>
      <c r="H412" s="7"/>
      <c r="I412" s="8"/>
      <c r="W412" s="28" t="str">
        <f>IF(X412="","",IFERROR(INDEX($AL$11:$AL$4010,MATCH(402,$AY$11:$AY$4010,0)),""))</f>
        <v/>
      </c>
      <c r="X412" s="26" t="str">
        <f>IFERROR(INDEX($AM$11:$AM$4010,MATCH(402,$AY$11:$AY$4010,0)),"")</f>
        <v/>
      </c>
      <c r="Y412" s="25" t="str">
        <f>IF(X412="","",IFERROR(INDEX($AN$11:$AN$4010,MATCH(402,$AY$11:$AY$4010,0)),""))</f>
        <v/>
      </c>
      <c r="Z412" s="25" t="str">
        <f>IF(X412="","",IFERROR(INDEX($AO$11:$AO$4010,MATCH(402,$AY$11:$AY$4010,0)),""))</f>
        <v/>
      </c>
      <c r="AA412" s="24" t="str">
        <f>IF(X412="","",IFERROR(INDEX($AQ$11:$AQ$4010,MATCH(402,$AY$11:$AY$4010,0)),""))</f>
        <v/>
      </c>
      <c r="AB412" s="29" t="str">
        <f>IF(X412="","",IFERROR(INDEX($AR$11:$AR$4010,MATCH(402,$AY$11:$AY$4010,0)),""))</f>
        <v/>
      </c>
      <c r="AD412" s="30" t="str">
        <f>IF(AE412="","",IFERROR(INDEX($AL$11:$AL$4010,MATCH(402,$AZ$11:$AZ$4010,0)),""))</f>
        <v/>
      </c>
      <c r="AE412" s="26" t="str">
        <f>IFERROR(INDEX($AM$11:$AM$4010,MATCH(402,$AZ$11:$AZ$4010,0)),"")</f>
        <v/>
      </c>
      <c r="AF412" s="25" t="str">
        <f>IF(AE412="","",IFERROR(INDEX($AN$11:$AN$4010,MATCH(402,$AZ$11:$AZ$4010,0)),""))</f>
        <v/>
      </c>
      <c r="AG412" s="25" t="str">
        <f>IF(AE412="","",IFERROR(INDEX($AO$11:$AO$4010,MATCH(402,$AZ$11:$AZ$4010,0)),""))</f>
        <v/>
      </c>
      <c r="AH412" s="24" t="str">
        <f>IF(AE412="","",IFERROR(INDEX($AQ$11:$AQ$4010,MATCH(402,$AZ$11:$AZ$4010,0)),""))</f>
        <v/>
      </c>
      <c r="AI412" s="29" t="str">
        <f>IF(AE412="","",IFERROR(INDEX($AR$11:$AR$4010,MATCH(402,$AZ$11:$AZ$4010,0)),""))</f>
        <v/>
      </c>
      <c r="AJ412" s="29" t="str">
        <f>IF(AE412="","",IFERROR(INDEX($AT$11:$AT$4010,MATCH(402,$AZ$11:$AZ$4010,0)),""))</f>
        <v/>
      </c>
      <c r="AL412" s="31" t="str">
        <f t="shared" si="83"/>
        <v/>
      </c>
      <c r="AM412" s="26" t="str">
        <f t="shared" si="84"/>
        <v/>
      </c>
      <c r="AN412" s="32" t="str">
        <f t="shared" si="85"/>
        <v/>
      </c>
      <c r="AO412" s="32" t="str">
        <f t="shared" si="86"/>
        <v/>
      </c>
      <c r="AP412" s="24" t="str">
        <f t="shared" si="87"/>
        <v/>
      </c>
      <c r="AQ412" s="24" t="str">
        <f t="shared" si="88"/>
        <v/>
      </c>
      <c r="AR412" s="33" t="str">
        <f t="shared" si="89"/>
        <v/>
      </c>
      <c r="AS412" s="34"/>
      <c r="AT412" s="33"/>
      <c r="AV412" s="21">
        <f>IF(AND($AL412&lt;&gt;"",COUNTIF($AL$11:$AL412,$AL412)=1),1,0)</f>
        <v>0</v>
      </c>
      <c r="AW412" s="21">
        <f t="shared" si="91"/>
        <v>0</v>
      </c>
      <c r="AX412" s="21" t="str">
        <f t="shared" si="90"/>
        <v/>
      </c>
      <c r="AY412" s="21" t="str">
        <f>IF(AND($AM412&lt;&gt;"",$AS412&lt;&gt;"✓"),SUMPRODUCT(($AM$11:$AM412&lt;&gt;"")*($AS$11:$AS412&lt;&gt;"✓")),"")</f>
        <v/>
      </c>
      <c r="AZ412" s="21" t="str">
        <f>IF(AND($AM412&lt;&gt;"",$AS412="✓"),SUMPRODUCT(($AM$11:$AM412&lt;&gt;"")*($AS$11:$AS412="✓")),"")</f>
        <v/>
      </c>
      <c r="BA412" s="21" t="str">
        <f>IF($AL412="","",$AL412&amp;"|"&amp;COUNTIF($AL$11:$AL412,$AL412))</f>
        <v/>
      </c>
    </row>
    <row r="413" spans="2:53" ht="15" customHeight="1" x14ac:dyDescent="0.25">
      <c r="B413" s="5" t="str">
        <f t="shared" si="82"/>
        <v/>
      </c>
      <c r="C413" s="5"/>
      <c r="D413" s="5"/>
      <c r="E413" s="5"/>
      <c r="F413" s="6"/>
      <c r="G413" s="6"/>
      <c r="H413" s="7"/>
      <c r="I413" s="8"/>
      <c r="W413" s="14" t="str">
        <f>IF(X413="","",IFERROR(INDEX($AL$11:$AL$4010,MATCH(403,$AY$11:$AY$4010,0)),""))</f>
        <v/>
      </c>
      <c r="X413" s="12" t="str">
        <f>IFERROR(INDEX($AM$11:$AM$4010,MATCH(403,$AY$11:$AY$4010,0)),"")</f>
        <v/>
      </c>
      <c r="Y413" s="11" t="str">
        <f>IF(X413="","",IFERROR(INDEX($AN$11:$AN$4010,MATCH(403,$AY$11:$AY$4010,0)),""))</f>
        <v/>
      </c>
      <c r="Z413" s="11" t="str">
        <f>IF(X413="","",IFERROR(INDEX($AO$11:$AO$4010,MATCH(403,$AY$11:$AY$4010,0)),""))</f>
        <v/>
      </c>
      <c r="AA413" s="10" t="str">
        <f>IF(X413="","",IFERROR(INDEX($AQ$11:$AQ$4010,MATCH(403,$AY$11:$AY$4010,0)),""))</f>
        <v/>
      </c>
      <c r="AB413" s="15" t="str">
        <f>IF(X413="","",IFERROR(INDEX($AR$11:$AR$4010,MATCH(403,$AY$11:$AY$4010,0)),""))</f>
        <v/>
      </c>
      <c r="AD413" s="16" t="str">
        <f>IF(AE413="","",IFERROR(INDEX($AL$11:$AL$4010,MATCH(403,$AZ$11:$AZ$4010,0)),""))</f>
        <v/>
      </c>
      <c r="AE413" s="12" t="str">
        <f>IFERROR(INDEX($AM$11:$AM$4010,MATCH(403,$AZ$11:$AZ$4010,0)),"")</f>
        <v/>
      </c>
      <c r="AF413" s="11" t="str">
        <f>IF(AE413="","",IFERROR(INDEX($AN$11:$AN$4010,MATCH(403,$AZ$11:$AZ$4010,0)),""))</f>
        <v/>
      </c>
      <c r="AG413" s="11" t="str">
        <f>IF(AE413="","",IFERROR(INDEX($AO$11:$AO$4010,MATCH(403,$AZ$11:$AZ$4010,0)),""))</f>
        <v/>
      </c>
      <c r="AH413" s="10" t="str">
        <f>IF(AE413="","",IFERROR(INDEX($AQ$11:$AQ$4010,MATCH(403,$AZ$11:$AZ$4010,0)),""))</f>
        <v/>
      </c>
      <c r="AI413" s="15" t="str">
        <f>IF(AE413="","",IFERROR(INDEX($AR$11:$AR$4010,MATCH(403,$AZ$11:$AZ$4010,0)),""))</f>
        <v/>
      </c>
      <c r="AJ413" s="15" t="str">
        <f>IF(AE413="","",IFERROR(INDEX($AT$11:$AT$4010,MATCH(403,$AZ$11:$AZ$4010,0)),""))</f>
        <v/>
      </c>
      <c r="AL413" s="17" t="str">
        <f t="shared" si="83"/>
        <v/>
      </c>
      <c r="AM413" s="12" t="str">
        <f t="shared" si="84"/>
        <v/>
      </c>
      <c r="AN413" s="18" t="str">
        <f t="shared" si="85"/>
        <v/>
      </c>
      <c r="AO413" s="18" t="str">
        <f t="shared" si="86"/>
        <v/>
      </c>
      <c r="AP413" s="10" t="str">
        <f t="shared" si="87"/>
        <v/>
      </c>
      <c r="AQ413" s="10" t="str">
        <f t="shared" si="88"/>
        <v/>
      </c>
      <c r="AR413" s="19" t="str">
        <f t="shared" si="89"/>
        <v/>
      </c>
      <c r="AS413" s="20"/>
      <c r="AT413" s="19"/>
      <c r="AV413" s="21">
        <f>IF(AND($AL413&lt;&gt;"",COUNTIF($AL$11:$AL413,$AL413)=1),1,0)</f>
        <v>0</v>
      </c>
      <c r="AW413" s="21">
        <f t="shared" si="91"/>
        <v>0</v>
      </c>
      <c r="AX413" s="21" t="str">
        <f t="shared" si="90"/>
        <v/>
      </c>
      <c r="AY413" s="21" t="str">
        <f>IF(AND($AM413&lt;&gt;"",$AS413&lt;&gt;"✓"),SUMPRODUCT(($AM$11:$AM413&lt;&gt;"")*($AS$11:$AS413&lt;&gt;"✓")),"")</f>
        <v/>
      </c>
      <c r="AZ413" s="21" t="str">
        <f>IF(AND($AM413&lt;&gt;"",$AS413="✓"),SUMPRODUCT(($AM$11:$AM413&lt;&gt;"")*($AS$11:$AS413="✓")),"")</f>
        <v/>
      </c>
      <c r="BA413" s="21" t="str">
        <f>IF($AL413="","",$AL413&amp;"|"&amp;COUNTIF($AL$11:$AL413,$AL413))</f>
        <v/>
      </c>
    </row>
    <row r="414" spans="2:53" ht="15" customHeight="1" x14ac:dyDescent="0.25">
      <c r="B414" s="5" t="str">
        <f t="shared" si="82"/>
        <v/>
      </c>
      <c r="C414" s="5"/>
      <c r="D414" s="5"/>
      <c r="E414" s="5"/>
      <c r="F414" s="6"/>
      <c r="G414" s="6"/>
      <c r="H414" s="7"/>
      <c r="I414" s="8"/>
      <c r="W414" s="28" t="str">
        <f>IF(X414="","",IFERROR(INDEX($AL$11:$AL$4010,MATCH(404,$AY$11:$AY$4010,0)),""))</f>
        <v/>
      </c>
      <c r="X414" s="26" t="str">
        <f>IFERROR(INDEX($AM$11:$AM$4010,MATCH(404,$AY$11:$AY$4010,0)),"")</f>
        <v/>
      </c>
      <c r="Y414" s="25" t="str">
        <f>IF(X414="","",IFERROR(INDEX($AN$11:$AN$4010,MATCH(404,$AY$11:$AY$4010,0)),""))</f>
        <v/>
      </c>
      <c r="Z414" s="25" t="str">
        <f>IF(X414="","",IFERROR(INDEX($AO$11:$AO$4010,MATCH(404,$AY$11:$AY$4010,0)),""))</f>
        <v/>
      </c>
      <c r="AA414" s="24" t="str">
        <f>IF(X414="","",IFERROR(INDEX($AQ$11:$AQ$4010,MATCH(404,$AY$11:$AY$4010,0)),""))</f>
        <v/>
      </c>
      <c r="AB414" s="29" t="str">
        <f>IF(X414="","",IFERROR(INDEX($AR$11:$AR$4010,MATCH(404,$AY$11:$AY$4010,0)),""))</f>
        <v/>
      </c>
      <c r="AD414" s="30" t="str">
        <f>IF(AE414="","",IFERROR(INDEX($AL$11:$AL$4010,MATCH(404,$AZ$11:$AZ$4010,0)),""))</f>
        <v/>
      </c>
      <c r="AE414" s="26" t="str">
        <f>IFERROR(INDEX($AM$11:$AM$4010,MATCH(404,$AZ$11:$AZ$4010,0)),"")</f>
        <v/>
      </c>
      <c r="AF414" s="25" t="str">
        <f>IF(AE414="","",IFERROR(INDEX($AN$11:$AN$4010,MATCH(404,$AZ$11:$AZ$4010,0)),""))</f>
        <v/>
      </c>
      <c r="AG414" s="25" t="str">
        <f>IF(AE414="","",IFERROR(INDEX($AO$11:$AO$4010,MATCH(404,$AZ$11:$AZ$4010,0)),""))</f>
        <v/>
      </c>
      <c r="AH414" s="24" t="str">
        <f>IF(AE414="","",IFERROR(INDEX($AQ$11:$AQ$4010,MATCH(404,$AZ$11:$AZ$4010,0)),""))</f>
        <v/>
      </c>
      <c r="AI414" s="29" t="str">
        <f>IF(AE414="","",IFERROR(INDEX($AR$11:$AR$4010,MATCH(404,$AZ$11:$AZ$4010,0)),""))</f>
        <v/>
      </c>
      <c r="AJ414" s="29" t="str">
        <f>IF(AE414="","",IFERROR(INDEX($AT$11:$AT$4010,MATCH(404,$AZ$11:$AZ$4010,0)),""))</f>
        <v/>
      </c>
      <c r="AL414" s="31" t="str">
        <f t="shared" si="83"/>
        <v/>
      </c>
      <c r="AM414" s="26" t="str">
        <f t="shared" si="84"/>
        <v/>
      </c>
      <c r="AN414" s="32" t="str">
        <f t="shared" si="85"/>
        <v/>
      </c>
      <c r="AO414" s="32" t="str">
        <f t="shared" si="86"/>
        <v/>
      </c>
      <c r="AP414" s="24" t="str">
        <f t="shared" si="87"/>
        <v/>
      </c>
      <c r="AQ414" s="24" t="str">
        <f t="shared" si="88"/>
        <v/>
      </c>
      <c r="AR414" s="33" t="str">
        <f t="shared" si="89"/>
        <v/>
      </c>
      <c r="AS414" s="34"/>
      <c r="AT414" s="33"/>
      <c r="AV414" s="21">
        <f>IF(AND($AL414&lt;&gt;"",COUNTIF($AL$11:$AL414,$AL414)=1),1,0)</f>
        <v>0</v>
      </c>
      <c r="AW414" s="21">
        <f t="shared" si="91"/>
        <v>0</v>
      </c>
      <c r="AX414" s="21" t="str">
        <f t="shared" si="90"/>
        <v/>
      </c>
      <c r="AY414" s="21" t="str">
        <f>IF(AND($AM414&lt;&gt;"",$AS414&lt;&gt;"✓"),SUMPRODUCT(($AM$11:$AM414&lt;&gt;"")*($AS$11:$AS414&lt;&gt;"✓")),"")</f>
        <v/>
      </c>
      <c r="AZ414" s="21" t="str">
        <f>IF(AND($AM414&lt;&gt;"",$AS414="✓"),SUMPRODUCT(($AM$11:$AM414&lt;&gt;"")*($AS$11:$AS414="✓")),"")</f>
        <v/>
      </c>
      <c r="BA414" s="21" t="str">
        <f>IF($AL414="","",$AL414&amp;"|"&amp;COUNTIF($AL$11:$AL414,$AL414))</f>
        <v/>
      </c>
    </row>
    <row r="415" spans="2:53" ht="15" customHeight="1" x14ac:dyDescent="0.25">
      <c r="B415" s="5" t="str">
        <f t="shared" si="82"/>
        <v/>
      </c>
      <c r="C415" s="5"/>
      <c r="D415" s="5"/>
      <c r="E415" s="5"/>
      <c r="F415" s="6"/>
      <c r="G415" s="6"/>
      <c r="H415" s="7"/>
      <c r="I415" s="8"/>
      <c r="W415" s="14" t="str">
        <f>IF(X415="","",IFERROR(INDEX($AL$11:$AL$4010,MATCH(405,$AY$11:$AY$4010,0)),""))</f>
        <v/>
      </c>
      <c r="X415" s="12" t="str">
        <f>IFERROR(INDEX($AM$11:$AM$4010,MATCH(405,$AY$11:$AY$4010,0)),"")</f>
        <v/>
      </c>
      <c r="Y415" s="11" t="str">
        <f>IF(X415="","",IFERROR(INDEX($AN$11:$AN$4010,MATCH(405,$AY$11:$AY$4010,0)),""))</f>
        <v/>
      </c>
      <c r="Z415" s="11" t="str">
        <f>IF(X415="","",IFERROR(INDEX($AO$11:$AO$4010,MATCH(405,$AY$11:$AY$4010,0)),""))</f>
        <v/>
      </c>
      <c r="AA415" s="10" t="str">
        <f>IF(X415="","",IFERROR(INDEX($AQ$11:$AQ$4010,MATCH(405,$AY$11:$AY$4010,0)),""))</f>
        <v/>
      </c>
      <c r="AB415" s="15" t="str">
        <f>IF(X415="","",IFERROR(INDEX($AR$11:$AR$4010,MATCH(405,$AY$11:$AY$4010,0)),""))</f>
        <v/>
      </c>
      <c r="AD415" s="16" t="str">
        <f>IF(AE415="","",IFERROR(INDEX($AL$11:$AL$4010,MATCH(405,$AZ$11:$AZ$4010,0)),""))</f>
        <v/>
      </c>
      <c r="AE415" s="12" t="str">
        <f>IFERROR(INDEX($AM$11:$AM$4010,MATCH(405,$AZ$11:$AZ$4010,0)),"")</f>
        <v/>
      </c>
      <c r="AF415" s="11" t="str">
        <f>IF(AE415="","",IFERROR(INDEX($AN$11:$AN$4010,MATCH(405,$AZ$11:$AZ$4010,0)),""))</f>
        <v/>
      </c>
      <c r="AG415" s="11" t="str">
        <f>IF(AE415="","",IFERROR(INDEX($AO$11:$AO$4010,MATCH(405,$AZ$11:$AZ$4010,0)),""))</f>
        <v/>
      </c>
      <c r="AH415" s="10" t="str">
        <f>IF(AE415="","",IFERROR(INDEX($AQ$11:$AQ$4010,MATCH(405,$AZ$11:$AZ$4010,0)),""))</f>
        <v/>
      </c>
      <c r="AI415" s="15" t="str">
        <f>IF(AE415="","",IFERROR(INDEX($AR$11:$AR$4010,MATCH(405,$AZ$11:$AZ$4010,0)),""))</f>
        <v/>
      </c>
      <c r="AJ415" s="15" t="str">
        <f>IF(AE415="","",IFERROR(INDEX($AT$11:$AT$4010,MATCH(405,$AZ$11:$AZ$4010,0)),""))</f>
        <v/>
      </c>
      <c r="AL415" s="17" t="str">
        <f t="shared" si="83"/>
        <v/>
      </c>
      <c r="AM415" s="12" t="str">
        <f t="shared" si="84"/>
        <v/>
      </c>
      <c r="AN415" s="18" t="str">
        <f t="shared" si="85"/>
        <v/>
      </c>
      <c r="AO415" s="18" t="str">
        <f t="shared" si="86"/>
        <v/>
      </c>
      <c r="AP415" s="10" t="str">
        <f t="shared" si="87"/>
        <v/>
      </c>
      <c r="AQ415" s="10" t="str">
        <f t="shared" si="88"/>
        <v/>
      </c>
      <c r="AR415" s="19" t="str">
        <f t="shared" si="89"/>
        <v/>
      </c>
      <c r="AS415" s="20"/>
      <c r="AT415" s="19"/>
      <c r="AV415" s="21">
        <f>IF(AND($AL415&lt;&gt;"",COUNTIF($AL$11:$AL415,$AL415)=1),1,0)</f>
        <v>0</v>
      </c>
      <c r="AW415" s="21">
        <f t="shared" si="91"/>
        <v>0</v>
      </c>
      <c r="AX415" s="21" t="str">
        <f t="shared" si="90"/>
        <v/>
      </c>
      <c r="AY415" s="21" t="str">
        <f>IF(AND($AM415&lt;&gt;"",$AS415&lt;&gt;"✓"),SUMPRODUCT(($AM$11:$AM415&lt;&gt;"")*($AS$11:$AS415&lt;&gt;"✓")),"")</f>
        <v/>
      </c>
      <c r="AZ415" s="21" t="str">
        <f>IF(AND($AM415&lt;&gt;"",$AS415="✓"),SUMPRODUCT(($AM$11:$AM415&lt;&gt;"")*($AS$11:$AS415="✓")),"")</f>
        <v/>
      </c>
      <c r="BA415" s="21" t="str">
        <f>IF($AL415="","",$AL415&amp;"|"&amp;COUNTIF($AL$11:$AL415,$AL415))</f>
        <v/>
      </c>
    </row>
    <row r="416" spans="2:53" ht="15" customHeight="1" x14ac:dyDescent="0.25">
      <c r="B416" s="5" t="str">
        <f t="shared" si="82"/>
        <v/>
      </c>
      <c r="C416" s="5"/>
      <c r="D416" s="5"/>
      <c r="E416" s="5"/>
      <c r="F416" s="6"/>
      <c r="G416" s="6"/>
      <c r="H416" s="7"/>
      <c r="I416" s="8"/>
      <c r="W416" s="28" t="str">
        <f>IF(X416="","",IFERROR(INDEX($AL$11:$AL$4010,MATCH(406,$AY$11:$AY$4010,0)),""))</f>
        <v/>
      </c>
      <c r="X416" s="26" t="str">
        <f>IFERROR(INDEX($AM$11:$AM$4010,MATCH(406,$AY$11:$AY$4010,0)),"")</f>
        <v/>
      </c>
      <c r="Y416" s="25" t="str">
        <f>IF(X416="","",IFERROR(INDEX($AN$11:$AN$4010,MATCH(406,$AY$11:$AY$4010,0)),""))</f>
        <v/>
      </c>
      <c r="Z416" s="25" t="str">
        <f>IF(X416="","",IFERROR(INDEX($AO$11:$AO$4010,MATCH(406,$AY$11:$AY$4010,0)),""))</f>
        <v/>
      </c>
      <c r="AA416" s="24" t="str">
        <f>IF(X416="","",IFERROR(INDEX($AQ$11:$AQ$4010,MATCH(406,$AY$11:$AY$4010,0)),""))</f>
        <v/>
      </c>
      <c r="AB416" s="29" t="str">
        <f>IF(X416="","",IFERROR(INDEX($AR$11:$AR$4010,MATCH(406,$AY$11:$AY$4010,0)),""))</f>
        <v/>
      </c>
      <c r="AD416" s="30" t="str">
        <f>IF(AE416="","",IFERROR(INDEX($AL$11:$AL$4010,MATCH(406,$AZ$11:$AZ$4010,0)),""))</f>
        <v/>
      </c>
      <c r="AE416" s="26" t="str">
        <f>IFERROR(INDEX($AM$11:$AM$4010,MATCH(406,$AZ$11:$AZ$4010,0)),"")</f>
        <v/>
      </c>
      <c r="AF416" s="25" t="str">
        <f>IF(AE416="","",IFERROR(INDEX($AN$11:$AN$4010,MATCH(406,$AZ$11:$AZ$4010,0)),""))</f>
        <v/>
      </c>
      <c r="AG416" s="25" t="str">
        <f>IF(AE416="","",IFERROR(INDEX($AO$11:$AO$4010,MATCH(406,$AZ$11:$AZ$4010,0)),""))</f>
        <v/>
      </c>
      <c r="AH416" s="24" t="str">
        <f>IF(AE416="","",IFERROR(INDEX($AQ$11:$AQ$4010,MATCH(406,$AZ$11:$AZ$4010,0)),""))</f>
        <v/>
      </c>
      <c r="AI416" s="29" t="str">
        <f>IF(AE416="","",IFERROR(INDEX($AR$11:$AR$4010,MATCH(406,$AZ$11:$AZ$4010,0)),""))</f>
        <v/>
      </c>
      <c r="AJ416" s="29" t="str">
        <f>IF(AE416="","",IFERROR(INDEX($AT$11:$AT$4010,MATCH(406,$AZ$11:$AZ$4010,0)),""))</f>
        <v/>
      </c>
      <c r="AL416" s="31" t="str">
        <f t="shared" si="83"/>
        <v/>
      </c>
      <c r="AM416" s="26" t="str">
        <f t="shared" si="84"/>
        <v/>
      </c>
      <c r="AN416" s="32" t="str">
        <f t="shared" si="85"/>
        <v/>
      </c>
      <c r="AO416" s="32" t="str">
        <f t="shared" si="86"/>
        <v/>
      </c>
      <c r="AP416" s="24" t="str">
        <f t="shared" si="87"/>
        <v/>
      </c>
      <c r="AQ416" s="24" t="str">
        <f t="shared" si="88"/>
        <v/>
      </c>
      <c r="AR416" s="33" t="str">
        <f t="shared" si="89"/>
        <v/>
      </c>
      <c r="AS416" s="34"/>
      <c r="AT416" s="33"/>
      <c r="AV416" s="21">
        <f>IF(AND($AL416&lt;&gt;"",COUNTIF($AL$11:$AL416,$AL416)=1),1,0)</f>
        <v>0</v>
      </c>
      <c r="AW416" s="21">
        <f t="shared" si="91"/>
        <v>0</v>
      </c>
      <c r="AX416" s="21" t="str">
        <f t="shared" si="90"/>
        <v/>
      </c>
      <c r="AY416" s="21" t="str">
        <f>IF(AND($AM416&lt;&gt;"",$AS416&lt;&gt;"✓"),SUMPRODUCT(($AM$11:$AM416&lt;&gt;"")*($AS$11:$AS416&lt;&gt;"✓")),"")</f>
        <v/>
      </c>
      <c r="AZ416" s="21" t="str">
        <f>IF(AND($AM416&lt;&gt;"",$AS416="✓"),SUMPRODUCT(($AM$11:$AM416&lt;&gt;"")*($AS$11:$AS416="✓")),"")</f>
        <v/>
      </c>
      <c r="BA416" s="21" t="str">
        <f>IF($AL416="","",$AL416&amp;"|"&amp;COUNTIF($AL$11:$AL416,$AL416))</f>
        <v/>
      </c>
    </row>
    <row r="417" spans="2:53" ht="15" customHeight="1" x14ac:dyDescent="0.25">
      <c r="B417" s="5" t="str">
        <f t="shared" si="82"/>
        <v/>
      </c>
      <c r="C417" s="5"/>
      <c r="D417" s="5"/>
      <c r="E417" s="5"/>
      <c r="F417" s="6"/>
      <c r="G417" s="6"/>
      <c r="H417" s="7"/>
      <c r="I417" s="8"/>
      <c r="W417" s="14" t="str">
        <f>IF(X417="","",IFERROR(INDEX($AL$11:$AL$4010,MATCH(407,$AY$11:$AY$4010,0)),""))</f>
        <v/>
      </c>
      <c r="X417" s="12" t="str">
        <f>IFERROR(INDEX($AM$11:$AM$4010,MATCH(407,$AY$11:$AY$4010,0)),"")</f>
        <v/>
      </c>
      <c r="Y417" s="11" t="str">
        <f>IF(X417="","",IFERROR(INDEX($AN$11:$AN$4010,MATCH(407,$AY$11:$AY$4010,0)),""))</f>
        <v/>
      </c>
      <c r="Z417" s="11" t="str">
        <f>IF(X417="","",IFERROR(INDEX($AO$11:$AO$4010,MATCH(407,$AY$11:$AY$4010,0)),""))</f>
        <v/>
      </c>
      <c r="AA417" s="10" t="str">
        <f>IF(X417="","",IFERROR(INDEX($AQ$11:$AQ$4010,MATCH(407,$AY$11:$AY$4010,0)),""))</f>
        <v/>
      </c>
      <c r="AB417" s="15" t="str">
        <f>IF(X417="","",IFERROR(INDEX($AR$11:$AR$4010,MATCH(407,$AY$11:$AY$4010,0)),""))</f>
        <v/>
      </c>
      <c r="AD417" s="16" t="str">
        <f>IF(AE417="","",IFERROR(INDEX($AL$11:$AL$4010,MATCH(407,$AZ$11:$AZ$4010,0)),""))</f>
        <v/>
      </c>
      <c r="AE417" s="12" t="str">
        <f>IFERROR(INDEX($AM$11:$AM$4010,MATCH(407,$AZ$11:$AZ$4010,0)),"")</f>
        <v/>
      </c>
      <c r="AF417" s="11" t="str">
        <f>IF(AE417="","",IFERROR(INDEX($AN$11:$AN$4010,MATCH(407,$AZ$11:$AZ$4010,0)),""))</f>
        <v/>
      </c>
      <c r="AG417" s="11" t="str">
        <f>IF(AE417="","",IFERROR(INDEX($AO$11:$AO$4010,MATCH(407,$AZ$11:$AZ$4010,0)),""))</f>
        <v/>
      </c>
      <c r="AH417" s="10" t="str">
        <f>IF(AE417="","",IFERROR(INDEX($AQ$11:$AQ$4010,MATCH(407,$AZ$11:$AZ$4010,0)),""))</f>
        <v/>
      </c>
      <c r="AI417" s="15" t="str">
        <f>IF(AE417="","",IFERROR(INDEX($AR$11:$AR$4010,MATCH(407,$AZ$11:$AZ$4010,0)),""))</f>
        <v/>
      </c>
      <c r="AJ417" s="15" t="str">
        <f>IF(AE417="","",IFERROR(INDEX($AT$11:$AT$4010,MATCH(407,$AZ$11:$AZ$4010,0)),""))</f>
        <v/>
      </c>
      <c r="AL417" s="17" t="str">
        <f t="shared" si="83"/>
        <v/>
      </c>
      <c r="AM417" s="12" t="str">
        <f t="shared" si="84"/>
        <v/>
      </c>
      <c r="AN417" s="18" t="str">
        <f t="shared" si="85"/>
        <v/>
      </c>
      <c r="AO417" s="18" t="str">
        <f t="shared" si="86"/>
        <v/>
      </c>
      <c r="AP417" s="10" t="str">
        <f t="shared" si="87"/>
        <v/>
      </c>
      <c r="AQ417" s="10" t="str">
        <f t="shared" si="88"/>
        <v/>
      </c>
      <c r="AR417" s="19" t="str">
        <f t="shared" si="89"/>
        <v/>
      </c>
      <c r="AS417" s="20"/>
      <c r="AT417" s="19"/>
      <c r="AV417" s="21">
        <f>IF(AND($AL417&lt;&gt;"",COUNTIF($AL$11:$AL417,$AL417)=1),1,0)</f>
        <v>0</v>
      </c>
      <c r="AW417" s="21">
        <f t="shared" si="91"/>
        <v>0</v>
      </c>
      <c r="AX417" s="21" t="str">
        <f t="shared" si="90"/>
        <v/>
      </c>
      <c r="AY417" s="21" t="str">
        <f>IF(AND($AM417&lt;&gt;"",$AS417&lt;&gt;"✓"),SUMPRODUCT(($AM$11:$AM417&lt;&gt;"")*($AS$11:$AS417&lt;&gt;"✓")),"")</f>
        <v/>
      </c>
      <c r="AZ417" s="21" t="str">
        <f>IF(AND($AM417&lt;&gt;"",$AS417="✓"),SUMPRODUCT(($AM$11:$AM417&lt;&gt;"")*($AS$11:$AS417="✓")),"")</f>
        <v/>
      </c>
      <c r="BA417" s="21" t="str">
        <f>IF($AL417="","",$AL417&amp;"|"&amp;COUNTIF($AL$11:$AL417,$AL417))</f>
        <v/>
      </c>
    </row>
    <row r="418" spans="2:53" ht="15" customHeight="1" x14ac:dyDescent="0.25">
      <c r="B418" s="5" t="str">
        <f t="shared" si="82"/>
        <v/>
      </c>
      <c r="C418" s="5"/>
      <c r="D418" s="5"/>
      <c r="E418" s="5"/>
      <c r="F418" s="6"/>
      <c r="G418" s="6"/>
      <c r="H418" s="7"/>
      <c r="I418" s="8"/>
      <c r="W418" s="28" t="str">
        <f>IF(X418="","",IFERROR(INDEX($AL$11:$AL$4010,MATCH(408,$AY$11:$AY$4010,0)),""))</f>
        <v/>
      </c>
      <c r="X418" s="26" t="str">
        <f>IFERROR(INDEX($AM$11:$AM$4010,MATCH(408,$AY$11:$AY$4010,0)),"")</f>
        <v/>
      </c>
      <c r="Y418" s="25" t="str">
        <f>IF(X418="","",IFERROR(INDEX($AN$11:$AN$4010,MATCH(408,$AY$11:$AY$4010,0)),""))</f>
        <v/>
      </c>
      <c r="Z418" s="25" t="str">
        <f>IF(X418="","",IFERROR(INDEX($AO$11:$AO$4010,MATCH(408,$AY$11:$AY$4010,0)),""))</f>
        <v/>
      </c>
      <c r="AA418" s="24" t="str">
        <f>IF(X418="","",IFERROR(INDEX($AQ$11:$AQ$4010,MATCH(408,$AY$11:$AY$4010,0)),""))</f>
        <v/>
      </c>
      <c r="AB418" s="29" t="str">
        <f>IF(X418="","",IFERROR(INDEX($AR$11:$AR$4010,MATCH(408,$AY$11:$AY$4010,0)),""))</f>
        <v/>
      </c>
      <c r="AD418" s="30" t="str">
        <f>IF(AE418="","",IFERROR(INDEX($AL$11:$AL$4010,MATCH(408,$AZ$11:$AZ$4010,0)),""))</f>
        <v/>
      </c>
      <c r="AE418" s="26" t="str">
        <f>IFERROR(INDEX($AM$11:$AM$4010,MATCH(408,$AZ$11:$AZ$4010,0)),"")</f>
        <v/>
      </c>
      <c r="AF418" s="25" t="str">
        <f>IF(AE418="","",IFERROR(INDEX($AN$11:$AN$4010,MATCH(408,$AZ$11:$AZ$4010,0)),""))</f>
        <v/>
      </c>
      <c r="AG418" s="25" t="str">
        <f>IF(AE418="","",IFERROR(INDEX($AO$11:$AO$4010,MATCH(408,$AZ$11:$AZ$4010,0)),""))</f>
        <v/>
      </c>
      <c r="AH418" s="24" t="str">
        <f>IF(AE418="","",IFERROR(INDEX($AQ$11:$AQ$4010,MATCH(408,$AZ$11:$AZ$4010,0)),""))</f>
        <v/>
      </c>
      <c r="AI418" s="29" t="str">
        <f>IF(AE418="","",IFERROR(INDEX($AR$11:$AR$4010,MATCH(408,$AZ$11:$AZ$4010,0)),""))</f>
        <v/>
      </c>
      <c r="AJ418" s="29" t="str">
        <f>IF(AE418="","",IFERROR(INDEX($AT$11:$AT$4010,MATCH(408,$AZ$11:$AZ$4010,0)),""))</f>
        <v/>
      </c>
      <c r="AL418" s="31" t="str">
        <f t="shared" si="83"/>
        <v/>
      </c>
      <c r="AM418" s="26" t="str">
        <f t="shared" si="84"/>
        <v/>
      </c>
      <c r="AN418" s="32" t="str">
        <f t="shared" si="85"/>
        <v/>
      </c>
      <c r="AO418" s="32" t="str">
        <f t="shared" si="86"/>
        <v/>
      </c>
      <c r="AP418" s="24" t="str">
        <f t="shared" si="87"/>
        <v/>
      </c>
      <c r="AQ418" s="24" t="str">
        <f t="shared" si="88"/>
        <v/>
      </c>
      <c r="AR418" s="33" t="str">
        <f t="shared" si="89"/>
        <v/>
      </c>
      <c r="AS418" s="34"/>
      <c r="AT418" s="33"/>
      <c r="AV418" s="21">
        <f>IF(AND($AL418&lt;&gt;"",COUNTIF($AL$11:$AL418,$AL418)=1),1,0)</f>
        <v>0</v>
      </c>
      <c r="AW418" s="21">
        <f t="shared" si="91"/>
        <v>0</v>
      </c>
      <c r="AX418" s="21" t="str">
        <f t="shared" si="90"/>
        <v/>
      </c>
      <c r="AY418" s="21" t="str">
        <f>IF(AND($AM418&lt;&gt;"",$AS418&lt;&gt;"✓"),SUMPRODUCT(($AM$11:$AM418&lt;&gt;"")*($AS$11:$AS418&lt;&gt;"✓")),"")</f>
        <v/>
      </c>
      <c r="AZ418" s="21" t="str">
        <f>IF(AND($AM418&lt;&gt;"",$AS418="✓"),SUMPRODUCT(($AM$11:$AM418&lt;&gt;"")*($AS$11:$AS418="✓")),"")</f>
        <v/>
      </c>
      <c r="BA418" s="21" t="str">
        <f>IF($AL418="","",$AL418&amp;"|"&amp;COUNTIF($AL$11:$AL418,$AL418))</f>
        <v/>
      </c>
    </row>
    <row r="419" spans="2:53" ht="15" customHeight="1" x14ac:dyDescent="0.25">
      <c r="B419" s="5" t="str">
        <f t="shared" si="82"/>
        <v/>
      </c>
      <c r="C419" s="5"/>
      <c r="D419" s="5"/>
      <c r="E419" s="5"/>
      <c r="F419" s="6"/>
      <c r="G419" s="6"/>
      <c r="H419" s="7"/>
      <c r="I419" s="8"/>
      <c r="W419" s="14" t="str">
        <f>IF(X419="","",IFERROR(INDEX($AL$11:$AL$4010,MATCH(409,$AY$11:$AY$4010,0)),""))</f>
        <v/>
      </c>
      <c r="X419" s="12" t="str">
        <f>IFERROR(INDEX($AM$11:$AM$4010,MATCH(409,$AY$11:$AY$4010,0)),"")</f>
        <v/>
      </c>
      <c r="Y419" s="11" t="str">
        <f>IF(X419="","",IFERROR(INDEX($AN$11:$AN$4010,MATCH(409,$AY$11:$AY$4010,0)),""))</f>
        <v/>
      </c>
      <c r="Z419" s="11" t="str">
        <f>IF(X419="","",IFERROR(INDEX($AO$11:$AO$4010,MATCH(409,$AY$11:$AY$4010,0)),""))</f>
        <v/>
      </c>
      <c r="AA419" s="10" t="str">
        <f>IF(X419="","",IFERROR(INDEX($AQ$11:$AQ$4010,MATCH(409,$AY$11:$AY$4010,0)),""))</f>
        <v/>
      </c>
      <c r="AB419" s="15" t="str">
        <f>IF(X419="","",IFERROR(INDEX($AR$11:$AR$4010,MATCH(409,$AY$11:$AY$4010,0)),""))</f>
        <v/>
      </c>
      <c r="AD419" s="16" t="str">
        <f>IF(AE419="","",IFERROR(INDEX($AL$11:$AL$4010,MATCH(409,$AZ$11:$AZ$4010,0)),""))</f>
        <v/>
      </c>
      <c r="AE419" s="12" t="str">
        <f>IFERROR(INDEX($AM$11:$AM$4010,MATCH(409,$AZ$11:$AZ$4010,0)),"")</f>
        <v/>
      </c>
      <c r="AF419" s="11" t="str">
        <f>IF(AE419="","",IFERROR(INDEX($AN$11:$AN$4010,MATCH(409,$AZ$11:$AZ$4010,0)),""))</f>
        <v/>
      </c>
      <c r="AG419" s="11" t="str">
        <f>IF(AE419="","",IFERROR(INDEX($AO$11:$AO$4010,MATCH(409,$AZ$11:$AZ$4010,0)),""))</f>
        <v/>
      </c>
      <c r="AH419" s="10" t="str">
        <f>IF(AE419="","",IFERROR(INDEX($AQ$11:$AQ$4010,MATCH(409,$AZ$11:$AZ$4010,0)),""))</f>
        <v/>
      </c>
      <c r="AI419" s="15" t="str">
        <f>IF(AE419="","",IFERROR(INDEX($AR$11:$AR$4010,MATCH(409,$AZ$11:$AZ$4010,0)),""))</f>
        <v/>
      </c>
      <c r="AJ419" s="15" t="str">
        <f>IF(AE419="","",IFERROR(INDEX($AT$11:$AT$4010,MATCH(409,$AZ$11:$AZ$4010,0)),""))</f>
        <v/>
      </c>
      <c r="AL419" s="17" t="str">
        <f t="shared" si="83"/>
        <v/>
      </c>
      <c r="AM419" s="12" t="str">
        <f t="shared" si="84"/>
        <v/>
      </c>
      <c r="AN419" s="18" t="str">
        <f t="shared" si="85"/>
        <v/>
      </c>
      <c r="AO419" s="18" t="str">
        <f t="shared" si="86"/>
        <v/>
      </c>
      <c r="AP419" s="10" t="str">
        <f t="shared" si="87"/>
        <v/>
      </c>
      <c r="AQ419" s="10" t="str">
        <f t="shared" si="88"/>
        <v/>
      </c>
      <c r="AR419" s="19" t="str">
        <f t="shared" si="89"/>
        <v/>
      </c>
      <c r="AS419" s="20"/>
      <c r="AT419" s="19"/>
      <c r="AV419" s="21">
        <f>IF(AND($AL419&lt;&gt;"",COUNTIF($AL$11:$AL419,$AL419)=1),1,0)</f>
        <v>0</v>
      </c>
      <c r="AW419" s="21">
        <f t="shared" si="91"/>
        <v>0</v>
      </c>
      <c r="AX419" s="21" t="str">
        <f t="shared" si="90"/>
        <v/>
      </c>
      <c r="AY419" s="21" t="str">
        <f>IF(AND($AM419&lt;&gt;"",$AS419&lt;&gt;"✓"),SUMPRODUCT(($AM$11:$AM419&lt;&gt;"")*($AS$11:$AS419&lt;&gt;"✓")),"")</f>
        <v/>
      </c>
      <c r="AZ419" s="21" t="str">
        <f>IF(AND($AM419&lt;&gt;"",$AS419="✓"),SUMPRODUCT(($AM$11:$AM419&lt;&gt;"")*($AS$11:$AS419="✓")),"")</f>
        <v/>
      </c>
      <c r="BA419" s="21" t="str">
        <f>IF($AL419="","",$AL419&amp;"|"&amp;COUNTIF($AL$11:$AL419,$AL419))</f>
        <v/>
      </c>
    </row>
    <row r="420" spans="2:53" ht="15" customHeight="1" x14ac:dyDescent="0.25">
      <c r="B420" s="5" t="str">
        <f t="shared" si="82"/>
        <v/>
      </c>
      <c r="C420" s="5"/>
      <c r="D420" s="5"/>
      <c r="E420" s="5"/>
      <c r="F420" s="6"/>
      <c r="G420" s="6"/>
      <c r="H420" s="7"/>
      <c r="I420" s="8"/>
      <c r="W420" s="28" t="str">
        <f>IF(X420="","",IFERROR(INDEX($AL$11:$AL$4010,MATCH(410,$AY$11:$AY$4010,0)),""))</f>
        <v/>
      </c>
      <c r="X420" s="26" t="str">
        <f>IFERROR(INDEX($AM$11:$AM$4010,MATCH(410,$AY$11:$AY$4010,0)),"")</f>
        <v/>
      </c>
      <c r="Y420" s="25" t="str">
        <f>IF(X420="","",IFERROR(INDEX($AN$11:$AN$4010,MATCH(410,$AY$11:$AY$4010,0)),""))</f>
        <v/>
      </c>
      <c r="Z420" s="25" t="str">
        <f>IF(X420="","",IFERROR(INDEX($AO$11:$AO$4010,MATCH(410,$AY$11:$AY$4010,0)),""))</f>
        <v/>
      </c>
      <c r="AA420" s="24" t="str">
        <f>IF(X420="","",IFERROR(INDEX($AQ$11:$AQ$4010,MATCH(410,$AY$11:$AY$4010,0)),""))</f>
        <v/>
      </c>
      <c r="AB420" s="29" t="str">
        <f>IF(X420="","",IFERROR(INDEX($AR$11:$AR$4010,MATCH(410,$AY$11:$AY$4010,0)),""))</f>
        <v/>
      </c>
      <c r="AD420" s="30" t="str">
        <f>IF(AE420="","",IFERROR(INDEX($AL$11:$AL$4010,MATCH(410,$AZ$11:$AZ$4010,0)),""))</f>
        <v/>
      </c>
      <c r="AE420" s="26" t="str">
        <f>IFERROR(INDEX($AM$11:$AM$4010,MATCH(410,$AZ$11:$AZ$4010,0)),"")</f>
        <v/>
      </c>
      <c r="AF420" s="25" t="str">
        <f>IF(AE420="","",IFERROR(INDEX($AN$11:$AN$4010,MATCH(410,$AZ$11:$AZ$4010,0)),""))</f>
        <v/>
      </c>
      <c r="AG420" s="25" t="str">
        <f>IF(AE420="","",IFERROR(INDEX($AO$11:$AO$4010,MATCH(410,$AZ$11:$AZ$4010,0)),""))</f>
        <v/>
      </c>
      <c r="AH420" s="24" t="str">
        <f>IF(AE420="","",IFERROR(INDEX($AQ$11:$AQ$4010,MATCH(410,$AZ$11:$AZ$4010,0)),""))</f>
        <v/>
      </c>
      <c r="AI420" s="29" t="str">
        <f>IF(AE420="","",IFERROR(INDEX($AR$11:$AR$4010,MATCH(410,$AZ$11:$AZ$4010,0)),""))</f>
        <v/>
      </c>
      <c r="AJ420" s="29" t="str">
        <f>IF(AE420="","",IFERROR(INDEX($AT$11:$AT$4010,MATCH(410,$AZ$11:$AZ$4010,0)),""))</f>
        <v/>
      </c>
      <c r="AL420" s="31" t="str">
        <f t="shared" si="83"/>
        <v/>
      </c>
      <c r="AM420" s="26" t="str">
        <f t="shared" si="84"/>
        <v/>
      </c>
      <c r="AN420" s="32" t="str">
        <f t="shared" si="85"/>
        <v/>
      </c>
      <c r="AO420" s="32" t="str">
        <f t="shared" si="86"/>
        <v/>
      </c>
      <c r="AP420" s="24" t="str">
        <f t="shared" si="87"/>
        <v/>
      </c>
      <c r="AQ420" s="24" t="str">
        <f t="shared" si="88"/>
        <v/>
      </c>
      <c r="AR420" s="33" t="str">
        <f t="shared" si="89"/>
        <v/>
      </c>
      <c r="AS420" s="34"/>
      <c r="AT420" s="33"/>
      <c r="AV420" s="21">
        <f>IF(AND($AL420&lt;&gt;"",COUNTIF($AL$11:$AL420,$AL420)=1),1,0)</f>
        <v>0</v>
      </c>
      <c r="AW420" s="21">
        <f t="shared" si="91"/>
        <v>0</v>
      </c>
      <c r="AX420" s="21" t="str">
        <f t="shared" si="90"/>
        <v/>
      </c>
      <c r="AY420" s="21" t="str">
        <f>IF(AND($AM420&lt;&gt;"",$AS420&lt;&gt;"✓"),SUMPRODUCT(($AM$11:$AM420&lt;&gt;"")*($AS$11:$AS420&lt;&gt;"✓")),"")</f>
        <v/>
      </c>
      <c r="AZ420" s="21" t="str">
        <f>IF(AND($AM420&lt;&gt;"",$AS420="✓"),SUMPRODUCT(($AM$11:$AM420&lt;&gt;"")*($AS$11:$AS420="✓")),"")</f>
        <v/>
      </c>
      <c r="BA420" s="21" t="str">
        <f>IF($AL420="","",$AL420&amp;"|"&amp;COUNTIF($AL$11:$AL420,$AL420))</f>
        <v/>
      </c>
    </row>
    <row r="421" spans="2:53" ht="15" customHeight="1" x14ac:dyDescent="0.25">
      <c r="B421" s="5" t="str">
        <f t="shared" si="82"/>
        <v/>
      </c>
      <c r="C421" s="5"/>
      <c r="D421" s="5"/>
      <c r="E421" s="5"/>
      <c r="F421" s="6"/>
      <c r="G421" s="6"/>
      <c r="H421" s="7"/>
      <c r="I421" s="8"/>
      <c r="W421" s="14" t="str">
        <f>IF(X421="","",IFERROR(INDEX($AL$11:$AL$4010,MATCH(411,$AY$11:$AY$4010,0)),""))</f>
        <v/>
      </c>
      <c r="X421" s="12" t="str">
        <f>IFERROR(INDEX($AM$11:$AM$4010,MATCH(411,$AY$11:$AY$4010,0)),"")</f>
        <v/>
      </c>
      <c r="Y421" s="11" t="str">
        <f>IF(X421="","",IFERROR(INDEX($AN$11:$AN$4010,MATCH(411,$AY$11:$AY$4010,0)),""))</f>
        <v/>
      </c>
      <c r="Z421" s="11" t="str">
        <f>IF(X421="","",IFERROR(INDEX($AO$11:$AO$4010,MATCH(411,$AY$11:$AY$4010,0)),""))</f>
        <v/>
      </c>
      <c r="AA421" s="10" t="str">
        <f>IF(X421="","",IFERROR(INDEX($AQ$11:$AQ$4010,MATCH(411,$AY$11:$AY$4010,0)),""))</f>
        <v/>
      </c>
      <c r="AB421" s="15" t="str">
        <f>IF(X421="","",IFERROR(INDEX($AR$11:$AR$4010,MATCH(411,$AY$11:$AY$4010,0)),""))</f>
        <v/>
      </c>
      <c r="AD421" s="16" t="str">
        <f>IF(AE421="","",IFERROR(INDEX($AL$11:$AL$4010,MATCH(411,$AZ$11:$AZ$4010,0)),""))</f>
        <v/>
      </c>
      <c r="AE421" s="12" t="str">
        <f>IFERROR(INDEX($AM$11:$AM$4010,MATCH(411,$AZ$11:$AZ$4010,0)),"")</f>
        <v/>
      </c>
      <c r="AF421" s="11" t="str">
        <f>IF(AE421="","",IFERROR(INDEX($AN$11:$AN$4010,MATCH(411,$AZ$11:$AZ$4010,0)),""))</f>
        <v/>
      </c>
      <c r="AG421" s="11" t="str">
        <f>IF(AE421="","",IFERROR(INDEX($AO$11:$AO$4010,MATCH(411,$AZ$11:$AZ$4010,0)),""))</f>
        <v/>
      </c>
      <c r="AH421" s="10" t="str">
        <f>IF(AE421="","",IFERROR(INDEX($AQ$11:$AQ$4010,MATCH(411,$AZ$11:$AZ$4010,0)),""))</f>
        <v/>
      </c>
      <c r="AI421" s="15" t="str">
        <f>IF(AE421="","",IFERROR(INDEX($AR$11:$AR$4010,MATCH(411,$AZ$11:$AZ$4010,0)),""))</f>
        <v/>
      </c>
      <c r="AJ421" s="15" t="str">
        <f>IF(AE421="","",IFERROR(INDEX($AT$11:$AT$4010,MATCH(411,$AZ$11:$AZ$4010,0)),""))</f>
        <v/>
      </c>
      <c r="AL421" s="17" t="str">
        <f t="shared" si="83"/>
        <v/>
      </c>
      <c r="AM421" s="12" t="str">
        <f t="shared" si="84"/>
        <v/>
      </c>
      <c r="AN421" s="18" t="str">
        <f t="shared" si="85"/>
        <v/>
      </c>
      <c r="AO421" s="18" t="str">
        <f t="shared" si="86"/>
        <v/>
      </c>
      <c r="AP421" s="10" t="str">
        <f t="shared" si="87"/>
        <v/>
      </c>
      <c r="AQ421" s="10" t="str">
        <f t="shared" si="88"/>
        <v/>
      </c>
      <c r="AR421" s="19" t="str">
        <f t="shared" si="89"/>
        <v/>
      </c>
      <c r="AS421" s="20"/>
      <c r="AT421" s="19"/>
      <c r="AV421" s="21">
        <f>IF(AND($AL421&lt;&gt;"",COUNTIF($AL$11:$AL421,$AL421)=1),1,0)</f>
        <v>0</v>
      </c>
      <c r="AW421" s="21">
        <f t="shared" si="91"/>
        <v>0</v>
      </c>
      <c r="AX421" s="21" t="str">
        <f t="shared" si="90"/>
        <v/>
      </c>
      <c r="AY421" s="21" t="str">
        <f>IF(AND($AM421&lt;&gt;"",$AS421&lt;&gt;"✓"),SUMPRODUCT(($AM$11:$AM421&lt;&gt;"")*($AS$11:$AS421&lt;&gt;"✓")),"")</f>
        <v/>
      </c>
      <c r="AZ421" s="21" t="str">
        <f>IF(AND($AM421&lt;&gt;"",$AS421="✓"),SUMPRODUCT(($AM$11:$AM421&lt;&gt;"")*($AS$11:$AS421="✓")),"")</f>
        <v/>
      </c>
      <c r="BA421" s="21" t="str">
        <f>IF($AL421="","",$AL421&amp;"|"&amp;COUNTIF($AL$11:$AL421,$AL421))</f>
        <v/>
      </c>
    </row>
    <row r="422" spans="2:53" ht="15" customHeight="1" x14ac:dyDescent="0.25">
      <c r="B422" s="5" t="str">
        <f t="shared" si="82"/>
        <v/>
      </c>
      <c r="C422" s="5"/>
      <c r="D422" s="5"/>
      <c r="E422" s="5"/>
      <c r="F422" s="6"/>
      <c r="G422" s="6"/>
      <c r="H422" s="7"/>
      <c r="I422" s="8"/>
      <c r="W422" s="28" t="str">
        <f>IF(X422="","",IFERROR(INDEX($AL$11:$AL$4010,MATCH(412,$AY$11:$AY$4010,0)),""))</f>
        <v/>
      </c>
      <c r="X422" s="26" t="str">
        <f>IFERROR(INDEX($AM$11:$AM$4010,MATCH(412,$AY$11:$AY$4010,0)),"")</f>
        <v/>
      </c>
      <c r="Y422" s="25" t="str">
        <f>IF(X422="","",IFERROR(INDEX($AN$11:$AN$4010,MATCH(412,$AY$11:$AY$4010,0)),""))</f>
        <v/>
      </c>
      <c r="Z422" s="25" t="str">
        <f>IF(X422="","",IFERROR(INDEX($AO$11:$AO$4010,MATCH(412,$AY$11:$AY$4010,0)),""))</f>
        <v/>
      </c>
      <c r="AA422" s="24" t="str">
        <f>IF(X422="","",IFERROR(INDEX($AQ$11:$AQ$4010,MATCH(412,$AY$11:$AY$4010,0)),""))</f>
        <v/>
      </c>
      <c r="AB422" s="29" t="str">
        <f>IF(X422="","",IFERROR(INDEX($AR$11:$AR$4010,MATCH(412,$AY$11:$AY$4010,0)),""))</f>
        <v/>
      </c>
      <c r="AD422" s="30" t="str">
        <f>IF(AE422="","",IFERROR(INDEX($AL$11:$AL$4010,MATCH(412,$AZ$11:$AZ$4010,0)),""))</f>
        <v/>
      </c>
      <c r="AE422" s="26" t="str">
        <f>IFERROR(INDEX($AM$11:$AM$4010,MATCH(412,$AZ$11:$AZ$4010,0)),"")</f>
        <v/>
      </c>
      <c r="AF422" s="25" t="str">
        <f>IF(AE422="","",IFERROR(INDEX($AN$11:$AN$4010,MATCH(412,$AZ$11:$AZ$4010,0)),""))</f>
        <v/>
      </c>
      <c r="AG422" s="25" t="str">
        <f>IF(AE422="","",IFERROR(INDEX($AO$11:$AO$4010,MATCH(412,$AZ$11:$AZ$4010,0)),""))</f>
        <v/>
      </c>
      <c r="AH422" s="24" t="str">
        <f>IF(AE422="","",IFERROR(INDEX($AQ$11:$AQ$4010,MATCH(412,$AZ$11:$AZ$4010,0)),""))</f>
        <v/>
      </c>
      <c r="AI422" s="29" t="str">
        <f>IF(AE422="","",IFERROR(INDEX($AR$11:$AR$4010,MATCH(412,$AZ$11:$AZ$4010,0)),""))</f>
        <v/>
      </c>
      <c r="AJ422" s="29" t="str">
        <f>IF(AE422="","",IFERROR(INDEX($AT$11:$AT$4010,MATCH(412,$AZ$11:$AZ$4010,0)),""))</f>
        <v/>
      </c>
      <c r="AL422" s="31" t="str">
        <f t="shared" si="83"/>
        <v/>
      </c>
      <c r="AM422" s="26" t="str">
        <f t="shared" si="84"/>
        <v/>
      </c>
      <c r="AN422" s="32" t="str">
        <f t="shared" si="85"/>
        <v/>
      </c>
      <c r="AO422" s="32" t="str">
        <f t="shared" si="86"/>
        <v/>
      </c>
      <c r="AP422" s="24" t="str">
        <f t="shared" si="87"/>
        <v/>
      </c>
      <c r="AQ422" s="24" t="str">
        <f t="shared" si="88"/>
        <v/>
      </c>
      <c r="AR422" s="33" t="str">
        <f t="shared" si="89"/>
        <v/>
      </c>
      <c r="AS422" s="34"/>
      <c r="AT422" s="33"/>
      <c r="AV422" s="21">
        <f>IF(AND($AL422&lt;&gt;"",COUNTIF($AL$11:$AL422,$AL422)=1),1,0)</f>
        <v>0</v>
      </c>
      <c r="AW422" s="21">
        <f t="shared" si="91"/>
        <v>0</v>
      </c>
      <c r="AX422" s="21" t="str">
        <f t="shared" si="90"/>
        <v/>
      </c>
      <c r="AY422" s="21" t="str">
        <f>IF(AND($AM422&lt;&gt;"",$AS422&lt;&gt;"✓"),SUMPRODUCT(($AM$11:$AM422&lt;&gt;"")*($AS$11:$AS422&lt;&gt;"✓")),"")</f>
        <v/>
      </c>
      <c r="AZ422" s="21" t="str">
        <f>IF(AND($AM422&lt;&gt;"",$AS422="✓"),SUMPRODUCT(($AM$11:$AM422&lt;&gt;"")*($AS$11:$AS422="✓")),"")</f>
        <v/>
      </c>
      <c r="BA422" s="21" t="str">
        <f>IF($AL422="","",$AL422&amp;"|"&amp;COUNTIF($AL$11:$AL422,$AL422))</f>
        <v/>
      </c>
    </row>
    <row r="423" spans="2:53" ht="15" customHeight="1" x14ac:dyDescent="0.25">
      <c r="B423" s="5" t="str">
        <f t="shared" si="82"/>
        <v/>
      </c>
      <c r="C423" s="5"/>
      <c r="D423" s="5"/>
      <c r="E423" s="5"/>
      <c r="F423" s="6"/>
      <c r="G423" s="6"/>
      <c r="H423" s="7"/>
      <c r="I423" s="8"/>
      <c r="W423" s="14" t="str">
        <f>IF(X423="","",IFERROR(INDEX($AL$11:$AL$4010,MATCH(413,$AY$11:$AY$4010,0)),""))</f>
        <v/>
      </c>
      <c r="X423" s="12" t="str">
        <f>IFERROR(INDEX($AM$11:$AM$4010,MATCH(413,$AY$11:$AY$4010,0)),"")</f>
        <v/>
      </c>
      <c r="Y423" s="11" t="str">
        <f>IF(X423="","",IFERROR(INDEX($AN$11:$AN$4010,MATCH(413,$AY$11:$AY$4010,0)),""))</f>
        <v/>
      </c>
      <c r="Z423" s="11" t="str">
        <f>IF(X423="","",IFERROR(INDEX($AO$11:$AO$4010,MATCH(413,$AY$11:$AY$4010,0)),""))</f>
        <v/>
      </c>
      <c r="AA423" s="10" t="str">
        <f>IF(X423="","",IFERROR(INDEX($AQ$11:$AQ$4010,MATCH(413,$AY$11:$AY$4010,0)),""))</f>
        <v/>
      </c>
      <c r="AB423" s="15" t="str">
        <f>IF(X423="","",IFERROR(INDEX($AR$11:$AR$4010,MATCH(413,$AY$11:$AY$4010,0)),""))</f>
        <v/>
      </c>
      <c r="AD423" s="16" t="str">
        <f>IF(AE423="","",IFERROR(INDEX($AL$11:$AL$4010,MATCH(413,$AZ$11:$AZ$4010,0)),""))</f>
        <v/>
      </c>
      <c r="AE423" s="12" t="str">
        <f>IFERROR(INDEX($AM$11:$AM$4010,MATCH(413,$AZ$11:$AZ$4010,0)),"")</f>
        <v/>
      </c>
      <c r="AF423" s="11" t="str">
        <f>IF(AE423="","",IFERROR(INDEX($AN$11:$AN$4010,MATCH(413,$AZ$11:$AZ$4010,0)),""))</f>
        <v/>
      </c>
      <c r="AG423" s="11" t="str">
        <f>IF(AE423="","",IFERROR(INDEX($AO$11:$AO$4010,MATCH(413,$AZ$11:$AZ$4010,0)),""))</f>
        <v/>
      </c>
      <c r="AH423" s="10" t="str">
        <f>IF(AE423="","",IFERROR(INDEX($AQ$11:$AQ$4010,MATCH(413,$AZ$11:$AZ$4010,0)),""))</f>
        <v/>
      </c>
      <c r="AI423" s="15" t="str">
        <f>IF(AE423="","",IFERROR(INDEX($AR$11:$AR$4010,MATCH(413,$AZ$11:$AZ$4010,0)),""))</f>
        <v/>
      </c>
      <c r="AJ423" s="15" t="str">
        <f>IF(AE423="","",IFERROR(INDEX($AT$11:$AT$4010,MATCH(413,$AZ$11:$AZ$4010,0)),""))</f>
        <v/>
      </c>
      <c r="AL423" s="17" t="str">
        <f t="shared" si="83"/>
        <v/>
      </c>
      <c r="AM423" s="12" t="str">
        <f t="shared" si="84"/>
        <v/>
      </c>
      <c r="AN423" s="18" t="str">
        <f t="shared" si="85"/>
        <v/>
      </c>
      <c r="AO423" s="18" t="str">
        <f t="shared" si="86"/>
        <v/>
      </c>
      <c r="AP423" s="10" t="str">
        <f t="shared" si="87"/>
        <v/>
      </c>
      <c r="AQ423" s="10" t="str">
        <f t="shared" si="88"/>
        <v/>
      </c>
      <c r="AR423" s="19" t="str">
        <f t="shared" si="89"/>
        <v/>
      </c>
      <c r="AS423" s="20"/>
      <c r="AT423" s="19"/>
      <c r="AV423" s="21">
        <f>IF(AND($AL423&lt;&gt;"",COUNTIF($AL$11:$AL423,$AL423)=1),1,0)</f>
        <v>0</v>
      </c>
      <c r="AW423" s="21">
        <f t="shared" si="91"/>
        <v>0</v>
      </c>
      <c r="AX423" s="21" t="str">
        <f t="shared" si="90"/>
        <v/>
      </c>
      <c r="AY423" s="21" t="str">
        <f>IF(AND($AM423&lt;&gt;"",$AS423&lt;&gt;"✓"),SUMPRODUCT(($AM$11:$AM423&lt;&gt;"")*($AS$11:$AS423&lt;&gt;"✓")),"")</f>
        <v/>
      </c>
      <c r="AZ423" s="21" t="str">
        <f>IF(AND($AM423&lt;&gt;"",$AS423="✓"),SUMPRODUCT(($AM$11:$AM423&lt;&gt;"")*($AS$11:$AS423="✓")),"")</f>
        <v/>
      </c>
      <c r="BA423" s="21" t="str">
        <f>IF($AL423="","",$AL423&amp;"|"&amp;COUNTIF($AL$11:$AL423,$AL423))</f>
        <v/>
      </c>
    </row>
    <row r="424" spans="2:53" ht="15" customHeight="1" x14ac:dyDescent="0.25">
      <c r="B424" s="5" t="str">
        <f t="shared" si="82"/>
        <v/>
      </c>
      <c r="C424" s="5"/>
      <c r="D424" s="5"/>
      <c r="E424" s="5"/>
      <c r="F424" s="6"/>
      <c r="G424" s="6"/>
      <c r="H424" s="7"/>
      <c r="I424" s="8"/>
      <c r="W424" s="28" t="str">
        <f>IF(X424="","",IFERROR(INDEX($AL$11:$AL$4010,MATCH(414,$AY$11:$AY$4010,0)),""))</f>
        <v/>
      </c>
      <c r="X424" s="26" t="str">
        <f>IFERROR(INDEX($AM$11:$AM$4010,MATCH(414,$AY$11:$AY$4010,0)),"")</f>
        <v/>
      </c>
      <c r="Y424" s="25" t="str">
        <f>IF(X424="","",IFERROR(INDEX($AN$11:$AN$4010,MATCH(414,$AY$11:$AY$4010,0)),""))</f>
        <v/>
      </c>
      <c r="Z424" s="25" t="str">
        <f>IF(X424="","",IFERROR(INDEX($AO$11:$AO$4010,MATCH(414,$AY$11:$AY$4010,0)),""))</f>
        <v/>
      </c>
      <c r="AA424" s="24" t="str">
        <f>IF(X424="","",IFERROR(INDEX($AQ$11:$AQ$4010,MATCH(414,$AY$11:$AY$4010,0)),""))</f>
        <v/>
      </c>
      <c r="AB424" s="29" t="str">
        <f>IF(X424="","",IFERROR(INDEX($AR$11:$AR$4010,MATCH(414,$AY$11:$AY$4010,0)),""))</f>
        <v/>
      </c>
      <c r="AD424" s="30" t="str">
        <f>IF(AE424="","",IFERROR(INDEX($AL$11:$AL$4010,MATCH(414,$AZ$11:$AZ$4010,0)),""))</f>
        <v/>
      </c>
      <c r="AE424" s="26" t="str">
        <f>IFERROR(INDEX($AM$11:$AM$4010,MATCH(414,$AZ$11:$AZ$4010,0)),"")</f>
        <v/>
      </c>
      <c r="AF424" s="25" t="str">
        <f>IF(AE424="","",IFERROR(INDEX($AN$11:$AN$4010,MATCH(414,$AZ$11:$AZ$4010,0)),""))</f>
        <v/>
      </c>
      <c r="AG424" s="25" t="str">
        <f>IF(AE424="","",IFERROR(INDEX($AO$11:$AO$4010,MATCH(414,$AZ$11:$AZ$4010,0)),""))</f>
        <v/>
      </c>
      <c r="AH424" s="24" t="str">
        <f>IF(AE424="","",IFERROR(INDEX($AQ$11:$AQ$4010,MATCH(414,$AZ$11:$AZ$4010,0)),""))</f>
        <v/>
      </c>
      <c r="AI424" s="29" t="str">
        <f>IF(AE424="","",IFERROR(INDEX($AR$11:$AR$4010,MATCH(414,$AZ$11:$AZ$4010,0)),""))</f>
        <v/>
      </c>
      <c r="AJ424" s="29" t="str">
        <f>IF(AE424="","",IFERROR(INDEX($AT$11:$AT$4010,MATCH(414,$AZ$11:$AZ$4010,0)),""))</f>
        <v/>
      </c>
      <c r="AL424" s="31" t="str">
        <f t="shared" si="83"/>
        <v/>
      </c>
      <c r="AM424" s="26" t="str">
        <f t="shared" si="84"/>
        <v/>
      </c>
      <c r="AN424" s="32" t="str">
        <f t="shared" si="85"/>
        <v/>
      </c>
      <c r="AO424" s="32" t="str">
        <f t="shared" si="86"/>
        <v/>
      </c>
      <c r="AP424" s="24" t="str">
        <f t="shared" si="87"/>
        <v/>
      </c>
      <c r="AQ424" s="24" t="str">
        <f t="shared" si="88"/>
        <v/>
      </c>
      <c r="AR424" s="33" t="str">
        <f t="shared" si="89"/>
        <v/>
      </c>
      <c r="AS424" s="34"/>
      <c r="AT424" s="33"/>
      <c r="AV424" s="21">
        <f>IF(AND($AL424&lt;&gt;"",COUNTIF($AL$11:$AL424,$AL424)=1),1,0)</f>
        <v>0</v>
      </c>
      <c r="AW424" s="21">
        <f t="shared" si="91"/>
        <v>0</v>
      </c>
      <c r="AX424" s="21" t="str">
        <f t="shared" si="90"/>
        <v/>
      </c>
      <c r="AY424" s="21" t="str">
        <f>IF(AND($AM424&lt;&gt;"",$AS424&lt;&gt;"✓"),SUMPRODUCT(($AM$11:$AM424&lt;&gt;"")*($AS$11:$AS424&lt;&gt;"✓")),"")</f>
        <v/>
      </c>
      <c r="AZ424" s="21" t="str">
        <f>IF(AND($AM424&lt;&gt;"",$AS424="✓"),SUMPRODUCT(($AM$11:$AM424&lt;&gt;"")*($AS$11:$AS424="✓")),"")</f>
        <v/>
      </c>
      <c r="BA424" s="21" t="str">
        <f>IF($AL424="","",$AL424&amp;"|"&amp;COUNTIF($AL$11:$AL424,$AL424))</f>
        <v/>
      </c>
    </row>
    <row r="425" spans="2:53" ht="15" customHeight="1" x14ac:dyDescent="0.25">
      <c r="B425" s="5" t="str">
        <f t="shared" si="82"/>
        <v/>
      </c>
      <c r="C425" s="5"/>
      <c r="D425" s="5"/>
      <c r="E425" s="5"/>
      <c r="F425" s="6"/>
      <c r="G425" s="6"/>
      <c r="H425" s="7"/>
      <c r="I425" s="8"/>
      <c r="W425" s="14" t="str">
        <f>IF(X425="","",IFERROR(INDEX($AL$11:$AL$4010,MATCH(415,$AY$11:$AY$4010,0)),""))</f>
        <v/>
      </c>
      <c r="X425" s="12" t="str">
        <f>IFERROR(INDEX($AM$11:$AM$4010,MATCH(415,$AY$11:$AY$4010,0)),"")</f>
        <v/>
      </c>
      <c r="Y425" s="11" t="str">
        <f>IF(X425="","",IFERROR(INDEX($AN$11:$AN$4010,MATCH(415,$AY$11:$AY$4010,0)),""))</f>
        <v/>
      </c>
      <c r="Z425" s="11" t="str">
        <f>IF(X425="","",IFERROR(INDEX($AO$11:$AO$4010,MATCH(415,$AY$11:$AY$4010,0)),""))</f>
        <v/>
      </c>
      <c r="AA425" s="10" t="str">
        <f>IF(X425="","",IFERROR(INDEX($AQ$11:$AQ$4010,MATCH(415,$AY$11:$AY$4010,0)),""))</f>
        <v/>
      </c>
      <c r="AB425" s="15" t="str">
        <f>IF(X425="","",IFERROR(INDEX($AR$11:$AR$4010,MATCH(415,$AY$11:$AY$4010,0)),""))</f>
        <v/>
      </c>
      <c r="AD425" s="16" t="str">
        <f>IF(AE425="","",IFERROR(INDEX($AL$11:$AL$4010,MATCH(415,$AZ$11:$AZ$4010,0)),""))</f>
        <v/>
      </c>
      <c r="AE425" s="12" t="str">
        <f>IFERROR(INDEX($AM$11:$AM$4010,MATCH(415,$AZ$11:$AZ$4010,0)),"")</f>
        <v/>
      </c>
      <c r="AF425" s="11" t="str">
        <f>IF(AE425="","",IFERROR(INDEX($AN$11:$AN$4010,MATCH(415,$AZ$11:$AZ$4010,0)),""))</f>
        <v/>
      </c>
      <c r="AG425" s="11" t="str">
        <f>IF(AE425="","",IFERROR(INDEX($AO$11:$AO$4010,MATCH(415,$AZ$11:$AZ$4010,0)),""))</f>
        <v/>
      </c>
      <c r="AH425" s="10" t="str">
        <f>IF(AE425="","",IFERROR(INDEX($AQ$11:$AQ$4010,MATCH(415,$AZ$11:$AZ$4010,0)),""))</f>
        <v/>
      </c>
      <c r="AI425" s="15" t="str">
        <f>IF(AE425="","",IFERROR(INDEX($AR$11:$AR$4010,MATCH(415,$AZ$11:$AZ$4010,0)),""))</f>
        <v/>
      </c>
      <c r="AJ425" s="15" t="str">
        <f>IF(AE425="","",IFERROR(INDEX($AT$11:$AT$4010,MATCH(415,$AZ$11:$AZ$4010,0)),""))</f>
        <v/>
      </c>
      <c r="AL425" s="17" t="str">
        <f t="shared" si="83"/>
        <v/>
      </c>
      <c r="AM425" s="12" t="str">
        <f t="shared" si="84"/>
        <v/>
      </c>
      <c r="AN425" s="18" t="str">
        <f t="shared" si="85"/>
        <v/>
      </c>
      <c r="AO425" s="18" t="str">
        <f t="shared" si="86"/>
        <v/>
      </c>
      <c r="AP425" s="10" t="str">
        <f t="shared" si="87"/>
        <v/>
      </c>
      <c r="AQ425" s="10" t="str">
        <f t="shared" si="88"/>
        <v/>
      </c>
      <c r="AR425" s="19" t="str">
        <f t="shared" si="89"/>
        <v/>
      </c>
      <c r="AS425" s="20"/>
      <c r="AT425" s="19"/>
      <c r="AV425" s="21">
        <f>IF(AND($AL425&lt;&gt;"",COUNTIF($AL$11:$AL425,$AL425)=1),1,0)</f>
        <v>0</v>
      </c>
      <c r="AW425" s="21">
        <f t="shared" si="91"/>
        <v>0</v>
      </c>
      <c r="AX425" s="21" t="str">
        <f t="shared" si="90"/>
        <v/>
      </c>
      <c r="AY425" s="21" t="str">
        <f>IF(AND($AM425&lt;&gt;"",$AS425&lt;&gt;"✓"),SUMPRODUCT(($AM$11:$AM425&lt;&gt;"")*($AS$11:$AS425&lt;&gt;"✓")),"")</f>
        <v/>
      </c>
      <c r="AZ425" s="21" t="str">
        <f>IF(AND($AM425&lt;&gt;"",$AS425="✓"),SUMPRODUCT(($AM$11:$AM425&lt;&gt;"")*($AS$11:$AS425="✓")),"")</f>
        <v/>
      </c>
      <c r="BA425" s="21" t="str">
        <f>IF($AL425="","",$AL425&amp;"|"&amp;COUNTIF($AL$11:$AL425,$AL425))</f>
        <v/>
      </c>
    </row>
    <row r="426" spans="2:53" ht="15" customHeight="1" x14ac:dyDescent="0.25">
      <c r="B426" s="5" t="str">
        <f t="shared" si="82"/>
        <v/>
      </c>
      <c r="C426" s="5"/>
      <c r="D426" s="5"/>
      <c r="E426" s="5"/>
      <c r="F426" s="6"/>
      <c r="G426" s="6"/>
      <c r="H426" s="7"/>
      <c r="I426" s="8"/>
      <c r="W426" s="28" t="str">
        <f>IF(X426="","",IFERROR(INDEX($AL$11:$AL$4010,MATCH(416,$AY$11:$AY$4010,0)),""))</f>
        <v/>
      </c>
      <c r="X426" s="26" t="str">
        <f>IFERROR(INDEX($AM$11:$AM$4010,MATCH(416,$AY$11:$AY$4010,0)),"")</f>
        <v/>
      </c>
      <c r="Y426" s="25" t="str">
        <f>IF(X426="","",IFERROR(INDEX($AN$11:$AN$4010,MATCH(416,$AY$11:$AY$4010,0)),""))</f>
        <v/>
      </c>
      <c r="Z426" s="25" t="str">
        <f>IF(X426="","",IFERROR(INDEX($AO$11:$AO$4010,MATCH(416,$AY$11:$AY$4010,0)),""))</f>
        <v/>
      </c>
      <c r="AA426" s="24" t="str">
        <f>IF(X426="","",IFERROR(INDEX($AQ$11:$AQ$4010,MATCH(416,$AY$11:$AY$4010,0)),""))</f>
        <v/>
      </c>
      <c r="AB426" s="29" t="str">
        <f>IF(X426="","",IFERROR(INDEX($AR$11:$AR$4010,MATCH(416,$AY$11:$AY$4010,0)),""))</f>
        <v/>
      </c>
      <c r="AD426" s="30" t="str">
        <f>IF(AE426="","",IFERROR(INDEX($AL$11:$AL$4010,MATCH(416,$AZ$11:$AZ$4010,0)),""))</f>
        <v/>
      </c>
      <c r="AE426" s="26" t="str">
        <f>IFERROR(INDEX($AM$11:$AM$4010,MATCH(416,$AZ$11:$AZ$4010,0)),"")</f>
        <v/>
      </c>
      <c r="AF426" s="25" t="str">
        <f>IF(AE426="","",IFERROR(INDEX($AN$11:$AN$4010,MATCH(416,$AZ$11:$AZ$4010,0)),""))</f>
        <v/>
      </c>
      <c r="AG426" s="25" t="str">
        <f>IF(AE426="","",IFERROR(INDEX($AO$11:$AO$4010,MATCH(416,$AZ$11:$AZ$4010,0)),""))</f>
        <v/>
      </c>
      <c r="AH426" s="24" t="str">
        <f>IF(AE426="","",IFERROR(INDEX($AQ$11:$AQ$4010,MATCH(416,$AZ$11:$AZ$4010,0)),""))</f>
        <v/>
      </c>
      <c r="AI426" s="29" t="str">
        <f>IF(AE426="","",IFERROR(INDEX($AR$11:$AR$4010,MATCH(416,$AZ$11:$AZ$4010,0)),""))</f>
        <v/>
      </c>
      <c r="AJ426" s="29" t="str">
        <f>IF(AE426="","",IFERROR(INDEX($AT$11:$AT$4010,MATCH(416,$AZ$11:$AZ$4010,0)),""))</f>
        <v/>
      </c>
      <c r="AL426" s="31" t="str">
        <f t="shared" si="83"/>
        <v/>
      </c>
      <c r="AM426" s="26" t="str">
        <f t="shared" si="84"/>
        <v/>
      </c>
      <c r="AN426" s="32" t="str">
        <f t="shared" si="85"/>
        <v/>
      </c>
      <c r="AO426" s="32" t="str">
        <f t="shared" si="86"/>
        <v/>
      </c>
      <c r="AP426" s="24" t="str">
        <f t="shared" si="87"/>
        <v/>
      </c>
      <c r="AQ426" s="24" t="str">
        <f t="shared" si="88"/>
        <v/>
      </c>
      <c r="AR426" s="33" t="str">
        <f t="shared" si="89"/>
        <v/>
      </c>
      <c r="AS426" s="34"/>
      <c r="AT426" s="33"/>
      <c r="AV426" s="21">
        <f>IF(AND($AL426&lt;&gt;"",COUNTIF($AL$11:$AL426,$AL426)=1),1,0)</f>
        <v>0</v>
      </c>
      <c r="AW426" s="21">
        <f t="shared" si="91"/>
        <v>0</v>
      </c>
      <c r="AX426" s="21" t="str">
        <f t="shared" si="90"/>
        <v/>
      </c>
      <c r="AY426" s="21" t="str">
        <f>IF(AND($AM426&lt;&gt;"",$AS426&lt;&gt;"✓"),SUMPRODUCT(($AM$11:$AM426&lt;&gt;"")*($AS$11:$AS426&lt;&gt;"✓")),"")</f>
        <v/>
      </c>
      <c r="AZ426" s="21" t="str">
        <f>IF(AND($AM426&lt;&gt;"",$AS426="✓"),SUMPRODUCT(($AM$11:$AM426&lt;&gt;"")*($AS$11:$AS426="✓")),"")</f>
        <v/>
      </c>
      <c r="BA426" s="21" t="str">
        <f>IF($AL426="","",$AL426&amp;"|"&amp;COUNTIF($AL$11:$AL426,$AL426))</f>
        <v/>
      </c>
    </row>
    <row r="427" spans="2:53" ht="15" customHeight="1" x14ac:dyDescent="0.25">
      <c r="B427" s="5" t="str">
        <f t="shared" si="82"/>
        <v/>
      </c>
      <c r="C427" s="5"/>
      <c r="D427" s="5"/>
      <c r="E427" s="5"/>
      <c r="F427" s="6"/>
      <c r="G427" s="6"/>
      <c r="H427" s="7"/>
      <c r="I427" s="8"/>
      <c r="W427" s="14" t="str">
        <f>IF(X427="","",IFERROR(INDEX($AL$11:$AL$4010,MATCH(417,$AY$11:$AY$4010,0)),""))</f>
        <v/>
      </c>
      <c r="X427" s="12" t="str">
        <f>IFERROR(INDEX($AM$11:$AM$4010,MATCH(417,$AY$11:$AY$4010,0)),"")</f>
        <v/>
      </c>
      <c r="Y427" s="11" t="str">
        <f>IF(X427="","",IFERROR(INDEX($AN$11:$AN$4010,MATCH(417,$AY$11:$AY$4010,0)),""))</f>
        <v/>
      </c>
      <c r="Z427" s="11" t="str">
        <f>IF(X427="","",IFERROR(INDEX($AO$11:$AO$4010,MATCH(417,$AY$11:$AY$4010,0)),""))</f>
        <v/>
      </c>
      <c r="AA427" s="10" t="str">
        <f>IF(X427="","",IFERROR(INDEX($AQ$11:$AQ$4010,MATCH(417,$AY$11:$AY$4010,0)),""))</f>
        <v/>
      </c>
      <c r="AB427" s="15" t="str">
        <f>IF(X427="","",IFERROR(INDEX($AR$11:$AR$4010,MATCH(417,$AY$11:$AY$4010,0)),""))</f>
        <v/>
      </c>
      <c r="AD427" s="16" t="str">
        <f>IF(AE427="","",IFERROR(INDEX($AL$11:$AL$4010,MATCH(417,$AZ$11:$AZ$4010,0)),""))</f>
        <v/>
      </c>
      <c r="AE427" s="12" t="str">
        <f>IFERROR(INDEX($AM$11:$AM$4010,MATCH(417,$AZ$11:$AZ$4010,0)),"")</f>
        <v/>
      </c>
      <c r="AF427" s="11" t="str">
        <f>IF(AE427="","",IFERROR(INDEX($AN$11:$AN$4010,MATCH(417,$AZ$11:$AZ$4010,0)),""))</f>
        <v/>
      </c>
      <c r="AG427" s="11" t="str">
        <f>IF(AE427="","",IFERROR(INDEX($AO$11:$AO$4010,MATCH(417,$AZ$11:$AZ$4010,0)),""))</f>
        <v/>
      </c>
      <c r="AH427" s="10" t="str">
        <f>IF(AE427="","",IFERROR(INDEX($AQ$11:$AQ$4010,MATCH(417,$AZ$11:$AZ$4010,0)),""))</f>
        <v/>
      </c>
      <c r="AI427" s="15" t="str">
        <f>IF(AE427="","",IFERROR(INDEX($AR$11:$AR$4010,MATCH(417,$AZ$11:$AZ$4010,0)),""))</f>
        <v/>
      </c>
      <c r="AJ427" s="15" t="str">
        <f>IF(AE427="","",IFERROR(INDEX($AT$11:$AT$4010,MATCH(417,$AZ$11:$AZ$4010,0)),""))</f>
        <v/>
      </c>
      <c r="AL427" s="17" t="str">
        <f t="shared" si="83"/>
        <v/>
      </c>
      <c r="AM427" s="12" t="str">
        <f t="shared" si="84"/>
        <v/>
      </c>
      <c r="AN427" s="18" t="str">
        <f t="shared" si="85"/>
        <v/>
      </c>
      <c r="AO427" s="18" t="str">
        <f t="shared" si="86"/>
        <v/>
      </c>
      <c r="AP427" s="10" t="str">
        <f t="shared" si="87"/>
        <v/>
      </c>
      <c r="AQ427" s="10" t="str">
        <f t="shared" si="88"/>
        <v/>
      </c>
      <c r="AR427" s="19" t="str">
        <f t="shared" si="89"/>
        <v/>
      </c>
      <c r="AS427" s="20"/>
      <c r="AT427" s="19"/>
      <c r="AV427" s="21">
        <f>IF(AND($AL427&lt;&gt;"",COUNTIF($AL$11:$AL427,$AL427)=1),1,0)</f>
        <v>0</v>
      </c>
      <c r="AW427" s="21">
        <f t="shared" si="91"/>
        <v>0</v>
      </c>
      <c r="AX427" s="21" t="str">
        <f t="shared" si="90"/>
        <v/>
      </c>
      <c r="AY427" s="21" t="str">
        <f>IF(AND($AM427&lt;&gt;"",$AS427&lt;&gt;"✓"),SUMPRODUCT(($AM$11:$AM427&lt;&gt;"")*($AS$11:$AS427&lt;&gt;"✓")),"")</f>
        <v/>
      </c>
      <c r="AZ427" s="21" t="str">
        <f>IF(AND($AM427&lt;&gt;"",$AS427="✓"),SUMPRODUCT(($AM$11:$AM427&lt;&gt;"")*($AS$11:$AS427="✓")),"")</f>
        <v/>
      </c>
      <c r="BA427" s="21" t="str">
        <f>IF($AL427="","",$AL427&amp;"|"&amp;COUNTIF($AL$11:$AL427,$AL427))</f>
        <v/>
      </c>
    </row>
    <row r="428" spans="2:53" ht="15" customHeight="1" x14ac:dyDescent="0.25">
      <c r="B428" s="5" t="str">
        <f t="shared" si="82"/>
        <v/>
      </c>
      <c r="C428" s="5"/>
      <c r="D428" s="5"/>
      <c r="E428" s="5"/>
      <c r="F428" s="6"/>
      <c r="G428" s="6"/>
      <c r="H428" s="7"/>
      <c r="I428" s="8"/>
      <c r="W428" s="28" t="str">
        <f>IF(X428="","",IFERROR(INDEX($AL$11:$AL$4010,MATCH(418,$AY$11:$AY$4010,0)),""))</f>
        <v/>
      </c>
      <c r="X428" s="26" t="str">
        <f>IFERROR(INDEX($AM$11:$AM$4010,MATCH(418,$AY$11:$AY$4010,0)),"")</f>
        <v/>
      </c>
      <c r="Y428" s="25" t="str">
        <f>IF(X428="","",IFERROR(INDEX($AN$11:$AN$4010,MATCH(418,$AY$11:$AY$4010,0)),""))</f>
        <v/>
      </c>
      <c r="Z428" s="25" t="str">
        <f>IF(X428="","",IFERROR(INDEX($AO$11:$AO$4010,MATCH(418,$AY$11:$AY$4010,0)),""))</f>
        <v/>
      </c>
      <c r="AA428" s="24" t="str">
        <f>IF(X428="","",IFERROR(INDEX($AQ$11:$AQ$4010,MATCH(418,$AY$11:$AY$4010,0)),""))</f>
        <v/>
      </c>
      <c r="AB428" s="29" t="str">
        <f>IF(X428="","",IFERROR(INDEX($AR$11:$AR$4010,MATCH(418,$AY$11:$AY$4010,0)),""))</f>
        <v/>
      </c>
      <c r="AD428" s="30" t="str">
        <f>IF(AE428="","",IFERROR(INDEX($AL$11:$AL$4010,MATCH(418,$AZ$11:$AZ$4010,0)),""))</f>
        <v/>
      </c>
      <c r="AE428" s="26" t="str">
        <f>IFERROR(INDEX($AM$11:$AM$4010,MATCH(418,$AZ$11:$AZ$4010,0)),"")</f>
        <v/>
      </c>
      <c r="AF428" s="25" t="str">
        <f>IF(AE428="","",IFERROR(INDEX($AN$11:$AN$4010,MATCH(418,$AZ$11:$AZ$4010,0)),""))</f>
        <v/>
      </c>
      <c r="AG428" s="25" t="str">
        <f>IF(AE428="","",IFERROR(INDEX($AO$11:$AO$4010,MATCH(418,$AZ$11:$AZ$4010,0)),""))</f>
        <v/>
      </c>
      <c r="AH428" s="24" t="str">
        <f>IF(AE428="","",IFERROR(INDEX($AQ$11:$AQ$4010,MATCH(418,$AZ$11:$AZ$4010,0)),""))</f>
        <v/>
      </c>
      <c r="AI428" s="29" t="str">
        <f>IF(AE428="","",IFERROR(INDEX($AR$11:$AR$4010,MATCH(418,$AZ$11:$AZ$4010,0)),""))</f>
        <v/>
      </c>
      <c r="AJ428" s="29" t="str">
        <f>IF(AE428="","",IFERROR(INDEX($AT$11:$AT$4010,MATCH(418,$AZ$11:$AZ$4010,0)),""))</f>
        <v/>
      </c>
      <c r="AL428" s="31" t="str">
        <f t="shared" si="83"/>
        <v/>
      </c>
      <c r="AM428" s="26" t="str">
        <f t="shared" si="84"/>
        <v/>
      </c>
      <c r="AN428" s="32" t="str">
        <f t="shared" si="85"/>
        <v/>
      </c>
      <c r="AO428" s="32" t="str">
        <f t="shared" si="86"/>
        <v/>
      </c>
      <c r="AP428" s="24" t="str">
        <f t="shared" si="87"/>
        <v/>
      </c>
      <c r="AQ428" s="24" t="str">
        <f t="shared" si="88"/>
        <v/>
      </c>
      <c r="AR428" s="33" t="str">
        <f t="shared" si="89"/>
        <v/>
      </c>
      <c r="AS428" s="34"/>
      <c r="AT428" s="33"/>
      <c r="AV428" s="21">
        <f>IF(AND($AL428&lt;&gt;"",COUNTIF($AL$11:$AL428,$AL428)=1),1,0)</f>
        <v>0</v>
      </c>
      <c r="AW428" s="21">
        <f t="shared" si="91"/>
        <v>0</v>
      </c>
      <c r="AX428" s="21" t="str">
        <f t="shared" si="90"/>
        <v/>
      </c>
      <c r="AY428" s="21" t="str">
        <f>IF(AND($AM428&lt;&gt;"",$AS428&lt;&gt;"✓"),SUMPRODUCT(($AM$11:$AM428&lt;&gt;"")*($AS$11:$AS428&lt;&gt;"✓")),"")</f>
        <v/>
      </c>
      <c r="AZ428" s="21" t="str">
        <f>IF(AND($AM428&lt;&gt;"",$AS428="✓"),SUMPRODUCT(($AM$11:$AM428&lt;&gt;"")*($AS$11:$AS428="✓")),"")</f>
        <v/>
      </c>
      <c r="BA428" s="21" t="str">
        <f>IF($AL428="","",$AL428&amp;"|"&amp;COUNTIF($AL$11:$AL428,$AL428))</f>
        <v/>
      </c>
    </row>
    <row r="429" spans="2:53" ht="15" customHeight="1" x14ac:dyDescent="0.25">
      <c r="B429" s="5" t="str">
        <f t="shared" si="82"/>
        <v/>
      </c>
      <c r="C429" s="5"/>
      <c r="D429" s="5"/>
      <c r="E429" s="5"/>
      <c r="F429" s="6"/>
      <c r="G429" s="6"/>
      <c r="H429" s="7"/>
      <c r="I429" s="8"/>
      <c r="W429" s="14" t="str">
        <f>IF(X429="","",IFERROR(INDEX($AL$11:$AL$4010,MATCH(419,$AY$11:$AY$4010,0)),""))</f>
        <v/>
      </c>
      <c r="X429" s="12" t="str">
        <f>IFERROR(INDEX($AM$11:$AM$4010,MATCH(419,$AY$11:$AY$4010,0)),"")</f>
        <v/>
      </c>
      <c r="Y429" s="11" t="str">
        <f>IF(X429="","",IFERROR(INDEX($AN$11:$AN$4010,MATCH(419,$AY$11:$AY$4010,0)),""))</f>
        <v/>
      </c>
      <c r="Z429" s="11" t="str">
        <f>IF(X429="","",IFERROR(INDEX($AO$11:$AO$4010,MATCH(419,$AY$11:$AY$4010,0)),""))</f>
        <v/>
      </c>
      <c r="AA429" s="10" t="str">
        <f>IF(X429="","",IFERROR(INDEX($AQ$11:$AQ$4010,MATCH(419,$AY$11:$AY$4010,0)),""))</f>
        <v/>
      </c>
      <c r="AB429" s="15" t="str">
        <f>IF(X429="","",IFERROR(INDEX($AR$11:$AR$4010,MATCH(419,$AY$11:$AY$4010,0)),""))</f>
        <v/>
      </c>
      <c r="AD429" s="16" t="str">
        <f>IF(AE429="","",IFERROR(INDEX($AL$11:$AL$4010,MATCH(419,$AZ$11:$AZ$4010,0)),""))</f>
        <v/>
      </c>
      <c r="AE429" s="12" t="str">
        <f>IFERROR(INDEX($AM$11:$AM$4010,MATCH(419,$AZ$11:$AZ$4010,0)),"")</f>
        <v/>
      </c>
      <c r="AF429" s="11" t="str">
        <f>IF(AE429="","",IFERROR(INDEX($AN$11:$AN$4010,MATCH(419,$AZ$11:$AZ$4010,0)),""))</f>
        <v/>
      </c>
      <c r="AG429" s="11" t="str">
        <f>IF(AE429="","",IFERROR(INDEX($AO$11:$AO$4010,MATCH(419,$AZ$11:$AZ$4010,0)),""))</f>
        <v/>
      </c>
      <c r="AH429" s="10" t="str">
        <f>IF(AE429="","",IFERROR(INDEX($AQ$11:$AQ$4010,MATCH(419,$AZ$11:$AZ$4010,0)),""))</f>
        <v/>
      </c>
      <c r="AI429" s="15" t="str">
        <f>IF(AE429="","",IFERROR(INDEX($AR$11:$AR$4010,MATCH(419,$AZ$11:$AZ$4010,0)),""))</f>
        <v/>
      </c>
      <c r="AJ429" s="15" t="str">
        <f>IF(AE429="","",IFERROR(INDEX($AT$11:$AT$4010,MATCH(419,$AZ$11:$AZ$4010,0)),""))</f>
        <v/>
      </c>
      <c r="AL429" s="17" t="str">
        <f t="shared" si="83"/>
        <v/>
      </c>
      <c r="AM429" s="12" t="str">
        <f t="shared" si="84"/>
        <v/>
      </c>
      <c r="AN429" s="18" t="str">
        <f t="shared" si="85"/>
        <v/>
      </c>
      <c r="AO429" s="18" t="str">
        <f t="shared" si="86"/>
        <v/>
      </c>
      <c r="AP429" s="10" t="str">
        <f t="shared" si="87"/>
        <v/>
      </c>
      <c r="AQ429" s="10" t="str">
        <f t="shared" si="88"/>
        <v/>
      </c>
      <c r="AR429" s="19" t="str">
        <f t="shared" si="89"/>
        <v/>
      </c>
      <c r="AS429" s="20"/>
      <c r="AT429" s="19"/>
      <c r="AV429" s="21">
        <f>IF(AND($AL429&lt;&gt;"",COUNTIF($AL$11:$AL429,$AL429)=1),1,0)</f>
        <v>0</v>
      </c>
      <c r="AW429" s="21">
        <f t="shared" si="91"/>
        <v>0</v>
      </c>
      <c r="AX429" s="21" t="str">
        <f t="shared" si="90"/>
        <v/>
      </c>
      <c r="AY429" s="21" t="str">
        <f>IF(AND($AM429&lt;&gt;"",$AS429&lt;&gt;"✓"),SUMPRODUCT(($AM$11:$AM429&lt;&gt;"")*($AS$11:$AS429&lt;&gt;"✓")),"")</f>
        <v/>
      </c>
      <c r="AZ429" s="21" t="str">
        <f>IF(AND($AM429&lt;&gt;"",$AS429="✓"),SUMPRODUCT(($AM$11:$AM429&lt;&gt;"")*($AS$11:$AS429="✓")),"")</f>
        <v/>
      </c>
      <c r="BA429" s="21" t="str">
        <f>IF($AL429="","",$AL429&amp;"|"&amp;COUNTIF($AL$11:$AL429,$AL429))</f>
        <v/>
      </c>
    </row>
    <row r="430" spans="2:53" ht="15" customHeight="1" x14ac:dyDescent="0.25">
      <c r="B430" s="5" t="str">
        <f t="shared" si="82"/>
        <v/>
      </c>
      <c r="C430" s="5"/>
      <c r="D430" s="5"/>
      <c r="E430" s="5"/>
      <c r="F430" s="6"/>
      <c r="G430" s="6"/>
      <c r="H430" s="7"/>
      <c r="I430" s="8"/>
      <c r="W430" s="28" t="str">
        <f>IF(X430="","",IFERROR(INDEX($AL$11:$AL$4010,MATCH(420,$AY$11:$AY$4010,0)),""))</f>
        <v/>
      </c>
      <c r="X430" s="26" t="str">
        <f>IFERROR(INDEX($AM$11:$AM$4010,MATCH(420,$AY$11:$AY$4010,0)),"")</f>
        <v/>
      </c>
      <c r="Y430" s="25" t="str">
        <f>IF(X430="","",IFERROR(INDEX($AN$11:$AN$4010,MATCH(420,$AY$11:$AY$4010,0)),""))</f>
        <v/>
      </c>
      <c r="Z430" s="25" t="str">
        <f>IF(X430="","",IFERROR(INDEX($AO$11:$AO$4010,MATCH(420,$AY$11:$AY$4010,0)),""))</f>
        <v/>
      </c>
      <c r="AA430" s="24" t="str">
        <f>IF(X430="","",IFERROR(INDEX($AQ$11:$AQ$4010,MATCH(420,$AY$11:$AY$4010,0)),""))</f>
        <v/>
      </c>
      <c r="AB430" s="29" t="str">
        <f>IF(X430="","",IFERROR(INDEX($AR$11:$AR$4010,MATCH(420,$AY$11:$AY$4010,0)),""))</f>
        <v/>
      </c>
      <c r="AD430" s="30" t="str">
        <f>IF(AE430="","",IFERROR(INDEX($AL$11:$AL$4010,MATCH(420,$AZ$11:$AZ$4010,0)),""))</f>
        <v/>
      </c>
      <c r="AE430" s="26" t="str">
        <f>IFERROR(INDEX($AM$11:$AM$4010,MATCH(420,$AZ$11:$AZ$4010,0)),"")</f>
        <v/>
      </c>
      <c r="AF430" s="25" t="str">
        <f>IF(AE430="","",IFERROR(INDEX($AN$11:$AN$4010,MATCH(420,$AZ$11:$AZ$4010,0)),""))</f>
        <v/>
      </c>
      <c r="AG430" s="25" t="str">
        <f>IF(AE430="","",IFERROR(INDEX($AO$11:$AO$4010,MATCH(420,$AZ$11:$AZ$4010,0)),""))</f>
        <v/>
      </c>
      <c r="AH430" s="24" t="str">
        <f>IF(AE430="","",IFERROR(INDEX($AQ$11:$AQ$4010,MATCH(420,$AZ$11:$AZ$4010,0)),""))</f>
        <v/>
      </c>
      <c r="AI430" s="29" t="str">
        <f>IF(AE430="","",IFERROR(INDEX($AR$11:$AR$4010,MATCH(420,$AZ$11:$AZ$4010,0)),""))</f>
        <v/>
      </c>
      <c r="AJ430" s="29" t="str">
        <f>IF(AE430="","",IFERROR(INDEX($AT$11:$AT$4010,MATCH(420,$AZ$11:$AZ$4010,0)),""))</f>
        <v/>
      </c>
      <c r="AL430" s="31" t="str">
        <f t="shared" si="83"/>
        <v/>
      </c>
      <c r="AM430" s="26" t="str">
        <f t="shared" si="84"/>
        <v/>
      </c>
      <c r="AN430" s="32" t="str">
        <f t="shared" si="85"/>
        <v/>
      </c>
      <c r="AO430" s="32" t="str">
        <f t="shared" si="86"/>
        <v/>
      </c>
      <c r="AP430" s="24" t="str">
        <f t="shared" si="87"/>
        <v/>
      </c>
      <c r="AQ430" s="24" t="str">
        <f t="shared" si="88"/>
        <v/>
      </c>
      <c r="AR430" s="33" t="str">
        <f t="shared" si="89"/>
        <v/>
      </c>
      <c r="AS430" s="34"/>
      <c r="AT430" s="33"/>
      <c r="AV430" s="21">
        <f>IF(AND($AL430&lt;&gt;"",COUNTIF($AL$11:$AL430,$AL430)=1),1,0)</f>
        <v>0</v>
      </c>
      <c r="AW430" s="21">
        <f t="shared" si="91"/>
        <v>0</v>
      </c>
      <c r="AX430" s="21" t="str">
        <f t="shared" si="90"/>
        <v/>
      </c>
      <c r="AY430" s="21" t="str">
        <f>IF(AND($AM430&lt;&gt;"",$AS430&lt;&gt;"✓"),SUMPRODUCT(($AM$11:$AM430&lt;&gt;"")*($AS$11:$AS430&lt;&gt;"✓")),"")</f>
        <v/>
      </c>
      <c r="AZ430" s="21" t="str">
        <f>IF(AND($AM430&lt;&gt;"",$AS430="✓"),SUMPRODUCT(($AM$11:$AM430&lt;&gt;"")*($AS$11:$AS430="✓")),"")</f>
        <v/>
      </c>
      <c r="BA430" s="21" t="str">
        <f>IF($AL430="","",$AL430&amp;"|"&amp;COUNTIF($AL$11:$AL430,$AL430))</f>
        <v/>
      </c>
    </row>
    <row r="431" spans="2:53" ht="15" customHeight="1" x14ac:dyDescent="0.25">
      <c r="B431" s="5" t="str">
        <f t="shared" si="82"/>
        <v/>
      </c>
      <c r="C431" s="5"/>
      <c r="D431" s="5"/>
      <c r="E431" s="5"/>
      <c r="F431" s="6"/>
      <c r="G431" s="6"/>
      <c r="H431" s="7"/>
      <c r="I431" s="8"/>
      <c r="W431" s="14" t="str">
        <f>IF(X431="","",IFERROR(INDEX($AL$11:$AL$4010,MATCH(421,$AY$11:$AY$4010,0)),""))</f>
        <v/>
      </c>
      <c r="X431" s="12" t="str">
        <f>IFERROR(INDEX($AM$11:$AM$4010,MATCH(421,$AY$11:$AY$4010,0)),"")</f>
        <v/>
      </c>
      <c r="Y431" s="11" t="str">
        <f>IF(X431="","",IFERROR(INDEX($AN$11:$AN$4010,MATCH(421,$AY$11:$AY$4010,0)),""))</f>
        <v/>
      </c>
      <c r="Z431" s="11" t="str">
        <f>IF(X431="","",IFERROR(INDEX($AO$11:$AO$4010,MATCH(421,$AY$11:$AY$4010,0)),""))</f>
        <v/>
      </c>
      <c r="AA431" s="10" t="str">
        <f>IF(X431="","",IFERROR(INDEX($AQ$11:$AQ$4010,MATCH(421,$AY$11:$AY$4010,0)),""))</f>
        <v/>
      </c>
      <c r="AB431" s="15" t="str">
        <f>IF(X431="","",IFERROR(INDEX($AR$11:$AR$4010,MATCH(421,$AY$11:$AY$4010,0)),""))</f>
        <v/>
      </c>
      <c r="AD431" s="16" t="str">
        <f>IF(AE431="","",IFERROR(INDEX($AL$11:$AL$4010,MATCH(421,$AZ$11:$AZ$4010,0)),""))</f>
        <v/>
      </c>
      <c r="AE431" s="12" t="str">
        <f>IFERROR(INDEX($AM$11:$AM$4010,MATCH(421,$AZ$11:$AZ$4010,0)),"")</f>
        <v/>
      </c>
      <c r="AF431" s="11" t="str">
        <f>IF(AE431="","",IFERROR(INDEX($AN$11:$AN$4010,MATCH(421,$AZ$11:$AZ$4010,0)),""))</f>
        <v/>
      </c>
      <c r="AG431" s="11" t="str">
        <f>IF(AE431="","",IFERROR(INDEX($AO$11:$AO$4010,MATCH(421,$AZ$11:$AZ$4010,0)),""))</f>
        <v/>
      </c>
      <c r="AH431" s="10" t="str">
        <f>IF(AE431="","",IFERROR(INDEX($AQ$11:$AQ$4010,MATCH(421,$AZ$11:$AZ$4010,0)),""))</f>
        <v/>
      </c>
      <c r="AI431" s="15" t="str">
        <f>IF(AE431="","",IFERROR(INDEX($AR$11:$AR$4010,MATCH(421,$AZ$11:$AZ$4010,0)),""))</f>
        <v/>
      </c>
      <c r="AJ431" s="15" t="str">
        <f>IF(AE431="","",IFERROR(INDEX($AT$11:$AT$4010,MATCH(421,$AZ$11:$AZ$4010,0)),""))</f>
        <v/>
      </c>
      <c r="AL431" s="17" t="str">
        <f t="shared" si="83"/>
        <v/>
      </c>
      <c r="AM431" s="12" t="str">
        <f t="shared" si="84"/>
        <v/>
      </c>
      <c r="AN431" s="18" t="str">
        <f t="shared" si="85"/>
        <v/>
      </c>
      <c r="AO431" s="18" t="str">
        <f t="shared" si="86"/>
        <v/>
      </c>
      <c r="AP431" s="10" t="str">
        <f t="shared" si="87"/>
        <v/>
      </c>
      <c r="AQ431" s="10" t="str">
        <f t="shared" si="88"/>
        <v/>
      </c>
      <c r="AR431" s="19" t="str">
        <f t="shared" si="89"/>
        <v/>
      </c>
      <c r="AS431" s="20"/>
      <c r="AT431" s="19"/>
      <c r="AV431" s="21">
        <f>IF(AND($AL431&lt;&gt;"",COUNTIF($AL$11:$AL431,$AL431)=1),1,0)</f>
        <v>0</v>
      </c>
      <c r="AW431" s="21">
        <f t="shared" si="91"/>
        <v>0</v>
      </c>
      <c r="AX431" s="21" t="str">
        <f t="shared" si="90"/>
        <v/>
      </c>
      <c r="AY431" s="21" t="str">
        <f>IF(AND($AM431&lt;&gt;"",$AS431&lt;&gt;"✓"),SUMPRODUCT(($AM$11:$AM431&lt;&gt;"")*($AS$11:$AS431&lt;&gt;"✓")),"")</f>
        <v/>
      </c>
      <c r="AZ431" s="21" t="str">
        <f>IF(AND($AM431&lt;&gt;"",$AS431="✓"),SUMPRODUCT(($AM$11:$AM431&lt;&gt;"")*($AS$11:$AS431="✓")),"")</f>
        <v/>
      </c>
      <c r="BA431" s="21" t="str">
        <f>IF($AL431="","",$AL431&amp;"|"&amp;COUNTIF($AL$11:$AL431,$AL431))</f>
        <v/>
      </c>
    </row>
    <row r="432" spans="2:53" ht="15" customHeight="1" x14ac:dyDescent="0.25">
      <c r="B432" s="5" t="str">
        <f t="shared" si="82"/>
        <v/>
      </c>
      <c r="C432" s="5"/>
      <c r="D432" s="5"/>
      <c r="E432" s="5"/>
      <c r="F432" s="6"/>
      <c r="G432" s="6"/>
      <c r="H432" s="7"/>
      <c r="I432" s="8"/>
      <c r="W432" s="28" t="str">
        <f>IF(X432="","",IFERROR(INDEX($AL$11:$AL$4010,MATCH(422,$AY$11:$AY$4010,0)),""))</f>
        <v/>
      </c>
      <c r="X432" s="26" t="str">
        <f>IFERROR(INDEX($AM$11:$AM$4010,MATCH(422,$AY$11:$AY$4010,0)),"")</f>
        <v/>
      </c>
      <c r="Y432" s="25" t="str">
        <f>IF(X432="","",IFERROR(INDEX($AN$11:$AN$4010,MATCH(422,$AY$11:$AY$4010,0)),""))</f>
        <v/>
      </c>
      <c r="Z432" s="25" t="str">
        <f>IF(X432="","",IFERROR(INDEX($AO$11:$AO$4010,MATCH(422,$AY$11:$AY$4010,0)),""))</f>
        <v/>
      </c>
      <c r="AA432" s="24" t="str">
        <f>IF(X432="","",IFERROR(INDEX($AQ$11:$AQ$4010,MATCH(422,$AY$11:$AY$4010,0)),""))</f>
        <v/>
      </c>
      <c r="AB432" s="29" t="str">
        <f>IF(X432="","",IFERROR(INDEX($AR$11:$AR$4010,MATCH(422,$AY$11:$AY$4010,0)),""))</f>
        <v/>
      </c>
      <c r="AD432" s="30" t="str">
        <f>IF(AE432="","",IFERROR(INDEX($AL$11:$AL$4010,MATCH(422,$AZ$11:$AZ$4010,0)),""))</f>
        <v/>
      </c>
      <c r="AE432" s="26" t="str">
        <f>IFERROR(INDEX($AM$11:$AM$4010,MATCH(422,$AZ$11:$AZ$4010,0)),"")</f>
        <v/>
      </c>
      <c r="AF432" s="25" t="str">
        <f>IF(AE432="","",IFERROR(INDEX($AN$11:$AN$4010,MATCH(422,$AZ$11:$AZ$4010,0)),""))</f>
        <v/>
      </c>
      <c r="AG432" s="25" t="str">
        <f>IF(AE432="","",IFERROR(INDEX($AO$11:$AO$4010,MATCH(422,$AZ$11:$AZ$4010,0)),""))</f>
        <v/>
      </c>
      <c r="AH432" s="24" t="str">
        <f>IF(AE432="","",IFERROR(INDEX($AQ$11:$AQ$4010,MATCH(422,$AZ$11:$AZ$4010,0)),""))</f>
        <v/>
      </c>
      <c r="AI432" s="29" t="str">
        <f>IF(AE432="","",IFERROR(INDEX($AR$11:$AR$4010,MATCH(422,$AZ$11:$AZ$4010,0)),""))</f>
        <v/>
      </c>
      <c r="AJ432" s="29" t="str">
        <f>IF(AE432="","",IFERROR(INDEX($AT$11:$AT$4010,MATCH(422,$AZ$11:$AZ$4010,0)),""))</f>
        <v/>
      </c>
      <c r="AL432" s="31" t="str">
        <f t="shared" si="83"/>
        <v/>
      </c>
      <c r="AM432" s="26" t="str">
        <f t="shared" si="84"/>
        <v/>
      </c>
      <c r="AN432" s="32" t="str">
        <f t="shared" si="85"/>
        <v/>
      </c>
      <c r="AO432" s="32" t="str">
        <f t="shared" si="86"/>
        <v/>
      </c>
      <c r="AP432" s="24" t="str">
        <f t="shared" si="87"/>
        <v/>
      </c>
      <c r="AQ432" s="24" t="str">
        <f t="shared" si="88"/>
        <v/>
      </c>
      <c r="AR432" s="33" t="str">
        <f t="shared" si="89"/>
        <v/>
      </c>
      <c r="AS432" s="34"/>
      <c r="AT432" s="33"/>
      <c r="AV432" s="21">
        <f>IF(AND($AL432&lt;&gt;"",COUNTIF($AL$11:$AL432,$AL432)=1),1,0)</f>
        <v>0</v>
      </c>
      <c r="AW432" s="21">
        <f t="shared" si="91"/>
        <v>0</v>
      </c>
      <c r="AX432" s="21" t="str">
        <f t="shared" si="90"/>
        <v/>
      </c>
      <c r="AY432" s="21" t="str">
        <f>IF(AND($AM432&lt;&gt;"",$AS432&lt;&gt;"✓"),SUMPRODUCT(($AM$11:$AM432&lt;&gt;"")*($AS$11:$AS432&lt;&gt;"✓")),"")</f>
        <v/>
      </c>
      <c r="AZ432" s="21" t="str">
        <f>IF(AND($AM432&lt;&gt;"",$AS432="✓"),SUMPRODUCT(($AM$11:$AM432&lt;&gt;"")*($AS$11:$AS432="✓")),"")</f>
        <v/>
      </c>
      <c r="BA432" s="21" t="str">
        <f>IF($AL432="","",$AL432&amp;"|"&amp;COUNTIF($AL$11:$AL432,$AL432))</f>
        <v/>
      </c>
    </row>
    <row r="433" spans="2:53" ht="15" customHeight="1" x14ac:dyDescent="0.25">
      <c r="B433" s="5" t="str">
        <f t="shared" si="82"/>
        <v/>
      </c>
      <c r="C433" s="5"/>
      <c r="D433" s="5"/>
      <c r="E433" s="5"/>
      <c r="F433" s="6"/>
      <c r="G433" s="6"/>
      <c r="H433" s="7"/>
      <c r="I433" s="8"/>
      <c r="W433" s="14" t="str">
        <f>IF(X433="","",IFERROR(INDEX($AL$11:$AL$4010,MATCH(423,$AY$11:$AY$4010,0)),""))</f>
        <v/>
      </c>
      <c r="X433" s="12" t="str">
        <f>IFERROR(INDEX($AM$11:$AM$4010,MATCH(423,$AY$11:$AY$4010,0)),"")</f>
        <v/>
      </c>
      <c r="Y433" s="11" t="str">
        <f>IF(X433="","",IFERROR(INDEX($AN$11:$AN$4010,MATCH(423,$AY$11:$AY$4010,0)),""))</f>
        <v/>
      </c>
      <c r="Z433" s="11" t="str">
        <f>IF(X433="","",IFERROR(INDEX($AO$11:$AO$4010,MATCH(423,$AY$11:$AY$4010,0)),""))</f>
        <v/>
      </c>
      <c r="AA433" s="10" t="str">
        <f>IF(X433="","",IFERROR(INDEX($AQ$11:$AQ$4010,MATCH(423,$AY$11:$AY$4010,0)),""))</f>
        <v/>
      </c>
      <c r="AB433" s="15" t="str">
        <f>IF(X433="","",IFERROR(INDEX($AR$11:$AR$4010,MATCH(423,$AY$11:$AY$4010,0)),""))</f>
        <v/>
      </c>
      <c r="AD433" s="16" t="str">
        <f>IF(AE433="","",IFERROR(INDEX($AL$11:$AL$4010,MATCH(423,$AZ$11:$AZ$4010,0)),""))</f>
        <v/>
      </c>
      <c r="AE433" s="12" t="str">
        <f>IFERROR(INDEX($AM$11:$AM$4010,MATCH(423,$AZ$11:$AZ$4010,0)),"")</f>
        <v/>
      </c>
      <c r="AF433" s="11" t="str">
        <f>IF(AE433="","",IFERROR(INDEX($AN$11:$AN$4010,MATCH(423,$AZ$11:$AZ$4010,0)),""))</f>
        <v/>
      </c>
      <c r="AG433" s="11" t="str">
        <f>IF(AE433="","",IFERROR(INDEX($AO$11:$AO$4010,MATCH(423,$AZ$11:$AZ$4010,0)),""))</f>
        <v/>
      </c>
      <c r="AH433" s="10" t="str">
        <f>IF(AE433="","",IFERROR(INDEX($AQ$11:$AQ$4010,MATCH(423,$AZ$11:$AZ$4010,0)),""))</f>
        <v/>
      </c>
      <c r="AI433" s="15" t="str">
        <f>IF(AE433="","",IFERROR(INDEX($AR$11:$AR$4010,MATCH(423,$AZ$11:$AZ$4010,0)),""))</f>
        <v/>
      </c>
      <c r="AJ433" s="15" t="str">
        <f>IF(AE433="","",IFERROR(INDEX($AT$11:$AT$4010,MATCH(423,$AZ$11:$AZ$4010,0)),""))</f>
        <v/>
      </c>
      <c r="AL433" s="17" t="str">
        <f t="shared" si="83"/>
        <v/>
      </c>
      <c r="AM433" s="12" t="str">
        <f t="shared" si="84"/>
        <v/>
      </c>
      <c r="AN433" s="18" t="str">
        <f t="shared" si="85"/>
        <v/>
      </c>
      <c r="AO433" s="18" t="str">
        <f t="shared" si="86"/>
        <v/>
      </c>
      <c r="AP433" s="10" t="str">
        <f t="shared" si="87"/>
        <v/>
      </c>
      <c r="AQ433" s="10" t="str">
        <f t="shared" si="88"/>
        <v/>
      </c>
      <c r="AR433" s="19" t="str">
        <f t="shared" si="89"/>
        <v/>
      </c>
      <c r="AS433" s="20"/>
      <c r="AT433" s="19"/>
      <c r="AV433" s="21">
        <f>IF(AND($AL433&lt;&gt;"",COUNTIF($AL$11:$AL433,$AL433)=1),1,0)</f>
        <v>0</v>
      </c>
      <c r="AW433" s="21">
        <f t="shared" si="91"/>
        <v>0</v>
      </c>
      <c r="AX433" s="21" t="str">
        <f t="shared" si="90"/>
        <v/>
      </c>
      <c r="AY433" s="21" t="str">
        <f>IF(AND($AM433&lt;&gt;"",$AS433&lt;&gt;"✓"),SUMPRODUCT(($AM$11:$AM433&lt;&gt;"")*($AS$11:$AS433&lt;&gt;"✓")),"")</f>
        <v/>
      </c>
      <c r="AZ433" s="21" t="str">
        <f>IF(AND($AM433&lt;&gt;"",$AS433="✓"),SUMPRODUCT(($AM$11:$AM433&lt;&gt;"")*($AS$11:$AS433="✓")),"")</f>
        <v/>
      </c>
      <c r="BA433" s="21" t="str">
        <f>IF($AL433="","",$AL433&amp;"|"&amp;COUNTIF($AL$11:$AL433,$AL433))</f>
        <v/>
      </c>
    </row>
    <row r="434" spans="2:53" ht="15" customHeight="1" x14ac:dyDescent="0.25">
      <c r="B434" s="5" t="str">
        <f t="shared" si="82"/>
        <v/>
      </c>
      <c r="C434" s="5"/>
      <c r="D434" s="5"/>
      <c r="E434" s="5"/>
      <c r="F434" s="6"/>
      <c r="G434" s="6"/>
      <c r="H434" s="7"/>
      <c r="I434" s="8"/>
      <c r="W434" s="28" t="str">
        <f>IF(X434="","",IFERROR(INDEX($AL$11:$AL$4010,MATCH(424,$AY$11:$AY$4010,0)),""))</f>
        <v/>
      </c>
      <c r="X434" s="26" t="str">
        <f>IFERROR(INDEX($AM$11:$AM$4010,MATCH(424,$AY$11:$AY$4010,0)),"")</f>
        <v/>
      </c>
      <c r="Y434" s="25" t="str">
        <f>IF(X434="","",IFERROR(INDEX($AN$11:$AN$4010,MATCH(424,$AY$11:$AY$4010,0)),""))</f>
        <v/>
      </c>
      <c r="Z434" s="25" t="str">
        <f>IF(X434="","",IFERROR(INDEX($AO$11:$AO$4010,MATCH(424,$AY$11:$AY$4010,0)),""))</f>
        <v/>
      </c>
      <c r="AA434" s="24" t="str">
        <f>IF(X434="","",IFERROR(INDEX($AQ$11:$AQ$4010,MATCH(424,$AY$11:$AY$4010,0)),""))</f>
        <v/>
      </c>
      <c r="AB434" s="29" t="str">
        <f>IF(X434="","",IFERROR(INDEX($AR$11:$AR$4010,MATCH(424,$AY$11:$AY$4010,0)),""))</f>
        <v/>
      </c>
      <c r="AD434" s="30" t="str">
        <f>IF(AE434="","",IFERROR(INDEX($AL$11:$AL$4010,MATCH(424,$AZ$11:$AZ$4010,0)),""))</f>
        <v/>
      </c>
      <c r="AE434" s="26" t="str">
        <f>IFERROR(INDEX($AM$11:$AM$4010,MATCH(424,$AZ$11:$AZ$4010,0)),"")</f>
        <v/>
      </c>
      <c r="AF434" s="25" t="str">
        <f>IF(AE434="","",IFERROR(INDEX($AN$11:$AN$4010,MATCH(424,$AZ$11:$AZ$4010,0)),""))</f>
        <v/>
      </c>
      <c r="AG434" s="25" t="str">
        <f>IF(AE434="","",IFERROR(INDEX($AO$11:$AO$4010,MATCH(424,$AZ$11:$AZ$4010,0)),""))</f>
        <v/>
      </c>
      <c r="AH434" s="24" t="str">
        <f>IF(AE434="","",IFERROR(INDEX($AQ$11:$AQ$4010,MATCH(424,$AZ$11:$AZ$4010,0)),""))</f>
        <v/>
      </c>
      <c r="AI434" s="29" t="str">
        <f>IF(AE434="","",IFERROR(INDEX($AR$11:$AR$4010,MATCH(424,$AZ$11:$AZ$4010,0)),""))</f>
        <v/>
      </c>
      <c r="AJ434" s="29" t="str">
        <f>IF(AE434="","",IFERROR(INDEX($AT$11:$AT$4010,MATCH(424,$AZ$11:$AZ$4010,0)),""))</f>
        <v/>
      </c>
      <c r="AL434" s="31" t="str">
        <f t="shared" si="83"/>
        <v/>
      </c>
      <c r="AM434" s="26" t="str">
        <f t="shared" si="84"/>
        <v/>
      </c>
      <c r="AN434" s="32" t="str">
        <f t="shared" si="85"/>
        <v/>
      </c>
      <c r="AO434" s="32" t="str">
        <f t="shared" si="86"/>
        <v/>
      </c>
      <c r="AP434" s="24" t="str">
        <f t="shared" si="87"/>
        <v/>
      </c>
      <c r="AQ434" s="24" t="str">
        <f t="shared" si="88"/>
        <v/>
      </c>
      <c r="AR434" s="33" t="str">
        <f t="shared" si="89"/>
        <v/>
      </c>
      <c r="AS434" s="34"/>
      <c r="AT434" s="33"/>
      <c r="AV434" s="21">
        <f>IF(AND($AL434&lt;&gt;"",COUNTIF($AL$11:$AL434,$AL434)=1),1,0)</f>
        <v>0</v>
      </c>
      <c r="AW434" s="21">
        <f t="shared" si="91"/>
        <v>0</v>
      </c>
      <c r="AX434" s="21" t="str">
        <f t="shared" si="90"/>
        <v/>
      </c>
      <c r="AY434" s="21" t="str">
        <f>IF(AND($AM434&lt;&gt;"",$AS434&lt;&gt;"✓"),SUMPRODUCT(($AM$11:$AM434&lt;&gt;"")*($AS$11:$AS434&lt;&gt;"✓")),"")</f>
        <v/>
      </c>
      <c r="AZ434" s="21" t="str">
        <f>IF(AND($AM434&lt;&gt;"",$AS434="✓"),SUMPRODUCT(($AM$11:$AM434&lt;&gt;"")*($AS$11:$AS434="✓")),"")</f>
        <v/>
      </c>
      <c r="BA434" s="21" t="str">
        <f>IF($AL434="","",$AL434&amp;"|"&amp;COUNTIF($AL$11:$AL434,$AL434))</f>
        <v/>
      </c>
    </row>
    <row r="435" spans="2:53" ht="15" customHeight="1" x14ac:dyDescent="0.25">
      <c r="B435" s="5" t="str">
        <f t="shared" si="82"/>
        <v/>
      </c>
      <c r="C435" s="5"/>
      <c r="D435" s="5"/>
      <c r="E435" s="5"/>
      <c r="F435" s="6"/>
      <c r="G435" s="6"/>
      <c r="H435" s="7"/>
      <c r="I435" s="8"/>
      <c r="W435" s="14" t="str">
        <f>IF(X435="","",IFERROR(INDEX($AL$11:$AL$4010,MATCH(425,$AY$11:$AY$4010,0)),""))</f>
        <v/>
      </c>
      <c r="X435" s="12" t="str">
        <f>IFERROR(INDEX($AM$11:$AM$4010,MATCH(425,$AY$11:$AY$4010,0)),"")</f>
        <v/>
      </c>
      <c r="Y435" s="11" t="str">
        <f>IF(X435="","",IFERROR(INDEX($AN$11:$AN$4010,MATCH(425,$AY$11:$AY$4010,0)),""))</f>
        <v/>
      </c>
      <c r="Z435" s="11" t="str">
        <f>IF(X435="","",IFERROR(INDEX($AO$11:$AO$4010,MATCH(425,$AY$11:$AY$4010,0)),""))</f>
        <v/>
      </c>
      <c r="AA435" s="10" t="str">
        <f>IF(X435="","",IFERROR(INDEX($AQ$11:$AQ$4010,MATCH(425,$AY$11:$AY$4010,0)),""))</f>
        <v/>
      </c>
      <c r="AB435" s="15" t="str">
        <f>IF(X435="","",IFERROR(INDEX($AR$11:$AR$4010,MATCH(425,$AY$11:$AY$4010,0)),""))</f>
        <v/>
      </c>
      <c r="AD435" s="16" t="str">
        <f>IF(AE435="","",IFERROR(INDEX($AL$11:$AL$4010,MATCH(425,$AZ$11:$AZ$4010,0)),""))</f>
        <v/>
      </c>
      <c r="AE435" s="12" t="str">
        <f>IFERROR(INDEX($AM$11:$AM$4010,MATCH(425,$AZ$11:$AZ$4010,0)),"")</f>
        <v/>
      </c>
      <c r="AF435" s="11" t="str">
        <f>IF(AE435="","",IFERROR(INDEX($AN$11:$AN$4010,MATCH(425,$AZ$11:$AZ$4010,0)),""))</f>
        <v/>
      </c>
      <c r="AG435" s="11" t="str">
        <f>IF(AE435="","",IFERROR(INDEX($AO$11:$AO$4010,MATCH(425,$AZ$11:$AZ$4010,0)),""))</f>
        <v/>
      </c>
      <c r="AH435" s="10" t="str">
        <f>IF(AE435="","",IFERROR(INDEX($AQ$11:$AQ$4010,MATCH(425,$AZ$11:$AZ$4010,0)),""))</f>
        <v/>
      </c>
      <c r="AI435" s="15" t="str">
        <f>IF(AE435="","",IFERROR(INDEX($AR$11:$AR$4010,MATCH(425,$AZ$11:$AZ$4010,0)),""))</f>
        <v/>
      </c>
      <c r="AJ435" s="15" t="str">
        <f>IF(AE435="","",IFERROR(INDEX($AT$11:$AT$4010,MATCH(425,$AZ$11:$AZ$4010,0)),""))</f>
        <v/>
      </c>
      <c r="AL435" s="17" t="str">
        <f t="shared" si="83"/>
        <v/>
      </c>
      <c r="AM435" s="12" t="str">
        <f t="shared" si="84"/>
        <v/>
      </c>
      <c r="AN435" s="18" t="str">
        <f t="shared" si="85"/>
        <v/>
      </c>
      <c r="AO435" s="18" t="str">
        <f t="shared" si="86"/>
        <v/>
      </c>
      <c r="AP435" s="10" t="str">
        <f t="shared" si="87"/>
        <v/>
      </c>
      <c r="AQ435" s="10" t="str">
        <f t="shared" si="88"/>
        <v/>
      </c>
      <c r="AR435" s="19" t="str">
        <f t="shared" si="89"/>
        <v/>
      </c>
      <c r="AS435" s="20"/>
      <c r="AT435" s="19"/>
      <c r="AV435" s="21">
        <f>IF(AND($AL435&lt;&gt;"",COUNTIF($AL$11:$AL435,$AL435)=1),1,0)</f>
        <v>0</v>
      </c>
      <c r="AW435" s="21">
        <f t="shared" si="91"/>
        <v>0</v>
      </c>
      <c r="AX435" s="21" t="str">
        <f t="shared" si="90"/>
        <v/>
      </c>
      <c r="AY435" s="21" t="str">
        <f>IF(AND($AM435&lt;&gt;"",$AS435&lt;&gt;"✓"),SUMPRODUCT(($AM$11:$AM435&lt;&gt;"")*($AS$11:$AS435&lt;&gt;"✓")),"")</f>
        <v/>
      </c>
      <c r="AZ435" s="21" t="str">
        <f>IF(AND($AM435&lt;&gt;"",$AS435="✓"),SUMPRODUCT(($AM$11:$AM435&lt;&gt;"")*($AS$11:$AS435="✓")),"")</f>
        <v/>
      </c>
      <c r="BA435" s="21" t="str">
        <f>IF($AL435="","",$AL435&amp;"|"&amp;COUNTIF($AL$11:$AL435,$AL435))</f>
        <v/>
      </c>
    </row>
    <row r="436" spans="2:53" ht="15" customHeight="1" x14ac:dyDescent="0.25">
      <c r="B436" s="5" t="str">
        <f t="shared" si="82"/>
        <v/>
      </c>
      <c r="C436" s="5"/>
      <c r="D436" s="5"/>
      <c r="E436" s="5"/>
      <c r="F436" s="6"/>
      <c r="G436" s="6"/>
      <c r="H436" s="7"/>
      <c r="I436" s="8"/>
      <c r="W436" s="28" t="str">
        <f>IF(X436="","",IFERROR(INDEX($AL$11:$AL$4010,MATCH(426,$AY$11:$AY$4010,0)),""))</f>
        <v/>
      </c>
      <c r="X436" s="26" t="str">
        <f>IFERROR(INDEX($AM$11:$AM$4010,MATCH(426,$AY$11:$AY$4010,0)),"")</f>
        <v/>
      </c>
      <c r="Y436" s="25" t="str">
        <f>IF(X436="","",IFERROR(INDEX($AN$11:$AN$4010,MATCH(426,$AY$11:$AY$4010,0)),""))</f>
        <v/>
      </c>
      <c r="Z436" s="25" t="str">
        <f>IF(X436="","",IFERROR(INDEX($AO$11:$AO$4010,MATCH(426,$AY$11:$AY$4010,0)),""))</f>
        <v/>
      </c>
      <c r="AA436" s="24" t="str">
        <f>IF(X436="","",IFERROR(INDEX($AQ$11:$AQ$4010,MATCH(426,$AY$11:$AY$4010,0)),""))</f>
        <v/>
      </c>
      <c r="AB436" s="29" t="str">
        <f>IF(X436="","",IFERROR(INDEX($AR$11:$AR$4010,MATCH(426,$AY$11:$AY$4010,0)),""))</f>
        <v/>
      </c>
      <c r="AD436" s="30" t="str">
        <f>IF(AE436="","",IFERROR(INDEX($AL$11:$AL$4010,MATCH(426,$AZ$11:$AZ$4010,0)),""))</f>
        <v/>
      </c>
      <c r="AE436" s="26" t="str">
        <f>IFERROR(INDEX($AM$11:$AM$4010,MATCH(426,$AZ$11:$AZ$4010,0)),"")</f>
        <v/>
      </c>
      <c r="AF436" s="25" t="str">
        <f>IF(AE436="","",IFERROR(INDEX($AN$11:$AN$4010,MATCH(426,$AZ$11:$AZ$4010,0)),""))</f>
        <v/>
      </c>
      <c r="AG436" s="25" t="str">
        <f>IF(AE436="","",IFERROR(INDEX($AO$11:$AO$4010,MATCH(426,$AZ$11:$AZ$4010,0)),""))</f>
        <v/>
      </c>
      <c r="AH436" s="24" t="str">
        <f>IF(AE436="","",IFERROR(INDEX($AQ$11:$AQ$4010,MATCH(426,$AZ$11:$AZ$4010,0)),""))</f>
        <v/>
      </c>
      <c r="AI436" s="29" t="str">
        <f>IF(AE436="","",IFERROR(INDEX($AR$11:$AR$4010,MATCH(426,$AZ$11:$AZ$4010,0)),""))</f>
        <v/>
      </c>
      <c r="AJ436" s="29" t="str">
        <f>IF(AE436="","",IFERROR(INDEX($AT$11:$AT$4010,MATCH(426,$AZ$11:$AZ$4010,0)),""))</f>
        <v/>
      </c>
      <c r="AL436" s="31" t="str">
        <f t="shared" si="83"/>
        <v/>
      </c>
      <c r="AM436" s="26" t="str">
        <f t="shared" si="84"/>
        <v/>
      </c>
      <c r="AN436" s="32" t="str">
        <f t="shared" si="85"/>
        <v/>
      </c>
      <c r="AO436" s="32" t="str">
        <f t="shared" si="86"/>
        <v/>
      </c>
      <c r="AP436" s="24" t="str">
        <f t="shared" si="87"/>
        <v/>
      </c>
      <c r="AQ436" s="24" t="str">
        <f t="shared" si="88"/>
        <v/>
      </c>
      <c r="AR436" s="33" t="str">
        <f t="shared" si="89"/>
        <v/>
      </c>
      <c r="AS436" s="34"/>
      <c r="AT436" s="33"/>
      <c r="AV436" s="21">
        <f>IF(AND($AL436&lt;&gt;"",COUNTIF($AL$11:$AL436,$AL436)=1),1,0)</f>
        <v>0</v>
      </c>
      <c r="AW436" s="21">
        <f t="shared" si="91"/>
        <v>0</v>
      </c>
      <c r="AX436" s="21" t="str">
        <f t="shared" si="90"/>
        <v/>
      </c>
      <c r="AY436" s="21" t="str">
        <f>IF(AND($AM436&lt;&gt;"",$AS436&lt;&gt;"✓"),SUMPRODUCT(($AM$11:$AM436&lt;&gt;"")*($AS$11:$AS436&lt;&gt;"✓")),"")</f>
        <v/>
      </c>
      <c r="AZ436" s="21" t="str">
        <f>IF(AND($AM436&lt;&gt;"",$AS436="✓"),SUMPRODUCT(($AM$11:$AM436&lt;&gt;"")*($AS$11:$AS436="✓")),"")</f>
        <v/>
      </c>
      <c r="BA436" s="21" t="str">
        <f>IF($AL436="","",$AL436&amp;"|"&amp;COUNTIF($AL$11:$AL436,$AL436))</f>
        <v/>
      </c>
    </row>
    <row r="437" spans="2:53" ht="15" customHeight="1" x14ac:dyDescent="0.25">
      <c r="B437" s="5" t="str">
        <f t="shared" si="82"/>
        <v/>
      </c>
      <c r="C437" s="5"/>
      <c r="D437" s="5"/>
      <c r="E437" s="5"/>
      <c r="F437" s="6"/>
      <c r="G437" s="6"/>
      <c r="H437" s="7"/>
      <c r="I437" s="8"/>
      <c r="W437" s="14" t="str">
        <f>IF(X437="","",IFERROR(INDEX($AL$11:$AL$4010,MATCH(427,$AY$11:$AY$4010,0)),""))</f>
        <v/>
      </c>
      <c r="X437" s="12" t="str">
        <f>IFERROR(INDEX($AM$11:$AM$4010,MATCH(427,$AY$11:$AY$4010,0)),"")</f>
        <v/>
      </c>
      <c r="Y437" s="11" t="str">
        <f>IF(X437="","",IFERROR(INDEX($AN$11:$AN$4010,MATCH(427,$AY$11:$AY$4010,0)),""))</f>
        <v/>
      </c>
      <c r="Z437" s="11" t="str">
        <f>IF(X437="","",IFERROR(INDEX($AO$11:$AO$4010,MATCH(427,$AY$11:$AY$4010,0)),""))</f>
        <v/>
      </c>
      <c r="AA437" s="10" t="str">
        <f>IF(X437="","",IFERROR(INDEX($AQ$11:$AQ$4010,MATCH(427,$AY$11:$AY$4010,0)),""))</f>
        <v/>
      </c>
      <c r="AB437" s="15" t="str">
        <f>IF(X437="","",IFERROR(INDEX($AR$11:$AR$4010,MATCH(427,$AY$11:$AY$4010,0)),""))</f>
        <v/>
      </c>
      <c r="AD437" s="16" t="str">
        <f>IF(AE437="","",IFERROR(INDEX($AL$11:$AL$4010,MATCH(427,$AZ$11:$AZ$4010,0)),""))</f>
        <v/>
      </c>
      <c r="AE437" s="12" t="str">
        <f>IFERROR(INDEX($AM$11:$AM$4010,MATCH(427,$AZ$11:$AZ$4010,0)),"")</f>
        <v/>
      </c>
      <c r="AF437" s="11" t="str">
        <f>IF(AE437="","",IFERROR(INDEX($AN$11:$AN$4010,MATCH(427,$AZ$11:$AZ$4010,0)),""))</f>
        <v/>
      </c>
      <c r="AG437" s="11" t="str">
        <f>IF(AE437="","",IFERROR(INDEX($AO$11:$AO$4010,MATCH(427,$AZ$11:$AZ$4010,0)),""))</f>
        <v/>
      </c>
      <c r="AH437" s="10" t="str">
        <f>IF(AE437="","",IFERROR(INDEX($AQ$11:$AQ$4010,MATCH(427,$AZ$11:$AZ$4010,0)),""))</f>
        <v/>
      </c>
      <c r="AI437" s="15" t="str">
        <f>IF(AE437="","",IFERROR(INDEX($AR$11:$AR$4010,MATCH(427,$AZ$11:$AZ$4010,0)),""))</f>
        <v/>
      </c>
      <c r="AJ437" s="15" t="str">
        <f>IF(AE437="","",IFERROR(INDEX($AT$11:$AT$4010,MATCH(427,$AZ$11:$AZ$4010,0)),""))</f>
        <v/>
      </c>
      <c r="AL437" s="17" t="str">
        <f t="shared" si="83"/>
        <v/>
      </c>
      <c r="AM437" s="12" t="str">
        <f t="shared" si="84"/>
        <v/>
      </c>
      <c r="AN437" s="18" t="str">
        <f t="shared" si="85"/>
        <v/>
      </c>
      <c r="AO437" s="18" t="str">
        <f t="shared" si="86"/>
        <v/>
      </c>
      <c r="AP437" s="10" t="str">
        <f t="shared" si="87"/>
        <v/>
      </c>
      <c r="AQ437" s="10" t="str">
        <f t="shared" si="88"/>
        <v/>
      </c>
      <c r="AR437" s="19" t="str">
        <f t="shared" si="89"/>
        <v/>
      </c>
      <c r="AS437" s="20"/>
      <c r="AT437" s="19"/>
      <c r="AV437" s="21">
        <f>IF(AND($AL437&lt;&gt;"",COUNTIF($AL$11:$AL437,$AL437)=1),1,0)</f>
        <v>0</v>
      </c>
      <c r="AW437" s="21">
        <f t="shared" si="91"/>
        <v>0</v>
      </c>
      <c r="AX437" s="21" t="str">
        <f t="shared" si="90"/>
        <v/>
      </c>
      <c r="AY437" s="21" t="str">
        <f>IF(AND($AM437&lt;&gt;"",$AS437&lt;&gt;"✓"),SUMPRODUCT(($AM$11:$AM437&lt;&gt;"")*($AS$11:$AS437&lt;&gt;"✓")),"")</f>
        <v/>
      </c>
      <c r="AZ437" s="21" t="str">
        <f>IF(AND($AM437&lt;&gt;"",$AS437="✓"),SUMPRODUCT(($AM$11:$AM437&lt;&gt;"")*($AS$11:$AS437="✓")),"")</f>
        <v/>
      </c>
      <c r="BA437" s="21" t="str">
        <f>IF($AL437="","",$AL437&amp;"|"&amp;COUNTIF($AL$11:$AL437,$AL437))</f>
        <v/>
      </c>
    </row>
    <row r="438" spans="2:53" ht="15" customHeight="1" x14ac:dyDescent="0.25">
      <c r="B438" s="5" t="str">
        <f t="shared" si="82"/>
        <v/>
      </c>
      <c r="C438" s="5"/>
      <c r="D438" s="5"/>
      <c r="E438" s="5"/>
      <c r="F438" s="6"/>
      <c r="G438" s="6"/>
      <c r="H438" s="7"/>
      <c r="I438" s="8"/>
      <c r="W438" s="28" t="str">
        <f>IF(X438="","",IFERROR(INDEX($AL$11:$AL$4010,MATCH(428,$AY$11:$AY$4010,0)),""))</f>
        <v/>
      </c>
      <c r="X438" s="26" t="str">
        <f>IFERROR(INDEX($AM$11:$AM$4010,MATCH(428,$AY$11:$AY$4010,0)),"")</f>
        <v/>
      </c>
      <c r="Y438" s="25" t="str">
        <f>IF(X438="","",IFERROR(INDEX($AN$11:$AN$4010,MATCH(428,$AY$11:$AY$4010,0)),""))</f>
        <v/>
      </c>
      <c r="Z438" s="25" t="str">
        <f>IF(X438="","",IFERROR(INDEX($AO$11:$AO$4010,MATCH(428,$AY$11:$AY$4010,0)),""))</f>
        <v/>
      </c>
      <c r="AA438" s="24" t="str">
        <f>IF(X438="","",IFERROR(INDEX($AQ$11:$AQ$4010,MATCH(428,$AY$11:$AY$4010,0)),""))</f>
        <v/>
      </c>
      <c r="AB438" s="29" t="str">
        <f>IF(X438="","",IFERROR(INDEX($AR$11:$AR$4010,MATCH(428,$AY$11:$AY$4010,0)),""))</f>
        <v/>
      </c>
      <c r="AD438" s="30" t="str">
        <f>IF(AE438="","",IFERROR(INDEX($AL$11:$AL$4010,MATCH(428,$AZ$11:$AZ$4010,0)),""))</f>
        <v/>
      </c>
      <c r="AE438" s="26" t="str">
        <f>IFERROR(INDEX($AM$11:$AM$4010,MATCH(428,$AZ$11:$AZ$4010,0)),"")</f>
        <v/>
      </c>
      <c r="AF438" s="25" t="str">
        <f>IF(AE438="","",IFERROR(INDEX($AN$11:$AN$4010,MATCH(428,$AZ$11:$AZ$4010,0)),""))</f>
        <v/>
      </c>
      <c r="AG438" s="25" t="str">
        <f>IF(AE438="","",IFERROR(INDEX($AO$11:$AO$4010,MATCH(428,$AZ$11:$AZ$4010,0)),""))</f>
        <v/>
      </c>
      <c r="AH438" s="24" t="str">
        <f>IF(AE438="","",IFERROR(INDEX($AQ$11:$AQ$4010,MATCH(428,$AZ$11:$AZ$4010,0)),""))</f>
        <v/>
      </c>
      <c r="AI438" s="29" t="str">
        <f>IF(AE438="","",IFERROR(INDEX($AR$11:$AR$4010,MATCH(428,$AZ$11:$AZ$4010,0)),""))</f>
        <v/>
      </c>
      <c r="AJ438" s="29" t="str">
        <f>IF(AE438="","",IFERROR(INDEX($AT$11:$AT$4010,MATCH(428,$AZ$11:$AZ$4010,0)),""))</f>
        <v/>
      </c>
      <c r="AL438" s="31" t="str">
        <f t="shared" si="83"/>
        <v/>
      </c>
      <c r="AM438" s="26" t="str">
        <f t="shared" si="84"/>
        <v/>
      </c>
      <c r="AN438" s="32" t="str">
        <f t="shared" si="85"/>
        <v/>
      </c>
      <c r="AO438" s="32" t="str">
        <f t="shared" si="86"/>
        <v/>
      </c>
      <c r="AP438" s="24" t="str">
        <f t="shared" si="87"/>
        <v/>
      </c>
      <c r="AQ438" s="24" t="str">
        <f t="shared" si="88"/>
        <v/>
      </c>
      <c r="AR438" s="33" t="str">
        <f t="shared" si="89"/>
        <v/>
      </c>
      <c r="AS438" s="34"/>
      <c r="AT438" s="33"/>
      <c r="AV438" s="21">
        <f>IF(AND($AL438&lt;&gt;"",COUNTIF($AL$11:$AL438,$AL438)=1),1,0)</f>
        <v>0</v>
      </c>
      <c r="AW438" s="21">
        <f t="shared" si="91"/>
        <v>0</v>
      </c>
      <c r="AX438" s="21" t="str">
        <f t="shared" si="90"/>
        <v/>
      </c>
      <c r="AY438" s="21" t="str">
        <f>IF(AND($AM438&lt;&gt;"",$AS438&lt;&gt;"✓"),SUMPRODUCT(($AM$11:$AM438&lt;&gt;"")*($AS$11:$AS438&lt;&gt;"✓")),"")</f>
        <v/>
      </c>
      <c r="AZ438" s="21" t="str">
        <f>IF(AND($AM438&lt;&gt;"",$AS438="✓"),SUMPRODUCT(($AM$11:$AM438&lt;&gt;"")*($AS$11:$AS438="✓")),"")</f>
        <v/>
      </c>
      <c r="BA438" s="21" t="str">
        <f>IF($AL438="","",$AL438&amp;"|"&amp;COUNTIF($AL$11:$AL438,$AL438))</f>
        <v/>
      </c>
    </row>
    <row r="439" spans="2:53" ht="15" customHeight="1" x14ac:dyDescent="0.25">
      <c r="B439" s="5" t="str">
        <f t="shared" si="82"/>
        <v/>
      </c>
      <c r="C439" s="5"/>
      <c r="D439" s="5"/>
      <c r="E439" s="5"/>
      <c r="F439" s="6"/>
      <c r="G439" s="6"/>
      <c r="H439" s="7"/>
      <c r="I439" s="8"/>
      <c r="W439" s="14" t="str">
        <f>IF(X439="","",IFERROR(INDEX($AL$11:$AL$4010,MATCH(429,$AY$11:$AY$4010,0)),""))</f>
        <v/>
      </c>
      <c r="X439" s="12" t="str">
        <f>IFERROR(INDEX($AM$11:$AM$4010,MATCH(429,$AY$11:$AY$4010,0)),"")</f>
        <v/>
      </c>
      <c r="Y439" s="11" t="str">
        <f>IF(X439="","",IFERROR(INDEX($AN$11:$AN$4010,MATCH(429,$AY$11:$AY$4010,0)),""))</f>
        <v/>
      </c>
      <c r="Z439" s="11" t="str">
        <f>IF(X439="","",IFERROR(INDEX($AO$11:$AO$4010,MATCH(429,$AY$11:$AY$4010,0)),""))</f>
        <v/>
      </c>
      <c r="AA439" s="10" t="str">
        <f>IF(X439="","",IFERROR(INDEX($AQ$11:$AQ$4010,MATCH(429,$AY$11:$AY$4010,0)),""))</f>
        <v/>
      </c>
      <c r="AB439" s="15" t="str">
        <f>IF(X439="","",IFERROR(INDEX($AR$11:$AR$4010,MATCH(429,$AY$11:$AY$4010,0)),""))</f>
        <v/>
      </c>
      <c r="AD439" s="16" t="str">
        <f>IF(AE439="","",IFERROR(INDEX($AL$11:$AL$4010,MATCH(429,$AZ$11:$AZ$4010,0)),""))</f>
        <v/>
      </c>
      <c r="AE439" s="12" t="str">
        <f>IFERROR(INDEX($AM$11:$AM$4010,MATCH(429,$AZ$11:$AZ$4010,0)),"")</f>
        <v/>
      </c>
      <c r="AF439" s="11" t="str">
        <f>IF(AE439="","",IFERROR(INDEX($AN$11:$AN$4010,MATCH(429,$AZ$11:$AZ$4010,0)),""))</f>
        <v/>
      </c>
      <c r="AG439" s="11" t="str">
        <f>IF(AE439="","",IFERROR(INDEX($AO$11:$AO$4010,MATCH(429,$AZ$11:$AZ$4010,0)),""))</f>
        <v/>
      </c>
      <c r="AH439" s="10" t="str">
        <f>IF(AE439="","",IFERROR(INDEX($AQ$11:$AQ$4010,MATCH(429,$AZ$11:$AZ$4010,0)),""))</f>
        <v/>
      </c>
      <c r="AI439" s="15" t="str">
        <f>IF(AE439="","",IFERROR(INDEX($AR$11:$AR$4010,MATCH(429,$AZ$11:$AZ$4010,0)),""))</f>
        <v/>
      </c>
      <c r="AJ439" s="15" t="str">
        <f>IF(AE439="","",IFERROR(INDEX($AT$11:$AT$4010,MATCH(429,$AZ$11:$AZ$4010,0)),""))</f>
        <v/>
      </c>
      <c r="AL439" s="17" t="str">
        <f t="shared" si="83"/>
        <v/>
      </c>
      <c r="AM439" s="12" t="str">
        <f t="shared" si="84"/>
        <v/>
      </c>
      <c r="AN439" s="18" t="str">
        <f t="shared" si="85"/>
        <v/>
      </c>
      <c r="AO439" s="18" t="str">
        <f t="shared" si="86"/>
        <v/>
      </c>
      <c r="AP439" s="10" t="str">
        <f t="shared" si="87"/>
        <v/>
      </c>
      <c r="AQ439" s="10" t="str">
        <f t="shared" si="88"/>
        <v/>
      </c>
      <c r="AR439" s="19" t="str">
        <f t="shared" si="89"/>
        <v/>
      </c>
      <c r="AS439" s="20"/>
      <c r="AT439" s="19"/>
      <c r="AV439" s="21">
        <f>IF(AND($AL439&lt;&gt;"",COUNTIF($AL$11:$AL439,$AL439)=1),1,0)</f>
        <v>0</v>
      </c>
      <c r="AW439" s="21">
        <f t="shared" si="91"/>
        <v>0</v>
      </c>
      <c r="AX439" s="21" t="str">
        <f t="shared" si="90"/>
        <v/>
      </c>
      <c r="AY439" s="21" t="str">
        <f>IF(AND($AM439&lt;&gt;"",$AS439&lt;&gt;"✓"),SUMPRODUCT(($AM$11:$AM439&lt;&gt;"")*($AS$11:$AS439&lt;&gt;"✓")),"")</f>
        <v/>
      </c>
      <c r="AZ439" s="21" t="str">
        <f>IF(AND($AM439&lt;&gt;"",$AS439="✓"),SUMPRODUCT(($AM$11:$AM439&lt;&gt;"")*($AS$11:$AS439="✓")),"")</f>
        <v/>
      </c>
      <c r="BA439" s="21" t="str">
        <f>IF($AL439="","",$AL439&amp;"|"&amp;COUNTIF($AL$11:$AL439,$AL439))</f>
        <v/>
      </c>
    </row>
    <row r="440" spans="2:53" ht="15" customHeight="1" x14ac:dyDescent="0.25">
      <c r="B440" s="5" t="str">
        <f t="shared" si="82"/>
        <v/>
      </c>
      <c r="C440" s="5"/>
      <c r="D440" s="5"/>
      <c r="E440" s="5"/>
      <c r="F440" s="6"/>
      <c r="G440" s="6"/>
      <c r="H440" s="7"/>
      <c r="I440" s="8"/>
      <c r="W440" s="28" t="str">
        <f>IF(X440="","",IFERROR(INDEX($AL$11:$AL$4010,MATCH(430,$AY$11:$AY$4010,0)),""))</f>
        <v/>
      </c>
      <c r="X440" s="26" t="str">
        <f>IFERROR(INDEX($AM$11:$AM$4010,MATCH(430,$AY$11:$AY$4010,0)),"")</f>
        <v/>
      </c>
      <c r="Y440" s="25" t="str">
        <f>IF(X440="","",IFERROR(INDEX($AN$11:$AN$4010,MATCH(430,$AY$11:$AY$4010,0)),""))</f>
        <v/>
      </c>
      <c r="Z440" s="25" t="str">
        <f>IF(X440="","",IFERROR(INDEX($AO$11:$AO$4010,MATCH(430,$AY$11:$AY$4010,0)),""))</f>
        <v/>
      </c>
      <c r="AA440" s="24" t="str">
        <f>IF(X440="","",IFERROR(INDEX($AQ$11:$AQ$4010,MATCH(430,$AY$11:$AY$4010,0)),""))</f>
        <v/>
      </c>
      <c r="AB440" s="29" t="str">
        <f>IF(X440="","",IFERROR(INDEX($AR$11:$AR$4010,MATCH(430,$AY$11:$AY$4010,0)),""))</f>
        <v/>
      </c>
      <c r="AD440" s="30" t="str">
        <f>IF(AE440="","",IFERROR(INDEX($AL$11:$AL$4010,MATCH(430,$AZ$11:$AZ$4010,0)),""))</f>
        <v/>
      </c>
      <c r="AE440" s="26" t="str">
        <f>IFERROR(INDEX($AM$11:$AM$4010,MATCH(430,$AZ$11:$AZ$4010,0)),"")</f>
        <v/>
      </c>
      <c r="AF440" s="25" t="str">
        <f>IF(AE440="","",IFERROR(INDEX($AN$11:$AN$4010,MATCH(430,$AZ$11:$AZ$4010,0)),""))</f>
        <v/>
      </c>
      <c r="AG440" s="25" t="str">
        <f>IF(AE440="","",IFERROR(INDEX($AO$11:$AO$4010,MATCH(430,$AZ$11:$AZ$4010,0)),""))</f>
        <v/>
      </c>
      <c r="AH440" s="24" t="str">
        <f>IF(AE440="","",IFERROR(INDEX($AQ$11:$AQ$4010,MATCH(430,$AZ$11:$AZ$4010,0)),""))</f>
        <v/>
      </c>
      <c r="AI440" s="29" t="str">
        <f>IF(AE440="","",IFERROR(INDEX($AR$11:$AR$4010,MATCH(430,$AZ$11:$AZ$4010,0)),""))</f>
        <v/>
      </c>
      <c r="AJ440" s="29" t="str">
        <f>IF(AE440="","",IFERROR(INDEX($AT$11:$AT$4010,MATCH(430,$AZ$11:$AZ$4010,0)),""))</f>
        <v/>
      </c>
      <c r="AL440" s="31" t="str">
        <f t="shared" si="83"/>
        <v/>
      </c>
      <c r="AM440" s="26" t="str">
        <f t="shared" si="84"/>
        <v/>
      </c>
      <c r="AN440" s="32" t="str">
        <f t="shared" si="85"/>
        <v/>
      </c>
      <c r="AO440" s="32" t="str">
        <f t="shared" si="86"/>
        <v/>
      </c>
      <c r="AP440" s="24" t="str">
        <f t="shared" si="87"/>
        <v/>
      </c>
      <c r="AQ440" s="24" t="str">
        <f t="shared" si="88"/>
        <v/>
      </c>
      <c r="AR440" s="33" t="str">
        <f t="shared" si="89"/>
        <v/>
      </c>
      <c r="AS440" s="34"/>
      <c r="AT440" s="33"/>
      <c r="AV440" s="21">
        <f>IF(AND($AL440&lt;&gt;"",COUNTIF($AL$11:$AL440,$AL440)=1),1,0)</f>
        <v>0</v>
      </c>
      <c r="AW440" s="21">
        <f t="shared" si="91"/>
        <v>0</v>
      </c>
      <c r="AX440" s="21" t="str">
        <f t="shared" si="90"/>
        <v/>
      </c>
      <c r="AY440" s="21" t="str">
        <f>IF(AND($AM440&lt;&gt;"",$AS440&lt;&gt;"✓"),SUMPRODUCT(($AM$11:$AM440&lt;&gt;"")*($AS$11:$AS440&lt;&gt;"✓")),"")</f>
        <v/>
      </c>
      <c r="AZ440" s="21" t="str">
        <f>IF(AND($AM440&lt;&gt;"",$AS440="✓"),SUMPRODUCT(($AM$11:$AM440&lt;&gt;"")*($AS$11:$AS440="✓")),"")</f>
        <v/>
      </c>
      <c r="BA440" s="21" t="str">
        <f>IF($AL440="","",$AL440&amp;"|"&amp;COUNTIF($AL$11:$AL440,$AL440))</f>
        <v/>
      </c>
    </row>
    <row r="441" spans="2:53" ht="15" customHeight="1" x14ac:dyDescent="0.25">
      <c r="B441" s="5" t="str">
        <f t="shared" si="82"/>
        <v/>
      </c>
      <c r="C441" s="5"/>
      <c r="D441" s="5"/>
      <c r="E441" s="5"/>
      <c r="F441" s="6"/>
      <c r="G441" s="6"/>
      <c r="H441" s="7"/>
      <c r="I441" s="8"/>
      <c r="W441" s="14" t="str">
        <f>IF(X441="","",IFERROR(INDEX($AL$11:$AL$4010,MATCH(431,$AY$11:$AY$4010,0)),""))</f>
        <v/>
      </c>
      <c r="X441" s="12" t="str">
        <f>IFERROR(INDEX($AM$11:$AM$4010,MATCH(431,$AY$11:$AY$4010,0)),"")</f>
        <v/>
      </c>
      <c r="Y441" s="11" t="str">
        <f>IF(X441="","",IFERROR(INDEX($AN$11:$AN$4010,MATCH(431,$AY$11:$AY$4010,0)),""))</f>
        <v/>
      </c>
      <c r="Z441" s="11" t="str">
        <f>IF(X441="","",IFERROR(INDEX($AO$11:$AO$4010,MATCH(431,$AY$11:$AY$4010,0)),""))</f>
        <v/>
      </c>
      <c r="AA441" s="10" t="str">
        <f>IF(X441="","",IFERROR(INDEX($AQ$11:$AQ$4010,MATCH(431,$AY$11:$AY$4010,0)),""))</f>
        <v/>
      </c>
      <c r="AB441" s="15" t="str">
        <f>IF(X441="","",IFERROR(INDEX($AR$11:$AR$4010,MATCH(431,$AY$11:$AY$4010,0)),""))</f>
        <v/>
      </c>
      <c r="AD441" s="16" t="str">
        <f>IF(AE441="","",IFERROR(INDEX($AL$11:$AL$4010,MATCH(431,$AZ$11:$AZ$4010,0)),""))</f>
        <v/>
      </c>
      <c r="AE441" s="12" t="str">
        <f>IFERROR(INDEX($AM$11:$AM$4010,MATCH(431,$AZ$11:$AZ$4010,0)),"")</f>
        <v/>
      </c>
      <c r="AF441" s="11" t="str">
        <f>IF(AE441="","",IFERROR(INDEX($AN$11:$AN$4010,MATCH(431,$AZ$11:$AZ$4010,0)),""))</f>
        <v/>
      </c>
      <c r="AG441" s="11" t="str">
        <f>IF(AE441="","",IFERROR(INDEX($AO$11:$AO$4010,MATCH(431,$AZ$11:$AZ$4010,0)),""))</f>
        <v/>
      </c>
      <c r="AH441" s="10" t="str">
        <f>IF(AE441="","",IFERROR(INDEX($AQ$11:$AQ$4010,MATCH(431,$AZ$11:$AZ$4010,0)),""))</f>
        <v/>
      </c>
      <c r="AI441" s="15" t="str">
        <f>IF(AE441="","",IFERROR(INDEX($AR$11:$AR$4010,MATCH(431,$AZ$11:$AZ$4010,0)),""))</f>
        <v/>
      </c>
      <c r="AJ441" s="15" t="str">
        <f>IF(AE441="","",IFERROR(INDEX($AT$11:$AT$4010,MATCH(431,$AZ$11:$AZ$4010,0)),""))</f>
        <v/>
      </c>
      <c r="AL441" s="17" t="str">
        <f t="shared" si="83"/>
        <v/>
      </c>
      <c r="AM441" s="12" t="str">
        <f t="shared" si="84"/>
        <v/>
      </c>
      <c r="AN441" s="18" t="str">
        <f t="shared" si="85"/>
        <v/>
      </c>
      <c r="AO441" s="18" t="str">
        <f t="shared" si="86"/>
        <v/>
      </c>
      <c r="AP441" s="10" t="str">
        <f t="shared" si="87"/>
        <v/>
      </c>
      <c r="AQ441" s="10" t="str">
        <f t="shared" si="88"/>
        <v/>
      </c>
      <c r="AR441" s="19" t="str">
        <f t="shared" si="89"/>
        <v/>
      </c>
      <c r="AS441" s="20"/>
      <c r="AT441" s="19"/>
      <c r="AV441" s="21">
        <f>IF(AND($AL441&lt;&gt;"",COUNTIF($AL$11:$AL441,$AL441)=1),1,0)</f>
        <v>0</v>
      </c>
      <c r="AW441" s="21">
        <f t="shared" si="91"/>
        <v>0</v>
      </c>
      <c r="AX441" s="21" t="str">
        <f t="shared" si="90"/>
        <v/>
      </c>
      <c r="AY441" s="21" t="str">
        <f>IF(AND($AM441&lt;&gt;"",$AS441&lt;&gt;"✓"),SUMPRODUCT(($AM$11:$AM441&lt;&gt;"")*($AS$11:$AS441&lt;&gt;"✓")),"")</f>
        <v/>
      </c>
      <c r="AZ441" s="21" t="str">
        <f>IF(AND($AM441&lt;&gt;"",$AS441="✓"),SUMPRODUCT(($AM$11:$AM441&lt;&gt;"")*($AS$11:$AS441="✓")),"")</f>
        <v/>
      </c>
      <c r="BA441" s="21" t="str">
        <f>IF($AL441="","",$AL441&amp;"|"&amp;COUNTIF($AL$11:$AL441,$AL441))</f>
        <v/>
      </c>
    </row>
    <row r="442" spans="2:53" ht="15" customHeight="1" x14ac:dyDescent="0.25">
      <c r="B442" s="5" t="str">
        <f t="shared" si="82"/>
        <v/>
      </c>
      <c r="C442" s="5"/>
      <c r="D442" s="5"/>
      <c r="E442" s="5"/>
      <c r="F442" s="6"/>
      <c r="G442" s="6"/>
      <c r="H442" s="7"/>
      <c r="I442" s="8"/>
      <c r="W442" s="28" t="str">
        <f>IF(X442="","",IFERROR(INDEX($AL$11:$AL$4010,MATCH(432,$AY$11:$AY$4010,0)),""))</f>
        <v/>
      </c>
      <c r="X442" s="26" t="str">
        <f>IFERROR(INDEX($AM$11:$AM$4010,MATCH(432,$AY$11:$AY$4010,0)),"")</f>
        <v/>
      </c>
      <c r="Y442" s="25" t="str">
        <f>IF(X442="","",IFERROR(INDEX($AN$11:$AN$4010,MATCH(432,$AY$11:$AY$4010,0)),""))</f>
        <v/>
      </c>
      <c r="Z442" s="25" t="str">
        <f>IF(X442="","",IFERROR(INDEX($AO$11:$AO$4010,MATCH(432,$AY$11:$AY$4010,0)),""))</f>
        <v/>
      </c>
      <c r="AA442" s="24" t="str">
        <f>IF(X442="","",IFERROR(INDEX($AQ$11:$AQ$4010,MATCH(432,$AY$11:$AY$4010,0)),""))</f>
        <v/>
      </c>
      <c r="AB442" s="29" t="str">
        <f>IF(X442="","",IFERROR(INDEX($AR$11:$AR$4010,MATCH(432,$AY$11:$AY$4010,0)),""))</f>
        <v/>
      </c>
      <c r="AD442" s="30" t="str">
        <f>IF(AE442="","",IFERROR(INDEX($AL$11:$AL$4010,MATCH(432,$AZ$11:$AZ$4010,0)),""))</f>
        <v/>
      </c>
      <c r="AE442" s="26" t="str">
        <f>IFERROR(INDEX($AM$11:$AM$4010,MATCH(432,$AZ$11:$AZ$4010,0)),"")</f>
        <v/>
      </c>
      <c r="AF442" s="25" t="str">
        <f>IF(AE442="","",IFERROR(INDEX($AN$11:$AN$4010,MATCH(432,$AZ$11:$AZ$4010,0)),""))</f>
        <v/>
      </c>
      <c r="AG442" s="25" t="str">
        <f>IF(AE442="","",IFERROR(INDEX($AO$11:$AO$4010,MATCH(432,$AZ$11:$AZ$4010,0)),""))</f>
        <v/>
      </c>
      <c r="AH442" s="24" t="str">
        <f>IF(AE442="","",IFERROR(INDEX($AQ$11:$AQ$4010,MATCH(432,$AZ$11:$AZ$4010,0)),""))</f>
        <v/>
      </c>
      <c r="AI442" s="29" t="str">
        <f>IF(AE442="","",IFERROR(INDEX($AR$11:$AR$4010,MATCH(432,$AZ$11:$AZ$4010,0)),""))</f>
        <v/>
      </c>
      <c r="AJ442" s="29" t="str">
        <f>IF(AE442="","",IFERROR(INDEX($AT$11:$AT$4010,MATCH(432,$AZ$11:$AZ$4010,0)),""))</f>
        <v/>
      </c>
      <c r="AL442" s="31" t="str">
        <f t="shared" si="83"/>
        <v/>
      </c>
      <c r="AM442" s="26" t="str">
        <f t="shared" si="84"/>
        <v/>
      </c>
      <c r="AN442" s="32" t="str">
        <f t="shared" si="85"/>
        <v/>
      </c>
      <c r="AO442" s="32" t="str">
        <f t="shared" si="86"/>
        <v/>
      </c>
      <c r="AP442" s="24" t="str">
        <f t="shared" si="87"/>
        <v/>
      </c>
      <c r="AQ442" s="24" t="str">
        <f t="shared" si="88"/>
        <v/>
      </c>
      <c r="AR442" s="33" t="str">
        <f t="shared" si="89"/>
        <v/>
      </c>
      <c r="AS442" s="34"/>
      <c r="AT442" s="33"/>
      <c r="AV442" s="21">
        <f>IF(AND($AL442&lt;&gt;"",COUNTIF($AL$11:$AL442,$AL442)=1),1,0)</f>
        <v>0</v>
      </c>
      <c r="AW442" s="21">
        <f t="shared" si="91"/>
        <v>0</v>
      </c>
      <c r="AX442" s="21" t="str">
        <f t="shared" si="90"/>
        <v/>
      </c>
      <c r="AY442" s="21" t="str">
        <f>IF(AND($AM442&lt;&gt;"",$AS442&lt;&gt;"✓"),SUMPRODUCT(($AM$11:$AM442&lt;&gt;"")*($AS$11:$AS442&lt;&gt;"✓")),"")</f>
        <v/>
      </c>
      <c r="AZ442" s="21" t="str">
        <f>IF(AND($AM442&lt;&gt;"",$AS442="✓"),SUMPRODUCT(($AM$11:$AM442&lt;&gt;"")*($AS$11:$AS442="✓")),"")</f>
        <v/>
      </c>
      <c r="BA442" s="21" t="str">
        <f>IF($AL442="","",$AL442&amp;"|"&amp;COUNTIF($AL$11:$AL442,$AL442))</f>
        <v/>
      </c>
    </row>
    <row r="443" spans="2:53" ht="15" customHeight="1" x14ac:dyDescent="0.25">
      <c r="B443" s="5" t="str">
        <f t="shared" si="82"/>
        <v/>
      </c>
      <c r="C443" s="5"/>
      <c r="D443" s="5"/>
      <c r="E443" s="5"/>
      <c r="F443" s="6"/>
      <c r="G443" s="6"/>
      <c r="H443" s="7"/>
      <c r="I443" s="8"/>
      <c r="W443" s="14" t="str">
        <f>IF(X443="","",IFERROR(INDEX($AL$11:$AL$4010,MATCH(433,$AY$11:$AY$4010,0)),""))</f>
        <v/>
      </c>
      <c r="X443" s="12" t="str">
        <f>IFERROR(INDEX($AM$11:$AM$4010,MATCH(433,$AY$11:$AY$4010,0)),"")</f>
        <v/>
      </c>
      <c r="Y443" s="11" t="str">
        <f>IF(X443="","",IFERROR(INDEX($AN$11:$AN$4010,MATCH(433,$AY$11:$AY$4010,0)),""))</f>
        <v/>
      </c>
      <c r="Z443" s="11" t="str">
        <f>IF(X443="","",IFERROR(INDEX($AO$11:$AO$4010,MATCH(433,$AY$11:$AY$4010,0)),""))</f>
        <v/>
      </c>
      <c r="AA443" s="10" t="str">
        <f>IF(X443="","",IFERROR(INDEX($AQ$11:$AQ$4010,MATCH(433,$AY$11:$AY$4010,0)),""))</f>
        <v/>
      </c>
      <c r="AB443" s="15" t="str">
        <f>IF(X443="","",IFERROR(INDEX($AR$11:$AR$4010,MATCH(433,$AY$11:$AY$4010,0)),""))</f>
        <v/>
      </c>
      <c r="AD443" s="16" t="str">
        <f>IF(AE443="","",IFERROR(INDEX($AL$11:$AL$4010,MATCH(433,$AZ$11:$AZ$4010,0)),""))</f>
        <v/>
      </c>
      <c r="AE443" s="12" t="str">
        <f>IFERROR(INDEX($AM$11:$AM$4010,MATCH(433,$AZ$11:$AZ$4010,0)),"")</f>
        <v/>
      </c>
      <c r="AF443" s="11" t="str">
        <f>IF(AE443="","",IFERROR(INDEX($AN$11:$AN$4010,MATCH(433,$AZ$11:$AZ$4010,0)),""))</f>
        <v/>
      </c>
      <c r="AG443" s="11" t="str">
        <f>IF(AE443="","",IFERROR(INDEX($AO$11:$AO$4010,MATCH(433,$AZ$11:$AZ$4010,0)),""))</f>
        <v/>
      </c>
      <c r="AH443" s="10" t="str">
        <f>IF(AE443="","",IFERROR(INDEX($AQ$11:$AQ$4010,MATCH(433,$AZ$11:$AZ$4010,0)),""))</f>
        <v/>
      </c>
      <c r="AI443" s="15" t="str">
        <f>IF(AE443="","",IFERROR(INDEX($AR$11:$AR$4010,MATCH(433,$AZ$11:$AZ$4010,0)),""))</f>
        <v/>
      </c>
      <c r="AJ443" s="15" t="str">
        <f>IF(AE443="","",IFERROR(INDEX($AT$11:$AT$4010,MATCH(433,$AZ$11:$AZ$4010,0)),""))</f>
        <v/>
      </c>
      <c r="AL443" s="17" t="str">
        <f t="shared" si="83"/>
        <v/>
      </c>
      <c r="AM443" s="12" t="str">
        <f t="shared" si="84"/>
        <v/>
      </c>
      <c r="AN443" s="18" t="str">
        <f t="shared" si="85"/>
        <v/>
      </c>
      <c r="AO443" s="18" t="str">
        <f t="shared" si="86"/>
        <v/>
      </c>
      <c r="AP443" s="10" t="str">
        <f t="shared" si="87"/>
        <v/>
      </c>
      <c r="AQ443" s="10" t="str">
        <f t="shared" si="88"/>
        <v/>
      </c>
      <c r="AR443" s="19" t="str">
        <f t="shared" si="89"/>
        <v/>
      </c>
      <c r="AS443" s="20"/>
      <c r="AT443" s="19"/>
      <c r="AV443" s="21">
        <f>IF(AND($AL443&lt;&gt;"",COUNTIF($AL$11:$AL443,$AL443)=1),1,0)</f>
        <v>0</v>
      </c>
      <c r="AW443" s="21">
        <f t="shared" si="91"/>
        <v>0</v>
      </c>
      <c r="AX443" s="21" t="str">
        <f t="shared" si="90"/>
        <v/>
      </c>
      <c r="AY443" s="21" t="str">
        <f>IF(AND($AM443&lt;&gt;"",$AS443&lt;&gt;"✓"),SUMPRODUCT(($AM$11:$AM443&lt;&gt;"")*($AS$11:$AS443&lt;&gt;"✓")),"")</f>
        <v/>
      </c>
      <c r="AZ443" s="21" t="str">
        <f>IF(AND($AM443&lt;&gt;"",$AS443="✓"),SUMPRODUCT(($AM$11:$AM443&lt;&gt;"")*($AS$11:$AS443="✓")),"")</f>
        <v/>
      </c>
      <c r="BA443" s="21" t="str">
        <f>IF($AL443="","",$AL443&amp;"|"&amp;COUNTIF($AL$11:$AL443,$AL443))</f>
        <v/>
      </c>
    </row>
    <row r="444" spans="2:53" ht="15" customHeight="1" x14ac:dyDescent="0.25">
      <c r="B444" s="5" t="str">
        <f t="shared" si="82"/>
        <v/>
      </c>
      <c r="C444" s="5"/>
      <c r="D444" s="5"/>
      <c r="E444" s="5"/>
      <c r="F444" s="6"/>
      <c r="G444" s="6"/>
      <c r="H444" s="7"/>
      <c r="I444" s="8"/>
      <c r="W444" s="28" t="str">
        <f>IF(X444="","",IFERROR(INDEX($AL$11:$AL$4010,MATCH(434,$AY$11:$AY$4010,0)),""))</f>
        <v/>
      </c>
      <c r="X444" s="26" t="str">
        <f>IFERROR(INDEX($AM$11:$AM$4010,MATCH(434,$AY$11:$AY$4010,0)),"")</f>
        <v/>
      </c>
      <c r="Y444" s="25" t="str">
        <f>IF(X444="","",IFERROR(INDEX($AN$11:$AN$4010,MATCH(434,$AY$11:$AY$4010,0)),""))</f>
        <v/>
      </c>
      <c r="Z444" s="25" t="str">
        <f>IF(X444="","",IFERROR(INDEX($AO$11:$AO$4010,MATCH(434,$AY$11:$AY$4010,0)),""))</f>
        <v/>
      </c>
      <c r="AA444" s="24" t="str">
        <f>IF(X444="","",IFERROR(INDEX($AQ$11:$AQ$4010,MATCH(434,$AY$11:$AY$4010,0)),""))</f>
        <v/>
      </c>
      <c r="AB444" s="29" t="str">
        <f>IF(X444="","",IFERROR(INDEX($AR$11:$AR$4010,MATCH(434,$AY$11:$AY$4010,0)),""))</f>
        <v/>
      </c>
      <c r="AD444" s="30" t="str">
        <f>IF(AE444="","",IFERROR(INDEX($AL$11:$AL$4010,MATCH(434,$AZ$11:$AZ$4010,0)),""))</f>
        <v/>
      </c>
      <c r="AE444" s="26" t="str">
        <f>IFERROR(INDEX($AM$11:$AM$4010,MATCH(434,$AZ$11:$AZ$4010,0)),"")</f>
        <v/>
      </c>
      <c r="AF444" s="25" t="str">
        <f>IF(AE444="","",IFERROR(INDEX($AN$11:$AN$4010,MATCH(434,$AZ$11:$AZ$4010,0)),""))</f>
        <v/>
      </c>
      <c r="AG444" s="25" t="str">
        <f>IF(AE444="","",IFERROR(INDEX($AO$11:$AO$4010,MATCH(434,$AZ$11:$AZ$4010,0)),""))</f>
        <v/>
      </c>
      <c r="AH444" s="24" t="str">
        <f>IF(AE444="","",IFERROR(INDEX($AQ$11:$AQ$4010,MATCH(434,$AZ$11:$AZ$4010,0)),""))</f>
        <v/>
      </c>
      <c r="AI444" s="29" t="str">
        <f>IF(AE444="","",IFERROR(INDEX($AR$11:$AR$4010,MATCH(434,$AZ$11:$AZ$4010,0)),""))</f>
        <v/>
      </c>
      <c r="AJ444" s="29" t="str">
        <f>IF(AE444="","",IFERROR(INDEX($AT$11:$AT$4010,MATCH(434,$AZ$11:$AZ$4010,0)),""))</f>
        <v/>
      </c>
      <c r="AL444" s="31" t="str">
        <f t="shared" si="83"/>
        <v/>
      </c>
      <c r="AM444" s="26" t="str">
        <f t="shared" si="84"/>
        <v/>
      </c>
      <c r="AN444" s="32" t="str">
        <f t="shared" si="85"/>
        <v/>
      </c>
      <c r="AO444" s="32" t="str">
        <f t="shared" si="86"/>
        <v/>
      </c>
      <c r="AP444" s="24" t="str">
        <f t="shared" si="87"/>
        <v/>
      </c>
      <c r="AQ444" s="24" t="str">
        <f t="shared" si="88"/>
        <v/>
      </c>
      <c r="AR444" s="33" t="str">
        <f t="shared" si="89"/>
        <v/>
      </c>
      <c r="AS444" s="34"/>
      <c r="AT444" s="33"/>
      <c r="AV444" s="21">
        <f>IF(AND($AL444&lt;&gt;"",COUNTIF($AL$11:$AL444,$AL444)=1),1,0)</f>
        <v>0</v>
      </c>
      <c r="AW444" s="21">
        <f t="shared" si="91"/>
        <v>0</v>
      </c>
      <c r="AX444" s="21" t="str">
        <f t="shared" si="90"/>
        <v/>
      </c>
      <c r="AY444" s="21" t="str">
        <f>IF(AND($AM444&lt;&gt;"",$AS444&lt;&gt;"✓"),SUMPRODUCT(($AM$11:$AM444&lt;&gt;"")*($AS$11:$AS444&lt;&gt;"✓")),"")</f>
        <v/>
      </c>
      <c r="AZ444" s="21" t="str">
        <f>IF(AND($AM444&lt;&gt;"",$AS444="✓"),SUMPRODUCT(($AM$11:$AM444&lt;&gt;"")*($AS$11:$AS444="✓")),"")</f>
        <v/>
      </c>
      <c r="BA444" s="21" t="str">
        <f>IF($AL444="","",$AL444&amp;"|"&amp;COUNTIF($AL$11:$AL444,$AL444))</f>
        <v/>
      </c>
    </row>
    <row r="445" spans="2:53" ht="15" customHeight="1" x14ac:dyDescent="0.25">
      <c r="B445" s="5" t="str">
        <f t="shared" si="82"/>
        <v/>
      </c>
      <c r="C445" s="5"/>
      <c r="D445" s="5"/>
      <c r="E445" s="5"/>
      <c r="F445" s="6"/>
      <c r="G445" s="6"/>
      <c r="H445" s="7"/>
      <c r="I445" s="8"/>
      <c r="W445" s="14" t="str">
        <f>IF(X445="","",IFERROR(INDEX($AL$11:$AL$4010,MATCH(435,$AY$11:$AY$4010,0)),""))</f>
        <v/>
      </c>
      <c r="X445" s="12" t="str">
        <f>IFERROR(INDEX($AM$11:$AM$4010,MATCH(435,$AY$11:$AY$4010,0)),"")</f>
        <v/>
      </c>
      <c r="Y445" s="11" t="str">
        <f>IF(X445="","",IFERROR(INDEX($AN$11:$AN$4010,MATCH(435,$AY$11:$AY$4010,0)),""))</f>
        <v/>
      </c>
      <c r="Z445" s="11" t="str">
        <f>IF(X445="","",IFERROR(INDEX($AO$11:$AO$4010,MATCH(435,$AY$11:$AY$4010,0)),""))</f>
        <v/>
      </c>
      <c r="AA445" s="10" t="str">
        <f>IF(X445="","",IFERROR(INDEX($AQ$11:$AQ$4010,MATCH(435,$AY$11:$AY$4010,0)),""))</f>
        <v/>
      </c>
      <c r="AB445" s="15" t="str">
        <f>IF(X445="","",IFERROR(INDEX($AR$11:$AR$4010,MATCH(435,$AY$11:$AY$4010,0)),""))</f>
        <v/>
      </c>
      <c r="AD445" s="16" t="str">
        <f>IF(AE445="","",IFERROR(INDEX($AL$11:$AL$4010,MATCH(435,$AZ$11:$AZ$4010,0)),""))</f>
        <v/>
      </c>
      <c r="AE445" s="12" t="str">
        <f>IFERROR(INDEX($AM$11:$AM$4010,MATCH(435,$AZ$11:$AZ$4010,0)),"")</f>
        <v/>
      </c>
      <c r="AF445" s="11" t="str">
        <f>IF(AE445="","",IFERROR(INDEX($AN$11:$AN$4010,MATCH(435,$AZ$11:$AZ$4010,0)),""))</f>
        <v/>
      </c>
      <c r="AG445" s="11" t="str">
        <f>IF(AE445="","",IFERROR(INDEX($AO$11:$AO$4010,MATCH(435,$AZ$11:$AZ$4010,0)),""))</f>
        <v/>
      </c>
      <c r="AH445" s="10" t="str">
        <f>IF(AE445="","",IFERROR(INDEX($AQ$11:$AQ$4010,MATCH(435,$AZ$11:$AZ$4010,0)),""))</f>
        <v/>
      </c>
      <c r="AI445" s="15" t="str">
        <f>IF(AE445="","",IFERROR(INDEX($AR$11:$AR$4010,MATCH(435,$AZ$11:$AZ$4010,0)),""))</f>
        <v/>
      </c>
      <c r="AJ445" s="15" t="str">
        <f>IF(AE445="","",IFERROR(INDEX($AT$11:$AT$4010,MATCH(435,$AZ$11:$AZ$4010,0)),""))</f>
        <v/>
      </c>
      <c r="AL445" s="17" t="str">
        <f t="shared" si="83"/>
        <v/>
      </c>
      <c r="AM445" s="12" t="str">
        <f t="shared" si="84"/>
        <v/>
      </c>
      <c r="AN445" s="18" t="str">
        <f t="shared" si="85"/>
        <v/>
      </c>
      <c r="AO445" s="18" t="str">
        <f t="shared" si="86"/>
        <v/>
      </c>
      <c r="AP445" s="10" t="str">
        <f t="shared" si="87"/>
        <v/>
      </c>
      <c r="AQ445" s="10" t="str">
        <f t="shared" si="88"/>
        <v/>
      </c>
      <c r="AR445" s="19" t="str">
        <f t="shared" si="89"/>
        <v/>
      </c>
      <c r="AS445" s="20"/>
      <c r="AT445" s="19"/>
      <c r="AV445" s="21">
        <f>IF(AND($AL445&lt;&gt;"",COUNTIF($AL$11:$AL445,$AL445)=1),1,0)</f>
        <v>0</v>
      </c>
      <c r="AW445" s="21">
        <f t="shared" si="91"/>
        <v>0</v>
      </c>
      <c r="AX445" s="21" t="str">
        <f t="shared" si="90"/>
        <v/>
      </c>
      <c r="AY445" s="21" t="str">
        <f>IF(AND($AM445&lt;&gt;"",$AS445&lt;&gt;"✓"),SUMPRODUCT(($AM$11:$AM445&lt;&gt;"")*($AS$11:$AS445&lt;&gt;"✓")),"")</f>
        <v/>
      </c>
      <c r="AZ445" s="21" t="str">
        <f>IF(AND($AM445&lt;&gt;"",$AS445="✓"),SUMPRODUCT(($AM$11:$AM445&lt;&gt;"")*($AS$11:$AS445="✓")),"")</f>
        <v/>
      </c>
      <c r="BA445" s="21" t="str">
        <f>IF($AL445="","",$AL445&amp;"|"&amp;COUNTIF($AL$11:$AL445,$AL445))</f>
        <v/>
      </c>
    </row>
    <row r="446" spans="2:53" ht="15" customHeight="1" x14ac:dyDescent="0.25">
      <c r="B446" s="5" t="str">
        <f t="shared" si="82"/>
        <v/>
      </c>
      <c r="C446" s="5"/>
      <c r="D446" s="5"/>
      <c r="E446" s="5"/>
      <c r="F446" s="6"/>
      <c r="G446" s="6"/>
      <c r="H446" s="7"/>
      <c r="I446" s="8"/>
      <c r="W446" s="28" t="str">
        <f>IF(X446="","",IFERROR(INDEX($AL$11:$AL$4010,MATCH(436,$AY$11:$AY$4010,0)),""))</f>
        <v/>
      </c>
      <c r="X446" s="26" t="str">
        <f>IFERROR(INDEX($AM$11:$AM$4010,MATCH(436,$AY$11:$AY$4010,0)),"")</f>
        <v/>
      </c>
      <c r="Y446" s="25" t="str">
        <f>IF(X446="","",IFERROR(INDEX($AN$11:$AN$4010,MATCH(436,$AY$11:$AY$4010,0)),""))</f>
        <v/>
      </c>
      <c r="Z446" s="25" t="str">
        <f>IF(X446="","",IFERROR(INDEX($AO$11:$AO$4010,MATCH(436,$AY$11:$AY$4010,0)),""))</f>
        <v/>
      </c>
      <c r="AA446" s="24" t="str">
        <f>IF(X446="","",IFERROR(INDEX($AQ$11:$AQ$4010,MATCH(436,$AY$11:$AY$4010,0)),""))</f>
        <v/>
      </c>
      <c r="AB446" s="29" t="str">
        <f>IF(X446="","",IFERROR(INDEX($AR$11:$AR$4010,MATCH(436,$AY$11:$AY$4010,0)),""))</f>
        <v/>
      </c>
      <c r="AD446" s="30" t="str">
        <f>IF(AE446="","",IFERROR(INDEX($AL$11:$AL$4010,MATCH(436,$AZ$11:$AZ$4010,0)),""))</f>
        <v/>
      </c>
      <c r="AE446" s="26" t="str">
        <f>IFERROR(INDEX($AM$11:$AM$4010,MATCH(436,$AZ$11:$AZ$4010,0)),"")</f>
        <v/>
      </c>
      <c r="AF446" s="25" t="str">
        <f>IF(AE446="","",IFERROR(INDEX($AN$11:$AN$4010,MATCH(436,$AZ$11:$AZ$4010,0)),""))</f>
        <v/>
      </c>
      <c r="AG446" s="25" t="str">
        <f>IF(AE446="","",IFERROR(INDEX($AO$11:$AO$4010,MATCH(436,$AZ$11:$AZ$4010,0)),""))</f>
        <v/>
      </c>
      <c r="AH446" s="24" t="str">
        <f>IF(AE446="","",IFERROR(INDEX($AQ$11:$AQ$4010,MATCH(436,$AZ$11:$AZ$4010,0)),""))</f>
        <v/>
      </c>
      <c r="AI446" s="29" t="str">
        <f>IF(AE446="","",IFERROR(INDEX($AR$11:$AR$4010,MATCH(436,$AZ$11:$AZ$4010,0)),""))</f>
        <v/>
      </c>
      <c r="AJ446" s="29" t="str">
        <f>IF(AE446="","",IFERROR(INDEX($AT$11:$AT$4010,MATCH(436,$AZ$11:$AZ$4010,0)),""))</f>
        <v/>
      </c>
      <c r="AL446" s="31" t="str">
        <f t="shared" si="83"/>
        <v/>
      </c>
      <c r="AM446" s="26" t="str">
        <f t="shared" si="84"/>
        <v/>
      </c>
      <c r="AN446" s="32" t="str">
        <f t="shared" si="85"/>
        <v/>
      </c>
      <c r="AO446" s="32" t="str">
        <f t="shared" si="86"/>
        <v/>
      </c>
      <c r="AP446" s="24" t="str">
        <f t="shared" si="87"/>
        <v/>
      </c>
      <c r="AQ446" s="24" t="str">
        <f t="shared" si="88"/>
        <v/>
      </c>
      <c r="AR446" s="33" t="str">
        <f t="shared" si="89"/>
        <v/>
      </c>
      <c r="AS446" s="34"/>
      <c r="AT446" s="33"/>
      <c r="AV446" s="21">
        <f>IF(AND($AL446&lt;&gt;"",COUNTIF($AL$11:$AL446,$AL446)=1),1,0)</f>
        <v>0</v>
      </c>
      <c r="AW446" s="21">
        <f t="shared" si="91"/>
        <v>0</v>
      </c>
      <c r="AX446" s="21" t="str">
        <f t="shared" si="90"/>
        <v/>
      </c>
      <c r="AY446" s="21" t="str">
        <f>IF(AND($AM446&lt;&gt;"",$AS446&lt;&gt;"✓"),SUMPRODUCT(($AM$11:$AM446&lt;&gt;"")*($AS$11:$AS446&lt;&gt;"✓")),"")</f>
        <v/>
      </c>
      <c r="AZ446" s="21" t="str">
        <f>IF(AND($AM446&lt;&gt;"",$AS446="✓"),SUMPRODUCT(($AM$11:$AM446&lt;&gt;"")*($AS$11:$AS446="✓")),"")</f>
        <v/>
      </c>
      <c r="BA446" s="21" t="str">
        <f>IF($AL446="","",$AL446&amp;"|"&amp;COUNTIF($AL$11:$AL446,$AL446))</f>
        <v/>
      </c>
    </row>
    <row r="447" spans="2:53" ht="15" customHeight="1" x14ac:dyDescent="0.25">
      <c r="B447" s="5" t="str">
        <f t="shared" si="82"/>
        <v/>
      </c>
      <c r="C447" s="5"/>
      <c r="D447" s="5"/>
      <c r="E447" s="5"/>
      <c r="F447" s="6"/>
      <c r="G447" s="6"/>
      <c r="H447" s="7"/>
      <c r="I447" s="8"/>
      <c r="W447" s="14" t="str">
        <f>IF(X447="","",IFERROR(INDEX($AL$11:$AL$4010,MATCH(437,$AY$11:$AY$4010,0)),""))</f>
        <v/>
      </c>
      <c r="X447" s="12" t="str">
        <f>IFERROR(INDEX($AM$11:$AM$4010,MATCH(437,$AY$11:$AY$4010,0)),"")</f>
        <v/>
      </c>
      <c r="Y447" s="11" t="str">
        <f>IF(X447="","",IFERROR(INDEX($AN$11:$AN$4010,MATCH(437,$AY$11:$AY$4010,0)),""))</f>
        <v/>
      </c>
      <c r="Z447" s="11" t="str">
        <f>IF(X447="","",IFERROR(INDEX($AO$11:$AO$4010,MATCH(437,$AY$11:$AY$4010,0)),""))</f>
        <v/>
      </c>
      <c r="AA447" s="10" t="str">
        <f>IF(X447="","",IFERROR(INDEX($AQ$11:$AQ$4010,MATCH(437,$AY$11:$AY$4010,0)),""))</f>
        <v/>
      </c>
      <c r="AB447" s="15" t="str">
        <f>IF(X447="","",IFERROR(INDEX($AR$11:$AR$4010,MATCH(437,$AY$11:$AY$4010,0)),""))</f>
        <v/>
      </c>
      <c r="AD447" s="16" t="str">
        <f>IF(AE447="","",IFERROR(INDEX($AL$11:$AL$4010,MATCH(437,$AZ$11:$AZ$4010,0)),""))</f>
        <v/>
      </c>
      <c r="AE447" s="12" t="str">
        <f>IFERROR(INDEX($AM$11:$AM$4010,MATCH(437,$AZ$11:$AZ$4010,0)),"")</f>
        <v/>
      </c>
      <c r="AF447" s="11" t="str">
        <f>IF(AE447="","",IFERROR(INDEX($AN$11:$AN$4010,MATCH(437,$AZ$11:$AZ$4010,0)),""))</f>
        <v/>
      </c>
      <c r="AG447" s="11" t="str">
        <f>IF(AE447="","",IFERROR(INDEX($AO$11:$AO$4010,MATCH(437,$AZ$11:$AZ$4010,0)),""))</f>
        <v/>
      </c>
      <c r="AH447" s="10" t="str">
        <f>IF(AE447="","",IFERROR(INDEX($AQ$11:$AQ$4010,MATCH(437,$AZ$11:$AZ$4010,0)),""))</f>
        <v/>
      </c>
      <c r="AI447" s="15" t="str">
        <f>IF(AE447="","",IFERROR(INDEX($AR$11:$AR$4010,MATCH(437,$AZ$11:$AZ$4010,0)),""))</f>
        <v/>
      </c>
      <c r="AJ447" s="15" t="str">
        <f>IF(AE447="","",IFERROR(INDEX($AT$11:$AT$4010,MATCH(437,$AZ$11:$AZ$4010,0)),""))</f>
        <v/>
      </c>
      <c r="AL447" s="17" t="str">
        <f t="shared" si="83"/>
        <v/>
      </c>
      <c r="AM447" s="12" t="str">
        <f t="shared" si="84"/>
        <v/>
      </c>
      <c r="AN447" s="18" t="str">
        <f t="shared" si="85"/>
        <v/>
      </c>
      <c r="AO447" s="18" t="str">
        <f t="shared" si="86"/>
        <v/>
      </c>
      <c r="AP447" s="10" t="str">
        <f t="shared" si="87"/>
        <v/>
      </c>
      <c r="AQ447" s="10" t="str">
        <f t="shared" si="88"/>
        <v/>
      </c>
      <c r="AR447" s="19" t="str">
        <f t="shared" si="89"/>
        <v/>
      </c>
      <c r="AS447" s="20"/>
      <c r="AT447" s="19"/>
      <c r="AV447" s="21">
        <f>IF(AND($AL447&lt;&gt;"",COUNTIF($AL$11:$AL447,$AL447)=1),1,0)</f>
        <v>0</v>
      </c>
      <c r="AW447" s="21">
        <f t="shared" si="91"/>
        <v>0</v>
      </c>
      <c r="AX447" s="21" t="str">
        <f t="shared" si="90"/>
        <v/>
      </c>
      <c r="AY447" s="21" t="str">
        <f>IF(AND($AM447&lt;&gt;"",$AS447&lt;&gt;"✓"),SUMPRODUCT(($AM$11:$AM447&lt;&gt;"")*($AS$11:$AS447&lt;&gt;"✓")),"")</f>
        <v/>
      </c>
      <c r="AZ447" s="21" t="str">
        <f>IF(AND($AM447&lt;&gt;"",$AS447="✓"),SUMPRODUCT(($AM$11:$AM447&lt;&gt;"")*($AS$11:$AS447="✓")),"")</f>
        <v/>
      </c>
      <c r="BA447" s="21" t="str">
        <f>IF($AL447="","",$AL447&amp;"|"&amp;COUNTIF($AL$11:$AL447,$AL447))</f>
        <v/>
      </c>
    </row>
    <row r="448" spans="2:53" ht="15" customHeight="1" x14ac:dyDescent="0.25">
      <c r="B448" s="5" t="str">
        <f t="shared" si="82"/>
        <v/>
      </c>
      <c r="C448" s="5"/>
      <c r="D448" s="5"/>
      <c r="E448" s="5"/>
      <c r="F448" s="6"/>
      <c r="G448" s="6"/>
      <c r="H448" s="7"/>
      <c r="I448" s="8"/>
      <c r="W448" s="28" t="str">
        <f>IF(X448="","",IFERROR(INDEX($AL$11:$AL$4010,MATCH(438,$AY$11:$AY$4010,0)),""))</f>
        <v/>
      </c>
      <c r="X448" s="26" t="str">
        <f>IFERROR(INDEX($AM$11:$AM$4010,MATCH(438,$AY$11:$AY$4010,0)),"")</f>
        <v/>
      </c>
      <c r="Y448" s="25" t="str">
        <f>IF(X448="","",IFERROR(INDEX($AN$11:$AN$4010,MATCH(438,$AY$11:$AY$4010,0)),""))</f>
        <v/>
      </c>
      <c r="Z448" s="25" t="str">
        <f>IF(X448="","",IFERROR(INDEX($AO$11:$AO$4010,MATCH(438,$AY$11:$AY$4010,0)),""))</f>
        <v/>
      </c>
      <c r="AA448" s="24" t="str">
        <f>IF(X448="","",IFERROR(INDEX($AQ$11:$AQ$4010,MATCH(438,$AY$11:$AY$4010,0)),""))</f>
        <v/>
      </c>
      <c r="AB448" s="29" t="str">
        <f>IF(X448="","",IFERROR(INDEX($AR$11:$AR$4010,MATCH(438,$AY$11:$AY$4010,0)),""))</f>
        <v/>
      </c>
      <c r="AD448" s="30" t="str">
        <f>IF(AE448="","",IFERROR(INDEX($AL$11:$AL$4010,MATCH(438,$AZ$11:$AZ$4010,0)),""))</f>
        <v/>
      </c>
      <c r="AE448" s="26" t="str">
        <f>IFERROR(INDEX($AM$11:$AM$4010,MATCH(438,$AZ$11:$AZ$4010,0)),"")</f>
        <v/>
      </c>
      <c r="AF448" s="25" t="str">
        <f>IF(AE448="","",IFERROR(INDEX($AN$11:$AN$4010,MATCH(438,$AZ$11:$AZ$4010,0)),""))</f>
        <v/>
      </c>
      <c r="AG448" s="25" t="str">
        <f>IF(AE448="","",IFERROR(INDEX($AO$11:$AO$4010,MATCH(438,$AZ$11:$AZ$4010,0)),""))</f>
        <v/>
      </c>
      <c r="AH448" s="24" t="str">
        <f>IF(AE448="","",IFERROR(INDEX($AQ$11:$AQ$4010,MATCH(438,$AZ$11:$AZ$4010,0)),""))</f>
        <v/>
      </c>
      <c r="AI448" s="29" t="str">
        <f>IF(AE448="","",IFERROR(INDEX($AR$11:$AR$4010,MATCH(438,$AZ$11:$AZ$4010,0)),""))</f>
        <v/>
      </c>
      <c r="AJ448" s="29" t="str">
        <f>IF(AE448="","",IFERROR(INDEX($AT$11:$AT$4010,MATCH(438,$AZ$11:$AZ$4010,0)),""))</f>
        <v/>
      </c>
      <c r="AL448" s="31" t="str">
        <f t="shared" si="83"/>
        <v/>
      </c>
      <c r="AM448" s="26" t="str">
        <f t="shared" si="84"/>
        <v/>
      </c>
      <c r="AN448" s="32" t="str">
        <f t="shared" si="85"/>
        <v/>
      </c>
      <c r="AO448" s="32" t="str">
        <f t="shared" si="86"/>
        <v/>
      </c>
      <c r="AP448" s="24" t="str">
        <f t="shared" si="87"/>
        <v/>
      </c>
      <c r="AQ448" s="24" t="str">
        <f t="shared" si="88"/>
        <v/>
      </c>
      <c r="AR448" s="33" t="str">
        <f t="shared" si="89"/>
        <v/>
      </c>
      <c r="AS448" s="34"/>
      <c r="AT448" s="33"/>
      <c r="AV448" s="21">
        <f>IF(AND($AL448&lt;&gt;"",COUNTIF($AL$11:$AL448,$AL448)=1),1,0)</f>
        <v>0</v>
      </c>
      <c r="AW448" s="21">
        <f t="shared" si="91"/>
        <v>0</v>
      </c>
      <c r="AX448" s="21" t="str">
        <f t="shared" si="90"/>
        <v/>
      </c>
      <c r="AY448" s="21" t="str">
        <f>IF(AND($AM448&lt;&gt;"",$AS448&lt;&gt;"✓"),SUMPRODUCT(($AM$11:$AM448&lt;&gt;"")*($AS$11:$AS448&lt;&gt;"✓")),"")</f>
        <v/>
      </c>
      <c r="AZ448" s="21" t="str">
        <f>IF(AND($AM448&lt;&gt;"",$AS448="✓"),SUMPRODUCT(($AM$11:$AM448&lt;&gt;"")*($AS$11:$AS448="✓")),"")</f>
        <v/>
      </c>
      <c r="BA448" s="21" t="str">
        <f>IF($AL448="","",$AL448&amp;"|"&amp;COUNTIF($AL$11:$AL448,$AL448))</f>
        <v/>
      </c>
    </row>
    <row r="449" spans="2:53" ht="15" customHeight="1" x14ac:dyDescent="0.25">
      <c r="B449" s="5" t="str">
        <f t="shared" si="82"/>
        <v/>
      </c>
      <c r="C449" s="5"/>
      <c r="D449" s="5"/>
      <c r="E449" s="5"/>
      <c r="F449" s="6"/>
      <c r="G449" s="6"/>
      <c r="H449" s="7"/>
      <c r="I449" s="8"/>
      <c r="W449" s="14" t="str">
        <f>IF(X449="","",IFERROR(INDEX($AL$11:$AL$4010,MATCH(439,$AY$11:$AY$4010,0)),""))</f>
        <v/>
      </c>
      <c r="X449" s="12" t="str">
        <f>IFERROR(INDEX($AM$11:$AM$4010,MATCH(439,$AY$11:$AY$4010,0)),"")</f>
        <v/>
      </c>
      <c r="Y449" s="11" t="str">
        <f>IF(X449="","",IFERROR(INDEX($AN$11:$AN$4010,MATCH(439,$AY$11:$AY$4010,0)),""))</f>
        <v/>
      </c>
      <c r="Z449" s="11" t="str">
        <f>IF(X449="","",IFERROR(INDEX($AO$11:$AO$4010,MATCH(439,$AY$11:$AY$4010,0)),""))</f>
        <v/>
      </c>
      <c r="AA449" s="10" t="str">
        <f>IF(X449="","",IFERROR(INDEX($AQ$11:$AQ$4010,MATCH(439,$AY$11:$AY$4010,0)),""))</f>
        <v/>
      </c>
      <c r="AB449" s="15" t="str">
        <f>IF(X449="","",IFERROR(INDEX($AR$11:$AR$4010,MATCH(439,$AY$11:$AY$4010,0)),""))</f>
        <v/>
      </c>
      <c r="AD449" s="16" t="str">
        <f>IF(AE449="","",IFERROR(INDEX($AL$11:$AL$4010,MATCH(439,$AZ$11:$AZ$4010,0)),""))</f>
        <v/>
      </c>
      <c r="AE449" s="12" t="str">
        <f>IFERROR(INDEX($AM$11:$AM$4010,MATCH(439,$AZ$11:$AZ$4010,0)),"")</f>
        <v/>
      </c>
      <c r="AF449" s="11" t="str">
        <f>IF(AE449="","",IFERROR(INDEX($AN$11:$AN$4010,MATCH(439,$AZ$11:$AZ$4010,0)),""))</f>
        <v/>
      </c>
      <c r="AG449" s="11" t="str">
        <f>IF(AE449="","",IFERROR(INDEX($AO$11:$AO$4010,MATCH(439,$AZ$11:$AZ$4010,0)),""))</f>
        <v/>
      </c>
      <c r="AH449" s="10" t="str">
        <f>IF(AE449="","",IFERROR(INDEX($AQ$11:$AQ$4010,MATCH(439,$AZ$11:$AZ$4010,0)),""))</f>
        <v/>
      </c>
      <c r="AI449" s="15" t="str">
        <f>IF(AE449="","",IFERROR(INDEX($AR$11:$AR$4010,MATCH(439,$AZ$11:$AZ$4010,0)),""))</f>
        <v/>
      </c>
      <c r="AJ449" s="15" t="str">
        <f>IF(AE449="","",IFERROR(INDEX($AT$11:$AT$4010,MATCH(439,$AZ$11:$AZ$4010,0)),""))</f>
        <v/>
      </c>
      <c r="AL449" s="17" t="str">
        <f t="shared" si="83"/>
        <v/>
      </c>
      <c r="AM449" s="12" t="str">
        <f t="shared" si="84"/>
        <v/>
      </c>
      <c r="AN449" s="18" t="str">
        <f t="shared" si="85"/>
        <v/>
      </c>
      <c r="AO449" s="18" t="str">
        <f t="shared" si="86"/>
        <v/>
      </c>
      <c r="AP449" s="10" t="str">
        <f t="shared" si="87"/>
        <v/>
      </c>
      <c r="AQ449" s="10" t="str">
        <f t="shared" si="88"/>
        <v/>
      </c>
      <c r="AR449" s="19" t="str">
        <f t="shared" si="89"/>
        <v/>
      </c>
      <c r="AS449" s="20"/>
      <c r="AT449" s="19"/>
      <c r="AV449" s="21">
        <f>IF(AND($AL449&lt;&gt;"",COUNTIF($AL$11:$AL449,$AL449)=1),1,0)</f>
        <v>0</v>
      </c>
      <c r="AW449" s="21">
        <f t="shared" si="91"/>
        <v>0</v>
      </c>
      <c r="AX449" s="21" t="str">
        <f t="shared" si="90"/>
        <v/>
      </c>
      <c r="AY449" s="21" t="str">
        <f>IF(AND($AM449&lt;&gt;"",$AS449&lt;&gt;"✓"),SUMPRODUCT(($AM$11:$AM449&lt;&gt;"")*($AS$11:$AS449&lt;&gt;"✓")),"")</f>
        <v/>
      </c>
      <c r="AZ449" s="21" t="str">
        <f>IF(AND($AM449&lt;&gt;"",$AS449="✓"),SUMPRODUCT(($AM$11:$AM449&lt;&gt;"")*($AS$11:$AS449="✓")),"")</f>
        <v/>
      </c>
      <c r="BA449" s="21" t="str">
        <f>IF($AL449="","",$AL449&amp;"|"&amp;COUNTIF($AL$11:$AL449,$AL449))</f>
        <v/>
      </c>
    </row>
    <row r="450" spans="2:53" ht="15" customHeight="1" x14ac:dyDescent="0.25">
      <c r="B450" s="5" t="str">
        <f t="shared" si="82"/>
        <v/>
      </c>
      <c r="C450" s="5"/>
      <c r="D450" s="5"/>
      <c r="E450" s="5"/>
      <c r="F450" s="6"/>
      <c r="G450" s="6"/>
      <c r="H450" s="7"/>
      <c r="I450" s="8"/>
      <c r="W450" s="28" t="str">
        <f>IF(X450="","",IFERROR(INDEX($AL$11:$AL$4010,MATCH(440,$AY$11:$AY$4010,0)),""))</f>
        <v/>
      </c>
      <c r="X450" s="26" t="str">
        <f>IFERROR(INDEX($AM$11:$AM$4010,MATCH(440,$AY$11:$AY$4010,0)),"")</f>
        <v/>
      </c>
      <c r="Y450" s="25" t="str">
        <f>IF(X450="","",IFERROR(INDEX($AN$11:$AN$4010,MATCH(440,$AY$11:$AY$4010,0)),""))</f>
        <v/>
      </c>
      <c r="Z450" s="25" t="str">
        <f>IF(X450="","",IFERROR(INDEX($AO$11:$AO$4010,MATCH(440,$AY$11:$AY$4010,0)),""))</f>
        <v/>
      </c>
      <c r="AA450" s="24" t="str">
        <f>IF(X450="","",IFERROR(INDEX($AQ$11:$AQ$4010,MATCH(440,$AY$11:$AY$4010,0)),""))</f>
        <v/>
      </c>
      <c r="AB450" s="29" t="str">
        <f>IF(X450="","",IFERROR(INDEX($AR$11:$AR$4010,MATCH(440,$AY$11:$AY$4010,0)),""))</f>
        <v/>
      </c>
      <c r="AD450" s="30" t="str">
        <f>IF(AE450="","",IFERROR(INDEX($AL$11:$AL$4010,MATCH(440,$AZ$11:$AZ$4010,0)),""))</f>
        <v/>
      </c>
      <c r="AE450" s="26" t="str">
        <f>IFERROR(INDEX($AM$11:$AM$4010,MATCH(440,$AZ$11:$AZ$4010,0)),"")</f>
        <v/>
      </c>
      <c r="AF450" s="25" t="str">
        <f>IF(AE450="","",IFERROR(INDEX($AN$11:$AN$4010,MATCH(440,$AZ$11:$AZ$4010,0)),""))</f>
        <v/>
      </c>
      <c r="AG450" s="25" t="str">
        <f>IF(AE450="","",IFERROR(INDEX($AO$11:$AO$4010,MATCH(440,$AZ$11:$AZ$4010,0)),""))</f>
        <v/>
      </c>
      <c r="AH450" s="24" t="str">
        <f>IF(AE450="","",IFERROR(INDEX($AQ$11:$AQ$4010,MATCH(440,$AZ$11:$AZ$4010,0)),""))</f>
        <v/>
      </c>
      <c r="AI450" s="29" t="str">
        <f>IF(AE450="","",IFERROR(INDEX($AR$11:$AR$4010,MATCH(440,$AZ$11:$AZ$4010,0)),""))</f>
        <v/>
      </c>
      <c r="AJ450" s="29" t="str">
        <f>IF(AE450="","",IFERROR(INDEX($AT$11:$AT$4010,MATCH(440,$AZ$11:$AZ$4010,0)),""))</f>
        <v/>
      </c>
      <c r="AL450" s="31" t="str">
        <f t="shared" si="83"/>
        <v/>
      </c>
      <c r="AM450" s="26" t="str">
        <f t="shared" si="84"/>
        <v/>
      </c>
      <c r="AN450" s="32" t="str">
        <f t="shared" si="85"/>
        <v/>
      </c>
      <c r="AO450" s="32" t="str">
        <f t="shared" si="86"/>
        <v/>
      </c>
      <c r="AP450" s="24" t="str">
        <f t="shared" si="87"/>
        <v/>
      </c>
      <c r="AQ450" s="24" t="str">
        <f t="shared" si="88"/>
        <v/>
      </c>
      <c r="AR450" s="33" t="str">
        <f t="shared" si="89"/>
        <v/>
      </c>
      <c r="AS450" s="34"/>
      <c r="AT450" s="33"/>
      <c r="AV450" s="21">
        <f>IF(AND($AL450&lt;&gt;"",COUNTIF($AL$11:$AL450,$AL450)=1),1,0)</f>
        <v>0</v>
      </c>
      <c r="AW450" s="21">
        <f t="shared" si="91"/>
        <v>0</v>
      </c>
      <c r="AX450" s="21" t="str">
        <f t="shared" si="90"/>
        <v/>
      </c>
      <c r="AY450" s="21" t="str">
        <f>IF(AND($AM450&lt;&gt;"",$AS450&lt;&gt;"✓"),SUMPRODUCT(($AM$11:$AM450&lt;&gt;"")*($AS$11:$AS450&lt;&gt;"✓")),"")</f>
        <v/>
      </c>
      <c r="AZ450" s="21" t="str">
        <f>IF(AND($AM450&lt;&gt;"",$AS450="✓"),SUMPRODUCT(($AM$11:$AM450&lt;&gt;"")*($AS$11:$AS450="✓")),"")</f>
        <v/>
      </c>
      <c r="BA450" s="21" t="str">
        <f>IF($AL450="","",$AL450&amp;"|"&amp;COUNTIF($AL$11:$AL450,$AL450))</f>
        <v/>
      </c>
    </row>
    <row r="451" spans="2:53" ht="15" customHeight="1" x14ac:dyDescent="0.25">
      <c r="B451" s="5" t="str">
        <f t="shared" si="82"/>
        <v/>
      </c>
      <c r="C451" s="5"/>
      <c r="D451" s="5"/>
      <c r="E451" s="5"/>
      <c r="F451" s="6"/>
      <c r="G451" s="6"/>
      <c r="H451" s="7"/>
      <c r="I451" s="8"/>
      <c r="W451" s="14" t="str">
        <f>IF(X451="","",IFERROR(INDEX($AL$11:$AL$4010,MATCH(441,$AY$11:$AY$4010,0)),""))</f>
        <v/>
      </c>
      <c r="X451" s="12" t="str">
        <f>IFERROR(INDEX($AM$11:$AM$4010,MATCH(441,$AY$11:$AY$4010,0)),"")</f>
        <v/>
      </c>
      <c r="Y451" s="11" t="str">
        <f>IF(X451="","",IFERROR(INDEX($AN$11:$AN$4010,MATCH(441,$AY$11:$AY$4010,0)),""))</f>
        <v/>
      </c>
      <c r="Z451" s="11" t="str">
        <f>IF(X451="","",IFERROR(INDEX($AO$11:$AO$4010,MATCH(441,$AY$11:$AY$4010,0)),""))</f>
        <v/>
      </c>
      <c r="AA451" s="10" t="str">
        <f>IF(X451="","",IFERROR(INDEX($AQ$11:$AQ$4010,MATCH(441,$AY$11:$AY$4010,0)),""))</f>
        <v/>
      </c>
      <c r="AB451" s="15" t="str">
        <f>IF(X451="","",IFERROR(INDEX($AR$11:$AR$4010,MATCH(441,$AY$11:$AY$4010,0)),""))</f>
        <v/>
      </c>
      <c r="AD451" s="16" t="str">
        <f>IF(AE451="","",IFERROR(INDEX($AL$11:$AL$4010,MATCH(441,$AZ$11:$AZ$4010,0)),""))</f>
        <v/>
      </c>
      <c r="AE451" s="12" t="str">
        <f>IFERROR(INDEX($AM$11:$AM$4010,MATCH(441,$AZ$11:$AZ$4010,0)),"")</f>
        <v/>
      </c>
      <c r="AF451" s="11" t="str">
        <f>IF(AE451="","",IFERROR(INDEX($AN$11:$AN$4010,MATCH(441,$AZ$11:$AZ$4010,0)),""))</f>
        <v/>
      </c>
      <c r="AG451" s="11" t="str">
        <f>IF(AE451="","",IFERROR(INDEX($AO$11:$AO$4010,MATCH(441,$AZ$11:$AZ$4010,0)),""))</f>
        <v/>
      </c>
      <c r="AH451" s="10" t="str">
        <f>IF(AE451="","",IFERROR(INDEX($AQ$11:$AQ$4010,MATCH(441,$AZ$11:$AZ$4010,0)),""))</f>
        <v/>
      </c>
      <c r="AI451" s="15" t="str">
        <f>IF(AE451="","",IFERROR(INDEX($AR$11:$AR$4010,MATCH(441,$AZ$11:$AZ$4010,0)),""))</f>
        <v/>
      </c>
      <c r="AJ451" s="15" t="str">
        <f>IF(AE451="","",IFERROR(INDEX($AT$11:$AT$4010,MATCH(441,$AZ$11:$AZ$4010,0)),""))</f>
        <v/>
      </c>
      <c r="AL451" s="17" t="str">
        <f t="shared" si="83"/>
        <v/>
      </c>
      <c r="AM451" s="12" t="str">
        <f t="shared" si="84"/>
        <v/>
      </c>
      <c r="AN451" s="18" t="str">
        <f t="shared" si="85"/>
        <v/>
      </c>
      <c r="AO451" s="18" t="str">
        <f t="shared" si="86"/>
        <v/>
      </c>
      <c r="AP451" s="10" t="str">
        <f t="shared" si="87"/>
        <v/>
      </c>
      <c r="AQ451" s="10" t="str">
        <f t="shared" si="88"/>
        <v/>
      </c>
      <c r="AR451" s="19" t="str">
        <f t="shared" si="89"/>
        <v/>
      </c>
      <c r="AS451" s="20"/>
      <c r="AT451" s="19"/>
      <c r="AV451" s="21">
        <f>IF(AND($AL451&lt;&gt;"",COUNTIF($AL$11:$AL451,$AL451)=1),1,0)</f>
        <v>0</v>
      </c>
      <c r="AW451" s="21">
        <f t="shared" si="91"/>
        <v>0</v>
      </c>
      <c r="AX451" s="21" t="str">
        <f t="shared" si="90"/>
        <v/>
      </c>
      <c r="AY451" s="21" t="str">
        <f>IF(AND($AM451&lt;&gt;"",$AS451&lt;&gt;"✓"),SUMPRODUCT(($AM$11:$AM451&lt;&gt;"")*($AS$11:$AS451&lt;&gt;"✓")),"")</f>
        <v/>
      </c>
      <c r="AZ451" s="21" t="str">
        <f>IF(AND($AM451&lt;&gt;"",$AS451="✓"),SUMPRODUCT(($AM$11:$AM451&lt;&gt;"")*($AS$11:$AS451="✓")),"")</f>
        <v/>
      </c>
      <c r="BA451" s="21" t="str">
        <f>IF($AL451="","",$AL451&amp;"|"&amp;COUNTIF($AL$11:$AL451,$AL451))</f>
        <v/>
      </c>
    </row>
    <row r="452" spans="2:53" ht="15" customHeight="1" x14ac:dyDescent="0.25">
      <c r="B452" s="5" t="str">
        <f t="shared" si="82"/>
        <v/>
      </c>
      <c r="C452" s="5"/>
      <c r="D452" s="5"/>
      <c r="E452" s="5"/>
      <c r="F452" s="6"/>
      <c r="G452" s="6"/>
      <c r="H452" s="7"/>
      <c r="I452" s="8"/>
      <c r="W452" s="28" t="str">
        <f>IF(X452="","",IFERROR(INDEX($AL$11:$AL$4010,MATCH(442,$AY$11:$AY$4010,0)),""))</f>
        <v/>
      </c>
      <c r="X452" s="26" t="str">
        <f>IFERROR(INDEX($AM$11:$AM$4010,MATCH(442,$AY$11:$AY$4010,0)),"")</f>
        <v/>
      </c>
      <c r="Y452" s="25" t="str">
        <f>IF(X452="","",IFERROR(INDEX($AN$11:$AN$4010,MATCH(442,$AY$11:$AY$4010,0)),""))</f>
        <v/>
      </c>
      <c r="Z452" s="25" t="str">
        <f>IF(X452="","",IFERROR(INDEX($AO$11:$AO$4010,MATCH(442,$AY$11:$AY$4010,0)),""))</f>
        <v/>
      </c>
      <c r="AA452" s="24" t="str">
        <f>IF(X452="","",IFERROR(INDEX($AQ$11:$AQ$4010,MATCH(442,$AY$11:$AY$4010,0)),""))</f>
        <v/>
      </c>
      <c r="AB452" s="29" t="str">
        <f>IF(X452="","",IFERROR(INDEX($AR$11:$AR$4010,MATCH(442,$AY$11:$AY$4010,0)),""))</f>
        <v/>
      </c>
      <c r="AD452" s="30" t="str">
        <f>IF(AE452="","",IFERROR(INDEX($AL$11:$AL$4010,MATCH(442,$AZ$11:$AZ$4010,0)),""))</f>
        <v/>
      </c>
      <c r="AE452" s="26" t="str">
        <f>IFERROR(INDEX($AM$11:$AM$4010,MATCH(442,$AZ$11:$AZ$4010,0)),"")</f>
        <v/>
      </c>
      <c r="AF452" s="25" t="str">
        <f>IF(AE452="","",IFERROR(INDEX($AN$11:$AN$4010,MATCH(442,$AZ$11:$AZ$4010,0)),""))</f>
        <v/>
      </c>
      <c r="AG452" s="25" t="str">
        <f>IF(AE452="","",IFERROR(INDEX($AO$11:$AO$4010,MATCH(442,$AZ$11:$AZ$4010,0)),""))</f>
        <v/>
      </c>
      <c r="AH452" s="24" t="str">
        <f>IF(AE452="","",IFERROR(INDEX($AQ$11:$AQ$4010,MATCH(442,$AZ$11:$AZ$4010,0)),""))</f>
        <v/>
      </c>
      <c r="AI452" s="29" t="str">
        <f>IF(AE452="","",IFERROR(INDEX($AR$11:$AR$4010,MATCH(442,$AZ$11:$AZ$4010,0)),""))</f>
        <v/>
      </c>
      <c r="AJ452" s="29" t="str">
        <f>IF(AE452="","",IFERROR(INDEX($AT$11:$AT$4010,MATCH(442,$AZ$11:$AZ$4010,0)),""))</f>
        <v/>
      </c>
      <c r="AL452" s="31" t="str">
        <f t="shared" si="83"/>
        <v/>
      </c>
      <c r="AM452" s="26" t="str">
        <f t="shared" si="84"/>
        <v/>
      </c>
      <c r="AN452" s="32" t="str">
        <f t="shared" si="85"/>
        <v/>
      </c>
      <c r="AO452" s="32" t="str">
        <f t="shared" si="86"/>
        <v/>
      </c>
      <c r="AP452" s="24" t="str">
        <f t="shared" si="87"/>
        <v/>
      </c>
      <c r="AQ452" s="24" t="str">
        <f t="shared" si="88"/>
        <v/>
      </c>
      <c r="AR452" s="33" t="str">
        <f t="shared" si="89"/>
        <v/>
      </c>
      <c r="AS452" s="34"/>
      <c r="AT452" s="33"/>
      <c r="AV452" s="21">
        <f>IF(AND($AL452&lt;&gt;"",COUNTIF($AL$11:$AL452,$AL452)=1),1,0)</f>
        <v>0</v>
      </c>
      <c r="AW452" s="21">
        <f t="shared" si="91"/>
        <v>0</v>
      </c>
      <c r="AX452" s="21" t="str">
        <f t="shared" si="90"/>
        <v/>
      </c>
      <c r="AY452" s="21" t="str">
        <f>IF(AND($AM452&lt;&gt;"",$AS452&lt;&gt;"✓"),SUMPRODUCT(($AM$11:$AM452&lt;&gt;"")*($AS$11:$AS452&lt;&gt;"✓")),"")</f>
        <v/>
      </c>
      <c r="AZ452" s="21" t="str">
        <f>IF(AND($AM452&lt;&gt;"",$AS452="✓"),SUMPRODUCT(($AM$11:$AM452&lt;&gt;"")*($AS$11:$AS452="✓")),"")</f>
        <v/>
      </c>
      <c r="BA452" s="21" t="str">
        <f>IF($AL452="","",$AL452&amp;"|"&amp;COUNTIF($AL$11:$AL452,$AL452))</f>
        <v/>
      </c>
    </row>
    <row r="453" spans="2:53" ht="15" customHeight="1" x14ac:dyDescent="0.25">
      <c r="B453" s="5" t="str">
        <f t="shared" si="82"/>
        <v/>
      </c>
      <c r="C453" s="5"/>
      <c r="D453" s="5"/>
      <c r="E453" s="5"/>
      <c r="F453" s="6"/>
      <c r="G453" s="6"/>
      <c r="H453" s="7"/>
      <c r="I453" s="8"/>
      <c r="W453" s="14" t="str">
        <f>IF(X453="","",IFERROR(INDEX($AL$11:$AL$4010,MATCH(443,$AY$11:$AY$4010,0)),""))</f>
        <v/>
      </c>
      <c r="X453" s="12" t="str">
        <f>IFERROR(INDEX($AM$11:$AM$4010,MATCH(443,$AY$11:$AY$4010,0)),"")</f>
        <v/>
      </c>
      <c r="Y453" s="11" t="str">
        <f>IF(X453="","",IFERROR(INDEX($AN$11:$AN$4010,MATCH(443,$AY$11:$AY$4010,0)),""))</f>
        <v/>
      </c>
      <c r="Z453" s="11" t="str">
        <f>IF(X453="","",IFERROR(INDEX($AO$11:$AO$4010,MATCH(443,$AY$11:$AY$4010,0)),""))</f>
        <v/>
      </c>
      <c r="AA453" s="10" t="str">
        <f>IF(X453="","",IFERROR(INDEX($AQ$11:$AQ$4010,MATCH(443,$AY$11:$AY$4010,0)),""))</f>
        <v/>
      </c>
      <c r="AB453" s="15" t="str">
        <f>IF(X453="","",IFERROR(INDEX($AR$11:$AR$4010,MATCH(443,$AY$11:$AY$4010,0)),""))</f>
        <v/>
      </c>
      <c r="AD453" s="16" t="str">
        <f>IF(AE453="","",IFERROR(INDEX($AL$11:$AL$4010,MATCH(443,$AZ$11:$AZ$4010,0)),""))</f>
        <v/>
      </c>
      <c r="AE453" s="12" t="str">
        <f>IFERROR(INDEX($AM$11:$AM$4010,MATCH(443,$AZ$11:$AZ$4010,0)),"")</f>
        <v/>
      </c>
      <c r="AF453" s="11" t="str">
        <f>IF(AE453="","",IFERROR(INDEX($AN$11:$AN$4010,MATCH(443,$AZ$11:$AZ$4010,0)),""))</f>
        <v/>
      </c>
      <c r="AG453" s="11" t="str">
        <f>IF(AE453="","",IFERROR(INDEX($AO$11:$AO$4010,MATCH(443,$AZ$11:$AZ$4010,0)),""))</f>
        <v/>
      </c>
      <c r="AH453" s="10" t="str">
        <f>IF(AE453="","",IFERROR(INDEX($AQ$11:$AQ$4010,MATCH(443,$AZ$11:$AZ$4010,0)),""))</f>
        <v/>
      </c>
      <c r="AI453" s="15" t="str">
        <f>IF(AE453="","",IFERROR(INDEX($AR$11:$AR$4010,MATCH(443,$AZ$11:$AZ$4010,0)),""))</f>
        <v/>
      </c>
      <c r="AJ453" s="15" t="str">
        <f>IF(AE453="","",IFERROR(INDEX($AT$11:$AT$4010,MATCH(443,$AZ$11:$AZ$4010,0)),""))</f>
        <v/>
      </c>
      <c r="AL453" s="17" t="str">
        <f t="shared" si="83"/>
        <v/>
      </c>
      <c r="AM453" s="12" t="str">
        <f t="shared" si="84"/>
        <v/>
      </c>
      <c r="AN453" s="18" t="str">
        <f t="shared" si="85"/>
        <v/>
      </c>
      <c r="AO453" s="18" t="str">
        <f t="shared" si="86"/>
        <v/>
      </c>
      <c r="AP453" s="10" t="str">
        <f t="shared" si="87"/>
        <v/>
      </c>
      <c r="AQ453" s="10" t="str">
        <f t="shared" si="88"/>
        <v/>
      </c>
      <c r="AR453" s="19" t="str">
        <f t="shared" si="89"/>
        <v/>
      </c>
      <c r="AS453" s="20"/>
      <c r="AT453" s="19"/>
      <c r="AV453" s="21">
        <f>IF(AND($AL453&lt;&gt;"",COUNTIF($AL$11:$AL453,$AL453)=1),1,0)</f>
        <v>0</v>
      </c>
      <c r="AW453" s="21">
        <f t="shared" si="91"/>
        <v>0</v>
      </c>
      <c r="AX453" s="21" t="str">
        <f t="shared" si="90"/>
        <v/>
      </c>
      <c r="AY453" s="21" t="str">
        <f>IF(AND($AM453&lt;&gt;"",$AS453&lt;&gt;"✓"),SUMPRODUCT(($AM$11:$AM453&lt;&gt;"")*($AS$11:$AS453&lt;&gt;"✓")),"")</f>
        <v/>
      </c>
      <c r="AZ453" s="21" t="str">
        <f>IF(AND($AM453&lt;&gt;"",$AS453="✓"),SUMPRODUCT(($AM$11:$AM453&lt;&gt;"")*($AS$11:$AS453="✓")),"")</f>
        <v/>
      </c>
      <c r="BA453" s="21" t="str">
        <f>IF($AL453="","",$AL453&amp;"|"&amp;COUNTIF($AL$11:$AL453,$AL453))</f>
        <v/>
      </c>
    </row>
    <row r="454" spans="2:53" ht="15" customHeight="1" x14ac:dyDescent="0.25">
      <c r="B454" s="5" t="str">
        <f t="shared" si="82"/>
        <v/>
      </c>
      <c r="C454" s="5"/>
      <c r="D454" s="5"/>
      <c r="E454" s="5"/>
      <c r="F454" s="6"/>
      <c r="G454" s="6"/>
      <c r="H454" s="7"/>
      <c r="I454" s="8"/>
      <c r="W454" s="28" t="str">
        <f>IF(X454="","",IFERROR(INDEX($AL$11:$AL$4010,MATCH(444,$AY$11:$AY$4010,0)),""))</f>
        <v/>
      </c>
      <c r="X454" s="26" t="str">
        <f>IFERROR(INDEX($AM$11:$AM$4010,MATCH(444,$AY$11:$AY$4010,0)),"")</f>
        <v/>
      </c>
      <c r="Y454" s="25" t="str">
        <f>IF(X454="","",IFERROR(INDEX($AN$11:$AN$4010,MATCH(444,$AY$11:$AY$4010,0)),""))</f>
        <v/>
      </c>
      <c r="Z454" s="25" t="str">
        <f>IF(X454="","",IFERROR(INDEX($AO$11:$AO$4010,MATCH(444,$AY$11:$AY$4010,0)),""))</f>
        <v/>
      </c>
      <c r="AA454" s="24" t="str">
        <f>IF(X454="","",IFERROR(INDEX($AQ$11:$AQ$4010,MATCH(444,$AY$11:$AY$4010,0)),""))</f>
        <v/>
      </c>
      <c r="AB454" s="29" t="str">
        <f>IF(X454="","",IFERROR(INDEX($AR$11:$AR$4010,MATCH(444,$AY$11:$AY$4010,0)),""))</f>
        <v/>
      </c>
      <c r="AD454" s="30" t="str">
        <f>IF(AE454="","",IFERROR(INDEX($AL$11:$AL$4010,MATCH(444,$AZ$11:$AZ$4010,0)),""))</f>
        <v/>
      </c>
      <c r="AE454" s="26" t="str">
        <f>IFERROR(INDEX($AM$11:$AM$4010,MATCH(444,$AZ$11:$AZ$4010,0)),"")</f>
        <v/>
      </c>
      <c r="AF454" s="25" t="str">
        <f>IF(AE454="","",IFERROR(INDEX($AN$11:$AN$4010,MATCH(444,$AZ$11:$AZ$4010,0)),""))</f>
        <v/>
      </c>
      <c r="AG454" s="25" t="str">
        <f>IF(AE454="","",IFERROR(INDEX($AO$11:$AO$4010,MATCH(444,$AZ$11:$AZ$4010,0)),""))</f>
        <v/>
      </c>
      <c r="AH454" s="24" t="str">
        <f>IF(AE454="","",IFERROR(INDEX($AQ$11:$AQ$4010,MATCH(444,$AZ$11:$AZ$4010,0)),""))</f>
        <v/>
      </c>
      <c r="AI454" s="29" t="str">
        <f>IF(AE454="","",IFERROR(INDEX($AR$11:$AR$4010,MATCH(444,$AZ$11:$AZ$4010,0)),""))</f>
        <v/>
      </c>
      <c r="AJ454" s="29" t="str">
        <f>IF(AE454="","",IFERROR(INDEX($AT$11:$AT$4010,MATCH(444,$AZ$11:$AZ$4010,0)),""))</f>
        <v/>
      </c>
      <c r="AL454" s="31" t="str">
        <f t="shared" si="83"/>
        <v/>
      </c>
      <c r="AM454" s="26" t="str">
        <f t="shared" si="84"/>
        <v/>
      </c>
      <c r="AN454" s="32" t="str">
        <f t="shared" si="85"/>
        <v/>
      </c>
      <c r="AO454" s="32" t="str">
        <f t="shared" si="86"/>
        <v/>
      </c>
      <c r="AP454" s="24" t="str">
        <f t="shared" si="87"/>
        <v/>
      </c>
      <c r="AQ454" s="24" t="str">
        <f t="shared" si="88"/>
        <v/>
      </c>
      <c r="AR454" s="33" t="str">
        <f t="shared" si="89"/>
        <v/>
      </c>
      <c r="AS454" s="34"/>
      <c r="AT454" s="33"/>
      <c r="AV454" s="21">
        <f>IF(AND($AL454&lt;&gt;"",COUNTIF($AL$11:$AL454,$AL454)=1),1,0)</f>
        <v>0</v>
      </c>
      <c r="AW454" s="21">
        <f t="shared" si="91"/>
        <v>0</v>
      </c>
      <c r="AX454" s="21" t="str">
        <f t="shared" si="90"/>
        <v/>
      </c>
      <c r="AY454" s="21" t="str">
        <f>IF(AND($AM454&lt;&gt;"",$AS454&lt;&gt;"✓"),SUMPRODUCT(($AM$11:$AM454&lt;&gt;"")*($AS$11:$AS454&lt;&gt;"✓")),"")</f>
        <v/>
      </c>
      <c r="AZ454" s="21" t="str">
        <f>IF(AND($AM454&lt;&gt;"",$AS454="✓"),SUMPRODUCT(($AM$11:$AM454&lt;&gt;"")*($AS$11:$AS454="✓")),"")</f>
        <v/>
      </c>
      <c r="BA454" s="21" t="str">
        <f>IF($AL454="","",$AL454&amp;"|"&amp;COUNTIF($AL$11:$AL454,$AL454))</f>
        <v/>
      </c>
    </row>
    <row r="455" spans="2:53" ht="15" customHeight="1" x14ac:dyDescent="0.25">
      <c r="B455" s="5" t="str">
        <f t="shared" si="82"/>
        <v/>
      </c>
      <c r="C455" s="5"/>
      <c r="D455" s="5"/>
      <c r="E455" s="5"/>
      <c r="F455" s="6"/>
      <c r="G455" s="6"/>
      <c r="H455" s="7"/>
      <c r="I455" s="8"/>
      <c r="W455" s="14" t="str">
        <f>IF(X455="","",IFERROR(INDEX($AL$11:$AL$4010,MATCH(445,$AY$11:$AY$4010,0)),""))</f>
        <v/>
      </c>
      <c r="X455" s="12" t="str">
        <f>IFERROR(INDEX($AM$11:$AM$4010,MATCH(445,$AY$11:$AY$4010,0)),"")</f>
        <v/>
      </c>
      <c r="Y455" s="11" t="str">
        <f>IF(X455="","",IFERROR(INDEX($AN$11:$AN$4010,MATCH(445,$AY$11:$AY$4010,0)),""))</f>
        <v/>
      </c>
      <c r="Z455" s="11" t="str">
        <f>IF(X455="","",IFERROR(INDEX($AO$11:$AO$4010,MATCH(445,$AY$11:$AY$4010,0)),""))</f>
        <v/>
      </c>
      <c r="AA455" s="10" t="str">
        <f>IF(X455="","",IFERROR(INDEX($AQ$11:$AQ$4010,MATCH(445,$AY$11:$AY$4010,0)),""))</f>
        <v/>
      </c>
      <c r="AB455" s="15" t="str">
        <f>IF(X455="","",IFERROR(INDEX($AR$11:$AR$4010,MATCH(445,$AY$11:$AY$4010,0)),""))</f>
        <v/>
      </c>
      <c r="AD455" s="16" t="str">
        <f>IF(AE455="","",IFERROR(INDEX($AL$11:$AL$4010,MATCH(445,$AZ$11:$AZ$4010,0)),""))</f>
        <v/>
      </c>
      <c r="AE455" s="12" t="str">
        <f>IFERROR(INDEX($AM$11:$AM$4010,MATCH(445,$AZ$11:$AZ$4010,0)),"")</f>
        <v/>
      </c>
      <c r="AF455" s="11" t="str">
        <f>IF(AE455="","",IFERROR(INDEX($AN$11:$AN$4010,MATCH(445,$AZ$11:$AZ$4010,0)),""))</f>
        <v/>
      </c>
      <c r="AG455" s="11" t="str">
        <f>IF(AE455="","",IFERROR(INDEX($AO$11:$AO$4010,MATCH(445,$AZ$11:$AZ$4010,0)),""))</f>
        <v/>
      </c>
      <c r="AH455" s="10" t="str">
        <f>IF(AE455="","",IFERROR(INDEX($AQ$11:$AQ$4010,MATCH(445,$AZ$11:$AZ$4010,0)),""))</f>
        <v/>
      </c>
      <c r="AI455" s="15" t="str">
        <f>IF(AE455="","",IFERROR(INDEX($AR$11:$AR$4010,MATCH(445,$AZ$11:$AZ$4010,0)),""))</f>
        <v/>
      </c>
      <c r="AJ455" s="15" t="str">
        <f>IF(AE455="","",IFERROR(INDEX($AT$11:$AT$4010,MATCH(445,$AZ$11:$AZ$4010,0)),""))</f>
        <v/>
      </c>
      <c r="AL455" s="17" t="str">
        <f t="shared" si="83"/>
        <v/>
      </c>
      <c r="AM455" s="12" t="str">
        <f t="shared" si="84"/>
        <v/>
      </c>
      <c r="AN455" s="18" t="str">
        <f t="shared" si="85"/>
        <v/>
      </c>
      <c r="AO455" s="18" t="str">
        <f t="shared" si="86"/>
        <v/>
      </c>
      <c r="AP455" s="10" t="str">
        <f t="shared" si="87"/>
        <v/>
      </c>
      <c r="AQ455" s="10" t="str">
        <f t="shared" si="88"/>
        <v/>
      </c>
      <c r="AR455" s="19" t="str">
        <f t="shared" si="89"/>
        <v/>
      </c>
      <c r="AS455" s="20"/>
      <c r="AT455" s="19"/>
      <c r="AV455" s="21">
        <f>IF(AND($AL455&lt;&gt;"",COUNTIF($AL$11:$AL455,$AL455)=1),1,0)</f>
        <v>0</v>
      </c>
      <c r="AW455" s="21">
        <f t="shared" si="91"/>
        <v>0</v>
      </c>
      <c r="AX455" s="21" t="str">
        <f t="shared" si="90"/>
        <v/>
      </c>
      <c r="AY455" s="21" t="str">
        <f>IF(AND($AM455&lt;&gt;"",$AS455&lt;&gt;"✓"),SUMPRODUCT(($AM$11:$AM455&lt;&gt;"")*($AS$11:$AS455&lt;&gt;"✓")),"")</f>
        <v/>
      </c>
      <c r="AZ455" s="21" t="str">
        <f>IF(AND($AM455&lt;&gt;"",$AS455="✓"),SUMPRODUCT(($AM$11:$AM455&lt;&gt;"")*($AS$11:$AS455="✓")),"")</f>
        <v/>
      </c>
      <c r="BA455" s="21" t="str">
        <f>IF($AL455="","",$AL455&amp;"|"&amp;COUNTIF($AL$11:$AL455,$AL455))</f>
        <v/>
      </c>
    </row>
    <row r="456" spans="2:53" ht="15" customHeight="1" x14ac:dyDescent="0.25">
      <c r="B456" s="5" t="str">
        <f t="shared" si="82"/>
        <v/>
      </c>
      <c r="C456" s="5"/>
      <c r="D456" s="5"/>
      <c r="E456" s="5"/>
      <c r="F456" s="6"/>
      <c r="G456" s="6"/>
      <c r="H456" s="7"/>
      <c r="I456" s="8"/>
      <c r="W456" s="28" t="str">
        <f>IF(X456="","",IFERROR(INDEX($AL$11:$AL$4010,MATCH(446,$AY$11:$AY$4010,0)),""))</f>
        <v/>
      </c>
      <c r="X456" s="26" t="str">
        <f>IFERROR(INDEX($AM$11:$AM$4010,MATCH(446,$AY$11:$AY$4010,0)),"")</f>
        <v/>
      </c>
      <c r="Y456" s="25" t="str">
        <f>IF(X456="","",IFERROR(INDEX($AN$11:$AN$4010,MATCH(446,$AY$11:$AY$4010,0)),""))</f>
        <v/>
      </c>
      <c r="Z456" s="25" t="str">
        <f>IF(X456="","",IFERROR(INDEX($AO$11:$AO$4010,MATCH(446,$AY$11:$AY$4010,0)),""))</f>
        <v/>
      </c>
      <c r="AA456" s="24" t="str">
        <f>IF(X456="","",IFERROR(INDEX($AQ$11:$AQ$4010,MATCH(446,$AY$11:$AY$4010,0)),""))</f>
        <v/>
      </c>
      <c r="AB456" s="29" t="str">
        <f>IF(X456="","",IFERROR(INDEX($AR$11:$AR$4010,MATCH(446,$AY$11:$AY$4010,0)),""))</f>
        <v/>
      </c>
      <c r="AD456" s="30" t="str">
        <f>IF(AE456="","",IFERROR(INDEX($AL$11:$AL$4010,MATCH(446,$AZ$11:$AZ$4010,0)),""))</f>
        <v/>
      </c>
      <c r="AE456" s="26" t="str">
        <f>IFERROR(INDEX($AM$11:$AM$4010,MATCH(446,$AZ$11:$AZ$4010,0)),"")</f>
        <v/>
      </c>
      <c r="AF456" s="25" t="str">
        <f>IF(AE456="","",IFERROR(INDEX($AN$11:$AN$4010,MATCH(446,$AZ$11:$AZ$4010,0)),""))</f>
        <v/>
      </c>
      <c r="AG456" s="25" t="str">
        <f>IF(AE456="","",IFERROR(INDEX($AO$11:$AO$4010,MATCH(446,$AZ$11:$AZ$4010,0)),""))</f>
        <v/>
      </c>
      <c r="AH456" s="24" t="str">
        <f>IF(AE456="","",IFERROR(INDEX($AQ$11:$AQ$4010,MATCH(446,$AZ$11:$AZ$4010,0)),""))</f>
        <v/>
      </c>
      <c r="AI456" s="29" t="str">
        <f>IF(AE456="","",IFERROR(INDEX($AR$11:$AR$4010,MATCH(446,$AZ$11:$AZ$4010,0)),""))</f>
        <v/>
      </c>
      <c r="AJ456" s="29" t="str">
        <f>IF(AE456="","",IFERROR(INDEX($AT$11:$AT$4010,MATCH(446,$AZ$11:$AZ$4010,0)),""))</f>
        <v/>
      </c>
      <c r="AL456" s="31" t="str">
        <f t="shared" si="83"/>
        <v/>
      </c>
      <c r="AM456" s="26" t="str">
        <f t="shared" si="84"/>
        <v/>
      </c>
      <c r="AN456" s="32" t="str">
        <f t="shared" si="85"/>
        <v/>
      </c>
      <c r="AO456" s="32" t="str">
        <f t="shared" si="86"/>
        <v/>
      </c>
      <c r="AP456" s="24" t="str">
        <f t="shared" si="87"/>
        <v/>
      </c>
      <c r="AQ456" s="24" t="str">
        <f t="shared" si="88"/>
        <v/>
      </c>
      <c r="AR456" s="33" t="str">
        <f t="shared" si="89"/>
        <v/>
      </c>
      <c r="AS456" s="34"/>
      <c r="AT456" s="33"/>
      <c r="AV456" s="21">
        <f>IF(AND($AL456&lt;&gt;"",COUNTIF($AL$11:$AL456,$AL456)=1),1,0)</f>
        <v>0</v>
      </c>
      <c r="AW456" s="21">
        <f t="shared" si="91"/>
        <v>0</v>
      </c>
      <c r="AX456" s="21" t="str">
        <f t="shared" si="90"/>
        <v/>
      </c>
      <c r="AY456" s="21" t="str">
        <f>IF(AND($AM456&lt;&gt;"",$AS456&lt;&gt;"✓"),SUMPRODUCT(($AM$11:$AM456&lt;&gt;"")*($AS$11:$AS456&lt;&gt;"✓")),"")</f>
        <v/>
      </c>
      <c r="AZ456" s="21" t="str">
        <f>IF(AND($AM456&lt;&gt;"",$AS456="✓"),SUMPRODUCT(($AM$11:$AM456&lt;&gt;"")*($AS$11:$AS456="✓")),"")</f>
        <v/>
      </c>
      <c r="BA456" s="21" t="str">
        <f>IF($AL456="","",$AL456&amp;"|"&amp;COUNTIF($AL$11:$AL456,$AL456))</f>
        <v/>
      </c>
    </row>
    <row r="457" spans="2:53" ht="15" customHeight="1" x14ac:dyDescent="0.25">
      <c r="B457" s="5" t="str">
        <f t="shared" si="82"/>
        <v/>
      </c>
      <c r="C457" s="5"/>
      <c r="D457" s="5"/>
      <c r="E457" s="5"/>
      <c r="F457" s="6"/>
      <c r="G457" s="6"/>
      <c r="H457" s="7"/>
      <c r="I457" s="8"/>
      <c r="W457" s="14" t="str">
        <f>IF(X457="","",IFERROR(INDEX($AL$11:$AL$4010,MATCH(447,$AY$11:$AY$4010,0)),""))</f>
        <v/>
      </c>
      <c r="X457" s="12" t="str">
        <f>IFERROR(INDEX($AM$11:$AM$4010,MATCH(447,$AY$11:$AY$4010,0)),"")</f>
        <v/>
      </c>
      <c r="Y457" s="11" t="str">
        <f>IF(X457="","",IFERROR(INDEX($AN$11:$AN$4010,MATCH(447,$AY$11:$AY$4010,0)),""))</f>
        <v/>
      </c>
      <c r="Z457" s="11" t="str">
        <f>IF(X457="","",IFERROR(INDEX($AO$11:$AO$4010,MATCH(447,$AY$11:$AY$4010,0)),""))</f>
        <v/>
      </c>
      <c r="AA457" s="10" t="str">
        <f>IF(X457="","",IFERROR(INDEX($AQ$11:$AQ$4010,MATCH(447,$AY$11:$AY$4010,0)),""))</f>
        <v/>
      </c>
      <c r="AB457" s="15" t="str">
        <f>IF(X457="","",IFERROR(INDEX($AR$11:$AR$4010,MATCH(447,$AY$11:$AY$4010,0)),""))</f>
        <v/>
      </c>
      <c r="AD457" s="16" t="str">
        <f>IF(AE457="","",IFERROR(INDEX($AL$11:$AL$4010,MATCH(447,$AZ$11:$AZ$4010,0)),""))</f>
        <v/>
      </c>
      <c r="AE457" s="12" t="str">
        <f>IFERROR(INDEX($AM$11:$AM$4010,MATCH(447,$AZ$11:$AZ$4010,0)),"")</f>
        <v/>
      </c>
      <c r="AF457" s="11" t="str">
        <f>IF(AE457="","",IFERROR(INDEX($AN$11:$AN$4010,MATCH(447,$AZ$11:$AZ$4010,0)),""))</f>
        <v/>
      </c>
      <c r="AG457" s="11" t="str">
        <f>IF(AE457="","",IFERROR(INDEX($AO$11:$AO$4010,MATCH(447,$AZ$11:$AZ$4010,0)),""))</f>
        <v/>
      </c>
      <c r="AH457" s="10" t="str">
        <f>IF(AE457="","",IFERROR(INDEX($AQ$11:$AQ$4010,MATCH(447,$AZ$11:$AZ$4010,0)),""))</f>
        <v/>
      </c>
      <c r="AI457" s="15" t="str">
        <f>IF(AE457="","",IFERROR(INDEX($AR$11:$AR$4010,MATCH(447,$AZ$11:$AZ$4010,0)),""))</f>
        <v/>
      </c>
      <c r="AJ457" s="15" t="str">
        <f>IF(AE457="","",IFERROR(INDEX($AT$11:$AT$4010,MATCH(447,$AZ$11:$AZ$4010,0)),""))</f>
        <v/>
      </c>
      <c r="AL457" s="17" t="str">
        <f t="shared" si="83"/>
        <v/>
      </c>
      <c r="AM457" s="12" t="str">
        <f t="shared" si="84"/>
        <v/>
      </c>
      <c r="AN457" s="18" t="str">
        <f t="shared" si="85"/>
        <v/>
      </c>
      <c r="AO457" s="18" t="str">
        <f t="shared" si="86"/>
        <v/>
      </c>
      <c r="AP457" s="10" t="str">
        <f t="shared" si="87"/>
        <v/>
      </c>
      <c r="AQ457" s="10" t="str">
        <f t="shared" si="88"/>
        <v/>
      </c>
      <c r="AR457" s="19" t="str">
        <f t="shared" si="89"/>
        <v/>
      </c>
      <c r="AS457" s="20"/>
      <c r="AT457" s="19"/>
      <c r="AV457" s="21">
        <f>IF(AND($AL457&lt;&gt;"",COUNTIF($AL$11:$AL457,$AL457)=1),1,0)</f>
        <v>0</v>
      </c>
      <c r="AW457" s="21">
        <f t="shared" si="91"/>
        <v>0</v>
      </c>
      <c r="AX457" s="21" t="str">
        <f t="shared" si="90"/>
        <v/>
      </c>
      <c r="AY457" s="21" t="str">
        <f>IF(AND($AM457&lt;&gt;"",$AS457&lt;&gt;"✓"),SUMPRODUCT(($AM$11:$AM457&lt;&gt;"")*($AS$11:$AS457&lt;&gt;"✓")),"")</f>
        <v/>
      </c>
      <c r="AZ457" s="21" t="str">
        <f>IF(AND($AM457&lt;&gt;"",$AS457="✓"),SUMPRODUCT(($AM$11:$AM457&lt;&gt;"")*($AS$11:$AS457="✓")),"")</f>
        <v/>
      </c>
      <c r="BA457" s="21" t="str">
        <f>IF($AL457="","",$AL457&amp;"|"&amp;COUNTIF($AL$11:$AL457,$AL457))</f>
        <v/>
      </c>
    </row>
    <row r="458" spans="2:53" ht="15" customHeight="1" x14ac:dyDescent="0.25">
      <c r="B458" s="5" t="str">
        <f t="shared" si="82"/>
        <v/>
      </c>
      <c r="C458" s="5"/>
      <c r="D458" s="5"/>
      <c r="E458" s="5"/>
      <c r="F458" s="6"/>
      <c r="G458" s="6"/>
      <c r="H458" s="7"/>
      <c r="I458" s="8"/>
      <c r="W458" s="28" t="str">
        <f>IF(X458="","",IFERROR(INDEX($AL$11:$AL$4010,MATCH(448,$AY$11:$AY$4010,0)),""))</f>
        <v/>
      </c>
      <c r="X458" s="26" t="str">
        <f>IFERROR(INDEX($AM$11:$AM$4010,MATCH(448,$AY$11:$AY$4010,0)),"")</f>
        <v/>
      </c>
      <c r="Y458" s="25" t="str">
        <f>IF(X458="","",IFERROR(INDEX($AN$11:$AN$4010,MATCH(448,$AY$11:$AY$4010,0)),""))</f>
        <v/>
      </c>
      <c r="Z458" s="25" t="str">
        <f>IF(X458="","",IFERROR(INDEX($AO$11:$AO$4010,MATCH(448,$AY$11:$AY$4010,0)),""))</f>
        <v/>
      </c>
      <c r="AA458" s="24" t="str">
        <f>IF(X458="","",IFERROR(INDEX($AQ$11:$AQ$4010,MATCH(448,$AY$11:$AY$4010,0)),""))</f>
        <v/>
      </c>
      <c r="AB458" s="29" t="str">
        <f>IF(X458="","",IFERROR(INDEX($AR$11:$AR$4010,MATCH(448,$AY$11:$AY$4010,0)),""))</f>
        <v/>
      </c>
      <c r="AD458" s="30" t="str">
        <f>IF(AE458="","",IFERROR(INDEX($AL$11:$AL$4010,MATCH(448,$AZ$11:$AZ$4010,0)),""))</f>
        <v/>
      </c>
      <c r="AE458" s="26" t="str">
        <f>IFERROR(INDEX($AM$11:$AM$4010,MATCH(448,$AZ$11:$AZ$4010,0)),"")</f>
        <v/>
      </c>
      <c r="AF458" s="25" t="str">
        <f>IF(AE458="","",IFERROR(INDEX($AN$11:$AN$4010,MATCH(448,$AZ$11:$AZ$4010,0)),""))</f>
        <v/>
      </c>
      <c r="AG458" s="25" t="str">
        <f>IF(AE458="","",IFERROR(INDEX($AO$11:$AO$4010,MATCH(448,$AZ$11:$AZ$4010,0)),""))</f>
        <v/>
      </c>
      <c r="AH458" s="24" t="str">
        <f>IF(AE458="","",IFERROR(INDEX($AQ$11:$AQ$4010,MATCH(448,$AZ$11:$AZ$4010,0)),""))</f>
        <v/>
      </c>
      <c r="AI458" s="29" t="str">
        <f>IF(AE458="","",IFERROR(INDEX($AR$11:$AR$4010,MATCH(448,$AZ$11:$AZ$4010,0)),""))</f>
        <v/>
      </c>
      <c r="AJ458" s="29" t="str">
        <f>IF(AE458="","",IFERROR(INDEX($AT$11:$AT$4010,MATCH(448,$AZ$11:$AZ$4010,0)),""))</f>
        <v/>
      </c>
      <c r="AL458" s="31" t="str">
        <f t="shared" si="83"/>
        <v/>
      </c>
      <c r="AM458" s="26" t="str">
        <f t="shared" si="84"/>
        <v/>
      </c>
      <c r="AN458" s="32" t="str">
        <f t="shared" si="85"/>
        <v/>
      </c>
      <c r="AO458" s="32" t="str">
        <f t="shared" si="86"/>
        <v/>
      </c>
      <c r="AP458" s="24" t="str">
        <f t="shared" si="87"/>
        <v/>
      </c>
      <c r="AQ458" s="24" t="str">
        <f t="shared" si="88"/>
        <v/>
      </c>
      <c r="AR458" s="33" t="str">
        <f t="shared" si="89"/>
        <v/>
      </c>
      <c r="AS458" s="34"/>
      <c r="AT458" s="33"/>
      <c r="AV458" s="21">
        <f>IF(AND($AL458&lt;&gt;"",COUNTIF($AL$11:$AL458,$AL458)=1),1,0)</f>
        <v>0</v>
      </c>
      <c r="AW458" s="21">
        <f t="shared" si="91"/>
        <v>0</v>
      </c>
      <c r="AX458" s="21" t="str">
        <f t="shared" si="90"/>
        <v/>
      </c>
      <c r="AY458" s="21" t="str">
        <f>IF(AND($AM458&lt;&gt;"",$AS458&lt;&gt;"✓"),SUMPRODUCT(($AM$11:$AM458&lt;&gt;"")*($AS$11:$AS458&lt;&gt;"✓")),"")</f>
        <v/>
      </c>
      <c r="AZ458" s="21" t="str">
        <f>IF(AND($AM458&lt;&gt;"",$AS458="✓"),SUMPRODUCT(($AM$11:$AM458&lt;&gt;"")*($AS$11:$AS458="✓")),"")</f>
        <v/>
      </c>
      <c r="BA458" s="21" t="str">
        <f>IF($AL458="","",$AL458&amp;"|"&amp;COUNTIF($AL$11:$AL458,$AL458))</f>
        <v/>
      </c>
    </row>
    <row r="459" spans="2:53" ht="15" customHeight="1" x14ac:dyDescent="0.25">
      <c r="B459" s="5" t="str">
        <f t="shared" ref="B459:B510" si="92">IF($C459="","",ROW()-10)</f>
        <v/>
      </c>
      <c r="C459" s="5"/>
      <c r="D459" s="5"/>
      <c r="E459" s="5"/>
      <c r="F459" s="6"/>
      <c r="G459" s="6"/>
      <c r="H459" s="7"/>
      <c r="I459" s="8"/>
      <c r="W459" s="14" t="str">
        <f>IF(X459="","",IFERROR(INDEX($AL$11:$AL$4010,MATCH(449,$AY$11:$AY$4010,0)),""))</f>
        <v/>
      </c>
      <c r="X459" s="12" t="str">
        <f>IFERROR(INDEX($AM$11:$AM$4010,MATCH(449,$AY$11:$AY$4010,0)),"")</f>
        <v/>
      </c>
      <c r="Y459" s="11" t="str">
        <f>IF(X459="","",IFERROR(INDEX($AN$11:$AN$4010,MATCH(449,$AY$11:$AY$4010,0)),""))</f>
        <v/>
      </c>
      <c r="Z459" s="11" t="str">
        <f>IF(X459="","",IFERROR(INDEX($AO$11:$AO$4010,MATCH(449,$AY$11:$AY$4010,0)),""))</f>
        <v/>
      </c>
      <c r="AA459" s="10" t="str">
        <f>IF(X459="","",IFERROR(INDEX($AQ$11:$AQ$4010,MATCH(449,$AY$11:$AY$4010,0)),""))</f>
        <v/>
      </c>
      <c r="AB459" s="15" t="str">
        <f>IF(X459="","",IFERROR(INDEX($AR$11:$AR$4010,MATCH(449,$AY$11:$AY$4010,0)),""))</f>
        <v/>
      </c>
      <c r="AD459" s="16" t="str">
        <f>IF(AE459="","",IFERROR(INDEX($AL$11:$AL$4010,MATCH(449,$AZ$11:$AZ$4010,0)),""))</f>
        <v/>
      </c>
      <c r="AE459" s="12" t="str">
        <f>IFERROR(INDEX($AM$11:$AM$4010,MATCH(449,$AZ$11:$AZ$4010,0)),"")</f>
        <v/>
      </c>
      <c r="AF459" s="11" t="str">
        <f>IF(AE459="","",IFERROR(INDEX($AN$11:$AN$4010,MATCH(449,$AZ$11:$AZ$4010,0)),""))</f>
        <v/>
      </c>
      <c r="AG459" s="11" t="str">
        <f>IF(AE459="","",IFERROR(INDEX($AO$11:$AO$4010,MATCH(449,$AZ$11:$AZ$4010,0)),""))</f>
        <v/>
      </c>
      <c r="AH459" s="10" t="str">
        <f>IF(AE459="","",IFERROR(INDEX($AQ$11:$AQ$4010,MATCH(449,$AZ$11:$AZ$4010,0)),""))</f>
        <v/>
      </c>
      <c r="AI459" s="15" t="str">
        <f>IF(AE459="","",IFERROR(INDEX($AR$11:$AR$4010,MATCH(449,$AZ$11:$AZ$4010,0)),""))</f>
        <v/>
      </c>
      <c r="AJ459" s="15" t="str">
        <f>IF(AE459="","",IFERROR(INDEX($AT$11:$AT$4010,MATCH(449,$AZ$11:$AZ$4010,0)),""))</f>
        <v/>
      </c>
      <c r="AL459" s="17" t="str">
        <f t="shared" ref="AL459:AL510" si="93">IF($C459="","",$I459)</f>
        <v/>
      </c>
      <c r="AM459" s="12" t="str">
        <f t="shared" ref="AM459:AM510" si="94">IF($C459="","",$C459)</f>
        <v/>
      </c>
      <c r="AN459" s="18" t="str">
        <f t="shared" ref="AN459:AN510" si="95">IF($C459="","",$F459)</f>
        <v/>
      </c>
      <c r="AO459" s="18" t="str">
        <f t="shared" ref="AO459:AO510" si="96">IF($C459="","",$G459)</f>
        <v/>
      </c>
      <c r="AP459" s="10" t="str">
        <f t="shared" ref="AP459:AP510" si="97">IF($C459="","",$D459)</f>
        <v/>
      </c>
      <c r="AQ459" s="10" t="str">
        <f t="shared" ref="AQ459:AQ510" si="98">IF($C459="","",$E459)</f>
        <v/>
      </c>
      <c r="AR459" s="19" t="str">
        <f t="shared" ref="AR459:AR510" si="99">IF($C459="","",$H459)</f>
        <v/>
      </c>
      <c r="AS459" s="20"/>
      <c r="AT459" s="19"/>
      <c r="AV459" s="21">
        <f>IF(AND($AL459&lt;&gt;"",COUNTIF($AL$11:$AL459,$AL459)=1),1,0)</f>
        <v>0</v>
      </c>
      <c r="AW459" s="21">
        <f t="shared" si="91"/>
        <v>0</v>
      </c>
      <c r="AX459" s="21" t="str">
        <f t="shared" ref="AX459:AX522" si="100">IF(AV459=1,AW459,"")</f>
        <v/>
      </c>
      <c r="AY459" s="21" t="str">
        <f>IF(AND($AM459&lt;&gt;"",$AS459&lt;&gt;"✓"),SUMPRODUCT(($AM$11:$AM459&lt;&gt;"")*($AS$11:$AS459&lt;&gt;"✓")),"")</f>
        <v/>
      </c>
      <c r="AZ459" s="21" t="str">
        <f>IF(AND($AM459&lt;&gt;"",$AS459="✓"),SUMPRODUCT(($AM$11:$AM459&lt;&gt;"")*($AS$11:$AS459="✓")),"")</f>
        <v/>
      </c>
      <c r="BA459" s="21" t="str">
        <f>IF($AL459="","",$AL459&amp;"|"&amp;COUNTIF($AL$11:$AL459,$AL459))</f>
        <v/>
      </c>
    </row>
    <row r="460" spans="2:53" ht="15" customHeight="1" x14ac:dyDescent="0.25">
      <c r="B460" s="5" t="str">
        <f t="shared" si="92"/>
        <v/>
      </c>
      <c r="C460" s="5"/>
      <c r="D460" s="5"/>
      <c r="E460" s="5"/>
      <c r="F460" s="6"/>
      <c r="G460" s="6"/>
      <c r="H460" s="7"/>
      <c r="I460" s="8"/>
      <c r="W460" s="28" t="str">
        <f>IF(X460="","",IFERROR(INDEX($AL$11:$AL$4010,MATCH(450,$AY$11:$AY$4010,0)),""))</f>
        <v/>
      </c>
      <c r="X460" s="26" t="str">
        <f>IFERROR(INDEX($AM$11:$AM$4010,MATCH(450,$AY$11:$AY$4010,0)),"")</f>
        <v/>
      </c>
      <c r="Y460" s="25" t="str">
        <f>IF(X460="","",IFERROR(INDEX($AN$11:$AN$4010,MATCH(450,$AY$11:$AY$4010,0)),""))</f>
        <v/>
      </c>
      <c r="Z460" s="25" t="str">
        <f>IF(X460="","",IFERROR(INDEX($AO$11:$AO$4010,MATCH(450,$AY$11:$AY$4010,0)),""))</f>
        <v/>
      </c>
      <c r="AA460" s="24" t="str">
        <f>IF(X460="","",IFERROR(INDEX($AQ$11:$AQ$4010,MATCH(450,$AY$11:$AY$4010,0)),""))</f>
        <v/>
      </c>
      <c r="AB460" s="29" t="str">
        <f>IF(X460="","",IFERROR(INDEX($AR$11:$AR$4010,MATCH(450,$AY$11:$AY$4010,0)),""))</f>
        <v/>
      </c>
      <c r="AD460" s="30" t="str">
        <f>IF(AE460="","",IFERROR(INDEX($AL$11:$AL$4010,MATCH(450,$AZ$11:$AZ$4010,0)),""))</f>
        <v/>
      </c>
      <c r="AE460" s="26" t="str">
        <f>IFERROR(INDEX($AM$11:$AM$4010,MATCH(450,$AZ$11:$AZ$4010,0)),"")</f>
        <v/>
      </c>
      <c r="AF460" s="25" t="str">
        <f>IF(AE460="","",IFERROR(INDEX($AN$11:$AN$4010,MATCH(450,$AZ$11:$AZ$4010,0)),""))</f>
        <v/>
      </c>
      <c r="AG460" s="25" t="str">
        <f>IF(AE460="","",IFERROR(INDEX($AO$11:$AO$4010,MATCH(450,$AZ$11:$AZ$4010,0)),""))</f>
        <v/>
      </c>
      <c r="AH460" s="24" t="str">
        <f>IF(AE460="","",IFERROR(INDEX($AQ$11:$AQ$4010,MATCH(450,$AZ$11:$AZ$4010,0)),""))</f>
        <v/>
      </c>
      <c r="AI460" s="29" t="str">
        <f>IF(AE460="","",IFERROR(INDEX($AR$11:$AR$4010,MATCH(450,$AZ$11:$AZ$4010,0)),""))</f>
        <v/>
      </c>
      <c r="AJ460" s="29" t="str">
        <f>IF(AE460="","",IFERROR(INDEX($AT$11:$AT$4010,MATCH(450,$AZ$11:$AZ$4010,0)),""))</f>
        <v/>
      </c>
      <c r="AL460" s="31" t="str">
        <f t="shared" si="93"/>
        <v/>
      </c>
      <c r="AM460" s="26" t="str">
        <f t="shared" si="94"/>
        <v/>
      </c>
      <c r="AN460" s="32" t="str">
        <f t="shared" si="95"/>
        <v/>
      </c>
      <c r="AO460" s="32" t="str">
        <f t="shared" si="96"/>
        <v/>
      </c>
      <c r="AP460" s="24" t="str">
        <f t="shared" si="97"/>
        <v/>
      </c>
      <c r="AQ460" s="24" t="str">
        <f t="shared" si="98"/>
        <v/>
      </c>
      <c r="AR460" s="33" t="str">
        <f t="shared" si="99"/>
        <v/>
      </c>
      <c r="AS460" s="34"/>
      <c r="AT460" s="33"/>
      <c r="AV460" s="21">
        <f>IF(AND($AL460&lt;&gt;"",COUNTIF($AL$11:$AL460,$AL460)=1),1,0)</f>
        <v>0</v>
      </c>
      <c r="AW460" s="21">
        <f t="shared" ref="AW460:AW523" si="101">AW459+AV460</f>
        <v>0</v>
      </c>
      <c r="AX460" s="21" t="str">
        <f t="shared" si="100"/>
        <v/>
      </c>
      <c r="AY460" s="21" t="str">
        <f>IF(AND($AM460&lt;&gt;"",$AS460&lt;&gt;"✓"),SUMPRODUCT(($AM$11:$AM460&lt;&gt;"")*($AS$11:$AS460&lt;&gt;"✓")),"")</f>
        <v/>
      </c>
      <c r="AZ460" s="21" t="str">
        <f>IF(AND($AM460&lt;&gt;"",$AS460="✓"),SUMPRODUCT(($AM$11:$AM460&lt;&gt;"")*($AS$11:$AS460="✓")),"")</f>
        <v/>
      </c>
      <c r="BA460" s="21" t="str">
        <f>IF($AL460="","",$AL460&amp;"|"&amp;COUNTIF($AL$11:$AL460,$AL460))</f>
        <v/>
      </c>
    </row>
    <row r="461" spans="2:53" ht="15" customHeight="1" x14ac:dyDescent="0.25">
      <c r="B461" s="5" t="str">
        <f t="shared" si="92"/>
        <v/>
      </c>
      <c r="C461" s="5"/>
      <c r="D461" s="5"/>
      <c r="E461" s="5"/>
      <c r="F461" s="6"/>
      <c r="G461" s="6"/>
      <c r="H461" s="7"/>
      <c r="I461" s="8"/>
      <c r="W461" s="14" t="str">
        <f>IF(X461="","",IFERROR(INDEX($AL$11:$AL$4010,MATCH(451,$AY$11:$AY$4010,0)),""))</f>
        <v/>
      </c>
      <c r="X461" s="12" t="str">
        <f>IFERROR(INDEX($AM$11:$AM$4010,MATCH(451,$AY$11:$AY$4010,0)),"")</f>
        <v/>
      </c>
      <c r="Y461" s="11" t="str">
        <f>IF(X461="","",IFERROR(INDEX($AN$11:$AN$4010,MATCH(451,$AY$11:$AY$4010,0)),""))</f>
        <v/>
      </c>
      <c r="Z461" s="11" t="str">
        <f>IF(X461="","",IFERROR(INDEX($AO$11:$AO$4010,MATCH(451,$AY$11:$AY$4010,0)),""))</f>
        <v/>
      </c>
      <c r="AA461" s="10" t="str">
        <f>IF(X461="","",IFERROR(INDEX($AQ$11:$AQ$4010,MATCH(451,$AY$11:$AY$4010,0)),""))</f>
        <v/>
      </c>
      <c r="AB461" s="15" t="str">
        <f>IF(X461="","",IFERROR(INDEX($AR$11:$AR$4010,MATCH(451,$AY$11:$AY$4010,0)),""))</f>
        <v/>
      </c>
      <c r="AD461" s="16" t="str">
        <f>IF(AE461="","",IFERROR(INDEX($AL$11:$AL$4010,MATCH(451,$AZ$11:$AZ$4010,0)),""))</f>
        <v/>
      </c>
      <c r="AE461" s="12" t="str">
        <f>IFERROR(INDEX($AM$11:$AM$4010,MATCH(451,$AZ$11:$AZ$4010,0)),"")</f>
        <v/>
      </c>
      <c r="AF461" s="11" t="str">
        <f>IF(AE461="","",IFERROR(INDEX($AN$11:$AN$4010,MATCH(451,$AZ$11:$AZ$4010,0)),""))</f>
        <v/>
      </c>
      <c r="AG461" s="11" t="str">
        <f>IF(AE461="","",IFERROR(INDEX($AO$11:$AO$4010,MATCH(451,$AZ$11:$AZ$4010,0)),""))</f>
        <v/>
      </c>
      <c r="AH461" s="10" t="str">
        <f>IF(AE461="","",IFERROR(INDEX($AQ$11:$AQ$4010,MATCH(451,$AZ$11:$AZ$4010,0)),""))</f>
        <v/>
      </c>
      <c r="AI461" s="15" t="str">
        <f>IF(AE461="","",IFERROR(INDEX($AR$11:$AR$4010,MATCH(451,$AZ$11:$AZ$4010,0)),""))</f>
        <v/>
      </c>
      <c r="AJ461" s="15" t="str">
        <f>IF(AE461="","",IFERROR(INDEX($AT$11:$AT$4010,MATCH(451,$AZ$11:$AZ$4010,0)),""))</f>
        <v/>
      </c>
      <c r="AL461" s="17" t="str">
        <f t="shared" si="93"/>
        <v/>
      </c>
      <c r="AM461" s="12" t="str">
        <f t="shared" si="94"/>
        <v/>
      </c>
      <c r="AN461" s="18" t="str">
        <f t="shared" si="95"/>
        <v/>
      </c>
      <c r="AO461" s="18" t="str">
        <f t="shared" si="96"/>
        <v/>
      </c>
      <c r="AP461" s="10" t="str">
        <f t="shared" si="97"/>
        <v/>
      </c>
      <c r="AQ461" s="10" t="str">
        <f t="shared" si="98"/>
        <v/>
      </c>
      <c r="AR461" s="19" t="str">
        <f t="shared" si="99"/>
        <v/>
      </c>
      <c r="AS461" s="20"/>
      <c r="AT461" s="19"/>
      <c r="AV461" s="21">
        <f>IF(AND($AL461&lt;&gt;"",COUNTIF($AL$11:$AL461,$AL461)=1),1,0)</f>
        <v>0</v>
      </c>
      <c r="AW461" s="21">
        <f t="shared" si="101"/>
        <v>0</v>
      </c>
      <c r="AX461" s="21" t="str">
        <f t="shared" si="100"/>
        <v/>
      </c>
      <c r="AY461" s="21" t="str">
        <f>IF(AND($AM461&lt;&gt;"",$AS461&lt;&gt;"✓"),SUMPRODUCT(($AM$11:$AM461&lt;&gt;"")*($AS$11:$AS461&lt;&gt;"✓")),"")</f>
        <v/>
      </c>
      <c r="AZ461" s="21" t="str">
        <f>IF(AND($AM461&lt;&gt;"",$AS461="✓"),SUMPRODUCT(($AM$11:$AM461&lt;&gt;"")*($AS$11:$AS461="✓")),"")</f>
        <v/>
      </c>
      <c r="BA461" s="21" t="str">
        <f>IF($AL461="","",$AL461&amp;"|"&amp;COUNTIF($AL$11:$AL461,$AL461))</f>
        <v/>
      </c>
    </row>
    <row r="462" spans="2:53" ht="15" customHeight="1" x14ac:dyDescent="0.25">
      <c r="B462" s="5" t="str">
        <f t="shared" si="92"/>
        <v/>
      </c>
      <c r="C462" s="5"/>
      <c r="D462" s="5"/>
      <c r="E462" s="5"/>
      <c r="F462" s="6"/>
      <c r="G462" s="6"/>
      <c r="H462" s="7"/>
      <c r="I462" s="8"/>
      <c r="W462" s="28" t="str">
        <f>IF(X462="","",IFERROR(INDEX($AL$11:$AL$4010,MATCH(452,$AY$11:$AY$4010,0)),""))</f>
        <v/>
      </c>
      <c r="X462" s="26" t="str">
        <f>IFERROR(INDEX($AM$11:$AM$4010,MATCH(452,$AY$11:$AY$4010,0)),"")</f>
        <v/>
      </c>
      <c r="Y462" s="25" t="str">
        <f>IF(X462="","",IFERROR(INDEX($AN$11:$AN$4010,MATCH(452,$AY$11:$AY$4010,0)),""))</f>
        <v/>
      </c>
      <c r="Z462" s="25" t="str">
        <f>IF(X462="","",IFERROR(INDEX($AO$11:$AO$4010,MATCH(452,$AY$11:$AY$4010,0)),""))</f>
        <v/>
      </c>
      <c r="AA462" s="24" t="str">
        <f>IF(X462="","",IFERROR(INDEX($AQ$11:$AQ$4010,MATCH(452,$AY$11:$AY$4010,0)),""))</f>
        <v/>
      </c>
      <c r="AB462" s="29" t="str">
        <f>IF(X462="","",IFERROR(INDEX($AR$11:$AR$4010,MATCH(452,$AY$11:$AY$4010,0)),""))</f>
        <v/>
      </c>
      <c r="AD462" s="30" t="str">
        <f>IF(AE462="","",IFERROR(INDEX($AL$11:$AL$4010,MATCH(452,$AZ$11:$AZ$4010,0)),""))</f>
        <v/>
      </c>
      <c r="AE462" s="26" t="str">
        <f>IFERROR(INDEX($AM$11:$AM$4010,MATCH(452,$AZ$11:$AZ$4010,0)),"")</f>
        <v/>
      </c>
      <c r="AF462" s="25" t="str">
        <f>IF(AE462="","",IFERROR(INDEX($AN$11:$AN$4010,MATCH(452,$AZ$11:$AZ$4010,0)),""))</f>
        <v/>
      </c>
      <c r="AG462" s="25" t="str">
        <f>IF(AE462="","",IFERROR(INDEX($AO$11:$AO$4010,MATCH(452,$AZ$11:$AZ$4010,0)),""))</f>
        <v/>
      </c>
      <c r="AH462" s="24" t="str">
        <f>IF(AE462="","",IFERROR(INDEX($AQ$11:$AQ$4010,MATCH(452,$AZ$11:$AZ$4010,0)),""))</f>
        <v/>
      </c>
      <c r="AI462" s="29" t="str">
        <f>IF(AE462="","",IFERROR(INDEX($AR$11:$AR$4010,MATCH(452,$AZ$11:$AZ$4010,0)),""))</f>
        <v/>
      </c>
      <c r="AJ462" s="29" t="str">
        <f>IF(AE462="","",IFERROR(INDEX($AT$11:$AT$4010,MATCH(452,$AZ$11:$AZ$4010,0)),""))</f>
        <v/>
      </c>
      <c r="AL462" s="31" t="str">
        <f t="shared" si="93"/>
        <v/>
      </c>
      <c r="AM462" s="26" t="str">
        <f t="shared" si="94"/>
        <v/>
      </c>
      <c r="AN462" s="32" t="str">
        <f t="shared" si="95"/>
        <v/>
      </c>
      <c r="AO462" s="32" t="str">
        <f t="shared" si="96"/>
        <v/>
      </c>
      <c r="AP462" s="24" t="str">
        <f t="shared" si="97"/>
        <v/>
      </c>
      <c r="AQ462" s="24" t="str">
        <f t="shared" si="98"/>
        <v/>
      </c>
      <c r="AR462" s="33" t="str">
        <f t="shared" si="99"/>
        <v/>
      </c>
      <c r="AS462" s="34"/>
      <c r="AT462" s="33"/>
      <c r="AV462" s="21">
        <f>IF(AND($AL462&lt;&gt;"",COUNTIF($AL$11:$AL462,$AL462)=1),1,0)</f>
        <v>0</v>
      </c>
      <c r="AW462" s="21">
        <f t="shared" si="101"/>
        <v>0</v>
      </c>
      <c r="AX462" s="21" t="str">
        <f t="shared" si="100"/>
        <v/>
      </c>
      <c r="AY462" s="21" t="str">
        <f>IF(AND($AM462&lt;&gt;"",$AS462&lt;&gt;"✓"),SUMPRODUCT(($AM$11:$AM462&lt;&gt;"")*($AS$11:$AS462&lt;&gt;"✓")),"")</f>
        <v/>
      </c>
      <c r="AZ462" s="21" t="str">
        <f>IF(AND($AM462&lt;&gt;"",$AS462="✓"),SUMPRODUCT(($AM$11:$AM462&lt;&gt;"")*($AS$11:$AS462="✓")),"")</f>
        <v/>
      </c>
      <c r="BA462" s="21" t="str">
        <f>IF($AL462="","",$AL462&amp;"|"&amp;COUNTIF($AL$11:$AL462,$AL462))</f>
        <v/>
      </c>
    </row>
    <row r="463" spans="2:53" ht="15" customHeight="1" x14ac:dyDescent="0.25">
      <c r="B463" s="5" t="str">
        <f t="shared" si="92"/>
        <v/>
      </c>
      <c r="C463" s="5"/>
      <c r="D463" s="5"/>
      <c r="E463" s="5"/>
      <c r="F463" s="6"/>
      <c r="G463" s="6"/>
      <c r="H463" s="7"/>
      <c r="I463" s="8"/>
      <c r="W463" s="14" t="str">
        <f>IF(X463="","",IFERROR(INDEX($AL$11:$AL$4010,MATCH(453,$AY$11:$AY$4010,0)),""))</f>
        <v/>
      </c>
      <c r="X463" s="12" t="str">
        <f>IFERROR(INDEX($AM$11:$AM$4010,MATCH(453,$AY$11:$AY$4010,0)),"")</f>
        <v/>
      </c>
      <c r="Y463" s="11" t="str">
        <f>IF(X463="","",IFERROR(INDEX($AN$11:$AN$4010,MATCH(453,$AY$11:$AY$4010,0)),""))</f>
        <v/>
      </c>
      <c r="Z463" s="11" t="str">
        <f>IF(X463="","",IFERROR(INDEX($AO$11:$AO$4010,MATCH(453,$AY$11:$AY$4010,0)),""))</f>
        <v/>
      </c>
      <c r="AA463" s="10" t="str">
        <f>IF(X463="","",IFERROR(INDEX($AQ$11:$AQ$4010,MATCH(453,$AY$11:$AY$4010,0)),""))</f>
        <v/>
      </c>
      <c r="AB463" s="15" t="str">
        <f>IF(X463="","",IFERROR(INDEX($AR$11:$AR$4010,MATCH(453,$AY$11:$AY$4010,0)),""))</f>
        <v/>
      </c>
      <c r="AD463" s="16" t="str">
        <f>IF(AE463="","",IFERROR(INDEX($AL$11:$AL$4010,MATCH(453,$AZ$11:$AZ$4010,0)),""))</f>
        <v/>
      </c>
      <c r="AE463" s="12" t="str">
        <f>IFERROR(INDEX($AM$11:$AM$4010,MATCH(453,$AZ$11:$AZ$4010,0)),"")</f>
        <v/>
      </c>
      <c r="AF463" s="11" t="str">
        <f>IF(AE463="","",IFERROR(INDEX($AN$11:$AN$4010,MATCH(453,$AZ$11:$AZ$4010,0)),""))</f>
        <v/>
      </c>
      <c r="AG463" s="11" t="str">
        <f>IF(AE463="","",IFERROR(INDEX($AO$11:$AO$4010,MATCH(453,$AZ$11:$AZ$4010,0)),""))</f>
        <v/>
      </c>
      <c r="AH463" s="10" t="str">
        <f>IF(AE463="","",IFERROR(INDEX($AQ$11:$AQ$4010,MATCH(453,$AZ$11:$AZ$4010,0)),""))</f>
        <v/>
      </c>
      <c r="AI463" s="15" t="str">
        <f>IF(AE463="","",IFERROR(INDEX($AR$11:$AR$4010,MATCH(453,$AZ$11:$AZ$4010,0)),""))</f>
        <v/>
      </c>
      <c r="AJ463" s="15" t="str">
        <f>IF(AE463="","",IFERROR(INDEX($AT$11:$AT$4010,MATCH(453,$AZ$11:$AZ$4010,0)),""))</f>
        <v/>
      </c>
      <c r="AL463" s="17" t="str">
        <f t="shared" si="93"/>
        <v/>
      </c>
      <c r="AM463" s="12" t="str">
        <f t="shared" si="94"/>
        <v/>
      </c>
      <c r="AN463" s="18" t="str">
        <f t="shared" si="95"/>
        <v/>
      </c>
      <c r="AO463" s="18" t="str">
        <f t="shared" si="96"/>
        <v/>
      </c>
      <c r="AP463" s="10" t="str">
        <f t="shared" si="97"/>
        <v/>
      </c>
      <c r="AQ463" s="10" t="str">
        <f t="shared" si="98"/>
        <v/>
      </c>
      <c r="AR463" s="19" t="str">
        <f t="shared" si="99"/>
        <v/>
      </c>
      <c r="AS463" s="20"/>
      <c r="AT463" s="19"/>
      <c r="AV463" s="21">
        <f>IF(AND($AL463&lt;&gt;"",COUNTIF($AL$11:$AL463,$AL463)=1),1,0)</f>
        <v>0</v>
      </c>
      <c r="AW463" s="21">
        <f t="shared" si="101"/>
        <v>0</v>
      </c>
      <c r="AX463" s="21" t="str">
        <f t="shared" si="100"/>
        <v/>
      </c>
      <c r="AY463" s="21" t="str">
        <f>IF(AND($AM463&lt;&gt;"",$AS463&lt;&gt;"✓"),SUMPRODUCT(($AM$11:$AM463&lt;&gt;"")*($AS$11:$AS463&lt;&gt;"✓")),"")</f>
        <v/>
      </c>
      <c r="AZ463" s="21" t="str">
        <f>IF(AND($AM463&lt;&gt;"",$AS463="✓"),SUMPRODUCT(($AM$11:$AM463&lt;&gt;"")*($AS$11:$AS463="✓")),"")</f>
        <v/>
      </c>
      <c r="BA463" s="21" t="str">
        <f>IF($AL463="","",$AL463&amp;"|"&amp;COUNTIF($AL$11:$AL463,$AL463))</f>
        <v/>
      </c>
    </row>
    <row r="464" spans="2:53" ht="15" customHeight="1" x14ac:dyDescent="0.25">
      <c r="B464" s="5" t="str">
        <f t="shared" si="92"/>
        <v/>
      </c>
      <c r="C464" s="5"/>
      <c r="D464" s="5"/>
      <c r="E464" s="5"/>
      <c r="F464" s="6"/>
      <c r="G464" s="6"/>
      <c r="H464" s="7"/>
      <c r="I464" s="8"/>
      <c r="W464" s="28" t="str">
        <f>IF(X464="","",IFERROR(INDEX($AL$11:$AL$4010,MATCH(454,$AY$11:$AY$4010,0)),""))</f>
        <v/>
      </c>
      <c r="X464" s="26" t="str">
        <f>IFERROR(INDEX($AM$11:$AM$4010,MATCH(454,$AY$11:$AY$4010,0)),"")</f>
        <v/>
      </c>
      <c r="Y464" s="25" t="str">
        <f>IF(X464="","",IFERROR(INDEX($AN$11:$AN$4010,MATCH(454,$AY$11:$AY$4010,0)),""))</f>
        <v/>
      </c>
      <c r="Z464" s="25" t="str">
        <f>IF(X464="","",IFERROR(INDEX($AO$11:$AO$4010,MATCH(454,$AY$11:$AY$4010,0)),""))</f>
        <v/>
      </c>
      <c r="AA464" s="24" t="str">
        <f>IF(X464="","",IFERROR(INDEX($AQ$11:$AQ$4010,MATCH(454,$AY$11:$AY$4010,0)),""))</f>
        <v/>
      </c>
      <c r="AB464" s="29" t="str">
        <f>IF(X464="","",IFERROR(INDEX($AR$11:$AR$4010,MATCH(454,$AY$11:$AY$4010,0)),""))</f>
        <v/>
      </c>
      <c r="AD464" s="30" t="str">
        <f>IF(AE464="","",IFERROR(INDEX($AL$11:$AL$4010,MATCH(454,$AZ$11:$AZ$4010,0)),""))</f>
        <v/>
      </c>
      <c r="AE464" s="26" t="str">
        <f>IFERROR(INDEX($AM$11:$AM$4010,MATCH(454,$AZ$11:$AZ$4010,0)),"")</f>
        <v/>
      </c>
      <c r="AF464" s="25" t="str">
        <f>IF(AE464="","",IFERROR(INDEX($AN$11:$AN$4010,MATCH(454,$AZ$11:$AZ$4010,0)),""))</f>
        <v/>
      </c>
      <c r="AG464" s="25" t="str">
        <f>IF(AE464="","",IFERROR(INDEX($AO$11:$AO$4010,MATCH(454,$AZ$11:$AZ$4010,0)),""))</f>
        <v/>
      </c>
      <c r="AH464" s="24" t="str">
        <f>IF(AE464="","",IFERROR(INDEX($AQ$11:$AQ$4010,MATCH(454,$AZ$11:$AZ$4010,0)),""))</f>
        <v/>
      </c>
      <c r="AI464" s="29" t="str">
        <f>IF(AE464="","",IFERROR(INDEX($AR$11:$AR$4010,MATCH(454,$AZ$11:$AZ$4010,0)),""))</f>
        <v/>
      </c>
      <c r="AJ464" s="29" t="str">
        <f>IF(AE464="","",IFERROR(INDEX($AT$11:$AT$4010,MATCH(454,$AZ$11:$AZ$4010,0)),""))</f>
        <v/>
      </c>
      <c r="AL464" s="31" t="str">
        <f t="shared" si="93"/>
        <v/>
      </c>
      <c r="AM464" s="26" t="str">
        <f t="shared" si="94"/>
        <v/>
      </c>
      <c r="AN464" s="32" t="str">
        <f t="shared" si="95"/>
        <v/>
      </c>
      <c r="AO464" s="32" t="str">
        <f t="shared" si="96"/>
        <v/>
      </c>
      <c r="AP464" s="24" t="str">
        <f t="shared" si="97"/>
        <v/>
      </c>
      <c r="AQ464" s="24" t="str">
        <f t="shared" si="98"/>
        <v/>
      </c>
      <c r="AR464" s="33" t="str">
        <f t="shared" si="99"/>
        <v/>
      </c>
      <c r="AS464" s="34"/>
      <c r="AT464" s="33"/>
      <c r="AV464" s="21">
        <f>IF(AND($AL464&lt;&gt;"",COUNTIF($AL$11:$AL464,$AL464)=1),1,0)</f>
        <v>0</v>
      </c>
      <c r="AW464" s="21">
        <f t="shared" si="101"/>
        <v>0</v>
      </c>
      <c r="AX464" s="21" t="str">
        <f t="shared" si="100"/>
        <v/>
      </c>
      <c r="AY464" s="21" t="str">
        <f>IF(AND($AM464&lt;&gt;"",$AS464&lt;&gt;"✓"),SUMPRODUCT(($AM$11:$AM464&lt;&gt;"")*($AS$11:$AS464&lt;&gt;"✓")),"")</f>
        <v/>
      </c>
      <c r="AZ464" s="21" t="str">
        <f>IF(AND($AM464&lt;&gt;"",$AS464="✓"),SUMPRODUCT(($AM$11:$AM464&lt;&gt;"")*($AS$11:$AS464="✓")),"")</f>
        <v/>
      </c>
      <c r="BA464" s="21" t="str">
        <f>IF($AL464="","",$AL464&amp;"|"&amp;COUNTIF($AL$11:$AL464,$AL464))</f>
        <v/>
      </c>
    </row>
    <row r="465" spans="2:53" ht="15" customHeight="1" x14ac:dyDescent="0.25">
      <c r="B465" s="5" t="str">
        <f t="shared" si="92"/>
        <v/>
      </c>
      <c r="C465" s="5"/>
      <c r="D465" s="5"/>
      <c r="E465" s="5"/>
      <c r="F465" s="6"/>
      <c r="G465" s="6"/>
      <c r="H465" s="7"/>
      <c r="I465" s="8"/>
      <c r="W465" s="14" t="str">
        <f>IF(X465="","",IFERROR(INDEX($AL$11:$AL$4010,MATCH(455,$AY$11:$AY$4010,0)),""))</f>
        <v/>
      </c>
      <c r="X465" s="12" t="str">
        <f>IFERROR(INDEX($AM$11:$AM$4010,MATCH(455,$AY$11:$AY$4010,0)),"")</f>
        <v/>
      </c>
      <c r="Y465" s="11" t="str">
        <f>IF(X465="","",IFERROR(INDEX($AN$11:$AN$4010,MATCH(455,$AY$11:$AY$4010,0)),""))</f>
        <v/>
      </c>
      <c r="Z465" s="11" t="str">
        <f>IF(X465="","",IFERROR(INDEX($AO$11:$AO$4010,MATCH(455,$AY$11:$AY$4010,0)),""))</f>
        <v/>
      </c>
      <c r="AA465" s="10" t="str">
        <f>IF(X465="","",IFERROR(INDEX($AQ$11:$AQ$4010,MATCH(455,$AY$11:$AY$4010,0)),""))</f>
        <v/>
      </c>
      <c r="AB465" s="15" t="str">
        <f>IF(X465="","",IFERROR(INDEX($AR$11:$AR$4010,MATCH(455,$AY$11:$AY$4010,0)),""))</f>
        <v/>
      </c>
      <c r="AD465" s="16" t="str">
        <f>IF(AE465="","",IFERROR(INDEX($AL$11:$AL$4010,MATCH(455,$AZ$11:$AZ$4010,0)),""))</f>
        <v/>
      </c>
      <c r="AE465" s="12" t="str">
        <f>IFERROR(INDEX($AM$11:$AM$4010,MATCH(455,$AZ$11:$AZ$4010,0)),"")</f>
        <v/>
      </c>
      <c r="AF465" s="11" t="str">
        <f>IF(AE465="","",IFERROR(INDEX($AN$11:$AN$4010,MATCH(455,$AZ$11:$AZ$4010,0)),""))</f>
        <v/>
      </c>
      <c r="AG465" s="11" t="str">
        <f>IF(AE465="","",IFERROR(INDEX($AO$11:$AO$4010,MATCH(455,$AZ$11:$AZ$4010,0)),""))</f>
        <v/>
      </c>
      <c r="AH465" s="10" t="str">
        <f>IF(AE465="","",IFERROR(INDEX($AQ$11:$AQ$4010,MATCH(455,$AZ$11:$AZ$4010,0)),""))</f>
        <v/>
      </c>
      <c r="AI465" s="15" t="str">
        <f>IF(AE465="","",IFERROR(INDEX($AR$11:$AR$4010,MATCH(455,$AZ$11:$AZ$4010,0)),""))</f>
        <v/>
      </c>
      <c r="AJ465" s="15" t="str">
        <f>IF(AE465="","",IFERROR(INDEX($AT$11:$AT$4010,MATCH(455,$AZ$11:$AZ$4010,0)),""))</f>
        <v/>
      </c>
      <c r="AL465" s="17" t="str">
        <f t="shared" si="93"/>
        <v/>
      </c>
      <c r="AM465" s="12" t="str">
        <f t="shared" si="94"/>
        <v/>
      </c>
      <c r="AN465" s="18" t="str">
        <f t="shared" si="95"/>
        <v/>
      </c>
      <c r="AO465" s="18" t="str">
        <f t="shared" si="96"/>
        <v/>
      </c>
      <c r="AP465" s="10" t="str">
        <f t="shared" si="97"/>
        <v/>
      </c>
      <c r="AQ465" s="10" t="str">
        <f t="shared" si="98"/>
        <v/>
      </c>
      <c r="AR465" s="19" t="str">
        <f t="shared" si="99"/>
        <v/>
      </c>
      <c r="AS465" s="20"/>
      <c r="AT465" s="19"/>
      <c r="AV465" s="21">
        <f>IF(AND($AL465&lt;&gt;"",COUNTIF($AL$11:$AL465,$AL465)=1),1,0)</f>
        <v>0</v>
      </c>
      <c r="AW465" s="21">
        <f t="shared" si="101"/>
        <v>0</v>
      </c>
      <c r="AX465" s="21" t="str">
        <f t="shared" si="100"/>
        <v/>
      </c>
      <c r="AY465" s="21" t="str">
        <f>IF(AND($AM465&lt;&gt;"",$AS465&lt;&gt;"✓"),SUMPRODUCT(($AM$11:$AM465&lt;&gt;"")*($AS$11:$AS465&lt;&gt;"✓")),"")</f>
        <v/>
      </c>
      <c r="AZ465" s="21" t="str">
        <f>IF(AND($AM465&lt;&gt;"",$AS465="✓"),SUMPRODUCT(($AM$11:$AM465&lt;&gt;"")*($AS$11:$AS465="✓")),"")</f>
        <v/>
      </c>
      <c r="BA465" s="21" t="str">
        <f>IF($AL465="","",$AL465&amp;"|"&amp;COUNTIF($AL$11:$AL465,$AL465))</f>
        <v/>
      </c>
    </row>
    <row r="466" spans="2:53" ht="15" customHeight="1" x14ac:dyDescent="0.25">
      <c r="B466" s="5" t="str">
        <f t="shared" si="92"/>
        <v/>
      </c>
      <c r="C466" s="5"/>
      <c r="D466" s="5"/>
      <c r="E466" s="5"/>
      <c r="F466" s="6"/>
      <c r="G466" s="6"/>
      <c r="H466" s="7"/>
      <c r="I466" s="8"/>
      <c r="W466" s="28" t="str">
        <f>IF(X466="","",IFERROR(INDEX($AL$11:$AL$4010,MATCH(456,$AY$11:$AY$4010,0)),""))</f>
        <v/>
      </c>
      <c r="X466" s="26" t="str">
        <f>IFERROR(INDEX($AM$11:$AM$4010,MATCH(456,$AY$11:$AY$4010,0)),"")</f>
        <v/>
      </c>
      <c r="Y466" s="25" t="str">
        <f>IF(X466="","",IFERROR(INDEX($AN$11:$AN$4010,MATCH(456,$AY$11:$AY$4010,0)),""))</f>
        <v/>
      </c>
      <c r="Z466" s="25" t="str">
        <f>IF(X466="","",IFERROR(INDEX($AO$11:$AO$4010,MATCH(456,$AY$11:$AY$4010,0)),""))</f>
        <v/>
      </c>
      <c r="AA466" s="24" t="str">
        <f>IF(X466="","",IFERROR(INDEX($AQ$11:$AQ$4010,MATCH(456,$AY$11:$AY$4010,0)),""))</f>
        <v/>
      </c>
      <c r="AB466" s="29" t="str">
        <f>IF(X466="","",IFERROR(INDEX($AR$11:$AR$4010,MATCH(456,$AY$11:$AY$4010,0)),""))</f>
        <v/>
      </c>
      <c r="AD466" s="30" t="str">
        <f>IF(AE466="","",IFERROR(INDEX($AL$11:$AL$4010,MATCH(456,$AZ$11:$AZ$4010,0)),""))</f>
        <v/>
      </c>
      <c r="AE466" s="26" t="str">
        <f>IFERROR(INDEX($AM$11:$AM$4010,MATCH(456,$AZ$11:$AZ$4010,0)),"")</f>
        <v/>
      </c>
      <c r="AF466" s="25" t="str">
        <f>IF(AE466="","",IFERROR(INDEX($AN$11:$AN$4010,MATCH(456,$AZ$11:$AZ$4010,0)),""))</f>
        <v/>
      </c>
      <c r="AG466" s="25" t="str">
        <f>IF(AE466="","",IFERROR(INDEX($AO$11:$AO$4010,MATCH(456,$AZ$11:$AZ$4010,0)),""))</f>
        <v/>
      </c>
      <c r="AH466" s="24" t="str">
        <f>IF(AE466="","",IFERROR(INDEX($AQ$11:$AQ$4010,MATCH(456,$AZ$11:$AZ$4010,0)),""))</f>
        <v/>
      </c>
      <c r="AI466" s="29" t="str">
        <f>IF(AE466="","",IFERROR(INDEX($AR$11:$AR$4010,MATCH(456,$AZ$11:$AZ$4010,0)),""))</f>
        <v/>
      </c>
      <c r="AJ466" s="29" t="str">
        <f>IF(AE466="","",IFERROR(INDEX($AT$11:$AT$4010,MATCH(456,$AZ$11:$AZ$4010,0)),""))</f>
        <v/>
      </c>
      <c r="AL466" s="31" t="str">
        <f t="shared" si="93"/>
        <v/>
      </c>
      <c r="AM466" s="26" t="str">
        <f t="shared" si="94"/>
        <v/>
      </c>
      <c r="AN466" s="32" t="str">
        <f t="shared" si="95"/>
        <v/>
      </c>
      <c r="AO466" s="32" t="str">
        <f t="shared" si="96"/>
        <v/>
      </c>
      <c r="AP466" s="24" t="str">
        <f t="shared" si="97"/>
        <v/>
      </c>
      <c r="AQ466" s="24" t="str">
        <f t="shared" si="98"/>
        <v/>
      </c>
      <c r="AR466" s="33" t="str">
        <f t="shared" si="99"/>
        <v/>
      </c>
      <c r="AS466" s="34"/>
      <c r="AT466" s="33"/>
      <c r="AV466" s="21">
        <f>IF(AND($AL466&lt;&gt;"",COUNTIF($AL$11:$AL466,$AL466)=1),1,0)</f>
        <v>0</v>
      </c>
      <c r="AW466" s="21">
        <f t="shared" si="101"/>
        <v>0</v>
      </c>
      <c r="AX466" s="21" t="str">
        <f t="shared" si="100"/>
        <v/>
      </c>
      <c r="AY466" s="21" t="str">
        <f>IF(AND($AM466&lt;&gt;"",$AS466&lt;&gt;"✓"),SUMPRODUCT(($AM$11:$AM466&lt;&gt;"")*($AS$11:$AS466&lt;&gt;"✓")),"")</f>
        <v/>
      </c>
      <c r="AZ466" s="21" t="str">
        <f>IF(AND($AM466&lt;&gt;"",$AS466="✓"),SUMPRODUCT(($AM$11:$AM466&lt;&gt;"")*($AS$11:$AS466="✓")),"")</f>
        <v/>
      </c>
      <c r="BA466" s="21" t="str">
        <f>IF($AL466="","",$AL466&amp;"|"&amp;COUNTIF($AL$11:$AL466,$AL466))</f>
        <v/>
      </c>
    </row>
    <row r="467" spans="2:53" ht="15" customHeight="1" x14ac:dyDescent="0.25">
      <c r="B467" s="5" t="str">
        <f t="shared" si="92"/>
        <v/>
      </c>
      <c r="C467" s="5"/>
      <c r="D467" s="5"/>
      <c r="E467" s="5"/>
      <c r="F467" s="6"/>
      <c r="G467" s="6"/>
      <c r="H467" s="7"/>
      <c r="I467" s="8"/>
      <c r="W467" s="14" t="str">
        <f>IF(X467="","",IFERROR(INDEX($AL$11:$AL$4010,MATCH(457,$AY$11:$AY$4010,0)),""))</f>
        <v/>
      </c>
      <c r="X467" s="12" t="str">
        <f>IFERROR(INDEX($AM$11:$AM$4010,MATCH(457,$AY$11:$AY$4010,0)),"")</f>
        <v/>
      </c>
      <c r="Y467" s="11" t="str">
        <f>IF(X467="","",IFERROR(INDEX($AN$11:$AN$4010,MATCH(457,$AY$11:$AY$4010,0)),""))</f>
        <v/>
      </c>
      <c r="Z467" s="11" t="str">
        <f>IF(X467="","",IFERROR(INDEX($AO$11:$AO$4010,MATCH(457,$AY$11:$AY$4010,0)),""))</f>
        <v/>
      </c>
      <c r="AA467" s="10" t="str">
        <f>IF(X467="","",IFERROR(INDEX($AQ$11:$AQ$4010,MATCH(457,$AY$11:$AY$4010,0)),""))</f>
        <v/>
      </c>
      <c r="AB467" s="15" t="str">
        <f>IF(X467="","",IFERROR(INDEX($AR$11:$AR$4010,MATCH(457,$AY$11:$AY$4010,0)),""))</f>
        <v/>
      </c>
      <c r="AD467" s="16" t="str">
        <f>IF(AE467="","",IFERROR(INDEX($AL$11:$AL$4010,MATCH(457,$AZ$11:$AZ$4010,0)),""))</f>
        <v/>
      </c>
      <c r="AE467" s="12" t="str">
        <f>IFERROR(INDEX($AM$11:$AM$4010,MATCH(457,$AZ$11:$AZ$4010,0)),"")</f>
        <v/>
      </c>
      <c r="AF467" s="11" t="str">
        <f>IF(AE467="","",IFERROR(INDEX($AN$11:$AN$4010,MATCH(457,$AZ$11:$AZ$4010,0)),""))</f>
        <v/>
      </c>
      <c r="AG467" s="11" t="str">
        <f>IF(AE467="","",IFERROR(INDEX($AO$11:$AO$4010,MATCH(457,$AZ$11:$AZ$4010,0)),""))</f>
        <v/>
      </c>
      <c r="AH467" s="10" t="str">
        <f>IF(AE467="","",IFERROR(INDEX($AQ$11:$AQ$4010,MATCH(457,$AZ$11:$AZ$4010,0)),""))</f>
        <v/>
      </c>
      <c r="AI467" s="15" t="str">
        <f>IF(AE467="","",IFERROR(INDEX($AR$11:$AR$4010,MATCH(457,$AZ$11:$AZ$4010,0)),""))</f>
        <v/>
      </c>
      <c r="AJ467" s="15" t="str">
        <f>IF(AE467="","",IFERROR(INDEX($AT$11:$AT$4010,MATCH(457,$AZ$11:$AZ$4010,0)),""))</f>
        <v/>
      </c>
      <c r="AL467" s="17" t="str">
        <f t="shared" si="93"/>
        <v/>
      </c>
      <c r="AM467" s="12" t="str">
        <f t="shared" si="94"/>
        <v/>
      </c>
      <c r="AN467" s="18" t="str">
        <f t="shared" si="95"/>
        <v/>
      </c>
      <c r="AO467" s="18" t="str">
        <f t="shared" si="96"/>
        <v/>
      </c>
      <c r="AP467" s="10" t="str">
        <f t="shared" si="97"/>
        <v/>
      </c>
      <c r="AQ467" s="10" t="str">
        <f t="shared" si="98"/>
        <v/>
      </c>
      <c r="AR467" s="19" t="str">
        <f t="shared" si="99"/>
        <v/>
      </c>
      <c r="AS467" s="20"/>
      <c r="AT467" s="19"/>
      <c r="AV467" s="21">
        <f>IF(AND($AL467&lt;&gt;"",COUNTIF($AL$11:$AL467,$AL467)=1),1,0)</f>
        <v>0</v>
      </c>
      <c r="AW467" s="21">
        <f t="shared" si="101"/>
        <v>0</v>
      </c>
      <c r="AX467" s="21" t="str">
        <f t="shared" si="100"/>
        <v/>
      </c>
      <c r="AY467" s="21" t="str">
        <f>IF(AND($AM467&lt;&gt;"",$AS467&lt;&gt;"✓"),SUMPRODUCT(($AM$11:$AM467&lt;&gt;"")*($AS$11:$AS467&lt;&gt;"✓")),"")</f>
        <v/>
      </c>
      <c r="AZ467" s="21" t="str">
        <f>IF(AND($AM467&lt;&gt;"",$AS467="✓"),SUMPRODUCT(($AM$11:$AM467&lt;&gt;"")*($AS$11:$AS467="✓")),"")</f>
        <v/>
      </c>
      <c r="BA467" s="21" t="str">
        <f>IF($AL467="","",$AL467&amp;"|"&amp;COUNTIF($AL$11:$AL467,$AL467))</f>
        <v/>
      </c>
    </row>
    <row r="468" spans="2:53" ht="15" customHeight="1" x14ac:dyDescent="0.25">
      <c r="B468" s="5" t="str">
        <f t="shared" si="92"/>
        <v/>
      </c>
      <c r="C468" s="5"/>
      <c r="D468" s="5"/>
      <c r="E468" s="5"/>
      <c r="F468" s="6"/>
      <c r="G468" s="6"/>
      <c r="H468" s="7"/>
      <c r="I468" s="8"/>
      <c r="W468" s="28" t="str">
        <f>IF(X468="","",IFERROR(INDEX($AL$11:$AL$4010,MATCH(458,$AY$11:$AY$4010,0)),""))</f>
        <v/>
      </c>
      <c r="X468" s="26" t="str">
        <f>IFERROR(INDEX($AM$11:$AM$4010,MATCH(458,$AY$11:$AY$4010,0)),"")</f>
        <v/>
      </c>
      <c r="Y468" s="25" t="str">
        <f>IF(X468="","",IFERROR(INDEX($AN$11:$AN$4010,MATCH(458,$AY$11:$AY$4010,0)),""))</f>
        <v/>
      </c>
      <c r="Z468" s="25" t="str">
        <f>IF(X468="","",IFERROR(INDEX($AO$11:$AO$4010,MATCH(458,$AY$11:$AY$4010,0)),""))</f>
        <v/>
      </c>
      <c r="AA468" s="24" t="str">
        <f>IF(X468="","",IFERROR(INDEX($AQ$11:$AQ$4010,MATCH(458,$AY$11:$AY$4010,0)),""))</f>
        <v/>
      </c>
      <c r="AB468" s="29" t="str">
        <f>IF(X468="","",IFERROR(INDEX($AR$11:$AR$4010,MATCH(458,$AY$11:$AY$4010,0)),""))</f>
        <v/>
      </c>
      <c r="AD468" s="30" t="str">
        <f>IF(AE468="","",IFERROR(INDEX($AL$11:$AL$4010,MATCH(458,$AZ$11:$AZ$4010,0)),""))</f>
        <v/>
      </c>
      <c r="AE468" s="26" t="str">
        <f>IFERROR(INDEX($AM$11:$AM$4010,MATCH(458,$AZ$11:$AZ$4010,0)),"")</f>
        <v/>
      </c>
      <c r="AF468" s="25" t="str">
        <f>IF(AE468="","",IFERROR(INDEX($AN$11:$AN$4010,MATCH(458,$AZ$11:$AZ$4010,0)),""))</f>
        <v/>
      </c>
      <c r="AG468" s="25" t="str">
        <f>IF(AE468="","",IFERROR(INDEX($AO$11:$AO$4010,MATCH(458,$AZ$11:$AZ$4010,0)),""))</f>
        <v/>
      </c>
      <c r="AH468" s="24" t="str">
        <f>IF(AE468="","",IFERROR(INDEX($AQ$11:$AQ$4010,MATCH(458,$AZ$11:$AZ$4010,0)),""))</f>
        <v/>
      </c>
      <c r="AI468" s="29" t="str">
        <f>IF(AE468="","",IFERROR(INDEX($AR$11:$AR$4010,MATCH(458,$AZ$11:$AZ$4010,0)),""))</f>
        <v/>
      </c>
      <c r="AJ468" s="29" t="str">
        <f>IF(AE468="","",IFERROR(INDEX($AT$11:$AT$4010,MATCH(458,$AZ$11:$AZ$4010,0)),""))</f>
        <v/>
      </c>
      <c r="AL468" s="31" t="str">
        <f t="shared" si="93"/>
        <v/>
      </c>
      <c r="AM468" s="26" t="str">
        <f t="shared" si="94"/>
        <v/>
      </c>
      <c r="AN468" s="32" t="str">
        <f t="shared" si="95"/>
        <v/>
      </c>
      <c r="AO468" s="32" t="str">
        <f t="shared" si="96"/>
        <v/>
      </c>
      <c r="AP468" s="24" t="str">
        <f t="shared" si="97"/>
        <v/>
      </c>
      <c r="AQ468" s="24" t="str">
        <f t="shared" si="98"/>
        <v/>
      </c>
      <c r="AR468" s="33" t="str">
        <f t="shared" si="99"/>
        <v/>
      </c>
      <c r="AS468" s="34"/>
      <c r="AT468" s="33"/>
      <c r="AV468" s="21">
        <f>IF(AND($AL468&lt;&gt;"",COUNTIF($AL$11:$AL468,$AL468)=1),1,0)</f>
        <v>0</v>
      </c>
      <c r="AW468" s="21">
        <f t="shared" si="101"/>
        <v>0</v>
      </c>
      <c r="AX468" s="21" t="str">
        <f t="shared" si="100"/>
        <v/>
      </c>
      <c r="AY468" s="21" t="str">
        <f>IF(AND($AM468&lt;&gt;"",$AS468&lt;&gt;"✓"),SUMPRODUCT(($AM$11:$AM468&lt;&gt;"")*($AS$11:$AS468&lt;&gt;"✓")),"")</f>
        <v/>
      </c>
      <c r="AZ468" s="21" t="str">
        <f>IF(AND($AM468&lt;&gt;"",$AS468="✓"),SUMPRODUCT(($AM$11:$AM468&lt;&gt;"")*($AS$11:$AS468="✓")),"")</f>
        <v/>
      </c>
      <c r="BA468" s="21" t="str">
        <f>IF($AL468="","",$AL468&amp;"|"&amp;COUNTIF($AL$11:$AL468,$AL468))</f>
        <v/>
      </c>
    </row>
    <row r="469" spans="2:53" ht="15" customHeight="1" x14ac:dyDescent="0.25">
      <c r="B469" s="5" t="str">
        <f t="shared" si="92"/>
        <v/>
      </c>
      <c r="C469" s="5"/>
      <c r="D469" s="5"/>
      <c r="E469" s="5"/>
      <c r="F469" s="6"/>
      <c r="G469" s="6"/>
      <c r="H469" s="7"/>
      <c r="I469" s="8"/>
      <c r="W469" s="14" t="str">
        <f>IF(X469="","",IFERROR(INDEX($AL$11:$AL$4010,MATCH(459,$AY$11:$AY$4010,0)),""))</f>
        <v/>
      </c>
      <c r="X469" s="12" t="str">
        <f>IFERROR(INDEX($AM$11:$AM$4010,MATCH(459,$AY$11:$AY$4010,0)),"")</f>
        <v/>
      </c>
      <c r="Y469" s="11" t="str">
        <f>IF(X469="","",IFERROR(INDEX($AN$11:$AN$4010,MATCH(459,$AY$11:$AY$4010,0)),""))</f>
        <v/>
      </c>
      <c r="Z469" s="11" t="str">
        <f>IF(X469="","",IFERROR(INDEX($AO$11:$AO$4010,MATCH(459,$AY$11:$AY$4010,0)),""))</f>
        <v/>
      </c>
      <c r="AA469" s="10" t="str">
        <f>IF(X469="","",IFERROR(INDEX($AQ$11:$AQ$4010,MATCH(459,$AY$11:$AY$4010,0)),""))</f>
        <v/>
      </c>
      <c r="AB469" s="15" t="str">
        <f>IF(X469="","",IFERROR(INDEX($AR$11:$AR$4010,MATCH(459,$AY$11:$AY$4010,0)),""))</f>
        <v/>
      </c>
      <c r="AD469" s="16" t="str">
        <f>IF(AE469="","",IFERROR(INDEX($AL$11:$AL$4010,MATCH(459,$AZ$11:$AZ$4010,0)),""))</f>
        <v/>
      </c>
      <c r="AE469" s="12" t="str">
        <f>IFERROR(INDEX($AM$11:$AM$4010,MATCH(459,$AZ$11:$AZ$4010,0)),"")</f>
        <v/>
      </c>
      <c r="AF469" s="11" t="str">
        <f>IF(AE469="","",IFERROR(INDEX($AN$11:$AN$4010,MATCH(459,$AZ$11:$AZ$4010,0)),""))</f>
        <v/>
      </c>
      <c r="AG469" s="11" t="str">
        <f>IF(AE469="","",IFERROR(INDEX($AO$11:$AO$4010,MATCH(459,$AZ$11:$AZ$4010,0)),""))</f>
        <v/>
      </c>
      <c r="AH469" s="10" t="str">
        <f>IF(AE469="","",IFERROR(INDEX($AQ$11:$AQ$4010,MATCH(459,$AZ$11:$AZ$4010,0)),""))</f>
        <v/>
      </c>
      <c r="AI469" s="15" t="str">
        <f>IF(AE469="","",IFERROR(INDEX($AR$11:$AR$4010,MATCH(459,$AZ$11:$AZ$4010,0)),""))</f>
        <v/>
      </c>
      <c r="AJ469" s="15" t="str">
        <f>IF(AE469="","",IFERROR(INDEX($AT$11:$AT$4010,MATCH(459,$AZ$11:$AZ$4010,0)),""))</f>
        <v/>
      </c>
      <c r="AL469" s="17" t="str">
        <f t="shared" si="93"/>
        <v/>
      </c>
      <c r="AM469" s="12" t="str">
        <f t="shared" si="94"/>
        <v/>
      </c>
      <c r="AN469" s="18" t="str">
        <f t="shared" si="95"/>
        <v/>
      </c>
      <c r="AO469" s="18" t="str">
        <f t="shared" si="96"/>
        <v/>
      </c>
      <c r="AP469" s="10" t="str">
        <f t="shared" si="97"/>
        <v/>
      </c>
      <c r="AQ469" s="10" t="str">
        <f t="shared" si="98"/>
        <v/>
      </c>
      <c r="AR469" s="19" t="str">
        <f t="shared" si="99"/>
        <v/>
      </c>
      <c r="AS469" s="20"/>
      <c r="AT469" s="19"/>
      <c r="AV469" s="21">
        <f>IF(AND($AL469&lt;&gt;"",COUNTIF($AL$11:$AL469,$AL469)=1),1,0)</f>
        <v>0</v>
      </c>
      <c r="AW469" s="21">
        <f t="shared" si="101"/>
        <v>0</v>
      </c>
      <c r="AX469" s="21" t="str">
        <f t="shared" si="100"/>
        <v/>
      </c>
      <c r="AY469" s="21" t="str">
        <f>IF(AND($AM469&lt;&gt;"",$AS469&lt;&gt;"✓"),SUMPRODUCT(($AM$11:$AM469&lt;&gt;"")*($AS$11:$AS469&lt;&gt;"✓")),"")</f>
        <v/>
      </c>
      <c r="AZ469" s="21" t="str">
        <f>IF(AND($AM469&lt;&gt;"",$AS469="✓"),SUMPRODUCT(($AM$11:$AM469&lt;&gt;"")*($AS$11:$AS469="✓")),"")</f>
        <v/>
      </c>
      <c r="BA469" s="21" t="str">
        <f>IF($AL469="","",$AL469&amp;"|"&amp;COUNTIF($AL$11:$AL469,$AL469))</f>
        <v/>
      </c>
    </row>
    <row r="470" spans="2:53" ht="15" customHeight="1" x14ac:dyDescent="0.25">
      <c r="B470" s="5" t="str">
        <f t="shared" si="92"/>
        <v/>
      </c>
      <c r="C470" s="5"/>
      <c r="D470" s="5"/>
      <c r="E470" s="5"/>
      <c r="F470" s="6"/>
      <c r="G470" s="6"/>
      <c r="H470" s="7"/>
      <c r="I470" s="8"/>
      <c r="W470" s="28" t="str">
        <f>IF(X470="","",IFERROR(INDEX($AL$11:$AL$4010,MATCH(460,$AY$11:$AY$4010,0)),""))</f>
        <v/>
      </c>
      <c r="X470" s="26" t="str">
        <f>IFERROR(INDEX($AM$11:$AM$4010,MATCH(460,$AY$11:$AY$4010,0)),"")</f>
        <v/>
      </c>
      <c r="Y470" s="25" t="str">
        <f>IF(X470="","",IFERROR(INDEX($AN$11:$AN$4010,MATCH(460,$AY$11:$AY$4010,0)),""))</f>
        <v/>
      </c>
      <c r="Z470" s="25" t="str">
        <f>IF(X470="","",IFERROR(INDEX($AO$11:$AO$4010,MATCH(460,$AY$11:$AY$4010,0)),""))</f>
        <v/>
      </c>
      <c r="AA470" s="24" t="str">
        <f>IF(X470="","",IFERROR(INDEX($AQ$11:$AQ$4010,MATCH(460,$AY$11:$AY$4010,0)),""))</f>
        <v/>
      </c>
      <c r="AB470" s="29" t="str">
        <f>IF(X470="","",IFERROR(INDEX($AR$11:$AR$4010,MATCH(460,$AY$11:$AY$4010,0)),""))</f>
        <v/>
      </c>
      <c r="AD470" s="30" t="str">
        <f>IF(AE470="","",IFERROR(INDEX($AL$11:$AL$4010,MATCH(460,$AZ$11:$AZ$4010,0)),""))</f>
        <v/>
      </c>
      <c r="AE470" s="26" t="str">
        <f>IFERROR(INDEX($AM$11:$AM$4010,MATCH(460,$AZ$11:$AZ$4010,0)),"")</f>
        <v/>
      </c>
      <c r="AF470" s="25" t="str">
        <f>IF(AE470="","",IFERROR(INDEX($AN$11:$AN$4010,MATCH(460,$AZ$11:$AZ$4010,0)),""))</f>
        <v/>
      </c>
      <c r="AG470" s="25" t="str">
        <f>IF(AE470="","",IFERROR(INDEX($AO$11:$AO$4010,MATCH(460,$AZ$11:$AZ$4010,0)),""))</f>
        <v/>
      </c>
      <c r="AH470" s="24" t="str">
        <f>IF(AE470="","",IFERROR(INDEX($AQ$11:$AQ$4010,MATCH(460,$AZ$11:$AZ$4010,0)),""))</f>
        <v/>
      </c>
      <c r="AI470" s="29" t="str">
        <f>IF(AE470="","",IFERROR(INDEX($AR$11:$AR$4010,MATCH(460,$AZ$11:$AZ$4010,0)),""))</f>
        <v/>
      </c>
      <c r="AJ470" s="29" t="str">
        <f>IF(AE470="","",IFERROR(INDEX($AT$11:$AT$4010,MATCH(460,$AZ$11:$AZ$4010,0)),""))</f>
        <v/>
      </c>
      <c r="AL470" s="31" t="str">
        <f t="shared" si="93"/>
        <v/>
      </c>
      <c r="AM470" s="26" t="str">
        <f t="shared" si="94"/>
        <v/>
      </c>
      <c r="AN470" s="32" t="str">
        <f t="shared" si="95"/>
        <v/>
      </c>
      <c r="AO470" s="32" t="str">
        <f t="shared" si="96"/>
        <v/>
      </c>
      <c r="AP470" s="24" t="str">
        <f t="shared" si="97"/>
        <v/>
      </c>
      <c r="AQ470" s="24" t="str">
        <f t="shared" si="98"/>
        <v/>
      </c>
      <c r="AR470" s="33" t="str">
        <f t="shared" si="99"/>
        <v/>
      </c>
      <c r="AS470" s="34"/>
      <c r="AT470" s="33"/>
      <c r="AV470" s="21">
        <f>IF(AND($AL470&lt;&gt;"",COUNTIF($AL$11:$AL470,$AL470)=1),1,0)</f>
        <v>0</v>
      </c>
      <c r="AW470" s="21">
        <f t="shared" si="101"/>
        <v>0</v>
      </c>
      <c r="AX470" s="21" t="str">
        <f t="shared" si="100"/>
        <v/>
      </c>
      <c r="AY470" s="21" t="str">
        <f>IF(AND($AM470&lt;&gt;"",$AS470&lt;&gt;"✓"),SUMPRODUCT(($AM$11:$AM470&lt;&gt;"")*($AS$11:$AS470&lt;&gt;"✓")),"")</f>
        <v/>
      </c>
      <c r="AZ470" s="21" t="str">
        <f>IF(AND($AM470&lt;&gt;"",$AS470="✓"),SUMPRODUCT(($AM$11:$AM470&lt;&gt;"")*($AS$11:$AS470="✓")),"")</f>
        <v/>
      </c>
      <c r="BA470" s="21" t="str">
        <f>IF($AL470="","",$AL470&amp;"|"&amp;COUNTIF($AL$11:$AL470,$AL470))</f>
        <v/>
      </c>
    </row>
    <row r="471" spans="2:53" ht="15" customHeight="1" x14ac:dyDescent="0.25">
      <c r="B471" s="5" t="str">
        <f t="shared" si="92"/>
        <v/>
      </c>
      <c r="C471" s="5"/>
      <c r="D471" s="5"/>
      <c r="E471" s="5"/>
      <c r="F471" s="6"/>
      <c r="G471" s="6"/>
      <c r="H471" s="7"/>
      <c r="I471" s="8"/>
      <c r="W471" s="14" t="str">
        <f>IF(X471="","",IFERROR(INDEX($AL$11:$AL$4010,MATCH(461,$AY$11:$AY$4010,0)),""))</f>
        <v/>
      </c>
      <c r="X471" s="12" t="str">
        <f>IFERROR(INDEX($AM$11:$AM$4010,MATCH(461,$AY$11:$AY$4010,0)),"")</f>
        <v/>
      </c>
      <c r="Y471" s="11" t="str">
        <f>IF(X471="","",IFERROR(INDEX($AN$11:$AN$4010,MATCH(461,$AY$11:$AY$4010,0)),""))</f>
        <v/>
      </c>
      <c r="Z471" s="11" t="str">
        <f>IF(X471="","",IFERROR(INDEX($AO$11:$AO$4010,MATCH(461,$AY$11:$AY$4010,0)),""))</f>
        <v/>
      </c>
      <c r="AA471" s="10" t="str">
        <f>IF(X471="","",IFERROR(INDEX($AQ$11:$AQ$4010,MATCH(461,$AY$11:$AY$4010,0)),""))</f>
        <v/>
      </c>
      <c r="AB471" s="15" t="str">
        <f>IF(X471="","",IFERROR(INDEX($AR$11:$AR$4010,MATCH(461,$AY$11:$AY$4010,0)),""))</f>
        <v/>
      </c>
      <c r="AD471" s="16" t="str">
        <f>IF(AE471="","",IFERROR(INDEX($AL$11:$AL$4010,MATCH(461,$AZ$11:$AZ$4010,0)),""))</f>
        <v/>
      </c>
      <c r="AE471" s="12" t="str">
        <f>IFERROR(INDEX($AM$11:$AM$4010,MATCH(461,$AZ$11:$AZ$4010,0)),"")</f>
        <v/>
      </c>
      <c r="AF471" s="11" t="str">
        <f>IF(AE471="","",IFERROR(INDEX($AN$11:$AN$4010,MATCH(461,$AZ$11:$AZ$4010,0)),""))</f>
        <v/>
      </c>
      <c r="AG471" s="11" t="str">
        <f>IF(AE471="","",IFERROR(INDEX($AO$11:$AO$4010,MATCH(461,$AZ$11:$AZ$4010,0)),""))</f>
        <v/>
      </c>
      <c r="AH471" s="10" t="str">
        <f>IF(AE471="","",IFERROR(INDEX($AQ$11:$AQ$4010,MATCH(461,$AZ$11:$AZ$4010,0)),""))</f>
        <v/>
      </c>
      <c r="AI471" s="15" t="str">
        <f>IF(AE471="","",IFERROR(INDEX($AR$11:$AR$4010,MATCH(461,$AZ$11:$AZ$4010,0)),""))</f>
        <v/>
      </c>
      <c r="AJ471" s="15" t="str">
        <f>IF(AE471="","",IFERROR(INDEX($AT$11:$AT$4010,MATCH(461,$AZ$11:$AZ$4010,0)),""))</f>
        <v/>
      </c>
      <c r="AL471" s="17" t="str">
        <f t="shared" si="93"/>
        <v/>
      </c>
      <c r="AM471" s="12" t="str">
        <f t="shared" si="94"/>
        <v/>
      </c>
      <c r="AN471" s="18" t="str">
        <f t="shared" si="95"/>
        <v/>
      </c>
      <c r="AO471" s="18" t="str">
        <f t="shared" si="96"/>
        <v/>
      </c>
      <c r="AP471" s="10" t="str">
        <f t="shared" si="97"/>
        <v/>
      </c>
      <c r="AQ471" s="10" t="str">
        <f t="shared" si="98"/>
        <v/>
      </c>
      <c r="AR471" s="19" t="str">
        <f t="shared" si="99"/>
        <v/>
      </c>
      <c r="AS471" s="20"/>
      <c r="AT471" s="19"/>
      <c r="AV471" s="21">
        <f>IF(AND($AL471&lt;&gt;"",COUNTIF($AL$11:$AL471,$AL471)=1),1,0)</f>
        <v>0</v>
      </c>
      <c r="AW471" s="21">
        <f t="shared" si="101"/>
        <v>0</v>
      </c>
      <c r="AX471" s="21" t="str">
        <f t="shared" si="100"/>
        <v/>
      </c>
      <c r="AY471" s="21" t="str">
        <f>IF(AND($AM471&lt;&gt;"",$AS471&lt;&gt;"✓"),SUMPRODUCT(($AM$11:$AM471&lt;&gt;"")*($AS$11:$AS471&lt;&gt;"✓")),"")</f>
        <v/>
      </c>
      <c r="AZ471" s="21" t="str">
        <f>IF(AND($AM471&lt;&gt;"",$AS471="✓"),SUMPRODUCT(($AM$11:$AM471&lt;&gt;"")*($AS$11:$AS471="✓")),"")</f>
        <v/>
      </c>
      <c r="BA471" s="21" t="str">
        <f>IF($AL471="","",$AL471&amp;"|"&amp;COUNTIF($AL$11:$AL471,$AL471))</f>
        <v/>
      </c>
    </row>
    <row r="472" spans="2:53" ht="15" customHeight="1" x14ac:dyDescent="0.25">
      <c r="B472" s="5" t="str">
        <f t="shared" si="92"/>
        <v/>
      </c>
      <c r="C472" s="5"/>
      <c r="D472" s="5"/>
      <c r="E472" s="5"/>
      <c r="F472" s="6"/>
      <c r="G472" s="6"/>
      <c r="H472" s="7"/>
      <c r="I472" s="8"/>
      <c r="W472" s="28" t="str">
        <f>IF(X472="","",IFERROR(INDEX($AL$11:$AL$4010,MATCH(462,$AY$11:$AY$4010,0)),""))</f>
        <v/>
      </c>
      <c r="X472" s="26" t="str">
        <f>IFERROR(INDEX($AM$11:$AM$4010,MATCH(462,$AY$11:$AY$4010,0)),"")</f>
        <v/>
      </c>
      <c r="Y472" s="25" t="str">
        <f>IF(X472="","",IFERROR(INDEX($AN$11:$AN$4010,MATCH(462,$AY$11:$AY$4010,0)),""))</f>
        <v/>
      </c>
      <c r="Z472" s="25" t="str">
        <f>IF(X472="","",IFERROR(INDEX($AO$11:$AO$4010,MATCH(462,$AY$11:$AY$4010,0)),""))</f>
        <v/>
      </c>
      <c r="AA472" s="24" t="str">
        <f>IF(X472="","",IFERROR(INDEX($AQ$11:$AQ$4010,MATCH(462,$AY$11:$AY$4010,0)),""))</f>
        <v/>
      </c>
      <c r="AB472" s="29" t="str">
        <f>IF(X472="","",IFERROR(INDEX($AR$11:$AR$4010,MATCH(462,$AY$11:$AY$4010,0)),""))</f>
        <v/>
      </c>
      <c r="AD472" s="30" t="str">
        <f>IF(AE472="","",IFERROR(INDEX($AL$11:$AL$4010,MATCH(462,$AZ$11:$AZ$4010,0)),""))</f>
        <v/>
      </c>
      <c r="AE472" s="26" t="str">
        <f>IFERROR(INDEX($AM$11:$AM$4010,MATCH(462,$AZ$11:$AZ$4010,0)),"")</f>
        <v/>
      </c>
      <c r="AF472" s="25" t="str">
        <f>IF(AE472="","",IFERROR(INDEX($AN$11:$AN$4010,MATCH(462,$AZ$11:$AZ$4010,0)),""))</f>
        <v/>
      </c>
      <c r="AG472" s="25" t="str">
        <f>IF(AE472="","",IFERROR(INDEX($AO$11:$AO$4010,MATCH(462,$AZ$11:$AZ$4010,0)),""))</f>
        <v/>
      </c>
      <c r="AH472" s="24" t="str">
        <f>IF(AE472="","",IFERROR(INDEX($AQ$11:$AQ$4010,MATCH(462,$AZ$11:$AZ$4010,0)),""))</f>
        <v/>
      </c>
      <c r="AI472" s="29" t="str">
        <f>IF(AE472="","",IFERROR(INDEX($AR$11:$AR$4010,MATCH(462,$AZ$11:$AZ$4010,0)),""))</f>
        <v/>
      </c>
      <c r="AJ472" s="29" t="str">
        <f>IF(AE472="","",IFERROR(INDEX($AT$11:$AT$4010,MATCH(462,$AZ$11:$AZ$4010,0)),""))</f>
        <v/>
      </c>
      <c r="AL472" s="31" t="str">
        <f t="shared" si="93"/>
        <v/>
      </c>
      <c r="AM472" s="26" t="str">
        <f t="shared" si="94"/>
        <v/>
      </c>
      <c r="AN472" s="32" t="str">
        <f t="shared" si="95"/>
        <v/>
      </c>
      <c r="AO472" s="32" t="str">
        <f t="shared" si="96"/>
        <v/>
      </c>
      <c r="AP472" s="24" t="str">
        <f t="shared" si="97"/>
        <v/>
      </c>
      <c r="AQ472" s="24" t="str">
        <f t="shared" si="98"/>
        <v/>
      </c>
      <c r="AR472" s="33" t="str">
        <f t="shared" si="99"/>
        <v/>
      </c>
      <c r="AS472" s="34"/>
      <c r="AT472" s="33"/>
      <c r="AV472" s="21">
        <f>IF(AND($AL472&lt;&gt;"",COUNTIF($AL$11:$AL472,$AL472)=1),1,0)</f>
        <v>0</v>
      </c>
      <c r="AW472" s="21">
        <f t="shared" si="101"/>
        <v>0</v>
      </c>
      <c r="AX472" s="21" t="str">
        <f t="shared" si="100"/>
        <v/>
      </c>
      <c r="AY472" s="21" t="str">
        <f>IF(AND($AM472&lt;&gt;"",$AS472&lt;&gt;"✓"),SUMPRODUCT(($AM$11:$AM472&lt;&gt;"")*($AS$11:$AS472&lt;&gt;"✓")),"")</f>
        <v/>
      </c>
      <c r="AZ472" s="21" t="str">
        <f>IF(AND($AM472&lt;&gt;"",$AS472="✓"),SUMPRODUCT(($AM$11:$AM472&lt;&gt;"")*($AS$11:$AS472="✓")),"")</f>
        <v/>
      </c>
      <c r="BA472" s="21" t="str">
        <f>IF($AL472="","",$AL472&amp;"|"&amp;COUNTIF($AL$11:$AL472,$AL472))</f>
        <v/>
      </c>
    </row>
    <row r="473" spans="2:53" ht="15" customHeight="1" x14ac:dyDescent="0.25">
      <c r="B473" s="5" t="str">
        <f t="shared" si="92"/>
        <v/>
      </c>
      <c r="C473" s="5"/>
      <c r="D473" s="5"/>
      <c r="E473" s="5"/>
      <c r="F473" s="6"/>
      <c r="G473" s="6"/>
      <c r="H473" s="7"/>
      <c r="I473" s="8"/>
      <c r="W473" s="14" t="str">
        <f>IF(X473="","",IFERROR(INDEX($AL$11:$AL$4010,MATCH(463,$AY$11:$AY$4010,0)),""))</f>
        <v/>
      </c>
      <c r="X473" s="12" t="str">
        <f>IFERROR(INDEX($AM$11:$AM$4010,MATCH(463,$AY$11:$AY$4010,0)),"")</f>
        <v/>
      </c>
      <c r="Y473" s="11" t="str">
        <f>IF(X473="","",IFERROR(INDEX($AN$11:$AN$4010,MATCH(463,$AY$11:$AY$4010,0)),""))</f>
        <v/>
      </c>
      <c r="Z473" s="11" t="str">
        <f>IF(X473="","",IFERROR(INDEX($AO$11:$AO$4010,MATCH(463,$AY$11:$AY$4010,0)),""))</f>
        <v/>
      </c>
      <c r="AA473" s="10" t="str">
        <f>IF(X473="","",IFERROR(INDEX($AQ$11:$AQ$4010,MATCH(463,$AY$11:$AY$4010,0)),""))</f>
        <v/>
      </c>
      <c r="AB473" s="15" t="str">
        <f>IF(X473="","",IFERROR(INDEX($AR$11:$AR$4010,MATCH(463,$AY$11:$AY$4010,0)),""))</f>
        <v/>
      </c>
      <c r="AD473" s="16" t="str">
        <f>IF(AE473="","",IFERROR(INDEX($AL$11:$AL$4010,MATCH(463,$AZ$11:$AZ$4010,0)),""))</f>
        <v/>
      </c>
      <c r="AE473" s="12" t="str">
        <f>IFERROR(INDEX($AM$11:$AM$4010,MATCH(463,$AZ$11:$AZ$4010,0)),"")</f>
        <v/>
      </c>
      <c r="AF473" s="11" t="str">
        <f>IF(AE473="","",IFERROR(INDEX($AN$11:$AN$4010,MATCH(463,$AZ$11:$AZ$4010,0)),""))</f>
        <v/>
      </c>
      <c r="AG473" s="11" t="str">
        <f>IF(AE473="","",IFERROR(INDEX($AO$11:$AO$4010,MATCH(463,$AZ$11:$AZ$4010,0)),""))</f>
        <v/>
      </c>
      <c r="AH473" s="10" t="str">
        <f>IF(AE473="","",IFERROR(INDEX($AQ$11:$AQ$4010,MATCH(463,$AZ$11:$AZ$4010,0)),""))</f>
        <v/>
      </c>
      <c r="AI473" s="15" t="str">
        <f>IF(AE473="","",IFERROR(INDEX($AR$11:$AR$4010,MATCH(463,$AZ$11:$AZ$4010,0)),""))</f>
        <v/>
      </c>
      <c r="AJ473" s="15" t="str">
        <f>IF(AE473="","",IFERROR(INDEX($AT$11:$AT$4010,MATCH(463,$AZ$11:$AZ$4010,0)),""))</f>
        <v/>
      </c>
      <c r="AL473" s="17" t="str">
        <f t="shared" si="93"/>
        <v/>
      </c>
      <c r="AM473" s="12" t="str">
        <f t="shared" si="94"/>
        <v/>
      </c>
      <c r="AN473" s="18" t="str">
        <f t="shared" si="95"/>
        <v/>
      </c>
      <c r="AO473" s="18" t="str">
        <f t="shared" si="96"/>
        <v/>
      </c>
      <c r="AP473" s="10" t="str">
        <f t="shared" si="97"/>
        <v/>
      </c>
      <c r="AQ473" s="10" t="str">
        <f t="shared" si="98"/>
        <v/>
      </c>
      <c r="AR473" s="19" t="str">
        <f t="shared" si="99"/>
        <v/>
      </c>
      <c r="AS473" s="20"/>
      <c r="AT473" s="19"/>
      <c r="AV473" s="21">
        <f>IF(AND($AL473&lt;&gt;"",COUNTIF($AL$11:$AL473,$AL473)=1),1,0)</f>
        <v>0</v>
      </c>
      <c r="AW473" s="21">
        <f t="shared" si="101"/>
        <v>0</v>
      </c>
      <c r="AX473" s="21" t="str">
        <f t="shared" si="100"/>
        <v/>
      </c>
      <c r="AY473" s="21" t="str">
        <f>IF(AND($AM473&lt;&gt;"",$AS473&lt;&gt;"✓"),SUMPRODUCT(($AM$11:$AM473&lt;&gt;"")*($AS$11:$AS473&lt;&gt;"✓")),"")</f>
        <v/>
      </c>
      <c r="AZ473" s="21" t="str">
        <f>IF(AND($AM473&lt;&gt;"",$AS473="✓"),SUMPRODUCT(($AM$11:$AM473&lt;&gt;"")*($AS$11:$AS473="✓")),"")</f>
        <v/>
      </c>
      <c r="BA473" s="21" t="str">
        <f>IF($AL473="","",$AL473&amp;"|"&amp;COUNTIF($AL$11:$AL473,$AL473))</f>
        <v/>
      </c>
    </row>
    <row r="474" spans="2:53" ht="15" customHeight="1" x14ac:dyDescent="0.25">
      <c r="B474" s="5" t="str">
        <f t="shared" si="92"/>
        <v/>
      </c>
      <c r="C474" s="5"/>
      <c r="D474" s="5"/>
      <c r="E474" s="5"/>
      <c r="F474" s="6"/>
      <c r="G474" s="6"/>
      <c r="H474" s="7"/>
      <c r="I474" s="8"/>
      <c r="W474" s="28" t="str">
        <f>IF(X474="","",IFERROR(INDEX($AL$11:$AL$4010,MATCH(464,$AY$11:$AY$4010,0)),""))</f>
        <v/>
      </c>
      <c r="X474" s="26" t="str">
        <f>IFERROR(INDEX($AM$11:$AM$4010,MATCH(464,$AY$11:$AY$4010,0)),"")</f>
        <v/>
      </c>
      <c r="Y474" s="25" t="str">
        <f>IF(X474="","",IFERROR(INDEX($AN$11:$AN$4010,MATCH(464,$AY$11:$AY$4010,0)),""))</f>
        <v/>
      </c>
      <c r="Z474" s="25" t="str">
        <f>IF(X474="","",IFERROR(INDEX($AO$11:$AO$4010,MATCH(464,$AY$11:$AY$4010,0)),""))</f>
        <v/>
      </c>
      <c r="AA474" s="24" t="str">
        <f>IF(X474="","",IFERROR(INDEX($AQ$11:$AQ$4010,MATCH(464,$AY$11:$AY$4010,0)),""))</f>
        <v/>
      </c>
      <c r="AB474" s="29" t="str">
        <f>IF(X474="","",IFERROR(INDEX($AR$11:$AR$4010,MATCH(464,$AY$11:$AY$4010,0)),""))</f>
        <v/>
      </c>
      <c r="AD474" s="30" t="str">
        <f>IF(AE474="","",IFERROR(INDEX($AL$11:$AL$4010,MATCH(464,$AZ$11:$AZ$4010,0)),""))</f>
        <v/>
      </c>
      <c r="AE474" s="26" t="str">
        <f>IFERROR(INDEX($AM$11:$AM$4010,MATCH(464,$AZ$11:$AZ$4010,0)),"")</f>
        <v/>
      </c>
      <c r="AF474" s="25" t="str">
        <f>IF(AE474="","",IFERROR(INDEX($AN$11:$AN$4010,MATCH(464,$AZ$11:$AZ$4010,0)),""))</f>
        <v/>
      </c>
      <c r="AG474" s="25" t="str">
        <f>IF(AE474="","",IFERROR(INDEX($AO$11:$AO$4010,MATCH(464,$AZ$11:$AZ$4010,0)),""))</f>
        <v/>
      </c>
      <c r="AH474" s="24" t="str">
        <f>IF(AE474="","",IFERROR(INDEX($AQ$11:$AQ$4010,MATCH(464,$AZ$11:$AZ$4010,0)),""))</f>
        <v/>
      </c>
      <c r="AI474" s="29" t="str">
        <f>IF(AE474="","",IFERROR(INDEX($AR$11:$AR$4010,MATCH(464,$AZ$11:$AZ$4010,0)),""))</f>
        <v/>
      </c>
      <c r="AJ474" s="29" t="str">
        <f>IF(AE474="","",IFERROR(INDEX($AT$11:$AT$4010,MATCH(464,$AZ$11:$AZ$4010,0)),""))</f>
        <v/>
      </c>
      <c r="AL474" s="31" t="str">
        <f t="shared" si="93"/>
        <v/>
      </c>
      <c r="AM474" s="26" t="str">
        <f t="shared" si="94"/>
        <v/>
      </c>
      <c r="AN474" s="32" t="str">
        <f t="shared" si="95"/>
        <v/>
      </c>
      <c r="AO474" s="32" t="str">
        <f t="shared" si="96"/>
        <v/>
      </c>
      <c r="AP474" s="24" t="str">
        <f t="shared" si="97"/>
        <v/>
      </c>
      <c r="AQ474" s="24" t="str">
        <f t="shared" si="98"/>
        <v/>
      </c>
      <c r="AR474" s="33" t="str">
        <f t="shared" si="99"/>
        <v/>
      </c>
      <c r="AS474" s="34"/>
      <c r="AT474" s="33"/>
      <c r="AV474" s="21">
        <f>IF(AND($AL474&lt;&gt;"",COUNTIF($AL$11:$AL474,$AL474)=1),1,0)</f>
        <v>0</v>
      </c>
      <c r="AW474" s="21">
        <f t="shared" si="101"/>
        <v>0</v>
      </c>
      <c r="AX474" s="21" t="str">
        <f t="shared" si="100"/>
        <v/>
      </c>
      <c r="AY474" s="21" t="str">
        <f>IF(AND($AM474&lt;&gt;"",$AS474&lt;&gt;"✓"),SUMPRODUCT(($AM$11:$AM474&lt;&gt;"")*($AS$11:$AS474&lt;&gt;"✓")),"")</f>
        <v/>
      </c>
      <c r="AZ474" s="21" t="str">
        <f>IF(AND($AM474&lt;&gt;"",$AS474="✓"),SUMPRODUCT(($AM$11:$AM474&lt;&gt;"")*($AS$11:$AS474="✓")),"")</f>
        <v/>
      </c>
      <c r="BA474" s="21" t="str">
        <f>IF($AL474="","",$AL474&amp;"|"&amp;COUNTIF($AL$11:$AL474,$AL474))</f>
        <v/>
      </c>
    </row>
    <row r="475" spans="2:53" ht="15" customHeight="1" x14ac:dyDescent="0.25">
      <c r="B475" s="5" t="str">
        <f t="shared" si="92"/>
        <v/>
      </c>
      <c r="C475" s="5"/>
      <c r="D475" s="5"/>
      <c r="E475" s="5"/>
      <c r="F475" s="6"/>
      <c r="G475" s="6"/>
      <c r="H475" s="7"/>
      <c r="I475" s="8"/>
      <c r="W475" s="14" t="str">
        <f>IF(X475="","",IFERROR(INDEX($AL$11:$AL$4010,MATCH(465,$AY$11:$AY$4010,0)),""))</f>
        <v/>
      </c>
      <c r="X475" s="12" t="str">
        <f>IFERROR(INDEX($AM$11:$AM$4010,MATCH(465,$AY$11:$AY$4010,0)),"")</f>
        <v/>
      </c>
      <c r="Y475" s="11" t="str">
        <f>IF(X475="","",IFERROR(INDEX($AN$11:$AN$4010,MATCH(465,$AY$11:$AY$4010,0)),""))</f>
        <v/>
      </c>
      <c r="Z475" s="11" t="str">
        <f>IF(X475="","",IFERROR(INDEX($AO$11:$AO$4010,MATCH(465,$AY$11:$AY$4010,0)),""))</f>
        <v/>
      </c>
      <c r="AA475" s="10" t="str">
        <f>IF(X475="","",IFERROR(INDEX($AQ$11:$AQ$4010,MATCH(465,$AY$11:$AY$4010,0)),""))</f>
        <v/>
      </c>
      <c r="AB475" s="15" t="str">
        <f>IF(X475="","",IFERROR(INDEX($AR$11:$AR$4010,MATCH(465,$AY$11:$AY$4010,0)),""))</f>
        <v/>
      </c>
      <c r="AD475" s="16" t="str">
        <f>IF(AE475="","",IFERROR(INDEX($AL$11:$AL$4010,MATCH(465,$AZ$11:$AZ$4010,0)),""))</f>
        <v/>
      </c>
      <c r="AE475" s="12" t="str">
        <f>IFERROR(INDEX($AM$11:$AM$4010,MATCH(465,$AZ$11:$AZ$4010,0)),"")</f>
        <v/>
      </c>
      <c r="AF475" s="11" t="str">
        <f>IF(AE475="","",IFERROR(INDEX($AN$11:$AN$4010,MATCH(465,$AZ$11:$AZ$4010,0)),""))</f>
        <v/>
      </c>
      <c r="AG475" s="11" t="str">
        <f>IF(AE475="","",IFERROR(INDEX($AO$11:$AO$4010,MATCH(465,$AZ$11:$AZ$4010,0)),""))</f>
        <v/>
      </c>
      <c r="AH475" s="10" t="str">
        <f>IF(AE475="","",IFERROR(INDEX($AQ$11:$AQ$4010,MATCH(465,$AZ$11:$AZ$4010,0)),""))</f>
        <v/>
      </c>
      <c r="AI475" s="15" t="str">
        <f>IF(AE475="","",IFERROR(INDEX($AR$11:$AR$4010,MATCH(465,$AZ$11:$AZ$4010,0)),""))</f>
        <v/>
      </c>
      <c r="AJ475" s="15" t="str">
        <f>IF(AE475="","",IFERROR(INDEX($AT$11:$AT$4010,MATCH(465,$AZ$11:$AZ$4010,0)),""))</f>
        <v/>
      </c>
      <c r="AL475" s="17" t="str">
        <f t="shared" si="93"/>
        <v/>
      </c>
      <c r="AM475" s="12" t="str">
        <f t="shared" si="94"/>
        <v/>
      </c>
      <c r="AN475" s="18" t="str">
        <f t="shared" si="95"/>
        <v/>
      </c>
      <c r="AO475" s="18" t="str">
        <f t="shared" si="96"/>
        <v/>
      </c>
      <c r="AP475" s="10" t="str">
        <f t="shared" si="97"/>
        <v/>
      </c>
      <c r="AQ475" s="10" t="str">
        <f t="shared" si="98"/>
        <v/>
      </c>
      <c r="AR475" s="19" t="str">
        <f t="shared" si="99"/>
        <v/>
      </c>
      <c r="AS475" s="20"/>
      <c r="AT475" s="19"/>
      <c r="AV475" s="21">
        <f>IF(AND($AL475&lt;&gt;"",COUNTIF($AL$11:$AL475,$AL475)=1),1,0)</f>
        <v>0</v>
      </c>
      <c r="AW475" s="21">
        <f t="shared" si="101"/>
        <v>0</v>
      </c>
      <c r="AX475" s="21" t="str">
        <f t="shared" si="100"/>
        <v/>
      </c>
      <c r="AY475" s="21" t="str">
        <f>IF(AND($AM475&lt;&gt;"",$AS475&lt;&gt;"✓"),SUMPRODUCT(($AM$11:$AM475&lt;&gt;"")*($AS$11:$AS475&lt;&gt;"✓")),"")</f>
        <v/>
      </c>
      <c r="AZ475" s="21" t="str">
        <f>IF(AND($AM475&lt;&gt;"",$AS475="✓"),SUMPRODUCT(($AM$11:$AM475&lt;&gt;"")*($AS$11:$AS475="✓")),"")</f>
        <v/>
      </c>
      <c r="BA475" s="21" t="str">
        <f>IF($AL475="","",$AL475&amp;"|"&amp;COUNTIF($AL$11:$AL475,$AL475))</f>
        <v/>
      </c>
    </row>
    <row r="476" spans="2:53" ht="15" customHeight="1" x14ac:dyDescent="0.25">
      <c r="B476" s="5" t="str">
        <f t="shared" si="92"/>
        <v/>
      </c>
      <c r="C476" s="5"/>
      <c r="D476" s="5"/>
      <c r="E476" s="5"/>
      <c r="F476" s="6"/>
      <c r="G476" s="6"/>
      <c r="H476" s="7"/>
      <c r="I476" s="8"/>
      <c r="W476" s="28" t="str">
        <f>IF(X476="","",IFERROR(INDEX($AL$11:$AL$4010,MATCH(466,$AY$11:$AY$4010,0)),""))</f>
        <v/>
      </c>
      <c r="X476" s="26" t="str">
        <f>IFERROR(INDEX($AM$11:$AM$4010,MATCH(466,$AY$11:$AY$4010,0)),"")</f>
        <v/>
      </c>
      <c r="Y476" s="25" t="str">
        <f>IF(X476="","",IFERROR(INDEX($AN$11:$AN$4010,MATCH(466,$AY$11:$AY$4010,0)),""))</f>
        <v/>
      </c>
      <c r="Z476" s="25" t="str">
        <f>IF(X476="","",IFERROR(INDEX($AO$11:$AO$4010,MATCH(466,$AY$11:$AY$4010,0)),""))</f>
        <v/>
      </c>
      <c r="AA476" s="24" t="str">
        <f>IF(X476="","",IFERROR(INDEX($AQ$11:$AQ$4010,MATCH(466,$AY$11:$AY$4010,0)),""))</f>
        <v/>
      </c>
      <c r="AB476" s="29" t="str">
        <f>IF(X476="","",IFERROR(INDEX($AR$11:$AR$4010,MATCH(466,$AY$11:$AY$4010,0)),""))</f>
        <v/>
      </c>
      <c r="AD476" s="30" t="str">
        <f>IF(AE476="","",IFERROR(INDEX($AL$11:$AL$4010,MATCH(466,$AZ$11:$AZ$4010,0)),""))</f>
        <v/>
      </c>
      <c r="AE476" s="26" t="str">
        <f>IFERROR(INDEX($AM$11:$AM$4010,MATCH(466,$AZ$11:$AZ$4010,0)),"")</f>
        <v/>
      </c>
      <c r="AF476" s="25" t="str">
        <f>IF(AE476="","",IFERROR(INDEX($AN$11:$AN$4010,MATCH(466,$AZ$11:$AZ$4010,0)),""))</f>
        <v/>
      </c>
      <c r="AG476" s="25" t="str">
        <f>IF(AE476="","",IFERROR(INDEX($AO$11:$AO$4010,MATCH(466,$AZ$11:$AZ$4010,0)),""))</f>
        <v/>
      </c>
      <c r="AH476" s="24" t="str">
        <f>IF(AE476="","",IFERROR(INDEX($AQ$11:$AQ$4010,MATCH(466,$AZ$11:$AZ$4010,0)),""))</f>
        <v/>
      </c>
      <c r="AI476" s="29" t="str">
        <f>IF(AE476="","",IFERROR(INDEX($AR$11:$AR$4010,MATCH(466,$AZ$11:$AZ$4010,0)),""))</f>
        <v/>
      </c>
      <c r="AJ476" s="29" t="str">
        <f>IF(AE476="","",IFERROR(INDEX($AT$11:$AT$4010,MATCH(466,$AZ$11:$AZ$4010,0)),""))</f>
        <v/>
      </c>
      <c r="AL476" s="31" t="str">
        <f t="shared" si="93"/>
        <v/>
      </c>
      <c r="AM476" s="26" t="str">
        <f t="shared" si="94"/>
        <v/>
      </c>
      <c r="AN476" s="32" t="str">
        <f t="shared" si="95"/>
        <v/>
      </c>
      <c r="AO476" s="32" t="str">
        <f t="shared" si="96"/>
        <v/>
      </c>
      <c r="AP476" s="24" t="str">
        <f t="shared" si="97"/>
        <v/>
      </c>
      <c r="AQ476" s="24" t="str">
        <f t="shared" si="98"/>
        <v/>
      </c>
      <c r="AR476" s="33" t="str">
        <f t="shared" si="99"/>
        <v/>
      </c>
      <c r="AS476" s="34"/>
      <c r="AT476" s="33"/>
      <c r="AV476" s="21">
        <f>IF(AND($AL476&lt;&gt;"",COUNTIF($AL$11:$AL476,$AL476)=1),1,0)</f>
        <v>0</v>
      </c>
      <c r="AW476" s="21">
        <f t="shared" si="101"/>
        <v>0</v>
      </c>
      <c r="AX476" s="21" t="str">
        <f t="shared" si="100"/>
        <v/>
      </c>
      <c r="AY476" s="21" t="str">
        <f>IF(AND($AM476&lt;&gt;"",$AS476&lt;&gt;"✓"),SUMPRODUCT(($AM$11:$AM476&lt;&gt;"")*($AS$11:$AS476&lt;&gt;"✓")),"")</f>
        <v/>
      </c>
      <c r="AZ476" s="21" t="str">
        <f>IF(AND($AM476&lt;&gt;"",$AS476="✓"),SUMPRODUCT(($AM$11:$AM476&lt;&gt;"")*($AS$11:$AS476="✓")),"")</f>
        <v/>
      </c>
      <c r="BA476" s="21" t="str">
        <f>IF($AL476="","",$AL476&amp;"|"&amp;COUNTIF($AL$11:$AL476,$AL476))</f>
        <v/>
      </c>
    </row>
    <row r="477" spans="2:53" ht="15" customHeight="1" x14ac:dyDescent="0.25">
      <c r="B477" s="5" t="str">
        <f t="shared" si="92"/>
        <v/>
      </c>
      <c r="C477" s="5"/>
      <c r="D477" s="5"/>
      <c r="E477" s="5"/>
      <c r="F477" s="6"/>
      <c r="G477" s="6"/>
      <c r="H477" s="7"/>
      <c r="I477" s="8"/>
      <c r="W477" s="14" t="str">
        <f>IF(X477="","",IFERROR(INDEX($AL$11:$AL$4010,MATCH(467,$AY$11:$AY$4010,0)),""))</f>
        <v/>
      </c>
      <c r="X477" s="12" t="str">
        <f>IFERROR(INDEX($AM$11:$AM$4010,MATCH(467,$AY$11:$AY$4010,0)),"")</f>
        <v/>
      </c>
      <c r="Y477" s="11" t="str">
        <f>IF(X477="","",IFERROR(INDEX($AN$11:$AN$4010,MATCH(467,$AY$11:$AY$4010,0)),""))</f>
        <v/>
      </c>
      <c r="Z477" s="11" t="str">
        <f>IF(X477="","",IFERROR(INDEX($AO$11:$AO$4010,MATCH(467,$AY$11:$AY$4010,0)),""))</f>
        <v/>
      </c>
      <c r="AA477" s="10" t="str">
        <f>IF(X477="","",IFERROR(INDEX($AQ$11:$AQ$4010,MATCH(467,$AY$11:$AY$4010,0)),""))</f>
        <v/>
      </c>
      <c r="AB477" s="15" t="str">
        <f>IF(X477="","",IFERROR(INDEX($AR$11:$AR$4010,MATCH(467,$AY$11:$AY$4010,0)),""))</f>
        <v/>
      </c>
      <c r="AD477" s="16" t="str">
        <f>IF(AE477="","",IFERROR(INDEX($AL$11:$AL$4010,MATCH(467,$AZ$11:$AZ$4010,0)),""))</f>
        <v/>
      </c>
      <c r="AE477" s="12" t="str">
        <f>IFERROR(INDEX($AM$11:$AM$4010,MATCH(467,$AZ$11:$AZ$4010,0)),"")</f>
        <v/>
      </c>
      <c r="AF477" s="11" t="str">
        <f>IF(AE477="","",IFERROR(INDEX($AN$11:$AN$4010,MATCH(467,$AZ$11:$AZ$4010,0)),""))</f>
        <v/>
      </c>
      <c r="AG477" s="11" t="str">
        <f>IF(AE477="","",IFERROR(INDEX($AO$11:$AO$4010,MATCH(467,$AZ$11:$AZ$4010,0)),""))</f>
        <v/>
      </c>
      <c r="AH477" s="10" t="str">
        <f>IF(AE477="","",IFERROR(INDEX($AQ$11:$AQ$4010,MATCH(467,$AZ$11:$AZ$4010,0)),""))</f>
        <v/>
      </c>
      <c r="AI477" s="15" t="str">
        <f>IF(AE477="","",IFERROR(INDEX($AR$11:$AR$4010,MATCH(467,$AZ$11:$AZ$4010,0)),""))</f>
        <v/>
      </c>
      <c r="AJ477" s="15" t="str">
        <f>IF(AE477="","",IFERROR(INDEX($AT$11:$AT$4010,MATCH(467,$AZ$11:$AZ$4010,0)),""))</f>
        <v/>
      </c>
      <c r="AL477" s="17" t="str">
        <f t="shared" si="93"/>
        <v/>
      </c>
      <c r="AM477" s="12" t="str">
        <f t="shared" si="94"/>
        <v/>
      </c>
      <c r="AN477" s="18" t="str">
        <f t="shared" si="95"/>
        <v/>
      </c>
      <c r="AO477" s="18" t="str">
        <f t="shared" si="96"/>
        <v/>
      </c>
      <c r="AP477" s="10" t="str">
        <f t="shared" si="97"/>
        <v/>
      </c>
      <c r="AQ477" s="10" t="str">
        <f t="shared" si="98"/>
        <v/>
      </c>
      <c r="AR477" s="19" t="str">
        <f t="shared" si="99"/>
        <v/>
      </c>
      <c r="AS477" s="20"/>
      <c r="AT477" s="19"/>
      <c r="AV477" s="21">
        <f>IF(AND($AL477&lt;&gt;"",COUNTIF($AL$11:$AL477,$AL477)=1),1,0)</f>
        <v>0</v>
      </c>
      <c r="AW477" s="21">
        <f t="shared" si="101"/>
        <v>0</v>
      </c>
      <c r="AX477" s="21" t="str">
        <f t="shared" si="100"/>
        <v/>
      </c>
      <c r="AY477" s="21" t="str">
        <f>IF(AND($AM477&lt;&gt;"",$AS477&lt;&gt;"✓"),SUMPRODUCT(($AM$11:$AM477&lt;&gt;"")*($AS$11:$AS477&lt;&gt;"✓")),"")</f>
        <v/>
      </c>
      <c r="AZ477" s="21" t="str">
        <f>IF(AND($AM477&lt;&gt;"",$AS477="✓"),SUMPRODUCT(($AM$11:$AM477&lt;&gt;"")*($AS$11:$AS477="✓")),"")</f>
        <v/>
      </c>
      <c r="BA477" s="21" t="str">
        <f>IF($AL477="","",$AL477&amp;"|"&amp;COUNTIF($AL$11:$AL477,$AL477))</f>
        <v/>
      </c>
    </row>
    <row r="478" spans="2:53" ht="15" customHeight="1" x14ac:dyDescent="0.25">
      <c r="B478" s="5" t="str">
        <f t="shared" si="92"/>
        <v/>
      </c>
      <c r="C478" s="5"/>
      <c r="D478" s="5"/>
      <c r="E478" s="5"/>
      <c r="F478" s="6"/>
      <c r="G478" s="6"/>
      <c r="H478" s="7"/>
      <c r="I478" s="8"/>
      <c r="W478" s="28" t="str">
        <f>IF(X478="","",IFERROR(INDEX($AL$11:$AL$4010,MATCH(468,$AY$11:$AY$4010,0)),""))</f>
        <v/>
      </c>
      <c r="X478" s="26" t="str">
        <f>IFERROR(INDEX($AM$11:$AM$4010,MATCH(468,$AY$11:$AY$4010,0)),"")</f>
        <v/>
      </c>
      <c r="Y478" s="25" t="str">
        <f>IF(X478="","",IFERROR(INDEX($AN$11:$AN$4010,MATCH(468,$AY$11:$AY$4010,0)),""))</f>
        <v/>
      </c>
      <c r="Z478" s="25" t="str">
        <f>IF(X478="","",IFERROR(INDEX($AO$11:$AO$4010,MATCH(468,$AY$11:$AY$4010,0)),""))</f>
        <v/>
      </c>
      <c r="AA478" s="24" t="str">
        <f>IF(X478="","",IFERROR(INDEX($AQ$11:$AQ$4010,MATCH(468,$AY$11:$AY$4010,0)),""))</f>
        <v/>
      </c>
      <c r="AB478" s="29" t="str">
        <f>IF(X478="","",IFERROR(INDEX($AR$11:$AR$4010,MATCH(468,$AY$11:$AY$4010,0)),""))</f>
        <v/>
      </c>
      <c r="AD478" s="30" t="str">
        <f>IF(AE478="","",IFERROR(INDEX($AL$11:$AL$4010,MATCH(468,$AZ$11:$AZ$4010,0)),""))</f>
        <v/>
      </c>
      <c r="AE478" s="26" t="str">
        <f>IFERROR(INDEX($AM$11:$AM$4010,MATCH(468,$AZ$11:$AZ$4010,0)),"")</f>
        <v/>
      </c>
      <c r="AF478" s="25" t="str">
        <f>IF(AE478="","",IFERROR(INDEX($AN$11:$AN$4010,MATCH(468,$AZ$11:$AZ$4010,0)),""))</f>
        <v/>
      </c>
      <c r="AG478" s="25" t="str">
        <f>IF(AE478="","",IFERROR(INDEX($AO$11:$AO$4010,MATCH(468,$AZ$11:$AZ$4010,0)),""))</f>
        <v/>
      </c>
      <c r="AH478" s="24" t="str">
        <f>IF(AE478="","",IFERROR(INDEX($AQ$11:$AQ$4010,MATCH(468,$AZ$11:$AZ$4010,0)),""))</f>
        <v/>
      </c>
      <c r="AI478" s="29" t="str">
        <f>IF(AE478="","",IFERROR(INDEX($AR$11:$AR$4010,MATCH(468,$AZ$11:$AZ$4010,0)),""))</f>
        <v/>
      </c>
      <c r="AJ478" s="29" t="str">
        <f>IF(AE478="","",IFERROR(INDEX($AT$11:$AT$4010,MATCH(468,$AZ$11:$AZ$4010,0)),""))</f>
        <v/>
      </c>
      <c r="AL478" s="31" t="str">
        <f t="shared" si="93"/>
        <v/>
      </c>
      <c r="AM478" s="26" t="str">
        <f t="shared" si="94"/>
        <v/>
      </c>
      <c r="AN478" s="32" t="str">
        <f t="shared" si="95"/>
        <v/>
      </c>
      <c r="AO478" s="32" t="str">
        <f t="shared" si="96"/>
        <v/>
      </c>
      <c r="AP478" s="24" t="str">
        <f t="shared" si="97"/>
        <v/>
      </c>
      <c r="AQ478" s="24" t="str">
        <f t="shared" si="98"/>
        <v/>
      </c>
      <c r="AR478" s="33" t="str">
        <f t="shared" si="99"/>
        <v/>
      </c>
      <c r="AS478" s="34"/>
      <c r="AT478" s="33"/>
      <c r="AV478" s="21">
        <f>IF(AND($AL478&lt;&gt;"",COUNTIF($AL$11:$AL478,$AL478)=1),1,0)</f>
        <v>0</v>
      </c>
      <c r="AW478" s="21">
        <f t="shared" si="101"/>
        <v>0</v>
      </c>
      <c r="AX478" s="21" t="str">
        <f t="shared" si="100"/>
        <v/>
      </c>
      <c r="AY478" s="21" t="str">
        <f>IF(AND($AM478&lt;&gt;"",$AS478&lt;&gt;"✓"),SUMPRODUCT(($AM$11:$AM478&lt;&gt;"")*($AS$11:$AS478&lt;&gt;"✓")),"")</f>
        <v/>
      </c>
      <c r="AZ478" s="21" t="str">
        <f>IF(AND($AM478&lt;&gt;"",$AS478="✓"),SUMPRODUCT(($AM$11:$AM478&lt;&gt;"")*($AS$11:$AS478="✓")),"")</f>
        <v/>
      </c>
      <c r="BA478" s="21" t="str">
        <f>IF($AL478="","",$AL478&amp;"|"&amp;COUNTIF($AL$11:$AL478,$AL478))</f>
        <v/>
      </c>
    </row>
    <row r="479" spans="2:53" ht="15" customHeight="1" x14ac:dyDescent="0.25">
      <c r="B479" s="5" t="str">
        <f t="shared" si="92"/>
        <v/>
      </c>
      <c r="C479" s="5"/>
      <c r="D479" s="5"/>
      <c r="E479" s="5"/>
      <c r="F479" s="6"/>
      <c r="G479" s="6"/>
      <c r="H479" s="7"/>
      <c r="I479" s="8"/>
      <c r="W479" s="14" t="str">
        <f>IF(X479="","",IFERROR(INDEX($AL$11:$AL$4010,MATCH(469,$AY$11:$AY$4010,0)),""))</f>
        <v/>
      </c>
      <c r="X479" s="12" t="str">
        <f>IFERROR(INDEX($AM$11:$AM$4010,MATCH(469,$AY$11:$AY$4010,0)),"")</f>
        <v/>
      </c>
      <c r="Y479" s="11" t="str">
        <f>IF(X479="","",IFERROR(INDEX($AN$11:$AN$4010,MATCH(469,$AY$11:$AY$4010,0)),""))</f>
        <v/>
      </c>
      <c r="Z479" s="11" t="str">
        <f>IF(X479="","",IFERROR(INDEX($AO$11:$AO$4010,MATCH(469,$AY$11:$AY$4010,0)),""))</f>
        <v/>
      </c>
      <c r="AA479" s="10" t="str">
        <f>IF(X479="","",IFERROR(INDEX($AQ$11:$AQ$4010,MATCH(469,$AY$11:$AY$4010,0)),""))</f>
        <v/>
      </c>
      <c r="AB479" s="15" t="str">
        <f>IF(X479="","",IFERROR(INDEX($AR$11:$AR$4010,MATCH(469,$AY$11:$AY$4010,0)),""))</f>
        <v/>
      </c>
      <c r="AD479" s="16" t="str">
        <f>IF(AE479="","",IFERROR(INDEX($AL$11:$AL$4010,MATCH(469,$AZ$11:$AZ$4010,0)),""))</f>
        <v/>
      </c>
      <c r="AE479" s="12" t="str">
        <f>IFERROR(INDEX($AM$11:$AM$4010,MATCH(469,$AZ$11:$AZ$4010,0)),"")</f>
        <v/>
      </c>
      <c r="AF479" s="11" t="str">
        <f>IF(AE479="","",IFERROR(INDEX($AN$11:$AN$4010,MATCH(469,$AZ$11:$AZ$4010,0)),""))</f>
        <v/>
      </c>
      <c r="AG479" s="11" t="str">
        <f>IF(AE479="","",IFERROR(INDEX($AO$11:$AO$4010,MATCH(469,$AZ$11:$AZ$4010,0)),""))</f>
        <v/>
      </c>
      <c r="AH479" s="10" t="str">
        <f>IF(AE479="","",IFERROR(INDEX($AQ$11:$AQ$4010,MATCH(469,$AZ$11:$AZ$4010,0)),""))</f>
        <v/>
      </c>
      <c r="AI479" s="15" t="str">
        <f>IF(AE479="","",IFERROR(INDEX($AR$11:$AR$4010,MATCH(469,$AZ$11:$AZ$4010,0)),""))</f>
        <v/>
      </c>
      <c r="AJ479" s="15" t="str">
        <f>IF(AE479="","",IFERROR(INDEX($AT$11:$AT$4010,MATCH(469,$AZ$11:$AZ$4010,0)),""))</f>
        <v/>
      </c>
      <c r="AL479" s="17" t="str">
        <f t="shared" si="93"/>
        <v/>
      </c>
      <c r="AM479" s="12" t="str">
        <f t="shared" si="94"/>
        <v/>
      </c>
      <c r="AN479" s="18" t="str">
        <f t="shared" si="95"/>
        <v/>
      </c>
      <c r="AO479" s="18" t="str">
        <f t="shared" si="96"/>
        <v/>
      </c>
      <c r="AP479" s="10" t="str">
        <f t="shared" si="97"/>
        <v/>
      </c>
      <c r="AQ479" s="10" t="str">
        <f t="shared" si="98"/>
        <v/>
      </c>
      <c r="AR479" s="19" t="str">
        <f t="shared" si="99"/>
        <v/>
      </c>
      <c r="AS479" s="20"/>
      <c r="AT479" s="19"/>
      <c r="AV479" s="21">
        <f>IF(AND($AL479&lt;&gt;"",COUNTIF($AL$11:$AL479,$AL479)=1),1,0)</f>
        <v>0</v>
      </c>
      <c r="AW479" s="21">
        <f t="shared" si="101"/>
        <v>0</v>
      </c>
      <c r="AX479" s="21" t="str">
        <f t="shared" si="100"/>
        <v/>
      </c>
      <c r="AY479" s="21" t="str">
        <f>IF(AND($AM479&lt;&gt;"",$AS479&lt;&gt;"✓"),SUMPRODUCT(($AM$11:$AM479&lt;&gt;"")*($AS$11:$AS479&lt;&gt;"✓")),"")</f>
        <v/>
      </c>
      <c r="AZ479" s="21" t="str">
        <f>IF(AND($AM479&lt;&gt;"",$AS479="✓"),SUMPRODUCT(($AM$11:$AM479&lt;&gt;"")*($AS$11:$AS479="✓")),"")</f>
        <v/>
      </c>
      <c r="BA479" s="21" t="str">
        <f>IF($AL479="","",$AL479&amp;"|"&amp;COUNTIF($AL$11:$AL479,$AL479))</f>
        <v/>
      </c>
    </row>
    <row r="480" spans="2:53" ht="15" customHeight="1" x14ac:dyDescent="0.25">
      <c r="B480" s="5" t="str">
        <f t="shared" si="92"/>
        <v/>
      </c>
      <c r="C480" s="5"/>
      <c r="D480" s="5"/>
      <c r="E480" s="5"/>
      <c r="F480" s="6"/>
      <c r="G480" s="6"/>
      <c r="H480" s="7"/>
      <c r="I480" s="8"/>
      <c r="W480" s="28" t="str">
        <f>IF(X480="","",IFERROR(INDEX($AL$11:$AL$4010,MATCH(470,$AY$11:$AY$4010,0)),""))</f>
        <v/>
      </c>
      <c r="X480" s="26" t="str">
        <f>IFERROR(INDEX($AM$11:$AM$4010,MATCH(470,$AY$11:$AY$4010,0)),"")</f>
        <v/>
      </c>
      <c r="Y480" s="25" t="str">
        <f>IF(X480="","",IFERROR(INDEX($AN$11:$AN$4010,MATCH(470,$AY$11:$AY$4010,0)),""))</f>
        <v/>
      </c>
      <c r="Z480" s="25" t="str">
        <f>IF(X480="","",IFERROR(INDEX($AO$11:$AO$4010,MATCH(470,$AY$11:$AY$4010,0)),""))</f>
        <v/>
      </c>
      <c r="AA480" s="24" t="str">
        <f>IF(X480="","",IFERROR(INDEX($AQ$11:$AQ$4010,MATCH(470,$AY$11:$AY$4010,0)),""))</f>
        <v/>
      </c>
      <c r="AB480" s="29" t="str">
        <f>IF(X480="","",IFERROR(INDEX($AR$11:$AR$4010,MATCH(470,$AY$11:$AY$4010,0)),""))</f>
        <v/>
      </c>
      <c r="AD480" s="30" t="str">
        <f>IF(AE480="","",IFERROR(INDEX($AL$11:$AL$4010,MATCH(470,$AZ$11:$AZ$4010,0)),""))</f>
        <v/>
      </c>
      <c r="AE480" s="26" t="str">
        <f>IFERROR(INDEX($AM$11:$AM$4010,MATCH(470,$AZ$11:$AZ$4010,0)),"")</f>
        <v/>
      </c>
      <c r="AF480" s="25" t="str">
        <f>IF(AE480="","",IFERROR(INDEX($AN$11:$AN$4010,MATCH(470,$AZ$11:$AZ$4010,0)),""))</f>
        <v/>
      </c>
      <c r="AG480" s="25" t="str">
        <f>IF(AE480="","",IFERROR(INDEX($AO$11:$AO$4010,MATCH(470,$AZ$11:$AZ$4010,0)),""))</f>
        <v/>
      </c>
      <c r="AH480" s="24" t="str">
        <f>IF(AE480="","",IFERROR(INDEX($AQ$11:$AQ$4010,MATCH(470,$AZ$11:$AZ$4010,0)),""))</f>
        <v/>
      </c>
      <c r="AI480" s="29" t="str">
        <f>IF(AE480="","",IFERROR(INDEX($AR$11:$AR$4010,MATCH(470,$AZ$11:$AZ$4010,0)),""))</f>
        <v/>
      </c>
      <c r="AJ480" s="29" t="str">
        <f>IF(AE480="","",IFERROR(INDEX($AT$11:$AT$4010,MATCH(470,$AZ$11:$AZ$4010,0)),""))</f>
        <v/>
      </c>
      <c r="AL480" s="31" t="str">
        <f t="shared" si="93"/>
        <v/>
      </c>
      <c r="AM480" s="26" t="str">
        <f t="shared" si="94"/>
        <v/>
      </c>
      <c r="AN480" s="32" t="str">
        <f t="shared" si="95"/>
        <v/>
      </c>
      <c r="AO480" s="32" t="str">
        <f t="shared" si="96"/>
        <v/>
      </c>
      <c r="AP480" s="24" t="str">
        <f t="shared" si="97"/>
        <v/>
      </c>
      <c r="AQ480" s="24" t="str">
        <f t="shared" si="98"/>
        <v/>
      </c>
      <c r="AR480" s="33" t="str">
        <f t="shared" si="99"/>
        <v/>
      </c>
      <c r="AS480" s="34"/>
      <c r="AT480" s="33"/>
      <c r="AV480" s="21">
        <f>IF(AND($AL480&lt;&gt;"",COUNTIF($AL$11:$AL480,$AL480)=1),1,0)</f>
        <v>0</v>
      </c>
      <c r="AW480" s="21">
        <f t="shared" si="101"/>
        <v>0</v>
      </c>
      <c r="AX480" s="21" t="str">
        <f t="shared" si="100"/>
        <v/>
      </c>
      <c r="AY480" s="21" t="str">
        <f>IF(AND($AM480&lt;&gt;"",$AS480&lt;&gt;"✓"),SUMPRODUCT(($AM$11:$AM480&lt;&gt;"")*($AS$11:$AS480&lt;&gt;"✓")),"")</f>
        <v/>
      </c>
      <c r="AZ480" s="21" t="str">
        <f>IF(AND($AM480&lt;&gt;"",$AS480="✓"),SUMPRODUCT(($AM$11:$AM480&lt;&gt;"")*($AS$11:$AS480="✓")),"")</f>
        <v/>
      </c>
      <c r="BA480" s="21" t="str">
        <f>IF($AL480="","",$AL480&amp;"|"&amp;COUNTIF($AL$11:$AL480,$AL480))</f>
        <v/>
      </c>
    </row>
    <row r="481" spans="2:53" ht="15" customHeight="1" x14ac:dyDescent="0.25">
      <c r="B481" s="5" t="str">
        <f t="shared" si="92"/>
        <v/>
      </c>
      <c r="C481" s="5"/>
      <c r="D481" s="5"/>
      <c r="E481" s="5"/>
      <c r="F481" s="6"/>
      <c r="G481" s="6"/>
      <c r="H481" s="7"/>
      <c r="I481" s="8"/>
      <c r="W481" s="14" t="str">
        <f>IF(X481="","",IFERROR(INDEX($AL$11:$AL$4010,MATCH(471,$AY$11:$AY$4010,0)),""))</f>
        <v/>
      </c>
      <c r="X481" s="12" t="str">
        <f>IFERROR(INDEX($AM$11:$AM$4010,MATCH(471,$AY$11:$AY$4010,0)),"")</f>
        <v/>
      </c>
      <c r="Y481" s="11" t="str">
        <f>IF(X481="","",IFERROR(INDEX($AN$11:$AN$4010,MATCH(471,$AY$11:$AY$4010,0)),""))</f>
        <v/>
      </c>
      <c r="Z481" s="11" t="str">
        <f>IF(X481="","",IFERROR(INDEX($AO$11:$AO$4010,MATCH(471,$AY$11:$AY$4010,0)),""))</f>
        <v/>
      </c>
      <c r="AA481" s="10" t="str">
        <f>IF(X481="","",IFERROR(INDEX($AQ$11:$AQ$4010,MATCH(471,$AY$11:$AY$4010,0)),""))</f>
        <v/>
      </c>
      <c r="AB481" s="15" t="str">
        <f>IF(X481="","",IFERROR(INDEX($AR$11:$AR$4010,MATCH(471,$AY$11:$AY$4010,0)),""))</f>
        <v/>
      </c>
      <c r="AD481" s="16" t="str">
        <f>IF(AE481="","",IFERROR(INDEX($AL$11:$AL$4010,MATCH(471,$AZ$11:$AZ$4010,0)),""))</f>
        <v/>
      </c>
      <c r="AE481" s="12" t="str">
        <f>IFERROR(INDEX($AM$11:$AM$4010,MATCH(471,$AZ$11:$AZ$4010,0)),"")</f>
        <v/>
      </c>
      <c r="AF481" s="11" t="str">
        <f>IF(AE481="","",IFERROR(INDEX($AN$11:$AN$4010,MATCH(471,$AZ$11:$AZ$4010,0)),""))</f>
        <v/>
      </c>
      <c r="AG481" s="11" t="str">
        <f>IF(AE481="","",IFERROR(INDEX($AO$11:$AO$4010,MATCH(471,$AZ$11:$AZ$4010,0)),""))</f>
        <v/>
      </c>
      <c r="AH481" s="10" t="str">
        <f>IF(AE481="","",IFERROR(INDEX($AQ$11:$AQ$4010,MATCH(471,$AZ$11:$AZ$4010,0)),""))</f>
        <v/>
      </c>
      <c r="AI481" s="15" t="str">
        <f>IF(AE481="","",IFERROR(INDEX($AR$11:$AR$4010,MATCH(471,$AZ$11:$AZ$4010,0)),""))</f>
        <v/>
      </c>
      <c r="AJ481" s="15" t="str">
        <f>IF(AE481="","",IFERROR(INDEX($AT$11:$AT$4010,MATCH(471,$AZ$11:$AZ$4010,0)),""))</f>
        <v/>
      </c>
      <c r="AL481" s="17" t="str">
        <f t="shared" si="93"/>
        <v/>
      </c>
      <c r="AM481" s="12" t="str">
        <f t="shared" si="94"/>
        <v/>
      </c>
      <c r="AN481" s="18" t="str">
        <f t="shared" si="95"/>
        <v/>
      </c>
      <c r="AO481" s="18" t="str">
        <f t="shared" si="96"/>
        <v/>
      </c>
      <c r="AP481" s="10" t="str">
        <f t="shared" si="97"/>
        <v/>
      </c>
      <c r="AQ481" s="10" t="str">
        <f t="shared" si="98"/>
        <v/>
      </c>
      <c r="AR481" s="19" t="str">
        <f t="shared" si="99"/>
        <v/>
      </c>
      <c r="AS481" s="20"/>
      <c r="AT481" s="19"/>
      <c r="AV481" s="21">
        <f>IF(AND($AL481&lt;&gt;"",COUNTIF($AL$11:$AL481,$AL481)=1),1,0)</f>
        <v>0</v>
      </c>
      <c r="AW481" s="21">
        <f t="shared" si="101"/>
        <v>0</v>
      </c>
      <c r="AX481" s="21" t="str">
        <f t="shared" si="100"/>
        <v/>
      </c>
      <c r="AY481" s="21" t="str">
        <f>IF(AND($AM481&lt;&gt;"",$AS481&lt;&gt;"✓"),SUMPRODUCT(($AM$11:$AM481&lt;&gt;"")*($AS$11:$AS481&lt;&gt;"✓")),"")</f>
        <v/>
      </c>
      <c r="AZ481" s="21" t="str">
        <f>IF(AND($AM481&lt;&gt;"",$AS481="✓"),SUMPRODUCT(($AM$11:$AM481&lt;&gt;"")*($AS$11:$AS481="✓")),"")</f>
        <v/>
      </c>
      <c r="BA481" s="21" t="str">
        <f>IF($AL481="","",$AL481&amp;"|"&amp;COUNTIF($AL$11:$AL481,$AL481))</f>
        <v/>
      </c>
    </row>
    <row r="482" spans="2:53" ht="15" customHeight="1" x14ac:dyDescent="0.25">
      <c r="B482" s="5" t="str">
        <f t="shared" si="92"/>
        <v/>
      </c>
      <c r="C482" s="5"/>
      <c r="D482" s="5"/>
      <c r="E482" s="5"/>
      <c r="F482" s="6"/>
      <c r="G482" s="6"/>
      <c r="H482" s="7"/>
      <c r="I482" s="8"/>
      <c r="W482" s="28" t="str">
        <f>IF(X482="","",IFERROR(INDEX($AL$11:$AL$4010,MATCH(472,$AY$11:$AY$4010,0)),""))</f>
        <v/>
      </c>
      <c r="X482" s="26" t="str">
        <f>IFERROR(INDEX($AM$11:$AM$4010,MATCH(472,$AY$11:$AY$4010,0)),"")</f>
        <v/>
      </c>
      <c r="Y482" s="25" t="str">
        <f>IF(X482="","",IFERROR(INDEX($AN$11:$AN$4010,MATCH(472,$AY$11:$AY$4010,0)),""))</f>
        <v/>
      </c>
      <c r="Z482" s="25" t="str">
        <f>IF(X482="","",IFERROR(INDEX($AO$11:$AO$4010,MATCH(472,$AY$11:$AY$4010,0)),""))</f>
        <v/>
      </c>
      <c r="AA482" s="24" t="str">
        <f>IF(X482="","",IFERROR(INDEX($AQ$11:$AQ$4010,MATCH(472,$AY$11:$AY$4010,0)),""))</f>
        <v/>
      </c>
      <c r="AB482" s="29" t="str">
        <f>IF(X482="","",IFERROR(INDEX($AR$11:$AR$4010,MATCH(472,$AY$11:$AY$4010,0)),""))</f>
        <v/>
      </c>
      <c r="AD482" s="30" t="str">
        <f>IF(AE482="","",IFERROR(INDEX($AL$11:$AL$4010,MATCH(472,$AZ$11:$AZ$4010,0)),""))</f>
        <v/>
      </c>
      <c r="AE482" s="26" t="str">
        <f>IFERROR(INDEX($AM$11:$AM$4010,MATCH(472,$AZ$11:$AZ$4010,0)),"")</f>
        <v/>
      </c>
      <c r="AF482" s="25" t="str">
        <f>IF(AE482="","",IFERROR(INDEX($AN$11:$AN$4010,MATCH(472,$AZ$11:$AZ$4010,0)),""))</f>
        <v/>
      </c>
      <c r="AG482" s="25" t="str">
        <f>IF(AE482="","",IFERROR(INDEX($AO$11:$AO$4010,MATCH(472,$AZ$11:$AZ$4010,0)),""))</f>
        <v/>
      </c>
      <c r="AH482" s="24" t="str">
        <f>IF(AE482="","",IFERROR(INDEX($AQ$11:$AQ$4010,MATCH(472,$AZ$11:$AZ$4010,0)),""))</f>
        <v/>
      </c>
      <c r="AI482" s="29" t="str">
        <f>IF(AE482="","",IFERROR(INDEX($AR$11:$AR$4010,MATCH(472,$AZ$11:$AZ$4010,0)),""))</f>
        <v/>
      </c>
      <c r="AJ482" s="29" t="str">
        <f>IF(AE482="","",IFERROR(INDEX($AT$11:$AT$4010,MATCH(472,$AZ$11:$AZ$4010,0)),""))</f>
        <v/>
      </c>
      <c r="AL482" s="31" t="str">
        <f t="shared" si="93"/>
        <v/>
      </c>
      <c r="AM482" s="26" t="str">
        <f t="shared" si="94"/>
        <v/>
      </c>
      <c r="AN482" s="32" t="str">
        <f t="shared" si="95"/>
        <v/>
      </c>
      <c r="AO482" s="32" t="str">
        <f t="shared" si="96"/>
        <v/>
      </c>
      <c r="AP482" s="24" t="str">
        <f t="shared" si="97"/>
        <v/>
      </c>
      <c r="AQ482" s="24" t="str">
        <f t="shared" si="98"/>
        <v/>
      </c>
      <c r="AR482" s="33" t="str">
        <f t="shared" si="99"/>
        <v/>
      </c>
      <c r="AS482" s="34"/>
      <c r="AT482" s="33"/>
      <c r="AV482" s="21">
        <f>IF(AND($AL482&lt;&gt;"",COUNTIF($AL$11:$AL482,$AL482)=1),1,0)</f>
        <v>0</v>
      </c>
      <c r="AW482" s="21">
        <f t="shared" si="101"/>
        <v>0</v>
      </c>
      <c r="AX482" s="21" t="str">
        <f t="shared" si="100"/>
        <v/>
      </c>
      <c r="AY482" s="21" t="str">
        <f>IF(AND($AM482&lt;&gt;"",$AS482&lt;&gt;"✓"),SUMPRODUCT(($AM$11:$AM482&lt;&gt;"")*($AS$11:$AS482&lt;&gt;"✓")),"")</f>
        <v/>
      </c>
      <c r="AZ482" s="21" t="str">
        <f>IF(AND($AM482&lt;&gt;"",$AS482="✓"),SUMPRODUCT(($AM$11:$AM482&lt;&gt;"")*($AS$11:$AS482="✓")),"")</f>
        <v/>
      </c>
      <c r="BA482" s="21" t="str">
        <f>IF($AL482="","",$AL482&amp;"|"&amp;COUNTIF($AL$11:$AL482,$AL482))</f>
        <v/>
      </c>
    </row>
    <row r="483" spans="2:53" ht="15" customHeight="1" x14ac:dyDescent="0.25">
      <c r="B483" s="5" t="str">
        <f t="shared" si="92"/>
        <v/>
      </c>
      <c r="C483" s="5"/>
      <c r="D483" s="5"/>
      <c r="E483" s="5"/>
      <c r="F483" s="6"/>
      <c r="G483" s="6"/>
      <c r="H483" s="7"/>
      <c r="I483" s="8"/>
      <c r="W483" s="14" t="str">
        <f>IF(X483="","",IFERROR(INDEX($AL$11:$AL$4010,MATCH(473,$AY$11:$AY$4010,0)),""))</f>
        <v/>
      </c>
      <c r="X483" s="12" t="str">
        <f>IFERROR(INDEX($AM$11:$AM$4010,MATCH(473,$AY$11:$AY$4010,0)),"")</f>
        <v/>
      </c>
      <c r="Y483" s="11" t="str">
        <f>IF(X483="","",IFERROR(INDEX($AN$11:$AN$4010,MATCH(473,$AY$11:$AY$4010,0)),""))</f>
        <v/>
      </c>
      <c r="Z483" s="11" t="str">
        <f>IF(X483="","",IFERROR(INDEX($AO$11:$AO$4010,MATCH(473,$AY$11:$AY$4010,0)),""))</f>
        <v/>
      </c>
      <c r="AA483" s="10" t="str">
        <f>IF(X483="","",IFERROR(INDEX($AQ$11:$AQ$4010,MATCH(473,$AY$11:$AY$4010,0)),""))</f>
        <v/>
      </c>
      <c r="AB483" s="15" t="str">
        <f>IF(X483="","",IFERROR(INDEX($AR$11:$AR$4010,MATCH(473,$AY$11:$AY$4010,0)),""))</f>
        <v/>
      </c>
      <c r="AD483" s="16" t="str">
        <f>IF(AE483="","",IFERROR(INDEX($AL$11:$AL$4010,MATCH(473,$AZ$11:$AZ$4010,0)),""))</f>
        <v/>
      </c>
      <c r="AE483" s="12" t="str">
        <f>IFERROR(INDEX($AM$11:$AM$4010,MATCH(473,$AZ$11:$AZ$4010,0)),"")</f>
        <v/>
      </c>
      <c r="AF483" s="11" t="str">
        <f>IF(AE483="","",IFERROR(INDEX($AN$11:$AN$4010,MATCH(473,$AZ$11:$AZ$4010,0)),""))</f>
        <v/>
      </c>
      <c r="AG483" s="11" t="str">
        <f>IF(AE483="","",IFERROR(INDEX($AO$11:$AO$4010,MATCH(473,$AZ$11:$AZ$4010,0)),""))</f>
        <v/>
      </c>
      <c r="AH483" s="10" t="str">
        <f>IF(AE483="","",IFERROR(INDEX($AQ$11:$AQ$4010,MATCH(473,$AZ$11:$AZ$4010,0)),""))</f>
        <v/>
      </c>
      <c r="AI483" s="15" t="str">
        <f>IF(AE483="","",IFERROR(INDEX($AR$11:$AR$4010,MATCH(473,$AZ$11:$AZ$4010,0)),""))</f>
        <v/>
      </c>
      <c r="AJ483" s="15" t="str">
        <f>IF(AE483="","",IFERROR(INDEX($AT$11:$AT$4010,MATCH(473,$AZ$11:$AZ$4010,0)),""))</f>
        <v/>
      </c>
      <c r="AL483" s="17" t="str">
        <f t="shared" si="93"/>
        <v/>
      </c>
      <c r="AM483" s="12" t="str">
        <f t="shared" si="94"/>
        <v/>
      </c>
      <c r="AN483" s="18" t="str">
        <f t="shared" si="95"/>
        <v/>
      </c>
      <c r="AO483" s="18" t="str">
        <f t="shared" si="96"/>
        <v/>
      </c>
      <c r="AP483" s="10" t="str">
        <f t="shared" si="97"/>
        <v/>
      </c>
      <c r="AQ483" s="10" t="str">
        <f t="shared" si="98"/>
        <v/>
      </c>
      <c r="AR483" s="19" t="str">
        <f t="shared" si="99"/>
        <v/>
      </c>
      <c r="AS483" s="20"/>
      <c r="AT483" s="19"/>
      <c r="AV483" s="21">
        <f>IF(AND($AL483&lt;&gt;"",COUNTIF($AL$11:$AL483,$AL483)=1),1,0)</f>
        <v>0</v>
      </c>
      <c r="AW483" s="21">
        <f t="shared" si="101"/>
        <v>0</v>
      </c>
      <c r="AX483" s="21" t="str">
        <f t="shared" si="100"/>
        <v/>
      </c>
      <c r="AY483" s="21" t="str">
        <f>IF(AND($AM483&lt;&gt;"",$AS483&lt;&gt;"✓"),SUMPRODUCT(($AM$11:$AM483&lt;&gt;"")*($AS$11:$AS483&lt;&gt;"✓")),"")</f>
        <v/>
      </c>
      <c r="AZ483" s="21" t="str">
        <f>IF(AND($AM483&lt;&gt;"",$AS483="✓"),SUMPRODUCT(($AM$11:$AM483&lt;&gt;"")*($AS$11:$AS483="✓")),"")</f>
        <v/>
      </c>
      <c r="BA483" s="21" t="str">
        <f>IF($AL483="","",$AL483&amp;"|"&amp;COUNTIF($AL$11:$AL483,$AL483))</f>
        <v/>
      </c>
    </row>
    <row r="484" spans="2:53" ht="15" customHeight="1" x14ac:dyDescent="0.25">
      <c r="B484" s="5" t="str">
        <f t="shared" si="92"/>
        <v/>
      </c>
      <c r="C484" s="5"/>
      <c r="D484" s="5"/>
      <c r="E484" s="5"/>
      <c r="F484" s="6"/>
      <c r="G484" s="6"/>
      <c r="H484" s="7"/>
      <c r="I484" s="8"/>
      <c r="W484" s="28" t="str">
        <f>IF(X484="","",IFERROR(INDEX($AL$11:$AL$4010,MATCH(474,$AY$11:$AY$4010,0)),""))</f>
        <v/>
      </c>
      <c r="X484" s="26" t="str">
        <f>IFERROR(INDEX($AM$11:$AM$4010,MATCH(474,$AY$11:$AY$4010,0)),"")</f>
        <v/>
      </c>
      <c r="Y484" s="25" t="str">
        <f>IF(X484="","",IFERROR(INDEX($AN$11:$AN$4010,MATCH(474,$AY$11:$AY$4010,0)),""))</f>
        <v/>
      </c>
      <c r="Z484" s="25" t="str">
        <f>IF(X484="","",IFERROR(INDEX($AO$11:$AO$4010,MATCH(474,$AY$11:$AY$4010,0)),""))</f>
        <v/>
      </c>
      <c r="AA484" s="24" t="str">
        <f>IF(X484="","",IFERROR(INDEX($AQ$11:$AQ$4010,MATCH(474,$AY$11:$AY$4010,0)),""))</f>
        <v/>
      </c>
      <c r="AB484" s="29" t="str">
        <f>IF(X484="","",IFERROR(INDEX($AR$11:$AR$4010,MATCH(474,$AY$11:$AY$4010,0)),""))</f>
        <v/>
      </c>
      <c r="AD484" s="30" t="str">
        <f>IF(AE484="","",IFERROR(INDEX($AL$11:$AL$4010,MATCH(474,$AZ$11:$AZ$4010,0)),""))</f>
        <v/>
      </c>
      <c r="AE484" s="26" t="str">
        <f>IFERROR(INDEX($AM$11:$AM$4010,MATCH(474,$AZ$11:$AZ$4010,0)),"")</f>
        <v/>
      </c>
      <c r="AF484" s="25" t="str">
        <f>IF(AE484="","",IFERROR(INDEX($AN$11:$AN$4010,MATCH(474,$AZ$11:$AZ$4010,0)),""))</f>
        <v/>
      </c>
      <c r="AG484" s="25" t="str">
        <f>IF(AE484="","",IFERROR(INDEX($AO$11:$AO$4010,MATCH(474,$AZ$11:$AZ$4010,0)),""))</f>
        <v/>
      </c>
      <c r="AH484" s="24" t="str">
        <f>IF(AE484="","",IFERROR(INDEX($AQ$11:$AQ$4010,MATCH(474,$AZ$11:$AZ$4010,0)),""))</f>
        <v/>
      </c>
      <c r="AI484" s="29" t="str">
        <f>IF(AE484="","",IFERROR(INDEX($AR$11:$AR$4010,MATCH(474,$AZ$11:$AZ$4010,0)),""))</f>
        <v/>
      </c>
      <c r="AJ484" s="29" t="str">
        <f>IF(AE484="","",IFERROR(INDEX($AT$11:$AT$4010,MATCH(474,$AZ$11:$AZ$4010,0)),""))</f>
        <v/>
      </c>
      <c r="AL484" s="31" t="str">
        <f t="shared" si="93"/>
        <v/>
      </c>
      <c r="AM484" s="26" t="str">
        <f t="shared" si="94"/>
        <v/>
      </c>
      <c r="AN484" s="32" t="str">
        <f t="shared" si="95"/>
        <v/>
      </c>
      <c r="AO484" s="32" t="str">
        <f t="shared" si="96"/>
        <v/>
      </c>
      <c r="AP484" s="24" t="str">
        <f t="shared" si="97"/>
        <v/>
      </c>
      <c r="AQ484" s="24" t="str">
        <f t="shared" si="98"/>
        <v/>
      </c>
      <c r="AR484" s="33" t="str">
        <f t="shared" si="99"/>
        <v/>
      </c>
      <c r="AS484" s="34"/>
      <c r="AT484" s="33"/>
      <c r="AV484" s="21">
        <f>IF(AND($AL484&lt;&gt;"",COUNTIF($AL$11:$AL484,$AL484)=1),1,0)</f>
        <v>0</v>
      </c>
      <c r="AW484" s="21">
        <f t="shared" si="101"/>
        <v>0</v>
      </c>
      <c r="AX484" s="21" t="str">
        <f t="shared" si="100"/>
        <v/>
      </c>
      <c r="AY484" s="21" t="str">
        <f>IF(AND($AM484&lt;&gt;"",$AS484&lt;&gt;"✓"),SUMPRODUCT(($AM$11:$AM484&lt;&gt;"")*($AS$11:$AS484&lt;&gt;"✓")),"")</f>
        <v/>
      </c>
      <c r="AZ484" s="21" t="str">
        <f>IF(AND($AM484&lt;&gt;"",$AS484="✓"),SUMPRODUCT(($AM$11:$AM484&lt;&gt;"")*($AS$11:$AS484="✓")),"")</f>
        <v/>
      </c>
      <c r="BA484" s="21" t="str">
        <f>IF($AL484="","",$AL484&amp;"|"&amp;COUNTIF($AL$11:$AL484,$AL484))</f>
        <v/>
      </c>
    </row>
    <row r="485" spans="2:53" ht="15" customHeight="1" x14ac:dyDescent="0.25">
      <c r="B485" s="5" t="str">
        <f t="shared" si="92"/>
        <v/>
      </c>
      <c r="C485" s="5"/>
      <c r="D485" s="5"/>
      <c r="E485" s="5"/>
      <c r="F485" s="6"/>
      <c r="G485" s="6"/>
      <c r="H485" s="7"/>
      <c r="I485" s="8"/>
      <c r="W485" s="14" t="str">
        <f>IF(X485="","",IFERROR(INDEX($AL$11:$AL$4010,MATCH(475,$AY$11:$AY$4010,0)),""))</f>
        <v/>
      </c>
      <c r="X485" s="12" t="str">
        <f>IFERROR(INDEX($AM$11:$AM$4010,MATCH(475,$AY$11:$AY$4010,0)),"")</f>
        <v/>
      </c>
      <c r="Y485" s="11" t="str">
        <f>IF(X485="","",IFERROR(INDEX($AN$11:$AN$4010,MATCH(475,$AY$11:$AY$4010,0)),""))</f>
        <v/>
      </c>
      <c r="Z485" s="11" t="str">
        <f>IF(X485="","",IFERROR(INDEX($AO$11:$AO$4010,MATCH(475,$AY$11:$AY$4010,0)),""))</f>
        <v/>
      </c>
      <c r="AA485" s="10" t="str">
        <f>IF(X485="","",IFERROR(INDEX($AQ$11:$AQ$4010,MATCH(475,$AY$11:$AY$4010,0)),""))</f>
        <v/>
      </c>
      <c r="AB485" s="15" t="str">
        <f>IF(X485="","",IFERROR(INDEX($AR$11:$AR$4010,MATCH(475,$AY$11:$AY$4010,0)),""))</f>
        <v/>
      </c>
      <c r="AD485" s="16" t="str">
        <f>IF(AE485="","",IFERROR(INDEX($AL$11:$AL$4010,MATCH(475,$AZ$11:$AZ$4010,0)),""))</f>
        <v/>
      </c>
      <c r="AE485" s="12" t="str">
        <f>IFERROR(INDEX($AM$11:$AM$4010,MATCH(475,$AZ$11:$AZ$4010,0)),"")</f>
        <v/>
      </c>
      <c r="AF485" s="11" t="str">
        <f>IF(AE485="","",IFERROR(INDEX($AN$11:$AN$4010,MATCH(475,$AZ$11:$AZ$4010,0)),""))</f>
        <v/>
      </c>
      <c r="AG485" s="11" t="str">
        <f>IF(AE485="","",IFERROR(INDEX($AO$11:$AO$4010,MATCH(475,$AZ$11:$AZ$4010,0)),""))</f>
        <v/>
      </c>
      <c r="AH485" s="10" t="str">
        <f>IF(AE485="","",IFERROR(INDEX($AQ$11:$AQ$4010,MATCH(475,$AZ$11:$AZ$4010,0)),""))</f>
        <v/>
      </c>
      <c r="AI485" s="15" t="str">
        <f>IF(AE485="","",IFERROR(INDEX($AR$11:$AR$4010,MATCH(475,$AZ$11:$AZ$4010,0)),""))</f>
        <v/>
      </c>
      <c r="AJ485" s="15" t="str">
        <f>IF(AE485="","",IFERROR(INDEX($AT$11:$AT$4010,MATCH(475,$AZ$11:$AZ$4010,0)),""))</f>
        <v/>
      </c>
      <c r="AL485" s="17" t="str">
        <f t="shared" si="93"/>
        <v/>
      </c>
      <c r="AM485" s="12" t="str">
        <f t="shared" si="94"/>
        <v/>
      </c>
      <c r="AN485" s="18" t="str">
        <f t="shared" si="95"/>
        <v/>
      </c>
      <c r="AO485" s="18" t="str">
        <f t="shared" si="96"/>
        <v/>
      </c>
      <c r="AP485" s="10" t="str">
        <f t="shared" si="97"/>
        <v/>
      </c>
      <c r="AQ485" s="10" t="str">
        <f t="shared" si="98"/>
        <v/>
      </c>
      <c r="AR485" s="19" t="str">
        <f t="shared" si="99"/>
        <v/>
      </c>
      <c r="AS485" s="20"/>
      <c r="AT485" s="19"/>
      <c r="AV485" s="21">
        <f>IF(AND($AL485&lt;&gt;"",COUNTIF($AL$11:$AL485,$AL485)=1),1,0)</f>
        <v>0</v>
      </c>
      <c r="AW485" s="21">
        <f t="shared" si="101"/>
        <v>0</v>
      </c>
      <c r="AX485" s="21" t="str">
        <f t="shared" si="100"/>
        <v/>
      </c>
      <c r="AY485" s="21" t="str">
        <f>IF(AND($AM485&lt;&gt;"",$AS485&lt;&gt;"✓"),SUMPRODUCT(($AM$11:$AM485&lt;&gt;"")*($AS$11:$AS485&lt;&gt;"✓")),"")</f>
        <v/>
      </c>
      <c r="AZ485" s="21" t="str">
        <f>IF(AND($AM485&lt;&gt;"",$AS485="✓"),SUMPRODUCT(($AM$11:$AM485&lt;&gt;"")*($AS$11:$AS485="✓")),"")</f>
        <v/>
      </c>
      <c r="BA485" s="21" t="str">
        <f>IF($AL485="","",$AL485&amp;"|"&amp;COUNTIF($AL$11:$AL485,$AL485))</f>
        <v/>
      </c>
    </row>
    <row r="486" spans="2:53" ht="15" customHeight="1" x14ac:dyDescent="0.25">
      <c r="B486" s="5" t="str">
        <f t="shared" si="92"/>
        <v/>
      </c>
      <c r="C486" s="5"/>
      <c r="D486" s="5"/>
      <c r="E486" s="5"/>
      <c r="F486" s="6"/>
      <c r="G486" s="6"/>
      <c r="H486" s="7"/>
      <c r="I486" s="8"/>
      <c r="W486" s="28" t="str">
        <f>IF(X486="","",IFERROR(INDEX($AL$11:$AL$4010,MATCH(476,$AY$11:$AY$4010,0)),""))</f>
        <v/>
      </c>
      <c r="X486" s="26" t="str">
        <f>IFERROR(INDEX($AM$11:$AM$4010,MATCH(476,$AY$11:$AY$4010,0)),"")</f>
        <v/>
      </c>
      <c r="Y486" s="25" t="str">
        <f>IF(X486="","",IFERROR(INDEX($AN$11:$AN$4010,MATCH(476,$AY$11:$AY$4010,0)),""))</f>
        <v/>
      </c>
      <c r="Z486" s="25" t="str">
        <f>IF(X486="","",IFERROR(INDEX($AO$11:$AO$4010,MATCH(476,$AY$11:$AY$4010,0)),""))</f>
        <v/>
      </c>
      <c r="AA486" s="24" t="str">
        <f>IF(X486="","",IFERROR(INDEX($AQ$11:$AQ$4010,MATCH(476,$AY$11:$AY$4010,0)),""))</f>
        <v/>
      </c>
      <c r="AB486" s="29" t="str">
        <f>IF(X486="","",IFERROR(INDEX($AR$11:$AR$4010,MATCH(476,$AY$11:$AY$4010,0)),""))</f>
        <v/>
      </c>
      <c r="AD486" s="30" t="str">
        <f>IF(AE486="","",IFERROR(INDEX($AL$11:$AL$4010,MATCH(476,$AZ$11:$AZ$4010,0)),""))</f>
        <v/>
      </c>
      <c r="AE486" s="26" t="str">
        <f>IFERROR(INDEX($AM$11:$AM$4010,MATCH(476,$AZ$11:$AZ$4010,0)),"")</f>
        <v/>
      </c>
      <c r="AF486" s="25" t="str">
        <f>IF(AE486="","",IFERROR(INDEX($AN$11:$AN$4010,MATCH(476,$AZ$11:$AZ$4010,0)),""))</f>
        <v/>
      </c>
      <c r="AG486" s="25" t="str">
        <f>IF(AE486="","",IFERROR(INDEX($AO$11:$AO$4010,MATCH(476,$AZ$11:$AZ$4010,0)),""))</f>
        <v/>
      </c>
      <c r="AH486" s="24" t="str">
        <f>IF(AE486="","",IFERROR(INDEX($AQ$11:$AQ$4010,MATCH(476,$AZ$11:$AZ$4010,0)),""))</f>
        <v/>
      </c>
      <c r="AI486" s="29" t="str">
        <f>IF(AE486="","",IFERROR(INDEX($AR$11:$AR$4010,MATCH(476,$AZ$11:$AZ$4010,0)),""))</f>
        <v/>
      </c>
      <c r="AJ486" s="29" t="str">
        <f>IF(AE486="","",IFERROR(INDEX($AT$11:$AT$4010,MATCH(476,$AZ$11:$AZ$4010,0)),""))</f>
        <v/>
      </c>
      <c r="AL486" s="31" t="str">
        <f t="shared" si="93"/>
        <v/>
      </c>
      <c r="AM486" s="26" t="str">
        <f t="shared" si="94"/>
        <v/>
      </c>
      <c r="AN486" s="32" t="str">
        <f t="shared" si="95"/>
        <v/>
      </c>
      <c r="AO486" s="32" t="str">
        <f t="shared" si="96"/>
        <v/>
      </c>
      <c r="AP486" s="24" t="str">
        <f t="shared" si="97"/>
        <v/>
      </c>
      <c r="AQ486" s="24" t="str">
        <f t="shared" si="98"/>
        <v/>
      </c>
      <c r="AR486" s="33" t="str">
        <f t="shared" si="99"/>
        <v/>
      </c>
      <c r="AS486" s="34"/>
      <c r="AT486" s="33"/>
      <c r="AV486" s="21">
        <f>IF(AND($AL486&lt;&gt;"",COUNTIF($AL$11:$AL486,$AL486)=1),1,0)</f>
        <v>0</v>
      </c>
      <c r="AW486" s="21">
        <f t="shared" si="101"/>
        <v>0</v>
      </c>
      <c r="AX486" s="21" t="str">
        <f t="shared" si="100"/>
        <v/>
      </c>
      <c r="AY486" s="21" t="str">
        <f>IF(AND($AM486&lt;&gt;"",$AS486&lt;&gt;"✓"),SUMPRODUCT(($AM$11:$AM486&lt;&gt;"")*($AS$11:$AS486&lt;&gt;"✓")),"")</f>
        <v/>
      </c>
      <c r="AZ486" s="21" t="str">
        <f>IF(AND($AM486&lt;&gt;"",$AS486="✓"),SUMPRODUCT(($AM$11:$AM486&lt;&gt;"")*($AS$11:$AS486="✓")),"")</f>
        <v/>
      </c>
      <c r="BA486" s="21" t="str">
        <f>IF($AL486="","",$AL486&amp;"|"&amp;COUNTIF($AL$11:$AL486,$AL486))</f>
        <v/>
      </c>
    </row>
    <row r="487" spans="2:53" ht="15" customHeight="1" x14ac:dyDescent="0.25">
      <c r="B487" s="5" t="str">
        <f t="shared" si="92"/>
        <v/>
      </c>
      <c r="C487" s="5"/>
      <c r="D487" s="5"/>
      <c r="E487" s="5"/>
      <c r="F487" s="6"/>
      <c r="G487" s="6"/>
      <c r="H487" s="7"/>
      <c r="I487" s="8"/>
      <c r="W487" s="14" t="str">
        <f>IF(X487="","",IFERROR(INDEX($AL$11:$AL$4010,MATCH(477,$AY$11:$AY$4010,0)),""))</f>
        <v/>
      </c>
      <c r="X487" s="12" t="str">
        <f>IFERROR(INDEX($AM$11:$AM$4010,MATCH(477,$AY$11:$AY$4010,0)),"")</f>
        <v/>
      </c>
      <c r="Y487" s="11" t="str">
        <f>IF(X487="","",IFERROR(INDEX($AN$11:$AN$4010,MATCH(477,$AY$11:$AY$4010,0)),""))</f>
        <v/>
      </c>
      <c r="Z487" s="11" t="str">
        <f>IF(X487="","",IFERROR(INDEX($AO$11:$AO$4010,MATCH(477,$AY$11:$AY$4010,0)),""))</f>
        <v/>
      </c>
      <c r="AA487" s="10" t="str">
        <f>IF(X487="","",IFERROR(INDEX($AQ$11:$AQ$4010,MATCH(477,$AY$11:$AY$4010,0)),""))</f>
        <v/>
      </c>
      <c r="AB487" s="15" t="str">
        <f>IF(X487="","",IFERROR(INDEX($AR$11:$AR$4010,MATCH(477,$AY$11:$AY$4010,0)),""))</f>
        <v/>
      </c>
      <c r="AD487" s="16" t="str">
        <f>IF(AE487="","",IFERROR(INDEX($AL$11:$AL$4010,MATCH(477,$AZ$11:$AZ$4010,0)),""))</f>
        <v/>
      </c>
      <c r="AE487" s="12" t="str">
        <f>IFERROR(INDEX($AM$11:$AM$4010,MATCH(477,$AZ$11:$AZ$4010,0)),"")</f>
        <v/>
      </c>
      <c r="AF487" s="11" t="str">
        <f>IF(AE487="","",IFERROR(INDEX($AN$11:$AN$4010,MATCH(477,$AZ$11:$AZ$4010,0)),""))</f>
        <v/>
      </c>
      <c r="AG487" s="11" t="str">
        <f>IF(AE487="","",IFERROR(INDEX($AO$11:$AO$4010,MATCH(477,$AZ$11:$AZ$4010,0)),""))</f>
        <v/>
      </c>
      <c r="AH487" s="10" t="str">
        <f>IF(AE487="","",IFERROR(INDEX($AQ$11:$AQ$4010,MATCH(477,$AZ$11:$AZ$4010,0)),""))</f>
        <v/>
      </c>
      <c r="AI487" s="15" t="str">
        <f>IF(AE487="","",IFERROR(INDEX($AR$11:$AR$4010,MATCH(477,$AZ$11:$AZ$4010,0)),""))</f>
        <v/>
      </c>
      <c r="AJ487" s="15" t="str">
        <f>IF(AE487="","",IFERROR(INDEX($AT$11:$AT$4010,MATCH(477,$AZ$11:$AZ$4010,0)),""))</f>
        <v/>
      </c>
      <c r="AL487" s="17" t="str">
        <f t="shared" si="93"/>
        <v/>
      </c>
      <c r="AM487" s="12" t="str">
        <f t="shared" si="94"/>
        <v/>
      </c>
      <c r="AN487" s="18" t="str">
        <f t="shared" si="95"/>
        <v/>
      </c>
      <c r="AO487" s="18" t="str">
        <f t="shared" si="96"/>
        <v/>
      </c>
      <c r="AP487" s="10" t="str">
        <f t="shared" si="97"/>
        <v/>
      </c>
      <c r="AQ487" s="10" t="str">
        <f t="shared" si="98"/>
        <v/>
      </c>
      <c r="AR487" s="19" t="str">
        <f t="shared" si="99"/>
        <v/>
      </c>
      <c r="AS487" s="20"/>
      <c r="AT487" s="19"/>
      <c r="AV487" s="21">
        <f>IF(AND($AL487&lt;&gt;"",COUNTIF($AL$11:$AL487,$AL487)=1),1,0)</f>
        <v>0</v>
      </c>
      <c r="AW487" s="21">
        <f t="shared" si="101"/>
        <v>0</v>
      </c>
      <c r="AX487" s="21" t="str">
        <f t="shared" si="100"/>
        <v/>
      </c>
      <c r="AY487" s="21" t="str">
        <f>IF(AND($AM487&lt;&gt;"",$AS487&lt;&gt;"✓"),SUMPRODUCT(($AM$11:$AM487&lt;&gt;"")*($AS$11:$AS487&lt;&gt;"✓")),"")</f>
        <v/>
      </c>
      <c r="AZ487" s="21" t="str">
        <f>IF(AND($AM487&lt;&gt;"",$AS487="✓"),SUMPRODUCT(($AM$11:$AM487&lt;&gt;"")*($AS$11:$AS487="✓")),"")</f>
        <v/>
      </c>
      <c r="BA487" s="21" t="str">
        <f>IF($AL487="","",$AL487&amp;"|"&amp;COUNTIF($AL$11:$AL487,$AL487))</f>
        <v/>
      </c>
    </row>
    <row r="488" spans="2:53" ht="15" customHeight="1" x14ac:dyDescent="0.25">
      <c r="B488" s="5" t="str">
        <f t="shared" si="92"/>
        <v/>
      </c>
      <c r="C488" s="5"/>
      <c r="D488" s="5"/>
      <c r="E488" s="5"/>
      <c r="F488" s="6"/>
      <c r="G488" s="6"/>
      <c r="H488" s="7"/>
      <c r="I488" s="8"/>
      <c r="W488" s="28" t="str">
        <f>IF(X488="","",IFERROR(INDEX($AL$11:$AL$4010,MATCH(478,$AY$11:$AY$4010,0)),""))</f>
        <v/>
      </c>
      <c r="X488" s="26" t="str">
        <f>IFERROR(INDEX($AM$11:$AM$4010,MATCH(478,$AY$11:$AY$4010,0)),"")</f>
        <v/>
      </c>
      <c r="Y488" s="25" t="str">
        <f>IF(X488="","",IFERROR(INDEX($AN$11:$AN$4010,MATCH(478,$AY$11:$AY$4010,0)),""))</f>
        <v/>
      </c>
      <c r="Z488" s="25" t="str">
        <f>IF(X488="","",IFERROR(INDEX($AO$11:$AO$4010,MATCH(478,$AY$11:$AY$4010,0)),""))</f>
        <v/>
      </c>
      <c r="AA488" s="24" t="str">
        <f>IF(X488="","",IFERROR(INDEX($AQ$11:$AQ$4010,MATCH(478,$AY$11:$AY$4010,0)),""))</f>
        <v/>
      </c>
      <c r="AB488" s="29" t="str">
        <f>IF(X488="","",IFERROR(INDEX($AR$11:$AR$4010,MATCH(478,$AY$11:$AY$4010,0)),""))</f>
        <v/>
      </c>
      <c r="AD488" s="30" t="str">
        <f>IF(AE488="","",IFERROR(INDEX($AL$11:$AL$4010,MATCH(478,$AZ$11:$AZ$4010,0)),""))</f>
        <v/>
      </c>
      <c r="AE488" s="26" t="str">
        <f>IFERROR(INDEX($AM$11:$AM$4010,MATCH(478,$AZ$11:$AZ$4010,0)),"")</f>
        <v/>
      </c>
      <c r="AF488" s="25" t="str">
        <f>IF(AE488="","",IFERROR(INDEX($AN$11:$AN$4010,MATCH(478,$AZ$11:$AZ$4010,0)),""))</f>
        <v/>
      </c>
      <c r="AG488" s="25" t="str">
        <f>IF(AE488="","",IFERROR(INDEX($AO$11:$AO$4010,MATCH(478,$AZ$11:$AZ$4010,0)),""))</f>
        <v/>
      </c>
      <c r="AH488" s="24" t="str">
        <f>IF(AE488="","",IFERROR(INDEX($AQ$11:$AQ$4010,MATCH(478,$AZ$11:$AZ$4010,0)),""))</f>
        <v/>
      </c>
      <c r="AI488" s="29" t="str">
        <f>IF(AE488="","",IFERROR(INDEX($AR$11:$AR$4010,MATCH(478,$AZ$11:$AZ$4010,0)),""))</f>
        <v/>
      </c>
      <c r="AJ488" s="29" t="str">
        <f>IF(AE488="","",IFERROR(INDEX($AT$11:$AT$4010,MATCH(478,$AZ$11:$AZ$4010,0)),""))</f>
        <v/>
      </c>
      <c r="AL488" s="31" t="str">
        <f t="shared" si="93"/>
        <v/>
      </c>
      <c r="AM488" s="26" t="str">
        <f t="shared" si="94"/>
        <v/>
      </c>
      <c r="AN488" s="32" t="str">
        <f t="shared" si="95"/>
        <v/>
      </c>
      <c r="AO488" s="32" t="str">
        <f t="shared" si="96"/>
        <v/>
      </c>
      <c r="AP488" s="24" t="str">
        <f t="shared" si="97"/>
        <v/>
      </c>
      <c r="AQ488" s="24" t="str">
        <f t="shared" si="98"/>
        <v/>
      </c>
      <c r="AR488" s="33" t="str">
        <f t="shared" si="99"/>
        <v/>
      </c>
      <c r="AS488" s="34"/>
      <c r="AT488" s="33"/>
      <c r="AV488" s="21">
        <f>IF(AND($AL488&lt;&gt;"",COUNTIF($AL$11:$AL488,$AL488)=1),1,0)</f>
        <v>0</v>
      </c>
      <c r="AW488" s="21">
        <f t="shared" si="101"/>
        <v>0</v>
      </c>
      <c r="AX488" s="21" t="str">
        <f t="shared" si="100"/>
        <v/>
      </c>
      <c r="AY488" s="21" t="str">
        <f>IF(AND($AM488&lt;&gt;"",$AS488&lt;&gt;"✓"),SUMPRODUCT(($AM$11:$AM488&lt;&gt;"")*($AS$11:$AS488&lt;&gt;"✓")),"")</f>
        <v/>
      </c>
      <c r="AZ488" s="21" t="str">
        <f>IF(AND($AM488&lt;&gt;"",$AS488="✓"),SUMPRODUCT(($AM$11:$AM488&lt;&gt;"")*($AS$11:$AS488="✓")),"")</f>
        <v/>
      </c>
      <c r="BA488" s="21" t="str">
        <f>IF($AL488="","",$AL488&amp;"|"&amp;COUNTIF($AL$11:$AL488,$AL488))</f>
        <v/>
      </c>
    </row>
    <row r="489" spans="2:53" ht="15" customHeight="1" x14ac:dyDescent="0.25">
      <c r="B489" s="5" t="str">
        <f t="shared" si="92"/>
        <v/>
      </c>
      <c r="C489" s="5"/>
      <c r="D489" s="5"/>
      <c r="E489" s="5"/>
      <c r="F489" s="6"/>
      <c r="G489" s="6"/>
      <c r="H489" s="7"/>
      <c r="I489" s="8"/>
      <c r="W489" s="14" t="str">
        <f>IF(X489="","",IFERROR(INDEX($AL$11:$AL$4010,MATCH(479,$AY$11:$AY$4010,0)),""))</f>
        <v/>
      </c>
      <c r="X489" s="12" t="str">
        <f>IFERROR(INDEX($AM$11:$AM$4010,MATCH(479,$AY$11:$AY$4010,0)),"")</f>
        <v/>
      </c>
      <c r="Y489" s="11" t="str">
        <f>IF(X489="","",IFERROR(INDEX($AN$11:$AN$4010,MATCH(479,$AY$11:$AY$4010,0)),""))</f>
        <v/>
      </c>
      <c r="Z489" s="11" t="str">
        <f>IF(X489="","",IFERROR(INDEX($AO$11:$AO$4010,MATCH(479,$AY$11:$AY$4010,0)),""))</f>
        <v/>
      </c>
      <c r="AA489" s="10" t="str">
        <f>IF(X489="","",IFERROR(INDEX($AQ$11:$AQ$4010,MATCH(479,$AY$11:$AY$4010,0)),""))</f>
        <v/>
      </c>
      <c r="AB489" s="15" t="str">
        <f>IF(X489="","",IFERROR(INDEX($AR$11:$AR$4010,MATCH(479,$AY$11:$AY$4010,0)),""))</f>
        <v/>
      </c>
      <c r="AD489" s="16" t="str">
        <f>IF(AE489="","",IFERROR(INDEX($AL$11:$AL$4010,MATCH(479,$AZ$11:$AZ$4010,0)),""))</f>
        <v/>
      </c>
      <c r="AE489" s="12" t="str">
        <f>IFERROR(INDEX($AM$11:$AM$4010,MATCH(479,$AZ$11:$AZ$4010,0)),"")</f>
        <v/>
      </c>
      <c r="AF489" s="11" t="str">
        <f>IF(AE489="","",IFERROR(INDEX($AN$11:$AN$4010,MATCH(479,$AZ$11:$AZ$4010,0)),""))</f>
        <v/>
      </c>
      <c r="AG489" s="11" t="str">
        <f>IF(AE489="","",IFERROR(INDEX($AO$11:$AO$4010,MATCH(479,$AZ$11:$AZ$4010,0)),""))</f>
        <v/>
      </c>
      <c r="AH489" s="10" t="str">
        <f>IF(AE489="","",IFERROR(INDEX($AQ$11:$AQ$4010,MATCH(479,$AZ$11:$AZ$4010,0)),""))</f>
        <v/>
      </c>
      <c r="AI489" s="15" t="str">
        <f>IF(AE489="","",IFERROR(INDEX($AR$11:$AR$4010,MATCH(479,$AZ$11:$AZ$4010,0)),""))</f>
        <v/>
      </c>
      <c r="AJ489" s="15" t="str">
        <f>IF(AE489="","",IFERROR(INDEX($AT$11:$AT$4010,MATCH(479,$AZ$11:$AZ$4010,0)),""))</f>
        <v/>
      </c>
      <c r="AL489" s="17" t="str">
        <f t="shared" si="93"/>
        <v/>
      </c>
      <c r="AM489" s="12" t="str">
        <f t="shared" si="94"/>
        <v/>
      </c>
      <c r="AN489" s="18" t="str">
        <f t="shared" si="95"/>
        <v/>
      </c>
      <c r="AO489" s="18" t="str">
        <f t="shared" si="96"/>
        <v/>
      </c>
      <c r="AP489" s="10" t="str">
        <f t="shared" si="97"/>
        <v/>
      </c>
      <c r="AQ489" s="10" t="str">
        <f t="shared" si="98"/>
        <v/>
      </c>
      <c r="AR489" s="19" t="str">
        <f t="shared" si="99"/>
        <v/>
      </c>
      <c r="AS489" s="20"/>
      <c r="AT489" s="19"/>
      <c r="AV489" s="21">
        <f>IF(AND($AL489&lt;&gt;"",COUNTIF($AL$11:$AL489,$AL489)=1),1,0)</f>
        <v>0</v>
      </c>
      <c r="AW489" s="21">
        <f t="shared" si="101"/>
        <v>0</v>
      </c>
      <c r="AX489" s="21" t="str">
        <f t="shared" si="100"/>
        <v/>
      </c>
      <c r="AY489" s="21" t="str">
        <f>IF(AND($AM489&lt;&gt;"",$AS489&lt;&gt;"✓"),SUMPRODUCT(($AM$11:$AM489&lt;&gt;"")*($AS$11:$AS489&lt;&gt;"✓")),"")</f>
        <v/>
      </c>
      <c r="AZ489" s="21" t="str">
        <f>IF(AND($AM489&lt;&gt;"",$AS489="✓"),SUMPRODUCT(($AM$11:$AM489&lt;&gt;"")*($AS$11:$AS489="✓")),"")</f>
        <v/>
      </c>
      <c r="BA489" s="21" t="str">
        <f>IF($AL489="","",$AL489&amp;"|"&amp;COUNTIF($AL$11:$AL489,$AL489))</f>
        <v/>
      </c>
    </row>
    <row r="490" spans="2:53" ht="15" customHeight="1" x14ac:dyDescent="0.25">
      <c r="B490" s="5" t="str">
        <f t="shared" si="92"/>
        <v/>
      </c>
      <c r="C490" s="5"/>
      <c r="D490" s="5"/>
      <c r="E490" s="5"/>
      <c r="F490" s="6"/>
      <c r="G490" s="6"/>
      <c r="H490" s="7"/>
      <c r="I490" s="8"/>
      <c r="W490" s="28" t="str">
        <f>IF(X490="","",IFERROR(INDEX($AL$11:$AL$4010,MATCH(480,$AY$11:$AY$4010,0)),""))</f>
        <v/>
      </c>
      <c r="X490" s="26" t="str">
        <f>IFERROR(INDEX($AM$11:$AM$4010,MATCH(480,$AY$11:$AY$4010,0)),"")</f>
        <v/>
      </c>
      <c r="Y490" s="25" t="str">
        <f>IF(X490="","",IFERROR(INDEX($AN$11:$AN$4010,MATCH(480,$AY$11:$AY$4010,0)),""))</f>
        <v/>
      </c>
      <c r="Z490" s="25" t="str">
        <f>IF(X490="","",IFERROR(INDEX($AO$11:$AO$4010,MATCH(480,$AY$11:$AY$4010,0)),""))</f>
        <v/>
      </c>
      <c r="AA490" s="24" t="str">
        <f>IF(X490="","",IFERROR(INDEX($AQ$11:$AQ$4010,MATCH(480,$AY$11:$AY$4010,0)),""))</f>
        <v/>
      </c>
      <c r="AB490" s="29" t="str">
        <f>IF(X490="","",IFERROR(INDEX($AR$11:$AR$4010,MATCH(480,$AY$11:$AY$4010,0)),""))</f>
        <v/>
      </c>
      <c r="AD490" s="30" t="str">
        <f>IF(AE490="","",IFERROR(INDEX($AL$11:$AL$4010,MATCH(480,$AZ$11:$AZ$4010,0)),""))</f>
        <v/>
      </c>
      <c r="AE490" s="26" t="str">
        <f>IFERROR(INDEX($AM$11:$AM$4010,MATCH(480,$AZ$11:$AZ$4010,0)),"")</f>
        <v/>
      </c>
      <c r="AF490" s="25" t="str">
        <f>IF(AE490="","",IFERROR(INDEX($AN$11:$AN$4010,MATCH(480,$AZ$11:$AZ$4010,0)),""))</f>
        <v/>
      </c>
      <c r="AG490" s="25" t="str">
        <f>IF(AE490="","",IFERROR(INDEX($AO$11:$AO$4010,MATCH(480,$AZ$11:$AZ$4010,0)),""))</f>
        <v/>
      </c>
      <c r="AH490" s="24" t="str">
        <f>IF(AE490="","",IFERROR(INDEX($AQ$11:$AQ$4010,MATCH(480,$AZ$11:$AZ$4010,0)),""))</f>
        <v/>
      </c>
      <c r="AI490" s="29" t="str">
        <f>IF(AE490="","",IFERROR(INDEX($AR$11:$AR$4010,MATCH(480,$AZ$11:$AZ$4010,0)),""))</f>
        <v/>
      </c>
      <c r="AJ490" s="29" t="str">
        <f>IF(AE490="","",IFERROR(INDEX($AT$11:$AT$4010,MATCH(480,$AZ$11:$AZ$4010,0)),""))</f>
        <v/>
      </c>
      <c r="AL490" s="31" t="str">
        <f t="shared" si="93"/>
        <v/>
      </c>
      <c r="AM490" s="26" t="str">
        <f t="shared" si="94"/>
        <v/>
      </c>
      <c r="AN490" s="32" t="str">
        <f t="shared" si="95"/>
        <v/>
      </c>
      <c r="AO490" s="32" t="str">
        <f t="shared" si="96"/>
        <v/>
      </c>
      <c r="AP490" s="24" t="str">
        <f t="shared" si="97"/>
        <v/>
      </c>
      <c r="AQ490" s="24" t="str">
        <f t="shared" si="98"/>
        <v/>
      </c>
      <c r="AR490" s="33" t="str">
        <f t="shared" si="99"/>
        <v/>
      </c>
      <c r="AS490" s="34"/>
      <c r="AT490" s="33"/>
      <c r="AV490" s="21">
        <f>IF(AND($AL490&lt;&gt;"",COUNTIF($AL$11:$AL490,$AL490)=1),1,0)</f>
        <v>0</v>
      </c>
      <c r="AW490" s="21">
        <f t="shared" si="101"/>
        <v>0</v>
      </c>
      <c r="AX490" s="21" t="str">
        <f t="shared" si="100"/>
        <v/>
      </c>
      <c r="AY490" s="21" t="str">
        <f>IF(AND($AM490&lt;&gt;"",$AS490&lt;&gt;"✓"),SUMPRODUCT(($AM$11:$AM490&lt;&gt;"")*($AS$11:$AS490&lt;&gt;"✓")),"")</f>
        <v/>
      </c>
      <c r="AZ490" s="21" t="str">
        <f>IF(AND($AM490&lt;&gt;"",$AS490="✓"),SUMPRODUCT(($AM$11:$AM490&lt;&gt;"")*($AS$11:$AS490="✓")),"")</f>
        <v/>
      </c>
      <c r="BA490" s="21" t="str">
        <f>IF($AL490="","",$AL490&amp;"|"&amp;COUNTIF($AL$11:$AL490,$AL490))</f>
        <v/>
      </c>
    </row>
    <row r="491" spans="2:53" ht="15" customHeight="1" x14ac:dyDescent="0.25">
      <c r="B491" s="5" t="str">
        <f t="shared" si="92"/>
        <v/>
      </c>
      <c r="C491" s="5"/>
      <c r="D491" s="5"/>
      <c r="E491" s="5"/>
      <c r="F491" s="6"/>
      <c r="G491" s="6"/>
      <c r="H491" s="7"/>
      <c r="I491" s="8"/>
      <c r="W491" s="14" t="str">
        <f>IF(X491="","",IFERROR(INDEX($AL$11:$AL$4010,MATCH(481,$AY$11:$AY$4010,0)),""))</f>
        <v/>
      </c>
      <c r="X491" s="12" t="str">
        <f>IFERROR(INDEX($AM$11:$AM$4010,MATCH(481,$AY$11:$AY$4010,0)),"")</f>
        <v/>
      </c>
      <c r="Y491" s="11" t="str">
        <f>IF(X491="","",IFERROR(INDEX($AN$11:$AN$4010,MATCH(481,$AY$11:$AY$4010,0)),""))</f>
        <v/>
      </c>
      <c r="Z491" s="11" t="str">
        <f>IF(X491="","",IFERROR(INDEX($AO$11:$AO$4010,MATCH(481,$AY$11:$AY$4010,0)),""))</f>
        <v/>
      </c>
      <c r="AA491" s="10" t="str">
        <f>IF(X491="","",IFERROR(INDEX($AQ$11:$AQ$4010,MATCH(481,$AY$11:$AY$4010,0)),""))</f>
        <v/>
      </c>
      <c r="AB491" s="15" t="str">
        <f>IF(X491="","",IFERROR(INDEX($AR$11:$AR$4010,MATCH(481,$AY$11:$AY$4010,0)),""))</f>
        <v/>
      </c>
      <c r="AD491" s="16" t="str">
        <f>IF(AE491="","",IFERROR(INDEX($AL$11:$AL$4010,MATCH(481,$AZ$11:$AZ$4010,0)),""))</f>
        <v/>
      </c>
      <c r="AE491" s="12" t="str">
        <f>IFERROR(INDEX($AM$11:$AM$4010,MATCH(481,$AZ$11:$AZ$4010,0)),"")</f>
        <v/>
      </c>
      <c r="AF491" s="11" t="str">
        <f>IF(AE491="","",IFERROR(INDEX($AN$11:$AN$4010,MATCH(481,$AZ$11:$AZ$4010,0)),""))</f>
        <v/>
      </c>
      <c r="AG491" s="11" t="str">
        <f>IF(AE491="","",IFERROR(INDEX($AO$11:$AO$4010,MATCH(481,$AZ$11:$AZ$4010,0)),""))</f>
        <v/>
      </c>
      <c r="AH491" s="10" t="str">
        <f>IF(AE491="","",IFERROR(INDEX($AQ$11:$AQ$4010,MATCH(481,$AZ$11:$AZ$4010,0)),""))</f>
        <v/>
      </c>
      <c r="AI491" s="15" t="str">
        <f>IF(AE491="","",IFERROR(INDEX($AR$11:$AR$4010,MATCH(481,$AZ$11:$AZ$4010,0)),""))</f>
        <v/>
      </c>
      <c r="AJ491" s="15" t="str">
        <f>IF(AE491="","",IFERROR(INDEX($AT$11:$AT$4010,MATCH(481,$AZ$11:$AZ$4010,0)),""))</f>
        <v/>
      </c>
      <c r="AL491" s="17" t="str">
        <f t="shared" si="93"/>
        <v/>
      </c>
      <c r="AM491" s="12" t="str">
        <f t="shared" si="94"/>
        <v/>
      </c>
      <c r="AN491" s="18" t="str">
        <f t="shared" si="95"/>
        <v/>
      </c>
      <c r="AO491" s="18" t="str">
        <f t="shared" si="96"/>
        <v/>
      </c>
      <c r="AP491" s="10" t="str">
        <f t="shared" si="97"/>
        <v/>
      </c>
      <c r="AQ491" s="10" t="str">
        <f t="shared" si="98"/>
        <v/>
      </c>
      <c r="AR491" s="19" t="str">
        <f t="shared" si="99"/>
        <v/>
      </c>
      <c r="AS491" s="20"/>
      <c r="AT491" s="19"/>
      <c r="AV491" s="21">
        <f>IF(AND($AL491&lt;&gt;"",COUNTIF($AL$11:$AL491,$AL491)=1),1,0)</f>
        <v>0</v>
      </c>
      <c r="AW491" s="21">
        <f t="shared" si="101"/>
        <v>0</v>
      </c>
      <c r="AX491" s="21" t="str">
        <f t="shared" si="100"/>
        <v/>
      </c>
      <c r="AY491" s="21" t="str">
        <f>IF(AND($AM491&lt;&gt;"",$AS491&lt;&gt;"✓"),SUMPRODUCT(($AM$11:$AM491&lt;&gt;"")*($AS$11:$AS491&lt;&gt;"✓")),"")</f>
        <v/>
      </c>
      <c r="AZ491" s="21" t="str">
        <f>IF(AND($AM491&lt;&gt;"",$AS491="✓"),SUMPRODUCT(($AM$11:$AM491&lt;&gt;"")*($AS$11:$AS491="✓")),"")</f>
        <v/>
      </c>
      <c r="BA491" s="21" t="str">
        <f>IF($AL491="","",$AL491&amp;"|"&amp;COUNTIF($AL$11:$AL491,$AL491))</f>
        <v/>
      </c>
    </row>
    <row r="492" spans="2:53" ht="15" customHeight="1" x14ac:dyDescent="0.25">
      <c r="B492" s="5" t="str">
        <f t="shared" si="92"/>
        <v/>
      </c>
      <c r="C492" s="5"/>
      <c r="D492" s="5"/>
      <c r="E492" s="5"/>
      <c r="F492" s="6"/>
      <c r="G492" s="6"/>
      <c r="H492" s="7"/>
      <c r="I492" s="8"/>
      <c r="W492" s="28" t="str">
        <f>IF(X492="","",IFERROR(INDEX($AL$11:$AL$4010,MATCH(482,$AY$11:$AY$4010,0)),""))</f>
        <v/>
      </c>
      <c r="X492" s="26" t="str">
        <f>IFERROR(INDEX($AM$11:$AM$4010,MATCH(482,$AY$11:$AY$4010,0)),"")</f>
        <v/>
      </c>
      <c r="Y492" s="25" t="str">
        <f>IF(X492="","",IFERROR(INDEX($AN$11:$AN$4010,MATCH(482,$AY$11:$AY$4010,0)),""))</f>
        <v/>
      </c>
      <c r="Z492" s="25" t="str">
        <f>IF(X492="","",IFERROR(INDEX($AO$11:$AO$4010,MATCH(482,$AY$11:$AY$4010,0)),""))</f>
        <v/>
      </c>
      <c r="AA492" s="24" t="str">
        <f>IF(X492="","",IFERROR(INDEX($AQ$11:$AQ$4010,MATCH(482,$AY$11:$AY$4010,0)),""))</f>
        <v/>
      </c>
      <c r="AB492" s="29" t="str">
        <f>IF(X492="","",IFERROR(INDEX($AR$11:$AR$4010,MATCH(482,$AY$11:$AY$4010,0)),""))</f>
        <v/>
      </c>
      <c r="AD492" s="30" t="str">
        <f>IF(AE492="","",IFERROR(INDEX($AL$11:$AL$4010,MATCH(482,$AZ$11:$AZ$4010,0)),""))</f>
        <v/>
      </c>
      <c r="AE492" s="26" t="str">
        <f>IFERROR(INDEX($AM$11:$AM$4010,MATCH(482,$AZ$11:$AZ$4010,0)),"")</f>
        <v/>
      </c>
      <c r="AF492" s="25" t="str">
        <f>IF(AE492="","",IFERROR(INDEX($AN$11:$AN$4010,MATCH(482,$AZ$11:$AZ$4010,0)),""))</f>
        <v/>
      </c>
      <c r="AG492" s="25" t="str">
        <f>IF(AE492="","",IFERROR(INDEX($AO$11:$AO$4010,MATCH(482,$AZ$11:$AZ$4010,0)),""))</f>
        <v/>
      </c>
      <c r="AH492" s="24" t="str">
        <f>IF(AE492="","",IFERROR(INDEX($AQ$11:$AQ$4010,MATCH(482,$AZ$11:$AZ$4010,0)),""))</f>
        <v/>
      </c>
      <c r="AI492" s="29" t="str">
        <f>IF(AE492="","",IFERROR(INDEX($AR$11:$AR$4010,MATCH(482,$AZ$11:$AZ$4010,0)),""))</f>
        <v/>
      </c>
      <c r="AJ492" s="29" t="str">
        <f>IF(AE492="","",IFERROR(INDEX($AT$11:$AT$4010,MATCH(482,$AZ$11:$AZ$4010,0)),""))</f>
        <v/>
      </c>
      <c r="AL492" s="31" t="str">
        <f t="shared" si="93"/>
        <v/>
      </c>
      <c r="AM492" s="26" t="str">
        <f t="shared" si="94"/>
        <v/>
      </c>
      <c r="AN492" s="32" t="str">
        <f t="shared" si="95"/>
        <v/>
      </c>
      <c r="AO492" s="32" t="str">
        <f t="shared" si="96"/>
        <v/>
      </c>
      <c r="AP492" s="24" t="str">
        <f t="shared" si="97"/>
        <v/>
      </c>
      <c r="AQ492" s="24" t="str">
        <f t="shared" si="98"/>
        <v/>
      </c>
      <c r="AR492" s="33" t="str">
        <f t="shared" si="99"/>
        <v/>
      </c>
      <c r="AS492" s="34"/>
      <c r="AT492" s="33"/>
      <c r="AV492" s="21">
        <f>IF(AND($AL492&lt;&gt;"",COUNTIF($AL$11:$AL492,$AL492)=1),1,0)</f>
        <v>0</v>
      </c>
      <c r="AW492" s="21">
        <f t="shared" si="101"/>
        <v>0</v>
      </c>
      <c r="AX492" s="21" t="str">
        <f t="shared" si="100"/>
        <v/>
      </c>
      <c r="AY492" s="21" t="str">
        <f>IF(AND($AM492&lt;&gt;"",$AS492&lt;&gt;"✓"),SUMPRODUCT(($AM$11:$AM492&lt;&gt;"")*($AS$11:$AS492&lt;&gt;"✓")),"")</f>
        <v/>
      </c>
      <c r="AZ492" s="21" t="str">
        <f>IF(AND($AM492&lt;&gt;"",$AS492="✓"),SUMPRODUCT(($AM$11:$AM492&lt;&gt;"")*($AS$11:$AS492="✓")),"")</f>
        <v/>
      </c>
      <c r="BA492" s="21" t="str">
        <f>IF($AL492="","",$AL492&amp;"|"&amp;COUNTIF($AL$11:$AL492,$AL492))</f>
        <v/>
      </c>
    </row>
    <row r="493" spans="2:53" ht="15" customHeight="1" x14ac:dyDescent="0.25">
      <c r="B493" s="5" t="str">
        <f t="shared" si="92"/>
        <v/>
      </c>
      <c r="C493" s="5"/>
      <c r="D493" s="5"/>
      <c r="E493" s="5"/>
      <c r="F493" s="6"/>
      <c r="G493" s="6"/>
      <c r="H493" s="7"/>
      <c r="I493" s="8"/>
      <c r="W493" s="14" t="str">
        <f>IF(X493="","",IFERROR(INDEX($AL$11:$AL$4010,MATCH(483,$AY$11:$AY$4010,0)),""))</f>
        <v/>
      </c>
      <c r="X493" s="12" t="str">
        <f>IFERROR(INDEX($AM$11:$AM$4010,MATCH(483,$AY$11:$AY$4010,0)),"")</f>
        <v/>
      </c>
      <c r="Y493" s="11" t="str">
        <f>IF(X493="","",IFERROR(INDEX($AN$11:$AN$4010,MATCH(483,$AY$11:$AY$4010,0)),""))</f>
        <v/>
      </c>
      <c r="Z493" s="11" t="str">
        <f>IF(X493="","",IFERROR(INDEX($AO$11:$AO$4010,MATCH(483,$AY$11:$AY$4010,0)),""))</f>
        <v/>
      </c>
      <c r="AA493" s="10" t="str">
        <f>IF(X493="","",IFERROR(INDEX($AQ$11:$AQ$4010,MATCH(483,$AY$11:$AY$4010,0)),""))</f>
        <v/>
      </c>
      <c r="AB493" s="15" t="str">
        <f>IF(X493="","",IFERROR(INDEX($AR$11:$AR$4010,MATCH(483,$AY$11:$AY$4010,0)),""))</f>
        <v/>
      </c>
      <c r="AD493" s="16" t="str">
        <f>IF(AE493="","",IFERROR(INDEX($AL$11:$AL$4010,MATCH(483,$AZ$11:$AZ$4010,0)),""))</f>
        <v/>
      </c>
      <c r="AE493" s="12" t="str">
        <f>IFERROR(INDEX($AM$11:$AM$4010,MATCH(483,$AZ$11:$AZ$4010,0)),"")</f>
        <v/>
      </c>
      <c r="AF493" s="11" t="str">
        <f>IF(AE493="","",IFERROR(INDEX($AN$11:$AN$4010,MATCH(483,$AZ$11:$AZ$4010,0)),""))</f>
        <v/>
      </c>
      <c r="AG493" s="11" t="str">
        <f>IF(AE493="","",IFERROR(INDEX($AO$11:$AO$4010,MATCH(483,$AZ$11:$AZ$4010,0)),""))</f>
        <v/>
      </c>
      <c r="AH493" s="10" t="str">
        <f>IF(AE493="","",IFERROR(INDEX($AQ$11:$AQ$4010,MATCH(483,$AZ$11:$AZ$4010,0)),""))</f>
        <v/>
      </c>
      <c r="AI493" s="15" t="str">
        <f>IF(AE493="","",IFERROR(INDEX($AR$11:$AR$4010,MATCH(483,$AZ$11:$AZ$4010,0)),""))</f>
        <v/>
      </c>
      <c r="AJ493" s="15" t="str">
        <f>IF(AE493="","",IFERROR(INDEX($AT$11:$AT$4010,MATCH(483,$AZ$11:$AZ$4010,0)),""))</f>
        <v/>
      </c>
      <c r="AL493" s="17" t="str">
        <f t="shared" si="93"/>
        <v/>
      </c>
      <c r="AM493" s="12" t="str">
        <f t="shared" si="94"/>
        <v/>
      </c>
      <c r="AN493" s="18" t="str">
        <f t="shared" si="95"/>
        <v/>
      </c>
      <c r="AO493" s="18" t="str">
        <f t="shared" si="96"/>
        <v/>
      </c>
      <c r="AP493" s="10" t="str">
        <f t="shared" si="97"/>
        <v/>
      </c>
      <c r="AQ493" s="10" t="str">
        <f t="shared" si="98"/>
        <v/>
      </c>
      <c r="AR493" s="19" t="str">
        <f t="shared" si="99"/>
        <v/>
      </c>
      <c r="AS493" s="20"/>
      <c r="AT493" s="19"/>
      <c r="AV493" s="21">
        <f>IF(AND($AL493&lt;&gt;"",COUNTIF($AL$11:$AL493,$AL493)=1),1,0)</f>
        <v>0</v>
      </c>
      <c r="AW493" s="21">
        <f t="shared" si="101"/>
        <v>0</v>
      </c>
      <c r="AX493" s="21" t="str">
        <f t="shared" si="100"/>
        <v/>
      </c>
      <c r="AY493" s="21" t="str">
        <f>IF(AND($AM493&lt;&gt;"",$AS493&lt;&gt;"✓"),SUMPRODUCT(($AM$11:$AM493&lt;&gt;"")*($AS$11:$AS493&lt;&gt;"✓")),"")</f>
        <v/>
      </c>
      <c r="AZ493" s="21" t="str">
        <f>IF(AND($AM493&lt;&gt;"",$AS493="✓"),SUMPRODUCT(($AM$11:$AM493&lt;&gt;"")*($AS$11:$AS493="✓")),"")</f>
        <v/>
      </c>
      <c r="BA493" s="21" t="str">
        <f>IF($AL493="","",$AL493&amp;"|"&amp;COUNTIF($AL$11:$AL493,$AL493))</f>
        <v/>
      </c>
    </row>
    <row r="494" spans="2:53" ht="15" customHeight="1" x14ac:dyDescent="0.25">
      <c r="B494" s="5" t="str">
        <f t="shared" si="92"/>
        <v/>
      </c>
      <c r="C494" s="5"/>
      <c r="D494" s="5"/>
      <c r="E494" s="5"/>
      <c r="F494" s="6"/>
      <c r="G494" s="6"/>
      <c r="H494" s="7"/>
      <c r="I494" s="8"/>
      <c r="W494" s="28" t="str">
        <f>IF(X494="","",IFERROR(INDEX($AL$11:$AL$4010,MATCH(484,$AY$11:$AY$4010,0)),""))</f>
        <v/>
      </c>
      <c r="X494" s="26" t="str">
        <f>IFERROR(INDEX($AM$11:$AM$4010,MATCH(484,$AY$11:$AY$4010,0)),"")</f>
        <v/>
      </c>
      <c r="Y494" s="25" t="str">
        <f>IF(X494="","",IFERROR(INDEX($AN$11:$AN$4010,MATCH(484,$AY$11:$AY$4010,0)),""))</f>
        <v/>
      </c>
      <c r="Z494" s="25" t="str">
        <f>IF(X494="","",IFERROR(INDEX($AO$11:$AO$4010,MATCH(484,$AY$11:$AY$4010,0)),""))</f>
        <v/>
      </c>
      <c r="AA494" s="24" t="str">
        <f>IF(X494="","",IFERROR(INDEX($AQ$11:$AQ$4010,MATCH(484,$AY$11:$AY$4010,0)),""))</f>
        <v/>
      </c>
      <c r="AB494" s="29" t="str">
        <f>IF(X494="","",IFERROR(INDEX($AR$11:$AR$4010,MATCH(484,$AY$11:$AY$4010,0)),""))</f>
        <v/>
      </c>
      <c r="AD494" s="30" t="str">
        <f>IF(AE494="","",IFERROR(INDEX($AL$11:$AL$4010,MATCH(484,$AZ$11:$AZ$4010,0)),""))</f>
        <v/>
      </c>
      <c r="AE494" s="26" t="str">
        <f>IFERROR(INDEX($AM$11:$AM$4010,MATCH(484,$AZ$11:$AZ$4010,0)),"")</f>
        <v/>
      </c>
      <c r="AF494" s="25" t="str">
        <f>IF(AE494="","",IFERROR(INDEX($AN$11:$AN$4010,MATCH(484,$AZ$11:$AZ$4010,0)),""))</f>
        <v/>
      </c>
      <c r="AG494" s="25" t="str">
        <f>IF(AE494="","",IFERROR(INDEX($AO$11:$AO$4010,MATCH(484,$AZ$11:$AZ$4010,0)),""))</f>
        <v/>
      </c>
      <c r="AH494" s="24" t="str">
        <f>IF(AE494="","",IFERROR(INDEX($AQ$11:$AQ$4010,MATCH(484,$AZ$11:$AZ$4010,0)),""))</f>
        <v/>
      </c>
      <c r="AI494" s="29" t="str">
        <f>IF(AE494="","",IFERROR(INDEX($AR$11:$AR$4010,MATCH(484,$AZ$11:$AZ$4010,0)),""))</f>
        <v/>
      </c>
      <c r="AJ494" s="29" t="str">
        <f>IF(AE494="","",IFERROR(INDEX($AT$11:$AT$4010,MATCH(484,$AZ$11:$AZ$4010,0)),""))</f>
        <v/>
      </c>
      <c r="AL494" s="31" t="str">
        <f t="shared" si="93"/>
        <v/>
      </c>
      <c r="AM494" s="26" t="str">
        <f t="shared" si="94"/>
        <v/>
      </c>
      <c r="AN494" s="32" t="str">
        <f t="shared" si="95"/>
        <v/>
      </c>
      <c r="AO494" s="32" t="str">
        <f t="shared" si="96"/>
        <v/>
      </c>
      <c r="AP494" s="24" t="str">
        <f t="shared" si="97"/>
        <v/>
      </c>
      <c r="AQ494" s="24" t="str">
        <f t="shared" si="98"/>
        <v/>
      </c>
      <c r="AR494" s="33" t="str">
        <f t="shared" si="99"/>
        <v/>
      </c>
      <c r="AS494" s="34"/>
      <c r="AT494" s="33"/>
      <c r="AV494" s="21">
        <f>IF(AND($AL494&lt;&gt;"",COUNTIF($AL$11:$AL494,$AL494)=1),1,0)</f>
        <v>0</v>
      </c>
      <c r="AW494" s="21">
        <f t="shared" si="101"/>
        <v>0</v>
      </c>
      <c r="AX494" s="21" t="str">
        <f t="shared" si="100"/>
        <v/>
      </c>
      <c r="AY494" s="21" t="str">
        <f>IF(AND($AM494&lt;&gt;"",$AS494&lt;&gt;"✓"),SUMPRODUCT(($AM$11:$AM494&lt;&gt;"")*($AS$11:$AS494&lt;&gt;"✓")),"")</f>
        <v/>
      </c>
      <c r="AZ494" s="21" t="str">
        <f>IF(AND($AM494&lt;&gt;"",$AS494="✓"),SUMPRODUCT(($AM$11:$AM494&lt;&gt;"")*($AS$11:$AS494="✓")),"")</f>
        <v/>
      </c>
      <c r="BA494" s="21" t="str">
        <f>IF($AL494="","",$AL494&amp;"|"&amp;COUNTIF($AL$11:$AL494,$AL494))</f>
        <v/>
      </c>
    </row>
    <row r="495" spans="2:53" ht="15" customHeight="1" x14ac:dyDescent="0.25">
      <c r="B495" s="5" t="str">
        <f t="shared" si="92"/>
        <v/>
      </c>
      <c r="C495" s="5"/>
      <c r="D495" s="5"/>
      <c r="E495" s="5"/>
      <c r="F495" s="6"/>
      <c r="G495" s="6"/>
      <c r="H495" s="7"/>
      <c r="I495" s="8"/>
      <c r="W495" s="14" t="str">
        <f>IF(X495="","",IFERROR(INDEX($AL$11:$AL$4010,MATCH(485,$AY$11:$AY$4010,0)),""))</f>
        <v/>
      </c>
      <c r="X495" s="12" t="str">
        <f>IFERROR(INDEX($AM$11:$AM$4010,MATCH(485,$AY$11:$AY$4010,0)),"")</f>
        <v/>
      </c>
      <c r="Y495" s="11" t="str">
        <f>IF(X495="","",IFERROR(INDEX($AN$11:$AN$4010,MATCH(485,$AY$11:$AY$4010,0)),""))</f>
        <v/>
      </c>
      <c r="Z495" s="11" t="str">
        <f>IF(X495="","",IFERROR(INDEX($AO$11:$AO$4010,MATCH(485,$AY$11:$AY$4010,0)),""))</f>
        <v/>
      </c>
      <c r="AA495" s="10" t="str">
        <f>IF(X495="","",IFERROR(INDEX($AQ$11:$AQ$4010,MATCH(485,$AY$11:$AY$4010,0)),""))</f>
        <v/>
      </c>
      <c r="AB495" s="15" t="str">
        <f>IF(X495="","",IFERROR(INDEX($AR$11:$AR$4010,MATCH(485,$AY$11:$AY$4010,0)),""))</f>
        <v/>
      </c>
      <c r="AD495" s="16" t="str">
        <f>IF(AE495="","",IFERROR(INDEX($AL$11:$AL$4010,MATCH(485,$AZ$11:$AZ$4010,0)),""))</f>
        <v/>
      </c>
      <c r="AE495" s="12" t="str">
        <f>IFERROR(INDEX($AM$11:$AM$4010,MATCH(485,$AZ$11:$AZ$4010,0)),"")</f>
        <v/>
      </c>
      <c r="AF495" s="11" t="str">
        <f>IF(AE495="","",IFERROR(INDEX($AN$11:$AN$4010,MATCH(485,$AZ$11:$AZ$4010,0)),""))</f>
        <v/>
      </c>
      <c r="AG495" s="11" t="str">
        <f>IF(AE495="","",IFERROR(INDEX($AO$11:$AO$4010,MATCH(485,$AZ$11:$AZ$4010,0)),""))</f>
        <v/>
      </c>
      <c r="AH495" s="10" t="str">
        <f>IF(AE495="","",IFERROR(INDEX($AQ$11:$AQ$4010,MATCH(485,$AZ$11:$AZ$4010,0)),""))</f>
        <v/>
      </c>
      <c r="AI495" s="15" t="str">
        <f>IF(AE495="","",IFERROR(INDEX($AR$11:$AR$4010,MATCH(485,$AZ$11:$AZ$4010,0)),""))</f>
        <v/>
      </c>
      <c r="AJ495" s="15" t="str">
        <f>IF(AE495="","",IFERROR(INDEX($AT$11:$AT$4010,MATCH(485,$AZ$11:$AZ$4010,0)),""))</f>
        <v/>
      </c>
      <c r="AL495" s="17" t="str">
        <f t="shared" si="93"/>
        <v/>
      </c>
      <c r="AM495" s="12" t="str">
        <f t="shared" si="94"/>
        <v/>
      </c>
      <c r="AN495" s="18" t="str">
        <f t="shared" si="95"/>
        <v/>
      </c>
      <c r="AO495" s="18" t="str">
        <f t="shared" si="96"/>
        <v/>
      </c>
      <c r="AP495" s="10" t="str">
        <f t="shared" si="97"/>
        <v/>
      </c>
      <c r="AQ495" s="10" t="str">
        <f t="shared" si="98"/>
        <v/>
      </c>
      <c r="AR495" s="19" t="str">
        <f t="shared" si="99"/>
        <v/>
      </c>
      <c r="AS495" s="20"/>
      <c r="AT495" s="19"/>
      <c r="AV495" s="21">
        <f>IF(AND($AL495&lt;&gt;"",COUNTIF($AL$11:$AL495,$AL495)=1),1,0)</f>
        <v>0</v>
      </c>
      <c r="AW495" s="21">
        <f t="shared" si="101"/>
        <v>0</v>
      </c>
      <c r="AX495" s="21" t="str">
        <f t="shared" si="100"/>
        <v/>
      </c>
      <c r="AY495" s="21" t="str">
        <f>IF(AND($AM495&lt;&gt;"",$AS495&lt;&gt;"✓"),SUMPRODUCT(($AM$11:$AM495&lt;&gt;"")*($AS$11:$AS495&lt;&gt;"✓")),"")</f>
        <v/>
      </c>
      <c r="AZ495" s="21" t="str">
        <f>IF(AND($AM495&lt;&gt;"",$AS495="✓"),SUMPRODUCT(($AM$11:$AM495&lt;&gt;"")*($AS$11:$AS495="✓")),"")</f>
        <v/>
      </c>
      <c r="BA495" s="21" t="str">
        <f>IF($AL495="","",$AL495&amp;"|"&amp;COUNTIF($AL$11:$AL495,$AL495))</f>
        <v/>
      </c>
    </row>
    <row r="496" spans="2:53" ht="15" customHeight="1" x14ac:dyDescent="0.25">
      <c r="B496" s="5" t="str">
        <f t="shared" si="92"/>
        <v/>
      </c>
      <c r="C496" s="5"/>
      <c r="D496" s="5"/>
      <c r="E496" s="5"/>
      <c r="F496" s="6"/>
      <c r="G496" s="6"/>
      <c r="H496" s="7"/>
      <c r="I496" s="8"/>
      <c r="W496" s="28" t="str">
        <f>IF(X496="","",IFERROR(INDEX($AL$11:$AL$4010,MATCH(486,$AY$11:$AY$4010,0)),""))</f>
        <v/>
      </c>
      <c r="X496" s="26" t="str">
        <f>IFERROR(INDEX($AM$11:$AM$4010,MATCH(486,$AY$11:$AY$4010,0)),"")</f>
        <v/>
      </c>
      <c r="Y496" s="25" t="str">
        <f>IF(X496="","",IFERROR(INDEX($AN$11:$AN$4010,MATCH(486,$AY$11:$AY$4010,0)),""))</f>
        <v/>
      </c>
      <c r="Z496" s="25" t="str">
        <f>IF(X496="","",IFERROR(INDEX($AO$11:$AO$4010,MATCH(486,$AY$11:$AY$4010,0)),""))</f>
        <v/>
      </c>
      <c r="AA496" s="24" t="str">
        <f>IF(X496="","",IFERROR(INDEX($AQ$11:$AQ$4010,MATCH(486,$AY$11:$AY$4010,0)),""))</f>
        <v/>
      </c>
      <c r="AB496" s="29" t="str">
        <f>IF(X496="","",IFERROR(INDEX($AR$11:$AR$4010,MATCH(486,$AY$11:$AY$4010,0)),""))</f>
        <v/>
      </c>
      <c r="AD496" s="30" t="str">
        <f>IF(AE496="","",IFERROR(INDEX($AL$11:$AL$4010,MATCH(486,$AZ$11:$AZ$4010,0)),""))</f>
        <v/>
      </c>
      <c r="AE496" s="26" t="str">
        <f>IFERROR(INDEX($AM$11:$AM$4010,MATCH(486,$AZ$11:$AZ$4010,0)),"")</f>
        <v/>
      </c>
      <c r="AF496" s="25" t="str">
        <f>IF(AE496="","",IFERROR(INDEX($AN$11:$AN$4010,MATCH(486,$AZ$11:$AZ$4010,0)),""))</f>
        <v/>
      </c>
      <c r="AG496" s="25" t="str">
        <f>IF(AE496="","",IFERROR(INDEX($AO$11:$AO$4010,MATCH(486,$AZ$11:$AZ$4010,0)),""))</f>
        <v/>
      </c>
      <c r="AH496" s="24" t="str">
        <f>IF(AE496="","",IFERROR(INDEX($AQ$11:$AQ$4010,MATCH(486,$AZ$11:$AZ$4010,0)),""))</f>
        <v/>
      </c>
      <c r="AI496" s="29" t="str">
        <f>IF(AE496="","",IFERROR(INDEX($AR$11:$AR$4010,MATCH(486,$AZ$11:$AZ$4010,0)),""))</f>
        <v/>
      </c>
      <c r="AJ496" s="29" t="str">
        <f>IF(AE496="","",IFERROR(INDEX($AT$11:$AT$4010,MATCH(486,$AZ$11:$AZ$4010,0)),""))</f>
        <v/>
      </c>
      <c r="AL496" s="31" t="str">
        <f t="shared" si="93"/>
        <v/>
      </c>
      <c r="AM496" s="26" t="str">
        <f t="shared" si="94"/>
        <v/>
      </c>
      <c r="AN496" s="32" t="str">
        <f t="shared" si="95"/>
        <v/>
      </c>
      <c r="AO496" s="32" t="str">
        <f t="shared" si="96"/>
        <v/>
      </c>
      <c r="AP496" s="24" t="str">
        <f t="shared" si="97"/>
        <v/>
      </c>
      <c r="AQ496" s="24" t="str">
        <f t="shared" si="98"/>
        <v/>
      </c>
      <c r="AR496" s="33" t="str">
        <f t="shared" si="99"/>
        <v/>
      </c>
      <c r="AS496" s="34"/>
      <c r="AT496" s="33"/>
      <c r="AV496" s="21">
        <f>IF(AND($AL496&lt;&gt;"",COUNTIF($AL$11:$AL496,$AL496)=1),1,0)</f>
        <v>0</v>
      </c>
      <c r="AW496" s="21">
        <f t="shared" si="101"/>
        <v>0</v>
      </c>
      <c r="AX496" s="21" t="str">
        <f t="shared" si="100"/>
        <v/>
      </c>
      <c r="AY496" s="21" t="str">
        <f>IF(AND($AM496&lt;&gt;"",$AS496&lt;&gt;"✓"),SUMPRODUCT(($AM$11:$AM496&lt;&gt;"")*($AS$11:$AS496&lt;&gt;"✓")),"")</f>
        <v/>
      </c>
      <c r="AZ496" s="21" t="str">
        <f>IF(AND($AM496&lt;&gt;"",$AS496="✓"),SUMPRODUCT(($AM$11:$AM496&lt;&gt;"")*($AS$11:$AS496="✓")),"")</f>
        <v/>
      </c>
      <c r="BA496" s="21" t="str">
        <f>IF($AL496="","",$AL496&amp;"|"&amp;COUNTIF($AL$11:$AL496,$AL496))</f>
        <v/>
      </c>
    </row>
    <row r="497" spans="2:53" ht="15" customHeight="1" x14ac:dyDescent="0.25">
      <c r="B497" s="5" t="str">
        <f t="shared" si="92"/>
        <v/>
      </c>
      <c r="C497" s="5"/>
      <c r="D497" s="5"/>
      <c r="E497" s="5"/>
      <c r="F497" s="6"/>
      <c r="G497" s="6"/>
      <c r="H497" s="7"/>
      <c r="I497" s="8"/>
      <c r="W497" s="14" t="str">
        <f>IF(X497="","",IFERROR(INDEX($AL$11:$AL$4010,MATCH(487,$AY$11:$AY$4010,0)),""))</f>
        <v/>
      </c>
      <c r="X497" s="12" t="str">
        <f>IFERROR(INDEX($AM$11:$AM$4010,MATCH(487,$AY$11:$AY$4010,0)),"")</f>
        <v/>
      </c>
      <c r="Y497" s="11" t="str">
        <f>IF(X497="","",IFERROR(INDEX($AN$11:$AN$4010,MATCH(487,$AY$11:$AY$4010,0)),""))</f>
        <v/>
      </c>
      <c r="Z497" s="11" t="str">
        <f>IF(X497="","",IFERROR(INDEX($AO$11:$AO$4010,MATCH(487,$AY$11:$AY$4010,0)),""))</f>
        <v/>
      </c>
      <c r="AA497" s="10" t="str">
        <f>IF(X497="","",IFERROR(INDEX($AQ$11:$AQ$4010,MATCH(487,$AY$11:$AY$4010,0)),""))</f>
        <v/>
      </c>
      <c r="AB497" s="15" t="str">
        <f>IF(X497="","",IFERROR(INDEX($AR$11:$AR$4010,MATCH(487,$AY$11:$AY$4010,0)),""))</f>
        <v/>
      </c>
      <c r="AD497" s="16" t="str">
        <f>IF(AE497="","",IFERROR(INDEX($AL$11:$AL$4010,MATCH(487,$AZ$11:$AZ$4010,0)),""))</f>
        <v/>
      </c>
      <c r="AE497" s="12" t="str">
        <f>IFERROR(INDEX($AM$11:$AM$4010,MATCH(487,$AZ$11:$AZ$4010,0)),"")</f>
        <v/>
      </c>
      <c r="AF497" s="11" t="str">
        <f>IF(AE497="","",IFERROR(INDEX($AN$11:$AN$4010,MATCH(487,$AZ$11:$AZ$4010,0)),""))</f>
        <v/>
      </c>
      <c r="AG497" s="11" t="str">
        <f>IF(AE497="","",IFERROR(INDEX($AO$11:$AO$4010,MATCH(487,$AZ$11:$AZ$4010,0)),""))</f>
        <v/>
      </c>
      <c r="AH497" s="10" t="str">
        <f>IF(AE497="","",IFERROR(INDEX($AQ$11:$AQ$4010,MATCH(487,$AZ$11:$AZ$4010,0)),""))</f>
        <v/>
      </c>
      <c r="AI497" s="15" t="str">
        <f>IF(AE497="","",IFERROR(INDEX($AR$11:$AR$4010,MATCH(487,$AZ$11:$AZ$4010,0)),""))</f>
        <v/>
      </c>
      <c r="AJ497" s="15" t="str">
        <f>IF(AE497="","",IFERROR(INDEX($AT$11:$AT$4010,MATCH(487,$AZ$11:$AZ$4010,0)),""))</f>
        <v/>
      </c>
      <c r="AL497" s="17" t="str">
        <f t="shared" si="93"/>
        <v/>
      </c>
      <c r="AM497" s="12" t="str">
        <f t="shared" si="94"/>
        <v/>
      </c>
      <c r="AN497" s="18" t="str">
        <f t="shared" si="95"/>
        <v/>
      </c>
      <c r="AO497" s="18" t="str">
        <f t="shared" si="96"/>
        <v/>
      </c>
      <c r="AP497" s="10" t="str">
        <f t="shared" si="97"/>
        <v/>
      </c>
      <c r="AQ497" s="10" t="str">
        <f t="shared" si="98"/>
        <v/>
      </c>
      <c r="AR497" s="19" t="str">
        <f t="shared" si="99"/>
        <v/>
      </c>
      <c r="AS497" s="20"/>
      <c r="AT497" s="19"/>
      <c r="AV497" s="21">
        <f>IF(AND($AL497&lt;&gt;"",COUNTIF($AL$11:$AL497,$AL497)=1),1,0)</f>
        <v>0</v>
      </c>
      <c r="AW497" s="21">
        <f t="shared" si="101"/>
        <v>0</v>
      </c>
      <c r="AX497" s="21" t="str">
        <f t="shared" si="100"/>
        <v/>
      </c>
      <c r="AY497" s="21" t="str">
        <f>IF(AND($AM497&lt;&gt;"",$AS497&lt;&gt;"✓"),SUMPRODUCT(($AM$11:$AM497&lt;&gt;"")*($AS$11:$AS497&lt;&gt;"✓")),"")</f>
        <v/>
      </c>
      <c r="AZ497" s="21" t="str">
        <f>IF(AND($AM497&lt;&gt;"",$AS497="✓"),SUMPRODUCT(($AM$11:$AM497&lt;&gt;"")*($AS$11:$AS497="✓")),"")</f>
        <v/>
      </c>
      <c r="BA497" s="21" t="str">
        <f>IF($AL497="","",$AL497&amp;"|"&amp;COUNTIF($AL$11:$AL497,$AL497))</f>
        <v/>
      </c>
    </row>
    <row r="498" spans="2:53" ht="15" customHeight="1" x14ac:dyDescent="0.25">
      <c r="B498" s="5" t="str">
        <f t="shared" si="92"/>
        <v/>
      </c>
      <c r="C498" s="5"/>
      <c r="D498" s="5"/>
      <c r="E498" s="5"/>
      <c r="F498" s="6"/>
      <c r="G498" s="6"/>
      <c r="H498" s="7"/>
      <c r="I498" s="8"/>
      <c r="W498" s="28" t="str">
        <f>IF(X498="","",IFERROR(INDEX($AL$11:$AL$4010,MATCH(488,$AY$11:$AY$4010,0)),""))</f>
        <v/>
      </c>
      <c r="X498" s="26" t="str">
        <f>IFERROR(INDEX($AM$11:$AM$4010,MATCH(488,$AY$11:$AY$4010,0)),"")</f>
        <v/>
      </c>
      <c r="Y498" s="25" t="str">
        <f>IF(X498="","",IFERROR(INDEX($AN$11:$AN$4010,MATCH(488,$AY$11:$AY$4010,0)),""))</f>
        <v/>
      </c>
      <c r="Z498" s="25" t="str">
        <f>IF(X498="","",IFERROR(INDEX($AO$11:$AO$4010,MATCH(488,$AY$11:$AY$4010,0)),""))</f>
        <v/>
      </c>
      <c r="AA498" s="24" t="str">
        <f>IF(X498="","",IFERROR(INDEX($AQ$11:$AQ$4010,MATCH(488,$AY$11:$AY$4010,0)),""))</f>
        <v/>
      </c>
      <c r="AB498" s="29" t="str">
        <f>IF(X498="","",IFERROR(INDEX($AR$11:$AR$4010,MATCH(488,$AY$11:$AY$4010,0)),""))</f>
        <v/>
      </c>
      <c r="AD498" s="30" t="str">
        <f>IF(AE498="","",IFERROR(INDEX($AL$11:$AL$4010,MATCH(488,$AZ$11:$AZ$4010,0)),""))</f>
        <v/>
      </c>
      <c r="AE498" s="26" t="str">
        <f>IFERROR(INDEX($AM$11:$AM$4010,MATCH(488,$AZ$11:$AZ$4010,0)),"")</f>
        <v/>
      </c>
      <c r="AF498" s="25" t="str">
        <f>IF(AE498="","",IFERROR(INDEX($AN$11:$AN$4010,MATCH(488,$AZ$11:$AZ$4010,0)),""))</f>
        <v/>
      </c>
      <c r="AG498" s="25" t="str">
        <f>IF(AE498="","",IFERROR(INDEX($AO$11:$AO$4010,MATCH(488,$AZ$11:$AZ$4010,0)),""))</f>
        <v/>
      </c>
      <c r="AH498" s="24" t="str">
        <f>IF(AE498="","",IFERROR(INDEX($AQ$11:$AQ$4010,MATCH(488,$AZ$11:$AZ$4010,0)),""))</f>
        <v/>
      </c>
      <c r="AI498" s="29" t="str">
        <f>IF(AE498="","",IFERROR(INDEX($AR$11:$AR$4010,MATCH(488,$AZ$11:$AZ$4010,0)),""))</f>
        <v/>
      </c>
      <c r="AJ498" s="29" t="str">
        <f>IF(AE498="","",IFERROR(INDEX($AT$11:$AT$4010,MATCH(488,$AZ$11:$AZ$4010,0)),""))</f>
        <v/>
      </c>
      <c r="AL498" s="31" t="str">
        <f t="shared" si="93"/>
        <v/>
      </c>
      <c r="AM498" s="26" t="str">
        <f t="shared" si="94"/>
        <v/>
      </c>
      <c r="AN498" s="32" t="str">
        <f t="shared" si="95"/>
        <v/>
      </c>
      <c r="AO498" s="32" t="str">
        <f t="shared" si="96"/>
        <v/>
      </c>
      <c r="AP498" s="24" t="str">
        <f t="shared" si="97"/>
        <v/>
      </c>
      <c r="AQ498" s="24" t="str">
        <f t="shared" si="98"/>
        <v/>
      </c>
      <c r="AR498" s="33" t="str">
        <f t="shared" si="99"/>
        <v/>
      </c>
      <c r="AS498" s="34"/>
      <c r="AT498" s="33"/>
      <c r="AV498" s="21">
        <f>IF(AND($AL498&lt;&gt;"",COUNTIF($AL$11:$AL498,$AL498)=1),1,0)</f>
        <v>0</v>
      </c>
      <c r="AW498" s="21">
        <f t="shared" si="101"/>
        <v>0</v>
      </c>
      <c r="AX498" s="21" t="str">
        <f t="shared" si="100"/>
        <v/>
      </c>
      <c r="AY498" s="21" t="str">
        <f>IF(AND($AM498&lt;&gt;"",$AS498&lt;&gt;"✓"),SUMPRODUCT(($AM$11:$AM498&lt;&gt;"")*($AS$11:$AS498&lt;&gt;"✓")),"")</f>
        <v/>
      </c>
      <c r="AZ498" s="21" t="str">
        <f>IF(AND($AM498&lt;&gt;"",$AS498="✓"),SUMPRODUCT(($AM$11:$AM498&lt;&gt;"")*($AS$11:$AS498="✓")),"")</f>
        <v/>
      </c>
      <c r="BA498" s="21" t="str">
        <f>IF($AL498="","",$AL498&amp;"|"&amp;COUNTIF($AL$11:$AL498,$AL498))</f>
        <v/>
      </c>
    </row>
    <row r="499" spans="2:53" ht="15" customHeight="1" x14ac:dyDescent="0.25">
      <c r="B499" s="5" t="str">
        <f t="shared" si="92"/>
        <v/>
      </c>
      <c r="C499" s="5"/>
      <c r="D499" s="5"/>
      <c r="E499" s="5"/>
      <c r="F499" s="6"/>
      <c r="G499" s="6"/>
      <c r="H499" s="7"/>
      <c r="I499" s="8"/>
      <c r="W499" s="14" t="str">
        <f>IF(X499="","",IFERROR(INDEX($AL$11:$AL$4010,MATCH(489,$AY$11:$AY$4010,0)),""))</f>
        <v/>
      </c>
      <c r="X499" s="12" t="str">
        <f>IFERROR(INDEX($AM$11:$AM$4010,MATCH(489,$AY$11:$AY$4010,0)),"")</f>
        <v/>
      </c>
      <c r="Y499" s="11" t="str">
        <f>IF(X499="","",IFERROR(INDEX($AN$11:$AN$4010,MATCH(489,$AY$11:$AY$4010,0)),""))</f>
        <v/>
      </c>
      <c r="Z499" s="11" t="str">
        <f>IF(X499="","",IFERROR(INDEX($AO$11:$AO$4010,MATCH(489,$AY$11:$AY$4010,0)),""))</f>
        <v/>
      </c>
      <c r="AA499" s="10" t="str">
        <f>IF(X499="","",IFERROR(INDEX($AQ$11:$AQ$4010,MATCH(489,$AY$11:$AY$4010,0)),""))</f>
        <v/>
      </c>
      <c r="AB499" s="15" t="str">
        <f>IF(X499="","",IFERROR(INDEX($AR$11:$AR$4010,MATCH(489,$AY$11:$AY$4010,0)),""))</f>
        <v/>
      </c>
      <c r="AD499" s="16" t="str">
        <f>IF(AE499="","",IFERROR(INDEX($AL$11:$AL$4010,MATCH(489,$AZ$11:$AZ$4010,0)),""))</f>
        <v/>
      </c>
      <c r="AE499" s="12" t="str">
        <f>IFERROR(INDEX($AM$11:$AM$4010,MATCH(489,$AZ$11:$AZ$4010,0)),"")</f>
        <v/>
      </c>
      <c r="AF499" s="11" t="str">
        <f>IF(AE499="","",IFERROR(INDEX($AN$11:$AN$4010,MATCH(489,$AZ$11:$AZ$4010,0)),""))</f>
        <v/>
      </c>
      <c r="AG499" s="11" t="str">
        <f>IF(AE499="","",IFERROR(INDEX($AO$11:$AO$4010,MATCH(489,$AZ$11:$AZ$4010,0)),""))</f>
        <v/>
      </c>
      <c r="AH499" s="10" t="str">
        <f>IF(AE499="","",IFERROR(INDEX($AQ$11:$AQ$4010,MATCH(489,$AZ$11:$AZ$4010,0)),""))</f>
        <v/>
      </c>
      <c r="AI499" s="15" t="str">
        <f>IF(AE499="","",IFERROR(INDEX($AR$11:$AR$4010,MATCH(489,$AZ$11:$AZ$4010,0)),""))</f>
        <v/>
      </c>
      <c r="AJ499" s="15" t="str">
        <f>IF(AE499="","",IFERROR(INDEX($AT$11:$AT$4010,MATCH(489,$AZ$11:$AZ$4010,0)),""))</f>
        <v/>
      </c>
      <c r="AL499" s="17" t="str">
        <f t="shared" si="93"/>
        <v/>
      </c>
      <c r="AM499" s="12" t="str">
        <f t="shared" si="94"/>
        <v/>
      </c>
      <c r="AN499" s="18" t="str">
        <f t="shared" si="95"/>
        <v/>
      </c>
      <c r="AO499" s="18" t="str">
        <f t="shared" si="96"/>
        <v/>
      </c>
      <c r="AP499" s="10" t="str">
        <f t="shared" si="97"/>
        <v/>
      </c>
      <c r="AQ499" s="10" t="str">
        <f t="shared" si="98"/>
        <v/>
      </c>
      <c r="AR499" s="19" t="str">
        <f t="shared" si="99"/>
        <v/>
      </c>
      <c r="AS499" s="20"/>
      <c r="AT499" s="19"/>
      <c r="AV499" s="21">
        <f>IF(AND($AL499&lt;&gt;"",COUNTIF($AL$11:$AL499,$AL499)=1),1,0)</f>
        <v>0</v>
      </c>
      <c r="AW499" s="21">
        <f t="shared" si="101"/>
        <v>0</v>
      </c>
      <c r="AX499" s="21" t="str">
        <f t="shared" si="100"/>
        <v/>
      </c>
      <c r="AY499" s="21" t="str">
        <f>IF(AND($AM499&lt;&gt;"",$AS499&lt;&gt;"✓"),SUMPRODUCT(($AM$11:$AM499&lt;&gt;"")*($AS$11:$AS499&lt;&gt;"✓")),"")</f>
        <v/>
      </c>
      <c r="AZ499" s="21" t="str">
        <f>IF(AND($AM499&lt;&gt;"",$AS499="✓"),SUMPRODUCT(($AM$11:$AM499&lt;&gt;"")*($AS$11:$AS499="✓")),"")</f>
        <v/>
      </c>
      <c r="BA499" s="21" t="str">
        <f>IF($AL499="","",$AL499&amp;"|"&amp;COUNTIF($AL$11:$AL499,$AL499))</f>
        <v/>
      </c>
    </row>
    <row r="500" spans="2:53" ht="15" customHeight="1" x14ac:dyDescent="0.25">
      <c r="B500" s="5" t="str">
        <f t="shared" si="92"/>
        <v/>
      </c>
      <c r="C500" s="5"/>
      <c r="D500" s="5"/>
      <c r="E500" s="5"/>
      <c r="F500" s="6"/>
      <c r="G500" s="6"/>
      <c r="H500" s="7"/>
      <c r="I500" s="8"/>
      <c r="W500" s="28" t="str">
        <f>IF(X500="","",IFERROR(INDEX($AL$11:$AL$4010,MATCH(490,$AY$11:$AY$4010,0)),""))</f>
        <v/>
      </c>
      <c r="X500" s="26" t="str">
        <f>IFERROR(INDEX($AM$11:$AM$4010,MATCH(490,$AY$11:$AY$4010,0)),"")</f>
        <v/>
      </c>
      <c r="Y500" s="25" t="str">
        <f>IF(X500="","",IFERROR(INDEX($AN$11:$AN$4010,MATCH(490,$AY$11:$AY$4010,0)),""))</f>
        <v/>
      </c>
      <c r="Z500" s="25" t="str">
        <f>IF(X500="","",IFERROR(INDEX($AO$11:$AO$4010,MATCH(490,$AY$11:$AY$4010,0)),""))</f>
        <v/>
      </c>
      <c r="AA500" s="24" t="str">
        <f>IF(X500="","",IFERROR(INDEX($AQ$11:$AQ$4010,MATCH(490,$AY$11:$AY$4010,0)),""))</f>
        <v/>
      </c>
      <c r="AB500" s="29" t="str">
        <f>IF(X500="","",IFERROR(INDEX($AR$11:$AR$4010,MATCH(490,$AY$11:$AY$4010,0)),""))</f>
        <v/>
      </c>
      <c r="AD500" s="30" t="str">
        <f>IF(AE500="","",IFERROR(INDEX($AL$11:$AL$4010,MATCH(490,$AZ$11:$AZ$4010,0)),""))</f>
        <v/>
      </c>
      <c r="AE500" s="26" t="str">
        <f>IFERROR(INDEX($AM$11:$AM$4010,MATCH(490,$AZ$11:$AZ$4010,0)),"")</f>
        <v/>
      </c>
      <c r="AF500" s="25" t="str">
        <f>IF(AE500="","",IFERROR(INDEX($AN$11:$AN$4010,MATCH(490,$AZ$11:$AZ$4010,0)),""))</f>
        <v/>
      </c>
      <c r="AG500" s="25" t="str">
        <f>IF(AE500="","",IFERROR(INDEX($AO$11:$AO$4010,MATCH(490,$AZ$11:$AZ$4010,0)),""))</f>
        <v/>
      </c>
      <c r="AH500" s="24" t="str">
        <f>IF(AE500="","",IFERROR(INDEX($AQ$11:$AQ$4010,MATCH(490,$AZ$11:$AZ$4010,0)),""))</f>
        <v/>
      </c>
      <c r="AI500" s="29" t="str">
        <f>IF(AE500="","",IFERROR(INDEX($AR$11:$AR$4010,MATCH(490,$AZ$11:$AZ$4010,0)),""))</f>
        <v/>
      </c>
      <c r="AJ500" s="29" t="str">
        <f>IF(AE500="","",IFERROR(INDEX($AT$11:$AT$4010,MATCH(490,$AZ$11:$AZ$4010,0)),""))</f>
        <v/>
      </c>
      <c r="AL500" s="31" t="str">
        <f t="shared" si="93"/>
        <v/>
      </c>
      <c r="AM500" s="26" t="str">
        <f t="shared" si="94"/>
        <v/>
      </c>
      <c r="AN500" s="32" t="str">
        <f t="shared" si="95"/>
        <v/>
      </c>
      <c r="AO500" s="32" t="str">
        <f t="shared" si="96"/>
        <v/>
      </c>
      <c r="AP500" s="24" t="str">
        <f t="shared" si="97"/>
        <v/>
      </c>
      <c r="AQ500" s="24" t="str">
        <f t="shared" si="98"/>
        <v/>
      </c>
      <c r="AR500" s="33" t="str">
        <f t="shared" si="99"/>
        <v/>
      </c>
      <c r="AS500" s="34"/>
      <c r="AT500" s="33"/>
      <c r="AV500" s="21">
        <f>IF(AND($AL500&lt;&gt;"",COUNTIF($AL$11:$AL500,$AL500)=1),1,0)</f>
        <v>0</v>
      </c>
      <c r="AW500" s="21">
        <f t="shared" si="101"/>
        <v>0</v>
      </c>
      <c r="AX500" s="21" t="str">
        <f t="shared" si="100"/>
        <v/>
      </c>
      <c r="AY500" s="21" t="str">
        <f>IF(AND($AM500&lt;&gt;"",$AS500&lt;&gt;"✓"),SUMPRODUCT(($AM$11:$AM500&lt;&gt;"")*($AS$11:$AS500&lt;&gt;"✓")),"")</f>
        <v/>
      </c>
      <c r="AZ500" s="21" t="str">
        <f>IF(AND($AM500&lt;&gt;"",$AS500="✓"),SUMPRODUCT(($AM$11:$AM500&lt;&gt;"")*($AS$11:$AS500="✓")),"")</f>
        <v/>
      </c>
      <c r="BA500" s="21" t="str">
        <f>IF($AL500="","",$AL500&amp;"|"&amp;COUNTIF($AL$11:$AL500,$AL500))</f>
        <v/>
      </c>
    </row>
    <row r="501" spans="2:53" ht="15" customHeight="1" x14ac:dyDescent="0.25">
      <c r="B501" s="5" t="str">
        <f t="shared" si="92"/>
        <v/>
      </c>
      <c r="C501" s="5"/>
      <c r="D501" s="5"/>
      <c r="E501" s="5"/>
      <c r="F501" s="6"/>
      <c r="G501" s="6"/>
      <c r="H501" s="7"/>
      <c r="I501" s="8"/>
      <c r="W501" s="14" t="str">
        <f>IF(X501="","",IFERROR(INDEX($AL$11:$AL$4010,MATCH(491,$AY$11:$AY$4010,0)),""))</f>
        <v/>
      </c>
      <c r="X501" s="12" t="str">
        <f>IFERROR(INDEX($AM$11:$AM$4010,MATCH(491,$AY$11:$AY$4010,0)),"")</f>
        <v/>
      </c>
      <c r="Y501" s="11" t="str">
        <f>IF(X501="","",IFERROR(INDEX($AN$11:$AN$4010,MATCH(491,$AY$11:$AY$4010,0)),""))</f>
        <v/>
      </c>
      <c r="Z501" s="11" t="str">
        <f>IF(X501="","",IFERROR(INDEX($AO$11:$AO$4010,MATCH(491,$AY$11:$AY$4010,0)),""))</f>
        <v/>
      </c>
      <c r="AA501" s="10" t="str">
        <f>IF(X501="","",IFERROR(INDEX($AQ$11:$AQ$4010,MATCH(491,$AY$11:$AY$4010,0)),""))</f>
        <v/>
      </c>
      <c r="AB501" s="15" t="str">
        <f>IF(X501="","",IFERROR(INDEX($AR$11:$AR$4010,MATCH(491,$AY$11:$AY$4010,0)),""))</f>
        <v/>
      </c>
      <c r="AD501" s="16" t="str">
        <f>IF(AE501="","",IFERROR(INDEX($AL$11:$AL$4010,MATCH(491,$AZ$11:$AZ$4010,0)),""))</f>
        <v/>
      </c>
      <c r="AE501" s="12" t="str">
        <f>IFERROR(INDEX($AM$11:$AM$4010,MATCH(491,$AZ$11:$AZ$4010,0)),"")</f>
        <v/>
      </c>
      <c r="AF501" s="11" t="str">
        <f>IF(AE501="","",IFERROR(INDEX($AN$11:$AN$4010,MATCH(491,$AZ$11:$AZ$4010,0)),""))</f>
        <v/>
      </c>
      <c r="AG501" s="11" t="str">
        <f>IF(AE501="","",IFERROR(INDEX($AO$11:$AO$4010,MATCH(491,$AZ$11:$AZ$4010,0)),""))</f>
        <v/>
      </c>
      <c r="AH501" s="10" t="str">
        <f>IF(AE501="","",IFERROR(INDEX($AQ$11:$AQ$4010,MATCH(491,$AZ$11:$AZ$4010,0)),""))</f>
        <v/>
      </c>
      <c r="AI501" s="15" t="str">
        <f>IF(AE501="","",IFERROR(INDEX($AR$11:$AR$4010,MATCH(491,$AZ$11:$AZ$4010,0)),""))</f>
        <v/>
      </c>
      <c r="AJ501" s="15" t="str">
        <f>IF(AE501="","",IFERROR(INDEX($AT$11:$AT$4010,MATCH(491,$AZ$11:$AZ$4010,0)),""))</f>
        <v/>
      </c>
      <c r="AL501" s="17" t="str">
        <f t="shared" si="93"/>
        <v/>
      </c>
      <c r="AM501" s="12" t="str">
        <f t="shared" si="94"/>
        <v/>
      </c>
      <c r="AN501" s="18" t="str">
        <f t="shared" si="95"/>
        <v/>
      </c>
      <c r="AO501" s="18" t="str">
        <f t="shared" si="96"/>
        <v/>
      </c>
      <c r="AP501" s="10" t="str">
        <f t="shared" si="97"/>
        <v/>
      </c>
      <c r="AQ501" s="10" t="str">
        <f t="shared" si="98"/>
        <v/>
      </c>
      <c r="AR501" s="19" t="str">
        <f t="shared" si="99"/>
        <v/>
      </c>
      <c r="AS501" s="20"/>
      <c r="AT501" s="19"/>
      <c r="AV501" s="21">
        <f>IF(AND($AL501&lt;&gt;"",COUNTIF($AL$11:$AL501,$AL501)=1),1,0)</f>
        <v>0</v>
      </c>
      <c r="AW501" s="21">
        <f t="shared" si="101"/>
        <v>0</v>
      </c>
      <c r="AX501" s="21" t="str">
        <f t="shared" si="100"/>
        <v/>
      </c>
      <c r="AY501" s="21" t="str">
        <f>IF(AND($AM501&lt;&gt;"",$AS501&lt;&gt;"✓"),SUMPRODUCT(($AM$11:$AM501&lt;&gt;"")*($AS$11:$AS501&lt;&gt;"✓")),"")</f>
        <v/>
      </c>
      <c r="AZ501" s="21" t="str">
        <f>IF(AND($AM501&lt;&gt;"",$AS501="✓"),SUMPRODUCT(($AM$11:$AM501&lt;&gt;"")*($AS$11:$AS501="✓")),"")</f>
        <v/>
      </c>
      <c r="BA501" s="21" t="str">
        <f>IF($AL501="","",$AL501&amp;"|"&amp;COUNTIF($AL$11:$AL501,$AL501))</f>
        <v/>
      </c>
    </row>
    <row r="502" spans="2:53" ht="15" customHeight="1" x14ac:dyDescent="0.25">
      <c r="B502" s="5" t="str">
        <f t="shared" si="92"/>
        <v/>
      </c>
      <c r="C502" s="5"/>
      <c r="D502" s="5"/>
      <c r="E502" s="5"/>
      <c r="F502" s="6"/>
      <c r="G502" s="6"/>
      <c r="H502" s="7"/>
      <c r="I502" s="8"/>
      <c r="W502" s="28" t="str">
        <f>IF(X502="","",IFERROR(INDEX($AL$11:$AL$4010,MATCH(492,$AY$11:$AY$4010,0)),""))</f>
        <v/>
      </c>
      <c r="X502" s="26" t="str">
        <f>IFERROR(INDEX($AM$11:$AM$4010,MATCH(492,$AY$11:$AY$4010,0)),"")</f>
        <v/>
      </c>
      <c r="Y502" s="25" t="str">
        <f>IF(X502="","",IFERROR(INDEX($AN$11:$AN$4010,MATCH(492,$AY$11:$AY$4010,0)),""))</f>
        <v/>
      </c>
      <c r="Z502" s="25" t="str">
        <f>IF(X502="","",IFERROR(INDEX($AO$11:$AO$4010,MATCH(492,$AY$11:$AY$4010,0)),""))</f>
        <v/>
      </c>
      <c r="AA502" s="24" t="str">
        <f>IF(X502="","",IFERROR(INDEX($AQ$11:$AQ$4010,MATCH(492,$AY$11:$AY$4010,0)),""))</f>
        <v/>
      </c>
      <c r="AB502" s="29" t="str">
        <f>IF(X502="","",IFERROR(INDEX($AR$11:$AR$4010,MATCH(492,$AY$11:$AY$4010,0)),""))</f>
        <v/>
      </c>
      <c r="AD502" s="30" t="str">
        <f>IF(AE502="","",IFERROR(INDEX($AL$11:$AL$4010,MATCH(492,$AZ$11:$AZ$4010,0)),""))</f>
        <v/>
      </c>
      <c r="AE502" s="26" t="str">
        <f>IFERROR(INDEX($AM$11:$AM$4010,MATCH(492,$AZ$11:$AZ$4010,0)),"")</f>
        <v/>
      </c>
      <c r="AF502" s="25" t="str">
        <f>IF(AE502="","",IFERROR(INDEX($AN$11:$AN$4010,MATCH(492,$AZ$11:$AZ$4010,0)),""))</f>
        <v/>
      </c>
      <c r="AG502" s="25" t="str">
        <f>IF(AE502="","",IFERROR(INDEX($AO$11:$AO$4010,MATCH(492,$AZ$11:$AZ$4010,0)),""))</f>
        <v/>
      </c>
      <c r="AH502" s="24" t="str">
        <f>IF(AE502="","",IFERROR(INDEX($AQ$11:$AQ$4010,MATCH(492,$AZ$11:$AZ$4010,0)),""))</f>
        <v/>
      </c>
      <c r="AI502" s="29" t="str">
        <f>IF(AE502="","",IFERROR(INDEX($AR$11:$AR$4010,MATCH(492,$AZ$11:$AZ$4010,0)),""))</f>
        <v/>
      </c>
      <c r="AJ502" s="29" t="str">
        <f>IF(AE502="","",IFERROR(INDEX($AT$11:$AT$4010,MATCH(492,$AZ$11:$AZ$4010,0)),""))</f>
        <v/>
      </c>
      <c r="AL502" s="31" t="str">
        <f t="shared" si="93"/>
        <v/>
      </c>
      <c r="AM502" s="26" t="str">
        <f t="shared" si="94"/>
        <v/>
      </c>
      <c r="AN502" s="32" t="str">
        <f t="shared" si="95"/>
        <v/>
      </c>
      <c r="AO502" s="32" t="str">
        <f t="shared" si="96"/>
        <v/>
      </c>
      <c r="AP502" s="24" t="str">
        <f t="shared" si="97"/>
        <v/>
      </c>
      <c r="AQ502" s="24" t="str">
        <f t="shared" si="98"/>
        <v/>
      </c>
      <c r="AR502" s="33" t="str">
        <f t="shared" si="99"/>
        <v/>
      </c>
      <c r="AS502" s="34"/>
      <c r="AT502" s="33"/>
      <c r="AV502" s="21">
        <f>IF(AND($AL502&lt;&gt;"",COUNTIF($AL$11:$AL502,$AL502)=1),1,0)</f>
        <v>0</v>
      </c>
      <c r="AW502" s="21">
        <f t="shared" si="101"/>
        <v>0</v>
      </c>
      <c r="AX502" s="21" t="str">
        <f t="shared" si="100"/>
        <v/>
      </c>
      <c r="AY502" s="21" t="str">
        <f>IF(AND($AM502&lt;&gt;"",$AS502&lt;&gt;"✓"),SUMPRODUCT(($AM$11:$AM502&lt;&gt;"")*($AS$11:$AS502&lt;&gt;"✓")),"")</f>
        <v/>
      </c>
      <c r="AZ502" s="21" t="str">
        <f>IF(AND($AM502&lt;&gt;"",$AS502="✓"),SUMPRODUCT(($AM$11:$AM502&lt;&gt;"")*($AS$11:$AS502="✓")),"")</f>
        <v/>
      </c>
      <c r="BA502" s="21" t="str">
        <f>IF($AL502="","",$AL502&amp;"|"&amp;COUNTIF($AL$11:$AL502,$AL502))</f>
        <v/>
      </c>
    </row>
    <row r="503" spans="2:53" ht="15" customHeight="1" x14ac:dyDescent="0.25">
      <c r="B503" s="5" t="str">
        <f t="shared" si="92"/>
        <v/>
      </c>
      <c r="C503" s="5"/>
      <c r="D503" s="5"/>
      <c r="E503" s="5"/>
      <c r="F503" s="6"/>
      <c r="G503" s="6"/>
      <c r="H503" s="7"/>
      <c r="I503" s="8"/>
      <c r="W503" s="14" t="str">
        <f>IF(X503="","",IFERROR(INDEX($AL$11:$AL$4010,MATCH(493,$AY$11:$AY$4010,0)),""))</f>
        <v/>
      </c>
      <c r="X503" s="12" t="str">
        <f>IFERROR(INDEX($AM$11:$AM$4010,MATCH(493,$AY$11:$AY$4010,0)),"")</f>
        <v/>
      </c>
      <c r="Y503" s="11" t="str">
        <f>IF(X503="","",IFERROR(INDEX($AN$11:$AN$4010,MATCH(493,$AY$11:$AY$4010,0)),""))</f>
        <v/>
      </c>
      <c r="Z503" s="11" t="str">
        <f>IF(X503="","",IFERROR(INDEX($AO$11:$AO$4010,MATCH(493,$AY$11:$AY$4010,0)),""))</f>
        <v/>
      </c>
      <c r="AA503" s="10" t="str">
        <f>IF(X503="","",IFERROR(INDEX($AQ$11:$AQ$4010,MATCH(493,$AY$11:$AY$4010,0)),""))</f>
        <v/>
      </c>
      <c r="AB503" s="15" t="str">
        <f>IF(X503="","",IFERROR(INDEX($AR$11:$AR$4010,MATCH(493,$AY$11:$AY$4010,0)),""))</f>
        <v/>
      </c>
      <c r="AD503" s="16" t="str">
        <f>IF(AE503="","",IFERROR(INDEX($AL$11:$AL$4010,MATCH(493,$AZ$11:$AZ$4010,0)),""))</f>
        <v/>
      </c>
      <c r="AE503" s="12" t="str">
        <f>IFERROR(INDEX($AM$11:$AM$4010,MATCH(493,$AZ$11:$AZ$4010,0)),"")</f>
        <v/>
      </c>
      <c r="AF503" s="11" t="str">
        <f>IF(AE503="","",IFERROR(INDEX($AN$11:$AN$4010,MATCH(493,$AZ$11:$AZ$4010,0)),""))</f>
        <v/>
      </c>
      <c r="AG503" s="11" t="str">
        <f>IF(AE503="","",IFERROR(INDEX($AO$11:$AO$4010,MATCH(493,$AZ$11:$AZ$4010,0)),""))</f>
        <v/>
      </c>
      <c r="AH503" s="10" t="str">
        <f>IF(AE503="","",IFERROR(INDEX($AQ$11:$AQ$4010,MATCH(493,$AZ$11:$AZ$4010,0)),""))</f>
        <v/>
      </c>
      <c r="AI503" s="15" t="str">
        <f>IF(AE503="","",IFERROR(INDEX($AR$11:$AR$4010,MATCH(493,$AZ$11:$AZ$4010,0)),""))</f>
        <v/>
      </c>
      <c r="AJ503" s="15" t="str">
        <f>IF(AE503="","",IFERROR(INDEX($AT$11:$AT$4010,MATCH(493,$AZ$11:$AZ$4010,0)),""))</f>
        <v/>
      </c>
      <c r="AL503" s="17" t="str">
        <f t="shared" si="93"/>
        <v/>
      </c>
      <c r="AM503" s="12" t="str">
        <f t="shared" si="94"/>
        <v/>
      </c>
      <c r="AN503" s="18" t="str">
        <f t="shared" si="95"/>
        <v/>
      </c>
      <c r="AO503" s="18" t="str">
        <f t="shared" si="96"/>
        <v/>
      </c>
      <c r="AP503" s="10" t="str">
        <f t="shared" si="97"/>
        <v/>
      </c>
      <c r="AQ503" s="10" t="str">
        <f t="shared" si="98"/>
        <v/>
      </c>
      <c r="AR503" s="19" t="str">
        <f t="shared" si="99"/>
        <v/>
      </c>
      <c r="AS503" s="20"/>
      <c r="AT503" s="19"/>
      <c r="AV503" s="21">
        <f>IF(AND($AL503&lt;&gt;"",COUNTIF($AL$11:$AL503,$AL503)=1),1,0)</f>
        <v>0</v>
      </c>
      <c r="AW503" s="21">
        <f t="shared" si="101"/>
        <v>0</v>
      </c>
      <c r="AX503" s="21" t="str">
        <f t="shared" si="100"/>
        <v/>
      </c>
      <c r="AY503" s="21" t="str">
        <f>IF(AND($AM503&lt;&gt;"",$AS503&lt;&gt;"✓"),SUMPRODUCT(($AM$11:$AM503&lt;&gt;"")*($AS$11:$AS503&lt;&gt;"✓")),"")</f>
        <v/>
      </c>
      <c r="AZ503" s="21" t="str">
        <f>IF(AND($AM503&lt;&gt;"",$AS503="✓"),SUMPRODUCT(($AM$11:$AM503&lt;&gt;"")*($AS$11:$AS503="✓")),"")</f>
        <v/>
      </c>
      <c r="BA503" s="21" t="str">
        <f>IF($AL503="","",$AL503&amp;"|"&amp;COUNTIF($AL$11:$AL503,$AL503))</f>
        <v/>
      </c>
    </row>
    <row r="504" spans="2:53" ht="15" customHeight="1" x14ac:dyDescent="0.25">
      <c r="B504" s="5" t="str">
        <f t="shared" si="92"/>
        <v/>
      </c>
      <c r="C504" s="5"/>
      <c r="D504" s="5"/>
      <c r="E504" s="5"/>
      <c r="F504" s="6"/>
      <c r="G504" s="6"/>
      <c r="H504" s="7"/>
      <c r="I504" s="8"/>
      <c r="W504" s="28" t="str">
        <f>IF(X504="","",IFERROR(INDEX($AL$11:$AL$4010,MATCH(494,$AY$11:$AY$4010,0)),""))</f>
        <v/>
      </c>
      <c r="X504" s="26" t="str">
        <f>IFERROR(INDEX($AM$11:$AM$4010,MATCH(494,$AY$11:$AY$4010,0)),"")</f>
        <v/>
      </c>
      <c r="Y504" s="25" t="str">
        <f>IF(X504="","",IFERROR(INDEX($AN$11:$AN$4010,MATCH(494,$AY$11:$AY$4010,0)),""))</f>
        <v/>
      </c>
      <c r="Z504" s="25" t="str">
        <f>IF(X504="","",IFERROR(INDEX($AO$11:$AO$4010,MATCH(494,$AY$11:$AY$4010,0)),""))</f>
        <v/>
      </c>
      <c r="AA504" s="24" t="str">
        <f>IF(X504="","",IFERROR(INDEX($AQ$11:$AQ$4010,MATCH(494,$AY$11:$AY$4010,0)),""))</f>
        <v/>
      </c>
      <c r="AB504" s="29" t="str">
        <f>IF(X504="","",IFERROR(INDEX($AR$11:$AR$4010,MATCH(494,$AY$11:$AY$4010,0)),""))</f>
        <v/>
      </c>
      <c r="AD504" s="30" t="str">
        <f>IF(AE504="","",IFERROR(INDEX($AL$11:$AL$4010,MATCH(494,$AZ$11:$AZ$4010,0)),""))</f>
        <v/>
      </c>
      <c r="AE504" s="26" t="str">
        <f>IFERROR(INDEX($AM$11:$AM$4010,MATCH(494,$AZ$11:$AZ$4010,0)),"")</f>
        <v/>
      </c>
      <c r="AF504" s="25" t="str">
        <f>IF(AE504="","",IFERROR(INDEX($AN$11:$AN$4010,MATCH(494,$AZ$11:$AZ$4010,0)),""))</f>
        <v/>
      </c>
      <c r="AG504" s="25" t="str">
        <f>IF(AE504="","",IFERROR(INDEX($AO$11:$AO$4010,MATCH(494,$AZ$11:$AZ$4010,0)),""))</f>
        <v/>
      </c>
      <c r="AH504" s="24" t="str">
        <f>IF(AE504="","",IFERROR(INDEX($AQ$11:$AQ$4010,MATCH(494,$AZ$11:$AZ$4010,0)),""))</f>
        <v/>
      </c>
      <c r="AI504" s="29" t="str">
        <f>IF(AE504="","",IFERROR(INDEX($AR$11:$AR$4010,MATCH(494,$AZ$11:$AZ$4010,0)),""))</f>
        <v/>
      </c>
      <c r="AJ504" s="29" t="str">
        <f>IF(AE504="","",IFERROR(INDEX($AT$11:$AT$4010,MATCH(494,$AZ$11:$AZ$4010,0)),""))</f>
        <v/>
      </c>
      <c r="AL504" s="31" t="str">
        <f t="shared" si="93"/>
        <v/>
      </c>
      <c r="AM504" s="26" t="str">
        <f t="shared" si="94"/>
        <v/>
      </c>
      <c r="AN504" s="32" t="str">
        <f t="shared" si="95"/>
        <v/>
      </c>
      <c r="AO504" s="32" t="str">
        <f t="shared" si="96"/>
        <v/>
      </c>
      <c r="AP504" s="24" t="str">
        <f t="shared" si="97"/>
        <v/>
      </c>
      <c r="AQ504" s="24" t="str">
        <f t="shared" si="98"/>
        <v/>
      </c>
      <c r="AR504" s="33" t="str">
        <f t="shared" si="99"/>
        <v/>
      </c>
      <c r="AS504" s="34"/>
      <c r="AT504" s="33"/>
      <c r="AV504" s="21">
        <f>IF(AND($AL504&lt;&gt;"",COUNTIF($AL$11:$AL504,$AL504)=1),1,0)</f>
        <v>0</v>
      </c>
      <c r="AW504" s="21">
        <f t="shared" si="101"/>
        <v>0</v>
      </c>
      <c r="AX504" s="21" t="str">
        <f t="shared" si="100"/>
        <v/>
      </c>
      <c r="AY504" s="21" t="str">
        <f>IF(AND($AM504&lt;&gt;"",$AS504&lt;&gt;"✓"),SUMPRODUCT(($AM$11:$AM504&lt;&gt;"")*($AS$11:$AS504&lt;&gt;"✓")),"")</f>
        <v/>
      </c>
      <c r="AZ504" s="21" t="str">
        <f>IF(AND($AM504&lt;&gt;"",$AS504="✓"),SUMPRODUCT(($AM$11:$AM504&lt;&gt;"")*($AS$11:$AS504="✓")),"")</f>
        <v/>
      </c>
      <c r="BA504" s="21" t="str">
        <f>IF($AL504="","",$AL504&amp;"|"&amp;COUNTIF($AL$11:$AL504,$AL504))</f>
        <v/>
      </c>
    </row>
    <row r="505" spans="2:53" ht="15" customHeight="1" x14ac:dyDescent="0.25">
      <c r="B505" s="5" t="str">
        <f t="shared" si="92"/>
        <v/>
      </c>
      <c r="C505" s="5"/>
      <c r="D505" s="5"/>
      <c r="E505" s="5"/>
      <c r="F505" s="6"/>
      <c r="G505" s="6"/>
      <c r="H505" s="7"/>
      <c r="I505" s="8"/>
      <c r="W505" s="14" t="str">
        <f>IF(X505="","",IFERROR(INDEX($AL$11:$AL$4010,MATCH(495,$AY$11:$AY$4010,0)),""))</f>
        <v/>
      </c>
      <c r="X505" s="12" t="str">
        <f>IFERROR(INDEX($AM$11:$AM$4010,MATCH(495,$AY$11:$AY$4010,0)),"")</f>
        <v/>
      </c>
      <c r="Y505" s="11" t="str">
        <f>IF(X505="","",IFERROR(INDEX($AN$11:$AN$4010,MATCH(495,$AY$11:$AY$4010,0)),""))</f>
        <v/>
      </c>
      <c r="Z505" s="11" t="str">
        <f>IF(X505="","",IFERROR(INDEX($AO$11:$AO$4010,MATCH(495,$AY$11:$AY$4010,0)),""))</f>
        <v/>
      </c>
      <c r="AA505" s="10" t="str">
        <f>IF(X505="","",IFERROR(INDEX($AQ$11:$AQ$4010,MATCH(495,$AY$11:$AY$4010,0)),""))</f>
        <v/>
      </c>
      <c r="AB505" s="15" t="str">
        <f>IF(X505="","",IFERROR(INDEX($AR$11:$AR$4010,MATCH(495,$AY$11:$AY$4010,0)),""))</f>
        <v/>
      </c>
      <c r="AD505" s="16" t="str">
        <f>IF(AE505="","",IFERROR(INDEX($AL$11:$AL$4010,MATCH(495,$AZ$11:$AZ$4010,0)),""))</f>
        <v/>
      </c>
      <c r="AE505" s="12" t="str">
        <f>IFERROR(INDEX($AM$11:$AM$4010,MATCH(495,$AZ$11:$AZ$4010,0)),"")</f>
        <v/>
      </c>
      <c r="AF505" s="11" t="str">
        <f>IF(AE505="","",IFERROR(INDEX($AN$11:$AN$4010,MATCH(495,$AZ$11:$AZ$4010,0)),""))</f>
        <v/>
      </c>
      <c r="AG505" s="11" t="str">
        <f>IF(AE505="","",IFERROR(INDEX($AO$11:$AO$4010,MATCH(495,$AZ$11:$AZ$4010,0)),""))</f>
        <v/>
      </c>
      <c r="AH505" s="10" t="str">
        <f>IF(AE505="","",IFERROR(INDEX($AQ$11:$AQ$4010,MATCH(495,$AZ$11:$AZ$4010,0)),""))</f>
        <v/>
      </c>
      <c r="AI505" s="15" t="str">
        <f>IF(AE505="","",IFERROR(INDEX($AR$11:$AR$4010,MATCH(495,$AZ$11:$AZ$4010,0)),""))</f>
        <v/>
      </c>
      <c r="AJ505" s="15" t="str">
        <f>IF(AE505="","",IFERROR(INDEX($AT$11:$AT$4010,MATCH(495,$AZ$11:$AZ$4010,0)),""))</f>
        <v/>
      </c>
      <c r="AL505" s="17" t="str">
        <f t="shared" si="93"/>
        <v/>
      </c>
      <c r="AM505" s="12" t="str">
        <f t="shared" si="94"/>
        <v/>
      </c>
      <c r="AN505" s="18" t="str">
        <f t="shared" si="95"/>
        <v/>
      </c>
      <c r="AO505" s="18" t="str">
        <f t="shared" si="96"/>
        <v/>
      </c>
      <c r="AP505" s="10" t="str">
        <f t="shared" si="97"/>
        <v/>
      </c>
      <c r="AQ505" s="10" t="str">
        <f t="shared" si="98"/>
        <v/>
      </c>
      <c r="AR505" s="19" t="str">
        <f t="shared" si="99"/>
        <v/>
      </c>
      <c r="AS505" s="20"/>
      <c r="AT505" s="19"/>
      <c r="AV505" s="21">
        <f>IF(AND($AL505&lt;&gt;"",COUNTIF($AL$11:$AL505,$AL505)=1),1,0)</f>
        <v>0</v>
      </c>
      <c r="AW505" s="21">
        <f t="shared" si="101"/>
        <v>0</v>
      </c>
      <c r="AX505" s="21" t="str">
        <f t="shared" si="100"/>
        <v/>
      </c>
      <c r="AY505" s="21" t="str">
        <f>IF(AND($AM505&lt;&gt;"",$AS505&lt;&gt;"✓"),SUMPRODUCT(($AM$11:$AM505&lt;&gt;"")*($AS$11:$AS505&lt;&gt;"✓")),"")</f>
        <v/>
      </c>
      <c r="AZ505" s="21" t="str">
        <f>IF(AND($AM505&lt;&gt;"",$AS505="✓"),SUMPRODUCT(($AM$11:$AM505&lt;&gt;"")*($AS$11:$AS505="✓")),"")</f>
        <v/>
      </c>
      <c r="BA505" s="21" t="str">
        <f>IF($AL505="","",$AL505&amp;"|"&amp;COUNTIF($AL$11:$AL505,$AL505))</f>
        <v/>
      </c>
    </row>
    <row r="506" spans="2:53" ht="15" customHeight="1" x14ac:dyDescent="0.25">
      <c r="B506" s="5" t="str">
        <f t="shared" si="92"/>
        <v/>
      </c>
      <c r="C506" s="5"/>
      <c r="D506" s="5"/>
      <c r="E506" s="5"/>
      <c r="F506" s="6"/>
      <c r="G506" s="6"/>
      <c r="H506" s="7"/>
      <c r="I506" s="8"/>
      <c r="W506" s="28" t="str">
        <f>IF(X506="","",IFERROR(INDEX($AL$11:$AL$4010,MATCH(496,$AY$11:$AY$4010,0)),""))</f>
        <v/>
      </c>
      <c r="X506" s="26" t="str">
        <f>IFERROR(INDEX($AM$11:$AM$4010,MATCH(496,$AY$11:$AY$4010,0)),"")</f>
        <v/>
      </c>
      <c r="Y506" s="25" t="str">
        <f>IF(X506="","",IFERROR(INDEX($AN$11:$AN$4010,MATCH(496,$AY$11:$AY$4010,0)),""))</f>
        <v/>
      </c>
      <c r="Z506" s="25" t="str">
        <f>IF(X506="","",IFERROR(INDEX($AO$11:$AO$4010,MATCH(496,$AY$11:$AY$4010,0)),""))</f>
        <v/>
      </c>
      <c r="AA506" s="24" t="str">
        <f>IF(X506="","",IFERROR(INDEX($AQ$11:$AQ$4010,MATCH(496,$AY$11:$AY$4010,0)),""))</f>
        <v/>
      </c>
      <c r="AB506" s="29" t="str">
        <f>IF(X506="","",IFERROR(INDEX($AR$11:$AR$4010,MATCH(496,$AY$11:$AY$4010,0)),""))</f>
        <v/>
      </c>
      <c r="AD506" s="30" t="str">
        <f>IF(AE506="","",IFERROR(INDEX($AL$11:$AL$4010,MATCH(496,$AZ$11:$AZ$4010,0)),""))</f>
        <v/>
      </c>
      <c r="AE506" s="26" t="str">
        <f>IFERROR(INDEX($AM$11:$AM$4010,MATCH(496,$AZ$11:$AZ$4010,0)),"")</f>
        <v/>
      </c>
      <c r="AF506" s="25" t="str">
        <f>IF(AE506="","",IFERROR(INDEX($AN$11:$AN$4010,MATCH(496,$AZ$11:$AZ$4010,0)),""))</f>
        <v/>
      </c>
      <c r="AG506" s="25" t="str">
        <f>IF(AE506="","",IFERROR(INDEX($AO$11:$AO$4010,MATCH(496,$AZ$11:$AZ$4010,0)),""))</f>
        <v/>
      </c>
      <c r="AH506" s="24" t="str">
        <f>IF(AE506="","",IFERROR(INDEX($AQ$11:$AQ$4010,MATCH(496,$AZ$11:$AZ$4010,0)),""))</f>
        <v/>
      </c>
      <c r="AI506" s="29" t="str">
        <f>IF(AE506="","",IFERROR(INDEX($AR$11:$AR$4010,MATCH(496,$AZ$11:$AZ$4010,0)),""))</f>
        <v/>
      </c>
      <c r="AJ506" s="29" t="str">
        <f>IF(AE506="","",IFERROR(INDEX($AT$11:$AT$4010,MATCH(496,$AZ$11:$AZ$4010,0)),""))</f>
        <v/>
      </c>
      <c r="AL506" s="31" t="str">
        <f t="shared" si="93"/>
        <v/>
      </c>
      <c r="AM506" s="26" t="str">
        <f t="shared" si="94"/>
        <v/>
      </c>
      <c r="AN506" s="32" t="str">
        <f t="shared" si="95"/>
        <v/>
      </c>
      <c r="AO506" s="32" t="str">
        <f t="shared" si="96"/>
        <v/>
      </c>
      <c r="AP506" s="24" t="str">
        <f t="shared" si="97"/>
        <v/>
      </c>
      <c r="AQ506" s="24" t="str">
        <f t="shared" si="98"/>
        <v/>
      </c>
      <c r="AR506" s="33" t="str">
        <f t="shared" si="99"/>
        <v/>
      </c>
      <c r="AS506" s="34"/>
      <c r="AT506" s="33"/>
      <c r="AV506" s="21">
        <f>IF(AND($AL506&lt;&gt;"",COUNTIF($AL$11:$AL506,$AL506)=1),1,0)</f>
        <v>0</v>
      </c>
      <c r="AW506" s="21">
        <f t="shared" si="101"/>
        <v>0</v>
      </c>
      <c r="AX506" s="21" t="str">
        <f t="shared" si="100"/>
        <v/>
      </c>
      <c r="AY506" s="21" t="str">
        <f>IF(AND($AM506&lt;&gt;"",$AS506&lt;&gt;"✓"),SUMPRODUCT(($AM$11:$AM506&lt;&gt;"")*($AS$11:$AS506&lt;&gt;"✓")),"")</f>
        <v/>
      </c>
      <c r="AZ506" s="21" t="str">
        <f>IF(AND($AM506&lt;&gt;"",$AS506="✓"),SUMPRODUCT(($AM$11:$AM506&lt;&gt;"")*($AS$11:$AS506="✓")),"")</f>
        <v/>
      </c>
      <c r="BA506" s="21" t="str">
        <f>IF($AL506="","",$AL506&amp;"|"&amp;COUNTIF($AL$11:$AL506,$AL506))</f>
        <v/>
      </c>
    </row>
    <row r="507" spans="2:53" ht="15" customHeight="1" x14ac:dyDescent="0.25">
      <c r="B507" s="5" t="str">
        <f t="shared" si="92"/>
        <v/>
      </c>
      <c r="C507" s="5"/>
      <c r="D507" s="5"/>
      <c r="E507" s="5"/>
      <c r="F507" s="6"/>
      <c r="G507" s="6"/>
      <c r="H507" s="7"/>
      <c r="I507" s="8"/>
      <c r="W507" s="14" t="str">
        <f>IF(X507="","",IFERROR(INDEX($AL$11:$AL$4010,MATCH(497,$AY$11:$AY$4010,0)),""))</f>
        <v/>
      </c>
      <c r="X507" s="12" t="str">
        <f>IFERROR(INDEX($AM$11:$AM$4010,MATCH(497,$AY$11:$AY$4010,0)),"")</f>
        <v/>
      </c>
      <c r="Y507" s="11" t="str">
        <f>IF(X507="","",IFERROR(INDEX($AN$11:$AN$4010,MATCH(497,$AY$11:$AY$4010,0)),""))</f>
        <v/>
      </c>
      <c r="Z507" s="11" t="str">
        <f>IF(X507="","",IFERROR(INDEX($AO$11:$AO$4010,MATCH(497,$AY$11:$AY$4010,0)),""))</f>
        <v/>
      </c>
      <c r="AA507" s="10" t="str">
        <f>IF(X507="","",IFERROR(INDEX($AQ$11:$AQ$4010,MATCH(497,$AY$11:$AY$4010,0)),""))</f>
        <v/>
      </c>
      <c r="AB507" s="15" t="str">
        <f>IF(X507="","",IFERROR(INDEX($AR$11:$AR$4010,MATCH(497,$AY$11:$AY$4010,0)),""))</f>
        <v/>
      </c>
      <c r="AD507" s="16" t="str">
        <f>IF(AE507="","",IFERROR(INDEX($AL$11:$AL$4010,MATCH(497,$AZ$11:$AZ$4010,0)),""))</f>
        <v/>
      </c>
      <c r="AE507" s="12" t="str">
        <f>IFERROR(INDEX($AM$11:$AM$4010,MATCH(497,$AZ$11:$AZ$4010,0)),"")</f>
        <v/>
      </c>
      <c r="AF507" s="11" t="str">
        <f>IF(AE507="","",IFERROR(INDEX($AN$11:$AN$4010,MATCH(497,$AZ$11:$AZ$4010,0)),""))</f>
        <v/>
      </c>
      <c r="AG507" s="11" t="str">
        <f>IF(AE507="","",IFERROR(INDEX($AO$11:$AO$4010,MATCH(497,$AZ$11:$AZ$4010,0)),""))</f>
        <v/>
      </c>
      <c r="AH507" s="10" t="str">
        <f>IF(AE507="","",IFERROR(INDEX($AQ$11:$AQ$4010,MATCH(497,$AZ$11:$AZ$4010,0)),""))</f>
        <v/>
      </c>
      <c r="AI507" s="15" t="str">
        <f>IF(AE507="","",IFERROR(INDEX($AR$11:$AR$4010,MATCH(497,$AZ$11:$AZ$4010,0)),""))</f>
        <v/>
      </c>
      <c r="AJ507" s="15" t="str">
        <f>IF(AE507="","",IFERROR(INDEX($AT$11:$AT$4010,MATCH(497,$AZ$11:$AZ$4010,0)),""))</f>
        <v/>
      </c>
      <c r="AL507" s="17" t="str">
        <f t="shared" si="93"/>
        <v/>
      </c>
      <c r="AM507" s="12" t="str">
        <f t="shared" si="94"/>
        <v/>
      </c>
      <c r="AN507" s="18" t="str">
        <f t="shared" si="95"/>
        <v/>
      </c>
      <c r="AO507" s="18" t="str">
        <f t="shared" si="96"/>
        <v/>
      </c>
      <c r="AP507" s="10" t="str">
        <f t="shared" si="97"/>
        <v/>
      </c>
      <c r="AQ507" s="10" t="str">
        <f t="shared" si="98"/>
        <v/>
      </c>
      <c r="AR507" s="19" t="str">
        <f t="shared" si="99"/>
        <v/>
      </c>
      <c r="AS507" s="20"/>
      <c r="AT507" s="19"/>
      <c r="AV507" s="21">
        <f>IF(AND($AL507&lt;&gt;"",COUNTIF($AL$11:$AL507,$AL507)=1),1,0)</f>
        <v>0</v>
      </c>
      <c r="AW507" s="21">
        <f t="shared" si="101"/>
        <v>0</v>
      </c>
      <c r="AX507" s="21" t="str">
        <f t="shared" si="100"/>
        <v/>
      </c>
      <c r="AY507" s="21" t="str">
        <f>IF(AND($AM507&lt;&gt;"",$AS507&lt;&gt;"✓"),SUMPRODUCT(($AM$11:$AM507&lt;&gt;"")*($AS$11:$AS507&lt;&gt;"✓")),"")</f>
        <v/>
      </c>
      <c r="AZ507" s="21" t="str">
        <f>IF(AND($AM507&lt;&gt;"",$AS507="✓"),SUMPRODUCT(($AM$11:$AM507&lt;&gt;"")*($AS$11:$AS507="✓")),"")</f>
        <v/>
      </c>
      <c r="BA507" s="21" t="str">
        <f>IF($AL507="","",$AL507&amp;"|"&amp;COUNTIF($AL$11:$AL507,$AL507))</f>
        <v/>
      </c>
    </row>
    <row r="508" spans="2:53" ht="15" customHeight="1" x14ac:dyDescent="0.25">
      <c r="B508" s="5" t="str">
        <f t="shared" si="92"/>
        <v/>
      </c>
      <c r="C508" s="5"/>
      <c r="D508" s="5"/>
      <c r="E508" s="5"/>
      <c r="F508" s="6"/>
      <c r="G508" s="6"/>
      <c r="H508" s="7"/>
      <c r="I508" s="8"/>
      <c r="W508" s="28" t="str">
        <f>IF(X508="","",IFERROR(INDEX($AL$11:$AL$4010,MATCH(498,$AY$11:$AY$4010,0)),""))</f>
        <v/>
      </c>
      <c r="X508" s="26" t="str">
        <f>IFERROR(INDEX($AM$11:$AM$4010,MATCH(498,$AY$11:$AY$4010,0)),"")</f>
        <v/>
      </c>
      <c r="Y508" s="25" t="str">
        <f>IF(X508="","",IFERROR(INDEX($AN$11:$AN$4010,MATCH(498,$AY$11:$AY$4010,0)),""))</f>
        <v/>
      </c>
      <c r="Z508" s="25" t="str">
        <f>IF(X508="","",IFERROR(INDEX($AO$11:$AO$4010,MATCH(498,$AY$11:$AY$4010,0)),""))</f>
        <v/>
      </c>
      <c r="AA508" s="24" t="str">
        <f>IF(X508="","",IFERROR(INDEX($AQ$11:$AQ$4010,MATCH(498,$AY$11:$AY$4010,0)),""))</f>
        <v/>
      </c>
      <c r="AB508" s="29" t="str">
        <f>IF(X508="","",IFERROR(INDEX($AR$11:$AR$4010,MATCH(498,$AY$11:$AY$4010,0)),""))</f>
        <v/>
      </c>
      <c r="AD508" s="30" t="str">
        <f>IF(AE508="","",IFERROR(INDEX($AL$11:$AL$4010,MATCH(498,$AZ$11:$AZ$4010,0)),""))</f>
        <v/>
      </c>
      <c r="AE508" s="26" t="str">
        <f>IFERROR(INDEX($AM$11:$AM$4010,MATCH(498,$AZ$11:$AZ$4010,0)),"")</f>
        <v/>
      </c>
      <c r="AF508" s="25" t="str">
        <f>IF(AE508="","",IFERROR(INDEX($AN$11:$AN$4010,MATCH(498,$AZ$11:$AZ$4010,0)),""))</f>
        <v/>
      </c>
      <c r="AG508" s="25" t="str">
        <f>IF(AE508="","",IFERROR(INDEX($AO$11:$AO$4010,MATCH(498,$AZ$11:$AZ$4010,0)),""))</f>
        <v/>
      </c>
      <c r="AH508" s="24" t="str">
        <f>IF(AE508="","",IFERROR(INDEX($AQ$11:$AQ$4010,MATCH(498,$AZ$11:$AZ$4010,0)),""))</f>
        <v/>
      </c>
      <c r="AI508" s="29" t="str">
        <f>IF(AE508="","",IFERROR(INDEX($AR$11:$AR$4010,MATCH(498,$AZ$11:$AZ$4010,0)),""))</f>
        <v/>
      </c>
      <c r="AJ508" s="29" t="str">
        <f>IF(AE508="","",IFERROR(INDEX($AT$11:$AT$4010,MATCH(498,$AZ$11:$AZ$4010,0)),""))</f>
        <v/>
      </c>
      <c r="AL508" s="31" t="str">
        <f t="shared" si="93"/>
        <v/>
      </c>
      <c r="AM508" s="26" t="str">
        <f t="shared" si="94"/>
        <v/>
      </c>
      <c r="AN508" s="32" t="str">
        <f t="shared" si="95"/>
        <v/>
      </c>
      <c r="AO508" s="32" t="str">
        <f t="shared" si="96"/>
        <v/>
      </c>
      <c r="AP508" s="24" t="str">
        <f t="shared" si="97"/>
        <v/>
      </c>
      <c r="AQ508" s="24" t="str">
        <f t="shared" si="98"/>
        <v/>
      </c>
      <c r="AR508" s="33" t="str">
        <f t="shared" si="99"/>
        <v/>
      </c>
      <c r="AS508" s="34"/>
      <c r="AT508" s="33"/>
      <c r="AV508" s="21">
        <f>IF(AND($AL508&lt;&gt;"",COUNTIF($AL$11:$AL508,$AL508)=1),1,0)</f>
        <v>0</v>
      </c>
      <c r="AW508" s="21">
        <f t="shared" si="101"/>
        <v>0</v>
      </c>
      <c r="AX508" s="21" t="str">
        <f t="shared" si="100"/>
        <v/>
      </c>
      <c r="AY508" s="21" t="str">
        <f>IF(AND($AM508&lt;&gt;"",$AS508&lt;&gt;"✓"),SUMPRODUCT(($AM$11:$AM508&lt;&gt;"")*($AS$11:$AS508&lt;&gt;"✓")),"")</f>
        <v/>
      </c>
      <c r="AZ508" s="21" t="str">
        <f>IF(AND($AM508&lt;&gt;"",$AS508="✓"),SUMPRODUCT(($AM$11:$AM508&lt;&gt;"")*($AS$11:$AS508="✓")),"")</f>
        <v/>
      </c>
      <c r="BA508" s="21" t="str">
        <f>IF($AL508="","",$AL508&amp;"|"&amp;COUNTIF($AL$11:$AL508,$AL508))</f>
        <v/>
      </c>
    </row>
    <row r="509" spans="2:53" ht="15" customHeight="1" x14ac:dyDescent="0.25">
      <c r="B509" s="5" t="str">
        <f t="shared" si="92"/>
        <v/>
      </c>
      <c r="C509" s="5"/>
      <c r="D509" s="5"/>
      <c r="E509" s="5"/>
      <c r="F509" s="6"/>
      <c r="G509" s="6"/>
      <c r="H509" s="7"/>
      <c r="I509" s="8"/>
      <c r="W509" s="14" t="str">
        <f>IF(X509="","",IFERROR(INDEX($AL$11:$AL$4010,MATCH(499,$AY$11:$AY$4010,0)),""))</f>
        <v/>
      </c>
      <c r="X509" s="12" t="str">
        <f>IFERROR(INDEX($AM$11:$AM$4010,MATCH(499,$AY$11:$AY$4010,0)),"")</f>
        <v/>
      </c>
      <c r="Y509" s="11" t="str">
        <f>IF(X509="","",IFERROR(INDEX($AN$11:$AN$4010,MATCH(499,$AY$11:$AY$4010,0)),""))</f>
        <v/>
      </c>
      <c r="Z509" s="11" t="str">
        <f>IF(X509="","",IFERROR(INDEX($AO$11:$AO$4010,MATCH(499,$AY$11:$AY$4010,0)),""))</f>
        <v/>
      </c>
      <c r="AA509" s="10" t="str">
        <f>IF(X509="","",IFERROR(INDEX($AQ$11:$AQ$4010,MATCH(499,$AY$11:$AY$4010,0)),""))</f>
        <v/>
      </c>
      <c r="AB509" s="15" t="str">
        <f>IF(X509="","",IFERROR(INDEX($AR$11:$AR$4010,MATCH(499,$AY$11:$AY$4010,0)),""))</f>
        <v/>
      </c>
      <c r="AD509" s="16" t="str">
        <f>IF(AE509="","",IFERROR(INDEX($AL$11:$AL$4010,MATCH(499,$AZ$11:$AZ$4010,0)),""))</f>
        <v/>
      </c>
      <c r="AE509" s="12" t="str">
        <f>IFERROR(INDEX($AM$11:$AM$4010,MATCH(499,$AZ$11:$AZ$4010,0)),"")</f>
        <v/>
      </c>
      <c r="AF509" s="11" t="str">
        <f>IF(AE509="","",IFERROR(INDEX($AN$11:$AN$4010,MATCH(499,$AZ$11:$AZ$4010,0)),""))</f>
        <v/>
      </c>
      <c r="AG509" s="11" t="str">
        <f>IF(AE509="","",IFERROR(INDEX($AO$11:$AO$4010,MATCH(499,$AZ$11:$AZ$4010,0)),""))</f>
        <v/>
      </c>
      <c r="AH509" s="10" t="str">
        <f>IF(AE509="","",IFERROR(INDEX($AQ$11:$AQ$4010,MATCH(499,$AZ$11:$AZ$4010,0)),""))</f>
        <v/>
      </c>
      <c r="AI509" s="15" t="str">
        <f>IF(AE509="","",IFERROR(INDEX($AR$11:$AR$4010,MATCH(499,$AZ$11:$AZ$4010,0)),""))</f>
        <v/>
      </c>
      <c r="AJ509" s="15" t="str">
        <f>IF(AE509="","",IFERROR(INDEX($AT$11:$AT$4010,MATCH(499,$AZ$11:$AZ$4010,0)),""))</f>
        <v/>
      </c>
      <c r="AL509" s="17" t="str">
        <f t="shared" si="93"/>
        <v/>
      </c>
      <c r="AM509" s="12" t="str">
        <f t="shared" si="94"/>
        <v/>
      </c>
      <c r="AN509" s="18" t="str">
        <f t="shared" si="95"/>
        <v/>
      </c>
      <c r="AO509" s="18" t="str">
        <f t="shared" si="96"/>
        <v/>
      </c>
      <c r="AP509" s="10" t="str">
        <f t="shared" si="97"/>
        <v/>
      </c>
      <c r="AQ509" s="10" t="str">
        <f t="shared" si="98"/>
        <v/>
      </c>
      <c r="AR509" s="19" t="str">
        <f t="shared" si="99"/>
        <v/>
      </c>
      <c r="AS509" s="20"/>
      <c r="AT509" s="19"/>
      <c r="AV509" s="21">
        <f>IF(AND($AL509&lt;&gt;"",COUNTIF($AL$11:$AL509,$AL509)=1),1,0)</f>
        <v>0</v>
      </c>
      <c r="AW509" s="21">
        <f t="shared" si="101"/>
        <v>0</v>
      </c>
      <c r="AX509" s="21" t="str">
        <f t="shared" si="100"/>
        <v/>
      </c>
      <c r="AY509" s="21" t="str">
        <f>IF(AND($AM509&lt;&gt;"",$AS509&lt;&gt;"✓"),SUMPRODUCT(($AM$11:$AM509&lt;&gt;"")*($AS$11:$AS509&lt;&gt;"✓")),"")</f>
        <v/>
      </c>
      <c r="AZ509" s="21" t="str">
        <f>IF(AND($AM509&lt;&gt;"",$AS509="✓"),SUMPRODUCT(($AM$11:$AM509&lt;&gt;"")*($AS$11:$AS509="✓")),"")</f>
        <v/>
      </c>
      <c r="BA509" s="21" t="str">
        <f>IF($AL509="","",$AL509&amp;"|"&amp;COUNTIF($AL$11:$AL509,$AL509))</f>
        <v/>
      </c>
    </row>
    <row r="510" spans="2:53" ht="15" customHeight="1" x14ac:dyDescent="0.25">
      <c r="B510" s="5" t="str">
        <f t="shared" si="92"/>
        <v/>
      </c>
      <c r="C510" s="5"/>
      <c r="D510" s="5"/>
      <c r="E510" s="5"/>
      <c r="F510" s="6"/>
      <c r="G510" s="6"/>
      <c r="H510" s="7"/>
      <c r="I510" s="8"/>
      <c r="W510" s="28" t="str">
        <f>IF(X510="","",IFERROR(INDEX($AL$11:$AL$4010,MATCH(500,$AY$11:$AY$4010,0)),""))</f>
        <v/>
      </c>
      <c r="X510" s="26" t="str">
        <f>IFERROR(INDEX($AM$11:$AM$4010,MATCH(500,$AY$11:$AY$4010,0)),"")</f>
        <v/>
      </c>
      <c r="Y510" s="25" t="str">
        <f>IF(X510="","",IFERROR(INDEX($AN$11:$AN$4010,MATCH(500,$AY$11:$AY$4010,0)),""))</f>
        <v/>
      </c>
      <c r="Z510" s="25" t="str">
        <f>IF(X510="","",IFERROR(INDEX($AO$11:$AO$4010,MATCH(500,$AY$11:$AY$4010,0)),""))</f>
        <v/>
      </c>
      <c r="AA510" s="24" t="str">
        <f>IF(X510="","",IFERROR(INDEX($AQ$11:$AQ$4010,MATCH(500,$AY$11:$AY$4010,0)),""))</f>
        <v/>
      </c>
      <c r="AB510" s="29" t="str">
        <f>IF(X510="","",IFERROR(INDEX($AR$11:$AR$4010,MATCH(500,$AY$11:$AY$4010,0)),""))</f>
        <v/>
      </c>
      <c r="AD510" s="30" t="str">
        <f>IF(AE510="","",IFERROR(INDEX($AL$11:$AL$4010,MATCH(500,$AZ$11:$AZ$4010,0)),""))</f>
        <v/>
      </c>
      <c r="AE510" s="26" t="str">
        <f>IFERROR(INDEX($AM$11:$AM$4010,MATCH(500,$AZ$11:$AZ$4010,0)),"")</f>
        <v/>
      </c>
      <c r="AF510" s="25" t="str">
        <f>IF(AE510="","",IFERROR(INDEX($AN$11:$AN$4010,MATCH(500,$AZ$11:$AZ$4010,0)),""))</f>
        <v/>
      </c>
      <c r="AG510" s="25" t="str">
        <f>IF(AE510="","",IFERROR(INDEX($AO$11:$AO$4010,MATCH(500,$AZ$11:$AZ$4010,0)),""))</f>
        <v/>
      </c>
      <c r="AH510" s="24" t="str">
        <f>IF(AE510="","",IFERROR(INDEX($AQ$11:$AQ$4010,MATCH(500,$AZ$11:$AZ$4010,0)),""))</f>
        <v/>
      </c>
      <c r="AI510" s="29" t="str">
        <f>IF(AE510="","",IFERROR(INDEX($AR$11:$AR$4010,MATCH(500,$AZ$11:$AZ$4010,0)),""))</f>
        <v/>
      </c>
      <c r="AJ510" s="29" t="str">
        <f>IF(AE510="","",IFERROR(INDEX($AT$11:$AT$4010,MATCH(500,$AZ$11:$AZ$4010,0)),""))</f>
        <v/>
      </c>
      <c r="AL510" s="31" t="str">
        <f t="shared" si="93"/>
        <v/>
      </c>
      <c r="AM510" s="26" t="str">
        <f t="shared" si="94"/>
        <v/>
      </c>
      <c r="AN510" s="32" t="str">
        <f t="shared" si="95"/>
        <v/>
      </c>
      <c r="AO510" s="32" t="str">
        <f t="shared" si="96"/>
        <v/>
      </c>
      <c r="AP510" s="24" t="str">
        <f t="shared" si="97"/>
        <v/>
      </c>
      <c r="AQ510" s="24" t="str">
        <f t="shared" si="98"/>
        <v/>
      </c>
      <c r="AR510" s="33" t="str">
        <f t="shared" si="99"/>
        <v/>
      </c>
      <c r="AS510" s="34"/>
      <c r="AT510" s="33"/>
      <c r="AV510" s="21">
        <f>IF(AND($AL510&lt;&gt;"",COUNTIF($AL$11:$AL510,$AL510)=1),1,0)</f>
        <v>0</v>
      </c>
      <c r="AW510" s="21">
        <f t="shared" si="101"/>
        <v>0</v>
      </c>
      <c r="AX510" s="21" t="str">
        <f t="shared" si="100"/>
        <v/>
      </c>
      <c r="AY510" s="21" t="str">
        <f>IF(AND($AM510&lt;&gt;"",$AS510&lt;&gt;"✓"),SUMPRODUCT(($AM$11:$AM510&lt;&gt;"")*($AS$11:$AS510&lt;&gt;"✓")),"")</f>
        <v/>
      </c>
      <c r="AZ510" s="21" t="str">
        <f>IF(AND($AM510&lt;&gt;"",$AS510="✓"),SUMPRODUCT(($AM$11:$AM510&lt;&gt;"")*($AS$11:$AS510="✓")),"")</f>
        <v/>
      </c>
      <c r="BA510" s="21" t="str">
        <f>IF($AL510="","",$AL510&amp;"|"&amp;COUNTIF($AL$11:$AL510,$AL510))</f>
        <v/>
      </c>
    </row>
    <row r="511" spans="2:53" ht="15" customHeight="1" x14ac:dyDescent="0.25">
      <c r="W511" s="14" t="str">
        <f>IF(X511="","",IFERROR(INDEX($AL$11:$AL$4010,MATCH(501,$AY$11:$AY$4010,0)),""))</f>
        <v/>
      </c>
      <c r="X511" s="12" t="str">
        <f>IFERROR(INDEX($AM$11:$AM$4010,MATCH(501,$AY$11:$AY$4010,0)),"")</f>
        <v/>
      </c>
      <c r="Y511" s="11" t="str">
        <f>IF(X511="","",IFERROR(INDEX($AN$11:$AN$4010,MATCH(501,$AY$11:$AY$4010,0)),""))</f>
        <v/>
      </c>
      <c r="Z511" s="11" t="str">
        <f>IF(X511="","",IFERROR(INDEX($AO$11:$AO$4010,MATCH(501,$AY$11:$AY$4010,0)),""))</f>
        <v/>
      </c>
      <c r="AA511" s="10" t="str">
        <f>IF(X511="","",IFERROR(INDEX($AQ$11:$AQ$4010,MATCH(501,$AY$11:$AY$4010,0)),""))</f>
        <v/>
      </c>
      <c r="AB511" s="15" t="str">
        <f>IF(X511="","",IFERROR(INDEX($AR$11:$AR$4010,MATCH(501,$AY$11:$AY$4010,0)),""))</f>
        <v/>
      </c>
      <c r="AD511" s="16" t="str">
        <f>IF(AE511="","",IFERROR(INDEX($AL$11:$AL$4010,MATCH(501,$AZ$11:$AZ$4010,0)),""))</f>
        <v/>
      </c>
      <c r="AE511" s="12" t="str">
        <f>IFERROR(INDEX($AM$11:$AM$4010,MATCH(501,$AZ$11:$AZ$4010,0)),"")</f>
        <v/>
      </c>
      <c r="AF511" s="11" t="str">
        <f>IF(AE511="","",IFERROR(INDEX($AN$11:$AN$4010,MATCH(501,$AZ$11:$AZ$4010,0)),""))</f>
        <v/>
      </c>
      <c r="AG511" s="11" t="str">
        <f>IF(AE511="","",IFERROR(INDEX($AO$11:$AO$4010,MATCH(501,$AZ$11:$AZ$4010,0)),""))</f>
        <v/>
      </c>
      <c r="AH511" s="10" t="str">
        <f>IF(AE511="","",IFERROR(INDEX($AQ$11:$AQ$4010,MATCH(501,$AZ$11:$AZ$4010,0)),""))</f>
        <v/>
      </c>
      <c r="AI511" s="15" t="str">
        <f>IF(AE511="","",IFERROR(INDEX($AR$11:$AR$4010,MATCH(501,$AZ$11:$AZ$4010,0)),""))</f>
        <v/>
      </c>
      <c r="AJ511" s="15" t="str">
        <f>IF(AE511="","",IFERROR(INDEX($AT$11:$AT$4010,MATCH(501,$AZ$11:$AZ$4010,0)),""))</f>
        <v/>
      </c>
      <c r="AL511" s="17"/>
      <c r="AM511" s="12"/>
      <c r="AN511" s="18"/>
      <c r="AO511" s="18"/>
      <c r="AP511" s="10"/>
      <c r="AQ511" s="10"/>
      <c r="AR511" s="19"/>
      <c r="AS511" s="20"/>
      <c r="AT511" s="19"/>
      <c r="AV511" s="21">
        <f>IF(AND($AL511&lt;&gt;"",COUNTIF($AL$11:$AL511,$AL511)=1),1,0)</f>
        <v>0</v>
      </c>
      <c r="AW511" s="21">
        <f t="shared" si="101"/>
        <v>0</v>
      </c>
      <c r="AX511" s="21" t="str">
        <f t="shared" si="100"/>
        <v/>
      </c>
      <c r="AY511" s="21" t="str">
        <f>IF(AND($AM511&lt;&gt;"",$AS511&lt;&gt;"✓"),SUMPRODUCT(($AM$11:$AM511&lt;&gt;"")*($AS$11:$AS511&lt;&gt;"✓")),"")</f>
        <v/>
      </c>
      <c r="AZ511" s="21" t="str">
        <f>IF(AND($AM511&lt;&gt;"",$AS511="✓"),SUMPRODUCT(($AM$11:$AM511&lt;&gt;"")*($AS$11:$AS511="✓")),"")</f>
        <v/>
      </c>
      <c r="BA511" s="21" t="str">
        <f>IF($AL511="","",$AL511&amp;"|"&amp;COUNTIF($AL$11:$AL511,$AL511))</f>
        <v/>
      </c>
    </row>
    <row r="512" spans="2:53" ht="15" customHeight="1" x14ac:dyDescent="0.25">
      <c r="W512" s="28" t="str">
        <f>IF(X512="","",IFERROR(INDEX($AL$11:$AL$4010,MATCH(502,$AY$11:$AY$4010,0)),""))</f>
        <v/>
      </c>
      <c r="X512" s="26" t="str">
        <f>IFERROR(INDEX($AM$11:$AM$4010,MATCH(502,$AY$11:$AY$4010,0)),"")</f>
        <v/>
      </c>
      <c r="Y512" s="25" t="str">
        <f>IF(X512="","",IFERROR(INDEX($AN$11:$AN$4010,MATCH(502,$AY$11:$AY$4010,0)),""))</f>
        <v/>
      </c>
      <c r="Z512" s="25" t="str">
        <f>IF(X512="","",IFERROR(INDEX($AO$11:$AO$4010,MATCH(502,$AY$11:$AY$4010,0)),""))</f>
        <v/>
      </c>
      <c r="AA512" s="24" t="str">
        <f>IF(X512="","",IFERROR(INDEX($AQ$11:$AQ$4010,MATCH(502,$AY$11:$AY$4010,0)),""))</f>
        <v/>
      </c>
      <c r="AB512" s="29" t="str">
        <f>IF(X512="","",IFERROR(INDEX($AR$11:$AR$4010,MATCH(502,$AY$11:$AY$4010,0)),""))</f>
        <v/>
      </c>
      <c r="AD512" s="30" t="str">
        <f>IF(AE512="","",IFERROR(INDEX($AL$11:$AL$4010,MATCH(502,$AZ$11:$AZ$4010,0)),""))</f>
        <v/>
      </c>
      <c r="AE512" s="26" t="str">
        <f>IFERROR(INDEX($AM$11:$AM$4010,MATCH(502,$AZ$11:$AZ$4010,0)),"")</f>
        <v/>
      </c>
      <c r="AF512" s="25" t="str">
        <f>IF(AE512="","",IFERROR(INDEX($AN$11:$AN$4010,MATCH(502,$AZ$11:$AZ$4010,0)),""))</f>
        <v/>
      </c>
      <c r="AG512" s="25" t="str">
        <f>IF(AE512="","",IFERROR(INDEX($AO$11:$AO$4010,MATCH(502,$AZ$11:$AZ$4010,0)),""))</f>
        <v/>
      </c>
      <c r="AH512" s="24" t="str">
        <f>IF(AE512="","",IFERROR(INDEX($AQ$11:$AQ$4010,MATCH(502,$AZ$11:$AZ$4010,0)),""))</f>
        <v/>
      </c>
      <c r="AI512" s="29" t="str">
        <f>IF(AE512="","",IFERROR(INDEX($AR$11:$AR$4010,MATCH(502,$AZ$11:$AZ$4010,0)),""))</f>
        <v/>
      </c>
      <c r="AJ512" s="29" t="str">
        <f>IF(AE512="","",IFERROR(INDEX($AT$11:$AT$4010,MATCH(502,$AZ$11:$AZ$4010,0)),""))</f>
        <v/>
      </c>
      <c r="AL512" s="31"/>
      <c r="AM512" s="26"/>
      <c r="AN512" s="32"/>
      <c r="AO512" s="32"/>
      <c r="AP512" s="24"/>
      <c r="AQ512" s="24"/>
      <c r="AR512" s="33"/>
      <c r="AS512" s="34"/>
      <c r="AT512" s="33"/>
      <c r="AV512" s="21">
        <f>IF(AND($AL512&lt;&gt;"",COUNTIF($AL$11:$AL512,$AL512)=1),1,0)</f>
        <v>0</v>
      </c>
      <c r="AW512" s="21">
        <f t="shared" si="101"/>
        <v>0</v>
      </c>
      <c r="AX512" s="21" t="str">
        <f t="shared" si="100"/>
        <v/>
      </c>
      <c r="AY512" s="21" t="str">
        <f>IF(AND($AM512&lt;&gt;"",$AS512&lt;&gt;"✓"),SUMPRODUCT(($AM$11:$AM512&lt;&gt;"")*($AS$11:$AS512&lt;&gt;"✓")),"")</f>
        <v/>
      </c>
      <c r="AZ512" s="21" t="str">
        <f>IF(AND($AM512&lt;&gt;"",$AS512="✓"),SUMPRODUCT(($AM$11:$AM512&lt;&gt;"")*($AS$11:$AS512="✓")),"")</f>
        <v/>
      </c>
      <c r="BA512" s="21" t="str">
        <f>IF($AL512="","",$AL512&amp;"|"&amp;COUNTIF($AL$11:$AL512,$AL512))</f>
        <v/>
      </c>
    </row>
    <row r="513" spans="23:53" ht="15" customHeight="1" x14ac:dyDescent="0.25">
      <c r="W513" s="14" t="str">
        <f>IF(X513="","",IFERROR(INDEX($AL$11:$AL$4010,MATCH(503,$AY$11:$AY$4010,0)),""))</f>
        <v/>
      </c>
      <c r="X513" s="12" t="str">
        <f>IFERROR(INDEX($AM$11:$AM$4010,MATCH(503,$AY$11:$AY$4010,0)),"")</f>
        <v/>
      </c>
      <c r="Y513" s="11" t="str">
        <f>IF(X513="","",IFERROR(INDEX($AN$11:$AN$4010,MATCH(503,$AY$11:$AY$4010,0)),""))</f>
        <v/>
      </c>
      <c r="Z513" s="11" t="str">
        <f>IF(X513="","",IFERROR(INDEX($AO$11:$AO$4010,MATCH(503,$AY$11:$AY$4010,0)),""))</f>
        <v/>
      </c>
      <c r="AA513" s="10" t="str">
        <f>IF(X513="","",IFERROR(INDEX($AQ$11:$AQ$4010,MATCH(503,$AY$11:$AY$4010,0)),""))</f>
        <v/>
      </c>
      <c r="AB513" s="15" t="str">
        <f>IF(X513="","",IFERROR(INDEX($AR$11:$AR$4010,MATCH(503,$AY$11:$AY$4010,0)),""))</f>
        <v/>
      </c>
      <c r="AD513" s="16" t="str">
        <f>IF(AE513="","",IFERROR(INDEX($AL$11:$AL$4010,MATCH(503,$AZ$11:$AZ$4010,0)),""))</f>
        <v/>
      </c>
      <c r="AE513" s="12" t="str">
        <f>IFERROR(INDEX($AM$11:$AM$4010,MATCH(503,$AZ$11:$AZ$4010,0)),"")</f>
        <v/>
      </c>
      <c r="AF513" s="11" t="str">
        <f>IF(AE513="","",IFERROR(INDEX($AN$11:$AN$4010,MATCH(503,$AZ$11:$AZ$4010,0)),""))</f>
        <v/>
      </c>
      <c r="AG513" s="11" t="str">
        <f>IF(AE513="","",IFERROR(INDEX($AO$11:$AO$4010,MATCH(503,$AZ$11:$AZ$4010,0)),""))</f>
        <v/>
      </c>
      <c r="AH513" s="10" t="str">
        <f>IF(AE513="","",IFERROR(INDEX($AQ$11:$AQ$4010,MATCH(503,$AZ$11:$AZ$4010,0)),""))</f>
        <v/>
      </c>
      <c r="AI513" s="15" t="str">
        <f>IF(AE513="","",IFERROR(INDEX($AR$11:$AR$4010,MATCH(503,$AZ$11:$AZ$4010,0)),""))</f>
        <v/>
      </c>
      <c r="AJ513" s="15" t="str">
        <f>IF(AE513="","",IFERROR(INDEX($AT$11:$AT$4010,MATCH(503,$AZ$11:$AZ$4010,0)),""))</f>
        <v/>
      </c>
      <c r="AL513" s="17"/>
      <c r="AM513" s="12"/>
      <c r="AN513" s="18"/>
      <c r="AO513" s="18"/>
      <c r="AP513" s="10"/>
      <c r="AQ513" s="10"/>
      <c r="AR513" s="19"/>
      <c r="AS513" s="20"/>
      <c r="AT513" s="19"/>
      <c r="AV513" s="21">
        <f>IF(AND($AL513&lt;&gt;"",COUNTIF($AL$11:$AL513,$AL513)=1),1,0)</f>
        <v>0</v>
      </c>
      <c r="AW513" s="21">
        <f t="shared" si="101"/>
        <v>0</v>
      </c>
      <c r="AX513" s="21" t="str">
        <f t="shared" si="100"/>
        <v/>
      </c>
      <c r="AY513" s="21" t="str">
        <f>IF(AND($AM513&lt;&gt;"",$AS513&lt;&gt;"✓"),SUMPRODUCT(($AM$11:$AM513&lt;&gt;"")*($AS$11:$AS513&lt;&gt;"✓")),"")</f>
        <v/>
      </c>
      <c r="AZ513" s="21" t="str">
        <f>IF(AND($AM513&lt;&gt;"",$AS513="✓"),SUMPRODUCT(($AM$11:$AM513&lt;&gt;"")*($AS$11:$AS513="✓")),"")</f>
        <v/>
      </c>
      <c r="BA513" s="21" t="str">
        <f>IF($AL513="","",$AL513&amp;"|"&amp;COUNTIF($AL$11:$AL513,$AL513))</f>
        <v/>
      </c>
    </row>
    <row r="514" spans="23:53" ht="15" customHeight="1" x14ac:dyDescent="0.25">
      <c r="W514" s="28" t="str">
        <f>IF(X514="","",IFERROR(INDEX($AL$11:$AL$4010,MATCH(504,$AY$11:$AY$4010,0)),""))</f>
        <v/>
      </c>
      <c r="X514" s="26" t="str">
        <f>IFERROR(INDEX($AM$11:$AM$4010,MATCH(504,$AY$11:$AY$4010,0)),"")</f>
        <v/>
      </c>
      <c r="Y514" s="25" t="str">
        <f>IF(X514="","",IFERROR(INDEX($AN$11:$AN$4010,MATCH(504,$AY$11:$AY$4010,0)),""))</f>
        <v/>
      </c>
      <c r="Z514" s="25" t="str">
        <f>IF(X514="","",IFERROR(INDEX($AO$11:$AO$4010,MATCH(504,$AY$11:$AY$4010,0)),""))</f>
        <v/>
      </c>
      <c r="AA514" s="24" t="str">
        <f>IF(X514="","",IFERROR(INDEX($AQ$11:$AQ$4010,MATCH(504,$AY$11:$AY$4010,0)),""))</f>
        <v/>
      </c>
      <c r="AB514" s="29" t="str">
        <f>IF(X514="","",IFERROR(INDEX($AR$11:$AR$4010,MATCH(504,$AY$11:$AY$4010,0)),""))</f>
        <v/>
      </c>
      <c r="AD514" s="30" t="str">
        <f>IF(AE514="","",IFERROR(INDEX($AL$11:$AL$4010,MATCH(504,$AZ$11:$AZ$4010,0)),""))</f>
        <v/>
      </c>
      <c r="AE514" s="26" t="str">
        <f>IFERROR(INDEX($AM$11:$AM$4010,MATCH(504,$AZ$11:$AZ$4010,0)),"")</f>
        <v/>
      </c>
      <c r="AF514" s="25" t="str">
        <f>IF(AE514="","",IFERROR(INDEX($AN$11:$AN$4010,MATCH(504,$AZ$11:$AZ$4010,0)),""))</f>
        <v/>
      </c>
      <c r="AG514" s="25" t="str">
        <f>IF(AE514="","",IFERROR(INDEX($AO$11:$AO$4010,MATCH(504,$AZ$11:$AZ$4010,0)),""))</f>
        <v/>
      </c>
      <c r="AH514" s="24" t="str">
        <f>IF(AE514="","",IFERROR(INDEX($AQ$11:$AQ$4010,MATCH(504,$AZ$11:$AZ$4010,0)),""))</f>
        <v/>
      </c>
      <c r="AI514" s="29" t="str">
        <f>IF(AE514="","",IFERROR(INDEX($AR$11:$AR$4010,MATCH(504,$AZ$11:$AZ$4010,0)),""))</f>
        <v/>
      </c>
      <c r="AJ514" s="29" t="str">
        <f>IF(AE514="","",IFERROR(INDEX($AT$11:$AT$4010,MATCH(504,$AZ$11:$AZ$4010,0)),""))</f>
        <v/>
      </c>
      <c r="AL514" s="31"/>
      <c r="AM514" s="26"/>
      <c r="AN514" s="32"/>
      <c r="AO514" s="32"/>
      <c r="AP514" s="24"/>
      <c r="AQ514" s="24"/>
      <c r="AR514" s="33"/>
      <c r="AS514" s="34"/>
      <c r="AT514" s="33"/>
      <c r="AV514" s="21">
        <f>IF(AND($AL514&lt;&gt;"",COUNTIF($AL$11:$AL514,$AL514)=1),1,0)</f>
        <v>0</v>
      </c>
      <c r="AW514" s="21">
        <f t="shared" si="101"/>
        <v>0</v>
      </c>
      <c r="AX514" s="21" t="str">
        <f t="shared" si="100"/>
        <v/>
      </c>
      <c r="AY514" s="21" t="str">
        <f>IF(AND($AM514&lt;&gt;"",$AS514&lt;&gt;"✓"),SUMPRODUCT(($AM$11:$AM514&lt;&gt;"")*($AS$11:$AS514&lt;&gt;"✓")),"")</f>
        <v/>
      </c>
      <c r="AZ514" s="21" t="str">
        <f>IF(AND($AM514&lt;&gt;"",$AS514="✓"),SUMPRODUCT(($AM$11:$AM514&lt;&gt;"")*($AS$11:$AS514="✓")),"")</f>
        <v/>
      </c>
      <c r="BA514" s="21" t="str">
        <f>IF($AL514="","",$AL514&amp;"|"&amp;COUNTIF($AL$11:$AL514,$AL514))</f>
        <v/>
      </c>
    </row>
    <row r="515" spans="23:53" ht="15" customHeight="1" x14ac:dyDescent="0.25">
      <c r="W515" s="14" t="str">
        <f>IF(X515="","",IFERROR(INDEX($AL$11:$AL$4010,MATCH(505,$AY$11:$AY$4010,0)),""))</f>
        <v/>
      </c>
      <c r="X515" s="12" t="str">
        <f>IFERROR(INDEX($AM$11:$AM$4010,MATCH(505,$AY$11:$AY$4010,0)),"")</f>
        <v/>
      </c>
      <c r="Y515" s="11" t="str">
        <f>IF(X515="","",IFERROR(INDEX($AN$11:$AN$4010,MATCH(505,$AY$11:$AY$4010,0)),""))</f>
        <v/>
      </c>
      <c r="Z515" s="11" t="str">
        <f>IF(X515="","",IFERROR(INDEX($AO$11:$AO$4010,MATCH(505,$AY$11:$AY$4010,0)),""))</f>
        <v/>
      </c>
      <c r="AA515" s="10" t="str">
        <f>IF(X515="","",IFERROR(INDEX($AQ$11:$AQ$4010,MATCH(505,$AY$11:$AY$4010,0)),""))</f>
        <v/>
      </c>
      <c r="AB515" s="15" t="str">
        <f>IF(X515="","",IFERROR(INDEX($AR$11:$AR$4010,MATCH(505,$AY$11:$AY$4010,0)),""))</f>
        <v/>
      </c>
      <c r="AD515" s="16" t="str">
        <f>IF(AE515="","",IFERROR(INDEX($AL$11:$AL$4010,MATCH(505,$AZ$11:$AZ$4010,0)),""))</f>
        <v/>
      </c>
      <c r="AE515" s="12" t="str">
        <f>IFERROR(INDEX($AM$11:$AM$4010,MATCH(505,$AZ$11:$AZ$4010,0)),"")</f>
        <v/>
      </c>
      <c r="AF515" s="11" t="str">
        <f>IF(AE515="","",IFERROR(INDEX($AN$11:$AN$4010,MATCH(505,$AZ$11:$AZ$4010,0)),""))</f>
        <v/>
      </c>
      <c r="AG515" s="11" t="str">
        <f>IF(AE515="","",IFERROR(INDEX($AO$11:$AO$4010,MATCH(505,$AZ$11:$AZ$4010,0)),""))</f>
        <v/>
      </c>
      <c r="AH515" s="10" t="str">
        <f>IF(AE515="","",IFERROR(INDEX($AQ$11:$AQ$4010,MATCH(505,$AZ$11:$AZ$4010,0)),""))</f>
        <v/>
      </c>
      <c r="AI515" s="15" t="str">
        <f>IF(AE515="","",IFERROR(INDEX($AR$11:$AR$4010,MATCH(505,$AZ$11:$AZ$4010,0)),""))</f>
        <v/>
      </c>
      <c r="AJ515" s="15" t="str">
        <f>IF(AE515="","",IFERROR(INDEX($AT$11:$AT$4010,MATCH(505,$AZ$11:$AZ$4010,0)),""))</f>
        <v/>
      </c>
      <c r="AL515" s="17"/>
      <c r="AM515" s="12"/>
      <c r="AN515" s="18"/>
      <c r="AO515" s="18"/>
      <c r="AP515" s="10"/>
      <c r="AQ515" s="10"/>
      <c r="AR515" s="19"/>
      <c r="AS515" s="20"/>
      <c r="AT515" s="19"/>
      <c r="AV515" s="21">
        <f>IF(AND($AL515&lt;&gt;"",COUNTIF($AL$11:$AL515,$AL515)=1),1,0)</f>
        <v>0</v>
      </c>
      <c r="AW515" s="21">
        <f t="shared" si="101"/>
        <v>0</v>
      </c>
      <c r="AX515" s="21" t="str">
        <f t="shared" si="100"/>
        <v/>
      </c>
      <c r="AY515" s="21" t="str">
        <f>IF(AND($AM515&lt;&gt;"",$AS515&lt;&gt;"✓"),SUMPRODUCT(($AM$11:$AM515&lt;&gt;"")*($AS$11:$AS515&lt;&gt;"✓")),"")</f>
        <v/>
      </c>
      <c r="AZ515" s="21" t="str">
        <f>IF(AND($AM515&lt;&gt;"",$AS515="✓"),SUMPRODUCT(($AM$11:$AM515&lt;&gt;"")*($AS$11:$AS515="✓")),"")</f>
        <v/>
      </c>
      <c r="BA515" s="21" t="str">
        <f>IF($AL515="","",$AL515&amp;"|"&amp;COUNTIF($AL$11:$AL515,$AL515))</f>
        <v/>
      </c>
    </row>
    <row r="516" spans="23:53" ht="15" customHeight="1" x14ac:dyDescent="0.25">
      <c r="W516" s="28" t="str">
        <f>IF(X516="","",IFERROR(INDEX($AL$11:$AL$4010,MATCH(506,$AY$11:$AY$4010,0)),""))</f>
        <v/>
      </c>
      <c r="X516" s="26" t="str">
        <f>IFERROR(INDEX($AM$11:$AM$4010,MATCH(506,$AY$11:$AY$4010,0)),"")</f>
        <v/>
      </c>
      <c r="Y516" s="25" t="str">
        <f>IF(X516="","",IFERROR(INDEX($AN$11:$AN$4010,MATCH(506,$AY$11:$AY$4010,0)),""))</f>
        <v/>
      </c>
      <c r="Z516" s="25" t="str">
        <f>IF(X516="","",IFERROR(INDEX($AO$11:$AO$4010,MATCH(506,$AY$11:$AY$4010,0)),""))</f>
        <v/>
      </c>
      <c r="AA516" s="24" t="str">
        <f>IF(X516="","",IFERROR(INDEX($AQ$11:$AQ$4010,MATCH(506,$AY$11:$AY$4010,0)),""))</f>
        <v/>
      </c>
      <c r="AB516" s="29" t="str">
        <f>IF(X516="","",IFERROR(INDEX($AR$11:$AR$4010,MATCH(506,$AY$11:$AY$4010,0)),""))</f>
        <v/>
      </c>
      <c r="AD516" s="30" t="str">
        <f>IF(AE516="","",IFERROR(INDEX($AL$11:$AL$4010,MATCH(506,$AZ$11:$AZ$4010,0)),""))</f>
        <v/>
      </c>
      <c r="AE516" s="26" t="str">
        <f>IFERROR(INDEX($AM$11:$AM$4010,MATCH(506,$AZ$11:$AZ$4010,0)),"")</f>
        <v/>
      </c>
      <c r="AF516" s="25" t="str">
        <f>IF(AE516="","",IFERROR(INDEX($AN$11:$AN$4010,MATCH(506,$AZ$11:$AZ$4010,0)),""))</f>
        <v/>
      </c>
      <c r="AG516" s="25" t="str">
        <f>IF(AE516="","",IFERROR(INDEX($AO$11:$AO$4010,MATCH(506,$AZ$11:$AZ$4010,0)),""))</f>
        <v/>
      </c>
      <c r="AH516" s="24" t="str">
        <f>IF(AE516="","",IFERROR(INDEX($AQ$11:$AQ$4010,MATCH(506,$AZ$11:$AZ$4010,0)),""))</f>
        <v/>
      </c>
      <c r="AI516" s="29" t="str">
        <f>IF(AE516="","",IFERROR(INDEX($AR$11:$AR$4010,MATCH(506,$AZ$11:$AZ$4010,0)),""))</f>
        <v/>
      </c>
      <c r="AJ516" s="29" t="str">
        <f>IF(AE516="","",IFERROR(INDEX($AT$11:$AT$4010,MATCH(506,$AZ$11:$AZ$4010,0)),""))</f>
        <v/>
      </c>
      <c r="AL516" s="31"/>
      <c r="AM516" s="26"/>
      <c r="AN516" s="32"/>
      <c r="AO516" s="32"/>
      <c r="AP516" s="24"/>
      <c r="AQ516" s="24"/>
      <c r="AR516" s="33"/>
      <c r="AS516" s="34"/>
      <c r="AT516" s="33"/>
      <c r="AV516" s="21">
        <f>IF(AND($AL516&lt;&gt;"",COUNTIF($AL$11:$AL516,$AL516)=1),1,0)</f>
        <v>0</v>
      </c>
      <c r="AW516" s="21">
        <f t="shared" si="101"/>
        <v>0</v>
      </c>
      <c r="AX516" s="21" t="str">
        <f t="shared" si="100"/>
        <v/>
      </c>
      <c r="AY516" s="21" t="str">
        <f>IF(AND($AM516&lt;&gt;"",$AS516&lt;&gt;"✓"),SUMPRODUCT(($AM$11:$AM516&lt;&gt;"")*($AS$11:$AS516&lt;&gt;"✓")),"")</f>
        <v/>
      </c>
      <c r="AZ516" s="21" t="str">
        <f>IF(AND($AM516&lt;&gt;"",$AS516="✓"),SUMPRODUCT(($AM$11:$AM516&lt;&gt;"")*($AS$11:$AS516="✓")),"")</f>
        <v/>
      </c>
      <c r="BA516" s="21" t="str">
        <f>IF($AL516="","",$AL516&amp;"|"&amp;COUNTIF($AL$11:$AL516,$AL516))</f>
        <v/>
      </c>
    </row>
    <row r="517" spans="23:53" ht="15" customHeight="1" x14ac:dyDescent="0.25">
      <c r="W517" s="14" t="str">
        <f>IF(X517="","",IFERROR(INDEX($AL$11:$AL$4010,MATCH(507,$AY$11:$AY$4010,0)),""))</f>
        <v/>
      </c>
      <c r="X517" s="12" t="str">
        <f>IFERROR(INDEX($AM$11:$AM$4010,MATCH(507,$AY$11:$AY$4010,0)),"")</f>
        <v/>
      </c>
      <c r="Y517" s="11" t="str">
        <f>IF(X517="","",IFERROR(INDEX($AN$11:$AN$4010,MATCH(507,$AY$11:$AY$4010,0)),""))</f>
        <v/>
      </c>
      <c r="Z517" s="11" t="str">
        <f>IF(X517="","",IFERROR(INDEX($AO$11:$AO$4010,MATCH(507,$AY$11:$AY$4010,0)),""))</f>
        <v/>
      </c>
      <c r="AA517" s="10" t="str">
        <f>IF(X517="","",IFERROR(INDEX($AQ$11:$AQ$4010,MATCH(507,$AY$11:$AY$4010,0)),""))</f>
        <v/>
      </c>
      <c r="AB517" s="15" t="str">
        <f>IF(X517="","",IFERROR(INDEX($AR$11:$AR$4010,MATCH(507,$AY$11:$AY$4010,0)),""))</f>
        <v/>
      </c>
      <c r="AD517" s="16" t="str">
        <f>IF(AE517="","",IFERROR(INDEX($AL$11:$AL$4010,MATCH(507,$AZ$11:$AZ$4010,0)),""))</f>
        <v/>
      </c>
      <c r="AE517" s="12" t="str">
        <f>IFERROR(INDEX($AM$11:$AM$4010,MATCH(507,$AZ$11:$AZ$4010,0)),"")</f>
        <v/>
      </c>
      <c r="AF517" s="11" t="str">
        <f>IF(AE517="","",IFERROR(INDEX($AN$11:$AN$4010,MATCH(507,$AZ$11:$AZ$4010,0)),""))</f>
        <v/>
      </c>
      <c r="AG517" s="11" t="str">
        <f>IF(AE517="","",IFERROR(INDEX($AO$11:$AO$4010,MATCH(507,$AZ$11:$AZ$4010,0)),""))</f>
        <v/>
      </c>
      <c r="AH517" s="10" t="str">
        <f>IF(AE517="","",IFERROR(INDEX($AQ$11:$AQ$4010,MATCH(507,$AZ$11:$AZ$4010,0)),""))</f>
        <v/>
      </c>
      <c r="AI517" s="15" t="str">
        <f>IF(AE517="","",IFERROR(INDEX($AR$11:$AR$4010,MATCH(507,$AZ$11:$AZ$4010,0)),""))</f>
        <v/>
      </c>
      <c r="AJ517" s="15" t="str">
        <f>IF(AE517="","",IFERROR(INDEX($AT$11:$AT$4010,MATCH(507,$AZ$11:$AZ$4010,0)),""))</f>
        <v/>
      </c>
      <c r="AL517" s="17"/>
      <c r="AM517" s="12"/>
      <c r="AN517" s="18"/>
      <c r="AO517" s="18"/>
      <c r="AP517" s="10"/>
      <c r="AQ517" s="10"/>
      <c r="AR517" s="19"/>
      <c r="AS517" s="20"/>
      <c r="AT517" s="19"/>
      <c r="AV517" s="21">
        <f>IF(AND($AL517&lt;&gt;"",COUNTIF($AL$11:$AL517,$AL517)=1),1,0)</f>
        <v>0</v>
      </c>
      <c r="AW517" s="21">
        <f t="shared" si="101"/>
        <v>0</v>
      </c>
      <c r="AX517" s="21" t="str">
        <f t="shared" si="100"/>
        <v/>
      </c>
      <c r="AY517" s="21" t="str">
        <f>IF(AND($AM517&lt;&gt;"",$AS517&lt;&gt;"✓"),SUMPRODUCT(($AM$11:$AM517&lt;&gt;"")*($AS$11:$AS517&lt;&gt;"✓")),"")</f>
        <v/>
      </c>
      <c r="AZ517" s="21" t="str">
        <f>IF(AND($AM517&lt;&gt;"",$AS517="✓"),SUMPRODUCT(($AM$11:$AM517&lt;&gt;"")*($AS$11:$AS517="✓")),"")</f>
        <v/>
      </c>
      <c r="BA517" s="21" t="str">
        <f>IF($AL517="","",$AL517&amp;"|"&amp;COUNTIF($AL$11:$AL517,$AL517))</f>
        <v/>
      </c>
    </row>
    <row r="518" spans="23:53" ht="15" customHeight="1" x14ac:dyDescent="0.25">
      <c r="W518" s="28" t="str">
        <f>IF(X518="","",IFERROR(INDEX($AL$11:$AL$4010,MATCH(508,$AY$11:$AY$4010,0)),""))</f>
        <v/>
      </c>
      <c r="X518" s="26" t="str">
        <f>IFERROR(INDEX($AM$11:$AM$4010,MATCH(508,$AY$11:$AY$4010,0)),"")</f>
        <v/>
      </c>
      <c r="Y518" s="25" t="str">
        <f>IF(X518="","",IFERROR(INDEX($AN$11:$AN$4010,MATCH(508,$AY$11:$AY$4010,0)),""))</f>
        <v/>
      </c>
      <c r="Z518" s="25" t="str">
        <f>IF(X518="","",IFERROR(INDEX($AO$11:$AO$4010,MATCH(508,$AY$11:$AY$4010,0)),""))</f>
        <v/>
      </c>
      <c r="AA518" s="24" t="str">
        <f>IF(X518="","",IFERROR(INDEX($AQ$11:$AQ$4010,MATCH(508,$AY$11:$AY$4010,0)),""))</f>
        <v/>
      </c>
      <c r="AB518" s="29" t="str">
        <f>IF(X518="","",IFERROR(INDEX($AR$11:$AR$4010,MATCH(508,$AY$11:$AY$4010,0)),""))</f>
        <v/>
      </c>
      <c r="AD518" s="30" t="str">
        <f>IF(AE518="","",IFERROR(INDEX($AL$11:$AL$4010,MATCH(508,$AZ$11:$AZ$4010,0)),""))</f>
        <v/>
      </c>
      <c r="AE518" s="26" t="str">
        <f>IFERROR(INDEX($AM$11:$AM$4010,MATCH(508,$AZ$11:$AZ$4010,0)),"")</f>
        <v/>
      </c>
      <c r="AF518" s="25" t="str">
        <f>IF(AE518="","",IFERROR(INDEX($AN$11:$AN$4010,MATCH(508,$AZ$11:$AZ$4010,0)),""))</f>
        <v/>
      </c>
      <c r="AG518" s="25" t="str">
        <f>IF(AE518="","",IFERROR(INDEX($AO$11:$AO$4010,MATCH(508,$AZ$11:$AZ$4010,0)),""))</f>
        <v/>
      </c>
      <c r="AH518" s="24" t="str">
        <f>IF(AE518="","",IFERROR(INDEX($AQ$11:$AQ$4010,MATCH(508,$AZ$11:$AZ$4010,0)),""))</f>
        <v/>
      </c>
      <c r="AI518" s="29" t="str">
        <f>IF(AE518="","",IFERROR(INDEX($AR$11:$AR$4010,MATCH(508,$AZ$11:$AZ$4010,0)),""))</f>
        <v/>
      </c>
      <c r="AJ518" s="29" t="str">
        <f>IF(AE518="","",IFERROR(INDEX($AT$11:$AT$4010,MATCH(508,$AZ$11:$AZ$4010,0)),""))</f>
        <v/>
      </c>
      <c r="AL518" s="31"/>
      <c r="AM518" s="26"/>
      <c r="AN518" s="32"/>
      <c r="AO518" s="32"/>
      <c r="AP518" s="24"/>
      <c r="AQ518" s="24"/>
      <c r="AR518" s="33"/>
      <c r="AS518" s="34"/>
      <c r="AT518" s="33"/>
      <c r="AV518" s="21">
        <f>IF(AND($AL518&lt;&gt;"",COUNTIF($AL$11:$AL518,$AL518)=1),1,0)</f>
        <v>0</v>
      </c>
      <c r="AW518" s="21">
        <f t="shared" si="101"/>
        <v>0</v>
      </c>
      <c r="AX518" s="21" t="str">
        <f t="shared" si="100"/>
        <v/>
      </c>
      <c r="AY518" s="21" t="str">
        <f>IF(AND($AM518&lt;&gt;"",$AS518&lt;&gt;"✓"),SUMPRODUCT(($AM$11:$AM518&lt;&gt;"")*($AS$11:$AS518&lt;&gt;"✓")),"")</f>
        <v/>
      </c>
      <c r="AZ518" s="21" t="str">
        <f>IF(AND($AM518&lt;&gt;"",$AS518="✓"),SUMPRODUCT(($AM$11:$AM518&lt;&gt;"")*($AS$11:$AS518="✓")),"")</f>
        <v/>
      </c>
      <c r="BA518" s="21" t="str">
        <f>IF($AL518="","",$AL518&amp;"|"&amp;COUNTIF($AL$11:$AL518,$AL518))</f>
        <v/>
      </c>
    </row>
    <row r="519" spans="23:53" ht="15" customHeight="1" x14ac:dyDescent="0.25">
      <c r="W519" s="14" t="str">
        <f>IF(X519="","",IFERROR(INDEX($AL$11:$AL$4010,MATCH(509,$AY$11:$AY$4010,0)),""))</f>
        <v/>
      </c>
      <c r="X519" s="12" t="str">
        <f>IFERROR(INDEX($AM$11:$AM$4010,MATCH(509,$AY$11:$AY$4010,0)),"")</f>
        <v/>
      </c>
      <c r="Y519" s="11" t="str">
        <f>IF(X519="","",IFERROR(INDEX($AN$11:$AN$4010,MATCH(509,$AY$11:$AY$4010,0)),""))</f>
        <v/>
      </c>
      <c r="Z519" s="11" t="str">
        <f>IF(X519="","",IFERROR(INDEX($AO$11:$AO$4010,MATCH(509,$AY$11:$AY$4010,0)),""))</f>
        <v/>
      </c>
      <c r="AA519" s="10" t="str">
        <f>IF(X519="","",IFERROR(INDEX($AQ$11:$AQ$4010,MATCH(509,$AY$11:$AY$4010,0)),""))</f>
        <v/>
      </c>
      <c r="AB519" s="15" t="str">
        <f>IF(X519="","",IFERROR(INDEX($AR$11:$AR$4010,MATCH(509,$AY$11:$AY$4010,0)),""))</f>
        <v/>
      </c>
      <c r="AD519" s="16" t="str">
        <f>IF(AE519="","",IFERROR(INDEX($AL$11:$AL$4010,MATCH(509,$AZ$11:$AZ$4010,0)),""))</f>
        <v/>
      </c>
      <c r="AE519" s="12" t="str">
        <f>IFERROR(INDEX($AM$11:$AM$4010,MATCH(509,$AZ$11:$AZ$4010,0)),"")</f>
        <v/>
      </c>
      <c r="AF519" s="11" t="str">
        <f>IF(AE519="","",IFERROR(INDEX($AN$11:$AN$4010,MATCH(509,$AZ$11:$AZ$4010,0)),""))</f>
        <v/>
      </c>
      <c r="AG519" s="11" t="str">
        <f>IF(AE519="","",IFERROR(INDEX($AO$11:$AO$4010,MATCH(509,$AZ$11:$AZ$4010,0)),""))</f>
        <v/>
      </c>
      <c r="AH519" s="10" t="str">
        <f>IF(AE519="","",IFERROR(INDEX($AQ$11:$AQ$4010,MATCH(509,$AZ$11:$AZ$4010,0)),""))</f>
        <v/>
      </c>
      <c r="AI519" s="15" t="str">
        <f>IF(AE519="","",IFERROR(INDEX($AR$11:$AR$4010,MATCH(509,$AZ$11:$AZ$4010,0)),""))</f>
        <v/>
      </c>
      <c r="AJ519" s="15" t="str">
        <f>IF(AE519="","",IFERROR(INDEX($AT$11:$AT$4010,MATCH(509,$AZ$11:$AZ$4010,0)),""))</f>
        <v/>
      </c>
      <c r="AL519" s="17"/>
      <c r="AM519" s="12"/>
      <c r="AN519" s="18"/>
      <c r="AO519" s="18"/>
      <c r="AP519" s="10"/>
      <c r="AQ519" s="10"/>
      <c r="AR519" s="19"/>
      <c r="AS519" s="20"/>
      <c r="AT519" s="19"/>
      <c r="AV519" s="21">
        <f>IF(AND($AL519&lt;&gt;"",COUNTIF($AL$11:$AL519,$AL519)=1),1,0)</f>
        <v>0</v>
      </c>
      <c r="AW519" s="21">
        <f t="shared" si="101"/>
        <v>0</v>
      </c>
      <c r="AX519" s="21" t="str">
        <f t="shared" si="100"/>
        <v/>
      </c>
      <c r="AY519" s="21" t="str">
        <f>IF(AND($AM519&lt;&gt;"",$AS519&lt;&gt;"✓"),SUMPRODUCT(($AM$11:$AM519&lt;&gt;"")*($AS$11:$AS519&lt;&gt;"✓")),"")</f>
        <v/>
      </c>
      <c r="AZ519" s="21" t="str">
        <f>IF(AND($AM519&lt;&gt;"",$AS519="✓"),SUMPRODUCT(($AM$11:$AM519&lt;&gt;"")*($AS$11:$AS519="✓")),"")</f>
        <v/>
      </c>
      <c r="BA519" s="21" t="str">
        <f>IF($AL519="","",$AL519&amp;"|"&amp;COUNTIF($AL$11:$AL519,$AL519))</f>
        <v/>
      </c>
    </row>
    <row r="520" spans="23:53" ht="15" customHeight="1" x14ac:dyDescent="0.25">
      <c r="W520" s="28" t="str">
        <f>IF(X520="","",IFERROR(INDEX($AL$11:$AL$4010,MATCH(510,$AY$11:$AY$4010,0)),""))</f>
        <v/>
      </c>
      <c r="X520" s="26" t="str">
        <f>IFERROR(INDEX($AM$11:$AM$4010,MATCH(510,$AY$11:$AY$4010,0)),"")</f>
        <v/>
      </c>
      <c r="Y520" s="25" t="str">
        <f>IF(X520="","",IFERROR(INDEX($AN$11:$AN$4010,MATCH(510,$AY$11:$AY$4010,0)),""))</f>
        <v/>
      </c>
      <c r="Z520" s="25" t="str">
        <f>IF(X520="","",IFERROR(INDEX($AO$11:$AO$4010,MATCH(510,$AY$11:$AY$4010,0)),""))</f>
        <v/>
      </c>
      <c r="AA520" s="24" t="str">
        <f>IF(X520="","",IFERROR(INDEX($AQ$11:$AQ$4010,MATCH(510,$AY$11:$AY$4010,0)),""))</f>
        <v/>
      </c>
      <c r="AB520" s="29" t="str">
        <f>IF(X520="","",IFERROR(INDEX($AR$11:$AR$4010,MATCH(510,$AY$11:$AY$4010,0)),""))</f>
        <v/>
      </c>
      <c r="AD520" s="30" t="str">
        <f>IF(AE520="","",IFERROR(INDEX($AL$11:$AL$4010,MATCH(510,$AZ$11:$AZ$4010,0)),""))</f>
        <v/>
      </c>
      <c r="AE520" s="26" t="str">
        <f>IFERROR(INDEX($AM$11:$AM$4010,MATCH(510,$AZ$11:$AZ$4010,0)),"")</f>
        <v/>
      </c>
      <c r="AF520" s="25" t="str">
        <f>IF(AE520="","",IFERROR(INDEX($AN$11:$AN$4010,MATCH(510,$AZ$11:$AZ$4010,0)),""))</f>
        <v/>
      </c>
      <c r="AG520" s="25" t="str">
        <f>IF(AE520="","",IFERROR(INDEX($AO$11:$AO$4010,MATCH(510,$AZ$11:$AZ$4010,0)),""))</f>
        <v/>
      </c>
      <c r="AH520" s="24" t="str">
        <f>IF(AE520="","",IFERROR(INDEX($AQ$11:$AQ$4010,MATCH(510,$AZ$11:$AZ$4010,0)),""))</f>
        <v/>
      </c>
      <c r="AI520" s="29" t="str">
        <f>IF(AE520="","",IFERROR(INDEX($AR$11:$AR$4010,MATCH(510,$AZ$11:$AZ$4010,0)),""))</f>
        <v/>
      </c>
      <c r="AJ520" s="29" t="str">
        <f>IF(AE520="","",IFERROR(INDEX($AT$11:$AT$4010,MATCH(510,$AZ$11:$AZ$4010,0)),""))</f>
        <v/>
      </c>
      <c r="AL520" s="31"/>
      <c r="AM520" s="26"/>
      <c r="AN520" s="32"/>
      <c r="AO520" s="32"/>
      <c r="AP520" s="24"/>
      <c r="AQ520" s="24"/>
      <c r="AR520" s="33"/>
      <c r="AS520" s="34"/>
      <c r="AT520" s="33"/>
      <c r="AV520" s="21">
        <f>IF(AND($AL520&lt;&gt;"",COUNTIF($AL$11:$AL520,$AL520)=1),1,0)</f>
        <v>0</v>
      </c>
      <c r="AW520" s="21">
        <f t="shared" si="101"/>
        <v>0</v>
      </c>
      <c r="AX520" s="21" t="str">
        <f t="shared" si="100"/>
        <v/>
      </c>
      <c r="AY520" s="21" t="str">
        <f>IF(AND($AM520&lt;&gt;"",$AS520&lt;&gt;"✓"),SUMPRODUCT(($AM$11:$AM520&lt;&gt;"")*($AS$11:$AS520&lt;&gt;"✓")),"")</f>
        <v/>
      </c>
      <c r="AZ520" s="21" t="str">
        <f>IF(AND($AM520&lt;&gt;"",$AS520="✓"),SUMPRODUCT(($AM$11:$AM520&lt;&gt;"")*($AS$11:$AS520="✓")),"")</f>
        <v/>
      </c>
      <c r="BA520" s="21" t="str">
        <f>IF($AL520="","",$AL520&amp;"|"&amp;COUNTIF($AL$11:$AL520,$AL520))</f>
        <v/>
      </c>
    </row>
    <row r="521" spans="23:53" ht="15" customHeight="1" x14ac:dyDescent="0.25">
      <c r="W521" s="14" t="str">
        <f>IF(X521="","",IFERROR(INDEX($AL$11:$AL$4010,MATCH(511,$AY$11:$AY$4010,0)),""))</f>
        <v/>
      </c>
      <c r="X521" s="12" t="str">
        <f>IFERROR(INDEX($AM$11:$AM$4010,MATCH(511,$AY$11:$AY$4010,0)),"")</f>
        <v/>
      </c>
      <c r="Y521" s="11" t="str">
        <f>IF(X521="","",IFERROR(INDEX($AN$11:$AN$4010,MATCH(511,$AY$11:$AY$4010,0)),""))</f>
        <v/>
      </c>
      <c r="Z521" s="11" t="str">
        <f>IF(X521="","",IFERROR(INDEX($AO$11:$AO$4010,MATCH(511,$AY$11:$AY$4010,0)),""))</f>
        <v/>
      </c>
      <c r="AA521" s="10" t="str">
        <f>IF(X521="","",IFERROR(INDEX($AQ$11:$AQ$4010,MATCH(511,$AY$11:$AY$4010,0)),""))</f>
        <v/>
      </c>
      <c r="AB521" s="15" t="str">
        <f>IF(X521="","",IFERROR(INDEX($AR$11:$AR$4010,MATCH(511,$AY$11:$AY$4010,0)),""))</f>
        <v/>
      </c>
      <c r="AD521" s="16" t="str">
        <f>IF(AE521="","",IFERROR(INDEX($AL$11:$AL$4010,MATCH(511,$AZ$11:$AZ$4010,0)),""))</f>
        <v/>
      </c>
      <c r="AE521" s="12" t="str">
        <f>IFERROR(INDEX($AM$11:$AM$4010,MATCH(511,$AZ$11:$AZ$4010,0)),"")</f>
        <v/>
      </c>
      <c r="AF521" s="11" t="str">
        <f>IF(AE521="","",IFERROR(INDEX($AN$11:$AN$4010,MATCH(511,$AZ$11:$AZ$4010,0)),""))</f>
        <v/>
      </c>
      <c r="AG521" s="11" t="str">
        <f>IF(AE521="","",IFERROR(INDEX($AO$11:$AO$4010,MATCH(511,$AZ$11:$AZ$4010,0)),""))</f>
        <v/>
      </c>
      <c r="AH521" s="10" t="str">
        <f>IF(AE521="","",IFERROR(INDEX($AQ$11:$AQ$4010,MATCH(511,$AZ$11:$AZ$4010,0)),""))</f>
        <v/>
      </c>
      <c r="AI521" s="15" t="str">
        <f>IF(AE521="","",IFERROR(INDEX($AR$11:$AR$4010,MATCH(511,$AZ$11:$AZ$4010,0)),""))</f>
        <v/>
      </c>
      <c r="AJ521" s="15" t="str">
        <f>IF(AE521="","",IFERROR(INDEX($AT$11:$AT$4010,MATCH(511,$AZ$11:$AZ$4010,0)),""))</f>
        <v/>
      </c>
      <c r="AL521" s="17"/>
      <c r="AM521" s="12"/>
      <c r="AN521" s="18"/>
      <c r="AO521" s="18"/>
      <c r="AP521" s="10"/>
      <c r="AQ521" s="10"/>
      <c r="AR521" s="19"/>
      <c r="AS521" s="20"/>
      <c r="AT521" s="19"/>
      <c r="AV521" s="21">
        <f>IF(AND($AL521&lt;&gt;"",COUNTIF($AL$11:$AL521,$AL521)=1),1,0)</f>
        <v>0</v>
      </c>
      <c r="AW521" s="21">
        <f t="shared" si="101"/>
        <v>0</v>
      </c>
      <c r="AX521" s="21" t="str">
        <f t="shared" si="100"/>
        <v/>
      </c>
      <c r="AY521" s="21" t="str">
        <f>IF(AND($AM521&lt;&gt;"",$AS521&lt;&gt;"✓"),SUMPRODUCT(($AM$11:$AM521&lt;&gt;"")*($AS$11:$AS521&lt;&gt;"✓")),"")</f>
        <v/>
      </c>
      <c r="AZ521" s="21" t="str">
        <f>IF(AND($AM521&lt;&gt;"",$AS521="✓"),SUMPRODUCT(($AM$11:$AM521&lt;&gt;"")*($AS$11:$AS521="✓")),"")</f>
        <v/>
      </c>
      <c r="BA521" s="21" t="str">
        <f>IF($AL521="","",$AL521&amp;"|"&amp;COUNTIF($AL$11:$AL521,$AL521))</f>
        <v/>
      </c>
    </row>
    <row r="522" spans="23:53" ht="15" customHeight="1" x14ac:dyDescent="0.25">
      <c r="W522" s="28" t="str">
        <f>IF(X522="","",IFERROR(INDEX($AL$11:$AL$4010,MATCH(512,$AY$11:$AY$4010,0)),""))</f>
        <v/>
      </c>
      <c r="X522" s="26" t="str">
        <f>IFERROR(INDEX($AM$11:$AM$4010,MATCH(512,$AY$11:$AY$4010,0)),"")</f>
        <v/>
      </c>
      <c r="Y522" s="25" t="str">
        <f>IF(X522="","",IFERROR(INDEX($AN$11:$AN$4010,MATCH(512,$AY$11:$AY$4010,0)),""))</f>
        <v/>
      </c>
      <c r="Z522" s="25" t="str">
        <f>IF(X522="","",IFERROR(INDEX($AO$11:$AO$4010,MATCH(512,$AY$11:$AY$4010,0)),""))</f>
        <v/>
      </c>
      <c r="AA522" s="24" t="str">
        <f>IF(X522="","",IFERROR(INDEX($AQ$11:$AQ$4010,MATCH(512,$AY$11:$AY$4010,0)),""))</f>
        <v/>
      </c>
      <c r="AB522" s="29" t="str">
        <f>IF(X522="","",IFERROR(INDEX($AR$11:$AR$4010,MATCH(512,$AY$11:$AY$4010,0)),""))</f>
        <v/>
      </c>
      <c r="AD522" s="30" t="str">
        <f>IF(AE522="","",IFERROR(INDEX($AL$11:$AL$4010,MATCH(512,$AZ$11:$AZ$4010,0)),""))</f>
        <v/>
      </c>
      <c r="AE522" s="26" t="str">
        <f>IFERROR(INDEX($AM$11:$AM$4010,MATCH(512,$AZ$11:$AZ$4010,0)),"")</f>
        <v/>
      </c>
      <c r="AF522" s="25" t="str">
        <f>IF(AE522="","",IFERROR(INDEX($AN$11:$AN$4010,MATCH(512,$AZ$11:$AZ$4010,0)),""))</f>
        <v/>
      </c>
      <c r="AG522" s="25" t="str">
        <f>IF(AE522="","",IFERROR(INDEX($AO$11:$AO$4010,MATCH(512,$AZ$11:$AZ$4010,0)),""))</f>
        <v/>
      </c>
      <c r="AH522" s="24" t="str">
        <f>IF(AE522="","",IFERROR(INDEX($AQ$11:$AQ$4010,MATCH(512,$AZ$11:$AZ$4010,0)),""))</f>
        <v/>
      </c>
      <c r="AI522" s="29" t="str">
        <f>IF(AE522="","",IFERROR(INDEX($AR$11:$AR$4010,MATCH(512,$AZ$11:$AZ$4010,0)),""))</f>
        <v/>
      </c>
      <c r="AJ522" s="29" t="str">
        <f>IF(AE522="","",IFERROR(INDEX($AT$11:$AT$4010,MATCH(512,$AZ$11:$AZ$4010,0)),""))</f>
        <v/>
      </c>
      <c r="AL522" s="31"/>
      <c r="AM522" s="26"/>
      <c r="AN522" s="32"/>
      <c r="AO522" s="32"/>
      <c r="AP522" s="24"/>
      <c r="AQ522" s="24"/>
      <c r="AR522" s="33"/>
      <c r="AS522" s="34"/>
      <c r="AT522" s="33"/>
      <c r="AV522" s="21">
        <f>IF(AND($AL522&lt;&gt;"",COUNTIF($AL$11:$AL522,$AL522)=1),1,0)</f>
        <v>0</v>
      </c>
      <c r="AW522" s="21">
        <f t="shared" si="101"/>
        <v>0</v>
      </c>
      <c r="AX522" s="21" t="str">
        <f t="shared" si="100"/>
        <v/>
      </c>
      <c r="AY522" s="21" t="str">
        <f>IF(AND($AM522&lt;&gt;"",$AS522&lt;&gt;"✓"),SUMPRODUCT(($AM$11:$AM522&lt;&gt;"")*($AS$11:$AS522&lt;&gt;"✓")),"")</f>
        <v/>
      </c>
      <c r="AZ522" s="21" t="str">
        <f>IF(AND($AM522&lt;&gt;"",$AS522="✓"),SUMPRODUCT(($AM$11:$AM522&lt;&gt;"")*($AS$11:$AS522="✓")),"")</f>
        <v/>
      </c>
      <c r="BA522" s="21" t="str">
        <f>IF($AL522="","",$AL522&amp;"|"&amp;COUNTIF($AL$11:$AL522,$AL522))</f>
        <v/>
      </c>
    </row>
    <row r="523" spans="23:53" ht="15" customHeight="1" x14ac:dyDescent="0.25">
      <c r="W523" s="14" t="str">
        <f>IF(X523="","",IFERROR(INDEX($AL$11:$AL$4010,MATCH(513,$AY$11:$AY$4010,0)),""))</f>
        <v/>
      </c>
      <c r="X523" s="12" t="str">
        <f>IFERROR(INDEX($AM$11:$AM$4010,MATCH(513,$AY$11:$AY$4010,0)),"")</f>
        <v/>
      </c>
      <c r="Y523" s="11" t="str">
        <f>IF(X523="","",IFERROR(INDEX($AN$11:$AN$4010,MATCH(513,$AY$11:$AY$4010,0)),""))</f>
        <v/>
      </c>
      <c r="Z523" s="11" t="str">
        <f>IF(X523="","",IFERROR(INDEX($AO$11:$AO$4010,MATCH(513,$AY$11:$AY$4010,0)),""))</f>
        <v/>
      </c>
      <c r="AA523" s="10" t="str">
        <f>IF(X523="","",IFERROR(INDEX($AQ$11:$AQ$4010,MATCH(513,$AY$11:$AY$4010,0)),""))</f>
        <v/>
      </c>
      <c r="AB523" s="15" t="str">
        <f>IF(X523="","",IFERROR(INDEX($AR$11:$AR$4010,MATCH(513,$AY$11:$AY$4010,0)),""))</f>
        <v/>
      </c>
      <c r="AD523" s="16" t="str">
        <f>IF(AE523="","",IFERROR(INDEX($AL$11:$AL$4010,MATCH(513,$AZ$11:$AZ$4010,0)),""))</f>
        <v/>
      </c>
      <c r="AE523" s="12" t="str">
        <f>IFERROR(INDEX($AM$11:$AM$4010,MATCH(513,$AZ$11:$AZ$4010,0)),"")</f>
        <v/>
      </c>
      <c r="AF523" s="11" t="str">
        <f>IF(AE523="","",IFERROR(INDEX($AN$11:$AN$4010,MATCH(513,$AZ$11:$AZ$4010,0)),""))</f>
        <v/>
      </c>
      <c r="AG523" s="11" t="str">
        <f>IF(AE523="","",IFERROR(INDEX($AO$11:$AO$4010,MATCH(513,$AZ$11:$AZ$4010,0)),""))</f>
        <v/>
      </c>
      <c r="AH523" s="10" t="str">
        <f>IF(AE523="","",IFERROR(INDEX($AQ$11:$AQ$4010,MATCH(513,$AZ$11:$AZ$4010,0)),""))</f>
        <v/>
      </c>
      <c r="AI523" s="15" t="str">
        <f>IF(AE523="","",IFERROR(INDEX($AR$11:$AR$4010,MATCH(513,$AZ$11:$AZ$4010,0)),""))</f>
        <v/>
      </c>
      <c r="AJ523" s="15" t="str">
        <f>IF(AE523="","",IFERROR(INDEX($AT$11:$AT$4010,MATCH(513,$AZ$11:$AZ$4010,0)),""))</f>
        <v/>
      </c>
      <c r="AL523" s="17"/>
      <c r="AM523" s="12"/>
      <c r="AN523" s="18"/>
      <c r="AO523" s="18"/>
      <c r="AP523" s="10"/>
      <c r="AQ523" s="10"/>
      <c r="AR523" s="19"/>
      <c r="AS523" s="20"/>
      <c r="AT523" s="19"/>
      <c r="AV523" s="21">
        <f>IF(AND($AL523&lt;&gt;"",COUNTIF($AL$11:$AL523,$AL523)=1),1,0)</f>
        <v>0</v>
      </c>
      <c r="AW523" s="21">
        <f t="shared" si="101"/>
        <v>0</v>
      </c>
      <c r="AX523" s="21" t="str">
        <f t="shared" ref="AX523:AX586" si="102">IF(AV523=1,AW523,"")</f>
        <v/>
      </c>
      <c r="AY523" s="21" t="str">
        <f>IF(AND($AM523&lt;&gt;"",$AS523&lt;&gt;"✓"),SUMPRODUCT(($AM$11:$AM523&lt;&gt;"")*($AS$11:$AS523&lt;&gt;"✓")),"")</f>
        <v/>
      </c>
      <c r="AZ523" s="21" t="str">
        <f>IF(AND($AM523&lt;&gt;"",$AS523="✓"),SUMPRODUCT(($AM$11:$AM523&lt;&gt;"")*($AS$11:$AS523="✓")),"")</f>
        <v/>
      </c>
      <c r="BA523" s="21" t="str">
        <f>IF($AL523="","",$AL523&amp;"|"&amp;COUNTIF($AL$11:$AL523,$AL523))</f>
        <v/>
      </c>
    </row>
    <row r="524" spans="23:53" ht="15" customHeight="1" x14ac:dyDescent="0.25">
      <c r="W524" s="28" t="str">
        <f>IF(X524="","",IFERROR(INDEX($AL$11:$AL$4010,MATCH(514,$AY$11:$AY$4010,0)),""))</f>
        <v/>
      </c>
      <c r="X524" s="26" t="str">
        <f>IFERROR(INDEX($AM$11:$AM$4010,MATCH(514,$AY$11:$AY$4010,0)),"")</f>
        <v/>
      </c>
      <c r="Y524" s="25" t="str">
        <f>IF(X524="","",IFERROR(INDEX($AN$11:$AN$4010,MATCH(514,$AY$11:$AY$4010,0)),""))</f>
        <v/>
      </c>
      <c r="Z524" s="25" t="str">
        <f>IF(X524="","",IFERROR(INDEX($AO$11:$AO$4010,MATCH(514,$AY$11:$AY$4010,0)),""))</f>
        <v/>
      </c>
      <c r="AA524" s="24" t="str">
        <f>IF(X524="","",IFERROR(INDEX($AQ$11:$AQ$4010,MATCH(514,$AY$11:$AY$4010,0)),""))</f>
        <v/>
      </c>
      <c r="AB524" s="29" t="str">
        <f>IF(X524="","",IFERROR(INDEX($AR$11:$AR$4010,MATCH(514,$AY$11:$AY$4010,0)),""))</f>
        <v/>
      </c>
      <c r="AD524" s="30" t="str">
        <f>IF(AE524="","",IFERROR(INDEX($AL$11:$AL$4010,MATCH(514,$AZ$11:$AZ$4010,0)),""))</f>
        <v/>
      </c>
      <c r="AE524" s="26" t="str">
        <f>IFERROR(INDEX($AM$11:$AM$4010,MATCH(514,$AZ$11:$AZ$4010,0)),"")</f>
        <v/>
      </c>
      <c r="AF524" s="25" t="str">
        <f>IF(AE524="","",IFERROR(INDEX($AN$11:$AN$4010,MATCH(514,$AZ$11:$AZ$4010,0)),""))</f>
        <v/>
      </c>
      <c r="AG524" s="25" t="str">
        <f>IF(AE524="","",IFERROR(INDEX($AO$11:$AO$4010,MATCH(514,$AZ$11:$AZ$4010,0)),""))</f>
        <v/>
      </c>
      <c r="AH524" s="24" t="str">
        <f>IF(AE524="","",IFERROR(INDEX($AQ$11:$AQ$4010,MATCH(514,$AZ$11:$AZ$4010,0)),""))</f>
        <v/>
      </c>
      <c r="AI524" s="29" t="str">
        <f>IF(AE524="","",IFERROR(INDEX($AR$11:$AR$4010,MATCH(514,$AZ$11:$AZ$4010,0)),""))</f>
        <v/>
      </c>
      <c r="AJ524" s="29" t="str">
        <f>IF(AE524="","",IFERROR(INDEX($AT$11:$AT$4010,MATCH(514,$AZ$11:$AZ$4010,0)),""))</f>
        <v/>
      </c>
      <c r="AL524" s="31"/>
      <c r="AM524" s="26"/>
      <c r="AN524" s="32"/>
      <c r="AO524" s="32"/>
      <c r="AP524" s="24"/>
      <c r="AQ524" s="24"/>
      <c r="AR524" s="33"/>
      <c r="AS524" s="34"/>
      <c r="AT524" s="33"/>
      <c r="AV524" s="21">
        <f>IF(AND($AL524&lt;&gt;"",COUNTIF($AL$11:$AL524,$AL524)=1),1,0)</f>
        <v>0</v>
      </c>
      <c r="AW524" s="21">
        <f t="shared" ref="AW524:AW587" si="103">AW523+AV524</f>
        <v>0</v>
      </c>
      <c r="AX524" s="21" t="str">
        <f t="shared" si="102"/>
        <v/>
      </c>
      <c r="AY524" s="21" t="str">
        <f>IF(AND($AM524&lt;&gt;"",$AS524&lt;&gt;"✓"),SUMPRODUCT(($AM$11:$AM524&lt;&gt;"")*($AS$11:$AS524&lt;&gt;"✓")),"")</f>
        <v/>
      </c>
      <c r="AZ524" s="21" t="str">
        <f>IF(AND($AM524&lt;&gt;"",$AS524="✓"),SUMPRODUCT(($AM$11:$AM524&lt;&gt;"")*($AS$11:$AS524="✓")),"")</f>
        <v/>
      </c>
      <c r="BA524" s="21" t="str">
        <f>IF($AL524="","",$AL524&amp;"|"&amp;COUNTIF($AL$11:$AL524,$AL524))</f>
        <v/>
      </c>
    </row>
    <row r="525" spans="23:53" ht="15" customHeight="1" x14ac:dyDescent="0.25">
      <c r="W525" s="14" t="str">
        <f>IF(X525="","",IFERROR(INDEX($AL$11:$AL$4010,MATCH(515,$AY$11:$AY$4010,0)),""))</f>
        <v/>
      </c>
      <c r="X525" s="12" t="str">
        <f>IFERROR(INDEX($AM$11:$AM$4010,MATCH(515,$AY$11:$AY$4010,0)),"")</f>
        <v/>
      </c>
      <c r="Y525" s="11" t="str">
        <f>IF(X525="","",IFERROR(INDEX($AN$11:$AN$4010,MATCH(515,$AY$11:$AY$4010,0)),""))</f>
        <v/>
      </c>
      <c r="Z525" s="11" t="str">
        <f>IF(X525="","",IFERROR(INDEX($AO$11:$AO$4010,MATCH(515,$AY$11:$AY$4010,0)),""))</f>
        <v/>
      </c>
      <c r="AA525" s="10" t="str">
        <f>IF(X525="","",IFERROR(INDEX($AQ$11:$AQ$4010,MATCH(515,$AY$11:$AY$4010,0)),""))</f>
        <v/>
      </c>
      <c r="AB525" s="15" t="str">
        <f>IF(X525="","",IFERROR(INDEX($AR$11:$AR$4010,MATCH(515,$AY$11:$AY$4010,0)),""))</f>
        <v/>
      </c>
      <c r="AD525" s="16" t="str">
        <f>IF(AE525="","",IFERROR(INDEX($AL$11:$AL$4010,MATCH(515,$AZ$11:$AZ$4010,0)),""))</f>
        <v/>
      </c>
      <c r="AE525" s="12" t="str">
        <f>IFERROR(INDEX($AM$11:$AM$4010,MATCH(515,$AZ$11:$AZ$4010,0)),"")</f>
        <v/>
      </c>
      <c r="AF525" s="11" t="str">
        <f>IF(AE525="","",IFERROR(INDEX($AN$11:$AN$4010,MATCH(515,$AZ$11:$AZ$4010,0)),""))</f>
        <v/>
      </c>
      <c r="AG525" s="11" t="str">
        <f>IF(AE525="","",IFERROR(INDEX($AO$11:$AO$4010,MATCH(515,$AZ$11:$AZ$4010,0)),""))</f>
        <v/>
      </c>
      <c r="AH525" s="10" t="str">
        <f>IF(AE525="","",IFERROR(INDEX($AQ$11:$AQ$4010,MATCH(515,$AZ$11:$AZ$4010,0)),""))</f>
        <v/>
      </c>
      <c r="AI525" s="15" t="str">
        <f>IF(AE525="","",IFERROR(INDEX($AR$11:$AR$4010,MATCH(515,$AZ$11:$AZ$4010,0)),""))</f>
        <v/>
      </c>
      <c r="AJ525" s="15" t="str">
        <f>IF(AE525="","",IFERROR(INDEX($AT$11:$AT$4010,MATCH(515,$AZ$11:$AZ$4010,0)),""))</f>
        <v/>
      </c>
      <c r="AL525" s="17"/>
      <c r="AM525" s="12"/>
      <c r="AN525" s="18"/>
      <c r="AO525" s="18"/>
      <c r="AP525" s="10"/>
      <c r="AQ525" s="10"/>
      <c r="AR525" s="19"/>
      <c r="AS525" s="20"/>
      <c r="AT525" s="19"/>
      <c r="AV525" s="21">
        <f>IF(AND($AL525&lt;&gt;"",COUNTIF($AL$11:$AL525,$AL525)=1),1,0)</f>
        <v>0</v>
      </c>
      <c r="AW525" s="21">
        <f t="shared" si="103"/>
        <v>0</v>
      </c>
      <c r="AX525" s="21" t="str">
        <f t="shared" si="102"/>
        <v/>
      </c>
      <c r="AY525" s="21" t="str">
        <f>IF(AND($AM525&lt;&gt;"",$AS525&lt;&gt;"✓"),SUMPRODUCT(($AM$11:$AM525&lt;&gt;"")*($AS$11:$AS525&lt;&gt;"✓")),"")</f>
        <v/>
      </c>
      <c r="AZ525" s="21" t="str">
        <f>IF(AND($AM525&lt;&gt;"",$AS525="✓"),SUMPRODUCT(($AM$11:$AM525&lt;&gt;"")*($AS$11:$AS525="✓")),"")</f>
        <v/>
      </c>
      <c r="BA525" s="21" t="str">
        <f>IF($AL525="","",$AL525&amp;"|"&amp;COUNTIF($AL$11:$AL525,$AL525))</f>
        <v/>
      </c>
    </row>
    <row r="526" spans="23:53" ht="15" customHeight="1" x14ac:dyDescent="0.25">
      <c r="W526" s="28" t="str">
        <f>IF(X526="","",IFERROR(INDEX($AL$11:$AL$4010,MATCH(516,$AY$11:$AY$4010,0)),""))</f>
        <v/>
      </c>
      <c r="X526" s="26" t="str">
        <f>IFERROR(INDEX($AM$11:$AM$4010,MATCH(516,$AY$11:$AY$4010,0)),"")</f>
        <v/>
      </c>
      <c r="Y526" s="25" t="str">
        <f>IF(X526="","",IFERROR(INDEX($AN$11:$AN$4010,MATCH(516,$AY$11:$AY$4010,0)),""))</f>
        <v/>
      </c>
      <c r="Z526" s="25" t="str">
        <f>IF(X526="","",IFERROR(INDEX($AO$11:$AO$4010,MATCH(516,$AY$11:$AY$4010,0)),""))</f>
        <v/>
      </c>
      <c r="AA526" s="24" t="str">
        <f>IF(X526="","",IFERROR(INDEX($AQ$11:$AQ$4010,MATCH(516,$AY$11:$AY$4010,0)),""))</f>
        <v/>
      </c>
      <c r="AB526" s="29" t="str">
        <f>IF(X526="","",IFERROR(INDEX($AR$11:$AR$4010,MATCH(516,$AY$11:$AY$4010,0)),""))</f>
        <v/>
      </c>
      <c r="AD526" s="30" t="str">
        <f>IF(AE526="","",IFERROR(INDEX($AL$11:$AL$4010,MATCH(516,$AZ$11:$AZ$4010,0)),""))</f>
        <v/>
      </c>
      <c r="AE526" s="26" t="str">
        <f>IFERROR(INDEX($AM$11:$AM$4010,MATCH(516,$AZ$11:$AZ$4010,0)),"")</f>
        <v/>
      </c>
      <c r="AF526" s="25" t="str">
        <f>IF(AE526="","",IFERROR(INDEX($AN$11:$AN$4010,MATCH(516,$AZ$11:$AZ$4010,0)),""))</f>
        <v/>
      </c>
      <c r="AG526" s="25" t="str">
        <f>IF(AE526="","",IFERROR(INDEX($AO$11:$AO$4010,MATCH(516,$AZ$11:$AZ$4010,0)),""))</f>
        <v/>
      </c>
      <c r="AH526" s="24" t="str">
        <f>IF(AE526="","",IFERROR(INDEX($AQ$11:$AQ$4010,MATCH(516,$AZ$11:$AZ$4010,0)),""))</f>
        <v/>
      </c>
      <c r="AI526" s="29" t="str">
        <f>IF(AE526="","",IFERROR(INDEX($AR$11:$AR$4010,MATCH(516,$AZ$11:$AZ$4010,0)),""))</f>
        <v/>
      </c>
      <c r="AJ526" s="29" t="str">
        <f>IF(AE526="","",IFERROR(INDEX($AT$11:$AT$4010,MATCH(516,$AZ$11:$AZ$4010,0)),""))</f>
        <v/>
      </c>
      <c r="AL526" s="31"/>
      <c r="AM526" s="26"/>
      <c r="AN526" s="32"/>
      <c r="AO526" s="32"/>
      <c r="AP526" s="24"/>
      <c r="AQ526" s="24"/>
      <c r="AR526" s="33"/>
      <c r="AS526" s="34"/>
      <c r="AT526" s="33"/>
      <c r="AV526" s="21">
        <f>IF(AND($AL526&lt;&gt;"",COUNTIF($AL$11:$AL526,$AL526)=1),1,0)</f>
        <v>0</v>
      </c>
      <c r="AW526" s="21">
        <f t="shared" si="103"/>
        <v>0</v>
      </c>
      <c r="AX526" s="21" t="str">
        <f t="shared" si="102"/>
        <v/>
      </c>
      <c r="AY526" s="21" t="str">
        <f>IF(AND($AM526&lt;&gt;"",$AS526&lt;&gt;"✓"),SUMPRODUCT(($AM$11:$AM526&lt;&gt;"")*($AS$11:$AS526&lt;&gt;"✓")),"")</f>
        <v/>
      </c>
      <c r="AZ526" s="21" t="str">
        <f>IF(AND($AM526&lt;&gt;"",$AS526="✓"),SUMPRODUCT(($AM$11:$AM526&lt;&gt;"")*($AS$11:$AS526="✓")),"")</f>
        <v/>
      </c>
      <c r="BA526" s="21" t="str">
        <f>IF($AL526="","",$AL526&amp;"|"&amp;COUNTIF($AL$11:$AL526,$AL526))</f>
        <v/>
      </c>
    </row>
    <row r="527" spans="23:53" ht="15" customHeight="1" x14ac:dyDescent="0.25">
      <c r="W527" s="14" t="str">
        <f>IF(X527="","",IFERROR(INDEX($AL$11:$AL$4010,MATCH(517,$AY$11:$AY$4010,0)),""))</f>
        <v/>
      </c>
      <c r="X527" s="12" t="str">
        <f>IFERROR(INDEX($AM$11:$AM$4010,MATCH(517,$AY$11:$AY$4010,0)),"")</f>
        <v/>
      </c>
      <c r="Y527" s="11" t="str">
        <f>IF(X527="","",IFERROR(INDEX($AN$11:$AN$4010,MATCH(517,$AY$11:$AY$4010,0)),""))</f>
        <v/>
      </c>
      <c r="Z527" s="11" t="str">
        <f>IF(X527="","",IFERROR(INDEX($AO$11:$AO$4010,MATCH(517,$AY$11:$AY$4010,0)),""))</f>
        <v/>
      </c>
      <c r="AA527" s="10" t="str">
        <f>IF(X527="","",IFERROR(INDEX($AQ$11:$AQ$4010,MATCH(517,$AY$11:$AY$4010,0)),""))</f>
        <v/>
      </c>
      <c r="AB527" s="15" t="str">
        <f>IF(X527="","",IFERROR(INDEX($AR$11:$AR$4010,MATCH(517,$AY$11:$AY$4010,0)),""))</f>
        <v/>
      </c>
      <c r="AD527" s="16" t="str">
        <f>IF(AE527="","",IFERROR(INDEX($AL$11:$AL$4010,MATCH(517,$AZ$11:$AZ$4010,0)),""))</f>
        <v/>
      </c>
      <c r="AE527" s="12" t="str">
        <f>IFERROR(INDEX($AM$11:$AM$4010,MATCH(517,$AZ$11:$AZ$4010,0)),"")</f>
        <v/>
      </c>
      <c r="AF527" s="11" t="str">
        <f>IF(AE527="","",IFERROR(INDEX($AN$11:$AN$4010,MATCH(517,$AZ$11:$AZ$4010,0)),""))</f>
        <v/>
      </c>
      <c r="AG527" s="11" t="str">
        <f>IF(AE527="","",IFERROR(INDEX($AO$11:$AO$4010,MATCH(517,$AZ$11:$AZ$4010,0)),""))</f>
        <v/>
      </c>
      <c r="AH527" s="10" t="str">
        <f>IF(AE527="","",IFERROR(INDEX($AQ$11:$AQ$4010,MATCH(517,$AZ$11:$AZ$4010,0)),""))</f>
        <v/>
      </c>
      <c r="AI527" s="15" t="str">
        <f>IF(AE527="","",IFERROR(INDEX($AR$11:$AR$4010,MATCH(517,$AZ$11:$AZ$4010,0)),""))</f>
        <v/>
      </c>
      <c r="AJ527" s="15" t="str">
        <f>IF(AE527="","",IFERROR(INDEX($AT$11:$AT$4010,MATCH(517,$AZ$11:$AZ$4010,0)),""))</f>
        <v/>
      </c>
      <c r="AL527" s="17"/>
      <c r="AM527" s="12"/>
      <c r="AN527" s="18"/>
      <c r="AO527" s="18"/>
      <c r="AP527" s="10"/>
      <c r="AQ527" s="10"/>
      <c r="AR527" s="19"/>
      <c r="AS527" s="20"/>
      <c r="AT527" s="19"/>
      <c r="AV527" s="21">
        <f>IF(AND($AL527&lt;&gt;"",COUNTIF($AL$11:$AL527,$AL527)=1),1,0)</f>
        <v>0</v>
      </c>
      <c r="AW527" s="21">
        <f t="shared" si="103"/>
        <v>0</v>
      </c>
      <c r="AX527" s="21" t="str">
        <f t="shared" si="102"/>
        <v/>
      </c>
      <c r="AY527" s="21" t="str">
        <f>IF(AND($AM527&lt;&gt;"",$AS527&lt;&gt;"✓"),SUMPRODUCT(($AM$11:$AM527&lt;&gt;"")*($AS$11:$AS527&lt;&gt;"✓")),"")</f>
        <v/>
      </c>
      <c r="AZ527" s="21" t="str">
        <f>IF(AND($AM527&lt;&gt;"",$AS527="✓"),SUMPRODUCT(($AM$11:$AM527&lt;&gt;"")*($AS$11:$AS527="✓")),"")</f>
        <v/>
      </c>
      <c r="BA527" s="21" t="str">
        <f>IF($AL527="","",$AL527&amp;"|"&amp;COUNTIF($AL$11:$AL527,$AL527))</f>
        <v/>
      </c>
    </row>
    <row r="528" spans="23:53" ht="15" customHeight="1" x14ac:dyDescent="0.25">
      <c r="W528" s="28" t="str">
        <f>IF(X528="","",IFERROR(INDEX($AL$11:$AL$4010,MATCH(518,$AY$11:$AY$4010,0)),""))</f>
        <v/>
      </c>
      <c r="X528" s="26" t="str">
        <f>IFERROR(INDEX($AM$11:$AM$4010,MATCH(518,$AY$11:$AY$4010,0)),"")</f>
        <v/>
      </c>
      <c r="Y528" s="25" t="str">
        <f>IF(X528="","",IFERROR(INDEX($AN$11:$AN$4010,MATCH(518,$AY$11:$AY$4010,0)),""))</f>
        <v/>
      </c>
      <c r="Z528" s="25" t="str">
        <f>IF(X528="","",IFERROR(INDEX($AO$11:$AO$4010,MATCH(518,$AY$11:$AY$4010,0)),""))</f>
        <v/>
      </c>
      <c r="AA528" s="24" t="str">
        <f>IF(X528="","",IFERROR(INDEX($AQ$11:$AQ$4010,MATCH(518,$AY$11:$AY$4010,0)),""))</f>
        <v/>
      </c>
      <c r="AB528" s="29" t="str">
        <f>IF(X528="","",IFERROR(INDEX($AR$11:$AR$4010,MATCH(518,$AY$11:$AY$4010,0)),""))</f>
        <v/>
      </c>
      <c r="AD528" s="30" t="str">
        <f>IF(AE528="","",IFERROR(INDEX($AL$11:$AL$4010,MATCH(518,$AZ$11:$AZ$4010,0)),""))</f>
        <v/>
      </c>
      <c r="AE528" s="26" t="str">
        <f>IFERROR(INDEX($AM$11:$AM$4010,MATCH(518,$AZ$11:$AZ$4010,0)),"")</f>
        <v/>
      </c>
      <c r="AF528" s="25" t="str">
        <f>IF(AE528="","",IFERROR(INDEX($AN$11:$AN$4010,MATCH(518,$AZ$11:$AZ$4010,0)),""))</f>
        <v/>
      </c>
      <c r="AG528" s="25" t="str">
        <f>IF(AE528="","",IFERROR(INDEX($AO$11:$AO$4010,MATCH(518,$AZ$11:$AZ$4010,0)),""))</f>
        <v/>
      </c>
      <c r="AH528" s="24" t="str">
        <f>IF(AE528="","",IFERROR(INDEX($AQ$11:$AQ$4010,MATCH(518,$AZ$11:$AZ$4010,0)),""))</f>
        <v/>
      </c>
      <c r="AI528" s="29" t="str">
        <f>IF(AE528="","",IFERROR(INDEX($AR$11:$AR$4010,MATCH(518,$AZ$11:$AZ$4010,0)),""))</f>
        <v/>
      </c>
      <c r="AJ528" s="29" t="str">
        <f>IF(AE528="","",IFERROR(INDEX($AT$11:$AT$4010,MATCH(518,$AZ$11:$AZ$4010,0)),""))</f>
        <v/>
      </c>
      <c r="AL528" s="31"/>
      <c r="AM528" s="26"/>
      <c r="AN528" s="32"/>
      <c r="AO528" s="32"/>
      <c r="AP528" s="24"/>
      <c r="AQ528" s="24"/>
      <c r="AR528" s="33"/>
      <c r="AS528" s="34"/>
      <c r="AT528" s="33"/>
      <c r="AV528" s="21">
        <f>IF(AND($AL528&lt;&gt;"",COUNTIF($AL$11:$AL528,$AL528)=1),1,0)</f>
        <v>0</v>
      </c>
      <c r="AW528" s="21">
        <f t="shared" si="103"/>
        <v>0</v>
      </c>
      <c r="AX528" s="21" t="str">
        <f t="shared" si="102"/>
        <v/>
      </c>
      <c r="AY528" s="21" t="str">
        <f>IF(AND($AM528&lt;&gt;"",$AS528&lt;&gt;"✓"),SUMPRODUCT(($AM$11:$AM528&lt;&gt;"")*($AS$11:$AS528&lt;&gt;"✓")),"")</f>
        <v/>
      </c>
      <c r="AZ528" s="21" t="str">
        <f>IF(AND($AM528&lt;&gt;"",$AS528="✓"),SUMPRODUCT(($AM$11:$AM528&lt;&gt;"")*($AS$11:$AS528="✓")),"")</f>
        <v/>
      </c>
      <c r="BA528" s="21" t="str">
        <f>IF($AL528="","",$AL528&amp;"|"&amp;COUNTIF($AL$11:$AL528,$AL528))</f>
        <v/>
      </c>
    </row>
    <row r="529" spans="23:53" ht="15" customHeight="1" x14ac:dyDescent="0.25">
      <c r="W529" s="14" t="str">
        <f>IF(X529="","",IFERROR(INDEX($AL$11:$AL$4010,MATCH(519,$AY$11:$AY$4010,0)),""))</f>
        <v/>
      </c>
      <c r="X529" s="12" t="str">
        <f>IFERROR(INDEX($AM$11:$AM$4010,MATCH(519,$AY$11:$AY$4010,0)),"")</f>
        <v/>
      </c>
      <c r="Y529" s="11" t="str">
        <f>IF(X529="","",IFERROR(INDEX($AN$11:$AN$4010,MATCH(519,$AY$11:$AY$4010,0)),""))</f>
        <v/>
      </c>
      <c r="Z529" s="11" t="str">
        <f>IF(X529="","",IFERROR(INDEX($AO$11:$AO$4010,MATCH(519,$AY$11:$AY$4010,0)),""))</f>
        <v/>
      </c>
      <c r="AA529" s="10" t="str">
        <f>IF(X529="","",IFERROR(INDEX($AQ$11:$AQ$4010,MATCH(519,$AY$11:$AY$4010,0)),""))</f>
        <v/>
      </c>
      <c r="AB529" s="15" t="str">
        <f>IF(X529="","",IFERROR(INDEX($AR$11:$AR$4010,MATCH(519,$AY$11:$AY$4010,0)),""))</f>
        <v/>
      </c>
      <c r="AD529" s="16" t="str">
        <f>IF(AE529="","",IFERROR(INDEX($AL$11:$AL$4010,MATCH(519,$AZ$11:$AZ$4010,0)),""))</f>
        <v/>
      </c>
      <c r="AE529" s="12" t="str">
        <f>IFERROR(INDEX($AM$11:$AM$4010,MATCH(519,$AZ$11:$AZ$4010,0)),"")</f>
        <v/>
      </c>
      <c r="AF529" s="11" t="str">
        <f>IF(AE529="","",IFERROR(INDEX($AN$11:$AN$4010,MATCH(519,$AZ$11:$AZ$4010,0)),""))</f>
        <v/>
      </c>
      <c r="AG529" s="11" t="str">
        <f>IF(AE529="","",IFERROR(INDEX($AO$11:$AO$4010,MATCH(519,$AZ$11:$AZ$4010,0)),""))</f>
        <v/>
      </c>
      <c r="AH529" s="10" t="str">
        <f>IF(AE529="","",IFERROR(INDEX($AQ$11:$AQ$4010,MATCH(519,$AZ$11:$AZ$4010,0)),""))</f>
        <v/>
      </c>
      <c r="AI529" s="15" t="str">
        <f>IF(AE529="","",IFERROR(INDEX($AR$11:$AR$4010,MATCH(519,$AZ$11:$AZ$4010,0)),""))</f>
        <v/>
      </c>
      <c r="AJ529" s="15" t="str">
        <f>IF(AE529="","",IFERROR(INDEX($AT$11:$AT$4010,MATCH(519,$AZ$11:$AZ$4010,0)),""))</f>
        <v/>
      </c>
      <c r="AL529" s="17"/>
      <c r="AM529" s="12"/>
      <c r="AN529" s="18"/>
      <c r="AO529" s="18"/>
      <c r="AP529" s="10"/>
      <c r="AQ529" s="10"/>
      <c r="AR529" s="19"/>
      <c r="AS529" s="20"/>
      <c r="AT529" s="19"/>
      <c r="AV529" s="21">
        <f>IF(AND($AL529&lt;&gt;"",COUNTIF($AL$11:$AL529,$AL529)=1),1,0)</f>
        <v>0</v>
      </c>
      <c r="AW529" s="21">
        <f t="shared" si="103"/>
        <v>0</v>
      </c>
      <c r="AX529" s="21" t="str">
        <f t="shared" si="102"/>
        <v/>
      </c>
      <c r="AY529" s="21" t="str">
        <f>IF(AND($AM529&lt;&gt;"",$AS529&lt;&gt;"✓"),SUMPRODUCT(($AM$11:$AM529&lt;&gt;"")*($AS$11:$AS529&lt;&gt;"✓")),"")</f>
        <v/>
      </c>
      <c r="AZ529" s="21" t="str">
        <f>IF(AND($AM529&lt;&gt;"",$AS529="✓"),SUMPRODUCT(($AM$11:$AM529&lt;&gt;"")*($AS$11:$AS529="✓")),"")</f>
        <v/>
      </c>
      <c r="BA529" s="21" t="str">
        <f>IF($AL529="","",$AL529&amp;"|"&amp;COUNTIF($AL$11:$AL529,$AL529))</f>
        <v/>
      </c>
    </row>
    <row r="530" spans="23:53" ht="15" customHeight="1" x14ac:dyDescent="0.25">
      <c r="W530" s="28" t="str">
        <f>IF(X530="","",IFERROR(INDEX($AL$11:$AL$4010,MATCH(520,$AY$11:$AY$4010,0)),""))</f>
        <v/>
      </c>
      <c r="X530" s="26" t="str">
        <f>IFERROR(INDEX($AM$11:$AM$4010,MATCH(520,$AY$11:$AY$4010,0)),"")</f>
        <v/>
      </c>
      <c r="Y530" s="25" t="str">
        <f>IF(X530="","",IFERROR(INDEX($AN$11:$AN$4010,MATCH(520,$AY$11:$AY$4010,0)),""))</f>
        <v/>
      </c>
      <c r="Z530" s="25" t="str">
        <f>IF(X530="","",IFERROR(INDEX($AO$11:$AO$4010,MATCH(520,$AY$11:$AY$4010,0)),""))</f>
        <v/>
      </c>
      <c r="AA530" s="24" t="str">
        <f>IF(X530="","",IFERROR(INDEX($AQ$11:$AQ$4010,MATCH(520,$AY$11:$AY$4010,0)),""))</f>
        <v/>
      </c>
      <c r="AB530" s="29" t="str">
        <f>IF(X530="","",IFERROR(INDEX($AR$11:$AR$4010,MATCH(520,$AY$11:$AY$4010,0)),""))</f>
        <v/>
      </c>
      <c r="AD530" s="30" t="str">
        <f>IF(AE530="","",IFERROR(INDEX($AL$11:$AL$4010,MATCH(520,$AZ$11:$AZ$4010,0)),""))</f>
        <v/>
      </c>
      <c r="AE530" s="26" t="str">
        <f>IFERROR(INDEX($AM$11:$AM$4010,MATCH(520,$AZ$11:$AZ$4010,0)),"")</f>
        <v/>
      </c>
      <c r="AF530" s="25" t="str">
        <f>IF(AE530="","",IFERROR(INDEX($AN$11:$AN$4010,MATCH(520,$AZ$11:$AZ$4010,0)),""))</f>
        <v/>
      </c>
      <c r="AG530" s="25" t="str">
        <f>IF(AE530="","",IFERROR(INDEX($AO$11:$AO$4010,MATCH(520,$AZ$11:$AZ$4010,0)),""))</f>
        <v/>
      </c>
      <c r="AH530" s="24" t="str">
        <f>IF(AE530="","",IFERROR(INDEX($AQ$11:$AQ$4010,MATCH(520,$AZ$11:$AZ$4010,0)),""))</f>
        <v/>
      </c>
      <c r="AI530" s="29" t="str">
        <f>IF(AE530="","",IFERROR(INDEX($AR$11:$AR$4010,MATCH(520,$AZ$11:$AZ$4010,0)),""))</f>
        <v/>
      </c>
      <c r="AJ530" s="29" t="str">
        <f>IF(AE530="","",IFERROR(INDEX($AT$11:$AT$4010,MATCH(520,$AZ$11:$AZ$4010,0)),""))</f>
        <v/>
      </c>
      <c r="AL530" s="31"/>
      <c r="AM530" s="26"/>
      <c r="AN530" s="32"/>
      <c r="AO530" s="32"/>
      <c r="AP530" s="24"/>
      <c r="AQ530" s="24"/>
      <c r="AR530" s="33"/>
      <c r="AS530" s="34"/>
      <c r="AT530" s="33"/>
      <c r="AV530" s="21">
        <f>IF(AND($AL530&lt;&gt;"",COUNTIF($AL$11:$AL530,$AL530)=1),1,0)</f>
        <v>0</v>
      </c>
      <c r="AW530" s="21">
        <f t="shared" si="103"/>
        <v>0</v>
      </c>
      <c r="AX530" s="21" t="str">
        <f t="shared" si="102"/>
        <v/>
      </c>
      <c r="AY530" s="21" t="str">
        <f>IF(AND($AM530&lt;&gt;"",$AS530&lt;&gt;"✓"),SUMPRODUCT(($AM$11:$AM530&lt;&gt;"")*($AS$11:$AS530&lt;&gt;"✓")),"")</f>
        <v/>
      </c>
      <c r="AZ530" s="21" t="str">
        <f>IF(AND($AM530&lt;&gt;"",$AS530="✓"),SUMPRODUCT(($AM$11:$AM530&lt;&gt;"")*($AS$11:$AS530="✓")),"")</f>
        <v/>
      </c>
      <c r="BA530" s="21" t="str">
        <f>IF($AL530="","",$AL530&amp;"|"&amp;COUNTIF($AL$11:$AL530,$AL530))</f>
        <v/>
      </c>
    </row>
    <row r="531" spans="23:53" ht="15" customHeight="1" x14ac:dyDescent="0.25">
      <c r="W531" s="14" t="str">
        <f>IF(X531="","",IFERROR(INDEX($AL$11:$AL$4010,MATCH(521,$AY$11:$AY$4010,0)),""))</f>
        <v/>
      </c>
      <c r="X531" s="12" t="str">
        <f>IFERROR(INDEX($AM$11:$AM$4010,MATCH(521,$AY$11:$AY$4010,0)),"")</f>
        <v/>
      </c>
      <c r="Y531" s="11" t="str">
        <f>IF(X531="","",IFERROR(INDEX($AN$11:$AN$4010,MATCH(521,$AY$11:$AY$4010,0)),""))</f>
        <v/>
      </c>
      <c r="Z531" s="11" t="str">
        <f>IF(X531="","",IFERROR(INDEX($AO$11:$AO$4010,MATCH(521,$AY$11:$AY$4010,0)),""))</f>
        <v/>
      </c>
      <c r="AA531" s="10" t="str">
        <f>IF(X531="","",IFERROR(INDEX($AQ$11:$AQ$4010,MATCH(521,$AY$11:$AY$4010,0)),""))</f>
        <v/>
      </c>
      <c r="AB531" s="15" t="str">
        <f>IF(X531="","",IFERROR(INDEX($AR$11:$AR$4010,MATCH(521,$AY$11:$AY$4010,0)),""))</f>
        <v/>
      </c>
      <c r="AD531" s="16" t="str">
        <f>IF(AE531="","",IFERROR(INDEX($AL$11:$AL$4010,MATCH(521,$AZ$11:$AZ$4010,0)),""))</f>
        <v/>
      </c>
      <c r="AE531" s="12" t="str">
        <f>IFERROR(INDEX($AM$11:$AM$4010,MATCH(521,$AZ$11:$AZ$4010,0)),"")</f>
        <v/>
      </c>
      <c r="AF531" s="11" t="str">
        <f>IF(AE531="","",IFERROR(INDEX($AN$11:$AN$4010,MATCH(521,$AZ$11:$AZ$4010,0)),""))</f>
        <v/>
      </c>
      <c r="AG531" s="11" t="str">
        <f>IF(AE531="","",IFERROR(INDEX($AO$11:$AO$4010,MATCH(521,$AZ$11:$AZ$4010,0)),""))</f>
        <v/>
      </c>
      <c r="AH531" s="10" t="str">
        <f>IF(AE531="","",IFERROR(INDEX($AQ$11:$AQ$4010,MATCH(521,$AZ$11:$AZ$4010,0)),""))</f>
        <v/>
      </c>
      <c r="AI531" s="15" t="str">
        <f>IF(AE531="","",IFERROR(INDEX($AR$11:$AR$4010,MATCH(521,$AZ$11:$AZ$4010,0)),""))</f>
        <v/>
      </c>
      <c r="AJ531" s="15" t="str">
        <f>IF(AE531="","",IFERROR(INDEX($AT$11:$AT$4010,MATCH(521,$AZ$11:$AZ$4010,0)),""))</f>
        <v/>
      </c>
      <c r="AL531" s="17"/>
      <c r="AM531" s="12"/>
      <c r="AN531" s="18"/>
      <c r="AO531" s="18"/>
      <c r="AP531" s="10"/>
      <c r="AQ531" s="10"/>
      <c r="AR531" s="19"/>
      <c r="AS531" s="20"/>
      <c r="AT531" s="19"/>
      <c r="AV531" s="21">
        <f>IF(AND($AL531&lt;&gt;"",COUNTIF($AL$11:$AL531,$AL531)=1),1,0)</f>
        <v>0</v>
      </c>
      <c r="AW531" s="21">
        <f t="shared" si="103"/>
        <v>0</v>
      </c>
      <c r="AX531" s="21" t="str">
        <f t="shared" si="102"/>
        <v/>
      </c>
      <c r="AY531" s="21" t="str">
        <f>IF(AND($AM531&lt;&gt;"",$AS531&lt;&gt;"✓"),SUMPRODUCT(($AM$11:$AM531&lt;&gt;"")*($AS$11:$AS531&lt;&gt;"✓")),"")</f>
        <v/>
      </c>
      <c r="AZ531" s="21" t="str">
        <f>IF(AND($AM531&lt;&gt;"",$AS531="✓"),SUMPRODUCT(($AM$11:$AM531&lt;&gt;"")*($AS$11:$AS531="✓")),"")</f>
        <v/>
      </c>
      <c r="BA531" s="21" t="str">
        <f>IF($AL531="","",$AL531&amp;"|"&amp;COUNTIF($AL$11:$AL531,$AL531))</f>
        <v/>
      </c>
    </row>
    <row r="532" spans="23:53" ht="15" customHeight="1" x14ac:dyDescent="0.25">
      <c r="W532" s="28" t="str">
        <f>IF(X532="","",IFERROR(INDEX($AL$11:$AL$4010,MATCH(522,$AY$11:$AY$4010,0)),""))</f>
        <v/>
      </c>
      <c r="X532" s="26" t="str">
        <f>IFERROR(INDEX($AM$11:$AM$4010,MATCH(522,$AY$11:$AY$4010,0)),"")</f>
        <v/>
      </c>
      <c r="Y532" s="25" t="str">
        <f>IF(X532="","",IFERROR(INDEX($AN$11:$AN$4010,MATCH(522,$AY$11:$AY$4010,0)),""))</f>
        <v/>
      </c>
      <c r="Z532" s="25" t="str">
        <f>IF(X532="","",IFERROR(INDEX($AO$11:$AO$4010,MATCH(522,$AY$11:$AY$4010,0)),""))</f>
        <v/>
      </c>
      <c r="AA532" s="24" t="str">
        <f>IF(X532="","",IFERROR(INDEX($AQ$11:$AQ$4010,MATCH(522,$AY$11:$AY$4010,0)),""))</f>
        <v/>
      </c>
      <c r="AB532" s="29" t="str">
        <f>IF(X532="","",IFERROR(INDEX($AR$11:$AR$4010,MATCH(522,$AY$11:$AY$4010,0)),""))</f>
        <v/>
      </c>
      <c r="AD532" s="30" t="str">
        <f>IF(AE532="","",IFERROR(INDEX($AL$11:$AL$4010,MATCH(522,$AZ$11:$AZ$4010,0)),""))</f>
        <v/>
      </c>
      <c r="AE532" s="26" t="str">
        <f>IFERROR(INDEX($AM$11:$AM$4010,MATCH(522,$AZ$11:$AZ$4010,0)),"")</f>
        <v/>
      </c>
      <c r="AF532" s="25" t="str">
        <f>IF(AE532="","",IFERROR(INDEX($AN$11:$AN$4010,MATCH(522,$AZ$11:$AZ$4010,0)),""))</f>
        <v/>
      </c>
      <c r="AG532" s="25" t="str">
        <f>IF(AE532="","",IFERROR(INDEX($AO$11:$AO$4010,MATCH(522,$AZ$11:$AZ$4010,0)),""))</f>
        <v/>
      </c>
      <c r="AH532" s="24" t="str">
        <f>IF(AE532="","",IFERROR(INDEX($AQ$11:$AQ$4010,MATCH(522,$AZ$11:$AZ$4010,0)),""))</f>
        <v/>
      </c>
      <c r="AI532" s="29" t="str">
        <f>IF(AE532="","",IFERROR(INDEX($AR$11:$AR$4010,MATCH(522,$AZ$11:$AZ$4010,0)),""))</f>
        <v/>
      </c>
      <c r="AJ532" s="29" t="str">
        <f>IF(AE532="","",IFERROR(INDEX($AT$11:$AT$4010,MATCH(522,$AZ$11:$AZ$4010,0)),""))</f>
        <v/>
      </c>
      <c r="AL532" s="31"/>
      <c r="AM532" s="26"/>
      <c r="AN532" s="32"/>
      <c r="AO532" s="32"/>
      <c r="AP532" s="24"/>
      <c r="AQ532" s="24"/>
      <c r="AR532" s="33"/>
      <c r="AS532" s="34"/>
      <c r="AT532" s="33"/>
      <c r="AV532" s="21">
        <f>IF(AND($AL532&lt;&gt;"",COUNTIF($AL$11:$AL532,$AL532)=1),1,0)</f>
        <v>0</v>
      </c>
      <c r="AW532" s="21">
        <f t="shared" si="103"/>
        <v>0</v>
      </c>
      <c r="AX532" s="21" t="str">
        <f t="shared" si="102"/>
        <v/>
      </c>
      <c r="AY532" s="21" t="str">
        <f>IF(AND($AM532&lt;&gt;"",$AS532&lt;&gt;"✓"),SUMPRODUCT(($AM$11:$AM532&lt;&gt;"")*($AS$11:$AS532&lt;&gt;"✓")),"")</f>
        <v/>
      </c>
      <c r="AZ532" s="21" t="str">
        <f>IF(AND($AM532&lt;&gt;"",$AS532="✓"),SUMPRODUCT(($AM$11:$AM532&lt;&gt;"")*($AS$11:$AS532="✓")),"")</f>
        <v/>
      </c>
      <c r="BA532" s="21" t="str">
        <f>IF($AL532="","",$AL532&amp;"|"&amp;COUNTIF($AL$11:$AL532,$AL532))</f>
        <v/>
      </c>
    </row>
    <row r="533" spans="23:53" ht="15" customHeight="1" x14ac:dyDescent="0.25">
      <c r="W533" s="14" t="str">
        <f>IF(X533="","",IFERROR(INDEX($AL$11:$AL$4010,MATCH(523,$AY$11:$AY$4010,0)),""))</f>
        <v/>
      </c>
      <c r="X533" s="12" t="str">
        <f>IFERROR(INDEX($AM$11:$AM$4010,MATCH(523,$AY$11:$AY$4010,0)),"")</f>
        <v/>
      </c>
      <c r="Y533" s="11" t="str">
        <f>IF(X533="","",IFERROR(INDEX($AN$11:$AN$4010,MATCH(523,$AY$11:$AY$4010,0)),""))</f>
        <v/>
      </c>
      <c r="Z533" s="11" t="str">
        <f>IF(X533="","",IFERROR(INDEX($AO$11:$AO$4010,MATCH(523,$AY$11:$AY$4010,0)),""))</f>
        <v/>
      </c>
      <c r="AA533" s="10" t="str">
        <f>IF(X533="","",IFERROR(INDEX($AQ$11:$AQ$4010,MATCH(523,$AY$11:$AY$4010,0)),""))</f>
        <v/>
      </c>
      <c r="AB533" s="15" t="str">
        <f>IF(X533="","",IFERROR(INDEX($AR$11:$AR$4010,MATCH(523,$AY$11:$AY$4010,0)),""))</f>
        <v/>
      </c>
      <c r="AD533" s="16" t="str">
        <f>IF(AE533="","",IFERROR(INDEX($AL$11:$AL$4010,MATCH(523,$AZ$11:$AZ$4010,0)),""))</f>
        <v/>
      </c>
      <c r="AE533" s="12" t="str">
        <f>IFERROR(INDEX($AM$11:$AM$4010,MATCH(523,$AZ$11:$AZ$4010,0)),"")</f>
        <v/>
      </c>
      <c r="AF533" s="11" t="str">
        <f>IF(AE533="","",IFERROR(INDEX($AN$11:$AN$4010,MATCH(523,$AZ$11:$AZ$4010,0)),""))</f>
        <v/>
      </c>
      <c r="AG533" s="11" t="str">
        <f>IF(AE533="","",IFERROR(INDEX($AO$11:$AO$4010,MATCH(523,$AZ$11:$AZ$4010,0)),""))</f>
        <v/>
      </c>
      <c r="AH533" s="10" t="str">
        <f>IF(AE533="","",IFERROR(INDEX($AQ$11:$AQ$4010,MATCH(523,$AZ$11:$AZ$4010,0)),""))</f>
        <v/>
      </c>
      <c r="AI533" s="15" t="str">
        <f>IF(AE533="","",IFERROR(INDEX($AR$11:$AR$4010,MATCH(523,$AZ$11:$AZ$4010,0)),""))</f>
        <v/>
      </c>
      <c r="AJ533" s="15" t="str">
        <f>IF(AE533="","",IFERROR(INDEX($AT$11:$AT$4010,MATCH(523,$AZ$11:$AZ$4010,0)),""))</f>
        <v/>
      </c>
      <c r="AL533" s="17"/>
      <c r="AM533" s="12"/>
      <c r="AN533" s="18"/>
      <c r="AO533" s="18"/>
      <c r="AP533" s="10"/>
      <c r="AQ533" s="10"/>
      <c r="AR533" s="19"/>
      <c r="AS533" s="20"/>
      <c r="AT533" s="19"/>
      <c r="AV533" s="21">
        <f>IF(AND($AL533&lt;&gt;"",COUNTIF($AL$11:$AL533,$AL533)=1),1,0)</f>
        <v>0</v>
      </c>
      <c r="AW533" s="21">
        <f t="shared" si="103"/>
        <v>0</v>
      </c>
      <c r="AX533" s="21" t="str">
        <f t="shared" si="102"/>
        <v/>
      </c>
      <c r="AY533" s="21" t="str">
        <f>IF(AND($AM533&lt;&gt;"",$AS533&lt;&gt;"✓"),SUMPRODUCT(($AM$11:$AM533&lt;&gt;"")*($AS$11:$AS533&lt;&gt;"✓")),"")</f>
        <v/>
      </c>
      <c r="AZ533" s="21" t="str">
        <f>IF(AND($AM533&lt;&gt;"",$AS533="✓"),SUMPRODUCT(($AM$11:$AM533&lt;&gt;"")*($AS$11:$AS533="✓")),"")</f>
        <v/>
      </c>
      <c r="BA533" s="21" t="str">
        <f>IF($AL533="","",$AL533&amp;"|"&amp;COUNTIF($AL$11:$AL533,$AL533))</f>
        <v/>
      </c>
    </row>
    <row r="534" spans="23:53" ht="15" customHeight="1" x14ac:dyDescent="0.25">
      <c r="W534" s="28" t="str">
        <f>IF(X534="","",IFERROR(INDEX($AL$11:$AL$4010,MATCH(524,$AY$11:$AY$4010,0)),""))</f>
        <v/>
      </c>
      <c r="X534" s="26" t="str">
        <f>IFERROR(INDEX($AM$11:$AM$4010,MATCH(524,$AY$11:$AY$4010,0)),"")</f>
        <v/>
      </c>
      <c r="Y534" s="25" t="str">
        <f>IF(X534="","",IFERROR(INDEX($AN$11:$AN$4010,MATCH(524,$AY$11:$AY$4010,0)),""))</f>
        <v/>
      </c>
      <c r="Z534" s="25" t="str">
        <f>IF(X534="","",IFERROR(INDEX($AO$11:$AO$4010,MATCH(524,$AY$11:$AY$4010,0)),""))</f>
        <v/>
      </c>
      <c r="AA534" s="24" t="str">
        <f>IF(X534="","",IFERROR(INDEX($AQ$11:$AQ$4010,MATCH(524,$AY$11:$AY$4010,0)),""))</f>
        <v/>
      </c>
      <c r="AB534" s="29" t="str">
        <f>IF(X534="","",IFERROR(INDEX($AR$11:$AR$4010,MATCH(524,$AY$11:$AY$4010,0)),""))</f>
        <v/>
      </c>
      <c r="AD534" s="30" t="str">
        <f>IF(AE534="","",IFERROR(INDEX($AL$11:$AL$4010,MATCH(524,$AZ$11:$AZ$4010,0)),""))</f>
        <v/>
      </c>
      <c r="AE534" s="26" t="str">
        <f>IFERROR(INDEX($AM$11:$AM$4010,MATCH(524,$AZ$11:$AZ$4010,0)),"")</f>
        <v/>
      </c>
      <c r="AF534" s="25" t="str">
        <f>IF(AE534="","",IFERROR(INDEX($AN$11:$AN$4010,MATCH(524,$AZ$11:$AZ$4010,0)),""))</f>
        <v/>
      </c>
      <c r="AG534" s="25" t="str">
        <f>IF(AE534="","",IFERROR(INDEX($AO$11:$AO$4010,MATCH(524,$AZ$11:$AZ$4010,0)),""))</f>
        <v/>
      </c>
      <c r="AH534" s="24" t="str">
        <f>IF(AE534="","",IFERROR(INDEX($AQ$11:$AQ$4010,MATCH(524,$AZ$11:$AZ$4010,0)),""))</f>
        <v/>
      </c>
      <c r="AI534" s="29" t="str">
        <f>IF(AE534="","",IFERROR(INDEX($AR$11:$AR$4010,MATCH(524,$AZ$11:$AZ$4010,0)),""))</f>
        <v/>
      </c>
      <c r="AJ534" s="29" t="str">
        <f>IF(AE534="","",IFERROR(INDEX($AT$11:$AT$4010,MATCH(524,$AZ$11:$AZ$4010,0)),""))</f>
        <v/>
      </c>
      <c r="AL534" s="31"/>
      <c r="AM534" s="26"/>
      <c r="AN534" s="32"/>
      <c r="AO534" s="32"/>
      <c r="AP534" s="24"/>
      <c r="AQ534" s="24"/>
      <c r="AR534" s="33"/>
      <c r="AS534" s="34"/>
      <c r="AT534" s="33"/>
      <c r="AV534" s="21">
        <f>IF(AND($AL534&lt;&gt;"",COUNTIF($AL$11:$AL534,$AL534)=1),1,0)</f>
        <v>0</v>
      </c>
      <c r="AW534" s="21">
        <f t="shared" si="103"/>
        <v>0</v>
      </c>
      <c r="AX534" s="21" t="str">
        <f t="shared" si="102"/>
        <v/>
      </c>
      <c r="AY534" s="21" t="str">
        <f>IF(AND($AM534&lt;&gt;"",$AS534&lt;&gt;"✓"),SUMPRODUCT(($AM$11:$AM534&lt;&gt;"")*($AS$11:$AS534&lt;&gt;"✓")),"")</f>
        <v/>
      </c>
      <c r="AZ534" s="21" t="str">
        <f>IF(AND($AM534&lt;&gt;"",$AS534="✓"),SUMPRODUCT(($AM$11:$AM534&lt;&gt;"")*($AS$11:$AS534="✓")),"")</f>
        <v/>
      </c>
      <c r="BA534" s="21" t="str">
        <f>IF($AL534="","",$AL534&amp;"|"&amp;COUNTIF($AL$11:$AL534,$AL534))</f>
        <v/>
      </c>
    </row>
    <row r="535" spans="23:53" ht="15" customHeight="1" x14ac:dyDescent="0.25">
      <c r="W535" s="14" t="str">
        <f>IF(X535="","",IFERROR(INDEX($AL$11:$AL$4010,MATCH(525,$AY$11:$AY$4010,0)),""))</f>
        <v/>
      </c>
      <c r="X535" s="12" t="str">
        <f>IFERROR(INDEX($AM$11:$AM$4010,MATCH(525,$AY$11:$AY$4010,0)),"")</f>
        <v/>
      </c>
      <c r="Y535" s="11" t="str">
        <f>IF(X535="","",IFERROR(INDEX($AN$11:$AN$4010,MATCH(525,$AY$11:$AY$4010,0)),""))</f>
        <v/>
      </c>
      <c r="Z535" s="11" t="str">
        <f>IF(X535="","",IFERROR(INDEX($AO$11:$AO$4010,MATCH(525,$AY$11:$AY$4010,0)),""))</f>
        <v/>
      </c>
      <c r="AA535" s="10" t="str">
        <f>IF(X535="","",IFERROR(INDEX($AQ$11:$AQ$4010,MATCH(525,$AY$11:$AY$4010,0)),""))</f>
        <v/>
      </c>
      <c r="AB535" s="15" t="str">
        <f>IF(X535="","",IFERROR(INDEX($AR$11:$AR$4010,MATCH(525,$AY$11:$AY$4010,0)),""))</f>
        <v/>
      </c>
      <c r="AD535" s="16" t="str">
        <f>IF(AE535="","",IFERROR(INDEX($AL$11:$AL$4010,MATCH(525,$AZ$11:$AZ$4010,0)),""))</f>
        <v/>
      </c>
      <c r="AE535" s="12" t="str">
        <f>IFERROR(INDEX($AM$11:$AM$4010,MATCH(525,$AZ$11:$AZ$4010,0)),"")</f>
        <v/>
      </c>
      <c r="AF535" s="11" t="str">
        <f>IF(AE535="","",IFERROR(INDEX($AN$11:$AN$4010,MATCH(525,$AZ$11:$AZ$4010,0)),""))</f>
        <v/>
      </c>
      <c r="AG535" s="11" t="str">
        <f>IF(AE535="","",IFERROR(INDEX($AO$11:$AO$4010,MATCH(525,$AZ$11:$AZ$4010,0)),""))</f>
        <v/>
      </c>
      <c r="AH535" s="10" t="str">
        <f>IF(AE535="","",IFERROR(INDEX($AQ$11:$AQ$4010,MATCH(525,$AZ$11:$AZ$4010,0)),""))</f>
        <v/>
      </c>
      <c r="AI535" s="15" t="str">
        <f>IF(AE535="","",IFERROR(INDEX($AR$11:$AR$4010,MATCH(525,$AZ$11:$AZ$4010,0)),""))</f>
        <v/>
      </c>
      <c r="AJ535" s="15" t="str">
        <f>IF(AE535="","",IFERROR(INDEX($AT$11:$AT$4010,MATCH(525,$AZ$11:$AZ$4010,0)),""))</f>
        <v/>
      </c>
      <c r="AL535" s="17"/>
      <c r="AM535" s="12"/>
      <c r="AN535" s="18"/>
      <c r="AO535" s="18"/>
      <c r="AP535" s="10"/>
      <c r="AQ535" s="10"/>
      <c r="AR535" s="19"/>
      <c r="AS535" s="20"/>
      <c r="AT535" s="19"/>
      <c r="AV535" s="21">
        <f>IF(AND($AL535&lt;&gt;"",COUNTIF($AL$11:$AL535,$AL535)=1),1,0)</f>
        <v>0</v>
      </c>
      <c r="AW535" s="21">
        <f t="shared" si="103"/>
        <v>0</v>
      </c>
      <c r="AX535" s="21" t="str">
        <f t="shared" si="102"/>
        <v/>
      </c>
      <c r="AY535" s="21" t="str">
        <f>IF(AND($AM535&lt;&gt;"",$AS535&lt;&gt;"✓"),SUMPRODUCT(($AM$11:$AM535&lt;&gt;"")*($AS$11:$AS535&lt;&gt;"✓")),"")</f>
        <v/>
      </c>
      <c r="AZ535" s="21" t="str">
        <f>IF(AND($AM535&lt;&gt;"",$AS535="✓"),SUMPRODUCT(($AM$11:$AM535&lt;&gt;"")*($AS$11:$AS535="✓")),"")</f>
        <v/>
      </c>
      <c r="BA535" s="21" t="str">
        <f>IF($AL535="","",$AL535&amp;"|"&amp;COUNTIF($AL$11:$AL535,$AL535))</f>
        <v/>
      </c>
    </row>
    <row r="536" spans="23:53" ht="15" customHeight="1" x14ac:dyDescent="0.25">
      <c r="W536" s="28" t="str">
        <f>IF(X536="","",IFERROR(INDEX($AL$11:$AL$4010,MATCH(526,$AY$11:$AY$4010,0)),""))</f>
        <v/>
      </c>
      <c r="X536" s="26" t="str">
        <f>IFERROR(INDEX($AM$11:$AM$4010,MATCH(526,$AY$11:$AY$4010,0)),"")</f>
        <v/>
      </c>
      <c r="Y536" s="25" t="str">
        <f>IF(X536="","",IFERROR(INDEX($AN$11:$AN$4010,MATCH(526,$AY$11:$AY$4010,0)),""))</f>
        <v/>
      </c>
      <c r="Z536" s="25" t="str">
        <f>IF(X536="","",IFERROR(INDEX($AO$11:$AO$4010,MATCH(526,$AY$11:$AY$4010,0)),""))</f>
        <v/>
      </c>
      <c r="AA536" s="24" t="str">
        <f>IF(X536="","",IFERROR(INDEX($AQ$11:$AQ$4010,MATCH(526,$AY$11:$AY$4010,0)),""))</f>
        <v/>
      </c>
      <c r="AB536" s="29" t="str">
        <f>IF(X536="","",IFERROR(INDEX($AR$11:$AR$4010,MATCH(526,$AY$11:$AY$4010,0)),""))</f>
        <v/>
      </c>
      <c r="AD536" s="30" t="str">
        <f>IF(AE536="","",IFERROR(INDEX($AL$11:$AL$4010,MATCH(526,$AZ$11:$AZ$4010,0)),""))</f>
        <v/>
      </c>
      <c r="AE536" s="26" t="str">
        <f>IFERROR(INDEX($AM$11:$AM$4010,MATCH(526,$AZ$11:$AZ$4010,0)),"")</f>
        <v/>
      </c>
      <c r="AF536" s="25" t="str">
        <f>IF(AE536="","",IFERROR(INDEX($AN$11:$AN$4010,MATCH(526,$AZ$11:$AZ$4010,0)),""))</f>
        <v/>
      </c>
      <c r="AG536" s="25" t="str">
        <f>IF(AE536="","",IFERROR(INDEX($AO$11:$AO$4010,MATCH(526,$AZ$11:$AZ$4010,0)),""))</f>
        <v/>
      </c>
      <c r="AH536" s="24" t="str">
        <f>IF(AE536="","",IFERROR(INDEX($AQ$11:$AQ$4010,MATCH(526,$AZ$11:$AZ$4010,0)),""))</f>
        <v/>
      </c>
      <c r="AI536" s="29" t="str">
        <f>IF(AE536="","",IFERROR(INDEX($AR$11:$AR$4010,MATCH(526,$AZ$11:$AZ$4010,0)),""))</f>
        <v/>
      </c>
      <c r="AJ536" s="29" t="str">
        <f>IF(AE536="","",IFERROR(INDEX($AT$11:$AT$4010,MATCH(526,$AZ$11:$AZ$4010,0)),""))</f>
        <v/>
      </c>
      <c r="AL536" s="31"/>
      <c r="AM536" s="26"/>
      <c r="AN536" s="32"/>
      <c r="AO536" s="32"/>
      <c r="AP536" s="24"/>
      <c r="AQ536" s="24"/>
      <c r="AR536" s="33"/>
      <c r="AS536" s="34"/>
      <c r="AT536" s="33"/>
      <c r="AV536" s="21">
        <f>IF(AND($AL536&lt;&gt;"",COUNTIF($AL$11:$AL536,$AL536)=1),1,0)</f>
        <v>0</v>
      </c>
      <c r="AW536" s="21">
        <f t="shared" si="103"/>
        <v>0</v>
      </c>
      <c r="AX536" s="21" t="str">
        <f t="shared" si="102"/>
        <v/>
      </c>
      <c r="AY536" s="21" t="str">
        <f>IF(AND($AM536&lt;&gt;"",$AS536&lt;&gt;"✓"),SUMPRODUCT(($AM$11:$AM536&lt;&gt;"")*($AS$11:$AS536&lt;&gt;"✓")),"")</f>
        <v/>
      </c>
      <c r="AZ536" s="21" t="str">
        <f>IF(AND($AM536&lt;&gt;"",$AS536="✓"),SUMPRODUCT(($AM$11:$AM536&lt;&gt;"")*($AS$11:$AS536="✓")),"")</f>
        <v/>
      </c>
      <c r="BA536" s="21" t="str">
        <f>IF($AL536="","",$AL536&amp;"|"&amp;COUNTIF($AL$11:$AL536,$AL536))</f>
        <v/>
      </c>
    </row>
    <row r="537" spans="23:53" ht="15" customHeight="1" x14ac:dyDescent="0.25">
      <c r="W537" s="14" t="str">
        <f>IF(X537="","",IFERROR(INDEX($AL$11:$AL$4010,MATCH(527,$AY$11:$AY$4010,0)),""))</f>
        <v/>
      </c>
      <c r="X537" s="12" t="str">
        <f>IFERROR(INDEX($AM$11:$AM$4010,MATCH(527,$AY$11:$AY$4010,0)),"")</f>
        <v/>
      </c>
      <c r="Y537" s="11" t="str">
        <f>IF(X537="","",IFERROR(INDEX($AN$11:$AN$4010,MATCH(527,$AY$11:$AY$4010,0)),""))</f>
        <v/>
      </c>
      <c r="Z537" s="11" t="str">
        <f>IF(X537="","",IFERROR(INDEX($AO$11:$AO$4010,MATCH(527,$AY$11:$AY$4010,0)),""))</f>
        <v/>
      </c>
      <c r="AA537" s="10" t="str">
        <f>IF(X537="","",IFERROR(INDEX($AQ$11:$AQ$4010,MATCH(527,$AY$11:$AY$4010,0)),""))</f>
        <v/>
      </c>
      <c r="AB537" s="15" t="str">
        <f>IF(X537="","",IFERROR(INDEX($AR$11:$AR$4010,MATCH(527,$AY$11:$AY$4010,0)),""))</f>
        <v/>
      </c>
      <c r="AD537" s="16" t="str">
        <f>IF(AE537="","",IFERROR(INDEX($AL$11:$AL$4010,MATCH(527,$AZ$11:$AZ$4010,0)),""))</f>
        <v/>
      </c>
      <c r="AE537" s="12" t="str">
        <f>IFERROR(INDEX($AM$11:$AM$4010,MATCH(527,$AZ$11:$AZ$4010,0)),"")</f>
        <v/>
      </c>
      <c r="AF537" s="11" t="str">
        <f>IF(AE537="","",IFERROR(INDEX($AN$11:$AN$4010,MATCH(527,$AZ$11:$AZ$4010,0)),""))</f>
        <v/>
      </c>
      <c r="AG537" s="11" t="str">
        <f>IF(AE537="","",IFERROR(INDEX($AO$11:$AO$4010,MATCH(527,$AZ$11:$AZ$4010,0)),""))</f>
        <v/>
      </c>
      <c r="AH537" s="10" t="str">
        <f>IF(AE537="","",IFERROR(INDEX($AQ$11:$AQ$4010,MATCH(527,$AZ$11:$AZ$4010,0)),""))</f>
        <v/>
      </c>
      <c r="AI537" s="15" t="str">
        <f>IF(AE537="","",IFERROR(INDEX($AR$11:$AR$4010,MATCH(527,$AZ$11:$AZ$4010,0)),""))</f>
        <v/>
      </c>
      <c r="AJ537" s="15" t="str">
        <f>IF(AE537="","",IFERROR(INDEX($AT$11:$AT$4010,MATCH(527,$AZ$11:$AZ$4010,0)),""))</f>
        <v/>
      </c>
      <c r="AL537" s="17"/>
      <c r="AM537" s="12"/>
      <c r="AN537" s="18"/>
      <c r="AO537" s="18"/>
      <c r="AP537" s="10"/>
      <c r="AQ537" s="10"/>
      <c r="AR537" s="19"/>
      <c r="AS537" s="20"/>
      <c r="AT537" s="19"/>
      <c r="AV537" s="21">
        <f>IF(AND($AL537&lt;&gt;"",COUNTIF($AL$11:$AL537,$AL537)=1),1,0)</f>
        <v>0</v>
      </c>
      <c r="AW537" s="21">
        <f t="shared" si="103"/>
        <v>0</v>
      </c>
      <c r="AX537" s="21" t="str">
        <f t="shared" si="102"/>
        <v/>
      </c>
      <c r="AY537" s="21" t="str">
        <f>IF(AND($AM537&lt;&gt;"",$AS537&lt;&gt;"✓"),SUMPRODUCT(($AM$11:$AM537&lt;&gt;"")*($AS$11:$AS537&lt;&gt;"✓")),"")</f>
        <v/>
      </c>
      <c r="AZ537" s="21" t="str">
        <f>IF(AND($AM537&lt;&gt;"",$AS537="✓"),SUMPRODUCT(($AM$11:$AM537&lt;&gt;"")*($AS$11:$AS537="✓")),"")</f>
        <v/>
      </c>
      <c r="BA537" s="21" t="str">
        <f>IF($AL537="","",$AL537&amp;"|"&amp;COUNTIF($AL$11:$AL537,$AL537))</f>
        <v/>
      </c>
    </row>
    <row r="538" spans="23:53" ht="15" customHeight="1" x14ac:dyDescent="0.25">
      <c r="W538" s="28" t="str">
        <f>IF(X538="","",IFERROR(INDEX($AL$11:$AL$4010,MATCH(528,$AY$11:$AY$4010,0)),""))</f>
        <v/>
      </c>
      <c r="X538" s="26" t="str">
        <f>IFERROR(INDEX($AM$11:$AM$4010,MATCH(528,$AY$11:$AY$4010,0)),"")</f>
        <v/>
      </c>
      <c r="Y538" s="25" t="str">
        <f>IF(X538="","",IFERROR(INDEX($AN$11:$AN$4010,MATCH(528,$AY$11:$AY$4010,0)),""))</f>
        <v/>
      </c>
      <c r="Z538" s="25" t="str">
        <f>IF(X538="","",IFERROR(INDEX($AO$11:$AO$4010,MATCH(528,$AY$11:$AY$4010,0)),""))</f>
        <v/>
      </c>
      <c r="AA538" s="24" t="str">
        <f>IF(X538="","",IFERROR(INDEX($AQ$11:$AQ$4010,MATCH(528,$AY$11:$AY$4010,0)),""))</f>
        <v/>
      </c>
      <c r="AB538" s="29" t="str">
        <f>IF(X538="","",IFERROR(INDEX($AR$11:$AR$4010,MATCH(528,$AY$11:$AY$4010,0)),""))</f>
        <v/>
      </c>
      <c r="AD538" s="30" t="str">
        <f>IF(AE538="","",IFERROR(INDEX($AL$11:$AL$4010,MATCH(528,$AZ$11:$AZ$4010,0)),""))</f>
        <v/>
      </c>
      <c r="AE538" s="26" t="str">
        <f>IFERROR(INDEX($AM$11:$AM$4010,MATCH(528,$AZ$11:$AZ$4010,0)),"")</f>
        <v/>
      </c>
      <c r="AF538" s="25" t="str">
        <f>IF(AE538="","",IFERROR(INDEX($AN$11:$AN$4010,MATCH(528,$AZ$11:$AZ$4010,0)),""))</f>
        <v/>
      </c>
      <c r="AG538" s="25" t="str">
        <f>IF(AE538="","",IFERROR(INDEX($AO$11:$AO$4010,MATCH(528,$AZ$11:$AZ$4010,0)),""))</f>
        <v/>
      </c>
      <c r="AH538" s="24" t="str">
        <f>IF(AE538="","",IFERROR(INDEX($AQ$11:$AQ$4010,MATCH(528,$AZ$11:$AZ$4010,0)),""))</f>
        <v/>
      </c>
      <c r="AI538" s="29" t="str">
        <f>IF(AE538="","",IFERROR(INDEX($AR$11:$AR$4010,MATCH(528,$AZ$11:$AZ$4010,0)),""))</f>
        <v/>
      </c>
      <c r="AJ538" s="29" t="str">
        <f>IF(AE538="","",IFERROR(INDEX($AT$11:$AT$4010,MATCH(528,$AZ$11:$AZ$4010,0)),""))</f>
        <v/>
      </c>
      <c r="AL538" s="31"/>
      <c r="AM538" s="26"/>
      <c r="AN538" s="32"/>
      <c r="AO538" s="32"/>
      <c r="AP538" s="24"/>
      <c r="AQ538" s="24"/>
      <c r="AR538" s="33"/>
      <c r="AS538" s="34"/>
      <c r="AT538" s="33"/>
      <c r="AV538" s="21">
        <f>IF(AND($AL538&lt;&gt;"",COUNTIF($AL$11:$AL538,$AL538)=1),1,0)</f>
        <v>0</v>
      </c>
      <c r="AW538" s="21">
        <f t="shared" si="103"/>
        <v>0</v>
      </c>
      <c r="AX538" s="21" t="str">
        <f t="shared" si="102"/>
        <v/>
      </c>
      <c r="AY538" s="21" t="str">
        <f>IF(AND($AM538&lt;&gt;"",$AS538&lt;&gt;"✓"),SUMPRODUCT(($AM$11:$AM538&lt;&gt;"")*($AS$11:$AS538&lt;&gt;"✓")),"")</f>
        <v/>
      </c>
      <c r="AZ538" s="21" t="str">
        <f>IF(AND($AM538&lt;&gt;"",$AS538="✓"),SUMPRODUCT(($AM$11:$AM538&lt;&gt;"")*($AS$11:$AS538="✓")),"")</f>
        <v/>
      </c>
      <c r="BA538" s="21" t="str">
        <f>IF($AL538="","",$AL538&amp;"|"&amp;COUNTIF($AL$11:$AL538,$AL538))</f>
        <v/>
      </c>
    </row>
    <row r="539" spans="23:53" ht="15" customHeight="1" x14ac:dyDescent="0.25">
      <c r="W539" s="14" t="str">
        <f>IF(X539="","",IFERROR(INDEX($AL$11:$AL$4010,MATCH(529,$AY$11:$AY$4010,0)),""))</f>
        <v/>
      </c>
      <c r="X539" s="12" t="str">
        <f>IFERROR(INDEX($AM$11:$AM$4010,MATCH(529,$AY$11:$AY$4010,0)),"")</f>
        <v/>
      </c>
      <c r="Y539" s="11" t="str">
        <f>IF(X539="","",IFERROR(INDEX($AN$11:$AN$4010,MATCH(529,$AY$11:$AY$4010,0)),""))</f>
        <v/>
      </c>
      <c r="Z539" s="11" t="str">
        <f>IF(X539="","",IFERROR(INDEX($AO$11:$AO$4010,MATCH(529,$AY$11:$AY$4010,0)),""))</f>
        <v/>
      </c>
      <c r="AA539" s="10" t="str">
        <f>IF(X539="","",IFERROR(INDEX($AQ$11:$AQ$4010,MATCH(529,$AY$11:$AY$4010,0)),""))</f>
        <v/>
      </c>
      <c r="AB539" s="15" t="str">
        <f>IF(X539="","",IFERROR(INDEX($AR$11:$AR$4010,MATCH(529,$AY$11:$AY$4010,0)),""))</f>
        <v/>
      </c>
      <c r="AD539" s="16" t="str">
        <f>IF(AE539="","",IFERROR(INDEX($AL$11:$AL$4010,MATCH(529,$AZ$11:$AZ$4010,0)),""))</f>
        <v/>
      </c>
      <c r="AE539" s="12" t="str">
        <f>IFERROR(INDEX($AM$11:$AM$4010,MATCH(529,$AZ$11:$AZ$4010,0)),"")</f>
        <v/>
      </c>
      <c r="AF539" s="11" t="str">
        <f>IF(AE539="","",IFERROR(INDEX($AN$11:$AN$4010,MATCH(529,$AZ$11:$AZ$4010,0)),""))</f>
        <v/>
      </c>
      <c r="AG539" s="11" t="str">
        <f>IF(AE539="","",IFERROR(INDEX($AO$11:$AO$4010,MATCH(529,$AZ$11:$AZ$4010,0)),""))</f>
        <v/>
      </c>
      <c r="AH539" s="10" t="str">
        <f>IF(AE539="","",IFERROR(INDEX($AQ$11:$AQ$4010,MATCH(529,$AZ$11:$AZ$4010,0)),""))</f>
        <v/>
      </c>
      <c r="AI539" s="15" t="str">
        <f>IF(AE539="","",IFERROR(INDEX($AR$11:$AR$4010,MATCH(529,$AZ$11:$AZ$4010,0)),""))</f>
        <v/>
      </c>
      <c r="AJ539" s="15" t="str">
        <f>IF(AE539="","",IFERROR(INDEX($AT$11:$AT$4010,MATCH(529,$AZ$11:$AZ$4010,0)),""))</f>
        <v/>
      </c>
      <c r="AL539" s="17"/>
      <c r="AM539" s="12"/>
      <c r="AN539" s="18"/>
      <c r="AO539" s="18"/>
      <c r="AP539" s="10"/>
      <c r="AQ539" s="10"/>
      <c r="AR539" s="19"/>
      <c r="AS539" s="20"/>
      <c r="AT539" s="19"/>
      <c r="AV539" s="21">
        <f>IF(AND($AL539&lt;&gt;"",COUNTIF($AL$11:$AL539,$AL539)=1),1,0)</f>
        <v>0</v>
      </c>
      <c r="AW539" s="21">
        <f t="shared" si="103"/>
        <v>0</v>
      </c>
      <c r="AX539" s="21" t="str">
        <f t="shared" si="102"/>
        <v/>
      </c>
      <c r="AY539" s="21" t="str">
        <f>IF(AND($AM539&lt;&gt;"",$AS539&lt;&gt;"✓"),SUMPRODUCT(($AM$11:$AM539&lt;&gt;"")*($AS$11:$AS539&lt;&gt;"✓")),"")</f>
        <v/>
      </c>
      <c r="AZ539" s="21" t="str">
        <f>IF(AND($AM539&lt;&gt;"",$AS539="✓"),SUMPRODUCT(($AM$11:$AM539&lt;&gt;"")*($AS$11:$AS539="✓")),"")</f>
        <v/>
      </c>
      <c r="BA539" s="21" t="str">
        <f>IF($AL539="","",$AL539&amp;"|"&amp;COUNTIF($AL$11:$AL539,$AL539))</f>
        <v/>
      </c>
    </row>
    <row r="540" spans="23:53" ht="15" customHeight="1" x14ac:dyDescent="0.25">
      <c r="W540" s="28" t="str">
        <f>IF(X540="","",IFERROR(INDEX($AL$11:$AL$4010,MATCH(530,$AY$11:$AY$4010,0)),""))</f>
        <v/>
      </c>
      <c r="X540" s="26" t="str">
        <f>IFERROR(INDEX($AM$11:$AM$4010,MATCH(530,$AY$11:$AY$4010,0)),"")</f>
        <v/>
      </c>
      <c r="Y540" s="25" t="str">
        <f>IF(X540="","",IFERROR(INDEX($AN$11:$AN$4010,MATCH(530,$AY$11:$AY$4010,0)),""))</f>
        <v/>
      </c>
      <c r="Z540" s="25" t="str">
        <f>IF(X540="","",IFERROR(INDEX($AO$11:$AO$4010,MATCH(530,$AY$11:$AY$4010,0)),""))</f>
        <v/>
      </c>
      <c r="AA540" s="24" t="str">
        <f>IF(X540="","",IFERROR(INDEX($AQ$11:$AQ$4010,MATCH(530,$AY$11:$AY$4010,0)),""))</f>
        <v/>
      </c>
      <c r="AB540" s="29" t="str">
        <f>IF(X540="","",IFERROR(INDEX($AR$11:$AR$4010,MATCH(530,$AY$11:$AY$4010,0)),""))</f>
        <v/>
      </c>
      <c r="AD540" s="30" t="str">
        <f>IF(AE540="","",IFERROR(INDEX($AL$11:$AL$4010,MATCH(530,$AZ$11:$AZ$4010,0)),""))</f>
        <v/>
      </c>
      <c r="AE540" s="26" t="str">
        <f>IFERROR(INDEX($AM$11:$AM$4010,MATCH(530,$AZ$11:$AZ$4010,0)),"")</f>
        <v/>
      </c>
      <c r="AF540" s="25" t="str">
        <f>IF(AE540="","",IFERROR(INDEX($AN$11:$AN$4010,MATCH(530,$AZ$11:$AZ$4010,0)),""))</f>
        <v/>
      </c>
      <c r="AG540" s="25" t="str">
        <f>IF(AE540="","",IFERROR(INDEX($AO$11:$AO$4010,MATCH(530,$AZ$11:$AZ$4010,0)),""))</f>
        <v/>
      </c>
      <c r="AH540" s="24" t="str">
        <f>IF(AE540="","",IFERROR(INDEX($AQ$11:$AQ$4010,MATCH(530,$AZ$11:$AZ$4010,0)),""))</f>
        <v/>
      </c>
      <c r="AI540" s="29" t="str">
        <f>IF(AE540="","",IFERROR(INDEX($AR$11:$AR$4010,MATCH(530,$AZ$11:$AZ$4010,0)),""))</f>
        <v/>
      </c>
      <c r="AJ540" s="29" t="str">
        <f>IF(AE540="","",IFERROR(INDEX($AT$11:$AT$4010,MATCH(530,$AZ$11:$AZ$4010,0)),""))</f>
        <v/>
      </c>
      <c r="AL540" s="31"/>
      <c r="AM540" s="26"/>
      <c r="AN540" s="32"/>
      <c r="AO540" s="32"/>
      <c r="AP540" s="24"/>
      <c r="AQ540" s="24"/>
      <c r="AR540" s="33"/>
      <c r="AS540" s="34"/>
      <c r="AT540" s="33"/>
      <c r="AV540" s="21">
        <f>IF(AND($AL540&lt;&gt;"",COUNTIF($AL$11:$AL540,$AL540)=1),1,0)</f>
        <v>0</v>
      </c>
      <c r="AW540" s="21">
        <f t="shared" si="103"/>
        <v>0</v>
      </c>
      <c r="AX540" s="21" t="str">
        <f t="shared" si="102"/>
        <v/>
      </c>
      <c r="AY540" s="21" t="str">
        <f>IF(AND($AM540&lt;&gt;"",$AS540&lt;&gt;"✓"),SUMPRODUCT(($AM$11:$AM540&lt;&gt;"")*($AS$11:$AS540&lt;&gt;"✓")),"")</f>
        <v/>
      </c>
      <c r="AZ540" s="21" t="str">
        <f>IF(AND($AM540&lt;&gt;"",$AS540="✓"),SUMPRODUCT(($AM$11:$AM540&lt;&gt;"")*($AS$11:$AS540="✓")),"")</f>
        <v/>
      </c>
      <c r="BA540" s="21" t="str">
        <f>IF($AL540="","",$AL540&amp;"|"&amp;COUNTIF($AL$11:$AL540,$AL540))</f>
        <v/>
      </c>
    </row>
    <row r="541" spans="23:53" ht="15" customHeight="1" x14ac:dyDescent="0.25">
      <c r="W541" s="14" t="str">
        <f>IF(X541="","",IFERROR(INDEX($AL$11:$AL$4010,MATCH(531,$AY$11:$AY$4010,0)),""))</f>
        <v/>
      </c>
      <c r="X541" s="12" t="str">
        <f>IFERROR(INDEX($AM$11:$AM$4010,MATCH(531,$AY$11:$AY$4010,0)),"")</f>
        <v/>
      </c>
      <c r="Y541" s="11" t="str">
        <f>IF(X541="","",IFERROR(INDEX($AN$11:$AN$4010,MATCH(531,$AY$11:$AY$4010,0)),""))</f>
        <v/>
      </c>
      <c r="Z541" s="11" t="str">
        <f>IF(X541="","",IFERROR(INDEX($AO$11:$AO$4010,MATCH(531,$AY$11:$AY$4010,0)),""))</f>
        <v/>
      </c>
      <c r="AA541" s="10" t="str">
        <f>IF(X541="","",IFERROR(INDEX($AQ$11:$AQ$4010,MATCH(531,$AY$11:$AY$4010,0)),""))</f>
        <v/>
      </c>
      <c r="AB541" s="15" t="str">
        <f>IF(X541="","",IFERROR(INDEX($AR$11:$AR$4010,MATCH(531,$AY$11:$AY$4010,0)),""))</f>
        <v/>
      </c>
      <c r="AD541" s="16" t="str">
        <f>IF(AE541="","",IFERROR(INDEX($AL$11:$AL$4010,MATCH(531,$AZ$11:$AZ$4010,0)),""))</f>
        <v/>
      </c>
      <c r="AE541" s="12" t="str">
        <f>IFERROR(INDEX($AM$11:$AM$4010,MATCH(531,$AZ$11:$AZ$4010,0)),"")</f>
        <v/>
      </c>
      <c r="AF541" s="11" t="str">
        <f>IF(AE541="","",IFERROR(INDEX($AN$11:$AN$4010,MATCH(531,$AZ$11:$AZ$4010,0)),""))</f>
        <v/>
      </c>
      <c r="AG541" s="11" t="str">
        <f>IF(AE541="","",IFERROR(INDEX($AO$11:$AO$4010,MATCH(531,$AZ$11:$AZ$4010,0)),""))</f>
        <v/>
      </c>
      <c r="AH541" s="10" t="str">
        <f>IF(AE541="","",IFERROR(INDEX($AQ$11:$AQ$4010,MATCH(531,$AZ$11:$AZ$4010,0)),""))</f>
        <v/>
      </c>
      <c r="AI541" s="15" t="str">
        <f>IF(AE541="","",IFERROR(INDEX($AR$11:$AR$4010,MATCH(531,$AZ$11:$AZ$4010,0)),""))</f>
        <v/>
      </c>
      <c r="AJ541" s="15" t="str">
        <f>IF(AE541="","",IFERROR(INDEX($AT$11:$AT$4010,MATCH(531,$AZ$11:$AZ$4010,0)),""))</f>
        <v/>
      </c>
      <c r="AL541" s="17"/>
      <c r="AM541" s="12"/>
      <c r="AN541" s="18"/>
      <c r="AO541" s="18"/>
      <c r="AP541" s="10"/>
      <c r="AQ541" s="10"/>
      <c r="AR541" s="19"/>
      <c r="AS541" s="20"/>
      <c r="AT541" s="19"/>
      <c r="AV541" s="21">
        <f>IF(AND($AL541&lt;&gt;"",COUNTIF($AL$11:$AL541,$AL541)=1),1,0)</f>
        <v>0</v>
      </c>
      <c r="AW541" s="21">
        <f t="shared" si="103"/>
        <v>0</v>
      </c>
      <c r="AX541" s="21" t="str">
        <f t="shared" si="102"/>
        <v/>
      </c>
      <c r="AY541" s="21" t="str">
        <f>IF(AND($AM541&lt;&gt;"",$AS541&lt;&gt;"✓"),SUMPRODUCT(($AM$11:$AM541&lt;&gt;"")*($AS$11:$AS541&lt;&gt;"✓")),"")</f>
        <v/>
      </c>
      <c r="AZ541" s="21" t="str">
        <f>IF(AND($AM541&lt;&gt;"",$AS541="✓"),SUMPRODUCT(($AM$11:$AM541&lt;&gt;"")*($AS$11:$AS541="✓")),"")</f>
        <v/>
      </c>
      <c r="BA541" s="21" t="str">
        <f>IF($AL541="","",$AL541&amp;"|"&amp;COUNTIF($AL$11:$AL541,$AL541))</f>
        <v/>
      </c>
    </row>
    <row r="542" spans="23:53" ht="15" customHeight="1" x14ac:dyDescent="0.25">
      <c r="W542" s="28" t="str">
        <f>IF(X542="","",IFERROR(INDEX($AL$11:$AL$4010,MATCH(532,$AY$11:$AY$4010,0)),""))</f>
        <v/>
      </c>
      <c r="X542" s="26" t="str">
        <f>IFERROR(INDEX($AM$11:$AM$4010,MATCH(532,$AY$11:$AY$4010,0)),"")</f>
        <v/>
      </c>
      <c r="Y542" s="25" t="str">
        <f>IF(X542="","",IFERROR(INDEX($AN$11:$AN$4010,MATCH(532,$AY$11:$AY$4010,0)),""))</f>
        <v/>
      </c>
      <c r="Z542" s="25" t="str">
        <f>IF(X542="","",IFERROR(INDEX($AO$11:$AO$4010,MATCH(532,$AY$11:$AY$4010,0)),""))</f>
        <v/>
      </c>
      <c r="AA542" s="24" t="str">
        <f>IF(X542="","",IFERROR(INDEX($AQ$11:$AQ$4010,MATCH(532,$AY$11:$AY$4010,0)),""))</f>
        <v/>
      </c>
      <c r="AB542" s="29" t="str">
        <f>IF(X542="","",IFERROR(INDEX($AR$11:$AR$4010,MATCH(532,$AY$11:$AY$4010,0)),""))</f>
        <v/>
      </c>
      <c r="AD542" s="30" t="str">
        <f>IF(AE542="","",IFERROR(INDEX($AL$11:$AL$4010,MATCH(532,$AZ$11:$AZ$4010,0)),""))</f>
        <v/>
      </c>
      <c r="AE542" s="26" t="str">
        <f>IFERROR(INDEX($AM$11:$AM$4010,MATCH(532,$AZ$11:$AZ$4010,0)),"")</f>
        <v/>
      </c>
      <c r="AF542" s="25" t="str">
        <f>IF(AE542="","",IFERROR(INDEX($AN$11:$AN$4010,MATCH(532,$AZ$11:$AZ$4010,0)),""))</f>
        <v/>
      </c>
      <c r="AG542" s="25" t="str">
        <f>IF(AE542="","",IFERROR(INDEX($AO$11:$AO$4010,MATCH(532,$AZ$11:$AZ$4010,0)),""))</f>
        <v/>
      </c>
      <c r="AH542" s="24" t="str">
        <f>IF(AE542="","",IFERROR(INDEX($AQ$11:$AQ$4010,MATCH(532,$AZ$11:$AZ$4010,0)),""))</f>
        <v/>
      </c>
      <c r="AI542" s="29" t="str">
        <f>IF(AE542="","",IFERROR(INDEX($AR$11:$AR$4010,MATCH(532,$AZ$11:$AZ$4010,0)),""))</f>
        <v/>
      </c>
      <c r="AJ542" s="29" t="str">
        <f>IF(AE542="","",IFERROR(INDEX($AT$11:$AT$4010,MATCH(532,$AZ$11:$AZ$4010,0)),""))</f>
        <v/>
      </c>
      <c r="AL542" s="31"/>
      <c r="AM542" s="26"/>
      <c r="AN542" s="32"/>
      <c r="AO542" s="32"/>
      <c r="AP542" s="24"/>
      <c r="AQ542" s="24"/>
      <c r="AR542" s="33"/>
      <c r="AS542" s="34"/>
      <c r="AT542" s="33"/>
      <c r="AV542" s="21">
        <f>IF(AND($AL542&lt;&gt;"",COUNTIF($AL$11:$AL542,$AL542)=1),1,0)</f>
        <v>0</v>
      </c>
      <c r="AW542" s="21">
        <f t="shared" si="103"/>
        <v>0</v>
      </c>
      <c r="AX542" s="21" t="str">
        <f t="shared" si="102"/>
        <v/>
      </c>
      <c r="AY542" s="21" t="str">
        <f>IF(AND($AM542&lt;&gt;"",$AS542&lt;&gt;"✓"),SUMPRODUCT(($AM$11:$AM542&lt;&gt;"")*($AS$11:$AS542&lt;&gt;"✓")),"")</f>
        <v/>
      </c>
      <c r="AZ542" s="21" t="str">
        <f>IF(AND($AM542&lt;&gt;"",$AS542="✓"),SUMPRODUCT(($AM$11:$AM542&lt;&gt;"")*($AS$11:$AS542="✓")),"")</f>
        <v/>
      </c>
      <c r="BA542" s="21" t="str">
        <f>IF($AL542="","",$AL542&amp;"|"&amp;COUNTIF($AL$11:$AL542,$AL542))</f>
        <v/>
      </c>
    </row>
    <row r="543" spans="23:53" ht="15" customHeight="1" x14ac:dyDescent="0.25">
      <c r="W543" s="14" t="str">
        <f>IF(X543="","",IFERROR(INDEX($AL$11:$AL$4010,MATCH(533,$AY$11:$AY$4010,0)),""))</f>
        <v/>
      </c>
      <c r="X543" s="12" t="str">
        <f>IFERROR(INDEX($AM$11:$AM$4010,MATCH(533,$AY$11:$AY$4010,0)),"")</f>
        <v/>
      </c>
      <c r="Y543" s="11" t="str">
        <f>IF(X543="","",IFERROR(INDEX($AN$11:$AN$4010,MATCH(533,$AY$11:$AY$4010,0)),""))</f>
        <v/>
      </c>
      <c r="Z543" s="11" t="str">
        <f>IF(X543="","",IFERROR(INDEX($AO$11:$AO$4010,MATCH(533,$AY$11:$AY$4010,0)),""))</f>
        <v/>
      </c>
      <c r="AA543" s="10" t="str">
        <f>IF(X543="","",IFERROR(INDEX($AQ$11:$AQ$4010,MATCH(533,$AY$11:$AY$4010,0)),""))</f>
        <v/>
      </c>
      <c r="AB543" s="15" t="str">
        <f>IF(X543="","",IFERROR(INDEX($AR$11:$AR$4010,MATCH(533,$AY$11:$AY$4010,0)),""))</f>
        <v/>
      </c>
      <c r="AD543" s="16" t="str">
        <f>IF(AE543="","",IFERROR(INDEX($AL$11:$AL$4010,MATCH(533,$AZ$11:$AZ$4010,0)),""))</f>
        <v/>
      </c>
      <c r="AE543" s="12" t="str">
        <f>IFERROR(INDEX($AM$11:$AM$4010,MATCH(533,$AZ$11:$AZ$4010,0)),"")</f>
        <v/>
      </c>
      <c r="AF543" s="11" t="str">
        <f>IF(AE543="","",IFERROR(INDEX($AN$11:$AN$4010,MATCH(533,$AZ$11:$AZ$4010,0)),""))</f>
        <v/>
      </c>
      <c r="AG543" s="11" t="str">
        <f>IF(AE543="","",IFERROR(INDEX($AO$11:$AO$4010,MATCH(533,$AZ$11:$AZ$4010,0)),""))</f>
        <v/>
      </c>
      <c r="AH543" s="10" t="str">
        <f>IF(AE543="","",IFERROR(INDEX($AQ$11:$AQ$4010,MATCH(533,$AZ$11:$AZ$4010,0)),""))</f>
        <v/>
      </c>
      <c r="AI543" s="15" t="str">
        <f>IF(AE543="","",IFERROR(INDEX($AR$11:$AR$4010,MATCH(533,$AZ$11:$AZ$4010,0)),""))</f>
        <v/>
      </c>
      <c r="AJ543" s="15" t="str">
        <f>IF(AE543="","",IFERROR(INDEX($AT$11:$AT$4010,MATCH(533,$AZ$11:$AZ$4010,0)),""))</f>
        <v/>
      </c>
      <c r="AL543" s="17"/>
      <c r="AM543" s="12"/>
      <c r="AN543" s="18"/>
      <c r="AO543" s="18"/>
      <c r="AP543" s="10"/>
      <c r="AQ543" s="10"/>
      <c r="AR543" s="19"/>
      <c r="AS543" s="20"/>
      <c r="AT543" s="19"/>
      <c r="AV543" s="21">
        <f>IF(AND($AL543&lt;&gt;"",COUNTIF($AL$11:$AL543,$AL543)=1),1,0)</f>
        <v>0</v>
      </c>
      <c r="AW543" s="21">
        <f t="shared" si="103"/>
        <v>0</v>
      </c>
      <c r="AX543" s="21" t="str">
        <f t="shared" si="102"/>
        <v/>
      </c>
      <c r="AY543" s="21" t="str">
        <f>IF(AND($AM543&lt;&gt;"",$AS543&lt;&gt;"✓"),SUMPRODUCT(($AM$11:$AM543&lt;&gt;"")*($AS$11:$AS543&lt;&gt;"✓")),"")</f>
        <v/>
      </c>
      <c r="AZ543" s="21" t="str">
        <f>IF(AND($AM543&lt;&gt;"",$AS543="✓"),SUMPRODUCT(($AM$11:$AM543&lt;&gt;"")*($AS$11:$AS543="✓")),"")</f>
        <v/>
      </c>
      <c r="BA543" s="21" t="str">
        <f>IF($AL543="","",$AL543&amp;"|"&amp;COUNTIF($AL$11:$AL543,$AL543))</f>
        <v/>
      </c>
    </row>
    <row r="544" spans="23:53" ht="15" customHeight="1" x14ac:dyDescent="0.25">
      <c r="W544" s="28" t="str">
        <f>IF(X544="","",IFERROR(INDEX($AL$11:$AL$4010,MATCH(534,$AY$11:$AY$4010,0)),""))</f>
        <v/>
      </c>
      <c r="X544" s="26" t="str">
        <f>IFERROR(INDEX($AM$11:$AM$4010,MATCH(534,$AY$11:$AY$4010,0)),"")</f>
        <v/>
      </c>
      <c r="Y544" s="25" t="str">
        <f>IF(X544="","",IFERROR(INDEX($AN$11:$AN$4010,MATCH(534,$AY$11:$AY$4010,0)),""))</f>
        <v/>
      </c>
      <c r="Z544" s="25" t="str">
        <f>IF(X544="","",IFERROR(INDEX($AO$11:$AO$4010,MATCH(534,$AY$11:$AY$4010,0)),""))</f>
        <v/>
      </c>
      <c r="AA544" s="24" t="str">
        <f>IF(X544="","",IFERROR(INDEX($AQ$11:$AQ$4010,MATCH(534,$AY$11:$AY$4010,0)),""))</f>
        <v/>
      </c>
      <c r="AB544" s="29" t="str">
        <f>IF(X544="","",IFERROR(INDEX($AR$11:$AR$4010,MATCH(534,$AY$11:$AY$4010,0)),""))</f>
        <v/>
      </c>
      <c r="AD544" s="30" t="str">
        <f>IF(AE544="","",IFERROR(INDEX($AL$11:$AL$4010,MATCH(534,$AZ$11:$AZ$4010,0)),""))</f>
        <v/>
      </c>
      <c r="AE544" s="26" t="str">
        <f>IFERROR(INDEX($AM$11:$AM$4010,MATCH(534,$AZ$11:$AZ$4010,0)),"")</f>
        <v/>
      </c>
      <c r="AF544" s="25" t="str">
        <f>IF(AE544="","",IFERROR(INDEX($AN$11:$AN$4010,MATCH(534,$AZ$11:$AZ$4010,0)),""))</f>
        <v/>
      </c>
      <c r="AG544" s="25" t="str">
        <f>IF(AE544="","",IFERROR(INDEX($AO$11:$AO$4010,MATCH(534,$AZ$11:$AZ$4010,0)),""))</f>
        <v/>
      </c>
      <c r="AH544" s="24" t="str">
        <f>IF(AE544="","",IFERROR(INDEX($AQ$11:$AQ$4010,MATCH(534,$AZ$11:$AZ$4010,0)),""))</f>
        <v/>
      </c>
      <c r="AI544" s="29" t="str">
        <f>IF(AE544="","",IFERROR(INDEX($AR$11:$AR$4010,MATCH(534,$AZ$11:$AZ$4010,0)),""))</f>
        <v/>
      </c>
      <c r="AJ544" s="29" t="str">
        <f>IF(AE544="","",IFERROR(INDEX($AT$11:$AT$4010,MATCH(534,$AZ$11:$AZ$4010,0)),""))</f>
        <v/>
      </c>
      <c r="AL544" s="31"/>
      <c r="AM544" s="26"/>
      <c r="AN544" s="32"/>
      <c r="AO544" s="32"/>
      <c r="AP544" s="24"/>
      <c r="AQ544" s="24"/>
      <c r="AR544" s="33"/>
      <c r="AS544" s="34"/>
      <c r="AT544" s="33"/>
      <c r="AV544" s="21">
        <f>IF(AND($AL544&lt;&gt;"",COUNTIF($AL$11:$AL544,$AL544)=1),1,0)</f>
        <v>0</v>
      </c>
      <c r="AW544" s="21">
        <f t="shared" si="103"/>
        <v>0</v>
      </c>
      <c r="AX544" s="21" t="str">
        <f t="shared" si="102"/>
        <v/>
      </c>
      <c r="AY544" s="21" t="str">
        <f>IF(AND($AM544&lt;&gt;"",$AS544&lt;&gt;"✓"),SUMPRODUCT(($AM$11:$AM544&lt;&gt;"")*($AS$11:$AS544&lt;&gt;"✓")),"")</f>
        <v/>
      </c>
      <c r="AZ544" s="21" t="str">
        <f>IF(AND($AM544&lt;&gt;"",$AS544="✓"),SUMPRODUCT(($AM$11:$AM544&lt;&gt;"")*($AS$11:$AS544="✓")),"")</f>
        <v/>
      </c>
      <c r="BA544" s="21" t="str">
        <f>IF($AL544="","",$AL544&amp;"|"&amp;COUNTIF($AL$11:$AL544,$AL544))</f>
        <v/>
      </c>
    </row>
    <row r="545" spans="23:53" ht="15" customHeight="1" x14ac:dyDescent="0.25">
      <c r="W545" s="14" t="str">
        <f>IF(X545="","",IFERROR(INDEX($AL$11:$AL$4010,MATCH(535,$AY$11:$AY$4010,0)),""))</f>
        <v/>
      </c>
      <c r="X545" s="12" t="str">
        <f>IFERROR(INDEX($AM$11:$AM$4010,MATCH(535,$AY$11:$AY$4010,0)),"")</f>
        <v/>
      </c>
      <c r="Y545" s="11" t="str">
        <f>IF(X545="","",IFERROR(INDEX($AN$11:$AN$4010,MATCH(535,$AY$11:$AY$4010,0)),""))</f>
        <v/>
      </c>
      <c r="Z545" s="11" t="str">
        <f>IF(X545="","",IFERROR(INDEX($AO$11:$AO$4010,MATCH(535,$AY$11:$AY$4010,0)),""))</f>
        <v/>
      </c>
      <c r="AA545" s="10" t="str">
        <f>IF(X545="","",IFERROR(INDEX($AQ$11:$AQ$4010,MATCH(535,$AY$11:$AY$4010,0)),""))</f>
        <v/>
      </c>
      <c r="AB545" s="15" t="str">
        <f>IF(X545="","",IFERROR(INDEX($AR$11:$AR$4010,MATCH(535,$AY$11:$AY$4010,0)),""))</f>
        <v/>
      </c>
      <c r="AD545" s="16" t="str">
        <f>IF(AE545="","",IFERROR(INDEX($AL$11:$AL$4010,MATCH(535,$AZ$11:$AZ$4010,0)),""))</f>
        <v/>
      </c>
      <c r="AE545" s="12" t="str">
        <f>IFERROR(INDEX($AM$11:$AM$4010,MATCH(535,$AZ$11:$AZ$4010,0)),"")</f>
        <v/>
      </c>
      <c r="AF545" s="11" t="str">
        <f>IF(AE545="","",IFERROR(INDEX($AN$11:$AN$4010,MATCH(535,$AZ$11:$AZ$4010,0)),""))</f>
        <v/>
      </c>
      <c r="AG545" s="11" t="str">
        <f>IF(AE545="","",IFERROR(INDEX($AO$11:$AO$4010,MATCH(535,$AZ$11:$AZ$4010,0)),""))</f>
        <v/>
      </c>
      <c r="AH545" s="10" t="str">
        <f>IF(AE545="","",IFERROR(INDEX($AQ$11:$AQ$4010,MATCH(535,$AZ$11:$AZ$4010,0)),""))</f>
        <v/>
      </c>
      <c r="AI545" s="15" t="str">
        <f>IF(AE545="","",IFERROR(INDEX($AR$11:$AR$4010,MATCH(535,$AZ$11:$AZ$4010,0)),""))</f>
        <v/>
      </c>
      <c r="AJ545" s="15" t="str">
        <f>IF(AE545="","",IFERROR(INDEX($AT$11:$AT$4010,MATCH(535,$AZ$11:$AZ$4010,0)),""))</f>
        <v/>
      </c>
      <c r="AL545" s="17"/>
      <c r="AM545" s="12"/>
      <c r="AN545" s="18"/>
      <c r="AO545" s="18"/>
      <c r="AP545" s="10"/>
      <c r="AQ545" s="10"/>
      <c r="AR545" s="19"/>
      <c r="AS545" s="20"/>
      <c r="AT545" s="19"/>
      <c r="AV545" s="21">
        <f>IF(AND($AL545&lt;&gt;"",COUNTIF($AL$11:$AL545,$AL545)=1),1,0)</f>
        <v>0</v>
      </c>
      <c r="AW545" s="21">
        <f t="shared" si="103"/>
        <v>0</v>
      </c>
      <c r="AX545" s="21" t="str">
        <f t="shared" si="102"/>
        <v/>
      </c>
      <c r="AY545" s="21" t="str">
        <f>IF(AND($AM545&lt;&gt;"",$AS545&lt;&gt;"✓"),SUMPRODUCT(($AM$11:$AM545&lt;&gt;"")*($AS$11:$AS545&lt;&gt;"✓")),"")</f>
        <v/>
      </c>
      <c r="AZ545" s="21" t="str">
        <f>IF(AND($AM545&lt;&gt;"",$AS545="✓"),SUMPRODUCT(($AM$11:$AM545&lt;&gt;"")*($AS$11:$AS545="✓")),"")</f>
        <v/>
      </c>
      <c r="BA545" s="21" t="str">
        <f>IF($AL545="","",$AL545&amp;"|"&amp;COUNTIF($AL$11:$AL545,$AL545))</f>
        <v/>
      </c>
    </row>
    <row r="546" spans="23:53" ht="15" customHeight="1" x14ac:dyDescent="0.25">
      <c r="W546" s="28" t="str">
        <f>IF(X546="","",IFERROR(INDEX($AL$11:$AL$4010,MATCH(536,$AY$11:$AY$4010,0)),""))</f>
        <v/>
      </c>
      <c r="X546" s="26" t="str">
        <f>IFERROR(INDEX($AM$11:$AM$4010,MATCH(536,$AY$11:$AY$4010,0)),"")</f>
        <v/>
      </c>
      <c r="Y546" s="25" t="str">
        <f>IF(X546="","",IFERROR(INDEX($AN$11:$AN$4010,MATCH(536,$AY$11:$AY$4010,0)),""))</f>
        <v/>
      </c>
      <c r="Z546" s="25" t="str">
        <f>IF(X546="","",IFERROR(INDEX($AO$11:$AO$4010,MATCH(536,$AY$11:$AY$4010,0)),""))</f>
        <v/>
      </c>
      <c r="AA546" s="24" t="str">
        <f>IF(X546="","",IFERROR(INDEX($AQ$11:$AQ$4010,MATCH(536,$AY$11:$AY$4010,0)),""))</f>
        <v/>
      </c>
      <c r="AB546" s="29" t="str">
        <f>IF(X546="","",IFERROR(INDEX($AR$11:$AR$4010,MATCH(536,$AY$11:$AY$4010,0)),""))</f>
        <v/>
      </c>
      <c r="AD546" s="30" t="str">
        <f>IF(AE546="","",IFERROR(INDEX($AL$11:$AL$4010,MATCH(536,$AZ$11:$AZ$4010,0)),""))</f>
        <v/>
      </c>
      <c r="AE546" s="26" t="str">
        <f>IFERROR(INDEX($AM$11:$AM$4010,MATCH(536,$AZ$11:$AZ$4010,0)),"")</f>
        <v/>
      </c>
      <c r="AF546" s="25" t="str">
        <f>IF(AE546="","",IFERROR(INDEX($AN$11:$AN$4010,MATCH(536,$AZ$11:$AZ$4010,0)),""))</f>
        <v/>
      </c>
      <c r="AG546" s="25" t="str">
        <f>IF(AE546="","",IFERROR(INDEX($AO$11:$AO$4010,MATCH(536,$AZ$11:$AZ$4010,0)),""))</f>
        <v/>
      </c>
      <c r="AH546" s="24" t="str">
        <f>IF(AE546="","",IFERROR(INDEX($AQ$11:$AQ$4010,MATCH(536,$AZ$11:$AZ$4010,0)),""))</f>
        <v/>
      </c>
      <c r="AI546" s="29" t="str">
        <f>IF(AE546="","",IFERROR(INDEX($AR$11:$AR$4010,MATCH(536,$AZ$11:$AZ$4010,0)),""))</f>
        <v/>
      </c>
      <c r="AJ546" s="29" t="str">
        <f>IF(AE546="","",IFERROR(INDEX($AT$11:$AT$4010,MATCH(536,$AZ$11:$AZ$4010,0)),""))</f>
        <v/>
      </c>
      <c r="AL546" s="31"/>
      <c r="AM546" s="26"/>
      <c r="AN546" s="32"/>
      <c r="AO546" s="32"/>
      <c r="AP546" s="24"/>
      <c r="AQ546" s="24"/>
      <c r="AR546" s="33"/>
      <c r="AS546" s="34"/>
      <c r="AT546" s="33"/>
      <c r="AV546" s="21">
        <f>IF(AND($AL546&lt;&gt;"",COUNTIF($AL$11:$AL546,$AL546)=1),1,0)</f>
        <v>0</v>
      </c>
      <c r="AW546" s="21">
        <f t="shared" si="103"/>
        <v>0</v>
      </c>
      <c r="AX546" s="21" t="str">
        <f t="shared" si="102"/>
        <v/>
      </c>
      <c r="AY546" s="21" t="str">
        <f>IF(AND($AM546&lt;&gt;"",$AS546&lt;&gt;"✓"),SUMPRODUCT(($AM$11:$AM546&lt;&gt;"")*($AS$11:$AS546&lt;&gt;"✓")),"")</f>
        <v/>
      </c>
      <c r="AZ546" s="21" t="str">
        <f>IF(AND($AM546&lt;&gt;"",$AS546="✓"),SUMPRODUCT(($AM$11:$AM546&lt;&gt;"")*($AS$11:$AS546="✓")),"")</f>
        <v/>
      </c>
      <c r="BA546" s="21" t="str">
        <f>IF($AL546="","",$AL546&amp;"|"&amp;COUNTIF($AL$11:$AL546,$AL546))</f>
        <v/>
      </c>
    </row>
    <row r="547" spans="23:53" ht="15" customHeight="1" x14ac:dyDescent="0.25">
      <c r="W547" s="14" t="str">
        <f>IF(X547="","",IFERROR(INDEX($AL$11:$AL$4010,MATCH(537,$AY$11:$AY$4010,0)),""))</f>
        <v/>
      </c>
      <c r="X547" s="12" t="str">
        <f>IFERROR(INDEX($AM$11:$AM$4010,MATCH(537,$AY$11:$AY$4010,0)),"")</f>
        <v/>
      </c>
      <c r="Y547" s="11" t="str">
        <f>IF(X547="","",IFERROR(INDEX($AN$11:$AN$4010,MATCH(537,$AY$11:$AY$4010,0)),""))</f>
        <v/>
      </c>
      <c r="Z547" s="11" t="str">
        <f>IF(X547="","",IFERROR(INDEX($AO$11:$AO$4010,MATCH(537,$AY$11:$AY$4010,0)),""))</f>
        <v/>
      </c>
      <c r="AA547" s="10" t="str">
        <f>IF(X547="","",IFERROR(INDEX($AQ$11:$AQ$4010,MATCH(537,$AY$11:$AY$4010,0)),""))</f>
        <v/>
      </c>
      <c r="AB547" s="15" t="str">
        <f>IF(X547="","",IFERROR(INDEX($AR$11:$AR$4010,MATCH(537,$AY$11:$AY$4010,0)),""))</f>
        <v/>
      </c>
      <c r="AD547" s="16" t="str">
        <f>IF(AE547="","",IFERROR(INDEX($AL$11:$AL$4010,MATCH(537,$AZ$11:$AZ$4010,0)),""))</f>
        <v/>
      </c>
      <c r="AE547" s="12" t="str">
        <f>IFERROR(INDEX($AM$11:$AM$4010,MATCH(537,$AZ$11:$AZ$4010,0)),"")</f>
        <v/>
      </c>
      <c r="AF547" s="11" t="str">
        <f>IF(AE547="","",IFERROR(INDEX($AN$11:$AN$4010,MATCH(537,$AZ$11:$AZ$4010,0)),""))</f>
        <v/>
      </c>
      <c r="AG547" s="11" t="str">
        <f>IF(AE547="","",IFERROR(INDEX($AO$11:$AO$4010,MATCH(537,$AZ$11:$AZ$4010,0)),""))</f>
        <v/>
      </c>
      <c r="AH547" s="10" t="str">
        <f>IF(AE547="","",IFERROR(INDEX($AQ$11:$AQ$4010,MATCH(537,$AZ$11:$AZ$4010,0)),""))</f>
        <v/>
      </c>
      <c r="AI547" s="15" t="str">
        <f>IF(AE547="","",IFERROR(INDEX($AR$11:$AR$4010,MATCH(537,$AZ$11:$AZ$4010,0)),""))</f>
        <v/>
      </c>
      <c r="AJ547" s="15" t="str">
        <f>IF(AE547="","",IFERROR(INDEX($AT$11:$AT$4010,MATCH(537,$AZ$11:$AZ$4010,0)),""))</f>
        <v/>
      </c>
      <c r="AL547" s="17"/>
      <c r="AM547" s="12"/>
      <c r="AN547" s="18"/>
      <c r="AO547" s="18"/>
      <c r="AP547" s="10"/>
      <c r="AQ547" s="10"/>
      <c r="AR547" s="19"/>
      <c r="AS547" s="20"/>
      <c r="AT547" s="19"/>
      <c r="AV547" s="21">
        <f>IF(AND($AL547&lt;&gt;"",COUNTIF($AL$11:$AL547,$AL547)=1),1,0)</f>
        <v>0</v>
      </c>
      <c r="AW547" s="21">
        <f t="shared" si="103"/>
        <v>0</v>
      </c>
      <c r="AX547" s="21" t="str">
        <f t="shared" si="102"/>
        <v/>
      </c>
      <c r="AY547" s="21" t="str">
        <f>IF(AND($AM547&lt;&gt;"",$AS547&lt;&gt;"✓"),SUMPRODUCT(($AM$11:$AM547&lt;&gt;"")*($AS$11:$AS547&lt;&gt;"✓")),"")</f>
        <v/>
      </c>
      <c r="AZ547" s="21" t="str">
        <f>IF(AND($AM547&lt;&gt;"",$AS547="✓"),SUMPRODUCT(($AM$11:$AM547&lt;&gt;"")*($AS$11:$AS547="✓")),"")</f>
        <v/>
      </c>
      <c r="BA547" s="21" t="str">
        <f>IF($AL547="","",$AL547&amp;"|"&amp;COUNTIF($AL$11:$AL547,$AL547))</f>
        <v/>
      </c>
    </row>
    <row r="548" spans="23:53" ht="15" customHeight="1" x14ac:dyDescent="0.25">
      <c r="W548" s="28" t="str">
        <f>IF(X548="","",IFERROR(INDEX($AL$11:$AL$4010,MATCH(538,$AY$11:$AY$4010,0)),""))</f>
        <v/>
      </c>
      <c r="X548" s="26" t="str">
        <f>IFERROR(INDEX($AM$11:$AM$4010,MATCH(538,$AY$11:$AY$4010,0)),"")</f>
        <v/>
      </c>
      <c r="Y548" s="25" t="str">
        <f>IF(X548="","",IFERROR(INDEX($AN$11:$AN$4010,MATCH(538,$AY$11:$AY$4010,0)),""))</f>
        <v/>
      </c>
      <c r="Z548" s="25" t="str">
        <f>IF(X548="","",IFERROR(INDEX($AO$11:$AO$4010,MATCH(538,$AY$11:$AY$4010,0)),""))</f>
        <v/>
      </c>
      <c r="AA548" s="24" t="str">
        <f>IF(X548="","",IFERROR(INDEX($AQ$11:$AQ$4010,MATCH(538,$AY$11:$AY$4010,0)),""))</f>
        <v/>
      </c>
      <c r="AB548" s="29" t="str">
        <f>IF(X548="","",IFERROR(INDEX($AR$11:$AR$4010,MATCH(538,$AY$11:$AY$4010,0)),""))</f>
        <v/>
      </c>
      <c r="AD548" s="30" t="str">
        <f>IF(AE548="","",IFERROR(INDEX($AL$11:$AL$4010,MATCH(538,$AZ$11:$AZ$4010,0)),""))</f>
        <v/>
      </c>
      <c r="AE548" s="26" t="str">
        <f>IFERROR(INDEX($AM$11:$AM$4010,MATCH(538,$AZ$11:$AZ$4010,0)),"")</f>
        <v/>
      </c>
      <c r="AF548" s="25" t="str">
        <f>IF(AE548="","",IFERROR(INDEX($AN$11:$AN$4010,MATCH(538,$AZ$11:$AZ$4010,0)),""))</f>
        <v/>
      </c>
      <c r="AG548" s="25" t="str">
        <f>IF(AE548="","",IFERROR(INDEX($AO$11:$AO$4010,MATCH(538,$AZ$11:$AZ$4010,0)),""))</f>
        <v/>
      </c>
      <c r="AH548" s="24" t="str">
        <f>IF(AE548="","",IFERROR(INDEX($AQ$11:$AQ$4010,MATCH(538,$AZ$11:$AZ$4010,0)),""))</f>
        <v/>
      </c>
      <c r="AI548" s="29" t="str">
        <f>IF(AE548="","",IFERROR(INDEX($AR$11:$AR$4010,MATCH(538,$AZ$11:$AZ$4010,0)),""))</f>
        <v/>
      </c>
      <c r="AJ548" s="29" t="str">
        <f>IF(AE548="","",IFERROR(INDEX($AT$11:$AT$4010,MATCH(538,$AZ$11:$AZ$4010,0)),""))</f>
        <v/>
      </c>
      <c r="AL548" s="31"/>
      <c r="AM548" s="26"/>
      <c r="AN548" s="32"/>
      <c r="AO548" s="32"/>
      <c r="AP548" s="24"/>
      <c r="AQ548" s="24"/>
      <c r="AR548" s="33"/>
      <c r="AS548" s="34"/>
      <c r="AT548" s="33"/>
      <c r="AV548" s="21">
        <f>IF(AND($AL548&lt;&gt;"",COUNTIF($AL$11:$AL548,$AL548)=1),1,0)</f>
        <v>0</v>
      </c>
      <c r="AW548" s="21">
        <f t="shared" si="103"/>
        <v>0</v>
      </c>
      <c r="AX548" s="21" t="str">
        <f t="shared" si="102"/>
        <v/>
      </c>
      <c r="AY548" s="21" t="str">
        <f>IF(AND($AM548&lt;&gt;"",$AS548&lt;&gt;"✓"),SUMPRODUCT(($AM$11:$AM548&lt;&gt;"")*($AS$11:$AS548&lt;&gt;"✓")),"")</f>
        <v/>
      </c>
      <c r="AZ548" s="21" t="str">
        <f>IF(AND($AM548&lt;&gt;"",$AS548="✓"),SUMPRODUCT(($AM$11:$AM548&lt;&gt;"")*($AS$11:$AS548="✓")),"")</f>
        <v/>
      </c>
      <c r="BA548" s="21" t="str">
        <f>IF($AL548="","",$AL548&amp;"|"&amp;COUNTIF($AL$11:$AL548,$AL548))</f>
        <v/>
      </c>
    </row>
    <row r="549" spans="23:53" ht="15" customHeight="1" x14ac:dyDescent="0.25">
      <c r="W549" s="14" t="str">
        <f>IF(X549="","",IFERROR(INDEX($AL$11:$AL$4010,MATCH(539,$AY$11:$AY$4010,0)),""))</f>
        <v/>
      </c>
      <c r="X549" s="12" t="str">
        <f>IFERROR(INDEX($AM$11:$AM$4010,MATCH(539,$AY$11:$AY$4010,0)),"")</f>
        <v/>
      </c>
      <c r="Y549" s="11" t="str">
        <f>IF(X549="","",IFERROR(INDEX($AN$11:$AN$4010,MATCH(539,$AY$11:$AY$4010,0)),""))</f>
        <v/>
      </c>
      <c r="Z549" s="11" t="str">
        <f>IF(X549="","",IFERROR(INDEX($AO$11:$AO$4010,MATCH(539,$AY$11:$AY$4010,0)),""))</f>
        <v/>
      </c>
      <c r="AA549" s="10" t="str">
        <f>IF(X549="","",IFERROR(INDEX($AQ$11:$AQ$4010,MATCH(539,$AY$11:$AY$4010,0)),""))</f>
        <v/>
      </c>
      <c r="AB549" s="15" t="str">
        <f>IF(X549="","",IFERROR(INDEX($AR$11:$AR$4010,MATCH(539,$AY$11:$AY$4010,0)),""))</f>
        <v/>
      </c>
      <c r="AD549" s="16" t="str">
        <f>IF(AE549="","",IFERROR(INDEX($AL$11:$AL$4010,MATCH(539,$AZ$11:$AZ$4010,0)),""))</f>
        <v/>
      </c>
      <c r="AE549" s="12" t="str">
        <f>IFERROR(INDEX($AM$11:$AM$4010,MATCH(539,$AZ$11:$AZ$4010,0)),"")</f>
        <v/>
      </c>
      <c r="AF549" s="11" t="str">
        <f>IF(AE549="","",IFERROR(INDEX($AN$11:$AN$4010,MATCH(539,$AZ$11:$AZ$4010,0)),""))</f>
        <v/>
      </c>
      <c r="AG549" s="11" t="str">
        <f>IF(AE549="","",IFERROR(INDEX($AO$11:$AO$4010,MATCH(539,$AZ$11:$AZ$4010,0)),""))</f>
        <v/>
      </c>
      <c r="AH549" s="10" t="str">
        <f>IF(AE549="","",IFERROR(INDEX($AQ$11:$AQ$4010,MATCH(539,$AZ$11:$AZ$4010,0)),""))</f>
        <v/>
      </c>
      <c r="AI549" s="15" t="str">
        <f>IF(AE549="","",IFERROR(INDEX($AR$11:$AR$4010,MATCH(539,$AZ$11:$AZ$4010,0)),""))</f>
        <v/>
      </c>
      <c r="AJ549" s="15" t="str">
        <f>IF(AE549="","",IFERROR(INDEX($AT$11:$AT$4010,MATCH(539,$AZ$11:$AZ$4010,0)),""))</f>
        <v/>
      </c>
      <c r="AL549" s="17"/>
      <c r="AM549" s="12"/>
      <c r="AN549" s="18"/>
      <c r="AO549" s="18"/>
      <c r="AP549" s="10"/>
      <c r="AQ549" s="10"/>
      <c r="AR549" s="19"/>
      <c r="AS549" s="20"/>
      <c r="AT549" s="19"/>
      <c r="AV549" s="21">
        <f>IF(AND($AL549&lt;&gt;"",COUNTIF($AL$11:$AL549,$AL549)=1),1,0)</f>
        <v>0</v>
      </c>
      <c r="AW549" s="21">
        <f t="shared" si="103"/>
        <v>0</v>
      </c>
      <c r="AX549" s="21" t="str">
        <f t="shared" si="102"/>
        <v/>
      </c>
      <c r="AY549" s="21" t="str">
        <f>IF(AND($AM549&lt;&gt;"",$AS549&lt;&gt;"✓"),SUMPRODUCT(($AM$11:$AM549&lt;&gt;"")*($AS$11:$AS549&lt;&gt;"✓")),"")</f>
        <v/>
      </c>
      <c r="AZ549" s="21" t="str">
        <f>IF(AND($AM549&lt;&gt;"",$AS549="✓"),SUMPRODUCT(($AM$11:$AM549&lt;&gt;"")*($AS$11:$AS549="✓")),"")</f>
        <v/>
      </c>
      <c r="BA549" s="21" t="str">
        <f>IF($AL549="","",$AL549&amp;"|"&amp;COUNTIF($AL$11:$AL549,$AL549))</f>
        <v/>
      </c>
    </row>
    <row r="550" spans="23:53" ht="15" customHeight="1" x14ac:dyDescent="0.25">
      <c r="W550" s="28" t="str">
        <f>IF(X550="","",IFERROR(INDEX($AL$11:$AL$4010,MATCH(540,$AY$11:$AY$4010,0)),""))</f>
        <v/>
      </c>
      <c r="X550" s="26" t="str">
        <f>IFERROR(INDEX($AM$11:$AM$4010,MATCH(540,$AY$11:$AY$4010,0)),"")</f>
        <v/>
      </c>
      <c r="Y550" s="25" t="str">
        <f>IF(X550="","",IFERROR(INDEX($AN$11:$AN$4010,MATCH(540,$AY$11:$AY$4010,0)),""))</f>
        <v/>
      </c>
      <c r="Z550" s="25" t="str">
        <f>IF(X550="","",IFERROR(INDEX($AO$11:$AO$4010,MATCH(540,$AY$11:$AY$4010,0)),""))</f>
        <v/>
      </c>
      <c r="AA550" s="24" t="str">
        <f>IF(X550="","",IFERROR(INDEX($AQ$11:$AQ$4010,MATCH(540,$AY$11:$AY$4010,0)),""))</f>
        <v/>
      </c>
      <c r="AB550" s="29" t="str">
        <f>IF(X550="","",IFERROR(INDEX($AR$11:$AR$4010,MATCH(540,$AY$11:$AY$4010,0)),""))</f>
        <v/>
      </c>
      <c r="AD550" s="30" t="str">
        <f>IF(AE550="","",IFERROR(INDEX($AL$11:$AL$4010,MATCH(540,$AZ$11:$AZ$4010,0)),""))</f>
        <v/>
      </c>
      <c r="AE550" s="26" t="str">
        <f>IFERROR(INDEX($AM$11:$AM$4010,MATCH(540,$AZ$11:$AZ$4010,0)),"")</f>
        <v/>
      </c>
      <c r="AF550" s="25" t="str">
        <f>IF(AE550="","",IFERROR(INDEX($AN$11:$AN$4010,MATCH(540,$AZ$11:$AZ$4010,0)),""))</f>
        <v/>
      </c>
      <c r="AG550" s="25" t="str">
        <f>IF(AE550="","",IFERROR(INDEX($AO$11:$AO$4010,MATCH(540,$AZ$11:$AZ$4010,0)),""))</f>
        <v/>
      </c>
      <c r="AH550" s="24" t="str">
        <f>IF(AE550="","",IFERROR(INDEX($AQ$11:$AQ$4010,MATCH(540,$AZ$11:$AZ$4010,0)),""))</f>
        <v/>
      </c>
      <c r="AI550" s="29" t="str">
        <f>IF(AE550="","",IFERROR(INDEX($AR$11:$AR$4010,MATCH(540,$AZ$11:$AZ$4010,0)),""))</f>
        <v/>
      </c>
      <c r="AJ550" s="29" t="str">
        <f>IF(AE550="","",IFERROR(INDEX($AT$11:$AT$4010,MATCH(540,$AZ$11:$AZ$4010,0)),""))</f>
        <v/>
      </c>
      <c r="AL550" s="31"/>
      <c r="AM550" s="26"/>
      <c r="AN550" s="32"/>
      <c r="AO550" s="32"/>
      <c r="AP550" s="24"/>
      <c r="AQ550" s="24"/>
      <c r="AR550" s="33"/>
      <c r="AS550" s="34"/>
      <c r="AT550" s="33"/>
      <c r="AV550" s="21">
        <f>IF(AND($AL550&lt;&gt;"",COUNTIF($AL$11:$AL550,$AL550)=1),1,0)</f>
        <v>0</v>
      </c>
      <c r="AW550" s="21">
        <f t="shared" si="103"/>
        <v>0</v>
      </c>
      <c r="AX550" s="21" t="str">
        <f t="shared" si="102"/>
        <v/>
      </c>
      <c r="AY550" s="21" t="str">
        <f>IF(AND($AM550&lt;&gt;"",$AS550&lt;&gt;"✓"),SUMPRODUCT(($AM$11:$AM550&lt;&gt;"")*($AS$11:$AS550&lt;&gt;"✓")),"")</f>
        <v/>
      </c>
      <c r="AZ550" s="21" t="str">
        <f>IF(AND($AM550&lt;&gt;"",$AS550="✓"),SUMPRODUCT(($AM$11:$AM550&lt;&gt;"")*($AS$11:$AS550="✓")),"")</f>
        <v/>
      </c>
      <c r="BA550" s="21" t="str">
        <f>IF($AL550="","",$AL550&amp;"|"&amp;COUNTIF($AL$11:$AL550,$AL550))</f>
        <v/>
      </c>
    </row>
    <row r="551" spans="23:53" ht="15" customHeight="1" x14ac:dyDescent="0.25">
      <c r="W551" s="14" t="str">
        <f>IF(X551="","",IFERROR(INDEX($AL$11:$AL$4010,MATCH(541,$AY$11:$AY$4010,0)),""))</f>
        <v/>
      </c>
      <c r="X551" s="12" t="str">
        <f>IFERROR(INDEX($AM$11:$AM$4010,MATCH(541,$AY$11:$AY$4010,0)),"")</f>
        <v/>
      </c>
      <c r="Y551" s="11" t="str">
        <f>IF(X551="","",IFERROR(INDEX($AN$11:$AN$4010,MATCH(541,$AY$11:$AY$4010,0)),""))</f>
        <v/>
      </c>
      <c r="Z551" s="11" t="str">
        <f>IF(X551="","",IFERROR(INDEX($AO$11:$AO$4010,MATCH(541,$AY$11:$AY$4010,0)),""))</f>
        <v/>
      </c>
      <c r="AA551" s="10" t="str">
        <f>IF(X551="","",IFERROR(INDEX($AQ$11:$AQ$4010,MATCH(541,$AY$11:$AY$4010,0)),""))</f>
        <v/>
      </c>
      <c r="AB551" s="15" t="str">
        <f>IF(X551="","",IFERROR(INDEX($AR$11:$AR$4010,MATCH(541,$AY$11:$AY$4010,0)),""))</f>
        <v/>
      </c>
      <c r="AD551" s="16" t="str">
        <f>IF(AE551="","",IFERROR(INDEX($AL$11:$AL$4010,MATCH(541,$AZ$11:$AZ$4010,0)),""))</f>
        <v/>
      </c>
      <c r="AE551" s="12" t="str">
        <f>IFERROR(INDEX($AM$11:$AM$4010,MATCH(541,$AZ$11:$AZ$4010,0)),"")</f>
        <v/>
      </c>
      <c r="AF551" s="11" t="str">
        <f>IF(AE551="","",IFERROR(INDEX($AN$11:$AN$4010,MATCH(541,$AZ$11:$AZ$4010,0)),""))</f>
        <v/>
      </c>
      <c r="AG551" s="11" t="str">
        <f>IF(AE551="","",IFERROR(INDEX($AO$11:$AO$4010,MATCH(541,$AZ$11:$AZ$4010,0)),""))</f>
        <v/>
      </c>
      <c r="AH551" s="10" t="str">
        <f>IF(AE551="","",IFERROR(INDEX($AQ$11:$AQ$4010,MATCH(541,$AZ$11:$AZ$4010,0)),""))</f>
        <v/>
      </c>
      <c r="AI551" s="15" t="str">
        <f>IF(AE551="","",IFERROR(INDEX($AR$11:$AR$4010,MATCH(541,$AZ$11:$AZ$4010,0)),""))</f>
        <v/>
      </c>
      <c r="AJ551" s="15" t="str">
        <f>IF(AE551="","",IFERROR(INDEX($AT$11:$AT$4010,MATCH(541,$AZ$11:$AZ$4010,0)),""))</f>
        <v/>
      </c>
      <c r="AL551" s="17"/>
      <c r="AM551" s="12"/>
      <c r="AN551" s="18"/>
      <c r="AO551" s="18"/>
      <c r="AP551" s="10"/>
      <c r="AQ551" s="10"/>
      <c r="AR551" s="19"/>
      <c r="AS551" s="20"/>
      <c r="AT551" s="19"/>
      <c r="AV551" s="21">
        <f>IF(AND($AL551&lt;&gt;"",COUNTIF($AL$11:$AL551,$AL551)=1),1,0)</f>
        <v>0</v>
      </c>
      <c r="AW551" s="21">
        <f t="shared" si="103"/>
        <v>0</v>
      </c>
      <c r="AX551" s="21" t="str">
        <f t="shared" si="102"/>
        <v/>
      </c>
      <c r="AY551" s="21" t="str">
        <f>IF(AND($AM551&lt;&gt;"",$AS551&lt;&gt;"✓"),SUMPRODUCT(($AM$11:$AM551&lt;&gt;"")*($AS$11:$AS551&lt;&gt;"✓")),"")</f>
        <v/>
      </c>
      <c r="AZ551" s="21" t="str">
        <f>IF(AND($AM551&lt;&gt;"",$AS551="✓"),SUMPRODUCT(($AM$11:$AM551&lt;&gt;"")*($AS$11:$AS551="✓")),"")</f>
        <v/>
      </c>
      <c r="BA551" s="21" t="str">
        <f>IF($AL551="","",$AL551&amp;"|"&amp;COUNTIF($AL$11:$AL551,$AL551))</f>
        <v/>
      </c>
    </row>
    <row r="552" spans="23:53" ht="15" customHeight="1" x14ac:dyDescent="0.25">
      <c r="W552" s="28" t="str">
        <f>IF(X552="","",IFERROR(INDEX($AL$11:$AL$4010,MATCH(542,$AY$11:$AY$4010,0)),""))</f>
        <v/>
      </c>
      <c r="X552" s="26" t="str">
        <f>IFERROR(INDEX($AM$11:$AM$4010,MATCH(542,$AY$11:$AY$4010,0)),"")</f>
        <v/>
      </c>
      <c r="Y552" s="25" t="str">
        <f>IF(X552="","",IFERROR(INDEX($AN$11:$AN$4010,MATCH(542,$AY$11:$AY$4010,0)),""))</f>
        <v/>
      </c>
      <c r="Z552" s="25" t="str">
        <f>IF(X552="","",IFERROR(INDEX($AO$11:$AO$4010,MATCH(542,$AY$11:$AY$4010,0)),""))</f>
        <v/>
      </c>
      <c r="AA552" s="24" t="str">
        <f>IF(X552="","",IFERROR(INDEX($AQ$11:$AQ$4010,MATCH(542,$AY$11:$AY$4010,0)),""))</f>
        <v/>
      </c>
      <c r="AB552" s="29" t="str">
        <f>IF(X552="","",IFERROR(INDEX($AR$11:$AR$4010,MATCH(542,$AY$11:$AY$4010,0)),""))</f>
        <v/>
      </c>
      <c r="AD552" s="30" t="str">
        <f>IF(AE552="","",IFERROR(INDEX($AL$11:$AL$4010,MATCH(542,$AZ$11:$AZ$4010,0)),""))</f>
        <v/>
      </c>
      <c r="AE552" s="26" t="str">
        <f>IFERROR(INDEX($AM$11:$AM$4010,MATCH(542,$AZ$11:$AZ$4010,0)),"")</f>
        <v/>
      </c>
      <c r="AF552" s="25" t="str">
        <f>IF(AE552="","",IFERROR(INDEX($AN$11:$AN$4010,MATCH(542,$AZ$11:$AZ$4010,0)),""))</f>
        <v/>
      </c>
      <c r="AG552" s="25" t="str">
        <f>IF(AE552="","",IFERROR(INDEX($AO$11:$AO$4010,MATCH(542,$AZ$11:$AZ$4010,0)),""))</f>
        <v/>
      </c>
      <c r="AH552" s="24" t="str">
        <f>IF(AE552="","",IFERROR(INDEX($AQ$11:$AQ$4010,MATCH(542,$AZ$11:$AZ$4010,0)),""))</f>
        <v/>
      </c>
      <c r="AI552" s="29" t="str">
        <f>IF(AE552="","",IFERROR(INDEX($AR$11:$AR$4010,MATCH(542,$AZ$11:$AZ$4010,0)),""))</f>
        <v/>
      </c>
      <c r="AJ552" s="29" t="str">
        <f>IF(AE552="","",IFERROR(INDEX($AT$11:$AT$4010,MATCH(542,$AZ$11:$AZ$4010,0)),""))</f>
        <v/>
      </c>
      <c r="AL552" s="31"/>
      <c r="AM552" s="26"/>
      <c r="AN552" s="32"/>
      <c r="AO552" s="32"/>
      <c r="AP552" s="24"/>
      <c r="AQ552" s="24"/>
      <c r="AR552" s="33"/>
      <c r="AS552" s="34"/>
      <c r="AT552" s="33"/>
      <c r="AV552" s="21">
        <f>IF(AND($AL552&lt;&gt;"",COUNTIF($AL$11:$AL552,$AL552)=1),1,0)</f>
        <v>0</v>
      </c>
      <c r="AW552" s="21">
        <f t="shared" si="103"/>
        <v>0</v>
      </c>
      <c r="AX552" s="21" t="str">
        <f t="shared" si="102"/>
        <v/>
      </c>
      <c r="AY552" s="21" t="str">
        <f>IF(AND($AM552&lt;&gt;"",$AS552&lt;&gt;"✓"),SUMPRODUCT(($AM$11:$AM552&lt;&gt;"")*($AS$11:$AS552&lt;&gt;"✓")),"")</f>
        <v/>
      </c>
      <c r="AZ552" s="21" t="str">
        <f>IF(AND($AM552&lt;&gt;"",$AS552="✓"),SUMPRODUCT(($AM$11:$AM552&lt;&gt;"")*($AS$11:$AS552="✓")),"")</f>
        <v/>
      </c>
      <c r="BA552" s="21" t="str">
        <f>IF($AL552="","",$AL552&amp;"|"&amp;COUNTIF($AL$11:$AL552,$AL552))</f>
        <v/>
      </c>
    </row>
    <row r="553" spans="23:53" ht="15" customHeight="1" x14ac:dyDescent="0.25">
      <c r="W553" s="14" t="str">
        <f>IF(X553="","",IFERROR(INDEX($AL$11:$AL$4010,MATCH(543,$AY$11:$AY$4010,0)),""))</f>
        <v/>
      </c>
      <c r="X553" s="12" t="str">
        <f>IFERROR(INDEX($AM$11:$AM$4010,MATCH(543,$AY$11:$AY$4010,0)),"")</f>
        <v/>
      </c>
      <c r="Y553" s="11" t="str">
        <f>IF(X553="","",IFERROR(INDEX($AN$11:$AN$4010,MATCH(543,$AY$11:$AY$4010,0)),""))</f>
        <v/>
      </c>
      <c r="Z553" s="11" t="str">
        <f>IF(X553="","",IFERROR(INDEX($AO$11:$AO$4010,MATCH(543,$AY$11:$AY$4010,0)),""))</f>
        <v/>
      </c>
      <c r="AA553" s="10" t="str">
        <f>IF(X553="","",IFERROR(INDEX($AQ$11:$AQ$4010,MATCH(543,$AY$11:$AY$4010,0)),""))</f>
        <v/>
      </c>
      <c r="AB553" s="15" t="str">
        <f>IF(X553="","",IFERROR(INDEX($AR$11:$AR$4010,MATCH(543,$AY$11:$AY$4010,0)),""))</f>
        <v/>
      </c>
      <c r="AD553" s="16" t="str">
        <f>IF(AE553="","",IFERROR(INDEX($AL$11:$AL$4010,MATCH(543,$AZ$11:$AZ$4010,0)),""))</f>
        <v/>
      </c>
      <c r="AE553" s="12" t="str">
        <f>IFERROR(INDEX($AM$11:$AM$4010,MATCH(543,$AZ$11:$AZ$4010,0)),"")</f>
        <v/>
      </c>
      <c r="AF553" s="11" t="str">
        <f>IF(AE553="","",IFERROR(INDEX($AN$11:$AN$4010,MATCH(543,$AZ$11:$AZ$4010,0)),""))</f>
        <v/>
      </c>
      <c r="AG553" s="11" t="str">
        <f>IF(AE553="","",IFERROR(INDEX($AO$11:$AO$4010,MATCH(543,$AZ$11:$AZ$4010,0)),""))</f>
        <v/>
      </c>
      <c r="AH553" s="10" t="str">
        <f>IF(AE553="","",IFERROR(INDEX($AQ$11:$AQ$4010,MATCH(543,$AZ$11:$AZ$4010,0)),""))</f>
        <v/>
      </c>
      <c r="AI553" s="15" t="str">
        <f>IF(AE553="","",IFERROR(INDEX($AR$11:$AR$4010,MATCH(543,$AZ$11:$AZ$4010,0)),""))</f>
        <v/>
      </c>
      <c r="AJ553" s="15" t="str">
        <f>IF(AE553="","",IFERROR(INDEX($AT$11:$AT$4010,MATCH(543,$AZ$11:$AZ$4010,0)),""))</f>
        <v/>
      </c>
      <c r="AL553" s="17"/>
      <c r="AM553" s="12"/>
      <c r="AN553" s="18"/>
      <c r="AO553" s="18"/>
      <c r="AP553" s="10"/>
      <c r="AQ553" s="10"/>
      <c r="AR553" s="19"/>
      <c r="AS553" s="20"/>
      <c r="AT553" s="19"/>
      <c r="AV553" s="21">
        <f>IF(AND($AL553&lt;&gt;"",COUNTIF($AL$11:$AL553,$AL553)=1),1,0)</f>
        <v>0</v>
      </c>
      <c r="AW553" s="21">
        <f t="shared" si="103"/>
        <v>0</v>
      </c>
      <c r="AX553" s="21" t="str">
        <f t="shared" si="102"/>
        <v/>
      </c>
      <c r="AY553" s="21" t="str">
        <f>IF(AND($AM553&lt;&gt;"",$AS553&lt;&gt;"✓"),SUMPRODUCT(($AM$11:$AM553&lt;&gt;"")*($AS$11:$AS553&lt;&gt;"✓")),"")</f>
        <v/>
      </c>
      <c r="AZ553" s="21" t="str">
        <f>IF(AND($AM553&lt;&gt;"",$AS553="✓"),SUMPRODUCT(($AM$11:$AM553&lt;&gt;"")*($AS$11:$AS553="✓")),"")</f>
        <v/>
      </c>
      <c r="BA553" s="21" t="str">
        <f>IF($AL553="","",$AL553&amp;"|"&amp;COUNTIF($AL$11:$AL553,$AL553))</f>
        <v/>
      </c>
    </row>
    <row r="554" spans="23:53" ht="15" customHeight="1" x14ac:dyDescent="0.25">
      <c r="W554" s="28" t="str">
        <f>IF(X554="","",IFERROR(INDEX($AL$11:$AL$4010,MATCH(544,$AY$11:$AY$4010,0)),""))</f>
        <v/>
      </c>
      <c r="X554" s="26" t="str">
        <f>IFERROR(INDEX($AM$11:$AM$4010,MATCH(544,$AY$11:$AY$4010,0)),"")</f>
        <v/>
      </c>
      <c r="Y554" s="25" t="str">
        <f>IF(X554="","",IFERROR(INDEX($AN$11:$AN$4010,MATCH(544,$AY$11:$AY$4010,0)),""))</f>
        <v/>
      </c>
      <c r="Z554" s="25" t="str">
        <f>IF(X554="","",IFERROR(INDEX($AO$11:$AO$4010,MATCH(544,$AY$11:$AY$4010,0)),""))</f>
        <v/>
      </c>
      <c r="AA554" s="24" t="str">
        <f>IF(X554="","",IFERROR(INDEX($AQ$11:$AQ$4010,MATCH(544,$AY$11:$AY$4010,0)),""))</f>
        <v/>
      </c>
      <c r="AB554" s="29" t="str">
        <f>IF(X554="","",IFERROR(INDEX($AR$11:$AR$4010,MATCH(544,$AY$11:$AY$4010,0)),""))</f>
        <v/>
      </c>
      <c r="AD554" s="30" t="str">
        <f>IF(AE554="","",IFERROR(INDEX($AL$11:$AL$4010,MATCH(544,$AZ$11:$AZ$4010,0)),""))</f>
        <v/>
      </c>
      <c r="AE554" s="26" t="str">
        <f>IFERROR(INDEX($AM$11:$AM$4010,MATCH(544,$AZ$11:$AZ$4010,0)),"")</f>
        <v/>
      </c>
      <c r="AF554" s="25" t="str">
        <f>IF(AE554="","",IFERROR(INDEX($AN$11:$AN$4010,MATCH(544,$AZ$11:$AZ$4010,0)),""))</f>
        <v/>
      </c>
      <c r="AG554" s="25" t="str">
        <f>IF(AE554="","",IFERROR(INDEX($AO$11:$AO$4010,MATCH(544,$AZ$11:$AZ$4010,0)),""))</f>
        <v/>
      </c>
      <c r="AH554" s="24" t="str">
        <f>IF(AE554="","",IFERROR(INDEX($AQ$11:$AQ$4010,MATCH(544,$AZ$11:$AZ$4010,0)),""))</f>
        <v/>
      </c>
      <c r="AI554" s="29" t="str">
        <f>IF(AE554="","",IFERROR(INDEX($AR$11:$AR$4010,MATCH(544,$AZ$11:$AZ$4010,0)),""))</f>
        <v/>
      </c>
      <c r="AJ554" s="29" t="str">
        <f>IF(AE554="","",IFERROR(INDEX($AT$11:$AT$4010,MATCH(544,$AZ$11:$AZ$4010,0)),""))</f>
        <v/>
      </c>
      <c r="AL554" s="31"/>
      <c r="AM554" s="26"/>
      <c r="AN554" s="32"/>
      <c r="AO554" s="32"/>
      <c r="AP554" s="24"/>
      <c r="AQ554" s="24"/>
      <c r="AR554" s="33"/>
      <c r="AS554" s="34"/>
      <c r="AT554" s="33"/>
      <c r="AV554" s="21">
        <f>IF(AND($AL554&lt;&gt;"",COUNTIF($AL$11:$AL554,$AL554)=1),1,0)</f>
        <v>0</v>
      </c>
      <c r="AW554" s="21">
        <f t="shared" si="103"/>
        <v>0</v>
      </c>
      <c r="AX554" s="21" t="str">
        <f t="shared" si="102"/>
        <v/>
      </c>
      <c r="AY554" s="21" t="str">
        <f>IF(AND($AM554&lt;&gt;"",$AS554&lt;&gt;"✓"),SUMPRODUCT(($AM$11:$AM554&lt;&gt;"")*($AS$11:$AS554&lt;&gt;"✓")),"")</f>
        <v/>
      </c>
      <c r="AZ554" s="21" t="str">
        <f>IF(AND($AM554&lt;&gt;"",$AS554="✓"),SUMPRODUCT(($AM$11:$AM554&lt;&gt;"")*($AS$11:$AS554="✓")),"")</f>
        <v/>
      </c>
      <c r="BA554" s="21" t="str">
        <f>IF($AL554="","",$AL554&amp;"|"&amp;COUNTIF($AL$11:$AL554,$AL554))</f>
        <v/>
      </c>
    </row>
    <row r="555" spans="23:53" ht="15" customHeight="1" x14ac:dyDescent="0.25">
      <c r="W555" s="14" t="str">
        <f>IF(X555="","",IFERROR(INDEX($AL$11:$AL$4010,MATCH(545,$AY$11:$AY$4010,0)),""))</f>
        <v/>
      </c>
      <c r="X555" s="12" t="str">
        <f>IFERROR(INDEX($AM$11:$AM$4010,MATCH(545,$AY$11:$AY$4010,0)),"")</f>
        <v/>
      </c>
      <c r="Y555" s="11" t="str">
        <f>IF(X555="","",IFERROR(INDEX($AN$11:$AN$4010,MATCH(545,$AY$11:$AY$4010,0)),""))</f>
        <v/>
      </c>
      <c r="Z555" s="11" t="str">
        <f>IF(X555="","",IFERROR(INDEX($AO$11:$AO$4010,MATCH(545,$AY$11:$AY$4010,0)),""))</f>
        <v/>
      </c>
      <c r="AA555" s="10" t="str">
        <f>IF(X555="","",IFERROR(INDEX($AQ$11:$AQ$4010,MATCH(545,$AY$11:$AY$4010,0)),""))</f>
        <v/>
      </c>
      <c r="AB555" s="15" t="str">
        <f>IF(X555="","",IFERROR(INDEX($AR$11:$AR$4010,MATCH(545,$AY$11:$AY$4010,0)),""))</f>
        <v/>
      </c>
      <c r="AD555" s="16" t="str">
        <f>IF(AE555="","",IFERROR(INDEX($AL$11:$AL$4010,MATCH(545,$AZ$11:$AZ$4010,0)),""))</f>
        <v/>
      </c>
      <c r="AE555" s="12" t="str">
        <f>IFERROR(INDEX($AM$11:$AM$4010,MATCH(545,$AZ$11:$AZ$4010,0)),"")</f>
        <v/>
      </c>
      <c r="AF555" s="11" t="str">
        <f>IF(AE555="","",IFERROR(INDEX($AN$11:$AN$4010,MATCH(545,$AZ$11:$AZ$4010,0)),""))</f>
        <v/>
      </c>
      <c r="AG555" s="11" t="str">
        <f>IF(AE555="","",IFERROR(INDEX($AO$11:$AO$4010,MATCH(545,$AZ$11:$AZ$4010,0)),""))</f>
        <v/>
      </c>
      <c r="AH555" s="10" t="str">
        <f>IF(AE555="","",IFERROR(INDEX($AQ$11:$AQ$4010,MATCH(545,$AZ$11:$AZ$4010,0)),""))</f>
        <v/>
      </c>
      <c r="AI555" s="15" t="str">
        <f>IF(AE555="","",IFERROR(INDEX($AR$11:$AR$4010,MATCH(545,$AZ$11:$AZ$4010,0)),""))</f>
        <v/>
      </c>
      <c r="AJ555" s="15" t="str">
        <f>IF(AE555="","",IFERROR(INDEX($AT$11:$AT$4010,MATCH(545,$AZ$11:$AZ$4010,0)),""))</f>
        <v/>
      </c>
      <c r="AL555" s="17"/>
      <c r="AM555" s="12"/>
      <c r="AN555" s="18"/>
      <c r="AO555" s="18"/>
      <c r="AP555" s="10"/>
      <c r="AQ555" s="10"/>
      <c r="AR555" s="19"/>
      <c r="AS555" s="20"/>
      <c r="AT555" s="19"/>
      <c r="AV555" s="21">
        <f>IF(AND($AL555&lt;&gt;"",COUNTIF($AL$11:$AL555,$AL555)=1),1,0)</f>
        <v>0</v>
      </c>
      <c r="AW555" s="21">
        <f t="shared" si="103"/>
        <v>0</v>
      </c>
      <c r="AX555" s="21" t="str">
        <f t="shared" si="102"/>
        <v/>
      </c>
      <c r="AY555" s="21" t="str">
        <f>IF(AND($AM555&lt;&gt;"",$AS555&lt;&gt;"✓"),SUMPRODUCT(($AM$11:$AM555&lt;&gt;"")*($AS$11:$AS555&lt;&gt;"✓")),"")</f>
        <v/>
      </c>
      <c r="AZ555" s="21" t="str">
        <f>IF(AND($AM555&lt;&gt;"",$AS555="✓"),SUMPRODUCT(($AM$11:$AM555&lt;&gt;"")*($AS$11:$AS555="✓")),"")</f>
        <v/>
      </c>
      <c r="BA555" s="21" t="str">
        <f>IF($AL555="","",$AL555&amp;"|"&amp;COUNTIF($AL$11:$AL555,$AL555))</f>
        <v/>
      </c>
    </row>
    <row r="556" spans="23:53" ht="15" customHeight="1" x14ac:dyDescent="0.25">
      <c r="W556" s="28" t="str">
        <f>IF(X556="","",IFERROR(INDEX($AL$11:$AL$4010,MATCH(546,$AY$11:$AY$4010,0)),""))</f>
        <v/>
      </c>
      <c r="X556" s="26" t="str">
        <f>IFERROR(INDEX($AM$11:$AM$4010,MATCH(546,$AY$11:$AY$4010,0)),"")</f>
        <v/>
      </c>
      <c r="Y556" s="25" t="str">
        <f>IF(X556="","",IFERROR(INDEX($AN$11:$AN$4010,MATCH(546,$AY$11:$AY$4010,0)),""))</f>
        <v/>
      </c>
      <c r="Z556" s="25" t="str">
        <f>IF(X556="","",IFERROR(INDEX($AO$11:$AO$4010,MATCH(546,$AY$11:$AY$4010,0)),""))</f>
        <v/>
      </c>
      <c r="AA556" s="24" t="str">
        <f>IF(X556="","",IFERROR(INDEX($AQ$11:$AQ$4010,MATCH(546,$AY$11:$AY$4010,0)),""))</f>
        <v/>
      </c>
      <c r="AB556" s="29" t="str">
        <f>IF(X556="","",IFERROR(INDEX($AR$11:$AR$4010,MATCH(546,$AY$11:$AY$4010,0)),""))</f>
        <v/>
      </c>
      <c r="AD556" s="30" t="str">
        <f>IF(AE556="","",IFERROR(INDEX($AL$11:$AL$4010,MATCH(546,$AZ$11:$AZ$4010,0)),""))</f>
        <v/>
      </c>
      <c r="AE556" s="26" t="str">
        <f>IFERROR(INDEX($AM$11:$AM$4010,MATCH(546,$AZ$11:$AZ$4010,0)),"")</f>
        <v/>
      </c>
      <c r="AF556" s="25" t="str">
        <f>IF(AE556="","",IFERROR(INDEX($AN$11:$AN$4010,MATCH(546,$AZ$11:$AZ$4010,0)),""))</f>
        <v/>
      </c>
      <c r="AG556" s="25" t="str">
        <f>IF(AE556="","",IFERROR(INDEX($AO$11:$AO$4010,MATCH(546,$AZ$11:$AZ$4010,0)),""))</f>
        <v/>
      </c>
      <c r="AH556" s="24" t="str">
        <f>IF(AE556="","",IFERROR(INDEX($AQ$11:$AQ$4010,MATCH(546,$AZ$11:$AZ$4010,0)),""))</f>
        <v/>
      </c>
      <c r="AI556" s="29" t="str">
        <f>IF(AE556="","",IFERROR(INDEX($AR$11:$AR$4010,MATCH(546,$AZ$11:$AZ$4010,0)),""))</f>
        <v/>
      </c>
      <c r="AJ556" s="29" t="str">
        <f>IF(AE556="","",IFERROR(INDEX($AT$11:$AT$4010,MATCH(546,$AZ$11:$AZ$4010,0)),""))</f>
        <v/>
      </c>
      <c r="AL556" s="31"/>
      <c r="AM556" s="26"/>
      <c r="AN556" s="32"/>
      <c r="AO556" s="32"/>
      <c r="AP556" s="24"/>
      <c r="AQ556" s="24"/>
      <c r="AR556" s="33"/>
      <c r="AS556" s="34"/>
      <c r="AT556" s="33"/>
      <c r="AV556" s="21">
        <f>IF(AND($AL556&lt;&gt;"",COUNTIF($AL$11:$AL556,$AL556)=1),1,0)</f>
        <v>0</v>
      </c>
      <c r="AW556" s="21">
        <f t="shared" si="103"/>
        <v>0</v>
      </c>
      <c r="AX556" s="21" t="str">
        <f t="shared" si="102"/>
        <v/>
      </c>
      <c r="AY556" s="21" t="str">
        <f>IF(AND($AM556&lt;&gt;"",$AS556&lt;&gt;"✓"),SUMPRODUCT(($AM$11:$AM556&lt;&gt;"")*($AS$11:$AS556&lt;&gt;"✓")),"")</f>
        <v/>
      </c>
      <c r="AZ556" s="21" t="str">
        <f>IF(AND($AM556&lt;&gt;"",$AS556="✓"),SUMPRODUCT(($AM$11:$AM556&lt;&gt;"")*($AS$11:$AS556="✓")),"")</f>
        <v/>
      </c>
      <c r="BA556" s="21" t="str">
        <f>IF($AL556="","",$AL556&amp;"|"&amp;COUNTIF($AL$11:$AL556,$AL556))</f>
        <v/>
      </c>
    </row>
    <row r="557" spans="23:53" ht="15" customHeight="1" x14ac:dyDescent="0.25">
      <c r="W557" s="14" t="str">
        <f>IF(X557="","",IFERROR(INDEX($AL$11:$AL$4010,MATCH(547,$AY$11:$AY$4010,0)),""))</f>
        <v/>
      </c>
      <c r="X557" s="12" t="str">
        <f>IFERROR(INDEX($AM$11:$AM$4010,MATCH(547,$AY$11:$AY$4010,0)),"")</f>
        <v/>
      </c>
      <c r="Y557" s="11" t="str">
        <f>IF(X557="","",IFERROR(INDEX($AN$11:$AN$4010,MATCH(547,$AY$11:$AY$4010,0)),""))</f>
        <v/>
      </c>
      <c r="Z557" s="11" t="str">
        <f>IF(X557="","",IFERROR(INDEX($AO$11:$AO$4010,MATCH(547,$AY$11:$AY$4010,0)),""))</f>
        <v/>
      </c>
      <c r="AA557" s="10" t="str">
        <f>IF(X557="","",IFERROR(INDEX($AQ$11:$AQ$4010,MATCH(547,$AY$11:$AY$4010,0)),""))</f>
        <v/>
      </c>
      <c r="AB557" s="15" t="str">
        <f>IF(X557="","",IFERROR(INDEX($AR$11:$AR$4010,MATCH(547,$AY$11:$AY$4010,0)),""))</f>
        <v/>
      </c>
      <c r="AD557" s="16" t="str">
        <f>IF(AE557="","",IFERROR(INDEX($AL$11:$AL$4010,MATCH(547,$AZ$11:$AZ$4010,0)),""))</f>
        <v/>
      </c>
      <c r="AE557" s="12" t="str">
        <f>IFERROR(INDEX($AM$11:$AM$4010,MATCH(547,$AZ$11:$AZ$4010,0)),"")</f>
        <v/>
      </c>
      <c r="AF557" s="11" t="str">
        <f>IF(AE557="","",IFERROR(INDEX($AN$11:$AN$4010,MATCH(547,$AZ$11:$AZ$4010,0)),""))</f>
        <v/>
      </c>
      <c r="AG557" s="11" t="str">
        <f>IF(AE557="","",IFERROR(INDEX($AO$11:$AO$4010,MATCH(547,$AZ$11:$AZ$4010,0)),""))</f>
        <v/>
      </c>
      <c r="AH557" s="10" t="str">
        <f>IF(AE557="","",IFERROR(INDEX($AQ$11:$AQ$4010,MATCH(547,$AZ$11:$AZ$4010,0)),""))</f>
        <v/>
      </c>
      <c r="AI557" s="15" t="str">
        <f>IF(AE557="","",IFERROR(INDEX($AR$11:$AR$4010,MATCH(547,$AZ$11:$AZ$4010,0)),""))</f>
        <v/>
      </c>
      <c r="AJ557" s="15" t="str">
        <f>IF(AE557="","",IFERROR(INDEX($AT$11:$AT$4010,MATCH(547,$AZ$11:$AZ$4010,0)),""))</f>
        <v/>
      </c>
      <c r="AL557" s="17"/>
      <c r="AM557" s="12"/>
      <c r="AN557" s="18"/>
      <c r="AO557" s="18"/>
      <c r="AP557" s="10"/>
      <c r="AQ557" s="10"/>
      <c r="AR557" s="19"/>
      <c r="AS557" s="20"/>
      <c r="AT557" s="19"/>
      <c r="AV557" s="21">
        <f>IF(AND($AL557&lt;&gt;"",COUNTIF($AL$11:$AL557,$AL557)=1),1,0)</f>
        <v>0</v>
      </c>
      <c r="AW557" s="21">
        <f t="shared" si="103"/>
        <v>0</v>
      </c>
      <c r="AX557" s="21" t="str">
        <f t="shared" si="102"/>
        <v/>
      </c>
      <c r="AY557" s="21" t="str">
        <f>IF(AND($AM557&lt;&gt;"",$AS557&lt;&gt;"✓"),SUMPRODUCT(($AM$11:$AM557&lt;&gt;"")*($AS$11:$AS557&lt;&gt;"✓")),"")</f>
        <v/>
      </c>
      <c r="AZ557" s="21" t="str">
        <f>IF(AND($AM557&lt;&gt;"",$AS557="✓"),SUMPRODUCT(($AM$11:$AM557&lt;&gt;"")*($AS$11:$AS557="✓")),"")</f>
        <v/>
      </c>
      <c r="BA557" s="21" t="str">
        <f>IF($AL557="","",$AL557&amp;"|"&amp;COUNTIF($AL$11:$AL557,$AL557))</f>
        <v/>
      </c>
    </row>
    <row r="558" spans="23:53" ht="15" customHeight="1" x14ac:dyDescent="0.25">
      <c r="W558" s="28" t="str">
        <f>IF(X558="","",IFERROR(INDEX($AL$11:$AL$4010,MATCH(548,$AY$11:$AY$4010,0)),""))</f>
        <v/>
      </c>
      <c r="X558" s="26" t="str">
        <f>IFERROR(INDEX($AM$11:$AM$4010,MATCH(548,$AY$11:$AY$4010,0)),"")</f>
        <v/>
      </c>
      <c r="Y558" s="25" t="str">
        <f>IF(X558="","",IFERROR(INDEX($AN$11:$AN$4010,MATCH(548,$AY$11:$AY$4010,0)),""))</f>
        <v/>
      </c>
      <c r="Z558" s="25" t="str">
        <f>IF(X558="","",IFERROR(INDEX($AO$11:$AO$4010,MATCH(548,$AY$11:$AY$4010,0)),""))</f>
        <v/>
      </c>
      <c r="AA558" s="24" t="str">
        <f>IF(X558="","",IFERROR(INDEX($AQ$11:$AQ$4010,MATCH(548,$AY$11:$AY$4010,0)),""))</f>
        <v/>
      </c>
      <c r="AB558" s="29" t="str">
        <f>IF(X558="","",IFERROR(INDEX($AR$11:$AR$4010,MATCH(548,$AY$11:$AY$4010,0)),""))</f>
        <v/>
      </c>
      <c r="AD558" s="30" t="str">
        <f>IF(AE558="","",IFERROR(INDEX($AL$11:$AL$4010,MATCH(548,$AZ$11:$AZ$4010,0)),""))</f>
        <v/>
      </c>
      <c r="AE558" s="26" t="str">
        <f>IFERROR(INDEX($AM$11:$AM$4010,MATCH(548,$AZ$11:$AZ$4010,0)),"")</f>
        <v/>
      </c>
      <c r="AF558" s="25" t="str">
        <f>IF(AE558="","",IFERROR(INDEX($AN$11:$AN$4010,MATCH(548,$AZ$11:$AZ$4010,0)),""))</f>
        <v/>
      </c>
      <c r="AG558" s="25" t="str">
        <f>IF(AE558="","",IFERROR(INDEX($AO$11:$AO$4010,MATCH(548,$AZ$11:$AZ$4010,0)),""))</f>
        <v/>
      </c>
      <c r="AH558" s="24" t="str">
        <f>IF(AE558="","",IFERROR(INDEX($AQ$11:$AQ$4010,MATCH(548,$AZ$11:$AZ$4010,0)),""))</f>
        <v/>
      </c>
      <c r="AI558" s="29" t="str">
        <f>IF(AE558="","",IFERROR(INDEX($AR$11:$AR$4010,MATCH(548,$AZ$11:$AZ$4010,0)),""))</f>
        <v/>
      </c>
      <c r="AJ558" s="29" t="str">
        <f>IF(AE558="","",IFERROR(INDEX($AT$11:$AT$4010,MATCH(548,$AZ$11:$AZ$4010,0)),""))</f>
        <v/>
      </c>
      <c r="AL558" s="31"/>
      <c r="AM558" s="26"/>
      <c r="AN558" s="32"/>
      <c r="AO558" s="32"/>
      <c r="AP558" s="24"/>
      <c r="AQ558" s="24"/>
      <c r="AR558" s="33"/>
      <c r="AS558" s="34"/>
      <c r="AT558" s="33"/>
      <c r="AV558" s="21">
        <f>IF(AND($AL558&lt;&gt;"",COUNTIF($AL$11:$AL558,$AL558)=1),1,0)</f>
        <v>0</v>
      </c>
      <c r="AW558" s="21">
        <f t="shared" si="103"/>
        <v>0</v>
      </c>
      <c r="AX558" s="21" t="str">
        <f t="shared" si="102"/>
        <v/>
      </c>
      <c r="AY558" s="21" t="str">
        <f>IF(AND($AM558&lt;&gt;"",$AS558&lt;&gt;"✓"),SUMPRODUCT(($AM$11:$AM558&lt;&gt;"")*($AS$11:$AS558&lt;&gt;"✓")),"")</f>
        <v/>
      </c>
      <c r="AZ558" s="21" t="str">
        <f>IF(AND($AM558&lt;&gt;"",$AS558="✓"),SUMPRODUCT(($AM$11:$AM558&lt;&gt;"")*($AS$11:$AS558="✓")),"")</f>
        <v/>
      </c>
      <c r="BA558" s="21" t="str">
        <f>IF($AL558="","",$AL558&amp;"|"&amp;COUNTIF($AL$11:$AL558,$AL558))</f>
        <v/>
      </c>
    </row>
    <row r="559" spans="23:53" ht="15" customHeight="1" x14ac:dyDescent="0.25">
      <c r="W559" s="14" t="str">
        <f>IF(X559="","",IFERROR(INDEX($AL$11:$AL$4010,MATCH(549,$AY$11:$AY$4010,0)),""))</f>
        <v/>
      </c>
      <c r="X559" s="12" t="str">
        <f>IFERROR(INDEX($AM$11:$AM$4010,MATCH(549,$AY$11:$AY$4010,0)),"")</f>
        <v/>
      </c>
      <c r="Y559" s="11" t="str">
        <f>IF(X559="","",IFERROR(INDEX($AN$11:$AN$4010,MATCH(549,$AY$11:$AY$4010,0)),""))</f>
        <v/>
      </c>
      <c r="Z559" s="11" t="str">
        <f>IF(X559="","",IFERROR(INDEX($AO$11:$AO$4010,MATCH(549,$AY$11:$AY$4010,0)),""))</f>
        <v/>
      </c>
      <c r="AA559" s="10" t="str">
        <f>IF(X559="","",IFERROR(INDEX($AQ$11:$AQ$4010,MATCH(549,$AY$11:$AY$4010,0)),""))</f>
        <v/>
      </c>
      <c r="AB559" s="15" t="str">
        <f>IF(X559="","",IFERROR(INDEX($AR$11:$AR$4010,MATCH(549,$AY$11:$AY$4010,0)),""))</f>
        <v/>
      </c>
      <c r="AD559" s="16" t="str">
        <f>IF(AE559="","",IFERROR(INDEX($AL$11:$AL$4010,MATCH(549,$AZ$11:$AZ$4010,0)),""))</f>
        <v/>
      </c>
      <c r="AE559" s="12" t="str">
        <f>IFERROR(INDEX($AM$11:$AM$4010,MATCH(549,$AZ$11:$AZ$4010,0)),"")</f>
        <v/>
      </c>
      <c r="AF559" s="11" t="str">
        <f>IF(AE559="","",IFERROR(INDEX($AN$11:$AN$4010,MATCH(549,$AZ$11:$AZ$4010,0)),""))</f>
        <v/>
      </c>
      <c r="AG559" s="11" t="str">
        <f>IF(AE559="","",IFERROR(INDEX($AO$11:$AO$4010,MATCH(549,$AZ$11:$AZ$4010,0)),""))</f>
        <v/>
      </c>
      <c r="AH559" s="10" t="str">
        <f>IF(AE559="","",IFERROR(INDEX($AQ$11:$AQ$4010,MATCH(549,$AZ$11:$AZ$4010,0)),""))</f>
        <v/>
      </c>
      <c r="AI559" s="15" t="str">
        <f>IF(AE559="","",IFERROR(INDEX($AR$11:$AR$4010,MATCH(549,$AZ$11:$AZ$4010,0)),""))</f>
        <v/>
      </c>
      <c r="AJ559" s="15" t="str">
        <f>IF(AE559="","",IFERROR(INDEX($AT$11:$AT$4010,MATCH(549,$AZ$11:$AZ$4010,0)),""))</f>
        <v/>
      </c>
      <c r="AL559" s="17"/>
      <c r="AM559" s="12"/>
      <c r="AN559" s="18"/>
      <c r="AO559" s="18"/>
      <c r="AP559" s="10"/>
      <c r="AQ559" s="10"/>
      <c r="AR559" s="19"/>
      <c r="AS559" s="20"/>
      <c r="AT559" s="19"/>
      <c r="AV559" s="21">
        <f>IF(AND($AL559&lt;&gt;"",COUNTIF($AL$11:$AL559,$AL559)=1),1,0)</f>
        <v>0</v>
      </c>
      <c r="AW559" s="21">
        <f t="shared" si="103"/>
        <v>0</v>
      </c>
      <c r="AX559" s="21" t="str">
        <f t="shared" si="102"/>
        <v/>
      </c>
      <c r="AY559" s="21" t="str">
        <f>IF(AND($AM559&lt;&gt;"",$AS559&lt;&gt;"✓"),SUMPRODUCT(($AM$11:$AM559&lt;&gt;"")*($AS$11:$AS559&lt;&gt;"✓")),"")</f>
        <v/>
      </c>
      <c r="AZ559" s="21" t="str">
        <f>IF(AND($AM559&lt;&gt;"",$AS559="✓"),SUMPRODUCT(($AM$11:$AM559&lt;&gt;"")*($AS$11:$AS559="✓")),"")</f>
        <v/>
      </c>
      <c r="BA559" s="21" t="str">
        <f>IF($AL559="","",$AL559&amp;"|"&amp;COUNTIF($AL$11:$AL559,$AL559))</f>
        <v/>
      </c>
    </row>
    <row r="560" spans="23:53" ht="15" customHeight="1" x14ac:dyDescent="0.25">
      <c r="W560" s="28" t="str">
        <f>IF(X560="","",IFERROR(INDEX($AL$11:$AL$4010,MATCH(550,$AY$11:$AY$4010,0)),""))</f>
        <v/>
      </c>
      <c r="X560" s="26" t="str">
        <f>IFERROR(INDEX($AM$11:$AM$4010,MATCH(550,$AY$11:$AY$4010,0)),"")</f>
        <v/>
      </c>
      <c r="Y560" s="25" t="str">
        <f>IF(X560="","",IFERROR(INDEX($AN$11:$AN$4010,MATCH(550,$AY$11:$AY$4010,0)),""))</f>
        <v/>
      </c>
      <c r="Z560" s="25" t="str">
        <f>IF(X560="","",IFERROR(INDEX($AO$11:$AO$4010,MATCH(550,$AY$11:$AY$4010,0)),""))</f>
        <v/>
      </c>
      <c r="AA560" s="24" t="str">
        <f>IF(X560="","",IFERROR(INDEX($AQ$11:$AQ$4010,MATCH(550,$AY$11:$AY$4010,0)),""))</f>
        <v/>
      </c>
      <c r="AB560" s="29" t="str">
        <f>IF(X560="","",IFERROR(INDEX($AR$11:$AR$4010,MATCH(550,$AY$11:$AY$4010,0)),""))</f>
        <v/>
      </c>
      <c r="AD560" s="30" t="str">
        <f>IF(AE560="","",IFERROR(INDEX($AL$11:$AL$4010,MATCH(550,$AZ$11:$AZ$4010,0)),""))</f>
        <v/>
      </c>
      <c r="AE560" s="26" t="str">
        <f>IFERROR(INDEX($AM$11:$AM$4010,MATCH(550,$AZ$11:$AZ$4010,0)),"")</f>
        <v/>
      </c>
      <c r="AF560" s="25" t="str">
        <f>IF(AE560="","",IFERROR(INDEX($AN$11:$AN$4010,MATCH(550,$AZ$11:$AZ$4010,0)),""))</f>
        <v/>
      </c>
      <c r="AG560" s="25" t="str">
        <f>IF(AE560="","",IFERROR(INDEX($AO$11:$AO$4010,MATCH(550,$AZ$11:$AZ$4010,0)),""))</f>
        <v/>
      </c>
      <c r="AH560" s="24" t="str">
        <f>IF(AE560="","",IFERROR(INDEX($AQ$11:$AQ$4010,MATCH(550,$AZ$11:$AZ$4010,0)),""))</f>
        <v/>
      </c>
      <c r="AI560" s="29" t="str">
        <f>IF(AE560="","",IFERROR(INDEX($AR$11:$AR$4010,MATCH(550,$AZ$11:$AZ$4010,0)),""))</f>
        <v/>
      </c>
      <c r="AJ560" s="29" t="str">
        <f>IF(AE560="","",IFERROR(INDEX($AT$11:$AT$4010,MATCH(550,$AZ$11:$AZ$4010,0)),""))</f>
        <v/>
      </c>
      <c r="AL560" s="31"/>
      <c r="AM560" s="26"/>
      <c r="AN560" s="32"/>
      <c r="AO560" s="32"/>
      <c r="AP560" s="24"/>
      <c r="AQ560" s="24"/>
      <c r="AR560" s="33"/>
      <c r="AS560" s="34"/>
      <c r="AT560" s="33"/>
      <c r="AV560" s="21">
        <f>IF(AND($AL560&lt;&gt;"",COUNTIF($AL$11:$AL560,$AL560)=1),1,0)</f>
        <v>0</v>
      </c>
      <c r="AW560" s="21">
        <f t="shared" si="103"/>
        <v>0</v>
      </c>
      <c r="AX560" s="21" t="str">
        <f t="shared" si="102"/>
        <v/>
      </c>
      <c r="AY560" s="21" t="str">
        <f>IF(AND($AM560&lt;&gt;"",$AS560&lt;&gt;"✓"),SUMPRODUCT(($AM$11:$AM560&lt;&gt;"")*($AS$11:$AS560&lt;&gt;"✓")),"")</f>
        <v/>
      </c>
      <c r="AZ560" s="21" t="str">
        <f>IF(AND($AM560&lt;&gt;"",$AS560="✓"),SUMPRODUCT(($AM$11:$AM560&lt;&gt;"")*($AS$11:$AS560="✓")),"")</f>
        <v/>
      </c>
      <c r="BA560" s="21" t="str">
        <f>IF($AL560="","",$AL560&amp;"|"&amp;COUNTIF($AL$11:$AL560,$AL560))</f>
        <v/>
      </c>
    </row>
    <row r="561" spans="23:53" ht="15" customHeight="1" x14ac:dyDescent="0.25">
      <c r="W561" s="14" t="str">
        <f>IF(X561="","",IFERROR(INDEX($AL$11:$AL$4010,MATCH(551,$AY$11:$AY$4010,0)),""))</f>
        <v/>
      </c>
      <c r="X561" s="12" t="str">
        <f>IFERROR(INDEX($AM$11:$AM$4010,MATCH(551,$AY$11:$AY$4010,0)),"")</f>
        <v/>
      </c>
      <c r="Y561" s="11" t="str">
        <f>IF(X561="","",IFERROR(INDEX($AN$11:$AN$4010,MATCH(551,$AY$11:$AY$4010,0)),""))</f>
        <v/>
      </c>
      <c r="Z561" s="11" t="str">
        <f>IF(X561="","",IFERROR(INDEX($AO$11:$AO$4010,MATCH(551,$AY$11:$AY$4010,0)),""))</f>
        <v/>
      </c>
      <c r="AA561" s="10" t="str">
        <f>IF(X561="","",IFERROR(INDEX($AQ$11:$AQ$4010,MATCH(551,$AY$11:$AY$4010,0)),""))</f>
        <v/>
      </c>
      <c r="AB561" s="15" t="str">
        <f>IF(X561="","",IFERROR(INDEX($AR$11:$AR$4010,MATCH(551,$AY$11:$AY$4010,0)),""))</f>
        <v/>
      </c>
      <c r="AD561" s="16" t="str">
        <f>IF(AE561="","",IFERROR(INDEX($AL$11:$AL$4010,MATCH(551,$AZ$11:$AZ$4010,0)),""))</f>
        <v/>
      </c>
      <c r="AE561" s="12" t="str">
        <f>IFERROR(INDEX($AM$11:$AM$4010,MATCH(551,$AZ$11:$AZ$4010,0)),"")</f>
        <v/>
      </c>
      <c r="AF561" s="11" t="str">
        <f>IF(AE561="","",IFERROR(INDEX($AN$11:$AN$4010,MATCH(551,$AZ$11:$AZ$4010,0)),""))</f>
        <v/>
      </c>
      <c r="AG561" s="11" t="str">
        <f>IF(AE561="","",IFERROR(INDEX($AO$11:$AO$4010,MATCH(551,$AZ$11:$AZ$4010,0)),""))</f>
        <v/>
      </c>
      <c r="AH561" s="10" t="str">
        <f>IF(AE561="","",IFERROR(INDEX($AQ$11:$AQ$4010,MATCH(551,$AZ$11:$AZ$4010,0)),""))</f>
        <v/>
      </c>
      <c r="AI561" s="15" t="str">
        <f>IF(AE561="","",IFERROR(INDEX($AR$11:$AR$4010,MATCH(551,$AZ$11:$AZ$4010,0)),""))</f>
        <v/>
      </c>
      <c r="AJ561" s="15" t="str">
        <f>IF(AE561="","",IFERROR(INDEX($AT$11:$AT$4010,MATCH(551,$AZ$11:$AZ$4010,0)),""))</f>
        <v/>
      </c>
      <c r="AL561" s="17"/>
      <c r="AM561" s="12"/>
      <c r="AN561" s="18"/>
      <c r="AO561" s="18"/>
      <c r="AP561" s="10"/>
      <c r="AQ561" s="10"/>
      <c r="AR561" s="19"/>
      <c r="AS561" s="20"/>
      <c r="AT561" s="19"/>
      <c r="AV561" s="21">
        <f>IF(AND($AL561&lt;&gt;"",COUNTIF($AL$11:$AL561,$AL561)=1),1,0)</f>
        <v>0</v>
      </c>
      <c r="AW561" s="21">
        <f t="shared" si="103"/>
        <v>0</v>
      </c>
      <c r="AX561" s="21" t="str">
        <f t="shared" si="102"/>
        <v/>
      </c>
      <c r="AY561" s="21" t="str">
        <f>IF(AND($AM561&lt;&gt;"",$AS561&lt;&gt;"✓"),SUMPRODUCT(($AM$11:$AM561&lt;&gt;"")*($AS$11:$AS561&lt;&gt;"✓")),"")</f>
        <v/>
      </c>
      <c r="AZ561" s="21" t="str">
        <f>IF(AND($AM561&lt;&gt;"",$AS561="✓"),SUMPRODUCT(($AM$11:$AM561&lt;&gt;"")*($AS$11:$AS561="✓")),"")</f>
        <v/>
      </c>
      <c r="BA561" s="21" t="str">
        <f>IF($AL561="","",$AL561&amp;"|"&amp;COUNTIF($AL$11:$AL561,$AL561))</f>
        <v/>
      </c>
    </row>
    <row r="562" spans="23:53" ht="15" customHeight="1" x14ac:dyDescent="0.25">
      <c r="W562" s="28" t="str">
        <f>IF(X562="","",IFERROR(INDEX($AL$11:$AL$4010,MATCH(552,$AY$11:$AY$4010,0)),""))</f>
        <v/>
      </c>
      <c r="X562" s="26" t="str">
        <f>IFERROR(INDEX($AM$11:$AM$4010,MATCH(552,$AY$11:$AY$4010,0)),"")</f>
        <v/>
      </c>
      <c r="Y562" s="25" t="str">
        <f>IF(X562="","",IFERROR(INDEX($AN$11:$AN$4010,MATCH(552,$AY$11:$AY$4010,0)),""))</f>
        <v/>
      </c>
      <c r="Z562" s="25" t="str">
        <f>IF(X562="","",IFERROR(INDEX($AO$11:$AO$4010,MATCH(552,$AY$11:$AY$4010,0)),""))</f>
        <v/>
      </c>
      <c r="AA562" s="24" t="str">
        <f>IF(X562="","",IFERROR(INDEX($AQ$11:$AQ$4010,MATCH(552,$AY$11:$AY$4010,0)),""))</f>
        <v/>
      </c>
      <c r="AB562" s="29" t="str">
        <f>IF(X562="","",IFERROR(INDEX($AR$11:$AR$4010,MATCH(552,$AY$11:$AY$4010,0)),""))</f>
        <v/>
      </c>
      <c r="AD562" s="30" t="str">
        <f>IF(AE562="","",IFERROR(INDEX($AL$11:$AL$4010,MATCH(552,$AZ$11:$AZ$4010,0)),""))</f>
        <v/>
      </c>
      <c r="AE562" s="26" t="str">
        <f>IFERROR(INDEX($AM$11:$AM$4010,MATCH(552,$AZ$11:$AZ$4010,0)),"")</f>
        <v/>
      </c>
      <c r="AF562" s="25" t="str">
        <f>IF(AE562="","",IFERROR(INDEX($AN$11:$AN$4010,MATCH(552,$AZ$11:$AZ$4010,0)),""))</f>
        <v/>
      </c>
      <c r="AG562" s="25" t="str">
        <f>IF(AE562="","",IFERROR(INDEX($AO$11:$AO$4010,MATCH(552,$AZ$11:$AZ$4010,0)),""))</f>
        <v/>
      </c>
      <c r="AH562" s="24" t="str">
        <f>IF(AE562="","",IFERROR(INDEX($AQ$11:$AQ$4010,MATCH(552,$AZ$11:$AZ$4010,0)),""))</f>
        <v/>
      </c>
      <c r="AI562" s="29" t="str">
        <f>IF(AE562="","",IFERROR(INDEX($AR$11:$AR$4010,MATCH(552,$AZ$11:$AZ$4010,0)),""))</f>
        <v/>
      </c>
      <c r="AJ562" s="29" t="str">
        <f>IF(AE562="","",IFERROR(INDEX($AT$11:$AT$4010,MATCH(552,$AZ$11:$AZ$4010,0)),""))</f>
        <v/>
      </c>
      <c r="AL562" s="31"/>
      <c r="AM562" s="26"/>
      <c r="AN562" s="32"/>
      <c r="AO562" s="32"/>
      <c r="AP562" s="24"/>
      <c r="AQ562" s="24"/>
      <c r="AR562" s="33"/>
      <c r="AS562" s="34"/>
      <c r="AT562" s="33"/>
      <c r="AV562" s="21">
        <f>IF(AND($AL562&lt;&gt;"",COUNTIF($AL$11:$AL562,$AL562)=1),1,0)</f>
        <v>0</v>
      </c>
      <c r="AW562" s="21">
        <f t="shared" si="103"/>
        <v>0</v>
      </c>
      <c r="AX562" s="21" t="str">
        <f t="shared" si="102"/>
        <v/>
      </c>
      <c r="AY562" s="21" t="str">
        <f>IF(AND($AM562&lt;&gt;"",$AS562&lt;&gt;"✓"),SUMPRODUCT(($AM$11:$AM562&lt;&gt;"")*($AS$11:$AS562&lt;&gt;"✓")),"")</f>
        <v/>
      </c>
      <c r="AZ562" s="21" t="str">
        <f>IF(AND($AM562&lt;&gt;"",$AS562="✓"),SUMPRODUCT(($AM$11:$AM562&lt;&gt;"")*($AS$11:$AS562="✓")),"")</f>
        <v/>
      </c>
      <c r="BA562" s="21" t="str">
        <f>IF($AL562="","",$AL562&amp;"|"&amp;COUNTIF($AL$11:$AL562,$AL562))</f>
        <v/>
      </c>
    </row>
    <row r="563" spans="23:53" ht="15" customHeight="1" x14ac:dyDescent="0.25">
      <c r="W563" s="14" t="str">
        <f>IF(X563="","",IFERROR(INDEX($AL$11:$AL$4010,MATCH(553,$AY$11:$AY$4010,0)),""))</f>
        <v/>
      </c>
      <c r="X563" s="12" t="str">
        <f>IFERROR(INDEX($AM$11:$AM$4010,MATCH(553,$AY$11:$AY$4010,0)),"")</f>
        <v/>
      </c>
      <c r="Y563" s="11" t="str">
        <f>IF(X563="","",IFERROR(INDEX($AN$11:$AN$4010,MATCH(553,$AY$11:$AY$4010,0)),""))</f>
        <v/>
      </c>
      <c r="Z563" s="11" t="str">
        <f>IF(X563="","",IFERROR(INDEX($AO$11:$AO$4010,MATCH(553,$AY$11:$AY$4010,0)),""))</f>
        <v/>
      </c>
      <c r="AA563" s="10" t="str">
        <f>IF(X563="","",IFERROR(INDEX($AQ$11:$AQ$4010,MATCH(553,$AY$11:$AY$4010,0)),""))</f>
        <v/>
      </c>
      <c r="AB563" s="15" t="str">
        <f>IF(X563="","",IFERROR(INDEX($AR$11:$AR$4010,MATCH(553,$AY$11:$AY$4010,0)),""))</f>
        <v/>
      </c>
      <c r="AD563" s="16" t="str">
        <f>IF(AE563="","",IFERROR(INDEX($AL$11:$AL$4010,MATCH(553,$AZ$11:$AZ$4010,0)),""))</f>
        <v/>
      </c>
      <c r="AE563" s="12" t="str">
        <f>IFERROR(INDEX($AM$11:$AM$4010,MATCH(553,$AZ$11:$AZ$4010,0)),"")</f>
        <v/>
      </c>
      <c r="AF563" s="11" t="str">
        <f>IF(AE563="","",IFERROR(INDEX($AN$11:$AN$4010,MATCH(553,$AZ$11:$AZ$4010,0)),""))</f>
        <v/>
      </c>
      <c r="AG563" s="11" t="str">
        <f>IF(AE563="","",IFERROR(INDEX($AO$11:$AO$4010,MATCH(553,$AZ$11:$AZ$4010,0)),""))</f>
        <v/>
      </c>
      <c r="AH563" s="10" t="str">
        <f>IF(AE563="","",IFERROR(INDEX($AQ$11:$AQ$4010,MATCH(553,$AZ$11:$AZ$4010,0)),""))</f>
        <v/>
      </c>
      <c r="AI563" s="15" t="str">
        <f>IF(AE563="","",IFERROR(INDEX($AR$11:$AR$4010,MATCH(553,$AZ$11:$AZ$4010,0)),""))</f>
        <v/>
      </c>
      <c r="AJ563" s="15" t="str">
        <f>IF(AE563="","",IFERROR(INDEX($AT$11:$AT$4010,MATCH(553,$AZ$11:$AZ$4010,0)),""))</f>
        <v/>
      </c>
      <c r="AL563" s="17"/>
      <c r="AM563" s="12"/>
      <c r="AN563" s="18"/>
      <c r="AO563" s="18"/>
      <c r="AP563" s="10"/>
      <c r="AQ563" s="10"/>
      <c r="AR563" s="19"/>
      <c r="AS563" s="20"/>
      <c r="AT563" s="19"/>
      <c r="AV563" s="21">
        <f>IF(AND($AL563&lt;&gt;"",COUNTIF($AL$11:$AL563,$AL563)=1),1,0)</f>
        <v>0</v>
      </c>
      <c r="AW563" s="21">
        <f t="shared" si="103"/>
        <v>0</v>
      </c>
      <c r="AX563" s="21" t="str">
        <f t="shared" si="102"/>
        <v/>
      </c>
      <c r="AY563" s="21" t="str">
        <f>IF(AND($AM563&lt;&gt;"",$AS563&lt;&gt;"✓"),SUMPRODUCT(($AM$11:$AM563&lt;&gt;"")*($AS$11:$AS563&lt;&gt;"✓")),"")</f>
        <v/>
      </c>
      <c r="AZ563" s="21" t="str">
        <f>IF(AND($AM563&lt;&gt;"",$AS563="✓"),SUMPRODUCT(($AM$11:$AM563&lt;&gt;"")*($AS$11:$AS563="✓")),"")</f>
        <v/>
      </c>
      <c r="BA563" s="21" t="str">
        <f>IF($AL563="","",$AL563&amp;"|"&amp;COUNTIF($AL$11:$AL563,$AL563))</f>
        <v/>
      </c>
    </row>
    <row r="564" spans="23:53" ht="15" customHeight="1" x14ac:dyDescent="0.25">
      <c r="W564" s="28" t="str">
        <f>IF(X564="","",IFERROR(INDEX($AL$11:$AL$4010,MATCH(554,$AY$11:$AY$4010,0)),""))</f>
        <v/>
      </c>
      <c r="X564" s="26" t="str">
        <f>IFERROR(INDEX($AM$11:$AM$4010,MATCH(554,$AY$11:$AY$4010,0)),"")</f>
        <v/>
      </c>
      <c r="Y564" s="25" t="str">
        <f>IF(X564="","",IFERROR(INDEX($AN$11:$AN$4010,MATCH(554,$AY$11:$AY$4010,0)),""))</f>
        <v/>
      </c>
      <c r="Z564" s="25" t="str">
        <f>IF(X564="","",IFERROR(INDEX($AO$11:$AO$4010,MATCH(554,$AY$11:$AY$4010,0)),""))</f>
        <v/>
      </c>
      <c r="AA564" s="24" t="str">
        <f>IF(X564="","",IFERROR(INDEX($AQ$11:$AQ$4010,MATCH(554,$AY$11:$AY$4010,0)),""))</f>
        <v/>
      </c>
      <c r="AB564" s="29" t="str">
        <f>IF(X564="","",IFERROR(INDEX($AR$11:$AR$4010,MATCH(554,$AY$11:$AY$4010,0)),""))</f>
        <v/>
      </c>
      <c r="AD564" s="30" t="str">
        <f>IF(AE564="","",IFERROR(INDEX($AL$11:$AL$4010,MATCH(554,$AZ$11:$AZ$4010,0)),""))</f>
        <v/>
      </c>
      <c r="AE564" s="26" t="str">
        <f>IFERROR(INDEX($AM$11:$AM$4010,MATCH(554,$AZ$11:$AZ$4010,0)),"")</f>
        <v/>
      </c>
      <c r="AF564" s="25" t="str">
        <f>IF(AE564="","",IFERROR(INDEX($AN$11:$AN$4010,MATCH(554,$AZ$11:$AZ$4010,0)),""))</f>
        <v/>
      </c>
      <c r="AG564" s="25" t="str">
        <f>IF(AE564="","",IFERROR(INDEX($AO$11:$AO$4010,MATCH(554,$AZ$11:$AZ$4010,0)),""))</f>
        <v/>
      </c>
      <c r="AH564" s="24" t="str">
        <f>IF(AE564="","",IFERROR(INDEX($AQ$11:$AQ$4010,MATCH(554,$AZ$11:$AZ$4010,0)),""))</f>
        <v/>
      </c>
      <c r="AI564" s="29" t="str">
        <f>IF(AE564="","",IFERROR(INDEX($AR$11:$AR$4010,MATCH(554,$AZ$11:$AZ$4010,0)),""))</f>
        <v/>
      </c>
      <c r="AJ564" s="29" t="str">
        <f>IF(AE564="","",IFERROR(INDEX($AT$11:$AT$4010,MATCH(554,$AZ$11:$AZ$4010,0)),""))</f>
        <v/>
      </c>
      <c r="AL564" s="31"/>
      <c r="AM564" s="26"/>
      <c r="AN564" s="32"/>
      <c r="AO564" s="32"/>
      <c r="AP564" s="24"/>
      <c r="AQ564" s="24"/>
      <c r="AR564" s="33"/>
      <c r="AS564" s="34"/>
      <c r="AT564" s="33"/>
      <c r="AV564" s="21">
        <f>IF(AND($AL564&lt;&gt;"",COUNTIF($AL$11:$AL564,$AL564)=1),1,0)</f>
        <v>0</v>
      </c>
      <c r="AW564" s="21">
        <f t="shared" si="103"/>
        <v>0</v>
      </c>
      <c r="AX564" s="21" t="str">
        <f t="shared" si="102"/>
        <v/>
      </c>
      <c r="AY564" s="21" t="str">
        <f>IF(AND($AM564&lt;&gt;"",$AS564&lt;&gt;"✓"),SUMPRODUCT(($AM$11:$AM564&lt;&gt;"")*($AS$11:$AS564&lt;&gt;"✓")),"")</f>
        <v/>
      </c>
      <c r="AZ564" s="21" t="str">
        <f>IF(AND($AM564&lt;&gt;"",$AS564="✓"),SUMPRODUCT(($AM$11:$AM564&lt;&gt;"")*($AS$11:$AS564="✓")),"")</f>
        <v/>
      </c>
      <c r="BA564" s="21" t="str">
        <f>IF($AL564="","",$AL564&amp;"|"&amp;COUNTIF($AL$11:$AL564,$AL564))</f>
        <v/>
      </c>
    </row>
    <row r="565" spans="23:53" ht="15" customHeight="1" x14ac:dyDescent="0.25">
      <c r="W565" s="14" t="str">
        <f>IF(X565="","",IFERROR(INDEX($AL$11:$AL$4010,MATCH(555,$AY$11:$AY$4010,0)),""))</f>
        <v/>
      </c>
      <c r="X565" s="12" t="str">
        <f>IFERROR(INDEX($AM$11:$AM$4010,MATCH(555,$AY$11:$AY$4010,0)),"")</f>
        <v/>
      </c>
      <c r="Y565" s="11" t="str">
        <f>IF(X565="","",IFERROR(INDEX($AN$11:$AN$4010,MATCH(555,$AY$11:$AY$4010,0)),""))</f>
        <v/>
      </c>
      <c r="Z565" s="11" t="str">
        <f>IF(X565="","",IFERROR(INDEX($AO$11:$AO$4010,MATCH(555,$AY$11:$AY$4010,0)),""))</f>
        <v/>
      </c>
      <c r="AA565" s="10" t="str">
        <f>IF(X565="","",IFERROR(INDEX($AQ$11:$AQ$4010,MATCH(555,$AY$11:$AY$4010,0)),""))</f>
        <v/>
      </c>
      <c r="AB565" s="15" t="str">
        <f>IF(X565="","",IFERROR(INDEX($AR$11:$AR$4010,MATCH(555,$AY$11:$AY$4010,0)),""))</f>
        <v/>
      </c>
      <c r="AD565" s="16" t="str">
        <f>IF(AE565="","",IFERROR(INDEX($AL$11:$AL$4010,MATCH(555,$AZ$11:$AZ$4010,0)),""))</f>
        <v/>
      </c>
      <c r="AE565" s="12" t="str">
        <f>IFERROR(INDEX($AM$11:$AM$4010,MATCH(555,$AZ$11:$AZ$4010,0)),"")</f>
        <v/>
      </c>
      <c r="AF565" s="11" t="str">
        <f>IF(AE565="","",IFERROR(INDEX($AN$11:$AN$4010,MATCH(555,$AZ$11:$AZ$4010,0)),""))</f>
        <v/>
      </c>
      <c r="AG565" s="11" t="str">
        <f>IF(AE565="","",IFERROR(INDEX($AO$11:$AO$4010,MATCH(555,$AZ$11:$AZ$4010,0)),""))</f>
        <v/>
      </c>
      <c r="AH565" s="10" t="str">
        <f>IF(AE565="","",IFERROR(INDEX($AQ$11:$AQ$4010,MATCH(555,$AZ$11:$AZ$4010,0)),""))</f>
        <v/>
      </c>
      <c r="AI565" s="15" t="str">
        <f>IF(AE565="","",IFERROR(INDEX($AR$11:$AR$4010,MATCH(555,$AZ$11:$AZ$4010,0)),""))</f>
        <v/>
      </c>
      <c r="AJ565" s="15" t="str">
        <f>IF(AE565="","",IFERROR(INDEX($AT$11:$AT$4010,MATCH(555,$AZ$11:$AZ$4010,0)),""))</f>
        <v/>
      </c>
      <c r="AL565" s="17"/>
      <c r="AM565" s="12"/>
      <c r="AN565" s="18"/>
      <c r="AO565" s="18"/>
      <c r="AP565" s="10"/>
      <c r="AQ565" s="10"/>
      <c r="AR565" s="19"/>
      <c r="AS565" s="20"/>
      <c r="AT565" s="19"/>
      <c r="AV565" s="21">
        <f>IF(AND($AL565&lt;&gt;"",COUNTIF($AL$11:$AL565,$AL565)=1),1,0)</f>
        <v>0</v>
      </c>
      <c r="AW565" s="21">
        <f t="shared" si="103"/>
        <v>0</v>
      </c>
      <c r="AX565" s="21" t="str">
        <f t="shared" si="102"/>
        <v/>
      </c>
      <c r="AY565" s="21" t="str">
        <f>IF(AND($AM565&lt;&gt;"",$AS565&lt;&gt;"✓"),SUMPRODUCT(($AM$11:$AM565&lt;&gt;"")*($AS$11:$AS565&lt;&gt;"✓")),"")</f>
        <v/>
      </c>
      <c r="AZ565" s="21" t="str">
        <f>IF(AND($AM565&lt;&gt;"",$AS565="✓"),SUMPRODUCT(($AM$11:$AM565&lt;&gt;"")*($AS$11:$AS565="✓")),"")</f>
        <v/>
      </c>
      <c r="BA565" s="21" t="str">
        <f>IF($AL565="","",$AL565&amp;"|"&amp;COUNTIF($AL$11:$AL565,$AL565))</f>
        <v/>
      </c>
    </row>
    <row r="566" spans="23:53" ht="15" customHeight="1" x14ac:dyDescent="0.25">
      <c r="W566" s="28" t="str">
        <f>IF(X566="","",IFERROR(INDEX($AL$11:$AL$4010,MATCH(556,$AY$11:$AY$4010,0)),""))</f>
        <v/>
      </c>
      <c r="X566" s="26" t="str">
        <f>IFERROR(INDEX($AM$11:$AM$4010,MATCH(556,$AY$11:$AY$4010,0)),"")</f>
        <v/>
      </c>
      <c r="Y566" s="25" t="str">
        <f>IF(X566="","",IFERROR(INDEX($AN$11:$AN$4010,MATCH(556,$AY$11:$AY$4010,0)),""))</f>
        <v/>
      </c>
      <c r="Z566" s="25" t="str">
        <f>IF(X566="","",IFERROR(INDEX($AO$11:$AO$4010,MATCH(556,$AY$11:$AY$4010,0)),""))</f>
        <v/>
      </c>
      <c r="AA566" s="24" t="str">
        <f>IF(X566="","",IFERROR(INDEX($AQ$11:$AQ$4010,MATCH(556,$AY$11:$AY$4010,0)),""))</f>
        <v/>
      </c>
      <c r="AB566" s="29" t="str">
        <f>IF(X566="","",IFERROR(INDEX($AR$11:$AR$4010,MATCH(556,$AY$11:$AY$4010,0)),""))</f>
        <v/>
      </c>
      <c r="AD566" s="30" t="str">
        <f>IF(AE566="","",IFERROR(INDEX($AL$11:$AL$4010,MATCH(556,$AZ$11:$AZ$4010,0)),""))</f>
        <v/>
      </c>
      <c r="AE566" s="26" t="str">
        <f>IFERROR(INDEX($AM$11:$AM$4010,MATCH(556,$AZ$11:$AZ$4010,0)),"")</f>
        <v/>
      </c>
      <c r="AF566" s="25" t="str">
        <f>IF(AE566="","",IFERROR(INDEX($AN$11:$AN$4010,MATCH(556,$AZ$11:$AZ$4010,0)),""))</f>
        <v/>
      </c>
      <c r="AG566" s="25" t="str">
        <f>IF(AE566="","",IFERROR(INDEX($AO$11:$AO$4010,MATCH(556,$AZ$11:$AZ$4010,0)),""))</f>
        <v/>
      </c>
      <c r="AH566" s="24" t="str">
        <f>IF(AE566="","",IFERROR(INDEX($AQ$11:$AQ$4010,MATCH(556,$AZ$11:$AZ$4010,0)),""))</f>
        <v/>
      </c>
      <c r="AI566" s="29" t="str">
        <f>IF(AE566="","",IFERROR(INDEX($AR$11:$AR$4010,MATCH(556,$AZ$11:$AZ$4010,0)),""))</f>
        <v/>
      </c>
      <c r="AJ566" s="29" t="str">
        <f>IF(AE566="","",IFERROR(INDEX($AT$11:$AT$4010,MATCH(556,$AZ$11:$AZ$4010,0)),""))</f>
        <v/>
      </c>
      <c r="AL566" s="31"/>
      <c r="AM566" s="26"/>
      <c r="AN566" s="32"/>
      <c r="AO566" s="32"/>
      <c r="AP566" s="24"/>
      <c r="AQ566" s="24"/>
      <c r="AR566" s="33"/>
      <c r="AS566" s="34"/>
      <c r="AT566" s="33"/>
      <c r="AV566" s="21">
        <f>IF(AND($AL566&lt;&gt;"",COUNTIF($AL$11:$AL566,$AL566)=1),1,0)</f>
        <v>0</v>
      </c>
      <c r="AW566" s="21">
        <f t="shared" si="103"/>
        <v>0</v>
      </c>
      <c r="AX566" s="21" t="str">
        <f t="shared" si="102"/>
        <v/>
      </c>
      <c r="AY566" s="21" t="str">
        <f>IF(AND($AM566&lt;&gt;"",$AS566&lt;&gt;"✓"),SUMPRODUCT(($AM$11:$AM566&lt;&gt;"")*($AS$11:$AS566&lt;&gt;"✓")),"")</f>
        <v/>
      </c>
      <c r="AZ566" s="21" t="str">
        <f>IF(AND($AM566&lt;&gt;"",$AS566="✓"),SUMPRODUCT(($AM$11:$AM566&lt;&gt;"")*($AS$11:$AS566="✓")),"")</f>
        <v/>
      </c>
      <c r="BA566" s="21" t="str">
        <f>IF($AL566="","",$AL566&amp;"|"&amp;COUNTIF($AL$11:$AL566,$AL566))</f>
        <v/>
      </c>
    </row>
    <row r="567" spans="23:53" ht="15" customHeight="1" x14ac:dyDescent="0.25">
      <c r="W567" s="14" t="str">
        <f>IF(X567="","",IFERROR(INDEX($AL$11:$AL$4010,MATCH(557,$AY$11:$AY$4010,0)),""))</f>
        <v/>
      </c>
      <c r="X567" s="12" t="str">
        <f>IFERROR(INDEX($AM$11:$AM$4010,MATCH(557,$AY$11:$AY$4010,0)),"")</f>
        <v/>
      </c>
      <c r="Y567" s="11" t="str">
        <f>IF(X567="","",IFERROR(INDEX($AN$11:$AN$4010,MATCH(557,$AY$11:$AY$4010,0)),""))</f>
        <v/>
      </c>
      <c r="Z567" s="11" t="str">
        <f>IF(X567="","",IFERROR(INDEX($AO$11:$AO$4010,MATCH(557,$AY$11:$AY$4010,0)),""))</f>
        <v/>
      </c>
      <c r="AA567" s="10" t="str">
        <f>IF(X567="","",IFERROR(INDEX($AQ$11:$AQ$4010,MATCH(557,$AY$11:$AY$4010,0)),""))</f>
        <v/>
      </c>
      <c r="AB567" s="15" t="str">
        <f>IF(X567="","",IFERROR(INDEX($AR$11:$AR$4010,MATCH(557,$AY$11:$AY$4010,0)),""))</f>
        <v/>
      </c>
      <c r="AD567" s="16" t="str">
        <f>IF(AE567="","",IFERROR(INDEX($AL$11:$AL$4010,MATCH(557,$AZ$11:$AZ$4010,0)),""))</f>
        <v/>
      </c>
      <c r="AE567" s="12" t="str">
        <f>IFERROR(INDEX($AM$11:$AM$4010,MATCH(557,$AZ$11:$AZ$4010,0)),"")</f>
        <v/>
      </c>
      <c r="AF567" s="11" t="str">
        <f>IF(AE567="","",IFERROR(INDEX($AN$11:$AN$4010,MATCH(557,$AZ$11:$AZ$4010,0)),""))</f>
        <v/>
      </c>
      <c r="AG567" s="11" t="str">
        <f>IF(AE567="","",IFERROR(INDEX($AO$11:$AO$4010,MATCH(557,$AZ$11:$AZ$4010,0)),""))</f>
        <v/>
      </c>
      <c r="AH567" s="10" t="str">
        <f>IF(AE567="","",IFERROR(INDEX($AQ$11:$AQ$4010,MATCH(557,$AZ$11:$AZ$4010,0)),""))</f>
        <v/>
      </c>
      <c r="AI567" s="15" t="str">
        <f>IF(AE567="","",IFERROR(INDEX($AR$11:$AR$4010,MATCH(557,$AZ$11:$AZ$4010,0)),""))</f>
        <v/>
      </c>
      <c r="AJ567" s="15" t="str">
        <f>IF(AE567="","",IFERROR(INDEX($AT$11:$AT$4010,MATCH(557,$AZ$11:$AZ$4010,0)),""))</f>
        <v/>
      </c>
      <c r="AL567" s="17"/>
      <c r="AM567" s="12"/>
      <c r="AN567" s="18"/>
      <c r="AO567" s="18"/>
      <c r="AP567" s="10"/>
      <c r="AQ567" s="10"/>
      <c r="AR567" s="19"/>
      <c r="AS567" s="20"/>
      <c r="AT567" s="19"/>
      <c r="AV567" s="21">
        <f>IF(AND($AL567&lt;&gt;"",COUNTIF($AL$11:$AL567,$AL567)=1),1,0)</f>
        <v>0</v>
      </c>
      <c r="AW567" s="21">
        <f t="shared" si="103"/>
        <v>0</v>
      </c>
      <c r="AX567" s="21" t="str">
        <f t="shared" si="102"/>
        <v/>
      </c>
      <c r="AY567" s="21" t="str">
        <f>IF(AND($AM567&lt;&gt;"",$AS567&lt;&gt;"✓"),SUMPRODUCT(($AM$11:$AM567&lt;&gt;"")*($AS$11:$AS567&lt;&gt;"✓")),"")</f>
        <v/>
      </c>
      <c r="AZ567" s="21" t="str">
        <f>IF(AND($AM567&lt;&gt;"",$AS567="✓"),SUMPRODUCT(($AM$11:$AM567&lt;&gt;"")*($AS$11:$AS567="✓")),"")</f>
        <v/>
      </c>
      <c r="BA567" s="21" t="str">
        <f>IF($AL567="","",$AL567&amp;"|"&amp;COUNTIF($AL$11:$AL567,$AL567))</f>
        <v/>
      </c>
    </row>
    <row r="568" spans="23:53" ht="15" customHeight="1" x14ac:dyDescent="0.25">
      <c r="W568" s="28" t="str">
        <f>IF(X568="","",IFERROR(INDEX($AL$11:$AL$4010,MATCH(558,$AY$11:$AY$4010,0)),""))</f>
        <v/>
      </c>
      <c r="X568" s="26" t="str">
        <f>IFERROR(INDEX($AM$11:$AM$4010,MATCH(558,$AY$11:$AY$4010,0)),"")</f>
        <v/>
      </c>
      <c r="Y568" s="25" t="str">
        <f>IF(X568="","",IFERROR(INDEX($AN$11:$AN$4010,MATCH(558,$AY$11:$AY$4010,0)),""))</f>
        <v/>
      </c>
      <c r="Z568" s="25" t="str">
        <f>IF(X568="","",IFERROR(INDEX($AO$11:$AO$4010,MATCH(558,$AY$11:$AY$4010,0)),""))</f>
        <v/>
      </c>
      <c r="AA568" s="24" t="str">
        <f>IF(X568="","",IFERROR(INDEX($AQ$11:$AQ$4010,MATCH(558,$AY$11:$AY$4010,0)),""))</f>
        <v/>
      </c>
      <c r="AB568" s="29" t="str">
        <f>IF(X568="","",IFERROR(INDEX($AR$11:$AR$4010,MATCH(558,$AY$11:$AY$4010,0)),""))</f>
        <v/>
      </c>
      <c r="AD568" s="30" t="str">
        <f>IF(AE568="","",IFERROR(INDEX($AL$11:$AL$4010,MATCH(558,$AZ$11:$AZ$4010,0)),""))</f>
        <v/>
      </c>
      <c r="AE568" s="26" t="str">
        <f>IFERROR(INDEX($AM$11:$AM$4010,MATCH(558,$AZ$11:$AZ$4010,0)),"")</f>
        <v/>
      </c>
      <c r="AF568" s="25" t="str">
        <f>IF(AE568="","",IFERROR(INDEX($AN$11:$AN$4010,MATCH(558,$AZ$11:$AZ$4010,0)),""))</f>
        <v/>
      </c>
      <c r="AG568" s="25" t="str">
        <f>IF(AE568="","",IFERROR(INDEX($AO$11:$AO$4010,MATCH(558,$AZ$11:$AZ$4010,0)),""))</f>
        <v/>
      </c>
      <c r="AH568" s="24" t="str">
        <f>IF(AE568="","",IFERROR(INDEX($AQ$11:$AQ$4010,MATCH(558,$AZ$11:$AZ$4010,0)),""))</f>
        <v/>
      </c>
      <c r="AI568" s="29" t="str">
        <f>IF(AE568="","",IFERROR(INDEX($AR$11:$AR$4010,MATCH(558,$AZ$11:$AZ$4010,0)),""))</f>
        <v/>
      </c>
      <c r="AJ568" s="29" t="str">
        <f>IF(AE568="","",IFERROR(INDEX($AT$11:$AT$4010,MATCH(558,$AZ$11:$AZ$4010,0)),""))</f>
        <v/>
      </c>
      <c r="AL568" s="31"/>
      <c r="AM568" s="26"/>
      <c r="AN568" s="32"/>
      <c r="AO568" s="32"/>
      <c r="AP568" s="24"/>
      <c r="AQ568" s="24"/>
      <c r="AR568" s="33"/>
      <c r="AS568" s="34"/>
      <c r="AT568" s="33"/>
      <c r="AV568" s="21">
        <f>IF(AND($AL568&lt;&gt;"",COUNTIF($AL$11:$AL568,$AL568)=1),1,0)</f>
        <v>0</v>
      </c>
      <c r="AW568" s="21">
        <f t="shared" si="103"/>
        <v>0</v>
      </c>
      <c r="AX568" s="21" t="str">
        <f t="shared" si="102"/>
        <v/>
      </c>
      <c r="AY568" s="21" t="str">
        <f>IF(AND($AM568&lt;&gt;"",$AS568&lt;&gt;"✓"),SUMPRODUCT(($AM$11:$AM568&lt;&gt;"")*($AS$11:$AS568&lt;&gt;"✓")),"")</f>
        <v/>
      </c>
      <c r="AZ568" s="21" t="str">
        <f>IF(AND($AM568&lt;&gt;"",$AS568="✓"),SUMPRODUCT(($AM$11:$AM568&lt;&gt;"")*($AS$11:$AS568="✓")),"")</f>
        <v/>
      </c>
      <c r="BA568" s="21" t="str">
        <f>IF($AL568="","",$AL568&amp;"|"&amp;COUNTIF($AL$11:$AL568,$AL568))</f>
        <v/>
      </c>
    </row>
    <row r="569" spans="23:53" ht="15" customHeight="1" x14ac:dyDescent="0.25">
      <c r="W569" s="14" t="str">
        <f>IF(X569="","",IFERROR(INDEX($AL$11:$AL$4010,MATCH(559,$AY$11:$AY$4010,0)),""))</f>
        <v/>
      </c>
      <c r="X569" s="12" t="str">
        <f>IFERROR(INDEX($AM$11:$AM$4010,MATCH(559,$AY$11:$AY$4010,0)),"")</f>
        <v/>
      </c>
      <c r="Y569" s="11" t="str">
        <f>IF(X569="","",IFERROR(INDEX($AN$11:$AN$4010,MATCH(559,$AY$11:$AY$4010,0)),""))</f>
        <v/>
      </c>
      <c r="Z569" s="11" t="str">
        <f>IF(X569="","",IFERROR(INDEX($AO$11:$AO$4010,MATCH(559,$AY$11:$AY$4010,0)),""))</f>
        <v/>
      </c>
      <c r="AA569" s="10" t="str">
        <f>IF(X569="","",IFERROR(INDEX($AQ$11:$AQ$4010,MATCH(559,$AY$11:$AY$4010,0)),""))</f>
        <v/>
      </c>
      <c r="AB569" s="15" t="str">
        <f>IF(X569="","",IFERROR(INDEX($AR$11:$AR$4010,MATCH(559,$AY$11:$AY$4010,0)),""))</f>
        <v/>
      </c>
      <c r="AD569" s="16" t="str">
        <f>IF(AE569="","",IFERROR(INDEX($AL$11:$AL$4010,MATCH(559,$AZ$11:$AZ$4010,0)),""))</f>
        <v/>
      </c>
      <c r="AE569" s="12" t="str">
        <f>IFERROR(INDEX($AM$11:$AM$4010,MATCH(559,$AZ$11:$AZ$4010,0)),"")</f>
        <v/>
      </c>
      <c r="AF569" s="11" t="str">
        <f>IF(AE569="","",IFERROR(INDEX($AN$11:$AN$4010,MATCH(559,$AZ$11:$AZ$4010,0)),""))</f>
        <v/>
      </c>
      <c r="AG569" s="11" t="str">
        <f>IF(AE569="","",IFERROR(INDEX($AO$11:$AO$4010,MATCH(559,$AZ$11:$AZ$4010,0)),""))</f>
        <v/>
      </c>
      <c r="AH569" s="10" t="str">
        <f>IF(AE569="","",IFERROR(INDEX($AQ$11:$AQ$4010,MATCH(559,$AZ$11:$AZ$4010,0)),""))</f>
        <v/>
      </c>
      <c r="AI569" s="15" t="str">
        <f>IF(AE569="","",IFERROR(INDEX($AR$11:$AR$4010,MATCH(559,$AZ$11:$AZ$4010,0)),""))</f>
        <v/>
      </c>
      <c r="AJ569" s="15" t="str">
        <f>IF(AE569="","",IFERROR(INDEX($AT$11:$AT$4010,MATCH(559,$AZ$11:$AZ$4010,0)),""))</f>
        <v/>
      </c>
      <c r="AL569" s="17"/>
      <c r="AM569" s="12"/>
      <c r="AN569" s="18"/>
      <c r="AO569" s="18"/>
      <c r="AP569" s="10"/>
      <c r="AQ569" s="10"/>
      <c r="AR569" s="19"/>
      <c r="AS569" s="20"/>
      <c r="AT569" s="19"/>
      <c r="AV569" s="21">
        <f>IF(AND($AL569&lt;&gt;"",COUNTIF($AL$11:$AL569,$AL569)=1),1,0)</f>
        <v>0</v>
      </c>
      <c r="AW569" s="21">
        <f t="shared" si="103"/>
        <v>0</v>
      </c>
      <c r="AX569" s="21" t="str">
        <f t="shared" si="102"/>
        <v/>
      </c>
      <c r="AY569" s="21" t="str">
        <f>IF(AND($AM569&lt;&gt;"",$AS569&lt;&gt;"✓"),SUMPRODUCT(($AM$11:$AM569&lt;&gt;"")*($AS$11:$AS569&lt;&gt;"✓")),"")</f>
        <v/>
      </c>
      <c r="AZ569" s="21" t="str">
        <f>IF(AND($AM569&lt;&gt;"",$AS569="✓"),SUMPRODUCT(($AM$11:$AM569&lt;&gt;"")*($AS$11:$AS569="✓")),"")</f>
        <v/>
      </c>
      <c r="BA569" s="21" t="str">
        <f>IF($AL569="","",$AL569&amp;"|"&amp;COUNTIF($AL$11:$AL569,$AL569))</f>
        <v/>
      </c>
    </row>
    <row r="570" spans="23:53" ht="15" customHeight="1" x14ac:dyDescent="0.25">
      <c r="W570" s="28" t="str">
        <f>IF(X570="","",IFERROR(INDEX($AL$11:$AL$4010,MATCH(560,$AY$11:$AY$4010,0)),""))</f>
        <v/>
      </c>
      <c r="X570" s="26" t="str">
        <f>IFERROR(INDEX($AM$11:$AM$4010,MATCH(560,$AY$11:$AY$4010,0)),"")</f>
        <v/>
      </c>
      <c r="Y570" s="25" t="str">
        <f>IF(X570="","",IFERROR(INDEX($AN$11:$AN$4010,MATCH(560,$AY$11:$AY$4010,0)),""))</f>
        <v/>
      </c>
      <c r="Z570" s="25" t="str">
        <f>IF(X570="","",IFERROR(INDEX($AO$11:$AO$4010,MATCH(560,$AY$11:$AY$4010,0)),""))</f>
        <v/>
      </c>
      <c r="AA570" s="24" t="str">
        <f>IF(X570="","",IFERROR(INDEX($AQ$11:$AQ$4010,MATCH(560,$AY$11:$AY$4010,0)),""))</f>
        <v/>
      </c>
      <c r="AB570" s="29" t="str">
        <f>IF(X570="","",IFERROR(INDEX($AR$11:$AR$4010,MATCH(560,$AY$11:$AY$4010,0)),""))</f>
        <v/>
      </c>
      <c r="AD570" s="30" t="str">
        <f>IF(AE570="","",IFERROR(INDEX($AL$11:$AL$4010,MATCH(560,$AZ$11:$AZ$4010,0)),""))</f>
        <v/>
      </c>
      <c r="AE570" s="26" t="str">
        <f>IFERROR(INDEX($AM$11:$AM$4010,MATCH(560,$AZ$11:$AZ$4010,0)),"")</f>
        <v/>
      </c>
      <c r="AF570" s="25" t="str">
        <f>IF(AE570="","",IFERROR(INDEX($AN$11:$AN$4010,MATCH(560,$AZ$11:$AZ$4010,0)),""))</f>
        <v/>
      </c>
      <c r="AG570" s="25" t="str">
        <f>IF(AE570="","",IFERROR(INDEX($AO$11:$AO$4010,MATCH(560,$AZ$11:$AZ$4010,0)),""))</f>
        <v/>
      </c>
      <c r="AH570" s="24" t="str">
        <f>IF(AE570="","",IFERROR(INDEX($AQ$11:$AQ$4010,MATCH(560,$AZ$11:$AZ$4010,0)),""))</f>
        <v/>
      </c>
      <c r="AI570" s="29" t="str">
        <f>IF(AE570="","",IFERROR(INDEX($AR$11:$AR$4010,MATCH(560,$AZ$11:$AZ$4010,0)),""))</f>
        <v/>
      </c>
      <c r="AJ570" s="29" t="str">
        <f>IF(AE570="","",IFERROR(INDEX($AT$11:$AT$4010,MATCH(560,$AZ$11:$AZ$4010,0)),""))</f>
        <v/>
      </c>
      <c r="AL570" s="31"/>
      <c r="AM570" s="26"/>
      <c r="AN570" s="32"/>
      <c r="AO570" s="32"/>
      <c r="AP570" s="24"/>
      <c r="AQ570" s="24"/>
      <c r="AR570" s="33"/>
      <c r="AS570" s="34"/>
      <c r="AT570" s="33"/>
      <c r="AV570" s="21">
        <f>IF(AND($AL570&lt;&gt;"",COUNTIF($AL$11:$AL570,$AL570)=1),1,0)</f>
        <v>0</v>
      </c>
      <c r="AW570" s="21">
        <f t="shared" si="103"/>
        <v>0</v>
      </c>
      <c r="AX570" s="21" t="str">
        <f t="shared" si="102"/>
        <v/>
      </c>
      <c r="AY570" s="21" t="str">
        <f>IF(AND($AM570&lt;&gt;"",$AS570&lt;&gt;"✓"),SUMPRODUCT(($AM$11:$AM570&lt;&gt;"")*($AS$11:$AS570&lt;&gt;"✓")),"")</f>
        <v/>
      </c>
      <c r="AZ570" s="21" t="str">
        <f>IF(AND($AM570&lt;&gt;"",$AS570="✓"),SUMPRODUCT(($AM$11:$AM570&lt;&gt;"")*($AS$11:$AS570="✓")),"")</f>
        <v/>
      </c>
      <c r="BA570" s="21" t="str">
        <f>IF($AL570="","",$AL570&amp;"|"&amp;COUNTIF($AL$11:$AL570,$AL570))</f>
        <v/>
      </c>
    </row>
    <row r="571" spans="23:53" ht="15" customHeight="1" x14ac:dyDescent="0.25">
      <c r="W571" s="14" t="str">
        <f>IF(X571="","",IFERROR(INDEX($AL$11:$AL$4010,MATCH(561,$AY$11:$AY$4010,0)),""))</f>
        <v/>
      </c>
      <c r="X571" s="12" t="str">
        <f>IFERROR(INDEX($AM$11:$AM$4010,MATCH(561,$AY$11:$AY$4010,0)),"")</f>
        <v/>
      </c>
      <c r="Y571" s="11" t="str">
        <f>IF(X571="","",IFERROR(INDEX($AN$11:$AN$4010,MATCH(561,$AY$11:$AY$4010,0)),""))</f>
        <v/>
      </c>
      <c r="Z571" s="11" t="str">
        <f>IF(X571="","",IFERROR(INDEX($AO$11:$AO$4010,MATCH(561,$AY$11:$AY$4010,0)),""))</f>
        <v/>
      </c>
      <c r="AA571" s="10" t="str">
        <f>IF(X571="","",IFERROR(INDEX($AQ$11:$AQ$4010,MATCH(561,$AY$11:$AY$4010,0)),""))</f>
        <v/>
      </c>
      <c r="AB571" s="15" t="str">
        <f>IF(X571="","",IFERROR(INDEX($AR$11:$AR$4010,MATCH(561,$AY$11:$AY$4010,0)),""))</f>
        <v/>
      </c>
      <c r="AD571" s="16" t="str">
        <f>IF(AE571="","",IFERROR(INDEX($AL$11:$AL$4010,MATCH(561,$AZ$11:$AZ$4010,0)),""))</f>
        <v/>
      </c>
      <c r="AE571" s="12" t="str">
        <f>IFERROR(INDEX($AM$11:$AM$4010,MATCH(561,$AZ$11:$AZ$4010,0)),"")</f>
        <v/>
      </c>
      <c r="AF571" s="11" t="str">
        <f>IF(AE571="","",IFERROR(INDEX($AN$11:$AN$4010,MATCH(561,$AZ$11:$AZ$4010,0)),""))</f>
        <v/>
      </c>
      <c r="AG571" s="11" t="str">
        <f>IF(AE571="","",IFERROR(INDEX($AO$11:$AO$4010,MATCH(561,$AZ$11:$AZ$4010,0)),""))</f>
        <v/>
      </c>
      <c r="AH571" s="10" t="str">
        <f>IF(AE571="","",IFERROR(INDEX($AQ$11:$AQ$4010,MATCH(561,$AZ$11:$AZ$4010,0)),""))</f>
        <v/>
      </c>
      <c r="AI571" s="15" t="str">
        <f>IF(AE571="","",IFERROR(INDEX($AR$11:$AR$4010,MATCH(561,$AZ$11:$AZ$4010,0)),""))</f>
        <v/>
      </c>
      <c r="AJ571" s="15" t="str">
        <f>IF(AE571="","",IFERROR(INDEX($AT$11:$AT$4010,MATCH(561,$AZ$11:$AZ$4010,0)),""))</f>
        <v/>
      </c>
      <c r="AL571" s="17"/>
      <c r="AM571" s="12"/>
      <c r="AN571" s="18"/>
      <c r="AO571" s="18"/>
      <c r="AP571" s="10"/>
      <c r="AQ571" s="10"/>
      <c r="AR571" s="19"/>
      <c r="AS571" s="20"/>
      <c r="AT571" s="19"/>
      <c r="AV571" s="21">
        <f>IF(AND($AL571&lt;&gt;"",COUNTIF($AL$11:$AL571,$AL571)=1),1,0)</f>
        <v>0</v>
      </c>
      <c r="AW571" s="21">
        <f t="shared" si="103"/>
        <v>0</v>
      </c>
      <c r="AX571" s="21" t="str">
        <f t="shared" si="102"/>
        <v/>
      </c>
      <c r="AY571" s="21" t="str">
        <f>IF(AND($AM571&lt;&gt;"",$AS571&lt;&gt;"✓"),SUMPRODUCT(($AM$11:$AM571&lt;&gt;"")*($AS$11:$AS571&lt;&gt;"✓")),"")</f>
        <v/>
      </c>
      <c r="AZ571" s="21" t="str">
        <f>IF(AND($AM571&lt;&gt;"",$AS571="✓"),SUMPRODUCT(($AM$11:$AM571&lt;&gt;"")*($AS$11:$AS571="✓")),"")</f>
        <v/>
      </c>
      <c r="BA571" s="21" t="str">
        <f>IF($AL571="","",$AL571&amp;"|"&amp;COUNTIF($AL$11:$AL571,$AL571))</f>
        <v/>
      </c>
    </row>
    <row r="572" spans="23:53" ht="15" customHeight="1" x14ac:dyDescent="0.25">
      <c r="W572" s="28" t="str">
        <f>IF(X572="","",IFERROR(INDEX($AL$11:$AL$4010,MATCH(562,$AY$11:$AY$4010,0)),""))</f>
        <v/>
      </c>
      <c r="X572" s="26" t="str">
        <f>IFERROR(INDEX($AM$11:$AM$4010,MATCH(562,$AY$11:$AY$4010,0)),"")</f>
        <v/>
      </c>
      <c r="Y572" s="25" t="str">
        <f>IF(X572="","",IFERROR(INDEX($AN$11:$AN$4010,MATCH(562,$AY$11:$AY$4010,0)),""))</f>
        <v/>
      </c>
      <c r="Z572" s="25" t="str">
        <f>IF(X572="","",IFERROR(INDEX($AO$11:$AO$4010,MATCH(562,$AY$11:$AY$4010,0)),""))</f>
        <v/>
      </c>
      <c r="AA572" s="24" t="str">
        <f>IF(X572="","",IFERROR(INDEX($AQ$11:$AQ$4010,MATCH(562,$AY$11:$AY$4010,0)),""))</f>
        <v/>
      </c>
      <c r="AB572" s="29" t="str">
        <f>IF(X572="","",IFERROR(INDEX($AR$11:$AR$4010,MATCH(562,$AY$11:$AY$4010,0)),""))</f>
        <v/>
      </c>
      <c r="AD572" s="30" t="str">
        <f>IF(AE572="","",IFERROR(INDEX($AL$11:$AL$4010,MATCH(562,$AZ$11:$AZ$4010,0)),""))</f>
        <v/>
      </c>
      <c r="AE572" s="26" t="str">
        <f>IFERROR(INDEX($AM$11:$AM$4010,MATCH(562,$AZ$11:$AZ$4010,0)),"")</f>
        <v/>
      </c>
      <c r="AF572" s="25" t="str">
        <f>IF(AE572="","",IFERROR(INDEX($AN$11:$AN$4010,MATCH(562,$AZ$11:$AZ$4010,0)),""))</f>
        <v/>
      </c>
      <c r="AG572" s="25" t="str">
        <f>IF(AE572="","",IFERROR(INDEX($AO$11:$AO$4010,MATCH(562,$AZ$11:$AZ$4010,0)),""))</f>
        <v/>
      </c>
      <c r="AH572" s="24" t="str">
        <f>IF(AE572="","",IFERROR(INDEX($AQ$11:$AQ$4010,MATCH(562,$AZ$11:$AZ$4010,0)),""))</f>
        <v/>
      </c>
      <c r="AI572" s="29" t="str">
        <f>IF(AE572="","",IFERROR(INDEX($AR$11:$AR$4010,MATCH(562,$AZ$11:$AZ$4010,0)),""))</f>
        <v/>
      </c>
      <c r="AJ572" s="29" t="str">
        <f>IF(AE572="","",IFERROR(INDEX($AT$11:$AT$4010,MATCH(562,$AZ$11:$AZ$4010,0)),""))</f>
        <v/>
      </c>
      <c r="AL572" s="31"/>
      <c r="AM572" s="26"/>
      <c r="AN572" s="32"/>
      <c r="AO572" s="32"/>
      <c r="AP572" s="24"/>
      <c r="AQ572" s="24"/>
      <c r="AR572" s="33"/>
      <c r="AS572" s="34"/>
      <c r="AT572" s="33"/>
      <c r="AV572" s="21">
        <f>IF(AND($AL572&lt;&gt;"",COUNTIF($AL$11:$AL572,$AL572)=1),1,0)</f>
        <v>0</v>
      </c>
      <c r="AW572" s="21">
        <f t="shared" si="103"/>
        <v>0</v>
      </c>
      <c r="AX572" s="21" t="str">
        <f t="shared" si="102"/>
        <v/>
      </c>
      <c r="AY572" s="21" t="str">
        <f>IF(AND($AM572&lt;&gt;"",$AS572&lt;&gt;"✓"),SUMPRODUCT(($AM$11:$AM572&lt;&gt;"")*($AS$11:$AS572&lt;&gt;"✓")),"")</f>
        <v/>
      </c>
      <c r="AZ572" s="21" t="str">
        <f>IF(AND($AM572&lt;&gt;"",$AS572="✓"),SUMPRODUCT(($AM$11:$AM572&lt;&gt;"")*($AS$11:$AS572="✓")),"")</f>
        <v/>
      </c>
      <c r="BA572" s="21" t="str">
        <f>IF($AL572="","",$AL572&amp;"|"&amp;COUNTIF($AL$11:$AL572,$AL572))</f>
        <v/>
      </c>
    </row>
    <row r="573" spans="23:53" ht="15" customHeight="1" x14ac:dyDescent="0.25">
      <c r="W573" s="14" t="str">
        <f>IF(X573="","",IFERROR(INDEX($AL$11:$AL$4010,MATCH(563,$AY$11:$AY$4010,0)),""))</f>
        <v/>
      </c>
      <c r="X573" s="12" t="str">
        <f>IFERROR(INDEX($AM$11:$AM$4010,MATCH(563,$AY$11:$AY$4010,0)),"")</f>
        <v/>
      </c>
      <c r="Y573" s="11" t="str">
        <f>IF(X573="","",IFERROR(INDEX($AN$11:$AN$4010,MATCH(563,$AY$11:$AY$4010,0)),""))</f>
        <v/>
      </c>
      <c r="Z573" s="11" t="str">
        <f>IF(X573="","",IFERROR(INDEX($AO$11:$AO$4010,MATCH(563,$AY$11:$AY$4010,0)),""))</f>
        <v/>
      </c>
      <c r="AA573" s="10" t="str">
        <f>IF(X573="","",IFERROR(INDEX($AQ$11:$AQ$4010,MATCH(563,$AY$11:$AY$4010,0)),""))</f>
        <v/>
      </c>
      <c r="AB573" s="15" t="str">
        <f>IF(X573="","",IFERROR(INDEX($AR$11:$AR$4010,MATCH(563,$AY$11:$AY$4010,0)),""))</f>
        <v/>
      </c>
      <c r="AD573" s="16" t="str">
        <f>IF(AE573="","",IFERROR(INDEX($AL$11:$AL$4010,MATCH(563,$AZ$11:$AZ$4010,0)),""))</f>
        <v/>
      </c>
      <c r="AE573" s="12" t="str">
        <f>IFERROR(INDEX($AM$11:$AM$4010,MATCH(563,$AZ$11:$AZ$4010,0)),"")</f>
        <v/>
      </c>
      <c r="AF573" s="11" t="str">
        <f>IF(AE573="","",IFERROR(INDEX($AN$11:$AN$4010,MATCH(563,$AZ$11:$AZ$4010,0)),""))</f>
        <v/>
      </c>
      <c r="AG573" s="11" t="str">
        <f>IF(AE573="","",IFERROR(INDEX($AO$11:$AO$4010,MATCH(563,$AZ$11:$AZ$4010,0)),""))</f>
        <v/>
      </c>
      <c r="AH573" s="10" t="str">
        <f>IF(AE573="","",IFERROR(INDEX($AQ$11:$AQ$4010,MATCH(563,$AZ$11:$AZ$4010,0)),""))</f>
        <v/>
      </c>
      <c r="AI573" s="15" t="str">
        <f>IF(AE573="","",IFERROR(INDEX($AR$11:$AR$4010,MATCH(563,$AZ$11:$AZ$4010,0)),""))</f>
        <v/>
      </c>
      <c r="AJ573" s="15" t="str">
        <f>IF(AE573="","",IFERROR(INDEX($AT$11:$AT$4010,MATCH(563,$AZ$11:$AZ$4010,0)),""))</f>
        <v/>
      </c>
      <c r="AL573" s="17"/>
      <c r="AM573" s="12"/>
      <c r="AN573" s="18"/>
      <c r="AO573" s="18"/>
      <c r="AP573" s="10"/>
      <c r="AQ573" s="10"/>
      <c r="AR573" s="19"/>
      <c r="AS573" s="20"/>
      <c r="AT573" s="19"/>
      <c r="AV573" s="21">
        <f>IF(AND($AL573&lt;&gt;"",COUNTIF($AL$11:$AL573,$AL573)=1),1,0)</f>
        <v>0</v>
      </c>
      <c r="AW573" s="21">
        <f t="shared" si="103"/>
        <v>0</v>
      </c>
      <c r="AX573" s="21" t="str">
        <f t="shared" si="102"/>
        <v/>
      </c>
      <c r="AY573" s="21" t="str">
        <f>IF(AND($AM573&lt;&gt;"",$AS573&lt;&gt;"✓"),SUMPRODUCT(($AM$11:$AM573&lt;&gt;"")*($AS$11:$AS573&lt;&gt;"✓")),"")</f>
        <v/>
      </c>
      <c r="AZ573" s="21" t="str">
        <f>IF(AND($AM573&lt;&gt;"",$AS573="✓"),SUMPRODUCT(($AM$11:$AM573&lt;&gt;"")*($AS$11:$AS573="✓")),"")</f>
        <v/>
      </c>
      <c r="BA573" s="21" t="str">
        <f>IF($AL573="","",$AL573&amp;"|"&amp;COUNTIF($AL$11:$AL573,$AL573))</f>
        <v/>
      </c>
    </row>
    <row r="574" spans="23:53" ht="15" customHeight="1" x14ac:dyDescent="0.25">
      <c r="W574" s="28" t="str">
        <f>IF(X574="","",IFERROR(INDEX($AL$11:$AL$4010,MATCH(564,$AY$11:$AY$4010,0)),""))</f>
        <v/>
      </c>
      <c r="X574" s="26" t="str">
        <f>IFERROR(INDEX($AM$11:$AM$4010,MATCH(564,$AY$11:$AY$4010,0)),"")</f>
        <v/>
      </c>
      <c r="Y574" s="25" t="str">
        <f>IF(X574="","",IFERROR(INDEX($AN$11:$AN$4010,MATCH(564,$AY$11:$AY$4010,0)),""))</f>
        <v/>
      </c>
      <c r="Z574" s="25" t="str">
        <f>IF(X574="","",IFERROR(INDEX($AO$11:$AO$4010,MATCH(564,$AY$11:$AY$4010,0)),""))</f>
        <v/>
      </c>
      <c r="AA574" s="24" t="str">
        <f>IF(X574="","",IFERROR(INDEX($AQ$11:$AQ$4010,MATCH(564,$AY$11:$AY$4010,0)),""))</f>
        <v/>
      </c>
      <c r="AB574" s="29" t="str">
        <f>IF(X574="","",IFERROR(INDEX($AR$11:$AR$4010,MATCH(564,$AY$11:$AY$4010,0)),""))</f>
        <v/>
      </c>
      <c r="AD574" s="30" t="str">
        <f>IF(AE574="","",IFERROR(INDEX($AL$11:$AL$4010,MATCH(564,$AZ$11:$AZ$4010,0)),""))</f>
        <v/>
      </c>
      <c r="AE574" s="26" t="str">
        <f>IFERROR(INDEX($AM$11:$AM$4010,MATCH(564,$AZ$11:$AZ$4010,0)),"")</f>
        <v/>
      </c>
      <c r="AF574" s="25" t="str">
        <f>IF(AE574="","",IFERROR(INDEX($AN$11:$AN$4010,MATCH(564,$AZ$11:$AZ$4010,0)),""))</f>
        <v/>
      </c>
      <c r="AG574" s="25" t="str">
        <f>IF(AE574="","",IFERROR(INDEX($AO$11:$AO$4010,MATCH(564,$AZ$11:$AZ$4010,0)),""))</f>
        <v/>
      </c>
      <c r="AH574" s="24" t="str">
        <f>IF(AE574="","",IFERROR(INDEX($AQ$11:$AQ$4010,MATCH(564,$AZ$11:$AZ$4010,0)),""))</f>
        <v/>
      </c>
      <c r="AI574" s="29" t="str">
        <f>IF(AE574="","",IFERROR(INDEX($AR$11:$AR$4010,MATCH(564,$AZ$11:$AZ$4010,0)),""))</f>
        <v/>
      </c>
      <c r="AJ574" s="29" t="str">
        <f>IF(AE574="","",IFERROR(INDEX($AT$11:$AT$4010,MATCH(564,$AZ$11:$AZ$4010,0)),""))</f>
        <v/>
      </c>
      <c r="AL574" s="31"/>
      <c r="AM574" s="26"/>
      <c r="AN574" s="32"/>
      <c r="AO574" s="32"/>
      <c r="AP574" s="24"/>
      <c r="AQ574" s="24"/>
      <c r="AR574" s="33"/>
      <c r="AS574" s="34"/>
      <c r="AT574" s="33"/>
      <c r="AV574" s="21">
        <f>IF(AND($AL574&lt;&gt;"",COUNTIF($AL$11:$AL574,$AL574)=1),1,0)</f>
        <v>0</v>
      </c>
      <c r="AW574" s="21">
        <f t="shared" si="103"/>
        <v>0</v>
      </c>
      <c r="AX574" s="21" t="str">
        <f t="shared" si="102"/>
        <v/>
      </c>
      <c r="AY574" s="21" t="str">
        <f>IF(AND($AM574&lt;&gt;"",$AS574&lt;&gt;"✓"),SUMPRODUCT(($AM$11:$AM574&lt;&gt;"")*($AS$11:$AS574&lt;&gt;"✓")),"")</f>
        <v/>
      </c>
      <c r="AZ574" s="21" t="str">
        <f>IF(AND($AM574&lt;&gt;"",$AS574="✓"),SUMPRODUCT(($AM$11:$AM574&lt;&gt;"")*($AS$11:$AS574="✓")),"")</f>
        <v/>
      </c>
      <c r="BA574" s="21" t="str">
        <f>IF($AL574="","",$AL574&amp;"|"&amp;COUNTIF($AL$11:$AL574,$AL574))</f>
        <v/>
      </c>
    </row>
    <row r="575" spans="23:53" ht="15" customHeight="1" x14ac:dyDescent="0.25">
      <c r="W575" s="14" t="str">
        <f>IF(X575="","",IFERROR(INDEX($AL$11:$AL$4010,MATCH(565,$AY$11:$AY$4010,0)),""))</f>
        <v/>
      </c>
      <c r="X575" s="12" t="str">
        <f>IFERROR(INDEX($AM$11:$AM$4010,MATCH(565,$AY$11:$AY$4010,0)),"")</f>
        <v/>
      </c>
      <c r="Y575" s="11" t="str">
        <f>IF(X575="","",IFERROR(INDEX($AN$11:$AN$4010,MATCH(565,$AY$11:$AY$4010,0)),""))</f>
        <v/>
      </c>
      <c r="Z575" s="11" t="str">
        <f>IF(X575="","",IFERROR(INDEX($AO$11:$AO$4010,MATCH(565,$AY$11:$AY$4010,0)),""))</f>
        <v/>
      </c>
      <c r="AA575" s="10" t="str">
        <f>IF(X575="","",IFERROR(INDEX($AQ$11:$AQ$4010,MATCH(565,$AY$11:$AY$4010,0)),""))</f>
        <v/>
      </c>
      <c r="AB575" s="15" t="str">
        <f>IF(X575="","",IFERROR(INDEX($AR$11:$AR$4010,MATCH(565,$AY$11:$AY$4010,0)),""))</f>
        <v/>
      </c>
      <c r="AD575" s="16" t="str">
        <f>IF(AE575="","",IFERROR(INDEX($AL$11:$AL$4010,MATCH(565,$AZ$11:$AZ$4010,0)),""))</f>
        <v/>
      </c>
      <c r="AE575" s="12" t="str">
        <f>IFERROR(INDEX($AM$11:$AM$4010,MATCH(565,$AZ$11:$AZ$4010,0)),"")</f>
        <v/>
      </c>
      <c r="AF575" s="11" t="str">
        <f>IF(AE575="","",IFERROR(INDEX($AN$11:$AN$4010,MATCH(565,$AZ$11:$AZ$4010,0)),""))</f>
        <v/>
      </c>
      <c r="AG575" s="11" t="str">
        <f>IF(AE575="","",IFERROR(INDEX($AO$11:$AO$4010,MATCH(565,$AZ$11:$AZ$4010,0)),""))</f>
        <v/>
      </c>
      <c r="AH575" s="10" t="str">
        <f>IF(AE575="","",IFERROR(INDEX($AQ$11:$AQ$4010,MATCH(565,$AZ$11:$AZ$4010,0)),""))</f>
        <v/>
      </c>
      <c r="AI575" s="15" t="str">
        <f>IF(AE575="","",IFERROR(INDEX($AR$11:$AR$4010,MATCH(565,$AZ$11:$AZ$4010,0)),""))</f>
        <v/>
      </c>
      <c r="AJ575" s="15" t="str">
        <f>IF(AE575="","",IFERROR(INDEX($AT$11:$AT$4010,MATCH(565,$AZ$11:$AZ$4010,0)),""))</f>
        <v/>
      </c>
      <c r="AL575" s="17"/>
      <c r="AM575" s="12"/>
      <c r="AN575" s="18"/>
      <c r="AO575" s="18"/>
      <c r="AP575" s="10"/>
      <c r="AQ575" s="10"/>
      <c r="AR575" s="19"/>
      <c r="AS575" s="20"/>
      <c r="AT575" s="19"/>
      <c r="AV575" s="21">
        <f>IF(AND($AL575&lt;&gt;"",COUNTIF($AL$11:$AL575,$AL575)=1),1,0)</f>
        <v>0</v>
      </c>
      <c r="AW575" s="21">
        <f t="shared" si="103"/>
        <v>0</v>
      </c>
      <c r="AX575" s="21" t="str">
        <f t="shared" si="102"/>
        <v/>
      </c>
      <c r="AY575" s="21" t="str">
        <f>IF(AND($AM575&lt;&gt;"",$AS575&lt;&gt;"✓"),SUMPRODUCT(($AM$11:$AM575&lt;&gt;"")*($AS$11:$AS575&lt;&gt;"✓")),"")</f>
        <v/>
      </c>
      <c r="AZ575" s="21" t="str">
        <f>IF(AND($AM575&lt;&gt;"",$AS575="✓"),SUMPRODUCT(($AM$11:$AM575&lt;&gt;"")*($AS$11:$AS575="✓")),"")</f>
        <v/>
      </c>
      <c r="BA575" s="21" t="str">
        <f>IF($AL575="","",$AL575&amp;"|"&amp;COUNTIF($AL$11:$AL575,$AL575))</f>
        <v/>
      </c>
    </row>
    <row r="576" spans="23:53" ht="15" customHeight="1" x14ac:dyDescent="0.25">
      <c r="W576" s="28" t="str">
        <f>IF(X576="","",IFERROR(INDEX($AL$11:$AL$4010,MATCH(566,$AY$11:$AY$4010,0)),""))</f>
        <v/>
      </c>
      <c r="X576" s="26" t="str">
        <f>IFERROR(INDEX($AM$11:$AM$4010,MATCH(566,$AY$11:$AY$4010,0)),"")</f>
        <v/>
      </c>
      <c r="Y576" s="25" t="str">
        <f>IF(X576="","",IFERROR(INDEX($AN$11:$AN$4010,MATCH(566,$AY$11:$AY$4010,0)),""))</f>
        <v/>
      </c>
      <c r="Z576" s="25" t="str">
        <f>IF(X576="","",IFERROR(INDEX($AO$11:$AO$4010,MATCH(566,$AY$11:$AY$4010,0)),""))</f>
        <v/>
      </c>
      <c r="AA576" s="24" t="str">
        <f>IF(X576="","",IFERROR(INDEX($AQ$11:$AQ$4010,MATCH(566,$AY$11:$AY$4010,0)),""))</f>
        <v/>
      </c>
      <c r="AB576" s="29" t="str">
        <f>IF(X576="","",IFERROR(INDEX($AR$11:$AR$4010,MATCH(566,$AY$11:$AY$4010,0)),""))</f>
        <v/>
      </c>
      <c r="AD576" s="30" t="str">
        <f>IF(AE576="","",IFERROR(INDEX($AL$11:$AL$4010,MATCH(566,$AZ$11:$AZ$4010,0)),""))</f>
        <v/>
      </c>
      <c r="AE576" s="26" t="str">
        <f>IFERROR(INDEX($AM$11:$AM$4010,MATCH(566,$AZ$11:$AZ$4010,0)),"")</f>
        <v/>
      </c>
      <c r="AF576" s="25" t="str">
        <f>IF(AE576="","",IFERROR(INDEX($AN$11:$AN$4010,MATCH(566,$AZ$11:$AZ$4010,0)),""))</f>
        <v/>
      </c>
      <c r="AG576" s="25" t="str">
        <f>IF(AE576="","",IFERROR(INDEX($AO$11:$AO$4010,MATCH(566,$AZ$11:$AZ$4010,0)),""))</f>
        <v/>
      </c>
      <c r="AH576" s="24" t="str">
        <f>IF(AE576="","",IFERROR(INDEX($AQ$11:$AQ$4010,MATCH(566,$AZ$11:$AZ$4010,0)),""))</f>
        <v/>
      </c>
      <c r="AI576" s="29" t="str">
        <f>IF(AE576="","",IFERROR(INDEX($AR$11:$AR$4010,MATCH(566,$AZ$11:$AZ$4010,0)),""))</f>
        <v/>
      </c>
      <c r="AJ576" s="29" t="str">
        <f>IF(AE576="","",IFERROR(INDEX($AT$11:$AT$4010,MATCH(566,$AZ$11:$AZ$4010,0)),""))</f>
        <v/>
      </c>
      <c r="AL576" s="31"/>
      <c r="AM576" s="26"/>
      <c r="AN576" s="32"/>
      <c r="AO576" s="32"/>
      <c r="AP576" s="24"/>
      <c r="AQ576" s="24"/>
      <c r="AR576" s="33"/>
      <c r="AS576" s="34"/>
      <c r="AT576" s="33"/>
      <c r="AV576" s="21">
        <f>IF(AND($AL576&lt;&gt;"",COUNTIF($AL$11:$AL576,$AL576)=1),1,0)</f>
        <v>0</v>
      </c>
      <c r="AW576" s="21">
        <f t="shared" si="103"/>
        <v>0</v>
      </c>
      <c r="AX576" s="21" t="str">
        <f t="shared" si="102"/>
        <v/>
      </c>
      <c r="AY576" s="21" t="str">
        <f>IF(AND($AM576&lt;&gt;"",$AS576&lt;&gt;"✓"),SUMPRODUCT(($AM$11:$AM576&lt;&gt;"")*($AS$11:$AS576&lt;&gt;"✓")),"")</f>
        <v/>
      </c>
      <c r="AZ576" s="21" t="str">
        <f>IF(AND($AM576&lt;&gt;"",$AS576="✓"),SUMPRODUCT(($AM$11:$AM576&lt;&gt;"")*($AS$11:$AS576="✓")),"")</f>
        <v/>
      </c>
      <c r="BA576" s="21" t="str">
        <f>IF($AL576="","",$AL576&amp;"|"&amp;COUNTIF($AL$11:$AL576,$AL576))</f>
        <v/>
      </c>
    </row>
    <row r="577" spans="23:53" ht="15" customHeight="1" x14ac:dyDescent="0.25">
      <c r="W577" s="14" t="str">
        <f>IF(X577="","",IFERROR(INDEX($AL$11:$AL$4010,MATCH(567,$AY$11:$AY$4010,0)),""))</f>
        <v/>
      </c>
      <c r="X577" s="12" t="str">
        <f>IFERROR(INDEX($AM$11:$AM$4010,MATCH(567,$AY$11:$AY$4010,0)),"")</f>
        <v/>
      </c>
      <c r="Y577" s="11" t="str">
        <f>IF(X577="","",IFERROR(INDEX($AN$11:$AN$4010,MATCH(567,$AY$11:$AY$4010,0)),""))</f>
        <v/>
      </c>
      <c r="Z577" s="11" t="str">
        <f>IF(X577="","",IFERROR(INDEX($AO$11:$AO$4010,MATCH(567,$AY$11:$AY$4010,0)),""))</f>
        <v/>
      </c>
      <c r="AA577" s="10" t="str">
        <f>IF(X577="","",IFERROR(INDEX($AQ$11:$AQ$4010,MATCH(567,$AY$11:$AY$4010,0)),""))</f>
        <v/>
      </c>
      <c r="AB577" s="15" t="str">
        <f>IF(X577="","",IFERROR(INDEX($AR$11:$AR$4010,MATCH(567,$AY$11:$AY$4010,0)),""))</f>
        <v/>
      </c>
      <c r="AD577" s="16" t="str">
        <f>IF(AE577="","",IFERROR(INDEX($AL$11:$AL$4010,MATCH(567,$AZ$11:$AZ$4010,0)),""))</f>
        <v/>
      </c>
      <c r="AE577" s="12" t="str">
        <f>IFERROR(INDEX($AM$11:$AM$4010,MATCH(567,$AZ$11:$AZ$4010,0)),"")</f>
        <v/>
      </c>
      <c r="AF577" s="11" t="str">
        <f>IF(AE577="","",IFERROR(INDEX($AN$11:$AN$4010,MATCH(567,$AZ$11:$AZ$4010,0)),""))</f>
        <v/>
      </c>
      <c r="AG577" s="11" t="str">
        <f>IF(AE577="","",IFERROR(INDEX($AO$11:$AO$4010,MATCH(567,$AZ$11:$AZ$4010,0)),""))</f>
        <v/>
      </c>
      <c r="AH577" s="10" t="str">
        <f>IF(AE577="","",IFERROR(INDEX($AQ$11:$AQ$4010,MATCH(567,$AZ$11:$AZ$4010,0)),""))</f>
        <v/>
      </c>
      <c r="AI577" s="15" t="str">
        <f>IF(AE577="","",IFERROR(INDEX($AR$11:$AR$4010,MATCH(567,$AZ$11:$AZ$4010,0)),""))</f>
        <v/>
      </c>
      <c r="AJ577" s="15" t="str">
        <f>IF(AE577="","",IFERROR(INDEX($AT$11:$AT$4010,MATCH(567,$AZ$11:$AZ$4010,0)),""))</f>
        <v/>
      </c>
      <c r="AL577" s="17"/>
      <c r="AM577" s="12"/>
      <c r="AN577" s="18"/>
      <c r="AO577" s="18"/>
      <c r="AP577" s="10"/>
      <c r="AQ577" s="10"/>
      <c r="AR577" s="19"/>
      <c r="AS577" s="20"/>
      <c r="AT577" s="19"/>
      <c r="AV577" s="21">
        <f>IF(AND($AL577&lt;&gt;"",COUNTIF($AL$11:$AL577,$AL577)=1),1,0)</f>
        <v>0</v>
      </c>
      <c r="AW577" s="21">
        <f t="shared" si="103"/>
        <v>0</v>
      </c>
      <c r="AX577" s="21" t="str">
        <f t="shared" si="102"/>
        <v/>
      </c>
      <c r="AY577" s="21" t="str">
        <f>IF(AND($AM577&lt;&gt;"",$AS577&lt;&gt;"✓"),SUMPRODUCT(($AM$11:$AM577&lt;&gt;"")*($AS$11:$AS577&lt;&gt;"✓")),"")</f>
        <v/>
      </c>
      <c r="AZ577" s="21" t="str">
        <f>IF(AND($AM577&lt;&gt;"",$AS577="✓"),SUMPRODUCT(($AM$11:$AM577&lt;&gt;"")*($AS$11:$AS577="✓")),"")</f>
        <v/>
      </c>
      <c r="BA577" s="21" t="str">
        <f>IF($AL577="","",$AL577&amp;"|"&amp;COUNTIF($AL$11:$AL577,$AL577))</f>
        <v/>
      </c>
    </row>
    <row r="578" spans="23:53" ht="15" customHeight="1" x14ac:dyDescent="0.25">
      <c r="W578" s="28" t="str">
        <f>IF(X578="","",IFERROR(INDEX($AL$11:$AL$4010,MATCH(568,$AY$11:$AY$4010,0)),""))</f>
        <v/>
      </c>
      <c r="X578" s="26" t="str">
        <f>IFERROR(INDEX($AM$11:$AM$4010,MATCH(568,$AY$11:$AY$4010,0)),"")</f>
        <v/>
      </c>
      <c r="Y578" s="25" t="str">
        <f>IF(X578="","",IFERROR(INDEX($AN$11:$AN$4010,MATCH(568,$AY$11:$AY$4010,0)),""))</f>
        <v/>
      </c>
      <c r="Z578" s="25" t="str">
        <f>IF(X578="","",IFERROR(INDEX($AO$11:$AO$4010,MATCH(568,$AY$11:$AY$4010,0)),""))</f>
        <v/>
      </c>
      <c r="AA578" s="24" t="str">
        <f>IF(X578="","",IFERROR(INDEX($AQ$11:$AQ$4010,MATCH(568,$AY$11:$AY$4010,0)),""))</f>
        <v/>
      </c>
      <c r="AB578" s="29" t="str">
        <f>IF(X578="","",IFERROR(INDEX($AR$11:$AR$4010,MATCH(568,$AY$11:$AY$4010,0)),""))</f>
        <v/>
      </c>
      <c r="AD578" s="30" t="str">
        <f>IF(AE578="","",IFERROR(INDEX($AL$11:$AL$4010,MATCH(568,$AZ$11:$AZ$4010,0)),""))</f>
        <v/>
      </c>
      <c r="AE578" s="26" t="str">
        <f>IFERROR(INDEX($AM$11:$AM$4010,MATCH(568,$AZ$11:$AZ$4010,0)),"")</f>
        <v/>
      </c>
      <c r="AF578" s="25" t="str">
        <f>IF(AE578="","",IFERROR(INDEX($AN$11:$AN$4010,MATCH(568,$AZ$11:$AZ$4010,0)),""))</f>
        <v/>
      </c>
      <c r="AG578" s="25" t="str">
        <f>IF(AE578="","",IFERROR(INDEX($AO$11:$AO$4010,MATCH(568,$AZ$11:$AZ$4010,0)),""))</f>
        <v/>
      </c>
      <c r="AH578" s="24" t="str">
        <f>IF(AE578="","",IFERROR(INDEX($AQ$11:$AQ$4010,MATCH(568,$AZ$11:$AZ$4010,0)),""))</f>
        <v/>
      </c>
      <c r="AI578" s="29" t="str">
        <f>IF(AE578="","",IFERROR(INDEX($AR$11:$AR$4010,MATCH(568,$AZ$11:$AZ$4010,0)),""))</f>
        <v/>
      </c>
      <c r="AJ578" s="29" t="str">
        <f>IF(AE578="","",IFERROR(INDEX($AT$11:$AT$4010,MATCH(568,$AZ$11:$AZ$4010,0)),""))</f>
        <v/>
      </c>
      <c r="AL578" s="31"/>
      <c r="AM578" s="26"/>
      <c r="AN578" s="32"/>
      <c r="AO578" s="32"/>
      <c r="AP578" s="24"/>
      <c r="AQ578" s="24"/>
      <c r="AR578" s="33"/>
      <c r="AS578" s="34"/>
      <c r="AT578" s="33"/>
      <c r="AV578" s="21">
        <f>IF(AND($AL578&lt;&gt;"",COUNTIF($AL$11:$AL578,$AL578)=1),1,0)</f>
        <v>0</v>
      </c>
      <c r="AW578" s="21">
        <f t="shared" si="103"/>
        <v>0</v>
      </c>
      <c r="AX578" s="21" t="str">
        <f t="shared" si="102"/>
        <v/>
      </c>
      <c r="AY578" s="21" t="str">
        <f>IF(AND($AM578&lt;&gt;"",$AS578&lt;&gt;"✓"),SUMPRODUCT(($AM$11:$AM578&lt;&gt;"")*($AS$11:$AS578&lt;&gt;"✓")),"")</f>
        <v/>
      </c>
      <c r="AZ578" s="21" t="str">
        <f>IF(AND($AM578&lt;&gt;"",$AS578="✓"),SUMPRODUCT(($AM$11:$AM578&lt;&gt;"")*($AS$11:$AS578="✓")),"")</f>
        <v/>
      </c>
      <c r="BA578" s="21" t="str">
        <f>IF($AL578="","",$AL578&amp;"|"&amp;COUNTIF($AL$11:$AL578,$AL578))</f>
        <v/>
      </c>
    </row>
    <row r="579" spans="23:53" ht="15" customHeight="1" x14ac:dyDescent="0.25">
      <c r="W579" s="14" t="str">
        <f>IF(X579="","",IFERROR(INDEX($AL$11:$AL$4010,MATCH(569,$AY$11:$AY$4010,0)),""))</f>
        <v/>
      </c>
      <c r="X579" s="12" t="str">
        <f>IFERROR(INDEX($AM$11:$AM$4010,MATCH(569,$AY$11:$AY$4010,0)),"")</f>
        <v/>
      </c>
      <c r="Y579" s="11" t="str">
        <f>IF(X579="","",IFERROR(INDEX($AN$11:$AN$4010,MATCH(569,$AY$11:$AY$4010,0)),""))</f>
        <v/>
      </c>
      <c r="Z579" s="11" t="str">
        <f>IF(X579="","",IFERROR(INDEX($AO$11:$AO$4010,MATCH(569,$AY$11:$AY$4010,0)),""))</f>
        <v/>
      </c>
      <c r="AA579" s="10" t="str">
        <f>IF(X579="","",IFERROR(INDEX($AQ$11:$AQ$4010,MATCH(569,$AY$11:$AY$4010,0)),""))</f>
        <v/>
      </c>
      <c r="AB579" s="15" t="str">
        <f>IF(X579="","",IFERROR(INDEX($AR$11:$AR$4010,MATCH(569,$AY$11:$AY$4010,0)),""))</f>
        <v/>
      </c>
      <c r="AD579" s="16" t="str">
        <f>IF(AE579="","",IFERROR(INDEX($AL$11:$AL$4010,MATCH(569,$AZ$11:$AZ$4010,0)),""))</f>
        <v/>
      </c>
      <c r="AE579" s="12" t="str">
        <f>IFERROR(INDEX($AM$11:$AM$4010,MATCH(569,$AZ$11:$AZ$4010,0)),"")</f>
        <v/>
      </c>
      <c r="AF579" s="11" t="str">
        <f>IF(AE579="","",IFERROR(INDEX($AN$11:$AN$4010,MATCH(569,$AZ$11:$AZ$4010,0)),""))</f>
        <v/>
      </c>
      <c r="AG579" s="11" t="str">
        <f>IF(AE579="","",IFERROR(INDEX($AO$11:$AO$4010,MATCH(569,$AZ$11:$AZ$4010,0)),""))</f>
        <v/>
      </c>
      <c r="AH579" s="10" t="str">
        <f>IF(AE579="","",IFERROR(INDEX($AQ$11:$AQ$4010,MATCH(569,$AZ$11:$AZ$4010,0)),""))</f>
        <v/>
      </c>
      <c r="AI579" s="15" t="str">
        <f>IF(AE579="","",IFERROR(INDEX($AR$11:$AR$4010,MATCH(569,$AZ$11:$AZ$4010,0)),""))</f>
        <v/>
      </c>
      <c r="AJ579" s="15" t="str">
        <f>IF(AE579="","",IFERROR(INDEX($AT$11:$AT$4010,MATCH(569,$AZ$11:$AZ$4010,0)),""))</f>
        <v/>
      </c>
      <c r="AL579" s="17"/>
      <c r="AM579" s="12"/>
      <c r="AN579" s="18"/>
      <c r="AO579" s="18"/>
      <c r="AP579" s="10"/>
      <c r="AQ579" s="10"/>
      <c r="AR579" s="19"/>
      <c r="AS579" s="20"/>
      <c r="AT579" s="19"/>
      <c r="AV579" s="21">
        <f>IF(AND($AL579&lt;&gt;"",COUNTIF($AL$11:$AL579,$AL579)=1),1,0)</f>
        <v>0</v>
      </c>
      <c r="AW579" s="21">
        <f t="shared" si="103"/>
        <v>0</v>
      </c>
      <c r="AX579" s="21" t="str">
        <f t="shared" si="102"/>
        <v/>
      </c>
      <c r="AY579" s="21" t="str">
        <f>IF(AND($AM579&lt;&gt;"",$AS579&lt;&gt;"✓"),SUMPRODUCT(($AM$11:$AM579&lt;&gt;"")*($AS$11:$AS579&lt;&gt;"✓")),"")</f>
        <v/>
      </c>
      <c r="AZ579" s="21" t="str">
        <f>IF(AND($AM579&lt;&gt;"",$AS579="✓"),SUMPRODUCT(($AM$11:$AM579&lt;&gt;"")*($AS$11:$AS579="✓")),"")</f>
        <v/>
      </c>
      <c r="BA579" s="21" t="str">
        <f>IF($AL579="","",$AL579&amp;"|"&amp;COUNTIF($AL$11:$AL579,$AL579))</f>
        <v/>
      </c>
    </row>
    <row r="580" spans="23:53" ht="15" customHeight="1" x14ac:dyDescent="0.25">
      <c r="W580" s="28" t="str">
        <f>IF(X580="","",IFERROR(INDEX($AL$11:$AL$4010,MATCH(570,$AY$11:$AY$4010,0)),""))</f>
        <v/>
      </c>
      <c r="X580" s="26" t="str">
        <f>IFERROR(INDEX($AM$11:$AM$4010,MATCH(570,$AY$11:$AY$4010,0)),"")</f>
        <v/>
      </c>
      <c r="Y580" s="25" t="str">
        <f>IF(X580="","",IFERROR(INDEX($AN$11:$AN$4010,MATCH(570,$AY$11:$AY$4010,0)),""))</f>
        <v/>
      </c>
      <c r="Z580" s="25" t="str">
        <f>IF(X580="","",IFERROR(INDEX($AO$11:$AO$4010,MATCH(570,$AY$11:$AY$4010,0)),""))</f>
        <v/>
      </c>
      <c r="AA580" s="24" t="str">
        <f>IF(X580="","",IFERROR(INDEX($AQ$11:$AQ$4010,MATCH(570,$AY$11:$AY$4010,0)),""))</f>
        <v/>
      </c>
      <c r="AB580" s="29" t="str">
        <f>IF(X580="","",IFERROR(INDEX($AR$11:$AR$4010,MATCH(570,$AY$11:$AY$4010,0)),""))</f>
        <v/>
      </c>
      <c r="AD580" s="30" t="str">
        <f>IF(AE580="","",IFERROR(INDEX($AL$11:$AL$4010,MATCH(570,$AZ$11:$AZ$4010,0)),""))</f>
        <v/>
      </c>
      <c r="AE580" s="26" t="str">
        <f>IFERROR(INDEX($AM$11:$AM$4010,MATCH(570,$AZ$11:$AZ$4010,0)),"")</f>
        <v/>
      </c>
      <c r="AF580" s="25" t="str">
        <f>IF(AE580="","",IFERROR(INDEX($AN$11:$AN$4010,MATCH(570,$AZ$11:$AZ$4010,0)),""))</f>
        <v/>
      </c>
      <c r="AG580" s="25" t="str">
        <f>IF(AE580="","",IFERROR(INDEX($AO$11:$AO$4010,MATCH(570,$AZ$11:$AZ$4010,0)),""))</f>
        <v/>
      </c>
      <c r="AH580" s="24" t="str">
        <f>IF(AE580="","",IFERROR(INDEX($AQ$11:$AQ$4010,MATCH(570,$AZ$11:$AZ$4010,0)),""))</f>
        <v/>
      </c>
      <c r="AI580" s="29" t="str">
        <f>IF(AE580="","",IFERROR(INDEX($AR$11:$AR$4010,MATCH(570,$AZ$11:$AZ$4010,0)),""))</f>
        <v/>
      </c>
      <c r="AJ580" s="29" t="str">
        <f>IF(AE580="","",IFERROR(INDEX($AT$11:$AT$4010,MATCH(570,$AZ$11:$AZ$4010,0)),""))</f>
        <v/>
      </c>
      <c r="AL580" s="31"/>
      <c r="AM580" s="26"/>
      <c r="AN580" s="32"/>
      <c r="AO580" s="32"/>
      <c r="AP580" s="24"/>
      <c r="AQ580" s="24"/>
      <c r="AR580" s="33"/>
      <c r="AS580" s="34"/>
      <c r="AT580" s="33"/>
      <c r="AV580" s="21">
        <f>IF(AND($AL580&lt;&gt;"",COUNTIF($AL$11:$AL580,$AL580)=1),1,0)</f>
        <v>0</v>
      </c>
      <c r="AW580" s="21">
        <f t="shared" si="103"/>
        <v>0</v>
      </c>
      <c r="AX580" s="21" t="str">
        <f t="shared" si="102"/>
        <v/>
      </c>
      <c r="AY580" s="21" t="str">
        <f>IF(AND($AM580&lt;&gt;"",$AS580&lt;&gt;"✓"),SUMPRODUCT(($AM$11:$AM580&lt;&gt;"")*($AS$11:$AS580&lt;&gt;"✓")),"")</f>
        <v/>
      </c>
      <c r="AZ580" s="21" t="str">
        <f>IF(AND($AM580&lt;&gt;"",$AS580="✓"),SUMPRODUCT(($AM$11:$AM580&lt;&gt;"")*($AS$11:$AS580="✓")),"")</f>
        <v/>
      </c>
      <c r="BA580" s="21" t="str">
        <f>IF($AL580="","",$AL580&amp;"|"&amp;COUNTIF($AL$11:$AL580,$AL580))</f>
        <v/>
      </c>
    </row>
    <row r="581" spans="23:53" ht="15" customHeight="1" x14ac:dyDescent="0.25">
      <c r="W581" s="14" t="str">
        <f>IF(X581="","",IFERROR(INDEX($AL$11:$AL$4010,MATCH(571,$AY$11:$AY$4010,0)),""))</f>
        <v/>
      </c>
      <c r="X581" s="12" t="str">
        <f>IFERROR(INDEX($AM$11:$AM$4010,MATCH(571,$AY$11:$AY$4010,0)),"")</f>
        <v/>
      </c>
      <c r="Y581" s="11" t="str">
        <f>IF(X581="","",IFERROR(INDEX($AN$11:$AN$4010,MATCH(571,$AY$11:$AY$4010,0)),""))</f>
        <v/>
      </c>
      <c r="Z581" s="11" t="str">
        <f>IF(X581="","",IFERROR(INDEX($AO$11:$AO$4010,MATCH(571,$AY$11:$AY$4010,0)),""))</f>
        <v/>
      </c>
      <c r="AA581" s="10" t="str">
        <f>IF(X581="","",IFERROR(INDEX($AQ$11:$AQ$4010,MATCH(571,$AY$11:$AY$4010,0)),""))</f>
        <v/>
      </c>
      <c r="AB581" s="15" t="str">
        <f>IF(X581="","",IFERROR(INDEX($AR$11:$AR$4010,MATCH(571,$AY$11:$AY$4010,0)),""))</f>
        <v/>
      </c>
      <c r="AD581" s="16" t="str">
        <f>IF(AE581="","",IFERROR(INDEX($AL$11:$AL$4010,MATCH(571,$AZ$11:$AZ$4010,0)),""))</f>
        <v/>
      </c>
      <c r="AE581" s="12" t="str">
        <f>IFERROR(INDEX($AM$11:$AM$4010,MATCH(571,$AZ$11:$AZ$4010,0)),"")</f>
        <v/>
      </c>
      <c r="AF581" s="11" t="str">
        <f>IF(AE581="","",IFERROR(INDEX($AN$11:$AN$4010,MATCH(571,$AZ$11:$AZ$4010,0)),""))</f>
        <v/>
      </c>
      <c r="AG581" s="11" t="str">
        <f>IF(AE581="","",IFERROR(INDEX($AO$11:$AO$4010,MATCH(571,$AZ$11:$AZ$4010,0)),""))</f>
        <v/>
      </c>
      <c r="AH581" s="10" t="str">
        <f>IF(AE581="","",IFERROR(INDEX($AQ$11:$AQ$4010,MATCH(571,$AZ$11:$AZ$4010,0)),""))</f>
        <v/>
      </c>
      <c r="AI581" s="15" t="str">
        <f>IF(AE581="","",IFERROR(INDEX($AR$11:$AR$4010,MATCH(571,$AZ$11:$AZ$4010,0)),""))</f>
        <v/>
      </c>
      <c r="AJ581" s="15" t="str">
        <f>IF(AE581="","",IFERROR(INDEX($AT$11:$AT$4010,MATCH(571,$AZ$11:$AZ$4010,0)),""))</f>
        <v/>
      </c>
      <c r="AL581" s="17"/>
      <c r="AM581" s="12"/>
      <c r="AN581" s="18"/>
      <c r="AO581" s="18"/>
      <c r="AP581" s="10"/>
      <c r="AQ581" s="10"/>
      <c r="AR581" s="19"/>
      <c r="AS581" s="20"/>
      <c r="AT581" s="19"/>
      <c r="AV581" s="21">
        <f>IF(AND($AL581&lt;&gt;"",COUNTIF($AL$11:$AL581,$AL581)=1),1,0)</f>
        <v>0</v>
      </c>
      <c r="AW581" s="21">
        <f t="shared" si="103"/>
        <v>0</v>
      </c>
      <c r="AX581" s="21" t="str">
        <f t="shared" si="102"/>
        <v/>
      </c>
      <c r="AY581" s="21" t="str">
        <f>IF(AND($AM581&lt;&gt;"",$AS581&lt;&gt;"✓"),SUMPRODUCT(($AM$11:$AM581&lt;&gt;"")*($AS$11:$AS581&lt;&gt;"✓")),"")</f>
        <v/>
      </c>
      <c r="AZ581" s="21" t="str">
        <f>IF(AND($AM581&lt;&gt;"",$AS581="✓"),SUMPRODUCT(($AM$11:$AM581&lt;&gt;"")*($AS$11:$AS581="✓")),"")</f>
        <v/>
      </c>
      <c r="BA581" s="21" t="str">
        <f>IF($AL581="","",$AL581&amp;"|"&amp;COUNTIF($AL$11:$AL581,$AL581))</f>
        <v/>
      </c>
    </row>
    <row r="582" spans="23:53" ht="15" customHeight="1" x14ac:dyDescent="0.25">
      <c r="W582" s="28" t="str">
        <f>IF(X582="","",IFERROR(INDEX($AL$11:$AL$4010,MATCH(572,$AY$11:$AY$4010,0)),""))</f>
        <v/>
      </c>
      <c r="X582" s="26" t="str">
        <f>IFERROR(INDEX($AM$11:$AM$4010,MATCH(572,$AY$11:$AY$4010,0)),"")</f>
        <v/>
      </c>
      <c r="Y582" s="25" t="str">
        <f>IF(X582="","",IFERROR(INDEX($AN$11:$AN$4010,MATCH(572,$AY$11:$AY$4010,0)),""))</f>
        <v/>
      </c>
      <c r="Z582" s="25" t="str">
        <f>IF(X582="","",IFERROR(INDEX($AO$11:$AO$4010,MATCH(572,$AY$11:$AY$4010,0)),""))</f>
        <v/>
      </c>
      <c r="AA582" s="24" t="str">
        <f>IF(X582="","",IFERROR(INDEX($AQ$11:$AQ$4010,MATCH(572,$AY$11:$AY$4010,0)),""))</f>
        <v/>
      </c>
      <c r="AB582" s="29" t="str">
        <f>IF(X582="","",IFERROR(INDEX($AR$11:$AR$4010,MATCH(572,$AY$11:$AY$4010,0)),""))</f>
        <v/>
      </c>
      <c r="AD582" s="30" t="str">
        <f>IF(AE582="","",IFERROR(INDEX($AL$11:$AL$4010,MATCH(572,$AZ$11:$AZ$4010,0)),""))</f>
        <v/>
      </c>
      <c r="AE582" s="26" t="str">
        <f>IFERROR(INDEX($AM$11:$AM$4010,MATCH(572,$AZ$11:$AZ$4010,0)),"")</f>
        <v/>
      </c>
      <c r="AF582" s="25" t="str">
        <f>IF(AE582="","",IFERROR(INDEX($AN$11:$AN$4010,MATCH(572,$AZ$11:$AZ$4010,0)),""))</f>
        <v/>
      </c>
      <c r="AG582" s="25" t="str">
        <f>IF(AE582="","",IFERROR(INDEX($AO$11:$AO$4010,MATCH(572,$AZ$11:$AZ$4010,0)),""))</f>
        <v/>
      </c>
      <c r="AH582" s="24" t="str">
        <f>IF(AE582="","",IFERROR(INDEX($AQ$11:$AQ$4010,MATCH(572,$AZ$11:$AZ$4010,0)),""))</f>
        <v/>
      </c>
      <c r="AI582" s="29" t="str">
        <f>IF(AE582="","",IFERROR(INDEX($AR$11:$AR$4010,MATCH(572,$AZ$11:$AZ$4010,0)),""))</f>
        <v/>
      </c>
      <c r="AJ582" s="29" t="str">
        <f>IF(AE582="","",IFERROR(INDEX($AT$11:$AT$4010,MATCH(572,$AZ$11:$AZ$4010,0)),""))</f>
        <v/>
      </c>
      <c r="AL582" s="31"/>
      <c r="AM582" s="26"/>
      <c r="AN582" s="32"/>
      <c r="AO582" s="32"/>
      <c r="AP582" s="24"/>
      <c r="AQ582" s="24"/>
      <c r="AR582" s="33"/>
      <c r="AS582" s="34"/>
      <c r="AT582" s="33"/>
      <c r="AV582" s="21">
        <f>IF(AND($AL582&lt;&gt;"",COUNTIF($AL$11:$AL582,$AL582)=1),1,0)</f>
        <v>0</v>
      </c>
      <c r="AW582" s="21">
        <f t="shared" si="103"/>
        <v>0</v>
      </c>
      <c r="AX582" s="21" t="str">
        <f t="shared" si="102"/>
        <v/>
      </c>
      <c r="AY582" s="21" t="str">
        <f>IF(AND($AM582&lt;&gt;"",$AS582&lt;&gt;"✓"),SUMPRODUCT(($AM$11:$AM582&lt;&gt;"")*($AS$11:$AS582&lt;&gt;"✓")),"")</f>
        <v/>
      </c>
      <c r="AZ582" s="21" t="str">
        <f>IF(AND($AM582&lt;&gt;"",$AS582="✓"),SUMPRODUCT(($AM$11:$AM582&lt;&gt;"")*($AS$11:$AS582="✓")),"")</f>
        <v/>
      </c>
      <c r="BA582" s="21" t="str">
        <f>IF($AL582="","",$AL582&amp;"|"&amp;COUNTIF($AL$11:$AL582,$AL582))</f>
        <v/>
      </c>
    </row>
    <row r="583" spans="23:53" ht="15" customHeight="1" x14ac:dyDescent="0.25">
      <c r="W583" s="14" t="str">
        <f>IF(X583="","",IFERROR(INDEX($AL$11:$AL$4010,MATCH(573,$AY$11:$AY$4010,0)),""))</f>
        <v/>
      </c>
      <c r="X583" s="12" t="str">
        <f>IFERROR(INDEX($AM$11:$AM$4010,MATCH(573,$AY$11:$AY$4010,0)),"")</f>
        <v/>
      </c>
      <c r="Y583" s="11" t="str">
        <f>IF(X583="","",IFERROR(INDEX($AN$11:$AN$4010,MATCH(573,$AY$11:$AY$4010,0)),""))</f>
        <v/>
      </c>
      <c r="Z583" s="11" t="str">
        <f>IF(X583="","",IFERROR(INDEX($AO$11:$AO$4010,MATCH(573,$AY$11:$AY$4010,0)),""))</f>
        <v/>
      </c>
      <c r="AA583" s="10" t="str">
        <f>IF(X583="","",IFERROR(INDEX($AQ$11:$AQ$4010,MATCH(573,$AY$11:$AY$4010,0)),""))</f>
        <v/>
      </c>
      <c r="AB583" s="15" t="str">
        <f>IF(X583="","",IFERROR(INDEX($AR$11:$AR$4010,MATCH(573,$AY$11:$AY$4010,0)),""))</f>
        <v/>
      </c>
      <c r="AD583" s="16" t="str">
        <f>IF(AE583="","",IFERROR(INDEX($AL$11:$AL$4010,MATCH(573,$AZ$11:$AZ$4010,0)),""))</f>
        <v/>
      </c>
      <c r="AE583" s="12" t="str">
        <f>IFERROR(INDEX($AM$11:$AM$4010,MATCH(573,$AZ$11:$AZ$4010,0)),"")</f>
        <v/>
      </c>
      <c r="AF583" s="11" t="str">
        <f>IF(AE583="","",IFERROR(INDEX($AN$11:$AN$4010,MATCH(573,$AZ$11:$AZ$4010,0)),""))</f>
        <v/>
      </c>
      <c r="AG583" s="11" t="str">
        <f>IF(AE583="","",IFERROR(INDEX($AO$11:$AO$4010,MATCH(573,$AZ$11:$AZ$4010,0)),""))</f>
        <v/>
      </c>
      <c r="AH583" s="10" t="str">
        <f>IF(AE583="","",IFERROR(INDEX($AQ$11:$AQ$4010,MATCH(573,$AZ$11:$AZ$4010,0)),""))</f>
        <v/>
      </c>
      <c r="AI583" s="15" t="str">
        <f>IF(AE583="","",IFERROR(INDEX($AR$11:$AR$4010,MATCH(573,$AZ$11:$AZ$4010,0)),""))</f>
        <v/>
      </c>
      <c r="AJ583" s="15" t="str">
        <f>IF(AE583="","",IFERROR(INDEX($AT$11:$AT$4010,MATCH(573,$AZ$11:$AZ$4010,0)),""))</f>
        <v/>
      </c>
      <c r="AL583" s="17"/>
      <c r="AM583" s="12"/>
      <c r="AN583" s="18"/>
      <c r="AO583" s="18"/>
      <c r="AP583" s="10"/>
      <c r="AQ583" s="10"/>
      <c r="AR583" s="19"/>
      <c r="AS583" s="20"/>
      <c r="AT583" s="19"/>
      <c r="AV583" s="21">
        <f>IF(AND($AL583&lt;&gt;"",COUNTIF($AL$11:$AL583,$AL583)=1),1,0)</f>
        <v>0</v>
      </c>
      <c r="AW583" s="21">
        <f t="shared" si="103"/>
        <v>0</v>
      </c>
      <c r="AX583" s="21" t="str">
        <f t="shared" si="102"/>
        <v/>
      </c>
      <c r="AY583" s="21" t="str">
        <f>IF(AND($AM583&lt;&gt;"",$AS583&lt;&gt;"✓"),SUMPRODUCT(($AM$11:$AM583&lt;&gt;"")*($AS$11:$AS583&lt;&gt;"✓")),"")</f>
        <v/>
      </c>
      <c r="AZ583" s="21" t="str">
        <f>IF(AND($AM583&lt;&gt;"",$AS583="✓"),SUMPRODUCT(($AM$11:$AM583&lt;&gt;"")*($AS$11:$AS583="✓")),"")</f>
        <v/>
      </c>
      <c r="BA583" s="21" t="str">
        <f>IF($AL583="","",$AL583&amp;"|"&amp;COUNTIF($AL$11:$AL583,$AL583))</f>
        <v/>
      </c>
    </row>
    <row r="584" spans="23:53" ht="15" customHeight="1" x14ac:dyDescent="0.25">
      <c r="W584" s="28" t="str">
        <f>IF(X584="","",IFERROR(INDEX($AL$11:$AL$4010,MATCH(574,$AY$11:$AY$4010,0)),""))</f>
        <v/>
      </c>
      <c r="X584" s="26" t="str">
        <f>IFERROR(INDEX($AM$11:$AM$4010,MATCH(574,$AY$11:$AY$4010,0)),"")</f>
        <v/>
      </c>
      <c r="Y584" s="25" t="str">
        <f>IF(X584="","",IFERROR(INDEX($AN$11:$AN$4010,MATCH(574,$AY$11:$AY$4010,0)),""))</f>
        <v/>
      </c>
      <c r="Z584" s="25" t="str">
        <f>IF(X584="","",IFERROR(INDEX($AO$11:$AO$4010,MATCH(574,$AY$11:$AY$4010,0)),""))</f>
        <v/>
      </c>
      <c r="AA584" s="24" t="str">
        <f>IF(X584="","",IFERROR(INDEX($AQ$11:$AQ$4010,MATCH(574,$AY$11:$AY$4010,0)),""))</f>
        <v/>
      </c>
      <c r="AB584" s="29" t="str">
        <f>IF(X584="","",IFERROR(INDEX($AR$11:$AR$4010,MATCH(574,$AY$11:$AY$4010,0)),""))</f>
        <v/>
      </c>
      <c r="AD584" s="30" t="str">
        <f>IF(AE584="","",IFERROR(INDEX($AL$11:$AL$4010,MATCH(574,$AZ$11:$AZ$4010,0)),""))</f>
        <v/>
      </c>
      <c r="AE584" s="26" t="str">
        <f>IFERROR(INDEX($AM$11:$AM$4010,MATCH(574,$AZ$11:$AZ$4010,0)),"")</f>
        <v/>
      </c>
      <c r="AF584" s="25" t="str">
        <f>IF(AE584="","",IFERROR(INDEX($AN$11:$AN$4010,MATCH(574,$AZ$11:$AZ$4010,0)),""))</f>
        <v/>
      </c>
      <c r="AG584" s="25" t="str">
        <f>IF(AE584="","",IFERROR(INDEX($AO$11:$AO$4010,MATCH(574,$AZ$11:$AZ$4010,0)),""))</f>
        <v/>
      </c>
      <c r="AH584" s="24" t="str">
        <f>IF(AE584="","",IFERROR(INDEX($AQ$11:$AQ$4010,MATCH(574,$AZ$11:$AZ$4010,0)),""))</f>
        <v/>
      </c>
      <c r="AI584" s="29" t="str">
        <f>IF(AE584="","",IFERROR(INDEX($AR$11:$AR$4010,MATCH(574,$AZ$11:$AZ$4010,0)),""))</f>
        <v/>
      </c>
      <c r="AJ584" s="29" t="str">
        <f>IF(AE584="","",IFERROR(INDEX($AT$11:$AT$4010,MATCH(574,$AZ$11:$AZ$4010,0)),""))</f>
        <v/>
      </c>
      <c r="AL584" s="31"/>
      <c r="AM584" s="26"/>
      <c r="AN584" s="32"/>
      <c r="AO584" s="32"/>
      <c r="AP584" s="24"/>
      <c r="AQ584" s="24"/>
      <c r="AR584" s="33"/>
      <c r="AS584" s="34"/>
      <c r="AT584" s="33"/>
      <c r="AV584" s="21">
        <f>IF(AND($AL584&lt;&gt;"",COUNTIF($AL$11:$AL584,$AL584)=1),1,0)</f>
        <v>0</v>
      </c>
      <c r="AW584" s="21">
        <f t="shared" si="103"/>
        <v>0</v>
      </c>
      <c r="AX584" s="21" t="str">
        <f t="shared" si="102"/>
        <v/>
      </c>
      <c r="AY584" s="21" t="str">
        <f>IF(AND($AM584&lt;&gt;"",$AS584&lt;&gt;"✓"),SUMPRODUCT(($AM$11:$AM584&lt;&gt;"")*($AS$11:$AS584&lt;&gt;"✓")),"")</f>
        <v/>
      </c>
      <c r="AZ584" s="21" t="str">
        <f>IF(AND($AM584&lt;&gt;"",$AS584="✓"),SUMPRODUCT(($AM$11:$AM584&lt;&gt;"")*($AS$11:$AS584="✓")),"")</f>
        <v/>
      </c>
      <c r="BA584" s="21" t="str">
        <f>IF($AL584="","",$AL584&amp;"|"&amp;COUNTIF($AL$11:$AL584,$AL584))</f>
        <v/>
      </c>
    </row>
    <row r="585" spans="23:53" ht="15" customHeight="1" x14ac:dyDescent="0.25">
      <c r="W585" s="14" t="str">
        <f>IF(X585="","",IFERROR(INDEX($AL$11:$AL$4010,MATCH(575,$AY$11:$AY$4010,0)),""))</f>
        <v/>
      </c>
      <c r="X585" s="12" t="str">
        <f>IFERROR(INDEX($AM$11:$AM$4010,MATCH(575,$AY$11:$AY$4010,0)),"")</f>
        <v/>
      </c>
      <c r="Y585" s="11" t="str">
        <f>IF(X585="","",IFERROR(INDEX($AN$11:$AN$4010,MATCH(575,$AY$11:$AY$4010,0)),""))</f>
        <v/>
      </c>
      <c r="Z585" s="11" t="str">
        <f>IF(X585="","",IFERROR(INDEX($AO$11:$AO$4010,MATCH(575,$AY$11:$AY$4010,0)),""))</f>
        <v/>
      </c>
      <c r="AA585" s="10" t="str">
        <f>IF(X585="","",IFERROR(INDEX($AQ$11:$AQ$4010,MATCH(575,$AY$11:$AY$4010,0)),""))</f>
        <v/>
      </c>
      <c r="AB585" s="15" t="str">
        <f>IF(X585="","",IFERROR(INDEX($AR$11:$AR$4010,MATCH(575,$AY$11:$AY$4010,0)),""))</f>
        <v/>
      </c>
      <c r="AD585" s="16" t="str">
        <f>IF(AE585="","",IFERROR(INDEX($AL$11:$AL$4010,MATCH(575,$AZ$11:$AZ$4010,0)),""))</f>
        <v/>
      </c>
      <c r="AE585" s="12" t="str">
        <f>IFERROR(INDEX($AM$11:$AM$4010,MATCH(575,$AZ$11:$AZ$4010,0)),"")</f>
        <v/>
      </c>
      <c r="AF585" s="11" t="str">
        <f>IF(AE585="","",IFERROR(INDEX($AN$11:$AN$4010,MATCH(575,$AZ$11:$AZ$4010,0)),""))</f>
        <v/>
      </c>
      <c r="AG585" s="11" t="str">
        <f>IF(AE585="","",IFERROR(INDEX($AO$11:$AO$4010,MATCH(575,$AZ$11:$AZ$4010,0)),""))</f>
        <v/>
      </c>
      <c r="AH585" s="10" t="str">
        <f>IF(AE585="","",IFERROR(INDEX($AQ$11:$AQ$4010,MATCH(575,$AZ$11:$AZ$4010,0)),""))</f>
        <v/>
      </c>
      <c r="AI585" s="15" t="str">
        <f>IF(AE585="","",IFERROR(INDEX($AR$11:$AR$4010,MATCH(575,$AZ$11:$AZ$4010,0)),""))</f>
        <v/>
      </c>
      <c r="AJ585" s="15" t="str">
        <f>IF(AE585="","",IFERROR(INDEX($AT$11:$AT$4010,MATCH(575,$AZ$11:$AZ$4010,0)),""))</f>
        <v/>
      </c>
      <c r="AL585" s="17"/>
      <c r="AM585" s="12"/>
      <c r="AN585" s="18"/>
      <c r="AO585" s="18"/>
      <c r="AP585" s="10"/>
      <c r="AQ585" s="10"/>
      <c r="AR585" s="19"/>
      <c r="AS585" s="20"/>
      <c r="AT585" s="19"/>
      <c r="AV585" s="21">
        <f>IF(AND($AL585&lt;&gt;"",COUNTIF($AL$11:$AL585,$AL585)=1),1,0)</f>
        <v>0</v>
      </c>
      <c r="AW585" s="21">
        <f t="shared" si="103"/>
        <v>0</v>
      </c>
      <c r="AX585" s="21" t="str">
        <f t="shared" si="102"/>
        <v/>
      </c>
      <c r="AY585" s="21" t="str">
        <f>IF(AND($AM585&lt;&gt;"",$AS585&lt;&gt;"✓"),SUMPRODUCT(($AM$11:$AM585&lt;&gt;"")*($AS$11:$AS585&lt;&gt;"✓")),"")</f>
        <v/>
      </c>
      <c r="AZ585" s="21" t="str">
        <f>IF(AND($AM585&lt;&gt;"",$AS585="✓"),SUMPRODUCT(($AM$11:$AM585&lt;&gt;"")*($AS$11:$AS585="✓")),"")</f>
        <v/>
      </c>
      <c r="BA585" s="21" t="str">
        <f>IF($AL585="","",$AL585&amp;"|"&amp;COUNTIF($AL$11:$AL585,$AL585))</f>
        <v/>
      </c>
    </row>
    <row r="586" spans="23:53" ht="15" customHeight="1" x14ac:dyDescent="0.25">
      <c r="W586" s="28" t="str">
        <f>IF(X586="","",IFERROR(INDEX($AL$11:$AL$4010,MATCH(576,$AY$11:$AY$4010,0)),""))</f>
        <v/>
      </c>
      <c r="X586" s="26" t="str">
        <f>IFERROR(INDEX($AM$11:$AM$4010,MATCH(576,$AY$11:$AY$4010,0)),"")</f>
        <v/>
      </c>
      <c r="Y586" s="25" t="str">
        <f>IF(X586="","",IFERROR(INDEX($AN$11:$AN$4010,MATCH(576,$AY$11:$AY$4010,0)),""))</f>
        <v/>
      </c>
      <c r="Z586" s="25" t="str">
        <f>IF(X586="","",IFERROR(INDEX($AO$11:$AO$4010,MATCH(576,$AY$11:$AY$4010,0)),""))</f>
        <v/>
      </c>
      <c r="AA586" s="24" t="str">
        <f>IF(X586="","",IFERROR(INDEX($AQ$11:$AQ$4010,MATCH(576,$AY$11:$AY$4010,0)),""))</f>
        <v/>
      </c>
      <c r="AB586" s="29" t="str">
        <f>IF(X586="","",IFERROR(INDEX($AR$11:$AR$4010,MATCH(576,$AY$11:$AY$4010,0)),""))</f>
        <v/>
      </c>
      <c r="AD586" s="30" t="str">
        <f>IF(AE586="","",IFERROR(INDEX($AL$11:$AL$4010,MATCH(576,$AZ$11:$AZ$4010,0)),""))</f>
        <v/>
      </c>
      <c r="AE586" s="26" t="str">
        <f>IFERROR(INDEX($AM$11:$AM$4010,MATCH(576,$AZ$11:$AZ$4010,0)),"")</f>
        <v/>
      </c>
      <c r="AF586" s="25" t="str">
        <f>IF(AE586="","",IFERROR(INDEX($AN$11:$AN$4010,MATCH(576,$AZ$11:$AZ$4010,0)),""))</f>
        <v/>
      </c>
      <c r="AG586" s="25" t="str">
        <f>IF(AE586="","",IFERROR(INDEX($AO$11:$AO$4010,MATCH(576,$AZ$11:$AZ$4010,0)),""))</f>
        <v/>
      </c>
      <c r="AH586" s="24" t="str">
        <f>IF(AE586="","",IFERROR(INDEX($AQ$11:$AQ$4010,MATCH(576,$AZ$11:$AZ$4010,0)),""))</f>
        <v/>
      </c>
      <c r="AI586" s="29" t="str">
        <f>IF(AE586="","",IFERROR(INDEX($AR$11:$AR$4010,MATCH(576,$AZ$11:$AZ$4010,0)),""))</f>
        <v/>
      </c>
      <c r="AJ586" s="29" t="str">
        <f>IF(AE586="","",IFERROR(INDEX($AT$11:$AT$4010,MATCH(576,$AZ$11:$AZ$4010,0)),""))</f>
        <v/>
      </c>
      <c r="AL586" s="31"/>
      <c r="AM586" s="26"/>
      <c r="AN586" s="32"/>
      <c r="AO586" s="32"/>
      <c r="AP586" s="24"/>
      <c r="AQ586" s="24"/>
      <c r="AR586" s="33"/>
      <c r="AS586" s="34"/>
      <c r="AT586" s="33"/>
      <c r="AV586" s="21">
        <f>IF(AND($AL586&lt;&gt;"",COUNTIF($AL$11:$AL586,$AL586)=1),1,0)</f>
        <v>0</v>
      </c>
      <c r="AW586" s="21">
        <f t="shared" si="103"/>
        <v>0</v>
      </c>
      <c r="AX586" s="21" t="str">
        <f t="shared" si="102"/>
        <v/>
      </c>
      <c r="AY586" s="21" t="str">
        <f>IF(AND($AM586&lt;&gt;"",$AS586&lt;&gt;"✓"),SUMPRODUCT(($AM$11:$AM586&lt;&gt;"")*($AS$11:$AS586&lt;&gt;"✓")),"")</f>
        <v/>
      </c>
      <c r="AZ586" s="21" t="str">
        <f>IF(AND($AM586&lt;&gt;"",$AS586="✓"),SUMPRODUCT(($AM$11:$AM586&lt;&gt;"")*($AS$11:$AS586="✓")),"")</f>
        <v/>
      </c>
      <c r="BA586" s="21" t="str">
        <f>IF($AL586="","",$AL586&amp;"|"&amp;COUNTIF($AL$11:$AL586,$AL586))</f>
        <v/>
      </c>
    </row>
    <row r="587" spans="23:53" ht="15" customHeight="1" x14ac:dyDescent="0.25">
      <c r="W587" s="14" t="str">
        <f>IF(X587="","",IFERROR(INDEX($AL$11:$AL$4010,MATCH(577,$AY$11:$AY$4010,0)),""))</f>
        <v/>
      </c>
      <c r="X587" s="12" t="str">
        <f>IFERROR(INDEX($AM$11:$AM$4010,MATCH(577,$AY$11:$AY$4010,0)),"")</f>
        <v/>
      </c>
      <c r="Y587" s="11" t="str">
        <f>IF(X587="","",IFERROR(INDEX($AN$11:$AN$4010,MATCH(577,$AY$11:$AY$4010,0)),""))</f>
        <v/>
      </c>
      <c r="Z587" s="11" t="str">
        <f>IF(X587="","",IFERROR(INDEX($AO$11:$AO$4010,MATCH(577,$AY$11:$AY$4010,0)),""))</f>
        <v/>
      </c>
      <c r="AA587" s="10" t="str">
        <f>IF(X587="","",IFERROR(INDEX($AQ$11:$AQ$4010,MATCH(577,$AY$11:$AY$4010,0)),""))</f>
        <v/>
      </c>
      <c r="AB587" s="15" t="str">
        <f>IF(X587="","",IFERROR(INDEX($AR$11:$AR$4010,MATCH(577,$AY$11:$AY$4010,0)),""))</f>
        <v/>
      </c>
      <c r="AD587" s="16" t="str">
        <f>IF(AE587="","",IFERROR(INDEX($AL$11:$AL$4010,MATCH(577,$AZ$11:$AZ$4010,0)),""))</f>
        <v/>
      </c>
      <c r="AE587" s="12" t="str">
        <f>IFERROR(INDEX($AM$11:$AM$4010,MATCH(577,$AZ$11:$AZ$4010,0)),"")</f>
        <v/>
      </c>
      <c r="AF587" s="11" t="str">
        <f>IF(AE587="","",IFERROR(INDEX($AN$11:$AN$4010,MATCH(577,$AZ$11:$AZ$4010,0)),""))</f>
        <v/>
      </c>
      <c r="AG587" s="11" t="str">
        <f>IF(AE587="","",IFERROR(INDEX($AO$11:$AO$4010,MATCH(577,$AZ$11:$AZ$4010,0)),""))</f>
        <v/>
      </c>
      <c r="AH587" s="10" t="str">
        <f>IF(AE587="","",IFERROR(INDEX($AQ$11:$AQ$4010,MATCH(577,$AZ$11:$AZ$4010,0)),""))</f>
        <v/>
      </c>
      <c r="AI587" s="15" t="str">
        <f>IF(AE587="","",IFERROR(INDEX($AR$11:$AR$4010,MATCH(577,$AZ$11:$AZ$4010,0)),""))</f>
        <v/>
      </c>
      <c r="AJ587" s="15" t="str">
        <f>IF(AE587="","",IFERROR(INDEX($AT$11:$AT$4010,MATCH(577,$AZ$11:$AZ$4010,0)),""))</f>
        <v/>
      </c>
      <c r="AL587" s="17"/>
      <c r="AM587" s="12"/>
      <c r="AN587" s="18"/>
      <c r="AO587" s="18"/>
      <c r="AP587" s="10"/>
      <c r="AQ587" s="10"/>
      <c r="AR587" s="19"/>
      <c r="AS587" s="20"/>
      <c r="AT587" s="19"/>
      <c r="AV587" s="21">
        <f>IF(AND($AL587&lt;&gt;"",COUNTIF($AL$11:$AL587,$AL587)=1),1,0)</f>
        <v>0</v>
      </c>
      <c r="AW587" s="21">
        <f t="shared" si="103"/>
        <v>0</v>
      </c>
      <c r="AX587" s="21" t="str">
        <f t="shared" ref="AX587:AX650" si="104">IF(AV587=1,AW587,"")</f>
        <v/>
      </c>
      <c r="AY587" s="21" t="str">
        <f>IF(AND($AM587&lt;&gt;"",$AS587&lt;&gt;"✓"),SUMPRODUCT(($AM$11:$AM587&lt;&gt;"")*($AS$11:$AS587&lt;&gt;"✓")),"")</f>
        <v/>
      </c>
      <c r="AZ587" s="21" t="str">
        <f>IF(AND($AM587&lt;&gt;"",$AS587="✓"),SUMPRODUCT(($AM$11:$AM587&lt;&gt;"")*($AS$11:$AS587="✓")),"")</f>
        <v/>
      </c>
      <c r="BA587" s="21" t="str">
        <f>IF($AL587="","",$AL587&amp;"|"&amp;COUNTIF($AL$11:$AL587,$AL587))</f>
        <v/>
      </c>
    </row>
    <row r="588" spans="23:53" ht="15" customHeight="1" x14ac:dyDescent="0.25">
      <c r="W588" s="28" t="str">
        <f>IF(X588="","",IFERROR(INDEX($AL$11:$AL$4010,MATCH(578,$AY$11:$AY$4010,0)),""))</f>
        <v/>
      </c>
      <c r="X588" s="26" t="str">
        <f>IFERROR(INDEX($AM$11:$AM$4010,MATCH(578,$AY$11:$AY$4010,0)),"")</f>
        <v/>
      </c>
      <c r="Y588" s="25" t="str">
        <f>IF(X588="","",IFERROR(INDEX($AN$11:$AN$4010,MATCH(578,$AY$11:$AY$4010,0)),""))</f>
        <v/>
      </c>
      <c r="Z588" s="25" t="str">
        <f>IF(X588="","",IFERROR(INDEX($AO$11:$AO$4010,MATCH(578,$AY$11:$AY$4010,0)),""))</f>
        <v/>
      </c>
      <c r="AA588" s="24" t="str">
        <f>IF(X588="","",IFERROR(INDEX($AQ$11:$AQ$4010,MATCH(578,$AY$11:$AY$4010,0)),""))</f>
        <v/>
      </c>
      <c r="AB588" s="29" t="str">
        <f>IF(X588="","",IFERROR(INDEX($AR$11:$AR$4010,MATCH(578,$AY$11:$AY$4010,0)),""))</f>
        <v/>
      </c>
      <c r="AD588" s="30" t="str">
        <f>IF(AE588="","",IFERROR(INDEX($AL$11:$AL$4010,MATCH(578,$AZ$11:$AZ$4010,0)),""))</f>
        <v/>
      </c>
      <c r="AE588" s="26" t="str">
        <f>IFERROR(INDEX($AM$11:$AM$4010,MATCH(578,$AZ$11:$AZ$4010,0)),"")</f>
        <v/>
      </c>
      <c r="AF588" s="25" t="str">
        <f>IF(AE588="","",IFERROR(INDEX($AN$11:$AN$4010,MATCH(578,$AZ$11:$AZ$4010,0)),""))</f>
        <v/>
      </c>
      <c r="AG588" s="25" t="str">
        <f>IF(AE588="","",IFERROR(INDEX($AO$11:$AO$4010,MATCH(578,$AZ$11:$AZ$4010,0)),""))</f>
        <v/>
      </c>
      <c r="AH588" s="24" t="str">
        <f>IF(AE588="","",IFERROR(INDEX($AQ$11:$AQ$4010,MATCH(578,$AZ$11:$AZ$4010,0)),""))</f>
        <v/>
      </c>
      <c r="AI588" s="29" t="str">
        <f>IF(AE588="","",IFERROR(INDEX($AR$11:$AR$4010,MATCH(578,$AZ$11:$AZ$4010,0)),""))</f>
        <v/>
      </c>
      <c r="AJ588" s="29" t="str">
        <f>IF(AE588="","",IFERROR(INDEX($AT$11:$AT$4010,MATCH(578,$AZ$11:$AZ$4010,0)),""))</f>
        <v/>
      </c>
      <c r="AL588" s="31"/>
      <c r="AM588" s="26"/>
      <c r="AN588" s="32"/>
      <c r="AO588" s="32"/>
      <c r="AP588" s="24"/>
      <c r="AQ588" s="24"/>
      <c r="AR588" s="33"/>
      <c r="AS588" s="34"/>
      <c r="AT588" s="33"/>
      <c r="AV588" s="21">
        <f>IF(AND($AL588&lt;&gt;"",COUNTIF($AL$11:$AL588,$AL588)=1),1,0)</f>
        <v>0</v>
      </c>
      <c r="AW588" s="21">
        <f t="shared" ref="AW588:AW651" si="105">AW587+AV588</f>
        <v>0</v>
      </c>
      <c r="AX588" s="21" t="str">
        <f t="shared" si="104"/>
        <v/>
      </c>
      <c r="AY588" s="21" t="str">
        <f>IF(AND($AM588&lt;&gt;"",$AS588&lt;&gt;"✓"),SUMPRODUCT(($AM$11:$AM588&lt;&gt;"")*($AS$11:$AS588&lt;&gt;"✓")),"")</f>
        <v/>
      </c>
      <c r="AZ588" s="21" t="str">
        <f>IF(AND($AM588&lt;&gt;"",$AS588="✓"),SUMPRODUCT(($AM$11:$AM588&lt;&gt;"")*($AS$11:$AS588="✓")),"")</f>
        <v/>
      </c>
      <c r="BA588" s="21" t="str">
        <f>IF($AL588="","",$AL588&amp;"|"&amp;COUNTIF($AL$11:$AL588,$AL588))</f>
        <v/>
      </c>
    </row>
    <row r="589" spans="23:53" ht="15" customHeight="1" x14ac:dyDescent="0.25">
      <c r="W589" s="14" t="str">
        <f>IF(X589="","",IFERROR(INDEX($AL$11:$AL$4010,MATCH(579,$AY$11:$AY$4010,0)),""))</f>
        <v/>
      </c>
      <c r="X589" s="12" t="str">
        <f>IFERROR(INDEX($AM$11:$AM$4010,MATCH(579,$AY$11:$AY$4010,0)),"")</f>
        <v/>
      </c>
      <c r="Y589" s="11" t="str">
        <f>IF(X589="","",IFERROR(INDEX($AN$11:$AN$4010,MATCH(579,$AY$11:$AY$4010,0)),""))</f>
        <v/>
      </c>
      <c r="Z589" s="11" t="str">
        <f>IF(X589="","",IFERROR(INDEX($AO$11:$AO$4010,MATCH(579,$AY$11:$AY$4010,0)),""))</f>
        <v/>
      </c>
      <c r="AA589" s="10" t="str">
        <f>IF(X589="","",IFERROR(INDEX($AQ$11:$AQ$4010,MATCH(579,$AY$11:$AY$4010,0)),""))</f>
        <v/>
      </c>
      <c r="AB589" s="15" t="str">
        <f>IF(X589="","",IFERROR(INDEX($AR$11:$AR$4010,MATCH(579,$AY$11:$AY$4010,0)),""))</f>
        <v/>
      </c>
      <c r="AD589" s="16" t="str">
        <f>IF(AE589="","",IFERROR(INDEX($AL$11:$AL$4010,MATCH(579,$AZ$11:$AZ$4010,0)),""))</f>
        <v/>
      </c>
      <c r="AE589" s="12" t="str">
        <f>IFERROR(INDEX($AM$11:$AM$4010,MATCH(579,$AZ$11:$AZ$4010,0)),"")</f>
        <v/>
      </c>
      <c r="AF589" s="11" t="str">
        <f>IF(AE589="","",IFERROR(INDEX($AN$11:$AN$4010,MATCH(579,$AZ$11:$AZ$4010,0)),""))</f>
        <v/>
      </c>
      <c r="AG589" s="11" t="str">
        <f>IF(AE589="","",IFERROR(INDEX($AO$11:$AO$4010,MATCH(579,$AZ$11:$AZ$4010,0)),""))</f>
        <v/>
      </c>
      <c r="AH589" s="10" t="str">
        <f>IF(AE589="","",IFERROR(INDEX($AQ$11:$AQ$4010,MATCH(579,$AZ$11:$AZ$4010,0)),""))</f>
        <v/>
      </c>
      <c r="AI589" s="15" t="str">
        <f>IF(AE589="","",IFERROR(INDEX($AR$11:$AR$4010,MATCH(579,$AZ$11:$AZ$4010,0)),""))</f>
        <v/>
      </c>
      <c r="AJ589" s="15" t="str">
        <f>IF(AE589="","",IFERROR(INDEX($AT$11:$AT$4010,MATCH(579,$AZ$11:$AZ$4010,0)),""))</f>
        <v/>
      </c>
      <c r="AL589" s="17"/>
      <c r="AM589" s="12"/>
      <c r="AN589" s="18"/>
      <c r="AO589" s="18"/>
      <c r="AP589" s="10"/>
      <c r="AQ589" s="10"/>
      <c r="AR589" s="19"/>
      <c r="AS589" s="20"/>
      <c r="AT589" s="19"/>
      <c r="AV589" s="21">
        <f>IF(AND($AL589&lt;&gt;"",COUNTIF($AL$11:$AL589,$AL589)=1),1,0)</f>
        <v>0</v>
      </c>
      <c r="AW589" s="21">
        <f t="shared" si="105"/>
        <v>0</v>
      </c>
      <c r="AX589" s="21" t="str">
        <f t="shared" si="104"/>
        <v/>
      </c>
      <c r="AY589" s="21" t="str">
        <f>IF(AND($AM589&lt;&gt;"",$AS589&lt;&gt;"✓"),SUMPRODUCT(($AM$11:$AM589&lt;&gt;"")*($AS$11:$AS589&lt;&gt;"✓")),"")</f>
        <v/>
      </c>
      <c r="AZ589" s="21" t="str">
        <f>IF(AND($AM589&lt;&gt;"",$AS589="✓"),SUMPRODUCT(($AM$11:$AM589&lt;&gt;"")*($AS$11:$AS589="✓")),"")</f>
        <v/>
      </c>
      <c r="BA589" s="21" t="str">
        <f>IF($AL589="","",$AL589&amp;"|"&amp;COUNTIF($AL$11:$AL589,$AL589))</f>
        <v/>
      </c>
    </row>
    <row r="590" spans="23:53" ht="15" customHeight="1" x14ac:dyDescent="0.25">
      <c r="W590" s="28" t="str">
        <f>IF(X590="","",IFERROR(INDEX($AL$11:$AL$4010,MATCH(580,$AY$11:$AY$4010,0)),""))</f>
        <v/>
      </c>
      <c r="X590" s="26" t="str">
        <f>IFERROR(INDEX($AM$11:$AM$4010,MATCH(580,$AY$11:$AY$4010,0)),"")</f>
        <v/>
      </c>
      <c r="Y590" s="25" t="str">
        <f>IF(X590="","",IFERROR(INDEX($AN$11:$AN$4010,MATCH(580,$AY$11:$AY$4010,0)),""))</f>
        <v/>
      </c>
      <c r="Z590" s="25" t="str">
        <f>IF(X590="","",IFERROR(INDEX($AO$11:$AO$4010,MATCH(580,$AY$11:$AY$4010,0)),""))</f>
        <v/>
      </c>
      <c r="AA590" s="24" t="str">
        <f>IF(X590="","",IFERROR(INDEX($AQ$11:$AQ$4010,MATCH(580,$AY$11:$AY$4010,0)),""))</f>
        <v/>
      </c>
      <c r="AB590" s="29" t="str">
        <f>IF(X590="","",IFERROR(INDEX($AR$11:$AR$4010,MATCH(580,$AY$11:$AY$4010,0)),""))</f>
        <v/>
      </c>
      <c r="AD590" s="30" t="str">
        <f>IF(AE590="","",IFERROR(INDEX($AL$11:$AL$4010,MATCH(580,$AZ$11:$AZ$4010,0)),""))</f>
        <v/>
      </c>
      <c r="AE590" s="26" t="str">
        <f>IFERROR(INDEX($AM$11:$AM$4010,MATCH(580,$AZ$11:$AZ$4010,0)),"")</f>
        <v/>
      </c>
      <c r="AF590" s="25" t="str">
        <f>IF(AE590="","",IFERROR(INDEX($AN$11:$AN$4010,MATCH(580,$AZ$11:$AZ$4010,0)),""))</f>
        <v/>
      </c>
      <c r="AG590" s="25" t="str">
        <f>IF(AE590="","",IFERROR(INDEX($AO$11:$AO$4010,MATCH(580,$AZ$11:$AZ$4010,0)),""))</f>
        <v/>
      </c>
      <c r="AH590" s="24" t="str">
        <f>IF(AE590="","",IFERROR(INDEX($AQ$11:$AQ$4010,MATCH(580,$AZ$11:$AZ$4010,0)),""))</f>
        <v/>
      </c>
      <c r="AI590" s="29" t="str">
        <f>IF(AE590="","",IFERROR(INDEX($AR$11:$AR$4010,MATCH(580,$AZ$11:$AZ$4010,0)),""))</f>
        <v/>
      </c>
      <c r="AJ590" s="29" t="str">
        <f>IF(AE590="","",IFERROR(INDEX($AT$11:$AT$4010,MATCH(580,$AZ$11:$AZ$4010,0)),""))</f>
        <v/>
      </c>
      <c r="AL590" s="31"/>
      <c r="AM590" s="26"/>
      <c r="AN590" s="32"/>
      <c r="AO590" s="32"/>
      <c r="AP590" s="24"/>
      <c r="AQ590" s="24"/>
      <c r="AR590" s="33"/>
      <c r="AS590" s="34"/>
      <c r="AT590" s="33"/>
      <c r="AV590" s="21">
        <f>IF(AND($AL590&lt;&gt;"",COUNTIF($AL$11:$AL590,$AL590)=1),1,0)</f>
        <v>0</v>
      </c>
      <c r="AW590" s="21">
        <f t="shared" si="105"/>
        <v>0</v>
      </c>
      <c r="AX590" s="21" t="str">
        <f t="shared" si="104"/>
        <v/>
      </c>
      <c r="AY590" s="21" t="str">
        <f>IF(AND($AM590&lt;&gt;"",$AS590&lt;&gt;"✓"),SUMPRODUCT(($AM$11:$AM590&lt;&gt;"")*($AS$11:$AS590&lt;&gt;"✓")),"")</f>
        <v/>
      </c>
      <c r="AZ590" s="21" t="str">
        <f>IF(AND($AM590&lt;&gt;"",$AS590="✓"),SUMPRODUCT(($AM$11:$AM590&lt;&gt;"")*($AS$11:$AS590="✓")),"")</f>
        <v/>
      </c>
      <c r="BA590" s="21" t="str">
        <f>IF($AL590="","",$AL590&amp;"|"&amp;COUNTIF($AL$11:$AL590,$AL590))</f>
        <v/>
      </c>
    </row>
    <row r="591" spans="23:53" ht="15" customHeight="1" x14ac:dyDescent="0.25">
      <c r="W591" s="14" t="str">
        <f>IF(X591="","",IFERROR(INDEX($AL$11:$AL$4010,MATCH(581,$AY$11:$AY$4010,0)),""))</f>
        <v/>
      </c>
      <c r="X591" s="12" t="str">
        <f>IFERROR(INDEX($AM$11:$AM$4010,MATCH(581,$AY$11:$AY$4010,0)),"")</f>
        <v/>
      </c>
      <c r="Y591" s="11" t="str">
        <f>IF(X591="","",IFERROR(INDEX($AN$11:$AN$4010,MATCH(581,$AY$11:$AY$4010,0)),""))</f>
        <v/>
      </c>
      <c r="Z591" s="11" t="str">
        <f>IF(X591="","",IFERROR(INDEX($AO$11:$AO$4010,MATCH(581,$AY$11:$AY$4010,0)),""))</f>
        <v/>
      </c>
      <c r="AA591" s="10" t="str">
        <f>IF(X591="","",IFERROR(INDEX($AQ$11:$AQ$4010,MATCH(581,$AY$11:$AY$4010,0)),""))</f>
        <v/>
      </c>
      <c r="AB591" s="15" t="str">
        <f>IF(X591="","",IFERROR(INDEX($AR$11:$AR$4010,MATCH(581,$AY$11:$AY$4010,0)),""))</f>
        <v/>
      </c>
      <c r="AD591" s="16" t="str">
        <f>IF(AE591="","",IFERROR(INDEX($AL$11:$AL$4010,MATCH(581,$AZ$11:$AZ$4010,0)),""))</f>
        <v/>
      </c>
      <c r="AE591" s="12" t="str">
        <f>IFERROR(INDEX($AM$11:$AM$4010,MATCH(581,$AZ$11:$AZ$4010,0)),"")</f>
        <v/>
      </c>
      <c r="AF591" s="11" t="str">
        <f>IF(AE591="","",IFERROR(INDEX($AN$11:$AN$4010,MATCH(581,$AZ$11:$AZ$4010,0)),""))</f>
        <v/>
      </c>
      <c r="AG591" s="11" t="str">
        <f>IF(AE591="","",IFERROR(INDEX($AO$11:$AO$4010,MATCH(581,$AZ$11:$AZ$4010,0)),""))</f>
        <v/>
      </c>
      <c r="AH591" s="10" t="str">
        <f>IF(AE591="","",IFERROR(INDEX($AQ$11:$AQ$4010,MATCH(581,$AZ$11:$AZ$4010,0)),""))</f>
        <v/>
      </c>
      <c r="AI591" s="15" t="str">
        <f>IF(AE591="","",IFERROR(INDEX($AR$11:$AR$4010,MATCH(581,$AZ$11:$AZ$4010,0)),""))</f>
        <v/>
      </c>
      <c r="AJ591" s="15" t="str">
        <f>IF(AE591="","",IFERROR(INDEX($AT$11:$AT$4010,MATCH(581,$AZ$11:$AZ$4010,0)),""))</f>
        <v/>
      </c>
      <c r="AL591" s="17"/>
      <c r="AM591" s="12"/>
      <c r="AN591" s="18"/>
      <c r="AO591" s="18"/>
      <c r="AP591" s="10"/>
      <c r="AQ591" s="10"/>
      <c r="AR591" s="19"/>
      <c r="AS591" s="20"/>
      <c r="AT591" s="19"/>
      <c r="AV591" s="21">
        <f>IF(AND($AL591&lt;&gt;"",COUNTIF($AL$11:$AL591,$AL591)=1),1,0)</f>
        <v>0</v>
      </c>
      <c r="AW591" s="21">
        <f t="shared" si="105"/>
        <v>0</v>
      </c>
      <c r="AX591" s="21" t="str">
        <f t="shared" si="104"/>
        <v/>
      </c>
      <c r="AY591" s="21" t="str">
        <f>IF(AND($AM591&lt;&gt;"",$AS591&lt;&gt;"✓"),SUMPRODUCT(($AM$11:$AM591&lt;&gt;"")*($AS$11:$AS591&lt;&gt;"✓")),"")</f>
        <v/>
      </c>
      <c r="AZ591" s="21" t="str">
        <f>IF(AND($AM591&lt;&gt;"",$AS591="✓"),SUMPRODUCT(($AM$11:$AM591&lt;&gt;"")*($AS$11:$AS591="✓")),"")</f>
        <v/>
      </c>
      <c r="BA591" s="21" t="str">
        <f>IF($AL591="","",$AL591&amp;"|"&amp;COUNTIF($AL$11:$AL591,$AL591))</f>
        <v/>
      </c>
    </row>
    <row r="592" spans="23:53" ht="15" customHeight="1" x14ac:dyDescent="0.25">
      <c r="W592" s="28" t="str">
        <f>IF(X592="","",IFERROR(INDEX($AL$11:$AL$4010,MATCH(582,$AY$11:$AY$4010,0)),""))</f>
        <v/>
      </c>
      <c r="X592" s="26" t="str">
        <f>IFERROR(INDEX($AM$11:$AM$4010,MATCH(582,$AY$11:$AY$4010,0)),"")</f>
        <v/>
      </c>
      <c r="Y592" s="25" t="str">
        <f>IF(X592="","",IFERROR(INDEX($AN$11:$AN$4010,MATCH(582,$AY$11:$AY$4010,0)),""))</f>
        <v/>
      </c>
      <c r="Z592" s="25" t="str">
        <f>IF(X592="","",IFERROR(INDEX($AO$11:$AO$4010,MATCH(582,$AY$11:$AY$4010,0)),""))</f>
        <v/>
      </c>
      <c r="AA592" s="24" t="str">
        <f>IF(X592="","",IFERROR(INDEX($AQ$11:$AQ$4010,MATCH(582,$AY$11:$AY$4010,0)),""))</f>
        <v/>
      </c>
      <c r="AB592" s="29" t="str">
        <f>IF(X592="","",IFERROR(INDEX($AR$11:$AR$4010,MATCH(582,$AY$11:$AY$4010,0)),""))</f>
        <v/>
      </c>
      <c r="AD592" s="30" t="str">
        <f>IF(AE592="","",IFERROR(INDEX($AL$11:$AL$4010,MATCH(582,$AZ$11:$AZ$4010,0)),""))</f>
        <v/>
      </c>
      <c r="AE592" s="26" t="str">
        <f>IFERROR(INDEX($AM$11:$AM$4010,MATCH(582,$AZ$11:$AZ$4010,0)),"")</f>
        <v/>
      </c>
      <c r="AF592" s="25" t="str">
        <f>IF(AE592="","",IFERROR(INDEX($AN$11:$AN$4010,MATCH(582,$AZ$11:$AZ$4010,0)),""))</f>
        <v/>
      </c>
      <c r="AG592" s="25" t="str">
        <f>IF(AE592="","",IFERROR(INDEX($AO$11:$AO$4010,MATCH(582,$AZ$11:$AZ$4010,0)),""))</f>
        <v/>
      </c>
      <c r="AH592" s="24" t="str">
        <f>IF(AE592="","",IFERROR(INDEX($AQ$11:$AQ$4010,MATCH(582,$AZ$11:$AZ$4010,0)),""))</f>
        <v/>
      </c>
      <c r="AI592" s="29" t="str">
        <f>IF(AE592="","",IFERROR(INDEX($AR$11:$AR$4010,MATCH(582,$AZ$11:$AZ$4010,0)),""))</f>
        <v/>
      </c>
      <c r="AJ592" s="29" t="str">
        <f>IF(AE592="","",IFERROR(INDEX($AT$11:$AT$4010,MATCH(582,$AZ$11:$AZ$4010,0)),""))</f>
        <v/>
      </c>
      <c r="AL592" s="31"/>
      <c r="AM592" s="26"/>
      <c r="AN592" s="32"/>
      <c r="AO592" s="32"/>
      <c r="AP592" s="24"/>
      <c r="AQ592" s="24"/>
      <c r="AR592" s="33"/>
      <c r="AS592" s="34"/>
      <c r="AT592" s="33"/>
      <c r="AV592" s="21">
        <f>IF(AND($AL592&lt;&gt;"",COUNTIF($AL$11:$AL592,$AL592)=1),1,0)</f>
        <v>0</v>
      </c>
      <c r="AW592" s="21">
        <f t="shared" si="105"/>
        <v>0</v>
      </c>
      <c r="AX592" s="21" t="str">
        <f t="shared" si="104"/>
        <v/>
      </c>
      <c r="AY592" s="21" t="str">
        <f>IF(AND($AM592&lt;&gt;"",$AS592&lt;&gt;"✓"),SUMPRODUCT(($AM$11:$AM592&lt;&gt;"")*($AS$11:$AS592&lt;&gt;"✓")),"")</f>
        <v/>
      </c>
      <c r="AZ592" s="21" t="str">
        <f>IF(AND($AM592&lt;&gt;"",$AS592="✓"),SUMPRODUCT(($AM$11:$AM592&lt;&gt;"")*($AS$11:$AS592="✓")),"")</f>
        <v/>
      </c>
      <c r="BA592" s="21" t="str">
        <f>IF($AL592="","",$AL592&amp;"|"&amp;COUNTIF($AL$11:$AL592,$AL592))</f>
        <v/>
      </c>
    </row>
    <row r="593" spans="23:53" ht="15" customHeight="1" x14ac:dyDescent="0.25">
      <c r="W593" s="14" t="str">
        <f>IF(X593="","",IFERROR(INDEX($AL$11:$AL$4010,MATCH(583,$AY$11:$AY$4010,0)),""))</f>
        <v/>
      </c>
      <c r="X593" s="12" t="str">
        <f>IFERROR(INDEX($AM$11:$AM$4010,MATCH(583,$AY$11:$AY$4010,0)),"")</f>
        <v/>
      </c>
      <c r="Y593" s="11" t="str">
        <f>IF(X593="","",IFERROR(INDEX($AN$11:$AN$4010,MATCH(583,$AY$11:$AY$4010,0)),""))</f>
        <v/>
      </c>
      <c r="Z593" s="11" t="str">
        <f>IF(X593="","",IFERROR(INDEX($AO$11:$AO$4010,MATCH(583,$AY$11:$AY$4010,0)),""))</f>
        <v/>
      </c>
      <c r="AA593" s="10" t="str">
        <f>IF(X593="","",IFERROR(INDEX($AQ$11:$AQ$4010,MATCH(583,$AY$11:$AY$4010,0)),""))</f>
        <v/>
      </c>
      <c r="AB593" s="15" t="str">
        <f>IF(X593="","",IFERROR(INDEX($AR$11:$AR$4010,MATCH(583,$AY$11:$AY$4010,0)),""))</f>
        <v/>
      </c>
      <c r="AD593" s="16" t="str">
        <f>IF(AE593="","",IFERROR(INDEX($AL$11:$AL$4010,MATCH(583,$AZ$11:$AZ$4010,0)),""))</f>
        <v/>
      </c>
      <c r="AE593" s="12" t="str">
        <f>IFERROR(INDEX($AM$11:$AM$4010,MATCH(583,$AZ$11:$AZ$4010,0)),"")</f>
        <v/>
      </c>
      <c r="AF593" s="11" t="str">
        <f>IF(AE593="","",IFERROR(INDEX($AN$11:$AN$4010,MATCH(583,$AZ$11:$AZ$4010,0)),""))</f>
        <v/>
      </c>
      <c r="AG593" s="11" t="str">
        <f>IF(AE593="","",IFERROR(INDEX($AO$11:$AO$4010,MATCH(583,$AZ$11:$AZ$4010,0)),""))</f>
        <v/>
      </c>
      <c r="AH593" s="10" t="str">
        <f>IF(AE593="","",IFERROR(INDEX($AQ$11:$AQ$4010,MATCH(583,$AZ$11:$AZ$4010,0)),""))</f>
        <v/>
      </c>
      <c r="AI593" s="15" t="str">
        <f>IF(AE593="","",IFERROR(INDEX($AR$11:$AR$4010,MATCH(583,$AZ$11:$AZ$4010,0)),""))</f>
        <v/>
      </c>
      <c r="AJ593" s="15" t="str">
        <f>IF(AE593="","",IFERROR(INDEX($AT$11:$AT$4010,MATCH(583,$AZ$11:$AZ$4010,0)),""))</f>
        <v/>
      </c>
      <c r="AL593" s="17"/>
      <c r="AM593" s="12"/>
      <c r="AN593" s="18"/>
      <c r="AO593" s="18"/>
      <c r="AP593" s="10"/>
      <c r="AQ593" s="10"/>
      <c r="AR593" s="19"/>
      <c r="AS593" s="20"/>
      <c r="AT593" s="19"/>
      <c r="AV593" s="21">
        <f>IF(AND($AL593&lt;&gt;"",COUNTIF($AL$11:$AL593,$AL593)=1),1,0)</f>
        <v>0</v>
      </c>
      <c r="AW593" s="21">
        <f t="shared" si="105"/>
        <v>0</v>
      </c>
      <c r="AX593" s="21" t="str">
        <f t="shared" si="104"/>
        <v/>
      </c>
      <c r="AY593" s="21" t="str">
        <f>IF(AND($AM593&lt;&gt;"",$AS593&lt;&gt;"✓"),SUMPRODUCT(($AM$11:$AM593&lt;&gt;"")*($AS$11:$AS593&lt;&gt;"✓")),"")</f>
        <v/>
      </c>
      <c r="AZ593" s="21" t="str">
        <f>IF(AND($AM593&lt;&gt;"",$AS593="✓"),SUMPRODUCT(($AM$11:$AM593&lt;&gt;"")*($AS$11:$AS593="✓")),"")</f>
        <v/>
      </c>
      <c r="BA593" s="21" t="str">
        <f>IF($AL593="","",$AL593&amp;"|"&amp;COUNTIF($AL$11:$AL593,$AL593))</f>
        <v/>
      </c>
    </row>
    <row r="594" spans="23:53" ht="15" customHeight="1" x14ac:dyDescent="0.25">
      <c r="W594" s="28" t="str">
        <f>IF(X594="","",IFERROR(INDEX($AL$11:$AL$4010,MATCH(584,$AY$11:$AY$4010,0)),""))</f>
        <v/>
      </c>
      <c r="X594" s="26" t="str">
        <f>IFERROR(INDEX($AM$11:$AM$4010,MATCH(584,$AY$11:$AY$4010,0)),"")</f>
        <v/>
      </c>
      <c r="Y594" s="25" t="str">
        <f>IF(X594="","",IFERROR(INDEX($AN$11:$AN$4010,MATCH(584,$AY$11:$AY$4010,0)),""))</f>
        <v/>
      </c>
      <c r="Z594" s="25" t="str">
        <f>IF(X594="","",IFERROR(INDEX($AO$11:$AO$4010,MATCH(584,$AY$11:$AY$4010,0)),""))</f>
        <v/>
      </c>
      <c r="AA594" s="24" t="str">
        <f>IF(X594="","",IFERROR(INDEX($AQ$11:$AQ$4010,MATCH(584,$AY$11:$AY$4010,0)),""))</f>
        <v/>
      </c>
      <c r="AB594" s="29" t="str">
        <f>IF(X594="","",IFERROR(INDEX($AR$11:$AR$4010,MATCH(584,$AY$11:$AY$4010,0)),""))</f>
        <v/>
      </c>
      <c r="AD594" s="30" t="str">
        <f>IF(AE594="","",IFERROR(INDEX($AL$11:$AL$4010,MATCH(584,$AZ$11:$AZ$4010,0)),""))</f>
        <v/>
      </c>
      <c r="AE594" s="26" t="str">
        <f>IFERROR(INDEX($AM$11:$AM$4010,MATCH(584,$AZ$11:$AZ$4010,0)),"")</f>
        <v/>
      </c>
      <c r="AF594" s="25" t="str">
        <f>IF(AE594="","",IFERROR(INDEX($AN$11:$AN$4010,MATCH(584,$AZ$11:$AZ$4010,0)),""))</f>
        <v/>
      </c>
      <c r="AG594" s="25" t="str">
        <f>IF(AE594="","",IFERROR(INDEX($AO$11:$AO$4010,MATCH(584,$AZ$11:$AZ$4010,0)),""))</f>
        <v/>
      </c>
      <c r="AH594" s="24" t="str">
        <f>IF(AE594="","",IFERROR(INDEX($AQ$11:$AQ$4010,MATCH(584,$AZ$11:$AZ$4010,0)),""))</f>
        <v/>
      </c>
      <c r="AI594" s="29" t="str">
        <f>IF(AE594="","",IFERROR(INDEX($AR$11:$AR$4010,MATCH(584,$AZ$11:$AZ$4010,0)),""))</f>
        <v/>
      </c>
      <c r="AJ594" s="29" t="str">
        <f>IF(AE594="","",IFERROR(INDEX($AT$11:$AT$4010,MATCH(584,$AZ$11:$AZ$4010,0)),""))</f>
        <v/>
      </c>
      <c r="AL594" s="31"/>
      <c r="AM594" s="26"/>
      <c r="AN594" s="32"/>
      <c r="AO594" s="32"/>
      <c r="AP594" s="24"/>
      <c r="AQ594" s="24"/>
      <c r="AR594" s="33"/>
      <c r="AS594" s="34"/>
      <c r="AT594" s="33"/>
      <c r="AV594" s="21">
        <f>IF(AND($AL594&lt;&gt;"",COUNTIF($AL$11:$AL594,$AL594)=1),1,0)</f>
        <v>0</v>
      </c>
      <c r="AW594" s="21">
        <f t="shared" si="105"/>
        <v>0</v>
      </c>
      <c r="AX594" s="21" t="str">
        <f t="shared" si="104"/>
        <v/>
      </c>
      <c r="AY594" s="21" t="str">
        <f>IF(AND($AM594&lt;&gt;"",$AS594&lt;&gt;"✓"),SUMPRODUCT(($AM$11:$AM594&lt;&gt;"")*($AS$11:$AS594&lt;&gt;"✓")),"")</f>
        <v/>
      </c>
      <c r="AZ594" s="21" t="str">
        <f>IF(AND($AM594&lt;&gt;"",$AS594="✓"),SUMPRODUCT(($AM$11:$AM594&lt;&gt;"")*($AS$11:$AS594="✓")),"")</f>
        <v/>
      </c>
      <c r="BA594" s="21" t="str">
        <f>IF($AL594="","",$AL594&amp;"|"&amp;COUNTIF($AL$11:$AL594,$AL594))</f>
        <v/>
      </c>
    </row>
    <row r="595" spans="23:53" ht="15" customHeight="1" x14ac:dyDescent="0.25">
      <c r="W595" s="14" t="str">
        <f>IF(X595="","",IFERROR(INDEX($AL$11:$AL$4010,MATCH(585,$AY$11:$AY$4010,0)),""))</f>
        <v/>
      </c>
      <c r="X595" s="12" t="str">
        <f>IFERROR(INDEX($AM$11:$AM$4010,MATCH(585,$AY$11:$AY$4010,0)),"")</f>
        <v/>
      </c>
      <c r="Y595" s="11" t="str">
        <f>IF(X595="","",IFERROR(INDEX($AN$11:$AN$4010,MATCH(585,$AY$11:$AY$4010,0)),""))</f>
        <v/>
      </c>
      <c r="Z595" s="11" t="str">
        <f>IF(X595="","",IFERROR(INDEX($AO$11:$AO$4010,MATCH(585,$AY$11:$AY$4010,0)),""))</f>
        <v/>
      </c>
      <c r="AA595" s="10" t="str">
        <f>IF(X595="","",IFERROR(INDEX($AQ$11:$AQ$4010,MATCH(585,$AY$11:$AY$4010,0)),""))</f>
        <v/>
      </c>
      <c r="AB595" s="15" t="str">
        <f>IF(X595="","",IFERROR(INDEX($AR$11:$AR$4010,MATCH(585,$AY$11:$AY$4010,0)),""))</f>
        <v/>
      </c>
      <c r="AD595" s="16" t="str">
        <f>IF(AE595="","",IFERROR(INDEX($AL$11:$AL$4010,MATCH(585,$AZ$11:$AZ$4010,0)),""))</f>
        <v/>
      </c>
      <c r="AE595" s="12" t="str">
        <f>IFERROR(INDEX($AM$11:$AM$4010,MATCH(585,$AZ$11:$AZ$4010,0)),"")</f>
        <v/>
      </c>
      <c r="AF595" s="11" t="str">
        <f>IF(AE595="","",IFERROR(INDEX($AN$11:$AN$4010,MATCH(585,$AZ$11:$AZ$4010,0)),""))</f>
        <v/>
      </c>
      <c r="AG595" s="11" t="str">
        <f>IF(AE595="","",IFERROR(INDEX($AO$11:$AO$4010,MATCH(585,$AZ$11:$AZ$4010,0)),""))</f>
        <v/>
      </c>
      <c r="AH595" s="10" t="str">
        <f>IF(AE595="","",IFERROR(INDEX($AQ$11:$AQ$4010,MATCH(585,$AZ$11:$AZ$4010,0)),""))</f>
        <v/>
      </c>
      <c r="AI595" s="15" t="str">
        <f>IF(AE595="","",IFERROR(INDEX($AR$11:$AR$4010,MATCH(585,$AZ$11:$AZ$4010,0)),""))</f>
        <v/>
      </c>
      <c r="AJ595" s="15" t="str">
        <f>IF(AE595="","",IFERROR(INDEX($AT$11:$AT$4010,MATCH(585,$AZ$11:$AZ$4010,0)),""))</f>
        <v/>
      </c>
      <c r="AL595" s="17"/>
      <c r="AM595" s="12"/>
      <c r="AN595" s="18"/>
      <c r="AO595" s="18"/>
      <c r="AP595" s="10"/>
      <c r="AQ595" s="10"/>
      <c r="AR595" s="19"/>
      <c r="AS595" s="20"/>
      <c r="AT595" s="19"/>
      <c r="AV595" s="21">
        <f>IF(AND($AL595&lt;&gt;"",COUNTIF($AL$11:$AL595,$AL595)=1),1,0)</f>
        <v>0</v>
      </c>
      <c r="AW595" s="21">
        <f t="shared" si="105"/>
        <v>0</v>
      </c>
      <c r="AX595" s="21" t="str">
        <f t="shared" si="104"/>
        <v/>
      </c>
      <c r="AY595" s="21" t="str">
        <f>IF(AND($AM595&lt;&gt;"",$AS595&lt;&gt;"✓"),SUMPRODUCT(($AM$11:$AM595&lt;&gt;"")*($AS$11:$AS595&lt;&gt;"✓")),"")</f>
        <v/>
      </c>
      <c r="AZ595" s="21" t="str">
        <f>IF(AND($AM595&lt;&gt;"",$AS595="✓"),SUMPRODUCT(($AM$11:$AM595&lt;&gt;"")*($AS$11:$AS595="✓")),"")</f>
        <v/>
      </c>
      <c r="BA595" s="21" t="str">
        <f>IF($AL595="","",$AL595&amp;"|"&amp;COUNTIF($AL$11:$AL595,$AL595))</f>
        <v/>
      </c>
    </row>
    <row r="596" spans="23:53" ht="15" customHeight="1" x14ac:dyDescent="0.25">
      <c r="W596" s="28" t="str">
        <f>IF(X596="","",IFERROR(INDEX($AL$11:$AL$4010,MATCH(586,$AY$11:$AY$4010,0)),""))</f>
        <v/>
      </c>
      <c r="X596" s="26" t="str">
        <f>IFERROR(INDEX($AM$11:$AM$4010,MATCH(586,$AY$11:$AY$4010,0)),"")</f>
        <v/>
      </c>
      <c r="Y596" s="25" t="str">
        <f>IF(X596="","",IFERROR(INDEX($AN$11:$AN$4010,MATCH(586,$AY$11:$AY$4010,0)),""))</f>
        <v/>
      </c>
      <c r="Z596" s="25" t="str">
        <f>IF(X596="","",IFERROR(INDEX($AO$11:$AO$4010,MATCH(586,$AY$11:$AY$4010,0)),""))</f>
        <v/>
      </c>
      <c r="AA596" s="24" t="str">
        <f>IF(X596="","",IFERROR(INDEX($AQ$11:$AQ$4010,MATCH(586,$AY$11:$AY$4010,0)),""))</f>
        <v/>
      </c>
      <c r="AB596" s="29" t="str">
        <f>IF(X596="","",IFERROR(INDEX($AR$11:$AR$4010,MATCH(586,$AY$11:$AY$4010,0)),""))</f>
        <v/>
      </c>
      <c r="AD596" s="30" t="str">
        <f>IF(AE596="","",IFERROR(INDEX($AL$11:$AL$4010,MATCH(586,$AZ$11:$AZ$4010,0)),""))</f>
        <v/>
      </c>
      <c r="AE596" s="26" t="str">
        <f>IFERROR(INDEX($AM$11:$AM$4010,MATCH(586,$AZ$11:$AZ$4010,0)),"")</f>
        <v/>
      </c>
      <c r="AF596" s="25" t="str">
        <f>IF(AE596="","",IFERROR(INDEX($AN$11:$AN$4010,MATCH(586,$AZ$11:$AZ$4010,0)),""))</f>
        <v/>
      </c>
      <c r="AG596" s="25" t="str">
        <f>IF(AE596="","",IFERROR(INDEX($AO$11:$AO$4010,MATCH(586,$AZ$11:$AZ$4010,0)),""))</f>
        <v/>
      </c>
      <c r="AH596" s="24" t="str">
        <f>IF(AE596="","",IFERROR(INDEX($AQ$11:$AQ$4010,MATCH(586,$AZ$11:$AZ$4010,0)),""))</f>
        <v/>
      </c>
      <c r="AI596" s="29" t="str">
        <f>IF(AE596="","",IFERROR(INDEX($AR$11:$AR$4010,MATCH(586,$AZ$11:$AZ$4010,0)),""))</f>
        <v/>
      </c>
      <c r="AJ596" s="29" t="str">
        <f>IF(AE596="","",IFERROR(INDEX($AT$11:$AT$4010,MATCH(586,$AZ$11:$AZ$4010,0)),""))</f>
        <v/>
      </c>
      <c r="AL596" s="31"/>
      <c r="AM596" s="26"/>
      <c r="AN596" s="32"/>
      <c r="AO596" s="32"/>
      <c r="AP596" s="24"/>
      <c r="AQ596" s="24"/>
      <c r="AR596" s="33"/>
      <c r="AS596" s="34"/>
      <c r="AT596" s="33"/>
      <c r="AV596" s="21">
        <f>IF(AND($AL596&lt;&gt;"",COUNTIF($AL$11:$AL596,$AL596)=1),1,0)</f>
        <v>0</v>
      </c>
      <c r="AW596" s="21">
        <f t="shared" si="105"/>
        <v>0</v>
      </c>
      <c r="AX596" s="21" t="str">
        <f t="shared" si="104"/>
        <v/>
      </c>
      <c r="AY596" s="21" t="str">
        <f>IF(AND($AM596&lt;&gt;"",$AS596&lt;&gt;"✓"),SUMPRODUCT(($AM$11:$AM596&lt;&gt;"")*($AS$11:$AS596&lt;&gt;"✓")),"")</f>
        <v/>
      </c>
      <c r="AZ596" s="21" t="str">
        <f>IF(AND($AM596&lt;&gt;"",$AS596="✓"),SUMPRODUCT(($AM$11:$AM596&lt;&gt;"")*($AS$11:$AS596="✓")),"")</f>
        <v/>
      </c>
      <c r="BA596" s="21" t="str">
        <f>IF($AL596="","",$AL596&amp;"|"&amp;COUNTIF($AL$11:$AL596,$AL596))</f>
        <v/>
      </c>
    </row>
    <row r="597" spans="23:53" ht="15" customHeight="1" x14ac:dyDescent="0.25">
      <c r="W597" s="14" t="str">
        <f>IF(X597="","",IFERROR(INDEX($AL$11:$AL$4010,MATCH(587,$AY$11:$AY$4010,0)),""))</f>
        <v/>
      </c>
      <c r="X597" s="12" t="str">
        <f>IFERROR(INDEX($AM$11:$AM$4010,MATCH(587,$AY$11:$AY$4010,0)),"")</f>
        <v/>
      </c>
      <c r="Y597" s="11" t="str">
        <f>IF(X597="","",IFERROR(INDEX($AN$11:$AN$4010,MATCH(587,$AY$11:$AY$4010,0)),""))</f>
        <v/>
      </c>
      <c r="Z597" s="11" t="str">
        <f>IF(X597="","",IFERROR(INDEX($AO$11:$AO$4010,MATCH(587,$AY$11:$AY$4010,0)),""))</f>
        <v/>
      </c>
      <c r="AA597" s="10" t="str">
        <f>IF(X597="","",IFERROR(INDEX($AQ$11:$AQ$4010,MATCH(587,$AY$11:$AY$4010,0)),""))</f>
        <v/>
      </c>
      <c r="AB597" s="15" t="str">
        <f>IF(X597="","",IFERROR(INDEX($AR$11:$AR$4010,MATCH(587,$AY$11:$AY$4010,0)),""))</f>
        <v/>
      </c>
      <c r="AD597" s="16" t="str">
        <f>IF(AE597="","",IFERROR(INDEX($AL$11:$AL$4010,MATCH(587,$AZ$11:$AZ$4010,0)),""))</f>
        <v/>
      </c>
      <c r="AE597" s="12" t="str">
        <f>IFERROR(INDEX($AM$11:$AM$4010,MATCH(587,$AZ$11:$AZ$4010,0)),"")</f>
        <v/>
      </c>
      <c r="AF597" s="11" t="str">
        <f>IF(AE597="","",IFERROR(INDEX($AN$11:$AN$4010,MATCH(587,$AZ$11:$AZ$4010,0)),""))</f>
        <v/>
      </c>
      <c r="AG597" s="11" t="str">
        <f>IF(AE597="","",IFERROR(INDEX($AO$11:$AO$4010,MATCH(587,$AZ$11:$AZ$4010,0)),""))</f>
        <v/>
      </c>
      <c r="AH597" s="10" t="str">
        <f>IF(AE597="","",IFERROR(INDEX($AQ$11:$AQ$4010,MATCH(587,$AZ$11:$AZ$4010,0)),""))</f>
        <v/>
      </c>
      <c r="AI597" s="15" t="str">
        <f>IF(AE597="","",IFERROR(INDEX($AR$11:$AR$4010,MATCH(587,$AZ$11:$AZ$4010,0)),""))</f>
        <v/>
      </c>
      <c r="AJ597" s="15" t="str">
        <f>IF(AE597="","",IFERROR(INDEX($AT$11:$AT$4010,MATCH(587,$AZ$11:$AZ$4010,0)),""))</f>
        <v/>
      </c>
      <c r="AL597" s="17"/>
      <c r="AM597" s="12"/>
      <c r="AN597" s="18"/>
      <c r="AO597" s="18"/>
      <c r="AP597" s="10"/>
      <c r="AQ597" s="10"/>
      <c r="AR597" s="19"/>
      <c r="AS597" s="20"/>
      <c r="AT597" s="19"/>
      <c r="AV597" s="21">
        <f>IF(AND($AL597&lt;&gt;"",COUNTIF($AL$11:$AL597,$AL597)=1),1,0)</f>
        <v>0</v>
      </c>
      <c r="AW597" s="21">
        <f t="shared" si="105"/>
        <v>0</v>
      </c>
      <c r="AX597" s="21" t="str">
        <f t="shared" si="104"/>
        <v/>
      </c>
      <c r="AY597" s="21" t="str">
        <f>IF(AND($AM597&lt;&gt;"",$AS597&lt;&gt;"✓"),SUMPRODUCT(($AM$11:$AM597&lt;&gt;"")*($AS$11:$AS597&lt;&gt;"✓")),"")</f>
        <v/>
      </c>
      <c r="AZ597" s="21" t="str">
        <f>IF(AND($AM597&lt;&gt;"",$AS597="✓"),SUMPRODUCT(($AM$11:$AM597&lt;&gt;"")*($AS$11:$AS597="✓")),"")</f>
        <v/>
      </c>
      <c r="BA597" s="21" t="str">
        <f>IF($AL597="","",$AL597&amp;"|"&amp;COUNTIF($AL$11:$AL597,$AL597))</f>
        <v/>
      </c>
    </row>
    <row r="598" spans="23:53" ht="15" customHeight="1" x14ac:dyDescent="0.25">
      <c r="W598" s="28" t="str">
        <f>IF(X598="","",IFERROR(INDEX($AL$11:$AL$4010,MATCH(588,$AY$11:$AY$4010,0)),""))</f>
        <v/>
      </c>
      <c r="X598" s="26" t="str">
        <f>IFERROR(INDEX($AM$11:$AM$4010,MATCH(588,$AY$11:$AY$4010,0)),"")</f>
        <v/>
      </c>
      <c r="Y598" s="25" t="str">
        <f>IF(X598="","",IFERROR(INDEX($AN$11:$AN$4010,MATCH(588,$AY$11:$AY$4010,0)),""))</f>
        <v/>
      </c>
      <c r="Z598" s="25" t="str">
        <f>IF(X598="","",IFERROR(INDEX($AO$11:$AO$4010,MATCH(588,$AY$11:$AY$4010,0)),""))</f>
        <v/>
      </c>
      <c r="AA598" s="24" t="str">
        <f>IF(X598="","",IFERROR(INDEX($AQ$11:$AQ$4010,MATCH(588,$AY$11:$AY$4010,0)),""))</f>
        <v/>
      </c>
      <c r="AB598" s="29" t="str">
        <f>IF(X598="","",IFERROR(INDEX($AR$11:$AR$4010,MATCH(588,$AY$11:$AY$4010,0)),""))</f>
        <v/>
      </c>
      <c r="AD598" s="30" t="str">
        <f>IF(AE598="","",IFERROR(INDEX($AL$11:$AL$4010,MATCH(588,$AZ$11:$AZ$4010,0)),""))</f>
        <v/>
      </c>
      <c r="AE598" s="26" t="str">
        <f>IFERROR(INDEX($AM$11:$AM$4010,MATCH(588,$AZ$11:$AZ$4010,0)),"")</f>
        <v/>
      </c>
      <c r="AF598" s="25" t="str">
        <f>IF(AE598="","",IFERROR(INDEX($AN$11:$AN$4010,MATCH(588,$AZ$11:$AZ$4010,0)),""))</f>
        <v/>
      </c>
      <c r="AG598" s="25" t="str">
        <f>IF(AE598="","",IFERROR(INDEX($AO$11:$AO$4010,MATCH(588,$AZ$11:$AZ$4010,0)),""))</f>
        <v/>
      </c>
      <c r="AH598" s="24" t="str">
        <f>IF(AE598="","",IFERROR(INDEX($AQ$11:$AQ$4010,MATCH(588,$AZ$11:$AZ$4010,0)),""))</f>
        <v/>
      </c>
      <c r="AI598" s="29" t="str">
        <f>IF(AE598="","",IFERROR(INDEX($AR$11:$AR$4010,MATCH(588,$AZ$11:$AZ$4010,0)),""))</f>
        <v/>
      </c>
      <c r="AJ598" s="29" t="str">
        <f>IF(AE598="","",IFERROR(INDEX($AT$11:$AT$4010,MATCH(588,$AZ$11:$AZ$4010,0)),""))</f>
        <v/>
      </c>
      <c r="AL598" s="31"/>
      <c r="AM598" s="26"/>
      <c r="AN598" s="32"/>
      <c r="AO598" s="32"/>
      <c r="AP598" s="24"/>
      <c r="AQ598" s="24"/>
      <c r="AR598" s="33"/>
      <c r="AS598" s="34"/>
      <c r="AT598" s="33"/>
      <c r="AV598" s="21">
        <f>IF(AND($AL598&lt;&gt;"",COUNTIF($AL$11:$AL598,$AL598)=1),1,0)</f>
        <v>0</v>
      </c>
      <c r="AW598" s="21">
        <f t="shared" si="105"/>
        <v>0</v>
      </c>
      <c r="AX598" s="21" t="str">
        <f t="shared" si="104"/>
        <v/>
      </c>
      <c r="AY598" s="21" t="str">
        <f>IF(AND($AM598&lt;&gt;"",$AS598&lt;&gt;"✓"),SUMPRODUCT(($AM$11:$AM598&lt;&gt;"")*($AS$11:$AS598&lt;&gt;"✓")),"")</f>
        <v/>
      </c>
      <c r="AZ598" s="21" t="str">
        <f>IF(AND($AM598&lt;&gt;"",$AS598="✓"),SUMPRODUCT(($AM$11:$AM598&lt;&gt;"")*($AS$11:$AS598="✓")),"")</f>
        <v/>
      </c>
      <c r="BA598" s="21" t="str">
        <f>IF($AL598="","",$AL598&amp;"|"&amp;COUNTIF($AL$11:$AL598,$AL598))</f>
        <v/>
      </c>
    </row>
    <row r="599" spans="23:53" ht="15" customHeight="1" x14ac:dyDescent="0.25">
      <c r="W599" s="14" t="str">
        <f>IF(X599="","",IFERROR(INDEX($AL$11:$AL$4010,MATCH(589,$AY$11:$AY$4010,0)),""))</f>
        <v/>
      </c>
      <c r="X599" s="12" t="str">
        <f>IFERROR(INDEX($AM$11:$AM$4010,MATCH(589,$AY$11:$AY$4010,0)),"")</f>
        <v/>
      </c>
      <c r="Y599" s="11" t="str">
        <f>IF(X599="","",IFERROR(INDEX($AN$11:$AN$4010,MATCH(589,$AY$11:$AY$4010,0)),""))</f>
        <v/>
      </c>
      <c r="Z599" s="11" t="str">
        <f>IF(X599="","",IFERROR(INDEX($AO$11:$AO$4010,MATCH(589,$AY$11:$AY$4010,0)),""))</f>
        <v/>
      </c>
      <c r="AA599" s="10" t="str">
        <f>IF(X599="","",IFERROR(INDEX($AQ$11:$AQ$4010,MATCH(589,$AY$11:$AY$4010,0)),""))</f>
        <v/>
      </c>
      <c r="AB599" s="15" t="str">
        <f>IF(X599="","",IFERROR(INDEX($AR$11:$AR$4010,MATCH(589,$AY$11:$AY$4010,0)),""))</f>
        <v/>
      </c>
      <c r="AD599" s="16" t="str">
        <f>IF(AE599="","",IFERROR(INDEX($AL$11:$AL$4010,MATCH(589,$AZ$11:$AZ$4010,0)),""))</f>
        <v/>
      </c>
      <c r="AE599" s="12" t="str">
        <f>IFERROR(INDEX($AM$11:$AM$4010,MATCH(589,$AZ$11:$AZ$4010,0)),"")</f>
        <v/>
      </c>
      <c r="AF599" s="11" t="str">
        <f>IF(AE599="","",IFERROR(INDEX($AN$11:$AN$4010,MATCH(589,$AZ$11:$AZ$4010,0)),""))</f>
        <v/>
      </c>
      <c r="AG599" s="11" t="str">
        <f>IF(AE599="","",IFERROR(INDEX($AO$11:$AO$4010,MATCH(589,$AZ$11:$AZ$4010,0)),""))</f>
        <v/>
      </c>
      <c r="AH599" s="10" t="str">
        <f>IF(AE599="","",IFERROR(INDEX($AQ$11:$AQ$4010,MATCH(589,$AZ$11:$AZ$4010,0)),""))</f>
        <v/>
      </c>
      <c r="AI599" s="15" t="str">
        <f>IF(AE599="","",IFERROR(INDEX($AR$11:$AR$4010,MATCH(589,$AZ$11:$AZ$4010,0)),""))</f>
        <v/>
      </c>
      <c r="AJ599" s="15" t="str">
        <f>IF(AE599="","",IFERROR(INDEX($AT$11:$AT$4010,MATCH(589,$AZ$11:$AZ$4010,0)),""))</f>
        <v/>
      </c>
      <c r="AL599" s="17"/>
      <c r="AM599" s="12"/>
      <c r="AN599" s="18"/>
      <c r="AO599" s="18"/>
      <c r="AP599" s="10"/>
      <c r="AQ599" s="10"/>
      <c r="AR599" s="19"/>
      <c r="AS599" s="20"/>
      <c r="AT599" s="19"/>
      <c r="AV599" s="21">
        <f>IF(AND($AL599&lt;&gt;"",COUNTIF($AL$11:$AL599,$AL599)=1),1,0)</f>
        <v>0</v>
      </c>
      <c r="AW599" s="21">
        <f t="shared" si="105"/>
        <v>0</v>
      </c>
      <c r="AX599" s="21" t="str">
        <f t="shared" si="104"/>
        <v/>
      </c>
      <c r="AY599" s="21" t="str">
        <f>IF(AND($AM599&lt;&gt;"",$AS599&lt;&gt;"✓"),SUMPRODUCT(($AM$11:$AM599&lt;&gt;"")*($AS$11:$AS599&lt;&gt;"✓")),"")</f>
        <v/>
      </c>
      <c r="AZ599" s="21" t="str">
        <f>IF(AND($AM599&lt;&gt;"",$AS599="✓"),SUMPRODUCT(($AM$11:$AM599&lt;&gt;"")*($AS$11:$AS599="✓")),"")</f>
        <v/>
      </c>
      <c r="BA599" s="21" t="str">
        <f>IF($AL599="","",$AL599&amp;"|"&amp;COUNTIF($AL$11:$AL599,$AL599))</f>
        <v/>
      </c>
    </row>
    <row r="600" spans="23:53" ht="15" customHeight="1" x14ac:dyDescent="0.25">
      <c r="W600" s="28" t="str">
        <f>IF(X600="","",IFERROR(INDEX($AL$11:$AL$4010,MATCH(590,$AY$11:$AY$4010,0)),""))</f>
        <v/>
      </c>
      <c r="X600" s="26" t="str">
        <f>IFERROR(INDEX($AM$11:$AM$4010,MATCH(590,$AY$11:$AY$4010,0)),"")</f>
        <v/>
      </c>
      <c r="Y600" s="25" t="str">
        <f>IF(X600="","",IFERROR(INDEX($AN$11:$AN$4010,MATCH(590,$AY$11:$AY$4010,0)),""))</f>
        <v/>
      </c>
      <c r="Z600" s="25" t="str">
        <f>IF(X600="","",IFERROR(INDEX($AO$11:$AO$4010,MATCH(590,$AY$11:$AY$4010,0)),""))</f>
        <v/>
      </c>
      <c r="AA600" s="24" t="str">
        <f>IF(X600="","",IFERROR(INDEX($AQ$11:$AQ$4010,MATCH(590,$AY$11:$AY$4010,0)),""))</f>
        <v/>
      </c>
      <c r="AB600" s="29" t="str">
        <f>IF(X600="","",IFERROR(INDEX($AR$11:$AR$4010,MATCH(590,$AY$11:$AY$4010,0)),""))</f>
        <v/>
      </c>
      <c r="AD600" s="30" t="str">
        <f>IF(AE600="","",IFERROR(INDEX($AL$11:$AL$4010,MATCH(590,$AZ$11:$AZ$4010,0)),""))</f>
        <v/>
      </c>
      <c r="AE600" s="26" t="str">
        <f>IFERROR(INDEX($AM$11:$AM$4010,MATCH(590,$AZ$11:$AZ$4010,0)),"")</f>
        <v/>
      </c>
      <c r="AF600" s="25" t="str">
        <f>IF(AE600="","",IFERROR(INDEX($AN$11:$AN$4010,MATCH(590,$AZ$11:$AZ$4010,0)),""))</f>
        <v/>
      </c>
      <c r="AG600" s="25" t="str">
        <f>IF(AE600="","",IFERROR(INDEX($AO$11:$AO$4010,MATCH(590,$AZ$11:$AZ$4010,0)),""))</f>
        <v/>
      </c>
      <c r="AH600" s="24" t="str">
        <f>IF(AE600="","",IFERROR(INDEX($AQ$11:$AQ$4010,MATCH(590,$AZ$11:$AZ$4010,0)),""))</f>
        <v/>
      </c>
      <c r="AI600" s="29" t="str">
        <f>IF(AE600="","",IFERROR(INDEX($AR$11:$AR$4010,MATCH(590,$AZ$11:$AZ$4010,0)),""))</f>
        <v/>
      </c>
      <c r="AJ600" s="29" t="str">
        <f>IF(AE600="","",IFERROR(INDEX($AT$11:$AT$4010,MATCH(590,$AZ$11:$AZ$4010,0)),""))</f>
        <v/>
      </c>
      <c r="AL600" s="31"/>
      <c r="AM600" s="26"/>
      <c r="AN600" s="32"/>
      <c r="AO600" s="32"/>
      <c r="AP600" s="24"/>
      <c r="AQ600" s="24"/>
      <c r="AR600" s="33"/>
      <c r="AS600" s="34"/>
      <c r="AT600" s="33"/>
      <c r="AV600" s="21">
        <f>IF(AND($AL600&lt;&gt;"",COUNTIF($AL$11:$AL600,$AL600)=1),1,0)</f>
        <v>0</v>
      </c>
      <c r="AW600" s="21">
        <f t="shared" si="105"/>
        <v>0</v>
      </c>
      <c r="AX600" s="21" t="str">
        <f t="shared" si="104"/>
        <v/>
      </c>
      <c r="AY600" s="21" t="str">
        <f>IF(AND($AM600&lt;&gt;"",$AS600&lt;&gt;"✓"),SUMPRODUCT(($AM$11:$AM600&lt;&gt;"")*($AS$11:$AS600&lt;&gt;"✓")),"")</f>
        <v/>
      </c>
      <c r="AZ600" s="21" t="str">
        <f>IF(AND($AM600&lt;&gt;"",$AS600="✓"),SUMPRODUCT(($AM$11:$AM600&lt;&gt;"")*($AS$11:$AS600="✓")),"")</f>
        <v/>
      </c>
      <c r="BA600" s="21" t="str">
        <f>IF($AL600="","",$AL600&amp;"|"&amp;COUNTIF($AL$11:$AL600,$AL600))</f>
        <v/>
      </c>
    </row>
    <row r="601" spans="23:53" ht="15" customHeight="1" x14ac:dyDescent="0.25">
      <c r="W601" s="14" t="str">
        <f>IF(X601="","",IFERROR(INDEX($AL$11:$AL$4010,MATCH(591,$AY$11:$AY$4010,0)),""))</f>
        <v/>
      </c>
      <c r="X601" s="12" t="str">
        <f>IFERROR(INDEX($AM$11:$AM$4010,MATCH(591,$AY$11:$AY$4010,0)),"")</f>
        <v/>
      </c>
      <c r="Y601" s="11" t="str">
        <f>IF(X601="","",IFERROR(INDEX($AN$11:$AN$4010,MATCH(591,$AY$11:$AY$4010,0)),""))</f>
        <v/>
      </c>
      <c r="Z601" s="11" t="str">
        <f>IF(X601="","",IFERROR(INDEX($AO$11:$AO$4010,MATCH(591,$AY$11:$AY$4010,0)),""))</f>
        <v/>
      </c>
      <c r="AA601" s="10" t="str">
        <f>IF(X601="","",IFERROR(INDEX($AQ$11:$AQ$4010,MATCH(591,$AY$11:$AY$4010,0)),""))</f>
        <v/>
      </c>
      <c r="AB601" s="15" t="str">
        <f>IF(X601="","",IFERROR(INDEX($AR$11:$AR$4010,MATCH(591,$AY$11:$AY$4010,0)),""))</f>
        <v/>
      </c>
      <c r="AD601" s="16" t="str">
        <f>IF(AE601="","",IFERROR(INDEX($AL$11:$AL$4010,MATCH(591,$AZ$11:$AZ$4010,0)),""))</f>
        <v/>
      </c>
      <c r="AE601" s="12" t="str">
        <f>IFERROR(INDEX($AM$11:$AM$4010,MATCH(591,$AZ$11:$AZ$4010,0)),"")</f>
        <v/>
      </c>
      <c r="AF601" s="11" t="str">
        <f>IF(AE601="","",IFERROR(INDEX($AN$11:$AN$4010,MATCH(591,$AZ$11:$AZ$4010,0)),""))</f>
        <v/>
      </c>
      <c r="AG601" s="11" t="str">
        <f>IF(AE601="","",IFERROR(INDEX($AO$11:$AO$4010,MATCH(591,$AZ$11:$AZ$4010,0)),""))</f>
        <v/>
      </c>
      <c r="AH601" s="10" t="str">
        <f>IF(AE601="","",IFERROR(INDEX($AQ$11:$AQ$4010,MATCH(591,$AZ$11:$AZ$4010,0)),""))</f>
        <v/>
      </c>
      <c r="AI601" s="15" t="str">
        <f>IF(AE601="","",IFERROR(INDEX($AR$11:$AR$4010,MATCH(591,$AZ$11:$AZ$4010,0)),""))</f>
        <v/>
      </c>
      <c r="AJ601" s="15" t="str">
        <f>IF(AE601="","",IFERROR(INDEX($AT$11:$AT$4010,MATCH(591,$AZ$11:$AZ$4010,0)),""))</f>
        <v/>
      </c>
      <c r="AL601" s="17"/>
      <c r="AM601" s="12"/>
      <c r="AN601" s="18"/>
      <c r="AO601" s="18"/>
      <c r="AP601" s="10"/>
      <c r="AQ601" s="10"/>
      <c r="AR601" s="19"/>
      <c r="AS601" s="20"/>
      <c r="AT601" s="19"/>
      <c r="AV601" s="21">
        <f>IF(AND($AL601&lt;&gt;"",COUNTIF($AL$11:$AL601,$AL601)=1),1,0)</f>
        <v>0</v>
      </c>
      <c r="AW601" s="21">
        <f t="shared" si="105"/>
        <v>0</v>
      </c>
      <c r="AX601" s="21" t="str">
        <f t="shared" si="104"/>
        <v/>
      </c>
      <c r="AY601" s="21" t="str">
        <f>IF(AND($AM601&lt;&gt;"",$AS601&lt;&gt;"✓"),SUMPRODUCT(($AM$11:$AM601&lt;&gt;"")*($AS$11:$AS601&lt;&gt;"✓")),"")</f>
        <v/>
      </c>
      <c r="AZ601" s="21" t="str">
        <f>IF(AND($AM601&lt;&gt;"",$AS601="✓"),SUMPRODUCT(($AM$11:$AM601&lt;&gt;"")*($AS$11:$AS601="✓")),"")</f>
        <v/>
      </c>
      <c r="BA601" s="21" t="str">
        <f>IF($AL601="","",$AL601&amp;"|"&amp;COUNTIF($AL$11:$AL601,$AL601))</f>
        <v/>
      </c>
    </row>
    <row r="602" spans="23:53" ht="15" customHeight="1" x14ac:dyDescent="0.25">
      <c r="W602" s="28" t="str">
        <f>IF(X602="","",IFERROR(INDEX($AL$11:$AL$4010,MATCH(592,$AY$11:$AY$4010,0)),""))</f>
        <v/>
      </c>
      <c r="X602" s="26" t="str">
        <f>IFERROR(INDEX($AM$11:$AM$4010,MATCH(592,$AY$11:$AY$4010,0)),"")</f>
        <v/>
      </c>
      <c r="Y602" s="25" t="str">
        <f>IF(X602="","",IFERROR(INDEX($AN$11:$AN$4010,MATCH(592,$AY$11:$AY$4010,0)),""))</f>
        <v/>
      </c>
      <c r="Z602" s="25" t="str">
        <f>IF(X602="","",IFERROR(INDEX($AO$11:$AO$4010,MATCH(592,$AY$11:$AY$4010,0)),""))</f>
        <v/>
      </c>
      <c r="AA602" s="24" t="str">
        <f>IF(X602="","",IFERROR(INDEX($AQ$11:$AQ$4010,MATCH(592,$AY$11:$AY$4010,0)),""))</f>
        <v/>
      </c>
      <c r="AB602" s="29" t="str">
        <f>IF(X602="","",IFERROR(INDEX($AR$11:$AR$4010,MATCH(592,$AY$11:$AY$4010,0)),""))</f>
        <v/>
      </c>
      <c r="AD602" s="30" t="str">
        <f>IF(AE602="","",IFERROR(INDEX($AL$11:$AL$4010,MATCH(592,$AZ$11:$AZ$4010,0)),""))</f>
        <v/>
      </c>
      <c r="AE602" s="26" t="str">
        <f>IFERROR(INDEX($AM$11:$AM$4010,MATCH(592,$AZ$11:$AZ$4010,0)),"")</f>
        <v/>
      </c>
      <c r="AF602" s="25" t="str">
        <f>IF(AE602="","",IFERROR(INDEX($AN$11:$AN$4010,MATCH(592,$AZ$11:$AZ$4010,0)),""))</f>
        <v/>
      </c>
      <c r="AG602" s="25" t="str">
        <f>IF(AE602="","",IFERROR(INDEX($AO$11:$AO$4010,MATCH(592,$AZ$11:$AZ$4010,0)),""))</f>
        <v/>
      </c>
      <c r="AH602" s="24" t="str">
        <f>IF(AE602="","",IFERROR(INDEX($AQ$11:$AQ$4010,MATCH(592,$AZ$11:$AZ$4010,0)),""))</f>
        <v/>
      </c>
      <c r="AI602" s="29" t="str">
        <f>IF(AE602="","",IFERROR(INDEX($AR$11:$AR$4010,MATCH(592,$AZ$11:$AZ$4010,0)),""))</f>
        <v/>
      </c>
      <c r="AJ602" s="29" t="str">
        <f>IF(AE602="","",IFERROR(INDEX($AT$11:$AT$4010,MATCH(592,$AZ$11:$AZ$4010,0)),""))</f>
        <v/>
      </c>
      <c r="AL602" s="31"/>
      <c r="AM602" s="26"/>
      <c r="AN602" s="32"/>
      <c r="AO602" s="32"/>
      <c r="AP602" s="24"/>
      <c r="AQ602" s="24"/>
      <c r="AR602" s="33"/>
      <c r="AS602" s="34"/>
      <c r="AT602" s="33"/>
      <c r="AV602" s="21">
        <f>IF(AND($AL602&lt;&gt;"",COUNTIF($AL$11:$AL602,$AL602)=1),1,0)</f>
        <v>0</v>
      </c>
      <c r="AW602" s="21">
        <f t="shared" si="105"/>
        <v>0</v>
      </c>
      <c r="AX602" s="21" t="str">
        <f t="shared" si="104"/>
        <v/>
      </c>
      <c r="AY602" s="21" t="str">
        <f>IF(AND($AM602&lt;&gt;"",$AS602&lt;&gt;"✓"),SUMPRODUCT(($AM$11:$AM602&lt;&gt;"")*($AS$11:$AS602&lt;&gt;"✓")),"")</f>
        <v/>
      </c>
      <c r="AZ602" s="21" t="str">
        <f>IF(AND($AM602&lt;&gt;"",$AS602="✓"),SUMPRODUCT(($AM$11:$AM602&lt;&gt;"")*($AS$11:$AS602="✓")),"")</f>
        <v/>
      </c>
      <c r="BA602" s="21" t="str">
        <f>IF($AL602="","",$AL602&amp;"|"&amp;COUNTIF($AL$11:$AL602,$AL602))</f>
        <v/>
      </c>
    </row>
    <row r="603" spans="23:53" ht="15" customHeight="1" x14ac:dyDescent="0.25">
      <c r="W603" s="14" t="str">
        <f>IF(X603="","",IFERROR(INDEX($AL$11:$AL$4010,MATCH(593,$AY$11:$AY$4010,0)),""))</f>
        <v/>
      </c>
      <c r="X603" s="12" t="str">
        <f>IFERROR(INDEX($AM$11:$AM$4010,MATCH(593,$AY$11:$AY$4010,0)),"")</f>
        <v/>
      </c>
      <c r="Y603" s="11" t="str">
        <f>IF(X603="","",IFERROR(INDEX($AN$11:$AN$4010,MATCH(593,$AY$11:$AY$4010,0)),""))</f>
        <v/>
      </c>
      <c r="Z603" s="11" t="str">
        <f>IF(X603="","",IFERROR(INDEX($AO$11:$AO$4010,MATCH(593,$AY$11:$AY$4010,0)),""))</f>
        <v/>
      </c>
      <c r="AA603" s="10" t="str">
        <f>IF(X603="","",IFERROR(INDEX($AQ$11:$AQ$4010,MATCH(593,$AY$11:$AY$4010,0)),""))</f>
        <v/>
      </c>
      <c r="AB603" s="15" t="str">
        <f>IF(X603="","",IFERROR(INDEX($AR$11:$AR$4010,MATCH(593,$AY$11:$AY$4010,0)),""))</f>
        <v/>
      </c>
      <c r="AD603" s="16" t="str">
        <f>IF(AE603="","",IFERROR(INDEX($AL$11:$AL$4010,MATCH(593,$AZ$11:$AZ$4010,0)),""))</f>
        <v/>
      </c>
      <c r="AE603" s="12" t="str">
        <f>IFERROR(INDEX($AM$11:$AM$4010,MATCH(593,$AZ$11:$AZ$4010,0)),"")</f>
        <v/>
      </c>
      <c r="AF603" s="11" t="str">
        <f>IF(AE603="","",IFERROR(INDEX($AN$11:$AN$4010,MATCH(593,$AZ$11:$AZ$4010,0)),""))</f>
        <v/>
      </c>
      <c r="AG603" s="11" t="str">
        <f>IF(AE603="","",IFERROR(INDEX($AO$11:$AO$4010,MATCH(593,$AZ$11:$AZ$4010,0)),""))</f>
        <v/>
      </c>
      <c r="AH603" s="10" t="str">
        <f>IF(AE603="","",IFERROR(INDEX($AQ$11:$AQ$4010,MATCH(593,$AZ$11:$AZ$4010,0)),""))</f>
        <v/>
      </c>
      <c r="AI603" s="15" t="str">
        <f>IF(AE603="","",IFERROR(INDEX($AR$11:$AR$4010,MATCH(593,$AZ$11:$AZ$4010,0)),""))</f>
        <v/>
      </c>
      <c r="AJ603" s="15" t="str">
        <f>IF(AE603="","",IFERROR(INDEX($AT$11:$AT$4010,MATCH(593,$AZ$11:$AZ$4010,0)),""))</f>
        <v/>
      </c>
      <c r="AL603" s="17"/>
      <c r="AM603" s="12"/>
      <c r="AN603" s="18"/>
      <c r="AO603" s="18"/>
      <c r="AP603" s="10"/>
      <c r="AQ603" s="10"/>
      <c r="AR603" s="19"/>
      <c r="AS603" s="20"/>
      <c r="AT603" s="19"/>
      <c r="AV603" s="21">
        <f>IF(AND($AL603&lt;&gt;"",COUNTIF($AL$11:$AL603,$AL603)=1),1,0)</f>
        <v>0</v>
      </c>
      <c r="AW603" s="21">
        <f t="shared" si="105"/>
        <v>0</v>
      </c>
      <c r="AX603" s="21" t="str">
        <f t="shared" si="104"/>
        <v/>
      </c>
      <c r="AY603" s="21" t="str">
        <f>IF(AND($AM603&lt;&gt;"",$AS603&lt;&gt;"✓"),SUMPRODUCT(($AM$11:$AM603&lt;&gt;"")*($AS$11:$AS603&lt;&gt;"✓")),"")</f>
        <v/>
      </c>
      <c r="AZ603" s="21" t="str">
        <f>IF(AND($AM603&lt;&gt;"",$AS603="✓"),SUMPRODUCT(($AM$11:$AM603&lt;&gt;"")*($AS$11:$AS603="✓")),"")</f>
        <v/>
      </c>
      <c r="BA603" s="21" t="str">
        <f>IF($AL603="","",$AL603&amp;"|"&amp;COUNTIF($AL$11:$AL603,$AL603))</f>
        <v/>
      </c>
    </row>
    <row r="604" spans="23:53" ht="15" customHeight="1" x14ac:dyDescent="0.25">
      <c r="W604" s="28" t="str">
        <f>IF(X604="","",IFERROR(INDEX($AL$11:$AL$4010,MATCH(594,$AY$11:$AY$4010,0)),""))</f>
        <v/>
      </c>
      <c r="X604" s="26" t="str">
        <f>IFERROR(INDEX($AM$11:$AM$4010,MATCH(594,$AY$11:$AY$4010,0)),"")</f>
        <v/>
      </c>
      <c r="Y604" s="25" t="str">
        <f>IF(X604="","",IFERROR(INDEX($AN$11:$AN$4010,MATCH(594,$AY$11:$AY$4010,0)),""))</f>
        <v/>
      </c>
      <c r="Z604" s="25" t="str">
        <f>IF(X604="","",IFERROR(INDEX($AO$11:$AO$4010,MATCH(594,$AY$11:$AY$4010,0)),""))</f>
        <v/>
      </c>
      <c r="AA604" s="24" t="str">
        <f>IF(X604="","",IFERROR(INDEX($AQ$11:$AQ$4010,MATCH(594,$AY$11:$AY$4010,0)),""))</f>
        <v/>
      </c>
      <c r="AB604" s="29" t="str">
        <f>IF(X604="","",IFERROR(INDEX($AR$11:$AR$4010,MATCH(594,$AY$11:$AY$4010,0)),""))</f>
        <v/>
      </c>
      <c r="AD604" s="30" t="str">
        <f>IF(AE604="","",IFERROR(INDEX($AL$11:$AL$4010,MATCH(594,$AZ$11:$AZ$4010,0)),""))</f>
        <v/>
      </c>
      <c r="AE604" s="26" t="str">
        <f>IFERROR(INDEX($AM$11:$AM$4010,MATCH(594,$AZ$11:$AZ$4010,0)),"")</f>
        <v/>
      </c>
      <c r="AF604" s="25" t="str">
        <f>IF(AE604="","",IFERROR(INDEX($AN$11:$AN$4010,MATCH(594,$AZ$11:$AZ$4010,0)),""))</f>
        <v/>
      </c>
      <c r="AG604" s="25" t="str">
        <f>IF(AE604="","",IFERROR(INDEX($AO$11:$AO$4010,MATCH(594,$AZ$11:$AZ$4010,0)),""))</f>
        <v/>
      </c>
      <c r="AH604" s="24" t="str">
        <f>IF(AE604="","",IFERROR(INDEX($AQ$11:$AQ$4010,MATCH(594,$AZ$11:$AZ$4010,0)),""))</f>
        <v/>
      </c>
      <c r="AI604" s="29" t="str">
        <f>IF(AE604="","",IFERROR(INDEX($AR$11:$AR$4010,MATCH(594,$AZ$11:$AZ$4010,0)),""))</f>
        <v/>
      </c>
      <c r="AJ604" s="29" t="str">
        <f>IF(AE604="","",IFERROR(INDEX($AT$11:$AT$4010,MATCH(594,$AZ$11:$AZ$4010,0)),""))</f>
        <v/>
      </c>
      <c r="AL604" s="31"/>
      <c r="AM604" s="26"/>
      <c r="AN604" s="32"/>
      <c r="AO604" s="32"/>
      <c r="AP604" s="24"/>
      <c r="AQ604" s="24"/>
      <c r="AR604" s="33"/>
      <c r="AS604" s="34"/>
      <c r="AT604" s="33"/>
      <c r="AV604" s="21">
        <f>IF(AND($AL604&lt;&gt;"",COUNTIF($AL$11:$AL604,$AL604)=1),1,0)</f>
        <v>0</v>
      </c>
      <c r="AW604" s="21">
        <f t="shared" si="105"/>
        <v>0</v>
      </c>
      <c r="AX604" s="21" t="str">
        <f t="shared" si="104"/>
        <v/>
      </c>
      <c r="AY604" s="21" t="str">
        <f>IF(AND($AM604&lt;&gt;"",$AS604&lt;&gt;"✓"),SUMPRODUCT(($AM$11:$AM604&lt;&gt;"")*($AS$11:$AS604&lt;&gt;"✓")),"")</f>
        <v/>
      </c>
      <c r="AZ604" s="21" t="str">
        <f>IF(AND($AM604&lt;&gt;"",$AS604="✓"),SUMPRODUCT(($AM$11:$AM604&lt;&gt;"")*($AS$11:$AS604="✓")),"")</f>
        <v/>
      </c>
      <c r="BA604" s="21" t="str">
        <f>IF($AL604="","",$AL604&amp;"|"&amp;COUNTIF($AL$11:$AL604,$AL604))</f>
        <v/>
      </c>
    </row>
    <row r="605" spans="23:53" ht="15" customHeight="1" x14ac:dyDescent="0.25">
      <c r="W605" s="14" t="str">
        <f>IF(X605="","",IFERROR(INDEX($AL$11:$AL$4010,MATCH(595,$AY$11:$AY$4010,0)),""))</f>
        <v/>
      </c>
      <c r="X605" s="12" t="str">
        <f>IFERROR(INDEX($AM$11:$AM$4010,MATCH(595,$AY$11:$AY$4010,0)),"")</f>
        <v/>
      </c>
      <c r="Y605" s="11" t="str">
        <f>IF(X605="","",IFERROR(INDEX($AN$11:$AN$4010,MATCH(595,$AY$11:$AY$4010,0)),""))</f>
        <v/>
      </c>
      <c r="Z605" s="11" t="str">
        <f>IF(X605="","",IFERROR(INDEX($AO$11:$AO$4010,MATCH(595,$AY$11:$AY$4010,0)),""))</f>
        <v/>
      </c>
      <c r="AA605" s="10" t="str">
        <f>IF(X605="","",IFERROR(INDEX($AQ$11:$AQ$4010,MATCH(595,$AY$11:$AY$4010,0)),""))</f>
        <v/>
      </c>
      <c r="AB605" s="15" t="str">
        <f>IF(X605="","",IFERROR(INDEX($AR$11:$AR$4010,MATCH(595,$AY$11:$AY$4010,0)),""))</f>
        <v/>
      </c>
      <c r="AD605" s="16" t="str">
        <f>IF(AE605="","",IFERROR(INDEX($AL$11:$AL$4010,MATCH(595,$AZ$11:$AZ$4010,0)),""))</f>
        <v/>
      </c>
      <c r="AE605" s="12" t="str">
        <f>IFERROR(INDEX($AM$11:$AM$4010,MATCH(595,$AZ$11:$AZ$4010,0)),"")</f>
        <v/>
      </c>
      <c r="AF605" s="11" t="str">
        <f>IF(AE605="","",IFERROR(INDEX($AN$11:$AN$4010,MATCH(595,$AZ$11:$AZ$4010,0)),""))</f>
        <v/>
      </c>
      <c r="AG605" s="11" t="str">
        <f>IF(AE605="","",IFERROR(INDEX($AO$11:$AO$4010,MATCH(595,$AZ$11:$AZ$4010,0)),""))</f>
        <v/>
      </c>
      <c r="AH605" s="10" t="str">
        <f>IF(AE605="","",IFERROR(INDEX($AQ$11:$AQ$4010,MATCH(595,$AZ$11:$AZ$4010,0)),""))</f>
        <v/>
      </c>
      <c r="AI605" s="15" t="str">
        <f>IF(AE605="","",IFERROR(INDEX($AR$11:$AR$4010,MATCH(595,$AZ$11:$AZ$4010,0)),""))</f>
        <v/>
      </c>
      <c r="AJ605" s="15" t="str">
        <f>IF(AE605="","",IFERROR(INDEX($AT$11:$AT$4010,MATCH(595,$AZ$11:$AZ$4010,0)),""))</f>
        <v/>
      </c>
      <c r="AL605" s="17"/>
      <c r="AM605" s="12"/>
      <c r="AN605" s="18"/>
      <c r="AO605" s="18"/>
      <c r="AP605" s="10"/>
      <c r="AQ605" s="10"/>
      <c r="AR605" s="19"/>
      <c r="AS605" s="20"/>
      <c r="AT605" s="19"/>
      <c r="AV605" s="21">
        <f>IF(AND($AL605&lt;&gt;"",COUNTIF($AL$11:$AL605,$AL605)=1),1,0)</f>
        <v>0</v>
      </c>
      <c r="AW605" s="21">
        <f t="shared" si="105"/>
        <v>0</v>
      </c>
      <c r="AX605" s="21" t="str">
        <f t="shared" si="104"/>
        <v/>
      </c>
      <c r="AY605" s="21" t="str">
        <f>IF(AND($AM605&lt;&gt;"",$AS605&lt;&gt;"✓"),SUMPRODUCT(($AM$11:$AM605&lt;&gt;"")*($AS$11:$AS605&lt;&gt;"✓")),"")</f>
        <v/>
      </c>
      <c r="AZ605" s="21" t="str">
        <f>IF(AND($AM605&lt;&gt;"",$AS605="✓"),SUMPRODUCT(($AM$11:$AM605&lt;&gt;"")*($AS$11:$AS605="✓")),"")</f>
        <v/>
      </c>
      <c r="BA605" s="21" t="str">
        <f>IF($AL605="","",$AL605&amp;"|"&amp;COUNTIF($AL$11:$AL605,$AL605))</f>
        <v/>
      </c>
    </row>
    <row r="606" spans="23:53" ht="15" customHeight="1" x14ac:dyDescent="0.25">
      <c r="W606" s="28" t="str">
        <f>IF(X606="","",IFERROR(INDEX($AL$11:$AL$4010,MATCH(596,$AY$11:$AY$4010,0)),""))</f>
        <v/>
      </c>
      <c r="X606" s="26" t="str">
        <f>IFERROR(INDEX($AM$11:$AM$4010,MATCH(596,$AY$11:$AY$4010,0)),"")</f>
        <v/>
      </c>
      <c r="Y606" s="25" t="str">
        <f>IF(X606="","",IFERROR(INDEX($AN$11:$AN$4010,MATCH(596,$AY$11:$AY$4010,0)),""))</f>
        <v/>
      </c>
      <c r="Z606" s="25" t="str">
        <f>IF(X606="","",IFERROR(INDEX($AO$11:$AO$4010,MATCH(596,$AY$11:$AY$4010,0)),""))</f>
        <v/>
      </c>
      <c r="AA606" s="24" t="str">
        <f>IF(X606="","",IFERROR(INDEX($AQ$11:$AQ$4010,MATCH(596,$AY$11:$AY$4010,0)),""))</f>
        <v/>
      </c>
      <c r="AB606" s="29" t="str">
        <f>IF(X606="","",IFERROR(INDEX($AR$11:$AR$4010,MATCH(596,$AY$11:$AY$4010,0)),""))</f>
        <v/>
      </c>
      <c r="AD606" s="30" t="str">
        <f>IF(AE606="","",IFERROR(INDEX($AL$11:$AL$4010,MATCH(596,$AZ$11:$AZ$4010,0)),""))</f>
        <v/>
      </c>
      <c r="AE606" s="26" t="str">
        <f>IFERROR(INDEX($AM$11:$AM$4010,MATCH(596,$AZ$11:$AZ$4010,0)),"")</f>
        <v/>
      </c>
      <c r="AF606" s="25" t="str">
        <f>IF(AE606="","",IFERROR(INDEX($AN$11:$AN$4010,MATCH(596,$AZ$11:$AZ$4010,0)),""))</f>
        <v/>
      </c>
      <c r="AG606" s="25" t="str">
        <f>IF(AE606="","",IFERROR(INDEX($AO$11:$AO$4010,MATCH(596,$AZ$11:$AZ$4010,0)),""))</f>
        <v/>
      </c>
      <c r="AH606" s="24" t="str">
        <f>IF(AE606="","",IFERROR(INDEX($AQ$11:$AQ$4010,MATCH(596,$AZ$11:$AZ$4010,0)),""))</f>
        <v/>
      </c>
      <c r="AI606" s="29" t="str">
        <f>IF(AE606="","",IFERROR(INDEX($AR$11:$AR$4010,MATCH(596,$AZ$11:$AZ$4010,0)),""))</f>
        <v/>
      </c>
      <c r="AJ606" s="29" t="str">
        <f>IF(AE606="","",IFERROR(INDEX($AT$11:$AT$4010,MATCH(596,$AZ$11:$AZ$4010,0)),""))</f>
        <v/>
      </c>
      <c r="AL606" s="31"/>
      <c r="AM606" s="26"/>
      <c r="AN606" s="32"/>
      <c r="AO606" s="32"/>
      <c r="AP606" s="24"/>
      <c r="AQ606" s="24"/>
      <c r="AR606" s="33"/>
      <c r="AS606" s="34"/>
      <c r="AT606" s="33"/>
      <c r="AV606" s="21">
        <f>IF(AND($AL606&lt;&gt;"",COUNTIF($AL$11:$AL606,$AL606)=1),1,0)</f>
        <v>0</v>
      </c>
      <c r="AW606" s="21">
        <f t="shared" si="105"/>
        <v>0</v>
      </c>
      <c r="AX606" s="21" t="str">
        <f t="shared" si="104"/>
        <v/>
      </c>
      <c r="AY606" s="21" t="str">
        <f>IF(AND($AM606&lt;&gt;"",$AS606&lt;&gt;"✓"),SUMPRODUCT(($AM$11:$AM606&lt;&gt;"")*($AS$11:$AS606&lt;&gt;"✓")),"")</f>
        <v/>
      </c>
      <c r="AZ606" s="21" t="str">
        <f>IF(AND($AM606&lt;&gt;"",$AS606="✓"),SUMPRODUCT(($AM$11:$AM606&lt;&gt;"")*($AS$11:$AS606="✓")),"")</f>
        <v/>
      </c>
      <c r="BA606" s="21" t="str">
        <f>IF($AL606="","",$AL606&amp;"|"&amp;COUNTIF($AL$11:$AL606,$AL606))</f>
        <v/>
      </c>
    </row>
    <row r="607" spans="23:53" ht="15" customHeight="1" x14ac:dyDescent="0.25">
      <c r="W607" s="14" t="str">
        <f>IF(X607="","",IFERROR(INDEX($AL$11:$AL$4010,MATCH(597,$AY$11:$AY$4010,0)),""))</f>
        <v/>
      </c>
      <c r="X607" s="12" t="str">
        <f>IFERROR(INDEX($AM$11:$AM$4010,MATCH(597,$AY$11:$AY$4010,0)),"")</f>
        <v/>
      </c>
      <c r="Y607" s="11" t="str">
        <f>IF(X607="","",IFERROR(INDEX($AN$11:$AN$4010,MATCH(597,$AY$11:$AY$4010,0)),""))</f>
        <v/>
      </c>
      <c r="Z607" s="11" t="str">
        <f>IF(X607="","",IFERROR(INDEX($AO$11:$AO$4010,MATCH(597,$AY$11:$AY$4010,0)),""))</f>
        <v/>
      </c>
      <c r="AA607" s="10" t="str">
        <f>IF(X607="","",IFERROR(INDEX($AQ$11:$AQ$4010,MATCH(597,$AY$11:$AY$4010,0)),""))</f>
        <v/>
      </c>
      <c r="AB607" s="15" t="str">
        <f>IF(X607="","",IFERROR(INDEX($AR$11:$AR$4010,MATCH(597,$AY$11:$AY$4010,0)),""))</f>
        <v/>
      </c>
      <c r="AD607" s="16" t="str">
        <f>IF(AE607="","",IFERROR(INDEX($AL$11:$AL$4010,MATCH(597,$AZ$11:$AZ$4010,0)),""))</f>
        <v/>
      </c>
      <c r="AE607" s="12" t="str">
        <f>IFERROR(INDEX($AM$11:$AM$4010,MATCH(597,$AZ$11:$AZ$4010,0)),"")</f>
        <v/>
      </c>
      <c r="AF607" s="11" t="str">
        <f>IF(AE607="","",IFERROR(INDEX($AN$11:$AN$4010,MATCH(597,$AZ$11:$AZ$4010,0)),""))</f>
        <v/>
      </c>
      <c r="AG607" s="11" t="str">
        <f>IF(AE607="","",IFERROR(INDEX($AO$11:$AO$4010,MATCH(597,$AZ$11:$AZ$4010,0)),""))</f>
        <v/>
      </c>
      <c r="AH607" s="10" t="str">
        <f>IF(AE607="","",IFERROR(INDEX($AQ$11:$AQ$4010,MATCH(597,$AZ$11:$AZ$4010,0)),""))</f>
        <v/>
      </c>
      <c r="AI607" s="15" t="str">
        <f>IF(AE607="","",IFERROR(INDEX($AR$11:$AR$4010,MATCH(597,$AZ$11:$AZ$4010,0)),""))</f>
        <v/>
      </c>
      <c r="AJ607" s="15" t="str">
        <f>IF(AE607="","",IFERROR(INDEX($AT$11:$AT$4010,MATCH(597,$AZ$11:$AZ$4010,0)),""))</f>
        <v/>
      </c>
      <c r="AL607" s="17"/>
      <c r="AM607" s="12"/>
      <c r="AN607" s="18"/>
      <c r="AO607" s="18"/>
      <c r="AP607" s="10"/>
      <c r="AQ607" s="10"/>
      <c r="AR607" s="19"/>
      <c r="AS607" s="20"/>
      <c r="AT607" s="19"/>
      <c r="AV607" s="21">
        <f>IF(AND($AL607&lt;&gt;"",COUNTIF($AL$11:$AL607,$AL607)=1),1,0)</f>
        <v>0</v>
      </c>
      <c r="AW607" s="21">
        <f t="shared" si="105"/>
        <v>0</v>
      </c>
      <c r="AX607" s="21" t="str">
        <f t="shared" si="104"/>
        <v/>
      </c>
      <c r="AY607" s="21" t="str">
        <f>IF(AND($AM607&lt;&gt;"",$AS607&lt;&gt;"✓"),SUMPRODUCT(($AM$11:$AM607&lt;&gt;"")*($AS$11:$AS607&lt;&gt;"✓")),"")</f>
        <v/>
      </c>
      <c r="AZ607" s="21" t="str">
        <f>IF(AND($AM607&lt;&gt;"",$AS607="✓"),SUMPRODUCT(($AM$11:$AM607&lt;&gt;"")*($AS$11:$AS607="✓")),"")</f>
        <v/>
      </c>
      <c r="BA607" s="21" t="str">
        <f>IF($AL607="","",$AL607&amp;"|"&amp;COUNTIF($AL$11:$AL607,$AL607))</f>
        <v/>
      </c>
    </row>
    <row r="608" spans="23:53" ht="15" customHeight="1" x14ac:dyDescent="0.25">
      <c r="W608" s="28" t="str">
        <f>IF(X608="","",IFERROR(INDEX($AL$11:$AL$4010,MATCH(598,$AY$11:$AY$4010,0)),""))</f>
        <v/>
      </c>
      <c r="X608" s="26" t="str">
        <f>IFERROR(INDEX($AM$11:$AM$4010,MATCH(598,$AY$11:$AY$4010,0)),"")</f>
        <v/>
      </c>
      <c r="Y608" s="25" t="str">
        <f>IF(X608="","",IFERROR(INDEX($AN$11:$AN$4010,MATCH(598,$AY$11:$AY$4010,0)),""))</f>
        <v/>
      </c>
      <c r="Z608" s="25" t="str">
        <f>IF(X608="","",IFERROR(INDEX($AO$11:$AO$4010,MATCH(598,$AY$11:$AY$4010,0)),""))</f>
        <v/>
      </c>
      <c r="AA608" s="24" t="str">
        <f>IF(X608="","",IFERROR(INDEX($AQ$11:$AQ$4010,MATCH(598,$AY$11:$AY$4010,0)),""))</f>
        <v/>
      </c>
      <c r="AB608" s="29" t="str">
        <f>IF(X608="","",IFERROR(INDEX($AR$11:$AR$4010,MATCH(598,$AY$11:$AY$4010,0)),""))</f>
        <v/>
      </c>
      <c r="AD608" s="30" t="str">
        <f>IF(AE608="","",IFERROR(INDEX($AL$11:$AL$4010,MATCH(598,$AZ$11:$AZ$4010,0)),""))</f>
        <v/>
      </c>
      <c r="AE608" s="26" t="str">
        <f>IFERROR(INDEX($AM$11:$AM$4010,MATCH(598,$AZ$11:$AZ$4010,0)),"")</f>
        <v/>
      </c>
      <c r="AF608" s="25" t="str">
        <f>IF(AE608="","",IFERROR(INDEX($AN$11:$AN$4010,MATCH(598,$AZ$11:$AZ$4010,0)),""))</f>
        <v/>
      </c>
      <c r="AG608" s="25" t="str">
        <f>IF(AE608="","",IFERROR(INDEX($AO$11:$AO$4010,MATCH(598,$AZ$11:$AZ$4010,0)),""))</f>
        <v/>
      </c>
      <c r="AH608" s="24" t="str">
        <f>IF(AE608="","",IFERROR(INDEX($AQ$11:$AQ$4010,MATCH(598,$AZ$11:$AZ$4010,0)),""))</f>
        <v/>
      </c>
      <c r="AI608" s="29" t="str">
        <f>IF(AE608="","",IFERROR(INDEX($AR$11:$AR$4010,MATCH(598,$AZ$11:$AZ$4010,0)),""))</f>
        <v/>
      </c>
      <c r="AJ608" s="29" t="str">
        <f>IF(AE608="","",IFERROR(INDEX($AT$11:$AT$4010,MATCH(598,$AZ$11:$AZ$4010,0)),""))</f>
        <v/>
      </c>
      <c r="AL608" s="31"/>
      <c r="AM608" s="26"/>
      <c r="AN608" s="32"/>
      <c r="AO608" s="32"/>
      <c r="AP608" s="24"/>
      <c r="AQ608" s="24"/>
      <c r="AR608" s="33"/>
      <c r="AS608" s="34"/>
      <c r="AT608" s="33"/>
      <c r="AV608" s="21">
        <f>IF(AND($AL608&lt;&gt;"",COUNTIF($AL$11:$AL608,$AL608)=1),1,0)</f>
        <v>0</v>
      </c>
      <c r="AW608" s="21">
        <f t="shared" si="105"/>
        <v>0</v>
      </c>
      <c r="AX608" s="21" t="str">
        <f t="shared" si="104"/>
        <v/>
      </c>
      <c r="AY608" s="21" t="str">
        <f>IF(AND($AM608&lt;&gt;"",$AS608&lt;&gt;"✓"),SUMPRODUCT(($AM$11:$AM608&lt;&gt;"")*($AS$11:$AS608&lt;&gt;"✓")),"")</f>
        <v/>
      </c>
      <c r="AZ608" s="21" t="str">
        <f>IF(AND($AM608&lt;&gt;"",$AS608="✓"),SUMPRODUCT(($AM$11:$AM608&lt;&gt;"")*($AS$11:$AS608="✓")),"")</f>
        <v/>
      </c>
      <c r="BA608" s="21" t="str">
        <f>IF($AL608="","",$AL608&amp;"|"&amp;COUNTIF($AL$11:$AL608,$AL608))</f>
        <v/>
      </c>
    </row>
    <row r="609" spans="23:53" ht="15" customHeight="1" x14ac:dyDescent="0.25">
      <c r="W609" s="14" t="str">
        <f>IF(X609="","",IFERROR(INDEX($AL$11:$AL$4010,MATCH(599,$AY$11:$AY$4010,0)),""))</f>
        <v/>
      </c>
      <c r="X609" s="12" t="str">
        <f>IFERROR(INDEX($AM$11:$AM$4010,MATCH(599,$AY$11:$AY$4010,0)),"")</f>
        <v/>
      </c>
      <c r="Y609" s="11" t="str">
        <f>IF(X609="","",IFERROR(INDEX($AN$11:$AN$4010,MATCH(599,$AY$11:$AY$4010,0)),""))</f>
        <v/>
      </c>
      <c r="Z609" s="11" t="str">
        <f>IF(X609="","",IFERROR(INDEX($AO$11:$AO$4010,MATCH(599,$AY$11:$AY$4010,0)),""))</f>
        <v/>
      </c>
      <c r="AA609" s="10" t="str">
        <f>IF(X609="","",IFERROR(INDEX($AQ$11:$AQ$4010,MATCH(599,$AY$11:$AY$4010,0)),""))</f>
        <v/>
      </c>
      <c r="AB609" s="15" t="str">
        <f>IF(X609="","",IFERROR(INDEX($AR$11:$AR$4010,MATCH(599,$AY$11:$AY$4010,0)),""))</f>
        <v/>
      </c>
      <c r="AD609" s="16" t="str">
        <f>IF(AE609="","",IFERROR(INDEX($AL$11:$AL$4010,MATCH(599,$AZ$11:$AZ$4010,0)),""))</f>
        <v/>
      </c>
      <c r="AE609" s="12" t="str">
        <f>IFERROR(INDEX($AM$11:$AM$4010,MATCH(599,$AZ$11:$AZ$4010,0)),"")</f>
        <v/>
      </c>
      <c r="AF609" s="11" t="str">
        <f>IF(AE609="","",IFERROR(INDEX($AN$11:$AN$4010,MATCH(599,$AZ$11:$AZ$4010,0)),""))</f>
        <v/>
      </c>
      <c r="AG609" s="11" t="str">
        <f>IF(AE609="","",IFERROR(INDEX($AO$11:$AO$4010,MATCH(599,$AZ$11:$AZ$4010,0)),""))</f>
        <v/>
      </c>
      <c r="AH609" s="10" t="str">
        <f>IF(AE609="","",IFERROR(INDEX($AQ$11:$AQ$4010,MATCH(599,$AZ$11:$AZ$4010,0)),""))</f>
        <v/>
      </c>
      <c r="AI609" s="15" t="str">
        <f>IF(AE609="","",IFERROR(INDEX($AR$11:$AR$4010,MATCH(599,$AZ$11:$AZ$4010,0)),""))</f>
        <v/>
      </c>
      <c r="AJ609" s="15" t="str">
        <f>IF(AE609="","",IFERROR(INDEX($AT$11:$AT$4010,MATCH(599,$AZ$11:$AZ$4010,0)),""))</f>
        <v/>
      </c>
      <c r="AL609" s="17"/>
      <c r="AM609" s="12"/>
      <c r="AN609" s="18"/>
      <c r="AO609" s="18"/>
      <c r="AP609" s="10"/>
      <c r="AQ609" s="10"/>
      <c r="AR609" s="19"/>
      <c r="AS609" s="20"/>
      <c r="AT609" s="19"/>
      <c r="AV609" s="21">
        <f>IF(AND($AL609&lt;&gt;"",COUNTIF($AL$11:$AL609,$AL609)=1),1,0)</f>
        <v>0</v>
      </c>
      <c r="AW609" s="21">
        <f t="shared" si="105"/>
        <v>0</v>
      </c>
      <c r="AX609" s="21" t="str">
        <f t="shared" si="104"/>
        <v/>
      </c>
      <c r="AY609" s="21" t="str">
        <f>IF(AND($AM609&lt;&gt;"",$AS609&lt;&gt;"✓"),SUMPRODUCT(($AM$11:$AM609&lt;&gt;"")*($AS$11:$AS609&lt;&gt;"✓")),"")</f>
        <v/>
      </c>
      <c r="AZ609" s="21" t="str">
        <f>IF(AND($AM609&lt;&gt;"",$AS609="✓"),SUMPRODUCT(($AM$11:$AM609&lt;&gt;"")*($AS$11:$AS609="✓")),"")</f>
        <v/>
      </c>
      <c r="BA609" s="21" t="str">
        <f>IF($AL609="","",$AL609&amp;"|"&amp;COUNTIF($AL$11:$AL609,$AL609))</f>
        <v/>
      </c>
    </row>
    <row r="610" spans="23:53" ht="15" customHeight="1" x14ac:dyDescent="0.25">
      <c r="W610" s="28" t="str">
        <f>IF(X610="","",IFERROR(INDEX($AL$11:$AL$4010,MATCH(600,$AY$11:$AY$4010,0)),""))</f>
        <v/>
      </c>
      <c r="X610" s="26" t="str">
        <f>IFERROR(INDEX($AM$11:$AM$4010,MATCH(600,$AY$11:$AY$4010,0)),"")</f>
        <v/>
      </c>
      <c r="Y610" s="25" t="str">
        <f>IF(X610="","",IFERROR(INDEX($AN$11:$AN$4010,MATCH(600,$AY$11:$AY$4010,0)),""))</f>
        <v/>
      </c>
      <c r="Z610" s="25" t="str">
        <f>IF(X610="","",IFERROR(INDEX($AO$11:$AO$4010,MATCH(600,$AY$11:$AY$4010,0)),""))</f>
        <v/>
      </c>
      <c r="AA610" s="24" t="str">
        <f>IF(X610="","",IFERROR(INDEX($AQ$11:$AQ$4010,MATCH(600,$AY$11:$AY$4010,0)),""))</f>
        <v/>
      </c>
      <c r="AB610" s="29" t="str">
        <f>IF(X610="","",IFERROR(INDEX($AR$11:$AR$4010,MATCH(600,$AY$11:$AY$4010,0)),""))</f>
        <v/>
      </c>
      <c r="AD610" s="30" t="str">
        <f>IF(AE610="","",IFERROR(INDEX($AL$11:$AL$4010,MATCH(600,$AZ$11:$AZ$4010,0)),""))</f>
        <v/>
      </c>
      <c r="AE610" s="26" t="str">
        <f>IFERROR(INDEX($AM$11:$AM$4010,MATCH(600,$AZ$11:$AZ$4010,0)),"")</f>
        <v/>
      </c>
      <c r="AF610" s="25" t="str">
        <f>IF(AE610="","",IFERROR(INDEX($AN$11:$AN$4010,MATCH(600,$AZ$11:$AZ$4010,0)),""))</f>
        <v/>
      </c>
      <c r="AG610" s="25" t="str">
        <f>IF(AE610="","",IFERROR(INDEX($AO$11:$AO$4010,MATCH(600,$AZ$11:$AZ$4010,0)),""))</f>
        <v/>
      </c>
      <c r="AH610" s="24" t="str">
        <f>IF(AE610="","",IFERROR(INDEX($AQ$11:$AQ$4010,MATCH(600,$AZ$11:$AZ$4010,0)),""))</f>
        <v/>
      </c>
      <c r="AI610" s="29" t="str">
        <f>IF(AE610="","",IFERROR(INDEX($AR$11:$AR$4010,MATCH(600,$AZ$11:$AZ$4010,0)),""))</f>
        <v/>
      </c>
      <c r="AJ610" s="29" t="str">
        <f>IF(AE610="","",IFERROR(INDEX($AT$11:$AT$4010,MATCH(600,$AZ$11:$AZ$4010,0)),""))</f>
        <v/>
      </c>
      <c r="AL610" s="31"/>
      <c r="AM610" s="26"/>
      <c r="AN610" s="32"/>
      <c r="AO610" s="32"/>
      <c r="AP610" s="24"/>
      <c r="AQ610" s="24"/>
      <c r="AR610" s="33"/>
      <c r="AS610" s="34"/>
      <c r="AT610" s="33"/>
      <c r="AV610" s="21">
        <f>IF(AND($AL610&lt;&gt;"",COUNTIF($AL$11:$AL610,$AL610)=1),1,0)</f>
        <v>0</v>
      </c>
      <c r="AW610" s="21">
        <f t="shared" si="105"/>
        <v>0</v>
      </c>
      <c r="AX610" s="21" t="str">
        <f t="shared" si="104"/>
        <v/>
      </c>
      <c r="AY610" s="21" t="str">
        <f>IF(AND($AM610&lt;&gt;"",$AS610&lt;&gt;"✓"),SUMPRODUCT(($AM$11:$AM610&lt;&gt;"")*($AS$11:$AS610&lt;&gt;"✓")),"")</f>
        <v/>
      </c>
      <c r="AZ610" s="21" t="str">
        <f>IF(AND($AM610&lt;&gt;"",$AS610="✓"),SUMPRODUCT(($AM$11:$AM610&lt;&gt;"")*($AS$11:$AS610="✓")),"")</f>
        <v/>
      </c>
      <c r="BA610" s="21" t="str">
        <f>IF($AL610="","",$AL610&amp;"|"&amp;COUNTIF($AL$11:$AL610,$AL610))</f>
        <v/>
      </c>
    </row>
    <row r="611" spans="23:53" ht="15" customHeight="1" x14ac:dyDescent="0.25">
      <c r="W611" s="14" t="str">
        <f>IF(X611="","",IFERROR(INDEX($AL$11:$AL$4010,MATCH(601,$AY$11:$AY$4010,0)),""))</f>
        <v/>
      </c>
      <c r="X611" s="12" t="str">
        <f>IFERROR(INDEX($AM$11:$AM$4010,MATCH(601,$AY$11:$AY$4010,0)),"")</f>
        <v/>
      </c>
      <c r="Y611" s="11" t="str">
        <f>IF(X611="","",IFERROR(INDEX($AN$11:$AN$4010,MATCH(601,$AY$11:$AY$4010,0)),""))</f>
        <v/>
      </c>
      <c r="Z611" s="11" t="str">
        <f>IF(X611="","",IFERROR(INDEX($AO$11:$AO$4010,MATCH(601,$AY$11:$AY$4010,0)),""))</f>
        <v/>
      </c>
      <c r="AA611" s="10" t="str">
        <f>IF(X611="","",IFERROR(INDEX($AQ$11:$AQ$4010,MATCH(601,$AY$11:$AY$4010,0)),""))</f>
        <v/>
      </c>
      <c r="AB611" s="15" t="str">
        <f>IF(X611="","",IFERROR(INDEX($AR$11:$AR$4010,MATCH(601,$AY$11:$AY$4010,0)),""))</f>
        <v/>
      </c>
      <c r="AD611" s="16" t="str">
        <f>IF(AE611="","",IFERROR(INDEX($AL$11:$AL$4010,MATCH(601,$AZ$11:$AZ$4010,0)),""))</f>
        <v/>
      </c>
      <c r="AE611" s="12" t="str">
        <f>IFERROR(INDEX($AM$11:$AM$4010,MATCH(601,$AZ$11:$AZ$4010,0)),"")</f>
        <v/>
      </c>
      <c r="AF611" s="11" t="str">
        <f>IF(AE611="","",IFERROR(INDEX($AN$11:$AN$4010,MATCH(601,$AZ$11:$AZ$4010,0)),""))</f>
        <v/>
      </c>
      <c r="AG611" s="11" t="str">
        <f>IF(AE611="","",IFERROR(INDEX($AO$11:$AO$4010,MATCH(601,$AZ$11:$AZ$4010,0)),""))</f>
        <v/>
      </c>
      <c r="AH611" s="10" t="str">
        <f>IF(AE611="","",IFERROR(INDEX($AQ$11:$AQ$4010,MATCH(601,$AZ$11:$AZ$4010,0)),""))</f>
        <v/>
      </c>
      <c r="AI611" s="15" t="str">
        <f>IF(AE611="","",IFERROR(INDEX($AR$11:$AR$4010,MATCH(601,$AZ$11:$AZ$4010,0)),""))</f>
        <v/>
      </c>
      <c r="AJ611" s="15" t="str">
        <f>IF(AE611="","",IFERROR(INDEX($AT$11:$AT$4010,MATCH(601,$AZ$11:$AZ$4010,0)),""))</f>
        <v/>
      </c>
      <c r="AL611" s="17"/>
      <c r="AM611" s="12"/>
      <c r="AN611" s="18"/>
      <c r="AO611" s="18"/>
      <c r="AP611" s="10"/>
      <c r="AQ611" s="10"/>
      <c r="AR611" s="19"/>
      <c r="AS611" s="20"/>
      <c r="AT611" s="19"/>
      <c r="AV611" s="21">
        <f>IF(AND($AL611&lt;&gt;"",COUNTIF($AL$11:$AL611,$AL611)=1),1,0)</f>
        <v>0</v>
      </c>
      <c r="AW611" s="21">
        <f t="shared" si="105"/>
        <v>0</v>
      </c>
      <c r="AX611" s="21" t="str">
        <f t="shared" si="104"/>
        <v/>
      </c>
      <c r="AY611" s="21" t="str">
        <f>IF(AND($AM611&lt;&gt;"",$AS611&lt;&gt;"✓"),SUMPRODUCT(($AM$11:$AM611&lt;&gt;"")*($AS$11:$AS611&lt;&gt;"✓")),"")</f>
        <v/>
      </c>
      <c r="AZ611" s="21" t="str">
        <f>IF(AND($AM611&lt;&gt;"",$AS611="✓"),SUMPRODUCT(($AM$11:$AM611&lt;&gt;"")*($AS$11:$AS611="✓")),"")</f>
        <v/>
      </c>
      <c r="BA611" s="21" t="str">
        <f>IF($AL611="","",$AL611&amp;"|"&amp;COUNTIF($AL$11:$AL611,$AL611))</f>
        <v/>
      </c>
    </row>
    <row r="612" spans="23:53" ht="15" customHeight="1" x14ac:dyDescent="0.25">
      <c r="W612" s="28" t="str">
        <f>IF(X612="","",IFERROR(INDEX($AL$11:$AL$4010,MATCH(602,$AY$11:$AY$4010,0)),""))</f>
        <v/>
      </c>
      <c r="X612" s="26" t="str">
        <f>IFERROR(INDEX($AM$11:$AM$4010,MATCH(602,$AY$11:$AY$4010,0)),"")</f>
        <v/>
      </c>
      <c r="Y612" s="25" t="str">
        <f>IF(X612="","",IFERROR(INDEX($AN$11:$AN$4010,MATCH(602,$AY$11:$AY$4010,0)),""))</f>
        <v/>
      </c>
      <c r="Z612" s="25" t="str">
        <f>IF(X612="","",IFERROR(INDEX($AO$11:$AO$4010,MATCH(602,$AY$11:$AY$4010,0)),""))</f>
        <v/>
      </c>
      <c r="AA612" s="24" t="str">
        <f>IF(X612="","",IFERROR(INDEX($AQ$11:$AQ$4010,MATCH(602,$AY$11:$AY$4010,0)),""))</f>
        <v/>
      </c>
      <c r="AB612" s="29" t="str">
        <f>IF(X612="","",IFERROR(INDEX($AR$11:$AR$4010,MATCH(602,$AY$11:$AY$4010,0)),""))</f>
        <v/>
      </c>
      <c r="AD612" s="30" t="str">
        <f>IF(AE612="","",IFERROR(INDEX($AL$11:$AL$4010,MATCH(602,$AZ$11:$AZ$4010,0)),""))</f>
        <v/>
      </c>
      <c r="AE612" s="26" t="str">
        <f>IFERROR(INDEX($AM$11:$AM$4010,MATCH(602,$AZ$11:$AZ$4010,0)),"")</f>
        <v/>
      </c>
      <c r="AF612" s="25" t="str">
        <f>IF(AE612="","",IFERROR(INDEX($AN$11:$AN$4010,MATCH(602,$AZ$11:$AZ$4010,0)),""))</f>
        <v/>
      </c>
      <c r="AG612" s="25" t="str">
        <f>IF(AE612="","",IFERROR(INDEX($AO$11:$AO$4010,MATCH(602,$AZ$11:$AZ$4010,0)),""))</f>
        <v/>
      </c>
      <c r="AH612" s="24" t="str">
        <f>IF(AE612="","",IFERROR(INDEX($AQ$11:$AQ$4010,MATCH(602,$AZ$11:$AZ$4010,0)),""))</f>
        <v/>
      </c>
      <c r="AI612" s="29" t="str">
        <f>IF(AE612="","",IFERROR(INDEX($AR$11:$AR$4010,MATCH(602,$AZ$11:$AZ$4010,0)),""))</f>
        <v/>
      </c>
      <c r="AJ612" s="29" t="str">
        <f>IF(AE612="","",IFERROR(INDEX($AT$11:$AT$4010,MATCH(602,$AZ$11:$AZ$4010,0)),""))</f>
        <v/>
      </c>
      <c r="AL612" s="31"/>
      <c r="AM612" s="26"/>
      <c r="AN612" s="32"/>
      <c r="AO612" s="32"/>
      <c r="AP612" s="24"/>
      <c r="AQ612" s="24"/>
      <c r="AR612" s="33"/>
      <c r="AS612" s="34"/>
      <c r="AT612" s="33"/>
      <c r="AV612" s="21">
        <f>IF(AND($AL612&lt;&gt;"",COUNTIF($AL$11:$AL612,$AL612)=1),1,0)</f>
        <v>0</v>
      </c>
      <c r="AW612" s="21">
        <f t="shared" si="105"/>
        <v>0</v>
      </c>
      <c r="AX612" s="21" t="str">
        <f t="shared" si="104"/>
        <v/>
      </c>
      <c r="AY612" s="21" t="str">
        <f>IF(AND($AM612&lt;&gt;"",$AS612&lt;&gt;"✓"),SUMPRODUCT(($AM$11:$AM612&lt;&gt;"")*($AS$11:$AS612&lt;&gt;"✓")),"")</f>
        <v/>
      </c>
      <c r="AZ612" s="21" t="str">
        <f>IF(AND($AM612&lt;&gt;"",$AS612="✓"),SUMPRODUCT(($AM$11:$AM612&lt;&gt;"")*($AS$11:$AS612="✓")),"")</f>
        <v/>
      </c>
      <c r="BA612" s="21" t="str">
        <f>IF($AL612="","",$AL612&amp;"|"&amp;COUNTIF($AL$11:$AL612,$AL612))</f>
        <v/>
      </c>
    </row>
    <row r="613" spans="23:53" ht="15" customHeight="1" x14ac:dyDescent="0.25">
      <c r="W613" s="14" t="str">
        <f>IF(X613="","",IFERROR(INDEX($AL$11:$AL$4010,MATCH(603,$AY$11:$AY$4010,0)),""))</f>
        <v/>
      </c>
      <c r="X613" s="12" t="str">
        <f>IFERROR(INDEX($AM$11:$AM$4010,MATCH(603,$AY$11:$AY$4010,0)),"")</f>
        <v/>
      </c>
      <c r="Y613" s="11" t="str">
        <f>IF(X613="","",IFERROR(INDEX($AN$11:$AN$4010,MATCH(603,$AY$11:$AY$4010,0)),""))</f>
        <v/>
      </c>
      <c r="Z613" s="11" t="str">
        <f>IF(X613="","",IFERROR(INDEX($AO$11:$AO$4010,MATCH(603,$AY$11:$AY$4010,0)),""))</f>
        <v/>
      </c>
      <c r="AA613" s="10" t="str">
        <f>IF(X613="","",IFERROR(INDEX($AQ$11:$AQ$4010,MATCH(603,$AY$11:$AY$4010,0)),""))</f>
        <v/>
      </c>
      <c r="AB613" s="15" t="str">
        <f>IF(X613="","",IFERROR(INDEX($AR$11:$AR$4010,MATCH(603,$AY$11:$AY$4010,0)),""))</f>
        <v/>
      </c>
      <c r="AD613" s="16" t="str">
        <f>IF(AE613="","",IFERROR(INDEX($AL$11:$AL$4010,MATCH(603,$AZ$11:$AZ$4010,0)),""))</f>
        <v/>
      </c>
      <c r="AE613" s="12" t="str">
        <f>IFERROR(INDEX($AM$11:$AM$4010,MATCH(603,$AZ$11:$AZ$4010,0)),"")</f>
        <v/>
      </c>
      <c r="AF613" s="11" t="str">
        <f>IF(AE613="","",IFERROR(INDEX($AN$11:$AN$4010,MATCH(603,$AZ$11:$AZ$4010,0)),""))</f>
        <v/>
      </c>
      <c r="AG613" s="11" t="str">
        <f>IF(AE613="","",IFERROR(INDEX($AO$11:$AO$4010,MATCH(603,$AZ$11:$AZ$4010,0)),""))</f>
        <v/>
      </c>
      <c r="AH613" s="10" t="str">
        <f>IF(AE613="","",IFERROR(INDEX($AQ$11:$AQ$4010,MATCH(603,$AZ$11:$AZ$4010,0)),""))</f>
        <v/>
      </c>
      <c r="AI613" s="15" t="str">
        <f>IF(AE613="","",IFERROR(INDEX($AR$11:$AR$4010,MATCH(603,$AZ$11:$AZ$4010,0)),""))</f>
        <v/>
      </c>
      <c r="AJ613" s="15" t="str">
        <f>IF(AE613="","",IFERROR(INDEX($AT$11:$AT$4010,MATCH(603,$AZ$11:$AZ$4010,0)),""))</f>
        <v/>
      </c>
      <c r="AL613" s="17"/>
      <c r="AM613" s="12"/>
      <c r="AN613" s="18"/>
      <c r="AO613" s="18"/>
      <c r="AP613" s="10"/>
      <c r="AQ613" s="10"/>
      <c r="AR613" s="19"/>
      <c r="AS613" s="20"/>
      <c r="AT613" s="19"/>
      <c r="AV613" s="21">
        <f>IF(AND($AL613&lt;&gt;"",COUNTIF($AL$11:$AL613,$AL613)=1),1,0)</f>
        <v>0</v>
      </c>
      <c r="AW613" s="21">
        <f t="shared" si="105"/>
        <v>0</v>
      </c>
      <c r="AX613" s="21" t="str">
        <f t="shared" si="104"/>
        <v/>
      </c>
      <c r="AY613" s="21" t="str">
        <f>IF(AND($AM613&lt;&gt;"",$AS613&lt;&gt;"✓"),SUMPRODUCT(($AM$11:$AM613&lt;&gt;"")*($AS$11:$AS613&lt;&gt;"✓")),"")</f>
        <v/>
      </c>
      <c r="AZ613" s="21" t="str">
        <f>IF(AND($AM613&lt;&gt;"",$AS613="✓"),SUMPRODUCT(($AM$11:$AM613&lt;&gt;"")*($AS$11:$AS613="✓")),"")</f>
        <v/>
      </c>
      <c r="BA613" s="21" t="str">
        <f>IF($AL613="","",$AL613&amp;"|"&amp;COUNTIF($AL$11:$AL613,$AL613))</f>
        <v/>
      </c>
    </row>
    <row r="614" spans="23:53" ht="15" customHeight="1" x14ac:dyDescent="0.25">
      <c r="W614" s="28" t="str">
        <f>IF(X614="","",IFERROR(INDEX($AL$11:$AL$4010,MATCH(604,$AY$11:$AY$4010,0)),""))</f>
        <v/>
      </c>
      <c r="X614" s="26" t="str">
        <f>IFERROR(INDEX($AM$11:$AM$4010,MATCH(604,$AY$11:$AY$4010,0)),"")</f>
        <v/>
      </c>
      <c r="Y614" s="25" t="str">
        <f>IF(X614="","",IFERROR(INDEX($AN$11:$AN$4010,MATCH(604,$AY$11:$AY$4010,0)),""))</f>
        <v/>
      </c>
      <c r="Z614" s="25" t="str">
        <f>IF(X614="","",IFERROR(INDEX($AO$11:$AO$4010,MATCH(604,$AY$11:$AY$4010,0)),""))</f>
        <v/>
      </c>
      <c r="AA614" s="24" t="str">
        <f>IF(X614="","",IFERROR(INDEX($AQ$11:$AQ$4010,MATCH(604,$AY$11:$AY$4010,0)),""))</f>
        <v/>
      </c>
      <c r="AB614" s="29" t="str">
        <f>IF(X614="","",IFERROR(INDEX($AR$11:$AR$4010,MATCH(604,$AY$11:$AY$4010,0)),""))</f>
        <v/>
      </c>
      <c r="AD614" s="30" t="str">
        <f>IF(AE614="","",IFERROR(INDEX($AL$11:$AL$4010,MATCH(604,$AZ$11:$AZ$4010,0)),""))</f>
        <v/>
      </c>
      <c r="AE614" s="26" t="str">
        <f>IFERROR(INDEX($AM$11:$AM$4010,MATCH(604,$AZ$11:$AZ$4010,0)),"")</f>
        <v/>
      </c>
      <c r="AF614" s="25" t="str">
        <f>IF(AE614="","",IFERROR(INDEX($AN$11:$AN$4010,MATCH(604,$AZ$11:$AZ$4010,0)),""))</f>
        <v/>
      </c>
      <c r="AG614" s="25" t="str">
        <f>IF(AE614="","",IFERROR(INDEX($AO$11:$AO$4010,MATCH(604,$AZ$11:$AZ$4010,0)),""))</f>
        <v/>
      </c>
      <c r="AH614" s="24" t="str">
        <f>IF(AE614="","",IFERROR(INDEX($AQ$11:$AQ$4010,MATCH(604,$AZ$11:$AZ$4010,0)),""))</f>
        <v/>
      </c>
      <c r="AI614" s="29" t="str">
        <f>IF(AE614="","",IFERROR(INDEX($AR$11:$AR$4010,MATCH(604,$AZ$11:$AZ$4010,0)),""))</f>
        <v/>
      </c>
      <c r="AJ614" s="29" t="str">
        <f>IF(AE614="","",IFERROR(INDEX($AT$11:$AT$4010,MATCH(604,$AZ$11:$AZ$4010,0)),""))</f>
        <v/>
      </c>
      <c r="AL614" s="31"/>
      <c r="AM614" s="26"/>
      <c r="AN614" s="32"/>
      <c r="AO614" s="32"/>
      <c r="AP614" s="24"/>
      <c r="AQ614" s="24"/>
      <c r="AR614" s="33"/>
      <c r="AS614" s="34"/>
      <c r="AT614" s="33"/>
      <c r="AV614" s="21">
        <f>IF(AND($AL614&lt;&gt;"",COUNTIF($AL$11:$AL614,$AL614)=1),1,0)</f>
        <v>0</v>
      </c>
      <c r="AW614" s="21">
        <f t="shared" si="105"/>
        <v>0</v>
      </c>
      <c r="AX614" s="21" t="str">
        <f t="shared" si="104"/>
        <v/>
      </c>
      <c r="AY614" s="21" t="str">
        <f>IF(AND($AM614&lt;&gt;"",$AS614&lt;&gt;"✓"),SUMPRODUCT(($AM$11:$AM614&lt;&gt;"")*($AS$11:$AS614&lt;&gt;"✓")),"")</f>
        <v/>
      </c>
      <c r="AZ614" s="21" t="str">
        <f>IF(AND($AM614&lt;&gt;"",$AS614="✓"),SUMPRODUCT(($AM$11:$AM614&lt;&gt;"")*($AS$11:$AS614="✓")),"")</f>
        <v/>
      </c>
      <c r="BA614" s="21" t="str">
        <f>IF($AL614="","",$AL614&amp;"|"&amp;COUNTIF($AL$11:$AL614,$AL614))</f>
        <v/>
      </c>
    </row>
    <row r="615" spans="23:53" ht="15" customHeight="1" x14ac:dyDescent="0.25">
      <c r="W615" s="14" t="str">
        <f>IF(X615="","",IFERROR(INDEX($AL$11:$AL$4010,MATCH(605,$AY$11:$AY$4010,0)),""))</f>
        <v/>
      </c>
      <c r="X615" s="12" t="str">
        <f>IFERROR(INDEX($AM$11:$AM$4010,MATCH(605,$AY$11:$AY$4010,0)),"")</f>
        <v/>
      </c>
      <c r="Y615" s="11" t="str">
        <f>IF(X615="","",IFERROR(INDEX($AN$11:$AN$4010,MATCH(605,$AY$11:$AY$4010,0)),""))</f>
        <v/>
      </c>
      <c r="Z615" s="11" t="str">
        <f>IF(X615="","",IFERROR(INDEX($AO$11:$AO$4010,MATCH(605,$AY$11:$AY$4010,0)),""))</f>
        <v/>
      </c>
      <c r="AA615" s="10" t="str">
        <f>IF(X615="","",IFERROR(INDEX($AQ$11:$AQ$4010,MATCH(605,$AY$11:$AY$4010,0)),""))</f>
        <v/>
      </c>
      <c r="AB615" s="15" t="str">
        <f>IF(X615="","",IFERROR(INDEX($AR$11:$AR$4010,MATCH(605,$AY$11:$AY$4010,0)),""))</f>
        <v/>
      </c>
      <c r="AD615" s="16" t="str">
        <f>IF(AE615="","",IFERROR(INDEX($AL$11:$AL$4010,MATCH(605,$AZ$11:$AZ$4010,0)),""))</f>
        <v/>
      </c>
      <c r="AE615" s="12" t="str">
        <f>IFERROR(INDEX($AM$11:$AM$4010,MATCH(605,$AZ$11:$AZ$4010,0)),"")</f>
        <v/>
      </c>
      <c r="AF615" s="11" t="str">
        <f>IF(AE615="","",IFERROR(INDEX($AN$11:$AN$4010,MATCH(605,$AZ$11:$AZ$4010,0)),""))</f>
        <v/>
      </c>
      <c r="AG615" s="11" t="str">
        <f>IF(AE615="","",IFERROR(INDEX($AO$11:$AO$4010,MATCH(605,$AZ$11:$AZ$4010,0)),""))</f>
        <v/>
      </c>
      <c r="AH615" s="10" t="str">
        <f>IF(AE615="","",IFERROR(INDEX($AQ$11:$AQ$4010,MATCH(605,$AZ$11:$AZ$4010,0)),""))</f>
        <v/>
      </c>
      <c r="AI615" s="15" t="str">
        <f>IF(AE615="","",IFERROR(INDEX($AR$11:$AR$4010,MATCH(605,$AZ$11:$AZ$4010,0)),""))</f>
        <v/>
      </c>
      <c r="AJ615" s="15" t="str">
        <f>IF(AE615="","",IFERROR(INDEX($AT$11:$AT$4010,MATCH(605,$AZ$11:$AZ$4010,0)),""))</f>
        <v/>
      </c>
      <c r="AL615" s="17"/>
      <c r="AM615" s="12"/>
      <c r="AN615" s="18"/>
      <c r="AO615" s="18"/>
      <c r="AP615" s="10"/>
      <c r="AQ615" s="10"/>
      <c r="AR615" s="19"/>
      <c r="AS615" s="20"/>
      <c r="AT615" s="19"/>
      <c r="AV615" s="21">
        <f>IF(AND($AL615&lt;&gt;"",COUNTIF($AL$11:$AL615,$AL615)=1),1,0)</f>
        <v>0</v>
      </c>
      <c r="AW615" s="21">
        <f t="shared" si="105"/>
        <v>0</v>
      </c>
      <c r="AX615" s="21" t="str">
        <f t="shared" si="104"/>
        <v/>
      </c>
      <c r="AY615" s="21" t="str">
        <f>IF(AND($AM615&lt;&gt;"",$AS615&lt;&gt;"✓"),SUMPRODUCT(($AM$11:$AM615&lt;&gt;"")*($AS$11:$AS615&lt;&gt;"✓")),"")</f>
        <v/>
      </c>
      <c r="AZ615" s="21" t="str">
        <f>IF(AND($AM615&lt;&gt;"",$AS615="✓"),SUMPRODUCT(($AM$11:$AM615&lt;&gt;"")*($AS$11:$AS615="✓")),"")</f>
        <v/>
      </c>
      <c r="BA615" s="21" t="str">
        <f>IF($AL615="","",$AL615&amp;"|"&amp;COUNTIF($AL$11:$AL615,$AL615))</f>
        <v/>
      </c>
    </row>
    <row r="616" spans="23:53" ht="15" customHeight="1" x14ac:dyDescent="0.25">
      <c r="W616" s="28" t="str">
        <f>IF(X616="","",IFERROR(INDEX($AL$11:$AL$4010,MATCH(606,$AY$11:$AY$4010,0)),""))</f>
        <v/>
      </c>
      <c r="X616" s="26" t="str">
        <f>IFERROR(INDEX($AM$11:$AM$4010,MATCH(606,$AY$11:$AY$4010,0)),"")</f>
        <v/>
      </c>
      <c r="Y616" s="25" t="str">
        <f>IF(X616="","",IFERROR(INDEX($AN$11:$AN$4010,MATCH(606,$AY$11:$AY$4010,0)),""))</f>
        <v/>
      </c>
      <c r="Z616" s="25" t="str">
        <f>IF(X616="","",IFERROR(INDEX($AO$11:$AO$4010,MATCH(606,$AY$11:$AY$4010,0)),""))</f>
        <v/>
      </c>
      <c r="AA616" s="24" t="str">
        <f>IF(X616="","",IFERROR(INDEX($AQ$11:$AQ$4010,MATCH(606,$AY$11:$AY$4010,0)),""))</f>
        <v/>
      </c>
      <c r="AB616" s="29" t="str">
        <f>IF(X616="","",IFERROR(INDEX($AR$11:$AR$4010,MATCH(606,$AY$11:$AY$4010,0)),""))</f>
        <v/>
      </c>
      <c r="AD616" s="30" t="str">
        <f>IF(AE616="","",IFERROR(INDEX($AL$11:$AL$4010,MATCH(606,$AZ$11:$AZ$4010,0)),""))</f>
        <v/>
      </c>
      <c r="AE616" s="26" t="str">
        <f>IFERROR(INDEX($AM$11:$AM$4010,MATCH(606,$AZ$11:$AZ$4010,0)),"")</f>
        <v/>
      </c>
      <c r="AF616" s="25" t="str">
        <f>IF(AE616="","",IFERROR(INDEX($AN$11:$AN$4010,MATCH(606,$AZ$11:$AZ$4010,0)),""))</f>
        <v/>
      </c>
      <c r="AG616" s="25" t="str">
        <f>IF(AE616="","",IFERROR(INDEX($AO$11:$AO$4010,MATCH(606,$AZ$11:$AZ$4010,0)),""))</f>
        <v/>
      </c>
      <c r="AH616" s="24" t="str">
        <f>IF(AE616="","",IFERROR(INDEX($AQ$11:$AQ$4010,MATCH(606,$AZ$11:$AZ$4010,0)),""))</f>
        <v/>
      </c>
      <c r="AI616" s="29" t="str">
        <f>IF(AE616="","",IFERROR(INDEX($AR$11:$AR$4010,MATCH(606,$AZ$11:$AZ$4010,0)),""))</f>
        <v/>
      </c>
      <c r="AJ616" s="29" t="str">
        <f>IF(AE616="","",IFERROR(INDEX($AT$11:$AT$4010,MATCH(606,$AZ$11:$AZ$4010,0)),""))</f>
        <v/>
      </c>
      <c r="AL616" s="31"/>
      <c r="AM616" s="26"/>
      <c r="AN616" s="32"/>
      <c r="AO616" s="32"/>
      <c r="AP616" s="24"/>
      <c r="AQ616" s="24"/>
      <c r="AR616" s="33"/>
      <c r="AS616" s="34"/>
      <c r="AT616" s="33"/>
      <c r="AV616" s="21">
        <f>IF(AND($AL616&lt;&gt;"",COUNTIF($AL$11:$AL616,$AL616)=1),1,0)</f>
        <v>0</v>
      </c>
      <c r="AW616" s="21">
        <f t="shared" si="105"/>
        <v>0</v>
      </c>
      <c r="AX616" s="21" t="str">
        <f t="shared" si="104"/>
        <v/>
      </c>
      <c r="AY616" s="21" t="str">
        <f>IF(AND($AM616&lt;&gt;"",$AS616&lt;&gt;"✓"),SUMPRODUCT(($AM$11:$AM616&lt;&gt;"")*($AS$11:$AS616&lt;&gt;"✓")),"")</f>
        <v/>
      </c>
      <c r="AZ616" s="21" t="str">
        <f>IF(AND($AM616&lt;&gt;"",$AS616="✓"),SUMPRODUCT(($AM$11:$AM616&lt;&gt;"")*($AS$11:$AS616="✓")),"")</f>
        <v/>
      </c>
      <c r="BA616" s="21" t="str">
        <f>IF($AL616="","",$AL616&amp;"|"&amp;COUNTIF($AL$11:$AL616,$AL616))</f>
        <v/>
      </c>
    </row>
    <row r="617" spans="23:53" ht="15" customHeight="1" x14ac:dyDescent="0.25">
      <c r="W617" s="14" t="str">
        <f>IF(X617="","",IFERROR(INDEX($AL$11:$AL$4010,MATCH(607,$AY$11:$AY$4010,0)),""))</f>
        <v/>
      </c>
      <c r="X617" s="12" t="str">
        <f>IFERROR(INDEX($AM$11:$AM$4010,MATCH(607,$AY$11:$AY$4010,0)),"")</f>
        <v/>
      </c>
      <c r="Y617" s="11" t="str">
        <f>IF(X617="","",IFERROR(INDEX($AN$11:$AN$4010,MATCH(607,$AY$11:$AY$4010,0)),""))</f>
        <v/>
      </c>
      <c r="Z617" s="11" t="str">
        <f>IF(X617="","",IFERROR(INDEX($AO$11:$AO$4010,MATCH(607,$AY$11:$AY$4010,0)),""))</f>
        <v/>
      </c>
      <c r="AA617" s="10" t="str">
        <f>IF(X617="","",IFERROR(INDEX($AQ$11:$AQ$4010,MATCH(607,$AY$11:$AY$4010,0)),""))</f>
        <v/>
      </c>
      <c r="AB617" s="15" t="str">
        <f>IF(X617="","",IFERROR(INDEX($AR$11:$AR$4010,MATCH(607,$AY$11:$AY$4010,0)),""))</f>
        <v/>
      </c>
      <c r="AD617" s="16" t="str">
        <f>IF(AE617="","",IFERROR(INDEX($AL$11:$AL$4010,MATCH(607,$AZ$11:$AZ$4010,0)),""))</f>
        <v/>
      </c>
      <c r="AE617" s="12" t="str">
        <f>IFERROR(INDEX($AM$11:$AM$4010,MATCH(607,$AZ$11:$AZ$4010,0)),"")</f>
        <v/>
      </c>
      <c r="AF617" s="11" t="str">
        <f>IF(AE617="","",IFERROR(INDEX($AN$11:$AN$4010,MATCH(607,$AZ$11:$AZ$4010,0)),""))</f>
        <v/>
      </c>
      <c r="AG617" s="11" t="str">
        <f>IF(AE617="","",IFERROR(INDEX($AO$11:$AO$4010,MATCH(607,$AZ$11:$AZ$4010,0)),""))</f>
        <v/>
      </c>
      <c r="AH617" s="10" t="str">
        <f>IF(AE617="","",IFERROR(INDEX($AQ$11:$AQ$4010,MATCH(607,$AZ$11:$AZ$4010,0)),""))</f>
        <v/>
      </c>
      <c r="AI617" s="15" t="str">
        <f>IF(AE617="","",IFERROR(INDEX($AR$11:$AR$4010,MATCH(607,$AZ$11:$AZ$4010,0)),""))</f>
        <v/>
      </c>
      <c r="AJ617" s="15" t="str">
        <f>IF(AE617="","",IFERROR(INDEX($AT$11:$AT$4010,MATCH(607,$AZ$11:$AZ$4010,0)),""))</f>
        <v/>
      </c>
      <c r="AL617" s="17"/>
      <c r="AM617" s="12"/>
      <c r="AN617" s="18"/>
      <c r="AO617" s="18"/>
      <c r="AP617" s="10"/>
      <c r="AQ617" s="10"/>
      <c r="AR617" s="19"/>
      <c r="AS617" s="20"/>
      <c r="AT617" s="19"/>
      <c r="AV617" s="21">
        <f>IF(AND($AL617&lt;&gt;"",COUNTIF($AL$11:$AL617,$AL617)=1),1,0)</f>
        <v>0</v>
      </c>
      <c r="AW617" s="21">
        <f t="shared" si="105"/>
        <v>0</v>
      </c>
      <c r="AX617" s="21" t="str">
        <f t="shared" si="104"/>
        <v/>
      </c>
      <c r="AY617" s="21" t="str">
        <f>IF(AND($AM617&lt;&gt;"",$AS617&lt;&gt;"✓"),SUMPRODUCT(($AM$11:$AM617&lt;&gt;"")*($AS$11:$AS617&lt;&gt;"✓")),"")</f>
        <v/>
      </c>
      <c r="AZ617" s="21" t="str">
        <f>IF(AND($AM617&lt;&gt;"",$AS617="✓"),SUMPRODUCT(($AM$11:$AM617&lt;&gt;"")*($AS$11:$AS617="✓")),"")</f>
        <v/>
      </c>
      <c r="BA617" s="21" t="str">
        <f>IF($AL617="","",$AL617&amp;"|"&amp;COUNTIF($AL$11:$AL617,$AL617))</f>
        <v/>
      </c>
    </row>
    <row r="618" spans="23:53" ht="15" customHeight="1" x14ac:dyDescent="0.25">
      <c r="W618" s="28" t="str">
        <f>IF(X618="","",IFERROR(INDEX($AL$11:$AL$4010,MATCH(608,$AY$11:$AY$4010,0)),""))</f>
        <v/>
      </c>
      <c r="X618" s="26" t="str">
        <f>IFERROR(INDEX($AM$11:$AM$4010,MATCH(608,$AY$11:$AY$4010,0)),"")</f>
        <v/>
      </c>
      <c r="Y618" s="25" t="str">
        <f>IF(X618="","",IFERROR(INDEX($AN$11:$AN$4010,MATCH(608,$AY$11:$AY$4010,0)),""))</f>
        <v/>
      </c>
      <c r="Z618" s="25" t="str">
        <f>IF(X618="","",IFERROR(INDEX($AO$11:$AO$4010,MATCH(608,$AY$11:$AY$4010,0)),""))</f>
        <v/>
      </c>
      <c r="AA618" s="24" t="str">
        <f>IF(X618="","",IFERROR(INDEX($AQ$11:$AQ$4010,MATCH(608,$AY$11:$AY$4010,0)),""))</f>
        <v/>
      </c>
      <c r="AB618" s="29" t="str">
        <f>IF(X618="","",IFERROR(INDEX($AR$11:$AR$4010,MATCH(608,$AY$11:$AY$4010,0)),""))</f>
        <v/>
      </c>
      <c r="AD618" s="30" t="str">
        <f>IF(AE618="","",IFERROR(INDEX($AL$11:$AL$4010,MATCH(608,$AZ$11:$AZ$4010,0)),""))</f>
        <v/>
      </c>
      <c r="AE618" s="26" t="str">
        <f>IFERROR(INDEX($AM$11:$AM$4010,MATCH(608,$AZ$11:$AZ$4010,0)),"")</f>
        <v/>
      </c>
      <c r="AF618" s="25" t="str">
        <f>IF(AE618="","",IFERROR(INDEX($AN$11:$AN$4010,MATCH(608,$AZ$11:$AZ$4010,0)),""))</f>
        <v/>
      </c>
      <c r="AG618" s="25" t="str">
        <f>IF(AE618="","",IFERROR(INDEX($AO$11:$AO$4010,MATCH(608,$AZ$11:$AZ$4010,0)),""))</f>
        <v/>
      </c>
      <c r="AH618" s="24" t="str">
        <f>IF(AE618="","",IFERROR(INDEX($AQ$11:$AQ$4010,MATCH(608,$AZ$11:$AZ$4010,0)),""))</f>
        <v/>
      </c>
      <c r="AI618" s="29" t="str">
        <f>IF(AE618="","",IFERROR(INDEX($AR$11:$AR$4010,MATCH(608,$AZ$11:$AZ$4010,0)),""))</f>
        <v/>
      </c>
      <c r="AJ618" s="29" t="str">
        <f>IF(AE618="","",IFERROR(INDEX($AT$11:$AT$4010,MATCH(608,$AZ$11:$AZ$4010,0)),""))</f>
        <v/>
      </c>
      <c r="AL618" s="31"/>
      <c r="AM618" s="26"/>
      <c r="AN618" s="32"/>
      <c r="AO618" s="32"/>
      <c r="AP618" s="24"/>
      <c r="AQ618" s="24"/>
      <c r="AR618" s="33"/>
      <c r="AS618" s="34"/>
      <c r="AT618" s="33"/>
      <c r="AV618" s="21">
        <f>IF(AND($AL618&lt;&gt;"",COUNTIF($AL$11:$AL618,$AL618)=1),1,0)</f>
        <v>0</v>
      </c>
      <c r="AW618" s="21">
        <f t="shared" si="105"/>
        <v>0</v>
      </c>
      <c r="AX618" s="21" t="str">
        <f t="shared" si="104"/>
        <v/>
      </c>
      <c r="AY618" s="21" t="str">
        <f>IF(AND($AM618&lt;&gt;"",$AS618&lt;&gt;"✓"),SUMPRODUCT(($AM$11:$AM618&lt;&gt;"")*($AS$11:$AS618&lt;&gt;"✓")),"")</f>
        <v/>
      </c>
      <c r="AZ618" s="21" t="str">
        <f>IF(AND($AM618&lt;&gt;"",$AS618="✓"),SUMPRODUCT(($AM$11:$AM618&lt;&gt;"")*($AS$11:$AS618="✓")),"")</f>
        <v/>
      </c>
      <c r="BA618" s="21" t="str">
        <f>IF($AL618="","",$AL618&amp;"|"&amp;COUNTIF($AL$11:$AL618,$AL618))</f>
        <v/>
      </c>
    </row>
    <row r="619" spans="23:53" ht="15" customHeight="1" x14ac:dyDescent="0.25">
      <c r="W619" s="14" t="str">
        <f>IF(X619="","",IFERROR(INDEX($AL$11:$AL$4010,MATCH(609,$AY$11:$AY$4010,0)),""))</f>
        <v/>
      </c>
      <c r="X619" s="12" t="str">
        <f>IFERROR(INDEX($AM$11:$AM$4010,MATCH(609,$AY$11:$AY$4010,0)),"")</f>
        <v/>
      </c>
      <c r="Y619" s="11" t="str">
        <f>IF(X619="","",IFERROR(INDEX($AN$11:$AN$4010,MATCH(609,$AY$11:$AY$4010,0)),""))</f>
        <v/>
      </c>
      <c r="Z619" s="11" t="str">
        <f>IF(X619="","",IFERROR(INDEX($AO$11:$AO$4010,MATCH(609,$AY$11:$AY$4010,0)),""))</f>
        <v/>
      </c>
      <c r="AA619" s="10" t="str">
        <f>IF(X619="","",IFERROR(INDEX($AQ$11:$AQ$4010,MATCH(609,$AY$11:$AY$4010,0)),""))</f>
        <v/>
      </c>
      <c r="AB619" s="15" t="str">
        <f>IF(X619="","",IFERROR(INDEX($AR$11:$AR$4010,MATCH(609,$AY$11:$AY$4010,0)),""))</f>
        <v/>
      </c>
      <c r="AD619" s="16" t="str">
        <f>IF(AE619="","",IFERROR(INDEX($AL$11:$AL$4010,MATCH(609,$AZ$11:$AZ$4010,0)),""))</f>
        <v/>
      </c>
      <c r="AE619" s="12" t="str">
        <f>IFERROR(INDEX($AM$11:$AM$4010,MATCH(609,$AZ$11:$AZ$4010,0)),"")</f>
        <v/>
      </c>
      <c r="AF619" s="11" t="str">
        <f>IF(AE619="","",IFERROR(INDEX($AN$11:$AN$4010,MATCH(609,$AZ$11:$AZ$4010,0)),""))</f>
        <v/>
      </c>
      <c r="AG619" s="11" t="str">
        <f>IF(AE619="","",IFERROR(INDEX($AO$11:$AO$4010,MATCH(609,$AZ$11:$AZ$4010,0)),""))</f>
        <v/>
      </c>
      <c r="AH619" s="10" t="str">
        <f>IF(AE619="","",IFERROR(INDEX($AQ$11:$AQ$4010,MATCH(609,$AZ$11:$AZ$4010,0)),""))</f>
        <v/>
      </c>
      <c r="AI619" s="15" t="str">
        <f>IF(AE619="","",IFERROR(INDEX($AR$11:$AR$4010,MATCH(609,$AZ$11:$AZ$4010,0)),""))</f>
        <v/>
      </c>
      <c r="AJ619" s="15" t="str">
        <f>IF(AE619="","",IFERROR(INDEX($AT$11:$AT$4010,MATCH(609,$AZ$11:$AZ$4010,0)),""))</f>
        <v/>
      </c>
      <c r="AL619" s="17"/>
      <c r="AM619" s="12"/>
      <c r="AN619" s="18"/>
      <c r="AO619" s="18"/>
      <c r="AP619" s="10"/>
      <c r="AQ619" s="10"/>
      <c r="AR619" s="19"/>
      <c r="AS619" s="20"/>
      <c r="AT619" s="19"/>
      <c r="AV619" s="21">
        <f>IF(AND($AL619&lt;&gt;"",COUNTIF($AL$11:$AL619,$AL619)=1),1,0)</f>
        <v>0</v>
      </c>
      <c r="AW619" s="21">
        <f t="shared" si="105"/>
        <v>0</v>
      </c>
      <c r="AX619" s="21" t="str">
        <f t="shared" si="104"/>
        <v/>
      </c>
      <c r="AY619" s="21" t="str">
        <f>IF(AND($AM619&lt;&gt;"",$AS619&lt;&gt;"✓"),SUMPRODUCT(($AM$11:$AM619&lt;&gt;"")*($AS$11:$AS619&lt;&gt;"✓")),"")</f>
        <v/>
      </c>
      <c r="AZ619" s="21" t="str">
        <f>IF(AND($AM619&lt;&gt;"",$AS619="✓"),SUMPRODUCT(($AM$11:$AM619&lt;&gt;"")*($AS$11:$AS619="✓")),"")</f>
        <v/>
      </c>
      <c r="BA619" s="21" t="str">
        <f>IF($AL619="","",$AL619&amp;"|"&amp;COUNTIF($AL$11:$AL619,$AL619))</f>
        <v/>
      </c>
    </row>
    <row r="620" spans="23:53" ht="15" customHeight="1" x14ac:dyDescent="0.25">
      <c r="W620" s="28" t="str">
        <f>IF(X620="","",IFERROR(INDEX($AL$11:$AL$4010,MATCH(610,$AY$11:$AY$4010,0)),""))</f>
        <v/>
      </c>
      <c r="X620" s="26" t="str">
        <f>IFERROR(INDEX($AM$11:$AM$4010,MATCH(610,$AY$11:$AY$4010,0)),"")</f>
        <v/>
      </c>
      <c r="Y620" s="25" t="str">
        <f>IF(X620="","",IFERROR(INDEX($AN$11:$AN$4010,MATCH(610,$AY$11:$AY$4010,0)),""))</f>
        <v/>
      </c>
      <c r="Z620" s="25" t="str">
        <f>IF(X620="","",IFERROR(INDEX($AO$11:$AO$4010,MATCH(610,$AY$11:$AY$4010,0)),""))</f>
        <v/>
      </c>
      <c r="AA620" s="24" t="str">
        <f>IF(X620="","",IFERROR(INDEX($AQ$11:$AQ$4010,MATCH(610,$AY$11:$AY$4010,0)),""))</f>
        <v/>
      </c>
      <c r="AB620" s="29" t="str">
        <f>IF(X620="","",IFERROR(INDEX($AR$11:$AR$4010,MATCH(610,$AY$11:$AY$4010,0)),""))</f>
        <v/>
      </c>
      <c r="AD620" s="30" t="str">
        <f>IF(AE620="","",IFERROR(INDEX($AL$11:$AL$4010,MATCH(610,$AZ$11:$AZ$4010,0)),""))</f>
        <v/>
      </c>
      <c r="AE620" s="26" t="str">
        <f>IFERROR(INDEX($AM$11:$AM$4010,MATCH(610,$AZ$11:$AZ$4010,0)),"")</f>
        <v/>
      </c>
      <c r="AF620" s="25" t="str">
        <f>IF(AE620="","",IFERROR(INDEX($AN$11:$AN$4010,MATCH(610,$AZ$11:$AZ$4010,0)),""))</f>
        <v/>
      </c>
      <c r="AG620" s="25" t="str">
        <f>IF(AE620="","",IFERROR(INDEX($AO$11:$AO$4010,MATCH(610,$AZ$11:$AZ$4010,0)),""))</f>
        <v/>
      </c>
      <c r="AH620" s="24" t="str">
        <f>IF(AE620="","",IFERROR(INDEX($AQ$11:$AQ$4010,MATCH(610,$AZ$11:$AZ$4010,0)),""))</f>
        <v/>
      </c>
      <c r="AI620" s="29" t="str">
        <f>IF(AE620="","",IFERROR(INDEX($AR$11:$AR$4010,MATCH(610,$AZ$11:$AZ$4010,0)),""))</f>
        <v/>
      </c>
      <c r="AJ620" s="29" t="str">
        <f>IF(AE620="","",IFERROR(INDEX($AT$11:$AT$4010,MATCH(610,$AZ$11:$AZ$4010,0)),""))</f>
        <v/>
      </c>
      <c r="AL620" s="31"/>
      <c r="AM620" s="26"/>
      <c r="AN620" s="32"/>
      <c r="AO620" s="32"/>
      <c r="AP620" s="24"/>
      <c r="AQ620" s="24"/>
      <c r="AR620" s="33"/>
      <c r="AS620" s="34"/>
      <c r="AT620" s="33"/>
      <c r="AV620" s="21">
        <f>IF(AND($AL620&lt;&gt;"",COUNTIF($AL$11:$AL620,$AL620)=1),1,0)</f>
        <v>0</v>
      </c>
      <c r="AW620" s="21">
        <f t="shared" si="105"/>
        <v>0</v>
      </c>
      <c r="AX620" s="21" t="str">
        <f t="shared" si="104"/>
        <v/>
      </c>
      <c r="AY620" s="21" t="str">
        <f>IF(AND($AM620&lt;&gt;"",$AS620&lt;&gt;"✓"),SUMPRODUCT(($AM$11:$AM620&lt;&gt;"")*($AS$11:$AS620&lt;&gt;"✓")),"")</f>
        <v/>
      </c>
      <c r="AZ620" s="21" t="str">
        <f>IF(AND($AM620&lt;&gt;"",$AS620="✓"),SUMPRODUCT(($AM$11:$AM620&lt;&gt;"")*($AS$11:$AS620="✓")),"")</f>
        <v/>
      </c>
      <c r="BA620" s="21" t="str">
        <f>IF($AL620="","",$AL620&amp;"|"&amp;COUNTIF($AL$11:$AL620,$AL620))</f>
        <v/>
      </c>
    </row>
    <row r="621" spans="23:53" ht="15" customHeight="1" x14ac:dyDescent="0.25">
      <c r="W621" s="14" t="str">
        <f>IF(X621="","",IFERROR(INDEX($AL$11:$AL$4010,MATCH(611,$AY$11:$AY$4010,0)),""))</f>
        <v/>
      </c>
      <c r="X621" s="12" t="str">
        <f>IFERROR(INDEX($AM$11:$AM$4010,MATCH(611,$AY$11:$AY$4010,0)),"")</f>
        <v/>
      </c>
      <c r="Y621" s="11" t="str">
        <f>IF(X621="","",IFERROR(INDEX($AN$11:$AN$4010,MATCH(611,$AY$11:$AY$4010,0)),""))</f>
        <v/>
      </c>
      <c r="Z621" s="11" t="str">
        <f>IF(X621="","",IFERROR(INDEX($AO$11:$AO$4010,MATCH(611,$AY$11:$AY$4010,0)),""))</f>
        <v/>
      </c>
      <c r="AA621" s="10" t="str">
        <f>IF(X621="","",IFERROR(INDEX($AQ$11:$AQ$4010,MATCH(611,$AY$11:$AY$4010,0)),""))</f>
        <v/>
      </c>
      <c r="AB621" s="15" t="str">
        <f>IF(X621="","",IFERROR(INDEX($AR$11:$AR$4010,MATCH(611,$AY$11:$AY$4010,0)),""))</f>
        <v/>
      </c>
      <c r="AD621" s="16" t="str">
        <f>IF(AE621="","",IFERROR(INDEX($AL$11:$AL$4010,MATCH(611,$AZ$11:$AZ$4010,0)),""))</f>
        <v/>
      </c>
      <c r="AE621" s="12" t="str">
        <f>IFERROR(INDEX($AM$11:$AM$4010,MATCH(611,$AZ$11:$AZ$4010,0)),"")</f>
        <v/>
      </c>
      <c r="AF621" s="11" t="str">
        <f>IF(AE621="","",IFERROR(INDEX($AN$11:$AN$4010,MATCH(611,$AZ$11:$AZ$4010,0)),""))</f>
        <v/>
      </c>
      <c r="AG621" s="11" t="str">
        <f>IF(AE621="","",IFERROR(INDEX($AO$11:$AO$4010,MATCH(611,$AZ$11:$AZ$4010,0)),""))</f>
        <v/>
      </c>
      <c r="AH621" s="10" t="str">
        <f>IF(AE621="","",IFERROR(INDEX($AQ$11:$AQ$4010,MATCH(611,$AZ$11:$AZ$4010,0)),""))</f>
        <v/>
      </c>
      <c r="AI621" s="15" t="str">
        <f>IF(AE621="","",IFERROR(INDEX($AR$11:$AR$4010,MATCH(611,$AZ$11:$AZ$4010,0)),""))</f>
        <v/>
      </c>
      <c r="AJ621" s="15" t="str">
        <f>IF(AE621="","",IFERROR(INDEX($AT$11:$AT$4010,MATCH(611,$AZ$11:$AZ$4010,0)),""))</f>
        <v/>
      </c>
      <c r="AL621" s="17"/>
      <c r="AM621" s="12"/>
      <c r="AN621" s="18"/>
      <c r="AO621" s="18"/>
      <c r="AP621" s="10"/>
      <c r="AQ621" s="10"/>
      <c r="AR621" s="19"/>
      <c r="AS621" s="20"/>
      <c r="AT621" s="19"/>
      <c r="AV621" s="21">
        <f>IF(AND($AL621&lt;&gt;"",COUNTIF($AL$11:$AL621,$AL621)=1),1,0)</f>
        <v>0</v>
      </c>
      <c r="AW621" s="21">
        <f t="shared" si="105"/>
        <v>0</v>
      </c>
      <c r="AX621" s="21" t="str">
        <f t="shared" si="104"/>
        <v/>
      </c>
      <c r="AY621" s="21" t="str">
        <f>IF(AND($AM621&lt;&gt;"",$AS621&lt;&gt;"✓"),SUMPRODUCT(($AM$11:$AM621&lt;&gt;"")*($AS$11:$AS621&lt;&gt;"✓")),"")</f>
        <v/>
      </c>
      <c r="AZ621" s="21" t="str">
        <f>IF(AND($AM621&lt;&gt;"",$AS621="✓"),SUMPRODUCT(($AM$11:$AM621&lt;&gt;"")*($AS$11:$AS621="✓")),"")</f>
        <v/>
      </c>
      <c r="BA621" s="21" t="str">
        <f>IF($AL621="","",$AL621&amp;"|"&amp;COUNTIF($AL$11:$AL621,$AL621))</f>
        <v/>
      </c>
    </row>
    <row r="622" spans="23:53" ht="15" customHeight="1" x14ac:dyDescent="0.25">
      <c r="W622" s="28" t="str">
        <f>IF(X622="","",IFERROR(INDEX($AL$11:$AL$4010,MATCH(612,$AY$11:$AY$4010,0)),""))</f>
        <v/>
      </c>
      <c r="X622" s="26" t="str">
        <f>IFERROR(INDEX($AM$11:$AM$4010,MATCH(612,$AY$11:$AY$4010,0)),"")</f>
        <v/>
      </c>
      <c r="Y622" s="25" t="str">
        <f>IF(X622="","",IFERROR(INDEX($AN$11:$AN$4010,MATCH(612,$AY$11:$AY$4010,0)),""))</f>
        <v/>
      </c>
      <c r="Z622" s="25" t="str">
        <f>IF(X622="","",IFERROR(INDEX($AO$11:$AO$4010,MATCH(612,$AY$11:$AY$4010,0)),""))</f>
        <v/>
      </c>
      <c r="AA622" s="24" t="str">
        <f>IF(X622="","",IFERROR(INDEX($AQ$11:$AQ$4010,MATCH(612,$AY$11:$AY$4010,0)),""))</f>
        <v/>
      </c>
      <c r="AB622" s="29" t="str">
        <f>IF(X622="","",IFERROR(INDEX($AR$11:$AR$4010,MATCH(612,$AY$11:$AY$4010,0)),""))</f>
        <v/>
      </c>
      <c r="AD622" s="30" t="str">
        <f>IF(AE622="","",IFERROR(INDEX($AL$11:$AL$4010,MATCH(612,$AZ$11:$AZ$4010,0)),""))</f>
        <v/>
      </c>
      <c r="AE622" s="26" t="str">
        <f>IFERROR(INDEX($AM$11:$AM$4010,MATCH(612,$AZ$11:$AZ$4010,0)),"")</f>
        <v/>
      </c>
      <c r="AF622" s="25" t="str">
        <f>IF(AE622="","",IFERROR(INDEX($AN$11:$AN$4010,MATCH(612,$AZ$11:$AZ$4010,0)),""))</f>
        <v/>
      </c>
      <c r="AG622" s="25" t="str">
        <f>IF(AE622="","",IFERROR(INDEX($AO$11:$AO$4010,MATCH(612,$AZ$11:$AZ$4010,0)),""))</f>
        <v/>
      </c>
      <c r="AH622" s="24" t="str">
        <f>IF(AE622="","",IFERROR(INDEX($AQ$11:$AQ$4010,MATCH(612,$AZ$11:$AZ$4010,0)),""))</f>
        <v/>
      </c>
      <c r="AI622" s="29" t="str">
        <f>IF(AE622="","",IFERROR(INDEX($AR$11:$AR$4010,MATCH(612,$AZ$11:$AZ$4010,0)),""))</f>
        <v/>
      </c>
      <c r="AJ622" s="29" t="str">
        <f>IF(AE622="","",IFERROR(INDEX($AT$11:$AT$4010,MATCH(612,$AZ$11:$AZ$4010,0)),""))</f>
        <v/>
      </c>
      <c r="AL622" s="31"/>
      <c r="AM622" s="26"/>
      <c r="AN622" s="32"/>
      <c r="AO622" s="32"/>
      <c r="AP622" s="24"/>
      <c r="AQ622" s="24"/>
      <c r="AR622" s="33"/>
      <c r="AS622" s="34"/>
      <c r="AT622" s="33"/>
      <c r="AV622" s="21">
        <f>IF(AND($AL622&lt;&gt;"",COUNTIF($AL$11:$AL622,$AL622)=1),1,0)</f>
        <v>0</v>
      </c>
      <c r="AW622" s="21">
        <f t="shared" si="105"/>
        <v>0</v>
      </c>
      <c r="AX622" s="21" t="str">
        <f t="shared" si="104"/>
        <v/>
      </c>
      <c r="AY622" s="21" t="str">
        <f>IF(AND($AM622&lt;&gt;"",$AS622&lt;&gt;"✓"),SUMPRODUCT(($AM$11:$AM622&lt;&gt;"")*($AS$11:$AS622&lt;&gt;"✓")),"")</f>
        <v/>
      </c>
      <c r="AZ622" s="21" t="str">
        <f>IF(AND($AM622&lt;&gt;"",$AS622="✓"),SUMPRODUCT(($AM$11:$AM622&lt;&gt;"")*($AS$11:$AS622="✓")),"")</f>
        <v/>
      </c>
      <c r="BA622" s="21" t="str">
        <f>IF($AL622="","",$AL622&amp;"|"&amp;COUNTIF($AL$11:$AL622,$AL622))</f>
        <v/>
      </c>
    </row>
    <row r="623" spans="23:53" ht="15" customHeight="1" x14ac:dyDescent="0.25">
      <c r="W623" s="14" t="str">
        <f>IF(X623="","",IFERROR(INDEX($AL$11:$AL$4010,MATCH(613,$AY$11:$AY$4010,0)),""))</f>
        <v/>
      </c>
      <c r="X623" s="12" t="str">
        <f>IFERROR(INDEX($AM$11:$AM$4010,MATCH(613,$AY$11:$AY$4010,0)),"")</f>
        <v/>
      </c>
      <c r="Y623" s="11" t="str">
        <f>IF(X623="","",IFERROR(INDEX($AN$11:$AN$4010,MATCH(613,$AY$11:$AY$4010,0)),""))</f>
        <v/>
      </c>
      <c r="Z623" s="11" t="str">
        <f>IF(X623="","",IFERROR(INDEX($AO$11:$AO$4010,MATCH(613,$AY$11:$AY$4010,0)),""))</f>
        <v/>
      </c>
      <c r="AA623" s="10" t="str">
        <f>IF(X623="","",IFERROR(INDEX($AQ$11:$AQ$4010,MATCH(613,$AY$11:$AY$4010,0)),""))</f>
        <v/>
      </c>
      <c r="AB623" s="15" t="str">
        <f>IF(X623="","",IFERROR(INDEX($AR$11:$AR$4010,MATCH(613,$AY$11:$AY$4010,0)),""))</f>
        <v/>
      </c>
      <c r="AD623" s="16" t="str">
        <f>IF(AE623="","",IFERROR(INDEX($AL$11:$AL$4010,MATCH(613,$AZ$11:$AZ$4010,0)),""))</f>
        <v/>
      </c>
      <c r="AE623" s="12" t="str">
        <f>IFERROR(INDEX($AM$11:$AM$4010,MATCH(613,$AZ$11:$AZ$4010,0)),"")</f>
        <v/>
      </c>
      <c r="AF623" s="11" t="str">
        <f>IF(AE623="","",IFERROR(INDEX($AN$11:$AN$4010,MATCH(613,$AZ$11:$AZ$4010,0)),""))</f>
        <v/>
      </c>
      <c r="AG623" s="11" t="str">
        <f>IF(AE623="","",IFERROR(INDEX($AO$11:$AO$4010,MATCH(613,$AZ$11:$AZ$4010,0)),""))</f>
        <v/>
      </c>
      <c r="AH623" s="10" t="str">
        <f>IF(AE623="","",IFERROR(INDEX($AQ$11:$AQ$4010,MATCH(613,$AZ$11:$AZ$4010,0)),""))</f>
        <v/>
      </c>
      <c r="AI623" s="15" t="str">
        <f>IF(AE623="","",IFERROR(INDEX($AR$11:$AR$4010,MATCH(613,$AZ$11:$AZ$4010,0)),""))</f>
        <v/>
      </c>
      <c r="AJ623" s="15" t="str">
        <f>IF(AE623="","",IFERROR(INDEX($AT$11:$AT$4010,MATCH(613,$AZ$11:$AZ$4010,0)),""))</f>
        <v/>
      </c>
      <c r="AL623" s="17"/>
      <c r="AM623" s="12"/>
      <c r="AN623" s="18"/>
      <c r="AO623" s="18"/>
      <c r="AP623" s="10"/>
      <c r="AQ623" s="10"/>
      <c r="AR623" s="19"/>
      <c r="AS623" s="20"/>
      <c r="AT623" s="19"/>
      <c r="AV623" s="21">
        <f>IF(AND($AL623&lt;&gt;"",COUNTIF($AL$11:$AL623,$AL623)=1),1,0)</f>
        <v>0</v>
      </c>
      <c r="AW623" s="21">
        <f t="shared" si="105"/>
        <v>0</v>
      </c>
      <c r="AX623" s="21" t="str">
        <f t="shared" si="104"/>
        <v/>
      </c>
      <c r="AY623" s="21" t="str">
        <f>IF(AND($AM623&lt;&gt;"",$AS623&lt;&gt;"✓"),SUMPRODUCT(($AM$11:$AM623&lt;&gt;"")*($AS$11:$AS623&lt;&gt;"✓")),"")</f>
        <v/>
      </c>
      <c r="AZ623" s="21" t="str">
        <f>IF(AND($AM623&lt;&gt;"",$AS623="✓"),SUMPRODUCT(($AM$11:$AM623&lt;&gt;"")*($AS$11:$AS623="✓")),"")</f>
        <v/>
      </c>
      <c r="BA623" s="21" t="str">
        <f>IF($AL623="","",$AL623&amp;"|"&amp;COUNTIF($AL$11:$AL623,$AL623))</f>
        <v/>
      </c>
    </row>
    <row r="624" spans="23:53" ht="15" customHeight="1" x14ac:dyDescent="0.25">
      <c r="W624" s="28" t="str">
        <f>IF(X624="","",IFERROR(INDEX($AL$11:$AL$4010,MATCH(614,$AY$11:$AY$4010,0)),""))</f>
        <v/>
      </c>
      <c r="X624" s="26" t="str">
        <f>IFERROR(INDEX($AM$11:$AM$4010,MATCH(614,$AY$11:$AY$4010,0)),"")</f>
        <v/>
      </c>
      <c r="Y624" s="25" t="str">
        <f>IF(X624="","",IFERROR(INDEX($AN$11:$AN$4010,MATCH(614,$AY$11:$AY$4010,0)),""))</f>
        <v/>
      </c>
      <c r="Z624" s="25" t="str">
        <f>IF(X624="","",IFERROR(INDEX($AO$11:$AO$4010,MATCH(614,$AY$11:$AY$4010,0)),""))</f>
        <v/>
      </c>
      <c r="AA624" s="24" t="str">
        <f>IF(X624="","",IFERROR(INDEX($AQ$11:$AQ$4010,MATCH(614,$AY$11:$AY$4010,0)),""))</f>
        <v/>
      </c>
      <c r="AB624" s="29" t="str">
        <f>IF(X624="","",IFERROR(INDEX($AR$11:$AR$4010,MATCH(614,$AY$11:$AY$4010,0)),""))</f>
        <v/>
      </c>
      <c r="AD624" s="30" t="str">
        <f>IF(AE624="","",IFERROR(INDEX($AL$11:$AL$4010,MATCH(614,$AZ$11:$AZ$4010,0)),""))</f>
        <v/>
      </c>
      <c r="AE624" s="26" t="str">
        <f>IFERROR(INDEX($AM$11:$AM$4010,MATCH(614,$AZ$11:$AZ$4010,0)),"")</f>
        <v/>
      </c>
      <c r="AF624" s="25" t="str">
        <f>IF(AE624="","",IFERROR(INDEX($AN$11:$AN$4010,MATCH(614,$AZ$11:$AZ$4010,0)),""))</f>
        <v/>
      </c>
      <c r="AG624" s="25" t="str">
        <f>IF(AE624="","",IFERROR(INDEX($AO$11:$AO$4010,MATCH(614,$AZ$11:$AZ$4010,0)),""))</f>
        <v/>
      </c>
      <c r="AH624" s="24" t="str">
        <f>IF(AE624="","",IFERROR(INDEX($AQ$11:$AQ$4010,MATCH(614,$AZ$11:$AZ$4010,0)),""))</f>
        <v/>
      </c>
      <c r="AI624" s="29" t="str">
        <f>IF(AE624="","",IFERROR(INDEX($AR$11:$AR$4010,MATCH(614,$AZ$11:$AZ$4010,0)),""))</f>
        <v/>
      </c>
      <c r="AJ624" s="29" t="str">
        <f>IF(AE624="","",IFERROR(INDEX($AT$11:$AT$4010,MATCH(614,$AZ$11:$AZ$4010,0)),""))</f>
        <v/>
      </c>
      <c r="AL624" s="31"/>
      <c r="AM624" s="26"/>
      <c r="AN624" s="32"/>
      <c r="AO624" s="32"/>
      <c r="AP624" s="24"/>
      <c r="AQ624" s="24"/>
      <c r="AR624" s="33"/>
      <c r="AS624" s="34"/>
      <c r="AT624" s="33"/>
      <c r="AV624" s="21">
        <f>IF(AND($AL624&lt;&gt;"",COUNTIF($AL$11:$AL624,$AL624)=1),1,0)</f>
        <v>0</v>
      </c>
      <c r="AW624" s="21">
        <f t="shared" si="105"/>
        <v>0</v>
      </c>
      <c r="AX624" s="21" t="str">
        <f t="shared" si="104"/>
        <v/>
      </c>
      <c r="AY624" s="21" t="str">
        <f>IF(AND($AM624&lt;&gt;"",$AS624&lt;&gt;"✓"),SUMPRODUCT(($AM$11:$AM624&lt;&gt;"")*($AS$11:$AS624&lt;&gt;"✓")),"")</f>
        <v/>
      </c>
      <c r="AZ624" s="21" t="str">
        <f>IF(AND($AM624&lt;&gt;"",$AS624="✓"),SUMPRODUCT(($AM$11:$AM624&lt;&gt;"")*($AS$11:$AS624="✓")),"")</f>
        <v/>
      </c>
      <c r="BA624" s="21" t="str">
        <f>IF($AL624="","",$AL624&amp;"|"&amp;COUNTIF($AL$11:$AL624,$AL624))</f>
        <v/>
      </c>
    </row>
    <row r="625" spans="23:53" ht="15" customHeight="1" x14ac:dyDescent="0.25">
      <c r="W625" s="14" t="str">
        <f>IF(X625="","",IFERROR(INDEX($AL$11:$AL$4010,MATCH(615,$AY$11:$AY$4010,0)),""))</f>
        <v/>
      </c>
      <c r="X625" s="12" t="str">
        <f>IFERROR(INDEX($AM$11:$AM$4010,MATCH(615,$AY$11:$AY$4010,0)),"")</f>
        <v/>
      </c>
      <c r="Y625" s="11" t="str">
        <f>IF(X625="","",IFERROR(INDEX($AN$11:$AN$4010,MATCH(615,$AY$11:$AY$4010,0)),""))</f>
        <v/>
      </c>
      <c r="Z625" s="11" t="str">
        <f>IF(X625="","",IFERROR(INDEX($AO$11:$AO$4010,MATCH(615,$AY$11:$AY$4010,0)),""))</f>
        <v/>
      </c>
      <c r="AA625" s="10" t="str">
        <f>IF(X625="","",IFERROR(INDEX($AQ$11:$AQ$4010,MATCH(615,$AY$11:$AY$4010,0)),""))</f>
        <v/>
      </c>
      <c r="AB625" s="15" t="str">
        <f>IF(X625="","",IFERROR(INDEX($AR$11:$AR$4010,MATCH(615,$AY$11:$AY$4010,0)),""))</f>
        <v/>
      </c>
      <c r="AD625" s="16" t="str">
        <f>IF(AE625="","",IFERROR(INDEX($AL$11:$AL$4010,MATCH(615,$AZ$11:$AZ$4010,0)),""))</f>
        <v/>
      </c>
      <c r="AE625" s="12" t="str">
        <f>IFERROR(INDEX($AM$11:$AM$4010,MATCH(615,$AZ$11:$AZ$4010,0)),"")</f>
        <v/>
      </c>
      <c r="AF625" s="11" t="str">
        <f>IF(AE625="","",IFERROR(INDEX($AN$11:$AN$4010,MATCH(615,$AZ$11:$AZ$4010,0)),""))</f>
        <v/>
      </c>
      <c r="AG625" s="11" t="str">
        <f>IF(AE625="","",IFERROR(INDEX($AO$11:$AO$4010,MATCH(615,$AZ$11:$AZ$4010,0)),""))</f>
        <v/>
      </c>
      <c r="AH625" s="10" t="str">
        <f>IF(AE625="","",IFERROR(INDEX($AQ$11:$AQ$4010,MATCH(615,$AZ$11:$AZ$4010,0)),""))</f>
        <v/>
      </c>
      <c r="AI625" s="15" t="str">
        <f>IF(AE625="","",IFERROR(INDEX($AR$11:$AR$4010,MATCH(615,$AZ$11:$AZ$4010,0)),""))</f>
        <v/>
      </c>
      <c r="AJ625" s="15" t="str">
        <f>IF(AE625="","",IFERROR(INDEX($AT$11:$AT$4010,MATCH(615,$AZ$11:$AZ$4010,0)),""))</f>
        <v/>
      </c>
      <c r="AL625" s="17"/>
      <c r="AM625" s="12"/>
      <c r="AN625" s="18"/>
      <c r="AO625" s="18"/>
      <c r="AP625" s="10"/>
      <c r="AQ625" s="10"/>
      <c r="AR625" s="19"/>
      <c r="AS625" s="20"/>
      <c r="AT625" s="19"/>
      <c r="AV625" s="21">
        <f>IF(AND($AL625&lt;&gt;"",COUNTIF($AL$11:$AL625,$AL625)=1),1,0)</f>
        <v>0</v>
      </c>
      <c r="AW625" s="21">
        <f t="shared" si="105"/>
        <v>0</v>
      </c>
      <c r="AX625" s="21" t="str">
        <f t="shared" si="104"/>
        <v/>
      </c>
      <c r="AY625" s="21" t="str">
        <f>IF(AND($AM625&lt;&gt;"",$AS625&lt;&gt;"✓"),SUMPRODUCT(($AM$11:$AM625&lt;&gt;"")*($AS$11:$AS625&lt;&gt;"✓")),"")</f>
        <v/>
      </c>
      <c r="AZ625" s="21" t="str">
        <f>IF(AND($AM625&lt;&gt;"",$AS625="✓"),SUMPRODUCT(($AM$11:$AM625&lt;&gt;"")*($AS$11:$AS625="✓")),"")</f>
        <v/>
      </c>
      <c r="BA625" s="21" t="str">
        <f>IF($AL625="","",$AL625&amp;"|"&amp;COUNTIF($AL$11:$AL625,$AL625))</f>
        <v/>
      </c>
    </row>
    <row r="626" spans="23:53" ht="15" customHeight="1" x14ac:dyDescent="0.25">
      <c r="W626" s="28" t="str">
        <f>IF(X626="","",IFERROR(INDEX($AL$11:$AL$4010,MATCH(616,$AY$11:$AY$4010,0)),""))</f>
        <v/>
      </c>
      <c r="X626" s="26" t="str">
        <f>IFERROR(INDEX($AM$11:$AM$4010,MATCH(616,$AY$11:$AY$4010,0)),"")</f>
        <v/>
      </c>
      <c r="Y626" s="25" t="str">
        <f>IF(X626="","",IFERROR(INDEX($AN$11:$AN$4010,MATCH(616,$AY$11:$AY$4010,0)),""))</f>
        <v/>
      </c>
      <c r="Z626" s="25" t="str">
        <f>IF(X626="","",IFERROR(INDEX($AO$11:$AO$4010,MATCH(616,$AY$11:$AY$4010,0)),""))</f>
        <v/>
      </c>
      <c r="AA626" s="24" t="str">
        <f>IF(X626="","",IFERROR(INDEX($AQ$11:$AQ$4010,MATCH(616,$AY$11:$AY$4010,0)),""))</f>
        <v/>
      </c>
      <c r="AB626" s="29" t="str">
        <f>IF(X626="","",IFERROR(INDEX($AR$11:$AR$4010,MATCH(616,$AY$11:$AY$4010,0)),""))</f>
        <v/>
      </c>
      <c r="AD626" s="30" t="str">
        <f>IF(AE626="","",IFERROR(INDEX($AL$11:$AL$4010,MATCH(616,$AZ$11:$AZ$4010,0)),""))</f>
        <v/>
      </c>
      <c r="AE626" s="26" t="str">
        <f>IFERROR(INDEX($AM$11:$AM$4010,MATCH(616,$AZ$11:$AZ$4010,0)),"")</f>
        <v/>
      </c>
      <c r="AF626" s="25" t="str">
        <f>IF(AE626="","",IFERROR(INDEX($AN$11:$AN$4010,MATCH(616,$AZ$11:$AZ$4010,0)),""))</f>
        <v/>
      </c>
      <c r="AG626" s="25" t="str">
        <f>IF(AE626="","",IFERROR(INDEX($AO$11:$AO$4010,MATCH(616,$AZ$11:$AZ$4010,0)),""))</f>
        <v/>
      </c>
      <c r="AH626" s="24" t="str">
        <f>IF(AE626="","",IFERROR(INDEX($AQ$11:$AQ$4010,MATCH(616,$AZ$11:$AZ$4010,0)),""))</f>
        <v/>
      </c>
      <c r="AI626" s="29" t="str">
        <f>IF(AE626="","",IFERROR(INDEX($AR$11:$AR$4010,MATCH(616,$AZ$11:$AZ$4010,0)),""))</f>
        <v/>
      </c>
      <c r="AJ626" s="29" t="str">
        <f>IF(AE626="","",IFERROR(INDEX($AT$11:$AT$4010,MATCH(616,$AZ$11:$AZ$4010,0)),""))</f>
        <v/>
      </c>
      <c r="AL626" s="31"/>
      <c r="AM626" s="26"/>
      <c r="AN626" s="32"/>
      <c r="AO626" s="32"/>
      <c r="AP626" s="24"/>
      <c r="AQ626" s="24"/>
      <c r="AR626" s="33"/>
      <c r="AS626" s="34"/>
      <c r="AT626" s="33"/>
      <c r="AV626" s="21">
        <f>IF(AND($AL626&lt;&gt;"",COUNTIF($AL$11:$AL626,$AL626)=1),1,0)</f>
        <v>0</v>
      </c>
      <c r="AW626" s="21">
        <f t="shared" si="105"/>
        <v>0</v>
      </c>
      <c r="AX626" s="21" t="str">
        <f t="shared" si="104"/>
        <v/>
      </c>
      <c r="AY626" s="21" t="str">
        <f>IF(AND($AM626&lt;&gt;"",$AS626&lt;&gt;"✓"),SUMPRODUCT(($AM$11:$AM626&lt;&gt;"")*($AS$11:$AS626&lt;&gt;"✓")),"")</f>
        <v/>
      </c>
      <c r="AZ626" s="21" t="str">
        <f>IF(AND($AM626&lt;&gt;"",$AS626="✓"),SUMPRODUCT(($AM$11:$AM626&lt;&gt;"")*($AS$11:$AS626="✓")),"")</f>
        <v/>
      </c>
      <c r="BA626" s="21" t="str">
        <f>IF($AL626="","",$AL626&amp;"|"&amp;COUNTIF($AL$11:$AL626,$AL626))</f>
        <v/>
      </c>
    </row>
    <row r="627" spans="23:53" ht="15" customHeight="1" x14ac:dyDescent="0.25">
      <c r="W627" s="14" t="str">
        <f>IF(X627="","",IFERROR(INDEX($AL$11:$AL$4010,MATCH(617,$AY$11:$AY$4010,0)),""))</f>
        <v/>
      </c>
      <c r="X627" s="12" t="str">
        <f>IFERROR(INDEX($AM$11:$AM$4010,MATCH(617,$AY$11:$AY$4010,0)),"")</f>
        <v/>
      </c>
      <c r="Y627" s="11" t="str">
        <f>IF(X627="","",IFERROR(INDEX($AN$11:$AN$4010,MATCH(617,$AY$11:$AY$4010,0)),""))</f>
        <v/>
      </c>
      <c r="Z627" s="11" t="str">
        <f>IF(X627="","",IFERROR(INDEX($AO$11:$AO$4010,MATCH(617,$AY$11:$AY$4010,0)),""))</f>
        <v/>
      </c>
      <c r="AA627" s="10" t="str">
        <f>IF(X627="","",IFERROR(INDEX($AQ$11:$AQ$4010,MATCH(617,$AY$11:$AY$4010,0)),""))</f>
        <v/>
      </c>
      <c r="AB627" s="15" t="str">
        <f>IF(X627="","",IFERROR(INDEX($AR$11:$AR$4010,MATCH(617,$AY$11:$AY$4010,0)),""))</f>
        <v/>
      </c>
      <c r="AD627" s="16" t="str">
        <f>IF(AE627="","",IFERROR(INDEX($AL$11:$AL$4010,MATCH(617,$AZ$11:$AZ$4010,0)),""))</f>
        <v/>
      </c>
      <c r="AE627" s="12" t="str">
        <f>IFERROR(INDEX($AM$11:$AM$4010,MATCH(617,$AZ$11:$AZ$4010,0)),"")</f>
        <v/>
      </c>
      <c r="AF627" s="11" t="str">
        <f>IF(AE627="","",IFERROR(INDEX($AN$11:$AN$4010,MATCH(617,$AZ$11:$AZ$4010,0)),""))</f>
        <v/>
      </c>
      <c r="AG627" s="11" t="str">
        <f>IF(AE627="","",IFERROR(INDEX($AO$11:$AO$4010,MATCH(617,$AZ$11:$AZ$4010,0)),""))</f>
        <v/>
      </c>
      <c r="AH627" s="10" t="str">
        <f>IF(AE627="","",IFERROR(INDEX($AQ$11:$AQ$4010,MATCH(617,$AZ$11:$AZ$4010,0)),""))</f>
        <v/>
      </c>
      <c r="AI627" s="15" t="str">
        <f>IF(AE627="","",IFERROR(INDEX($AR$11:$AR$4010,MATCH(617,$AZ$11:$AZ$4010,0)),""))</f>
        <v/>
      </c>
      <c r="AJ627" s="15" t="str">
        <f>IF(AE627="","",IFERROR(INDEX($AT$11:$AT$4010,MATCH(617,$AZ$11:$AZ$4010,0)),""))</f>
        <v/>
      </c>
      <c r="AL627" s="17"/>
      <c r="AM627" s="12"/>
      <c r="AN627" s="18"/>
      <c r="AO627" s="18"/>
      <c r="AP627" s="10"/>
      <c r="AQ627" s="10"/>
      <c r="AR627" s="19"/>
      <c r="AS627" s="20"/>
      <c r="AT627" s="19"/>
      <c r="AV627" s="21">
        <f>IF(AND($AL627&lt;&gt;"",COUNTIF($AL$11:$AL627,$AL627)=1),1,0)</f>
        <v>0</v>
      </c>
      <c r="AW627" s="21">
        <f t="shared" si="105"/>
        <v>0</v>
      </c>
      <c r="AX627" s="21" t="str">
        <f t="shared" si="104"/>
        <v/>
      </c>
      <c r="AY627" s="21" t="str">
        <f>IF(AND($AM627&lt;&gt;"",$AS627&lt;&gt;"✓"),SUMPRODUCT(($AM$11:$AM627&lt;&gt;"")*($AS$11:$AS627&lt;&gt;"✓")),"")</f>
        <v/>
      </c>
      <c r="AZ627" s="21" t="str">
        <f>IF(AND($AM627&lt;&gt;"",$AS627="✓"),SUMPRODUCT(($AM$11:$AM627&lt;&gt;"")*($AS$11:$AS627="✓")),"")</f>
        <v/>
      </c>
      <c r="BA627" s="21" t="str">
        <f>IF($AL627="","",$AL627&amp;"|"&amp;COUNTIF($AL$11:$AL627,$AL627))</f>
        <v/>
      </c>
    </row>
    <row r="628" spans="23:53" ht="15" customHeight="1" x14ac:dyDescent="0.25">
      <c r="W628" s="28" t="str">
        <f>IF(X628="","",IFERROR(INDEX($AL$11:$AL$4010,MATCH(618,$AY$11:$AY$4010,0)),""))</f>
        <v/>
      </c>
      <c r="X628" s="26" t="str">
        <f>IFERROR(INDEX($AM$11:$AM$4010,MATCH(618,$AY$11:$AY$4010,0)),"")</f>
        <v/>
      </c>
      <c r="Y628" s="25" t="str">
        <f>IF(X628="","",IFERROR(INDEX($AN$11:$AN$4010,MATCH(618,$AY$11:$AY$4010,0)),""))</f>
        <v/>
      </c>
      <c r="Z628" s="25" t="str">
        <f>IF(X628="","",IFERROR(INDEX($AO$11:$AO$4010,MATCH(618,$AY$11:$AY$4010,0)),""))</f>
        <v/>
      </c>
      <c r="AA628" s="24" t="str">
        <f>IF(X628="","",IFERROR(INDEX($AQ$11:$AQ$4010,MATCH(618,$AY$11:$AY$4010,0)),""))</f>
        <v/>
      </c>
      <c r="AB628" s="29" t="str">
        <f>IF(X628="","",IFERROR(INDEX($AR$11:$AR$4010,MATCH(618,$AY$11:$AY$4010,0)),""))</f>
        <v/>
      </c>
      <c r="AD628" s="30" t="str">
        <f>IF(AE628="","",IFERROR(INDEX($AL$11:$AL$4010,MATCH(618,$AZ$11:$AZ$4010,0)),""))</f>
        <v/>
      </c>
      <c r="AE628" s="26" t="str">
        <f>IFERROR(INDEX($AM$11:$AM$4010,MATCH(618,$AZ$11:$AZ$4010,0)),"")</f>
        <v/>
      </c>
      <c r="AF628" s="25" t="str">
        <f>IF(AE628="","",IFERROR(INDEX($AN$11:$AN$4010,MATCH(618,$AZ$11:$AZ$4010,0)),""))</f>
        <v/>
      </c>
      <c r="AG628" s="25" t="str">
        <f>IF(AE628="","",IFERROR(INDEX($AO$11:$AO$4010,MATCH(618,$AZ$11:$AZ$4010,0)),""))</f>
        <v/>
      </c>
      <c r="AH628" s="24" t="str">
        <f>IF(AE628="","",IFERROR(INDEX($AQ$11:$AQ$4010,MATCH(618,$AZ$11:$AZ$4010,0)),""))</f>
        <v/>
      </c>
      <c r="AI628" s="29" t="str">
        <f>IF(AE628="","",IFERROR(INDEX($AR$11:$AR$4010,MATCH(618,$AZ$11:$AZ$4010,0)),""))</f>
        <v/>
      </c>
      <c r="AJ628" s="29" t="str">
        <f>IF(AE628="","",IFERROR(INDEX($AT$11:$AT$4010,MATCH(618,$AZ$11:$AZ$4010,0)),""))</f>
        <v/>
      </c>
      <c r="AL628" s="31"/>
      <c r="AM628" s="26"/>
      <c r="AN628" s="32"/>
      <c r="AO628" s="32"/>
      <c r="AP628" s="24"/>
      <c r="AQ628" s="24"/>
      <c r="AR628" s="33"/>
      <c r="AS628" s="34"/>
      <c r="AT628" s="33"/>
      <c r="AV628" s="21">
        <f>IF(AND($AL628&lt;&gt;"",COUNTIF($AL$11:$AL628,$AL628)=1),1,0)</f>
        <v>0</v>
      </c>
      <c r="AW628" s="21">
        <f t="shared" si="105"/>
        <v>0</v>
      </c>
      <c r="AX628" s="21" t="str">
        <f t="shared" si="104"/>
        <v/>
      </c>
      <c r="AY628" s="21" t="str">
        <f>IF(AND($AM628&lt;&gt;"",$AS628&lt;&gt;"✓"),SUMPRODUCT(($AM$11:$AM628&lt;&gt;"")*($AS$11:$AS628&lt;&gt;"✓")),"")</f>
        <v/>
      </c>
      <c r="AZ628" s="21" t="str">
        <f>IF(AND($AM628&lt;&gt;"",$AS628="✓"),SUMPRODUCT(($AM$11:$AM628&lt;&gt;"")*($AS$11:$AS628="✓")),"")</f>
        <v/>
      </c>
      <c r="BA628" s="21" t="str">
        <f>IF($AL628="","",$AL628&amp;"|"&amp;COUNTIF($AL$11:$AL628,$AL628))</f>
        <v/>
      </c>
    </row>
    <row r="629" spans="23:53" ht="15" customHeight="1" x14ac:dyDescent="0.25">
      <c r="W629" s="14" t="str">
        <f>IF(X629="","",IFERROR(INDEX($AL$11:$AL$4010,MATCH(619,$AY$11:$AY$4010,0)),""))</f>
        <v/>
      </c>
      <c r="X629" s="12" t="str">
        <f>IFERROR(INDEX($AM$11:$AM$4010,MATCH(619,$AY$11:$AY$4010,0)),"")</f>
        <v/>
      </c>
      <c r="Y629" s="11" t="str">
        <f>IF(X629="","",IFERROR(INDEX($AN$11:$AN$4010,MATCH(619,$AY$11:$AY$4010,0)),""))</f>
        <v/>
      </c>
      <c r="Z629" s="11" t="str">
        <f>IF(X629="","",IFERROR(INDEX($AO$11:$AO$4010,MATCH(619,$AY$11:$AY$4010,0)),""))</f>
        <v/>
      </c>
      <c r="AA629" s="10" t="str">
        <f>IF(X629="","",IFERROR(INDEX($AQ$11:$AQ$4010,MATCH(619,$AY$11:$AY$4010,0)),""))</f>
        <v/>
      </c>
      <c r="AB629" s="15" t="str">
        <f>IF(X629="","",IFERROR(INDEX($AR$11:$AR$4010,MATCH(619,$AY$11:$AY$4010,0)),""))</f>
        <v/>
      </c>
      <c r="AD629" s="16" t="str">
        <f>IF(AE629="","",IFERROR(INDEX($AL$11:$AL$4010,MATCH(619,$AZ$11:$AZ$4010,0)),""))</f>
        <v/>
      </c>
      <c r="AE629" s="12" t="str">
        <f>IFERROR(INDEX($AM$11:$AM$4010,MATCH(619,$AZ$11:$AZ$4010,0)),"")</f>
        <v/>
      </c>
      <c r="AF629" s="11" t="str">
        <f>IF(AE629="","",IFERROR(INDEX($AN$11:$AN$4010,MATCH(619,$AZ$11:$AZ$4010,0)),""))</f>
        <v/>
      </c>
      <c r="AG629" s="11" t="str">
        <f>IF(AE629="","",IFERROR(INDEX($AO$11:$AO$4010,MATCH(619,$AZ$11:$AZ$4010,0)),""))</f>
        <v/>
      </c>
      <c r="AH629" s="10" t="str">
        <f>IF(AE629="","",IFERROR(INDEX($AQ$11:$AQ$4010,MATCH(619,$AZ$11:$AZ$4010,0)),""))</f>
        <v/>
      </c>
      <c r="AI629" s="15" t="str">
        <f>IF(AE629="","",IFERROR(INDEX($AR$11:$AR$4010,MATCH(619,$AZ$11:$AZ$4010,0)),""))</f>
        <v/>
      </c>
      <c r="AJ629" s="15" t="str">
        <f>IF(AE629="","",IFERROR(INDEX($AT$11:$AT$4010,MATCH(619,$AZ$11:$AZ$4010,0)),""))</f>
        <v/>
      </c>
      <c r="AL629" s="17"/>
      <c r="AM629" s="12"/>
      <c r="AN629" s="18"/>
      <c r="AO629" s="18"/>
      <c r="AP629" s="10"/>
      <c r="AQ629" s="10"/>
      <c r="AR629" s="19"/>
      <c r="AS629" s="20"/>
      <c r="AT629" s="19"/>
      <c r="AV629" s="21">
        <f>IF(AND($AL629&lt;&gt;"",COUNTIF($AL$11:$AL629,$AL629)=1),1,0)</f>
        <v>0</v>
      </c>
      <c r="AW629" s="21">
        <f t="shared" si="105"/>
        <v>0</v>
      </c>
      <c r="AX629" s="21" t="str">
        <f t="shared" si="104"/>
        <v/>
      </c>
      <c r="AY629" s="21" t="str">
        <f>IF(AND($AM629&lt;&gt;"",$AS629&lt;&gt;"✓"),SUMPRODUCT(($AM$11:$AM629&lt;&gt;"")*($AS$11:$AS629&lt;&gt;"✓")),"")</f>
        <v/>
      </c>
      <c r="AZ629" s="21" t="str">
        <f>IF(AND($AM629&lt;&gt;"",$AS629="✓"),SUMPRODUCT(($AM$11:$AM629&lt;&gt;"")*($AS$11:$AS629="✓")),"")</f>
        <v/>
      </c>
      <c r="BA629" s="21" t="str">
        <f>IF($AL629="","",$AL629&amp;"|"&amp;COUNTIF($AL$11:$AL629,$AL629))</f>
        <v/>
      </c>
    </row>
    <row r="630" spans="23:53" ht="15" customHeight="1" x14ac:dyDescent="0.25">
      <c r="W630" s="28" t="str">
        <f>IF(X630="","",IFERROR(INDEX($AL$11:$AL$4010,MATCH(620,$AY$11:$AY$4010,0)),""))</f>
        <v/>
      </c>
      <c r="X630" s="26" t="str">
        <f>IFERROR(INDEX($AM$11:$AM$4010,MATCH(620,$AY$11:$AY$4010,0)),"")</f>
        <v/>
      </c>
      <c r="Y630" s="25" t="str">
        <f>IF(X630="","",IFERROR(INDEX($AN$11:$AN$4010,MATCH(620,$AY$11:$AY$4010,0)),""))</f>
        <v/>
      </c>
      <c r="Z630" s="25" t="str">
        <f>IF(X630="","",IFERROR(INDEX($AO$11:$AO$4010,MATCH(620,$AY$11:$AY$4010,0)),""))</f>
        <v/>
      </c>
      <c r="AA630" s="24" t="str">
        <f>IF(X630="","",IFERROR(INDEX($AQ$11:$AQ$4010,MATCH(620,$AY$11:$AY$4010,0)),""))</f>
        <v/>
      </c>
      <c r="AB630" s="29" t="str">
        <f>IF(X630="","",IFERROR(INDEX($AR$11:$AR$4010,MATCH(620,$AY$11:$AY$4010,0)),""))</f>
        <v/>
      </c>
      <c r="AD630" s="30" t="str">
        <f>IF(AE630="","",IFERROR(INDEX($AL$11:$AL$4010,MATCH(620,$AZ$11:$AZ$4010,0)),""))</f>
        <v/>
      </c>
      <c r="AE630" s="26" t="str">
        <f>IFERROR(INDEX($AM$11:$AM$4010,MATCH(620,$AZ$11:$AZ$4010,0)),"")</f>
        <v/>
      </c>
      <c r="AF630" s="25" t="str">
        <f>IF(AE630="","",IFERROR(INDEX($AN$11:$AN$4010,MATCH(620,$AZ$11:$AZ$4010,0)),""))</f>
        <v/>
      </c>
      <c r="AG630" s="25" t="str">
        <f>IF(AE630="","",IFERROR(INDEX($AO$11:$AO$4010,MATCH(620,$AZ$11:$AZ$4010,0)),""))</f>
        <v/>
      </c>
      <c r="AH630" s="24" t="str">
        <f>IF(AE630="","",IFERROR(INDEX($AQ$11:$AQ$4010,MATCH(620,$AZ$11:$AZ$4010,0)),""))</f>
        <v/>
      </c>
      <c r="AI630" s="29" t="str">
        <f>IF(AE630="","",IFERROR(INDEX($AR$11:$AR$4010,MATCH(620,$AZ$11:$AZ$4010,0)),""))</f>
        <v/>
      </c>
      <c r="AJ630" s="29" t="str">
        <f>IF(AE630="","",IFERROR(INDEX($AT$11:$AT$4010,MATCH(620,$AZ$11:$AZ$4010,0)),""))</f>
        <v/>
      </c>
      <c r="AL630" s="31"/>
      <c r="AM630" s="26"/>
      <c r="AN630" s="32"/>
      <c r="AO630" s="32"/>
      <c r="AP630" s="24"/>
      <c r="AQ630" s="24"/>
      <c r="AR630" s="33"/>
      <c r="AS630" s="34"/>
      <c r="AT630" s="33"/>
      <c r="AV630" s="21">
        <f>IF(AND($AL630&lt;&gt;"",COUNTIF($AL$11:$AL630,$AL630)=1),1,0)</f>
        <v>0</v>
      </c>
      <c r="AW630" s="21">
        <f t="shared" si="105"/>
        <v>0</v>
      </c>
      <c r="AX630" s="21" t="str">
        <f t="shared" si="104"/>
        <v/>
      </c>
      <c r="AY630" s="21" t="str">
        <f>IF(AND($AM630&lt;&gt;"",$AS630&lt;&gt;"✓"),SUMPRODUCT(($AM$11:$AM630&lt;&gt;"")*($AS$11:$AS630&lt;&gt;"✓")),"")</f>
        <v/>
      </c>
      <c r="AZ630" s="21" t="str">
        <f>IF(AND($AM630&lt;&gt;"",$AS630="✓"),SUMPRODUCT(($AM$11:$AM630&lt;&gt;"")*($AS$11:$AS630="✓")),"")</f>
        <v/>
      </c>
      <c r="BA630" s="21" t="str">
        <f>IF($AL630="","",$AL630&amp;"|"&amp;COUNTIF($AL$11:$AL630,$AL630))</f>
        <v/>
      </c>
    </row>
    <row r="631" spans="23:53" ht="15" customHeight="1" x14ac:dyDescent="0.25">
      <c r="W631" s="14" t="str">
        <f>IF(X631="","",IFERROR(INDEX($AL$11:$AL$4010,MATCH(621,$AY$11:$AY$4010,0)),""))</f>
        <v/>
      </c>
      <c r="X631" s="12" t="str">
        <f>IFERROR(INDEX($AM$11:$AM$4010,MATCH(621,$AY$11:$AY$4010,0)),"")</f>
        <v/>
      </c>
      <c r="Y631" s="11" t="str">
        <f>IF(X631="","",IFERROR(INDEX($AN$11:$AN$4010,MATCH(621,$AY$11:$AY$4010,0)),""))</f>
        <v/>
      </c>
      <c r="Z631" s="11" t="str">
        <f>IF(X631="","",IFERROR(INDEX($AO$11:$AO$4010,MATCH(621,$AY$11:$AY$4010,0)),""))</f>
        <v/>
      </c>
      <c r="AA631" s="10" t="str">
        <f>IF(X631="","",IFERROR(INDEX($AQ$11:$AQ$4010,MATCH(621,$AY$11:$AY$4010,0)),""))</f>
        <v/>
      </c>
      <c r="AB631" s="15" t="str">
        <f>IF(X631="","",IFERROR(INDEX($AR$11:$AR$4010,MATCH(621,$AY$11:$AY$4010,0)),""))</f>
        <v/>
      </c>
      <c r="AD631" s="16" t="str">
        <f>IF(AE631="","",IFERROR(INDEX($AL$11:$AL$4010,MATCH(621,$AZ$11:$AZ$4010,0)),""))</f>
        <v/>
      </c>
      <c r="AE631" s="12" t="str">
        <f>IFERROR(INDEX($AM$11:$AM$4010,MATCH(621,$AZ$11:$AZ$4010,0)),"")</f>
        <v/>
      </c>
      <c r="AF631" s="11" t="str">
        <f>IF(AE631="","",IFERROR(INDEX($AN$11:$AN$4010,MATCH(621,$AZ$11:$AZ$4010,0)),""))</f>
        <v/>
      </c>
      <c r="AG631" s="11" t="str">
        <f>IF(AE631="","",IFERROR(INDEX($AO$11:$AO$4010,MATCH(621,$AZ$11:$AZ$4010,0)),""))</f>
        <v/>
      </c>
      <c r="AH631" s="10" t="str">
        <f>IF(AE631="","",IFERROR(INDEX($AQ$11:$AQ$4010,MATCH(621,$AZ$11:$AZ$4010,0)),""))</f>
        <v/>
      </c>
      <c r="AI631" s="15" t="str">
        <f>IF(AE631="","",IFERROR(INDEX($AR$11:$AR$4010,MATCH(621,$AZ$11:$AZ$4010,0)),""))</f>
        <v/>
      </c>
      <c r="AJ631" s="15" t="str">
        <f>IF(AE631="","",IFERROR(INDEX($AT$11:$AT$4010,MATCH(621,$AZ$11:$AZ$4010,0)),""))</f>
        <v/>
      </c>
      <c r="AL631" s="17"/>
      <c r="AM631" s="12"/>
      <c r="AN631" s="18"/>
      <c r="AO631" s="18"/>
      <c r="AP631" s="10"/>
      <c r="AQ631" s="10"/>
      <c r="AR631" s="19"/>
      <c r="AS631" s="20"/>
      <c r="AT631" s="19"/>
      <c r="AV631" s="21">
        <f>IF(AND($AL631&lt;&gt;"",COUNTIF($AL$11:$AL631,$AL631)=1),1,0)</f>
        <v>0</v>
      </c>
      <c r="AW631" s="21">
        <f t="shared" si="105"/>
        <v>0</v>
      </c>
      <c r="AX631" s="21" t="str">
        <f t="shared" si="104"/>
        <v/>
      </c>
      <c r="AY631" s="21" t="str">
        <f>IF(AND($AM631&lt;&gt;"",$AS631&lt;&gt;"✓"),SUMPRODUCT(($AM$11:$AM631&lt;&gt;"")*($AS$11:$AS631&lt;&gt;"✓")),"")</f>
        <v/>
      </c>
      <c r="AZ631" s="21" t="str">
        <f>IF(AND($AM631&lt;&gt;"",$AS631="✓"),SUMPRODUCT(($AM$11:$AM631&lt;&gt;"")*($AS$11:$AS631="✓")),"")</f>
        <v/>
      </c>
      <c r="BA631" s="21" t="str">
        <f>IF($AL631="","",$AL631&amp;"|"&amp;COUNTIF($AL$11:$AL631,$AL631))</f>
        <v/>
      </c>
    </row>
    <row r="632" spans="23:53" ht="15" customHeight="1" x14ac:dyDescent="0.25">
      <c r="W632" s="28" t="str">
        <f>IF(X632="","",IFERROR(INDEX($AL$11:$AL$4010,MATCH(622,$AY$11:$AY$4010,0)),""))</f>
        <v/>
      </c>
      <c r="X632" s="26" t="str">
        <f>IFERROR(INDEX($AM$11:$AM$4010,MATCH(622,$AY$11:$AY$4010,0)),"")</f>
        <v/>
      </c>
      <c r="Y632" s="25" t="str">
        <f>IF(X632="","",IFERROR(INDEX($AN$11:$AN$4010,MATCH(622,$AY$11:$AY$4010,0)),""))</f>
        <v/>
      </c>
      <c r="Z632" s="25" t="str">
        <f>IF(X632="","",IFERROR(INDEX($AO$11:$AO$4010,MATCH(622,$AY$11:$AY$4010,0)),""))</f>
        <v/>
      </c>
      <c r="AA632" s="24" t="str">
        <f>IF(X632="","",IFERROR(INDEX($AQ$11:$AQ$4010,MATCH(622,$AY$11:$AY$4010,0)),""))</f>
        <v/>
      </c>
      <c r="AB632" s="29" t="str">
        <f>IF(X632="","",IFERROR(INDEX($AR$11:$AR$4010,MATCH(622,$AY$11:$AY$4010,0)),""))</f>
        <v/>
      </c>
      <c r="AD632" s="30" t="str">
        <f>IF(AE632="","",IFERROR(INDEX($AL$11:$AL$4010,MATCH(622,$AZ$11:$AZ$4010,0)),""))</f>
        <v/>
      </c>
      <c r="AE632" s="26" t="str">
        <f>IFERROR(INDEX($AM$11:$AM$4010,MATCH(622,$AZ$11:$AZ$4010,0)),"")</f>
        <v/>
      </c>
      <c r="AF632" s="25" t="str">
        <f>IF(AE632="","",IFERROR(INDEX($AN$11:$AN$4010,MATCH(622,$AZ$11:$AZ$4010,0)),""))</f>
        <v/>
      </c>
      <c r="AG632" s="25" t="str">
        <f>IF(AE632="","",IFERROR(INDEX($AO$11:$AO$4010,MATCH(622,$AZ$11:$AZ$4010,0)),""))</f>
        <v/>
      </c>
      <c r="AH632" s="24" t="str">
        <f>IF(AE632="","",IFERROR(INDEX($AQ$11:$AQ$4010,MATCH(622,$AZ$11:$AZ$4010,0)),""))</f>
        <v/>
      </c>
      <c r="AI632" s="29" t="str">
        <f>IF(AE632="","",IFERROR(INDEX($AR$11:$AR$4010,MATCH(622,$AZ$11:$AZ$4010,0)),""))</f>
        <v/>
      </c>
      <c r="AJ632" s="29" t="str">
        <f>IF(AE632="","",IFERROR(INDEX($AT$11:$AT$4010,MATCH(622,$AZ$11:$AZ$4010,0)),""))</f>
        <v/>
      </c>
      <c r="AL632" s="31"/>
      <c r="AM632" s="26"/>
      <c r="AN632" s="32"/>
      <c r="AO632" s="32"/>
      <c r="AP632" s="24"/>
      <c r="AQ632" s="24"/>
      <c r="AR632" s="33"/>
      <c r="AS632" s="34"/>
      <c r="AT632" s="33"/>
      <c r="AV632" s="21">
        <f>IF(AND($AL632&lt;&gt;"",COUNTIF($AL$11:$AL632,$AL632)=1),1,0)</f>
        <v>0</v>
      </c>
      <c r="AW632" s="21">
        <f t="shared" si="105"/>
        <v>0</v>
      </c>
      <c r="AX632" s="21" t="str">
        <f t="shared" si="104"/>
        <v/>
      </c>
      <c r="AY632" s="21" t="str">
        <f>IF(AND($AM632&lt;&gt;"",$AS632&lt;&gt;"✓"),SUMPRODUCT(($AM$11:$AM632&lt;&gt;"")*($AS$11:$AS632&lt;&gt;"✓")),"")</f>
        <v/>
      </c>
      <c r="AZ632" s="21" t="str">
        <f>IF(AND($AM632&lt;&gt;"",$AS632="✓"),SUMPRODUCT(($AM$11:$AM632&lt;&gt;"")*($AS$11:$AS632="✓")),"")</f>
        <v/>
      </c>
      <c r="BA632" s="21" t="str">
        <f>IF($AL632="","",$AL632&amp;"|"&amp;COUNTIF($AL$11:$AL632,$AL632))</f>
        <v/>
      </c>
    </row>
    <row r="633" spans="23:53" ht="15" customHeight="1" x14ac:dyDescent="0.25">
      <c r="W633" s="14" t="str">
        <f>IF(X633="","",IFERROR(INDEX($AL$11:$AL$4010,MATCH(623,$AY$11:$AY$4010,0)),""))</f>
        <v/>
      </c>
      <c r="X633" s="12" t="str">
        <f>IFERROR(INDEX($AM$11:$AM$4010,MATCH(623,$AY$11:$AY$4010,0)),"")</f>
        <v/>
      </c>
      <c r="Y633" s="11" t="str">
        <f>IF(X633="","",IFERROR(INDEX($AN$11:$AN$4010,MATCH(623,$AY$11:$AY$4010,0)),""))</f>
        <v/>
      </c>
      <c r="Z633" s="11" t="str">
        <f>IF(X633="","",IFERROR(INDEX($AO$11:$AO$4010,MATCH(623,$AY$11:$AY$4010,0)),""))</f>
        <v/>
      </c>
      <c r="AA633" s="10" t="str">
        <f>IF(X633="","",IFERROR(INDEX($AQ$11:$AQ$4010,MATCH(623,$AY$11:$AY$4010,0)),""))</f>
        <v/>
      </c>
      <c r="AB633" s="15" t="str">
        <f>IF(X633="","",IFERROR(INDEX($AR$11:$AR$4010,MATCH(623,$AY$11:$AY$4010,0)),""))</f>
        <v/>
      </c>
      <c r="AD633" s="16" t="str">
        <f>IF(AE633="","",IFERROR(INDEX($AL$11:$AL$4010,MATCH(623,$AZ$11:$AZ$4010,0)),""))</f>
        <v/>
      </c>
      <c r="AE633" s="12" t="str">
        <f>IFERROR(INDEX($AM$11:$AM$4010,MATCH(623,$AZ$11:$AZ$4010,0)),"")</f>
        <v/>
      </c>
      <c r="AF633" s="11" t="str">
        <f>IF(AE633="","",IFERROR(INDEX($AN$11:$AN$4010,MATCH(623,$AZ$11:$AZ$4010,0)),""))</f>
        <v/>
      </c>
      <c r="AG633" s="11" t="str">
        <f>IF(AE633="","",IFERROR(INDEX($AO$11:$AO$4010,MATCH(623,$AZ$11:$AZ$4010,0)),""))</f>
        <v/>
      </c>
      <c r="AH633" s="10" t="str">
        <f>IF(AE633="","",IFERROR(INDEX($AQ$11:$AQ$4010,MATCH(623,$AZ$11:$AZ$4010,0)),""))</f>
        <v/>
      </c>
      <c r="AI633" s="15" t="str">
        <f>IF(AE633="","",IFERROR(INDEX($AR$11:$AR$4010,MATCH(623,$AZ$11:$AZ$4010,0)),""))</f>
        <v/>
      </c>
      <c r="AJ633" s="15" t="str">
        <f>IF(AE633="","",IFERROR(INDEX($AT$11:$AT$4010,MATCH(623,$AZ$11:$AZ$4010,0)),""))</f>
        <v/>
      </c>
      <c r="AL633" s="17"/>
      <c r="AM633" s="12"/>
      <c r="AN633" s="18"/>
      <c r="AO633" s="18"/>
      <c r="AP633" s="10"/>
      <c r="AQ633" s="10"/>
      <c r="AR633" s="19"/>
      <c r="AS633" s="20"/>
      <c r="AT633" s="19"/>
      <c r="AV633" s="21">
        <f>IF(AND($AL633&lt;&gt;"",COUNTIF($AL$11:$AL633,$AL633)=1),1,0)</f>
        <v>0</v>
      </c>
      <c r="AW633" s="21">
        <f t="shared" si="105"/>
        <v>0</v>
      </c>
      <c r="AX633" s="21" t="str">
        <f t="shared" si="104"/>
        <v/>
      </c>
      <c r="AY633" s="21" t="str">
        <f>IF(AND($AM633&lt;&gt;"",$AS633&lt;&gt;"✓"),SUMPRODUCT(($AM$11:$AM633&lt;&gt;"")*($AS$11:$AS633&lt;&gt;"✓")),"")</f>
        <v/>
      </c>
      <c r="AZ633" s="21" t="str">
        <f>IF(AND($AM633&lt;&gt;"",$AS633="✓"),SUMPRODUCT(($AM$11:$AM633&lt;&gt;"")*($AS$11:$AS633="✓")),"")</f>
        <v/>
      </c>
      <c r="BA633" s="21" t="str">
        <f>IF($AL633="","",$AL633&amp;"|"&amp;COUNTIF($AL$11:$AL633,$AL633))</f>
        <v/>
      </c>
    </row>
    <row r="634" spans="23:53" ht="15" customHeight="1" x14ac:dyDescent="0.25">
      <c r="W634" s="28" t="str">
        <f>IF(X634="","",IFERROR(INDEX($AL$11:$AL$4010,MATCH(624,$AY$11:$AY$4010,0)),""))</f>
        <v/>
      </c>
      <c r="X634" s="26" t="str">
        <f>IFERROR(INDEX($AM$11:$AM$4010,MATCH(624,$AY$11:$AY$4010,0)),"")</f>
        <v/>
      </c>
      <c r="Y634" s="25" t="str">
        <f>IF(X634="","",IFERROR(INDEX($AN$11:$AN$4010,MATCH(624,$AY$11:$AY$4010,0)),""))</f>
        <v/>
      </c>
      <c r="Z634" s="25" t="str">
        <f>IF(X634="","",IFERROR(INDEX($AO$11:$AO$4010,MATCH(624,$AY$11:$AY$4010,0)),""))</f>
        <v/>
      </c>
      <c r="AA634" s="24" t="str">
        <f>IF(X634="","",IFERROR(INDEX($AQ$11:$AQ$4010,MATCH(624,$AY$11:$AY$4010,0)),""))</f>
        <v/>
      </c>
      <c r="AB634" s="29" t="str">
        <f>IF(X634="","",IFERROR(INDEX($AR$11:$AR$4010,MATCH(624,$AY$11:$AY$4010,0)),""))</f>
        <v/>
      </c>
      <c r="AD634" s="30" t="str">
        <f>IF(AE634="","",IFERROR(INDEX($AL$11:$AL$4010,MATCH(624,$AZ$11:$AZ$4010,0)),""))</f>
        <v/>
      </c>
      <c r="AE634" s="26" t="str">
        <f>IFERROR(INDEX($AM$11:$AM$4010,MATCH(624,$AZ$11:$AZ$4010,0)),"")</f>
        <v/>
      </c>
      <c r="AF634" s="25" t="str">
        <f>IF(AE634="","",IFERROR(INDEX($AN$11:$AN$4010,MATCH(624,$AZ$11:$AZ$4010,0)),""))</f>
        <v/>
      </c>
      <c r="AG634" s="25" t="str">
        <f>IF(AE634="","",IFERROR(INDEX($AO$11:$AO$4010,MATCH(624,$AZ$11:$AZ$4010,0)),""))</f>
        <v/>
      </c>
      <c r="AH634" s="24" t="str">
        <f>IF(AE634="","",IFERROR(INDEX($AQ$11:$AQ$4010,MATCH(624,$AZ$11:$AZ$4010,0)),""))</f>
        <v/>
      </c>
      <c r="AI634" s="29" t="str">
        <f>IF(AE634="","",IFERROR(INDEX($AR$11:$AR$4010,MATCH(624,$AZ$11:$AZ$4010,0)),""))</f>
        <v/>
      </c>
      <c r="AJ634" s="29" t="str">
        <f>IF(AE634="","",IFERROR(INDEX($AT$11:$AT$4010,MATCH(624,$AZ$11:$AZ$4010,0)),""))</f>
        <v/>
      </c>
      <c r="AL634" s="31"/>
      <c r="AM634" s="26"/>
      <c r="AN634" s="32"/>
      <c r="AO634" s="32"/>
      <c r="AP634" s="24"/>
      <c r="AQ634" s="24"/>
      <c r="AR634" s="33"/>
      <c r="AS634" s="34"/>
      <c r="AT634" s="33"/>
      <c r="AV634" s="21">
        <f>IF(AND($AL634&lt;&gt;"",COUNTIF($AL$11:$AL634,$AL634)=1),1,0)</f>
        <v>0</v>
      </c>
      <c r="AW634" s="21">
        <f t="shared" si="105"/>
        <v>0</v>
      </c>
      <c r="AX634" s="21" t="str">
        <f t="shared" si="104"/>
        <v/>
      </c>
      <c r="AY634" s="21" t="str">
        <f>IF(AND($AM634&lt;&gt;"",$AS634&lt;&gt;"✓"),SUMPRODUCT(($AM$11:$AM634&lt;&gt;"")*($AS$11:$AS634&lt;&gt;"✓")),"")</f>
        <v/>
      </c>
      <c r="AZ634" s="21" t="str">
        <f>IF(AND($AM634&lt;&gt;"",$AS634="✓"),SUMPRODUCT(($AM$11:$AM634&lt;&gt;"")*($AS$11:$AS634="✓")),"")</f>
        <v/>
      </c>
      <c r="BA634" s="21" t="str">
        <f>IF($AL634="","",$AL634&amp;"|"&amp;COUNTIF($AL$11:$AL634,$AL634))</f>
        <v/>
      </c>
    </row>
    <row r="635" spans="23:53" ht="15" customHeight="1" x14ac:dyDescent="0.25">
      <c r="W635" s="14" t="str">
        <f>IF(X635="","",IFERROR(INDEX($AL$11:$AL$4010,MATCH(625,$AY$11:$AY$4010,0)),""))</f>
        <v/>
      </c>
      <c r="X635" s="12" t="str">
        <f>IFERROR(INDEX($AM$11:$AM$4010,MATCH(625,$AY$11:$AY$4010,0)),"")</f>
        <v/>
      </c>
      <c r="Y635" s="11" t="str">
        <f>IF(X635="","",IFERROR(INDEX($AN$11:$AN$4010,MATCH(625,$AY$11:$AY$4010,0)),""))</f>
        <v/>
      </c>
      <c r="Z635" s="11" t="str">
        <f>IF(X635="","",IFERROR(INDEX($AO$11:$AO$4010,MATCH(625,$AY$11:$AY$4010,0)),""))</f>
        <v/>
      </c>
      <c r="AA635" s="10" t="str">
        <f>IF(X635="","",IFERROR(INDEX($AQ$11:$AQ$4010,MATCH(625,$AY$11:$AY$4010,0)),""))</f>
        <v/>
      </c>
      <c r="AB635" s="15" t="str">
        <f>IF(X635="","",IFERROR(INDEX($AR$11:$AR$4010,MATCH(625,$AY$11:$AY$4010,0)),""))</f>
        <v/>
      </c>
      <c r="AD635" s="16" t="str">
        <f>IF(AE635="","",IFERROR(INDEX($AL$11:$AL$4010,MATCH(625,$AZ$11:$AZ$4010,0)),""))</f>
        <v/>
      </c>
      <c r="AE635" s="12" t="str">
        <f>IFERROR(INDEX($AM$11:$AM$4010,MATCH(625,$AZ$11:$AZ$4010,0)),"")</f>
        <v/>
      </c>
      <c r="AF635" s="11" t="str">
        <f>IF(AE635="","",IFERROR(INDEX($AN$11:$AN$4010,MATCH(625,$AZ$11:$AZ$4010,0)),""))</f>
        <v/>
      </c>
      <c r="AG635" s="11" t="str">
        <f>IF(AE635="","",IFERROR(INDEX($AO$11:$AO$4010,MATCH(625,$AZ$11:$AZ$4010,0)),""))</f>
        <v/>
      </c>
      <c r="AH635" s="10" t="str">
        <f>IF(AE635="","",IFERROR(INDEX($AQ$11:$AQ$4010,MATCH(625,$AZ$11:$AZ$4010,0)),""))</f>
        <v/>
      </c>
      <c r="AI635" s="15" t="str">
        <f>IF(AE635="","",IFERROR(INDEX($AR$11:$AR$4010,MATCH(625,$AZ$11:$AZ$4010,0)),""))</f>
        <v/>
      </c>
      <c r="AJ635" s="15" t="str">
        <f>IF(AE635="","",IFERROR(INDEX($AT$11:$AT$4010,MATCH(625,$AZ$11:$AZ$4010,0)),""))</f>
        <v/>
      </c>
      <c r="AL635" s="17"/>
      <c r="AM635" s="12"/>
      <c r="AN635" s="18"/>
      <c r="AO635" s="18"/>
      <c r="AP635" s="10"/>
      <c r="AQ635" s="10"/>
      <c r="AR635" s="19"/>
      <c r="AS635" s="20"/>
      <c r="AT635" s="19"/>
      <c r="AV635" s="21">
        <f>IF(AND($AL635&lt;&gt;"",COUNTIF($AL$11:$AL635,$AL635)=1),1,0)</f>
        <v>0</v>
      </c>
      <c r="AW635" s="21">
        <f t="shared" si="105"/>
        <v>0</v>
      </c>
      <c r="AX635" s="21" t="str">
        <f t="shared" si="104"/>
        <v/>
      </c>
      <c r="AY635" s="21" t="str">
        <f>IF(AND($AM635&lt;&gt;"",$AS635&lt;&gt;"✓"),SUMPRODUCT(($AM$11:$AM635&lt;&gt;"")*($AS$11:$AS635&lt;&gt;"✓")),"")</f>
        <v/>
      </c>
      <c r="AZ635" s="21" t="str">
        <f>IF(AND($AM635&lt;&gt;"",$AS635="✓"),SUMPRODUCT(($AM$11:$AM635&lt;&gt;"")*($AS$11:$AS635="✓")),"")</f>
        <v/>
      </c>
      <c r="BA635" s="21" t="str">
        <f>IF($AL635="","",$AL635&amp;"|"&amp;COUNTIF($AL$11:$AL635,$AL635))</f>
        <v/>
      </c>
    </row>
    <row r="636" spans="23:53" ht="15" customHeight="1" x14ac:dyDescent="0.25">
      <c r="W636" s="28" t="str">
        <f>IF(X636="","",IFERROR(INDEX($AL$11:$AL$4010,MATCH(626,$AY$11:$AY$4010,0)),""))</f>
        <v/>
      </c>
      <c r="X636" s="26" t="str">
        <f>IFERROR(INDEX($AM$11:$AM$4010,MATCH(626,$AY$11:$AY$4010,0)),"")</f>
        <v/>
      </c>
      <c r="Y636" s="25" t="str">
        <f>IF(X636="","",IFERROR(INDEX($AN$11:$AN$4010,MATCH(626,$AY$11:$AY$4010,0)),""))</f>
        <v/>
      </c>
      <c r="Z636" s="25" t="str">
        <f>IF(X636="","",IFERROR(INDEX($AO$11:$AO$4010,MATCH(626,$AY$11:$AY$4010,0)),""))</f>
        <v/>
      </c>
      <c r="AA636" s="24" t="str">
        <f>IF(X636="","",IFERROR(INDEX($AQ$11:$AQ$4010,MATCH(626,$AY$11:$AY$4010,0)),""))</f>
        <v/>
      </c>
      <c r="AB636" s="29" t="str">
        <f>IF(X636="","",IFERROR(INDEX($AR$11:$AR$4010,MATCH(626,$AY$11:$AY$4010,0)),""))</f>
        <v/>
      </c>
      <c r="AD636" s="30" t="str">
        <f>IF(AE636="","",IFERROR(INDEX($AL$11:$AL$4010,MATCH(626,$AZ$11:$AZ$4010,0)),""))</f>
        <v/>
      </c>
      <c r="AE636" s="26" t="str">
        <f>IFERROR(INDEX($AM$11:$AM$4010,MATCH(626,$AZ$11:$AZ$4010,0)),"")</f>
        <v/>
      </c>
      <c r="AF636" s="25" t="str">
        <f>IF(AE636="","",IFERROR(INDEX($AN$11:$AN$4010,MATCH(626,$AZ$11:$AZ$4010,0)),""))</f>
        <v/>
      </c>
      <c r="AG636" s="25" t="str">
        <f>IF(AE636="","",IFERROR(INDEX($AO$11:$AO$4010,MATCH(626,$AZ$11:$AZ$4010,0)),""))</f>
        <v/>
      </c>
      <c r="AH636" s="24" t="str">
        <f>IF(AE636="","",IFERROR(INDEX($AQ$11:$AQ$4010,MATCH(626,$AZ$11:$AZ$4010,0)),""))</f>
        <v/>
      </c>
      <c r="AI636" s="29" t="str">
        <f>IF(AE636="","",IFERROR(INDEX($AR$11:$AR$4010,MATCH(626,$AZ$11:$AZ$4010,0)),""))</f>
        <v/>
      </c>
      <c r="AJ636" s="29" t="str">
        <f>IF(AE636="","",IFERROR(INDEX($AT$11:$AT$4010,MATCH(626,$AZ$11:$AZ$4010,0)),""))</f>
        <v/>
      </c>
      <c r="AL636" s="31"/>
      <c r="AM636" s="26"/>
      <c r="AN636" s="32"/>
      <c r="AO636" s="32"/>
      <c r="AP636" s="24"/>
      <c r="AQ636" s="24"/>
      <c r="AR636" s="33"/>
      <c r="AS636" s="34"/>
      <c r="AT636" s="33"/>
      <c r="AV636" s="21">
        <f>IF(AND($AL636&lt;&gt;"",COUNTIF($AL$11:$AL636,$AL636)=1),1,0)</f>
        <v>0</v>
      </c>
      <c r="AW636" s="21">
        <f t="shared" si="105"/>
        <v>0</v>
      </c>
      <c r="AX636" s="21" t="str">
        <f t="shared" si="104"/>
        <v/>
      </c>
      <c r="AY636" s="21" t="str">
        <f>IF(AND($AM636&lt;&gt;"",$AS636&lt;&gt;"✓"),SUMPRODUCT(($AM$11:$AM636&lt;&gt;"")*($AS$11:$AS636&lt;&gt;"✓")),"")</f>
        <v/>
      </c>
      <c r="AZ636" s="21" t="str">
        <f>IF(AND($AM636&lt;&gt;"",$AS636="✓"),SUMPRODUCT(($AM$11:$AM636&lt;&gt;"")*($AS$11:$AS636="✓")),"")</f>
        <v/>
      </c>
      <c r="BA636" s="21" t="str">
        <f>IF($AL636="","",$AL636&amp;"|"&amp;COUNTIF($AL$11:$AL636,$AL636))</f>
        <v/>
      </c>
    </row>
    <row r="637" spans="23:53" ht="15" customHeight="1" x14ac:dyDescent="0.25">
      <c r="W637" s="14" t="str">
        <f>IF(X637="","",IFERROR(INDEX($AL$11:$AL$4010,MATCH(627,$AY$11:$AY$4010,0)),""))</f>
        <v/>
      </c>
      <c r="X637" s="12" t="str">
        <f>IFERROR(INDEX($AM$11:$AM$4010,MATCH(627,$AY$11:$AY$4010,0)),"")</f>
        <v/>
      </c>
      <c r="Y637" s="11" t="str">
        <f>IF(X637="","",IFERROR(INDEX($AN$11:$AN$4010,MATCH(627,$AY$11:$AY$4010,0)),""))</f>
        <v/>
      </c>
      <c r="Z637" s="11" t="str">
        <f>IF(X637="","",IFERROR(INDEX($AO$11:$AO$4010,MATCH(627,$AY$11:$AY$4010,0)),""))</f>
        <v/>
      </c>
      <c r="AA637" s="10" t="str">
        <f>IF(X637="","",IFERROR(INDEX($AQ$11:$AQ$4010,MATCH(627,$AY$11:$AY$4010,0)),""))</f>
        <v/>
      </c>
      <c r="AB637" s="15" t="str">
        <f>IF(X637="","",IFERROR(INDEX($AR$11:$AR$4010,MATCH(627,$AY$11:$AY$4010,0)),""))</f>
        <v/>
      </c>
      <c r="AD637" s="16" t="str">
        <f>IF(AE637="","",IFERROR(INDEX($AL$11:$AL$4010,MATCH(627,$AZ$11:$AZ$4010,0)),""))</f>
        <v/>
      </c>
      <c r="AE637" s="12" t="str">
        <f>IFERROR(INDEX($AM$11:$AM$4010,MATCH(627,$AZ$11:$AZ$4010,0)),"")</f>
        <v/>
      </c>
      <c r="AF637" s="11" t="str">
        <f>IF(AE637="","",IFERROR(INDEX($AN$11:$AN$4010,MATCH(627,$AZ$11:$AZ$4010,0)),""))</f>
        <v/>
      </c>
      <c r="AG637" s="11" t="str">
        <f>IF(AE637="","",IFERROR(INDEX($AO$11:$AO$4010,MATCH(627,$AZ$11:$AZ$4010,0)),""))</f>
        <v/>
      </c>
      <c r="AH637" s="10" t="str">
        <f>IF(AE637="","",IFERROR(INDEX($AQ$11:$AQ$4010,MATCH(627,$AZ$11:$AZ$4010,0)),""))</f>
        <v/>
      </c>
      <c r="AI637" s="15" t="str">
        <f>IF(AE637="","",IFERROR(INDEX($AR$11:$AR$4010,MATCH(627,$AZ$11:$AZ$4010,0)),""))</f>
        <v/>
      </c>
      <c r="AJ637" s="15" t="str">
        <f>IF(AE637="","",IFERROR(INDEX($AT$11:$AT$4010,MATCH(627,$AZ$11:$AZ$4010,0)),""))</f>
        <v/>
      </c>
      <c r="AL637" s="17"/>
      <c r="AM637" s="12"/>
      <c r="AN637" s="18"/>
      <c r="AO637" s="18"/>
      <c r="AP637" s="10"/>
      <c r="AQ637" s="10"/>
      <c r="AR637" s="19"/>
      <c r="AS637" s="20"/>
      <c r="AT637" s="19"/>
      <c r="AV637" s="21">
        <f>IF(AND($AL637&lt;&gt;"",COUNTIF($AL$11:$AL637,$AL637)=1),1,0)</f>
        <v>0</v>
      </c>
      <c r="AW637" s="21">
        <f t="shared" si="105"/>
        <v>0</v>
      </c>
      <c r="AX637" s="21" t="str">
        <f t="shared" si="104"/>
        <v/>
      </c>
      <c r="AY637" s="21" t="str">
        <f>IF(AND($AM637&lt;&gt;"",$AS637&lt;&gt;"✓"),SUMPRODUCT(($AM$11:$AM637&lt;&gt;"")*($AS$11:$AS637&lt;&gt;"✓")),"")</f>
        <v/>
      </c>
      <c r="AZ637" s="21" t="str">
        <f>IF(AND($AM637&lt;&gt;"",$AS637="✓"),SUMPRODUCT(($AM$11:$AM637&lt;&gt;"")*($AS$11:$AS637="✓")),"")</f>
        <v/>
      </c>
      <c r="BA637" s="21" t="str">
        <f>IF($AL637="","",$AL637&amp;"|"&amp;COUNTIF($AL$11:$AL637,$AL637))</f>
        <v/>
      </c>
    </row>
    <row r="638" spans="23:53" ht="15" customHeight="1" x14ac:dyDescent="0.25">
      <c r="W638" s="28" t="str">
        <f>IF(X638="","",IFERROR(INDEX($AL$11:$AL$4010,MATCH(628,$AY$11:$AY$4010,0)),""))</f>
        <v/>
      </c>
      <c r="X638" s="26" t="str">
        <f>IFERROR(INDEX($AM$11:$AM$4010,MATCH(628,$AY$11:$AY$4010,0)),"")</f>
        <v/>
      </c>
      <c r="Y638" s="25" t="str">
        <f>IF(X638="","",IFERROR(INDEX($AN$11:$AN$4010,MATCH(628,$AY$11:$AY$4010,0)),""))</f>
        <v/>
      </c>
      <c r="Z638" s="25" t="str">
        <f>IF(X638="","",IFERROR(INDEX($AO$11:$AO$4010,MATCH(628,$AY$11:$AY$4010,0)),""))</f>
        <v/>
      </c>
      <c r="AA638" s="24" t="str">
        <f>IF(X638="","",IFERROR(INDEX($AQ$11:$AQ$4010,MATCH(628,$AY$11:$AY$4010,0)),""))</f>
        <v/>
      </c>
      <c r="AB638" s="29" t="str">
        <f>IF(X638="","",IFERROR(INDEX($AR$11:$AR$4010,MATCH(628,$AY$11:$AY$4010,0)),""))</f>
        <v/>
      </c>
      <c r="AD638" s="30" t="str">
        <f>IF(AE638="","",IFERROR(INDEX($AL$11:$AL$4010,MATCH(628,$AZ$11:$AZ$4010,0)),""))</f>
        <v/>
      </c>
      <c r="AE638" s="26" t="str">
        <f>IFERROR(INDEX($AM$11:$AM$4010,MATCH(628,$AZ$11:$AZ$4010,0)),"")</f>
        <v/>
      </c>
      <c r="AF638" s="25" t="str">
        <f>IF(AE638="","",IFERROR(INDEX($AN$11:$AN$4010,MATCH(628,$AZ$11:$AZ$4010,0)),""))</f>
        <v/>
      </c>
      <c r="AG638" s="25" t="str">
        <f>IF(AE638="","",IFERROR(INDEX($AO$11:$AO$4010,MATCH(628,$AZ$11:$AZ$4010,0)),""))</f>
        <v/>
      </c>
      <c r="AH638" s="24" t="str">
        <f>IF(AE638="","",IFERROR(INDEX($AQ$11:$AQ$4010,MATCH(628,$AZ$11:$AZ$4010,0)),""))</f>
        <v/>
      </c>
      <c r="AI638" s="29" t="str">
        <f>IF(AE638="","",IFERROR(INDEX($AR$11:$AR$4010,MATCH(628,$AZ$11:$AZ$4010,0)),""))</f>
        <v/>
      </c>
      <c r="AJ638" s="29" t="str">
        <f>IF(AE638="","",IFERROR(INDEX($AT$11:$AT$4010,MATCH(628,$AZ$11:$AZ$4010,0)),""))</f>
        <v/>
      </c>
      <c r="AL638" s="31"/>
      <c r="AM638" s="26"/>
      <c r="AN638" s="32"/>
      <c r="AO638" s="32"/>
      <c r="AP638" s="24"/>
      <c r="AQ638" s="24"/>
      <c r="AR638" s="33"/>
      <c r="AS638" s="34"/>
      <c r="AT638" s="33"/>
      <c r="AV638" s="21">
        <f>IF(AND($AL638&lt;&gt;"",COUNTIF($AL$11:$AL638,$AL638)=1),1,0)</f>
        <v>0</v>
      </c>
      <c r="AW638" s="21">
        <f t="shared" si="105"/>
        <v>0</v>
      </c>
      <c r="AX638" s="21" t="str">
        <f t="shared" si="104"/>
        <v/>
      </c>
      <c r="AY638" s="21" t="str">
        <f>IF(AND($AM638&lt;&gt;"",$AS638&lt;&gt;"✓"),SUMPRODUCT(($AM$11:$AM638&lt;&gt;"")*($AS$11:$AS638&lt;&gt;"✓")),"")</f>
        <v/>
      </c>
      <c r="AZ638" s="21" t="str">
        <f>IF(AND($AM638&lt;&gt;"",$AS638="✓"),SUMPRODUCT(($AM$11:$AM638&lt;&gt;"")*($AS$11:$AS638="✓")),"")</f>
        <v/>
      </c>
      <c r="BA638" s="21" t="str">
        <f>IF($AL638="","",$AL638&amp;"|"&amp;COUNTIF($AL$11:$AL638,$AL638))</f>
        <v/>
      </c>
    </row>
    <row r="639" spans="23:53" ht="15" customHeight="1" x14ac:dyDescent="0.25">
      <c r="W639" s="14" t="str">
        <f>IF(X639="","",IFERROR(INDEX($AL$11:$AL$4010,MATCH(629,$AY$11:$AY$4010,0)),""))</f>
        <v/>
      </c>
      <c r="X639" s="12" t="str">
        <f>IFERROR(INDEX($AM$11:$AM$4010,MATCH(629,$AY$11:$AY$4010,0)),"")</f>
        <v/>
      </c>
      <c r="Y639" s="11" t="str">
        <f>IF(X639="","",IFERROR(INDEX($AN$11:$AN$4010,MATCH(629,$AY$11:$AY$4010,0)),""))</f>
        <v/>
      </c>
      <c r="Z639" s="11" t="str">
        <f>IF(X639="","",IFERROR(INDEX($AO$11:$AO$4010,MATCH(629,$AY$11:$AY$4010,0)),""))</f>
        <v/>
      </c>
      <c r="AA639" s="10" t="str">
        <f>IF(X639="","",IFERROR(INDEX($AQ$11:$AQ$4010,MATCH(629,$AY$11:$AY$4010,0)),""))</f>
        <v/>
      </c>
      <c r="AB639" s="15" t="str">
        <f>IF(X639="","",IFERROR(INDEX($AR$11:$AR$4010,MATCH(629,$AY$11:$AY$4010,0)),""))</f>
        <v/>
      </c>
      <c r="AD639" s="16" t="str">
        <f>IF(AE639="","",IFERROR(INDEX($AL$11:$AL$4010,MATCH(629,$AZ$11:$AZ$4010,0)),""))</f>
        <v/>
      </c>
      <c r="AE639" s="12" t="str">
        <f>IFERROR(INDEX($AM$11:$AM$4010,MATCH(629,$AZ$11:$AZ$4010,0)),"")</f>
        <v/>
      </c>
      <c r="AF639" s="11" t="str">
        <f>IF(AE639="","",IFERROR(INDEX($AN$11:$AN$4010,MATCH(629,$AZ$11:$AZ$4010,0)),""))</f>
        <v/>
      </c>
      <c r="AG639" s="11" t="str">
        <f>IF(AE639="","",IFERROR(INDEX($AO$11:$AO$4010,MATCH(629,$AZ$11:$AZ$4010,0)),""))</f>
        <v/>
      </c>
      <c r="AH639" s="10" t="str">
        <f>IF(AE639="","",IFERROR(INDEX($AQ$11:$AQ$4010,MATCH(629,$AZ$11:$AZ$4010,0)),""))</f>
        <v/>
      </c>
      <c r="AI639" s="15" t="str">
        <f>IF(AE639="","",IFERROR(INDEX($AR$11:$AR$4010,MATCH(629,$AZ$11:$AZ$4010,0)),""))</f>
        <v/>
      </c>
      <c r="AJ639" s="15" t="str">
        <f>IF(AE639="","",IFERROR(INDEX($AT$11:$AT$4010,MATCH(629,$AZ$11:$AZ$4010,0)),""))</f>
        <v/>
      </c>
      <c r="AL639" s="17"/>
      <c r="AM639" s="12"/>
      <c r="AN639" s="18"/>
      <c r="AO639" s="18"/>
      <c r="AP639" s="10"/>
      <c r="AQ639" s="10"/>
      <c r="AR639" s="19"/>
      <c r="AS639" s="20"/>
      <c r="AT639" s="19"/>
      <c r="AV639" s="21">
        <f>IF(AND($AL639&lt;&gt;"",COUNTIF($AL$11:$AL639,$AL639)=1),1,0)</f>
        <v>0</v>
      </c>
      <c r="AW639" s="21">
        <f t="shared" si="105"/>
        <v>0</v>
      </c>
      <c r="AX639" s="21" t="str">
        <f t="shared" si="104"/>
        <v/>
      </c>
      <c r="AY639" s="21" t="str">
        <f>IF(AND($AM639&lt;&gt;"",$AS639&lt;&gt;"✓"),SUMPRODUCT(($AM$11:$AM639&lt;&gt;"")*($AS$11:$AS639&lt;&gt;"✓")),"")</f>
        <v/>
      </c>
      <c r="AZ639" s="21" t="str">
        <f>IF(AND($AM639&lt;&gt;"",$AS639="✓"),SUMPRODUCT(($AM$11:$AM639&lt;&gt;"")*($AS$11:$AS639="✓")),"")</f>
        <v/>
      </c>
      <c r="BA639" s="21" t="str">
        <f>IF($AL639="","",$AL639&amp;"|"&amp;COUNTIF($AL$11:$AL639,$AL639))</f>
        <v/>
      </c>
    </row>
    <row r="640" spans="23:53" ht="15" customHeight="1" x14ac:dyDescent="0.25">
      <c r="W640" s="28" t="str">
        <f>IF(X640="","",IFERROR(INDEX($AL$11:$AL$4010,MATCH(630,$AY$11:$AY$4010,0)),""))</f>
        <v/>
      </c>
      <c r="X640" s="26" t="str">
        <f>IFERROR(INDEX($AM$11:$AM$4010,MATCH(630,$AY$11:$AY$4010,0)),"")</f>
        <v/>
      </c>
      <c r="Y640" s="25" t="str">
        <f>IF(X640="","",IFERROR(INDEX($AN$11:$AN$4010,MATCH(630,$AY$11:$AY$4010,0)),""))</f>
        <v/>
      </c>
      <c r="Z640" s="25" t="str">
        <f>IF(X640="","",IFERROR(INDEX($AO$11:$AO$4010,MATCH(630,$AY$11:$AY$4010,0)),""))</f>
        <v/>
      </c>
      <c r="AA640" s="24" t="str">
        <f>IF(X640="","",IFERROR(INDEX($AQ$11:$AQ$4010,MATCH(630,$AY$11:$AY$4010,0)),""))</f>
        <v/>
      </c>
      <c r="AB640" s="29" t="str">
        <f>IF(X640="","",IFERROR(INDEX($AR$11:$AR$4010,MATCH(630,$AY$11:$AY$4010,0)),""))</f>
        <v/>
      </c>
      <c r="AD640" s="30" t="str">
        <f>IF(AE640="","",IFERROR(INDEX($AL$11:$AL$4010,MATCH(630,$AZ$11:$AZ$4010,0)),""))</f>
        <v/>
      </c>
      <c r="AE640" s="26" t="str">
        <f>IFERROR(INDEX($AM$11:$AM$4010,MATCH(630,$AZ$11:$AZ$4010,0)),"")</f>
        <v/>
      </c>
      <c r="AF640" s="25" t="str">
        <f>IF(AE640="","",IFERROR(INDEX($AN$11:$AN$4010,MATCH(630,$AZ$11:$AZ$4010,0)),""))</f>
        <v/>
      </c>
      <c r="AG640" s="25" t="str">
        <f>IF(AE640="","",IFERROR(INDEX($AO$11:$AO$4010,MATCH(630,$AZ$11:$AZ$4010,0)),""))</f>
        <v/>
      </c>
      <c r="AH640" s="24" t="str">
        <f>IF(AE640="","",IFERROR(INDEX($AQ$11:$AQ$4010,MATCH(630,$AZ$11:$AZ$4010,0)),""))</f>
        <v/>
      </c>
      <c r="AI640" s="29" t="str">
        <f>IF(AE640="","",IFERROR(INDEX($AR$11:$AR$4010,MATCH(630,$AZ$11:$AZ$4010,0)),""))</f>
        <v/>
      </c>
      <c r="AJ640" s="29" t="str">
        <f>IF(AE640="","",IFERROR(INDEX($AT$11:$AT$4010,MATCH(630,$AZ$11:$AZ$4010,0)),""))</f>
        <v/>
      </c>
      <c r="AL640" s="31"/>
      <c r="AM640" s="26"/>
      <c r="AN640" s="32"/>
      <c r="AO640" s="32"/>
      <c r="AP640" s="24"/>
      <c r="AQ640" s="24"/>
      <c r="AR640" s="33"/>
      <c r="AS640" s="34"/>
      <c r="AT640" s="33"/>
      <c r="AV640" s="21">
        <f>IF(AND($AL640&lt;&gt;"",COUNTIF($AL$11:$AL640,$AL640)=1),1,0)</f>
        <v>0</v>
      </c>
      <c r="AW640" s="21">
        <f t="shared" si="105"/>
        <v>0</v>
      </c>
      <c r="AX640" s="21" t="str">
        <f t="shared" si="104"/>
        <v/>
      </c>
      <c r="AY640" s="21" t="str">
        <f>IF(AND($AM640&lt;&gt;"",$AS640&lt;&gt;"✓"),SUMPRODUCT(($AM$11:$AM640&lt;&gt;"")*($AS$11:$AS640&lt;&gt;"✓")),"")</f>
        <v/>
      </c>
      <c r="AZ640" s="21" t="str">
        <f>IF(AND($AM640&lt;&gt;"",$AS640="✓"),SUMPRODUCT(($AM$11:$AM640&lt;&gt;"")*($AS$11:$AS640="✓")),"")</f>
        <v/>
      </c>
      <c r="BA640" s="21" t="str">
        <f>IF($AL640="","",$AL640&amp;"|"&amp;COUNTIF($AL$11:$AL640,$AL640))</f>
        <v/>
      </c>
    </row>
    <row r="641" spans="23:53" ht="15" customHeight="1" x14ac:dyDescent="0.25">
      <c r="W641" s="14" t="str">
        <f>IF(X641="","",IFERROR(INDEX($AL$11:$AL$4010,MATCH(631,$AY$11:$AY$4010,0)),""))</f>
        <v/>
      </c>
      <c r="X641" s="12" t="str">
        <f>IFERROR(INDEX($AM$11:$AM$4010,MATCH(631,$AY$11:$AY$4010,0)),"")</f>
        <v/>
      </c>
      <c r="Y641" s="11" t="str">
        <f>IF(X641="","",IFERROR(INDEX($AN$11:$AN$4010,MATCH(631,$AY$11:$AY$4010,0)),""))</f>
        <v/>
      </c>
      <c r="Z641" s="11" t="str">
        <f>IF(X641="","",IFERROR(INDEX($AO$11:$AO$4010,MATCH(631,$AY$11:$AY$4010,0)),""))</f>
        <v/>
      </c>
      <c r="AA641" s="10" t="str">
        <f>IF(X641="","",IFERROR(INDEX($AQ$11:$AQ$4010,MATCH(631,$AY$11:$AY$4010,0)),""))</f>
        <v/>
      </c>
      <c r="AB641" s="15" t="str">
        <f>IF(X641="","",IFERROR(INDEX($AR$11:$AR$4010,MATCH(631,$AY$11:$AY$4010,0)),""))</f>
        <v/>
      </c>
      <c r="AD641" s="16" t="str">
        <f>IF(AE641="","",IFERROR(INDEX($AL$11:$AL$4010,MATCH(631,$AZ$11:$AZ$4010,0)),""))</f>
        <v/>
      </c>
      <c r="AE641" s="12" t="str">
        <f>IFERROR(INDEX($AM$11:$AM$4010,MATCH(631,$AZ$11:$AZ$4010,0)),"")</f>
        <v/>
      </c>
      <c r="AF641" s="11" t="str">
        <f>IF(AE641="","",IFERROR(INDEX($AN$11:$AN$4010,MATCH(631,$AZ$11:$AZ$4010,0)),""))</f>
        <v/>
      </c>
      <c r="AG641" s="11" t="str">
        <f>IF(AE641="","",IFERROR(INDEX($AO$11:$AO$4010,MATCH(631,$AZ$11:$AZ$4010,0)),""))</f>
        <v/>
      </c>
      <c r="AH641" s="10" t="str">
        <f>IF(AE641="","",IFERROR(INDEX($AQ$11:$AQ$4010,MATCH(631,$AZ$11:$AZ$4010,0)),""))</f>
        <v/>
      </c>
      <c r="AI641" s="15" t="str">
        <f>IF(AE641="","",IFERROR(INDEX($AR$11:$AR$4010,MATCH(631,$AZ$11:$AZ$4010,0)),""))</f>
        <v/>
      </c>
      <c r="AJ641" s="15" t="str">
        <f>IF(AE641="","",IFERROR(INDEX($AT$11:$AT$4010,MATCH(631,$AZ$11:$AZ$4010,0)),""))</f>
        <v/>
      </c>
      <c r="AL641" s="17"/>
      <c r="AM641" s="12"/>
      <c r="AN641" s="18"/>
      <c r="AO641" s="18"/>
      <c r="AP641" s="10"/>
      <c r="AQ641" s="10"/>
      <c r="AR641" s="19"/>
      <c r="AS641" s="20"/>
      <c r="AT641" s="19"/>
      <c r="AV641" s="21">
        <f>IF(AND($AL641&lt;&gt;"",COUNTIF($AL$11:$AL641,$AL641)=1),1,0)</f>
        <v>0</v>
      </c>
      <c r="AW641" s="21">
        <f t="shared" si="105"/>
        <v>0</v>
      </c>
      <c r="AX641" s="21" t="str">
        <f t="shared" si="104"/>
        <v/>
      </c>
      <c r="AY641" s="21" t="str">
        <f>IF(AND($AM641&lt;&gt;"",$AS641&lt;&gt;"✓"),SUMPRODUCT(($AM$11:$AM641&lt;&gt;"")*($AS$11:$AS641&lt;&gt;"✓")),"")</f>
        <v/>
      </c>
      <c r="AZ641" s="21" t="str">
        <f>IF(AND($AM641&lt;&gt;"",$AS641="✓"),SUMPRODUCT(($AM$11:$AM641&lt;&gt;"")*($AS$11:$AS641="✓")),"")</f>
        <v/>
      </c>
      <c r="BA641" s="21" t="str">
        <f>IF($AL641="","",$AL641&amp;"|"&amp;COUNTIF($AL$11:$AL641,$AL641))</f>
        <v/>
      </c>
    </row>
    <row r="642" spans="23:53" ht="15" customHeight="1" x14ac:dyDescent="0.25">
      <c r="W642" s="28" t="str">
        <f>IF(X642="","",IFERROR(INDEX($AL$11:$AL$4010,MATCH(632,$AY$11:$AY$4010,0)),""))</f>
        <v/>
      </c>
      <c r="X642" s="26" t="str">
        <f>IFERROR(INDEX($AM$11:$AM$4010,MATCH(632,$AY$11:$AY$4010,0)),"")</f>
        <v/>
      </c>
      <c r="Y642" s="25" t="str">
        <f>IF(X642="","",IFERROR(INDEX($AN$11:$AN$4010,MATCH(632,$AY$11:$AY$4010,0)),""))</f>
        <v/>
      </c>
      <c r="Z642" s="25" t="str">
        <f>IF(X642="","",IFERROR(INDEX($AO$11:$AO$4010,MATCH(632,$AY$11:$AY$4010,0)),""))</f>
        <v/>
      </c>
      <c r="AA642" s="24" t="str">
        <f>IF(X642="","",IFERROR(INDEX($AQ$11:$AQ$4010,MATCH(632,$AY$11:$AY$4010,0)),""))</f>
        <v/>
      </c>
      <c r="AB642" s="29" t="str">
        <f>IF(X642="","",IFERROR(INDEX($AR$11:$AR$4010,MATCH(632,$AY$11:$AY$4010,0)),""))</f>
        <v/>
      </c>
      <c r="AD642" s="30" t="str">
        <f>IF(AE642="","",IFERROR(INDEX($AL$11:$AL$4010,MATCH(632,$AZ$11:$AZ$4010,0)),""))</f>
        <v/>
      </c>
      <c r="AE642" s="26" t="str">
        <f>IFERROR(INDEX($AM$11:$AM$4010,MATCH(632,$AZ$11:$AZ$4010,0)),"")</f>
        <v/>
      </c>
      <c r="AF642" s="25" t="str">
        <f>IF(AE642="","",IFERROR(INDEX($AN$11:$AN$4010,MATCH(632,$AZ$11:$AZ$4010,0)),""))</f>
        <v/>
      </c>
      <c r="AG642" s="25" t="str">
        <f>IF(AE642="","",IFERROR(INDEX($AO$11:$AO$4010,MATCH(632,$AZ$11:$AZ$4010,0)),""))</f>
        <v/>
      </c>
      <c r="AH642" s="24" t="str">
        <f>IF(AE642="","",IFERROR(INDEX($AQ$11:$AQ$4010,MATCH(632,$AZ$11:$AZ$4010,0)),""))</f>
        <v/>
      </c>
      <c r="AI642" s="29" t="str">
        <f>IF(AE642="","",IFERROR(INDEX($AR$11:$AR$4010,MATCH(632,$AZ$11:$AZ$4010,0)),""))</f>
        <v/>
      </c>
      <c r="AJ642" s="29" t="str">
        <f>IF(AE642="","",IFERROR(INDEX($AT$11:$AT$4010,MATCH(632,$AZ$11:$AZ$4010,0)),""))</f>
        <v/>
      </c>
      <c r="AL642" s="31"/>
      <c r="AM642" s="26"/>
      <c r="AN642" s="32"/>
      <c r="AO642" s="32"/>
      <c r="AP642" s="24"/>
      <c r="AQ642" s="24"/>
      <c r="AR642" s="33"/>
      <c r="AS642" s="34"/>
      <c r="AT642" s="33"/>
      <c r="AV642" s="21">
        <f>IF(AND($AL642&lt;&gt;"",COUNTIF($AL$11:$AL642,$AL642)=1),1,0)</f>
        <v>0</v>
      </c>
      <c r="AW642" s="21">
        <f t="shared" si="105"/>
        <v>0</v>
      </c>
      <c r="AX642" s="21" t="str">
        <f t="shared" si="104"/>
        <v/>
      </c>
      <c r="AY642" s="21" t="str">
        <f>IF(AND($AM642&lt;&gt;"",$AS642&lt;&gt;"✓"),SUMPRODUCT(($AM$11:$AM642&lt;&gt;"")*($AS$11:$AS642&lt;&gt;"✓")),"")</f>
        <v/>
      </c>
      <c r="AZ642" s="21" t="str">
        <f>IF(AND($AM642&lt;&gt;"",$AS642="✓"),SUMPRODUCT(($AM$11:$AM642&lt;&gt;"")*($AS$11:$AS642="✓")),"")</f>
        <v/>
      </c>
      <c r="BA642" s="21" t="str">
        <f>IF($AL642="","",$AL642&amp;"|"&amp;COUNTIF($AL$11:$AL642,$AL642))</f>
        <v/>
      </c>
    </row>
    <row r="643" spans="23:53" ht="15" customHeight="1" x14ac:dyDescent="0.25">
      <c r="W643" s="14" t="str">
        <f>IF(X643="","",IFERROR(INDEX($AL$11:$AL$4010,MATCH(633,$AY$11:$AY$4010,0)),""))</f>
        <v/>
      </c>
      <c r="X643" s="12" t="str">
        <f>IFERROR(INDEX($AM$11:$AM$4010,MATCH(633,$AY$11:$AY$4010,0)),"")</f>
        <v/>
      </c>
      <c r="Y643" s="11" t="str">
        <f>IF(X643="","",IFERROR(INDEX($AN$11:$AN$4010,MATCH(633,$AY$11:$AY$4010,0)),""))</f>
        <v/>
      </c>
      <c r="Z643" s="11" t="str">
        <f>IF(X643="","",IFERROR(INDEX($AO$11:$AO$4010,MATCH(633,$AY$11:$AY$4010,0)),""))</f>
        <v/>
      </c>
      <c r="AA643" s="10" t="str">
        <f>IF(X643="","",IFERROR(INDEX($AQ$11:$AQ$4010,MATCH(633,$AY$11:$AY$4010,0)),""))</f>
        <v/>
      </c>
      <c r="AB643" s="15" t="str">
        <f>IF(X643="","",IFERROR(INDEX($AR$11:$AR$4010,MATCH(633,$AY$11:$AY$4010,0)),""))</f>
        <v/>
      </c>
      <c r="AD643" s="16" t="str">
        <f>IF(AE643="","",IFERROR(INDEX($AL$11:$AL$4010,MATCH(633,$AZ$11:$AZ$4010,0)),""))</f>
        <v/>
      </c>
      <c r="AE643" s="12" t="str">
        <f>IFERROR(INDEX($AM$11:$AM$4010,MATCH(633,$AZ$11:$AZ$4010,0)),"")</f>
        <v/>
      </c>
      <c r="AF643" s="11" t="str">
        <f>IF(AE643="","",IFERROR(INDEX($AN$11:$AN$4010,MATCH(633,$AZ$11:$AZ$4010,0)),""))</f>
        <v/>
      </c>
      <c r="AG643" s="11" t="str">
        <f>IF(AE643="","",IFERROR(INDEX($AO$11:$AO$4010,MATCH(633,$AZ$11:$AZ$4010,0)),""))</f>
        <v/>
      </c>
      <c r="AH643" s="10" t="str">
        <f>IF(AE643="","",IFERROR(INDEX($AQ$11:$AQ$4010,MATCH(633,$AZ$11:$AZ$4010,0)),""))</f>
        <v/>
      </c>
      <c r="AI643" s="15" t="str">
        <f>IF(AE643="","",IFERROR(INDEX($AR$11:$AR$4010,MATCH(633,$AZ$11:$AZ$4010,0)),""))</f>
        <v/>
      </c>
      <c r="AJ643" s="15" t="str">
        <f>IF(AE643="","",IFERROR(INDEX($AT$11:$AT$4010,MATCH(633,$AZ$11:$AZ$4010,0)),""))</f>
        <v/>
      </c>
      <c r="AL643" s="17"/>
      <c r="AM643" s="12"/>
      <c r="AN643" s="18"/>
      <c r="AO643" s="18"/>
      <c r="AP643" s="10"/>
      <c r="AQ643" s="10"/>
      <c r="AR643" s="19"/>
      <c r="AS643" s="20"/>
      <c r="AT643" s="19"/>
      <c r="AV643" s="21">
        <f>IF(AND($AL643&lt;&gt;"",COUNTIF($AL$11:$AL643,$AL643)=1),1,0)</f>
        <v>0</v>
      </c>
      <c r="AW643" s="21">
        <f t="shared" si="105"/>
        <v>0</v>
      </c>
      <c r="AX643" s="21" t="str">
        <f t="shared" si="104"/>
        <v/>
      </c>
      <c r="AY643" s="21" t="str">
        <f>IF(AND($AM643&lt;&gt;"",$AS643&lt;&gt;"✓"),SUMPRODUCT(($AM$11:$AM643&lt;&gt;"")*($AS$11:$AS643&lt;&gt;"✓")),"")</f>
        <v/>
      </c>
      <c r="AZ643" s="21" t="str">
        <f>IF(AND($AM643&lt;&gt;"",$AS643="✓"),SUMPRODUCT(($AM$11:$AM643&lt;&gt;"")*($AS$11:$AS643="✓")),"")</f>
        <v/>
      </c>
      <c r="BA643" s="21" t="str">
        <f>IF($AL643="","",$AL643&amp;"|"&amp;COUNTIF($AL$11:$AL643,$AL643))</f>
        <v/>
      </c>
    </row>
    <row r="644" spans="23:53" ht="15" customHeight="1" x14ac:dyDescent="0.25">
      <c r="W644" s="28" t="str">
        <f>IF(X644="","",IFERROR(INDEX($AL$11:$AL$4010,MATCH(634,$AY$11:$AY$4010,0)),""))</f>
        <v/>
      </c>
      <c r="X644" s="26" t="str">
        <f>IFERROR(INDEX($AM$11:$AM$4010,MATCH(634,$AY$11:$AY$4010,0)),"")</f>
        <v/>
      </c>
      <c r="Y644" s="25" t="str">
        <f>IF(X644="","",IFERROR(INDEX($AN$11:$AN$4010,MATCH(634,$AY$11:$AY$4010,0)),""))</f>
        <v/>
      </c>
      <c r="Z644" s="25" t="str">
        <f>IF(X644="","",IFERROR(INDEX($AO$11:$AO$4010,MATCH(634,$AY$11:$AY$4010,0)),""))</f>
        <v/>
      </c>
      <c r="AA644" s="24" t="str">
        <f>IF(X644="","",IFERROR(INDEX($AQ$11:$AQ$4010,MATCH(634,$AY$11:$AY$4010,0)),""))</f>
        <v/>
      </c>
      <c r="AB644" s="29" t="str">
        <f>IF(X644="","",IFERROR(INDEX($AR$11:$AR$4010,MATCH(634,$AY$11:$AY$4010,0)),""))</f>
        <v/>
      </c>
      <c r="AD644" s="30" t="str">
        <f>IF(AE644="","",IFERROR(INDEX($AL$11:$AL$4010,MATCH(634,$AZ$11:$AZ$4010,0)),""))</f>
        <v/>
      </c>
      <c r="AE644" s="26" t="str">
        <f>IFERROR(INDEX($AM$11:$AM$4010,MATCH(634,$AZ$11:$AZ$4010,0)),"")</f>
        <v/>
      </c>
      <c r="AF644" s="25" t="str">
        <f>IF(AE644="","",IFERROR(INDEX($AN$11:$AN$4010,MATCH(634,$AZ$11:$AZ$4010,0)),""))</f>
        <v/>
      </c>
      <c r="AG644" s="25" t="str">
        <f>IF(AE644="","",IFERROR(INDEX($AO$11:$AO$4010,MATCH(634,$AZ$11:$AZ$4010,0)),""))</f>
        <v/>
      </c>
      <c r="AH644" s="24" t="str">
        <f>IF(AE644="","",IFERROR(INDEX($AQ$11:$AQ$4010,MATCH(634,$AZ$11:$AZ$4010,0)),""))</f>
        <v/>
      </c>
      <c r="AI644" s="29" t="str">
        <f>IF(AE644="","",IFERROR(INDEX($AR$11:$AR$4010,MATCH(634,$AZ$11:$AZ$4010,0)),""))</f>
        <v/>
      </c>
      <c r="AJ644" s="29" t="str">
        <f>IF(AE644="","",IFERROR(INDEX($AT$11:$AT$4010,MATCH(634,$AZ$11:$AZ$4010,0)),""))</f>
        <v/>
      </c>
      <c r="AL644" s="31"/>
      <c r="AM644" s="26"/>
      <c r="AN644" s="32"/>
      <c r="AO644" s="32"/>
      <c r="AP644" s="24"/>
      <c r="AQ644" s="24"/>
      <c r="AR644" s="33"/>
      <c r="AS644" s="34"/>
      <c r="AT644" s="33"/>
      <c r="AV644" s="21">
        <f>IF(AND($AL644&lt;&gt;"",COUNTIF($AL$11:$AL644,$AL644)=1),1,0)</f>
        <v>0</v>
      </c>
      <c r="AW644" s="21">
        <f t="shared" si="105"/>
        <v>0</v>
      </c>
      <c r="AX644" s="21" t="str">
        <f t="shared" si="104"/>
        <v/>
      </c>
      <c r="AY644" s="21" t="str">
        <f>IF(AND($AM644&lt;&gt;"",$AS644&lt;&gt;"✓"),SUMPRODUCT(($AM$11:$AM644&lt;&gt;"")*($AS$11:$AS644&lt;&gt;"✓")),"")</f>
        <v/>
      </c>
      <c r="AZ644" s="21" t="str">
        <f>IF(AND($AM644&lt;&gt;"",$AS644="✓"),SUMPRODUCT(($AM$11:$AM644&lt;&gt;"")*($AS$11:$AS644="✓")),"")</f>
        <v/>
      </c>
      <c r="BA644" s="21" t="str">
        <f>IF($AL644="","",$AL644&amp;"|"&amp;COUNTIF($AL$11:$AL644,$AL644))</f>
        <v/>
      </c>
    </row>
    <row r="645" spans="23:53" ht="15" customHeight="1" x14ac:dyDescent="0.25">
      <c r="W645" s="14" t="str">
        <f>IF(X645="","",IFERROR(INDEX($AL$11:$AL$4010,MATCH(635,$AY$11:$AY$4010,0)),""))</f>
        <v/>
      </c>
      <c r="X645" s="12" t="str">
        <f>IFERROR(INDEX($AM$11:$AM$4010,MATCH(635,$AY$11:$AY$4010,0)),"")</f>
        <v/>
      </c>
      <c r="Y645" s="11" t="str">
        <f>IF(X645="","",IFERROR(INDEX($AN$11:$AN$4010,MATCH(635,$AY$11:$AY$4010,0)),""))</f>
        <v/>
      </c>
      <c r="Z645" s="11" t="str">
        <f>IF(X645="","",IFERROR(INDEX($AO$11:$AO$4010,MATCH(635,$AY$11:$AY$4010,0)),""))</f>
        <v/>
      </c>
      <c r="AA645" s="10" t="str">
        <f>IF(X645="","",IFERROR(INDEX($AQ$11:$AQ$4010,MATCH(635,$AY$11:$AY$4010,0)),""))</f>
        <v/>
      </c>
      <c r="AB645" s="15" t="str">
        <f>IF(X645="","",IFERROR(INDEX($AR$11:$AR$4010,MATCH(635,$AY$11:$AY$4010,0)),""))</f>
        <v/>
      </c>
      <c r="AD645" s="16" t="str">
        <f>IF(AE645="","",IFERROR(INDEX($AL$11:$AL$4010,MATCH(635,$AZ$11:$AZ$4010,0)),""))</f>
        <v/>
      </c>
      <c r="AE645" s="12" t="str">
        <f>IFERROR(INDEX($AM$11:$AM$4010,MATCH(635,$AZ$11:$AZ$4010,0)),"")</f>
        <v/>
      </c>
      <c r="AF645" s="11" t="str">
        <f>IF(AE645="","",IFERROR(INDEX($AN$11:$AN$4010,MATCH(635,$AZ$11:$AZ$4010,0)),""))</f>
        <v/>
      </c>
      <c r="AG645" s="11" t="str">
        <f>IF(AE645="","",IFERROR(INDEX($AO$11:$AO$4010,MATCH(635,$AZ$11:$AZ$4010,0)),""))</f>
        <v/>
      </c>
      <c r="AH645" s="10" t="str">
        <f>IF(AE645="","",IFERROR(INDEX($AQ$11:$AQ$4010,MATCH(635,$AZ$11:$AZ$4010,0)),""))</f>
        <v/>
      </c>
      <c r="AI645" s="15" t="str">
        <f>IF(AE645="","",IFERROR(INDEX($AR$11:$AR$4010,MATCH(635,$AZ$11:$AZ$4010,0)),""))</f>
        <v/>
      </c>
      <c r="AJ645" s="15" t="str">
        <f>IF(AE645="","",IFERROR(INDEX($AT$11:$AT$4010,MATCH(635,$AZ$11:$AZ$4010,0)),""))</f>
        <v/>
      </c>
      <c r="AL645" s="17"/>
      <c r="AM645" s="12"/>
      <c r="AN645" s="18"/>
      <c r="AO645" s="18"/>
      <c r="AP645" s="10"/>
      <c r="AQ645" s="10"/>
      <c r="AR645" s="19"/>
      <c r="AS645" s="20"/>
      <c r="AT645" s="19"/>
      <c r="AV645" s="21">
        <f>IF(AND($AL645&lt;&gt;"",COUNTIF($AL$11:$AL645,$AL645)=1),1,0)</f>
        <v>0</v>
      </c>
      <c r="AW645" s="21">
        <f t="shared" si="105"/>
        <v>0</v>
      </c>
      <c r="AX645" s="21" t="str">
        <f t="shared" si="104"/>
        <v/>
      </c>
      <c r="AY645" s="21" t="str">
        <f>IF(AND($AM645&lt;&gt;"",$AS645&lt;&gt;"✓"),SUMPRODUCT(($AM$11:$AM645&lt;&gt;"")*($AS$11:$AS645&lt;&gt;"✓")),"")</f>
        <v/>
      </c>
      <c r="AZ645" s="21" t="str">
        <f>IF(AND($AM645&lt;&gt;"",$AS645="✓"),SUMPRODUCT(($AM$11:$AM645&lt;&gt;"")*($AS$11:$AS645="✓")),"")</f>
        <v/>
      </c>
      <c r="BA645" s="21" t="str">
        <f>IF($AL645="","",$AL645&amp;"|"&amp;COUNTIF($AL$11:$AL645,$AL645))</f>
        <v/>
      </c>
    </row>
    <row r="646" spans="23:53" ht="15" customHeight="1" x14ac:dyDescent="0.25">
      <c r="W646" s="28" t="str">
        <f>IF(X646="","",IFERROR(INDEX($AL$11:$AL$4010,MATCH(636,$AY$11:$AY$4010,0)),""))</f>
        <v/>
      </c>
      <c r="X646" s="26" t="str">
        <f>IFERROR(INDEX($AM$11:$AM$4010,MATCH(636,$AY$11:$AY$4010,0)),"")</f>
        <v/>
      </c>
      <c r="Y646" s="25" t="str">
        <f>IF(X646="","",IFERROR(INDEX($AN$11:$AN$4010,MATCH(636,$AY$11:$AY$4010,0)),""))</f>
        <v/>
      </c>
      <c r="Z646" s="25" t="str">
        <f>IF(X646="","",IFERROR(INDEX($AO$11:$AO$4010,MATCH(636,$AY$11:$AY$4010,0)),""))</f>
        <v/>
      </c>
      <c r="AA646" s="24" t="str">
        <f>IF(X646="","",IFERROR(INDEX($AQ$11:$AQ$4010,MATCH(636,$AY$11:$AY$4010,0)),""))</f>
        <v/>
      </c>
      <c r="AB646" s="29" t="str">
        <f>IF(X646="","",IFERROR(INDEX($AR$11:$AR$4010,MATCH(636,$AY$11:$AY$4010,0)),""))</f>
        <v/>
      </c>
      <c r="AD646" s="30" t="str">
        <f>IF(AE646="","",IFERROR(INDEX($AL$11:$AL$4010,MATCH(636,$AZ$11:$AZ$4010,0)),""))</f>
        <v/>
      </c>
      <c r="AE646" s="26" t="str">
        <f>IFERROR(INDEX($AM$11:$AM$4010,MATCH(636,$AZ$11:$AZ$4010,0)),"")</f>
        <v/>
      </c>
      <c r="AF646" s="25" t="str">
        <f>IF(AE646="","",IFERROR(INDEX($AN$11:$AN$4010,MATCH(636,$AZ$11:$AZ$4010,0)),""))</f>
        <v/>
      </c>
      <c r="AG646" s="25" t="str">
        <f>IF(AE646="","",IFERROR(INDEX($AO$11:$AO$4010,MATCH(636,$AZ$11:$AZ$4010,0)),""))</f>
        <v/>
      </c>
      <c r="AH646" s="24" t="str">
        <f>IF(AE646="","",IFERROR(INDEX($AQ$11:$AQ$4010,MATCH(636,$AZ$11:$AZ$4010,0)),""))</f>
        <v/>
      </c>
      <c r="AI646" s="29" t="str">
        <f>IF(AE646="","",IFERROR(INDEX($AR$11:$AR$4010,MATCH(636,$AZ$11:$AZ$4010,0)),""))</f>
        <v/>
      </c>
      <c r="AJ646" s="29" t="str">
        <f>IF(AE646="","",IFERROR(INDEX($AT$11:$AT$4010,MATCH(636,$AZ$11:$AZ$4010,0)),""))</f>
        <v/>
      </c>
      <c r="AL646" s="31"/>
      <c r="AM646" s="26"/>
      <c r="AN646" s="32"/>
      <c r="AO646" s="32"/>
      <c r="AP646" s="24"/>
      <c r="AQ646" s="24"/>
      <c r="AR646" s="33"/>
      <c r="AS646" s="34"/>
      <c r="AT646" s="33"/>
      <c r="AV646" s="21">
        <f>IF(AND($AL646&lt;&gt;"",COUNTIF($AL$11:$AL646,$AL646)=1),1,0)</f>
        <v>0</v>
      </c>
      <c r="AW646" s="21">
        <f t="shared" si="105"/>
        <v>0</v>
      </c>
      <c r="AX646" s="21" t="str">
        <f t="shared" si="104"/>
        <v/>
      </c>
      <c r="AY646" s="21" t="str">
        <f>IF(AND($AM646&lt;&gt;"",$AS646&lt;&gt;"✓"),SUMPRODUCT(($AM$11:$AM646&lt;&gt;"")*($AS$11:$AS646&lt;&gt;"✓")),"")</f>
        <v/>
      </c>
      <c r="AZ646" s="21" t="str">
        <f>IF(AND($AM646&lt;&gt;"",$AS646="✓"),SUMPRODUCT(($AM$11:$AM646&lt;&gt;"")*($AS$11:$AS646="✓")),"")</f>
        <v/>
      </c>
      <c r="BA646" s="21" t="str">
        <f>IF($AL646="","",$AL646&amp;"|"&amp;COUNTIF($AL$11:$AL646,$AL646))</f>
        <v/>
      </c>
    </row>
    <row r="647" spans="23:53" ht="15" customHeight="1" x14ac:dyDescent="0.25">
      <c r="W647" s="14" t="str">
        <f>IF(X647="","",IFERROR(INDEX($AL$11:$AL$4010,MATCH(637,$AY$11:$AY$4010,0)),""))</f>
        <v/>
      </c>
      <c r="X647" s="12" t="str">
        <f>IFERROR(INDEX($AM$11:$AM$4010,MATCH(637,$AY$11:$AY$4010,0)),"")</f>
        <v/>
      </c>
      <c r="Y647" s="11" t="str">
        <f>IF(X647="","",IFERROR(INDEX($AN$11:$AN$4010,MATCH(637,$AY$11:$AY$4010,0)),""))</f>
        <v/>
      </c>
      <c r="Z647" s="11" t="str">
        <f>IF(X647="","",IFERROR(INDEX($AO$11:$AO$4010,MATCH(637,$AY$11:$AY$4010,0)),""))</f>
        <v/>
      </c>
      <c r="AA647" s="10" t="str">
        <f>IF(X647="","",IFERROR(INDEX($AQ$11:$AQ$4010,MATCH(637,$AY$11:$AY$4010,0)),""))</f>
        <v/>
      </c>
      <c r="AB647" s="15" t="str">
        <f>IF(X647="","",IFERROR(INDEX($AR$11:$AR$4010,MATCH(637,$AY$11:$AY$4010,0)),""))</f>
        <v/>
      </c>
      <c r="AD647" s="16" t="str">
        <f>IF(AE647="","",IFERROR(INDEX($AL$11:$AL$4010,MATCH(637,$AZ$11:$AZ$4010,0)),""))</f>
        <v/>
      </c>
      <c r="AE647" s="12" t="str">
        <f>IFERROR(INDEX($AM$11:$AM$4010,MATCH(637,$AZ$11:$AZ$4010,0)),"")</f>
        <v/>
      </c>
      <c r="AF647" s="11" t="str">
        <f>IF(AE647="","",IFERROR(INDEX($AN$11:$AN$4010,MATCH(637,$AZ$11:$AZ$4010,0)),""))</f>
        <v/>
      </c>
      <c r="AG647" s="11" t="str">
        <f>IF(AE647="","",IFERROR(INDEX($AO$11:$AO$4010,MATCH(637,$AZ$11:$AZ$4010,0)),""))</f>
        <v/>
      </c>
      <c r="AH647" s="10" t="str">
        <f>IF(AE647="","",IFERROR(INDEX($AQ$11:$AQ$4010,MATCH(637,$AZ$11:$AZ$4010,0)),""))</f>
        <v/>
      </c>
      <c r="AI647" s="15" t="str">
        <f>IF(AE647="","",IFERROR(INDEX($AR$11:$AR$4010,MATCH(637,$AZ$11:$AZ$4010,0)),""))</f>
        <v/>
      </c>
      <c r="AJ647" s="15" t="str">
        <f>IF(AE647="","",IFERROR(INDEX($AT$11:$AT$4010,MATCH(637,$AZ$11:$AZ$4010,0)),""))</f>
        <v/>
      </c>
      <c r="AL647" s="17"/>
      <c r="AM647" s="12"/>
      <c r="AN647" s="18"/>
      <c r="AO647" s="18"/>
      <c r="AP647" s="10"/>
      <c r="AQ647" s="10"/>
      <c r="AR647" s="19"/>
      <c r="AS647" s="20"/>
      <c r="AT647" s="19"/>
      <c r="AV647" s="21">
        <f>IF(AND($AL647&lt;&gt;"",COUNTIF($AL$11:$AL647,$AL647)=1),1,0)</f>
        <v>0</v>
      </c>
      <c r="AW647" s="21">
        <f t="shared" si="105"/>
        <v>0</v>
      </c>
      <c r="AX647" s="21" t="str">
        <f t="shared" si="104"/>
        <v/>
      </c>
      <c r="AY647" s="21" t="str">
        <f>IF(AND($AM647&lt;&gt;"",$AS647&lt;&gt;"✓"),SUMPRODUCT(($AM$11:$AM647&lt;&gt;"")*($AS$11:$AS647&lt;&gt;"✓")),"")</f>
        <v/>
      </c>
      <c r="AZ647" s="21" t="str">
        <f>IF(AND($AM647&lt;&gt;"",$AS647="✓"),SUMPRODUCT(($AM$11:$AM647&lt;&gt;"")*($AS$11:$AS647="✓")),"")</f>
        <v/>
      </c>
      <c r="BA647" s="21" t="str">
        <f>IF($AL647="","",$AL647&amp;"|"&amp;COUNTIF($AL$11:$AL647,$AL647))</f>
        <v/>
      </c>
    </row>
    <row r="648" spans="23:53" ht="15" customHeight="1" x14ac:dyDescent="0.25">
      <c r="W648" s="28" t="str">
        <f>IF(X648="","",IFERROR(INDEX($AL$11:$AL$4010,MATCH(638,$AY$11:$AY$4010,0)),""))</f>
        <v/>
      </c>
      <c r="X648" s="26" t="str">
        <f>IFERROR(INDEX($AM$11:$AM$4010,MATCH(638,$AY$11:$AY$4010,0)),"")</f>
        <v/>
      </c>
      <c r="Y648" s="25" t="str">
        <f>IF(X648="","",IFERROR(INDEX($AN$11:$AN$4010,MATCH(638,$AY$11:$AY$4010,0)),""))</f>
        <v/>
      </c>
      <c r="Z648" s="25" t="str">
        <f>IF(X648="","",IFERROR(INDEX($AO$11:$AO$4010,MATCH(638,$AY$11:$AY$4010,0)),""))</f>
        <v/>
      </c>
      <c r="AA648" s="24" t="str">
        <f>IF(X648="","",IFERROR(INDEX($AQ$11:$AQ$4010,MATCH(638,$AY$11:$AY$4010,0)),""))</f>
        <v/>
      </c>
      <c r="AB648" s="29" t="str">
        <f>IF(X648="","",IFERROR(INDEX($AR$11:$AR$4010,MATCH(638,$AY$11:$AY$4010,0)),""))</f>
        <v/>
      </c>
      <c r="AD648" s="30" t="str">
        <f>IF(AE648="","",IFERROR(INDEX($AL$11:$AL$4010,MATCH(638,$AZ$11:$AZ$4010,0)),""))</f>
        <v/>
      </c>
      <c r="AE648" s="26" t="str">
        <f>IFERROR(INDEX($AM$11:$AM$4010,MATCH(638,$AZ$11:$AZ$4010,0)),"")</f>
        <v/>
      </c>
      <c r="AF648" s="25" t="str">
        <f>IF(AE648="","",IFERROR(INDEX($AN$11:$AN$4010,MATCH(638,$AZ$11:$AZ$4010,0)),""))</f>
        <v/>
      </c>
      <c r="AG648" s="25" t="str">
        <f>IF(AE648="","",IFERROR(INDEX($AO$11:$AO$4010,MATCH(638,$AZ$11:$AZ$4010,0)),""))</f>
        <v/>
      </c>
      <c r="AH648" s="24" t="str">
        <f>IF(AE648="","",IFERROR(INDEX($AQ$11:$AQ$4010,MATCH(638,$AZ$11:$AZ$4010,0)),""))</f>
        <v/>
      </c>
      <c r="AI648" s="29" t="str">
        <f>IF(AE648="","",IFERROR(INDEX($AR$11:$AR$4010,MATCH(638,$AZ$11:$AZ$4010,0)),""))</f>
        <v/>
      </c>
      <c r="AJ648" s="29" t="str">
        <f>IF(AE648="","",IFERROR(INDEX($AT$11:$AT$4010,MATCH(638,$AZ$11:$AZ$4010,0)),""))</f>
        <v/>
      </c>
      <c r="AL648" s="31"/>
      <c r="AM648" s="26"/>
      <c r="AN648" s="32"/>
      <c r="AO648" s="32"/>
      <c r="AP648" s="24"/>
      <c r="AQ648" s="24"/>
      <c r="AR648" s="33"/>
      <c r="AS648" s="34"/>
      <c r="AT648" s="33"/>
      <c r="AV648" s="21">
        <f>IF(AND($AL648&lt;&gt;"",COUNTIF($AL$11:$AL648,$AL648)=1),1,0)</f>
        <v>0</v>
      </c>
      <c r="AW648" s="21">
        <f t="shared" si="105"/>
        <v>0</v>
      </c>
      <c r="AX648" s="21" t="str">
        <f t="shared" si="104"/>
        <v/>
      </c>
      <c r="AY648" s="21" t="str">
        <f>IF(AND($AM648&lt;&gt;"",$AS648&lt;&gt;"✓"),SUMPRODUCT(($AM$11:$AM648&lt;&gt;"")*($AS$11:$AS648&lt;&gt;"✓")),"")</f>
        <v/>
      </c>
      <c r="AZ648" s="21" t="str">
        <f>IF(AND($AM648&lt;&gt;"",$AS648="✓"),SUMPRODUCT(($AM$11:$AM648&lt;&gt;"")*($AS$11:$AS648="✓")),"")</f>
        <v/>
      </c>
      <c r="BA648" s="21" t="str">
        <f>IF($AL648="","",$AL648&amp;"|"&amp;COUNTIF($AL$11:$AL648,$AL648))</f>
        <v/>
      </c>
    </row>
    <row r="649" spans="23:53" ht="15" customHeight="1" x14ac:dyDescent="0.25">
      <c r="W649" s="14" t="str">
        <f>IF(X649="","",IFERROR(INDEX($AL$11:$AL$4010,MATCH(639,$AY$11:$AY$4010,0)),""))</f>
        <v/>
      </c>
      <c r="X649" s="12" t="str">
        <f>IFERROR(INDEX($AM$11:$AM$4010,MATCH(639,$AY$11:$AY$4010,0)),"")</f>
        <v/>
      </c>
      <c r="Y649" s="11" t="str">
        <f>IF(X649="","",IFERROR(INDEX($AN$11:$AN$4010,MATCH(639,$AY$11:$AY$4010,0)),""))</f>
        <v/>
      </c>
      <c r="Z649" s="11" t="str">
        <f>IF(X649="","",IFERROR(INDEX($AO$11:$AO$4010,MATCH(639,$AY$11:$AY$4010,0)),""))</f>
        <v/>
      </c>
      <c r="AA649" s="10" t="str">
        <f>IF(X649="","",IFERROR(INDEX($AQ$11:$AQ$4010,MATCH(639,$AY$11:$AY$4010,0)),""))</f>
        <v/>
      </c>
      <c r="AB649" s="15" t="str">
        <f>IF(X649="","",IFERROR(INDEX($AR$11:$AR$4010,MATCH(639,$AY$11:$AY$4010,0)),""))</f>
        <v/>
      </c>
      <c r="AD649" s="16" t="str">
        <f>IF(AE649="","",IFERROR(INDEX($AL$11:$AL$4010,MATCH(639,$AZ$11:$AZ$4010,0)),""))</f>
        <v/>
      </c>
      <c r="AE649" s="12" t="str">
        <f>IFERROR(INDEX($AM$11:$AM$4010,MATCH(639,$AZ$11:$AZ$4010,0)),"")</f>
        <v/>
      </c>
      <c r="AF649" s="11" t="str">
        <f>IF(AE649="","",IFERROR(INDEX($AN$11:$AN$4010,MATCH(639,$AZ$11:$AZ$4010,0)),""))</f>
        <v/>
      </c>
      <c r="AG649" s="11" t="str">
        <f>IF(AE649="","",IFERROR(INDEX($AO$11:$AO$4010,MATCH(639,$AZ$11:$AZ$4010,0)),""))</f>
        <v/>
      </c>
      <c r="AH649" s="10" t="str">
        <f>IF(AE649="","",IFERROR(INDEX($AQ$11:$AQ$4010,MATCH(639,$AZ$11:$AZ$4010,0)),""))</f>
        <v/>
      </c>
      <c r="AI649" s="15" t="str">
        <f>IF(AE649="","",IFERROR(INDEX($AR$11:$AR$4010,MATCH(639,$AZ$11:$AZ$4010,0)),""))</f>
        <v/>
      </c>
      <c r="AJ649" s="15" t="str">
        <f>IF(AE649="","",IFERROR(INDEX($AT$11:$AT$4010,MATCH(639,$AZ$11:$AZ$4010,0)),""))</f>
        <v/>
      </c>
      <c r="AL649" s="17"/>
      <c r="AM649" s="12"/>
      <c r="AN649" s="18"/>
      <c r="AO649" s="18"/>
      <c r="AP649" s="10"/>
      <c r="AQ649" s="10"/>
      <c r="AR649" s="19"/>
      <c r="AS649" s="20"/>
      <c r="AT649" s="19"/>
      <c r="AV649" s="21">
        <f>IF(AND($AL649&lt;&gt;"",COUNTIF($AL$11:$AL649,$AL649)=1),1,0)</f>
        <v>0</v>
      </c>
      <c r="AW649" s="21">
        <f t="shared" si="105"/>
        <v>0</v>
      </c>
      <c r="AX649" s="21" t="str">
        <f t="shared" si="104"/>
        <v/>
      </c>
      <c r="AY649" s="21" t="str">
        <f>IF(AND($AM649&lt;&gt;"",$AS649&lt;&gt;"✓"),SUMPRODUCT(($AM$11:$AM649&lt;&gt;"")*($AS$11:$AS649&lt;&gt;"✓")),"")</f>
        <v/>
      </c>
      <c r="AZ649" s="21" t="str">
        <f>IF(AND($AM649&lt;&gt;"",$AS649="✓"),SUMPRODUCT(($AM$11:$AM649&lt;&gt;"")*($AS$11:$AS649="✓")),"")</f>
        <v/>
      </c>
      <c r="BA649" s="21" t="str">
        <f>IF($AL649="","",$AL649&amp;"|"&amp;COUNTIF($AL$11:$AL649,$AL649))</f>
        <v/>
      </c>
    </row>
    <row r="650" spans="23:53" ht="15" customHeight="1" x14ac:dyDescent="0.25">
      <c r="W650" s="28" t="str">
        <f>IF(X650="","",IFERROR(INDEX($AL$11:$AL$4010,MATCH(640,$AY$11:$AY$4010,0)),""))</f>
        <v/>
      </c>
      <c r="X650" s="26" t="str">
        <f>IFERROR(INDEX($AM$11:$AM$4010,MATCH(640,$AY$11:$AY$4010,0)),"")</f>
        <v/>
      </c>
      <c r="Y650" s="25" t="str">
        <f>IF(X650="","",IFERROR(INDEX($AN$11:$AN$4010,MATCH(640,$AY$11:$AY$4010,0)),""))</f>
        <v/>
      </c>
      <c r="Z650" s="25" t="str">
        <f>IF(X650="","",IFERROR(INDEX($AO$11:$AO$4010,MATCH(640,$AY$11:$AY$4010,0)),""))</f>
        <v/>
      </c>
      <c r="AA650" s="24" t="str">
        <f>IF(X650="","",IFERROR(INDEX($AQ$11:$AQ$4010,MATCH(640,$AY$11:$AY$4010,0)),""))</f>
        <v/>
      </c>
      <c r="AB650" s="29" t="str">
        <f>IF(X650="","",IFERROR(INDEX($AR$11:$AR$4010,MATCH(640,$AY$11:$AY$4010,0)),""))</f>
        <v/>
      </c>
      <c r="AD650" s="30" t="str">
        <f>IF(AE650="","",IFERROR(INDEX($AL$11:$AL$4010,MATCH(640,$AZ$11:$AZ$4010,0)),""))</f>
        <v/>
      </c>
      <c r="AE650" s="26" t="str">
        <f>IFERROR(INDEX($AM$11:$AM$4010,MATCH(640,$AZ$11:$AZ$4010,0)),"")</f>
        <v/>
      </c>
      <c r="AF650" s="25" t="str">
        <f>IF(AE650="","",IFERROR(INDEX($AN$11:$AN$4010,MATCH(640,$AZ$11:$AZ$4010,0)),""))</f>
        <v/>
      </c>
      <c r="AG650" s="25" t="str">
        <f>IF(AE650="","",IFERROR(INDEX($AO$11:$AO$4010,MATCH(640,$AZ$11:$AZ$4010,0)),""))</f>
        <v/>
      </c>
      <c r="AH650" s="24" t="str">
        <f>IF(AE650="","",IFERROR(INDEX($AQ$11:$AQ$4010,MATCH(640,$AZ$11:$AZ$4010,0)),""))</f>
        <v/>
      </c>
      <c r="AI650" s="29" t="str">
        <f>IF(AE650="","",IFERROR(INDEX($AR$11:$AR$4010,MATCH(640,$AZ$11:$AZ$4010,0)),""))</f>
        <v/>
      </c>
      <c r="AJ650" s="29" t="str">
        <f>IF(AE650="","",IFERROR(INDEX($AT$11:$AT$4010,MATCH(640,$AZ$11:$AZ$4010,0)),""))</f>
        <v/>
      </c>
      <c r="AL650" s="31"/>
      <c r="AM650" s="26"/>
      <c r="AN650" s="32"/>
      <c r="AO650" s="32"/>
      <c r="AP650" s="24"/>
      <c r="AQ650" s="24"/>
      <c r="AR650" s="33"/>
      <c r="AS650" s="34"/>
      <c r="AT650" s="33"/>
      <c r="AV650" s="21">
        <f>IF(AND($AL650&lt;&gt;"",COUNTIF($AL$11:$AL650,$AL650)=1),1,0)</f>
        <v>0</v>
      </c>
      <c r="AW650" s="21">
        <f t="shared" si="105"/>
        <v>0</v>
      </c>
      <c r="AX650" s="21" t="str">
        <f t="shared" si="104"/>
        <v/>
      </c>
      <c r="AY650" s="21" t="str">
        <f>IF(AND($AM650&lt;&gt;"",$AS650&lt;&gt;"✓"),SUMPRODUCT(($AM$11:$AM650&lt;&gt;"")*($AS$11:$AS650&lt;&gt;"✓")),"")</f>
        <v/>
      </c>
      <c r="AZ650" s="21" t="str">
        <f>IF(AND($AM650&lt;&gt;"",$AS650="✓"),SUMPRODUCT(($AM$11:$AM650&lt;&gt;"")*($AS$11:$AS650="✓")),"")</f>
        <v/>
      </c>
      <c r="BA650" s="21" t="str">
        <f>IF($AL650="","",$AL650&amp;"|"&amp;COUNTIF($AL$11:$AL650,$AL650))</f>
        <v/>
      </c>
    </row>
    <row r="651" spans="23:53" ht="15" customHeight="1" x14ac:dyDescent="0.25">
      <c r="W651" s="14" t="str">
        <f>IF(X651="","",IFERROR(INDEX($AL$11:$AL$4010,MATCH(641,$AY$11:$AY$4010,0)),""))</f>
        <v/>
      </c>
      <c r="X651" s="12" t="str">
        <f>IFERROR(INDEX($AM$11:$AM$4010,MATCH(641,$AY$11:$AY$4010,0)),"")</f>
        <v/>
      </c>
      <c r="Y651" s="11" t="str">
        <f>IF(X651="","",IFERROR(INDEX($AN$11:$AN$4010,MATCH(641,$AY$11:$AY$4010,0)),""))</f>
        <v/>
      </c>
      <c r="Z651" s="11" t="str">
        <f>IF(X651="","",IFERROR(INDEX($AO$11:$AO$4010,MATCH(641,$AY$11:$AY$4010,0)),""))</f>
        <v/>
      </c>
      <c r="AA651" s="10" t="str">
        <f>IF(X651="","",IFERROR(INDEX($AQ$11:$AQ$4010,MATCH(641,$AY$11:$AY$4010,0)),""))</f>
        <v/>
      </c>
      <c r="AB651" s="15" t="str">
        <f>IF(X651="","",IFERROR(INDEX($AR$11:$AR$4010,MATCH(641,$AY$11:$AY$4010,0)),""))</f>
        <v/>
      </c>
      <c r="AD651" s="16" t="str">
        <f>IF(AE651="","",IFERROR(INDEX($AL$11:$AL$4010,MATCH(641,$AZ$11:$AZ$4010,0)),""))</f>
        <v/>
      </c>
      <c r="AE651" s="12" t="str">
        <f>IFERROR(INDEX($AM$11:$AM$4010,MATCH(641,$AZ$11:$AZ$4010,0)),"")</f>
        <v/>
      </c>
      <c r="AF651" s="11" t="str">
        <f>IF(AE651="","",IFERROR(INDEX($AN$11:$AN$4010,MATCH(641,$AZ$11:$AZ$4010,0)),""))</f>
        <v/>
      </c>
      <c r="AG651" s="11" t="str">
        <f>IF(AE651="","",IFERROR(INDEX($AO$11:$AO$4010,MATCH(641,$AZ$11:$AZ$4010,0)),""))</f>
        <v/>
      </c>
      <c r="AH651" s="10" t="str">
        <f>IF(AE651="","",IFERROR(INDEX($AQ$11:$AQ$4010,MATCH(641,$AZ$11:$AZ$4010,0)),""))</f>
        <v/>
      </c>
      <c r="AI651" s="15" t="str">
        <f>IF(AE651="","",IFERROR(INDEX($AR$11:$AR$4010,MATCH(641,$AZ$11:$AZ$4010,0)),""))</f>
        <v/>
      </c>
      <c r="AJ651" s="15" t="str">
        <f>IF(AE651="","",IFERROR(INDEX($AT$11:$AT$4010,MATCH(641,$AZ$11:$AZ$4010,0)),""))</f>
        <v/>
      </c>
      <c r="AL651" s="17"/>
      <c r="AM651" s="12"/>
      <c r="AN651" s="18"/>
      <c r="AO651" s="18"/>
      <c r="AP651" s="10"/>
      <c r="AQ651" s="10"/>
      <c r="AR651" s="19"/>
      <c r="AS651" s="20"/>
      <c r="AT651" s="19"/>
      <c r="AV651" s="21">
        <f>IF(AND($AL651&lt;&gt;"",COUNTIF($AL$11:$AL651,$AL651)=1),1,0)</f>
        <v>0</v>
      </c>
      <c r="AW651" s="21">
        <f t="shared" si="105"/>
        <v>0</v>
      </c>
      <c r="AX651" s="21" t="str">
        <f t="shared" ref="AX651:AX714" si="106">IF(AV651=1,AW651,"")</f>
        <v/>
      </c>
      <c r="AY651" s="21" t="str">
        <f>IF(AND($AM651&lt;&gt;"",$AS651&lt;&gt;"✓"),SUMPRODUCT(($AM$11:$AM651&lt;&gt;"")*($AS$11:$AS651&lt;&gt;"✓")),"")</f>
        <v/>
      </c>
      <c r="AZ651" s="21" t="str">
        <f>IF(AND($AM651&lt;&gt;"",$AS651="✓"),SUMPRODUCT(($AM$11:$AM651&lt;&gt;"")*($AS$11:$AS651="✓")),"")</f>
        <v/>
      </c>
      <c r="BA651" s="21" t="str">
        <f>IF($AL651="","",$AL651&amp;"|"&amp;COUNTIF($AL$11:$AL651,$AL651))</f>
        <v/>
      </c>
    </row>
    <row r="652" spans="23:53" ht="15" customHeight="1" x14ac:dyDescent="0.25">
      <c r="W652" s="28" t="str">
        <f>IF(X652="","",IFERROR(INDEX($AL$11:$AL$4010,MATCH(642,$AY$11:$AY$4010,0)),""))</f>
        <v/>
      </c>
      <c r="X652" s="26" t="str">
        <f>IFERROR(INDEX($AM$11:$AM$4010,MATCH(642,$AY$11:$AY$4010,0)),"")</f>
        <v/>
      </c>
      <c r="Y652" s="25" t="str">
        <f>IF(X652="","",IFERROR(INDEX($AN$11:$AN$4010,MATCH(642,$AY$11:$AY$4010,0)),""))</f>
        <v/>
      </c>
      <c r="Z652" s="25" t="str">
        <f>IF(X652="","",IFERROR(INDEX($AO$11:$AO$4010,MATCH(642,$AY$11:$AY$4010,0)),""))</f>
        <v/>
      </c>
      <c r="AA652" s="24" t="str">
        <f>IF(X652="","",IFERROR(INDEX($AQ$11:$AQ$4010,MATCH(642,$AY$11:$AY$4010,0)),""))</f>
        <v/>
      </c>
      <c r="AB652" s="29" t="str">
        <f>IF(X652="","",IFERROR(INDEX($AR$11:$AR$4010,MATCH(642,$AY$11:$AY$4010,0)),""))</f>
        <v/>
      </c>
      <c r="AD652" s="30" t="str">
        <f>IF(AE652="","",IFERROR(INDEX($AL$11:$AL$4010,MATCH(642,$AZ$11:$AZ$4010,0)),""))</f>
        <v/>
      </c>
      <c r="AE652" s="26" t="str">
        <f>IFERROR(INDEX($AM$11:$AM$4010,MATCH(642,$AZ$11:$AZ$4010,0)),"")</f>
        <v/>
      </c>
      <c r="AF652" s="25" t="str">
        <f>IF(AE652="","",IFERROR(INDEX($AN$11:$AN$4010,MATCH(642,$AZ$11:$AZ$4010,0)),""))</f>
        <v/>
      </c>
      <c r="AG652" s="25" t="str">
        <f>IF(AE652="","",IFERROR(INDEX($AO$11:$AO$4010,MATCH(642,$AZ$11:$AZ$4010,0)),""))</f>
        <v/>
      </c>
      <c r="AH652" s="24" t="str">
        <f>IF(AE652="","",IFERROR(INDEX($AQ$11:$AQ$4010,MATCH(642,$AZ$11:$AZ$4010,0)),""))</f>
        <v/>
      </c>
      <c r="AI652" s="29" t="str">
        <f>IF(AE652="","",IFERROR(INDEX($AR$11:$AR$4010,MATCH(642,$AZ$11:$AZ$4010,0)),""))</f>
        <v/>
      </c>
      <c r="AJ652" s="29" t="str">
        <f>IF(AE652="","",IFERROR(INDEX($AT$11:$AT$4010,MATCH(642,$AZ$11:$AZ$4010,0)),""))</f>
        <v/>
      </c>
      <c r="AL652" s="31"/>
      <c r="AM652" s="26"/>
      <c r="AN652" s="32"/>
      <c r="AO652" s="32"/>
      <c r="AP652" s="24"/>
      <c r="AQ652" s="24"/>
      <c r="AR652" s="33"/>
      <c r="AS652" s="34"/>
      <c r="AT652" s="33"/>
      <c r="AV652" s="21">
        <f>IF(AND($AL652&lt;&gt;"",COUNTIF($AL$11:$AL652,$AL652)=1),1,0)</f>
        <v>0</v>
      </c>
      <c r="AW652" s="21">
        <f t="shared" ref="AW652:AW715" si="107">AW651+AV652</f>
        <v>0</v>
      </c>
      <c r="AX652" s="21" t="str">
        <f t="shared" si="106"/>
        <v/>
      </c>
      <c r="AY652" s="21" t="str">
        <f>IF(AND($AM652&lt;&gt;"",$AS652&lt;&gt;"✓"),SUMPRODUCT(($AM$11:$AM652&lt;&gt;"")*($AS$11:$AS652&lt;&gt;"✓")),"")</f>
        <v/>
      </c>
      <c r="AZ652" s="21" t="str">
        <f>IF(AND($AM652&lt;&gt;"",$AS652="✓"),SUMPRODUCT(($AM$11:$AM652&lt;&gt;"")*($AS$11:$AS652="✓")),"")</f>
        <v/>
      </c>
      <c r="BA652" s="21" t="str">
        <f>IF($AL652="","",$AL652&amp;"|"&amp;COUNTIF($AL$11:$AL652,$AL652))</f>
        <v/>
      </c>
    </row>
    <row r="653" spans="23:53" ht="15" customHeight="1" x14ac:dyDescent="0.25">
      <c r="W653" s="14" t="str">
        <f>IF(X653="","",IFERROR(INDEX($AL$11:$AL$4010,MATCH(643,$AY$11:$AY$4010,0)),""))</f>
        <v/>
      </c>
      <c r="X653" s="12" t="str">
        <f>IFERROR(INDEX($AM$11:$AM$4010,MATCH(643,$AY$11:$AY$4010,0)),"")</f>
        <v/>
      </c>
      <c r="Y653" s="11" t="str">
        <f>IF(X653="","",IFERROR(INDEX($AN$11:$AN$4010,MATCH(643,$AY$11:$AY$4010,0)),""))</f>
        <v/>
      </c>
      <c r="Z653" s="11" t="str">
        <f>IF(X653="","",IFERROR(INDEX($AO$11:$AO$4010,MATCH(643,$AY$11:$AY$4010,0)),""))</f>
        <v/>
      </c>
      <c r="AA653" s="10" t="str">
        <f>IF(X653="","",IFERROR(INDEX($AQ$11:$AQ$4010,MATCH(643,$AY$11:$AY$4010,0)),""))</f>
        <v/>
      </c>
      <c r="AB653" s="15" t="str">
        <f>IF(X653="","",IFERROR(INDEX($AR$11:$AR$4010,MATCH(643,$AY$11:$AY$4010,0)),""))</f>
        <v/>
      </c>
      <c r="AD653" s="16" t="str">
        <f>IF(AE653="","",IFERROR(INDEX($AL$11:$AL$4010,MATCH(643,$AZ$11:$AZ$4010,0)),""))</f>
        <v/>
      </c>
      <c r="AE653" s="12" t="str">
        <f>IFERROR(INDEX($AM$11:$AM$4010,MATCH(643,$AZ$11:$AZ$4010,0)),"")</f>
        <v/>
      </c>
      <c r="AF653" s="11" t="str">
        <f>IF(AE653="","",IFERROR(INDEX($AN$11:$AN$4010,MATCH(643,$AZ$11:$AZ$4010,0)),""))</f>
        <v/>
      </c>
      <c r="AG653" s="11" t="str">
        <f>IF(AE653="","",IFERROR(INDEX($AO$11:$AO$4010,MATCH(643,$AZ$11:$AZ$4010,0)),""))</f>
        <v/>
      </c>
      <c r="AH653" s="10" t="str">
        <f>IF(AE653="","",IFERROR(INDEX($AQ$11:$AQ$4010,MATCH(643,$AZ$11:$AZ$4010,0)),""))</f>
        <v/>
      </c>
      <c r="AI653" s="15" t="str">
        <f>IF(AE653="","",IFERROR(INDEX($AR$11:$AR$4010,MATCH(643,$AZ$11:$AZ$4010,0)),""))</f>
        <v/>
      </c>
      <c r="AJ653" s="15" t="str">
        <f>IF(AE653="","",IFERROR(INDEX($AT$11:$AT$4010,MATCH(643,$AZ$11:$AZ$4010,0)),""))</f>
        <v/>
      </c>
      <c r="AL653" s="17"/>
      <c r="AM653" s="12"/>
      <c r="AN653" s="18"/>
      <c r="AO653" s="18"/>
      <c r="AP653" s="10"/>
      <c r="AQ653" s="10"/>
      <c r="AR653" s="19"/>
      <c r="AS653" s="20"/>
      <c r="AT653" s="19"/>
      <c r="AV653" s="21">
        <f>IF(AND($AL653&lt;&gt;"",COUNTIF($AL$11:$AL653,$AL653)=1),1,0)</f>
        <v>0</v>
      </c>
      <c r="AW653" s="21">
        <f t="shared" si="107"/>
        <v>0</v>
      </c>
      <c r="AX653" s="21" t="str">
        <f t="shared" si="106"/>
        <v/>
      </c>
      <c r="AY653" s="21" t="str">
        <f>IF(AND($AM653&lt;&gt;"",$AS653&lt;&gt;"✓"),SUMPRODUCT(($AM$11:$AM653&lt;&gt;"")*($AS$11:$AS653&lt;&gt;"✓")),"")</f>
        <v/>
      </c>
      <c r="AZ653" s="21" t="str">
        <f>IF(AND($AM653&lt;&gt;"",$AS653="✓"),SUMPRODUCT(($AM$11:$AM653&lt;&gt;"")*($AS$11:$AS653="✓")),"")</f>
        <v/>
      </c>
      <c r="BA653" s="21" t="str">
        <f>IF($AL653="","",$AL653&amp;"|"&amp;COUNTIF($AL$11:$AL653,$AL653))</f>
        <v/>
      </c>
    </row>
    <row r="654" spans="23:53" ht="15" customHeight="1" x14ac:dyDescent="0.25">
      <c r="W654" s="28" t="str">
        <f>IF(X654="","",IFERROR(INDEX($AL$11:$AL$4010,MATCH(644,$AY$11:$AY$4010,0)),""))</f>
        <v/>
      </c>
      <c r="X654" s="26" t="str">
        <f>IFERROR(INDEX($AM$11:$AM$4010,MATCH(644,$AY$11:$AY$4010,0)),"")</f>
        <v/>
      </c>
      <c r="Y654" s="25" t="str">
        <f>IF(X654="","",IFERROR(INDEX($AN$11:$AN$4010,MATCH(644,$AY$11:$AY$4010,0)),""))</f>
        <v/>
      </c>
      <c r="Z654" s="25" t="str">
        <f>IF(X654="","",IFERROR(INDEX($AO$11:$AO$4010,MATCH(644,$AY$11:$AY$4010,0)),""))</f>
        <v/>
      </c>
      <c r="AA654" s="24" t="str">
        <f>IF(X654="","",IFERROR(INDEX($AQ$11:$AQ$4010,MATCH(644,$AY$11:$AY$4010,0)),""))</f>
        <v/>
      </c>
      <c r="AB654" s="29" t="str">
        <f>IF(X654="","",IFERROR(INDEX($AR$11:$AR$4010,MATCH(644,$AY$11:$AY$4010,0)),""))</f>
        <v/>
      </c>
      <c r="AD654" s="30" t="str">
        <f>IF(AE654="","",IFERROR(INDEX($AL$11:$AL$4010,MATCH(644,$AZ$11:$AZ$4010,0)),""))</f>
        <v/>
      </c>
      <c r="AE654" s="26" t="str">
        <f>IFERROR(INDEX($AM$11:$AM$4010,MATCH(644,$AZ$11:$AZ$4010,0)),"")</f>
        <v/>
      </c>
      <c r="AF654" s="25" t="str">
        <f>IF(AE654="","",IFERROR(INDEX($AN$11:$AN$4010,MATCH(644,$AZ$11:$AZ$4010,0)),""))</f>
        <v/>
      </c>
      <c r="AG654" s="25" t="str">
        <f>IF(AE654="","",IFERROR(INDEX($AO$11:$AO$4010,MATCH(644,$AZ$11:$AZ$4010,0)),""))</f>
        <v/>
      </c>
      <c r="AH654" s="24" t="str">
        <f>IF(AE654="","",IFERROR(INDEX($AQ$11:$AQ$4010,MATCH(644,$AZ$11:$AZ$4010,0)),""))</f>
        <v/>
      </c>
      <c r="AI654" s="29" t="str">
        <f>IF(AE654="","",IFERROR(INDEX($AR$11:$AR$4010,MATCH(644,$AZ$11:$AZ$4010,0)),""))</f>
        <v/>
      </c>
      <c r="AJ654" s="29" t="str">
        <f>IF(AE654="","",IFERROR(INDEX($AT$11:$AT$4010,MATCH(644,$AZ$11:$AZ$4010,0)),""))</f>
        <v/>
      </c>
      <c r="AL654" s="31"/>
      <c r="AM654" s="26"/>
      <c r="AN654" s="32"/>
      <c r="AO654" s="32"/>
      <c r="AP654" s="24"/>
      <c r="AQ654" s="24"/>
      <c r="AR654" s="33"/>
      <c r="AS654" s="34"/>
      <c r="AT654" s="33"/>
      <c r="AV654" s="21">
        <f>IF(AND($AL654&lt;&gt;"",COUNTIF($AL$11:$AL654,$AL654)=1),1,0)</f>
        <v>0</v>
      </c>
      <c r="AW654" s="21">
        <f t="shared" si="107"/>
        <v>0</v>
      </c>
      <c r="AX654" s="21" t="str">
        <f t="shared" si="106"/>
        <v/>
      </c>
      <c r="AY654" s="21" t="str">
        <f>IF(AND($AM654&lt;&gt;"",$AS654&lt;&gt;"✓"),SUMPRODUCT(($AM$11:$AM654&lt;&gt;"")*($AS$11:$AS654&lt;&gt;"✓")),"")</f>
        <v/>
      </c>
      <c r="AZ654" s="21" t="str">
        <f>IF(AND($AM654&lt;&gt;"",$AS654="✓"),SUMPRODUCT(($AM$11:$AM654&lt;&gt;"")*($AS$11:$AS654="✓")),"")</f>
        <v/>
      </c>
      <c r="BA654" s="21" t="str">
        <f>IF($AL654="","",$AL654&amp;"|"&amp;COUNTIF($AL$11:$AL654,$AL654))</f>
        <v/>
      </c>
    </row>
    <row r="655" spans="23:53" ht="15" customHeight="1" x14ac:dyDescent="0.25">
      <c r="W655" s="14" t="str">
        <f>IF(X655="","",IFERROR(INDEX($AL$11:$AL$4010,MATCH(645,$AY$11:$AY$4010,0)),""))</f>
        <v/>
      </c>
      <c r="X655" s="12" t="str">
        <f>IFERROR(INDEX($AM$11:$AM$4010,MATCH(645,$AY$11:$AY$4010,0)),"")</f>
        <v/>
      </c>
      <c r="Y655" s="11" t="str">
        <f>IF(X655="","",IFERROR(INDEX($AN$11:$AN$4010,MATCH(645,$AY$11:$AY$4010,0)),""))</f>
        <v/>
      </c>
      <c r="Z655" s="11" t="str">
        <f>IF(X655="","",IFERROR(INDEX($AO$11:$AO$4010,MATCH(645,$AY$11:$AY$4010,0)),""))</f>
        <v/>
      </c>
      <c r="AA655" s="10" t="str">
        <f>IF(X655="","",IFERROR(INDEX($AQ$11:$AQ$4010,MATCH(645,$AY$11:$AY$4010,0)),""))</f>
        <v/>
      </c>
      <c r="AB655" s="15" t="str">
        <f>IF(X655="","",IFERROR(INDEX($AR$11:$AR$4010,MATCH(645,$AY$11:$AY$4010,0)),""))</f>
        <v/>
      </c>
      <c r="AD655" s="16" t="str">
        <f>IF(AE655="","",IFERROR(INDEX($AL$11:$AL$4010,MATCH(645,$AZ$11:$AZ$4010,0)),""))</f>
        <v/>
      </c>
      <c r="AE655" s="12" t="str">
        <f>IFERROR(INDEX($AM$11:$AM$4010,MATCH(645,$AZ$11:$AZ$4010,0)),"")</f>
        <v/>
      </c>
      <c r="AF655" s="11" t="str">
        <f>IF(AE655="","",IFERROR(INDEX($AN$11:$AN$4010,MATCH(645,$AZ$11:$AZ$4010,0)),""))</f>
        <v/>
      </c>
      <c r="AG655" s="11" t="str">
        <f>IF(AE655="","",IFERROR(INDEX($AO$11:$AO$4010,MATCH(645,$AZ$11:$AZ$4010,0)),""))</f>
        <v/>
      </c>
      <c r="AH655" s="10" t="str">
        <f>IF(AE655="","",IFERROR(INDEX($AQ$11:$AQ$4010,MATCH(645,$AZ$11:$AZ$4010,0)),""))</f>
        <v/>
      </c>
      <c r="AI655" s="15" t="str">
        <f>IF(AE655="","",IFERROR(INDEX($AR$11:$AR$4010,MATCH(645,$AZ$11:$AZ$4010,0)),""))</f>
        <v/>
      </c>
      <c r="AJ655" s="15" t="str">
        <f>IF(AE655="","",IFERROR(INDEX($AT$11:$AT$4010,MATCH(645,$AZ$11:$AZ$4010,0)),""))</f>
        <v/>
      </c>
      <c r="AL655" s="17"/>
      <c r="AM655" s="12"/>
      <c r="AN655" s="18"/>
      <c r="AO655" s="18"/>
      <c r="AP655" s="10"/>
      <c r="AQ655" s="10"/>
      <c r="AR655" s="19"/>
      <c r="AS655" s="20"/>
      <c r="AT655" s="19"/>
      <c r="AV655" s="21">
        <f>IF(AND($AL655&lt;&gt;"",COUNTIF($AL$11:$AL655,$AL655)=1),1,0)</f>
        <v>0</v>
      </c>
      <c r="AW655" s="21">
        <f t="shared" si="107"/>
        <v>0</v>
      </c>
      <c r="AX655" s="21" t="str">
        <f t="shared" si="106"/>
        <v/>
      </c>
      <c r="AY655" s="21" t="str">
        <f>IF(AND($AM655&lt;&gt;"",$AS655&lt;&gt;"✓"),SUMPRODUCT(($AM$11:$AM655&lt;&gt;"")*($AS$11:$AS655&lt;&gt;"✓")),"")</f>
        <v/>
      </c>
      <c r="AZ655" s="21" t="str">
        <f>IF(AND($AM655&lt;&gt;"",$AS655="✓"),SUMPRODUCT(($AM$11:$AM655&lt;&gt;"")*($AS$11:$AS655="✓")),"")</f>
        <v/>
      </c>
      <c r="BA655" s="21" t="str">
        <f>IF($AL655="","",$AL655&amp;"|"&amp;COUNTIF($AL$11:$AL655,$AL655))</f>
        <v/>
      </c>
    </row>
    <row r="656" spans="23:53" ht="15" customHeight="1" x14ac:dyDescent="0.25">
      <c r="W656" s="28" t="str">
        <f>IF(X656="","",IFERROR(INDEX($AL$11:$AL$4010,MATCH(646,$AY$11:$AY$4010,0)),""))</f>
        <v/>
      </c>
      <c r="X656" s="26" t="str">
        <f>IFERROR(INDEX($AM$11:$AM$4010,MATCH(646,$AY$11:$AY$4010,0)),"")</f>
        <v/>
      </c>
      <c r="Y656" s="25" t="str">
        <f>IF(X656="","",IFERROR(INDEX($AN$11:$AN$4010,MATCH(646,$AY$11:$AY$4010,0)),""))</f>
        <v/>
      </c>
      <c r="Z656" s="25" t="str">
        <f>IF(X656="","",IFERROR(INDEX($AO$11:$AO$4010,MATCH(646,$AY$11:$AY$4010,0)),""))</f>
        <v/>
      </c>
      <c r="AA656" s="24" t="str">
        <f>IF(X656="","",IFERROR(INDEX($AQ$11:$AQ$4010,MATCH(646,$AY$11:$AY$4010,0)),""))</f>
        <v/>
      </c>
      <c r="AB656" s="29" t="str">
        <f>IF(X656="","",IFERROR(INDEX($AR$11:$AR$4010,MATCH(646,$AY$11:$AY$4010,0)),""))</f>
        <v/>
      </c>
      <c r="AD656" s="30" t="str">
        <f>IF(AE656="","",IFERROR(INDEX($AL$11:$AL$4010,MATCH(646,$AZ$11:$AZ$4010,0)),""))</f>
        <v/>
      </c>
      <c r="AE656" s="26" t="str">
        <f>IFERROR(INDEX($AM$11:$AM$4010,MATCH(646,$AZ$11:$AZ$4010,0)),"")</f>
        <v/>
      </c>
      <c r="AF656" s="25" t="str">
        <f>IF(AE656="","",IFERROR(INDEX($AN$11:$AN$4010,MATCH(646,$AZ$11:$AZ$4010,0)),""))</f>
        <v/>
      </c>
      <c r="AG656" s="25" t="str">
        <f>IF(AE656="","",IFERROR(INDEX($AO$11:$AO$4010,MATCH(646,$AZ$11:$AZ$4010,0)),""))</f>
        <v/>
      </c>
      <c r="AH656" s="24" t="str">
        <f>IF(AE656="","",IFERROR(INDEX($AQ$11:$AQ$4010,MATCH(646,$AZ$11:$AZ$4010,0)),""))</f>
        <v/>
      </c>
      <c r="AI656" s="29" t="str">
        <f>IF(AE656="","",IFERROR(INDEX($AR$11:$AR$4010,MATCH(646,$AZ$11:$AZ$4010,0)),""))</f>
        <v/>
      </c>
      <c r="AJ656" s="29" t="str">
        <f>IF(AE656="","",IFERROR(INDEX($AT$11:$AT$4010,MATCH(646,$AZ$11:$AZ$4010,0)),""))</f>
        <v/>
      </c>
      <c r="AL656" s="31"/>
      <c r="AM656" s="26"/>
      <c r="AN656" s="32"/>
      <c r="AO656" s="32"/>
      <c r="AP656" s="24"/>
      <c r="AQ656" s="24"/>
      <c r="AR656" s="33"/>
      <c r="AS656" s="34"/>
      <c r="AT656" s="33"/>
      <c r="AV656" s="21">
        <f>IF(AND($AL656&lt;&gt;"",COUNTIF($AL$11:$AL656,$AL656)=1),1,0)</f>
        <v>0</v>
      </c>
      <c r="AW656" s="21">
        <f t="shared" si="107"/>
        <v>0</v>
      </c>
      <c r="AX656" s="21" t="str">
        <f t="shared" si="106"/>
        <v/>
      </c>
      <c r="AY656" s="21" t="str">
        <f>IF(AND($AM656&lt;&gt;"",$AS656&lt;&gt;"✓"),SUMPRODUCT(($AM$11:$AM656&lt;&gt;"")*($AS$11:$AS656&lt;&gt;"✓")),"")</f>
        <v/>
      </c>
      <c r="AZ656" s="21" t="str">
        <f>IF(AND($AM656&lt;&gt;"",$AS656="✓"),SUMPRODUCT(($AM$11:$AM656&lt;&gt;"")*($AS$11:$AS656="✓")),"")</f>
        <v/>
      </c>
      <c r="BA656" s="21" t="str">
        <f>IF($AL656="","",$AL656&amp;"|"&amp;COUNTIF($AL$11:$AL656,$AL656))</f>
        <v/>
      </c>
    </row>
    <row r="657" spans="23:53" ht="15" customHeight="1" x14ac:dyDescent="0.25">
      <c r="W657" s="14" t="str">
        <f>IF(X657="","",IFERROR(INDEX($AL$11:$AL$4010,MATCH(647,$AY$11:$AY$4010,0)),""))</f>
        <v/>
      </c>
      <c r="X657" s="12" t="str">
        <f>IFERROR(INDEX($AM$11:$AM$4010,MATCH(647,$AY$11:$AY$4010,0)),"")</f>
        <v/>
      </c>
      <c r="Y657" s="11" t="str">
        <f>IF(X657="","",IFERROR(INDEX($AN$11:$AN$4010,MATCH(647,$AY$11:$AY$4010,0)),""))</f>
        <v/>
      </c>
      <c r="Z657" s="11" t="str">
        <f>IF(X657="","",IFERROR(INDEX($AO$11:$AO$4010,MATCH(647,$AY$11:$AY$4010,0)),""))</f>
        <v/>
      </c>
      <c r="AA657" s="10" t="str">
        <f>IF(X657="","",IFERROR(INDEX($AQ$11:$AQ$4010,MATCH(647,$AY$11:$AY$4010,0)),""))</f>
        <v/>
      </c>
      <c r="AB657" s="15" t="str">
        <f>IF(X657="","",IFERROR(INDEX($AR$11:$AR$4010,MATCH(647,$AY$11:$AY$4010,0)),""))</f>
        <v/>
      </c>
      <c r="AD657" s="16" t="str">
        <f>IF(AE657="","",IFERROR(INDEX($AL$11:$AL$4010,MATCH(647,$AZ$11:$AZ$4010,0)),""))</f>
        <v/>
      </c>
      <c r="AE657" s="12" t="str">
        <f>IFERROR(INDEX($AM$11:$AM$4010,MATCH(647,$AZ$11:$AZ$4010,0)),"")</f>
        <v/>
      </c>
      <c r="AF657" s="11" t="str">
        <f>IF(AE657="","",IFERROR(INDEX($AN$11:$AN$4010,MATCH(647,$AZ$11:$AZ$4010,0)),""))</f>
        <v/>
      </c>
      <c r="AG657" s="11" t="str">
        <f>IF(AE657="","",IFERROR(INDEX($AO$11:$AO$4010,MATCH(647,$AZ$11:$AZ$4010,0)),""))</f>
        <v/>
      </c>
      <c r="AH657" s="10" t="str">
        <f>IF(AE657="","",IFERROR(INDEX($AQ$11:$AQ$4010,MATCH(647,$AZ$11:$AZ$4010,0)),""))</f>
        <v/>
      </c>
      <c r="AI657" s="15" t="str">
        <f>IF(AE657="","",IFERROR(INDEX($AR$11:$AR$4010,MATCH(647,$AZ$11:$AZ$4010,0)),""))</f>
        <v/>
      </c>
      <c r="AJ657" s="15" t="str">
        <f>IF(AE657="","",IFERROR(INDEX($AT$11:$AT$4010,MATCH(647,$AZ$11:$AZ$4010,0)),""))</f>
        <v/>
      </c>
      <c r="AL657" s="17"/>
      <c r="AM657" s="12"/>
      <c r="AN657" s="18"/>
      <c r="AO657" s="18"/>
      <c r="AP657" s="10"/>
      <c r="AQ657" s="10"/>
      <c r="AR657" s="19"/>
      <c r="AS657" s="20"/>
      <c r="AT657" s="19"/>
      <c r="AV657" s="21">
        <f>IF(AND($AL657&lt;&gt;"",COUNTIF($AL$11:$AL657,$AL657)=1),1,0)</f>
        <v>0</v>
      </c>
      <c r="AW657" s="21">
        <f t="shared" si="107"/>
        <v>0</v>
      </c>
      <c r="AX657" s="21" t="str">
        <f t="shared" si="106"/>
        <v/>
      </c>
      <c r="AY657" s="21" t="str">
        <f>IF(AND($AM657&lt;&gt;"",$AS657&lt;&gt;"✓"),SUMPRODUCT(($AM$11:$AM657&lt;&gt;"")*($AS$11:$AS657&lt;&gt;"✓")),"")</f>
        <v/>
      </c>
      <c r="AZ657" s="21" t="str">
        <f>IF(AND($AM657&lt;&gt;"",$AS657="✓"),SUMPRODUCT(($AM$11:$AM657&lt;&gt;"")*($AS$11:$AS657="✓")),"")</f>
        <v/>
      </c>
      <c r="BA657" s="21" t="str">
        <f>IF($AL657="","",$AL657&amp;"|"&amp;COUNTIF($AL$11:$AL657,$AL657))</f>
        <v/>
      </c>
    </row>
    <row r="658" spans="23:53" ht="15" customHeight="1" x14ac:dyDescent="0.25">
      <c r="W658" s="28" t="str">
        <f>IF(X658="","",IFERROR(INDEX($AL$11:$AL$4010,MATCH(648,$AY$11:$AY$4010,0)),""))</f>
        <v/>
      </c>
      <c r="X658" s="26" t="str">
        <f>IFERROR(INDEX($AM$11:$AM$4010,MATCH(648,$AY$11:$AY$4010,0)),"")</f>
        <v/>
      </c>
      <c r="Y658" s="25" t="str">
        <f>IF(X658="","",IFERROR(INDEX($AN$11:$AN$4010,MATCH(648,$AY$11:$AY$4010,0)),""))</f>
        <v/>
      </c>
      <c r="Z658" s="25" t="str">
        <f>IF(X658="","",IFERROR(INDEX($AO$11:$AO$4010,MATCH(648,$AY$11:$AY$4010,0)),""))</f>
        <v/>
      </c>
      <c r="AA658" s="24" t="str">
        <f>IF(X658="","",IFERROR(INDEX($AQ$11:$AQ$4010,MATCH(648,$AY$11:$AY$4010,0)),""))</f>
        <v/>
      </c>
      <c r="AB658" s="29" t="str">
        <f>IF(X658="","",IFERROR(INDEX($AR$11:$AR$4010,MATCH(648,$AY$11:$AY$4010,0)),""))</f>
        <v/>
      </c>
      <c r="AD658" s="30" t="str">
        <f>IF(AE658="","",IFERROR(INDEX($AL$11:$AL$4010,MATCH(648,$AZ$11:$AZ$4010,0)),""))</f>
        <v/>
      </c>
      <c r="AE658" s="26" t="str">
        <f>IFERROR(INDEX($AM$11:$AM$4010,MATCH(648,$AZ$11:$AZ$4010,0)),"")</f>
        <v/>
      </c>
      <c r="AF658" s="25" t="str">
        <f>IF(AE658="","",IFERROR(INDEX($AN$11:$AN$4010,MATCH(648,$AZ$11:$AZ$4010,0)),""))</f>
        <v/>
      </c>
      <c r="AG658" s="25" t="str">
        <f>IF(AE658="","",IFERROR(INDEX($AO$11:$AO$4010,MATCH(648,$AZ$11:$AZ$4010,0)),""))</f>
        <v/>
      </c>
      <c r="AH658" s="24" t="str">
        <f>IF(AE658="","",IFERROR(INDEX($AQ$11:$AQ$4010,MATCH(648,$AZ$11:$AZ$4010,0)),""))</f>
        <v/>
      </c>
      <c r="AI658" s="29" t="str">
        <f>IF(AE658="","",IFERROR(INDEX($AR$11:$AR$4010,MATCH(648,$AZ$11:$AZ$4010,0)),""))</f>
        <v/>
      </c>
      <c r="AJ658" s="29" t="str">
        <f>IF(AE658="","",IFERROR(INDEX($AT$11:$AT$4010,MATCH(648,$AZ$11:$AZ$4010,0)),""))</f>
        <v/>
      </c>
      <c r="AL658" s="31"/>
      <c r="AM658" s="26"/>
      <c r="AN658" s="32"/>
      <c r="AO658" s="32"/>
      <c r="AP658" s="24"/>
      <c r="AQ658" s="24"/>
      <c r="AR658" s="33"/>
      <c r="AS658" s="34"/>
      <c r="AT658" s="33"/>
      <c r="AV658" s="21">
        <f>IF(AND($AL658&lt;&gt;"",COUNTIF($AL$11:$AL658,$AL658)=1),1,0)</f>
        <v>0</v>
      </c>
      <c r="AW658" s="21">
        <f t="shared" si="107"/>
        <v>0</v>
      </c>
      <c r="AX658" s="21" t="str">
        <f t="shared" si="106"/>
        <v/>
      </c>
      <c r="AY658" s="21" t="str">
        <f>IF(AND($AM658&lt;&gt;"",$AS658&lt;&gt;"✓"),SUMPRODUCT(($AM$11:$AM658&lt;&gt;"")*($AS$11:$AS658&lt;&gt;"✓")),"")</f>
        <v/>
      </c>
      <c r="AZ658" s="21" t="str">
        <f>IF(AND($AM658&lt;&gt;"",$AS658="✓"),SUMPRODUCT(($AM$11:$AM658&lt;&gt;"")*($AS$11:$AS658="✓")),"")</f>
        <v/>
      </c>
      <c r="BA658" s="21" t="str">
        <f>IF($AL658="","",$AL658&amp;"|"&amp;COUNTIF($AL$11:$AL658,$AL658))</f>
        <v/>
      </c>
    </row>
    <row r="659" spans="23:53" ht="15" customHeight="1" x14ac:dyDescent="0.25">
      <c r="W659" s="14" t="str">
        <f>IF(X659="","",IFERROR(INDEX($AL$11:$AL$4010,MATCH(649,$AY$11:$AY$4010,0)),""))</f>
        <v/>
      </c>
      <c r="X659" s="12" t="str">
        <f>IFERROR(INDEX($AM$11:$AM$4010,MATCH(649,$AY$11:$AY$4010,0)),"")</f>
        <v/>
      </c>
      <c r="Y659" s="11" t="str">
        <f>IF(X659="","",IFERROR(INDEX($AN$11:$AN$4010,MATCH(649,$AY$11:$AY$4010,0)),""))</f>
        <v/>
      </c>
      <c r="Z659" s="11" t="str">
        <f>IF(X659="","",IFERROR(INDEX($AO$11:$AO$4010,MATCH(649,$AY$11:$AY$4010,0)),""))</f>
        <v/>
      </c>
      <c r="AA659" s="10" t="str">
        <f>IF(X659="","",IFERROR(INDEX($AQ$11:$AQ$4010,MATCH(649,$AY$11:$AY$4010,0)),""))</f>
        <v/>
      </c>
      <c r="AB659" s="15" t="str">
        <f>IF(X659="","",IFERROR(INDEX($AR$11:$AR$4010,MATCH(649,$AY$11:$AY$4010,0)),""))</f>
        <v/>
      </c>
      <c r="AD659" s="16" t="str">
        <f>IF(AE659="","",IFERROR(INDEX($AL$11:$AL$4010,MATCH(649,$AZ$11:$AZ$4010,0)),""))</f>
        <v/>
      </c>
      <c r="AE659" s="12" t="str">
        <f>IFERROR(INDEX($AM$11:$AM$4010,MATCH(649,$AZ$11:$AZ$4010,0)),"")</f>
        <v/>
      </c>
      <c r="AF659" s="11" t="str">
        <f>IF(AE659="","",IFERROR(INDEX($AN$11:$AN$4010,MATCH(649,$AZ$11:$AZ$4010,0)),""))</f>
        <v/>
      </c>
      <c r="AG659" s="11" t="str">
        <f>IF(AE659="","",IFERROR(INDEX($AO$11:$AO$4010,MATCH(649,$AZ$11:$AZ$4010,0)),""))</f>
        <v/>
      </c>
      <c r="AH659" s="10" t="str">
        <f>IF(AE659="","",IFERROR(INDEX($AQ$11:$AQ$4010,MATCH(649,$AZ$11:$AZ$4010,0)),""))</f>
        <v/>
      </c>
      <c r="AI659" s="15" t="str">
        <f>IF(AE659="","",IFERROR(INDEX($AR$11:$AR$4010,MATCH(649,$AZ$11:$AZ$4010,0)),""))</f>
        <v/>
      </c>
      <c r="AJ659" s="15" t="str">
        <f>IF(AE659="","",IFERROR(INDEX($AT$11:$AT$4010,MATCH(649,$AZ$11:$AZ$4010,0)),""))</f>
        <v/>
      </c>
      <c r="AL659" s="17"/>
      <c r="AM659" s="12"/>
      <c r="AN659" s="18"/>
      <c r="AO659" s="18"/>
      <c r="AP659" s="10"/>
      <c r="AQ659" s="10"/>
      <c r="AR659" s="19"/>
      <c r="AS659" s="20"/>
      <c r="AT659" s="19"/>
      <c r="AV659" s="21">
        <f>IF(AND($AL659&lt;&gt;"",COUNTIF($AL$11:$AL659,$AL659)=1),1,0)</f>
        <v>0</v>
      </c>
      <c r="AW659" s="21">
        <f t="shared" si="107"/>
        <v>0</v>
      </c>
      <c r="AX659" s="21" t="str">
        <f t="shared" si="106"/>
        <v/>
      </c>
      <c r="AY659" s="21" t="str">
        <f>IF(AND($AM659&lt;&gt;"",$AS659&lt;&gt;"✓"),SUMPRODUCT(($AM$11:$AM659&lt;&gt;"")*($AS$11:$AS659&lt;&gt;"✓")),"")</f>
        <v/>
      </c>
      <c r="AZ659" s="21" t="str">
        <f>IF(AND($AM659&lt;&gt;"",$AS659="✓"),SUMPRODUCT(($AM$11:$AM659&lt;&gt;"")*($AS$11:$AS659="✓")),"")</f>
        <v/>
      </c>
      <c r="BA659" s="21" t="str">
        <f>IF($AL659="","",$AL659&amp;"|"&amp;COUNTIF($AL$11:$AL659,$AL659))</f>
        <v/>
      </c>
    </row>
    <row r="660" spans="23:53" ht="15" customHeight="1" x14ac:dyDescent="0.25">
      <c r="W660" s="28" t="str">
        <f>IF(X660="","",IFERROR(INDEX($AL$11:$AL$4010,MATCH(650,$AY$11:$AY$4010,0)),""))</f>
        <v/>
      </c>
      <c r="X660" s="26" t="str">
        <f>IFERROR(INDEX($AM$11:$AM$4010,MATCH(650,$AY$11:$AY$4010,0)),"")</f>
        <v/>
      </c>
      <c r="Y660" s="25" t="str">
        <f>IF(X660="","",IFERROR(INDEX($AN$11:$AN$4010,MATCH(650,$AY$11:$AY$4010,0)),""))</f>
        <v/>
      </c>
      <c r="Z660" s="25" t="str">
        <f>IF(X660="","",IFERROR(INDEX($AO$11:$AO$4010,MATCH(650,$AY$11:$AY$4010,0)),""))</f>
        <v/>
      </c>
      <c r="AA660" s="24" t="str">
        <f>IF(X660="","",IFERROR(INDEX($AQ$11:$AQ$4010,MATCH(650,$AY$11:$AY$4010,0)),""))</f>
        <v/>
      </c>
      <c r="AB660" s="29" t="str">
        <f>IF(X660="","",IFERROR(INDEX($AR$11:$AR$4010,MATCH(650,$AY$11:$AY$4010,0)),""))</f>
        <v/>
      </c>
      <c r="AD660" s="30" t="str">
        <f>IF(AE660="","",IFERROR(INDEX($AL$11:$AL$4010,MATCH(650,$AZ$11:$AZ$4010,0)),""))</f>
        <v/>
      </c>
      <c r="AE660" s="26" t="str">
        <f>IFERROR(INDEX($AM$11:$AM$4010,MATCH(650,$AZ$11:$AZ$4010,0)),"")</f>
        <v/>
      </c>
      <c r="AF660" s="25" t="str">
        <f>IF(AE660="","",IFERROR(INDEX($AN$11:$AN$4010,MATCH(650,$AZ$11:$AZ$4010,0)),""))</f>
        <v/>
      </c>
      <c r="AG660" s="25" t="str">
        <f>IF(AE660="","",IFERROR(INDEX($AO$11:$AO$4010,MATCH(650,$AZ$11:$AZ$4010,0)),""))</f>
        <v/>
      </c>
      <c r="AH660" s="24" t="str">
        <f>IF(AE660="","",IFERROR(INDEX($AQ$11:$AQ$4010,MATCH(650,$AZ$11:$AZ$4010,0)),""))</f>
        <v/>
      </c>
      <c r="AI660" s="29" t="str">
        <f>IF(AE660="","",IFERROR(INDEX($AR$11:$AR$4010,MATCH(650,$AZ$11:$AZ$4010,0)),""))</f>
        <v/>
      </c>
      <c r="AJ660" s="29" t="str">
        <f>IF(AE660="","",IFERROR(INDEX($AT$11:$AT$4010,MATCH(650,$AZ$11:$AZ$4010,0)),""))</f>
        <v/>
      </c>
      <c r="AL660" s="31"/>
      <c r="AM660" s="26"/>
      <c r="AN660" s="32"/>
      <c r="AO660" s="32"/>
      <c r="AP660" s="24"/>
      <c r="AQ660" s="24"/>
      <c r="AR660" s="33"/>
      <c r="AS660" s="34"/>
      <c r="AT660" s="33"/>
      <c r="AV660" s="21">
        <f>IF(AND($AL660&lt;&gt;"",COUNTIF($AL$11:$AL660,$AL660)=1),1,0)</f>
        <v>0</v>
      </c>
      <c r="AW660" s="21">
        <f t="shared" si="107"/>
        <v>0</v>
      </c>
      <c r="AX660" s="21" t="str">
        <f t="shared" si="106"/>
        <v/>
      </c>
      <c r="AY660" s="21" t="str">
        <f>IF(AND($AM660&lt;&gt;"",$AS660&lt;&gt;"✓"),SUMPRODUCT(($AM$11:$AM660&lt;&gt;"")*($AS$11:$AS660&lt;&gt;"✓")),"")</f>
        <v/>
      </c>
      <c r="AZ660" s="21" t="str">
        <f>IF(AND($AM660&lt;&gt;"",$AS660="✓"),SUMPRODUCT(($AM$11:$AM660&lt;&gt;"")*($AS$11:$AS660="✓")),"")</f>
        <v/>
      </c>
      <c r="BA660" s="21" t="str">
        <f>IF($AL660="","",$AL660&amp;"|"&amp;COUNTIF($AL$11:$AL660,$AL660))</f>
        <v/>
      </c>
    </row>
    <row r="661" spans="23:53" ht="15" customHeight="1" x14ac:dyDescent="0.25">
      <c r="W661" s="14" t="str">
        <f>IF(X661="","",IFERROR(INDEX($AL$11:$AL$4010,MATCH(651,$AY$11:$AY$4010,0)),""))</f>
        <v/>
      </c>
      <c r="X661" s="12" t="str">
        <f>IFERROR(INDEX($AM$11:$AM$4010,MATCH(651,$AY$11:$AY$4010,0)),"")</f>
        <v/>
      </c>
      <c r="Y661" s="11" t="str">
        <f>IF(X661="","",IFERROR(INDEX($AN$11:$AN$4010,MATCH(651,$AY$11:$AY$4010,0)),""))</f>
        <v/>
      </c>
      <c r="Z661" s="11" t="str">
        <f>IF(X661="","",IFERROR(INDEX($AO$11:$AO$4010,MATCH(651,$AY$11:$AY$4010,0)),""))</f>
        <v/>
      </c>
      <c r="AA661" s="10" t="str">
        <f>IF(X661="","",IFERROR(INDEX($AQ$11:$AQ$4010,MATCH(651,$AY$11:$AY$4010,0)),""))</f>
        <v/>
      </c>
      <c r="AB661" s="15" t="str">
        <f>IF(X661="","",IFERROR(INDEX($AR$11:$AR$4010,MATCH(651,$AY$11:$AY$4010,0)),""))</f>
        <v/>
      </c>
      <c r="AD661" s="16" t="str">
        <f>IF(AE661="","",IFERROR(INDEX($AL$11:$AL$4010,MATCH(651,$AZ$11:$AZ$4010,0)),""))</f>
        <v/>
      </c>
      <c r="AE661" s="12" t="str">
        <f>IFERROR(INDEX($AM$11:$AM$4010,MATCH(651,$AZ$11:$AZ$4010,0)),"")</f>
        <v/>
      </c>
      <c r="AF661" s="11" t="str">
        <f>IF(AE661="","",IFERROR(INDEX($AN$11:$AN$4010,MATCH(651,$AZ$11:$AZ$4010,0)),""))</f>
        <v/>
      </c>
      <c r="AG661" s="11" t="str">
        <f>IF(AE661="","",IFERROR(INDEX($AO$11:$AO$4010,MATCH(651,$AZ$11:$AZ$4010,0)),""))</f>
        <v/>
      </c>
      <c r="AH661" s="10" t="str">
        <f>IF(AE661="","",IFERROR(INDEX($AQ$11:$AQ$4010,MATCH(651,$AZ$11:$AZ$4010,0)),""))</f>
        <v/>
      </c>
      <c r="AI661" s="15" t="str">
        <f>IF(AE661="","",IFERROR(INDEX($AR$11:$AR$4010,MATCH(651,$AZ$11:$AZ$4010,0)),""))</f>
        <v/>
      </c>
      <c r="AJ661" s="15" t="str">
        <f>IF(AE661="","",IFERROR(INDEX($AT$11:$AT$4010,MATCH(651,$AZ$11:$AZ$4010,0)),""))</f>
        <v/>
      </c>
      <c r="AL661" s="17"/>
      <c r="AM661" s="12"/>
      <c r="AN661" s="18"/>
      <c r="AO661" s="18"/>
      <c r="AP661" s="10"/>
      <c r="AQ661" s="10"/>
      <c r="AR661" s="19"/>
      <c r="AS661" s="20"/>
      <c r="AT661" s="19"/>
      <c r="AV661" s="21">
        <f>IF(AND($AL661&lt;&gt;"",COUNTIF($AL$11:$AL661,$AL661)=1),1,0)</f>
        <v>0</v>
      </c>
      <c r="AW661" s="21">
        <f t="shared" si="107"/>
        <v>0</v>
      </c>
      <c r="AX661" s="21" t="str">
        <f t="shared" si="106"/>
        <v/>
      </c>
      <c r="AY661" s="21" t="str">
        <f>IF(AND($AM661&lt;&gt;"",$AS661&lt;&gt;"✓"),SUMPRODUCT(($AM$11:$AM661&lt;&gt;"")*($AS$11:$AS661&lt;&gt;"✓")),"")</f>
        <v/>
      </c>
      <c r="AZ661" s="21" t="str">
        <f>IF(AND($AM661&lt;&gt;"",$AS661="✓"),SUMPRODUCT(($AM$11:$AM661&lt;&gt;"")*($AS$11:$AS661="✓")),"")</f>
        <v/>
      </c>
      <c r="BA661" s="21" t="str">
        <f>IF($AL661="","",$AL661&amp;"|"&amp;COUNTIF($AL$11:$AL661,$AL661))</f>
        <v/>
      </c>
    </row>
    <row r="662" spans="23:53" ht="15" customHeight="1" x14ac:dyDescent="0.25">
      <c r="W662" s="28" t="str">
        <f>IF(X662="","",IFERROR(INDEX($AL$11:$AL$4010,MATCH(652,$AY$11:$AY$4010,0)),""))</f>
        <v/>
      </c>
      <c r="X662" s="26" t="str">
        <f>IFERROR(INDEX($AM$11:$AM$4010,MATCH(652,$AY$11:$AY$4010,0)),"")</f>
        <v/>
      </c>
      <c r="Y662" s="25" t="str">
        <f>IF(X662="","",IFERROR(INDEX($AN$11:$AN$4010,MATCH(652,$AY$11:$AY$4010,0)),""))</f>
        <v/>
      </c>
      <c r="Z662" s="25" t="str">
        <f>IF(X662="","",IFERROR(INDEX($AO$11:$AO$4010,MATCH(652,$AY$11:$AY$4010,0)),""))</f>
        <v/>
      </c>
      <c r="AA662" s="24" t="str">
        <f>IF(X662="","",IFERROR(INDEX($AQ$11:$AQ$4010,MATCH(652,$AY$11:$AY$4010,0)),""))</f>
        <v/>
      </c>
      <c r="AB662" s="29" t="str">
        <f>IF(X662="","",IFERROR(INDEX($AR$11:$AR$4010,MATCH(652,$AY$11:$AY$4010,0)),""))</f>
        <v/>
      </c>
      <c r="AD662" s="30" t="str">
        <f>IF(AE662="","",IFERROR(INDEX($AL$11:$AL$4010,MATCH(652,$AZ$11:$AZ$4010,0)),""))</f>
        <v/>
      </c>
      <c r="AE662" s="26" t="str">
        <f>IFERROR(INDEX($AM$11:$AM$4010,MATCH(652,$AZ$11:$AZ$4010,0)),"")</f>
        <v/>
      </c>
      <c r="AF662" s="25" t="str">
        <f>IF(AE662="","",IFERROR(INDEX($AN$11:$AN$4010,MATCH(652,$AZ$11:$AZ$4010,0)),""))</f>
        <v/>
      </c>
      <c r="AG662" s="25" t="str">
        <f>IF(AE662="","",IFERROR(INDEX($AO$11:$AO$4010,MATCH(652,$AZ$11:$AZ$4010,0)),""))</f>
        <v/>
      </c>
      <c r="AH662" s="24" t="str">
        <f>IF(AE662="","",IFERROR(INDEX($AQ$11:$AQ$4010,MATCH(652,$AZ$11:$AZ$4010,0)),""))</f>
        <v/>
      </c>
      <c r="AI662" s="29" t="str">
        <f>IF(AE662="","",IFERROR(INDEX($AR$11:$AR$4010,MATCH(652,$AZ$11:$AZ$4010,0)),""))</f>
        <v/>
      </c>
      <c r="AJ662" s="29" t="str">
        <f>IF(AE662="","",IFERROR(INDEX($AT$11:$AT$4010,MATCH(652,$AZ$11:$AZ$4010,0)),""))</f>
        <v/>
      </c>
      <c r="AL662" s="31"/>
      <c r="AM662" s="26"/>
      <c r="AN662" s="32"/>
      <c r="AO662" s="32"/>
      <c r="AP662" s="24"/>
      <c r="AQ662" s="24"/>
      <c r="AR662" s="33"/>
      <c r="AS662" s="34"/>
      <c r="AT662" s="33"/>
      <c r="AV662" s="21">
        <f>IF(AND($AL662&lt;&gt;"",COUNTIF($AL$11:$AL662,$AL662)=1),1,0)</f>
        <v>0</v>
      </c>
      <c r="AW662" s="21">
        <f t="shared" si="107"/>
        <v>0</v>
      </c>
      <c r="AX662" s="21" t="str">
        <f t="shared" si="106"/>
        <v/>
      </c>
      <c r="AY662" s="21" t="str">
        <f>IF(AND($AM662&lt;&gt;"",$AS662&lt;&gt;"✓"),SUMPRODUCT(($AM$11:$AM662&lt;&gt;"")*($AS$11:$AS662&lt;&gt;"✓")),"")</f>
        <v/>
      </c>
      <c r="AZ662" s="21" t="str">
        <f>IF(AND($AM662&lt;&gt;"",$AS662="✓"),SUMPRODUCT(($AM$11:$AM662&lt;&gt;"")*($AS$11:$AS662="✓")),"")</f>
        <v/>
      </c>
      <c r="BA662" s="21" t="str">
        <f>IF($AL662="","",$AL662&amp;"|"&amp;COUNTIF($AL$11:$AL662,$AL662))</f>
        <v/>
      </c>
    </row>
    <row r="663" spans="23:53" ht="15" customHeight="1" x14ac:dyDescent="0.25">
      <c r="W663" s="14" t="str">
        <f>IF(X663="","",IFERROR(INDEX($AL$11:$AL$4010,MATCH(653,$AY$11:$AY$4010,0)),""))</f>
        <v/>
      </c>
      <c r="X663" s="12" t="str">
        <f>IFERROR(INDEX($AM$11:$AM$4010,MATCH(653,$AY$11:$AY$4010,0)),"")</f>
        <v/>
      </c>
      <c r="Y663" s="11" t="str">
        <f>IF(X663="","",IFERROR(INDEX($AN$11:$AN$4010,MATCH(653,$AY$11:$AY$4010,0)),""))</f>
        <v/>
      </c>
      <c r="Z663" s="11" t="str">
        <f>IF(X663="","",IFERROR(INDEX($AO$11:$AO$4010,MATCH(653,$AY$11:$AY$4010,0)),""))</f>
        <v/>
      </c>
      <c r="AA663" s="10" t="str">
        <f>IF(X663="","",IFERROR(INDEX($AQ$11:$AQ$4010,MATCH(653,$AY$11:$AY$4010,0)),""))</f>
        <v/>
      </c>
      <c r="AB663" s="15" t="str">
        <f>IF(X663="","",IFERROR(INDEX($AR$11:$AR$4010,MATCH(653,$AY$11:$AY$4010,0)),""))</f>
        <v/>
      </c>
      <c r="AD663" s="16" t="str">
        <f>IF(AE663="","",IFERROR(INDEX($AL$11:$AL$4010,MATCH(653,$AZ$11:$AZ$4010,0)),""))</f>
        <v/>
      </c>
      <c r="AE663" s="12" t="str">
        <f>IFERROR(INDEX($AM$11:$AM$4010,MATCH(653,$AZ$11:$AZ$4010,0)),"")</f>
        <v/>
      </c>
      <c r="AF663" s="11" t="str">
        <f>IF(AE663="","",IFERROR(INDEX($AN$11:$AN$4010,MATCH(653,$AZ$11:$AZ$4010,0)),""))</f>
        <v/>
      </c>
      <c r="AG663" s="11" t="str">
        <f>IF(AE663="","",IFERROR(INDEX($AO$11:$AO$4010,MATCH(653,$AZ$11:$AZ$4010,0)),""))</f>
        <v/>
      </c>
      <c r="AH663" s="10" t="str">
        <f>IF(AE663="","",IFERROR(INDEX($AQ$11:$AQ$4010,MATCH(653,$AZ$11:$AZ$4010,0)),""))</f>
        <v/>
      </c>
      <c r="AI663" s="15" t="str">
        <f>IF(AE663="","",IFERROR(INDEX($AR$11:$AR$4010,MATCH(653,$AZ$11:$AZ$4010,0)),""))</f>
        <v/>
      </c>
      <c r="AJ663" s="15" t="str">
        <f>IF(AE663="","",IFERROR(INDEX($AT$11:$AT$4010,MATCH(653,$AZ$11:$AZ$4010,0)),""))</f>
        <v/>
      </c>
      <c r="AL663" s="17"/>
      <c r="AM663" s="12"/>
      <c r="AN663" s="18"/>
      <c r="AO663" s="18"/>
      <c r="AP663" s="10"/>
      <c r="AQ663" s="10"/>
      <c r="AR663" s="19"/>
      <c r="AS663" s="20"/>
      <c r="AT663" s="19"/>
      <c r="AV663" s="21">
        <f>IF(AND($AL663&lt;&gt;"",COUNTIF($AL$11:$AL663,$AL663)=1),1,0)</f>
        <v>0</v>
      </c>
      <c r="AW663" s="21">
        <f t="shared" si="107"/>
        <v>0</v>
      </c>
      <c r="AX663" s="21" t="str">
        <f t="shared" si="106"/>
        <v/>
      </c>
      <c r="AY663" s="21" t="str">
        <f>IF(AND($AM663&lt;&gt;"",$AS663&lt;&gt;"✓"),SUMPRODUCT(($AM$11:$AM663&lt;&gt;"")*($AS$11:$AS663&lt;&gt;"✓")),"")</f>
        <v/>
      </c>
      <c r="AZ663" s="21" t="str">
        <f>IF(AND($AM663&lt;&gt;"",$AS663="✓"),SUMPRODUCT(($AM$11:$AM663&lt;&gt;"")*($AS$11:$AS663="✓")),"")</f>
        <v/>
      </c>
      <c r="BA663" s="21" t="str">
        <f>IF($AL663="","",$AL663&amp;"|"&amp;COUNTIF($AL$11:$AL663,$AL663))</f>
        <v/>
      </c>
    </row>
    <row r="664" spans="23:53" ht="15" customHeight="1" x14ac:dyDescent="0.25">
      <c r="W664" s="28" t="str">
        <f>IF(X664="","",IFERROR(INDEX($AL$11:$AL$4010,MATCH(654,$AY$11:$AY$4010,0)),""))</f>
        <v/>
      </c>
      <c r="X664" s="26" t="str">
        <f>IFERROR(INDEX($AM$11:$AM$4010,MATCH(654,$AY$11:$AY$4010,0)),"")</f>
        <v/>
      </c>
      <c r="Y664" s="25" t="str">
        <f>IF(X664="","",IFERROR(INDEX($AN$11:$AN$4010,MATCH(654,$AY$11:$AY$4010,0)),""))</f>
        <v/>
      </c>
      <c r="Z664" s="25" t="str">
        <f>IF(X664="","",IFERROR(INDEX($AO$11:$AO$4010,MATCH(654,$AY$11:$AY$4010,0)),""))</f>
        <v/>
      </c>
      <c r="AA664" s="24" t="str">
        <f>IF(X664="","",IFERROR(INDEX($AQ$11:$AQ$4010,MATCH(654,$AY$11:$AY$4010,0)),""))</f>
        <v/>
      </c>
      <c r="AB664" s="29" t="str">
        <f>IF(X664="","",IFERROR(INDEX($AR$11:$AR$4010,MATCH(654,$AY$11:$AY$4010,0)),""))</f>
        <v/>
      </c>
      <c r="AD664" s="30" t="str">
        <f>IF(AE664="","",IFERROR(INDEX($AL$11:$AL$4010,MATCH(654,$AZ$11:$AZ$4010,0)),""))</f>
        <v/>
      </c>
      <c r="AE664" s="26" t="str">
        <f>IFERROR(INDEX($AM$11:$AM$4010,MATCH(654,$AZ$11:$AZ$4010,0)),"")</f>
        <v/>
      </c>
      <c r="AF664" s="25" t="str">
        <f>IF(AE664="","",IFERROR(INDEX($AN$11:$AN$4010,MATCH(654,$AZ$11:$AZ$4010,0)),""))</f>
        <v/>
      </c>
      <c r="AG664" s="25" t="str">
        <f>IF(AE664="","",IFERROR(INDEX($AO$11:$AO$4010,MATCH(654,$AZ$11:$AZ$4010,0)),""))</f>
        <v/>
      </c>
      <c r="AH664" s="24" t="str">
        <f>IF(AE664="","",IFERROR(INDEX($AQ$11:$AQ$4010,MATCH(654,$AZ$11:$AZ$4010,0)),""))</f>
        <v/>
      </c>
      <c r="AI664" s="29" t="str">
        <f>IF(AE664="","",IFERROR(INDEX($AR$11:$AR$4010,MATCH(654,$AZ$11:$AZ$4010,0)),""))</f>
        <v/>
      </c>
      <c r="AJ664" s="29" t="str">
        <f>IF(AE664="","",IFERROR(INDEX($AT$11:$AT$4010,MATCH(654,$AZ$11:$AZ$4010,0)),""))</f>
        <v/>
      </c>
      <c r="AL664" s="31"/>
      <c r="AM664" s="26"/>
      <c r="AN664" s="32"/>
      <c r="AO664" s="32"/>
      <c r="AP664" s="24"/>
      <c r="AQ664" s="24"/>
      <c r="AR664" s="33"/>
      <c r="AS664" s="34"/>
      <c r="AT664" s="33"/>
      <c r="AV664" s="21">
        <f>IF(AND($AL664&lt;&gt;"",COUNTIF($AL$11:$AL664,$AL664)=1),1,0)</f>
        <v>0</v>
      </c>
      <c r="AW664" s="21">
        <f t="shared" si="107"/>
        <v>0</v>
      </c>
      <c r="AX664" s="21" t="str">
        <f t="shared" si="106"/>
        <v/>
      </c>
      <c r="AY664" s="21" t="str">
        <f>IF(AND($AM664&lt;&gt;"",$AS664&lt;&gt;"✓"),SUMPRODUCT(($AM$11:$AM664&lt;&gt;"")*($AS$11:$AS664&lt;&gt;"✓")),"")</f>
        <v/>
      </c>
      <c r="AZ664" s="21" t="str">
        <f>IF(AND($AM664&lt;&gt;"",$AS664="✓"),SUMPRODUCT(($AM$11:$AM664&lt;&gt;"")*($AS$11:$AS664="✓")),"")</f>
        <v/>
      </c>
      <c r="BA664" s="21" t="str">
        <f>IF($AL664="","",$AL664&amp;"|"&amp;COUNTIF($AL$11:$AL664,$AL664))</f>
        <v/>
      </c>
    </row>
    <row r="665" spans="23:53" ht="15" customHeight="1" x14ac:dyDescent="0.25">
      <c r="W665" s="14" t="str">
        <f>IF(X665="","",IFERROR(INDEX($AL$11:$AL$4010,MATCH(655,$AY$11:$AY$4010,0)),""))</f>
        <v/>
      </c>
      <c r="X665" s="12" t="str">
        <f>IFERROR(INDEX($AM$11:$AM$4010,MATCH(655,$AY$11:$AY$4010,0)),"")</f>
        <v/>
      </c>
      <c r="Y665" s="11" t="str">
        <f>IF(X665="","",IFERROR(INDEX($AN$11:$AN$4010,MATCH(655,$AY$11:$AY$4010,0)),""))</f>
        <v/>
      </c>
      <c r="Z665" s="11" t="str">
        <f>IF(X665="","",IFERROR(INDEX($AO$11:$AO$4010,MATCH(655,$AY$11:$AY$4010,0)),""))</f>
        <v/>
      </c>
      <c r="AA665" s="10" t="str">
        <f>IF(X665="","",IFERROR(INDEX($AQ$11:$AQ$4010,MATCH(655,$AY$11:$AY$4010,0)),""))</f>
        <v/>
      </c>
      <c r="AB665" s="15" t="str">
        <f>IF(X665="","",IFERROR(INDEX($AR$11:$AR$4010,MATCH(655,$AY$11:$AY$4010,0)),""))</f>
        <v/>
      </c>
      <c r="AD665" s="16" t="str">
        <f>IF(AE665="","",IFERROR(INDEX($AL$11:$AL$4010,MATCH(655,$AZ$11:$AZ$4010,0)),""))</f>
        <v/>
      </c>
      <c r="AE665" s="12" t="str">
        <f>IFERROR(INDEX($AM$11:$AM$4010,MATCH(655,$AZ$11:$AZ$4010,0)),"")</f>
        <v/>
      </c>
      <c r="AF665" s="11" t="str">
        <f>IF(AE665="","",IFERROR(INDEX($AN$11:$AN$4010,MATCH(655,$AZ$11:$AZ$4010,0)),""))</f>
        <v/>
      </c>
      <c r="AG665" s="11" t="str">
        <f>IF(AE665="","",IFERROR(INDEX($AO$11:$AO$4010,MATCH(655,$AZ$11:$AZ$4010,0)),""))</f>
        <v/>
      </c>
      <c r="AH665" s="10" t="str">
        <f>IF(AE665="","",IFERROR(INDEX($AQ$11:$AQ$4010,MATCH(655,$AZ$11:$AZ$4010,0)),""))</f>
        <v/>
      </c>
      <c r="AI665" s="15" t="str">
        <f>IF(AE665="","",IFERROR(INDEX($AR$11:$AR$4010,MATCH(655,$AZ$11:$AZ$4010,0)),""))</f>
        <v/>
      </c>
      <c r="AJ665" s="15" t="str">
        <f>IF(AE665="","",IFERROR(INDEX($AT$11:$AT$4010,MATCH(655,$AZ$11:$AZ$4010,0)),""))</f>
        <v/>
      </c>
      <c r="AL665" s="17"/>
      <c r="AM665" s="12"/>
      <c r="AN665" s="18"/>
      <c r="AO665" s="18"/>
      <c r="AP665" s="10"/>
      <c r="AQ665" s="10"/>
      <c r="AR665" s="19"/>
      <c r="AS665" s="20"/>
      <c r="AT665" s="19"/>
      <c r="AV665" s="21">
        <f>IF(AND($AL665&lt;&gt;"",COUNTIF($AL$11:$AL665,$AL665)=1),1,0)</f>
        <v>0</v>
      </c>
      <c r="AW665" s="21">
        <f t="shared" si="107"/>
        <v>0</v>
      </c>
      <c r="AX665" s="21" t="str">
        <f t="shared" si="106"/>
        <v/>
      </c>
      <c r="AY665" s="21" t="str">
        <f>IF(AND($AM665&lt;&gt;"",$AS665&lt;&gt;"✓"),SUMPRODUCT(($AM$11:$AM665&lt;&gt;"")*($AS$11:$AS665&lt;&gt;"✓")),"")</f>
        <v/>
      </c>
      <c r="AZ665" s="21" t="str">
        <f>IF(AND($AM665&lt;&gt;"",$AS665="✓"),SUMPRODUCT(($AM$11:$AM665&lt;&gt;"")*($AS$11:$AS665="✓")),"")</f>
        <v/>
      </c>
      <c r="BA665" s="21" t="str">
        <f>IF($AL665="","",$AL665&amp;"|"&amp;COUNTIF($AL$11:$AL665,$AL665))</f>
        <v/>
      </c>
    </row>
    <row r="666" spans="23:53" ht="15" customHeight="1" x14ac:dyDescent="0.25">
      <c r="W666" s="28" t="str">
        <f>IF(X666="","",IFERROR(INDEX($AL$11:$AL$4010,MATCH(656,$AY$11:$AY$4010,0)),""))</f>
        <v/>
      </c>
      <c r="X666" s="26" t="str">
        <f>IFERROR(INDEX($AM$11:$AM$4010,MATCH(656,$AY$11:$AY$4010,0)),"")</f>
        <v/>
      </c>
      <c r="Y666" s="25" t="str">
        <f>IF(X666="","",IFERROR(INDEX($AN$11:$AN$4010,MATCH(656,$AY$11:$AY$4010,0)),""))</f>
        <v/>
      </c>
      <c r="Z666" s="25" t="str">
        <f>IF(X666="","",IFERROR(INDEX($AO$11:$AO$4010,MATCH(656,$AY$11:$AY$4010,0)),""))</f>
        <v/>
      </c>
      <c r="AA666" s="24" t="str">
        <f>IF(X666="","",IFERROR(INDEX($AQ$11:$AQ$4010,MATCH(656,$AY$11:$AY$4010,0)),""))</f>
        <v/>
      </c>
      <c r="AB666" s="29" t="str">
        <f>IF(X666="","",IFERROR(INDEX($AR$11:$AR$4010,MATCH(656,$AY$11:$AY$4010,0)),""))</f>
        <v/>
      </c>
      <c r="AD666" s="30" t="str">
        <f>IF(AE666="","",IFERROR(INDEX($AL$11:$AL$4010,MATCH(656,$AZ$11:$AZ$4010,0)),""))</f>
        <v/>
      </c>
      <c r="AE666" s="26" t="str">
        <f>IFERROR(INDEX($AM$11:$AM$4010,MATCH(656,$AZ$11:$AZ$4010,0)),"")</f>
        <v/>
      </c>
      <c r="AF666" s="25" t="str">
        <f>IF(AE666="","",IFERROR(INDEX($AN$11:$AN$4010,MATCH(656,$AZ$11:$AZ$4010,0)),""))</f>
        <v/>
      </c>
      <c r="AG666" s="25" t="str">
        <f>IF(AE666="","",IFERROR(INDEX($AO$11:$AO$4010,MATCH(656,$AZ$11:$AZ$4010,0)),""))</f>
        <v/>
      </c>
      <c r="AH666" s="24" t="str">
        <f>IF(AE666="","",IFERROR(INDEX($AQ$11:$AQ$4010,MATCH(656,$AZ$11:$AZ$4010,0)),""))</f>
        <v/>
      </c>
      <c r="AI666" s="29" t="str">
        <f>IF(AE666="","",IFERROR(INDEX($AR$11:$AR$4010,MATCH(656,$AZ$11:$AZ$4010,0)),""))</f>
        <v/>
      </c>
      <c r="AJ666" s="29" t="str">
        <f>IF(AE666="","",IFERROR(INDEX($AT$11:$AT$4010,MATCH(656,$AZ$11:$AZ$4010,0)),""))</f>
        <v/>
      </c>
      <c r="AL666" s="31"/>
      <c r="AM666" s="26"/>
      <c r="AN666" s="32"/>
      <c r="AO666" s="32"/>
      <c r="AP666" s="24"/>
      <c r="AQ666" s="24"/>
      <c r="AR666" s="33"/>
      <c r="AS666" s="34"/>
      <c r="AT666" s="33"/>
      <c r="AV666" s="21">
        <f>IF(AND($AL666&lt;&gt;"",COUNTIF($AL$11:$AL666,$AL666)=1),1,0)</f>
        <v>0</v>
      </c>
      <c r="AW666" s="21">
        <f t="shared" si="107"/>
        <v>0</v>
      </c>
      <c r="AX666" s="21" t="str">
        <f t="shared" si="106"/>
        <v/>
      </c>
      <c r="AY666" s="21" t="str">
        <f>IF(AND($AM666&lt;&gt;"",$AS666&lt;&gt;"✓"),SUMPRODUCT(($AM$11:$AM666&lt;&gt;"")*($AS$11:$AS666&lt;&gt;"✓")),"")</f>
        <v/>
      </c>
      <c r="AZ666" s="21" t="str">
        <f>IF(AND($AM666&lt;&gt;"",$AS666="✓"),SUMPRODUCT(($AM$11:$AM666&lt;&gt;"")*($AS$11:$AS666="✓")),"")</f>
        <v/>
      </c>
      <c r="BA666" s="21" t="str">
        <f>IF($AL666="","",$AL666&amp;"|"&amp;COUNTIF($AL$11:$AL666,$AL666))</f>
        <v/>
      </c>
    </row>
    <row r="667" spans="23:53" ht="15" customHeight="1" x14ac:dyDescent="0.25">
      <c r="W667" s="14" t="str">
        <f>IF(X667="","",IFERROR(INDEX($AL$11:$AL$4010,MATCH(657,$AY$11:$AY$4010,0)),""))</f>
        <v/>
      </c>
      <c r="X667" s="12" t="str">
        <f>IFERROR(INDEX($AM$11:$AM$4010,MATCH(657,$AY$11:$AY$4010,0)),"")</f>
        <v/>
      </c>
      <c r="Y667" s="11" t="str">
        <f>IF(X667="","",IFERROR(INDEX($AN$11:$AN$4010,MATCH(657,$AY$11:$AY$4010,0)),""))</f>
        <v/>
      </c>
      <c r="Z667" s="11" t="str">
        <f>IF(X667="","",IFERROR(INDEX($AO$11:$AO$4010,MATCH(657,$AY$11:$AY$4010,0)),""))</f>
        <v/>
      </c>
      <c r="AA667" s="10" t="str">
        <f>IF(X667="","",IFERROR(INDEX($AQ$11:$AQ$4010,MATCH(657,$AY$11:$AY$4010,0)),""))</f>
        <v/>
      </c>
      <c r="AB667" s="15" t="str">
        <f>IF(X667="","",IFERROR(INDEX($AR$11:$AR$4010,MATCH(657,$AY$11:$AY$4010,0)),""))</f>
        <v/>
      </c>
      <c r="AD667" s="16" t="str">
        <f>IF(AE667="","",IFERROR(INDEX($AL$11:$AL$4010,MATCH(657,$AZ$11:$AZ$4010,0)),""))</f>
        <v/>
      </c>
      <c r="AE667" s="12" t="str">
        <f>IFERROR(INDEX($AM$11:$AM$4010,MATCH(657,$AZ$11:$AZ$4010,0)),"")</f>
        <v/>
      </c>
      <c r="AF667" s="11" t="str">
        <f>IF(AE667="","",IFERROR(INDEX($AN$11:$AN$4010,MATCH(657,$AZ$11:$AZ$4010,0)),""))</f>
        <v/>
      </c>
      <c r="AG667" s="11" t="str">
        <f>IF(AE667="","",IFERROR(INDEX($AO$11:$AO$4010,MATCH(657,$AZ$11:$AZ$4010,0)),""))</f>
        <v/>
      </c>
      <c r="AH667" s="10" t="str">
        <f>IF(AE667="","",IFERROR(INDEX($AQ$11:$AQ$4010,MATCH(657,$AZ$11:$AZ$4010,0)),""))</f>
        <v/>
      </c>
      <c r="AI667" s="15" t="str">
        <f>IF(AE667="","",IFERROR(INDEX($AR$11:$AR$4010,MATCH(657,$AZ$11:$AZ$4010,0)),""))</f>
        <v/>
      </c>
      <c r="AJ667" s="15" t="str">
        <f>IF(AE667="","",IFERROR(INDEX($AT$11:$AT$4010,MATCH(657,$AZ$11:$AZ$4010,0)),""))</f>
        <v/>
      </c>
      <c r="AL667" s="17"/>
      <c r="AM667" s="12"/>
      <c r="AN667" s="18"/>
      <c r="AO667" s="18"/>
      <c r="AP667" s="10"/>
      <c r="AQ667" s="10"/>
      <c r="AR667" s="19"/>
      <c r="AS667" s="20"/>
      <c r="AT667" s="19"/>
      <c r="AV667" s="21">
        <f>IF(AND($AL667&lt;&gt;"",COUNTIF($AL$11:$AL667,$AL667)=1),1,0)</f>
        <v>0</v>
      </c>
      <c r="AW667" s="21">
        <f t="shared" si="107"/>
        <v>0</v>
      </c>
      <c r="AX667" s="21" t="str">
        <f t="shared" si="106"/>
        <v/>
      </c>
      <c r="AY667" s="21" t="str">
        <f>IF(AND($AM667&lt;&gt;"",$AS667&lt;&gt;"✓"),SUMPRODUCT(($AM$11:$AM667&lt;&gt;"")*($AS$11:$AS667&lt;&gt;"✓")),"")</f>
        <v/>
      </c>
      <c r="AZ667" s="21" t="str">
        <f>IF(AND($AM667&lt;&gt;"",$AS667="✓"),SUMPRODUCT(($AM$11:$AM667&lt;&gt;"")*($AS$11:$AS667="✓")),"")</f>
        <v/>
      </c>
      <c r="BA667" s="21" t="str">
        <f>IF($AL667="","",$AL667&amp;"|"&amp;COUNTIF($AL$11:$AL667,$AL667))</f>
        <v/>
      </c>
    </row>
    <row r="668" spans="23:53" ht="15" customHeight="1" x14ac:dyDescent="0.25">
      <c r="W668" s="28" t="str">
        <f>IF(X668="","",IFERROR(INDEX($AL$11:$AL$4010,MATCH(658,$AY$11:$AY$4010,0)),""))</f>
        <v/>
      </c>
      <c r="X668" s="26" t="str">
        <f>IFERROR(INDEX($AM$11:$AM$4010,MATCH(658,$AY$11:$AY$4010,0)),"")</f>
        <v/>
      </c>
      <c r="Y668" s="25" t="str">
        <f>IF(X668="","",IFERROR(INDEX($AN$11:$AN$4010,MATCH(658,$AY$11:$AY$4010,0)),""))</f>
        <v/>
      </c>
      <c r="Z668" s="25" t="str">
        <f>IF(X668="","",IFERROR(INDEX($AO$11:$AO$4010,MATCH(658,$AY$11:$AY$4010,0)),""))</f>
        <v/>
      </c>
      <c r="AA668" s="24" t="str">
        <f>IF(X668="","",IFERROR(INDEX($AQ$11:$AQ$4010,MATCH(658,$AY$11:$AY$4010,0)),""))</f>
        <v/>
      </c>
      <c r="AB668" s="29" t="str">
        <f>IF(X668="","",IFERROR(INDEX($AR$11:$AR$4010,MATCH(658,$AY$11:$AY$4010,0)),""))</f>
        <v/>
      </c>
      <c r="AD668" s="30" t="str">
        <f>IF(AE668="","",IFERROR(INDEX($AL$11:$AL$4010,MATCH(658,$AZ$11:$AZ$4010,0)),""))</f>
        <v/>
      </c>
      <c r="AE668" s="26" t="str">
        <f>IFERROR(INDEX($AM$11:$AM$4010,MATCH(658,$AZ$11:$AZ$4010,0)),"")</f>
        <v/>
      </c>
      <c r="AF668" s="25" t="str">
        <f>IF(AE668="","",IFERROR(INDEX($AN$11:$AN$4010,MATCH(658,$AZ$11:$AZ$4010,0)),""))</f>
        <v/>
      </c>
      <c r="AG668" s="25" t="str">
        <f>IF(AE668="","",IFERROR(INDEX($AO$11:$AO$4010,MATCH(658,$AZ$11:$AZ$4010,0)),""))</f>
        <v/>
      </c>
      <c r="AH668" s="24" t="str">
        <f>IF(AE668="","",IFERROR(INDEX($AQ$11:$AQ$4010,MATCH(658,$AZ$11:$AZ$4010,0)),""))</f>
        <v/>
      </c>
      <c r="AI668" s="29" t="str">
        <f>IF(AE668="","",IFERROR(INDEX($AR$11:$AR$4010,MATCH(658,$AZ$11:$AZ$4010,0)),""))</f>
        <v/>
      </c>
      <c r="AJ668" s="29" t="str">
        <f>IF(AE668="","",IFERROR(INDEX($AT$11:$AT$4010,MATCH(658,$AZ$11:$AZ$4010,0)),""))</f>
        <v/>
      </c>
      <c r="AL668" s="31"/>
      <c r="AM668" s="26"/>
      <c r="AN668" s="32"/>
      <c r="AO668" s="32"/>
      <c r="AP668" s="24"/>
      <c r="AQ668" s="24"/>
      <c r="AR668" s="33"/>
      <c r="AS668" s="34"/>
      <c r="AT668" s="33"/>
      <c r="AV668" s="21">
        <f>IF(AND($AL668&lt;&gt;"",COUNTIF($AL$11:$AL668,$AL668)=1),1,0)</f>
        <v>0</v>
      </c>
      <c r="AW668" s="21">
        <f t="shared" si="107"/>
        <v>0</v>
      </c>
      <c r="AX668" s="21" t="str">
        <f t="shared" si="106"/>
        <v/>
      </c>
      <c r="AY668" s="21" t="str">
        <f>IF(AND($AM668&lt;&gt;"",$AS668&lt;&gt;"✓"),SUMPRODUCT(($AM$11:$AM668&lt;&gt;"")*($AS$11:$AS668&lt;&gt;"✓")),"")</f>
        <v/>
      </c>
      <c r="AZ668" s="21" t="str">
        <f>IF(AND($AM668&lt;&gt;"",$AS668="✓"),SUMPRODUCT(($AM$11:$AM668&lt;&gt;"")*($AS$11:$AS668="✓")),"")</f>
        <v/>
      </c>
      <c r="BA668" s="21" t="str">
        <f>IF($AL668="","",$AL668&amp;"|"&amp;COUNTIF($AL$11:$AL668,$AL668))</f>
        <v/>
      </c>
    </row>
    <row r="669" spans="23:53" ht="15" customHeight="1" x14ac:dyDescent="0.25">
      <c r="W669" s="14" t="str">
        <f>IF(X669="","",IFERROR(INDEX($AL$11:$AL$4010,MATCH(659,$AY$11:$AY$4010,0)),""))</f>
        <v/>
      </c>
      <c r="X669" s="12" t="str">
        <f>IFERROR(INDEX($AM$11:$AM$4010,MATCH(659,$AY$11:$AY$4010,0)),"")</f>
        <v/>
      </c>
      <c r="Y669" s="11" t="str">
        <f>IF(X669="","",IFERROR(INDEX($AN$11:$AN$4010,MATCH(659,$AY$11:$AY$4010,0)),""))</f>
        <v/>
      </c>
      <c r="Z669" s="11" t="str">
        <f>IF(X669="","",IFERROR(INDEX($AO$11:$AO$4010,MATCH(659,$AY$11:$AY$4010,0)),""))</f>
        <v/>
      </c>
      <c r="AA669" s="10" t="str">
        <f>IF(X669="","",IFERROR(INDEX($AQ$11:$AQ$4010,MATCH(659,$AY$11:$AY$4010,0)),""))</f>
        <v/>
      </c>
      <c r="AB669" s="15" t="str">
        <f>IF(X669="","",IFERROR(INDEX($AR$11:$AR$4010,MATCH(659,$AY$11:$AY$4010,0)),""))</f>
        <v/>
      </c>
      <c r="AD669" s="16" t="str">
        <f>IF(AE669="","",IFERROR(INDEX($AL$11:$AL$4010,MATCH(659,$AZ$11:$AZ$4010,0)),""))</f>
        <v/>
      </c>
      <c r="AE669" s="12" t="str">
        <f>IFERROR(INDEX($AM$11:$AM$4010,MATCH(659,$AZ$11:$AZ$4010,0)),"")</f>
        <v/>
      </c>
      <c r="AF669" s="11" t="str">
        <f>IF(AE669="","",IFERROR(INDEX($AN$11:$AN$4010,MATCH(659,$AZ$11:$AZ$4010,0)),""))</f>
        <v/>
      </c>
      <c r="AG669" s="11" t="str">
        <f>IF(AE669="","",IFERROR(INDEX($AO$11:$AO$4010,MATCH(659,$AZ$11:$AZ$4010,0)),""))</f>
        <v/>
      </c>
      <c r="AH669" s="10" t="str">
        <f>IF(AE669="","",IFERROR(INDEX($AQ$11:$AQ$4010,MATCH(659,$AZ$11:$AZ$4010,0)),""))</f>
        <v/>
      </c>
      <c r="AI669" s="15" t="str">
        <f>IF(AE669="","",IFERROR(INDEX($AR$11:$AR$4010,MATCH(659,$AZ$11:$AZ$4010,0)),""))</f>
        <v/>
      </c>
      <c r="AJ669" s="15" t="str">
        <f>IF(AE669="","",IFERROR(INDEX($AT$11:$AT$4010,MATCH(659,$AZ$11:$AZ$4010,0)),""))</f>
        <v/>
      </c>
      <c r="AL669" s="17"/>
      <c r="AM669" s="12"/>
      <c r="AN669" s="18"/>
      <c r="AO669" s="18"/>
      <c r="AP669" s="10"/>
      <c r="AQ669" s="10"/>
      <c r="AR669" s="19"/>
      <c r="AS669" s="20"/>
      <c r="AT669" s="19"/>
      <c r="AV669" s="21">
        <f>IF(AND($AL669&lt;&gt;"",COUNTIF($AL$11:$AL669,$AL669)=1),1,0)</f>
        <v>0</v>
      </c>
      <c r="AW669" s="21">
        <f t="shared" si="107"/>
        <v>0</v>
      </c>
      <c r="AX669" s="21" t="str">
        <f t="shared" si="106"/>
        <v/>
      </c>
      <c r="AY669" s="21" t="str">
        <f>IF(AND($AM669&lt;&gt;"",$AS669&lt;&gt;"✓"),SUMPRODUCT(($AM$11:$AM669&lt;&gt;"")*($AS$11:$AS669&lt;&gt;"✓")),"")</f>
        <v/>
      </c>
      <c r="AZ669" s="21" t="str">
        <f>IF(AND($AM669&lt;&gt;"",$AS669="✓"),SUMPRODUCT(($AM$11:$AM669&lt;&gt;"")*($AS$11:$AS669="✓")),"")</f>
        <v/>
      </c>
      <c r="BA669" s="21" t="str">
        <f>IF($AL669="","",$AL669&amp;"|"&amp;COUNTIF($AL$11:$AL669,$AL669))</f>
        <v/>
      </c>
    </row>
    <row r="670" spans="23:53" ht="15" customHeight="1" x14ac:dyDescent="0.25">
      <c r="W670" s="28" t="str">
        <f>IF(X670="","",IFERROR(INDEX($AL$11:$AL$4010,MATCH(660,$AY$11:$AY$4010,0)),""))</f>
        <v/>
      </c>
      <c r="X670" s="26" t="str">
        <f>IFERROR(INDEX($AM$11:$AM$4010,MATCH(660,$AY$11:$AY$4010,0)),"")</f>
        <v/>
      </c>
      <c r="Y670" s="25" t="str">
        <f>IF(X670="","",IFERROR(INDEX($AN$11:$AN$4010,MATCH(660,$AY$11:$AY$4010,0)),""))</f>
        <v/>
      </c>
      <c r="Z670" s="25" t="str">
        <f>IF(X670="","",IFERROR(INDEX($AO$11:$AO$4010,MATCH(660,$AY$11:$AY$4010,0)),""))</f>
        <v/>
      </c>
      <c r="AA670" s="24" t="str">
        <f>IF(X670="","",IFERROR(INDEX($AQ$11:$AQ$4010,MATCH(660,$AY$11:$AY$4010,0)),""))</f>
        <v/>
      </c>
      <c r="AB670" s="29" t="str">
        <f>IF(X670="","",IFERROR(INDEX($AR$11:$AR$4010,MATCH(660,$AY$11:$AY$4010,0)),""))</f>
        <v/>
      </c>
      <c r="AD670" s="30" t="str">
        <f>IF(AE670="","",IFERROR(INDEX($AL$11:$AL$4010,MATCH(660,$AZ$11:$AZ$4010,0)),""))</f>
        <v/>
      </c>
      <c r="AE670" s="26" t="str">
        <f>IFERROR(INDEX($AM$11:$AM$4010,MATCH(660,$AZ$11:$AZ$4010,0)),"")</f>
        <v/>
      </c>
      <c r="AF670" s="25" t="str">
        <f>IF(AE670="","",IFERROR(INDEX($AN$11:$AN$4010,MATCH(660,$AZ$11:$AZ$4010,0)),""))</f>
        <v/>
      </c>
      <c r="AG670" s="25" t="str">
        <f>IF(AE670="","",IFERROR(INDEX($AO$11:$AO$4010,MATCH(660,$AZ$11:$AZ$4010,0)),""))</f>
        <v/>
      </c>
      <c r="AH670" s="24" t="str">
        <f>IF(AE670="","",IFERROR(INDEX($AQ$11:$AQ$4010,MATCH(660,$AZ$11:$AZ$4010,0)),""))</f>
        <v/>
      </c>
      <c r="AI670" s="29" t="str">
        <f>IF(AE670="","",IFERROR(INDEX($AR$11:$AR$4010,MATCH(660,$AZ$11:$AZ$4010,0)),""))</f>
        <v/>
      </c>
      <c r="AJ670" s="29" t="str">
        <f>IF(AE670="","",IFERROR(INDEX($AT$11:$AT$4010,MATCH(660,$AZ$11:$AZ$4010,0)),""))</f>
        <v/>
      </c>
      <c r="AL670" s="31"/>
      <c r="AM670" s="26"/>
      <c r="AN670" s="32"/>
      <c r="AO670" s="32"/>
      <c r="AP670" s="24"/>
      <c r="AQ670" s="24"/>
      <c r="AR670" s="33"/>
      <c r="AS670" s="34"/>
      <c r="AT670" s="33"/>
      <c r="AV670" s="21">
        <f>IF(AND($AL670&lt;&gt;"",COUNTIF($AL$11:$AL670,$AL670)=1),1,0)</f>
        <v>0</v>
      </c>
      <c r="AW670" s="21">
        <f t="shared" si="107"/>
        <v>0</v>
      </c>
      <c r="AX670" s="21" t="str">
        <f t="shared" si="106"/>
        <v/>
      </c>
      <c r="AY670" s="21" t="str">
        <f>IF(AND($AM670&lt;&gt;"",$AS670&lt;&gt;"✓"),SUMPRODUCT(($AM$11:$AM670&lt;&gt;"")*($AS$11:$AS670&lt;&gt;"✓")),"")</f>
        <v/>
      </c>
      <c r="AZ670" s="21" t="str">
        <f>IF(AND($AM670&lt;&gt;"",$AS670="✓"),SUMPRODUCT(($AM$11:$AM670&lt;&gt;"")*($AS$11:$AS670="✓")),"")</f>
        <v/>
      </c>
      <c r="BA670" s="21" t="str">
        <f>IF($AL670="","",$AL670&amp;"|"&amp;COUNTIF($AL$11:$AL670,$AL670))</f>
        <v/>
      </c>
    </row>
    <row r="671" spans="23:53" ht="15" customHeight="1" x14ac:dyDescent="0.25">
      <c r="W671" s="14" t="str">
        <f>IF(X671="","",IFERROR(INDEX($AL$11:$AL$4010,MATCH(661,$AY$11:$AY$4010,0)),""))</f>
        <v/>
      </c>
      <c r="X671" s="12" t="str">
        <f>IFERROR(INDEX($AM$11:$AM$4010,MATCH(661,$AY$11:$AY$4010,0)),"")</f>
        <v/>
      </c>
      <c r="Y671" s="11" t="str">
        <f>IF(X671="","",IFERROR(INDEX($AN$11:$AN$4010,MATCH(661,$AY$11:$AY$4010,0)),""))</f>
        <v/>
      </c>
      <c r="Z671" s="11" t="str">
        <f>IF(X671="","",IFERROR(INDEX($AO$11:$AO$4010,MATCH(661,$AY$11:$AY$4010,0)),""))</f>
        <v/>
      </c>
      <c r="AA671" s="10" t="str">
        <f>IF(X671="","",IFERROR(INDEX($AQ$11:$AQ$4010,MATCH(661,$AY$11:$AY$4010,0)),""))</f>
        <v/>
      </c>
      <c r="AB671" s="15" t="str">
        <f>IF(X671="","",IFERROR(INDEX($AR$11:$AR$4010,MATCH(661,$AY$11:$AY$4010,0)),""))</f>
        <v/>
      </c>
      <c r="AD671" s="16" t="str">
        <f>IF(AE671="","",IFERROR(INDEX($AL$11:$AL$4010,MATCH(661,$AZ$11:$AZ$4010,0)),""))</f>
        <v/>
      </c>
      <c r="AE671" s="12" t="str">
        <f>IFERROR(INDEX($AM$11:$AM$4010,MATCH(661,$AZ$11:$AZ$4010,0)),"")</f>
        <v/>
      </c>
      <c r="AF671" s="11" t="str">
        <f>IF(AE671="","",IFERROR(INDEX($AN$11:$AN$4010,MATCH(661,$AZ$11:$AZ$4010,0)),""))</f>
        <v/>
      </c>
      <c r="AG671" s="11" t="str">
        <f>IF(AE671="","",IFERROR(INDEX($AO$11:$AO$4010,MATCH(661,$AZ$11:$AZ$4010,0)),""))</f>
        <v/>
      </c>
      <c r="AH671" s="10" t="str">
        <f>IF(AE671="","",IFERROR(INDEX($AQ$11:$AQ$4010,MATCH(661,$AZ$11:$AZ$4010,0)),""))</f>
        <v/>
      </c>
      <c r="AI671" s="15" t="str">
        <f>IF(AE671="","",IFERROR(INDEX($AR$11:$AR$4010,MATCH(661,$AZ$11:$AZ$4010,0)),""))</f>
        <v/>
      </c>
      <c r="AJ671" s="15" t="str">
        <f>IF(AE671="","",IFERROR(INDEX($AT$11:$AT$4010,MATCH(661,$AZ$11:$AZ$4010,0)),""))</f>
        <v/>
      </c>
      <c r="AL671" s="17"/>
      <c r="AM671" s="12"/>
      <c r="AN671" s="18"/>
      <c r="AO671" s="18"/>
      <c r="AP671" s="10"/>
      <c r="AQ671" s="10"/>
      <c r="AR671" s="19"/>
      <c r="AS671" s="20"/>
      <c r="AT671" s="19"/>
      <c r="AV671" s="21">
        <f>IF(AND($AL671&lt;&gt;"",COUNTIF($AL$11:$AL671,$AL671)=1),1,0)</f>
        <v>0</v>
      </c>
      <c r="AW671" s="21">
        <f t="shared" si="107"/>
        <v>0</v>
      </c>
      <c r="AX671" s="21" t="str">
        <f t="shared" si="106"/>
        <v/>
      </c>
      <c r="AY671" s="21" t="str">
        <f>IF(AND($AM671&lt;&gt;"",$AS671&lt;&gt;"✓"),SUMPRODUCT(($AM$11:$AM671&lt;&gt;"")*($AS$11:$AS671&lt;&gt;"✓")),"")</f>
        <v/>
      </c>
      <c r="AZ671" s="21" t="str">
        <f>IF(AND($AM671&lt;&gt;"",$AS671="✓"),SUMPRODUCT(($AM$11:$AM671&lt;&gt;"")*($AS$11:$AS671="✓")),"")</f>
        <v/>
      </c>
      <c r="BA671" s="21" t="str">
        <f>IF($AL671="","",$AL671&amp;"|"&amp;COUNTIF($AL$11:$AL671,$AL671))</f>
        <v/>
      </c>
    </row>
    <row r="672" spans="23:53" ht="15" customHeight="1" x14ac:dyDescent="0.25">
      <c r="W672" s="28" t="str">
        <f>IF(X672="","",IFERROR(INDEX($AL$11:$AL$4010,MATCH(662,$AY$11:$AY$4010,0)),""))</f>
        <v/>
      </c>
      <c r="X672" s="26" t="str">
        <f>IFERROR(INDEX($AM$11:$AM$4010,MATCH(662,$AY$11:$AY$4010,0)),"")</f>
        <v/>
      </c>
      <c r="Y672" s="25" t="str">
        <f>IF(X672="","",IFERROR(INDEX($AN$11:$AN$4010,MATCH(662,$AY$11:$AY$4010,0)),""))</f>
        <v/>
      </c>
      <c r="Z672" s="25" t="str">
        <f>IF(X672="","",IFERROR(INDEX($AO$11:$AO$4010,MATCH(662,$AY$11:$AY$4010,0)),""))</f>
        <v/>
      </c>
      <c r="AA672" s="24" t="str">
        <f>IF(X672="","",IFERROR(INDEX($AQ$11:$AQ$4010,MATCH(662,$AY$11:$AY$4010,0)),""))</f>
        <v/>
      </c>
      <c r="AB672" s="29" t="str">
        <f>IF(X672="","",IFERROR(INDEX($AR$11:$AR$4010,MATCH(662,$AY$11:$AY$4010,0)),""))</f>
        <v/>
      </c>
      <c r="AD672" s="30" t="str">
        <f>IF(AE672="","",IFERROR(INDEX($AL$11:$AL$4010,MATCH(662,$AZ$11:$AZ$4010,0)),""))</f>
        <v/>
      </c>
      <c r="AE672" s="26" t="str">
        <f>IFERROR(INDEX($AM$11:$AM$4010,MATCH(662,$AZ$11:$AZ$4010,0)),"")</f>
        <v/>
      </c>
      <c r="AF672" s="25" t="str">
        <f>IF(AE672="","",IFERROR(INDEX($AN$11:$AN$4010,MATCH(662,$AZ$11:$AZ$4010,0)),""))</f>
        <v/>
      </c>
      <c r="AG672" s="25" t="str">
        <f>IF(AE672="","",IFERROR(INDEX($AO$11:$AO$4010,MATCH(662,$AZ$11:$AZ$4010,0)),""))</f>
        <v/>
      </c>
      <c r="AH672" s="24" t="str">
        <f>IF(AE672="","",IFERROR(INDEX($AQ$11:$AQ$4010,MATCH(662,$AZ$11:$AZ$4010,0)),""))</f>
        <v/>
      </c>
      <c r="AI672" s="29" t="str">
        <f>IF(AE672="","",IFERROR(INDEX($AR$11:$AR$4010,MATCH(662,$AZ$11:$AZ$4010,0)),""))</f>
        <v/>
      </c>
      <c r="AJ672" s="29" t="str">
        <f>IF(AE672="","",IFERROR(INDEX($AT$11:$AT$4010,MATCH(662,$AZ$11:$AZ$4010,0)),""))</f>
        <v/>
      </c>
      <c r="AL672" s="31"/>
      <c r="AM672" s="26"/>
      <c r="AN672" s="32"/>
      <c r="AO672" s="32"/>
      <c r="AP672" s="24"/>
      <c r="AQ672" s="24"/>
      <c r="AR672" s="33"/>
      <c r="AS672" s="34"/>
      <c r="AT672" s="33"/>
      <c r="AV672" s="21">
        <f>IF(AND($AL672&lt;&gt;"",COUNTIF($AL$11:$AL672,$AL672)=1),1,0)</f>
        <v>0</v>
      </c>
      <c r="AW672" s="21">
        <f t="shared" si="107"/>
        <v>0</v>
      </c>
      <c r="AX672" s="21" t="str">
        <f t="shared" si="106"/>
        <v/>
      </c>
      <c r="AY672" s="21" t="str">
        <f>IF(AND($AM672&lt;&gt;"",$AS672&lt;&gt;"✓"),SUMPRODUCT(($AM$11:$AM672&lt;&gt;"")*($AS$11:$AS672&lt;&gt;"✓")),"")</f>
        <v/>
      </c>
      <c r="AZ672" s="21" t="str">
        <f>IF(AND($AM672&lt;&gt;"",$AS672="✓"),SUMPRODUCT(($AM$11:$AM672&lt;&gt;"")*($AS$11:$AS672="✓")),"")</f>
        <v/>
      </c>
      <c r="BA672" s="21" t="str">
        <f>IF($AL672="","",$AL672&amp;"|"&amp;COUNTIF($AL$11:$AL672,$AL672))</f>
        <v/>
      </c>
    </row>
    <row r="673" spans="23:53" ht="15" customHeight="1" x14ac:dyDescent="0.25">
      <c r="W673" s="14" t="str">
        <f>IF(X673="","",IFERROR(INDEX($AL$11:$AL$4010,MATCH(663,$AY$11:$AY$4010,0)),""))</f>
        <v/>
      </c>
      <c r="X673" s="12" t="str">
        <f>IFERROR(INDEX($AM$11:$AM$4010,MATCH(663,$AY$11:$AY$4010,0)),"")</f>
        <v/>
      </c>
      <c r="Y673" s="11" t="str">
        <f>IF(X673="","",IFERROR(INDEX($AN$11:$AN$4010,MATCH(663,$AY$11:$AY$4010,0)),""))</f>
        <v/>
      </c>
      <c r="Z673" s="11" t="str">
        <f>IF(X673="","",IFERROR(INDEX($AO$11:$AO$4010,MATCH(663,$AY$11:$AY$4010,0)),""))</f>
        <v/>
      </c>
      <c r="AA673" s="10" t="str">
        <f>IF(X673="","",IFERROR(INDEX($AQ$11:$AQ$4010,MATCH(663,$AY$11:$AY$4010,0)),""))</f>
        <v/>
      </c>
      <c r="AB673" s="15" t="str">
        <f>IF(X673="","",IFERROR(INDEX($AR$11:$AR$4010,MATCH(663,$AY$11:$AY$4010,0)),""))</f>
        <v/>
      </c>
      <c r="AD673" s="16" t="str">
        <f>IF(AE673="","",IFERROR(INDEX($AL$11:$AL$4010,MATCH(663,$AZ$11:$AZ$4010,0)),""))</f>
        <v/>
      </c>
      <c r="AE673" s="12" t="str">
        <f>IFERROR(INDEX($AM$11:$AM$4010,MATCH(663,$AZ$11:$AZ$4010,0)),"")</f>
        <v/>
      </c>
      <c r="AF673" s="11" t="str">
        <f>IF(AE673="","",IFERROR(INDEX($AN$11:$AN$4010,MATCH(663,$AZ$11:$AZ$4010,0)),""))</f>
        <v/>
      </c>
      <c r="AG673" s="11" t="str">
        <f>IF(AE673="","",IFERROR(INDEX($AO$11:$AO$4010,MATCH(663,$AZ$11:$AZ$4010,0)),""))</f>
        <v/>
      </c>
      <c r="AH673" s="10" t="str">
        <f>IF(AE673="","",IFERROR(INDEX($AQ$11:$AQ$4010,MATCH(663,$AZ$11:$AZ$4010,0)),""))</f>
        <v/>
      </c>
      <c r="AI673" s="15" t="str">
        <f>IF(AE673="","",IFERROR(INDEX($AR$11:$AR$4010,MATCH(663,$AZ$11:$AZ$4010,0)),""))</f>
        <v/>
      </c>
      <c r="AJ673" s="15" t="str">
        <f>IF(AE673="","",IFERROR(INDEX($AT$11:$AT$4010,MATCH(663,$AZ$11:$AZ$4010,0)),""))</f>
        <v/>
      </c>
      <c r="AL673" s="17"/>
      <c r="AM673" s="12"/>
      <c r="AN673" s="18"/>
      <c r="AO673" s="18"/>
      <c r="AP673" s="10"/>
      <c r="AQ673" s="10"/>
      <c r="AR673" s="19"/>
      <c r="AS673" s="20"/>
      <c r="AT673" s="19"/>
      <c r="AV673" s="21">
        <f>IF(AND($AL673&lt;&gt;"",COUNTIF($AL$11:$AL673,$AL673)=1),1,0)</f>
        <v>0</v>
      </c>
      <c r="AW673" s="21">
        <f t="shared" si="107"/>
        <v>0</v>
      </c>
      <c r="AX673" s="21" t="str">
        <f t="shared" si="106"/>
        <v/>
      </c>
      <c r="AY673" s="21" t="str">
        <f>IF(AND($AM673&lt;&gt;"",$AS673&lt;&gt;"✓"),SUMPRODUCT(($AM$11:$AM673&lt;&gt;"")*($AS$11:$AS673&lt;&gt;"✓")),"")</f>
        <v/>
      </c>
      <c r="AZ673" s="21" t="str">
        <f>IF(AND($AM673&lt;&gt;"",$AS673="✓"),SUMPRODUCT(($AM$11:$AM673&lt;&gt;"")*($AS$11:$AS673="✓")),"")</f>
        <v/>
      </c>
      <c r="BA673" s="21" t="str">
        <f>IF($AL673="","",$AL673&amp;"|"&amp;COUNTIF($AL$11:$AL673,$AL673))</f>
        <v/>
      </c>
    </row>
    <row r="674" spans="23:53" ht="15" customHeight="1" x14ac:dyDescent="0.25">
      <c r="W674" s="28" t="str">
        <f>IF(X674="","",IFERROR(INDEX($AL$11:$AL$4010,MATCH(664,$AY$11:$AY$4010,0)),""))</f>
        <v/>
      </c>
      <c r="X674" s="26" t="str">
        <f>IFERROR(INDEX($AM$11:$AM$4010,MATCH(664,$AY$11:$AY$4010,0)),"")</f>
        <v/>
      </c>
      <c r="Y674" s="25" t="str">
        <f>IF(X674="","",IFERROR(INDEX($AN$11:$AN$4010,MATCH(664,$AY$11:$AY$4010,0)),""))</f>
        <v/>
      </c>
      <c r="Z674" s="25" t="str">
        <f>IF(X674="","",IFERROR(INDEX($AO$11:$AO$4010,MATCH(664,$AY$11:$AY$4010,0)),""))</f>
        <v/>
      </c>
      <c r="AA674" s="24" t="str">
        <f>IF(X674="","",IFERROR(INDEX($AQ$11:$AQ$4010,MATCH(664,$AY$11:$AY$4010,0)),""))</f>
        <v/>
      </c>
      <c r="AB674" s="29" t="str">
        <f>IF(X674="","",IFERROR(INDEX($AR$11:$AR$4010,MATCH(664,$AY$11:$AY$4010,0)),""))</f>
        <v/>
      </c>
      <c r="AD674" s="30" t="str">
        <f>IF(AE674="","",IFERROR(INDEX($AL$11:$AL$4010,MATCH(664,$AZ$11:$AZ$4010,0)),""))</f>
        <v/>
      </c>
      <c r="AE674" s="26" t="str">
        <f>IFERROR(INDEX($AM$11:$AM$4010,MATCH(664,$AZ$11:$AZ$4010,0)),"")</f>
        <v/>
      </c>
      <c r="AF674" s="25" t="str">
        <f>IF(AE674="","",IFERROR(INDEX($AN$11:$AN$4010,MATCH(664,$AZ$11:$AZ$4010,0)),""))</f>
        <v/>
      </c>
      <c r="AG674" s="25" t="str">
        <f>IF(AE674="","",IFERROR(INDEX($AO$11:$AO$4010,MATCH(664,$AZ$11:$AZ$4010,0)),""))</f>
        <v/>
      </c>
      <c r="AH674" s="24" t="str">
        <f>IF(AE674="","",IFERROR(INDEX($AQ$11:$AQ$4010,MATCH(664,$AZ$11:$AZ$4010,0)),""))</f>
        <v/>
      </c>
      <c r="AI674" s="29" t="str">
        <f>IF(AE674="","",IFERROR(INDEX($AR$11:$AR$4010,MATCH(664,$AZ$11:$AZ$4010,0)),""))</f>
        <v/>
      </c>
      <c r="AJ674" s="29" t="str">
        <f>IF(AE674="","",IFERROR(INDEX($AT$11:$AT$4010,MATCH(664,$AZ$11:$AZ$4010,0)),""))</f>
        <v/>
      </c>
      <c r="AL674" s="31"/>
      <c r="AM674" s="26"/>
      <c r="AN674" s="32"/>
      <c r="AO674" s="32"/>
      <c r="AP674" s="24"/>
      <c r="AQ674" s="24"/>
      <c r="AR674" s="33"/>
      <c r="AS674" s="34"/>
      <c r="AT674" s="33"/>
      <c r="AV674" s="21">
        <f>IF(AND($AL674&lt;&gt;"",COUNTIF($AL$11:$AL674,$AL674)=1),1,0)</f>
        <v>0</v>
      </c>
      <c r="AW674" s="21">
        <f t="shared" si="107"/>
        <v>0</v>
      </c>
      <c r="AX674" s="21" t="str">
        <f t="shared" si="106"/>
        <v/>
      </c>
      <c r="AY674" s="21" t="str">
        <f>IF(AND($AM674&lt;&gt;"",$AS674&lt;&gt;"✓"),SUMPRODUCT(($AM$11:$AM674&lt;&gt;"")*($AS$11:$AS674&lt;&gt;"✓")),"")</f>
        <v/>
      </c>
      <c r="AZ674" s="21" t="str">
        <f>IF(AND($AM674&lt;&gt;"",$AS674="✓"),SUMPRODUCT(($AM$11:$AM674&lt;&gt;"")*($AS$11:$AS674="✓")),"")</f>
        <v/>
      </c>
      <c r="BA674" s="21" t="str">
        <f>IF($AL674="","",$AL674&amp;"|"&amp;COUNTIF($AL$11:$AL674,$AL674))</f>
        <v/>
      </c>
    </row>
    <row r="675" spans="23:53" ht="15" customHeight="1" x14ac:dyDescent="0.25">
      <c r="W675" s="14" t="str">
        <f>IF(X675="","",IFERROR(INDEX($AL$11:$AL$4010,MATCH(665,$AY$11:$AY$4010,0)),""))</f>
        <v/>
      </c>
      <c r="X675" s="12" t="str">
        <f>IFERROR(INDEX($AM$11:$AM$4010,MATCH(665,$AY$11:$AY$4010,0)),"")</f>
        <v/>
      </c>
      <c r="Y675" s="11" t="str">
        <f>IF(X675="","",IFERROR(INDEX($AN$11:$AN$4010,MATCH(665,$AY$11:$AY$4010,0)),""))</f>
        <v/>
      </c>
      <c r="Z675" s="11" t="str">
        <f>IF(X675="","",IFERROR(INDEX($AO$11:$AO$4010,MATCH(665,$AY$11:$AY$4010,0)),""))</f>
        <v/>
      </c>
      <c r="AA675" s="10" t="str">
        <f>IF(X675="","",IFERROR(INDEX($AQ$11:$AQ$4010,MATCH(665,$AY$11:$AY$4010,0)),""))</f>
        <v/>
      </c>
      <c r="AB675" s="15" t="str">
        <f>IF(X675="","",IFERROR(INDEX($AR$11:$AR$4010,MATCH(665,$AY$11:$AY$4010,0)),""))</f>
        <v/>
      </c>
      <c r="AD675" s="16" t="str">
        <f>IF(AE675="","",IFERROR(INDEX($AL$11:$AL$4010,MATCH(665,$AZ$11:$AZ$4010,0)),""))</f>
        <v/>
      </c>
      <c r="AE675" s="12" t="str">
        <f>IFERROR(INDEX($AM$11:$AM$4010,MATCH(665,$AZ$11:$AZ$4010,0)),"")</f>
        <v/>
      </c>
      <c r="AF675" s="11" t="str">
        <f>IF(AE675="","",IFERROR(INDEX($AN$11:$AN$4010,MATCH(665,$AZ$11:$AZ$4010,0)),""))</f>
        <v/>
      </c>
      <c r="AG675" s="11" t="str">
        <f>IF(AE675="","",IFERROR(INDEX($AO$11:$AO$4010,MATCH(665,$AZ$11:$AZ$4010,0)),""))</f>
        <v/>
      </c>
      <c r="AH675" s="10" t="str">
        <f>IF(AE675="","",IFERROR(INDEX($AQ$11:$AQ$4010,MATCH(665,$AZ$11:$AZ$4010,0)),""))</f>
        <v/>
      </c>
      <c r="AI675" s="15" t="str">
        <f>IF(AE675="","",IFERROR(INDEX($AR$11:$AR$4010,MATCH(665,$AZ$11:$AZ$4010,0)),""))</f>
        <v/>
      </c>
      <c r="AJ675" s="15" t="str">
        <f>IF(AE675="","",IFERROR(INDEX($AT$11:$AT$4010,MATCH(665,$AZ$11:$AZ$4010,0)),""))</f>
        <v/>
      </c>
      <c r="AL675" s="17"/>
      <c r="AM675" s="12"/>
      <c r="AN675" s="18"/>
      <c r="AO675" s="18"/>
      <c r="AP675" s="10"/>
      <c r="AQ675" s="10"/>
      <c r="AR675" s="19"/>
      <c r="AS675" s="20"/>
      <c r="AT675" s="19"/>
      <c r="AV675" s="21">
        <f>IF(AND($AL675&lt;&gt;"",COUNTIF($AL$11:$AL675,$AL675)=1),1,0)</f>
        <v>0</v>
      </c>
      <c r="AW675" s="21">
        <f t="shared" si="107"/>
        <v>0</v>
      </c>
      <c r="AX675" s="21" t="str">
        <f t="shared" si="106"/>
        <v/>
      </c>
      <c r="AY675" s="21" t="str">
        <f>IF(AND($AM675&lt;&gt;"",$AS675&lt;&gt;"✓"),SUMPRODUCT(($AM$11:$AM675&lt;&gt;"")*($AS$11:$AS675&lt;&gt;"✓")),"")</f>
        <v/>
      </c>
      <c r="AZ675" s="21" t="str">
        <f>IF(AND($AM675&lt;&gt;"",$AS675="✓"),SUMPRODUCT(($AM$11:$AM675&lt;&gt;"")*($AS$11:$AS675="✓")),"")</f>
        <v/>
      </c>
      <c r="BA675" s="21" t="str">
        <f>IF($AL675="","",$AL675&amp;"|"&amp;COUNTIF($AL$11:$AL675,$AL675))</f>
        <v/>
      </c>
    </row>
    <row r="676" spans="23:53" ht="15" customHeight="1" x14ac:dyDescent="0.25">
      <c r="W676" s="28" t="str">
        <f>IF(X676="","",IFERROR(INDEX($AL$11:$AL$4010,MATCH(666,$AY$11:$AY$4010,0)),""))</f>
        <v/>
      </c>
      <c r="X676" s="26" t="str">
        <f>IFERROR(INDEX($AM$11:$AM$4010,MATCH(666,$AY$11:$AY$4010,0)),"")</f>
        <v/>
      </c>
      <c r="Y676" s="25" t="str">
        <f>IF(X676="","",IFERROR(INDEX($AN$11:$AN$4010,MATCH(666,$AY$11:$AY$4010,0)),""))</f>
        <v/>
      </c>
      <c r="Z676" s="25" t="str">
        <f>IF(X676="","",IFERROR(INDEX($AO$11:$AO$4010,MATCH(666,$AY$11:$AY$4010,0)),""))</f>
        <v/>
      </c>
      <c r="AA676" s="24" t="str">
        <f>IF(X676="","",IFERROR(INDEX($AQ$11:$AQ$4010,MATCH(666,$AY$11:$AY$4010,0)),""))</f>
        <v/>
      </c>
      <c r="AB676" s="29" t="str">
        <f>IF(X676="","",IFERROR(INDEX($AR$11:$AR$4010,MATCH(666,$AY$11:$AY$4010,0)),""))</f>
        <v/>
      </c>
      <c r="AD676" s="30" t="str">
        <f>IF(AE676="","",IFERROR(INDEX($AL$11:$AL$4010,MATCH(666,$AZ$11:$AZ$4010,0)),""))</f>
        <v/>
      </c>
      <c r="AE676" s="26" t="str">
        <f>IFERROR(INDEX($AM$11:$AM$4010,MATCH(666,$AZ$11:$AZ$4010,0)),"")</f>
        <v/>
      </c>
      <c r="AF676" s="25" t="str">
        <f>IF(AE676="","",IFERROR(INDEX($AN$11:$AN$4010,MATCH(666,$AZ$11:$AZ$4010,0)),""))</f>
        <v/>
      </c>
      <c r="AG676" s="25" t="str">
        <f>IF(AE676="","",IFERROR(INDEX($AO$11:$AO$4010,MATCH(666,$AZ$11:$AZ$4010,0)),""))</f>
        <v/>
      </c>
      <c r="AH676" s="24" t="str">
        <f>IF(AE676="","",IFERROR(INDEX($AQ$11:$AQ$4010,MATCH(666,$AZ$11:$AZ$4010,0)),""))</f>
        <v/>
      </c>
      <c r="AI676" s="29" t="str">
        <f>IF(AE676="","",IFERROR(INDEX($AR$11:$AR$4010,MATCH(666,$AZ$11:$AZ$4010,0)),""))</f>
        <v/>
      </c>
      <c r="AJ676" s="29" t="str">
        <f>IF(AE676="","",IFERROR(INDEX($AT$11:$AT$4010,MATCH(666,$AZ$11:$AZ$4010,0)),""))</f>
        <v/>
      </c>
      <c r="AL676" s="31"/>
      <c r="AM676" s="26"/>
      <c r="AN676" s="32"/>
      <c r="AO676" s="32"/>
      <c r="AP676" s="24"/>
      <c r="AQ676" s="24"/>
      <c r="AR676" s="33"/>
      <c r="AS676" s="34"/>
      <c r="AT676" s="33"/>
      <c r="AV676" s="21">
        <f>IF(AND($AL676&lt;&gt;"",COUNTIF($AL$11:$AL676,$AL676)=1),1,0)</f>
        <v>0</v>
      </c>
      <c r="AW676" s="21">
        <f t="shared" si="107"/>
        <v>0</v>
      </c>
      <c r="AX676" s="21" t="str">
        <f t="shared" si="106"/>
        <v/>
      </c>
      <c r="AY676" s="21" t="str">
        <f>IF(AND($AM676&lt;&gt;"",$AS676&lt;&gt;"✓"),SUMPRODUCT(($AM$11:$AM676&lt;&gt;"")*($AS$11:$AS676&lt;&gt;"✓")),"")</f>
        <v/>
      </c>
      <c r="AZ676" s="21" t="str">
        <f>IF(AND($AM676&lt;&gt;"",$AS676="✓"),SUMPRODUCT(($AM$11:$AM676&lt;&gt;"")*($AS$11:$AS676="✓")),"")</f>
        <v/>
      </c>
      <c r="BA676" s="21" t="str">
        <f>IF($AL676="","",$AL676&amp;"|"&amp;COUNTIF($AL$11:$AL676,$AL676))</f>
        <v/>
      </c>
    </row>
    <row r="677" spans="23:53" ht="15" customHeight="1" x14ac:dyDescent="0.25">
      <c r="W677" s="14" t="str">
        <f>IF(X677="","",IFERROR(INDEX($AL$11:$AL$4010,MATCH(667,$AY$11:$AY$4010,0)),""))</f>
        <v/>
      </c>
      <c r="X677" s="12" t="str">
        <f>IFERROR(INDEX($AM$11:$AM$4010,MATCH(667,$AY$11:$AY$4010,0)),"")</f>
        <v/>
      </c>
      <c r="Y677" s="11" t="str">
        <f>IF(X677="","",IFERROR(INDEX($AN$11:$AN$4010,MATCH(667,$AY$11:$AY$4010,0)),""))</f>
        <v/>
      </c>
      <c r="Z677" s="11" t="str">
        <f>IF(X677="","",IFERROR(INDEX($AO$11:$AO$4010,MATCH(667,$AY$11:$AY$4010,0)),""))</f>
        <v/>
      </c>
      <c r="AA677" s="10" t="str">
        <f>IF(X677="","",IFERROR(INDEX($AQ$11:$AQ$4010,MATCH(667,$AY$11:$AY$4010,0)),""))</f>
        <v/>
      </c>
      <c r="AB677" s="15" t="str">
        <f>IF(X677="","",IFERROR(INDEX($AR$11:$AR$4010,MATCH(667,$AY$11:$AY$4010,0)),""))</f>
        <v/>
      </c>
      <c r="AD677" s="16" t="str">
        <f>IF(AE677="","",IFERROR(INDEX($AL$11:$AL$4010,MATCH(667,$AZ$11:$AZ$4010,0)),""))</f>
        <v/>
      </c>
      <c r="AE677" s="12" t="str">
        <f>IFERROR(INDEX($AM$11:$AM$4010,MATCH(667,$AZ$11:$AZ$4010,0)),"")</f>
        <v/>
      </c>
      <c r="AF677" s="11" t="str">
        <f>IF(AE677="","",IFERROR(INDEX($AN$11:$AN$4010,MATCH(667,$AZ$11:$AZ$4010,0)),""))</f>
        <v/>
      </c>
      <c r="AG677" s="11" t="str">
        <f>IF(AE677="","",IFERROR(INDEX($AO$11:$AO$4010,MATCH(667,$AZ$11:$AZ$4010,0)),""))</f>
        <v/>
      </c>
      <c r="AH677" s="10" t="str">
        <f>IF(AE677="","",IFERROR(INDEX($AQ$11:$AQ$4010,MATCH(667,$AZ$11:$AZ$4010,0)),""))</f>
        <v/>
      </c>
      <c r="AI677" s="15" t="str">
        <f>IF(AE677="","",IFERROR(INDEX($AR$11:$AR$4010,MATCH(667,$AZ$11:$AZ$4010,0)),""))</f>
        <v/>
      </c>
      <c r="AJ677" s="15" t="str">
        <f>IF(AE677="","",IFERROR(INDEX($AT$11:$AT$4010,MATCH(667,$AZ$11:$AZ$4010,0)),""))</f>
        <v/>
      </c>
      <c r="AL677" s="17"/>
      <c r="AM677" s="12"/>
      <c r="AN677" s="18"/>
      <c r="AO677" s="18"/>
      <c r="AP677" s="10"/>
      <c r="AQ677" s="10"/>
      <c r="AR677" s="19"/>
      <c r="AS677" s="20"/>
      <c r="AT677" s="19"/>
      <c r="AV677" s="21">
        <f>IF(AND($AL677&lt;&gt;"",COUNTIF($AL$11:$AL677,$AL677)=1),1,0)</f>
        <v>0</v>
      </c>
      <c r="AW677" s="21">
        <f t="shared" si="107"/>
        <v>0</v>
      </c>
      <c r="AX677" s="21" t="str">
        <f t="shared" si="106"/>
        <v/>
      </c>
      <c r="AY677" s="21" t="str">
        <f>IF(AND($AM677&lt;&gt;"",$AS677&lt;&gt;"✓"),SUMPRODUCT(($AM$11:$AM677&lt;&gt;"")*($AS$11:$AS677&lt;&gt;"✓")),"")</f>
        <v/>
      </c>
      <c r="AZ677" s="21" t="str">
        <f>IF(AND($AM677&lt;&gt;"",$AS677="✓"),SUMPRODUCT(($AM$11:$AM677&lt;&gt;"")*($AS$11:$AS677="✓")),"")</f>
        <v/>
      </c>
      <c r="BA677" s="21" t="str">
        <f>IF($AL677="","",$AL677&amp;"|"&amp;COUNTIF($AL$11:$AL677,$AL677))</f>
        <v/>
      </c>
    </row>
    <row r="678" spans="23:53" ht="15" customHeight="1" x14ac:dyDescent="0.25">
      <c r="W678" s="28" t="str">
        <f>IF(X678="","",IFERROR(INDEX($AL$11:$AL$4010,MATCH(668,$AY$11:$AY$4010,0)),""))</f>
        <v/>
      </c>
      <c r="X678" s="26" t="str">
        <f>IFERROR(INDEX($AM$11:$AM$4010,MATCH(668,$AY$11:$AY$4010,0)),"")</f>
        <v/>
      </c>
      <c r="Y678" s="25" t="str">
        <f>IF(X678="","",IFERROR(INDEX($AN$11:$AN$4010,MATCH(668,$AY$11:$AY$4010,0)),""))</f>
        <v/>
      </c>
      <c r="Z678" s="25" t="str">
        <f>IF(X678="","",IFERROR(INDEX($AO$11:$AO$4010,MATCH(668,$AY$11:$AY$4010,0)),""))</f>
        <v/>
      </c>
      <c r="AA678" s="24" t="str">
        <f>IF(X678="","",IFERROR(INDEX($AQ$11:$AQ$4010,MATCH(668,$AY$11:$AY$4010,0)),""))</f>
        <v/>
      </c>
      <c r="AB678" s="29" t="str">
        <f>IF(X678="","",IFERROR(INDEX($AR$11:$AR$4010,MATCH(668,$AY$11:$AY$4010,0)),""))</f>
        <v/>
      </c>
      <c r="AD678" s="30" t="str">
        <f>IF(AE678="","",IFERROR(INDEX($AL$11:$AL$4010,MATCH(668,$AZ$11:$AZ$4010,0)),""))</f>
        <v/>
      </c>
      <c r="AE678" s="26" t="str">
        <f>IFERROR(INDEX($AM$11:$AM$4010,MATCH(668,$AZ$11:$AZ$4010,0)),"")</f>
        <v/>
      </c>
      <c r="AF678" s="25" t="str">
        <f>IF(AE678="","",IFERROR(INDEX($AN$11:$AN$4010,MATCH(668,$AZ$11:$AZ$4010,0)),""))</f>
        <v/>
      </c>
      <c r="AG678" s="25" t="str">
        <f>IF(AE678="","",IFERROR(INDEX($AO$11:$AO$4010,MATCH(668,$AZ$11:$AZ$4010,0)),""))</f>
        <v/>
      </c>
      <c r="AH678" s="24" t="str">
        <f>IF(AE678="","",IFERROR(INDEX($AQ$11:$AQ$4010,MATCH(668,$AZ$11:$AZ$4010,0)),""))</f>
        <v/>
      </c>
      <c r="AI678" s="29" t="str">
        <f>IF(AE678="","",IFERROR(INDEX($AR$11:$AR$4010,MATCH(668,$AZ$11:$AZ$4010,0)),""))</f>
        <v/>
      </c>
      <c r="AJ678" s="29" t="str">
        <f>IF(AE678="","",IFERROR(INDEX($AT$11:$AT$4010,MATCH(668,$AZ$11:$AZ$4010,0)),""))</f>
        <v/>
      </c>
      <c r="AL678" s="31"/>
      <c r="AM678" s="26"/>
      <c r="AN678" s="32"/>
      <c r="AO678" s="32"/>
      <c r="AP678" s="24"/>
      <c r="AQ678" s="24"/>
      <c r="AR678" s="33"/>
      <c r="AS678" s="34"/>
      <c r="AT678" s="33"/>
      <c r="AV678" s="21">
        <f>IF(AND($AL678&lt;&gt;"",COUNTIF($AL$11:$AL678,$AL678)=1),1,0)</f>
        <v>0</v>
      </c>
      <c r="AW678" s="21">
        <f t="shared" si="107"/>
        <v>0</v>
      </c>
      <c r="AX678" s="21" t="str">
        <f t="shared" si="106"/>
        <v/>
      </c>
      <c r="AY678" s="21" t="str">
        <f>IF(AND($AM678&lt;&gt;"",$AS678&lt;&gt;"✓"),SUMPRODUCT(($AM$11:$AM678&lt;&gt;"")*($AS$11:$AS678&lt;&gt;"✓")),"")</f>
        <v/>
      </c>
      <c r="AZ678" s="21" t="str">
        <f>IF(AND($AM678&lt;&gt;"",$AS678="✓"),SUMPRODUCT(($AM$11:$AM678&lt;&gt;"")*($AS$11:$AS678="✓")),"")</f>
        <v/>
      </c>
      <c r="BA678" s="21" t="str">
        <f>IF($AL678="","",$AL678&amp;"|"&amp;COUNTIF($AL$11:$AL678,$AL678))</f>
        <v/>
      </c>
    </row>
    <row r="679" spans="23:53" ht="15" customHeight="1" x14ac:dyDescent="0.25">
      <c r="W679" s="14" t="str">
        <f>IF(X679="","",IFERROR(INDEX($AL$11:$AL$4010,MATCH(669,$AY$11:$AY$4010,0)),""))</f>
        <v/>
      </c>
      <c r="X679" s="12" t="str">
        <f>IFERROR(INDEX($AM$11:$AM$4010,MATCH(669,$AY$11:$AY$4010,0)),"")</f>
        <v/>
      </c>
      <c r="Y679" s="11" t="str">
        <f>IF(X679="","",IFERROR(INDEX($AN$11:$AN$4010,MATCH(669,$AY$11:$AY$4010,0)),""))</f>
        <v/>
      </c>
      <c r="Z679" s="11" t="str">
        <f>IF(X679="","",IFERROR(INDEX($AO$11:$AO$4010,MATCH(669,$AY$11:$AY$4010,0)),""))</f>
        <v/>
      </c>
      <c r="AA679" s="10" t="str">
        <f>IF(X679="","",IFERROR(INDEX($AQ$11:$AQ$4010,MATCH(669,$AY$11:$AY$4010,0)),""))</f>
        <v/>
      </c>
      <c r="AB679" s="15" t="str">
        <f>IF(X679="","",IFERROR(INDEX($AR$11:$AR$4010,MATCH(669,$AY$11:$AY$4010,0)),""))</f>
        <v/>
      </c>
      <c r="AD679" s="16" t="str">
        <f>IF(AE679="","",IFERROR(INDEX($AL$11:$AL$4010,MATCH(669,$AZ$11:$AZ$4010,0)),""))</f>
        <v/>
      </c>
      <c r="AE679" s="12" t="str">
        <f>IFERROR(INDEX($AM$11:$AM$4010,MATCH(669,$AZ$11:$AZ$4010,0)),"")</f>
        <v/>
      </c>
      <c r="AF679" s="11" t="str">
        <f>IF(AE679="","",IFERROR(INDEX($AN$11:$AN$4010,MATCH(669,$AZ$11:$AZ$4010,0)),""))</f>
        <v/>
      </c>
      <c r="AG679" s="11" t="str">
        <f>IF(AE679="","",IFERROR(INDEX($AO$11:$AO$4010,MATCH(669,$AZ$11:$AZ$4010,0)),""))</f>
        <v/>
      </c>
      <c r="AH679" s="10" t="str">
        <f>IF(AE679="","",IFERROR(INDEX($AQ$11:$AQ$4010,MATCH(669,$AZ$11:$AZ$4010,0)),""))</f>
        <v/>
      </c>
      <c r="AI679" s="15" t="str">
        <f>IF(AE679="","",IFERROR(INDEX($AR$11:$AR$4010,MATCH(669,$AZ$11:$AZ$4010,0)),""))</f>
        <v/>
      </c>
      <c r="AJ679" s="15" t="str">
        <f>IF(AE679="","",IFERROR(INDEX($AT$11:$AT$4010,MATCH(669,$AZ$11:$AZ$4010,0)),""))</f>
        <v/>
      </c>
      <c r="AL679" s="17"/>
      <c r="AM679" s="12"/>
      <c r="AN679" s="18"/>
      <c r="AO679" s="18"/>
      <c r="AP679" s="10"/>
      <c r="AQ679" s="10"/>
      <c r="AR679" s="19"/>
      <c r="AS679" s="20"/>
      <c r="AT679" s="19"/>
      <c r="AV679" s="21">
        <f>IF(AND($AL679&lt;&gt;"",COUNTIF($AL$11:$AL679,$AL679)=1),1,0)</f>
        <v>0</v>
      </c>
      <c r="AW679" s="21">
        <f t="shared" si="107"/>
        <v>0</v>
      </c>
      <c r="AX679" s="21" t="str">
        <f t="shared" si="106"/>
        <v/>
      </c>
      <c r="AY679" s="21" t="str">
        <f>IF(AND($AM679&lt;&gt;"",$AS679&lt;&gt;"✓"),SUMPRODUCT(($AM$11:$AM679&lt;&gt;"")*($AS$11:$AS679&lt;&gt;"✓")),"")</f>
        <v/>
      </c>
      <c r="AZ679" s="21" t="str">
        <f>IF(AND($AM679&lt;&gt;"",$AS679="✓"),SUMPRODUCT(($AM$11:$AM679&lt;&gt;"")*($AS$11:$AS679="✓")),"")</f>
        <v/>
      </c>
      <c r="BA679" s="21" t="str">
        <f>IF($AL679="","",$AL679&amp;"|"&amp;COUNTIF($AL$11:$AL679,$AL679))</f>
        <v/>
      </c>
    </row>
    <row r="680" spans="23:53" ht="15" customHeight="1" x14ac:dyDescent="0.25">
      <c r="W680" s="28" t="str">
        <f>IF(X680="","",IFERROR(INDEX($AL$11:$AL$4010,MATCH(670,$AY$11:$AY$4010,0)),""))</f>
        <v/>
      </c>
      <c r="X680" s="26" t="str">
        <f>IFERROR(INDEX($AM$11:$AM$4010,MATCH(670,$AY$11:$AY$4010,0)),"")</f>
        <v/>
      </c>
      <c r="Y680" s="25" t="str">
        <f>IF(X680="","",IFERROR(INDEX($AN$11:$AN$4010,MATCH(670,$AY$11:$AY$4010,0)),""))</f>
        <v/>
      </c>
      <c r="Z680" s="25" t="str">
        <f>IF(X680="","",IFERROR(INDEX($AO$11:$AO$4010,MATCH(670,$AY$11:$AY$4010,0)),""))</f>
        <v/>
      </c>
      <c r="AA680" s="24" t="str">
        <f>IF(X680="","",IFERROR(INDEX($AQ$11:$AQ$4010,MATCH(670,$AY$11:$AY$4010,0)),""))</f>
        <v/>
      </c>
      <c r="AB680" s="29" t="str">
        <f>IF(X680="","",IFERROR(INDEX($AR$11:$AR$4010,MATCH(670,$AY$11:$AY$4010,0)),""))</f>
        <v/>
      </c>
      <c r="AD680" s="30" t="str">
        <f>IF(AE680="","",IFERROR(INDEX($AL$11:$AL$4010,MATCH(670,$AZ$11:$AZ$4010,0)),""))</f>
        <v/>
      </c>
      <c r="AE680" s="26" t="str">
        <f>IFERROR(INDEX($AM$11:$AM$4010,MATCH(670,$AZ$11:$AZ$4010,0)),"")</f>
        <v/>
      </c>
      <c r="AF680" s="25" t="str">
        <f>IF(AE680="","",IFERROR(INDEX($AN$11:$AN$4010,MATCH(670,$AZ$11:$AZ$4010,0)),""))</f>
        <v/>
      </c>
      <c r="AG680" s="25" t="str">
        <f>IF(AE680="","",IFERROR(INDEX($AO$11:$AO$4010,MATCH(670,$AZ$11:$AZ$4010,0)),""))</f>
        <v/>
      </c>
      <c r="AH680" s="24" t="str">
        <f>IF(AE680="","",IFERROR(INDEX($AQ$11:$AQ$4010,MATCH(670,$AZ$11:$AZ$4010,0)),""))</f>
        <v/>
      </c>
      <c r="AI680" s="29" t="str">
        <f>IF(AE680="","",IFERROR(INDEX($AR$11:$AR$4010,MATCH(670,$AZ$11:$AZ$4010,0)),""))</f>
        <v/>
      </c>
      <c r="AJ680" s="29" t="str">
        <f>IF(AE680="","",IFERROR(INDEX($AT$11:$AT$4010,MATCH(670,$AZ$11:$AZ$4010,0)),""))</f>
        <v/>
      </c>
      <c r="AL680" s="31"/>
      <c r="AM680" s="26"/>
      <c r="AN680" s="32"/>
      <c r="AO680" s="32"/>
      <c r="AP680" s="24"/>
      <c r="AQ680" s="24"/>
      <c r="AR680" s="33"/>
      <c r="AS680" s="34"/>
      <c r="AT680" s="33"/>
      <c r="AV680" s="21">
        <f>IF(AND($AL680&lt;&gt;"",COUNTIF($AL$11:$AL680,$AL680)=1),1,0)</f>
        <v>0</v>
      </c>
      <c r="AW680" s="21">
        <f t="shared" si="107"/>
        <v>0</v>
      </c>
      <c r="AX680" s="21" t="str">
        <f t="shared" si="106"/>
        <v/>
      </c>
      <c r="AY680" s="21" t="str">
        <f>IF(AND($AM680&lt;&gt;"",$AS680&lt;&gt;"✓"),SUMPRODUCT(($AM$11:$AM680&lt;&gt;"")*($AS$11:$AS680&lt;&gt;"✓")),"")</f>
        <v/>
      </c>
      <c r="AZ680" s="21" t="str">
        <f>IF(AND($AM680&lt;&gt;"",$AS680="✓"),SUMPRODUCT(($AM$11:$AM680&lt;&gt;"")*($AS$11:$AS680="✓")),"")</f>
        <v/>
      </c>
      <c r="BA680" s="21" t="str">
        <f>IF($AL680="","",$AL680&amp;"|"&amp;COUNTIF($AL$11:$AL680,$AL680))</f>
        <v/>
      </c>
    </row>
    <row r="681" spans="23:53" ht="15" customHeight="1" x14ac:dyDescent="0.25">
      <c r="W681" s="14" t="str">
        <f>IF(X681="","",IFERROR(INDEX($AL$11:$AL$4010,MATCH(671,$AY$11:$AY$4010,0)),""))</f>
        <v/>
      </c>
      <c r="X681" s="12" t="str">
        <f>IFERROR(INDEX($AM$11:$AM$4010,MATCH(671,$AY$11:$AY$4010,0)),"")</f>
        <v/>
      </c>
      <c r="Y681" s="11" t="str">
        <f>IF(X681="","",IFERROR(INDEX($AN$11:$AN$4010,MATCH(671,$AY$11:$AY$4010,0)),""))</f>
        <v/>
      </c>
      <c r="Z681" s="11" t="str">
        <f>IF(X681="","",IFERROR(INDEX($AO$11:$AO$4010,MATCH(671,$AY$11:$AY$4010,0)),""))</f>
        <v/>
      </c>
      <c r="AA681" s="10" t="str">
        <f>IF(X681="","",IFERROR(INDEX($AQ$11:$AQ$4010,MATCH(671,$AY$11:$AY$4010,0)),""))</f>
        <v/>
      </c>
      <c r="AB681" s="15" t="str">
        <f>IF(X681="","",IFERROR(INDEX($AR$11:$AR$4010,MATCH(671,$AY$11:$AY$4010,0)),""))</f>
        <v/>
      </c>
      <c r="AD681" s="16" t="str">
        <f>IF(AE681="","",IFERROR(INDEX($AL$11:$AL$4010,MATCH(671,$AZ$11:$AZ$4010,0)),""))</f>
        <v/>
      </c>
      <c r="AE681" s="12" t="str">
        <f>IFERROR(INDEX($AM$11:$AM$4010,MATCH(671,$AZ$11:$AZ$4010,0)),"")</f>
        <v/>
      </c>
      <c r="AF681" s="11" t="str">
        <f>IF(AE681="","",IFERROR(INDEX($AN$11:$AN$4010,MATCH(671,$AZ$11:$AZ$4010,0)),""))</f>
        <v/>
      </c>
      <c r="AG681" s="11" t="str">
        <f>IF(AE681="","",IFERROR(INDEX($AO$11:$AO$4010,MATCH(671,$AZ$11:$AZ$4010,0)),""))</f>
        <v/>
      </c>
      <c r="AH681" s="10" t="str">
        <f>IF(AE681="","",IFERROR(INDEX($AQ$11:$AQ$4010,MATCH(671,$AZ$11:$AZ$4010,0)),""))</f>
        <v/>
      </c>
      <c r="AI681" s="15" t="str">
        <f>IF(AE681="","",IFERROR(INDEX($AR$11:$AR$4010,MATCH(671,$AZ$11:$AZ$4010,0)),""))</f>
        <v/>
      </c>
      <c r="AJ681" s="15" t="str">
        <f>IF(AE681="","",IFERROR(INDEX($AT$11:$AT$4010,MATCH(671,$AZ$11:$AZ$4010,0)),""))</f>
        <v/>
      </c>
      <c r="AL681" s="17"/>
      <c r="AM681" s="12"/>
      <c r="AN681" s="18"/>
      <c r="AO681" s="18"/>
      <c r="AP681" s="10"/>
      <c r="AQ681" s="10"/>
      <c r="AR681" s="19"/>
      <c r="AS681" s="20"/>
      <c r="AT681" s="19"/>
      <c r="AV681" s="21">
        <f>IF(AND($AL681&lt;&gt;"",COUNTIF($AL$11:$AL681,$AL681)=1),1,0)</f>
        <v>0</v>
      </c>
      <c r="AW681" s="21">
        <f t="shared" si="107"/>
        <v>0</v>
      </c>
      <c r="AX681" s="21" t="str">
        <f t="shared" si="106"/>
        <v/>
      </c>
      <c r="AY681" s="21" t="str">
        <f>IF(AND($AM681&lt;&gt;"",$AS681&lt;&gt;"✓"),SUMPRODUCT(($AM$11:$AM681&lt;&gt;"")*($AS$11:$AS681&lt;&gt;"✓")),"")</f>
        <v/>
      </c>
      <c r="AZ681" s="21" t="str">
        <f>IF(AND($AM681&lt;&gt;"",$AS681="✓"),SUMPRODUCT(($AM$11:$AM681&lt;&gt;"")*($AS$11:$AS681="✓")),"")</f>
        <v/>
      </c>
      <c r="BA681" s="21" t="str">
        <f>IF($AL681="","",$AL681&amp;"|"&amp;COUNTIF($AL$11:$AL681,$AL681))</f>
        <v/>
      </c>
    </row>
    <row r="682" spans="23:53" ht="15" customHeight="1" x14ac:dyDescent="0.25">
      <c r="W682" s="28" t="str">
        <f>IF(X682="","",IFERROR(INDEX($AL$11:$AL$4010,MATCH(672,$AY$11:$AY$4010,0)),""))</f>
        <v/>
      </c>
      <c r="X682" s="26" t="str">
        <f>IFERROR(INDEX($AM$11:$AM$4010,MATCH(672,$AY$11:$AY$4010,0)),"")</f>
        <v/>
      </c>
      <c r="Y682" s="25" t="str">
        <f>IF(X682="","",IFERROR(INDEX($AN$11:$AN$4010,MATCH(672,$AY$11:$AY$4010,0)),""))</f>
        <v/>
      </c>
      <c r="Z682" s="25" t="str">
        <f>IF(X682="","",IFERROR(INDEX($AO$11:$AO$4010,MATCH(672,$AY$11:$AY$4010,0)),""))</f>
        <v/>
      </c>
      <c r="AA682" s="24" t="str">
        <f>IF(X682="","",IFERROR(INDEX($AQ$11:$AQ$4010,MATCH(672,$AY$11:$AY$4010,0)),""))</f>
        <v/>
      </c>
      <c r="AB682" s="29" t="str">
        <f>IF(X682="","",IFERROR(INDEX($AR$11:$AR$4010,MATCH(672,$AY$11:$AY$4010,0)),""))</f>
        <v/>
      </c>
      <c r="AD682" s="30" t="str">
        <f>IF(AE682="","",IFERROR(INDEX($AL$11:$AL$4010,MATCH(672,$AZ$11:$AZ$4010,0)),""))</f>
        <v/>
      </c>
      <c r="AE682" s="26" t="str">
        <f>IFERROR(INDEX($AM$11:$AM$4010,MATCH(672,$AZ$11:$AZ$4010,0)),"")</f>
        <v/>
      </c>
      <c r="AF682" s="25" t="str">
        <f>IF(AE682="","",IFERROR(INDEX($AN$11:$AN$4010,MATCH(672,$AZ$11:$AZ$4010,0)),""))</f>
        <v/>
      </c>
      <c r="AG682" s="25" t="str">
        <f>IF(AE682="","",IFERROR(INDEX($AO$11:$AO$4010,MATCH(672,$AZ$11:$AZ$4010,0)),""))</f>
        <v/>
      </c>
      <c r="AH682" s="24" t="str">
        <f>IF(AE682="","",IFERROR(INDEX($AQ$11:$AQ$4010,MATCH(672,$AZ$11:$AZ$4010,0)),""))</f>
        <v/>
      </c>
      <c r="AI682" s="29" t="str">
        <f>IF(AE682="","",IFERROR(INDEX($AR$11:$AR$4010,MATCH(672,$AZ$11:$AZ$4010,0)),""))</f>
        <v/>
      </c>
      <c r="AJ682" s="29" t="str">
        <f>IF(AE682="","",IFERROR(INDEX($AT$11:$AT$4010,MATCH(672,$AZ$11:$AZ$4010,0)),""))</f>
        <v/>
      </c>
      <c r="AL682" s="31"/>
      <c r="AM682" s="26"/>
      <c r="AN682" s="32"/>
      <c r="AO682" s="32"/>
      <c r="AP682" s="24"/>
      <c r="AQ682" s="24"/>
      <c r="AR682" s="33"/>
      <c r="AS682" s="34"/>
      <c r="AT682" s="33"/>
      <c r="AV682" s="21">
        <f>IF(AND($AL682&lt;&gt;"",COUNTIF($AL$11:$AL682,$AL682)=1),1,0)</f>
        <v>0</v>
      </c>
      <c r="AW682" s="21">
        <f t="shared" si="107"/>
        <v>0</v>
      </c>
      <c r="AX682" s="21" t="str">
        <f t="shared" si="106"/>
        <v/>
      </c>
      <c r="AY682" s="21" t="str">
        <f>IF(AND($AM682&lt;&gt;"",$AS682&lt;&gt;"✓"),SUMPRODUCT(($AM$11:$AM682&lt;&gt;"")*($AS$11:$AS682&lt;&gt;"✓")),"")</f>
        <v/>
      </c>
      <c r="AZ682" s="21" t="str">
        <f>IF(AND($AM682&lt;&gt;"",$AS682="✓"),SUMPRODUCT(($AM$11:$AM682&lt;&gt;"")*($AS$11:$AS682="✓")),"")</f>
        <v/>
      </c>
      <c r="BA682" s="21" t="str">
        <f>IF($AL682="","",$AL682&amp;"|"&amp;COUNTIF($AL$11:$AL682,$AL682))</f>
        <v/>
      </c>
    </row>
    <row r="683" spans="23:53" ht="15" customHeight="1" x14ac:dyDescent="0.25">
      <c r="W683" s="14" t="str">
        <f>IF(X683="","",IFERROR(INDEX($AL$11:$AL$4010,MATCH(673,$AY$11:$AY$4010,0)),""))</f>
        <v/>
      </c>
      <c r="X683" s="12" t="str">
        <f>IFERROR(INDEX($AM$11:$AM$4010,MATCH(673,$AY$11:$AY$4010,0)),"")</f>
        <v/>
      </c>
      <c r="Y683" s="11" t="str">
        <f>IF(X683="","",IFERROR(INDEX($AN$11:$AN$4010,MATCH(673,$AY$11:$AY$4010,0)),""))</f>
        <v/>
      </c>
      <c r="Z683" s="11" t="str">
        <f>IF(X683="","",IFERROR(INDEX($AO$11:$AO$4010,MATCH(673,$AY$11:$AY$4010,0)),""))</f>
        <v/>
      </c>
      <c r="AA683" s="10" t="str">
        <f>IF(X683="","",IFERROR(INDEX($AQ$11:$AQ$4010,MATCH(673,$AY$11:$AY$4010,0)),""))</f>
        <v/>
      </c>
      <c r="AB683" s="15" t="str">
        <f>IF(X683="","",IFERROR(INDEX($AR$11:$AR$4010,MATCH(673,$AY$11:$AY$4010,0)),""))</f>
        <v/>
      </c>
      <c r="AD683" s="16" t="str">
        <f>IF(AE683="","",IFERROR(INDEX($AL$11:$AL$4010,MATCH(673,$AZ$11:$AZ$4010,0)),""))</f>
        <v/>
      </c>
      <c r="AE683" s="12" t="str">
        <f>IFERROR(INDEX($AM$11:$AM$4010,MATCH(673,$AZ$11:$AZ$4010,0)),"")</f>
        <v/>
      </c>
      <c r="AF683" s="11" t="str">
        <f>IF(AE683="","",IFERROR(INDEX($AN$11:$AN$4010,MATCH(673,$AZ$11:$AZ$4010,0)),""))</f>
        <v/>
      </c>
      <c r="AG683" s="11" t="str">
        <f>IF(AE683="","",IFERROR(INDEX($AO$11:$AO$4010,MATCH(673,$AZ$11:$AZ$4010,0)),""))</f>
        <v/>
      </c>
      <c r="AH683" s="10" t="str">
        <f>IF(AE683="","",IFERROR(INDEX($AQ$11:$AQ$4010,MATCH(673,$AZ$11:$AZ$4010,0)),""))</f>
        <v/>
      </c>
      <c r="AI683" s="15" t="str">
        <f>IF(AE683="","",IFERROR(INDEX($AR$11:$AR$4010,MATCH(673,$AZ$11:$AZ$4010,0)),""))</f>
        <v/>
      </c>
      <c r="AJ683" s="15" t="str">
        <f>IF(AE683="","",IFERROR(INDEX($AT$11:$AT$4010,MATCH(673,$AZ$11:$AZ$4010,0)),""))</f>
        <v/>
      </c>
      <c r="AL683" s="17"/>
      <c r="AM683" s="12"/>
      <c r="AN683" s="18"/>
      <c r="AO683" s="18"/>
      <c r="AP683" s="10"/>
      <c r="AQ683" s="10"/>
      <c r="AR683" s="19"/>
      <c r="AS683" s="20"/>
      <c r="AT683" s="19"/>
      <c r="AV683" s="21">
        <f>IF(AND($AL683&lt;&gt;"",COUNTIF($AL$11:$AL683,$AL683)=1),1,0)</f>
        <v>0</v>
      </c>
      <c r="AW683" s="21">
        <f t="shared" si="107"/>
        <v>0</v>
      </c>
      <c r="AX683" s="21" t="str">
        <f t="shared" si="106"/>
        <v/>
      </c>
      <c r="AY683" s="21" t="str">
        <f>IF(AND($AM683&lt;&gt;"",$AS683&lt;&gt;"✓"),SUMPRODUCT(($AM$11:$AM683&lt;&gt;"")*($AS$11:$AS683&lt;&gt;"✓")),"")</f>
        <v/>
      </c>
      <c r="AZ683" s="21" t="str">
        <f>IF(AND($AM683&lt;&gt;"",$AS683="✓"),SUMPRODUCT(($AM$11:$AM683&lt;&gt;"")*($AS$11:$AS683="✓")),"")</f>
        <v/>
      </c>
      <c r="BA683" s="21" t="str">
        <f>IF($AL683="","",$AL683&amp;"|"&amp;COUNTIF($AL$11:$AL683,$AL683))</f>
        <v/>
      </c>
    </row>
    <row r="684" spans="23:53" ht="15" customHeight="1" x14ac:dyDescent="0.25">
      <c r="W684" s="28" t="str">
        <f>IF(X684="","",IFERROR(INDEX($AL$11:$AL$4010,MATCH(674,$AY$11:$AY$4010,0)),""))</f>
        <v/>
      </c>
      <c r="X684" s="26" t="str">
        <f>IFERROR(INDEX($AM$11:$AM$4010,MATCH(674,$AY$11:$AY$4010,0)),"")</f>
        <v/>
      </c>
      <c r="Y684" s="25" t="str">
        <f>IF(X684="","",IFERROR(INDEX($AN$11:$AN$4010,MATCH(674,$AY$11:$AY$4010,0)),""))</f>
        <v/>
      </c>
      <c r="Z684" s="25" t="str">
        <f>IF(X684="","",IFERROR(INDEX($AO$11:$AO$4010,MATCH(674,$AY$11:$AY$4010,0)),""))</f>
        <v/>
      </c>
      <c r="AA684" s="24" t="str">
        <f>IF(X684="","",IFERROR(INDEX($AQ$11:$AQ$4010,MATCH(674,$AY$11:$AY$4010,0)),""))</f>
        <v/>
      </c>
      <c r="AB684" s="29" t="str">
        <f>IF(X684="","",IFERROR(INDEX($AR$11:$AR$4010,MATCH(674,$AY$11:$AY$4010,0)),""))</f>
        <v/>
      </c>
      <c r="AD684" s="30" t="str">
        <f>IF(AE684="","",IFERROR(INDEX($AL$11:$AL$4010,MATCH(674,$AZ$11:$AZ$4010,0)),""))</f>
        <v/>
      </c>
      <c r="AE684" s="26" t="str">
        <f>IFERROR(INDEX($AM$11:$AM$4010,MATCH(674,$AZ$11:$AZ$4010,0)),"")</f>
        <v/>
      </c>
      <c r="AF684" s="25" t="str">
        <f>IF(AE684="","",IFERROR(INDEX($AN$11:$AN$4010,MATCH(674,$AZ$11:$AZ$4010,0)),""))</f>
        <v/>
      </c>
      <c r="AG684" s="25" t="str">
        <f>IF(AE684="","",IFERROR(INDEX($AO$11:$AO$4010,MATCH(674,$AZ$11:$AZ$4010,0)),""))</f>
        <v/>
      </c>
      <c r="AH684" s="24" t="str">
        <f>IF(AE684="","",IFERROR(INDEX($AQ$11:$AQ$4010,MATCH(674,$AZ$11:$AZ$4010,0)),""))</f>
        <v/>
      </c>
      <c r="AI684" s="29" t="str">
        <f>IF(AE684="","",IFERROR(INDEX($AR$11:$AR$4010,MATCH(674,$AZ$11:$AZ$4010,0)),""))</f>
        <v/>
      </c>
      <c r="AJ684" s="29" t="str">
        <f>IF(AE684="","",IFERROR(INDEX($AT$11:$AT$4010,MATCH(674,$AZ$11:$AZ$4010,0)),""))</f>
        <v/>
      </c>
      <c r="AL684" s="31"/>
      <c r="AM684" s="26"/>
      <c r="AN684" s="32"/>
      <c r="AO684" s="32"/>
      <c r="AP684" s="24"/>
      <c r="AQ684" s="24"/>
      <c r="AR684" s="33"/>
      <c r="AS684" s="34"/>
      <c r="AT684" s="33"/>
      <c r="AV684" s="21">
        <f>IF(AND($AL684&lt;&gt;"",COUNTIF($AL$11:$AL684,$AL684)=1),1,0)</f>
        <v>0</v>
      </c>
      <c r="AW684" s="21">
        <f t="shared" si="107"/>
        <v>0</v>
      </c>
      <c r="AX684" s="21" t="str">
        <f t="shared" si="106"/>
        <v/>
      </c>
      <c r="AY684" s="21" t="str">
        <f>IF(AND($AM684&lt;&gt;"",$AS684&lt;&gt;"✓"),SUMPRODUCT(($AM$11:$AM684&lt;&gt;"")*($AS$11:$AS684&lt;&gt;"✓")),"")</f>
        <v/>
      </c>
      <c r="AZ684" s="21" t="str">
        <f>IF(AND($AM684&lt;&gt;"",$AS684="✓"),SUMPRODUCT(($AM$11:$AM684&lt;&gt;"")*($AS$11:$AS684="✓")),"")</f>
        <v/>
      </c>
      <c r="BA684" s="21" t="str">
        <f>IF($AL684="","",$AL684&amp;"|"&amp;COUNTIF($AL$11:$AL684,$AL684))</f>
        <v/>
      </c>
    </row>
    <row r="685" spans="23:53" ht="15" customHeight="1" x14ac:dyDescent="0.25">
      <c r="W685" s="14" t="str">
        <f>IF(X685="","",IFERROR(INDEX($AL$11:$AL$4010,MATCH(675,$AY$11:$AY$4010,0)),""))</f>
        <v/>
      </c>
      <c r="X685" s="12" t="str">
        <f>IFERROR(INDEX($AM$11:$AM$4010,MATCH(675,$AY$11:$AY$4010,0)),"")</f>
        <v/>
      </c>
      <c r="Y685" s="11" t="str">
        <f>IF(X685="","",IFERROR(INDEX($AN$11:$AN$4010,MATCH(675,$AY$11:$AY$4010,0)),""))</f>
        <v/>
      </c>
      <c r="Z685" s="11" t="str">
        <f>IF(X685="","",IFERROR(INDEX($AO$11:$AO$4010,MATCH(675,$AY$11:$AY$4010,0)),""))</f>
        <v/>
      </c>
      <c r="AA685" s="10" t="str">
        <f>IF(X685="","",IFERROR(INDEX($AQ$11:$AQ$4010,MATCH(675,$AY$11:$AY$4010,0)),""))</f>
        <v/>
      </c>
      <c r="AB685" s="15" t="str">
        <f>IF(X685="","",IFERROR(INDEX($AR$11:$AR$4010,MATCH(675,$AY$11:$AY$4010,0)),""))</f>
        <v/>
      </c>
      <c r="AD685" s="16" t="str">
        <f>IF(AE685="","",IFERROR(INDEX($AL$11:$AL$4010,MATCH(675,$AZ$11:$AZ$4010,0)),""))</f>
        <v/>
      </c>
      <c r="AE685" s="12" t="str">
        <f>IFERROR(INDEX($AM$11:$AM$4010,MATCH(675,$AZ$11:$AZ$4010,0)),"")</f>
        <v/>
      </c>
      <c r="AF685" s="11" t="str">
        <f>IF(AE685="","",IFERROR(INDEX($AN$11:$AN$4010,MATCH(675,$AZ$11:$AZ$4010,0)),""))</f>
        <v/>
      </c>
      <c r="AG685" s="11" t="str">
        <f>IF(AE685="","",IFERROR(INDEX($AO$11:$AO$4010,MATCH(675,$AZ$11:$AZ$4010,0)),""))</f>
        <v/>
      </c>
      <c r="AH685" s="10" t="str">
        <f>IF(AE685="","",IFERROR(INDEX($AQ$11:$AQ$4010,MATCH(675,$AZ$11:$AZ$4010,0)),""))</f>
        <v/>
      </c>
      <c r="AI685" s="15" t="str">
        <f>IF(AE685="","",IFERROR(INDEX($AR$11:$AR$4010,MATCH(675,$AZ$11:$AZ$4010,0)),""))</f>
        <v/>
      </c>
      <c r="AJ685" s="15" t="str">
        <f>IF(AE685="","",IFERROR(INDEX($AT$11:$AT$4010,MATCH(675,$AZ$11:$AZ$4010,0)),""))</f>
        <v/>
      </c>
      <c r="AL685" s="17"/>
      <c r="AM685" s="12"/>
      <c r="AN685" s="18"/>
      <c r="AO685" s="18"/>
      <c r="AP685" s="10"/>
      <c r="AQ685" s="10"/>
      <c r="AR685" s="19"/>
      <c r="AS685" s="20"/>
      <c r="AT685" s="19"/>
      <c r="AV685" s="21">
        <f>IF(AND($AL685&lt;&gt;"",COUNTIF($AL$11:$AL685,$AL685)=1),1,0)</f>
        <v>0</v>
      </c>
      <c r="AW685" s="21">
        <f t="shared" si="107"/>
        <v>0</v>
      </c>
      <c r="AX685" s="21" t="str">
        <f t="shared" si="106"/>
        <v/>
      </c>
      <c r="AY685" s="21" t="str">
        <f>IF(AND($AM685&lt;&gt;"",$AS685&lt;&gt;"✓"),SUMPRODUCT(($AM$11:$AM685&lt;&gt;"")*($AS$11:$AS685&lt;&gt;"✓")),"")</f>
        <v/>
      </c>
      <c r="AZ685" s="21" t="str">
        <f>IF(AND($AM685&lt;&gt;"",$AS685="✓"),SUMPRODUCT(($AM$11:$AM685&lt;&gt;"")*($AS$11:$AS685="✓")),"")</f>
        <v/>
      </c>
      <c r="BA685" s="21" t="str">
        <f>IF($AL685="","",$AL685&amp;"|"&amp;COUNTIF($AL$11:$AL685,$AL685))</f>
        <v/>
      </c>
    </row>
    <row r="686" spans="23:53" ht="15" customHeight="1" x14ac:dyDescent="0.25">
      <c r="W686" s="28" t="str">
        <f>IF(X686="","",IFERROR(INDEX($AL$11:$AL$4010,MATCH(676,$AY$11:$AY$4010,0)),""))</f>
        <v/>
      </c>
      <c r="X686" s="26" t="str">
        <f>IFERROR(INDEX($AM$11:$AM$4010,MATCH(676,$AY$11:$AY$4010,0)),"")</f>
        <v/>
      </c>
      <c r="Y686" s="25" t="str">
        <f>IF(X686="","",IFERROR(INDEX($AN$11:$AN$4010,MATCH(676,$AY$11:$AY$4010,0)),""))</f>
        <v/>
      </c>
      <c r="Z686" s="25" t="str">
        <f>IF(X686="","",IFERROR(INDEX($AO$11:$AO$4010,MATCH(676,$AY$11:$AY$4010,0)),""))</f>
        <v/>
      </c>
      <c r="AA686" s="24" t="str">
        <f>IF(X686="","",IFERROR(INDEX($AQ$11:$AQ$4010,MATCH(676,$AY$11:$AY$4010,0)),""))</f>
        <v/>
      </c>
      <c r="AB686" s="29" t="str">
        <f>IF(X686="","",IFERROR(INDEX($AR$11:$AR$4010,MATCH(676,$AY$11:$AY$4010,0)),""))</f>
        <v/>
      </c>
      <c r="AD686" s="30" t="str">
        <f>IF(AE686="","",IFERROR(INDEX($AL$11:$AL$4010,MATCH(676,$AZ$11:$AZ$4010,0)),""))</f>
        <v/>
      </c>
      <c r="AE686" s="26" t="str">
        <f>IFERROR(INDEX($AM$11:$AM$4010,MATCH(676,$AZ$11:$AZ$4010,0)),"")</f>
        <v/>
      </c>
      <c r="AF686" s="25" t="str">
        <f>IF(AE686="","",IFERROR(INDEX($AN$11:$AN$4010,MATCH(676,$AZ$11:$AZ$4010,0)),""))</f>
        <v/>
      </c>
      <c r="AG686" s="25" t="str">
        <f>IF(AE686="","",IFERROR(INDEX($AO$11:$AO$4010,MATCH(676,$AZ$11:$AZ$4010,0)),""))</f>
        <v/>
      </c>
      <c r="AH686" s="24" t="str">
        <f>IF(AE686="","",IFERROR(INDEX($AQ$11:$AQ$4010,MATCH(676,$AZ$11:$AZ$4010,0)),""))</f>
        <v/>
      </c>
      <c r="AI686" s="29" t="str">
        <f>IF(AE686="","",IFERROR(INDEX($AR$11:$AR$4010,MATCH(676,$AZ$11:$AZ$4010,0)),""))</f>
        <v/>
      </c>
      <c r="AJ686" s="29" t="str">
        <f>IF(AE686="","",IFERROR(INDEX($AT$11:$AT$4010,MATCH(676,$AZ$11:$AZ$4010,0)),""))</f>
        <v/>
      </c>
      <c r="AL686" s="31"/>
      <c r="AM686" s="26"/>
      <c r="AN686" s="32"/>
      <c r="AO686" s="32"/>
      <c r="AP686" s="24"/>
      <c r="AQ686" s="24"/>
      <c r="AR686" s="33"/>
      <c r="AS686" s="34"/>
      <c r="AT686" s="33"/>
      <c r="AV686" s="21">
        <f>IF(AND($AL686&lt;&gt;"",COUNTIF($AL$11:$AL686,$AL686)=1),1,0)</f>
        <v>0</v>
      </c>
      <c r="AW686" s="21">
        <f t="shared" si="107"/>
        <v>0</v>
      </c>
      <c r="AX686" s="21" t="str">
        <f t="shared" si="106"/>
        <v/>
      </c>
      <c r="AY686" s="21" t="str">
        <f>IF(AND($AM686&lt;&gt;"",$AS686&lt;&gt;"✓"),SUMPRODUCT(($AM$11:$AM686&lt;&gt;"")*($AS$11:$AS686&lt;&gt;"✓")),"")</f>
        <v/>
      </c>
      <c r="AZ686" s="21" t="str">
        <f>IF(AND($AM686&lt;&gt;"",$AS686="✓"),SUMPRODUCT(($AM$11:$AM686&lt;&gt;"")*($AS$11:$AS686="✓")),"")</f>
        <v/>
      </c>
      <c r="BA686" s="21" t="str">
        <f>IF($AL686="","",$AL686&amp;"|"&amp;COUNTIF($AL$11:$AL686,$AL686))</f>
        <v/>
      </c>
    </row>
    <row r="687" spans="23:53" ht="15" customHeight="1" x14ac:dyDescent="0.25">
      <c r="W687" s="14" t="str">
        <f>IF(X687="","",IFERROR(INDEX($AL$11:$AL$4010,MATCH(677,$AY$11:$AY$4010,0)),""))</f>
        <v/>
      </c>
      <c r="X687" s="12" t="str">
        <f>IFERROR(INDEX($AM$11:$AM$4010,MATCH(677,$AY$11:$AY$4010,0)),"")</f>
        <v/>
      </c>
      <c r="Y687" s="11" t="str">
        <f>IF(X687="","",IFERROR(INDEX($AN$11:$AN$4010,MATCH(677,$AY$11:$AY$4010,0)),""))</f>
        <v/>
      </c>
      <c r="Z687" s="11" t="str">
        <f>IF(X687="","",IFERROR(INDEX($AO$11:$AO$4010,MATCH(677,$AY$11:$AY$4010,0)),""))</f>
        <v/>
      </c>
      <c r="AA687" s="10" t="str">
        <f>IF(X687="","",IFERROR(INDEX($AQ$11:$AQ$4010,MATCH(677,$AY$11:$AY$4010,0)),""))</f>
        <v/>
      </c>
      <c r="AB687" s="15" t="str">
        <f>IF(X687="","",IFERROR(INDEX($AR$11:$AR$4010,MATCH(677,$AY$11:$AY$4010,0)),""))</f>
        <v/>
      </c>
      <c r="AD687" s="16" t="str">
        <f>IF(AE687="","",IFERROR(INDEX($AL$11:$AL$4010,MATCH(677,$AZ$11:$AZ$4010,0)),""))</f>
        <v/>
      </c>
      <c r="AE687" s="12" t="str">
        <f>IFERROR(INDEX($AM$11:$AM$4010,MATCH(677,$AZ$11:$AZ$4010,0)),"")</f>
        <v/>
      </c>
      <c r="AF687" s="11" t="str">
        <f>IF(AE687="","",IFERROR(INDEX($AN$11:$AN$4010,MATCH(677,$AZ$11:$AZ$4010,0)),""))</f>
        <v/>
      </c>
      <c r="AG687" s="11" t="str">
        <f>IF(AE687="","",IFERROR(INDEX($AO$11:$AO$4010,MATCH(677,$AZ$11:$AZ$4010,0)),""))</f>
        <v/>
      </c>
      <c r="AH687" s="10" t="str">
        <f>IF(AE687="","",IFERROR(INDEX($AQ$11:$AQ$4010,MATCH(677,$AZ$11:$AZ$4010,0)),""))</f>
        <v/>
      </c>
      <c r="AI687" s="15" t="str">
        <f>IF(AE687="","",IFERROR(INDEX($AR$11:$AR$4010,MATCH(677,$AZ$11:$AZ$4010,0)),""))</f>
        <v/>
      </c>
      <c r="AJ687" s="15" t="str">
        <f>IF(AE687="","",IFERROR(INDEX($AT$11:$AT$4010,MATCH(677,$AZ$11:$AZ$4010,0)),""))</f>
        <v/>
      </c>
      <c r="AL687" s="17"/>
      <c r="AM687" s="12"/>
      <c r="AN687" s="18"/>
      <c r="AO687" s="18"/>
      <c r="AP687" s="10"/>
      <c r="AQ687" s="10"/>
      <c r="AR687" s="19"/>
      <c r="AS687" s="20"/>
      <c r="AT687" s="19"/>
      <c r="AV687" s="21">
        <f>IF(AND($AL687&lt;&gt;"",COUNTIF($AL$11:$AL687,$AL687)=1),1,0)</f>
        <v>0</v>
      </c>
      <c r="AW687" s="21">
        <f t="shared" si="107"/>
        <v>0</v>
      </c>
      <c r="AX687" s="21" t="str">
        <f t="shared" si="106"/>
        <v/>
      </c>
      <c r="AY687" s="21" t="str">
        <f>IF(AND($AM687&lt;&gt;"",$AS687&lt;&gt;"✓"),SUMPRODUCT(($AM$11:$AM687&lt;&gt;"")*($AS$11:$AS687&lt;&gt;"✓")),"")</f>
        <v/>
      </c>
      <c r="AZ687" s="21" t="str">
        <f>IF(AND($AM687&lt;&gt;"",$AS687="✓"),SUMPRODUCT(($AM$11:$AM687&lt;&gt;"")*($AS$11:$AS687="✓")),"")</f>
        <v/>
      </c>
      <c r="BA687" s="21" t="str">
        <f>IF($AL687="","",$AL687&amp;"|"&amp;COUNTIF($AL$11:$AL687,$AL687))</f>
        <v/>
      </c>
    </row>
    <row r="688" spans="23:53" ht="15" customHeight="1" x14ac:dyDescent="0.25">
      <c r="W688" s="28" t="str">
        <f>IF(X688="","",IFERROR(INDEX($AL$11:$AL$4010,MATCH(678,$AY$11:$AY$4010,0)),""))</f>
        <v/>
      </c>
      <c r="X688" s="26" t="str">
        <f>IFERROR(INDEX($AM$11:$AM$4010,MATCH(678,$AY$11:$AY$4010,0)),"")</f>
        <v/>
      </c>
      <c r="Y688" s="25" t="str">
        <f>IF(X688="","",IFERROR(INDEX($AN$11:$AN$4010,MATCH(678,$AY$11:$AY$4010,0)),""))</f>
        <v/>
      </c>
      <c r="Z688" s="25" t="str">
        <f>IF(X688="","",IFERROR(INDEX($AO$11:$AO$4010,MATCH(678,$AY$11:$AY$4010,0)),""))</f>
        <v/>
      </c>
      <c r="AA688" s="24" t="str">
        <f>IF(X688="","",IFERROR(INDEX($AQ$11:$AQ$4010,MATCH(678,$AY$11:$AY$4010,0)),""))</f>
        <v/>
      </c>
      <c r="AB688" s="29" t="str">
        <f>IF(X688="","",IFERROR(INDEX($AR$11:$AR$4010,MATCH(678,$AY$11:$AY$4010,0)),""))</f>
        <v/>
      </c>
      <c r="AD688" s="30" t="str">
        <f>IF(AE688="","",IFERROR(INDEX($AL$11:$AL$4010,MATCH(678,$AZ$11:$AZ$4010,0)),""))</f>
        <v/>
      </c>
      <c r="AE688" s="26" t="str">
        <f>IFERROR(INDEX($AM$11:$AM$4010,MATCH(678,$AZ$11:$AZ$4010,0)),"")</f>
        <v/>
      </c>
      <c r="AF688" s="25" t="str">
        <f>IF(AE688="","",IFERROR(INDEX($AN$11:$AN$4010,MATCH(678,$AZ$11:$AZ$4010,0)),""))</f>
        <v/>
      </c>
      <c r="AG688" s="25" t="str">
        <f>IF(AE688="","",IFERROR(INDEX($AO$11:$AO$4010,MATCH(678,$AZ$11:$AZ$4010,0)),""))</f>
        <v/>
      </c>
      <c r="AH688" s="24" t="str">
        <f>IF(AE688="","",IFERROR(INDEX($AQ$11:$AQ$4010,MATCH(678,$AZ$11:$AZ$4010,0)),""))</f>
        <v/>
      </c>
      <c r="AI688" s="29" t="str">
        <f>IF(AE688="","",IFERROR(INDEX($AR$11:$AR$4010,MATCH(678,$AZ$11:$AZ$4010,0)),""))</f>
        <v/>
      </c>
      <c r="AJ688" s="29" t="str">
        <f>IF(AE688="","",IFERROR(INDEX($AT$11:$AT$4010,MATCH(678,$AZ$11:$AZ$4010,0)),""))</f>
        <v/>
      </c>
      <c r="AL688" s="31"/>
      <c r="AM688" s="26"/>
      <c r="AN688" s="32"/>
      <c r="AO688" s="32"/>
      <c r="AP688" s="24"/>
      <c r="AQ688" s="24"/>
      <c r="AR688" s="33"/>
      <c r="AS688" s="34"/>
      <c r="AT688" s="33"/>
      <c r="AV688" s="21">
        <f>IF(AND($AL688&lt;&gt;"",COUNTIF($AL$11:$AL688,$AL688)=1),1,0)</f>
        <v>0</v>
      </c>
      <c r="AW688" s="21">
        <f t="shared" si="107"/>
        <v>0</v>
      </c>
      <c r="AX688" s="21" t="str">
        <f t="shared" si="106"/>
        <v/>
      </c>
      <c r="AY688" s="21" t="str">
        <f>IF(AND($AM688&lt;&gt;"",$AS688&lt;&gt;"✓"),SUMPRODUCT(($AM$11:$AM688&lt;&gt;"")*($AS$11:$AS688&lt;&gt;"✓")),"")</f>
        <v/>
      </c>
      <c r="AZ688" s="21" t="str">
        <f>IF(AND($AM688&lt;&gt;"",$AS688="✓"),SUMPRODUCT(($AM$11:$AM688&lt;&gt;"")*($AS$11:$AS688="✓")),"")</f>
        <v/>
      </c>
      <c r="BA688" s="21" t="str">
        <f>IF($AL688="","",$AL688&amp;"|"&amp;COUNTIF($AL$11:$AL688,$AL688))</f>
        <v/>
      </c>
    </row>
    <row r="689" spans="23:53" ht="15" customHeight="1" x14ac:dyDescent="0.25">
      <c r="W689" s="14" t="str">
        <f>IF(X689="","",IFERROR(INDEX($AL$11:$AL$4010,MATCH(679,$AY$11:$AY$4010,0)),""))</f>
        <v/>
      </c>
      <c r="X689" s="12" t="str">
        <f>IFERROR(INDEX($AM$11:$AM$4010,MATCH(679,$AY$11:$AY$4010,0)),"")</f>
        <v/>
      </c>
      <c r="Y689" s="11" t="str">
        <f>IF(X689="","",IFERROR(INDEX($AN$11:$AN$4010,MATCH(679,$AY$11:$AY$4010,0)),""))</f>
        <v/>
      </c>
      <c r="Z689" s="11" t="str">
        <f>IF(X689="","",IFERROR(INDEX($AO$11:$AO$4010,MATCH(679,$AY$11:$AY$4010,0)),""))</f>
        <v/>
      </c>
      <c r="AA689" s="10" t="str">
        <f>IF(X689="","",IFERROR(INDEX($AQ$11:$AQ$4010,MATCH(679,$AY$11:$AY$4010,0)),""))</f>
        <v/>
      </c>
      <c r="AB689" s="15" t="str">
        <f>IF(X689="","",IFERROR(INDEX($AR$11:$AR$4010,MATCH(679,$AY$11:$AY$4010,0)),""))</f>
        <v/>
      </c>
      <c r="AD689" s="16" t="str">
        <f>IF(AE689="","",IFERROR(INDEX($AL$11:$AL$4010,MATCH(679,$AZ$11:$AZ$4010,0)),""))</f>
        <v/>
      </c>
      <c r="AE689" s="12" t="str">
        <f>IFERROR(INDEX($AM$11:$AM$4010,MATCH(679,$AZ$11:$AZ$4010,0)),"")</f>
        <v/>
      </c>
      <c r="AF689" s="11" t="str">
        <f>IF(AE689="","",IFERROR(INDEX($AN$11:$AN$4010,MATCH(679,$AZ$11:$AZ$4010,0)),""))</f>
        <v/>
      </c>
      <c r="AG689" s="11" t="str">
        <f>IF(AE689="","",IFERROR(INDEX($AO$11:$AO$4010,MATCH(679,$AZ$11:$AZ$4010,0)),""))</f>
        <v/>
      </c>
      <c r="AH689" s="10" t="str">
        <f>IF(AE689="","",IFERROR(INDEX($AQ$11:$AQ$4010,MATCH(679,$AZ$11:$AZ$4010,0)),""))</f>
        <v/>
      </c>
      <c r="AI689" s="15" t="str">
        <f>IF(AE689="","",IFERROR(INDEX($AR$11:$AR$4010,MATCH(679,$AZ$11:$AZ$4010,0)),""))</f>
        <v/>
      </c>
      <c r="AJ689" s="15" t="str">
        <f>IF(AE689="","",IFERROR(INDEX($AT$11:$AT$4010,MATCH(679,$AZ$11:$AZ$4010,0)),""))</f>
        <v/>
      </c>
      <c r="AL689" s="17"/>
      <c r="AM689" s="12"/>
      <c r="AN689" s="18"/>
      <c r="AO689" s="18"/>
      <c r="AP689" s="10"/>
      <c r="AQ689" s="10"/>
      <c r="AR689" s="19"/>
      <c r="AS689" s="20"/>
      <c r="AT689" s="19"/>
      <c r="AV689" s="21">
        <f>IF(AND($AL689&lt;&gt;"",COUNTIF($AL$11:$AL689,$AL689)=1),1,0)</f>
        <v>0</v>
      </c>
      <c r="AW689" s="21">
        <f t="shared" si="107"/>
        <v>0</v>
      </c>
      <c r="AX689" s="21" t="str">
        <f t="shared" si="106"/>
        <v/>
      </c>
      <c r="AY689" s="21" t="str">
        <f>IF(AND($AM689&lt;&gt;"",$AS689&lt;&gt;"✓"),SUMPRODUCT(($AM$11:$AM689&lt;&gt;"")*($AS$11:$AS689&lt;&gt;"✓")),"")</f>
        <v/>
      </c>
      <c r="AZ689" s="21" t="str">
        <f>IF(AND($AM689&lt;&gt;"",$AS689="✓"),SUMPRODUCT(($AM$11:$AM689&lt;&gt;"")*($AS$11:$AS689="✓")),"")</f>
        <v/>
      </c>
      <c r="BA689" s="21" t="str">
        <f>IF($AL689="","",$AL689&amp;"|"&amp;COUNTIF($AL$11:$AL689,$AL689))</f>
        <v/>
      </c>
    </row>
    <row r="690" spans="23:53" ht="15" customHeight="1" x14ac:dyDescent="0.25">
      <c r="W690" s="28" t="str">
        <f>IF(X690="","",IFERROR(INDEX($AL$11:$AL$4010,MATCH(680,$AY$11:$AY$4010,0)),""))</f>
        <v/>
      </c>
      <c r="X690" s="26" t="str">
        <f>IFERROR(INDEX($AM$11:$AM$4010,MATCH(680,$AY$11:$AY$4010,0)),"")</f>
        <v/>
      </c>
      <c r="Y690" s="25" t="str">
        <f>IF(X690="","",IFERROR(INDEX($AN$11:$AN$4010,MATCH(680,$AY$11:$AY$4010,0)),""))</f>
        <v/>
      </c>
      <c r="Z690" s="25" t="str">
        <f>IF(X690="","",IFERROR(INDEX($AO$11:$AO$4010,MATCH(680,$AY$11:$AY$4010,0)),""))</f>
        <v/>
      </c>
      <c r="AA690" s="24" t="str">
        <f>IF(X690="","",IFERROR(INDEX($AQ$11:$AQ$4010,MATCH(680,$AY$11:$AY$4010,0)),""))</f>
        <v/>
      </c>
      <c r="AB690" s="29" t="str">
        <f>IF(X690="","",IFERROR(INDEX($AR$11:$AR$4010,MATCH(680,$AY$11:$AY$4010,0)),""))</f>
        <v/>
      </c>
      <c r="AD690" s="30" t="str">
        <f>IF(AE690="","",IFERROR(INDEX($AL$11:$AL$4010,MATCH(680,$AZ$11:$AZ$4010,0)),""))</f>
        <v/>
      </c>
      <c r="AE690" s="26" t="str">
        <f>IFERROR(INDEX($AM$11:$AM$4010,MATCH(680,$AZ$11:$AZ$4010,0)),"")</f>
        <v/>
      </c>
      <c r="AF690" s="25" t="str">
        <f>IF(AE690="","",IFERROR(INDEX($AN$11:$AN$4010,MATCH(680,$AZ$11:$AZ$4010,0)),""))</f>
        <v/>
      </c>
      <c r="AG690" s="25" t="str">
        <f>IF(AE690="","",IFERROR(INDEX($AO$11:$AO$4010,MATCH(680,$AZ$11:$AZ$4010,0)),""))</f>
        <v/>
      </c>
      <c r="AH690" s="24" t="str">
        <f>IF(AE690="","",IFERROR(INDEX($AQ$11:$AQ$4010,MATCH(680,$AZ$11:$AZ$4010,0)),""))</f>
        <v/>
      </c>
      <c r="AI690" s="29" t="str">
        <f>IF(AE690="","",IFERROR(INDEX($AR$11:$AR$4010,MATCH(680,$AZ$11:$AZ$4010,0)),""))</f>
        <v/>
      </c>
      <c r="AJ690" s="29" t="str">
        <f>IF(AE690="","",IFERROR(INDEX($AT$11:$AT$4010,MATCH(680,$AZ$11:$AZ$4010,0)),""))</f>
        <v/>
      </c>
      <c r="AL690" s="31"/>
      <c r="AM690" s="26"/>
      <c r="AN690" s="32"/>
      <c r="AO690" s="32"/>
      <c r="AP690" s="24"/>
      <c r="AQ690" s="24"/>
      <c r="AR690" s="33"/>
      <c r="AS690" s="34"/>
      <c r="AT690" s="33"/>
      <c r="AV690" s="21">
        <f>IF(AND($AL690&lt;&gt;"",COUNTIF($AL$11:$AL690,$AL690)=1),1,0)</f>
        <v>0</v>
      </c>
      <c r="AW690" s="21">
        <f t="shared" si="107"/>
        <v>0</v>
      </c>
      <c r="AX690" s="21" t="str">
        <f t="shared" si="106"/>
        <v/>
      </c>
      <c r="AY690" s="21" t="str">
        <f>IF(AND($AM690&lt;&gt;"",$AS690&lt;&gt;"✓"),SUMPRODUCT(($AM$11:$AM690&lt;&gt;"")*($AS$11:$AS690&lt;&gt;"✓")),"")</f>
        <v/>
      </c>
      <c r="AZ690" s="21" t="str">
        <f>IF(AND($AM690&lt;&gt;"",$AS690="✓"),SUMPRODUCT(($AM$11:$AM690&lt;&gt;"")*($AS$11:$AS690="✓")),"")</f>
        <v/>
      </c>
      <c r="BA690" s="21" t="str">
        <f>IF($AL690="","",$AL690&amp;"|"&amp;COUNTIF($AL$11:$AL690,$AL690))</f>
        <v/>
      </c>
    </row>
    <row r="691" spans="23:53" ht="15" customHeight="1" x14ac:dyDescent="0.25">
      <c r="W691" s="14" t="str">
        <f>IF(X691="","",IFERROR(INDEX($AL$11:$AL$4010,MATCH(681,$AY$11:$AY$4010,0)),""))</f>
        <v/>
      </c>
      <c r="X691" s="12" t="str">
        <f>IFERROR(INDEX($AM$11:$AM$4010,MATCH(681,$AY$11:$AY$4010,0)),"")</f>
        <v/>
      </c>
      <c r="Y691" s="11" t="str">
        <f>IF(X691="","",IFERROR(INDEX($AN$11:$AN$4010,MATCH(681,$AY$11:$AY$4010,0)),""))</f>
        <v/>
      </c>
      <c r="Z691" s="11" t="str">
        <f>IF(X691="","",IFERROR(INDEX($AO$11:$AO$4010,MATCH(681,$AY$11:$AY$4010,0)),""))</f>
        <v/>
      </c>
      <c r="AA691" s="10" t="str">
        <f>IF(X691="","",IFERROR(INDEX($AQ$11:$AQ$4010,MATCH(681,$AY$11:$AY$4010,0)),""))</f>
        <v/>
      </c>
      <c r="AB691" s="15" t="str">
        <f>IF(X691="","",IFERROR(INDEX($AR$11:$AR$4010,MATCH(681,$AY$11:$AY$4010,0)),""))</f>
        <v/>
      </c>
      <c r="AD691" s="16" t="str">
        <f>IF(AE691="","",IFERROR(INDEX($AL$11:$AL$4010,MATCH(681,$AZ$11:$AZ$4010,0)),""))</f>
        <v/>
      </c>
      <c r="AE691" s="12" t="str">
        <f>IFERROR(INDEX($AM$11:$AM$4010,MATCH(681,$AZ$11:$AZ$4010,0)),"")</f>
        <v/>
      </c>
      <c r="AF691" s="11" t="str">
        <f>IF(AE691="","",IFERROR(INDEX($AN$11:$AN$4010,MATCH(681,$AZ$11:$AZ$4010,0)),""))</f>
        <v/>
      </c>
      <c r="AG691" s="11" t="str">
        <f>IF(AE691="","",IFERROR(INDEX($AO$11:$AO$4010,MATCH(681,$AZ$11:$AZ$4010,0)),""))</f>
        <v/>
      </c>
      <c r="AH691" s="10" t="str">
        <f>IF(AE691="","",IFERROR(INDEX($AQ$11:$AQ$4010,MATCH(681,$AZ$11:$AZ$4010,0)),""))</f>
        <v/>
      </c>
      <c r="AI691" s="15" t="str">
        <f>IF(AE691="","",IFERROR(INDEX($AR$11:$AR$4010,MATCH(681,$AZ$11:$AZ$4010,0)),""))</f>
        <v/>
      </c>
      <c r="AJ691" s="15" t="str">
        <f>IF(AE691="","",IFERROR(INDEX($AT$11:$AT$4010,MATCH(681,$AZ$11:$AZ$4010,0)),""))</f>
        <v/>
      </c>
      <c r="AL691" s="17"/>
      <c r="AM691" s="12"/>
      <c r="AN691" s="18"/>
      <c r="AO691" s="18"/>
      <c r="AP691" s="10"/>
      <c r="AQ691" s="10"/>
      <c r="AR691" s="19"/>
      <c r="AS691" s="20"/>
      <c r="AT691" s="19"/>
      <c r="AV691" s="21">
        <f>IF(AND($AL691&lt;&gt;"",COUNTIF($AL$11:$AL691,$AL691)=1),1,0)</f>
        <v>0</v>
      </c>
      <c r="AW691" s="21">
        <f t="shared" si="107"/>
        <v>0</v>
      </c>
      <c r="AX691" s="21" t="str">
        <f t="shared" si="106"/>
        <v/>
      </c>
      <c r="AY691" s="21" t="str">
        <f>IF(AND($AM691&lt;&gt;"",$AS691&lt;&gt;"✓"),SUMPRODUCT(($AM$11:$AM691&lt;&gt;"")*($AS$11:$AS691&lt;&gt;"✓")),"")</f>
        <v/>
      </c>
      <c r="AZ691" s="21" t="str">
        <f>IF(AND($AM691&lt;&gt;"",$AS691="✓"),SUMPRODUCT(($AM$11:$AM691&lt;&gt;"")*($AS$11:$AS691="✓")),"")</f>
        <v/>
      </c>
      <c r="BA691" s="21" t="str">
        <f>IF($AL691="","",$AL691&amp;"|"&amp;COUNTIF($AL$11:$AL691,$AL691))</f>
        <v/>
      </c>
    </row>
    <row r="692" spans="23:53" ht="15" customHeight="1" x14ac:dyDescent="0.25">
      <c r="W692" s="28" t="str">
        <f>IF(X692="","",IFERROR(INDEX($AL$11:$AL$4010,MATCH(682,$AY$11:$AY$4010,0)),""))</f>
        <v/>
      </c>
      <c r="X692" s="26" t="str">
        <f>IFERROR(INDEX($AM$11:$AM$4010,MATCH(682,$AY$11:$AY$4010,0)),"")</f>
        <v/>
      </c>
      <c r="Y692" s="25" t="str">
        <f>IF(X692="","",IFERROR(INDEX($AN$11:$AN$4010,MATCH(682,$AY$11:$AY$4010,0)),""))</f>
        <v/>
      </c>
      <c r="Z692" s="25" t="str">
        <f>IF(X692="","",IFERROR(INDEX($AO$11:$AO$4010,MATCH(682,$AY$11:$AY$4010,0)),""))</f>
        <v/>
      </c>
      <c r="AA692" s="24" t="str">
        <f>IF(X692="","",IFERROR(INDEX($AQ$11:$AQ$4010,MATCH(682,$AY$11:$AY$4010,0)),""))</f>
        <v/>
      </c>
      <c r="AB692" s="29" t="str">
        <f>IF(X692="","",IFERROR(INDEX($AR$11:$AR$4010,MATCH(682,$AY$11:$AY$4010,0)),""))</f>
        <v/>
      </c>
      <c r="AD692" s="30" t="str">
        <f>IF(AE692="","",IFERROR(INDEX($AL$11:$AL$4010,MATCH(682,$AZ$11:$AZ$4010,0)),""))</f>
        <v/>
      </c>
      <c r="AE692" s="26" t="str">
        <f>IFERROR(INDEX($AM$11:$AM$4010,MATCH(682,$AZ$11:$AZ$4010,0)),"")</f>
        <v/>
      </c>
      <c r="AF692" s="25" t="str">
        <f>IF(AE692="","",IFERROR(INDEX($AN$11:$AN$4010,MATCH(682,$AZ$11:$AZ$4010,0)),""))</f>
        <v/>
      </c>
      <c r="AG692" s="25" t="str">
        <f>IF(AE692="","",IFERROR(INDEX($AO$11:$AO$4010,MATCH(682,$AZ$11:$AZ$4010,0)),""))</f>
        <v/>
      </c>
      <c r="AH692" s="24" t="str">
        <f>IF(AE692="","",IFERROR(INDEX($AQ$11:$AQ$4010,MATCH(682,$AZ$11:$AZ$4010,0)),""))</f>
        <v/>
      </c>
      <c r="AI692" s="29" t="str">
        <f>IF(AE692="","",IFERROR(INDEX($AR$11:$AR$4010,MATCH(682,$AZ$11:$AZ$4010,0)),""))</f>
        <v/>
      </c>
      <c r="AJ692" s="29" t="str">
        <f>IF(AE692="","",IFERROR(INDEX($AT$11:$AT$4010,MATCH(682,$AZ$11:$AZ$4010,0)),""))</f>
        <v/>
      </c>
      <c r="AL692" s="31"/>
      <c r="AM692" s="26"/>
      <c r="AN692" s="32"/>
      <c r="AO692" s="32"/>
      <c r="AP692" s="24"/>
      <c r="AQ692" s="24"/>
      <c r="AR692" s="33"/>
      <c r="AS692" s="34"/>
      <c r="AT692" s="33"/>
      <c r="AV692" s="21">
        <f>IF(AND($AL692&lt;&gt;"",COUNTIF($AL$11:$AL692,$AL692)=1),1,0)</f>
        <v>0</v>
      </c>
      <c r="AW692" s="21">
        <f t="shared" si="107"/>
        <v>0</v>
      </c>
      <c r="AX692" s="21" t="str">
        <f t="shared" si="106"/>
        <v/>
      </c>
      <c r="AY692" s="21" t="str">
        <f>IF(AND($AM692&lt;&gt;"",$AS692&lt;&gt;"✓"),SUMPRODUCT(($AM$11:$AM692&lt;&gt;"")*($AS$11:$AS692&lt;&gt;"✓")),"")</f>
        <v/>
      </c>
      <c r="AZ692" s="21" t="str">
        <f>IF(AND($AM692&lt;&gt;"",$AS692="✓"),SUMPRODUCT(($AM$11:$AM692&lt;&gt;"")*($AS$11:$AS692="✓")),"")</f>
        <v/>
      </c>
      <c r="BA692" s="21" t="str">
        <f>IF($AL692="","",$AL692&amp;"|"&amp;COUNTIF($AL$11:$AL692,$AL692))</f>
        <v/>
      </c>
    </row>
    <row r="693" spans="23:53" ht="15" customHeight="1" x14ac:dyDescent="0.25">
      <c r="W693" s="14" t="str">
        <f>IF(X693="","",IFERROR(INDEX($AL$11:$AL$4010,MATCH(683,$AY$11:$AY$4010,0)),""))</f>
        <v/>
      </c>
      <c r="X693" s="12" t="str">
        <f>IFERROR(INDEX($AM$11:$AM$4010,MATCH(683,$AY$11:$AY$4010,0)),"")</f>
        <v/>
      </c>
      <c r="Y693" s="11" t="str">
        <f>IF(X693="","",IFERROR(INDEX($AN$11:$AN$4010,MATCH(683,$AY$11:$AY$4010,0)),""))</f>
        <v/>
      </c>
      <c r="Z693" s="11" t="str">
        <f>IF(X693="","",IFERROR(INDEX($AO$11:$AO$4010,MATCH(683,$AY$11:$AY$4010,0)),""))</f>
        <v/>
      </c>
      <c r="AA693" s="10" t="str">
        <f>IF(X693="","",IFERROR(INDEX($AQ$11:$AQ$4010,MATCH(683,$AY$11:$AY$4010,0)),""))</f>
        <v/>
      </c>
      <c r="AB693" s="15" t="str">
        <f>IF(X693="","",IFERROR(INDEX($AR$11:$AR$4010,MATCH(683,$AY$11:$AY$4010,0)),""))</f>
        <v/>
      </c>
      <c r="AD693" s="16" t="str">
        <f>IF(AE693="","",IFERROR(INDEX($AL$11:$AL$4010,MATCH(683,$AZ$11:$AZ$4010,0)),""))</f>
        <v/>
      </c>
      <c r="AE693" s="12" t="str">
        <f>IFERROR(INDEX($AM$11:$AM$4010,MATCH(683,$AZ$11:$AZ$4010,0)),"")</f>
        <v/>
      </c>
      <c r="AF693" s="11" t="str">
        <f>IF(AE693="","",IFERROR(INDEX($AN$11:$AN$4010,MATCH(683,$AZ$11:$AZ$4010,0)),""))</f>
        <v/>
      </c>
      <c r="AG693" s="11" t="str">
        <f>IF(AE693="","",IFERROR(INDEX($AO$11:$AO$4010,MATCH(683,$AZ$11:$AZ$4010,0)),""))</f>
        <v/>
      </c>
      <c r="AH693" s="10" t="str">
        <f>IF(AE693="","",IFERROR(INDEX($AQ$11:$AQ$4010,MATCH(683,$AZ$11:$AZ$4010,0)),""))</f>
        <v/>
      </c>
      <c r="AI693" s="15" t="str">
        <f>IF(AE693="","",IFERROR(INDEX($AR$11:$AR$4010,MATCH(683,$AZ$11:$AZ$4010,0)),""))</f>
        <v/>
      </c>
      <c r="AJ693" s="15" t="str">
        <f>IF(AE693="","",IFERROR(INDEX($AT$11:$AT$4010,MATCH(683,$AZ$11:$AZ$4010,0)),""))</f>
        <v/>
      </c>
      <c r="AL693" s="17"/>
      <c r="AM693" s="12"/>
      <c r="AN693" s="18"/>
      <c r="AO693" s="18"/>
      <c r="AP693" s="10"/>
      <c r="AQ693" s="10"/>
      <c r="AR693" s="19"/>
      <c r="AS693" s="20"/>
      <c r="AT693" s="19"/>
      <c r="AV693" s="21">
        <f>IF(AND($AL693&lt;&gt;"",COUNTIF($AL$11:$AL693,$AL693)=1),1,0)</f>
        <v>0</v>
      </c>
      <c r="AW693" s="21">
        <f t="shared" si="107"/>
        <v>0</v>
      </c>
      <c r="AX693" s="21" t="str">
        <f t="shared" si="106"/>
        <v/>
      </c>
      <c r="AY693" s="21" t="str">
        <f>IF(AND($AM693&lt;&gt;"",$AS693&lt;&gt;"✓"),SUMPRODUCT(($AM$11:$AM693&lt;&gt;"")*($AS$11:$AS693&lt;&gt;"✓")),"")</f>
        <v/>
      </c>
      <c r="AZ693" s="21" t="str">
        <f>IF(AND($AM693&lt;&gt;"",$AS693="✓"),SUMPRODUCT(($AM$11:$AM693&lt;&gt;"")*($AS$11:$AS693="✓")),"")</f>
        <v/>
      </c>
      <c r="BA693" s="21" t="str">
        <f>IF($AL693="","",$AL693&amp;"|"&amp;COUNTIF($AL$11:$AL693,$AL693))</f>
        <v/>
      </c>
    </row>
    <row r="694" spans="23:53" ht="15" customHeight="1" x14ac:dyDescent="0.25">
      <c r="W694" s="28" t="str">
        <f>IF(X694="","",IFERROR(INDEX($AL$11:$AL$4010,MATCH(684,$AY$11:$AY$4010,0)),""))</f>
        <v/>
      </c>
      <c r="X694" s="26" t="str">
        <f>IFERROR(INDEX($AM$11:$AM$4010,MATCH(684,$AY$11:$AY$4010,0)),"")</f>
        <v/>
      </c>
      <c r="Y694" s="25" t="str">
        <f>IF(X694="","",IFERROR(INDEX($AN$11:$AN$4010,MATCH(684,$AY$11:$AY$4010,0)),""))</f>
        <v/>
      </c>
      <c r="Z694" s="25" t="str">
        <f>IF(X694="","",IFERROR(INDEX($AO$11:$AO$4010,MATCH(684,$AY$11:$AY$4010,0)),""))</f>
        <v/>
      </c>
      <c r="AA694" s="24" t="str">
        <f>IF(X694="","",IFERROR(INDEX($AQ$11:$AQ$4010,MATCH(684,$AY$11:$AY$4010,0)),""))</f>
        <v/>
      </c>
      <c r="AB694" s="29" t="str">
        <f>IF(X694="","",IFERROR(INDEX($AR$11:$AR$4010,MATCH(684,$AY$11:$AY$4010,0)),""))</f>
        <v/>
      </c>
      <c r="AD694" s="30" t="str">
        <f>IF(AE694="","",IFERROR(INDEX($AL$11:$AL$4010,MATCH(684,$AZ$11:$AZ$4010,0)),""))</f>
        <v/>
      </c>
      <c r="AE694" s="26" t="str">
        <f>IFERROR(INDEX($AM$11:$AM$4010,MATCH(684,$AZ$11:$AZ$4010,0)),"")</f>
        <v/>
      </c>
      <c r="AF694" s="25" t="str">
        <f>IF(AE694="","",IFERROR(INDEX($AN$11:$AN$4010,MATCH(684,$AZ$11:$AZ$4010,0)),""))</f>
        <v/>
      </c>
      <c r="AG694" s="25" t="str">
        <f>IF(AE694="","",IFERROR(INDEX($AO$11:$AO$4010,MATCH(684,$AZ$11:$AZ$4010,0)),""))</f>
        <v/>
      </c>
      <c r="AH694" s="24" t="str">
        <f>IF(AE694="","",IFERROR(INDEX($AQ$11:$AQ$4010,MATCH(684,$AZ$11:$AZ$4010,0)),""))</f>
        <v/>
      </c>
      <c r="AI694" s="29" t="str">
        <f>IF(AE694="","",IFERROR(INDEX($AR$11:$AR$4010,MATCH(684,$AZ$11:$AZ$4010,0)),""))</f>
        <v/>
      </c>
      <c r="AJ694" s="29" t="str">
        <f>IF(AE694="","",IFERROR(INDEX($AT$11:$AT$4010,MATCH(684,$AZ$11:$AZ$4010,0)),""))</f>
        <v/>
      </c>
      <c r="AL694" s="31"/>
      <c r="AM694" s="26"/>
      <c r="AN694" s="32"/>
      <c r="AO694" s="32"/>
      <c r="AP694" s="24"/>
      <c r="AQ694" s="24"/>
      <c r="AR694" s="33"/>
      <c r="AS694" s="34"/>
      <c r="AT694" s="33"/>
      <c r="AV694" s="21">
        <f>IF(AND($AL694&lt;&gt;"",COUNTIF($AL$11:$AL694,$AL694)=1),1,0)</f>
        <v>0</v>
      </c>
      <c r="AW694" s="21">
        <f t="shared" si="107"/>
        <v>0</v>
      </c>
      <c r="AX694" s="21" t="str">
        <f t="shared" si="106"/>
        <v/>
      </c>
      <c r="AY694" s="21" t="str">
        <f>IF(AND($AM694&lt;&gt;"",$AS694&lt;&gt;"✓"),SUMPRODUCT(($AM$11:$AM694&lt;&gt;"")*($AS$11:$AS694&lt;&gt;"✓")),"")</f>
        <v/>
      </c>
      <c r="AZ694" s="21" t="str">
        <f>IF(AND($AM694&lt;&gt;"",$AS694="✓"),SUMPRODUCT(($AM$11:$AM694&lt;&gt;"")*($AS$11:$AS694="✓")),"")</f>
        <v/>
      </c>
      <c r="BA694" s="21" t="str">
        <f>IF($AL694="","",$AL694&amp;"|"&amp;COUNTIF($AL$11:$AL694,$AL694))</f>
        <v/>
      </c>
    </row>
    <row r="695" spans="23:53" ht="15" customHeight="1" x14ac:dyDescent="0.25">
      <c r="W695" s="14" t="str">
        <f>IF(X695="","",IFERROR(INDEX($AL$11:$AL$4010,MATCH(685,$AY$11:$AY$4010,0)),""))</f>
        <v/>
      </c>
      <c r="X695" s="12" t="str">
        <f>IFERROR(INDEX($AM$11:$AM$4010,MATCH(685,$AY$11:$AY$4010,0)),"")</f>
        <v/>
      </c>
      <c r="Y695" s="11" t="str">
        <f>IF(X695="","",IFERROR(INDEX($AN$11:$AN$4010,MATCH(685,$AY$11:$AY$4010,0)),""))</f>
        <v/>
      </c>
      <c r="Z695" s="11" t="str">
        <f>IF(X695="","",IFERROR(INDEX($AO$11:$AO$4010,MATCH(685,$AY$11:$AY$4010,0)),""))</f>
        <v/>
      </c>
      <c r="AA695" s="10" t="str">
        <f>IF(X695="","",IFERROR(INDEX($AQ$11:$AQ$4010,MATCH(685,$AY$11:$AY$4010,0)),""))</f>
        <v/>
      </c>
      <c r="AB695" s="15" t="str">
        <f>IF(X695="","",IFERROR(INDEX($AR$11:$AR$4010,MATCH(685,$AY$11:$AY$4010,0)),""))</f>
        <v/>
      </c>
      <c r="AD695" s="16" t="str">
        <f>IF(AE695="","",IFERROR(INDEX($AL$11:$AL$4010,MATCH(685,$AZ$11:$AZ$4010,0)),""))</f>
        <v/>
      </c>
      <c r="AE695" s="12" t="str">
        <f>IFERROR(INDEX($AM$11:$AM$4010,MATCH(685,$AZ$11:$AZ$4010,0)),"")</f>
        <v/>
      </c>
      <c r="AF695" s="11" t="str">
        <f>IF(AE695="","",IFERROR(INDEX($AN$11:$AN$4010,MATCH(685,$AZ$11:$AZ$4010,0)),""))</f>
        <v/>
      </c>
      <c r="AG695" s="11" t="str">
        <f>IF(AE695="","",IFERROR(INDEX($AO$11:$AO$4010,MATCH(685,$AZ$11:$AZ$4010,0)),""))</f>
        <v/>
      </c>
      <c r="AH695" s="10" t="str">
        <f>IF(AE695="","",IFERROR(INDEX($AQ$11:$AQ$4010,MATCH(685,$AZ$11:$AZ$4010,0)),""))</f>
        <v/>
      </c>
      <c r="AI695" s="15" t="str">
        <f>IF(AE695="","",IFERROR(INDEX($AR$11:$AR$4010,MATCH(685,$AZ$11:$AZ$4010,0)),""))</f>
        <v/>
      </c>
      <c r="AJ695" s="15" t="str">
        <f>IF(AE695="","",IFERROR(INDEX($AT$11:$AT$4010,MATCH(685,$AZ$11:$AZ$4010,0)),""))</f>
        <v/>
      </c>
      <c r="AL695" s="17"/>
      <c r="AM695" s="12"/>
      <c r="AN695" s="18"/>
      <c r="AO695" s="18"/>
      <c r="AP695" s="10"/>
      <c r="AQ695" s="10"/>
      <c r="AR695" s="19"/>
      <c r="AS695" s="20"/>
      <c r="AT695" s="19"/>
      <c r="AV695" s="21">
        <f>IF(AND($AL695&lt;&gt;"",COUNTIF($AL$11:$AL695,$AL695)=1),1,0)</f>
        <v>0</v>
      </c>
      <c r="AW695" s="21">
        <f t="shared" si="107"/>
        <v>0</v>
      </c>
      <c r="AX695" s="21" t="str">
        <f t="shared" si="106"/>
        <v/>
      </c>
      <c r="AY695" s="21" t="str">
        <f>IF(AND($AM695&lt;&gt;"",$AS695&lt;&gt;"✓"),SUMPRODUCT(($AM$11:$AM695&lt;&gt;"")*($AS$11:$AS695&lt;&gt;"✓")),"")</f>
        <v/>
      </c>
      <c r="AZ695" s="21" t="str">
        <f>IF(AND($AM695&lt;&gt;"",$AS695="✓"),SUMPRODUCT(($AM$11:$AM695&lt;&gt;"")*($AS$11:$AS695="✓")),"")</f>
        <v/>
      </c>
      <c r="BA695" s="21" t="str">
        <f>IF($AL695="","",$AL695&amp;"|"&amp;COUNTIF($AL$11:$AL695,$AL695))</f>
        <v/>
      </c>
    </row>
    <row r="696" spans="23:53" ht="15" customHeight="1" x14ac:dyDescent="0.25">
      <c r="W696" s="28" t="str">
        <f>IF(X696="","",IFERROR(INDEX($AL$11:$AL$4010,MATCH(686,$AY$11:$AY$4010,0)),""))</f>
        <v/>
      </c>
      <c r="X696" s="26" t="str">
        <f>IFERROR(INDEX($AM$11:$AM$4010,MATCH(686,$AY$11:$AY$4010,0)),"")</f>
        <v/>
      </c>
      <c r="Y696" s="25" t="str">
        <f>IF(X696="","",IFERROR(INDEX($AN$11:$AN$4010,MATCH(686,$AY$11:$AY$4010,0)),""))</f>
        <v/>
      </c>
      <c r="Z696" s="25" t="str">
        <f>IF(X696="","",IFERROR(INDEX($AO$11:$AO$4010,MATCH(686,$AY$11:$AY$4010,0)),""))</f>
        <v/>
      </c>
      <c r="AA696" s="24" t="str">
        <f>IF(X696="","",IFERROR(INDEX($AQ$11:$AQ$4010,MATCH(686,$AY$11:$AY$4010,0)),""))</f>
        <v/>
      </c>
      <c r="AB696" s="29" t="str">
        <f>IF(X696="","",IFERROR(INDEX($AR$11:$AR$4010,MATCH(686,$AY$11:$AY$4010,0)),""))</f>
        <v/>
      </c>
      <c r="AD696" s="30" t="str">
        <f>IF(AE696="","",IFERROR(INDEX($AL$11:$AL$4010,MATCH(686,$AZ$11:$AZ$4010,0)),""))</f>
        <v/>
      </c>
      <c r="AE696" s="26" t="str">
        <f>IFERROR(INDEX($AM$11:$AM$4010,MATCH(686,$AZ$11:$AZ$4010,0)),"")</f>
        <v/>
      </c>
      <c r="AF696" s="25" t="str">
        <f>IF(AE696="","",IFERROR(INDEX($AN$11:$AN$4010,MATCH(686,$AZ$11:$AZ$4010,0)),""))</f>
        <v/>
      </c>
      <c r="AG696" s="25" t="str">
        <f>IF(AE696="","",IFERROR(INDEX($AO$11:$AO$4010,MATCH(686,$AZ$11:$AZ$4010,0)),""))</f>
        <v/>
      </c>
      <c r="AH696" s="24" t="str">
        <f>IF(AE696="","",IFERROR(INDEX($AQ$11:$AQ$4010,MATCH(686,$AZ$11:$AZ$4010,0)),""))</f>
        <v/>
      </c>
      <c r="AI696" s="29" t="str">
        <f>IF(AE696="","",IFERROR(INDEX($AR$11:$AR$4010,MATCH(686,$AZ$11:$AZ$4010,0)),""))</f>
        <v/>
      </c>
      <c r="AJ696" s="29" t="str">
        <f>IF(AE696="","",IFERROR(INDEX($AT$11:$AT$4010,MATCH(686,$AZ$11:$AZ$4010,0)),""))</f>
        <v/>
      </c>
      <c r="AL696" s="31"/>
      <c r="AM696" s="26"/>
      <c r="AN696" s="32"/>
      <c r="AO696" s="32"/>
      <c r="AP696" s="24"/>
      <c r="AQ696" s="24"/>
      <c r="AR696" s="33"/>
      <c r="AS696" s="34"/>
      <c r="AT696" s="33"/>
      <c r="AV696" s="21">
        <f>IF(AND($AL696&lt;&gt;"",COUNTIF($AL$11:$AL696,$AL696)=1),1,0)</f>
        <v>0</v>
      </c>
      <c r="AW696" s="21">
        <f t="shared" si="107"/>
        <v>0</v>
      </c>
      <c r="AX696" s="21" t="str">
        <f t="shared" si="106"/>
        <v/>
      </c>
      <c r="AY696" s="21" t="str">
        <f>IF(AND($AM696&lt;&gt;"",$AS696&lt;&gt;"✓"),SUMPRODUCT(($AM$11:$AM696&lt;&gt;"")*($AS$11:$AS696&lt;&gt;"✓")),"")</f>
        <v/>
      </c>
      <c r="AZ696" s="21" t="str">
        <f>IF(AND($AM696&lt;&gt;"",$AS696="✓"),SUMPRODUCT(($AM$11:$AM696&lt;&gt;"")*($AS$11:$AS696="✓")),"")</f>
        <v/>
      </c>
      <c r="BA696" s="21" t="str">
        <f>IF($AL696="","",$AL696&amp;"|"&amp;COUNTIF($AL$11:$AL696,$AL696))</f>
        <v/>
      </c>
    </row>
    <row r="697" spans="23:53" ht="15" customHeight="1" x14ac:dyDescent="0.25">
      <c r="W697" s="14" t="str">
        <f>IF(X697="","",IFERROR(INDEX($AL$11:$AL$4010,MATCH(687,$AY$11:$AY$4010,0)),""))</f>
        <v/>
      </c>
      <c r="X697" s="12" t="str">
        <f>IFERROR(INDEX($AM$11:$AM$4010,MATCH(687,$AY$11:$AY$4010,0)),"")</f>
        <v/>
      </c>
      <c r="Y697" s="11" t="str">
        <f>IF(X697="","",IFERROR(INDEX($AN$11:$AN$4010,MATCH(687,$AY$11:$AY$4010,0)),""))</f>
        <v/>
      </c>
      <c r="Z697" s="11" t="str">
        <f>IF(X697="","",IFERROR(INDEX($AO$11:$AO$4010,MATCH(687,$AY$11:$AY$4010,0)),""))</f>
        <v/>
      </c>
      <c r="AA697" s="10" t="str">
        <f>IF(X697="","",IFERROR(INDEX($AQ$11:$AQ$4010,MATCH(687,$AY$11:$AY$4010,0)),""))</f>
        <v/>
      </c>
      <c r="AB697" s="15" t="str">
        <f>IF(X697="","",IFERROR(INDEX($AR$11:$AR$4010,MATCH(687,$AY$11:$AY$4010,0)),""))</f>
        <v/>
      </c>
      <c r="AD697" s="16" t="str">
        <f>IF(AE697="","",IFERROR(INDEX($AL$11:$AL$4010,MATCH(687,$AZ$11:$AZ$4010,0)),""))</f>
        <v/>
      </c>
      <c r="AE697" s="12" t="str">
        <f>IFERROR(INDEX($AM$11:$AM$4010,MATCH(687,$AZ$11:$AZ$4010,0)),"")</f>
        <v/>
      </c>
      <c r="AF697" s="11" t="str">
        <f>IF(AE697="","",IFERROR(INDEX($AN$11:$AN$4010,MATCH(687,$AZ$11:$AZ$4010,0)),""))</f>
        <v/>
      </c>
      <c r="AG697" s="11" t="str">
        <f>IF(AE697="","",IFERROR(INDEX($AO$11:$AO$4010,MATCH(687,$AZ$11:$AZ$4010,0)),""))</f>
        <v/>
      </c>
      <c r="AH697" s="10" t="str">
        <f>IF(AE697="","",IFERROR(INDEX($AQ$11:$AQ$4010,MATCH(687,$AZ$11:$AZ$4010,0)),""))</f>
        <v/>
      </c>
      <c r="AI697" s="15" t="str">
        <f>IF(AE697="","",IFERROR(INDEX($AR$11:$AR$4010,MATCH(687,$AZ$11:$AZ$4010,0)),""))</f>
        <v/>
      </c>
      <c r="AJ697" s="15" t="str">
        <f>IF(AE697="","",IFERROR(INDEX($AT$11:$AT$4010,MATCH(687,$AZ$11:$AZ$4010,0)),""))</f>
        <v/>
      </c>
      <c r="AL697" s="17"/>
      <c r="AM697" s="12"/>
      <c r="AN697" s="18"/>
      <c r="AO697" s="18"/>
      <c r="AP697" s="10"/>
      <c r="AQ697" s="10"/>
      <c r="AR697" s="19"/>
      <c r="AS697" s="20"/>
      <c r="AT697" s="19"/>
      <c r="AV697" s="21">
        <f>IF(AND($AL697&lt;&gt;"",COUNTIF($AL$11:$AL697,$AL697)=1),1,0)</f>
        <v>0</v>
      </c>
      <c r="AW697" s="21">
        <f t="shared" si="107"/>
        <v>0</v>
      </c>
      <c r="AX697" s="21" t="str">
        <f t="shared" si="106"/>
        <v/>
      </c>
      <c r="AY697" s="21" t="str">
        <f>IF(AND($AM697&lt;&gt;"",$AS697&lt;&gt;"✓"),SUMPRODUCT(($AM$11:$AM697&lt;&gt;"")*($AS$11:$AS697&lt;&gt;"✓")),"")</f>
        <v/>
      </c>
      <c r="AZ697" s="21" t="str">
        <f>IF(AND($AM697&lt;&gt;"",$AS697="✓"),SUMPRODUCT(($AM$11:$AM697&lt;&gt;"")*($AS$11:$AS697="✓")),"")</f>
        <v/>
      </c>
      <c r="BA697" s="21" t="str">
        <f>IF($AL697="","",$AL697&amp;"|"&amp;COUNTIF($AL$11:$AL697,$AL697))</f>
        <v/>
      </c>
    </row>
    <row r="698" spans="23:53" ht="15" customHeight="1" x14ac:dyDescent="0.25">
      <c r="W698" s="28" t="str">
        <f>IF(X698="","",IFERROR(INDEX($AL$11:$AL$4010,MATCH(688,$AY$11:$AY$4010,0)),""))</f>
        <v/>
      </c>
      <c r="X698" s="26" t="str">
        <f>IFERROR(INDEX($AM$11:$AM$4010,MATCH(688,$AY$11:$AY$4010,0)),"")</f>
        <v/>
      </c>
      <c r="Y698" s="25" t="str">
        <f>IF(X698="","",IFERROR(INDEX($AN$11:$AN$4010,MATCH(688,$AY$11:$AY$4010,0)),""))</f>
        <v/>
      </c>
      <c r="Z698" s="25" t="str">
        <f>IF(X698="","",IFERROR(INDEX($AO$11:$AO$4010,MATCH(688,$AY$11:$AY$4010,0)),""))</f>
        <v/>
      </c>
      <c r="AA698" s="24" t="str">
        <f>IF(X698="","",IFERROR(INDEX($AQ$11:$AQ$4010,MATCH(688,$AY$11:$AY$4010,0)),""))</f>
        <v/>
      </c>
      <c r="AB698" s="29" t="str">
        <f>IF(X698="","",IFERROR(INDEX($AR$11:$AR$4010,MATCH(688,$AY$11:$AY$4010,0)),""))</f>
        <v/>
      </c>
      <c r="AD698" s="30" t="str">
        <f>IF(AE698="","",IFERROR(INDEX($AL$11:$AL$4010,MATCH(688,$AZ$11:$AZ$4010,0)),""))</f>
        <v/>
      </c>
      <c r="AE698" s="26" t="str">
        <f>IFERROR(INDEX($AM$11:$AM$4010,MATCH(688,$AZ$11:$AZ$4010,0)),"")</f>
        <v/>
      </c>
      <c r="AF698" s="25" t="str">
        <f>IF(AE698="","",IFERROR(INDEX($AN$11:$AN$4010,MATCH(688,$AZ$11:$AZ$4010,0)),""))</f>
        <v/>
      </c>
      <c r="AG698" s="25" t="str">
        <f>IF(AE698="","",IFERROR(INDEX($AO$11:$AO$4010,MATCH(688,$AZ$11:$AZ$4010,0)),""))</f>
        <v/>
      </c>
      <c r="AH698" s="24" t="str">
        <f>IF(AE698="","",IFERROR(INDEX($AQ$11:$AQ$4010,MATCH(688,$AZ$11:$AZ$4010,0)),""))</f>
        <v/>
      </c>
      <c r="AI698" s="29" t="str">
        <f>IF(AE698="","",IFERROR(INDEX($AR$11:$AR$4010,MATCH(688,$AZ$11:$AZ$4010,0)),""))</f>
        <v/>
      </c>
      <c r="AJ698" s="29" t="str">
        <f>IF(AE698="","",IFERROR(INDEX($AT$11:$AT$4010,MATCH(688,$AZ$11:$AZ$4010,0)),""))</f>
        <v/>
      </c>
      <c r="AL698" s="31"/>
      <c r="AM698" s="26"/>
      <c r="AN698" s="32"/>
      <c r="AO698" s="32"/>
      <c r="AP698" s="24"/>
      <c r="AQ698" s="24"/>
      <c r="AR698" s="33"/>
      <c r="AS698" s="34"/>
      <c r="AT698" s="33"/>
      <c r="AV698" s="21">
        <f>IF(AND($AL698&lt;&gt;"",COUNTIF($AL$11:$AL698,$AL698)=1),1,0)</f>
        <v>0</v>
      </c>
      <c r="AW698" s="21">
        <f t="shared" si="107"/>
        <v>0</v>
      </c>
      <c r="AX698" s="21" t="str">
        <f t="shared" si="106"/>
        <v/>
      </c>
      <c r="AY698" s="21" t="str">
        <f>IF(AND($AM698&lt;&gt;"",$AS698&lt;&gt;"✓"),SUMPRODUCT(($AM$11:$AM698&lt;&gt;"")*($AS$11:$AS698&lt;&gt;"✓")),"")</f>
        <v/>
      </c>
      <c r="AZ698" s="21" t="str">
        <f>IF(AND($AM698&lt;&gt;"",$AS698="✓"),SUMPRODUCT(($AM$11:$AM698&lt;&gt;"")*($AS$11:$AS698="✓")),"")</f>
        <v/>
      </c>
      <c r="BA698" s="21" t="str">
        <f>IF($AL698="","",$AL698&amp;"|"&amp;COUNTIF($AL$11:$AL698,$AL698))</f>
        <v/>
      </c>
    </row>
    <row r="699" spans="23:53" ht="15" customHeight="1" x14ac:dyDescent="0.25">
      <c r="W699" s="14" t="str">
        <f>IF(X699="","",IFERROR(INDEX($AL$11:$AL$4010,MATCH(689,$AY$11:$AY$4010,0)),""))</f>
        <v/>
      </c>
      <c r="X699" s="12" t="str">
        <f>IFERROR(INDEX($AM$11:$AM$4010,MATCH(689,$AY$11:$AY$4010,0)),"")</f>
        <v/>
      </c>
      <c r="Y699" s="11" t="str">
        <f>IF(X699="","",IFERROR(INDEX($AN$11:$AN$4010,MATCH(689,$AY$11:$AY$4010,0)),""))</f>
        <v/>
      </c>
      <c r="Z699" s="11" t="str">
        <f>IF(X699="","",IFERROR(INDEX($AO$11:$AO$4010,MATCH(689,$AY$11:$AY$4010,0)),""))</f>
        <v/>
      </c>
      <c r="AA699" s="10" t="str">
        <f>IF(X699="","",IFERROR(INDEX($AQ$11:$AQ$4010,MATCH(689,$AY$11:$AY$4010,0)),""))</f>
        <v/>
      </c>
      <c r="AB699" s="15" t="str">
        <f>IF(X699="","",IFERROR(INDEX($AR$11:$AR$4010,MATCH(689,$AY$11:$AY$4010,0)),""))</f>
        <v/>
      </c>
      <c r="AD699" s="16" t="str">
        <f>IF(AE699="","",IFERROR(INDEX($AL$11:$AL$4010,MATCH(689,$AZ$11:$AZ$4010,0)),""))</f>
        <v/>
      </c>
      <c r="AE699" s="12" t="str">
        <f>IFERROR(INDEX($AM$11:$AM$4010,MATCH(689,$AZ$11:$AZ$4010,0)),"")</f>
        <v/>
      </c>
      <c r="AF699" s="11" t="str">
        <f>IF(AE699="","",IFERROR(INDEX($AN$11:$AN$4010,MATCH(689,$AZ$11:$AZ$4010,0)),""))</f>
        <v/>
      </c>
      <c r="AG699" s="11" t="str">
        <f>IF(AE699="","",IFERROR(INDEX($AO$11:$AO$4010,MATCH(689,$AZ$11:$AZ$4010,0)),""))</f>
        <v/>
      </c>
      <c r="AH699" s="10" t="str">
        <f>IF(AE699="","",IFERROR(INDEX($AQ$11:$AQ$4010,MATCH(689,$AZ$11:$AZ$4010,0)),""))</f>
        <v/>
      </c>
      <c r="AI699" s="15" t="str">
        <f>IF(AE699="","",IFERROR(INDEX($AR$11:$AR$4010,MATCH(689,$AZ$11:$AZ$4010,0)),""))</f>
        <v/>
      </c>
      <c r="AJ699" s="15" t="str">
        <f>IF(AE699="","",IFERROR(INDEX($AT$11:$AT$4010,MATCH(689,$AZ$11:$AZ$4010,0)),""))</f>
        <v/>
      </c>
      <c r="AL699" s="17"/>
      <c r="AM699" s="12"/>
      <c r="AN699" s="18"/>
      <c r="AO699" s="18"/>
      <c r="AP699" s="10"/>
      <c r="AQ699" s="10"/>
      <c r="AR699" s="19"/>
      <c r="AS699" s="20"/>
      <c r="AT699" s="19"/>
      <c r="AV699" s="21">
        <f>IF(AND($AL699&lt;&gt;"",COUNTIF($AL$11:$AL699,$AL699)=1),1,0)</f>
        <v>0</v>
      </c>
      <c r="AW699" s="21">
        <f t="shared" si="107"/>
        <v>0</v>
      </c>
      <c r="AX699" s="21" t="str">
        <f t="shared" si="106"/>
        <v/>
      </c>
      <c r="AY699" s="21" t="str">
        <f>IF(AND($AM699&lt;&gt;"",$AS699&lt;&gt;"✓"),SUMPRODUCT(($AM$11:$AM699&lt;&gt;"")*($AS$11:$AS699&lt;&gt;"✓")),"")</f>
        <v/>
      </c>
      <c r="AZ699" s="21" t="str">
        <f>IF(AND($AM699&lt;&gt;"",$AS699="✓"),SUMPRODUCT(($AM$11:$AM699&lt;&gt;"")*($AS$11:$AS699="✓")),"")</f>
        <v/>
      </c>
      <c r="BA699" s="21" t="str">
        <f>IF($AL699="","",$AL699&amp;"|"&amp;COUNTIF($AL$11:$AL699,$AL699))</f>
        <v/>
      </c>
    </row>
    <row r="700" spans="23:53" ht="15" customHeight="1" x14ac:dyDescent="0.25">
      <c r="W700" s="28" t="str">
        <f>IF(X700="","",IFERROR(INDEX($AL$11:$AL$4010,MATCH(690,$AY$11:$AY$4010,0)),""))</f>
        <v/>
      </c>
      <c r="X700" s="26" t="str">
        <f>IFERROR(INDEX($AM$11:$AM$4010,MATCH(690,$AY$11:$AY$4010,0)),"")</f>
        <v/>
      </c>
      <c r="Y700" s="25" t="str">
        <f>IF(X700="","",IFERROR(INDEX($AN$11:$AN$4010,MATCH(690,$AY$11:$AY$4010,0)),""))</f>
        <v/>
      </c>
      <c r="Z700" s="25" t="str">
        <f>IF(X700="","",IFERROR(INDEX($AO$11:$AO$4010,MATCH(690,$AY$11:$AY$4010,0)),""))</f>
        <v/>
      </c>
      <c r="AA700" s="24" t="str">
        <f>IF(X700="","",IFERROR(INDEX($AQ$11:$AQ$4010,MATCH(690,$AY$11:$AY$4010,0)),""))</f>
        <v/>
      </c>
      <c r="AB700" s="29" t="str">
        <f>IF(X700="","",IFERROR(INDEX($AR$11:$AR$4010,MATCH(690,$AY$11:$AY$4010,0)),""))</f>
        <v/>
      </c>
      <c r="AD700" s="30" t="str">
        <f>IF(AE700="","",IFERROR(INDEX($AL$11:$AL$4010,MATCH(690,$AZ$11:$AZ$4010,0)),""))</f>
        <v/>
      </c>
      <c r="AE700" s="26" t="str">
        <f>IFERROR(INDEX($AM$11:$AM$4010,MATCH(690,$AZ$11:$AZ$4010,0)),"")</f>
        <v/>
      </c>
      <c r="AF700" s="25" t="str">
        <f>IF(AE700="","",IFERROR(INDEX($AN$11:$AN$4010,MATCH(690,$AZ$11:$AZ$4010,0)),""))</f>
        <v/>
      </c>
      <c r="AG700" s="25" t="str">
        <f>IF(AE700="","",IFERROR(INDEX($AO$11:$AO$4010,MATCH(690,$AZ$11:$AZ$4010,0)),""))</f>
        <v/>
      </c>
      <c r="AH700" s="24" t="str">
        <f>IF(AE700="","",IFERROR(INDEX($AQ$11:$AQ$4010,MATCH(690,$AZ$11:$AZ$4010,0)),""))</f>
        <v/>
      </c>
      <c r="AI700" s="29" t="str">
        <f>IF(AE700="","",IFERROR(INDEX($AR$11:$AR$4010,MATCH(690,$AZ$11:$AZ$4010,0)),""))</f>
        <v/>
      </c>
      <c r="AJ700" s="29" t="str">
        <f>IF(AE700="","",IFERROR(INDEX($AT$11:$AT$4010,MATCH(690,$AZ$11:$AZ$4010,0)),""))</f>
        <v/>
      </c>
      <c r="AL700" s="31"/>
      <c r="AM700" s="26"/>
      <c r="AN700" s="32"/>
      <c r="AO700" s="32"/>
      <c r="AP700" s="24"/>
      <c r="AQ700" s="24"/>
      <c r="AR700" s="33"/>
      <c r="AS700" s="34"/>
      <c r="AT700" s="33"/>
      <c r="AV700" s="21">
        <f>IF(AND($AL700&lt;&gt;"",COUNTIF($AL$11:$AL700,$AL700)=1),1,0)</f>
        <v>0</v>
      </c>
      <c r="AW700" s="21">
        <f t="shared" si="107"/>
        <v>0</v>
      </c>
      <c r="AX700" s="21" t="str">
        <f t="shared" si="106"/>
        <v/>
      </c>
      <c r="AY700" s="21" t="str">
        <f>IF(AND($AM700&lt;&gt;"",$AS700&lt;&gt;"✓"),SUMPRODUCT(($AM$11:$AM700&lt;&gt;"")*($AS$11:$AS700&lt;&gt;"✓")),"")</f>
        <v/>
      </c>
      <c r="AZ700" s="21" t="str">
        <f>IF(AND($AM700&lt;&gt;"",$AS700="✓"),SUMPRODUCT(($AM$11:$AM700&lt;&gt;"")*($AS$11:$AS700="✓")),"")</f>
        <v/>
      </c>
      <c r="BA700" s="21" t="str">
        <f>IF($AL700="","",$AL700&amp;"|"&amp;COUNTIF($AL$11:$AL700,$AL700))</f>
        <v/>
      </c>
    </row>
    <row r="701" spans="23:53" ht="15" customHeight="1" x14ac:dyDescent="0.25">
      <c r="W701" s="14" t="str">
        <f>IF(X701="","",IFERROR(INDEX($AL$11:$AL$4010,MATCH(691,$AY$11:$AY$4010,0)),""))</f>
        <v/>
      </c>
      <c r="X701" s="12" t="str">
        <f>IFERROR(INDEX($AM$11:$AM$4010,MATCH(691,$AY$11:$AY$4010,0)),"")</f>
        <v/>
      </c>
      <c r="Y701" s="11" t="str">
        <f>IF(X701="","",IFERROR(INDEX($AN$11:$AN$4010,MATCH(691,$AY$11:$AY$4010,0)),""))</f>
        <v/>
      </c>
      <c r="Z701" s="11" t="str">
        <f>IF(X701="","",IFERROR(INDEX($AO$11:$AO$4010,MATCH(691,$AY$11:$AY$4010,0)),""))</f>
        <v/>
      </c>
      <c r="AA701" s="10" t="str">
        <f>IF(X701="","",IFERROR(INDEX($AQ$11:$AQ$4010,MATCH(691,$AY$11:$AY$4010,0)),""))</f>
        <v/>
      </c>
      <c r="AB701" s="15" t="str">
        <f>IF(X701="","",IFERROR(INDEX($AR$11:$AR$4010,MATCH(691,$AY$11:$AY$4010,0)),""))</f>
        <v/>
      </c>
      <c r="AD701" s="16" t="str">
        <f>IF(AE701="","",IFERROR(INDEX($AL$11:$AL$4010,MATCH(691,$AZ$11:$AZ$4010,0)),""))</f>
        <v/>
      </c>
      <c r="AE701" s="12" t="str">
        <f>IFERROR(INDEX($AM$11:$AM$4010,MATCH(691,$AZ$11:$AZ$4010,0)),"")</f>
        <v/>
      </c>
      <c r="AF701" s="11" t="str">
        <f>IF(AE701="","",IFERROR(INDEX($AN$11:$AN$4010,MATCH(691,$AZ$11:$AZ$4010,0)),""))</f>
        <v/>
      </c>
      <c r="AG701" s="11" t="str">
        <f>IF(AE701="","",IFERROR(INDEX($AO$11:$AO$4010,MATCH(691,$AZ$11:$AZ$4010,0)),""))</f>
        <v/>
      </c>
      <c r="AH701" s="10" t="str">
        <f>IF(AE701="","",IFERROR(INDEX($AQ$11:$AQ$4010,MATCH(691,$AZ$11:$AZ$4010,0)),""))</f>
        <v/>
      </c>
      <c r="AI701" s="15" t="str">
        <f>IF(AE701="","",IFERROR(INDEX($AR$11:$AR$4010,MATCH(691,$AZ$11:$AZ$4010,0)),""))</f>
        <v/>
      </c>
      <c r="AJ701" s="15" t="str">
        <f>IF(AE701="","",IFERROR(INDEX($AT$11:$AT$4010,MATCH(691,$AZ$11:$AZ$4010,0)),""))</f>
        <v/>
      </c>
      <c r="AL701" s="17"/>
      <c r="AM701" s="12"/>
      <c r="AN701" s="18"/>
      <c r="AO701" s="18"/>
      <c r="AP701" s="10"/>
      <c r="AQ701" s="10"/>
      <c r="AR701" s="19"/>
      <c r="AS701" s="20"/>
      <c r="AT701" s="19"/>
      <c r="AV701" s="21">
        <f>IF(AND($AL701&lt;&gt;"",COUNTIF($AL$11:$AL701,$AL701)=1),1,0)</f>
        <v>0</v>
      </c>
      <c r="AW701" s="21">
        <f t="shared" si="107"/>
        <v>0</v>
      </c>
      <c r="AX701" s="21" t="str">
        <f t="shared" si="106"/>
        <v/>
      </c>
      <c r="AY701" s="21" t="str">
        <f>IF(AND($AM701&lt;&gt;"",$AS701&lt;&gt;"✓"),SUMPRODUCT(($AM$11:$AM701&lt;&gt;"")*($AS$11:$AS701&lt;&gt;"✓")),"")</f>
        <v/>
      </c>
      <c r="AZ701" s="21" t="str">
        <f>IF(AND($AM701&lt;&gt;"",$AS701="✓"),SUMPRODUCT(($AM$11:$AM701&lt;&gt;"")*($AS$11:$AS701="✓")),"")</f>
        <v/>
      </c>
      <c r="BA701" s="21" t="str">
        <f>IF($AL701="","",$AL701&amp;"|"&amp;COUNTIF($AL$11:$AL701,$AL701))</f>
        <v/>
      </c>
    </row>
    <row r="702" spans="23:53" ht="15" customHeight="1" x14ac:dyDescent="0.25">
      <c r="W702" s="28" t="str">
        <f>IF(X702="","",IFERROR(INDEX($AL$11:$AL$4010,MATCH(692,$AY$11:$AY$4010,0)),""))</f>
        <v/>
      </c>
      <c r="X702" s="26" t="str">
        <f>IFERROR(INDEX($AM$11:$AM$4010,MATCH(692,$AY$11:$AY$4010,0)),"")</f>
        <v/>
      </c>
      <c r="Y702" s="25" t="str">
        <f>IF(X702="","",IFERROR(INDEX($AN$11:$AN$4010,MATCH(692,$AY$11:$AY$4010,0)),""))</f>
        <v/>
      </c>
      <c r="Z702" s="25" t="str">
        <f>IF(X702="","",IFERROR(INDEX($AO$11:$AO$4010,MATCH(692,$AY$11:$AY$4010,0)),""))</f>
        <v/>
      </c>
      <c r="AA702" s="24" t="str">
        <f>IF(X702="","",IFERROR(INDEX($AQ$11:$AQ$4010,MATCH(692,$AY$11:$AY$4010,0)),""))</f>
        <v/>
      </c>
      <c r="AB702" s="29" t="str">
        <f>IF(X702="","",IFERROR(INDEX($AR$11:$AR$4010,MATCH(692,$AY$11:$AY$4010,0)),""))</f>
        <v/>
      </c>
      <c r="AD702" s="30" t="str">
        <f>IF(AE702="","",IFERROR(INDEX($AL$11:$AL$4010,MATCH(692,$AZ$11:$AZ$4010,0)),""))</f>
        <v/>
      </c>
      <c r="AE702" s="26" t="str">
        <f>IFERROR(INDEX($AM$11:$AM$4010,MATCH(692,$AZ$11:$AZ$4010,0)),"")</f>
        <v/>
      </c>
      <c r="AF702" s="25" t="str">
        <f>IF(AE702="","",IFERROR(INDEX($AN$11:$AN$4010,MATCH(692,$AZ$11:$AZ$4010,0)),""))</f>
        <v/>
      </c>
      <c r="AG702" s="25" t="str">
        <f>IF(AE702="","",IFERROR(INDEX($AO$11:$AO$4010,MATCH(692,$AZ$11:$AZ$4010,0)),""))</f>
        <v/>
      </c>
      <c r="AH702" s="24" t="str">
        <f>IF(AE702="","",IFERROR(INDEX($AQ$11:$AQ$4010,MATCH(692,$AZ$11:$AZ$4010,0)),""))</f>
        <v/>
      </c>
      <c r="AI702" s="29" t="str">
        <f>IF(AE702="","",IFERROR(INDEX($AR$11:$AR$4010,MATCH(692,$AZ$11:$AZ$4010,0)),""))</f>
        <v/>
      </c>
      <c r="AJ702" s="29" t="str">
        <f>IF(AE702="","",IFERROR(INDEX($AT$11:$AT$4010,MATCH(692,$AZ$11:$AZ$4010,0)),""))</f>
        <v/>
      </c>
      <c r="AL702" s="31"/>
      <c r="AM702" s="26"/>
      <c r="AN702" s="32"/>
      <c r="AO702" s="32"/>
      <c r="AP702" s="24"/>
      <c r="AQ702" s="24"/>
      <c r="AR702" s="33"/>
      <c r="AS702" s="34"/>
      <c r="AT702" s="33"/>
      <c r="AV702" s="21">
        <f>IF(AND($AL702&lt;&gt;"",COUNTIF($AL$11:$AL702,$AL702)=1),1,0)</f>
        <v>0</v>
      </c>
      <c r="AW702" s="21">
        <f t="shared" si="107"/>
        <v>0</v>
      </c>
      <c r="AX702" s="21" t="str">
        <f t="shared" si="106"/>
        <v/>
      </c>
      <c r="AY702" s="21" t="str">
        <f>IF(AND($AM702&lt;&gt;"",$AS702&lt;&gt;"✓"),SUMPRODUCT(($AM$11:$AM702&lt;&gt;"")*($AS$11:$AS702&lt;&gt;"✓")),"")</f>
        <v/>
      </c>
      <c r="AZ702" s="21" t="str">
        <f>IF(AND($AM702&lt;&gt;"",$AS702="✓"),SUMPRODUCT(($AM$11:$AM702&lt;&gt;"")*($AS$11:$AS702="✓")),"")</f>
        <v/>
      </c>
      <c r="BA702" s="21" t="str">
        <f>IF($AL702="","",$AL702&amp;"|"&amp;COUNTIF($AL$11:$AL702,$AL702))</f>
        <v/>
      </c>
    </row>
    <row r="703" spans="23:53" ht="15" customHeight="1" x14ac:dyDescent="0.25">
      <c r="W703" s="14" t="str">
        <f>IF(X703="","",IFERROR(INDEX($AL$11:$AL$4010,MATCH(693,$AY$11:$AY$4010,0)),""))</f>
        <v/>
      </c>
      <c r="X703" s="12" t="str">
        <f>IFERROR(INDEX($AM$11:$AM$4010,MATCH(693,$AY$11:$AY$4010,0)),"")</f>
        <v/>
      </c>
      <c r="Y703" s="11" t="str">
        <f>IF(X703="","",IFERROR(INDEX($AN$11:$AN$4010,MATCH(693,$AY$11:$AY$4010,0)),""))</f>
        <v/>
      </c>
      <c r="Z703" s="11" t="str">
        <f>IF(X703="","",IFERROR(INDEX($AO$11:$AO$4010,MATCH(693,$AY$11:$AY$4010,0)),""))</f>
        <v/>
      </c>
      <c r="AA703" s="10" t="str">
        <f>IF(X703="","",IFERROR(INDEX($AQ$11:$AQ$4010,MATCH(693,$AY$11:$AY$4010,0)),""))</f>
        <v/>
      </c>
      <c r="AB703" s="15" t="str">
        <f>IF(X703="","",IFERROR(INDEX($AR$11:$AR$4010,MATCH(693,$AY$11:$AY$4010,0)),""))</f>
        <v/>
      </c>
      <c r="AD703" s="16" t="str">
        <f>IF(AE703="","",IFERROR(INDEX($AL$11:$AL$4010,MATCH(693,$AZ$11:$AZ$4010,0)),""))</f>
        <v/>
      </c>
      <c r="AE703" s="12" t="str">
        <f>IFERROR(INDEX($AM$11:$AM$4010,MATCH(693,$AZ$11:$AZ$4010,0)),"")</f>
        <v/>
      </c>
      <c r="AF703" s="11" t="str">
        <f>IF(AE703="","",IFERROR(INDEX($AN$11:$AN$4010,MATCH(693,$AZ$11:$AZ$4010,0)),""))</f>
        <v/>
      </c>
      <c r="AG703" s="11" t="str">
        <f>IF(AE703="","",IFERROR(INDEX($AO$11:$AO$4010,MATCH(693,$AZ$11:$AZ$4010,0)),""))</f>
        <v/>
      </c>
      <c r="AH703" s="10" t="str">
        <f>IF(AE703="","",IFERROR(INDEX($AQ$11:$AQ$4010,MATCH(693,$AZ$11:$AZ$4010,0)),""))</f>
        <v/>
      </c>
      <c r="AI703" s="15" t="str">
        <f>IF(AE703="","",IFERROR(INDEX($AR$11:$AR$4010,MATCH(693,$AZ$11:$AZ$4010,0)),""))</f>
        <v/>
      </c>
      <c r="AJ703" s="15" t="str">
        <f>IF(AE703="","",IFERROR(INDEX($AT$11:$AT$4010,MATCH(693,$AZ$11:$AZ$4010,0)),""))</f>
        <v/>
      </c>
      <c r="AL703" s="17"/>
      <c r="AM703" s="12"/>
      <c r="AN703" s="18"/>
      <c r="AO703" s="18"/>
      <c r="AP703" s="10"/>
      <c r="AQ703" s="10"/>
      <c r="AR703" s="19"/>
      <c r="AS703" s="20"/>
      <c r="AT703" s="19"/>
      <c r="AV703" s="21">
        <f>IF(AND($AL703&lt;&gt;"",COUNTIF($AL$11:$AL703,$AL703)=1),1,0)</f>
        <v>0</v>
      </c>
      <c r="AW703" s="21">
        <f t="shared" si="107"/>
        <v>0</v>
      </c>
      <c r="AX703" s="21" t="str">
        <f t="shared" si="106"/>
        <v/>
      </c>
      <c r="AY703" s="21" t="str">
        <f>IF(AND($AM703&lt;&gt;"",$AS703&lt;&gt;"✓"),SUMPRODUCT(($AM$11:$AM703&lt;&gt;"")*($AS$11:$AS703&lt;&gt;"✓")),"")</f>
        <v/>
      </c>
      <c r="AZ703" s="21" t="str">
        <f>IF(AND($AM703&lt;&gt;"",$AS703="✓"),SUMPRODUCT(($AM$11:$AM703&lt;&gt;"")*($AS$11:$AS703="✓")),"")</f>
        <v/>
      </c>
      <c r="BA703" s="21" t="str">
        <f>IF($AL703="","",$AL703&amp;"|"&amp;COUNTIF($AL$11:$AL703,$AL703))</f>
        <v/>
      </c>
    </row>
    <row r="704" spans="23:53" ht="15" customHeight="1" x14ac:dyDescent="0.25">
      <c r="W704" s="28" t="str">
        <f>IF(X704="","",IFERROR(INDEX($AL$11:$AL$4010,MATCH(694,$AY$11:$AY$4010,0)),""))</f>
        <v/>
      </c>
      <c r="X704" s="26" t="str">
        <f>IFERROR(INDEX($AM$11:$AM$4010,MATCH(694,$AY$11:$AY$4010,0)),"")</f>
        <v/>
      </c>
      <c r="Y704" s="25" t="str">
        <f>IF(X704="","",IFERROR(INDEX($AN$11:$AN$4010,MATCH(694,$AY$11:$AY$4010,0)),""))</f>
        <v/>
      </c>
      <c r="Z704" s="25" t="str">
        <f>IF(X704="","",IFERROR(INDEX($AO$11:$AO$4010,MATCH(694,$AY$11:$AY$4010,0)),""))</f>
        <v/>
      </c>
      <c r="AA704" s="24" t="str">
        <f>IF(X704="","",IFERROR(INDEX($AQ$11:$AQ$4010,MATCH(694,$AY$11:$AY$4010,0)),""))</f>
        <v/>
      </c>
      <c r="AB704" s="29" t="str">
        <f>IF(X704="","",IFERROR(INDEX($AR$11:$AR$4010,MATCH(694,$AY$11:$AY$4010,0)),""))</f>
        <v/>
      </c>
      <c r="AD704" s="30" t="str">
        <f>IF(AE704="","",IFERROR(INDEX($AL$11:$AL$4010,MATCH(694,$AZ$11:$AZ$4010,0)),""))</f>
        <v/>
      </c>
      <c r="AE704" s="26" t="str">
        <f>IFERROR(INDEX($AM$11:$AM$4010,MATCH(694,$AZ$11:$AZ$4010,0)),"")</f>
        <v/>
      </c>
      <c r="AF704" s="25" t="str">
        <f>IF(AE704="","",IFERROR(INDEX($AN$11:$AN$4010,MATCH(694,$AZ$11:$AZ$4010,0)),""))</f>
        <v/>
      </c>
      <c r="AG704" s="25" t="str">
        <f>IF(AE704="","",IFERROR(INDEX($AO$11:$AO$4010,MATCH(694,$AZ$11:$AZ$4010,0)),""))</f>
        <v/>
      </c>
      <c r="AH704" s="24" t="str">
        <f>IF(AE704="","",IFERROR(INDEX($AQ$11:$AQ$4010,MATCH(694,$AZ$11:$AZ$4010,0)),""))</f>
        <v/>
      </c>
      <c r="AI704" s="29" t="str">
        <f>IF(AE704="","",IFERROR(INDEX($AR$11:$AR$4010,MATCH(694,$AZ$11:$AZ$4010,0)),""))</f>
        <v/>
      </c>
      <c r="AJ704" s="29" t="str">
        <f>IF(AE704="","",IFERROR(INDEX($AT$11:$AT$4010,MATCH(694,$AZ$11:$AZ$4010,0)),""))</f>
        <v/>
      </c>
      <c r="AL704" s="31"/>
      <c r="AM704" s="26"/>
      <c r="AN704" s="32"/>
      <c r="AO704" s="32"/>
      <c r="AP704" s="24"/>
      <c r="AQ704" s="24"/>
      <c r="AR704" s="33"/>
      <c r="AS704" s="34"/>
      <c r="AT704" s="33"/>
      <c r="AV704" s="21">
        <f>IF(AND($AL704&lt;&gt;"",COUNTIF($AL$11:$AL704,$AL704)=1),1,0)</f>
        <v>0</v>
      </c>
      <c r="AW704" s="21">
        <f t="shared" si="107"/>
        <v>0</v>
      </c>
      <c r="AX704" s="21" t="str">
        <f t="shared" si="106"/>
        <v/>
      </c>
      <c r="AY704" s="21" t="str">
        <f>IF(AND($AM704&lt;&gt;"",$AS704&lt;&gt;"✓"),SUMPRODUCT(($AM$11:$AM704&lt;&gt;"")*($AS$11:$AS704&lt;&gt;"✓")),"")</f>
        <v/>
      </c>
      <c r="AZ704" s="21" t="str">
        <f>IF(AND($AM704&lt;&gt;"",$AS704="✓"),SUMPRODUCT(($AM$11:$AM704&lt;&gt;"")*($AS$11:$AS704="✓")),"")</f>
        <v/>
      </c>
      <c r="BA704" s="21" t="str">
        <f>IF($AL704="","",$AL704&amp;"|"&amp;COUNTIF($AL$11:$AL704,$AL704))</f>
        <v/>
      </c>
    </row>
    <row r="705" spans="23:53" ht="15" customHeight="1" x14ac:dyDescent="0.25">
      <c r="W705" s="14" t="str">
        <f>IF(X705="","",IFERROR(INDEX($AL$11:$AL$4010,MATCH(695,$AY$11:$AY$4010,0)),""))</f>
        <v/>
      </c>
      <c r="X705" s="12" t="str">
        <f>IFERROR(INDEX($AM$11:$AM$4010,MATCH(695,$AY$11:$AY$4010,0)),"")</f>
        <v/>
      </c>
      <c r="Y705" s="11" t="str">
        <f>IF(X705="","",IFERROR(INDEX($AN$11:$AN$4010,MATCH(695,$AY$11:$AY$4010,0)),""))</f>
        <v/>
      </c>
      <c r="Z705" s="11" t="str">
        <f>IF(X705="","",IFERROR(INDEX($AO$11:$AO$4010,MATCH(695,$AY$11:$AY$4010,0)),""))</f>
        <v/>
      </c>
      <c r="AA705" s="10" t="str">
        <f>IF(X705="","",IFERROR(INDEX($AQ$11:$AQ$4010,MATCH(695,$AY$11:$AY$4010,0)),""))</f>
        <v/>
      </c>
      <c r="AB705" s="15" t="str">
        <f>IF(X705="","",IFERROR(INDEX($AR$11:$AR$4010,MATCH(695,$AY$11:$AY$4010,0)),""))</f>
        <v/>
      </c>
      <c r="AD705" s="16" t="str">
        <f>IF(AE705="","",IFERROR(INDEX($AL$11:$AL$4010,MATCH(695,$AZ$11:$AZ$4010,0)),""))</f>
        <v/>
      </c>
      <c r="AE705" s="12" t="str">
        <f>IFERROR(INDEX($AM$11:$AM$4010,MATCH(695,$AZ$11:$AZ$4010,0)),"")</f>
        <v/>
      </c>
      <c r="AF705" s="11" t="str">
        <f>IF(AE705="","",IFERROR(INDEX($AN$11:$AN$4010,MATCH(695,$AZ$11:$AZ$4010,0)),""))</f>
        <v/>
      </c>
      <c r="AG705" s="11" t="str">
        <f>IF(AE705="","",IFERROR(INDEX($AO$11:$AO$4010,MATCH(695,$AZ$11:$AZ$4010,0)),""))</f>
        <v/>
      </c>
      <c r="AH705" s="10" t="str">
        <f>IF(AE705="","",IFERROR(INDEX($AQ$11:$AQ$4010,MATCH(695,$AZ$11:$AZ$4010,0)),""))</f>
        <v/>
      </c>
      <c r="AI705" s="15" t="str">
        <f>IF(AE705="","",IFERROR(INDEX($AR$11:$AR$4010,MATCH(695,$AZ$11:$AZ$4010,0)),""))</f>
        <v/>
      </c>
      <c r="AJ705" s="15" t="str">
        <f>IF(AE705="","",IFERROR(INDEX($AT$11:$AT$4010,MATCH(695,$AZ$11:$AZ$4010,0)),""))</f>
        <v/>
      </c>
      <c r="AL705" s="17"/>
      <c r="AM705" s="12"/>
      <c r="AN705" s="18"/>
      <c r="AO705" s="18"/>
      <c r="AP705" s="10"/>
      <c r="AQ705" s="10"/>
      <c r="AR705" s="19"/>
      <c r="AS705" s="20"/>
      <c r="AT705" s="19"/>
      <c r="AV705" s="21">
        <f>IF(AND($AL705&lt;&gt;"",COUNTIF($AL$11:$AL705,$AL705)=1),1,0)</f>
        <v>0</v>
      </c>
      <c r="AW705" s="21">
        <f t="shared" si="107"/>
        <v>0</v>
      </c>
      <c r="AX705" s="21" t="str">
        <f t="shared" si="106"/>
        <v/>
      </c>
      <c r="AY705" s="21" t="str">
        <f>IF(AND($AM705&lt;&gt;"",$AS705&lt;&gt;"✓"),SUMPRODUCT(($AM$11:$AM705&lt;&gt;"")*($AS$11:$AS705&lt;&gt;"✓")),"")</f>
        <v/>
      </c>
      <c r="AZ705" s="21" t="str">
        <f>IF(AND($AM705&lt;&gt;"",$AS705="✓"),SUMPRODUCT(($AM$11:$AM705&lt;&gt;"")*($AS$11:$AS705="✓")),"")</f>
        <v/>
      </c>
      <c r="BA705" s="21" t="str">
        <f>IF($AL705="","",$AL705&amp;"|"&amp;COUNTIF($AL$11:$AL705,$AL705))</f>
        <v/>
      </c>
    </row>
    <row r="706" spans="23:53" ht="15" customHeight="1" x14ac:dyDescent="0.25">
      <c r="W706" s="28" t="str">
        <f>IF(X706="","",IFERROR(INDEX($AL$11:$AL$4010,MATCH(696,$AY$11:$AY$4010,0)),""))</f>
        <v/>
      </c>
      <c r="X706" s="26" t="str">
        <f>IFERROR(INDEX($AM$11:$AM$4010,MATCH(696,$AY$11:$AY$4010,0)),"")</f>
        <v/>
      </c>
      <c r="Y706" s="25" t="str">
        <f>IF(X706="","",IFERROR(INDEX($AN$11:$AN$4010,MATCH(696,$AY$11:$AY$4010,0)),""))</f>
        <v/>
      </c>
      <c r="Z706" s="25" t="str">
        <f>IF(X706="","",IFERROR(INDEX($AO$11:$AO$4010,MATCH(696,$AY$11:$AY$4010,0)),""))</f>
        <v/>
      </c>
      <c r="AA706" s="24" t="str">
        <f>IF(X706="","",IFERROR(INDEX($AQ$11:$AQ$4010,MATCH(696,$AY$11:$AY$4010,0)),""))</f>
        <v/>
      </c>
      <c r="AB706" s="29" t="str">
        <f>IF(X706="","",IFERROR(INDEX($AR$11:$AR$4010,MATCH(696,$AY$11:$AY$4010,0)),""))</f>
        <v/>
      </c>
      <c r="AD706" s="30" t="str">
        <f>IF(AE706="","",IFERROR(INDEX($AL$11:$AL$4010,MATCH(696,$AZ$11:$AZ$4010,0)),""))</f>
        <v/>
      </c>
      <c r="AE706" s="26" t="str">
        <f>IFERROR(INDEX($AM$11:$AM$4010,MATCH(696,$AZ$11:$AZ$4010,0)),"")</f>
        <v/>
      </c>
      <c r="AF706" s="25" t="str">
        <f>IF(AE706="","",IFERROR(INDEX($AN$11:$AN$4010,MATCH(696,$AZ$11:$AZ$4010,0)),""))</f>
        <v/>
      </c>
      <c r="AG706" s="25" t="str">
        <f>IF(AE706="","",IFERROR(INDEX($AO$11:$AO$4010,MATCH(696,$AZ$11:$AZ$4010,0)),""))</f>
        <v/>
      </c>
      <c r="AH706" s="24" t="str">
        <f>IF(AE706="","",IFERROR(INDEX($AQ$11:$AQ$4010,MATCH(696,$AZ$11:$AZ$4010,0)),""))</f>
        <v/>
      </c>
      <c r="AI706" s="29" t="str">
        <f>IF(AE706="","",IFERROR(INDEX($AR$11:$AR$4010,MATCH(696,$AZ$11:$AZ$4010,0)),""))</f>
        <v/>
      </c>
      <c r="AJ706" s="29" t="str">
        <f>IF(AE706="","",IFERROR(INDEX($AT$11:$AT$4010,MATCH(696,$AZ$11:$AZ$4010,0)),""))</f>
        <v/>
      </c>
      <c r="AL706" s="31"/>
      <c r="AM706" s="26"/>
      <c r="AN706" s="32"/>
      <c r="AO706" s="32"/>
      <c r="AP706" s="24"/>
      <c r="AQ706" s="24"/>
      <c r="AR706" s="33"/>
      <c r="AS706" s="34"/>
      <c r="AT706" s="33"/>
      <c r="AV706" s="21">
        <f>IF(AND($AL706&lt;&gt;"",COUNTIF($AL$11:$AL706,$AL706)=1),1,0)</f>
        <v>0</v>
      </c>
      <c r="AW706" s="21">
        <f t="shared" si="107"/>
        <v>0</v>
      </c>
      <c r="AX706" s="21" t="str">
        <f t="shared" si="106"/>
        <v/>
      </c>
      <c r="AY706" s="21" t="str">
        <f>IF(AND($AM706&lt;&gt;"",$AS706&lt;&gt;"✓"),SUMPRODUCT(($AM$11:$AM706&lt;&gt;"")*($AS$11:$AS706&lt;&gt;"✓")),"")</f>
        <v/>
      </c>
      <c r="AZ706" s="21" t="str">
        <f>IF(AND($AM706&lt;&gt;"",$AS706="✓"),SUMPRODUCT(($AM$11:$AM706&lt;&gt;"")*($AS$11:$AS706="✓")),"")</f>
        <v/>
      </c>
      <c r="BA706" s="21" t="str">
        <f>IF($AL706="","",$AL706&amp;"|"&amp;COUNTIF($AL$11:$AL706,$AL706))</f>
        <v/>
      </c>
    </row>
    <row r="707" spans="23:53" ht="15" customHeight="1" x14ac:dyDescent="0.25">
      <c r="W707" s="14" t="str">
        <f>IF(X707="","",IFERROR(INDEX($AL$11:$AL$4010,MATCH(697,$AY$11:$AY$4010,0)),""))</f>
        <v/>
      </c>
      <c r="X707" s="12" t="str">
        <f>IFERROR(INDEX($AM$11:$AM$4010,MATCH(697,$AY$11:$AY$4010,0)),"")</f>
        <v/>
      </c>
      <c r="Y707" s="11" t="str">
        <f>IF(X707="","",IFERROR(INDEX($AN$11:$AN$4010,MATCH(697,$AY$11:$AY$4010,0)),""))</f>
        <v/>
      </c>
      <c r="Z707" s="11" t="str">
        <f>IF(X707="","",IFERROR(INDEX($AO$11:$AO$4010,MATCH(697,$AY$11:$AY$4010,0)),""))</f>
        <v/>
      </c>
      <c r="AA707" s="10" t="str">
        <f>IF(X707="","",IFERROR(INDEX($AQ$11:$AQ$4010,MATCH(697,$AY$11:$AY$4010,0)),""))</f>
        <v/>
      </c>
      <c r="AB707" s="15" t="str">
        <f>IF(X707="","",IFERROR(INDEX($AR$11:$AR$4010,MATCH(697,$AY$11:$AY$4010,0)),""))</f>
        <v/>
      </c>
      <c r="AD707" s="16" t="str">
        <f>IF(AE707="","",IFERROR(INDEX($AL$11:$AL$4010,MATCH(697,$AZ$11:$AZ$4010,0)),""))</f>
        <v/>
      </c>
      <c r="AE707" s="12" t="str">
        <f>IFERROR(INDEX($AM$11:$AM$4010,MATCH(697,$AZ$11:$AZ$4010,0)),"")</f>
        <v/>
      </c>
      <c r="AF707" s="11" t="str">
        <f>IF(AE707="","",IFERROR(INDEX($AN$11:$AN$4010,MATCH(697,$AZ$11:$AZ$4010,0)),""))</f>
        <v/>
      </c>
      <c r="AG707" s="11" t="str">
        <f>IF(AE707="","",IFERROR(INDEX($AO$11:$AO$4010,MATCH(697,$AZ$11:$AZ$4010,0)),""))</f>
        <v/>
      </c>
      <c r="AH707" s="10" t="str">
        <f>IF(AE707="","",IFERROR(INDEX($AQ$11:$AQ$4010,MATCH(697,$AZ$11:$AZ$4010,0)),""))</f>
        <v/>
      </c>
      <c r="AI707" s="15" t="str">
        <f>IF(AE707="","",IFERROR(INDEX($AR$11:$AR$4010,MATCH(697,$AZ$11:$AZ$4010,0)),""))</f>
        <v/>
      </c>
      <c r="AJ707" s="15" t="str">
        <f>IF(AE707="","",IFERROR(INDEX($AT$11:$AT$4010,MATCH(697,$AZ$11:$AZ$4010,0)),""))</f>
        <v/>
      </c>
      <c r="AL707" s="17"/>
      <c r="AM707" s="12"/>
      <c r="AN707" s="18"/>
      <c r="AO707" s="18"/>
      <c r="AP707" s="10"/>
      <c r="AQ707" s="10"/>
      <c r="AR707" s="19"/>
      <c r="AS707" s="20"/>
      <c r="AT707" s="19"/>
      <c r="AV707" s="21">
        <f>IF(AND($AL707&lt;&gt;"",COUNTIF($AL$11:$AL707,$AL707)=1),1,0)</f>
        <v>0</v>
      </c>
      <c r="AW707" s="21">
        <f t="shared" si="107"/>
        <v>0</v>
      </c>
      <c r="AX707" s="21" t="str">
        <f t="shared" si="106"/>
        <v/>
      </c>
      <c r="AY707" s="21" t="str">
        <f>IF(AND($AM707&lt;&gt;"",$AS707&lt;&gt;"✓"),SUMPRODUCT(($AM$11:$AM707&lt;&gt;"")*($AS$11:$AS707&lt;&gt;"✓")),"")</f>
        <v/>
      </c>
      <c r="AZ707" s="21" t="str">
        <f>IF(AND($AM707&lt;&gt;"",$AS707="✓"),SUMPRODUCT(($AM$11:$AM707&lt;&gt;"")*($AS$11:$AS707="✓")),"")</f>
        <v/>
      </c>
      <c r="BA707" s="21" t="str">
        <f>IF($AL707="","",$AL707&amp;"|"&amp;COUNTIF($AL$11:$AL707,$AL707))</f>
        <v/>
      </c>
    </row>
    <row r="708" spans="23:53" ht="15" customHeight="1" x14ac:dyDescent="0.25">
      <c r="W708" s="28" t="str">
        <f>IF(X708="","",IFERROR(INDEX($AL$11:$AL$4010,MATCH(698,$AY$11:$AY$4010,0)),""))</f>
        <v/>
      </c>
      <c r="X708" s="26" t="str">
        <f>IFERROR(INDEX($AM$11:$AM$4010,MATCH(698,$AY$11:$AY$4010,0)),"")</f>
        <v/>
      </c>
      <c r="Y708" s="25" t="str">
        <f>IF(X708="","",IFERROR(INDEX($AN$11:$AN$4010,MATCH(698,$AY$11:$AY$4010,0)),""))</f>
        <v/>
      </c>
      <c r="Z708" s="25" t="str">
        <f>IF(X708="","",IFERROR(INDEX($AO$11:$AO$4010,MATCH(698,$AY$11:$AY$4010,0)),""))</f>
        <v/>
      </c>
      <c r="AA708" s="24" t="str">
        <f>IF(X708="","",IFERROR(INDEX($AQ$11:$AQ$4010,MATCH(698,$AY$11:$AY$4010,0)),""))</f>
        <v/>
      </c>
      <c r="AB708" s="29" t="str">
        <f>IF(X708="","",IFERROR(INDEX($AR$11:$AR$4010,MATCH(698,$AY$11:$AY$4010,0)),""))</f>
        <v/>
      </c>
      <c r="AD708" s="30" t="str">
        <f>IF(AE708="","",IFERROR(INDEX($AL$11:$AL$4010,MATCH(698,$AZ$11:$AZ$4010,0)),""))</f>
        <v/>
      </c>
      <c r="AE708" s="26" t="str">
        <f>IFERROR(INDEX($AM$11:$AM$4010,MATCH(698,$AZ$11:$AZ$4010,0)),"")</f>
        <v/>
      </c>
      <c r="AF708" s="25" t="str">
        <f>IF(AE708="","",IFERROR(INDEX($AN$11:$AN$4010,MATCH(698,$AZ$11:$AZ$4010,0)),""))</f>
        <v/>
      </c>
      <c r="AG708" s="25" t="str">
        <f>IF(AE708="","",IFERROR(INDEX($AO$11:$AO$4010,MATCH(698,$AZ$11:$AZ$4010,0)),""))</f>
        <v/>
      </c>
      <c r="AH708" s="24" t="str">
        <f>IF(AE708="","",IFERROR(INDEX($AQ$11:$AQ$4010,MATCH(698,$AZ$11:$AZ$4010,0)),""))</f>
        <v/>
      </c>
      <c r="AI708" s="29" t="str">
        <f>IF(AE708="","",IFERROR(INDEX($AR$11:$AR$4010,MATCH(698,$AZ$11:$AZ$4010,0)),""))</f>
        <v/>
      </c>
      <c r="AJ708" s="29" t="str">
        <f>IF(AE708="","",IFERROR(INDEX($AT$11:$AT$4010,MATCH(698,$AZ$11:$AZ$4010,0)),""))</f>
        <v/>
      </c>
      <c r="AL708" s="31"/>
      <c r="AM708" s="26"/>
      <c r="AN708" s="32"/>
      <c r="AO708" s="32"/>
      <c r="AP708" s="24"/>
      <c r="AQ708" s="24"/>
      <c r="AR708" s="33"/>
      <c r="AS708" s="34"/>
      <c r="AT708" s="33"/>
      <c r="AV708" s="21">
        <f>IF(AND($AL708&lt;&gt;"",COUNTIF($AL$11:$AL708,$AL708)=1),1,0)</f>
        <v>0</v>
      </c>
      <c r="AW708" s="21">
        <f t="shared" si="107"/>
        <v>0</v>
      </c>
      <c r="AX708" s="21" t="str">
        <f t="shared" si="106"/>
        <v/>
      </c>
      <c r="AY708" s="21" t="str">
        <f>IF(AND($AM708&lt;&gt;"",$AS708&lt;&gt;"✓"),SUMPRODUCT(($AM$11:$AM708&lt;&gt;"")*($AS$11:$AS708&lt;&gt;"✓")),"")</f>
        <v/>
      </c>
      <c r="AZ708" s="21" t="str">
        <f>IF(AND($AM708&lt;&gt;"",$AS708="✓"),SUMPRODUCT(($AM$11:$AM708&lt;&gt;"")*($AS$11:$AS708="✓")),"")</f>
        <v/>
      </c>
      <c r="BA708" s="21" t="str">
        <f>IF($AL708="","",$AL708&amp;"|"&amp;COUNTIF($AL$11:$AL708,$AL708))</f>
        <v/>
      </c>
    </row>
    <row r="709" spans="23:53" ht="15" customHeight="1" x14ac:dyDescent="0.25">
      <c r="W709" s="14" t="str">
        <f>IF(X709="","",IFERROR(INDEX($AL$11:$AL$4010,MATCH(699,$AY$11:$AY$4010,0)),""))</f>
        <v/>
      </c>
      <c r="X709" s="12" t="str">
        <f>IFERROR(INDEX($AM$11:$AM$4010,MATCH(699,$AY$11:$AY$4010,0)),"")</f>
        <v/>
      </c>
      <c r="Y709" s="11" t="str">
        <f>IF(X709="","",IFERROR(INDEX($AN$11:$AN$4010,MATCH(699,$AY$11:$AY$4010,0)),""))</f>
        <v/>
      </c>
      <c r="Z709" s="11" t="str">
        <f>IF(X709="","",IFERROR(INDEX($AO$11:$AO$4010,MATCH(699,$AY$11:$AY$4010,0)),""))</f>
        <v/>
      </c>
      <c r="AA709" s="10" t="str">
        <f>IF(X709="","",IFERROR(INDEX($AQ$11:$AQ$4010,MATCH(699,$AY$11:$AY$4010,0)),""))</f>
        <v/>
      </c>
      <c r="AB709" s="15" t="str">
        <f>IF(X709="","",IFERROR(INDEX($AR$11:$AR$4010,MATCH(699,$AY$11:$AY$4010,0)),""))</f>
        <v/>
      </c>
      <c r="AD709" s="16" t="str">
        <f>IF(AE709="","",IFERROR(INDEX($AL$11:$AL$4010,MATCH(699,$AZ$11:$AZ$4010,0)),""))</f>
        <v/>
      </c>
      <c r="AE709" s="12" t="str">
        <f>IFERROR(INDEX($AM$11:$AM$4010,MATCH(699,$AZ$11:$AZ$4010,0)),"")</f>
        <v/>
      </c>
      <c r="AF709" s="11" t="str">
        <f>IF(AE709="","",IFERROR(INDEX($AN$11:$AN$4010,MATCH(699,$AZ$11:$AZ$4010,0)),""))</f>
        <v/>
      </c>
      <c r="AG709" s="11" t="str">
        <f>IF(AE709="","",IFERROR(INDEX($AO$11:$AO$4010,MATCH(699,$AZ$11:$AZ$4010,0)),""))</f>
        <v/>
      </c>
      <c r="AH709" s="10" t="str">
        <f>IF(AE709="","",IFERROR(INDEX($AQ$11:$AQ$4010,MATCH(699,$AZ$11:$AZ$4010,0)),""))</f>
        <v/>
      </c>
      <c r="AI709" s="15" t="str">
        <f>IF(AE709="","",IFERROR(INDEX($AR$11:$AR$4010,MATCH(699,$AZ$11:$AZ$4010,0)),""))</f>
        <v/>
      </c>
      <c r="AJ709" s="15" t="str">
        <f>IF(AE709="","",IFERROR(INDEX($AT$11:$AT$4010,MATCH(699,$AZ$11:$AZ$4010,0)),""))</f>
        <v/>
      </c>
      <c r="AL709" s="17"/>
      <c r="AM709" s="12"/>
      <c r="AN709" s="18"/>
      <c r="AO709" s="18"/>
      <c r="AP709" s="10"/>
      <c r="AQ709" s="10"/>
      <c r="AR709" s="19"/>
      <c r="AS709" s="20"/>
      <c r="AT709" s="19"/>
      <c r="AV709" s="21">
        <f>IF(AND($AL709&lt;&gt;"",COUNTIF($AL$11:$AL709,$AL709)=1),1,0)</f>
        <v>0</v>
      </c>
      <c r="AW709" s="21">
        <f t="shared" si="107"/>
        <v>0</v>
      </c>
      <c r="AX709" s="21" t="str">
        <f t="shared" si="106"/>
        <v/>
      </c>
      <c r="AY709" s="21" t="str">
        <f>IF(AND($AM709&lt;&gt;"",$AS709&lt;&gt;"✓"),SUMPRODUCT(($AM$11:$AM709&lt;&gt;"")*($AS$11:$AS709&lt;&gt;"✓")),"")</f>
        <v/>
      </c>
      <c r="AZ709" s="21" t="str">
        <f>IF(AND($AM709&lt;&gt;"",$AS709="✓"),SUMPRODUCT(($AM$11:$AM709&lt;&gt;"")*($AS$11:$AS709="✓")),"")</f>
        <v/>
      </c>
      <c r="BA709" s="21" t="str">
        <f>IF($AL709="","",$AL709&amp;"|"&amp;COUNTIF($AL$11:$AL709,$AL709))</f>
        <v/>
      </c>
    </row>
    <row r="710" spans="23:53" ht="15" customHeight="1" x14ac:dyDescent="0.25">
      <c r="W710" s="28" t="str">
        <f>IF(X710="","",IFERROR(INDEX($AL$11:$AL$4010,MATCH(700,$AY$11:$AY$4010,0)),""))</f>
        <v/>
      </c>
      <c r="X710" s="26" t="str">
        <f>IFERROR(INDEX($AM$11:$AM$4010,MATCH(700,$AY$11:$AY$4010,0)),"")</f>
        <v/>
      </c>
      <c r="Y710" s="25" t="str">
        <f>IF(X710="","",IFERROR(INDEX($AN$11:$AN$4010,MATCH(700,$AY$11:$AY$4010,0)),""))</f>
        <v/>
      </c>
      <c r="Z710" s="25" t="str">
        <f>IF(X710="","",IFERROR(INDEX($AO$11:$AO$4010,MATCH(700,$AY$11:$AY$4010,0)),""))</f>
        <v/>
      </c>
      <c r="AA710" s="24" t="str">
        <f>IF(X710="","",IFERROR(INDEX($AQ$11:$AQ$4010,MATCH(700,$AY$11:$AY$4010,0)),""))</f>
        <v/>
      </c>
      <c r="AB710" s="29" t="str">
        <f>IF(X710="","",IFERROR(INDEX($AR$11:$AR$4010,MATCH(700,$AY$11:$AY$4010,0)),""))</f>
        <v/>
      </c>
      <c r="AD710" s="30" t="str">
        <f>IF(AE710="","",IFERROR(INDEX($AL$11:$AL$4010,MATCH(700,$AZ$11:$AZ$4010,0)),""))</f>
        <v/>
      </c>
      <c r="AE710" s="26" t="str">
        <f>IFERROR(INDEX($AM$11:$AM$4010,MATCH(700,$AZ$11:$AZ$4010,0)),"")</f>
        <v/>
      </c>
      <c r="AF710" s="25" t="str">
        <f>IF(AE710="","",IFERROR(INDEX($AN$11:$AN$4010,MATCH(700,$AZ$11:$AZ$4010,0)),""))</f>
        <v/>
      </c>
      <c r="AG710" s="25" t="str">
        <f>IF(AE710="","",IFERROR(INDEX($AO$11:$AO$4010,MATCH(700,$AZ$11:$AZ$4010,0)),""))</f>
        <v/>
      </c>
      <c r="AH710" s="24" t="str">
        <f>IF(AE710="","",IFERROR(INDEX($AQ$11:$AQ$4010,MATCH(700,$AZ$11:$AZ$4010,0)),""))</f>
        <v/>
      </c>
      <c r="AI710" s="29" t="str">
        <f>IF(AE710="","",IFERROR(INDEX($AR$11:$AR$4010,MATCH(700,$AZ$11:$AZ$4010,0)),""))</f>
        <v/>
      </c>
      <c r="AJ710" s="29" t="str">
        <f>IF(AE710="","",IFERROR(INDEX($AT$11:$AT$4010,MATCH(700,$AZ$11:$AZ$4010,0)),""))</f>
        <v/>
      </c>
      <c r="AL710" s="31"/>
      <c r="AM710" s="26"/>
      <c r="AN710" s="32"/>
      <c r="AO710" s="32"/>
      <c r="AP710" s="24"/>
      <c r="AQ710" s="24"/>
      <c r="AR710" s="33"/>
      <c r="AS710" s="34"/>
      <c r="AT710" s="33"/>
      <c r="AV710" s="21">
        <f>IF(AND($AL710&lt;&gt;"",COUNTIF($AL$11:$AL710,$AL710)=1),1,0)</f>
        <v>0</v>
      </c>
      <c r="AW710" s="21">
        <f t="shared" si="107"/>
        <v>0</v>
      </c>
      <c r="AX710" s="21" t="str">
        <f t="shared" si="106"/>
        <v/>
      </c>
      <c r="AY710" s="21" t="str">
        <f>IF(AND($AM710&lt;&gt;"",$AS710&lt;&gt;"✓"),SUMPRODUCT(($AM$11:$AM710&lt;&gt;"")*($AS$11:$AS710&lt;&gt;"✓")),"")</f>
        <v/>
      </c>
      <c r="AZ710" s="21" t="str">
        <f>IF(AND($AM710&lt;&gt;"",$AS710="✓"),SUMPRODUCT(($AM$11:$AM710&lt;&gt;"")*($AS$11:$AS710="✓")),"")</f>
        <v/>
      </c>
      <c r="BA710" s="21" t="str">
        <f>IF($AL710="","",$AL710&amp;"|"&amp;COUNTIF($AL$11:$AL710,$AL710))</f>
        <v/>
      </c>
    </row>
    <row r="711" spans="23:53" ht="15" customHeight="1" x14ac:dyDescent="0.25">
      <c r="W711" s="14" t="str">
        <f>IF(X711="","",IFERROR(INDEX($AL$11:$AL$4010,MATCH(701,$AY$11:$AY$4010,0)),""))</f>
        <v/>
      </c>
      <c r="X711" s="12" t="str">
        <f>IFERROR(INDEX($AM$11:$AM$4010,MATCH(701,$AY$11:$AY$4010,0)),"")</f>
        <v/>
      </c>
      <c r="Y711" s="11" t="str">
        <f>IF(X711="","",IFERROR(INDEX($AN$11:$AN$4010,MATCH(701,$AY$11:$AY$4010,0)),""))</f>
        <v/>
      </c>
      <c r="Z711" s="11" t="str">
        <f>IF(X711="","",IFERROR(INDEX($AO$11:$AO$4010,MATCH(701,$AY$11:$AY$4010,0)),""))</f>
        <v/>
      </c>
      <c r="AA711" s="10" t="str">
        <f>IF(X711="","",IFERROR(INDEX($AQ$11:$AQ$4010,MATCH(701,$AY$11:$AY$4010,0)),""))</f>
        <v/>
      </c>
      <c r="AB711" s="15" t="str">
        <f>IF(X711="","",IFERROR(INDEX($AR$11:$AR$4010,MATCH(701,$AY$11:$AY$4010,0)),""))</f>
        <v/>
      </c>
      <c r="AD711" s="16" t="str">
        <f>IF(AE711="","",IFERROR(INDEX($AL$11:$AL$4010,MATCH(701,$AZ$11:$AZ$4010,0)),""))</f>
        <v/>
      </c>
      <c r="AE711" s="12" t="str">
        <f>IFERROR(INDEX($AM$11:$AM$4010,MATCH(701,$AZ$11:$AZ$4010,0)),"")</f>
        <v/>
      </c>
      <c r="AF711" s="11" t="str">
        <f>IF(AE711="","",IFERROR(INDEX($AN$11:$AN$4010,MATCH(701,$AZ$11:$AZ$4010,0)),""))</f>
        <v/>
      </c>
      <c r="AG711" s="11" t="str">
        <f>IF(AE711="","",IFERROR(INDEX($AO$11:$AO$4010,MATCH(701,$AZ$11:$AZ$4010,0)),""))</f>
        <v/>
      </c>
      <c r="AH711" s="10" t="str">
        <f>IF(AE711="","",IFERROR(INDEX($AQ$11:$AQ$4010,MATCH(701,$AZ$11:$AZ$4010,0)),""))</f>
        <v/>
      </c>
      <c r="AI711" s="15" t="str">
        <f>IF(AE711="","",IFERROR(INDEX($AR$11:$AR$4010,MATCH(701,$AZ$11:$AZ$4010,0)),""))</f>
        <v/>
      </c>
      <c r="AJ711" s="15" t="str">
        <f>IF(AE711="","",IFERROR(INDEX($AT$11:$AT$4010,MATCH(701,$AZ$11:$AZ$4010,0)),""))</f>
        <v/>
      </c>
      <c r="AL711" s="17"/>
      <c r="AM711" s="12"/>
      <c r="AN711" s="18"/>
      <c r="AO711" s="18"/>
      <c r="AP711" s="10"/>
      <c r="AQ711" s="10"/>
      <c r="AR711" s="19"/>
      <c r="AS711" s="20"/>
      <c r="AT711" s="19"/>
      <c r="AV711" s="21">
        <f>IF(AND($AL711&lt;&gt;"",COUNTIF($AL$11:$AL711,$AL711)=1),1,0)</f>
        <v>0</v>
      </c>
      <c r="AW711" s="21">
        <f t="shared" si="107"/>
        <v>0</v>
      </c>
      <c r="AX711" s="21" t="str">
        <f t="shared" si="106"/>
        <v/>
      </c>
      <c r="AY711" s="21" t="str">
        <f>IF(AND($AM711&lt;&gt;"",$AS711&lt;&gt;"✓"),SUMPRODUCT(($AM$11:$AM711&lt;&gt;"")*($AS$11:$AS711&lt;&gt;"✓")),"")</f>
        <v/>
      </c>
      <c r="AZ711" s="21" t="str">
        <f>IF(AND($AM711&lt;&gt;"",$AS711="✓"),SUMPRODUCT(($AM$11:$AM711&lt;&gt;"")*($AS$11:$AS711="✓")),"")</f>
        <v/>
      </c>
      <c r="BA711" s="21" t="str">
        <f>IF($AL711="","",$AL711&amp;"|"&amp;COUNTIF($AL$11:$AL711,$AL711))</f>
        <v/>
      </c>
    </row>
    <row r="712" spans="23:53" ht="15" customHeight="1" x14ac:dyDescent="0.25">
      <c r="W712" s="28" t="str">
        <f>IF(X712="","",IFERROR(INDEX($AL$11:$AL$4010,MATCH(702,$AY$11:$AY$4010,0)),""))</f>
        <v/>
      </c>
      <c r="X712" s="26" t="str">
        <f>IFERROR(INDEX($AM$11:$AM$4010,MATCH(702,$AY$11:$AY$4010,0)),"")</f>
        <v/>
      </c>
      <c r="Y712" s="25" t="str">
        <f>IF(X712="","",IFERROR(INDEX($AN$11:$AN$4010,MATCH(702,$AY$11:$AY$4010,0)),""))</f>
        <v/>
      </c>
      <c r="Z712" s="25" t="str">
        <f>IF(X712="","",IFERROR(INDEX($AO$11:$AO$4010,MATCH(702,$AY$11:$AY$4010,0)),""))</f>
        <v/>
      </c>
      <c r="AA712" s="24" t="str">
        <f>IF(X712="","",IFERROR(INDEX($AQ$11:$AQ$4010,MATCH(702,$AY$11:$AY$4010,0)),""))</f>
        <v/>
      </c>
      <c r="AB712" s="29" t="str">
        <f>IF(X712="","",IFERROR(INDEX($AR$11:$AR$4010,MATCH(702,$AY$11:$AY$4010,0)),""))</f>
        <v/>
      </c>
      <c r="AD712" s="30" t="str">
        <f>IF(AE712="","",IFERROR(INDEX($AL$11:$AL$4010,MATCH(702,$AZ$11:$AZ$4010,0)),""))</f>
        <v/>
      </c>
      <c r="AE712" s="26" t="str">
        <f>IFERROR(INDEX($AM$11:$AM$4010,MATCH(702,$AZ$11:$AZ$4010,0)),"")</f>
        <v/>
      </c>
      <c r="AF712" s="25" t="str">
        <f>IF(AE712="","",IFERROR(INDEX($AN$11:$AN$4010,MATCH(702,$AZ$11:$AZ$4010,0)),""))</f>
        <v/>
      </c>
      <c r="AG712" s="25" t="str">
        <f>IF(AE712="","",IFERROR(INDEX($AO$11:$AO$4010,MATCH(702,$AZ$11:$AZ$4010,0)),""))</f>
        <v/>
      </c>
      <c r="AH712" s="24" t="str">
        <f>IF(AE712="","",IFERROR(INDEX($AQ$11:$AQ$4010,MATCH(702,$AZ$11:$AZ$4010,0)),""))</f>
        <v/>
      </c>
      <c r="AI712" s="29" t="str">
        <f>IF(AE712="","",IFERROR(INDEX($AR$11:$AR$4010,MATCH(702,$AZ$11:$AZ$4010,0)),""))</f>
        <v/>
      </c>
      <c r="AJ712" s="29" t="str">
        <f>IF(AE712="","",IFERROR(INDEX($AT$11:$AT$4010,MATCH(702,$AZ$11:$AZ$4010,0)),""))</f>
        <v/>
      </c>
      <c r="AL712" s="31"/>
      <c r="AM712" s="26"/>
      <c r="AN712" s="32"/>
      <c r="AO712" s="32"/>
      <c r="AP712" s="24"/>
      <c r="AQ712" s="24"/>
      <c r="AR712" s="33"/>
      <c r="AS712" s="34"/>
      <c r="AT712" s="33"/>
      <c r="AV712" s="21">
        <f>IF(AND($AL712&lt;&gt;"",COUNTIF($AL$11:$AL712,$AL712)=1),1,0)</f>
        <v>0</v>
      </c>
      <c r="AW712" s="21">
        <f t="shared" si="107"/>
        <v>0</v>
      </c>
      <c r="AX712" s="21" t="str">
        <f t="shared" si="106"/>
        <v/>
      </c>
      <c r="AY712" s="21" t="str">
        <f>IF(AND($AM712&lt;&gt;"",$AS712&lt;&gt;"✓"),SUMPRODUCT(($AM$11:$AM712&lt;&gt;"")*($AS$11:$AS712&lt;&gt;"✓")),"")</f>
        <v/>
      </c>
      <c r="AZ712" s="21" t="str">
        <f>IF(AND($AM712&lt;&gt;"",$AS712="✓"),SUMPRODUCT(($AM$11:$AM712&lt;&gt;"")*($AS$11:$AS712="✓")),"")</f>
        <v/>
      </c>
      <c r="BA712" s="21" t="str">
        <f>IF($AL712="","",$AL712&amp;"|"&amp;COUNTIF($AL$11:$AL712,$AL712))</f>
        <v/>
      </c>
    </row>
    <row r="713" spans="23:53" ht="15" customHeight="1" x14ac:dyDescent="0.25">
      <c r="W713" s="14" t="str">
        <f>IF(X713="","",IFERROR(INDEX($AL$11:$AL$4010,MATCH(703,$AY$11:$AY$4010,0)),""))</f>
        <v/>
      </c>
      <c r="X713" s="12" t="str">
        <f>IFERROR(INDEX($AM$11:$AM$4010,MATCH(703,$AY$11:$AY$4010,0)),"")</f>
        <v/>
      </c>
      <c r="Y713" s="11" t="str">
        <f>IF(X713="","",IFERROR(INDEX($AN$11:$AN$4010,MATCH(703,$AY$11:$AY$4010,0)),""))</f>
        <v/>
      </c>
      <c r="Z713" s="11" t="str">
        <f>IF(X713="","",IFERROR(INDEX($AO$11:$AO$4010,MATCH(703,$AY$11:$AY$4010,0)),""))</f>
        <v/>
      </c>
      <c r="AA713" s="10" t="str">
        <f>IF(X713="","",IFERROR(INDEX($AQ$11:$AQ$4010,MATCH(703,$AY$11:$AY$4010,0)),""))</f>
        <v/>
      </c>
      <c r="AB713" s="15" t="str">
        <f>IF(X713="","",IFERROR(INDEX($AR$11:$AR$4010,MATCH(703,$AY$11:$AY$4010,0)),""))</f>
        <v/>
      </c>
      <c r="AD713" s="16" t="str">
        <f>IF(AE713="","",IFERROR(INDEX($AL$11:$AL$4010,MATCH(703,$AZ$11:$AZ$4010,0)),""))</f>
        <v/>
      </c>
      <c r="AE713" s="12" t="str">
        <f>IFERROR(INDEX($AM$11:$AM$4010,MATCH(703,$AZ$11:$AZ$4010,0)),"")</f>
        <v/>
      </c>
      <c r="AF713" s="11" t="str">
        <f>IF(AE713="","",IFERROR(INDEX($AN$11:$AN$4010,MATCH(703,$AZ$11:$AZ$4010,0)),""))</f>
        <v/>
      </c>
      <c r="AG713" s="11" t="str">
        <f>IF(AE713="","",IFERROR(INDEX($AO$11:$AO$4010,MATCH(703,$AZ$11:$AZ$4010,0)),""))</f>
        <v/>
      </c>
      <c r="AH713" s="10" t="str">
        <f>IF(AE713="","",IFERROR(INDEX($AQ$11:$AQ$4010,MATCH(703,$AZ$11:$AZ$4010,0)),""))</f>
        <v/>
      </c>
      <c r="AI713" s="15" t="str">
        <f>IF(AE713="","",IFERROR(INDEX($AR$11:$AR$4010,MATCH(703,$AZ$11:$AZ$4010,0)),""))</f>
        <v/>
      </c>
      <c r="AJ713" s="15" t="str">
        <f>IF(AE713="","",IFERROR(INDEX($AT$11:$AT$4010,MATCH(703,$AZ$11:$AZ$4010,0)),""))</f>
        <v/>
      </c>
      <c r="AL713" s="17"/>
      <c r="AM713" s="12"/>
      <c r="AN713" s="18"/>
      <c r="AO713" s="18"/>
      <c r="AP713" s="10"/>
      <c r="AQ713" s="10"/>
      <c r="AR713" s="19"/>
      <c r="AS713" s="20"/>
      <c r="AT713" s="19"/>
      <c r="AV713" s="21">
        <f>IF(AND($AL713&lt;&gt;"",COUNTIF($AL$11:$AL713,$AL713)=1),1,0)</f>
        <v>0</v>
      </c>
      <c r="AW713" s="21">
        <f t="shared" si="107"/>
        <v>0</v>
      </c>
      <c r="AX713" s="21" t="str">
        <f t="shared" si="106"/>
        <v/>
      </c>
      <c r="AY713" s="21" t="str">
        <f>IF(AND($AM713&lt;&gt;"",$AS713&lt;&gt;"✓"),SUMPRODUCT(($AM$11:$AM713&lt;&gt;"")*($AS$11:$AS713&lt;&gt;"✓")),"")</f>
        <v/>
      </c>
      <c r="AZ713" s="21" t="str">
        <f>IF(AND($AM713&lt;&gt;"",$AS713="✓"),SUMPRODUCT(($AM$11:$AM713&lt;&gt;"")*($AS$11:$AS713="✓")),"")</f>
        <v/>
      </c>
      <c r="BA713" s="21" t="str">
        <f>IF($AL713="","",$AL713&amp;"|"&amp;COUNTIF($AL$11:$AL713,$AL713))</f>
        <v/>
      </c>
    </row>
    <row r="714" spans="23:53" ht="15" customHeight="1" x14ac:dyDescent="0.25">
      <c r="W714" s="28" t="str">
        <f>IF(X714="","",IFERROR(INDEX($AL$11:$AL$4010,MATCH(704,$AY$11:$AY$4010,0)),""))</f>
        <v/>
      </c>
      <c r="X714" s="26" t="str">
        <f>IFERROR(INDEX($AM$11:$AM$4010,MATCH(704,$AY$11:$AY$4010,0)),"")</f>
        <v/>
      </c>
      <c r="Y714" s="25" t="str">
        <f>IF(X714="","",IFERROR(INDEX($AN$11:$AN$4010,MATCH(704,$AY$11:$AY$4010,0)),""))</f>
        <v/>
      </c>
      <c r="Z714" s="25" t="str">
        <f>IF(X714="","",IFERROR(INDEX($AO$11:$AO$4010,MATCH(704,$AY$11:$AY$4010,0)),""))</f>
        <v/>
      </c>
      <c r="AA714" s="24" t="str">
        <f>IF(X714="","",IFERROR(INDEX($AQ$11:$AQ$4010,MATCH(704,$AY$11:$AY$4010,0)),""))</f>
        <v/>
      </c>
      <c r="AB714" s="29" t="str">
        <f>IF(X714="","",IFERROR(INDEX($AR$11:$AR$4010,MATCH(704,$AY$11:$AY$4010,0)),""))</f>
        <v/>
      </c>
      <c r="AD714" s="30" t="str">
        <f>IF(AE714="","",IFERROR(INDEX($AL$11:$AL$4010,MATCH(704,$AZ$11:$AZ$4010,0)),""))</f>
        <v/>
      </c>
      <c r="AE714" s="26" t="str">
        <f>IFERROR(INDEX($AM$11:$AM$4010,MATCH(704,$AZ$11:$AZ$4010,0)),"")</f>
        <v/>
      </c>
      <c r="AF714" s="25" t="str">
        <f>IF(AE714="","",IFERROR(INDEX($AN$11:$AN$4010,MATCH(704,$AZ$11:$AZ$4010,0)),""))</f>
        <v/>
      </c>
      <c r="AG714" s="25" t="str">
        <f>IF(AE714="","",IFERROR(INDEX($AO$11:$AO$4010,MATCH(704,$AZ$11:$AZ$4010,0)),""))</f>
        <v/>
      </c>
      <c r="AH714" s="24" t="str">
        <f>IF(AE714="","",IFERROR(INDEX($AQ$11:$AQ$4010,MATCH(704,$AZ$11:$AZ$4010,0)),""))</f>
        <v/>
      </c>
      <c r="AI714" s="29" t="str">
        <f>IF(AE714="","",IFERROR(INDEX($AR$11:$AR$4010,MATCH(704,$AZ$11:$AZ$4010,0)),""))</f>
        <v/>
      </c>
      <c r="AJ714" s="29" t="str">
        <f>IF(AE714="","",IFERROR(INDEX($AT$11:$AT$4010,MATCH(704,$AZ$11:$AZ$4010,0)),""))</f>
        <v/>
      </c>
      <c r="AL714" s="31"/>
      <c r="AM714" s="26"/>
      <c r="AN714" s="32"/>
      <c r="AO714" s="32"/>
      <c r="AP714" s="24"/>
      <c r="AQ714" s="24"/>
      <c r="AR714" s="33"/>
      <c r="AS714" s="34"/>
      <c r="AT714" s="33"/>
      <c r="AV714" s="21">
        <f>IF(AND($AL714&lt;&gt;"",COUNTIF($AL$11:$AL714,$AL714)=1),1,0)</f>
        <v>0</v>
      </c>
      <c r="AW714" s="21">
        <f t="shared" si="107"/>
        <v>0</v>
      </c>
      <c r="AX714" s="21" t="str">
        <f t="shared" si="106"/>
        <v/>
      </c>
      <c r="AY714" s="21" t="str">
        <f>IF(AND($AM714&lt;&gt;"",$AS714&lt;&gt;"✓"),SUMPRODUCT(($AM$11:$AM714&lt;&gt;"")*($AS$11:$AS714&lt;&gt;"✓")),"")</f>
        <v/>
      </c>
      <c r="AZ714" s="21" t="str">
        <f>IF(AND($AM714&lt;&gt;"",$AS714="✓"),SUMPRODUCT(($AM$11:$AM714&lt;&gt;"")*($AS$11:$AS714="✓")),"")</f>
        <v/>
      </c>
      <c r="BA714" s="21" t="str">
        <f>IF($AL714="","",$AL714&amp;"|"&amp;COUNTIF($AL$11:$AL714,$AL714))</f>
        <v/>
      </c>
    </row>
    <row r="715" spans="23:53" ht="15" customHeight="1" x14ac:dyDescent="0.25">
      <c r="W715" s="14" t="str">
        <f>IF(X715="","",IFERROR(INDEX($AL$11:$AL$4010,MATCH(705,$AY$11:$AY$4010,0)),""))</f>
        <v/>
      </c>
      <c r="X715" s="12" t="str">
        <f>IFERROR(INDEX($AM$11:$AM$4010,MATCH(705,$AY$11:$AY$4010,0)),"")</f>
        <v/>
      </c>
      <c r="Y715" s="11" t="str">
        <f>IF(X715="","",IFERROR(INDEX($AN$11:$AN$4010,MATCH(705,$AY$11:$AY$4010,0)),""))</f>
        <v/>
      </c>
      <c r="Z715" s="11" t="str">
        <f>IF(X715="","",IFERROR(INDEX($AO$11:$AO$4010,MATCH(705,$AY$11:$AY$4010,0)),""))</f>
        <v/>
      </c>
      <c r="AA715" s="10" t="str">
        <f>IF(X715="","",IFERROR(INDEX($AQ$11:$AQ$4010,MATCH(705,$AY$11:$AY$4010,0)),""))</f>
        <v/>
      </c>
      <c r="AB715" s="15" t="str">
        <f>IF(X715="","",IFERROR(INDEX($AR$11:$AR$4010,MATCH(705,$AY$11:$AY$4010,0)),""))</f>
        <v/>
      </c>
      <c r="AD715" s="16" t="str">
        <f>IF(AE715="","",IFERROR(INDEX($AL$11:$AL$4010,MATCH(705,$AZ$11:$AZ$4010,0)),""))</f>
        <v/>
      </c>
      <c r="AE715" s="12" t="str">
        <f>IFERROR(INDEX($AM$11:$AM$4010,MATCH(705,$AZ$11:$AZ$4010,0)),"")</f>
        <v/>
      </c>
      <c r="AF715" s="11" t="str">
        <f>IF(AE715="","",IFERROR(INDEX($AN$11:$AN$4010,MATCH(705,$AZ$11:$AZ$4010,0)),""))</f>
        <v/>
      </c>
      <c r="AG715" s="11" t="str">
        <f>IF(AE715="","",IFERROR(INDEX($AO$11:$AO$4010,MATCH(705,$AZ$11:$AZ$4010,0)),""))</f>
        <v/>
      </c>
      <c r="AH715" s="10" t="str">
        <f>IF(AE715="","",IFERROR(INDEX($AQ$11:$AQ$4010,MATCH(705,$AZ$11:$AZ$4010,0)),""))</f>
        <v/>
      </c>
      <c r="AI715" s="15" t="str">
        <f>IF(AE715="","",IFERROR(INDEX($AR$11:$AR$4010,MATCH(705,$AZ$11:$AZ$4010,0)),""))</f>
        <v/>
      </c>
      <c r="AJ715" s="15" t="str">
        <f>IF(AE715="","",IFERROR(INDEX($AT$11:$AT$4010,MATCH(705,$AZ$11:$AZ$4010,0)),""))</f>
        <v/>
      </c>
      <c r="AL715" s="17"/>
      <c r="AM715" s="12"/>
      <c r="AN715" s="18"/>
      <c r="AO715" s="18"/>
      <c r="AP715" s="10"/>
      <c r="AQ715" s="10"/>
      <c r="AR715" s="19"/>
      <c r="AS715" s="20"/>
      <c r="AT715" s="19"/>
      <c r="AV715" s="21">
        <f>IF(AND($AL715&lt;&gt;"",COUNTIF($AL$11:$AL715,$AL715)=1),1,0)</f>
        <v>0</v>
      </c>
      <c r="AW715" s="21">
        <f t="shared" si="107"/>
        <v>0</v>
      </c>
      <c r="AX715" s="21" t="str">
        <f t="shared" ref="AX715:AX778" si="108">IF(AV715=1,AW715,"")</f>
        <v/>
      </c>
      <c r="AY715" s="21" t="str">
        <f>IF(AND($AM715&lt;&gt;"",$AS715&lt;&gt;"✓"),SUMPRODUCT(($AM$11:$AM715&lt;&gt;"")*($AS$11:$AS715&lt;&gt;"✓")),"")</f>
        <v/>
      </c>
      <c r="AZ715" s="21" t="str">
        <f>IF(AND($AM715&lt;&gt;"",$AS715="✓"),SUMPRODUCT(($AM$11:$AM715&lt;&gt;"")*($AS$11:$AS715="✓")),"")</f>
        <v/>
      </c>
      <c r="BA715" s="21" t="str">
        <f>IF($AL715="","",$AL715&amp;"|"&amp;COUNTIF($AL$11:$AL715,$AL715))</f>
        <v/>
      </c>
    </row>
    <row r="716" spans="23:53" ht="15" customHeight="1" x14ac:dyDescent="0.25">
      <c r="W716" s="28" t="str">
        <f>IF(X716="","",IFERROR(INDEX($AL$11:$AL$4010,MATCH(706,$AY$11:$AY$4010,0)),""))</f>
        <v/>
      </c>
      <c r="X716" s="26" t="str">
        <f>IFERROR(INDEX($AM$11:$AM$4010,MATCH(706,$AY$11:$AY$4010,0)),"")</f>
        <v/>
      </c>
      <c r="Y716" s="25" t="str">
        <f>IF(X716="","",IFERROR(INDEX($AN$11:$AN$4010,MATCH(706,$AY$11:$AY$4010,0)),""))</f>
        <v/>
      </c>
      <c r="Z716" s="25" t="str">
        <f>IF(X716="","",IFERROR(INDEX($AO$11:$AO$4010,MATCH(706,$AY$11:$AY$4010,0)),""))</f>
        <v/>
      </c>
      <c r="AA716" s="24" t="str">
        <f>IF(X716="","",IFERROR(INDEX($AQ$11:$AQ$4010,MATCH(706,$AY$11:$AY$4010,0)),""))</f>
        <v/>
      </c>
      <c r="AB716" s="29" t="str">
        <f>IF(X716="","",IFERROR(INDEX($AR$11:$AR$4010,MATCH(706,$AY$11:$AY$4010,0)),""))</f>
        <v/>
      </c>
      <c r="AD716" s="30" t="str">
        <f>IF(AE716="","",IFERROR(INDEX($AL$11:$AL$4010,MATCH(706,$AZ$11:$AZ$4010,0)),""))</f>
        <v/>
      </c>
      <c r="AE716" s="26" t="str">
        <f>IFERROR(INDEX($AM$11:$AM$4010,MATCH(706,$AZ$11:$AZ$4010,0)),"")</f>
        <v/>
      </c>
      <c r="AF716" s="25" t="str">
        <f>IF(AE716="","",IFERROR(INDEX($AN$11:$AN$4010,MATCH(706,$AZ$11:$AZ$4010,0)),""))</f>
        <v/>
      </c>
      <c r="AG716" s="25" t="str">
        <f>IF(AE716="","",IFERROR(INDEX($AO$11:$AO$4010,MATCH(706,$AZ$11:$AZ$4010,0)),""))</f>
        <v/>
      </c>
      <c r="AH716" s="24" t="str">
        <f>IF(AE716="","",IFERROR(INDEX($AQ$11:$AQ$4010,MATCH(706,$AZ$11:$AZ$4010,0)),""))</f>
        <v/>
      </c>
      <c r="AI716" s="29" t="str">
        <f>IF(AE716="","",IFERROR(INDEX($AR$11:$AR$4010,MATCH(706,$AZ$11:$AZ$4010,0)),""))</f>
        <v/>
      </c>
      <c r="AJ716" s="29" t="str">
        <f>IF(AE716="","",IFERROR(INDEX($AT$11:$AT$4010,MATCH(706,$AZ$11:$AZ$4010,0)),""))</f>
        <v/>
      </c>
      <c r="AL716" s="31"/>
      <c r="AM716" s="26"/>
      <c r="AN716" s="32"/>
      <c r="AO716" s="32"/>
      <c r="AP716" s="24"/>
      <c r="AQ716" s="24"/>
      <c r="AR716" s="33"/>
      <c r="AS716" s="34"/>
      <c r="AT716" s="33"/>
      <c r="AV716" s="21">
        <f>IF(AND($AL716&lt;&gt;"",COUNTIF($AL$11:$AL716,$AL716)=1),1,0)</f>
        <v>0</v>
      </c>
      <c r="AW716" s="21">
        <f t="shared" ref="AW716:AW779" si="109">AW715+AV716</f>
        <v>0</v>
      </c>
      <c r="AX716" s="21" t="str">
        <f t="shared" si="108"/>
        <v/>
      </c>
      <c r="AY716" s="21" t="str">
        <f>IF(AND($AM716&lt;&gt;"",$AS716&lt;&gt;"✓"),SUMPRODUCT(($AM$11:$AM716&lt;&gt;"")*($AS$11:$AS716&lt;&gt;"✓")),"")</f>
        <v/>
      </c>
      <c r="AZ716" s="21" t="str">
        <f>IF(AND($AM716&lt;&gt;"",$AS716="✓"),SUMPRODUCT(($AM$11:$AM716&lt;&gt;"")*($AS$11:$AS716="✓")),"")</f>
        <v/>
      </c>
      <c r="BA716" s="21" t="str">
        <f>IF($AL716="","",$AL716&amp;"|"&amp;COUNTIF($AL$11:$AL716,$AL716))</f>
        <v/>
      </c>
    </row>
    <row r="717" spans="23:53" ht="15" customHeight="1" x14ac:dyDescent="0.25">
      <c r="W717" s="14" t="str">
        <f>IF(X717="","",IFERROR(INDEX($AL$11:$AL$4010,MATCH(707,$AY$11:$AY$4010,0)),""))</f>
        <v/>
      </c>
      <c r="X717" s="12" t="str">
        <f>IFERROR(INDEX($AM$11:$AM$4010,MATCH(707,$AY$11:$AY$4010,0)),"")</f>
        <v/>
      </c>
      <c r="Y717" s="11" t="str">
        <f>IF(X717="","",IFERROR(INDEX($AN$11:$AN$4010,MATCH(707,$AY$11:$AY$4010,0)),""))</f>
        <v/>
      </c>
      <c r="Z717" s="11" t="str">
        <f>IF(X717="","",IFERROR(INDEX($AO$11:$AO$4010,MATCH(707,$AY$11:$AY$4010,0)),""))</f>
        <v/>
      </c>
      <c r="AA717" s="10" t="str">
        <f>IF(X717="","",IFERROR(INDEX($AQ$11:$AQ$4010,MATCH(707,$AY$11:$AY$4010,0)),""))</f>
        <v/>
      </c>
      <c r="AB717" s="15" t="str">
        <f>IF(X717="","",IFERROR(INDEX($AR$11:$AR$4010,MATCH(707,$AY$11:$AY$4010,0)),""))</f>
        <v/>
      </c>
      <c r="AD717" s="16" t="str">
        <f>IF(AE717="","",IFERROR(INDEX($AL$11:$AL$4010,MATCH(707,$AZ$11:$AZ$4010,0)),""))</f>
        <v/>
      </c>
      <c r="AE717" s="12" t="str">
        <f>IFERROR(INDEX($AM$11:$AM$4010,MATCH(707,$AZ$11:$AZ$4010,0)),"")</f>
        <v/>
      </c>
      <c r="AF717" s="11" t="str">
        <f>IF(AE717="","",IFERROR(INDEX($AN$11:$AN$4010,MATCH(707,$AZ$11:$AZ$4010,0)),""))</f>
        <v/>
      </c>
      <c r="AG717" s="11" t="str">
        <f>IF(AE717="","",IFERROR(INDEX($AO$11:$AO$4010,MATCH(707,$AZ$11:$AZ$4010,0)),""))</f>
        <v/>
      </c>
      <c r="AH717" s="10" t="str">
        <f>IF(AE717="","",IFERROR(INDEX($AQ$11:$AQ$4010,MATCH(707,$AZ$11:$AZ$4010,0)),""))</f>
        <v/>
      </c>
      <c r="AI717" s="15" t="str">
        <f>IF(AE717="","",IFERROR(INDEX($AR$11:$AR$4010,MATCH(707,$AZ$11:$AZ$4010,0)),""))</f>
        <v/>
      </c>
      <c r="AJ717" s="15" t="str">
        <f>IF(AE717="","",IFERROR(INDEX($AT$11:$AT$4010,MATCH(707,$AZ$11:$AZ$4010,0)),""))</f>
        <v/>
      </c>
      <c r="AL717" s="17"/>
      <c r="AM717" s="12"/>
      <c r="AN717" s="18"/>
      <c r="AO717" s="18"/>
      <c r="AP717" s="10"/>
      <c r="AQ717" s="10"/>
      <c r="AR717" s="19"/>
      <c r="AS717" s="20"/>
      <c r="AT717" s="19"/>
      <c r="AV717" s="21">
        <f>IF(AND($AL717&lt;&gt;"",COUNTIF($AL$11:$AL717,$AL717)=1),1,0)</f>
        <v>0</v>
      </c>
      <c r="AW717" s="21">
        <f t="shared" si="109"/>
        <v>0</v>
      </c>
      <c r="AX717" s="21" t="str">
        <f t="shared" si="108"/>
        <v/>
      </c>
      <c r="AY717" s="21" t="str">
        <f>IF(AND($AM717&lt;&gt;"",$AS717&lt;&gt;"✓"),SUMPRODUCT(($AM$11:$AM717&lt;&gt;"")*($AS$11:$AS717&lt;&gt;"✓")),"")</f>
        <v/>
      </c>
      <c r="AZ717" s="21" t="str">
        <f>IF(AND($AM717&lt;&gt;"",$AS717="✓"),SUMPRODUCT(($AM$11:$AM717&lt;&gt;"")*($AS$11:$AS717="✓")),"")</f>
        <v/>
      </c>
      <c r="BA717" s="21" t="str">
        <f>IF($AL717="","",$AL717&amp;"|"&amp;COUNTIF($AL$11:$AL717,$AL717))</f>
        <v/>
      </c>
    </row>
    <row r="718" spans="23:53" ht="15" customHeight="1" x14ac:dyDescent="0.25">
      <c r="W718" s="28" t="str">
        <f>IF(X718="","",IFERROR(INDEX($AL$11:$AL$4010,MATCH(708,$AY$11:$AY$4010,0)),""))</f>
        <v/>
      </c>
      <c r="X718" s="26" t="str">
        <f>IFERROR(INDEX($AM$11:$AM$4010,MATCH(708,$AY$11:$AY$4010,0)),"")</f>
        <v/>
      </c>
      <c r="Y718" s="25" t="str">
        <f>IF(X718="","",IFERROR(INDEX($AN$11:$AN$4010,MATCH(708,$AY$11:$AY$4010,0)),""))</f>
        <v/>
      </c>
      <c r="Z718" s="25" t="str">
        <f>IF(X718="","",IFERROR(INDEX($AO$11:$AO$4010,MATCH(708,$AY$11:$AY$4010,0)),""))</f>
        <v/>
      </c>
      <c r="AA718" s="24" t="str">
        <f>IF(X718="","",IFERROR(INDEX($AQ$11:$AQ$4010,MATCH(708,$AY$11:$AY$4010,0)),""))</f>
        <v/>
      </c>
      <c r="AB718" s="29" t="str">
        <f>IF(X718="","",IFERROR(INDEX($AR$11:$AR$4010,MATCH(708,$AY$11:$AY$4010,0)),""))</f>
        <v/>
      </c>
      <c r="AD718" s="30" t="str">
        <f>IF(AE718="","",IFERROR(INDEX($AL$11:$AL$4010,MATCH(708,$AZ$11:$AZ$4010,0)),""))</f>
        <v/>
      </c>
      <c r="AE718" s="26" t="str">
        <f>IFERROR(INDEX($AM$11:$AM$4010,MATCH(708,$AZ$11:$AZ$4010,0)),"")</f>
        <v/>
      </c>
      <c r="AF718" s="25" t="str">
        <f>IF(AE718="","",IFERROR(INDEX($AN$11:$AN$4010,MATCH(708,$AZ$11:$AZ$4010,0)),""))</f>
        <v/>
      </c>
      <c r="AG718" s="25" t="str">
        <f>IF(AE718="","",IFERROR(INDEX($AO$11:$AO$4010,MATCH(708,$AZ$11:$AZ$4010,0)),""))</f>
        <v/>
      </c>
      <c r="AH718" s="24" t="str">
        <f>IF(AE718="","",IFERROR(INDEX($AQ$11:$AQ$4010,MATCH(708,$AZ$11:$AZ$4010,0)),""))</f>
        <v/>
      </c>
      <c r="AI718" s="29" t="str">
        <f>IF(AE718="","",IFERROR(INDEX($AR$11:$AR$4010,MATCH(708,$AZ$11:$AZ$4010,0)),""))</f>
        <v/>
      </c>
      <c r="AJ718" s="29" t="str">
        <f>IF(AE718="","",IFERROR(INDEX($AT$11:$AT$4010,MATCH(708,$AZ$11:$AZ$4010,0)),""))</f>
        <v/>
      </c>
      <c r="AL718" s="31"/>
      <c r="AM718" s="26"/>
      <c r="AN718" s="32"/>
      <c r="AO718" s="32"/>
      <c r="AP718" s="24"/>
      <c r="AQ718" s="24"/>
      <c r="AR718" s="33"/>
      <c r="AS718" s="34"/>
      <c r="AT718" s="33"/>
      <c r="AV718" s="21">
        <f>IF(AND($AL718&lt;&gt;"",COUNTIF($AL$11:$AL718,$AL718)=1),1,0)</f>
        <v>0</v>
      </c>
      <c r="AW718" s="21">
        <f t="shared" si="109"/>
        <v>0</v>
      </c>
      <c r="AX718" s="21" t="str">
        <f t="shared" si="108"/>
        <v/>
      </c>
      <c r="AY718" s="21" t="str">
        <f>IF(AND($AM718&lt;&gt;"",$AS718&lt;&gt;"✓"),SUMPRODUCT(($AM$11:$AM718&lt;&gt;"")*($AS$11:$AS718&lt;&gt;"✓")),"")</f>
        <v/>
      </c>
      <c r="AZ718" s="21" t="str">
        <f>IF(AND($AM718&lt;&gt;"",$AS718="✓"),SUMPRODUCT(($AM$11:$AM718&lt;&gt;"")*($AS$11:$AS718="✓")),"")</f>
        <v/>
      </c>
      <c r="BA718" s="21" t="str">
        <f>IF($AL718="","",$AL718&amp;"|"&amp;COUNTIF($AL$11:$AL718,$AL718))</f>
        <v/>
      </c>
    </row>
    <row r="719" spans="23:53" ht="15" customHeight="1" x14ac:dyDescent="0.25">
      <c r="W719" s="14" t="str">
        <f>IF(X719="","",IFERROR(INDEX($AL$11:$AL$4010,MATCH(709,$AY$11:$AY$4010,0)),""))</f>
        <v/>
      </c>
      <c r="X719" s="12" t="str">
        <f>IFERROR(INDEX($AM$11:$AM$4010,MATCH(709,$AY$11:$AY$4010,0)),"")</f>
        <v/>
      </c>
      <c r="Y719" s="11" t="str">
        <f>IF(X719="","",IFERROR(INDEX($AN$11:$AN$4010,MATCH(709,$AY$11:$AY$4010,0)),""))</f>
        <v/>
      </c>
      <c r="Z719" s="11" t="str">
        <f>IF(X719="","",IFERROR(INDEX($AO$11:$AO$4010,MATCH(709,$AY$11:$AY$4010,0)),""))</f>
        <v/>
      </c>
      <c r="AA719" s="10" t="str">
        <f>IF(X719="","",IFERROR(INDEX($AQ$11:$AQ$4010,MATCH(709,$AY$11:$AY$4010,0)),""))</f>
        <v/>
      </c>
      <c r="AB719" s="15" t="str">
        <f>IF(X719="","",IFERROR(INDEX($AR$11:$AR$4010,MATCH(709,$AY$11:$AY$4010,0)),""))</f>
        <v/>
      </c>
      <c r="AD719" s="16" t="str">
        <f>IF(AE719="","",IFERROR(INDEX($AL$11:$AL$4010,MATCH(709,$AZ$11:$AZ$4010,0)),""))</f>
        <v/>
      </c>
      <c r="AE719" s="12" t="str">
        <f>IFERROR(INDEX($AM$11:$AM$4010,MATCH(709,$AZ$11:$AZ$4010,0)),"")</f>
        <v/>
      </c>
      <c r="AF719" s="11" t="str">
        <f>IF(AE719="","",IFERROR(INDEX($AN$11:$AN$4010,MATCH(709,$AZ$11:$AZ$4010,0)),""))</f>
        <v/>
      </c>
      <c r="AG719" s="11" t="str">
        <f>IF(AE719="","",IFERROR(INDEX($AO$11:$AO$4010,MATCH(709,$AZ$11:$AZ$4010,0)),""))</f>
        <v/>
      </c>
      <c r="AH719" s="10" t="str">
        <f>IF(AE719="","",IFERROR(INDEX($AQ$11:$AQ$4010,MATCH(709,$AZ$11:$AZ$4010,0)),""))</f>
        <v/>
      </c>
      <c r="AI719" s="15" t="str">
        <f>IF(AE719="","",IFERROR(INDEX($AR$11:$AR$4010,MATCH(709,$AZ$11:$AZ$4010,0)),""))</f>
        <v/>
      </c>
      <c r="AJ719" s="15" t="str">
        <f>IF(AE719="","",IFERROR(INDEX($AT$11:$AT$4010,MATCH(709,$AZ$11:$AZ$4010,0)),""))</f>
        <v/>
      </c>
      <c r="AL719" s="17"/>
      <c r="AM719" s="12"/>
      <c r="AN719" s="18"/>
      <c r="AO719" s="18"/>
      <c r="AP719" s="10"/>
      <c r="AQ719" s="10"/>
      <c r="AR719" s="19"/>
      <c r="AS719" s="20"/>
      <c r="AT719" s="19"/>
      <c r="AV719" s="21">
        <f>IF(AND($AL719&lt;&gt;"",COUNTIF($AL$11:$AL719,$AL719)=1),1,0)</f>
        <v>0</v>
      </c>
      <c r="AW719" s="21">
        <f t="shared" si="109"/>
        <v>0</v>
      </c>
      <c r="AX719" s="21" t="str">
        <f t="shared" si="108"/>
        <v/>
      </c>
      <c r="AY719" s="21" t="str">
        <f>IF(AND($AM719&lt;&gt;"",$AS719&lt;&gt;"✓"),SUMPRODUCT(($AM$11:$AM719&lt;&gt;"")*($AS$11:$AS719&lt;&gt;"✓")),"")</f>
        <v/>
      </c>
      <c r="AZ719" s="21" t="str">
        <f>IF(AND($AM719&lt;&gt;"",$AS719="✓"),SUMPRODUCT(($AM$11:$AM719&lt;&gt;"")*($AS$11:$AS719="✓")),"")</f>
        <v/>
      </c>
      <c r="BA719" s="21" t="str">
        <f>IF($AL719="","",$AL719&amp;"|"&amp;COUNTIF($AL$11:$AL719,$AL719))</f>
        <v/>
      </c>
    </row>
    <row r="720" spans="23:53" ht="15" customHeight="1" x14ac:dyDescent="0.25">
      <c r="W720" s="28" t="str">
        <f>IF(X720="","",IFERROR(INDEX($AL$11:$AL$4010,MATCH(710,$AY$11:$AY$4010,0)),""))</f>
        <v/>
      </c>
      <c r="X720" s="26" t="str">
        <f>IFERROR(INDEX($AM$11:$AM$4010,MATCH(710,$AY$11:$AY$4010,0)),"")</f>
        <v/>
      </c>
      <c r="Y720" s="25" t="str">
        <f>IF(X720="","",IFERROR(INDEX($AN$11:$AN$4010,MATCH(710,$AY$11:$AY$4010,0)),""))</f>
        <v/>
      </c>
      <c r="Z720" s="25" t="str">
        <f>IF(X720="","",IFERROR(INDEX($AO$11:$AO$4010,MATCH(710,$AY$11:$AY$4010,0)),""))</f>
        <v/>
      </c>
      <c r="AA720" s="24" t="str">
        <f>IF(X720="","",IFERROR(INDEX($AQ$11:$AQ$4010,MATCH(710,$AY$11:$AY$4010,0)),""))</f>
        <v/>
      </c>
      <c r="AB720" s="29" t="str">
        <f>IF(X720="","",IFERROR(INDEX($AR$11:$AR$4010,MATCH(710,$AY$11:$AY$4010,0)),""))</f>
        <v/>
      </c>
      <c r="AD720" s="30" t="str">
        <f>IF(AE720="","",IFERROR(INDEX($AL$11:$AL$4010,MATCH(710,$AZ$11:$AZ$4010,0)),""))</f>
        <v/>
      </c>
      <c r="AE720" s="26" t="str">
        <f>IFERROR(INDEX($AM$11:$AM$4010,MATCH(710,$AZ$11:$AZ$4010,0)),"")</f>
        <v/>
      </c>
      <c r="AF720" s="25" t="str">
        <f>IF(AE720="","",IFERROR(INDEX($AN$11:$AN$4010,MATCH(710,$AZ$11:$AZ$4010,0)),""))</f>
        <v/>
      </c>
      <c r="AG720" s="25" t="str">
        <f>IF(AE720="","",IFERROR(INDEX($AO$11:$AO$4010,MATCH(710,$AZ$11:$AZ$4010,0)),""))</f>
        <v/>
      </c>
      <c r="AH720" s="24" t="str">
        <f>IF(AE720="","",IFERROR(INDEX($AQ$11:$AQ$4010,MATCH(710,$AZ$11:$AZ$4010,0)),""))</f>
        <v/>
      </c>
      <c r="AI720" s="29" t="str">
        <f>IF(AE720="","",IFERROR(INDEX($AR$11:$AR$4010,MATCH(710,$AZ$11:$AZ$4010,0)),""))</f>
        <v/>
      </c>
      <c r="AJ720" s="29" t="str">
        <f>IF(AE720="","",IFERROR(INDEX($AT$11:$AT$4010,MATCH(710,$AZ$11:$AZ$4010,0)),""))</f>
        <v/>
      </c>
      <c r="AL720" s="31"/>
      <c r="AM720" s="26"/>
      <c r="AN720" s="32"/>
      <c r="AO720" s="32"/>
      <c r="AP720" s="24"/>
      <c r="AQ720" s="24"/>
      <c r="AR720" s="33"/>
      <c r="AS720" s="34"/>
      <c r="AT720" s="33"/>
      <c r="AV720" s="21">
        <f>IF(AND($AL720&lt;&gt;"",COUNTIF($AL$11:$AL720,$AL720)=1),1,0)</f>
        <v>0</v>
      </c>
      <c r="AW720" s="21">
        <f t="shared" si="109"/>
        <v>0</v>
      </c>
      <c r="AX720" s="21" t="str">
        <f t="shared" si="108"/>
        <v/>
      </c>
      <c r="AY720" s="21" t="str">
        <f>IF(AND($AM720&lt;&gt;"",$AS720&lt;&gt;"✓"),SUMPRODUCT(($AM$11:$AM720&lt;&gt;"")*($AS$11:$AS720&lt;&gt;"✓")),"")</f>
        <v/>
      </c>
      <c r="AZ720" s="21" t="str">
        <f>IF(AND($AM720&lt;&gt;"",$AS720="✓"),SUMPRODUCT(($AM$11:$AM720&lt;&gt;"")*($AS$11:$AS720="✓")),"")</f>
        <v/>
      </c>
      <c r="BA720" s="21" t="str">
        <f>IF($AL720="","",$AL720&amp;"|"&amp;COUNTIF($AL$11:$AL720,$AL720))</f>
        <v/>
      </c>
    </row>
    <row r="721" spans="23:53" ht="15" customHeight="1" x14ac:dyDescent="0.25">
      <c r="W721" s="14" t="str">
        <f>IF(X721="","",IFERROR(INDEX($AL$11:$AL$4010,MATCH(711,$AY$11:$AY$4010,0)),""))</f>
        <v/>
      </c>
      <c r="X721" s="12" t="str">
        <f>IFERROR(INDEX($AM$11:$AM$4010,MATCH(711,$AY$11:$AY$4010,0)),"")</f>
        <v/>
      </c>
      <c r="Y721" s="11" t="str">
        <f>IF(X721="","",IFERROR(INDEX($AN$11:$AN$4010,MATCH(711,$AY$11:$AY$4010,0)),""))</f>
        <v/>
      </c>
      <c r="Z721" s="11" t="str">
        <f>IF(X721="","",IFERROR(INDEX($AO$11:$AO$4010,MATCH(711,$AY$11:$AY$4010,0)),""))</f>
        <v/>
      </c>
      <c r="AA721" s="10" t="str">
        <f>IF(X721="","",IFERROR(INDEX($AQ$11:$AQ$4010,MATCH(711,$AY$11:$AY$4010,0)),""))</f>
        <v/>
      </c>
      <c r="AB721" s="15" t="str">
        <f>IF(X721="","",IFERROR(INDEX($AR$11:$AR$4010,MATCH(711,$AY$11:$AY$4010,0)),""))</f>
        <v/>
      </c>
      <c r="AD721" s="16" t="str">
        <f>IF(AE721="","",IFERROR(INDEX($AL$11:$AL$4010,MATCH(711,$AZ$11:$AZ$4010,0)),""))</f>
        <v/>
      </c>
      <c r="AE721" s="12" t="str">
        <f>IFERROR(INDEX($AM$11:$AM$4010,MATCH(711,$AZ$11:$AZ$4010,0)),"")</f>
        <v/>
      </c>
      <c r="AF721" s="11" t="str">
        <f>IF(AE721="","",IFERROR(INDEX($AN$11:$AN$4010,MATCH(711,$AZ$11:$AZ$4010,0)),""))</f>
        <v/>
      </c>
      <c r="AG721" s="11" t="str">
        <f>IF(AE721="","",IFERROR(INDEX($AO$11:$AO$4010,MATCH(711,$AZ$11:$AZ$4010,0)),""))</f>
        <v/>
      </c>
      <c r="AH721" s="10" t="str">
        <f>IF(AE721="","",IFERROR(INDEX($AQ$11:$AQ$4010,MATCH(711,$AZ$11:$AZ$4010,0)),""))</f>
        <v/>
      </c>
      <c r="AI721" s="15" t="str">
        <f>IF(AE721="","",IFERROR(INDEX($AR$11:$AR$4010,MATCH(711,$AZ$11:$AZ$4010,0)),""))</f>
        <v/>
      </c>
      <c r="AJ721" s="15" t="str">
        <f>IF(AE721="","",IFERROR(INDEX($AT$11:$AT$4010,MATCH(711,$AZ$11:$AZ$4010,0)),""))</f>
        <v/>
      </c>
      <c r="AL721" s="17"/>
      <c r="AM721" s="12"/>
      <c r="AN721" s="18"/>
      <c r="AO721" s="18"/>
      <c r="AP721" s="10"/>
      <c r="AQ721" s="10"/>
      <c r="AR721" s="19"/>
      <c r="AS721" s="20"/>
      <c r="AT721" s="19"/>
      <c r="AV721" s="21">
        <f>IF(AND($AL721&lt;&gt;"",COUNTIF($AL$11:$AL721,$AL721)=1),1,0)</f>
        <v>0</v>
      </c>
      <c r="AW721" s="21">
        <f t="shared" si="109"/>
        <v>0</v>
      </c>
      <c r="AX721" s="21" t="str">
        <f t="shared" si="108"/>
        <v/>
      </c>
      <c r="AY721" s="21" t="str">
        <f>IF(AND($AM721&lt;&gt;"",$AS721&lt;&gt;"✓"),SUMPRODUCT(($AM$11:$AM721&lt;&gt;"")*($AS$11:$AS721&lt;&gt;"✓")),"")</f>
        <v/>
      </c>
      <c r="AZ721" s="21" t="str">
        <f>IF(AND($AM721&lt;&gt;"",$AS721="✓"),SUMPRODUCT(($AM$11:$AM721&lt;&gt;"")*($AS$11:$AS721="✓")),"")</f>
        <v/>
      </c>
      <c r="BA721" s="21" t="str">
        <f>IF($AL721="","",$AL721&amp;"|"&amp;COUNTIF($AL$11:$AL721,$AL721))</f>
        <v/>
      </c>
    </row>
    <row r="722" spans="23:53" ht="15" customHeight="1" x14ac:dyDescent="0.25">
      <c r="W722" s="28" t="str">
        <f>IF(X722="","",IFERROR(INDEX($AL$11:$AL$4010,MATCH(712,$AY$11:$AY$4010,0)),""))</f>
        <v/>
      </c>
      <c r="X722" s="26" t="str">
        <f>IFERROR(INDEX($AM$11:$AM$4010,MATCH(712,$AY$11:$AY$4010,0)),"")</f>
        <v/>
      </c>
      <c r="Y722" s="25" t="str">
        <f>IF(X722="","",IFERROR(INDEX($AN$11:$AN$4010,MATCH(712,$AY$11:$AY$4010,0)),""))</f>
        <v/>
      </c>
      <c r="Z722" s="25" t="str">
        <f>IF(X722="","",IFERROR(INDEX($AO$11:$AO$4010,MATCH(712,$AY$11:$AY$4010,0)),""))</f>
        <v/>
      </c>
      <c r="AA722" s="24" t="str">
        <f>IF(X722="","",IFERROR(INDEX($AQ$11:$AQ$4010,MATCH(712,$AY$11:$AY$4010,0)),""))</f>
        <v/>
      </c>
      <c r="AB722" s="29" t="str">
        <f>IF(X722="","",IFERROR(INDEX($AR$11:$AR$4010,MATCH(712,$AY$11:$AY$4010,0)),""))</f>
        <v/>
      </c>
      <c r="AD722" s="30" t="str">
        <f>IF(AE722="","",IFERROR(INDEX($AL$11:$AL$4010,MATCH(712,$AZ$11:$AZ$4010,0)),""))</f>
        <v/>
      </c>
      <c r="AE722" s="26" t="str">
        <f>IFERROR(INDEX($AM$11:$AM$4010,MATCH(712,$AZ$11:$AZ$4010,0)),"")</f>
        <v/>
      </c>
      <c r="AF722" s="25" t="str">
        <f>IF(AE722="","",IFERROR(INDEX($AN$11:$AN$4010,MATCH(712,$AZ$11:$AZ$4010,0)),""))</f>
        <v/>
      </c>
      <c r="AG722" s="25" t="str">
        <f>IF(AE722="","",IFERROR(INDEX($AO$11:$AO$4010,MATCH(712,$AZ$11:$AZ$4010,0)),""))</f>
        <v/>
      </c>
      <c r="AH722" s="24" t="str">
        <f>IF(AE722="","",IFERROR(INDEX($AQ$11:$AQ$4010,MATCH(712,$AZ$11:$AZ$4010,0)),""))</f>
        <v/>
      </c>
      <c r="AI722" s="29" t="str">
        <f>IF(AE722="","",IFERROR(INDEX($AR$11:$AR$4010,MATCH(712,$AZ$11:$AZ$4010,0)),""))</f>
        <v/>
      </c>
      <c r="AJ722" s="29" t="str">
        <f>IF(AE722="","",IFERROR(INDEX($AT$11:$AT$4010,MATCH(712,$AZ$11:$AZ$4010,0)),""))</f>
        <v/>
      </c>
      <c r="AL722" s="31"/>
      <c r="AM722" s="26"/>
      <c r="AN722" s="32"/>
      <c r="AO722" s="32"/>
      <c r="AP722" s="24"/>
      <c r="AQ722" s="24"/>
      <c r="AR722" s="33"/>
      <c r="AS722" s="34"/>
      <c r="AT722" s="33"/>
      <c r="AV722" s="21">
        <f>IF(AND($AL722&lt;&gt;"",COUNTIF($AL$11:$AL722,$AL722)=1),1,0)</f>
        <v>0</v>
      </c>
      <c r="AW722" s="21">
        <f t="shared" si="109"/>
        <v>0</v>
      </c>
      <c r="AX722" s="21" t="str">
        <f t="shared" si="108"/>
        <v/>
      </c>
      <c r="AY722" s="21" t="str">
        <f>IF(AND($AM722&lt;&gt;"",$AS722&lt;&gt;"✓"),SUMPRODUCT(($AM$11:$AM722&lt;&gt;"")*($AS$11:$AS722&lt;&gt;"✓")),"")</f>
        <v/>
      </c>
      <c r="AZ722" s="21" t="str">
        <f>IF(AND($AM722&lt;&gt;"",$AS722="✓"),SUMPRODUCT(($AM$11:$AM722&lt;&gt;"")*($AS$11:$AS722="✓")),"")</f>
        <v/>
      </c>
      <c r="BA722" s="21" t="str">
        <f>IF($AL722="","",$AL722&amp;"|"&amp;COUNTIF($AL$11:$AL722,$AL722))</f>
        <v/>
      </c>
    </row>
    <row r="723" spans="23:53" ht="15" customHeight="1" x14ac:dyDescent="0.25">
      <c r="W723" s="14" t="str">
        <f>IF(X723="","",IFERROR(INDEX($AL$11:$AL$4010,MATCH(713,$AY$11:$AY$4010,0)),""))</f>
        <v/>
      </c>
      <c r="X723" s="12" t="str">
        <f>IFERROR(INDEX($AM$11:$AM$4010,MATCH(713,$AY$11:$AY$4010,0)),"")</f>
        <v/>
      </c>
      <c r="Y723" s="11" t="str">
        <f>IF(X723="","",IFERROR(INDEX($AN$11:$AN$4010,MATCH(713,$AY$11:$AY$4010,0)),""))</f>
        <v/>
      </c>
      <c r="Z723" s="11" t="str">
        <f>IF(X723="","",IFERROR(INDEX($AO$11:$AO$4010,MATCH(713,$AY$11:$AY$4010,0)),""))</f>
        <v/>
      </c>
      <c r="AA723" s="10" t="str">
        <f>IF(X723="","",IFERROR(INDEX($AQ$11:$AQ$4010,MATCH(713,$AY$11:$AY$4010,0)),""))</f>
        <v/>
      </c>
      <c r="AB723" s="15" t="str">
        <f>IF(X723="","",IFERROR(INDEX($AR$11:$AR$4010,MATCH(713,$AY$11:$AY$4010,0)),""))</f>
        <v/>
      </c>
      <c r="AD723" s="16" t="str">
        <f>IF(AE723="","",IFERROR(INDEX($AL$11:$AL$4010,MATCH(713,$AZ$11:$AZ$4010,0)),""))</f>
        <v/>
      </c>
      <c r="AE723" s="12" t="str">
        <f>IFERROR(INDEX($AM$11:$AM$4010,MATCH(713,$AZ$11:$AZ$4010,0)),"")</f>
        <v/>
      </c>
      <c r="AF723" s="11" t="str">
        <f>IF(AE723="","",IFERROR(INDEX($AN$11:$AN$4010,MATCH(713,$AZ$11:$AZ$4010,0)),""))</f>
        <v/>
      </c>
      <c r="AG723" s="11" t="str">
        <f>IF(AE723="","",IFERROR(INDEX($AO$11:$AO$4010,MATCH(713,$AZ$11:$AZ$4010,0)),""))</f>
        <v/>
      </c>
      <c r="AH723" s="10" t="str">
        <f>IF(AE723="","",IFERROR(INDEX($AQ$11:$AQ$4010,MATCH(713,$AZ$11:$AZ$4010,0)),""))</f>
        <v/>
      </c>
      <c r="AI723" s="15" t="str">
        <f>IF(AE723="","",IFERROR(INDEX($AR$11:$AR$4010,MATCH(713,$AZ$11:$AZ$4010,0)),""))</f>
        <v/>
      </c>
      <c r="AJ723" s="15" t="str">
        <f>IF(AE723="","",IFERROR(INDEX($AT$11:$AT$4010,MATCH(713,$AZ$11:$AZ$4010,0)),""))</f>
        <v/>
      </c>
      <c r="AL723" s="17"/>
      <c r="AM723" s="12"/>
      <c r="AN723" s="18"/>
      <c r="AO723" s="18"/>
      <c r="AP723" s="10"/>
      <c r="AQ723" s="10"/>
      <c r="AR723" s="19"/>
      <c r="AS723" s="20"/>
      <c r="AT723" s="19"/>
      <c r="AV723" s="21">
        <f>IF(AND($AL723&lt;&gt;"",COUNTIF($AL$11:$AL723,$AL723)=1),1,0)</f>
        <v>0</v>
      </c>
      <c r="AW723" s="21">
        <f t="shared" si="109"/>
        <v>0</v>
      </c>
      <c r="AX723" s="21" t="str">
        <f t="shared" si="108"/>
        <v/>
      </c>
      <c r="AY723" s="21" t="str">
        <f>IF(AND($AM723&lt;&gt;"",$AS723&lt;&gt;"✓"),SUMPRODUCT(($AM$11:$AM723&lt;&gt;"")*($AS$11:$AS723&lt;&gt;"✓")),"")</f>
        <v/>
      </c>
      <c r="AZ723" s="21" t="str">
        <f>IF(AND($AM723&lt;&gt;"",$AS723="✓"),SUMPRODUCT(($AM$11:$AM723&lt;&gt;"")*($AS$11:$AS723="✓")),"")</f>
        <v/>
      </c>
      <c r="BA723" s="21" t="str">
        <f>IF($AL723="","",$AL723&amp;"|"&amp;COUNTIF($AL$11:$AL723,$AL723))</f>
        <v/>
      </c>
    </row>
    <row r="724" spans="23:53" ht="15" customHeight="1" x14ac:dyDescent="0.25">
      <c r="W724" s="28" t="str">
        <f>IF(X724="","",IFERROR(INDEX($AL$11:$AL$4010,MATCH(714,$AY$11:$AY$4010,0)),""))</f>
        <v/>
      </c>
      <c r="X724" s="26" t="str">
        <f>IFERROR(INDEX($AM$11:$AM$4010,MATCH(714,$AY$11:$AY$4010,0)),"")</f>
        <v/>
      </c>
      <c r="Y724" s="25" t="str">
        <f>IF(X724="","",IFERROR(INDEX($AN$11:$AN$4010,MATCH(714,$AY$11:$AY$4010,0)),""))</f>
        <v/>
      </c>
      <c r="Z724" s="25" t="str">
        <f>IF(X724="","",IFERROR(INDEX($AO$11:$AO$4010,MATCH(714,$AY$11:$AY$4010,0)),""))</f>
        <v/>
      </c>
      <c r="AA724" s="24" t="str">
        <f>IF(X724="","",IFERROR(INDEX($AQ$11:$AQ$4010,MATCH(714,$AY$11:$AY$4010,0)),""))</f>
        <v/>
      </c>
      <c r="AB724" s="29" t="str">
        <f>IF(X724="","",IFERROR(INDEX($AR$11:$AR$4010,MATCH(714,$AY$11:$AY$4010,0)),""))</f>
        <v/>
      </c>
      <c r="AD724" s="30" t="str">
        <f>IF(AE724="","",IFERROR(INDEX($AL$11:$AL$4010,MATCH(714,$AZ$11:$AZ$4010,0)),""))</f>
        <v/>
      </c>
      <c r="AE724" s="26" t="str">
        <f>IFERROR(INDEX($AM$11:$AM$4010,MATCH(714,$AZ$11:$AZ$4010,0)),"")</f>
        <v/>
      </c>
      <c r="AF724" s="25" t="str">
        <f>IF(AE724="","",IFERROR(INDEX($AN$11:$AN$4010,MATCH(714,$AZ$11:$AZ$4010,0)),""))</f>
        <v/>
      </c>
      <c r="AG724" s="25" t="str">
        <f>IF(AE724="","",IFERROR(INDEX($AO$11:$AO$4010,MATCH(714,$AZ$11:$AZ$4010,0)),""))</f>
        <v/>
      </c>
      <c r="AH724" s="24" t="str">
        <f>IF(AE724="","",IFERROR(INDEX($AQ$11:$AQ$4010,MATCH(714,$AZ$11:$AZ$4010,0)),""))</f>
        <v/>
      </c>
      <c r="AI724" s="29" t="str">
        <f>IF(AE724="","",IFERROR(INDEX($AR$11:$AR$4010,MATCH(714,$AZ$11:$AZ$4010,0)),""))</f>
        <v/>
      </c>
      <c r="AJ724" s="29" t="str">
        <f>IF(AE724="","",IFERROR(INDEX($AT$11:$AT$4010,MATCH(714,$AZ$11:$AZ$4010,0)),""))</f>
        <v/>
      </c>
      <c r="AL724" s="31"/>
      <c r="AM724" s="26"/>
      <c r="AN724" s="32"/>
      <c r="AO724" s="32"/>
      <c r="AP724" s="24"/>
      <c r="AQ724" s="24"/>
      <c r="AR724" s="33"/>
      <c r="AS724" s="34"/>
      <c r="AT724" s="33"/>
      <c r="AV724" s="21">
        <f>IF(AND($AL724&lt;&gt;"",COUNTIF($AL$11:$AL724,$AL724)=1),1,0)</f>
        <v>0</v>
      </c>
      <c r="AW724" s="21">
        <f t="shared" si="109"/>
        <v>0</v>
      </c>
      <c r="AX724" s="21" t="str">
        <f t="shared" si="108"/>
        <v/>
      </c>
      <c r="AY724" s="21" t="str">
        <f>IF(AND($AM724&lt;&gt;"",$AS724&lt;&gt;"✓"),SUMPRODUCT(($AM$11:$AM724&lt;&gt;"")*($AS$11:$AS724&lt;&gt;"✓")),"")</f>
        <v/>
      </c>
      <c r="AZ724" s="21" t="str">
        <f>IF(AND($AM724&lt;&gt;"",$AS724="✓"),SUMPRODUCT(($AM$11:$AM724&lt;&gt;"")*($AS$11:$AS724="✓")),"")</f>
        <v/>
      </c>
      <c r="BA724" s="21" t="str">
        <f>IF($AL724="","",$AL724&amp;"|"&amp;COUNTIF($AL$11:$AL724,$AL724))</f>
        <v/>
      </c>
    </row>
    <row r="725" spans="23:53" ht="15" customHeight="1" x14ac:dyDescent="0.25">
      <c r="W725" s="14" t="str">
        <f>IF(X725="","",IFERROR(INDEX($AL$11:$AL$4010,MATCH(715,$AY$11:$AY$4010,0)),""))</f>
        <v/>
      </c>
      <c r="X725" s="12" t="str">
        <f>IFERROR(INDEX($AM$11:$AM$4010,MATCH(715,$AY$11:$AY$4010,0)),"")</f>
        <v/>
      </c>
      <c r="Y725" s="11" t="str">
        <f>IF(X725="","",IFERROR(INDEX($AN$11:$AN$4010,MATCH(715,$AY$11:$AY$4010,0)),""))</f>
        <v/>
      </c>
      <c r="Z725" s="11" t="str">
        <f>IF(X725="","",IFERROR(INDEX($AO$11:$AO$4010,MATCH(715,$AY$11:$AY$4010,0)),""))</f>
        <v/>
      </c>
      <c r="AA725" s="10" t="str">
        <f>IF(X725="","",IFERROR(INDEX($AQ$11:$AQ$4010,MATCH(715,$AY$11:$AY$4010,0)),""))</f>
        <v/>
      </c>
      <c r="AB725" s="15" t="str">
        <f>IF(X725="","",IFERROR(INDEX($AR$11:$AR$4010,MATCH(715,$AY$11:$AY$4010,0)),""))</f>
        <v/>
      </c>
      <c r="AD725" s="16" t="str">
        <f>IF(AE725="","",IFERROR(INDEX($AL$11:$AL$4010,MATCH(715,$AZ$11:$AZ$4010,0)),""))</f>
        <v/>
      </c>
      <c r="AE725" s="12" t="str">
        <f>IFERROR(INDEX($AM$11:$AM$4010,MATCH(715,$AZ$11:$AZ$4010,0)),"")</f>
        <v/>
      </c>
      <c r="AF725" s="11" t="str">
        <f>IF(AE725="","",IFERROR(INDEX($AN$11:$AN$4010,MATCH(715,$AZ$11:$AZ$4010,0)),""))</f>
        <v/>
      </c>
      <c r="AG725" s="11" t="str">
        <f>IF(AE725="","",IFERROR(INDEX($AO$11:$AO$4010,MATCH(715,$AZ$11:$AZ$4010,0)),""))</f>
        <v/>
      </c>
      <c r="AH725" s="10" t="str">
        <f>IF(AE725="","",IFERROR(INDEX($AQ$11:$AQ$4010,MATCH(715,$AZ$11:$AZ$4010,0)),""))</f>
        <v/>
      </c>
      <c r="AI725" s="15" t="str">
        <f>IF(AE725="","",IFERROR(INDEX($AR$11:$AR$4010,MATCH(715,$AZ$11:$AZ$4010,0)),""))</f>
        <v/>
      </c>
      <c r="AJ725" s="15" t="str">
        <f>IF(AE725="","",IFERROR(INDEX($AT$11:$AT$4010,MATCH(715,$AZ$11:$AZ$4010,0)),""))</f>
        <v/>
      </c>
      <c r="AL725" s="17"/>
      <c r="AM725" s="12"/>
      <c r="AN725" s="18"/>
      <c r="AO725" s="18"/>
      <c r="AP725" s="10"/>
      <c r="AQ725" s="10"/>
      <c r="AR725" s="19"/>
      <c r="AS725" s="20"/>
      <c r="AT725" s="19"/>
      <c r="AV725" s="21">
        <f>IF(AND($AL725&lt;&gt;"",COUNTIF($AL$11:$AL725,$AL725)=1),1,0)</f>
        <v>0</v>
      </c>
      <c r="AW725" s="21">
        <f t="shared" si="109"/>
        <v>0</v>
      </c>
      <c r="AX725" s="21" t="str">
        <f t="shared" si="108"/>
        <v/>
      </c>
      <c r="AY725" s="21" t="str">
        <f>IF(AND($AM725&lt;&gt;"",$AS725&lt;&gt;"✓"),SUMPRODUCT(($AM$11:$AM725&lt;&gt;"")*($AS$11:$AS725&lt;&gt;"✓")),"")</f>
        <v/>
      </c>
      <c r="AZ725" s="21" t="str">
        <f>IF(AND($AM725&lt;&gt;"",$AS725="✓"),SUMPRODUCT(($AM$11:$AM725&lt;&gt;"")*($AS$11:$AS725="✓")),"")</f>
        <v/>
      </c>
      <c r="BA725" s="21" t="str">
        <f>IF($AL725="","",$AL725&amp;"|"&amp;COUNTIF($AL$11:$AL725,$AL725))</f>
        <v/>
      </c>
    </row>
    <row r="726" spans="23:53" ht="15" customHeight="1" x14ac:dyDescent="0.25">
      <c r="W726" s="28" t="str">
        <f>IF(X726="","",IFERROR(INDEX($AL$11:$AL$4010,MATCH(716,$AY$11:$AY$4010,0)),""))</f>
        <v/>
      </c>
      <c r="X726" s="26" t="str">
        <f>IFERROR(INDEX($AM$11:$AM$4010,MATCH(716,$AY$11:$AY$4010,0)),"")</f>
        <v/>
      </c>
      <c r="Y726" s="25" t="str">
        <f>IF(X726="","",IFERROR(INDEX($AN$11:$AN$4010,MATCH(716,$AY$11:$AY$4010,0)),""))</f>
        <v/>
      </c>
      <c r="Z726" s="25" t="str">
        <f>IF(X726="","",IFERROR(INDEX($AO$11:$AO$4010,MATCH(716,$AY$11:$AY$4010,0)),""))</f>
        <v/>
      </c>
      <c r="AA726" s="24" t="str">
        <f>IF(X726="","",IFERROR(INDEX($AQ$11:$AQ$4010,MATCH(716,$AY$11:$AY$4010,0)),""))</f>
        <v/>
      </c>
      <c r="AB726" s="29" t="str">
        <f>IF(X726="","",IFERROR(INDEX($AR$11:$AR$4010,MATCH(716,$AY$11:$AY$4010,0)),""))</f>
        <v/>
      </c>
      <c r="AD726" s="30" t="str">
        <f>IF(AE726="","",IFERROR(INDEX($AL$11:$AL$4010,MATCH(716,$AZ$11:$AZ$4010,0)),""))</f>
        <v/>
      </c>
      <c r="AE726" s="26" t="str">
        <f>IFERROR(INDEX($AM$11:$AM$4010,MATCH(716,$AZ$11:$AZ$4010,0)),"")</f>
        <v/>
      </c>
      <c r="AF726" s="25" t="str">
        <f>IF(AE726="","",IFERROR(INDEX($AN$11:$AN$4010,MATCH(716,$AZ$11:$AZ$4010,0)),""))</f>
        <v/>
      </c>
      <c r="AG726" s="25" t="str">
        <f>IF(AE726="","",IFERROR(INDEX($AO$11:$AO$4010,MATCH(716,$AZ$11:$AZ$4010,0)),""))</f>
        <v/>
      </c>
      <c r="AH726" s="24" t="str">
        <f>IF(AE726="","",IFERROR(INDEX($AQ$11:$AQ$4010,MATCH(716,$AZ$11:$AZ$4010,0)),""))</f>
        <v/>
      </c>
      <c r="AI726" s="29" t="str">
        <f>IF(AE726="","",IFERROR(INDEX($AR$11:$AR$4010,MATCH(716,$AZ$11:$AZ$4010,0)),""))</f>
        <v/>
      </c>
      <c r="AJ726" s="29" t="str">
        <f>IF(AE726="","",IFERROR(INDEX($AT$11:$AT$4010,MATCH(716,$AZ$11:$AZ$4010,0)),""))</f>
        <v/>
      </c>
      <c r="AL726" s="31"/>
      <c r="AM726" s="26"/>
      <c r="AN726" s="32"/>
      <c r="AO726" s="32"/>
      <c r="AP726" s="24"/>
      <c r="AQ726" s="24"/>
      <c r="AR726" s="33"/>
      <c r="AS726" s="34"/>
      <c r="AT726" s="33"/>
      <c r="AV726" s="21">
        <f>IF(AND($AL726&lt;&gt;"",COUNTIF($AL$11:$AL726,$AL726)=1),1,0)</f>
        <v>0</v>
      </c>
      <c r="AW726" s="21">
        <f t="shared" si="109"/>
        <v>0</v>
      </c>
      <c r="AX726" s="21" t="str">
        <f t="shared" si="108"/>
        <v/>
      </c>
      <c r="AY726" s="21" t="str">
        <f>IF(AND($AM726&lt;&gt;"",$AS726&lt;&gt;"✓"),SUMPRODUCT(($AM$11:$AM726&lt;&gt;"")*($AS$11:$AS726&lt;&gt;"✓")),"")</f>
        <v/>
      </c>
      <c r="AZ726" s="21" t="str">
        <f>IF(AND($AM726&lt;&gt;"",$AS726="✓"),SUMPRODUCT(($AM$11:$AM726&lt;&gt;"")*($AS$11:$AS726="✓")),"")</f>
        <v/>
      </c>
      <c r="BA726" s="21" t="str">
        <f>IF($AL726="","",$AL726&amp;"|"&amp;COUNTIF($AL$11:$AL726,$AL726))</f>
        <v/>
      </c>
    </row>
    <row r="727" spans="23:53" ht="15" customHeight="1" x14ac:dyDescent="0.25">
      <c r="W727" s="14" t="str">
        <f>IF(X727="","",IFERROR(INDEX($AL$11:$AL$4010,MATCH(717,$AY$11:$AY$4010,0)),""))</f>
        <v/>
      </c>
      <c r="X727" s="12" t="str">
        <f>IFERROR(INDEX($AM$11:$AM$4010,MATCH(717,$AY$11:$AY$4010,0)),"")</f>
        <v/>
      </c>
      <c r="Y727" s="11" t="str">
        <f>IF(X727="","",IFERROR(INDEX($AN$11:$AN$4010,MATCH(717,$AY$11:$AY$4010,0)),""))</f>
        <v/>
      </c>
      <c r="Z727" s="11" t="str">
        <f>IF(X727="","",IFERROR(INDEX($AO$11:$AO$4010,MATCH(717,$AY$11:$AY$4010,0)),""))</f>
        <v/>
      </c>
      <c r="AA727" s="10" t="str">
        <f>IF(X727="","",IFERROR(INDEX($AQ$11:$AQ$4010,MATCH(717,$AY$11:$AY$4010,0)),""))</f>
        <v/>
      </c>
      <c r="AB727" s="15" t="str">
        <f>IF(X727="","",IFERROR(INDEX($AR$11:$AR$4010,MATCH(717,$AY$11:$AY$4010,0)),""))</f>
        <v/>
      </c>
      <c r="AD727" s="16" t="str">
        <f>IF(AE727="","",IFERROR(INDEX($AL$11:$AL$4010,MATCH(717,$AZ$11:$AZ$4010,0)),""))</f>
        <v/>
      </c>
      <c r="AE727" s="12" t="str">
        <f>IFERROR(INDEX($AM$11:$AM$4010,MATCH(717,$AZ$11:$AZ$4010,0)),"")</f>
        <v/>
      </c>
      <c r="AF727" s="11" t="str">
        <f>IF(AE727="","",IFERROR(INDEX($AN$11:$AN$4010,MATCH(717,$AZ$11:$AZ$4010,0)),""))</f>
        <v/>
      </c>
      <c r="AG727" s="11" t="str">
        <f>IF(AE727="","",IFERROR(INDEX($AO$11:$AO$4010,MATCH(717,$AZ$11:$AZ$4010,0)),""))</f>
        <v/>
      </c>
      <c r="AH727" s="10" t="str">
        <f>IF(AE727="","",IFERROR(INDEX($AQ$11:$AQ$4010,MATCH(717,$AZ$11:$AZ$4010,0)),""))</f>
        <v/>
      </c>
      <c r="AI727" s="15" t="str">
        <f>IF(AE727="","",IFERROR(INDEX($AR$11:$AR$4010,MATCH(717,$AZ$11:$AZ$4010,0)),""))</f>
        <v/>
      </c>
      <c r="AJ727" s="15" t="str">
        <f>IF(AE727="","",IFERROR(INDEX($AT$11:$AT$4010,MATCH(717,$AZ$11:$AZ$4010,0)),""))</f>
        <v/>
      </c>
      <c r="AL727" s="17"/>
      <c r="AM727" s="12"/>
      <c r="AN727" s="18"/>
      <c r="AO727" s="18"/>
      <c r="AP727" s="10"/>
      <c r="AQ727" s="10"/>
      <c r="AR727" s="19"/>
      <c r="AS727" s="20"/>
      <c r="AT727" s="19"/>
      <c r="AV727" s="21">
        <f>IF(AND($AL727&lt;&gt;"",COUNTIF($AL$11:$AL727,$AL727)=1),1,0)</f>
        <v>0</v>
      </c>
      <c r="AW727" s="21">
        <f t="shared" si="109"/>
        <v>0</v>
      </c>
      <c r="AX727" s="21" t="str">
        <f t="shared" si="108"/>
        <v/>
      </c>
      <c r="AY727" s="21" t="str">
        <f>IF(AND($AM727&lt;&gt;"",$AS727&lt;&gt;"✓"),SUMPRODUCT(($AM$11:$AM727&lt;&gt;"")*($AS$11:$AS727&lt;&gt;"✓")),"")</f>
        <v/>
      </c>
      <c r="AZ727" s="21" t="str">
        <f>IF(AND($AM727&lt;&gt;"",$AS727="✓"),SUMPRODUCT(($AM$11:$AM727&lt;&gt;"")*($AS$11:$AS727="✓")),"")</f>
        <v/>
      </c>
      <c r="BA727" s="21" t="str">
        <f>IF($AL727="","",$AL727&amp;"|"&amp;COUNTIF($AL$11:$AL727,$AL727))</f>
        <v/>
      </c>
    </row>
    <row r="728" spans="23:53" ht="15" customHeight="1" x14ac:dyDescent="0.25">
      <c r="W728" s="28" t="str">
        <f>IF(X728="","",IFERROR(INDEX($AL$11:$AL$4010,MATCH(718,$AY$11:$AY$4010,0)),""))</f>
        <v/>
      </c>
      <c r="X728" s="26" t="str">
        <f>IFERROR(INDEX($AM$11:$AM$4010,MATCH(718,$AY$11:$AY$4010,0)),"")</f>
        <v/>
      </c>
      <c r="Y728" s="25" t="str">
        <f>IF(X728="","",IFERROR(INDEX($AN$11:$AN$4010,MATCH(718,$AY$11:$AY$4010,0)),""))</f>
        <v/>
      </c>
      <c r="Z728" s="25" t="str">
        <f>IF(X728="","",IFERROR(INDEX($AO$11:$AO$4010,MATCH(718,$AY$11:$AY$4010,0)),""))</f>
        <v/>
      </c>
      <c r="AA728" s="24" t="str">
        <f>IF(X728="","",IFERROR(INDEX($AQ$11:$AQ$4010,MATCH(718,$AY$11:$AY$4010,0)),""))</f>
        <v/>
      </c>
      <c r="AB728" s="29" t="str">
        <f>IF(X728="","",IFERROR(INDEX($AR$11:$AR$4010,MATCH(718,$AY$11:$AY$4010,0)),""))</f>
        <v/>
      </c>
      <c r="AD728" s="30" t="str">
        <f>IF(AE728="","",IFERROR(INDEX($AL$11:$AL$4010,MATCH(718,$AZ$11:$AZ$4010,0)),""))</f>
        <v/>
      </c>
      <c r="AE728" s="26" t="str">
        <f>IFERROR(INDEX($AM$11:$AM$4010,MATCH(718,$AZ$11:$AZ$4010,0)),"")</f>
        <v/>
      </c>
      <c r="AF728" s="25" t="str">
        <f>IF(AE728="","",IFERROR(INDEX($AN$11:$AN$4010,MATCH(718,$AZ$11:$AZ$4010,0)),""))</f>
        <v/>
      </c>
      <c r="AG728" s="25" t="str">
        <f>IF(AE728="","",IFERROR(INDEX($AO$11:$AO$4010,MATCH(718,$AZ$11:$AZ$4010,0)),""))</f>
        <v/>
      </c>
      <c r="AH728" s="24" t="str">
        <f>IF(AE728="","",IFERROR(INDEX($AQ$11:$AQ$4010,MATCH(718,$AZ$11:$AZ$4010,0)),""))</f>
        <v/>
      </c>
      <c r="AI728" s="29" t="str">
        <f>IF(AE728="","",IFERROR(INDEX($AR$11:$AR$4010,MATCH(718,$AZ$11:$AZ$4010,0)),""))</f>
        <v/>
      </c>
      <c r="AJ728" s="29" t="str">
        <f>IF(AE728="","",IFERROR(INDEX($AT$11:$AT$4010,MATCH(718,$AZ$11:$AZ$4010,0)),""))</f>
        <v/>
      </c>
      <c r="AL728" s="31"/>
      <c r="AM728" s="26"/>
      <c r="AN728" s="32"/>
      <c r="AO728" s="32"/>
      <c r="AP728" s="24"/>
      <c r="AQ728" s="24"/>
      <c r="AR728" s="33"/>
      <c r="AS728" s="34"/>
      <c r="AT728" s="33"/>
      <c r="AV728" s="21">
        <f>IF(AND($AL728&lt;&gt;"",COUNTIF($AL$11:$AL728,$AL728)=1),1,0)</f>
        <v>0</v>
      </c>
      <c r="AW728" s="21">
        <f t="shared" si="109"/>
        <v>0</v>
      </c>
      <c r="AX728" s="21" t="str">
        <f t="shared" si="108"/>
        <v/>
      </c>
      <c r="AY728" s="21" t="str">
        <f>IF(AND($AM728&lt;&gt;"",$AS728&lt;&gt;"✓"),SUMPRODUCT(($AM$11:$AM728&lt;&gt;"")*($AS$11:$AS728&lt;&gt;"✓")),"")</f>
        <v/>
      </c>
      <c r="AZ728" s="21" t="str">
        <f>IF(AND($AM728&lt;&gt;"",$AS728="✓"),SUMPRODUCT(($AM$11:$AM728&lt;&gt;"")*($AS$11:$AS728="✓")),"")</f>
        <v/>
      </c>
      <c r="BA728" s="21" t="str">
        <f>IF($AL728="","",$AL728&amp;"|"&amp;COUNTIF($AL$11:$AL728,$AL728))</f>
        <v/>
      </c>
    </row>
    <row r="729" spans="23:53" ht="15" customHeight="1" x14ac:dyDescent="0.25">
      <c r="W729" s="14" t="str">
        <f>IF(X729="","",IFERROR(INDEX($AL$11:$AL$4010,MATCH(719,$AY$11:$AY$4010,0)),""))</f>
        <v/>
      </c>
      <c r="X729" s="12" t="str">
        <f>IFERROR(INDEX($AM$11:$AM$4010,MATCH(719,$AY$11:$AY$4010,0)),"")</f>
        <v/>
      </c>
      <c r="Y729" s="11" t="str">
        <f>IF(X729="","",IFERROR(INDEX($AN$11:$AN$4010,MATCH(719,$AY$11:$AY$4010,0)),""))</f>
        <v/>
      </c>
      <c r="Z729" s="11" t="str">
        <f>IF(X729="","",IFERROR(INDEX($AO$11:$AO$4010,MATCH(719,$AY$11:$AY$4010,0)),""))</f>
        <v/>
      </c>
      <c r="AA729" s="10" t="str">
        <f>IF(X729="","",IFERROR(INDEX($AQ$11:$AQ$4010,MATCH(719,$AY$11:$AY$4010,0)),""))</f>
        <v/>
      </c>
      <c r="AB729" s="15" t="str">
        <f>IF(X729="","",IFERROR(INDEX($AR$11:$AR$4010,MATCH(719,$AY$11:$AY$4010,0)),""))</f>
        <v/>
      </c>
      <c r="AD729" s="16" t="str">
        <f>IF(AE729="","",IFERROR(INDEX($AL$11:$AL$4010,MATCH(719,$AZ$11:$AZ$4010,0)),""))</f>
        <v/>
      </c>
      <c r="AE729" s="12" t="str">
        <f>IFERROR(INDEX($AM$11:$AM$4010,MATCH(719,$AZ$11:$AZ$4010,0)),"")</f>
        <v/>
      </c>
      <c r="AF729" s="11" t="str">
        <f>IF(AE729="","",IFERROR(INDEX($AN$11:$AN$4010,MATCH(719,$AZ$11:$AZ$4010,0)),""))</f>
        <v/>
      </c>
      <c r="AG729" s="11" t="str">
        <f>IF(AE729="","",IFERROR(INDEX($AO$11:$AO$4010,MATCH(719,$AZ$11:$AZ$4010,0)),""))</f>
        <v/>
      </c>
      <c r="AH729" s="10" t="str">
        <f>IF(AE729="","",IFERROR(INDEX($AQ$11:$AQ$4010,MATCH(719,$AZ$11:$AZ$4010,0)),""))</f>
        <v/>
      </c>
      <c r="AI729" s="15" t="str">
        <f>IF(AE729="","",IFERROR(INDEX($AR$11:$AR$4010,MATCH(719,$AZ$11:$AZ$4010,0)),""))</f>
        <v/>
      </c>
      <c r="AJ729" s="15" t="str">
        <f>IF(AE729="","",IFERROR(INDEX($AT$11:$AT$4010,MATCH(719,$AZ$11:$AZ$4010,0)),""))</f>
        <v/>
      </c>
      <c r="AL729" s="17"/>
      <c r="AM729" s="12"/>
      <c r="AN729" s="18"/>
      <c r="AO729" s="18"/>
      <c r="AP729" s="10"/>
      <c r="AQ729" s="10"/>
      <c r="AR729" s="19"/>
      <c r="AS729" s="20"/>
      <c r="AT729" s="19"/>
      <c r="AV729" s="21">
        <f>IF(AND($AL729&lt;&gt;"",COUNTIF($AL$11:$AL729,$AL729)=1),1,0)</f>
        <v>0</v>
      </c>
      <c r="AW729" s="21">
        <f t="shared" si="109"/>
        <v>0</v>
      </c>
      <c r="AX729" s="21" t="str">
        <f t="shared" si="108"/>
        <v/>
      </c>
      <c r="AY729" s="21" t="str">
        <f>IF(AND($AM729&lt;&gt;"",$AS729&lt;&gt;"✓"),SUMPRODUCT(($AM$11:$AM729&lt;&gt;"")*($AS$11:$AS729&lt;&gt;"✓")),"")</f>
        <v/>
      </c>
      <c r="AZ729" s="21" t="str">
        <f>IF(AND($AM729&lt;&gt;"",$AS729="✓"),SUMPRODUCT(($AM$11:$AM729&lt;&gt;"")*($AS$11:$AS729="✓")),"")</f>
        <v/>
      </c>
      <c r="BA729" s="21" t="str">
        <f>IF($AL729="","",$AL729&amp;"|"&amp;COUNTIF($AL$11:$AL729,$AL729))</f>
        <v/>
      </c>
    </row>
    <row r="730" spans="23:53" ht="15" customHeight="1" x14ac:dyDescent="0.25">
      <c r="W730" s="28" t="str">
        <f>IF(X730="","",IFERROR(INDEX($AL$11:$AL$4010,MATCH(720,$AY$11:$AY$4010,0)),""))</f>
        <v/>
      </c>
      <c r="X730" s="26" t="str">
        <f>IFERROR(INDEX($AM$11:$AM$4010,MATCH(720,$AY$11:$AY$4010,0)),"")</f>
        <v/>
      </c>
      <c r="Y730" s="25" t="str">
        <f>IF(X730="","",IFERROR(INDEX($AN$11:$AN$4010,MATCH(720,$AY$11:$AY$4010,0)),""))</f>
        <v/>
      </c>
      <c r="Z730" s="25" t="str">
        <f>IF(X730="","",IFERROR(INDEX($AO$11:$AO$4010,MATCH(720,$AY$11:$AY$4010,0)),""))</f>
        <v/>
      </c>
      <c r="AA730" s="24" t="str">
        <f>IF(X730="","",IFERROR(INDEX($AQ$11:$AQ$4010,MATCH(720,$AY$11:$AY$4010,0)),""))</f>
        <v/>
      </c>
      <c r="AB730" s="29" t="str">
        <f>IF(X730="","",IFERROR(INDEX($AR$11:$AR$4010,MATCH(720,$AY$11:$AY$4010,0)),""))</f>
        <v/>
      </c>
      <c r="AD730" s="30" t="str">
        <f>IF(AE730="","",IFERROR(INDEX($AL$11:$AL$4010,MATCH(720,$AZ$11:$AZ$4010,0)),""))</f>
        <v/>
      </c>
      <c r="AE730" s="26" t="str">
        <f>IFERROR(INDEX($AM$11:$AM$4010,MATCH(720,$AZ$11:$AZ$4010,0)),"")</f>
        <v/>
      </c>
      <c r="AF730" s="25" t="str">
        <f>IF(AE730="","",IFERROR(INDEX($AN$11:$AN$4010,MATCH(720,$AZ$11:$AZ$4010,0)),""))</f>
        <v/>
      </c>
      <c r="AG730" s="25" t="str">
        <f>IF(AE730="","",IFERROR(INDEX($AO$11:$AO$4010,MATCH(720,$AZ$11:$AZ$4010,0)),""))</f>
        <v/>
      </c>
      <c r="AH730" s="24" t="str">
        <f>IF(AE730="","",IFERROR(INDEX($AQ$11:$AQ$4010,MATCH(720,$AZ$11:$AZ$4010,0)),""))</f>
        <v/>
      </c>
      <c r="AI730" s="29" t="str">
        <f>IF(AE730="","",IFERROR(INDEX($AR$11:$AR$4010,MATCH(720,$AZ$11:$AZ$4010,0)),""))</f>
        <v/>
      </c>
      <c r="AJ730" s="29" t="str">
        <f>IF(AE730="","",IFERROR(INDEX($AT$11:$AT$4010,MATCH(720,$AZ$11:$AZ$4010,0)),""))</f>
        <v/>
      </c>
      <c r="AL730" s="31"/>
      <c r="AM730" s="26"/>
      <c r="AN730" s="32"/>
      <c r="AO730" s="32"/>
      <c r="AP730" s="24"/>
      <c r="AQ730" s="24"/>
      <c r="AR730" s="33"/>
      <c r="AS730" s="34"/>
      <c r="AT730" s="33"/>
      <c r="AV730" s="21">
        <f>IF(AND($AL730&lt;&gt;"",COUNTIF($AL$11:$AL730,$AL730)=1),1,0)</f>
        <v>0</v>
      </c>
      <c r="AW730" s="21">
        <f t="shared" si="109"/>
        <v>0</v>
      </c>
      <c r="AX730" s="21" t="str">
        <f t="shared" si="108"/>
        <v/>
      </c>
      <c r="AY730" s="21" t="str">
        <f>IF(AND($AM730&lt;&gt;"",$AS730&lt;&gt;"✓"),SUMPRODUCT(($AM$11:$AM730&lt;&gt;"")*($AS$11:$AS730&lt;&gt;"✓")),"")</f>
        <v/>
      </c>
      <c r="AZ730" s="21" t="str">
        <f>IF(AND($AM730&lt;&gt;"",$AS730="✓"),SUMPRODUCT(($AM$11:$AM730&lt;&gt;"")*($AS$11:$AS730="✓")),"")</f>
        <v/>
      </c>
      <c r="BA730" s="21" t="str">
        <f>IF($AL730="","",$AL730&amp;"|"&amp;COUNTIF($AL$11:$AL730,$AL730))</f>
        <v/>
      </c>
    </row>
    <row r="731" spans="23:53" ht="15" customHeight="1" x14ac:dyDescent="0.25">
      <c r="W731" s="14" t="str">
        <f>IF(X731="","",IFERROR(INDEX($AL$11:$AL$4010,MATCH(721,$AY$11:$AY$4010,0)),""))</f>
        <v/>
      </c>
      <c r="X731" s="12" t="str">
        <f>IFERROR(INDEX($AM$11:$AM$4010,MATCH(721,$AY$11:$AY$4010,0)),"")</f>
        <v/>
      </c>
      <c r="Y731" s="11" t="str">
        <f>IF(X731="","",IFERROR(INDEX($AN$11:$AN$4010,MATCH(721,$AY$11:$AY$4010,0)),""))</f>
        <v/>
      </c>
      <c r="Z731" s="11" t="str">
        <f>IF(X731="","",IFERROR(INDEX($AO$11:$AO$4010,MATCH(721,$AY$11:$AY$4010,0)),""))</f>
        <v/>
      </c>
      <c r="AA731" s="10" t="str">
        <f>IF(X731="","",IFERROR(INDEX($AQ$11:$AQ$4010,MATCH(721,$AY$11:$AY$4010,0)),""))</f>
        <v/>
      </c>
      <c r="AB731" s="15" t="str">
        <f>IF(X731="","",IFERROR(INDEX($AR$11:$AR$4010,MATCH(721,$AY$11:$AY$4010,0)),""))</f>
        <v/>
      </c>
      <c r="AD731" s="16" t="str">
        <f>IF(AE731="","",IFERROR(INDEX($AL$11:$AL$4010,MATCH(721,$AZ$11:$AZ$4010,0)),""))</f>
        <v/>
      </c>
      <c r="AE731" s="12" t="str">
        <f>IFERROR(INDEX($AM$11:$AM$4010,MATCH(721,$AZ$11:$AZ$4010,0)),"")</f>
        <v/>
      </c>
      <c r="AF731" s="11" t="str">
        <f>IF(AE731="","",IFERROR(INDEX($AN$11:$AN$4010,MATCH(721,$AZ$11:$AZ$4010,0)),""))</f>
        <v/>
      </c>
      <c r="AG731" s="11" t="str">
        <f>IF(AE731="","",IFERROR(INDEX($AO$11:$AO$4010,MATCH(721,$AZ$11:$AZ$4010,0)),""))</f>
        <v/>
      </c>
      <c r="AH731" s="10" t="str">
        <f>IF(AE731="","",IFERROR(INDEX($AQ$11:$AQ$4010,MATCH(721,$AZ$11:$AZ$4010,0)),""))</f>
        <v/>
      </c>
      <c r="AI731" s="15" t="str">
        <f>IF(AE731="","",IFERROR(INDEX($AR$11:$AR$4010,MATCH(721,$AZ$11:$AZ$4010,0)),""))</f>
        <v/>
      </c>
      <c r="AJ731" s="15" t="str">
        <f>IF(AE731="","",IFERROR(INDEX($AT$11:$AT$4010,MATCH(721,$AZ$11:$AZ$4010,0)),""))</f>
        <v/>
      </c>
      <c r="AL731" s="17"/>
      <c r="AM731" s="12"/>
      <c r="AN731" s="18"/>
      <c r="AO731" s="18"/>
      <c r="AP731" s="10"/>
      <c r="AQ731" s="10"/>
      <c r="AR731" s="19"/>
      <c r="AS731" s="20"/>
      <c r="AT731" s="19"/>
      <c r="AV731" s="21">
        <f>IF(AND($AL731&lt;&gt;"",COUNTIF($AL$11:$AL731,$AL731)=1),1,0)</f>
        <v>0</v>
      </c>
      <c r="AW731" s="21">
        <f t="shared" si="109"/>
        <v>0</v>
      </c>
      <c r="AX731" s="21" t="str">
        <f t="shared" si="108"/>
        <v/>
      </c>
      <c r="AY731" s="21" t="str">
        <f>IF(AND($AM731&lt;&gt;"",$AS731&lt;&gt;"✓"),SUMPRODUCT(($AM$11:$AM731&lt;&gt;"")*($AS$11:$AS731&lt;&gt;"✓")),"")</f>
        <v/>
      </c>
      <c r="AZ731" s="21" t="str">
        <f>IF(AND($AM731&lt;&gt;"",$AS731="✓"),SUMPRODUCT(($AM$11:$AM731&lt;&gt;"")*($AS$11:$AS731="✓")),"")</f>
        <v/>
      </c>
      <c r="BA731" s="21" t="str">
        <f>IF($AL731="","",$AL731&amp;"|"&amp;COUNTIF($AL$11:$AL731,$AL731))</f>
        <v/>
      </c>
    </row>
    <row r="732" spans="23:53" ht="15" customHeight="1" x14ac:dyDescent="0.25">
      <c r="W732" s="28" t="str">
        <f>IF(X732="","",IFERROR(INDEX($AL$11:$AL$4010,MATCH(722,$AY$11:$AY$4010,0)),""))</f>
        <v/>
      </c>
      <c r="X732" s="26" t="str">
        <f>IFERROR(INDEX($AM$11:$AM$4010,MATCH(722,$AY$11:$AY$4010,0)),"")</f>
        <v/>
      </c>
      <c r="Y732" s="25" t="str">
        <f>IF(X732="","",IFERROR(INDEX($AN$11:$AN$4010,MATCH(722,$AY$11:$AY$4010,0)),""))</f>
        <v/>
      </c>
      <c r="Z732" s="25" t="str">
        <f>IF(X732="","",IFERROR(INDEX($AO$11:$AO$4010,MATCH(722,$AY$11:$AY$4010,0)),""))</f>
        <v/>
      </c>
      <c r="AA732" s="24" t="str">
        <f>IF(X732="","",IFERROR(INDEX($AQ$11:$AQ$4010,MATCH(722,$AY$11:$AY$4010,0)),""))</f>
        <v/>
      </c>
      <c r="AB732" s="29" t="str">
        <f>IF(X732="","",IFERROR(INDEX($AR$11:$AR$4010,MATCH(722,$AY$11:$AY$4010,0)),""))</f>
        <v/>
      </c>
      <c r="AD732" s="30" t="str">
        <f>IF(AE732="","",IFERROR(INDEX($AL$11:$AL$4010,MATCH(722,$AZ$11:$AZ$4010,0)),""))</f>
        <v/>
      </c>
      <c r="AE732" s="26" t="str">
        <f>IFERROR(INDEX($AM$11:$AM$4010,MATCH(722,$AZ$11:$AZ$4010,0)),"")</f>
        <v/>
      </c>
      <c r="AF732" s="25" t="str">
        <f>IF(AE732="","",IFERROR(INDEX($AN$11:$AN$4010,MATCH(722,$AZ$11:$AZ$4010,0)),""))</f>
        <v/>
      </c>
      <c r="AG732" s="25" t="str">
        <f>IF(AE732="","",IFERROR(INDEX($AO$11:$AO$4010,MATCH(722,$AZ$11:$AZ$4010,0)),""))</f>
        <v/>
      </c>
      <c r="AH732" s="24" t="str">
        <f>IF(AE732="","",IFERROR(INDEX($AQ$11:$AQ$4010,MATCH(722,$AZ$11:$AZ$4010,0)),""))</f>
        <v/>
      </c>
      <c r="AI732" s="29" t="str">
        <f>IF(AE732="","",IFERROR(INDEX($AR$11:$AR$4010,MATCH(722,$AZ$11:$AZ$4010,0)),""))</f>
        <v/>
      </c>
      <c r="AJ732" s="29" t="str">
        <f>IF(AE732="","",IFERROR(INDEX($AT$11:$AT$4010,MATCH(722,$AZ$11:$AZ$4010,0)),""))</f>
        <v/>
      </c>
      <c r="AL732" s="31"/>
      <c r="AM732" s="26"/>
      <c r="AN732" s="32"/>
      <c r="AO732" s="32"/>
      <c r="AP732" s="24"/>
      <c r="AQ732" s="24"/>
      <c r="AR732" s="33"/>
      <c r="AS732" s="34"/>
      <c r="AT732" s="33"/>
      <c r="AV732" s="21">
        <f>IF(AND($AL732&lt;&gt;"",COUNTIF($AL$11:$AL732,$AL732)=1),1,0)</f>
        <v>0</v>
      </c>
      <c r="AW732" s="21">
        <f t="shared" si="109"/>
        <v>0</v>
      </c>
      <c r="AX732" s="21" t="str">
        <f t="shared" si="108"/>
        <v/>
      </c>
      <c r="AY732" s="21" t="str">
        <f>IF(AND($AM732&lt;&gt;"",$AS732&lt;&gt;"✓"),SUMPRODUCT(($AM$11:$AM732&lt;&gt;"")*($AS$11:$AS732&lt;&gt;"✓")),"")</f>
        <v/>
      </c>
      <c r="AZ732" s="21" t="str">
        <f>IF(AND($AM732&lt;&gt;"",$AS732="✓"),SUMPRODUCT(($AM$11:$AM732&lt;&gt;"")*($AS$11:$AS732="✓")),"")</f>
        <v/>
      </c>
      <c r="BA732" s="21" t="str">
        <f>IF($AL732="","",$AL732&amp;"|"&amp;COUNTIF($AL$11:$AL732,$AL732))</f>
        <v/>
      </c>
    </row>
    <row r="733" spans="23:53" ht="15" customHeight="1" x14ac:dyDescent="0.25">
      <c r="W733" s="14" t="str">
        <f>IF(X733="","",IFERROR(INDEX($AL$11:$AL$4010,MATCH(723,$AY$11:$AY$4010,0)),""))</f>
        <v/>
      </c>
      <c r="X733" s="12" t="str">
        <f>IFERROR(INDEX($AM$11:$AM$4010,MATCH(723,$AY$11:$AY$4010,0)),"")</f>
        <v/>
      </c>
      <c r="Y733" s="11" t="str">
        <f>IF(X733="","",IFERROR(INDEX($AN$11:$AN$4010,MATCH(723,$AY$11:$AY$4010,0)),""))</f>
        <v/>
      </c>
      <c r="Z733" s="11" t="str">
        <f>IF(X733="","",IFERROR(INDEX($AO$11:$AO$4010,MATCH(723,$AY$11:$AY$4010,0)),""))</f>
        <v/>
      </c>
      <c r="AA733" s="10" t="str">
        <f>IF(X733="","",IFERROR(INDEX($AQ$11:$AQ$4010,MATCH(723,$AY$11:$AY$4010,0)),""))</f>
        <v/>
      </c>
      <c r="AB733" s="15" t="str">
        <f>IF(X733="","",IFERROR(INDEX($AR$11:$AR$4010,MATCH(723,$AY$11:$AY$4010,0)),""))</f>
        <v/>
      </c>
      <c r="AD733" s="16" t="str">
        <f>IF(AE733="","",IFERROR(INDEX($AL$11:$AL$4010,MATCH(723,$AZ$11:$AZ$4010,0)),""))</f>
        <v/>
      </c>
      <c r="AE733" s="12" t="str">
        <f>IFERROR(INDEX($AM$11:$AM$4010,MATCH(723,$AZ$11:$AZ$4010,0)),"")</f>
        <v/>
      </c>
      <c r="AF733" s="11" t="str">
        <f>IF(AE733="","",IFERROR(INDEX($AN$11:$AN$4010,MATCH(723,$AZ$11:$AZ$4010,0)),""))</f>
        <v/>
      </c>
      <c r="AG733" s="11" t="str">
        <f>IF(AE733="","",IFERROR(INDEX($AO$11:$AO$4010,MATCH(723,$AZ$11:$AZ$4010,0)),""))</f>
        <v/>
      </c>
      <c r="AH733" s="10" t="str">
        <f>IF(AE733="","",IFERROR(INDEX($AQ$11:$AQ$4010,MATCH(723,$AZ$11:$AZ$4010,0)),""))</f>
        <v/>
      </c>
      <c r="AI733" s="15" t="str">
        <f>IF(AE733="","",IFERROR(INDEX($AR$11:$AR$4010,MATCH(723,$AZ$11:$AZ$4010,0)),""))</f>
        <v/>
      </c>
      <c r="AJ733" s="15" t="str">
        <f>IF(AE733="","",IFERROR(INDEX($AT$11:$AT$4010,MATCH(723,$AZ$11:$AZ$4010,0)),""))</f>
        <v/>
      </c>
      <c r="AL733" s="17"/>
      <c r="AM733" s="12"/>
      <c r="AN733" s="18"/>
      <c r="AO733" s="18"/>
      <c r="AP733" s="10"/>
      <c r="AQ733" s="10"/>
      <c r="AR733" s="19"/>
      <c r="AS733" s="20"/>
      <c r="AT733" s="19"/>
      <c r="AV733" s="21">
        <f>IF(AND($AL733&lt;&gt;"",COUNTIF($AL$11:$AL733,$AL733)=1),1,0)</f>
        <v>0</v>
      </c>
      <c r="AW733" s="21">
        <f t="shared" si="109"/>
        <v>0</v>
      </c>
      <c r="AX733" s="21" t="str">
        <f t="shared" si="108"/>
        <v/>
      </c>
      <c r="AY733" s="21" t="str">
        <f>IF(AND($AM733&lt;&gt;"",$AS733&lt;&gt;"✓"),SUMPRODUCT(($AM$11:$AM733&lt;&gt;"")*($AS$11:$AS733&lt;&gt;"✓")),"")</f>
        <v/>
      </c>
      <c r="AZ733" s="21" t="str">
        <f>IF(AND($AM733&lt;&gt;"",$AS733="✓"),SUMPRODUCT(($AM$11:$AM733&lt;&gt;"")*($AS$11:$AS733="✓")),"")</f>
        <v/>
      </c>
      <c r="BA733" s="21" t="str">
        <f>IF($AL733="","",$AL733&amp;"|"&amp;COUNTIF($AL$11:$AL733,$AL733))</f>
        <v/>
      </c>
    </row>
    <row r="734" spans="23:53" ht="15" customHeight="1" x14ac:dyDescent="0.25">
      <c r="W734" s="28" t="str">
        <f>IF(X734="","",IFERROR(INDEX($AL$11:$AL$4010,MATCH(724,$AY$11:$AY$4010,0)),""))</f>
        <v/>
      </c>
      <c r="X734" s="26" t="str">
        <f>IFERROR(INDEX($AM$11:$AM$4010,MATCH(724,$AY$11:$AY$4010,0)),"")</f>
        <v/>
      </c>
      <c r="Y734" s="25" t="str">
        <f>IF(X734="","",IFERROR(INDEX($AN$11:$AN$4010,MATCH(724,$AY$11:$AY$4010,0)),""))</f>
        <v/>
      </c>
      <c r="Z734" s="25" t="str">
        <f>IF(X734="","",IFERROR(INDEX($AO$11:$AO$4010,MATCH(724,$AY$11:$AY$4010,0)),""))</f>
        <v/>
      </c>
      <c r="AA734" s="24" t="str">
        <f>IF(X734="","",IFERROR(INDEX($AQ$11:$AQ$4010,MATCH(724,$AY$11:$AY$4010,0)),""))</f>
        <v/>
      </c>
      <c r="AB734" s="29" t="str">
        <f>IF(X734="","",IFERROR(INDEX($AR$11:$AR$4010,MATCH(724,$AY$11:$AY$4010,0)),""))</f>
        <v/>
      </c>
      <c r="AD734" s="30" t="str">
        <f>IF(AE734="","",IFERROR(INDEX($AL$11:$AL$4010,MATCH(724,$AZ$11:$AZ$4010,0)),""))</f>
        <v/>
      </c>
      <c r="AE734" s="26" t="str">
        <f>IFERROR(INDEX($AM$11:$AM$4010,MATCH(724,$AZ$11:$AZ$4010,0)),"")</f>
        <v/>
      </c>
      <c r="AF734" s="25" t="str">
        <f>IF(AE734="","",IFERROR(INDEX($AN$11:$AN$4010,MATCH(724,$AZ$11:$AZ$4010,0)),""))</f>
        <v/>
      </c>
      <c r="AG734" s="25" t="str">
        <f>IF(AE734="","",IFERROR(INDEX($AO$11:$AO$4010,MATCH(724,$AZ$11:$AZ$4010,0)),""))</f>
        <v/>
      </c>
      <c r="AH734" s="24" t="str">
        <f>IF(AE734="","",IFERROR(INDEX($AQ$11:$AQ$4010,MATCH(724,$AZ$11:$AZ$4010,0)),""))</f>
        <v/>
      </c>
      <c r="AI734" s="29" t="str">
        <f>IF(AE734="","",IFERROR(INDEX($AR$11:$AR$4010,MATCH(724,$AZ$11:$AZ$4010,0)),""))</f>
        <v/>
      </c>
      <c r="AJ734" s="29" t="str">
        <f>IF(AE734="","",IFERROR(INDEX($AT$11:$AT$4010,MATCH(724,$AZ$11:$AZ$4010,0)),""))</f>
        <v/>
      </c>
      <c r="AL734" s="31"/>
      <c r="AM734" s="26"/>
      <c r="AN734" s="32"/>
      <c r="AO734" s="32"/>
      <c r="AP734" s="24"/>
      <c r="AQ734" s="24"/>
      <c r="AR734" s="33"/>
      <c r="AS734" s="34"/>
      <c r="AT734" s="33"/>
      <c r="AV734" s="21">
        <f>IF(AND($AL734&lt;&gt;"",COUNTIF($AL$11:$AL734,$AL734)=1),1,0)</f>
        <v>0</v>
      </c>
      <c r="AW734" s="21">
        <f t="shared" si="109"/>
        <v>0</v>
      </c>
      <c r="AX734" s="21" t="str">
        <f t="shared" si="108"/>
        <v/>
      </c>
      <c r="AY734" s="21" t="str">
        <f>IF(AND($AM734&lt;&gt;"",$AS734&lt;&gt;"✓"),SUMPRODUCT(($AM$11:$AM734&lt;&gt;"")*($AS$11:$AS734&lt;&gt;"✓")),"")</f>
        <v/>
      </c>
      <c r="AZ734" s="21" t="str">
        <f>IF(AND($AM734&lt;&gt;"",$AS734="✓"),SUMPRODUCT(($AM$11:$AM734&lt;&gt;"")*($AS$11:$AS734="✓")),"")</f>
        <v/>
      </c>
      <c r="BA734" s="21" t="str">
        <f>IF($AL734="","",$AL734&amp;"|"&amp;COUNTIF($AL$11:$AL734,$AL734))</f>
        <v/>
      </c>
    </row>
    <row r="735" spans="23:53" ht="15" customHeight="1" x14ac:dyDescent="0.25">
      <c r="W735" s="14" t="str">
        <f>IF(X735="","",IFERROR(INDEX($AL$11:$AL$4010,MATCH(725,$AY$11:$AY$4010,0)),""))</f>
        <v/>
      </c>
      <c r="X735" s="12" t="str">
        <f>IFERROR(INDEX($AM$11:$AM$4010,MATCH(725,$AY$11:$AY$4010,0)),"")</f>
        <v/>
      </c>
      <c r="Y735" s="11" t="str">
        <f>IF(X735="","",IFERROR(INDEX($AN$11:$AN$4010,MATCH(725,$AY$11:$AY$4010,0)),""))</f>
        <v/>
      </c>
      <c r="Z735" s="11" t="str">
        <f>IF(X735="","",IFERROR(INDEX($AO$11:$AO$4010,MATCH(725,$AY$11:$AY$4010,0)),""))</f>
        <v/>
      </c>
      <c r="AA735" s="10" t="str">
        <f>IF(X735="","",IFERROR(INDEX($AQ$11:$AQ$4010,MATCH(725,$AY$11:$AY$4010,0)),""))</f>
        <v/>
      </c>
      <c r="AB735" s="15" t="str">
        <f>IF(X735="","",IFERROR(INDEX($AR$11:$AR$4010,MATCH(725,$AY$11:$AY$4010,0)),""))</f>
        <v/>
      </c>
      <c r="AD735" s="16" t="str">
        <f>IF(AE735="","",IFERROR(INDEX($AL$11:$AL$4010,MATCH(725,$AZ$11:$AZ$4010,0)),""))</f>
        <v/>
      </c>
      <c r="AE735" s="12" t="str">
        <f>IFERROR(INDEX($AM$11:$AM$4010,MATCH(725,$AZ$11:$AZ$4010,0)),"")</f>
        <v/>
      </c>
      <c r="AF735" s="11" t="str">
        <f>IF(AE735="","",IFERROR(INDEX($AN$11:$AN$4010,MATCH(725,$AZ$11:$AZ$4010,0)),""))</f>
        <v/>
      </c>
      <c r="AG735" s="11" t="str">
        <f>IF(AE735="","",IFERROR(INDEX($AO$11:$AO$4010,MATCH(725,$AZ$11:$AZ$4010,0)),""))</f>
        <v/>
      </c>
      <c r="AH735" s="10" t="str">
        <f>IF(AE735="","",IFERROR(INDEX($AQ$11:$AQ$4010,MATCH(725,$AZ$11:$AZ$4010,0)),""))</f>
        <v/>
      </c>
      <c r="AI735" s="15" t="str">
        <f>IF(AE735="","",IFERROR(INDEX($AR$11:$AR$4010,MATCH(725,$AZ$11:$AZ$4010,0)),""))</f>
        <v/>
      </c>
      <c r="AJ735" s="15" t="str">
        <f>IF(AE735="","",IFERROR(INDEX($AT$11:$AT$4010,MATCH(725,$AZ$11:$AZ$4010,0)),""))</f>
        <v/>
      </c>
      <c r="AL735" s="17"/>
      <c r="AM735" s="12"/>
      <c r="AN735" s="18"/>
      <c r="AO735" s="18"/>
      <c r="AP735" s="10"/>
      <c r="AQ735" s="10"/>
      <c r="AR735" s="19"/>
      <c r="AS735" s="20"/>
      <c r="AT735" s="19"/>
      <c r="AV735" s="21">
        <f>IF(AND($AL735&lt;&gt;"",COUNTIF($AL$11:$AL735,$AL735)=1),1,0)</f>
        <v>0</v>
      </c>
      <c r="AW735" s="21">
        <f t="shared" si="109"/>
        <v>0</v>
      </c>
      <c r="AX735" s="21" t="str">
        <f t="shared" si="108"/>
        <v/>
      </c>
      <c r="AY735" s="21" t="str">
        <f>IF(AND($AM735&lt;&gt;"",$AS735&lt;&gt;"✓"),SUMPRODUCT(($AM$11:$AM735&lt;&gt;"")*($AS$11:$AS735&lt;&gt;"✓")),"")</f>
        <v/>
      </c>
      <c r="AZ735" s="21" t="str">
        <f>IF(AND($AM735&lt;&gt;"",$AS735="✓"),SUMPRODUCT(($AM$11:$AM735&lt;&gt;"")*($AS$11:$AS735="✓")),"")</f>
        <v/>
      </c>
      <c r="BA735" s="21" t="str">
        <f>IF($AL735="","",$AL735&amp;"|"&amp;COUNTIF($AL$11:$AL735,$AL735))</f>
        <v/>
      </c>
    </row>
    <row r="736" spans="23:53" ht="15" customHeight="1" x14ac:dyDescent="0.25">
      <c r="W736" s="28" t="str">
        <f>IF(X736="","",IFERROR(INDEX($AL$11:$AL$4010,MATCH(726,$AY$11:$AY$4010,0)),""))</f>
        <v/>
      </c>
      <c r="X736" s="26" t="str">
        <f>IFERROR(INDEX($AM$11:$AM$4010,MATCH(726,$AY$11:$AY$4010,0)),"")</f>
        <v/>
      </c>
      <c r="Y736" s="25" t="str">
        <f>IF(X736="","",IFERROR(INDEX($AN$11:$AN$4010,MATCH(726,$AY$11:$AY$4010,0)),""))</f>
        <v/>
      </c>
      <c r="Z736" s="25" t="str">
        <f>IF(X736="","",IFERROR(INDEX($AO$11:$AO$4010,MATCH(726,$AY$11:$AY$4010,0)),""))</f>
        <v/>
      </c>
      <c r="AA736" s="24" t="str">
        <f>IF(X736="","",IFERROR(INDEX($AQ$11:$AQ$4010,MATCH(726,$AY$11:$AY$4010,0)),""))</f>
        <v/>
      </c>
      <c r="AB736" s="29" t="str">
        <f>IF(X736="","",IFERROR(INDEX($AR$11:$AR$4010,MATCH(726,$AY$11:$AY$4010,0)),""))</f>
        <v/>
      </c>
      <c r="AD736" s="30" t="str">
        <f>IF(AE736="","",IFERROR(INDEX($AL$11:$AL$4010,MATCH(726,$AZ$11:$AZ$4010,0)),""))</f>
        <v/>
      </c>
      <c r="AE736" s="26" t="str">
        <f>IFERROR(INDEX($AM$11:$AM$4010,MATCH(726,$AZ$11:$AZ$4010,0)),"")</f>
        <v/>
      </c>
      <c r="AF736" s="25" t="str">
        <f>IF(AE736="","",IFERROR(INDEX($AN$11:$AN$4010,MATCH(726,$AZ$11:$AZ$4010,0)),""))</f>
        <v/>
      </c>
      <c r="AG736" s="25" t="str">
        <f>IF(AE736="","",IFERROR(INDEX($AO$11:$AO$4010,MATCH(726,$AZ$11:$AZ$4010,0)),""))</f>
        <v/>
      </c>
      <c r="AH736" s="24" t="str">
        <f>IF(AE736="","",IFERROR(INDEX($AQ$11:$AQ$4010,MATCH(726,$AZ$11:$AZ$4010,0)),""))</f>
        <v/>
      </c>
      <c r="AI736" s="29" t="str">
        <f>IF(AE736="","",IFERROR(INDEX($AR$11:$AR$4010,MATCH(726,$AZ$11:$AZ$4010,0)),""))</f>
        <v/>
      </c>
      <c r="AJ736" s="29" t="str">
        <f>IF(AE736="","",IFERROR(INDEX($AT$11:$AT$4010,MATCH(726,$AZ$11:$AZ$4010,0)),""))</f>
        <v/>
      </c>
      <c r="AL736" s="31"/>
      <c r="AM736" s="26"/>
      <c r="AN736" s="32"/>
      <c r="AO736" s="32"/>
      <c r="AP736" s="24"/>
      <c r="AQ736" s="24"/>
      <c r="AR736" s="33"/>
      <c r="AS736" s="34"/>
      <c r="AT736" s="33"/>
      <c r="AV736" s="21">
        <f>IF(AND($AL736&lt;&gt;"",COUNTIF($AL$11:$AL736,$AL736)=1),1,0)</f>
        <v>0</v>
      </c>
      <c r="AW736" s="21">
        <f t="shared" si="109"/>
        <v>0</v>
      </c>
      <c r="AX736" s="21" t="str">
        <f t="shared" si="108"/>
        <v/>
      </c>
      <c r="AY736" s="21" t="str">
        <f>IF(AND($AM736&lt;&gt;"",$AS736&lt;&gt;"✓"),SUMPRODUCT(($AM$11:$AM736&lt;&gt;"")*($AS$11:$AS736&lt;&gt;"✓")),"")</f>
        <v/>
      </c>
      <c r="AZ736" s="21" t="str">
        <f>IF(AND($AM736&lt;&gt;"",$AS736="✓"),SUMPRODUCT(($AM$11:$AM736&lt;&gt;"")*($AS$11:$AS736="✓")),"")</f>
        <v/>
      </c>
      <c r="BA736" s="21" t="str">
        <f>IF($AL736="","",$AL736&amp;"|"&amp;COUNTIF($AL$11:$AL736,$AL736))</f>
        <v/>
      </c>
    </row>
    <row r="737" spans="23:53" ht="15" customHeight="1" x14ac:dyDescent="0.25">
      <c r="W737" s="14" t="str">
        <f>IF(X737="","",IFERROR(INDEX($AL$11:$AL$4010,MATCH(727,$AY$11:$AY$4010,0)),""))</f>
        <v/>
      </c>
      <c r="X737" s="12" t="str">
        <f>IFERROR(INDEX($AM$11:$AM$4010,MATCH(727,$AY$11:$AY$4010,0)),"")</f>
        <v/>
      </c>
      <c r="Y737" s="11" t="str">
        <f>IF(X737="","",IFERROR(INDEX($AN$11:$AN$4010,MATCH(727,$AY$11:$AY$4010,0)),""))</f>
        <v/>
      </c>
      <c r="Z737" s="11" t="str">
        <f>IF(X737="","",IFERROR(INDEX($AO$11:$AO$4010,MATCH(727,$AY$11:$AY$4010,0)),""))</f>
        <v/>
      </c>
      <c r="AA737" s="10" t="str">
        <f>IF(X737="","",IFERROR(INDEX($AQ$11:$AQ$4010,MATCH(727,$AY$11:$AY$4010,0)),""))</f>
        <v/>
      </c>
      <c r="AB737" s="15" t="str">
        <f>IF(X737="","",IFERROR(INDEX($AR$11:$AR$4010,MATCH(727,$AY$11:$AY$4010,0)),""))</f>
        <v/>
      </c>
      <c r="AD737" s="16" t="str">
        <f>IF(AE737="","",IFERROR(INDEX($AL$11:$AL$4010,MATCH(727,$AZ$11:$AZ$4010,0)),""))</f>
        <v/>
      </c>
      <c r="AE737" s="12" t="str">
        <f>IFERROR(INDEX($AM$11:$AM$4010,MATCH(727,$AZ$11:$AZ$4010,0)),"")</f>
        <v/>
      </c>
      <c r="AF737" s="11" t="str">
        <f>IF(AE737="","",IFERROR(INDEX($AN$11:$AN$4010,MATCH(727,$AZ$11:$AZ$4010,0)),""))</f>
        <v/>
      </c>
      <c r="AG737" s="11" t="str">
        <f>IF(AE737="","",IFERROR(INDEX($AO$11:$AO$4010,MATCH(727,$AZ$11:$AZ$4010,0)),""))</f>
        <v/>
      </c>
      <c r="AH737" s="10" t="str">
        <f>IF(AE737="","",IFERROR(INDEX($AQ$11:$AQ$4010,MATCH(727,$AZ$11:$AZ$4010,0)),""))</f>
        <v/>
      </c>
      <c r="AI737" s="15" t="str">
        <f>IF(AE737="","",IFERROR(INDEX($AR$11:$AR$4010,MATCH(727,$AZ$11:$AZ$4010,0)),""))</f>
        <v/>
      </c>
      <c r="AJ737" s="15" t="str">
        <f>IF(AE737="","",IFERROR(INDEX($AT$11:$AT$4010,MATCH(727,$AZ$11:$AZ$4010,0)),""))</f>
        <v/>
      </c>
      <c r="AL737" s="17"/>
      <c r="AM737" s="12"/>
      <c r="AN737" s="18"/>
      <c r="AO737" s="18"/>
      <c r="AP737" s="10"/>
      <c r="AQ737" s="10"/>
      <c r="AR737" s="19"/>
      <c r="AS737" s="20"/>
      <c r="AT737" s="19"/>
      <c r="AV737" s="21">
        <f>IF(AND($AL737&lt;&gt;"",COUNTIF($AL$11:$AL737,$AL737)=1),1,0)</f>
        <v>0</v>
      </c>
      <c r="AW737" s="21">
        <f t="shared" si="109"/>
        <v>0</v>
      </c>
      <c r="AX737" s="21" t="str">
        <f t="shared" si="108"/>
        <v/>
      </c>
      <c r="AY737" s="21" t="str">
        <f>IF(AND($AM737&lt;&gt;"",$AS737&lt;&gt;"✓"),SUMPRODUCT(($AM$11:$AM737&lt;&gt;"")*($AS$11:$AS737&lt;&gt;"✓")),"")</f>
        <v/>
      </c>
      <c r="AZ737" s="21" t="str">
        <f>IF(AND($AM737&lt;&gt;"",$AS737="✓"),SUMPRODUCT(($AM$11:$AM737&lt;&gt;"")*($AS$11:$AS737="✓")),"")</f>
        <v/>
      </c>
      <c r="BA737" s="21" t="str">
        <f>IF($AL737="","",$AL737&amp;"|"&amp;COUNTIF($AL$11:$AL737,$AL737))</f>
        <v/>
      </c>
    </row>
    <row r="738" spans="23:53" ht="15" customHeight="1" x14ac:dyDescent="0.25">
      <c r="W738" s="28" t="str">
        <f>IF(X738="","",IFERROR(INDEX($AL$11:$AL$4010,MATCH(728,$AY$11:$AY$4010,0)),""))</f>
        <v/>
      </c>
      <c r="X738" s="26" t="str">
        <f>IFERROR(INDEX($AM$11:$AM$4010,MATCH(728,$AY$11:$AY$4010,0)),"")</f>
        <v/>
      </c>
      <c r="Y738" s="25" t="str">
        <f>IF(X738="","",IFERROR(INDEX($AN$11:$AN$4010,MATCH(728,$AY$11:$AY$4010,0)),""))</f>
        <v/>
      </c>
      <c r="Z738" s="25" t="str">
        <f>IF(X738="","",IFERROR(INDEX($AO$11:$AO$4010,MATCH(728,$AY$11:$AY$4010,0)),""))</f>
        <v/>
      </c>
      <c r="AA738" s="24" t="str">
        <f>IF(X738="","",IFERROR(INDEX($AQ$11:$AQ$4010,MATCH(728,$AY$11:$AY$4010,0)),""))</f>
        <v/>
      </c>
      <c r="AB738" s="29" t="str">
        <f>IF(X738="","",IFERROR(INDEX($AR$11:$AR$4010,MATCH(728,$AY$11:$AY$4010,0)),""))</f>
        <v/>
      </c>
      <c r="AD738" s="30" t="str">
        <f>IF(AE738="","",IFERROR(INDEX($AL$11:$AL$4010,MATCH(728,$AZ$11:$AZ$4010,0)),""))</f>
        <v/>
      </c>
      <c r="AE738" s="26" t="str">
        <f>IFERROR(INDEX($AM$11:$AM$4010,MATCH(728,$AZ$11:$AZ$4010,0)),"")</f>
        <v/>
      </c>
      <c r="AF738" s="25" t="str">
        <f>IF(AE738="","",IFERROR(INDEX($AN$11:$AN$4010,MATCH(728,$AZ$11:$AZ$4010,0)),""))</f>
        <v/>
      </c>
      <c r="AG738" s="25" t="str">
        <f>IF(AE738="","",IFERROR(INDEX($AO$11:$AO$4010,MATCH(728,$AZ$11:$AZ$4010,0)),""))</f>
        <v/>
      </c>
      <c r="AH738" s="24" t="str">
        <f>IF(AE738="","",IFERROR(INDEX($AQ$11:$AQ$4010,MATCH(728,$AZ$11:$AZ$4010,0)),""))</f>
        <v/>
      </c>
      <c r="AI738" s="29" t="str">
        <f>IF(AE738="","",IFERROR(INDEX($AR$11:$AR$4010,MATCH(728,$AZ$11:$AZ$4010,0)),""))</f>
        <v/>
      </c>
      <c r="AJ738" s="29" t="str">
        <f>IF(AE738="","",IFERROR(INDEX($AT$11:$AT$4010,MATCH(728,$AZ$11:$AZ$4010,0)),""))</f>
        <v/>
      </c>
      <c r="AL738" s="31"/>
      <c r="AM738" s="26"/>
      <c r="AN738" s="32"/>
      <c r="AO738" s="32"/>
      <c r="AP738" s="24"/>
      <c r="AQ738" s="24"/>
      <c r="AR738" s="33"/>
      <c r="AS738" s="34"/>
      <c r="AT738" s="33"/>
      <c r="AV738" s="21">
        <f>IF(AND($AL738&lt;&gt;"",COUNTIF($AL$11:$AL738,$AL738)=1),1,0)</f>
        <v>0</v>
      </c>
      <c r="AW738" s="21">
        <f t="shared" si="109"/>
        <v>0</v>
      </c>
      <c r="AX738" s="21" t="str">
        <f t="shared" si="108"/>
        <v/>
      </c>
      <c r="AY738" s="21" t="str">
        <f>IF(AND($AM738&lt;&gt;"",$AS738&lt;&gt;"✓"),SUMPRODUCT(($AM$11:$AM738&lt;&gt;"")*($AS$11:$AS738&lt;&gt;"✓")),"")</f>
        <v/>
      </c>
      <c r="AZ738" s="21" t="str">
        <f>IF(AND($AM738&lt;&gt;"",$AS738="✓"),SUMPRODUCT(($AM$11:$AM738&lt;&gt;"")*($AS$11:$AS738="✓")),"")</f>
        <v/>
      </c>
      <c r="BA738" s="21" t="str">
        <f>IF($AL738="","",$AL738&amp;"|"&amp;COUNTIF($AL$11:$AL738,$AL738))</f>
        <v/>
      </c>
    </row>
    <row r="739" spans="23:53" ht="15" customHeight="1" x14ac:dyDescent="0.25">
      <c r="W739" s="14" t="str">
        <f>IF(X739="","",IFERROR(INDEX($AL$11:$AL$4010,MATCH(729,$AY$11:$AY$4010,0)),""))</f>
        <v/>
      </c>
      <c r="X739" s="12" t="str">
        <f>IFERROR(INDEX($AM$11:$AM$4010,MATCH(729,$AY$11:$AY$4010,0)),"")</f>
        <v/>
      </c>
      <c r="Y739" s="11" t="str">
        <f>IF(X739="","",IFERROR(INDEX($AN$11:$AN$4010,MATCH(729,$AY$11:$AY$4010,0)),""))</f>
        <v/>
      </c>
      <c r="Z739" s="11" t="str">
        <f>IF(X739="","",IFERROR(INDEX($AO$11:$AO$4010,MATCH(729,$AY$11:$AY$4010,0)),""))</f>
        <v/>
      </c>
      <c r="AA739" s="10" t="str">
        <f>IF(X739="","",IFERROR(INDEX($AQ$11:$AQ$4010,MATCH(729,$AY$11:$AY$4010,0)),""))</f>
        <v/>
      </c>
      <c r="AB739" s="15" t="str">
        <f>IF(X739="","",IFERROR(INDEX($AR$11:$AR$4010,MATCH(729,$AY$11:$AY$4010,0)),""))</f>
        <v/>
      </c>
      <c r="AD739" s="16" t="str">
        <f>IF(AE739="","",IFERROR(INDEX($AL$11:$AL$4010,MATCH(729,$AZ$11:$AZ$4010,0)),""))</f>
        <v/>
      </c>
      <c r="AE739" s="12" t="str">
        <f>IFERROR(INDEX($AM$11:$AM$4010,MATCH(729,$AZ$11:$AZ$4010,0)),"")</f>
        <v/>
      </c>
      <c r="AF739" s="11" t="str">
        <f>IF(AE739="","",IFERROR(INDEX($AN$11:$AN$4010,MATCH(729,$AZ$11:$AZ$4010,0)),""))</f>
        <v/>
      </c>
      <c r="AG739" s="11" t="str">
        <f>IF(AE739="","",IFERROR(INDEX($AO$11:$AO$4010,MATCH(729,$AZ$11:$AZ$4010,0)),""))</f>
        <v/>
      </c>
      <c r="AH739" s="10" t="str">
        <f>IF(AE739="","",IFERROR(INDEX($AQ$11:$AQ$4010,MATCH(729,$AZ$11:$AZ$4010,0)),""))</f>
        <v/>
      </c>
      <c r="AI739" s="15" t="str">
        <f>IF(AE739="","",IFERROR(INDEX($AR$11:$AR$4010,MATCH(729,$AZ$11:$AZ$4010,0)),""))</f>
        <v/>
      </c>
      <c r="AJ739" s="15" t="str">
        <f>IF(AE739="","",IFERROR(INDEX($AT$11:$AT$4010,MATCH(729,$AZ$11:$AZ$4010,0)),""))</f>
        <v/>
      </c>
      <c r="AL739" s="17"/>
      <c r="AM739" s="12"/>
      <c r="AN739" s="18"/>
      <c r="AO739" s="18"/>
      <c r="AP739" s="10"/>
      <c r="AQ739" s="10"/>
      <c r="AR739" s="19"/>
      <c r="AS739" s="20"/>
      <c r="AT739" s="19"/>
      <c r="AV739" s="21">
        <f>IF(AND($AL739&lt;&gt;"",COUNTIF($AL$11:$AL739,$AL739)=1),1,0)</f>
        <v>0</v>
      </c>
      <c r="AW739" s="21">
        <f t="shared" si="109"/>
        <v>0</v>
      </c>
      <c r="AX739" s="21" t="str">
        <f t="shared" si="108"/>
        <v/>
      </c>
      <c r="AY739" s="21" t="str">
        <f>IF(AND($AM739&lt;&gt;"",$AS739&lt;&gt;"✓"),SUMPRODUCT(($AM$11:$AM739&lt;&gt;"")*($AS$11:$AS739&lt;&gt;"✓")),"")</f>
        <v/>
      </c>
      <c r="AZ739" s="21" t="str">
        <f>IF(AND($AM739&lt;&gt;"",$AS739="✓"),SUMPRODUCT(($AM$11:$AM739&lt;&gt;"")*($AS$11:$AS739="✓")),"")</f>
        <v/>
      </c>
      <c r="BA739" s="21" t="str">
        <f>IF($AL739="","",$AL739&amp;"|"&amp;COUNTIF($AL$11:$AL739,$AL739))</f>
        <v/>
      </c>
    </row>
    <row r="740" spans="23:53" ht="15" customHeight="1" x14ac:dyDescent="0.25">
      <c r="W740" s="28" t="str">
        <f>IF(X740="","",IFERROR(INDEX($AL$11:$AL$4010,MATCH(730,$AY$11:$AY$4010,0)),""))</f>
        <v/>
      </c>
      <c r="X740" s="26" t="str">
        <f>IFERROR(INDEX($AM$11:$AM$4010,MATCH(730,$AY$11:$AY$4010,0)),"")</f>
        <v/>
      </c>
      <c r="Y740" s="25" t="str">
        <f>IF(X740="","",IFERROR(INDEX($AN$11:$AN$4010,MATCH(730,$AY$11:$AY$4010,0)),""))</f>
        <v/>
      </c>
      <c r="Z740" s="25" t="str">
        <f>IF(X740="","",IFERROR(INDEX($AO$11:$AO$4010,MATCH(730,$AY$11:$AY$4010,0)),""))</f>
        <v/>
      </c>
      <c r="AA740" s="24" t="str">
        <f>IF(X740="","",IFERROR(INDEX($AQ$11:$AQ$4010,MATCH(730,$AY$11:$AY$4010,0)),""))</f>
        <v/>
      </c>
      <c r="AB740" s="29" t="str">
        <f>IF(X740="","",IFERROR(INDEX($AR$11:$AR$4010,MATCH(730,$AY$11:$AY$4010,0)),""))</f>
        <v/>
      </c>
      <c r="AD740" s="30" t="str">
        <f>IF(AE740="","",IFERROR(INDEX($AL$11:$AL$4010,MATCH(730,$AZ$11:$AZ$4010,0)),""))</f>
        <v/>
      </c>
      <c r="AE740" s="26" t="str">
        <f>IFERROR(INDEX($AM$11:$AM$4010,MATCH(730,$AZ$11:$AZ$4010,0)),"")</f>
        <v/>
      </c>
      <c r="AF740" s="25" t="str">
        <f>IF(AE740="","",IFERROR(INDEX($AN$11:$AN$4010,MATCH(730,$AZ$11:$AZ$4010,0)),""))</f>
        <v/>
      </c>
      <c r="AG740" s="25" t="str">
        <f>IF(AE740="","",IFERROR(INDEX($AO$11:$AO$4010,MATCH(730,$AZ$11:$AZ$4010,0)),""))</f>
        <v/>
      </c>
      <c r="AH740" s="24" t="str">
        <f>IF(AE740="","",IFERROR(INDEX($AQ$11:$AQ$4010,MATCH(730,$AZ$11:$AZ$4010,0)),""))</f>
        <v/>
      </c>
      <c r="AI740" s="29" t="str">
        <f>IF(AE740="","",IFERROR(INDEX($AR$11:$AR$4010,MATCH(730,$AZ$11:$AZ$4010,0)),""))</f>
        <v/>
      </c>
      <c r="AJ740" s="29" t="str">
        <f>IF(AE740="","",IFERROR(INDEX($AT$11:$AT$4010,MATCH(730,$AZ$11:$AZ$4010,0)),""))</f>
        <v/>
      </c>
      <c r="AL740" s="31"/>
      <c r="AM740" s="26"/>
      <c r="AN740" s="32"/>
      <c r="AO740" s="32"/>
      <c r="AP740" s="24"/>
      <c r="AQ740" s="24"/>
      <c r="AR740" s="33"/>
      <c r="AS740" s="34"/>
      <c r="AT740" s="33"/>
      <c r="AV740" s="21">
        <f>IF(AND($AL740&lt;&gt;"",COUNTIF($AL$11:$AL740,$AL740)=1),1,0)</f>
        <v>0</v>
      </c>
      <c r="AW740" s="21">
        <f t="shared" si="109"/>
        <v>0</v>
      </c>
      <c r="AX740" s="21" t="str">
        <f t="shared" si="108"/>
        <v/>
      </c>
      <c r="AY740" s="21" t="str">
        <f>IF(AND($AM740&lt;&gt;"",$AS740&lt;&gt;"✓"),SUMPRODUCT(($AM$11:$AM740&lt;&gt;"")*($AS$11:$AS740&lt;&gt;"✓")),"")</f>
        <v/>
      </c>
      <c r="AZ740" s="21" t="str">
        <f>IF(AND($AM740&lt;&gt;"",$AS740="✓"),SUMPRODUCT(($AM$11:$AM740&lt;&gt;"")*($AS$11:$AS740="✓")),"")</f>
        <v/>
      </c>
      <c r="BA740" s="21" t="str">
        <f>IF($AL740="","",$AL740&amp;"|"&amp;COUNTIF($AL$11:$AL740,$AL740))</f>
        <v/>
      </c>
    </row>
    <row r="741" spans="23:53" ht="15" customHeight="1" x14ac:dyDescent="0.25">
      <c r="W741" s="14" t="str">
        <f>IF(X741="","",IFERROR(INDEX($AL$11:$AL$4010,MATCH(731,$AY$11:$AY$4010,0)),""))</f>
        <v/>
      </c>
      <c r="X741" s="12" t="str">
        <f>IFERROR(INDEX($AM$11:$AM$4010,MATCH(731,$AY$11:$AY$4010,0)),"")</f>
        <v/>
      </c>
      <c r="Y741" s="11" t="str">
        <f>IF(X741="","",IFERROR(INDEX($AN$11:$AN$4010,MATCH(731,$AY$11:$AY$4010,0)),""))</f>
        <v/>
      </c>
      <c r="Z741" s="11" t="str">
        <f>IF(X741="","",IFERROR(INDEX($AO$11:$AO$4010,MATCH(731,$AY$11:$AY$4010,0)),""))</f>
        <v/>
      </c>
      <c r="AA741" s="10" t="str">
        <f>IF(X741="","",IFERROR(INDEX($AQ$11:$AQ$4010,MATCH(731,$AY$11:$AY$4010,0)),""))</f>
        <v/>
      </c>
      <c r="AB741" s="15" t="str">
        <f>IF(X741="","",IFERROR(INDEX($AR$11:$AR$4010,MATCH(731,$AY$11:$AY$4010,0)),""))</f>
        <v/>
      </c>
      <c r="AD741" s="16" t="str">
        <f>IF(AE741="","",IFERROR(INDEX($AL$11:$AL$4010,MATCH(731,$AZ$11:$AZ$4010,0)),""))</f>
        <v/>
      </c>
      <c r="AE741" s="12" t="str">
        <f>IFERROR(INDEX($AM$11:$AM$4010,MATCH(731,$AZ$11:$AZ$4010,0)),"")</f>
        <v/>
      </c>
      <c r="AF741" s="11" t="str">
        <f>IF(AE741="","",IFERROR(INDEX($AN$11:$AN$4010,MATCH(731,$AZ$11:$AZ$4010,0)),""))</f>
        <v/>
      </c>
      <c r="AG741" s="11" t="str">
        <f>IF(AE741="","",IFERROR(INDEX($AO$11:$AO$4010,MATCH(731,$AZ$11:$AZ$4010,0)),""))</f>
        <v/>
      </c>
      <c r="AH741" s="10" t="str">
        <f>IF(AE741="","",IFERROR(INDEX($AQ$11:$AQ$4010,MATCH(731,$AZ$11:$AZ$4010,0)),""))</f>
        <v/>
      </c>
      <c r="AI741" s="15" t="str">
        <f>IF(AE741="","",IFERROR(INDEX($AR$11:$AR$4010,MATCH(731,$AZ$11:$AZ$4010,0)),""))</f>
        <v/>
      </c>
      <c r="AJ741" s="15" t="str">
        <f>IF(AE741="","",IFERROR(INDEX($AT$11:$AT$4010,MATCH(731,$AZ$11:$AZ$4010,0)),""))</f>
        <v/>
      </c>
      <c r="AL741" s="17"/>
      <c r="AM741" s="12"/>
      <c r="AN741" s="18"/>
      <c r="AO741" s="18"/>
      <c r="AP741" s="10"/>
      <c r="AQ741" s="10"/>
      <c r="AR741" s="19"/>
      <c r="AS741" s="20"/>
      <c r="AT741" s="19"/>
      <c r="AV741" s="21">
        <f>IF(AND($AL741&lt;&gt;"",COUNTIF($AL$11:$AL741,$AL741)=1),1,0)</f>
        <v>0</v>
      </c>
      <c r="AW741" s="21">
        <f t="shared" si="109"/>
        <v>0</v>
      </c>
      <c r="AX741" s="21" t="str">
        <f t="shared" si="108"/>
        <v/>
      </c>
      <c r="AY741" s="21" t="str">
        <f>IF(AND($AM741&lt;&gt;"",$AS741&lt;&gt;"✓"),SUMPRODUCT(($AM$11:$AM741&lt;&gt;"")*($AS$11:$AS741&lt;&gt;"✓")),"")</f>
        <v/>
      </c>
      <c r="AZ741" s="21" t="str">
        <f>IF(AND($AM741&lt;&gt;"",$AS741="✓"),SUMPRODUCT(($AM$11:$AM741&lt;&gt;"")*($AS$11:$AS741="✓")),"")</f>
        <v/>
      </c>
      <c r="BA741" s="21" t="str">
        <f>IF($AL741="","",$AL741&amp;"|"&amp;COUNTIF($AL$11:$AL741,$AL741))</f>
        <v/>
      </c>
    </row>
    <row r="742" spans="23:53" ht="15" customHeight="1" x14ac:dyDescent="0.25">
      <c r="W742" s="28" t="str">
        <f>IF(X742="","",IFERROR(INDEX($AL$11:$AL$4010,MATCH(732,$AY$11:$AY$4010,0)),""))</f>
        <v/>
      </c>
      <c r="X742" s="26" t="str">
        <f>IFERROR(INDEX($AM$11:$AM$4010,MATCH(732,$AY$11:$AY$4010,0)),"")</f>
        <v/>
      </c>
      <c r="Y742" s="25" t="str">
        <f>IF(X742="","",IFERROR(INDEX($AN$11:$AN$4010,MATCH(732,$AY$11:$AY$4010,0)),""))</f>
        <v/>
      </c>
      <c r="Z742" s="25" t="str">
        <f>IF(X742="","",IFERROR(INDEX($AO$11:$AO$4010,MATCH(732,$AY$11:$AY$4010,0)),""))</f>
        <v/>
      </c>
      <c r="AA742" s="24" t="str">
        <f>IF(X742="","",IFERROR(INDEX($AQ$11:$AQ$4010,MATCH(732,$AY$11:$AY$4010,0)),""))</f>
        <v/>
      </c>
      <c r="AB742" s="29" t="str">
        <f>IF(X742="","",IFERROR(INDEX($AR$11:$AR$4010,MATCH(732,$AY$11:$AY$4010,0)),""))</f>
        <v/>
      </c>
      <c r="AD742" s="30" t="str">
        <f>IF(AE742="","",IFERROR(INDEX($AL$11:$AL$4010,MATCH(732,$AZ$11:$AZ$4010,0)),""))</f>
        <v/>
      </c>
      <c r="AE742" s="26" t="str">
        <f>IFERROR(INDEX($AM$11:$AM$4010,MATCH(732,$AZ$11:$AZ$4010,0)),"")</f>
        <v/>
      </c>
      <c r="AF742" s="25" t="str">
        <f>IF(AE742="","",IFERROR(INDEX($AN$11:$AN$4010,MATCH(732,$AZ$11:$AZ$4010,0)),""))</f>
        <v/>
      </c>
      <c r="AG742" s="25" t="str">
        <f>IF(AE742="","",IFERROR(INDEX($AO$11:$AO$4010,MATCH(732,$AZ$11:$AZ$4010,0)),""))</f>
        <v/>
      </c>
      <c r="AH742" s="24" t="str">
        <f>IF(AE742="","",IFERROR(INDEX($AQ$11:$AQ$4010,MATCH(732,$AZ$11:$AZ$4010,0)),""))</f>
        <v/>
      </c>
      <c r="AI742" s="29" t="str">
        <f>IF(AE742="","",IFERROR(INDEX($AR$11:$AR$4010,MATCH(732,$AZ$11:$AZ$4010,0)),""))</f>
        <v/>
      </c>
      <c r="AJ742" s="29" t="str">
        <f>IF(AE742="","",IFERROR(INDEX($AT$11:$AT$4010,MATCH(732,$AZ$11:$AZ$4010,0)),""))</f>
        <v/>
      </c>
      <c r="AL742" s="31"/>
      <c r="AM742" s="26"/>
      <c r="AN742" s="32"/>
      <c r="AO742" s="32"/>
      <c r="AP742" s="24"/>
      <c r="AQ742" s="24"/>
      <c r="AR742" s="33"/>
      <c r="AS742" s="34"/>
      <c r="AT742" s="33"/>
      <c r="AV742" s="21">
        <f>IF(AND($AL742&lt;&gt;"",COUNTIF($AL$11:$AL742,$AL742)=1),1,0)</f>
        <v>0</v>
      </c>
      <c r="AW742" s="21">
        <f t="shared" si="109"/>
        <v>0</v>
      </c>
      <c r="AX742" s="21" t="str">
        <f t="shared" si="108"/>
        <v/>
      </c>
      <c r="AY742" s="21" t="str">
        <f>IF(AND($AM742&lt;&gt;"",$AS742&lt;&gt;"✓"),SUMPRODUCT(($AM$11:$AM742&lt;&gt;"")*($AS$11:$AS742&lt;&gt;"✓")),"")</f>
        <v/>
      </c>
      <c r="AZ742" s="21" t="str">
        <f>IF(AND($AM742&lt;&gt;"",$AS742="✓"),SUMPRODUCT(($AM$11:$AM742&lt;&gt;"")*($AS$11:$AS742="✓")),"")</f>
        <v/>
      </c>
      <c r="BA742" s="21" t="str">
        <f>IF($AL742="","",$AL742&amp;"|"&amp;COUNTIF($AL$11:$AL742,$AL742))</f>
        <v/>
      </c>
    </row>
    <row r="743" spans="23:53" ht="15" customHeight="1" x14ac:dyDescent="0.25">
      <c r="W743" s="14" t="str">
        <f>IF(X743="","",IFERROR(INDEX($AL$11:$AL$4010,MATCH(733,$AY$11:$AY$4010,0)),""))</f>
        <v/>
      </c>
      <c r="X743" s="12" t="str">
        <f>IFERROR(INDEX($AM$11:$AM$4010,MATCH(733,$AY$11:$AY$4010,0)),"")</f>
        <v/>
      </c>
      <c r="Y743" s="11" t="str">
        <f>IF(X743="","",IFERROR(INDEX($AN$11:$AN$4010,MATCH(733,$AY$11:$AY$4010,0)),""))</f>
        <v/>
      </c>
      <c r="Z743" s="11" t="str">
        <f>IF(X743="","",IFERROR(INDEX($AO$11:$AO$4010,MATCH(733,$AY$11:$AY$4010,0)),""))</f>
        <v/>
      </c>
      <c r="AA743" s="10" t="str">
        <f>IF(X743="","",IFERROR(INDEX($AQ$11:$AQ$4010,MATCH(733,$AY$11:$AY$4010,0)),""))</f>
        <v/>
      </c>
      <c r="AB743" s="15" t="str">
        <f>IF(X743="","",IFERROR(INDEX($AR$11:$AR$4010,MATCH(733,$AY$11:$AY$4010,0)),""))</f>
        <v/>
      </c>
      <c r="AD743" s="16" t="str">
        <f>IF(AE743="","",IFERROR(INDEX($AL$11:$AL$4010,MATCH(733,$AZ$11:$AZ$4010,0)),""))</f>
        <v/>
      </c>
      <c r="AE743" s="12" t="str">
        <f>IFERROR(INDEX($AM$11:$AM$4010,MATCH(733,$AZ$11:$AZ$4010,0)),"")</f>
        <v/>
      </c>
      <c r="AF743" s="11" t="str">
        <f>IF(AE743="","",IFERROR(INDEX($AN$11:$AN$4010,MATCH(733,$AZ$11:$AZ$4010,0)),""))</f>
        <v/>
      </c>
      <c r="AG743" s="11" t="str">
        <f>IF(AE743="","",IFERROR(INDEX($AO$11:$AO$4010,MATCH(733,$AZ$11:$AZ$4010,0)),""))</f>
        <v/>
      </c>
      <c r="AH743" s="10" t="str">
        <f>IF(AE743="","",IFERROR(INDEX($AQ$11:$AQ$4010,MATCH(733,$AZ$11:$AZ$4010,0)),""))</f>
        <v/>
      </c>
      <c r="AI743" s="15" t="str">
        <f>IF(AE743="","",IFERROR(INDEX($AR$11:$AR$4010,MATCH(733,$AZ$11:$AZ$4010,0)),""))</f>
        <v/>
      </c>
      <c r="AJ743" s="15" t="str">
        <f>IF(AE743="","",IFERROR(INDEX($AT$11:$AT$4010,MATCH(733,$AZ$11:$AZ$4010,0)),""))</f>
        <v/>
      </c>
      <c r="AL743" s="17"/>
      <c r="AM743" s="12"/>
      <c r="AN743" s="18"/>
      <c r="AO743" s="18"/>
      <c r="AP743" s="10"/>
      <c r="AQ743" s="10"/>
      <c r="AR743" s="19"/>
      <c r="AS743" s="20"/>
      <c r="AT743" s="19"/>
      <c r="AV743" s="21">
        <f>IF(AND($AL743&lt;&gt;"",COUNTIF($AL$11:$AL743,$AL743)=1),1,0)</f>
        <v>0</v>
      </c>
      <c r="AW743" s="21">
        <f t="shared" si="109"/>
        <v>0</v>
      </c>
      <c r="AX743" s="21" t="str">
        <f t="shared" si="108"/>
        <v/>
      </c>
      <c r="AY743" s="21" t="str">
        <f>IF(AND($AM743&lt;&gt;"",$AS743&lt;&gt;"✓"),SUMPRODUCT(($AM$11:$AM743&lt;&gt;"")*($AS$11:$AS743&lt;&gt;"✓")),"")</f>
        <v/>
      </c>
      <c r="AZ743" s="21" t="str">
        <f>IF(AND($AM743&lt;&gt;"",$AS743="✓"),SUMPRODUCT(($AM$11:$AM743&lt;&gt;"")*($AS$11:$AS743="✓")),"")</f>
        <v/>
      </c>
      <c r="BA743" s="21" t="str">
        <f>IF($AL743="","",$AL743&amp;"|"&amp;COUNTIF($AL$11:$AL743,$AL743))</f>
        <v/>
      </c>
    </row>
    <row r="744" spans="23:53" ht="15" customHeight="1" x14ac:dyDescent="0.25">
      <c r="W744" s="28" t="str">
        <f>IF(X744="","",IFERROR(INDEX($AL$11:$AL$4010,MATCH(734,$AY$11:$AY$4010,0)),""))</f>
        <v/>
      </c>
      <c r="X744" s="26" t="str">
        <f>IFERROR(INDEX($AM$11:$AM$4010,MATCH(734,$AY$11:$AY$4010,0)),"")</f>
        <v/>
      </c>
      <c r="Y744" s="25" t="str">
        <f>IF(X744="","",IFERROR(INDEX($AN$11:$AN$4010,MATCH(734,$AY$11:$AY$4010,0)),""))</f>
        <v/>
      </c>
      <c r="Z744" s="25" t="str">
        <f>IF(X744="","",IFERROR(INDEX($AO$11:$AO$4010,MATCH(734,$AY$11:$AY$4010,0)),""))</f>
        <v/>
      </c>
      <c r="AA744" s="24" t="str">
        <f>IF(X744="","",IFERROR(INDEX($AQ$11:$AQ$4010,MATCH(734,$AY$11:$AY$4010,0)),""))</f>
        <v/>
      </c>
      <c r="AB744" s="29" t="str">
        <f>IF(X744="","",IFERROR(INDEX($AR$11:$AR$4010,MATCH(734,$AY$11:$AY$4010,0)),""))</f>
        <v/>
      </c>
      <c r="AD744" s="30" t="str">
        <f>IF(AE744="","",IFERROR(INDEX($AL$11:$AL$4010,MATCH(734,$AZ$11:$AZ$4010,0)),""))</f>
        <v/>
      </c>
      <c r="AE744" s="26" t="str">
        <f>IFERROR(INDEX($AM$11:$AM$4010,MATCH(734,$AZ$11:$AZ$4010,0)),"")</f>
        <v/>
      </c>
      <c r="AF744" s="25" t="str">
        <f>IF(AE744="","",IFERROR(INDEX($AN$11:$AN$4010,MATCH(734,$AZ$11:$AZ$4010,0)),""))</f>
        <v/>
      </c>
      <c r="AG744" s="25" t="str">
        <f>IF(AE744="","",IFERROR(INDEX($AO$11:$AO$4010,MATCH(734,$AZ$11:$AZ$4010,0)),""))</f>
        <v/>
      </c>
      <c r="AH744" s="24" t="str">
        <f>IF(AE744="","",IFERROR(INDEX($AQ$11:$AQ$4010,MATCH(734,$AZ$11:$AZ$4010,0)),""))</f>
        <v/>
      </c>
      <c r="AI744" s="29" t="str">
        <f>IF(AE744="","",IFERROR(INDEX($AR$11:$AR$4010,MATCH(734,$AZ$11:$AZ$4010,0)),""))</f>
        <v/>
      </c>
      <c r="AJ744" s="29" t="str">
        <f>IF(AE744="","",IFERROR(INDEX($AT$11:$AT$4010,MATCH(734,$AZ$11:$AZ$4010,0)),""))</f>
        <v/>
      </c>
      <c r="AL744" s="31"/>
      <c r="AM744" s="26"/>
      <c r="AN744" s="32"/>
      <c r="AO744" s="32"/>
      <c r="AP744" s="24"/>
      <c r="AQ744" s="24"/>
      <c r="AR744" s="33"/>
      <c r="AS744" s="34"/>
      <c r="AT744" s="33"/>
      <c r="AV744" s="21">
        <f>IF(AND($AL744&lt;&gt;"",COUNTIF($AL$11:$AL744,$AL744)=1),1,0)</f>
        <v>0</v>
      </c>
      <c r="AW744" s="21">
        <f t="shared" si="109"/>
        <v>0</v>
      </c>
      <c r="AX744" s="21" t="str">
        <f t="shared" si="108"/>
        <v/>
      </c>
      <c r="AY744" s="21" t="str">
        <f>IF(AND($AM744&lt;&gt;"",$AS744&lt;&gt;"✓"),SUMPRODUCT(($AM$11:$AM744&lt;&gt;"")*($AS$11:$AS744&lt;&gt;"✓")),"")</f>
        <v/>
      </c>
      <c r="AZ744" s="21" t="str">
        <f>IF(AND($AM744&lt;&gt;"",$AS744="✓"),SUMPRODUCT(($AM$11:$AM744&lt;&gt;"")*($AS$11:$AS744="✓")),"")</f>
        <v/>
      </c>
      <c r="BA744" s="21" t="str">
        <f>IF($AL744="","",$AL744&amp;"|"&amp;COUNTIF($AL$11:$AL744,$AL744))</f>
        <v/>
      </c>
    </row>
    <row r="745" spans="23:53" ht="15" customHeight="1" x14ac:dyDescent="0.25">
      <c r="W745" s="14" t="str">
        <f>IF(X745="","",IFERROR(INDEX($AL$11:$AL$4010,MATCH(735,$AY$11:$AY$4010,0)),""))</f>
        <v/>
      </c>
      <c r="X745" s="12" t="str">
        <f>IFERROR(INDEX($AM$11:$AM$4010,MATCH(735,$AY$11:$AY$4010,0)),"")</f>
        <v/>
      </c>
      <c r="Y745" s="11" t="str">
        <f>IF(X745="","",IFERROR(INDEX($AN$11:$AN$4010,MATCH(735,$AY$11:$AY$4010,0)),""))</f>
        <v/>
      </c>
      <c r="Z745" s="11" t="str">
        <f>IF(X745="","",IFERROR(INDEX($AO$11:$AO$4010,MATCH(735,$AY$11:$AY$4010,0)),""))</f>
        <v/>
      </c>
      <c r="AA745" s="10" t="str">
        <f>IF(X745="","",IFERROR(INDEX($AQ$11:$AQ$4010,MATCH(735,$AY$11:$AY$4010,0)),""))</f>
        <v/>
      </c>
      <c r="AB745" s="15" t="str">
        <f>IF(X745="","",IFERROR(INDEX($AR$11:$AR$4010,MATCH(735,$AY$11:$AY$4010,0)),""))</f>
        <v/>
      </c>
      <c r="AD745" s="16" t="str">
        <f>IF(AE745="","",IFERROR(INDEX($AL$11:$AL$4010,MATCH(735,$AZ$11:$AZ$4010,0)),""))</f>
        <v/>
      </c>
      <c r="AE745" s="12" t="str">
        <f>IFERROR(INDEX($AM$11:$AM$4010,MATCH(735,$AZ$11:$AZ$4010,0)),"")</f>
        <v/>
      </c>
      <c r="AF745" s="11" t="str">
        <f>IF(AE745="","",IFERROR(INDEX($AN$11:$AN$4010,MATCH(735,$AZ$11:$AZ$4010,0)),""))</f>
        <v/>
      </c>
      <c r="AG745" s="11" t="str">
        <f>IF(AE745="","",IFERROR(INDEX($AO$11:$AO$4010,MATCH(735,$AZ$11:$AZ$4010,0)),""))</f>
        <v/>
      </c>
      <c r="AH745" s="10" t="str">
        <f>IF(AE745="","",IFERROR(INDEX($AQ$11:$AQ$4010,MATCH(735,$AZ$11:$AZ$4010,0)),""))</f>
        <v/>
      </c>
      <c r="AI745" s="15" t="str">
        <f>IF(AE745="","",IFERROR(INDEX($AR$11:$AR$4010,MATCH(735,$AZ$11:$AZ$4010,0)),""))</f>
        <v/>
      </c>
      <c r="AJ745" s="15" t="str">
        <f>IF(AE745="","",IFERROR(INDEX($AT$11:$AT$4010,MATCH(735,$AZ$11:$AZ$4010,0)),""))</f>
        <v/>
      </c>
      <c r="AL745" s="17"/>
      <c r="AM745" s="12"/>
      <c r="AN745" s="18"/>
      <c r="AO745" s="18"/>
      <c r="AP745" s="10"/>
      <c r="AQ745" s="10"/>
      <c r="AR745" s="19"/>
      <c r="AS745" s="20"/>
      <c r="AT745" s="19"/>
      <c r="AV745" s="21">
        <f>IF(AND($AL745&lt;&gt;"",COUNTIF($AL$11:$AL745,$AL745)=1),1,0)</f>
        <v>0</v>
      </c>
      <c r="AW745" s="21">
        <f t="shared" si="109"/>
        <v>0</v>
      </c>
      <c r="AX745" s="21" t="str">
        <f t="shared" si="108"/>
        <v/>
      </c>
      <c r="AY745" s="21" t="str">
        <f>IF(AND($AM745&lt;&gt;"",$AS745&lt;&gt;"✓"),SUMPRODUCT(($AM$11:$AM745&lt;&gt;"")*($AS$11:$AS745&lt;&gt;"✓")),"")</f>
        <v/>
      </c>
      <c r="AZ745" s="21" t="str">
        <f>IF(AND($AM745&lt;&gt;"",$AS745="✓"),SUMPRODUCT(($AM$11:$AM745&lt;&gt;"")*($AS$11:$AS745="✓")),"")</f>
        <v/>
      </c>
      <c r="BA745" s="21" t="str">
        <f>IF($AL745="","",$AL745&amp;"|"&amp;COUNTIF($AL$11:$AL745,$AL745))</f>
        <v/>
      </c>
    </row>
    <row r="746" spans="23:53" ht="15" customHeight="1" x14ac:dyDescent="0.25">
      <c r="W746" s="28" t="str">
        <f>IF(X746="","",IFERROR(INDEX($AL$11:$AL$4010,MATCH(736,$AY$11:$AY$4010,0)),""))</f>
        <v/>
      </c>
      <c r="X746" s="26" t="str">
        <f>IFERROR(INDEX($AM$11:$AM$4010,MATCH(736,$AY$11:$AY$4010,0)),"")</f>
        <v/>
      </c>
      <c r="Y746" s="25" t="str">
        <f>IF(X746="","",IFERROR(INDEX($AN$11:$AN$4010,MATCH(736,$AY$11:$AY$4010,0)),""))</f>
        <v/>
      </c>
      <c r="Z746" s="25" t="str">
        <f>IF(X746="","",IFERROR(INDEX($AO$11:$AO$4010,MATCH(736,$AY$11:$AY$4010,0)),""))</f>
        <v/>
      </c>
      <c r="AA746" s="24" t="str">
        <f>IF(X746="","",IFERROR(INDEX($AQ$11:$AQ$4010,MATCH(736,$AY$11:$AY$4010,0)),""))</f>
        <v/>
      </c>
      <c r="AB746" s="29" t="str">
        <f>IF(X746="","",IFERROR(INDEX($AR$11:$AR$4010,MATCH(736,$AY$11:$AY$4010,0)),""))</f>
        <v/>
      </c>
      <c r="AD746" s="30" t="str">
        <f>IF(AE746="","",IFERROR(INDEX($AL$11:$AL$4010,MATCH(736,$AZ$11:$AZ$4010,0)),""))</f>
        <v/>
      </c>
      <c r="AE746" s="26" t="str">
        <f>IFERROR(INDEX($AM$11:$AM$4010,MATCH(736,$AZ$11:$AZ$4010,0)),"")</f>
        <v/>
      </c>
      <c r="AF746" s="25" t="str">
        <f>IF(AE746="","",IFERROR(INDEX($AN$11:$AN$4010,MATCH(736,$AZ$11:$AZ$4010,0)),""))</f>
        <v/>
      </c>
      <c r="AG746" s="25" t="str">
        <f>IF(AE746="","",IFERROR(INDEX($AO$11:$AO$4010,MATCH(736,$AZ$11:$AZ$4010,0)),""))</f>
        <v/>
      </c>
      <c r="AH746" s="24" t="str">
        <f>IF(AE746="","",IFERROR(INDEX($AQ$11:$AQ$4010,MATCH(736,$AZ$11:$AZ$4010,0)),""))</f>
        <v/>
      </c>
      <c r="AI746" s="29" t="str">
        <f>IF(AE746="","",IFERROR(INDEX($AR$11:$AR$4010,MATCH(736,$AZ$11:$AZ$4010,0)),""))</f>
        <v/>
      </c>
      <c r="AJ746" s="29" t="str">
        <f>IF(AE746="","",IFERROR(INDEX($AT$11:$AT$4010,MATCH(736,$AZ$11:$AZ$4010,0)),""))</f>
        <v/>
      </c>
      <c r="AL746" s="31"/>
      <c r="AM746" s="26"/>
      <c r="AN746" s="32"/>
      <c r="AO746" s="32"/>
      <c r="AP746" s="24"/>
      <c r="AQ746" s="24"/>
      <c r="AR746" s="33"/>
      <c r="AS746" s="34"/>
      <c r="AT746" s="33"/>
      <c r="AV746" s="21">
        <f>IF(AND($AL746&lt;&gt;"",COUNTIF($AL$11:$AL746,$AL746)=1),1,0)</f>
        <v>0</v>
      </c>
      <c r="AW746" s="21">
        <f t="shared" si="109"/>
        <v>0</v>
      </c>
      <c r="AX746" s="21" t="str">
        <f t="shared" si="108"/>
        <v/>
      </c>
      <c r="AY746" s="21" t="str">
        <f>IF(AND($AM746&lt;&gt;"",$AS746&lt;&gt;"✓"),SUMPRODUCT(($AM$11:$AM746&lt;&gt;"")*($AS$11:$AS746&lt;&gt;"✓")),"")</f>
        <v/>
      </c>
      <c r="AZ746" s="21" t="str">
        <f>IF(AND($AM746&lt;&gt;"",$AS746="✓"),SUMPRODUCT(($AM$11:$AM746&lt;&gt;"")*($AS$11:$AS746="✓")),"")</f>
        <v/>
      </c>
      <c r="BA746" s="21" t="str">
        <f>IF($AL746="","",$AL746&amp;"|"&amp;COUNTIF($AL$11:$AL746,$AL746))</f>
        <v/>
      </c>
    </row>
    <row r="747" spans="23:53" ht="15" customHeight="1" x14ac:dyDescent="0.25">
      <c r="W747" s="14" t="str">
        <f>IF(X747="","",IFERROR(INDEX($AL$11:$AL$4010,MATCH(737,$AY$11:$AY$4010,0)),""))</f>
        <v/>
      </c>
      <c r="X747" s="12" t="str">
        <f>IFERROR(INDEX($AM$11:$AM$4010,MATCH(737,$AY$11:$AY$4010,0)),"")</f>
        <v/>
      </c>
      <c r="Y747" s="11" t="str">
        <f>IF(X747="","",IFERROR(INDEX($AN$11:$AN$4010,MATCH(737,$AY$11:$AY$4010,0)),""))</f>
        <v/>
      </c>
      <c r="Z747" s="11" t="str">
        <f>IF(X747="","",IFERROR(INDEX($AO$11:$AO$4010,MATCH(737,$AY$11:$AY$4010,0)),""))</f>
        <v/>
      </c>
      <c r="AA747" s="10" t="str">
        <f>IF(X747="","",IFERROR(INDEX($AQ$11:$AQ$4010,MATCH(737,$AY$11:$AY$4010,0)),""))</f>
        <v/>
      </c>
      <c r="AB747" s="15" t="str">
        <f>IF(X747="","",IFERROR(INDEX($AR$11:$AR$4010,MATCH(737,$AY$11:$AY$4010,0)),""))</f>
        <v/>
      </c>
      <c r="AD747" s="16" t="str">
        <f>IF(AE747="","",IFERROR(INDEX($AL$11:$AL$4010,MATCH(737,$AZ$11:$AZ$4010,0)),""))</f>
        <v/>
      </c>
      <c r="AE747" s="12" t="str">
        <f>IFERROR(INDEX($AM$11:$AM$4010,MATCH(737,$AZ$11:$AZ$4010,0)),"")</f>
        <v/>
      </c>
      <c r="AF747" s="11" t="str">
        <f>IF(AE747="","",IFERROR(INDEX($AN$11:$AN$4010,MATCH(737,$AZ$11:$AZ$4010,0)),""))</f>
        <v/>
      </c>
      <c r="AG747" s="11" t="str">
        <f>IF(AE747="","",IFERROR(INDEX($AO$11:$AO$4010,MATCH(737,$AZ$11:$AZ$4010,0)),""))</f>
        <v/>
      </c>
      <c r="AH747" s="10" t="str">
        <f>IF(AE747="","",IFERROR(INDEX($AQ$11:$AQ$4010,MATCH(737,$AZ$11:$AZ$4010,0)),""))</f>
        <v/>
      </c>
      <c r="AI747" s="15" t="str">
        <f>IF(AE747="","",IFERROR(INDEX($AR$11:$AR$4010,MATCH(737,$AZ$11:$AZ$4010,0)),""))</f>
        <v/>
      </c>
      <c r="AJ747" s="15" t="str">
        <f>IF(AE747="","",IFERROR(INDEX($AT$11:$AT$4010,MATCH(737,$AZ$11:$AZ$4010,0)),""))</f>
        <v/>
      </c>
      <c r="AL747" s="17"/>
      <c r="AM747" s="12"/>
      <c r="AN747" s="18"/>
      <c r="AO747" s="18"/>
      <c r="AP747" s="10"/>
      <c r="AQ747" s="10"/>
      <c r="AR747" s="19"/>
      <c r="AS747" s="20"/>
      <c r="AT747" s="19"/>
      <c r="AV747" s="21">
        <f>IF(AND($AL747&lt;&gt;"",COUNTIF($AL$11:$AL747,$AL747)=1),1,0)</f>
        <v>0</v>
      </c>
      <c r="AW747" s="21">
        <f t="shared" si="109"/>
        <v>0</v>
      </c>
      <c r="AX747" s="21" t="str">
        <f t="shared" si="108"/>
        <v/>
      </c>
      <c r="AY747" s="21" t="str">
        <f>IF(AND($AM747&lt;&gt;"",$AS747&lt;&gt;"✓"),SUMPRODUCT(($AM$11:$AM747&lt;&gt;"")*($AS$11:$AS747&lt;&gt;"✓")),"")</f>
        <v/>
      </c>
      <c r="AZ747" s="21" t="str">
        <f>IF(AND($AM747&lt;&gt;"",$AS747="✓"),SUMPRODUCT(($AM$11:$AM747&lt;&gt;"")*($AS$11:$AS747="✓")),"")</f>
        <v/>
      </c>
      <c r="BA747" s="21" t="str">
        <f>IF($AL747="","",$AL747&amp;"|"&amp;COUNTIF($AL$11:$AL747,$AL747))</f>
        <v/>
      </c>
    </row>
    <row r="748" spans="23:53" ht="15" customHeight="1" x14ac:dyDescent="0.25">
      <c r="W748" s="28" t="str">
        <f>IF(X748="","",IFERROR(INDEX($AL$11:$AL$4010,MATCH(738,$AY$11:$AY$4010,0)),""))</f>
        <v/>
      </c>
      <c r="X748" s="26" t="str">
        <f>IFERROR(INDEX($AM$11:$AM$4010,MATCH(738,$AY$11:$AY$4010,0)),"")</f>
        <v/>
      </c>
      <c r="Y748" s="25" t="str">
        <f>IF(X748="","",IFERROR(INDEX($AN$11:$AN$4010,MATCH(738,$AY$11:$AY$4010,0)),""))</f>
        <v/>
      </c>
      <c r="Z748" s="25" t="str">
        <f>IF(X748="","",IFERROR(INDEX($AO$11:$AO$4010,MATCH(738,$AY$11:$AY$4010,0)),""))</f>
        <v/>
      </c>
      <c r="AA748" s="24" t="str">
        <f>IF(X748="","",IFERROR(INDEX($AQ$11:$AQ$4010,MATCH(738,$AY$11:$AY$4010,0)),""))</f>
        <v/>
      </c>
      <c r="AB748" s="29" t="str">
        <f>IF(X748="","",IFERROR(INDEX($AR$11:$AR$4010,MATCH(738,$AY$11:$AY$4010,0)),""))</f>
        <v/>
      </c>
      <c r="AD748" s="30" t="str">
        <f>IF(AE748="","",IFERROR(INDEX($AL$11:$AL$4010,MATCH(738,$AZ$11:$AZ$4010,0)),""))</f>
        <v/>
      </c>
      <c r="AE748" s="26" t="str">
        <f>IFERROR(INDEX($AM$11:$AM$4010,MATCH(738,$AZ$11:$AZ$4010,0)),"")</f>
        <v/>
      </c>
      <c r="AF748" s="25" t="str">
        <f>IF(AE748="","",IFERROR(INDEX($AN$11:$AN$4010,MATCH(738,$AZ$11:$AZ$4010,0)),""))</f>
        <v/>
      </c>
      <c r="AG748" s="25" t="str">
        <f>IF(AE748="","",IFERROR(INDEX($AO$11:$AO$4010,MATCH(738,$AZ$11:$AZ$4010,0)),""))</f>
        <v/>
      </c>
      <c r="AH748" s="24" t="str">
        <f>IF(AE748="","",IFERROR(INDEX($AQ$11:$AQ$4010,MATCH(738,$AZ$11:$AZ$4010,0)),""))</f>
        <v/>
      </c>
      <c r="AI748" s="29" t="str">
        <f>IF(AE748="","",IFERROR(INDEX($AR$11:$AR$4010,MATCH(738,$AZ$11:$AZ$4010,0)),""))</f>
        <v/>
      </c>
      <c r="AJ748" s="29" t="str">
        <f>IF(AE748="","",IFERROR(INDEX($AT$11:$AT$4010,MATCH(738,$AZ$11:$AZ$4010,0)),""))</f>
        <v/>
      </c>
      <c r="AL748" s="31"/>
      <c r="AM748" s="26"/>
      <c r="AN748" s="32"/>
      <c r="AO748" s="32"/>
      <c r="AP748" s="24"/>
      <c r="AQ748" s="24"/>
      <c r="AR748" s="33"/>
      <c r="AS748" s="34"/>
      <c r="AT748" s="33"/>
      <c r="AV748" s="21">
        <f>IF(AND($AL748&lt;&gt;"",COUNTIF($AL$11:$AL748,$AL748)=1),1,0)</f>
        <v>0</v>
      </c>
      <c r="AW748" s="21">
        <f t="shared" si="109"/>
        <v>0</v>
      </c>
      <c r="AX748" s="21" t="str">
        <f t="shared" si="108"/>
        <v/>
      </c>
      <c r="AY748" s="21" t="str">
        <f>IF(AND($AM748&lt;&gt;"",$AS748&lt;&gt;"✓"),SUMPRODUCT(($AM$11:$AM748&lt;&gt;"")*($AS$11:$AS748&lt;&gt;"✓")),"")</f>
        <v/>
      </c>
      <c r="AZ748" s="21" t="str">
        <f>IF(AND($AM748&lt;&gt;"",$AS748="✓"),SUMPRODUCT(($AM$11:$AM748&lt;&gt;"")*($AS$11:$AS748="✓")),"")</f>
        <v/>
      </c>
      <c r="BA748" s="21" t="str">
        <f>IF($AL748="","",$AL748&amp;"|"&amp;COUNTIF($AL$11:$AL748,$AL748))</f>
        <v/>
      </c>
    </row>
    <row r="749" spans="23:53" ht="15" customHeight="1" x14ac:dyDescent="0.25">
      <c r="W749" s="14" t="str">
        <f>IF(X749="","",IFERROR(INDEX($AL$11:$AL$4010,MATCH(739,$AY$11:$AY$4010,0)),""))</f>
        <v/>
      </c>
      <c r="X749" s="12" t="str">
        <f>IFERROR(INDEX($AM$11:$AM$4010,MATCH(739,$AY$11:$AY$4010,0)),"")</f>
        <v/>
      </c>
      <c r="Y749" s="11" t="str">
        <f>IF(X749="","",IFERROR(INDEX($AN$11:$AN$4010,MATCH(739,$AY$11:$AY$4010,0)),""))</f>
        <v/>
      </c>
      <c r="Z749" s="11" t="str">
        <f>IF(X749="","",IFERROR(INDEX($AO$11:$AO$4010,MATCH(739,$AY$11:$AY$4010,0)),""))</f>
        <v/>
      </c>
      <c r="AA749" s="10" t="str">
        <f>IF(X749="","",IFERROR(INDEX($AQ$11:$AQ$4010,MATCH(739,$AY$11:$AY$4010,0)),""))</f>
        <v/>
      </c>
      <c r="AB749" s="15" t="str">
        <f>IF(X749="","",IFERROR(INDEX($AR$11:$AR$4010,MATCH(739,$AY$11:$AY$4010,0)),""))</f>
        <v/>
      </c>
      <c r="AD749" s="16" t="str">
        <f>IF(AE749="","",IFERROR(INDEX($AL$11:$AL$4010,MATCH(739,$AZ$11:$AZ$4010,0)),""))</f>
        <v/>
      </c>
      <c r="AE749" s="12" t="str">
        <f>IFERROR(INDEX($AM$11:$AM$4010,MATCH(739,$AZ$11:$AZ$4010,0)),"")</f>
        <v/>
      </c>
      <c r="AF749" s="11" t="str">
        <f>IF(AE749="","",IFERROR(INDEX($AN$11:$AN$4010,MATCH(739,$AZ$11:$AZ$4010,0)),""))</f>
        <v/>
      </c>
      <c r="AG749" s="11" t="str">
        <f>IF(AE749="","",IFERROR(INDEX($AO$11:$AO$4010,MATCH(739,$AZ$11:$AZ$4010,0)),""))</f>
        <v/>
      </c>
      <c r="AH749" s="10" t="str">
        <f>IF(AE749="","",IFERROR(INDEX($AQ$11:$AQ$4010,MATCH(739,$AZ$11:$AZ$4010,0)),""))</f>
        <v/>
      </c>
      <c r="AI749" s="15" t="str">
        <f>IF(AE749="","",IFERROR(INDEX($AR$11:$AR$4010,MATCH(739,$AZ$11:$AZ$4010,0)),""))</f>
        <v/>
      </c>
      <c r="AJ749" s="15" t="str">
        <f>IF(AE749="","",IFERROR(INDEX($AT$11:$AT$4010,MATCH(739,$AZ$11:$AZ$4010,0)),""))</f>
        <v/>
      </c>
      <c r="AL749" s="17"/>
      <c r="AM749" s="12"/>
      <c r="AN749" s="18"/>
      <c r="AO749" s="18"/>
      <c r="AP749" s="10"/>
      <c r="AQ749" s="10"/>
      <c r="AR749" s="19"/>
      <c r="AS749" s="20"/>
      <c r="AT749" s="19"/>
      <c r="AV749" s="21">
        <f>IF(AND($AL749&lt;&gt;"",COUNTIF($AL$11:$AL749,$AL749)=1),1,0)</f>
        <v>0</v>
      </c>
      <c r="AW749" s="21">
        <f t="shared" si="109"/>
        <v>0</v>
      </c>
      <c r="AX749" s="21" t="str">
        <f t="shared" si="108"/>
        <v/>
      </c>
      <c r="AY749" s="21" t="str">
        <f>IF(AND($AM749&lt;&gt;"",$AS749&lt;&gt;"✓"),SUMPRODUCT(($AM$11:$AM749&lt;&gt;"")*($AS$11:$AS749&lt;&gt;"✓")),"")</f>
        <v/>
      </c>
      <c r="AZ749" s="21" t="str">
        <f>IF(AND($AM749&lt;&gt;"",$AS749="✓"),SUMPRODUCT(($AM$11:$AM749&lt;&gt;"")*($AS$11:$AS749="✓")),"")</f>
        <v/>
      </c>
      <c r="BA749" s="21" t="str">
        <f>IF($AL749="","",$AL749&amp;"|"&amp;COUNTIF($AL$11:$AL749,$AL749))</f>
        <v/>
      </c>
    </row>
    <row r="750" spans="23:53" ht="15" customHeight="1" x14ac:dyDescent="0.25">
      <c r="W750" s="28" t="str">
        <f>IF(X750="","",IFERROR(INDEX($AL$11:$AL$4010,MATCH(740,$AY$11:$AY$4010,0)),""))</f>
        <v/>
      </c>
      <c r="X750" s="26" t="str">
        <f>IFERROR(INDEX($AM$11:$AM$4010,MATCH(740,$AY$11:$AY$4010,0)),"")</f>
        <v/>
      </c>
      <c r="Y750" s="25" t="str">
        <f>IF(X750="","",IFERROR(INDEX($AN$11:$AN$4010,MATCH(740,$AY$11:$AY$4010,0)),""))</f>
        <v/>
      </c>
      <c r="Z750" s="25" t="str">
        <f>IF(X750="","",IFERROR(INDEX($AO$11:$AO$4010,MATCH(740,$AY$11:$AY$4010,0)),""))</f>
        <v/>
      </c>
      <c r="AA750" s="24" t="str">
        <f>IF(X750="","",IFERROR(INDEX($AQ$11:$AQ$4010,MATCH(740,$AY$11:$AY$4010,0)),""))</f>
        <v/>
      </c>
      <c r="AB750" s="29" t="str">
        <f>IF(X750="","",IFERROR(INDEX($AR$11:$AR$4010,MATCH(740,$AY$11:$AY$4010,0)),""))</f>
        <v/>
      </c>
      <c r="AD750" s="30" t="str">
        <f>IF(AE750="","",IFERROR(INDEX($AL$11:$AL$4010,MATCH(740,$AZ$11:$AZ$4010,0)),""))</f>
        <v/>
      </c>
      <c r="AE750" s="26" t="str">
        <f>IFERROR(INDEX($AM$11:$AM$4010,MATCH(740,$AZ$11:$AZ$4010,0)),"")</f>
        <v/>
      </c>
      <c r="AF750" s="25" t="str">
        <f>IF(AE750="","",IFERROR(INDEX($AN$11:$AN$4010,MATCH(740,$AZ$11:$AZ$4010,0)),""))</f>
        <v/>
      </c>
      <c r="AG750" s="25" t="str">
        <f>IF(AE750="","",IFERROR(INDEX($AO$11:$AO$4010,MATCH(740,$AZ$11:$AZ$4010,0)),""))</f>
        <v/>
      </c>
      <c r="AH750" s="24" t="str">
        <f>IF(AE750="","",IFERROR(INDEX($AQ$11:$AQ$4010,MATCH(740,$AZ$11:$AZ$4010,0)),""))</f>
        <v/>
      </c>
      <c r="AI750" s="29" t="str">
        <f>IF(AE750="","",IFERROR(INDEX($AR$11:$AR$4010,MATCH(740,$AZ$11:$AZ$4010,0)),""))</f>
        <v/>
      </c>
      <c r="AJ750" s="29" t="str">
        <f>IF(AE750="","",IFERROR(INDEX($AT$11:$AT$4010,MATCH(740,$AZ$11:$AZ$4010,0)),""))</f>
        <v/>
      </c>
      <c r="AL750" s="31"/>
      <c r="AM750" s="26"/>
      <c r="AN750" s="32"/>
      <c r="AO750" s="32"/>
      <c r="AP750" s="24"/>
      <c r="AQ750" s="24"/>
      <c r="AR750" s="33"/>
      <c r="AS750" s="34"/>
      <c r="AT750" s="33"/>
      <c r="AV750" s="21">
        <f>IF(AND($AL750&lt;&gt;"",COUNTIF($AL$11:$AL750,$AL750)=1),1,0)</f>
        <v>0</v>
      </c>
      <c r="AW750" s="21">
        <f t="shared" si="109"/>
        <v>0</v>
      </c>
      <c r="AX750" s="21" t="str">
        <f t="shared" si="108"/>
        <v/>
      </c>
      <c r="AY750" s="21" t="str">
        <f>IF(AND($AM750&lt;&gt;"",$AS750&lt;&gt;"✓"),SUMPRODUCT(($AM$11:$AM750&lt;&gt;"")*($AS$11:$AS750&lt;&gt;"✓")),"")</f>
        <v/>
      </c>
      <c r="AZ750" s="21" t="str">
        <f>IF(AND($AM750&lt;&gt;"",$AS750="✓"),SUMPRODUCT(($AM$11:$AM750&lt;&gt;"")*($AS$11:$AS750="✓")),"")</f>
        <v/>
      </c>
      <c r="BA750" s="21" t="str">
        <f>IF($AL750="","",$AL750&amp;"|"&amp;COUNTIF($AL$11:$AL750,$AL750))</f>
        <v/>
      </c>
    </row>
    <row r="751" spans="23:53" ht="15" customHeight="1" x14ac:dyDescent="0.25">
      <c r="W751" s="14" t="str">
        <f>IF(X751="","",IFERROR(INDEX($AL$11:$AL$4010,MATCH(741,$AY$11:$AY$4010,0)),""))</f>
        <v/>
      </c>
      <c r="X751" s="12" t="str">
        <f>IFERROR(INDEX($AM$11:$AM$4010,MATCH(741,$AY$11:$AY$4010,0)),"")</f>
        <v/>
      </c>
      <c r="Y751" s="11" t="str">
        <f>IF(X751="","",IFERROR(INDEX($AN$11:$AN$4010,MATCH(741,$AY$11:$AY$4010,0)),""))</f>
        <v/>
      </c>
      <c r="Z751" s="11" t="str">
        <f>IF(X751="","",IFERROR(INDEX($AO$11:$AO$4010,MATCH(741,$AY$11:$AY$4010,0)),""))</f>
        <v/>
      </c>
      <c r="AA751" s="10" t="str">
        <f>IF(X751="","",IFERROR(INDEX($AQ$11:$AQ$4010,MATCH(741,$AY$11:$AY$4010,0)),""))</f>
        <v/>
      </c>
      <c r="AB751" s="15" t="str">
        <f>IF(X751="","",IFERROR(INDEX($AR$11:$AR$4010,MATCH(741,$AY$11:$AY$4010,0)),""))</f>
        <v/>
      </c>
      <c r="AD751" s="16" t="str">
        <f>IF(AE751="","",IFERROR(INDEX($AL$11:$AL$4010,MATCH(741,$AZ$11:$AZ$4010,0)),""))</f>
        <v/>
      </c>
      <c r="AE751" s="12" t="str">
        <f>IFERROR(INDEX($AM$11:$AM$4010,MATCH(741,$AZ$11:$AZ$4010,0)),"")</f>
        <v/>
      </c>
      <c r="AF751" s="11" t="str">
        <f>IF(AE751="","",IFERROR(INDEX($AN$11:$AN$4010,MATCH(741,$AZ$11:$AZ$4010,0)),""))</f>
        <v/>
      </c>
      <c r="AG751" s="11" t="str">
        <f>IF(AE751="","",IFERROR(INDEX($AO$11:$AO$4010,MATCH(741,$AZ$11:$AZ$4010,0)),""))</f>
        <v/>
      </c>
      <c r="AH751" s="10" t="str">
        <f>IF(AE751="","",IFERROR(INDEX($AQ$11:$AQ$4010,MATCH(741,$AZ$11:$AZ$4010,0)),""))</f>
        <v/>
      </c>
      <c r="AI751" s="15" t="str">
        <f>IF(AE751="","",IFERROR(INDEX($AR$11:$AR$4010,MATCH(741,$AZ$11:$AZ$4010,0)),""))</f>
        <v/>
      </c>
      <c r="AJ751" s="15" t="str">
        <f>IF(AE751="","",IFERROR(INDEX($AT$11:$AT$4010,MATCH(741,$AZ$11:$AZ$4010,0)),""))</f>
        <v/>
      </c>
      <c r="AL751" s="17"/>
      <c r="AM751" s="12"/>
      <c r="AN751" s="18"/>
      <c r="AO751" s="18"/>
      <c r="AP751" s="10"/>
      <c r="AQ751" s="10"/>
      <c r="AR751" s="19"/>
      <c r="AS751" s="20"/>
      <c r="AT751" s="19"/>
      <c r="AV751" s="21">
        <f>IF(AND($AL751&lt;&gt;"",COUNTIF($AL$11:$AL751,$AL751)=1),1,0)</f>
        <v>0</v>
      </c>
      <c r="AW751" s="21">
        <f t="shared" si="109"/>
        <v>0</v>
      </c>
      <c r="AX751" s="21" t="str">
        <f t="shared" si="108"/>
        <v/>
      </c>
      <c r="AY751" s="21" t="str">
        <f>IF(AND($AM751&lt;&gt;"",$AS751&lt;&gt;"✓"),SUMPRODUCT(($AM$11:$AM751&lt;&gt;"")*($AS$11:$AS751&lt;&gt;"✓")),"")</f>
        <v/>
      </c>
      <c r="AZ751" s="21" t="str">
        <f>IF(AND($AM751&lt;&gt;"",$AS751="✓"),SUMPRODUCT(($AM$11:$AM751&lt;&gt;"")*($AS$11:$AS751="✓")),"")</f>
        <v/>
      </c>
      <c r="BA751" s="21" t="str">
        <f>IF($AL751="","",$AL751&amp;"|"&amp;COUNTIF($AL$11:$AL751,$AL751))</f>
        <v/>
      </c>
    </row>
    <row r="752" spans="23:53" ht="15" customHeight="1" x14ac:dyDescent="0.25">
      <c r="W752" s="28" t="str">
        <f>IF(X752="","",IFERROR(INDEX($AL$11:$AL$4010,MATCH(742,$AY$11:$AY$4010,0)),""))</f>
        <v/>
      </c>
      <c r="X752" s="26" t="str">
        <f>IFERROR(INDEX($AM$11:$AM$4010,MATCH(742,$AY$11:$AY$4010,0)),"")</f>
        <v/>
      </c>
      <c r="Y752" s="25" t="str">
        <f>IF(X752="","",IFERROR(INDEX($AN$11:$AN$4010,MATCH(742,$AY$11:$AY$4010,0)),""))</f>
        <v/>
      </c>
      <c r="Z752" s="25" t="str">
        <f>IF(X752="","",IFERROR(INDEX($AO$11:$AO$4010,MATCH(742,$AY$11:$AY$4010,0)),""))</f>
        <v/>
      </c>
      <c r="AA752" s="24" t="str">
        <f>IF(X752="","",IFERROR(INDEX($AQ$11:$AQ$4010,MATCH(742,$AY$11:$AY$4010,0)),""))</f>
        <v/>
      </c>
      <c r="AB752" s="29" t="str">
        <f>IF(X752="","",IFERROR(INDEX($AR$11:$AR$4010,MATCH(742,$AY$11:$AY$4010,0)),""))</f>
        <v/>
      </c>
      <c r="AD752" s="30" t="str">
        <f>IF(AE752="","",IFERROR(INDEX($AL$11:$AL$4010,MATCH(742,$AZ$11:$AZ$4010,0)),""))</f>
        <v/>
      </c>
      <c r="AE752" s="26" t="str">
        <f>IFERROR(INDEX($AM$11:$AM$4010,MATCH(742,$AZ$11:$AZ$4010,0)),"")</f>
        <v/>
      </c>
      <c r="AF752" s="25" t="str">
        <f>IF(AE752="","",IFERROR(INDEX($AN$11:$AN$4010,MATCH(742,$AZ$11:$AZ$4010,0)),""))</f>
        <v/>
      </c>
      <c r="AG752" s="25" t="str">
        <f>IF(AE752="","",IFERROR(INDEX($AO$11:$AO$4010,MATCH(742,$AZ$11:$AZ$4010,0)),""))</f>
        <v/>
      </c>
      <c r="AH752" s="24" t="str">
        <f>IF(AE752="","",IFERROR(INDEX($AQ$11:$AQ$4010,MATCH(742,$AZ$11:$AZ$4010,0)),""))</f>
        <v/>
      </c>
      <c r="AI752" s="29" t="str">
        <f>IF(AE752="","",IFERROR(INDEX($AR$11:$AR$4010,MATCH(742,$AZ$11:$AZ$4010,0)),""))</f>
        <v/>
      </c>
      <c r="AJ752" s="29" t="str">
        <f>IF(AE752="","",IFERROR(INDEX($AT$11:$AT$4010,MATCH(742,$AZ$11:$AZ$4010,0)),""))</f>
        <v/>
      </c>
      <c r="AL752" s="31"/>
      <c r="AM752" s="26"/>
      <c r="AN752" s="32"/>
      <c r="AO752" s="32"/>
      <c r="AP752" s="24"/>
      <c r="AQ752" s="24"/>
      <c r="AR752" s="33"/>
      <c r="AS752" s="34"/>
      <c r="AT752" s="33"/>
      <c r="AV752" s="21">
        <f>IF(AND($AL752&lt;&gt;"",COUNTIF($AL$11:$AL752,$AL752)=1),1,0)</f>
        <v>0</v>
      </c>
      <c r="AW752" s="21">
        <f t="shared" si="109"/>
        <v>0</v>
      </c>
      <c r="AX752" s="21" t="str">
        <f t="shared" si="108"/>
        <v/>
      </c>
      <c r="AY752" s="21" t="str">
        <f>IF(AND($AM752&lt;&gt;"",$AS752&lt;&gt;"✓"),SUMPRODUCT(($AM$11:$AM752&lt;&gt;"")*($AS$11:$AS752&lt;&gt;"✓")),"")</f>
        <v/>
      </c>
      <c r="AZ752" s="21" t="str">
        <f>IF(AND($AM752&lt;&gt;"",$AS752="✓"),SUMPRODUCT(($AM$11:$AM752&lt;&gt;"")*($AS$11:$AS752="✓")),"")</f>
        <v/>
      </c>
      <c r="BA752" s="21" t="str">
        <f>IF($AL752="","",$AL752&amp;"|"&amp;COUNTIF($AL$11:$AL752,$AL752))</f>
        <v/>
      </c>
    </row>
    <row r="753" spans="23:53" ht="15" customHeight="1" x14ac:dyDescent="0.25">
      <c r="W753" s="14" t="str">
        <f>IF(X753="","",IFERROR(INDEX($AL$11:$AL$4010,MATCH(743,$AY$11:$AY$4010,0)),""))</f>
        <v/>
      </c>
      <c r="X753" s="12" t="str">
        <f>IFERROR(INDEX($AM$11:$AM$4010,MATCH(743,$AY$11:$AY$4010,0)),"")</f>
        <v/>
      </c>
      <c r="Y753" s="11" t="str">
        <f>IF(X753="","",IFERROR(INDEX($AN$11:$AN$4010,MATCH(743,$AY$11:$AY$4010,0)),""))</f>
        <v/>
      </c>
      <c r="Z753" s="11" t="str">
        <f>IF(X753="","",IFERROR(INDEX($AO$11:$AO$4010,MATCH(743,$AY$11:$AY$4010,0)),""))</f>
        <v/>
      </c>
      <c r="AA753" s="10" t="str">
        <f>IF(X753="","",IFERROR(INDEX($AQ$11:$AQ$4010,MATCH(743,$AY$11:$AY$4010,0)),""))</f>
        <v/>
      </c>
      <c r="AB753" s="15" t="str">
        <f>IF(X753="","",IFERROR(INDEX($AR$11:$AR$4010,MATCH(743,$AY$11:$AY$4010,0)),""))</f>
        <v/>
      </c>
      <c r="AD753" s="16" t="str">
        <f>IF(AE753="","",IFERROR(INDEX($AL$11:$AL$4010,MATCH(743,$AZ$11:$AZ$4010,0)),""))</f>
        <v/>
      </c>
      <c r="AE753" s="12" t="str">
        <f>IFERROR(INDEX($AM$11:$AM$4010,MATCH(743,$AZ$11:$AZ$4010,0)),"")</f>
        <v/>
      </c>
      <c r="AF753" s="11" t="str">
        <f>IF(AE753="","",IFERROR(INDEX($AN$11:$AN$4010,MATCH(743,$AZ$11:$AZ$4010,0)),""))</f>
        <v/>
      </c>
      <c r="AG753" s="11" t="str">
        <f>IF(AE753="","",IFERROR(INDEX($AO$11:$AO$4010,MATCH(743,$AZ$11:$AZ$4010,0)),""))</f>
        <v/>
      </c>
      <c r="AH753" s="10" t="str">
        <f>IF(AE753="","",IFERROR(INDEX($AQ$11:$AQ$4010,MATCH(743,$AZ$11:$AZ$4010,0)),""))</f>
        <v/>
      </c>
      <c r="AI753" s="15" t="str">
        <f>IF(AE753="","",IFERROR(INDEX($AR$11:$AR$4010,MATCH(743,$AZ$11:$AZ$4010,0)),""))</f>
        <v/>
      </c>
      <c r="AJ753" s="15" t="str">
        <f>IF(AE753="","",IFERROR(INDEX($AT$11:$AT$4010,MATCH(743,$AZ$11:$AZ$4010,0)),""))</f>
        <v/>
      </c>
      <c r="AL753" s="17"/>
      <c r="AM753" s="12"/>
      <c r="AN753" s="18"/>
      <c r="AO753" s="18"/>
      <c r="AP753" s="10"/>
      <c r="AQ753" s="10"/>
      <c r="AR753" s="19"/>
      <c r="AS753" s="20"/>
      <c r="AT753" s="19"/>
      <c r="AV753" s="21">
        <f>IF(AND($AL753&lt;&gt;"",COUNTIF($AL$11:$AL753,$AL753)=1),1,0)</f>
        <v>0</v>
      </c>
      <c r="AW753" s="21">
        <f t="shared" si="109"/>
        <v>0</v>
      </c>
      <c r="AX753" s="21" t="str">
        <f t="shared" si="108"/>
        <v/>
      </c>
      <c r="AY753" s="21" t="str">
        <f>IF(AND($AM753&lt;&gt;"",$AS753&lt;&gt;"✓"),SUMPRODUCT(($AM$11:$AM753&lt;&gt;"")*($AS$11:$AS753&lt;&gt;"✓")),"")</f>
        <v/>
      </c>
      <c r="AZ753" s="21" t="str">
        <f>IF(AND($AM753&lt;&gt;"",$AS753="✓"),SUMPRODUCT(($AM$11:$AM753&lt;&gt;"")*($AS$11:$AS753="✓")),"")</f>
        <v/>
      </c>
      <c r="BA753" s="21" t="str">
        <f>IF($AL753="","",$AL753&amp;"|"&amp;COUNTIF($AL$11:$AL753,$AL753))</f>
        <v/>
      </c>
    </row>
    <row r="754" spans="23:53" ht="15" customHeight="1" x14ac:dyDescent="0.25">
      <c r="W754" s="28" t="str">
        <f>IF(X754="","",IFERROR(INDEX($AL$11:$AL$4010,MATCH(744,$AY$11:$AY$4010,0)),""))</f>
        <v/>
      </c>
      <c r="X754" s="26" t="str">
        <f>IFERROR(INDEX($AM$11:$AM$4010,MATCH(744,$AY$11:$AY$4010,0)),"")</f>
        <v/>
      </c>
      <c r="Y754" s="25" t="str">
        <f>IF(X754="","",IFERROR(INDEX($AN$11:$AN$4010,MATCH(744,$AY$11:$AY$4010,0)),""))</f>
        <v/>
      </c>
      <c r="Z754" s="25" t="str">
        <f>IF(X754="","",IFERROR(INDEX($AO$11:$AO$4010,MATCH(744,$AY$11:$AY$4010,0)),""))</f>
        <v/>
      </c>
      <c r="AA754" s="24" t="str">
        <f>IF(X754="","",IFERROR(INDEX($AQ$11:$AQ$4010,MATCH(744,$AY$11:$AY$4010,0)),""))</f>
        <v/>
      </c>
      <c r="AB754" s="29" t="str">
        <f>IF(X754="","",IFERROR(INDEX($AR$11:$AR$4010,MATCH(744,$AY$11:$AY$4010,0)),""))</f>
        <v/>
      </c>
      <c r="AD754" s="30" t="str">
        <f>IF(AE754="","",IFERROR(INDEX($AL$11:$AL$4010,MATCH(744,$AZ$11:$AZ$4010,0)),""))</f>
        <v/>
      </c>
      <c r="AE754" s="26" t="str">
        <f>IFERROR(INDEX($AM$11:$AM$4010,MATCH(744,$AZ$11:$AZ$4010,0)),"")</f>
        <v/>
      </c>
      <c r="AF754" s="25" t="str">
        <f>IF(AE754="","",IFERROR(INDEX($AN$11:$AN$4010,MATCH(744,$AZ$11:$AZ$4010,0)),""))</f>
        <v/>
      </c>
      <c r="AG754" s="25" t="str">
        <f>IF(AE754="","",IFERROR(INDEX($AO$11:$AO$4010,MATCH(744,$AZ$11:$AZ$4010,0)),""))</f>
        <v/>
      </c>
      <c r="AH754" s="24" t="str">
        <f>IF(AE754="","",IFERROR(INDEX($AQ$11:$AQ$4010,MATCH(744,$AZ$11:$AZ$4010,0)),""))</f>
        <v/>
      </c>
      <c r="AI754" s="29" t="str">
        <f>IF(AE754="","",IFERROR(INDEX($AR$11:$AR$4010,MATCH(744,$AZ$11:$AZ$4010,0)),""))</f>
        <v/>
      </c>
      <c r="AJ754" s="29" t="str">
        <f>IF(AE754="","",IFERROR(INDEX($AT$11:$AT$4010,MATCH(744,$AZ$11:$AZ$4010,0)),""))</f>
        <v/>
      </c>
      <c r="AL754" s="31"/>
      <c r="AM754" s="26"/>
      <c r="AN754" s="32"/>
      <c r="AO754" s="32"/>
      <c r="AP754" s="24"/>
      <c r="AQ754" s="24"/>
      <c r="AR754" s="33"/>
      <c r="AS754" s="34"/>
      <c r="AT754" s="33"/>
      <c r="AV754" s="21">
        <f>IF(AND($AL754&lt;&gt;"",COUNTIF($AL$11:$AL754,$AL754)=1),1,0)</f>
        <v>0</v>
      </c>
      <c r="AW754" s="21">
        <f t="shared" si="109"/>
        <v>0</v>
      </c>
      <c r="AX754" s="21" t="str">
        <f t="shared" si="108"/>
        <v/>
      </c>
      <c r="AY754" s="21" t="str">
        <f>IF(AND($AM754&lt;&gt;"",$AS754&lt;&gt;"✓"),SUMPRODUCT(($AM$11:$AM754&lt;&gt;"")*($AS$11:$AS754&lt;&gt;"✓")),"")</f>
        <v/>
      </c>
      <c r="AZ754" s="21" t="str">
        <f>IF(AND($AM754&lt;&gt;"",$AS754="✓"),SUMPRODUCT(($AM$11:$AM754&lt;&gt;"")*($AS$11:$AS754="✓")),"")</f>
        <v/>
      </c>
      <c r="BA754" s="21" t="str">
        <f>IF($AL754="","",$AL754&amp;"|"&amp;COUNTIF($AL$11:$AL754,$AL754))</f>
        <v/>
      </c>
    </row>
    <row r="755" spans="23:53" ht="15" customHeight="1" x14ac:dyDescent="0.25">
      <c r="W755" s="14" t="str">
        <f>IF(X755="","",IFERROR(INDEX($AL$11:$AL$4010,MATCH(745,$AY$11:$AY$4010,0)),""))</f>
        <v/>
      </c>
      <c r="X755" s="12" t="str">
        <f>IFERROR(INDEX($AM$11:$AM$4010,MATCH(745,$AY$11:$AY$4010,0)),"")</f>
        <v/>
      </c>
      <c r="Y755" s="11" t="str">
        <f>IF(X755="","",IFERROR(INDEX($AN$11:$AN$4010,MATCH(745,$AY$11:$AY$4010,0)),""))</f>
        <v/>
      </c>
      <c r="Z755" s="11" t="str">
        <f>IF(X755="","",IFERROR(INDEX($AO$11:$AO$4010,MATCH(745,$AY$11:$AY$4010,0)),""))</f>
        <v/>
      </c>
      <c r="AA755" s="10" t="str">
        <f>IF(X755="","",IFERROR(INDEX($AQ$11:$AQ$4010,MATCH(745,$AY$11:$AY$4010,0)),""))</f>
        <v/>
      </c>
      <c r="AB755" s="15" t="str">
        <f>IF(X755="","",IFERROR(INDEX($AR$11:$AR$4010,MATCH(745,$AY$11:$AY$4010,0)),""))</f>
        <v/>
      </c>
      <c r="AD755" s="16" t="str">
        <f>IF(AE755="","",IFERROR(INDEX($AL$11:$AL$4010,MATCH(745,$AZ$11:$AZ$4010,0)),""))</f>
        <v/>
      </c>
      <c r="AE755" s="12" t="str">
        <f>IFERROR(INDEX($AM$11:$AM$4010,MATCH(745,$AZ$11:$AZ$4010,0)),"")</f>
        <v/>
      </c>
      <c r="AF755" s="11" t="str">
        <f>IF(AE755="","",IFERROR(INDEX($AN$11:$AN$4010,MATCH(745,$AZ$11:$AZ$4010,0)),""))</f>
        <v/>
      </c>
      <c r="AG755" s="11" t="str">
        <f>IF(AE755="","",IFERROR(INDEX($AO$11:$AO$4010,MATCH(745,$AZ$11:$AZ$4010,0)),""))</f>
        <v/>
      </c>
      <c r="AH755" s="10" t="str">
        <f>IF(AE755="","",IFERROR(INDEX($AQ$11:$AQ$4010,MATCH(745,$AZ$11:$AZ$4010,0)),""))</f>
        <v/>
      </c>
      <c r="AI755" s="15" t="str">
        <f>IF(AE755="","",IFERROR(INDEX($AR$11:$AR$4010,MATCH(745,$AZ$11:$AZ$4010,0)),""))</f>
        <v/>
      </c>
      <c r="AJ755" s="15" t="str">
        <f>IF(AE755="","",IFERROR(INDEX($AT$11:$AT$4010,MATCH(745,$AZ$11:$AZ$4010,0)),""))</f>
        <v/>
      </c>
      <c r="AL755" s="17"/>
      <c r="AM755" s="12"/>
      <c r="AN755" s="18"/>
      <c r="AO755" s="18"/>
      <c r="AP755" s="10"/>
      <c r="AQ755" s="10"/>
      <c r="AR755" s="19"/>
      <c r="AS755" s="20"/>
      <c r="AT755" s="19"/>
      <c r="AV755" s="21">
        <f>IF(AND($AL755&lt;&gt;"",COUNTIF($AL$11:$AL755,$AL755)=1),1,0)</f>
        <v>0</v>
      </c>
      <c r="AW755" s="21">
        <f t="shared" si="109"/>
        <v>0</v>
      </c>
      <c r="AX755" s="21" t="str">
        <f t="shared" si="108"/>
        <v/>
      </c>
      <c r="AY755" s="21" t="str">
        <f>IF(AND($AM755&lt;&gt;"",$AS755&lt;&gt;"✓"),SUMPRODUCT(($AM$11:$AM755&lt;&gt;"")*($AS$11:$AS755&lt;&gt;"✓")),"")</f>
        <v/>
      </c>
      <c r="AZ755" s="21" t="str">
        <f>IF(AND($AM755&lt;&gt;"",$AS755="✓"),SUMPRODUCT(($AM$11:$AM755&lt;&gt;"")*($AS$11:$AS755="✓")),"")</f>
        <v/>
      </c>
      <c r="BA755" s="21" t="str">
        <f>IF($AL755="","",$AL755&amp;"|"&amp;COUNTIF($AL$11:$AL755,$AL755))</f>
        <v/>
      </c>
    </row>
    <row r="756" spans="23:53" ht="15" customHeight="1" x14ac:dyDescent="0.25">
      <c r="W756" s="28" t="str">
        <f>IF(X756="","",IFERROR(INDEX($AL$11:$AL$4010,MATCH(746,$AY$11:$AY$4010,0)),""))</f>
        <v/>
      </c>
      <c r="X756" s="26" t="str">
        <f>IFERROR(INDEX($AM$11:$AM$4010,MATCH(746,$AY$11:$AY$4010,0)),"")</f>
        <v/>
      </c>
      <c r="Y756" s="25" t="str">
        <f>IF(X756="","",IFERROR(INDEX($AN$11:$AN$4010,MATCH(746,$AY$11:$AY$4010,0)),""))</f>
        <v/>
      </c>
      <c r="Z756" s="25" t="str">
        <f>IF(X756="","",IFERROR(INDEX($AO$11:$AO$4010,MATCH(746,$AY$11:$AY$4010,0)),""))</f>
        <v/>
      </c>
      <c r="AA756" s="24" t="str">
        <f>IF(X756="","",IFERROR(INDEX($AQ$11:$AQ$4010,MATCH(746,$AY$11:$AY$4010,0)),""))</f>
        <v/>
      </c>
      <c r="AB756" s="29" t="str">
        <f>IF(X756="","",IFERROR(INDEX($AR$11:$AR$4010,MATCH(746,$AY$11:$AY$4010,0)),""))</f>
        <v/>
      </c>
      <c r="AD756" s="30" t="str">
        <f>IF(AE756="","",IFERROR(INDEX($AL$11:$AL$4010,MATCH(746,$AZ$11:$AZ$4010,0)),""))</f>
        <v/>
      </c>
      <c r="AE756" s="26" t="str">
        <f>IFERROR(INDEX($AM$11:$AM$4010,MATCH(746,$AZ$11:$AZ$4010,0)),"")</f>
        <v/>
      </c>
      <c r="AF756" s="25" t="str">
        <f>IF(AE756="","",IFERROR(INDEX($AN$11:$AN$4010,MATCH(746,$AZ$11:$AZ$4010,0)),""))</f>
        <v/>
      </c>
      <c r="AG756" s="25" t="str">
        <f>IF(AE756="","",IFERROR(INDEX($AO$11:$AO$4010,MATCH(746,$AZ$11:$AZ$4010,0)),""))</f>
        <v/>
      </c>
      <c r="AH756" s="24" t="str">
        <f>IF(AE756="","",IFERROR(INDEX($AQ$11:$AQ$4010,MATCH(746,$AZ$11:$AZ$4010,0)),""))</f>
        <v/>
      </c>
      <c r="AI756" s="29" t="str">
        <f>IF(AE756="","",IFERROR(INDEX($AR$11:$AR$4010,MATCH(746,$AZ$11:$AZ$4010,0)),""))</f>
        <v/>
      </c>
      <c r="AJ756" s="29" t="str">
        <f>IF(AE756="","",IFERROR(INDEX($AT$11:$AT$4010,MATCH(746,$AZ$11:$AZ$4010,0)),""))</f>
        <v/>
      </c>
      <c r="AL756" s="31"/>
      <c r="AM756" s="26"/>
      <c r="AN756" s="32"/>
      <c r="AO756" s="32"/>
      <c r="AP756" s="24"/>
      <c r="AQ756" s="24"/>
      <c r="AR756" s="33"/>
      <c r="AS756" s="34"/>
      <c r="AT756" s="33"/>
      <c r="AV756" s="21">
        <f>IF(AND($AL756&lt;&gt;"",COUNTIF($AL$11:$AL756,$AL756)=1),1,0)</f>
        <v>0</v>
      </c>
      <c r="AW756" s="21">
        <f t="shared" si="109"/>
        <v>0</v>
      </c>
      <c r="AX756" s="21" t="str">
        <f t="shared" si="108"/>
        <v/>
      </c>
      <c r="AY756" s="21" t="str">
        <f>IF(AND($AM756&lt;&gt;"",$AS756&lt;&gt;"✓"),SUMPRODUCT(($AM$11:$AM756&lt;&gt;"")*($AS$11:$AS756&lt;&gt;"✓")),"")</f>
        <v/>
      </c>
      <c r="AZ756" s="21" t="str">
        <f>IF(AND($AM756&lt;&gt;"",$AS756="✓"),SUMPRODUCT(($AM$11:$AM756&lt;&gt;"")*($AS$11:$AS756="✓")),"")</f>
        <v/>
      </c>
      <c r="BA756" s="21" t="str">
        <f>IF($AL756="","",$AL756&amp;"|"&amp;COUNTIF($AL$11:$AL756,$AL756))</f>
        <v/>
      </c>
    </row>
    <row r="757" spans="23:53" ht="15" customHeight="1" x14ac:dyDescent="0.25">
      <c r="W757" s="14" t="str">
        <f>IF(X757="","",IFERROR(INDEX($AL$11:$AL$4010,MATCH(747,$AY$11:$AY$4010,0)),""))</f>
        <v/>
      </c>
      <c r="X757" s="12" t="str">
        <f>IFERROR(INDEX($AM$11:$AM$4010,MATCH(747,$AY$11:$AY$4010,0)),"")</f>
        <v/>
      </c>
      <c r="Y757" s="11" t="str">
        <f>IF(X757="","",IFERROR(INDEX($AN$11:$AN$4010,MATCH(747,$AY$11:$AY$4010,0)),""))</f>
        <v/>
      </c>
      <c r="Z757" s="11" t="str">
        <f>IF(X757="","",IFERROR(INDEX($AO$11:$AO$4010,MATCH(747,$AY$11:$AY$4010,0)),""))</f>
        <v/>
      </c>
      <c r="AA757" s="10" t="str">
        <f>IF(X757="","",IFERROR(INDEX($AQ$11:$AQ$4010,MATCH(747,$AY$11:$AY$4010,0)),""))</f>
        <v/>
      </c>
      <c r="AB757" s="15" t="str">
        <f>IF(X757="","",IFERROR(INDEX($AR$11:$AR$4010,MATCH(747,$AY$11:$AY$4010,0)),""))</f>
        <v/>
      </c>
      <c r="AD757" s="16" t="str">
        <f>IF(AE757="","",IFERROR(INDEX($AL$11:$AL$4010,MATCH(747,$AZ$11:$AZ$4010,0)),""))</f>
        <v/>
      </c>
      <c r="AE757" s="12" t="str">
        <f>IFERROR(INDEX($AM$11:$AM$4010,MATCH(747,$AZ$11:$AZ$4010,0)),"")</f>
        <v/>
      </c>
      <c r="AF757" s="11" t="str">
        <f>IF(AE757="","",IFERROR(INDEX($AN$11:$AN$4010,MATCH(747,$AZ$11:$AZ$4010,0)),""))</f>
        <v/>
      </c>
      <c r="AG757" s="11" t="str">
        <f>IF(AE757="","",IFERROR(INDEX($AO$11:$AO$4010,MATCH(747,$AZ$11:$AZ$4010,0)),""))</f>
        <v/>
      </c>
      <c r="AH757" s="10" t="str">
        <f>IF(AE757="","",IFERROR(INDEX($AQ$11:$AQ$4010,MATCH(747,$AZ$11:$AZ$4010,0)),""))</f>
        <v/>
      </c>
      <c r="AI757" s="15" t="str">
        <f>IF(AE757="","",IFERROR(INDEX($AR$11:$AR$4010,MATCH(747,$AZ$11:$AZ$4010,0)),""))</f>
        <v/>
      </c>
      <c r="AJ757" s="15" t="str">
        <f>IF(AE757="","",IFERROR(INDEX($AT$11:$AT$4010,MATCH(747,$AZ$11:$AZ$4010,0)),""))</f>
        <v/>
      </c>
      <c r="AL757" s="17"/>
      <c r="AM757" s="12"/>
      <c r="AN757" s="18"/>
      <c r="AO757" s="18"/>
      <c r="AP757" s="10"/>
      <c r="AQ757" s="10"/>
      <c r="AR757" s="19"/>
      <c r="AS757" s="20"/>
      <c r="AT757" s="19"/>
      <c r="AV757" s="21">
        <f>IF(AND($AL757&lt;&gt;"",COUNTIF($AL$11:$AL757,$AL757)=1),1,0)</f>
        <v>0</v>
      </c>
      <c r="AW757" s="21">
        <f t="shared" si="109"/>
        <v>0</v>
      </c>
      <c r="AX757" s="21" t="str">
        <f t="shared" si="108"/>
        <v/>
      </c>
      <c r="AY757" s="21" t="str">
        <f>IF(AND($AM757&lt;&gt;"",$AS757&lt;&gt;"✓"),SUMPRODUCT(($AM$11:$AM757&lt;&gt;"")*($AS$11:$AS757&lt;&gt;"✓")),"")</f>
        <v/>
      </c>
      <c r="AZ757" s="21" t="str">
        <f>IF(AND($AM757&lt;&gt;"",$AS757="✓"),SUMPRODUCT(($AM$11:$AM757&lt;&gt;"")*($AS$11:$AS757="✓")),"")</f>
        <v/>
      </c>
      <c r="BA757" s="21" t="str">
        <f>IF($AL757="","",$AL757&amp;"|"&amp;COUNTIF($AL$11:$AL757,$AL757))</f>
        <v/>
      </c>
    </row>
    <row r="758" spans="23:53" ht="15" customHeight="1" x14ac:dyDescent="0.25">
      <c r="W758" s="28" t="str">
        <f>IF(X758="","",IFERROR(INDEX($AL$11:$AL$4010,MATCH(748,$AY$11:$AY$4010,0)),""))</f>
        <v/>
      </c>
      <c r="X758" s="26" t="str">
        <f>IFERROR(INDEX($AM$11:$AM$4010,MATCH(748,$AY$11:$AY$4010,0)),"")</f>
        <v/>
      </c>
      <c r="Y758" s="25" t="str">
        <f>IF(X758="","",IFERROR(INDEX($AN$11:$AN$4010,MATCH(748,$AY$11:$AY$4010,0)),""))</f>
        <v/>
      </c>
      <c r="Z758" s="25" t="str">
        <f>IF(X758="","",IFERROR(INDEX($AO$11:$AO$4010,MATCH(748,$AY$11:$AY$4010,0)),""))</f>
        <v/>
      </c>
      <c r="AA758" s="24" t="str">
        <f>IF(X758="","",IFERROR(INDEX($AQ$11:$AQ$4010,MATCH(748,$AY$11:$AY$4010,0)),""))</f>
        <v/>
      </c>
      <c r="AB758" s="29" t="str">
        <f>IF(X758="","",IFERROR(INDEX($AR$11:$AR$4010,MATCH(748,$AY$11:$AY$4010,0)),""))</f>
        <v/>
      </c>
      <c r="AD758" s="30" t="str">
        <f>IF(AE758="","",IFERROR(INDEX($AL$11:$AL$4010,MATCH(748,$AZ$11:$AZ$4010,0)),""))</f>
        <v/>
      </c>
      <c r="AE758" s="26" t="str">
        <f>IFERROR(INDEX($AM$11:$AM$4010,MATCH(748,$AZ$11:$AZ$4010,0)),"")</f>
        <v/>
      </c>
      <c r="AF758" s="25" t="str">
        <f>IF(AE758="","",IFERROR(INDEX($AN$11:$AN$4010,MATCH(748,$AZ$11:$AZ$4010,0)),""))</f>
        <v/>
      </c>
      <c r="AG758" s="25" t="str">
        <f>IF(AE758="","",IFERROR(INDEX($AO$11:$AO$4010,MATCH(748,$AZ$11:$AZ$4010,0)),""))</f>
        <v/>
      </c>
      <c r="AH758" s="24" t="str">
        <f>IF(AE758="","",IFERROR(INDEX($AQ$11:$AQ$4010,MATCH(748,$AZ$11:$AZ$4010,0)),""))</f>
        <v/>
      </c>
      <c r="AI758" s="29" t="str">
        <f>IF(AE758="","",IFERROR(INDEX($AR$11:$AR$4010,MATCH(748,$AZ$11:$AZ$4010,0)),""))</f>
        <v/>
      </c>
      <c r="AJ758" s="29" t="str">
        <f>IF(AE758="","",IFERROR(INDEX($AT$11:$AT$4010,MATCH(748,$AZ$11:$AZ$4010,0)),""))</f>
        <v/>
      </c>
      <c r="AL758" s="31"/>
      <c r="AM758" s="26"/>
      <c r="AN758" s="32"/>
      <c r="AO758" s="32"/>
      <c r="AP758" s="24"/>
      <c r="AQ758" s="24"/>
      <c r="AR758" s="33"/>
      <c r="AS758" s="34"/>
      <c r="AT758" s="33"/>
      <c r="AV758" s="21">
        <f>IF(AND($AL758&lt;&gt;"",COUNTIF($AL$11:$AL758,$AL758)=1),1,0)</f>
        <v>0</v>
      </c>
      <c r="AW758" s="21">
        <f t="shared" si="109"/>
        <v>0</v>
      </c>
      <c r="AX758" s="21" t="str">
        <f t="shared" si="108"/>
        <v/>
      </c>
      <c r="AY758" s="21" t="str">
        <f>IF(AND($AM758&lt;&gt;"",$AS758&lt;&gt;"✓"),SUMPRODUCT(($AM$11:$AM758&lt;&gt;"")*($AS$11:$AS758&lt;&gt;"✓")),"")</f>
        <v/>
      </c>
      <c r="AZ758" s="21" t="str">
        <f>IF(AND($AM758&lt;&gt;"",$AS758="✓"),SUMPRODUCT(($AM$11:$AM758&lt;&gt;"")*($AS$11:$AS758="✓")),"")</f>
        <v/>
      </c>
      <c r="BA758" s="21" t="str">
        <f>IF($AL758="","",$AL758&amp;"|"&amp;COUNTIF($AL$11:$AL758,$AL758))</f>
        <v/>
      </c>
    </row>
    <row r="759" spans="23:53" ht="15" customHeight="1" x14ac:dyDescent="0.25">
      <c r="W759" s="14" t="str">
        <f>IF(X759="","",IFERROR(INDEX($AL$11:$AL$4010,MATCH(749,$AY$11:$AY$4010,0)),""))</f>
        <v/>
      </c>
      <c r="X759" s="12" t="str">
        <f>IFERROR(INDEX($AM$11:$AM$4010,MATCH(749,$AY$11:$AY$4010,0)),"")</f>
        <v/>
      </c>
      <c r="Y759" s="11" t="str">
        <f>IF(X759="","",IFERROR(INDEX($AN$11:$AN$4010,MATCH(749,$AY$11:$AY$4010,0)),""))</f>
        <v/>
      </c>
      <c r="Z759" s="11" t="str">
        <f>IF(X759="","",IFERROR(INDEX($AO$11:$AO$4010,MATCH(749,$AY$11:$AY$4010,0)),""))</f>
        <v/>
      </c>
      <c r="AA759" s="10" t="str">
        <f>IF(X759="","",IFERROR(INDEX($AQ$11:$AQ$4010,MATCH(749,$AY$11:$AY$4010,0)),""))</f>
        <v/>
      </c>
      <c r="AB759" s="15" t="str">
        <f>IF(X759="","",IFERROR(INDEX($AR$11:$AR$4010,MATCH(749,$AY$11:$AY$4010,0)),""))</f>
        <v/>
      </c>
      <c r="AD759" s="16" t="str">
        <f>IF(AE759="","",IFERROR(INDEX($AL$11:$AL$4010,MATCH(749,$AZ$11:$AZ$4010,0)),""))</f>
        <v/>
      </c>
      <c r="AE759" s="12" t="str">
        <f>IFERROR(INDEX($AM$11:$AM$4010,MATCH(749,$AZ$11:$AZ$4010,0)),"")</f>
        <v/>
      </c>
      <c r="AF759" s="11" t="str">
        <f>IF(AE759="","",IFERROR(INDEX($AN$11:$AN$4010,MATCH(749,$AZ$11:$AZ$4010,0)),""))</f>
        <v/>
      </c>
      <c r="AG759" s="11" t="str">
        <f>IF(AE759="","",IFERROR(INDEX($AO$11:$AO$4010,MATCH(749,$AZ$11:$AZ$4010,0)),""))</f>
        <v/>
      </c>
      <c r="AH759" s="10" t="str">
        <f>IF(AE759="","",IFERROR(INDEX($AQ$11:$AQ$4010,MATCH(749,$AZ$11:$AZ$4010,0)),""))</f>
        <v/>
      </c>
      <c r="AI759" s="15" t="str">
        <f>IF(AE759="","",IFERROR(INDEX($AR$11:$AR$4010,MATCH(749,$AZ$11:$AZ$4010,0)),""))</f>
        <v/>
      </c>
      <c r="AJ759" s="15" t="str">
        <f>IF(AE759="","",IFERROR(INDEX($AT$11:$AT$4010,MATCH(749,$AZ$11:$AZ$4010,0)),""))</f>
        <v/>
      </c>
      <c r="AL759" s="17"/>
      <c r="AM759" s="12"/>
      <c r="AN759" s="18"/>
      <c r="AO759" s="18"/>
      <c r="AP759" s="10"/>
      <c r="AQ759" s="10"/>
      <c r="AR759" s="19"/>
      <c r="AS759" s="20"/>
      <c r="AT759" s="19"/>
      <c r="AV759" s="21">
        <f>IF(AND($AL759&lt;&gt;"",COUNTIF($AL$11:$AL759,$AL759)=1),1,0)</f>
        <v>0</v>
      </c>
      <c r="AW759" s="21">
        <f t="shared" si="109"/>
        <v>0</v>
      </c>
      <c r="AX759" s="21" t="str">
        <f t="shared" si="108"/>
        <v/>
      </c>
      <c r="AY759" s="21" t="str">
        <f>IF(AND($AM759&lt;&gt;"",$AS759&lt;&gt;"✓"),SUMPRODUCT(($AM$11:$AM759&lt;&gt;"")*($AS$11:$AS759&lt;&gt;"✓")),"")</f>
        <v/>
      </c>
      <c r="AZ759" s="21" t="str">
        <f>IF(AND($AM759&lt;&gt;"",$AS759="✓"),SUMPRODUCT(($AM$11:$AM759&lt;&gt;"")*($AS$11:$AS759="✓")),"")</f>
        <v/>
      </c>
      <c r="BA759" s="21" t="str">
        <f>IF($AL759="","",$AL759&amp;"|"&amp;COUNTIF($AL$11:$AL759,$AL759))</f>
        <v/>
      </c>
    </row>
    <row r="760" spans="23:53" ht="15" customHeight="1" x14ac:dyDescent="0.25">
      <c r="W760" s="28" t="str">
        <f>IF(X760="","",IFERROR(INDEX($AL$11:$AL$4010,MATCH(750,$AY$11:$AY$4010,0)),""))</f>
        <v/>
      </c>
      <c r="X760" s="26" t="str">
        <f>IFERROR(INDEX($AM$11:$AM$4010,MATCH(750,$AY$11:$AY$4010,0)),"")</f>
        <v/>
      </c>
      <c r="Y760" s="25" t="str">
        <f>IF(X760="","",IFERROR(INDEX($AN$11:$AN$4010,MATCH(750,$AY$11:$AY$4010,0)),""))</f>
        <v/>
      </c>
      <c r="Z760" s="25" t="str">
        <f>IF(X760="","",IFERROR(INDEX($AO$11:$AO$4010,MATCH(750,$AY$11:$AY$4010,0)),""))</f>
        <v/>
      </c>
      <c r="AA760" s="24" t="str">
        <f>IF(X760="","",IFERROR(INDEX($AQ$11:$AQ$4010,MATCH(750,$AY$11:$AY$4010,0)),""))</f>
        <v/>
      </c>
      <c r="AB760" s="29" t="str">
        <f>IF(X760="","",IFERROR(INDEX($AR$11:$AR$4010,MATCH(750,$AY$11:$AY$4010,0)),""))</f>
        <v/>
      </c>
      <c r="AD760" s="30" t="str">
        <f>IF(AE760="","",IFERROR(INDEX($AL$11:$AL$4010,MATCH(750,$AZ$11:$AZ$4010,0)),""))</f>
        <v/>
      </c>
      <c r="AE760" s="26" t="str">
        <f>IFERROR(INDEX($AM$11:$AM$4010,MATCH(750,$AZ$11:$AZ$4010,0)),"")</f>
        <v/>
      </c>
      <c r="AF760" s="25" t="str">
        <f>IF(AE760="","",IFERROR(INDEX($AN$11:$AN$4010,MATCH(750,$AZ$11:$AZ$4010,0)),""))</f>
        <v/>
      </c>
      <c r="AG760" s="25" t="str">
        <f>IF(AE760="","",IFERROR(INDEX($AO$11:$AO$4010,MATCH(750,$AZ$11:$AZ$4010,0)),""))</f>
        <v/>
      </c>
      <c r="AH760" s="24" t="str">
        <f>IF(AE760="","",IFERROR(INDEX($AQ$11:$AQ$4010,MATCH(750,$AZ$11:$AZ$4010,0)),""))</f>
        <v/>
      </c>
      <c r="AI760" s="29" t="str">
        <f>IF(AE760="","",IFERROR(INDEX($AR$11:$AR$4010,MATCH(750,$AZ$11:$AZ$4010,0)),""))</f>
        <v/>
      </c>
      <c r="AJ760" s="29" t="str">
        <f>IF(AE760="","",IFERROR(INDEX($AT$11:$AT$4010,MATCH(750,$AZ$11:$AZ$4010,0)),""))</f>
        <v/>
      </c>
      <c r="AL760" s="31"/>
      <c r="AM760" s="26"/>
      <c r="AN760" s="32"/>
      <c r="AO760" s="32"/>
      <c r="AP760" s="24"/>
      <c r="AQ760" s="24"/>
      <c r="AR760" s="33"/>
      <c r="AS760" s="34"/>
      <c r="AT760" s="33"/>
      <c r="AV760" s="21">
        <f>IF(AND($AL760&lt;&gt;"",COUNTIF($AL$11:$AL760,$AL760)=1),1,0)</f>
        <v>0</v>
      </c>
      <c r="AW760" s="21">
        <f t="shared" si="109"/>
        <v>0</v>
      </c>
      <c r="AX760" s="21" t="str">
        <f t="shared" si="108"/>
        <v/>
      </c>
      <c r="AY760" s="21" t="str">
        <f>IF(AND($AM760&lt;&gt;"",$AS760&lt;&gt;"✓"),SUMPRODUCT(($AM$11:$AM760&lt;&gt;"")*($AS$11:$AS760&lt;&gt;"✓")),"")</f>
        <v/>
      </c>
      <c r="AZ760" s="21" t="str">
        <f>IF(AND($AM760&lt;&gt;"",$AS760="✓"),SUMPRODUCT(($AM$11:$AM760&lt;&gt;"")*($AS$11:$AS760="✓")),"")</f>
        <v/>
      </c>
      <c r="BA760" s="21" t="str">
        <f>IF($AL760="","",$AL760&amp;"|"&amp;COUNTIF($AL$11:$AL760,$AL760))</f>
        <v/>
      </c>
    </row>
    <row r="761" spans="23:53" ht="15" customHeight="1" x14ac:dyDescent="0.25">
      <c r="W761" s="14" t="str">
        <f>IF(X761="","",IFERROR(INDEX($AL$11:$AL$4010,MATCH(751,$AY$11:$AY$4010,0)),""))</f>
        <v/>
      </c>
      <c r="X761" s="12" t="str">
        <f>IFERROR(INDEX($AM$11:$AM$4010,MATCH(751,$AY$11:$AY$4010,0)),"")</f>
        <v/>
      </c>
      <c r="Y761" s="11" t="str">
        <f>IF(X761="","",IFERROR(INDEX($AN$11:$AN$4010,MATCH(751,$AY$11:$AY$4010,0)),""))</f>
        <v/>
      </c>
      <c r="Z761" s="11" t="str">
        <f>IF(X761="","",IFERROR(INDEX($AO$11:$AO$4010,MATCH(751,$AY$11:$AY$4010,0)),""))</f>
        <v/>
      </c>
      <c r="AA761" s="10" t="str">
        <f>IF(X761="","",IFERROR(INDEX($AQ$11:$AQ$4010,MATCH(751,$AY$11:$AY$4010,0)),""))</f>
        <v/>
      </c>
      <c r="AB761" s="15" t="str">
        <f>IF(X761="","",IFERROR(INDEX($AR$11:$AR$4010,MATCH(751,$AY$11:$AY$4010,0)),""))</f>
        <v/>
      </c>
      <c r="AD761" s="16" t="str">
        <f>IF(AE761="","",IFERROR(INDEX($AL$11:$AL$4010,MATCH(751,$AZ$11:$AZ$4010,0)),""))</f>
        <v/>
      </c>
      <c r="AE761" s="12" t="str">
        <f>IFERROR(INDEX($AM$11:$AM$4010,MATCH(751,$AZ$11:$AZ$4010,0)),"")</f>
        <v/>
      </c>
      <c r="AF761" s="11" t="str">
        <f>IF(AE761="","",IFERROR(INDEX($AN$11:$AN$4010,MATCH(751,$AZ$11:$AZ$4010,0)),""))</f>
        <v/>
      </c>
      <c r="AG761" s="11" t="str">
        <f>IF(AE761="","",IFERROR(INDEX($AO$11:$AO$4010,MATCH(751,$AZ$11:$AZ$4010,0)),""))</f>
        <v/>
      </c>
      <c r="AH761" s="10" t="str">
        <f>IF(AE761="","",IFERROR(INDEX($AQ$11:$AQ$4010,MATCH(751,$AZ$11:$AZ$4010,0)),""))</f>
        <v/>
      </c>
      <c r="AI761" s="15" t="str">
        <f>IF(AE761="","",IFERROR(INDEX($AR$11:$AR$4010,MATCH(751,$AZ$11:$AZ$4010,0)),""))</f>
        <v/>
      </c>
      <c r="AJ761" s="15" t="str">
        <f>IF(AE761="","",IFERROR(INDEX($AT$11:$AT$4010,MATCH(751,$AZ$11:$AZ$4010,0)),""))</f>
        <v/>
      </c>
      <c r="AL761" s="17"/>
      <c r="AM761" s="12"/>
      <c r="AN761" s="18"/>
      <c r="AO761" s="18"/>
      <c r="AP761" s="10"/>
      <c r="AQ761" s="10"/>
      <c r="AR761" s="19"/>
      <c r="AS761" s="20"/>
      <c r="AT761" s="19"/>
      <c r="AV761" s="21">
        <f>IF(AND($AL761&lt;&gt;"",COUNTIF($AL$11:$AL761,$AL761)=1),1,0)</f>
        <v>0</v>
      </c>
      <c r="AW761" s="21">
        <f t="shared" si="109"/>
        <v>0</v>
      </c>
      <c r="AX761" s="21" t="str">
        <f t="shared" si="108"/>
        <v/>
      </c>
      <c r="AY761" s="21" t="str">
        <f>IF(AND($AM761&lt;&gt;"",$AS761&lt;&gt;"✓"),SUMPRODUCT(($AM$11:$AM761&lt;&gt;"")*($AS$11:$AS761&lt;&gt;"✓")),"")</f>
        <v/>
      </c>
      <c r="AZ761" s="21" t="str">
        <f>IF(AND($AM761&lt;&gt;"",$AS761="✓"),SUMPRODUCT(($AM$11:$AM761&lt;&gt;"")*($AS$11:$AS761="✓")),"")</f>
        <v/>
      </c>
      <c r="BA761" s="21" t="str">
        <f>IF($AL761="","",$AL761&amp;"|"&amp;COUNTIF($AL$11:$AL761,$AL761))</f>
        <v/>
      </c>
    </row>
    <row r="762" spans="23:53" ht="15" customHeight="1" x14ac:dyDescent="0.25">
      <c r="W762" s="28" t="str">
        <f>IF(X762="","",IFERROR(INDEX($AL$11:$AL$4010,MATCH(752,$AY$11:$AY$4010,0)),""))</f>
        <v/>
      </c>
      <c r="X762" s="26" t="str">
        <f>IFERROR(INDEX($AM$11:$AM$4010,MATCH(752,$AY$11:$AY$4010,0)),"")</f>
        <v/>
      </c>
      <c r="Y762" s="25" t="str">
        <f>IF(X762="","",IFERROR(INDEX($AN$11:$AN$4010,MATCH(752,$AY$11:$AY$4010,0)),""))</f>
        <v/>
      </c>
      <c r="Z762" s="25" t="str">
        <f>IF(X762="","",IFERROR(INDEX($AO$11:$AO$4010,MATCH(752,$AY$11:$AY$4010,0)),""))</f>
        <v/>
      </c>
      <c r="AA762" s="24" t="str">
        <f>IF(X762="","",IFERROR(INDEX($AQ$11:$AQ$4010,MATCH(752,$AY$11:$AY$4010,0)),""))</f>
        <v/>
      </c>
      <c r="AB762" s="29" t="str">
        <f>IF(X762="","",IFERROR(INDEX($AR$11:$AR$4010,MATCH(752,$AY$11:$AY$4010,0)),""))</f>
        <v/>
      </c>
      <c r="AD762" s="30" t="str">
        <f>IF(AE762="","",IFERROR(INDEX($AL$11:$AL$4010,MATCH(752,$AZ$11:$AZ$4010,0)),""))</f>
        <v/>
      </c>
      <c r="AE762" s="26" t="str">
        <f>IFERROR(INDEX($AM$11:$AM$4010,MATCH(752,$AZ$11:$AZ$4010,0)),"")</f>
        <v/>
      </c>
      <c r="AF762" s="25" t="str">
        <f>IF(AE762="","",IFERROR(INDEX($AN$11:$AN$4010,MATCH(752,$AZ$11:$AZ$4010,0)),""))</f>
        <v/>
      </c>
      <c r="AG762" s="25" t="str">
        <f>IF(AE762="","",IFERROR(INDEX($AO$11:$AO$4010,MATCH(752,$AZ$11:$AZ$4010,0)),""))</f>
        <v/>
      </c>
      <c r="AH762" s="24" t="str">
        <f>IF(AE762="","",IFERROR(INDEX($AQ$11:$AQ$4010,MATCH(752,$AZ$11:$AZ$4010,0)),""))</f>
        <v/>
      </c>
      <c r="AI762" s="29" t="str">
        <f>IF(AE762="","",IFERROR(INDEX($AR$11:$AR$4010,MATCH(752,$AZ$11:$AZ$4010,0)),""))</f>
        <v/>
      </c>
      <c r="AJ762" s="29" t="str">
        <f>IF(AE762="","",IFERROR(INDEX($AT$11:$AT$4010,MATCH(752,$AZ$11:$AZ$4010,0)),""))</f>
        <v/>
      </c>
      <c r="AL762" s="31"/>
      <c r="AM762" s="26"/>
      <c r="AN762" s="32"/>
      <c r="AO762" s="32"/>
      <c r="AP762" s="24"/>
      <c r="AQ762" s="24"/>
      <c r="AR762" s="33"/>
      <c r="AS762" s="34"/>
      <c r="AT762" s="33"/>
      <c r="AV762" s="21">
        <f>IF(AND($AL762&lt;&gt;"",COUNTIF($AL$11:$AL762,$AL762)=1),1,0)</f>
        <v>0</v>
      </c>
      <c r="AW762" s="21">
        <f t="shared" si="109"/>
        <v>0</v>
      </c>
      <c r="AX762" s="21" t="str">
        <f t="shared" si="108"/>
        <v/>
      </c>
      <c r="AY762" s="21" t="str">
        <f>IF(AND($AM762&lt;&gt;"",$AS762&lt;&gt;"✓"),SUMPRODUCT(($AM$11:$AM762&lt;&gt;"")*($AS$11:$AS762&lt;&gt;"✓")),"")</f>
        <v/>
      </c>
      <c r="AZ762" s="21" t="str">
        <f>IF(AND($AM762&lt;&gt;"",$AS762="✓"),SUMPRODUCT(($AM$11:$AM762&lt;&gt;"")*($AS$11:$AS762="✓")),"")</f>
        <v/>
      </c>
      <c r="BA762" s="21" t="str">
        <f>IF($AL762="","",$AL762&amp;"|"&amp;COUNTIF($AL$11:$AL762,$AL762))</f>
        <v/>
      </c>
    </row>
    <row r="763" spans="23:53" ht="15" customHeight="1" x14ac:dyDescent="0.25">
      <c r="W763" s="14" t="str">
        <f>IF(X763="","",IFERROR(INDEX($AL$11:$AL$4010,MATCH(753,$AY$11:$AY$4010,0)),""))</f>
        <v/>
      </c>
      <c r="X763" s="12" t="str">
        <f>IFERROR(INDEX($AM$11:$AM$4010,MATCH(753,$AY$11:$AY$4010,0)),"")</f>
        <v/>
      </c>
      <c r="Y763" s="11" t="str">
        <f>IF(X763="","",IFERROR(INDEX($AN$11:$AN$4010,MATCH(753,$AY$11:$AY$4010,0)),""))</f>
        <v/>
      </c>
      <c r="Z763" s="11" t="str">
        <f>IF(X763="","",IFERROR(INDEX($AO$11:$AO$4010,MATCH(753,$AY$11:$AY$4010,0)),""))</f>
        <v/>
      </c>
      <c r="AA763" s="10" t="str">
        <f>IF(X763="","",IFERROR(INDEX($AQ$11:$AQ$4010,MATCH(753,$AY$11:$AY$4010,0)),""))</f>
        <v/>
      </c>
      <c r="AB763" s="15" t="str">
        <f>IF(X763="","",IFERROR(INDEX($AR$11:$AR$4010,MATCH(753,$AY$11:$AY$4010,0)),""))</f>
        <v/>
      </c>
      <c r="AD763" s="16" t="str">
        <f>IF(AE763="","",IFERROR(INDEX($AL$11:$AL$4010,MATCH(753,$AZ$11:$AZ$4010,0)),""))</f>
        <v/>
      </c>
      <c r="AE763" s="12" t="str">
        <f>IFERROR(INDEX($AM$11:$AM$4010,MATCH(753,$AZ$11:$AZ$4010,0)),"")</f>
        <v/>
      </c>
      <c r="AF763" s="11" t="str">
        <f>IF(AE763="","",IFERROR(INDEX($AN$11:$AN$4010,MATCH(753,$AZ$11:$AZ$4010,0)),""))</f>
        <v/>
      </c>
      <c r="AG763" s="11" t="str">
        <f>IF(AE763="","",IFERROR(INDEX($AO$11:$AO$4010,MATCH(753,$AZ$11:$AZ$4010,0)),""))</f>
        <v/>
      </c>
      <c r="AH763" s="10" t="str">
        <f>IF(AE763="","",IFERROR(INDEX($AQ$11:$AQ$4010,MATCH(753,$AZ$11:$AZ$4010,0)),""))</f>
        <v/>
      </c>
      <c r="AI763" s="15" t="str">
        <f>IF(AE763="","",IFERROR(INDEX($AR$11:$AR$4010,MATCH(753,$AZ$11:$AZ$4010,0)),""))</f>
        <v/>
      </c>
      <c r="AJ763" s="15" t="str">
        <f>IF(AE763="","",IFERROR(INDEX($AT$11:$AT$4010,MATCH(753,$AZ$11:$AZ$4010,0)),""))</f>
        <v/>
      </c>
      <c r="AL763" s="17"/>
      <c r="AM763" s="12"/>
      <c r="AN763" s="18"/>
      <c r="AO763" s="18"/>
      <c r="AP763" s="10"/>
      <c r="AQ763" s="10"/>
      <c r="AR763" s="19"/>
      <c r="AS763" s="20"/>
      <c r="AT763" s="19"/>
      <c r="AV763" s="21">
        <f>IF(AND($AL763&lt;&gt;"",COUNTIF($AL$11:$AL763,$AL763)=1),1,0)</f>
        <v>0</v>
      </c>
      <c r="AW763" s="21">
        <f t="shared" si="109"/>
        <v>0</v>
      </c>
      <c r="AX763" s="21" t="str">
        <f t="shared" si="108"/>
        <v/>
      </c>
      <c r="AY763" s="21" t="str">
        <f>IF(AND($AM763&lt;&gt;"",$AS763&lt;&gt;"✓"),SUMPRODUCT(($AM$11:$AM763&lt;&gt;"")*($AS$11:$AS763&lt;&gt;"✓")),"")</f>
        <v/>
      </c>
      <c r="AZ763" s="21" t="str">
        <f>IF(AND($AM763&lt;&gt;"",$AS763="✓"),SUMPRODUCT(($AM$11:$AM763&lt;&gt;"")*($AS$11:$AS763="✓")),"")</f>
        <v/>
      </c>
      <c r="BA763" s="21" t="str">
        <f>IF($AL763="","",$AL763&amp;"|"&amp;COUNTIF($AL$11:$AL763,$AL763))</f>
        <v/>
      </c>
    </row>
    <row r="764" spans="23:53" ht="15" customHeight="1" x14ac:dyDescent="0.25">
      <c r="W764" s="28" t="str">
        <f>IF(X764="","",IFERROR(INDEX($AL$11:$AL$4010,MATCH(754,$AY$11:$AY$4010,0)),""))</f>
        <v/>
      </c>
      <c r="X764" s="26" t="str">
        <f>IFERROR(INDEX($AM$11:$AM$4010,MATCH(754,$AY$11:$AY$4010,0)),"")</f>
        <v/>
      </c>
      <c r="Y764" s="25" t="str">
        <f>IF(X764="","",IFERROR(INDEX($AN$11:$AN$4010,MATCH(754,$AY$11:$AY$4010,0)),""))</f>
        <v/>
      </c>
      <c r="Z764" s="25" t="str">
        <f>IF(X764="","",IFERROR(INDEX($AO$11:$AO$4010,MATCH(754,$AY$11:$AY$4010,0)),""))</f>
        <v/>
      </c>
      <c r="AA764" s="24" t="str">
        <f>IF(X764="","",IFERROR(INDEX($AQ$11:$AQ$4010,MATCH(754,$AY$11:$AY$4010,0)),""))</f>
        <v/>
      </c>
      <c r="AB764" s="29" t="str">
        <f>IF(X764="","",IFERROR(INDEX($AR$11:$AR$4010,MATCH(754,$AY$11:$AY$4010,0)),""))</f>
        <v/>
      </c>
      <c r="AD764" s="30" t="str">
        <f>IF(AE764="","",IFERROR(INDEX($AL$11:$AL$4010,MATCH(754,$AZ$11:$AZ$4010,0)),""))</f>
        <v/>
      </c>
      <c r="AE764" s="26" t="str">
        <f>IFERROR(INDEX($AM$11:$AM$4010,MATCH(754,$AZ$11:$AZ$4010,0)),"")</f>
        <v/>
      </c>
      <c r="AF764" s="25" t="str">
        <f>IF(AE764="","",IFERROR(INDEX($AN$11:$AN$4010,MATCH(754,$AZ$11:$AZ$4010,0)),""))</f>
        <v/>
      </c>
      <c r="AG764" s="25" t="str">
        <f>IF(AE764="","",IFERROR(INDEX($AO$11:$AO$4010,MATCH(754,$AZ$11:$AZ$4010,0)),""))</f>
        <v/>
      </c>
      <c r="AH764" s="24" t="str">
        <f>IF(AE764="","",IFERROR(INDEX($AQ$11:$AQ$4010,MATCH(754,$AZ$11:$AZ$4010,0)),""))</f>
        <v/>
      </c>
      <c r="AI764" s="29" t="str">
        <f>IF(AE764="","",IFERROR(INDEX($AR$11:$AR$4010,MATCH(754,$AZ$11:$AZ$4010,0)),""))</f>
        <v/>
      </c>
      <c r="AJ764" s="29" t="str">
        <f>IF(AE764="","",IFERROR(INDEX($AT$11:$AT$4010,MATCH(754,$AZ$11:$AZ$4010,0)),""))</f>
        <v/>
      </c>
      <c r="AL764" s="31"/>
      <c r="AM764" s="26"/>
      <c r="AN764" s="32"/>
      <c r="AO764" s="32"/>
      <c r="AP764" s="24"/>
      <c r="AQ764" s="24"/>
      <c r="AR764" s="33"/>
      <c r="AS764" s="34"/>
      <c r="AT764" s="33"/>
      <c r="AV764" s="21">
        <f>IF(AND($AL764&lt;&gt;"",COUNTIF($AL$11:$AL764,$AL764)=1),1,0)</f>
        <v>0</v>
      </c>
      <c r="AW764" s="21">
        <f t="shared" si="109"/>
        <v>0</v>
      </c>
      <c r="AX764" s="21" t="str">
        <f t="shared" si="108"/>
        <v/>
      </c>
      <c r="AY764" s="21" t="str">
        <f>IF(AND($AM764&lt;&gt;"",$AS764&lt;&gt;"✓"),SUMPRODUCT(($AM$11:$AM764&lt;&gt;"")*($AS$11:$AS764&lt;&gt;"✓")),"")</f>
        <v/>
      </c>
      <c r="AZ764" s="21" t="str">
        <f>IF(AND($AM764&lt;&gt;"",$AS764="✓"),SUMPRODUCT(($AM$11:$AM764&lt;&gt;"")*($AS$11:$AS764="✓")),"")</f>
        <v/>
      </c>
      <c r="BA764" s="21" t="str">
        <f>IF($AL764="","",$AL764&amp;"|"&amp;COUNTIF($AL$11:$AL764,$AL764))</f>
        <v/>
      </c>
    </row>
    <row r="765" spans="23:53" ht="15" customHeight="1" x14ac:dyDescent="0.25">
      <c r="W765" s="14" t="str">
        <f>IF(X765="","",IFERROR(INDEX($AL$11:$AL$4010,MATCH(755,$AY$11:$AY$4010,0)),""))</f>
        <v/>
      </c>
      <c r="X765" s="12" t="str">
        <f>IFERROR(INDEX($AM$11:$AM$4010,MATCH(755,$AY$11:$AY$4010,0)),"")</f>
        <v/>
      </c>
      <c r="Y765" s="11" t="str">
        <f>IF(X765="","",IFERROR(INDEX($AN$11:$AN$4010,MATCH(755,$AY$11:$AY$4010,0)),""))</f>
        <v/>
      </c>
      <c r="Z765" s="11" t="str">
        <f>IF(X765="","",IFERROR(INDEX($AO$11:$AO$4010,MATCH(755,$AY$11:$AY$4010,0)),""))</f>
        <v/>
      </c>
      <c r="AA765" s="10" t="str">
        <f>IF(X765="","",IFERROR(INDEX($AQ$11:$AQ$4010,MATCH(755,$AY$11:$AY$4010,0)),""))</f>
        <v/>
      </c>
      <c r="AB765" s="15" t="str">
        <f>IF(X765="","",IFERROR(INDEX($AR$11:$AR$4010,MATCH(755,$AY$11:$AY$4010,0)),""))</f>
        <v/>
      </c>
      <c r="AD765" s="16" t="str">
        <f>IF(AE765="","",IFERROR(INDEX($AL$11:$AL$4010,MATCH(755,$AZ$11:$AZ$4010,0)),""))</f>
        <v/>
      </c>
      <c r="AE765" s="12" t="str">
        <f>IFERROR(INDEX($AM$11:$AM$4010,MATCH(755,$AZ$11:$AZ$4010,0)),"")</f>
        <v/>
      </c>
      <c r="AF765" s="11" t="str">
        <f>IF(AE765="","",IFERROR(INDEX($AN$11:$AN$4010,MATCH(755,$AZ$11:$AZ$4010,0)),""))</f>
        <v/>
      </c>
      <c r="AG765" s="11" t="str">
        <f>IF(AE765="","",IFERROR(INDEX($AO$11:$AO$4010,MATCH(755,$AZ$11:$AZ$4010,0)),""))</f>
        <v/>
      </c>
      <c r="AH765" s="10" t="str">
        <f>IF(AE765="","",IFERROR(INDEX($AQ$11:$AQ$4010,MATCH(755,$AZ$11:$AZ$4010,0)),""))</f>
        <v/>
      </c>
      <c r="AI765" s="15" t="str">
        <f>IF(AE765="","",IFERROR(INDEX($AR$11:$AR$4010,MATCH(755,$AZ$11:$AZ$4010,0)),""))</f>
        <v/>
      </c>
      <c r="AJ765" s="15" t="str">
        <f>IF(AE765="","",IFERROR(INDEX($AT$11:$AT$4010,MATCH(755,$AZ$11:$AZ$4010,0)),""))</f>
        <v/>
      </c>
      <c r="AL765" s="17"/>
      <c r="AM765" s="12"/>
      <c r="AN765" s="18"/>
      <c r="AO765" s="18"/>
      <c r="AP765" s="10"/>
      <c r="AQ765" s="10"/>
      <c r="AR765" s="19"/>
      <c r="AS765" s="20"/>
      <c r="AT765" s="19"/>
      <c r="AV765" s="21">
        <f>IF(AND($AL765&lt;&gt;"",COUNTIF($AL$11:$AL765,$AL765)=1),1,0)</f>
        <v>0</v>
      </c>
      <c r="AW765" s="21">
        <f t="shared" si="109"/>
        <v>0</v>
      </c>
      <c r="AX765" s="21" t="str">
        <f t="shared" si="108"/>
        <v/>
      </c>
      <c r="AY765" s="21" t="str">
        <f>IF(AND($AM765&lt;&gt;"",$AS765&lt;&gt;"✓"),SUMPRODUCT(($AM$11:$AM765&lt;&gt;"")*($AS$11:$AS765&lt;&gt;"✓")),"")</f>
        <v/>
      </c>
      <c r="AZ765" s="21" t="str">
        <f>IF(AND($AM765&lt;&gt;"",$AS765="✓"),SUMPRODUCT(($AM$11:$AM765&lt;&gt;"")*($AS$11:$AS765="✓")),"")</f>
        <v/>
      </c>
      <c r="BA765" s="21" t="str">
        <f>IF($AL765="","",$AL765&amp;"|"&amp;COUNTIF($AL$11:$AL765,$AL765))</f>
        <v/>
      </c>
    </row>
    <row r="766" spans="23:53" ht="15" customHeight="1" x14ac:dyDescent="0.25">
      <c r="W766" s="28" t="str">
        <f>IF(X766="","",IFERROR(INDEX($AL$11:$AL$4010,MATCH(756,$AY$11:$AY$4010,0)),""))</f>
        <v/>
      </c>
      <c r="X766" s="26" t="str">
        <f>IFERROR(INDEX($AM$11:$AM$4010,MATCH(756,$AY$11:$AY$4010,0)),"")</f>
        <v/>
      </c>
      <c r="Y766" s="25" t="str">
        <f>IF(X766="","",IFERROR(INDEX($AN$11:$AN$4010,MATCH(756,$AY$11:$AY$4010,0)),""))</f>
        <v/>
      </c>
      <c r="Z766" s="25" t="str">
        <f>IF(X766="","",IFERROR(INDEX($AO$11:$AO$4010,MATCH(756,$AY$11:$AY$4010,0)),""))</f>
        <v/>
      </c>
      <c r="AA766" s="24" t="str">
        <f>IF(X766="","",IFERROR(INDEX($AQ$11:$AQ$4010,MATCH(756,$AY$11:$AY$4010,0)),""))</f>
        <v/>
      </c>
      <c r="AB766" s="29" t="str">
        <f>IF(X766="","",IFERROR(INDEX($AR$11:$AR$4010,MATCH(756,$AY$11:$AY$4010,0)),""))</f>
        <v/>
      </c>
      <c r="AD766" s="30" t="str">
        <f>IF(AE766="","",IFERROR(INDEX($AL$11:$AL$4010,MATCH(756,$AZ$11:$AZ$4010,0)),""))</f>
        <v/>
      </c>
      <c r="AE766" s="26" t="str">
        <f>IFERROR(INDEX($AM$11:$AM$4010,MATCH(756,$AZ$11:$AZ$4010,0)),"")</f>
        <v/>
      </c>
      <c r="AF766" s="25" t="str">
        <f>IF(AE766="","",IFERROR(INDEX($AN$11:$AN$4010,MATCH(756,$AZ$11:$AZ$4010,0)),""))</f>
        <v/>
      </c>
      <c r="AG766" s="25" t="str">
        <f>IF(AE766="","",IFERROR(INDEX($AO$11:$AO$4010,MATCH(756,$AZ$11:$AZ$4010,0)),""))</f>
        <v/>
      </c>
      <c r="AH766" s="24" t="str">
        <f>IF(AE766="","",IFERROR(INDEX($AQ$11:$AQ$4010,MATCH(756,$AZ$11:$AZ$4010,0)),""))</f>
        <v/>
      </c>
      <c r="AI766" s="29" t="str">
        <f>IF(AE766="","",IFERROR(INDEX($AR$11:$AR$4010,MATCH(756,$AZ$11:$AZ$4010,0)),""))</f>
        <v/>
      </c>
      <c r="AJ766" s="29" t="str">
        <f>IF(AE766="","",IFERROR(INDEX($AT$11:$AT$4010,MATCH(756,$AZ$11:$AZ$4010,0)),""))</f>
        <v/>
      </c>
      <c r="AL766" s="31"/>
      <c r="AM766" s="26"/>
      <c r="AN766" s="32"/>
      <c r="AO766" s="32"/>
      <c r="AP766" s="24"/>
      <c r="AQ766" s="24"/>
      <c r="AR766" s="33"/>
      <c r="AS766" s="34"/>
      <c r="AT766" s="33"/>
      <c r="AV766" s="21">
        <f>IF(AND($AL766&lt;&gt;"",COUNTIF($AL$11:$AL766,$AL766)=1),1,0)</f>
        <v>0</v>
      </c>
      <c r="AW766" s="21">
        <f t="shared" si="109"/>
        <v>0</v>
      </c>
      <c r="AX766" s="21" t="str">
        <f t="shared" si="108"/>
        <v/>
      </c>
      <c r="AY766" s="21" t="str">
        <f>IF(AND($AM766&lt;&gt;"",$AS766&lt;&gt;"✓"),SUMPRODUCT(($AM$11:$AM766&lt;&gt;"")*($AS$11:$AS766&lt;&gt;"✓")),"")</f>
        <v/>
      </c>
      <c r="AZ766" s="21" t="str">
        <f>IF(AND($AM766&lt;&gt;"",$AS766="✓"),SUMPRODUCT(($AM$11:$AM766&lt;&gt;"")*($AS$11:$AS766="✓")),"")</f>
        <v/>
      </c>
      <c r="BA766" s="21" t="str">
        <f>IF($AL766="","",$AL766&amp;"|"&amp;COUNTIF($AL$11:$AL766,$AL766))</f>
        <v/>
      </c>
    </row>
    <row r="767" spans="23:53" ht="15" customHeight="1" x14ac:dyDescent="0.25">
      <c r="W767" s="14" t="str">
        <f>IF(X767="","",IFERROR(INDEX($AL$11:$AL$4010,MATCH(757,$AY$11:$AY$4010,0)),""))</f>
        <v/>
      </c>
      <c r="X767" s="12" t="str">
        <f>IFERROR(INDEX($AM$11:$AM$4010,MATCH(757,$AY$11:$AY$4010,0)),"")</f>
        <v/>
      </c>
      <c r="Y767" s="11" t="str">
        <f>IF(X767="","",IFERROR(INDEX($AN$11:$AN$4010,MATCH(757,$AY$11:$AY$4010,0)),""))</f>
        <v/>
      </c>
      <c r="Z767" s="11" t="str">
        <f>IF(X767="","",IFERROR(INDEX($AO$11:$AO$4010,MATCH(757,$AY$11:$AY$4010,0)),""))</f>
        <v/>
      </c>
      <c r="AA767" s="10" t="str">
        <f>IF(X767="","",IFERROR(INDEX($AQ$11:$AQ$4010,MATCH(757,$AY$11:$AY$4010,0)),""))</f>
        <v/>
      </c>
      <c r="AB767" s="15" t="str">
        <f>IF(X767="","",IFERROR(INDEX($AR$11:$AR$4010,MATCH(757,$AY$11:$AY$4010,0)),""))</f>
        <v/>
      </c>
      <c r="AD767" s="16" t="str">
        <f>IF(AE767="","",IFERROR(INDEX($AL$11:$AL$4010,MATCH(757,$AZ$11:$AZ$4010,0)),""))</f>
        <v/>
      </c>
      <c r="AE767" s="12" t="str">
        <f>IFERROR(INDEX($AM$11:$AM$4010,MATCH(757,$AZ$11:$AZ$4010,0)),"")</f>
        <v/>
      </c>
      <c r="AF767" s="11" t="str">
        <f>IF(AE767="","",IFERROR(INDEX($AN$11:$AN$4010,MATCH(757,$AZ$11:$AZ$4010,0)),""))</f>
        <v/>
      </c>
      <c r="AG767" s="11" t="str">
        <f>IF(AE767="","",IFERROR(INDEX($AO$11:$AO$4010,MATCH(757,$AZ$11:$AZ$4010,0)),""))</f>
        <v/>
      </c>
      <c r="AH767" s="10" t="str">
        <f>IF(AE767="","",IFERROR(INDEX($AQ$11:$AQ$4010,MATCH(757,$AZ$11:$AZ$4010,0)),""))</f>
        <v/>
      </c>
      <c r="AI767" s="15" t="str">
        <f>IF(AE767="","",IFERROR(INDEX($AR$11:$AR$4010,MATCH(757,$AZ$11:$AZ$4010,0)),""))</f>
        <v/>
      </c>
      <c r="AJ767" s="15" t="str">
        <f>IF(AE767="","",IFERROR(INDEX($AT$11:$AT$4010,MATCH(757,$AZ$11:$AZ$4010,0)),""))</f>
        <v/>
      </c>
      <c r="AL767" s="17"/>
      <c r="AM767" s="12"/>
      <c r="AN767" s="18"/>
      <c r="AO767" s="18"/>
      <c r="AP767" s="10"/>
      <c r="AQ767" s="10"/>
      <c r="AR767" s="19"/>
      <c r="AS767" s="20"/>
      <c r="AT767" s="19"/>
      <c r="AV767" s="21">
        <f>IF(AND($AL767&lt;&gt;"",COUNTIF($AL$11:$AL767,$AL767)=1),1,0)</f>
        <v>0</v>
      </c>
      <c r="AW767" s="21">
        <f t="shared" si="109"/>
        <v>0</v>
      </c>
      <c r="AX767" s="21" t="str">
        <f t="shared" si="108"/>
        <v/>
      </c>
      <c r="AY767" s="21" t="str">
        <f>IF(AND($AM767&lt;&gt;"",$AS767&lt;&gt;"✓"),SUMPRODUCT(($AM$11:$AM767&lt;&gt;"")*($AS$11:$AS767&lt;&gt;"✓")),"")</f>
        <v/>
      </c>
      <c r="AZ767" s="21" t="str">
        <f>IF(AND($AM767&lt;&gt;"",$AS767="✓"),SUMPRODUCT(($AM$11:$AM767&lt;&gt;"")*($AS$11:$AS767="✓")),"")</f>
        <v/>
      </c>
      <c r="BA767" s="21" t="str">
        <f>IF($AL767="","",$AL767&amp;"|"&amp;COUNTIF($AL$11:$AL767,$AL767))</f>
        <v/>
      </c>
    </row>
    <row r="768" spans="23:53" ht="15" customHeight="1" x14ac:dyDescent="0.25">
      <c r="W768" s="28" t="str">
        <f>IF(X768="","",IFERROR(INDEX($AL$11:$AL$4010,MATCH(758,$AY$11:$AY$4010,0)),""))</f>
        <v/>
      </c>
      <c r="X768" s="26" t="str">
        <f>IFERROR(INDEX($AM$11:$AM$4010,MATCH(758,$AY$11:$AY$4010,0)),"")</f>
        <v/>
      </c>
      <c r="Y768" s="25" t="str">
        <f>IF(X768="","",IFERROR(INDEX($AN$11:$AN$4010,MATCH(758,$AY$11:$AY$4010,0)),""))</f>
        <v/>
      </c>
      <c r="Z768" s="25" t="str">
        <f>IF(X768="","",IFERROR(INDEX($AO$11:$AO$4010,MATCH(758,$AY$11:$AY$4010,0)),""))</f>
        <v/>
      </c>
      <c r="AA768" s="24" t="str">
        <f>IF(X768="","",IFERROR(INDEX($AQ$11:$AQ$4010,MATCH(758,$AY$11:$AY$4010,0)),""))</f>
        <v/>
      </c>
      <c r="AB768" s="29" t="str">
        <f>IF(X768="","",IFERROR(INDEX($AR$11:$AR$4010,MATCH(758,$AY$11:$AY$4010,0)),""))</f>
        <v/>
      </c>
      <c r="AD768" s="30" t="str">
        <f>IF(AE768="","",IFERROR(INDEX($AL$11:$AL$4010,MATCH(758,$AZ$11:$AZ$4010,0)),""))</f>
        <v/>
      </c>
      <c r="AE768" s="26" t="str">
        <f>IFERROR(INDEX($AM$11:$AM$4010,MATCH(758,$AZ$11:$AZ$4010,0)),"")</f>
        <v/>
      </c>
      <c r="AF768" s="25" t="str">
        <f>IF(AE768="","",IFERROR(INDEX($AN$11:$AN$4010,MATCH(758,$AZ$11:$AZ$4010,0)),""))</f>
        <v/>
      </c>
      <c r="AG768" s="25" t="str">
        <f>IF(AE768="","",IFERROR(INDEX($AO$11:$AO$4010,MATCH(758,$AZ$11:$AZ$4010,0)),""))</f>
        <v/>
      </c>
      <c r="AH768" s="24" t="str">
        <f>IF(AE768="","",IFERROR(INDEX($AQ$11:$AQ$4010,MATCH(758,$AZ$11:$AZ$4010,0)),""))</f>
        <v/>
      </c>
      <c r="AI768" s="29" t="str">
        <f>IF(AE768="","",IFERROR(INDEX($AR$11:$AR$4010,MATCH(758,$AZ$11:$AZ$4010,0)),""))</f>
        <v/>
      </c>
      <c r="AJ768" s="29" t="str">
        <f>IF(AE768="","",IFERROR(INDEX($AT$11:$AT$4010,MATCH(758,$AZ$11:$AZ$4010,0)),""))</f>
        <v/>
      </c>
      <c r="AL768" s="31"/>
      <c r="AM768" s="26"/>
      <c r="AN768" s="32"/>
      <c r="AO768" s="32"/>
      <c r="AP768" s="24"/>
      <c r="AQ768" s="24"/>
      <c r="AR768" s="33"/>
      <c r="AS768" s="34"/>
      <c r="AT768" s="33"/>
      <c r="AV768" s="21">
        <f>IF(AND($AL768&lt;&gt;"",COUNTIF($AL$11:$AL768,$AL768)=1),1,0)</f>
        <v>0</v>
      </c>
      <c r="AW768" s="21">
        <f t="shared" si="109"/>
        <v>0</v>
      </c>
      <c r="AX768" s="21" t="str">
        <f t="shared" si="108"/>
        <v/>
      </c>
      <c r="AY768" s="21" t="str">
        <f>IF(AND($AM768&lt;&gt;"",$AS768&lt;&gt;"✓"),SUMPRODUCT(($AM$11:$AM768&lt;&gt;"")*($AS$11:$AS768&lt;&gt;"✓")),"")</f>
        <v/>
      </c>
      <c r="AZ768" s="21" t="str">
        <f>IF(AND($AM768&lt;&gt;"",$AS768="✓"),SUMPRODUCT(($AM$11:$AM768&lt;&gt;"")*($AS$11:$AS768="✓")),"")</f>
        <v/>
      </c>
      <c r="BA768" s="21" t="str">
        <f>IF($AL768="","",$AL768&amp;"|"&amp;COUNTIF($AL$11:$AL768,$AL768))</f>
        <v/>
      </c>
    </row>
    <row r="769" spans="23:53" ht="15" customHeight="1" x14ac:dyDescent="0.25">
      <c r="W769" s="14" t="str">
        <f>IF(X769="","",IFERROR(INDEX($AL$11:$AL$4010,MATCH(759,$AY$11:$AY$4010,0)),""))</f>
        <v/>
      </c>
      <c r="X769" s="12" t="str">
        <f>IFERROR(INDEX($AM$11:$AM$4010,MATCH(759,$AY$11:$AY$4010,0)),"")</f>
        <v/>
      </c>
      <c r="Y769" s="11" t="str">
        <f>IF(X769="","",IFERROR(INDEX($AN$11:$AN$4010,MATCH(759,$AY$11:$AY$4010,0)),""))</f>
        <v/>
      </c>
      <c r="Z769" s="11" t="str">
        <f>IF(X769="","",IFERROR(INDEX($AO$11:$AO$4010,MATCH(759,$AY$11:$AY$4010,0)),""))</f>
        <v/>
      </c>
      <c r="AA769" s="10" t="str">
        <f>IF(X769="","",IFERROR(INDEX($AQ$11:$AQ$4010,MATCH(759,$AY$11:$AY$4010,0)),""))</f>
        <v/>
      </c>
      <c r="AB769" s="15" t="str">
        <f>IF(X769="","",IFERROR(INDEX($AR$11:$AR$4010,MATCH(759,$AY$11:$AY$4010,0)),""))</f>
        <v/>
      </c>
      <c r="AD769" s="16" t="str">
        <f>IF(AE769="","",IFERROR(INDEX($AL$11:$AL$4010,MATCH(759,$AZ$11:$AZ$4010,0)),""))</f>
        <v/>
      </c>
      <c r="AE769" s="12" t="str">
        <f>IFERROR(INDEX($AM$11:$AM$4010,MATCH(759,$AZ$11:$AZ$4010,0)),"")</f>
        <v/>
      </c>
      <c r="AF769" s="11" t="str">
        <f>IF(AE769="","",IFERROR(INDEX($AN$11:$AN$4010,MATCH(759,$AZ$11:$AZ$4010,0)),""))</f>
        <v/>
      </c>
      <c r="AG769" s="11" t="str">
        <f>IF(AE769="","",IFERROR(INDEX($AO$11:$AO$4010,MATCH(759,$AZ$11:$AZ$4010,0)),""))</f>
        <v/>
      </c>
      <c r="AH769" s="10" t="str">
        <f>IF(AE769="","",IFERROR(INDEX($AQ$11:$AQ$4010,MATCH(759,$AZ$11:$AZ$4010,0)),""))</f>
        <v/>
      </c>
      <c r="AI769" s="15" t="str">
        <f>IF(AE769="","",IFERROR(INDEX($AR$11:$AR$4010,MATCH(759,$AZ$11:$AZ$4010,0)),""))</f>
        <v/>
      </c>
      <c r="AJ769" s="15" t="str">
        <f>IF(AE769="","",IFERROR(INDEX($AT$11:$AT$4010,MATCH(759,$AZ$11:$AZ$4010,0)),""))</f>
        <v/>
      </c>
      <c r="AL769" s="17"/>
      <c r="AM769" s="12"/>
      <c r="AN769" s="18"/>
      <c r="AO769" s="18"/>
      <c r="AP769" s="10"/>
      <c r="AQ769" s="10"/>
      <c r="AR769" s="19"/>
      <c r="AS769" s="20"/>
      <c r="AT769" s="19"/>
      <c r="AV769" s="21">
        <f>IF(AND($AL769&lt;&gt;"",COUNTIF($AL$11:$AL769,$AL769)=1),1,0)</f>
        <v>0</v>
      </c>
      <c r="AW769" s="21">
        <f t="shared" si="109"/>
        <v>0</v>
      </c>
      <c r="AX769" s="21" t="str">
        <f t="shared" si="108"/>
        <v/>
      </c>
      <c r="AY769" s="21" t="str">
        <f>IF(AND($AM769&lt;&gt;"",$AS769&lt;&gt;"✓"),SUMPRODUCT(($AM$11:$AM769&lt;&gt;"")*($AS$11:$AS769&lt;&gt;"✓")),"")</f>
        <v/>
      </c>
      <c r="AZ769" s="21" t="str">
        <f>IF(AND($AM769&lt;&gt;"",$AS769="✓"),SUMPRODUCT(($AM$11:$AM769&lt;&gt;"")*($AS$11:$AS769="✓")),"")</f>
        <v/>
      </c>
      <c r="BA769" s="21" t="str">
        <f>IF($AL769="","",$AL769&amp;"|"&amp;COUNTIF($AL$11:$AL769,$AL769))</f>
        <v/>
      </c>
    </row>
    <row r="770" spans="23:53" ht="15" customHeight="1" x14ac:dyDescent="0.25">
      <c r="W770" s="28" t="str">
        <f>IF(X770="","",IFERROR(INDEX($AL$11:$AL$4010,MATCH(760,$AY$11:$AY$4010,0)),""))</f>
        <v/>
      </c>
      <c r="X770" s="26" t="str">
        <f>IFERROR(INDEX($AM$11:$AM$4010,MATCH(760,$AY$11:$AY$4010,0)),"")</f>
        <v/>
      </c>
      <c r="Y770" s="25" t="str">
        <f>IF(X770="","",IFERROR(INDEX($AN$11:$AN$4010,MATCH(760,$AY$11:$AY$4010,0)),""))</f>
        <v/>
      </c>
      <c r="Z770" s="25" t="str">
        <f>IF(X770="","",IFERROR(INDEX($AO$11:$AO$4010,MATCH(760,$AY$11:$AY$4010,0)),""))</f>
        <v/>
      </c>
      <c r="AA770" s="24" t="str">
        <f>IF(X770="","",IFERROR(INDEX($AQ$11:$AQ$4010,MATCH(760,$AY$11:$AY$4010,0)),""))</f>
        <v/>
      </c>
      <c r="AB770" s="29" t="str">
        <f>IF(X770="","",IFERROR(INDEX($AR$11:$AR$4010,MATCH(760,$AY$11:$AY$4010,0)),""))</f>
        <v/>
      </c>
      <c r="AD770" s="30" t="str">
        <f>IF(AE770="","",IFERROR(INDEX($AL$11:$AL$4010,MATCH(760,$AZ$11:$AZ$4010,0)),""))</f>
        <v/>
      </c>
      <c r="AE770" s="26" t="str">
        <f>IFERROR(INDEX($AM$11:$AM$4010,MATCH(760,$AZ$11:$AZ$4010,0)),"")</f>
        <v/>
      </c>
      <c r="AF770" s="25" t="str">
        <f>IF(AE770="","",IFERROR(INDEX($AN$11:$AN$4010,MATCH(760,$AZ$11:$AZ$4010,0)),""))</f>
        <v/>
      </c>
      <c r="AG770" s="25" t="str">
        <f>IF(AE770="","",IFERROR(INDEX($AO$11:$AO$4010,MATCH(760,$AZ$11:$AZ$4010,0)),""))</f>
        <v/>
      </c>
      <c r="AH770" s="24" t="str">
        <f>IF(AE770="","",IFERROR(INDEX($AQ$11:$AQ$4010,MATCH(760,$AZ$11:$AZ$4010,0)),""))</f>
        <v/>
      </c>
      <c r="AI770" s="29" t="str">
        <f>IF(AE770="","",IFERROR(INDEX($AR$11:$AR$4010,MATCH(760,$AZ$11:$AZ$4010,0)),""))</f>
        <v/>
      </c>
      <c r="AJ770" s="29" t="str">
        <f>IF(AE770="","",IFERROR(INDEX($AT$11:$AT$4010,MATCH(760,$AZ$11:$AZ$4010,0)),""))</f>
        <v/>
      </c>
      <c r="AL770" s="31"/>
      <c r="AM770" s="26"/>
      <c r="AN770" s="32"/>
      <c r="AO770" s="32"/>
      <c r="AP770" s="24"/>
      <c r="AQ770" s="24"/>
      <c r="AR770" s="33"/>
      <c r="AS770" s="34"/>
      <c r="AT770" s="33"/>
      <c r="AV770" s="21">
        <f>IF(AND($AL770&lt;&gt;"",COUNTIF($AL$11:$AL770,$AL770)=1),1,0)</f>
        <v>0</v>
      </c>
      <c r="AW770" s="21">
        <f t="shared" si="109"/>
        <v>0</v>
      </c>
      <c r="AX770" s="21" t="str">
        <f t="shared" si="108"/>
        <v/>
      </c>
      <c r="AY770" s="21" t="str">
        <f>IF(AND($AM770&lt;&gt;"",$AS770&lt;&gt;"✓"),SUMPRODUCT(($AM$11:$AM770&lt;&gt;"")*($AS$11:$AS770&lt;&gt;"✓")),"")</f>
        <v/>
      </c>
      <c r="AZ770" s="21" t="str">
        <f>IF(AND($AM770&lt;&gt;"",$AS770="✓"),SUMPRODUCT(($AM$11:$AM770&lt;&gt;"")*($AS$11:$AS770="✓")),"")</f>
        <v/>
      </c>
      <c r="BA770" s="21" t="str">
        <f>IF($AL770="","",$AL770&amp;"|"&amp;COUNTIF($AL$11:$AL770,$AL770))</f>
        <v/>
      </c>
    </row>
    <row r="771" spans="23:53" ht="15" customHeight="1" x14ac:dyDescent="0.25">
      <c r="W771" s="14" t="str">
        <f>IF(X771="","",IFERROR(INDEX($AL$11:$AL$4010,MATCH(761,$AY$11:$AY$4010,0)),""))</f>
        <v/>
      </c>
      <c r="X771" s="12" t="str">
        <f>IFERROR(INDEX($AM$11:$AM$4010,MATCH(761,$AY$11:$AY$4010,0)),"")</f>
        <v/>
      </c>
      <c r="Y771" s="11" t="str">
        <f>IF(X771="","",IFERROR(INDEX($AN$11:$AN$4010,MATCH(761,$AY$11:$AY$4010,0)),""))</f>
        <v/>
      </c>
      <c r="Z771" s="11" t="str">
        <f>IF(X771="","",IFERROR(INDEX($AO$11:$AO$4010,MATCH(761,$AY$11:$AY$4010,0)),""))</f>
        <v/>
      </c>
      <c r="AA771" s="10" t="str">
        <f>IF(X771="","",IFERROR(INDEX($AQ$11:$AQ$4010,MATCH(761,$AY$11:$AY$4010,0)),""))</f>
        <v/>
      </c>
      <c r="AB771" s="15" t="str">
        <f>IF(X771="","",IFERROR(INDEX($AR$11:$AR$4010,MATCH(761,$AY$11:$AY$4010,0)),""))</f>
        <v/>
      </c>
      <c r="AD771" s="16" t="str">
        <f>IF(AE771="","",IFERROR(INDEX($AL$11:$AL$4010,MATCH(761,$AZ$11:$AZ$4010,0)),""))</f>
        <v/>
      </c>
      <c r="AE771" s="12" t="str">
        <f>IFERROR(INDEX($AM$11:$AM$4010,MATCH(761,$AZ$11:$AZ$4010,0)),"")</f>
        <v/>
      </c>
      <c r="AF771" s="11" t="str">
        <f>IF(AE771="","",IFERROR(INDEX($AN$11:$AN$4010,MATCH(761,$AZ$11:$AZ$4010,0)),""))</f>
        <v/>
      </c>
      <c r="AG771" s="11" t="str">
        <f>IF(AE771="","",IFERROR(INDEX($AO$11:$AO$4010,MATCH(761,$AZ$11:$AZ$4010,0)),""))</f>
        <v/>
      </c>
      <c r="AH771" s="10" t="str">
        <f>IF(AE771="","",IFERROR(INDEX($AQ$11:$AQ$4010,MATCH(761,$AZ$11:$AZ$4010,0)),""))</f>
        <v/>
      </c>
      <c r="AI771" s="15" t="str">
        <f>IF(AE771="","",IFERROR(INDEX($AR$11:$AR$4010,MATCH(761,$AZ$11:$AZ$4010,0)),""))</f>
        <v/>
      </c>
      <c r="AJ771" s="15" t="str">
        <f>IF(AE771="","",IFERROR(INDEX($AT$11:$AT$4010,MATCH(761,$AZ$11:$AZ$4010,0)),""))</f>
        <v/>
      </c>
      <c r="AL771" s="17"/>
      <c r="AM771" s="12"/>
      <c r="AN771" s="18"/>
      <c r="AO771" s="18"/>
      <c r="AP771" s="10"/>
      <c r="AQ771" s="10"/>
      <c r="AR771" s="19"/>
      <c r="AS771" s="20"/>
      <c r="AT771" s="19"/>
      <c r="AV771" s="21">
        <f>IF(AND($AL771&lt;&gt;"",COUNTIF($AL$11:$AL771,$AL771)=1),1,0)</f>
        <v>0</v>
      </c>
      <c r="AW771" s="21">
        <f t="shared" si="109"/>
        <v>0</v>
      </c>
      <c r="AX771" s="21" t="str">
        <f t="shared" si="108"/>
        <v/>
      </c>
      <c r="AY771" s="21" t="str">
        <f>IF(AND($AM771&lt;&gt;"",$AS771&lt;&gt;"✓"),SUMPRODUCT(($AM$11:$AM771&lt;&gt;"")*($AS$11:$AS771&lt;&gt;"✓")),"")</f>
        <v/>
      </c>
      <c r="AZ771" s="21" t="str">
        <f>IF(AND($AM771&lt;&gt;"",$AS771="✓"),SUMPRODUCT(($AM$11:$AM771&lt;&gt;"")*($AS$11:$AS771="✓")),"")</f>
        <v/>
      </c>
      <c r="BA771" s="21" t="str">
        <f>IF($AL771="","",$AL771&amp;"|"&amp;COUNTIF($AL$11:$AL771,$AL771))</f>
        <v/>
      </c>
    </row>
    <row r="772" spans="23:53" ht="15" customHeight="1" x14ac:dyDescent="0.25">
      <c r="W772" s="28" t="str">
        <f>IF(X772="","",IFERROR(INDEX($AL$11:$AL$4010,MATCH(762,$AY$11:$AY$4010,0)),""))</f>
        <v/>
      </c>
      <c r="X772" s="26" t="str">
        <f>IFERROR(INDEX($AM$11:$AM$4010,MATCH(762,$AY$11:$AY$4010,0)),"")</f>
        <v/>
      </c>
      <c r="Y772" s="25" t="str">
        <f>IF(X772="","",IFERROR(INDEX($AN$11:$AN$4010,MATCH(762,$AY$11:$AY$4010,0)),""))</f>
        <v/>
      </c>
      <c r="Z772" s="25" t="str">
        <f>IF(X772="","",IFERROR(INDEX($AO$11:$AO$4010,MATCH(762,$AY$11:$AY$4010,0)),""))</f>
        <v/>
      </c>
      <c r="AA772" s="24" t="str">
        <f>IF(X772="","",IFERROR(INDEX($AQ$11:$AQ$4010,MATCH(762,$AY$11:$AY$4010,0)),""))</f>
        <v/>
      </c>
      <c r="AB772" s="29" t="str">
        <f>IF(X772="","",IFERROR(INDEX($AR$11:$AR$4010,MATCH(762,$AY$11:$AY$4010,0)),""))</f>
        <v/>
      </c>
      <c r="AD772" s="30" t="str">
        <f>IF(AE772="","",IFERROR(INDEX($AL$11:$AL$4010,MATCH(762,$AZ$11:$AZ$4010,0)),""))</f>
        <v/>
      </c>
      <c r="AE772" s="26" t="str">
        <f>IFERROR(INDEX($AM$11:$AM$4010,MATCH(762,$AZ$11:$AZ$4010,0)),"")</f>
        <v/>
      </c>
      <c r="AF772" s="25" t="str">
        <f>IF(AE772="","",IFERROR(INDEX($AN$11:$AN$4010,MATCH(762,$AZ$11:$AZ$4010,0)),""))</f>
        <v/>
      </c>
      <c r="AG772" s="25" t="str">
        <f>IF(AE772="","",IFERROR(INDEX($AO$11:$AO$4010,MATCH(762,$AZ$11:$AZ$4010,0)),""))</f>
        <v/>
      </c>
      <c r="AH772" s="24" t="str">
        <f>IF(AE772="","",IFERROR(INDEX($AQ$11:$AQ$4010,MATCH(762,$AZ$11:$AZ$4010,0)),""))</f>
        <v/>
      </c>
      <c r="AI772" s="29" t="str">
        <f>IF(AE772="","",IFERROR(INDEX($AR$11:$AR$4010,MATCH(762,$AZ$11:$AZ$4010,0)),""))</f>
        <v/>
      </c>
      <c r="AJ772" s="29" t="str">
        <f>IF(AE772="","",IFERROR(INDEX($AT$11:$AT$4010,MATCH(762,$AZ$11:$AZ$4010,0)),""))</f>
        <v/>
      </c>
      <c r="AL772" s="31"/>
      <c r="AM772" s="26"/>
      <c r="AN772" s="32"/>
      <c r="AO772" s="32"/>
      <c r="AP772" s="24"/>
      <c r="AQ772" s="24"/>
      <c r="AR772" s="33"/>
      <c r="AS772" s="34"/>
      <c r="AT772" s="33"/>
      <c r="AV772" s="21">
        <f>IF(AND($AL772&lt;&gt;"",COUNTIF($AL$11:$AL772,$AL772)=1),1,0)</f>
        <v>0</v>
      </c>
      <c r="AW772" s="21">
        <f t="shared" si="109"/>
        <v>0</v>
      </c>
      <c r="AX772" s="21" t="str">
        <f t="shared" si="108"/>
        <v/>
      </c>
      <c r="AY772" s="21" t="str">
        <f>IF(AND($AM772&lt;&gt;"",$AS772&lt;&gt;"✓"),SUMPRODUCT(($AM$11:$AM772&lt;&gt;"")*($AS$11:$AS772&lt;&gt;"✓")),"")</f>
        <v/>
      </c>
      <c r="AZ772" s="21" t="str">
        <f>IF(AND($AM772&lt;&gt;"",$AS772="✓"),SUMPRODUCT(($AM$11:$AM772&lt;&gt;"")*($AS$11:$AS772="✓")),"")</f>
        <v/>
      </c>
      <c r="BA772" s="21" t="str">
        <f>IF($AL772="","",$AL772&amp;"|"&amp;COUNTIF($AL$11:$AL772,$AL772))</f>
        <v/>
      </c>
    </row>
    <row r="773" spans="23:53" ht="15" customHeight="1" x14ac:dyDescent="0.25">
      <c r="W773" s="14" t="str">
        <f>IF(X773="","",IFERROR(INDEX($AL$11:$AL$4010,MATCH(763,$AY$11:$AY$4010,0)),""))</f>
        <v/>
      </c>
      <c r="X773" s="12" t="str">
        <f>IFERROR(INDEX($AM$11:$AM$4010,MATCH(763,$AY$11:$AY$4010,0)),"")</f>
        <v/>
      </c>
      <c r="Y773" s="11" t="str">
        <f>IF(X773="","",IFERROR(INDEX($AN$11:$AN$4010,MATCH(763,$AY$11:$AY$4010,0)),""))</f>
        <v/>
      </c>
      <c r="Z773" s="11" t="str">
        <f>IF(X773="","",IFERROR(INDEX($AO$11:$AO$4010,MATCH(763,$AY$11:$AY$4010,0)),""))</f>
        <v/>
      </c>
      <c r="AA773" s="10" t="str">
        <f>IF(X773="","",IFERROR(INDEX($AQ$11:$AQ$4010,MATCH(763,$AY$11:$AY$4010,0)),""))</f>
        <v/>
      </c>
      <c r="AB773" s="15" t="str">
        <f>IF(X773="","",IFERROR(INDEX($AR$11:$AR$4010,MATCH(763,$AY$11:$AY$4010,0)),""))</f>
        <v/>
      </c>
      <c r="AD773" s="16" t="str">
        <f>IF(AE773="","",IFERROR(INDEX($AL$11:$AL$4010,MATCH(763,$AZ$11:$AZ$4010,0)),""))</f>
        <v/>
      </c>
      <c r="AE773" s="12" t="str">
        <f>IFERROR(INDEX($AM$11:$AM$4010,MATCH(763,$AZ$11:$AZ$4010,0)),"")</f>
        <v/>
      </c>
      <c r="AF773" s="11" t="str">
        <f>IF(AE773="","",IFERROR(INDEX($AN$11:$AN$4010,MATCH(763,$AZ$11:$AZ$4010,0)),""))</f>
        <v/>
      </c>
      <c r="AG773" s="11" t="str">
        <f>IF(AE773="","",IFERROR(INDEX($AO$11:$AO$4010,MATCH(763,$AZ$11:$AZ$4010,0)),""))</f>
        <v/>
      </c>
      <c r="AH773" s="10" t="str">
        <f>IF(AE773="","",IFERROR(INDEX($AQ$11:$AQ$4010,MATCH(763,$AZ$11:$AZ$4010,0)),""))</f>
        <v/>
      </c>
      <c r="AI773" s="15" t="str">
        <f>IF(AE773="","",IFERROR(INDEX($AR$11:$AR$4010,MATCH(763,$AZ$11:$AZ$4010,0)),""))</f>
        <v/>
      </c>
      <c r="AJ773" s="15" t="str">
        <f>IF(AE773="","",IFERROR(INDEX($AT$11:$AT$4010,MATCH(763,$AZ$11:$AZ$4010,0)),""))</f>
        <v/>
      </c>
      <c r="AL773" s="17"/>
      <c r="AM773" s="12"/>
      <c r="AN773" s="18"/>
      <c r="AO773" s="18"/>
      <c r="AP773" s="10"/>
      <c r="AQ773" s="10"/>
      <c r="AR773" s="19"/>
      <c r="AS773" s="20"/>
      <c r="AT773" s="19"/>
      <c r="AV773" s="21">
        <f>IF(AND($AL773&lt;&gt;"",COUNTIF($AL$11:$AL773,$AL773)=1),1,0)</f>
        <v>0</v>
      </c>
      <c r="AW773" s="21">
        <f t="shared" si="109"/>
        <v>0</v>
      </c>
      <c r="AX773" s="21" t="str">
        <f t="shared" si="108"/>
        <v/>
      </c>
      <c r="AY773" s="21" t="str">
        <f>IF(AND($AM773&lt;&gt;"",$AS773&lt;&gt;"✓"),SUMPRODUCT(($AM$11:$AM773&lt;&gt;"")*($AS$11:$AS773&lt;&gt;"✓")),"")</f>
        <v/>
      </c>
      <c r="AZ773" s="21" t="str">
        <f>IF(AND($AM773&lt;&gt;"",$AS773="✓"),SUMPRODUCT(($AM$11:$AM773&lt;&gt;"")*($AS$11:$AS773="✓")),"")</f>
        <v/>
      </c>
      <c r="BA773" s="21" t="str">
        <f>IF($AL773="","",$AL773&amp;"|"&amp;COUNTIF($AL$11:$AL773,$AL773))</f>
        <v/>
      </c>
    </row>
    <row r="774" spans="23:53" ht="15" customHeight="1" x14ac:dyDescent="0.25">
      <c r="W774" s="28" t="str">
        <f>IF(X774="","",IFERROR(INDEX($AL$11:$AL$4010,MATCH(764,$AY$11:$AY$4010,0)),""))</f>
        <v/>
      </c>
      <c r="X774" s="26" t="str">
        <f>IFERROR(INDEX($AM$11:$AM$4010,MATCH(764,$AY$11:$AY$4010,0)),"")</f>
        <v/>
      </c>
      <c r="Y774" s="25" t="str">
        <f>IF(X774="","",IFERROR(INDEX($AN$11:$AN$4010,MATCH(764,$AY$11:$AY$4010,0)),""))</f>
        <v/>
      </c>
      <c r="Z774" s="25" t="str">
        <f>IF(X774="","",IFERROR(INDEX($AO$11:$AO$4010,MATCH(764,$AY$11:$AY$4010,0)),""))</f>
        <v/>
      </c>
      <c r="AA774" s="24" t="str">
        <f>IF(X774="","",IFERROR(INDEX($AQ$11:$AQ$4010,MATCH(764,$AY$11:$AY$4010,0)),""))</f>
        <v/>
      </c>
      <c r="AB774" s="29" t="str">
        <f>IF(X774="","",IFERROR(INDEX($AR$11:$AR$4010,MATCH(764,$AY$11:$AY$4010,0)),""))</f>
        <v/>
      </c>
      <c r="AD774" s="30" t="str">
        <f>IF(AE774="","",IFERROR(INDEX($AL$11:$AL$4010,MATCH(764,$AZ$11:$AZ$4010,0)),""))</f>
        <v/>
      </c>
      <c r="AE774" s="26" t="str">
        <f>IFERROR(INDEX($AM$11:$AM$4010,MATCH(764,$AZ$11:$AZ$4010,0)),"")</f>
        <v/>
      </c>
      <c r="AF774" s="25" t="str">
        <f>IF(AE774="","",IFERROR(INDEX($AN$11:$AN$4010,MATCH(764,$AZ$11:$AZ$4010,0)),""))</f>
        <v/>
      </c>
      <c r="AG774" s="25" t="str">
        <f>IF(AE774="","",IFERROR(INDEX($AO$11:$AO$4010,MATCH(764,$AZ$11:$AZ$4010,0)),""))</f>
        <v/>
      </c>
      <c r="AH774" s="24" t="str">
        <f>IF(AE774="","",IFERROR(INDEX($AQ$11:$AQ$4010,MATCH(764,$AZ$11:$AZ$4010,0)),""))</f>
        <v/>
      </c>
      <c r="AI774" s="29" t="str">
        <f>IF(AE774="","",IFERROR(INDEX($AR$11:$AR$4010,MATCH(764,$AZ$11:$AZ$4010,0)),""))</f>
        <v/>
      </c>
      <c r="AJ774" s="29" t="str">
        <f>IF(AE774="","",IFERROR(INDEX($AT$11:$AT$4010,MATCH(764,$AZ$11:$AZ$4010,0)),""))</f>
        <v/>
      </c>
      <c r="AL774" s="31"/>
      <c r="AM774" s="26"/>
      <c r="AN774" s="32"/>
      <c r="AO774" s="32"/>
      <c r="AP774" s="24"/>
      <c r="AQ774" s="24"/>
      <c r="AR774" s="33"/>
      <c r="AS774" s="34"/>
      <c r="AT774" s="33"/>
      <c r="AV774" s="21">
        <f>IF(AND($AL774&lt;&gt;"",COUNTIF($AL$11:$AL774,$AL774)=1),1,0)</f>
        <v>0</v>
      </c>
      <c r="AW774" s="21">
        <f t="shared" si="109"/>
        <v>0</v>
      </c>
      <c r="AX774" s="21" t="str">
        <f t="shared" si="108"/>
        <v/>
      </c>
      <c r="AY774" s="21" t="str">
        <f>IF(AND($AM774&lt;&gt;"",$AS774&lt;&gt;"✓"),SUMPRODUCT(($AM$11:$AM774&lt;&gt;"")*($AS$11:$AS774&lt;&gt;"✓")),"")</f>
        <v/>
      </c>
      <c r="AZ774" s="21" t="str">
        <f>IF(AND($AM774&lt;&gt;"",$AS774="✓"),SUMPRODUCT(($AM$11:$AM774&lt;&gt;"")*($AS$11:$AS774="✓")),"")</f>
        <v/>
      </c>
      <c r="BA774" s="21" t="str">
        <f>IF($AL774="","",$AL774&amp;"|"&amp;COUNTIF($AL$11:$AL774,$AL774))</f>
        <v/>
      </c>
    </row>
    <row r="775" spans="23:53" ht="15" customHeight="1" x14ac:dyDescent="0.25">
      <c r="W775" s="14" t="str">
        <f>IF(X775="","",IFERROR(INDEX($AL$11:$AL$4010,MATCH(765,$AY$11:$AY$4010,0)),""))</f>
        <v/>
      </c>
      <c r="X775" s="12" t="str">
        <f>IFERROR(INDEX($AM$11:$AM$4010,MATCH(765,$AY$11:$AY$4010,0)),"")</f>
        <v/>
      </c>
      <c r="Y775" s="11" t="str">
        <f>IF(X775="","",IFERROR(INDEX($AN$11:$AN$4010,MATCH(765,$AY$11:$AY$4010,0)),""))</f>
        <v/>
      </c>
      <c r="Z775" s="11" t="str">
        <f>IF(X775="","",IFERROR(INDEX($AO$11:$AO$4010,MATCH(765,$AY$11:$AY$4010,0)),""))</f>
        <v/>
      </c>
      <c r="AA775" s="10" t="str">
        <f>IF(X775="","",IFERROR(INDEX($AQ$11:$AQ$4010,MATCH(765,$AY$11:$AY$4010,0)),""))</f>
        <v/>
      </c>
      <c r="AB775" s="15" t="str">
        <f>IF(X775="","",IFERROR(INDEX($AR$11:$AR$4010,MATCH(765,$AY$11:$AY$4010,0)),""))</f>
        <v/>
      </c>
      <c r="AD775" s="16" t="str">
        <f>IF(AE775="","",IFERROR(INDEX($AL$11:$AL$4010,MATCH(765,$AZ$11:$AZ$4010,0)),""))</f>
        <v/>
      </c>
      <c r="AE775" s="12" t="str">
        <f>IFERROR(INDEX($AM$11:$AM$4010,MATCH(765,$AZ$11:$AZ$4010,0)),"")</f>
        <v/>
      </c>
      <c r="AF775" s="11" t="str">
        <f>IF(AE775="","",IFERROR(INDEX($AN$11:$AN$4010,MATCH(765,$AZ$11:$AZ$4010,0)),""))</f>
        <v/>
      </c>
      <c r="AG775" s="11" t="str">
        <f>IF(AE775="","",IFERROR(INDEX($AO$11:$AO$4010,MATCH(765,$AZ$11:$AZ$4010,0)),""))</f>
        <v/>
      </c>
      <c r="AH775" s="10" t="str">
        <f>IF(AE775="","",IFERROR(INDEX($AQ$11:$AQ$4010,MATCH(765,$AZ$11:$AZ$4010,0)),""))</f>
        <v/>
      </c>
      <c r="AI775" s="15" t="str">
        <f>IF(AE775="","",IFERROR(INDEX($AR$11:$AR$4010,MATCH(765,$AZ$11:$AZ$4010,0)),""))</f>
        <v/>
      </c>
      <c r="AJ775" s="15" t="str">
        <f>IF(AE775="","",IFERROR(INDEX($AT$11:$AT$4010,MATCH(765,$AZ$11:$AZ$4010,0)),""))</f>
        <v/>
      </c>
      <c r="AL775" s="17"/>
      <c r="AM775" s="12"/>
      <c r="AN775" s="18"/>
      <c r="AO775" s="18"/>
      <c r="AP775" s="10"/>
      <c r="AQ775" s="10"/>
      <c r="AR775" s="19"/>
      <c r="AS775" s="20"/>
      <c r="AT775" s="19"/>
      <c r="AV775" s="21">
        <f>IF(AND($AL775&lt;&gt;"",COUNTIF($AL$11:$AL775,$AL775)=1),1,0)</f>
        <v>0</v>
      </c>
      <c r="AW775" s="21">
        <f t="shared" si="109"/>
        <v>0</v>
      </c>
      <c r="AX775" s="21" t="str">
        <f t="shared" si="108"/>
        <v/>
      </c>
      <c r="AY775" s="21" t="str">
        <f>IF(AND($AM775&lt;&gt;"",$AS775&lt;&gt;"✓"),SUMPRODUCT(($AM$11:$AM775&lt;&gt;"")*($AS$11:$AS775&lt;&gt;"✓")),"")</f>
        <v/>
      </c>
      <c r="AZ775" s="21" t="str">
        <f>IF(AND($AM775&lt;&gt;"",$AS775="✓"),SUMPRODUCT(($AM$11:$AM775&lt;&gt;"")*($AS$11:$AS775="✓")),"")</f>
        <v/>
      </c>
      <c r="BA775" s="21" t="str">
        <f>IF($AL775="","",$AL775&amp;"|"&amp;COUNTIF($AL$11:$AL775,$AL775))</f>
        <v/>
      </c>
    </row>
    <row r="776" spans="23:53" ht="15" customHeight="1" x14ac:dyDescent="0.25">
      <c r="W776" s="28" t="str">
        <f>IF(X776="","",IFERROR(INDEX($AL$11:$AL$4010,MATCH(766,$AY$11:$AY$4010,0)),""))</f>
        <v/>
      </c>
      <c r="X776" s="26" t="str">
        <f>IFERROR(INDEX($AM$11:$AM$4010,MATCH(766,$AY$11:$AY$4010,0)),"")</f>
        <v/>
      </c>
      <c r="Y776" s="25" t="str">
        <f>IF(X776="","",IFERROR(INDEX($AN$11:$AN$4010,MATCH(766,$AY$11:$AY$4010,0)),""))</f>
        <v/>
      </c>
      <c r="Z776" s="25" t="str">
        <f>IF(X776="","",IFERROR(INDEX($AO$11:$AO$4010,MATCH(766,$AY$11:$AY$4010,0)),""))</f>
        <v/>
      </c>
      <c r="AA776" s="24" t="str">
        <f>IF(X776="","",IFERROR(INDEX($AQ$11:$AQ$4010,MATCH(766,$AY$11:$AY$4010,0)),""))</f>
        <v/>
      </c>
      <c r="AB776" s="29" t="str">
        <f>IF(X776="","",IFERROR(INDEX($AR$11:$AR$4010,MATCH(766,$AY$11:$AY$4010,0)),""))</f>
        <v/>
      </c>
      <c r="AD776" s="30" t="str">
        <f>IF(AE776="","",IFERROR(INDEX($AL$11:$AL$4010,MATCH(766,$AZ$11:$AZ$4010,0)),""))</f>
        <v/>
      </c>
      <c r="AE776" s="26" t="str">
        <f>IFERROR(INDEX($AM$11:$AM$4010,MATCH(766,$AZ$11:$AZ$4010,0)),"")</f>
        <v/>
      </c>
      <c r="AF776" s="25" t="str">
        <f>IF(AE776="","",IFERROR(INDEX($AN$11:$AN$4010,MATCH(766,$AZ$11:$AZ$4010,0)),""))</f>
        <v/>
      </c>
      <c r="AG776" s="25" t="str">
        <f>IF(AE776="","",IFERROR(INDEX($AO$11:$AO$4010,MATCH(766,$AZ$11:$AZ$4010,0)),""))</f>
        <v/>
      </c>
      <c r="AH776" s="24" t="str">
        <f>IF(AE776="","",IFERROR(INDEX($AQ$11:$AQ$4010,MATCH(766,$AZ$11:$AZ$4010,0)),""))</f>
        <v/>
      </c>
      <c r="AI776" s="29" t="str">
        <f>IF(AE776="","",IFERROR(INDEX($AR$11:$AR$4010,MATCH(766,$AZ$11:$AZ$4010,0)),""))</f>
        <v/>
      </c>
      <c r="AJ776" s="29" t="str">
        <f>IF(AE776="","",IFERROR(INDEX($AT$11:$AT$4010,MATCH(766,$AZ$11:$AZ$4010,0)),""))</f>
        <v/>
      </c>
      <c r="AL776" s="31"/>
      <c r="AM776" s="26"/>
      <c r="AN776" s="32"/>
      <c r="AO776" s="32"/>
      <c r="AP776" s="24"/>
      <c r="AQ776" s="24"/>
      <c r="AR776" s="33"/>
      <c r="AS776" s="34"/>
      <c r="AT776" s="33"/>
      <c r="AV776" s="21">
        <f>IF(AND($AL776&lt;&gt;"",COUNTIF($AL$11:$AL776,$AL776)=1),1,0)</f>
        <v>0</v>
      </c>
      <c r="AW776" s="21">
        <f t="shared" si="109"/>
        <v>0</v>
      </c>
      <c r="AX776" s="21" t="str">
        <f t="shared" si="108"/>
        <v/>
      </c>
      <c r="AY776" s="21" t="str">
        <f>IF(AND($AM776&lt;&gt;"",$AS776&lt;&gt;"✓"),SUMPRODUCT(($AM$11:$AM776&lt;&gt;"")*($AS$11:$AS776&lt;&gt;"✓")),"")</f>
        <v/>
      </c>
      <c r="AZ776" s="21" t="str">
        <f>IF(AND($AM776&lt;&gt;"",$AS776="✓"),SUMPRODUCT(($AM$11:$AM776&lt;&gt;"")*($AS$11:$AS776="✓")),"")</f>
        <v/>
      </c>
      <c r="BA776" s="21" t="str">
        <f>IF($AL776="","",$AL776&amp;"|"&amp;COUNTIF($AL$11:$AL776,$AL776))</f>
        <v/>
      </c>
    </row>
    <row r="777" spans="23:53" ht="15" customHeight="1" x14ac:dyDescent="0.25">
      <c r="W777" s="14" t="str">
        <f>IF(X777="","",IFERROR(INDEX($AL$11:$AL$4010,MATCH(767,$AY$11:$AY$4010,0)),""))</f>
        <v/>
      </c>
      <c r="X777" s="12" t="str">
        <f>IFERROR(INDEX($AM$11:$AM$4010,MATCH(767,$AY$11:$AY$4010,0)),"")</f>
        <v/>
      </c>
      <c r="Y777" s="11" t="str">
        <f>IF(X777="","",IFERROR(INDEX($AN$11:$AN$4010,MATCH(767,$AY$11:$AY$4010,0)),""))</f>
        <v/>
      </c>
      <c r="Z777" s="11" t="str">
        <f>IF(X777="","",IFERROR(INDEX($AO$11:$AO$4010,MATCH(767,$AY$11:$AY$4010,0)),""))</f>
        <v/>
      </c>
      <c r="AA777" s="10" t="str">
        <f>IF(X777="","",IFERROR(INDEX($AQ$11:$AQ$4010,MATCH(767,$AY$11:$AY$4010,0)),""))</f>
        <v/>
      </c>
      <c r="AB777" s="15" t="str">
        <f>IF(X777="","",IFERROR(INDEX($AR$11:$AR$4010,MATCH(767,$AY$11:$AY$4010,0)),""))</f>
        <v/>
      </c>
      <c r="AD777" s="16" t="str">
        <f>IF(AE777="","",IFERROR(INDEX($AL$11:$AL$4010,MATCH(767,$AZ$11:$AZ$4010,0)),""))</f>
        <v/>
      </c>
      <c r="AE777" s="12" t="str">
        <f>IFERROR(INDEX($AM$11:$AM$4010,MATCH(767,$AZ$11:$AZ$4010,0)),"")</f>
        <v/>
      </c>
      <c r="AF777" s="11" t="str">
        <f>IF(AE777="","",IFERROR(INDEX($AN$11:$AN$4010,MATCH(767,$AZ$11:$AZ$4010,0)),""))</f>
        <v/>
      </c>
      <c r="AG777" s="11" t="str">
        <f>IF(AE777="","",IFERROR(INDEX($AO$11:$AO$4010,MATCH(767,$AZ$11:$AZ$4010,0)),""))</f>
        <v/>
      </c>
      <c r="AH777" s="10" t="str">
        <f>IF(AE777="","",IFERROR(INDEX($AQ$11:$AQ$4010,MATCH(767,$AZ$11:$AZ$4010,0)),""))</f>
        <v/>
      </c>
      <c r="AI777" s="15" t="str">
        <f>IF(AE777="","",IFERROR(INDEX($AR$11:$AR$4010,MATCH(767,$AZ$11:$AZ$4010,0)),""))</f>
        <v/>
      </c>
      <c r="AJ777" s="15" t="str">
        <f>IF(AE777="","",IFERROR(INDEX($AT$11:$AT$4010,MATCH(767,$AZ$11:$AZ$4010,0)),""))</f>
        <v/>
      </c>
      <c r="AL777" s="17"/>
      <c r="AM777" s="12"/>
      <c r="AN777" s="18"/>
      <c r="AO777" s="18"/>
      <c r="AP777" s="10"/>
      <c r="AQ777" s="10"/>
      <c r="AR777" s="19"/>
      <c r="AS777" s="20"/>
      <c r="AT777" s="19"/>
      <c r="AV777" s="21">
        <f>IF(AND($AL777&lt;&gt;"",COUNTIF($AL$11:$AL777,$AL777)=1),1,0)</f>
        <v>0</v>
      </c>
      <c r="AW777" s="21">
        <f t="shared" si="109"/>
        <v>0</v>
      </c>
      <c r="AX777" s="21" t="str">
        <f t="shared" si="108"/>
        <v/>
      </c>
      <c r="AY777" s="21" t="str">
        <f>IF(AND($AM777&lt;&gt;"",$AS777&lt;&gt;"✓"),SUMPRODUCT(($AM$11:$AM777&lt;&gt;"")*($AS$11:$AS777&lt;&gt;"✓")),"")</f>
        <v/>
      </c>
      <c r="AZ777" s="21" t="str">
        <f>IF(AND($AM777&lt;&gt;"",$AS777="✓"),SUMPRODUCT(($AM$11:$AM777&lt;&gt;"")*($AS$11:$AS777="✓")),"")</f>
        <v/>
      </c>
      <c r="BA777" s="21" t="str">
        <f>IF($AL777="","",$AL777&amp;"|"&amp;COUNTIF($AL$11:$AL777,$AL777))</f>
        <v/>
      </c>
    </row>
    <row r="778" spans="23:53" ht="15" customHeight="1" x14ac:dyDescent="0.25">
      <c r="W778" s="28" t="str">
        <f>IF(X778="","",IFERROR(INDEX($AL$11:$AL$4010,MATCH(768,$AY$11:$AY$4010,0)),""))</f>
        <v/>
      </c>
      <c r="X778" s="26" t="str">
        <f>IFERROR(INDEX($AM$11:$AM$4010,MATCH(768,$AY$11:$AY$4010,0)),"")</f>
        <v/>
      </c>
      <c r="Y778" s="25" t="str">
        <f>IF(X778="","",IFERROR(INDEX($AN$11:$AN$4010,MATCH(768,$AY$11:$AY$4010,0)),""))</f>
        <v/>
      </c>
      <c r="Z778" s="25" t="str">
        <f>IF(X778="","",IFERROR(INDEX($AO$11:$AO$4010,MATCH(768,$AY$11:$AY$4010,0)),""))</f>
        <v/>
      </c>
      <c r="AA778" s="24" t="str">
        <f>IF(X778="","",IFERROR(INDEX($AQ$11:$AQ$4010,MATCH(768,$AY$11:$AY$4010,0)),""))</f>
        <v/>
      </c>
      <c r="AB778" s="29" t="str">
        <f>IF(X778="","",IFERROR(INDEX($AR$11:$AR$4010,MATCH(768,$AY$11:$AY$4010,0)),""))</f>
        <v/>
      </c>
      <c r="AD778" s="30" t="str">
        <f>IF(AE778="","",IFERROR(INDEX($AL$11:$AL$4010,MATCH(768,$AZ$11:$AZ$4010,0)),""))</f>
        <v/>
      </c>
      <c r="AE778" s="26" t="str">
        <f>IFERROR(INDEX($AM$11:$AM$4010,MATCH(768,$AZ$11:$AZ$4010,0)),"")</f>
        <v/>
      </c>
      <c r="AF778" s="25" t="str">
        <f>IF(AE778="","",IFERROR(INDEX($AN$11:$AN$4010,MATCH(768,$AZ$11:$AZ$4010,0)),""))</f>
        <v/>
      </c>
      <c r="AG778" s="25" t="str">
        <f>IF(AE778="","",IFERROR(INDEX($AO$11:$AO$4010,MATCH(768,$AZ$11:$AZ$4010,0)),""))</f>
        <v/>
      </c>
      <c r="AH778" s="24" t="str">
        <f>IF(AE778="","",IFERROR(INDEX($AQ$11:$AQ$4010,MATCH(768,$AZ$11:$AZ$4010,0)),""))</f>
        <v/>
      </c>
      <c r="AI778" s="29" t="str">
        <f>IF(AE778="","",IFERROR(INDEX($AR$11:$AR$4010,MATCH(768,$AZ$11:$AZ$4010,0)),""))</f>
        <v/>
      </c>
      <c r="AJ778" s="29" t="str">
        <f>IF(AE778="","",IFERROR(INDEX($AT$11:$AT$4010,MATCH(768,$AZ$11:$AZ$4010,0)),""))</f>
        <v/>
      </c>
      <c r="AL778" s="31"/>
      <c r="AM778" s="26"/>
      <c r="AN778" s="32"/>
      <c r="AO778" s="32"/>
      <c r="AP778" s="24"/>
      <c r="AQ778" s="24"/>
      <c r="AR778" s="33"/>
      <c r="AS778" s="34"/>
      <c r="AT778" s="33"/>
      <c r="AV778" s="21">
        <f>IF(AND($AL778&lt;&gt;"",COUNTIF($AL$11:$AL778,$AL778)=1),1,0)</f>
        <v>0</v>
      </c>
      <c r="AW778" s="21">
        <f t="shared" si="109"/>
        <v>0</v>
      </c>
      <c r="AX778" s="21" t="str">
        <f t="shared" si="108"/>
        <v/>
      </c>
      <c r="AY778" s="21" t="str">
        <f>IF(AND($AM778&lt;&gt;"",$AS778&lt;&gt;"✓"),SUMPRODUCT(($AM$11:$AM778&lt;&gt;"")*($AS$11:$AS778&lt;&gt;"✓")),"")</f>
        <v/>
      </c>
      <c r="AZ778" s="21" t="str">
        <f>IF(AND($AM778&lt;&gt;"",$AS778="✓"),SUMPRODUCT(($AM$11:$AM778&lt;&gt;"")*($AS$11:$AS778="✓")),"")</f>
        <v/>
      </c>
      <c r="BA778" s="21" t="str">
        <f>IF($AL778="","",$AL778&amp;"|"&amp;COUNTIF($AL$11:$AL778,$AL778))</f>
        <v/>
      </c>
    </row>
    <row r="779" spans="23:53" ht="15" customHeight="1" x14ac:dyDescent="0.25">
      <c r="W779" s="14" t="str">
        <f>IF(X779="","",IFERROR(INDEX($AL$11:$AL$4010,MATCH(769,$AY$11:$AY$4010,0)),""))</f>
        <v/>
      </c>
      <c r="X779" s="12" t="str">
        <f>IFERROR(INDEX($AM$11:$AM$4010,MATCH(769,$AY$11:$AY$4010,0)),"")</f>
        <v/>
      </c>
      <c r="Y779" s="11" t="str">
        <f>IF(X779="","",IFERROR(INDEX($AN$11:$AN$4010,MATCH(769,$AY$11:$AY$4010,0)),""))</f>
        <v/>
      </c>
      <c r="Z779" s="11" t="str">
        <f>IF(X779="","",IFERROR(INDEX($AO$11:$AO$4010,MATCH(769,$AY$11:$AY$4010,0)),""))</f>
        <v/>
      </c>
      <c r="AA779" s="10" t="str">
        <f>IF(X779="","",IFERROR(INDEX($AQ$11:$AQ$4010,MATCH(769,$AY$11:$AY$4010,0)),""))</f>
        <v/>
      </c>
      <c r="AB779" s="15" t="str">
        <f>IF(X779="","",IFERROR(INDEX($AR$11:$AR$4010,MATCH(769,$AY$11:$AY$4010,0)),""))</f>
        <v/>
      </c>
      <c r="AD779" s="16" t="str">
        <f>IF(AE779="","",IFERROR(INDEX($AL$11:$AL$4010,MATCH(769,$AZ$11:$AZ$4010,0)),""))</f>
        <v/>
      </c>
      <c r="AE779" s="12" t="str">
        <f>IFERROR(INDEX($AM$11:$AM$4010,MATCH(769,$AZ$11:$AZ$4010,0)),"")</f>
        <v/>
      </c>
      <c r="AF779" s="11" t="str">
        <f>IF(AE779="","",IFERROR(INDEX($AN$11:$AN$4010,MATCH(769,$AZ$11:$AZ$4010,0)),""))</f>
        <v/>
      </c>
      <c r="AG779" s="11" t="str">
        <f>IF(AE779="","",IFERROR(INDEX($AO$11:$AO$4010,MATCH(769,$AZ$11:$AZ$4010,0)),""))</f>
        <v/>
      </c>
      <c r="AH779" s="10" t="str">
        <f>IF(AE779="","",IFERROR(INDEX($AQ$11:$AQ$4010,MATCH(769,$AZ$11:$AZ$4010,0)),""))</f>
        <v/>
      </c>
      <c r="AI779" s="15" t="str">
        <f>IF(AE779="","",IFERROR(INDEX($AR$11:$AR$4010,MATCH(769,$AZ$11:$AZ$4010,0)),""))</f>
        <v/>
      </c>
      <c r="AJ779" s="15" t="str">
        <f>IF(AE779="","",IFERROR(INDEX($AT$11:$AT$4010,MATCH(769,$AZ$11:$AZ$4010,0)),""))</f>
        <v/>
      </c>
      <c r="AL779" s="17"/>
      <c r="AM779" s="12"/>
      <c r="AN779" s="18"/>
      <c r="AO779" s="18"/>
      <c r="AP779" s="10"/>
      <c r="AQ779" s="10"/>
      <c r="AR779" s="19"/>
      <c r="AS779" s="20"/>
      <c r="AT779" s="19"/>
      <c r="AV779" s="21">
        <f>IF(AND($AL779&lt;&gt;"",COUNTIF($AL$11:$AL779,$AL779)=1),1,0)</f>
        <v>0</v>
      </c>
      <c r="AW779" s="21">
        <f t="shared" si="109"/>
        <v>0</v>
      </c>
      <c r="AX779" s="21" t="str">
        <f t="shared" ref="AX779:AX842" si="110">IF(AV779=1,AW779,"")</f>
        <v/>
      </c>
      <c r="AY779" s="21" t="str">
        <f>IF(AND($AM779&lt;&gt;"",$AS779&lt;&gt;"✓"),SUMPRODUCT(($AM$11:$AM779&lt;&gt;"")*($AS$11:$AS779&lt;&gt;"✓")),"")</f>
        <v/>
      </c>
      <c r="AZ779" s="21" t="str">
        <f>IF(AND($AM779&lt;&gt;"",$AS779="✓"),SUMPRODUCT(($AM$11:$AM779&lt;&gt;"")*($AS$11:$AS779="✓")),"")</f>
        <v/>
      </c>
      <c r="BA779" s="21" t="str">
        <f>IF($AL779="","",$AL779&amp;"|"&amp;COUNTIF($AL$11:$AL779,$AL779))</f>
        <v/>
      </c>
    </row>
    <row r="780" spans="23:53" ht="15" customHeight="1" x14ac:dyDescent="0.25">
      <c r="W780" s="28" t="str">
        <f>IF(X780="","",IFERROR(INDEX($AL$11:$AL$4010,MATCH(770,$AY$11:$AY$4010,0)),""))</f>
        <v/>
      </c>
      <c r="X780" s="26" t="str">
        <f>IFERROR(INDEX($AM$11:$AM$4010,MATCH(770,$AY$11:$AY$4010,0)),"")</f>
        <v/>
      </c>
      <c r="Y780" s="25" t="str">
        <f>IF(X780="","",IFERROR(INDEX($AN$11:$AN$4010,MATCH(770,$AY$11:$AY$4010,0)),""))</f>
        <v/>
      </c>
      <c r="Z780" s="25" t="str">
        <f>IF(X780="","",IFERROR(INDEX($AO$11:$AO$4010,MATCH(770,$AY$11:$AY$4010,0)),""))</f>
        <v/>
      </c>
      <c r="AA780" s="24" t="str">
        <f>IF(X780="","",IFERROR(INDEX($AQ$11:$AQ$4010,MATCH(770,$AY$11:$AY$4010,0)),""))</f>
        <v/>
      </c>
      <c r="AB780" s="29" t="str">
        <f>IF(X780="","",IFERROR(INDEX($AR$11:$AR$4010,MATCH(770,$AY$11:$AY$4010,0)),""))</f>
        <v/>
      </c>
      <c r="AD780" s="30" t="str">
        <f>IF(AE780="","",IFERROR(INDEX($AL$11:$AL$4010,MATCH(770,$AZ$11:$AZ$4010,0)),""))</f>
        <v/>
      </c>
      <c r="AE780" s="26" t="str">
        <f>IFERROR(INDEX($AM$11:$AM$4010,MATCH(770,$AZ$11:$AZ$4010,0)),"")</f>
        <v/>
      </c>
      <c r="AF780" s="25" t="str">
        <f>IF(AE780="","",IFERROR(INDEX($AN$11:$AN$4010,MATCH(770,$AZ$11:$AZ$4010,0)),""))</f>
        <v/>
      </c>
      <c r="AG780" s="25" t="str">
        <f>IF(AE780="","",IFERROR(INDEX($AO$11:$AO$4010,MATCH(770,$AZ$11:$AZ$4010,0)),""))</f>
        <v/>
      </c>
      <c r="AH780" s="24" t="str">
        <f>IF(AE780="","",IFERROR(INDEX($AQ$11:$AQ$4010,MATCH(770,$AZ$11:$AZ$4010,0)),""))</f>
        <v/>
      </c>
      <c r="AI780" s="29" t="str">
        <f>IF(AE780="","",IFERROR(INDEX($AR$11:$AR$4010,MATCH(770,$AZ$11:$AZ$4010,0)),""))</f>
        <v/>
      </c>
      <c r="AJ780" s="29" t="str">
        <f>IF(AE780="","",IFERROR(INDEX($AT$11:$AT$4010,MATCH(770,$AZ$11:$AZ$4010,0)),""))</f>
        <v/>
      </c>
      <c r="AL780" s="31"/>
      <c r="AM780" s="26"/>
      <c r="AN780" s="32"/>
      <c r="AO780" s="32"/>
      <c r="AP780" s="24"/>
      <c r="AQ780" s="24"/>
      <c r="AR780" s="33"/>
      <c r="AS780" s="34"/>
      <c r="AT780" s="33"/>
      <c r="AV780" s="21">
        <f>IF(AND($AL780&lt;&gt;"",COUNTIF($AL$11:$AL780,$AL780)=1),1,0)</f>
        <v>0</v>
      </c>
      <c r="AW780" s="21">
        <f t="shared" ref="AW780:AW843" si="111">AW779+AV780</f>
        <v>0</v>
      </c>
      <c r="AX780" s="21" t="str">
        <f t="shared" si="110"/>
        <v/>
      </c>
      <c r="AY780" s="21" t="str">
        <f>IF(AND($AM780&lt;&gt;"",$AS780&lt;&gt;"✓"),SUMPRODUCT(($AM$11:$AM780&lt;&gt;"")*($AS$11:$AS780&lt;&gt;"✓")),"")</f>
        <v/>
      </c>
      <c r="AZ780" s="21" t="str">
        <f>IF(AND($AM780&lt;&gt;"",$AS780="✓"),SUMPRODUCT(($AM$11:$AM780&lt;&gt;"")*($AS$11:$AS780="✓")),"")</f>
        <v/>
      </c>
      <c r="BA780" s="21" t="str">
        <f>IF($AL780="","",$AL780&amp;"|"&amp;COUNTIF($AL$11:$AL780,$AL780))</f>
        <v/>
      </c>
    </row>
    <row r="781" spans="23:53" ht="15" customHeight="1" x14ac:dyDescent="0.25">
      <c r="W781" s="14" t="str">
        <f>IF(X781="","",IFERROR(INDEX($AL$11:$AL$4010,MATCH(771,$AY$11:$AY$4010,0)),""))</f>
        <v/>
      </c>
      <c r="X781" s="12" t="str">
        <f>IFERROR(INDEX($AM$11:$AM$4010,MATCH(771,$AY$11:$AY$4010,0)),"")</f>
        <v/>
      </c>
      <c r="Y781" s="11" t="str">
        <f>IF(X781="","",IFERROR(INDEX($AN$11:$AN$4010,MATCH(771,$AY$11:$AY$4010,0)),""))</f>
        <v/>
      </c>
      <c r="Z781" s="11" t="str">
        <f>IF(X781="","",IFERROR(INDEX($AO$11:$AO$4010,MATCH(771,$AY$11:$AY$4010,0)),""))</f>
        <v/>
      </c>
      <c r="AA781" s="10" t="str">
        <f>IF(X781="","",IFERROR(INDEX($AQ$11:$AQ$4010,MATCH(771,$AY$11:$AY$4010,0)),""))</f>
        <v/>
      </c>
      <c r="AB781" s="15" t="str">
        <f>IF(X781="","",IFERROR(INDEX($AR$11:$AR$4010,MATCH(771,$AY$11:$AY$4010,0)),""))</f>
        <v/>
      </c>
      <c r="AD781" s="16" t="str">
        <f>IF(AE781="","",IFERROR(INDEX($AL$11:$AL$4010,MATCH(771,$AZ$11:$AZ$4010,0)),""))</f>
        <v/>
      </c>
      <c r="AE781" s="12" t="str">
        <f>IFERROR(INDEX($AM$11:$AM$4010,MATCH(771,$AZ$11:$AZ$4010,0)),"")</f>
        <v/>
      </c>
      <c r="AF781" s="11" t="str">
        <f>IF(AE781="","",IFERROR(INDEX($AN$11:$AN$4010,MATCH(771,$AZ$11:$AZ$4010,0)),""))</f>
        <v/>
      </c>
      <c r="AG781" s="11" t="str">
        <f>IF(AE781="","",IFERROR(INDEX($AO$11:$AO$4010,MATCH(771,$AZ$11:$AZ$4010,0)),""))</f>
        <v/>
      </c>
      <c r="AH781" s="10" t="str">
        <f>IF(AE781="","",IFERROR(INDEX($AQ$11:$AQ$4010,MATCH(771,$AZ$11:$AZ$4010,0)),""))</f>
        <v/>
      </c>
      <c r="AI781" s="15" t="str">
        <f>IF(AE781="","",IFERROR(INDEX($AR$11:$AR$4010,MATCH(771,$AZ$11:$AZ$4010,0)),""))</f>
        <v/>
      </c>
      <c r="AJ781" s="15" t="str">
        <f>IF(AE781="","",IFERROR(INDEX($AT$11:$AT$4010,MATCH(771,$AZ$11:$AZ$4010,0)),""))</f>
        <v/>
      </c>
      <c r="AL781" s="17"/>
      <c r="AM781" s="12"/>
      <c r="AN781" s="18"/>
      <c r="AO781" s="18"/>
      <c r="AP781" s="10"/>
      <c r="AQ781" s="10"/>
      <c r="AR781" s="19"/>
      <c r="AS781" s="20"/>
      <c r="AT781" s="19"/>
      <c r="AV781" s="21">
        <f>IF(AND($AL781&lt;&gt;"",COUNTIF($AL$11:$AL781,$AL781)=1),1,0)</f>
        <v>0</v>
      </c>
      <c r="AW781" s="21">
        <f t="shared" si="111"/>
        <v>0</v>
      </c>
      <c r="AX781" s="21" t="str">
        <f t="shared" si="110"/>
        <v/>
      </c>
      <c r="AY781" s="21" t="str">
        <f>IF(AND($AM781&lt;&gt;"",$AS781&lt;&gt;"✓"),SUMPRODUCT(($AM$11:$AM781&lt;&gt;"")*($AS$11:$AS781&lt;&gt;"✓")),"")</f>
        <v/>
      </c>
      <c r="AZ781" s="21" t="str">
        <f>IF(AND($AM781&lt;&gt;"",$AS781="✓"),SUMPRODUCT(($AM$11:$AM781&lt;&gt;"")*($AS$11:$AS781="✓")),"")</f>
        <v/>
      </c>
      <c r="BA781" s="21" t="str">
        <f>IF($AL781="","",$AL781&amp;"|"&amp;COUNTIF($AL$11:$AL781,$AL781))</f>
        <v/>
      </c>
    </row>
    <row r="782" spans="23:53" ht="15" customHeight="1" x14ac:dyDescent="0.25">
      <c r="W782" s="28" t="str">
        <f>IF(X782="","",IFERROR(INDEX($AL$11:$AL$4010,MATCH(772,$AY$11:$AY$4010,0)),""))</f>
        <v/>
      </c>
      <c r="X782" s="26" t="str">
        <f>IFERROR(INDEX($AM$11:$AM$4010,MATCH(772,$AY$11:$AY$4010,0)),"")</f>
        <v/>
      </c>
      <c r="Y782" s="25" t="str">
        <f>IF(X782="","",IFERROR(INDEX($AN$11:$AN$4010,MATCH(772,$AY$11:$AY$4010,0)),""))</f>
        <v/>
      </c>
      <c r="Z782" s="25" t="str">
        <f>IF(X782="","",IFERROR(INDEX($AO$11:$AO$4010,MATCH(772,$AY$11:$AY$4010,0)),""))</f>
        <v/>
      </c>
      <c r="AA782" s="24" t="str">
        <f>IF(X782="","",IFERROR(INDEX($AQ$11:$AQ$4010,MATCH(772,$AY$11:$AY$4010,0)),""))</f>
        <v/>
      </c>
      <c r="AB782" s="29" t="str">
        <f>IF(X782="","",IFERROR(INDEX($AR$11:$AR$4010,MATCH(772,$AY$11:$AY$4010,0)),""))</f>
        <v/>
      </c>
      <c r="AD782" s="30" t="str">
        <f>IF(AE782="","",IFERROR(INDEX($AL$11:$AL$4010,MATCH(772,$AZ$11:$AZ$4010,0)),""))</f>
        <v/>
      </c>
      <c r="AE782" s="26" t="str">
        <f>IFERROR(INDEX($AM$11:$AM$4010,MATCH(772,$AZ$11:$AZ$4010,0)),"")</f>
        <v/>
      </c>
      <c r="AF782" s="25" t="str">
        <f>IF(AE782="","",IFERROR(INDEX($AN$11:$AN$4010,MATCH(772,$AZ$11:$AZ$4010,0)),""))</f>
        <v/>
      </c>
      <c r="AG782" s="25" t="str">
        <f>IF(AE782="","",IFERROR(INDEX($AO$11:$AO$4010,MATCH(772,$AZ$11:$AZ$4010,0)),""))</f>
        <v/>
      </c>
      <c r="AH782" s="24" t="str">
        <f>IF(AE782="","",IFERROR(INDEX($AQ$11:$AQ$4010,MATCH(772,$AZ$11:$AZ$4010,0)),""))</f>
        <v/>
      </c>
      <c r="AI782" s="29" t="str">
        <f>IF(AE782="","",IFERROR(INDEX($AR$11:$AR$4010,MATCH(772,$AZ$11:$AZ$4010,0)),""))</f>
        <v/>
      </c>
      <c r="AJ782" s="29" t="str">
        <f>IF(AE782="","",IFERROR(INDEX($AT$11:$AT$4010,MATCH(772,$AZ$11:$AZ$4010,0)),""))</f>
        <v/>
      </c>
      <c r="AL782" s="31"/>
      <c r="AM782" s="26"/>
      <c r="AN782" s="32"/>
      <c r="AO782" s="32"/>
      <c r="AP782" s="24"/>
      <c r="AQ782" s="24"/>
      <c r="AR782" s="33"/>
      <c r="AS782" s="34"/>
      <c r="AT782" s="33"/>
      <c r="AV782" s="21">
        <f>IF(AND($AL782&lt;&gt;"",COUNTIF($AL$11:$AL782,$AL782)=1),1,0)</f>
        <v>0</v>
      </c>
      <c r="AW782" s="21">
        <f t="shared" si="111"/>
        <v>0</v>
      </c>
      <c r="AX782" s="21" t="str">
        <f t="shared" si="110"/>
        <v/>
      </c>
      <c r="AY782" s="21" t="str">
        <f>IF(AND($AM782&lt;&gt;"",$AS782&lt;&gt;"✓"),SUMPRODUCT(($AM$11:$AM782&lt;&gt;"")*($AS$11:$AS782&lt;&gt;"✓")),"")</f>
        <v/>
      </c>
      <c r="AZ782" s="21" t="str">
        <f>IF(AND($AM782&lt;&gt;"",$AS782="✓"),SUMPRODUCT(($AM$11:$AM782&lt;&gt;"")*($AS$11:$AS782="✓")),"")</f>
        <v/>
      </c>
      <c r="BA782" s="21" t="str">
        <f>IF($AL782="","",$AL782&amp;"|"&amp;COUNTIF($AL$11:$AL782,$AL782))</f>
        <v/>
      </c>
    </row>
    <row r="783" spans="23:53" ht="15" customHeight="1" x14ac:dyDescent="0.25">
      <c r="W783" s="14" t="str">
        <f>IF(X783="","",IFERROR(INDEX($AL$11:$AL$4010,MATCH(773,$AY$11:$AY$4010,0)),""))</f>
        <v/>
      </c>
      <c r="X783" s="12" t="str">
        <f>IFERROR(INDEX($AM$11:$AM$4010,MATCH(773,$AY$11:$AY$4010,0)),"")</f>
        <v/>
      </c>
      <c r="Y783" s="11" t="str">
        <f>IF(X783="","",IFERROR(INDEX($AN$11:$AN$4010,MATCH(773,$AY$11:$AY$4010,0)),""))</f>
        <v/>
      </c>
      <c r="Z783" s="11" t="str">
        <f>IF(X783="","",IFERROR(INDEX($AO$11:$AO$4010,MATCH(773,$AY$11:$AY$4010,0)),""))</f>
        <v/>
      </c>
      <c r="AA783" s="10" t="str">
        <f>IF(X783="","",IFERROR(INDEX($AQ$11:$AQ$4010,MATCH(773,$AY$11:$AY$4010,0)),""))</f>
        <v/>
      </c>
      <c r="AB783" s="15" t="str">
        <f>IF(X783="","",IFERROR(INDEX($AR$11:$AR$4010,MATCH(773,$AY$11:$AY$4010,0)),""))</f>
        <v/>
      </c>
      <c r="AD783" s="16" t="str">
        <f>IF(AE783="","",IFERROR(INDEX($AL$11:$AL$4010,MATCH(773,$AZ$11:$AZ$4010,0)),""))</f>
        <v/>
      </c>
      <c r="AE783" s="12" t="str">
        <f>IFERROR(INDEX($AM$11:$AM$4010,MATCH(773,$AZ$11:$AZ$4010,0)),"")</f>
        <v/>
      </c>
      <c r="AF783" s="11" t="str">
        <f>IF(AE783="","",IFERROR(INDEX($AN$11:$AN$4010,MATCH(773,$AZ$11:$AZ$4010,0)),""))</f>
        <v/>
      </c>
      <c r="AG783" s="11" t="str">
        <f>IF(AE783="","",IFERROR(INDEX($AO$11:$AO$4010,MATCH(773,$AZ$11:$AZ$4010,0)),""))</f>
        <v/>
      </c>
      <c r="AH783" s="10" t="str">
        <f>IF(AE783="","",IFERROR(INDEX($AQ$11:$AQ$4010,MATCH(773,$AZ$11:$AZ$4010,0)),""))</f>
        <v/>
      </c>
      <c r="AI783" s="15" t="str">
        <f>IF(AE783="","",IFERROR(INDEX($AR$11:$AR$4010,MATCH(773,$AZ$11:$AZ$4010,0)),""))</f>
        <v/>
      </c>
      <c r="AJ783" s="15" t="str">
        <f>IF(AE783="","",IFERROR(INDEX($AT$11:$AT$4010,MATCH(773,$AZ$11:$AZ$4010,0)),""))</f>
        <v/>
      </c>
      <c r="AL783" s="17"/>
      <c r="AM783" s="12"/>
      <c r="AN783" s="18"/>
      <c r="AO783" s="18"/>
      <c r="AP783" s="10"/>
      <c r="AQ783" s="10"/>
      <c r="AR783" s="19"/>
      <c r="AS783" s="20"/>
      <c r="AT783" s="19"/>
      <c r="AV783" s="21">
        <f>IF(AND($AL783&lt;&gt;"",COUNTIF($AL$11:$AL783,$AL783)=1),1,0)</f>
        <v>0</v>
      </c>
      <c r="AW783" s="21">
        <f t="shared" si="111"/>
        <v>0</v>
      </c>
      <c r="AX783" s="21" t="str">
        <f t="shared" si="110"/>
        <v/>
      </c>
      <c r="AY783" s="21" t="str">
        <f>IF(AND($AM783&lt;&gt;"",$AS783&lt;&gt;"✓"),SUMPRODUCT(($AM$11:$AM783&lt;&gt;"")*($AS$11:$AS783&lt;&gt;"✓")),"")</f>
        <v/>
      </c>
      <c r="AZ783" s="21" t="str">
        <f>IF(AND($AM783&lt;&gt;"",$AS783="✓"),SUMPRODUCT(($AM$11:$AM783&lt;&gt;"")*($AS$11:$AS783="✓")),"")</f>
        <v/>
      </c>
      <c r="BA783" s="21" t="str">
        <f>IF($AL783="","",$AL783&amp;"|"&amp;COUNTIF($AL$11:$AL783,$AL783))</f>
        <v/>
      </c>
    </row>
    <row r="784" spans="23:53" ht="15" customHeight="1" x14ac:dyDescent="0.25">
      <c r="W784" s="28" t="str">
        <f>IF(X784="","",IFERROR(INDEX($AL$11:$AL$4010,MATCH(774,$AY$11:$AY$4010,0)),""))</f>
        <v/>
      </c>
      <c r="X784" s="26" t="str">
        <f>IFERROR(INDEX($AM$11:$AM$4010,MATCH(774,$AY$11:$AY$4010,0)),"")</f>
        <v/>
      </c>
      <c r="Y784" s="25" t="str">
        <f>IF(X784="","",IFERROR(INDEX($AN$11:$AN$4010,MATCH(774,$AY$11:$AY$4010,0)),""))</f>
        <v/>
      </c>
      <c r="Z784" s="25" t="str">
        <f>IF(X784="","",IFERROR(INDEX($AO$11:$AO$4010,MATCH(774,$AY$11:$AY$4010,0)),""))</f>
        <v/>
      </c>
      <c r="AA784" s="24" t="str">
        <f>IF(X784="","",IFERROR(INDEX($AQ$11:$AQ$4010,MATCH(774,$AY$11:$AY$4010,0)),""))</f>
        <v/>
      </c>
      <c r="AB784" s="29" t="str">
        <f>IF(X784="","",IFERROR(INDEX($AR$11:$AR$4010,MATCH(774,$AY$11:$AY$4010,0)),""))</f>
        <v/>
      </c>
      <c r="AD784" s="30" t="str">
        <f>IF(AE784="","",IFERROR(INDEX($AL$11:$AL$4010,MATCH(774,$AZ$11:$AZ$4010,0)),""))</f>
        <v/>
      </c>
      <c r="AE784" s="26" t="str">
        <f>IFERROR(INDEX($AM$11:$AM$4010,MATCH(774,$AZ$11:$AZ$4010,0)),"")</f>
        <v/>
      </c>
      <c r="AF784" s="25" t="str">
        <f>IF(AE784="","",IFERROR(INDEX($AN$11:$AN$4010,MATCH(774,$AZ$11:$AZ$4010,0)),""))</f>
        <v/>
      </c>
      <c r="AG784" s="25" t="str">
        <f>IF(AE784="","",IFERROR(INDEX($AO$11:$AO$4010,MATCH(774,$AZ$11:$AZ$4010,0)),""))</f>
        <v/>
      </c>
      <c r="AH784" s="24" t="str">
        <f>IF(AE784="","",IFERROR(INDEX($AQ$11:$AQ$4010,MATCH(774,$AZ$11:$AZ$4010,0)),""))</f>
        <v/>
      </c>
      <c r="AI784" s="29" t="str">
        <f>IF(AE784="","",IFERROR(INDEX($AR$11:$AR$4010,MATCH(774,$AZ$11:$AZ$4010,0)),""))</f>
        <v/>
      </c>
      <c r="AJ784" s="29" t="str">
        <f>IF(AE784="","",IFERROR(INDEX($AT$11:$AT$4010,MATCH(774,$AZ$11:$AZ$4010,0)),""))</f>
        <v/>
      </c>
      <c r="AL784" s="31"/>
      <c r="AM784" s="26"/>
      <c r="AN784" s="32"/>
      <c r="AO784" s="32"/>
      <c r="AP784" s="24"/>
      <c r="AQ784" s="24"/>
      <c r="AR784" s="33"/>
      <c r="AS784" s="34"/>
      <c r="AT784" s="33"/>
      <c r="AV784" s="21">
        <f>IF(AND($AL784&lt;&gt;"",COUNTIF($AL$11:$AL784,$AL784)=1),1,0)</f>
        <v>0</v>
      </c>
      <c r="AW784" s="21">
        <f t="shared" si="111"/>
        <v>0</v>
      </c>
      <c r="AX784" s="21" t="str">
        <f t="shared" si="110"/>
        <v/>
      </c>
      <c r="AY784" s="21" t="str">
        <f>IF(AND($AM784&lt;&gt;"",$AS784&lt;&gt;"✓"),SUMPRODUCT(($AM$11:$AM784&lt;&gt;"")*($AS$11:$AS784&lt;&gt;"✓")),"")</f>
        <v/>
      </c>
      <c r="AZ784" s="21" t="str">
        <f>IF(AND($AM784&lt;&gt;"",$AS784="✓"),SUMPRODUCT(($AM$11:$AM784&lt;&gt;"")*($AS$11:$AS784="✓")),"")</f>
        <v/>
      </c>
      <c r="BA784" s="21" t="str">
        <f>IF($AL784="","",$AL784&amp;"|"&amp;COUNTIF($AL$11:$AL784,$AL784))</f>
        <v/>
      </c>
    </row>
    <row r="785" spans="23:53" ht="15" customHeight="1" x14ac:dyDescent="0.25">
      <c r="W785" s="14" t="str">
        <f>IF(X785="","",IFERROR(INDEX($AL$11:$AL$4010,MATCH(775,$AY$11:$AY$4010,0)),""))</f>
        <v/>
      </c>
      <c r="X785" s="12" t="str">
        <f>IFERROR(INDEX($AM$11:$AM$4010,MATCH(775,$AY$11:$AY$4010,0)),"")</f>
        <v/>
      </c>
      <c r="Y785" s="11" t="str">
        <f>IF(X785="","",IFERROR(INDEX($AN$11:$AN$4010,MATCH(775,$AY$11:$AY$4010,0)),""))</f>
        <v/>
      </c>
      <c r="Z785" s="11" t="str">
        <f>IF(X785="","",IFERROR(INDEX($AO$11:$AO$4010,MATCH(775,$AY$11:$AY$4010,0)),""))</f>
        <v/>
      </c>
      <c r="AA785" s="10" t="str">
        <f>IF(X785="","",IFERROR(INDEX($AQ$11:$AQ$4010,MATCH(775,$AY$11:$AY$4010,0)),""))</f>
        <v/>
      </c>
      <c r="AB785" s="15" t="str">
        <f>IF(X785="","",IFERROR(INDEX($AR$11:$AR$4010,MATCH(775,$AY$11:$AY$4010,0)),""))</f>
        <v/>
      </c>
      <c r="AD785" s="16" t="str">
        <f>IF(AE785="","",IFERROR(INDEX($AL$11:$AL$4010,MATCH(775,$AZ$11:$AZ$4010,0)),""))</f>
        <v/>
      </c>
      <c r="AE785" s="12" t="str">
        <f>IFERROR(INDEX($AM$11:$AM$4010,MATCH(775,$AZ$11:$AZ$4010,0)),"")</f>
        <v/>
      </c>
      <c r="AF785" s="11" t="str">
        <f>IF(AE785="","",IFERROR(INDEX($AN$11:$AN$4010,MATCH(775,$AZ$11:$AZ$4010,0)),""))</f>
        <v/>
      </c>
      <c r="AG785" s="11" t="str">
        <f>IF(AE785="","",IFERROR(INDEX($AO$11:$AO$4010,MATCH(775,$AZ$11:$AZ$4010,0)),""))</f>
        <v/>
      </c>
      <c r="AH785" s="10" t="str">
        <f>IF(AE785="","",IFERROR(INDEX($AQ$11:$AQ$4010,MATCH(775,$AZ$11:$AZ$4010,0)),""))</f>
        <v/>
      </c>
      <c r="AI785" s="15" t="str">
        <f>IF(AE785="","",IFERROR(INDEX($AR$11:$AR$4010,MATCH(775,$AZ$11:$AZ$4010,0)),""))</f>
        <v/>
      </c>
      <c r="AJ785" s="15" t="str">
        <f>IF(AE785="","",IFERROR(INDEX($AT$11:$AT$4010,MATCH(775,$AZ$11:$AZ$4010,0)),""))</f>
        <v/>
      </c>
      <c r="AL785" s="17"/>
      <c r="AM785" s="12"/>
      <c r="AN785" s="18"/>
      <c r="AO785" s="18"/>
      <c r="AP785" s="10"/>
      <c r="AQ785" s="10"/>
      <c r="AR785" s="19"/>
      <c r="AS785" s="20"/>
      <c r="AT785" s="19"/>
      <c r="AV785" s="21">
        <f>IF(AND($AL785&lt;&gt;"",COUNTIF($AL$11:$AL785,$AL785)=1),1,0)</f>
        <v>0</v>
      </c>
      <c r="AW785" s="21">
        <f t="shared" si="111"/>
        <v>0</v>
      </c>
      <c r="AX785" s="21" t="str">
        <f t="shared" si="110"/>
        <v/>
      </c>
      <c r="AY785" s="21" t="str">
        <f>IF(AND($AM785&lt;&gt;"",$AS785&lt;&gt;"✓"),SUMPRODUCT(($AM$11:$AM785&lt;&gt;"")*($AS$11:$AS785&lt;&gt;"✓")),"")</f>
        <v/>
      </c>
      <c r="AZ785" s="21" t="str">
        <f>IF(AND($AM785&lt;&gt;"",$AS785="✓"),SUMPRODUCT(($AM$11:$AM785&lt;&gt;"")*($AS$11:$AS785="✓")),"")</f>
        <v/>
      </c>
      <c r="BA785" s="21" t="str">
        <f>IF($AL785="","",$AL785&amp;"|"&amp;COUNTIF($AL$11:$AL785,$AL785))</f>
        <v/>
      </c>
    </row>
    <row r="786" spans="23:53" ht="15" customHeight="1" x14ac:dyDescent="0.25">
      <c r="W786" s="28" t="str">
        <f>IF(X786="","",IFERROR(INDEX($AL$11:$AL$4010,MATCH(776,$AY$11:$AY$4010,0)),""))</f>
        <v/>
      </c>
      <c r="X786" s="26" t="str">
        <f>IFERROR(INDEX($AM$11:$AM$4010,MATCH(776,$AY$11:$AY$4010,0)),"")</f>
        <v/>
      </c>
      <c r="Y786" s="25" t="str">
        <f>IF(X786="","",IFERROR(INDEX($AN$11:$AN$4010,MATCH(776,$AY$11:$AY$4010,0)),""))</f>
        <v/>
      </c>
      <c r="Z786" s="25" t="str">
        <f>IF(X786="","",IFERROR(INDEX($AO$11:$AO$4010,MATCH(776,$AY$11:$AY$4010,0)),""))</f>
        <v/>
      </c>
      <c r="AA786" s="24" t="str">
        <f>IF(X786="","",IFERROR(INDEX($AQ$11:$AQ$4010,MATCH(776,$AY$11:$AY$4010,0)),""))</f>
        <v/>
      </c>
      <c r="AB786" s="29" t="str">
        <f>IF(X786="","",IFERROR(INDEX($AR$11:$AR$4010,MATCH(776,$AY$11:$AY$4010,0)),""))</f>
        <v/>
      </c>
      <c r="AD786" s="30" t="str">
        <f>IF(AE786="","",IFERROR(INDEX($AL$11:$AL$4010,MATCH(776,$AZ$11:$AZ$4010,0)),""))</f>
        <v/>
      </c>
      <c r="AE786" s="26" t="str">
        <f>IFERROR(INDEX($AM$11:$AM$4010,MATCH(776,$AZ$11:$AZ$4010,0)),"")</f>
        <v/>
      </c>
      <c r="AF786" s="25" t="str">
        <f>IF(AE786="","",IFERROR(INDEX($AN$11:$AN$4010,MATCH(776,$AZ$11:$AZ$4010,0)),""))</f>
        <v/>
      </c>
      <c r="AG786" s="25" t="str">
        <f>IF(AE786="","",IFERROR(INDEX($AO$11:$AO$4010,MATCH(776,$AZ$11:$AZ$4010,0)),""))</f>
        <v/>
      </c>
      <c r="AH786" s="24" t="str">
        <f>IF(AE786="","",IFERROR(INDEX($AQ$11:$AQ$4010,MATCH(776,$AZ$11:$AZ$4010,0)),""))</f>
        <v/>
      </c>
      <c r="AI786" s="29" t="str">
        <f>IF(AE786="","",IFERROR(INDEX($AR$11:$AR$4010,MATCH(776,$AZ$11:$AZ$4010,0)),""))</f>
        <v/>
      </c>
      <c r="AJ786" s="29" t="str">
        <f>IF(AE786="","",IFERROR(INDEX($AT$11:$AT$4010,MATCH(776,$AZ$11:$AZ$4010,0)),""))</f>
        <v/>
      </c>
      <c r="AL786" s="31"/>
      <c r="AM786" s="26"/>
      <c r="AN786" s="32"/>
      <c r="AO786" s="32"/>
      <c r="AP786" s="24"/>
      <c r="AQ786" s="24"/>
      <c r="AR786" s="33"/>
      <c r="AS786" s="34"/>
      <c r="AT786" s="33"/>
      <c r="AV786" s="21">
        <f>IF(AND($AL786&lt;&gt;"",COUNTIF($AL$11:$AL786,$AL786)=1),1,0)</f>
        <v>0</v>
      </c>
      <c r="AW786" s="21">
        <f t="shared" si="111"/>
        <v>0</v>
      </c>
      <c r="AX786" s="21" t="str">
        <f t="shared" si="110"/>
        <v/>
      </c>
      <c r="AY786" s="21" t="str">
        <f>IF(AND($AM786&lt;&gt;"",$AS786&lt;&gt;"✓"),SUMPRODUCT(($AM$11:$AM786&lt;&gt;"")*($AS$11:$AS786&lt;&gt;"✓")),"")</f>
        <v/>
      </c>
      <c r="AZ786" s="21" t="str">
        <f>IF(AND($AM786&lt;&gt;"",$AS786="✓"),SUMPRODUCT(($AM$11:$AM786&lt;&gt;"")*($AS$11:$AS786="✓")),"")</f>
        <v/>
      </c>
      <c r="BA786" s="21" t="str">
        <f>IF($AL786="","",$AL786&amp;"|"&amp;COUNTIF($AL$11:$AL786,$AL786))</f>
        <v/>
      </c>
    </row>
    <row r="787" spans="23:53" ht="15" customHeight="1" x14ac:dyDescent="0.25">
      <c r="W787" s="14" t="str">
        <f>IF(X787="","",IFERROR(INDEX($AL$11:$AL$4010,MATCH(777,$AY$11:$AY$4010,0)),""))</f>
        <v/>
      </c>
      <c r="X787" s="12" t="str">
        <f>IFERROR(INDEX($AM$11:$AM$4010,MATCH(777,$AY$11:$AY$4010,0)),"")</f>
        <v/>
      </c>
      <c r="Y787" s="11" t="str">
        <f>IF(X787="","",IFERROR(INDEX($AN$11:$AN$4010,MATCH(777,$AY$11:$AY$4010,0)),""))</f>
        <v/>
      </c>
      <c r="Z787" s="11" t="str">
        <f>IF(X787="","",IFERROR(INDEX($AO$11:$AO$4010,MATCH(777,$AY$11:$AY$4010,0)),""))</f>
        <v/>
      </c>
      <c r="AA787" s="10" t="str">
        <f>IF(X787="","",IFERROR(INDEX($AQ$11:$AQ$4010,MATCH(777,$AY$11:$AY$4010,0)),""))</f>
        <v/>
      </c>
      <c r="AB787" s="15" t="str">
        <f>IF(X787="","",IFERROR(INDEX($AR$11:$AR$4010,MATCH(777,$AY$11:$AY$4010,0)),""))</f>
        <v/>
      </c>
      <c r="AD787" s="16" t="str">
        <f>IF(AE787="","",IFERROR(INDEX($AL$11:$AL$4010,MATCH(777,$AZ$11:$AZ$4010,0)),""))</f>
        <v/>
      </c>
      <c r="AE787" s="12" t="str">
        <f>IFERROR(INDEX($AM$11:$AM$4010,MATCH(777,$AZ$11:$AZ$4010,0)),"")</f>
        <v/>
      </c>
      <c r="AF787" s="11" t="str">
        <f>IF(AE787="","",IFERROR(INDEX($AN$11:$AN$4010,MATCH(777,$AZ$11:$AZ$4010,0)),""))</f>
        <v/>
      </c>
      <c r="AG787" s="11" t="str">
        <f>IF(AE787="","",IFERROR(INDEX($AO$11:$AO$4010,MATCH(777,$AZ$11:$AZ$4010,0)),""))</f>
        <v/>
      </c>
      <c r="AH787" s="10" t="str">
        <f>IF(AE787="","",IFERROR(INDEX($AQ$11:$AQ$4010,MATCH(777,$AZ$11:$AZ$4010,0)),""))</f>
        <v/>
      </c>
      <c r="AI787" s="15" t="str">
        <f>IF(AE787="","",IFERROR(INDEX($AR$11:$AR$4010,MATCH(777,$AZ$11:$AZ$4010,0)),""))</f>
        <v/>
      </c>
      <c r="AJ787" s="15" t="str">
        <f>IF(AE787="","",IFERROR(INDEX($AT$11:$AT$4010,MATCH(777,$AZ$11:$AZ$4010,0)),""))</f>
        <v/>
      </c>
      <c r="AL787" s="17"/>
      <c r="AM787" s="12"/>
      <c r="AN787" s="18"/>
      <c r="AO787" s="18"/>
      <c r="AP787" s="10"/>
      <c r="AQ787" s="10"/>
      <c r="AR787" s="19"/>
      <c r="AS787" s="20"/>
      <c r="AT787" s="19"/>
      <c r="AV787" s="21">
        <f>IF(AND($AL787&lt;&gt;"",COUNTIF($AL$11:$AL787,$AL787)=1),1,0)</f>
        <v>0</v>
      </c>
      <c r="AW787" s="21">
        <f t="shared" si="111"/>
        <v>0</v>
      </c>
      <c r="AX787" s="21" t="str">
        <f t="shared" si="110"/>
        <v/>
      </c>
      <c r="AY787" s="21" t="str">
        <f>IF(AND($AM787&lt;&gt;"",$AS787&lt;&gt;"✓"),SUMPRODUCT(($AM$11:$AM787&lt;&gt;"")*($AS$11:$AS787&lt;&gt;"✓")),"")</f>
        <v/>
      </c>
      <c r="AZ787" s="21" t="str">
        <f>IF(AND($AM787&lt;&gt;"",$AS787="✓"),SUMPRODUCT(($AM$11:$AM787&lt;&gt;"")*($AS$11:$AS787="✓")),"")</f>
        <v/>
      </c>
      <c r="BA787" s="21" t="str">
        <f>IF($AL787="","",$AL787&amp;"|"&amp;COUNTIF($AL$11:$AL787,$AL787))</f>
        <v/>
      </c>
    </row>
    <row r="788" spans="23:53" ht="15" customHeight="1" x14ac:dyDescent="0.25">
      <c r="W788" s="28" t="str">
        <f>IF(X788="","",IFERROR(INDEX($AL$11:$AL$4010,MATCH(778,$AY$11:$AY$4010,0)),""))</f>
        <v/>
      </c>
      <c r="X788" s="26" t="str">
        <f>IFERROR(INDEX($AM$11:$AM$4010,MATCH(778,$AY$11:$AY$4010,0)),"")</f>
        <v/>
      </c>
      <c r="Y788" s="25" t="str">
        <f>IF(X788="","",IFERROR(INDEX($AN$11:$AN$4010,MATCH(778,$AY$11:$AY$4010,0)),""))</f>
        <v/>
      </c>
      <c r="Z788" s="25" t="str">
        <f>IF(X788="","",IFERROR(INDEX($AO$11:$AO$4010,MATCH(778,$AY$11:$AY$4010,0)),""))</f>
        <v/>
      </c>
      <c r="AA788" s="24" t="str">
        <f>IF(X788="","",IFERROR(INDEX($AQ$11:$AQ$4010,MATCH(778,$AY$11:$AY$4010,0)),""))</f>
        <v/>
      </c>
      <c r="AB788" s="29" t="str">
        <f>IF(X788="","",IFERROR(INDEX($AR$11:$AR$4010,MATCH(778,$AY$11:$AY$4010,0)),""))</f>
        <v/>
      </c>
      <c r="AD788" s="30" t="str">
        <f>IF(AE788="","",IFERROR(INDEX($AL$11:$AL$4010,MATCH(778,$AZ$11:$AZ$4010,0)),""))</f>
        <v/>
      </c>
      <c r="AE788" s="26" t="str">
        <f>IFERROR(INDEX($AM$11:$AM$4010,MATCH(778,$AZ$11:$AZ$4010,0)),"")</f>
        <v/>
      </c>
      <c r="AF788" s="25" t="str">
        <f>IF(AE788="","",IFERROR(INDEX($AN$11:$AN$4010,MATCH(778,$AZ$11:$AZ$4010,0)),""))</f>
        <v/>
      </c>
      <c r="AG788" s="25" t="str">
        <f>IF(AE788="","",IFERROR(INDEX($AO$11:$AO$4010,MATCH(778,$AZ$11:$AZ$4010,0)),""))</f>
        <v/>
      </c>
      <c r="AH788" s="24" t="str">
        <f>IF(AE788="","",IFERROR(INDEX($AQ$11:$AQ$4010,MATCH(778,$AZ$11:$AZ$4010,0)),""))</f>
        <v/>
      </c>
      <c r="AI788" s="29" t="str">
        <f>IF(AE788="","",IFERROR(INDEX($AR$11:$AR$4010,MATCH(778,$AZ$11:$AZ$4010,0)),""))</f>
        <v/>
      </c>
      <c r="AJ788" s="29" t="str">
        <f>IF(AE788="","",IFERROR(INDEX($AT$11:$AT$4010,MATCH(778,$AZ$11:$AZ$4010,0)),""))</f>
        <v/>
      </c>
      <c r="AL788" s="31"/>
      <c r="AM788" s="26"/>
      <c r="AN788" s="32"/>
      <c r="AO788" s="32"/>
      <c r="AP788" s="24"/>
      <c r="AQ788" s="24"/>
      <c r="AR788" s="33"/>
      <c r="AS788" s="34"/>
      <c r="AT788" s="33"/>
      <c r="AV788" s="21">
        <f>IF(AND($AL788&lt;&gt;"",COUNTIF($AL$11:$AL788,$AL788)=1),1,0)</f>
        <v>0</v>
      </c>
      <c r="AW788" s="21">
        <f t="shared" si="111"/>
        <v>0</v>
      </c>
      <c r="AX788" s="21" t="str">
        <f t="shared" si="110"/>
        <v/>
      </c>
      <c r="AY788" s="21" t="str">
        <f>IF(AND($AM788&lt;&gt;"",$AS788&lt;&gt;"✓"),SUMPRODUCT(($AM$11:$AM788&lt;&gt;"")*($AS$11:$AS788&lt;&gt;"✓")),"")</f>
        <v/>
      </c>
      <c r="AZ788" s="21" t="str">
        <f>IF(AND($AM788&lt;&gt;"",$AS788="✓"),SUMPRODUCT(($AM$11:$AM788&lt;&gt;"")*($AS$11:$AS788="✓")),"")</f>
        <v/>
      </c>
      <c r="BA788" s="21" t="str">
        <f>IF($AL788="","",$AL788&amp;"|"&amp;COUNTIF($AL$11:$AL788,$AL788))</f>
        <v/>
      </c>
    </row>
    <row r="789" spans="23:53" ht="15" customHeight="1" x14ac:dyDescent="0.25">
      <c r="W789" s="14" t="str">
        <f>IF(X789="","",IFERROR(INDEX($AL$11:$AL$4010,MATCH(779,$AY$11:$AY$4010,0)),""))</f>
        <v/>
      </c>
      <c r="X789" s="12" t="str">
        <f>IFERROR(INDEX($AM$11:$AM$4010,MATCH(779,$AY$11:$AY$4010,0)),"")</f>
        <v/>
      </c>
      <c r="Y789" s="11" t="str">
        <f>IF(X789="","",IFERROR(INDEX($AN$11:$AN$4010,MATCH(779,$AY$11:$AY$4010,0)),""))</f>
        <v/>
      </c>
      <c r="Z789" s="11" t="str">
        <f>IF(X789="","",IFERROR(INDEX($AO$11:$AO$4010,MATCH(779,$AY$11:$AY$4010,0)),""))</f>
        <v/>
      </c>
      <c r="AA789" s="10" t="str">
        <f>IF(X789="","",IFERROR(INDEX($AQ$11:$AQ$4010,MATCH(779,$AY$11:$AY$4010,0)),""))</f>
        <v/>
      </c>
      <c r="AB789" s="15" t="str">
        <f>IF(X789="","",IFERROR(INDEX($AR$11:$AR$4010,MATCH(779,$AY$11:$AY$4010,0)),""))</f>
        <v/>
      </c>
      <c r="AD789" s="16" t="str">
        <f>IF(AE789="","",IFERROR(INDEX($AL$11:$AL$4010,MATCH(779,$AZ$11:$AZ$4010,0)),""))</f>
        <v/>
      </c>
      <c r="AE789" s="12" t="str">
        <f>IFERROR(INDEX($AM$11:$AM$4010,MATCH(779,$AZ$11:$AZ$4010,0)),"")</f>
        <v/>
      </c>
      <c r="AF789" s="11" t="str">
        <f>IF(AE789="","",IFERROR(INDEX($AN$11:$AN$4010,MATCH(779,$AZ$11:$AZ$4010,0)),""))</f>
        <v/>
      </c>
      <c r="AG789" s="11" t="str">
        <f>IF(AE789="","",IFERROR(INDEX($AO$11:$AO$4010,MATCH(779,$AZ$11:$AZ$4010,0)),""))</f>
        <v/>
      </c>
      <c r="AH789" s="10" t="str">
        <f>IF(AE789="","",IFERROR(INDEX($AQ$11:$AQ$4010,MATCH(779,$AZ$11:$AZ$4010,0)),""))</f>
        <v/>
      </c>
      <c r="AI789" s="15" t="str">
        <f>IF(AE789="","",IFERROR(INDEX($AR$11:$AR$4010,MATCH(779,$AZ$11:$AZ$4010,0)),""))</f>
        <v/>
      </c>
      <c r="AJ789" s="15" t="str">
        <f>IF(AE789="","",IFERROR(INDEX($AT$11:$AT$4010,MATCH(779,$AZ$11:$AZ$4010,0)),""))</f>
        <v/>
      </c>
      <c r="AL789" s="17"/>
      <c r="AM789" s="12"/>
      <c r="AN789" s="18"/>
      <c r="AO789" s="18"/>
      <c r="AP789" s="10"/>
      <c r="AQ789" s="10"/>
      <c r="AR789" s="19"/>
      <c r="AS789" s="20"/>
      <c r="AT789" s="19"/>
      <c r="AV789" s="21">
        <f>IF(AND($AL789&lt;&gt;"",COUNTIF($AL$11:$AL789,$AL789)=1),1,0)</f>
        <v>0</v>
      </c>
      <c r="AW789" s="21">
        <f t="shared" si="111"/>
        <v>0</v>
      </c>
      <c r="AX789" s="21" t="str">
        <f t="shared" si="110"/>
        <v/>
      </c>
      <c r="AY789" s="21" t="str">
        <f>IF(AND($AM789&lt;&gt;"",$AS789&lt;&gt;"✓"),SUMPRODUCT(($AM$11:$AM789&lt;&gt;"")*($AS$11:$AS789&lt;&gt;"✓")),"")</f>
        <v/>
      </c>
      <c r="AZ789" s="21" t="str">
        <f>IF(AND($AM789&lt;&gt;"",$AS789="✓"),SUMPRODUCT(($AM$11:$AM789&lt;&gt;"")*($AS$11:$AS789="✓")),"")</f>
        <v/>
      </c>
      <c r="BA789" s="21" t="str">
        <f>IF($AL789="","",$AL789&amp;"|"&amp;COUNTIF($AL$11:$AL789,$AL789))</f>
        <v/>
      </c>
    </row>
    <row r="790" spans="23:53" ht="15" customHeight="1" x14ac:dyDescent="0.25">
      <c r="W790" s="28" t="str">
        <f>IF(X790="","",IFERROR(INDEX($AL$11:$AL$4010,MATCH(780,$AY$11:$AY$4010,0)),""))</f>
        <v/>
      </c>
      <c r="X790" s="26" t="str">
        <f>IFERROR(INDEX($AM$11:$AM$4010,MATCH(780,$AY$11:$AY$4010,0)),"")</f>
        <v/>
      </c>
      <c r="Y790" s="25" t="str">
        <f>IF(X790="","",IFERROR(INDEX($AN$11:$AN$4010,MATCH(780,$AY$11:$AY$4010,0)),""))</f>
        <v/>
      </c>
      <c r="Z790" s="25" t="str">
        <f>IF(X790="","",IFERROR(INDEX($AO$11:$AO$4010,MATCH(780,$AY$11:$AY$4010,0)),""))</f>
        <v/>
      </c>
      <c r="AA790" s="24" t="str">
        <f>IF(X790="","",IFERROR(INDEX($AQ$11:$AQ$4010,MATCH(780,$AY$11:$AY$4010,0)),""))</f>
        <v/>
      </c>
      <c r="AB790" s="29" t="str">
        <f>IF(X790="","",IFERROR(INDEX($AR$11:$AR$4010,MATCH(780,$AY$11:$AY$4010,0)),""))</f>
        <v/>
      </c>
      <c r="AD790" s="30" t="str">
        <f>IF(AE790="","",IFERROR(INDEX($AL$11:$AL$4010,MATCH(780,$AZ$11:$AZ$4010,0)),""))</f>
        <v/>
      </c>
      <c r="AE790" s="26" t="str">
        <f>IFERROR(INDEX($AM$11:$AM$4010,MATCH(780,$AZ$11:$AZ$4010,0)),"")</f>
        <v/>
      </c>
      <c r="AF790" s="25" t="str">
        <f>IF(AE790="","",IFERROR(INDEX($AN$11:$AN$4010,MATCH(780,$AZ$11:$AZ$4010,0)),""))</f>
        <v/>
      </c>
      <c r="AG790" s="25" t="str">
        <f>IF(AE790="","",IFERROR(INDEX($AO$11:$AO$4010,MATCH(780,$AZ$11:$AZ$4010,0)),""))</f>
        <v/>
      </c>
      <c r="AH790" s="24" t="str">
        <f>IF(AE790="","",IFERROR(INDEX($AQ$11:$AQ$4010,MATCH(780,$AZ$11:$AZ$4010,0)),""))</f>
        <v/>
      </c>
      <c r="AI790" s="29" t="str">
        <f>IF(AE790="","",IFERROR(INDEX($AR$11:$AR$4010,MATCH(780,$AZ$11:$AZ$4010,0)),""))</f>
        <v/>
      </c>
      <c r="AJ790" s="29" t="str">
        <f>IF(AE790="","",IFERROR(INDEX($AT$11:$AT$4010,MATCH(780,$AZ$11:$AZ$4010,0)),""))</f>
        <v/>
      </c>
      <c r="AL790" s="31"/>
      <c r="AM790" s="26"/>
      <c r="AN790" s="32"/>
      <c r="AO790" s="32"/>
      <c r="AP790" s="24"/>
      <c r="AQ790" s="24"/>
      <c r="AR790" s="33"/>
      <c r="AS790" s="34"/>
      <c r="AT790" s="33"/>
      <c r="AV790" s="21">
        <f>IF(AND($AL790&lt;&gt;"",COUNTIF($AL$11:$AL790,$AL790)=1),1,0)</f>
        <v>0</v>
      </c>
      <c r="AW790" s="21">
        <f t="shared" si="111"/>
        <v>0</v>
      </c>
      <c r="AX790" s="21" t="str">
        <f t="shared" si="110"/>
        <v/>
      </c>
      <c r="AY790" s="21" t="str">
        <f>IF(AND($AM790&lt;&gt;"",$AS790&lt;&gt;"✓"),SUMPRODUCT(($AM$11:$AM790&lt;&gt;"")*($AS$11:$AS790&lt;&gt;"✓")),"")</f>
        <v/>
      </c>
      <c r="AZ790" s="21" t="str">
        <f>IF(AND($AM790&lt;&gt;"",$AS790="✓"),SUMPRODUCT(($AM$11:$AM790&lt;&gt;"")*($AS$11:$AS790="✓")),"")</f>
        <v/>
      </c>
      <c r="BA790" s="21" t="str">
        <f>IF($AL790="","",$AL790&amp;"|"&amp;COUNTIF($AL$11:$AL790,$AL790))</f>
        <v/>
      </c>
    </row>
    <row r="791" spans="23:53" ht="15" customHeight="1" x14ac:dyDescent="0.25">
      <c r="W791" s="14" t="str">
        <f>IF(X791="","",IFERROR(INDEX($AL$11:$AL$4010,MATCH(781,$AY$11:$AY$4010,0)),""))</f>
        <v/>
      </c>
      <c r="X791" s="12" t="str">
        <f>IFERROR(INDEX($AM$11:$AM$4010,MATCH(781,$AY$11:$AY$4010,0)),"")</f>
        <v/>
      </c>
      <c r="Y791" s="11" t="str">
        <f>IF(X791="","",IFERROR(INDEX($AN$11:$AN$4010,MATCH(781,$AY$11:$AY$4010,0)),""))</f>
        <v/>
      </c>
      <c r="Z791" s="11" t="str">
        <f>IF(X791="","",IFERROR(INDEX($AO$11:$AO$4010,MATCH(781,$AY$11:$AY$4010,0)),""))</f>
        <v/>
      </c>
      <c r="AA791" s="10" t="str">
        <f>IF(X791="","",IFERROR(INDEX($AQ$11:$AQ$4010,MATCH(781,$AY$11:$AY$4010,0)),""))</f>
        <v/>
      </c>
      <c r="AB791" s="15" t="str">
        <f>IF(X791="","",IFERROR(INDEX($AR$11:$AR$4010,MATCH(781,$AY$11:$AY$4010,0)),""))</f>
        <v/>
      </c>
      <c r="AD791" s="16" t="str">
        <f>IF(AE791="","",IFERROR(INDEX($AL$11:$AL$4010,MATCH(781,$AZ$11:$AZ$4010,0)),""))</f>
        <v/>
      </c>
      <c r="AE791" s="12" t="str">
        <f>IFERROR(INDEX($AM$11:$AM$4010,MATCH(781,$AZ$11:$AZ$4010,0)),"")</f>
        <v/>
      </c>
      <c r="AF791" s="11" t="str">
        <f>IF(AE791="","",IFERROR(INDEX($AN$11:$AN$4010,MATCH(781,$AZ$11:$AZ$4010,0)),""))</f>
        <v/>
      </c>
      <c r="AG791" s="11" t="str">
        <f>IF(AE791="","",IFERROR(INDEX($AO$11:$AO$4010,MATCH(781,$AZ$11:$AZ$4010,0)),""))</f>
        <v/>
      </c>
      <c r="AH791" s="10" t="str">
        <f>IF(AE791="","",IFERROR(INDEX($AQ$11:$AQ$4010,MATCH(781,$AZ$11:$AZ$4010,0)),""))</f>
        <v/>
      </c>
      <c r="AI791" s="15" t="str">
        <f>IF(AE791="","",IFERROR(INDEX($AR$11:$AR$4010,MATCH(781,$AZ$11:$AZ$4010,0)),""))</f>
        <v/>
      </c>
      <c r="AJ791" s="15" t="str">
        <f>IF(AE791="","",IFERROR(INDEX($AT$11:$AT$4010,MATCH(781,$AZ$11:$AZ$4010,0)),""))</f>
        <v/>
      </c>
      <c r="AL791" s="17"/>
      <c r="AM791" s="12"/>
      <c r="AN791" s="18"/>
      <c r="AO791" s="18"/>
      <c r="AP791" s="10"/>
      <c r="AQ791" s="10"/>
      <c r="AR791" s="19"/>
      <c r="AS791" s="20"/>
      <c r="AT791" s="19"/>
      <c r="AV791" s="21">
        <f>IF(AND($AL791&lt;&gt;"",COUNTIF($AL$11:$AL791,$AL791)=1),1,0)</f>
        <v>0</v>
      </c>
      <c r="AW791" s="21">
        <f t="shared" si="111"/>
        <v>0</v>
      </c>
      <c r="AX791" s="21" t="str">
        <f t="shared" si="110"/>
        <v/>
      </c>
      <c r="AY791" s="21" t="str">
        <f>IF(AND($AM791&lt;&gt;"",$AS791&lt;&gt;"✓"),SUMPRODUCT(($AM$11:$AM791&lt;&gt;"")*($AS$11:$AS791&lt;&gt;"✓")),"")</f>
        <v/>
      </c>
      <c r="AZ791" s="21" t="str">
        <f>IF(AND($AM791&lt;&gt;"",$AS791="✓"),SUMPRODUCT(($AM$11:$AM791&lt;&gt;"")*($AS$11:$AS791="✓")),"")</f>
        <v/>
      </c>
      <c r="BA791" s="21" t="str">
        <f>IF($AL791="","",$AL791&amp;"|"&amp;COUNTIF($AL$11:$AL791,$AL791))</f>
        <v/>
      </c>
    </row>
    <row r="792" spans="23:53" ht="15" customHeight="1" x14ac:dyDescent="0.25">
      <c r="W792" s="28" t="str">
        <f>IF(X792="","",IFERROR(INDEX($AL$11:$AL$4010,MATCH(782,$AY$11:$AY$4010,0)),""))</f>
        <v/>
      </c>
      <c r="X792" s="26" t="str">
        <f>IFERROR(INDEX($AM$11:$AM$4010,MATCH(782,$AY$11:$AY$4010,0)),"")</f>
        <v/>
      </c>
      <c r="Y792" s="25" t="str">
        <f>IF(X792="","",IFERROR(INDEX($AN$11:$AN$4010,MATCH(782,$AY$11:$AY$4010,0)),""))</f>
        <v/>
      </c>
      <c r="Z792" s="25" t="str">
        <f>IF(X792="","",IFERROR(INDEX($AO$11:$AO$4010,MATCH(782,$AY$11:$AY$4010,0)),""))</f>
        <v/>
      </c>
      <c r="AA792" s="24" t="str">
        <f>IF(X792="","",IFERROR(INDEX($AQ$11:$AQ$4010,MATCH(782,$AY$11:$AY$4010,0)),""))</f>
        <v/>
      </c>
      <c r="AB792" s="29" t="str">
        <f>IF(X792="","",IFERROR(INDEX($AR$11:$AR$4010,MATCH(782,$AY$11:$AY$4010,0)),""))</f>
        <v/>
      </c>
      <c r="AD792" s="30" t="str">
        <f>IF(AE792="","",IFERROR(INDEX($AL$11:$AL$4010,MATCH(782,$AZ$11:$AZ$4010,0)),""))</f>
        <v/>
      </c>
      <c r="AE792" s="26" t="str">
        <f>IFERROR(INDEX($AM$11:$AM$4010,MATCH(782,$AZ$11:$AZ$4010,0)),"")</f>
        <v/>
      </c>
      <c r="AF792" s="25" t="str">
        <f>IF(AE792="","",IFERROR(INDEX($AN$11:$AN$4010,MATCH(782,$AZ$11:$AZ$4010,0)),""))</f>
        <v/>
      </c>
      <c r="AG792" s="25" t="str">
        <f>IF(AE792="","",IFERROR(INDEX($AO$11:$AO$4010,MATCH(782,$AZ$11:$AZ$4010,0)),""))</f>
        <v/>
      </c>
      <c r="AH792" s="24" t="str">
        <f>IF(AE792="","",IFERROR(INDEX($AQ$11:$AQ$4010,MATCH(782,$AZ$11:$AZ$4010,0)),""))</f>
        <v/>
      </c>
      <c r="AI792" s="29" t="str">
        <f>IF(AE792="","",IFERROR(INDEX($AR$11:$AR$4010,MATCH(782,$AZ$11:$AZ$4010,0)),""))</f>
        <v/>
      </c>
      <c r="AJ792" s="29" t="str">
        <f>IF(AE792="","",IFERROR(INDEX($AT$11:$AT$4010,MATCH(782,$AZ$11:$AZ$4010,0)),""))</f>
        <v/>
      </c>
      <c r="AL792" s="31"/>
      <c r="AM792" s="26"/>
      <c r="AN792" s="32"/>
      <c r="AO792" s="32"/>
      <c r="AP792" s="24"/>
      <c r="AQ792" s="24"/>
      <c r="AR792" s="33"/>
      <c r="AS792" s="34"/>
      <c r="AT792" s="33"/>
      <c r="AV792" s="21">
        <f>IF(AND($AL792&lt;&gt;"",COUNTIF($AL$11:$AL792,$AL792)=1),1,0)</f>
        <v>0</v>
      </c>
      <c r="AW792" s="21">
        <f t="shared" si="111"/>
        <v>0</v>
      </c>
      <c r="AX792" s="21" t="str">
        <f t="shared" si="110"/>
        <v/>
      </c>
      <c r="AY792" s="21" t="str">
        <f>IF(AND($AM792&lt;&gt;"",$AS792&lt;&gt;"✓"),SUMPRODUCT(($AM$11:$AM792&lt;&gt;"")*($AS$11:$AS792&lt;&gt;"✓")),"")</f>
        <v/>
      </c>
      <c r="AZ792" s="21" t="str">
        <f>IF(AND($AM792&lt;&gt;"",$AS792="✓"),SUMPRODUCT(($AM$11:$AM792&lt;&gt;"")*($AS$11:$AS792="✓")),"")</f>
        <v/>
      </c>
      <c r="BA792" s="21" t="str">
        <f>IF($AL792="","",$AL792&amp;"|"&amp;COUNTIF($AL$11:$AL792,$AL792))</f>
        <v/>
      </c>
    </row>
    <row r="793" spans="23:53" ht="15" customHeight="1" x14ac:dyDescent="0.25">
      <c r="W793" s="14" t="str">
        <f>IF(X793="","",IFERROR(INDEX($AL$11:$AL$4010,MATCH(783,$AY$11:$AY$4010,0)),""))</f>
        <v/>
      </c>
      <c r="X793" s="12" t="str">
        <f>IFERROR(INDEX($AM$11:$AM$4010,MATCH(783,$AY$11:$AY$4010,0)),"")</f>
        <v/>
      </c>
      <c r="Y793" s="11" t="str">
        <f>IF(X793="","",IFERROR(INDEX($AN$11:$AN$4010,MATCH(783,$AY$11:$AY$4010,0)),""))</f>
        <v/>
      </c>
      <c r="Z793" s="11" t="str">
        <f>IF(X793="","",IFERROR(INDEX($AO$11:$AO$4010,MATCH(783,$AY$11:$AY$4010,0)),""))</f>
        <v/>
      </c>
      <c r="AA793" s="10" t="str">
        <f>IF(X793="","",IFERROR(INDEX($AQ$11:$AQ$4010,MATCH(783,$AY$11:$AY$4010,0)),""))</f>
        <v/>
      </c>
      <c r="AB793" s="15" t="str">
        <f>IF(X793="","",IFERROR(INDEX($AR$11:$AR$4010,MATCH(783,$AY$11:$AY$4010,0)),""))</f>
        <v/>
      </c>
      <c r="AD793" s="16" t="str">
        <f>IF(AE793="","",IFERROR(INDEX($AL$11:$AL$4010,MATCH(783,$AZ$11:$AZ$4010,0)),""))</f>
        <v/>
      </c>
      <c r="AE793" s="12" t="str">
        <f>IFERROR(INDEX($AM$11:$AM$4010,MATCH(783,$AZ$11:$AZ$4010,0)),"")</f>
        <v/>
      </c>
      <c r="AF793" s="11" t="str">
        <f>IF(AE793="","",IFERROR(INDEX($AN$11:$AN$4010,MATCH(783,$AZ$11:$AZ$4010,0)),""))</f>
        <v/>
      </c>
      <c r="AG793" s="11" t="str">
        <f>IF(AE793="","",IFERROR(INDEX($AO$11:$AO$4010,MATCH(783,$AZ$11:$AZ$4010,0)),""))</f>
        <v/>
      </c>
      <c r="AH793" s="10" t="str">
        <f>IF(AE793="","",IFERROR(INDEX($AQ$11:$AQ$4010,MATCH(783,$AZ$11:$AZ$4010,0)),""))</f>
        <v/>
      </c>
      <c r="AI793" s="15" t="str">
        <f>IF(AE793="","",IFERROR(INDEX($AR$11:$AR$4010,MATCH(783,$AZ$11:$AZ$4010,0)),""))</f>
        <v/>
      </c>
      <c r="AJ793" s="15" t="str">
        <f>IF(AE793="","",IFERROR(INDEX($AT$11:$AT$4010,MATCH(783,$AZ$11:$AZ$4010,0)),""))</f>
        <v/>
      </c>
      <c r="AL793" s="17"/>
      <c r="AM793" s="12"/>
      <c r="AN793" s="18"/>
      <c r="AO793" s="18"/>
      <c r="AP793" s="10"/>
      <c r="AQ793" s="10"/>
      <c r="AR793" s="19"/>
      <c r="AS793" s="20"/>
      <c r="AT793" s="19"/>
      <c r="AV793" s="21">
        <f>IF(AND($AL793&lt;&gt;"",COUNTIF($AL$11:$AL793,$AL793)=1),1,0)</f>
        <v>0</v>
      </c>
      <c r="AW793" s="21">
        <f t="shared" si="111"/>
        <v>0</v>
      </c>
      <c r="AX793" s="21" t="str">
        <f t="shared" si="110"/>
        <v/>
      </c>
      <c r="AY793" s="21" t="str">
        <f>IF(AND($AM793&lt;&gt;"",$AS793&lt;&gt;"✓"),SUMPRODUCT(($AM$11:$AM793&lt;&gt;"")*($AS$11:$AS793&lt;&gt;"✓")),"")</f>
        <v/>
      </c>
      <c r="AZ793" s="21" t="str">
        <f>IF(AND($AM793&lt;&gt;"",$AS793="✓"),SUMPRODUCT(($AM$11:$AM793&lt;&gt;"")*($AS$11:$AS793="✓")),"")</f>
        <v/>
      </c>
      <c r="BA793" s="21" t="str">
        <f>IF($AL793="","",$AL793&amp;"|"&amp;COUNTIF($AL$11:$AL793,$AL793))</f>
        <v/>
      </c>
    </row>
    <row r="794" spans="23:53" ht="15" customHeight="1" x14ac:dyDescent="0.25">
      <c r="W794" s="28" t="str">
        <f>IF(X794="","",IFERROR(INDEX($AL$11:$AL$4010,MATCH(784,$AY$11:$AY$4010,0)),""))</f>
        <v/>
      </c>
      <c r="X794" s="26" t="str">
        <f>IFERROR(INDEX($AM$11:$AM$4010,MATCH(784,$AY$11:$AY$4010,0)),"")</f>
        <v/>
      </c>
      <c r="Y794" s="25" t="str">
        <f>IF(X794="","",IFERROR(INDEX($AN$11:$AN$4010,MATCH(784,$AY$11:$AY$4010,0)),""))</f>
        <v/>
      </c>
      <c r="Z794" s="25" t="str">
        <f>IF(X794="","",IFERROR(INDEX($AO$11:$AO$4010,MATCH(784,$AY$11:$AY$4010,0)),""))</f>
        <v/>
      </c>
      <c r="AA794" s="24" t="str">
        <f>IF(X794="","",IFERROR(INDEX($AQ$11:$AQ$4010,MATCH(784,$AY$11:$AY$4010,0)),""))</f>
        <v/>
      </c>
      <c r="AB794" s="29" t="str">
        <f>IF(X794="","",IFERROR(INDEX($AR$11:$AR$4010,MATCH(784,$AY$11:$AY$4010,0)),""))</f>
        <v/>
      </c>
      <c r="AD794" s="30" t="str">
        <f>IF(AE794="","",IFERROR(INDEX($AL$11:$AL$4010,MATCH(784,$AZ$11:$AZ$4010,0)),""))</f>
        <v/>
      </c>
      <c r="AE794" s="26" t="str">
        <f>IFERROR(INDEX($AM$11:$AM$4010,MATCH(784,$AZ$11:$AZ$4010,0)),"")</f>
        <v/>
      </c>
      <c r="AF794" s="25" t="str">
        <f>IF(AE794="","",IFERROR(INDEX($AN$11:$AN$4010,MATCH(784,$AZ$11:$AZ$4010,0)),""))</f>
        <v/>
      </c>
      <c r="AG794" s="25" t="str">
        <f>IF(AE794="","",IFERROR(INDEX($AO$11:$AO$4010,MATCH(784,$AZ$11:$AZ$4010,0)),""))</f>
        <v/>
      </c>
      <c r="AH794" s="24" t="str">
        <f>IF(AE794="","",IFERROR(INDEX($AQ$11:$AQ$4010,MATCH(784,$AZ$11:$AZ$4010,0)),""))</f>
        <v/>
      </c>
      <c r="AI794" s="29" t="str">
        <f>IF(AE794="","",IFERROR(INDEX($AR$11:$AR$4010,MATCH(784,$AZ$11:$AZ$4010,0)),""))</f>
        <v/>
      </c>
      <c r="AJ794" s="29" t="str">
        <f>IF(AE794="","",IFERROR(INDEX($AT$11:$AT$4010,MATCH(784,$AZ$11:$AZ$4010,0)),""))</f>
        <v/>
      </c>
      <c r="AL794" s="31"/>
      <c r="AM794" s="26"/>
      <c r="AN794" s="32"/>
      <c r="AO794" s="32"/>
      <c r="AP794" s="24"/>
      <c r="AQ794" s="24"/>
      <c r="AR794" s="33"/>
      <c r="AS794" s="34"/>
      <c r="AT794" s="33"/>
      <c r="AV794" s="21">
        <f>IF(AND($AL794&lt;&gt;"",COUNTIF($AL$11:$AL794,$AL794)=1),1,0)</f>
        <v>0</v>
      </c>
      <c r="AW794" s="21">
        <f t="shared" si="111"/>
        <v>0</v>
      </c>
      <c r="AX794" s="21" t="str">
        <f t="shared" si="110"/>
        <v/>
      </c>
      <c r="AY794" s="21" t="str">
        <f>IF(AND($AM794&lt;&gt;"",$AS794&lt;&gt;"✓"),SUMPRODUCT(($AM$11:$AM794&lt;&gt;"")*($AS$11:$AS794&lt;&gt;"✓")),"")</f>
        <v/>
      </c>
      <c r="AZ794" s="21" t="str">
        <f>IF(AND($AM794&lt;&gt;"",$AS794="✓"),SUMPRODUCT(($AM$11:$AM794&lt;&gt;"")*($AS$11:$AS794="✓")),"")</f>
        <v/>
      </c>
      <c r="BA794" s="21" t="str">
        <f>IF($AL794="","",$AL794&amp;"|"&amp;COUNTIF($AL$11:$AL794,$AL794))</f>
        <v/>
      </c>
    </row>
    <row r="795" spans="23:53" ht="15" customHeight="1" x14ac:dyDescent="0.25">
      <c r="W795" s="14" t="str">
        <f>IF(X795="","",IFERROR(INDEX($AL$11:$AL$4010,MATCH(785,$AY$11:$AY$4010,0)),""))</f>
        <v/>
      </c>
      <c r="X795" s="12" t="str">
        <f>IFERROR(INDEX($AM$11:$AM$4010,MATCH(785,$AY$11:$AY$4010,0)),"")</f>
        <v/>
      </c>
      <c r="Y795" s="11" t="str">
        <f>IF(X795="","",IFERROR(INDEX($AN$11:$AN$4010,MATCH(785,$AY$11:$AY$4010,0)),""))</f>
        <v/>
      </c>
      <c r="Z795" s="11" t="str">
        <f>IF(X795="","",IFERROR(INDEX($AO$11:$AO$4010,MATCH(785,$AY$11:$AY$4010,0)),""))</f>
        <v/>
      </c>
      <c r="AA795" s="10" t="str">
        <f>IF(X795="","",IFERROR(INDEX($AQ$11:$AQ$4010,MATCH(785,$AY$11:$AY$4010,0)),""))</f>
        <v/>
      </c>
      <c r="AB795" s="15" t="str">
        <f>IF(X795="","",IFERROR(INDEX($AR$11:$AR$4010,MATCH(785,$AY$11:$AY$4010,0)),""))</f>
        <v/>
      </c>
      <c r="AD795" s="16" t="str">
        <f>IF(AE795="","",IFERROR(INDEX($AL$11:$AL$4010,MATCH(785,$AZ$11:$AZ$4010,0)),""))</f>
        <v/>
      </c>
      <c r="AE795" s="12" t="str">
        <f>IFERROR(INDEX($AM$11:$AM$4010,MATCH(785,$AZ$11:$AZ$4010,0)),"")</f>
        <v/>
      </c>
      <c r="AF795" s="11" t="str">
        <f>IF(AE795="","",IFERROR(INDEX($AN$11:$AN$4010,MATCH(785,$AZ$11:$AZ$4010,0)),""))</f>
        <v/>
      </c>
      <c r="AG795" s="11" t="str">
        <f>IF(AE795="","",IFERROR(INDEX($AO$11:$AO$4010,MATCH(785,$AZ$11:$AZ$4010,0)),""))</f>
        <v/>
      </c>
      <c r="AH795" s="10" t="str">
        <f>IF(AE795="","",IFERROR(INDEX($AQ$11:$AQ$4010,MATCH(785,$AZ$11:$AZ$4010,0)),""))</f>
        <v/>
      </c>
      <c r="AI795" s="15" t="str">
        <f>IF(AE795="","",IFERROR(INDEX($AR$11:$AR$4010,MATCH(785,$AZ$11:$AZ$4010,0)),""))</f>
        <v/>
      </c>
      <c r="AJ795" s="15" t="str">
        <f>IF(AE795="","",IFERROR(INDEX($AT$11:$AT$4010,MATCH(785,$AZ$11:$AZ$4010,0)),""))</f>
        <v/>
      </c>
      <c r="AL795" s="17"/>
      <c r="AM795" s="12"/>
      <c r="AN795" s="18"/>
      <c r="AO795" s="18"/>
      <c r="AP795" s="10"/>
      <c r="AQ795" s="10"/>
      <c r="AR795" s="19"/>
      <c r="AS795" s="20"/>
      <c r="AT795" s="19"/>
      <c r="AV795" s="21">
        <f>IF(AND($AL795&lt;&gt;"",COUNTIF($AL$11:$AL795,$AL795)=1),1,0)</f>
        <v>0</v>
      </c>
      <c r="AW795" s="21">
        <f t="shared" si="111"/>
        <v>0</v>
      </c>
      <c r="AX795" s="21" t="str">
        <f t="shared" si="110"/>
        <v/>
      </c>
      <c r="AY795" s="21" t="str">
        <f>IF(AND($AM795&lt;&gt;"",$AS795&lt;&gt;"✓"),SUMPRODUCT(($AM$11:$AM795&lt;&gt;"")*($AS$11:$AS795&lt;&gt;"✓")),"")</f>
        <v/>
      </c>
      <c r="AZ795" s="21" t="str">
        <f>IF(AND($AM795&lt;&gt;"",$AS795="✓"),SUMPRODUCT(($AM$11:$AM795&lt;&gt;"")*($AS$11:$AS795="✓")),"")</f>
        <v/>
      </c>
      <c r="BA795" s="21" t="str">
        <f>IF($AL795="","",$AL795&amp;"|"&amp;COUNTIF($AL$11:$AL795,$AL795))</f>
        <v/>
      </c>
    </row>
    <row r="796" spans="23:53" ht="15" customHeight="1" x14ac:dyDescent="0.25">
      <c r="W796" s="28" t="str">
        <f>IF(X796="","",IFERROR(INDEX($AL$11:$AL$4010,MATCH(786,$AY$11:$AY$4010,0)),""))</f>
        <v/>
      </c>
      <c r="X796" s="26" t="str">
        <f>IFERROR(INDEX($AM$11:$AM$4010,MATCH(786,$AY$11:$AY$4010,0)),"")</f>
        <v/>
      </c>
      <c r="Y796" s="25" t="str">
        <f>IF(X796="","",IFERROR(INDEX($AN$11:$AN$4010,MATCH(786,$AY$11:$AY$4010,0)),""))</f>
        <v/>
      </c>
      <c r="Z796" s="25" t="str">
        <f>IF(X796="","",IFERROR(INDEX($AO$11:$AO$4010,MATCH(786,$AY$11:$AY$4010,0)),""))</f>
        <v/>
      </c>
      <c r="AA796" s="24" t="str">
        <f>IF(X796="","",IFERROR(INDEX($AQ$11:$AQ$4010,MATCH(786,$AY$11:$AY$4010,0)),""))</f>
        <v/>
      </c>
      <c r="AB796" s="29" t="str">
        <f>IF(X796="","",IFERROR(INDEX($AR$11:$AR$4010,MATCH(786,$AY$11:$AY$4010,0)),""))</f>
        <v/>
      </c>
      <c r="AD796" s="30" t="str">
        <f>IF(AE796="","",IFERROR(INDEX($AL$11:$AL$4010,MATCH(786,$AZ$11:$AZ$4010,0)),""))</f>
        <v/>
      </c>
      <c r="AE796" s="26" t="str">
        <f>IFERROR(INDEX($AM$11:$AM$4010,MATCH(786,$AZ$11:$AZ$4010,0)),"")</f>
        <v/>
      </c>
      <c r="AF796" s="25" t="str">
        <f>IF(AE796="","",IFERROR(INDEX($AN$11:$AN$4010,MATCH(786,$AZ$11:$AZ$4010,0)),""))</f>
        <v/>
      </c>
      <c r="AG796" s="25" t="str">
        <f>IF(AE796="","",IFERROR(INDEX($AO$11:$AO$4010,MATCH(786,$AZ$11:$AZ$4010,0)),""))</f>
        <v/>
      </c>
      <c r="AH796" s="24" t="str">
        <f>IF(AE796="","",IFERROR(INDEX($AQ$11:$AQ$4010,MATCH(786,$AZ$11:$AZ$4010,0)),""))</f>
        <v/>
      </c>
      <c r="AI796" s="29" t="str">
        <f>IF(AE796="","",IFERROR(INDEX($AR$11:$AR$4010,MATCH(786,$AZ$11:$AZ$4010,0)),""))</f>
        <v/>
      </c>
      <c r="AJ796" s="29" t="str">
        <f>IF(AE796="","",IFERROR(INDEX($AT$11:$AT$4010,MATCH(786,$AZ$11:$AZ$4010,0)),""))</f>
        <v/>
      </c>
      <c r="AL796" s="31"/>
      <c r="AM796" s="26"/>
      <c r="AN796" s="32"/>
      <c r="AO796" s="32"/>
      <c r="AP796" s="24"/>
      <c r="AQ796" s="24"/>
      <c r="AR796" s="33"/>
      <c r="AS796" s="34"/>
      <c r="AT796" s="33"/>
      <c r="AV796" s="21">
        <f>IF(AND($AL796&lt;&gt;"",COUNTIF($AL$11:$AL796,$AL796)=1),1,0)</f>
        <v>0</v>
      </c>
      <c r="AW796" s="21">
        <f t="shared" si="111"/>
        <v>0</v>
      </c>
      <c r="AX796" s="21" t="str">
        <f t="shared" si="110"/>
        <v/>
      </c>
      <c r="AY796" s="21" t="str">
        <f>IF(AND($AM796&lt;&gt;"",$AS796&lt;&gt;"✓"),SUMPRODUCT(($AM$11:$AM796&lt;&gt;"")*($AS$11:$AS796&lt;&gt;"✓")),"")</f>
        <v/>
      </c>
      <c r="AZ796" s="21" t="str">
        <f>IF(AND($AM796&lt;&gt;"",$AS796="✓"),SUMPRODUCT(($AM$11:$AM796&lt;&gt;"")*($AS$11:$AS796="✓")),"")</f>
        <v/>
      </c>
      <c r="BA796" s="21" t="str">
        <f>IF($AL796="","",$AL796&amp;"|"&amp;COUNTIF($AL$11:$AL796,$AL796))</f>
        <v/>
      </c>
    </row>
    <row r="797" spans="23:53" ht="15" customHeight="1" x14ac:dyDescent="0.25">
      <c r="W797" s="14" t="str">
        <f>IF(X797="","",IFERROR(INDEX($AL$11:$AL$4010,MATCH(787,$AY$11:$AY$4010,0)),""))</f>
        <v/>
      </c>
      <c r="X797" s="12" t="str">
        <f>IFERROR(INDEX($AM$11:$AM$4010,MATCH(787,$AY$11:$AY$4010,0)),"")</f>
        <v/>
      </c>
      <c r="Y797" s="11" t="str">
        <f>IF(X797="","",IFERROR(INDEX($AN$11:$AN$4010,MATCH(787,$AY$11:$AY$4010,0)),""))</f>
        <v/>
      </c>
      <c r="Z797" s="11" t="str">
        <f>IF(X797="","",IFERROR(INDEX($AO$11:$AO$4010,MATCH(787,$AY$11:$AY$4010,0)),""))</f>
        <v/>
      </c>
      <c r="AA797" s="10" t="str">
        <f>IF(X797="","",IFERROR(INDEX($AQ$11:$AQ$4010,MATCH(787,$AY$11:$AY$4010,0)),""))</f>
        <v/>
      </c>
      <c r="AB797" s="15" t="str">
        <f>IF(X797="","",IFERROR(INDEX($AR$11:$AR$4010,MATCH(787,$AY$11:$AY$4010,0)),""))</f>
        <v/>
      </c>
      <c r="AD797" s="16" t="str">
        <f>IF(AE797="","",IFERROR(INDEX($AL$11:$AL$4010,MATCH(787,$AZ$11:$AZ$4010,0)),""))</f>
        <v/>
      </c>
      <c r="AE797" s="12" t="str">
        <f>IFERROR(INDEX($AM$11:$AM$4010,MATCH(787,$AZ$11:$AZ$4010,0)),"")</f>
        <v/>
      </c>
      <c r="AF797" s="11" t="str">
        <f>IF(AE797="","",IFERROR(INDEX($AN$11:$AN$4010,MATCH(787,$AZ$11:$AZ$4010,0)),""))</f>
        <v/>
      </c>
      <c r="AG797" s="11" t="str">
        <f>IF(AE797="","",IFERROR(INDEX($AO$11:$AO$4010,MATCH(787,$AZ$11:$AZ$4010,0)),""))</f>
        <v/>
      </c>
      <c r="AH797" s="10" t="str">
        <f>IF(AE797="","",IFERROR(INDEX($AQ$11:$AQ$4010,MATCH(787,$AZ$11:$AZ$4010,0)),""))</f>
        <v/>
      </c>
      <c r="AI797" s="15" t="str">
        <f>IF(AE797="","",IFERROR(INDEX($AR$11:$AR$4010,MATCH(787,$AZ$11:$AZ$4010,0)),""))</f>
        <v/>
      </c>
      <c r="AJ797" s="15" t="str">
        <f>IF(AE797="","",IFERROR(INDEX($AT$11:$AT$4010,MATCH(787,$AZ$11:$AZ$4010,0)),""))</f>
        <v/>
      </c>
      <c r="AL797" s="17"/>
      <c r="AM797" s="12"/>
      <c r="AN797" s="18"/>
      <c r="AO797" s="18"/>
      <c r="AP797" s="10"/>
      <c r="AQ797" s="10"/>
      <c r="AR797" s="19"/>
      <c r="AS797" s="20"/>
      <c r="AT797" s="19"/>
      <c r="AV797" s="21">
        <f>IF(AND($AL797&lt;&gt;"",COUNTIF($AL$11:$AL797,$AL797)=1),1,0)</f>
        <v>0</v>
      </c>
      <c r="AW797" s="21">
        <f t="shared" si="111"/>
        <v>0</v>
      </c>
      <c r="AX797" s="21" t="str">
        <f t="shared" si="110"/>
        <v/>
      </c>
      <c r="AY797" s="21" t="str">
        <f>IF(AND($AM797&lt;&gt;"",$AS797&lt;&gt;"✓"),SUMPRODUCT(($AM$11:$AM797&lt;&gt;"")*($AS$11:$AS797&lt;&gt;"✓")),"")</f>
        <v/>
      </c>
      <c r="AZ797" s="21" t="str">
        <f>IF(AND($AM797&lt;&gt;"",$AS797="✓"),SUMPRODUCT(($AM$11:$AM797&lt;&gt;"")*($AS$11:$AS797="✓")),"")</f>
        <v/>
      </c>
      <c r="BA797" s="21" t="str">
        <f>IF($AL797="","",$AL797&amp;"|"&amp;COUNTIF($AL$11:$AL797,$AL797))</f>
        <v/>
      </c>
    </row>
    <row r="798" spans="23:53" ht="15" customHeight="1" x14ac:dyDescent="0.25">
      <c r="W798" s="28" t="str">
        <f>IF(X798="","",IFERROR(INDEX($AL$11:$AL$4010,MATCH(788,$AY$11:$AY$4010,0)),""))</f>
        <v/>
      </c>
      <c r="X798" s="26" t="str">
        <f>IFERROR(INDEX($AM$11:$AM$4010,MATCH(788,$AY$11:$AY$4010,0)),"")</f>
        <v/>
      </c>
      <c r="Y798" s="25" t="str">
        <f>IF(X798="","",IFERROR(INDEX($AN$11:$AN$4010,MATCH(788,$AY$11:$AY$4010,0)),""))</f>
        <v/>
      </c>
      <c r="Z798" s="25" t="str">
        <f>IF(X798="","",IFERROR(INDEX($AO$11:$AO$4010,MATCH(788,$AY$11:$AY$4010,0)),""))</f>
        <v/>
      </c>
      <c r="AA798" s="24" t="str">
        <f>IF(X798="","",IFERROR(INDEX($AQ$11:$AQ$4010,MATCH(788,$AY$11:$AY$4010,0)),""))</f>
        <v/>
      </c>
      <c r="AB798" s="29" t="str">
        <f>IF(X798="","",IFERROR(INDEX($AR$11:$AR$4010,MATCH(788,$AY$11:$AY$4010,0)),""))</f>
        <v/>
      </c>
      <c r="AD798" s="30" t="str">
        <f>IF(AE798="","",IFERROR(INDEX($AL$11:$AL$4010,MATCH(788,$AZ$11:$AZ$4010,0)),""))</f>
        <v/>
      </c>
      <c r="AE798" s="26" t="str">
        <f>IFERROR(INDEX($AM$11:$AM$4010,MATCH(788,$AZ$11:$AZ$4010,0)),"")</f>
        <v/>
      </c>
      <c r="AF798" s="25" t="str">
        <f>IF(AE798="","",IFERROR(INDEX($AN$11:$AN$4010,MATCH(788,$AZ$11:$AZ$4010,0)),""))</f>
        <v/>
      </c>
      <c r="AG798" s="25" t="str">
        <f>IF(AE798="","",IFERROR(INDEX($AO$11:$AO$4010,MATCH(788,$AZ$11:$AZ$4010,0)),""))</f>
        <v/>
      </c>
      <c r="AH798" s="24" t="str">
        <f>IF(AE798="","",IFERROR(INDEX($AQ$11:$AQ$4010,MATCH(788,$AZ$11:$AZ$4010,0)),""))</f>
        <v/>
      </c>
      <c r="AI798" s="29" t="str">
        <f>IF(AE798="","",IFERROR(INDEX($AR$11:$AR$4010,MATCH(788,$AZ$11:$AZ$4010,0)),""))</f>
        <v/>
      </c>
      <c r="AJ798" s="29" t="str">
        <f>IF(AE798="","",IFERROR(INDEX($AT$11:$AT$4010,MATCH(788,$AZ$11:$AZ$4010,0)),""))</f>
        <v/>
      </c>
      <c r="AL798" s="31"/>
      <c r="AM798" s="26"/>
      <c r="AN798" s="32"/>
      <c r="AO798" s="32"/>
      <c r="AP798" s="24"/>
      <c r="AQ798" s="24"/>
      <c r="AR798" s="33"/>
      <c r="AS798" s="34"/>
      <c r="AT798" s="33"/>
      <c r="AV798" s="21">
        <f>IF(AND($AL798&lt;&gt;"",COUNTIF($AL$11:$AL798,$AL798)=1),1,0)</f>
        <v>0</v>
      </c>
      <c r="AW798" s="21">
        <f t="shared" si="111"/>
        <v>0</v>
      </c>
      <c r="AX798" s="21" t="str">
        <f t="shared" si="110"/>
        <v/>
      </c>
      <c r="AY798" s="21" t="str">
        <f>IF(AND($AM798&lt;&gt;"",$AS798&lt;&gt;"✓"),SUMPRODUCT(($AM$11:$AM798&lt;&gt;"")*($AS$11:$AS798&lt;&gt;"✓")),"")</f>
        <v/>
      </c>
      <c r="AZ798" s="21" t="str">
        <f>IF(AND($AM798&lt;&gt;"",$AS798="✓"),SUMPRODUCT(($AM$11:$AM798&lt;&gt;"")*($AS$11:$AS798="✓")),"")</f>
        <v/>
      </c>
      <c r="BA798" s="21" t="str">
        <f>IF($AL798="","",$AL798&amp;"|"&amp;COUNTIF($AL$11:$AL798,$AL798))</f>
        <v/>
      </c>
    </row>
    <row r="799" spans="23:53" ht="15" customHeight="1" x14ac:dyDescent="0.25">
      <c r="W799" s="14" t="str">
        <f>IF(X799="","",IFERROR(INDEX($AL$11:$AL$4010,MATCH(789,$AY$11:$AY$4010,0)),""))</f>
        <v/>
      </c>
      <c r="X799" s="12" t="str">
        <f>IFERROR(INDEX($AM$11:$AM$4010,MATCH(789,$AY$11:$AY$4010,0)),"")</f>
        <v/>
      </c>
      <c r="Y799" s="11" t="str">
        <f>IF(X799="","",IFERROR(INDEX($AN$11:$AN$4010,MATCH(789,$AY$11:$AY$4010,0)),""))</f>
        <v/>
      </c>
      <c r="Z799" s="11" t="str">
        <f>IF(X799="","",IFERROR(INDEX($AO$11:$AO$4010,MATCH(789,$AY$11:$AY$4010,0)),""))</f>
        <v/>
      </c>
      <c r="AA799" s="10" t="str">
        <f>IF(X799="","",IFERROR(INDEX($AQ$11:$AQ$4010,MATCH(789,$AY$11:$AY$4010,0)),""))</f>
        <v/>
      </c>
      <c r="AB799" s="15" t="str">
        <f>IF(X799="","",IFERROR(INDEX($AR$11:$AR$4010,MATCH(789,$AY$11:$AY$4010,0)),""))</f>
        <v/>
      </c>
      <c r="AD799" s="16" t="str">
        <f>IF(AE799="","",IFERROR(INDEX($AL$11:$AL$4010,MATCH(789,$AZ$11:$AZ$4010,0)),""))</f>
        <v/>
      </c>
      <c r="AE799" s="12" t="str">
        <f>IFERROR(INDEX($AM$11:$AM$4010,MATCH(789,$AZ$11:$AZ$4010,0)),"")</f>
        <v/>
      </c>
      <c r="AF799" s="11" t="str">
        <f>IF(AE799="","",IFERROR(INDEX($AN$11:$AN$4010,MATCH(789,$AZ$11:$AZ$4010,0)),""))</f>
        <v/>
      </c>
      <c r="AG799" s="11" t="str">
        <f>IF(AE799="","",IFERROR(INDEX($AO$11:$AO$4010,MATCH(789,$AZ$11:$AZ$4010,0)),""))</f>
        <v/>
      </c>
      <c r="AH799" s="10" t="str">
        <f>IF(AE799="","",IFERROR(INDEX($AQ$11:$AQ$4010,MATCH(789,$AZ$11:$AZ$4010,0)),""))</f>
        <v/>
      </c>
      <c r="AI799" s="15" t="str">
        <f>IF(AE799="","",IFERROR(INDEX($AR$11:$AR$4010,MATCH(789,$AZ$11:$AZ$4010,0)),""))</f>
        <v/>
      </c>
      <c r="AJ799" s="15" t="str">
        <f>IF(AE799="","",IFERROR(INDEX($AT$11:$AT$4010,MATCH(789,$AZ$11:$AZ$4010,0)),""))</f>
        <v/>
      </c>
      <c r="AL799" s="17"/>
      <c r="AM799" s="12"/>
      <c r="AN799" s="18"/>
      <c r="AO799" s="18"/>
      <c r="AP799" s="10"/>
      <c r="AQ799" s="10"/>
      <c r="AR799" s="19"/>
      <c r="AS799" s="20"/>
      <c r="AT799" s="19"/>
      <c r="AV799" s="21">
        <f>IF(AND($AL799&lt;&gt;"",COUNTIF($AL$11:$AL799,$AL799)=1),1,0)</f>
        <v>0</v>
      </c>
      <c r="AW799" s="21">
        <f t="shared" si="111"/>
        <v>0</v>
      </c>
      <c r="AX799" s="21" t="str">
        <f t="shared" si="110"/>
        <v/>
      </c>
      <c r="AY799" s="21" t="str">
        <f>IF(AND($AM799&lt;&gt;"",$AS799&lt;&gt;"✓"),SUMPRODUCT(($AM$11:$AM799&lt;&gt;"")*($AS$11:$AS799&lt;&gt;"✓")),"")</f>
        <v/>
      </c>
      <c r="AZ799" s="21" t="str">
        <f>IF(AND($AM799&lt;&gt;"",$AS799="✓"),SUMPRODUCT(($AM$11:$AM799&lt;&gt;"")*($AS$11:$AS799="✓")),"")</f>
        <v/>
      </c>
      <c r="BA799" s="21" t="str">
        <f>IF($AL799="","",$AL799&amp;"|"&amp;COUNTIF($AL$11:$AL799,$AL799))</f>
        <v/>
      </c>
    </row>
    <row r="800" spans="23:53" ht="15" customHeight="1" x14ac:dyDescent="0.25">
      <c r="W800" s="28" t="str">
        <f>IF(X800="","",IFERROR(INDEX($AL$11:$AL$4010,MATCH(790,$AY$11:$AY$4010,0)),""))</f>
        <v/>
      </c>
      <c r="X800" s="26" t="str">
        <f>IFERROR(INDEX($AM$11:$AM$4010,MATCH(790,$AY$11:$AY$4010,0)),"")</f>
        <v/>
      </c>
      <c r="Y800" s="25" t="str">
        <f>IF(X800="","",IFERROR(INDEX($AN$11:$AN$4010,MATCH(790,$AY$11:$AY$4010,0)),""))</f>
        <v/>
      </c>
      <c r="Z800" s="25" t="str">
        <f>IF(X800="","",IFERROR(INDEX($AO$11:$AO$4010,MATCH(790,$AY$11:$AY$4010,0)),""))</f>
        <v/>
      </c>
      <c r="AA800" s="24" t="str">
        <f>IF(X800="","",IFERROR(INDEX($AQ$11:$AQ$4010,MATCH(790,$AY$11:$AY$4010,0)),""))</f>
        <v/>
      </c>
      <c r="AB800" s="29" t="str">
        <f>IF(X800="","",IFERROR(INDEX($AR$11:$AR$4010,MATCH(790,$AY$11:$AY$4010,0)),""))</f>
        <v/>
      </c>
      <c r="AD800" s="30" t="str">
        <f>IF(AE800="","",IFERROR(INDEX($AL$11:$AL$4010,MATCH(790,$AZ$11:$AZ$4010,0)),""))</f>
        <v/>
      </c>
      <c r="AE800" s="26" t="str">
        <f>IFERROR(INDEX($AM$11:$AM$4010,MATCH(790,$AZ$11:$AZ$4010,0)),"")</f>
        <v/>
      </c>
      <c r="AF800" s="25" t="str">
        <f>IF(AE800="","",IFERROR(INDEX($AN$11:$AN$4010,MATCH(790,$AZ$11:$AZ$4010,0)),""))</f>
        <v/>
      </c>
      <c r="AG800" s="25" t="str">
        <f>IF(AE800="","",IFERROR(INDEX($AO$11:$AO$4010,MATCH(790,$AZ$11:$AZ$4010,0)),""))</f>
        <v/>
      </c>
      <c r="AH800" s="24" t="str">
        <f>IF(AE800="","",IFERROR(INDEX($AQ$11:$AQ$4010,MATCH(790,$AZ$11:$AZ$4010,0)),""))</f>
        <v/>
      </c>
      <c r="AI800" s="29" t="str">
        <f>IF(AE800="","",IFERROR(INDEX($AR$11:$AR$4010,MATCH(790,$AZ$11:$AZ$4010,0)),""))</f>
        <v/>
      </c>
      <c r="AJ800" s="29" t="str">
        <f>IF(AE800="","",IFERROR(INDEX($AT$11:$AT$4010,MATCH(790,$AZ$11:$AZ$4010,0)),""))</f>
        <v/>
      </c>
      <c r="AL800" s="31"/>
      <c r="AM800" s="26"/>
      <c r="AN800" s="32"/>
      <c r="AO800" s="32"/>
      <c r="AP800" s="24"/>
      <c r="AQ800" s="24"/>
      <c r="AR800" s="33"/>
      <c r="AS800" s="34"/>
      <c r="AT800" s="33"/>
      <c r="AV800" s="21">
        <f>IF(AND($AL800&lt;&gt;"",COUNTIF($AL$11:$AL800,$AL800)=1),1,0)</f>
        <v>0</v>
      </c>
      <c r="AW800" s="21">
        <f t="shared" si="111"/>
        <v>0</v>
      </c>
      <c r="AX800" s="21" t="str">
        <f t="shared" si="110"/>
        <v/>
      </c>
      <c r="AY800" s="21" t="str">
        <f>IF(AND($AM800&lt;&gt;"",$AS800&lt;&gt;"✓"),SUMPRODUCT(($AM$11:$AM800&lt;&gt;"")*($AS$11:$AS800&lt;&gt;"✓")),"")</f>
        <v/>
      </c>
      <c r="AZ800" s="21" t="str">
        <f>IF(AND($AM800&lt;&gt;"",$AS800="✓"),SUMPRODUCT(($AM$11:$AM800&lt;&gt;"")*($AS$11:$AS800="✓")),"")</f>
        <v/>
      </c>
      <c r="BA800" s="21" t="str">
        <f>IF($AL800="","",$AL800&amp;"|"&amp;COUNTIF($AL$11:$AL800,$AL800))</f>
        <v/>
      </c>
    </row>
    <row r="801" spans="23:53" ht="15" customHeight="1" x14ac:dyDescent="0.25">
      <c r="W801" s="14" t="str">
        <f>IF(X801="","",IFERROR(INDEX($AL$11:$AL$4010,MATCH(791,$AY$11:$AY$4010,0)),""))</f>
        <v/>
      </c>
      <c r="X801" s="12" t="str">
        <f>IFERROR(INDEX($AM$11:$AM$4010,MATCH(791,$AY$11:$AY$4010,0)),"")</f>
        <v/>
      </c>
      <c r="Y801" s="11" t="str">
        <f>IF(X801="","",IFERROR(INDEX($AN$11:$AN$4010,MATCH(791,$AY$11:$AY$4010,0)),""))</f>
        <v/>
      </c>
      <c r="Z801" s="11" t="str">
        <f>IF(X801="","",IFERROR(INDEX($AO$11:$AO$4010,MATCH(791,$AY$11:$AY$4010,0)),""))</f>
        <v/>
      </c>
      <c r="AA801" s="10" t="str">
        <f>IF(X801="","",IFERROR(INDEX($AQ$11:$AQ$4010,MATCH(791,$AY$11:$AY$4010,0)),""))</f>
        <v/>
      </c>
      <c r="AB801" s="15" t="str">
        <f>IF(X801="","",IFERROR(INDEX($AR$11:$AR$4010,MATCH(791,$AY$11:$AY$4010,0)),""))</f>
        <v/>
      </c>
      <c r="AD801" s="16" t="str">
        <f>IF(AE801="","",IFERROR(INDEX($AL$11:$AL$4010,MATCH(791,$AZ$11:$AZ$4010,0)),""))</f>
        <v/>
      </c>
      <c r="AE801" s="12" t="str">
        <f>IFERROR(INDEX($AM$11:$AM$4010,MATCH(791,$AZ$11:$AZ$4010,0)),"")</f>
        <v/>
      </c>
      <c r="AF801" s="11" t="str">
        <f>IF(AE801="","",IFERROR(INDEX($AN$11:$AN$4010,MATCH(791,$AZ$11:$AZ$4010,0)),""))</f>
        <v/>
      </c>
      <c r="AG801" s="11" t="str">
        <f>IF(AE801="","",IFERROR(INDEX($AO$11:$AO$4010,MATCH(791,$AZ$11:$AZ$4010,0)),""))</f>
        <v/>
      </c>
      <c r="AH801" s="10" t="str">
        <f>IF(AE801="","",IFERROR(INDEX($AQ$11:$AQ$4010,MATCH(791,$AZ$11:$AZ$4010,0)),""))</f>
        <v/>
      </c>
      <c r="AI801" s="15" t="str">
        <f>IF(AE801="","",IFERROR(INDEX($AR$11:$AR$4010,MATCH(791,$AZ$11:$AZ$4010,0)),""))</f>
        <v/>
      </c>
      <c r="AJ801" s="15" t="str">
        <f>IF(AE801="","",IFERROR(INDEX($AT$11:$AT$4010,MATCH(791,$AZ$11:$AZ$4010,0)),""))</f>
        <v/>
      </c>
      <c r="AL801" s="17"/>
      <c r="AM801" s="12"/>
      <c r="AN801" s="18"/>
      <c r="AO801" s="18"/>
      <c r="AP801" s="10"/>
      <c r="AQ801" s="10"/>
      <c r="AR801" s="19"/>
      <c r="AS801" s="20"/>
      <c r="AT801" s="19"/>
      <c r="AV801" s="21">
        <f>IF(AND($AL801&lt;&gt;"",COUNTIF($AL$11:$AL801,$AL801)=1),1,0)</f>
        <v>0</v>
      </c>
      <c r="AW801" s="21">
        <f t="shared" si="111"/>
        <v>0</v>
      </c>
      <c r="AX801" s="21" t="str">
        <f t="shared" si="110"/>
        <v/>
      </c>
      <c r="AY801" s="21" t="str">
        <f>IF(AND($AM801&lt;&gt;"",$AS801&lt;&gt;"✓"),SUMPRODUCT(($AM$11:$AM801&lt;&gt;"")*($AS$11:$AS801&lt;&gt;"✓")),"")</f>
        <v/>
      </c>
      <c r="AZ801" s="21" t="str">
        <f>IF(AND($AM801&lt;&gt;"",$AS801="✓"),SUMPRODUCT(($AM$11:$AM801&lt;&gt;"")*($AS$11:$AS801="✓")),"")</f>
        <v/>
      </c>
      <c r="BA801" s="21" t="str">
        <f>IF($AL801="","",$AL801&amp;"|"&amp;COUNTIF($AL$11:$AL801,$AL801))</f>
        <v/>
      </c>
    </row>
    <row r="802" spans="23:53" ht="15" customHeight="1" x14ac:dyDescent="0.25">
      <c r="W802" s="28" t="str">
        <f>IF(X802="","",IFERROR(INDEX($AL$11:$AL$4010,MATCH(792,$AY$11:$AY$4010,0)),""))</f>
        <v/>
      </c>
      <c r="X802" s="26" t="str">
        <f>IFERROR(INDEX($AM$11:$AM$4010,MATCH(792,$AY$11:$AY$4010,0)),"")</f>
        <v/>
      </c>
      <c r="Y802" s="25" t="str">
        <f>IF(X802="","",IFERROR(INDEX($AN$11:$AN$4010,MATCH(792,$AY$11:$AY$4010,0)),""))</f>
        <v/>
      </c>
      <c r="Z802" s="25" t="str">
        <f>IF(X802="","",IFERROR(INDEX($AO$11:$AO$4010,MATCH(792,$AY$11:$AY$4010,0)),""))</f>
        <v/>
      </c>
      <c r="AA802" s="24" t="str">
        <f>IF(X802="","",IFERROR(INDEX($AQ$11:$AQ$4010,MATCH(792,$AY$11:$AY$4010,0)),""))</f>
        <v/>
      </c>
      <c r="AB802" s="29" t="str">
        <f>IF(X802="","",IFERROR(INDEX($AR$11:$AR$4010,MATCH(792,$AY$11:$AY$4010,0)),""))</f>
        <v/>
      </c>
      <c r="AD802" s="30" t="str">
        <f>IF(AE802="","",IFERROR(INDEX($AL$11:$AL$4010,MATCH(792,$AZ$11:$AZ$4010,0)),""))</f>
        <v/>
      </c>
      <c r="AE802" s="26" t="str">
        <f>IFERROR(INDEX($AM$11:$AM$4010,MATCH(792,$AZ$11:$AZ$4010,0)),"")</f>
        <v/>
      </c>
      <c r="AF802" s="25" t="str">
        <f>IF(AE802="","",IFERROR(INDEX($AN$11:$AN$4010,MATCH(792,$AZ$11:$AZ$4010,0)),""))</f>
        <v/>
      </c>
      <c r="AG802" s="25" t="str">
        <f>IF(AE802="","",IFERROR(INDEX($AO$11:$AO$4010,MATCH(792,$AZ$11:$AZ$4010,0)),""))</f>
        <v/>
      </c>
      <c r="AH802" s="24" t="str">
        <f>IF(AE802="","",IFERROR(INDEX($AQ$11:$AQ$4010,MATCH(792,$AZ$11:$AZ$4010,0)),""))</f>
        <v/>
      </c>
      <c r="AI802" s="29" t="str">
        <f>IF(AE802="","",IFERROR(INDEX($AR$11:$AR$4010,MATCH(792,$AZ$11:$AZ$4010,0)),""))</f>
        <v/>
      </c>
      <c r="AJ802" s="29" t="str">
        <f>IF(AE802="","",IFERROR(INDEX($AT$11:$AT$4010,MATCH(792,$AZ$11:$AZ$4010,0)),""))</f>
        <v/>
      </c>
      <c r="AL802" s="31"/>
      <c r="AM802" s="26"/>
      <c r="AN802" s="32"/>
      <c r="AO802" s="32"/>
      <c r="AP802" s="24"/>
      <c r="AQ802" s="24"/>
      <c r="AR802" s="33"/>
      <c r="AS802" s="34"/>
      <c r="AT802" s="33"/>
      <c r="AV802" s="21">
        <f>IF(AND($AL802&lt;&gt;"",COUNTIF($AL$11:$AL802,$AL802)=1),1,0)</f>
        <v>0</v>
      </c>
      <c r="AW802" s="21">
        <f t="shared" si="111"/>
        <v>0</v>
      </c>
      <c r="AX802" s="21" t="str">
        <f t="shared" si="110"/>
        <v/>
      </c>
      <c r="AY802" s="21" t="str">
        <f>IF(AND($AM802&lt;&gt;"",$AS802&lt;&gt;"✓"),SUMPRODUCT(($AM$11:$AM802&lt;&gt;"")*($AS$11:$AS802&lt;&gt;"✓")),"")</f>
        <v/>
      </c>
      <c r="AZ802" s="21" t="str">
        <f>IF(AND($AM802&lt;&gt;"",$AS802="✓"),SUMPRODUCT(($AM$11:$AM802&lt;&gt;"")*($AS$11:$AS802="✓")),"")</f>
        <v/>
      </c>
      <c r="BA802" s="21" t="str">
        <f>IF($AL802="","",$AL802&amp;"|"&amp;COUNTIF($AL$11:$AL802,$AL802))</f>
        <v/>
      </c>
    </row>
    <row r="803" spans="23:53" ht="15" customHeight="1" x14ac:dyDescent="0.25">
      <c r="W803" s="14" t="str">
        <f>IF(X803="","",IFERROR(INDEX($AL$11:$AL$4010,MATCH(793,$AY$11:$AY$4010,0)),""))</f>
        <v/>
      </c>
      <c r="X803" s="12" t="str">
        <f>IFERROR(INDEX($AM$11:$AM$4010,MATCH(793,$AY$11:$AY$4010,0)),"")</f>
        <v/>
      </c>
      <c r="Y803" s="11" t="str">
        <f>IF(X803="","",IFERROR(INDEX($AN$11:$AN$4010,MATCH(793,$AY$11:$AY$4010,0)),""))</f>
        <v/>
      </c>
      <c r="Z803" s="11" t="str">
        <f>IF(X803="","",IFERROR(INDEX($AO$11:$AO$4010,MATCH(793,$AY$11:$AY$4010,0)),""))</f>
        <v/>
      </c>
      <c r="AA803" s="10" t="str">
        <f>IF(X803="","",IFERROR(INDEX($AQ$11:$AQ$4010,MATCH(793,$AY$11:$AY$4010,0)),""))</f>
        <v/>
      </c>
      <c r="AB803" s="15" t="str">
        <f>IF(X803="","",IFERROR(INDEX($AR$11:$AR$4010,MATCH(793,$AY$11:$AY$4010,0)),""))</f>
        <v/>
      </c>
      <c r="AD803" s="16" t="str">
        <f>IF(AE803="","",IFERROR(INDEX($AL$11:$AL$4010,MATCH(793,$AZ$11:$AZ$4010,0)),""))</f>
        <v/>
      </c>
      <c r="AE803" s="12" t="str">
        <f>IFERROR(INDEX($AM$11:$AM$4010,MATCH(793,$AZ$11:$AZ$4010,0)),"")</f>
        <v/>
      </c>
      <c r="AF803" s="11" t="str">
        <f>IF(AE803="","",IFERROR(INDEX($AN$11:$AN$4010,MATCH(793,$AZ$11:$AZ$4010,0)),""))</f>
        <v/>
      </c>
      <c r="AG803" s="11" t="str">
        <f>IF(AE803="","",IFERROR(INDEX($AO$11:$AO$4010,MATCH(793,$AZ$11:$AZ$4010,0)),""))</f>
        <v/>
      </c>
      <c r="AH803" s="10" t="str">
        <f>IF(AE803="","",IFERROR(INDEX($AQ$11:$AQ$4010,MATCH(793,$AZ$11:$AZ$4010,0)),""))</f>
        <v/>
      </c>
      <c r="AI803" s="15" t="str">
        <f>IF(AE803="","",IFERROR(INDEX($AR$11:$AR$4010,MATCH(793,$AZ$11:$AZ$4010,0)),""))</f>
        <v/>
      </c>
      <c r="AJ803" s="15" t="str">
        <f>IF(AE803="","",IFERROR(INDEX($AT$11:$AT$4010,MATCH(793,$AZ$11:$AZ$4010,0)),""))</f>
        <v/>
      </c>
      <c r="AL803" s="17"/>
      <c r="AM803" s="12"/>
      <c r="AN803" s="18"/>
      <c r="AO803" s="18"/>
      <c r="AP803" s="10"/>
      <c r="AQ803" s="10"/>
      <c r="AR803" s="19"/>
      <c r="AS803" s="20"/>
      <c r="AT803" s="19"/>
      <c r="AV803" s="21">
        <f>IF(AND($AL803&lt;&gt;"",COUNTIF($AL$11:$AL803,$AL803)=1),1,0)</f>
        <v>0</v>
      </c>
      <c r="AW803" s="21">
        <f t="shared" si="111"/>
        <v>0</v>
      </c>
      <c r="AX803" s="21" t="str">
        <f t="shared" si="110"/>
        <v/>
      </c>
      <c r="AY803" s="21" t="str">
        <f>IF(AND($AM803&lt;&gt;"",$AS803&lt;&gt;"✓"),SUMPRODUCT(($AM$11:$AM803&lt;&gt;"")*($AS$11:$AS803&lt;&gt;"✓")),"")</f>
        <v/>
      </c>
      <c r="AZ803" s="21" t="str">
        <f>IF(AND($AM803&lt;&gt;"",$AS803="✓"),SUMPRODUCT(($AM$11:$AM803&lt;&gt;"")*($AS$11:$AS803="✓")),"")</f>
        <v/>
      </c>
      <c r="BA803" s="21" t="str">
        <f>IF($AL803="","",$AL803&amp;"|"&amp;COUNTIF($AL$11:$AL803,$AL803))</f>
        <v/>
      </c>
    </row>
    <row r="804" spans="23:53" ht="15" customHeight="1" x14ac:dyDescent="0.25">
      <c r="W804" s="28" t="str">
        <f>IF(X804="","",IFERROR(INDEX($AL$11:$AL$4010,MATCH(794,$AY$11:$AY$4010,0)),""))</f>
        <v/>
      </c>
      <c r="X804" s="26" t="str">
        <f>IFERROR(INDEX($AM$11:$AM$4010,MATCH(794,$AY$11:$AY$4010,0)),"")</f>
        <v/>
      </c>
      <c r="Y804" s="25" t="str">
        <f>IF(X804="","",IFERROR(INDEX($AN$11:$AN$4010,MATCH(794,$AY$11:$AY$4010,0)),""))</f>
        <v/>
      </c>
      <c r="Z804" s="25" t="str">
        <f>IF(X804="","",IFERROR(INDEX($AO$11:$AO$4010,MATCH(794,$AY$11:$AY$4010,0)),""))</f>
        <v/>
      </c>
      <c r="AA804" s="24" t="str">
        <f>IF(X804="","",IFERROR(INDEX($AQ$11:$AQ$4010,MATCH(794,$AY$11:$AY$4010,0)),""))</f>
        <v/>
      </c>
      <c r="AB804" s="29" t="str">
        <f>IF(X804="","",IFERROR(INDEX($AR$11:$AR$4010,MATCH(794,$AY$11:$AY$4010,0)),""))</f>
        <v/>
      </c>
      <c r="AD804" s="30" t="str">
        <f>IF(AE804="","",IFERROR(INDEX($AL$11:$AL$4010,MATCH(794,$AZ$11:$AZ$4010,0)),""))</f>
        <v/>
      </c>
      <c r="AE804" s="26" t="str">
        <f>IFERROR(INDEX($AM$11:$AM$4010,MATCH(794,$AZ$11:$AZ$4010,0)),"")</f>
        <v/>
      </c>
      <c r="AF804" s="25" t="str">
        <f>IF(AE804="","",IFERROR(INDEX($AN$11:$AN$4010,MATCH(794,$AZ$11:$AZ$4010,0)),""))</f>
        <v/>
      </c>
      <c r="AG804" s="25" t="str">
        <f>IF(AE804="","",IFERROR(INDEX($AO$11:$AO$4010,MATCH(794,$AZ$11:$AZ$4010,0)),""))</f>
        <v/>
      </c>
      <c r="AH804" s="24" t="str">
        <f>IF(AE804="","",IFERROR(INDEX($AQ$11:$AQ$4010,MATCH(794,$AZ$11:$AZ$4010,0)),""))</f>
        <v/>
      </c>
      <c r="AI804" s="29" t="str">
        <f>IF(AE804="","",IFERROR(INDEX($AR$11:$AR$4010,MATCH(794,$AZ$11:$AZ$4010,0)),""))</f>
        <v/>
      </c>
      <c r="AJ804" s="29" t="str">
        <f>IF(AE804="","",IFERROR(INDEX($AT$11:$AT$4010,MATCH(794,$AZ$11:$AZ$4010,0)),""))</f>
        <v/>
      </c>
      <c r="AL804" s="31"/>
      <c r="AM804" s="26"/>
      <c r="AN804" s="32"/>
      <c r="AO804" s="32"/>
      <c r="AP804" s="24"/>
      <c r="AQ804" s="24"/>
      <c r="AR804" s="33"/>
      <c r="AS804" s="34"/>
      <c r="AT804" s="33"/>
      <c r="AV804" s="21">
        <f>IF(AND($AL804&lt;&gt;"",COUNTIF($AL$11:$AL804,$AL804)=1),1,0)</f>
        <v>0</v>
      </c>
      <c r="AW804" s="21">
        <f t="shared" si="111"/>
        <v>0</v>
      </c>
      <c r="AX804" s="21" t="str">
        <f t="shared" si="110"/>
        <v/>
      </c>
      <c r="AY804" s="21" t="str">
        <f>IF(AND($AM804&lt;&gt;"",$AS804&lt;&gt;"✓"),SUMPRODUCT(($AM$11:$AM804&lt;&gt;"")*($AS$11:$AS804&lt;&gt;"✓")),"")</f>
        <v/>
      </c>
      <c r="AZ804" s="21" t="str">
        <f>IF(AND($AM804&lt;&gt;"",$AS804="✓"),SUMPRODUCT(($AM$11:$AM804&lt;&gt;"")*($AS$11:$AS804="✓")),"")</f>
        <v/>
      </c>
      <c r="BA804" s="21" t="str">
        <f>IF($AL804="","",$AL804&amp;"|"&amp;COUNTIF($AL$11:$AL804,$AL804))</f>
        <v/>
      </c>
    </row>
    <row r="805" spans="23:53" ht="15" customHeight="1" x14ac:dyDescent="0.25">
      <c r="W805" s="14" t="str">
        <f>IF(X805="","",IFERROR(INDEX($AL$11:$AL$4010,MATCH(795,$AY$11:$AY$4010,0)),""))</f>
        <v/>
      </c>
      <c r="X805" s="12" t="str">
        <f>IFERROR(INDEX($AM$11:$AM$4010,MATCH(795,$AY$11:$AY$4010,0)),"")</f>
        <v/>
      </c>
      <c r="Y805" s="11" t="str">
        <f>IF(X805="","",IFERROR(INDEX($AN$11:$AN$4010,MATCH(795,$AY$11:$AY$4010,0)),""))</f>
        <v/>
      </c>
      <c r="Z805" s="11" t="str">
        <f>IF(X805="","",IFERROR(INDEX($AO$11:$AO$4010,MATCH(795,$AY$11:$AY$4010,0)),""))</f>
        <v/>
      </c>
      <c r="AA805" s="10" t="str">
        <f>IF(X805="","",IFERROR(INDEX($AQ$11:$AQ$4010,MATCH(795,$AY$11:$AY$4010,0)),""))</f>
        <v/>
      </c>
      <c r="AB805" s="15" t="str">
        <f>IF(X805="","",IFERROR(INDEX($AR$11:$AR$4010,MATCH(795,$AY$11:$AY$4010,0)),""))</f>
        <v/>
      </c>
      <c r="AD805" s="16" t="str">
        <f>IF(AE805="","",IFERROR(INDEX($AL$11:$AL$4010,MATCH(795,$AZ$11:$AZ$4010,0)),""))</f>
        <v/>
      </c>
      <c r="AE805" s="12" t="str">
        <f>IFERROR(INDEX($AM$11:$AM$4010,MATCH(795,$AZ$11:$AZ$4010,0)),"")</f>
        <v/>
      </c>
      <c r="AF805" s="11" t="str">
        <f>IF(AE805="","",IFERROR(INDEX($AN$11:$AN$4010,MATCH(795,$AZ$11:$AZ$4010,0)),""))</f>
        <v/>
      </c>
      <c r="AG805" s="11" t="str">
        <f>IF(AE805="","",IFERROR(INDEX($AO$11:$AO$4010,MATCH(795,$AZ$11:$AZ$4010,0)),""))</f>
        <v/>
      </c>
      <c r="AH805" s="10" t="str">
        <f>IF(AE805="","",IFERROR(INDEX($AQ$11:$AQ$4010,MATCH(795,$AZ$11:$AZ$4010,0)),""))</f>
        <v/>
      </c>
      <c r="AI805" s="15" t="str">
        <f>IF(AE805="","",IFERROR(INDEX($AR$11:$AR$4010,MATCH(795,$AZ$11:$AZ$4010,0)),""))</f>
        <v/>
      </c>
      <c r="AJ805" s="15" t="str">
        <f>IF(AE805="","",IFERROR(INDEX($AT$11:$AT$4010,MATCH(795,$AZ$11:$AZ$4010,0)),""))</f>
        <v/>
      </c>
      <c r="AL805" s="17"/>
      <c r="AM805" s="12"/>
      <c r="AN805" s="18"/>
      <c r="AO805" s="18"/>
      <c r="AP805" s="10"/>
      <c r="AQ805" s="10"/>
      <c r="AR805" s="19"/>
      <c r="AS805" s="20"/>
      <c r="AT805" s="19"/>
      <c r="AV805" s="21">
        <f>IF(AND($AL805&lt;&gt;"",COUNTIF($AL$11:$AL805,$AL805)=1),1,0)</f>
        <v>0</v>
      </c>
      <c r="AW805" s="21">
        <f t="shared" si="111"/>
        <v>0</v>
      </c>
      <c r="AX805" s="21" t="str">
        <f t="shared" si="110"/>
        <v/>
      </c>
      <c r="AY805" s="21" t="str">
        <f>IF(AND($AM805&lt;&gt;"",$AS805&lt;&gt;"✓"),SUMPRODUCT(($AM$11:$AM805&lt;&gt;"")*($AS$11:$AS805&lt;&gt;"✓")),"")</f>
        <v/>
      </c>
      <c r="AZ805" s="21" t="str">
        <f>IF(AND($AM805&lt;&gt;"",$AS805="✓"),SUMPRODUCT(($AM$11:$AM805&lt;&gt;"")*($AS$11:$AS805="✓")),"")</f>
        <v/>
      </c>
      <c r="BA805" s="21" t="str">
        <f>IF($AL805="","",$AL805&amp;"|"&amp;COUNTIF($AL$11:$AL805,$AL805))</f>
        <v/>
      </c>
    </row>
    <row r="806" spans="23:53" ht="15" customHeight="1" x14ac:dyDescent="0.25">
      <c r="W806" s="28" t="str">
        <f>IF(X806="","",IFERROR(INDEX($AL$11:$AL$4010,MATCH(796,$AY$11:$AY$4010,0)),""))</f>
        <v/>
      </c>
      <c r="X806" s="26" t="str">
        <f>IFERROR(INDEX($AM$11:$AM$4010,MATCH(796,$AY$11:$AY$4010,0)),"")</f>
        <v/>
      </c>
      <c r="Y806" s="25" t="str">
        <f>IF(X806="","",IFERROR(INDEX($AN$11:$AN$4010,MATCH(796,$AY$11:$AY$4010,0)),""))</f>
        <v/>
      </c>
      <c r="Z806" s="25" t="str">
        <f>IF(X806="","",IFERROR(INDEX($AO$11:$AO$4010,MATCH(796,$AY$11:$AY$4010,0)),""))</f>
        <v/>
      </c>
      <c r="AA806" s="24" t="str">
        <f>IF(X806="","",IFERROR(INDEX($AQ$11:$AQ$4010,MATCH(796,$AY$11:$AY$4010,0)),""))</f>
        <v/>
      </c>
      <c r="AB806" s="29" t="str">
        <f>IF(X806="","",IFERROR(INDEX($AR$11:$AR$4010,MATCH(796,$AY$11:$AY$4010,0)),""))</f>
        <v/>
      </c>
      <c r="AD806" s="30" t="str">
        <f>IF(AE806="","",IFERROR(INDEX($AL$11:$AL$4010,MATCH(796,$AZ$11:$AZ$4010,0)),""))</f>
        <v/>
      </c>
      <c r="AE806" s="26" t="str">
        <f>IFERROR(INDEX($AM$11:$AM$4010,MATCH(796,$AZ$11:$AZ$4010,0)),"")</f>
        <v/>
      </c>
      <c r="AF806" s="25" t="str">
        <f>IF(AE806="","",IFERROR(INDEX($AN$11:$AN$4010,MATCH(796,$AZ$11:$AZ$4010,0)),""))</f>
        <v/>
      </c>
      <c r="AG806" s="25" t="str">
        <f>IF(AE806="","",IFERROR(INDEX($AO$11:$AO$4010,MATCH(796,$AZ$11:$AZ$4010,0)),""))</f>
        <v/>
      </c>
      <c r="AH806" s="24" t="str">
        <f>IF(AE806="","",IFERROR(INDEX($AQ$11:$AQ$4010,MATCH(796,$AZ$11:$AZ$4010,0)),""))</f>
        <v/>
      </c>
      <c r="AI806" s="29" t="str">
        <f>IF(AE806="","",IFERROR(INDEX($AR$11:$AR$4010,MATCH(796,$AZ$11:$AZ$4010,0)),""))</f>
        <v/>
      </c>
      <c r="AJ806" s="29" t="str">
        <f>IF(AE806="","",IFERROR(INDEX($AT$11:$AT$4010,MATCH(796,$AZ$11:$AZ$4010,0)),""))</f>
        <v/>
      </c>
      <c r="AL806" s="31"/>
      <c r="AM806" s="26"/>
      <c r="AN806" s="32"/>
      <c r="AO806" s="32"/>
      <c r="AP806" s="24"/>
      <c r="AQ806" s="24"/>
      <c r="AR806" s="33"/>
      <c r="AS806" s="34"/>
      <c r="AT806" s="33"/>
      <c r="AV806" s="21">
        <f>IF(AND($AL806&lt;&gt;"",COUNTIF($AL$11:$AL806,$AL806)=1),1,0)</f>
        <v>0</v>
      </c>
      <c r="AW806" s="21">
        <f t="shared" si="111"/>
        <v>0</v>
      </c>
      <c r="AX806" s="21" t="str">
        <f t="shared" si="110"/>
        <v/>
      </c>
      <c r="AY806" s="21" t="str">
        <f>IF(AND($AM806&lt;&gt;"",$AS806&lt;&gt;"✓"),SUMPRODUCT(($AM$11:$AM806&lt;&gt;"")*($AS$11:$AS806&lt;&gt;"✓")),"")</f>
        <v/>
      </c>
      <c r="AZ806" s="21" t="str">
        <f>IF(AND($AM806&lt;&gt;"",$AS806="✓"),SUMPRODUCT(($AM$11:$AM806&lt;&gt;"")*($AS$11:$AS806="✓")),"")</f>
        <v/>
      </c>
      <c r="BA806" s="21" t="str">
        <f>IF($AL806="","",$AL806&amp;"|"&amp;COUNTIF($AL$11:$AL806,$AL806))</f>
        <v/>
      </c>
    </row>
    <row r="807" spans="23:53" ht="15" customHeight="1" x14ac:dyDescent="0.25">
      <c r="W807" s="14" t="str">
        <f>IF(X807="","",IFERROR(INDEX($AL$11:$AL$4010,MATCH(797,$AY$11:$AY$4010,0)),""))</f>
        <v/>
      </c>
      <c r="X807" s="12" t="str">
        <f>IFERROR(INDEX($AM$11:$AM$4010,MATCH(797,$AY$11:$AY$4010,0)),"")</f>
        <v/>
      </c>
      <c r="Y807" s="11" t="str">
        <f>IF(X807="","",IFERROR(INDEX($AN$11:$AN$4010,MATCH(797,$AY$11:$AY$4010,0)),""))</f>
        <v/>
      </c>
      <c r="Z807" s="11" t="str">
        <f>IF(X807="","",IFERROR(INDEX($AO$11:$AO$4010,MATCH(797,$AY$11:$AY$4010,0)),""))</f>
        <v/>
      </c>
      <c r="AA807" s="10" t="str">
        <f>IF(X807="","",IFERROR(INDEX($AQ$11:$AQ$4010,MATCH(797,$AY$11:$AY$4010,0)),""))</f>
        <v/>
      </c>
      <c r="AB807" s="15" t="str">
        <f>IF(X807="","",IFERROR(INDEX($AR$11:$AR$4010,MATCH(797,$AY$11:$AY$4010,0)),""))</f>
        <v/>
      </c>
      <c r="AD807" s="16" t="str">
        <f>IF(AE807="","",IFERROR(INDEX($AL$11:$AL$4010,MATCH(797,$AZ$11:$AZ$4010,0)),""))</f>
        <v/>
      </c>
      <c r="AE807" s="12" t="str">
        <f>IFERROR(INDEX($AM$11:$AM$4010,MATCH(797,$AZ$11:$AZ$4010,0)),"")</f>
        <v/>
      </c>
      <c r="AF807" s="11" t="str">
        <f>IF(AE807="","",IFERROR(INDEX($AN$11:$AN$4010,MATCH(797,$AZ$11:$AZ$4010,0)),""))</f>
        <v/>
      </c>
      <c r="AG807" s="11" t="str">
        <f>IF(AE807="","",IFERROR(INDEX($AO$11:$AO$4010,MATCH(797,$AZ$11:$AZ$4010,0)),""))</f>
        <v/>
      </c>
      <c r="AH807" s="10" t="str">
        <f>IF(AE807="","",IFERROR(INDEX($AQ$11:$AQ$4010,MATCH(797,$AZ$11:$AZ$4010,0)),""))</f>
        <v/>
      </c>
      <c r="AI807" s="15" t="str">
        <f>IF(AE807="","",IFERROR(INDEX($AR$11:$AR$4010,MATCH(797,$AZ$11:$AZ$4010,0)),""))</f>
        <v/>
      </c>
      <c r="AJ807" s="15" t="str">
        <f>IF(AE807="","",IFERROR(INDEX($AT$11:$AT$4010,MATCH(797,$AZ$11:$AZ$4010,0)),""))</f>
        <v/>
      </c>
      <c r="AL807" s="17"/>
      <c r="AM807" s="12"/>
      <c r="AN807" s="18"/>
      <c r="AO807" s="18"/>
      <c r="AP807" s="10"/>
      <c r="AQ807" s="10"/>
      <c r="AR807" s="19"/>
      <c r="AS807" s="20"/>
      <c r="AT807" s="19"/>
      <c r="AV807" s="21">
        <f>IF(AND($AL807&lt;&gt;"",COUNTIF($AL$11:$AL807,$AL807)=1),1,0)</f>
        <v>0</v>
      </c>
      <c r="AW807" s="21">
        <f t="shared" si="111"/>
        <v>0</v>
      </c>
      <c r="AX807" s="21" t="str">
        <f t="shared" si="110"/>
        <v/>
      </c>
      <c r="AY807" s="21" t="str">
        <f>IF(AND($AM807&lt;&gt;"",$AS807&lt;&gt;"✓"),SUMPRODUCT(($AM$11:$AM807&lt;&gt;"")*($AS$11:$AS807&lt;&gt;"✓")),"")</f>
        <v/>
      </c>
      <c r="AZ807" s="21" t="str">
        <f>IF(AND($AM807&lt;&gt;"",$AS807="✓"),SUMPRODUCT(($AM$11:$AM807&lt;&gt;"")*($AS$11:$AS807="✓")),"")</f>
        <v/>
      </c>
      <c r="BA807" s="21" t="str">
        <f>IF($AL807="","",$AL807&amp;"|"&amp;COUNTIF($AL$11:$AL807,$AL807))</f>
        <v/>
      </c>
    </row>
    <row r="808" spans="23:53" ht="15" customHeight="1" x14ac:dyDescent="0.25">
      <c r="W808" s="28" t="str">
        <f>IF(X808="","",IFERROR(INDEX($AL$11:$AL$4010,MATCH(798,$AY$11:$AY$4010,0)),""))</f>
        <v/>
      </c>
      <c r="X808" s="26" t="str">
        <f>IFERROR(INDEX($AM$11:$AM$4010,MATCH(798,$AY$11:$AY$4010,0)),"")</f>
        <v/>
      </c>
      <c r="Y808" s="25" t="str">
        <f>IF(X808="","",IFERROR(INDEX($AN$11:$AN$4010,MATCH(798,$AY$11:$AY$4010,0)),""))</f>
        <v/>
      </c>
      <c r="Z808" s="25" t="str">
        <f>IF(X808="","",IFERROR(INDEX($AO$11:$AO$4010,MATCH(798,$AY$11:$AY$4010,0)),""))</f>
        <v/>
      </c>
      <c r="AA808" s="24" t="str">
        <f>IF(X808="","",IFERROR(INDEX($AQ$11:$AQ$4010,MATCH(798,$AY$11:$AY$4010,0)),""))</f>
        <v/>
      </c>
      <c r="AB808" s="29" t="str">
        <f>IF(X808="","",IFERROR(INDEX($AR$11:$AR$4010,MATCH(798,$AY$11:$AY$4010,0)),""))</f>
        <v/>
      </c>
      <c r="AD808" s="30" t="str">
        <f>IF(AE808="","",IFERROR(INDEX($AL$11:$AL$4010,MATCH(798,$AZ$11:$AZ$4010,0)),""))</f>
        <v/>
      </c>
      <c r="AE808" s="26" t="str">
        <f>IFERROR(INDEX($AM$11:$AM$4010,MATCH(798,$AZ$11:$AZ$4010,0)),"")</f>
        <v/>
      </c>
      <c r="AF808" s="25" t="str">
        <f>IF(AE808="","",IFERROR(INDEX($AN$11:$AN$4010,MATCH(798,$AZ$11:$AZ$4010,0)),""))</f>
        <v/>
      </c>
      <c r="AG808" s="25" t="str">
        <f>IF(AE808="","",IFERROR(INDEX($AO$11:$AO$4010,MATCH(798,$AZ$11:$AZ$4010,0)),""))</f>
        <v/>
      </c>
      <c r="AH808" s="24" t="str">
        <f>IF(AE808="","",IFERROR(INDEX($AQ$11:$AQ$4010,MATCH(798,$AZ$11:$AZ$4010,0)),""))</f>
        <v/>
      </c>
      <c r="AI808" s="29" t="str">
        <f>IF(AE808="","",IFERROR(INDEX($AR$11:$AR$4010,MATCH(798,$AZ$11:$AZ$4010,0)),""))</f>
        <v/>
      </c>
      <c r="AJ808" s="29" t="str">
        <f>IF(AE808="","",IFERROR(INDEX($AT$11:$AT$4010,MATCH(798,$AZ$11:$AZ$4010,0)),""))</f>
        <v/>
      </c>
      <c r="AL808" s="31"/>
      <c r="AM808" s="26"/>
      <c r="AN808" s="32"/>
      <c r="AO808" s="32"/>
      <c r="AP808" s="24"/>
      <c r="AQ808" s="24"/>
      <c r="AR808" s="33"/>
      <c r="AS808" s="34"/>
      <c r="AT808" s="33"/>
      <c r="AV808" s="21">
        <f>IF(AND($AL808&lt;&gt;"",COUNTIF($AL$11:$AL808,$AL808)=1),1,0)</f>
        <v>0</v>
      </c>
      <c r="AW808" s="21">
        <f t="shared" si="111"/>
        <v>0</v>
      </c>
      <c r="AX808" s="21" t="str">
        <f t="shared" si="110"/>
        <v/>
      </c>
      <c r="AY808" s="21" t="str">
        <f>IF(AND($AM808&lt;&gt;"",$AS808&lt;&gt;"✓"),SUMPRODUCT(($AM$11:$AM808&lt;&gt;"")*($AS$11:$AS808&lt;&gt;"✓")),"")</f>
        <v/>
      </c>
      <c r="AZ808" s="21" t="str">
        <f>IF(AND($AM808&lt;&gt;"",$AS808="✓"),SUMPRODUCT(($AM$11:$AM808&lt;&gt;"")*($AS$11:$AS808="✓")),"")</f>
        <v/>
      </c>
      <c r="BA808" s="21" t="str">
        <f>IF($AL808="","",$AL808&amp;"|"&amp;COUNTIF($AL$11:$AL808,$AL808))</f>
        <v/>
      </c>
    </row>
    <row r="809" spans="23:53" ht="15" customHeight="1" x14ac:dyDescent="0.25">
      <c r="W809" s="14" t="str">
        <f>IF(X809="","",IFERROR(INDEX($AL$11:$AL$4010,MATCH(799,$AY$11:$AY$4010,0)),""))</f>
        <v/>
      </c>
      <c r="X809" s="12" t="str">
        <f>IFERROR(INDEX($AM$11:$AM$4010,MATCH(799,$AY$11:$AY$4010,0)),"")</f>
        <v/>
      </c>
      <c r="Y809" s="11" t="str">
        <f>IF(X809="","",IFERROR(INDEX($AN$11:$AN$4010,MATCH(799,$AY$11:$AY$4010,0)),""))</f>
        <v/>
      </c>
      <c r="Z809" s="11" t="str">
        <f>IF(X809="","",IFERROR(INDEX($AO$11:$AO$4010,MATCH(799,$AY$11:$AY$4010,0)),""))</f>
        <v/>
      </c>
      <c r="AA809" s="10" t="str">
        <f>IF(X809="","",IFERROR(INDEX($AQ$11:$AQ$4010,MATCH(799,$AY$11:$AY$4010,0)),""))</f>
        <v/>
      </c>
      <c r="AB809" s="15" t="str">
        <f>IF(X809="","",IFERROR(INDEX($AR$11:$AR$4010,MATCH(799,$AY$11:$AY$4010,0)),""))</f>
        <v/>
      </c>
      <c r="AD809" s="16" t="str">
        <f>IF(AE809="","",IFERROR(INDEX($AL$11:$AL$4010,MATCH(799,$AZ$11:$AZ$4010,0)),""))</f>
        <v/>
      </c>
      <c r="AE809" s="12" t="str">
        <f>IFERROR(INDEX($AM$11:$AM$4010,MATCH(799,$AZ$11:$AZ$4010,0)),"")</f>
        <v/>
      </c>
      <c r="AF809" s="11" t="str">
        <f>IF(AE809="","",IFERROR(INDEX($AN$11:$AN$4010,MATCH(799,$AZ$11:$AZ$4010,0)),""))</f>
        <v/>
      </c>
      <c r="AG809" s="11" t="str">
        <f>IF(AE809="","",IFERROR(INDEX($AO$11:$AO$4010,MATCH(799,$AZ$11:$AZ$4010,0)),""))</f>
        <v/>
      </c>
      <c r="AH809" s="10" t="str">
        <f>IF(AE809="","",IFERROR(INDEX($AQ$11:$AQ$4010,MATCH(799,$AZ$11:$AZ$4010,0)),""))</f>
        <v/>
      </c>
      <c r="AI809" s="15" t="str">
        <f>IF(AE809="","",IFERROR(INDEX($AR$11:$AR$4010,MATCH(799,$AZ$11:$AZ$4010,0)),""))</f>
        <v/>
      </c>
      <c r="AJ809" s="15" t="str">
        <f>IF(AE809="","",IFERROR(INDEX($AT$11:$AT$4010,MATCH(799,$AZ$11:$AZ$4010,0)),""))</f>
        <v/>
      </c>
      <c r="AL809" s="17"/>
      <c r="AM809" s="12"/>
      <c r="AN809" s="18"/>
      <c r="AO809" s="18"/>
      <c r="AP809" s="10"/>
      <c r="AQ809" s="10"/>
      <c r="AR809" s="19"/>
      <c r="AS809" s="20"/>
      <c r="AT809" s="19"/>
      <c r="AV809" s="21">
        <f>IF(AND($AL809&lt;&gt;"",COUNTIF($AL$11:$AL809,$AL809)=1),1,0)</f>
        <v>0</v>
      </c>
      <c r="AW809" s="21">
        <f t="shared" si="111"/>
        <v>0</v>
      </c>
      <c r="AX809" s="21" t="str">
        <f t="shared" si="110"/>
        <v/>
      </c>
      <c r="AY809" s="21" t="str">
        <f>IF(AND($AM809&lt;&gt;"",$AS809&lt;&gt;"✓"),SUMPRODUCT(($AM$11:$AM809&lt;&gt;"")*($AS$11:$AS809&lt;&gt;"✓")),"")</f>
        <v/>
      </c>
      <c r="AZ809" s="21" t="str">
        <f>IF(AND($AM809&lt;&gt;"",$AS809="✓"),SUMPRODUCT(($AM$11:$AM809&lt;&gt;"")*($AS$11:$AS809="✓")),"")</f>
        <v/>
      </c>
      <c r="BA809" s="21" t="str">
        <f>IF($AL809="","",$AL809&amp;"|"&amp;COUNTIF($AL$11:$AL809,$AL809))</f>
        <v/>
      </c>
    </row>
    <row r="810" spans="23:53" ht="15" customHeight="1" x14ac:dyDescent="0.25">
      <c r="W810" s="28" t="str">
        <f>IF(X810="","",IFERROR(INDEX($AL$11:$AL$4010,MATCH(800,$AY$11:$AY$4010,0)),""))</f>
        <v/>
      </c>
      <c r="X810" s="26" t="str">
        <f>IFERROR(INDEX($AM$11:$AM$4010,MATCH(800,$AY$11:$AY$4010,0)),"")</f>
        <v/>
      </c>
      <c r="Y810" s="25" t="str">
        <f>IF(X810="","",IFERROR(INDEX($AN$11:$AN$4010,MATCH(800,$AY$11:$AY$4010,0)),""))</f>
        <v/>
      </c>
      <c r="Z810" s="25" t="str">
        <f>IF(X810="","",IFERROR(INDEX($AO$11:$AO$4010,MATCH(800,$AY$11:$AY$4010,0)),""))</f>
        <v/>
      </c>
      <c r="AA810" s="24" t="str">
        <f>IF(X810="","",IFERROR(INDEX($AQ$11:$AQ$4010,MATCH(800,$AY$11:$AY$4010,0)),""))</f>
        <v/>
      </c>
      <c r="AB810" s="29" t="str">
        <f>IF(X810="","",IFERROR(INDEX($AR$11:$AR$4010,MATCH(800,$AY$11:$AY$4010,0)),""))</f>
        <v/>
      </c>
      <c r="AD810" s="30" t="str">
        <f>IF(AE810="","",IFERROR(INDEX($AL$11:$AL$4010,MATCH(800,$AZ$11:$AZ$4010,0)),""))</f>
        <v/>
      </c>
      <c r="AE810" s="26" t="str">
        <f>IFERROR(INDEX($AM$11:$AM$4010,MATCH(800,$AZ$11:$AZ$4010,0)),"")</f>
        <v/>
      </c>
      <c r="AF810" s="25" t="str">
        <f>IF(AE810="","",IFERROR(INDEX($AN$11:$AN$4010,MATCH(800,$AZ$11:$AZ$4010,0)),""))</f>
        <v/>
      </c>
      <c r="AG810" s="25" t="str">
        <f>IF(AE810="","",IFERROR(INDEX($AO$11:$AO$4010,MATCH(800,$AZ$11:$AZ$4010,0)),""))</f>
        <v/>
      </c>
      <c r="AH810" s="24" t="str">
        <f>IF(AE810="","",IFERROR(INDEX($AQ$11:$AQ$4010,MATCH(800,$AZ$11:$AZ$4010,0)),""))</f>
        <v/>
      </c>
      <c r="AI810" s="29" t="str">
        <f>IF(AE810="","",IFERROR(INDEX($AR$11:$AR$4010,MATCH(800,$AZ$11:$AZ$4010,0)),""))</f>
        <v/>
      </c>
      <c r="AJ810" s="29" t="str">
        <f>IF(AE810="","",IFERROR(INDEX($AT$11:$AT$4010,MATCH(800,$AZ$11:$AZ$4010,0)),""))</f>
        <v/>
      </c>
      <c r="AL810" s="31"/>
      <c r="AM810" s="26"/>
      <c r="AN810" s="32"/>
      <c r="AO810" s="32"/>
      <c r="AP810" s="24"/>
      <c r="AQ810" s="24"/>
      <c r="AR810" s="33"/>
      <c r="AS810" s="34"/>
      <c r="AT810" s="33"/>
      <c r="AV810" s="21">
        <f>IF(AND($AL810&lt;&gt;"",COUNTIF($AL$11:$AL810,$AL810)=1),1,0)</f>
        <v>0</v>
      </c>
      <c r="AW810" s="21">
        <f t="shared" si="111"/>
        <v>0</v>
      </c>
      <c r="AX810" s="21" t="str">
        <f t="shared" si="110"/>
        <v/>
      </c>
      <c r="AY810" s="21" t="str">
        <f>IF(AND($AM810&lt;&gt;"",$AS810&lt;&gt;"✓"),SUMPRODUCT(($AM$11:$AM810&lt;&gt;"")*($AS$11:$AS810&lt;&gt;"✓")),"")</f>
        <v/>
      </c>
      <c r="AZ810" s="21" t="str">
        <f>IF(AND($AM810&lt;&gt;"",$AS810="✓"),SUMPRODUCT(($AM$11:$AM810&lt;&gt;"")*($AS$11:$AS810="✓")),"")</f>
        <v/>
      </c>
      <c r="BA810" s="21" t="str">
        <f>IF($AL810="","",$AL810&amp;"|"&amp;COUNTIF($AL$11:$AL810,$AL810))</f>
        <v/>
      </c>
    </row>
    <row r="811" spans="23:53" ht="15" customHeight="1" x14ac:dyDescent="0.25">
      <c r="W811" s="14" t="str">
        <f>IF(X811="","",IFERROR(INDEX($AL$11:$AL$4010,MATCH(801,$AY$11:$AY$4010,0)),""))</f>
        <v/>
      </c>
      <c r="X811" s="12" t="str">
        <f>IFERROR(INDEX($AM$11:$AM$4010,MATCH(801,$AY$11:$AY$4010,0)),"")</f>
        <v/>
      </c>
      <c r="Y811" s="11" t="str">
        <f>IF(X811="","",IFERROR(INDEX($AN$11:$AN$4010,MATCH(801,$AY$11:$AY$4010,0)),""))</f>
        <v/>
      </c>
      <c r="Z811" s="11" t="str">
        <f>IF(X811="","",IFERROR(INDEX($AO$11:$AO$4010,MATCH(801,$AY$11:$AY$4010,0)),""))</f>
        <v/>
      </c>
      <c r="AA811" s="10" t="str">
        <f>IF(X811="","",IFERROR(INDEX($AQ$11:$AQ$4010,MATCH(801,$AY$11:$AY$4010,0)),""))</f>
        <v/>
      </c>
      <c r="AB811" s="15" t="str">
        <f>IF(X811="","",IFERROR(INDEX($AR$11:$AR$4010,MATCH(801,$AY$11:$AY$4010,0)),""))</f>
        <v/>
      </c>
      <c r="AD811" s="16" t="str">
        <f>IF(AE811="","",IFERROR(INDEX($AL$11:$AL$4010,MATCH(801,$AZ$11:$AZ$4010,0)),""))</f>
        <v/>
      </c>
      <c r="AE811" s="12" t="str">
        <f>IFERROR(INDEX($AM$11:$AM$4010,MATCH(801,$AZ$11:$AZ$4010,0)),"")</f>
        <v/>
      </c>
      <c r="AF811" s="11" t="str">
        <f>IF(AE811="","",IFERROR(INDEX($AN$11:$AN$4010,MATCH(801,$AZ$11:$AZ$4010,0)),""))</f>
        <v/>
      </c>
      <c r="AG811" s="11" t="str">
        <f>IF(AE811="","",IFERROR(INDEX($AO$11:$AO$4010,MATCH(801,$AZ$11:$AZ$4010,0)),""))</f>
        <v/>
      </c>
      <c r="AH811" s="10" t="str">
        <f>IF(AE811="","",IFERROR(INDEX($AQ$11:$AQ$4010,MATCH(801,$AZ$11:$AZ$4010,0)),""))</f>
        <v/>
      </c>
      <c r="AI811" s="15" t="str">
        <f>IF(AE811="","",IFERROR(INDEX($AR$11:$AR$4010,MATCH(801,$AZ$11:$AZ$4010,0)),""))</f>
        <v/>
      </c>
      <c r="AJ811" s="15" t="str">
        <f>IF(AE811="","",IFERROR(INDEX($AT$11:$AT$4010,MATCH(801,$AZ$11:$AZ$4010,0)),""))</f>
        <v/>
      </c>
      <c r="AL811" s="17"/>
      <c r="AM811" s="12"/>
      <c r="AN811" s="18"/>
      <c r="AO811" s="18"/>
      <c r="AP811" s="10"/>
      <c r="AQ811" s="10"/>
      <c r="AR811" s="19"/>
      <c r="AS811" s="20"/>
      <c r="AT811" s="19"/>
      <c r="AV811" s="21">
        <f>IF(AND($AL811&lt;&gt;"",COUNTIF($AL$11:$AL811,$AL811)=1),1,0)</f>
        <v>0</v>
      </c>
      <c r="AW811" s="21">
        <f t="shared" si="111"/>
        <v>0</v>
      </c>
      <c r="AX811" s="21" t="str">
        <f t="shared" si="110"/>
        <v/>
      </c>
      <c r="AY811" s="21" t="str">
        <f>IF(AND($AM811&lt;&gt;"",$AS811&lt;&gt;"✓"),SUMPRODUCT(($AM$11:$AM811&lt;&gt;"")*($AS$11:$AS811&lt;&gt;"✓")),"")</f>
        <v/>
      </c>
      <c r="AZ811" s="21" t="str">
        <f>IF(AND($AM811&lt;&gt;"",$AS811="✓"),SUMPRODUCT(($AM$11:$AM811&lt;&gt;"")*($AS$11:$AS811="✓")),"")</f>
        <v/>
      </c>
      <c r="BA811" s="21" t="str">
        <f>IF($AL811="","",$AL811&amp;"|"&amp;COUNTIF($AL$11:$AL811,$AL811))</f>
        <v/>
      </c>
    </row>
    <row r="812" spans="23:53" ht="15" customHeight="1" x14ac:dyDescent="0.25">
      <c r="W812" s="28" t="str">
        <f>IF(X812="","",IFERROR(INDEX($AL$11:$AL$4010,MATCH(802,$AY$11:$AY$4010,0)),""))</f>
        <v/>
      </c>
      <c r="X812" s="26" t="str">
        <f>IFERROR(INDEX($AM$11:$AM$4010,MATCH(802,$AY$11:$AY$4010,0)),"")</f>
        <v/>
      </c>
      <c r="Y812" s="25" t="str">
        <f>IF(X812="","",IFERROR(INDEX($AN$11:$AN$4010,MATCH(802,$AY$11:$AY$4010,0)),""))</f>
        <v/>
      </c>
      <c r="Z812" s="25" t="str">
        <f>IF(X812="","",IFERROR(INDEX($AO$11:$AO$4010,MATCH(802,$AY$11:$AY$4010,0)),""))</f>
        <v/>
      </c>
      <c r="AA812" s="24" t="str">
        <f>IF(X812="","",IFERROR(INDEX($AQ$11:$AQ$4010,MATCH(802,$AY$11:$AY$4010,0)),""))</f>
        <v/>
      </c>
      <c r="AB812" s="29" t="str">
        <f>IF(X812="","",IFERROR(INDEX($AR$11:$AR$4010,MATCH(802,$AY$11:$AY$4010,0)),""))</f>
        <v/>
      </c>
      <c r="AD812" s="30" t="str">
        <f>IF(AE812="","",IFERROR(INDEX($AL$11:$AL$4010,MATCH(802,$AZ$11:$AZ$4010,0)),""))</f>
        <v/>
      </c>
      <c r="AE812" s="26" t="str">
        <f>IFERROR(INDEX($AM$11:$AM$4010,MATCH(802,$AZ$11:$AZ$4010,0)),"")</f>
        <v/>
      </c>
      <c r="AF812" s="25" t="str">
        <f>IF(AE812="","",IFERROR(INDEX($AN$11:$AN$4010,MATCH(802,$AZ$11:$AZ$4010,0)),""))</f>
        <v/>
      </c>
      <c r="AG812" s="25" t="str">
        <f>IF(AE812="","",IFERROR(INDEX($AO$11:$AO$4010,MATCH(802,$AZ$11:$AZ$4010,0)),""))</f>
        <v/>
      </c>
      <c r="AH812" s="24" t="str">
        <f>IF(AE812="","",IFERROR(INDEX($AQ$11:$AQ$4010,MATCH(802,$AZ$11:$AZ$4010,0)),""))</f>
        <v/>
      </c>
      <c r="AI812" s="29" t="str">
        <f>IF(AE812="","",IFERROR(INDEX($AR$11:$AR$4010,MATCH(802,$AZ$11:$AZ$4010,0)),""))</f>
        <v/>
      </c>
      <c r="AJ812" s="29" t="str">
        <f>IF(AE812="","",IFERROR(INDEX($AT$11:$AT$4010,MATCH(802,$AZ$11:$AZ$4010,0)),""))</f>
        <v/>
      </c>
      <c r="AL812" s="31"/>
      <c r="AM812" s="26"/>
      <c r="AN812" s="32"/>
      <c r="AO812" s="32"/>
      <c r="AP812" s="24"/>
      <c r="AQ812" s="24"/>
      <c r="AR812" s="33"/>
      <c r="AS812" s="34"/>
      <c r="AT812" s="33"/>
      <c r="AV812" s="21">
        <f>IF(AND($AL812&lt;&gt;"",COUNTIF($AL$11:$AL812,$AL812)=1),1,0)</f>
        <v>0</v>
      </c>
      <c r="AW812" s="21">
        <f t="shared" si="111"/>
        <v>0</v>
      </c>
      <c r="AX812" s="21" t="str">
        <f t="shared" si="110"/>
        <v/>
      </c>
      <c r="AY812" s="21" t="str">
        <f>IF(AND($AM812&lt;&gt;"",$AS812&lt;&gt;"✓"),SUMPRODUCT(($AM$11:$AM812&lt;&gt;"")*($AS$11:$AS812&lt;&gt;"✓")),"")</f>
        <v/>
      </c>
      <c r="AZ812" s="21" t="str">
        <f>IF(AND($AM812&lt;&gt;"",$AS812="✓"),SUMPRODUCT(($AM$11:$AM812&lt;&gt;"")*($AS$11:$AS812="✓")),"")</f>
        <v/>
      </c>
      <c r="BA812" s="21" t="str">
        <f>IF($AL812="","",$AL812&amp;"|"&amp;COUNTIF($AL$11:$AL812,$AL812))</f>
        <v/>
      </c>
    </row>
    <row r="813" spans="23:53" ht="15" customHeight="1" x14ac:dyDescent="0.25">
      <c r="W813" s="14" t="str">
        <f>IF(X813="","",IFERROR(INDEX($AL$11:$AL$4010,MATCH(803,$AY$11:$AY$4010,0)),""))</f>
        <v/>
      </c>
      <c r="X813" s="12" t="str">
        <f>IFERROR(INDEX($AM$11:$AM$4010,MATCH(803,$AY$11:$AY$4010,0)),"")</f>
        <v/>
      </c>
      <c r="Y813" s="11" t="str">
        <f>IF(X813="","",IFERROR(INDEX($AN$11:$AN$4010,MATCH(803,$AY$11:$AY$4010,0)),""))</f>
        <v/>
      </c>
      <c r="Z813" s="11" t="str">
        <f>IF(X813="","",IFERROR(INDEX($AO$11:$AO$4010,MATCH(803,$AY$11:$AY$4010,0)),""))</f>
        <v/>
      </c>
      <c r="AA813" s="10" t="str">
        <f>IF(X813="","",IFERROR(INDEX($AQ$11:$AQ$4010,MATCH(803,$AY$11:$AY$4010,0)),""))</f>
        <v/>
      </c>
      <c r="AB813" s="15" t="str">
        <f>IF(X813="","",IFERROR(INDEX($AR$11:$AR$4010,MATCH(803,$AY$11:$AY$4010,0)),""))</f>
        <v/>
      </c>
      <c r="AD813" s="16" t="str">
        <f>IF(AE813="","",IFERROR(INDEX($AL$11:$AL$4010,MATCH(803,$AZ$11:$AZ$4010,0)),""))</f>
        <v/>
      </c>
      <c r="AE813" s="12" t="str">
        <f>IFERROR(INDEX($AM$11:$AM$4010,MATCH(803,$AZ$11:$AZ$4010,0)),"")</f>
        <v/>
      </c>
      <c r="AF813" s="11" t="str">
        <f>IF(AE813="","",IFERROR(INDEX($AN$11:$AN$4010,MATCH(803,$AZ$11:$AZ$4010,0)),""))</f>
        <v/>
      </c>
      <c r="AG813" s="11" t="str">
        <f>IF(AE813="","",IFERROR(INDEX($AO$11:$AO$4010,MATCH(803,$AZ$11:$AZ$4010,0)),""))</f>
        <v/>
      </c>
      <c r="AH813" s="10" t="str">
        <f>IF(AE813="","",IFERROR(INDEX($AQ$11:$AQ$4010,MATCH(803,$AZ$11:$AZ$4010,0)),""))</f>
        <v/>
      </c>
      <c r="AI813" s="15" t="str">
        <f>IF(AE813="","",IFERROR(INDEX($AR$11:$AR$4010,MATCH(803,$AZ$11:$AZ$4010,0)),""))</f>
        <v/>
      </c>
      <c r="AJ813" s="15" t="str">
        <f>IF(AE813="","",IFERROR(INDEX($AT$11:$AT$4010,MATCH(803,$AZ$11:$AZ$4010,0)),""))</f>
        <v/>
      </c>
      <c r="AL813" s="17"/>
      <c r="AM813" s="12"/>
      <c r="AN813" s="18"/>
      <c r="AO813" s="18"/>
      <c r="AP813" s="10"/>
      <c r="AQ813" s="10"/>
      <c r="AR813" s="19"/>
      <c r="AS813" s="20"/>
      <c r="AT813" s="19"/>
      <c r="AV813" s="21">
        <f>IF(AND($AL813&lt;&gt;"",COUNTIF($AL$11:$AL813,$AL813)=1),1,0)</f>
        <v>0</v>
      </c>
      <c r="AW813" s="21">
        <f t="shared" si="111"/>
        <v>0</v>
      </c>
      <c r="AX813" s="21" t="str">
        <f t="shared" si="110"/>
        <v/>
      </c>
      <c r="AY813" s="21" t="str">
        <f>IF(AND($AM813&lt;&gt;"",$AS813&lt;&gt;"✓"),SUMPRODUCT(($AM$11:$AM813&lt;&gt;"")*($AS$11:$AS813&lt;&gt;"✓")),"")</f>
        <v/>
      </c>
      <c r="AZ813" s="21" t="str">
        <f>IF(AND($AM813&lt;&gt;"",$AS813="✓"),SUMPRODUCT(($AM$11:$AM813&lt;&gt;"")*($AS$11:$AS813="✓")),"")</f>
        <v/>
      </c>
      <c r="BA813" s="21" t="str">
        <f>IF($AL813="","",$AL813&amp;"|"&amp;COUNTIF($AL$11:$AL813,$AL813))</f>
        <v/>
      </c>
    </row>
    <row r="814" spans="23:53" ht="15" customHeight="1" x14ac:dyDescent="0.25">
      <c r="W814" s="28" t="str">
        <f>IF(X814="","",IFERROR(INDEX($AL$11:$AL$4010,MATCH(804,$AY$11:$AY$4010,0)),""))</f>
        <v/>
      </c>
      <c r="X814" s="26" t="str">
        <f>IFERROR(INDEX($AM$11:$AM$4010,MATCH(804,$AY$11:$AY$4010,0)),"")</f>
        <v/>
      </c>
      <c r="Y814" s="25" t="str">
        <f>IF(X814="","",IFERROR(INDEX($AN$11:$AN$4010,MATCH(804,$AY$11:$AY$4010,0)),""))</f>
        <v/>
      </c>
      <c r="Z814" s="25" t="str">
        <f>IF(X814="","",IFERROR(INDEX($AO$11:$AO$4010,MATCH(804,$AY$11:$AY$4010,0)),""))</f>
        <v/>
      </c>
      <c r="AA814" s="24" t="str">
        <f>IF(X814="","",IFERROR(INDEX($AQ$11:$AQ$4010,MATCH(804,$AY$11:$AY$4010,0)),""))</f>
        <v/>
      </c>
      <c r="AB814" s="29" t="str">
        <f>IF(X814="","",IFERROR(INDEX($AR$11:$AR$4010,MATCH(804,$AY$11:$AY$4010,0)),""))</f>
        <v/>
      </c>
      <c r="AD814" s="30" t="str">
        <f>IF(AE814="","",IFERROR(INDEX($AL$11:$AL$4010,MATCH(804,$AZ$11:$AZ$4010,0)),""))</f>
        <v/>
      </c>
      <c r="AE814" s="26" t="str">
        <f>IFERROR(INDEX($AM$11:$AM$4010,MATCH(804,$AZ$11:$AZ$4010,0)),"")</f>
        <v/>
      </c>
      <c r="AF814" s="25" t="str">
        <f>IF(AE814="","",IFERROR(INDEX($AN$11:$AN$4010,MATCH(804,$AZ$11:$AZ$4010,0)),""))</f>
        <v/>
      </c>
      <c r="AG814" s="25" t="str">
        <f>IF(AE814="","",IFERROR(INDEX($AO$11:$AO$4010,MATCH(804,$AZ$11:$AZ$4010,0)),""))</f>
        <v/>
      </c>
      <c r="AH814" s="24" t="str">
        <f>IF(AE814="","",IFERROR(INDEX($AQ$11:$AQ$4010,MATCH(804,$AZ$11:$AZ$4010,0)),""))</f>
        <v/>
      </c>
      <c r="AI814" s="29" t="str">
        <f>IF(AE814="","",IFERROR(INDEX($AR$11:$AR$4010,MATCH(804,$AZ$11:$AZ$4010,0)),""))</f>
        <v/>
      </c>
      <c r="AJ814" s="29" t="str">
        <f>IF(AE814="","",IFERROR(INDEX($AT$11:$AT$4010,MATCH(804,$AZ$11:$AZ$4010,0)),""))</f>
        <v/>
      </c>
      <c r="AL814" s="31"/>
      <c r="AM814" s="26"/>
      <c r="AN814" s="32"/>
      <c r="AO814" s="32"/>
      <c r="AP814" s="24"/>
      <c r="AQ814" s="24"/>
      <c r="AR814" s="33"/>
      <c r="AS814" s="34"/>
      <c r="AT814" s="33"/>
      <c r="AV814" s="21">
        <f>IF(AND($AL814&lt;&gt;"",COUNTIF($AL$11:$AL814,$AL814)=1),1,0)</f>
        <v>0</v>
      </c>
      <c r="AW814" s="21">
        <f t="shared" si="111"/>
        <v>0</v>
      </c>
      <c r="AX814" s="21" t="str">
        <f t="shared" si="110"/>
        <v/>
      </c>
      <c r="AY814" s="21" t="str">
        <f>IF(AND($AM814&lt;&gt;"",$AS814&lt;&gt;"✓"),SUMPRODUCT(($AM$11:$AM814&lt;&gt;"")*($AS$11:$AS814&lt;&gt;"✓")),"")</f>
        <v/>
      </c>
      <c r="AZ814" s="21" t="str">
        <f>IF(AND($AM814&lt;&gt;"",$AS814="✓"),SUMPRODUCT(($AM$11:$AM814&lt;&gt;"")*($AS$11:$AS814="✓")),"")</f>
        <v/>
      </c>
      <c r="BA814" s="21" t="str">
        <f>IF($AL814="","",$AL814&amp;"|"&amp;COUNTIF($AL$11:$AL814,$AL814))</f>
        <v/>
      </c>
    </row>
    <row r="815" spans="23:53" ht="15" customHeight="1" x14ac:dyDescent="0.25">
      <c r="W815" s="14" t="str">
        <f>IF(X815="","",IFERROR(INDEX($AL$11:$AL$4010,MATCH(805,$AY$11:$AY$4010,0)),""))</f>
        <v/>
      </c>
      <c r="X815" s="12" t="str">
        <f>IFERROR(INDEX($AM$11:$AM$4010,MATCH(805,$AY$11:$AY$4010,0)),"")</f>
        <v/>
      </c>
      <c r="Y815" s="11" t="str">
        <f>IF(X815="","",IFERROR(INDEX($AN$11:$AN$4010,MATCH(805,$AY$11:$AY$4010,0)),""))</f>
        <v/>
      </c>
      <c r="Z815" s="11" t="str">
        <f>IF(X815="","",IFERROR(INDEX($AO$11:$AO$4010,MATCH(805,$AY$11:$AY$4010,0)),""))</f>
        <v/>
      </c>
      <c r="AA815" s="10" t="str">
        <f>IF(X815="","",IFERROR(INDEX($AQ$11:$AQ$4010,MATCH(805,$AY$11:$AY$4010,0)),""))</f>
        <v/>
      </c>
      <c r="AB815" s="15" t="str">
        <f>IF(X815="","",IFERROR(INDEX($AR$11:$AR$4010,MATCH(805,$AY$11:$AY$4010,0)),""))</f>
        <v/>
      </c>
      <c r="AD815" s="16" t="str">
        <f>IF(AE815="","",IFERROR(INDEX($AL$11:$AL$4010,MATCH(805,$AZ$11:$AZ$4010,0)),""))</f>
        <v/>
      </c>
      <c r="AE815" s="12" t="str">
        <f>IFERROR(INDEX($AM$11:$AM$4010,MATCH(805,$AZ$11:$AZ$4010,0)),"")</f>
        <v/>
      </c>
      <c r="AF815" s="11" t="str">
        <f>IF(AE815="","",IFERROR(INDEX($AN$11:$AN$4010,MATCH(805,$AZ$11:$AZ$4010,0)),""))</f>
        <v/>
      </c>
      <c r="AG815" s="11" t="str">
        <f>IF(AE815="","",IFERROR(INDEX($AO$11:$AO$4010,MATCH(805,$AZ$11:$AZ$4010,0)),""))</f>
        <v/>
      </c>
      <c r="AH815" s="10" t="str">
        <f>IF(AE815="","",IFERROR(INDEX($AQ$11:$AQ$4010,MATCH(805,$AZ$11:$AZ$4010,0)),""))</f>
        <v/>
      </c>
      <c r="AI815" s="15" t="str">
        <f>IF(AE815="","",IFERROR(INDEX($AR$11:$AR$4010,MATCH(805,$AZ$11:$AZ$4010,0)),""))</f>
        <v/>
      </c>
      <c r="AJ815" s="15" t="str">
        <f>IF(AE815="","",IFERROR(INDEX($AT$11:$AT$4010,MATCH(805,$AZ$11:$AZ$4010,0)),""))</f>
        <v/>
      </c>
      <c r="AL815" s="17"/>
      <c r="AM815" s="12"/>
      <c r="AN815" s="18"/>
      <c r="AO815" s="18"/>
      <c r="AP815" s="10"/>
      <c r="AQ815" s="10"/>
      <c r="AR815" s="19"/>
      <c r="AS815" s="20"/>
      <c r="AT815" s="19"/>
      <c r="AV815" s="21">
        <f>IF(AND($AL815&lt;&gt;"",COUNTIF($AL$11:$AL815,$AL815)=1),1,0)</f>
        <v>0</v>
      </c>
      <c r="AW815" s="21">
        <f t="shared" si="111"/>
        <v>0</v>
      </c>
      <c r="AX815" s="21" t="str">
        <f t="shared" si="110"/>
        <v/>
      </c>
      <c r="AY815" s="21" t="str">
        <f>IF(AND($AM815&lt;&gt;"",$AS815&lt;&gt;"✓"),SUMPRODUCT(($AM$11:$AM815&lt;&gt;"")*($AS$11:$AS815&lt;&gt;"✓")),"")</f>
        <v/>
      </c>
      <c r="AZ815" s="21" t="str">
        <f>IF(AND($AM815&lt;&gt;"",$AS815="✓"),SUMPRODUCT(($AM$11:$AM815&lt;&gt;"")*($AS$11:$AS815="✓")),"")</f>
        <v/>
      </c>
      <c r="BA815" s="21" t="str">
        <f>IF($AL815="","",$AL815&amp;"|"&amp;COUNTIF($AL$11:$AL815,$AL815))</f>
        <v/>
      </c>
    </row>
    <row r="816" spans="23:53" ht="15" customHeight="1" x14ac:dyDescent="0.25">
      <c r="W816" s="28" t="str">
        <f>IF(X816="","",IFERROR(INDEX($AL$11:$AL$4010,MATCH(806,$AY$11:$AY$4010,0)),""))</f>
        <v/>
      </c>
      <c r="X816" s="26" t="str">
        <f>IFERROR(INDEX($AM$11:$AM$4010,MATCH(806,$AY$11:$AY$4010,0)),"")</f>
        <v/>
      </c>
      <c r="Y816" s="25" t="str">
        <f>IF(X816="","",IFERROR(INDEX($AN$11:$AN$4010,MATCH(806,$AY$11:$AY$4010,0)),""))</f>
        <v/>
      </c>
      <c r="Z816" s="25" t="str">
        <f>IF(X816="","",IFERROR(INDEX($AO$11:$AO$4010,MATCH(806,$AY$11:$AY$4010,0)),""))</f>
        <v/>
      </c>
      <c r="AA816" s="24" t="str">
        <f>IF(X816="","",IFERROR(INDEX($AQ$11:$AQ$4010,MATCH(806,$AY$11:$AY$4010,0)),""))</f>
        <v/>
      </c>
      <c r="AB816" s="29" t="str">
        <f>IF(X816="","",IFERROR(INDEX($AR$11:$AR$4010,MATCH(806,$AY$11:$AY$4010,0)),""))</f>
        <v/>
      </c>
      <c r="AD816" s="30" t="str">
        <f>IF(AE816="","",IFERROR(INDEX($AL$11:$AL$4010,MATCH(806,$AZ$11:$AZ$4010,0)),""))</f>
        <v/>
      </c>
      <c r="AE816" s="26" t="str">
        <f>IFERROR(INDEX($AM$11:$AM$4010,MATCH(806,$AZ$11:$AZ$4010,0)),"")</f>
        <v/>
      </c>
      <c r="AF816" s="25" t="str">
        <f>IF(AE816="","",IFERROR(INDEX($AN$11:$AN$4010,MATCH(806,$AZ$11:$AZ$4010,0)),""))</f>
        <v/>
      </c>
      <c r="AG816" s="25" t="str">
        <f>IF(AE816="","",IFERROR(INDEX($AO$11:$AO$4010,MATCH(806,$AZ$11:$AZ$4010,0)),""))</f>
        <v/>
      </c>
      <c r="AH816" s="24" t="str">
        <f>IF(AE816="","",IFERROR(INDEX($AQ$11:$AQ$4010,MATCH(806,$AZ$11:$AZ$4010,0)),""))</f>
        <v/>
      </c>
      <c r="AI816" s="29" t="str">
        <f>IF(AE816="","",IFERROR(INDEX($AR$11:$AR$4010,MATCH(806,$AZ$11:$AZ$4010,0)),""))</f>
        <v/>
      </c>
      <c r="AJ816" s="29" t="str">
        <f>IF(AE816="","",IFERROR(INDEX($AT$11:$AT$4010,MATCH(806,$AZ$11:$AZ$4010,0)),""))</f>
        <v/>
      </c>
      <c r="AL816" s="31"/>
      <c r="AM816" s="26"/>
      <c r="AN816" s="32"/>
      <c r="AO816" s="32"/>
      <c r="AP816" s="24"/>
      <c r="AQ816" s="24"/>
      <c r="AR816" s="33"/>
      <c r="AS816" s="34"/>
      <c r="AT816" s="33"/>
      <c r="AV816" s="21">
        <f>IF(AND($AL816&lt;&gt;"",COUNTIF($AL$11:$AL816,$AL816)=1),1,0)</f>
        <v>0</v>
      </c>
      <c r="AW816" s="21">
        <f t="shared" si="111"/>
        <v>0</v>
      </c>
      <c r="AX816" s="21" t="str">
        <f t="shared" si="110"/>
        <v/>
      </c>
      <c r="AY816" s="21" t="str">
        <f>IF(AND($AM816&lt;&gt;"",$AS816&lt;&gt;"✓"),SUMPRODUCT(($AM$11:$AM816&lt;&gt;"")*($AS$11:$AS816&lt;&gt;"✓")),"")</f>
        <v/>
      </c>
      <c r="AZ816" s="21" t="str">
        <f>IF(AND($AM816&lt;&gt;"",$AS816="✓"),SUMPRODUCT(($AM$11:$AM816&lt;&gt;"")*($AS$11:$AS816="✓")),"")</f>
        <v/>
      </c>
      <c r="BA816" s="21" t="str">
        <f>IF($AL816="","",$AL816&amp;"|"&amp;COUNTIF($AL$11:$AL816,$AL816))</f>
        <v/>
      </c>
    </row>
    <row r="817" spans="23:53" ht="15" customHeight="1" x14ac:dyDescent="0.25">
      <c r="W817" s="14" t="str">
        <f>IF(X817="","",IFERROR(INDEX($AL$11:$AL$4010,MATCH(807,$AY$11:$AY$4010,0)),""))</f>
        <v/>
      </c>
      <c r="X817" s="12" t="str">
        <f>IFERROR(INDEX($AM$11:$AM$4010,MATCH(807,$AY$11:$AY$4010,0)),"")</f>
        <v/>
      </c>
      <c r="Y817" s="11" t="str">
        <f>IF(X817="","",IFERROR(INDEX($AN$11:$AN$4010,MATCH(807,$AY$11:$AY$4010,0)),""))</f>
        <v/>
      </c>
      <c r="Z817" s="11" t="str">
        <f>IF(X817="","",IFERROR(INDEX($AO$11:$AO$4010,MATCH(807,$AY$11:$AY$4010,0)),""))</f>
        <v/>
      </c>
      <c r="AA817" s="10" t="str">
        <f>IF(X817="","",IFERROR(INDEX($AQ$11:$AQ$4010,MATCH(807,$AY$11:$AY$4010,0)),""))</f>
        <v/>
      </c>
      <c r="AB817" s="15" t="str">
        <f>IF(X817="","",IFERROR(INDEX($AR$11:$AR$4010,MATCH(807,$AY$11:$AY$4010,0)),""))</f>
        <v/>
      </c>
      <c r="AD817" s="16" t="str">
        <f>IF(AE817="","",IFERROR(INDEX($AL$11:$AL$4010,MATCH(807,$AZ$11:$AZ$4010,0)),""))</f>
        <v/>
      </c>
      <c r="AE817" s="12" t="str">
        <f>IFERROR(INDEX($AM$11:$AM$4010,MATCH(807,$AZ$11:$AZ$4010,0)),"")</f>
        <v/>
      </c>
      <c r="AF817" s="11" t="str">
        <f>IF(AE817="","",IFERROR(INDEX($AN$11:$AN$4010,MATCH(807,$AZ$11:$AZ$4010,0)),""))</f>
        <v/>
      </c>
      <c r="AG817" s="11" t="str">
        <f>IF(AE817="","",IFERROR(INDEX($AO$11:$AO$4010,MATCH(807,$AZ$11:$AZ$4010,0)),""))</f>
        <v/>
      </c>
      <c r="AH817" s="10" t="str">
        <f>IF(AE817="","",IFERROR(INDEX($AQ$11:$AQ$4010,MATCH(807,$AZ$11:$AZ$4010,0)),""))</f>
        <v/>
      </c>
      <c r="AI817" s="15" t="str">
        <f>IF(AE817="","",IFERROR(INDEX($AR$11:$AR$4010,MATCH(807,$AZ$11:$AZ$4010,0)),""))</f>
        <v/>
      </c>
      <c r="AJ817" s="15" t="str">
        <f>IF(AE817="","",IFERROR(INDEX($AT$11:$AT$4010,MATCH(807,$AZ$11:$AZ$4010,0)),""))</f>
        <v/>
      </c>
      <c r="AL817" s="17"/>
      <c r="AM817" s="12"/>
      <c r="AN817" s="18"/>
      <c r="AO817" s="18"/>
      <c r="AP817" s="10"/>
      <c r="AQ817" s="10"/>
      <c r="AR817" s="19"/>
      <c r="AS817" s="20"/>
      <c r="AT817" s="19"/>
      <c r="AV817" s="21">
        <f>IF(AND($AL817&lt;&gt;"",COUNTIF($AL$11:$AL817,$AL817)=1),1,0)</f>
        <v>0</v>
      </c>
      <c r="AW817" s="21">
        <f t="shared" si="111"/>
        <v>0</v>
      </c>
      <c r="AX817" s="21" t="str">
        <f t="shared" si="110"/>
        <v/>
      </c>
      <c r="AY817" s="21" t="str">
        <f>IF(AND($AM817&lt;&gt;"",$AS817&lt;&gt;"✓"),SUMPRODUCT(($AM$11:$AM817&lt;&gt;"")*($AS$11:$AS817&lt;&gt;"✓")),"")</f>
        <v/>
      </c>
      <c r="AZ817" s="21" t="str">
        <f>IF(AND($AM817&lt;&gt;"",$AS817="✓"),SUMPRODUCT(($AM$11:$AM817&lt;&gt;"")*($AS$11:$AS817="✓")),"")</f>
        <v/>
      </c>
      <c r="BA817" s="21" t="str">
        <f>IF($AL817="","",$AL817&amp;"|"&amp;COUNTIF($AL$11:$AL817,$AL817))</f>
        <v/>
      </c>
    </row>
    <row r="818" spans="23:53" ht="15" customHeight="1" x14ac:dyDescent="0.25">
      <c r="W818" s="28" t="str">
        <f>IF(X818="","",IFERROR(INDEX($AL$11:$AL$4010,MATCH(808,$AY$11:$AY$4010,0)),""))</f>
        <v/>
      </c>
      <c r="X818" s="26" t="str">
        <f>IFERROR(INDEX($AM$11:$AM$4010,MATCH(808,$AY$11:$AY$4010,0)),"")</f>
        <v/>
      </c>
      <c r="Y818" s="25" t="str">
        <f>IF(X818="","",IFERROR(INDEX($AN$11:$AN$4010,MATCH(808,$AY$11:$AY$4010,0)),""))</f>
        <v/>
      </c>
      <c r="Z818" s="25" t="str">
        <f>IF(X818="","",IFERROR(INDEX($AO$11:$AO$4010,MATCH(808,$AY$11:$AY$4010,0)),""))</f>
        <v/>
      </c>
      <c r="AA818" s="24" t="str">
        <f>IF(X818="","",IFERROR(INDEX($AQ$11:$AQ$4010,MATCH(808,$AY$11:$AY$4010,0)),""))</f>
        <v/>
      </c>
      <c r="AB818" s="29" t="str">
        <f>IF(X818="","",IFERROR(INDEX($AR$11:$AR$4010,MATCH(808,$AY$11:$AY$4010,0)),""))</f>
        <v/>
      </c>
      <c r="AD818" s="30" t="str">
        <f>IF(AE818="","",IFERROR(INDEX($AL$11:$AL$4010,MATCH(808,$AZ$11:$AZ$4010,0)),""))</f>
        <v/>
      </c>
      <c r="AE818" s="26" t="str">
        <f>IFERROR(INDEX($AM$11:$AM$4010,MATCH(808,$AZ$11:$AZ$4010,0)),"")</f>
        <v/>
      </c>
      <c r="AF818" s="25" t="str">
        <f>IF(AE818="","",IFERROR(INDEX($AN$11:$AN$4010,MATCH(808,$AZ$11:$AZ$4010,0)),""))</f>
        <v/>
      </c>
      <c r="AG818" s="25" t="str">
        <f>IF(AE818="","",IFERROR(INDEX($AO$11:$AO$4010,MATCH(808,$AZ$11:$AZ$4010,0)),""))</f>
        <v/>
      </c>
      <c r="AH818" s="24" t="str">
        <f>IF(AE818="","",IFERROR(INDEX($AQ$11:$AQ$4010,MATCH(808,$AZ$11:$AZ$4010,0)),""))</f>
        <v/>
      </c>
      <c r="AI818" s="29" t="str">
        <f>IF(AE818="","",IFERROR(INDEX($AR$11:$AR$4010,MATCH(808,$AZ$11:$AZ$4010,0)),""))</f>
        <v/>
      </c>
      <c r="AJ818" s="29" t="str">
        <f>IF(AE818="","",IFERROR(INDEX($AT$11:$AT$4010,MATCH(808,$AZ$11:$AZ$4010,0)),""))</f>
        <v/>
      </c>
      <c r="AL818" s="31"/>
      <c r="AM818" s="26"/>
      <c r="AN818" s="32"/>
      <c r="AO818" s="32"/>
      <c r="AP818" s="24"/>
      <c r="AQ818" s="24"/>
      <c r="AR818" s="33"/>
      <c r="AS818" s="34"/>
      <c r="AT818" s="33"/>
      <c r="AV818" s="21">
        <f>IF(AND($AL818&lt;&gt;"",COUNTIF($AL$11:$AL818,$AL818)=1),1,0)</f>
        <v>0</v>
      </c>
      <c r="AW818" s="21">
        <f t="shared" si="111"/>
        <v>0</v>
      </c>
      <c r="AX818" s="21" t="str">
        <f t="shared" si="110"/>
        <v/>
      </c>
      <c r="AY818" s="21" t="str">
        <f>IF(AND($AM818&lt;&gt;"",$AS818&lt;&gt;"✓"),SUMPRODUCT(($AM$11:$AM818&lt;&gt;"")*($AS$11:$AS818&lt;&gt;"✓")),"")</f>
        <v/>
      </c>
      <c r="AZ818" s="21" t="str">
        <f>IF(AND($AM818&lt;&gt;"",$AS818="✓"),SUMPRODUCT(($AM$11:$AM818&lt;&gt;"")*($AS$11:$AS818="✓")),"")</f>
        <v/>
      </c>
      <c r="BA818" s="21" t="str">
        <f>IF($AL818="","",$AL818&amp;"|"&amp;COUNTIF($AL$11:$AL818,$AL818))</f>
        <v/>
      </c>
    </row>
    <row r="819" spans="23:53" ht="15" customHeight="1" x14ac:dyDescent="0.25">
      <c r="W819" s="14" t="str">
        <f>IF(X819="","",IFERROR(INDEX($AL$11:$AL$4010,MATCH(809,$AY$11:$AY$4010,0)),""))</f>
        <v/>
      </c>
      <c r="X819" s="12" t="str">
        <f>IFERROR(INDEX($AM$11:$AM$4010,MATCH(809,$AY$11:$AY$4010,0)),"")</f>
        <v/>
      </c>
      <c r="Y819" s="11" t="str">
        <f>IF(X819="","",IFERROR(INDEX($AN$11:$AN$4010,MATCH(809,$AY$11:$AY$4010,0)),""))</f>
        <v/>
      </c>
      <c r="Z819" s="11" t="str">
        <f>IF(X819="","",IFERROR(INDEX($AO$11:$AO$4010,MATCH(809,$AY$11:$AY$4010,0)),""))</f>
        <v/>
      </c>
      <c r="AA819" s="10" t="str">
        <f>IF(X819="","",IFERROR(INDEX($AQ$11:$AQ$4010,MATCH(809,$AY$11:$AY$4010,0)),""))</f>
        <v/>
      </c>
      <c r="AB819" s="15" t="str">
        <f>IF(X819="","",IFERROR(INDEX($AR$11:$AR$4010,MATCH(809,$AY$11:$AY$4010,0)),""))</f>
        <v/>
      </c>
      <c r="AD819" s="16" t="str">
        <f>IF(AE819="","",IFERROR(INDEX($AL$11:$AL$4010,MATCH(809,$AZ$11:$AZ$4010,0)),""))</f>
        <v/>
      </c>
      <c r="AE819" s="12" t="str">
        <f>IFERROR(INDEX($AM$11:$AM$4010,MATCH(809,$AZ$11:$AZ$4010,0)),"")</f>
        <v/>
      </c>
      <c r="AF819" s="11" t="str">
        <f>IF(AE819="","",IFERROR(INDEX($AN$11:$AN$4010,MATCH(809,$AZ$11:$AZ$4010,0)),""))</f>
        <v/>
      </c>
      <c r="AG819" s="11" t="str">
        <f>IF(AE819="","",IFERROR(INDEX($AO$11:$AO$4010,MATCH(809,$AZ$11:$AZ$4010,0)),""))</f>
        <v/>
      </c>
      <c r="AH819" s="10" t="str">
        <f>IF(AE819="","",IFERROR(INDEX($AQ$11:$AQ$4010,MATCH(809,$AZ$11:$AZ$4010,0)),""))</f>
        <v/>
      </c>
      <c r="AI819" s="15" t="str">
        <f>IF(AE819="","",IFERROR(INDEX($AR$11:$AR$4010,MATCH(809,$AZ$11:$AZ$4010,0)),""))</f>
        <v/>
      </c>
      <c r="AJ819" s="15" t="str">
        <f>IF(AE819="","",IFERROR(INDEX($AT$11:$AT$4010,MATCH(809,$AZ$11:$AZ$4010,0)),""))</f>
        <v/>
      </c>
      <c r="AL819" s="17"/>
      <c r="AM819" s="12"/>
      <c r="AN819" s="18"/>
      <c r="AO819" s="18"/>
      <c r="AP819" s="10"/>
      <c r="AQ819" s="10"/>
      <c r="AR819" s="19"/>
      <c r="AS819" s="20"/>
      <c r="AT819" s="19"/>
      <c r="AV819" s="21">
        <f>IF(AND($AL819&lt;&gt;"",COUNTIF($AL$11:$AL819,$AL819)=1),1,0)</f>
        <v>0</v>
      </c>
      <c r="AW819" s="21">
        <f t="shared" si="111"/>
        <v>0</v>
      </c>
      <c r="AX819" s="21" t="str">
        <f t="shared" si="110"/>
        <v/>
      </c>
      <c r="AY819" s="21" t="str">
        <f>IF(AND($AM819&lt;&gt;"",$AS819&lt;&gt;"✓"),SUMPRODUCT(($AM$11:$AM819&lt;&gt;"")*($AS$11:$AS819&lt;&gt;"✓")),"")</f>
        <v/>
      </c>
      <c r="AZ819" s="21" t="str">
        <f>IF(AND($AM819&lt;&gt;"",$AS819="✓"),SUMPRODUCT(($AM$11:$AM819&lt;&gt;"")*($AS$11:$AS819="✓")),"")</f>
        <v/>
      </c>
      <c r="BA819" s="21" t="str">
        <f>IF($AL819="","",$AL819&amp;"|"&amp;COUNTIF($AL$11:$AL819,$AL819))</f>
        <v/>
      </c>
    </row>
    <row r="820" spans="23:53" ht="15" customHeight="1" x14ac:dyDescent="0.25">
      <c r="W820" s="28" t="str">
        <f>IF(X820="","",IFERROR(INDEX($AL$11:$AL$4010,MATCH(810,$AY$11:$AY$4010,0)),""))</f>
        <v/>
      </c>
      <c r="X820" s="26" t="str">
        <f>IFERROR(INDEX($AM$11:$AM$4010,MATCH(810,$AY$11:$AY$4010,0)),"")</f>
        <v/>
      </c>
      <c r="Y820" s="25" t="str">
        <f>IF(X820="","",IFERROR(INDEX($AN$11:$AN$4010,MATCH(810,$AY$11:$AY$4010,0)),""))</f>
        <v/>
      </c>
      <c r="Z820" s="25" t="str">
        <f>IF(X820="","",IFERROR(INDEX($AO$11:$AO$4010,MATCH(810,$AY$11:$AY$4010,0)),""))</f>
        <v/>
      </c>
      <c r="AA820" s="24" t="str">
        <f>IF(X820="","",IFERROR(INDEX($AQ$11:$AQ$4010,MATCH(810,$AY$11:$AY$4010,0)),""))</f>
        <v/>
      </c>
      <c r="AB820" s="29" t="str">
        <f>IF(X820="","",IFERROR(INDEX($AR$11:$AR$4010,MATCH(810,$AY$11:$AY$4010,0)),""))</f>
        <v/>
      </c>
      <c r="AD820" s="30" t="str">
        <f>IF(AE820="","",IFERROR(INDEX($AL$11:$AL$4010,MATCH(810,$AZ$11:$AZ$4010,0)),""))</f>
        <v/>
      </c>
      <c r="AE820" s="26" t="str">
        <f>IFERROR(INDEX($AM$11:$AM$4010,MATCH(810,$AZ$11:$AZ$4010,0)),"")</f>
        <v/>
      </c>
      <c r="AF820" s="25" t="str">
        <f>IF(AE820="","",IFERROR(INDEX($AN$11:$AN$4010,MATCH(810,$AZ$11:$AZ$4010,0)),""))</f>
        <v/>
      </c>
      <c r="AG820" s="25" t="str">
        <f>IF(AE820="","",IFERROR(INDEX($AO$11:$AO$4010,MATCH(810,$AZ$11:$AZ$4010,0)),""))</f>
        <v/>
      </c>
      <c r="AH820" s="24" t="str">
        <f>IF(AE820="","",IFERROR(INDEX($AQ$11:$AQ$4010,MATCH(810,$AZ$11:$AZ$4010,0)),""))</f>
        <v/>
      </c>
      <c r="AI820" s="29" t="str">
        <f>IF(AE820="","",IFERROR(INDEX($AR$11:$AR$4010,MATCH(810,$AZ$11:$AZ$4010,0)),""))</f>
        <v/>
      </c>
      <c r="AJ820" s="29" t="str">
        <f>IF(AE820="","",IFERROR(INDEX($AT$11:$AT$4010,MATCH(810,$AZ$11:$AZ$4010,0)),""))</f>
        <v/>
      </c>
      <c r="AL820" s="31"/>
      <c r="AM820" s="26"/>
      <c r="AN820" s="32"/>
      <c r="AO820" s="32"/>
      <c r="AP820" s="24"/>
      <c r="AQ820" s="24"/>
      <c r="AR820" s="33"/>
      <c r="AS820" s="34"/>
      <c r="AT820" s="33"/>
      <c r="AV820" s="21">
        <f>IF(AND($AL820&lt;&gt;"",COUNTIF($AL$11:$AL820,$AL820)=1),1,0)</f>
        <v>0</v>
      </c>
      <c r="AW820" s="21">
        <f t="shared" si="111"/>
        <v>0</v>
      </c>
      <c r="AX820" s="21" t="str">
        <f t="shared" si="110"/>
        <v/>
      </c>
      <c r="AY820" s="21" t="str">
        <f>IF(AND($AM820&lt;&gt;"",$AS820&lt;&gt;"✓"),SUMPRODUCT(($AM$11:$AM820&lt;&gt;"")*($AS$11:$AS820&lt;&gt;"✓")),"")</f>
        <v/>
      </c>
      <c r="AZ820" s="21" t="str">
        <f>IF(AND($AM820&lt;&gt;"",$AS820="✓"),SUMPRODUCT(($AM$11:$AM820&lt;&gt;"")*($AS$11:$AS820="✓")),"")</f>
        <v/>
      </c>
      <c r="BA820" s="21" t="str">
        <f>IF($AL820="","",$AL820&amp;"|"&amp;COUNTIF($AL$11:$AL820,$AL820))</f>
        <v/>
      </c>
    </row>
    <row r="821" spans="23:53" ht="15" customHeight="1" x14ac:dyDescent="0.25">
      <c r="W821" s="14" t="str">
        <f>IF(X821="","",IFERROR(INDEX($AL$11:$AL$4010,MATCH(811,$AY$11:$AY$4010,0)),""))</f>
        <v/>
      </c>
      <c r="X821" s="12" t="str">
        <f>IFERROR(INDEX($AM$11:$AM$4010,MATCH(811,$AY$11:$AY$4010,0)),"")</f>
        <v/>
      </c>
      <c r="Y821" s="11" t="str">
        <f>IF(X821="","",IFERROR(INDEX($AN$11:$AN$4010,MATCH(811,$AY$11:$AY$4010,0)),""))</f>
        <v/>
      </c>
      <c r="Z821" s="11" t="str">
        <f>IF(X821="","",IFERROR(INDEX($AO$11:$AO$4010,MATCH(811,$AY$11:$AY$4010,0)),""))</f>
        <v/>
      </c>
      <c r="AA821" s="10" t="str">
        <f>IF(X821="","",IFERROR(INDEX($AQ$11:$AQ$4010,MATCH(811,$AY$11:$AY$4010,0)),""))</f>
        <v/>
      </c>
      <c r="AB821" s="15" t="str">
        <f>IF(X821="","",IFERROR(INDEX($AR$11:$AR$4010,MATCH(811,$AY$11:$AY$4010,0)),""))</f>
        <v/>
      </c>
      <c r="AD821" s="16" t="str">
        <f>IF(AE821="","",IFERROR(INDEX($AL$11:$AL$4010,MATCH(811,$AZ$11:$AZ$4010,0)),""))</f>
        <v/>
      </c>
      <c r="AE821" s="12" t="str">
        <f>IFERROR(INDEX($AM$11:$AM$4010,MATCH(811,$AZ$11:$AZ$4010,0)),"")</f>
        <v/>
      </c>
      <c r="AF821" s="11" t="str">
        <f>IF(AE821="","",IFERROR(INDEX($AN$11:$AN$4010,MATCH(811,$AZ$11:$AZ$4010,0)),""))</f>
        <v/>
      </c>
      <c r="AG821" s="11" t="str">
        <f>IF(AE821="","",IFERROR(INDEX($AO$11:$AO$4010,MATCH(811,$AZ$11:$AZ$4010,0)),""))</f>
        <v/>
      </c>
      <c r="AH821" s="10" t="str">
        <f>IF(AE821="","",IFERROR(INDEX($AQ$11:$AQ$4010,MATCH(811,$AZ$11:$AZ$4010,0)),""))</f>
        <v/>
      </c>
      <c r="AI821" s="15" t="str">
        <f>IF(AE821="","",IFERROR(INDEX($AR$11:$AR$4010,MATCH(811,$AZ$11:$AZ$4010,0)),""))</f>
        <v/>
      </c>
      <c r="AJ821" s="15" t="str">
        <f>IF(AE821="","",IFERROR(INDEX($AT$11:$AT$4010,MATCH(811,$AZ$11:$AZ$4010,0)),""))</f>
        <v/>
      </c>
      <c r="AL821" s="17"/>
      <c r="AM821" s="12"/>
      <c r="AN821" s="18"/>
      <c r="AO821" s="18"/>
      <c r="AP821" s="10"/>
      <c r="AQ821" s="10"/>
      <c r="AR821" s="19"/>
      <c r="AS821" s="20"/>
      <c r="AT821" s="19"/>
      <c r="AV821" s="21">
        <f>IF(AND($AL821&lt;&gt;"",COUNTIF($AL$11:$AL821,$AL821)=1),1,0)</f>
        <v>0</v>
      </c>
      <c r="AW821" s="21">
        <f t="shared" si="111"/>
        <v>0</v>
      </c>
      <c r="AX821" s="21" t="str">
        <f t="shared" si="110"/>
        <v/>
      </c>
      <c r="AY821" s="21" t="str">
        <f>IF(AND($AM821&lt;&gt;"",$AS821&lt;&gt;"✓"),SUMPRODUCT(($AM$11:$AM821&lt;&gt;"")*($AS$11:$AS821&lt;&gt;"✓")),"")</f>
        <v/>
      </c>
      <c r="AZ821" s="21" t="str">
        <f>IF(AND($AM821&lt;&gt;"",$AS821="✓"),SUMPRODUCT(($AM$11:$AM821&lt;&gt;"")*($AS$11:$AS821="✓")),"")</f>
        <v/>
      </c>
      <c r="BA821" s="21" t="str">
        <f>IF($AL821="","",$AL821&amp;"|"&amp;COUNTIF($AL$11:$AL821,$AL821))</f>
        <v/>
      </c>
    </row>
    <row r="822" spans="23:53" ht="15" customHeight="1" x14ac:dyDescent="0.25">
      <c r="W822" s="28" t="str">
        <f>IF(X822="","",IFERROR(INDEX($AL$11:$AL$4010,MATCH(812,$AY$11:$AY$4010,0)),""))</f>
        <v/>
      </c>
      <c r="X822" s="26" t="str">
        <f>IFERROR(INDEX($AM$11:$AM$4010,MATCH(812,$AY$11:$AY$4010,0)),"")</f>
        <v/>
      </c>
      <c r="Y822" s="25" t="str">
        <f>IF(X822="","",IFERROR(INDEX($AN$11:$AN$4010,MATCH(812,$AY$11:$AY$4010,0)),""))</f>
        <v/>
      </c>
      <c r="Z822" s="25" t="str">
        <f>IF(X822="","",IFERROR(INDEX($AO$11:$AO$4010,MATCH(812,$AY$11:$AY$4010,0)),""))</f>
        <v/>
      </c>
      <c r="AA822" s="24" t="str">
        <f>IF(X822="","",IFERROR(INDEX($AQ$11:$AQ$4010,MATCH(812,$AY$11:$AY$4010,0)),""))</f>
        <v/>
      </c>
      <c r="AB822" s="29" t="str">
        <f>IF(X822="","",IFERROR(INDEX($AR$11:$AR$4010,MATCH(812,$AY$11:$AY$4010,0)),""))</f>
        <v/>
      </c>
      <c r="AD822" s="30" t="str">
        <f>IF(AE822="","",IFERROR(INDEX($AL$11:$AL$4010,MATCH(812,$AZ$11:$AZ$4010,0)),""))</f>
        <v/>
      </c>
      <c r="AE822" s="26" t="str">
        <f>IFERROR(INDEX($AM$11:$AM$4010,MATCH(812,$AZ$11:$AZ$4010,0)),"")</f>
        <v/>
      </c>
      <c r="AF822" s="25" t="str">
        <f>IF(AE822="","",IFERROR(INDEX($AN$11:$AN$4010,MATCH(812,$AZ$11:$AZ$4010,0)),""))</f>
        <v/>
      </c>
      <c r="AG822" s="25" t="str">
        <f>IF(AE822="","",IFERROR(INDEX($AO$11:$AO$4010,MATCH(812,$AZ$11:$AZ$4010,0)),""))</f>
        <v/>
      </c>
      <c r="AH822" s="24" t="str">
        <f>IF(AE822="","",IFERROR(INDEX($AQ$11:$AQ$4010,MATCH(812,$AZ$11:$AZ$4010,0)),""))</f>
        <v/>
      </c>
      <c r="AI822" s="29" t="str">
        <f>IF(AE822="","",IFERROR(INDEX($AR$11:$AR$4010,MATCH(812,$AZ$11:$AZ$4010,0)),""))</f>
        <v/>
      </c>
      <c r="AJ822" s="29" t="str">
        <f>IF(AE822="","",IFERROR(INDEX($AT$11:$AT$4010,MATCH(812,$AZ$11:$AZ$4010,0)),""))</f>
        <v/>
      </c>
      <c r="AL822" s="31"/>
      <c r="AM822" s="26"/>
      <c r="AN822" s="32"/>
      <c r="AO822" s="32"/>
      <c r="AP822" s="24"/>
      <c r="AQ822" s="24"/>
      <c r="AR822" s="33"/>
      <c r="AS822" s="34"/>
      <c r="AT822" s="33"/>
      <c r="AV822" s="21">
        <f>IF(AND($AL822&lt;&gt;"",COUNTIF($AL$11:$AL822,$AL822)=1),1,0)</f>
        <v>0</v>
      </c>
      <c r="AW822" s="21">
        <f t="shared" si="111"/>
        <v>0</v>
      </c>
      <c r="AX822" s="21" t="str">
        <f t="shared" si="110"/>
        <v/>
      </c>
      <c r="AY822" s="21" t="str">
        <f>IF(AND($AM822&lt;&gt;"",$AS822&lt;&gt;"✓"),SUMPRODUCT(($AM$11:$AM822&lt;&gt;"")*($AS$11:$AS822&lt;&gt;"✓")),"")</f>
        <v/>
      </c>
      <c r="AZ822" s="21" t="str">
        <f>IF(AND($AM822&lt;&gt;"",$AS822="✓"),SUMPRODUCT(($AM$11:$AM822&lt;&gt;"")*($AS$11:$AS822="✓")),"")</f>
        <v/>
      </c>
      <c r="BA822" s="21" t="str">
        <f>IF($AL822="","",$AL822&amp;"|"&amp;COUNTIF($AL$11:$AL822,$AL822))</f>
        <v/>
      </c>
    </row>
    <row r="823" spans="23:53" ht="15" customHeight="1" x14ac:dyDescent="0.25">
      <c r="W823" s="14" t="str">
        <f>IF(X823="","",IFERROR(INDEX($AL$11:$AL$4010,MATCH(813,$AY$11:$AY$4010,0)),""))</f>
        <v/>
      </c>
      <c r="X823" s="12" t="str">
        <f>IFERROR(INDEX($AM$11:$AM$4010,MATCH(813,$AY$11:$AY$4010,0)),"")</f>
        <v/>
      </c>
      <c r="Y823" s="11" t="str">
        <f>IF(X823="","",IFERROR(INDEX($AN$11:$AN$4010,MATCH(813,$AY$11:$AY$4010,0)),""))</f>
        <v/>
      </c>
      <c r="Z823" s="11" t="str">
        <f>IF(X823="","",IFERROR(INDEX($AO$11:$AO$4010,MATCH(813,$AY$11:$AY$4010,0)),""))</f>
        <v/>
      </c>
      <c r="AA823" s="10" t="str">
        <f>IF(X823="","",IFERROR(INDEX($AQ$11:$AQ$4010,MATCH(813,$AY$11:$AY$4010,0)),""))</f>
        <v/>
      </c>
      <c r="AB823" s="15" t="str">
        <f>IF(X823="","",IFERROR(INDEX($AR$11:$AR$4010,MATCH(813,$AY$11:$AY$4010,0)),""))</f>
        <v/>
      </c>
      <c r="AD823" s="16" t="str">
        <f>IF(AE823="","",IFERROR(INDEX($AL$11:$AL$4010,MATCH(813,$AZ$11:$AZ$4010,0)),""))</f>
        <v/>
      </c>
      <c r="AE823" s="12" t="str">
        <f>IFERROR(INDEX($AM$11:$AM$4010,MATCH(813,$AZ$11:$AZ$4010,0)),"")</f>
        <v/>
      </c>
      <c r="AF823" s="11" t="str">
        <f>IF(AE823="","",IFERROR(INDEX($AN$11:$AN$4010,MATCH(813,$AZ$11:$AZ$4010,0)),""))</f>
        <v/>
      </c>
      <c r="AG823" s="11" t="str">
        <f>IF(AE823="","",IFERROR(INDEX($AO$11:$AO$4010,MATCH(813,$AZ$11:$AZ$4010,0)),""))</f>
        <v/>
      </c>
      <c r="AH823" s="10" t="str">
        <f>IF(AE823="","",IFERROR(INDEX($AQ$11:$AQ$4010,MATCH(813,$AZ$11:$AZ$4010,0)),""))</f>
        <v/>
      </c>
      <c r="AI823" s="15" t="str">
        <f>IF(AE823="","",IFERROR(INDEX($AR$11:$AR$4010,MATCH(813,$AZ$11:$AZ$4010,0)),""))</f>
        <v/>
      </c>
      <c r="AJ823" s="15" t="str">
        <f>IF(AE823="","",IFERROR(INDEX($AT$11:$AT$4010,MATCH(813,$AZ$11:$AZ$4010,0)),""))</f>
        <v/>
      </c>
      <c r="AL823" s="17"/>
      <c r="AM823" s="12"/>
      <c r="AN823" s="18"/>
      <c r="AO823" s="18"/>
      <c r="AP823" s="10"/>
      <c r="AQ823" s="10"/>
      <c r="AR823" s="19"/>
      <c r="AS823" s="20"/>
      <c r="AT823" s="19"/>
      <c r="AV823" s="21">
        <f>IF(AND($AL823&lt;&gt;"",COUNTIF($AL$11:$AL823,$AL823)=1),1,0)</f>
        <v>0</v>
      </c>
      <c r="AW823" s="21">
        <f t="shared" si="111"/>
        <v>0</v>
      </c>
      <c r="AX823" s="21" t="str">
        <f t="shared" si="110"/>
        <v/>
      </c>
      <c r="AY823" s="21" t="str">
        <f>IF(AND($AM823&lt;&gt;"",$AS823&lt;&gt;"✓"),SUMPRODUCT(($AM$11:$AM823&lt;&gt;"")*($AS$11:$AS823&lt;&gt;"✓")),"")</f>
        <v/>
      </c>
      <c r="AZ823" s="21" t="str">
        <f>IF(AND($AM823&lt;&gt;"",$AS823="✓"),SUMPRODUCT(($AM$11:$AM823&lt;&gt;"")*($AS$11:$AS823="✓")),"")</f>
        <v/>
      </c>
      <c r="BA823" s="21" t="str">
        <f>IF($AL823="","",$AL823&amp;"|"&amp;COUNTIF($AL$11:$AL823,$AL823))</f>
        <v/>
      </c>
    </row>
    <row r="824" spans="23:53" ht="15" customHeight="1" x14ac:dyDescent="0.25">
      <c r="W824" s="28" t="str">
        <f>IF(X824="","",IFERROR(INDEX($AL$11:$AL$4010,MATCH(814,$AY$11:$AY$4010,0)),""))</f>
        <v/>
      </c>
      <c r="X824" s="26" t="str">
        <f>IFERROR(INDEX($AM$11:$AM$4010,MATCH(814,$AY$11:$AY$4010,0)),"")</f>
        <v/>
      </c>
      <c r="Y824" s="25" t="str">
        <f>IF(X824="","",IFERROR(INDEX($AN$11:$AN$4010,MATCH(814,$AY$11:$AY$4010,0)),""))</f>
        <v/>
      </c>
      <c r="Z824" s="25" t="str">
        <f>IF(X824="","",IFERROR(INDEX($AO$11:$AO$4010,MATCH(814,$AY$11:$AY$4010,0)),""))</f>
        <v/>
      </c>
      <c r="AA824" s="24" t="str">
        <f>IF(X824="","",IFERROR(INDEX($AQ$11:$AQ$4010,MATCH(814,$AY$11:$AY$4010,0)),""))</f>
        <v/>
      </c>
      <c r="AB824" s="29" t="str">
        <f>IF(X824="","",IFERROR(INDEX($AR$11:$AR$4010,MATCH(814,$AY$11:$AY$4010,0)),""))</f>
        <v/>
      </c>
      <c r="AD824" s="30" t="str">
        <f>IF(AE824="","",IFERROR(INDEX($AL$11:$AL$4010,MATCH(814,$AZ$11:$AZ$4010,0)),""))</f>
        <v/>
      </c>
      <c r="AE824" s="26" t="str">
        <f>IFERROR(INDEX($AM$11:$AM$4010,MATCH(814,$AZ$11:$AZ$4010,0)),"")</f>
        <v/>
      </c>
      <c r="AF824" s="25" t="str">
        <f>IF(AE824="","",IFERROR(INDEX($AN$11:$AN$4010,MATCH(814,$AZ$11:$AZ$4010,0)),""))</f>
        <v/>
      </c>
      <c r="AG824" s="25" t="str">
        <f>IF(AE824="","",IFERROR(INDEX($AO$11:$AO$4010,MATCH(814,$AZ$11:$AZ$4010,0)),""))</f>
        <v/>
      </c>
      <c r="AH824" s="24" t="str">
        <f>IF(AE824="","",IFERROR(INDEX($AQ$11:$AQ$4010,MATCH(814,$AZ$11:$AZ$4010,0)),""))</f>
        <v/>
      </c>
      <c r="AI824" s="29" t="str">
        <f>IF(AE824="","",IFERROR(INDEX($AR$11:$AR$4010,MATCH(814,$AZ$11:$AZ$4010,0)),""))</f>
        <v/>
      </c>
      <c r="AJ824" s="29" t="str">
        <f>IF(AE824="","",IFERROR(INDEX($AT$11:$AT$4010,MATCH(814,$AZ$11:$AZ$4010,0)),""))</f>
        <v/>
      </c>
      <c r="AL824" s="31"/>
      <c r="AM824" s="26"/>
      <c r="AN824" s="32"/>
      <c r="AO824" s="32"/>
      <c r="AP824" s="24"/>
      <c r="AQ824" s="24"/>
      <c r="AR824" s="33"/>
      <c r="AS824" s="34"/>
      <c r="AT824" s="33"/>
      <c r="AV824" s="21">
        <f>IF(AND($AL824&lt;&gt;"",COUNTIF($AL$11:$AL824,$AL824)=1),1,0)</f>
        <v>0</v>
      </c>
      <c r="AW824" s="21">
        <f t="shared" si="111"/>
        <v>0</v>
      </c>
      <c r="AX824" s="21" t="str">
        <f t="shared" si="110"/>
        <v/>
      </c>
      <c r="AY824" s="21" t="str">
        <f>IF(AND($AM824&lt;&gt;"",$AS824&lt;&gt;"✓"),SUMPRODUCT(($AM$11:$AM824&lt;&gt;"")*($AS$11:$AS824&lt;&gt;"✓")),"")</f>
        <v/>
      </c>
      <c r="AZ824" s="21" t="str">
        <f>IF(AND($AM824&lt;&gt;"",$AS824="✓"),SUMPRODUCT(($AM$11:$AM824&lt;&gt;"")*($AS$11:$AS824="✓")),"")</f>
        <v/>
      </c>
      <c r="BA824" s="21" t="str">
        <f>IF($AL824="","",$AL824&amp;"|"&amp;COUNTIF($AL$11:$AL824,$AL824))</f>
        <v/>
      </c>
    </row>
    <row r="825" spans="23:53" ht="15" customHeight="1" x14ac:dyDescent="0.25">
      <c r="W825" s="14" t="str">
        <f>IF(X825="","",IFERROR(INDEX($AL$11:$AL$4010,MATCH(815,$AY$11:$AY$4010,0)),""))</f>
        <v/>
      </c>
      <c r="X825" s="12" t="str">
        <f>IFERROR(INDEX($AM$11:$AM$4010,MATCH(815,$AY$11:$AY$4010,0)),"")</f>
        <v/>
      </c>
      <c r="Y825" s="11" t="str">
        <f>IF(X825="","",IFERROR(INDEX($AN$11:$AN$4010,MATCH(815,$AY$11:$AY$4010,0)),""))</f>
        <v/>
      </c>
      <c r="Z825" s="11" t="str">
        <f>IF(X825="","",IFERROR(INDEX($AO$11:$AO$4010,MATCH(815,$AY$11:$AY$4010,0)),""))</f>
        <v/>
      </c>
      <c r="AA825" s="10" t="str">
        <f>IF(X825="","",IFERROR(INDEX($AQ$11:$AQ$4010,MATCH(815,$AY$11:$AY$4010,0)),""))</f>
        <v/>
      </c>
      <c r="AB825" s="15" t="str">
        <f>IF(X825="","",IFERROR(INDEX($AR$11:$AR$4010,MATCH(815,$AY$11:$AY$4010,0)),""))</f>
        <v/>
      </c>
      <c r="AD825" s="16" t="str">
        <f>IF(AE825="","",IFERROR(INDEX($AL$11:$AL$4010,MATCH(815,$AZ$11:$AZ$4010,0)),""))</f>
        <v/>
      </c>
      <c r="AE825" s="12" t="str">
        <f>IFERROR(INDEX($AM$11:$AM$4010,MATCH(815,$AZ$11:$AZ$4010,0)),"")</f>
        <v/>
      </c>
      <c r="AF825" s="11" t="str">
        <f>IF(AE825="","",IFERROR(INDEX($AN$11:$AN$4010,MATCH(815,$AZ$11:$AZ$4010,0)),""))</f>
        <v/>
      </c>
      <c r="AG825" s="11" t="str">
        <f>IF(AE825="","",IFERROR(INDEX($AO$11:$AO$4010,MATCH(815,$AZ$11:$AZ$4010,0)),""))</f>
        <v/>
      </c>
      <c r="AH825" s="10" t="str">
        <f>IF(AE825="","",IFERROR(INDEX($AQ$11:$AQ$4010,MATCH(815,$AZ$11:$AZ$4010,0)),""))</f>
        <v/>
      </c>
      <c r="AI825" s="15" t="str">
        <f>IF(AE825="","",IFERROR(INDEX($AR$11:$AR$4010,MATCH(815,$AZ$11:$AZ$4010,0)),""))</f>
        <v/>
      </c>
      <c r="AJ825" s="15" t="str">
        <f>IF(AE825="","",IFERROR(INDEX($AT$11:$AT$4010,MATCH(815,$AZ$11:$AZ$4010,0)),""))</f>
        <v/>
      </c>
      <c r="AL825" s="17"/>
      <c r="AM825" s="12"/>
      <c r="AN825" s="18"/>
      <c r="AO825" s="18"/>
      <c r="AP825" s="10"/>
      <c r="AQ825" s="10"/>
      <c r="AR825" s="19"/>
      <c r="AS825" s="20"/>
      <c r="AT825" s="19"/>
      <c r="AV825" s="21">
        <f>IF(AND($AL825&lt;&gt;"",COUNTIF($AL$11:$AL825,$AL825)=1),1,0)</f>
        <v>0</v>
      </c>
      <c r="AW825" s="21">
        <f t="shared" si="111"/>
        <v>0</v>
      </c>
      <c r="AX825" s="21" t="str">
        <f t="shared" si="110"/>
        <v/>
      </c>
      <c r="AY825" s="21" t="str">
        <f>IF(AND($AM825&lt;&gt;"",$AS825&lt;&gt;"✓"),SUMPRODUCT(($AM$11:$AM825&lt;&gt;"")*($AS$11:$AS825&lt;&gt;"✓")),"")</f>
        <v/>
      </c>
      <c r="AZ825" s="21" t="str">
        <f>IF(AND($AM825&lt;&gt;"",$AS825="✓"),SUMPRODUCT(($AM$11:$AM825&lt;&gt;"")*($AS$11:$AS825="✓")),"")</f>
        <v/>
      </c>
      <c r="BA825" s="21" t="str">
        <f>IF($AL825="","",$AL825&amp;"|"&amp;COUNTIF($AL$11:$AL825,$AL825))</f>
        <v/>
      </c>
    </row>
    <row r="826" spans="23:53" ht="15" customHeight="1" x14ac:dyDescent="0.25">
      <c r="W826" s="28" t="str">
        <f>IF(X826="","",IFERROR(INDEX($AL$11:$AL$4010,MATCH(816,$AY$11:$AY$4010,0)),""))</f>
        <v/>
      </c>
      <c r="X826" s="26" t="str">
        <f>IFERROR(INDEX($AM$11:$AM$4010,MATCH(816,$AY$11:$AY$4010,0)),"")</f>
        <v/>
      </c>
      <c r="Y826" s="25" t="str">
        <f>IF(X826="","",IFERROR(INDEX($AN$11:$AN$4010,MATCH(816,$AY$11:$AY$4010,0)),""))</f>
        <v/>
      </c>
      <c r="Z826" s="25" t="str">
        <f>IF(X826="","",IFERROR(INDEX($AO$11:$AO$4010,MATCH(816,$AY$11:$AY$4010,0)),""))</f>
        <v/>
      </c>
      <c r="AA826" s="24" t="str">
        <f>IF(X826="","",IFERROR(INDEX($AQ$11:$AQ$4010,MATCH(816,$AY$11:$AY$4010,0)),""))</f>
        <v/>
      </c>
      <c r="AB826" s="29" t="str">
        <f>IF(X826="","",IFERROR(INDEX($AR$11:$AR$4010,MATCH(816,$AY$11:$AY$4010,0)),""))</f>
        <v/>
      </c>
      <c r="AD826" s="30" t="str">
        <f>IF(AE826="","",IFERROR(INDEX($AL$11:$AL$4010,MATCH(816,$AZ$11:$AZ$4010,0)),""))</f>
        <v/>
      </c>
      <c r="AE826" s="26" t="str">
        <f>IFERROR(INDEX($AM$11:$AM$4010,MATCH(816,$AZ$11:$AZ$4010,0)),"")</f>
        <v/>
      </c>
      <c r="AF826" s="25" t="str">
        <f>IF(AE826="","",IFERROR(INDEX($AN$11:$AN$4010,MATCH(816,$AZ$11:$AZ$4010,0)),""))</f>
        <v/>
      </c>
      <c r="AG826" s="25" t="str">
        <f>IF(AE826="","",IFERROR(INDEX($AO$11:$AO$4010,MATCH(816,$AZ$11:$AZ$4010,0)),""))</f>
        <v/>
      </c>
      <c r="AH826" s="24" t="str">
        <f>IF(AE826="","",IFERROR(INDEX($AQ$11:$AQ$4010,MATCH(816,$AZ$11:$AZ$4010,0)),""))</f>
        <v/>
      </c>
      <c r="AI826" s="29" t="str">
        <f>IF(AE826="","",IFERROR(INDEX($AR$11:$AR$4010,MATCH(816,$AZ$11:$AZ$4010,0)),""))</f>
        <v/>
      </c>
      <c r="AJ826" s="29" t="str">
        <f>IF(AE826="","",IFERROR(INDEX($AT$11:$AT$4010,MATCH(816,$AZ$11:$AZ$4010,0)),""))</f>
        <v/>
      </c>
      <c r="AL826" s="31"/>
      <c r="AM826" s="26"/>
      <c r="AN826" s="32"/>
      <c r="AO826" s="32"/>
      <c r="AP826" s="24"/>
      <c r="AQ826" s="24"/>
      <c r="AR826" s="33"/>
      <c r="AS826" s="34"/>
      <c r="AT826" s="33"/>
      <c r="AV826" s="21">
        <f>IF(AND($AL826&lt;&gt;"",COUNTIF($AL$11:$AL826,$AL826)=1),1,0)</f>
        <v>0</v>
      </c>
      <c r="AW826" s="21">
        <f t="shared" si="111"/>
        <v>0</v>
      </c>
      <c r="AX826" s="21" t="str">
        <f t="shared" si="110"/>
        <v/>
      </c>
      <c r="AY826" s="21" t="str">
        <f>IF(AND($AM826&lt;&gt;"",$AS826&lt;&gt;"✓"),SUMPRODUCT(($AM$11:$AM826&lt;&gt;"")*($AS$11:$AS826&lt;&gt;"✓")),"")</f>
        <v/>
      </c>
      <c r="AZ826" s="21" t="str">
        <f>IF(AND($AM826&lt;&gt;"",$AS826="✓"),SUMPRODUCT(($AM$11:$AM826&lt;&gt;"")*($AS$11:$AS826="✓")),"")</f>
        <v/>
      </c>
      <c r="BA826" s="21" t="str">
        <f>IF($AL826="","",$AL826&amp;"|"&amp;COUNTIF($AL$11:$AL826,$AL826))</f>
        <v/>
      </c>
    </row>
    <row r="827" spans="23:53" ht="15" customHeight="1" x14ac:dyDescent="0.25">
      <c r="W827" s="14" t="str">
        <f>IF(X827="","",IFERROR(INDEX($AL$11:$AL$4010,MATCH(817,$AY$11:$AY$4010,0)),""))</f>
        <v/>
      </c>
      <c r="X827" s="12" t="str">
        <f>IFERROR(INDEX($AM$11:$AM$4010,MATCH(817,$AY$11:$AY$4010,0)),"")</f>
        <v/>
      </c>
      <c r="Y827" s="11" t="str">
        <f>IF(X827="","",IFERROR(INDEX($AN$11:$AN$4010,MATCH(817,$AY$11:$AY$4010,0)),""))</f>
        <v/>
      </c>
      <c r="Z827" s="11" t="str">
        <f>IF(X827="","",IFERROR(INDEX($AO$11:$AO$4010,MATCH(817,$AY$11:$AY$4010,0)),""))</f>
        <v/>
      </c>
      <c r="AA827" s="10" t="str">
        <f>IF(X827="","",IFERROR(INDEX($AQ$11:$AQ$4010,MATCH(817,$AY$11:$AY$4010,0)),""))</f>
        <v/>
      </c>
      <c r="AB827" s="15" t="str">
        <f>IF(X827="","",IFERROR(INDEX($AR$11:$AR$4010,MATCH(817,$AY$11:$AY$4010,0)),""))</f>
        <v/>
      </c>
      <c r="AD827" s="16" t="str">
        <f>IF(AE827="","",IFERROR(INDEX($AL$11:$AL$4010,MATCH(817,$AZ$11:$AZ$4010,0)),""))</f>
        <v/>
      </c>
      <c r="AE827" s="12" t="str">
        <f>IFERROR(INDEX($AM$11:$AM$4010,MATCH(817,$AZ$11:$AZ$4010,0)),"")</f>
        <v/>
      </c>
      <c r="AF827" s="11" t="str">
        <f>IF(AE827="","",IFERROR(INDEX($AN$11:$AN$4010,MATCH(817,$AZ$11:$AZ$4010,0)),""))</f>
        <v/>
      </c>
      <c r="AG827" s="11" t="str">
        <f>IF(AE827="","",IFERROR(INDEX($AO$11:$AO$4010,MATCH(817,$AZ$11:$AZ$4010,0)),""))</f>
        <v/>
      </c>
      <c r="AH827" s="10" t="str">
        <f>IF(AE827="","",IFERROR(INDEX($AQ$11:$AQ$4010,MATCH(817,$AZ$11:$AZ$4010,0)),""))</f>
        <v/>
      </c>
      <c r="AI827" s="15" t="str">
        <f>IF(AE827="","",IFERROR(INDEX($AR$11:$AR$4010,MATCH(817,$AZ$11:$AZ$4010,0)),""))</f>
        <v/>
      </c>
      <c r="AJ827" s="15" t="str">
        <f>IF(AE827="","",IFERROR(INDEX($AT$11:$AT$4010,MATCH(817,$AZ$11:$AZ$4010,0)),""))</f>
        <v/>
      </c>
      <c r="AL827" s="17"/>
      <c r="AM827" s="12"/>
      <c r="AN827" s="18"/>
      <c r="AO827" s="18"/>
      <c r="AP827" s="10"/>
      <c r="AQ827" s="10"/>
      <c r="AR827" s="19"/>
      <c r="AS827" s="20"/>
      <c r="AT827" s="19"/>
      <c r="AV827" s="21">
        <f>IF(AND($AL827&lt;&gt;"",COUNTIF($AL$11:$AL827,$AL827)=1),1,0)</f>
        <v>0</v>
      </c>
      <c r="AW827" s="21">
        <f t="shared" si="111"/>
        <v>0</v>
      </c>
      <c r="AX827" s="21" t="str">
        <f t="shared" si="110"/>
        <v/>
      </c>
      <c r="AY827" s="21" t="str">
        <f>IF(AND($AM827&lt;&gt;"",$AS827&lt;&gt;"✓"),SUMPRODUCT(($AM$11:$AM827&lt;&gt;"")*($AS$11:$AS827&lt;&gt;"✓")),"")</f>
        <v/>
      </c>
      <c r="AZ827" s="21" t="str">
        <f>IF(AND($AM827&lt;&gt;"",$AS827="✓"),SUMPRODUCT(($AM$11:$AM827&lt;&gt;"")*($AS$11:$AS827="✓")),"")</f>
        <v/>
      </c>
      <c r="BA827" s="21" t="str">
        <f>IF($AL827="","",$AL827&amp;"|"&amp;COUNTIF($AL$11:$AL827,$AL827))</f>
        <v/>
      </c>
    </row>
    <row r="828" spans="23:53" ht="15" customHeight="1" x14ac:dyDescent="0.25">
      <c r="W828" s="28" t="str">
        <f>IF(X828="","",IFERROR(INDEX($AL$11:$AL$4010,MATCH(818,$AY$11:$AY$4010,0)),""))</f>
        <v/>
      </c>
      <c r="X828" s="26" t="str">
        <f>IFERROR(INDEX($AM$11:$AM$4010,MATCH(818,$AY$11:$AY$4010,0)),"")</f>
        <v/>
      </c>
      <c r="Y828" s="25" t="str">
        <f>IF(X828="","",IFERROR(INDEX($AN$11:$AN$4010,MATCH(818,$AY$11:$AY$4010,0)),""))</f>
        <v/>
      </c>
      <c r="Z828" s="25" t="str">
        <f>IF(X828="","",IFERROR(INDEX($AO$11:$AO$4010,MATCH(818,$AY$11:$AY$4010,0)),""))</f>
        <v/>
      </c>
      <c r="AA828" s="24" t="str">
        <f>IF(X828="","",IFERROR(INDEX($AQ$11:$AQ$4010,MATCH(818,$AY$11:$AY$4010,0)),""))</f>
        <v/>
      </c>
      <c r="AB828" s="29" t="str">
        <f>IF(X828="","",IFERROR(INDEX($AR$11:$AR$4010,MATCH(818,$AY$11:$AY$4010,0)),""))</f>
        <v/>
      </c>
      <c r="AD828" s="30" t="str">
        <f>IF(AE828="","",IFERROR(INDEX($AL$11:$AL$4010,MATCH(818,$AZ$11:$AZ$4010,0)),""))</f>
        <v/>
      </c>
      <c r="AE828" s="26" t="str">
        <f>IFERROR(INDEX($AM$11:$AM$4010,MATCH(818,$AZ$11:$AZ$4010,0)),"")</f>
        <v/>
      </c>
      <c r="AF828" s="25" t="str">
        <f>IF(AE828="","",IFERROR(INDEX($AN$11:$AN$4010,MATCH(818,$AZ$11:$AZ$4010,0)),""))</f>
        <v/>
      </c>
      <c r="AG828" s="25" t="str">
        <f>IF(AE828="","",IFERROR(INDEX($AO$11:$AO$4010,MATCH(818,$AZ$11:$AZ$4010,0)),""))</f>
        <v/>
      </c>
      <c r="AH828" s="24" t="str">
        <f>IF(AE828="","",IFERROR(INDEX($AQ$11:$AQ$4010,MATCH(818,$AZ$11:$AZ$4010,0)),""))</f>
        <v/>
      </c>
      <c r="AI828" s="29" t="str">
        <f>IF(AE828="","",IFERROR(INDEX($AR$11:$AR$4010,MATCH(818,$AZ$11:$AZ$4010,0)),""))</f>
        <v/>
      </c>
      <c r="AJ828" s="29" t="str">
        <f>IF(AE828="","",IFERROR(INDEX($AT$11:$AT$4010,MATCH(818,$AZ$11:$AZ$4010,0)),""))</f>
        <v/>
      </c>
      <c r="AL828" s="31"/>
      <c r="AM828" s="26"/>
      <c r="AN828" s="32"/>
      <c r="AO828" s="32"/>
      <c r="AP828" s="24"/>
      <c r="AQ828" s="24"/>
      <c r="AR828" s="33"/>
      <c r="AS828" s="34"/>
      <c r="AT828" s="33"/>
      <c r="AV828" s="21">
        <f>IF(AND($AL828&lt;&gt;"",COUNTIF($AL$11:$AL828,$AL828)=1),1,0)</f>
        <v>0</v>
      </c>
      <c r="AW828" s="21">
        <f t="shared" si="111"/>
        <v>0</v>
      </c>
      <c r="AX828" s="21" t="str">
        <f t="shared" si="110"/>
        <v/>
      </c>
      <c r="AY828" s="21" t="str">
        <f>IF(AND($AM828&lt;&gt;"",$AS828&lt;&gt;"✓"),SUMPRODUCT(($AM$11:$AM828&lt;&gt;"")*($AS$11:$AS828&lt;&gt;"✓")),"")</f>
        <v/>
      </c>
      <c r="AZ828" s="21" t="str">
        <f>IF(AND($AM828&lt;&gt;"",$AS828="✓"),SUMPRODUCT(($AM$11:$AM828&lt;&gt;"")*($AS$11:$AS828="✓")),"")</f>
        <v/>
      </c>
      <c r="BA828" s="21" t="str">
        <f>IF($AL828="","",$AL828&amp;"|"&amp;COUNTIF($AL$11:$AL828,$AL828))</f>
        <v/>
      </c>
    </row>
    <row r="829" spans="23:53" ht="15" customHeight="1" x14ac:dyDescent="0.25">
      <c r="W829" s="14" t="str">
        <f>IF(X829="","",IFERROR(INDEX($AL$11:$AL$4010,MATCH(819,$AY$11:$AY$4010,0)),""))</f>
        <v/>
      </c>
      <c r="X829" s="12" t="str">
        <f>IFERROR(INDEX($AM$11:$AM$4010,MATCH(819,$AY$11:$AY$4010,0)),"")</f>
        <v/>
      </c>
      <c r="Y829" s="11" t="str">
        <f>IF(X829="","",IFERROR(INDEX($AN$11:$AN$4010,MATCH(819,$AY$11:$AY$4010,0)),""))</f>
        <v/>
      </c>
      <c r="Z829" s="11" t="str">
        <f>IF(X829="","",IFERROR(INDEX($AO$11:$AO$4010,MATCH(819,$AY$11:$AY$4010,0)),""))</f>
        <v/>
      </c>
      <c r="AA829" s="10" t="str">
        <f>IF(X829="","",IFERROR(INDEX($AQ$11:$AQ$4010,MATCH(819,$AY$11:$AY$4010,0)),""))</f>
        <v/>
      </c>
      <c r="AB829" s="15" t="str">
        <f>IF(X829="","",IFERROR(INDEX($AR$11:$AR$4010,MATCH(819,$AY$11:$AY$4010,0)),""))</f>
        <v/>
      </c>
      <c r="AD829" s="16" t="str">
        <f>IF(AE829="","",IFERROR(INDEX($AL$11:$AL$4010,MATCH(819,$AZ$11:$AZ$4010,0)),""))</f>
        <v/>
      </c>
      <c r="AE829" s="12" t="str">
        <f>IFERROR(INDEX($AM$11:$AM$4010,MATCH(819,$AZ$11:$AZ$4010,0)),"")</f>
        <v/>
      </c>
      <c r="AF829" s="11" t="str">
        <f>IF(AE829="","",IFERROR(INDEX($AN$11:$AN$4010,MATCH(819,$AZ$11:$AZ$4010,0)),""))</f>
        <v/>
      </c>
      <c r="AG829" s="11" t="str">
        <f>IF(AE829="","",IFERROR(INDEX($AO$11:$AO$4010,MATCH(819,$AZ$11:$AZ$4010,0)),""))</f>
        <v/>
      </c>
      <c r="AH829" s="10" t="str">
        <f>IF(AE829="","",IFERROR(INDEX($AQ$11:$AQ$4010,MATCH(819,$AZ$11:$AZ$4010,0)),""))</f>
        <v/>
      </c>
      <c r="AI829" s="15" t="str">
        <f>IF(AE829="","",IFERROR(INDEX($AR$11:$AR$4010,MATCH(819,$AZ$11:$AZ$4010,0)),""))</f>
        <v/>
      </c>
      <c r="AJ829" s="15" t="str">
        <f>IF(AE829="","",IFERROR(INDEX($AT$11:$AT$4010,MATCH(819,$AZ$11:$AZ$4010,0)),""))</f>
        <v/>
      </c>
      <c r="AL829" s="17"/>
      <c r="AM829" s="12"/>
      <c r="AN829" s="18"/>
      <c r="AO829" s="18"/>
      <c r="AP829" s="10"/>
      <c r="AQ829" s="10"/>
      <c r="AR829" s="19"/>
      <c r="AS829" s="20"/>
      <c r="AT829" s="19"/>
      <c r="AV829" s="21">
        <f>IF(AND($AL829&lt;&gt;"",COUNTIF($AL$11:$AL829,$AL829)=1),1,0)</f>
        <v>0</v>
      </c>
      <c r="AW829" s="21">
        <f t="shared" si="111"/>
        <v>0</v>
      </c>
      <c r="AX829" s="21" t="str">
        <f t="shared" si="110"/>
        <v/>
      </c>
      <c r="AY829" s="21" t="str">
        <f>IF(AND($AM829&lt;&gt;"",$AS829&lt;&gt;"✓"),SUMPRODUCT(($AM$11:$AM829&lt;&gt;"")*($AS$11:$AS829&lt;&gt;"✓")),"")</f>
        <v/>
      </c>
      <c r="AZ829" s="21" t="str">
        <f>IF(AND($AM829&lt;&gt;"",$AS829="✓"),SUMPRODUCT(($AM$11:$AM829&lt;&gt;"")*($AS$11:$AS829="✓")),"")</f>
        <v/>
      </c>
      <c r="BA829" s="21" t="str">
        <f>IF($AL829="","",$AL829&amp;"|"&amp;COUNTIF($AL$11:$AL829,$AL829))</f>
        <v/>
      </c>
    </row>
    <row r="830" spans="23:53" ht="15" customHeight="1" x14ac:dyDescent="0.25">
      <c r="W830" s="28" t="str">
        <f>IF(X830="","",IFERROR(INDEX($AL$11:$AL$4010,MATCH(820,$AY$11:$AY$4010,0)),""))</f>
        <v/>
      </c>
      <c r="X830" s="26" t="str">
        <f>IFERROR(INDEX($AM$11:$AM$4010,MATCH(820,$AY$11:$AY$4010,0)),"")</f>
        <v/>
      </c>
      <c r="Y830" s="25" t="str">
        <f>IF(X830="","",IFERROR(INDEX($AN$11:$AN$4010,MATCH(820,$AY$11:$AY$4010,0)),""))</f>
        <v/>
      </c>
      <c r="Z830" s="25" t="str">
        <f>IF(X830="","",IFERROR(INDEX($AO$11:$AO$4010,MATCH(820,$AY$11:$AY$4010,0)),""))</f>
        <v/>
      </c>
      <c r="AA830" s="24" t="str">
        <f>IF(X830="","",IFERROR(INDEX($AQ$11:$AQ$4010,MATCH(820,$AY$11:$AY$4010,0)),""))</f>
        <v/>
      </c>
      <c r="AB830" s="29" t="str">
        <f>IF(X830="","",IFERROR(INDEX($AR$11:$AR$4010,MATCH(820,$AY$11:$AY$4010,0)),""))</f>
        <v/>
      </c>
      <c r="AD830" s="30" t="str">
        <f>IF(AE830="","",IFERROR(INDEX($AL$11:$AL$4010,MATCH(820,$AZ$11:$AZ$4010,0)),""))</f>
        <v/>
      </c>
      <c r="AE830" s="26" t="str">
        <f>IFERROR(INDEX($AM$11:$AM$4010,MATCH(820,$AZ$11:$AZ$4010,0)),"")</f>
        <v/>
      </c>
      <c r="AF830" s="25" t="str">
        <f>IF(AE830="","",IFERROR(INDEX($AN$11:$AN$4010,MATCH(820,$AZ$11:$AZ$4010,0)),""))</f>
        <v/>
      </c>
      <c r="AG830" s="25" t="str">
        <f>IF(AE830="","",IFERROR(INDEX($AO$11:$AO$4010,MATCH(820,$AZ$11:$AZ$4010,0)),""))</f>
        <v/>
      </c>
      <c r="AH830" s="24" t="str">
        <f>IF(AE830="","",IFERROR(INDEX($AQ$11:$AQ$4010,MATCH(820,$AZ$11:$AZ$4010,0)),""))</f>
        <v/>
      </c>
      <c r="AI830" s="29" t="str">
        <f>IF(AE830="","",IFERROR(INDEX($AR$11:$AR$4010,MATCH(820,$AZ$11:$AZ$4010,0)),""))</f>
        <v/>
      </c>
      <c r="AJ830" s="29" t="str">
        <f>IF(AE830="","",IFERROR(INDEX($AT$11:$AT$4010,MATCH(820,$AZ$11:$AZ$4010,0)),""))</f>
        <v/>
      </c>
      <c r="AL830" s="31"/>
      <c r="AM830" s="26"/>
      <c r="AN830" s="32"/>
      <c r="AO830" s="32"/>
      <c r="AP830" s="24"/>
      <c r="AQ830" s="24"/>
      <c r="AR830" s="33"/>
      <c r="AS830" s="34"/>
      <c r="AT830" s="33"/>
      <c r="AV830" s="21">
        <f>IF(AND($AL830&lt;&gt;"",COUNTIF($AL$11:$AL830,$AL830)=1),1,0)</f>
        <v>0</v>
      </c>
      <c r="AW830" s="21">
        <f t="shared" si="111"/>
        <v>0</v>
      </c>
      <c r="AX830" s="21" t="str">
        <f t="shared" si="110"/>
        <v/>
      </c>
      <c r="AY830" s="21" t="str">
        <f>IF(AND($AM830&lt;&gt;"",$AS830&lt;&gt;"✓"),SUMPRODUCT(($AM$11:$AM830&lt;&gt;"")*($AS$11:$AS830&lt;&gt;"✓")),"")</f>
        <v/>
      </c>
      <c r="AZ830" s="21" t="str">
        <f>IF(AND($AM830&lt;&gt;"",$AS830="✓"),SUMPRODUCT(($AM$11:$AM830&lt;&gt;"")*($AS$11:$AS830="✓")),"")</f>
        <v/>
      </c>
      <c r="BA830" s="21" t="str">
        <f>IF($AL830="","",$AL830&amp;"|"&amp;COUNTIF($AL$11:$AL830,$AL830))</f>
        <v/>
      </c>
    </row>
    <row r="831" spans="23:53" ht="15" customHeight="1" x14ac:dyDescent="0.25">
      <c r="W831" s="14" t="str">
        <f>IF(X831="","",IFERROR(INDEX($AL$11:$AL$4010,MATCH(821,$AY$11:$AY$4010,0)),""))</f>
        <v/>
      </c>
      <c r="X831" s="12" t="str">
        <f>IFERROR(INDEX($AM$11:$AM$4010,MATCH(821,$AY$11:$AY$4010,0)),"")</f>
        <v/>
      </c>
      <c r="Y831" s="11" t="str">
        <f>IF(X831="","",IFERROR(INDEX($AN$11:$AN$4010,MATCH(821,$AY$11:$AY$4010,0)),""))</f>
        <v/>
      </c>
      <c r="Z831" s="11" t="str">
        <f>IF(X831="","",IFERROR(INDEX($AO$11:$AO$4010,MATCH(821,$AY$11:$AY$4010,0)),""))</f>
        <v/>
      </c>
      <c r="AA831" s="10" t="str">
        <f>IF(X831="","",IFERROR(INDEX($AQ$11:$AQ$4010,MATCH(821,$AY$11:$AY$4010,0)),""))</f>
        <v/>
      </c>
      <c r="AB831" s="15" t="str">
        <f>IF(X831="","",IFERROR(INDEX($AR$11:$AR$4010,MATCH(821,$AY$11:$AY$4010,0)),""))</f>
        <v/>
      </c>
      <c r="AD831" s="16" t="str">
        <f>IF(AE831="","",IFERROR(INDEX($AL$11:$AL$4010,MATCH(821,$AZ$11:$AZ$4010,0)),""))</f>
        <v/>
      </c>
      <c r="AE831" s="12" t="str">
        <f>IFERROR(INDEX($AM$11:$AM$4010,MATCH(821,$AZ$11:$AZ$4010,0)),"")</f>
        <v/>
      </c>
      <c r="AF831" s="11" t="str">
        <f>IF(AE831="","",IFERROR(INDEX($AN$11:$AN$4010,MATCH(821,$AZ$11:$AZ$4010,0)),""))</f>
        <v/>
      </c>
      <c r="AG831" s="11" t="str">
        <f>IF(AE831="","",IFERROR(INDEX($AO$11:$AO$4010,MATCH(821,$AZ$11:$AZ$4010,0)),""))</f>
        <v/>
      </c>
      <c r="AH831" s="10" t="str">
        <f>IF(AE831="","",IFERROR(INDEX($AQ$11:$AQ$4010,MATCH(821,$AZ$11:$AZ$4010,0)),""))</f>
        <v/>
      </c>
      <c r="AI831" s="15" t="str">
        <f>IF(AE831="","",IFERROR(INDEX($AR$11:$AR$4010,MATCH(821,$AZ$11:$AZ$4010,0)),""))</f>
        <v/>
      </c>
      <c r="AJ831" s="15" t="str">
        <f>IF(AE831="","",IFERROR(INDEX($AT$11:$AT$4010,MATCH(821,$AZ$11:$AZ$4010,0)),""))</f>
        <v/>
      </c>
      <c r="AL831" s="17"/>
      <c r="AM831" s="12"/>
      <c r="AN831" s="18"/>
      <c r="AO831" s="18"/>
      <c r="AP831" s="10"/>
      <c r="AQ831" s="10"/>
      <c r="AR831" s="19"/>
      <c r="AS831" s="20"/>
      <c r="AT831" s="19"/>
      <c r="AV831" s="21">
        <f>IF(AND($AL831&lt;&gt;"",COUNTIF($AL$11:$AL831,$AL831)=1),1,0)</f>
        <v>0</v>
      </c>
      <c r="AW831" s="21">
        <f t="shared" si="111"/>
        <v>0</v>
      </c>
      <c r="AX831" s="21" t="str">
        <f t="shared" si="110"/>
        <v/>
      </c>
      <c r="AY831" s="21" t="str">
        <f>IF(AND($AM831&lt;&gt;"",$AS831&lt;&gt;"✓"),SUMPRODUCT(($AM$11:$AM831&lt;&gt;"")*($AS$11:$AS831&lt;&gt;"✓")),"")</f>
        <v/>
      </c>
      <c r="AZ831" s="21" t="str">
        <f>IF(AND($AM831&lt;&gt;"",$AS831="✓"),SUMPRODUCT(($AM$11:$AM831&lt;&gt;"")*($AS$11:$AS831="✓")),"")</f>
        <v/>
      </c>
      <c r="BA831" s="21" t="str">
        <f>IF($AL831="","",$AL831&amp;"|"&amp;COUNTIF($AL$11:$AL831,$AL831))</f>
        <v/>
      </c>
    </row>
    <row r="832" spans="23:53" ht="15" customHeight="1" x14ac:dyDescent="0.25">
      <c r="W832" s="28" t="str">
        <f>IF(X832="","",IFERROR(INDEX($AL$11:$AL$4010,MATCH(822,$AY$11:$AY$4010,0)),""))</f>
        <v/>
      </c>
      <c r="X832" s="26" t="str">
        <f>IFERROR(INDEX($AM$11:$AM$4010,MATCH(822,$AY$11:$AY$4010,0)),"")</f>
        <v/>
      </c>
      <c r="Y832" s="25" t="str">
        <f>IF(X832="","",IFERROR(INDEX($AN$11:$AN$4010,MATCH(822,$AY$11:$AY$4010,0)),""))</f>
        <v/>
      </c>
      <c r="Z832" s="25" t="str">
        <f>IF(X832="","",IFERROR(INDEX($AO$11:$AO$4010,MATCH(822,$AY$11:$AY$4010,0)),""))</f>
        <v/>
      </c>
      <c r="AA832" s="24" t="str">
        <f>IF(X832="","",IFERROR(INDEX($AQ$11:$AQ$4010,MATCH(822,$AY$11:$AY$4010,0)),""))</f>
        <v/>
      </c>
      <c r="AB832" s="29" t="str">
        <f>IF(X832="","",IFERROR(INDEX($AR$11:$AR$4010,MATCH(822,$AY$11:$AY$4010,0)),""))</f>
        <v/>
      </c>
      <c r="AD832" s="30" t="str">
        <f>IF(AE832="","",IFERROR(INDEX($AL$11:$AL$4010,MATCH(822,$AZ$11:$AZ$4010,0)),""))</f>
        <v/>
      </c>
      <c r="AE832" s="26" t="str">
        <f>IFERROR(INDEX($AM$11:$AM$4010,MATCH(822,$AZ$11:$AZ$4010,0)),"")</f>
        <v/>
      </c>
      <c r="AF832" s="25" t="str">
        <f>IF(AE832="","",IFERROR(INDEX($AN$11:$AN$4010,MATCH(822,$AZ$11:$AZ$4010,0)),""))</f>
        <v/>
      </c>
      <c r="AG832" s="25" t="str">
        <f>IF(AE832="","",IFERROR(INDEX($AO$11:$AO$4010,MATCH(822,$AZ$11:$AZ$4010,0)),""))</f>
        <v/>
      </c>
      <c r="AH832" s="24" t="str">
        <f>IF(AE832="","",IFERROR(INDEX($AQ$11:$AQ$4010,MATCH(822,$AZ$11:$AZ$4010,0)),""))</f>
        <v/>
      </c>
      <c r="AI832" s="29" t="str">
        <f>IF(AE832="","",IFERROR(INDEX($AR$11:$AR$4010,MATCH(822,$AZ$11:$AZ$4010,0)),""))</f>
        <v/>
      </c>
      <c r="AJ832" s="29" t="str">
        <f>IF(AE832="","",IFERROR(INDEX($AT$11:$AT$4010,MATCH(822,$AZ$11:$AZ$4010,0)),""))</f>
        <v/>
      </c>
      <c r="AL832" s="31"/>
      <c r="AM832" s="26"/>
      <c r="AN832" s="32"/>
      <c r="AO832" s="32"/>
      <c r="AP832" s="24"/>
      <c r="AQ832" s="24"/>
      <c r="AR832" s="33"/>
      <c r="AS832" s="34"/>
      <c r="AT832" s="33"/>
      <c r="AV832" s="21">
        <f>IF(AND($AL832&lt;&gt;"",COUNTIF($AL$11:$AL832,$AL832)=1),1,0)</f>
        <v>0</v>
      </c>
      <c r="AW832" s="21">
        <f t="shared" si="111"/>
        <v>0</v>
      </c>
      <c r="AX832" s="21" t="str">
        <f t="shared" si="110"/>
        <v/>
      </c>
      <c r="AY832" s="21" t="str">
        <f>IF(AND($AM832&lt;&gt;"",$AS832&lt;&gt;"✓"),SUMPRODUCT(($AM$11:$AM832&lt;&gt;"")*($AS$11:$AS832&lt;&gt;"✓")),"")</f>
        <v/>
      </c>
      <c r="AZ832" s="21" t="str">
        <f>IF(AND($AM832&lt;&gt;"",$AS832="✓"),SUMPRODUCT(($AM$11:$AM832&lt;&gt;"")*($AS$11:$AS832="✓")),"")</f>
        <v/>
      </c>
      <c r="BA832" s="21" t="str">
        <f>IF($AL832="","",$AL832&amp;"|"&amp;COUNTIF($AL$11:$AL832,$AL832))</f>
        <v/>
      </c>
    </row>
    <row r="833" spans="23:53" ht="15" customHeight="1" x14ac:dyDescent="0.25">
      <c r="W833" s="14" t="str">
        <f>IF(X833="","",IFERROR(INDEX($AL$11:$AL$4010,MATCH(823,$AY$11:$AY$4010,0)),""))</f>
        <v/>
      </c>
      <c r="X833" s="12" t="str">
        <f>IFERROR(INDEX($AM$11:$AM$4010,MATCH(823,$AY$11:$AY$4010,0)),"")</f>
        <v/>
      </c>
      <c r="Y833" s="11" t="str">
        <f>IF(X833="","",IFERROR(INDEX($AN$11:$AN$4010,MATCH(823,$AY$11:$AY$4010,0)),""))</f>
        <v/>
      </c>
      <c r="Z833" s="11" t="str">
        <f>IF(X833="","",IFERROR(INDEX($AO$11:$AO$4010,MATCH(823,$AY$11:$AY$4010,0)),""))</f>
        <v/>
      </c>
      <c r="AA833" s="10" t="str">
        <f>IF(X833="","",IFERROR(INDEX($AQ$11:$AQ$4010,MATCH(823,$AY$11:$AY$4010,0)),""))</f>
        <v/>
      </c>
      <c r="AB833" s="15" t="str">
        <f>IF(X833="","",IFERROR(INDEX($AR$11:$AR$4010,MATCH(823,$AY$11:$AY$4010,0)),""))</f>
        <v/>
      </c>
      <c r="AD833" s="16" t="str">
        <f>IF(AE833="","",IFERROR(INDEX($AL$11:$AL$4010,MATCH(823,$AZ$11:$AZ$4010,0)),""))</f>
        <v/>
      </c>
      <c r="AE833" s="12" t="str">
        <f>IFERROR(INDEX($AM$11:$AM$4010,MATCH(823,$AZ$11:$AZ$4010,0)),"")</f>
        <v/>
      </c>
      <c r="AF833" s="11" t="str">
        <f>IF(AE833="","",IFERROR(INDEX($AN$11:$AN$4010,MATCH(823,$AZ$11:$AZ$4010,0)),""))</f>
        <v/>
      </c>
      <c r="AG833" s="11" t="str">
        <f>IF(AE833="","",IFERROR(INDEX($AO$11:$AO$4010,MATCH(823,$AZ$11:$AZ$4010,0)),""))</f>
        <v/>
      </c>
      <c r="AH833" s="10" t="str">
        <f>IF(AE833="","",IFERROR(INDEX($AQ$11:$AQ$4010,MATCH(823,$AZ$11:$AZ$4010,0)),""))</f>
        <v/>
      </c>
      <c r="AI833" s="15" t="str">
        <f>IF(AE833="","",IFERROR(INDEX($AR$11:$AR$4010,MATCH(823,$AZ$11:$AZ$4010,0)),""))</f>
        <v/>
      </c>
      <c r="AJ833" s="15" t="str">
        <f>IF(AE833="","",IFERROR(INDEX($AT$11:$AT$4010,MATCH(823,$AZ$11:$AZ$4010,0)),""))</f>
        <v/>
      </c>
      <c r="AL833" s="17"/>
      <c r="AM833" s="12"/>
      <c r="AN833" s="18"/>
      <c r="AO833" s="18"/>
      <c r="AP833" s="10"/>
      <c r="AQ833" s="10"/>
      <c r="AR833" s="19"/>
      <c r="AS833" s="20"/>
      <c r="AT833" s="19"/>
      <c r="AV833" s="21">
        <f>IF(AND($AL833&lt;&gt;"",COUNTIF($AL$11:$AL833,$AL833)=1),1,0)</f>
        <v>0</v>
      </c>
      <c r="AW833" s="21">
        <f t="shared" si="111"/>
        <v>0</v>
      </c>
      <c r="AX833" s="21" t="str">
        <f t="shared" si="110"/>
        <v/>
      </c>
      <c r="AY833" s="21" t="str">
        <f>IF(AND($AM833&lt;&gt;"",$AS833&lt;&gt;"✓"),SUMPRODUCT(($AM$11:$AM833&lt;&gt;"")*($AS$11:$AS833&lt;&gt;"✓")),"")</f>
        <v/>
      </c>
      <c r="AZ833" s="21" t="str">
        <f>IF(AND($AM833&lt;&gt;"",$AS833="✓"),SUMPRODUCT(($AM$11:$AM833&lt;&gt;"")*($AS$11:$AS833="✓")),"")</f>
        <v/>
      </c>
      <c r="BA833" s="21" t="str">
        <f>IF($AL833="","",$AL833&amp;"|"&amp;COUNTIF($AL$11:$AL833,$AL833))</f>
        <v/>
      </c>
    </row>
    <row r="834" spans="23:53" ht="15" customHeight="1" x14ac:dyDescent="0.25">
      <c r="W834" s="28" t="str">
        <f>IF(X834="","",IFERROR(INDEX($AL$11:$AL$4010,MATCH(824,$AY$11:$AY$4010,0)),""))</f>
        <v/>
      </c>
      <c r="X834" s="26" t="str">
        <f>IFERROR(INDEX($AM$11:$AM$4010,MATCH(824,$AY$11:$AY$4010,0)),"")</f>
        <v/>
      </c>
      <c r="Y834" s="25" t="str">
        <f>IF(X834="","",IFERROR(INDEX($AN$11:$AN$4010,MATCH(824,$AY$11:$AY$4010,0)),""))</f>
        <v/>
      </c>
      <c r="Z834" s="25" t="str">
        <f>IF(X834="","",IFERROR(INDEX($AO$11:$AO$4010,MATCH(824,$AY$11:$AY$4010,0)),""))</f>
        <v/>
      </c>
      <c r="AA834" s="24" t="str">
        <f>IF(X834="","",IFERROR(INDEX($AQ$11:$AQ$4010,MATCH(824,$AY$11:$AY$4010,0)),""))</f>
        <v/>
      </c>
      <c r="AB834" s="29" t="str">
        <f>IF(X834="","",IFERROR(INDEX($AR$11:$AR$4010,MATCH(824,$AY$11:$AY$4010,0)),""))</f>
        <v/>
      </c>
      <c r="AD834" s="30" t="str">
        <f>IF(AE834="","",IFERROR(INDEX($AL$11:$AL$4010,MATCH(824,$AZ$11:$AZ$4010,0)),""))</f>
        <v/>
      </c>
      <c r="AE834" s="26" t="str">
        <f>IFERROR(INDEX($AM$11:$AM$4010,MATCH(824,$AZ$11:$AZ$4010,0)),"")</f>
        <v/>
      </c>
      <c r="AF834" s="25" t="str">
        <f>IF(AE834="","",IFERROR(INDEX($AN$11:$AN$4010,MATCH(824,$AZ$11:$AZ$4010,0)),""))</f>
        <v/>
      </c>
      <c r="AG834" s="25" t="str">
        <f>IF(AE834="","",IFERROR(INDEX($AO$11:$AO$4010,MATCH(824,$AZ$11:$AZ$4010,0)),""))</f>
        <v/>
      </c>
      <c r="AH834" s="24" t="str">
        <f>IF(AE834="","",IFERROR(INDEX($AQ$11:$AQ$4010,MATCH(824,$AZ$11:$AZ$4010,0)),""))</f>
        <v/>
      </c>
      <c r="AI834" s="29" t="str">
        <f>IF(AE834="","",IFERROR(INDEX($AR$11:$AR$4010,MATCH(824,$AZ$11:$AZ$4010,0)),""))</f>
        <v/>
      </c>
      <c r="AJ834" s="29" t="str">
        <f>IF(AE834="","",IFERROR(INDEX($AT$11:$AT$4010,MATCH(824,$AZ$11:$AZ$4010,0)),""))</f>
        <v/>
      </c>
      <c r="AL834" s="31"/>
      <c r="AM834" s="26"/>
      <c r="AN834" s="32"/>
      <c r="AO834" s="32"/>
      <c r="AP834" s="24"/>
      <c r="AQ834" s="24"/>
      <c r="AR834" s="33"/>
      <c r="AS834" s="34"/>
      <c r="AT834" s="33"/>
      <c r="AV834" s="21">
        <f>IF(AND($AL834&lt;&gt;"",COUNTIF($AL$11:$AL834,$AL834)=1),1,0)</f>
        <v>0</v>
      </c>
      <c r="AW834" s="21">
        <f t="shared" si="111"/>
        <v>0</v>
      </c>
      <c r="AX834" s="21" t="str">
        <f t="shared" si="110"/>
        <v/>
      </c>
      <c r="AY834" s="21" t="str">
        <f>IF(AND($AM834&lt;&gt;"",$AS834&lt;&gt;"✓"),SUMPRODUCT(($AM$11:$AM834&lt;&gt;"")*($AS$11:$AS834&lt;&gt;"✓")),"")</f>
        <v/>
      </c>
      <c r="AZ834" s="21" t="str">
        <f>IF(AND($AM834&lt;&gt;"",$AS834="✓"),SUMPRODUCT(($AM$11:$AM834&lt;&gt;"")*($AS$11:$AS834="✓")),"")</f>
        <v/>
      </c>
      <c r="BA834" s="21" t="str">
        <f>IF($AL834="","",$AL834&amp;"|"&amp;COUNTIF($AL$11:$AL834,$AL834))</f>
        <v/>
      </c>
    </row>
    <row r="835" spans="23:53" ht="15" customHeight="1" x14ac:dyDescent="0.25">
      <c r="W835" s="14" t="str">
        <f>IF(X835="","",IFERROR(INDEX($AL$11:$AL$4010,MATCH(825,$AY$11:$AY$4010,0)),""))</f>
        <v/>
      </c>
      <c r="X835" s="12" t="str">
        <f>IFERROR(INDEX($AM$11:$AM$4010,MATCH(825,$AY$11:$AY$4010,0)),"")</f>
        <v/>
      </c>
      <c r="Y835" s="11" t="str">
        <f>IF(X835="","",IFERROR(INDEX($AN$11:$AN$4010,MATCH(825,$AY$11:$AY$4010,0)),""))</f>
        <v/>
      </c>
      <c r="Z835" s="11" t="str">
        <f>IF(X835="","",IFERROR(INDEX($AO$11:$AO$4010,MATCH(825,$AY$11:$AY$4010,0)),""))</f>
        <v/>
      </c>
      <c r="AA835" s="10" t="str">
        <f>IF(X835="","",IFERROR(INDEX($AQ$11:$AQ$4010,MATCH(825,$AY$11:$AY$4010,0)),""))</f>
        <v/>
      </c>
      <c r="AB835" s="15" t="str">
        <f>IF(X835="","",IFERROR(INDEX($AR$11:$AR$4010,MATCH(825,$AY$11:$AY$4010,0)),""))</f>
        <v/>
      </c>
      <c r="AD835" s="16" t="str">
        <f>IF(AE835="","",IFERROR(INDEX($AL$11:$AL$4010,MATCH(825,$AZ$11:$AZ$4010,0)),""))</f>
        <v/>
      </c>
      <c r="AE835" s="12" t="str">
        <f>IFERROR(INDEX($AM$11:$AM$4010,MATCH(825,$AZ$11:$AZ$4010,0)),"")</f>
        <v/>
      </c>
      <c r="AF835" s="11" t="str">
        <f>IF(AE835="","",IFERROR(INDEX($AN$11:$AN$4010,MATCH(825,$AZ$11:$AZ$4010,0)),""))</f>
        <v/>
      </c>
      <c r="AG835" s="11" t="str">
        <f>IF(AE835="","",IFERROR(INDEX($AO$11:$AO$4010,MATCH(825,$AZ$11:$AZ$4010,0)),""))</f>
        <v/>
      </c>
      <c r="AH835" s="10" t="str">
        <f>IF(AE835="","",IFERROR(INDEX($AQ$11:$AQ$4010,MATCH(825,$AZ$11:$AZ$4010,0)),""))</f>
        <v/>
      </c>
      <c r="AI835" s="15" t="str">
        <f>IF(AE835="","",IFERROR(INDEX($AR$11:$AR$4010,MATCH(825,$AZ$11:$AZ$4010,0)),""))</f>
        <v/>
      </c>
      <c r="AJ835" s="15" t="str">
        <f>IF(AE835="","",IFERROR(INDEX($AT$11:$AT$4010,MATCH(825,$AZ$11:$AZ$4010,0)),""))</f>
        <v/>
      </c>
      <c r="AL835" s="17"/>
      <c r="AM835" s="12"/>
      <c r="AN835" s="18"/>
      <c r="AO835" s="18"/>
      <c r="AP835" s="10"/>
      <c r="AQ835" s="10"/>
      <c r="AR835" s="19"/>
      <c r="AS835" s="20"/>
      <c r="AT835" s="19"/>
      <c r="AV835" s="21">
        <f>IF(AND($AL835&lt;&gt;"",COUNTIF($AL$11:$AL835,$AL835)=1),1,0)</f>
        <v>0</v>
      </c>
      <c r="AW835" s="21">
        <f t="shared" si="111"/>
        <v>0</v>
      </c>
      <c r="AX835" s="21" t="str">
        <f t="shared" si="110"/>
        <v/>
      </c>
      <c r="AY835" s="21" t="str">
        <f>IF(AND($AM835&lt;&gt;"",$AS835&lt;&gt;"✓"),SUMPRODUCT(($AM$11:$AM835&lt;&gt;"")*($AS$11:$AS835&lt;&gt;"✓")),"")</f>
        <v/>
      </c>
      <c r="AZ835" s="21" t="str">
        <f>IF(AND($AM835&lt;&gt;"",$AS835="✓"),SUMPRODUCT(($AM$11:$AM835&lt;&gt;"")*($AS$11:$AS835="✓")),"")</f>
        <v/>
      </c>
      <c r="BA835" s="21" t="str">
        <f>IF($AL835="","",$AL835&amp;"|"&amp;COUNTIF($AL$11:$AL835,$AL835))</f>
        <v/>
      </c>
    </row>
    <row r="836" spans="23:53" ht="15" customHeight="1" x14ac:dyDescent="0.25">
      <c r="W836" s="28" t="str">
        <f>IF(X836="","",IFERROR(INDEX($AL$11:$AL$4010,MATCH(826,$AY$11:$AY$4010,0)),""))</f>
        <v/>
      </c>
      <c r="X836" s="26" t="str">
        <f>IFERROR(INDEX($AM$11:$AM$4010,MATCH(826,$AY$11:$AY$4010,0)),"")</f>
        <v/>
      </c>
      <c r="Y836" s="25" t="str">
        <f>IF(X836="","",IFERROR(INDEX($AN$11:$AN$4010,MATCH(826,$AY$11:$AY$4010,0)),""))</f>
        <v/>
      </c>
      <c r="Z836" s="25" t="str">
        <f>IF(X836="","",IFERROR(INDEX($AO$11:$AO$4010,MATCH(826,$AY$11:$AY$4010,0)),""))</f>
        <v/>
      </c>
      <c r="AA836" s="24" t="str">
        <f>IF(X836="","",IFERROR(INDEX($AQ$11:$AQ$4010,MATCH(826,$AY$11:$AY$4010,0)),""))</f>
        <v/>
      </c>
      <c r="AB836" s="29" t="str">
        <f>IF(X836="","",IFERROR(INDEX($AR$11:$AR$4010,MATCH(826,$AY$11:$AY$4010,0)),""))</f>
        <v/>
      </c>
      <c r="AD836" s="30" t="str">
        <f>IF(AE836="","",IFERROR(INDEX($AL$11:$AL$4010,MATCH(826,$AZ$11:$AZ$4010,0)),""))</f>
        <v/>
      </c>
      <c r="AE836" s="26" t="str">
        <f>IFERROR(INDEX($AM$11:$AM$4010,MATCH(826,$AZ$11:$AZ$4010,0)),"")</f>
        <v/>
      </c>
      <c r="AF836" s="25" t="str">
        <f>IF(AE836="","",IFERROR(INDEX($AN$11:$AN$4010,MATCH(826,$AZ$11:$AZ$4010,0)),""))</f>
        <v/>
      </c>
      <c r="AG836" s="25" t="str">
        <f>IF(AE836="","",IFERROR(INDEX($AO$11:$AO$4010,MATCH(826,$AZ$11:$AZ$4010,0)),""))</f>
        <v/>
      </c>
      <c r="AH836" s="24" t="str">
        <f>IF(AE836="","",IFERROR(INDEX($AQ$11:$AQ$4010,MATCH(826,$AZ$11:$AZ$4010,0)),""))</f>
        <v/>
      </c>
      <c r="AI836" s="29" t="str">
        <f>IF(AE836="","",IFERROR(INDEX($AR$11:$AR$4010,MATCH(826,$AZ$11:$AZ$4010,0)),""))</f>
        <v/>
      </c>
      <c r="AJ836" s="29" t="str">
        <f>IF(AE836="","",IFERROR(INDEX($AT$11:$AT$4010,MATCH(826,$AZ$11:$AZ$4010,0)),""))</f>
        <v/>
      </c>
      <c r="AL836" s="31"/>
      <c r="AM836" s="26"/>
      <c r="AN836" s="32"/>
      <c r="AO836" s="32"/>
      <c r="AP836" s="24"/>
      <c r="AQ836" s="24"/>
      <c r="AR836" s="33"/>
      <c r="AS836" s="34"/>
      <c r="AT836" s="33"/>
      <c r="AV836" s="21">
        <f>IF(AND($AL836&lt;&gt;"",COUNTIF($AL$11:$AL836,$AL836)=1),1,0)</f>
        <v>0</v>
      </c>
      <c r="AW836" s="21">
        <f t="shared" si="111"/>
        <v>0</v>
      </c>
      <c r="AX836" s="21" t="str">
        <f t="shared" si="110"/>
        <v/>
      </c>
      <c r="AY836" s="21" t="str">
        <f>IF(AND($AM836&lt;&gt;"",$AS836&lt;&gt;"✓"),SUMPRODUCT(($AM$11:$AM836&lt;&gt;"")*($AS$11:$AS836&lt;&gt;"✓")),"")</f>
        <v/>
      </c>
      <c r="AZ836" s="21" t="str">
        <f>IF(AND($AM836&lt;&gt;"",$AS836="✓"),SUMPRODUCT(($AM$11:$AM836&lt;&gt;"")*($AS$11:$AS836="✓")),"")</f>
        <v/>
      </c>
      <c r="BA836" s="21" t="str">
        <f>IF($AL836="","",$AL836&amp;"|"&amp;COUNTIF($AL$11:$AL836,$AL836))</f>
        <v/>
      </c>
    </row>
    <row r="837" spans="23:53" ht="15" customHeight="1" x14ac:dyDescent="0.25">
      <c r="W837" s="14" t="str">
        <f>IF(X837="","",IFERROR(INDEX($AL$11:$AL$4010,MATCH(827,$AY$11:$AY$4010,0)),""))</f>
        <v/>
      </c>
      <c r="X837" s="12" t="str">
        <f>IFERROR(INDEX($AM$11:$AM$4010,MATCH(827,$AY$11:$AY$4010,0)),"")</f>
        <v/>
      </c>
      <c r="Y837" s="11" t="str">
        <f>IF(X837="","",IFERROR(INDEX($AN$11:$AN$4010,MATCH(827,$AY$11:$AY$4010,0)),""))</f>
        <v/>
      </c>
      <c r="Z837" s="11" t="str">
        <f>IF(X837="","",IFERROR(INDEX($AO$11:$AO$4010,MATCH(827,$AY$11:$AY$4010,0)),""))</f>
        <v/>
      </c>
      <c r="AA837" s="10" t="str">
        <f>IF(X837="","",IFERROR(INDEX($AQ$11:$AQ$4010,MATCH(827,$AY$11:$AY$4010,0)),""))</f>
        <v/>
      </c>
      <c r="AB837" s="15" t="str">
        <f>IF(X837="","",IFERROR(INDEX($AR$11:$AR$4010,MATCH(827,$AY$11:$AY$4010,0)),""))</f>
        <v/>
      </c>
      <c r="AD837" s="16" t="str">
        <f>IF(AE837="","",IFERROR(INDEX($AL$11:$AL$4010,MATCH(827,$AZ$11:$AZ$4010,0)),""))</f>
        <v/>
      </c>
      <c r="AE837" s="12" t="str">
        <f>IFERROR(INDEX($AM$11:$AM$4010,MATCH(827,$AZ$11:$AZ$4010,0)),"")</f>
        <v/>
      </c>
      <c r="AF837" s="11" t="str">
        <f>IF(AE837="","",IFERROR(INDEX($AN$11:$AN$4010,MATCH(827,$AZ$11:$AZ$4010,0)),""))</f>
        <v/>
      </c>
      <c r="AG837" s="11" t="str">
        <f>IF(AE837="","",IFERROR(INDEX($AO$11:$AO$4010,MATCH(827,$AZ$11:$AZ$4010,0)),""))</f>
        <v/>
      </c>
      <c r="AH837" s="10" t="str">
        <f>IF(AE837="","",IFERROR(INDEX($AQ$11:$AQ$4010,MATCH(827,$AZ$11:$AZ$4010,0)),""))</f>
        <v/>
      </c>
      <c r="AI837" s="15" t="str">
        <f>IF(AE837="","",IFERROR(INDEX($AR$11:$AR$4010,MATCH(827,$AZ$11:$AZ$4010,0)),""))</f>
        <v/>
      </c>
      <c r="AJ837" s="15" t="str">
        <f>IF(AE837="","",IFERROR(INDEX($AT$11:$AT$4010,MATCH(827,$AZ$11:$AZ$4010,0)),""))</f>
        <v/>
      </c>
      <c r="AL837" s="17"/>
      <c r="AM837" s="12"/>
      <c r="AN837" s="18"/>
      <c r="AO837" s="18"/>
      <c r="AP837" s="10"/>
      <c r="AQ837" s="10"/>
      <c r="AR837" s="19"/>
      <c r="AS837" s="20"/>
      <c r="AT837" s="19"/>
      <c r="AV837" s="21">
        <f>IF(AND($AL837&lt;&gt;"",COUNTIF($AL$11:$AL837,$AL837)=1),1,0)</f>
        <v>0</v>
      </c>
      <c r="AW837" s="21">
        <f t="shared" si="111"/>
        <v>0</v>
      </c>
      <c r="AX837" s="21" t="str">
        <f t="shared" si="110"/>
        <v/>
      </c>
      <c r="AY837" s="21" t="str">
        <f>IF(AND($AM837&lt;&gt;"",$AS837&lt;&gt;"✓"),SUMPRODUCT(($AM$11:$AM837&lt;&gt;"")*($AS$11:$AS837&lt;&gt;"✓")),"")</f>
        <v/>
      </c>
      <c r="AZ837" s="21" t="str">
        <f>IF(AND($AM837&lt;&gt;"",$AS837="✓"),SUMPRODUCT(($AM$11:$AM837&lt;&gt;"")*($AS$11:$AS837="✓")),"")</f>
        <v/>
      </c>
      <c r="BA837" s="21" t="str">
        <f>IF($AL837="","",$AL837&amp;"|"&amp;COUNTIF($AL$11:$AL837,$AL837))</f>
        <v/>
      </c>
    </row>
    <row r="838" spans="23:53" ht="15" customHeight="1" x14ac:dyDescent="0.25">
      <c r="W838" s="28" t="str">
        <f>IF(X838="","",IFERROR(INDEX($AL$11:$AL$4010,MATCH(828,$AY$11:$AY$4010,0)),""))</f>
        <v/>
      </c>
      <c r="X838" s="26" t="str">
        <f>IFERROR(INDEX($AM$11:$AM$4010,MATCH(828,$AY$11:$AY$4010,0)),"")</f>
        <v/>
      </c>
      <c r="Y838" s="25" t="str">
        <f>IF(X838="","",IFERROR(INDEX($AN$11:$AN$4010,MATCH(828,$AY$11:$AY$4010,0)),""))</f>
        <v/>
      </c>
      <c r="Z838" s="25" t="str">
        <f>IF(X838="","",IFERROR(INDEX($AO$11:$AO$4010,MATCH(828,$AY$11:$AY$4010,0)),""))</f>
        <v/>
      </c>
      <c r="AA838" s="24" t="str">
        <f>IF(X838="","",IFERROR(INDEX($AQ$11:$AQ$4010,MATCH(828,$AY$11:$AY$4010,0)),""))</f>
        <v/>
      </c>
      <c r="AB838" s="29" t="str">
        <f>IF(X838="","",IFERROR(INDEX($AR$11:$AR$4010,MATCH(828,$AY$11:$AY$4010,0)),""))</f>
        <v/>
      </c>
      <c r="AD838" s="30" t="str">
        <f>IF(AE838="","",IFERROR(INDEX($AL$11:$AL$4010,MATCH(828,$AZ$11:$AZ$4010,0)),""))</f>
        <v/>
      </c>
      <c r="AE838" s="26" t="str">
        <f>IFERROR(INDEX($AM$11:$AM$4010,MATCH(828,$AZ$11:$AZ$4010,0)),"")</f>
        <v/>
      </c>
      <c r="AF838" s="25" t="str">
        <f>IF(AE838="","",IFERROR(INDEX($AN$11:$AN$4010,MATCH(828,$AZ$11:$AZ$4010,0)),""))</f>
        <v/>
      </c>
      <c r="AG838" s="25" t="str">
        <f>IF(AE838="","",IFERROR(INDEX($AO$11:$AO$4010,MATCH(828,$AZ$11:$AZ$4010,0)),""))</f>
        <v/>
      </c>
      <c r="AH838" s="24" t="str">
        <f>IF(AE838="","",IFERROR(INDEX($AQ$11:$AQ$4010,MATCH(828,$AZ$11:$AZ$4010,0)),""))</f>
        <v/>
      </c>
      <c r="AI838" s="29" t="str">
        <f>IF(AE838="","",IFERROR(INDEX($AR$11:$AR$4010,MATCH(828,$AZ$11:$AZ$4010,0)),""))</f>
        <v/>
      </c>
      <c r="AJ838" s="29" t="str">
        <f>IF(AE838="","",IFERROR(INDEX($AT$11:$AT$4010,MATCH(828,$AZ$11:$AZ$4010,0)),""))</f>
        <v/>
      </c>
      <c r="AL838" s="31"/>
      <c r="AM838" s="26"/>
      <c r="AN838" s="32"/>
      <c r="AO838" s="32"/>
      <c r="AP838" s="24"/>
      <c r="AQ838" s="24"/>
      <c r="AR838" s="33"/>
      <c r="AS838" s="34"/>
      <c r="AT838" s="33"/>
      <c r="AV838" s="21">
        <f>IF(AND($AL838&lt;&gt;"",COUNTIF($AL$11:$AL838,$AL838)=1),1,0)</f>
        <v>0</v>
      </c>
      <c r="AW838" s="21">
        <f t="shared" si="111"/>
        <v>0</v>
      </c>
      <c r="AX838" s="21" t="str">
        <f t="shared" si="110"/>
        <v/>
      </c>
      <c r="AY838" s="21" t="str">
        <f>IF(AND($AM838&lt;&gt;"",$AS838&lt;&gt;"✓"),SUMPRODUCT(($AM$11:$AM838&lt;&gt;"")*($AS$11:$AS838&lt;&gt;"✓")),"")</f>
        <v/>
      </c>
      <c r="AZ838" s="21" t="str">
        <f>IF(AND($AM838&lt;&gt;"",$AS838="✓"),SUMPRODUCT(($AM$11:$AM838&lt;&gt;"")*($AS$11:$AS838="✓")),"")</f>
        <v/>
      </c>
      <c r="BA838" s="21" t="str">
        <f>IF($AL838="","",$AL838&amp;"|"&amp;COUNTIF($AL$11:$AL838,$AL838))</f>
        <v/>
      </c>
    </row>
    <row r="839" spans="23:53" ht="15" customHeight="1" x14ac:dyDescent="0.25">
      <c r="W839" s="14" t="str">
        <f>IF(X839="","",IFERROR(INDEX($AL$11:$AL$4010,MATCH(829,$AY$11:$AY$4010,0)),""))</f>
        <v/>
      </c>
      <c r="X839" s="12" t="str">
        <f>IFERROR(INDEX($AM$11:$AM$4010,MATCH(829,$AY$11:$AY$4010,0)),"")</f>
        <v/>
      </c>
      <c r="Y839" s="11" t="str">
        <f>IF(X839="","",IFERROR(INDEX($AN$11:$AN$4010,MATCH(829,$AY$11:$AY$4010,0)),""))</f>
        <v/>
      </c>
      <c r="Z839" s="11" t="str">
        <f>IF(X839="","",IFERROR(INDEX($AO$11:$AO$4010,MATCH(829,$AY$11:$AY$4010,0)),""))</f>
        <v/>
      </c>
      <c r="AA839" s="10" t="str">
        <f>IF(X839="","",IFERROR(INDEX($AQ$11:$AQ$4010,MATCH(829,$AY$11:$AY$4010,0)),""))</f>
        <v/>
      </c>
      <c r="AB839" s="15" t="str">
        <f>IF(X839="","",IFERROR(INDEX($AR$11:$AR$4010,MATCH(829,$AY$11:$AY$4010,0)),""))</f>
        <v/>
      </c>
      <c r="AD839" s="16" t="str">
        <f>IF(AE839="","",IFERROR(INDEX($AL$11:$AL$4010,MATCH(829,$AZ$11:$AZ$4010,0)),""))</f>
        <v/>
      </c>
      <c r="AE839" s="12" t="str">
        <f>IFERROR(INDEX($AM$11:$AM$4010,MATCH(829,$AZ$11:$AZ$4010,0)),"")</f>
        <v/>
      </c>
      <c r="AF839" s="11" t="str">
        <f>IF(AE839="","",IFERROR(INDEX($AN$11:$AN$4010,MATCH(829,$AZ$11:$AZ$4010,0)),""))</f>
        <v/>
      </c>
      <c r="AG839" s="11" t="str">
        <f>IF(AE839="","",IFERROR(INDEX($AO$11:$AO$4010,MATCH(829,$AZ$11:$AZ$4010,0)),""))</f>
        <v/>
      </c>
      <c r="AH839" s="10" t="str">
        <f>IF(AE839="","",IFERROR(INDEX($AQ$11:$AQ$4010,MATCH(829,$AZ$11:$AZ$4010,0)),""))</f>
        <v/>
      </c>
      <c r="AI839" s="15" t="str">
        <f>IF(AE839="","",IFERROR(INDEX($AR$11:$AR$4010,MATCH(829,$AZ$11:$AZ$4010,0)),""))</f>
        <v/>
      </c>
      <c r="AJ839" s="15" t="str">
        <f>IF(AE839="","",IFERROR(INDEX($AT$11:$AT$4010,MATCH(829,$AZ$11:$AZ$4010,0)),""))</f>
        <v/>
      </c>
      <c r="AL839" s="17"/>
      <c r="AM839" s="12"/>
      <c r="AN839" s="18"/>
      <c r="AO839" s="18"/>
      <c r="AP839" s="10"/>
      <c r="AQ839" s="10"/>
      <c r="AR839" s="19"/>
      <c r="AS839" s="20"/>
      <c r="AT839" s="19"/>
      <c r="AV839" s="21">
        <f>IF(AND($AL839&lt;&gt;"",COUNTIF($AL$11:$AL839,$AL839)=1),1,0)</f>
        <v>0</v>
      </c>
      <c r="AW839" s="21">
        <f t="shared" si="111"/>
        <v>0</v>
      </c>
      <c r="AX839" s="21" t="str">
        <f t="shared" si="110"/>
        <v/>
      </c>
      <c r="AY839" s="21" t="str">
        <f>IF(AND($AM839&lt;&gt;"",$AS839&lt;&gt;"✓"),SUMPRODUCT(($AM$11:$AM839&lt;&gt;"")*($AS$11:$AS839&lt;&gt;"✓")),"")</f>
        <v/>
      </c>
      <c r="AZ839" s="21" t="str">
        <f>IF(AND($AM839&lt;&gt;"",$AS839="✓"),SUMPRODUCT(($AM$11:$AM839&lt;&gt;"")*($AS$11:$AS839="✓")),"")</f>
        <v/>
      </c>
      <c r="BA839" s="21" t="str">
        <f>IF($AL839="","",$AL839&amp;"|"&amp;COUNTIF($AL$11:$AL839,$AL839))</f>
        <v/>
      </c>
    </row>
    <row r="840" spans="23:53" ht="15" customHeight="1" x14ac:dyDescent="0.25">
      <c r="W840" s="28" t="str">
        <f>IF(X840="","",IFERROR(INDEX($AL$11:$AL$4010,MATCH(830,$AY$11:$AY$4010,0)),""))</f>
        <v/>
      </c>
      <c r="X840" s="26" t="str">
        <f>IFERROR(INDEX($AM$11:$AM$4010,MATCH(830,$AY$11:$AY$4010,0)),"")</f>
        <v/>
      </c>
      <c r="Y840" s="25" t="str">
        <f>IF(X840="","",IFERROR(INDEX($AN$11:$AN$4010,MATCH(830,$AY$11:$AY$4010,0)),""))</f>
        <v/>
      </c>
      <c r="Z840" s="25" t="str">
        <f>IF(X840="","",IFERROR(INDEX($AO$11:$AO$4010,MATCH(830,$AY$11:$AY$4010,0)),""))</f>
        <v/>
      </c>
      <c r="AA840" s="24" t="str">
        <f>IF(X840="","",IFERROR(INDEX($AQ$11:$AQ$4010,MATCH(830,$AY$11:$AY$4010,0)),""))</f>
        <v/>
      </c>
      <c r="AB840" s="29" t="str">
        <f>IF(X840="","",IFERROR(INDEX($AR$11:$AR$4010,MATCH(830,$AY$11:$AY$4010,0)),""))</f>
        <v/>
      </c>
      <c r="AD840" s="30" t="str">
        <f>IF(AE840="","",IFERROR(INDEX($AL$11:$AL$4010,MATCH(830,$AZ$11:$AZ$4010,0)),""))</f>
        <v/>
      </c>
      <c r="AE840" s="26" t="str">
        <f>IFERROR(INDEX($AM$11:$AM$4010,MATCH(830,$AZ$11:$AZ$4010,0)),"")</f>
        <v/>
      </c>
      <c r="AF840" s="25" t="str">
        <f>IF(AE840="","",IFERROR(INDEX($AN$11:$AN$4010,MATCH(830,$AZ$11:$AZ$4010,0)),""))</f>
        <v/>
      </c>
      <c r="AG840" s="25" t="str">
        <f>IF(AE840="","",IFERROR(INDEX($AO$11:$AO$4010,MATCH(830,$AZ$11:$AZ$4010,0)),""))</f>
        <v/>
      </c>
      <c r="AH840" s="24" t="str">
        <f>IF(AE840="","",IFERROR(INDEX($AQ$11:$AQ$4010,MATCH(830,$AZ$11:$AZ$4010,0)),""))</f>
        <v/>
      </c>
      <c r="AI840" s="29" t="str">
        <f>IF(AE840="","",IFERROR(INDEX($AR$11:$AR$4010,MATCH(830,$AZ$11:$AZ$4010,0)),""))</f>
        <v/>
      </c>
      <c r="AJ840" s="29" t="str">
        <f>IF(AE840="","",IFERROR(INDEX($AT$11:$AT$4010,MATCH(830,$AZ$11:$AZ$4010,0)),""))</f>
        <v/>
      </c>
      <c r="AL840" s="31"/>
      <c r="AM840" s="26"/>
      <c r="AN840" s="32"/>
      <c r="AO840" s="32"/>
      <c r="AP840" s="24"/>
      <c r="AQ840" s="24"/>
      <c r="AR840" s="33"/>
      <c r="AS840" s="34"/>
      <c r="AT840" s="33"/>
      <c r="AV840" s="21">
        <f>IF(AND($AL840&lt;&gt;"",COUNTIF($AL$11:$AL840,$AL840)=1),1,0)</f>
        <v>0</v>
      </c>
      <c r="AW840" s="21">
        <f t="shared" si="111"/>
        <v>0</v>
      </c>
      <c r="AX840" s="21" t="str">
        <f t="shared" si="110"/>
        <v/>
      </c>
      <c r="AY840" s="21" t="str">
        <f>IF(AND($AM840&lt;&gt;"",$AS840&lt;&gt;"✓"),SUMPRODUCT(($AM$11:$AM840&lt;&gt;"")*($AS$11:$AS840&lt;&gt;"✓")),"")</f>
        <v/>
      </c>
      <c r="AZ840" s="21" t="str">
        <f>IF(AND($AM840&lt;&gt;"",$AS840="✓"),SUMPRODUCT(($AM$11:$AM840&lt;&gt;"")*($AS$11:$AS840="✓")),"")</f>
        <v/>
      </c>
      <c r="BA840" s="21" t="str">
        <f>IF($AL840="","",$AL840&amp;"|"&amp;COUNTIF($AL$11:$AL840,$AL840))</f>
        <v/>
      </c>
    </row>
    <row r="841" spans="23:53" ht="15" customHeight="1" x14ac:dyDescent="0.25">
      <c r="W841" s="14" t="str">
        <f>IF(X841="","",IFERROR(INDEX($AL$11:$AL$4010,MATCH(831,$AY$11:$AY$4010,0)),""))</f>
        <v/>
      </c>
      <c r="X841" s="12" t="str">
        <f>IFERROR(INDEX($AM$11:$AM$4010,MATCH(831,$AY$11:$AY$4010,0)),"")</f>
        <v/>
      </c>
      <c r="Y841" s="11" t="str">
        <f>IF(X841="","",IFERROR(INDEX($AN$11:$AN$4010,MATCH(831,$AY$11:$AY$4010,0)),""))</f>
        <v/>
      </c>
      <c r="Z841" s="11" t="str">
        <f>IF(X841="","",IFERROR(INDEX($AO$11:$AO$4010,MATCH(831,$AY$11:$AY$4010,0)),""))</f>
        <v/>
      </c>
      <c r="AA841" s="10" t="str">
        <f>IF(X841="","",IFERROR(INDEX($AQ$11:$AQ$4010,MATCH(831,$AY$11:$AY$4010,0)),""))</f>
        <v/>
      </c>
      <c r="AB841" s="15" t="str">
        <f>IF(X841="","",IFERROR(INDEX($AR$11:$AR$4010,MATCH(831,$AY$11:$AY$4010,0)),""))</f>
        <v/>
      </c>
      <c r="AD841" s="16" t="str">
        <f>IF(AE841="","",IFERROR(INDEX($AL$11:$AL$4010,MATCH(831,$AZ$11:$AZ$4010,0)),""))</f>
        <v/>
      </c>
      <c r="AE841" s="12" t="str">
        <f>IFERROR(INDEX($AM$11:$AM$4010,MATCH(831,$AZ$11:$AZ$4010,0)),"")</f>
        <v/>
      </c>
      <c r="AF841" s="11" t="str">
        <f>IF(AE841="","",IFERROR(INDEX($AN$11:$AN$4010,MATCH(831,$AZ$11:$AZ$4010,0)),""))</f>
        <v/>
      </c>
      <c r="AG841" s="11" t="str">
        <f>IF(AE841="","",IFERROR(INDEX($AO$11:$AO$4010,MATCH(831,$AZ$11:$AZ$4010,0)),""))</f>
        <v/>
      </c>
      <c r="AH841" s="10" t="str">
        <f>IF(AE841="","",IFERROR(INDEX($AQ$11:$AQ$4010,MATCH(831,$AZ$11:$AZ$4010,0)),""))</f>
        <v/>
      </c>
      <c r="AI841" s="15" t="str">
        <f>IF(AE841="","",IFERROR(INDEX($AR$11:$AR$4010,MATCH(831,$AZ$11:$AZ$4010,0)),""))</f>
        <v/>
      </c>
      <c r="AJ841" s="15" t="str">
        <f>IF(AE841="","",IFERROR(INDEX($AT$11:$AT$4010,MATCH(831,$AZ$11:$AZ$4010,0)),""))</f>
        <v/>
      </c>
      <c r="AL841" s="17"/>
      <c r="AM841" s="12"/>
      <c r="AN841" s="18"/>
      <c r="AO841" s="18"/>
      <c r="AP841" s="10"/>
      <c r="AQ841" s="10"/>
      <c r="AR841" s="19"/>
      <c r="AS841" s="20"/>
      <c r="AT841" s="19"/>
      <c r="AV841" s="21">
        <f>IF(AND($AL841&lt;&gt;"",COUNTIF($AL$11:$AL841,$AL841)=1),1,0)</f>
        <v>0</v>
      </c>
      <c r="AW841" s="21">
        <f t="shared" si="111"/>
        <v>0</v>
      </c>
      <c r="AX841" s="21" t="str">
        <f t="shared" si="110"/>
        <v/>
      </c>
      <c r="AY841" s="21" t="str">
        <f>IF(AND($AM841&lt;&gt;"",$AS841&lt;&gt;"✓"),SUMPRODUCT(($AM$11:$AM841&lt;&gt;"")*($AS$11:$AS841&lt;&gt;"✓")),"")</f>
        <v/>
      </c>
      <c r="AZ841" s="21" t="str">
        <f>IF(AND($AM841&lt;&gt;"",$AS841="✓"),SUMPRODUCT(($AM$11:$AM841&lt;&gt;"")*($AS$11:$AS841="✓")),"")</f>
        <v/>
      </c>
      <c r="BA841" s="21" t="str">
        <f>IF($AL841="","",$AL841&amp;"|"&amp;COUNTIF($AL$11:$AL841,$AL841))</f>
        <v/>
      </c>
    </row>
    <row r="842" spans="23:53" ht="15" customHeight="1" x14ac:dyDescent="0.25">
      <c r="W842" s="28" t="str">
        <f>IF(X842="","",IFERROR(INDEX($AL$11:$AL$4010,MATCH(832,$AY$11:$AY$4010,0)),""))</f>
        <v/>
      </c>
      <c r="X842" s="26" t="str">
        <f>IFERROR(INDEX($AM$11:$AM$4010,MATCH(832,$AY$11:$AY$4010,0)),"")</f>
        <v/>
      </c>
      <c r="Y842" s="25" t="str">
        <f>IF(X842="","",IFERROR(INDEX($AN$11:$AN$4010,MATCH(832,$AY$11:$AY$4010,0)),""))</f>
        <v/>
      </c>
      <c r="Z842" s="25" t="str">
        <f>IF(X842="","",IFERROR(INDEX($AO$11:$AO$4010,MATCH(832,$AY$11:$AY$4010,0)),""))</f>
        <v/>
      </c>
      <c r="AA842" s="24" t="str">
        <f>IF(X842="","",IFERROR(INDEX($AQ$11:$AQ$4010,MATCH(832,$AY$11:$AY$4010,0)),""))</f>
        <v/>
      </c>
      <c r="AB842" s="29" t="str">
        <f>IF(X842="","",IFERROR(INDEX($AR$11:$AR$4010,MATCH(832,$AY$11:$AY$4010,0)),""))</f>
        <v/>
      </c>
      <c r="AD842" s="30" t="str">
        <f>IF(AE842="","",IFERROR(INDEX($AL$11:$AL$4010,MATCH(832,$AZ$11:$AZ$4010,0)),""))</f>
        <v/>
      </c>
      <c r="AE842" s="26" t="str">
        <f>IFERROR(INDEX($AM$11:$AM$4010,MATCH(832,$AZ$11:$AZ$4010,0)),"")</f>
        <v/>
      </c>
      <c r="AF842" s="25" t="str">
        <f>IF(AE842="","",IFERROR(INDEX($AN$11:$AN$4010,MATCH(832,$AZ$11:$AZ$4010,0)),""))</f>
        <v/>
      </c>
      <c r="AG842" s="25" t="str">
        <f>IF(AE842="","",IFERROR(INDEX($AO$11:$AO$4010,MATCH(832,$AZ$11:$AZ$4010,0)),""))</f>
        <v/>
      </c>
      <c r="AH842" s="24" t="str">
        <f>IF(AE842="","",IFERROR(INDEX($AQ$11:$AQ$4010,MATCH(832,$AZ$11:$AZ$4010,0)),""))</f>
        <v/>
      </c>
      <c r="AI842" s="29" t="str">
        <f>IF(AE842="","",IFERROR(INDEX($AR$11:$AR$4010,MATCH(832,$AZ$11:$AZ$4010,0)),""))</f>
        <v/>
      </c>
      <c r="AJ842" s="29" t="str">
        <f>IF(AE842="","",IFERROR(INDEX($AT$11:$AT$4010,MATCH(832,$AZ$11:$AZ$4010,0)),""))</f>
        <v/>
      </c>
      <c r="AL842" s="31"/>
      <c r="AM842" s="26"/>
      <c r="AN842" s="32"/>
      <c r="AO842" s="32"/>
      <c r="AP842" s="24"/>
      <c r="AQ842" s="24"/>
      <c r="AR842" s="33"/>
      <c r="AS842" s="34"/>
      <c r="AT842" s="33"/>
      <c r="AV842" s="21">
        <f>IF(AND($AL842&lt;&gt;"",COUNTIF($AL$11:$AL842,$AL842)=1),1,0)</f>
        <v>0</v>
      </c>
      <c r="AW842" s="21">
        <f t="shared" si="111"/>
        <v>0</v>
      </c>
      <c r="AX842" s="21" t="str">
        <f t="shared" si="110"/>
        <v/>
      </c>
      <c r="AY842" s="21" t="str">
        <f>IF(AND($AM842&lt;&gt;"",$AS842&lt;&gt;"✓"),SUMPRODUCT(($AM$11:$AM842&lt;&gt;"")*($AS$11:$AS842&lt;&gt;"✓")),"")</f>
        <v/>
      </c>
      <c r="AZ842" s="21" t="str">
        <f>IF(AND($AM842&lt;&gt;"",$AS842="✓"),SUMPRODUCT(($AM$11:$AM842&lt;&gt;"")*($AS$11:$AS842="✓")),"")</f>
        <v/>
      </c>
      <c r="BA842" s="21" t="str">
        <f>IF($AL842="","",$AL842&amp;"|"&amp;COUNTIF($AL$11:$AL842,$AL842))</f>
        <v/>
      </c>
    </row>
    <row r="843" spans="23:53" ht="15" customHeight="1" x14ac:dyDescent="0.25">
      <c r="W843" s="14" t="str">
        <f>IF(X843="","",IFERROR(INDEX($AL$11:$AL$4010,MATCH(833,$AY$11:$AY$4010,0)),""))</f>
        <v/>
      </c>
      <c r="X843" s="12" t="str">
        <f>IFERROR(INDEX($AM$11:$AM$4010,MATCH(833,$AY$11:$AY$4010,0)),"")</f>
        <v/>
      </c>
      <c r="Y843" s="11" t="str">
        <f>IF(X843="","",IFERROR(INDEX($AN$11:$AN$4010,MATCH(833,$AY$11:$AY$4010,0)),""))</f>
        <v/>
      </c>
      <c r="Z843" s="11" t="str">
        <f>IF(X843="","",IFERROR(INDEX($AO$11:$AO$4010,MATCH(833,$AY$11:$AY$4010,0)),""))</f>
        <v/>
      </c>
      <c r="AA843" s="10" t="str">
        <f>IF(X843="","",IFERROR(INDEX($AQ$11:$AQ$4010,MATCH(833,$AY$11:$AY$4010,0)),""))</f>
        <v/>
      </c>
      <c r="AB843" s="15" t="str">
        <f>IF(X843="","",IFERROR(INDEX($AR$11:$AR$4010,MATCH(833,$AY$11:$AY$4010,0)),""))</f>
        <v/>
      </c>
      <c r="AD843" s="16" t="str">
        <f>IF(AE843="","",IFERROR(INDEX($AL$11:$AL$4010,MATCH(833,$AZ$11:$AZ$4010,0)),""))</f>
        <v/>
      </c>
      <c r="AE843" s="12" t="str">
        <f>IFERROR(INDEX($AM$11:$AM$4010,MATCH(833,$AZ$11:$AZ$4010,0)),"")</f>
        <v/>
      </c>
      <c r="AF843" s="11" t="str">
        <f>IF(AE843="","",IFERROR(INDEX($AN$11:$AN$4010,MATCH(833,$AZ$11:$AZ$4010,0)),""))</f>
        <v/>
      </c>
      <c r="AG843" s="11" t="str">
        <f>IF(AE843="","",IFERROR(INDEX($AO$11:$AO$4010,MATCH(833,$AZ$11:$AZ$4010,0)),""))</f>
        <v/>
      </c>
      <c r="AH843" s="10" t="str">
        <f>IF(AE843="","",IFERROR(INDEX($AQ$11:$AQ$4010,MATCH(833,$AZ$11:$AZ$4010,0)),""))</f>
        <v/>
      </c>
      <c r="AI843" s="15" t="str">
        <f>IF(AE843="","",IFERROR(INDEX($AR$11:$AR$4010,MATCH(833,$AZ$11:$AZ$4010,0)),""))</f>
        <v/>
      </c>
      <c r="AJ843" s="15" t="str">
        <f>IF(AE843="","",IFERROR(INDEX($AT$11:$AT$4010,MATCH(833,$AZ$11:$AZ$4010,0)),""))</f>
        <v/>
      </c>
      <c r="AL843" s="17"/>
      <c r="AM843" s="12"/>
      <c r="AN843" s="18"/>
      <c r="AO843" s="18"/>
      <c r="AP843" s="10"/>
      <c r="AQ843" s="10"/>
      <c r="AR843" s="19"/>
      <c r="AS843" s="20"/>
      <c r="AT843" s="19"/>
      <c r="AV843" s="21">
        <f>IF(AND($AL843&lt;&gt;"",COUNTIF($AL$11:$AL843,$AL843)=1),1,0)</f>
        <v>0</v>
      </c>
      <c r="AW843" s="21">
        <f t="shared" si="111"/>
        <v>0</v>
      </c>
      <c r="AX843" s="21" t="str">
        <f t="shared" ref="AX843:AX906" si="112">IF(AV843=1,AW843,"")</f>
        <v/>
      </c>
      <c r="AY843" s="21" t="str">
        <f>IF(AND($AM843&lt;&gt;"",$AS843&lt;&gt;"✓"),SUMPRODUCT(($AM$11:$AM843&lt;&gt;"")*($AS$11:$AS843&lt;&gt;"✓")),"")</f>
        <v/>
      </c>
      <c r="AZ843" s="21" t="str">
        <f>IF(AND($AM843&lt;&gt;"",$AS843="✓"),SUMPRODUCT(($AM$11:$AM843&lt;&gt;"")*($AS$11:$AS843="✓")),"")</f>
        <v/>
      </c>
      <c r="BA843" s="21" t="str">
        <f>IF($AL843="","",$AL843&amp;"|"&amp;COUNTIF($AL$11:$AL843,$AL843))</f>
        <v/>
      </c>
    </row>
    <row r="844" spans="23:53" ht="15" customHeight="1" x14ac:dyDescent="0.25">
      <c r="W844" s="28" t="str">
        <f>IF(X844="","",IFERROR(INDEX($AL$11:$AL$4010,MATCH(834,$AY$11:$AY$4010,0)),""))</f>
        <v/>
      </c>
      <c r="X844" s="26" t="str">
        <f>IFERROR(INDEX($AM$11:$AM$4010,MATCH(834,$AY$11:$AY$4010,0)),"")</f>
        <v/>
      </c>
      <c r="Y844" s="25" t="str">
        <f>IF(X844="","",IFERROR(INDEX($AN$11:$AN$4010,MATCH(834,$AY$11:$AY$4010,0)),""))</f>
        <v/>
      </c>
      <c r="Z844" s="25" t="str">
        <f>IF(X844="","",IFERROR(INDEX($AO$11:$AO$4010,MATCH(834,$AY$11:$AY$4010,0)),""))</f>
        <v/>
      </c>
      <c r="AA844" s="24" t="str">
        <f>IF(X844="","",IFERROR(INDEX($AQ$11:$AQ$4010,MATCH(834,$AY$11:$AY$4010,0)),""))</f>
        <v/>
      </c>
      <c r="AB844" s="29" t="str">
        <f>IF(X844="","",IFERROR(INDEX($AR$11:$AR$4010,MATCH(834,$AY$11:$AY$4010,0)),""))</f>
        <v/>
      </c>
      <c r="AD844" s="30" t="str">
        <f>IF(AE844="","",IFERROR(INDEX($AL$11:$AL$4010,MATCH(834,$AZ$11:$AZ$4010,0)),""))</f>
        <v/>
      </c>
      <c r="AE844" s="26" t="str">
        <f>IFERROR(INDEX($AM$11:$AM$4010,MATCH(834,$AZ$11:$AZ$4010,0)),"")</f>
        <v/>
      </c>
      <c r="AF844" s="25" t="str">
        <f>IF(AE844="","",IFERROR(INDEX($AN$11:$AN$4010,MATCH(834,$AZ$11:$AZ$4010,0)),""))</f>
        <v/>
      </c>
      <c r="AG844" s="25" t="str">
        <f>IF(AE844="","",IFERROR(INDEX($AO$11:$AO$4010,MATCH(834,$AZ$11:$AZ$4010,0)),""))</f>
        <v/>
      </c>
      <c r="AH844" s="24" t="str">
        <f>IF(AE844="","",IFERROR(INDEX($AQ$11:$AQ$4010,MATCH(834,$AZ$11:$AZ$4010,0)),""))</f>
        <v/>
      </c>
      <c r="AI844" s="29" t="str">
        <f>IF(AE844="","",IFERROR(INDEX($AR$11:$AR$4010,MATCH(834,$AZ$11:$AZ$4010,0)),""))</f>
        <v/>
      </c>
      <c r="AJ844" s="29" t="str">
        <f>IF(AE844="","",IFERROR(INDEX($AT$11:$AT$4010,MATCH(834,$AZ$11:$AZ$4010,0)),""))</f>
        <v/>
      </c>
      <c r="AL844" s="31"/>
      <c r="AM844" s="26"/>
      <c r="AN844" s="32"/>
      <c r="AO844" s="32"/>
      <c r="AP844" s="24"/>
      <c r="AQ844" s="24"/>
      <c r="AR844" s="33"/>
      <c r="AS844" s="34"/>
      <c r="AT844" s="33"/>
      <c r="AV844" s="21">
        <f>IF(AND($AL844&lt;&gt;"",COUNTIF($AL$11:$AL844,$AL844)=1),1,0)</f>
        <v>0</v>
      </c>
      <c r="AW844" s="21">
        <f t="shared" ref="AW844:AW907" si="113">AW843+AV844</f>
        <v>0</v>
      </c>
      <c r="AX844" s="21" t="str">
        <f t="shared" si="112"/>
        <v/>
      </c>
      <c r="AY844" s="21" t="str">
        <f>IF(AND($AM844&lt;&gt;"",$AS844&lt;&gt;"✓"),SUMPRODUCT(($AM$11:$AM844&lt;&gt;"")*($AS$11:$AS844&lt;&gt;"✓")),"")</f>
        <v/>
      </c>
      <c r="AZ844" s="21" t="str">
        <f>IF(AND($AM844&lt;&gt;"",$AS844="✓"),SUMPRODUCT(($AM$11:$AM844&lt;&gt;"")*($AS$11:$AS844="✓")),"")</f>
        <v/>
      </c>
      <c r="BA844" s="21" t="str">
        <f>IF($AL844="","",$AL844&amp;"|"&amp;COUNTIF($AL$11:$AL844,$AL844))</f>
        <v/>
      </c>
    </row>
    <row r="845" spans="23:53" ht="15" customHeight="1" x14ac:dyDescent="0.25">
      <c r="W845" s="14" t="str">
        <f>IF(X845="","",IFERROR(INDEX($AL$11:$AL$4010,MATCH(835,$AY$11:$AY$4010,0)),""))</f>
        <v/>
      </c>
      <c r="X845" s="12" t="str">
        <f>IFERROR(INDEX($AM$11:$AM$4010,MATCH(835,$AY$11:$AY$4010,0)),"")</f>
        <v/>
      </c>
      <c r="Y845" s="11" t="str">
        <f>IF(X845="","",IFERROR(INDEX($AN$11:$AN$4010,MATCH(835,$AY$11:$AY$4010,0)),""))</f>
        <v/>
      </c>
      <c r="Z845" s="11" t="str">
        <f>IF(X845="","",IFERROR(INDEX($AO$11:$AO$4010,MATCH(835,$AY$11:$AY$4010,0)),""))</f>
        <v/>
      </c>
      <c r="AA845" s="10" t="str">
        <f>IF(X845="","",IFERROR(INDEX($AQ$11:$AQ$4010,MATCH(835,$AY$11:$AY$4010,0)),""))</f>
        <v/>
      </c>
      <c r="AB845" s="15" t="str">
        <f>IF(X845="","",IFERROR(INDEX($AR$11:$AR$4010,MATCH(835,$AY$11:$AY$4010,0)),""))</f>
        <v/>
      </c>
      <c r="AD845" s="16" t="str">
        <f>IF(AE845="","",IFERROR(INDEX($AL$11:$AL$4010,MATCH(835,$AZ$11:$AZ$4010,0)),""))</f>
        <v/>
      </c>
      <c r="AE845" s="12" t="str">
        <f>IFERROR(INDEX($AM$11:$AM$4010,MATCH(835,$AZ$11:$AZ$4010,0)),"")</f>
        <v/>
      </c>
      <c r="AF845" s="11" t="str">
        <f>IF(AE845="","",IFERROR(INDEX($AN$11:$AN$4010,MATCH(835,$AZ$11:$AZ$4010,0)),""))</f>
        <v/>
      </c>
      <c r="AG845" s="11" t="str">
        <f>IF(AE845="","",IFERROR(INDEX($AO$11:$AO$4010,MATCH(835,$AZ$11:$AZ$4010,0)),""))</f>
        <v/>
      </c>
      <c r="AH845" s="10" t="str">
        <f>IF(AE845="","",IFERROR(INDEX($AQ$11:$AQ$4010,MATCH(835,$AZ$11:$AZ$4010,0)),""))</f>
        <v/>
      </c>
      <c r="AI845" s="15" t="str">
        <f>IF(AE845="","",IFERROR(INDEX($AR$11:$AR$4010,MATCH(835,$AZ$11:$AZ$4010,0)),""))</f>
        <v/>
      </c>
      <c r="AJ845" s="15" t="str">
        <f>IF(AE845="","",IFERROR(INDEX($AT$11:$AT$4010,MATCH(835,$AZ$11:$AZ$4010,0)),""))</f>
        <v/>
      </c>
      <c r="AL845" s="17"/>
      <c r="AM845" s="12"/>
      <c r="AN845" s="18"/>
      <c r="AO845" s="18"/>
      <c r="AP845" s="10"/>
      <c r="AQ845" s="10"/>
      <c r="AR845" s="19"/>
      <c r="AS845" s="20"/>
      <c r="AT845" s="19"/>
      <c r="AV845" s="21">
        <f>IF(AND($AL845&lt;&gt;"",COUNTIF($AL$11:$AL845,$AL845)=1),1,0)</f>
        <v>0</v>
      </c>
      <c r="AW845" s="21">
        <f t="shared" si="113"/>
        <v>0</v>
      </c>
      <c r="AX845" s="21" t="str">
        <f t="shared" si="112"/>
        <v/>
      </c>
      <c r="AY845" s="21" t="str">
        <f>IF(AND($AM845&lt;&gt;"",$AS845&lt;&gt;"✓"),SUMPRODUCT(($AM$11:$AM845&lt;&gt;"")*($AS$11:$AS845&lt;&gt;"✓")),"")</f>
        <v/>
      </c>
      <c r="AZ845" s="21" t="str">
        <f>IF(AND($AM845&lt;&gt;"",$AS845="✓"),SUMPRODUCT(($AM$11:$AM845&lt;&gt;"")*($AS$11:$AS845="✓")),"")</f>
        <v/>
      </c>
      <c r="BA845" s="21" t="str">
        <f>IF($AL845="","",$AL845&amp;"|"&amp;COUNTIF($AL$11:$AL845,$AL845))</f>
        <v/>
      </c>
    </row>
    <row r="846" spans="23:53" ht="15" customHeight="1" x14ac:dyDescent="0.25">
      <c r="W846" s="28" t="str">
        <f>IF(X846="","",IFERROR(INDEX($AL$11:$AL$4010,MATCH(836,$AY$11:$AY$4010,0)),""))</f>
        <v/>
      </c>
      <c r="X846" s="26" t="str">
        <f>IFERROR(INDEX($AM$11:$AM$4010,MATCH(836,$AY$11:$AY$4010,0)),"")</f>
        <v/>
      </c>
      <c r="Y846" s="25" t="str">
        <f>IF(X846="","",IFERROR(INDEX($AN$11:$AN$4010,MATCH(836,$AY$11:$AY$4010,0)),""))</f>
        <v/>
      </c>
      <c r="Z846" s="25" t="str">
        <f>IF(X846="","",IFERROR(INDEX($AO$11:$AO$4010,MATCH(836,$AY$11:$AY$4010,0)),""))</f>
        <v/>
      </c>
      <c r="AA846" s="24" t="str">
        <f>IF(X846="","",IFERROR(INDEX($AQ$11:$AQ$4010,MATCH(836,$AY$11:$AY$4010,0)),""))</f>
        <v/>
      </c>
      <c r="AB846" s="29" t="str">
        <f>IF(X846="","",IFERROR(INDEX($AR$11:$AR$4010,MATCH(836,$AY$11:$AY$4010,0)),""))</f>
        <v/>
      </c>
      <c r="AD846" s="30" t="str">
        <f>IF(AE846="","",IFERROR(INDEX($AL$11:$AL$4010,MATCH(836,$AZ$11:$AZ$4010,0)),""))</f>
        <v/>
      </c>
      <c r="AE846" s="26" t="str">
        <f>IFERROR(INDEX($AM$11:$AM$4010,MATCH(836,$AZ$11:$AZ$4010,0)),"")</f>
        <v/>
      </c>
      <c r="AF846" s="25" t="str">
        <f>IF(AE846="","",IFERROR(INDEX($AN$11:$AN$4010,MATCH(836,$AZ$11:$AZ$4010,0)),""))</f>
        <v/>
      </c>
      <c r="AG846" s="25" t="str">
        <f>IF(AE846="","",IFERROR(INDEX($AO$11:$AO$4010,MATCH(836,$AZ$11:$AZ$4010,0)),""))</f>
        <v/>
      </c>
      <c r="AH846" s="24" t="str">
        <f>IF(AE846="","",IFERROR(INDEX($AQ$11:$AQ$4010,MATCH(836,$AZ$11:$AZ$4010,0)),""))</f>
        <v/>
      </c>
      <c r="AI846" s="29" t="str">
        <f>IF(AE846="","",IFERROR(INDEX($AR$11:$AR$4010,MATCH(836,$AZ$11:$AZ$4010,0)),""))</f>
        <v/>
      </c>
      <c r="AJ846" s="29" t="str">
        <f>IF(AE846="","",IFERROR(INDEX($AT$11:$AT$4010,MATCH(836,$AZ$11:$AZ$4010,0)),""))</f>
        <v/>
      </c>
      <c r="AL846" s="31"/>
      <c r="AM846" s="26"/>
      <c r="AN846" s="32"/>
      <c r="AO846" s="32"/>
      <c r="AP846" s="24"/>
      <c r="AQ846" s="24"/>
      <c r="AR846" s="33"/>
      <c r="AS846" s="34"/>
      <c r="AT846" s="33"/>
      <c r="AV846" s="21">
        <f>IF(AND($AL846&lt;&gt;"",COUNTIF($AL$11:$AL846,$AL846)=1),1,0)</f>
        <v>0</v>
      </c>
      <c r="AW846" s="21">
        <f t="shared" si="113"/>
        <v>0</v>
      </c>
      <c r="AX846" s="21" t="str">
        <f t="shared" si="112"/>
        <v/>
      </c>
      <c r="AY846" s="21" t="str">
        <f>IF(AND($AM846&lt;&gt;"",$AS846&lt;&gt;"✓"),SUMPRODUCT(($AM$11:$AM846&lt;&gt;"")*($AS$11:$AS846&lt;&gt;"✓")),"")</f>
        <v/>
      </c>
      <c r="AZ846" s="21" t="str">
        <f>IF(AND($AM846&lt;&gt;"",$AS846="✓"),SUMPRODUCT(($AM$11:$AM846&lt;&gt;"")*($AS$11:$AS846="✓")),"")</f>
        <v/>
      </c>
      <c r="BA846" s="21" t="str">
        <f>IF($AL846="","",$AL846&amp;"|"&amp;COUNTIF($AL$11:$AL846,$AL846))</f>
        <v/>
      </c>
    </row>
    <row r="847" spans="23:53" ht="15" customHeight="1" x14ac:dyDescent="0.25">
      <c r="W847" s="14" t="str">
        <f>IF(X847="","",IFERROR(INDEX($AL$11:$AL$4010,MATCH(837,$AY$11:$AY$4010,0)),""))</f>
        <v/>
      </c>
      <c r="X847" s="12" t="str">
        <f>IFERROR(INDEX($AM$11:$AM$4010,MATCH(837,$AY$11:$AY$4010,0)),"")</f>
        <v/>
      </c>
      <c r="Y847" s="11" t="str">
        <f>IF(X847="","",IFERROR(INDEX($AN$11:$AN$4010,MATCH(837,$AY$11:$AY$4010,0)),""))</f>
        <v/>
      </c>
      <c r="Z847" s="11" t="str">
        <f>IF(X847="","",IFERROR(INDEX($AO$11:$AO$4010,MATCH(837,$AY$11:$AY$4010,0)),""))</f>
        <v/>
      </c>
      <c r="AA847" s="10" t="str">
        <f>IF(X847="","",IFERROR(INDEX($AQ$11:$AQ$4010,MATCH(837,$AY$11:$AY$4010,0)),""))</f>
        <v/>
      </c>
      <c r="AB847" s="15" t="str">
        <f>IF(X847="","",IFERROR(INDEX($AR$11:$AR$4010,MATCH(837,$AY$11:$AY$4010,0)),""))</f>
        <v/>
      </c>
      <c r="AD847" s="16" t="str">
        <f>IF(AE847="","",IFERROR(INDEX($AL$11:$AL$4010,MATCH(837,$AZ$11:$AZ$4010,0)),""))</f>
        <v/>
      </c>
      <c r="AE847" s="12" t="str">
        <f>IFERROR(INDEX($AM$11:$AM$4010,MATCH(837,$AZ$11:$AZ$4010,0)),"")</f>
        <v/>
      </c>
      <c r="AF847" s="11" t="str">
        <f>IF(AE847="","",IFERROR(INDEX($AN$11:$AN$4010,MATCH(837,$AZ$11:$AZ$4010,0)),""))</f>
        <v/>
      </c>
      <c r="AG847" s="11" t="str">
        <f>IF(AE847="","",IFERROR(INDEX($AO$11:$AO$4010,MATCH(837,$AZ$11:$AZ$4010,0)),""))</f>
        <v/>
      </c>
      <c r="AH847" s="10" t="str">
        <f>IF(AE847="","",IFERROR(INDEX($AQ$11:$AQ$4010,MATCH(837,$AZ$11:$AZ$4010,0)),""))</f>
        <v/>
      </c>
      <c r="AI847" s="15" t="str">
        <f>IF(AE847="","",IFERROR(INDEX($AR$11:$AR$4010,MATCH(837,$AZ$11:$AZ$4010,0)),""))</f>
        <v/>
      </c>
      <c r="AJ847" s="15" t="str">
        <f>IF(AE847="","",IFERROR(INDEX($AT$11:$AT$4010,MATCH(837,$AZ$11:$AZ$4010,0)),""))</f>
        <v/>
      </c>
      <c r="AL847" s="17"/>
      <c r="AM847" s="12"/>
      <c r="AN847" s="18"/>
      <c r="AO847" s="18"/>
      <c r="AP847" s="10"/>
      <c r="AQ847" s="10"/>
      <c r="AR847" s="19"/>
      <c r="AS847" s="20"/>
      <c r="AT847" s="19"/>
      <c r="AV847" s="21">
        <f>IF(AND($AL847&lt;&gt;"",COUNTIF($AL$11:$AL847,$AL847)=1),1,0)</f>
        <v>0</v>
      </c>
      <c r="AW847" s="21">
        <f t="shared" si="113"/>
        <v>0</v>
      </c>
      <c r="AX847" s="21" t="str">
        <f t="shared" si="112"/>
        <v/>
      </c>
      <c r="AY847" s="21" t="str">
        <f>IF(AND($AM847&lt;&gt;"",$AS847&lt;&gt;"✓"),SUMPRODUCT(($AM$11:$AM847&lt;&gt;"")*($AS$11:$AS847&lt;&gt;"✓")),"")</f>
        <v/>
      </c>
      <c r="AZ847" s="21" t="str">
        <f>IF(AND($AM847&lt;&gt;"",$AS847="✓"),SUMPRODUCT(($AM$11:$AM847&lt;&gt;"")*($AS$11:$AS847="✓")),"")</f>
        <v/>
      </c>
      <c r="BA847" s="21" t="str">
        <f>IF($AL847="","",$AL847&amp;"|"&amp;COUNTIF($AL$11:$AL847,$AL847))</f>
        <v/>
      </c>
    </row>
    <row r="848" spans="23:53" ht="15" customHeight="1" x14ac:dyDescent="0.25">
      <c r="W848" s="28" t="str">
        <f>IF(X848="","",IFERROR(INDEX($AL$11:$AL$4010,MATCH(838,$AY$11:$AY$4010,0)),""))</f>
        <v/>
      </c>
      <c r="X848" s="26" t="str">
        <f>IFERROR(INDEX($AM$11:$AM$4010,MATCH(838,$AY$11:$AY$4010,0)),"")</f>
        <v/>
      </c>
      <c r="Y848" s="25" t="str">
        <f>IF(X848="","",IFERROR(INDEX($AN$11:$AN$4010,MATCH(838,$AY$11:$AY$4010,0)),""))</f>
        <v/>
      </c>
      <c r="Z848" s="25" t="str">
        <f>IF(X848="","",IFERROR(INDEX($AO$11:$AO$4010,MATCH(838,$AY$11:$AY$4010,0)),""))</f>
        <v/>
      </c>
      <c r="AA848" s="24" t="str">
        <f>IF(X848="","",IFERROR(INDEX($AQ$11:$AQ$4010,MATCH(838,$AY$11:$AY$4010,0)),""))</f>
        <v/>
      </c>
      <c r="AB848" s="29" t="str">
        <f>IF(X848="","",IFERROR(INDEX($AR$11:$AR$4010,MATCH(838,$AY$11:$AY$4010,0)),""))</f>
        <v/>
      </c>
      <c r="AD848" s="30" t="str">
        <f>IF(AE848="","",IFERROR(INDEX($AL$11:$AL$4010,MATCH(838,$AZ$11:$AZ$4010,0)),""))</f>
        <v/>
      </c>
      <c r="AE848" s="26" t="str">
        <f>IFERROR(INDEX($AM$11:$AM$4010,MATCH(838,$AZ$11:$AZ$4010,0)),"")</f>
        <v/>
      </c>
      <c r="AF848" s="25" t="str">
        <f>IF(AE848="","",IFERROR(INDEX($AN$11:$AN$4010,MATCH(838,$AZ$11:$AZ$4010,0)),""))</f>
        <v/>
      </c>
      <c r="AG848" s="25" t="str">
        <f>IF(AE848="","",IFERROR(INDEX($AO$11:$AO$4010,MATCH(838,$AZ$11:$AZ$4010,0)),""))</f>
        <v/>
      </c>
      <c r="AH848" s="24" t="str">
        <f>IF(AE848="","",IFERROR(INDEX($AQ$11:$AQ$4010,MATCH(838,$AZ$11:$AZ$4010,0)),""))</f>
        <v/>
      </c>
      <c r="AI848" s="29" t="str">
        <f>IF(AE848="","",IFERROR(INDEX($AR$11:$AR$4010,MATCH(838,$AZ$11:$AZ$4010,0)),""))</f>
        <v/>
      </c>
      <c r="AJ848" s="29" t="str">
        <f>IF(AE848="","",IFERROR(INDEX($AT$11:$AT$4010,MATCH(838,$AZ$11:$AZ$4010,0)),""))</f>
        <v/>
      </c>
      <c r="AL848" s="31"/>
      <c r="AM848" s="26"/>
      <c r="AN848" s="32"/>
      <c r="AO848" s="32"/>
      <c r="AP848" s="24"/>
      <c r="AQ848" s="24"/>
      <c r="AR848" s="33"/>
      <c r="AS848" s="34"/>
      <c r="AT848" s="33"/>
      <c r="AV848" s="21">
        <f>IF(AND($AL848&lt;&gt;"",COUNTIF($AL$11:$AL848,$AL848)=1),1,0)</f>
        <v>0</v>
      </c>
      <c r="AW848" s="21">
        <f t="shared" si="113"/>
        <v>0</v>
      </c>
      <c r="AX848" s="21" t="str">
        <f t="shared" si="112"/>
        <v/>
      </c>
      <c r="AY848" s="21" t="str">
        <f>IF(AND($AM848&lt;&gt;"",$AS848&lt;&gt;"✓"),SUMPRODUCT(($AM$11:$AM848&lt;&gt;"")*($AS$11:$AS848&lt;&gt;"✓")),"")</f>
        <v/>
      </c>
      <c r="AZ848" s="21" t="str">
        <f>IF(AND($AM848&lt;&gt;"",$AS848="✓"),SUMPRODUCT(($AM$11:$AM848&lt;&gt;"")*($AS$11:$AS848="✓")),"")</f>
        <v/>
      </c>
      <c r="BA848" s="21" t="str">
        <f>IF($AL848="","",$AL848&amp;"|"&amp;COUNTIF($AL$11:$AL848,$AL848))</f>
        <v/>
      </c>
    </row>
    <row r="849" spans="23:53" ht="15" customHeight="1" x14ac:dyDescent="0.25">
      <c r="W849" s="14" t="str">
        <f>IF(X849="","",IFERROR(INDEX($AL$11:$AL$4010,MATCH(839,$AY$11:$AY$4010,0)),""))</f>
        <v/>
      </c>
      <c r="X849" s="12" t="str">
        <f>IFERROR(INDEX($AM$11:$AM$4010,MATCH(839,$AY$11:$AY$4010,0)),"")</f>
        <v/>
      </c>
      <c r="Y849" s="11" t="str">
        <f>IF(X849="","",IFERROR(INDEX($AN$11:$AN$4010,MATCH(839,$AY$11:$AY$4010,0)),""))</f>
        <v/>
      </c>
      <c r="Z849" s="11" t="str">
        <f>IF(X849="","",IFERROR(INDEX($AO$11:$AO$4010,MATCH(839,$AY$11:$AY$4010,0)),""))</f>
        <v/>
      </c>
      <c r="AA849" s="10" t="str">
        <f>IF(X849="","",IFERROR(INDEX($AQ$11:$AQ$4010,MATCH(839,$AY$11:$AY$4010,0)),""))</f>
        <v/>
      </c>
      <c r="AB849" s="15" t="str">
        <f>IF(X849="","",IFERROR(INDEX($AR$11:$AR$4010,MATCH(839,$AY$11:$AY$4010,0)),""))</f>
        <v/>
      </c>
      <c r="AD849" s="16" t="str">
        <f>IF(AE849="","",IFERROR(INDEX($AL$11:$AL$4010,MATCH(839,$AZ$11:$AZ$4010,0)),""))</f>
        <v/>
      </c>
      <c r="AE849" s="12" t="str">
        <f>IFERROR(INDEX($AM$11:$AM$4010,MATCH(839,$AZ$11:$AZ$4010,0)),"")</f>
        <v/>
      </c>
      <c r="AF849" s="11" t="str">
        <f>IF(AE849="","",IFERROR(INDEX($AN$11:$AN$4010,MATCH(839,$AZ$11:$AZ$4010,0)),""))</f>
        <v/>
      </c>
      <c r="AG849" s="11" t="str">
        <f>IF(AE849="","",IFERROR(INDEX($AO$11:$AO$4010,MATCH(839,$AZ$11:$AZ$4010,0)),""))</f>
        <v/>
      </c>
      <c r="AH849" s="10" t="str">
        <f>IF(AE849="","",IFERROR(INDEX($AQ$11:$AQ$4010,MATCH(839,$AZ$11:$AZ$4010,0)),""))</f>
        <v/>
      </c>
      <c r="AI849" s="15" t="str">
        <f>IF(AE849="","",IFERROR(INDEX($AR$11:$AR$4010,MATCH(839,$AZ$11:$AZ$4010,0)),""))</f>
        <v/>
      </c>
      <c r="AJ849" s="15" t="str">
        <f>IF(AE849="","",IFERROR(INDEX($AT$11:$AT$4010,MATCH(839,$AZ$11:$AZ$4010,0)),""))</f>
        <v/>
      </c>
      <c r="AL849" s="17"/>
      <c r="AM849" s="12"/>
      <c r="AN849" s="18"/>
      <c r="AO849" s="18"/>
      <c r="AP849" s="10"/>
      <c r="AQ849" s="10"/>
      <c r="AR849" s="19"/>
      <c r="AS849" s="20"/>
      <c r="AT849" s="19"/>
      <c r="AV849" s="21">
        <f>IF(AND($AL849&lt;&gt;"",COUNTIF($AL$11:$AL849,$AL849)=1),1,0)</f>
        <v>0</v>
      </c>
      <c r="AW849" s="21">
        <f t="shared" si="113"/>
        <v>0</v>
      </c>
      <c r="AX849" s="21" t="str">
        <f t="shared" si="112"/>
        <v/>
      </c>
      <c r="AY849" s="21" t="str">
        <f>IF(AND($AM849&lt;&gt;"",$AS849&lt;&gt;"✓"),SUMPRODUCT(($AM$11:$AM849&lt;&gt;"")*($AS$11:$AS849&lt;&gt;"✓")),"")</f>
        <v/>
      </c>
      <c r="AZ849" s="21" t="str">
        <f>IF(AND($AM849&lt;&gt;"",$AS849="✓"),SUMPRODUCT(($AM$11:$AM849&lt;&gt;"")*($AS$11:$AS849="✓")),"")</f>
        <v/>
      </c>
      <c r="BA849" s="21" t="str">
        <f>IF($AL849="","",$AL849&amp;"|"&amp;COUNTIF($AL$11:$AL849,$AL849))</f>
        <v/>
      </c>
    </row>
    <row r="850" spans="23:53" ht="15" customHeight="1" x14ac:dyDescent="0.25">
      <c r="W850" s="28" t="str">
        <f>IF(X850="","",IFERROR(INDEX($AL$11:$AL$4010,MATCH(840,$AY$11:$AY$4010,0)),""))</f>
        <v/>
      </c>
      <c r="X850" s="26" t="str">
        <f>IFERROR(INDEX($AM$11:$AM$4010,MATCH(840,$AY$11:$AY$4010,0)),"")</f>
        <v/>
      </c>
      <c r="Y850" s="25" t="str">
        <f>IF(X850="","",IFERROR(INDEX($AN$11:$AN$4010,MATCH(840,$AY$11:$AY$4010,0)),""))</f>
        <v/>
      </c>
      <c r="Z850" s="25" t="str">
        <f>IF(X850="","",IFERROR(INDEX($AO$11:$AO$4010,MATCH(840,$AY$11:$AY$4010,0)),""))</f>
        <v/>
      </c>
      <c r="AA850" s="24" t="str">
        <f>IF(X850="","",IFERROR(INDEX($AQ$11:$AQ$4010,MATCH(840,$AY$11:$AY$4010,0)),""))</f>
        <v/>
      </c>
      <c r="AB850" s="29" t="str">
        <f>IF(X850="","",IFERROR(INDEX($AR$11:$AR$4010,MATCH(840,$AY$11:$AY$4010,0)),""))</f>
        <v/>
      </c>
      <c r="AD850" s="30" t="str">
        <f>IF(AE850="","",IFERROR(INDEX($AL$11:$AL$4010,MATCH(840,$AZ$11:$AZ$4010,0)),""))</f>
        <v/>
      </c>
      <c r="AE850" s="26" t="str">
        <f>IFERROR(INDEX($AM$11:$AM$4010,MATCH(840,$AZ$11:$AZ$4010,0)),"")</f>
        <v/>
      </c>
      <c r="AF850" s="25" t="str">
        <f>IF(AE850="","",IFERROR(INDEX($AN$11:$AN$4010,MATCH(840,$AZ$11:$AZ$4010,0)),""))</f>
        <v/>
      </c>
      <c r="AG850" s="25" t="str">
        <f>IF(AE850="","",IFERROR(INDEX($AO$11:$AO$4010,MATCH(840,$AZ$11:$AZ$4010,0)),""))</f>
        <v/>
      </c>
      <c r="AH850" s="24" t="str">
        <f>IF(AE850="","",IFERROR(INDEX($AQ$11:$AQ$4010,MATCH(840,$AZ$11:$AZ$4010,0)),""))</f>
        <v/>
      </c>
      <c r="AI850" s="29" t="str">
        <f>IF(AE850="","",IFERROR(INDEX($AR$11:$AR$4010,MATCH(840,$AZ$11:$AZ$4010,0)),""))</f>
        <v/>
      </c>
      <c r="AJ850" s="29" t="str">
        <f>IF(AE850="","",IFERROR(INDEX($AT$11:$AT$4010,MATCH(840,$AZ$11:$AZ$4010,0)),""))</f>
        <v/>
      </c>
      <c r="AL850" s="31"/>
      <c r="AM850" s="26"/>
      <c r="AN850" s="32"/>
      <c r="AO850" s="32"/>
      <c r="AP850" s="24"/>
      <c r="AQ850" s="24"/>
      <c r="AR850" s="33"/>
      <c r="AS850" s="34"/>
      <c r="AT850" s="33"/>
      <c r="AV850" s="21">
        <f>IF(AND($AL850&lt;&gt;"",COUNTIF($AL$11:$AL850,$AL850)=1),1,0)</f>
        <v>0</v>
      </c>
      <c r="AW850" s="21">
        <f t="shared" si="113"/>
        <v>0</v>
      </c>
      <c r="AX850" s="21" t="str">
        <f t="shared" si="112"/>
        <v/>
      </c>
      <c r="AY850" s="21" t="str">
        <f>IF(AND($AM850&lt;&gt;"",$AS850&lt;&gt;"✓"),SUMPRODUCT(($AM$11:$AM850&lt;&gt;"")*($AS$11:$AS850&lt;&gt;"✓")),"")</f>
        <v/>
      </c>
      <c r="AZ850" s="21" t="str">
        <f>IF(AND($AM850&lt;&gt;"",$AS850="✓"),SUMPRODUCT(($AM$11:$AM850&lt;&gt;"")*($AS$11:$AS850="✓")),"")</f>
        <v/>
      </c>
      <c r="BA850" s="21" t="str">
        <f>IF($AL850="","",$AL850&amp;"|"&amp;COUNTIF($AL$11:$AL850,$AL850))</f>
        <v/>
      </c>
    </row>
    <row r="851" spans="23:53" ht="15" customHeight="1" x14ac:dyDescent="0.25">
      <c r="W851" s="14" t="str">
        <f>IF(X851="","",IFERROR(INDEX($AL$11:$AL$4010,MATCH(841,$AY$11:$AY$4010,0)),""))</f>
        <v/>
      </c>
      <c r="X851" s="12" t="str">
        <f>IFERROR(INDEX($AM$11:$AM$4010,MATCH(841,$AY$11:$AY$4010,0)),"")</f>
        <v/>
      </c>
      <c r="Y851" s="11" t="str">
        <f>IF(X851="","",IFERROR(INDEX($AN$11:$AN$4010,MATCH(841,$AY$11:$AY$4010,0)),""))</f>
        <v/>
      </c>
      <c r="Z851" s="11" t="str">
        <f>IF(X851="","",IFERROR(INDEX($AO$11:$AO$4010,MATCH(841,$AY$11:$AY$4010,0)),""))</f>
        <v/>
      </c>
      <c r="AA851" s="10" t="str">
        <f>IF(X851="","",IFERROR(INDEX($AQ$11:$AQ$4010,MATCH(841,$AY$11:$AY$4010,0)),""))</f>
        <v/>
      </c>
      <c r="AB851" s="15" t="str">
        <f>IF(X851="","",IFERROR(INDEX($AR$11:$AR$4010,MATCH(841,$AY$11:$AY$4010,0)),""))</f>
        <v/>
      </c>
      <c r="AD851" s="16" t="str">
        <f>IF(AE851="","",IFERROR(INDEX($AL$11:$AL$4010,MATCH(841,$AZ$11:$AZ$4010,0)),""))</f>
        <v/>
      </c>
      <c r="AE851" s="12" t="str">
        <f>IFERROR(INDEX($AM$11:$AM$4010,MATCH(841,$AZ$11:$AZ$4010,0)),"")</f>
        <v/>
      </c>
      <c r="AF851" s="11" t="str">
        <f>IF(AE851="","",IFERROR(INDEX($AN$11:$AN$4010,MATCH(841,$AZ$11:$AZ$4010,0)),""))</f>
        <v/>
      </c>
      <c r="AG851" s="11" t="str">
        <f>IF(AE851="","",IFERROR(INDEX($AO$11:$AO$4010,MATCH(841,$AZ$11:$AZ$4010,0)),""))</f>
        <v/>
      </c>
      <c r="AH851" s="10" t="str">
        <f>IF(AE851="","",IFERROR(INDEX($AQ$11:$AQ$4010,MATCH(841,$AZ$11:$AZ$4010,0)),""))</f>
        <v/>
      </c>
      <c r="AI851" s="15" t="str">
        <f>IF(AE851="","",IFERROR(INDEX($AR$11:$AR$4010,MATCH(841,$AZ$11:$AZ$4010,0)),""))</f>
        <v/>
      </c>
      <c r="AJ851" s="15" t="str">
        <f>IF(AE851="","",IFERROR(INDEX($AT$11:$AT$4010,MATCH(841,$AZ$11:$AZ$4010,0)),""))</f>
        <v/>
      </c>
      <c r="AL851" s="17"/>
      <c r="AM851" s="12"/>
      <c r="AN851" s="18"/>
      <c r="AO851" s="18"/>
      <c r="AP851" s="10"/>
      <c r="AQ851" s="10"/>
      <c r="AR851" s="19"/>
      <c r="AS851" s="20"/>
      <c r="AT851" s="19"/>
      <c r="AV851" s="21">
        <f>IF(AND($AL851&lt;&gt;"",COUNTIF($AL$11:$AL851,$AL851)=1),1,0)</f>
        <v>0</v>
      </c>
      <c r="AW851" s="21">
        <f t="shared" si="113"/>
        <v>0</v>
      </c>
      <c r="AX851" s="21" t="str">
        <f t="shared" si="112"/>
        <v/>
      </c>
      <c r="AY851" s="21" t="str">
        <f>IF(AND($AM851&lt;&gt;"",$AS851&lt;&gt;"✓"),SUMPRODUCT(($AM$11:$AM851&lt;&gt;"")*($AS$11:$AS851&lt;&gt;"✓")),"")</f>
        <v/>
      </c>
      <c r="AZ851" s="21" t="str">
        <f>IF(AND($AM851&lt;&gt;"",$AS851="✓"),SUMPRODUCT(($AM$11:$AM851&lt;&gt;"")*($AS$11:$AS851="✓")),"")</f>
        <v/>
      </c>
      <c r="BA851" s="21" t="str">
        <f>IF($AL851="","",$AL851&amp;"|"&amp;COUNTIF($AL$11:$AL851,$AL851))</f>
        <v/>
      </c>
    </row>
    <row r="852" spans="23:53" ht="15" customHeight="1" x14ac:dyDescent="0.25">
      <c r="W852" s="28" t="str">
        <f>IF(X852="","",IFERROR(INDEX($AL$11:$AL$4010,MATCH(842,$AY$11:$AY$4010,0)),""))</f>
        <v/>
      </c>
      <c r="X852" s="26" t="str">
        <f>IFERROR(INDEX($AM$11:$AM$4010,MATCH(842,$AY$11:$AY$4010,0)),"")</f>
        <v/>
      </c>
      <c r="Y852" s="25" t="str">
        <f>IF(X852="","",IFERROR(INDEX($AN$11:$AN$4010,MATCH(842,$AY$11:$AY$4010,0)),""))</f>
        <v/>
      </c>
      <c r="Z852" s="25" t="str">
        <f>IF(X852="","",IFERROR(INDEX($AO$11:$AO$4010,MATCH(842,$AY$11:$AY$4010,0)),""))</f>
        <v/>
      </c>
      <c r="AA852" s="24" t="str">
        <f>IF(X852="","",IFERROR(INDEX($AQ$11:$AQ$4010,MATCH(842,$AY$11:$AY$4010,0)),""))</f>
        <v/>
      </c>
      <c r="AB852" s="29" t="str">
        <f>IF(X852="","",IFERROR(INDEX($AR$11:$AR$4010,MATCH(842,$AY$11:$AY$4010,0)),""))</f>
        <v/>
      </c>
      <c r="AD852" s="30" t="str">
        <f>IF(AE852="","",IFERROR(INDEX($AL$11:$AL$4010,MATCH(842,$AZ$11:$AZ$4010,0)),""))</f>
        <v/>
      </c>
      <c r="AE852" s="26" t="str">
        <f>IFERROR(INDEX($AM$11:$AM$4010,MATCH(842,$AZ$11:$AZ$4010,0)),"")</f>
        <v/>
      </c>
      <c r="AF852" s="25" t="str">
        <f>IF(AE852="","",IFERROR(INDEX($AN$11:$AN$4010,MATCH(842,$AZ$11:$AZ$4010,0)),""))</f>
        <v/>
      </c>
      <c r="AG852" s="25" t="str">
        <f>IF(AE852="","",IFERROR(INDEX($AO$11:$AO$4010,MATCH(842,$AZ$11:$AZ$4010,0)),""))</f>
        <v/>
      </c>
      <c r="AH852" s="24" t="str">
        <f>IF(AE852="","",IFERROR(INDEX($AQ$11:$AQ$4010,MATCH(842,$AZ$11:$AZ$4010,0)),""))</f>
        <v/>
      </c>
      <c r="AI852" s="29" t="str">
        <f>IF(AE852="","",IFERROR(INDEX($AR$11:$AR$4010,MATCH(842,$AZ$11:$AZ$4010,0)),""))</f>
        <v/>
      </c>
      <c r="AJ852" s="29" t="str">
        <f>IF(AE852="","",IFERROR(INDEX($AT$11:$AT$4010,MATCH(842,$AZ$11:$AZ$4010,0)),""))</f>
        <v/>
      </c>
      <c r="AL852" s="31"/>
      <c r="AM852" s="26"/>
      <c r="AN852" s="32"/>
      <c r="AO852" s="32"/>
      <c r="AP852" s="24"/>
      <c r="AQ852" s="24"/>
      <c r="AR852" s="33"/>
      <c r="AS852" s="34"/>
      <c r="AT852" s="33"/>
      <c r="AV852" s="21">
        <f>IF(AND($AL852&lt;&gt;"",COUNTIF($AL$11:$AL852,$AL852)=1),1,0)</f>
        <v>0</v>
      </c>
      <c r="AW852" s="21">
        <f t="shared" si="113"/>
        <v>0</v>
      </c>
      <c r="AX852" s="21" t="str">
        <f t="shared" si="112"/>
        <v/>
      </c>
      <c r="AY852" s="21" t="str">
        <f>IF(AND($AM852&lt;&gt;"",$AS852&lt;&gt;"✓"),SUMPRODUCT(($AM$11:$AM852&lt;&gt;"")*($AS$11:$AS852&lt;&gt;"✓")),"")</f>
        <v/>
      </c>
      <c r="AZ852" s="21" t="str">
        <f>IF(AND($AM852&lt;&gt;"",$AS852="✓"),SUMPRODUCT(($AM$11:$AM852&lt;&gt;"")*($AS$11:$AS852="✓")),"")</f>
        <v/>
      </c>
      <c r="BA852" s="21" t="str">
        <f>IF($AL852="","",$AL852&amp;"|"&amp;COUNTIF($AL$11:$AL852,$AL852))</f>
        <v/>
      </c>
    </row>
    <row r="853" spans="23:53" ht="15" customHeight="1" x14ac:dyDescent="0.25">
      <c r="W853" s="14" t="str">
        <f>IF(X853="","",IFERROR(INDEX($AL$11:$AL$4010,MATCH(843,$AY$11:$AY$4010,0)),""))</f>
        <v/>
      </c>
      <c r="X853" s="12" t="str">
        <f>IFERROR(INDEX($AM$11:$AM$4010,MATCH(843,$AY$11:$AY$4010,0)),"")</f>
        <v/>
      </c>
      <c r="Y853" s="11" t="str">
        <f>IF(X853="","",IFERROR(INDEX($AN$11:$AN$4010,MATCH(843,$AY$11:$AY$4010,0)),""))</f>
        <v/>
      </c>
      <c r="Z853" s="11" t="str">
        <f>IF(X853="","",IFERROR(INDEX($AO$11:$AO$4010,MATCH(843,$AY$11:$AY$4010,0)),""))</f>
        <v/>
      </c>
      <c r="AA853" s="10" t="str">
        <f>IF(X853="","",IFERROR(INDEX($AQ$11:$AQ$4010,MATCH(843,$AY$11:$AY$4010,0)),""))</f>
        <v/>
      </c>
      <c r="AB853" s="15" t="str">
        <f>IF(X853="","",IFERROR(INDEX($AR$11:$AR$4010,MATCH(843,$AY$11:$AY$4010,0)),""))</f>
        <v/>
      </c>
      <c r="AD853" s="16" t="str">
        <f>IF(AE853="","",IFERROR(INDEX($AL$11:$AL$4010,MATCH(843,$AZ$11:$AZ$4010,0)),""))</f>
        <v/>
      </c>
      <c r="AE853" s="12" t="str">
        <f>IFERROR(INDEX($AM$11:$AM$4010,MATCH(843,$AZ$11:$AZ$4010,0)),"")</f>
        <v/>
      </c>
      <c r="AF853" s="11" t="str">
        <f>IF(AE853="","",IFERROR(INDEX($AN$11:$AN$4010,MATCH(843,$AZ$11:$AZ$4010,0)),""))</f>
        <v/>
      </c>
      <c r="AG853" s="11" t="str">
        <f>IF(AE853="","",IFERROR(INDEX($AO$11:$AO$4010,MATCH(843,$AZ$11:$AZ$4010,0)),""))</f>
        <v/>
      </c>
      <c r="AH853" s="10" t="str">
        <f>IF(AE853="","",IFERROR(INDEX($AQ$11:$AQ$4010,MATCH(843,$AZ$11:$AZ$4010,0)),""))</f>
        <v/>
      </c>
      <c r="AI853" s="15" t="str">
        <f>IF(AE853="","",IFERROR(INDEX($AR$11:$AR$4010,MATCH(843,$AZ$11:$AZ$4010,0)),""))</f>
        <v/>
      </c>
      <c r="AJ853" s="15" t="str">
        <f>IF(AE853="","",IFERROR(INDEX($AT$11:$AT$4010,MATCH(843,$AZ$11:$AZ$4010,0)),""))</f>
        <v/>
      </c>
      <c r="AL853" s="17"/>
      <c r="AM853" s="12"/>
      <c r="AN853" s="18"/>
      <c r="AO853" s="18"/>
      <c r="AP853" s="10"/>
      <c r="AQ853" s="10"/>
      <c r="AR853" s="19"/>
      <c r="AS853" s="20"/>
      <c r="AT853" s="19"/>
      <c r="AV853" s="21">
        <f>IF(AND($AL853&lt;&gt;"",COUNTIF($AL$11:$AL853,$AL853)=1),1,0)</f>
        <v>0</v>
      </c>
      <c r="AW853" s="21">
        <f t="shared" si="113"/>
        <v>0</v>
      </c>
      <c r="AX853" s="21" t="str">
        <f t="shared" si="112"/>
        <v/>
      </c>
      <c r="AY853" s="21" t="str">
        <f>IF(AND($AM853&lt;&gt;"",$AS853&lt;&gt;"✓"),SUMPRODUCT(($AM$11:$AM853&lt;&gt;"")*($AS$11:$AS853&lt;&gt;"✓")),"")</f>
        <v/>
      </c>
      <c r="AZ853" s="21" t="str">
        <f>IF(AND($AM853&lt;&gt;"",$AS853="✓"),SUMPRODUCT(($AM$11:$AM853&lt;&gt;"")*($AS$11:$AS853="✓")),"")</f>
        <v/>
      </c>
      <c r="BA853" s="21" t="str">
        <f>IF($AL853="","",$AL853&amp;"|"&amp;COUNTIF($AL$11:$AL853,$AL853))</f>
        <v/>
      </c>
    </row>
    <row r="854" spans="23:53" ht="15" customHeight="1" x14ac:dyDescent="0.25">
      <c r="W854" s="28" t="str">
        <f>IF(X854="","",IFERROR(INDEX($AL$11:$AL$4010,MATCH(844,$AY$11:$AY$4010,0)),""))</f>
        <v/>
      </c>
      <c r="X854" s="26" t="str">
        <f>IFERROR(INDEX($AM$11:$AM$4010,MATCH(844,$AY$11:$AY$4010,0)),"")</f>
        <v/>
      </c>
      <c r="Y854" s="25" t="str">
        <f>IF(X854="","",IFERROR(INDEX($AN$11:$AN$4010,MATCH(844,$AY$11:$AY$4010,0)),""))</f>
        <v/>
      </c>
      <c r="Z854" s="25" t="str">
        <f>IF(X854="","",IFERROR(INDEX($AO$11:$AO$4010,MATCH(844,$AY$11:$AY$4010,0)),""))</f>
        <v/>
      </c>
      <c r="AA854" s="24" t="str">
        <f>IF(X854="","",IFERROR(INDEX($AQ$11:$AQ$4010,MATCH(844,$AY$11:$AY$4010,0)),""))</f>
        <v/>
      </c>
      <c r="AB854" s="29" t="str">
        <f>IF(X854="","",IFERROR(INDEX($AR$11:$AR$4010,MATCH(844,$AY$11:$AY$4010,0)),""))</f>
        <v/>
      </c>
      <c r="AD854" s="30" t="str">
        <f>IF(AE854="","",IFERROR(INDEX($AL$11:$AL$4010,MATCH(844,$AZ$11:$AZ$4010,0)),""))</f>
        <v/>
      </c>
      <c r="AE854" s="26" t="str">
        <f>IFERROR(INDEX($AM$11:$AM$4010,MATCH(844,$AZ$11:$AZ$4010,0)),"")</f>
        <v/>
      </c>
      <c r="AF854" s="25" t="str">
        <f>IF(AE854="","",IFERROR(INDEX($AN$11:$AN$4010,MATCH(844,$AZ$11:$AZ$4010,0)),""))</f>
        <v/>
      </c>
      <c r="AG854" s="25" t="str">
        <f>IF(AE854="","",IFERROR(INDEX($AO$11:$AO$4010,MATCH(844,$AZ$11:$AZ$4010,0)),""))</f>
        <v/>
      </c>
      <c r="AH854" s="24" t="str">
        <f>IF(AE854="","",IFERROR(INDEX($AQ$11:$AQ$4010,MATCH(844,$AZ$11:$AZ$4010,0)),""))</f>
        <v/>
      </c>
      <c r="AI854" s="29" t="str">
        <f>IF(AE854="","",IFERROR(INDEX($AR$11:$AR$4010,MATCH(844,$AZ$11:$AZ$4010,0)),""))</f>
        <v/>
      </c>
      <c r="AJ854" s="29" t="str">
        <f>IF(AE854="","",IFERROR(INDEX($AT$11:$AT$4010,MATCH(844,$AZ$11:$AZ$4010,0)),""))</f>
        <v/>
      </c>
      <c r="AL854" s="31"/>
      <c r="AM854" s="26"/>
      <c r="AN854" s="32"/>
      <c r="AO854" s="32"/>
      <c r="AP854" s="24"/>
      <c r="AQ854" s="24"/>
      <c r="AR854" s="33"/>
      <c r="AS854" s="34"/>
      <c r="AT854" s="33"/>
      <c r="AV854" s="21">
        <f>IF(AND($AL854&lt;&gt;"",COUNTIF($AL$11:$AL854,$AL854)=1),1,0)</f>
        <v>0</v>
      </c>
      <c r="AW854" s="21">
        <f t="shared" si="113"/>
        <v>0</v>
      </c>
      <c r="AX854" s="21" t="str">
        <f t="shared" si="112"/>
        <v/>
      </c>
      <c r="AY854" s="21" t="str">
        <f>IF(AND($AM854&lt;&gt;"",$AS854&lt;&gt;"✓"),SUMPRODUCT(($AM$11:$AM854&lt;&gt;"")*($AS$11:$AS854&lt;&gt;"✓")),"")</f>
        <v/>
      </c>
      <c r="AZ854" s="21" t="str">
        <f>IF(AND($AM854&lt;&gt;"",$AS854="✓"),SUMPRODUCT(($AM$11:$AM854&lt;&gt;"")*($AS$11:$AS854="✓")),"")</f>
        <v/>
      </c>
      <c r="BA854" s="21" t="str">
        <f>IF($AL854="","",$AL854&amp;"|"&amp;COUNTIF($AL$11:$AL854,$AL854))</f>
        <v/>
      </c>
    </row>
    <row r="855" spans="23:53" ht="15" customHeight="1" x14ac:dyDescent="0.25">
      <c r="W855" s="14" t="str">
        <f>IF(X855="","",IFERROR(INDEX($AL$11:$AL$4010,MATCH(845,$AY$11:$AY$4010,0)),""))</f>
        <v/>
      </c>
      <c r="X855" s="12" t="str">
        <f>IFERROR(INDEX($AM$11:$AM$4010,MATCH(845,$AY$11:$AY$4010,0)),"")</f>
        <v/>
      </c>
      <c r="Y855" s="11" t="str">
        <f>IF(X855="","",IFERROR(INDEX($AN$11:$AN$4010,MATCH(845,$AY$11:$AY$4010,0)),""))</f>
        <v/>
      </c>
      <c r="Z855" s="11" t="str">
        <f>IF(X855="","",IFERROR(INDEX($AO$11:$AO$4010,MATCH(845,$AY$11:$AY$4010,0)),""))</f>
        <v/>
      </c>
      <c r="AA855" s="10" t="str">
        <f>IF(X855="","",IFERROR(INDEX($AQ$11:$AQ$4010,MATCH(845,$AY$11:$AY$4010,0)),""))</f>
        <v/>
      </c>
      <c r="AB855" s="15" t="str">
        <f>IF(X855="","",IFERROR(INDEX($AR$11:$AR$4010,MATCH(845,$AY$11:$AY$4010,0)),""))</f>
        <v/>
      </c>
      <c r="AD855" s="16" t="str">
        <f>IF(AE855="","",IFERROR(INDEX($AL$11:$AL$4010,MATCH(845,$AZ$11:$AZ$4010,0)),""))</f>
        <v/>
      </c>
      <c r="AE855" s="12" t="str">
        <f>IFERROR(INDEX($AM$11:$AM$4010,MATCH(845,$AZ$11:$AZ$4010,0)),"")</f>
        <v/>
      </c>
      <c r="AF855" s="11" t="str">
        <f>IF(AE855="","",IFERROR(INDEX($AN$11:$AN$4010,MATCH(845,$AZ$11:$AZ$4010,0)),""))</f>
        <v/>
      </c>
      <c r="AG855" s="11" t="str">
        <f>IF(AE855="","",IFERROR(INDEX($AO$11:$AO$4010,MATCH(845,$AZ$11:$AZ$4010,0)),""))</f>
        <v/>
      </c>
      <c r="AH855" s="10" t="str">
        <f>IF(AE855="","",IFERROR(INDEX($AQ$11:$AQ$4010,MATCH(845,$AZ$11:$AZ$4010,0)),""))</f>
        <v/>
      </c>
      <c r="AI855" s="15" t="str">
        <f>IF(AE855="","",IFERROR(INDEX($AR$11:$AR$4010,MATCH(845,$AZ$11:$AZ$4010,0)),""))</f>
        <v/>
      </c>
      <c r="AJ855" s="15" t="str">
        <f>IF(AE855="","",IFERROR(INDEX($AT$11:$AT$4010,MATCH(845,$AZ$11:$AZ$4010,0)),""))</f>
        <v/>
      </c>
      <c r="AL855" s="17"/>
      <c r="AM855" s="12"/>
      <c r="AN855" s="18"/>
      <c r="AO855" s="18"/>
      <c r="AP855" s="10"/>
      <c r="AQ855" s="10"/>
      <c r="AR855" s="19"/>
      <c r="AS855" s="20"/>
      <c r="AT855" s="19"/>
      <c r="AV855" s="21">
        <f>IF(AND($AL855&lt;&gt;"",COUNTIF($AL$11:$AL855,$AL855)=1),1,0)</f>
        <v>0</v>
      </c>
      <c r="AW855" s="21">
        <f t="shared" si="113"/>
        <v>0</v>
      </c>
      <c r="AX855" s="21" t="str">
        <f t="shared" si="112"/>
        <v/>
      </c>
      <c r="AY855" s="21" t="str">
        <f>IF(AND($AM855&lt;&gt;"",$AS855&lt;&gt;"✓"),SUMPRODUCT(($AM$11:$AM855&lt;&gt;"")*($AS$11:$AS855&lt;&gt;"✓")),"")</f>
        <v/>
      </c>
      <c r="AZ855" s="21" t="str">
        <f>IF(AND($AM855&lt;&gt;"",$AS855="✓"),SUMPRODUCT(($AM$11:$AM855&lt;&gt;"")*($AS$11:$AS855="✓")),"")</f>
        <v/>
      </c>
      <c r="BA855" s="21" t="str">
        <f>IF($AL855="","",$AL855&amp;"|"&amp;COUNTIF($AL$11:$AL855,$AL855))</f>
        <v/>
      </c>
    </row>
    <row r="856" spans="23:53" ht="15" customHeight="1" x14ac:dyDescent="0.25">
      <c r="W856" s="28" t="str">
        <f>IF(X856="","",IFERROR(INDEX($AL$11:$AL$4010,MATCH(846,$AY$11:$AY$4010,0)),""))</f>
        <v/>
      </c>
      <c r="X856" s="26" t="str">
        <f>IFERROR(INDEX($AM$11:$AM$4010,MATCH(846,$AY$11:$AY$4010,0)),"")</f>
        <v/>
      </c>
      <c r="Y856" s="25" t="str">
        <f>IF(X856="","",IFERROR(INDEX($AN$11:$AN$4010,MATCH(846,$AY$11:$AY$4010,0)),""))</f>
        <v/>
      </c>
      <c r="Z856" s="25" t="str">
        <f>IF(X856="","",IFERROR(INDEX($AO$11:$AO$4010,MATCH(846,$AY$11:$AY$4010,0)),""))</f>
        <v/>
      </c>
      <c r="AA856" s="24" t="str">
        <f>IF(X856="","",IFERROR(INDEX($AQ$11:$AQ$4010,MATCH(846,$AY$11:$AY$4010,0)),""))</f>
        <v/>
      </c>
      <c r="AB856" s="29" t="str">
        <f>IF(X856="","",IFERROR(INDEX($AR$11:$AR$4010,MATCH(846,$AY$11:$AY$4010,0)),""))</f>
        <v/>
      </c>
      <c r="AD856" s="30" t="str">
        <f>IF(AE856="","",IFERROR(INDEX($AL$11:$AL$4010,MATCH(846,$AZ$11:$AZ$4010,0)),""))</f>
        <v/>
      </c>
      <c r="AE856" s="26" t="str">
        <f>IFERROR(INDEX($AM$11:$AM$4010,MATCH(846,$AZ$11:$AZ$4010,0)),"")</f>
        <v/>
      </c>
      <c r="AF856" s="25" t="str">
        <f>IF(AE856="","",IFERROR(INDEX($AN$11:$AN$4010,MATCH(846,$AZ$11:$AZ$4010,0)),""))</f>
        <v/>
      </c>
      <c r="AG856" s="25" t="str">
        <f>IF(AE856="","",IFERROR(INDEX($AO$11:$AO$4010,MATCH(846,$AZ$11:$AZ$4010,0)),""))</f>
        <v/>
      </c>
      <c r="AH856" s="24" t="str">
        <f>IF(AE856="","",IFERROR(INDEX($AQ$11:$AQ$4010,MATCH(846,$AZ$11:$AZ$4010,0)),""))</f>
        <v/>
      </c>
      <c r="AI856" s="29" t="str">
        <f>IF(AE856="","",IFERROR(INDEX($AR$11:$AR$4010,MATCH(846,$AZ$11:$AZ$4010,0)),""))</f>
        <v/>
      </c>
      <c r="AJ856" s="29" t="str">
        <f>IF(AE856="","",IFERROR(INDEX($AT$11:$AT$4010,MATCH(846,$AZ$11:$AZ$4010,0)),""))</f>
        <v/>
      </c>
      <c r="AL856" s="31"/>
      <c r="AM856" s="26"/>
      <c r="AN856" s="32"/>
      <c r="AO856" s="32"/>
      <c r="AP856" s="24"/>
      <c r="AQ856" s="24"/>
      <c r="AR856" s="33"/>
      <c r="AS856" s="34"/>
      <c r="AT856" s="33"/>
      <c r="AV856" s="21">
        <f>IF(AND($AL856&lt;&gt;"",COUNTIF($AL$11:$AL856,$AL856)=1),1,0)</f>
        <v>0</v>
      </c>
      <c r="AW856" s="21">
        <f t="shared" si="113"/>
        <v>0</v>
      </c>
      <c r="AX856" s="21" t="str">
        <f t="shared" si="112"/>
        <v/>
      </c>
      <c r="AY856" s="21" t="str">
        <f>IF(AND($AM856&lt;&gt;"",$AS856&lt;&gt;"✓"),SUMPRODUCT(($AM$11:$AM856&lt;&gt;"")*($AS$11:$AS856&lt;&gt;"✓")),"")</f>
        <v/>
      </c>
      <c r="AZ856" s="21" t="str">
        <f>IF(AND($AM856&lt;&gt;"",$AS856="✓"),SUMPRODUCT(($AM$11:$AM856&lt;&gt;"")*($AS$11:$AS856="✓")),"")</f>
        <v/>
      </c>
      <c r="BA856" s="21" t="str">
        <f>IF($AL856="","",$AL856&amp;"|"&amp;COUNTIF($AL$11:$AL856,$AL856))</f>
        <v/>
      </c>
    </row>
    <row r="857" spans="23:53" ht="15" customHeight="1" x14ac:dyDescent="0.25">
      <c r="W857" s="14" t="str">
        <f>IF(X857="","",IFERROR(INDEX($AL$11:$AL$4010,MATCH(847,$AY$11:$AY$4010,0)),""))</f>
        <v/>
      </c>
      <c r="X857" s="12" t="str">
        <f>IFERROR(INDEX($AM$11:$AM$4010,MATCH(847,$AY$11:$AY$4010,0)),"")</f>
        <v/>
      </c>
      <c r="Y857" s="11" t="str">
        <f>IF(X857="","",IFERROR(INDEX($AN$11:$AN$4010,MATCH(847,$AY$11:$AY$4010,0)),""))</f>
        <v/>
      </c>
      <c r="Z857" s="11" t="str">
        <f>IF(X857="","",IFERROR(INDEX($AO$11:$AO$4010,MATCH(847,$AY$11:$AY$4010,0)),""))</f>
        <v/>
      </c>
      <c r="AA857" s="10" t="str">
        <f>IF(X857="","",IFERROR(INDEX($AQ$11:$AQ$4010,MATCH(847,$AY$11:$AY$4010,0)),""))</f>
        <v/>
      </c>
      <c r="AB857" s="15" t="str">
        <f>IF(X857="","",IFERROR(INDEX($AR$11:$AR$4010,MATCH(847,$AY$11:$AY$4010,0)),""))</f>
        <v/>
      </c>
      <c r="AD857" s="16" t="str">
        <f>IF(AE857="","",IFERROR(INDEX($AL$11:$AL$4010,MATCH(847,$AZ$11:$AZ$4010,0)),""))</f>
        <v/>
      </c>
      <c r="AE857" s="12" t="str">
        <f>IFERROR(INDEX($AM$11:$AM$4010,MATCH(847,$AZ$11:$AZ$4010,0)),"")</f>
        <v/>
      </c>
      <c r="AF857" s="11" t="str">
        <f>IF(AE857="","",IFERROR(INDEX($AN$11:$AN$4010,MATCH(847,$AZ$11:$AZ$4010,0)),""))</f>
        <v/>
      </c>
      <c r="AG857" s="11" t="str">
        <f>IF(AE857="","",IFERROR(INDEX($AO$11:$AO$4010,MATCH(847,$AZ$11:$AZ$4010,0)),""))</f>
        <v/>
      </c>
      <c r="AH857" s="10" t="str">
        <f>IF(AE857="","",IFERROR(INDEX($AQ$11:$AQ$4010,MATCH(847,$AZ$11:$AZ$4010,0)),""))</f>
        <v/>
      </c>
      <c r="AI857" s="15" t="str">
        <f>IF(AE857="","",IFERROR(INDEX($AR$11:$AR$4010,MATCH(847,$AZ$11:$AZ$4010,0)),""))</f>
        <v/>
      </c>
      <c r="AJ857" s="15" t="str">
        <f>IF(AE857="","",IFERROR(INDEX($AT$11:$AT$4010,MATCH(847,$AZ$11:$AZ$4010,0)),""))</f>
        <v/>
      </c>
      <c r="AL857" s="17"/>
      <c r="AM857" s="12"/>
      <c r="AN857" s="18"/>
      <c r="AO857" s="18"/>
      <c r="AP857" s="10"/>
      <c r="AQ857" s="10"/>
      <c r="AR857" s="19"/>
      <c r="AS857" s="20"/>
      <c r="AT857" s="19"/>
      <c r="AV857" s="21">
        <f>IF(AND($AL857&lt;&gt;"",COUNTIF($AL$11:$AL857,$AL857)=1),1,0)</f>
        <v>0</v>
      </c>
      <c r="AW857" s="21">
        <f t="shared" si="113"/>
        <v>0</v>
      </c>
      <c r="AX857" s="21" t="str">
        <f t="shared" si="112"/>
        <v/>
      </c>
      <c r="AY857" s="21" t="str">
        <f>IF(AND($AM857&lt;&gt;"",$AS857&lt;&gt;"✓"),SUMPRODUCT(($AM$11:$AM857&lt;&gt;"")*($AS$11:$AS857&lt;&gt;"✓")),"")</f>
        <v/>
      </c>
      <c r="AZ857" s="21" t="str">
        <f>IF(AND($AM857&lt;&gt;"",$AS857="✓"),SUMPRODUCT(($AM$11:$AM857&lt;&gt;"")*($AS$11:$AS857="✓")),"")</f>
        <v/>
      </c>
      <c r="BA857" s="21" t="str">
        <f>IF($AL857="","",$AL857&amp;"|"&amp;COUNTIF($AL$11:$AL857,$AL857))</f>
        <v/>
      </c>
    </row>
    <row r="858" spans="23:53" ht="15" customHeight="1" x14ac:dyDescent="0.25">
      <c r="W858" s="28" t="str">
        <f>IF(X858="","",IFERROR(INDEX($AL$11:$AL$4010,MATCH(848,$AY$11:$AY$4010,0)),""))</f>
        <v/>
      </c>
      <c r="X858" s="26" t="str">
        <f>IFERROR(INDEX($AM$11:$AM$4010,MATCH(848,$AY$11:$AY$4010,0)),"")</f>
        <v/>
      </c>
      <c r="Y858" s="25" t="str">
        <f>IF(X858="","",IFERROR(INDEX($AN$11:$AN$4010,MATCH(848,$AY$11:$AY$4010,0)),""))</f>
        <v/>
      </c>
      <c r="Z858" s="25" t="str">
        <f>IF(X858="","",IFERROR(INDEX($AO$11:$AO$4010,MATCH(848,$AY$11:$AY$4010,0)),""))</f>
        <v/>
      </c>
      <c r="AA858" s="24" t="str">
        <f>IF(X858="","",IFERROR(INDEX($AQ$11:$AQ$4010,MATCH(848,$AY$11:$AY$4010,0)),""))</f>
        <v/>
      </c>
      <c r="AB858" s="29" t="str">
        <f>IF(X858="","",IFERROR(INDEX($AR$11:$AR$4010,MATCH(848,$AY$11:$AY$4010,0)),""))</f>
        <v/>
      </c>
      <c r="AD858" s="30" t="str">
        <f>IF(AE858="","",IFERROR(INDEX($AL$11:$AL$4010,MATCH(848,$AZ$11:$AZ$4010,0)),""))</f>
        <v/>
      </c>
      <c r="AE858" s="26" t="str">
        <f>IFERROR(INDEX($AM$11:$AM$4010,MATCH(848,$AZ$11:$AZ$4010,0)),"")</f>
        <v/>
      </c>
      <c r="AF858" s="25" t="str">
        <f>IF(AE858="","",IFERROR(INDEX($AN$11:$AN$4010,MATCH(848,$AZ$11:$AZ$4010,0)),""))</f>
        <v/>
      </c>
      <c r="AG858" s="25" t="str">
        <f>IF(AE858="","",IFERROR(INDEX($AO$11:$AO$4010,MATCH(848,$AZ$11:$AZ$4010,0)),""))</f>
        <v/>
      </c>
      <c r="AH858" s="24" t="str">
        <f>IF(AE858="","",IFERROR(INDEX($AQ$11:$AQ$4010,MATCH(848,$AZ$11:$AZ$4010,0)),""))</f>
        <v/>
      </c>
      <c r="AI858" s="29" t="str">
        <f>IF(AE858="","",IFERROR(INDEX($AR$11:$AR$4010,MATCH(848,$AZ$11:$AZ$4010,0)),""))</f>
        <v/>
      </c>
      <c r="AJ858" s="29" t="str">
        <f>IF(AE858="","",IFERROR(INDEX($AT$11:$AT$4010,MATCH(848,$AZ$11:$AZ$4010,0)),""))</f>
        <v/>
      </c>
      <c r="AL858" s="31"/>
      <c r="AM858" s="26"/>
      <c r="AN858" s="32"/>
      <c r="AO858" s="32"/>
      <c r="AP858" s="24"/>
      <c r="AQ858" s="24"/>
      <c r="AR858" s="33"/>
      <c r="AS858" s="34"/>
      <c r="AT858" s="33"/>
      <c r="AV858" s="21">
        <f>IF(AND($AL858&lt;&gt;"",COUNTIF($AL$11:$AL858,$AL858)=1),1,0)</f>
        <v>0</v>
      </c>
      <c r="AW858" s="21">
        <f t="shared" si="113"/>
        <v>0</v>
      </c>
      <c r="AX858" s="21" t="str">
        <f t="shared" si="112"/>
        <v/>
      </c>
      <c r="AY858" s="21" t="str">
        <f>IF(AND($AM858&lt;&gt;"",$AS858&lt;&gt;"✓"),SUMPRODUCT(($AM$11:$AM858&lt;&gt;"")*($AS$11:$AS858&lt;&gt;"✓")),"")</f>
        <v/>
      </c>
      <c r="AZ858" s="21" t="str">
        <f>IF(AND($AM858&lt;&gt;"",$AS858="✓"),SUMPRODUCT(($AM$11:$AM858&lt;&gt;"")*($AS$11:$AS858="✓")),"")</f>
        <v/>
      </c>
      <c r="BA858" s="21" t="str">
        <f>IF($AL858="","",$AL858&amp;"|"&amp;COUNTIF($AL$11:$AL858,$AL858))</f>
        <v/>
      </c>
    </row>
    <row r="859" spans="23:53" ht="15" customHeight="1" x14ac:dyDescent="0.25">
      <c r="W859" s="14" t="str">
        <f>IF(X859="","",IFERROR(INDEX($AL$11:$AL$4010,MATCH(849,$AY$11:$AY$4010,0)),""))</f>
        <v/>
      </c>
      <c r="X859" s="12" t="str">
        <f>IFERROR(INDEX($AM$11:$AM$4010,MATCH(849,$AY$11:$AY$4010,0)),"")</f>
        <v/>
      </c>
      <c r="Y859" s="11" t="str">
        <f>IF(X859="","",IFERROR(INDEX($AN$11:$AN$4010,MATCH(849,$AY$11:$AY$4010,0)),""))</f>
        <v/>
      </c>
      <c r="Z859" s="11" t="str">
        <f>IF(X859="","",IFERROR(INDEX($AO$11:$AO$4010,MATCH(849,$AY$11:$AY$4010,0)),""))</f>
        <v/>
      </c>
      <c r="AA859" s="10" t="str">
        <f>IF(X859="","",IFERROR(INDEX($AQ$11:$AQ$4010,MATCH(849,$AY$11:$AY$4010,0)),""))</f>
        <v/>
      </c>
      <c r="AB859" s="15" t="str">
        <f>IF(X859="","",IFERROR(INDEX($AR$11:$AR$4010,MATCH(849,$AY$11:$AY$4010,0)),""))</f>
        <v/>
      </c>
      <c r="AD859" s="16" t="str">
        <f>IF(AE859="","",IFERROR(INDEX($AL$11:$AL$4010,MATCH(849,$AZ$11:$AZ$4010,0)),""))</f>
        <v/>
      </c>
      <c r="AE859" s="12" t="str">
        <f>IFERROR(INDEX($AM$11:$AM$4010,MATCH(849,$AZ$11:$AZ$4010,0)),"")</f>
        <v/>
      </c>
      <c r="AF859" s="11" t="str">
        <f>IF(AE859="","",IFERROR(INDEX($AN$11:$AN$4010,MATCH(849,$AZ$11:$AZ$4010,0)),""))</f>
        <v/>
      </c>
      <c r="AG859" s="11" t="str">
        <f>IF(AE859="","",IFERROR(INDEX($AO$11:$AO$4010,MATCH(849,$AZ$11:$AZ$4010,0)),""))</f>
        <v/>
      </c>
      <c r="AH859" s="10" t="str">
        <f>IF(AE859="","",IFERROR(INDEX($AQ$11:$AQ$4010,MATCH(849,$AZ$11:$AZ$4010,0)),""))</f>
        <v/>
      </c>
      <c r="AI859" s="15" t="str">
        <f>IF(AE859="","",IFERROR(INDEX($AR$11:$AR$4010,MATCH(849,$AZ$11:$AZ$4010,0)),""))</f>
        <v/>
      </c>
      <c r="AJ859" s="15" t="str">
        <f>IF(AE859="","",IFERROR(INDEX($AT$11:$AT$4010,MATCH(849,$AZ$11:$AZ$4010,0)),""))</f>
        <v/>
      </c>
      <c r="AL859" s="17"/>
      <c r="AM859" s="12"/>
      <c r="AN859" s="18"/>
      <c r="AO859" s="18"/>
      <c r="AP859" s="10"/>
      <c r="AQ859" s="10"/>
      <c r="AR859" s="19"/>
      <c r="AS859" s="20"/>
      <c r="AT859" s="19"/>
      <c r="AV859" s="21">
        <f>IF(AND($AL859&lt;&gt;"",COUNTIF($AL$11:$AL859,$AL859)=1),1,0)</f>
        <v>0</v>
      </c>
      <c r="AW859" s="21">
        <f t="shared" si="113"/>
        <v>0</v>
      </c>
      <c r="AX859" s="21" t="str">
        <f t="shared" si="112"/>
        <v/>
      </c>
      <c r="AY859" s="21" t="str">
        <f>IF(AND($AM859&lt;&gt;"",$AS859&lt;&gt;"✓"),SUMPRODUCT(($AM$11:$AM859&lt;&gt;"")*($AS$11:$AS859&lt;&gt;"✓")),"")</f>
        <v/>
      </c>
      <c r="AZ859" s="21" t="str">
        <f>IF(AND($AM859&lt;&gt;"",$AS859="✓"),SUMPRODUCT(($AM$11:$AM859&lt;&gt;"")*($AS$11:$AS859="✓")),"")</f>
        <v/>
      </c>
      <c r="BA859" s="21" t="str">
        <f>IF($AL859="","",$AL859&amp;"|"&amp;COUNTIF($AL$11:$AL859,$AL859))</f>
        <v/>
      </c>
    </row>
    <row r="860" spans="23:53" ht="15" customHeight="1" x14ac:dyDescent="0.25">
      <c r="W860" s="28" t="str">
        <f>IF(X860="","",IFERROR(INDEX($AL$11:$AL$4010,MATCH(850,$AY$11:$AY$4010,0)),""))</f>
        <v/>
      </c>
      <c r="X860" s="26" t="str">
        <f>IFERROR(INDEX($AM$11:$AM$4010,MATCH(850,$AY$11:$AY$4010,0)),"")</f>
        <v/>
      </c>
      <c r="Y860" s="25" t="str">
        <f>IF(X860="","",IFERROR(INDEX($AN$11:$AN$4010,MATCH(850,$AY$11:$AY$4010,0)),""))</f>
        <v/>
      </c>
      <c r="Z860" s="25" t="str">
        <f>IF(X860="","",IFERROR(INDEX($AO$11:$AO$4010,MATCH(850,$AY$11:$AY$4010,0)),""))</f>
        <v/>
      </c>
      <c r="AA860" s="24" t="str">
        <f>IF(X860="","",IFERROR(INDEX($AQ$11:$AQ$4010,MATCH(850,$AY$11:$AY$4010,0)),""))</f>
        <v/>
      </c>
      <c r="AB860" s="29" t="str">
        <f>IF(X860="","",IFERROR(INDEX($AR$11:$AR$4010,MATCH(850,$AY$11:$AY$4010,0)),""))</f>
        <v/>
      </c>
      <c r="AD860" s="30" t="str">
        <f>IF(AE860="","",IFERROR(INDEX($AL$11:$AL$4010,MATCH(850,$AZ$11:$AZ$4010,0)),""))</f>
        <v/>
      </c>
      <c r="AE860" s="26" t="str">
        <f>IFERROR(INDEX($AM$11:$AM$4010,MATCH(850,$AZ$11:$AZ$4010,0)),"")</f>
        <v/>
      </c>
      <c r="AF860" s="25" t="str">
        <f>IF(AE860="","",IFERROR(INDEX($AN$11:$AN$4010,MATCH(850,$AZ$11:$AZ$4010,0)),""))</f>
        <v/>
      </c>
      <c r="AG860" s="25" t="str">
        <f>IF(AE860="","",IFERROR(INDEX($AO$11:$AO$4010,MATCH(850,$AZ$11:$AZ$4010,0)),""))</f>
        <v/>
      </c>
      <c r="AH860" s="24" t="str">
        <f>IF(AE860="","",IFERROR(INDEX($AQ$11:$AQ$4010,MATCH(850,$AZ$11:$AZ$4010,0)),""))</f>
        <v/>
      </c>
      <c r="AI860" s="29" t="str">
        <f>IF(AE860="","",IFERROR(INDEX($AR$11:$AR$4010,MATCH(850,$AZ$11:$AZ$4010,0)),""))</f>
        <v/>
      </c>
      <c r="AJ860" s="29" t="str">
        <f>IF(AE860="","",IFERROR(INDEX($AT$11:$AT$4010,MATCH(850,$AZ$11:$AZ$4010,0)),""))</f>
        <v/>
      </c>
      <c r="AL860" s="31"/>
      <c r="AM860" s="26"/>
      <c r="AN860" s="32"/>
      <c r="AO860" s="32"/>
      <c r="AP860" s="24"/>
      <c r="AQ860" s="24"/>
      <c r="AR860" s="33"/>
      <c r="AS860" s="34"/>
      <c r="AT860" s="33"/>
      <c r="AV860" s="21">
        <f>IF(AND($AL860&lt;&gt;"",COUNTIF($AL$11:$AL860,$AL860)=1),1,0)</f>
        <v>0</v>
      </c>
      <c r="AW860" s="21">
        <f t="shared" si="113"/>
        <v>0</v>
      </c>
      <c r="AX860" s="21" t="str">
        <f t="shared" si="112"/>
        <v/>
      </c>
      <c r="AY860" s="21" t="str">
        <f>IF(AND($AM860&lt;&gt;"",$AS860&lt;&gt;"✓"),SUMPRODUCT(($AM$11:$AM860&lt;&gt;"")*($AS$11:$AS860&lt;&gt;"✓")),"")</f>
        <v/>
      </c>
      <c r="AZ860" s="21" t="str">
        <f>IF(AND($AM860&lt;&gt;"",$AS860="✓"),SUMPRODUCT(($AM$11:$AM860&lt;&gt;"")*($AS$11:$AS860="✓")),"")</f>
        <v/>
      </c>
      <c r="BA860" s="21" t="str">
        <f>IF($AL860="","",$AL860&amp;"|"&amp;COUNTIF($AL$11:$AL860,$AL860))</f>
        <v/>
      </c>
    </row>
    <row r="861" spans="23:53" ht="15" customHeight="1" x14ac:dyDescent="0.25">
      <c r="W861" s="14" t="str">
        <f>IF(X861="","",IFERROR(INDEX($AL$11:$AL$4010,MATCH(851,$AY$11:$AY$4010,0)),""))</f>
        <v/>
      </c>
      <c r="X861" s="12" t="str">
        <f>IFERROR(INDEX($AM$11:$AM$4010,MATCH(851,$AY$11:$AY$4010,0)),"")</f>
        <v/>
      </c>
      <c r="Y861" s="11" t="str">
        <f>IF(X861="","",IFERROR(INDEX($AN$11:$AN$4010,MATCH(851,$AY$11:$AY$4010,0)),""))</f>
        <v/>
      </c>
      <c r="Z861" s="11" t="str">
        <f>IF(X861="","",IFERROR(INDEX($AO$11:$AO$4010,MATCH(851,$AY$11:$AY$4010,0)),""))</f>
        <v/>
      </c>
      <c r="AA861" s="10" t="str">
        <f>IF(X861="","",IFERROR(INDEX($AQ$11:$AQ$4010,MATCH(851,$AY$11:$AY$4010,0)),""))</f>
        <v/>
      </c>
      <c r="AB861" s="15" t="str">
        <f>IF(X861="","",IFERROR(INDEX($AR$11:$AR$4010,MATCH(851,$AY$11:$AY$4010,0)),""))</f>
        <v/>
      </c>
      <c r="AD861" s="16" t="str">
        <f>IF(AE861="","",IFERROR(INDEX($AL$11:$AL$4010,MATCH(851,$AZ$11:$AZ$4010,0)),""))</f>
        <v/>
      </c>
      <c r="AE861" s="12" t="str">
        <f>IFERROR(INDEX($AM$11:$AM$4010,MATCH(851,$AZ$11:$AZ$4010,0)),"")</f>
        <v/>
      </c>
      <c r="AF861" s="11" t="str">
        <f>IF(AE861="","",IFERROR(INDEX($AN$11:$AN$4010,MATCH(851,$AZ$11:$AZ$4010,0)),""))</f>
        <v/>
      </c>
      <c r="AG861" s="11" t="str">
        <f>IF(AE861="","",IFERROR(INDEX($AO$11:$AO$4010,MATCH(851,$AZ$11:$AZ$4010,0)),""))</f>
        <v/>
      </c>
      <c r="AH861" s="10" t="str">
        <f>IF(AE861="","",IFERROR(INDEX($AQ$11:$AQ$4010,MATCH(851,$AZ$11:$AZ$4010,0)),""))</f>
        <v/>
      </c>
      <c r="AI861" s="15" t="str">
        <f>IF(AE861="","",IFERROR(INDEX($AR$11:$AR$4010,MATCH(851,$AZ$11:$AZ$4010,0)),""))</f>
        <v/>
      </c>
      <c r="AJ861" s="15" t="str">
        <f>IF(AE861="","",IFERROR(INDEX($AT$11:$AT$4010,MATCH(851,$AZ$11:$AZ$4010,0)),""))</f>
        <v/>
      </c>
      <c r="AL861" s="17"/>
      <c r="AM861" s="12"/>
      <c r="AN861" s="18"/>
      <c r="AO861" s="18"/>
      <c r="AP861" s="10"/>
      <c r="AQ861" s="10"/>
      <c r="AR861" s="19"/>
      <c r="AS861" s="20"/>
      <c r="AT861" s="19"/>
      <c r="AV861" s="21">
        <f>IF(AND($AL861&lt;&gt;"",COUNTIF($AL$11:$AL861,$AL861)=1),1,0)</f>
        <v>0</v>
      </c>
      <c r="AW861" s="21">
        <f t="shared" si="113"/>
        <v>0</v>
      </c>
      <c r="AX861" s="21" t="str">
        <f t="shared" si="112"/>
        <v/>
      </c>
      <c r="AY861" s="21" t="str">
        <f>IF(AND($AM861&lt;&gt;"",$AS861&lt;&gt;"✓"),SUMPRODUCT(($AM$11:$AM861&lt;&gt;"")*($AS$11:$AS861&lt;&gt;"✓")),"")</f>
        <v/>
      </c>
      <c r="AZ861" s="21" t="str">
        <f>IF(AND($AM861&lt;&gt;"",$AS861="✓"),SUMPRODUCT(($AM$11:$AM861&lt;&gt;"")*($AS$11:$AS861="✓")),"")</f>
        <v/>
      </c>
      <c r="BA861" s="21" t="str">
        <f>IF($AL861="","",$AL861&amp;"|"&amp;COUNTIF($AL$11:$AL861,$AL861))</f>
        <v/>
      </c>
    </row>
    <row r="862" spans="23:53" ht="15" customHeight="1" x14ac:dyDescent="0.25">
      <c r="W862" s="28" t="str">
        <f>IF(X862="","",IFERROR(INDEX($AL$11:$AL$4010,MATCH(852,$AY$11:$AY$4010,0)),""))</f>
        <v/>
      </c>
      <c r="X862" s="26" t="str">
        <f>IFERROR(INDEX($AM$11:$AM$4010,MATCH(852,$AY$11:$AY$4010,0)),"")</f>
        <v/>
      </c>
      <c r="Y862" s="25" t="str">
        <f>IF(X862="","",IFERROR(INDEX($AN$11:$AN$4010,MATCH(852,$AY$11:$AY$4010,0)),""))</f>
        <v/>
      </c>
      <c r="Z862" s="25" t="str">
        <f>IF(X862="","",IFERROR(INDEX($AO$11:$AO$4010,MATCH(852,$AY$11:$AY$4010,0)),""))</f>
        <v/>
      </c>
      <c r="AA862" s="24" t="str">
        <f>IF(X862="","",IFERROR(INDEX($AQ$11:$AQ$4010,MATCH(852,$AY$11:$AY$4010,0)),""))</f>
        <v/>
      </c>
      <c r="AB862" s="29" t="str">
        <f>IF(X862="","",IFERROR(INDEX($AR$11:$AR$4010,MATCH(852,$AY$11:$AY$4010,0)),""))</f>
        <v/>
      </c>
      <c r="AD862" s="30" t="str">
        <f>IF(AE862="","",IFERROR(INDEX($AL$11:$AL$4010,MATCH(852,$AZ$11:$AZ$4010,0)),""))</f>
        <v/>
      </c>
      <c r="AE862" s="26" t="str">
        <f>IFERROR(INDEX($AM$11:$AM$4010,MATCH(852,$AZ$11:$AZ$4010,0)),"")</f>
        <v/>
      </c>
      <c r="AF862" s="25" t="str">
        <f>IF(AE862="","",IFERROR(INDEX($AN$11:$AN$4010,MATCH(852,$AZ$11:$AZ$4010,0)),""))</f>
        <v/>
      </c>
      <c r="AG862" s="25" t="str">
        <f>IF(AE862="","",IFERROR(INDEX($AO$11:$AO$4010,MATCH(852,$AZ$11:$AZ$4010,0)),""))</f>
        <v/>
      </c>
      <c r="AH862" s="24" t="str">
        <f>IF(AE862="","",IFERROR(INDEX($AQ$11:$AQ$4010,MATCH(852,$AZ$11:$AZ$4010,0)),""))</f>
        <v/>
      </c>
      <c r="AI862" s="29" t="str">
        <f>IF(AE862="","",IFERROR(INDEX($AR$11:$AR$4010,MATCH(852,$AZ$11:$AZ$4010,0)),""))</f>
        <v/>
      </c>
      <c r="AJ862" s="29" t="str">
        <f>IF(AE862="","",IFERROR(INDEX($AT$11:$AT$4010,MATCH(852,$AZ$11:$AZ$4010,0)),""))</f>
        <v/>
      </c>
      <c r="AL862" s="31"/>
      <c r="AM862" s="26"/>
      <c r="AN862" s="32"/>
      <c r="AO862" s="32"/>
      <c r="AP862" s="24"/>
      <c r="AQ862" s="24"/>
      <c r="AR862" s="33"/>
      <c r="AS862" s="34"/>
      <c r="AT862" s="33"/>
      <c r="AV862" s="21">
        <f>IF(AND($AL862&lt;&gt;"",COUNTIF($AL$11:$AL862,$AL862)=1),1,0)</f>
        <v>0</v>
      </c>
      <c r="AW862" s="21">
        <f t="shared" si="113"/>
        <v>0</v>
      </c>
      <c r="AX862" s="21" t="str">
        <f t="shared" si="112"/>
        <v/>
      </c>
      <c r="AY862" s="21" t="str">
        <f>IF(AND($AM862&lt;&gt;"",$AS862&lt;&gt;"✓"),SUMPRODUCT(($AM$11:$AM862&lt;&gt;"")*($AS$11:$AS862&lt;&gt;"✓")),"")</f>
        <v/>
      </c>
      <c r="AZ862" s="21" t="str">
        <f>IF(AND($AM862&lt;&gt;"",$AS862="✓"),SUMPRODUCT(($AM$11:$AM862&lt;&gt;"")*($AS$11:$AS862="✓")),"")</f>
        <v/>
      </c>
      <c r="BA862" s="21" t="str">
        <f>IF($AL862="","",$AL862&amp;"|"&amp;COUNTIF($AL$11:$AL862,$AL862))</f>
        <v/>
      </c>
    </row>
    <row r="863" spans="23:53" ht="15" customHeight="1" x14ac:dyDescent="0.25">
      <c r="W863" s="14" t="str">
        <f>IF(X863="","",IFERROR(INDEX($AL$11:$AL$4010,MATCH(853,$AY$11:$AY$4010,0)),""))</f>
        <v/>
      </c>
      <c r="X863" s="12" t="str">
        <f>IFERROR(INDEX($AM$11:$AM$4010,MATCH(853,$AY$11:$AY$4010,0)),"")</f>
        <v/>
      </c>
      <c r="Y863" s="11" t="str">
        <f>IF(X863="","",IFERROR(INDEX($AN$11:$AN$4010,MATCH(853,$AY$11:$AY$4010,0)),""))</f>
        <v/>
      </c>
      <c r="Z863" s="11" t="str">
        <f>IF(X863="","",IFERROR(INDEX($AO$11:$AO$4010,MATCH(853,$AY$11:$AY$4010,0)),""))</f>
        <v/>
      </c>
      <c r="AA863" s="10" t="str">
        <f>IF(X863="","",IFERROR(INDEX($AQ$11:$AQ$4010,MATCH(853,$AY$11:$AY$4010,0)),""))</f>
        <v/>
      </c>
      <c r="AB863" s="15" t="str">
        <f>IF(X863="","",IFERROR(INDEX($AR$11:$AR$4010,MATCH(853,$AY$11:$AY$4010,0)),""))</f>
        <v/>
      </c>
      <c r="AD863" s="16" t="str">
        <f>IF(AE863="","",IFERROR(INDEX($AL$11:$AL$4010,MATCH(853,$AZ$11:$AZ$4010,0)),""))</f>
        <v/>
      </c>
      <c r="AE863" s="12" t="str">
        <f>IFERROR(INDEX($AM$11:$AM$4010,MATCH(853,$AZ$11:$AZ$4010,0)),"")</f>
        <v/>
      </c>
      <c r="AF863" s="11" t="str">
        <f>IF(AE863="","",IFERROR(INDEX($AN$11:$AN$4010,MATCH(853,$AZ$11:$AZ$4010,0)),""))</f>
        <v/>
      </c>
      <c r="AG863" s="11" t="str">
        <f>IF(AE863="","",IFERROR(INDEX($AO$11:$AO$4010,MATCH(853,$AZ$11:$AZ$4010,0)),""))</f>
        <v/>
      </c>
      <c r="AH863" s="10" t="str">
        <f>IF(AE863="","",IFERROR(INDEX($AQ$11:$AQ$4010,MATCH(853,$AZ$11:$AZ$4010,0)),""))</f>
        <v/>
      </c>
      <c r="AI863" s="15" t="str">
        <f>IF(AE863="","",IFERROR(INDEX($AR$11:$AR$4010,MATCH(853,$AZ$11:$AZ$4010,0)),""))</f>
        <v/>
      </c>
      <c r="AJ863" s="15" t="str">
        <f>IF(AE863="","",IFERROR(INDEX($AT$11:$AT$4010,MATCH(853,$AZ$11:$AZ$4010,0)),""))</f>
        <v/>
      </c>
      <c r="AL863" s="17"/>
      <c r="AM863" s="12"/>
      <c r="AN863" s="18"/>
      <c r="AO863" s="18"/>
      <c r="AP863" s="10"/>
      <c r="AQ863" s="10"/>
      <c r="AR863" s="19"/>
      <c r="AS863" s="20"/>
      <c r="AT863" s="19"/>
      <c r="AV863" s="21">
        <f>IF(AND($AL863&lt;&gt;"",COUNTIF($AL$11:$AL863,$AL863)=1),1,0)</f>
        <v>0</v>
      </c>
      <c r="AW863" s="21">
        <f t="shared" si="113"/>
        <v>0</v>
      </c>
      <c r="AX863" s="21" t="str">
        <f t="shared" si="112"/>
        <v/>
      </c>
      <c r="AY863" s="21" t="str">
        <f>IF(AND($AM863&lt;&gt;"",$AS863&lt;&gt;"✓"),SUMPRODUCT(($AM$11:$AM863&lt;&gt;"")*($AS$11:$AS863&lt;&gt;"✓")),"")</f>
        <v/>
      </c>
      <c r="AZ863" s="21" t="str">
        <f>IF(AND($AM863&lt;&gt;"",$AS863="✓"),SUMPRODUCT(($AM$11:$AM863&lt;&gt;"")*($AS$11:$AS863="✓")),"")</f>
        <v/>
      </c>
      <c r="BA863" s="21" t="str">
        <f>IF($AL863="","",$AL863&amp;"|"&amp;COUNTIF($AL$11:$AL863,$AL863))</f>
        <v/>
      </c>
    </row>
    <row r="864" spans="23:53" ht="15" customHeight="1" x14ac:dyDescent="0.25">
      <c r="W864" s="28" t="str">
        <f>IF(X864="","",IFERROR(INDEX($AL$11:$AL$4010,MATCH(854,$AY$11:$AY$4010,0)),""))</f>
        <v/>
      </c>
      <c r="X864" s="26" t="str">
        <f>IFERROR(INDEX($AM$11:$AM$4010,MATCH(854,$AY$11:$AY$4010,0)),"")</f>
        <v/>
      </c>
      <c r="Y864" s="25" t="str">
        <f>IF(X864="","",IFERROR(INDEX($AN$11:$AN$4010,MATCH(854,$AY$11:$AY$4010,0)),""))</f>
        <v/>
      </c>
      <c r="Z864" s="25" t="str">
        <f>IF(X864="","",IFERROR(INDEX($AO$11:$AO$4010,MATCH(854,$AY$11:$AY$4010,0)),""))</f>
        <v/>
      </c>
      <c r="AA864" s="24" t="str">
        <f>IF(X864="","",IFERROR(INDEX($AQ$11:$AQ$4010,MATCH(854,$AY$11:$AY$4010,0)),""))</f>
        <v/>
      </c>
      <c r="AB864" s="29" t="str">
        <f>IF(X864="","",IFERROR(INDEX($AR$11:$AR$4010,MATCH(854,$AY$11:$AY$4010,0)),""))</f>
        <v/>
      </c>
      <c r="AD864" s="30" t="str">
        <f>IF(AE864="","",IFERROR(INDEX($AL$11:$AL$4010,MATCH(854,$AZ$11:$AZ$4010,0)),""))</f>
        <v/>
      </c>
      <c r="AE864" s="26" t="str">
        <f>IFERROR(INDEX($AM$11:$AM$4010,MATCH(854,$AZ$11:$AZ$4010,0)),"")</f>
        <v/>
      </c>
      <c r="AF864" s="25" t="str">
        <f>IF(AE864="","",IFERROR(INDEX($AN$11:$AN$4010,MATCH(854,$AZ$11:$AZ$4010,0)),""))</f>
        <v/>
      </c>
      <c r="AG864" s="25" t="str">
        <f>IF(AE864="","",IFERROR(INDEX($AO$11:$AO$4010,MATCH(854,$AZ$11:$AZ$4010,0)),""))</f>
        <v/>
      </c>
      <c r="AH864" s="24" t="str">
        <f>IF(AE864="","",IFERROR(INDEX($AQ$11:$AQ$4010,MATCH(854,$AZ$11:$AZ$4010,0)),""))</f>
        <v/>
      </c>
      <c r="AI864" s="29" t="str">
        <f>IF(AE864="","",IFERROR(INDEX($AR$11:$AR$4010,MATCH(854,$AZ$11:$AZ$4010,0)),""))</f>
        <v/>
      </c>
      <c r="AJ864" s="29" t="str">
        <f>IF(AE864="","",IFERROR(INDEX($AT$11:$AT$4010,MATCH(854,$AZ$11:$AZ$4010,0)),""))</f>
        <v/>
      </c>
      <c r="AL864" s="31"/>
      <c r="AM864" s="26"/>
      <c r="AN864" s="32"/>
      <c r="AO864" s="32"/>
      <c r="AP864" s="24"/>
      <c r="AQ864" s="24"/>
      <c r="AR864" s="33"/>
      <c r="AS864" s="34"/>
      <c r="AT864" s="33"/>
      <c r="AV864" s="21">
        <f>IF(AND($AL864&lt;&gt;"",COUNTIF($AL$11:$AL864,$AL864)=1),1,0)</f>
        <v>0</v>
      </c>
      <c r="AW864" s="21">
        <f t="shared" si="113"/>
        <v>0</v>
      </c>
      <c r="AX864" s="21" t="str">
        <f t="shared" si="112"/>
        <v/>
      </c>
      <c r="AY864" s="21" t="str">
        <f>IF(AND($AM864&lt;&gt;"",$AS864&lt;&gt;"✓"),SUMPRODUCT(($AM$11:$AM864&lt;&gt;"")*($AS$11:$AS864&lt;&gt;"✓")),"")</f>
        <v/>
      </c>
      <c r="AZ864" s="21" t="str">
        <f>IF(AND($AM864&lt;&gt;"",$AS864="✓"),SUMPRODUCT(($AM$11:$AM864&lt;&gt;"")*($AS$11:$AS864="✓")),"")</f>
        <v/>
      </c>
      <c r="BA864" s="21" t="str">
        <f>IF($AL864="","",$AL864&amp;"|"&amp;COUNTIF($AL$11:$AL864,$AL864))</f>
        <v/>
      </c>
    </row>
    <row r="865" spans="23:53" ht="15" customHeight="1" x14ac:dyDescent="0.25">
      <c r="W865" s="14" t="str">
        <f>IF(X865="","",IFERROR(INDEX($AL$11:$AL$4010,MATCH(855,$AY$11:$AY$4010,0)),""))</f>
        <v/>
      </c>
      <c r="X865" s="12" t="str">
        <f>IFERROR(INDEX($AM$11:$AM$4010,MATCH(855,$AY$11:$AY$4010,0)),"")</f>
        <v/>
      </c>
      <c r="Y865" s="11" t="str">
        <f>IF(X865="","",IFERROR(INDEX($AN$11:$AN$4010,MATCH(855,$AY$11:$AY$4010,0)),""))</f>
        <v/>
      </c>
      <c r="Z865" s="11" t="str">
        <f>IF(X865="","",IFERROR(INDEX($AO$11:$AO$4010,MATCH(855,$AY$11:$AY$4010,0)),""))</f>
        <v/>
      </c>
      <c r="AA865" s="10" t="str">
        <f>IF(X865="","",IFERROR(INDEX($AQ$11:$AQ$4010,MATCH(855,$AY$11:$AY$4010,0)),""))</f>
        <v/>
      </c>
      <c r="AB865" s="15" t="str">
        <f>IF(X865="","",IFERROR(INDEX($AR$11:$AR$4010,MATCH(855,$AY$11:$AY$4010,0)),""))</f>
        <v/>
      </c>
      <c r="AD865" s="16" t="str">
        <f>IF(AE865="","",IFERROR(INDEX($AL$11:$AL$4010,MATCH(855,$AZ$11:$AZ$4010,0)),""))</f>
        <v/>
      </c>
      <c r="AE865" s="12" t="str">
        <f>IFERROR(INDEX($AM$11:$AM$4010,MATCH(855,$AZ$11:$AZ$4010,0)),"")</f>
        <v/>
      </c>
      <c r="AF865" s="11" t="str">
        <f>IF(AE865="","",IFERROR(INDEX($AN$11:$AN$4010,MATCH(855,$AZ$11:$AZ$4010,0)),""))</f>
        <v/>
      </c>
      <c r="AG865" s="11" t="str">
        <f>IF(AE865="","",IFERROR(INDEX($AO$11:$AO$4010,MATCH(855,$AZ$11:$AZ$4010,0)),""))</f>
        <v/>
      </c>
      <c r="AH865" s="10" t="str">
        <f>IF(AE865="","",IFERROR(INDEX($AQ$11:$AQ$4010,MATCH(855,$AZ$11:$AZ$4010,0)),""))</f>
        <v/>
      </c>
      <c r="AI865" s="15" t="str">
        <f>IF(AE865="","",IFERROR(INDEX($AR$11:$AR$4010,MATCH(855,$AZ$11:$AZ$4010,0)),""))</f>
        <v/>
      </c>
      <c r="AJ865" s="15" t="str">
        <f>IF(AE865="","",IFERROR(INDEX($AT$11:$AT$4010,MATCH(855,$AZ$11:$AZ$4010,0)),""))</f>
        <v/>
      </c>
      <c r="AL865" s="17"/>
      <c r="AM865" s="12"/>
      <c r="AN865" s="18"/>
      <c r="AO865" s="18"/>
      <c r="AP865" s="10"/>
      <c r="AQ865" s="10"/>
      <c r="AR865" s="19"/>
      <c r="AS865" s="20"/>
      <c r="AT865" s="19"/>
      <c r="AV865" s="21">
        <f>IF(AND($AL865&lt;&gt;"",COUNTIF($AL$11:$AL865,$AL865)=1),1,0)</f>
        <v>0</v>
      </c>
      <c r="AW865" s="21">
        <f t="shared" si="113"/>
        <v>0</v>
      </c>
      <c r="AX865" s="21" t="str">
        <f t="shared" si="112"/>
        <v/>
      </c>
      <c r="AY865" s="21" t="str">
        <f>IF(AND($AM865&lt;&gt;"",$AS865&lt;&gt;"✓"),SUMPRODUCT(($AM$11:$AM865&lt;&gt;"")*($AS$11:$AS865&lt;&gt;"✓")),"")</f>
        <v/>
      </c>
      <c r="AZ865" s="21" t="str">
        <f>IF(AND($AM865&lt;&gt;"",$AS865="✓"),SUMPRODUCT(($AM$11:$AM865&lt;&gt;"")*($AS$11:$AS865="✓")),"")</f>
        <v/>
      </c>
      <c r="BA865" s="21" t="str">
        <f>IF($AL865="","",$AL865&amp;"|"&amp;COUNTIF($AL$11:$AL865,$AL865))</f>
        <v/>
      </c>
    </row>
    <row r="866" spans="23:53" ht="15" customHeight="1" x14ac:dyDescent="0.25">
      <c r="W866" s="28" t="str">
        <f>IF(X866="","",IFERROR(INDEX($AL$11:$AL$4010,MATCH(856,$AY$11:$AY$4010,0)),""))</f>
        <v/>
      </c>
      <c r="X866" s="26" t="str">
        <f>IFERROR(INDEX($AM$11:$AM$4010,MATCH(856,$AY$11:$AY$4010,0)),"")</f>
        <v/>
      </c>
      <c r="Y866" s="25" t="str">
        <f>IF(X866="","",IFERROR(INDEX($AN$11:$AN$4010,MATCH(856,$AY$11:$AY$4010,0)),""))</f>
        <v/>
      </c>
      <c r="Z866" s="25" t="str">
        <f>IF(X866="","",IFERROR(INDEX($AO$11:$AO$4010,MATCH(856,$AY$11:$AY$4010,0)),""))</f>
        <v/>
      </c>
      <c r="AA866" s="24" t="str">
        <f>IF(X866="","",IFERROR(INDEX($AQ$11:$AQ$4010,MATCH(856,$AY$11:$AY$4010,0)),""))</f>
        <v/>
      </c>
      <c r="AB866" s="29" t="str">
        <f>IF(X866="","",IFERROR(INDEX($AR$11:$AR$4010,MATCH(856,$AY$11:$AY$4010,0)),""))</f>
        <v/>
      </c>
      <c r="AD866" s="30" t="str">
        <f>IF(AE866="","",IFERROR(INDEX($AL$11:$AL$4010,MATCH(856,$AZ$11:$AZ$4010,0)),""))</f>
        <v/>
      </c>
      <c r="AE866" s="26" t="str">
        <f>IFERROR(INDEX($AM$11:$AM$4010,MATCH(856,$AZ$11:$AZ$4010,0)),"")</f>
        <v/>
      </c>
      <c r="AF866" s="25" t="str">
        <f>IF(AE866="","",IFERROR(INDEX($AN$11:$AN$4010,MATCH(856,$AZ$11:$AZ$4010,0)),""))</f>
        <v/>
      </c>
      <c r="AG866" s="25" t="str">
        <f>IF(AE866="","",IFERROR(INDEX($AO$11:$AO$4010,MATCH(856,$AZ$11:$AZ$4010,0)),""))</f>
        <v/>
      </c>
      <c r="AH866" s="24" t="str">
        <f>IF(AE866="","",IFERROR(INDEX($AQ$11:$AQ$4010,MATCH(856,$AZ$11:$AZ$4010,0)),""))</f>
        <v/>
      </c>
      <c r="AI866" s="29" t="str">
        <f>IF(AE866="","",IFERROR(INDEX($AR$11:$AR$4010,MATCH(856,$AZ$11:$AZ$4010,0)),""))</f>
        <v/>
      </c>
      <c r="AJ866" s="29" t="str">
        <f>IF(AE866="","",IFERROR(INDEX($AT$11:$AT$4010,MATCH(856,$AZ$11:$AZ$4010,0)),""))</f>
        <v/>
      </c>
      <c r="AL866" s="31"/>
      <c r="AM866" s="26"/>
      <c r="AN866" s="32"/>
      <c r="AO866" s="32"/>
      <c r="AP866" s="24"/>
      <c r="AQ866" s="24"/>
      <c r="AR866" s="33"/>
      <c r="AS866" s="34"/>
      <c r="AT866" s="33"/>
      <c r="AV866" s="21">
        <f>IF(AND($AL866&lt;&gt;"",COUNTIF($AL$11:$AL866,$AL866)=1),1,0)</f>
        <v>0</v>
      </c>
      <c r="AW866" s="21">
        <f t="shared" si="113"/>
        <v>0</v>
      </c>
      <c r="AX866" s="21" t="str">
        <f t="shared" si="112"/>
        <v/>
      </c>
      <c r="AY866" s="21" t="str">
        <f>IF(AND($AM866&lt;&gt;"",$AS866&lt;&gt;"✓"),SUMPRODUCT(($AM$11:$AM866&lt;&gt;"")*($AS$11:$AS866&lt;&gt;"✓")),"")</f>
        <v/>
      </c>
      <c r="AZ866" s="21" t="str">
        <f>IF(AND($AM866&lt;&gt;"",$AS866="✓"),SUMPRODUCT(($AM$11:$AM866&lt;&gt;"")*($AS$11:$AS866="✓")),"")</f>
        <v/>
      </c>
      <c r="BA866" s="21" t="str">
        <f>IF($AL866="","",$AL866&amp;"|"&amp;COUNTIF($AL$11:$AL866,$AL866))</f>
        <v/>
      </c>
    </row>
    <row r="867" spans="23:53" ht="15" customHeight="1" x14ac:dyDescent="0.25">
      <c r="W867" s="14" t="str">
        <f>IF(X867="","",IFERROR(INDEX($AL$11:$AL$4010,MATCH(857,$AY$11:$AY$4010,0)),""))</f>
        <v/>
      </c>
      <c r="X867" s="12" t="str">
        <f>IFERROR(INDEX($AM$11:$AM$4010,MATCH(857,$AY$11:$AY$4010,0)),"")</f>
        <v/>
      </c>
      <c r="Y867" s="11" t="str">
        <f>IF(X867="","",IFERROR(INDEX($AN$11:$AN$4010,MATCH(857,$AY$11:$AY$4010,0)),""))</f>
        <v/>
      </c>
      <c r="Z867" s="11" t="str">
        <f>IF(X867="","",IFERROR(INDEX($AO$11:$AO$4010,MATCH(857,$AY$11:$AY$4010,0)),""))</f>
        <v/>
      </c>
      <c r="AA867" s="10" t="str">
        <f>IF(X867="","",IFERROR(INDEX($AQ$11:$AQ$4010,MATCH(857,$AY$11:$AY$4010,0)),""))</f>
        <v/>
      </c>
      <c r="AB867" s="15" t="str">
        <f>IF(X867="","",IFERROR(INDEX($AR$11:$AR$4010,MATCH(857,$AY$11:$AY$4010,0)),""))</f>
        <v/>
      </c>
      <c r="AD867" s="16" t="str">
        <f>IF(AE867="","",IFERROR(INDEX($AL$11:$AL$4010,MATCH(857,$AZ$11:$AZ$4010,0)),""))</f>
        <v/>
      </c>
      <c r="AE867" s="12" t="str">
        <f>IFERROR(INDEX($AM$11:$AM$4010,MATCH(857,$AZ$11:$AZ$4010,0)),"")</f>
        <v/>
      </c>
      <c r="AF867" s="11" t="str">
        <f>IF(AE867="","",IFERROR(INDEX($AN$11:$AN$4010,MATCH(857,$AZ$11:$AZ$4010,0)),""))</f>
        <v/>
      </c>
      <c r="AG867" s="11" t="str">
        <f>IF(AE867="","",IFERROR(INDEX($AO$11:$AO$4010,MATCH(857,$AZ$11:$AZ$4010,0)),""))</f>
        <v/>
      </c>
      <c r="AH867" s="10" t="str">
        <f>IF(AE867="","",IFERROR(INDEX($AQ$11:$AQ$4010,MATCH(857,$AZ$11:$AZ$4010,0)),""))</f>
        <v/>
      </c>
      <c r="AI867" s="15" t="str">
        <f>IF(AE867="","",IFERROR(INDEX($AR$11:$AR$4010,MATCH(857,$AZ$11:$AZ$4010,0)),""))</f>
        <v/>
      </c>
      <c r="AJ867" s="15" t="str">
        <f>IF(AE867="","",IFERROR(INDEX($AT$11:$AT$4010,MATCH(857,$AZ$11:$AZ$4010,0)),""))</f>
        <v/>
      </c>
      <c r="AL867" s="17"/>
      <c r="AM867" s="12"/>
      <c r="AN867" s="18"/>
      <c r="AO867" s="18"/>
      <c r="AP867" s="10"/>
      <c r="AQ867" s="10"/>
      <c r="AR867" s="19"/>
      <c r="AS867" s="20"/>
      <c r="AT867" s="19"/>
      <c r="AV867" s="21">
        <f>IF(AND($AL867&lt;&gt;"",COUNTIF($AL$11:$AL867,$AL867)=1),1,0)</f>
        <v>0</v>
      </c>
      <c r="AW867" s="21">
        <f t="shared" si="113"/>
        <v>0</v>
      </c>
      <c r="AX867" s="21" t="str">
        <f t="shared" si="112"/>
        <v/>
      </c>
      <c r="AY867" s="21" t="str">
        <f>IF(AND($AM867&lt;&gt;"",$AS867&lt;&gt;"✓"),SUMPRODUCT(($AM$11:$AM867&lt;&gt;"")*($AS$11:$AS867&lt;&gt;"✓")),"")</f>
        <v/>
      </c>
      <c r="AZ867" s="21" t="str">
        <f>IF(AND($AM867&lt;&gt;"",$AS867="✓"),SUMPRODUCT(($AM$11:$AM867&lt;&gt;"")*($AS$11:$AS867="✓")),"")</f>
        <v/>
      </c>
      <c r="BA867" s="21" t="str">
        <f>IF($AL867="","",$AL867&amp;"|"&amp;COUNTIF($AL$11:$AL867,$AL867))</f>
        <v/>
      </c>
    </row>
    <row r="868" spans="23:53" ht="15" customHeight="1" x14ac:dyDescent="0.25">
      <c r="W868" s="28" t="str">
        <f>IF(X868="","",IFERROR(INDEX($AL$11:$AL$4010,MATCH(858,$AY$11:$AY$4010,0)),""))</f>
        <v/>
      </c>
      <c r="X868" s="26" t="str">
        <f>IFERROR(INDEX($AM$11:$AM$4010,MATCH(858,$AY$11:$AY$4010,0)),"")</f>
        <v/>
      </c>
      <c r="Y868" s="25" t="str">
        <f>IF(X868="","",IFERROR(INDEX($AN$11:$AN$4010,MATCH(858,$AY$11:$AY$4010,0)),""))</f>
        <v/>
      </c>
      <c r="Z868" s="25" t="str">
        <f>IF(X868="","",IFERROR(INDEX($AO$11:$AO$4010,MATCH(858,$AY$11:$AY$4010,0)),""))</f>
        <v/>
      </c>
      <c r="AA868" s="24" t="str">
        <f>IF(X868="","",IFERROR(INDEX($AQ$11:$AQ$4010,MATCH(858,$AY$11:$AY$4010,0)),""))</f>
        <v/>
      </c>
      <c r="AB868" s="29" t="str">
        <f>IF(X868="","",IFERROR(INDEX($AR$11:$AR$4010,MATCH(858,$AY$11:$AY$4010,0)),""))</f>
        <v/>
      </c>
      <c r="AD868" s="30" t="str">
        <f>IF(AE868="","",IFERROR(INDEX($AL$11:$AL$4010,MATCH(858,$AZ$11:$AZ$4010,0)),""))</f>
        <v/>
      </c>
      <c r="AE868" s="26" t="str">
        <f>IFERROR(INDEX($AM$11:$AM$4010,MATCH(858,$AZ$11:$AZ$4010,0)),"")</f>
        <v/>
      </c>
      <c r="AF868" s="25" t="str">
        <f>IF(AE868="","",IFERROR(INDEX($AN$11:$AN$4010,MATCH(858,$AZ$11:$AZ$4010,0)),""))</f>
        <v/>
      </c>
      <c r="AG868" s="25" t="str">
        <f>IF(AE868="","",IFERROR(INDEX($AO$11:$AO$4010,MATCH(858,$AZ$11:$AZ$4010,0)),""))</f>
        <v/>
      </c>
      <c r="AH868" s="24" t="str">
        <f>IF(AE868="","",IFERROR(INDEX($AQ$11:$AQ$4010,MATCH(858,$AZ$11:$AZ$4010,0)),""))</f>
        <v/>
      </c>
      <c r="AI868" s="29" t="str">
        <f>IF(AE868="","",IFERROR(INDEX($AR$11:$AR$4010,MATCH(858,$AZ$11:$AZ$4010,0)),""))</f>
        <v/>
      </c>
      <c r="AJ868" s="29" t="str">
        <f>IF(AE868="","",IFERROR(INDEX($AT$11:$AT$4010,MATCH(858,$AZ$11:$AZ$4010,0)),""))</f>
        <v/>
      </c>
      <c r="AL868" s="31"/>
      <c r="AM868" s="26"/>
      <c r="AN868" s="32"/>
      <c r="AO868" s="32"/>
      <c r="AP868" s="24"/>
      <c r="AQ868" s="24"/>
      <c r="AR868" s="33"/>
      <c r="AS868" s="34"/>
      <c r="AT868" s="33"/>
      <c r="AV868" s="21">
        <f>IF(AND($AL868&lt;&gt;"",COUNTIF($AL$11:$AL868,$AL868)=1),1,0)</f>
        <v>0</v>
      </c>
      <c r="AW868" s="21">
        <f t="shared" si="113"/>
        <v>0</v>
      </c>
      <c r="AX868" s="21" t="str">
        <f t="shared" si="112"/>
        <v/>
      </c>
      <c r="AY868" s="21" t="str">
        <f>IF(AND($AM868&lt;&gt;"",$AS868&lt;&gt;"✓"),SUMPRODUCT(($AM$11:$AM868&lt;&gt;"")*($AS$11:$AS868&lt;&gt;"✓")),"")</f>
        <v/>
      </c>
      <c r="AZ868" s="21" t="str">
        <f>IF(AND($AM868&lt;&gt;"",$AS868="✓"),SUMPRODUCT(($AM$11:$AM868&lt;&gt;"")*($AS$11:$AS868="✓")),"")</f>
        <v/>
      </c>
      <c r="BA868" s="21" t="str">
        <f>IF($AL868="","",$AL868&amp;"|"&amp;COUNTIF($AL$11:$AL868,$AL868))</f>
        <v/>
      </c>
    </row>
    <row r="869" spans="23:53" ht="15" customHeight="1" x14ac:dyDescent="0.25">
      <c r="W869" s="14" t="str">
        <f>IF(X869="","",IFERROR(INDEX($AL$11:$AL$4010,MATCH(859,$AY$11:$AY$4010,0)),""))</f>
        <v/>
      </c>
      <c r="X869" s="12" t="str">
        <f>IFERROR(INDEX($AM$11:$AM$4010,MATCH(859,$AY$11:$AY$4010,0)),"")</f>
        <v/>
      </c>
      <c r="Y869" s="11" t="str">
        <f>IF(X869="","",IFERROR(INDEX($AN$11:$AN$4010,MATCH(859,$AY$11:$AY$4010,0)),""))</f>
        <v/>
      </c>
      <c r="Z869" s="11" t="str">
        <f>IF(X869="","",IFERROR(INDEX($AO$11:$AO$4010,MATCH(859,$AY$11:$AY$4010,0)),""))</f>
        <v/>
      </c>
      <c r="AA869" s="10" t="str">
        <f>IF(X869="","",IFERROR(INDEX($AQ$11:$AQ$4010,MATCH(859,$AY$11:$AY$4010,0)),""))</f>
        <v/>
      </c>
      <c r="AB869" s="15" t="str">
        <f>IF(X869="","",IFERROR(INDEX($AR$11:$AR$4010,MATCH(859,$AY$11:$AY$4010,0)),""))</f>
        <v/>
      </c>
      <c r="AD869" s="16" t="str">
        <f>IF(AE869="","",IFERROR(INDEX($AL$11:$AL$4010,MATCH(859,$AZ$11:$AZ$4010,0)),""))</f>
        <v/>
      </c>
      <c r="AE869" s="12" t="str">
        <f>IFERROR(INDEX($AM$11:$AM$4010,MATCH(859,$AZ$11:$AZ$4010,0)),"")</f>
        <v/>
      </c>
      <c r="AF869" s="11" t="str">
        <f>IF(AE869="","",IFERROR(INDEX($AN$11:$AN$4010,MATCH(859,$AZ$11:$AZ$4010,0)),""))</f>
        <v/>
      </c>
      <c r="AG869" s="11" t="str">
        <f>IF(AE869="","",IFERROR(INDEX($AO$11:$AO$4010,MATCH(859,$AZ$11:$AZ$4010,0)),""))</f>
        <v/>
      </c>
      <c r="AH869" s="10" t="str">
        <f>IF(AE869="","",IFERROR(INDEX($AQ$11:$AQ$4010,MATCH(859,$AZ$11:$AZ$4010,0)),""))</f>
        <v/>
      </c>
      <c r="AI869" s="15" t="str">
        <f>IF(AE869="","",IFERROR(INDEX($AR$11:$AR$4010,MATCH(859,$AZ$11:$AZ$4010,0)),""))</f>
        <v/>
      </c>
      <c r="AJ869" s="15" t="str">
        <f>IF(AE869="","",IFERROR(INDEX($AT$11:$AT$4010,MATCH(859,$AZ$11:$AZ$4010,0)),""))</f>
        <v/>
      </c>
      <c r="AL869" s="17"/>
      <c r="AM869" s="12"/>
      <c r="AN869" s="18"/>
      <c r="AO869" s="18"/>
      <c r="AP869" s="10"/>
      <c r="AQ869" s="10"/>
      <c r="AR869" s="19"/>
      <c r="AS869" s="20"/>
      <c r="AT869" s="19"/>
      <c r="AV869" s="21">
        <f>IF(AND($AL869&lt;&gt;"",COUNTIF($AL$11:$AL869,$AL869)=1),1,0)</f>
        <v>0</v>
      </c>
      <c r="AW869" s="21">
        <f t="shared" si="113"/>
        <v>0</v>
      </c>
      <c r="AX869" s="21" t="str">
        <f t="shared" si="112"/>
        <v/>
      </c>
      <c r="AY869" s="21" t="str">
        <f>IF(AND($AM869&lt;&gt;"",$AS869&lt;&gt;"✓"),SUMPRODUCT(($AM$11:$AM869&lt;&gt;"")*($AS$11:$AS869&lt;&gt;"✓")),"")</f>
        <v/>
      </c>
      <c r="AZ869" s="21" t="str">
        <f>IF(AND($AM869&lt;&gt;"",$AS869="✓"),SUMPRODUCT(($AM$11:$AM869&lt;&gt;"")*($AS$11:$AS869="✓")),"")</f>
        <v/>
      </c>
      <c r="BA869" s="21" t="str">
        <f>IF($AL869="","",$AL869&amp;"|"&amp;COUNTIF($AL$11:$AL869,$AL869))</f>
        <v/>
      </c>
    </row>
    <row r="870" spans="23:53" ht="15" customHeight="1" x14ac:dyDescent="0.25">
      <c r="W870" s="28" t="str">
        <f>IF(X870="","",IFERROR(INDEX($AL$11:$AL$4010,MATCH(860,$AY$11:$AY$4010,0)),""))</f>
        <v/>
      </c>
      <c r="X870" s="26" t="str">
        <f>IFERROR(INDEX($AM$11:$AM$4010,MATCH(860,$AY$11:$AY$4010,0)),"")</f>
        <v/>
      </c>
      <c r="Y870" s="25" t="str">
        <f>IF(X870="","",IFERROR(INDEX($AN$11:$AN$4010,MATCH(860,$AY$11:$AY$4010,0)),""))</f>
        <v/>
      </c>
      <c r="Z870" s="25" t="str">
        <f>IF(X870="","",IFERROR(INDEX($AO$11:$AO$4010,MATCH(860,$AY$11:$AY$4010,0)),""))</f>
        <v/>
      </c>
      <c r="AA870" s="24" t="str">
        <f>IF(X870="","",IFERROR(INDEX($AQ$11:$AQ$4010,MATCH(860,$AY$11:$AY$4010,0)),""))</f>
        <v/>
      </c>
      <c r="AB870" s="29" t="str">
        <f>IF(X870="","",IFERROR(INDEX($AR$11:$AR$4010,MATCH(860,$AY$11:$AY$4010,0)),""))</f>
        <v/>
      </c>
      <c r="AD870" s="30" t="str">
        <f>IF(AE870="","",IFERROR(INDEX($AL$11:$AL$4010,MATCH(860,$AZ$11:$AZ$4010,0)),""))</f>
        <v/>
      </c>
      <c r="AE870" s="26" t="str">
        <f>IFERROR(INDEX($AM$11:$AM$4010,MATCH(860,$AZ$11:$AZ$4010,0)),"")</f>
        <v/>
      </c>
      <c r="AF870" s="25" t="str">
        <f>IF(AE870="","",IFERROR(INDEX($AN$11:$AN$4010,MATCH(860,$AZ$11:$AZ$4010,0)),""))</f>
        <v/>
      </c>
      <c r="AG870" s="25" t="str">
        <f>IF(AE870="","",IFERROR(INDEX($AO$11:$AO$4010,MATCH(860,$AZ$11:$AZ$4010,0)),""))</f>
        <v/>
      </c>
      <c r="AH870" s="24" t="str">
        <f>IF(AE870="","",IFERROR(INDEX($AQ$11:$AQ$4010,MATCH(860,$AZ$11:$AZ$4010,0)),""))</f>
        <v/>
      </c>
      <c r="AI870" s="29" t="str">
        <f>IF(AE870="","",IFERROR(INDEX($AR$11:$AR$4010,MATCH(860,$AZ$11:$AZ$4010,0)),""))</f>
        <v/>
      </c>
      <c r="AJ870" s="29" t="str">
        <f>IF(AE870="","",IFERROR(INDEX($AT$11:$AT$4010,MATCH(860,$AZ$11:$AZ$4010,0)),""))</f>
        <v/>
      </c>
      <c r="AL870" s="31"/>
      <c r="AM870" s="26"/>
      <c r="AN870" s="32"/>
      <c r="AO870" s="32"/>
      <c r="AP870" s="24"/>
      <c r="AQ870" s="24"/>
      <c r="AR870" s="33"/>
      <c r="AS870" s="34"/>
      <c r="AT870" s="33"/>
      <c r="AV870" s="21">
        <f>IF(AND($AL870&lt;&gt;"",COUNTIF($AL$11:$AL870,$AL870)=1),1,0)</f>
        <v>0</v>
      </c>
      <c r="AW870" s="21">
        <f t="shared" si="113"/>
        <v>0</v>
      </c>
      <c r="AX870" s="21" t="str">
        <f t="shared" si="112"/>
        <v/>
      </c>
      <c r="AY870" s="21" t="str">
        <f>IF(AND($AM870&lt;&gt;"",$AS870&lt;&gt;"✓"),SUMPRODUCT(($AM$11:$AM870&lt;&gt;"")*($AS$11:$AS870&lt;&gt;"✓")),"")</f>
        <v/>
      </c>
      <c r="AZ870" s="21" t="str">
        <f>IF(AND($AM870&lt;&gt;"",$AS870="✓"),SUMPRODUCT(($AM$11:$AM870&lt;&gt;"")*($AS$11:$AS870="✓")),"")</f>
        <v/>
      </c>
      <c r="BA870" s="21" t="str">
        <f>IF($AL870="","",$AL870&amp;"|"&amp;COUNTIF($AL$11:$AL870,$AL870))</f>
        <v/>
      </c>
    </row>
    <row r="871" spans="23:53" ht="15" customHeight="1" x14ac:dyDescent="0.25">
      <c r="W871" s="14" t="str">
        <f>IF(X871="","",IFERROR(INDEX($AL$11:$AL$4010,MATCH(861,$AY$11:$AY$4010,0)),""))</f>
        <v/>
      </c>
      <c r="X871" s="12" t="str">
        <f>IFERROR(INDEX($AM$11:$AM$4010,MATCH(861,$AY$11:$AY$4010,0)),"")</f>
        <v/>
      </c>
      <c r="Y871" s="11" t="str">
        <f>IF(X871="","",IFERROR(INDEX($AN$11:$AN$4010,MATCH(861,$AY$11:$AY$4010,0)),""))</f>
        <v/>
      </c>
      <c r="Z871" s="11" t="str">
        <f>IF(X871="","",IFERROR(INDEX($AO$11:$AO$4010,MATCH(861,$AY$11:$AY$4010,0)),""))</f>
        <v/>
      </c>
      <c r="AA871" s="10" t="str">
        <f>IF(X871="","",IFERROR(INDEX($AQ$11:$AQ$4010,MATCH(861,$AY$11:$AY$4010,0)),""))</f>
        <v/>
      </c>
      <c r="AB871" s="15" t="str">
        <f>IF(X871="","",IFERROR(INDEX($AR$11:$AR$4010,MATCH(861,$AY$11:$AY$4010,0)),""))</f>
        <v/>
      </c>
      <c r="AD871" s="16" t="str">
        <f>IF(AE871="","",IFERROR(INDEX($AL$11:$AL$4010,MATCH(861,$AZ$11:$AZ$4010,0)),""))</f>
        <v/>
      </c>
      <c r="AE871" s="12" t="str">
        <f>IFERROR(INDEX($AM$11:$AM$4010,MATCH(861,$AZ$11:$AZ$4010,0)),"")</f>
        <v/>
      </c>
      <c r="AF871" s="11" t="str">
        <f>IF(AE871="","",IFERROR(INDEX($AN$11:$AN$4010,MATCH(861,$AZ$11:$AZ$4010,0)),""))</f>
        <v/>
      </c>
      <c r="AG871" s="11" t="str">
        <f>IF(AE871="","",IFERROR(INDEX($AO$11:$AO$4010,MATCH(861,$AZ$11:$AZ$4010,0)),""))</f>
        <v/>
      </c>
      <c r="AH871" s="10" t="str">
        <f>IF(AE871="","",IFERROR(INDEX($AQ$11:$AQ$4010,MATCH(861,$AZ$11:$AZ$4010,0)),""))</f>
        <v/>
      </c>
      <c r="AI871" s="15" t="str">
        <f>IF(AE871="","",IFERROR(INDEX($AR$11:$AR$4010,MATCH(861,$AZ$11:$AZ$4010,0)),""))</f>
        <v/>
      </c>
      <c r="AJ871" s="15" t="str">
        <f>IF(AE871="","",IFERROR(INDEX($AT$11:$AT$4010,MATCH(861,$AZ$11:$AZ$4010,0)),""))</f>
        <v/>
      </c>
      <c r="AL871" s="17"/>
      <c r="AM871" s="12"/>
      <c r="AN871" s="18"/>
      <c r="AO871" s="18"/>
      <c r="AP871" s="10"/>
      <c r="AQ871" s="10"/>
      <c r="AR871" s="19"/>
      <c r="AS871" s="20"/>
      <c r="AT871" s="19"/>
      <c r="AV871" s="21">
        <f>IF(AND($AL871&lt;&gt;"",COUNTIF($AL$11:$AL871,$AL871)=1),1,0)</f>
        <v>0</v>
      </c>
      <c r="AW871" s="21">
        <f t="shared" si="113"/>
        <v>0</v>
      </c>
      <c r="AX871" s="21" t="str">
        <f t="shared" si="112"/>
        <v/>
      </c>
      <c r="AY871" s="21" t="str">
        <f>IF(AND($AM871&lt;&gt;"",$AS871&lt;&gt;"✓"),SUMPRODUCT(($AM$11:$AM871&lt;&gt;"")*($AS$11:$AS871&lt;&gt;"✓")),"")</f>
        <v/>
      </c>
      <c r="AZ871" s="21" t="str">
        <f>IF(AND($AM871&lt;&gt;"",$AS871="✓"),SUMPRODUCT(($AM$11:$AM871&lt;&gt;"")*($AS$11:$AS871="✓")),"")</f>
        <v/>
      </c>
      <c r="BA871" s="21" t="str">
        <f>IF($AL871="","",$AL871&amp;"|"&amp;COUNTIF($AL$11:$AL871,$AL871))</f>
        <v/>
      </c>
    </row>
    <row r="872" spans="23:53" ht="15" customHeight="1" x14ac:dyDescent="0.25">
      <c r="W872" s="28" t="str">
        <f>IF(X872="","",IFERROR(INDEX($AL$11:$AL$4010,MATCH(862,$AY$11:$AY$4010,0)),""))</f>
        <v/>
      </c>
      <c r="X872" s="26" t="str">
        <f>IFERROR(INDEX($AM$11:$AM$4010,MATCH(862,$AY$11:$AY$4010,0)),"")</f>
        <v/>
      </c>
      <c r="Y872" s="25" t="str">
        <f>IF(X872="","",IFERROR(INDEX($AN$11:$AN$4010,MATCH(862,$AY$11:$AY$4010,0)),""))</f>
        <v/>
      </c>
      <c r="Z872" s="25" t="str">
        <f>IF(X872="","",IFERROR(INDEX($AO$11:$AO$4010,MATCH(862,$AY$11:$AY$4010,0)),""))</f>
        <v/>
      </c>
      <c r="AA872" s="24" t="str">
        <f>IF(X872="","",IFERROR(INDEX($AQ$11:$AQ$4010,MATCH(862,$AY$11:$AY$4010,0)),""))</f>
        <v/>
      </c>
      <c r="AB872" s="29" t="str">
        <f>IF(X872="","",IFERROR(INDEX($AR$11:$AR$4010,MATCH(862,$AY$11:$AY$4010,0)),""))</f>
        <v/>
      </c>
      <c r="AD872" s="30" t="str">
        <f>IF(AE872="","",IFERROR(INDEX($AL$11:$AL$4010,MATCH(862,$AZ$11:$AZ$4010,0)),""))</f>
        <v/>
      </c>
      <c r="AE872" s="26" t="str">
        <f>IFERROR(INDEX($AM$11:$AM$4010,MATCH(862,$AZ$11:$AZ$4010,0)),"")</f>
        <v/>
      </c>
      <c r="AF872" s="25" t="str">
        <f>IF(AE872="","",IFERROR(INDEX($AN$11:$AN$4010,MATCH(862,$AZ$11:$AZ$4010,0)),""))</f>
        <v/>
      </c>
      <c r="AG872" s="25" t="str">
        <f>IF(AE872="","",IFERROR(INDEX($AO$11:$AO$4010,MATCH(862,$AZ$11:$AZ$4010,0)),""))</f>
        <v/>
      </c>
      <c r="AH872" s="24" t="str">
        <f>IF(AE872="","",IFERROR(INDEX($AQ$11:$AQ$4010,MATCH(862,$AZ$11:$AZ$4010,0)),""))</f>
        <v/>
      </c>
      <c r="AI872" s="29" t="str">
        <f>IF(AE872="","",IFERROR(INDEX($AR$11:$AR$4010,MATCH(862,$AZ$11:$AZ$4010,0)),""))</f>
        <v/>
      </c>
      <c r="AJ872" s="29" t="str">
        <f>IF(AE872="","",IFERROR(INDEX($AT$11:$AT$4010,MATCH(862,$AZ$11:$AZ$4010,0)),""))</f>
        <v/>
      </c>
      <c r="AL872" s="31"/>
      <c r="AM872" s="26"/>
      <c r="AN872" s="32"/>
      <c r="AO872" s="32"/>
      <c r="AP872" s="24"/>
      <c r="AQ872" s="24"/>
      <c r="AR872" s="33"/>
      <c r="AS872" s="34"/>
      <c r="AT872" s="33"/>
      <c r="AV872" s="21">
        <f>IF(AND($AL872&lt;&gt;"",COUNTIF($AL$11:$AL872,$AL872)=1),1,0)</f>
        <v>0</v>
      </c>
      <c r="AW872" s="21">
        <f t="shared" si="113"/>
        <v>0</v>
      </c>
      <c r="AX872" s="21" t="str">
        <f t="shared" si="112"/>
        <v/>
      </c>
      <c r="AY872" s="21" t="str">
        <f>IF(AND($AM872&lt;&gt;"",$AS872&lt;&gt;"✓"),SUMPRODUCT(($AM$11:$AM872&lt;&gt;"")*($AS$11:$AS872&lt;&gt;"✓")),"")</f>
        <v/>
      </c>
      <c r="AZ872" s="21" t="str">
        <f>IF(AND($AM872&lt;&gt;"",$AS872="✓"),SUMPRODUCT(($AM$11:$AM872&lt;&gt;"")*($AS$11:$AS872="✓")),"")</f>
        <v/>
      </c>
      <c r="BA872" s="21" t="str">
        <f>IF($AL872="","",$AL872&amp;"|"&amp;COUNTIF($AL$11:$AL872,$AL872))</f>
        <v/>
      </c>
    </row>
    <row r="873" spans="23:53" ht="15" customHeight="1" x14ac:dyDescent="0.25">
      <c r="W873" s="14" t="str">
        <f>IF(X873="","",IFERROR(INDEX($AL$11:$AL$4010,MATCH(863,$AY$11:$AY$4010,0)),""))</f>
        <v/>
      </c>
      <c r="X873" s="12" t="str">
        <f>IFERROR(INDEX($AM$11:$AM$4010,MATCH(863,$AY$11:$AY$4010,0)),"")</f>
        <v/>
      </c>
      <c r="Y873" s="11" t="str">
        <f>IF(X873="","",IFERROR(INDEX($AN$11:$AN$4010,MATCH(863,$AY$11:$AY$4010,0)),""))</f>
        <v/>
      </c>
      <c r="Z873" s="11" t="str">
        <f>IF(X873="","",IFERROR(INDEX($AO$11:$AO$4010,MATCH(863,$AY$11:$AY$4010,0)),""))</f>
        <v/>
      </c>
      <c r="AA873" s="10" t="str">
        <f>IF(X873="","",IFERROR(INDEX($AQ$11:$AQ$4010,MATCH(863,$AY$11:$AY$4010,0)),""))</f>
        <v/>
      </c>
      <c r="AB873" s="15" t="str">
        <f>IF(X873="","",IFERROR(INDEX($AR$11:$AR$4010,MATCH(863,$AY$11:$AY$4010,0)),""))</f>
        <v/>
      </c>
      <c r="AD873" s="16" t="str">
        <f>IF(AE873="","",IFERROR(INDEX($AL$11:$AL$4010,MATCH(863,$AZ$11:$AZ$4010,0)),""))</f>
        <v/>
      </c>
      <c r="AE873" s="12" t="str">
        <f>IFERROR(INDEX($AM$11:$AM$4010,MATCH(863,$AZ$11:$AZ$4010,0)),"")</f>
        <v/>
      </c>
      <c r="AF873" s="11" t="str">
        <f>IF(AE873="","",IFERROR(INDEX($AN$11:$AN$4010,MATCH(863,$AZ$11:$AZ$4010,0)),""))</f>
        <v/>
      </c>
      <c r="AG873" s="11" t="str">
        <f>IF(AE873="","",IFERROR(INDEX($AO$11:$AO$4010,MATCH(863,$AZ$11:$AZ$4010,0)),""))</f>
        <v/>
      </c>
      <c r="AH873" s="10" t="str">
        <f>IF(AE873="","",IFERROR(INDEX($AQ$11:$AQ$4010,MATCH(863,$AZ$11:$AZ$4010,0)),""))</f>
        <v/>
      </c>
      <c r="AI873" s="15" t="str">
        <f>IF(AE873="","",IFERROR(INDEX($AR$11:$AR$4010,MATCH(863,$AZ$11:$AZ$4010,0)),""))</f>
        <v/>
      </c>
      <c r="AJ873" s="15" t="str">
        <f>IF(AE873="","",IFERROR(INDEX($AT$11:$AT$4010,MATCH(863,$AZ$11:$AZ$4010,0)),""))</f>
        <v/>
      </c>
      <c r="AL873" s="17"/>
      <c r="AM873" s="12"/>
      <c r="AN873" s="18"/>
      <c r="AO873" s="18"/>
      <c r="AP873" s="10"/>
      <c r="AQ873" s="10"/>
      <c r="AR873" s="19"/>
      <c r="AS873" s="20"/>
      <c r="AT873" s="19"/>
      <c r="AV873" s="21">
        <f>IF(AND($AL873&lt;&gt;"",COUNTIF($AL$11:$AL873,$AL873)=1),1,0)</f>
        <v>0</v>
      </c>
      <c r="AW873" s="21">
        <f t="shared" si="113"/>
        <v>0</v>
      </c>
      <c r="AX873" s="21" t="str">
        <f t="shared" si="112"/>
        <v/>
      </c>
      <c r="AY873" s="21" t="str">
        <f>IF(AND($AM873&lt;&gt;"",$AS873&lt;&gt;"✓"),SUMPRODUCT(($AM$11:$AM873&lt;&gt;"")*($AS$11:$AS873&lt;&gt;"✓")),"")</f>
        <v/>
      </c>
      <c r="AZ873" s="21" t="str">
        <f>IF(AND($AM873&lt;&gt;"",$AS873="✓"),SUMPRODUCT(($AM$11:$AM873&lt;&gt;"")*($AS$11:$AS873="✓")),"")</f>
        <v/>
      </c>
      <c r="BA873" s="21" t="str">
        <f>IF($AL873="","",$AL873&amp;"|"&amp;COUNTIF($AL$11:$AL873,$AL873))</f>
        <v/>
      </c>
    </row>
    <row r="874" spans="23:53" ht="15" customHeight="1" x14ac:dyDescent="0.25">
      <c r="W874" s="28" t="str">
        <f>IF(X874="","",IFERROR(INDEX($AL$11:$AL$4010,MATCH(864,$AY$11:$AY$4010,0)),""))</f>
        <v/>
      </c>
      <c r="X874" s="26" t="str">
        <f>IFERROR(INDEX($AM$11:$AM$4010,MATCH(864,$AY$11:$AY$4010,0)),"")</f>
        <v/>
      </c>
      <c r="Y874" s="25" t="str">
        <f>IF(X874="","",IFERROR(INDEX($AN$11:$AN$4010,MATCH(864,$AY$11:$AY$4010,0)),""))</f>
        <v/>
      </c>
      <c r="Z874" s="25" t="str">
        <f>IF(X874="","",IFERROR(INDEX($AO$11:$AO$4010,MATCH(864,$AY$11:$AY$4010,0)),""))</f>
        <v/>
      </c>
      <c r="AA874" s="24" t="str">
        <f>IF(X874="","",IFERROR(INDEX($AQ$11:$AQ$4010,MATCH(864,$AY$11:$AY$4010,0)),""))</f>
        <v/>
      </c>
      <c r="AB874" s="29" t="str">
        <f>IF(X874="","",IFERROR(INDEX($AR$11:$AR$4010,MATCH(864,$AY$11:$AY$4010,0)),""))</f>
        <v/>
      </c>
      <c r="AD874" s="30" t="str">
        <f>IF(AE874="","",IFERROR(INDEX($AL$11:$AL$4010,MATCH(864,$AZ$11:$AZ$4010,0)),""))</f>
        <v/>
      </c>
      <c r="AE874" s="26" t="str">
        <f>IFERROR(INDEX($AM$11:$AM$4010,MATCH(864,$AZ$11:$AZ$4010,0)),"")</f>
        <v/>
      </c>
      <c r="AF874" s="25" t="str">
        <f>IF(AE874="","",IFERROR(INDEX($AN$11:$AN$4010,MATCH(864,$AZ$11:$AZ$4010,0)),""))</f>
        <v/>
      </c>
      <c r="AG874" s="25" t="str">
        <f>IF(AE874="","",IFERROR(INDEX($AO$11:$AO$4010,MATCH(864,$AZ$11:$AZ$4010,0)),""))</f>
        <v/>
      </c>
      <c r="AH874" s="24" t="str">
        <f>IF(AE874="","",IFERROR(INDEX($AQ$11:$AQ$4010,MATCH(864,$AZ$11:$AZ$4010,0)),""))</f>
        <v/>
      </c>
      <c r="AI874" s="29" t="str">
        <f>IF(AE874="","",IFERROR(INDEX($AR$11:$AR$4010,MATCH(864,$AZ$11:$AZ$4010,0)),""))</f>
        <v/>
      </c>
      <c r="AJ874" s="29" t="str">
        <f>IF(AE874="","",IFERROR(INDEX($AT$11:$AT$4010,MATCH(864,$AZ$11:$AZ$4010,0)),""))</f>
        <v/>
      </c>
      <c r="AL874" s="31"/>
      <c r="AM874" s="26"/>
      <c r="AN874" s="32"/>
      <c r="AO874" s="32"/>
      <c r="AP874" s="24"/>
      <c r="AQ874" s="24"/>
      <c r="AR874" s="33"/>
      <c r="AS874" s="34"/>
      <c r="AT874" s="33"/>
      <c r="AV874" s="21">
        <f>IF(AND($AL874&lt;&gt;"",COUNTIF($AL$11:$AL874,$AL874)=1),1,0)</f>
        <v>0</v>
      </c>
      <c r="AW874" s="21">
        <f t="shared" si="113"/>
        <v>0</v>
      </c>
      <c r="AX874" s="21" t="str">
        <f t="shared" si="112"/>
        <v/>
      </c>
      <c r="AY874" s="21" t="str">
        <f>IF(AND($AM874&lt;&gt;"",$AS874&lt;&gt;"✓"),SUMPRODUCT(($AM$11:$AM874&lt;&gt;"")*($AS$11:$AS874&lt;&gt;"✓")),"")</f>
        <v/>
      </c>
      <c r="AZ874" s="21" t="str">
        <f>IF(AND($AM874&lt;&gt;"",$AS874="✓"),SUMPRODUCT(($AM$11:$AM874&lt;&gt;"")*($AS$11:$AS874="✓")),"")</f>
        <v/>
      </c>
      <c r="BA874" s="21" t="str">
        <f>IF($AL874="","",$AL874&amp;"|"&amp;COUNTIF($AL$11:$AL874,$AL874))</f>
        <v/>
      </c>
    </row>
    <row r="875" spans="23:53" ht="15" customHeight="1" x14ac:dyDescent="0.25">
      <c r="W875" s="14" t="str">
        <f>IF(X875="","",IFERROR(INDEX($AL$11:$AL$4010,MATCH(865,$AY$11:$AY$4010,0)),""))</f>
        <v/>
      </c>
      <c r="X875" s="12" t="str">
        <f>IFERROR(INDEX($AM$11:$AM$4010,MATCH(865,$AY$11:$AY$4010,0)),"")</f>
        <v/>
      </c>
      <c r="Y875" s="11" t="str">
        <f>IF(X875="","",IFERROR(INDEX($AN$11:$AN$4010,MATCH(865,$AY$11:$AY$4010,0)),""))</f>
        <v/>
      </c>
      <c r="Z875" s="11" t="str">
        <f>IF(X875="","",IFERROR(INDEX($AO$11:$AO$4010,MATCH(865,$AY$11:$AY$4010,0)),""))</f>
        <v/>
      </c>
      <c r="AA875" s="10" t="str">
        <f>IF(X875="","",IFERROR(INDEX($AQ$11:$AQ$4010,MATCH(865,$AY$11:$AY$4010,0)),""))</f>
        <v/>
      </c>
      <c r="AB875" s="15" t="str">
        <f>IF(X875="","",IFERROR(INDEX($AR$11:$AR$4010,MATCH(865,$AY$11:$AY$4010,0)),""))</f>
        <v/>
      </c>
      <c r="AD875" s="16" t="str">
        <f>IF(AE875="","",IFERROR(INDEX($AL$11:$AL$4010,MATCH(865,$AZ$11:$AZ$4010,0)),""))</f>
        <v/>
      </c>
      <c r="AE875" s="12" t="str">
        <f>IFERROR(INDEX($AM$11:$AM$4010,MATCH(865,$AZ$11:$AZ$4010,0)),"")</f>
        <v/>
      </c>
      <c r="AF875" s="11" t="str">
        <f>IF(AE875="","",IFERROR(INDEX($AN$11:$AN$4010,MATCH(865,$AZ$11:$AZ$4010,0)),""))</f>
        <v/>
      </c>
      <c r="AG875" s="11" t="str">
        <f>IF(AE875="","",IFERROR(INDEX($AO$11:$AO$4010,MATCH(865,$AZ$11:$AZ$4010,0)),""))</f>
        <v/>
      </c>
      <c r="AH875" s="10" t="str">
        <f>IF(AE875="","",IFERROR(INDEX($AQ$11:$AQ$4010,MATCH(865,$AZ$11:$AZ$4010,0)),""))</f>
        <v/>
      </c>
      <c r="AI875" s="15" t="str">
        <f>IF(AE875="","",IFERROR(INDEX($AR$11:$AR$4010,MATCH(865,$AZ$11:$AZ$4010,0)),""))</f>
        <v/>
      </c>
      <c r="AJ875" s="15" t="str">
        <f>IF(AE875="","",IFERROR(INDEX($AT$11:$AT$4010,MATCH(865,$AZ$11:$AZ$4010,0)),""))</f>
        <v/>
      </c>
      <c r="AL875" s="17"/>
      <c r="AM875" s="12"/>
      <c r="AN875" s="18"/>
      <c r="AO875" s="18"/>
      <c r="AP875" s="10"/>
      <c r="AQ875" s="10"/>
      <c r="AR875" s="19"/>
      <c r="AS875" s="20"/>
      <c r="AT875" s="19"/>
      <c r="AV875" s="21">
        <f>IF(AND($AL875&lt;&gt;"",COUNTIF($AL$11:$AL875,$AL875)=1),1,0)</f>
        <v>0</v>
      </c>
      <c r="AW875" s="21">
        <f t="shared" si="113"/>
        <v>0</v>
      </c>
      <c r="AX875" s="21" t="str">
        <f t="shared" si="112"/>
        <v/>
      </c>
      <c r="AY875" s="21" t="str">
        <f>IF(AND($AM875&lt;&gt;"",$AS875&lt;&gt;"✓"),SUMPRODUCT(($AM$11:$AM875&lt;&gt;"")*($AS$11:$AS875&lt;&gt;"✓")),"")</f>
        <v/>
      </c>
      <c r="AZ875" s="21" t="str">
        <f>IF(AND($AM875&lt;&gt;"",$AS875="✓"),SUMPRODUCT(($AM$11:$AM875&lt;&gt;"")*($AS$11:$AS875="✓")),"")</f>
        <v/>
      </c>
      <c r="BA875" s="21" t="str">
        <f>IF($AL875="","",$AL875&amp;"|"&amp;COUNTIF($AL$11:$AL875,$AL875))</f>
        <v/>
      </c>
    </row>
    <row r="876" spans="23:53" ht="15" customHeight="1" x14ac:dyDescent="0.25">
      <c r="W876" s="28" t="str">
        <f>IF(X876="","",IFERROR(INDEX($AL$11:$AL$4010,MATCH(866,$AY$11:$AY$4010,0)),""))</f>
        <v/>
      </c>
      <c r="X876" s="26" t="str">
        <f>IFERROR(INDEX($AM$11:$AM$4010,MATCH(866,$AY$11:$AY$4010,0)),"")</f>
        <v/>
      </c>
      <c r="Y876" s="25" t="str">
        <f>IF(X876="","",IFERROR(INDEX($AN$11:$AN$4010,MATCH(866,$AY$11:$AY$4010,0)),""))</f>
        <v/>
      </c>
      <c r="Z876" s="25" t="str">
        <f>IF(X876="","",IFERROR(INDEX($AO$11:$AO$4010,MATCH(866,$AY$11:$AY$4010,0)),""))</f>
        <v/>
      </c>
      <c r="AA876" s="24" t="str">
        <f>IF(X876="","",IFERROR(INDEX($AQ$11:$AQ$4010,MATCH(866,$AY$11:$AY$4010,0)),""))</f>
        <v/>
      </c>
      <c r="AB876" s="29" t="str">
        <f>IF(X876="","",IFERROR(INDEX($AR$11:$AR$4010,MATCH(866,$AY$11:$AY$4010,0)),""))</f>
        <v/>
      </c>
      <c r="AD876" s="30" t="str">
        <f>IF(AE876="","",IFERROR(INDEX($AL$11:$AL$4010,MATCH(866,$AZ$11:$AZ$4010,0)),""))</f>
        <v/>
      </c>
      <c r="AE876" s="26" t="str">
        <f>IFERROR(INDEX($AM$11:$AM$4010,MATCH(866,$AZ$11:$AZ$4010,0)),"")</f>
        <v/>
      </c>
      <c r="AF876" s="25" t="str">
        <f>IF(AE876="","",IFERROR(INDEX($AN$11:$AN$4010,MATCH(866,$AZ$11:$AZ$4010,0)),""))</f>
        <v/>
      </c>
      <c r="AG876" s="25" t="str">
        <f>IF(AE876="","",IFERROR(INDEX($AO$11:$AO$4010,MATCH(866,$AZ$11:$AZ$4010,0)),""))</f>
        <v/>
      </c>
      <c r="AH876" s="24" t="str">
        <f>IF(AE876="","",IFERROR(INDEX($AQ$11:$AQ$4010,MATCH(866,$AZ$11:$AZ$4010,0)),""))</f>
        <v/>
      </c>
      <c r="AI876" s="29" t="str">
        <f>IF(AE876="","",IFERROR(INDEX($AR$11:$AR$4010,MATCH(866,$AZ$11:$AZ$4010,0)),""))</f>
        <v/>
      </c>
      <c r="AJ876" s="29" t="str">
        <f>IF(AE876="","",IFERROR(INDEX($AT$11:$AT$4010,MATCH(866,$AZ$11:$AZ$4010,0)),""))</f>
        <v/>
      </c>
      <c r="AL876" s="31"/>
      <c r="AM876" s="26"/>
      <c r="AN876" s="32"/>
      <c r="AO876" s="32"/>
      <c r="AP876" s="24"/>
      <c r="AQ876" s="24"/>
      <c r="AR876" s="33"/>
      <c r="AS876" s="34"/>
      <c r="AT876" s="33"/>
      <c r="AV876" s="21">
        <f>IF(AND($AL876&lt;&gt;"",COUNTIF($AL$11:$AL876,$AL876)=1),1,0)</f>
        <v>0</v>
      </c>
      <c r="AW876" s="21">
        <f t="shared" si="113"/>
        <v>0</v>
      </c>
      <c r="AX876" s="21" t="str">
        <f t="shared" si="112"/>
        <v/>
      </c>
      <c r="AY876" s="21" t="str">
        <f>IF(AND($AM876&lt;&gt;"",$AS876&lt;&gt;"✓"),SUMPRODUCT(($AM$11:$AM876&lt;&gt;"")*($AS$11:$AS876&lt;&gt;"✓")),"")</f>
        <v/>
      </c>
      <c r="AZ876" s="21" t="str">
        <f>IF(AND($AM876&lt;&gt;"",$AS876="✓"),SUMPRODUCT(($AM$11:$AM876&lt;&gt;"")*($AS$11:$AS876="✓")),"")</f>
        <v/>
      </c>
      <c r="BA876" s="21" t="str">
        <f>IF($AL876="","",$AL876&amp;"|"&amp;COUNTIF($AL$11:$AL876,$AL876))</f>
        <v/>
      </c>
    </row>
    <row r="877" spans="23:53" ht="15" customHeight="1" x14ac:dyDescent="0.25">
      <c r="W877" s="14" t="str">
        <f>IF(X877="","",IFERROR(INDEX($AL$11:$AL$4010,MATCH(867,$AY$11:$AY$4010,0)),""))</f>
        <v/>
      </c>
      <c r="X877" s="12" t="str">
        <f>IFERROR(INDEX($AM$11:$AM$4010,MATCH(867,$AY$11:$AY$4010,0)),"")</f>
        <v/>
      </c>
      <c r="Y877" s="11" t="str">
        <f>IF(X877="","",IFERROR(INDEX($AN$11:$AN$4010,MATCH(867,$AY$11:$AY$4010,0)),""))</f>
        <v/>
      </c>
      <c r="Z877" s="11" t="str">
        <f>IF(X877="","",IFERROR(INDEX($AO$11:$AO$4010,MATCH(867,$AY$11:$AY$4010,0)),""))</f>
        <v/>
      </c>
      <c r="AA877" s="10" t="str">
        <f>IF(X877="","",IFERROR(INDEX($AQ$11:$AQ$4010,MATCH(867,$AY$11:$AY$4010,0)),""))</f>
        <v/>
      </c>
      <c r="AB877" s="15" t="str">
        <f>IF(X877="","",IFERROR(INDEX($AR$11:$AR$4010,MATCH(867,$AY$11:$AY$4010,0)),""))</f>
        <v/>
      </c>
      <c r="AD877" s="16" t="str">
        <f>IF(AE877="","",IFERROR(INDEX($AL$11:$AL$4010,MATCH(867,$AZ$11:$AZ$4010,0)),""))</f>
        <v/>
      </c>
      <c r="AE877" s="12" t="str">
        <f>IFERROR(INDEX($AM$11:$AM$4010,MATCH(867,$AZ$11:$AZ$4010,0)),"")</f>
        <v/>
      </c>
      <c r="AF877" s="11" t="str">
        <f>IF(AE877="","",IFERROR(INDEX($AN$11:$AN$4010,MATCH(867,$AZ$11:$AZ$4010,0)),""))</f>
        <v/>
      </c>
      <c r="AG877" s="11" t="str">
        <f>IF(AE877="","",IFERROR(INDEX($AO$11:$AO$4010,MATCH(867,$AZ$11:$AZ$4010,0)),""))</f>
        <v/>
      </c>
      <c r="AH877" s="10" t="str">
        <f>IF(AE877="","",IFERROR(INDEX($AQ$11:$AQ$4010,MATCH(867,$AZ$11:$AZ$4010,0)),""))</f>
        <v/>
      </c>
      <c r="AI877" s="15" t="str">
        <f>IF(AE877="","",IFERROR(INDEX($AR$11:$AR$4010,MATCH(867,$AZ$11:$AZ$4010,0)),""))</f>
        <v/>
      </c>
      <c r="AJ877" s="15" t="str">
        <f>IF(AE877="","",IFERROR(INDEX($AT$11:$AT$4010,MATCH(867,$AZ$11:$AZ$4010,0)),""))</f>
        <v/>
      </c>
      <c r="AL877" s="17"/>
      <c r="AM877" s="12"/>
      <c r="AN877" s="18"/>
      <c r="AO877" s="18"/>
      <c r="AP877" s="10"/>
      <c r="AQ877" s="10"/>
      <c r="AR877" s="19"/>
      <c r="AS877" s="20"/>
      <c r="AT877" s="19"/>
      <c r="AV877" s="21">
        <f>IF(AND($AL877&lt;&gt;"",COUNTIF($AL$11:$AL877,$AL877)=1),1,0)</f>
        <v>0</v>
      </c>
      <c r="AW877" s="21">
        <f t="shared" si="113"/>
        <v>0</v>
      </c>
      <c r="AX877" s="21" t="str">
        <f t="shared" si="112"/>
        <v/>
      </c>
      <c r="AY877" s="21" t="str">
        <f>IF(AND($AM877&lt;&gt;"",$AS877&lt;&gt;"✓"),SUMPRODUCT(($AM$11:$AM877&lt;&gt;"")*($AS$11:$AS877&lt;&gt;"✓")),"")</f>
        <v/>
      </c>
      <c r="AZ877" s="21" t="str">
        <f>IF(AND($AM877&lt;&gt;"",$AS877="✓"),SUMPRODUCT(($AM$11:$AM877&lt;&gt;"")*($AS$11:$AS877="✓")),"")</f>
        <v/>
      </c>
      <c r="BA877" s="21" t="str">
        <f>IF($AL877="","",$AL877&amp;"|"&amp;COUNTIF($AL$11:$AL877,$AL877))</f>
        <v/>
      </c>
    </row>
    <row r="878" spans="23:53" ht="15" customHeight="1" x14ac:dyDescent="0.25">
      <c r="W878" s="28" t="str">
        <f>IF(X878="","",IFERROR(INDEX($AL$11:$AL$4010,MATCH(868,$AY$11:$AY$4010,0)),""))</f>
        <v/>
      </c>
      <c r="X878" s="26" t="str">
        <f>IFERROR(INDEX($AM$11:$AM$4010,MATCH(868,$AY$11:$AY$4010,0)),"")</f>
        <v/>
      </c>
      <c r="Y878" s="25" t="str">
        <f>IF(X878="","",IFERROR(INDEX($AN$11:$AN$4010,MATCH(868,$AY$11:$AY$4010,0)),""))</f>
        <v/>
      </c>
      <c r="Z878" s="25" t="str">
        <f>IF(X878="","",IFERROR(INDEX($AO$11:$AO$4010,MATCH(868,$AY$11:$AY$4010,0)),""))</f>
        <v/>
      </c>
      <c r="AA878" s="24" t="str">
        <f>IF(X878="","",IFERROR(INDEX($AQ$11:$AQ$4010,MATCH(868,$AY$11:$AY$4010,0)),""))</f>
        <v/>
      </c>
      <c r="AB878" s="29" t="str">
        <f>IF(X878="","",IFERROR(INDEX($AR$11:$AR$4010,MATCH(868,$AY$11:$AY$4010,0)),""))</f>
        <v/>
      </c>
      <c r="AD878" s="30" t="str">
        <f>IF(AE878="","",IFERROR(INDEX($AL$11:$AL$4010,MATCH(868,$AZ$11:$AZ$4010,0)),""))</f>
        <v/>
      </c>
      <c r="AE878" s="26" t="str">
        <f>IFERROR(INDEX($AM$11:$AM$4010,MATCH(868,$AZ$11:$AZ$4010,0)),"")</f>
        <v/>
      </c>
      <c r="AF878" s="25" t="str">
        <f>IF(AE878="","",IFERROR(INDEX($AN$11:$AN$4010,MATCH(868,$AZ$11:$AZ$4010,0)),""))</f>
        <v/>
      </c>
      <c r="AG878" s="25" t="str">
        <f>IF(AE878="","",IFERROR(INDEX($AO$11:$AO$4010,MATCH(868,$AZ$11:$AZ$4010,0)),""))</f>
        <v/>
      </c>
      <c r="AH878" s="24" t="str">
        <f>IF(AE878="","",IFERROR(INDEX($AQ$11:$AQ$4010,MATCH(868,$AZ$11:$AZ$4010,0)),""))</f>
        <v/>
      </c>
      <c r="AI878" s="29" t="str">
        <f>IF(AE878="","",IFERROR(INDEX($AR$11:$AR$4010,MATCH(868,$AZ$11:$AZ$4010,0)),""))</f>
        <v/>
      </c>
      <c r="AJ878" s="29" t="str">
        <f>IF(AE878="","",IFERROR(INDEX($AT$11:$AT$4010,MATCH(868,$AZ$11:$AZ$4010,0)),""))</f>
        <v/>
      </c>
      <c r="AL878" s="31"/>
      <c r="AM878" s="26"/>
      <c r="AN878" s="32"/>
      <c r="AO878" s="32"/>
      <c r="AP878" s="24"/>
      <c r="AQ878" s="24"/>
      <c r="AR878" s="33"/>
      <c r="AS878" s="34"/>
      <c r="AT878" s="33"/>
      <c r="AV878" s="21">
        <f>IF(AND($AL878&lt;&gt;"",COUNTIF($AL$11:$AL878,$AL878)=1),1,0)</f>
        <v>0</v>
      </c>
      <c r="AW878" s="21">
        <f t="shared" si="113"/>
        <v>0</v>
      </c>
      <c r="AX878" s="21" t="str">
        <f t="shared" si="112"/>
        <v/>
      </c>
      <c r="AY878" s="21" t="str">
        <f>IF(AND($AM878&lt;&gt;"",$AS878&lt;&gt;"✓"),SUMPRODUCT(($AM$11:$AM878&lt;&gt;"")*($AS$11:$AS878&lt;&gt;"✓")),"")</f>
        <v/>
      </c>
      <c r="AZ878" s="21" t="str">
        <f>IF(AND($AM878&lt;&gt;"",$AS878="✓"),SUMPRODUCT(($AM$11:$AM878&lt;&gt;"")*($AS$11:$AS878="✓")),"")</f>
        <v/>
      </c>
      <c r="BA878" s="21" t="str">
        <f>IF($AL878="","",$AL878&amp;"|"&amp;COUNTIF($AL$11:$AL878,$AL878))</f>
        <v/>
      </c>
    </row>
    <row r="879" spans="23:53" ht="15" customHeight="1" x14ac:dyDescent="0.25">
      <c r="W879" s="14" t="str">
        <f>IF(X879="","",IFERROR(INDEX($AL$11:$AL$4010,MATCH(869,$AY$11:$AY$4010,0)),""))</f>
        <v/>
      </c>
      <c r="X879" s="12" t="str">
        <f>IFERROR(INDEX($AM$11:$AM$4010,MATCH(869,$AY$11:$AY$4010,0)),"")</f>
        <v/>
      </c>
      <c r="Y879" s="11" t="str">
        <f>IF(X879="","",IFERROR(INDEX($AN$11:$AN$4010,MATCH(869,$AY$11:$AY$4010,0)),""))</f>
        <v/>
      </c>
      <c r="Z879" s="11" t="str">
        <f>IF(X879="","",IFERROR(INDEX($AO$11:$AO$4010,MATCH(869,$AY$11:$AY$4010,0)),""))</f>
        <v/>
      </c>
      <c r="AA879" s="10" t="str">
        <f>IF(X879="","",IFERROR(INDEX($AQ$11:$AQ$4010,MATCH(869,$AY$11:$AY$4010,0)),""))</f>
        <v/>
      </c>
      <c r="AB879" s="15" t="str">
        <f>IF(X879="","",IFERROR(INDEX($AR$11:$AR$4010,MATCH(869,$AY$11:$AY$4010,0)),""))</f>
        <v/>
      </c>
      <c r="AD879" s="16" t="str">
        <f>IF(AE879="","",IFERROR(INDEX($AL$11:$AL$4010,MATCH(869,$AZ$11:$AZ$4010,0)),""))</f>
        <v/>
      </c>
      <c r="AE879" s="12" t="str">
        <f>IFERROR(INDEX($AM$11:$AM$4010,MATCH(869,$AZ$11:$AZ$4010,0)),"")</f>
        <v/>
      </c>
      <c r="AF879" s="11" t="str">
        <f>IF(AE879="","",IFERROR(INDEX($AN$11:$AN$4010,MATCH(869,$AZ$11:$AZ$4010,0)),""))</f>
        <v/>
      </c>
      <c r="AG879" s="11" t="str">
        <f>IF(AE879="","",IFERROR(INDEX($AO$11:$AO$4010,MATCH(869,$AZ$11:$AZ$4010,0)),""))</f>
        <v/>
      </c>
      <c r="AH879" s="10" t="str">
        <f>IF(AE879="","",IFERROR(INDEX($AQ$11:$AQ$4010,MATCH(869,$AZ$11:$AZ$4010,0)),""))</f>
        <v/>
      </c>
      <c r="AI879" s="15" t="str">
        <f>IF(AE879="","",IFERROR(INDEX($AR$11:$AR$4010,MATCH(869,$AZ$11:$AZ$4010,0)),""))</f>
        <v/>
      </c>
      <c r="AJ879" s="15" t="str">
        <f>IF(AE879="","",IFERROR(INDEX($AT$11:$AT$4010,MATCH(869,$AZ$11:$AZ$4010,0)),""))</f>
        <v/>
      </c>
      <c r="AL879" s="17"/>
      <c r="AM879" s="12"/>
      <c r="AN879" s="18"/>
      <c r="AO879" s="18"/>
      <c r="AP879" s="10"/>
      <c r="AQ879" s="10"/>
      <c r="AR879" s="19"/>
      <c r="AS879" s="20"/>
      <c r="AT879" s="19"/>
      <c r="AV879" s="21">
        <f>IF(AND($AL879&lt;&gt;"",COUNTIF($AL$11:$AL879,$AL879)=1),1,0)</f>
        <v>0</v>
      </c>
      <c r="AW879" s="21">
        <f t="shared" si="113"/>
        <v>0</v>
      </c>
      <c r="AX879" s="21" t="str">
        <f t="shared" si="112"/>
        <v/>
      </c>
      <c r="AY879" s="21" t="str">
        <f>IF(AND($AM879&lt;&gt;"",$AS879&lt;&gt;"✓"),SUMPRODUCT(($AM$11:$AM879&lt;&gt;"")*($AS$11:$AS879&lt;&gt;"✓")),"")</f>
        <v/>
      </c>
      <c r="AZ879" s="21" t="str">
        <f>IF(AND($AM879&lt;&gt;"",$AS879="✓"),SUMPRODUCT(($AM$11:$AM879&lt;&gt;"")*($AS$11:$AS879="✓")),"")</f>
        <v/>
      </c>
      <c r="BA879" s="21" t="str">
        <f>IF($AL879="","",$AL879&amp;"|"&amp;COUNTIF($AL$11:$AL879,$AL879))</f>
        <v/>
      </c>
    </row>
    <row r="880" spans="23:53" ht="15" customHeight="1" x14ac:dyDescent="0.25">
      <c r="W880" s="28" t="str">
        <f>IF(X880="","",IFERROR(INDEX($AL$11:$AL$4010,MATCH(870,$AY$11:$AY$4010,0)),""))</f>
        <v/>
      </c>
      <c r="X880" s="26" t="str">
        <f>IFERROR(INDEX($AM$11:$AM$4010,MATCH(870,$AY$11:$AY$4010,0)),"")</f>
        <v/>
      </c>
      <c r="Y880" s="25" t="str">
        <f>IF(X880="","",IFERROR(INDEX($AN$11:$AN$4010,MATCH(870,$AY$11:$AY$4010,0)),""))</f>
        <v/>
      </c>
      <c r="Z880" s="25" t="str">
        <f>IF(X880="","",IFERROR(INDEX($AO$11:$AO$4010,MATCH(870,$AY$11:$AY$4010,0)),""))</f>
        <v/>
      </c>
      <c r="AA880" s="24" t="str">
        <f>IF(X880="","",IFERROR(INDEX($AQ$11:$AQ$4010,MATCH(870,$AY$11:$AY$4010,0)),""))</f>
        <v/>
      </c>
      <c r="AB880" s="29" t="str">
        <f>IF(X880="","",IFERROR(INDEX($AR$11:$AR$4010,MATCH(870,$AY$11:$AY$4010,0)),""))</f>
        <v/>
      </c>
      <c r="AD880" s="30" t="str">
        <f>IF(AE880="","",IFERROR(INDEX($AL$11:$AL$4010,MATCH(870,$AZ$11:$AZ$4010,0)),""))</f>
        <v/>
      </c>
      <c r="AE880" s="26" t="str">
        <f>IFERROR(INDEX($AM$11:$AM$4010,MATCH(870,$AZ$11:$AZ$4010,0)),"")</f>
        <v/>
      </c>
      <c r="AF880" s="25" t="str">
        <f>IF(AE880="","",IFERROR(INDEX($AN$11:$AN$4010,MATCH(870,$AZ$11:$AZ$4010,0)),""))</f>
        <v/>
      </c>
      <c r="AG880" s="25" t="str">
        <f>IF(AE880="","",IFERROR(INDEX($AO$11:$AO$4010,MATCH(870,$AZ$11:$AZ$4010,0)),""))</f>
        <v/>
      </c>
      <c r="AH880" s="24" t="str">
        <f>IF(AE880="","",IFERROR(INDEX($AQ$11:$AQ$4010,MATCH(870,$AZ$11:$AZ$4010,0)),""))</f>
        <v/>
      </c>
      <c r="AI880" s="29" t="str">
        <f>IF(AE880="","",IFERROR(INDEX($AR$11:$AR$4010,MATCH(870,$AZ$11:$AZ$4010,0)),""))</f>
        <v/>
      </c>
      <c r="AJ880" s="29" t="str">
        <f>IF(AE880="","",IFERROR(INDEX($AT$11:$AT$4010,MATCH(870,$AZ$11:$AZ$4010,0)),""))</f>
        <v/>
      </c>
      <c r="AL880" s="31"/>
      <c r="AM880" s="26"/>
      <c r="AN880" s="32"/>
      <c r="AO880" s="32"/>
      <c r="AP880" s="24"/>
      <c r="AQ880" s="24"/>
      <c r="AR880" s="33"/>
      <c r="AS880" s="34"/>
      <c r="AT880" s="33"/>
      <c r="AV880" s="21">
        <f>IF(AND($AL880&lt;&gt;"",COUNTIF($AL$11:$AL880,$AL880)=1),1,0)</f>
        <v>0</v>
      </c>
      <c r="AW880" s="21">
        <f t="shared" si="113"/>
        <v>0</v>
      </c>
      <c r="AX880" s="21" t="str">
        <f t="shared" si="112"/>
        <v/>
      </c>
      <c r="AY880" s="21" t="str">
        <f>IF(AND($AM880&lt;&gt;"",$AS880&lt;&gt;"✓"),SUMPRODUCT(($AM$11:$AM880&lt;&gt;"")*($AS$11:$AS880&lt;&gt;"✓")),"")</f>
        <v/>
      </c>
      <c r="AZ880" s="21" t="str">
        <f>IF(AND($AM880&lt;&gt;"",$AS880="✓"),SUMPRODUCT(($AM$11:$AM880&lt;&gt;"")*($AS$11:$AS880="✓")),"")</f>
        <v/>
      </c>
      <c r="BA880" s="21" t="str">
        <f>IF($AL880="","",$AL880&amp;"|"&amp;COUNTIF($AL$11:$AL880,$AL880))</f>
        <v/>
      </c>
    </row>
    <row r="881" spans="23:53" ht="15" customHeight="1" x14ac:dyDescent="0.25">
      <c r="W881" s="14" t="str">
        <f>IF(X881="","",IFERROR(INDEX($AL$11:$AL$4010,MATCH(871,$AY$11:$AY$4010,0)),""))</f>
        <v/>
      </c>
      <c r="X881" s="12" t="str">
        <f>IFERROR(INDEX($AM$11:$AM$4010,MATCH(871,$AY$11:$AY$4010,0)),"")</f>
        <v/>
      </c>
      <c r="Y881" s="11" t="str">
        <f>IF(X881="","",IFERROR(INDEX($AN$11:$AN$4010,MATCH(871,$AY$11:$AY$4010,0)),""))</f>
        <v/>
      </c>
      <c r="Z881" s="11" t="str">
        <f>IF(X881="","",IFERROR(INDEX($AO$11:$AO$4010,MATCH(871,$AY$11:$AY$4010,0)),""))</f>
        <v/>
      </c>
      <c r="AA881" s="10" t="str">
        <f>IF(X881="","",IFERROR(INDEX($AQ$11:$AQ$4010,MATCH(871,$AY$11:$AY$4010,0)),""))</f>
        <v/>
      </c>
      <c r="AB881" s="15" t="str">
        <f>IF(X881="","",IFERROR(INDEX($AR$11:$AR$4010,MATCH(871,$AY$11:$AY$4010,0)),""))</f>
        <v/>
      </c>
      <c r="AD881" s="16" t="str">
        <f>IF(AE881="","",IFERROR(INDEX($AL$11:$AL$4010,MATCH(871,$AZ$11:$AZ$4010,0)),""))</f>
        <v/>
      </c>
      <c r="AE881" s="12" t="str">
        <f>IFERROR(INDEX($AM$11:$AM$4010,MATCH(871,$AZ$11:$AZ$4010,0)),"")</f>
        <v/>
      </c>
      <c r="AF881" s="11" t="str">
        <f>IF(AE881="","",IFERROR(INDEX($AN$11:$AN$4010,MATCH(871,$AZ$11:$AZ$4010,0)),""))</f>
        <v/>
      </c>
      <c r="AG881" s="11" t="str">
        <f>IF(AE881="","",IFERROR(INDEX($AO$11:$AO$4010,MATCH(871,$AZ$11:$AZ$4010,0)),""))</f>
        <v/>
      </c>
      <c r="AH881" s="10" t="str">
        <f>IF(AE881="","",IFERROR(INDEX($AQ$11:$AQ$4010,MATCH(871,$AZ$11:$AZ$4010,0)),""))</f>
        <v/>
      </c>
      <c r="AI881" s="15" t="str">
        <f>IF(AE881="","",IFERROR(INDEX($AR$11:$AR$4010,MATCH(871,$AZ$11:$AZ$4010,0)),""))</f>
        <v/>
      </c>
      <c r="AJ881" s="15" t="str">
        <f>IF(AE881="","",IFERROR(INDEX($AT$11:$AT$4010,MATCH(871,$AZ$11:$AZ$4010,0)),""))</f>
        <v/>
      </c>
      <c r="AL881" s="17"/>
      <c r="AM881" s="12"/>
      <c r="AN881" s="18"/>
      <c r="AO881" s="18"/>
      <c r="AP881" s="10"/>
      <c r="AQ881" s="10"/>
      <c r="AR881" s="19"/>
      <c r="AS881" s="20"/>
      <c r="AT881" s="19"/>
      <c r="AV881" s="21">
        <f>IF(AND($AL881&lt;&gt;"",COUNTIF($AL$11:$AL881,$AL881)=1),1,0)</f>
        <v>0</v>
      </c>
      <c r="AW881" s="21">
        <f t="shared" si="113"/>
        <v>0</v>
      </c>
      <c r="AX881" s="21" t="str">
        <f t="shared" si="112"/>
        <v/>
      </c>
      <c r="AY881" s="21" t="str">
        <f>IF(AND($AM881&lt;&gt;"",$AS881&lt;&gt;"✓"),SUMPRODUCT(($AM$11:$AM881&lt;&gt;"")*($AS$11:$AS881&lt;&gt;"✓")),"")</f>
        <v/>
      </c>
      <c r="AZ881" s="21" t="str">
        <f>IF(AND($AM881&lt;&gt;"",$AS881="✓"),SUMPRODUCT(($AM$11:$AM881&lt;&gt;"")*($AS$11:$AS881="✓")),"")</f>
        <v/>
      </c>
      <c r="BA881" s="21" t="str">
        <f>IF($AL881="","",$AL881&amp;"|"&amp;COUNTIF($AL$11:$AL881,$AL881))</f>
        <v/>
      </c>
    </row>
    <row r="882" spans="23:53" ht="15" customHeight="1" x14ac:dyDescent="0.25">
      <c r="W882" s="28" t="str">
        <f>IF(X882="","",IFERROR(INDEX($AL$11:$AL$4010,MATCH(872,$AY$11:$AY$4010,0)),""))</f>
        <v/>
      </c>
      <c r="X882" s="26" t="str">
        <f>IFERROR(INDEX($AM$11:$AM$4010,MATCH(872,$AY$11:$AY$4010,0)),"")</f>
        <v/>
      </c>
      <c r="Y882" s="25" t="str">
        <f>IF(X882="","",IFERROR(INDEX($AN$11:$AN$4010,MATCH(872,$AY$11:$AY$4010,0)),""))</f>
        <v/>
      </c>
      <c r="Z882" s="25" t="str">
        <f>IF(X882="","",IFERROR(INDEX($AO$11:$AO$4010,MATCH(872,$AY$11:$AY$4010,0)),""))</f>
        <v/>
      </c>
      <c r="AA882" s="24" t="str">
        <f>IF(X882="","",IFERROR(INDEX($AQ$11:$AQ$4010,MATCH(872,$AY$11:$AY$4010,0)),""))</f>
        <v/>
      </c>
      <c r="AB882" s="29" t="str">
        <f>IF(X882="","",IFERROR(INDEX($AR$11:$AR$4010,MATCH(872,$AY$11:$AY$4010,0)),""))</f>
        <v/>
      </c>
      <c r="AD882" s="30" t="str">
        <f>IF(AE882="","",IFERROR(INDEX($AL$11:$AL$4010,MATCH(872,$AZ$11:$AZ$4010,0)),""))</f>
        <v/>
      </c>
      <c r="AE882" s="26" t="str">
        <f>IFERROR(INDEX($AM$11:$AM$4010,MATCH(872,$AZ$11:$AZ$4010,0)),"")</f>
        <v/>
      </c>
      <c r="AF882" s="25" t="str">
        <f>IF(AE882="","",IFERROR(INDEX($AN$11:$AN$4010,MATCH(872,$AZ$11:$AZ$4010,0)),""))</f>
        <v/>
      </c>
      <c r="AG882" s="25" t="str">
        <f>IF(AE882="","",IFERROR(INDEX($AO$11:$AO$4010,MATCH(872,$AZ$11:$AZ$4010,0)),""))</f>
        <v/>
      </c>
      <c r="AH882" s="24" t="str">
        <f>IF(AE882="","",IFERROR(INDEX($AQ$11:$AQ$4010,MATCH(872,$AZ$11:$AZ$4010,0)),""))</f>
        <v/>
      </c>
      <c r="AI882" s="29" t="str">
        <f>IF(AE882="","",IFERROR(INDEX($AR$11:$AR$4010,MATCH(872,$AZ$11:$AZ$4010,0)),""))</f>
        <v/>
      </c>
      <c r="AJ882" s="29" t="str">
        <f>IF(AE882="","",IFERROR(INDEX($AT$11:$AT$4010,MATCH(872,$AZ$11:$AZ$4010,0)),""))</f>
        <v/>
      </c>
      <c r="AL882" s="31"/>
      <c r="AM882" s="26"/>
      <c r="AN882" s="32"/>
      <c r="AO882" s="32"/>
      <c r="AP882" s="24"/>
      <c r="AQ882" s="24"/>
      <c r="AR882" s="33"/>
      <c r="AS882" s="34"/>
      <c r="AT882" s="33"/>
      <c r="AV882" s="21">
        <f>IF(AND($AL882&lt;&gt;"",COUNTIF($AL$11:$AL882,$AL882)=1),1,0)</f>
        <v>0</v>
      </c>
      <c r="AW882" s="21">
        <f t="shared" si="113"/>
        <v>0</v>
      </c>
      <c r="AX882" s="21" t="str">
        <f t="shared" si="112"/>
        <v/>
      </c>
      <c r="AY882" s="21" t="str">
        <f>IF(AND($AM882&lt;&gt;"",$AS882&lt;&gt;"✓"),SUMPRODUCT(($AM$11:$AM882&lt;&gt;"")*($AS$11:$AS882&lt;&gt;"✓")),"")</f>
        <v/>
      </c>
      <c r="AZ882" s="21" t="str">
        <f>IF(AND($AM882&lt;&gt;"",$AS882="✓"),SUMPRODUCT(($AM$11:$AM882&lt;&gt;"")*($AS$11:$AS882="✓")),"")</f>
        <v/>
      </c>
      <c r="BA882" s="21" t="str">
        <f>IF($AL882="","",$AL882&amp;"|"&amp;COUNTIF($AL$11:$AL882,$AL882))</f>
        <v/>
      </c>
    </row>
    <row r="883" spans="23:53" ht="15" customHeight="1" x14ac:dyDescent="0.25">
      <c r="W883" s="14" t="str">
        <f>IF(X883="","",IFERROR(INDEX($AL$11:$AL$4010,MATCH(873,$AY$11:$AY$4010,0)),""))</f>
        <v/>
      </c>
      <c r="X883" s="12" t="str">
        <f>IFERROR(INDEX($AM$11:$AM$4010,MATCH(873,$AY$11:$AY$4010,0)),"")</f>
        <v/>
      </c>
      <c r="Y883" s="11" t="str">
        <f>IF(X883="","",IFERROR(INDEX($AN$11:$AN$4010,MATCH(873,$AY$11:$AY$4010,0)),""))</f>
        <v/>
      </c>
      <c r="Z883" s="11" t="str">
        <f>IF(X883="","",IFERROR(INDEX($AO$11:$AO$4010,MATCH(873,$AY$11:$AY$4010,0)),""))</f>
        <v/>
      </c>
      <c r="AA883" s="10" t="str">
        <f>IF(X883="","",IFERROR(INDEX($AQ$11:$AQ$4010,MATCH(873,$AY$11:$AY$4010,0)),""))</f>
        <v/>
      </c>
      <c r="AB883" s="15" t="str">
        <f>IF(X883="","",IFERROR(INDEX($AR$11:$AR$4010,MATCH(873,$AY$11:$AY$4010,0)),""))</f>
        <v/>
      </c>
      <c r="AD883" s="16" t="str">
        <f>IF(AE883="","",IFERROR(INDEX($AL$11:$AL$4010,MATCH(873,$AZ$11:$AZ$4010,0)),""))</f>
        <v/>
      </c>
      <c r="AE883" s="12" t="str">
        <f>IFERROR(INDEX($AM$11:$AM$4010,MATCH(873,$AZ$11:$AZ$4010,0)),"")</f>
        <v/>
      </c>
      <c r="AF883" s="11" t="str">
        <f>IF(AE883="","",IFERROR(INDEX($AN$11:$AN$4010,MATCH(873,$AZ$11:$AZ$4010,0)),""))</f>
        <v/>
      </c>
      <c r="AG883" s="11" t="str">
        <f>IF(AE883="","",IFERROR(INDEX($AO$11:$AO$4010,MATCH(873,$AZ$11:$AZ$4010,0)),""))</f>
        <v/>
      </c>
      <c r="AH883" s="10" t="str">
        <f>IF(AE883="","",IFERROR(INDEX($AQ$11:$AQ$4010,MATCH(873,$AZ$11:$AZ$4010,0)),""))</f>
        <v/>
      </c>
      <c r="AI883" s="15" t="str">
        <f>IF(AE883="","",IFERROR(INDEX($AR$11:$AR$4010,MATCH(873,$AZ$11:$AZ$4010,0)),""))</f>
        <v/>
      </c>
      <c r="AJ883" s="15" t="str">
        <f>IF(AE883="","",IFERROR(INDEX($AT$11:$AT$4010,MATCH(873,$AZ$11:$AZ$4010,0)),""))</f>
        <v/>
      </c>
      <c r="AL883" s="17"/>
      <c r="AM883" s="12"/>
      <c r="AN883" s="18"/>
      <c r="AO883" s="18"/>
      <c r="AP883" s="10"/>
      <c r="AQ883" s="10"/>
      <c r="AR883" s="19"/>
      <c r="AS883" s="20"/>
      <c r="AT883" s="19"/>
      <c r="AV883" s="21">
        <f>IF(AND($AL883&lt;&gt;"",COUNTIF($AL$11:$AL883,$AL883)=1),1,0)</f>
        <v>0</v>
      </c>
      <c r="AW883" s="21">
        <f t="shared" si="113"/>
        <v>0</v>
      </c>
      <c r="AX883" s="21" t="str">
        <f t="shared" si="112"/>
        <v/>
      </c>
      <c r="AY883" s="21" t="str">
        <f>IF(AND($AM883&lt;&gt;"",$AS883&lt;&gt;"✓"),SUMPRODUCT(($AM$11:$AM883&lt;&gt;"")*($AS$11:$AS883&lt;&gt;"✓")),"")</f>
        <v/>
      </c>
      <c r="AZ883" s="21" t="str">
        <f>IF(AND($AM883&lt;&gt;"",$AS883="✓"),SUMPRODUCT(($AM$11:$AM883&lt;&gt;"")*($AS$11:$AS883="✓")),"")</f>
        <v/>
      </c>
      <c r="BA883" s="21" t="str">
        <f>IF($AL883="","",$AL883&amp;"|"&amp;COUNTIF($AL$11:$AL883,$AL883))</f>
        <v/>
      </c>
    </row>
    <row r="884" spans="23:53" ht="15" customHeight="1" x14ac:dyDescent="0.25">
      <c r="W884" s="28" t="str">
        <f>IF(X884="","",IFERROR(INDEX($AL$11:$AL$4010,MATCH(874,$AY$11:$AY$4010,0)),""))</f>
        <v/>
      </c>
      <c r="X884" s="26" t="str">
        <f>IFERROR(INDEX($AM$11:$AM$4010,MATCH(874,$AY$11:$AY$4010,0)),"")</f>
        <v/>
      </c>
      <c r="Y884" s="25" t="str">
        <f>IF(X884="","",IFERROR(INDEX($AN$11:$AN$4010,MATCH(874,$AY$11:$AY$4010,0)),""))</f>
        <v/>
      </c>
      <c r="Z884" s="25" t="str">
        <f>IF(X884="","",IFERROR(INDEX($AO$11:$AO$4010,MATCH(874,$AY$11:$AY$4010,0)),""))</f>
        <v/>
      </c>
      <c r="AA884" s="24" t="str">
        <f>IF(X884="","",IFERROR(INDEX($AQ$11:$AQ$4010,MATCH(874,$AY$11:$AY$4010,0)),""))</f>
        <v/>
      </c>
      <c r="AB884" s="29" t="str">
        <f>IF(X884="","",IFERROR(INDEX($AR$11:$AR$4010,MATCH(874,$AY$11:$AY$4010,0)),""))</f>
        <v/>
      </c>
      <c r="AD884" s="30" t="str">
        <f>IF(AE884="","",IFERROR(INDEX($AL$11:$AL$4010,MATCH(874,$AZ$11:$AZ$4010,0)),""))</f>
        <v/>
      </c>
      <c r="AE884" s="26" t="str">
        <f>IFERROR(INDEX($AM$11:$AM$4010,MATCH(874,$AZ$11:$AZ$4010,0)),"")</f>
        <v/>
      </c>
      <c r="AF884" s="25" t="str">
        <f>IF(AE884="","",IFERROR(INDEX($AN$11:$AN$4010,MATCH(874,$AZ$11:$AZ$4010,0)),""))</f>
        <v/>
      </c>
      <c r="AG884" s="25" t="str">
        <f>IF(AE884="","",IFERROR(INDEX($AO$11:$AO$4010,MATCH(874,$AZ$11:$AZ$4010,0)),""))</f>
        <v/>
      </c>
      <c r="AH884" s="24" t="str">
        <f>IF(AE884="","",IFERROR(INDEX($AQ$11:$AQ$4010,MATCH(874,$AZ$11:$AZ$4010,0)),""))</f>
        <v/>
      </c>
      <c r="AI884" s="29" t="str">
        <f>IF(AE884="","",IFERROR(INDEX($AR$11:$AR$4010,MATCH(874,$AZ$11:$AZ$4010,0)),""))</f>
        <v/>
      </c>
      <c r="AJ884" s="29" t="str">
        <f>IF(AE884="","",IFERROR(INDEX($AT$11:$AT$4010,MATCH(874,$AZ$11:$AZ$4010,0)),""))</f>
        <v/>
      </c>
      <c r="AL884" s="31"/>
      <c r="AM884" s="26"/>
      <c r="AN884" s="32"/>
      <c r="AO884" s="32"/>
      <c r="AP884" s="24"/>
      <c r="AQ884" s="24"/>
      <c r="AR884" s="33"/>
      <c r="AS884" s="34"/>
      <c r="AT884" s="33"/>
      <c r="AV884" s="21">
        <f>IF(AND($AL884&lt;&gt;"",COUNTIF($AL$11:$AL884,$AL884)=1),1,0)</f>
        <v>0</v>
      </c>
      <c r="AW884" s="21">
        <f t="shared" si="113"/>
        <v>0</v>
      </c>
      <c r="AX884" s="21" t="str">
        <f t="shared" si="112"/>
        <v/>
      </c>
      <c r="AY884" s="21" t="str">
        <f>IF(AND($AM884&lt;&gt;"",$AS884&lt;&gt;"✓"),SUMPRODUCT(($AM$11:$AM884&lt;&gt;"")*($AS$11:$AS884&lt;&gt;"✓")),"")</f>
        <v/>
      </c>
      <c r="AZ884" s="21" t="str">
        <f>IF(AND($AM884&lt;&gt;"",$AS884="✓"),SUMPRODUCT(($AM$11:$AM884&lt;&gt;"")*($AS$11:$AS884="✓")),"")</f>
        <v/>
      </c>
      <c r="BA884" s="21" t="str">
        <f>IF($AL884="","",$AL884&amp;"|"&amp;COUNTIF($AL$11:$AL884,$AL884))</f>
        <v/>
      </c>
    </row>
    <row r="885" spans="23:53" ht="15" customHeight="1" x14ac:dyDescent="0.25">
      <c r="W885" s="14" t="str">
        <f>IF(X885="","",IFERROR(INDEX($AL$11:$AL$4010,MATCH(875,$AY$11:$AY$4010,0)),""))</f>
        <v/>
      </c>
      <c r="X885" s="12" t="str">
        <f>IFERROR(INDEX($AM$11:$AM$4010,MATCH(875,$AY$11:$AY$4010,0)),"")</f>
        <v/>
      </c>
      <c r="Y885" s="11" t="str">
        <f>IF(X885="","",IFERROR(INDEX($AN$11:$AN$4010,MATCH(875,$AY$11:$AY$4010,0)),""))</f>
        <v/>
      </c>
      <c r="Z885" s="11" t="str">
        <f>IF(X885="","",IFERROR(INDEX($AO$11:$AO$4010,MATCH(875,$AY$11:$AY$4010,0)),""))</f>
        <v/>
      </c>
      <c r="AA885" s="10" t="str">
        <f>IF(X885="","",IFERROR(INDEX($AQ$11:$AQ$4010,MATCH(875,$AY$11:$AY$4010,0)),""))</f>
        <v/>
      </c>
      <c r="AB885" s="15" t="str">
        <f>IF(X885="","",IFERROR(INDEX($AR$11:$AR$4010,MATCH(875,$AY$11:$AY$4010,0)),""))</f>
        <v/>
      </c>
      <c r="AD885" s="16" t="str">
        <f>IF(AE885="","",IFERROR(INDEX($AL$11:$AL$4010,MATCH(875,$AZ$11:$AZ$4010,0)),""))</f>
        <v/>
      </c>
      <c r="AE885" s="12" t="str">
        <f>IFERROR(INDEX($AM$11:$AM$4010,MATCH(875,$AZ$11:$AZ$4010,0)),"")</f>
        <v/>
      </c>
      <c r="AF885" s="11" t="str">
        <f>IF(AE885="","",IFERROR(INDEX($AN$11:$AN$4010,MATCH(875,$AZ$11:$AZ$4010,0)),""))</f>
        <v/>
      </c>
      <c r="AG885" s="11" t="str">
        <f>IF(AE885="","",IFERROR(INDEX($AO$11:$AO$4010,MATCH(875,$AZ$11:$AZ$4010,0)),""))</f>
        <v/>
      </c>
      <c r="AH885" s="10" t="str">
        <f>IF(AE885="","",IFERROR(INDEX($AQ$11:$AQ$4010,MATCH(875,$AZ$11:$AZ$4010,0)),""))</f>
        <v/>
      </c>
      <c r="AI885" s="15" t="str">
        <f>IF(AE885="","",IFERROR(INDEX($AR$11:$AR$4010,MATCH(875,$AZ$11:$AZ$4010,0)),""))</f>
        <v/>
      </c>
      <c r="AJ885" s="15" t="str">
        <f>IF(AE885="","",IFERROR(INDEX($AT$11:$AT$4010,MATCH(875,$AZ$11:$AZ$4010,0)),""))</f>
        <v/>
      </c>
      <c r="AL885" s="17"/>
      <c r="AM885" s="12"/>
      <c r="AN885" s="18"/>
      <c r="AO885" s="18"/>
      <c r="AP885" s="10"/>
      <c r="AQ885" s="10"/>
      <c r="AR885" s="19"/>
      <c r="AS885" s="20"/>
      <c r="AT885" s="19"/>
      <c r="AV885" s="21">
        <f>IF(AND($AL885&lt;&gt;"",COUNTIF($AL$11:$AL885,$AL885)=1),1,0)</f>
        <v>0</v>
      </c>
      <c r="AW885" s="21">
        <f t="shared" si="113"/>
        <v>0</v>
      </c>
      <c r="AX885" s="21" t="str">
        <f t="shared" si="112"/>
        <v/>
      </c>
      <c r="AY885" s="21" t="str">
        <f>IF(AND($AM885&lt;&gt;"",$AS885&lt;&gt;"✓"),SUMPRODUCT(($AM$11:$AM885&lt;&gt;"")*($AS$11:$AS885&lt;&gt;"✓")),"")</f>
        <v/>
      </c>
      <c r="AZ885" s="21" t="str">
        <f>IF(AND($AM885&lt;&gt;"",$AS885="✓"),SUMPRODUCT(($AM$11:$AM885&lt;&gt;"")*($AS$11:$AS885="✓")),"")</f>
        <v/>
      </c>
      <c r="BA885" s="21" t="str">
        <f>IF($AL885="","",$AL885&amp;"|"&amp;COUNTIF($AL$11:$AL885,$AL885))</f>
        <v/>
      </c>
    </row>
    <row r="886" spans="23:53" ht="15" customHeight="1" x14ac:dyDescent="0.25">
      <c r="W886" s="28" t="str">
        <f>IF(X886="","",IFERROR(INDEX($AL$11:$AL$4010,MATCH(876,$AY$11:$AY$4010,0)),""))</f>
        <v/>
      </c>
      <c r="X886" s="26" t="str">
        <f>IFERROR(INDEX($AM$11:$AM$4010,MATCH(876,$AY$11:$AY$4010,0)),"")</f>
        <v/>
      </c>
      <c r="Y886" s="25" t="str">
        <f>IF(X886="","",IFERROR(INDEX($AN$11:$AN$4010,MATCH(876,$AY$11:$AY$4010,0)),""))</f>
        <v/>
      </c>
      <c r="Z886" s="25" t="str">
        <f>IF(X886="","",IFERROR(INDEX($AO$11:$AO$4010,MATCH(876,$AY$11:$AY$4010,0)),""))</f>
        <v/>
      </c>
      <c r="AA886" s="24" t="str">
        <f>IF(X886="","",IFERROR(INDEX($AQ$11:$AQ$4010,MATCH(876,$AY$11:$AY$4010,0)),""))</f>
        <v/>
      </c>
      <c r="AB886" s="29" t="str">
        <f>IF(X886="","",IFERROR(INDEX($AR$11:$AR$4010,MATCH(876,$AY$11:$AY$4010,0)),""))</f>
        <v/>
      </c>
      <c r="AD886" s="30" t="str">
        <f>IF(AE886="","",IFERROR(INDEX($AL$11:$AL$4010,MATCH(876,$AZ$11:$AZ$4010,0)),""))</f>
        <v/>
      </c>
      <c r="AE886" s="26" t="str">
        <f>IFERROR(INDEX($AM$11:$AM$4010,MATCH(876,$AZ$11:$AZ$4010,0)),"")</f>
        <v/>
      </c>
      <c r="AF886" s="25" t="str">
        <f>IF(AE886="","",IFERROR(INDEX($AN$11:$AN$4010,MATCH(876,$AZ$11:$AZ$4010,0)),""))</f>
        <v/>
      </c>
      <c r="AG886" s="25" t="str">
        <f>IF(AE886="","",IFERROR(INDEX($AO$11:$AO$4010,MATCH(876,$AZ$11:$AZ$4010,0)),""))</f>
        <v/>
      </c>
      <c r="AH886" s="24" t="str">
        <f>IF(AE886="","",IFERROR(INDEX($AQ$11:$AQ$4010,MATCH(876,$AZ$11:$AZ$4010,0)),""))</f>
        <v/>
      </c>
      <c r="AI886" s="29" t="str">
        <f>IF(AE886="","",IFERROR(INDEX($AR$11:$AR$4010,MATCH(876,$AZ$11:$AZ$4010,0)),""))</f>
        <v/>
      </c>
      <c r="AJ886" s="29" t="str">
        <f>IF(AE886="","",IFERROR(INDEX($AT$11:$AT$4010,MATCH(876,$AZ$11:$AZ$4010,0)),""))</f>
        <v/>
      </c>
      <c r="AL886" s="31"/>
      <c r="AM886" s="26"/>
      <c r="AN886" s="32"/>
      <c r="AO886" s="32"/>
      <c r="AP886" s="24"/>
      <c r="AQ886" s="24"/>
      <c r="AR886" s="33"/>
      <c r="AS886" s="34"/>
      <c r="AT886" s="33"/>
      <c r="AV886" s="21">
        <f>IF(AND($AL886&lt;&gt;"",COUNTIF($AL$11:$AL886,$AL886)=1),1,0)</f>
        <v>0</v>
      </c>
      <c r="AW886" s="21">
        <f t="shared" si="113"/>
        <v>0</v>
      </c>
      <c r="AX886" s="21" t="str">
        <f t="shared" si="112"/>
        <v/>
      </c>
      <c r="AY886" s="21" t="str">
        <f>IF(AND($AM886&lt;&gt;"",$AS886&lt;&gt;"✓"),SUMPRODUCT(($AM$11:$AM886&lt;&gt;"")*($AS$11:$AS886&lt;&gt;"✓")),"")</f>
        <v/>
      </c>
      <c r="AZ886" s="21" t="str">
        <f>IF(AND($AM886&lt;&gt;"",$AS886="✓"),SUMPRODUCT(($AM$11:$AM886&lt;&gt;"")*($AS$11:$AS886="✓")),"")</f>
        <v/>
      </c>
      <c r="BA886" s="21" t="str">
        <f>IF($AL886="","",$AL886&amp;"|"&amp;COUNTIF($AL$11:$AL886,$AL886))</f>
        <v/>
      </c>
    </row>
    <row r="887" spans="23:53" ht="15" customHeight="1" x14ac:dyDescent="0.25">
      <c r="W887" s="14" t="str">
        <f>IF(X887="","",IFERROR(INDEX($AL$11:$AL$4010,MATCH(877,$AY$11:$AY$4010,0)),""))</f>
        <v/>
      </c>
      <c r="X887" s="12" t="str">
        <f>IFERROR(INDEX($AM$11:$AM$4010,MATCH(877,$AY$11:$AY$4010,0)),"")</f>
        <v/>
      </c>
      <c r="Y887" s="11" t="str">
        <f>IF(X887="","",IFERROR(INDEX($AN$11:$AN$4010,MATCH(877,$AY$11:$AY$4010,0)),""))</f>
        <v/>
      </c>
      <c r="Z887" s="11" t="str">
        <f>IF(X887="","",IFERROR(INDEX($AO$11:$AO$4010,MATCH(877,$AY$11:$AY$4010,0)),""))</f>
        <v/>
      </c>
      <c r="AA887" s="10" t="str">
        <f>IF(X887="","",IFERROR(INDEX($AQ$11:$AQ$4010,MATCH(877,$AY$11:$AY$4010,0)),""))</f>
        <v/>
      </c>
      <c r="AB887" s="15" t="str">
        <f>IF(X887="","",IFERROR(INDEX($AR$11:$AR$4010,MATCH(877,$AY$11:$AY$4010,0)),""))</f>
        <v/>
      </c>
      <c r="AD887" s="16" t="str">
        <f>IF(AE887="","",IFERROR(INDEX($AL$11:$AL$4010,MATCH(877,$AZ$11:$AZ$4010,0)),""))</f>
        <v/>
      </c>
      <c r="AE887" s="12" t="str">
        <f>IFERROR(INDEX($AM$11:$AM$4010,MATCH(877,$AZ$11:$AZ$4010,0)),"")</f>
        <v/>
      </c>
      <c r="AF887" s="11" t="str">
        <f>IF(AE887="","",IFERROR(INDEX($AN$11:$AN$4010,MATCH(877,$AZ$11:$AZ$4010,0)),""))</f>
        <v/>
      </c>
      <c r="AG887" s="11" t="str">
        <f>IF(AE887="","",IFERROR(INDEX($AO$11:$AO$4010,MATCH(877,$AZ$11:$AZ$4010,0)),""))</f>
        <v/>
      </c>
      <c r="AH887" s="10" t="str">
        <f>IF(AE887="","",IFERROR(INDEX($AQ$11:$AQ$4010,MATCH(877,$AZ$11:$AZ$4010,0)),""))</f>
        <v/>
      </c>
      <c r="AI887" s="15" t="str">
        <f>IF(AE887="","",IFERROR(INDEX($AR$11:$AR$4010,MATCH(877,$AZ$11:$AZ$4010,0)),""))</f>
        <v/>
      </c>
      <c r="AJ887" s="15" t="str">
        <f>IF(AE887="","",IFERROR(INDEX($AT$11:$AT$4010,MATCH(877,$AZ$11:$AZ$4010,0)),""))</f>
        <v/>
      </c>
      <c r="AL887" s="17"/>
      <c r="AM887" s="12"/>
      <c r="AN887" s="18"/>
      <c r="AO887" s="18"/>
      <c r="AP887" s="10"/>
      <c r="AQ887" s="10"/>
      <c r="AR887" s="19"/>
      <c r="AS887" s="20"/>
      <c r="AT887" s="19"/>
      <c r="AV887" s="21">
        <f>IF(AND($AL887&lt;&gt;"",COUNTIF($AL$11:$AL887,$AL887)=1),1,0)</f>
        <v>0</v>
      </c>
      <c r="AW887" s="21">
        <f t="shared" si="113"/>
        <v>0</v>
      </c>
      <c r="AX887" s="21" t="str">
        <f t="shared" si="112"/>
        <v/>
      </c>
      <c r="AY887" s="21" t="str">
        <f>IF(AND($AM887&lt;&gt;"",$AS887&lt;&gt;"✓"),SUMPRODUCT(($AM$11:$AM887&lt;&gt;"")*($AS$11:$AS887&lt;&gt;"✓")),"")</f>
        <v/>
      </c>
      <c r="AZ887" s="21" t="str">
        <f>IF(AND($AM887&lt;&gt;"",$AS887="✓"),SUMPRODUCT(($AM$11:$AM887&lt;&gt;"")*($AS$11:$AS887="✓")),"")</f>
        <v/>
      </c>
      <c r="BA887" s="21" t="str">
        <f>IF($AL887="","",$AL887&amp;"|"&amp;COUNTIF($AL$11:$AL887,$AL887))</f>
        <v/>
      </c>
    </row>
    <row r="888" spans="23:53" ht="15" customHeight="1" x14ac:dyDescent="0.25">
      <c r="W888" s="28" t="str">
        <f>IF(X888="","",IFERROR(INDEX($AL$11:$AL$4010,MATCH(878,$AY$11:$AY$4010,0)),""))</f>
        <v/>
      </c>
      <c r="X888" s="26" t="str">
        <f>IFERROR(INDEX($AM$11:$AM$4010,MATCH(878,$AY$11:$AY$4010,0)),"")</f>
        <v/>
      </c>
      <c r="Y888" s="25" t="str">
        <f>IF(X888="","",IFERROR(INDEX($AN$11:$AN$4010,MATCH(878,$AY$11:$AY$4010,0)),""))</f>
        <v/>
      </c>
      <c r="Z888" s="25" t="str">
        <f>IF(X888="","",IFERROR(INDEX($AO$11:$AO$4010,MATCH(878,$AY$11:$AY$4010,0)),""))</f>
        <v/>
      </c>
      <c r="AA888" s="24" t="str">
        <f>IF(X888="","",IFERROR(INDEX($AQ$11:$AQ$4010,MATCH(878,$AY$11:$AY$4010,0)),""))</f>
        <v/>
      </c>
      <c r="AB888" s="29" t="str">
        <f>IF(X888="","",IFERROR(INDEX($AR$11:$AR$4010,MATCH(878,$AY$11:$AY$4010,0)),""))</f>
        <v/>
      </c>
      <c r="AD888" s="30" t="str">
        <f>IF(AE888="","",IFERROR(INDEX($AL$11:$AL$4010,MATCH(878,$AZ$11:$AZ$4010,0)),""))</f>
        <v/>
      </c>
      <c r="AE888" s="26" t="str">
        <f>IFERROR(INDEX($AM$11:$AM$4010,MATCH(878,$AZ$11:$AZ$4010,0)),"")</f>
        <v/>
      </c>
      <c r="AF888" s="25" t="str">
        <f>IF(AE888="","",IFERROR(INDEX($AN$11:$AN$4010,MATCH(878,$AZ$11:$AZ$4010,0)),""))</f>
        <v/>
      </c>
      <c r="AG888" s="25" t="str">
        <f>IF(AE888="","",IFERROR(INDEX($AO$11:$AO$4010,MATCH(878,$AZ$11:$AZ$4010,0)),""))</f>
        <v/>
      </c>
      <c r="AH888" s="24" t="str">
        <f>IF(AE888="","",IFERROR(INDEX($AQ$11:$AQ$4010,MATCH(878,$AZ$11:$AZ$4010,0)),""))</f>
        <v/>
      </c>
      <c r="AI888" s="29" t="str">
        <f>IF(AE888="","",IFERROR(INDEX($AR$11:$AR$4010,MATCH(878,$AZ$11:$AZ$4010,0)),""))</f>
        <v/>
      </c>
      <c r="AJ888" s="29" t="str">
        <f>IF(AE888="","",IFERROR(INDEX($AT$11:$AT$4010,MATCH(878,$AZ$11:$AZ$4010,0)),""))</f>
        <v/>
      </c>
      <c r="AL888" s="31"/>
      <c r="AM888" s="26"/>
      <c r="AN888" s="32"/>
      <c r="AO888" s="32"/>
      <c r="AP888" s="24"/>
      <c r="AQ888" s="24"/>
      <c r="AR888" s="33"/>
      <c r="AS888" s="34"/>
      <c r="AT888" s="33"/>
      <c r="AV888" s="21">
        <f>IF(AND($AL888&lt;&gt;"",COUNTIF($AL$11:$AL888,$AL888)=1),1,0)</f>
        <v>0</v>
      </c>
      <c r="AW888" s="21">
        <f t="shared" si="113"/>
        <v>0</v>
      </c>
      <c r="AX888" s="21" t="str">
        <f t="shared" si="112"/>
        <v/>
      </c>
      <c r="AY888" s="21" t="str">
        <f>IF(AND($AM888&lt;&gt;"",$AS888&lt;&gt;"✓"),SUMPRODUCT(($AM$11:$AM888&lt;&gt;"")*($AS$11:$AS888&lt;&gt;"✓")),"")</f>
        <v/>
      </c>
      <c r="AZ888" s="21" t="str">
        <f>IF(AND($AM888&lt;&gt;"",$AS888="✓"),SUMPRODUCT(($AM$11:$AM888&lt;&gt;"")*($AS$11:$AS888="✓")),"")</f>
        <v/>
      </c>
      <c r="BA888" s="21" t="str">
        <f>IF($AL888="","",$AL888&amp;"|"&amp;COUNTIF($AL$11:$AL888,$AL888))</f>
        <v/>
      </c>
    </row>
    <row r="889" spans="23:53" ht="15" customHeight="1" x14ac:dyDescent="0.25">
      <c r="W889" s="14" t="str">
        <f>IF(X889="","",IFERROR(INDEX($AL$11:$AL$4010,MATCH(879,$AY$11:$AY$4010,0)),""))</f>
        <v/>
      </c>
      <c r="X889" s="12" t="str">
        <f>IFERROR(INDEX($AM$11:$AM$4010,MATCH(879,$AY$11:$AY$4010,0)),"")</f>
        <v/>
      </c>
      <c r="Y889" s="11" t="str">
        <f>IF(X889="","",IFERROR(INDEX($AN$11:$AN$4010,MATCH(879,$AY$11:$AY$4010,0)),""))</f>
        <v/>
      </c>
      <c r="Z889" s="11" t="str">
        <f>IF(X889="","",IFERROR(INDEX($AO$11:$AO$4010,MATCH(879,$AY$11:$AY$4010,0)),""))</f>
        <v/>
      </c>
      <c r="AA889" s="10" t="str">
        <f>IF(X889="","",IFERROR(INDEX($AQ$11:$AQ$4010,MATCH(879,$AY$11:$AY$4010,0)),""))</f>
        <v/>
      </c>
      <c r="AB889" s="15" t="str">
        <f>IF(X889="","",IFERROR(INDEX($AR$11:$AR$4010,MATCH(879,$AY$11:$AY$4010,0)),""))</f>
        <v/>
      </c>
      <c r="AD889" s="16" t="str">
        <f>IF(AE889="","",IFERROR(INDEX($AL$11:$AL$4010,MATCH(879,$AZ$11:$AZ$4010,0)),""))</f>
        <v/>
      </c>
      <c r="AE889" s="12" t="str">
        <f>IFERROR(INDEX($AM$11:$AM$4010,MATCH(879,$AZ$11:$AZ$4010,0)),"")</f>
        <v/>
      </c>
      <c r="AF889" s="11" t="str">
        <f>IF(AE889="","",IFERROR(INDEX($AN$11:$AN$4010,MATCH(879,$AZ$11:$AZ$4010,0)),""))</f>
        <v/>
      </c>
      <c r="AG889" s="11" t="str">
        <f>IF(AE889="","",IFERROR(INDEX($AO$11:$AO$4010,MATCH(879,$AZ$11:$AZ$4010,0)),""))</f>
        <v/>
      </c>
      <c r="AH889" s="10" t="str">
        <f>IF(AE889="","",IFERROR(INDEX($AQ$11:$AQ$4010,MATCH(879,$AZ$11:$AZ$4010,0)),""))</f>
        <v/>
      </c>
      <c r="AI889" s="15" t="str">
        <f>IF(AE889="","",IFERROR(INDEX($AR$11:$AR$4010,MATCH(879,$AZ$11:$AZ$4010,0)),""))</f>
        <v/>
      </c>
      <c r="AJ889" s="15" t="str">
        <f>IF(AE889="","",IFERROR(INDEX($AT$11:$AT$4010,MATCH(879,$AZ$11:$AZ$4010,0)),""))</f>
        <v/>
      </c>
      <c r="AL889" s="17"/>
      <c r="AM889" s="12"/>
      <c r="AN889" s="18"/>
      <c r="AO889" s="18"/>
      <c r="AP889" s="10"/>
      <c r="AQ889" s="10"/>
      <c r="AR889" s="19"/>
      <c r="AS889" s="20"/>
      <c r="AT889" s="19"/>
      <c r="AV889" s="21">
        <f>IF(AND($AL889&lt;&gt;"",COUNTIF($AL$11:$AL889,$AL889)=1),1,0)</f>
        <v>0</v>
      </c>
      <c r="AW889" s="21">
        <f t="shared" si="113"/>
        <v>0</v>
      </c>
      <c r="AX889" s="21" t="str">
        <f t="shared" si="112"/>
        <v/>
      </c>
      <c r="AY889" s="21" t="str">
        <f>IF(AND($AM889&lt;&gt;"",$AS889&lt;&gt;"✓"),SUMPRODUCT(($AM$11:$AM889&lt;&gt;"")*($AS$11:$AS889&lt;&gt;"✓")),"")</f>
        <v/>
      </c>
      <c r="AZ889" s="21" t="str">
        <f>IF(AND($AM889&lt;&gt;"",$AS889="✓"),SUMPRODUCT(($AM$11:$AM889&lt;&gt;"")*($AS$11:$AS889="✓")),"")</f>
        <v/>
      </c>
      <c r="BA889" s="21" t="str">
        <f>IF($AL889="","",$AL889&amp;"|"&amp;COUNTIF($AL$11:$AL889,$AL889))</f>
        <v/>
      </c>
    </row>
    <row r="890" spans="23:53" ht="15" customHeight="1" x14ac:dyDescent="0.25">
      <c r="W890" s="28" t="str">
        <f>IF(X890="","",IFERROR(INDEX($AL$11:$AL$4010,MATCH(880,$AY$11:$AY$4010,0)),""))</f>
        <v/>
      </c>
      <c r="X890" s="26" t="str">
        <f>IFERROR(INDEX($AM$11:$AM$4010,MATCH(880,$AY$11:$AY$4010,0)),"")</f>
        <v/>
      </c>
      <c r="Y890" s="25" t="str">
        <f>IF(X890="","",IFERROR(INDEX($AN$11:$AN$4010,MATCH(880,$AY$11:$AY$4010,0)),""))</f>
        <v/>
      </c>
      <c r="Z890" s="25" t="str">
        <f>IF(X890="","",IFERROR(INDEX($AO$11:$AO$4010,MATCH(880,$AY$11:$AY$4010,0)),""))</f>
        <v/>
      </c>
      <c r="AA890" s="24" t="str">
        <f>IF(X890="","",IFERROR(INDEX($AQ$11:$AQ$4010,MATCH(880,$AY$11:$AY$4010,0)),""))</f>
        <v/>
      </c>
      <c r="AB890" s="29" t="str">
        <f>IF(X890="","",IFERROR(INDEX($AR$11:$AR$4010,MATCH(880,$AY$11:$AY$4010,0)),""))</f>
        <v/>
      </c>
      <c r="AD890" s="30" t="str">
        <f>IF(AE890="","",IFERROR(INDEX($AL$11:$AL$4010,MATCH(880,$AZ$11:$AZ$4010,0)),""))</f>
        <v/>
      </c>
      <c r="AE890" s="26" t="str">
        <f>IFERROR(INDEX($AM$11:$AM$4010,MATCH(880,$AZ$11:$AZ$4010,0)),"")</f>
        <v/>
      </c>
      <c r="AF890" s="25" t="str">
        <f>IF(AE890="","",IFERROR(INDEX($AN$11:$AN$4010,MATCH(880,$AZ$11:$AZ$4010,0)),""))</f>
        <v/>
      </c>
      <c r="AG890" s="25" t="str">
        <f>IF(AE890="","",IFERROR(INDEX($AO$11:$AO$4010,MATCH(880,$AZ$11:$AZ$4010,0)),""))</f>
        <v/>
      </c>
      <c r="AH890" s="24" t="str">
        <f>IF(AE890="","",IFERROR(INDEX($AQ$11:$AQ$4010,MATCH(880,$AZ$11:$AZ$4010,0)),""))</f>
        <v/>
      </c>
      <c r="AI890" s="29" t="str">
        <f>IF(AE890="","",IFERROR(INDEX($AR$11:$AR$4010,MATCH(880,$AZ$11:$AZ$4010,0)),""))</f>
        <v/>
      </c>
      <c r="AJ890" s="29" t="str">
        <f>IF(AE890="","",IFERROR(INDEX($AT$11:$AT$4010,MATCH(880,$AZ$11:$AZ$4010,0)),""))</f>
        <v/>
      </c>
      <c r="AL890" s="31"/>
      <c r="AM890" s="26"/>
      <c r="AN890" s="32"/>
      <c r="AO890" s="32"/>
      <c r="AP890" s="24"/>
      <c r="AQ890" s="24"/>
      <c r="AR890" s="33"/>
      <c r="AS890" s="34"/>
      <c r="AT890" s="33"/>
      <c r="AV890" s="21">
        <f>IF(AND($AL890&lt;&gt;"",COUNTIF($AL$11:$AL890,$AL890)=1),1,0)</f>
        <v>0</v>
      </c>
      <c r="AW890" s="21">
        <f t="shared" si="113"/>
        <v>0</v>
      </c>
      <c r="AX890" s="21" t="str">
        <f t="shared" si="112"/>
        <v/>
      </c>
      <c r="AY890" s="21" t="str">
        <f>IF(AND($AM890&lt;&gt;"",$AS890&lt;&gt;"✓"),SUMPRODUCT(($AM$11:$AM890&lt;&gt;"")*($AS$11:$AS890&lt;&gt;"✓")),"")</f>
        <v/>
      </c>
      <c r="AZ890" s="21" t="str">
        <f>IF(AND($AM890&lt;&gt;"",$AS890="✓"),SUMPRODUCT(($AM$11:$AM890&lt;&gt;"")*($AS$11:$AS890="✓")),"")</f>
        <v/>
      </c>
      <c r="BA890" s="21" t="str">
        <f>IF($AL890="","",$AL890&amp;"|"&amp;COUNTIF($AL$11:$AL890,$AL890))</f>
        <v/>
      </c>
    </row>
    <row r="891" spans="23:53" ht="15" customHeight="1" x14ac:dyDescent="0.25">
      <c r="W891" s="14" t="str">
        <f>IF(X891="","",IFERROR(INDEX($AL$11:$AL$4010,MATCH(881,$AY$11:$AY$4010,0)),""))</f>
        <v/>
      </c>
      <c r="X891" s="12" t="str">
        <f>IFERROR(INDEX($AM$11:$AM$4010,MATCH(881,$AY$11:$AY$4010,0)),"")</f>
        <v/>
      </c>
      <c r="Y891" s="11" t="str">
        <f>IF(X891="","",IFERROR(INDEX($AN$11:$AN$4010,MATCH(881,$AY$11:$AY$4010,0)),""))</f>
        <v/>
      </c>
      <c r="Z891" s="11" t="str">
        <f>IF(X891="","",IFERROR(INDEX($AO$11:$AO$4010,MATCH(881,$AY$11:$AY$4010,0)),""))</f>
        <v/>
      </c>
      <c r="AA891" s="10" t="str">
        <f>IF(X891="","",IFERROR(INDEX($AQ$11:$AQ$4010,MATCH(881,$AY$11:$AY$4010,0)),""))</f>
        <v/>
      </c>
      <c r="AB891" s="15" t="str">
        <f>IF(X891="","",IFERROR(INDEX($AR$11:$AR$4010,MATCH(881,$AY$11:$AY$4010,0)),""))</f>
        <v/>
      </c>
      <c r="AD891" s="16" t="str">
        <f>IF(AE891="","",IFERROR(INDEX($AL$11:$AL$4010,MATCH(881,$AZ$11:$AZ$4010,0)),""))</f>
        <v/>
      </c>
      <c r="AE891" s="12" t="str">
        <f>IFERROR(INDEX($AM$11:$AM$4010,MATCH(881,$AZ$11:$AZ$4010,0)),"")</f>
        <v/>
      </c>
      <c r="AF891" s="11" t="str">
        <f>IF(AE891="","",IFERROR(INDEX($AN$11:$AN$4010,MATCH(881,$AZ$11:$AZ$4010,0)),""))</f>
        <v/>
      </c>
      <c r="AG891" s="11" t="str">
        <f>IF(AE891="","",IFERROR(INDEX($AO$11:$AO$4010,MATCH(881,$AZ$11:$AZ$4010,0)),""))</f>
        <v/>
      </c>
      <c r="AH891" s="10" t="str">
        <f>IF(AE891="","",IFERROR(INDEX($AQ$11:$AQ$4010,MATCH(881,$AZ$11:$AZ$4010,0)),""))</f>
        <v/>
      </c>
      <c r="AI891" s="15" t="str">
        <f>IF(AE891="","",IFERROR(INDEX($AR$11:$AR$4010,MATCH(881,$AZ$11:$AZ$4010,0)),""))</f>
        <v/>
      </c>
      <c r="AJ891" s="15" t="str">
        <f>IF(AE891="","",IFERROR(INDEX($AT$11:$AT$4010,MATCH(881,$AZ$11:$AZ$4010,0)),""))</f>
        <v/>
      </c>
      <c r="AL891" s="17"/>
      <c r="AM891" s="12"/>
      <c r="AN891" s="18"/>
      <c r="AO891" s="18"/>
      <c r="AP891" s="10"/>
      <c r="AQ891" s="10"/>
      <c r="AR891" s="19"/>
      <c r="AS891" s="20"/>
      <c r="AT891" s="19"/>
      <c r="AV891" s="21">
        <f>IF(AND($AL891&lt;&gt;"",COUNTIF($AL$11:$AL891,$AL891)=1),1,0)</f>
        <v>0</v>
      </c>
      <c r="AW891" s="21">
        <f t="shared" si="113"/>
        <v>0</v>
      </c>
      <c r="AX891" s="21" t="str">
        <f t="shared" si="112"/>
        <v/>
      </c>
      <c r="AY891" s="21" t="str">
        <f>IF(AND($AM891&lt;&gt;"",$AS891&lt;&gt;"✓"),SUMPRODUCT(($AM$11:$AM891&lt;&gt;"")*($AS$11:$AS891&lt;&gt;"✓")),"")</f>
        <v/>
      </c>
      <c r="AZ891" s="21" t="str">
        <f>IF(AND($AM891&lt;&gt;"",$AS891="✓"),SUMPRODUCT(($AM$11:$AM891&lt;&gt;"")*($AS$11:$AS891="✓")),"")</f>
        <v/>
      </c>
      <c r="BA891" s="21" t="str">
        <f>IF($AL891="","",$AL891&amp;"|"&amp;COUNTIF($AL$11:$AL891,$AL891))</f>
        <v/>
      </c>
    </row>
    <row r="892" spans="23:53" ht="15" customHeight="1" x14ac:dyDescent="0.25">
      <c r="W892" s="28" t="str">
        <f>IF(X892="","",IFERROR(INDEX($AL$11:$AL$4010,MATCH(882,$AY$11:$AY$4010,0)),""))</f>
        <v/>
      </c>
      <c r="X892" s="26" t="str">
        <f>IFERROR(INDEX($AM$11:$AM$4010,MATCH(882,$AY$11:$AY$4010,0)),"")</f>
        <v/>
      </c>
      <c r="Y892" s="25" t="str">
        <f>IF(X892="","",IFERROR(INDEX($AN$11:$AN$4010,MATCH(882,$AY$11:$AY$4010,0)),""))</f>
        <v/>
      </c>
      <c r="Z892" s="25" t="str">
        <f>IF(X892="","",IFERROR(INDEX($AO$11:$AO$4010,MATCH(882,$AY$11:$AY$4010,0)),""))</f>
        <v/>
      </c>
      <c r="AA892" s="24" t="str">
        <f>IF(X892="","",IFERROR(INDEX($AQ$11:$AQ$4010,MATCH(882,$AY$11:$AY$4010,0)),""))</f>
        <v/>
      </c>
      <c r="AB892" s="29" t="str">
        <f>IF(X892="","",IFERROR(INDEX($AR$11:$AR$4010,MATCH(882,$AY$11:$AY$4010,0)),""))</f>
        <v/>
      </c>
      <c r="AD892" s="30" t="str">
        <f>IF(AE892="","",IFERROR(INDEX($AL$11:$AL$4010,MATCH(882,$AZ$11:$AZ$4010,0)),""))</f>
        <v/>
      </c>
      <c r="AE892" s="26" t="str">
        <f>IFERROR(INDEX($AM$11:$AM$4010,MATCH(882,$AZ$11:$AZ$4010,0)),"")</f>
        <v/>
      </c>
      <c r="AF892" s="25" t="str">
        <f>IF(AE892="","",IFERROR(INDEX($AN$11:$AN$4010,MATCH(882,$AZ$11:$AZ$4010,0)),""))</f>
        <v/>
      </c>
      <c r="AG892" s="25" t="str">
        <f>IF(AE892="","",IFERROR(INDEX($AO$11:$AO$4010,MATCH(882,$AZ$11:$AZ$4010,0)),""))</f>
        <v/>
      </c>
      <c r="AH892" s="24" t="str">
        <f>IF(AE892="","",IFERROR(INDEX($AQ$11:$AQ$4010,MATCH(882,$AZ$11:$AZ$4010,0)),""))</f>
        <v/>
      </c>
      <c r="AI892" s="29" t="str">
        <f>IF(AE892="","",IFERROR(INDEX($AR$11:$AR$4010,MATCH(882,$AZ$11:$AZ$4010,0)),""))</f>
        <v/>
      </c>
      <c r="AJ892" s="29" t="str">
        <f>IF(AE892="","",IFERROR(INDEX($AT$11:$AT$4010,MATCH(882,$AZ$11:$AZ$4010,0)),""))</f>
        <v/>
      </c>
      <c r="AL892" s="31"/>
      <c r="AM892" s="26"/>
      <c r="AN892" s="32"/>
      <c r="AO892" s="32"/>
      <c r="AP892" s="24"/>
      <c r="AQ892" s="24"/>
      <c r="AR892" s="33"/>
      <c r="AS892" s="34"/>
      <c r="AT892" s="33"/>
      <c r="AV892" s="21">
        <f>IF(AND($AL892&lt;&gt;"",COUNTIF($AL$11:$AL892,$AL892)=1),1,0)</f>
        <v>0</v>
      </c>
      <c r="AW892" s="21">
        <f t="shared" si="113"/>
        <v>0</v>
      </c>
      <c r="AX892" s="21" t="str">
        <f t="shared" si="112"/>
        <v/>
      </c>
      <c r="AY892" s="21" t="str">
        <f>IF(AND($AM892&lt;&gt;"",$AS892&lt;&gt;"✓"),SUMPRODUCT(($AM$11:$AM892&lt;&gt;"")*($AS$11:$AS892&lt;&gt;"✓")),"")</f>
        <v/>
      </c>
      <c r="AZ892" s="21" t="str">
        <f>IF(AND($AM892&lt;&gt;"",$AS892="✓"),SUMPRODUCT(($AM$11:$AM892&lt;&gt;"")*($AS$11:$AS892="✓")),"")</f>
        <v/>
      </c>
      <c r="BA892" s="21" t="str">
        <f>IF($AL892="","",$AL892&amp;"|"&amp;COUNTIF($AL$11:$AL892,$AL892))</f>
        <v/>
      </c>
    </row>
    <row r="893" spans="23:53" ht="15" customHeight="1" x14ac:dyDescent="0.25">
      <c r="W893" s="14" t="str">
        <f>IF(X893="","",IFERROR(INDEX($AL$11:$AL$4010,MATCH(883,$AY$11:$AY$4010,0)),""))</f>
        <v/>
      </c>
      <c r="X893" s="12" t="str">
        <f>IFERROR(INDEX($AM$11:$AM$4010,MATCH(883,$AY$11:$AY$4010,0)),"")</f>
        <v/>
      </c>
      <c r="Y893" s="11" t="str">
        <f>IF(X893="","",IFERROR(INDEX($AN$11:$AN$4010,MATCH(883,$AY$11:$AY$4010,0)),""))</f>
        <v/>
      </c>
      <c r="Z893" s="11" t="str">
        <f>IF(X893="","",IFERROR(INDEX($AO$11:$AO$4010,MATCH(883,$AY$11:$AY$4010,0)),""))</f>
        <v/>
      </c>
      <c r="AA893" s="10" t="str">
        <f>IF(X893="","",IFERROR(INDEX($AQ$11:$AQ$4010,MATCH(883,$AY$11:$AY$4010,0)),""))</f>
        <v/>
      </c>
      <c r="AB893" s="15" t="str">
        <f>IF(X893="","",IFERROR(INDEX($AR$11:$AR$4010,MATCH(883,$AY$11:$AY$4010,0)),""))</f>
        <v/>
      </c>
      <c r="AD893" s="16" t="str">
        <f>IF(AE893="","",IFERROR(INDEX($AL$11:$AL$4010,MATCH(883,$AZ$11:$AZ$4010,0)),""))</f>
        <v/>
      </c>
      <c r="AE893" s="12" t="str">
        <f>IFERROR(INDEX($AM$11:$AM$4010,MATCH(883,$AZ$11:$AZ$4010,0)),"")</f>
        <v/>
      </c>
      <c r="AF893" s="11" t="str">
        <f>IF(AE893="","",IFERROR(INDEX($AN$11:$AN$4010,MATCH(883,$AZ$11:$AZ$4010,0)),""))</f>
        <v/>
      </c>
      <c r="AG893" s="11" t="str">
        <f>IF(AE893="","",IFERROR(INDEX($AO$11:$AO$4010,MATCH(883,$AZ$11:$AZ$4010,0)),""))</f>
        <v/>
      </c>
      <c r="AH893" s="10" t="str">
        <f>IF(AE893="","",IFERROR(INDEX($AQ$11:$AQ$4010,MATCH(883,$AZ$11:$AZ$4010,0)),""))</f>
        <v/>
      </c>
      <c r="AI893" s="15" t="str">
        <f>IF(AE893="","",IFERROR(INDEX($AR$11:$AR$4010,MATCH(883,$AZ$11:$AZ$4010,0)),""))</f>
        <v/>
      </c>
      <c r="AJ893" s="15" t="str">
        <f>IF(AE893="","",IFERROR(INDEX($AT$11:$AT$4010,MATCH(883,$AZ$11:$AZ$4010,0)),""))</f>
        <v/>
      </c>
      <c r="AL893" s="17"/>
      <c r="AM893" s="12"/>
      <c r="AN893" s="18"/>
      <c r="AO893" s="18"/>
      <c r="AP893" s="10"/>
      <c r="AQ893" s="10"/>
      <c r="AR893" s="19"/>
      <c r="AS893" s="20"/>
      <c r="AT893" s="19"/>
      <c r="AV893" s="21">
        <f>IF(AND($AL893&lt;&gt;"",COUNTIF($AL$11:$AL893,$AL893)=1),1,0)</f>
        <v>0</v>
      </c>
      <c r="AW893" s="21">
        <f t="shared" si="113"/>
        <v>0</v>
      </c>
      <c r="AX893" s="21" t="str">
        <f t="shared" si="112"/>
        <v/>
      </c>
      <c r="AY893" s="21" t="str">
        <f>IF(AND($AM893&lt;&gt;"",$AS893&lt;&gt;"✓"),SUMPRODUCT(($AM$11:$AM893&lt;&gt;"")*($AS$11:$AS893&lt;&gt;"✓")),"")</f>
        <v/>
      </c>
      <c r="AZ893" s="21" t="str">
        <f>IF(AND($AM893&lt;&gt;"",$AS893="✓"),SUMPRODUCT(($AM$11:$AM893&lt;&gt;"")*($AS$11:$AS893="✓")),"")</f>
        <v/>
      </c>
      <c r="BA893" s="21" t="str">
        <f>IF($AL893="","",$AL893&amp;"|"&amp;COUNTIF($AL$11:$AL893,$AL893))</f>
        <v/>
      </c>
    </row>
    <row r="894" spans="23:53" ht="15" customHeight="1" x14ac:dyDescent="0.25">
      <c r="W894" s="28" t="str">
        <f>IF(X894="","",IFERROR(INDEX($AL$11:$AL$4010,MATCH(884,$AY$11:$AY$4010,0)),""))</f>
        <v/>
      </c>
      <c r="X894" s="26" t="str">
        <f>IFERROR(INDEX($AM$11:$AM$4010,MATCH(884,$AY$11:$AY$4010,0)),"")</f>
        <v/>
      </c>
      <c r="Y894" s="25" t="str">
        <f>IF(X894="","",IFERROR(INDEX($AN$11:$AN$4010,MATCH(884,$AY$11:$AY$4010,0)),""))</f>
        <v/>
      </c>
      <c r="Z894" s="25" t="str">
        <f>IF(X894="","",IFERROR(INDEX($AO$11:$AO$4010,MATCH(884,$AY$11:$AY$4010,0)),""))</f>
        <v/>
      </c>
      <c r="AA894" s="24" t="str">
        <f>IF(X894="","",IFERROR(INDEX($AQ$11:$AQ$4010,MATCH(884,$AY$11:$AY$4010,0)),""))</f>
        <v/>
      </c>
      <c r="AB894" s="29" t="str">
        <f>IF(X894="","",IFERROR(INDEX($AR$11:$AR$4010,MATCH(884,$AY$11:$AY$4010,0)),""))</f>
        <v/>
      </c>
      <c r="AD894" s="30" t="str">
        <f>IF(AE894="","",IFERROR(INDEX($AL$11:$AL$4010,MATCH(884,$AZ$11:$AZ$4010,0)),""))</f>
        <v/>
      </c>
      <c r="AE894" s="26" t="str">
        <f>IFERROR(INDEX($AM$11:$AM$4010,MATCH(884,$AZ$11:$AZ$4010,0)),"")</f>
        <v/>
      </c>
      <c r="AF894" s="25" t="str">
        <f>IF(AE894="","",IFERROR(INDEX($AN$11:$AN$4010,MATCH(884,$AZ$11:$AZ$4010,0)),""))</f>
        <v/>
      </c>
      <c r="AG894" s="25" t="str">
        <f>IF(AE894="","",IFERROR(INDEX($AO$11:$AO$4010,MATCH(884,$AZ$11:$AZ$4010,0)),""))</f>
        <v/>
      </c>
      <c r="AH894" s="24" t="str">
        <f>IF(AE894="","",IFERROR(INDEX($AQ$11:$AQ$4010,MATCH(884,$AZ$11:$AZ$4010,0)),""))</f>
        <v/>
      </c>
      <c r="AI894" s="29" t="str">
        <f>IF(AE894="","",IFERROR(INDEX($AR$11:$AR$4010,MATCH(884,$AZ$11:$AZ$4010,0)),""))</f>
        <v/>
      </c>
      <c r="AJ894" s="29" t="str">
        <f>IF(AE894="","",IFERROR(INDEX($AT$11:$AT$4010,MATCH(884,$AZ$11:$AZ$4010,0)),""))</f>
        <v/>
      </c>
      <c r="AL894" s="31"/>
      <c r="AM894" s="26"/>
      <c r="AN894" s="32"/>
      <c r="AO894" s="32"/>
      <c r="AP894" s="24"/>
      <c r="AQ894" s="24"/>
      <c r="AR894" s="33"/>
      <c r="AS894" s="34"/>
      <c r="AT894" s="33"/>
      <c r="AV894" s="21">
        <f>IF(AND($AL894&lt;&gt;"",COUNTIF($AL$11:$AL894,$AL894)=1),1,0)</f>
        <v>0</v>
      </c>
      <c r="AW894" s="21">
        <f t="shared" si="113"/>
        <v>0</v>
      </c>
      <c r="AX894" s="21" t="str">
        <f t="shared" si="112"/>
        <v/>
      </c>
      <c r="AY894" s="21" t="str">
        <f>IF(AND($AM894&lt;&gt;"",$AS894&lt;&gt;"✓"),SUMPRODUCT(($AM$11:$AM894&lt;&gt;"")*($AS$11:$AS894&lt;&gt;"✓")),"")</f>
        <v/>
      </c>
      <c r="AZ894" s="21" t="str">
        <f>IF(AND($AM894&lt;&gt;"",$AS894="✓"),SUMPRODUCT(($AM$11:$AM894&lt;&gt;"")*($AS$11:$AS894="✓")),"")</f>
        <v/>
      </c>
      <c r="BA894" s="21" t="str">
        <f>IF($AL894="","",$AL894&amp;"|"&amp;COUNTIF($AL$11:$AL894,$AL894))</f>
        <v/>
      </c>
    </row>
    <row r="895" spans="23:53" ht="15" customHeight="1" x14ac:dyDescent="0.25">
      <c r="W895" s="14" t="str">
        <f>IF(X895="","",IFERROR(INDEX($AL$11:$AL$4010,MATCH(885,$AY$11:$AY$4010,0)),""))</f>
        <v/>
      </c>
      <c r="X895" s="12" t="str">
        <f>IFERROR(INDEX($AM$11:$AM$4010,MATCH(885,$AY$11:$AY$4010,0)),"")</f>
        <v/>
      </c>
      <c r="Y895" s="11" t="str">
        <f>IF(X895="","",IFERROR(INDEX($AN$11:$AN$4010,MATCH(885,$AY$11:$AY$4010,0)),""))</f>
        <v/>
      </c>
      <c r="Z895" s="11" t="str">
        <f>IF(X895="","",IFERROR(INDEX($AO$11:$AO$4010,MATCH(885,$AY$11:$AY$4010,0)),""))</f>
        <v/>
      </c>
      <c r="AA895" s="10" t="str">
        <f>IF(X895="","",IFERROR(INDEX($AQ$11:$AQ$4010,MATCH(885,$AY$11:$AY$4010,0)),""))</f>
        <v/>
      </c>
      <c r="AB895" s="15" t="str">
        <f>IF(X895="","",IFERROR(INDEX($AR$11:$AR$4010,MATCH(885,$AY$11:$AY$4010,0)),""))</f>
        <v/>
      </c>
      <c r="AD895" s="16" t="str">
        <f>IF(AE895="","",IFERROR(INDEX($AL$11:$AL$4010,MATCH(885,$AZ$11:$AZ$4010,0)),""))</f>
        <v/>
      </c>
      <c r="AE895" s="12" t="str">
        <f>IFERROR(INDEX($AM$11:$AM$4010,MATCH(885,$AZ$11:$AZ$4010,0)),"")</f>
        <v/>
      </c>
      <c r="AF895" s="11" t="str">
        <f>IF(AE895="","",IFERROR(INDEX($AN$11:$AN$4010,MATCH(885,$AZ$11:$AZ$4010,0)),""))</f>
        <v/>
      </c>
      <c r="AG895" s="11" t="str">
        <f>IF(AE895="","",IFERROR(INDEX($AO$11:$AO$4010,MATCH(885,$AZ$11:$AZ$4010,0)),""))</f>
        <v/>
      </c>
      <c r="AH895" s="10" t="str">
        <f>IF(AE895="","",IFERROR(INDEX($AQ$11:$AQ$4010,MATCH(885,$AZ$11:$AZ$4010,0)),""))</f>
        <v/>
      </c>
      <c r="AI895" s="15" t="str">
        <f>IF(AE895="","",IFERROR(INDEX($AR$11:$AR$4010,MATCH(885,$AZ$11:$AZ$4010,0)),""))</f>
        <v/>
      </c>
      <c r="AJ895" s="15" t="str">
        <f>IF(AE895="","",IFERROR(INDEX($AT$11:$AT$4010,MATCH(885,$AZ$11:$AZ$4010,0)),""))</f>
        <v/>
      </c>
      <c r="AL895" s="17"/>
      <c r="AM895" s="12"/>
      <c r="AN895" s="18"/>
      <c r="AO895" s="18"/>
      <c r="AP895" s="10"/>
      <c r="AQ895" s="10"/>
      <c r="AR895" s="19"/>
      <c r="AS895" s="20"/>
      <c r="AT895" s="19"/>
      <c r="AV895" s="21">
        <f>IF(AND($AL895&lt;&gt;"",COUNTIF($AL$11:$AL895,$AL895)=1),1,0)</f>
        <v>0</v>
      </c>
      <c r="AW895" s="21">
        <f t="shared" si="113"/>
        <v>0</v>
      </c>
      <c r="AX895" s="21" t="str">
        <f t="shared" si="112"/>
        <v/>
      </c>
      <c r="AY895" s="21" t="str">
        <f>IF(AND($AM895&lt;&gt;"",$AS895&lt;&gt;"✓"),SUMPRODUCT(($AM$11:$AM895&lt;&gt;"")*($AS$11:$AS895&lt;&gt;"✓")),"")</f>
        <v/>
      </c>
      <c r="AZ895" s="21" t="str">
        <f>IF(AND($AM895&lt;&gt;"",$AS895="✓"),SUMPRODUCT(($AM$11:$AM895&lt;&gt;"")*($AS$11:$AS895="✓")),"")</f>
        <v/>
      </c>
      <c r="BA895" s="21" t="str">
        <f>IF($AL895="","",$AL895&amp;"|"&amp;COUNTIF($AL$11:$AL895,$AL895))</f>
        <v/>
      </c>
    </row>
    <row r="896" spans="23:53" ht="15" customHeight="1" x14ac:dyDescent="0.25">
      <c r="W896" s="28" t="str">
        <f>IF(X896="","",IFERROR(INDEX($AL$11:$AL$4010,MATCH(886,$AY$11:$AY$4010,0)),""))</f>
        <v/>
      </c>
      <c r="X896" s="26" t="str">
        <f>IFERROR(INDEX($AM$11:$AM$4010,MATCH(886,$AY$11:$AY$4010,0)),"")</f>
        <v/>
      </c>
      <c r="Y896" s="25" t="str">
        <f>IF(X896="","",IFERROR(INDEX($AN$11:$AN$4010,MATCH(886,$AY$11:$AY$4010,0)),""))</f>
        <v/>
      </c>
      <c r="Z896" s="25" t="str">
        <f>IF(X896="","",IFERROR(INDEX($AO$11:$AO$4010,MATCH(886,$AY$11:$AY$4010,0)),""))</f>
        <v/>
      </c>
      <c r="AA896" s="24" t="str">
        <f>IF(X896="","",IFERROR(INDEX($AQ$11:$AQ$4010,MATCH(886,$AY$11:$AY$4010,0)),""))</f>
        <v/>
      </c>
      <c r="AB896" s="29" t="str">
        <f>IF(X896="","",IFERROR(INDEX($AR$11:$AR$4010,MATCH(886,$AY$11:$AY$4010,0)),""))</f>
        <v/>
      </c>
      <c r="AD896" s="30" t="str">
        <f>IF(AE896="","",IFERROR(INDEX($AL$11:$AL$4010,MATCH(886,$AZ$11:$AZ$4010,0)),""))</f>
        <v/>
      </c>
      <c r="AE896" s="26" t="str">
        <f>IFERROR(INDEX($AM$11:$AM$4010,MATCH(886,$AZ$11:$AZ$4010,0)),"")</f>
        <v/>
      </c>
      <c r="AF896" s="25" t="str">
        <f>IF(AE896="","",IFERROR(INDEX($AN$11:$AN$4010,MATCH(886,$AZ$11:$AZ$4010,0)),""))</f>
        <v/>
      </c>
      <c r="AG896" s="25" t="str">
        <f>IF(AE896="","",IFERROR(INDEX($AO$11:$AO$4010,MATCH(886,$AZ$11:$AZ$4010,0)),""))</f>
        <v/>
      </c>
      <c r="AH896" s="24" t="str">
        <f>IF(AE896="","",IFERROR(INDEX($AQ$11:$AQ$4010,MATCH(886,$AZ$11:$AZ$4010,0)),""))</f>
        <v/>
      </c>
      <c r="AI896" s="29" t="str">
        <f>IF(AE896="","",IFERROR(INDEX($AR$11:$AR$4010,MATCH(886,$AZ$11:$AZ$4010,0)),""))</f>
        <v/>
      </c>
      <c r="AJ896" s="29" t="str">
        <f>IF(AE896="","",IFERROR(INDEX($AT$11:$AT$4010,MATCH(886,$AZ$11:$AZ$4010,0)),""))</f>
        <v/>
      </c>
      <c r="AL896" s="31"/>
      <c r="AM896" s="26"/>
      <c r="AN896" s="32"/>
      <c r="AO896" s="32"/>
      <c r="AP896" s="24"/>
      <c r="AQ896" s="24"/>
      <c r="AR896" s="33"/>
      <c r="AS896" s="34"/>
      <c r="AT896" s="33"/>
      <c r="AV896" s="21">
        <f>IF(AND($AL896&lt;&gt;"",COUNTIF($AL$11:$AL896,$AL896)=1),1,0)</f>
        <v>0</v>
      </c>
      <c r="AW896" s="21">
        <f t="shared" si="113"/>
        <v>0</v>
      </c>
      <c r="AX896" s="21" t="str">
        <f t="shared" si="112"/>
        <v/>
      </c>
      <c r="AY896" s="21" t="str">
        <f>IF(AND($AM896&lt;&gt;"",$AS896&lt;&gt;"✓"),SUMPRODUCT(($AM$11:$AM896&lt;&gt;"")*($AS$11:$AS896&lt;&gt;"✓")),"")</f>
        <v/>
      </c>
      <c r="AZ896" s="21" t="str">
        <f>IF(AND($AM896&lt;&gt;"",$AS896="✓"),SUMPRODUCT(($AM$11:$AM896&lt;&gt;"")*($AS$11:$AS896="✓")),"")</f>
        <v/>
      </c>
      <c r="BA896" s="21" t="str">
        <f>IF($AL896="","",$AL896&amp;"|"&amp;COUNTIF($AL$11:$AL896,$AL896))</f>
        <v/>
      </c>
    </row>
    <row r="897" spans="23:53" ht="15" customHeight="1" x14ac:dyDescent="0.25">
      <c r="W897" s="14" t="str">
        <f>IF(X897="","",IFERROR(INDEX($AL$11:$AL$4010,MATCH(887,$AY$11:$AY$4010,0)),""))</f>
        <v/>
      </c>
      <c r="X897" s="12" t="str">
        <f>IFERROR(INDEX($AM$11:$AM$4010,MATCH(887,$AY$11:$AY$4010,0)),"")</f>
        <v/>
      </c>
      <c r="Y897" s="11" t="str">
        <f>IF(X897="","",IFERROR(INDEX($AN$11:$AN$4010,MATCH(887,$AY$11:$AY$4010,0)),""))</f>
        <v/>
      </c>
      <c r="Z897" s="11" t="str">
        <f>IF(X897="","",IFERROR(INDEX($AO$11:$AO$4010,MATCH(887,$AY$11:$AY$4010,0)),""))</f>
        <v/>
      </c>
      <c r="AA897" s="10" t="str">
        <f>IF(X897="","",IFERROR(INDEX($AQ$11:$AQ$4010,MATCH(887,$AY$11:$AY$4010,0)),""))</f>
        <v/>
      </c>
      <c r="AB897" s="15" t="str">
        <f>IF(X897="","",IFERROR(INDEX($AR$11:$AR$4010,MATCH(887,$AY$11:$AY$4010,0)),""))</f>
        <v/>
      </c>
      <c r="AD897" s="16" t="str">
        <f>IF(AE897="","",IFERROR(INDEX($AL$11:$AL$4010,MATCH(887,$AZ$11:$AZ$4010,0)),""))</f>
        <v/>
      </c>
      <c r="AE897" s="12" t="str">
        <f>IFERROR(INDEX($AM$11:$AM$4010,MATCH(887,$AZ$11:$AZ$4010,0)),"")</f>
        <v/>
      </c>
      <c r="AF897" s="11" t="str">
        <f>IF(AE897="","",IFERROR(INDEX($AN$11:$AN$4010,MATCH(887,$AZ$11:$AZ$4010,0)),""))</f>
        <v/>
      </c>
      <c r="AG897" s="11" t="str">
        <f>IF(AE897="","",IFERROR(INDEX($AO$11:$AO$4010,MATCH(887,$AZ$11:$AZ$4010,0)),""))</f>
        <v/>
      </c>
      <c r="AH897" s="10" t="str">
        <f>IF(AE897="","",IFERROR(INDEX($AQ$11:$AQ$4010,MATCH(887,$AZ$11:$AZ$4010,0)),""))</f>
        <v/>
      </c>
      <c r="AI897" s="15" t="str">
        <f>IF(AE897="","",IFERROR(INDEX($AR$11:$AR$4010,MATCH(887,$AZ$11:$AZ$4010,0)),""))</f>
        <v/>
      </c>
      <c r="AJ897" s="15" t="str">
        <f>IF(AE897="","",IFERROR(INDEX($AT$11:$AT$4010,MATCH(887,$AZ$11:$AZ$4010,0)),""))</f>
        <v/>
      </c>
      <c r="AL897" s="17"/>
      <c r="AM897" s="12"/>
      <c r="AN897" s="18"/>
      <c r="AO897" s="18"/>
      <c r="AP897" s="10"/>
      <c r="AQ897" s="10"/>
      <c r="AR897" s="19"/>
      <c r="AS897" s="20"/>
      <c r="AT897" s="19"/>
      <c r="AV897" s="21">
        <f>IF(AND($AL897&lt;&gt;"",COUNTIF($AL$11:$AL897,$AL897)=1),1,0)</f>
        <v>0</v>
      </c>
      <c r="AW897" s="21">
        <f t="shared" si="113"/>
        <v>0</v>
      </c>
      <c r="AX897" s="21" t="str">
        <f t="shared" si="112"/>
        <v/>
      </c>
      <c r="AY897" s="21" t="str">
        <f>IF(AND($AM897&lt;&gt;"",$AS897&lt;&gt;"✓"),SUMPRODUCT(($AM$11:$AM897&lt;&gt;"")*($AS$11:$AS897&lt;&gt;"✓")),"")</f>
        <v/>
      </c>
      <c r="AZ897" s="21" t="str">
        <f>IF(AND($AM897&lt;&gt;"",$AS897="✓"),SUMPRODUCT(($AM$11:$AM897&lt;&gt;"")*($AS$11:$AS897="✓")),"")</f>
        <v/>
      </c>
      <c r="BA897" s="21" t="str">
        <f>IF($AL897="","",$AL897&amp;"|"&amp;COUNTIF($AL$11:$AL897,$AL897))</f>
        <v/>
      </c>
    </row>
    <row r="898" spans="23:53" ht="15" customHeight="1" x14ac:dyDescent="0.25">
      <c r="W898" s="28" t="str">
        <f>IF(X898="","",IFERROR(INDEX($AL$11:$AL$4010,MATCH(888,$AY$11:$AY$4010,0)),""))</f>
        <v/>
      </c>
      <c r="X898" s="26" t="str">
        <f>IFERROR(INDEX($AM$11:$AM$4010,MATCH(888,$AY$11:$AY$4010,0)),"")</f>
        <v/>
      </c>
      <c r="Y898" s="25" t="str">
        <f>IF(X898="","",IFERROR(INDEX($AN$11:$AN$4010,MATCH(888,$AY$11:$AY$4010,0)),""))</f>
        <v/>
      </c>
      <c r="Z898" s="25" t="str">
        <f>IF(X898="","",IFERROR(INDEX($AO$11:$AO$4010,MATCH(888,$AY$11:$AY$4010,0)),""))</f>
        <v/>
      </c>
      <c r="AA898" s="24" t="str">
        <f>IF(X898="","",IFERROR(INDEX($AQ$11:$AQ$4010,MATCH(888,$AY$11:$AY$4010,0)),""))</f>
        <v/>
      </c>
      <c r="AB898" s="29" t="str">
        <f>IF(X898="","",IFERROR(INDEX($AR$11:$AR$4010,MATCH(888,$AY$11:$AY$4010,0)),""))</f>
        <v/>
      </c>
      <c r="AD898" s="30" t="str">
        <f>IF(AE898="","",IFERROR(INDEX($AL$11:$AL$4010,MATCH(888,$AZ$11:$AZ$4010,0)),""))</f>
        <v/>
      </c>
      <c r="AE898" s="26" t="str">
        <f>IFERROR(INDEX($AM$11:$AM$4010,MATCH(888,$AZ$11:$AZ$4010,0)),"")</f>
        <v/>
      </c>
      <c r="AF898" s="25" t="str">
        <f>IF(AE898="","",IFERROR(INDEX($AN$11:$AN$4010,MATCH(888,$AZ$11:$AZ$4010,0)),""))</f>
        <v/>
      </c>
      <c r="AG898" s="25" t="str">
        <f>IF(AE898="","",IFERROR(INDEX($AO$11:$AO$4010,MATCH(888,$AZ$11:$AZ$4010,0)),""))</f>
        <v/>
      </c>
      <c r="AH898" s="24" t="str">
        <f>IF(AE898="","",IFERROR(INDEX($AQ$11:$AQ$4010,MATCH(888,$AZ$11:$AZ$4010,0)),""))</f>
        <v/>
      </c>
      <c r="AI898" s="29" t="str">
        <f>IF(AE898="","",IFERROR(INDEX($AR$11:$AR$4010,MATCH(888,$AZ$11:$AZ$4010,0)),""))</f>
        <v/>
      </c>
      <c r="AJ898" s="29" t="str">
        <f>IF(AE898="","",IFERROR(INDEX($AT$11:$AT$4010,MATCH(888,$AZ$11:$AZ$4010,0)),""))</f>
        <v/>
      </c>
      <c r="AL898" s="31"/>
      <c r="AM898" s="26"/>
      <c r="AN898" s="32"/>
      <c r="AO898" s="32"/>
      <c r="AP898" s="24"/>
      <c r="AQ898" s="24"/>
      <c r="AR898" s="33"/>
      <c r="AS898" s="34"/>
      <c r="AT898" s="33"/>
      <c r="AV898" s="21">
        <f>IF(AND($AL898&lt;&gt;"",COUNTIF($AL$11:$AL898,$AL898)=1),1,0)</f>
        <v>0</v>
      </c>
      <c r="AW898" s="21">
        <f t="shared" si="113"/>
        <v>0</v>
      </c>
      <c r="AX898" s="21" t="str">
        <f t="shared" si="112"/>
        <v/>
      </c>
      <c r="AY898" s="21" t="str">
        <f>IF(AND($AM898&lt;&gt;"",$AS898&lt;&gt;"✓"),SUMPRODUCT(($AM$11:$AM898&lt;&gt;"")*($AS$11:$AS898&lt;&gt;"✓")),"")</f>
        <v/>
      </c>
      <c r="AZ898" s="21" t="str">
        <f>IF(AND($AM898&lt;&gt;"",$AS898="✓"),SUMPRODUCT(($AM$11:$AM898&lt;&gt;"")*($AS$11:$AS898="✓")),"")</f>
        <v/>
      </c>
      <c r="BA898" s="21" t="str">
        <f>IF($AL898="","",$AL898&amp;"|"&amp;COUNTIF($AL$11:$AL898,$AL898))</f>
        <v/>
      </c>
    </row>
    <row r="899" spans="23:53" ht="15" customHeight="1" x14ac:dyDescent="0.25">
      <c r="W899" s="14" t="str">
        <f>IF(X899="","",IFERROR(INDEX($AL$11:$AL$4010,MATCH(889,$AY$11:$AY$4010,0)),""))</f>
        <v/>
      </c>
      <c r="X899" s="12" t="str">
        <f>IFERROR(INDEX($AM$11:$AM$4010,MATCH(889,$AY$11:$AY$4010,0)),"")</f>
        <v/>
      </c>
      <c r="Y899" s="11" t="str">
        <f>IF(X899="","",IFERROR(INDEX($AN$11:$AN$4010,MATCH(889,$AY$11:$AY$4010,0)),""))</f>
        <v/>
      </c>
      <c r="Z899" s="11" t="str">
        <f>IF(X899="","",IFERROR(INDEX($AO$11:$AO$4010,MATCH(889,$AY$11:$AY$4010,0)),""))</f>
        <v/>
      </c>
      <c r="AA899" s="10" t="str">
        <f>IF(X899="","",IFERROR(INDEX($AQ$11:$AQ$4010,MATCH(889,$AY$11:$AY$4010,0)),""))</f>
        <v/>
      </c>
      <c r="AB899" s="15" t="str">
        <f>IF(X899="","",IFERROR(INDEX($AR$11:$AR$4010,MATCH(889,$AY$11:$AY$4010,0)),""))</f>
        <v/>
      </c>
      <c r="AD899" s="16" t="str">
        <f>IF(AE899="","",IFERROR(INDEX($AL$11:$AL$4010,MATCH(889,$AZ$11:$AZ$4010,0)),""))</f>
        <v/>
      </c>
      <c r="AE899" s="12" t="str">
        <f>IFERROR(INDEX($AM$11:$AM$4010,MATCH(889,$AZ$11:$AZ$4010,0)),"")</f>
        <v/>
      </c>
      <c r="AF899" s="11" t="str">
        <f>IF(AE899="","",IFERROR(INDEX($AN$11:$AN$4010,MATCH(889,$AZ$11:$AZ$4010,0)),""))</f>
        <v/>
      </c>
      <c r="AG899" s="11" t="str">
        <f>IF(AE899="","",IFERROR(INDEX($AO$11:$AO$4010,MATCH(889,$AZ$11:$AZ$4010,0)),""))</f>
        <v/>
      </c>
      <c r="AH899" s="10" t="str">
        <f>IF(AE899="","",IFERROR(INDEX($AQ$11:$AQ$4010,MATCH(889,$AZ$11:$AZ$4010,0)),""))</f>
        <v/>
      </c>
      <c r="AI899" s="15" t="str">
        <f>IF(AE899="","",IFERROR(INDEX($AR$11:$AR$4010,MATCH(889,$AZ$11:$AZ$4010,0)),""))</f>
        <v/>
      </c>
      <c r="AJ899" s="15" t="str">
        <f>IF(AE899="","",IFERROR(INDEX($AT$11:$AT$4010,MATCH(889,$AZ$11:$AZ$4010,0)),""))</f>
        <v/>
      </c>
      <c r="AL899" s="17"/>
      <c r="AM899" s="12"/>
      <c r="AN899" s="18"/>
      <c r="AO899" s="18"/>
      <c r="AP899" s="10"/>
      <c r="AQ899" s="10"/>
      <c r="AR899" s="19"/>
      <c r="AS899" s="20"/>
      <c r="AT899" s="19"/>
      <c r="AV899" s="21">
        <f>IF(AND($AL899&lt;&gt;"",COUNTIF($AL$11:$AL899,$AL899)=1),1,0)</f>
        <v>0</v>
      </c>
      <c r="AW899" s="21">
        <f t="shared" si="113"/>
        <v>0</v>
      </c>
      <c r="AX899" s="21" t="str">
        <f t="shared" si="112"/>
        <v/>
      </c>
      <c r="AY899" s="21" t="str">
        <f>IF(AND($AM899&lt;&gt;"",$AS899&lt;&gt;"✓"),SUMPRODUCT(($AM$11:$AM899&lt;&gt;"")*($AS$11:$AS899&lt;&gt;"✓")),"")</f>
        <v/>
      </c>
      <c r="AZ899" s="21" t="str">
        <f>IF(AND($AM899&lt;&gt;"",$AS899="✓"),SUMPRODUCT(($AM$11:$AM899&lt;&gt;"")*($AS$11:$AS899="✓")),"")</f>
        <v/>
      </c>
      <c r="BA899" s="21" t="str">
        <f>IF($AL899="","",$AL899&amp;"|"&amp;COUNTIF($AL$11:$AL899,$AL899))</f>
        <v/>
      </c>
    </row>
    <row r="900" spans="23:53" ht="15" customHeight="1" x14ac:dyDescent="0.25">
      <c r="W900" s="28" t="str">
        <f>IF(X900="","",IFERROR(INDEX($AL$11:$AL$4010,MATCH(890,$AY$11:$AY$4010,0)),""))</f>
        <v/>
      </c>
      <c r="X900" s="26" t="str">
        <f>IFERROR(INDEX($AM$11:$AM$4010,MATCH(890,$AY$11:$AY$4010,0)),"")</f>
        <v/>
      </c>
      <c r="Y900" s="25" t="str">
        <f>IF(X900="","",IFERROR(INDEX($AN$11:$AN$4010,MATCH(890,$AY$11:$AY$4010,0)),""))</f>
        <v/>
      </c>
      <c r="Z900" s="25" t="str">
        <f>IF(X900="","",IFERROR(INDEX($AO$11:$AO$4010,MATCH(890,$AY$11:$AY$4010,0)),""))</f>
        <v/>
      </c>
      <c r="AA900" s="24" t="str">
        <f>IF(X900="","",IFERROR(INDEX($AQ$11:$AQ$4010,MATCH(890,$AY$11:$AY$4010,0)),""))</f>
        <v/>
      </c>
      <c r="AB900" s="29" t="str">
        <f>IF(X900="","",IFERROR(INDEX($AR$11:$AR$4010,MATCH(890,$AY$11:$AY$4010,0)),""))</f>
        <v/>
      </c>
      <c r="AD900" s="30" t="str">
        <f>IF(AE900="","",IFERROR(INDEX($AL$11:$AL$4010,MATCH(890,$AZ$11:$AZ$4010,0)),""))</f>
        <v/>
      </c>
      <c r="AE900" s="26" t="str">
        <f>IFERROR(INDEX($AM$11:$AM$4010,MATCH(890,$AZ$11:$AZ$4010,0)),"")</f>
        <v/>
      </c>
      <c r="AF900" s="25" t="str">
        <f>IF(AE900="","",IFERROR(INDEX($AN$11:$AN$4010,MATCH(890,$AZ$11:$AZ$4010,0)),""))</f>
        <v/>
      </c>
      <c r="AG900" s="25" t="str">
        <f>IF(AE900="","",IFERROR(INDEX($AO$11:$AO$4010,MATCH(890,$AZ$11:$AZ$4010,0)),""))</f>
        <v/>
      </c>
      <c r="AH900" s="24" t="str">
        <f>IF(AE900="","",IFERROR(INDEX($AQ$11:$AQ$4010,MATCH(890,$AZ$11:$AZ$4010,0)),""))</f>
        <v/>
      </c>
      <c r="AI900" s="29" t="str">
        <f>IF(AE900="","",IFERROR(INDEX($AR$11:$AR$4010,MATCH(890,$AZ$11:$AZ$4010,0)),""))</f>
        <v/>
      </c>
      <c r="AJ900" s="29" t="str">
        <f>IF(AE900="","",IFERROR(INDEX($AT$11:$AT$4010,MATCH(890,$AZ$11:$AZ$4010,0)),""))</f>
        <v/>
      </c>
      <c r="AL900" s="31"/>
      <c r="AM900" s="26"/>
      <c r="AN900" s="32"/>
      <c r="AO900" s="32"/>
      <c r="AP900" s="24"/>
      <c r="AQ900" s="24"/>
      <c r="AR900" s="33"/>
      <c r="AS900" s="34"/>
      <c r="AT900" s="33"/>
      <c r="AV900" s="21">
        <f>IF(AND($AL900&lt;&gt;"",COUNTIF($AL$11:$AL900,$AL900)=1),1,0)</f>
        <v>0</v>
      </c>
      <c r="AW900" s="21">
        <f t="shared" si="113"/>
        <v>0</v>
      </c>
      <c r="AX900" s="21" t="str">
        <f t="shared" si="112"/>
        <v/>
      </c>
      <c r="AY900" s="21" t="str">
        <f>IF(AND($AM900&lt;&gt;"",$AS900&lt;&gt;"✓"),SUMPRODUCT(($AM$11:$AM900&lt;&gt;"")*($AS$11:$AS900&lt;&gt;"✓")),"")</f>
        <v/>
      </c>
      <c r="AZ900" s="21" t="str">
        <f>IF(AND($AM900&lt;&gt;"",$AS900="✓"),SUMPRODUCT(($AM$11:$AM900&lt;&gt;"")*($AS$11:$AS900="✓")),"")</f>
        <v/>
      </c>
      <c r="BA900" s="21" t="str">
        <f>IF($AL900="","",$AL900&amp;"|"&amp;COUNTIF($AL$11:$AL900,$AL900))</f>
        <v/>
      </c>
    </row>
    <row r="901" spans="23:53" ht="15" customHeight="1" x14ac:dyDescent="0.25">
      <c r="W901" s="14" t="str">
        <f>IF(X901="","",IFERROR(INDEX($AL$11:$AL$4010,MATCH(891,$AY$11:$AY$4010,0)),""))</f>
        <v/>
      </c>
      <c r="X901" s="12" t="str">
        <f>IFERROR(INDEX($AM$11:$AM$4010,MATCH(891,$AY$11:$AY$4010,0)),"")</f>
        <v/>
      </c>
      <c r="Y901" s="11" t="str">
        <f>IF(X901="","",IFERROR(INDEX($AN$11:$AN$4010,MATCH(891,$AY$11:$AY$4010,0)),""))</f>
        <v/>
      </c>
      <c r="Z901" s="11" t="str">
        <f>IF(X901="","",IFERROR(INDEX($AO$11:$AO$4010,MATCH(891,$AY$11:$AY$4010,0)),""))</f>
        <v/>
      </c>
      <c r="AA901" s="10" t="str">
        <f>IF(X901="","",IFERROR(INDEX($AQ$11:$AQ$4010,MATCH(891,$AY$11:$AY$4010,0)),""))</f>
        <v/>
      </c>
      <c r="AB901" s="15" t="str">
        <f>IF(X901="","",IFERROR(INDEX($AR$11:$AR$4010,MATCH(891,$AY$11:$AY$4010,0)),""))</f>
        <v/>
      </c>
      <c r="AD901" s="16" t="str">
        <f>IF(AE901="","",IFERROR(INDEX($AL$11:$AL$4010,MATCH(891,$AZ$11:$AZ$4010,0)),""))</f>
        <v/>
      </c>
      <c r="AE901" s="12" t="str">
        <f>IFERROR(INDEX($AM$11:$AM$4010,MATCH(891,$AZ$11:$AZ$4010,0)),"")</f>
        <v/>
      </c>
      <c r="AF901" s="11" t="str">
        <f>IF(AE901="","",IFERROR(INDEX($AN$11:$AN$4010,MATCH(891,$AZ$11:$AZ$4010,0)),""))</f>
        <v/>
      </c>
      <c r="AG901" s="11" t="str">
        <f>IF(AE901="","",IFERROR(INDEX($AO$11:$AO$4010,MATCH(891,$AZ$11:$AZ$4010,0)),""))</f>
        <v/>
      </c>
      <c r="AH901" s="10" t="str">
        <f>IF(AE901="","",IFERROR(INDEX($AQ$11:$AQ$4010,MATCH(891,$AZ$11:$AZ$4010,0)),""))</f>
        <v/>
      </c>
      <c r="AI901" s="15" t="str">
        <f>IF(AE901="","",IFERROR(INDEX($AR$11:$AR$4010,MATCH(891,$AZ$11:$AZ$4010,0)),""))</f>
        <v/>
      </c>
      <c r="AJ901" s="15" t="str">
        <f>IF(AE901="","",IFERROR(INDEX($AT$11:$AT$4010,MATCH(891,$AZ$11:$AZ$4010,0)),""))</f>
        <v/>
      </c>
      <c r="AL901" s="17"/>
      <c r="AM901" s="12"/>
      <c r="AN901" s="18"/>
      <c r="AO901" s="18"/>
      <c r="AP901" s="10"/>
      <c r="AQ901" s="10"/>
      <c r="AR901" s="19"/>
      <c r="AS901" s="20"/>
      <c r="AT901" s="19"/>
      <c r="AV901" s="21">
        <f>IF(AND($AL901&lt;&gt;"",COUNTIF($AL$11:$AL901,$AL901)=1),1,0)</f>
        <v>0</v>
      </c>
      <c r="AW901" s="21">
        <f t="shared" si="113"/>
        <v>0</v>
      </c>
      <c r="AX901" s="21" t="str">
        <f t="shared" si="112"/>
        <v/>
      </c>
      <c r="AY901" s="21" t="str">
        <f>IF(AND($AM901&lt;&gt;"",$AS901&lt;&gt;"✓"),SUMPRODUCT(($AM$11:$AM901&lt;&gt;"")*($AS$11:$AS901&lt;&gt;"✓")),"")</f>
        <v/>
      </c>
      <c r="AZ901" s="21" t="str">
        <f>IF(AND($AM901&lt;&gt;"",$AS901="✓"),SUMPRODUCT(($AM$11:$AM901&lt;&gt;"")*($AS$11:$AS901="✓")),"")</f>
        <v/>
      </c>
      <c r="BA901" s="21" t="str">
        <f>IF($AL901="","",$AL901&amp;"|"&amp;COUNTIF($AL$11:$AL901,$AL901))</f>
        <v/>
      </c>
    </row>
    <row r="902" spans="23:53" ht="15" customHeight="1" x14ac:dyDescent="0.25">
      <c r="W902" s="28" t="str">
        <f>IF(X902="","",IFERROR(INDEX($AL$11:$AL$4010,MATCH(892,$AY$11:$AY$4010,0)),""))</f>
        <v/>
      </c>
      <c r="X902" s="26" t="str">
        <f>IFERROR(INDEX($AM$11:$AM$4010,MATCH(892,$AY$11:$AY$4010,0)),"")</f>
        <v/>
      </c>
      <c r="Y902" s="25" t="str">
        <f>IF(X902="","",IFERROR(INDEX($AN$11:$AN$4010,MATCH(892,$AY$11:$AY$4010,0)),""))</f>
        <v/>
      </c>
      <c r="Z902" s="25" t="str">
        <f>IF(X902="","",IFERROR(INDEX($AO$11:$AO$4010,MATCH(892,$AY$11:$AY$4010,0)),""))</f>
        <v/>
      </c>
      <c r="AA902" s="24" t="str">
        <f>IF(X902="","",IFERROR(INDEX($AQ$11:$AQ$4010,MATCH(892,$AY$11:$AY$4010,0)),""))</f>
        <v/>
      </c>
      <c r="AB902" s="29" t="str">
        <f>IF(X902="","",IFERROR(INDEX($AR$11:$AR$4010,MATCH(892,$AY$11:$AY$4010,0)),""))</f>
        <v/>
      </c>
      <c r="AD902" s="30" t="str">
        <f>IF(AE902="","",IFERROR(INDEX($AL$11:$AL$4010,MATCH(892,$AZ$11:$AZ$4010,0)),""))</f>
        <v/>
      </c>
      <c r="AE902" s="26" t="str">
        <f>IFERROR(INDEX($AM$11:$AM$4010,MATCH(892,$AZ$11:$AZ$4010,0)),"")</f>
        <v/>
      </c>
      <c r="AF902" s="25" t="str">
        <f>IF(AE902="","",IFERROR(INDEX($AN$11:$AN$4010,MATCH(892,$AZ$11:$AZ$4010,0)),""))</f>
        <v/>
      </c>
      <c r="AG902" s="25" t="str">
        <f>IF(AE902="","",IFERROR(INDEX($AO$11:$AO$4010,MATCH(892,$AZ$11:$AZ$4010,0)),""))</f>
        <v/>
      </c>
      <c r="AH902" s="24" t="str">
        <f>IF(AE902="","",IFERROR(INDEX($AQ$11:$AQ$4010,MATCH(892,$AZ$11:$AZ$4010,0)),""))</f>
        <v/>
      </c>
      <c r="AI902" s="29" t="str">
        <f>IF(AE902="","",IFERROR(INDEX($AR$11:$AR$4010,MATCH(892,$AZ$11:$AZ$4010,0)),""))</f>
        <v/>
      </c>
      <c r="AJ902" s="29" t="str">
        <f>IF(AE902="","",IFERROR(INDEX($AT$11:$AT$4010,MATCH(892,$AZ$11:$AZ$4010,0)),""))</f>
        <v/>
      </c>
      <c r="AL902" s="31"/>
      <c r="AM902" s="26"/>
      <c r="AN902" s="32"/>
      <c r="AO902" s="32"/>
      <c r="AP902" s="24"/>
      <c r="AQ902" s="24"/>
      <c r="AR902" s="33"/>
      <c r="AS902" s="34"/>
      <c r="AT902" s="33"/>
      <c r="AV902" s="21">
        <f>IF(AND($AL902&lt;&gt;"",COUNTIF($AL$11:$AL902,$AL902)=1),1,0)</f>
        <v>0</v>
      </c>
      <c r="AW902" s="21">
        <f t="shared" si="113"/>
        <v>0</v>
      </c>
      <c r="AX902" s="21" t="str">
        <f t="shared" si="112"/>
        <v/>
      </c>
      <c r="AY902" s="21" t="str">
        <f>IF(AND($AM902&lt;&gt;"",$AS902&lt;&gt;"✓"),SUMPRODUCT(($AM$11:$AM902&lt;&gt;"")*($AS$11:$AS902&lt;&gt;"✓")),"")</f>
        <v/>
      </c>
      <c r="AZ902" s="21" t="str">
        <f>IF(AND($AM902&lt;&gt;"",$AS902="✓"),SUMPRODUCT(($AM$11:$AM902&lt;&gt;"")*($AS$11:$AS902="✓")),"")</f>
        <v/>
      </c>
      <c r="BA902" s="21" t="str">
        <f>IF($AL902="","",$AL902&amp;"|"&amp;COUNTIF($AL$11:$AL902,$AL902))</f>
        <v/>
      </c>
    </row>
    <row r="903" spans="23:53" ht="15" customHeight="1" x14ac:dyDescent="0.25">
      <c r="W903" s="14" t="str">
        <f>IF(X903="","",IFERROR(INDEX($AL$11:$AL$4010,MATCH(893,$AY$11:$AY$4010,0)),""))</f>
        <v/>
      </c>
      <c r="X903" s="12" t="str">
        <f>IFERROR(INDEX($AM$11:$AM$4010,MATCH(893,$AY$11:$AY$4010,0)),"")</f>
        <v/>
      </c>
      <c r="Y903" s="11" t="str">
        <f>IF(X903="","",IFERROR(INDEX($AN$11:$AN$4010,MATCH(893,$AY$11:$AY$4010,0)),""))</f>
        <v/>
      </c>
      <c r="Z903" s="11" t="str">
        <f>IF(X903="","",IFERROR(INDEX($AO$11:$AO$4010,MATCH(893,$AY$11:$AY$4010,0)),""))</f>
        <v/>
      </c>
      <c r="AA903" s="10" t="str">
        <f>IF(X903="","",IFERROR(INDEX($AQ$11:$AQ$4010,MATCH(893,$AY$11:$AY$4010,0)),""))</f>
        <v/>
      </c>
      <c r="AB903" s="15" t="str">
        <f>IF(X903="","",IFERROR(INDEX($AR$11:$AR$4010,MATCH(893,$AY$11:$AY$4010,0)),""))</f>
        <v/>
      </c>
      <c r="AD903" s="16" t="str">
        <f>IF(AE903="","",IFERROR(INDEX($AL$11:$AL$4010,MATCH(893,$AZ$11:$AZ$4010,0)),""))</f>
        <v/>
      </c>
      <c r="AE903" s="12" t="str">
        <f>IFERROR(INDEX($AM$11:$AM$4010,MATCH(893,$AZ$11:$AZ$4010,0)),"")</f>
        <v/>
      </c>
      <c r="AF903" s="11" t="str">
        <f>IF(AE903="","",IFERROR(INDEX($AN$11:$AN$4010,MATCH(893,$AZ$11:$AZ$4010,0)),""))</f>
        <v/>
      </c>
      <c r="AG903" s="11" t="str">
        <f>IF(AE903="","",IFERROR(INDEX($AO$11:$AO$4010,MATCH(893,$AZ$11:$AZ$4010,0)),""))</f>
        <v/>
      </c>
      <c r="AH903" s="10" t="str">
        <f>IF(AE903="","",IFERROR(INDEX($AQ$11:$AQ$4010,MATCH(893,$AZ$11:$AZ$4010,0)),""))</f>
        <v/>
      </c>
      <c r="AI903" s="15" t="str">
        <f>IF(AE903="","",IFERROR(INDEX($AR$11:$AR$4010,MATCH(893,$AZ$11:$AZ$4010,0)),""))</f>
        <v/>
      </c>
      <c r="AJ903" s="15" t="str">
        <f>IF(AE903="","",IFERROR(INDEX($AT$11:$AT$4010,MATCH(893,$AZ$11:$AZ$4010,0)),""))</f>
        <v/>
      </c>
      <c r="AL903" s="17"/>
      <c r="AM903" s="12"/>
      <c r="AN903" s="18"/>
      <c r="AO903" s="18"/>
      <c r="AP903" s="10"/>
      <c r="AQ903" s="10"/>
      <c r="AR903" s="19"/>
      <c r="AS903" s="20"/>
      <c r="AT903" s="19"/>
      <c r="AV903" s="21">
        <f>IF(AND($AL903&lt;&gt;"",COUNTIF($AL$11:$AL903,$AL903)=1),1,0)</f>
        <v>0</v>
      </c>
      <c r="AW903" s="21">
        <f t="shared" si="113"/>
        <v>0</v>
      </c>
      <c r="AX903" s="21" t="str">
        <f t="shared" si="112"/>
        <v/>
      </c>
      <c r="AY903" s="21" t="str">
        <f>IF(AND($AM903&lt;&gt;"",$AS903&lt;&gt;"✓"),SUMPRODUCT(($AM$11:$AM903&lt;&gt;"")*($AS$11:$AS903&lt;&gt;"✓")),"")</f>
        <v/>
      </c>
      <c r="AZ903" s="21" t="str">
        <f>IF(AND($AM903&lt;&gt;"",$AS903="✓"),SUMPRODUCT(($AM$11:$AM903&lt;&gt;"")*($AS$11:$AS903="✓")),"")</f>
        <v/>
      </c>
      <c r="BA903" s="21" t="str">
        <f>IF($AL903="","",$AL903&amp;"|"&amp;COUNTIF($AL$11:$AL903,$AL903))</f>
        <v/>
      </c>
    </row>
    <row r="904" spans="23:53" ht="15" customHeight="1" x14ac:dyDescent="0.25">
      <c r="W904" s="28" t="str">
        <f>IF(X904="","",IFERROR(INDEX($AL$11:$AL$4010,MATCH(894,$AY$11:$AY$4010,0)),""))</f>
        <v/>
      </c>
      <c r="X904" s="26" t="str">
        <f>IFERROR(INDEX($AM$11:$AM$4010,MATCH(894,$AY$11:$AY$4010,0)),"")</f>
        <v/>
      </c>
      <c r="Y904" s="25" t="str">
        <f>IF(X904="","",IFERROR(INDEX($AN$11:$AN$4010,MATCH(894,$AY$11:$AY$4010,0)),""))</f>
        <v/>
      </c>
      <c r="Z904" s="25" t="str">
        <f>IF(X904="","",IFERROR(INDEX($AO$11:$AO$4010,MATCH(894,$AY$11:$AY$4010,0)),""))</f>
        <v/>
      </c>
      <c r="AA904" s="24" t="str">
        <f>IF(X904="","",IFERROR(INDEX($AQ$11:$AQ$4010,MATCH(894,$AY$11:$AY$4010,0)),""))</f>
        <v/>
      </c>
      <c r="AB904" s="29" t="str">
        <f>IF(X904="","",IFERROR(INDEX($AR$11:$AR$4010,MATCH(894,$AY$11:$AY$4010,0)),""))</f>
        <v/>
      </c>
      <c r="AD904" s="30" t="str">
        <f>IF(AE904="","",IFERROR(INDEX($AL$11:$AL$4010,MATCH(894,$AZ$11:$AZ$4010,0)),""))</f>
        <v/>
      </c>
      <c r="AE904" s="26" t="str">
        <f>IFERROR(INDEX($AM$11:$AM$4010,MATCH(894,$AZ$11:$AZ$4010,0)),"")</f>
        <v/>
      </c>
      <c r="AF904" s="25" t="str">
        <f>IF(AE904="","",IFERROR(INDEX($AN$11:$AN$4010,MATCH(894,$AZ$11:$AZ$4010,0)),""))</f>
        <v/>
      </c>
      <c r="AG904" s="25" t="str">
        <f>IF(AE904="","",IFERROR(INDEX($AO$11:$AO$4010,MATCH(894,$AZ$11:$AZ$4010,0)),""))</f>
        <v/>
      </c>
      <c r="AH904" s="24" t="str">
        <f>IF(AE904="","",IFERROR(INDEX($AQ$11:$AQ$4010,MATCH(894,$AZ$11:$AZ$4010,0)),""))</f>
        <v/>
      </c>
      <c r="AI904" s="29" t="str">
        <f>IF(AE904="","",IFERROR(INDEX($AR$11:$AR$4010,MATCH(894,$AZ$11:$AZ$4010,0)),""))</f>
        <v/>
      </c>
      <c r="AJ904" s="29" t="str">
        <f>IF(AE904="","",IFERROR(INDEX($AT$11:$AT$4010,MATCH(894,$AZ$11:$AZ$4010,0)),""))</f>
        <v/>
      </c>
      <c r="AL904" s="31"/>
      <c r="AM904" s="26"/>
      <c r="AN904" s="32"/>
      <c r="AO904" s="32"/>
      <c r="AP904" s="24"/>
      <c r="AQ904" s="24"/>
      <c r="AR904" s="33"/>
      <c r="AS904" s="34"/>
      <c r="AT904" s="33"/>
      <c r="AV904" s="21">
        <f>IF(AND($AL904&lt;&gt;"",COUNTIF($AL$11:$AL904,$AL904)=1),1,0)</f>
        <v>0</v>
      </c>
      <c r="AW904" s="21">
        <f t="shared" si="113"/>
        <v>0</v>
      </c>
      <c r="AX904" s="21" t="str">
        <f t="shared" si="112"/>
        <v/>
      </c>
      <c r="AY904" s="21" t="str">
        <f>IF(AND($AM904&lt;&gt;"",$AS904&lt;&gt;"✓"),SUMPRODUCT(($AM$11:$AM904&lt;&gt;"")*($AS$11:$AS904&lt;&gt;"✓")),"")</f>
        <v/>
      </c>
      <c r="AZ904" s="21" t="str">
        <f>IF(AND($AM904&lt;&gt;"",$AS904="✓"),SUMPRODUCT(($AM$11:$AM904&lt;&gt;"")*($AS$11:$AS904="✓")),"")</f>
        <v/>
      </c>
      <c r="BA904" s="21" t="str">
        <f>IF($AL904="","",$AL904&amp;"|"&amp;COUNTIF($AL$11:$AL904,$AL904))</f>
        <v/>
      </c>
    </row>
    <row r="905" spans="23:53" ht="15" customHeight="1" x14ac:dyDescent="0.25">
      <c r="W905" s="14" t="str">
        <f>IF(X905="","",IFERROR(INDEX($AL$11:$AL$4010,MATCH(895,$AY$11:$AY$4010,0)),""))</f>
        <v/>
      </c>
      <c r="X905" s="12" t="str">
        <f>IFERROR(INDEX($AM$11:$AM$4010,MATCH(895,$AY$11:$AY$4010,0)),"")</f>
        <v/>
      </c>
      <c r="Y905" s="11" t="str">
        <f>IF(X905="","",IFERROR(INDEX($AN$11:$AN$4010,MATCH(895,$AY$11:$AY$4010,0)),""))</f>
        <v/>
      </c>
      <c r="Z905" s="11" t="str">
        <f>IF(X905="","",IFERROR(INDEX($AO$11:$AO$4010,MATCH(895,$AY$11:$AY$4010,0)),""))</f>
        <v/>
      </c>
      <c r="AA905" s="10" t="str">
        <f>IF(X905="","",IFERROR(INDEX($AQ$11:$AQ$4010,MATCH(895,$AY$11:$AY$4010,0)),""))</f>
        <v/>
      </c>
      <c r="AB905" s="15" t="str">
        <f>IF(X905="","",IFERROR(INDEX($AR$11:$AR$4010,MATCH(895,$AY$11:$AY$4010,0)),""))</f>
        <v/>
      </c>
      <c r="AD905" s="16" t="str">
        <f>IF(AE905="","",IFERROR(INDEX($AL$11:$AL$4010,MATCH(895,$AZ$11:$AZ$4010,0)),""))</f>
        <v/>
      </c>
      <c r="AE905" s="12" t="str">
        <f>IFERROR(INDEX($AM$11:$AM$4010,MATCH(895,$AZ$11:$AZ$4010,0)),"")</f>
        <v/>
      </c>
      <c r="AF905" s="11" t="str">
        <f>IF(AE905="","",IFERROR(INDEX($AN$11:$AN$4010,MATCH(895,$AZ$11:$AZ$4010,0)),""))</f>
        <v/>
      </c>
      <c r="AG905" s="11" t="str">
        <f>IF(AE905="","",IFERROR(INDEX($AO$11:$AO$4010,MATCH(895,$AZ$11:$AZ$4010,0)),""))</f>
        <v/>
      </c>
      <c r="AH905" s="10" t="str">
        <f>IF(AE905="","",IFERROR(INDEX($AQ$11:$AQ$4010,MATCH(895,$AZ$11:$AZ$4010,0)),""))</f>
        <v/>
      </c>
      <c r="AI905" s="15" t="str">
        <f>IF(AE905="","",IFERROR(INDEX($AR$11:$AR$4010,MATCH(895,$AZ$11:$AZ$4010,0)),""))</f>
        <v/>
      </c>
      <c r="AJ905" s="15" t="str">
        <f>IF(AE905="","",IFERROR(INDEX($AT$11:$AT$4010,MATCH(895,$AZ$11:$AZ$4010,0)),""))</f>
        <v/>
      </c>
      <c r="AL905" s="17"/>
      <c r="AM905" s="12"/>
      <c r="AN905" s="18"/>
      <c r="AO905" s="18"/>
      <c r="AP905" s="10"/>
      <c r="AQ905" s="10"/>
      <c r="AR905" s="19"/>
      <c r="AS905" s="20"/>
      <c r="AT905" s="19"/>
      <c r="AV905" s="21">
        <f>IF(AND($AL905&lt;&gt;"",COUNTIF($AL$11:$AL905,$AL905)=1),1,0)</f>
        <v>0</v>
      </c>
      <c r="AW905" s="21">
        <f t="shared" si="113"/>
        <v>0</v>
      </c>
      <c r="AX905" s="21" t="str">
        <f t="shared" si="112"/>
        <v/>
      </c>
      <c r="AY905" s="21" t="str">
        <f>IF(AND($AM905&lt;&gt;"",$AS905&lt;&gt;"✓"),SUMPRODUCT(($AM$11:$AM905&lt;&gt;"")*($AS$11:$AS905&lt;&gt;"✓")),"")</f>
        <v/>
      </c>
      <c r="AZ905" s="21" t="str">
        <f>IF(AND($AM905&lt;&gt;"",$AS905="✓"),SUMPRODUCT(($AM$11:$AM905&lt;&gt;"")*($AS$11:$AS905="✓")),"")</f>
        <v/>
      </c>
      <c r="BA905" s="21" t="str">
        <f>IF($AL905="","",$AL905&amp;"|"&amp;COUNTIF($AL$11:$AL905,$AL905))</f>
        <v/>
      </c>
    </row>
    <row r="906" spans="23:53" ht="15" customHeight="1" x14ac:dyDescent="0.25">
      <c r="W906" s="28" t="str">
        <f>IF(X906="","",IFERROR(INDEX($AL$11:$AL$4010,MATCH(896,$AY$11:$AY$4010,0)),""))</f>
        <v/>
      </c>
      <c r="X906" s="26" t="str">
        <f>IFERROR(INDEX($AM$11:$AM$4010,MATCH(896,$AY$11:$AY$4010,0)),"")</f>
        <v/>
      </c>
      <c r="Y906" s="25" t="str">
        <f>IF(X906="","",IFERROR(INDEX($AN$11:$AN$4010,MATCH(896,$AY$11:$AY$4010,0)),""))</f>
        <v/>
      </c>
      <c r="Z906" s="25" t="str">
        <f>IF(X906="","",IFERROR(INDEX($AO$11:$AO$4010,MATCH(896,$AY$11:$AY$4010,0)),""))</f>
        <v/>
      </c>
      <c r="AA906" s="24" t="str">
        <f>IF(X906="","",IFERROR(INDEX($AQ$11:$AQ$4010,MATCH(896,$AY$11:$AY$4010,0)),""))</f>
        <v/>
      </c>
      <c r="AB906" s="29" t="str">
        <f>IF(X906="","",IFERROR(INDEX($AR$11:$AR$4010,MATCH(896,$AY$11:$AY$4010,0)),""))</f>
        <v/>
      </c>
      <c r="AD906" s="30" t="str">
        <f>IF(AE906="","",IFERROR(INDEX($AL$11:$AL$4010,MATCH(896,$AZ$11:$AZ$4010,0)),""))</f>
        <v/>
      </c>
      <c r="AE906" s="26" t="str">
        <f>IFERROR(INDEX($AM$11:$AM$4010,MATCH(896,$AZ$11:$AZ$4010,0)),"")</f>
        <v/>
      </c>
      <c r="AF906" s="25" t="str">
        <f>IF(AE906="","",IFERROR(INDEX($AN$11:$AN$4010,MATCH(896,$AZ$11:$AZ$4010,0)),""))</f>
        <v/>
      </c>
      <c r="AG906" s="25" t="str">
        <f>IF(AE906="","",IFERROR(INDEX($AO$11:$AO$4010,MATCH(896,$AZ$11:$AZ$4010,0)),""))</f>
        <v/>
      </c>
      <c r="AH906" s="24" t="str">
        <f>IF(AE906="","",IFERROR(INDEX($AQ$11:$AQ$4010,MATCH(896,$AZ$11:$AZ$4010,0)),""))</f>
        <v/>
      </c>
      <c r="AI906" s="29" t="str">
        <f>IF(AE906="","",IFERROR(INDEX($AR$11:$AR$4010,MATCH(896,$AZ$11:$AZ$4010,0)),""))</f>
        <v/>
      </c>
      <c r="AJ906" s="29" t="str">
        <f>IF(AE906="","",IFERROR(INDEX($AT$11:$AT$4010,MATCH(896,$AZ$11:$AZ$4010,0)),""))</f>
        <v/>
      </c>
      <c r="AL906" s="31"/>
      <c r="AM906" s="26"/>
      <c r="AN906" s="32"/>
      <c r="AO906" s="32"/>
      <c r="AP906" s="24"/>
      <c r="AQ906" s="24"/>
      <c r="AR906" s="33"/>
      <c r="AS906" s="34"/>
      <c r="AT906" s="33"/>
      <c r="AV906" s="21">
        <f>IF(AND($AL906&lt;&gt;"",COUNTIF($AL$11:$AL906,$AL906)=1),1,0)</f>
        <v>0</v>
      </c>
      <c r="AW906" s="21">
        <f t="shared" si="113"/>
        <v>0</v>
      </c>
      <c r="AX906" s="21" t="str">
        <f t="shared" si="112"/>
        <v/>
      </c>
      <c r="AY906" s="21" t="str">
        <f>IF(AND($AM906&lt;&gt;"",$AS906&lt;&gt;"✓"),SUMPRODUCT(($AM$11:$AM906&lt;&gt;"")*($AS$11:$AS906&lt;&gt;"✓")),"")</f>
        <v/>
      </c>
      <c r="AZ906" s="21" t="str">
        <f>IF(AND($AM906&lt;&gt;"",$AS906="✓"),SUMPRODUCT(($AM$11:$AM906&lt;&gt;"")*($AS$11:$AS906="✓")),"")</f>
        <v/>
      </c>
      <c r="BA906" s="21" t="str">
        <f>IF($AL906="","",$AL906&amp;"|"&amp;COUNTIF($AL$11:$AL906,$AL906))</f>
        <v/>
      </c>
    </row>
    <row r="907" spans="23:53" ht="15" customHeight="1" x14ac:dyDescent="0.25">
      <c r="W907" s="14" t="str">
        <f>IF(X907="","",IFERROR(INDEX($AL$11:$AL$4010,MATCH(897,$AY$11:$AY$4010,0)),""))</f>
        <v/>
      </c>
      <c r="X907" s="12" t="str">
        <f>IFERROR(INDEX($AM$11:$AM$4010,MATCH(897,$AY$11:$AY$4010,0)),"")</f>
        <v/>
      </c>
      <c r="Y907" s="11" t="str">
        <f>IF(X907="","",IFERROR(INDEX($AN$11:$AN$4010,MATCH(897,$AY$11:$AY$4010,0)),""))</f>
        <v/>
      </c>
      <c r="Z907" s="11" t="str">
        <f>IF(X907="","",IFERROR(INDEX($AO$11:$AO$4010,MATCH(897,$AY$11:$AY$4010,0)),""))</f>
        <v/>
      </c>
      <c r="AA907" s="10" t="str">
        <f>IF(X907="","",IFERROR(INDEX($AQ$11:$AQ$4010,MATCH(897,$AY$11:$AY$4010,0)),""))</f>
        <v/>
      </c>
      <c r="AB907" s="15" t="str">
        <f>IF(X907="","",IFERROR(INDEX($AR$11:$AR$4010,MATCH(897,$AY$11:$AY$4010,0)),""))</f>
        <v/>
      </c>
      <c r="AD907" s="16" t="str">
        <f>IF(AE907="","",IFERROR(INDEX($AL$11:$AL$4010,MATCH(897,$AZ$11:$AZ$4010,0)),""))</f>
        <v/>
      </c>
      <c r="AE907" s="12" t="str">
        <f>IFERROR(INDEX($AM$11:$AM$4010,MATCH(897,$AZ$11:$AZ$4010,0)),"")</f>
        <v/>
      </c>
      <c r="AF907" s="11" t="str">
        <f>IF(AE907="","",IFERROR(INDEX($AN$11:$AN$4010,MATCH(897,$AZ$11:$AZ$4010,0)),""))</f>
        <v/>
      </c>
      <c r="AG907" s="11" t="str">
        <f>IF(AE907="","",IFERROR(INDEX($AO$11:$AO$4010,MATCH(897,$AZ$11:$AZ$4010,0)),""))</f>
        <v/>
      </c>
      <c r="AH907" s="10" t="str">
        <f>IF(AE907="","",IFERROR(INDEX($AQ$11:$AQ$4010,MATCH(897,$AZ$11:$AZ$4010,0)),""))</f>
        <v/>
      </c>
      <c r="AI907" s="15" t="str">
        <f>IF(AE907="","",IFERROR(INDEX($AR$11:$AR$4010,MATCH(897,$AZ$11:$AZ$4010,0)),""))</f>
        <v/>
      </c>
      <c r="AJ907" s="15" t="str">
        <f>IF(AE907="","",IFERROR(INDEX($AT$11:$AT$4010,MATCH(897,$AZ$11:$AZ$4010,0)),""))</f>
        <v/>
      </c>
      <c r="AL907" s="17"/>
      <c r="AM907" s="12"/>
      <c r="AN907" s="18"/>
      <c r="AO907" s="18"/>
      <c r="AP907" s="10"/>
      <c r="AQ907" s="10"/>
      <c r="AR907" s="19"/>
      <c r="AS907" s="20"/>
      <c r="AT907" s="19"/>
      <c r="AV907" s="21">
        <f>IF(AND($AL907&lt;&gt;"",COUNTIF($AL$11:$AL907,$AL907)=1),1,0)</f>
        <v>0</v>
      </c>
      <c r="AW907" s="21">
        <f t="shared" si="113"/>
        <v>0</v>
      </c>
      <c r="AX907" s="21" t="str">
        <f t="shared" ref="AX907:AX970" si="114">IF(AV907=1,AW907,"")</f>
        <v/>
      </c>
      <c r="AY907" s="21" t="str">
        <f>IF(AND($AM907&lt;&gt;"",$AS907&lt;&gt;"✓"),SUMPRODUCT(($AM$11:$AM907&lt;&gt;"")*($AS$11:$AS907&lt;&gt;"✓")),"")</f>
        <v/>
      </c>
      <c r="AZ907" s="21" t="str">
        <f>IF(AND($AM907&lt;&gt;"",$AS907="✓"),SUMPRODUCT(($AM$11:$AM907&lt;&gt;"")*($AS$11:$AS907="✓")),"")</f>
        <v/>
      </c>
      <c r="BA907" s="21" t="str">
        <f>IF($AL907="","",$AL907&amp;"|"&amp;COUNTIF($AL$11:$AL907,$AL907))</f>
        <v/>
      </c>
    </row>
    <row r="908" spans="23:53" ht="15" customHeight="1" x14ac:dyDescent="0.25">
      <c r="W908" s="28" t="str">
        <f>IF(X908="","",IFERROR(INDEX($AL$11:$AL$4010,MATCH(898,$AY$11:$AY$4010,0)),""))</f>
        <v/>
      </c>
      <c r="X908" s="26" t="str">
        <f>IFERROR(INDEX($AM$11:$AM$4010,MATCH(898,$AY$11:$AY$4010,0)),"")</f>
        <v/>
      </c>
      <c r="Y908" s="25" t="str">
        <f>IF(X908="","",IFERROR(INDEX($AN$11:$AN$4010,MATCH(898,$AY$11:$AY$4010,0)),""))</f>
        <v/>
      </c>
      <c r="Z908" s="25" t="str">
        <f>IF(X908="","",IFERROR(INDEX($AO$11:$AO$4010,MATCH(898,$AY$11:$AY$4010,0)),""))</f>
        <v/>
      </c>
      <c r="AA908" s="24" t="str">
        <f>IF(X908="","",IFERROR(INDEX($AQ$11:$AQ$4010,MATCH(898,$AY$11:$AY$4010,0)),""))</f>
        <v/>
      </c>
      <c r="AB908" s="29" t="str">
        <f>IF(X908="","",IFERROR(INDEX($AR$11:$AR$4010,MATCH(898,$AY$11:$AY$4010,0)),""))</f>
        <v/>
      </c>
      <c r="AD908" s="30" t="str">
        <f>IF(AE908="","",IFERROR(INDEX($AL$11:$AL$4010,MATCH(898,$AZ$11:$AZ$4010,0)),""))</f>
        <v/>
      </c>
      <c r="AE908" s="26" t="str">
        <f>IFERROR(INDEX($AM$11:$AM$4010,MATCH(898,$AZ$11:$AZ$4010,0)),"")</f>
        <v/>
      </c>
      <c r="AF908" s="25" t="str">
        <f>IF(AE908="","",IFERROR(INDEX($AN$11:$AN$4010,MATCH(898,$AZ$11:$AZ$4010,0)),""))</f>
        <v/>
      </c>
      <c r="AG908" s="25" t="str">
        <f>IF(AE908="","",IFERROR(INDEX($AO$11:$AO$4010,MATCH(898,$AZ$11:$AZ$4010,0)),""))</f>
        <v/>
      </c>
      <c r="AH908" s="24" t="str">
        <f>IF(AE908="","",IFERROR(INDEX($AQ$11:$AQ$4010,MATCH(898,$AZ$11:$AZ$4010,0)),""))</f>
        <v/>
      </c>
      <c r="AI908" s="29" t="str">
        <f>IF(AE908="","",IFERROR(INDEX($AR$11:$AR$4010,MATCH(898,$AZ$11:$AZ$4010,0)),""))</f>
        <v/>
      </c>
      <c r="AJ908" s="29" t="str">
        <f>IF(AE908="","",IFERROR(INDEX($AT$11:$AT$4010,MATCH(898,$AZ$11:$AZ$4010,0)),""))</f>
        <v/>
      </c>
      <c r="AL908" s="31"/>
      <c r="AM908" s="26"/>
      <c r="AN908" s="32"/>
      <c r="AO908" s="32"/>
      <c r="AP908" s="24"/>
      <c r="AQ908" s="24"/>
      <c r="AR908" s="33"/>
      <c r="AS908" s="34"/>
      <c r="AT908" s="33"/>
      <c r="AV908" s="21">
        <f>IF(AND($AL908&lt;&gt;"",COUNTIF($AL$11:$AL908,$AL908)=1),1,0)</f>
        <v>0</v>
      </c>
      <c r="AW908" s="21">
        <f t="shared" ref="AW908:AW971" si="115">AW907+AV908</f>
        <v>0</v>
      </c>
      <c r="AX908" s="21" t="str">
        <f t="shared" si="114"/>
        <v/>
      </c>
      <c r="AY908" s="21" t="str">
        <f>IF(AND($AM908&lt;&gt;"",$AS908&lt;&gt;"✓"),SUMPRODUCT(($AM$11:$AM908&lt;&gt;"")*($AS$11:$AS908&lt;&gt;"✓")),"")</f>
        <v/>
      </c>
      <c r="AZ908" s="21" t="str">
        <f>IF(AND($AM908&lt;&gt;"",$AS908="✓"),SUMPRODUCT(($AM$11:$AM908&lt;&gt;"")*($AS$11:$AS908="✓")),"")</f>
        <v/>
      </c>
      <c r="BA908" s="21" t="str">
        <f>IF($AL908="","",$AL908&amp;"|"&amp;COUNTIF($AL$11:$AL908,$AL908))</f>
        <v/>
      </c>
    </row>
    <row r="909" spans="23:53" ht="15" customHeight="1" x14ac:dyDescent="0.25">
      <c r="W909" s="14" t="str">
        <f>IF(X909="","",IFERROR(INDEX($AL$11:$AL$4010,MATCH(899,$AY$11:$AY$4010,0)),""))</f>
        <v/>
      </c>
      <c r="X909" s="12" t="str">
        <f>IFERROR(INDEX($AM$11:$AM$4010,MATCH(899,$AY$11:$AY$4010,0)),"")</f>
        <v/>
      </c>
      <c r="Y909" s="11" t="str">
        <f>IF(X909="","",IFERROR(INDEX($AN$11:$AN$4010,MATCH(899,$AY$11:$AY$4010,0)),""))</f>
        <v/>
      </c>
      <c r="Z909" s="11" t="str">
        <f>IF(X909="","",IFERROR(INDEX($AO$11:$AO$4010,MATCH(899,$AY$11:$AY$4010,0)),""))</f>
        <v/>
      </c>
      <c r="AA909" s="10" t="str">
        <f>IF(X909="","",IFERROR(INDEX($AQ$11:$AQ$4010,MATCH(899,$AY$11:$AY$4010,0)),""))</f>
        <v/>
      </c>
      <c r="AB909" s="15" t="str">
        <f>IF(X909="","",IFERROR(INDEX($AR$11:$AR$4010,MATCH(899,$AY$11:$AY$4010,0)),""))</f>
        <v/>
      </c>
      <c r="AD909" s="16" t="str">
        <f>IF(AE909="","",IFERROR(INDEX($AL$11:$AL$4010,MATCH(899,$AZ$11:$AZ$4010,0)),""))</f>
        <v/>
      </c>
      <c r="AE909" s="12" t="str">
        <f>IFERROR(INDEX($AM$11:$AM$4010,MATCH(899,$AZ$11:$AZ$4010,0)),"")</f>
        <v/>
      </c>
      <c r="AF909" s="11" t="str">
        <f>IF(AE909="","",IFERROR(INDEX($AN$11:$AN$4010,MATCH(899,$AZ$11:$AZ$4010,0)),""))</f>
        <v/>
      </c>
      <c r="AG909" s="11" t="str">
        <f>IF(AE909="","",IFERROR(INDEX($AO$11:$AO$4010,MATCH(899,$AZ$11:$AZ$4010,0)),""))</f>
        <v/>
      </c>
      <c r="AH909" s="10" t="str">
        <f>IF(AE909="","",IFERROR(INDEX($AQ$11:$AQ$4010,MATCH(899,$AZ$11:$AZ$4010,0)),""))</f>
        <v/>
      </c>
      <c r="AI909" s="15" t="str">
        <f>IF(AE909="","",IFERROR(INDEX($AR$11:$AR$4010,MATCH(899,$AZ$11:$AZ$4010,0)),""))</f>
        <v/>
      </c>
      <c r="AJ909" s="15" t="str">
        <f>IF(AE909="","",IFERROR(INDEX($AT$11:$AT$4010,MATCH(899,$AZ$11:$AZ$4010,0)),""))</f>
        <v/>
      </c>
      <c r="AL909" s="17"/>
      <c r="AM909" s="12"/>
      <c r="AN909" s="18"/>
      <c r="AO909" s="18"/>
      <c r="AP909" s="10"/>
      <c r="AQ909" s="10"/>
      <c r="AR909" s="19"/>
      <c r="AS909" s="20"/>
      <c r="AT909" s="19"/>
      <c r="AV909" s="21">
        <f>IF(AND($AL909&lt;&gt;"",COUNTIF($AL$11:$AL909,$AL909)=1),1,0)</f>
        <v>0</v>
      </c>
      <c r="AW909" s="21">
        <f t="shared" si="115"/>
        <v>0</v>
      </c>
      <c r="AX909" s="21" t="str">
        <f t="shared" si="114"/>
        <v/>
      </c>
      <c r="AY909" s="21" t="str">
        <f>IF(AND($AM909&lt;&gt;"",$AS909&lt;&gt;"✓"),SUMPRODUCT(($AM$11:$AM909&lt;&gt;"")*($AS$11:$AS909&lt;&gt;"✓")),"")</f>
        <v/>
      </c>
      <c r="AZ909" s="21" t="str">
        <f>IF(AND($AM909&lt;&gt;"",$AS909="✓"),SUMPRODUCT(($AM$11:$AM909&lt;&gt;"")*($AS$11:$AS909="✓")),"")</f>
        <v/>
      </c>
      <c r="BA909" s="21" t="str">
        <f>IF($AL909="","",$AL909&amp;"|"&amp;COUNTIF($AL$11:$AL909,$AL909))</f>
        <v/>
      </c>
    </row>
    <row r="910" spans="23:53" ht="15" customHeight="1" x14ac:dyDescent="0.25">
      <c r="W910" s="28" t="str">
        <f>IF(X910="","",IFERROR(INDEX($AL$11:$AL$4010,MATCH(900,$AY$11:$AY$4010,0)),""))</f>
        <v/>
      </c>
      <c r="X910" s="26" t="str">
        <f>IFERROR(INDEX($AM$11:$AM$4010,MATCH(900,$AY$11:$AY$4010,0)),"")</f>
        <v/>
      </c>
      <c r="Y910" s="25" t="str">
        <f>IF(X910="","",IFERROR(INDEX($AN$11:$AN$4010,MATCH(900,$AY$11:$AY$4010,0)),""))</f>
        <v/>
      </c>
      <c r="Z910" s="25" t="str">
        <f>IF(X910="","",IFERROR(INDEX($AO$11:$AO$4010,MATCH(900,$AY$11:$AY$4010,0)),""))</f>
        <v/>
      </c>
      <c r="AA910" s="24" t="str">
        <f>IF(X910="","",IFERROR(INDEX($AQ$11:$AQ$4010,MATCH(900,$AY$11:$AY$4010,0)),""))</f>
        <v/>
      </c>
      <c r="AB910" s="29" t="str">
        <f>IF(X910="","",IFERROR(INDEX($AR$11:$AR$4010,MATCH(900,$AY$11:$AY$4010,0)),""))</f>
        <v/>
      </c>
      <c r="AD910" s="30" t="str">
        <f>IF(AE910="","",IFERROR(INDEX($AL$11:$AL$4010,MATCH(900,$AZ$11:$AZ$4010,0)),""))</f>
        <v/>
      </c>
      <c r="AE910" s="26" t="str">
        <f>IFERROR(INDEX($AM$11:$AM$4010,MATCH(900,$AZ$11:$AZ$4010,0)),"")</f>
        <v/>
      </c>
      <c r="AF910" s="25" t="str">
        <f>IF(AE910="","",IFERROR(INDEX($AN$11:$AN$4010,MATCH(900,$AZ$11:$AZ$4010,0)),""))</f>
        <v/>
      </c>
      <c r="AG910" s="25" t="str">
        <f>IF(AE910="","",IFERROR(INDEX($AO$11:$AO$4010,MATCH(900,$AZ$11:$AZ$4010,0)),""))</f>
        <v/>
      </c>
      <c r="AH910" s="24" t="str">
        <f>IF(AE910="","",IFERROR(INDEX($AQ$11:$AQ$4010,MATCH(900,$AZ$11:$AZ$4010,0)),""))</f>
        <v/>
      </c>
      <c r="AI910" s="29" t="str">
        <f>IF(AE910="","",IFERROR(INDEX($AR$11:$AR$4010,MATCH(900,$AZ$11:$AZ$4010,0)),""))</f>
        <v/>
      </c>
      <c r="AJ910" s="29" t="str">
        <f>IF(AE910="","",IFERROR(INDEX($AT$11:$AT$4010,MATCH(900,$AZ$11:$AZ$4010,0)),""))</f>
        <v/>
      </c>
      <c r="AL910" s="31"/>
      <c r="AM910" s="26"/>
      <c r="AN910" s="32"/>
      <c r="AO910" s="32"/>
      <c r="AP910" s="24"/>
      <c r="AQ910" s="24"/>
      <c r="AR910" s="33"/>
      <c r="AS910" s="34"/>
      <c r="AT910" s="33"/>
      <c r="AV910" s="21">
        <f>IF(AND($AL910&lt;&gt;"",COUNTIF($AL$11:$AL910,$AL910)=1),1,0)</f>
        <v>0</v>
      </c>
      <c r="AW910" s="21">
        <f t="shared" si="115"/>
        <v>0</v>
      </c>
      <c r="AX910" s="21" t="str">
        <f t="shared" si="114"/>
        <v/>
      </c>
      <c r="AY910" s="21" t="str">
        <f>IF(AND($AM910&lt;&gt;"",$AS910&lt;&gt;"✓"),SUMPRODUCT(($AM$11:$AM910&lt;&gt;"")*($AS$11:$AS910&lt;&gt;"✓")),"")</f>
        <v/>
      </c>
      <c r="AZ910" s="21" t="str">
        <f>IF(AND($AM910&lt;&gt;"",$AS910="✓"),SUMPRODUCT(($AM$11:$AM910&lt;&gt;"")*($AS$11:$AS910="✓")),"")</f>
        <v/>
      </c>
      <c r="BA910" s="21" t="str">
        <f>IF($AL910="","",$AL910&amp;"|"&amp;COUNTIF($AL$11:$AL910,$AL910))</f>
        <v/>
      </c>
    </row>
    <row r="911" spans="23:53" ht="15" customHeight="1" x14ac:dyDescent="0.25">
      <c r="W911" s="14" t="str">
        <f>IF(X911="","",IFERROR(INDEX($AL$11:$AL$4010,MATCH(901,$AY$11:$AY$4010,0)),""))</f>
        <v/>
      </c>
      <c r="X911" s="12" t="str">
        <f>IFERROR(INDEX($AM$11:$AM$4010,MATCH(901,$AY$11:$AY$4010,0)),"")</f>
        <v/>
      </c>
      <c r="Y911" s="11" t="str">
        <f>IF(X911="","",IFERROR(INDEX($AN$11:$AN$4010,MATCH(901,$AY$11:$AY$4010,0)),""))</f>
        <v/>
      </c>
      <c r="Z911" s="11" t="str">
        <f>IF(X911="","",IFERROR(INDEX($AO$11:$AO$4010,MATCH(901,$AY$11:$AY$4010,0)),""))</f>
        <v/>
      </c>
      <c r="AA911" s="10" t="str">
        <f>IF(X911="","",IFERROR(INDEX($AQ$11:$AQ$4010,MATCH(901,$AY$11:$AY$4010,0)),""))</f>
        <v/>
      </c>
      <c r="AB911" s="15" t="str">
        <f>IF(X911="","",IFERROR(INDEX($AR$11:$AR$4010,MATCH(901,$AY$11:$AY$4010,0)),""))</f>
        <v/>
      </c>
      <c r="AD911" s="16" t="str">
        <f>IF(AE911="","",IFERROR(INDEX($AL$11:$AL$4010,MATCH(901,$AZ$11:$AZ$4010,0)),""))</f>
        <v/>
      </c>
      <c r="AE911" s="12" t="str">
        <f>IFERROR(INDEX($AM$11:$AM$4010,MATCH(901,$AZ$11:$AZ$4010,0)),"")</f>
        <v/>
      </c>
      <c r="AF911" s="11" t="str">
        <f>IF(AE911="","",IFERROR(INDEX($AN$11:$AN$4010,MATCH(901,$AZ$11:$AZ$4010,0)),""))</f>
        <v/>
      </c>
      <c r="AG911" s="11" t="str">
        <f>IF(AE911="","",IFERROR(INDEX($AO$11:$AO$4010,MATCH(901,$AZ$11:$AZ$4010,0)),""))</f>
        <v/>
      </c>
      <c r="AH911" s="10" t="str">
        <f>IF(AE911="","",IFERROR(INDEX($AQ$11:$AQ$4010,MATCH(901,$AZ$11:$AZ$4010,0)),""))</f>
        <v/>
      </c>
      <c r="AI911" s="15" t="str">
        <f>IF(AE911="","",IFERROR(INDEX($AR$11:$AR$4010,MATCH(901,$AZ$11:$AZ$4010,0)),""))</f>
        <v/>
      </c>
      <c r="AJ911" s="15" t="str">
        <f>IF(AE911="","",IFERROR(INDEX($AT$11:$AT$4010,MATCH(901,$AZ$11:$AZ$4010,0)),""))</f>
        <v/>
      </c>
      <c r="AL911" s="17"/>
      <c r="AM911" s="12"/>
      <c r="AN911" s="18"/>
      <c r="AO911" s="18"/>
      <c r="AP911" s="10"/>
      <c r="AQ911" s="10"/>
      <c r="AR911" s="19"/>
      <c r="AS911" s="20"/>
      <c r="AT911" s="19"/>
      <c r="AV911" s="21">
        <f>IF(AND($AL911&lt;&gt;"",COUNTIF($AL$11:$AL911,$AL911)=1),1,0)</f>
        <v>0</v>
      </c>
      <c r="AW911" s="21">
        <f t="shared" si="115"/>
        <v>0</v>
      </c>
      <c r="AX911" s="21" t="str">
        <f t="shared" si="114"/>
        <v/>
      </c>
      <c r="AY911" s="21" t="str">
        <f>IF(AND($AM911&lt;&gt;"",$AS911&lt;&gt;"✓"),SUMPRODUCT(($AM$11:$AM911&lt;&gt;"")*($AS$11:$AS911&lt;&gt;"✓")),"")</f>
        <v/>
      </c>
      <c r="AZ911" s="21" t="str">
        <f>IF(AND($AM911&lt;&gt;"",$AS911="✓"),SUMPRODUCT(($AM$11:$AM911&lt;&gt;"")*($AS$11:$AS911="✓")),"")</f>
        <v/>
      </c>
      <c r="BA911" s="21" t="str">
        <f>IF($AL911="","",$AL911&amp;"|"&amp;COUNTIF($AL$11:$AL911,$AL911))</f>
        <v/>
      </c>
    </row>
    <row r="912" spans="23:53" ht="15" customHeight="1" x14ac:dyDescent="0.25">
      <c r="W912" s="28" t="str">
        <f>IF(X912="","",IFERROR(INDEX($AL$11:$AL$4010,MATCH(902,$AY$11:$AY$4010,0)),""))</f>
        <v/>
      </c>
      <c r="X912" s="26" t="str">
        <f>IFERROR(INDEX($AM$11:$AM$4010,MATCH(902,$AY$11:$AY$4010,0)),"")</f>
        <v/>
      </c>
      <c r="Y912" s="25" t="str">
        <f>IF(X912="","",IFERROR(INDEX($AN$11:$AN$4010,MATCH(902,$AY$11:$AY$4010,0)),""))</f>
        <v/>
      </c>
      <c r="Z912" s="25" t="str">
        <f>IF(X912="","",IFERROR(INDEX($AO$11:$AO$4010,MATCH(902,$AY$11:$AY$4010,0)),""))</f>
        <v/>
      </c>
      <c r="AA912" s="24" t="str">
        <f>IF(X912="","",IFERROR(INDEX($AQ$11:$AQ$4010,MATCH(902,$AY$11:$AY$4010,0)),""))</f>
        <v/>
      </c>
      <c r="AB912" s="29" t="str">
        <f>IF(X912="","",IFERROR(INDEX($AR$11:$AR$4010,MATCH(902,$AY$11:$AY$4010,0)),""))</f>
        <v/>
      </c>
      <c r="AD912" s="30" t="str">
        <f>IF(AE912="","",IFERROR(INDEX($AL$11:$AL$4010,MATCH(902,$AZ$11:$AZ$4010,0)),""))</f>
        <v/>
      </c>
      <c r="AE912" s="26" t="str">
        <f>IFERROR(INDEX($AM$11:$AM$4010,MATCH(902,$AZ$11:$AZ$4010,0)),"")</f>
        <v/>
      </c>
      <c r="AF912" s="25" t="str">
        <f>IF(AE912="","",IFERROR(INDEX($AN$11:$AN$4010,MATCH(902,$AZ$11:$AZ$4010,0)),""))</f>
        <v/>
      </c>
      <c r="AG912" s="25" t="str">
        <f>IF(AE912="","",IFERROR(INDEX($AO$11:$AO$4010,MATCH(902,$AZ$11:$AZ$4010,0)),""))</f>
        <v/>
      </c>
      <c r="AH912" s="24" t="str">
        <f>IF(AE912="","",IFERROR(INDEX($AQ$11:$AQ$4010,MATCH(902,$AZ$11:$AZ$4010,0)),""))</f>
        <v/>
      </c>
      <c r="AI912" s="29" t="str">
        <f>IF(AE912="","",IFERROR(INDEX($AR$11:$AR$4010,MATCH(902,$AZ$11:$AZ$4010,0)),""))</f>
        <v/>
      </c>
      <c r="AJ912" s="29" t="str">
        <f>IF(AE912="","",IFERROR(INDEX($AT$11:$AT$4010,MATCH(902,$AZ$11:$AZ$4010,0)),""))</f>
        <v/>
      </c>
      <c r="AL912" s="31"/>
      <c r="AM912" s="26"/>
      <c r="AN912" s="32"/>
      <c r="AO912" s="32"/>
      <c r="AP912" s="24"/>
      <c r="AQ912" s="24"/>
      <c r="AR912" s="33"/>
      <c r="AS912" s="34"/>
      <c r="AT912" s="33"/>
      <c r="AV912" s="21">
        <f>IF(AND($AL912&lt;&gt;"",COUNTIF($AL$11:$AL912,$AL912)=1),1,0)</f>
        <v>0</v>
      </c>
      <c r="AW912" s="21">
        <f t="shared" si="115"/>
        <v>0</v>
      </c>
      <c r="AX912" s="21" t="str">
        <f t="shared" si="114"/>
        <v/>
      </c>
      <c r="AY912" s="21" t="str">
        <f>IF(AND($AM912&lt;&gt;"",$AS912&lt;&gt;"✓"),SUMPRODUCT(($AM$11:$AM912&lt;&gt;"")*($AS$11:$AS912&lt;&gt;"✓")),"")</f>
        <v/>
      </c>
      <c r="AZ912" s="21" t="str">
        <f>IF(AND($AM912&lt;&gt;"",$AS912="✓"),SUMPRODUCT(($AM$11:$AM912&lt;&gt;"")*($AS$11:$AS912="✓")),"")</f>
        <v/>
      </c>
      <c r="BA912" s="21" t="str">
        <f>IF($AL912="","",$AL912&amp;"|"&amp;COUNTIF($AL$11:$AL912,$AL912))</f>
        <v/>
      </c>
    </row>
    <row r="913" spans="23:53" ht="15" customHeight="1" x14ac:dyDescent="0.25">
      <c r="W913" s="14" t="str">
        <f>IF(X913="","",IFERROR(INDEX($AL$11:$AL$4010,MATCH(903,$AY$11:$AY$4010,0)),""))</f>
        <v/>
      </c>
      <c r="X913" s="12" t="str">
        <f>IFERROR(INDEX($AM$11:$AM$4010,MATCH(903,$AY$11:$AY$4010,0)),"")</f>
        <v/>
      </c>
      <c r="Y913" s="11" t="str">
        <f>IF(X913="","",IFERROR(INDEX($AN$11:$AN$4010,MATCH(903,$AY$11:$AY$4010,0)),""))</f>
        <v/>
      </c>
      <c r="Z913" s="11" t="str">
        <f>IF(X913="","",IFERROR(INDEX($AO$11:$AO$4010,MATCH(903,$AY$11:$AY$4010,0)),""))</f>
        <v/>
      </c>
      <c r="AA913" s="10" t="str">
        <f>IF(X913="","",IFERROR(INDEX($AQ$11:$AQ$4010,MATCH(903,$AY$11:$AY$4010,0)),""))</f>
        <v/>
      </c>
      <c r="AB913" s="15" t="str">
        <f>IF(X913="","",IFERROR(INDEX($AR$11:$AR$4010,MATCH(903,$AY$11:$AY$4010,0)),""))</f>
        <v/>
      </c>
      <c r="AD913" s="16" t="str">
        <f>IF(AE913="","",IFERROR(INDEX($AL$11:$AL$4010,MATCH(903,$AZ$11:$AZ$4010,0)),""))</f>
        <v/>
      </c>
      <c r="AE913" s="12" t="str">
        <f>IFERROR(INDEX($AM$11:$AM$4010,MATCH(903,$AZ$11:$AZ$4010,0)),"")</f>
        <v/>
      </c>
      <c r="AF913" s="11" t="str">
        <f>IF(AE913="","",IFERROR(INDEX($AN$11:$AN$4010,MATCH(903,$AZ$11:$AZ$4010,0)),""))</f>
        <v/>
      </c>
      <c r="AG913" s="11" t="str">
        <f>IF(AE913="","",IFERROR(INDEX($AO$11:$AO$4010,MATCH(903,$AZ$11:$AZ$4010,0)),""))</f>
        <v/>
      </c>
      <c r="AH913" s="10" t="str">
        <f>IF(AE913="","",IFERROR(INDEX($AQ$11:$AQ$4010,MATCH(903,$AZ$11:$AZ$4010,0)),""))</f>
        <v/>
      </c>
      <c r="AI913" s="15" t="str">
        <f>IF(AE913="","",IFERROR(INDEX($AR$11:$AR$4010,MATCH(903,$AZ$11:$AZ$4010,0)),""))</f>
        <v/>
      </c>
      <c r="AJ913" s="15" t="str">
        <f>IF(AE913="","",IFERROR(INDEX($AT$11:$AT$4010,MATCH(903,$AZ$11:$AZ$4010,0)),""))</f>
        <v/>
      </c>
      <c r="AL913" s="17"/>
      <c r="AM913" s="12"/>
      <c r="AN913" s="18"/>
      <c r="AO913" s="18"/>
      <c r="AP913" s="10"/>
      <c r="AQ913" s="10"/>
      <c r="AR913" s="19"/>
      <c r="AS913" s="20"/>
      <c r="AT913" s="19"/>
      <c r="AV913" s="21">
        <f>IF(AND($AL913&lt;&gt;"",COUNTIF($AL$11:$AL913,$AL913)=1),1,0)</f>
        <v>0</v>
      </c>
      <c r="AW913" s="21">
        <f t="shared" si="115"/>
        <v>0</v>
      </c>
      <c r="AX913" s="21" t="str">
        <f t="shared" si="114"/>
        <v/>
      </c>
      <c r="AY913" s="21" t="str">
        <f>IF(AND($AM913&lt;&gt;"",$AS913&lt;&gt;"✓"),SUMPRODUCT(($AM$11:$AM913&lt;&gt;"")*($AS$11:$AS913&lt;&gt;"✓")),"")</f>
        <v/>
      </c>
      <c r="AZ913" s="21" t="str">
        <f>IF(AND($AM913&lt;&gt;"",$AS913="✓"),SUMPRODUCT(($AM$11:$AM913&lt;&gt;"")*($AS$11:$AS913="✓")),"")</f>
        <v/>
      </c>
      <c r="BA913" s="21" t="str">
        <f>IF($AL913="","",$AL913&amp;"|"&amp;COUNTIF($AL$11:$AL913,$AL913))</f>
        <v/>
      </c>
    </row>
    <row r="914" spans="23:53" ht="15" customHeight="1" x14ac:dyDescent="0.25">
      <c r="W914" s="28" t="str">
        <f>IF(X914="","",IFERROR(INDEX($AL$11:$AL$4010,MATCH(904,$AY$11:$AY$4010,0)),""))</f>
        <v/>
      </c>
      <c r="X914" s="26" t="str">
        <f>IFERROR(INDEX($AM$11:$AM$4010,MATCH(904,$AY$11:$AY$4010,0)),"")</f>
        <v/>
      </c>
      <c r="Y914" s="25" t="str">
        <f>IF(X914="","",IFERROR(INDEX($AN$11:$AN$4010,MATCH(904,$AY$11:$AY$4010,0)),""))</f>
        <v/>
      </c>
      <c r="Z914" s="25" t="str">
        <f>IF(X914="","",IFERROR(INDEX($AO$11:$AO$4010,MATCH(904,$AY$11:$AY$4010,0)),""))</f>
        <v/>
      </c>
      <c r="AA914" s="24" t="str">
        <f>IF(X914="","",IFERROR(INDEX($AQ$11:$AQ$4010,MATCH(904,$AY$11:$AY$4010,0)),""))</f>
        <v/>
      </c>
      <c r="AB914" s="29" t="str">
        <f>IF(X914="","",IFERROR(INDEX($AR$11:$AR$4010,MATCH(904,$AY$11:$AY$4010,0)),""))</f>
        <v/>
      </c>
      <c r="AD914" s="30" t="str">
        <f>IF(AE914="","",IFERROR(INDEX($AL$11:$AL$4010,MATCH(904,$AZ$11:$AZ$4010,0)),""))</f>
        <v/>
      </c>
      <c r="AE914" s="26" t="str">
        <f>IFERROR(INDEX($AM$11:$AM$4010,MATCH(904,$AZ$11:$AZ$4010,0)),"")</f>
        <v/>
      </c>
      <c r="AF914" s="25" t="str">
        <f>IF(AE914="","",IFERROR(INDEX($AN$11:$AN$4010,MATCH(904,$AZ$11:$AZ$4010,0)),""))</f>
        <v/>
      </c>
      <c r="AG914" s="25" t="str">
        <f>IF(AE914="","",IFERROR(INDEX($AO$11:$AO$4010,MATCH(904,$AZ$11:$AZ$4010,0)),""))</f>
        <v/>
      </c>
      <c r="AH914" s="24" t="str">
        <f>IF(AE914="","",IFERROR(INDEX($AQ$11:$AQ$4010,MATCH(904,$AZ$11:$AZ$4010,0)),""))</f>
        <v/>
      </c>
      <c r="AI914" s="29" t="str">
        <f>IF(AE914="","",IFERROR(INDEX($AR$11:$AR$4010,MATCH(904,$AZ$11:$AZ$4010,0)),""))</f>
        <v/>
      </c>
      <c r="AJ914" s="29" t="str">
        <f>IF(AE914="","",IFERROR(INDEX($AT$11:$AT$4010,MATCH(904,$AZ$11:$AZ$4010,0)),""))</f>
        <v/>
      </c>
      <c r="AL914" s="31"/>
      <c r="AM914" s="26"/>
      <c r="AN914" s="32"/>
      <c r="AO914" s="32"/>
      <c r="AP914" s="24"/>
      <c r="AQ914" s="24"/>
      <c r="AR914" s="33"/>
      <c r="AS914" s="34"/>
      <c r="AT914" s="33"/>
      <c r="AV914" s="21">
        <f>IF(AND($AL914&lt;&gt;"",COUNTIF($AL$11:$AL914,$AL914)=1),1,0)</f>
        <v>0</v>
      </c>
      <c r="AW914" s="21">
        <f t="shared" si="115"/>
        <v>0</v>
      </c>
      <c r="AX914" s="21" t="str">
        <f t="shared" si="114"/>
        <v/>
      </c>
      <c r="AY914" s="21" t="str">
        <f>IF(AND($AM914&lt;&gt;"",$AS914&lt;&gt;"✓"),SUMPRODUCT(($AM$11:$AM914&lt;&gt;"")*($AS$11:$AS914&lt;&gt;"✓")),"")</f>
        <v/>
      </c>
      <c r="AZ914" s="21" t="str">
        <f>IF(AND($AM914&lt;&gt;"",$AS914="✓"),SUMPRODUCT(($AM$11:$AM914&lt;&gt;"")*($AS$11:$AS914="✓")),"")</f>
        <v/>
      </c>
      <c r="BA914" s="21" t="str">
        <f>IF($AL914="","",$AL914&amp;"|"&amp;COUNTIF($AL$11:$AL914,$AL914))</f>
        <v/>
      </c>
    </row>
    <row r="915" spans="23:53" ht="15" customHeight="1" x14ac:dyDescent="0.25">
      <c r="W915" s="14" t="str">
        <f>IF(X915="","",IFERROR(INDEX($AL$11:$AL$4010,MATCH(905,$AY$11:$AY$4010,0)),""))</f>
        <v/>
      </c>
      <c r="X915" s="12" t="str">
        <f>IFERROR(INDEX($AM$11:$AM$4010,MATCH(905,$AY$11:$AY$4010,0)),"")</f>
        <v/>
      </c>
      <c r="Y915" s="11" t="str">
        <f>IF(X915="","",IFERROR(INDEX($AN$11:$AN$4010,MATCH(905,$AY$11:$AY$4010,0)),""))</f>
        <v/>
      </c>
      <c r="Z915" s="11" t="str">
        <f>IF(X915="","",IFERROR(INDEX($AO$11:$AO$4010,MATCH(905,$AY$11:$AY$4010,0)),""))</f>
        <v/>
      </c>
      <c r="AA915" s="10" t="str">
        <f>IF(X915="","",IFERROR(INDEX($AQ$11:$AQ$4010,MATCH(905,$AY$11:$AY$4010,0)),""))</f>
        <v/>
      </c>
      <c r="AB915" s="15" t="str">
        <f>IF(X915="","",IFERROR(INDEX($AR$11:$AR$4010,MATCH(905,$AY$11:$AY$4010,0)),""))</f>
        <v/>
      </c>
      <c r="AD915" s="16" t="str">
        <f>IF(AE915="","",IFERROR(INDEX($AL$11:$AL$4010,MATCH(905,$AZ$11:$AZ$4010,0)),""))</f>
        <v/>
      </c>
      <c r="AE915" s="12" t="str">
        <f>IFERROR(INDEX($AM$11:$AM$4010,MATCH(905,$AZ$11:$AZ$4010,0)),"")</f>
        <v/>
      </c>
      <c r="AF915" s="11" t="str">
        <f>IF(AE915="","",IFERROR(INDEX($AN$11:$AN$4010,MATCH(905,$AZ$11:$AZ$4010,0)),""))</f>
        <v/>
      </c>
      <c r="AG915" s="11" t="str">
        <f>IF(AE915="","",IFERROR(INDEX($AO$11:$AO$4010,MATCH(905,$AZ$11:$AZ$4010,0)),""))</f>
        <v/>
      </c>
      <c r="AH915" s="10" t="str">
        <f>IF(AE915="","",IFERROR(INDEX($AQ$11:$AQ$4010,MATCH(905,$AZ$11:$AZ$4010,0)),""))</f>
        <v/>
      </c>
      <c r="AI915" s="15" t="str">
        <f>IF(AE915="","",IFERROR(INDEX($AR$11:$AR$4010,MATCH(905,$AZ$11:$AZ$4010,0)),""))</f>
        <v/>
      </c>
      <c r="AJ915" s="15" t="str">
        <f>IF(AE915="","",IFERROR(INDEX($AT$11:$AT$4010,MATCH(905,$AZ$11:$AZ$4010,0)),""))</f>
        <v/>
      </c>
      <c r="AL915" s="17"/>
      <c r="AM915" s="12"/>
      <c r="AN915" s="18"/>
      <c r="AO915" s="18"/>
      <c r="AP915" s="10"/>
      <c r="AQ915" s="10"/>
      <c r="AR915" s="19"/>
      <c r="AS915" s="20"/>
      <c r="AT915" s="19"/>
      <c r="AV915" s="21">
        <f>IF(AND($AL915&lt;&gt;"",COUNTIF($AL$11:$AL915,$AL915)=1),1,0)</f>
        <v>0</v>
      </c>
      <c r="AW915" s="21">
        <f t="shared" si="115"/>
        <v>0</v>
      </c>
      <c r="AX915" s="21" t="str">
        <f t="shared" si="114"/>
        <v/>
      </c>
      <c r="AY915" s="21" t="str">
        <f>IF(AND($AM915&lt;&gt;"",$AS915&lt;&gt;"✓"),SUMPRODUCT(($AM$11:$AM915&lt;&gt;"")*($AS$11:$AS915&lt;&gt;"✓")),"")</f>
        <v/>
      </c>
      <c r="AZ915" s="21" t="str">
        <f>IF(AND($AM915&lt;&gt;"",$AS915="✓"),SUMPRODUCT(($AM$11:$AM915&lt;&gt;"")*($AS$11:$AS915="✓")),"")</f>
        <v/>
      </c>
      <c r="BA915" s="21" t="str">
        <f>IF($AL915="","",$AL915&amp;"|"&amp;COUNTIF($AL$11:$AL915,$AL915))</f>
        <v/>
      </c>
    </row>
    <row r="916" spans="23:53" ht="15" customHeight="1" x14ac:dyDescent="0.25">
      <c r="W916" s="28" t="str">
        <f>IF(X916="","",IFERROR(INDEX($AL$11:$AL$4010,MATCH(906,$AY$11:$AY$4010,0)),""))</f>
        <v/>
      </c>
      <c r="X916" s="26" t="str">
        <f>IFERROR(INDEX($AM$11:$AM$4010,MATCH(906,$AY$11:$AY$4010,0)),"")</f>
        <v/>
      </c>
      <c r="Y916" s="25" t="str">
        <f>IF(X916="","",IFERROR(INDEX($AN$11:$AN$4010,MATCH(906,$AY$11:$AY$4010,0)),""))</f>
        <v/>
      </c>
      <c r="Z916" s="25" t="str">
        <f>IF(X916="","",IFERROR(INDEX($AO$11:$AO$4010,MATCH(906,$AY$11:$AY$4010,0)),""))</f>
        <v/>
      </c>
      <c r="AA916" s="24" t="str">
        <f>IF(X916="","",IFERROR(INDEX($AQ$11:$AQ$4010,MATCH(906,$AY$11:$AY$4010,0)),""))</f>
        <v/>
      </c>
      <c r="AB916" s="29" t="str">
        <f>IF(X916="","",IFERROR(INDEX($AR$11:$AR$4010,MATCH(906,$AY$11:$AY$4010,0)),""))</f>
        <v/>
      </c>
      <c r="AD916" s="30" t="str">
        <f>IF(AE916="","",IFERROR(INDEX($AL$11:$AL$4010,MATCH(906,$AZ$11:$AZ$4010,0)),""))</f>
        <v/>
      </c>
      <c r="AE916" s="26" t="str">
        <f>IFERROR(INDEX($AM$11:$AM$4010,MATCH(906,$AZ$11:$AZ$4010,0)),"")</f>
        <v/>
      </c>
      <c r="AF916" s="25" t="str">
        <f>IF(AE916="","",IFERROR(INDEX($AN$11:$AN$4010,MATCH(906,$AZ$11:$AZ$4010,0)),""))</f>
        <v/>
      </c>
      <c r="AG916" s="25" t="str">
        <f>IF(AE916="","",IFERROR(INDEX($AO$11:$AO$4010,MATCH(906,$AZ$11:$AZ$4010,0)),""))</f>
        <v/>
      </c>
      <c r="AH916" s="24" t="str">
        <f>IF(AE916="","",IFERROR(INDEX($AQ$11:$AQ$4010,MATCH(906,$AZ$11:$AZ$4010,0)),""))</f>
        <v/>
      </c>
      <c r="AI916" s="29" t="str">
        <f>IF(AE916="","",IFERROR(INDEX($AR$11:$AR$4010,MATCH(906,$AZ$11:$AZ$4010,0)),""))</f>
        <v/>
      </c>
      <c r="AJ916" s="29" t="str">
        <f>IF(AE916="","",IFERROR(INDEX($AT$11:$AT$4010,MATCH(906,$AZ$11:$AZ$4010,0)),""))</f>
        <v/>
      </c>
      <c r="AL916" s="31"/>
      <c r="AM916" s="26"/>
      <c r="AN916" s="32"/>
      <c r="AO916" s="32"/>
      <c r="AP916" s="24"/>
      <c r="AQ916" s="24"/>
      <c r="AR916" s="33"/>
      <c r="AS916" s="34"/>
      <c r="AT916" s="33"/>
      <c r="AV916" s="21">
        <f>IF(AND($AL916&lt;&gt;"",COUNTIF($AL$11:$AL916,$AL916)=1),1,0)</f>
        <v>0</v>
      </c>
      <c r="AW916" s="21">
        <f t="shared" si="115"/>
        <v>0</v>
      </c>
      <c r="AX916" s="21" t="str">
        <f t="shared" si="114"/>
        <v/>
      </c>
      <c r="AY916" s="21" t="str">
        <f>IF(AND($AM916&lt;&gt;"",$AS916&lt;&gt;"✓"),SUMPRODUCT(($AM$11:$AM916&lt;&gt;"")*($AS$11:$AS916&lt;&gt;"✓")),"")</f>
        <v/>
      </c>
      <c r="AZ916" s="21" t="str">
        <f>IF(AND($AM916&lt;&gt;"",$AS916="✓"),SUMPRODUCT(($AM$11:$AM916&lt;&gt;"")*($AS$11:$AS916="✓")),"")</f>
        <v/>
      </c>
      <c r="BA916" s="21" t="str">
        <f>IF($AL916="","",$AL916&amp;"|"&amp;COUNTIF($AL$11:$AL916,$AL916))</f>
        <v/>
      </c>
    </row>
    <row r="917" spans="23:53" ht="15" customHeight="1" x14ac:dyDescent="0.25">
      <c r="W917" s="14" t="str">
        <f>IF(X917="","",IFERROR(INDEX($AL$11:$AL$4010,MATCH(907,$AY$11:$AY$4010,0)),""))</f>
        <v/>
      </c>
      <c r="X917" s="12" t="str">
        <f>IFERROR(INDEX($AM$11:$AM$4010,MATCH(907,$AY$11:$AY$4010,0)),"")</f>
        <v/>
      </c>
      <c r="Y917" s="11" t="str">
        <f>IF(X917="","",IFERROR(INDEX($AN$11:$AN$4010,MATCH(907,$AY$11:$AY$4010,0)),""))</f>
        <v/>
      </c>
      <c r="Z917" s="11" t="str">
        <f>IF(X917="","",IFERROR(INDEX($AO$11:$AO$4010,MATCH(907,$AY$11:$AY$4010,0)),""))</f>
        <v/>
      </c>
      <c r="AA917" s="10" t="str">
        <f>IF(X917="","",IFERROR(INDEX($AQ$11:$AQ$4010,MATCH(907,$AY$11:$AY$4010,0)),""))</f>
        <v/>
      </c>
      <c r="AB917" s="15" t="str">
        <f>IF(X917="","",IFERROR(INDEX($AR$11:$AR$4010,MATCH(907,$AY$11:$AY$4010,0)),""))</f>
        <v/>
      </c>
      <c r="AD917" s="16" t="str">
        <f>IF(AE917="","",IFERROR(INDEX($AL$11:$AL$4010,MATCH(907,$AZ$11:$AZ$4010,0)),""))</f>
        <v/>
      </c>
      <c r="AE917" s="12" t="str">
        <f>IFERROR(INDEX($AM$11:$AM$4010,MATCH(907,$AZ$11:$AZ$4010,0)),"")</f>
        <v/>
      </c>
      <c r="AF917" s="11" t="str">
        <f>IF(AE917="","",IFERROR(INDEX($AN$11:$AN$4010,MATCH(907,$AZ$11:$AZ$4010,0)),""))</f>
        <v/>
      </c>
      <c r="AG917" s="11" t="str">
        <f>IF(AE917="","",IFERROR(INDEX($AO$11:$AO$4010,MATCH(907,$AZ$11:$AZ$4010,0)),""))</f>
        <v/>
      </c>
      <c r="AH917" s="10" t="str">
        <f>IF(AE917="","",IFERROR(INDEX($AQ$11:$AQ$4010,MATCH(907,$AZ$11:$AZ$4010,0)),""))</f>
        <v/>
      </c>
      <c r="AI917" s="15" t="str">
        <f>IF(AE917="","",IFERROR(INDEX($AR$11:$AR$4010,MATCH(907,$AZ$11:$AZ$4010,0)),""))</f>
        <v/>
      </c>
      <c r="AJ917" s="15" t="str">
        <f>IF(AE917="","",IFERROR(INDEX($AT$11:$AT$4010,MATCH(907,$AZ$11:$AZ$4010,0)),""))</f>
        <v/>
      </c>
      <c r="AL917" s="17"/>
      <c r="AM917" s="12"/>
      <c r="AN917" s="18"/>
      <c r="AO917" s="18"/>
      <c r="AP917" s="10"/>
      <c r="AQ917" s="10"/>
      <c r="AR917" s="19"/>
      <c r="AS917" s="20"/>
      <c r="AT917" s="19"/>
      <c r="AV917" s="21">
        <f>IF(AND($AL917&lt;&gt;"",COUNTIF($AL$11:$AL917,$AL917)=1),1,0)</f>
        <v>0</v>
      </c>
      <c r="AW917" s="21">
        <f t="shared" si="115"/>
        <v>0</v>
      </c>
      <c r="AX917" s="21" t="str">
        <f t="shared" si="114"/>
        <v/>
      </c>
      <c r="AY917" s="21" t="str">
        <f>IF(AND($AM917&lt;&gt;"",$AS917&lt;&gt;"✓"),SUMPRODUCT(($AM$11:$AM917&lt;&gt;"")*($AS$11:$AS917&lt;&gt;"✓")),"")</f>
        <v/>
      </c>
      <c r="AZ917" s="21" t="str">
        <f>IF(AND($AM917&lt;&gt;"",$AS917="✓"),SUMPRODUCT(($AM$11:$AM917&lt;&gt;"")*($AS$11:$AS917="✓")),"")</f>
        <v/>
      </c>
      <c r="BA917" s="21" t="str">
        <f>IF($AL917="","",$AL917&amp;"|"&amp;COUNTIF($AL$11:$AL917,$AL917))</f>
        <v/>
      </c>
    </row>
    <row r="918" spans="23:53" ht="15" customHeight="1" x14ac:dyDescent="0.25">
      <c r="W918" s="28" t="str">
        <f>IF(X918="","",IFERROR(INDEX($AL$11:$AL$4010,MATCH(908,$AY$11:$AY$4010,0)),""))</f>
        <v/>
      </c>
      <c r="X918" s="26" t="str">
        <f>IFERROR(INDEX($AM$11:$AM$4010,MATCH(908,$AY$11:$AY$4010,0)),"")</f>
        <v/>
      </c>
      <c r="Y918" s="25" t="str">
        <f>IF(X918="","",IFERROR(INDEX($AN$11:$AN$4010,MATCH(908,$AY$11:$AY$4010,0)),""))</f>
        <v/>
      </c>
      <c r="Z918" s="25" t="str">
        <f>IF(X918="","",IFERROR(INDEX($AO$11:$AO$4010,MATCH(908,$AY$11:$AY$4010,0)),""))</f>
        <v/>
      </c>
      <c r="AA918" s="24" t="str">
        <f>IF(X918="","",IFERROR(INDEX($AQ$11:$AQ$4010,MATCH(908,$AY$11:$AY$4010,0)),""))</f>
        <v/>
      </c>
      <c r="AB918" s="29" t="str">
        <f>IF(X918="","",IFERROR(INDEX($AR$11:$AR$4010,MATCH(908,$AY$11:$AY$4010,0)),""))</f>
        <v/>
      </c>
      <c r="AD918" s="30" t="str">
        <f>IF(AE918="","",IFERROR(INDEX($AL$11:$AL$4010,MATCH(908,$AZ$11:$AZ$4010,0)),""))</f>
        <v/>
      </c>
      <c r="AE918" s="26" t="str">
        <f>IFERROR(INDEX($AM$11:$AM$4010,MATCH(908,$AZ$11:$AZ$4010,0)),"")</f>
        <v/>
      </c>
      <c r="AF918" s="25" t="str">
        <f>IF(AE918="","",IFERROR(INDEX($AN$11:$AN$4010,MATCH(908,$AZ$11:$AZ$4010,0)),""))</f>
        <v/>
      </c>
      <c r="AG918" s="25" t="str">
        <f>IF(AE918="","",IFERROR(INDEX($AO$11:$AO$4010,MATCH(908,$AZ$11:$AZ$4010,0)),""))</f>
        <v/>
      </c>
      <c r="AH918" s="24" t="str">
        <f>IF(AE918="","",IFERROR(INDEX($AQ$11:$AQ$4010,MATCH(908,$AZ$11:$AZ$4010,0)),""))</f>
        <v/>
      </c>
      <c r="AI918" s="29" t="str">
        <f>IF(AE918="","",IFERROR(INDEX($AR$11:$AR$4010,MATCH(908,$AZ$11:$AZ$4010,0)),""))</f>
        <v/>
      </c>
      <c r="AJ918" s="29" t="str">
        <f>IF(AE918="","",IFERROR(INDEX($AT$11:$AT$4010,MATCH(908,$AZ$11:$AZ$4010,0)),""))</f>
        <v/>
      </c>
      <c r="AL918" s="31"/>
      <c r="AM918" s="26"/>
      <c r="AN918" s="32"/>
      <c r="AO918" s="32"/>
      <c r="AP918" s="24"/>
      <c r="AQ918" s="24"/>
      <c r="AR918" s="33"/>
      <c r="AS918" s="34"/>
      <c r="AT918" s="33"/>
      <c r="AV918" s="21">
        <f>IF(AND($AL918&lt;&gt;"",COUNTIF($AL$11:$AL918,$AL918)=1),1,0)</f>
        <v>0</v>
      </c>
      <c r="AW918" s="21">
        <f t="shared" si="115"/>
        <v>0</v>
      </c>
      <c r="AX918" s="21" t="str">
        <f t="shared" si="114"/>
        <v/>
      </c>
      <c r="AY918" s="21" t="str">
        <f>IF(AND($AM918&lt;&gt;"",$AS918&lt;&gt;"✓"),SUMPRODUCT(($AM$11:$AM918&lt;&gt;"")*($AS$11:$AS918&lt;&gt;"✓")),"")</f>
        <v/>
      </c>
      <c r="AZ918" s="21" t="str">
        <f>IF(AND($AM918&lt;&gt;"",$AS918="✓"),SUMPRODUCT(($AM$11:$AM918&lt;&gt;"")*($AS$11:$AS918="✓")),"")</f>
        <v/>
      </c>
      <c r="BA918" s="21" t="str">
        <f>IF($AL918="","",$AL918&amp;"|"&amp;COUNTIF($AL$11:$AL918,$AL918))</f>
        <v/>
      </c>
    </row>
    <row r="919" spans="23:53" ht="15" customHeight="1" x14ac:dyDescent="0.25">
      <c r="W919" s="14" t="str">
        <f>IF(X919="","",IFERROR(INDEX($AL$11:$AL$4010,MATCH(909,$AY$11:$AY$4010,0)),""))</f>
        <v/>
      </c>
      <c r="X919" s="12" t="str">
        <f>IFERROR(INDEX($AM$11:$AM$4010,MATCH(909,$AY$11:$AY$4010,0)),"")</f>
        <v/>
      </c>
      <c r="Y919" s="11" t="str">
        <f>IF(X919="","",IFERROR(INDEX($AN$11:$AN$4010,MATCH(909,$AY$11:$AY$4010,0)),""))</f>
        <v/>
      </c>
      <c r="Z919" s="11" t="str">
        <f>IF(X919="","",IFERROR(INDEX($AO$11:$AO$4010,MATCH(909,$AY$11:$AY$4010,0)),""))</f>
        <v/>
      </c>
      <c r="AA919" s="10" t="str">
        <f>IF(X919="","",IFERROR(INDEX($AQ$11:$AQ$4010,MATCH(909,$AY$11:$AY$4010,0)),""))</f>
        <v/>
      </c>
      <c r="AB919" s="15" t="str">
        <f>IF(X919="","",IFERROR(INDEX($AR$11:$AR$4010,MATCH(909,$AY$11:$AY$4010,0)),""))</f>
        <v/>
      </c>
      <c r="AD919" s="16" t="str">
        <f>IF(AE919="","",IFERROR(INDEX($AL$11:$AL$4010,MATCH(909,$AZ$11:$AZ$4010,0)),""))</f>
        <v/>
      </c>
      <c r="AE919" s="12" t="str">
        <f>IFERROR(INDEX($AM$11:$AM$4010,MATCH(909,$AZ$11:$AZ$4010,0)),"")</f>
        <v/>
      </c>
      <c r="AF919" s="11" t="str">
        <f>IF(AE919="","",IFERROR(INDEX($AN$11:$AN$4010,MATCH(909,$AZ$11:$AZ$4010,0)),""))</f>
        <v/>
      </c>
      <c r="AG919" s="11" t="str">
        <f>IF(AE919="","",IFERROR(INDEX($AO$11:$AO$4010,MATCH(909,$AZ$11:$AZ$4010,0)),""))</f>
        <v/>
      </c>
      <c r="AH919" s="10" t="str">
        <f>IF(AE919="","",IFERROR(INDEX($AQ$11:$AQ$4010,MATCH(909,$AZ$11:$AZ$4010,0)),""))</f>
        <v/>
      </c>
      <c r="AI919" s="15" t="str">
        <f>IF(AE919="","",IFERROR(INDEX($AR$11:$AR$4010,MATCH(909,$AZ$11:$AZ$4010,0)),""))</f>
        <v/>
      </c>
      <c r="AJ919" s="15" t="str">
        <f>IF(AE919="","",IFERROR(INDEX($AT$11:$AT$4010,MATCH(909,$AZ$11:$AZ$4010,0)),""))</f>
        <v/>
      </c>
      <c r="AL919" s="17"/>
      <c r="AM919" s="12"/>
      <c r="AN919" s="18"/>
      <c r="AO919" s="18"/>
      <c r="AP919" s="10"/>
      <c r="AQ919" s="10"/>
      <c r="AR919" s="19"/>
      <c r="AS919" s="20"/>
      <c r="AT919" s="19"/>
      <c r="AV919" s="21">
        <f>IF(AND($AL919&lt;&gt;"",COUNTIF($AL$11:$AL919,$AL919)=1),1,0)</f>
        <v>0</v>
      </c>
      <c r="AW919" s="21">
        <f t="shared" si="115"/>
        <v>0</v>
      </c>
      <c r="AX919" s="21" t="str">
        <f t="shared" si="114"/>
        <v/>
      </c>
      <c r="AY919" s="21" t="str">
        <f>IF(AND($AM919&lt;&gt;"",$AS919&lt;&gt;"✓"),SUMPRODUCT(($AM$11:$AM919&lt;&gt;"")*($AS$11:$AS919&lt;&gt;"✓")),"")</f>
        <v/>
      </c>
      <c r="AZ919" s="21" t="str">
        <f>IF(AND($AM919&lt;&gt;"",$AS919="✓"),SUMPRODUCT(($AM$11:$AM919&lt;&gt;"")*($AS$11:$AS919="✓")),"")</f>
        <v/>
      </c>
      <c r="BA919" s="21" t="str">
        <f>IF($AL919="","",$AL919&amp;"|"&amp;COUNTIF($AL$11:$AL919,$AL919))</f>
        <v/>
      </c>
    </row>
    <row r="920" spans="23:53" ht="15" customHeight="1" x14ac:dyDescent="0.25">
      <c r="W920" s="28" t="str">
        <f>IF(X920="","",IFERROR(INDEX($AL$11:$AL$4010,MATCH(910,$AY$11:$AY$4010,0)),""))</f>
        <v/>
      </c>
      <c r="X920" s="26" t="str">
        <f>IFERROR(INDEX($AM$11:$AM$4010,MATCH(910,$AY$11:$AY$4010,0)),"")</f>
        <v/>
      </c>
      <c r="Y920" s="25" t="str">
        <f>IF(X920="","",IFERROR(INDEX($AN$11:$AN$4010,MATCH(910,$AY$11:$AY$4010,0)),""))</f>
        <v/>
      </c>
      <c r="Z920" s="25" t="str">
        <f>IF(X920="","",IFERROR(INDEX($AO$11:$AO$4010,MATCH(910,$AY$11:$AY$4010,0)),""))</f>
        <v/>
      </c>
      <c r="AA920" s="24" t="str">
        <f>IF(X920="","",IFERROR(INDEX($AQ$11:$AQ$4010,MATCH(910,$AY$11:$AY$4010,0)),""))</f>
        <v/>
      </c>
      <c r="AB920" s="29" t="str">
        <f>IF(X920="","",IFERROR(INDEX($AR$11:$AR$4010,MATCH(910,$AY$11:$AY$4010,0)),""))</f>
        <v/>
      </c>
      <c r="AD920" s="30" t="str">
        <f>IF(AE920="","",IFERROR(INDEX($AL$11:$AL$4010,MATCH(910,$AZ$11:$AZ$4010,0)),""))</f>
        <v/>
      </c>
      <c r="AE920" s="26" t="str">
        <f>IFERROR(INDEX($AM$11:$AM$4010,MATCH(910,$AZ$11:$AZ$4010,0)),"")</f>
        <v/>
      </c>
      <c r="AF920" s="25" t="str">
        <f>IF(AE920="","",IFERROR(INDEX($AN$11:$AN$4010,MATCH(910,$AZ$11:$AZ$4010,0)),""))</f>
        <v/>
      </c>
      <c r="AG920" s="25" t="str">
        <f>IF(AE920="","",IFERROR(INDEX($AO$11:$AO$4010,MATCH(910,$AZ$11:$AZ$4010,0)),""))</f>
        <v/>
      </c>
      <c r="AH920" s="24" t="str">
        <f>IF(AE920="","",IFERROR(INDEX($AQ$11:$AQ$4010,MATCH(910,$AZ$11:$AZ$4010,0)),""))</f>
        <v/>
      </c>
      <c r="AI920" s="29" t="str">
        <f>IF(AE920="","",IFERROR(INDEX($AR$11:$AR$4010,MATCH(910,$AZ$11:$AZ$4010,0)),""))</f>
        <v/>
      </c>
      <c r="AJ920" s="29" t="str">
        <f>IF(AE920="","",IFERROR(INDEX($AT$11:$AT$4010,MATCH(910,$AZ$11:$AZ$4010,0)),""))</f>
        <v/>
      </c>
      <c r="AL920" s="31"/>
      <c r="AM920" s="26"/>
      <c r="AN920" s="32"/>
      <c r="AO920" s="32"/>
      <c r="AP920" s="24"/>
      <c r="AQ920" s="24"/>
      <c r="AR920" s="33"/>
      <c r="AS920" s="34"/>
      <c r="AT920" s="33"/>
      <c r="AV920" s="21">
        <f>IF(AND($AL920&lt;&gt;"",COUNTIF($AL$11:$AL920,$AL920)=1),1,0)</f>
        <v>0</v>
      </c>
      <c r="AW920" s="21">
        <f t="shared" si="115"/>
        <v>0</v>
      </c>
      <c r="AX920" s="21" t="str">
        <f t="shared" si="114"/>
        <v/>
      </c>
      <c r="AY920" s="21" t="str">
        <f>IF(AND($AM920&lt;&gt;"",$AS920&lt;&gt;"✓"),SUMPRODUCT(($AM$11:$AM920&lt;&gt;"")*($AS$11:$AS920&lt;&gt;"✓")),"")</f>
        <v/>
      </c>
      <c r="AZ920" s="21" t="str">
        <f>IF(AND($AM920&lt;&gt;"",$AS920="✓"),SUMPRODUCT(($AM$11:$AM920&lt;&gt;"")*($AS$11:$AS920="✓")),"")</f>
        <v/>
      </c>
      <c r="BA920" s="21" t="str">
        <f>IF($AL920="","",$AL920&amp;"|"&amp;COUNTIF($AL$11:$AL920,$AL920))</f>
        <v/>
      </c>
    </row>
    <row r="921" spans="23:53" ht="15" customHeight="1" x14ac:dyDescent="0.25">
      <c r="W921" s="14" t="str">
        <f>IF(X921="","",IFERROR(INDEX($AL$11:$AL$4010,MATCH(911,$AY$11:$AY$4010,0)),""))</f>
        <v/>
      </c>
      <c r="X921" s="12" t="str">
        <f>IFERROR(INDEX($AM$11:$AM$4010,MATCH(911,$AY$11:$AY$4010,0)),"")</f>
        <v/>
      </c>
      <c r="Y921" s="11" t="str">
        <f>IF(X921="","",IFERROR(INDEX($AN$11:$AN$4010,MATCH(911,$AY$11:$AY$4010,0)),""))</f>
        <v/>
      </c>
      <c r="Z921" s="11" t="str">
        <f>IF(X921="","",IFERROR(INDEX($AO$11:$AO$4010,MATCH(911,$AY$11:$AY$4010,0)),""))</f>
        <v/>
      </c>
      <c r="AA921" s="10" t="str">
        <f>IF(X921="","",IFERROR(INDEX($AQ$11:$AQ$4010,MATCH(911,$AY$11:$AY$4010,0)),""))</f>
        <v/>
      </c>
      <c r="AB921" s="15" t="str">
        <f>IF(X921="","",IFERROR(INDEX($AR$11:$AR$4010,MATCH(911,$AY$11:$AY$4010,0)),""))</f>
        <v/>
      </c>
      <c r="AD921" s="16" t="str">
        <f>IF(AE921="","",IFERROR(INDEX($AL$11:$AL$4010,MATCH(911,$AZ$11:$AZ$4010,0)),""))</f>
        <v/>
      </c>
      <c r="AE921" s="12" t="str">
        <f>IFERROR(INDEX($AM$11:$AM$4010,MATCH(911,$AZ$11:$AZ$4010,0)),"")</f>
        <v/>
      </c>
      <c r="AF921" s="11" t="str">
        <f>IF(AE921="","",IFERROR(INDEX($AN$11:$AN$4010,MATCH(911,$AZ$11:$AZ$4010,0)),""))</f>
        <v/>
      </c>
      <c r="AG921" s="11" t="str">
        <f>IF(AE921="","",IFERROR(INDEX($AO$11:$AO$4010,MATCH(911,$AZ$11:$AZ$4010,0)),""))</f>
        <v/>
      </c>
      <c r="AH921" s="10" t="str">
        <f>IF(AE921="","",IFERROR(INDEX($AQ$11:$AQ$4010,MATCH(911,$AZ$11:$AZ$4010,0)),""))</f>
        <v/>
      </c>
      <c r="AI921" s="15" t="str">
        <f>IF(AE921="","",IFERROR(INDEX($AR$11:$AR$4010,MATCH(911,$AZ$11:$AZ$4010,0)),""))</f>
        <v/>
      </c>
      <c r="AJ921" s="15" t="str">
        <f>IF(AE921="","",IFERROR(INDEX($AT$11:$AT$4010,MATCH(911,$AZ$11:$AZ$4010,0)),""))</f>
        <v/>
      </c>
      <c r="AL921" s="17"/>
      <c r="AM921" s="12"/>
      <c r="AN921" s="18"/>
      <c r="AO921" s="18"/>
      <c r="AP921" s="10"/>
      <c r="AQ921" s="10"/>
      <c r="AR921" s="19"/>
      <c r="AS921" s="20"/>
      <c r="AT921" s="19"/>
      <c r="AV921" s="21">
        <f>IF(AND($AL921&lt;&gt;"",COUNTIF($AL$11:$AL921,$AL921)=1),1,0)</f>
        <v>0</v>
      </c>
      <c r="AW921" s="21">
        <f t="shared" si="115"/>
        <v>0</v>
      </c>
      <c r="AX921" s="21" t="str">
        <f t="shared" si="114"/>
        <v/>
      </c>
      <c r="AY921" s="21" t="str">
        <f>IF(AND($AM921&lt;&gt;"",$AS921&lt;&gt;"✓"),SUMPRODUCT(($AM$11:$AM921&lt;&gt;"")*($AS$11:$AS921&lt;&gt;"✓")),"")</f>
        <v/>
      </c>
      <c r="AZ921" s="21" t="str">
        <f>IF(AND($AM921&lt;&gt;"",$AS921="✓"),SUMPRODUCT(($AM$11:$AM921&lt;&gt;"")*($AS$11:$AS921="✓")),"")</f>
        <v/>
      </c>
      <c r="BA921" s="21" t="str">
        <f>IF($AL921="","",$AL921&amp;"|"&amp;COUNTIF($AL$11:$AL921,$AL921))</f>
        <v/>
      </c>
    </row>
    <row r="922" spans="23:53" ht="15" customHeight="1" x14ac:dyDescent="0.25">
      <c r="W922" s="28" t="str">
        <f>IF(X922="","",IFERROR(INDEX($AL$11:$AL$4010,MATCH(912,$AY$11:$AY$4010,0)),""))</f>
        <v/>
      </c>
      <c r="X922" s="26" t="str">
        <f>IFERROR(INDEX($AM$11:$AM$4010,MATCH(912,$AY$11:$AY$4010,0)),"")</f>
        <v/>
      </c>
      <c r="Y922" s="25" t="str">
        <f>IF(X922="","",IFERROR(INDEX($AN$11:$AN$4010,MATCH(912,$AY$11:$AY$4010,0)),""))</f>
        <v/>
      </c>
      <c r="Z922" s="25" t="str">
        <f>IF(X922="","",IFERROR(INDEX($AO$11:$AO$4010,MATCH(912,$AY$11:$AY$4010,0)),""))</f>
        <v/>
      </c>
      <c r="AA922" s="24" t="str">
        <f>IF(X922="","",IFERROR(INDEX($AQ$11:$AQ$4010,MATCH(912,$AY$11:$AY$4010,0)),""))</f>
        <v/>
      </c>
      <c r="AB922" s="29" t="str">
        <f>IF(X922="","",IFERROR(INDEX($AR$11:$AR$4010,MATCH(912,$AY$11:$AY$4010,0)),""))</f>
        <v/>
      </c>
      <c r="AD922" s="30" t="str">
        <f>IF(AE922="","",IFERROR(INDEX($AL$11:$AL$4010,MATCH(912,$AZ$11:$AZ$4010,0)),""))</f>
        <v/>
      </c>
      <c r="AE922" s="26" t="str">
        <f>IFERROR(INDEX($AM$11:$AM$4010,MATCH(912,$AZ$11:$AZ$4010,0)),"")</f>
        <v/>
      </c>
      <c r="AF922" s="25" t="str">
        <f>IF(AE922="","",IFERROR(INDEX($AN$11:$AN$4010,MATCH(912,$AZ$11:$AZ$4010,0)),""))</f>
        <v/>
      </c>
      <c r="AG922" s="25" t="str">
        <f>IF(AE922="","",IFERROR(INDEX($AO$11:$AO$4010,MATCH(912,$AZ$11:$AZ$4010,0)),""))</f>
        <v/>
      </c>
      <c r="AH922" s="24" t="str">
        <f>IF(AE922="","",IFERROR(INDEX($AQ$11:$AQ$4010,MATCH(912,$AZ$11:$AZ$4010,0)),""))</f>
        <v/>
      </c>
      <c r="AI922" s="29" t="str">
        <f>IF(AE922="","",IFERROR(INDEX($AR$11:$AR$4010,MATCH(912,$AZ$11:$AZ$4010,0)),""))</f>
        <v/>
      </c>
      <c r="AJ922" s="29" t="str">
        <f>IF(AE922="","",IFERROR(INDEX($AT$11:$AT$4010,MATCH(912,$AZ$11:$AZ$4010,0)),""))</f>
        <v/>
      </c>
      <c r="AL922" s="31"/>
      <c r="AM922" s="26"/>
      <c r="AN922" s="32"/>
      <c r="AO922" s="32"/>
      <c r="AP922" s="24"/>
      <c r="AQ922" s="24"/>
      <c r="AR922" s="33"/>
      <c r="AS922" s="34"/>
      <c r="AT922" s="33"/>
      <c r="AV922" s="21">
        <f>IF(AND($AL922&lt;&gt;"",COUNTIF($AL$11:$AL922,$AL922)=1),1,0)</f>
        <v>0</v>
      </c>
      <c r="AW922" s="21">
        <f t="shared" si="115"/>
        <v>0</v>
      </c>
      <c r="AX922" s="21" t="str">
        <f t="shared" si="114"/>
        <v/>
      </c>
      <c r="AY922" s="21" t="str">
        <f>IF(AND($AM922&lt;&gt;"",$AS922&lt;&gt;"✓"),SUMPRODUCT(($AM$11:$AM922&lt;&gt;"")*($AS$11:$AS922&lt;&gt;"✓")),"")</f>
        <v/>
      </c>
      <c r="AZ922" s="21" t="str">
        <f>IF(AND($AM922&lt;&gt;"",$AS922="✓"),SUMPRODUCT(($AM$11:$AM922&lt;&gt;"")*($AS$11:$AS922="✓")),"")</f>
        <v/>
      </c>
      <c r="BA922" s="21" t="str">
        <f>IF($AL922="","",$AL922&amp;"|"&amp;COUNTIF($AL$11:$AL922,$AL922))</f>
        <v/>
      </c>
    </row>
    <row r="923" spans="23:53" ht="15" customHeight="1" x14ac:dyDescent="0.25">
      <c r="W923" s="14" t="str">
        <f>IF(X923="","",IFERROR(INDEX($AL$11:$AL$4010,MATCH(913,$AY$11:$AY$4010,0)),""))</f>
        <v/>
      </c>
      <c r="X923" s="12" t="str">
        <f>IFERROR(INDEX($AM$11:$AM$4010,MATCH(913,$AY$11:$AY$4010,0)),"")</f>
        <v/>
      </c>
      <c r="Y923" s="11" t="str">
        <f>IF(X923="","",IFERROR(INDEX($AN$11:$AN$4010,MATCH(913,$AY$11:$AY$4010,0)),""))</f>
        <v/>
      </c>
      <c r="Z923" s="11" t="str">
        <f>IF(X923="","",IFERROR(INDEX($AO$11:$AO$4010,MATCH(913,$AY$11:$AY$4010,0)),""))</f>
        <v/>
      </c>
      <c r="AA923" s="10" t="str">
        <f>IF(X923="","",IFERROR(INDEX($AQ$11:$AQ$4010,MATCH(913,$AY$11:$AY$4010,0)),""))</f>
        <v/>
      </c>
      <c r="AB923" s="15" t="str">
        <f>IF(X923="","",IFERROR(INDEX($AR$11:$AR$4010,MATCH(913,$AY$11:$AY$4010,0)),""))</f>
        <v/>
      </c>
      <c r="AD923" s="16" t="str">
        <f>IF(AE923="","",IFERROR(INDEX($AL$11:$AL$4010,MATCH(913,$AZ$11:$AZ$4010,0)),""))</f>
        <v/>
      </c>
      <c r="AE923" s="12" t="str">
        <f>IFERROR(INDEX($AM$11:$AM$4010,MATCH(913,$AZ$11:$AZ$4010,0)),"")</f>
        <v/>
      </c>
      <c r="AF923" s="11" t="str">
        <f>IF(AE923="","",IFERROR(INDEX($AN$11:$AN$4010,MATCH(913,$AZ$11:$AZ$4010,0)),""))</f>
        <v/>
      </c>
      <c r="AG923" s="11" t="str">
        <f>IF(AE923="","",IFERROR(INDEX($AO$11:$AO$4010,MATCH(913,$AZ$11:$AZ$4010,0)),""))</f>
        <v/>
      </c>
      <c r="AH923" s="10" t="str">
        <f>IF(AE923="","",IFERROR(INDEX($AQ$11:$AQ$4010,MATCH(913,$AZ$11:$AZ$4010,0)),""))</f>
        <v/>
      </c>
      <c r="AI923" s="15" t="str">
        <f>IF(AE923="","",IFERROR(INDEX($AR$11:$AR$4010,MATCH(913,$AZ$11:$AZ$4010,0)),""))</f>
        <v/>
      </c>
      <c r="AJ923" s="15" t="str">
        <f>IF(AE923="","",IFERROR(INDEX($AT$11:$AT$4010,MATCH(913,$AZ$11:$AZ$4010,0)),""))</f>
        <v/>
      </c>
      <c r="AL923" s="17"/>
      <c r="AM923" s="12"/>
      <c r="AN923" s="18"/>
      <c r="AO923" s="18"/>
      <c r="AP923" s="10"/>
      <c r="AQ923" s="10"/>
      <c r="AR923" s="19"/>
      <c r="AS923" s="20"/>
      <c r="AT923" s="19"/>
      <c r="AV923" s="21">
        <f>IF(AND($AL923&lt;&gt;"",COUNTIF($AL$11:$AL923,$AL923)=1),1,0)</f>
        <v>0</v>
      </c>
      <c r="AW923" s="21">
        <f t="shared" si="115"/>
        <v>0</v>
      </c>
      <c r="AX923" s="21" t="str">
        <f t="shared" si="114"/>
        <v/>
      </c>
      <c r="AY923" s="21" t="str">
        <f>IF(AND($AM923&lt;&gt;"",$AS923&lt;&gt;"✓"),SUMPRODUCT(($AM$11:$AM923&lt;&gt;"")*($AS$11:$AS923&lt;&gt;"✓")),"")</f>
        <v/>
      </c>
      <c r="AZ923" s="21" t="str">
        <f>IF(AND($AM923&lt;&gt;"",$AS923="✓"),SUMPRODUCT(($AM$11:$AM923&lt;&gt;"")*($AS$11:$AS923="✓")),"")</f>
        <v/>
      </c>
      <c r="BA923" s="21" t="str">
        <f>IF($AL923="","",$AL923&amp;"|"&amp;COUNTIF($AL$11:$AL923,$AL923))</f>
        <v/>
      </c>
    </row>
    <row r="924" spans="23:53" ht="15" customHeight="1" x14ac:dyDescent="0.25">
      <c r="W924" s="28" t="str">
        <f>IF(X924="","",IFERROR(INDEX($AL$11:$AL$4010,MATCH(914,$AY$11:$AY$4010,0)),""))</f>
        <v/>
      </c>
      <c r="X924" s="26" t="str">
        <f>IFERROR(INDEX($AM$11:$AM$4010,MATCH(914,$AY$11:$AY$4010,0)),"")</f>
        <v/>
      </c>
      <c r="Y924" s="25" t="str">
        <f>IF(X924="","",IFERROR(INDEX($AN$11:$AN$4010,MATCH(914,$AY$11:$AY$4010,0)),""))</f>
        <v/>
      </c>
      <c r="Z924" s="25" t="str">
        <f>IF(X924="","",IFERROR(INDEX($AO$11:$AO$4010,MATCH(914,$AY$11:$AY$4010,0)),""))</f>
        <v/>
      </c>
      <c r="AA924" s="24" t="str">
        <f>IF(X924="","",IFERROR(INDEX($AQ$11:$AQ$4010,MATCH(914,$AY$11:$AY$4010,0)),""))</f>
        <v/>
      </c>
      <c r="AB924" s="29" t="str">
        <f>IF(X924="","",IFERROR(INDEX($AR$11:$AR$4010,MATCH(914,$AY$11:$AY$4010,0)),""))</f>
        <v/>
      </c>
      <c r="AD924" s="30" t="str">
        <f>IF(AE924="","",IFERROR(INDEX($AL$11:$AL$4010,MATCH(914,$AZ$11:$AZ$4010,0)),""))</f>
        <v/>
      </c>
      <c r="AE924" s="26" t="str">
        <f>IFERROR(INDEX($AM$11:$AM$4010,MATCH(914,$AZ$11:$AZ$4010,0)),"")</f>
        <v/>
      </c>
      <c r="AF924" s="25" t="str">
        <f>IF(AE924="","",IFERROR(INDEX($AN$11:$AN$4010,MATCH(914,$AZ$11:$AZ$4010,0)),""))</f>
        <v/>
      </c>
      <c r="AG924" s="25" t="str">
        <f>IF(AE924="","",IFERROR(INDEX($AO$11:$AO$4010,MATCH(914,$AZ$11:$AZ$4010,0)),""))</f>
        <v/>
      </c>
      <c r="AH924" s="24" t="str">
        <f>IF(AE924="","",IFERROR(INDEX($AQ$11:$AQ$4010,MATCH(914,$AZ$11:$AZ$4010,0)),""))</f>
        <v/>
      </c>
      <c r="AI924" s="29" t="str">
        <f>IF(AE924="","",IFERROR(INDEX($AR$11:$AR$4010,MATCH(914,$AZ$11:$AZ$4010,0)),""))</f>
        <v/>
      </c>
      <c r="AJ924" s="29" t="str">
        <f>IF(AE924="","",IFERROR(INDEX($AT$11:$AT$4010,MATCH(914,$AZ$11:$AZ$4010,0)),""))</f>
        <v/>
      </c>
      <c r="AL924" s="31"/>
      <c r="AM924" s="26"/>
      <c r="AN924" s="32"/>
      <c r="AO924" s="32"/>
      <c r="AP924" s="24"/>
      <c r="AQ924" s="24"/>
      <c r="AR924" s="33"/>
      <c r="AS924" s="34"/>
      <c r="AT924" s="33"/>
      <c r="AV924" s="21">
        <f>IF(AND($AL924&lt;&gt;"",COUNTIF($AL$11:$AL924,$AL924)=1),1,0)</f>
        <v>0</v>
      </c>
      <c r="AW924" s="21">
        <f t="shared" si="115"/>
        <v>0</v>
      </c>
      <c r="AX924" s="21" t="str">
        <f t="shared" si="114"/>
        <v/>
      </c>
      <c r="AY924" s="21" t="str">
        <f>IF(AND($AM924&lt;&gt;"",$AS924&lt;&gt;"✓"),SUMPRODUCT(($AM$11:$AM924&lt;&gt;"")*($AS$11:$AS924&lt;&gt;"✓")),"")</f>
        <v/>
      </c>
      <c r="AZ924" s="21" t="str">
        <f>IF(AND($AM924&lt;&gt;"",$AS924="✓"),SUMPRODUCT(($AM$11:$AM924&lt;&gt;"")*($AS$11:$AS924="✓")),"")</f>
        <v/>
      </c>
      <c r="BA924" s="21" t="str">
        <f>IF($AL924="","",$AL924&amp;"|"&amp;COUNTIF($AL$11:$AL924,$AL924))</f>
        <v/>
      </c>
    </row>
    <row r="925" spans="23:53" ht="15" customHeight="1" x14ac:dyDescent="0.25">
      <c r="W925" s="14" t="str">
        <f>IF(X925="","",IFERROR(INDEX($AL$11:$AL$4010,MATCH(915,$AY$11:$AY$4010,0)),""))</f>
        <v/>
      </c>
      <c r="X925" s="12" t="str">
        <f>IFERROR(INDEX($AM$11:$AM$4010,MATCH(915,$AY$11:$AY$4010,0)),"")</f>
        <v/>
      </c>
      <c r="Y925" s="11" t="str">
        <f>IF(X925="","",IFERROR(INDEX($AN$11:$AN$4010,MATCH(915,$AY$11:$AY$4010,0)),""))</f>
        <v/>
      </c>
      <c r="Z925" s="11" t="str">
        <f>IF(X925="","",IFERROR(INDEX($AO$11:$AO$4010,MATCH(915,$AY$11:$AY$4010,0)),""))</f>
        <v/>
      </c>
      <c r="AA925" s="10" t="str">
        <f>IF(X925="","",IFERROR(INDEX($AQ$11:$AQ$4010,MATCH(915,$AY$11:$AY$4010,0)),""))</f>
        <v/>
      </c>
      <c r="AB925" s="15" t="str">
        <f>IF(X925="","",IFERROR(INDEX($AR$11:$AR$4010,MATCH(915,$AY$11:$AY$4010,0)),""))</f>
        <v/>
      </c>
      <c r="AD925" s="16" t="str">
        <f>IF(AE925="","",IFERROR(INDEX($AL$11:$AL$4010,MATCH(915,$AZ$11:$AZ$4010,0)),""))</f>
        <v/>
      </c>
      <c r="AE925" s="12" t="str">
        <f>IFERROR(INDEX($AM$11:$AM$4010,MATCH(915,$AZ$11:$AZ$4010,0)),"")</f>
        <v/>
      </c>
      <c r="AF925" s="11" t="str">
        <f>IF(AE925="","",IFERROR(INDEX($AN$11:$AN$4010,MATCH(915,$AZ$11:$AZ$4010,0)),""))</f>
        <v/>
      </c>
      <c r="AG925" s="11" t="str">
        <f>IF(AE925="","",IFERROR(INDEX($AO$11:$AO$4010,MATCH(915,$AZ$11:$AZ$4010,0)),""))</f>
        <v/>
      </c>
      <c r="AH925" s="10" t="str">
        <f>IF(AE925="","",IFERROR(INDEX($AQ$11:$AQ$4010,MATCH(915,$AZ$11:$AZ$4010,0)),""))</f>
        <v/>
      </c>
      <c r="AI925" s="15" t="str">
        <f>IF(AE925="","",IFERROR(INDEX($AR$11:$AR$4010,MATCH(915,$AZ$11:$AZ$4010,0)),""))</f>
        <v/>
      </c>
      <c r="AJ925" s="15" t="str">
        <f>IF(AE925="","",IFERROR(INDEX($AT$11:$AT$4010,MATCH(915,$AZ$11:$AZ$4010,0)),""))</f>
        <v/>
      </c>
      <c r="AL925" s="17"/>
      <c r="AM925" s="12"/>
      <c r="AN925" s="18"/>
      <c r="AO925" s="18"/>
      <c r="AP925" s="10"/>
      <c r="AQ925" s="10"/>
      <c r="AR925" s="19"/>
      <c r="AS925" s="20"/>
      <c r="AT925" s="19"/>
      <c r="AV925" s="21">
        <f>IF(AND($AL925&lt;&gt;"",COUNTIF($AL$11:$AL925,$AL925)=1),1,0)</f>
        <v>0</v>
      </c>
      <c r="AW925" s="21">
        <f t="shared" si="115"/>
        <v>0</v>
      </c>
      <c r="AX925" s="21" t="str">
        <f t="shared" si="114"/>
        <v/>
      </c>
      <c r="AY925" s="21" t="str">
        <f>IF(AND($AM925&lt;&gt;"",$AS925&lt;&gt;"✓"),SUMPRODUCT(($AM$11:$AM925&lt;&gt;"")*($AS$11:$AS925&lt;&gt;"✓")),"")</f>
        <v/>
      </c>
      <c r="AZ925" s="21" t="str">
        <f>IF(AND($AM925&lt;&gt;"",$AS925="✓"),SUMPRODUCT(($AM$11:$AM925&lt;&gt;"")*($AS$11:$AS925="✓")),"")</f>
        <v/>
      </c>
      <c r="BA925" s="21" t="str">
        <f>IF($AL925="","",$AL925&amp;"|"&amp;COUNTIF($AL$11:$AL925,$AL925))</f>
        <v/>
      </c>
    </row>
    <row r="926" spans="23:53" ht="15" customHeight="1" x14ac:dyDescent="0.25">
      <c r="W926" s="28" t="str">
        <f>IF(X926="","",IFERROR(INDEX($AL$11:$AL$4010,MATCH(916,$AY$11:$AY$4010,0)),""))</f>
        <v/>
      </c>
      <c r="X926" s="26" t="str">
        <f>IFERROR(INDEX($AM$11:$AM$4010,MATCH(916,$AY$11:$AY$4010,0)),"")</f>
        <v/>
      </c>
      <c r="Y926" s="25" t="str">
        <f>IF(X926="","",IFERROR(INDEX($AN$11:$AN$4010,MATCH(916,$AY$11:$AY$4010,0)),""))</f>
        <v/>
      </c>
      <c r="Z926" s="25" t="str">
        <f>IF(X926="","",IFERROR(INDEX($AO$11:$AO$4010,MATCH(916,$AY$11:$AY$4010,0)),""))</f>
        <v/>
      </c>
      <c r="AA926" s="24" t="str">
        <f>IF(X926="","",IFERROR(INDEX($AQ$11:$AQ$4010,MATCH(916,$AY$11:$AY$4010,0)),""))</f>
        <v/>
      </c>
      <c r="AB926" s="29" t="str">
        <f>IF(X926="","",IFERROR(INDEX($AR$11:$AR$4010,MATCH(916,$AY$11:$AY$4010,0)),""))</f>
        <v/>
      </c>
      <c r="AD926" s="30" t="str">
        <f>IF(AE926="","",IFERROR(INDEX($AL$11:$AL$4010,MATCH(916,$AZ$11:$AZ$4010,0)),""))</f>
        <v/>
      </c>
      <c r="AE926" s="26" t="str">
        <f>IFERROR(INDEX($AM$11:$AM$4010,MATCH(916,$AZ$11:$AZ$4010,0)),"")</f>
        <v/>
      </c>
      <c r="AF926" s="25" t="str">
        <f>IF(AE926="","",IFERROR(INDEX($AN$11:$AN$4010,MATCH(916,$AZ$11:$AZ$4010,0)),""))</f>
        <v/>
      </c>
      <c r="AG926" s="25" t="str">
        <f>IF(AE926="","",IFERROR(INDEX($AO$11:$AO$4010,MATCH(916,$AZ$11:$AZ$4010,0)),""))</f>
        <v/>
      </c>
      <c r="AH926" s="24" t="str">
        <f>IF(AE926="","",IFERROR(INDEX($AQ$11:$AQ$4010,MATCH(916,$AZ$11:$AZ$4010,0)),""))</f>
        <v/>
      </c>
      <c r="AI926" s="29" t="str">
        <f>IF(AE926="","",IFERROR(INDEX($AR$11:$AR$4010,MATCH(916,$AZ$11:$AZ$4010,0)),""))</f>
        <v/>
      </c>
      <c r="AJ926" s="29" t="str">
        <f>IF(AE926="","",IFERROR(INDEX($AT$11:$AT$4010,MATCH(916,$AZ$11:$AZ$4010,0)),""))</f>
        <v/>
      </c>
      <c r="AL926" s="31"/>
      <c r="AM926" s="26"/>
      <c r="AN926" s="32"/>
      <c r="AO926" s="32"/>
      <c r="AP926" s="24"/>
      <c r="AQ926" s="24"/>
      <c r="AR926" s="33"/>
      <c r="AS926" s="34"/>
      <c r="AT926" s="33"/>
      <c r="AV926" s="21">
        <f>IF(AND($AL926&lt;&gt;"",COUNTIF($AL$11:$AL926,$AL926)=1),1,0)</f>
        <v>0</v>
      </c>
      <c r="AW926" s="21">
        <f t="shared" si="115"/>
        <v>0</v>
      </c>
      <c r="AX926" s="21" t="str">
        <f t="shared" si="114"/>
        <v/>
      </c>
      <c r="AY926" s="21" t="str">
        <f>IF(AND($AM926&lt;&gt;"",$AS926&lt;&gt;"✓"),SUMPRODUCT(($AM$11:$AM926&lt;&gt;"")*($AS$11:$AS926&lt;&gt;"✓")),"")</f>
        <v/>
      </c>
      <c r="AZ926" s="21" t="str">
        <f>IF(AND($AM926&lt;&gt;"",$AS926="✓"),SUMPRODUCT(($AM$11:$AM926&lt;&gt;"")*($AS$11:$AS926="✓")),"")</f>
        <v/>
      </c>
      <c r="BA926" s="21" t="str">
        <f>IF($AL926="","",$AL926&amp;"|"&amp;COUNTIF($AL$11:$AL926,$AL926))</f>
        <v/>
      </c>
    </row>
    <row r="927" spans="23:53" ht="15" customHeight="1" x14ac:dyDescent="0.25">
      <c r="W927" s="14" t="str">
        <f>IF(X927="","",IFERROR(INDEX($AL$11:$AL$4010,MATCH(917,$AY$11:$AY$4010,0)),""))</f>
        <v/>
      </c>
      <c r="X927" s="12" t="str">
        <f>IFERROR(INDEX($AM$11:$AM$4010,MATCH(917,$AY$11:$AY$4010,0)),"")</f>
        <v/>
      </c>
      <c r="Y927" s="11" t="str">
        <f>IF(X927="","",IFERROR(INDEX($AN$11:$AN$4010,MATCH(917,$AY$11:$AY$4010,0)),""))</f>
        <v/>
      </c>
      <c r="Z927" s="11" t="str">
        <f>IF(X927="","",IFERROR(INDEX($AO$11:$AO$4010,MATCH(917,$AY$11:$AY$4010,0)),""))</f>
        <v/>
      </c>
      <c r="AA927" s="10" t="str">
        <f>IF(X927="","",IFERROR(INDEX($AQ$11:$AQ$4010,MATCH(917,$AY$11:$AY$4010,0)),""))</f>
        <v/>
      </c>
      <c r="AB927" s="15" t="str">
        <f>IF(X927="","",IFERROR(INDEX($AR$11:$AR$4010,MATCH(917,$AY$11:$AY$4010,0)),""))</f>
        <v/>
      </c>
      <c r="AD927" s="16" t="str">
        <f>IF(AE927="","",IFERROR(INDEX($AL$11:$AL$4010,MATCH(917,$AZ$11:$AZ$4010,0)),""))</f>
        <v/>
      </c>
      <c r="AE927" s="12" t="str">
        <f>IFERROR(INDEX($AM$11:$AM$4010,MATCH(917,$AZ$11:$AZ$4010,0)),"")</f>
        <v/>
      </c>
      <c r="AF927" s="11" t="str">
        <f>IF(AE927="","",IFERROR(INDEX($AN$11:$AN$4010,MATCH(917,$AZ$11:$AZ$4010,0)),""))</f>
        <v/>
      </c>
      <c r="AG927" s="11" t="str">
        <f>IF(AE927="","",IFERROR(INDEX($AO$11:$AO$4010,MATCH(917,$AZ$11:$AZ$4010,0)),""))</f>
        <v/>
      </c>
      <c r="AH927" s="10" t="str">
        <f>IF(AE927="","",IFERROR(INDEX($AQ$11:$AQ$4010,MATCH(917,$AZ$11:$AZ$4010,0)),""))</f>
        <v/>
      </c>
      <c r="AI927" s="15" t="str">
        <f>IF(AE927="","",IFERROR(INDEX($AR$11:$AR$4010,MATCH(917,$AZ$11:$AZ$4010,0)),""))</f>
        <v/>
      </c>
      <c r="AJ927" s="15" t="str">
        <f>IF(AE927="","",IFERROR(INDEX($AT$11:$AT$4010,MATCH(917,$AZ$11:$AZ$4010,0)),""))</f>
        <v/>
      </c>
      <c r="AL927" s="17"/>
      <c r="AM927" s="12"/>
      <c r="AN927" s="18"/>
      <c r="AO927" s="18"/>
      <c r="AP927" s="10"/>
      <c r="AQ927" s="10"/>
      <c r="AR927" s="19"/>
      <c r="AS927" s="20"/>
      <c r="AT927" s="19"/>
      <c r="AV927" s="21">
        <f>IF(AND($AL927&lt;&gt;"",COUNTIF($AL$11:$AL927,$AL927)=1),1,0)</f>
        <v>0</v>
      </c>
      <c r="AW927" s="21">
        <f t="shared" si="115"/>
        <v>0</v>
      </c>
      <c r="AX927" s="21" t="str">
        <f t="shared" si="114"/>
        <v/>
      </c>
      <c r="AY927" s="21" t="str">
        <f>IF(AND($AM927&lt;&gt;"",$AS927&lt;&gt;"✓"),SUMPRODUCT(($AM$11:$AM927&lt;&gt;"")*($AS$11:$AS927&lt;&gt;"✓")),"")</f>
        <v/>
      </c>
      <c r="AZ927" s="21" t="str">
        <f>IF(AND($AM927&lt;&gt;"",$AS927="✓"),SUMPRODUCT(($AM$11:$AM927&lt;&gt;"")*($AS$11:$AS927="✓")),"")</f>
        <v/>
      </c>
      <c r="BA927" s="21" t="str">
        <f>IF($AL927="","",$AL927&amp;"|"&amp;COUNTIF($AL$11:$AL927,$AL927))</f>
        <v/>
      </c>
    </row>
    <row r="928" spans="23:53" ht="15" customHeight="1" x14ac:dyDescent="0.25">
      <c r="W928" s="28" t="str">
        <f>IF(X928="","",IFERROR(INDEX($AL$11:$AL$4010,MATCH(918,$AY$11:$AY$4010,0)),""))</f>
        <v/>
      </c>
      <c r="X928" s="26" t="str">
        <f>IFERROR(INDEX($AM$11:$AM$4010,MATCH(918,$AY$11:$AY$4010,0)),"")</f>
        <v/>
      </c>
      <c r="Y928" s="25" t="str">
        <f>IF(X928="","",IFERROR(INDEX($AN$11:$AN$4010,MATCH(918,$AY$11:$AY$4010,0)),""))</f>
        <v/>
      </c>
      <c r="Z928" s="25" t="str">
        <f>IF(X928="","",IFERROR(INDEX($AO$11:$AO$4010,MATCH(918,$AY$11:$AY$4010,0)),""))</f>
        <v/>
      </c>
      <c r="AA928" s="24" t="str">
        <f>IF(X928="","",IFERROR(INDEX($AQ$11:$AQ$4010,MATCH(918,$AY$11:$AY$4010,0)),""))</f>
        <v/>
      </c>
      <c r="AB928" s="29" t="str">
        <f>IF(X928="","",IFERROR(INDEX($AR$11:$AR$4010,MATCH(918,$AY$11:$AY$4010,0)),""))</f>
        <v/>
      </c>
      <c r="AD928" s="30" t="str">
        <f>IF(AE928="","",IFERROR(INDEX($AL$11:$AL$4010,MATCH(918,$AZ$11:$AZ$4010,0)),""))</f>
        <v/>
      </c>
      <c r="AE928" s="26" t="str">
        <f>IFERROR(INDEX($AM$11:$AM$4010,MATCH(918,$AZ$11:$AZ$4010,0)),"")</f>
        <v/>
      </c>
      <c r="AF928" s="25" t="str">
        <f>IF(AE928="","",IFERROR(INDEX($AN$11:$AN$4010,MATCH(918,$AZ$11:$AZ$4010,0)),""))</f>
        <v/>
      </c>
      <c r="AG928" s="25" t="str">
        <f>IF(AE928="","",IFERROR(INDEX($AO$11:$AO$4010,MATCH(918,$AZ$11:$AZ$4010,0)),""))</f>
        <v/>
      </c>
      <c r="AH928" s="24" t="str">
        <f>IF(AE928="","",IFERROR(INDEX($AQ$11:$AQ$4010,MATCH(918,$AZ$11:$AZ$4010,0)),""))</f>
        <v/>
      </c>
      <c r="AI928" s="29" t="str">
        <f>IF(AE928="","",IFERROR(INDEX($AR$11:$AR$4010,MATCH(918,$AZ$11:$AZ$4010,0)),""))</f>
        <v/>
      </c>
      <c r="AJ928" s="29" t="str">
        <f>IF(AE928="","",IFERROR(INDEX($AT$11:$AT$4010,MATCH(918,$AZ$11:$AZ$4010,0)),""))</f>
        <v/>
      </c>
      <c r="AL928" s="31"/>
      <c r="AM928" s="26"/>
      <c r="AN928" s="32"/>
      <c r="AO928" s="32"/>
      <c r="AP928" s="24"/>
      <c r="AQ928" s="24"/>
      <c r="AR928" s="33"/>
      <c r="AS928" s="34"/>
      <c r="AT928" s="33"/>
      <c r="AV928" s="21">
        <f>IF(AND($AL928&lt;&gt;"",COUNTIF($AL$11:$AL928,$AL928)=1),1,0)</f>
        <v>0</v>
      </c>
      <c r="AW928" s="21">
        <f t="shared" si="115"/>
        <v>0</v>
      </c>
      <c r="AX928" s="21" t="str">
        <f t="shared" si="114"/>
        <v/>
      </c>
      <c r="AY928" s="21" t="str">
        <f>IF(AND($AM928&lt;&gt;"",$AS928&lt;&gt;"✓"),SUMPRODUCT(($AM$11:$AM928&lt;&gt;"")*($AS$11:$AS928&lt;&gt;"✓")),"")</f>
        <v/>
      </c>
      <c r="AZ928" s="21" t="str">
        <f>IF(AND($AM928&lt;&gt;"",$AS928="✓"),SUMPRODUCT(($AM$11:$AM928&lt;&gt;"")*($AS$11:$AS928="✓")),"")</f>
        <v/>
      </c>
      <c r="BA928" s="21" t="str">
        <f>IF($AL928="","",$AL928&amp;"|"&amp;COUNTIF($AL$11:$AL928,$AL928))</f>
        <v/>
      </c>
    </row>
    <row r="929" spans="23:53" ht="15" customHeight="1" x14ac:dyDescent="0.25">
      <c r="W929" s="14" t="str">
        <f>IF(X929="","",IFERROR(INDEX($AL$11:$AL$4010,MATCH(919,$AY$11:$AY$4010,0)),""))</f>
        <v/>
      </c>
      <c r="X929" s="12" t="str">
        <f>IFERROR(INDEX($AM$11:$AM$4010,MATCH(919,$AY$11:$AY$4010,0)),"")</f>
        <v/>
      </c>
      <c r="Y929" s="11" t="str">
        <f>IF(X929="","",IFERROR(INDEX($AN$11:$AN$4010,MATCH(919,$AY$11:$AY$4010,0)),""))</f>
        <v/>
      </c>
      <c r="Z929" s="11" t="str">
        <f>IF(X929="","",IFERROR(INDEX($AO$11:$AO$4010,MATCH(919,$AY$11:$AY$4010,0)),""))</f>
        <v/>
      </c>
      <c r="AA929" s="10" t="str">
        <f>IF(X929="","",IFERROR(INDEX($AQ$11:$AQ$4010,MATCH(919,$AY$11:$AY$4010,0)),""))</f>
        <v/>
      </c>
      <c r="AB929" s="15" t="str">
        <f>IF(X929="","",IFERROR(INDEX($AR$11:$AR$4010,MATCH(919,$AY$11:$AY$4010,0)),""))</f>
        <v/>
      </c>
      <c r="AD929" s="16" t="str">
        <f>IF(AE929="","",IFERROR(INDEX($AL$11:$AL$4010,MATCH(919,$AZ$11:$AZ$4010,0)),""))</f>
        <v/>
      </c>
      <c r="AE929" s="12" t="str">
        <f>IFERROR(INDEX($AM$11:$AM$4010,MATCH(919,$AZ$11:$AZ$4010,0)),"")</f>
        <v/>
      </c>
      <c r="AF929" s="11" t="str">
        <f>IF(AE929="","",IFERROR(INDEX($AN$11:$AN$4010,MATCH(919,$AZ$11:$AZ$4010,0)),""))</f>
        <v/>
      </c>
      <c r="AG929" s="11" t="str">
        <f>IF(AE929="","",IFERROR(INDEX($AO$11:$AO$4010,MATCH(919,$AZ$11:$AZ$4010,0)),""))</f>
        <v/>
      </c>
      <c r="AH929" s="10" t="str">
        <f>IF(AE929="","",IFERROR(INDEX($AQ$11:$AQ$4010,MATCH(919,$AZ$11:$AZ$4010,0)),""))</f>
        <v/>
      </c>
      <c r="AI929" s="15" t="str">
        <f>IF(AE929="","",IFERROR(INDEX($AR$11:$AR$4010,MATCH(919,$AZ$11:$AZ$4010,0)),""))</f>
        <v/>
      </c>
      <c r="AJ929" s="15" t="str">
        <f>IF(AE929="","",IFERROR(INDEX($AT$11:$AT$4010,MATCH(919,$AZ$11:$AZ$4010,0)),""))</f>
        <v/>
      </c>
      <c r="AL929" s="17"/>
      <c r="AM929" s="12"/>
      <c r="AN929" s="18"/>
      <c r="AO929" s="18"/>
      <c r="AP929" s="10"/>
      <c r="AQ929" s="10"/>
      <c r="AR929" s="19"/>
      <c r="AS929" s="20"/>
      <c r="AT929" s="19"/>
      <c r="AV929" s="21">
        <f>IF(AND($AL929&lt;&gt;"",COUNTIF($AL$11:$AL929,$AL929)=1),1,0)</f>
        <v>0</v>
      </c>
      <c r="AW929" s="21">
        <f t="shared" si="115"/>
        <v>0</v>
      </c>
      <c r="AX929" s="21" t="str">
        <f t="shared" si="114"/>
        <v/>
      </c>
      <c r="AY929" s="21" t="str">
        <f>IF(AND($AM929&lt;&gt;"",$AS929&lt;&gt;"✓"),SUMPRODUCT(($AM$11:$AM929&lt;&gt;"")*($AS$11:$AS929&lt;&gt;"✓")),"")</f>
        <v/>
      </c>
      <c r="AZ929" s="21" t="str">
        <f>IF(AND($AM929&lt;&gt;"",$AS929="✓"),SUMPRODUCT(($AM$11:$AM929&lt;&gt;"")*($AS$11:$AS929="✓")),"")</f>
        <v/>
      </c>
      <c r="BA929" s="21" t="str">
        <f>IF($AL929="","",$AL929&amp;"|"&amp;COUNTIF($AL$11:$AL929,$AL929))</f>
        <v/>
      </c>
    </row>
    <row r="930" spans="23:53" ht="15" customHeight="1" x14ac:dyDescent="0.25">
      <c r="W930" s="28" t="str">
        <f>IF(X930="","",IFERROR(INDEX($AL$11:$AL$4010,MATCH(920,$AY$11:$AY$4010,0)),""))</f>
        <v/>
      </c>
      <c r="X930" s="26" t="str">
        <f>IFERROR(INDEX($AM$11:$AM$4010,MATCH(920,$AY$11:$AY$4010,0)),"")</f>
        <v/>
      </c>
      <c r="Y930" s="25" t="str">
        <f>IF(X930="","",IFERROR(INDEX($AN$11:$AN$4010,MATCH(920,$AY$11:$AY$4010,0)),""))</f>
        <v/>
      </c>
      <c r="Z930" s="25" t="str">
        <f>IF(X930="","",IFERROR(INDEX($AO$11:$AO$4010,MATCH(920,$AY$11:$AY$4010,0)),""))</f>
        <v/>
      </c>
      <c r="AA930" s="24" t="str">
        <f>IF(X930="","",IFERROR(INDEX($AQ$11:$AQ$4010,MATCH(920,$AY$11:$AY$4010,0)),""))</f>
        <v/>
      </c>
      <c r="AB930" s="29" t="str">
        <f>IF(X930="","",IFERROR(INDEX($AR$11:$AR$4010,MATCH(920,$AY$11:$AY$4010,0)),""))</f>
        <v/>
      </c>
      <c r="AD930" s="30" t="str">
        <f>IF(AE930="","",IFERROR(INDEX($AL$11:$AL$4010,MATCH(920,$AZ$11:$AZ$4010,0)),""))</f>
        <v/>
      </c>
      <c r="AE930" s="26" t="str">
        <f>IFERROR(INDEX($AM$11:$AM$4010,MATCH(920,$AZ$11:$AZ$4010,0)),"")</f>
        <v/>
      </c>
      <c r="AF930" s="25" t="str">
        <f>IF(AE930="","",IFERROR(INDEX($AN$11:$AN$4010,MATCH(920,$AZ$11:$AZ$4010,0)),""))</f>
        <v/>
      </c>
      <c r="AG930" s="25" t="str">
        <f>IF(AE930="","",IFERROR(INDEX($AO$11:$AO$4010,MATCH(920,$AZ$11:$AZ$4010,0)),""))</f>
        <v/>
      </c>
      <c r="AH930" s="24" t="str">
        <f>IF(AE930="","",IFERROR(INDEX($AQ$11:$AQ$4010,MATCH(920,$AZ$11:$AZ$4010,0)),""))</f>
        <v/>
      </c>
      <c r="AI930" s="29" t="str">
        <f>IF(AE930="","",IFERROR(INDEX($AR$11:$AR$4010,MATCH(920,$AZ$11:$AZ$4010,0)),""))</f>
        <v/>
      </c>
      <c r="AJ930" s="29" t="str">
        <f>IF(AE930="","",IFERROR(INDEX($AT$11:$AT$4010,MATCH(920,$AZ$11:$AZ$4010,0)),""))</f>
        <v/>
      </c>
      <c r="AL930" s="31"/>
      <c r="AM930" s="26"/>
      <c r="AN930" s="32"/>
      <c r="AO930" s="32"/>
      <c r="AP930" s="24"/>
      <c r="AQ930" s="24"/>
      <c r="AR930" s="33"/>
      <c r="AS930" s="34"/>
      <c r="AT930" s="33"/>
      <c r="AV930" s="21">
        <f>IF(AND($AL930&lt;&gt;"",COUNTIF($AL$11:$AL930,$AL930)=1),1,0)</f>
        <v>0</v>
      </c>
      <c r="AW930" s="21">
        <f t="shared" si="115"/>
        <v>0</v>
      </c>
      <c r="AX930" s="21" t="str">
        <f t="shared" si="114"/>
        <v/>
      </c>
      <c r="AY930" s="21" t="str">
        <f>IF(AND($AM930&lt;&gt;"",$AS930&lt;&gt;"✓"),SUMPRODUCT(($AM$11:$AM930&lt;&gt;"")*($AS$11:$AS930&lt;&gt;"✓")),"")</f>
        <v/>
      </c>
      <c r="AZ930" s="21" t="str">
        <f>IF(AND($AM930&lt;&gt;"",$AS930="✓"),SUMPRODUCT(($AM$11:$AM930&lt;&gt;"")*($AS$11:$AS930="✓")),"")</f>
        <v/>
      </c>
      <c r="BA930" s="21" t="str">
        <f>IF($AL930="","",$AL930&amp;"|"&amp;COUNTIF($AL$11:$AL930,$AL930))</f>
        <v/>
      </c>
    </row>
    <row r="931" spans="23:53" ht="15" customHeight="1" x14ac:dyDescent="0.25">
      <c r="W931" s="14" t="str">
        <f>IF(X931="","",IFERROR(INDEX($AL$11:$AL$4010,MATCH(921,$AY$11:$AY$4010,0)),""))</f>
        <v/>
      </c>
      <c r="X931" s="12" t="str">
        <f>IFERROR(INDEX($AM$11:$AM$4010,MATCH(921,$AY$11:$AY$4010,0)),"")</f>
        <v/>
      </c>
      <c r="Y931" s="11" t="str">
        <f>IF(X931="","",IFERROR(INDEX($AN$11:$AN$4010,MATCH(921,$AY$11:$AY$4010,0)),""))</f>
        <v/>
      </c>
      <c r="Z931" s="11" t="str">
        <f>IF(X931="","",IFERROR(INDEX($AO$11:$AO$4010,MATCH(921,$AY$11:$AY$4010,0)),""))</f>
        <v/>
      </c>
      <c r="AA931" s="10" t="str">
        <f>IF(X931="","",IFERROR(INDEX($AQ$11:$AQ$4010,MATCH(921,$AY$11:$AY$4010,0)),""))</f>
        <v/>
      </c>
      <c r="AB931" s="15" t="str">
        <f>IF(X931="","",IFERROR(INDEX($AR$11:$AR$4010,MATCH(921,$AY$11:$AY$4010,0)),""))</f>
        <v/>
      </c>
      <c r="AD931" s="16" t="str">
        <f>IF(AE931="","",IFERROR(INDEX($AL$11:$AL$4010,MATCH(921,$AZ$11:$AZ$4010,0)),""))</f>
        <v/>
      </c>
      <c r="AE931" s="12" t="str">
        <f>IFERROR(INDEX($AM$11:$AM$4010,MATCH(921,$AZ$11:$AZ$4010,0)),"")</f>
        <v/>
      </c>
      <c r="AF931" s="11" t="str">
        <f>IF(AE931="","",IFERROR(INDEX($AN$11:$AN$4010,MATCH(921,$AZ$11:$AZ$4010,0)),""))</f>
        <v/>
      </c>
      <c r="AG931" s="11" t="str">
        <f>IF(AE931="","",IFERROR(INDEX($AO$11:$AO$4010,MATCH(921,$AZ$11:$AZ$4010,0)),""))</f>
        <v/>
      </c>
      <c r="AH931" s="10" t="str">
        <f>IF(AE931="","",IFERROR(INDEX($AQ$11:$AQ$4010,MATCH(921,$AZ$11:$AZ$4010,0)),""))</f>
        <v/>
      </c>
      <c r="AI931" s="15" t="str">
        <f>IF(AE931="","",IFERROR(INDEX($AR$11:$AR$4010,MATCH(921,$AZ$11:$AZ$4010,0)),""))</f>
        <v/>
      </c>
      <c r="AJ931" s="15" t="str">
        <f>IF(AE931="","",IFERROR(INDEX($AT$11:$AT$4010,MATCH(921,$AZ$11:$AZ$4010,0)),""))</f>
        <v/>
      </c>
      <c r="AL931" s="17"/>
      <c r="AM931" s="12"/>
      <c r="AN931" s="18"/>
      <c r="AO931" s="18"/>
      <c r="AP931" s="10"/>
      <c r="AQ931" s="10"/>
      <c r="AR931" s="19"/>
      <c r="AS931" s="20"/>
      <c r="AT931" s="19"/>
      <c r="AV931" s="21">
        <f>IF(AND($AL931&lt;&gt;"",COUNTIF($AL$11:$AL931,$AL931)=1),1,0)</f>
        <v>0</v>
      </c>
      <c r="AW931" s="21">
        <f t="shared" si="115"/>
        <v>0</v>
      </c>
      <c r="AX931" s="21" t="str">
        <f t="shared" si="114"/>
        <v/>
      </c>
      <c r="AY931" s="21" t="str">
        <f>IF(AND($AM931&lt;&gt;"",$AS931&lt;&gt;"✓"),SUMPRODUCT(($AM$11:$AM931&lt;&gt;"")*($AS$11:$AS931&lt;&gt;"✓")),"")</f>
        <v/>
      </c>
      <c r="AZ931" s="21" t="str">
        <f>IF(AND($AM931&lt;&gt;"",$AS931="✓"),SUMPRODUCT(($AM$11:$AM931&lt;&gt;"")*($AS$11:$AS931="✓")),"")</f>
        <v/>
      </c>
      <c r="BA931" s="21" t="str">
        <f>IF($AL931="","",$AL931&amp;"|"&amp;COUNTIF($AL$11:$AL931,$AL931))</f>
        <v/>
      </c>
    </row>
    <row r="932" spans="23:53" ht="15" customHeight="1" x14ac:dyDescent="0.25">
      <c r="W932" s="28" t="str">
        <f>IF(X932="","",IFERROR(INDEX($AL$11:$AL$4010,MATCH(922,$AY$11:$AY$4010,0)),""))</f>
        <v/>
      </c>
      <c r="X932" s="26" t="str">
        <f>IFERROR(INDEX($AM$11:$AM$4010,MATCH(922,$AY$11:$AY$4010,0)),"")</f>
        <v/>
      </c>
      <c r="Y932" s="25" t="str">
        <f>IF(X932="","",IFERROR(INDEX($AN$11:$AN$4010,MATCH(922,$AY$11:$AY$4010,0)),""))</f>
        <v/>
      </c>
      <c r="Z932" s="25" t="str">
        <f>IF(X932="","",IFERROR(INDEX($AO$11:$AO$4010,MATCH(922,$AY$11:$AY$4010,0)),""))</f>
        <v/>
      </c>
      <c r="AA932" s="24" t="str">
        <f>IF(X932="","",IFERROR(INDEX($AQ$11:$AQ$4010,MATCH(922,$AY$11:$AY$4010,0)),""))</f>
        <v/>
      </c>
      <c r="AB932" s="29" t="str">
        <f>IF(X932="","",IFERROR(INDEX($AR$11:$AR$4010,MATCH(922,$AY$11:$AY$4010,0)),""))</f>
        <v/>
      </c>
      <c r="AD932" s="30" t="str">
        <f>IF(AE932="","",IFERROR(INDEX($AL$11:$AL$4010,MATCH(922,$AZ$11:$AZ$4010,0)),""))</f>
        <v/>
      </c>
      <c r="AE932" s="26" t="str">
        <f>IFERROR(INDEX($AM$11:$AM$4010,MATCH(922,$AZ$11:$AZ$4010,0)),"")</f>
        <v/>
      </c>
      <c r="AF932" s="25" t="str">
        <f>IF(AE932="","",IFERROR(INDEX($AN$11:$AN$4010,MATCH(922,$AZ$11:$AZ$4010,0)),""))</f>
        <v/>
      </c>
      <c r="AG932" s="25" t="str">
        <f>IF(AE932="","",IFERROR(INDEX($AO$11:$AO$4010,MATCH(922,$AZ$11:$AZ$4010,0)),""))</f>
        <v/>
      </c>
      <c r="AH932" s="24" t="str">
        <f>IF(AE932="","",IFERROR(INDEX($AQ$11:$AQ$4010,MATCH(922,$AZ$11:$AZ$4010,0)),""))</f>
        <v/>
      </c>
      <c r="AI932" s="29" t="str">
        <f>IF(AE932="","",IFERROR(INDEX($AR$11:$AR$4010,MATCH(922,$AZ$11:$AZ$4010,0)),""))</f>
        <v/>
      </c>
      <c r="AJ932" s="29" t="str">
        <f>IF(AE932="","",IFERROR(INDEX($AT$11:$AT$4010,MATCH(922,$AZ$11:$AZ$4010,0)),""))</f>
        <v/>
      </c>
      <c r="AL932" s="31"/>
      <c r="AM932" s="26"/>
      <c r="AN932" s="32"/>
      <c r="AO932" s="32"/>
      <c r="AP932" s="24"/>
      <c r="AQ932" s="24"/>
      <c r="AR932" s="33"/>
      <c r="AS932" s="34"/>
      <c r="AT932" s="33"/>
      <c r="AV932" s="21">
        <f>IF(AND($AL932&lt;&gt;"",COUNTIF($AL$11:$AL932,$AL932)=1),1,0)</f>
        <v>0</v>
      </c>
      <c r="AW932" s="21">
        <f t="shared" si="115"/>
        <v>0</v>
      </c>
      <c r="AX932" s="21" t="str">
        <f t="shared" si="114"/>
        <v/>
      </c>
      <c r="AY932" s="21" t="str">
        <f>IF(AND($AM932&lt;&gt;"",$AS932&lt;&gt;"✓"),SUMPRODUCT(($AM$11:$AM932&lt;&gt;"")*($AS$11:$AS932&lt;&gt;"✓")),"")</f>
        <v/>
      </c>
      <c r="AZ932" s="21" t="str">
        <f>IF(AND($AM932&lt;&gt;"",$AS932="✓"),SUMPRODUCT(($AM$11:$AM932&lt;&gt;"")*($AS$11:$AS932="✓")),"")</f>
        <v/>
      </c>
      <c r="BA932" s="21" t="str">
        <f>IF($AL932="","",$AL932&amp;"|"&amp;COUNTIF($AL$11:$AL932,$AL932))</f>
        <v/>
      </c>
    </row>
    <row r="933" spans="23:53" ht="15" customHeight="1" x14ac:dyDescent="0.25">
      <c r="W933" s="14" t="str">
        <f>IF(X933="","",IFERROR(INDEX($AL$11:$AL$4010,MATCH(923,$AY$11:$AY$4010,0)),""))</f>
        <v/>
      </c>
      <c r="X933" s="12" t="str">
        <f>IFERROR(INDEX($AM$11:$AM$4010,MATCH(923,$AY$11:$AY$4010,0)),"")</f>
        <v/>
      </c>
      <c r="Y933" s="11" t="str">
        <f>IF(X933="","",IFERROR(INDEX($AN$11:$AN$4010,MATCH(923,$AY$11:$AY$4010,0)),""))</f>
        <v/>
      </c>
      <c r="Z933" s="11" t="str">
        <f>IF(X933="","",IFERROR(INDEX($AO$11:$AO$4010,MATCH(923,$AY$11:$AY$4010,0)),""))</f>
        <v/>
      </c>
      <c r="AA933" s="10" t="str">
        <f>IF(X933="","",IFERROR(INDEX($AQ$11:$AQ$4010,MATCH(923,$AY$11:$AY$4010,0)),""))</f>
        <v/>
      </c>
      <c r="AB933" s="15" t="str">
        <f>IF(X933="","",IFERROR(INDEX($AR$11:$AR$4010,MATCH(923,$AY$11:$AY$4010,0)),""))</f>
        <v/>
      </c>
      <c r="AD933" s="16" t="str">
        <f>IF(AE933="","",IFERROR(INDEX($AL$11:$AL$4010,MATCH(923,$AZ$11:$AZ$4010,0)),""))</f>
        <v/>
      </c>
      <c r="AE933" s="12" t="str">
        <f>IFERROR(INDEX($AM$11:$AM$4010,MATCH(923,$AZ$11:$AZ$4010,0)),"")</f>
        <v/>
      </c>
      <c r="AF933" s="11" t="str">
        <f>IF(AE933="","",IFERROR(INDEX($AN$11:$AN$4010,MATCH(923,$AZ$11:$AZ$4010,0)),""))</f>
        <v/>
      </c>
      <c r="AG933" s="11" t="str">
        <f>IF(AE933="","",IFERROR(INDEX($AO$11:$AO$4010,MATCH(923,$AZ$11:$AZ$4010,0)),""))</f>
        <v/>
      </c>
      <c r="AH933" s="10" t="str">
        <f>IF(AE933="","",IFERROR(INDEX($AQ$11:$AQ$4010,MATCH(923,$AZ$11:$AZ$4010,0)),""))</f>
        <v/>
      </c>
      <c r="AI933" s="15" t="str">
        <f>IF(AE933="","",IFERROR(INDEX($AR$11:$AR$4010,MATCH(923,$AZ$11:$AZ$4010,0)),""))</f>
        <v/>
      </c>
      <c r="AJ933" s="15" t="str">
        <f>IF(AE933="","",IFERROR(INDEX($AT$11:$AT$4010,MATCH(923,$AZ$11:$AZ$4010,0)),""))</f>
        <v/>
      </c>
      <c r="AL933" s="17"/>
      <c r="AM933" s="12"/>
      <c r="AN933" s="18"/>
      <c r="AO933" s="18"/>
      <c r="AP933" s="10"/>
      <c r="AQ933" s="10"/>
      <c r="AR933" s="19"/>
      <c r="AS933" s="20"/>
      <c r="AT933" s="19"/>
      <c r="AV933" s="21">
        <f>IF(AND($AL933&lt;&gt;"",COUNTIF($AL$11:$AL933,$AL933)=1),1,0)</f>
        <v>0</v>
      </c>
      <c r="AW933" s="21">
        <f t="shared" si="115"/>
        <v>0</v>
      </c>
      <c r="AX933" s="21" t="str">
        <f t="shared" si="114"/>
        <v/>
      </c>
      <c r="AY933" s="21" t="str">
        <f>IF(AND($AM933&lt;&gt;"",$AS933&lt;&gt;"✓"),SUMPRODUCT(($AM$11:$AM933&lt;&gt;"")*($AS$11:$AS933&lt;&gt;"✓")),"")</f>
        <v/>
      </c>
      <c r="AZ933" s="21" t="str">
        <f>IF(AND($AM933&lt;&gt;"",$AS933="✓"),SUMPRODUCT(($AM$11:$AM933&lt;&gt;"")*($AS$11:$AS933="✓")),"")</f>
        <v/>
      </c>
      <c r="BA933" s="21" t="str">
        <f>IF($AL933="","",$AL933&amp;"|"&amp;COUNTIF($AL$11:$AL933,$AL933))</f>
        <v/>
      </c>
    </row>
    <row r="934" spans="23:53" ht="15" customHeight="1" x14ac:dyDescent="0.25">
      <c r="W934" s="28" t="str">
        <f>IF(X934="","",IFERROR(INDEX($AL$11:$AL$4010,MATCH(924,$AY$11:$AY$4010,0)),""))</f>
        <v/>
      </c>
      <c r="X934" s="26" t="str">
        <f>IFERROR(INDEX($AM$11:$AM$4010,MATCH(924,$AY$11:$AY$4010,0)),"")</f>
        <v/>
      </c>
      <c r="Y934" s="25" t="str">
        <f>IF(X934="","",IFERROR(INDEX($AN$11:$AN$4010,MATCH(924,$AY$11:$AY$4010,0)),""))</f>
        <v/>
      </c>
      <c r="Z934" s="25" t="str">
        <f>IF(X934="","",IFERROR(INDEX($AO$11:$AO$4010,MATCH(924,$AY$11:$AY$4010,0)),""))</f>
        <v/>
      </c>
      <c r="AA934" s="24" t="str">
        <f>IF(X934="","",IFERROR(INDEX($AQ$11:$AQ$4010,MATCH(924,$AY$11:$AY$4010,0)),""))</f>
        <v/>
      </c>
      <c r="AB934" s="29" t="str">
        <f>IF(X934="","",IFERROR(INDEX($AR$11:$AR$4010,MATCH(924,$AY$11:$AY$4010,0)),""))</f>
        <v/>
      </c>
      <c r="AD934" s="30" t="str">
        <f>IF(AE934="","",IFERROR(INDEX($AL$11:$AL$4010,MATCH(924,$AZ$11:$AZ$4010,0)),""))</f>
        <v/>
      </c>
      <c r="AE934" s="26" t="str">
        <f>IFERROR(INDEX($AM$11:$AM$4010,MATCH(924,$AZ$11:$AZ$4010,0)),"")</f>
        <v/>
      </c>
      <c r="AF934" s="25" t="str">
        <f>IF(AE934="","",IFERROR(INDEX($AN$11:$AN$4010,MATCH(924,$AZ$11:$AZ$4010,0)),""))</f>
        <v/>
      </c>
      <c r="AG934" s="25" t="str">
        <f>IF(AE934="","",IFERROR(INDEX($AO$11:$AO$4010,MATCH(924,$AZ$11:$AZ$4010,0)),""))</f>
        <v/>
      </c>
      <c r="AH934" s="24" t="str">
        <f>IF(AE934="","",IFERROR(INDEX($AQ$11:$AQ$4010,MATCH(924,$AZ$11:$AZ$4010,0)),""))</f>
        <v/>
      </c>
      <c r="AI934" s="29" t="str">
        <f>IF(AE934="","",IFERROR(INDEX($AR$11:$AR$4010,MATCH(924,$AZ$11:$AZ$4010,0)),""))</f>
        <v/>
      </c>
      <c r="AJ934" s="29" t="str">
        <f>IF(AE934="","",IFERROR(INDEX($AT$11:$AT$4010,MATCH(924,$AZ$11:$AZ$4010,0)),""))</f>
        <v/>
      </c>
      <c r="AL934" s="31"/>
      <c r="AM934" s="26"/>
      <c r="AN934" s="32"/>
      <c r="AO934" s="32"/>
      <c r="AP934" s="24"/>
      <c r="AQ934" s="24"/>
      <c r="AR934" s="33"/>
      <c r="AS934" s="34"/>
      <c r="AT934" s="33"/>
      <c r="AV934" s="21">
        <f>IF(AND($AL934&lt;&gt;"",COUNTIF($AL$11:$AL934,$AL934)=1),1,0)</f>
        <v>0</v>
      </c>
      <c r="AW934" s="21">
        <f t="shared" si="115"/>
        <v>0</v>
      </c>
      <c r="AX934" s="21" t="str">
        <f t="shared" si="114"/>
        <v/>
      </c>
      <c r="AY934" s="21" t="str">
        <f>IF(AND($AM934&lt;&gt;"",$AS934&lt;&gt;"✓"),SUMPRODUCT(($AM$11:$AM934&lt;&gt;"")*($AS$11:$AS934&lt;&gt;"✓")),"")</f>
        <v/>
      </c>
      <c r="AZ934" s="21" t="str">
        <f>IF(AND($AM934&lt;&gt;"",$AS934="✓"),SUMPRODUCT(($AM$11:$AM934&lt;&gt;"")*($AS$11:$AS934="✓")),"")</f>
        <v/>
      </c>
      <c r="BA934" s="21" t="str">
        <f>IF($AL934="","",$AL934&amp;"|"&amp;COUNTIF($AL$11:$AL934,$AL934))</f>
        <v/>
      </c>
    </row>
    <row r="935" spans="23:53" ht="15" customHeight="1" x14ac:dyDescent="0.25">
      <c r="W935" s="14" t="str">
        <f>IF(X935="","",IFERROR(INDEX($AL$11:$AL$4010,MATCH(925,$AY$11:$AY$4010,0)),""))</f>
        <v/>
      </c>
      <c r="X935" s="12" t="str">
        <f>IFERROR(INDEX($AM$11:$AM$4010,MATCH(925,$AY$11:$AY$4010,0)),"")</f>
        <v/>
      </c>
      <c r="Y935" s="11" t="str">
        <f>IF(X935="","",IFERROR(INDEX($AN$11:$AN$4010,MATCH(925,$AY$11:$AY$4010,0)),""))</f>
        <v/>
      </c>
      <c r="Z935" s="11" t="str">
        <f>IF(X935="","",IFERROR(INDEX($AO$11:$AO$4010,MATCH(925,$AY$11:$AY$4010,0)),""))</f>
        <v/>
      </c>
      <c r="AA935" s="10" t="str">
        <f>IF(X935="","",IFERROR(INDEX($AQ$11:$AQ$4010,MATCH(925,$AY$11:$AY$4010,0)),""))</f>
        <v/>
      </c>
      <c r="AB935" s="15" t="str">
        <f>IF(X935="","",IFERROR(INDEX($AR$11:$AR$4010,MATCH(925,$AY$11:$AY$4010,0)),""))</f>
        <v/>
      </c>
      <c r="AD935" s="16" t="str">
        <f>IF(AE935="","",IFERROR(INDEX($AL$11:$AL$4010,MATCH(925,$AZ$11:$AZ$4010,0)),""))</f>
        <v/>
      </c>
      <c r="AE935" s="12" t="str">
        <f>IFERROR(INDEX($AM$11:$AM$4010,MATCH(925,$AZ$11:$AZ$4010,0)),"")</f>
        <v/>
      </c>
      <c r="AF935" s="11" t="str">
        <f>IF(AE935="","",IFERROR(INDEX($AN$11:$AN$4010,MATCH(925,$AZ$11:$AZ$4010,0)),""))</f>
        <v/>
      </c>
      <c r="AG935" s="11" t="str">
        <f>IF(AE935="","",IFERROR(INDEX($AO$11:$AO$4010,MATCH(925,$AZ$11:$AZ$4010,0)),""))</f>
        <v/>
      </c>
      <c r="AH935" s="10" t="str">
        <f>IF(AE935="","",IFERROR(INDEX($AQ$11:$AQ$4010,MATCH(925,$AZ$11:$AZ$4010,0)),""))</f>
        <v/>
      </c>
      <c r="AI935" s="15" t="str">
        <f>IF(AE935="","",IFERROR(INDEX($AR$11:$AR$4010,MATCH(925,$AZ$11:$AZ$4010,0)),""))</f>
        <v/>
      </c>
      <c r="AJ935" s="15" t="str">
        <f>IF(AE935="","",IFERROR(INDEX($AT$11:$AT$4010,MATCH(925,$AZ$11:$AZ$4010,0)),""))</f>
        <v/>
      </c>
      <c r="AL935" s="17"/>
      <c r="AM935" s="12"/>
      <c r="AN935" s="18"/>
      <c r="AO935" s="18"/>
      <c r="AP935" s="10"/>
      <c r="AQ935" s="10"/>
      <c r="AR935" s="19"/>
      <c r="AS935" s="20"/>
      <c r="AT935" s="19"/>
      <c r="AV935" s="21">
        <f>IF(AND($AL935&lt;&gt;"",COUNTIF($AL$11:$AL935,$AL935)=1),1,0)</f>
        <v>0</v>
      </c>
      <c r="AW935" s="21">
        <f t="shared" si="115"/>
        <v>0</v>
      </c>
      <c r="AX935" s="21" t="str">
        <f t="shared" si="114"/>
        <v/>
      </c>
      <c r="AY935" s="21" t="str">
        <f>IF(AND($AM935&lt;&gt;"",$AS935&lt;&gt;"✓"),SUMPRODUCT(($AM$11:$AM935&lt;&gt;"")*($AS$11:$AS935&lt;&gt;"✓")),"")</f>
        <v/>
      </c>
      <c r="AZ935" s="21" t="str">
        <f>IF(AND($AM935&lt;&gt;"",$AS935="✓"),SUMPRODUCT(($AM$11:$AM935&lt;&gt;"")*($AS$11:$AS935="✓")),"")</f>
        <v/>
      </c>
      <c r="BA935" s="21" t="str">
        <f>IF($AL935="","",$AL935&amp;"|"&amp;COUNTIF($AL$11:$AL935,$AL935))</f>
        <v/>
      </c>
    </row>
    <row r="936" spans="23:53" ht="15" customHeight="1" x14ac:dyDescent="0.25">
      <c r="W936" s="28" t="str">
        <f>IF(X936="","",IFERROR(INDEX($AL$11:$AL$4010,MATCH(926,$AY$11:$AY$4010,0)),""))</f>
        <v/>
      </c>
      <c r="X936" s="26" t="str">
        <f>IFERROR(INDEX($AM$11:$AM$4010,MATCH(926,$AY$11:$AY$4010,0)),"")</f>
        <v/>
      </c>
      <c r="Y936" s="25" t="str">
        <f>IF(X936="","",IFERROR(INDEX($AN$11:$AN$4010,MATCH(926,$AY$11:$AY$4010,0)),""))</f>
        <v/>
      </c>
      <c r="Z936" s="25" t="str">
        <f>IF(X936="","",IFERROR(INDEX($AO$11:$AO$4010,MATCH(926,$AY$11:$AY$4010,0)),""))</f>
        <v/>
      </c>
      <c r="AA936" s="24" t="str">
        <f>IF(X936="","",IFERROR(INDEX($AQ$11:$AQ$4010,MATCH(926,$AY$11:$AY$4010,0)),""))</f>
        <v/>
      </c>
      <c r="AB936" s="29" t="str">
        <f>IF(X936="","",IFERROR(INDEX($AR$11:$AR$4010,MATCH(926,$AY$11:$AY$4010,0)),""))</f>
        <v/>
      </c>
      <c r="AD936" s="30" t="str">
        <f>IF(AE936="","",IFERROR(INDEX($AL$11:$AL$4010,MATCH(926,$AZ$11:$AZ$4010,0)),""))</f>
        <v/>
      </c>
      <c r="AE936" s="26" t="str">
        <f>IFERROR(INDEX($AM$11:$AM$4010,MATCH(926,$AZ$11:$AZ$4010,0)),"")</f>
        <v/>
      </c>
      <c r="AF936" s="25" t="str">
        <f>IF(AE936="","",IFERROR(INDEX($AN$11:$AN$4010,MATCH(926,$AZ$11:$AZ$4010,0)),""))</f>
        <v/>
      </c>
      <c r="AG936" s="25" t="str">
        <f>IF(AE936="","",IFERROR(INDEX($AO$11:$AO$4010,MATCH(926,$AZ$11:$AZ$4010,0)),""))</f>
        <v/>
      </c>
      <c r="AH936" s="24" t="str">
        <f>IF(AE936="","",IFERROR(INDEX($AQ$11:$AQ$4010,MATCH(926,$AZ$11:$AZ$4010,0)),""))</f>
        <v/>
      </c>
      <c r="AI936" s="29" t="str">
        <f>IF(AE936="","",IFERROR(INDEX($AR$11:$AR$4010,MATCH(926,$AZ$11:$AZ$4010,0)),""))</f>
        <v/>
      </c>
      <c r="AJ936" s="29" t="str">
        <f>IF(AE936="","",IFERROR(INDEX($AT$11:$AT$4010,MATCH(926,$AZ$11:$AZ$4010,0)),""))</f>
        <v/>
      </c>
      <c r="AL936" s="31"/>
      <c r="AM936" s="26"/>
      <c r="AN936" s="32"/>
      <c r="AO936" s="32"/>
      <c r="AP936" s="24"/>
      <c r="AQ936" s="24"/>
      <c r="AR936" s="33"/>
      <c r="AS936" s="34"/>
      <c r="AT936" s="33"/>
      <c r="AV936" s="21">
        <f>IF(AND($AL936&lt;&gt;"",COUNTIF($AL$11:$AL936,$AL936)=1),1,0)</f>
        <v>0</v>
      </c>
      <c r="AW936" s="21">
        <f t="shared" si="115"/>
        <v>0</v>
      </c>
      <c r="AX936" s="21" t="str">
        <f t="shared" si="114"/>
        <v/>
      </c>
      <c r="AY936" s="21" t="str">
        <f>IF(AND($AM936&lt;&gt;"",$AS936&lt;&gt;"✓"),SUMPRODUCT(($AM$11:$AM936&lt;&gt;"")*($AS$11:$AS936&lt;&gt;"✓")),"")</f>
        <v/>
      </c>
      <c r="AZ936" s="21" t="str">
        <f>IF(AND($AM936&lt;&gt;"",$AS936="✓"),SUMPRODUCT(($AM$11:$AM936&lt;&gt;"")*($AS$11:$AS936="✓")),"")</f>
        <v/>
      </c>
      <c r="BA936" s="21" t="str">
        <f>IF($AL936="","",$AL936&amp;"|"&amp;COUNTIF($AL$11:$AL936,$AL936))</f>
        <v/>
      </c>
    </row>
    <row r="937" spans="23:53" ht="15" customHeight="1" x14ac:dyDescent="0.25">
      <c r="W937" s="14" t="str">
        <f>IF(X937="","",IFERROR(INDEX($AL$11:$AL$4010,MATCH(927,$AY$11:$AY$4010,0)),""))</f>
        <v/>
      </c>
      <c r="X937" s="12" t="str">
        <f>IFERROR(INDEX($AM$11:$AM$4010,MATCH(927,$AY$11:$AY$4010,0)),"")</f>
        <v/>
      </c>
      <c r="Y937" s="11" t="str">
        <f>IF(X937="","",IFERROR(INDEX($AN$11:$AN$4010,MATCH(927,$AY$11:$AY$4010,0)),""))</f>
        <v/>
      </c>
      <c r="Z937" s="11" t="str">
        <f>IF(X937="","",IFERROR(INDEX($AO$11:$AO$4010,MATCH(927,$AY$11:$AY$4010,0)),""))</f>
        <v/>
      </c>
      <c r="AA937" s="10" t="str">
        <f>IF(X937="","",IFERROR(INDEX($AQ$11:$AQ$4010,MATCH(927,$AY$11:$AY$4010,0)),""))</f>
        <v/>
      </c>
      <c r="AB937" s="15" t="str">
        <f>IF(X937="","",IFERROR(INDEX($AR$11:$AR$4010,MATCH(927,$AY$11:$AY$4010,0)),""))</f>
        <v/>
      </c>
      <c r="AD937" s="16" t="str">
        <f>IF(AE937="","",IFERROR(INDEX($AL$11:$AL$4010,MATCH(927,$AZ$11:$AZ$4010,0)),""))</f>
        <v/>
      </c>
      <c r="AE937" s="12" t="str">
        <f>IFERROR(INDEX($AM$11:$AM$4010,MATCH(927,$AZ$11:$AZ$4010,0)),"")</f>
        <v/>
      </c>
      <c r="AF937" s="11" t="str">
        <f>IF(AE937="","",IFERROR(INDEX($AN$11:$AN$4010,MATCH(927,$AZ$11:$AZ$4010,0)),""))</f>
        <v/>
      </c>
      <c r="AG937" s="11" t="str">
        <f>IF(AE937="","",IFERROR(INDEX($AO$11:$AO$4010,MATCH(927,$AZ$11:$AZ$4010,0)),""))</f>
        <v/>
      </c>
      <c r="AH937" s="10" t="str">
        <f>IF(AE937="","",IFERROR(INDEX($AQ$11:$AQ$4010,MATCH(927,$AZ$11:$AZ$4010,0)),""))</f>
        <v/>
      </c>
      <c r="AI937" s="15" t="str">
        <f>IF(AE937="","",IFERROR(INDEX($AR$11:$AR$4010,MATCH(927,$AZ$11:$AZ$4010,0)),""))</f>
        <v/>
      </c>
      <c r="AJ937" s="15" t="str">
        <f>IF(AE937="","",IFERROR(INDEX($AT$11:$AT$4010,MATCH(927,$AZ$11:$AZ$4010,0)),""))</f>
        <v/>
      </c>
      <c r="AL937" s="17"/>
      <c r="AM937" s="12"/>
      <c r="AN937" s="18"/>
      <c r="AO937" s="18"/>
      <c r="AP937" s="10"/>
      <c r="AQ937" s="10"/>
      <c r="AR937" s="19"/>
      <c r="AS937" s="20"/>
      <c r="AT937" s="19"/>
      <c r="AV937" s="21">
        <f>IF(AND($AL937&lt;&gt;"",COUNTIF($AL$11:$AL937,$AL937)=1),1,0)</f>
        <v>0</v>
      </c>
      <c r="AW937" s="21">
        <f t="shared" si="115"/>
        <v>0</v>
      </c>
      <c r="AX937" s="21" t="str">
        <f t="shared" si="114"/>
        <v/>
      </c>
      <c r="AY937" s="21" t="str">
        <f>IF(AND($AM937&lt;&gt;"",$AS937&lt;&gt;"✓"),SUMPRODUCT(($AM$11:$AM937&lt;&gt;"")*($AS$11:$AS937&lt;&gt;"✓")),"")</f>
        <v/>
      </c>
      <c r="AZ937" s="21" t="str">
        <f>IF(AND($AM937&lt;&gt;"",$AS937="✓"),SUMPRODUCT(($AM$11:$AM937&lt;&gt;"")*($AS$11:$AS937="✓")),"")</f>
        <v/>
      </c>
      <c r="BA937" s="21" t="str">
        <f>IF($AL937="","",$AL937&amp;"|"&amp;COUNTIF($AL$11:$AL937,$AL937))</f>
        <v/>
      </c>
    </row>
    <row r="938" spans="23:53" ht="15" customHeight="1" x14ac:dyDescent="0.25">
      <c r="W938" s="28" t="str">
        <f>IF(X938="","",IFERROR(INDEX($AL$11:$AL$4010,MATCH(928,$AY$11:$AY$4010,0)),""))</f>
        <v/>
      </c>
      <c r="X938" s="26" t="str">
        <f>IFERROR(INDEX($AM$11:$AM$4010,MATCH(928,$AY$11:$AY$4010,0)),"")</f>
        <v/>
      </c>
      <c r="Y938" s="25" t="str">
        <f>IF(X938="","",IFERROR(INDEX($AN$11:$AN$4010,MATCH(928,$AY$11:$AY$4010,0)),""))</f>
        <v/>
      </c>
      <c r="Z938" s="25" t="str">
        <f>IF(X938="","",IFERROR(INDEX($AO$11:$AO$4010,MATCH(928,$AY$11:$AY$4010,0)),""))</f>
        <v/>
      </c>
      <c r="AA938" s="24" t="str">
        <f>IF(X938="","",IFERROR(INDEX($AQ$11:$AQ$4010,MATCH(928,$AY$11:$AY$4010,0)),""))</f>
        <v/>
      </c>
      <c r="AB938" s="29" t="str">
        <f>IF(X938="","",IFERROR(INDEX($AR$11:$AR$4010,MATCH(928,$AY$11:$AY$4010,0)),""))</f>
        <v/>
      </c>
      <c r="AD938" s="30" t="str">
        <f>IF(AE938="","",IFERROR(INDEX($AL$11:$AL$4010,MATCH(928,$AZ$11:$AZ$4010,0)),""))</f>
        <v/>
      </c>
      <c r="AE938" s="26" t="str">
        <f>IFERROR(INDEX($AM$11:$AM$4010,MATCH(928,$AZ$11:$AZ$4010,0)),"")</f>
        <v/>
      </c>
      <c r="AF938" s="25" t="str">
        <f>IF(AE938="","",IFERROR(INDEX($AN$11:$AN$4010,MATCH(928,$AZ$11:$AZ$4010,0)),""))</f>
        <v/>
      </c>
      <c r="AG938" s="25" t="str">
        <f>IF(AE938="","",IFERROR(INDEX($AO$11:$AO$4010,MATCH(928,$AZ$11:$AZ$4010,0)),""))</f>
        <v/>
      </c>
      <c r="AH938" s="24" t="str">
        <f>IF(AE938="","",IFERROR(INDEX($AQ$11:$AQ$4010,MATCH(928,$AZ$11:$AZ$4010,0)),""))</f>
        <v/>
      </c>
      <c r="AI938" s="29" t="str">
        <f>IF(AE938="","",IFERROR(INDEX($AR$11:$AR$4010,MATCH(928,$AZ$11:$AZ$4010,0)),""))</f>
        <v/>
      </c>
      <c r="AJ938" s="29" t="str">
        <f>IF(AE938="","",IFERROR(INDEX($AT$11:$AT$4010,MATCH(928,$AZ$11:$AZ$4010,0)),""))</f>
        <v/>
      </c>
      <c r="AL938" s="31"/>
      <c r="AM938" s="26"/>
      <c r="AN938" s="32"/>
      <c r="AO938" s="32"/>
      <c r="AP938" s="24"/>
      <c r="AQ938" s="24"/>
      <c r="AR938" s="33"/>
      <c r="AS938" s="34"/>
      <c r="AT938" s="33"/>
      <c r="AV938" s="21">
        <f>IF(AND($AL938&lt;&gt;"",COUNTIF($AL$11:$AL938,$AL938)=1),1,0)</f>
        <v>0</v>
      </c>
      <c r="AW938" s="21">
        <f t="shared" si="115"/>
        <v>0</v>
      </c>
      <c r="AX938" s="21" t="str">
        <f t="shared" si="114"/>
        <v/>
      </c>
      <c r="AY938" s="21" t="str">
        <f>IF(AND($AM938&lt;&gt;"",$AS938&lt;&gt;"✓"),SUMPRODUCT(($AM$11:$AM938&lt;&gt;"")*($AS$11:$AS938&lt;&gt;"✓")),"")</f>
        <v/>
      </c>
      <c r="AZ938" s="21" t="str">
        <f>IF(AND($AM938&lt;&gt;"",$AS938="✓"),SUMPRODUCT(($AM$11:$AM938&lt;&gt;"")*($AS$11:$AS938="✓")),"")</f>
        <v/>
      </c>
      <c r="BA938" s="21" t="str">
        <f>IF($AL938="","",$AL938&amp;"|"&amp;COUNTIF($AL$11:$AL938,$AL938))</f>
        <v/>
      </c>
    </row>
    <row r="939" spans="23:53" ht="15" customHeight="1" x14ac:dyDescent="0.25">
      <c r="W939" s="14" t="str">
        <f>IF(X939="","",IFERROR(INDEX($AL$11:$AL$4010,MATCH(929,$AY$11:$AY$4010,0)),""))</f>
        <v/>
      </c>
      <c r="X939" s="12" t="str">
        <f>IFERROR(INDEX($AM$11:$AM$4010,MATCH(929,$AY$11:$AY$4010,0)),"")</f>
        <v/>
      </c>
      <c r="Y939" s="11" t="str">
        <f>IF(X939="","",IFERROR(INDEX($AN$11:$AN$4010,MATCH(929,$AY$11:$AY$4010,0)),""))</f>
        <v/>
      </c>
      <c r="Z939" s="11" t="str">
        <f>IF(X939="","",IFERROR(INDEX($AO$11:$AO$4010,MATCH(929,$AY$11:$AY$4010,0)),""))</f>
        <v/>
      </c>
      <c r="AA939" s="10" t="str">
        <f>IF(X939="","",IFERROR(INDEX($AQ$11:$AQ$4010,MATCH(929,$AY$11:$AY$4010,0)),""))</f>
        <v/>
      </c>
      <c r="AB939" s="15" t="str">
        <f>IF(X939="","",IFERROR(INDEX($AR$11:$AR$4010,MATCH(929,$AY$11:$AY$4010,0)),""))</f>
        <v/>
      </c>
      <c r="AD939" s="16" t="str">
        <f>IF(AE939="","",IFERROR(INDEX($AL$11:$AL$4010,MATCH(929,$AZ$11:$AZ$4010,0)),""))</f>
        <v/>
      </c>
      <c r="AE939" s="12" t="str">
        <f>IFERROR(INDEX($AM$11:$AM$4010,MATCH(929,$AZ$11:$AZ$4010,0)),"")</f>
        <v/>
      </c>
      <c r="AF939" s="11" t="str">
        <f>IF(AE939="","",IFERROR(INDEX($AN$11:$AN$4010,MATCH(929,$AZ$11:$AZ$4010,0)),""))</f>
        <v/>
      </c>
      <c r="AG939" s="11" t="str">
        <f>IF(AE939="","",IFERROR(INDEX($AO$11:$AO$4010,MATCH(929,$AZ$11:$AZ$4010,0)),""))</f>
        <v/>
      </c>
      <c r="AH939" s="10" t="str">
        <f>IF(AE939="","",IFERROR(INDEX($AQ$11:$AQ$4010,MATCH(929,$AZ$11:$AZ$4010,0)),""))</f>
        <v/>
      </c>
      <c r="AI939" s="15" t="str">
        <f>IF(AE939="","",IFERROR(INDEX($AR$11:$AR$4010,MATCH(929,$AZ$11:$AZ$4010,0)),""))</f>
        <v/>
      </c>
      <c r="AJ939" s="15" t="str">
        <f>IF(AE939="","",IFERROR(INDEX($AT$11:$AT$4010,MATCH(929,$AZ$11:$AZ$4010,0)),""))</f>
        <v/>
      </c>
      <c r="AL939" s="17"/>
      <c r="AM939" s="12"/>
      <c r="AN939" s="18"/>
      <c r="AO939" s="18"/>
      <c r="AP939" s="10"/>
      <c r="AQ939" s="10"/>
      <c r="AR939" s="19"/>
      <c r="AS939" s="20"/>
      <c r="AT939" s="19"/>
      <c r="AV939" s="21">
        <f>IF(AND($AL939&lt;&gt;"",COUNTIF($AL$11:$AL939,$AL939)=1),1,0)</f>
        <v>0</v>
      </c>
      <c r="AW939" s="21">
        <f t="shared" si="115"/>
        <v>0</v>
      </c>
      <c r="AX939" s="21" t="str">
        <f t="shared" si="114"/>
        <v/>
      </c>
      <c r="AY939" s="21" t="str">
        <f>IF(AND($AM939&lt;&gt;"",$AS939&lt;&gt;"✓"),SUMPRODUCT(($AM$11:$AM939&lt;&gt;"")*($AS$11:$AS939&lt;&gt;"✓")),"")</f>
        <v/>
      </c>
      <c r="AZ939" s="21" t="str">
        <f>IF(AND($AM939&lt;&gt;"",$AS939="✓"),SUMPRODUCT(($AM$11:$AM939&lt;&gt;"")*($AS$11:$AS939="✓")),"")</f>
        <v/>
      </c>
      <c r="BA939" s="21" t="str">
        <f>IF($AL939="","",$AL939&amp;"|"&amp;COUNTIF($AL$11:$AL939,$AL939))</f>
        <v/>
      </c>
    </row>
    <row r="940" spans="23:53" ht="15" customHeight="1" x14ac:dyDescent="0.25">
      <c r="W940" s="28" t="str">
        <f>IF(X940="","",IFERROR(INDEX($AL$11:$AL$4010,MATCH(930,$AY$11:$AY$4010,0)),""))</f>
        <v/>
      </c>
      <c r="X940" s="26" t="str">
        <f>IFERROR(INDEX($AM$11:$AM$4010,MATCH(930,$AY$11:$AY$4010,0)),"")</f>
        <v/>
      </c>
      <c r="Y940" s="25" t="str">
        <f>IF(X940="","",IFERROR(INDEX($AN$11:$AN$4010,MATCH(930,$AY$11:$AY$4010,0)),""))</f>
        <v/>
      </c>
      <c r="Z940" s="25" t="str">
        <f>IF(X940="","",IFERROR(INDEX($AO$11:$AO$4010,MATCH(930,$AY$11:$AY$4010,0)),""))</f>
        <v/>
      </c>
      <c r="AA940" s="24" t="str">
        <f>IF(X940="","",IFERROR(INDEX($AQ$11:$AQ$4010,MATCH(930,$AY$11:$AY$4010,0)),""))</f>
        <v/>
      </c>
      <c r="AB940" s="29" t="str">
        <f>IF(X940="","",IFERROR(INDEX($AR$11:$AR$4010,MATCH(930,$AY$11:$AY$4010,0)),""))</f>
        <v/>
      </c>
      <c r="AD940" s="30" t="str">
        <f>IF(AE940="","",IFERROR(INDEX($AL$11:$AL$4010,MATCH(930,$AZ$11:$AZ$4010,0)),""))</f>
        <v/>
      </c>
      <c r="AE940" s="26" t="str">
        <f>IFERROR(INDEX($AM$11:$AM$4010,MATCH(930,$AZ$11:$AZ$4010,0)),"")</f>
        <v/>
      </c>
      <c r="AF940" s="25" t="str">
        <f>IF(AE940="","",IFERROR(INDEX($AN$11:$AN$4010,MATCH(930,$AZ$11:$AZ$4010,0)),""))</f>
        <v/>
      </c>
      <c r="AG940" s="25" t="str">
        <f>IF(AE940="","",IFERROR(INDEX($AO$11:$AO$4010,MATCH(930,$AZ$11:$AZ$4010,0)),""))</f>
        <v/>
      </c>
      <c r="AH940" s="24" t="str">
        <f>IF(AE940="","",IFERROR(INDEX($AQ$11:$AQ$4010,MATCH(930,$AZ$11:$AZ$4010,0)),""))</f>
        <v/>
      </c>
      <c r="AI940" s="29" t="str">
        <f>IF(AE940="","",IFERROR(INDEX($AR$11:$AR$4010,MATCH(930,$AZ$11:$AZ$4010,0)),""))</f>
        <v/>
      </c>
      <c r="AJ940" s="29" t="str">
        <f>IF(AE940="","",IFERROR(INDEX($AT$11:$AT$4010,MATCH(930,$AZ$11:$AZ$4010,0)),""))</f>
        <v/>
      </c>
      <c r="AL940" s="31"/>
      <c r="AM940" s="26"/>
      <c r="AN940" s="32"/>
      <c r="AO940" s="32"/>
      <c r="AP940" s="24"/>
      <c r="AQ940" s="24"/>
      <c r="AR940" s="33"/>
      <c r="AS940" s="34"/>
      <c r="AT940" s="33"/>
      <c r="AV940" s="21">
        <f>IF(AND($AL940&lt;&gt;"",COUNTIF($AL$11:$AL940,$AL940)=1),1,0)</f>
        <v>0</v>
      </c>
      <c r="AW940" s="21">
        <f t="shared" si="115"/>
        <v>0</v>
      </c>
      <c r="AX940" s="21" t="str">
        <f t="shared" si="114"/>
        <v/>
      </c>
      <c r="AY940" s="21" t="str">
        <f>IF(AND($AM940&lt;&gt;"",$AS940&lt;&gt;"✓"),SUMPRODUCT(($AM$11:$AM940&lt;&gt;"")*($AS$11:$AS940&lt;&gt;"✓")),"")</f>
        <v/>
      </c>
      <c r="AZ940" s="21" t="str">
        <f>IF(AND($AM940&lt;&gt;"",$AS940="✓"),SUMPRODUCT(($AM$11:$AM940&lt;&gt;"")*($AS$11:$AS940="✓")),"")</f>
        <v/>
      </c>
      <c r="BA940" s="21" t="str">
        <f>IF($AL940="","",$AL940&amp;"|"&amp;COUNTIF($AL$11:$AL940,$AL940))</f>
        <v/>
      </c>
    </row>
    <row r="941" spans="23:53" ht="15" customHeight="1" x14ac:dyDescent="0.25">
      <c r="W941" s="14" t="str">
        <f>IF(X941="","",IFERROR(INDEX($AL$11:$AL$4010,MATCH(931,$AY$11:$AY$4010,0)),""))</f>
        <v/>
      </c>
      <c r="X941" s="12" t="str">
        <f>IFERROR(INDEX($AM$11:$AM$4010,MATCH(931,$AY$11:$AY$4010,0)),"")</f>
        <v/>
      </c>
      <c r="Y941" s="11" t="str">
        <f>IF(X941="","",IFERROR(INDEX($AN$11:$AN$4010,MATCH(931,$AY$11:$AY$4010,0)),""))</f>
        <v/>
      </c>
      <c r="Z941" s="11" t="str">
        <f>IF(X941="","",IFERROR(INDEX($AO$11:$AO$4010,MATCH(931,$AY$11:$AY$4010,0)),""))</f>
        <v/>
      </c>
      <c r="AA941" s="10" t="str">
        <f>IF(X941="","",IFERROR(INDEX($AQ$11:$AQ$4010,MATCH(931,$AY$11:$AY$4010,0)),""))</f>
        <v/>
      </c>
      <c r="AB941" s="15" t="str">
        <f>IF(X941="","",IFERROR(INDEX($AR$11:$AR$4010,MATCH(931,$AY$11:$AY$4010,0)),""))</f>
        <v/>
      </c>
      <c r="AD941" s="16" t="str">
        <f>IF(AE941="","",IFERROR(INDEX($AL$11:$AL$4010,MATCH(931,$AZ$11:$AZ$4010,0)),""))</f>
        <v/>
      </c>
      <c r="AE941" s="12" t="str">
        <f>IFERROR(INDEX($AM$11:$AM$4010,MATCH(931,$AZ$11:$AZ$4010,0)),"")</f>
        <v/>
      </c>
      <c r="AF941" s="11" t="str">
        <f>IF(AE941="","",IFERROR(INDEX($AN$11:$AN$4010,MATCH(931,$AZ$11:$AZ$4010,0)),""))</f>
        <v/>
      </c>
      <c r="AG941" s="11" t="str">
        <f>IF(AE941="","",IFERROR(INDEX($AO$11:$AO$4010,MATCH(931,$AZ$11:$AZ$4010,0)),""))</f>
        <v/>
      </c>
      <c r="AH941" s="10" t="str">
        <f>IF(AE941="","",IFERROR(INDEX($AQ$11:$AQ$4010,MATCH(931,$AZ$11:$AZ$4010,0)),""))</f>
        <v/>
      </c>
      <c r="AI941" s="15" t="str">
        <f>IF(AE941="","",IFERROR(INDEX($AR$11:$AR$4010,MATCH(931,$AZ$11:$AZ$4010,0)),""))</f>
        <v/>
      </c>
      <c r="AJ941" s="15" t="str">
        <f>IF(AE941="","",IFERROR(INDEX($AT$11:$AT$4010,MATCH(931,$AZ$11:$AZ$4010,0)),""))</f>
        <v/>
      </c>
      <c r="AL941" s="17"/>
      <c r="AM941" s="12"/>
      <c r="AN941" s="18"/>
      <c r="AO941" s="18"/>
      <c r="AP941" s="10"/>
      <c r="AQ941" s="10"/>
      <c r="AR941" s="19"/>
      <c r="AS941" s="20"/>
      <c r="AT941" s="19"/>
      <c r="AV941" s="21">
        <f>IF(AND($AL941&lt;&gt;"",COUNTIF($AL$11:$AL941,$AL941)=1),1,0)</f>
        <v>0</v>
      </c>
      <c r="AW941" s="21">
        <f t="shared" si="115"/>
        <v>0</v>
      </c>
      <c r="AX941" s="21" t="str">
        <f t="shared" si="114"/>
        <v/>
      </c>
      <c r="AY941" s="21" t="str">
        <f>IF(AND($AM941&lt;&gt;"",$AS941&lt;&gt;"✓"),SUMPRODUCT(($AM$11:$AM941&lt;&gt;"")*($AS$11:$AS941&lt;&gt;"✓")),"")</f>
        <v/>
      </c>
      <c r="AZ941" s="21" t="str">
        <f>IF(AND($AM941&lt;&gt;"",$AS941="✓"),SUMPRODUCT(($AM$11:$AM941&lt;&gt;"")*($AS$11:$AS941="✓")),"")</f>
        <v/>
      </c>
      <c r="BA941" s="21" t="str">
        <f>IF($AL941="","",$AL941&amp;"|"&amp;COUNTIF($AL$11:$AL941,$AL941))</f>
        <v/>
      </c>
    </row>
    <row r="942" spans="23:53" ht="15" customHeight="1" x14ac:dyDescent="0.25">
      <c r="W942" s="28" t="str">
        <f>IF(X942="","",IFERROR(INDEX($AL$11:$AL$4010,MATCH(932,$AY$11:$AY$4010,0)),""))</f>
        <v/>
      </c>
      <c r="X942" s="26" t="str">
        <f>IFERROR(INDEX($AM$11:$AM$4010,MATCH(932,$AY$11:$AY$4010,0)),"")</f>
        <v/>
      </c>
      <c r="Y942" s="25" t="str">
        <f>IF(X942="","",IFERROR(INDEX($AN$11:$AN$4010,MATCH(932,$AY$11:$AY$4010,0)),""))</f>
        <v/>
      </c>
      <c r="Z942" s="25" t="str">
        <f>IF(X942="","",IFERROR(INDEX($AO$11:$AO$4010,MATCH(932,$AY$11:$AY$4010,0)),""))</f>
        <v/>
      </c>
      <c r="AA942" s="24" t="str">
        <f>IF(X942="","",IFERROR(INDEX($AQ$11:$AQ$4010,MATCH(932,$AY$11:$AY$4010,0)),""))</f>
        <v/>
      </c>
      <c r="AB942" s="29" t="str">
        <f>IF(X942="","",IFERROR(INDEX($AR$11:$AR$4010,MATCH(932,$AY$11:$AY$4010,0)),""))</f>
        <v/>
      </c>
      <c r="AD942" s="30" t="str">
        <f>IF(AE942="","",IFERROR(INDEX($AL$11:$AL$4010,MATCH(932,$AZ$11:$AZ$4010,0)),""))</f>
        <v/>
      </c>
      <c r="AE942" s="26" t="str">
        <f>IFERROR(INDEX($AM$11:$AM$4010,MATCH(932,$AZ$11:$AZ$4010,0)),"")</f>
        <v/>
      </c>
      <c r="AF942" s="25" t="str">
        <f>IF(AE942="","",IFERROR(INDEX($AN$11:$AN$4010,MATCH(932,$AZ$11:$AZ$4010,0)),""))</f>
        <v/>
      </c>
      <c r="AG942" s="25" t="str">
        <f>IF(AE942="","",IFERROR(INDEX($AO$11:$AO$4010,MATCH(932,$AZ$11:$AZ$4010,0)),""))</f>
        <v/>
      </c>
      <c r="AH942" s="24" t="str">
        <f>IF(AE942="","",IFERROR(INDEX($AQ$11:$AQ$4010,MATCH(932,$AZ$11:$AZ$4010,0)),""))</f>
        <v/>
      </c>
      <c r="AI942" s="29" t="str">
        <f>IF(AE942="","",IFERROR(INDEX($AR$11:$AR$4010,MATCH(932,$AZ$11:$AZ$4010,0)),""))</f>
        <v/>
      </c>
      <c r="AJ942" s="29" t="str">
        <f>IF(AE942="","",IFERROR(INDEX($AT$11:$AT$4010,MATCH(932,$AZ$11:$AZ$4010,0)),""))</f>
        <v/>
      </c>
      <c r="AL942" s="31"/>
      <c r="AM942" s="26"/>
      <c r="AN942" s="32"/>
      <c r="AO942" s="32"/>
      <c r="AP942" s="24"/>
      <c r="AQ942" s="24"/>
      <c r="AR942" s="33"/>
      <c r="AS942" s="34"/>
      <c r="AT942" s="33"/>
      <c r="AV942" s="21">
        <f>IF(AND($AL942&lt;&gt;"",COUNTIF($AL$11:$AL942,$AL942)=1),1,0)</f>
        <v>0</v>
      </c>
      <c r="AW942" s="21">
        <f t="shared" si="115"/>
        <v>0</v>
      </c>
      <c r="AX942" s="21" t="str">
        <f t="shared" si="114"/>
        <v/>
      </c>
      <c r="AY942" s="21" t="str">
        <f>IF(AND($AM942&lt;&gt;"",$AS942&lt;&gt;"✓"),SUMPRODUCT(($AM$11:$AM942&lt;&gt;"")*($AS$11:$AS942&lt;&gt;"✓")),"")</f>
        <v/>
      </c>
      <c r="AZ942" s="21" t="str">
        <f>IF(AND($AM942&lt;&gt;"",$AS942="✓"),SUMPRODUCT(($AM$11:$AM942&lt;&gt;"")*($AS$11:$AS942="✓")),"")</f>
        <v/>
      </c>
      <c r="BA942" s="21" t="str">
        <f>IF($AL942="","",$AL942&amp;"|"&amp;COUNTIF($AL$11:$AL942,$AL942))</f>
        <v/>
      </c>
    </row>
    <row r="943" spans="23:53" ht="15" customHeight="1" x14ac:dyDescent="0.25">
      <c r="W943" s="14" t="str">
        <f>IF(X943="","",IFERROR(INDEX($AL$11:$AL$4010,MATCH(933,$AY$11:$AY$4010,0)),""))</f>
        <v/>
      </c>
      <c r="X943" s="12" t="str">
        <f>IFERROR(INDEX($AM$11:$AM$4010,MATCH(933,$AY$11:$AY$4010,0)),"")</f>
        <v/>
      </c>
      <c r="Y943" s="11" t="str">
        <f>IF(X943="","",IFERROR(INDEX($AN$11:$AN$4010,MATCH(933,$AY$11:$AY$4010,0)),""))</f>
        <v/>
      </c>
      <c r="Z943" s="11" t="str">
        <f>IF(X943="","",IFERROR(INDEX($AO$11:$AO$4010,MATCH(933,$AY$11:$AY$4010,0)),""))</f>
        <v/>
      </c>
      <c r="AA943" s="10" t="str">
        <f>IF(X943="","",IFERROR(INDEX($AQ$11:$AQ$4010,MATCH(933,$AY$11:$AY$4010,0)),""))</f>
        <v/>
      </c>
      <c r="AB943" s="15" t="str">
        <f>IF(X943="","",IFERROR(INDEX($AR$11:$AR$4010,MATCH(933,$AY$11:$AY$4010,0)),""))</f>
        <v/>
      </c>
      <c r="AD943" s="16" t="str">
        <f>IF(AE943="","",IFERROR(INDEX($AL$11:$AL$4010,MATCH(933,$AZ$11:$AZ$4010,0)),""))</f>
        <v/>
      </c>
      <c r="AE943" s="12" t="str">
        <f>IFERROR(INDEX($AM$11:$AM$4010,MATCH(933,$AZ$11:$AZ$4010,0)),"")</f>
        <v/>
      </c>
      <c r="AF943" s="11" t="str">
        <f>IF(AE943="","",IFERROR(INDEX($AN$11:$AN$4010,MATCH(933,$AZ$11:$AZ$4010,0)),""))</f>
        <v/>
      </c>
      <c r="AG943" s="11" t="str">
        <f>IF(AE943="","",IFERROR(INDEX($AO$11:$AO$4010,MATCH(933,$AZ$11:$AZ$4010,0)),""))</f>
        <v/>
      </c>
      <c r="AH943" s="10" t="str">
        <f>IF(AE943="","",IFERROR(INDEX($AQ$11:$AQ$4010,MATCH(933,$AZ$11:$AZ$4010,0)),""))</f>
        <v/>
      </c>
      <c r="AI943" s="15" t="str">
        <f>IF(AE943="","",IFERROR(INDEX($AR$11:$AR$4010,MATCH(933,$AZ$11:$AZ$4010,0)),""))</f>
        <v/>
      </c>
      <c r="AJ943" s="15" t="str">
        <f>IF(AE943="","",IFERROR(INDEX($AT$11:$AT$4010,MATCH(933,$AZ$11:$AZ$4010,0)),""))</f>
        <v/>
      </c>
      <c r="AL943" s="17"/>
      <c r="AM943" s="12"/>
      <c r="AN943" s="18"/>
      <c r="AO943" s="18"/>
      <c r="AP943" s="10"/>
      <c r="AQ943" s="10"/>
      <c r="AR943" s="19"/>
      <c r="AS943" s="20"/>
      <c r="AT943" s="19"/>
      <c r="AV943" s="21">
        <f>IF(AND($AL943&lt;&gt;"",COUNTIF($AL$11:$AL943,$AL943)=1),1,0)</f>
        <v>0</v>
      </c>
      <c r="AW943" s="21">
        <f t="shared" si="115"/>
        <v>0</v>
      </c>
      <c r="AX943" s="21" t="str">
        <f t="shared" si="114"/>
        <v/>
      </c>
      <c r="AY943" s="21" t="str">
        <f>IF(AND($AM943&lt;&gt;"",$AS943&lt;&gt;"✓"),SUMPRODUCT(($AM$11:$AM943&lt;&gt;"")*($AS$11:$AS943&lt;&gt;"✓")),"")</f>
        <v/>
      </c>
      <c r="AZ943" s="21" t="str">
        <f>IF(AND($AM943&lt;&gt;"",$AS943="✓"),SUMPRODUCT(($AM$11:$AM943&lt;&gt;"")*($AS$11:$AS943="✓")),"")</f>
        <v/>
      </c>
      <c r="BA943" s="21" t="str">
        <f>IF($AL943="","",$AL943&amp;"|"&amp;COUNTIF($AL$11:$AL943,$AL943))</f>
        <v/>
      </c>
    </row>
    <row r="944" spans="23:53" ht="15" customHeight="1" x14ac:dyDescent="0.25">
      <c r="W944" s="28" t="str">
        <f>IF(X944="","",IFERROR(INDEX($AL$11:$AL$4010,MATCH(934,$AY$11:$AY$4010,0)),""))</f>
        <v/>
      </c>
      <c r="X944" s="26" t="str">
        <f>IFERROR(INDEX($AM$11:$AM$4010,MATCH(934,$AY$11:$AY$4010,0)),"")</f>
        <v/>
      </c>
      <c r="Y944" s="25" t="str">
        <f>IF(X944="","",IFERROR(INDEX($AN$11:$AN$4010,MATCH(934,$AY$11:$AY$4010,0)),""))</f>
        <v/>
      </c>
      <c r="Z944" s="25" t="str">
        <f>IF(X944="","",IFERROR(INDEX($AO$11:$AO$4010,MATCH(934,$AY$11:$AY$4010,0)),""))</f>
        <v/>
      </c>
      <c r="AA944" s="24" t="str">
        <f>IF(X944="","",IFERROR(INDEX($AQ$11:$AQ$4010,MATCH(934,$AY$11:$AY$4010,0)),""))</f>
        <v/>
      </c>
      <c r="AB944" s="29" t="str">
        <f>IF(X944="","",IFERROR(INDEX($AR$11:$AR$4010,MATCH(934,$AY$11:$AY$4010,0)),""))</f>
        <v/>
      </c>
      <c r="AD944" s="30" t="str">
        <f>IF(AE944="","",IFERROR(INDEX($AL$11:$AL$4010,MATCH(934,$AZ$11:$AZ$4010,0)),""))</f>
        <v/>
      </c>
      <c r="AE944" s="26" t="str">
        <f>IFERROR(INDEX($AM$11:$AM$4010,MATCH(934,$AZ$11:$AZ$4010,0)),"")</f>
        <v/>
      </c>
      <c r="AF944" s="25" t="str">
        <f>IF(AE944="","",IFERROR(INDEX($AN$11:$AN$4010,MATCH(934,$AZ$11:$AZ$4010,0)),""))</f>
        <v/>
      </c>
      <c r="AG944" s="25" t="str">
        <f>IF(AE944="","",IFERROR(INDEX($AO$11:$AO$4010,MATCH(934,$AZ$11:$AZ$4010,0)),""))</f>
        <v/>
      </c>
      <c r="AH944" s="24" t="str">
        <f>IF(AE944="","",IFERROR(INDEX($AQ$11:$AQ$4010,MATCH(934,$AZ$11:$AZ$4010,0)),""))</f>
        <v/>
      </c>
      <c r="AI944" s="29" t="str">
        <f>IF(AE944="","",IFERROR(INDEX($AR$11:$AR$4010,MATCH(934,$AZ$11:$AZ$4010,0)),""))</f>
        <v/>
      </c>
      <c r="AJ944" s="29" t="str">
        <f>IF(AE944="","",IFERROR(INDEX($AT$11:$AT$4010,MATCH(934,$AZ$11:$AZ$4010,0)),""))</f>
        <v/>
      </c>
      <c r="AL944" s="31"/>
      <c r="AM944" s="26"/>
      <c r="AN944" s="32"/>
      <c r="AO944" s="32"/>
      <c r="AP944" s="24"/>
      <c r="AQ944" s="24"/>
      <c r="AR944" s="33"/>
      <c r="AS944" s="34"/>
      <c r="AT944" s="33"/>
      <c r="AV944" s="21">
        <f>IF(AND($AL944&lt;&gt;"",COUNTIF($AL$11:$AL944,$AL944)=1),1,0)</f>
        <v>0</v>
      </c>
      <c r="AW944" s="21">
        <f t="shared" si="115"/>
        <v>0</v>
      </c>
      <c r="AX944" s="21" t="str">
        <f t="shared" si="114"/>
        <v/>
      </c>
      <c r="AY944" s="21" t="str">
        <f>IF(AND($AM944&lt;&gt;"",$AS944&lt;&gt;"✓"),SUMPRODUCT(($AM$11:$AM944&lt;&gt;"")*($AS$11:$AS944&lt;&gt;"✓")),"")</f>
        <v/>
      </c>
      <c r="AZ944" s="21" t="str">
        <f>IF(AND($AM944&lt;&gt;"",$AS944="✓"),SUMPRODUCT(($AM$11:$AM944&lt;&gt;"")*($AS$11:$AS944="✓")),"")</f>
        <v/>
      </c>
      <c r="BA944" s="21" t="str">
        <f>IF($AL944="","",$AL944&amp;"|"&amp;COUNTIF($AL$11:$AL944,$AL944))</f>
        <v/>
      </c>
    </row>
    <row r="945" spans="23:53" ht="15" customHeight="1" x14ac:dyDescent="0.25">
      <c r="W945" s="14" t="str">
        <f>IF(X945="","",IFERROR(INDEX($AL$11:$AL$4010,MATCH(935,$AY$11:$AY$4010,0)),""))</f>
        <v/>
      </c>
      <c r="X945" s="12" t="str">
        <f>IFERROR(INDEX($AM$11:$AM$4010,MATCH(935,$AY$11:$AY$4010,0)),"")</f>
        <v/>
      </c>
      <c r="Y945" s="11" t="str">
        <f>IF(X945="","",IFERROR(INDEX($AN$11:$AN$4010,MATCH(935,$AY$11:$AY$4010,0)),""))</f>
        <v/>
      </c>
      <c r="Z945" s="11" t="str">
        <f>IF(X945="","",IFERROR(INDEX($AO$11:$AO$4010,MATCH(935,$AY$11:$AY$4010,0)),""))</f>
        <v/>
      </c>
      <c r="AA945" s="10" t="str">
        <f>IF(X945="","",IFERROR(INDEX($AQ$11:$AQ$4010,MATCH(935,$AY$11:$AY$4010,0)),""))</f>
        <v/>
      </c>
      <c r="AB945" s="15" t="str">
        <f>IF(X945="","",IFERROR(INDEX($AR$11:$AR$4010,MATCH(935,$AY$11:$AY$4010,0)),""))</f>
        <v/>
      </c>
      <c r="AD945" s="16" t="str">
        <f>IF(AE945="","",IFERROR(INDEX($AL$11:$AL$4010,MATCH(935,$AZ$11:$AZ$4010,0)),""))</f>
        <v/>
      </c>
      <c r="AE945" s="12" t="str">
        <f>IFERROR(INDEX($AM$11:$AM$4010,MATCH(935,$AZ$11:$AZ$4010,0)),"")</f>
        <v/>
      </c>
      <c r="AF945" s="11" t="str">
        <f>IF(AE945="","",IFERROR(INDEX($AN$11:$AN$4010,MATCH(935,$AZ$11:$AZ$4010,0)),""))</f>
        <v/>
      </c>
      <c r="AG945" s="11" t="str">
        <f>IF(AE945="","",IFERROR(INDEX($AO$11:$AO$4010,MATCH(935,$AZ$11:$AZ$4010,0)),""))</f>
        <v/>
      </c>
      <c r="AH945" s="10" t="str">
        <f>IF(AE945="","",IFERROR(INDEX($AQ$11:$AQ$4010,MATCH(935,$AZ$11:$AZ$4010,0)),""))</f>
        <v/>
      </c>
      <c r="AI945" s="15" t="str">
        <f>IF(AE945="","",IFERROR(INDEX($AR$11:$AR$4010,MATCH(935,$AZ$11:$AZ$4010,0)),""))</f>
        <v/>
      </c>
      <c r="AJ945" s="15" t="str">
        <f>IF(AE945="","",IFERROR(INDEX($AT$11:$AT$4010,MATCH(935,$AZ$11:$AZ$4010,0)),""))</f>
        <v/>
      </c>
      <c r="AL945" s="17"/>
      <c r="AM945" s="12"/>
      <c r="AN945" s="18"/>
      <c r="AO945" s="18"/>
      <c r="AP945" s="10"/>
      <c r="AQ945" s="10"/>
      <c r="AR945" s="19"/>
      <c r="AS945" s="20"/>
      <c r="AT945" s="19"/>
      <c r="AV945" s="21">
        <f>IF(AND($AL945&lt;&gt;"",COUNTIF($AL$11:$AL945,$AL945)=1),1,0)</f>
        <v>0</v>
      </c>
      <c r="AW945" s="21">
        <f t="shared" si="115"/>
        <v>0</v>
      </c>
      <c r="AX945" s="21" t="str">
        <f t="shared" si="114"/>
        <v/>
      </c>
      <c r="AY945" s="21" t="str">
        <f>IF(AND($AM945&lt;&gt;"",$AS945&lt;&gt;"✓"),SUMPRODUCT(($AM$11:$AM945&lt;&gt;"")*($AS$11:$AS945&lt;&gt;"✓")),"")</f>
        <v/>
      </c>
      <c r="AZ945" s="21" t="str">
        <f>IF(AND($AM945&lt;&gt;"",$AS945="✓"),SUMPRODUCT(($AM$11:$AM945&lt;&gt;"")*($AS$11:$AS945="✓")),"")</f>
        <v/>
      </c>
      <c r="BA945" s="21" t="str">
        <f>IF($AL945="","",$AL945&amp;"|"&amp;COUNTIF($AL$11:$AL945,$AL945))</f>
        <v/>
      </c>
    </row>
    <row r="946" spans="23:53" ht="15" customHeight="1" x14ac:dyDescent="0.25">
      <c r="W946" s="28" t="str">
        <f>IF(X946="","",IFERROR(INDEX($AL$11:$AL$4010,MATCH(936,$AY$11:$AY$4010,0)),""))</f>
        <v/>
      </c>
      <c r="X946" s="26" t="str">
        <f>IFERROR(INDEX($AM$11:$AM$4010,MATCH(936,$AY$11:$AY$4010,0)),"")</f>
        <v/>
      </c>
      <c r="Y946" s="25" t="str">
        <f>IF(X946="","",IFERROR(INDEX($AN$11:$AN$4010,MATCH(936,$AY$11:$AY$4010,0)),""))</f>
        <v/>
      </c>
      <c r="Z946" s="25" t="str">
        <f>IF(X946="","",IFERROR(INDEX($AO$11:$AO$4010,MATCH(936,$AY$11:$AY$4010,0)),""))</f>
        <v/>
      </c>
      <c r="AA946" s="24" t="str">
        <f>IF(X946="","",IFERROR(INDEX($AQ$11:$AQ$4010,MATCH(936,$AY$11:$AY$4010,0)),""))</f>
        <v/>
      </c>
      <c r="AB946" s="29" t="str">
        <f>IF(X946="","",IFERROR(INDEX($AR$11:$AR$4010,MATCH(936,$AY$11:$AY$4010,0)),""))</f>
        <v/>
      </c>
      <c r="AD946" s="30" t="str">
        <f>IF(AE946="","",IFERROR(INDEX($AL$11:$AL$4010,MATCH(936,$AZ$11:$AZ$4010,0)),""))</f>
        <v/>
      </c>
      <c r="AE946" s="26" t="str">
        <f>IFERROR(INDEX($AM$11:$AM$4010,MATCH(936,$AZ$11:$AZ$4010,0)),"")</f>
        <v/>
      </c>
      <c r="AF946" s="25" t="str">
        <f>IF(AE946="","",IFERROR(INDEX($AN$11:$AN$4010,MATCH(936,$AZ$11:$AZ$4010,0)),""))</f>
        <v/>
      </c>
      <c r="AG946" s="25" t="str">
        <f>IF(AE946="","",IFERROR(INDEX($AO$11:$AO$4010,MATCH(936,$AZ$11:$AZ$4010,0)),""))</f>
        <v/>
      </c>
      <c r="AH946" s="24" t="str">
        <f>IF(AE946="","",IFERROR(INDEX($AQ$11:$AQ$4010,MATCH(936,$AZ$11:$AZ$4010,0)),""))</f>
        <v/>
      </c>
      <c r="AI946" s="29" t="str">
        <f>IF(AE946="","",IFERROR(INDEX($AR$11:$AR$4010,MATCH(936,$AZ$11:$AZ$4010,0)),""))</f>
        <v/>
      </c>
      <c r="AJ946" s="29" t="str">
        <f>IF(AE946="","",IFERROR(INDEX($AT$11:$AT$4010,MATCH(936,$AZ$11:$AZ$4010,0)),""))</f>
        <v/>
      </c>
      <c r="AL946" s="31"/>
      <c r="AM946" s="26"/>
      <c r="AN946" s="32"/>
      <c r="AO946" s="32"/>
      <c r="AP946" s="24"/>
      <c r="AQ946" s="24"/>
      <c r="AR946" s="33"/>
      <c r="AS946" s="34"/>
      <c r="AT946" s="33"/>
      <c r="AV946" s="21">
        <f>IF(AND($AL946&lt;&gt;"",COUNTIF($AL$11:$AL946,$AL946)=1),1,0)</f>
        <v>0</v>
      </c>
      <c r="AW946" s="21">
        <f t="shared" si="115"/>
        <v>0</v>
      </c>
      <c r="AX946" s="21" t="str">
        <f t="shared" si="114"/>
        <v/>
      </c>
      <c r="AY946" s="21" t="str">
        <f>IF(AND($AM946&lt;&gt;"",$AS946&lt;&gt;"✓"),SUMPRODUCT(($AM$11:$AM946&lt;&gt;"")*($AS$11:$AS946&lt;&gt;"✓")),"")</f>
        <v/>
      </c>
      <c r="AZ946" s="21" t="str">
        <f>IF(AND($AM946&lt;&gt;"",$AS946="✓"),SUMPRODUCT(($AM$11:$AM946&lt;&gt;"")*($AS$11:$AS946="✓")),"")</f>
        <v/>
      </c>
      <c r="BA946" s="21" t="str">
        <f>IF($AL946="","",$AL946&amp;"|"&amp;COUNTIF($AL$11:$AL946,$AL946))</f>
        <v/>
      </c>
    </row>
    <row r="947" spans="23:53" ht="15" customHeight="1" x14ac:dyDescent="0.25">
      <c r="W947" s="14" t="str">
        <f>IF(X947="","",IFERROR(INDEX($AL$11:$AL$4010,MATCH(937,$AY$11:$AY$4010,0)),""))</f>
        <v/>
      </c>
      <c r="X947" s="12" t="str">
        <f>IFERROR(INDEX($AM$11:$AM$4010,MATCH(937,$AY$11:$AY$4010,0)),"")</f>
        <v/>
      </c>
      <c r="Y947" s="11" t="str">
        <f>IF(X947="","",IFERROR(INDEX($AN$11:$AN$4010,MATCH(937,$AY$11:$AY$4010,0)),""))</f>
        <v/>
      </c>
      <c r="Z947" s="11" t="str">
        <f>IF(X947="","",IFERROR(INDEX($AO$11:$AO$4010,MATCH(937,$AY$11:$AY$4010,0)),""))</f>
        <v/>
      </c>
      <c r="AA947" s="10" t="str">
        <f>IF(X947="","",IFERROR(INDEX($AQ$11:$AQ$4010,MATCH(937,$AY$11:$AY$4010,0)),""))</f>
        <v/>
      </c>
      <c r="AB947" s="15" t="str">
        <f>IF(X947="","",IFERROR(INDEX($AR$11:$AR$4010,MATCH(937,$AY$11:$AY$4010,0)),""))</f>
        <v/>
      </c>
      <c r="AD947" s="16" t="str">
        <f>IF(AE947="","",IFERROR(INDEX($AL$11:$AL$4010,MATCH(937,$AZ$11:$AZ$4010,0)),""))</f>
        <v/>
      </c>
      <c r="AE947" s="12" t="str">
        <f>IFERROR(INDEX($AM$11:$AM$4010,MATCH(937,$AZ$11:$AZ$4010,0)),"")</f>
        <v/>
      </c>
      <c r="AF947" s="11" t="str">
        <f>IF(AE947="","",IFERROR(INDEX($AN$11:$AN$4010,MATCH(937,$AZ$11:$AZ$4010,0)),""))</f>
        <v/>
      </c>
      <c r="AG947" s="11" t="str">
        <f>IF(AE947="","",IFERROR(INDEX($AO$11:$AO$4010,MATCH(937,$AZ$11:$AZ$4010,0)),""))</f>
        <v/>
      </c>
      <c r="AH947" s="10" t="str">
        <f>IF(AE947="","",IFERROR(INDEX($AQ$11:$AQ$4010,MATCH(937,$AZ$11:$AZ$4010,0)),""))</f>
        <v/>
      </c>
      <c r="AI947" s="15" t="str">
        <f>IF(AE947="","",IFERROR(INDEX($AR$11:$AR$4010,MATCH(937,$AZ$11:$AZ$4010,0)),""))</f>
        <v/>
      </c>
      <c r="AJ947" s="15" t="str">
        <f>IF(AE947="","",IFERROR(INDEX($AT$11:$AT$4010,MATCH(937,$AZ$11:$AZ$4010,0)),""))</f>
        <v/>
      </c>
      <c r="AL947" s="17"/>
      <c r="AM947" s="12"/>
      <c r="AN947" s="18"/>
      <c r="AO947" s="18"/>
      <c r="AP947" s="10"/>
      <c r="AQ947" s="10"/>
      <c r="AR947" s="19"/>
      <c r="AS947" s="20"/>
      <c r="AT947" s="19"/>
      <c r="AV947" s="21">
        <f>IF(AND($AL947&lt;&gt;"",COUNTIF($AL$11:$AL947,$AL947)=1),1,0)</f>
        <v>0</v>
      </c>
      <c r="AW947" s="21">
        <f t="shared" si="115"/>
        <v>0</v>
      </c>
      <c r="AX947" s="21" t="str">
        <f t="shared" si="114"/>
        <v/>
      </c>
      <c r="AY947" s="21" t="str">
        <f>IF(AND($AM947&lt;&gt;"",$AS947&lt;&gt;"✓"),SUMPRODUCT(($AM$11:$AM947&lt;&gt;"")*($AS$11:$AS947&lt;&gt;"✓")),"")</f>
        <v/>
      </c>
      <c r="AZ947" s="21" t="str">
        <f>IF(AND($AM947&lt;&gt;"",$AS947="✓"),SUMPRODUCT(($AM$11:$AM947&lt;&gt;"")*($AS$11:$AS947="✓")),"")</f>
        <v/>
      </c>
      <c r="BA947" s="21" t="str">
        <f>IF($AL947="","",$AL947&amp;"|"&amp;COUNTIF($AL$11:$AL947,$AL947))</f>
        <v/>
      </c>
    </row>
    <row r="948" spans="23:53" ht="15" customHeight="1" x14ac:dyDescent="0.25">
      <c r="W948" s="28" t="str">
        <f>IF(X948="","",IFERROR(INDEX($AL$11:$AL$4010,MATCH(938,$AY$11:$AY$4010,0)),""))</f>
        <v/>
      </c>
      <c r="X948" s="26" t="str">
        <f>IFERROR(INDEX($AM$11:$AM$4010,MATCH(938,$AY$11:$AY$4010,0)),"")</f>
        <v/>
      </c>
      <c r="Y948" s="25" t="str">
        <f>IF(X948="","",IFERROR(INDEX($AN$11:$AN$4010,MATCH(938,$AY$11:$AY$4010,0)),""))</f>
        <v/>
      </c>
      <c r="Z948" s="25" t="str">
        <f>IF(X948="","",IFERROR(INDEX($AO$11:$AO$4010,MATCH(938,$AY$11:$AY$4010,0)),""))</f>
        <v/>
      </c>
      <c r="AA948" s="24" t="str">
        <f>IF(X948="","",IFERROR(INDEX($AQ$11:$AQ$4010,MATCH(938,$AY$11:$AY$4010,0)),""))</f>
        <v/>
      </c>
      <c r="AB948" s="29" t="str">
        <f>IF(X948="","",IFERROR(INDEX($AR$11:$AR$4010,MATCH(938,$AY$11:$AY$4010,0)),""))</f>
        <v/>
      </c>
      <c r="AD948" s="30" t="str">
        <f>IF(AE948="","",IFERROR(INDEX($AL$11:$AL$4010,MATCH(938,$AZ$11:$AZ$4010,0)),""))</f>
        <v/>
      </c>
      <c r="AE948" s="26" t="str">
        <f>IFERROR(INDEX($AM$11:$AM$4010,MATCH(938,$AZ$11:$AZ$4010,0)),"")</f>
        <v/>
      </c>
      <c r="AF948" s="25" t="str">
        <f>IF(AE948="","",IFERROR(INDEX($AN$11:$AN$4010,MATCH(938,$AZ$11:$AZ$4010,0)),""))</f>
        <v/>
      </c>
      <c r="AG948" s="25" t="str">
        <f>IF(AE948="","",IFERROR(INDEX($AO$11:$AO$4010,MATCH(938,$AZ$11:$AZ$4010,0)),""))</f>
        <v/>
      </c>
      <c r="AH948" s="24" t="str">
        <f>IF(AE948="","",IFERROR(INDEX($AQ$11:$AQ$4010,MATCH(938,$AZ$11:$AZ$4010,0)),""))</f>
        <v/>
      </c>
      <c r="AI948" s="29" t="str">
        <f>IF(AE948="","",IFERROR(INDEX($AR$11:$AR$4010,MATCH(938,$AZ$11:$AZ$4010,0)),""))</f>
        <v/>
      </c>
      <c r="AJ948" s="29" t="str">
        <f>IF(AE948="","",IFERROR(INDEX($AT$11:$AT$4010,MATCH(938,$AZ$11:$AZ$4010,0)),""))</f>
        <v/>
      </c>
      <c r="AL948" s="31"/>
      <c r="AM948" s="26"/>
      <c r="AN948" s="32"/>
      <c r="AO948" s="32"/>
      <c r="AP948" s="24"/>
      <c r="AQ948" s="24"/>
      <c r="AR948" s="33"/>
      <c r="AS948" s="34"/>
      <c r="AT948" s="33"/>
      <c r="AV948" s="21">
        <f>IF(AND($AL948&lt;&gt;"",COUNTIF($AL$11:$AL948,$AL948)=1),1,0)</f>
        <v>0</v>
      </c>
      <c r="AW948" s="21">
        <f t="shared" si="115"/>
        <v>0</v>
      </c>
      <c r="AX948" s="21" t="str">
        <f t="shared" si="114"/>
        <v/>
      </c>
      <c r="AY948" s="21" t="str">
        <f>IF(AND($AM948&lt;&gt;"",$AS948&lt;&gt;"✓"),SUMPRODUCT(($AM$11:$AM948&lt;&gt;"")*($AS$11:$AS948&lt;&gt;"✓")),"")</f>
        <v/>
      </c>
      <c r="AZ948" s="21" t="str">
        <f>IF(AND($AM948&lt;&gt;"",$AS948="✓"),SUMPRODUCT(($AM$11:$AM948&lt;&gt;"")*($AS$11:$AS948="✓")),"")</f>
        <v/>
      </c>
      <c r="BA948" s="21" t="str">
        <f>IF($AL948="","",$AL948&amp;"|"&amp;COUNTIF($AL$11:$AL948,$AL948))</f>
        <v/>
      </c>
    </row>
    <row r="949" spans="23:53" ht="15" customHeight="1" x14ac:dyDescent="0.25">
      <c r="W949" s="14" t="str">
        <f>IF(X949="","",IFERROR(INDEX($AL$11:$AL$4010,MATCH(939,$AY$11:$AY$4010,0)),""))</f>
        <v/>
      </c>
      <c r="X949" s="12" t="str">
        <f>IFERROR(INDEX($AM$11:$AM$4010,MATCH(939,$AY$11:$AY$4010,0)),"")</f>
        <v/>
      </c>
      <c r="Y949" s="11" t="str">
        <f>IF(X949="","",IFERROR(INDEX($AN$11:$AN$4010,MATCH(939,$AY$11:$AY$4010,0)),""))</f>
        <v/>
      </c>
      <c r="Z949" s="11" t="str">
        <f>IF(X949="","",IFERROR(INDEX($AO$11:$AO$4010,MATCH(939,$AY$11:$AY$4010,0)),""))</f>
        <v/>
      </c>
      <c r="AA949" s="10" t="str">
        <f>IF(X949="","",IFERROR(INDEX($AQ$11:$AQ$4010,MATCH(939,$AY$11:$AY$4010,0)),""))</f>
        <v/>
      </c>
      <c r="AB949" s="15" t="str">
        <f>IF(X949="","",IFERROR(INDEX($AR$11:$AR$4010,MATCH(939,$AY$11:$AY$4010,0)),""))</f>
        <v/>
      </c>
      <c r="AD949" s="16" t="str">
        <f>IF(AE949="","",IFERROR(INDEX($AL$11:$AL$4010,MATCH(939,$AZ$11:$AZ$4010,0)),""))</f>
        <v/>
      </c>
      <c r="AE949" s="12" t="str">
        <f>IFERROR(INDEX($AM$11:$AM$4010,MATCH(939,$AZ$11:$AZ$4010,0)),"")</f>
        <v/>
      </c>
      <c r="AF949" s="11" t="str">
        <f>IF(AE949="","",IFERROR(INDEX($AN$11:$AN$4010,MATCH(939,$AZ$11:$AZ$4010,0)),""))</f>
        <v/>
      </c>
      <c r="AG949" s="11" t="str">
        <f>IF(AE949="","",IFERROR(INDEX($AO$11:$AO$4010,MATCH(939,$AZ$11:$AZ$4010,0)),""))</f>
        <v/>
      </c>
      <c r="AH949" s="10" t="str">
        <f>IF(AE949="","",IFERROR(INDEX($AQ$11:$AQ$4010,MATCH(939,$AZ$11:$AZ$4010,0)),""))</f>
        <v/>
      </c>
      <c r="AI949" s="15" t="str">
        <f>IF(AE949="","",IFERROR(INDEX($AR$11:$AR$4010,MATCH(939,$AZ$11:$AZ$4010,0)),""))</f>
        <v/>
      </c>
      <c r="AJ949" s="15" t="str">
        <f>IF(AE949="","",IFERROR(INDEX($AT$11:$AT$4010,MATCH(939,$AZ$11:$AZ$4010,0)),""))</f>
        <v/>
      </c>
      <c r="AL949" s="17"/>
      <c r="AM949" s="12"/>
      <c r="AN949" s="18"/>
      <c r="AO949" s="18"/>
      <c r="AP949" s="10"/>
      <c r="AQ949" s="10"/>
      <c r="AR949" s="19"/>
      <c r="AS949" s="20"/>
      <c r="AT949" s="19"/>
      <c r="AV949" s="21">
        <f>IF(AND($AL949&lt;&gt;"",COUNTIF($AL$11:$AL949,$AL949)=1),1,0)</f>
        <v>0</v>
      </c>
      <c r="AW949" s="21">
        <f t="shared" si="115"/>
        <v>0</v>
      </c>
      <c r="AX949" s="21" t="str">
        <f t="shared" si="114"/>
        <v/>
      </c>
      <c r="AY949" s="21" t="str">
        <f>IF(AND($AM949&lt;&gt;"",$AS949&lt;&gt;"✓"),SUMPRODUCT(($AM$11:$AM949&lt;&gt;"")*($AS$11:$AS949&lt;&gt;"✓")),"")</f>
        <v/>
      </c>
      <c r="AZ949" s="21" t="str">
        <f>IF(AND($AM949&lt;&gt;"",$AS949="✓"),SUMPRODUCT(($AM$11:$AM949&lt;&gt;"")*($AS$11:$AS949="✓")),"")</f>
        <v/>
      </c>
      <c r="BA949" s="21" t="str">
        <f>IF($AL949="","",$AL949&amp;"|"&amp;COUNTIF($AL$11:$AL949,$AL949))</f>
        <v/>
      </c>
    </row>
    <row r="950" spans="23:53" ht="15" customHeight="1" x14ac:dyDescent="0.25">
      <c r="W950" s="28" t="str">
        <f>IF(X950="","",IFERROR(INDEX($AL$11:$AL$4010,MATCH(940,$AY$11:$AY$4010,0)),""))</f>
        <v/>
      </c>
      <c r="X950" s="26" t="str">
        <f>IFERROR(INDEX($AM$11:$AM$4010,MATCH(940,$AY$11:$AY$4010,0)),"")</f>
        <v/>
      </c>
      <c r="Y950" s="25" t="str">
        <f>IF(X950="","",IFERROR(INDEX($AN$11:$AN$4010,MATCH(940,$AY$11:$AY$4010,0)),""))</f>
        <v/>
      </c>
      <c r="Z950" s="25" t="str">
        <f>IF(X950="","",IFERROR(INDEX($AO$11:$AO$4010,MATCH(940,$AY$11:$AY$4010,0)),""))</f>
        <v/>
      </c>
      <c r="AA950" s="24" t="str">
        <f>IF(X950="","",IFERROR(INDEX($AQ$11:$AQ$4010,MATCH(940,$AY$11:$AY$4010,0)),""))</f>
        <v/>
      </c>
      <c r="AB950" s="29" t="str">
        <f>IF(X950="","",IFERROR(INDEX($AR$11:$AR$4010,MATCH(940,$AY$11:$AY$4010,0)),""))</f>
        <v/>
      </c>
      <c r="AD950" s="30" t="str">
        <f>IF(AE950="","",IFERROR(INDEX($AL$11:$AL$4010,MATCH(940,$AZ$11:$AZ$4010,0)),""))</f>
        <v/>
      </c>
      <c r="AE950" s="26" t="str">
        <f>IFERROR(INDEX($AM$11:$AM$4010,MATCH(940,$AZ$11:$AZ$4010,0)),"")</f>
        <v/>
      </c>
      <c r="AF950" s="25" t="str">
        <f>IF(AE950="","",IFERROR(INDEX($AN$11:$AN$4010,MATCH(940,$AZ$11:$AZ$4010,0)),""))</f>
        <v/>
      </c>
      <c r="AG950" s="25" t="str">
        <f>IF(AE950="","",IFERROR(INDEX($AO$11:$AO$4010,MATCH(940,$AZ$11:$AZ$4010,0)),""))</f>
        <v/>
      </c>
      <c r="AH950" s="24" t="str">
        <f>IF(AE950="","",IFERROR(INDEX($AQ$11:$AQ$4010,MATCH(940,$AZ$11:$AZ$4010,0)),""))</f>
        <v/>
      </c>
      <c r="AI950" s="29" t="str">
        <f>IF(AE950="","",IFERROR(INDEX($AR$11:$AR$4010,MATCH(940,$AZ$11:$AZ$4010,0)),""))</f>
        <v/>
      </c>
      <c r="AJ950" s="29" t="str">
        <f>IF(AE950="","",IFERROR(INDEX($AT$11:$AT$4010,MATCH(940,$AZ$11:$AZ$4010,0)),""))</f>
        <v/>
      </c>
      <c r="AL950" s="31"/>
      <c r="AM950" s="26"/>
      <c r="AN950" s="32"/>
      <c r="AO950" s="32"/>
      <c r="AP950" s="24"/>
      <c r="AQ950" s="24"/>
      <c r="AR950" s="33"/>
      <c r="AS950" s="34"/>
      <c r="AT950" s="33"/>
      <c r="AV950" s="21">
        <f>IF(AND($AL950&lt;&gt;"",COUNTIF($AL$11:$AL950,$AL950)=1),1,0)</f>
        <v>0</v>
      </c>
      <c r="AW950" s="21">
        <f t="shared" si="115"/>
        <v>0</v>
      </c>
      <c r="AX950" s="21" t="str">
        <f t="shared" si="114"/>
        <v/>
      </c>
      <c r="AY950" s="21" t="str">
        <f>IF(AND($AM950&lt;&gt;"",$AS950&lt;&gt;"✓"),SUMPRODUCT(($AM$11:$AM950&lt;&gt;"")*($AS$11:$AS950&lt;&gt;"✓")),"")</f>
        <v/>
      </c>
      <c r="AZ950" s="21" t="str">
        <f>IF(AND($AM950&lt;&gt;"",$AS950="✓"),SUMPRODUCT(($AM$11:$AM950&lt;&gt;"")*($AS$11:$AS950="✓")),"")</f>
        <v/>
      </c>
      <c r="BA950" s="21" t="str">
        <f>IF($AL950="","",$AL950&amp;"|"&amp;COUNTIF($AL$11:$AL950,$AL950))</f>
        <v/>
      </c>
    </row>
    <row r="951" spans="23:53" ht="15" customHeight="1" x14ac:dyDescent="0.25">
      <c r="W951" s="14" t="str">
        <f>IF(X951="","",IFERROR(INDEX($AL$11:$AL$4010,MATCH(941,$AY$11:$AY$4010,0)),""))</f>
        <v/>
      </c>
      <c r="X951" s="12" t="str">
        <f>IFERROR(INDEX($AM$11:$AM$4010,MATCH(941,$AY$11:$AY$4010,0)),"")</f>
        <v/>
      </c>
      <c r="Y951" s="11" t="str">
        <f>IF(X951="","",IFERROR(INDEX($AN$11:$AN$4010,MATCH(941,$AY$11:$AY$4010,0)),""))</f>
        <v/>
      </c>
      <c r="Z951" s="11" t="str">
        <f>IF(X951="","",IFERROR(INDEX($AO$11:$AO$4010,MATCH(941,$AY$11:$AY$4010,0)),""))</f>
        <v/>
      </c>
      <c r="AA951" s="10" t="str">
        <f>IF(X951="","",IFERROR(INDEX($AQ$11:$AQ$4010,MATCH(941,$AY$11:$AY$4010,0)),""))</f>
        <v/>
      </c>
      <c r="AB951" s="15" t="str">
        <f>IF(X951="","",IFERROR(INDEX($AR$11:$AR$4010,MATCH(941,$AY$11:$AY$4010,0)),""))</f>
        <v/>
      </c>
      <c r="AD951" s="16" t="str">
        <f>IF(AE951="","",IFERROR(INDEX($AL$11:$AL$4010,MATCH(941,$AZ$11:$AZ$4010,0)),""))</f>
        <v/>
      </c>
      <c r="AE951" s="12" t="str">
        <f>IFERROR(INDEX($AM$11:$AM$4010,MATCH(941,$AZ$11:$AZ$4010,0)),"")</f>
        <v/>
      </c>
      <c r="AF951" s="11" t="str">
        <f>IF(AE951="","",IFERROR(INDEX($AN$11:$AN$4010,MATCH(941,$AZ$11:$AZ$4010,0)),""))</f>
        <v/>
      </c>
      <c r="AG951" s="11" t="str">
        <f>IF(AE951="","",IFERROR(INDEX($AO$11:$AO$4010,MATCH(941,$AZ$11:$AZ$4010,0)),""))</f>
        <v/>
      </c>
      <c r="AH951" s="10" t="str">
        <f>IF(AE951="","",IFERROR(INDEX($AQ$11:$AQ$4010,MATCH(941,$AZ$11:$AZ$4010,0)),""))</f>
        <v/>
      </c>
      <c r="AI951" s="15" t="str">
        <f>IF(AE951="","",IFERROR(INDEX($AR$11:$AR$4010,MATCH(941,$AZ$11:$AZ$4010,0)),""))</f>
        <v/>
      </c>
      <c r="AJ951" s="15" t="str">
        <f>IF(AE951="","",IFERROR(INDEX($AT$11:$AT$4010,MATCH(941,$AZ$11:$AZ$4010,0)),""))</f>
        <v/>
      </c>
      <c r="AL951" s="17"/>
      <c r="AM951" s="12"/>
      <c r="AN951" s="18"/>
      <c r="AO951" s="18"/>
      <c r="AP951" s="10"/>
      <c r="AQ951" s="10"/>
      <c r="AR951" s="19"/>
      <c r="AS951" s="20"/>
      <c r="AT951" s="19"/>
      <c r="AV951" s="21">
        <f>IF(AND($AL951&lt;&gt;"",COUNTIF($AL$11:$AL951,$AL951)=1),1,0)</f>
        <v>0</v>
      </c>
      <c r="AW951" s="21">
        <f t="shared" si="115"/>
        <v>0</v>
      </c>
      <c r="AX951" s="21" t="str">
        <f t="shared" si="114"/>
        <v/>
      </c>
      <c r="AY951" s="21" t="str">
        <f>IF(AND($AM951&lt;&gt;"",$AS951&lt;&gt;"✓"),SUMPRODUCT(($AM$11:$AM951&lt;&gt;"")*($AS$11:$AS951&lt;&gt;"✓")),"")</f>
        <v/>
      </c>
      <c r="AZ951" s="21" t="str">
        <f>IF(AND($AM951&lt;&gt;"",$AS951="✓"),SUMPRODUCT(($AM$11:$AM951&lt;&gt;"")*($AS$11:$AS951="✓")),"")</f>
        <v/>
      </c>
      <c r="BA951" s="21" t="str">
        <f>IF($AL951="","",$AL951&amp;"|"&amp;COUNTIF($AL$11:$AL951,$AL951))</f>
        <v/>
      </c>
    </row>
    <row r="952" spans="23:53" ht="15" customHeight="1" x14ac:dyDescent="0.25">
      <c r="W952" s="28" t="str">
        <f>IF(X952="","",IFERROR(INDEX($AL$11:$AL$4010,MATCH(942,$AY$11:$AY$4010,0)),""))</f>
        <v/>
      </c>
      <c r="X952" s="26" t="str">
        <f>IFERROR(INDEX($AM$11:$AM$4010,MATCH(942,$AY$11:$AY$4010,0)),"")</f>
        <v/>
      </c>
      <c r="Y952" s="25" t="str">
        <f>IF(X952="","",IFERROR(INDEX($AN$11:$AN$4010,MATCH(942,$AY$11:$AY$4010,0)),""))</f>
        <v/>
      </c>
      <c r="Z952" s="25" t="str">
        <f>IF(X952="","",IFERROR(INDEX($AO$11:$AO$4010,MATCH(942,$AY$11:$AY$4010,0)),""))</f>
        <v/>
      </c>
      <c r="AA952" s="24" t="str">
        <f>IF(X952="","",IFERROR(INDEX($AQ$11:$AQ$4010,MATCH(942,$AY$11:$AY$4010,0)),""))</f>
        <v/>
      </c>
      <c r="AB952" s="29" t="str">
        <f>IF(X952="","",IFERROR(INDEX($AR$11:$AR$4010,MATCH(942,$AY$11:$AY$4010,0)),""))</f>
        <v/>
      </c>
      <c r="AD952" s="30" t="str">
        <f>IF(AE952="","",IFERROR(INDEX($AL$11:$AL$4010,MATCH(942,$AZ$11:$AZ$4010,0)),""))</f>
        <v/>
      </c>
      <c r="AE952" s="26" t="str">
        <f>IFERROR(INDEX($AM$11:$AM$4010,MATCH(942,$AZ$11:$AZ$4010,0)),"")</f>
        <v/>
      </c>
      <c r="AF952" s="25" t="str">
        <f>IF(AE952="","",IFERROR(INDEX($AN$11:$AN$4010,MATCH(942,$AZ$11:$AZ$4010,0)),""))</f>
        <v/>
      </c>
      <c r="AG952" s="25" t="str">
        <f>IF(AE952="","",IFERROR(INDEX($AO$11:$AO$4010,MATCH(942,$AZ$11:$AZ$4010,0)),""))</f>
        <v/>
      </c>
      <c r="AH952" s="24" t="str">
        <f>IF(AE952="","",IFERROR(INDEX($AQ$11:$AQ$4010,MATCH(942,$AZ$11:$AZ$4010,0)),""))</f>
        <v/>
      </c>
      <c r="AI952" s="29" t="str">
        <f>IF(AE952="","",IFERROR(INDEX($AR$11:$AR$4010,MATCH(942,$AZ$11:$AZ$4010,0)),""))</f>
        <v/>
      </c>
      <c r="AJ952" s="29" t="str">
        <f>IF(AE952="","",IFERROR(INDEX($AT$11:$AT$4010,MATCH(942,$AZ$11:$AZ$4010,0)),""))</f>
        <v/>
      </c>
      <c r="AL952" s="31"/>
      <c r="AM952" s="26"/>
      <c r="AN952" s="32"/>
      <c r="AO952" s="32"/>
      <c r="AP952" s="24"/>
      <c r="AQ952" s="24"/>
      <c r="AR952" s="33"/>
      <c r="AS952" s="34"/>
      <c r="AT952" s="33"/>
      <c r="AV952" s="21">
        <f>IF(AND($AL952&lt;&gt;"",COUNTIF($AL$11:$AL952,$AL952)=1),1,0)</f>
        <v>0</v>
      </c>
      <c r="AW952" s="21">
        <f t="shared" si="115"/>
        <v>0</v>
      </c>
      <c r="AX952" s="21" t="str">
        <f t="shared" si="114"/>
        <v/>
      </c>
      <c r="AY952" s="21" t="str">
        <f>IF(AND($AM952&lt;&gt;"",$AS952&lt;&gt;"✓"),SUMPRODUCT(($AM$11:$AM952&lt;&gt;"")*($AS$11:$AS952&lt;&gt;"✓")),"")</f>
        <v/>
      </c>
      <c r="AZ952" s="21" t="str">
        <f>IF(AND($AM952&lt;&gt;"",$AS952="✓"),SUMPRODUCT(($AM$11:$AM952&lt;&gt;"")*($AS$11:$AS952="✓")),"")</f>
        <v/>
      </c>
      <c r="BA952" s="21" t="str">
        <f>IF($AL952="","",$AL952&amp;"|"&amp;COUNTIF($AL$11:$AL952,$AL952))</f>
        <v/>
      </c>
    </row>
    <row r="953" spans="23:53" ht="15" customHeight="1" x14ac:dyDescent="0.25">
      <c r="W953" s="14" t="str">
        <f>IF(X953="","",IFERROR(INDEX($AL$11:$AL$4010,MATCH(943,$AY$11:$AY$4010,0)),""))</f>
        <v/>
      </c>
      <c r="X953" s="12" t="str">
        <f>IFERROR(INDEX($AM$11:$AM$4010,MATCH(943,$AY$11:$AY$4010,0)),"")</f>
        <v/>
      </c>
      <c r="Y953" s="11" t="str">
        <f>IF(X953="","",IFERROR(INDEX($AN$11:$AN$4010,MATCH(943,$AY$11:$AY$4010,0)),""))</f>
        <v/>
      </c>
      <c r="Z953" s="11" t="str">
        <f>IF(X953="","",IFERROR(INDEX($AO$11:$AO$4010,MATCH(943,$AY$11:$AY$4010,0)),""))</f>
        <v/>
      </c>
      <c r="AA953" s="10" t="str">
        <f>IF(X953="","",IFERROR(INDEX($AQ$11:$AQ$4010,MATCH(943,$AY$11:$AY$4010,0)),""))</f>
        <v/>
      </c>
      <c r="AB953" s="15" t="str">
        <f>IF(X953="","",IFERROR(INDEX($AR$11:$AR$4010,MATCH(943,$AY$11:$AY$4010,0)),""))</f>
        <v/>
      </c>
      <c r="AD953" s="16" t="str">
        <f>IF(AE953="","",IFERROR(INDEX($AL$11:$AL$4010,MATCH(943,$AZ$11:$AZ$4010,0)),""))</f>
        <v/>
      </c>
      <c r="AE953" s="12" t="str">
        <f>IFERROR(INDEX($AM$11:$AM$4010,MATCH(943,$AZ$11:$AZ$4010,0)),"")</f>
        <v/>
      </c>
      <c r="AF953" s="11" t="str">
        <f>IF(AE953="","",IFERROR(INDEX($AN$11:$AN$4010,MATCH(943,$AZ$11:$AZ$4010,0)),""))</f>
        <v/>
      </c>
      <c r="AG953" s="11" t="str">
        <f>IF(AE953="","",IFERROR(INDEX($AO$11:$AO$4010,MATCH(943,$AZ$11:$AZ$4010,0)),""))</f>
        <v/>
      </c>
      <c r="AH953" s="10" t="str">
        <f>IF(AE953="","",IFERROR(INDEX($AQ$11:$AQ$4010,MATCH(943,$AZ$11:$AZ$4010,0)),""))</f>
        <v/>
      </c>
      <c r="AI953" s="15" t="str">
        <f>IF(AE953="","",IFERROR(INDEX($AR$11:$AR$4010,MATCH(943,$AZ$11:$AZ$4010,0)),""))</f>
        <v/>
      </c>
      <c r="AJ953" s="15" t="str">
        <f>IF(AE953="","",IFERROR(INDEX($AT$11:$AT$4010,MATCH(943,$AZ$11:$AZ$4010,0)),""))</f>
        <v/>
      </c>
      <c r="AL953" s="17"/>
      <c r="AM953" s="12"/>
      <c r="AN953" s="18"/>
      <c r="AO953" s="18"/>
      <c r="AP953" s="10"/>
      <c r="AQ953" s="10"/>
      <c r="AR953" s="19"/>
      <c r="AS953" s="20"/>
      <c r="AT953" s="19"/>
      <c r="AV953" s="21">
        <f>IF(AND($AL953&lt;&gt;"",COUNTIF($AL$11:$AL953,$AL953)=1),1,0)</f>
        <v>0</v>
      </c>
      <c r="AW953" s="21">
        <f t="shared" si="115"/>
        <v>0</v>
      </c>
      <c r="AX953" s="21" t="str">
        <f t="shared" si="114"/>
        <v/>
      </c>
      <c r="AY953" s="21" t="str">
        <f>IF(AND($AM953&lt;&gt;"",$AS953&lt;&gt;"✓"),SUMPRODUCT(($AM$11:$AM953&lt;&gt;"")*($AS$11:$AS953&lt;&gt;"✓")),"")</f>
        <v/>
      </c>
      <c r="AZ953" s="21" t="str">
        <f>IF(AND($AM953&lt;&gt;"",$AS953="✓"),SUMPRODUCT(($AM$11:$AM953&lt;&gt;"")*($AS$11:$AS953="✓")),"")</f>
        <v/>
      </c>
      <c r="BA953" s="21" t="str">
        <f>IF($AL953="","",$AL953&amp;"|"&amp;COUNTIF($AL$11:$AL953,$AL953))</f>
        <v/>
      </c>
    </row>
    <row r="954" spans="23:53" ht="15" customHeight="1" x14ac:dyDescent="0.25">
      <c r="W954" s="28" t="str">
        <f>IF(X954="","",IFERROR(INDEX($AL$11:$AL$4010,MATCH(944,$AY$11:$AY$4010,0)),""))</f>
        <v/>
      </c>
      <c r="X954" s="26" t="str">
        <f>IFERROR(INDEX($AM$11:$AM$4010,MATCH(944,$AY$11:$AY$4010,0)),"")</f>
        <v/>
      </c>
      <c r="Y954" s="25" t="str">
        <f>IF(X954="","",IFERROR(INDEX($AN$11:$AN$4010,MATCH(944,$AY$11:$AY$4010,0)),""))</f>
        <v/>
      </c>
      <c r="Z954" s="25" t="str">
        <f>IF(X954="","",IFERROR(INDEX($AO$11:$AO$4010,MATCH(944,$AY$11:$AY$4010,0)),""))</f>
        <v/>
      </c>
      <c r="AA954" s="24" t="str">
        <f>IF(X954="","",IFERROR(INDEX($AQ$11:$AQ$4010,MATCH(944,$AY$11:$AY$4010,0)),""))</f>
        <v/>
      </c>
      <c r="AB954" s="29" t="str">
        <f>IF(X954="","",IFERROR(INDEX($AR$11:$AR$4010,MATCH(944,$AY$11:$AY$4010,0)),""))</f>
        <v/>
      </c>
      <c r="AD954" s="30" t="str">
        <f>IF(AE954="","",IFERROR(INDEX($AL$11:$AL$4010,MATCH(944,$AZ$11:$AZ$4010,0)),""))</f>
        <v/>
      </c>
      <c r="AE954" s="26" t="str">
        <f>IFERROR(INDEX($AM$11:$AM$4010,MATCH(944,$AZ$11:$AZ$4010,0)),"")</f>
        <v/>
      </c>
      <c r="AF954" s="25" t="str">
        <f>IF(AE954="","",IFERROR(INDEX($AN$11:$AN$4010,MATCH(944,$AZ$11:$AZ$4010,0)),""))</f>
        <v/>
      </c>
      <c r="AG954" s="25" t="str">
        <f>IF(AE954="","",IFERROR(INDEX($AO$11:$AO$4010,MATCH(944,$AZ$11:$AZ$4010,0)),""))</f>
        <v/>
      </c>
      <c r="AH954" s="24" t="str">
        <f>IF(AE954="","",IFERROR(INDEX($AQ$11:$AQ$4010,MATCH(944,$AZ$11:$AZ$4010,0)),""))</f>
        <v/>
      </c>
      <c r="AI954" s="29" t="str">
        <f>IF(AE954="","",IFERROR(INDEX($AR$11:$AR$4010,MATCH(944,$AZ$11:$AZ$4010,0)),""))</f>
        <v/>
      </c>
      <c r="AJ954" s="29" t="str">
        <f>IF(AE954="","",IFERROR(INDEX($AT$11:$AT$4010,MATCH(944,$AZ$11:$AZ$4010,0)),""))</f>
        <v/>
      </c>
      <c r="AL954" s="31"/>
      <c r="AM954" s="26"/>
      <c r="AN954" s="32"/>
      <c r="AO954" s="32"/>
      <c r="AP954" s="24"/>
      <c r="AQ954" s="24"/>
      <c r="AR954" s="33"/>
      <c r="AS954" s="34"/>
      <c r="AT954" s="33"/>
      <c r="AV954" s="21">
        <f>IF(AND($AL954&lt;&gt;"",COUNTIF($AL$11:$AL954,$AL954)=1),1,0)</f>
        <v>0</v>
      </c>
      <c r="AW954" s="21">
        <f t="shared" si="115"/>
        <v>0</v>
      </c>
      <c r="AX954" s="21" t="str">
        <f t="shared" si="114"/>
        <v/>
      </c>
      <c r="AY954" s="21" t="str">
        <f>IF(AND($AM954&lt;&gt;"",$AS954&lt;&gt;"✓"),SUMPRODUCT(($AM$11:$AM954&lt;&gt;"")*($AS$11:$AS954&lt;&gt;"✓")),"")</f>
        <v/>
      </c>
      <c r="AZ954" s="21" t="str">
        <f>IF(AND($AM954&lt;&gt;"",$AS954="✓"),SUMPRODUCT(($AM$11:$AM954&lt;&gt;"")*($AS$11:$AS954="✓")),"")</f>
        <v/>
      </c>
      <c r="BA954" s="21" t="str">
        <f>IF($AL954="","",$AL954&amp;"|"&amp;COUNTIF($AL$11:$AL954,$AL954))</f>
        <v/>
      </c>
    </row>
    <row r="955" spans="23:53" ht="15" customHeight="1" x14ac:dyDescent="0.25">
      <c r="W955" s="14" t="str">
        <f>IF(X955="","",IFERROR(INDEX($AL$11:$AL$4010,MATCH(945,$AY$11:$AY$4010,0)),""))</f>
        <v/>
      </c>
      <c r="X955" s="12" t="str">
        <f>IFERROR(INDEX($AM$11:$AM$4010,MATCH(945,$AY$11:$AY$4010,0)),"")</f>
        <v/>
      </c>
      <c r="Y955" s="11" t="str">
        <f>IF(X955="","",IFERROR(INDEX($AN$11:$AN$4010,MATCH(945,$AY$11:$AY$4010,0)),""))</f>
        <v/>
      </c>
      <c r="Z955" s="11" t="str">
        <f>IF(X955="","",IFERROR(INDEX($AO$11:$AO$4010,MATCH(945,$AY$11:$AY$4010,0)),""))</f>
        <v/>
      </c>
      <c r="AA955" s="10" t="str">
        <f>IF(X955="","",IFERROR(INDEX($AQ$11:$AQ$4010,MATCH(945,$AY$11:$AY$4010,0)),""))</f>
        <v/>
      </c>
      <c r="AB955" s="15" t="str">
        <f>IF(X955="","",IFERROR(INDEX($AR$11:$AR$4010,MATCH(945,$AY$11:$AY$4010,0)),""))</f>
        <v/>
      </c>
      <c r="AD955" s="16" t="str">
        <f>IF(AE955="","",IFERROR(INDEX($AL$11:$AL$4010,MATCH(945,$AZ$11:$AZ$4010,0)),""))</f>
        <v/>
      </c>
      <c r="AE955" s="12" t="str">
        <f>IFERROR(INDEX($AM$11:$AM$4010,MATCH(945,$AZ$11:$AZ$4010,0)),"")</f>
        <v/>
      </c>
      <c r="AF955" s="11" t="str">
        <f>IF(AE955="","",IFERROR(INDEX($AN$11:$AN$4010,MATCH(945,$AZ$11:$AZ$4010,0)),""))</f>
        <v/>
      </c>
      <c r="AG955" s="11" t="str">
        <f>IF(AE955="","",IFERROR(INDEX($AO$11:$AO$4010,MATCH(945,$AZ$11:$AZ$4010,0)),""))</f>
        <v/>
      </c>
      <c r="AH955" s="10" t="str">
        <f>IF(AE955="","",IFERROR(INDEX($AQ$11:$AQ$4010,MATCH(945,$AZ$11:$AZ$4010,0)),""))</f>
        <v/>
      </c>
      <c r="AI955" s="15" t="str">
        <f>IF(AE955="","",IFERROR(INDEX($AR$11:$AR$4010,MATCH(945,$AZ$11:$AZ$4010,0)),""))</f>
        <v/>
      </c>
      <c r="AJ955" s="15" t="str">
        <f>IF(AE955="","",IFERROR(INDEX($AT$11:$AT$4010,MATCH(945,$AZ$11:$AZ$4010,0)),""))</f>
        <v/>
      </c>
      <c r="AL955" s="17"/>
      <c r="AM955" s="12"/>
      <c r="AN955" s="18"/>
      <c r="AO955" s="18"/>
      <c r="AP955" s="10"/>
      <c r="AQ955" s="10"/>
      <c r="AR955" s="19"/>
      <c r="AS955" s="20"/>
      <c r="AT955" s="19"/>
      <c r="AV955" s="21">
        <f>IF(AND($AL955&lt;&gt;"",COUNTIF($AL$11:$AL955,$AL955)=1),1,0)</f>
        <v>0</v>
      </c>
      <c r="AW955" s="21">
        <f t="shared" si="115"/>
        <v>0</v>
      </c>
      <c r="AX955" s="21" t="str">
        <f t="shared" si="114"/>
        <v/>
      </c>
      <c r="AY955" s="21" t="str">
        <f>IF(AND($AM955&lt;&gt;"",$AS955&lt;&gt;"✓"),SUMPRODUCT(($AM$11:$AM955&lt;&gt;"")*($AS$11:$AS955&lt;&gt;"✓")),"")</f>
        <v/>
      </c>
      <c r="AZ955" s="21" t="str">
        <f>IF(AND($AM955&lt;&gt;"",$AS955="✓"),SUMPRODUCT(($AM$11:$AM955&lt;&gt;"")*($AS$11:$AS955="✓")),"")</f>
        <v/>
      </c>
      <c r="BA955" s="21" t="str">
        <f>IF($AL955="","",$AL955&amp;"|"&amp;COUNTIF($AL$11:$AL955,$AL955))</f>
        <v/>
      </c>
    </row>
    <row r="956" spans="23:53" ht="15" customHeight="1" x14ac:dyDescent="0.25">
      <c r="W956" s="28" t="str">
        <f>IF(X956="","",IFERROR(INDEX($AL$11:$AL$4010,MATCH(946,$AY$11:$AY$4010,0)),""))</f>
        <v/>
      </c>
      <c r="X956" s="26" t="str">
        <f>IFERROR(INDEX($AM$11:$AM$4010,MATCH(946,$AY$11:$AY$4010,0)),"")</f>
        <v/>
      </c>
      <c r="Y956" s="25" t="str">
        <f>IF(X956="","",IFERROR(INDEX($AN$11:$AN$4010,MATCH(946,$AY$11:$AY$4010,0)),""))</f>
        <v/>
      </c>
      <c r="Z956" s="25" t="str">
        <f>IF(X956="","",IFERROR(INDEX($AO$11:$AO$4010,MATCH(946,$AY$11:$AY$4010,0)),""))</f>
        <v/>
      </c>
      <c r="AA956" s="24" t="str">
        <f>IF(X956="","",IFERROR(INDEX($AQ$11:$AQ$4010,MATCH(946,$AY$11:$AY$4010,0)),""))</f>
        <v/>
      </c>
      <c r="AB956" s="29" t="str">
        <f>IF(X956="","",IFERROR(INDEX($AR$11:$AR$4010,MATCH(946,$AY$11:$AY$4010,0)),""))</f>
        <v/>
      </c>
      <c r="AD956" s="30" t="str">
        <f>IF(AE956="","",IFERROR(INDEX($AL$11:$AL$4010,MATCH(946,$AZ$11:$AZ$4010,0)),""))</f>
        <v/>
      </c>
      <c r="AE956" s="26" t="str">
        <f>IFERROR(INDEX($AM$11:$AM$4010,MATCH(946,$AZ$11:$AZ$4010,0)),"")</f>
        <v/>
      </c>
      <c r="AF956" s="25" t="str">
        <f>IF(AE956="","",IFERROR(INDEX($AN$11:$AN$4010,MATCH(946,$AZ$11:$AZ$4010,0)),""))</f>
        <v/>
      </c>
      <c r="AG956" s="25" t="str">
        <f>IF(AE956="","",IFERROR(INDEX($AO$11:$AO$4010,MATCH(946,$AZ$11:$AZ$4010,0)),""))</f>
        <v/>
      </c>
      <c r="AH956" s="24" t="str">
        <f>IF(AE956="","",IFERROR(INDEX($AQ$11:$AQ$4010,MATCH(946,$AZ$11:$AZ$4010,0)),""))</f>
        <v/>
      </c>
      <c r="AI956" s="29" t="str">
        <f>IF(AE956="","",IFERROR(INDEX($AR$11:$AR$4010,MATCH(946,$AZ$11:$AZ$4010,0)),""))</f>
        <v/>
      </c>
      <c r="AJ956" s="29" t="str">
        <f>IF(AE956="","",IFERROR(INDEX($AT$11:$AT$4010,MATCH(946,$AZ$11:$AZ$4010,0)),""))</f>
        <v/>
      </c>
      <c r="AL956" s="31"/>
      <c r="AM956" s="26"/>
      <c r="AN956" s="32"/>
      <c r="AO956" s="32"/>
      <c r="AP956" s="24"/>
      <c r="AQ956" s="24"/>
      <c r="AR956" s="33"/>
      <c r="AS956" s="34"/>
      <c r="AT956" s="33"/>
      <c r="AV956" s="21">
        <f>IF(AND($AL956&lt;&gt;"",COUNTIF($AL$11:$AL956,$AL956)=1),1,0)</f>
        <v>0</v>
      </c>
      <c r="AW956" s="21">
        <f t="shared" si="115"/>
        <v>0</v>
      </c>
      <c r="AX956" s="21" t="str">
        <f t="shared" si="114"/>
        <v/>
      </c>
      <c r="AY956" s="21" t="str">
        <f>IF(AND($AM956&lt;&gt;"",$AS956&lt;&gt;"✓"),SUMPRODUCT(($AM$11:$AM956&lt;&gt;"")*($AS$11:$AS956&lt;&gt;"✓")),"")</f>
        <v/>
      </c>
      <c r="AZ956" s="21" t="str">
        <f>IF(AND($AM956&lt;&gt;"",$AS956="✓"),SUMPRODUCT(($AM$11:$AM956&lt;&gt;"")*($AS$11:$AS956="✓")),"")</f>
        <v/>
      </c>
      <c r="BA956" s="21" t="str">
        <f>IF($AL956="","",$AL956&amp;"|"&amp;COUNTIF($AL$11:$AL956,$AL956))</f>
        <v/>
      </c>
    </row>
    <row r="957" spans="23:53" ht="15" customHeight="1" x14ac:dyDescent="0.25">
      <c r="W957" s="14" t="str">
        <f>IF(X957="","",IFERROR(INDEX($AL$11:$AL$4010,MATCH(947,$AY$11:$AY$4010,0)),""))</f>
        <v/>
      </c>
      <c r="X957" s="12" t="str">
        <f>IFERROR(INDEX($AM$11:$AM$4010,MATCH(947,$AY$11:$AY$4010,0)),"")</f>
        <v/>
      </c>
      <c r="Y957" s="11" t="str">
        <f>IF(X957="","",IFERROR(INDEX($AN$11:$AN$4010,MATCH(947,$AY$11:$AY$4010,0)),""))</f>
        <v/>
      </c>
      <c r="Z957" s="11" t="str">
        <f>IF(X957="","",IFERROR(INDEX($AO$11:$AO$4010,MATCH(947,$AY$11:$AY$4010,0)),""))</f>
        <v/>
      </c>
      <c r="AA957" s="10" t="str">
        <f>IF(X957="","",IFERROR(INDEX($AQ$11:$AQ$4010,MATCH(947,$AY$11:$AY$4010,0)),""))</f>
        <v/>
      </c>
      <c r="AB957" s="15" t="str">
        <f>IF(X957="","",IFERROR(INDEX($AR$11:$AR$4010,MATCH(947,$AY$11:$AY$4010,0)),""))</f>
        <v/>
      </c>
      <c r="AD957" s="16" t="str">
        <f>IF(AE957="","",IFERROR(INDEX($AL$11:$AL$4010,MATCH(947,$AZ$11:$AZ$4010,0)),""))</f>
        <v/>
      </c>
      <c r="AE957" s="12" t="str">
        <f>IFERROR(INDEX($AM$11:$AM$4010,MATCH(947,$AZ$11:$AZ$4010,0)),"")</f>
        <v/>
      </c>
      <c r="AF957" s="11" t="str">
        <f>IF(AE957="","",IFERROR(INDEX($AN$11:$AN$4010,MATCH(947,$AZ$11:$AZ$4010,0)),""))</f>
        <v/>
      </c>
      <c r="AG957" s="11" t="str">
        <f>IF(AE957="","",IFERROR(INDEX($AO$11:$AO$4010,MATCH(947,$AZ$11:$AZ$4010,0)),""))</f>
        <v/>
      </c>
      <c r="AH957" s="10" t="str">
        <f>IF(AE957="","",IFERROR(INDEX($AQ$11:$AQ$4010,MATCH(947,$AZ$11:$AZ$4010,0)),""))</f>
        <v/>
      </c>
      <c r="AI957" s="15" t="str">
        <f>IF(AE957="","",IFERROR(INDEX($AR$11:$AR$4010,MATCH(947,$AZ$11:$AZ$4010,0)),""))</f>
        <v/>
      </c>
      <c r="AJ957" s="15" t="str">
        <f>IF(AE957="","",IFERROR(INDEX($AT$11:$AT$4010,MATCH(947,$AZ$11:$AZ$4010,0)),""))</f>
        <v/>
      </c>
      <c r="AL957" s="17"/>
      <c r="AM957" s="12"/>
      <c r="AN957" s="18"/>
      <c r="AO957" s="18"/>
      <c r="AP957" s="10"/>
      <c r="AQ957" s="10"/>
      <c r="AR957" s="19"/>
      <c r="AS957" s="20"/>
      <c r="AT957" s="19"/>
      <c r="AV957" s="21">
        <f>IF(AND($AL957&lt;&gt;"",COUNTIF($AL$11:$AL957,$AL957)=1),1,0)</f>
        <v>0</v>
      </c>
      <c r="AW957" s="21">
        <f t="shared" si="115"/>
        <v>0</v>
      </c>
      <c r="AX957" s="21" t="str">
        <f t="shared" si="114"/>
        <v/>
      </c>
      <c r="AY957" s="21" t="str">
        <f>IF(AND($AM957&lt;&gt;"",$AS957&lt;&gt;"✓"),SUMPRODUCT(($AM$11:$AM957&lt;&gt;"")*($AS$11:$AS957&lt;&gt;"✓")),"")</f>
        <v/>
      </c>
      <c r="AZ957" s="21" t="str">
        <f>IF(AND($AM957&lt;&gt;"",$AS957="✓"),SUMPRODUCT(($AM$11:$AM957&lt;&gt;"")*($AS$11:$AS957="✓")),"")</f>
        <v/>
      </c>
      <c r="BA957" s="21" t="str">
        <f>IF($AL957="","",$AL957&amp;"|"&amp;COUNTIF($AL$11:$AL957,$AL957))</f>
        <v/>
      </c>
    </row>
    <row r="958" spans="23:53" ht="15" customHeight="1" x14ac:dyDescent="0.25">
      <c r="W958" s="28" t="str">
        <f>IF(X958="","",IFERROR(INDEX($AL$11:$AL$4010,MATCH(948,$AY$11:$AY$4010,0)),""))</f>
        <v/>
      </c>
      <c r="X958" s="26" t="str">
        <f>IFERROR(INDEX($AM$11:$AM$4010,MATCH(948,$AY$11:$AY$4010,0)),"")</f>
        <v/>
      </c>
      <c r="Y958" s="25" t="str">
        <f>IF(X958="","",IFERROR(INDEX($AN$11:$AN$4010,MATCH(948,$AY$11:$AY$4010,0)),""))</f>
        <v/>
      </c>
      <c r="Z958" s="25" t="str">
        <f>IF(X958="","",IFERROR(INDEX($AO$11:$AO$4010,MATCH(948,$AY$11:$AY$4010,0)),""))</f>
        <v/>
      </c>
      <c r="AA958" s="24" t="str">
        <f>IF(X958="","",IFERROR(INDEX($AQ$11:$AQ$4010,MATCH(948,$AY$11:$AY$4010,0)),""))</f>
        <v/>
      </c>
      <c r="AB958" s="29" t="str">
        <f>IF(X958="","",IFERROR(INDEX($AR$11:$AR$4010,MATCH(948,$AY$11:$AY$4010,0)),""))</f>
        <v/>
      </c>
      <c r="AD958" s="30" t="str">
        <f>IF(AE958="","",IFERROR(INDEX($AL$11:$AL$4010,MATCH(948,$AZ$11:$AZ$4010,0)),""))</f>
        <v/>
      </c>
      <c r="AE958" s="26" t="str">
        <f>IFERROR(INDEX($AM$11:$AM$4010,MATCH(948,$AZ$11:$AZ$4010,0)),"")</f>
        <v/>
      </c>
      <c r="AF958" s="25" t="str">
        <f>IF(AE958="","",IFERROR(INDEX($AN$11:$AN$4010,MATCH(948,$AZ$11:$AZ$4010,0)),""))</f>
        <v/>
      </c>
      <c r="AG958" s="25" t="str">
        <f>IF(AE958="","",IFERROR(INDEX($AO$11:$AO$4010,MATCH(948,$AZ$11:$AZ$4010,0)),""))</f>
        <v/>
      </c>
      <c r="AH958" s="24" t="str">
        <f>IF(AE958="","",IFERROR(INDEX($AQ$11:$AQ$4010,MATCH(948,$AZ$11:$AZ$4010,0)),""))</f>
        <v/>
      </c>
      <c r="AI958" s="29" t="str">
        <f>IF(AE958="","",IFERROR(INDEX($AR$11:$AR$4010,MATCH(948,$AZ$11:$AZ$4010,0)),""))</f>
        <v/>
      </c>
      <c r="AJ958" s="29" t="str">
        <f>IF(AE958="","",IFERROR(INDEX($AT$11:$AT$4010,MATCH(948,$AZ$11:$AZ$4010,0)),""))</f>
        <v/>
      </c>
      <c r="AL958" s="31"/>
      <c r="AM958" s="26"/>
      <c r="AN958" s="32"/>
      <c r="AO958" s="32"/>
      <c r="AP958" s="24"/>
      <c r="AQ958" s="24"/>
      <c r="AR958" s="33"/>
      <c r="AS958" s="34"/>
      <c r="AT958" s="33"/>
      <c r="AV958" s="21">
        <f>IF(AND($AL958&lt;&gt;"",COUNTIF($AL$11:$AL958,$AL958)=1),1,0)</f>
        <v>0</v>
      </c>
      <c r="AW958" s="21">
        <f t="shared" si="115"/>
        <v>0</v>
      </c>
      <c r="AX958" s="21" t="str">
        <f t="shared" si="114"/>
        <v/>
      </c>
      <c r="AY958" s="21" t="str">
        <f>IF(AND($AM958&lt;&gt;"",$AS958&lt;&gt;"✓"),SUMPRODUCT(($AM$11:$AM958&lt;&gt;"")*($AS$11:$AS958&lt;&gt;"✓")),"")</f>
        <v/>
      </c>
      <c r="AZ958" s="21" t="str">
        <f>IF(AND($AM958&lt;&gt;"",$AS958="✓"),SUMPRODUCT(($AM$11:$AM958&lt;&gt;"")*($AS$11:$AS958="✓")),"")</f>
        <v/>
      </c>
      <c r="BA958" s="21" t="str">
        <f>IF($AL958="","",$AL958&amp;"|"&amp;COUNTIF($AL$11:$AL958,$AL958))</f>
        <v/>
      </c>
    </row>
    <row r="959" spans="23:53" ht="15" customHeight="1" x14ac:dyDescent="0.25">
      <c r="W959" s="14" t="str">
        <f>IF(X959="","",IFERROR(INDEX($AL$11:$AL$4010,MATCH(949,$AY$11:$AY$4010,0)),""))</f>
        <v/>
      </c>
      <c r="X959" s="12" t="str">
        <f>IFERROR(INDEX($AM$11:$AM$4010,MATCH(949,$AY$11:$AY$4010,0)),"")</f>
        <v/>
      </c>
      <c r="Y959" s="11" t="str">
        <f>IF(X959="","",IFERROR(INDEX($AN$11:$AN$4010,MATCH(949,$AY$11:$AY$4010,0)),""))</f>
        <v/>
      </c>
      <c r="Z959" s="11" t="str">
        <f>IF(X959="","",IFERROR(INDEX($AO$11:$AO$4010,MATCH(949,$AY$11:$AY$4010,0)),""))</f>
        <v/>
      </c>
      <c r="AA959" s="10" t="str">
        <f>IF(X959="","",IFERROR(INDEX($AQ$11:$AQ$4010,MATCH(949,$AY$11:$AY$4010,0)),""))</f>
        <v/>
      </c>
      <c r="AB959" s="15" t="str">
        <f>IF(X959="","",IFERROR(INDEX($AR$11:$AR$4010,MATCH(949,$AY$11:$AY$4010,0)),""))</f>
        <v/>
      </c>
      <c r="AD959" s="16" t="str">
        <f>IF(AE959="","",IFERROR(INDEX($AL$11:$AL$4010,MATCH(949,$AZ$11:$AZ$4010,0)),""))</f>
        <v/>
      </c>
      <c r="AE959" s="12" t="str">
        <f>IFERROR(INDEX($AM$11:$AM$4010,MATCH(949,$AZ$11:$AZ$4010,0)),"")</f>
        <v/>
      </c>
      <c r="AF959" s="11" t="str">
        <f>IF(AE959="","",IFERROR(INDEX($AN$11:$AN$4010,MATCH(949,$AZ$11:$AZ$4010,0)),""))</f>
        <v/>
      </c>
      <c r="AG959" s="11" t="str">
        <f>IF(AE959="","",IFERROR(INDEX($AO$11:$AO$4010,MATCH(949,$AZ$11:$AZ$4010,0)),""))</f>
        <v/>
      </c>
      <c r="AH959" s="10" t="str">
        <f>IF(AE959="","",IFERROR(INDEX($AQ$11:$AQ$4010,MATCH(949,$AZ$11:$AZ$4010,0)),""))</f>
        <v/>
      </c>
      <c r="AI959" s="15" t="str">
        <f>IF(AE959="","",IFERROR(INDEX($AR$11:$AR$4010,MATCH(949,$AZ$11:$AZ$4010,0)),""))</f>
        <v/>
      </c>
      <c r="AJ959" s="15" t="str">
        <f>IF(AE959="","",IFERROR(INDEX($AT$11:$AT$4010,MATCH(949,$AZ$11:$AZ$4010,0)),""))</f>
        <v/>
      </c>
      <c r="AL959" s="17"/>
      <c r="AM959" s="12"/>
      <c r="AN959" s="18"/>
      <c r="AO959" s="18"/>
      <c r="AP959" s="10"/>
      <c r="AQ959" s="10"/>
      <c r="AR959" s="19"/>
      <c r="AS959" s="20"/>
      <c r="AT959" s="19"/>
      <c r="AV959" s="21">
        <f>IF(AND($AL959&lt;&gt;"",COUNTIF($AL$11:$AL959,$AL959)=1),1,0)</f>
        <v>0</v>
      </c>
      <c r="AW959" s="21">
        <f t="shared" si="115"/>
        <v>0</v>
      </c>
      <c r="AX959" s="21" t="str">
        <f t="shared" si="114"/>
        <v/>
      </c>
      <c r="AY959" s="21" t="str">
        <f>IF(AND($AM959&lt;&gt;"",$AS959&lt;&gt;"✓"),SUMPRODUCT(($AM$11:$AM959&lt;&gt;"")*($AS$11:$AS959&lt;&gt;"✓")),"")</f>
        <v/>
      </c>
      <c r="AZ959" s="21" t="str">
        <f>IF(AND($AM959&lt;&gt;"",$AS959="✓"),SUMPRODUCT(($AM$11:$AM959&lt;&gt;"")*($AS$11:$AS959="✓")),"")</f>
        <v/>
      </c>
      <c r="BA959" s="21" t="str">
        <f>IF($AL959="","",$AL959&amp;"|"&amp;COUNTIF($AL$11:$AL959,$AL959))</f>
        <v/>
      </c>
    </row>
    <row r="960" spans="23:53" ht="15" customHeight="1" x14ac:dyDescent="0.25">
      <c r="W960" s="28" t="str">
        <f>IF(X960="","",IFERROR(INDEX($AL$11:$AL$4010,MATCH(950,$AY$11:$AY$4010,0)),""))</f>
        <v/>
      </c>
      <c r="X960" s="26" t="str">
        <f>IFERROR(INDEX($AM$11:$AM$4010,MATCH(950,$AY$11:$AY$4010,0)),"")</f>
        <v/>
      </c>
      <c r="Y960" s="25" t="str">
        <f>IF(X960="","",IFERROR(INDEX($AN$11:$AN$4010,MATCH(950,$AY$11:$AY$4010,0)),""))</f>
        <v/>
      </c>
      <c r="Z960" s="25" t="str">
        <f>IF(X960="","",IFERROR(INDEX($AO$11:$AO$4010,MATCH(950,$AY$11:$AY$4010,0)),""))</f>
        <v/>
      </c>
      <c r="AA960" s="24" t="str">
        <f>IF(X960="","",IFERROR(INDEX($AQ$11:$AQ$4010,MATCH(950,$AY$11:$AY$4010,0)),""))</f>
        <v/>
      </c>
      <c r="AB960" s="29" t="str">
        <f>IF(X960="","",IFERROR(INDEX($AR$11:$AR$4010,MATCH(950,$AY$11:$AY$4010,0)),""))</f>
        <v/>
      </c>
      <c r="AD960" s="30" t="str">
        <f>IF(AE960="","",IFERROR(INDEX($AL$11:$AL$4010,MATCH(950,$AZ$11:$AZ$4010,0)),""))</f>
        <v/>
      </c>
      <c r="AE960" s="26" t="str">
        <f>IFERROR(INDEX($AM$11:$AM$4010,MATCH(950,$AZ$11:$AZ$4010,0)),"")</f>
        <v/>
      </c>
      <c r="AF960" s="25" t="str">
        <f>IF(AE960="","",IFERROR(INDEX($AN$11:$AN$4010,MATCH(950,$AZ$11:$AZ$4010,0)),""))</f>
        <v/>
      </c>
      <c r="AG960" s="25" t="str">
        <f>IF(AE960="","",IFERROR(INDEX($AO$11:$AO$4010,MATCH(950,$AZ$11:$AZ$4010,0)),""))</f>
        <v/>
      </c>
      <c r="AH960" s="24" t="str">
        <f>IF(AE960="","",IFERROR(INDEX($AQ$11:$AQ$4010,MATCH(950,$AZ$11:$AZ$4010,0)),""))</f>
        <v/>
      </c>
      <c r="AI960" s="29" t="str">
        <f>IF(AE960="","",IFERROR(INDEX($AR$11:$AR$4010,MATCH(950,$AZ$11:$AZ$4010,0)),""))</f>
        <v/>
      </c>
      <c r="AJ960" s="29" t="str">
        <f>IF(AE960="","",IFERROR(INDEX($AT$11:$AT$4010,MATCH(950,$AZ$11:$AZ$4010,0)),""))</f>
        <v/>
      </c>
      <c r="AL960" s="31"/>
      <c r="AM960" s="26"/>
      <c r="AN960" s="32"/>
      <c r="AO960" s="32"/>
      <c r="AP960" s="24"/>
      <c r="AQ960" s="24"/>
      <c r="AR960" s="33"/>
      <c r="AS960" s="34"/>
      <c r="AT960" s="33"/>
      <c r="AV960" s="21">
        <f>IF(AND($AL960&lt;&gt;"",COUNTIF($AL$11:$AL960,$AL960)=1),1,0)</f>
        <v>0</v>
      </c>
      <c r="AW960" s="21">
        <f t="shared" si="115"/>
        <v>0</v>
      </c>
      <c r="AX960" s="21" t="str">
        <f t="shared" si="114"/>
        <v/>
      </c>
      <c r="AY960" s="21" t="str">
        <f>IF(AND($AM960&lt;&gt;"",$AS960&lt;&gt;"✓"),SUMPRODUCT(($AM$11:$AM960&lt;&gt;"")*($AS$11:$AS960&lt;&gt;"✓")),"")</f>
        <v/>
      </c>
      <c r="AZ960" s="21" t="str">
        <f>IF(AND($AM960&lt;&gt;"",$AS960="✓"),SUMPRODUCT(($AM$11:$AM960&lt;&gt;"")*($AS$11:$AS960="✓")),"")</f>
        <v/>
      </c>
      <c r="BA960" s="21" t="str">
        <f>IF($AL960="","",$AL960&amp;"|"&amp;COUNTIF($AL$11:$AL960,$AL960))</f>
        <v/>
      </c>
    </row>
    <row r="961" spans="23:53" ht="15" customHeight="1" x14ac:dyDescent="0.25">
      <c r="W961" s="14" t="str">
        <f>IF(X961="","",IFERROR(INDEX($AL$11:$AL$4010,MATCH(951,$AY$11:$AY$4010,0)),""))</f>
        <v/>
      </c>
      <c r="X961" s="12" t="str">
        <f>IFERROR(INDEX($AM$11:$AM$4010,MATCH(951,$AY$11:$AY$4010,0)),"")</f>
        <v/>
      </c>
      <c r="Y961" s="11" t="str">
        <f>IF(X961="","",IFERROR(INDEX($AN$11:$AN$4010,MATCH(951,$AY$11:$AY$4010,0)),""))</f>
        <v/>
      </c>
      <c r="Z961" s="11" t="str">
        <f>IF(X961="","",IFERROR(INDEX($AO$11:$AO$4010,MATCH(951,$AY$11:$AY$4010,0)),""))</f>
        <v/>
      </c>
      <c r="AA961" s="10" t="str">
        <f>IF(X961="","",IFERROR(INDEX($AQ$11:$AQ$4010,MATCH(951,$AY$11:$AY$4010,0)),""))</f>
        <v/>
      </c>
      <c r="AB961" s="15" t="str">
        <f>IF(X961="","",IFERROR(INDEX($AR$11:$AR$4010,MATCH(951,$AY$11:$AY$4010,0)),""))</f>
        <v/>
      </c>
      <c r="AD961" s="16" t="str">
        <f>IF(AE961="","",IFERROR(INDEX($AL$11:$AL$4010,MATCH(951,$AZ$11:$AZ$4010,0)),""))</f>
        <v/>
      </c>
      <c r="AE961" s="12" t="str">
        <f>IFERROR(INDEX($AM$11:$AM$4010,MATCH(951,$AZ$11:$AZ$4010,0)),"")</f>
        <v/>
      </c>
      <c r="AF961" s="11" t="str">
        <f>IF(AE961="","",IFERROR(INDEX($AN$11:$AN$4010,MATCH(951,$AZ$11:$AZ$4010,0)),""))</f>
        <v/>
      </c>
      <c r="AG961" s="11" t="str">
        <f>IF(AE961="","",IFERROR(INDEX($AO$11:$AO$4010,MATCH(951,$AZ$11:$AZ$4010,0)),""))</f>
        <v/>
      </c>
      <c r="AH961" s="10" t="str">
        <f>IF(AE961="","",IFERROR(INDEX($AQ$11:$AQ$4010,MATCH(951,$AZ$11:$AZ$4010,0)),""))</f>
        <v/>
      </c>
      <c r="AI961" s="15" t="str">
        <f>IF(AE961="","",IFERROR(INDEX($AR$11:$AR$4010,MATCH(951,$AZ$11:$AZ$4010,0)),""))</f>
        <v/>
      </c>
      <c r="AJ961" s="15" t="str">
        <f>IF(AE961="","",IFERROR(INDEX($AT$11:$AT$4010,MATCH(951,$AZ$11:$AZ$4010,0)),""))</f>
        <v/>
      </c>
      <c r="AL961" s="17"/>
      <c r="AM961" s="12"/>
      <c r="AN961" s="18"/>
      <c r="AO961" s="18"/>
      <c r="AP961" s="10"/>
      <c r="AQ961" s="10"/>
      <c r="AR961" s="19"/>
      <c r="AS961" s="20"/>
      <c r="AT961" s="19"/>
      <c r="AV961" s="21">
        <f>IF(AND($AL961&lt;&gt;"",COUNTIF($AL$11:$AL961,$AL961)=1),1,0)</f>
        <v>0</v>
      </c>
      <c r="AW961" s="21">
        <f t="shared" si="115"/>
        <v>0</v>
      </c>
      <c r="AX961" s="21" t="str">
        <f t="shared" si="114"/>
        <v/>
      </c>
      <c r="AY961" s="21" t="str">
        <f>IF(AND($AM961&lt;&gt;"",$AS961&lt;&gt;"✓"),SUMPRODUCT(($AM$11:$AM961&lt;&gt;"")*($AS$11:$AS961&lt;&gt;"✓")),"")</f>
        <v/>
      </c>
      <c r="AZ961" s="21" t="str">
        <f>IF(AND($AM961&lt;&gt;"",$AS961="✓"),SUMPRODUCT(($AM$11:$AM961&lt;&gt;"")*($AS$11:$AS961="✓")),"")</f>
        <v/>
      </c>
      <c r="BA961" s="21" t="str">
        <f>IF($AL961="","",$AL961&amp;"|"&amp;COUNTIF($AL$11:$AL961,$AL961))</f>
        <v/>
      </c>
    </row>
    <row r="962" spans="23:53" ht="15" customHeight="1" x14ac:dyDescent="0.25">
      <c r="W962" s="28" t="str">
        <f>IF(X962="","",IFERROR(INDEX($AL$11:$AL$4010,MATCH(952,$AY$11:$AY$4010,0)),""))</f>
        <v/>
      </c>
      <c r="X962" s="26" t="str">
        <f>IFERROR(INDEX($AM$11:$AM$4010,MATCH(952,$AY$11:$AY$4010,0)),"")</f>
        <v/>
      </c>
      <c r="Y962" s="25" t="str">
        <f>IF(X962="","",IFERROR(INDEX($AN$11:$AN$4010,MATCH(952,$AY$11:$AY$4010,0)),""))</f>
        <v/>
      </c>
      <c r="Z962" s="25" t="str">
        <f>IF(X962="","",IFERROR(INDEX($AO$11:$AO$4010,MATCH(952,$AY$11:$AY$4010,0)),""))</f>
        <v/>
      </c>
      <c r="AA962" s="24" t="str">
        <f>IF(X962="","",IFERROR(INDEX($AQ$11:$AQ$4010,MATCH(952,$AY$11:$AY$4010,0)),""))</f>
        <v/>
      </c>
      <c r="AB962" s="29" t="str">
        <f>IF(X962="","",IFERROR(INDEX($AR$11:$AR$4010,MATCH(952,$AY$11:$AY$4010,0)),""))</f>
        <v/>
      </c>
      <c r="AD962" s="30" t="str">
        <f>IF(AE962="","",IFERROR(INDEX($AL$11:$AL$4010,MATCH(952,$AZ$11:$AZ$4010,0)),""))</f>
        <v/>
      </c>
      <c r="AE962" s="26" t="str">
        <f>IFERROR(INDEX($AM$11:$AM$4010,MATCH(952,$AZ$11:$AZ$4010,0)),"")</f>
        <v/>
      </c>
      <c r="AF962" s="25" t="str">
        <f>IF(AE962="","",IFERROR(INDEX($AN$11:$AN$4010,MATCH(952,$AZ$11:$AZ$4010,0)),""))</f>
        <v/>
      </c>
      <c r="AG962" s="25" t="str">
        <f>IF(AE962="","",IFERROR(INDEX($AO$11:$AO$4010,MATCH(952,$AZ$11:$AZ$4010,0)),""))</f>
        <v/>
      </c>
      <c r="AH962" s="24" t="str">
        <f>IF(AE962="","",IFERROR(INDEX($AQ$11:$AQ$4010,MATCH(952,$AZ$11:$AZ$4010,0)),""))</f>
        <v/>
      </c>
      <c r="AI962" s="29" t="str">
        <f>IF(AE962="","",IFERROR(INDEX($AR$11:$AR$4010,MATCH(952,$AZ$11:$AZ$4010,0)),""))</f>
        <v/>
      </c>
      <c r="AJ962" s="29" t="str">
        <f>IF(AE962="","",IFERROR(INDEX($AT$11:$AT$4010,MATCH(952,$AZ$11:$AZ$4010,0)),""))</f>
        <v/>
      </c>
      <c r="AL962" s="31"/>
      <c r="AM962" s="26"/>
      <c r="AN962" s="32"/>
      <c r="AO962" s="32"/>
      <c r="AP962" s="24"/>
      <c r="AQ962" s="24"/>
      <c r="AR962" s="33"/>
      <c r="AS962" s="34"/>
      <c r="AT962" s="33"/>
      <c r="AV962" s="21">
        <f>IF(AND($AL962&lt;&gt;"",COUNTIF($AL$11:$AL962,$AL962)=1),1,0)</f>
        <v>0</v>
      </c>
      <c r="AW962" s="21">
        <f t="shared" si="115"/>
        <v>0</v>
      </c>
      <c r="AX962" s="21" t="str">
        <f t="shared" si="114"/>
        <v/>
      </c>
      <c r="AY962" s="21" t="str">
        <f>IF(AND($AM962&lt;&gt;"",$AS962&lt;&gt;"✓"),SUMPRODUCT(($AM$11:$AM962&lt;&gt;"")*($AS$11:$AS962&lt;&gt;"✓")),"")</f>
        <v/>
      </c>
      <c r="AZ962" s="21" t="str">
        <f>IF(AND($AM962&lt;&gt;"",$AS962="✓"),SUMPRODUCT(($AM$11:$AM962&lt;&gt;"")*($AS$11:$AS962="✓")),"")</f>
        <v/>
      </c>
      <c r="BA962" s="21" t="str">
        <f>IF($AL962="","",$AL962&amp;"|"&amp;COUNTIF($AL$11:$AL962,$AL962))</f>
        <v/>
      </c>
    </row>
    <row r="963" spans="23:53" ht="15" customHeight="1" x14ac:dyDescent="0.25">
      <c r="W963" s="14" t="str">
        <f>IF(X963="","",IFERROR(INDEX($AL$11:$AL$4010,MATCH(953,$AY$11:$AY$4010,0)),""))</f>
        <v/>
      </c>
      <c r="X963" s="12" t="str">
        <f>IFERROR(INDEX($AM$11:$AM$4010,MATCH(953,$AY$11:$AY$4010,0)),"")</f>
        <v/>
      </c>
      <c r="Y963" s="11" t="str">
        <f>IF(X963="","",IFERROR(INDEX($AN$11:$AN$4010,MATCH(953,$AY$11:$AY$4010,0)),""))</f>
        <v/>
      </c>
      <c r="Z963" s="11" t="str">
        <f>IF(X963="","",IFERROR(INDEX($AO$11:$AO$4010,MATCH(953,$AY$11:$AY$4010,0)),""))</f>
        <v/>
      </c>
      <c r="AA963" s="10" t="str">
        <f>IF(X963="","",IFERROR(INDEX($AQ$11:$AQ$4010,MATCH(953,$AY$11:$AY$4010,0)),""))</f>
        <v/>
      </c>
      <c r="AB963" s="15" t="str">
        <f>IF(X963="","",IFERROR(INDEX($AR$11:$AR$4010,MATCH(953,$AY$11:$AY$4010,0)),""))</f>
        <v/>
      </c>
      <c r="AD963" s="16" t="str">
        <f>IF(AE963="","",IFERROR(INDEX($AL$11:$AL$4010,MATCH(953,$AZ$11:$AZ$4010,0)),""))</f>
        <v/>
      </c>
      <c r="AE963" s="12" t="str">
        <f>IFERROR(INDEX($AM$11:$AM$4010,MATCH(953,$AZ$11:$AZ$4010,0)),"")</f>
        <v/>
      </c>
      <c r="AF963" s="11" t="str">
        <f>IF(AE963="","",IFERROR(INDEX($AN$11:$AN$4010,MATCH(953,$AZ$11:$AZ$4010,0)),""))</f>
        <v/>
      </c>
      <c r="AG963" s="11" t="str">
        <f>IF(AE963="","",IFERROR(INDEX($AO$11:$AO$4010,MATCH(953,$AZ$11:$AZ$4010,0)),""))</f>
        <v/>
      </c>
      <c r="AH963" s="10" t="str">
        <f>IF(AE963="","",IFERROR(INDEX($AQ$11:$AQ$4010,MATCH(953,$AZ$11:$AZ$4010,0)),""))</f>
        <v/>
      </c>
      <c r="AI963" s="15" t="str">
        <f>IF(AE963="","",IFERROR(INDEX($AR$11:$AR$4010,MATCH(953,$AZ$11:$AZ$4010,0)),""))</f>
        <v/>
      </c>
      <c r="AJ963" s="15" t="str">
        <f>IF(AE963="","",IFERROR(INDEX($AT$11:$AT$4010,MATCH(953,$AZ$11:$AZ$4010,0)),""))</f>
        <v/>
      </c>
      <c r="AL963" s="17"/>
      <c r="AM963" s="12"/>
      <c r="AN963" s="18"/>
      <c r="AO963" s="18"/>
      <c r="AP963" s="10"/>
      <c r="AQ963" s="10"/>
      <c r="AR963" s="19"/>
      <c r="AS963" s="20"/>
      <c r="AT963" s="19"/>
      <c r="AV963" s="21">
        <f>IF(AND($AL963&lt;&gt;"",COUNTIF($AL$11:$AL963,$AL963)=1),1,0)</f>
        <v>0</v>
      </c>
      <c r="AW963" s="21">
        <f t="shared" si="115"/>
        <v>0</v>
      </c>
      <c r="AX963" s="21" t="str">
        <f t="shared" si="114"/>
        <v/>
      </c>
      <c r="AY963" s="21" t="str">
        <f>IF(AND($AM963&lt;&gt;"",$AS963&lt;&gt;"✓"),SUMPRODUCT(($AM$11:$AM963&lt;&gt;"")*($AS$11:$AS963&lt;&gt;"✓")),"")</f>
        <v/>
      </c>
      <c r="AZ963" s="21" t="str">
        <f>IF(AND($AM963&lt;&gt;"",$AS963="✓"),SUMPRODUCT(($AM$11:$AM963&lt;&gt;"")*($AS$11:$AS963="✓")),"")</f>
        <v/>
      </c>
      <c r="BA963" s="21" t="str">
        <f>IF($AL963="","",$AL963&amp;"|"&amp;COUNTIF($AL$11:$AL963,$AL963))</f>
        <v/>
      </c>
    </row>
    <row r="964" spans="23:53" ht="15" customHeight="1" x14ac:dyDescent="0.25">
      <c r="W964" s="28" t="str">
        <f>IF(X964="","",IFERROR(INDEX($AL$11:$AL$4010,MATCH(954,$AY$11:$AY$4010,0)),""))</f>
        <v/>
      </c>
      <c r="X964" s="26" t="str">
        <f>IFERROR(INDEX($AM$11:$AM$4010,MATCH(954,$AY$11:$AY$4010,0)),"")</f>
        <v/>
      </c>
      <c r="Y964" s="25" t="str">
        <f>IF(X964="","",IFERROR(INDEX($AN$11:$AN$4010,MATCH(954,$AY$11:$AY$4010,0)),""))</f>
        <v/>
      </c>
      <c r="Z964" s="25" t="str">
        <f>IF(X964="","",IFERROR(INDEX($AO$11:$AO$4010,MATCH(954,$AY$11:$AY$4010,0)),""))</f>
        <v/>
      </c>
      <c r="AA964" s="24" t="str">
        <f>IF(X964="","",IFERROR(INDEX($AQ$11:$AQ$4010,MATCH(954,$AY$11:$AY$4010,0)),""))</f>
        <v/>
      </c>
      <c r="AB964" s="29" t="str">
        <f>IF(X964="","",IFERROR(INDEX($AR$11:$AR$4010,MATCH(954,$AY$11:$AY$4010,0)),""))</f>
        <v/>
      </c>
      <c r="AD964" s="30" t="str">
        <f>IF(AE964="","",IFERROR(INDEX($AL$11:$AL$4010,MATCH(954,$AZ$11:$AZ$4010,0)),""))</f>
        <v/>
      </c>
      <c r="AE964" s="26" t="str">
        <f>IFERROR(INDEX($AM$11:$AM$4010,MATCH(954,$AZ$11:$AZ$4010,0)),"")</f>
        <v/>
      </c>
      <c r="AF964" s="25" t="str">
        <f>IF(AE964="","",IFERROR(INDEX($AN$11:$AN$4010,MATCH(954,$AZ$11:$AZ$4010,0)),""))</f>
        <v/>
      </c>
      <c r="AG964" s="25" t="str">
        <f>IF(AE964="","",IFERROR(INDEX($AO$11:$AO$4010,MATCH(954,$AZ$11:$AZ$4010,0)),""))</f>
        <v/>
      </c>
      <c r="AH964" s="24" t="str">
        <f>IF(AE964="","",IFERROR(INDEX($AQ$11:$AQ$4010,MATCH(954,$AZ$11:$AZ$4010,0)),""))</f>
        <v/>
      </c>
      <c r="AI964" s="29" t="str">
        <f>IF(AE964="","",IFERROR(INDEX($AR$11:$AR$4010,MATCH(954,$AZ$11:$AZ$4010,0)),""))</f>
        <v/>
      </c>
      <c r="AJ964" s="29" t="str">
        <f>IF(AE964="","",IFERROR(INDEX($AT$11:$AT$4010,MATCH(954,$AZ$11:$AZ$4010,0)),""))</f>
        <v/>
      </c>
      <c r="AL964" s="31"/>
      <c r="AM964" s="26"/>
      <c r="AN964" s="32"/>
      <c r="AO964" s="32"/>
      <c r="AP964" s="24"/>
      <c r="AQ964" s="24"/>
      <c r="AR964" s="33"/>
      <c r="AS964" s="34"/>
      <c r="AT964" s="33"/>
      <c r="AV964" s="21">
        <f>IF(AND($AL964&lt;&gt;"",COUNTIF($AL$11:$AL964,$AL964)=1),1,0)</f>
        <v>0</v>
      </c>
      <c r="AW964" s="21">
        <f t="shared" si="115"/>
        <v>0</v>
      </c>
      <c r="AX964" s="21" t="str">
        <f t="shared" si="114"/>
        <v/>
      </c>
      <c r="AY964" s="21" t="str">
        <f>IF(AND($AM964&lt;&gt;"",$AS964&lt;&gt;"✓"),SUMPRODUCT(($AM$11:$AM964&lt;&gt;"")*($AS$11:$AS964&lt;&gt;"✓")),"")</f>
        <v/>
      </c>
      <c r="AZ964" s="21" t="str">
        <f>IF(AND($AM964&lt;&gt;"",$AS964="✓"),SUMPRODUCT(($AM$11:$AM964&lt;&gt;"")*($AS$11:$AS964="✓")),"")</f>
        <v/>
      </c>
      <c r="BA964" s="21" t="str">
        <f>IF($AL964="","",$AL964&amp;"|"&amp;COUNTIF($AL$11:$AL964,$AL964))</f>
        <v/>
      </c>
    </row>
    <row r="965" spans="23:53" ht="15" customHeight="1" x14ac:dyDescent="0.25">
      <c r="W965" s="14" t="str">
        <f>IF(X965="","",IFERROR(INDEX($AL$11:$AL$4010,MATCH(955,$AY$11:$AY$4010,0)),""))</f>
        <v/>
      </c>
      <c r="X965" s="12" t="str">
        <f>IFERROR(INDEX($AM$11:$AM$4010,MATCH(955,$AY$11:$AY$4010,0)),"")</f>
        <v/>
      </c>
      <c r="Y965" s="11" t="str">
        <f>IF(X965="","",IFERROR(INDEX($AN$11:$AN$4010,MATCH(955,$AY$11:$AY$4010,0)),""))</f>
        <v/>
      </c>
      <c r="Z965" s="11" t="str">
        <f>IF(X965="","",IFERROR(INDEX($AO$11:$AO$4010,MATCH(955,$AY$11:$AY$4010,0)),""))</f>
        <v/>
      </c>
      <c r="AA965" s="10" t="str">
        <f>IF(X965="","",IFERROR(INDEX($AQ$11:$AQ$4010,MATCH(955,$AY$11:$AY$4010,0)),""))</f>
        <v/>
      </c>
      <c r="AB965" s="15" t="str">
        <f>IF(X965="","",IFERROR(INDEX($AR$11:$AR$4010,MATCH(955,$AY$11:$AY$4010,0)),""))</f>
        <v/>
      </c>
      <c r="AD965" s="16" t="str">
        <f>IF(AE965="","",IFERROR(INDEX($AL$11:$AL$4010,MATCH(955,$AZ$11:$AZ$4010,0)),""))</f>
        <v/>
      </c>
      <c r="AE965" s="12" t="str">
        <f>IFERROR(INDEX($AM$11:$AM$4010,MATCH(955,$AZ$11:$AZ$4010,0)),"")</f>
        <v/>
      </c>
      <c r="AF965" s="11" t="str">
        <f>IF(AE965="","",IFERROR(INDEX($AN$11:$AN$4010,MATCH(955,$AZ$11:$AZ$4010,0)),""))</f>
        <v/>
      </c>
      <c r="AG965" s="11" t="str">
        <f>IF(AE965="","",IFERROR(INDEX($AO$11:$AO$4010,MATCH(955,$AZ$11:$AZ$4010,0)),""))</f>
        <v/>
      </c>
      <c r="AH965" s="10" t="str">
        <f>IF(AE965="","",IFERROR(INDEX($AQ$11:$AQ$4010,MATCH(955,$AZ$11:$AZ$4010,0)),""))</f>
        <v/>
      </c>
      <c r="AI965" s="15" t="str">
        <f>IF(AE965="","",IFERROR(INDEX($AR$11:$AR$4010,MATCH(955,$AZ$11:$AZ$4010,0)),""))</f>
        <v/>
      </c>
      <c r="AJ965" s="15" t="str">
        <f>IF(AE965="","",IFERROR(INDEX($AT$11:$AT$4010,MATCH(955,$AZ$11:$AZ$4010,0)),""))</f>
        <v/>
      </c>
      <c r="AL965" s="17"/>
      <c r="AM965" s="12"/>
      <c r="AN965" s="18"/>
      <c r="AO965" s="18"/>
      <c r="AP965" s="10"/>
      <c r="AQ965" s="10"/>
      <c r="AR965" s="19"/>
      <c r="AS965" s="20"/>
      <c r="AT965" s="19"/>
      <c r="AV965" s="21">
        <f>IF(AND($AL965&lt;&gt;"",COUNTIF($AL$11:$AL965,$AL965)=1),1,0)</f>
        <v>0</v>
      </c>
      <c r="AW965" s="21">
        <f t="shared" si="115"/>
        <v>0</v>
      </c>
      <c r="AX965" s="21" t="str">
        <f t="shared" si="114"/>
        <v/>
      </c>
      <c r="AY965" s="21" t="str">
        <f>IF(AND($AM965&lt;&gt;"",$AS965&lt;&gt;"✓"),SUMPRODUCT(($AM$11:$AM965&lt;&gt;"")*($AS$11:$AS965&lt;&gt;"✓")),"")</f>
        <v/>
      </c>
      <c r="AZ965" s="21" t="str">
        <f>IF(AND($AM965&lt;&gt;"",$AS965="✓"),SUMPRODUCT(($AM$11:$AM965&lt;&gt;"")*($AS$11:$AS965="✓")),"")</f>
        <v/>
      </c>
      <c r="BA965" s="21" t="str">
        <f>IF($AL965="","",$AL965&amp;"|"&amp;COUNTIF($AL$11:$AL965,$AL965))</f>
        <v/>
      </c>
    </row>
    <row r="966" spans="23:53" ht="15" customHeight="1" x14ac:dyDescent="0.25">
      <c r="W966" s="28" t="str">
        <f>IF(X966="","",IFERROR(INDEX($AL$11:$AL$4010,MATCH(956,$AY$11:$AY$4010,0)),""))</f>
        <v/>
      </c>
      <c r="X966" s="26" t="str">
        <f>IFERROR(INDEX($AM$11:$AM$4010,MATCH(956,$AY$11:$AY$4010,0)),"")</f>
        <v/>
      </c>
      <c r="Y966" s="25" t="str">
        <f>IF(X966="","",IFERROR(INDEX($AN$11:$AN$4010,MATCH(956,$AY$11:$AY$4010,0)),""))</f>
        <v/>
      </c>
      <c r="Z966" s="25" t="str">
        <f>IF(X966="","",IFERROR(INDEX($AO$11:$AO$4010,MATCH(956,$AY$11:$AY$4010,0)),""))</f>
        <v/>
      </c>
      <c r="AA966" s="24" t="str">
        <f>IF(X966="","",IFERROR(INDEX($AQ$11:$AQ$4010,MATCH(956,$AY$11:$AY$4010,0)),""))</f>
        <v/>
      </c>
      <c r="AB966" s="29" t="str">
        <f>IF(X966="","",IFERROR(INDEX($AR$11:$AR$4010,MATCH(956,$AY$11:$AY$4010,0)),""))</f>
        <v/>
      </c>
      <c r="AD966" s="30" t="str">
        <f>IF(AE966="","",IFERROR(INDEX($AL$11:$AL$4010,MATCH(956,$AZ$11:$AZ$4010,0)),""))</f>
        <v/>
      </c>
      <c r="AE966" s="26" t="str">
        <f>IFERROR(INDEX($AM$11:$AM$4010,MATCH(956,$AZ$11:$AZ$4010,0)),"")</f>
        <v/>
      </c>
      <c r="AF966" s="25" t="str">
        <f>IF(AE966="","",IFERROR(INDEX($AN$11:$AN$4010,MATCH(956,$AZ$11:$AZ$4010,0)),""))</f>
        <v/>
      </c>
      <c r="AG966" s="25" t="str">
        <f>IF(AE966="","",IFERROR(INDEX($AO$11:$AO$4010,MATCH(956,$AZ$11:$AZ$4010,0)),""))</f>
        <v/>
      </c>
      <c r="AH966" s="24" t="str">
        <f>IF(AE966="","",IFERROR(INDEX($AQ$11:$AQ$4010,MATCH(956,$AZ$11:$AZ$4010,0)),""))</f>
        <v/>
      </c>
      <c r="AI966" s="29" t="str">
        <f>IF(AE966="","",IFERROR(INDEX($AR$11:$AR$4010,MATCH(956,$AZ$11:$AZ$4010,0)),""))</f>
        <v/>
      </c>
      <c r="AJ966" s="29" t="str">
        <f>IF(AE966="","",IFERROR(INDEX($AT$11:$AT$4010,MATCH(956,$AZ$11:$AZ$4010,0)),""))</f>
        <v/>
      </c>
      <c r="AL966" s="31"/>
      <c r="AM966" s="26"/>
      <c r="AN966" s="32"/>
      <c r="AO966" s="32"/>
      <c r="AP966" s="24"/>
      <c r="AQ966" s="24"/>
      <c r="AR966" s="33"/>
      <c r="AS966" s="34"/>
      <c r="AT966" s="33"/>
      <c r="AV966" s="21">
        <f>IF(AND($AL966&lt;&gt;"",COUNTIF($AL$11:$AL966,$AL966)=1),1,0)</f>
        <v>0</v>
      </c>
      <c r="AW966" s="21">
        <f t="shared" si="115"/>
        <v>0</v>
      </c>
      <c r="AX966" s="21" t="str">
        <f t="shared" si="114"/>
        <v/>
      </c>
      <c r="AY966" s="21" t="str">
        <f>IF(AND($AM966&lt;&gt;"",$AS966&lt;&gt;"✓"),SUMPRODUCT(($AM$11:$AM966&lt;&gt;"")*($AS$11:$AS966&lt;&gt;"✓")),"")</f>
        <v/>
      </c>
      <c r="AZ966" s="21" t="str">
        <f>IF(AND($AM966&lt;&gt;"",$AS966="✓"),SUMPRODUCT(($AM$11:$AM966&lt;&gt;"")*($AS$11:$AS966="✓")),"")</f>
        <v/>
      </c>
      <c r="BA966" s="21" t="str">
        <f>IF($AL966="","",$AL966&amp;"|"&amp;COUNTIF($AL$11:$AL966,$AL966))</f>
        <v/>
      </c>
    </row>
    <row r="967" spans="23:53" ht="15" customHeight="1" x14ac:dyDescent="0.25">
      <c r="W967" s="14" t="str">
        <f>IF(X967="","",IFERROR(INDEX($AL$11:$AL$4010,MATCH(957,$AY$11:$AY$4010,0)),""))</f>
        <v/>
      </c>
      <c r="X967" s="12" t="str">
        <f>IFERROR(INDEX($AM$11:$AM$4010,MATCH(957,$AY$11:$AY$4010,0)),"")</f>
        <v/>
      </c>
      <c r="Y967" s="11" t="str">
        <f>IF(X967="","",IFERROR(INDEX($AN$11:$AN$4010,MATCH(957,$AY$11:$AY$4010,0)),""))</f>
        <v/>
      </c>
      <c r="Z967" s="11" t="str">
        <f>IF(X967="","",IFERROR(INDEX($AO$11:$AO$4010,MATCH(957,$AY$11:$AY$4010,0)),""))</f>
        <v/>
      </c>
      <c r="AA967" s="10" t="str">
        <f>IF(X967="","",IFERROR(INDEX($AQ$11:$AQ$4010,MATCH(957,$AY$11:$AY$4010,0)),""))</f>
        <v/>
      </c>
      <c r="AB967" s="15" t="str">
        <f>IF(X967="","",IFERROR(INDEX($AR$11:$AR$4010,MATCH(957,$AY$11:$AY$4010,0)),""))</f>
        <v/>
      </c>
      <c r="AD967" s="16" t="str">
        <f>IF(AE967="","",IFERROR(INDEX($AL$11:$AL$4010,MATCH(957,$AZ$11:$AZ$4010,0)),""))</f>
        <v/>
      </c>
      <c r="AE967" s="12" t="str">
        <f>IFERROR(INDEX($AM$11:$AM$4010,MATCH(957,$AZ$11:$AZ$4010,0)),"")</f>
        <v/>
      </c>
      <c r="AF967" s="11" t="str">
        <f>IF(AE967="","",IFERROR(INDEX($AN$11:$AN$4010,MATCH(957,$AZ$11:$AZ$4010,0)),""))</f>
        <v/>
      </c>
      <c r="AG967" s="11" t="str">
        <f>IF(AE967="","",IFERROR(INDEX($AO$11:$AO$4010,MATCH(957,$AZ$11:$AZ$4010,0)),""))</f>
        <v/>
      </c>
      <c r="AH967" s="10" t="str">
        <f>IF(AE967="","",IFERROR(INDEX($AQ$11:$AQ$4010,MATCH(957,$AZ$11:$AZ$4010,0)),""))</f>
        <v/>
      </c>
      <c r="AI967" s="15" t="str">
        <f>IF(AE967="","",IFERROR(INDEX($AR$11:$AR$4010,MATCH(957,$AZ$11:$AZ$4010,0)),""))</f>
        <v/>
      </c>
      <c r="AJ967" s="15" t="str">
        <f>IF(AE967="","",IFERROR(INDEX($AT$11:$AT$4010,MATCH(957,$AZ$11:$AZ$4010,0)),""))</f>
        <v/>
      </c>
      <c r="AL967" s="17"/>
      <c r="AM967" s="12"/>
      <c r="AN967" s="18"/>
      <c r="AO967" s="18"/>
      <c r="AP967" s="10"/>
      <c r="AQ967" s="10"/>
      <c r="AR967" s="19"/>
      <c r="AS967" s="20"/>
      <c r="AT967" s="19"/>
      <c r="AV967" s="21">
        <f>IF(AND($AL967&lt;&gt;"",COUNTIF($AL$11:$AL967,$AL967)=1),1,0)</f>
        <v>0</v>
      </c>
      <c r="AW967" s="21">
        <f t="shared" si="115"/>
        <v>0</v>
      </c>
      <c r="AX967" s="21" t="str">
        <f t="shared" si="114"/>
        <v/>
      </c>
      <c r="AY967" s="21" t="str">
        <f>IF(AND($AM967&lt;&gt;"",$AS967&lt;&gt;"✓"),SUMPRODUCT(($AM$11:$AM967&lt;&gt;"")*($AS$11:$AS967&lt;&gt;"✓")),"")</f>
        <v/>
      </c>
      <c r="AZ967" s="21" t="str">
        <f>IF(AND($AM967&lt;&gt;"",$AS967="✓"),SUMPRODUCT(($AM$11:$AM967&lt;&gt;"")*($AS$11:$AS967="✓")),"")</f>
        <v/>
      </c>
      <c r="BA967" s="21" t="str">
        <f>IF($AL967="","",$AL967&amp;"|"&amp;COUNTIF($AL$11:$AL967,$AL967))</f>
        <v/>
      </c>
    </row>
    <row r="968" spans="23:53" ht="15" customHeight="1" x14ac:dyDescent="0.25">
      <c r="W968" s="28" t="str">
        <f>IF(X968="","",IFERROR(INDEX($AL$11:$AL$4010,MATCH(958,$AY$11:$AY$4010,0)),""))</f>
        <v/>
      </c>
      <c r="X968" s="26" t="str">
        <f>IFERROR(INDEX($AM$11:$AM$4010,MATCH(958,$AY$11:$AY$4010,0)),"")</f>
        <v/>
      </c>
      <c r="Y968" s="25" t="str">
        <f>IF(X968="","",IFERROR(INDEX($AN$11:$AN$4010,MATCH(958,$AY$11:$AY$4010,0)),""))</f>
        <v/>
      </c>
      <c r="Z968" s="25" t="str">
        <f>IF(X968="","",IFERROR(INDEX($AO$11:$AO$4010,MATCH(958,$AY$11:$AY$4010,0)),""))</f>
        <v/>
      </c>
      <c r="AA968" s="24" t="str">
        <f>IF(X968="","",IFERROR(INDEX($AQ$11:$AQ$4010,MATCH(958,$AY$11:$AY$4010,0)),""))</f>
        <v/>
      </c>
      <c r="AB968" s="29" t="str">
        <f>IF(X968="","",IFERROR(INDEX($AR$11:$AR$4010,MATCH(958,$AY$11:$AY$4010,0)),""))</f>
        <v/>
      </c>
      <c r="AD968" s="30" t="str">
        <f>IF(AE968="","",IFERROR(INDEX($AL$11:$AL$4010,MATCH(958,$AZ$11:$AZ$4010,0)),""))</f>
        <v/>
      </c>
      <c r="AE968" s="26" t="str">
        <f>IFERROR(INDEX($AM$11:$AM$4010,MATCH(958,$AZ$11:$AZ$4010,0)),"")</f>
        <v/>
      </c>
      <c r="AF968" s="25" t="str">
        <f>IF(AE968="","",IFERROR(INDEX($AN$11:$AN$4010,MATCH(958,$AZ$11:$AZ$4010,0)),""))</f>
        <v/>
      </c>
      <c r="AG968" s="25" t="str">
        <f>IF(AE968="","",IFERROR(INDEX($AO$11:$AO$4010,MATCH(958,$AZ$11:$AZ$4010,0)),""))</f>
        <v/>
      </c>
      <c r="AH968" s="24" t="str">
        <f>IF(AE968="","",IFERROR(INDEX($AQ$11:$AQ$4010,MATCH(958,$AZ$11:$AZ$4010,0)),""))</f>
        <v/>
      </c>
      <c r="AI968" s="29" t="str">
        <f>IF(AE968="","",IFERROR(INDEX($AR$11:$AR$4010,MATCH(958,$AZ$11:$AZ$4010,0)),""))</f>
        <v/>
      </c>
      <c r="AJ968" s="29" t="str">
        <f>IF(AE968="","",IFERROR(INDEX($AT$11:$AT$4010,MATCH(958,$AZ$11:$AZ$4010,0)),""))</f>
        <v/>
      </c>
      <c r="AL968" s="31"/>
      <c r="AM968" s="26"/>
      <c r="AN968" s="32"/>
      <c r="AO968" s="32"/>
      <c r="AP968" s="24"/>
      <c r="AQ968" s="24"/>
      <c r="AR968" s="33"/>
      <c r="AS968" s="34"/>
      <c r="AT968" s="33"/>
      <c r="AV968" s="21">
        <f>IF(AND($AL968&lt;&gt;"",COUNTIF($AL$11:$AL968,$AL968)=1),1,0)</f>
        <v>0</v>
      </c>
      <c r="AW968" s="21">
        <f t="shared" si="115"/>
        <v>0</v>
      </c>
      <c r="AX968" s="21" t="str">
        <f t="shared" si="114"/>
        <v/>
      </c>
      <c r="AY968" s="21" t="str">
        <f>IF(AND($AM968&lt;&gt;"",$AS968&lt;&gt;"✓"),SUMPRODUCT(($AM$11:$AM968&lt;&gt;"")*($AS$11:$AS968&lt;&gt;"✓")),"")</f>
        <v/>
      </c>
      <c r="AZ968" s="21" t="str">
        <f>IF(AND($AM968&lt;&gt;"",$AS968="✓"),SUMPRODUCT(($AM$11:$AM968&lt;&gt;"")*($AS$11:$AS968="✓")),"")</f>
        <v/>
      </c>
      <c r="BA968" s="21" t="str">
        <f>IF($AL968="","",$AL968&amp;"|"&amp;COUNTIF($AL$11:$AL968,$AL968))</f>
        <v/>
      </c>
    </row>
    <row r="969" spans="23:53" ht="15" customHeight="1" x14ac:dyDescent="0.25">
      <c r="W969" s="14" t="str">
        <f>IF(X969="","",IFERROR(INDEX($AL$11:$AL$4010,MATCH(959,$AY$11:$AY$4010,0)),""))</f>
        <v/>
      </c>
      <c r="X969" s="12" t="str">
        <f>IFERROR(INDEX($AM$11:$AM$4010,MATCH(959,$AY$11:$AY$4010,0)),"")</f>
        <v/>
      </c>
      <c r="Y969" s="11" t="str">
        <f>IF(X969="","",IFERROR(INDEX($AN$11:$AN$4010,MATCH(959,$AY$11:$AY$4010,0)),""))</f>
        <v/>
      </c>
      <c r="Z969" s="11" t="str">
        <f>IF(X969="","",IFERROR(INDEX($AO$11:$AO$4010,MATCH(959,$AY$11:$AY$4010,0)),""))</f>
        <v/>
      </c>
      <c r="AA969" s="10" t="str">
        <f>IF(X969="","",IFERROR(INDEX($AQ$11:$AQ$4010,MATCH(959,$AY$11:$AY$4010,0)),""))</f>
        <v/>
      </c>
      <c r="AB969" s="15" t="str">
        <f>IF(X969="","",IFERROR(INDEX($AR$11:$AR$4010,MATCH(959,$AY$11:$AY$4010,0)),""))</f>
        <v/>
      </c>
      <c r="AD969" s="16" t="str">
        <f>IF(AE969="","",IFERROR(INDEX($AL$11:$AL$4010,MATCH(959,$AZ$11:$AZ$4010,0)),""))</f>
        <v/>
      </c>
      <c r="AE969" s="12" t="str">
        <f>IFERROR(INDEX($AM$11:$AM$4010,MATCH(959,$AZ$11:$AZ$4010,0)),"")</f>
        <v/>
      </c>
      <c r="AF969" s="11" t="str">
        <f>IF(AE969="","",IFERROR(INDEX($AN$11:$AN$4010,MATCH(959,$AZ$11:$AZ$4010,0)),""))</f>
        <v/>
      </c>
      <c r="AG969" s="11" t="str">
        <f>IF(AE969="","",IFERROR(INDEX($AO$11:$AO$4010,MATCH(959,$AZ$11:$AZ$4010,0)),""))</f>
        <v/>
      </c>
      <c r="AH969" s="10" t="str">
        <f>IF(AE969="","",IFERROR(INDEX($AQ$11:$AQ$4010,MATCH(959,$AZ$11:$AZ$4010,0)),""))</f>
        <v/>
      </c>
      <c r="AI969" s="15" t="str">
        <f>IF(AE969="","",IFERROR(INDEX($AR$11:$AR$4010,MATCH(959,$AZ$11:$AZ$4010,0)),""))</f>
        <v/>
      </c>
      <c r="AJ969" s="15" t="str">
        <f>IF(AE969="","",IFERROR(INDEX($AT$11:$AT$4010,MATCH(959,$AZ$11:$AZ$4010,0)),""))</f>
        <v/>
      </c>
      <c r="AL969" s="17"/>
      <c r="AM969" s="12"/>
      <c r="AN969" s="18"/>
      <c r="AO969" s="18"/>
      <c r="AP969" s="10"/>
      <c r="AQ969" s="10"/>
      <c r="AR969" s="19"/>
      <c r="AS969" s="20"/>
      <c r="AT969" s="19"/>
      <c r="AV969" s="21">
        <f>IF(AND($AL969&lt;&gt;"",COUNTIF($AL$11:$AL969,$AL969)=1),1,0)</f>
        <v>0</v>
      </c>
      <c r="AW969" s="21">
        <f t="shared" si="115"/>
        <v>0</v>
      </c>
      <c r="AX969" s="21" t="str">
        <f t="shared" si="114"/>
        <v/>
      </c>
      <c r="AY969" s="21" t="str">
        <f>IF(AND($AM969&lt;&gt;"",$AS969&lt;&gt;"✓"),SUMPRODUCT(($AM$11:$AM969&lt;&gt;"")*($AS$11:$AS969&lt;&gt;"✓")),"")</f>
        <v/>
      </c>
      <c r="AZ969" s="21" t="str">
        <f>IF(AND($AM969&lt;&gt;"",$AS969="✓"),SUMPRODUCT(($AM$11:$AM969&lt;&gt;"")*($AS$11:$AS969="✓")),"")</f>
        <v/>
      </c>
      <c r="BA969" s="21" t="str">
        <f>IF($AL969="","",$AL969&amp;"|"&amp;COUNTIF($AL$11:$AL969,$AL969))</f>
        <v/>
      </c>
    </row>
    <row r="970" spans="23:53" ht="15" customHeight="1" x14ac:dyDescent="0.25">
      <c r="W970" s="28" t="str">
        <f>IF(X970="","",IFERROR(INDEX($AL$11:$AL$4010,MATCH(960,$AY$11:$AY$4010,0)),""))</f>
        <v/>
      </c>
      <c r="X970" s="26" t="str">
        <f>IFERROR(INDEX($AM$11:$AM$4010,MATCH(960,$AY$11:$AY$4010,0)),"")</f>
        <v/>
      </c>
      <c r="Y970" s="25" t="str">
        <f>IF(X970="","",IFERROR(INDEX($AN$11:$AN$4010,MATCH(960,$AY$11:$AY$4010,0)),""))</f>
        <v/>
      </c>
      <c r="Z970" s="25" t="str">
        <f>IF(X970="","",IFERROR(INDEX($AO$11:$AO$4010,MATCH(960,$AY$11:$AY$4010,0)),""))</f>
        <v/>
      </c>
      <c r="AA970" s="24" t="str">
        <f>IF(X970="","",IFERROR(INDEX($AQ$11:$AQ$4010,MATCH(960,$AY$11:$AY$4010,0)),""))</f>
        <v/>
      </c>
      <c r="AB970" s="29" t="str">
        <f>IF(X970="","",IFERROR(INDEX($AR$11:$AR$4010,MATCH(960,$AY$11:$AY$4010,0)),""))</f>
        <v/>
      </c>
      <c r="AD970" s="30" t="str">
        <f>IF(AE970="","",IFERROR(INDEX($AL$11:$AL$4010,MATCH(960,$AZ$11:$AZ$4010,0)),""))</f>
        <v/>
      </c>
      <c r="AE970" s="26" t="str">
        <f>IFERROR(INDEX($AM$11:$AM$4010,MATCH(960,$AZ$11:$AZ$4010,0)),"")</f>
        <v/>
      </c>
      <c r="AF970" s="25" t="str">
        <f>IF(AE970="","",IFERROR(INDEX($AN$11:$AN$4010,MATCH(960,$AZ$11:$AZ$4010,0)),""))</f>
        <v/>
      </c>
      <c r="AG970" s="25" t="str">
        <f>IF(AE970="","",IFERROR(INDEX($AO$11:$AO$4010,MATCH(960,$AZ$11:$AZ$4010,0)),""))</f>
        <v/>
      </c>
      <c r="AH970" s="24" t="str">
        <f>IF(AE970="","",IFERROR(INDEX($AQ$11:$AQ$4010,MATCH(960,$AZ$11:$AZ$4010,0)),""))</f>
        <v/>
      </c>
      <c r="AI970" s="29" t="str">
        <f>IF(AE970="","",IFERROR(INDEX($AR$11:$AR$4010,MATCH(960,$AZ$11:$AZ$4010,0)),""))</f>
        <v/>
      </c>
      <c r="AJ970" s="29" t="str">
        <f>IF(AE970="","",IFERROR(INDEX($AT$11:$AT$4010,MATCH(960,$AZ$11:$AZ$4010,0)),""))</f>
        <v/>
      </c>
      <c r="AL970" s="31"/>
      <c r="AM970" s="26"/>
      <c r="AN970" s="32"/>
      <c r="AO970" s="32"/>
      <c r="AP970" s="24"/>
      <c r="AQ970" s="24"/>
      <c r="AR970" s="33"/>
      <c r="AS970" s="34"/>
      <c r="AT970" s="33"/>
      <c r="AV970" s="21">
        <f>IF(AND($AL970&lt;&gt;"",COUNTIF($AL$11:$AL970,$AL970)=1),1,0)</f>
        <v>0</v>
      </c>
      <c r="AW970" s="21">
        <f t="shared" si="115"/>
        <v>0</v>
      </c>
      <c r="AX970" s="21" t="str">
        <f t="shared" si="114"/>
        <v/>
      </c>
      <c r="AY970" s="21" t="str">
        <f>IF(AND($AM970&lt;&gt;"",$AS970&lt;&gt;"✓"),SUMPRODUCT(($AM$11:$AM970&lt;&gt;"")*($AS$11:$AS970&lt;&gt;"✓")),"")</f>
        <v/>
      </c>
      <c r="AZ970" s="21" t="str">
        <f>IF(AND($AM970&lt;&gt;"",$AS970="✓"),SUMPRODUCT(($AM$11:$AM970&lt;&gt;"")*($AS$11:$AS970="✓")),"")</f>
        <v/>
      </c>
      <c r="BA970" s="21" t="str">
        <f>IF($AL970="","",$AL970&amp;"|"&amp;COUNTIF($AL$11:$AL970,$AL970))</f>
        <v/>
      </c>
    </row>
    <row r="971" spans="23:53" ht="15" customHeight="1" x14ac:dyDescent="0.25">
      <c r="W971" s="14" t="str">
        <f>IF(X971="","",IFERROR(INDEX($AL$11:$AL$4010,MATCH(961,$AY$11:$AY$4010,0)),""))</f>
        <v/>
      </c>
      <c r="X971" s="12" t="str">
        <f>IFERROR(INDEX($AM$11:$AM$4010,MATCH(961,$AY$11:$AY$4010,0)),"")</f>
        <v/>
      </c>
      <c r="Y971" s="11" t="str">
        <f>IF(X971="","",IFERROR(INDEX($AN$11:$AN$4010,MATCH(961,$AY$11:$AY$4010,0)),""))</f>
        <v/>
      </c>
      <c r="Z971" s="11" t="str">
        <f>IF(X971="","",IFERROR(INDEX($AO$11:$AO$4010,MATCH(961,$AY$11:$AY$4010,0)),""))</f>
        <v/>
      </c>
      <c r="AA971" s="10" t="str">
        <f>IF(X971="","",IFERROR(INDEX($AQ$11:$AQ$4010,MATCH(961,$AY$11:$AY$4010,0)),""))</f>
        <v/>
      </c>
      <c r="AB971" s="15" t="str">
        <f>IF(X971="","",IFERROR(INDEX($AR$11:$AR$4010,MATCH(961,$AY$11:$AY$4010,0)),""))</f>
        <v/>
      </c>
      <c r="AD971" s="16" t="str">
        <f>IF(AE971="","",IFERROR(INDEX($AL$11:$AL$4010,MATCH(961,$AZ$11:$AZ$4010,0)),""))</f>
        <v/>
      </c>
      <c r="AE971" s="12" t="str">
        <f>IFERROR(INDEX($AM$11:$AM$4010,MATCH(961,$AZ$11:$AZ$4010,0)),"")</f>
        <v/>
      </c>
      <c r="AF971" s="11" t="str">
        <f>IF(AE971="","",IFERROR(INDEX($AN$11:$AN$4010,MATCH(961,$AZ$11:$AZ$4010,0)),""))</f>
        <v/>
      </c>
      <c r="AG971" s="11" t="str">
        <f>IF(AE971="","",IFERROR(INDEX($AO$11:$AO$4010,MATCH(961,$AZ$11:$AZ$4010,0)),""))</f>
        <v/>
      </c>
      <c r="AH971" s="10" t="str">
        <f>IF(AE971="","",IFERROR(INDEX($AQ$11:$AQ$4010,MATCH(961,$AZ$11:$AZ$4010,0)),""))</f>
        <v/>
      </c>
      <c r="AI971" s="15" t="str">
        <f>IF(AE971="","",IFERROR(INDEX($AR$11:$AR$4010,MATCH(961,$AZ$11:$AZ$4010,0)),""))</f>
        <v/>
      </c>
      <c r="AJ971" s="15" t="str">
        <f>IF(AE971="","",IFERROR(INDEX($AT$11:$AT$4010,MATCH(961,$AZ$11:$AZ$4010,0)),""))</f>
        <v/>
      </c>
      <c r="AL971" s="17"/>
      <c r="AM971" s="12"/>
      <c r="AN971" s="18"/>
      <c r="AO971" s="18"/>
      <c r="AP971" s="10"/>
      <c r="AQ971" s="10"/>
      <c r="AR971" s="19"/>
      <c r="AS971" s="20"/>
      <c r="AT971" s="19"/>
      <c r="AV971" s="21">
        <f>IF(AND($AL971&lt;&gt;"",COUNTIF($AL$11:$AL971,$AL971)=1),1,0)</f>
        <v>0</v>
      </c>
      <c r="AW971" s="21">
        <f t="shared" si="115"/>
        <v>0</v>
      </c>
      <c r="AX971" s="21" t="str">
        <f t="shared" ref="AX971:AX1034" si="116">IF(AV971=1,AW971,"")</f>
        <v/>
      </c>
      <c r="AY971" s="21" t="str">
        <f>IF(AND($AM971&lt;&gt;"",$AS971&lt;&gt;"✓"),SUMPRODUCT(($AM$11:$AM971&lt;&gt;"")*($AS$11:$AS971&lt;&gt;"✓")),"")</f>
        <v/>
      </c>
      <c r="AZ971" s="21" t="str">
        <f>IF(AND($AM971&lt;&gt;"",$AS971="✓"),SUMPRODUCT(($AM$11:$AM971&lt;&gt;"")*($AS$11:$AS971="✓")),"")</f>
        <v/>
      </c>
      <c r="BA971" s="21" t="str">
        <f>IF($AL971="","",$AL971&amp;"|"&amp;COUNTIF($AL$11:$AL971,$AL971))</f>
        <v/>
      </c>
    </row>
    <row r="972" spans="23:53" ht="15" customHeight="1" x14ac:dyDescent="0.25">
      <c r="W972" s="28" t="str">
        <f>IF(X972="","",IFERROR(INDEX($AL$11:$AL$4010,MATCH(962,$AY$11:$AY$4010,0)),""))</f>
        <v/>
      </c>
      <c r="X972" s="26" t="str">
        <f>IFERROR(INDEX($AM$11:$AM$4010,MATCH(962,$AY$11:$AY$4010,0)),"")</f>
        <v/>
      </c>
      <c r="Y972" s="25" t="str">
        <f>IF(X972="","",IFERROR(INDEX($AN$11:$AN$4010,MATCH(962,$AY$11:$AY$4010,0)),""))</f>
        <v/>
      </c>
      <c r="Z972" s="25" t="str">
        <f>IF(X972="","",IFERROR(INDEX($AO$11:$AO$4010,MATCH(962,$AY$11:$AY$4010,0)),""))</f>
        <v/>
      </c>
      <c r="AA972" s="24" t="str">
        <f>IF(X972="","",IFERROR(INDEX($AQ$11:$AQ$4010,MATCH(962,$AY$11:$AY$4010,0)),""))</f>
        <v/>
      </c>
      <c r="AB972" s="29" t="str">
        <f>IF(X972="","",IFERROR(INDEX($AR$11:$AR$4010,MATCH(962,$AY$11:$AY$4010,0)),""))</f>
        <v/>
      </c>
      <c r="AD972" s="30" t="str">
        <f>IF(AE972="","",IFERROR(INDEX($AL$11:$AL$4010,MATCH(962,$AZ$11:$AZ$4010,0)),""))</f>
        <v/>
      </c>
      <c r="AE972" s="26" t="str">
        <f>IFERROR(INDEX($AM$11:$AM$4010,MATCH(962,$AZ$11:$AZ$4010,0)),"")</f>
        <v/>
      </c>
      <c r="AF972" s="25" t="str">
        <f>IF(AE972="","",IFERROR(INDEX($AN$11:$AN$4010,MATCH(962,$AZ$11:$AZ$4010,0)),""))</f>
        <v/>
      </c>
      <c r="AG972" s="25" t="str">
        <f>IF(AE972="","",IFERROR(INDEX($AO$11:$AO$4010,MATCH(962,$AZ$11:$AZ$4010,0)),""))</f>
        <v/>
      </c>
      <c r="AH972" s="24" t="str">
        <f>IF(AE972="","",IFERROR(INDEX($AQ$11:$AQ$4010,MATCH(962,$AZ$11:$AZ$4010,0)),""))</f>
        <v/>
      </c>
      <c r="AI972" s="29" t="str">
        <f>IF(AE972="","",IFERROR(INDEX($AR$11:$AR$4010,MATCH(962,$AZ$11:$AZ$4010,0)),""))</f>
        <v/>
      </c>
      <c r="AJ972" s="29" t="str">
        <f>IF(AE972="","",IFERROR(INDEX($AT$11:$AT$4010,MATCH(962,$AZ$11:$AZ$4010,0)),""))</f>
        <v/>
      </c>
      <c r="AL972" s="31"/>
      <c r="AM972" s="26"/>
      <c r="AN972" s="32"/>
      <c r="AO972" s="32"/>
      <c r="AP972" s="24"/>
      <c r="AQ972" s="24"/>
      <c r="AR972" s="33"/>
      <c r="AS972" s="34"/>
      <c r="AT972" s="33"/>
      <c r="AV972" s="21">
        <f>IF(AND($AL972&lt;&gt;"",COUNTIF($AL$11:$AL972,$AL972)=1),1,0)</f>
        <v>0</v>
      </c>
      <c r="AW972" s="21">
        <f t="shared" ref="AW972:AW1035" si="117">AW971+AV972</f>
        <v>0</v>
      </c>
      <c r="AX972" s="21" t="str">
        <f t="shared" si="116"/>
        <v/>
      </c>
      <c r="AY972" s="21" t="str">
        <f>IF(AND($AM972&lt;&gt;"",$AS972&lt;&gt;"✓"),SUMPRODUCT(($AM$11:$AM972&lt;&gt;"")*($AS$11:$AS972&lt;&gt;"✓")),"")</f>
        <v/>
      </c>
      <c r="AZ972" s="21" t="str">
        <f>IF(AND($AM972&lt;&gt;"",$AS972="✓"),SUMPRODUCT(($AM$11:$AM972&lt;&gt;"")*($AS$11:$AS972="✓")),"")</f>
        <v/>
      </c>
      <c r="BA972" s="21" t="str">
        <f>IF($AL972="","",$AL972&amp;"|"&amp;COUNTIF($AL$11:$AL972,$AL972))</f>
        <v/>
      </c>
    </row>
    <row r="973" spans="23:53" ht="15" customHeight="1" x14ac:dyDescent="0.25">
      <c r="W973" s="14" t="str">
        <f>IF(X973="","",IFERROR(INDEX($AL$11:$AL$4010,MATCH(963,$AY$11:$AY$4010,0)),""))</f>
        <v/>
      </c>
      <c r="X973" s="12" t="str">
        <f>IFERROR(INDEX($AM$11:$AM$4010,MATCH(963,$AY$11:$AY$4010,0)),"")</f>
        <v/>
      </c>
      <c r="Y973" s="11" t="str">
        <f>IF(X973="","",IFERROR(INDEX($AN$11:$AN$4010,MATCH(963,$AY$11:$AY$4010,0)),""))</f>
        <v/>
      </c>
      <c r="Z973" s="11" t="str">
        <f>IF(X973="","",IFERROR(INDEX($AO$11:$AO$4010,MATCH(963,$AY$11:$AY$4010,0)),""))</f>
        <v/>
      </c>
      <c r="AA973" s="10" t="str">
        <f>IF(X973="","",IFERROR(INDEX($AQ$11:$AQ$4010,MATCH(963,$AY$11:$AY$4010,0)),""))</f>
        <v/>
      </c>
      <c r="AB973" s="15" t="str">
        <f>IF(X973="","",IFERROR(INDEX($AR$11:$AR$4010,MATCH(963,$AY$11:$AY$4010,0)),""))</f>
        <v/>
      </c>
      <c r="AD973" s="16" t="str">
        <f>IF(AE973="","",IFERROR(INDEX($AL$11:$AL$4010,MATCH(963,$AZ$11:$AZ$4010,0)),""))</f>
        <v/>
      </c>
      <c r="AE973" s="12" t="str">
        <f>IFERROR(INDEX($AM$11:$AM$4010,MATCH(963,$AZ$11:$AZ$4010,0)),"")</f>
        <v/>
      </c>
      <c r="AF973" s="11" t="str">
        <f>IF(AE973="","",IFERROR(INDEX($AN$11:$AN$4010,MATCH(963,$AZ$11:$AZ$4010,0)),""))</f>
        <v/>
      </c>
      <c r="AG973" s="11" t="str">
        <f>IF(AE973="","",IFERROR(INDEX($AO$11:$AO$4010,MATCH(963,$AZ$11:$AZ$4010,0)),""))</f>
        <v/>
      </c>
      <c r="AH973" s="10" t="str">
        <f>IF(AE973="","",IFERROR(INDEX($AQ$11:$AQ$4010,MATCH(963,$AZ$11:$AZ$4010,0)),""))</f>
        <v/>
      </c>
      <c r="AI973" s="15" t="str">
        <f>IF(AE973="","",IFERROR(INDEX($AR$11:$AR$4010,MATCH(963,$AZ$11:$AZ$4010,0)),""))</f>
        <v/>
      </c>
      <c r="AJ973" s="15" t="str">
        <f>IF(AE973="","",IFERROR(INDEX($AT$11:$AT$4010,MATCH(963,$AZ$11:$AZ$4010,0)),""))</f>
        <v/>
      </c>
      <c r="AL973" s="17"/>
      <c r="AM973" s="12"/>
      <c r="AN973" s="18"/>
      <c r="AO973" s="18"/>
      <c r="AP973" s="10"/>
      <c r="AQ973" s="10"/>
      <c r="AR973" s="19"/>
      <c r="AS973" s="20"/>
      <c r="AT973" s="19"/>
      <c r="AV973" s="21">
        <f>IF(AND($AL973&lt;&gt;"",COUNTIF($AL$11:$AL973,$AL973)=1),1,0)</f>
        <v>0</v>
      </c>
      <c r="AW973" s="21">
        <f t="shared" si="117"/>
        <v>0</v>
      </c>
      <c r="AX973" s="21" t="str">
        <f t="shared" si="116"/>
        <v/>
      </c>
      <c r="AY973" s="21" t="str">
        <f>IF(AND($AM973&lt;&gt;"",$AS973&lt;&gt;"✓"),SUMPRODUCT(($AM$11:$AM973&lt;&gt;"")*($AS$11:$AS973&lt;&gt;"✓")),"")</f>
        <v/>
      </c>
      <c r="AZ973" s="21" t="str">
        <f>IF(AND($AM973&lt;&gt;"",$AS973="✓"),SUMPRODUCT(($AM$11:$AM973&lt;&gt;"")*($AS$11:$AS973="✓")),"")</f>
        <v/>
      </c>
      <c r="BA973" s="21" t="str">
        <f>IF($AL973="","",$AL973&amp;"|"&amp;COUNTIF($AL$11:$AL973,$AL973))</f>
        <v/>
      </c>
    </row>
    <row r="974" spans="23:53" ht="15" customHeight="1" x14ac:dyDescent="0.25">
      <c r="W974" s="28" t="str">
        <f>IF(X974="","",IFERROR(INDEX($AL$11:$AL$4010,MATCH(964,$AY$11:$AY$4010,0)),""))</f>
        <v/>
      </c>
      <c r="X974" s="26" t="str">
        <f>IFERROR(INDEX($AM$11:$AM$4010,MATCH(964,$AY$11:$AY$4010,0)),"")</f>
        <v/>
      </c>
      <c r="Y974" s="25" t="str">
        <f>IF(X974="","",IFERROR(INDEX($AN$11:$AN$4010,MATCH(964,$AY$11:$AY$4010,0)),""))</f>
        <v/>
      </c>
      <c r="Z974" s="25" t="str">
        <f>IF(X974="","",IFERROR(INDEX($AO$11:$AO$4010,MATCH(964,$AY$11:$AY$4010,0)),""))</f>
        <v/>
      </c>
      <c r="AA974" s="24" t="str">
        <f>IF(X974="","",IFERROR(INDEX($AQ$11:$AQ$4010,MATCH(964,$AY$11:$AY$4010,0)),""))</f>
        <v/>
      </c>
      <c r="AB974" s="29" t="str">
        <f>IF(X974="","",IFERROR(INDEX($AR$11:$AR$4010,MATCH(964,$AY$11:$AY$4010,0)),""))</f>
        <v/>
      </c>
      <c r="AD974" s="30" t="str">
        <f>IF(AE974="","",IFERROR(INDEX($AL$11:$AL$4010,MATCH(964,$AZ$11:$AZ$4010,0)),""))</f>
        <v/>
      </c>
      <c r="AE974" s="26" t="str">
        <f>IFERROR(INDEX($AM$11:$AM$4010,MATCH(964,$AZ$11:$AZ$4010,0)),"")</f>
        <v/>
      </c>
      <c r="AF974" s="25" t="str">
        <f>IF(AE974="","",IFERROR(INDEX($AN$11:$AN$4010,MATCH(964,$AZ$11:$AZ$4010,0)),""))</f>
        <v/>
      </c>
      <c r="AG974" s="25" t="str">
        <f>IF(AE974="","",IFERROR(INDEX($AO$11:$AO$4010,MATCH(964,$AZ$11:$AZ$4010,0)),""))</f>
        <v/>
      </c>
      <c r="AH974" s="24" t="str">
        <f>IF(AE974="","",IFERROR(INDEX($AQ$11:$AQ$4010,MATCH(964,$AZ$11:$AZ$4010,0)),""))</f>
        <v/>
      </c>
      <c r="AI974" s="29" t="str">
        <f>IF(AE974="","",IFERROR(INDEX($AR$11:$AR$4010,MATCH(964,$AZ$11:$AZ$4010,0)),""))</f>
        <v/>
      </c>
      <c r="AJ974" s="29" t="str">
        <f>IF(AE974="","",IFERROR(INDEX($AT$11:$AT$4010,MATCH(964,$AZ$11:$AZ$4010,0)),""))</f>
        <v/>
      </c>
      <c r="AL974" s="31"/>
      <c r="AM974" s="26"/>
      <c r="AN974" s="32"/>
      <c r="AO974" s="32"/>
      <c r="AP974" s="24"/>
      <c r="AQ974" s="24"/>
      <c r="AR974" s="33"/>
      <c r="AS974" s="34"/>
      <c r="AT974" s="33"/>
      <c r="AV974" s="21">
        <f>IF(AND($AL974&lt;&gt;"",COUNTIF($AL$11:$AL974,$AL974)=1),1,0)</f>
        <v>0</v>
      </c>
      <c r="AW974" s="21">
        <f t="shared" si="117"/>
        <v>0</v>
      </c>
      <c r="AX974" s="21" t="str">
        <f t="shared" si="116"/>
        <v/>
      </c>
      <c r="AY974" s="21" t="str">
        <f>IF(AND($AM974&lt;&gt;"",$AS974&lt;&gt;"✓"),SUMPRODUCT(($AM$11:$AM974&lt;&gt;"")*($AS$11:$AS974&lt;&gt;"✓")),"")</f>
        <v/>
      </c>
      <c r="AZ974" s="21" t="str">
        <f>IF(AND($AM974&lt;&gt;"",$AS974="✓"),SUMPRODUCT(($AM$11:$AM974&lt;&gt;"")*($AS$11:$AS974="✓")),"")</f>
        <v/>
      </c>
      <c r="BA974" s="21" t="str">
        <f>IF($AL974="","",$AL974&amp;"|"&amp;COUNTIF($AL$11:$AL974,$AL974))</f>
        <v/>
      </c>
    </row>
    <row r="975" spans="23:53" ht="15" customHeight="1" x14ac:dyDescent="0.25">
      <c r="W975" s="14" t="str">
        <f>IF(X975="","",IFERROR(INDEX($AL$11:$AL$4010,MATCH(965,$AY$11:$AY$4010,0)),""))</f>
        <v/>
      </c>
      <c r="X975" s="12" t="str">
        <f>IFERROR(INDEX($AM$11:$AM$4010,MATCH(965,$AY$11:$AY$4010,0)),"")</f>
        <v/>
      </c>
      <c r="Y975" s="11" t="str">
        <f>IF(X975="","",IFERROR(INDEX($AN$11:$AN$4010,MATCH(965,$AY$11:$AY$4010,0)),""))</f>
        <v/>
      </c>
      <c r="Z975" s="11" t="str">
        <f>IF(X975="","",IFERROR(INDEX($AO$11:$AO$4010,MATCH(965,$AY$11:$AY$4010,0)),""))</f>
        <v/>
      </c>
      <c r="AA975" s="10" t="str">
        <f>IF(X975="","",IFERROR(INDEX($AQ$11:$AQ$4010,MATCH(965,$AY$11:$AY$4010,0)),""))</f>
        <v/>
      </c>
      <c r="AB975" s="15" t="str">
        <f>IF(X975="","",IFERROR(INDEX($AR$11:$AR$4010,MATCH(965,$AY$11:$AY$4010,0)),""))</f>
        <v/>
      </c>
      <c r="AD975" s="16" t="str">
        <f>IF(AE975="","",IFERROR(INDEX($AL$11:$AL$4010,MATCH(965,$AZ$11:$AZ$4010,0)),""))</f>
        <v/>
      </c>
      <c r="AE975" s="12" t="str">
        <f>IFERROR(INDEX($AM$11:$AM$4010,MATCH(965,$AZ$11:$AZ$4010,0)),"")</f>
        <v/>
      </c>
      <c r="AF975" s="11" t="str">
        <f>IF(AE975="","",IFERROR(INDEX($AN$11:$AN$4010,MATCH(965,$AZ$11:$AZ$4010,0)),""))</f>
        <v/>
      </c>
      <c r="AG975" s="11" t="str">
        <f>IF(AE975="","",IFERROR(INDEX($AO$11:$AO$4010,MATCH(965,$AZ$11:$AZ$4010,0)),""))</f>
        <v/>
      </c>
      <c r="AH975" s="10" t="str">
        <f>IF(AE975="","",IFERROR(INDEX($AQ$11:$AQ$4010,MATCH(965,$AZ$11:$AZ$4010,0)),""))</f>
        <v/>
      </c>
      <c r="AI975" s="15" t="str">
        <f>IF(AE975="","",IFERROR(INDEX($AR$11:$AR$4010,MATCH(965,$AZ$11:$AZ$4010,0)),""))</f>
        <v/>
      </c>
      <c r="AJ975" s="15" t="str">
        <f>IF(AE975="","",IFERROR(INDEX($AT$11:$AT$4010,MATCH(965,$AZ$11:$AZ$4010,0)),""))</f>
        <v/>
      </c>
      <c r="AL975" s="17"/>
      <c r="AM975" s="12"/>
      <c r="AN975" s="18"/>
      <c r="AO975" s="18"/>
      <c r="AP975" s="10"/>
      <c r="AQ975" s="10"/>
      <c r="AR975" s="19"/>
      <c r="AS975" s="20"/>
      <c r="AT975" s="19"/>
      <c r="AV975" s="21">
        <f>IF(AND($AL975&lt;&gt;"",COUNTIF($AL$11:$AL975,$AL975)=1),1,0)</f>
        <v>0</v>
      </c>
      <c r="AW975" s="21">
        <f t="shared" si="117"/>
        <v>0</v>
      </c>
      <c r="AX975" s="21" t="str">
        <f t="shared" si="116"/>
        <v/>
      </c>
      <c r="AY975" s="21" t="str">
        <f>IF(AND($AM975&lt;&gt;"",$AS975&lt;&gt;"✓"),SUMPRODUCT(($AM$11:$AM975&lt;&gt;"")*($AS$11:$AS975&lt;&gt;"✓")),"")</f>
        <v/>
      </c>
      <c r="AZ975" s="21" t="str">
        <f>IF(AND($AM975&lt;&gt;"",$AS975="✓"),SUMPRODUCT(($AM$11:$AM975&lt;&gt;"")*($AS$11:$AS975="✓")),"")</f>
        <v/>
      </c>
      <c r="BA975" s="21" t="str">
        <f>IF($AL975="","",$AL975&amp;"|"&amp;COUNTIF($AL$11:$AL975,$AL975))</f>
        <v/>
      </c>
    </row>
    <row r="976" spans="23:53" ht="15" customHeight="1" x14ac:dyDescent="0.25">
      <c r="W976" s="28" t="str">
        <f>IF(X976="","",IFERROR(INDEX($AL$11:$AL$4010,MATCH(966,$AY$11:$AY$4010,0)),""))</f>
        <v/>
      </c>
      <c r="X976" s="26" t="str">
        <f>IFERROR(INDEX($AM$11:$AM$4010,MATCH(966,$AY$11:$AY$4010,0)),"")</f>
        <v/>
      </c>
      <c r="Y976" s="25" t="str">
        <f>IF(X976="","",IFERROR(INDEX($AN$11:$AN$4010,MATCH(966,$AY$11:$AY$4010,0)),""))</f>
        <v/>
      </c>
      <c r="Z976" s="25" t="str">
        <f>IF(X976="","",IFERROR(INDEX($AO$11:$AO$4010,MATCH(966,$AY$11:$AY$4010,0)),""))</f>
        <v/>
      </c>
      <c r="AA976" s="24" t="str">
        <f>IF(X976="","",IFERROR(INDEX($AQ$11:$AQ$4010,MATCH(966,$AY$11:$AY$4010,0)),""))</f>
        <v/>
      </c>
      <c r="AB976" s="29" t="str">
        <f>IF(X976="","",IFERROR(INDEX($AR$11:$AR$4010,MATCH(966,$AY$11:$AY$4010,0)),""))</f>
        <v/>
      </c>
      <c r="AD976" s="30" t="str">
        <f>IF(AE976="","",IFERROR(INDEX($AL$11:$AL$4010,MATCH(966,$AZ$11:$AZ$4010,0)),""))</f>
        <v/>
      </c>
      <c r="AE976" s="26" t="str">
        <f>IFERROR(INDEX($AM$11:$AM$4010,MATCH(966,$AZ$11:$AZ$4010,0)),"")</f>
        <v/>
      </c>
      <c r="AF976" s="25" t="str">
        <f>IF(AE976="","",IFERROR(INDEX($AN$11:$AN$4010,MATCH(966,$AZ$11:$AZ$4010,0)),""))</f>
        <v/>
      </c>
      <c r="AG976" s="25" t="str">
        <f>IF(AE976="","",IFERROR(INDEX($AO$11:$AO$4010,MATCH(966,$AZ$11:$AZ$4010,0)),""))</f>
        <v/>
      </c>
      <c r="AH976" s="24" t="str">
        <f>IF(AE976="","",IFERROR(INDEX($AQ$11:$AQ$4010,MATCH(966,$AZ$11:$AZ$4010,0)),""))</f>
        <v/>
      </c>
      <c r="AI976" s="29" t="str">
        <f>IF(AE976="","",IFERROR(INDEX($AR$11:$AR$4010,MATCH(966,$AZ$11:$AZ$4010,0)),""))</f>
        <v/>
      </c>
      <c r="AJ976" s="29" t="str">
        <f>IF(AE976="","",IFERROR(INDEX($AT$11:$AT$4010,MATCH(966,$AZ$11:$AZ$4010,0)),""))</f>
        <v/>
      </c>
      <c r="AL976" s="31"/>
      <c r="AM976" s="26"/>
      <c r="AN976" s="32"/>
      <c r="AO976" s="32"/>
      <c r="AP976" s="24"/>
      <c r="AQ976" s="24"/>
      <c r="AR976" s="33"/>
      <c r="AS976" s="34"/>
      <c r="AT976" s="33"/>
      <c r="AV976" s="21">
        <f>IF(AND($AL976&lt;&gt;"",COUNTIF($AL$11:$AL976,$AL976)=1),1,0)</f>
        <v>0</v>
      </c>
      <c r="AW976" s="21">
        <f t="shared" si="117"/>
        <v>0</v>
      </c>
      <c r="AX976" s="21" t="str">
        <f t="shared" si="116"/>
        <v/>
      </c>
      <c r="AY976" s="21" t="str">
        <f>IF(AND($AM976&lt;&gt;"",$AS976&lt;&gt;"✓"),SUMPRODUCT(($AM$11:$AM976&lt;&gt;"")*($AS$11:$AS976&lt;&gt;"✓")),"")</f>
        <v/>
      </c>
      <c r="AZ976" s="21" t="str">
        <f>IF(AND($AM976&lt;&gt;"",$AS976="✓"),SUMPRODUCT(($AM$11:$AM976&lt;&gt;"")*($AS$11:$AS976="✓")),"")</f>
        <v/>
      </c>
      <c r="BA976" s="21" t="str">
        <f>IF($AL976="","",$AL976&amp;"|"&amp;COUNTIF($AL$11:$AL976,$AL976))</f>
        <v/>
      </c>
    </row>
    <row r="977" spans="23:53" ht="15" customHeight="1" x14ac:dyDescent="0.25">
      <c r="W977" s="14" t="str">
        <f>IF(X977="","",IFERROR(INDEX($AL$11:$AL$4010,MATCH(967,$AY$11:$AY$4010,0)),""))</f>
        <v/>
      </c>
      <c r="X977" s="12" t="str">
        <f>IFERROR(INDEX($AM$11:$AM$4010,MATCH(967,$AY$11:$AY$4010,0)),"")</f>
        <v/>
      </c>
      <c r="Y977" s="11" t="str">
        <f>IF(X977="","",IFERROR(INDEX($AN$11:$AN$4010,MATCH(967,$AY$11:$AY$4010,0)),""))</f>
        <v/>
      </c>
      <c r="Z977" s="11" t="str">
        <f>IF(X977="","",IFERROR(INDEX($AO$11:$AO$4010,MATCH(967,$AY$11:$AY$4010,0)),""))</f>
        <v/>
      </c>
      <c r="AA977" s="10" t="str">
        <f>IF(X977="","",IFERROR(INDEX($AQ$11:$AQ$4010,MATCH(967,$AY$11:$AY$4010,0)),""))</f>
        <v/>
      </c>
      <c r="AB977" s="15" t="str">
        <f>IF(X977="","",IFERROR(INDEX($AR$11:$AR$4010,MATCH(967,$AY$11:$AY$4010,0)),""))</f>
        <v/>
      </c>
      <c r="AD977" s="16" t="str">
        <f>IF(AE977="","",IFERROR(INDEX($AL$11:$AL$4010,MATCH(967,$AZ$11:$AZ$4010,0)),""))</f>
        <v/>
      </c>
      <c r="AE977" s="12" t="str">
        <f>IFERROR(INDEX($AM$11:$AM$4010,MATCH(967,$AZ$11:$AZ$4010,0)),"")</f>
        <v/>
      </c>
      <c r="AF977" s="11" t="str">
        <f>IF(AE977="","",IFERROR(INDEX($AN$11:$AN$4010,MATCH(967,$AZ$11:$AZ$4010,0)),""))</f>
        <v/>
      </c>
      <c r="AG977" s="11" t="str">
        <f>IF(AE977="","",IFERROR(INDEX($AO$11:$AO$4010,MATCH(967,$AZ$11:$AZ$4010,0)),""))</f>
        <v/>
      </c>
      <c r="AH977" s="10" t="str">
        <f>IF(AE977="","",IFERROR(INDEX($AQ$11:$AQ$4010,MATCH(967,$AZ$11:$AZ$4010,0)),""))</f>
        <v/>
      </c>
      <c r="AI977" s="15" t="str">
        <f>IF(AE977="","",IFERROR(INDEX($AR$11:$AR$4010,MATCH(967,$AZ$11:$AZ$4010,0)),""))</f>
        <v/>
      </c>
      <c r="AJ977" s="15" t="str">
        <f>IF(AE977="","",IFERROR(INDEX($AT$11:$AT$4010,MATCH(967,$AZ$11:$AZ$4010,0)),""))</f>
        <v/>
      </c>
      <c r="AL977" s="17"/>
      <c r="AM977" s="12"/>
      <c r="AN977" s="18"/>
      <c r="AO977" s="18"/>
      <c r="AP977" s="10"/>
      <c r="AQ977" s="10"/>
      <c r="AR977" s="19"/>
      <c r="AS977" s="20"/>
      <c r="AT977" s="19"/>
      <c r="AV977" s="21">
        <f>IF(AND($AL977&lt;&gt;"",COUNTIF($AL$11:$AL977,$AL977)=1),1,0)</f>
        <v>0</v>
      </c>
      <c r="AW977" s="21">
        <f t="shared" si="117"/>
        <v>0</v>
      </c>
      <c r="AX977" s="21" t="str">
        <f t="shared" si="116"/>
        <v/>
      </c>
      <c r="AY977" s="21" t="str">
        <f>IF(AND($AM977&lt;&gt;"",$AS977&lt;&gt;"✓"),SUMPRODUCT(($AM$11:$AM977&lt;&gt;"")*($AS$11:$AS977&lt;&gt;"✓")),"")</f>
        <v/>
      </c>
      <c r="AZ977" s="21" t="str">
        <f>IF(AND($AM977&lt;&gt;"",$AS977="✓"),SUMPRODUCT(($AM$11:$AM977&lt;&gt;"")*($AS$11:$AS977="✓")),"")</f>
        <v/>
      </c>
      <c r="BA977" s="21" t="str">
        <f>IF($AL977="","",$AL977&amp;"|"&amp;COUNTIF($AL$11:$AL977,$AL977))</f>
        <v/>
      </c>
    </row>
    <row r="978" spans="23:53" ht="15" customHeight="1" x14ac:dyDescent="0.25">
      <c r="W978" s="28" t="str">
        <f>IF(X978="","",IFERROR(INDEX($AL$11:$AL$4010,MATCH(968,$AY$11:$AY$4010,0)),""))</f>
        <v/>
      </c>
      <c r="X978" s="26" t="str">
        <f>IFERROR(INDEX($AM$11:$AM$4010,MATCH(968,$AY$11:$AY$4010,0)),"")</f>
        <v/>
      </c>
      <c r="Y978" s="25" t="str">
        <f>IF(X978="","",IFERROR(INDEX($AN$11:$AN$4010,MATCH(968,$AY$11:$AY$4010,0)),""))</f>
        <v/>
      </c>
      <c r="Z978" s="25" t="str">
        <f>IF(X978="","",IFERROR(INDEX($AO$11:$AO$4010,MATCH(968,$AY$11:$AY$4010,0)),""))</f>
        <v/>
      </c>
      <c r="AA978" s="24" t="str">
        <f>IF(X978="","",IFERROR(INDEX($AQ$11:$AQ$4010,MATCH(968,$AY$11:$AY$4010,0)),""))</f>
        <v/>
      </c>
      <c r="AB978" s="29" t="str">
        <f>IF(X978="","",IFERROR(INDEX($AR$11:$AR$4010,MATCH(968,$AY$11:$AY$4010,0)),""))</f>
        <v/>
      </c>
      <c r="AD978" s="30" t="str">
        <f>IF(AE978="","",IFERROR(INDEX($AL$11:$AL$4010,MATCH(968,$AZ$11:$AZ$4010,0)),""))</f>
        <v/>
      </c>
      <c r="AE978" s="26" t="str">
        <f>IFERROR(INDEX($AM$11:$AM$4010,MATCH(968,$AZ$11:$AZ$4010,0)),"")</f>
        <v/>
      </c>
      <c r="AF978" s="25" t="str">
        <f>IF(AE978="","",IFERROR(INDEX($AN$11:$AN$4010,MATCH(968,$AZ$11:$AZ$4010,0)),""))</f>
        <v/>
      </c>
      <c r="AG978" s="25" t="str">
        <f>IF(AE978="","",IFERROR(INDEX($AO$11:$AO$4010,MATCH(968,$AZ$11:$AZ$4010,0)),""))</f>
        <v/>
      </c>
      <c r="AH978" s="24" t="str">
        <f>IF(AE978="","",IFERROR(INDEX($AQ$11:$AQ$4010,MATCH(968,$AZ$11:$AZ$4010,0)),""))</f>
        <v/>
      </c>
      <c r="AI978" s="29" t="str">
        <f>IF(AE978="","",IFERROR(INDEX($AR$11:$AR$4010,MATCH(968,$AZ$11:$AZ$4010,0)),""))</f>
        <v/>
      </c>
      <c r="AJ978" s="29" t="str">
        <f>IF(AE978="","",IFERROR(INDEX($AT$11:$AT$4010,MATCH(968,$AZ$11:$AZ$4010,0)),""))</f>
        <v/>
      </c>
      <c r="AL978" s="31"/>
      <c r="AM978" s="26"/>
      <c r="AN978" s="32"/>
      <c r="AO978" s="32"/>
      <c r="AP978" s="24"/>
      <c r="AQ978" s="24"/>
      <c r="AR978" s="33"/>
      <c r="AS978" s="34"/>
      <c r="AT978" s="33"/>
      <c r="AV978" s="21">
        <f>IF(AND($AL978&lt;&gt;"",COUNTIF($AL$11:$AL978,$AL978)=1),1,0)</f>
        <v>0</v>
      </c>
      <c r="AW978" s="21">
        <f t="shared" si="117"/>
        <v>0</v>
      </c>
      <c r="AX978" s="21" t="str">
        <f t="shared" si="116"/>
        <v/>
      </c>
      <c r="AY978" s="21" t="str">
        <f>IF(AND($AM978&lt;&gt;"",$AS978&lt;&gt;"✓"),SUMPRODUCT(($AM$11:$AM978&lt;&gt;"")*($AS$11:$AS978&lt;&gt;"✓")),"")</f>
        <v/>
      </c>
      <c r="AZ978" s="21" t="str">
        <f>IF(AND($AM978&lt;&gt;"",$AS978="✓"),SUMPRODUCT(($AM$11:$AM978&lt;&gt;"")*($AS$11:$AS978="✓")),"")</f>
        <v/>
      </c>
      <c r="BA978" s="21" t="str">
        <f>IF($AL978="","",$AL978&amp;"|"&amp;COUNTIF($AL$11:$AL978,$AL978))</f>
        <v/>
      </c>
    </row>
    <row r="979" spans="23:53" ht="15" customHeight="1" x14ac:dyDescent="0.25">
      <c r="W979" s="14" t="str">
        <f>IF(X979="","",IFERROR(INDEX($AL$11:$AL$4010,MATCH(969,$AY$11:$AY$4010,0)),""))</f>
        <v/>
      </c>
      <c r="X979" s="12" t="str">
        <f>IFERROR(INDEX($AM$11:$AM$4010,MATCH(969,$AY$11:$AY$4010,0)),"")</f>
        <v/>
      </c>
      <c r="Y979" s="11" t="str">
        <f>IF(X979="","",IFERROR(INDEX($AN$11:$AN$4010,MATCH(969,$AY$11:$AY$4010,0)),""))</f>
        <v/>
      </c>
      <c r="Z979" s="11" t="str">
        <f>IF(X979="","",IFERROR(INDEX($AO$11:$AO$4010,MATCH(969,$AY$11:$AY$4010,0)),""))</f>
        <v/>
      </c>
      <c r="AA979" s="10" t="str">
        <f>IF(X979="","",IFERROR(INDEX($AQ$11:$AQ$4010,MATCH(969,$AY$11:$AY$4010,0)),""))</f>
        <v/>
      </c>
      <c r="AB979" s="15" t="str">
        <f>IF(X979="","",IFERROR(INDEX($AR$11:$AR$4010,MATCH(969,$AY$11:$AY$4010,0)),""))</f>
        <v/>
      </c>
      <c r="AD979" s="16" t="str">
        <f>IF(AE979="","",IFERROR(INDEX($AL$11:$AL$4010,MATCH(969,$AZ$11:$AZ$4010,0)),""))</f>
        <v/>
      </c>
      <c r="AE979" s="12" t="str">
        <f>IFERROR(INDEX($AM$11:$AM$4010,MATCH(969,$AZ$11:$AZ$4010,0)),"")</f>
        <v/>
      </c>
      <c r="AF979" s="11" t="str">
        <f>IF(AE979="","",IFERROR(INDEX($AN$11:$AN$4010,MATCH(969,$AZ$11:$AZ$4010,0)),""))</f>
        <v/>
      </c>
      <c r="AG979" s="11" t="str">
        <f>IF(AE979="","",IFERROR(INDEX($AO$11:$AO$4010,MATCH(969,$AZ$11:$AZ$4010,0)),""))</f>
        <v/>
      </c>
      <c r="AH979" s="10" t="str">
        <f>IF(AE979="","",IFERROR(INDEX($AQ$11:$AQ$4010,MATCH(969,$AZ$11:$AZ$4010,0)),""))</f>
        <v/>
      </c>
      <c r="AI979" s="15" t="str">
        <f>IF(AE979="","",IFERROR(INDEX($AR$11:$AR$4010,MATCH(969,$AZ$11:$AZ$4010,0)),""))</f>
        <v/>
      </c>
      <c r="AJ979" s="15" t="str">
        <f>IF(AE979="","",IFERROR(INDEX($AT$11:$AT$4010,MATCH(969,$AZ$11:$AZ$4010,0)),""))</f>
        <v/>
      </c>
      <c r="AL979" s="17"/>
      <c r="AM979" s="12"/>
      <c r="AN979" s="18"/>
      <c r="AO979" s="18"/>
      <c r="AP979" s="10"/>
      <c r="AQ979" s="10"/>
      <c r="AR979" s="19"/>
      <c r="AS979" s="20"/>
      <c r="AT979" s="19"/>
      <c r="AV979" s="21">
        <f>IF(AND($AL979&lt;&gt;"",COUNTIF($AL$11:$AL979,$AL979)=1),1,0)</f>
        <v>0</v>
      </c>
      <c r="AW979" s="21">
        <f t="shared" si="117"/>
        <v>0</v>
      </c>
      <c r="AX979" s="21" t="str">
        <f t="shared" si="116"/>
        <v/>
      </c>
      <c r="AY979" s="21" t="str">
        <f>IF(AND($AM979&lt;&gt;"",$AS979&lt;&gt;"✓"),SUMPRODUCT(($AM$11:$AM979&lt;&gt;"")*($AS$11:$AS979&lt;&gt;"✓")),"")</f>
        <v/>
      </c>
      <c r="AZ979" s="21" t="str">
        <f>IF(AND($AM979&lt;&gt;"",$AS979="✓"),SUMPRODUCT(($AM$11:$AM979&lt;&gt;"")*($AS$11:$AS979="✓")),"")</f>
        <v/>
      </c>
      <c r="BA979" s="21" t="str">
        <f>IF($AL979="","",$AL979&amp;"|"&amp;COUNTIF($AL$11:$AL979,$AL979))</f>
        <v/>
      </c>
    </row>
    <row r="980" spans="23:53" ht="15" customHeight="1" x14ac:dyDescent="0.25">
      <c r="W980" s="28" t="str">
        <f>IF(X980="","",IFERROR(INDEX($AL$11:$AL$4010,MATCH(970,$AY$11:$AY$4010,0)),""))</f>
        <v/>
      </c>
      <c r="X980" s="26" t="str">
        <f>IFERROR(INDEX($AM$11:$AM$4010,MATCH(970,$AY$11:$AY$4010,0)),"")</f>
        <v/>
      </c>
      <c r="Y980" s="25" t="str">
        <f>IF(X980="","",IFERROR(INDEX($AN$11:$AN$4010,MATCH(970,$AY$11:$AY$4010,0)),""))</f>
        <v/>
      </c>
      <c r="Z980" s="25" t="str">
        <f>IF(X980="","",IFERROR(INDEX($AO$11:$AO$4010,MATCH(970,$AY$11:$AY$4010,0)),""))</f>
        <v/>
      </c>
      <c r="AA980" s="24" t="str">
        <f>IF(X980="","",IFERROR(INDEX($AQ$11:$AQ$4010,MATCH(970,$AY$11:$AY$4010,0)),""))</f>
        <v/>
      </c>
      <c r="AB980" s="29" t="str">
        <f>IF(X980="","",IFERROR(INDEX($AR$11:$AR$4010,MATCH(970,$AY$11:$AY$4010,0)),""))</f>
        <v/>
      </c>
      <c r="AD980" s="30" t="str">
        <f>IF(AE980="","",IFERROR(INDEX($AL$11:$AL$4010,MATCH(970,$AZ$11:$AZ$4010,0)),""))</f>
        <v/>
      </c>
      <c r="AE980" s="26" t="str">
        <f>IFERROR(INDEX($AM$11:$AM$4010,MATCH(970,$AZ$11:$AZ$4010,0)),"")</f>
        <v/>
      </c>
      <c r="AF980" s="25" t="str">
        <f>IF(AE980="","",IFERROR(INDEX($AN$11:$AN$4010,MATCH(970,$AZ$11:$AZ$4010,0)),""))</f>
        <v/>
      </c>
      <c r="AG980" s="25" t="str">
        <f>IF(AE980="","",IFERROR(INDEX($AO$11:$AO$4010,MATCH(970,$AZ$11:$AZ$4010,0)),""))</f>
        <v/>
      </c>
      <c r="AH980" s="24" t="str">
        <f>IF(AE980="","",IFERROR(INDEX($AQ$11:$AQ$4010,MATCH(970,$AZ$11:$AZ$4010,0)),""))</f>
        <v/>
      </c>
      <c r="AI980" s="29" t="str">
        <f>IF(AE980="","",IFERROR(INDEX($AR$11:$AR$4010,MATCH(970,$AZ$11:$AZ$4010,0)),""))</f>
        <v/>
      </c>
      <c r="AJ980" s="29" t="str">
        <f>IF(AE980="","",IFERROR(INDEX($AT$11:$AT$4010,MATCH(970,$AZ$11:$AZ$4010,0)),""))</f>
        <v/>
      </c>
      <c r="AL980" s="31"/>
      <c r="AM980" s="26"/>
      <c r="AN980" s="32"/>
      <c r="AO980" s="32"/>
      <c r="AP980" s="24"/>
      <c r="AQ980" s="24"/>
      <c r="AR980" s="33"/>
      <c r="AS980" s="34"/>
      <c r="AT980" s="33"/>
      <c r="AV980" s="21">
        <f>IF(AND($AL980&lt;&gt;"",COUNTIF($AL$11:$AL980,$AL980)=1),1,0)</f>
        <v>0</v>
      </c>
      <c r="AW980" s="21">
        <f t="shared" si="117"/>
        <v>0</v>
      </c>
      <c r="AX980" s="21" t="str">
        <f t="shared" si="116"/>
        <v/>
      </c>
      <c r="AY980" s="21" t="str">
        <f>IF(AND($AM980&lt;&gt;"",$AS980&lt;&gt;"✓"),SUMPRODUCT(($AM$11:$AM980&lt;&gt;"")*($AS$11:$AS980&lt;&gt;"✓")),"")</f>
        <v/>
      </c>
      <c r="AZ980" s="21" t="str">
        <f>IF(AND($AM980&lt;&gt;"",$AS980="✓"),SUMPRODUCT(($AM$11:$AM980&lt;&gt;"")*($AS$11:$AS980="✓")),"")</f>
        <v/>
      </c>
      <c r="BA980" s="21" t="str">
        <f>IF($AL980="","",$AL980&amp;"|"&amp;COUNTIF($AL$11:$AL980,$AL980))</f>
        <v/>
      </c>
    </row>
    <row r="981" spans="23:53" ht="15" customHeight="1" x14ac:dyDescent="0.25">
      <c r="W981" s="14" t="str">
        <f>IF(X981="","",IFERROR(INDEX($AL$11:$AL$4010,MATCH(971,$AY$11:$AY$4010,0)),""))</f>
        <v/>
      </c>
      <c r="X981" s="12" t="str">
        <f>IFERROR(INDEX($AM$11:$AM$4010,MATCH(971,$AY$11:$AY$4010,0)),"")</f>
        <v/>
      </c>
      <c r="Y981" s="11" t="str">
        <f>IF(X981="","",IFERROR(INDEX($AN$11:$AN$4010,MATCH(971,$AY$11:$AY$4010,0)),""))</f>
        <v/>
      </c>
      <c r="Z981" s="11" t="str">
        <f>IF(X981="","",IFERROR(INDEX($AO$11:$AO$4010,MATCH(971,$AY$11:$AY$4010,0)),""))</f>
        <v/>
      </c>
      <c r="AA981" s="10" t="str">
        <f>IF(X981="","",IFERROR(INDEX($AQ$11:$AQ$4010,MATCH(971,$AY$11:$AY$4010,0)),""))</f>
        <v/>
      </c>
      <c r="AB981" s="15" t="str">
        <f>IF(X981="","",IFERROR(INDEX($AR$11:$AR$4010,MATCH(971,$AY$11:$AY$4010,0)),""))</f>
        <v/>
      </c>
      <c r="AD981" s="16" t="str">
        <f>IF(AE981="","",IFERROR(INDEX($AL$11:$AL$4010,MATCH(971,$AZ$11:$AZ$4010,0)),""))</f>
        <v/>
      </c>
      <c r="AE981" s="12" t="str">
        <f>IFERROR(INDEX($AM$11:$AM$4010,MATCH(971,$AZ$11:$AZ$4010,0)),"")</f>
        <v/>
      </c>
      <c r="AF981" s="11" t="str">
        <f>IF(AE981="","",IFERROR(INDEX($AN$11:$AN$4010,MATCH(971,$AZ$11:$AZ$4010,0)),""))</f>
        <v/>
      </c>
      <c r="AG981" s="11" t="str">
        <f>IF(AE981="","",IFERROR(INDEX($AO$11:$AO$4010,MATCH(971,$AZ$11:$AZ$4010,0)),""))</f>
        <v/>
      </c>
      <c r="AH981" s="10" t="str">
        <f>IF(AE981="","",IFERROR(INDEX($AQ$11:$AQ$4010,MATCH(971,$AZ$11:$AZ$4010,0)),""))</f>
        <v/>
      </c>
      <c r="AI981" s="15" t="str">
        <f>IF(AE981="","",IFERROR(INDEX($AR$11:$AR$4010,MATCH(971,$AZ$11:$AZ$4010,0)),""))</f>
        <v/>
      </c>
      <c r="AJ981" s="15" t="str">
        <f>IF(AE981="","",IFERROR(INDEX($AT$11:$AT$4010,MATCH(971,$AZ$11:$AZ$4010,0)),""))</f>
        <v/>
      </c>
      <c r="AL981" s="17"/>
      <c r="AM981" s="12"/>
      <c r="AN981" s="18"/>
      <c r="AO981" s="18"/>
      <c r="AP981" s="10"/>
      <c r="AQ981" s="10"/>
      <c r="AR981" s="19"/>
      <c r="AS981" s="20"/>
      <c r="AT981" s="19"/>
      <c r="AV981" s="21">
        <f>IF(AND($AL981&lt;&gt;"",COUNTIF($AL$11:$AL981,$AL981)=1),1,0)</f>
        <v>0</v>
      </c>
      <c r="AW981" s="21">
        <f t="shared" si="117"/>
        <v>0</v>
      </c>
      <c r="AX981" s="21" t="str">
        <f t="shared" si="116"/>
        <v/>
      </c>
      <c r="AY981" s="21" t="str">
        <f>IF(AND($AM981&lt;&gt;"",$AS981&lt;&gt;"✓"),SUMPRODUCT(($AM$11:$AM981&lt;&gt;"")*($AS$11:$AS981&lt;&gt;"✓")),"")</f>
        <v/>
      </c>
      <c r="AZ981" s="21" t="str">
        <f>IF(AND($AM981&lt;&gt;"",$AS981="✓"),SUMPRODUCT(($AM$11:$AM981&lt;&gt;"")*($AS$11:$AS981="✓")),"")</f>
        <v/>
      </c>
      <c r="BA981" s="21" t="str">
        <f>IF($AL981="","",$AL981&amp;"|"&amp;COUNTIF($AL$11:$AL981,$AL981))</f>
        <v/>
      </c>
    </row>
    <row r="982" spans="23:53" ht="15" customHeight="1" x14ac:dyDescent="0.25">
      <c r="W982" s="28" t="str">
        <f>IF(X982="","",IFERROR(INDEX($AL$11:$AL$4010,MATCH(972,$AY$11:$AY$4010,0)),""))</f>
        <v/>
      </c>
      <c r="X982" s="26" t="str">
        <f>IFERROR(INDEX($AM$11:$AM$4010,MATCH(972,$AY$11:$AY$4010,0)),"")</f>
        <v/>
      </c>
      <c r="Y982" s="25" t="str">
        <f>IF(X982="","",IFERROR(INDEX($AN$11:$AN$4010,MATCH(972,$AY$11:$AY$4010,0)),""))</f>
        <v/>
      </c>
      <c r="Z982" s="25" t="str">
        <f>IF(X982="","",IFERROR(INDEX($AO$11:$AO$4010,MATCH(972,$AY$11:$AY$4010,0)),""))</f>
        <v/>
      </c>
      <c r="AA982" s="24" t="str">
        <f>IF(X982="","",IFERROR(INDEX($AQ$11:$AQ$4010,MATCH(972,$AY$11:$AY$4010,0)),""))</f>
        <v/>
      </c>
      <c r="AB982" s="29" t="str">
        <f>IF(X982="","",IFERROR(INDEX($AR$11:$AR$4010,MATCH(972,$AY$11:$AY$4010,0)),""))</f>
        <v/>
      </c>
      <c r="AD982" s="30" t="str">
        <f>IF(AE982="","",IFERROR(INDEX($AL$11:$AL$4010,MATCH(972,$AZ$11:$AZ$4010,0)),""))</f>
        <v/>
      </c>
      <c r="AE982" s="26" t="str">
        <f>IFERROR(INDEX($AM$11:$AM$4010,MATCH(972,$AZ$11:$AZ$4010,0)),"")</f>
        <v/>
      </c>
      <c r="AF982" s="25" t="str">
        <f>IF(AE982="","",IFERROR(INDEX($AN$11:$AN$4010,MATCH(972,$AZ$11:$AZ$4010,0)),""))</f>
        <v/>
      </c>
      <c r="AG982" s="25" t="str">
        <f>IF(AE982="","",IFERROR(INDEX($AO$11:$AO$4010,MATCH(972,$AZ$11:$AZ$4010,0)),""))</f>
        <v/>
      </c>
      <c r="AH982" s="24" t="str">
        <f>IF(AE982="","",IFERROR(INDEX($AQ$11:$AQ$4010,MATCH(972,$AZ$11:$AZ$4010,0)),""))</f>
        <v/>
      </c>
      <c r="AI982" s="29" t="str">
        <f>IF(AE982="","",IFERROR(INDEX($AR$11:$AR$4010,MATCH(972,$AZ$11:$AZ$4010,0)),""))</f>
        <v/>
      </c>
      <c r="AJ982" s="29" t="str">
        <f>IF(AE982="","",IFERROR(INDEX($AT$11:$AT$4010,MATCH(972,$AZ$11:$AZ$4010,0)),""))</f>
        <v/>
      </c>
      <c r="AL982" s="31"/>
      <c r="AM982" s="26"/>
      <c r="AN982" s="32"/>
      <c r="AO982" s="32"/>
      <c r="AP982" s="24"/>
      <c r="AQ982" s="24"/>
      <c r="AR982" s="33"/>
      <c r="AS982" s="34"/>
      <c r="AT982" s="33"/>
      <c r="AV982" s="21">
        <f>IF(AND($AL982&lt;&gt;"",COUNTIF($AL$11:$AL982,$AL982)=1),1,0)</f>
        <v>0</v>
      </c>
      <c r="AW982" s="21">
        <f t="shared" si="117"/>
        <v>0</v>
      </c>
      <c r="AX982" s="21" t="str">
        <f t="shared" si="116"/>
        <v/>
      </c>
      <c r="AY982" s="21" t="str">
        <f>IF(AND($AM982&lt;&gt;"",$AS982&lt;&gt;"✓"),SUMPRODUCT(($AM$11:$AM982&lt;&gt;"")*($AS$11:$AS982&lt;&gt;"✓")),"")</f>
        <v/>
      </c>
      <c r="AZ982" s="21" t="str">
        <f>IF(AND($AM982&lt;&gt;"",$AS982="✓"),SUMPRODUCT(($AM$11:$AM982&lt;&gt;"")*($AS$11:$AS982="✓")),"")</f>
        <v/>
      </c>
      <c r="BA982" s="21" t="str">
        <f>IF($AL982="","",$AL982&amp;"|"&amp;COUNTIF($AL$11:$AL982,$AL982))</f>
        <v/>
      </c>
    </row>
    <row r="983" spans="23:53" ht="15" customHeight="1" x14ac:dyDescent="0.25">
      <c r="W983" s="14" t="str">
        <f>IF(X983="","",IFERROR(INDEX($AL$11:$AL$4010,MATCH(973,$AY$11:$AY$4010,0)),""))</f>
        <v/>
      </c>
      <c r="X983" s="12" t="str">
        <f>IFERROR(INDEX($AM$11:$AM$4010,MATCH(973,$AY$11:$AY$4010,0)),"")</f>
        <v/>
      </c>
      <c r="Y983" s="11" t="str">
        <f>IF(X983="","",IFERROR(INDEX($AN$11:$AN$4010,MATCH(973,$AY$11:$AY$4010,0)),""))</f>
        <v/>
      </c>
      <c r="Z983" s="11" t="str">
        <f>IF(X983="","",IFERROR(INDEX($AO$11:$AO$4010,MATCH(973,$AY$11:$AY$4010,0)),""))</f>
        <v/>
      </c>
      <c r="AA983" s="10" t="str">
        <f>IF(X983="","",IFERROR(INDEX($AQ$11:$AQ$4010,MATCH(973,$AY$11:$AY$4010,0)),""))</f>
        <v/>
      </c>
      <c r="AB983" s="15" t="str">
        <f>IF(X983="","",IFERROR(INDEX($AR$11:$AR$4010,MATCH(973,$AY$11:$AY$4010,0)),""))</f>
        <v/>
      </c>
      <c r="AD983" s="16" t="str">
        <f>IF(AE983="","",IFERROR(INDEX($AL$11:$AL$4010,MATCH(973,$AZ$11:$AZ$4010,0)),""))</f>
        <v/>
      </c>
      <c r="AE983" s="12" t="str">
        <f>IFERROR(INDEX($AM$11:$AM$4010,MATCH(973,$AZ$11:$AZ$4010,0)),"")</f>
        <v/>
      </c>
      <c r="AF983" s="11" t="str">
        <f>IF(AE983="","",IFERROR(INDEX($AN$11:$AN$4010,MATCH(973,$AZ$11:$AZ$4010,0)),""))</f>
        <v/>
      </c>
      <c r="AG983" s="11" t="str">
        <f>IF(AE983="","",IFERROR(INDEX($AO$11:$AO$4010,MATCH(973,$AZ$11:$AZ$4010,0)),""))</f>
        <v/>
      </c>
      <c r="AH983" s="10" t="str">
        <f>IF(AE983="","",IFERROR(INDEX($AQ$11:$AQ$4010,MATCH(973,$AZ$11:$AZ$4010,0)),""))</f>
        <v/>
      </c>
      <c r="AI983" s="15" t="str">
        <f>IF(AE983="","",IFERROR(INDEX($AR$11:$AR$4010,MATCH(973,$AZ$11:$AZ$4010,0)),""))</f>
        <v/>
      </c>
      <c r="AJ983" s="15" t="str">
        <f>IF(AE983="","",IFERROR(INDEX($AT$11:$AT$4010,MATCH(973,$AZ$11:$AZ$4010,0)),""))</f>
        <v/>
      </c>
      <c r="AL983" s="17"/>
      <c r="AM983" s="12"/>
      <c r="AN983" s="18"/>
      <c r="AO983" s="18"/>
      <c r="AP983" s="10"/>
      <c r="AQ983" s="10"/>
      <c r="AR983" s="19"/>
      <c r="AS983" s="20"/>
      <c r="AT983" s="19"/>
      <c r="AV983" s="21">
        <f>IF(AND($AL983&lt;&gt;"",COUNTIF($AL$11:$AL983,$AL983)=1),1,0)</f>
        <v>0</v>
      </c>
      <c r="AW983" s="21">
        <f t="shared" si="117"/>
        <v>0</v>
      </c>
      <c r="AX983" s="21" t="str">
        <f t="shared" si="116"/>
        <v/>
      </c>
      <c r="AY983" s="21" t="str">
        <f>IF(AND($AM983&lt;&gt;"",$AS983&lt;&gt;"✓"),SUMPRODUCT(($AM$11:$AM983&lt;&gt;"")*($AS$11:$AS983&lt;&gt;"✓")),"")</f>
        <v/>
      </c>
      <c r="AZ983" s="21" t="str">
        <f>IF(AND($AM983&lt;&gt;"",$AS983="✓"),SUMPRODUCT(($AM$11:$AM983&lt;&gt;"")*($AS$11:$AS983="✓")),"")</f>
        <v/>
      </c>
      <c r="BA983" s="21" t="str">
        <f>IF($AL983="","",$AL983&amp;"|"&amp;COUNTIF($AL$11:$AL983,$AL983))</f>
        <v/>
      </c>
    </row>
    <row r="984" spans="23:53" ht="15" customHeight="1" x14ac:dyDescent="0.25">
      <c r="W984" s="28" t="str">
        <f>IF(X984="","",IFERROR(INDEX($AL$11:$AL$4010,MATCH(974,$AY$11:$AY$4010,0)),""))</f>
        <v/>
      </c>
      <c r="X984" s="26" t="str">
        <f>IFERROR(INDEX($AM$11:$AM$4010,MATCH(974,$AY$11:$AY$4010,0)),"")</f>
        <v/>
      </c>
      <c r="Y984" s="25" t="str">
        <f>IF(X984="","",IFERROR(INDEX($AN$11:$AN$4010,MATCH(974,$AY$11:$AY$4010,0)),""))</f>
        <v/>
      </c>
      <c r="Z984" s="25" t="str">
        <f>IF(X984="","",IFERROR(INDEX($AO$11:$AO$4010,MATCH(974,$AY$11:$AY$4010,0)),""))</f>
        <v/>
      </c>
      <c r="AA984" s="24" t="str">
        <f>IF(X984="","",IFERROR(INDEX($AQ$11:$AQ$4010,MATCH(974,$AY$11:$AY$4010,0)),""))</f>
        <v/>
      </c>
      <c r="AB984" s="29" t="str">
        <f>IF(X984="","",IFERROR(INDEX($AR$11:$AR$4010,MATCH(974,$AY$11:$AY$4010,0)),""))</f>
        <v/>
      </c>
      <c r="AD984" s="30" t="str">
        <f>IF(AE984="","",IFERROR(INDEX($AL$11:$AL$4010,MATCH(974,$AZ$11:$AZ$4010,0)),""))</f>
        <v/>
      </c>
      <c r="AE984" s="26" t="str">
        <f>IFERROR(INDEX($AM$11:$AM$4010,MATCH(974,$AZ$11:$AZ$4010,0)),"")</f>
        <v/>
      </c>
      <c r="AF984" s="25" t="str">
        <f>IF(AE984="","",IFERROR(INDEX($AN$11:$AN$4010,MATCH(974,$AZ$11:$AZ$4010,0)),""))</f>
        <v/>
      </c>
      <c r="AG984" s="25" t="str">
        <f>IF(AE984="","",IFERROR(INDEX($AO$11:$AO$4010,MATCH(974,$AZ$11:$AZ$4010,0)),""))</f>
        <v/>
      </c>
      <c r="AH984" s="24" t="str">
        <f>IF(AE984="","",IFERROR(INDEX($AQ$11:$AQ$4010,MATCH(974,$AZ$11:$AZ$4010,0)),""))</f>
        <v/>
      </c>
      <c r="AI984" s="29" t="str">
        <f>IF(AE984="","",IFERROR(INDEX($AR$11:$AR$4010,MATCH(974,$AZ$11:$AZ$4010,0)),""))</f>
        <v/>
      </c>
      <c r="AJ984" s="29" t="str">
        <f>IF(AE984="","",IFERROR(INDEX($AT$11:$AT$4010,MATCH(974,$AZ$11:$AZ$4010,0)),""))</f>
        <v/>
      </c>
      <c r="AL984" s="31"/>
      <c r="AM984" s="26"/>
      <c r="AN984" s="32"/>
      <c r="AO984" s="32"/>
      <c r="AP984" s="24"/>
      <c r="AQ984" s="24"/>
      <c r="AR984" s="33"/>
      <c r="AS984" s="34"/>
      <c r="AT984" s="33"/>
      <c r="AV984" s="21">
        <f>IF(AND($AL984&lt;&gt;"",COUNTIF($AL$11:$AL984,$AL984)=1),1,0)</f>
        <v>0</v>
      </c>
      <c r="AW984" s="21">
        <f t="shared" si="117"/>
        <v>0</v>
      </c>
      <c r="AX984" s="21" t="str">
        <f t="shared" si="116"/>
        <v/>
      </c>
      <c r="AY984" s="21" t="str">
        <f>IF(AND($AM984&lt;&gt;"",$AS984&lt;&gt;"✓"),SUMPRODUCT(($AM$11:$AM984&lt;&gt;"")*($AS$11:$AS984&lt;&gt;"✓")),"")</f>
        <v/>
      </c>
      <c r="AZ984" s="21" t="str">
        <f>IF(AND($AM984&lt;&gt;"",$AS984="✓"),SUMPRODUCT(($AM$11:$AM984&lt;&gt;"")*($AS$11:$AS984="✓")),"")</f>
        <v/>
      </c>
      <c r="BA984" s="21" t="str">
        <f>IF($AL984="","",$AL984&amp;"|"&amp;COUNTIF($AL$11:$AL984,$AL984))</f>
        <v/>
      </c>
    </row>
    <row r="985" spans="23:53" ht="15" customHeight="1" x14ac:dyDescent="0.25">
      <c r="W985" s="14" t="str">
        <f>IF(X985="","",IFERROR(INDEX($AL$11:$AL$4010,MATCH(975,$AY$11:$AY$4010,0)),""))</f>
        <v/>
      </c>
      <c r="X985" s="12" t="str">
        <f>IFERROR(INDEX($AM$11:$AM$4010,MATCH(975,$AY$11:$AY$4010,0)),"")</f>
        <v/>
      </c>
      <c r="Y985" s="11" t="str">
        <f>IF(X985="","",IFERROR(INDEX($AN$11:$AN$4010,MATCH(975,$AY$11:$AY$4010,0)),""))</f>
        <v/>
      </c>
      <c r="Z985" s="11" t="str">
        <f>IF(X985="","",IFERROR(INDEX($AO$11:$AO$4010,MATCH(975,$AY$11:$AY$4010,0)),""))</f>
        <v/>
      </c>
      <c r="AA985" s="10" t="str">
        <f>IF(X985="","",IFERROR(INDEX($AQ$11:$AQ$4010,MATCH(975,$AY$11:$AY$4010,0)),""))</f>
        <v/>
      </c>
      <c r="AB985" s="15" t="str">
        <f>IF(X985="","",IFERROR(INDEX($AR$11:$AR$4010,MATCH(975,$AY$11:$AY$4010,0)),""))</f>
        <v/>
      </c>
      <c r="AD985" s="16" t="str">
        <f>IF(AE985="","",IFERROR(INDEX($AL$11:$AL$4010,MATCH(975,$AZ$11:$AZ$4010,0)),""))</f>
        <v/>
      </c>
      <c r="AE985" s="12" t="str">
        <f>IFERROR(INDEX($AM$11:$AM$4010,MATCH(975,$AZ$11:$AZ$4010,0)),"")</f>
        <v/>
      </c>
      <c r="AF985" s="11" t="str">
        <f>IF(AE985="","",IFERROR(INDEX($AN$11:$AN$4010,MATCH(975,$AZ$11:$AZ$4010,0)),""))</f>
        <v/>
      </c>
      <c r="AG985" s="11" t="str">
        <f>IF(AE985="","",IFERROR(INDEX($AO$11:$AO$4010,MATCH(975,$AZ$11:$AZ$4010,0)),""))</f>
        <v/>
      </c>
      <c r="AH985" s="10" t="str">
        <f>IF(AE985="","",IFERROR(INDEX($AQ$11:$AQ$4010,MATCH(975,$AZ$11:$AZ$4010,0)),""))</f>
        <v/>
      </c>
      <c r="AI985" s="15" t="str">
        <f>IF(AE985="","",IFERROR(INDEX($AR$11:$AR$4010,MATCH(975,$AZ$11:$AZ$4010,0)),""))</f>
        <v/>
      </c>
      <c r="AJ985" s="15" t="str">
        <f>IF(AE985="","",IFERROR(INDEX($AT$11:$AT$4010,MATCH(975,$AZ$11:$AZ$4010,0)),""))</f>
        <v/>
      </c>
      <c r="AL985" s="17"/>
      <c r="AM985" s="12"/>
      <c r="AN985" s="18"/>
      <c r="AO985" s="18"/>
      <c r="AP985" s="10"/>
      <c r="AQ985" s="10"/>
      <c r="AR985" s="19"/>
      <c r="AS985" s="20"/>
      <c r="AT985" s="19"/>
      <c r="AV985" s="21">
        <f>IF(AND($AL985&lt;&gt;"",COUNTIF($AL$11:$AL985,$AL985)=1),1,0)</f>
        <v>0</v>
      </c>
      <c r="AW985" s="21">
        <f t="shared" si="117"/>
        <v>0</v>
      </c>
      <c r="AX985" s="21" t="str">
        <f t="shared" si="116"/>
        <v/>
      </c>
      <c r="AY985" s="21" t="str">
        <f>IF(AND($AM985&lt;&gt;"",$AS985&lt;&gt;"✓"),SUMPRODUCT(($AM$11:$AM985&lt;&gt;"")*($AS$11:$AS985&lt;&gt;"✓")),"")</f>
        <v/>
      </c>
      <c r="AZ985" s="21" t="str">
        <f>IF(AND($AM985&lt;&gt;"",$AS985="✓"),SUMPRODUCT(($AM$11:$AM985&lt;&gt;"")*($AS$11:$AS985="✓")),"")</f>
        <v/>
      </c>
      <c r="BA985" s="21" t="str">
        <f>IF($AL985="","",$AL985&amp;"|"&amp;COUNTIF($AL$11:$AL985,$AL985))</f>
        <v/>
      </c>
    </row>
    <row r="986" spans="23:53" ht="15" customHeight="1" x14ac:dyDescent="0.25">
      <c r="W986" s="28" t="str">
        <f>IF(X986="","",IFERROR(INDEX($AL$11:$AL$4010,MATCH(976,$AY$11:$AY$4010,0)),""))</f>
        <v/>
      </c>
      <c r="X986" s="26" t="str">
        <f>IFERROR(INDEX($AM$11:$AM$4010,MATCH(976,$AY$11:$AY$4010,0)),"")</f>
        <v/>
      </c>
      <c r="Y986" s="25" t="str">
        <f>IF(X986="","",IFERROR(INDEX($AN$11:$AN$4010,MATCH(976,$AY$11:$AY$4010,0)),""))</f>
        <v/>
      </c>
      <c r="Z986" s="25" t="str">
        <f>IF(X986="","",IFERROR(INDEX($AO$11:$AO$4010,MATCH(976,$AY$11:$AY$4010,0)),""))</f>
        <v/>
      </c>
      <c r="AA986" s="24" t="str">
        <f>IF(X986="","",IFERROR(INDEX($AQ$11:$AQ$4010,MATCH(976,$AY$11:$AY$4010,0)),""))</f>
        <v/>
      </c>
      <c r="AB986" s="29" t="str">
        <f>IF(X986="","",IFERROR(INDEX($AR$11:$AR$4010,MATCH(976,$AY$11:$AY$4010,0)),""))</f>
        <v/>
      </c>
      <c r="AD986" s="30" t="str">
        <f>IF(AE986="","",IFERROR(INDEX($AL$11:$AL$4010,MATCH(976,$AZ$11:$AZ$4010,0)),""))</f>
        <v/>
      </c>
      <c r="AE986" s="26" t="str">
        <f>IFERROR(INDEX($AM$11:$AM$4010,MATCH(976,$AZ$11:$AZ$4010,0)),"")</f>
        <v/>
      </c>
      <c r="AF986" s="25" t="str">
        <f>IF(AE986="","",IFERROR(INDEX($AN$11:$AN$4010,MATCH(976,$AZ$11:$AZ$4010,0)),""))</f>
        <v/>
      </c>
      <c r="AG986" s="25" t="str">
        <f>IF(AE986="","",IFERROR(INDEX($AO$11:$AO$4010,MATCH(976,$AZ$11:$AZ$4010,0)),""))</f>
        <v/>
      </c>
      <c r="AH986" s="24" t="str">
        <f>IF(AE986="","",IFERROR(INDEX($AQ$11:$AQ$4010,MATCH(976,$AZ$11:$AZ$4010,0)),""))</f>
        <v/>
      </c>
      <c r="AI986" s="29" t="str">
        <f>IF(AE986="","",IFERROR(INDEX($AR$11:$AR$4010,MATCH(976,$AZ$11:$AZ$4010,0)),""))</f>
        <v/>
      </c>
      <c r="AJ986" s="29" t="str">
        <f>IF(AE986="","",IFERROR(INDEX($AT$11:$AT$4010,MATCH(976,$AZ$11:$AZ$4010,0)),""))</f>
        <v/>
      </c>
      <c r="AL986" s="31"/>
      <c r="AM986" s="26"/>
      <c r="AN986" s="32"/>
      <c r="AO986" s="32"/>
      <c r="AP986" s="24"/>
      <c r="AQ986" s="24"/>
      <c r="AR986" s="33"/>
      <c r="AS986" s="34"/>
      <c r="AT986" s="33"/>
      <c r="AV986" s="21">
        <f>IF(AND($AL986&lt;&gt;"",COUNTIF($AL$11:$AL986,$AL986)=1),1,0)</f>
        <v>0</v>
      </c>
      <c r="AW986" s="21">
        <f t="shared" si="117"/>
        <v>0</v>
      </c>
      <c r="AX986" s="21" t="str">
        <f t="shared" si="116"/>
        <v/>
      </c>
      <c r="AY986" s="21" t="str">
        <f>IF(AND($AM986&lt;&gt;"",$AS986&lt;&gt;"✓"),SUMPRODUCT(($AM$11:$AM986&lt;&gt;"")*($AS$11:$AS986&lt;&gt;"✓")),"")</f>
        <v/>
      </c>
      <c r="AZ986" s="21" t="str">
        <f>IF(AND($AM986&lt;&gt;"",$AS986="✓"),SUMPRODUCT(($AM$11:$AM986&lt;&gt;"")*($AS$11:$AS986="✓")),"")</f>
        <v/>
      </c>
      <c r="BA986" s="21" t="str">
        <f>IF($AL986="","",$AL986&amp;"|"&amp;COUNTIF($AL$11:$AL986,$AL986))</f>
        <v/>
      </c>
    </row>
    <row r="987" spans="23:53" ht="15" customHeight="1" x14ac:dyDescent="0.25">
      <c r="W987" s="14" t="str">
        <f>IF(X987="","",IFERROR(INDEX($AL$11:$AL$4010,MATCH(977,$AY$11:$AY$4010,0)),""))</f>
        <v/>
      </c>
      <c r="X987" s="12" t="str">
        <f>IFERROR(INDEX($AM$11:$AM$4010,MATCH(977,$AY$11:$AY$4010,0)),"")</f>
        <v/>
      </c>
      <c r="Y987" s="11" t="str">
        <f>IF(X987="","",IFERROR(INDEX($AN$11:$AN$4010,MATCH(977,$AY$11:$AY$4010,0)),""))</f>
        <v/>
      </c>
      <c r="Z987" s="11" t="str">
        <f>IF(X987="","",IFERROR(INDEX($AO$11:$AO$4010,MATCH(977,$AY$11:$AY$4010,0)),""))</f>
        <v/>
      </c>
      <c r="AA987" s="10" t="str">
        <f>IF(X987="","",IFERROR(INDEX($AQ$11:$AQ$4010,MATCH(977,$AY$11:$AY$4010,0)),""))</f>
        <v/>
      </c>
      <c r="AB987" s="15" t="str">
        <f>IF(X987="","",IFERROR(INDEX($AR$11:$AR$4010,MATCH(977,$AY$11:$AY$4010,0)),""))</f>
        <v/>
      </c>
      <c r="AD987" s="16" t="str">
        <f>IF(AE987="","",IFERROR(INDEX($AL$11:$AL$4010,MATCH(977,$AZ$11:$AZ$4010,0)),""))</f>
        <v/>
      </c>
      <c r="AE987" s="12" t="str">
        <f>IFERROR(INDEX($AM$11:$AM$4010,MATCH(977,$AZ$11:$AZ$4010,0)),"")</f>
        <v/>
      </c>
      <c r="AF987" s="11" t="str">
        <f>IF(AE987="","",IFERROR(INDEX($AN$11:$AN$4010,MATCH(977,$AZ$11:$AZ$4010,0)),""))</f>
        <v/>
      </c>
      <c r="AG987" s="11" t="str">
        <f>IF(AE987="","",IFERROR(INDEX($AO$11:$AO$4010,MATCH(977,$AZ$11:$AZ$4010,0)),""))</f>
        <v/>
      </c>
      <c r="AH987" s="10" t="str">
        <f>IF(AE987="","",IFERROR(INDEX($AQ$11:$AQ$4010,MATCH(977,$AZ$11:$AZ$4010,0)),""))</f>
        <v/>
      </c>
      <c r="AI987" s="15" t="str">
        <f>IF(AE987="","",IFERROR(INDEX($AR$11:$AR$4010,MATCH(977,$AZ$11:$AZ$4010,0)),""))</f>
        <v/>
      </c>
      <c r="AJ987" s="15" t="str">
        <f>IF(AE987="","",IFERROR(INDEX($AT$11:$AT$4010,MATCH(977,$AZ$11:$AZ$4010,0)),""))</f>
        <v/>
      </c>
      <c r="AL987" s="17"/>
      <c r="AM987" s="12"/>
      <c r="AN987" s="18"/>
      <c r="AO987" s="18"/>
      <c r="AP987" s="10"/>
      <c r="AQ987" s="10"/>
      <c r="AR987" s="19"/>
      <c r="AS987" s="20"/>
      <c r="AT987" s="19"/>
      <c r="AV987" s="21">
        <f>IF(AND($AL987&lt;&gt;"",COUNTIF($AL$11:$AL987,$AL987)=1),1,0)</f>
        <v>0</v>
      </c>
      <c r="AW987" s="21">
        <f t="shared" si="117"/>
        <v>0</v>
      </c>
      <c r="AX987" s="21" t="str">
        <f t="shared" si="116"/>
        <v/>
      </c>
      <c r="AY987" s="21" t="str">
        <f>IF(AND($AM987&lt;&gt;"",$AS987&lt;&gt;"✓"),SUMPRODUCT(($AM$11:$AM987&lt;&gt;"")*($AS$11:$AS987&lt;&gt;"✓")),"")</f>
        <v/>
      </c>
      <c r="AZ987" s="21" t="str">
        <f>IF(AND($AM987&lt;&gt;"",$AS987="✓"),SUMPRODUCT(($AM$11:$AM987&lt;&gt;"")*($AS$11:$AS987="✓")),"")</f>
        <v/>
      </c>
      <c r="BA987" s="21" t="str">
        <f>IF($AL987="","",$AL987&amp;"|"&amp;COUNTIF($AL$11:$AL987,$AL987))</f>
        <v/>
      </c>
    </row>
    <row r="988" spans="23:53" ht="15" customHeight="1" x14ac:dyDescent="0.25">
      <c r="W988" s="28" t="str">
        <f>IF(X988="","",IFERROR(INDEX($AL$11:$AL$4010,MATCH(978,$AY$11:$AY$4010,0)),""))</f>
        <v/>
      </c>
      <c r="X988" s="26" t="str">
        <f>IFERROR(INDEX($AM$11:$AM$4010,MATCH(978,$AY$11:$AY$4010,0)),"")</f>
        <v/>
      </c>
      <c r="Y988" s="25" t="str">
        <f>IF(X988="","",IFERROR(INDEX($AN$11:$AN$4010,MATCH(978,$AY$11:$AY$4010,0)),""))</f>
        <v/>
      </c>
      <c r="Z988" s="25" t="str">
        <f>IF(X988="","",IFERROR(INDEX($AO$11:$AO$4010,MATCH(978,$AY$11:$AY$4010,0)),""))</f>
        <v/>
      </c>
      <c r="AA988" s="24" t="str">
        <f>IF(X988="","",IFERROR(INDEX($AQ$11:$AQ$4010,MATCH(978,$AY$11:$AY$4010,0)),""))</f>
        <v/>
      </c>
      <c r="AB988" s="29" t="str">
        <f>IF(X988="","",IFERROR(INDEX($AR$11:$AR$4010,MATCH(978,$AY$11:$AY$4010,0)),""))</f>
        <v/>
      </c>
      <c r="AD988" s="30" t="str">
        <f>IF(AE988="","",IFERROR(INDEX($AL$11:$AL$4010,MATCH(978,$AZ$11:$AZ$4010,0)),""))</f>
        <v/>
      </c>
      <c r="AE988" s="26" t="str">
        <f>IFERROR(INDEX($AM$11:$AM$4010,MATCH(978,$AZ$11:$AZ$4010,0)),"")</f>
        <v/>
      </c>
      <c r="AF988" s="25" t="str">
        <f>IF(AE988="","",IFERROR(INDEX($AN$11:$AN$4010,MATCH(978,$AZ$11:$AZ$4010,0)),""))</f>
        <v/>
      </c>
      <c r="AG988" s="25" t="str">
        <f>IF(AE988="","",IFERROR(INDEX($AO$11:$AO$4010,MATCH(978,$AZ$11:$AZ$4010,0)),""))</f>
        <v/>
      </c>
      <c r="AH988" s="24" t="str">
        <f>IF(AE988="","",IFERROR(INDEX($AQ$11:$AQ$4010,MATCH(978,$AZ$11:$AZ$4010,0)),""))</f>
        <v/>
      </c>
      <c r="AI988" s="29" t="str">
        <f>IF(AE988="","",IFERROR(INDEX($AR$11:$AR$4010,MATCH(978,$AZ$11:$AZ$4010,0)),""))</f>
        <v/>
      </c>
      <c r="AJ988" s="29" t="str">
        <f>IF(AE988="","",IFERROR(INDEX($AT$11:$AT$4010,MATCH(978,$AZ$11:$AZ$4010,0)),""))</f>
        <v/>
      </c>
      <c r="AL988" s="31"/>
      <c r="AM988" s="26"/>
      <c r="AN988" s="32"/>
      <c r="AO988" s="32"/>
      <c r="AP988" s="24"/>
      <c r="AQ988" s="24"/>
      <c r="AR988" s="33"/>
      <c r="AS988" s="34"/>
      <c r="AT988" s="33"/>
      <c r="AV988" s="21">
        <f>IF(AND($AL988&lt;&gt;"",COUNTIF($AL$11:$AL988,$AL988)=1),1,0)</f>
        <v>0</v>
      </c>
      <c r="AW988" s="21">
        <f t="shared" si="117"/>
        <v>0</v>
      </c>
      <c r="AX988" s="21" t="str">
        <f t="shared" si="116"/>
        <v/>
      </c>
      <c r="AY988" s="21" t="str">
        <f>IF(AND($AM988&lt;&gt;"",$AS988&lt;&gt;"✓"),SUMPRODUCT(($AM$11:$AM988&lt;&gt;"")*($AS$11:$AS988&lt;&gt;"✓")),"")</f>
        <v/>
      </c>
      <c r="AZ988" s="21" t="str">
        <f>IF(AND($AM988&lt;&gt;"",$AS988="✓"),SUMPRODUCT(($AM$11:$AM988&lt;&gt;"")*($AS$11:$AS988="✓")),"")</f>
        <v/>
      </c>
      <c r="BA988" s="21" t="str">
        <f>IF($AL988="","",$AL988&amp;"|"&amp;COUNTIF($AL$11:$AL988,$AL988))</f>
        <v/>
      </c>
    </row>
    <row r="989" spans="23:53" ht="15" customHeight="1" x14ac:dyDescent="0.25">
      <c r="W989" s="14" t="str">
        <f>IF(X989="","",IFERROR(INDEX($AL$11:$AL$4010,MATCH(979,$AY$11:$AY$4010,0)),""))</f>
        <v/>
      </c>
      <c r="X989" s="12" t="str">
        <f>IFERROR(INDEX($AM$11:$AM$4010,MATCH(979,$AY$11:$AY$4010,0)),"")</f>
        <v/>
      </c>
      <c r="Y989" s="11" t="str">
        <f>IF(X989="","",IFERROR(INDEX($AN$11:$AN$4010,MATCH(979,$AY$11:$AY$4010,0)),""))</f>
        <v/>
      </c>
      <c r="Z989" s="11" t="str">
        <f>IF(X989="","",IFERROR(INDEX($AO$11:$AO$4010,MATCH(979,$AY$11:$AY$4010,0)),""))</f>
        <v/>
      </c>
      <c r="AA989" s="10" t="str">
        <f>IF(X989="","",IFERROR(INDEX($AQ$11:$AQ$4010,MATCH(979,$AY$11:$AY$4010,0)),""))</f>
        <v/>
      </c>
      <c r="AB989" s="15" t="str">
        <f>IF(X989="","",IFERROR(INDEX($AR$11:$AR$4010,MATCH(979,$AY$11:$AY$4010,0)),""))</f>
        <v/>
      </c>
      <c r="AD989" s="16" t="str">
        <f>IF(AE989="","",IFERROR(INDEX($AL$11:$AL$4010,MATCH(979,$AZ$11:$AZ$4010,0)),""))</f>
        <v/>
      </c>
      <c r="AE989" s="12" t="str">
        <f>IFERROR(INDEX($AM$11:$AM$4010,MATCH(979,$AZ$11:$AZ$4010,0)),"")</f>
        <v/>
      </c>
      <c r="AF989" s="11" t="str">
        <f>IF(AE989="","",IFERROR(INDEX($AN$11:$AN$4010,MATCH(979,$AZ$11:$AZ$4010,0)),""))</f>
        <v/>
      </c>
      <c r="AG989" s="11" t="str">
        <f>IF(AE989="","",IFERROR(INDEX($AO$11:$AO$4010,MATCH(979,$AZ$11:$AZ$4010,0)),""))</f>
        <v/>
      </c>
      <c r="AH989" s="10" t="str">
        <f>IF(AE989="","",IFERROR(INDEX($AQ$11:$AQ$4010,MATCH(979,$AZ$11:$AZ$4010,0)),""))</f>
        <v/>
      </c>
      <c r="AI989" s="15" t="str">
        <f>IF(AE989="","",IFERROR(INDEX($AR$11:$AR$4010,MATCH(979,$AZ$11:$AZ$4010,0)),""))</f>
        <v/>
      </c>
      <c r="AJ989" s="15" t="str">
        <f>IF(AE989="","",IFERROR(INDEX($AT$11:$AT$4010,MATCH(979,$AZ$11:$AZ$4010,0)),""))</f>
        <v/>
      </c>
      <c r="AL989" s="17"/>
      <c r="AM989" s="12"/>
      <c r="AN989" s="18"/>
      <c r="AO989" s="18"/>
      <c r="AP989" s="10"/>
      <c r="AQ989" s="10"/>
      <c r="AR989" s="19"/>
      <c r="AS989" s="20"/>
      <c r="AT989" s="19"/>
      <c r="AV989" s="21">
        <f>IF(AND($AL989&lt;&gt;"",COUNTIF($AL$11:$AL989,$AL989)=1),1,0)</f>
        <v>0</v>
      </c>
      <c r="AW989" s="21">
        <f t="shared" si="117"/>
        <v>0</v>
      </c>
      <c r="AX989" s="21" t="str">
        <f t="shared" si="116"/>
        <v/>
      </c>
      <c r="AY989" s="21" t="str">
        <f>IF(AND($AM989&lt;&gt;"",$AS989&lt;&gt;"✓"),SUMPRODUCT(($AM$11:$AM989&lt;&gt;"")*($AS$11:$AS989&lt;&gt;"✓")),"")</f>
        <v/>
      </c>
      <c r="AZ989" s="21" t="str">
        <f>IF(AND($AM989&lt;&gt;"",$AS989="✓"),SUMPRODUCT(($AM$11:$AM989&lt;&gt;"")*($AS$11:$AS989="✓")),"")</f>
        <v/>
      </c>
      <c r="BA989" s="21" t="str">
        <f>IF($AL989="","",$AL989&amp;"|"&amp;COUNTIF($AL$11:$AL989,$AL989))</f>
        <v/>
      </c>
    </row>
    <row r="990" spans="23:53" ht="15" customHeight="1" x14ac:dyDescent="0.25">
      <c r="W990" s="28" t="str">
        <f>IF(X990="","",IFERROR(INDEX($AL$11:$AL$4010,MATCH(980,$AY$11:$AY$4010,0)),""))</f>
        <v/>
      </c>
      <c r="X990" s="26" t="str">
        <f>IFERROR(INDEX($AM$11:$AM$4010,MATCH(980,$AY$11:$AY$4010,0)),"")</f>
        <v/>
      </c>
      <c r="Y990" s="25" t="str">
        <f>IF(X990="","",IFERROR(INDEX($AN$11:$AN$4010,MATCH(980,$AY$11:$AY$4010,0)),""))</f>
        <v/>
      </c>
      <c r="Z990" s="25" t="str">
        <f>IF(X990="","",IFERROR(INDEX($AO$11:$AO$4010,MATCH(980,$AY$11:$AY$4010,0)),""))</f>
        <v/>
      </c>
      <c r="AA990" s="24" t="str">
        <f>IF(X990="","",IFERROR(INDEX($AQ$11:$AQ$4010,MATCH(980,$AY$11:$AY$4010,0)),""))</f>
        <v/>
      </c>
      <c r="AB990" s="29" t="str">
        <f>IF(X990="","",IFERROR(INDEX($AR$11:$AR$4010,MATCH(980,$AY$11:$AY$4010,0)),""))</f>
        <v/>
      </c>
      <c r="AD990" s="30" t="str">
        <f>IF(AE990="","",IFERROR(INDEX($AL$11:$AL$4010,MATCH(980,$AZ$11:$AZ$4010,0)),""))</f>
        <v/>
      </c>
      <c r="AE990" s="26" t="str">
        <f>IFERROR(INDEX($AM$11:$AM$4010,MATCH(980,$AZ$11:$AZ$4010,0)),"")</f>
        <v/>
      </c>
      <c r="AF990" s="25" t="str">
        <f>IF(AE990="","",IFERROR(INDEX($AN$11:$AN$4010,MATCH(980,$AZ$11:$AZ$4010,0)),""))</f>
        <v/>
      </c>
      <c r="AG990" s="25" t="str">
        <f>IF(AE990="","",IFERROR(INDEX($AO$11:$AO$4010,MATCH(980,$AZ$11:$AZ$4010,0)),""))</f>
        <v/>
      </c>
      <c r="AH990" s="24" t="str">
        <f>IF(AE990="","",IFERROR(INDEX($AQ$11:$AQ$4010,MATCH(980,$AZ$11:$AZ$4010,0)),""))</f>
        <v/>
      </c>
      <c r="AI990" s="29" t="str">
        <f>IF(AE990="","",IFERROR(INDEX($AR$11:$AR$4010,MATCH(980,$AZ$11:$AZ$4010,0)),""))</f>
        <v/>
      </c>
      <c r="AJ990" s="29" t="str">
        <f>IF(AE990="","",IFERROR(INDEX($AT$11:$AT$4010,MATCH(980,$AZ$11:$AZ$4010,0)),""))</f>
        <v/>
      </c>
      <c r="AL990" s="31"/>
      <c r="AM990" s="26"/>
      <c r="AN990" s="32"/>
      <c r="AO990" s="32"/>
      <c r="AP990" s="24"/>
      <c r="AQ990" s="24"/>
      <c r="AR990" s="33"/>
      <c r="AS990" s="34"/>
      <c r="AT990" s="33"/>
      <c r="AV990" s="21">
        <f>IF(AND($AL990&lt;&gt;"",COUNTIF($AL$11:$AL990,$AL990)=1),1,0)</f>
        <v>0</v>
      </c>
      <c r="AW990" s="21">
        <f t="shared" si="117"/>
        <v>0</v>
      </c>
      <c r="AX990" s="21" t="str">
        <f t="shared" si="116"/>
        <v/>
      </c>
      <c r="AY990" s="21" t="str">
        <f>IF(AND($AM990&lt;&gt;"",$AS990&lt;&gt;"✓"),SUMPRODUCT(($AM$11:$AM990&lt;&gt;"")*($AS$11:$AS990&lt;&gt;"✓")),"")</f>
        <v/>
      </c>
      <c r="AZ990" s="21" t="str">
        <f>IF(AND($AM990&lt;&gt;"",$AS990="✓"),SUMPRODUCT(($AM$11:$AM990&lt;&gt;"")*($AS$11:$AS990="✓")),"")</f>
        <v/>
      </c>
      <c r="BA990" s="21" t="str">
        <f>IF($AL990="","",$AL990&amp;"|"&amp;COUNTIF($AL$11:$AL990,$AL990))</f>
        <v/>
      </c>
    </row>
    <row r="991" spans="23:53" ht="15" customHeight="1" x14ac:dyDescent="0.25">
      <c r="W991" s="14" t="str">
        <f>IF(X991="","",IFERROR(INDEX($AL$11:$AL$4010,MATCH(981,$AY$11:$AY$4010,0)),""))</f>
        <v/>
      </c>
      <c r="X991" s="12" t="str">
        <f>IFERROR(INDEX($AM$11:$AM$4010,MATCH(981,$AY$11:$AY$4010,0)),"")</f>
        <v/>
      </c>
      <c r="Y991" s="11" t="str">
        <f>IF(X991="","",IFERROR(INDEX($AN$11:$AN$4010,MATCH(981,$AY$11:$AY$4010,0)),""))</f>
        <v/>
      </c>
      <c r="Z991" s="11" t="str">
        <f>IF(X991="","",IFERROR(INDEX($AO$11:$AO$4010,MATCH(981,$AY$11:$AY$4010,0)),""))</f>
        <v/>
      </c>
      <c r="AA991" s="10" t="str">
        <f>IF(X991="","",IFERROR(INDEX($AQ$11:$AQ$4010,MATCH(981,$AY$11:$AY$4010,0)),""))</f>
        <v/>
      </c>
      <c r="AB991" s="15" t="str">
        <f>IF(X991="","",IFERROR(INDEX($AR$11:$AR$4010,MATCH(981,$AY$11:$AY$4010,0)),""))</f>
        <v/>
      </c>
      <c r="AD991" s="16" t="str">
        <f>IF(AE991="","",IFERROR(INDEX($AL$11:$AL$4010,MATCH(981,$AZ$11:$AZ$4010,0)),""))</f>
        <v/>
      </c>
      <c r="AE991" s="12" t="str">
        <f>IFERROR(INDEX($AM$11:$AM$4010,MATCH(981,$AZ$11:$AZ$4010,0)),"")</f>
        <v/>
      </c>
      <c r="AF991" s="11" t="str">
        <f>IF(AE991="","",IFERROR(INDEX($AN$11:$AN$4010,MATCH(981,$AZ$11:$AZ$4010,0)),""))</f>
        <v/>
      </c>
      <c r="AG991" s="11" t="str">
        <f>IF(AE991="","",IFERROR(INDEX($AO$11:$AO$4010,MATCH(981,$AZ$11:$AZ$4010,0)),""))</f>
        <v/>
      </c>
      <c r="AH991" s="10" t="str">
        <f>IF(AE991="","",IFERROR(INDEX($AQ$11:$AQ$4010,MATCH(981,$AZ$11:$AZ$4010,0)),""))</f>
        <v/>
      </c>
      <c r="AI991" s="15" t="str">
        <f>IF(AE991="","",IFERROR(INDEX($AR$11:$AR$4010,MATCH(981,$AZ$11:$AZ$4010,0)),""))</f>
        <v/>
      </c>
      <c r="AJ991" s="15" t="str">
        <f>IF(AE991="","",IFERROR(INDEX($AT$11:$AT$4010,MATCH(981,$AZ$11:$AZ$4010,0)),""))</f>
        <v/>
      </c>
      <c r="AL991" s="17"/>
      <c r="AM991" s="12"/>
      <c r="AN991" s="18"/>
      <c r="AO991" s="18"/>
      <c r="AP991" s="10"/>
      <c r="AQ991" s="10"/>
      <c r="AR991" s="19"/>
      <c r="AS991" s="20"/>
      <c r="AT991" s="19"/>
      <c r="AV991" s="21">
        <f>IF(AND($AL991&lt;&gt;"",COUNTIF($AL$11:$AL991,$AL991)=1),1,0)</f>
        <v>0</v>
      </c>
      <c r="AW991" s="21">
        <f t="shared" si="117"/>
        <v>0</v>
      </c>
      <c r="AX991" s="21" t="str">
        <f t="shared" si="116"/>
        <v/>
      </c>
      <c r="AY991" s="21" t="str">
        <f>IF(AND($AM991&lt;&gt;"",$AS991&lt;&gt;"✓"),SUMPRODUCT(($AM$11:$AM991&lt;&gt;"")*($AS$11:$AS991&lt;&gt;"✓")),"")</f>
        <v/>
      </c>
      <c r="AZ991" s="21" t="str">
        <f>IF(AND($AM991&lt;&gt;"",$AS991="✓"),SUMPRODUCT(($AM$11:$AM991&lt;&gt;"")*($AS$11:$AS991="✓")),"")</f>
        <v/>
      </c>
      <c r="BA991" s="21" t="str">
        <f>IF($AL991="","",$AL991&amp;"|"&amp;COUNTIF($AL$11:$AL991,$AL991))</f>
        <v/>
      </c>
    </row>
    <row r="992" spans="23:53" ht="15" customHeight="1" x14ac:dyDescent="0.25">
      <c r="W992" s="28" t="str">
        <f>IF(X992="","",IFERROR(INDEX($AL$11:$AL$4010,MATCH(982,$AY$11:$AY$4010,0)),""))</f>
        <v/>
      </c>
      <c r="X992" s="26" t="str">
        <f>IFERROR(INDEX($AM$11:$AM$4010,MATCH(982,$AY$11:$AY$4010,0)),"")</f>
        <v/>
      </c>
      <c r="Y992" s="25" t="str">
        <f>IF(X992="","",IFERROR(INDEX($AN$11:$AN$4010,MATCH(982,$AY$11:$AY$4010,0)),""))</f>
        <v/>
      </c>
      <c r="Z992" s="25" t="str">
        <f>IF(X992="","",IFERROR(INDEX($AO$11:$AO$4010,MATCH(982,$AY$11:$AY$4010,0)),""))</f>
        <v/>
      </c>
      <c r="AA992" s="24" t="str">
        <f>IF(X992="","",IFERROR(INDEX($AQ$11:$AQ$4010,MATCH(982,$AY$11:$AY$4010,0)),""))</f>
        <v/>
      </c>
      <c r="AB992" s="29" t="str">
        <f>IF(X992="","",IFERROR(INDEX($AR$11:$AR$4010,MATCH(982,$AY$11:$AY$4010,0)),""))</f>
        <v/>
      </c>
      <c r="AD992" s="30" t="str">
        <f>IF(AE992="","",IFERROR(INDEX($AL$11:$AL$4010,MATCH(982,$AZ$11:$AZ$4010,0)),""))</f>
        <v/>
      </c>
      <c r="AE992" s="26" t="str">
        <f>IFERROR(INDEX($AM$11:$AM$4010,MATCH(982,$AZ$11:$AZ$4010,0)),"")</f>
        <v/>
      </c>
      <c r="AF992" s="25" t="str">
        <f>IF(AE992="","",IFERROR(INDEX($AN$11:$AN$4010,MATCH(982,$AZ$11:$AZ$4010,0)),""))</f>
        <v/>
      </c>
      <c r="AG992" s="25" t="str">
        <f>IF(AE992="","",IFERROR(INDEX($AO$11:$AO$4010,MATCH(982,$AZ$11:$AZ$4010,0)),""))</f>
        <v/>
      </c>
      <c r="AH992" s="24" t="str">
        <f>IF(AE992="","",IFERROR(INDEX($AQ$11:$AQ$4010,MATCH(982,$AZ$11:$AZ$4010,0)),""))</f>
        <v/>
      </c>
      <c r="AI992" s="29" t="str">
        <f>IF(AE992="","",IFERROR(INDEX($AR$11:$AR$4010,MATCH(982,$AZ$11:$AZ$4010,0)),""))</f>
        <v/>
      </c>
      <c r="AJ992" s="29" t="str">
        <f>IF(AE992="","",IFERROR(INDEX($AT$11:$AT$4010,MATCH(982,$AZ$11:$AZ$4010,0)),""))</f>
        <v/>
      </c>
      <c r="AL992" s="31"/>
      <c r="AM992" s="26"/>
      <c r="AN992" s="32"/>
      <c r="AO992" s="32"/>
      <c r="AP992" s="24"/>
      <c r="AQ992" s="24"/>
      <c r="AR992" s="33"/>
      <c r="AS992" s="34"/>
      <c r="AT992" s="33"/>
      <c r="AV992" s="21">
        <f>IF(AND($AL992&lt;&gt;"",COUNTIF($AL$11:$AL992,$AL992)=1),1,0)</f>
        <v>0</v>
      </c>
      <c r="AW992" s="21">
        <f t="shared" si="117"/>
        <v>0</v>
      </c>
      <c r="AX992" s="21" t="str">
        <f t="shared" si="116"/>
        <v/>
      </c>
      <c r="AY992" s="21" t="str">
        <f>IF(AND($AM992&lt;&gt;"",$AS992&lt;&gt;"✓"),SUMPRODUCT(($AM$11:$AM992&lt;&gt;"")*($AS$11:$AS992&lt;&gt;"✓")),"")</f>
        <v/>
      </c>
      <c r="AZ992" s="21" t="str">
        <f>IF(AND($AM992&lt;&gt;"",$AS992="✓"),SUMPRODUCT(($AM$11:$AM992&lt;&gt;"")*($AS$11:$AS992="✓")),"")</f>
        <v/>
      </c>
      <c r="BA992" s="21" t="str">
        <f>IF($AL992="","",$AL992&amp;"|"&amp;COUNTIF($AL$11:$AL992,$AL992))</f>
        <v/>
      </c>
    </row>
    <row r="993" spans="23:53" ht="15" customHeight="1" x14ac:dyDescent="0.25">
      <c r="W993" s="14" t="str">
        <f>IF(X993="","",IFERROR(INDEX($AL$11:$AL$4010,MATCH(983,$AY$11:$AY$4010,0)),""))</f>
        <v/>
      </c>
      <c r="X993" s="12" t="str">
        <f>IFERROR(INDEX($AM$11:$AM$4010,MATCH(983,$AY$11:$AY$4010,0)),"")</f>
        <v/>
      </c>
      <c r="Y993" s="11" t="str">
        <f>IF(X993="","",IFERROR(INDEX($AN$11:$AN$4010,MATCH(983,$AY$11:$AY$4010,0)),""))</f>
        <v/>
      </c>
      <c r="Z993" s="11" t="str">
        <f>IF(X993="","",IFERROR(INDEX($AO$11:$AO$4010,MATCH(983,$AY$11:$AY$4010,0)),""))</f>
        <v/>
      </c>
      <c r="AA993" s="10" t="str">
        <f>IF(X993="","",IFERROR(INDEX($AQ$11:$AQ$4010,MATCH(983,$AY$11:$AY$4010,0)),""))</f>
        <v/>
      </c>
      <c r="AB993" s="15" t="str">
        <f>IF(X993="","",IFERROR(INDEX($AR$11:$AR$4010,MATCH(983,$AY$11:$AY$4010,0)),""))</f>
        <v/>
      </c>
      <c r="AD993" s="16" t="str">
        <f>IF(AE993="","",IFERROR(INDEX($AL$11:$AL$4010,MATCH(983,$AZ$11:$AZ$4010,0)),""))</f>
        <v/>
      </c>
      <c r="AE993" s="12" t="str">
        <f>IFERROR(INDEX($AM$11:$AM$4010,MATCH(983,$AZ$11:$AZ$4010,0)),"")</f>
        <v/>
      </c>
      <c r="AF993" s="11" t="str">
        <f>IF(AE993="","",IFERROR(INDEX($AN$11:$AN$4010,MATCH(983,$AZ$11:$AZ$4010,0)),""))</f>
        <v/>
      </c>
      <c r="AG993" s="11" t="str">
        <f>IF(AE993="","",IFERROR(INDEX($AO$11:$AO$4010,MATCH(983,$AZ$11:$AZ$4010,0)),""))</f>
        <v/>
      </c>
      <c r="AH993" s="10" t="str">
        <f>IF(AE993="","",IFERROR(INDEX($AQ$11:$AQ$4010,MATCH(983,$AZ$11:$AZ$4010,0)),""))</f>
        <v/>
      </c>
      <c r="AI993" s="15" t="str">
        <f>IF(AE993="","",IFERROR(INDEX($AR$11:$AR$4010,MATCH(983,$AZ$11:$AZ$4010,0)),""))</f>
        <v/>
      </c>
      <c r="AJ993" s="15" t="str">
        <f>IF(AE993="","",IFERROR(INDEX($AT$11:$AT$4010,MATCH(983,$AZ$11:$AZ$4010,0)),""))</f>
        <v/>
      </c>
      <c r="AL993" s="17"/>
      <c r="AM993" s="12"/>
      <c r="AN993" s="18"/>
      <c r="AO993" s="18"/>
      <c r="AP993" s="10"/>
      <c r="AQ993" s="10"/>
      <c r="AR993" s="19"/>
      <c r="AS993" s="20"/>
      <c r="AT993" s="19"/>
      <c r="AV993" s="21">
        <f>IF(AND($AL993&lt;&gt;"",COUNTIF($AL$11:$AL993,$AL993)=1),1,0)</f>
        <v>0</v>
      </c>
      <c r="AW993" s="21">
        <f t="shared" si="117"/>
        <v>0</v>
      </c>
      <c r="AX993" s="21" t="str">
        <f t="shared" si="116"/>
        <v/>
      </c>
      <c r="AY993" s="21" t="str">
        <f>IF(AND($AM993&lt;&gt;"",$AS993&lt;&gt;"✓"),SUMPRODUCT(($AM$11:$AM993&lt;&gt;"")*($AS$11:$AS993&lt;&gt;"✓")),"")</f>
        <v/>
      </c>
      <c r="AZ993" s="21" t="str">
        <f>IF(AND($AM993&lt;&gt;"",$AS993="✓"),SUMPRODUCT(($AM$11:$AM993&lt;&gt;"")*($AS$11:$AS993="✓")),"")</f>
        <v/>
      </c>
      <c r="BA993" s="21" t="str">
        <f>IF($AL993="","",$AL993&amp;"|"&amp;COUNTIF($AL$11:$AL993,$AL993))</f>
        <v/>
      </c>
    </row>
    <row r="994" spans="23:53" ht="15" customHeight="1" x14ac:dyDescent="0.25">
      <c r="W994" s="28" t="str">
        <f>IF(X994="","",IFERROR(INDEX($AL$11:$AL$4010,MATCH(984,$AY$11:$AY$4010,0)),""))</f>
        <v/>
      </c>
      <c r="X994" s="26" t="str">
        <f>IFERROR(INDEX($AM$11:$AM$4010,MATCH(984,$AY$11:$AY$4010,0)),"")</f>
        <v/>
      </c>
      <c r="Y994" s="25" t="str">
        <f>IF(X994="","",IFERROR(INDEX($AN$11:$AN$4010,MATCH(984,$AY$11:$AY$4010,0)),""))</f>
        <v/>
      </c>
      <c r="Z994" s="25" t="str">
        <f>IF(X994="","",IFERROR(INDEX($AO$11:$AO$4010,MATCH(984,$AY$11:$AY$4010,0)),""))</f>
        <v/>
      </c>
      <c r="AA994" s="24" t="str">
        <f>IF(X994="","",IFERROR(INDEX($AQ$11:$AQ$4010,MATCH(984,$AY$11:$AY$4010,0)),""))</f>
        <v/>
      </c>
      <c r="AB994" s="29" t="str">
        <f>IF(X994="","",IFERROR(INDEX($AR$11:$AR$4010,MATCH(984,$AY$11:$AY$4010,0)),""))</f>
        <v/>
      </c>
      <c r="AD994" s="30" t="str">
        <f>IF(AE994="","",IFERROR(INDEX($AL$11:$AL$4010,MATCH(984,$AZ$11:$AZ$4010,0)),""))</f>
        <v/>
      </c>
      <c r="AE994" s="26" t="str">
        <f>IFERROR(INDEX($AM$11:$AM$4010,MATCH(984,$AZ$11:$AZ$4010,0)),"")</f>
        <v/>
      </c>
      <c r="AF994" s="25" t="str">
        <f>IF(AE994="","",IFERROR(INDEX($AN$11:$AN$4010,MATCH(984,$AZ$11:$AZ$4010,0)),""))</f>
        <v/>
      </c>
      <c r="AG994" s="25" t="str">
        <f>IF(AE994="","",IFERROR(INDEX($AO$11:$AO$4010,MATCH(984,$AZ$11:$AZ$4010,0)),""))</f>
        <v/>
      </c>
      <c r="AH994" s="24" t="str">
        <f>IF(AE994="","",IFERROR(INDEX($AQ$11:$AQ$4010,MATCH(984,$AZ$11:$AZ$4010,0)),""))</f>
        <v/>
      </c>
      <c r="AI994" s="29" t="str">
        <f>IF(AE994="","",IFERROR(INDEX($AR$11:$AR$4010,MATCH(984,$AZ$11:$AZ$4010,0)),""))</f>
        <v/>
      </c>
      <c r="AJ994" s="29" t="str">
        <f>IF(AE994="","",IFERROR(INDEX($AT$11:$AT$4010,MATCH(984,$AZ$11:$AZ$4010,0)),""))</f>
        <v/>
      </c>
      <c r="AL994" s="31"/>
      <c r="AM994" s="26"/>
      <c r="AN994" s="32"/>
      <c r="AO994" s="32"/>
      <c r="AP994" s="24"/>
      <c r="AQ994" s="24"/>
      <c r="AR994" s="33"/>
      <c r="AS994" s="34"/>
      <c r="AT994" s="33"/>
      <c r="AV994" s="21">
        <f>IF(AND($AL994&lt;&gt;"",COUNTIF($AL$11:$AL994,$AL994)=1),1,0)</f>
        <v>0</v>
      </c>
      <c r="AW994" s="21">
        <f t="shared" si="117"/>
        <v>0</v>
      </c>
      <c r="AX994" s="21" t="str">
        <f t="shared" si="116"/>
        <v/>
      </c>
      <c r="AY994" s="21" t="str">
        <f>IF(AND($AM994&lt;&gt;"",$AS994&lt;&gt;"✓"),SUMPRODUCT(($AM$11:$AM994&lt;&gt;"")*($AS$11:$AS994&lt;&gt;"✓")),"")</f>
        <v/>
      </c>
      <c r="AZ994" s="21" t="str">
        <f>IF(AND($AM994&lt;&gt;"",$AS994="✓"),SUMPRODUCT(($AM$11:$AM994&lt;&gt;"")*($AS$11:$AS994="✓")),"")</f>
        <v/>
      </c>
      <c r="BA994" s="21" t="str">
        <f>IF($AL994="","",$AL994&amp;"|"&amp;COUNTIF($AL$11:$AL994,$AL994))</f>
        <v/>
      </c>
    </row>
    <row r="995" spans="23:53" ht="15" customHeight="1" x14ac:dyDescent="0.25">
      <c r="W995" s="14" t="str">
        <f>IF(X995="","",IFERROR(INDEX($AL$11:$AL$4010,MATCH(985,$AY$11:$AY$4010,0)),""))</f>
        <v/>
      </c>
      <c r="X995" s="12" t="str">
        <f>IFERROR(INDEX($AM$11:$AM$4010,MATCH(985,$AY$11:$AY$4010,0)),"")</f>
        <v/>
      </c>
      <c r="Y995" s="11" t="str">
        <f>IF(X995="","",IFERROR(INDEX($AN$11:$AN$4010,MATCH(985,$AY$11:$AY$4010,0)),""))</f>
        <v/>
      </c>
      <c r="Z995" s="11" t="str">
        <f>IF(X995="","",IFERROR(INDEX($AO$11:$AO$4010,MATCH(985,$AY$11:$AY$4010,0)),""))</f>
        <v/>
      </c>
      <c r="AA995" s="10" t="str">
        <f>IF(X995="","",IFERROR(INDEX($AQ$11:$AQ$4010,MATCH(985,$AY$11:$AY$4010,0)),""))</f>
        <v/>
      </c>
      <c r="AB995" s="15" t="str">
        <f>IF(X995="","",IFERROR(INDEX($AR$11:$AR$4010,MATCH(985,$AY$11:$AY$4010,0)),""))</f>
        <v/>
      </c>
      <c r="AD995" s="16" t="str">
        <f>IF(AE995="","",IFERROR(INDEX($AL$11:$AL$4010,MATCH(985,$AZ$11:$AZ$4010,0)),""))</f>
        <v/>
      </c>
      <c r="AE995" s="12" t="str">
        <f>IFERROR(INDEX($AM$11:$AM$4010,MATCH(985,$AZ$11:$AZ$4010,0)),"")</f>
        <v/>
      </c>
      <c r="AF995" s="11" t="str">
        <f>IF(AE995="","",IFERROR(INDEX($AN$11:$AN$4010,MATCH(985,$AZ$11:$AZ$4010,0)),""))</f>
        <v/>
      </c>
      <c r="AG995" s="11" t="str">
        <f>IF(AE995="","",IFERROR(INDEX($AO$11:$AO$4010,MATCH(985,$AZ$11:$AZ$4010,0)),""))</f>
        <v/>
      </c>
      <c r="AH995" s="10" t="str">
        <f>IF(AE995="","",IFERROR(INDEX($AQ$11:$AQ$4010,MATCH(985,$AZ$11:$AZ$4010,0)),""))</f>
        <v/>
      </c>
      <c r="AI995" s="15" t="str">
        <f>IF(AE995="","",IFERROR(INDEX($AR$11:$AR$4010,MATCH(985,$AZ$11:$AZ$4010,0)),""))</f>
        <v/>
      </c>
      <c r="AJ995" s="15" t="str">
        <f>IF(AE995="","",IFERROR(INDEX($AT$11:$AT$4010,MATCH(985,$AZ$11:$AZ$4010,0)),""))</f>
        <v/>
      </c>
      <c r="AL995" s="17"/>
      <c r="AM995" s="12"/>
      <c r="AN995" s="18"/>
      <c r="AO995" s="18"/>
      <c r="AP995" s="10"/>
      <c r="AQ995" s="10"/>
      <c r="AR995" s="19"/>
      <c r="AS995" s="20"/>
      <c r="AT995" s="19"/>
      <c r="AV995" s="21">
        <f>IF(AND($AL995&lt;&gt;"",COUNTIF($AL$11:$AL995,$AL995)=1),1,0)</f>
        <v>0</v>
      </c>
      <c r="AW995" s="21">
        <f t="shared" si="117"/>
        <v>0</v>
      </c>
      <c r="AX995" s="21" t="str">
        <f t="shared" si="116"/>
        <v/>
      </c>
      <c r="AY995" s="21" t="str">
        <f>IF(AND($AM995&lt;&gt;"",$AS995&lt;&gt;"✓"),SUMPRODUCT(($AM$11:$AM995&lt;&gt;"")*($AS$11:$AS995&lt;&gt;"✓")),"")</f>
        <v/>
      </c>
      <c r="AZ995" s="21" t="str">
        <f>IF(AND($AM995&lt;&gt;"",$AS995="✓"),SUMPRODUCT(($AM$11:$AM995&lt;&gt;"")*($AS$11:$AS995="✓")),"")</f>
        <v/>
      </c>
      <c r="BA995" s="21" t="str">
        <f>IF($AL995="","",$AL995&amp;"|"&amp;COUNTIF($AL$11:$AL995,$AL995))</f>
        <v/>
      </c>
    </row>
    <row r="996" spans="23:53" ht="15" customHeight="1" x14ac:dyDescent="0.25">
      <c r="W996" s="28" t="str">
        <f>IF(X996="","",IFERROR(INDEX($AL$11:$AL$4010,MATCH(986,$AY$11:$AY$4010,0)),""))</f>
        <v/>
      </c>
      <c r="X996" s="26" t="str">
        <f>IFERROR(INDEX($AM$11:$AM$4010,MATCH(986,$AY$11:$AY$4010,0)),"")</f>
        <v/>
      </c>
      <c r="Y996" s="25" t="str">
        <f>IF(X996="","",IFERROR(INDEX($AN$11:$AN$4010,MATCH(986,$AY$11:$AY$4010,0)),""))</f>
        <v/>
      </c>
      <c r="Z996" s="25" t="str">
        <f>IF(X996="","",IFERROR(INDEX($AO$11:$AO$4010,MATCH(986,$AY$11:$AY$4010,0)),""))</f>
        <v/>
      </c>
      <c r="AA996" s="24" t="str">
        <f>IF(X996="","",IFERROR(INDEX($AQ$11:$AQ$4010,MATCH(986,$AY$11:$AY$4010,0)),""))</f>
        <v/>
      </c>
      <c r="AB996" s="29" t="str">
        <f>IF(X996="","",IFERROR(INDEX($AR$11:$AR$4010,MATCH(986,$AY$11:$AY$4010,0)),""))</f>
        <v/>
      </c>
      <c r="AD996" s="30" t="str">
        <f>IF(AE996="","",IFERROR(INDEX($AL$11:$AL$4010,MATCH(986,$AZ$11:$AZ$4010,0)),""))</f>
        <v/>
      </c>
      <c r="AE996" s="26" t="str">
        <f>IFERROR(INDEX($AM$11:$AM$4010,MATCH(986,$AZ$11:$AZ$4010,0)),"")</f>
        <v/>
      </c>
      <c r="AF996" s="25" t="str">
        <f>IF(AE996="","",IFERROR(INDEX($AN$11:$AN$4010,MATCH(986,$AZ$11:$AZ$4010,0)),""))</f>
        <v/>
      </c>
      <c r="AG996" s="25" t="str">
        <f>IF(AE996="","",IFERROR(INDEX($AO$11:$AO$4010,MATCH(986,$AZ$11:$AZ$4010,0)),""))</f>
        <v/>
      </c>
      <c r="AH996" s="24" t="str">
        <f>IF(AE996="","",IFERROR(INDEX($AQ$11:$AQ$4010,MATCH(986,$AZ$11:$AZ$4010,0)),""))</f>
        <v/>
      </c>
      <c r="AI996" s="29" t="str">
        <f>IF(AE996="","",IFERROR(INDEX($AR$11:$AR$4010,MATCH(986,$AZ$11:$AZ$4010,0)),""))</f>
        <v/>
      </c>
      <c r="AJ996" s="29" t="str">
        <f>IF(AE996="","",IFERROR(INDEX($AT$11:$AT$4010,MATCH(986,$AZ$11:$AZ$4010,0)),""))</f>
        <v/>
      </c>
      <c r="AL996" s="31"/>
      <c r="AM996" s="26"/>
      <c r="AN996" s="32"/>
      <c r="AO996" s="32"/>
      <c r="AP996" s="24"/>
      <c r="AQ996" s="24"/>
      <c r="AR996" s="33"/>
      <c r="AS996" s="34"/>
      <c r="AT996" s="33"/>
      <c r="AV996" s="21">
        <f>IF(AND($AL996&lt;&gt;"",COUNTIF($AL$11:$AL996,$AL996)=1),1,0)</f>
        <v>0</v>
      </c>
      <c r="AW996" s="21">
        <f t="shared" si="117"/>
        <v>0</v>
      </c>
      <c r="AX996" s="21" t="str">
        <f t="shared" si="116"/>
        <v/>
      </c>
      <c r="AY996" s="21" t="str">
        <f>IF(AND($AM996&lt;&gt;"",$AS996&lt;&gt;"✓"),SUMPRODUCT(($AM$11:$AM996&lt;&gt;"")*($AS$11:$AS996&lt;&gt;"✓")),"")</f>
        <v/>
      </c>
      <c r="AZ996" s="21" t="str">
        <f>IF(AND($AM996&lt;&gt;"",$AS996="✓"),SUMPRODUCT(($AM$11:$AM996&lt;&gt;"")*($AS$11:$AS996="✓")),"")</f>
        <v/>
      </c>
      <c r="BA996" s="21" t="str">
        <f>IF($AL996="","",$AL996&amp;"|"&amp;COUNTIF($AL$11:$AL996,$AL996))</f>
        <v/>
      </c>
    </row>
    <row r="997" spans="23:53" ht="15" customHeight="1" x14ac:dyDescent="0.25">
      <c r="W997" s="14" t="str">
        <f>IF(X997="","",IFERROR(INDEX($AL$11:$AL$4010,MATCH(987,$AY$11:$AY$4010,0)),""))</f>
        <v/>
      </c>
      <c r="X997" s="12" t="str">
        <f>IFERROR(INDEX($AM$11:$AM$4010,MATCH(987,$AY$11:$AY$4010,0)),"")</f>
        <v/>
      </c>
      <c r="Y997" s="11" t="str">
        <f>IF(X997="","",IFERROR(INDEX($AN$11:$AN$4010,MATCH(987,$AY$11:$AY$4010,0)),""))</f>
        <v/>
      </c>
      <c r="Z997" s="11" t="str">
        <f>IF(X997="","",IFERROR(INDEX($AO$11:$AO$4010,MATCH(987,$AY$11:$AY$4010,0)),""))</f>
        <v/>
      </c>
      <c r="AA997" s="10" t="str">
        <f>IF(X997="","",IFERROR(INDEX($AQ$11:$AQ$4010,MATCH(987,$AY$11:$AY$4010,0)),""))</f>
        <v/>
      </c>
      <c r="AB997" s="15" t="str">
        <f>IF(X997="","",IFERROR(INDEX($AR$11:$AR$4010,MATCH(987,$AY$11:$AY$4010,0)),""))</f>
        <v/>
      </c>
      <c r="AD997" s="16" t="str">
        <f>IF(AE997="","",IFERROR(INDEX($AL$11:$AL$4010,MATCH(987,$AZ$11:$AZ$4010,0)),""))</f>
        <v/>
      </c>
      <c r="AE997" s="12" t="str">
        <f>IFERROR(INDEX($AM$11:$AM$4010,MATCH(987,$AZ$11:$AZ$4010,0)),"")</f>
        <v/>
      </c>
      <c r="AF997" s="11" t="str">
        <f>IF(AE997="","",IFERROR(INDEX($AN$11:$AN$4010,MATCH(987,$AZ$11:$AZ$4010,0)),""))</f>
        <v/>
      </c>
      <c r="AG997" s="11" t="str">
        <f>IF(AE997="","",IFERROR(INDEX($AO$11:$AO$4010,MATCH(987,$AZ$11:$AZ$4010,0)),""))</f>
        <v/>
      </c>
      <c r="AH997" s="10" t="str">
        <f>IF(AE997="","",IFERROR(INDEX($AQ$11:$AQ$4010,MATCH(987,$AZ$11:$AZ$4010,0)),""))</f>
        <v/>
      </c>
      <c r="AI997" s="15" t="str">
        <f>IF(AE997="","",IFERROR(INDEX($AR$11:$AR$4010,MATCH(987,$AZ$11:$AZ$4010,0)),""))</f>
        <v/>
      </c>
      <c r="AJ997" s="15" t="str">
        <f>IF(AE997="","",IFERROR(INDEX($AT$11:$AT$4010,MATCH(987,$AZ$11:$AZ$4010,0)),""))</f>
        <v/>
      </c>
      <c r="AL997" s="17"/>
      <c r="AM997" s="12"/>
      <c r="AN997" s="18"/>
      <c r="AO997" s="18"/>
      <c r="AP997" s="10"/>
      <c r="AQ997" s="10"/>
      <c r="AR997" s="19"/>
      <c r="AS997" s="20"/>
      <c r="AT997" s="19"/>
      <c r="AV997" s="21">
        <f>IF(AND($AL997&lt;&gt;"",COUNTIF($AL$11:$AL997,$AL997)=1),1,0)</f>
        <v>0</v>
      </c>
      <c r="AW997" s="21">
        <f t="shared" si="117"/>
        <v>0</v>
      </c>
      <c r="AX997" s="21" t="str">
        <f t="shared" si="116"/>
        <v/>
      </c>
      <c r="AY997" s="21" t="str">
        <f>IF(AND($AM997&lt;&gt;"",$AS997&lt;&gt;"✓"),SUMPRODUCT(($AM$11:$AM997&lt;&gt;"")*($AS$11:$AS997&lt;&gt;"✓")),"")</f>
        <v/>
      </c>
      <c r="AZ997" s="21" t="str">
        <f>IF(AND($AM997&lt;&gt;"",$AS997="✓"),SUMPRODUCT(($AM$11:$AM997&lt;&gt;"")*($AS$11:$AS997="✓")),"")</f>
        <v/>
      </c>
      <c r="BA997" s="21" t="str">
        <f>IF($AL997="","",$AL997&amp;"|"&amp;COUNTIF($AL$11:$AL997,$AL997))</f>
        <v/>
      </c>
    </row>
    <row r="998" spans="23:53" ht="15" customHeight="1" x14ac:dyDescent="0.25">
      <c r="W998" s="28" t="str">
        <f>IF(X998="","",IFERROR(INDEX($AL$11:$AL$4010,MATCH(988,$AY$11:$AY$4010,0)),""))</f>
        <v/>
      </c>
      <c r="X998" s="26" t="str">
        <f>IFERROR(INDEX($AM$11:$AM$4010,MATCH(988,$AY$11:$AY$4010,0)),"")</f>
        <v/>
      </c>
      <c r="Y998" s="25" t="str">
        <f>IF(X998="","",IFERROR(INDEX($AN$11:$AN$4010,MATCH(988,$AY$11:$AY$4010,0)),""))</f>
        <v/>
      </c>
      <c r="Z998" s="25" t="str">
        <f>IF(X998="","",IFERROR(INDEX($AO$11:$AO$4010,MATCH(988,$AY$11:$AY$4010,0)),""))</f>
        <v/>
      </c>
      <c r="AA998" s="24" t="str">
        <f>IF(X998="","",IFERROR(INDEX($AQ$11:$AQ$4010,MATCH(988,$AY$11:$AY$4010,0)),""))</f>
        <v/>
      </c>
      <c r="AB998" s="29" t="str">
        <f>IF(X998="","",IFERROR(INDEX($AR$11:$AR$4010,MATCH(988,$AY$11:$AY$4010,0)),""))</f>
        <v/>
      </c>
      <c r="AD998" s="30" t="str">
        <f>IF(AE998="","",IFERROR(INDEX($AL$11:$AL$4010,MATCH(988,$AZ$11:$AZ$4010,0)),""))</f>
        <v/>
      </c>
      <c r="AE998" s="26" t="str">
        <f>IFERROR(INDEX($AM$11:$AM$4010,MATCH(988,$AZ$11:$AZ$4010,0)),"")</f>
        <v/>
      </c>
      <c r="AF998" s="25" t="str">
        <f>IF(AE998="","",IFERROR(INDEX($AN$11:$AN$4010,MATCH(988,$AZ$11:$AZ$4010,0)),""))</f>
        <v/>
      </c>
      <c r="AG998" s="25" t="str">
        <f>IF(AE998="","",IFERROR(INDEX($AO$11:$AO$4010,MATCH(988,$AZ$11:$AZ$4010,0)),""))</f>
        <v/>
      </c>
      <c r="AH998" s="24" t="str">
        <f>IF(AE998="","",IFERROR(INDEX($AQ$11:$AQ$4010,MATCH(988,$AZ$11:$AZ$4010,0)),""))</f>
        <v/>
      </c>
      <c r="AI998" s="29" t="str">
        <f>IF(AE998="","",IFERROR(INDEX($AR$11:$AR$4010,MATCH(988,$AZ$11:$AZ$4010,0)),""))</f>
        <v/>
      </c>
      <c r="AJ998" s="29" t="str">
        <f>IF(AE998="","",IFERROR(INDEX($AT$11:$AT$4010,MATCH(988,$AZ$11:$AZ$4010,0)),""))</f>
        <v/>
      </c>
      <c r="AL998" s="31"/>
      <c r="AM998" s="26"/>
      <c r="AN998" s="32"/>
      <c r="AO998" s="32"/>
      <c r="AP998" s="24"/>
      <c r="AQ998" s="24"/>
      <c r="AR998" s="33"/>
      <c r="AS998" s="34"/>
      <c r="AT998" s="33"/>
      <c r="AV998" s="21">
        <f>IF(AND($AL998&lt;&gt;"",COUNTIF($AL$11:$AL998,$AL998)=1),1,0)</f>
        <v>0</v>
      </c>
      <c r="AW998" s="21">
        <f t="shared" si="117"/>
        <v>0</v>
      </c>
      <c r="AX998" s="21" t="str">
        <f t="shared" si="116"/>
        <v/>
      </c>
      <c r="AY998" s="21" t="str">
        <f>IF(AND($AM998&lt;&gt;"",$AS998&lt;&gt;"✓"),SUMPRODUCT(($AM$11:$AM998&lt;&gt;"")*($AS$11:$AS998&lt;&gt;"✓")),"")</f>
        <v/>
      </c>
      <c r="AZ998" s="21" t="str">
        <f>IF(AND($AM998&lt;&gt;"",$AS998="✓"),SUMPRODUCT(($AM$11:$AM998&lt;&gt;"")*($AS$11:$AS998="✓")),"")</f>
        <v/>
      </c>
      <c r="BA998" s="21" t="str">
        <f>IF($AL998="","",$AL998&amp;"|"&amp;COUNTIF($AL$11:$AL998,$AL998))</f>
        <v/>
      </c>
    </row>
    <row r="999" spans="23:53" ht="15" customHeight="1" x14ac:dyDescent="0.25">
      <c r="W999" s="14" t="str">
        <f>IF(X999="","",IFERROR(INDEX($AL$11:$AL$4010,MATCH(989,$AY$11:$AY$4010,0)),""))</f>
        <v/>
      </c>
      <c r="X999" s="12" t="str">
        <f>IFERROR(INDEX($AM$11:$AM$4010,MATCH(989,$AY$11:$AY$4010,0)),"")</f>
        <v/>
      </c>
      <c r="Y999" s="11" t="str">
        <f>IF(X999="","",IFERROR(INDEX($AN$11:$AN$4010,MATCH(989,$AY$11:$AY$4010,0)),""))</f>
        <v/>
      </c>
      <c r="Z999" s="11" t="str">
        <f>IF(X999="","",IFERROR(INDEX($AO$11:$AO$4010,MATCH(989,$AY$11:$AY$4010,0)),""))</f>
        <v/>
      </c>
      <c r="AA999" s="10" t="str">
        <f>IF(X999="","",IFERROR(INDEX($AQ$11:$AQ$4010,MATCH(989,$AY$11:$AY$4010,0)),""))</f>
        <v/>
      </c>
      <c r="AB999" s="15" t="str">
        <f>IF(X999="","",IFERROR(INDEX($AR$11:$AR$4010,MATCH(989,$AY$11:$AY$4010,0)),""))</f>
        <v/>
      </c>
      <c r="AD999" s="16" t="str">
        <f>IF(AE999="","",IFERROR(INDEX($AL$11:$AL$4010,MATCH(989,$AZ$11:$AZ$4010,0)),""))</f>
        <v/>
      </c>
      <c r="AE999" s="12" t="str">
        <f>IFERROR(INDEX($AM$11:$AM$4010,MATCH(989,$AZ$11:$AZ$4010,0)),"")</f>
        <v/>
      </c>
      <c r="AF999" s="11" t="str">
        <f>IF(AE999="","",IFERROR(INDEX($AN$11:$AN$4010,MATCH(989,$AZ$11:$AZ$4010,0)),""))</f>
        <v/>
      </c>
      <c r="AG999" s="11" t="str">
        <f>IF(AE999="","",IFERROR(INDEX($AO$11:$AO$4010,MATCH(989,$AZ$11:$AZ$4010,0)),""))</f>
        <v/>
      </c>
      <c r="AH999" s="10" t="str">
        <f>IF(AE999="","",IFERROR(INDEX($AQ$11:$AQ$4010,MATCH(989,$AZ$11:$AZ$4010,0)),""))</f>
        <v/>
      </c>
      <c r="AI999" s="15" t="str">
        <f>IF(AE999="","",IFERROR(INDEX($AR$11:$AR$4010,MATCH(989,$AZ$11:$AZ$4010,0)),""))</f>
        <v/>
      </c>
      <c r="AJ999" s="15" t="str">
        <f>IF(AE999="","",IFERROR(INDEX($AT$11:$AT$4010,MATCH(989,$AZ$11:$AZ$4010,0)),""))</f>
        <v/>
      </c>
      <c r="AL999" s="17"/>
      <c r="AM999" s="12"/>
      <c r="AN999" s="18"/>
      <c r="AO999" s="18"/>
      <c r="AP999" s="10"/>
      <c r="AQ999" s="10"/>
      <c r="AR999" s="19"/>
      <c r="AS999" s="20"/>
      <c r="AT999" s="19"/>
      <c r="AV999" s="21">
        <f>IF(AND($AL999&lt;&gt;"",COUNTIF($AL$11:$AL999,$AL999)=1),1,0)</f>
        <v>0</v>
      </c>
      <c r="AW999" s="21">
        <f t="shared" si="117"/>
        <v>0</v>
      </c>
      <c r="AX999" s="21" t="str">
        <f t="shared" si="116"/>
        <v/>
      </c>
      <c r="AY999" s="21" t="str">
        <f>IF(AND($AM999&lt;&gt;"",$AS999&lt;&gt;"✓"),SUMPRODUCT(($AM$11:$AM999&lt;&gt;"")*($AS$11:$AS999&lt;&gt;"✓")),"")</f>
        <v/>
      </c>
      <c r="AZ999" s="21" t="str">
        <f>IF(AND($AM999&lt;&gt;"",$AS999="✓"),SUMPRODUCT(($AM$11:$AM999&lt;&gt;"")*($AS$11:$AS999="✓")),"")</f>
        <v/>
      </c>
      <c r="BA999" s="21" t="str">
        <f>IF($AL999="","",$AL999&amp;"|"&amp;COUNTIF($AL$11:$AL999,$AL999))</f>
        <v/>
      </c>
    </row>
    <row r="1000" spans="23:53" ht="15" customHeight="1" x14ac:dyDescent="0.25">
      <c r="W1000" s="28" t="str">
        <f>IF(X1000="","",IFERROR(INDEX($AL$11:$AL$4010,MATCH(990,$AY$11:$AY$4010,0)),""))</f>
        <v/>
      </c>
      <c r="X1000" s="26" t="str">
        <f>IFERROR(INDEX($AM$11:$AM$4010,MATCH(990,$AY$11:$AY$4010,0)),"")</f>
        <v/>
      </c>
      <c r="Y1000" s="25" t="str">
        <f>IF(X1000="","",IFERROR(INDEX($AN$11:$AN$4010,MATCH(990,$AY$11:$AY$4010,0)),""))</f>
        <v/>
      </c>
      <c r="Z1000" s="25" t="str">
        <f>IF(X1000="","",IFERROR(INDEX($AO$11:$AO$4010,MATCH(990,$AY$11:$AY$4010,0)),""))</f>
        <v/>
      </c>
      <c r="AA1000" s="24" t="str">
        <f>IF(X1000="","",IFERROR(INDEX($AQ$11:$AQ$4010,MATCH(990,$AY$11:$AY$4010,0)),""))</f>
        <v/>
      </c>
      <c r="AB1000" s="29" t="str">
        <f>IF(X1000="","",IFERROR(INDEX($AR$11:$AR$4010,MATCH(990,$AY$11:$AY$4010,0)),""))</f>
        <v/>
      </c>
      <c r="AD1000" s="30" t="str">
        <f>IF(AE1000="","",IFERROR(INDEX($AL$11:$AL$4010,MATCH(990,$AZ$11:$AZ$4010,0)),""))</f>
        <v/>
      </c>
      <c r="AE1000" s="26" t="str">
        <f>IFERROR(INDEX($AM$11:$AM$4010,MATCH(990,$AZ$11:$AZ$4010,0)),"")</f>
        <v/>
      </c>
      <c r="AF1000" s="25" t="str">
        <f>IF(AE1000="","",IFERROR(INDEX($AN$11:$AN$4010,MATCH(990,$AZ$11:$AZ$4010,0)),""))</f>
        <v/>
      </c>
      <c r="AG1000" s="25" t="str">
        <f>IF(AE1000="","",IFERROR(INDEX($AO$11:$AO$4010,MATCH(990,$AZ$11:$AZ$4010,0)),""))</f>
        <v/>
      </c>
      <c r="AH1000" s="24" t="str">
        <f>IF(AE1000="","",IFERROR(INDEX($AQ$11:$AQ$4010,MATCH(990,$AZ$11:$AZ$4010,0)),""))</f>
        <v/>
      </c>
      <c r="AI1000" s="29" t="str">
        <f>IF(AE1000="","",IFERROR(INDEX($AR$11:$AR$4010,MATCH(990,$AZ$11:$AZ$4010,0)),""))</f>
        <v/>
      </c>
      <c r="AJ1000" s="29" t="str">
        <f>IF(AE1000="","",IFERROR(INDEX($AT$11:$AT$4010,MATCH(990,$AZ$11:$AZ$4010,0)),""))</f>
        <v/>
      </c>
      <c r="AL1000" s="31"/>
      <c r="AM1000" s="26"/>
      <c r="AN1000" s="32"/>
      <c r="AO1000" s="32"/>
      <c r="AP1000" s="24"/>
      <c r="AQ1000" s="24"/>
      <c r="AR1000" s="33"/>
      <c r="AS1000" s="34"/>
      <c r="AT1000" s="33"/>
      <c r="AV1000" s="21">
        <f>IF(AND($AL1000&lt;&gt;"",COUNTIF($AL$11:$AL1000,$AL1000)=1),1,0)</f>
        <v>0</v>
      </c>
      <c r="AW1000" s="21">
        <f t="shared" si="117"/>
        <v>0</v>
      </c>
      <c r="AX1000" s="21" t="str">
        <f t="shared" si="116"/>
        <v/>
      </c>
      <c r="AY1000" s="21" t="str">
        <f>IF(AND($AM1000&lt;&gt;"",$AS1000&lt;&gt;"✓"),SUMPRODUCT(($AM$11:$AM1000&lt;&gt;"")*($AS$11:$AS1000&lt;&gt;"✓")),"")</f>
        <v/>
      </c>
      <c r="AZ1000" s="21" t="str">
        <f>IF(AND($AM1000&lt;&gt;"",$AS1000="✓"),SUMPRODUCT(($AM$11:$AM1000&lt;&gt;"")*($AS$11:$AS1000="✓")),"")</f>
        <v/>
      </c>
      <c r="BA1000" s="21" t="str">
        <f>IF($AL1000="","",$AL1000&amp;"|"&amp;COUNTIF($AL$11:$AL1000,$AL1000))</f>
        <v/>
      </c>
    </row>
    <row r="1001" spans="23:53" ht="15" customHeight="1" x14ac:dyDescent="0.25">
      <c r="W1001" s="14" t="str">
        <f>IF(X1001="","",IFERROR(INDEX($AL$11:$AL$4010,MATCH(991,$AY$11:$AY$4010,0)),""))</f>
        <v/>
      </c>
      <c r="X1001" s="12" t="str">
        <f>IFERROR(INDEX($AM$11:$AM$4010,MATCH(991,$AY$11:$AY$4010,0)),"")</f>
        <v/>
      </c>
      <c r="Y1001" s="11" t="str">
        <f>IF(X1001="","",IFERROR(INDEX($AN$11:$AN$4010,MATCH(991,$AY$11:$AY$4010,0)),""))</f>
        <v/>
      </c>
      <c r="Z1001" s="11" t="str">
        <f>IF(X1001="","",IFERROR(INDEX($AO$11:$AO$4010,MATCH(991,$AY$11:$AY$4010,0)),""))</f>
        <v/>
      </c>
      <c r="AA1001" s="10" t="str">
        <f>IF(X1001="","",IFERROR(INDEX($AQ$11:$AQ$4010,MATCH(991,$AY$11:$AY$4010,0)),""))</f>
        <v/>
      </c>
      <c r="AB1001" s="15" t="str">
        <f>IF(X1001="","",IFERROR(INDEX($AR$11:$AR$4010,MATCH(991,$AY$11:$AY$4010,0)),""))</f>
        <v/>
      </c>
      <c r="AD1001" s="16" t="str">
        <f>IF(AE1001="","",IFERROR(INDEX($AL$11:$AL$4010,MATCH(991,$AZ$11:$AZ$4010,0)),""))</f>
        <v/>
      </c>
      <c r="AE1001" s="12" t="str">
        <f>IFERROR(INDEX($AM$11:$AM$4010,MATCH(991,$AZ$11:$AZ$4010,0)),"")</f>
        <v/>
      </c>
      <c r="AF1001" s="11" t="str">
        <f>IF(AE1001="","",IFERROR(INDEX($AN$11:$AN$4010,MATCH(991,$AZ$11:$AZ$4010,0)),""))</f>
        <v/>
      </c>
      <c r="AG1001" s="11" t="str">
        <f>IF(AE1001="","",IFERROR(INDEX($AO$11:$AO$4010,MATCH(991,$AZ$11:$AZ$4010,0)),""))</f>
        <v/>
      </c>
      <c r="AH1001" s="10" t="str">
        <f>IF(AE1001="","",IFERROR(INDEX($AQ$11:$AQ$4010,MATCH(991,$AZ$11:$AZ$4010,0)),""))</f>
        <v/>
      </c>
      <c r="AI1001" s="15" t="str">
        <f>IF(AE1001="","",IFERROR(INDEX($AR$11:$AR$4010,MATCH(991,$AZ$11:$AZ$4010,0)),""))</f>
        <v/>
      </c>
      <c r="AJ1001" s="15" t="str">
        <f>IF(AE1001="","",IFERROR(INDEX($AT$11:$AT$4010,MATCH(991,$AZ$11:$AZ$4010,0)),""))</f>
        <v/>
      </c>
      <c r="AL1001" s="17"/>
      <c r="AM1001" s="12"/>
      <c r="AN1001" s="18"/>
      <c r="AO1001" s="18"/>
      <c r="AP1001" s="10"/>
      <c r="AQ1001" s="10"/>
      <c r="AR1001" s="19"/>
      <c r="AS1001" s="20"/>
      <c r="AT1001" s="19"/>
      <c r="AV1001" s="21">
        <f>IF(AND($AL1001&lt;&gt;"",COUNTIF($AL$11:$AL1001,$AL1001)=1),1,0)</f>
        <v>0</v>
      </c>
      <c r="AW1001" s="21">
        <f t="shared" si="117"/>
        <v>0</v>
      </c>
      <c r="AX1001" s="21" t="str">
        <f t="shared" si="116"/>
        <v/>
      </c>
      <c r="AY1001" s="21" t="str">
        <f>IF(AND($AM1001&lt;&gt;"",$AS1001&lt;&gt;"✓"),SUMPRODUCT(($AM$11:$AM1001&lt;&gt;"")*($AS$11:$AS1001&lt;&gt;"✓")),"")</f>
        <v/>
      </c>
      <c r="AZ1001" s="21" t="str">
        <f>IF(AND($AM1001&lt;&gt;"",$AS1001="✓"),SUMPRODUCT(($AM$11:$AM1001&lt;&gt;"")*($AS$11:$AS1001="✓")),"")</f>
        <v/>
      </c>
      <c r="BA1001" s="21" t="str">
        <f>IF($AL1001="","",$AL1001&amp;"|"&amp;COUNTIF($AL$11:$AL1001,$AL1001))</f>
        <v/>
      </c>
    </row>
    <row r="1002" spans="23:53" ht="15" customHeight="1" x14ac:dyDescent="0.25">
      <c r="W1002" s="28" t="str">
        <f>IF(X1002="","",IFERROR(INDEX($AL$11:$AL$4010,MATCH(992,$AY$11:$AY$4010,0)),""))</f>
        <v/>
      </c>
      <c r="X1002" s="26" t="str">
        <f>IFERROR(INDEX($AM$11:$AM$4010,MATCH(992,$AY$11:$AY$4010,0)),"")</f>
        <v/>
      </c>
      <c r="Y1002" s="25" t="str">
        <f>IF(X1002="","",IFERROR(INDEX($AN$11:$AN$4010,MATCH(992,$AY$11:$AY$4010,0)),""))</f>
        <v/>
      </c>
      <c r="Z1002" s="25" t="str">
        <f>IF(X1002="","",IFERROR(INDEX($AO$11:$AO$4010,MATCH(992,$AY$11:$AY$4010,0)),""))</f>
        <v/>
      </c>
      <c r="AA1002" s="24" t="str">
        <f>IF(X1002="","",IFERROR(INDEX($AQ$11:$AQ$4010,MATCH(992,$AY$11:$AY$4010,0)),""))</f>
        <v/>
      </c>
      <c r="AB1002" s="29" t="str">
        <f>IF(X1002="","",IFERROR(INDEX($AR$11:$AR$4010,MATCH(992,$AY$11:$AY$4010,0)),""))</f>
        <v/>
      </c>
      <c r="AD1002" s="30" t="str">
        <f>IF(AE1002="","",IFERROR(INDEX($AL$11:$AL$4010,MATCH(992,$AZ$11:$AZ$4010,0)),""))</f>
        <v/>
      </c>
      <c r="AE1002" s="26" t="str">
        <f>IFERROR(INDEX($AM$11:$AM$4010,MATCH(992,$AZ$11:$AZ$4010,0)),"")</f>
        <v/>
      </c>
      <c r="AF1002" s="25" t="str">
        <f>IF(AE1002="","",IFERROR(INDEX($AN$11:$AN$4010,MATCH(992,$AZ$11:$AZ$4010,0)),""))</f>
        <v/>
      </c>
      <c r="AG1002" s="25" t="str">
        <f>IF(AE1002="","",IFERROR(INDEX($AO$11:$AO$4010,MATCH(992,$AZ$11:$AZ$4010,0)),""))</f>
        <v/>
      </c>
      <c r="AH1002" s="24" t="str">
        <f>IF(AE1002="","",IFERROR(INDEX($AQ$11:$AQ$4010,MATCH(992,$AZ$11:$AZ$4010,0)),""))</f>
        <v/>
      </c>
      <c r="AI1002" s="29" t="str">
        <f>IF(AE1002="","",IFERROR(INDEX($AR$11:$AR$4010,MATCH(992,$AZ$11:$AZ$4010,0)),""))</f>
        <v/>
      </c>
      <c r="AJ1002" s="29" t="str">
        <f>IF(AE1002="","",IFERROR(INDEX($AT$11:$AT$4010,MATCH(992,$AZ$11:$AZ$4010,0)),""))</f>
        <v/>
      </c>
      <c r="AL1002" s="31"/>
      <c r="AM1002" s="26"/>
      <c r="AN1002" s="32"/>
      <c r="AO1002" s="32"/>
      <c r="AP1002" s="24"/>
      <c r="AQ1002" s="24"/>
      <c r="AR1002" s="33"/>
      <c r="AS1002" s="34"/>
      <c r="AT1002" s="33"/>
      <c r="AV1002" s="21">
        <f>IF(AND($AL1002&lt;&gt;"",COUNTIF($AL$11:$AL1002,$AL1002)=1),1,0)</f>
        <v>0</v>
      </c>
      <c r="AW1002" s="21">
        <f t="shared" si="117"/>
        <v>0</v>
      </c>
      <c r="AX1002" s="21" t="str">
        <f t="shared" si="116"/>
        <v/>
      </c>
      <c r="AY1002" s="21" t="str">
        <f>IF(AND($AM1002&lt;&gt;"",$AS1002&lt;&gt;"✓"),SUMPRODUCT(($AM$11:$AM1002&lt;&gt;"")*($AS$11:$AS1002&lt;&gt;"✓")),"")</f>
        <v/>
      </c>
      <c r="AZ1002" s="21" t="str">
        <f>IF(AND($AM1002&lt;&gt;"",$AS1002="✓"),SUMPRODUCT(($AM$11:$AM1002&lt;&gt;"")*($AS$11:$AS1002="✓")),"")</f>
        <v/>
      </c>
      <c r="BA1002" s="21" t="str">
        <f>IF($AL1002="","",$AL1002&amp;"|"&amp;COUNTIF($AL$11:$AL1002,$AL1002))</f>
        <v/>
      </c>
    </row>
    <row r="1003" spans="23:53" ht="15" customHeight="1" x14ac:dyDescent="0.25">
      <c r="W1003" s="14" t="str">
        <f>IF(X1003="","",IFERROR(INDEX($AL$11:$AL$4010,MATCH(993,$AY$11:$AY$4010,0)),""))</f>
        <v/>
      </c>
      <c r="X1003" s="12" t="str">
        <f>IFERROR(INDEX($AM$11:$AM$4010,MATCH(993,$AY$11:$AY$4010,0)),"")</f>
        <v/>
      </c>
      <c r="Y1003" s="11" t="str">
        <f>IF(X1003="","",IFERROR(INDEX($AN$11:$AN$4010,MATCH(993,$AY$11:$AY$4010,0)),""))</f>
        <v/>
      </c>
      <c r="Z1003" s="11" t="str">
        <f>IF(X1003="","",IFERROR(INDEX($AO$11:$AO$4010,MATCH(993,$AY$11:$AY$4010,0)),""))</f>
        <v/>
      </c>
      <c r="AA1003" s="10" t="str">
        <f>IF(X1003="","",IFERROR(INDEX($AQ$11:$AQ$4010,MATCH(993,$AY$11:$AY$4010,0)),""))</f>
        <v/>
      </c>
      <c r="AB1003" s="15" t="str">
        <f>IF(X1003="","",IFERROR(INDEX($AR$11:$AR$4010,MATCH(993,$AY$11:$AY$4010,0)),""))</f>
        <v/>
      </c>
      <c r="AD1003" s="16" t="str">
        <f>IF(AE1003="","",IFERROR(INDEX($AL$11:$AL$4010,MATCH(993,$AZ$11:$AZ$4010,0)),""))</f>
        <v/>
      </c>
      <c r="AE1003" s="12" t="str">
        <f>IFERROR(INDEX($AM$11:$AM$4010,MATCH(993,$AZ$11:$AZ$4010,0)),"")</f>
        <v/>
      </c>
      <c r="AF1003" s="11" t="str">
        <f>IF(AE1003="","",IFERROR(INDEX($AN$11:$AN$4010,MATCH(993,$AZ$11:$AZ$4010,0)),""))</f>
        <v/>
      </c>
      <c r="AG1003" s="11" t="str">
        <f>IF(AE1003="","",IFERROR(INDEX($AO$11:$AO$4010,MATCH(993,$AZ$11:$AZ$4010,0)),""))</f>
        <v/>
      </c>
      <c r="AH1003" s="10" t="str">
        <f>IF(AE1003="","",IFERROR(INDEX($AQ$11:$AQ$4010,MATCH(993,$AZ$11:$AZ$4010,0)),""))</f>
        <v/>
      </c>
      <c r="AI1003" s="15" t="str">
        <f>IF(AE1003="","",IFERROR(INDEX($AR$11:$AR$4010,MATCH(993,$AZ$11:$AZ$4010,0)),""))</f>
        <v/>
      </c>
      <c r="AJ1003" s="15" t="str">
        <f>IF(AE1003="","",IFERROR(INDEX($AT$11:$AT$4010,MATCH(993,$AZ$11:$AZ$4010,0)),""))</f>
        <v/>
      </c>
      <c r="AL1003" s="17"/>
      <c r="AM1003" s="12"/>
      <c r="AN1003" s="18"/>
      <c r="AO1003" s="18"/>
      <c r="AP1003" s="10"/>
      <c r="AQ1003" s="10"/>
      <c r="AR1003" s="19"/>
      <c r="AS1003" s="20"/>
      <c r="AT1003" s="19"/>
      <c r="AV1003" s="21">
        <f>IF(AND($AL1003&lt;&gt;"",COUNTIF($AL$11:$AL1003,$AL1003)=1),1,0)</f>
        <v>0</v>
      </c>
      <c r="AW1003" s="21">
        <f t="shared" si="117"/>
        <v>0</v>
      </c>
      <c r="AX1003" s="21" t="str">
        <f t="shared" si="116"/>
        <v/>
      </c>
      <c r="AY1003" s="21" t="str">
        <f>IF(AND($AM1003&lt;&gt;"",$AS1003&lt;&gt;"✓"),SUMPRODUCT(($AM$11:$AM1003&lt;&gt;"")*($AS$11:$AS1003&lt;&gt;"✓")),"")</f>
        <v/>
      </c>
      <c r="AZ1003" s="21" t="str">
        <f>IF(AND($AM1003&lt;&gt;"",$AS1003="✓"),SUMPRODUCT(($AM$11:$AM1003&lt;&gt;"")*($AS$11:$AS1003="✓")),"")</f>
        <v/>
      </c>
      <c r="BA1003" s="21" t="str">
        <f>IF($AL1003="","",$AL1003&amp;"|"&amp;COUNTIF($AL$11:$AL1003,$AL1003))</f>
        <v/>
      </c>
    </row>
    <row r="1004" spans="23:53" ht="15" customHeight="1" x14ac:dyDescent="0.25">
      <c r="W1004" s="28" t="str">
        <f>IF(X1004="","",IFERROR(INDEX($AL$11:$AL$4010,MATCH(994,$AY$11:$AY$4010,0)),""))</f>
        <v/>
      </c>
      <c r="X1004" s="26" t="str">
        <f>IFERROR(INDEX($AM$11:$AM$4010,MATCH(994,$AY$11:$AY$4010,0)),"")</f>
        <v/>
      </c>
      <c r="Y1004" s="25" t="str">
        <f>IF(X1004="","",IFERROR(INDEX($AN$11:$AN$4010,MATCH(994,$AY$11:$AY$4010,0)),""))</f>
        <v/>
      </c>
      <c r="Z1004" s="25" t="str">
        <f>IF(X1004="","",IFERROR(INDEX($AO$11:$AO$4010,MATCH(994,$AY$11:$AY$4010,0)),""))</f>
        <v/>
      </c>
      <c r="AA1004" s="24" t="str">
        <f>IF(X1004="","",IFERROR(INDEX($AQ$11:$AQ$4010,MATCH(994,$AY$11:$AY$4010,0)),""))</f>
        <v/>
      </c>
      <c r="AB1004" s="29" t="str">
        <f>IF(X1004="","",IFERROR(INDEX($AR$11:$AR$4010,MATCH(994,$AY$11:$AY$4010,0)),""))</f>
        <v/>
      </c>
      <c r="AD1004" s="30" t="str">
        <f>IF(AE1004="","",IFERROR(INDEX($AL$11:$AL$4010,MATCH(994,$AZ$11:$AZ$4010,0)),""))</f>
        <v/>
      </c>
      <c r="AE1004" s="26" t="str">
        <f>IFERROR(INDEX($AM$11:$AM$4010,MATCH(994,$AZ$11:$AZ$4010,0)),"")</f>
        <v/>
      </c>
      <c r="AF1004" s="25" t="str">
        <f>IF(AE1004="","",IFERROR(INDEX($AN$11:$AN$4010,MATCH(994,$AZ$11:$AZ$4010,0)),""))</f>
        <v/>
      </c>
      <c r="AG1004" s="25" t="str">
        <f>IF(AE1004="","",IFERROR(INDEX($AO$11:$AO$4010,MATCH(994,$AZ$11:$AZ$4010,0)),""))</f>
        <v/>
      </c>
      <c r="AH1004" s="24" t="str">
        <f>IF(AE1004="","",IFERROR(INDEX($AQ$11:$AQ$4010,MATCH(994,$AZ$11:$AZ$4010,0)),""))</f>
        <v/>
      </c>
      <c r="AI1004" s="29" t="str">
        <f>IF(AE1004="","",IFERROR(INDEX($AR$11:$AR$4010,MATCH(994,$AZ$11:$AZ$4010,0)),""))</f>
        <v/>
      </c>
      <c r="AJ1004" s="29" t="str">
        <f>IF(AE1004="","",IFERROR(INDEX($AT$11:$AT$4010,MATCH(994,$AZ$11:$AZ$4010,0)),""))</f>
        <v/>
      </c>
      <c r="AL1004" s="31"/>
      <c r="AM1004" s="26"/>
      <c r="AN1004" s="32"/>
      <c r="AO1004" s="32"/>
      <c r="AP1004" s="24"/>
      <c r="AQ1004" s="24"/>
      <c r="AR1004" s="33"/>
      <c r="AS1004" s="34"/>
      <c r="AT1004" s="33"/>
      <c r="AV1004" s="21">
        <f>IF(AND($AL1004&lt;&gt;"",COUNTIF($AL$11:$AL1004,$AL1004)=1),1,0)</f>
        <v>0</v>
      </c>
      <c r="AW1004" s="21">
        <f t="shared" si="117"/>
        <v>0</v>
      </c>
      <c r="AX1004" s="21" t="str">
        <f t="shared" si="116"/>
        <v/>
      </c>
      <c r="AY1004" s="21" t="str">
        <f>IF(AND($AM1004&lt;&gt;"",$AS1004&lt;&gt;"✓"),SUMPRODUCT(($AM$11:$AM1004&lt;&gt;"")*($AS$11:$AS1004&lt;&gt;"✓")),"")</f>
        <v/>
      </c>
      <c r="AZ1004" s="21" t="str">
        <f>IF(AND($AM1004&lt;&gt;"",$AS1004="✓"),SUMPRODUCT(($AM$11:$AM1004&lt;&gt;"")*($AS$11:$AS1004="✓")),"")</f>
        <v/>
      </c>
      <c r="BA1004" s="21" t="str">
        <f>IF($AL1004="","",$AL1004&amp;"|"&amp;COUNTIF($AL$11:$AL1004,$AL1004))</f>
        <v/>
      </c>
    </row>
    <row r="1005" spans="23:53" ht="15" customHeight="1" x14ac:dyDescent="0.25">
      <c r="W1005" s="14" t="str">
        <f>IF(X1005="","",IFERROR(INDEX($AL$11:$AL$4010,MATCH(995,$AY$11:$AY$4010,0)),""))</f>
        <v/>
      </c>
      <c r="X1005" s="12" t="str">
        <f>IFERROR(INDEX($AM$11:$AM$4010,MATCH(995,$AY$11:$AY$4010,0)),"")</f>
        <v/>
      </c>
      <c r="Y1005" s="11" t="str">
        <f>IF(X1005="","",IFERROR(INDEX($AN$11:$AN$4010,MATCH(995,$AY$11:$AY$4010,0)),""))</f>
        <v/>
      </c>
      <c r="Z1005" s="11" t="str">
        <f>IF(X1005="","",IFERROR(INDEX($AO$11:$AO$4010,MATCH(995,$AY$11:$AY$4010,0)),""))</f>
        <v/>
      </c>
      <c r="AA1005" s="10" t="str">
        <f>IF(X1005="","",IFERROR(INDEX($AQ$11:$AQ$4010,MATCH(995,$AY$11:$AY$4010,0)),""))</f>
        <v/>
      </c>
      <c r="AB1005" s="15" t="str">
        <f>IF(X1005="","",IFERROR(INDEX($AR$11:$AR$4010,MATCH(995,$AY$11:$AY$4010,0)),""))</f>
        <v/>
      </c>
      <c r="AD1005" s="16" t="str">
        <f>IF(AE1005="","",IFERROR(INDEX($AL$11:$AL$4010,MATCH(995,$AZ$11:$AZ$4010,0)),""))</f>
        <v/>
      </c>
      <c r="AE1005" s="12" t="str">
        <f>IFERROR(INDEX($AM$11:$AM$4010,MATCH(995,$AZ$11:$AZ$4010,0)),"")</f>
        <v/>
      </c>
      <c r="AF1005" s="11" t="str">
        <f>IF(AE1005="","",IFERROR(INDEX($AN$11:$AN$4010,MATCH(995,$AZ$11:$AZ$4010,0)),""))</f>
        <v/>
      </c>
      <c r="AG1005" s="11" t="str">
        <f>IF(AE1005="","",IFERROR(INDEX($AO$11:$AO$4010,MATCH(995,$AZ$11:$AZ$4010,0)),""))</f>
        <v/>
      </c>
      <c r="AH1005" s="10" t="str">
        <f>IF(AE1005="","",IFERROR(INDEX($AQ$11:$AQ$4010,MATCH(995,$AZ$11:$AZ$4010,0)),""))</f>
        <v/>
      </c>
      <c r="AI1005" s="15" t="str">
        <f>IF(AE1005="","",IFERROR(INDEX($AR$11:$AR$4010,MATCH(995,$AZ$11:$AZ$4010,0)),""))</f>
        <v/>
      </c>
      <c r="AJ1005" s="15" t="str">
        <f>IF(AE1005="","",IFERROR(INDEX($AT$11:$AT$4010,MATCH(995,$AZ$11:$AZ$4010,0)),""))</f>
        <v/>
      </c>
      <c r="AL1005" s="17"/>
      <c r="AM1005" s="12"/>
      <c r="AN1005" s="18"/>
      <c r="AO1005" s="18"/>
      <c r="AP1005" s="10"/>
      <c r="AQ1005" s="10"/>
      <c r="AR1005" s="19"/>
      <c r="AS1005" s="20"/>
      <c r="AT1005" s="19"/>
      <c r="AV1005" s="21">
        <f>IF(AND($AL1005&lt;&gt;"",COUNTIF($AL$11:$AL1005,$AL1005)=1),1,0)</f>
        <v>0</v>
      </c>
      <c r="AW1005" s="21">
        <f t="shared" si="117"/>
        <v>0</v>
      </c>
      <c r="AX1005" s="21" t="str">
        <f t="shared" si="116"/>
        <v/>
      </c>
      <c r="AY1005" s="21" t="str">
        <f>IF(AND($AM1005&lt;&gt;"",$AS1005&lt;&gt;"✓"),SUMPRODUCT(($AM$11:$AM1005&lt;&gt;"")*($AS$11:$AS1005&lt;&gt;"✓")),"")</f>
        <v/>
      </c>
      <c r="AZ1005" s="21" t="str">
        <f>IF(AND($AM1005&lt;&gt;"",$AS1005="✓"),SUMPRODUCT(($AM$11:$AM1005&lt;&gt;"")*($AS$11:$AS1005="✓")),"")</f>
        <v/>
      </c>
      <c r="BA1005" s="21" t="str">
        <f>IF($AL1005="","",$AL1005&amp;"|"&amp;COUNTIF($AL$11:$AL1005,$AL1005))</f>
        <v/>
      </c>
    </row>
    <row r="1006" spans="23:53" ht="15" customHeight="1" x14ac:dyDescent="0.25">
      <c r="W1006" s="28" t="str">
        <f>IF(X1006="","",IFERROR(INDEX($AL$11:$AL$4010,MATCH(996,$AY$11:$AY$4010,0)),""))</f>
        <v/>
      </c>
      <c r="X1006" s="26" t="str">
        <f>IFERROR(INDEX($AM$11:$AM$4010,MATCH(996,$AY$11:$AY$4010,0)),"")</f>
        <v/>
      </c>
      <c r="Y1006" s="25" t="str">
        <f>IF(X1006="","",IFERROR(INDEX($AN$11:$AN$4010,MATCH(996,$AY$11:$AY$4010,0)),""))</f>
        <v/>
      </c>
      <c r="Z1006" s="25" t="str">
        <f>IF(X1006="","",IFERROR(INDEX($AO$11:$AO$4010,MATCH(996,$AY$11:$AY$4010,0)),""))</f>
        <v/>
      </c>
      <c r="AA1006" s="24" t="str">
        <f>IF(X1006="","",IFERROR(INDEX($AQ$11:$AQ$4010,MATCH(996,$AY$11:$AY$4010,0)),""))</f>
        <v/>
      </c>
      <c r="AB1006" s="29" t="str">
        <f>IF(X1006="","",IFERROR(INDEX($AR$11:$AR$4010,MATCH(996,$AY$11:$AY$4010,0)),""))</f>
        <v/>
      </c>
      <c r="AD1006" s="30" t="str">
        <f>IF(AE1006="","",IFERROR(INDEX($AL$11:$AL$4010,MATCH(996,$AZ$11:$AZ$4010,0)),""))</f>
        <v/>
      </c>
      <c r="AE1006" s="26" t="str">
        <f>IFERROR(INDEX($AM$11:$AM$4010,MATCH(996,$AZ$11:$AZ$4010,0)),"")</f>
        <v/>
      </c>
      <c r="AF1006" s="25" t="str">
        <f>IF(AE1006="","",IFERROR(INDEX($AN$11:$AN$4010,MATCH(996,$AZ$11:$AZ$4010,0)),""))</f>
        <v/>
      </c>
      <c r="AG1006" s="25" t="str">
        <f>IF(AE1006="","",IFERROR(INDEX($AO$11:$AO$4010,MATCH(996,$AZ$11:$AZ$4010,0)),""))</f>
        <v/>
      </c>
      <c r="AH1006" s="24" t="str">
        <f>IF(AE1006="","",IFERROR(INDEX($AQ$11:$AQ$4010,MATCH(996,$AZ$11:$AZ$4010,0)),""))</f>
        <v/>
      </c>
      <c r="AI1006" s="29" t="str">
        <f>IF(AE1006="","",IFERROR(INDEX($AR$11:$AR$4010,MATCH(996,$AZ$11:$AZ$4010,0)),""))</f>
        <v/>
      </c>
      <c r="AJ1006" s="29" t="str">
        <f>IF(AE1006="","",IFERROR(INDEX($AT$11:$AT$4010,MATCH(996,$AZ$11:$AZ$4010,0)),""))</f>
        <v/>
      </c>
      <c r="AL1006" s="31"/>
      <c r="AM1006" s="26"/>
      <c r="AN1006" s="32"/>
      <c r="AO1006" s="32"/>
      <c r="AP1006" s="24"/>
      <c r="AQ1006" s="24"/>
      <c r="AR1006" s="33"/>
      <c r="AS1006" s="34"/>
      <c r="AT1006" s="33"/>
      <c r="AV1006" s="21">
        <f>IF(AND($AL1006&lt;&gt;"",COUNTIF($AL$11:$AL1006,$AL1006)=1),1,0)</f>
        <v>0</v>
      </c>
      <c r="AW1006" s="21">
        <f t="shared" si="117"/>
        <v>0</v>
      </c>
      <c r="AX1006" s="21" t="str">
        <f t="shared" si="116"/>
        <v/>
      </c>
      <c r="AY1006" s="21" t="str">
        <f>IF(AND($AM1006&lt;&gt;"",$AS1006&lt;&gt;"✓"),SUMPRODUCT(($AM$11:$AM1006&lt;&gt;"")*($AS$11:$AS1006&lt;&gt;"✓")),"")</f>
        <v/>
      </c>
      <c r="AZ1006" s="21" t="str">
        <f>IF(AND($AM1006&lt;&gt;"",$AS1006="✓"),SUMPRODUCT(($AM$11:$AM1006&lt;&gt;"")*($AS$11:$AS1006="✓")),"")</f>
        <v/>
      </c>
      <c r="BA1006" s="21" t="str">
        <f>IF($AL1006="","",$AL1006&amp;"|"&amp;COUNTIF($AL$11:$AL1006,$AL1006))</f>
        <v/>
      </c>
    </row>
    <row r="1007" spans="23:53" ht="15" customHeight="1" x14ac:dyDescent="0.25">
      <c r="W1007" s="14" t="str">
        <f>IF(X1007="","",IFERROR(INDEX($AL$11:$AL$4010,MATCH(997,$AY$11:$AY$4010,0)),""))</f>
        <v/>
      </c>
      <c r="X1007" s="12" t="str">
        <f>IFERROR(INDEX($AM$11:$AM$4010,MATCH(997,$AY$11:$AY$4010,0)),"")</f>
        <v/>
      </c>
      <c r="Y1007" s="11" t="str">
        <f>IF(X1007="","",IFERROR(INDEX($AN$11:$AN$4010,MATCH(997,$AY$11:$AY$4010,0)),""))</f>
        <v/>
      </c>
      <c r="Z1007" s="11" t="str">
        <f>IF(X1007="","",IFERROR(INDEX($AO$11:$AO$4010,MATCH(997,$AY$11:$AY$4010,0)),""))</f>
        <v/>
      </c>
      <c r="AA1007" s="10" t="str">
        <f>IF(X1007="","",IFERROR(INDEX($AQ$11:$AQ$4010,MATCH(997,$AY$11:$AY$4010,0)),""))</f>
        <v/>
      </c>
      <c r="AB1007" s="15" t="str">
        <f>IF(X1007="","",IFERROR(INDEX($AR$11:$AR$4010,MATCH(997,$AY$11:$AY$4010,0)),""))</f>
        <v/>
      </c>
      <c r="AD1007" s="16" t="str">
        <f>IF(AE1007="","",IFERROR(INDEX($AL$11:$AL$4010,MATCH(997,$AZ$11:$AZ$4010,0)),""))</f>
        <v/>
      </c>
      <c r="AE1007" s="12" t="str">
        <f>IFERROR(INDEX($AM$11:$AM$4010,MATCH(997,$AZ$11:$AZ$4010,0)),"")</f>
        <v/>
      </c>
      <c r="AF1007" s="11" t="str">
        <f>IF(AE1007="","",IFERROR(INDEX($AN$11:$AN$4010,MATCH(997,$AZ$11:$AZ$4010,0)),""))</f>
        <v/>
      </c>
      <c r="AG1007" s="11" t="str">
        <f>IF(AE1007="","",IFERROR(INDEX($AO$11:$AO$4010,MATCH(997,$AZ$11:$AZ$4010,0)),""))</f>
        <v/>
      </c>
      <c r="AH1007" s="10" t="str">
        <f>IF(AE1007="","",IFERROR(INDEX($AQ$11:$AQ$4010,MATCH(997,$AZ$11:$AZ$4010,0)),""))</f>
        <v/>
      </c>
      <c r="AI1007" s="15" t="str">
        <f>IF(AE1007="","",IFERROR(INDEX($AR$11:$AR$4010,MATCH(997,$AZ$11:$AZ$4010,0)),""))</f>
        <v/>
      </c>
      <c r="AJ1007" s="15" t="str">
        <f>IF(AE1007="","",IFERROR(INDEX($AT$11:$AT$4010,MATCH(997,$AZ$11:$AZ$4010,0)),""))</f>
        <v/>
      </c>
      <c r="AL1007" s="17"/>
      <c r="AM1007" s="12"/>
      <c r="AN1007" s="18"/>
      <c r="AO1007" s="18"/>
      <c r="AP1007" s="10"/>
      <c r="AQ1007" s="10"/>
      <c r="AR1007" s="19"/>
      <c r="AS1007" s="20"/>
      <c r="AT1007" s="19"/>
      <c r="AV1007" s="21">
        <f>IF(AND($AL1007&lt;&gt;"",COUNTIF($AL$11:$AL1007,$AL1007)=1),1,0)</f>
        <v>0</v>
      </c>
      <c r="AW1007" s="21">
        <f t="shared" si="117"/>
        <v>0</v>
      </c>
      <c r="AX1007" s="21" t="str">
        <f t="shared" si="116"/>
        <v/>
      </c>
      <c r="AY1007" s="21" t="str">
        <f>IF(AND($AM1007&lt;&gt;"",$AS1007&lt;&gt;"✓"),SUMPRODUCT(($AM$11:$AM1007&lt;&gt;"")*($AS$11:$AS1007&lt;&gt;"✓")),"")</f>
        <v/>
      </c>
      <c r="AZ1007" s="21" t="str">
        <f>IF(AND($AM1007&lt;&gt;"",$AS1007="✓"),SUMPRODUCT(($AM$11:$AM1007&lt;&gt;"")*($AS$11:$AS1007="✓")),"")</f>
        <v/>
      </c>
      <c r="BA1007" s="21" t="str">
        <f>IF($AL1007="","",$AL1007&amp;"|"&amp;COUNTIF($AL$11:$AL1007,$AL1007))</f>
        <v/>
      </c>
    </row>
    <row r="1008" spans="23:53" ht="15" customHeight="1" x14ac:dyDescent="0.25">
      <c r="W1008" s="28" t="str">
        <f>IF(X1008="","",IFERROR(INDEX($AL$11:$AL$4010,MATCH(998,$AY$11:$AY$4010,0)),""))</f>
        <v/>
      </c>
      <c r="X1008" s="26" t="str">
        <f>IFERROR(INDEX($AM$11:$AM$4010,MATCH(998,$AY$11:$AY$4010,0)),"")</f>
        <v/>
      </c>
      <c r="Y1008" s="25" t="str">
        <f>IF(X1008="","",IFERROR(INDEX($AN$11:$AN$4010,MATCH(998,$AY$11:$AY$4010,0)),""))</f>
        <v/>
      </c>
      <c r="Z1008" s="25" t="str">
        <f>IF(X1008="","",IFERROR(INDEX($AO$11:$AO$4010,MATCH(998,$AY$11:$AY$4010,0)),""))</f>
        <v/>
      </c>
      <c r="AA1008" s="24" t="str">
        <f>IF(X1008="","",IFERROR(INDEX($AQ$11:$AQ$4010,MATCH(998,$AY$11:$AY$4010,0)),""))</f>
        <v/>
      </c>
      <c r="AB1008" s="29" t="str">
        <f>IF(X1008="","",IFERROR(INDEX($AR$11:$AR$4010,MATCH(998,$AY$11:$AY$4010,0)),""))</f>
        <v/>
      </c>
      <c r="AD1008" s="30" t="str">
        <f>IF(AE1008="","",IFERROR(INDEX($AL$11:$AL$4010,MATCH(998,$AZ$11:$AZ$4010,0)),""))</f>
        <v/>
      </c>
      <c r="AE1008" s="26" t="str">
        <f>IFERROR(INDEX($AM$11:$AM$4010,MATCH(998,$AZ$11:$AZ$4010,0)),"")</f>
        <v/>
      </c>
      <c r="AF1008" s="25" t="str">
        <f>IF(AE1008="","",IFERROR(INDEX($AN$11:$AN$4010,MATCH(998,$AZ$11:$AZ$4010,0)),""))</f>
        <v/>
      </c>
      <c r="AG1008" s="25" t="str">
        <f>IF(AE1008="","",IFERROR(INDEX($AO$11:$AO$4010,MATCH(998,$AZ$11:$AZ$4010,0)),""))</f>
        <v/>
      </c>
      <c r="AH1008" s="24" t="str">
        <f>IF(AE1008="","",IFERROR(INDEX($AQ$11:$AQ$4010,MATCH(998,$AZ$11:$AZ$4010,0)),""))</f>
        <v/>
      </c>
      <c r="AI1008" s="29" t="str">
        <f>IF(AE1008="","",IFERROR(INDEX($AR$11:$AR$4010,MATCH(998,$AZ$11:$AZ$4010,0)),""))</f>
        <v/>
      </c>
      <c r="AJ1008" s="29" t="str">
        <f>IF(AE1008="","",IFERROR(INDEX($AT$11:$AT$4010,MATCH(998,$AZ$11:$AZ$4010,0)),""))</f>
        <v/>
      </c>
      <c r="AL1008" s="31"/>
      <c r="AM1008" s="26"/>
      <c r="AN1008" s="32"/>
      <c r="AO1008" s="32"/>
      <c r="AP1008" s="24"/>
      <c r="AQ1008" s="24"/>
      <c r="AR1008" s="33"/>
      <c r="AS1008" s="34"/>
      <c r="AT1008" s="33"/>
      <c r="AV1008" s="21">
        <f>IF(AND($AL1008&lt;&gt;"",COUNTIF($AL$11:$AL1008,$AL1008)=1),1,0)</f>
        <v>0</v>
      </c>
      <c r="AW1008" s="21">
        <f t="shared" si="117"/>
        <v>0</v>
      </c>
      <c r="AX1008" s="21" t="str">
        <f t="shared" si="116"/>
        <v/>
      </c>
      <c r="AY1008" s="21" t="str">
        <f>IF(AND($AM1008&lt;&gt;"",$AS1008&lt;&gt;"✓"),SUMPRODUCT(($AM$11:$AM1008&lt;&gt;"")*($AS$11:$AS1008&lt;&gt;"✓")),"")</f>
        <v/>
      </c>
      <c r="AZ1008" s="21" t="str">
        <f>IF(AND($AM1008&lt;&gt;"",$AS1008="✓"),SUMPRODUCT(($AM$11:$AM1008&lt;&gt;"")*($AS$11:$AS1008="✓")),"")</f>
        <v/>
      </c>
      <c r="BA1008" s="21" t="str">
        <f>IF($AL1008="","",$AL1008&amp;"|"&amp;COUNTIF($AL$11:$AL1008,$AL1008))</f>
        <v/>
      </c>
    </row>
    <row r="1009" spans="23:53" ht="15" customHeight="1" x14ac:dyDescent="0.25">
      <c r="W1009" s="14" t="str">
        <f>IF(X1009="","",IFERROR(INDEX($AL$11:$AL$4010,MATCH(999,$AY$11:$AY$4010,0)),""))</f>
        <v/>
      </c>
      <c r="X1009" s="12" t="str">
        <f>IFERROR(INDEX($AM$11:$AM$4010,MATCH(999,$AY$11:$AY$4010,0)),"")</f>
        <v/>
      </c>
      <c r="Y1009" s="11" t="str">
        <f>IF(X1009="","",IFERROR(INDEX($AN$11:$AN$4010,MATCH(999,$AY$11:$AY$4010,0)),""))</f>
        <v/>
      </c>
      <c r="Z1009" s="11" t="str">
        <f>IF(X1009="","",IFERROR(INDEX($AO$11:$AO$4010,MATCH(999,$AY$11:$AY$4010,0)),""))</f>
        <v/>
      </c>
      <c r="AA1009" s="10" t="str">
        <f>IF(X1009="","",IFERROR(INDEX($AQ$11:$AQ$4010,MATCH(999,$AY$11:$AY$4010,0)),""))</f>
        <v/>
      </c>
      <c r="AB1009" s="15" t="str">
        <f>IF(X1009="","",IFERROR(INDEX($AR$11:$AR$4010,MATCH(999,$AY$11:$AY$4010,0)),""))</f>
        <v/>
      </c>
      <c r="AD1009" s="16" t="str">
        <f>IF(AE1009="","",IFERROR(INDEX($AL$11:$AL$4010,MATCH(999,$AZ$11:$AZ$4010,0)),""))</f>
        <v/>
      </c>
      <c r="AE1009" s="12" t="str">
        <f>IFERROR(INDEX($AM$11:$AM$4010,MATCH(999,$AZ$11:$AZ$4010,0)),"")</f>
        <v/>
      </c>
      <c r="AF1009" s="11" t="str">
        <f>IF(AE1009="","",IFERROR(INDEX($AN$11:$AN$4010,MATCH(999,$AZ$11:$AZ$4010,0)),""))</f>
        <v/>
      </c>
      <c r="AG1009" s="11" t="str">
        <f>IF(AE1009="","",IFERROR(INDEX($AO$11:$AO$4010,MATCH(999,$AZ$11:$AZ$4010,0)),""))</f>
        <v/>
      </c>
      <c r="AH1009" s="10" t="str">
        <f>IF(AE1009="","",IFERROR(INDEX($AQ$11:$AQ$4010,MATCH(999,$AZ$11:$AZ$4010,0)),""))</f>
        <v/>
      </c>
      <c r="AI1009" s="15" t="str">
        <f>IF(AE1009="","",IFERROR(INDEX($AR$11:$AR$4010,MATCH(999,$AZ$11:$AZ$4010,0)),""))</f>
        <v/>
      </c>
      <c r="AJ1009" s="15" t="str">
        <f>IF(AE1009="","",IFERROR(INDEX($AT$11:$AT$4010,MATCH(999,$AZ$11:$AZ$4010,0)),""))</f>
        <v/>
      </c>
      <c r="AL1009" s="17"/>
      <c r="AM1009" s="12"/>
      <c r="AN1009" s="18"/>
      <c r="AO1009" s="18"/>
      <c r="AP1009" s="10"/>
      <c r="AQ1009" s="10"/>
      <c r="AR1009" s="19"/>
      <c r="AS1009" s="20"/>
      <c r="AT1009" s="19"/>
      <c r="AV1009" s="21">
        <f>IF(AND($AL1009&lt;&gt;"",COUNTIF($AL$11:$AL1009,$AL1009)=1),1,0)</f>
        <v>0</v>
      </c>
      <c r="AW1009" s="21">
        <f t="shared" si="117"/>
        <v>0</v>
      </c>
      <c r="AX1009" s="21" t="str">
        <f t="shared" si="116"/>
        <v/>
      </c>
      <c r="AY1009" s="21" t="str">
        <f>IF(AND($AM1009&lt;&gt;"",$AS1009&lt;&gt;"✓"),SUMPRODUCT(($AM$11:$AM1009&lt;&gt;"")*($AS$11:$AS1009&lt;&gt;"✓")),"")</f>
        <v/>
      </c>
      <c r="AZ1009" s="21" t="str">
        <f>IF(AND($AM1009&lt;&gt;"",$AS1009="✓"),SUMPRODUCT(($AM$11:$AM1009&lt;&gt;"")*($AS$11:$AS1009="✓")),"")</f>
        <v/>
      </c>
      <c r="BA1009" s="21" t="str">
        <f>IF($AL1009="","",$AL1009&amp;"|"&amp;COUNTIF($AL$11:$AL1009,$AL1009))</f>
        <v/>
      </c>
    </row>
    <row r="1010" spans="23:53" ht="15" customHeight="1" x14ac:dyDescent="0.25">
      <c r="W1010" s="28" t="str">
        <f>IF(X1010="","",IFERROR(INDEX($AL$11:$AL$4010,MATCH(1000,$AY$11:$AY$4010,0)),""))</f>
        <v/>
      </c>
      <c r="X1010" s="26" t="str">
        <f>IFERROR(INDEX($AM$11:$AM$4010,MATCH(1000,$AY$11:$AY$4010,0)),"")</f>
        <v/>
      </c>
      <c r="Y1010" s="25" t="str">
        <f>IF(X1010="","",IFERROR(INDEX($AN$11:$AN$4010,MATCH(1000,$AY$11:$AY$4010,0)),""))</f>
        <v/>
      </c>
      <c r="Z1010" s="25" t="str">
        <f>IF(X1010="","",IFERROR(INDEX($AO$11:$AO$4010,MATCH(1000,$AY$11:$AY$4010,0)),""))</f>
        <v/>
      </c>
      <c r="AA1010" s="24" t="str">
        <f>IF(X1010="","",IFERROR(INDEX($AQ$11:$AQ$4010,MATCH(1000,$AY$11:$AY$4010,0)),""))</f>
        <v/>
      </c>
      <c r="AB1010" s="29" t="str">
        <f>IF(X1010="","",IFERROR(INDEX($AR$11:$AR$4010,MATCH(1000,$AY$11:$AY$4010,0)),""))</f>
        <v/>
      </c>
      <c r="AD1010" s="30" t="str">
        <f>IF(AE1010="","",IFERROR(INDEX($AL$11:$AL$4010,MATCH(1000,$AZ$11:$AZ$4010,0)),""))</f>
        <v/>
      </c>
      <c r="AE1010" s="26" t="str">
        <f>IFERROR(INDEX($AM$11:$AM$4010,MATCH(1000,$AZ$11:$AZ$4010,0)),"")</f>
        <v/>
      </c>
      <c r="AF1010" s="25" t="str">
        <f>IF(AE1010="","",IFERROR(INDEX($AN$11:$AN$4010,MATCH(1000,$AZ$11:$AZ$4010,0)),""))</f>
        <v/>
      </c>
      <c r="AG1010" s="25" t="str">
        <f>IF(AE1010="","",IFERROR(INDEX($AO$11:$AO$4010,MATCH(1000,$AZ$11:$AZ$4010,0)),""))</f>
        <v/>
      </c>
      <c r="AH1010" s="24" t="str">
        <f>IF(AE1010="","",IFERROR(INDEX($AQ$11:$AQ$4010,MATCH(1000,$AZ$11:$AZ$4010,0)),""))</f>
        <v/>
      </c>
      <c r="AI1010" s="29" t="str">
        <f>IF(AE1010="","",IFERROR(INDEX($AR$11:$AR$4010,MATCH(1000,$AZ$11:$AZ$4010,0)),""))</f>
        <v/>
      </c>
      <c r="AJ1010" s="29" t="str">
        <f>IF(AE1010="","",IFERROR(INDEX($AT$11:$AT$4010,MATCH(1000,$AZ$11:$AZ$4010,0)),""))</f>
        <v/>
      </c>
      <c r="AL1010" s="31"/>
      <c r="AM1010" s="26"/>
      <c r="AN1010" s="32"/>
      <c r="AO1010" s="32"/>
      <c r="AP1010" s="24"/>
      <c r="AQ1010" s="24"/>
      <c r="AR1010" s="33"/>
      <c r="AS1010" s="34"/>
      <c r="AT1010" s="33"/>
      <c r="AV1010" s="21">
        <f>IF(AND($AL1010&lt;&gt;"",COUNTIF($AL$11:$AL1010,$AL1010)=1),1,0)</f>
        <v>0</v>
      </c>
      <c r="AW1010" s="21">
        <f t="shared" si="117"/>
        <v>0</v>
      </c>
      <c r="AX1010" s="21" t="str">
        <f t="shared" si="116"/>
        <v/>
      </c>
      <c r="AY1010" s="21" t="str">
        <f>IF(AND($AM1010&lt;&gt;"",$AS1010&lt;&gt;"✓"),SUMPRODUCT(($AM$11:$AM1010&lt;&gt;"")*($AS$11:$AS1010&lt;&gt;"✓")),"")</f>
        <v/>
      </c>
      <c r="AZ1010" s="21" t="str">
        <f>IF(AND($AM1010&lt;&gt;"",$AS1010="✓"),SUMPRODUCT(($AM$11:$AM1010&lt;&gt;"")*($AS$11:$AS1010="✓")),"")</f>
        <v/>
      </c>
      <c r="BA1010" s="21" t="str">
        <f>IF($AL1010="","",$AL1010&amp;"|"&amp;COUNTIF($AL$11:$AL1010,$AL1010))</f>
        <v/>
      </c>
    </row>
    <row r="1011" spans="23:53" ht="15" customHeight="1" x14ac:dyDescent="0.25">
      <c r="AL1011" s="17"/>
      <c r="AM1011" s="12"/>
      <c r="AN1011" s="18"/>
      <c r="AO1011" s="18"/>
      <c r="AP1011" s="10"/>
      <c r="AQ1011" s="10"/>
      <c r="AR1011" s="19"/>
      <c r="AS1011" s="20"/>
      <c r="AT1011" s="19"/>
      <c r="AV1011" s="21">
        <f>IF(AND($AL1011&lt;&gt;"",COUNTIF($AL$11:$AL1011,$AL1011)=1),1,0)</f>
        <v>0</v>
      </c>
      <c r="AW1011" s="21">
        <f t="shared" si="117"/>
        <v>0</v>
      </c>
      <c r="AX1011" s="21" t="str">
        <f t="shared" si="116"/>
        <v/>
      </c>
      <c r="AY1011" s="21" t="str">
        <f>IF(AND($AM1011&lt;&gt;"",$AS1011&lt;&gt;"✓"),SUMPRODUCT(($AM$11:$AM1011&lt;&gt;"")*($AS$11:$AS1011&lt;&gt;"✓")),"")</f>
        <v/>
      </c>
      <c r="AZ1011" s="21" t="str">
        <f>IF(AND($AM1011&lt;&gt;"",$AS1011="✓"),SUMPRODUCT(($AM$11:$AM1011&lt;&gt;"")*($AS$11:$AS1011="✓")),"")</f>
        <v/>
      </c>
      <c r="BA1011" s="21" t="str">
        <f>IF($AL1011="","",$AL1011&amp;"|"&amp;COUNTIF($AL$11:$AL1011,$AL1011))</f>
        <v/>
      </c>
    </row>
    <row r="1012" spans="23:53" ht="15" customHeight="1" x14ac:dyDescent="0.25">
      <c r="AL1012" s="31"/>
      <c r="AM1012" s="26"/>
      <c r="AN1012" s="32"/>
      <c r="AO1012" s="32"/>
      <c r="AP1012" s="24"/>
      <c r="AQ1012" s="24"/>
      <c r="AR1012" s="33"/>
      <c r="AS1012" s="34"/>
      <c r="AT1012" s="33"/>
      <c r="AV1012" s="21">
        <f>IF(AND($AL1012&lt;&gt;"",COUNTIF($AL$11:$AL1012,$AL1012)=1),1,0)</f>
        <v>0</v>
      </c>
      <c r="AW1012" s="21">
        <f t="shared" si="117"/>
        <v>0</v>
      </c>
      <c r="AX1012" s="21" t="str">
        <f t="shared" si="116"/>
        <v/>
      </c>
      <c r="AY1012" s="21" t="str">
        <f>IF(AND($AM1012&lt;&gt;"",$AS1012&lt;&gt;"✓"),SUMPRODUCT(($AM$11:$AM1012&lt;&gt;"")*($AS$11:$AS1012&lt;&gt;"✓")),"")</f>
        <v/>
      </c>
      <c r="AZ1012" s="21" t="str">
        <f>IF(AND($AM1012&lt;&gt;"",$AS1012="✓"),SUMPRODUCT(($AM$11:$AM1012&lt;&gt;"")*($AS$11:$AS1012="✓")),"")</f>
        <v/>
      </c>
      <c r="BA1012" s="21" t="str">
        <f>IF($AL1012="","",$AL1012&amp;"|"&amp;COUNTIF($AL$11:$AL1012,$AL1012))</f>
        <v/>
      </c>
    </row>
    <row r="1013" spans="23:53" ht="15" customHeight="1" x14ac:dyDescent="0.25">
      <c r="AL1013" s="17"/>
      <c r="AM1013" s="12"/>
      <c r="AN1013" s="18"/>
      <c r="AO1013" s="18"/>
      <c r="AP1013" s="10"/>
      <c r="AQ1013" s="10"/>
      <c r="AR1013" s="19"/>
      <c r="AS1013" s="20"/>
      <c r="AT1013" s="19"/>
      <c r="AV1013" s="21">
        <f>IF(AND($AL1013&lt;&gt;"",COUNTIF($AL$11:$AL1013,$AL1013)=1),1,0)</f>
        <v>0</v>
      </c>
      <c r="AW1013" s="21">
        <f t="shared" si="117"/>
        <v>0</v>
      </c>
      <c r="AX1013" s="21" t="str">
        <f t="shared" si="116"/>
        <v/>
      </c>
      <c r="AY1013" s="21" t="str">
        <f>IF(AND($AM1013&lt;&gt;"",$AS1013&lt;&gt;"✓"),SUMPRODUCT(($AM$11:$AM1013&lt;&gt;"")*($AS$11:$AS1013&lt;&gt;"✓")),"")</f>
        <v/>
      </c>
      <c r="AZ1013" s="21" t="str">
        <f>IF(AND($AM1013&lt;&gt;"",$AS1013="✓"),SUMPRODUCT(($AM$11:$AM1013&lt;&gt;"")*($AS$11:$AS1013="✓")),"")</f>
        <v/>
      </c>
      <c r="BA1013" s="21" t="str">
        <f>IF($AL1013="","",$AL1013&amp;"|"&amp;COUNTIF($AL$11:$AL1013,$AL1013))</f>
        <v/>
      </c>
    </row>
    <row r="1014" spans="23:53" ht="15" customHeight="1" x14ac:dyDescent="0.25">
      <c r="AL1014" s="31"/>
      <c r="AM1014" s="26"/>
      <c r="AN1014" s="32"/>
      <c r="AO1014" s="32"/>
      <c r="AP1014" s="24"/>
      <c r="AQ1014" s="24"/>
      <c r="AR1014" s="33"/>
      <c r="AS1014" s="34"/>
      <c r="AT1014" s="33"/>
      <c r="AV1014" s="21">
        <f>IF(AND($AL1014&lt;&gt;"",COUNTIF($AL$11:$AL1014,$AL1014)=1),1,0)</f>
        <v>0</v>
      </c>
      <c r="AW1014" s="21">
        <f t="shared" si="117"/>
        <v>0</v>
      </c>
      <c r="AX1014" s="21" t="str">
        <f t="shared" si="116"/>
        <v/>
      </c>
      <c r="AY1014" s="21" t="str">
        <f>IF(AND($AM1014&lt;&gt;"",$AS1014&lt;&gt;"✓"),SUMPRODUCT(($AM$11:$AM1014&lt;&gt;"")*($AS$11:$AS1014&lt;&gt;"✓")),"")</f>
        <v/>
      </c>
      <c r="AZ1014" s="21" t="str">
        <f>IF(AND($AM1014&lt;&gt;"",$AS1014="✓"),SUMPRODUCT(($AM$11:$AM1014&lt;&gt;"")*($AS$11:$AS1014="✓")),"")</f>
        <v/>
      </c>
      <c r="BA1014" s="21" t="str">
        <f>IF($AL1014="","",$AL1014&amp;"|"&amp;COUNTIF($AL$11:$AL1014,$AL1014))</f>
        <v/>
      </c>
    </row>
    <row r="1015" spans="23:53" ht="15" customHeight="1" x14ac:dyDescent="0.25">
      <c r="AL1015" s="17"/>
      <c r="AM1015" s="12"/>
      <c r="AN1015" s="18"/>
      <c r="AO1015" s="18"/>
      <c r="AP1015" s="10"/>
      <c r="AQ1015" s="10"/>
      <c r="AR1015" s="19"/>
      <c r="AS1015" s="20"/>
      <c r="AT1015" s="19"/>
      <c r="AV1015" s="21">
        <f>IF(AND($AL1015&lt;&gt;"",COUNTIF($AL$11:$AL1015,$AL1015)=1),1,0)</f>
        <v>0</v>
      </c>
      <c r="AW1015" s="21">
        <f t="shared" si="117"/>
        <v>0</v>
      </c>
      <c r="AX1015" s="21" t="str">
        <f t="shared" si="116"/>
        <v/>
      </c>
      <c r="AY1015" s="21" t="str">
        <f>IF(AND($AM1015&lt;&gt;"",$AS1015&lt;&gt;"✓"),SUMPRODUCT(($AM$11:$AM1015&lt;&gt;"")*($AS$11:$AS1015&lt;&gt;"✓")),"")</f>
        <v/>
      </c>
      <c r="AZ1015" s="21" t="str">
        <f>IF(AND($AM1015&lt;&gt;"",$AS1015="✓"),SUMPRODUCT(($AM$11:$AM1015&lt;&gt;"")*($AS$11:$AS1015="✓")),"")</f>
        <v/>
      </c>
      <c r="BA1015" s="21" t="str">
        <f>IF($AL1015="","",$AL1015&amp;"|"&amp;COUNTIF($AL$11:$AL1015,$AL1015))</f>
        <v/>
      </c>
    </row>
    <row r="1016" spans="23:53" ht="15" customHeight="1" x14ac:dyDescent="0.25">
      <c r="AL1016" s="31"/>
      <c r="AM1016" s="26"/>
      <c r="AN1016" s="32"/>
      <c r="AO1016" s="32"/>
      <c r="AP1016" s="24"/>
      <c r="AQ1016" s="24"/>
      <c r="AR1016" s="33"/>
      <c r="AS1016" s="34"/>
      <c r="AT1016" s="33"/>
      <c r="AV1016" s="21">
        <f>IF(AND($AL1016&lt;&gt;"",COUNTIF($AL$11:$AL1016,$AL1016)=1),1,0)</f>
        <v>0</v>
      </c>
      <c r="AW1016" s="21">
        <f t="shared" si="117"/>
        <v>0</v>
      </c>
      <c r="AX1016" s="21" t="str">
        <f t="shared" si="116"/>
        <v/>
      </c>
      <c r="AY1016" s="21" t="str">
        <f>IF(AND($AM1016&lt;&gt;"",$AS1016&lt;&gt;"✓"),SUMPRODUCT(($AM$11:$AM1016&lt;&gt;"")*($AS$11:$AS1016&lt;&gt;"✓")),"")</f>
        <v/>
      </c>
      <c r="AZ1016" s="21" t="str">
        <f>IF(AND($AM1016&lt;&gt;"",$AS1016="✓"),SUMPRODUCT(($AM$11:$AM1016&lt;&gt;"")*($AS$11:$AS1016="✓")),"")</f>
        <v/>
      </c>
      <c r="BA1016" s="21" t="str">
        <f>IF($AL1016="","",$AL1016&amp;"|"&amp;COUNTIF($AL$11:$AL1016,$AL1016))</f>
        <v/>
      </c>
    </row>
    <row r="1017" spans="23:53" ht="15" customHeight="1" x14ac:dyDescent="0.25">
      <c r="AL1017" s="17"/>
      <c r="AM1017" s="12"/>
      <c r="AN1017" s="18"/>
      <c r="AO1017" s="18"/>
      <c r="AP1017" s="10"/>
      <c r="AQ1017" s="10"/>
      <c r="AR1017" s="19"/>
      <c r="AS1017" s="20"/>
      <c r="AT1017" s="19"/>
      <c r="AV1017" s="21">
        <f>IF(AND($AL1017&lt;&gt;"",COUNTIF($AL$11:$AL1017,$AL1017)=1),1,0)</f>
        <v>0</v>
      </c>
      <c r="AW1017" s="21">
        <f t="shared" si="117"/>
        <v>0</v>
      </c>
      <c r="AX1017" s="21" t="str">
        <f t="shared" si="116"/>
        <v/>
      </c>
      <c r="AY1017" s="21" t="str">
        <f>IF(AND($AM1017&lt;&gt;"",$AS1017&lt;&gt;"✓"),SUMPRODUCT(($AM$11:$AM1017&lt;&gt;"")*($AS$11:$AS1017&lt;&gt;"✓")),"")</f>
        <v/>
      </c>
      <c r="AZ1017" s="21" t="str">
        <f>IF(AND($AM1017&lt;&gt;"",$AS1017="✓"),SUMPRODUCT(($AM$11:$AM1017&lt;&gt;"")*($AS$11:$AS1017="✓")),"")</f>
        <v/>
      </c>
      <c r="BA1017" s="21" t="str">
        <f>IF($AL1017="","",$AL1017&amp;"|"&amp;COUNTIF($AL$11:$AL1017,$AL1017))</f>
        <v/>
      </c>
    </row>
    <row r="1018" spans="23:53" ht="15" customHeight="1" x14ac:dyDescent="0.25">
      <c r="AL1018" s="31"/>
      <c r="AM1018" s="26"/>
      <c r="AN1018" s="32"/>
      <c r="AO1018" s="32"/>
      <c r="AP1018" s="24"/>
      <c r="AQ1018" s="24"/>
      <c r="AR1018" s="33"/>
      <c r="AS1018" s="34"/>
      <c r="AT1018" s="33"/>
      <c r="AV1018" s="21">
        <f>IF(AND($AL1018&lt;&gt;"",COUNTIF($AL$11:$AL1018,$AL1018)=1),1,0)</f>
        <v>0</v>
      </c>
      <c r="AW1018" s="21">
        <f t="shared" si="117"/>
        <v>0</v>
      </c>
      <c r="AX1018" s="21" t="str">
        <f t="shared" si="116"/>
        <v/>
      </c>
      <c r="AY1018" s="21" t="str">
        <f>IF(AND($AM1018&lt;&gt;"",$AS1018&lt;&gt;"✓"),SUMPRODUCT(($AM$11:$AM1018&lt;&gt;"")*($AS$11:$AS1018&lt;&gt;"✓")),"")</f>
        <v/>
      </c>
      <c r="AZ1018" s="21" t="str">
        <f>IF(AND($AM1018&lt;&gt;"",$AS1018="✓"),SUMPRODUCT(($AM$11:$AM1018&lt;&gt;"")*($AS$11:$AS1018="✓")),"")</f>
        <v/>
      </c>
      <c r="BA1018" s="21" t="str">
        <f>IF($AL1018="","",$AL1018&amp;"|"&amp;COUNTIF($AL$11:$AL1018,$AL1018))</f>
        <v/>
      </c>
    </row>
    <row r="1019" spans="23:53" ht="15" customHeight="1" x14ac:dyDescent="0.25">
      <c r="AL1019" s="17"/>
      <c r="AM1019" s="12"/>
      <c r="AN1019" s="18"/>
      <c r="AO1019" s="18"/>
      <c r="AP1019" s="10"/>
      <c r="AQ1019" s="10"/>
      <c r="AR1019" s="19"/>
      <c r="AS1019" s="20"/>
      <c r="AT1019" s="19"/>
      <c r="AV1019" s="21">
        <f>IF(AND($AL1019&lt;&gt;"",COUNTIF($AL$11:$AL1019,$AL1019)=1),1,0)</f>
        <v>0</v>
      </c>
      <c r="AW1019" s="21">
        <f t="shared" si="117"/>
        <v>0</v>
      </c>
      <c r="AX1019" s="21" t="str">
        <f t="shared" si="116"/>
        <v/>
      </c>
      <c r="AY1019" s="21" t="str">
        <f>IF(AND($AM1019&lt;&gt;"",$AS1019&lt;&gt;"✓"),SUMPRODUCT(($AM$11:$AM1019&lt;&gt;"")*($AS$11:$AS1019&lt;&gt;"✓")),"")</f>
        <v/>
      </c>
      <c r="AZ1019" s="21" t="str">
        <f>IF(AND($AM1019&lt;&gt;"",$AS1019="✓"),SUMPRODUCT(($AM$11:$AM1019&lt;&gt;"")*($AS$11:$AS1019="✓")),"")</f>
        <v/>
      </c>
      <c r="BA1019" s="21" t="str">
        <f>IF($AL1019="","",$AL1019&amp;"|"&amp;COUNTIF($AL$11:$AL1019,$AL1019))</f>
        <v/>
      </c>
    </row>
    <row r="1020" spans="23:53" ht="15" customHeight="1" x14ac:dyDescent="0.25">
      <c r="AL1020" s="31"/>
      <c r="AM1020" s="26"/>
      <c r="AN1020" s="32"/>
      <c r="AO1020" s="32"/>
      <c r="AP1020" s="24"/>
      <c r="AQ1020" s="24"/>
      <c r="AR1020" s="33"/>
      <c r="AS1020" s="34"/>
      <c r="AT1020" s="33"/>
      <c r="AV1020" s="21">
        <f>IF(AND($AL1020&lt;&gt;"",COUNTIF($AL$11:$AL1020,$AL1020)=1),1,0)</f>
        <v>0</v>
      </c>
      <c r="AW1020" s="21">
        <f t="shared" si="117"/>
        <v>0</v>
      </c>
      <c r="AX1020" s="21" t="str">
        <f t="shared" si="116"/>
        <v/>
      </c>
      <c r="AY1020" s="21" t="str">
        <f>IF(AND($AM1020&lt;&gt;"",$AS1020&lt;&gt;"✓"),SUMPRODUCT(($AM$11:$AM1020&lt;&gt;"")*($AS$11:$AS1020&lt;&gt;"✓")),"")</f>
        <v/>
      </c>
      <c r="AZ1020" s="21" t="str">
        <f>IF(AND($AM1020&lt;&gt;"",$AS1020="✓"),SUMPRODUCT(($AM$11:$AM1020&lt;&gt;"")*($AS$11:$AS1020="✓")),"")</f>
        <v/>
      </c>
      <c r="BA1020" s="21" t="str">
        <f>IF($AL1020="","",$AL1020&amp;"|"&amp;COUNTIF($AL$11:$AL1020,$AL1020))</f>
        <v/>
      </c>
    </row>
    <row r="1021" spans="23:53" ht="15" customHeight="1" x14ac:dyDescent="0.25">
      <c r="AL1021" s="17"/>
      <c r="AM1021" s="12"/>
      <c r="AN1021" s="18"/>
      <c r="AO1021" s="18"/>
      <c r="AP1021" s="10"/>
      <c r="AQ1021" s="10"/>
      <c r="AR1021" s="19"/>
      <c r="AS1021" s="20"/>
      <c r="AT1021" s="19"/>
      <c r="AV1021" s="21">
        <f>IF(AND($AL1021&lt;&gt;"",COUNTIF($AL$11:$AL1021,$AL1021)=1),1,0)</f>
        <v>0</v>
      </c>
      <c r="AW1021" s="21">
        <f t="shared" si="117"/>
        <v>0</v>
      </c>
      <c r="AX1021" s="21" t="str">
        <f t="shared" si="116"/>
        <v/>
      </c>
      <c r="AY1021" s="21" t="str">
        <f>IF(AND($AM1021&lt;&gt;"",$AS1021&lt;&gt;"✓"),SUMPRODUCT(($AM$11:$AM1021&lt;&gt;"")*($AS$11:$AS1021&lt;&gt;"✓")),"")</f>
        <v/>
      </c>
      <c r="AZ1021" s="21" t="str">
        <f>IF(AND($AM1021&lt;&gt;"",$AS1021="✓"),SUMPRODUCT(($AM$11:$AM1021&lt;&gt;"")*($AS$11:$AS1021="✓")),"")</f>
        <v/>
      </c>
      <c r="BA1021" s="21" t="str">
        <f>IF($AL1021="","",$AL1021&amp;"|"&amp;COUNTIF($AL$11:$AL1021,$AL1021))</f>
        <v/>
      </c>
    </row>
    <row r="1022" spans="23:53" ht="15" customHeight="1" x14ac:dyDescent="0.25">
      <c r="AL1022" s="31"/>
      <c r="AM1022" s="26"/>
      <c r="AN1022" s="32"/>
      <c r="AO1022" s="32"/>
      <c r="AP1022" s="24"/>
      <c r="AQ1022" s="24"/>
      <c r="AR1022" s="33"/>
      <c r="AS1022" s="34"/>
      <c r="AT1022" s="33"/>
      <c r="AV1022" s="21">
        <f>IF(AND($AL1022&lt;&gt;"",COUNTIF($AL$11:$AL1022,$AL1022)=1),1,0)</f>
        <v>0</v>
      </c>
      <c r="AW1022" s="21">
        <f t="shared" si="117"/>
        <v>0</v>
      </c>
      <c r="AX1022" s="21" t="str">
        <f t="shared" si="116"/>
        <v/>
      </c>
      <c r="AY1022" s="21" t="str">
        <f>IF(AND($AM1022&lt;&gt;"",$AS1022&lt;&gt;"✓"),SUMPRODUCT(($AM$11:$AM1022&lt;&gt;"")*($AS$11:$AS1022&lt;&gt;"✓")),"")</f>
        <v/>
      </c>
      <c r="AZ1022" s="21" t="str">
        <f>IF(AND($AM1022&lt;&gt;"",$AS1022="✓"),SUMPRODUCT(($AM$11:$AM1022&lt;&gt;"")*($AS$11:$AS1022="✓")),"")</f>
        <v/>
      </c>
      <c r="BA1022" s="21" t="str">
        <f>IF($AL1022="","",$AL1022&amp;"|"&amp;COUNTIF($AL$11:$AL1022,$AL1022))</f>
        <v/>
      </c>
    </row>
    <row r="1023" spans="23:53" ht="15" customHeight="1" x14ac:dyDescent="0.25">
      <c r="AL1023" s="17"/>
      <c r="AM1023" s="12"/>
      <c r="AN1023" s="18"/>
      <c r="AO1023" s="18"/>
      <c r="AP1023" s="10"/>
      <c r="AQ1023" s="10"/>
      <c r="AR1023" s="19"/>
      <c r="AS1023" s="20"/>
      <c r="AT1023" s="19"/>
      <c r="AV1023" s="21">
        <f>IF(AND($AL1023&lt;&gt;"",COUNTIF($AL$11:$AL1023,$AL1023)=1),1,0)</f>
        <v>0</v>
      </c>
      <c r="AW1023" s="21">
        <f t="shared" si="117"/>
        <v>0</v>
      </c>
      <c r="AX1023" s="21" t="str">
        <f t="shared" si="116"/>
        <v/>
      </c>
      <c r="AY1023" s="21" t="str">
        <f>IF(AND($AM1023&lt;&gt;"",$AS1023&lt;&gt;"✓"),SUMPRODUCT(($AM$11:$AM1023&lt;&gt;"")*($AS$11:$AS1023&lt;&gt;"✓")),"")</f>
        <v/>
      </c>
      <c r="AZ1023" s="21" t="str">
        <f>IF(AND($AM1023&lt;&gt;"",$AS1023="✓"),SUMPRODUCT(($AM$11:$AM1023&lt;&gt;"")*($AS$11:$AS1023="✓")),"")</f>
        <v/>
      </c>
      <c r="BA1023" s="21" t="str">
        <f>IF($AL1023="","",$AL1023&amp;"|"&amp;COUNTIF($AL$11:$AL1023,$AL1023))</f>
        <v/>
      </c>
    </row>
    <row r="1024" spans="23:53" ht="15" customHeight="1" x14ac:dyDescent="0.25">
      <c r="AL1024" s="31"/>
      <c r="AM1024" s="26"/>
      <c r="AN1024" s="32"/>
      <c r="AO1024" s="32"/>
      <c r="AP1024" s="24"/>
      <c r="AQ1024" s="24"/>
      <c r="AR1024" s="33"/>
      <c r="AS1024" s="34"/>
      <c r="AT1024" s="33"/>
      <c r="AV1024" s="21">
        <f>IF(AND($AL1024&lt;&gt;"",COUNTIF($AL$11:$AL1024,$AL1024)=1),1,0)</f>
        <v>0</v>
      </c>
      <c r="AW1024" s="21">
        <f t="shared" si="117"/>
        <v>0</v>
      </c>
      <c r="AX1024" s="21" t="str">
        <f t="shared" si="116"/>
        <v/>
      </c>
      <c r="AY1024" s="21" t="str">
        <f>IF(AND($AM1024&lt;&gt;"",$AS1024&lt;&gt;"✓"),SUMPRODUCT(($AM$11:$AM1024&lt;&gt;"")*($AS$11:$AS1024&lt;&gt;"✓")),"")</f>
        <v/>
      </c>
      <c r="AZ1024" s="21" t="str">
        <f>IF(AND($AM1024&lt;&gt;"",$AS1024="✓"),SUMPRODUCT(($AM$11:$AM1024&lt;&gt;"")*($AS$11:$AS1024="✓")),"")</f>
        <v/>
      </c>
      <c r="BA1024" s="21" t="str">
        <f>IF($AL1024="","",$AL1024&amp;"|"&amp;COUNTIF($AL$11:$AL1024,$AL1024))</f>
        <v/>
      </c>
    </row>
    <row r="1025" spans="38:53" ht="15" customHeight="1" x14ac:dyDescent="0.25">
      <c r="AL1025" s="17"/>
      <c r="AM1025" s="12"/>
      <c r="AN1025" s="18"/>
      <c r="AO1025" s="18"/>
      <c r="AP1025" s="10"/>
      <c r="AQ1025" s="10"/>
      <c r="AR1025" s="19"/>
      <c r="AS1025" s="20"/>
      <c r="AT1025" s="19"/>
      <c r="AV1025" s="21">
        <f>IF(AND($AL1025&lt;&gt;"",COUNTIF($AL$11:$AL1025,$AL1025)=1),1,0)</f>
        <v>0</v>
      </c>
      <c r="AW1025" s="21">
        <f t="shared" si="117"/>
        <v>0</v>
      </c>
      <c r="AX1025" s="21" t="str">
        <f t="shared" si="116"/>
        <v/>
      </c>
      <c r="AY1025" s="21" t="str">
        <f>IF(AND($AM1025&lt;&gt;"",$AS1025&lt;&gt;"✓"),SUMPRODUCT(($AM$11:$AM1025&lt;&gt;"")*($AS$11:$AS1025&lt;&gt;"✓")),"")</f>
        <v/>
      </c>
      <c r="AZ1025" s="21" t="str">
        <f>IF(AND($AM1025&lt;&gt;"",$AS1025="✓"),SUMPRODUCT(($AM$11:$AM1025&lt;&gt;"")*($AS$11:$AS1025="✓")),"")</f>
        <v/>
      </c>
      <c r="BA1025" s="21" t="str">
        <f>IF($AL1025="","",$AL1025&amp;"|"&amp;COUNTIF($AL$11:$AL1025,$AL1025))</f>
        <v/>
      </c>
    </row>
    <row r="1026" spans="38:53" ht="15" customHeight="1" x14ac:dyDescent="0.25">
      <c r="AL1026" s="31"/>
      <c r="AM1026" s="26"/>
      <c r="AN1026" s="32"/>
      <c r="AO1026" s="32"/>
      <c r="AP1026" s="24"/>
      <c r="AQ1026" s="24"/>
      <c r="AR1026" s="33"/>
      <c r="AS1026" s="34"/>
      <c r="AT1026" s="33"/>
      <c r="AV1026" s="21">
        <f>IF(AND($AL1026&lt;&gt;"",COUNTIF($AL$11:$AL1026,$AL1026)=1),1,0)</f>
        <v>0</v>
      </c>
      <c r="AW1026" s="21">
        <f t="shared" si="117"/>
        <v>0</v>
      </c>
      <c r="AX1026" s="21" t="str">
        <f t="shared" si="116"/>
        <v/>
      </c>
      <c r="AY1026" s="21" t="str">
        <f>IF(AND($AM1026&lt;&gt;"",$AS1026&lt;&gt;"✓"),SUMPRODUCT(($AM$11:$AM1026&lt;&gt;"")*($AS$11:$AS1026&lt;&gt;"✓")),"")</f>
        <v/>
      </c>
      <c r="AZ1026" s="21" t="str">
        <f>IF(AND($AM1026&lt;&gt;"",$AS1026="✓"),SUMPRODUCT(($AM$11:$AM1026&lt;&gt;"")*($AS$11:$AS1026="✓")),"")</f>
        <v/>
      </c>
      <c r="BA1026" s="21" t="str">
        <f>IF($AL1026="","",$AL1026&amp;"|"&amp;COUNTIF($AL$11:$AL1026,$AL1026))</f>
        <v/>
      </c>
    </row>
    <row r="1027" spans="38:53" ht="15" customHeight="1" x14ac:dyDescent="0.25">
      <c r="AL1027" s="17"/>
      <c r="AM1027" s="12"/>
      <c r="AN1027" s="18"/>
      <c r="AO1027" s="18"/>
      <c r="AP1027" s="10"/>
      <c r="AQ1027" s="10"/>
      <c r="AR1027" s="19"/>
      <c r="AS1027" s="20"/>
      <c r="AT1027" s="19"/>
      <c r="AV1027" s="21">
        <f>IF(AND($AL1027&lt;&gt;"",COUNTIF($AL$11:$AL1027,$AL1027)=1),1,0)</f>
        <v>0</v>
      </c>
      <c r="AW1027" s="21">
        <f t="shared" si="117"/>
        <v>0</v>
      </c>
      <c r="AX1027" s="21" t="str">
        <f t="shared" si="116"/>
        <v/>
      </c>
      <c r="AY1027" s="21" t="str">
        <f>IF(AND($AM1027&lt;&gt;"",$AS1027&lt;&gt;"✓"),SUMPRODUCT(($AM$11:$AM1027&lt;&gt;"")*($AS$11:$AS1027&lt;&gt;"✓")),"")</f>
        <v/>
      </c>
      <c r="AZ1027" s="21" t="str">
        <f>IF(AND($AM1027&lt;&gt;"",$AS1027="✓"),SUMPRODUCT(($AM$11:$AM1027&lt;&gt;"")*($AS$11:$AS1027="✓")),"")</f>
        <v/>
      </c>
      <c r="BA1027" s="21" t="str">
        <f>IF($AL1027="","",$AL1027&amp;"|"&amp;COUNTIF($AL$11:$AL1027,$AL1027))</f>
        <v/>
      </c>
    </row>
    <row r="1028" spans="38:53" ht="15" customHeight="1" x14ac:dyDescent="0.25">
      <c r="AL1028" s="31"/>
      <c r="AM1028" s="26"/>
      <c r="AN1028" s="32"/>
      <c r="AO1028" s="32"/>
      <c r="AP1028" s="24"/>
      <c r="AQ1028" s="24"/>
      <c r="AR1028" s="33"/>
      <c r="AS1028" s="34"/>
      <c r="AT1028" s="33"/>
      <c r="AV1028" s="21">
        <f>IF(AND($AL1028&lt;&gt;"",COUNTIF($AL$11:$AL1028,$AL1028)=1),1,0)</f>
        <v>0</v>
      </c>
      <c r="AW1028" s="21">
        <f t="shared" si="117"/>
        <v>0</v>
      </c>
      <c r="AX1028" s="21" t="str">
        <f t="shared" si="116"/>
        <v/>
      </c>
      <c r="AY1028" s="21" t="str">
        <f>IF(AND($AM1028&lt;&gt;"",$AS1028&lt;&gt;"✓"),SUMPRODUCT(($AM$11:$AM1028&lt;&gt;"")*($AS$11:$AS1028&lt;&gt;"✓")),"")</f>
        <v/>
      </c>
      <c r="AZ1028" s="21" t="str">
        <f>IF(AND($AM1028&lt;&gt;"",$AS1028="✓"),SUMPRODUCT(($AM$11:$AM1028&lt;&gt;"")*($AS$11:$AS1028="✓")),"")</f>
        <v/>
      </c>
      <c r="BA1028" s="21" t="str">
        <f>IF($AL1028="","",$AL1028&amp;"|"&amp;COUNTIF($AL$11:$AL1028,$AL1028))</f>
        <v/>
      </c>
    </row>
    <row r="1029" spans="38:53" ht="15" customHeight="1" x14ac:dyDescent="0.25">
      <c r="AL1029" s="17"/>
      <c r="AM1029" s="12"/>
      <c r="AN1029" s="18"/>
      <c r="AO1029" s="18"/>
      <c r="AP1029" s="10"/>
      <c r="AQ1029" s="10"/>
      <c r="AR1029" s="19"/>
      <c r="AS1029" s="20"/>
      <c r="AT1029" s="19"/>
      <c r="AV1029" s="21">
        <f>IF(AND($AL1029&lt;&gt;"",COUNTIF($AL$11:$AL1029,$AL1029)=1),1,0)</f>
        <v>0</v>
      </c>
      <c r="AW1029" s="21">
        <f t="shared" si="117"/>
        <v>0</v>
      </c>
      <c r="AX1029" s="21" t="str">
        <f t="shared" si="116"/>
        <v/>
      </c>
      <c r="AY1029" s="21" t="str">
        <f>IF(AND($AM1029&lt;&gt;"",$AS1029&lt;&gt;"✓"),SUMPRODUCT(($AM$11:$AM1029&lt;&gt;"")*($AS$11:$AS1029&lt;&gt;"✓")),"")</f>
        <v/>
      </c>
      <c r="AZ1029" s="21" t="str">
        <f>IF(AND($AM1029&lt;&gt;"",$AS1029="✓"),SUMPRODUCT(($AM$11:$AM1029&lt;&gt;"")*($AS$11:$AS1029="✓")),"")</f>
        <v/>
      </c>
      <c r="BA1029" s="21" t="str">
        <f>IF($AL1029="","",$AL1029&amp;"|"&amp;COUNTIF($AL$11:$AL1029,$AL1029))</f>
        <v/>
      </c>
    </row>
    <row r="1030" spans="38:53" ht="15" customHeight="1" x14ac:dyDescent="0.25">
      <c r="AL1030" s="31"/>
      <c r="AM1030" s="26"/>
      <c r="AN1030" s="32"/>
      <c r="AO1030" s="32"/>
      <c r="AP1030" s="24"/>
      <c r="AQ1030" s="24"/>
      <c r="AR1030" s="33"/>
      <c r="AS1030" s="34"/>
      <c r="AT1030" s="33"/>
      <c r="AV1030" s="21">
        <f>IF(AND($AL1030&lt;&gt;"",COUNTIF($AL$11:$AL1030,$AL1030)=1),1,0)</f>
        <v>0</v>
      </c>
      <c r="AW1030" s="21">
        <f t="shared" si="117"/>
        <v>0</v>
      </c>
      <c r="AX1030" s="21" t="str">
        <f t="shared" si="116"/>
        <v/>
      </c>
      <c r="AY1030" s="21" t="str">
        <f>IF(AND($AM1030&lt;&gt;"",$AS1030&lt;&gt;"✓"),SUMPRODUCT(($AM$11:$AM1030&lt;&gt;"")*($AS$11:$AS1030&lt;&gt;"✓")),"")</f>
        <v/>
      </c>
      <c r="AZ1030" s="21" t="str">
        <f>IF(AND($AM1030&lt;&gt;"",$AS1030="✓"),SUMPRODUCT(($AM$11:$AM1030&lt;&gt;"")*($AS$11:$AS1030="✓")),"")</f>
        <v/>
      </c>
      <c r="BA1030" s="21" t="str">
        <f>IF($AL1030="","",$AL1030&amp;"|"&amp;COUNTIF($AL$11:$AL1030,$AL1030))</f>
        <v/>
      </c>
    </row>
    <row r="1031" spans="38:53" ht="15" customHeight="1" x14ac:dyDescent="0.25">
      <c r="AL1031" s="17"/>
      <c r="AM1031" s="12"/>
      <c r="AN1031" s="18"/>
      <c r="AO1031" s="18"/>
      <c r="AP1031" s="10"/>
      <c r="AQ1031" s="10"/>
      <c r="AR1031" s="19"/>
      <c r="AS1031" s="20"/>
      <c r="AT1031" s="19"/>
      <c r="AV1031" s="21">
        <f>IF(AND($AL1031&lt;&gt;"",COUNTIF($AL$11:$AL1031,$AL1031)=1),1,0)</f>
        <v>0</v>
      </c>
      <c r="AW1031" s="21">
        <f t="shared" si="117"/>
        <v>0</v>
      </c>
      <c r="AX1031" s="21" t="str">
        <f t="shared" si="116"/>
        <v/>
      </c>
      <c r="AY1031" s="21" t="str">
        <f>IF(AND($AM1031&lt;&gt;"",$AS1031&lt;&gt;"✓"),SUMPRODUCT(($AM$11:$AM1031&lt;&gt;"")*($AS$11:$AS1031&lt;&gt;"✓")),"")</f>
        <v/>
      </c>
      <c r="AZ1031" s="21" t="str">
        <f>IF(AND($AM1031&lt;&gt;"",$AS1031="✓"),SUMPRODUCT(($AM$11:$AM1031&lt;&gt;"")*($AS$11:$AS1031="✓")),"")</f>
        <v/>
      </c>
      <c r="BA1031" s="21" t="str">
        <f>IF($AL1031="","",$AL1031&amp;"|"&amp;COUNTIF($AL$11:$AL1031,$AL1031))</f>
        <v/>
      </c>
    </row>
    <row r="1032" spans="38:53" ht="15" customHeight="1" x14ac:dyDescent="0.25">
      <c r="AL1032" s="31"/>
      <c r="AM1032" s="26"/>
      <c r="AN1032" s="32"/>
      <c r="AO1032" s="32"/>
      <c r="AP1032" s="24"/>
      <c r="AQ1032" s="24"/>
      <c r="AR1032" s="33"/>
      <c r="AS1032" s="34"/>
      <c r="AT1032" s="33"/>
      <c r="AV1032" s="21">
        <f>IF(AND($AL1032&lt;&gt;"",COUNTIF($AL$11:$AL1032,$AL1032)=1),1,0)</f>
        <v>0</v>
      </c>
      <c r="AW1032" s="21">
        <f t="shared" si="117"/>
        <v>0</v>
      </c>
      <c r="AX1032" s="21" t="str">
        <f t="shared" si="116"/>
        <v/>
      </c>
      <c r="AY1032" s="21" t="str">
        <f>IF(AND($AM1032&lt;&gt;"",$AS1032&lt;&gt;"✓"),SUMPRODUCT(($AM$11:$AM1032&lt;&gt;"")*($AS$11:$AS1032&lt;&gt;"✓")),"")</f>
        <v/>
      </c>
      <c r="AZ1032" s="21" t="str">
        <f>IF(AND($AM1032&lt;&gt;"",$AS1032="✓"),SUMPRODUCT(($AM$11:$AM1032&lt;&gt;"")*($AS$11:$AS1032="✓")),"")</f>
        <v/>
      </c>
      <c r="BA1032" s="21" t="str">
        <f>IF($AL1032="","",$AL1032&amp;"|"&amp;COUNTIF($AL$11:$AL1032,$AL1032))</f>
        <v/>
      </c>
    </row>
    <row r="1033" spans="38:53" ht="15" customHeight="1" x14ac:dyDescent="0.25">
      <c r="AL1033" s="17"/>
      <c r="AM1033" s="12"/>
      <c r="AN1033" s="18"/>
      <c r="AO1033" s="18"/>
      <c r="AP1033" s="10"/>
      <c r="AQ1033" s="10"/>
      <c r="AR1033" s="19"/>
      <c r="AS1033" s="20"/>
      <c r="AT1033" s="19"/>
      <c r="AV1033" s="21">
        <f>IF(AND($AL1033&lt;&gt;"",COUNTIF($AL$11:$AL1033,$AL1033)=1),1,0)</f>
        <v>0</v>
      </c>
      <c r="AW1033" s="21">
        <f t="shared" si="117"/>
        <v>0</v>
      </c>
      <c r="AX1033" s="21" t="str">
        <f t="shared" si="116"/>
        <v/>
      </c>
      <c r="AY1033" s="21" t="str">
        <f>IF(AND($AM1033&lt;&gt;"",$AS1033&lt;&gt;"✓"),SUMPRODUCT(($AM$11:$AM1033&lt;&gt;"")*($AS$11:$AS1033&lt;&gt;"✓")),"")</f>
        <v/>
      </c>
      <c r="AZ1033" s="21" t="str">
        <f>IF(AND($AM1033&lt;&gt;"",$AS1033="✓"),SUMPRODUCT(($AM$11:$AM1033&lt;&gt;"")*($AS$11:$AS1033="✓")),"")</f>
        <v/>
      </c>
      <c r="BA1033" s="21" t="str">
        <f>IF($AL1033="","",$AL1033&amp;"|"&amp;COUNTIF($AL$11:$AL1033,$AL1033))</f>
        <v/>
      </c>
    </row>
    <row r="1034" spans="38:53" ht="15" customHeight="1" x14ac:dyDescent="0.25">
      <c r="AL1034" s="31"/>
      <c r="AM1034" s="26"/>
      <c r="AN1034" s="32"/>
      <c r="AO1034" s="32"/>
      <c r="AP1034" s="24"/>
      <c r="AQ1034" s="24"/>
      <c r="AR1034" s="33"/>
      <c r="AS1034" s="34"/>
      <c r="AT1034" s="33"/>
      <c r="AV1034" s="21">
        <f>IF(AND($AL1034&lt;&gt;"",COUNTIF($AL$11:$AL1034,$AL1034)=1),1,0)</f>
        <v>0</v>
      </c>
      <c r="AW1034" s="21">
        <f t="shared" si="117"/>
        <v>0</v>
      </c>
      <c r="AX1034" s="21" t="str">
        <f t="shared" si="116"/>
        <v/>
      </c>
      <c r="AY1034" s="21" t="str">
        <f>IF(AND($AM1034&lt;&gt;"",$AS1034&lt;&gt;"✓"),SUMPRODUCT(($AM$11:$AM1034&lt;&gt;"")*($AS$11:$AS1034&lt;&gt;"✓")),"")</f>
        <v/>
      </c>
      <c r="AZ1034" s="21" t="str">
        <f>IF(AND($AM1034&lt;&gt;"",$AS1034="✓"),SUMPRODUCT(($AM$11:$AM1034&lt;&gt;"")*($AS$11:$AS1034="✓")),"")</f>
        <v/>
      </c>
      <c r="BA1034" s="21" t="str">
        <f>IF($AL1034="","",$AL1034&amp;"|"&amp;COUNTIF($AL$11:$AL1034,$AL1034))</f>
        <v/>
      </c>
    </row>
    <row r="1035" spans="38:53" ht="15" customHeight="1" x14ac:dyDescent="0.25">
      <c r="AL1035" s="17"/>
      <c r="AM1035" s="12"/>
      <c r="AN1035" s="18"/>
      <c r="AO1035" s="18"/>
      <c r="AP1035" s="10"/>
      <c r="AQ1035" s="10"/>
      <c r="AR1035" s="19"/>
      <c r="AS1035" s="20"/>
      <c r="AT1035" s="19"/>
      <c r="AV1035" s="21">
        <f>IF(AND($AL1035&lt;&gt;"",COUNTIF($AL$11:$AL1035,$AL1035)=1),1,0)</f>
        <v>0</v>
      </c>
      <c r="AW1035" s="21">
        <f t="shared" si="117"/>
        <v>0</v>
      </c>
      <c r="AX1035" s="21" t="str">
        <f t="shared" ref="AX1035:AX1098" si="118">IF(AV1035=1,AW1035,"")</f>
        <v/>
      </c>
      <c r="AY1035" s="21" t="str">
        <f>IF(AND($AM1035&lt;&gt;"",$AS1035&lt;&gt;"✓"),SUMPRODUCT(($AM$11:$AM1035&lt;&gt;"")*($AS$11:$AS1035&lt;&gt;"✓")),"")</f>
        <v/>
      </c>
      <c r="AZ1035" s="21" t="str">
        <f>IF(AND($AM1035&lt;&gt;"",$AS1035="✓"),SUMPRODUCT(($AM$11:$AM1035&lt;&gt;"")*($AS$11:$AS1035="✓")),"")</f>
        <v/>
      </c>
      <c r="BA1035" s="21" t="str">
        <f>IF($AL1035="","",$AL1035&amp;"|"&amp;COUNTIF($AL$11:$AL1035,$AL1035))</f>
        <v/>
      </c>
    </row>
    <row r="1036" spans="38:53" ht="15" customHeight="1" x14ac:dyDescent="0.25">
      <c r="AL1036" s="31"/>
      <c r="AM1036" s="26"/>
      <c r="AN1036" s="32"/>
      <c r="AO1036" s="32"/>
      <c r="AP1036" s="24"/>
      <c r="AQ1036" s="24"/>
      <c r="AR1036" s="33"/>
      <c r="AS1036" s="34"/>
      <c r="AT1036" s="33"/>
      <c r="AV1036" s="21">
        <f>IF(AND($AL1036&lt;&gt;"",COUNTIF($AL$11:$AL1036,$AL1036)=1),1,0)</f>
        <v>0</v>
      </c>
      <c r="AW1036" s="21">
        <f t="shared" ref="AW1036:AW1099" si="119">AW1035+AV1036</f>
        <v>0</v>
      </c>
      <c r="AX1036" s="21" t="str">
        <f t="shared" si="118"/>
        <v/>
      </c>
      <c r="AY1036" s="21" t="str">
        <f>IF(AND($AM1036&lt;&gt;"",$AS1036&lt;&gt;"✓"),SUMPRODUCT(($AM$11:$AM1036&lt;&gt;"")*($AS$11:$AS1036&lt;&gt;"✓")),"")</f>
        <v/>
      </c>
      <c r="AZ1036" s="21" t="str">
        <f>IF(AND($AM1036&lt;&gt;"",$AS1036="✓"),SUMPRODUCT(($AM$11:$AM1036&lt;&gt;"")*($AS$11:$AS1036="✓")),"")</f>
        <v/>
      </c>
      <c r="BA1036" s="21" t="str">
        <f>IF($AL1036="","",$AL1036&amp;"|"&amp;COUNTIF($AL$11:$AL1036,$AL1036))</f>
        <v/>
      </c>
    </row>
    <row r="1037" spans="38:53" ht="15" customHeight="1" x14ac:dyDescent="0.25">
      <c r="AL1037" s="17"/>
      <c r="AM1037" s="12"/>
      <c r="AN1037" s="18"/>
      <c r="AO1037" s="18"/>
      <c r="AP1037" s="10"/>
      <c r="AQ1037" s="10"/>
      <c r="AR1037" s="19"/>
      <c r="AS1037" s="20"/>
      <c r="AT1037" s="19"/>
      <c r="AV1037" s="21">
        <f>IF(AND($AL1037&lt;&gt;"",COUNTIF($AL$11:$AL1037,$AL1037)=1),1,0)</f>
        <v>0</v>
      </c>
      <c r="AW1037" s="21">
        <f t="shared" si="119"/>
        <v>0</v>
      </c>
      <c r="AX1037" s="21" t="str">
        <f t="shared" si="118"/>
        <v/>
      </c>
      <c r="AY1037" s="21" t="str">
        <f>IF(AND($AM1037&lt;&gt;"",$AS1037&lt;&gt;"✓"),SUMPRODUCT(($AM$11:$AM1037&lt;&gt;"")*($AS$11:$AS1037&lt;&gt;"✓")),"")</f>
        <v/>
      </c>
      <c r="AZ1037" s="21" t="str">
        <f>IF(AND($AM1037&lt;&gt;"",$AS1037="✓"),SUMPRODUCT(($AM$11:$AM1037&lt;&gt;"")*($AS$11:$AS1037="✓")),"")</f>
        <v/>
      </c>
      <c r="BA1037" s="21" t="str">
        <f>IF($AL1037="","",$AL1037&amp;"|"&amp;COUNTIF($AL$11:$AL1037,$AL1037))</f>
        <v/>
      </c>
    </row>
    <row r="1038" spans="38:53" ht="15" customHeight="1" x14ac:dyDescent="0.25">
      <c r="AL1038" s="31"/>
      <c r="AM1038" s="26"/>
      <c r="AN1038" s="32"/>
      <c r="AO1038" s="32"/>
      <c r="AP1038" s="24"/>
      <c r="AQ1038" s="24"/>
      <c r="AR1038" s="33"/>
      <c r="AS1038" s="34"/>
      <c r="AT1038" s="33"/>
      <c r="AV1038" s="21">
        <f>IF(AND($AL1038&lt;&gt;"",COUNTIF($AL$11:$AL1038,$AL1038)=1),1,0)</f>
        <v>0</v>
      </c>
      <c r="AW1038" s="21">
        <f t="shared" si="119"/>
        <v>0</v>
      </c>
      <c r="AX1038" s="21" t="str">
        <f t="shared" si="118"/>
        <v/>
      </c>
      <c r="AY1038" s="21" t="str">
        <f>IF(AND($AM1038&lt;&gt;"",$AS1038&lt;&gt;"✓"),SUMPRODUCT(($AM$11:$AM1038&lt;&gt;"")*($AS$11:$AS1038&lt;&gt;"✓")),"")</f>
        <v/>
      </c>
      <c r="AZ1038" s="21" t="str">
        <f>IF(AND($AM1038&lt;&gt;"",$AS1038="✓"),SUMPRODUCT(($AM$11:$AM1038&lt;&gt;"")*($AS$11:$AS1038="✓")),"")</f>
        <v/>
      </c>
      <c r="BA1038" s="21" t="str">
        <f>IF($AL1038="","",$AL1038&amp;"|"&amp;COUNTIF($AL$11:$AL1038,$AL1038))</f>
        <v/>
      </c>
    </row>
    <row r="1039" spans="38:53" ht="15" customHeight="1" x14ac:dyDescent="0.25">
      <c r="AL1039" s="17"/>
      <c r="AM1039" s="12"/>
      <c r="AN1039" s="18"/>
      <c r="AO1039" s="18"/>
      <c r="AP1039" s="10"/>
      <c r="AQ1039" s="10"/>
      <c r="AR1039" s="19"/>
      <c r="AS1039" s="20"/>
      <c r="AT1039" s="19"/>
      <c r="AV1039" s="21">
        <f>IF(AND($AL1039&lt;&gt;"",COUNTIF($AL$11:$AL1039,$AL1039)=1),1,0)</f>
        <v>0</v>
      </c>
      <c r="AW1039" s="21">
        <f t="shared" si="119"/>
        <v>0</v>
      </c>
      <c r="AX1039" s="21" t="str">
        <f t="shared" si="118"/>
        <v/>
      </c>
      <c r="AY1039" s="21" t="str">
        <f>IF(AND($AM1039&lt;&gt;"",$AS1039&lt;&gt;"✓"),SUMPRODUCT(($AM$11:$AM1039&lt;&gt;"")*($AS$11:$AS1039&lt;&gt;"✓")),"")</f>
        <v/>
      </c>
      <c r="AZ1039" s="21" t="str">
        <f>IF(AND($AM1039&lt;&gt;"",$AS1039="✓"),SUMPRODUCT(($AM$11:$AM1039&lt;&gt;"")*($AS$11:$AS1039="✓")),"")</f>
        <v/>
      </c>
      <c r="BA1039" s="21" t="str">
        <f>IF($AL1039="","",$AL1039&amp;"|"&amp;COUNTIF($AL$11:$AL1039,$AL1039))</f>
        <v/>
      </c>
    </row>
    <row r="1040" spans="38:53" ht="15" customHeight="1" x14ac:dyDescent="0.25">
      <c r="AL1040" s="31"/>
      <c r="AM1040" s="26"/>
      <c r="AN1040" s="32"/>
      <c r="AO1040" s="32"/>
      <c r="AP1040" s="24"/>
      <c r="AQ1040" s="24"/>
      <c r="AR1040" s="33"/>
      <c r="AS1040" s="34"/>
      <c r="AT1040" s="33"/>
      <c r="AV1040" s="21">
        <f>IF(AND($AL1040&lt;&gt;"",COUNTIF($AL$11:$AL1040,$AL1040)=1),1,0)</f>
        <v>0</v>
      </c>
      <c r="AW1040" s="21">
        <f t="shared" si="119"/>
        <v>0</v>
      </c>
      <c r="AX1040" s="21" t="str">
        <f t="shared" si="118"/>
        <v/>
      </c>
      <c r="AY1040" s="21" t="str">
        <f>IF(AND($AM1040&lt;&gt;"",$AS1040&lt;&gt;"✓"),SUMPRODUCT(($AM$11:$AM1040&lt;&gt;"")*($AS$11:$AS1040&lt;&gt;"✓")),"")</f>
        <v/>
      </c>
      <c r="AZ1040" s="21" t="str">
        <f>IF(AND($AM1040&lt;&gt;"",$AS1040="✓"),SUMPRODUCT(($AM$11:$AM1040&lt;&gt;"")*($AS$11:$AS1040="✓")),"")</f>
        <v/>
      </c>
      <c r="BA1040" s="21" t="str">
        <f>IF($AL1040="","",$AL1040&amp;"|"&amp;COUNTIF($AL$11:$AL1040,$AL1040))</f>
        <v/>
      </c>
    </row>
    <row r="1041" spans="38:53" ht="15" customHeight="1" x14ac:dyDescent="0.25">
      <c r="AL1041" s="17"/>
      <c r="AM1041" s="12"/>
      <c r="AN1041" s="18"/>
      <c r="AO1041" s="18"/>
      <c r="AP1041" s="10"/>
      <c r="AQ1041" s="10"/>
      <c r="AR1041" s="19"/>
      <c r="AS1041" s="20"/>
      <c r="AT1041" s="19"/>
      <c r="AV1041" s="21">
        <f>IF(AND($AL1041&lt;&gt;"",COUNTIF($AL$11:$AL1041,$AL1041)=1),1,0)</f>
        <v>0</v>
      </c>
      <c r="AW1041" s="21">
        <f t="shared" si="119"/>
        <v>0</v>
      </c>
      <c r="AX1041" s="21" t="str">
        <f t="shared" si="118"/>
        <v/>
      </c>
      <c r="AY1041" s="21" t="str">
        <f>IF(AND($AM1041&lt;&gt;"",$AS1041&lt;&gt;"✓"),SUMPRODUCT(($AM$11:$AM1041&lt;&gt;"")*($AS$11:$AS1041&lt;&gt;"✓")),"")</f>
        <v/>
      </c>
      <c r="AZ1041" s="21" t="str">
        <f>IF(AND($AM1041&lt;&gt;"",$AS1041="✓"),SUMPRODUCT(($AM$11:$AM1041&lt;&gt;"")*($AS$11:$AS1041="✓")),"")</f>
        <v/>
      </c>
      <c r="BA1041" s="21" t="str">
        <f>IF($AL1041="","",$AL1041&amp;"|"&amp;COUNTIF($AL$11:$AL1041,$AL1041))</f>
        <v/>
      </c>
    </row>
    <row r="1042" spans="38:53" ht="15" customHeight="1" x14ac:dyDescent="0.25">
      <c r="AL1042" s="31"/>
      <c r="AM1042" s="26"/>
      <c r="AN1042" s="32"/>
      <c r="AO1042" s="32"/>
      <c r="AP1042" s="24"/>
      <c r="AQ1042" s="24"/>
      <c r="AR1042" s="33"/>
      <c r="AS1042" s="34"/>
      <c r="AT1042" s="33"/>
      <c r="AV1042" s="21">
        <f>IF(AND($AL1042&lt;&gt;"",COUNTIF($AL$11:$AL1042,$AL1042)=1),1,0)</f>
        <v>0</v>
      </c>
      <c r="AW1042" s="21">
        <f t="shared" si="119"/>
        <v>0</v>
      </c>
      <c r="AX1042" s="21" t="str">
        <f t="shared" si="118"/>
        <v/>
      </c>
      <c r="AY1042" s="21" t="str">
        <f>IF(AND($AM1042&lt;&gt;"",$AS1042&lt;&gt;"✓"),SUMPRODUCT(($AM$11:$AM1042&lt;&gt;"")*($AS$11:$AS1042&lt;&gt;"✓")),"")</f>
        <v/>
      </c>
      <c r="AZ1042" s="21" t="str">
        <f>IF(AND($AM1042&lt;&gt;"",$AS1042="✓"),SUMPRODUCT(($AM$11:$AM1042&lt;&gt;"")*($AS$11:$AS1042="✓")),"")</f>
        <v/>
      </c>
      <c r="BA1042" s="21" t="str">
        <f>IF($AL1042="","",$AL1042&amp;"|"&amp;COUNTIF($AL$11:$AL1042,$AL1042))</f>
        <v/>
      </c>
    </row>
    <row r="1043" spans="38:53" ht="15" customHeight="1" x14ac:dyDescent="0.25">
      <c r="AL1043" s="17"/>
      <c r="AM1043" s="12"/>
      <c r="AN1043" s="18"/>
      <c r="AO1043" s="18"/>
      <c r="AP1043" s="10"/>
      <c r="AQ1043" s="10"/>
      <c r="AR1043" s="19"/>
      <c r="AS1043" s="20"/>
      <c r="AT1043" s="19"/>
      <c r="AV1043" s="21">
        <f>IF(AND($AL1043&lt;&gt;"",COUNTIF($AL$11:$AL1043,$AL1043)=1),1,0)</f>
        <v>0</v>
      </c>
      <c r="AW1043" s="21">
        <f t="shared" si="119"/>
        <v>0</v>
      </c>
      <c r="AX1043" s="21" t="str">
        <f t="shared" si="118"/>
        <v/>
      </c>
      <c r="AY1043" s="21" t="str">
        <f>IF(AND($AM1043&lt;&gt;"",$AS1043&lt;&gt;"✓"),SUMPRODUCT(($AM$11:$AM1043&lt;&gt;"")*($AS$11:$AS1043&lt;&gt;"✓")),"")</f>
        <v/>
      </c>
      <c r="AZ1043" s="21" t="str">
        <f>IF(AND($AM1043&lt;&gt;"",$AS1043="✓"),SUMPRODUCT(($AM$11:$AM1043&lt;&gt;"")*($AS$11:$AS1043="✓")),"")</f>
        <v/>
      </c>
      <c r="BA1043" s="21" t="str">
        <f>IF($AL1043="","",$AL1043&amp;"|"&amp;COUNTIF($AL$11:$AL1043,$AL1043))</f>
        <v/>
      </c>
    </row>
    <row r="1044" spans="38:53" ht="15" customHeight="1" x14ac:dyDescent="0.25">
      <c r="AL1044" s="31"/>
      <c r="AM1044" s="26"/>
      <c r="AN1044" s="32"/>
      <c r="AO1044" s="32"/>
      <c r="AP1044" s="24"/>
      <c r="AQ1044" s="24"/>
      <c r="AR1044" s="33"/>
      <c r="AS1044" s="34"/>
      <c r="AT1044" s="33"/>
      <c r="AV1044" s="21">
        <f>IF(AND($AL1044&lt;&gt;"",COUNTIF($AL$11:$AL1044,$AL1044)=1),1,0)</f>
        <v>0</v>
      </c>
      <c r="AW1044" s="21">
        <f t="shared" si="119"/>
        <v>0</v>
      </c>
      <c r="AX1044" s="21" t="str">
        <f t="shared" si="118"/>
        <v/>
      </c>
      <c r="AY1044" s="21" t="str">
        <f>IF(AND($AM1044&lt;&gt;"",$AS1044&lt;&gt;"✓"),SUMPRODUCT(($AM$11:$AM1044&lt;&gt;"")*($AS$11:$AS1044&lt;&gt;"✓")),"")</f>
        <v/>
      </c>
      <c r="AZ1044" s="21" t="str">
        <f>IF(AND($AM1044&lt;&gt;"",$AS1044="✓"),SUMPRODUCT(($AM$11:$AM1044&lt;&gt;"")*($AS$11:$AS1044="✓")),"")</f>
        <v/>
      </c>
      <c r="BA1044" s="21" t="str">
        <f>IF($AL1044="","",$AL1044&amp;"|"&amp;COUNTIF($AL$11:$AL1044,$AL1044))</f>
        <v/>
      </c>
    </row>
    <row r="1045" spans="38:53" ht="15" customHeight="1" x14ac:dyDescent="0.25">
      <c r="AL1045" s="17"/>
      <c r="AM1045" s="12"/>
      <c r="AN1045" s="18"/>
      <c r="AO1045" s="18"/>
      <c r="AP1045" s="10"/>
      <c r="AQ1045" s="10"/>
      <c r="AR1045" s="19"/>
      <c r="AS1045" s="20"/>
      <c r="AT1045" s="19"/>
      <c r="AV1045" s="21">
        <f>IF(AND($AL1045&lt;&gt;"",COUNTIF($AL$11:$AL1045,$AL1045)=1),1,0)</f>
        <v>0</v>
      </c>
      <c r="AW1045" s="21">
        <f t="shared" si="119"/>
        <v>0</v>
      </c>
      <c r="AX1045" s="21" t="str">
        <f t="shared" si="118"/>
        <v/>
      </c>
      <c r="AY1045" s="21" t="str">
        <f>IF(AND($AM1045&lt;&gt;"",$AS1045&lt;&gt;"✓"),SUMPRODUCT(($AM$11:$AM1045&lt;&gt;"")*($AS$11:$AS1045&lt;&gt;"✓")),"")</f>
        <v/>
      </c>
      <c r="AZ1045" s="21" t="str">
        <f>IF(AND($AM1045&lt;&gt;"",$AS1045="✓"),SUMPRODUCT(($AM$11:$AM1045&lt;&gt;"")*($AS$11:$AS1045="✓")),"")</f>
        <v/>
      </c>
      <c r="BA1045" s="21" t="str">
        <f>IF($AL1045="","",$AL1045&amp;"|"&amp;COUNTIF($AL$11:$AL1045,$AL1045))</f>
        <v/>
      </c>
    </row>
    <row r="1046" spans="38:53" ht="15" customHeight="1" x14ac:dyDescent="0.25">
      <c r="AL1046" s="31"/>
      <c r="AM1046" s="26"/>
      <c r="AN1046" s="32"/>
      <c r="AO1046" s="32"/>
      <c r="AP1046" s="24"/>
      <c r="AQ1046" s="24"/>
      <c r="AR1046" s="33"/>
      <c r="AS1046" s="34"/>
      <c r="AT1046" s="33"/>
      <c r="AV1046" s="21">
        <f>IF(AND($AL1046&lt;&gt;"",COUNTIF($AL$11:$AL1046,$AL1046)=1),1,0)</f>
        <v>0</v>
      </c>
      <c r="AW1046" s="21">
        <f t="shared" si="119"/>
        <v>0</v>
      </c>
      <c r="AX1046" s="21" t="str">
        <f t="shared" si="118"/>
        <v/>
      </c>
      <c r="AY1046" s="21" t="str">
        <f>IF(AND($AM1046&lt;&gt;"",$AS1046&lt;&gt;"✓"),SUMPRODUCT(($AM$11:$AM1046&lt;&gt;"")*($AS$11:$AS1046&lt;&gt;"✓")),"")</f>
        <v/>
      </c>
      <c r="AZ1046" s="21" t="str">
        <f>IF(AND($AM1046&lt;&gt;"",$AS1046="✓"),SUMPRODUCT(($AM$11:$AM1046&lt;&gt;"")*($AS$11:$AS1046="✓")),"")</f>
        <v/>
      </c>
      <c r="BA1046" s="21" t="str">
        <f>IF($AL1046="","",$AL1046&amp;"|"&amp;COUNTIF($AL$11:$AL1046,$AL1046))</f>
        <v/>
      </c>
    </row>
    <row r="1047" spans="38:53" ht="15" customHeight="1" x14ac:dyDescent="0.25">
      <c r="AL1047" s="17"/>
      <c r="AM1047" s="12"/>
      <c r="AN1047" s="18"/>
      <c r="AO1047" s="18"/>
      <c r="AP1047" s="10"/>
      <c r="AQ1047" s="10"/>
      <c r="AR1047" s="19"/>
      <c r="AS1047" s="20"/>
      <c r="AT1047" s="19"/>
      <c r="AV1047" s="21">
        <f>IF(AND($AL1047&lt;&gt;"",COUNTIF($AL$11:$AL1047,$AL1047)=1),1,0)</f>
        <v>0</v>
      </c>
      <c r="AW1047" s="21">
        <f t="shared" si="119"/>
        <v>0</v>
      </c>
      <c r="AX1047" s="21" t="str">
        <f t="shared" si="118"/>
        <v/>
      </c>
      <c r="AY1047" s="21" t="str">
        <f>IF(AND($AM1047&lt;&gt;"",$AS1047&lt;&gt;"✓"),SUMPRODUCT(($AM$11:$AM1047&lt;&gt;"")*($AS$11:$AS1047&lt;&gt;"✓")),"")</f>
        <v/>
      </c>
      <c r="AZ1047" s="21" t="str">
        <f>IF(AND($AM1047&lt;&gt;"",$AS1047="✓"),SUMPRODUCT(($AM$11:$AM1047&lt;&gt;"")*($AS$11:$AS1047="✓")),"")</f>
        <v/>
      </c>
      <c r="BA1047" s="21" t="str">
        <f>IF($AL1047="","",$AL1047&amp;"|"&amp;COUNTIF($AL$11:$AL1047,$AL1047))</f>
        <v/>
      </c>
    </row>
    <row r="1048" spans="38:53" ht="15" customHeight="1" x14ac:dyDescent="0.25">
      <c r="AL1048" s="31"/>
      <c r="AM1048" s="26"/>
      <c r="AN1048" s="32"/>
      <c r="AO1048" s="32"/>
      <c r="AP1048" s="24"/>
      <c r="AQ1048" s="24"/>
      <c r="AR1048" s="33"/>
      <c r="AS1048" s="34"/>
      <c r="AT1048" s="33"/>
      <c r="AV1048" s="21">
        <f>IF(AND($AL1048&lt;&gt;"",COUNTIF($AL$11:$AL1048,$AL1048)=1),1,0)</f>
        <v>0</v>
      </c>
      <c r="AW1048" s="21">
        <f t="shared" si="119"/>
        <v>0</v>
      </c>
      <c r="AX1048" s="21" t="str">
        <f t="shared" si="118"/>
        <v/>
      </c>
      <c r="AY1048" s="21" t="str">
        <f>IF(AND($AM1048&lt;&gt;"",$AS1048&lt;&gt;"✓"),SUMPRODUCT(($AM$11:$AM1048&lt;&gt;"")*($AS$11:$AS1048&lt;&gt;"✓")),"")</f>
        <v/>
      </c>
      <c r="AZ1048" s="21" t="str">
        <f>IF(AND($AM1048&lt;&gt;"",$AS1048="✓"),SUMPRODUCT(($AM$11:$AM1048&lt;&gt;"")*($AS$11:$AS1048="✓")),"")</f>
        <v/>
      </c>
      <c r="BA1048" s="21" t="str">
        <f>IF($AL1048="","",$AL1048&amp;"|"&amp;COUNTIF($AL$11:$AL1048,$AL1048))</f>
        <v/>
      </c>
    </row>
    <row r="1049" spans="38:53" ht="15" customHeight="1" x14ac:dyDescent="0.25">
      <c r="AL1049" s="17"/>
      <c r="AM1049" s="12"/>
      <c r="AN1049" s="18"/>
      <c r="AO1049" s="18"/>
      <c r="AP1049" s="10"/>
      <c r="AQ1049" s="10"/>
      <c r="AR1049" s="19"/>
      <c r="AS1049" s="20"/>
      <c r="AT1049" s="19"/>
      <c r="AV1049" s="21">
        <f>IF(AND($AL1049&lt;&gt;"",COUNTIF($AL$11:$AL1049,$AL1049)=1),1,0)</f>
        <v>0</v>
      </c>
      <c r="AW1049" s="21">
        <f t="shared" si="119"/>
        <v>0</v>
      </c>
      <c r="AX1049" s="21" t="str">
        <f t="shared" si="118"/>
        <v/>
      </c>
      <c r="AY1049" s="21" t="str">
        <f>IF(AND($AM1049&lt;&gt;"",$AS1049&lt;&gt;"✓"),SUMPRODUCT(($AM$11:$AM1049&lt;&gt;"")*($AS$11:$AS1049&lt;&gt;"✓")),"")</f>
        <v/>
      </c>
      <c r="AZ1049" s="21" t="str">
        <f>IF(AND($AM1049&lt;&gt;"",$AS1049="✓"),SUMPRODUCT(($AM$11:$AM1049&lt;&gt;"")*($AS$11:$AS1049="✓")),"")</f>
        <v/>
      </c>
      <c r="BA1049" s="21" t="str">
        <f>IF($AL1049="","",$AL1049&amp;"|"&amp;COUNTIF($AL$11:$AL1049,$AL1049))</f>
        <v/>
      </c>
    </row>
    <row r="1050" spans="38:53" ht="15" customHeight="1" x14ac:dyDescent="0.25">
      <c r="AL1050" s="31"/>
      <c r="AM1050" s="26"/>
      <c r="AN1050" s="32"/>
      <c r="AO1050" s="32"/>
      <c r="AP1050" s="24"/>
      <c r="AQ1050" s="24"/>
      <c r="AR1050" s="33"/>
      <c r="AS1050" s="34"/>
      <c r="AT1050" s="33"/>
      <c r="AV1050" s="21">
        <f>IF(AND($AL1050&lt;&gt;"",COUNTIF($AL$11:$AL1050,$AL1050)=1),1,0)</f>
        <v>0</v>
      </c>
      <c r="AW1050" s="21">
        <f t="shared" si="119"/>
        <v>0</v>
      </c>
      <c r="AX1050" s="21" t="str">
        <f t="shared" si="118"/>
        <v/>
      </c>
      <c r="AY1050" s="21" t="str">
        <f>IF(AND($AM1050&lt;&gt;"",$AS1050&lt;&gt;"✓"),SUMPRODUCT(($AM$11:$AM1050&lt;&gt;"")*($AS$11:$AS1050&lt;&gt;"✓")),"")</f>
        <v/>
      </c>
      <c r="AZ1050" s="21" t="str">
        <f>IF(AND($AM1050&lt;&gt;"",$AS1050="✓"),SUMPRODUCT(($AM$11:$AM1050&lt;&gt;"")*($AS$11:$AS1050="✓")),"")</f>
        <v/>
      </c>
      <c r="BA1050" s="21" t="str">
        <f>IF($AL1050="","",$AL1050&amp;"|"&amp;COUNTIF($AL$11:$AL1050,$AL1050))</f>
        <v/>
      </c>
    </row>
    <row r="1051" spans="38:53" ht="15" customHeight="1" x14ac:dyDescent="0.25">
      <c r="AL1051" s="17"/>
      <c r="AM1051" s="12"/>
      <c r="AN1051" s="18"/>
      <c r="AO1051" s="18"/>
      <c r="AP1051" s="10"/>
      <c r="AQ1051" s="10"/>
      <c r="AR1051" s="19"/>
      <c r="AS1051" s="20"/>
      <c r="AT1051" s="19"/>
      <c r="AV1051" s="21">
        <f>IF(AND($AL1051&lt;&gt;"",COUNTIF($AL$11:$AL1051,$AL1051)=1),1,0)</f>
        <v>0</v>
      </c>
      <c r="AW1051" s="21">
        <f t="shared" si="119"/>
        <v>0</v>
      </c>
      <c r="AX1051" s="21" t="str">
        <f t="shared" si="118"/>
        <v/>
      </c>
      <c r="AY1051" s="21" t="str">
        <f>IF(AND($AM1051&lt;&gt;"",$AS1051&lt;&gt;"✓"),SUMPRODUCT(($AM$11:$AM1051&lt;&gt;"")*($AS$11:$AS1051&lt;&gt;"✓")),"")</f>
        <v/>
      </c>
      <c r="AZ1051" s="21" t="str">
        <f>IF(AND($AM1051&lt;&gt;"",$AS1051="✓"),SUMPRODUCT(($AM$11:$AM1051&lt;&gt;"")*($AS$11:$AS1051="✓")),"")</f>
        <v/>
      </c>
      <c r="BA1051" s="21" t="str">
        <f>IF($AL1051="","",$AL1051&amp;"|"&amp;COUNTIF($AL$11:$AL1051,$AL1051))</f>
        <v/>
      </c>
    </row>
    <row r="1052" spans="38:53" ht="15" customHeight="1" x14ac:dyDescent="0.25">
      <c r="AL1052" s="31"/>
      <c r="AM1052" s="26"/>
      <c r="AN1052" s="32"/>
      <c r="AO1052" s="32"/>
      <c r="AP1052" s="24"/>
      <c r="AQ1052" s="24"/>
      <c r="AR1052" s="33"/>
      <c r="AS1052" s="34"/>
      <c r="AT1052" s="33"/>
      <c r="AV1052" s="21">
        <f>IF(AND($AL1052&lt;&gt;"",COUNTIF($AL$11:$AL1052,$AL1052)=1),1,0)</f>
        <v>0</v>
      </c>
      <c r="AW1052" s="21">
        <f t="shared" si="119"/>
        <v>0</v>
      </c>
      <c r="AX1052" s="21" t="str">
        <f t="shared" si="118"/>
        <v/>
      </c>
      <c r="AY1052" s="21" t="str">
        <f>IF(AND($AM1052&lt;&gt;"",$AS1052&lt;&gt;"✓"),SUMPRODUCT(($AM$11:$AM1052&lt;&gt;"")*($AS$11:$AS1052&lt;&gt;"✓")),"")</f>
        <v/>
      </c>
      <c r="AZ1052" s="21" t="str">
        <f>IF(AND($AM1052&lt;&gt;"",$AS1052="✓"),SUMPRODUCT(($AM$11:$AM1052&lt;&gt;"")*($AS$11:$AS1052="✓")),"")</f>
        <v/>
      </c>
      <c r="BA1052" s="21" t="str">
        <f>IF($AL1052="","",$AL1052&amp;"|"&amp;COUNTIF($AL$11:$AL1052,$AL1052))</f>
        <v/>
      </c>
    </row>
    <row r="1053" spans="38:53" ht="15" customHeight="1" x14ac:dyDescent="0.25">
      <c r="AL1053" s="17"/>
      <c r="AM1053" s="12"/>
      <c r="AN1053" s="18"/>
      <c r="AO1053" s="18"/>
      <c r="AP1053" s="10"/>
      <c r="AQ1053" s="10"/>
      <c r="AR1053" s="19"/>
      <c r="AS1053" s="20"/>
      <c r="AT1053" s="19"/>
      <c r="AV1053" s="21">
        <f>IF(AND($AL1053&lt;&gt;"",COUNTIF($AL$11:$AL1053,$AL1053)=1),1,0)</f>
        <v>0</v>
      </c>
      <c r="AW1053" s="21">
        <f t="shared" si="119"/>
        <v>0</v>
      </c>
      <c r="AX1053" s="21" t="str">
        <f t="shared" si="118"/>
        <v/>
      </c>
      <c r="AY1053" s="21" t="str">
        <f>IF(AND($AM1053&lt;&gt;"",$AS1053&lt;&gt;"✓"),SUMPRODUCT(($AM$11:$AM1053&lt;&gt;"")*($AS$11:$AS1053&lt;&gt;"✓")),"")</f>
        <v/>
      </c>
      <c r="AZ1053" s="21" t="str">
        <f>IF(AND($AM1053&lt;&gt;"",$AS1053="✓"),SUMPRODUCT(($AM$11:$AM1053&lt;&gt;"")*($AS$11:$AS1053="✓")),"")</f>
        <v/>
      </c>
      <c r="BA1053" s="21" t="str">
        <f>IF($AL1053="","",$AL1053&amp;"|"&amp;COUNTIF($AL$11:$AL1053,$AL1053))</f>
        <v/>
      </c>
    </row>
    <row r="1054" spans="38:53" ht="15" customHeight="1" x14ac:dyDescent="0.25">
      <c r="AL1054" s="31"/>
      <c r="AM1054" s="26"/>
      <c r="AN1054" s="32"/>
      <c r="AO1054" s="32"/>
      <c r="AP1054" s="24"/>
      <c r="AQ1054" s="24"/>
      <c r="AR1054" s="33"/>
      <c r="AS1054" s="34"/>
      <c r="AT1054" s="33"/>
      <c r="AV1054" s="21">
        <f>IF(AND($AL1054&lt;&gt;"",COUNTIF($AL$11:$AL1054,$AL1054)=1),1,0)</f>
        <v>0</v>
      </c>
      <c r="AW1054" s="21">
        <f t="shared" si="119"/>
        <v>0</v>
      </c>
      <c r="AX1054" s="21" t="str">
        <f t="shared" si="118"/>
        <v/>
      </c>
      <c r="AY1054" s="21" t="str">
        <f>IF(AND($AM1054&lt;&gt;"",$AS1054&lt;&gt;"✓"),SUMPRODUCT(($AM$11:$AM1054&lt;&gt;"")*($AS$11:$AS1054&lt;&gt;"✓")),"")</f>
        <v/>
      </c>
      <c r="AZ1054" s="21" t="str">
        <f>IF(AND($AM1054&lt;&gt;"",$AS1054="✓"),SUMPRODUCT(($AM$11:$AM1054&lt;&gt;"")*($AS$11:$AS1054="✓")),"")</f>
        <v/>
      </c>
      <c r="BA1054" s="21" t="str">
        <f>IF($AL1054="","",$AL1054&amp;"|"&amp;COUNTIF($AL$11:$AL1054,$AL1054))</f>
        <v/>
      </c>
    </row>
    <row r="1055" spans="38:53" ht="15" customHeight="1" x14ac:dyDescent="0.25">
      <c r="AL1055" s="17"/>
      <c r="AM1055" s="12"/>
      <c r="AN1055" s="18"/>
      <c r="AO1055" s="18"/>
      <c r="AP1055" s="10"/>
      <c r="AQ1055" s="10"/>
      <c r="AR1055" s="19"/>
      <c r="AS1055" s="20"/>
      <c r="AT1055" s="19"/>
      <c r="AV1055" s="21">
        <f>IF(AND($AL1055&lt;&gt;"",COUNTIF($AL$11:$AL1055,$AL1055)=1),1,0)</f>
        <v>0</v>
      </c>
      <c r="AW1055" s="21">
        <f t="shared" si="119"/>
        <v>0</v>
      </c>
      <c r="AX1055" s="21" t="str">
        <f t="shared" si="118"/>
        <v/>
      </c>
      <c r="AY1055" s="21" t="str">
        <f>IF(AND($AM1055&lt;&gt;"",$AS1055&lt;&gt;"✓"),SUMPRODUCT(($AM$11:$AM1055&lt;&gt;"")*($AS$11:$AS1055&lt;&gt;"✓")),"")</f>
        <v/>
      </c>
      <c r="AZ1055" s="21" t="str">
        <f>IF(AND($AM1055&lt;&gt;"",$AS1055="✓"),SUMPRODUCT(($AM$11:$AM1055&lt;&gt;"")*($AS$11:$AS1055="✓")),"")</f>
        <v/>
      </c>
      <c r="BA1055" s="21" t="str">
        <f>IF($AL1055="","",$AL1055&amp;"|"&amp;COUNTIF($AL$11:$AL1055,$AL1055))</f>
        <v/>
      </c>
    </row>
    <row r="1056" spans="38:53" ht="15" customHeight="1" x14ac:dyDescent="0.25">
      <c r="AL1056" s="31"/>
      <c r="AM1056" s="26"/>
      <c r="AN1056" s="32"/>
      <c r="AO1056" s="32"/>
      <c r="AP1056" s="24"/>
      <c r="AQ1056" s="24"/>
      <c r="AR1056" s="33"/>
      <c r="AS1056" s="34"/>
      <c r="AT1056" s="33"/>
      <c r="AV1056" s="21">
        <f>IF(AND($AL1056&lt;&gt;"",COUNTIF($AL$11:$AL1056,$AL1056)=1),1,0)</f>
        <v>0</v>
      </c>
      <c r="AW1056" s="21">
        <f t="shared" si="119"/>
        <v>0</v>
      </c>
      <c r="AX1056" s="21" t="str">
        <f t="shared" si="118"/>
        <v/>
      </c>
      <c r="AY1056" s="21" t="str">
        <f>IF(AND($AM1056&lt;&gt;"",$AS1056&lt;&gt;"✓"),SUMPRODUCT(($AM$11:$AM1056&lt;&gt;"")*($AS$11:$AS1056&lt;&gt;"✓")),"")</f>
        <v/>
      </c>
      <c r="AZ1056" s="21" t="str">
        <f>IF(AND($AM1056&lt;&gt;"",$AS1056="✓"),SUMPRODUCT(($AM$11:$AM1056&lt;&gt;"")*($AS$11:$AS1056="✓")),"")</f>
        <v/>
      </c>
      <c r="BA1056" s="21" t="str">
        <f>IF($AL1056="","",$AL1056&amp;"|"&amp;COUNTIF($AL$11:$AL1056,$AL1056))</f>
        <v/>
      </c>
    </row>
    <row r="1057" spans="38:53" ht="15" customHeight="1" x14ac:dyDescent="0.25">
      <c r="AL1057" s="17"/>
      <c r="AM1057" s="12"/>
      <c r="AN1057" s="18"/>
      <c r="AO1057" s="18"/>
      <c r="AP1057" s="10"/>
      <c r="AQ1057" s="10"/>
      <c r="AR1057" s="19"/>
      <c r="AS1057" s="20"/>
      <c r="AT1057" s="19"/>
      <c r="AV1057" s="21">
        <f>IF(AND($AL1057&lt;&gt;"",COUNTIF($AL$11:$AL1057,$AL1057)=1),1,0)</f>
        <v>0</v>
      </c>
      <c r="AW1057" s="21">
        <f t="shared" si="119"/>
        <v>0</v>
      </c>
      <c r="AX1057" s="21" t="str">
        <f t="shared" si="118"/>
        <v/>
      </c>
      <c r="AY1057" s="21" t="str">
        <f>IF(AND($AM1057&lt;&gt;"",$AS1057&lt;&gt;"✓"),SUMPRODUCT(($AM$11:$AM1057&lt;&gt;"")*($AS$11:$AS1057&lt;&gt;"✓")),"")</f>
        <v/>
      </c>
      <c r="AZ1057" s="21" t="str">
        <f>IF(AND($AM1057&lt;&gt;"",$AS1057="✓"),SUMPRODUCT(($AM$11:$AM1057&lt;&gt;"")*($AS$11:$AS1057="✓")),"")</f>
        <v/>
      </c>
      <c r="BA1057" s="21" t="str">
        <f>IF($AL1057="","",$AL1057&amp;"|"&amp;COUNTIF($AL$11:$AL1057,$AL1057))</f>
        <v/>
      </c>
    </row>
    <row r="1058" spans="38:53" ht="15" customHeight="1" x14ac:dyDescent="0.25">
      <c r="AL1058" s="31"/>
      <c r="AM1058" s="26"/>
      <c r="AN1058" s="32"/>
      <c r="AO1058" s="32"/>
      <c r="AP1058" s="24"/>
      <c r="AQ1058" s="24"/>
      <c r="AR1058" s="33"/>
      <c r="AS1058" s="34"/>
      <c r="AT1058" s="33"/>
      <c r="AV1058" s="21">
        <f>IF(AND($AL1058&lt;&gt;"",COUNTIF($AL$11:$AL1058,$AL1058)=1),1,0)</f>
        <v>0</v>
      </c>
      <c r="AW1058" s="21">
        <f t="shared" si="119"/>
        <v>0</v>
      </c>
      <c r="AX1058" s="21" t="str">
        <f t="shared" si="118"/>
        <v/>
      </c>
      <c r="AY1058" s="21" t="str">
        <f>IF(AND($AM1058&lt;&gt;"",$AS1058&lt;&gt;"✓"),SUMPRODUCT(($AM$11:$AM1058&lt;&gt;"")*($AS$11:$AS1058&lt;&gt;"✓")),"")</f>
        <v/>
      </c>
      <c r="AZ1058" s="21" t="str">
        <f>IF(AND($AM1058&lt;&gt;"",$AS1058="✓"),SUMPRODUCT(($AM$11:$AM1058&lt;&gt;"")*($AS$11:$AS1058="✓")),"")</f>
        <v/>
      </c>
      <c r="BA1058" s="21" t="str">
        <f>IF($AL1058="","",$AL1058&amp;"|"&amp;COUNTIF($AL$11:$AL1058,$AL1058))</f>
        <v/>
      </c>
    </row>
    <row r="1059" spans="38:53" ht="15" customHeight="1" x14ac:dyDescent="0.25">
      <c r="AL1059" s="17"/>
      <c r="AM1059" s="12"/>
      <c r="AN1059" s="18"/>
      <c r="AO1059" s="18"/>
      <c r="AP1059" s="10"/>
      <c r="AQ1059" s="10"/>
      <c r="AR1059" s="19"/>
      <c r="AS1059" s="20"/>
      <c r="AT1059" s="19"/>
      <c r="AV1059" s="21">
        <f>IF(AND($AL1059&lt;&gt;"",COUNTIF($AL$11:$AL1059,$AL1059)=1),1,0)</f>
        <v>0</v>
      </c>
      <c r="AW1059" s="21">
        <f t="shared" si="119"/>
        <v>0</v>
      </c>
      <c r="AX1059" s="21" t="str">
        <f t="shared" si="118"/>
        <v/>
      </c>
      <c r="AY1059" s="21" t="str">
        <f>IF(AND($AM1059&lt;&gt;"",$AS1059&lt;&gt;"✓"),SUMPRODUCT(($AM$11:$AM1059&lt;&gt;"")*($AS$11:$AS1059&lt;&gt;"✓")),"")</f>
        <v/>
      </c>
      <c r="AZ1059" s="21" t="str">
        <f>IF(AND($AM1059&lt;&gt;"",$AS1059="✓"),SUMPRODUCT(($AM$11:$AM1059&lt;&gt;"")*($AS$11:$AS1059="✓")),"")</f>
        <v/>
      </c>
      <c r="BA1059" s="21" t="str">
        <f>IF($AL1059="","",$AL1059&amp;"|"&amp;COUNTIF($AL$11:$AL1059,$AL1059))</f>
        <v/>
      </c>
    </row>
    <row r="1060" spans="38:53" ht="15" customHeight="1" x14ac:dyDescent="0.25">
      <c r="AL1060" s="31"/>
      <c r="AM1060" s="26"/>
      <c r="AN1060" s="32"/>
      <c r="AO1060" s="32"/>
      <c r="AP1060" s="24"/>
      <c r="AQ1060" s="24"/>
      <c r="AR1060" s="33"/>
      <c r="AS1060" s="34"/>
      <c r="AT1060" s="33"/>
      <c r="AV1060" s="21">
        <f>IF(AND($AL1060&lt;&gt;"",COUNTIF($AL$11:$AL1060,$AL1060)=1),1,0)</f>
        <v>0</v>
      </c>
      <c r="AW1060" s="21">
        <f t="shared" si="119"/>
        <v>0</v>
      </c>
      <c r="AX1060" s="21" t="str">
        <f t="shared" si="118"/>
        <v/>
      </c>
      <c r="AY1060" s="21" t="str">
        <f>IF(AND($AM1060&lt;&gt;"",$AS1060&lt;&gt;"✓"),SUMPRODUCT(($AM$11:$AM1060&lt;&gt;"")*($AS$11:$AS1060&lt;&gt;"✓")),"")</f>
        <v/>
      </c>
      <c r="AZ1060" s="21" t="str">
        <f>IF(AND($AM1060&lt;&gt;"",$AS1060="✓"),SUMPRODUCT(($AM$11:$AM1060&lt;&gt;"")*($AS$11:$AS1060="✓")),"")</f>
        <v/>
      </c>
      <c r="BA1060" s="21" t="str">
        <f>IF($AL1060="","",$AL1060&amp;"|"&amp;COUNTIF($AL$11:$AL1060,$AL1060))</f>
        <v/>
      </c>
    </row>
    <row r="1061" spans="38:53" ht="15" customHeight="1" x14ac:dyDescent="0.25">
      <c r="AL1061" s="17"/>
      <c r="AM1061" s="12"/>
      <c r="AN1061" s="18"/>
      <c r="AO1061" s="18"/>
      <c r="AP1061" s="10"/>
      <c r="AQ1061" s="10"/>
      <c r="AR1061" s="19"/>
      <c r="AS1061" s="20"/>
      <c r="AT1061" s="19"/>
      <c r="AV1061" s="21">
        <f>IF(AND($AL1061&lt;&gt;"",COUNTIF($AL$11:$AL1061,$AL1061)=1),1,0)</f>
        <v>0</v>
      </c>
      <c r="AW1061" s="21">
        <f t="shared" si="119"/>
        <v>0</v>
      </c>
      <c r="AX1061" s="21" t="str">
        <f t="shared" si="118"/>
        <v/>
      </c>
      <c r="AY1061" s="21" t="str">
        <f>IF(AND($AM1061&lt;&gt;"",$AS1061&lt;&gt;"✓"),SUMPRODUCT(($AM$11:$AM1061&lt;&gt;"")*($AS$11:$AS1061&lt;&gt;"✓")),"")</f>
        <v/>
      </c>
      <c r="AZ1061" s="21" t="str">
        <f>IF(AND($AM1061&lt;&gt;"",$AS1061="✓"),SUMPRODUCT(($AM$11:$AM1061&lt;&gt;"")*($AS$11:$AS1061="✓")),"")</f>
        <v/>
      </c>
      <c r="BA1061" s="21" t="str">
        <f>IF($AL1061="","",$AL1061&amp;"|"&amp;COUNTIF($AL$11:$AL1061,$AL1061))</f>
        <v/>
      </c>
    </row>
    <row r="1062" spans="38:53" ht="15" customHeight="1" x14ac:dyDescent="0.25">
      <c r="AL1062" s="31"/>
      <c r="AM1062" s="26"/>
      <c r="AN1062" s="32"/>
      <c r="AO1062" s="32"/>
      <c r="AP1062" s="24"/>
      <c r="AQ1062" s="24"/>
      <c r="AR1062" s="33"/>
      <c r="AS1062" s="34"/>
      <c r="AT1062" s="33"/>
      <c r="AV1062" s="21">
        <f>IF(AND($AL1062&lt;&gt;"",COUNTIF($AL$11:$AL1062,$AL1062)=1),1,0)</f>
        <v>0</v>
      </c>
      <c r="AW1062" s="21">
        <f t="shared" si="119"/>
        <v>0</v>
      </c>
      <c r="AX1062" s="21" t="str">
        <f t="shared" si="118"/>
        <v/>
      </c>
      <c r="AY1062" s="21" t="str">
        <f>IF(AND($AM1062&lt;&gt;"",$AS1062&lt;&gt;"✓"),SUMPRODUCT(($AM$11:$AM1062&lt;&gt;"")*($AS$11:$AS1062&lt;&gt;"✓")),"")</f>
        <v/>
      </c>
      <c r="AZ1062" s="21" t="str">
        <f>IF(AND($AM1062&lt;&gt;"",$AS1062="✓"),SUMPRODUCT(($AM$11:$AM1062&lt;&gt;"")*($AS$11:$AS1062="✓")),"")</f>
        <v/>
      </c>
      <c r="BA1062" s="21" t="str">
        <f>IF($AL1062="","",$AL1062&amp;"|"&amp;COUNTIF($AL$11:$AL1062,$AL1062))</f>
        <v/>
      </c>
    </row>
    <row r="1063" spans="38:53" ht="15" customHeight="1" x14ac:dyDescent="0.25">
      <c r="AL1063" s="17"/>
      <c r="AM1063" s="12"/>
      <c r="AN1063" s="18"/>
      <c r="AO1063" s="18"/>
      <c r="AP1063" s="10"/>
      <c r="AQ1063" s="10"/>
      <c r="AR1063" s="19"/>
      <c r="AS1063" s="20"/>
      <c r="AT1063" s="19"/>
      <c r="AV1063" s="21">
        <f>IF(AND($AL1063&lt;&gt;"",COUNTIF($AL$11:$AL1063,$AL1063)=1),1,0)</f>
        <v>0</v>
      </c>
      <c r="AW1063" s="21">
        <f t="shared" si="119"/>
        <v>0</v>
      </c>
      <c r="AX1063" s="21" t="str">
        <f t="shared" si="118"/>
        <v/>
      </c>
      <c r="AY1063" s="21" t="str">
        <f>IF(AND($AM1063&lt;&gt;"",$AS1063&lt;&gt;"✓"),SUMPRODUCT(($AM$11:$AM1063&lt;&gt;"")*($AS$11:$AS1063&lt;&gt;"✓")),"")</f>
        <v/>
      </c>
      <c r="AZ1063" s="21" t="str">
        <f>IF(AND($AM1063&lt;&gt;"",$AS1063="✓"),SUMPRODUCT(($AM$11:$AM1063&lt;&gt;"")*($AS$11:$AS1063="✓")),"")</f>
        <v/>
      </c>
      <c r="BA1063" s="21" t="str">
        <f>IF($AL1063="","",$AL1063&amp;"|"&amp;COUNTIF($AL$11:$AL1063,$AL1063))</f>
        <v/>
      </c>
    </row>
    <row r="1064" spans="38:53" ht="15" customHeight="1" x14ac:dyDescent="0.25">
      <c r="AL1064" s="31"/>
      <c r="AM1064" s="26"/>
      <c r="AN1064" s="32"/>
      <c r="AO1064" s="32"/>
      <c r="AP1064" s="24"/>
      <c r="AQ1064" s="24"/>
      <c r="AR1064" s="33"/>
      <c r="AS1064" s="34"/>
      <c r="AT1064" s="33"/>
      <c r="AV1064" s="21">
        <f>IF(AND($AL1064&lt;&gt;"",COUNTIF($AL$11:$AL1064,$AL1064)=1),1,0)</f>
        <v>0</v>
      </c>
      <c r="AW1064" s="21">
        <f t="shared" si="119"/>
        <v>0</v>
      </c>
      <c r="AX1064" s="21" t="str">
        <f t="shared" si="118"/>
        <v/>
      </c>
      <c r="AY1064" s="21" t="str">
        <f>IF(AND($AM1064&lt;&gt;"",$AS1064&lt;&gt;"✓"),SUMPRODUCT(($AM$11:$AM1064&lt;&gt;"")*($AS$11:$AS1064&lt;&gt;"✓")),"")</f>
        <v/>
      </c>
      <c r="AZ1064" s="21" t="str">
        <f>IF(AND($AM1064&lt;&gt;"",$AS1064="✓"),SUMPRODUCT(($AM$11:$AM1064&lt;&gt;"")*($AS$11:$AS1064="✓")),"")</f>
        <v/>
      </c>
      <c r="BA1064" s="21" t="str">
        <f>IF($AL1064="","",$AL1064&amp;"|"&amp;COUNTIF($AL$11:$AL1064,$AL1064))</f>
        <v/>
      </c>
    </row>
    <row r="1065" spans="38:53" ht="15" customHeight="1" x14ac:dyDescent="0.25">
      <c r="AL1065" s="17"/>
      <c r="AM1065" s="12"/>
      <c r="AN1065" s="18"/>
      <c r="AO1065" s="18"/>
      <c r="AP1065" s="10"/>
      <c r="AQ1065" s="10"/>
      <c r="AR1065" s="19"/>
      <c r="AS1065" s="20"/>
      <c r="AT1065" s="19"/>
      <c r="AV1065" s="21">
        <f>IF(AND($AL1065&lt;&gt;"",COUNTIF($AL$11:$AL1065,$AL1065)=1),1,0)</f>
        <v>0</v>
      </c>
      <c r="AW1065" s="21">
        <f t="shared" si="119"/>
        <v>0</v>
      </c>
      <c r="AX1065" s="21" t="str">
        <f t="shared" si="118"/>
        <v/>
      </c>
      <c r="AY1065" s="21" t="str">
        <f>IF(AND($AM1065&lt;&gt;"",$AS1065&lt;&gt;"✓"),SUMPRODUCT(($AM$11:$AM1065&lt;&gt;"")*($AS$11:$AS1065&lt;&gt;"✓")),"")</f>
        <v/>
      </c>
      <c r="AZ1065" s="21" t="str">
        <f>IF(AND($AM1065&lt;&gt;"",$AS1065="✓"),SUMPRODUCT(($AM$11:$AM1065&lt;&gt;"")*($AS$11:$AS1065="✓")),"")</f>
        <v/>
      </c>
      <c r="BA1065" s="21" t="str">
        <f>IF($AL1065="","",$AL1065&amp;"|"&amp;COUNTIF($AL$11:$AL1065,$AL1065))</f>
        <v/>
      </c>
    </row>
    <row r="1066" spans="38:53" ht="15" customHeight="1" x14ac:dyDescent="0.25">
      <c r="AL1066" s="31"/>
      <c r="AM1066" s="26"/>
      <c r="AN1066" s="32"/>
      <c r="AO1066" s="32"/>
      <c r="AP1066" s="24"/>
      <c r="AQ1066" s="24"/>
      <c r="AR1066" s="33"/>
      <c r="AS1066" s="34"/>
      <c r="AT1066" s="33"/>
      <c r="AV1066" s="21">
        <f>IF(AND($AL1066&lt;&gt;"",COUNTIF($AL$11:$AL1066,$AL1066)=1),1,0)</f>
        <v>0</v>
      </c>
      <c r="AW1066" s="21">
        <f t="shared" si="119"/>
        <v>0</v>
      </c>
      <c r="AX1066" s="21" t="str">
        <f t="shared" si="118"/>
        <v/>
      </c>
      <c r="AY1066" s="21" t="str">
        <f>IF(AND($AM1066&lt;&gt;"",$AS1066&lt;&gt;"✓"),SUMPRODUCT(($AM$11:$AM1066&lt;&gt;"")*($AS$11:$AS1066&lt;&gt;"✓")),"")</f>
        <v/>
      </c>
      <c r="AZ1066" s="21" t="str">
        <f>IF(AND($AM1066&lt;&gt;"",$AS1066="✓"),SUMPRODUCT(($AM$11:$AM1066&lt;&gt;"")*($AS$11:$AS1066="✓")),"")</f>
        <v/>
      </c>
      <c r="BA1066" s="21" t="str">
        <f>IF($AL1066="","",$AL1066&amp;"|"&amp;COUNTIF($AL$11:$AL1066,$AL1066))</f>
        <v/>
      </c>
    </row>
    <row r="1067" spans="38:53" ht="15" customHeight="1" x14ac:dyDescent="0.25">
      <c r="AL1067" s="17"/>
      <c r="AM1067" s="12"/>
      <c r="AN1067" s="18"/>
      <c r="AO1067" s="18"/>
      <c r="AP1067" s="10"/>
      <c r="AQ1067" s="10"/>
      <c r="AR1067" s="19"/>
      <c r="AS1067" s="20"/>
      <c r="AT1067" s="19"/>
      <c r="AV1067" s="21">
        <f>IF(AND($AL1067&lt;&gt;"",COUNTIF($AL$11:$AL1067,$AL1067)=1),1,0)</f>
        <v>0</v>
      </c>
      <c r="AW1067" s="21">
        <f t="shared" si="119"/>
        <v>0</v>
      </c>
      <c r="AX1067" s="21" t="str">
        <f t="shared" si="118"/>
        <v/>
      </c>
      <c r="AY1067" s="21" t="str">
        <f>IF(AND($AM1067&lt;&gt;"",$AS1067&lt;&gt;"✓"),SUMPRODUCT(($AM$11:$AM1067&lt;&gt;"")*($AS$11:$AS1067&lt;&gt;"✓")),"")</f>
        <v/>
      </c>
      <c r="AZ1067" s="21" t="str">
        <f>IF(AND($AM1067&lt;&gt;"",$AS1067="✓"),SUMPRODUCT(($AM$11:$AM1067&lt;&gt;"")*($AS$11:$AS1067="✓")),"")</f>
        <v/>
      </c>
      <c r="BA1067" s="21" t="str">
        <f>IF($AL1067="","",$AL1067&amp;"|"&amp;COUNTIF($AL$11:$AL1067,$AL1067))</f>
        <v/>
      </c>
    </row>
    <row r="1068" spans="38:53" ht="15" customHeight="1" x14ac:dyDescent="0.25">
      <c r="AL1068" s="31"/>
      <c r="AM1068" s="26"/>
      <c r="AN1068" s="32"/>
      <c r="AO1068" s="32"/>
      <c r="AP1068" s="24"/>
      <c r="AQ1068" s="24"/>
      <c r="AR1068" s="33"/>
      <c r="AS1068" s="34"/>
      <c r="AT1068" s="33"/>
      <c r="AV1068" s="21">
        <f>IF(AND($AL1068&lt;&gt;"",COUNTIF($AL$11:$AL1068,$AL1068)=1),1,0)</f>
        <v>0</v>
      </c>
      <c r="AW1068" s="21">
        <f t="shared" si="119"/>
        <v>0</v>
      </c>
      <c r="AX1068" s="21" t="str">
        <f t="shared" si="118"/>
        <v/>
      </c>
      <c r="AY1068" s="21" t="str">
        <f>IF(AND($AM1068&lt;&gt;"",$AS1068&lt;&gt;"✓"),SUMPRODUCT(($AM$11:$AM1068&lt;&gt;"")*($AS$11:$AS1068&lt;&gt;"✓")),"")</f>
        <v/>
      </c>
      <c r="AZ1068" s="21" t="str">
        <f>IF(AND($AM1068&lt;&gt;"",$AS1068="✓"),SUMPRODUCT(($AM$11:$AM1068&lt;&gt;"")*($AS$11:$AS1068="✓")),"")</f>
        <v/>
      </c>
      <c r="BA1068" s="21" t="str">
        <f>IF($AL1068="","",$AL1068&amp;"|"&amp;COUNTIF($AL$11:$AL1068,$AL1068))</f>
        <v/>
      </c>
    </row>
    <row r="1069" spans="38:53" ht="15" customHeight="1" x14ac:dyDescent="0.25">
      <c r="AL1069" s="17"/>
      <c r="AM1069" s="12"/>
      <c r="AN1069" s="18"/>
      <c r="AO1069" s="18"/>
      <c r="AP1069" s="10"/>
      <c r="AQ1069" s="10"/>
      <c r="AR1069" s="19"/>
      <c r="AS1069" s="20"/>
      <c r="AT1069" s="19"/>
      <c r="AV1069" s="21">
        <f>IF(AND($AL1069&lt;&gt;"",COUNTIF($AL$11:$AL1069,$AL1069)=1),1,0)</f>
        <v>0</v>
      </c>
      <c r="AW1069" s="21">
        <f t="shared" si="119"/>
        <v>0</v>
      </c>
      <c r="AX1069" s="21" t="str">
        <f t="shared" si="118"/>
        <v/>
      </c>
      <c r="AY1069" s="21" t="str">
        <f>IF(AND($AM1069&lt;&gt;"",$AS1069&lt;&gt;"✓"),SUMPRODUCT(($AM$11:$AM1069&lt;&gt;"")*($AS$11:$AS1069&lt;&gt;"✓")),"")</f>
        <v/>
      </c>
      <c r="AZ1069" s="21" t="str">
        <f>IF(AND($AM1069&lt;&gt;"",$AS1069="✓"),SUMPRODUCT(($AM$11:$AM1069&lt;&gt;"")*($AS$11:$AS1069="✓")),"")</f>
        <v/>
      </c>
      <c r="BA1069" s="21" t="str">
        <f>IF($AL1069="","",$AL1069&amp;"|"&amp;COUNTIF($AL$11:$AL1069,$AL1069))</f>
        <v/>
      </c>
    </row>
    <row r="1070" spans="38:53" ht="15" customHeight="1" x14ac:dyDescent="0.25">
      <c r="AL1070" s="31"/>
      <c r="AM1070" s="26"/>
      <c r="AN1070" s="32"/>
      <c r="AO1070" s="32"/>
      <c r="AP1070" s="24"/>
      <c r="AQ1070" s="24"/>
      <c r="AR1070" s="33"/>
      <c r="AS1070" s="34"/>
      <c r="AT1070" s="33"/>
      <c r="AV1070" s="21">
        <f>IF(AND($AL1070&lt;&gt;"",COUNTIF($AL$11:$AL1070,$AL1070)=1),1,0)</f>
        <v>0</v>
      </c>
      <c r="AW1070" s="21">
        <f t="shared" si="119"/>
        <v>0</v>
      </c>
      <c r="AX1070" s="21" t="str">
        <f t="shared" si="118"/>
        <v/>
      </c>
      <c r="AY1070" s="21" t="str">
        <f>IF(AND($AM1070&lt;&gt;"",$AS1070&lt;&gt;"✓"),SUMPRODUCT(($AM$11:$AM1070&lt;&gt;"")*($AS$11:$AS1070&lt;&gt;"✓")),"")</f>
        <v/>
      </c>
      <c r="AZ1070" s="21" t="str">
        <f>IF(AND($AM1070&lt;&gt;"",$AS1070="✓"),SUMPRODUCT(($AM$11:$AM1070&lt;&gt;"")*($AS$11:$AS1070="✓")),"")</f>
        <v/>
      </c>
      <c r="BA1070" s="21" t="str">
        <f>IF($AL1070="","",$AL1070&amp;"|"&amp;COUNTIF($AL$11:$AL1070,$AL1070))</f>
        <v/>
      </c>
    </row>
    <row r="1071" spans="38:53" ht="15" customHeight="1" x14ac:dyDescent="0.25">
      <c r="AL1071" s="17"/>
      <c r="AM1071" s="12"/>
      <c r="AN1071" s="18"/>
      <c r="AO1071" s="18"/>
      <c r="AP1071" s="10"/>
      <c r="AQ1071" s="10"/>
      <c r="AR1071" s="19"/>
      <c r="AS1071" s="20"/>
      <c r="AT1071" s="19"/>
      <c r="AV1071" s="21">
        <f>IF(AND($AL1071&lt;&gt;"",COUNTIF($AL$11:$AL1071,$AL1071)=1),1,0)</f>
        <v>0</v>
      </c>
      <c r="AW1071" s="21">
        <f t="shared" si="119"/>
        <v>0</v>
      </c>
      <c r="AX1071" s="21" t="str">
        <f t="shared" si="118"/>
        <v/>
      </c>
      <c r="AY1071" s="21" t="str">
        <f>IF(AND($AM1071&lt;&gt;"",$AS1071&lt;&gt;"✓"),SUMPRODUCT(($AM$11:$AM1071&lt;&gt;"")*($AS$11:$AS1071&lt;&gt;"✓")),"")</f>
        <v/>
      </c>
      <c r="AZ1071" s="21" t="str">
        <f>IF(AND($AM1071&lt;&gt;"",$AS1071="✓"),SUMPRODUCT(($AM$11:$AM1071&lt;&gt;"")*($AS$11:$AS1071="✓")),"")</f>
        <v/>
      </c>
      <c r="BA1071" s="21" t="str">
        <f>IF($AL1071="","",$AL1071&amp;"|"&amp;COUNTIF($AL$11:$AL1071,$AL1071))</f>
        <v/>
      </c>
    </row>
    <row r="1072" spans="38:53" ht="15" customHeight="1" x14ac:dyDescent="0.25">
      <c r="AL1072" s="31"/>
      <c r="AM1072" s="26"/>
      <c r="AN1072" s="32"/>
      <c r="AO1072" s="32"/>
      <c r="AP1072" s="24"/>
      <c r="AQ1072" s="24"/>
      <c r="AR1072" s="33"/>
      <c r="AS1072" s="34"/>
      <c r="AT1072" s="33"/>
      <c r="AV1072" s="21">
        <f>IF(AND($AL1072&lt;&gt;"",COUNTIF($AL$11:$AL1072,$AL1072)=1),1,0)</f>
        <v>0</v>
      </c>
      <c r="AW1072" s="21">
        <f t="shared" si="119"/>
        <v>0</v>
      </c>
      <c r="AX1072" s="21" t="str">
        <f t="shared" si="118"/>
        <v/>
      </c>
      <c r="AY1072" s="21" t="str">
        <f>IF(AND($AM1072&lt;&gt;"",$AS1072&lt;&gt;"✓"),SUMPRODUCT(($AM$11:$AM1072&lt;&gt;"")*($AS$11:$AS1072&lt;&gt;"✓")),"")</f>
        <v/>
      </c>
      <c r="AZ1072" s="21" t="str">
        <f>IF(AND($AM1072&lt;&gt;"",$AS1072="✓"),SUMPRODUCT(($AM$11:$AM1072&lt;&gt;"")*($AS$11:$AS1072="✓")),"")</f>
        <v/>
      </c>
      <c r="BA1072" s="21" t="str">
        <f>IF($AL1072="","",$AL1072&amp;"|"&amp;COUNTIF($AL$11:$AL1072,$AL1072))</f>
        <v/>
      </c>
    </row>
    <row r="1073" spans="38:53" ht="15" customHeight="1" x14ac:dyDescent="0.25">
      <c r="AL1073" s="17"/>
      <c r="AM1073" s="12"/>
      <c r="AN1073" s="18"/>
      <c r="AO1073" s="18"/>
      <c r="AP1073" s="10"/>
      <c r="AQ1073" s="10"/>
      <c r="AR1073" s="19"/>
      <c r="AS1073" s="20"/>
      <c r="AT1073" s="19"/>
      <c r="AV1073" s="21">
        <f>IF(AND($AL1073&lt;&gt;"",COUNTIF($AL$11:$AL1073,$AL1073)=1),1,0)</f>
        <v>0</v>
      </c>
      <c r="AW1073" s="21">
        <f t="shared" si="119"/>
        <v>0</v>
      </c>
      <c r="AX1073" s="21" t="str">
        <f t="shared" si="118"/>
        <v/>
      </c>
      <c r="AY1073" s="21" t="str">
        <f>IF(AND($AM1073&lt;&gt;"",$AS1073&lt;&gt;"✓"),SUMPRODUCT(($AM$11:$AM1073&lt;&gt;"")*($AS$11:$AS1073&lt;&gt;"✓")),"")</f>
        <v/>
      </c>
      <c r="AZ1073" s="21" t="str">
        <f>IF(AND($AM1073&lt;&gt;"",$AS1073="✓"),SUMPRODUCT(($AM$11:$AM1073&lt;&gt;"")*($AS$11:$AS1073="✓")),"")</f>
        <v/>
      </c>
      <c r="BA1073" s="21" t="str">
        <f>IF($AL1073="","",$AL1073&amp;"|"&amp;COUNTIF($AL$11:$AL1073,$AL1073))</f>
        <v/>
      </c>
    </row>
    <row r="1074" spans="38:53" ht="15" customHeight="1" x14ac:dyDescent="0.25">
      <c r="AL1074" s="31"/>
      <c r="AM1074" s="26"/>
      <c r="AN1074" s="32"/>
      <c r="AO1074" s="32"/>
      <c r="AP1074" s="24"/>
      <c r="AQ1074" s="24"/>
      <c r="AR1074" s="33"/>
      <c r="AS1074" s="34"/>
      <c r="AT1074" s="33"/>
      <c r="AV1074" s="21">
        <f>IF(AND($AL1074&lt;&gt;"",COUNTIF($AL$11:$AL1074,$AL1074)=1),1,0)</f>
        <v>0</v>
      </c>
      <c r="AW1074" s="21">
        <f t="shared" si="119"/>
        <v>0</v>
      </c>
      <c r="AX1074" s="21" t="str">
        <f t="shared" si="118"/>
        <v/>
      </c>
      <c r="AY1074" s="21" t="str">
        <f>IF(AND($AM1074&lt;&gt;"",$AS1074&lt;&gt;"✓"),SUMPRODUCT(($AM$11:$AM1074&lt;&gt;"")*($AS$11:$AS1074&lt;&gt;"✓")),"")</f>
        <v/>
      </c>
      <c r="AZ1074" s="21" t="str">
        <f>IF(AND($AM1074&lt;&gt;"",$AS1074="✓"),SUMPRODUCT(($AM$11:$AM1074&lt;&gt;"")*($AS$11:$AS1074="✓")),"")</f>
        <v/>
      </c>
      <c r="BA1074" s="21" t="str">
        <f>IF($AL1074="","",$AL1074&amp;"|"&amp;COUNTIF($AL$11:$AL1074,$AL1074))</f>
        <v/>
      </c>
    </row>
    <row r="1075" spans="38:53" ht="15" customHeight="1" x14ac:dyDescent="0.25">
      <c r="AL1075" s="17"/>
      <c r="AM1075" s="12"/>
      <c r="AN1075" s="18"/>
      <c r="AO1075" s="18"/>
      <c r="AP1075" s="10"/>
      <c r="AQ1075" s="10"/>
      <c r="AR1075" s="19"/>
      <c r="AS1075" s="20"/>
      <c r="AT1075" s="19"/>
      <c r="AV1075" s="21">
        <f>IF(AND($AL1075&lt;&gt;"",COUNTIF($AL$11:$AL1075,$AL1075)=1),1,0)</f>
        <v>0</v>
      </c>
      <c r="AW1075" s="21">
        <f t="shared" si="119"/>
        <v>0</v>
      </c>
      <c r="AX1075" s="21" t="str">
        <f t="shared" si="118"/>
        <v/>
      </c>
      <c r="AY1075" s="21" t="str">
        <f>IF(AND($AM1075&lt;&gt;"",$AS1075&lt;&gt;"✓"),SUMPRODUCT(($AM$11:$AM1075&lt;&gt;"")*($AS$11:$AS1075&lt;&gt;"✓")),"")</f>
        <v/>
      </c>
      <c r="AZ1075" s="21" t="str">
        <f>IF(AND($AM1075&lt;&gt;"",$AS1075="✓"),SUMPRODUCT(($AM$11:$AM1075&lt;&gt;"")*($AS$11:$AS1075="✓")),"")</f>
        <v/>
      </c>
      <c r="BA1075" s="21" t="str">
        <f>IF($AL1075="","",$AL1075&amp;"|"&amp;COUNTIF($AL$11:$AL1075,$AL1075))</f>
        <v/>
      </c>
    </row>
    <row r="1076" spans="38:53" ht="15" customHeight="1" x14ac:dyDescent="0.25">
      <c r="AL1076" s="31"/>
      <c r="AM1076" s="26"/>
      <c r="AN1076" s="32"/>
      <c r="AO1076" s="32"/>
      <c r="AP1076" s="24"/>
      <c r="AQ1076" s="24"/>
      <c r="AR1076" s="33"/>
      <c r="AS1076" s="34"/>
      <c r="AT1076" s="33"/>
      <c r="AV1076" s="21">
        <f>IF(AND($AL1076&lt;&gt;"",COUNTIF($AL$11:$AL1076,$AL1076)=1),1,0)</f>
        <v>0</v>
      </c>
      <c r="AW1076" s="21">
        <f t="shared" si="119"/>
        <v>0</v>
      </c>
      <c r="AX1076" s="21" t="str">
        <f t="shared" si="118"/>
        <v/>
      </c>
      <c r="AY1076" s="21" t="str">
        <f>IF(AND($AM1076&lt;&gt;"",$AS1076&lt;&gt;"✓"),SUMPRODUCT(($AM$11:$AM1076&lt;&gt;"")*($AS$11:$AS1076&lt;&gt;"✓")),"")</f>
        <v/>
      </c>
      <c r="AZ1076" s="21" t="str">
        <f>IF(AND($AM1076&lt;&gt;"",$AS1076="✓"),SUMPRODUCT(($AM$11:$AM1076&lt;&gt;"")*($AS$11:$AS1076="✓")),"")</f>
        <v/>
      </c>
      <c r="BA1076" s="21" t="str">
        <f>IF($AL1076="","",$AL1076&amp;"|"&amp;COUNTIF($AL$11:$AL1076,$AL1076))</f>
        <v/>
      </c>
    </row>
    <row r="1077" spans="38:53" ht="15" customHeight="1" x14ac:dyDescent="0.25">
      <c r="AL1077" s="17"/>
      <c r="AM1077" s="12"/>
      <c r="AN1077" s="18"/>
      <c r="AO1077" s="18"/>
      <c r="AP1077" s="10"/>
      <c r="AQ1077" s="10"/>
      <c r="AR1077" s="19"/>
      <c r="AS1077" s="20"/>
      <c r="AT1077" s="19"/>
      <c r="AV1077" s="21">
        <f>IF(AND($AL1077&lt;&gt;"",COUNTIF($AL$11:$AL1077,$AL1077)=1),1,0)</f>
        <v>0</v>
      </c>
      <c r="AW1077" s="21">
        <f t="shared" si="119"/>
        <v>0</v>
      </c>
      <c r="AX1077" s="21" t="str">
        <f t="shared" si="118"/>
        <v/>
      </c>
      <c r="AY1077" s="21" t="str">
        <f>IF(AND($AM1077&lt;&gt;"",$AS1077&lt;&gt;"✓"),SUMPRODUCT(($AM$11:$AM1077&lt;&gt;"")*($AS$11:$AS1077&lt;&gt;"✓")),"")</f>
        <v/>
      </c>
      <c r="AZ1077" s="21" t="str">
        <f>IF(AND($AM1077&lt;&gt;"",$AS1077="✓"),SUMPRODUCT(($AM$11:$AM1077&lt;&gt;"")*($AS$11:$AS1077="✓")),"")</f>
        <v/>
      </c>
      <c r="BA1077" s="21" t="str">
        <f>IF($AL1077="","",$AL1077&amp;"|"&amp;COUNTIF($AL$11:$AL1077,$AL1077))</f>
        <v/>
      </c>
    </row>
    <row r="1078" spans="38:53" ht="15" customHeight="1" x14ac:dyDescent="0.25">
      <c r="AL1078" s="31"/>
      <c r="AM1078" s="26"/>
      <c r="AN1078" s="32"/>
      <c r="AO1078" s="32"/>
      <c r="AP1078" s="24"/>
      <c r="AQ1078" s="24"/>
      <c r="AR1078" s="33"/>
      <c r="AS1078" s="34"/>
      <c r="AT1078" s="33"/>
      <c r="AV1078" s="21">
        <f>IF(AND($AL1078&lt;&gt;"",COUNTIF($AL$11:$AL1078,$AL1078)=1),1,0)</f>
        <v>0</v>
      </c>
      <c r="AW1078" s="21">
        <f t="shared" si="119"/>
        <v>0</v>
      </c>
      <c r="AX1078" s="21" t="str">
        <f t="shared" si="118"/>
        <v/>
      </c>
      <c r="AY1078" s="21" t="str">
        <f>IF(AND($AM1078&lt;&gt;"",$AS1078&lt;&gt;"✓"),SUMPRODUCT(($AM$11:$AM1078&lt;&gt;"")*($AS$11:$AS1078&lt;&gt;"✓")),"")</f>
        <v/>
      </c>
      <c r="AZ1078" s="21" t="str">
        <f>IF(AND($AM1078&lt;&gt;"",$AS1078="✓"),SUMPRODUCT(($AM$11:$AM1078&lt;&gt;"")*($AS$11:$AS1078="✓")),"")</f>
        <v/>
      </c>
      <c r="BA1078" s="21" t="str">
        <f>IF($AL1078="","",$AL1078&amp;"|"&amp;COUNTIF($AL$11:$AL1078,$AL1078))</f>
        <v/>
      </c>
    </row>
    <row r="1079" spans="38:53" ht="15" customHeight="1" x14ac:dyDescent="0.25">
      <c r="AL1079" s="17"/>
      <c r="AM1079" s="12"/>
      <c r="AN1079" s="18"/>
      <c r="AO1079" s="18"/>
      <c r="AP1079" s="10"/>
      <c r="AQ1079" s="10"/>
      <c r="AR1079" s="19"/>
      <c r="AS1079" s="20"/>
      <c r="AT1079" s="19"/>
      <c r="AV1079" s="21">
        <f>IF(AND($AL1079&lt;&gt;"",COUNTIF($AL$11:$AL1079,$AL1079)=1),1,0)</f>
        <v>0</v>
      </c>
      <c r="AW1079" s="21">
        <f t="shared" si="119"/>
        <v>0</v>
      </c>
      <c r="AX1079" s="21" t="str">
        <f t="shared" si="118"/>
        <v/>
      </c>
      <c r="AY1079" s="21" t="str">
        <f>IF(AND($AM1079&lt;&gt;"",$AS1079&lt;&gt;"✓"),SUMPRODUCT(($AM$11:$AM1079&lt;&gt;"")*($AS$11:$AS1079&lt;&gt;"✓")),"")</f>
        <v/>
      </c>
      <c r="AZ1079" s="21" t="str">
        <f>IF(AND($AM1079&lt;&gt;"",$AS1079="✓"),SUMPRODUCT(($AM$11:$AM1079&lt;&gt;"")*($AS$11:$AS1079="✓")),"")</f>
        <v/>
      </c>
      <c r="BA1079" s="21" t="str">
        <f>IF($AL1079="","",$AL1079&amp;"|"&amp;COUNTIF($AL$11:$AL1079,$AL1079))</f>
        <v/>
      </c>
    </row>
    <row r="1080" spans="38:53" ht="15" customHeight="1" x14ac:dyDescent="0.25">
      <c r="AL1080" s="31"/>
      <c r="AM1080" s="26"/>
      <c r="AN1080" s="32"/>
      <c r="AO1080" s="32"/>
      <c r="AP1080" s="24"/>
      <c r="AQ1080" s="24"/>
      <c r="AR1080" s="33"/>
      <c r="AS1080" s="34"/>
      <c r="AT1080" s="33"/>
      <c r="AV1080" s="21">
        <f>IF(AND($AL1080&lt;&gt;"",COUNTIF($AL$11:$AL1080,$AL1080)=1),1,0)</f>
        <v>0</v>
      </c>
      <c r="AW1080" s="21">
        <f t="shared" si="119"/>
        <v>0</v>
      </c>
      <c r="AX1080" s="21" t="str">
        <f t="shared" si="118"/>
        <v/>
      </c>
      <c r="AY1080" s="21" t="str">
        <f>IF(AND($AM1080&lt;&gt;"",$AS1080&lt;&gt;"✓"),SUMPRODUCT(($AM$11:$AM1080&lt;&gt;"")*($AS$11:$AS1080&lt;&gt;"✓")),"")</f>
        <v/>
      </c>
      <c r="AZ1080" s="21" t="str">
        <f>IF(AND($AM1080&lt;&gt;"",$AS1080="✓"),SUMPRODUCT(($AM$11:$AM1080&lt;&gt;"")*($AS$11:$AS1080="✓")),"")</f>
        <v/>
      </c>
      <c r="BA1080" s="21" t="str">
        <f>IF($AL1080="","",$AL1080&amp;"|"&amp;COUNTIF($AL$11:$AL1080,$AL1080))</f>
        <v/>
      </c>
    </row>
    <row r="1081" spans="38:53" ht="15" customHeight="1" x14ac:dyDescent="0.25">
      <c r="AL1081" s="17"/>
      <c r="AM1081" s="12"/>
      <c r="AN1081" s="18"/>
      <c r="AO1081" s="18"/>
      <c r="AP1081" s="10"/>
      <c r="AQ1081" s="10"/>
      <c r="AR1081" s="19"/>
      <c r="AS1081" s="20"/>
      <c r="AT1081" s="19"/>
      <c r="AV1081" s="21">
        <f>IF(AND($AL1081&lt;&gt;"",COUNTIF($AL$11:$AL1081,$AL1081)=1),1,0)</f>
        <v>0</v>
      </c>
      <c r="AW1081" s="21">
        <f t="shared" si="119"/>
        <v>0</v>
      </c>
      <c r="AX1081" s="21" t="str">
        <f t="shared" si="118"/>
        <v/>
      </c>
      <c r="AY1081" s="21" t="str">
        <f>IF(AND($AM1081&lt;&gt;"",$AS1081&lt;&gt;"✓"),SUMPRODUCT(($AM$11:$AM1081&lt;&gt;"")*($AS$11:$AS1081&lt;&gt;"✓")),"")</f>
        <v/>
      </c>
      <c r="AZ1081" s="21" t="str">
        <f>IF(AND($AM1081&lt;&gt;"",$AS1081="✓"),SUMPRODUCT(($AM$11:$AM1081&lt;&gt;"")*($AS$11:$AS1081="✓")),"")</f>
        <v/>
      </c>
      <c r="BA1081" s="21" t="str">
        <f>IF($AL1081="","",$AL1081&amp;"|"&amp;COUNTIF($AL$11:$AL1081,$AL1081))</f>
        <v/>
      </c>
    </row>
    <row r="1082" spans="38:53" ht="15" customHeight="1" x14ac:dyDescent="0.25">
      <c r="AL1082" s="31"/>
      <c r="AM1082" s="26"/>
      <c r="AN1082" s="32"/>
      <c r="AO1082" s="32"/>
      <c r="AP1082" s="24"/>
      <c r="AQ1082" s="24"/>
      <c r="AR1082" s="33"/>
      <c r="AS1082" s="34"/>
      <c r="AT1082" s="33"/>
      <c r="AV1082" s="21">
        <f>IF(AND($AL1082&lt;&gt;"",COUNTIF($AL$11:$AL1082,$AL1082)=1),1,0)</f>
        <v>0</v>
      </c>
      <c r="AW1082" s="21">
        <f t="shared" si="119"/>
        <v>0</v>
      </c>
      <c r="AX1082" s="21" t="str">
        <f t="shared" si="118"/>
        <v/>
      </c>
      <c r="AY1082" s="21" t="str">
        <f>IF(AND($AM1082&lt;&gt;"",$AS1082&lt;&gt;"✓"),SUMPRODUCT(($AM$11:$AM1082&lt;&gt;"")*($AS$11:$AS1082&lt;&gt;"✓")),"")</f>
        <v/>
      </c>
      <c r="AZ1082" s="21" t="str">
        <f>IF(AND($AM1082&lt;&gt;"",$AS1082="✓"),SUMPRODUCT(($AM$11:$AM1082&lt;&gt;"")*($AS$11:$AS1082="✓")),"")</f>
        <v/>
      </c>
      <c r="BA1082" s="21" t="str">
        <f>IF($AL1082="","",$AL1082&amp;"|"&amp;COUNTIF($AL$11:$AL1082,$AL1082))</f>
        <v/>
      </c>
    </row>
    <row r="1083" spans="38:53" ht="15" customHeight="1" x14ac:dyDescent="0.25">
      <c r="AL1083" s="17"/>
      <c r="AM1083" s="12"/>
      <c r="AN1083" s="18"/>
      <c r="AO1083" s="18"/>
      <c r="AP1083" s="10"/>
      <c r="AQ1083" s="10"/>
      <c r="AR1083" s="19"/>
      <c r="AS1083" s="20"/>
      <c r="AT1083" s="19"/>
      <c r="AV1083" s="21">
        <f>IF(AND($AL1083&lt;&gt;"",COUNTIF($AL$11:$AL1083,$AL1083)=1),1,0)</f>
        <v>0</v>
      </c>
      <c r="AW1083" s="21">
        <f t="shared" si="119"/>
        <v>0</v>
      </c>
      <c r="AX1083" s="21" t="str">
        <f t="shared" si="118"/>
        <v/>
      </c>
      <c r="AY1083" s="21" t="str">
        <f>IF(AND($AM1083&lt;&gt;"",$AS1083&lt;&gt;"✓"),SUMPRODUCT(($AM$11:$AM1083&lt;&gt;"")*($AS$11:$AS1083&lt;&gt;"✓")),"")</f>
        <v/>
      </c>
      <c r="AZ1083" s="21" t="str">
        <f>IF(AND($AM1083&lt;&gt;"",$AS1083="✓"),SUMPRODUCT(($AM$11:$AM1083&lt;&gt;"")*($AS$11:$AS1083="✓")),"")</f>
        <v/>
      </c>
      <c r="BA1083" s="21" t="str">
        <f>IF($AL1083="","",$AL1083&amp;"|"&amp;COUNTIF($AL$11:$AL1083,$AL1083))</f>
        <v/>
      </c>
    </row>
    <row r="1084" spans="38:53" ht="15" customHeight="1" x14ac:dyDescent="0.25">
      <c r="AL1084" s="31"/>
      <c r="AM1084" s="26"/>
      <c r="AN1084" s="32"/>
      <c r="AO1084" s="32"/>
      <c r="AP1084" s="24"/>
      <c r="AQ1084" s="24"/>
      <c r="AR1084" s="33"/>
      <c r="AS1084" s="34"/>
      <c r="AT1084" s="33"/>
      <c r="AV1084" s="21">
        <f>IF(AND($AL1084&lt;&gt;"",COUNTIF($AL$11:$AL1084,$AL1084)=1),1,0)</f>
        <v>0</v>
      </c>
      <c r="AW1084" s="21">
        <f t="shared" si="119"/>
        <v>0</v>
      </c>
      <c r="AX1084" s="21" t="str">
        <f t="shared" si="118"/>
        <v/>
      </c>
      <c r="AY1084" s="21" t="str">
        <f>IF(AND($AM1084&lt;&gt;"",$AS1084&lt;&gt;"✓"),SUMPRODUCT(($AM$11:$AM1084&lt;&gt;"")*($AS$11:$AS1084&lt;&gt;"✓")),"")</f>
        <v/>
      </c>
      <c r="AZ1084" s="21" t="str">
        <f>IF(AND($AM1084&lt;&gt;"",$AS1084="✓"),SUMPRODUCT(($AM$11:$AM1084&lt;&gt;"")*($AS$11:$AS1084="✓")),"")</f>
        <v/>
      </c>
      <c r="BA1084" s="21" t="str">
        <f>IF($AL1084="","",$AL1084&amp;"|"&amp;COUNTIF($AL$11:$AL1084,$AL1084))</f>
        <v/>
      </c>
    </row>
    <row r="1085" spans="38:53" ht="15" customHeight="1" x14ac:dyDescent="0.25">
      <c r="AL1085" s="17"/>
      <c r="AM1085" s="12"/>
      <c r="AN1085" s="18"/>
      <c r="AO1085" s="18"/>
      <c r="AP1085" s="10"/>
      <c r="AQ1085" s="10"/>
      <c r="AR1085" s="19"/>
      <c r="AS1085" s="20"/>
      <c r="AT1085" s="19"/>
      <c r="AV1085" s="21">
        <f>IF(AND($AL1085&lt;&gt;"",COUNTIF($AL$11:$AL1085,$AL1085)=1),1,0)</f>
        <v>0</v>
      </c>
      <c r="AW1085" s="21">
        <f t="shared" si="119"/>
        <v>0</v>
      </c>
      <c r="AX1085" s="21" t="str">
        <f t="shared" si="118"/>
        <v/>
      </c>
      <c r="AY1085" s="21" t="str">
        <f>IF(AND($AM1085&lt;&gt;"",$AS1085&lt;&gt;"✓"),SUMPRODUCT(($AM$11:$AM1085&lt;&gt;"")*($AS$11:$AS1085&lt;&gt;"✓")),"")</f>
        <v/>
      </c>
      <c r="AZ1085" s="21" t="str">
        <f>IF(AND($AM1085&lt;&gt;"",$AS1085="✓"),SUMPRODUCT(($AM$11:$AM1085&lt;&gt;"")*($AS$11:$AS1085="✓")),"")</f>
        <v/>
      </c>
      <c r="BA1085" s="21" t="str">
        <f>IF($AL1085="","",$AL1085&amp;"|"&amp;COUNTIF($AL$11:$AL1085,$AL1085))</f>
        <v/>
      </c>
    </row>
    <row r="1086" spans="38:53" ht="15" customHeight="1" x14ac:dyDescent="0.25">
      <c r="AL1086" s="31"/>
      <c r="AM1086" s="26"/>
      <c r="AN1086" s="32"/>
      <c r="AO1086" s="32"/>
      <c r="AP1086" s="24"/>
      <c r="AQ1086" s="24"/>
      <c r="AR1086" s="33"/>
      <c r="AS1086" s="34"/>
      <c r="AT1086" s="33"/>
      <c r="AV1086" s="21">
        <f>IF(AND($AL1086&lt;&gt;"",COUNTIF($AL$11:$AL1086,$AL1086)=1),1,0)</f>
        <v>0</v>
      </c>
      <c r="AW1086" s="21">
        <f t="shared" si="119"/>
        <v>0</v>
      </c>
      <c r="AX1086" s="21" t="str">
        <f t="shared" si="118"/>
        <v/>
      </c>
      <c r="AY1086" s="21" t="str">
        <f>IF(AND($AM1086&lt;&gt;"",$AS1086&lt;&gt;"✓"),SUMPRODUCT(($AM$11:$AM1086&lt;&gt;"")*($AS$11:$AS1086&lt;&gt;"✓")),"")</f>
        <v/>
      </c>
      <c r="AZ1086" s="21" t="str">
        <f>IF(AND($AM1086&lt;&gt;"",$AS1086="✓"),SUMPRODUCT(($AM$11:$AM1086&lt;&gt;"")*($AS$11:$AS1086="✓")),"")</f>
        <v/>
      </c>
      <c r="BA1086" s="21" t="str">
        <f>IF($AL1086="","",$AL1086&amp;"|"&amp;COUNTIF($AL$11:$AL1086,$AL1086))</f>
        <v/>
      </c>
    </row>
    <row r="1087" spans="38:53" ht="15" customHeight="1" x14ac:dyDescent="0.25">
      <c r="AL1087" s="17"/>
      <c r="AM1087" s="12"/>
      <c r="AN1087" s="18"/>
      <c r="AO1087" s="18"/>
      <c r="AP1087" s="10"/>
      <c r="AQ1087" s="10"/>
      <c r="AR1087" s="19"/>
      <c r="AS1087" s="20"/>
      <c r="AT1087" s="19"/>
      <c r="AV1087" s="21">
        <f>IF(AND($AL1087&lt;&gt;"",COUNTIF($AL$11:$AL1087,$AL1087)=1),1,0)</f>
        <v>0</v>
      </c>
      <c r="AW1087" s="21">
        <f t="shared" si="119"/>
        <v>0</v>
      </c>
      <c r="AX1087" s="21" t="str">
        <f t="shared" si="118"/>
        <v/>
      </c>
      <c r="AY1087" s="21" t="str">
        <f>IF(AND($AM1087&lt;&gt;"",$AS1087&lt;&gt;"✓"),SUMPRODUCT(($AM$11:$AM1087&lt;&gt;"")*($AS$11:$AS1087&lt;&gt;"✓")),"")</f>
        <v/>
      </c>
      <c r="AZ1087" s="21" t="str">
        <f>IF(AND($AM1087&lt;&gt;"",$AS1087="✓"),SUMPRODUCT(($AM$11:$AM1087&lt;&gt;"")*($AS$11:$AS1087="✓")),"")</f>
        <v/>
      </c>
      <c r="BA1087" s="21" t="str">
        <f>IF($AL1087="","",$AL1087&amp;"|"&amp;COUNTIF($AL$11:$AL1087,$AL1087))</f>
        <v/>
      </c>
    </row>
    <row r="1088" spans="38:53" ht="15" customHeight="1" x14ac:dyDescent="0.25">
      <c r="AL1088" s="31"/>
      <c r="AM1088" s="26"/>
      <c r="AN1088" s="32"/>
      <c r="AO1088" s="32"/>
      <c r="AP1088" s="24"/>
      <c r="AQ1088" s="24"/>
      <c r="AR1088" s="33"/>
      <c r="AS1088" s="34"/>
      <c r="AT1088" s="33"/>
      <c r="AV1088" s="21">
        <f>IF(AND($AL1088&lt;&gt;"",COUNTIF($AL$11:$AL1088,$AL1088)=1),1,0)</f>
        <v>0</v>
      </c>
      <c r="AW1088" s="21">
        <f t="shared" si="119"/>
        <v>0</v>
      </c>
      <c r="AX1088" s="21" t="str">
        <f t="shared" si="118"/>
        <v/>
      </c>
      <c r="AY1088" s="21" t="str">
        <f>IF(AND($AM1088&lt;&gt;"",$AS1088&lt;&gt;"✓"),SUMPRODUCT(($AM$11:$AM1088&lt;&gt;"")*($AS$11:$AS1088&lt;&gt;"✓")),"")</f>
        <v/>
      </c>
      <c r="AZ1088" s="21" t="str">
        <f>IF(AND($AM1088&lt;&gt;"",$AS1088="✓"),SUMPRODUCT(($AM$11:$AM1088&lt;&gt;"")*($AS$11:$AS1088="✓")),"")</f>
        <v/>
      </c>
      <c r="BA1088" s="21" t="str">
        <f>IF($AL1088="","",$AL1088&amp;"|"&amp;COUNTIF($AL$11:$AL1088,$AL1088))</f>
        <v/>
      </c>
    </row>
    <row r="1089" spans="38:53" ht="15" customHeight="1" x14ac:dyDescent="0.25">
      <c r="AL1089" s="17"/>
      <c r="AM1089" s="12"/>
      <c r="AN1089" s="18"/>
      <c r="AO1089" s="18"/>
      <c r="AP1089" s="10"/>
      <c r="AQ1089" s="10"/>
      <c r="AR1089" s="19"/>
      <c r="AS1089" s="20"/>
      <c r="AT1089" s="19"/>
      <c r="AV1089" s="21">
        <f>IF(AND($AL1089&lt;&gt;"",COUNTIF($AL$11:$AL1089,$AL1089)=1),1,0)</f>
        <v>0</v>
      </c>
      <c r="AW1089" s="21">
        <f t="shared" si="119"/>
        <v>0</v>
      </c>
      <c r="AX1089" s="21" t="str">
        <f t="shared" si="118"/>
        <v/>
      </c>
      <c r="AY1089" s="21" t="str">
        <f>IF(AND($AM1089&lt;&gt;"",$AS1089&lt;&gt;"✓"),SUMPRODUCT(($AM$11:$AM1089&lt;&gt;"")*($AS$11:$AS1089&lt;&gt;"✓")),"")</f>
        <v/>
      </c>
      <c r="AZ1089" s="21" t="str">
        <f>IF(AND($AM1089&lt;&gt;"",$AS1089="✓"),SUMPRODUCT(($AM$11:$AM1089&lt;&gt;"")*($AS$11:$AS1089="✓")),"")</f>
        <v/>
      </c>
      <c r="BA1089" s="21" t="str">
        <f>IF($AL1089="","",$AL1089&amp;"|"&amp;COUNTIF($AL$11:$AL1089,$AL1089))</f>
        <v/>
      </c>
    </row>
    <row r="1090" spans="38:53" ht="15" customHeight="1" x14ac:dyDescent="0.25">
      <c r="AL1090" s="31"/>
      <c r="AM1090" s="26"/>
      <c r="AN1090" s="32"/>
      <c r="AO1090" s="32"/>
      <c r="AP1090" s="24"/>
      <c r="AQ1090" s="24"/>
      <c r="AR1090" s="33"/>
      <c r="AS1090" s="34"/>
      <c r="AT1090" s="33"/>
      <c r="AV1090" s="21">
        <f>IF(AND($AL1090&lt;&gt;"",COUNTIF($AL$11:$AL1090,$AL1090)=1),1,0)</f>
        <v>0</v>
      </c>
      <c r="AW1090" s="21">
        <f t="shared" si="119"/>
        <v>0</v>
      </c>
      <c r="AX1090" s="21" t="str">
        <f t="shared" si="118"/>
        <v/>
      </c>
      <c r="AY1090" s="21" t="str">
        <f>IF(AND($AM1090&lt;&gt;"",$AS1090&lt;&gt;"✓"),SUMPRODUCT(($AM$11:$AM1090&lt;&gt;"")*($AS$11:$AS1090&lt;&gt;"✓")),"")</f>
        <v/>
      </c>
      <c r="AZ1090" s="21" t="str">
        <f>IF(AND($AM1090&lt;&gt;"",$AS1090="✓"),SUMPRODUCT(($AM$11:$AM1090&lt;&gt;"")*($AS$11:$AS1090="✓")),"")</f>
        <v/>
      </c>
      <c r="BA1090" s="21" t="str">
        <f>IF($AL1090="","",$AL1090&amp;"|"&amp;COUNTIF($AL$11:$AL1090,$AL1090))</f>
        <v/>
      </c>
    </row>
    <row r="1091" spans="38:53" ht="15" customHeight="1" x14ac:dyDescent="0.25">
      <c r="AL1091" s="17"/>
      <c r="AM1091" s="12"/>
      <c r="AN1091" s="18"/>
      <c r="AO1091" s="18"/>
      <c r="AP1091" s="10"/>
      <c r="AQ1091" s="10"/>
      <c r="AR1091" s="19"/>
      <c r="AS1091" s="20"/>
      <c r="AT1091" s="19"/>
      <c r="AV1091" s="21">
        <f>IF(AND($AL1091&lt;&gt;"",COUNTIF($AL$11:$AL1091,$AL1091)=1),1,0)</f>
        <v>0</v>
      </c>
      <c r="AW1091" s="21">
        <f t="shared" si="119"/>
        <v>0</v>
      </c>
      <c r="AX1091" s="21" t="str">
        <f t="shared" si="118"/>
        <v/>
      </c>
      <c r="AY1091" s="21" t="str">
        <f>IF(AND($AM1091&lt;&gt;"",$AS1091&lt;&gt;"✓"),SUMPRODUCT(($AM$11:$AM1091&lt;&gt;"")*($AS$11:$AS1091&lt;&gt;"✓")),"")</f>
        <v/>
      </c>
      <c r="AZ1091" s="21" t="str">
        <f>IF(AND($AM1091&lt;&gt;"",$AS1091="✓"),SUMPRODUCT(($AM$11:$AM1091&lt;&gt;"")*($AS$11:$AS1091="✓")),"")</f>
        <v/>
      </c>
      <c r="BA1091" s="21" t="str">
        <f>IF($AL1091="","",$AL1091&amp;"|"&amp;COUNTIF($AL$11:$AL1091,$AL1091))</f>
        <v/>
      </c>
    </row>
    <row r="1092" spans="38:53" ht="15" customHeight="1" x14ac:dyDescent="0.25">
      <c r="AL1092" s="31"/>
      <c r="AM1092" s="26"/>
      <c r="AN1092" s="32"/>
      <c r="AO1092" s="32"/>
      <c r="AP1092" s="24"/>
      <c r="AQ1092" s="24"/>
      <c r="AR1092" s="33"/>
      <c r="AS1092" s="34"/>
      <c r="AT1092" s="33"/>
      <c r="AV1092" s="21">
        <f>IF(AND($AL1092&lt;&gt;"",COUNTIF($AL$11:$AL1092,$AL1092)=1),1,0)</f>
        <v>0</v>
      </c>
      <c r="AW1092" s="21">
        <f t="shared" si="119"/>
        <v>0</v>
      </c>
      <c r="AX1092" s="21" t="str">
        <f t="shared" si="118"/>
        <v/>
      </c>
      <c r="AY1092" s="21" t="str">
        <f>IF(AND($AM1092&lt;&gt;"",$AS1092&lt;&gt;"✓"),SUMPRODUCT(($AM$11:$AM1092&lt;&gt;"")*($AS$11:$AS1092&lt;&gt;"✓")),"")</f>
        <v/>
      </c>
      <c r="AZ1092" s="21" t="str">
        <f>IF(AND($AM1092&lt;&gt;"",$AS1092="✓"),SUMPRODUCT(($AM$11:$AM1092&lt;&gt;"")*($AS$11:$AS1092="✓")),"")</f>
        <v/>
      </c>
      <c r="BA1092" s="21" t="str">
        <f>IF($AL1092="","",$AL1092&amp;"|"&amp;COUNTIF($AL$11:$AL1092,$AL1092))</f>
        <v/>
      </c>
    </row>
    <row r="1093" spans="38:53" ht="15" customHeight="1" x14ac:dyDescent="0.25">
      <c r="AL1093" s="17"/>
      <c r="AM1093" s="12"/>
      <c r="AN1093" s="18"/>
      <c r="AO1093" s="18"/>
      <c r="AP1093" s="10"/>
      <c r="AQ1093" s="10"/>
      <c r="AR1093" s="19"/>
      <c r="AS1093" s="20"/>
      <c r="AT1093" s="19"/>
      <c r="AV1093" s="21">
        <f>IF(AND($AL1093&lt;&gt;"",COUNTIF($AL$11:$AL1093,$AL1093)=1),1,0)</f>
        <v>0</v>
      </c>
      <c r="AW1093" s="21">
        <f t="shared" si="119"/>
        <v>0</v>
      </c>
      <c r="AX1093" s="21" t="str">
        <f t="shared" si="118"/>
        <v/>
      </c>
      <c r="AY1093" s="21" t="str">
        <f>IF(AND($AM1093&lt;&gt;"",$AS1093&lt;&gt;"✓"),SUMPRODUCT(($AM$11:$AM1093&lt;&gt;"")*($AS$11:$AS1093&lt;&gt;"✓")),"")</f>
        <v/>
      </c>
      <c r="AZ1093" s="21" t="str">
        <f>IF(AND($AM1093&lt;&gt;"",$AS1093="✓"),SUMPRODUCT(($AM$11:$AM1093&lt;&gt;"")*($AS$11:$AS1093="✓")),"")</f>
        <v/>
      </c>
      <c r="BA1093" s="21" t="str">
        <f>IF($AL1093="","",$AL1093&amp;"|"&amp;COUNTIF($AL$11:$AL1093,$AL1093))</f>
        <v/>
      </c>
    </row>
    <row r="1094" spans="38:53" ht="15" customHeight="1" x14ac:dyDescent="0.25">
      <c r="AL1094" s="31"/>
      <c r="AM1094" s="26"/>
      <c r="AN1094" s="32"/>
      <c r="AO1094" s="32"/>
      <c r="AP1094" s="24"/>
      <c r="AQ1094" s="24"/>
      <c r="AR1094" s="33"/>
      <c r="AS1094" s="34"/>
      <c r="AT1094" s="33"/>
      <c r="AV1094" s="21">
        <f>IF(AND($AL1094&lt;&gt;"",COUNTIF($AL$11:$AL1094,$AL1094)=1),1,0)</f>
        <v>0</v>
      </c>
      <c r="AW1094" s="21">
        <f t="shared" si="119"/>
        <v>0</v>
      </c>
      <c r="AX1094" s="21" t="str">
        <f t="shared" si="118"/>
        <v/>
      </c>
      <c r="AY1094" s="21" t="str">
        <f>IF(AND($AM1094&lt;&gt;"",$AS1094&lt;&gt;"✓"),SUMPRODUCT(($AM$11:$AM1094&lt;&gt;"")*($AS$11:$AS1094&lt;&gt;"✓")),"")</f>
        <v/>
      </c>
      <c r="AZ1094" s="21" t="str">
        <f>IF(AND($AM1094&lt;&gt;"",$AS1094="✓"),SUMPRODUCT(($AM$11:$AM1094&lt;&gt;"")*($AS$11:$AS1094="✓")),"")</f>
        <v/>
      </c>
      <c r="BA1094" s="21" t="str">
        <f>IF($AL1094="","",$AL1094&amp;"|"&amp;COUNTIF($AL$11:$AL1094,$AL1094))</f>
        <v/>
      </c>
    </row>
    <row r="1095" spans="38:53" ht="15" customHeight="1" x14ac:dyDescent="0.25">
      <c r="AL1095" s="17"/>
      <c r="AM1095" s="12"/>
      <c r="AN1095" s="18"/>
      <c r="AO1095" s="18"/>
      <c r="AP1095" s="10"/>
      <c r="AQ1095" s="10"/>
      <c r="AR1095" s="19"/>
      <c r="AS1095" s="20"/>
      <c r="AT1095" s="19"/>
      <c r="AV1095" s="21">
        <f>IF(AND($AL1095&lt;&gt;"",COUNTIF($AL$11:$AL1095,$AL1095)=1),1,0)</f>
        <v>0</v>
      </c>
      <c r="AW1095" s="21">
        <f t="shared" si="119"/>
        <v>0</v>
      </c>
      <c r="AX1095" s="21" t="str">
        <f t="shared" si="118"/>
        <v/>
      </c>
      <c r="AY1095" s="21" t="str">
        <f>IF(AND($AM1095&lt;&gt;"",$AS1095&lt;&gt;"✓"),SUMPRODUCT(($AM$11:$AM1095&lt;&gt;"")*($AS$11:$AS1095&lt;&gt;"✓")),"")</f>
        <v/>
      </c>
      <c r="AZ1095" s="21" t="str">
        <f>IF(AND($AM1095&lt;&gt;"",$AS1095="✓"),SUMPRODUCT(($AM$11:$AM1095&lt;&gt;"")*($AS$11:$AS1095="✓")),"")</f>
        <v/>
      </c>
      <c r="BA1095" s="21" t="str">
        <f>IF($AL1095="","",$AL1095&amp;"|"&amp;COUNTIF($AL$11:$AL1095,$AL1095))</f>
        <v/>
      </c>
    </row>
    <row r="1096" spans="38:53" ht="15" customHeight="1" x14ac:dyDescent="0.25">
      <c r="AL1096" s="31"/>
      <c r="AM1096" s="26"/>
      <c r="AN1096" s="32"/>
      <c r="AO1096" s="32"/>
      <c r="AP1096" s="24"/>
      <c r="AQ1096" s="24"/>
      <c r="AR1096" s="33"/>
      <c r="AS1096" s="34"/>
      <c r="AT1096" s="33"/>
      <c r="AV1096" s="21">
        <f>IF(AND($AL1096&lt;&gt;"",COUNTIF($AL$11:$AL1096,$AL1096)=1),1,0)</f>
        <v>0</v>
      </c>
      <c r="AW1096" s="21">
        <f t="shared" si="119"/>
        <v>0</v>
      </c>
      <c r="AX1096" s="21" t="str">
        <f t="shared" si="118"/>
        <v/>
      </c>
      <c r="AY1096" s="21" t="str">
        <f>IF(AND($AM1096&lt;&gt;"",$AS1096&lt;&gt;"✓"),SUMPRODUCT(($AM$11:$AM1096&lt;&gt;"")*($AS$11:$AS1096&lt;&gt;"✓")),"")</f>
        <v/>
      </c>
      <c r="AZ1096" s="21" t="str">
        <f>IF(AND($AM1096&lt;&gt;"",$AS1096="✓"),SUMPRODUCT(($AM$11:$AM1096&lt;&gt;"")*($AS$11:$AS1096="✓")),"")</f>
        <v/>
      </c>
      <c r="BA1096" s="21" t="str">
        <f>IF($AL1096="","",$AL1096&amp;"|"&amp;COUNTIF($AL$11:$AL1096,$AL1096))</f>
        <v/>
      </c>
    </row>
    <row r="1097" spans="38:53" ht="15" customHeight="1" x14ac:dyDescent="0.25">
      <c r="AL1097" s="17"/>
      <c r="AM1097" s="12"/>
      <c r="AN1097" s="18"/>
      <c r="AO1097" s="18"/>
      <c r="AP1097" s="10"/>
      <c r="AQ1097" s="10"/>
      <c r="AR1097" s="19"/>
      <c r="AS1097" s="20"/>
      <c r="AT1097" s="19"/>
      <c r="AV1097" s="21">
        <f>IF(AND($AL1097&lt;&gt;"",COUNTIF($AL$11:$AL1097,$AL1097)=1),1,0)</f>
        <v>0</v>
      </c>
      <c r="AW1097" s="21">
        <f t="shared" si="119"/>
        <v>0</v>
      </c>
      <c r="AX1097" s="21" t="str">
        <f t="shared" si="118"/>
        <v/>
      </c>
      <c r="AY1097" s="21" t="str">
        <f>IF(AND($AM1097&lt;&gt;"",$AS1097&lt;&gt;"✓"),SUMPRODUCT(($AM$11:$AM1097&lt;&gt;"")*($AS$11:$AS1097&lt;&gt;"✓")),"")</f>
        <v/>
      </c>
      <c r="AZ1097" s="21" t="str">
        <f>IF(AND($AM1097&lt;&gt;"",$AS1097="✓"),SUMPRODUCT(($AM$11:$AM1097&lt;&gt;"")*($AS$11:$AS1097="✓")),"")</f>
        <v/>
      </c>
      <c r="BA1097" s="21" t="str">
        <f>IF($AL1097="","",$AL1097&amp;"|"&amp;COUNTIF($AL$11:$AL1097,$AL1097))</f>
        <v/>
      </c>
    </row>
    <row r="1098" spans="38:53" ht="15" customHeight="1" x14ac:dyDescent="0.25">
      <c r="AL1098" s="31"/>
      <c r="AM1098" s="26"/>
      <c r="AN1098" s="32"/>
      <c r="AO1098" s="32"/>
      <c r="AP1098" s="24"/>
      <c r="AQ1098" s="24"/>
      <c r="AR1098" s="33"/>
      <c r="AS1098" s="34"/>
      <c r="AT1098" s="33"/>
      <c r="AV1098" s="21">
        <f>IF(AND($AL1098&lt;&gt;"",COUNTIF($AL$11:$AL1098,$AL1098)=1),1,0)</f>
        <v>0</v>
      </c>
      <c r="AW1098" s="21">
        <f t="shared" si="119"/>
        <v>0</v>
      </c>
      <c r="AX1098" s="21" t="str">
        <f t="shared" si="118"/>
        <v/>
      </c>
      <c r="AY1098" s="21" t="str">
        <f>IF(AND($AM1098&lt;&gt;"",$AS1098&lt;&gt;"✓"),SUMPRODUCT(($AM$11:$AM1098&lt;&gt;"")*($AS$11:$AS1098&lt;&gt;"✓")),"")</f>
        <v/>
      </c>
      <c r="AZ1098" s="21" t="str">
        <f>IF(AND($AM1098&lt;&gt;"",$AS1098="✓"),SUMPRODUCT(($AM$11:$AM1098&lt;&gt;"")*($AS$11:$AS1098="✓")),"")</f>
        <v/>
      </c>
      <c r="BA1098" s="21" t="str">
        <f>IF($AL1098="","",$AL1098&amp;"|"&amp;COUNTIF($AL$11:$AL1098,$AL1098))</f>
        <v/>
      </c>
    </row>
    <row r="1099" spans="38:53" ht="15" customHeight="1" x14ac:dyDescent="0.25">
      <c r="AL1099" s="17"/>
      <c r="AM1099" s="12"/>
      <c r="AN1099" s="18"/>
      <c r="AO1099" s="18"/>
      <c r="AP1099" s="10"/>
      <c r="AQ1099" s="10"/>
      <c r="AR1099" s="19"/>
      <c r="AS1099" s="20"/>
      <c r="AT1099" s="19"/>
      <c r="AV1099" s="21">
        <f>IF(AND($AL1099&lt;&gt;"",COUNTIF($AL$11:$AL1099,$AL1099)=1),1,0)</f>
        <v>0</v>
      </c>
      <c r="AW1099" s="21">
        <f t="shared" si="119"/>
        <v>0</v>
      </c>
      <c r="AX1099" s="21" t="str">
        <f t="shared" ref="AX1099:AX1162" si="120">IF(AV1099=1,AW1099,"")</f>
        <v/>
      </c>
      <c r="AY1099" s="21" t="str">
        <f>IF(AND($AM1099&lt;&gt;"",$AS1099&lt;&gt;"✓"),SUMPRODUCT(($AM$11:$AM1099&lt;&gt;"")*($AS$11:$AS1099&lt;&gt;"✓")),"")</f>
        <v/>
      </c>
      <c r="AZ1099" s="21" t="str">
        <f>IF(AND($AM1099&lt;&gt;"",$AS1099="✓"),SUMPRODUCT(($AM$11:$AM1099&lt;&gt;"")*($AS$11:$AS1099="✓")),"")</f>
        <v/>
      </c>
      <c r="BA1099" s="21" t="str">
        <f>IF($AL1099="","",$AL1099&amp;"|"&amp;COUNTIF($AL$11:$AL1099,$AL1099))</f>
        <v/>
      </c>
    </row>
    <row r="1100" spans="38:53" ht="15" customHeight="1" x14ac:dyDescent="0.25">
      <c r="AL1100" s="31"/>
      <c r="AM1100" s="26"/>
      <c r="AN1100" s="32"/>
      <c r="AO1100" s="32"/>
      <c r="AP1100" s="24"/>
      <c r="AQ1100" s="24"/>
      <c r="AR1100" s="33"/>
      <c r="AS1100" s="34"/>
      <c r="AT1100" s="33"/>
      <c r="AV1100" s="21">
        <f>IF(AND($AL1100&lt;&gt;"",COUNTIF($AL$11:$AL1100,$AL1100)=1),1,0)</f>
        <v>0</v>
      </c>
      <c r="AW1100" s="21">
        <f t="shared" ref="AW1100:AW1163" si="121">AW1099+AV1100</f>
        <v>0</v>
      </c>
      <c r="AX1100" s="21" t="str">
        <f t="shared" si="120"/>
        <v/>
      </c>
      <c r="AY1100" s="21" t="str">
        <f>IF(AND($AM1100&lt;&gt;"",$AS1100&lt;&gt;"✓"),SUMPRODUCT(($AM$11:$AM1100&lt;&gt;"")*($AS$11:$AS1100&lt;&gt;"✓")),"")</f>
        <v/>
      </c>
      <c r="AZ1100" s="21" t="str">
        <f>IF(AND($AM1100&lt;&gt;"",$AS1100="✓"),SUMPRODUCT(($AM$11:$AM1100&lt;&gt;"")*($AS$11:$AS1100="✓")),"")</f>
        <v/>
      </c>
      <c r="BA1100" s="21" t="str">
        <f>IF($AL1100="","",$AL1100&amp;"|"&amp;COUNTIF($AL$11:$AL1100,$AL1100))</f>
        <v/>
      </c>
    </row>
    <row r="1101" spans="38:53" ht="15" customHeight="1" x14ac:dyDescent="0.25">
      <c r="AL1101" s="17"/>
      <c r="AM1101" s="12"/>
      <c r="AN1101" s="18"/>
      <c r="AO1101" s="18"/>
      <c r="AP1101" s="10"/>
      <c r="AQ1101" s="10"/>
      <c r="AR1101" s="19"/>
      <c r="AS1101" s="20"/>
      <c r="AT1101" s="19"/>
      <c r="AV1101" s="21">
        <f>IF(AND($AL1101&lt;&gt;"",COUNTIF($AL$11:$AL1101,$AL1101)=1),1,0)</f>
        <v>0</v>
      </c>
      <c r="AW1101" s="21">
        <f t="shared" si="121"/>
        <v>0</v>
      </c>
      <c r="AX1101" s="21" t="str">
        <f t="shared" si="120"/>
        <v/>
      </c>
      <c r="AY1101" s="21" t="str">
        <f>IF(AND($AM1101&lt;&gt;"",$AS1101&lt;&gt;"✓"),SUMPRODUCT(($AM$11:$AM1101&lt;&gt;"")*($AS$11:$AS1101&lt;&gt;"✓")),"")</f>
        <v/>
      </c>
      <c r="AZ1101" s="21" t="str">
        <f>IF(AND($AM1101&lt;&gt;"",$AS1101="✓"),SUMPRODUCT(($AM$11:$AM1101&lt;&gt;"")*($AS$11:$AS1101="✓")),"")</f>
        <v/>
      </c>
      <c r="BA1101" s="21" t="str">
        <f>IF($AL1101="","",$AL1101&amp;"|"&amp;COUNTIF($AL$11:$AL1101,$AL1101))</f>
        <v/>
      </c>
    </row>
    <row r="1102" spans="38:53" ht="15" customHeight="1" x14ac:dyDescent="0.25">
      <c r="AL1102" s="31"/>
      <c r="AM1102" s="26"/>
      <c r="AN1102" s="32"/>
      <c r="AO1102" s="32"/>
      <c r="AP1102" s="24"/>
      <c r="AQ1102" s="24"/>
      <c r="AR1102" s="33"/>
      <c r="AS1102" s="34"/>
      <c r="AT1102" s="33"/>
      <c r="AV1102" s="21">
        <f>IF(AND($AL1102&lt;&gt;"",COUNTIF($AL$11:$AL1102,$AL1102)=1),1,0)</f>
        <v>0</v>
      </c>
      <c r="AW1102" s="21">
        <f t="shared" si="121"/>
        <v>0</v>
      </c>
      <c r="AX1102" s="21" t="str">
        <f t="shared" si="120"/>
        <v/>
      </c>
      <c r="AY1102" s="21" t="str">
        <f>IF(AND($AM1102&lt;&gt;"",$AS1102&lt;&gt;"✓"),SUMPRODUCT(($AM$11:$AM1102&lt;&gt;"")*($AS$11:$AS1102&lt;&gt;"✓")),"")</f>
        <v/>
      </c>
      <c r="AZ1102" s="21" t="str">
        <f>IF(AND($AM1102&lt;&gt;"",$AS1102="✓"),SUMPRODUCT(($AM$11:$AM1102&lt;&gt;"")*($AS$11:$AS1102="✓")),"")</f>
        <v/>
      </c>
      <c r="BA1102" s="21" t="str">
        <f>IF($AL1102="","",$AL1102&amp;"|"&amp;COUNTIF($AL$11:$AL1102,$AL1102))</f>
        <v/>
      </c>
    </row>
    <row r="1103" spans="38:53" ht="15" customHeight="1" x14ac:dyDescent="0.25">
      <c r="AL1103" s="17"/>
      <c r="AM1103" s="12"/>
      <c r="AN1103" s="18"/>
      <c r="AO1103" s="18"/>
      <c r="AP1103" s="10"/>
      <c r="AQ1103" s="10"/>
      <c r="AR1103" s="19"/>
      <c r="AS1103" s="20"/>
      <c r="AT1103" s="19"/>
      <c r="AV1103" s="21">
        <f>IF(AND($AL1103&lt;&gt;"",COUNTIF($AL$11:$AL1103,$AL1103)=1),1,0)</f>
        <v>0</v>
      </c>
      <c r="AW1103" s="21">
        <f t="shared" si="121"/>
        <v>0</v>
      </c>
      <c r="AX1103" s="21" t="str">
        <f t="shared" si="120"/>
        <v/>
      </c>
      <c r="AY1103" s="21" t="str">
        <f>IF(AND($AM1103&lt;&gt;"",$AS1103&lt;&gt;"✓"),SUMPRODUCT(($AM$11:$AM1103&lt;&gt;"")*($AS$11:$AS1103&lt;&gt;"✓")),"")</f>
        <v/>
      </c>
      <c r="AZ1103" s="21" t="str">
        <f>IF(AND($AM1103&lt;&gt;"",$AS1103="✓"),SUMPRODUCT(($AM$11:$AM1103&lt;&gt;"")*($AS$11:$AS1103="✓")),"")</f>
        <v/>
      </c>
      <c r="BA1103" s="21" t="str">
        <f>IF($AL1103="","",$AL1103&amp;"|"&amp;COUNTIF($AL$11:$AL1103,$AL1103))</f>
        <v/>
      </c>
    </row>
    <row r="1104" spans="38:53" ht="15" customHeight="1" x14ac:dyDescent="0.25">
      <c r="AL1104" s="31"/>
      <c r="AM1104" s="26"/>
      <c r="AN1104" s="32"/>
      <c r="AO1104" s="32"/>
      <c r="AP1104" s="24"/>
      <c r="AQ1104" s="24"/>
      <c r="AR1104" s="33"/>
      <c r="AS1104" s="34"/>
      <c r="AT1104" s="33"/>
      <c r="AV1104" s="21">
        <f>IF(AND($AL1104&lt;&gt;"",COUNTIF($AL$11:$AL1104,$AL1104)=1),1,0)</f>
        <v>0</v>
      </c>
      <c r="AW1104" s="21">
        <f t="shared" si="121"/>
        <v>0</v>
      </c>
      <c r="AX1104" s="21" t="str">
        <f t="shared" si="120"/>
        <v/>
      </c>
      <c r="AY1104" s="21" t="str">
        <f>IF(AND($AM1104&lt;&gt;"",$AS1104&lt;&gt;"✓"),SUMPRODUCT(($AM$11:$AM1104&lt;&gt;"")*($AS$11:$AS1104&lt;&gt;"✓")),"")</f>
        <v/>
      </c>
      <c r="AZ1104" s="21" t="str">
        <f>IF(AND($AM1104&lt;&gt;"",$AS1104="✓"),SUMPRODUCT(($AM$11:$AM1104&lt;&gt;"")*($AS$11:$AS1104="✓")),"")</f>
        <v/>
      </c>
      <c r="BA1104" s="21" t="str">
        <f>IF($AL1104="","",$AL1104&amp;"|"&amp;COUNTIF($AL$11:$AL1104,$AL1104))</f>
        <v/>
      </c>
    </row>
    <row r="1105" spans="38:53" ht="15" customHeight="1" x14ac:dyDescent="0.25">
      <c r="AL1105" s="17"/>
      <c r="AM1105" s="12"/>
      <c r="AN1105" s="18"/>
      <c r="AO1105" s="18"/>
      <c r="AP1105" s="10"/>
      <c r="AQ1105" s="10"/>
      <c r="AR1105" s="19"/>
      <c r="AS1105" s="20"/>
      <c r="AT1105" s="19"/>
      <c r="AV1105" s="21">
        <f>IF(AND($AL1105&lt;&gt;"",COUNTIF($AL$11:$AL1105,$AL1105)=1),1,0)</f>
        <v>0</v>
      </c>
      <c r="AW1105" s="21">
        <f t="shared" si="121"/>
        <v>0</v>
      </c>
      <c r="AX1105" s="21" t="str">
        <f t="shared" si="120"/>
        <v/>
      </c>
      <c r="AY1105" s="21" t="str">
        <f>IF(AND($AM1105&lt;&gt;"",$AS1105&lt;&gt;"✓"),SUMPRODUCT(($AM$11:$AM1105&lt;&gt;"")*($AS$11:$AS1105&lt;&gt;"✓")),"")</f>
        <v/>
      </c>
      <c r="AZ1105" s="21" t="str">
        <f>IF(AND($AM1105&lt;&gt;"",$AS1105="✓"),SUMPRODUCT(($AM$11:$AM1105&lt;&gt;"")*($AS$11:$AS1105="✓")),"")</f>
        <v/>
      </c>
      <c r="BA1105" s="21" t="str">
        <f>IF($AL1105="","",$AL1105&amp;"|"&amp;COUNTIF($AL$11:$AL1105,$AL1105))</f>
        <v/>
      </c>
    </row>
    <row r="1106" spans="38:53" ht="15" customHeight="1" x14ac:dyDescent="0.25">
      <c r="AL1106" s="31"/>
      <c r="AM1106" s="26"/>
      <c r="AN1106" s="32"/>
      <c r="AO1106" s="32"/>
      <c r="AP1106" s="24"/>
      <c r="AQ1106" s="24"/>
      <c r="AR1106" s="33"/>
      <c r="AS1106" s="34"/>
      <c r="AT1106" s="33"/>
      <c r="AV1106" s="21">
        <f>IF(AND($AL1106&lt;&gt;"",COUNTIF($AL$11:$AL1106,$AL1106)=1),1,0)</f>
        <v>0</v>
      </c>
      <c r="AW1106" s="21">
        <f t="shared" si="121"/>
        <v>0</v>
      </c>
      <c r="AX1106" s="21" t="str">
        <f t="shared" si="120"/>
        <v/>
      </c>
      <c r="AY1106" s="21" t="str">
        <f>IF(AND($AM1106&lt;&gt;"",$AS1106&lt;&gt;"✓"),SUMPRODUCT(($AM$11:$AM1106&lt;&gt;"")*($AS$11:$AS1106&lt;&gt;"✓")),"")</f>
        <v/>
      </c>
      <c r="AZ1106" s="21" t="str">
        <f>IF(AND($AM1106&lt;&gt;"",$AS1106="✓"),SUMPRODUCT(($AM$11:$AM1106&lt;&gt;"")*($AS$11:$AS1106="✓")),"")</f>
        <v/>
      </c>
      <c r="BA1106" s="21" t="str">
        <f>IF($AL1106="","",$AL1106&amp;"|"&amp;COUNTIF($AL$11:$AL1106,$AL1106))</f>
        <v/>
      </c>
    </row>
    <row r="1107" spans="38:53" ht="15" customHeight="1" x14ac:dyDescent="0.25">
      <c r="AL1107" s="17"/>
      <c r="AM1107" s="12"/>
      <c r="AN1107" s="18"/>
      <c r="AO1107" s="18"/>
      <c r="AP1107" s="10"/>
      <c r="AQ1107" s="10"/>
      <c r="AR1107" s="19"/>
      <c r="AS1107" s="20"/>
      <c r="AT1107" s="19"/>
      <c r="AV1107" s="21">
        <f>IF(AND($AL1107&lt;&gt;"",COUNTIF($AL$11:$AL1107,$AL1107)=1),1,0)</f>
        <v>0</v>
      </c>
      <c r="AW1107" s="21">
        <f t="shared" si="121"/>
        <v>0</v>
      </c>
      <c r="AX1107" s="21" t="str">
        <f t="shared" si="120"/>
        <v/>
      </c>
      <c r="AY1107" s="21" t="str">
        <f>IF(AND($AM1107&lt;&gt;"",$AS1107&lt;&gt;"✓"),SUMPRODUCT(($AM$11:$AM1107&lt;&gt;"")*($AS$11:$AS1107&lt;&gt;"✓")),"")</f>
        <v/>
      </c>
      <c r="AZ1107" s="21" t="str">
        <f>IF(AND($AM1107&lt;&gt;"",$AS1107="✓"),SUMPRODUCT(($AM$11:$AM1107&lt;&gt;"")*($AS$11:$AS1107="✓")),"")</f>
        <v/>
      </c>
      <c r="BA1107" s="21" t="str">
        <f>IF($AL1107="","",$AL1107&amp;"|"&amp;COUNTIF($AL$11:$AL1107,$AL1107))</f>
        <v/>
      </c>
    </row>
    <row r="1108" spans="38:53" ht="15" customHeight="1" x14ac:dyDescent="0.25">
      <c r="AL1108" s="31"/>
      <c r="AM1108" s="26"/>
      <c r="AN1108" s="32"/>
      <c r="AO1108" s="32"/>
      <c r="AP1108" s="24"/>
      <c r="AQ1108" s="24"/>
      <c r="AR1108" s="33"/>
      <c r="AS1108" s="34"/>
      <c r="AT1108" s="33"/>
      <c r="AV1108" s="21">
        <f>IF(AND($AL1108&lt;&gt;"",COUNTIF($AL$11:$AL1108,$AL1108)=1),1,0)</f>
        <v>0</v>
      </c>
      <c r="AW1108" s="21">
        <f t="shared" si="121"/>
        <v>0</v>
      </c>
      <c r="AX1108" s="21" t="str">
        <f t="shared" si="120"/>
        <v/>
      </c>
      <c r="AY1108" s="21" t="str">
        <f>IF(AND($AM1108&lt;&gt;"",$AS1108&lt;&gt;"✓"),SUMPRODUCT(($AM$11:$AM1108&lt;&gt;"")*($AS$11:$AS1108&lt;&gt;"✓")),"")</f>
        <v/>
      </c>
      <c r="AZ1108" s="21" t="str">
        <f>IF(AND($AM1108&lt;&gt;"",$AS1108="✓"),SUMPRODUCT(($AM$11:$AM1108&lt;&gt;"")*($AS$11:$AS1108="✓")),"")</f>
        <v/>
      </c>
      <c r="BA1108" s="21" t="str">
        <f>IF($AL1108="","",$AL1108&amp;"|"&amp;COUNTIF($AL$11:$AL1108,$AL1108))</f>
        <v/>
      </c>
    </row>
    <row r="1109" spans="38:53" ht="15" customHeight="1" x14ac:dyDescent="0.25">
      <c r="AL1109" s="17"/>
      <c r="AM1109" s="12"/>
      <c r="AN1109" s="18"/>
      <c r="AO1109" s="18"/>
      <c r="AP1109" s="10"/>
      <c r="AQ1109" s="10"/>
      <c r="AR1109" s="19"/>
      <c r="AS1109" s="20"/>
      <c r="AT1109" s="19"/>
      <c r="AV1109" s="21">
        <f>IF(AND($AL1109&lt;&gt;"",COUNTIF($AL$11:$AL1109,$AL1109)=1),1,0)</f>
        <v>0</v>
      </c>
      <c r="AW1109" s="21">
        <f t="shared" si="121"/>
        <v>0</v>
      </c>
      <c r="AX1109" s="21" t="str">
        <f t="shared" si="120"/>
        <v/>
      </c>
      <c r="AY1109" s="21" t="str">
        <f>IF(AND($AM1109&lt;&gt;"",$AS1109&lt;&gt;"✓"),SUMPRODUCT(($AM$11:$AM1109&lt;&gt;"")*($AS$11:$AS1109&lt;&gt;"✓")),"")</f>
        <v/>
      </c>
      <c r="AZ1109" s="21" t="str">
        <f>IF(AND($AM1109&lt;&gt;"",$AS1109="✓"),SUMPRODUCT(($AM$11:$AM1109&lt;&gt;"")*($AS$11:$AS1109="✓")),"")</f>
        <v/>
      </c>
      <c r="BA1109" s="21" t="str">
        <f>IF($AL1109="","",$AL1109&amp;"|"&amp;COUNTIF($AL$11:$AL1109,$AL1109))</f>
        <v/>
      </c>
    </row>
    <row r="1110" spans="38:53" ht="15" customHeight="1" x14ac:dyDescent="0.25">
      <c r="AL1110" s="31"/>
      <c r="AM1110" s="26"/>
      <c r="AN1110" s="32"/>
      <c r="AO1110" s="32"/>
      <c r="AP1110" s="24"/>
      <c r="AQ1110" s="24"/>
      <c r="AR1110" s="33"/>
      <c r="AS1110" s="34"/>
      <c r="AT1110" s="33"/>
      <c r="AV1110" s="21">
        <f>IF(AND($AL1110&lt;&gt;"",COUNTIF($AL$11:$AL1110,$AL1110)=1),1,0)</f>
        <v>0</v>
      </c>
      <c r="AW1110" s="21">
        <f t="shared" si="121"/>
        <v>0</v>
      </c>
      <c r="AX1110" s="21" t="str">
        <f t="shared" si="120"/>
        <v/>
      </c>
      <c r="AY1110" s="21" t="str">
        <f>IF(AND($AM1110&lt;&gt;"",$AS1110&lt;&gt;"✓"),SUMPRODUCT(($AM$11:$AM1110&lt;&gt;"")*($AS$11:$AS1110&lt;&gt;"✓")),"")</f>
        <v/>
      </c>
      <c r="AZ1110" s="21" t="str">
        <f>IF(AND($AM1110&lt;&gt;"",$AS1110="✓"),SUMPRODUCT(($AM$11:$AM1110&lt;&gt;"")*($AS$11:$AS1110="✓")),"")</f>
        <v/>
      </c>
      <c r="BA1110" s="21" t="str">
        <f>IF($AL1110="","",$AL1110&amp;"|"&amp;COUNTIF($AL$11:$AL1110,$AL1110))</f>
        <v/>
      </c>
    </row>
    <row r="1111" spans="38:53" ht="15" customHeight="1" x14ac:dyDescent="0.25">
      <c r="AL1111" s="17"/>
      <c r="AM1111" s="12"/>
      <c r="AN1111" s="18"/>
      <c r="AO1111" s="18"/>
      <c r="AP1111" s="10"/>
      <c r="AQ1111" s="10"/>
      <c r="AR1111" s="19"/>
      <c r="AS1111" s="20"/>
      <c r="AT1111" s="19"/>
      <c r="AV1111" s="21">
        <f>IF(AND($AL1111&lt;&gt;"",COUNTIF($AL$11:$AL1111,$AL1111)=1),1,0)</f>
        <v>0</v>
      </c>
      <c r="AW1111" s="21">
        <f t="shared" si="121"/>
        <v>0</v>
      </c>
      <c r="AX1111" s="21" t="str">
        <f t="shared" si="120"/>
        <v/>
      </c>
      <c r="AY1111" s="21" t="str">
        <f>IF(AND($AM1111&lt;&gt;"",$AS1111&lt;&gt;"✓"),SUMPRODUCT(($AM$11:$AM1111&lt;&gt;"")*($AS$11:$AS1111&lt;&gt;"✓")),"")</f>
        <v/>
      </c>
      <c r="AZ1111" s="21" t="str">
        <f>IF(AND($AM1111&lt;&gt;"",$AS1111="✓"),SUMPRODUCT(($AM$11:$AM1111&lt;&gt;"")*($AS$11:$AS1111="✓")),"")</f>
        <v/>
      </c>
      <c r="BA1111" s="21" t="str">
        <f>IF($AL1111="","",$AL1111&amp;"|"&amp;COUNTIF($AL$11:$AL1111,$AL1111))</f>
        <v/>
      </c>
    </row>
    <row r="1112" spans="38:53" ht="15" customHeight="1" x14ac:dyDescent="0.25">
      <c r="AL1112" s="31"/>
      <c r="AM1112" s="26"/>
      <c r="AN1112" s="32"/>
      <c r="AO1112" s="32"/>
      <c r="AP1112" s="24"/>
      <c r="AQ1112" s="24"/>
      <c r="AR1112" s="33"/>
      <c r="AS1112" s="34"/>
      <c r="AT1112" s="33"/>
      <c r="AV1112" s="21">
        <f>IF(AND($AL1112&lt;&gt;"",COUNTIF($AL$11:$AL1112,$AL1112)=1),1,0)</f>
        <v>0</v>
      </c>
      <c r="AW1112" s="21">
        <f t="shared" si="121"/>
        <v>0</v>
      </c>
      <c r="AX1112" s="21" t="str">
        <f t="shared" si="120"/>
        <v/>
      </c>
      <c r="AY1112" s="21" t="str">
        <f>IF(AND($AM1112&lt;&gt;"",$AS1112&lt;&gt;"✓"),SUMPRODUCT(($AM$11:$AM1112&lt;&gt;"")*($AS$11:$AS1112&lt;&gt;"✓")),"")</f>
        <v/>
      </c>
      <c r="AZ1112" s="21" t="str">
        <f>IF(AND($AM1112&lt;&gt;"",$AS1112="✓"),SUMPRODUCT(($AM$11:$AM1112&lt;&gt;"")*($AS$11:$AS1112="✓")),"")</f>
        <v/>
      </c>
      <c r="BA1112" s="21" t="str">
        <f>IF($AL1112="","",$AL1112&amp;"|"&amp;COUNTIF($AL$11:$AL1112,$AL1112))</f>
        <v/>
      </c>
    </row>
    <row r="1113" spans="38:53" ht="15" customHeight="1" x14ac:dyDescent="0.25">
      <c r="AL1113" s="17"/>
      <c r="AM1113" s="12"/>
      <c r="AN1113" s="18"/>
      <c r="AO1113" s="18"/>
      <c r="AP1113" s="10"/>
      <c r="AQ1113" s="10"/>
      <c r="AR1113" s="19"/>
      <c r="AS1113" s="20"/>
      <c r="AT1113" s="19"/>
      <c r="AV1113" s="21">
        <f>IF(AND($AL1113&lt;&gt;"",COUNTIF($AL$11:$AL1113,$AL1113)=1),1,0)</f>
        <v>0</v>
      </c>
      <c r="AW1113" s="21">
        <f t="shared" si="121"/>
        <v>0</v>
      </c>
      <c r="AX1113" s="21" t="str">
        <f t="shared" si="120"/>
        <v/>
      </c>
      <c r="AY1113" s="21" t="str">
        <f>IF(AND($AM1113&lt;&gt;"",$AS1113&lt;&gt;"✓"),SUMPRODUCT(($AM$11:$AM1113&lt;&gt;"")*($AS$11:$AS1113&lt;&gt;"✓")),"")</f>
        <v/>
      </c>
      <c r="AZ1113" s="21" t="str">
        <f>IF(AND($AM1113&lt;&gt;"",$AS1113="✓"),SUMPRODUCT(($AM$11:$AM1113&lt;&gt;"")*($AS$11:$AS1113="✓")),"")</f>
        <v/>
      </c>
      <c r="BA1113" s="21" t="str">
        <f>IF($AL1113="","",$AL1113&amp;"|"&amp;COUNTIF($AL$11:$AL1113,$AL1113))</f>
        <v/>
      </c>
    </row>
    <row r="1114" spans="38:53" ht="15" customHeight="1" x14ac:dyDescent="0.25">
      <c r="AL1114" s="31"/>
      <c r="AM1114" s="26"/>
      <c r="AN1114" s="32"/>
      <c r="AO1114" s="32"/>
      <c r="AP1114" s="24"/>
      <c r="AQ1114" s="24"/>
      <c r="AR1114" s="33"/>
      <c r="AS1114" s="34"/>
      <c r="AT1114" s="33"/>
      <c r="AV1114" s="21">
        <f>IF(AND($AL1114&lt;&gt;"",COUNTIF($AL$11:$AL1114,$AL1114)=1),1,0)</f>
        <v>0</v>
      </c>
      <c r="AW1114" s="21">
        <f t="shared" si="121"/>
        <v>0</v>
      </c>
      <c r="AX1114" s="21" t="str">
        <f t="shared" si="120"/>
        <v/>
      </c>
      <c r="AY1114" s="21" t="str">
        <f>IF(AND($AM1114&lt;&gt;"",$AS1114&lt;&gt;"✓"),SUMPRODUCT(($AM$11:$AM1114&lt;&gt;"")*($AS$11:$AS1114&lt;&gt;"✓")),"")</f>
        <v/>
      </c>
      <c r="AZ1114" s="21" t="str">
        <f>IF(AND($AM1114&lt;&gt;"",$AS1114="✓"),SUMPRODUCT(($AM$11:$AM1114&lt;&gt;"")*($AS$11:$AS1114="✓")),"")</f>
        <v/>
      </c>
      <c r="BA1114" s="21" t="str">
        <f>IF($AL1114="","",$AL1114&amp;"|"&amp;COUNTIF($AL$11:$AL1114,$AL1114))</f>
        <v/>
      </c>
    </row>
    <row r="1115" spans="38:53" ht="15" customHeight="1" x14ac:dyDescent="0.25">
      <c r="AL1115" s="17"/>
      <c r="AM1115" s="12"/>
      <c r="AN1115" s="18"/>
      <c r="AO1115" s="18"/>
      <c r="AP1115" s="10"/>
      <c r="AQ1115" s="10"/>
      <c r="AR1115" s="19"/>
      <c r="AS1115" s="20"/>
      <c r="AT1115" s="19"/>
      <c r="AV1115" s="21">
        <f>IF(AND($AL1115&lt;&gt;"",COUNTIF($AL$11:$AL1115,$AL1115)=1),1,0)</f>
        <v>0</v>
      </c>
      <c r="AW1115" s="21">
        <f t="shared" si="121"/>
        <v>0</v>
      </c>
      <c r="AX1115" s="21" t="str">
        <f t="shared" si="120"/>
        <v/>
      </c>
      <c r="AY1115" s="21" t="str">
        <f>IF(AND($AM1115&lt;&gt;"",$AS1115&lt;&gt;"✓"),SUMPRODUCT(($AM$11:$AM1115&lt;&gt;"")*($AS$11:$AS1115&lt;&gt;"✓")),"")</f>
        <v/>
      </c>
      <c r="AZ1115" s="21" t="str">
        <f>IF(AND($AM1115&lt;&gt;"",$AS1115="✓"),SUMPRODUCT(($AM$11:$AM1115&lt;&gt;"")*($AS$11:$AS1115="✓")),"")</f>
        <v/>
      </c>
      <c r="BA1115" s="21" t="str">
        <f>IF($AL1115="","",$AL1115&amp;"|"&amp;COUNTIF($AL$11:$AL1115,$AL1115))</f>
        <v/>
      </c>
    </row>
    <row r="1116" spans="38:53" ht="15" customHeight="1" x14ac:dyDescent="0.25">
      <c r="AL1116" s="31"/>
      <c r="AM1116" s="26"/>
      <c r="AN1116" s="32"/>
      <c r="AO1116" s="32"/>
      <c r="AP1116" s="24"/>
      <c r="AQ1116" s="24"/>
      <c r="AR1116" s="33"/>
      <c r="AS1116" s="34"/>
      <c r="AT1116" s="33"/>
      <c r="AV1116" s="21">
        <f>IF(AND($AL1116&lt;&gt;"",COUNTIF($AL$11:$AL1116,$AL1116)=1),1,0)</f>
        <v>0</v>
      </c>
      <c r="AW1116" s="21">
        <f t="shared" si="121"/>
        <v>0</v>
      </c>
      <c r="AX1116" s="21" t="str">
        <f t="shared" si="120"/>
        <v/>
      </c>
      <c r="AY1116" s="21" t="str">
        <f>IF(AND($AM1116&lt;&gt;"",$AS1116&lt;&gt;"✓"),SUMPRODUCT(($AM$11:$AM1116&lt;&gt;"")*($AS$11:$AS1116&lt;&gt;"✓")),"")</f>
        <v/>
      </c>
      <c r="AZ1116" s="21" t="str">
        <f>IF(AND($AM1116&lt;&gt;"",$AS1116="✓"),SUMPRODUCT(($AM$11:$AM1116&lt;&gt;"")*($AS$11:$AS1116="✓")),"")</f>
        <v/>
      </c>
      <c r="BA1116" s="21" t="str">
        <f>IF($AL1116="","",$AL1116&amp;"|"&amp;COUNTIF($AL$11:$AL1116,$AL1116))</f>
        <v/>
      </c>
    </row>
    <row r="1117" spans="38:53" ht="15" customHeight="1" x14ac:dyDescent="0.25">
      <c r="AL1117" s="17"/>
      <c r="AM1117" s="12"/>
      <c r="AN1117" s="18"/>
      <c r="AO1117" s="18"/>
      <c r="AP1117" s="10"/>
      <c r="AQ1117" s="10"/>
      <c r="AR1117" s="19"/>
      <c r="AS1117" s="20"/>
      <c r="AT1117" s="19"/>
      <c r="AV1117" s="21">
        <f>IF(AND($AL1117&lt;&gt;"",COUNTIF($AL$11:$AL1117,$AL1117)=1),1,0)</f>
        <v>0</v>
      </c>
      <c r="AW1117" s="21">
        <f t="shared" si="121"/>
        <v>0</v>
      </c>
      <c r="AX1117" s="21" t="str">
        <f t="shared" si="120"/>
        <v/>
      </c>
      <c r="AY1117" s="21" t="str">
        <f>IF(AND($AM1117&lt;&gt;"",$AS1117&lt;&gt;"✓"),SUMPRODUCT(($AM$11:$AM1117&lt;&gt;"")*($AS$11:$AS1117&lt;&gt;"✓")),"")</f>
        <v/>
      </c>
      <c r="AZ1117" s="21" t="str">
        <f>IF(AND($AM1117&lt;&gt;"",$AS1117="✓"),SUMPRODUCT(($AM$11:$AM1117&lt;&gt;"")*($AS$11:$AS1117="✓")),"")</f>
        <v/>
      </c>
      <c r="BA1117" s="21" t="str">
        <f>IF($AL1117="","",$AL1117&amp;"|"&amp;COUNTIF($AL$11:$AL1117,$AL1117))</f>
        <v/>
      </c>
    </row>
    <row r="1118" spans="38:53" ht="15" customHeight="1" x14ac:dyDescent="0.25">
      <c r="AL1118" s="31"/>
      <c r="AM1118" s="26"/>
      <c r="AN1118" s="32"/>
      <c r="AO1118" s="32"/>
      <c r="AP1118" s="24"/>
      <c r="AQ1118" s="24"/>
      <c r="AR1118" s="33"/>
      <c r="AS1118" s="34"/>
      <c r="AT1118" s="33"/>
      <c r="AV1118" s="21">
        <f>IF(AND($AL1118&lt;&gt;"",COUNTIF($AL$11:$AL1118,$AL1118)=1),1,0)</f>
        <v>0</v>
      </c>
      <c r="AW1118" s="21">
        <f t="shared" si="121"/>
        <v>0</v>
      </c>
      <c r="AX1118" s="21" t="str">
        <f t="shared" si="120"/>
        <v/>
      </c>
      <c r="AY1118" s="21" t="str">
        <f>IF(AND($AM1118&lt;&gt;"",$AS1118&lt;&gt;"✓"),SUMPRODUCT(($AM$11:$AM1118&lt;&gt;"")*($AS$11:$AS1118&lt;&gt;"✓")),"")</f>
        <v/>
      </c>
      <c r="AZ1118" s="21" t="str">
        <f>IF(AND($AM1118&lt;&gt;"",$AS1118="✓"),SUMPRODUCT(($AM$11:$AM1118&lt;&gt;"")*($AS$11:$AS1118="✓")),"")</f>
        <v/>
      </c>
      <c r="BA1118" s="21" t="str">
        <f>IF($AL1118="","",$AL1118&amp;"|"&amp;COUNTIF($AL$11:$AL1118,$AL1118))</f>
        <v/>
      </c>
    </row>
    <row r="1119" spans="38:53" ht="15" customHeight="1" x14ac:dyDescent="0.25">
      <c r="AL1119" s="17"/>
      <c r="AM1119" s="12"/>
      <c r="AN1119" s="18"/>
      <c r="AO1119" s="18"/>
      <c r="AP1119" s="10"/>
      <c r="AQ1119" s="10"/>
      <c r="AR1119" s="19"/>
      <c r="AS1119" s="20"/>
      <c r="AT1119" s="19"/>
      <c r="AV1119" s="21">
        <f>IF(AND($AL1119&lt;&gt;"",COUNTIF($AL$11:$AL1119,$AL1119)=1),1,0)</f>
        <v>0</v>
      </c>
      <c r="AW1119" s="21">
        <f t="shared" si="121"/>
        <v>0</v>
      </c>
      <c r="AX1119" s="21" t="str">
        <f t="shared" si="120"/>
        <v/>
      </c>
      <c r="AY1119" s="21" t="str">
        <f>IF(AND($AM1119&lt;&gt;"",$AS1119&lt;&gt;"✓"),SUMPRODUCT(($AM$11:$AM1119&lt;&gt;"")*($AS$11:$AS1119&lt;&gt;"✓")),"")</f>
        <v/>
      </c>
      <c r="AZ1119" s="21" t="str">
        <f>IF(AND($AM1119&lt;&gt;"",$AS1119="✓"),SUMPRODUCT(($AM$11:$AM1119&lt;&gt;"")*($AS$11:$AS1119="✓")),"")</f>
        <v/>
      </c>
      <c r="BA1119" s="21" t="str">
        <f>IF($AL1119="","",$AL1119&amp;"|"&amp;COUNTIF($AL$11:$AL1119,$AL1119))</f>
        <v/>
      </c>
    </row>
    <row r="1120" spans="38:53" ht="15" customHeight="1" x14ac:dyDescent="0.25">
      <c r="AL1120" s="31"/>
      <c r="AM1120" s="26"/>
      <c r="AN1120" s="32"/>
      <c r="AO1120" s="32"/>
      <c r="AP1120" s="24"/>
      <c r="AQ1120" s="24"/>
      <c r="AR1120" s="33"/>
      <c r="AS1120" s="34"/>
      <c r="AT1120" s="33"/>
      <c r="AV1120" s="21">
        <f>IF(AND($AL1120&lt;&gt;"",COUNTIF($AL$11:$AL1120,$AL1120)=1),1,0)</f>
        <v>0</v>
      </c>
      <c r="AW1120" s="21">
        <f t="shared" si="121"/>
        <v>0</v>
      </c>
      <c r="AX1120" s="21" t="str">
        <f t="shared" si="120"/>
        <v/>
      </c>
      <c r="AY1120" s="21" t="str">
        <f>IF(AND($AM1120&lt;&gt;"",$AS1120&lt;&gt;"✓"),SUMPRODUCT(($AM$11:$AM1120&lt;&gt;"")*($AS$11:$AS1120&lt;&gt;"✓")),"")</f>
        <v/>
      </c>
      <c r="AZ1120" s="21" t="str">
        <f>IF(AND($AM1120&lt;&gt;"",$AS1120="✓"),SUMPRODUCT(($AM$11:$AM1120&lt;&gt;"")*($AS$11:$AS1120="✓")),"")</f>
        <v/>
      </c>
      <c r="BA1120" s="21" t="str">
        <f>IF($AL1120="","",$AL1120&amp;"|"&amp;COUNTIF($AL$11:$AL1120,$AL1120))</f>
        <v/>
      </c>
    </row>
    <row r="1121" spans="38:53" ht="15" customHeight="1" x14ac:dyDescent="0.25">
      <c r="AL1121" s="17"/>
      <c r="AM1121" s="12"/>
      <c r="AN1121" s="18"/>
      <c r="AO1121" s="18"/>
      <c r="AP1121" s="10"/>
      <c r="AQ1121" s="10"/>
      <c r="AR1121" s="19"/>
      <c r="AS1121" s="20"/>
      <c r="AT1121" s="19"/>
      <c r="AV1121" s="21">
        <f>IF(AND($AL1121&lt;&gt;"",COUNTIF($AL$11:$AL1121,$AL1121)=1),1,0)</f>
        <v>0</v>
      </c>
      <c r="AW1121" s="21">
        <f t="shared" si="121"/>
        <v>0</v>
      </c>
      <c r="AX1121" s="21" t="str">
        <f t="shared" si="120"/>
        <v/>
      </c>
      <c r="AY1121" s="21" t="str">
        <f>IF(AND($AM1121&lt;&gt;"",$AS1121&lt;&gt;"✓"),SUMPRODUCT(($AM$11:$AM1121&lt;&gt;"")*($AS$11:$AS1121&lt;&gt;"✓")),"")</f>
        <v/>
      </c>
      <c r="AZ1121" s="21" t="str">
        <f>IF(AND($AM1121&lt;&gt;"",$AS1121="✓"),SUMPRODUCT(($AM$11:$AM1121&lt;&gt;"")*($AS$11:$AS1121="✓")),"")</f>
        <v/>
      </c>
      <c r="BA1121" s="21" t="str">
        <f>IF($AL1121="","",$AL1121&amp;"|"&amp;COUNTIF($AL$11:$AL1121,$AL1121))</f>
        <v/>
      </c>
    </row>
    <row r="1122" spans="38:53" ht="15" customHeight="1" x14ac:dyDescent="0.25">
      <c r="AL1122" s="31"/>
      <c r="AM1122" s="26"/>
      <c r="AN1122" s="32"/>
      <c r="AO1122" s="32"/>
      <c r="AP1122" s="24"/>
      <c r="AQ1122" s="24"/>
      <c r="AR1122" s="33"/>
      <c r="AS1122" s="34"/>
      <c r="AT1122" s="33"/>
      <c r="AV1122" s="21">
        <f>IF(AND($AL1122&lt;&gt;"",COUNTIF($AL$11:$AL1122,$AL1122)=1),1,0)</f>
        <v>0</v>
      </c>
      <c r="AW1122" s="21">
        <f t="shared" si="121"/>
        <v>0</v>
      </c>
      <c r="AX1122" s="21" t="str">
        <f t="shared" si="120"/>
        <v/>
      </c>
      <c r="AY1122" s="21" t="str">
        <f>IF(AND($AM1122&lt;&gt;"",$AS1122&lt;&gt;"✓"),SUMPRODUCT(($AM$11:$AM1122&lt;&gt;"")*($AS$11:$AS1122&lt;&gt;"✓")),"")</f>
        <v/>
      </c>
      <c r="AZ1122" s="21" t="str">
        <f>IF(AND($AM1122&lt;&gt;"",$AS1122="✓"),SUMPRODUCT(($AM$11:$AM1122&lt;&gt;"")*($AS$11:$AS1122="✓")),"")</f>
        <v/>
      </c>
      <c r="BA1122" s="21" t="str">
        <f>IF($AL1122="","",$AL1122&amp;"|"&amp;COUNTIF($AL$11:$AL1122,$AL1122))</f>
        <v/>
      </c>
    </row>
    <row r="1123" spans="38:53" ht="15" customHeight="1" x14ac:dyDescent="0.25">
      <c r="AL1123" s="17"/>
      <c r="AM1123" s="12"/>
      <c r="AN1123" s="18"/>
      <c r="AO1123" s="18"/>
      <c r="AP1123" s="10"/>
      <c r="AQ1123" s="10"/>
      <c r="AR1123" s="19"/>
      <c r="AS1123" s="20"/>
      <c r="AT1123" s="19"/>
      <c r="AV1123" s="21">
        <f>IF(AND($AL1123&lt;&gt;"",COUNTIF($AL$11:$AL1123,$AL1123)=1),1,0)</f>
        <v>0</v>
      </c>
      <c r="AW1123" s="21">
        <f t="shared" si="121"/>
        <v>0</v>
      </c>
      <c r="AX1123" s="21" t="str">
        <f t="shared" si="120"/>
        <v/>
      </c>
      <c r="AY1123" s="21" t="str">
        <f>IF(AND($AM1123&lt;&gt;"",$AS1123&lt;&gt;"✓"),SUMPRODUCT(($AM$11:$AM1123&lt;&gt;"")*($AS$11:$AS1123&lt;&gt;"✓")),"")</f>
        <v/>
      </c>
      <c r="AZ1123" s="21" t="str">
        <f>IF(AND($AM1123&lt;&gt;"",$AS1123="✓"),SUMPRODUCT(($AM$11:$AM1123&lt;&gt;"")*($AS$11:$AS1123="✓")),"")</f>
        <v/>
      </c>
      <c r="BA1123" s="21" t="str">
        <f>IF($AL1123="","",$AL1123&amp;"|"&amp;COUNTIF($AL$11:$AL1123,$AL1123))</f>
        <v/>
      </c>
    </row>
    <row r="1124" spans="38:53" ht="15" customHeight="1" x14ac:dyDescent="0.25">
      <c r="AL1124" s="31"/>
      <c r="AM1124" s="26"/>
      <c r="AN1124" s="32"/>
      <c r="AO1124" s="32"/>
      <c r="AP1124" s="24"/>
      <c r="AQ1124" s="24"/>
      <c r="AR1124" s="33"/>
      <c r="AS1124" s="34"/>
      <c r="AT1124" s="33"/>
      <c r="AV1124" s="21">
        <f>IF(AND($AL1124&lt;&gt;"",COUNTIF($AL$11:$AL1124,$AL1124)=1),1,0)</f>
        <v>0</v>
      </c>
      <c r="AW1124" s="21">
        <f t="shared" si="121"/>
        <v>0</v>
      </c>
      <c r="AX1124" s="21" t="str">
        <f t="shared" si="120"/>
        <v/>
      </c>
      <c r="AY1124" s="21" t="str">
        <f>IF(AND($AM1124&lt;&gt;"",$AS1124&lt;&gt;"✓"),SUMPRODUCT(($AM$11:$AM1124&lt;&gt;"")*($AS$11:$AS1124&lt;&gt;"✓")),"")</f>
        <v/>
      </c>
      <c r="AZ1124" s="21" t="str">
        <f>IF(AND($AM1124&lt;&gt;"",$AS1124="✓"),SUMPRODUCT(($AM$11:$AM1124&lt;&gt;"")*($AS$11:$AS1124="✓")),"")</f>
        <v/>
      </c>
      <c r="BA1124" s="21" t="str">
        <f>IF($AL1124="","",$AL1124&amp;"|"&amp;COUNTIF($AL$11:$AL1124,$AL1124))</f>
        <v/>
      </c>
    </row>
    <row r="1125" spans="38:53" ht="15" customHeight="1" x14ac:dyDescent="0.25">
      <c r="AL1125" s="17"/>
      <c r="AM1125" s="12"/>
      <c r="AN1125" s="18"/>
      <c r="AO1125" s="18"/>
      <c r="AP1125" s="10"/>
      <c r="AQ1125" s="10"/>
      <c r="AR1125" s="19"/>
      <c r="AS1125" s="20"/>
      <c r="AT1125" s="19"/>
      <c r="AV1125" s="21">
        <f>IF(AND($AL1125&lt;&gt;"",COUNTIF($AL$11:$AL1125,$AL1125)=1),1,0)</f>
        <v>0</v>
      </c>
      <c r="AW1125" s="21">
        <f t="shared" si="121"/>
        <v>0</v>
      </c>
      <c r="AX1125" s="21" t="str">
        <f t="shared" si="120"/>
        <v/>
      </c>
      <c r="AY1125" s="21" t="str">
        <f>IF(AND($AM1125&lt;&gt;"",$AS1125&lt;&gt;"✓"),SUMPRODUCT(($AM$11:$AM1125&lt;&gt;"")*($AS$11:$AS1125&lt;&gt;"✓")),"")</f>
        <v/>
      </c>
      <c r="AZ1125" s="21" t="str">
        <f>IF(AND($AM1125&lt;&gt;"",$AS1125="✓"),SUMPRODUCT(($AM$11:$AM1125&lt;&gt;"")*($AS$11:$AS1125="✓")),"")</f>
        <v/>
      </c>
      <c r="BA1125" s="21" t="str">
        <f>IF($AL1125="","",$AL1125&amp;"|"&amp;COUNTIF($AL$11:$AL1125,$AL1125))</f>
        <v/>
      </c>
    </row>
    <row r="1126" spans="38:53" ht="15" customHeight="1" x14ac:dyDescent="0.25">
      <c r="AL1126" s="31"/>
      <c r="AM1126" s="26"/>
      <c r="AN1126" s="32"/>
      <c r="AO1126" s="32"/>
      <c r="AP1126" s="24"/>
      <c r="AQ1126" s="24"/>
      <c r="AR1126" s="33"/>
      <c r="AS1126" s="34"/>
      <c r="AT1126" s="33"/>
      <c r="AV1126" s="21">
        <f>IF(AND($AL1126&lt;&gt;"",COUNTIF($AL$11:$AL1126,$AL1126)=1),1,0)</f>
        <v>0</v>
      </c>
      <c r="AW1126" s="21">
        <f t="shared" si="121"/>
        <v>0</v>
      </c>
      <c r="AX1126" s="21" t="str">
        <f t="shared" si="120"/>
        <v/>
      </c>
      <c r="AY1126" s="21" t="str">
        <f>IF(AND($AM1126&lt;&gt;"",$AS1126&lt;&gt;"✓"),SUMPRODUCT(($AM$11:$AM1126&lt;&gt;"")*($AS$11:$AS1126&lt;&gt;"✓")),"")</f>
        <v/>
      </c>
      <c r="AZ1126" s="21" t="str">
        <f>IF(AND($AM1126&lt;&gt;"",$AS1126="✓"),SUMPRODUCT(($AM$11:$AM1126&lt;&gt;"")*($AS$11:$AS1126="✓")),"")</f>
        <v/>
      </c>
      <c r="BA1126" s="21" t="str">
        <f>IF($AL1126="","",$AL1126&amp;"|"&amp;COUNTIF($AL$11:$AL1126,$AL1126))</f>
        <v/>
      </c>
    </row>
    <row r="1127" spans="38:53" ht="15" customHeight="1" x14ac:dyDescent="0.25">
      <c r="AL1127" s="17"/>
      <c r="AM1127" s="12"/>
      <c r="AN1127" s="18"/>
      <c r="AO1127" s="18"/>
      <c r="AP1127" s="10"/>
      <c r="AQ1127" s="10"/>
      <c r="AR1127" s="19"/>
      <c r="AS1127" s="20"/>
      <c r="AT1127" s="19"/>
      <c r="AV1127" s="21">
        <f>IF(AND($AL1127&lt;&gt;"",COUNTIF($AL$11:$AL1127,$AL1127)=1),1,0)</f>
        <v>0</v>
      </c>
      <c r="AW1127" s="21">
        <f t="shared" si="121"/>
        <v>0</v>
      </c>
      <c r="AX1127" s="21" t="str">
        <f t="shared" si="120"/>
        <v/>
      </c>
      <c r="AY1127" s="21" t="str">
        <f>IF(AND($AM1127&lt;&gt;"",$AS1127&lt;&gt;"✓"),SUMPRODUCT(($AM$11:$AM1127&lt;&gt;"")*($AS$11:$AS1127&lt;&gt;"✓")),"")</f>
        <v/>
      </c>
      <c r="AZ1127" s="21" t="str">
        <f>IF(AND($AM1127&lt;&gt;"",$AS1127="✓"),SUMPRODUCT(($AM$11:$AM1127&lt;&gt;"")*($AS$11:$AS1127="✓")),"")</f>
        <v/>
      </c>
      <c r="BA1127" s="21" t="str">
        <f>IF($AL1127="","",$AL1127&amp;"|"&amp;COUNTIF($AL$11:$AL1127,$AL1127))</f>
        <v/>
      </c>
    </row>
    <row r="1128" spans="38:53" ht="15" customHeight="1" x14ac:dyDescent="0.25">
      <c r="AL1128" s="31"/>
      <c r="AM1128" s="26"/>
      <c r="AN1128" s="32"/>
      <c r="AO1128" s="32"/>
      <c r="AP1128" s="24"/>
      <c r="AQ1128" s="24"/>
      <c r="AR1128" s="33"/>
      <c r="AS1128" s="34"/>
      <c r="AT1128" s="33"/>
      <c r="AV1128" s="21">
        <f>IF(AND($AL1128&lt;&gt;"",COUNTIF($AL$11:$AL1128,$AL1128)=1),1,0)</f>
        <v>0</v>
      </c>
      <c r="AW1128" s="21">
        <f t="shared" si="121"/>
        <v>0</v>
      </c>
      <c r="AX1128" s="21" t="str">
        <f t="shared" si="120"/>
        <v/>
      </c>
      <c r="AY1128" s="21" t="str">
        <f>IF(AND($AM1128&lt;&gt;"",$AS1128&lt;&gt;"✓"),SUMPRODUCT(($AM$11:$AM1128&lt;&gt;"")*($AS$11:$AS1128&lt;&gt;"✓")),"")</f>
        <v/>
      </c>
      <c r="AZ1128" s="21" t="str">
        <f>IF(AND($AM1128&lt;&gt;"",$AS1128="✓"),SUMPRODUCT(($AM$11:$AM1128&lt;&gt;"")*($AS$11:$AS1128="✓")),"")</f>
        <v/>
      </c>
      <c r="BA1128" s="21" t="str">
        <f>IF($AL1128="","",$AL1128&amp;"|"&amp;COUNTIF($AL$11:$AL1128,$AL1128))</f>
        <v/>
      </c>
    </row>
    <row r="1129" spans="38:53" ht="15" customHeight="1" x14ac:dyDescent="0.25">
      <c r="AL1129" s="17"/>
      <c r="AM1129" s="12"/>
      <c r="AN1129" s="18"/>
      <c r="AO1129" s="18"/>
      <c r="AP1129" s="10"/>
      <c r="AQ1129" s="10"/>
      <c r="AR1129" s="19"/>
      <c r="AS1129" s="20"/>
      <c r="AT1129" s="19"/>
      <c r="AV1129" s="21">
        <f>IF(AND($AL1129&lt;&gt;"",COUNTIF($AL$11:$AL1129,$AL1129)=1),1,0)</f>
        <v>0</v>
      </c>
      <c r="AW1129" s="21">
        <f t="shared" si="121"/>
        <v>0</v>
      </c>
      <c r="AX1129" s="21" t="str">
        <f t="shared" si="120"/>
        <v/>
      </c>
      <c r="AY1129" s="21" t="str">
        <f>IF(AND($AM1129&lt;&gt;"",$AS1129&lt;&gt;"✓"),SUMPRODUCT(($AM$11:$AM1129&lt;&gt;"")*($AS$11:$AS1129&lt;&gt;"✓")),"")</f>
        <v/>
      </c>
      <c r="AZ1129" s="21" t="str">
        <f>IF(AND($AM1129&lt;&gt;"",$AS1129="✓"),SUMPRODUCT(($AM$11:$AM1129&lt;&gt;"")*($AS$11:$AS1129="✓")),"")</f>
        <v/>
      </c>
      <c r="BA1129" s="21" t="str">
        <f>IF($AL1129="","",$AL1129&amp;"|"&amp;COUNTIF($AL$11:$AL1129,$AL1129))</f>
        <v/>
      </c>
    </row>
    <row r="1130" spans="38:53" ht="15" customHeight="1" x14ac:dyDescent="0.25">
      <c r="AL1130" s="31"/>
      <c r="AM1130" s="26"/>
      <c r="AN1130" s="32"/>
      <c r="AO1130" s="32"/>
      <c r="AP1130" s="24"/>
      <c r="AQ1130" s="24"/>
      <c r="AR1130" s="33"/>
      <c r="AS1130" s="34"/>
      <c r="AT1130" s="33"/>
      <c r="AV1130" s="21">
        <f>IF(AND($AL1130&lt;&gt;"",COUNTIF($AL$11:$AL1130,$AL1130)=1),1,0)</f>
        <v>0</v>
      </c>
      <c r="AW1130" s="21">
        <f t="shared" si="121"/>
        <v>0</v>
      </c>
      <c r="AX1130" s="21" t="str">
        <f t="shared" si="120"/>
        <v/>
      </c>
      <c r="AY1130" s="21" t="str">
        <f>IF(AND($AM1130&lt;&gt;"",$AS1130&lt;&gt;"✓"),SUMPRODUCT(($AM$11:$AM1130&lt;&gt;"")*($AS$11:$AS1130&lt;&gt;"✓")),"")</f>
        <v/>
      </c>
      <c r="AZ1130" s="21" t="str">
        <f>IF(AND($AM1130&lt;&gt;"",$AS1130="✓"),SUMPRODUCT(($AM$11:$AM1130&lt;&gt;"")*($AS$11:$AS1130="✓")),"")</f>
        <v/>
      </c>
      <c r="BA1130" s="21" t="str">
        <f>IF($AL1130="","",$AL1130&amp;"|"&amp;COUNTIF($AL$11:$AL1130,$AL1130))</f>
        <v/>
      </c>
    </row>
    <row r="1131" spans="38:53" ht="15" customHeight="1" x14ac:dyDescent="0.25">
      <c r="AL1131" s="17"/>
      <c r="AM1131" s="12"/>
      <c r="AN1131" s="18"/>
      <c r="AO1131" s="18"/>
      <c r="AP1131" s="10"/>
      <c r="AQ1131" s="10"/>
      <c r="AR1131" s="19"/>
      <c r="AS1131" s="20"/>
      <c r="AT1131" s="19"/>
      <c r="AV1131" s="21">
        <f>IF(AND($AL1131&lt;&gt;"",COUNTIF($AL$11:$AL1131,$AL1131)=1),1,0)</f>
        <v>0</v>
      </c>
      <c r="AW1131" s="21">
        <f t="shared" si="121"/>
        <v>0</v>
      </c>
      <c r="AX1131" s="21" t="str">
        <f t="shared" si="120"/>
        <v/>
      </c>
      <c r="AY1131" s="21" t="str">
        <f>IF(AND($AM1131&lt;&gt;"",$AS1131&lt;&gt;"✓"),SUMPRODUCT(($AM$11:$AM1131&lt;&gt;"")*($AS$11:$AS1131&lt;&gt;"✓")),"")</f>
        <v/>
      </c>
      <c r="AZ1131" s="21" t="str">
        <f>IF(AND($AM1131&lt;&gt;"",$AS1131="✓"),SUMPRODUCT(($AM$11:$AM1131&lt;&gt;"")*($AS$11:$AS1131="✓")),"")</f>
        <v/>
      </c>
      <c r="BA1131" s="21" t="str">
        <f>IF($AL1131="","",$AL1131&amp;"|"&amp;COUNTIF($AL$11:$AL1131,$AL1131))</f>
        <v/>
      </c>
    </row>
    <row r="1132" spans="38:53" ht="15" customHeight="1" x14ac:dyDescent="0.25">
      <c r="AL1132" s="31"/>
      <c r="AM1132" s="26"/>
      <c r="AN1132" s="32"/>
      <c r="AO1132" s="32"/>
      <c r="AP1132" s="24"/>
      <c r="AQ1132" s="24"/>
      <c r="AR1132" s="33"/>
      <c r="AS1132" s="34"/>
      <c r="AT1132" s="33"/>
      <c r="AV1132" s="21">
        <f>IF(AND($AL1132&lt;&gt;"",COUNTIF($AL$11:$AL1132,$AL1132)=1),1,0)</f>
        <v>0</v>
      </c>
      <c r="AW1132" s="21">
        <f t="shared" si="121"/>
        <v>0</v>
      </c>
      <c r="AX1132" s="21" t="str">
        <f t="shared" si="120"/>
        <v/>
      </c>
      <c r="AY1132" s="21" t="str">
        <f>IF(AND($AM1132&lt;&gt;"",$AS1132&lt;&gt;"✓"),SUMPRODUCT(($AM$11:$AM1132&lt;&gt;"")*($AS$11:$AS1132&lt;&gt;"✓")),"")</f>
        <v/>
      </c>
      <c r="AZ1132" s="21" t="str">
        <f>IF(AND($AM1132&lt;&gt;"",$AS1132="✓"),SUMPRODUCT(($AM$11:$AM1132&lt;&gt;"")*($AS$11:$AS1132="✓")),"")</f>
        <v/>
      </c>
      <c r="BA1132" s="21" t="str">
        <f>IF($AL1132="","",$AL1132&amp;"|"&amp;COUNTIF($AL$11:$AL1132,$AL1132))</f>
        <v/>
      </c>
    </row>
    <row r="1133" spans="38:53" ht="15" customHeight="1" x14ac:dyDescent="0.25">
      <c r="AL1133" s="17"/>
      <c r="AM1133" s="12"/>
      <c r="AN1133" s="18"/>
      <c r="AO1133" s="18"/>
      <c r="AP1133" s="10"/>
      <c r="AQ1133" s="10"/>
      <c r="AR1133" s="19"/>
      <c r="AS1133" s="20"/>
      <c r="AT1133" s="19"/>
      <c r="AV1133" s="21">
        <f>IF(AND($AL1133&lt;&gt;"",COUNTIF($AL$11:$AL1133,$AL1133)=1),1,0)</f>
        <v>0</v>
      </c>
      <c r="AW1133" s="21">
        <f t="shared" si="121"/>
        <v>0</v>
      </c>
      <c r="AX1133" s="21" t="str">
        <f t="shared" si="120"/>
        <v/>
      </c>
      <c r="AY1133" s="21" t="str">
        <f>IF(AND($AM1133&lt;&gt;"",$AS1133&lt;&gt;"✓"),SUMPRODUCT(($AM$11:$AM1133&lt;&gt;"")*($AS$11:$AS1133&lt;&gt;"✓")),"")</f>
        <v/>
      </c>
      <c r="AZ1133" s="21" t="str">
        <f>IF(AND($AM1133&lt;&gt;"",$AS1133="✓"),SUMPRODUCT(($AM$11:$AM1133&lt;&gt;"")*($AS$11:$AS1133="✓")),"")</f>
        <v/>
      </c>
      <c r="BA1133" s="21" t="str">
        <f>IF($AL1133="","",$AL1133&amp;"|"&amp;COUNTIF($AL$11:$AL1133,$AL1133))</f>
        <v/>
      </c>
    </row>
    <row r="1134" spans="38:53" ht="15" customHeight="1" x14ac:dyDescent="0.25">
      <c r="AL1134" s="31"/>
      <c r="AM1134" s="26"/>
      <c r="AN1134" s="32"/>
      <c r="AO1134" s="32"/>
      <c r="AP1134" s="24"/>
      <c r="AQ1134" s="24"/>
      <c r="AR1134" s="33"/>
      <c r="AS1134" s="34"/>
      <c r="AT1134" s="33"/>
      <c r="AV1134" s="21">
        <f>IF(AND($AL1134&lt;&gt;"",COUNTIF($AL$11:$AL1134,$AL1134)=1),1,0)</f>
        <v>0</v>
      </c>
      <c r="AW1134" s="21">
        <f t="shared" si="121"/>
        <v>0</v>
      </c>
      <c r="AX1134" s="21" t="str">
        <f t="shared" si="120"/>
        <v/>
      </c>
      <c r="AY1134" s="21" t="str">
        <f>IF(AND($AM1134&lt;&gt;"",$AS1134&lt;&gt;"✓"),SUMPRODUCT(($AM$11:$AM1134&lt;&gt;"")*($AS$11:$AS1134&lt;&gt;"✓")),"")</f>
        <v/>
      </c>
      <c r="AZ1134" s="21" t="str">
        <f>IF(AND($AM1134&lt;&gt;"",$AS1134="✓"),SUMPRODUCT(($AM$11:$AM1134&lt;&gt;"")*($AS$11:$AS1134="✓")),"")</f>
        <v/>
      </c>
      <c r="BA1134" s="21" t="str">
        <f>IF($AL1134="","",$AL1134&amp;"|"&amp;COUNTIF($AL$11:$AL1134,$AL1134))</f>
        <v/>
      </c>
    </row>
    <row r="1135" spans="38:53" ht="15" customHeight="1" x14ac:dyDescent="0.25">
      <c r="AL1135" s="17"/>
      <c r="AM1135" s="12"/>
      <c r="AN1135" s="18"/>
      <c r="AO1135" s="18"/>
      <c r="AP1135" s="10"/>
      <c r="AQ1135" s="10"/>
      <c r="AR1135" s="19"/>
      <c r="AS1135" s="20"/>
      <c r="AT1135" s="19"/>
      <c r="AV1135" s="21">
        <f>IF(AND($AL1135&lt;&gt;"",COUNTIF($AL$11:$AL1135,$AL1135)=1),1,0)</f>
        <v>0</v>
      </c>
      <c r="AW1135" s="21">
        <f t="shared" si="121"/>
        <v>0</v>
      </c>
      <c r="AX1135" s="21" t="str">
        <f t="shared" si="120"/>
        <v/>
      </c>
      <c r="AY1135" s="21" t="str">
        <f>IF(AND($AM1135&lt;&gt;"",$AS1135&lt;&gt;"✓"),SUMPRODUCT(($AM$11:$AM1135&lt;&gt;"")*($AS$11:$AS1135&lt;&gt;"✓")),"")</f>
        <v/>
      </c>
      <c r="AZ1135" s="21" t="str">
        <f>IF(AND($AM1135&lt;&gt;"",$AS1135="✓"),SUMPRODUCT(($AM$11:$AM1135&lt;&gt;"")*($AS$11:$AS1135="✓")),"")</f>
        <v/>
      </c>
      <c r="BA1135" s="21" t="str">
        <f>IF($AL1135="","",$AL1135&amp;"|"&amp;COUNTIF($AL$11:$AL1135,$AL1135))</f>
        <v/>
      </c>
    </row>
    <row r="1136" spans="38:53" ht="15" customHeight="1" x14ac:dyDescent="0.25">
      <c r="AL1136" s="31"/>
      <c r="AM1136" s="26"/>
      <c r="AN1136" s="32"/>
      <c r="AO1136" s="32"/>
      <c r="AP1136" s="24"/>
      <c r="AQ1136" s="24"/>
      <c r="AR1136" s="33"/>
      <c r="AS1136" s="34"/>
      <c r="AT1136" s="33"/>
      <c r="AV1136" s="21">
        <f>IF(AND($AL1136&lt;&gt;"",COUNTIF($AL$11:$AL1136,$AL1136)=1),1,0)</f>
        <v>0</v>
      </c>
      <c r="AW1136" s="21">
        <f t="shared" si="121"/>
        <v>0</v>
      </c>
      <c r="AX1136" s="21" t="str">
        <f t="shared" si="120"/>
        <v/>
      </c>
      <c r="AY1136" s="21" t="str">
        <f>IF(AND($AM1136&lt;&gt;"",$AS1136&lt;&gt;"✓"),SUMPRODUCT(($AM$11:$AM1136&lt;&gt;"")*($AS$11:$AS1136&lt;&gt;"✓")),"")</f>
        <v/>
      </c>
      <c r="AZ1136" s="21" t="str">
        <f>IF(AND($AM1136&lt;&gt;"",$AS1136="✓"),SUMPRODUCT(($AM$11:$AM1136&lt;&gt;"")*($AS$11:$AS1136="✓")),"")</f>
        <v/>
      </c>
      <c r="BA1136" s="21" t="str">
        <f>IF($AL1136="","",$AL1136&amp;"|"&amp;COUNTIF($AL$11:$AL1136,$AL1136))</f>
        <v/>
      </c>
    </row>
    <row r="1137" spans="38:53" ht="15" customHeight="1" x14ac:dyDescent="0.25">
      <c r="AL1137" s="17"/>
      <c r="AM1137" s="12"/>
      <c r="AN1137" s="18"/>
      <c r="AO1137" s="18"/>
      <c r="AP1137" s="10"/>
      <c r="AQ1137" s="10"/>
      <c r="AR1137" s="19"/>
      <c r="AS1137" s="20"/>
      <c r="AT1137" s="19"/>
      <c r="AV1137" s="21">
        <f>IF(AND($AL1137&lt;&gt;"",COUNTIF($AL$11:$AL1137,$AL1137)=1),1,0)</f>
        <v>0</v>
      </c>
      <c r="AW1137" s="21">
        <f t="shared" si="121"/>
        <v>0</v>
      </c>
      <c r="AX1137" s="21" t="str">
        <f t="shared" si="120"/>
        <v/>
      </c>
      <c r="AY1137" s="21" t="str">
        <f>IF(AND($AM1137&lt;&gt;"",$AS1137&lt;&gt;"✓"),SUMPRODUCT(($AM$11:$AM1137&lt;&gt;"")*($AS$11:$AS1137&lt;&gt;"✓")),"")</f>
        <v/>
      </c>
      <c r="AZ1137" s="21" t="str">
        <f>IF(AND($AM1137&lt;&gt;"",$AS1137="✓"),SUMPRODUCT(($AM$11:$AM1137&lt;&gt;"")*($AS$11:$AS1137="✓")),"")</f>
        <v/>
      </c>
      <c r="BA1137" s="21" t="str">
        <f>IF($AL1137="","",$AL1137&amp;"|"&amp;COUNTIF($AL$11:$AL1137,$AL1137))</f>
        <v/>
      </c>
    </row>
    <row r="1138" spans="38:53" ht="15" customHeight="1" x14ac:dyDescent="0.25">
      <c r="AL1138" s="31"/>
      <c r="AM1138" s="26"/>
      <c r="AN1138" s="32"/>
      <c r="AO1138" s="32"/>
      <c r="AP1138" s="24"/>
      <c r="AQ1138" s="24"/>
      <c r="AR1138" s="33"/>
      <c r="AS1138" s="34"/>
      <c r="AT1138" s="33"/>
      <c r="AV1138" s="21">
        <f>IF(AND($AL1138&lt;&gt;"",COUNTIF($AL$11:$AL1138,$AL1138)=1),1,0)</f>
        <v>0</v>
      </c>
      <c r="AW1138" s="21">
        <f t="shared" si="121"/>
        <v>0</v>
      </c>
      <c r="AX1138" s="21" t="str">
        <f t="shared" si="120"/>
        <v/>
      </c>
      <c r="AY1138" s="21" t="str">
        <f>IF(AND($AM1138&lt;&gt;"",$AS1138&lt;&gt;"✓"),SUMPRODUCT(($AM$11:$AM1138&lt;&gt;"")*($AS$11:$AS1138&lt;&gt;"✓")),"")</f>
        <v/>
      </c>
      <c r="AZ1138" s="21" t="str">
        <f>IF(AND($AM1138&lt;&gt;"",$AS1138="✓"),SUMPRODUCT(($AM$11:$AM1138&lt;&gt;"")*($AS$11:$AS1138="✓")),"")</f>
        <v/>
      </c>
      <c r="BA1138" s="21" t="str">
        <f>IF($AL1138="","",$AL1138&amp;"|"&amp;COUNTIF($AL$11:$AL1138,$AL1138))</f>
        <v/>
      </c>
    </row>
    <row r="1139" spans="38:53" ht="15" customHeight="1" x14ac:dyDescent="0.25">
      <c r="AL1139" s="17"/>
      <c r="AM1139" s="12"/>
      <c r="AN1139" s="18"/>
      <c r="AO1139" s="18"/>
      <c r="AP1139" s="10"/>
      <c r="AQ1139" s="10"/>
      <c r="AR1139" s="19"/>
      <c r="AS1139" s="20"/>
      <c r="AT1139" s="19"/>
      <c r="AV1139" s="21">
        <f>IF(AND($AL1139&lt;&gt;"",COUNTIF($AL$11:$AL1139,$AL1139)=1),1,0)</f>
        <v>0</v>
      </c>
      <c r="AW1139" s="21">
        <f t="shared" si="121"/>
        <v>0</v>
      </c>
      <c r="AX1139" s="21" t="str">
        <f t="shared" si="120"/>
        <v/>
      </c>
      <c r="AY1139" s="21" t="str">
        <f>IF(AND($AM1139&lt;&gt;"",$AS1139&lt;&gt;"✓"),SUMPRODUCT(($AM$11:$AM1139&lt;&gt;"")*($AS$11:$AS1139&lt;&gt;"✓")),"")</f>
        <v/>
      </c>
      <c r="AZ1139" s="21" t="str">
        <f>IF(AND($AM1139&lt;&gt;"",$AS1139="✓"),SUMPRODUCT(($AM$11:$AM1139&lt;&gt;"")*($AS$11:$AS1139="✓")),"")</f>
        <v/>
      </c>
      <c r="BA1139" s="21" t="str">
        <f>IF($AL1139="","",$AL1139&amp;"|"&amp;COUNTIF($AL$11:$AL1139,$AL1139))</f>
        <v/>
      </c>
    </row>
    <row r="1140" spans="38:53" ht="15" customHeight="1" x14ac:dyDescent="0.25">
      <c r="AL1140" s="31"/>
      <c r="AM1140" s="26"/>
      <c r="AN1140" s="32"/>
      <c r="AO1140" s="32"/>
      <c r="AP1140" s="24"/>
      <c r="AQ1140" s="24"/>
      <c r="AR1140" s="33"/>
      <c r="AS1140" s="34"/>
      <c r="AT1140" s="33"/>
      <c r="AV1140" s="21">
        <f>IF(AND($AL1140&lt;&gt;"",COUNTIF($AL$11:$AL1140,$AL1140)=1),1,0)</f>
        <v>0</v>
      </c>
      <c r="AW1140" s="21">
        <f t="shared" si="121"/>
        <v>0</v>
      </c>
      <c r="AX1140" s="21" t="str">
        <f t="shared" si="120"/>
        <v/>
      </c>
      <c r="AY1140" s="21" t="str">
        <f>IF(AND($AM1140&lt;&gt;"",$AS1140&lt;&gt;"✓"),SUMPRODUCT(($AM$11:$AM1140&lt;&gt;"")*($AS$11:$AS1140&lt;&gt;"✓")),"")</f>
        <v/>
      </c>
      <c r="AZ1140" s="21" t="str">
        <f>IF(AND($AM1140&lt;&gt;"",$AS1140="✓"),SUMPRODUCT(($AM$11:$AM1140&lt;&gt;"")*($AS$11:$AS1140="✓")),"")</f>
        <v/>
      </c>
      <c r="BA1140" s="21" t="str">
        <f>IF($AL1140="","",$AL1140&amp;"|"&amp;COUNTIF($AL$11:$AL1140,$AL1140))</f>
        <v/>
      </c>
    </row>
    <row r="1141" spans="38:53" ht="15" customHeight="1" x14ac:dyDescent="0.25">
      <c r="AL1141" s="17"/>
      <c r="AM1141" s="12"/>
      <c r="AN1141" s="18"/>
      <c r="AO1141" s="18"/>
      <c r="AP1141" s="10"/>
      <c r="AQ1141" s="10"/>
      <c r="AR1141" s="19"/>
      <c r="AS1141" s="20"/>
      <c r="AT1141" s="19"/>
      <c r="AV1141" s="21">
        <f>IF(AND($AL1141&lt;&gt;"",COUNTIF($AL$11:$AL1141,$AL1141)=1),1,0)</f>
        <v>0</v>
      </c>
      <c r="AW1141" s="21">
        <f t="shared" si="121"/>
        <v>0</v>
      </c>
      <c r="AX1141" s="21" t="str">
        <f t="shared" si="120"/>
        <v/>
      </c>
      <c r="AY1141" s="21" t="str">
        <f>IF(AND($AM1141&lt;&gt;"",$AS1141&lt;&gt;"✓"),SUMPRODUCT(($AM$11:$AM1141&lt;&gt;"")*($AS$11:$AS1141&lt;&gt;"✓")),"")</f>
        <v/>
      </c>
      <c r="AZ1141" s="21" t="str">
        <f>IF(AND($AM1141&lt;&gt;"",$AS1141="✓"),SUMPRODUCT(($AM$11:$AM1141&lt;&gt;"")*($AS$11:$AS1141="✓")),"")</f>
        <v/>
      </c>
      <c r="BA1141" s="21" t="str">
        <f>IF($AL1141="","",$AL1141&amp;"|"&amp;COUNTIF($AL$11:$AL1141,$AL1141))</f>
        <v/>
      </c>
    </row>
    <row r="1142" spans="38:53" ht="15" customHeight="1" x14ac:dyDescent="0.25">
      <c r="AL1142" s="31"/>
      <c r="AM1142" s="26"/>
      <c r="AN1142" s="32"/>
      <c r="AO1142" s="32"/>
      <c r="AP1142" s="24"/>
      <c r="AQ1142" s="24"/>
      <c r="AR1142" s="33"/>
      <c r="AS1142" s="34"/>
      <c r="AT1142" s="33"/>
      <c r="AV1142" s="21">
        <f>IF(AND($AL1142&lt;&gt;"",COUNTIF($AL$11:$AL1142,$AL1142)=1),1,0)</f>
        <v>0</v>
      </c>
      <c r="AW1142" s="21">
        <f t="shared" si="121"/>
        <v>0</v>
      </c>
      <c r="AX1142" s="21" t="str">
        <f t="shared" si="120"/>
        <v/>
      </c>
      <c r="AY1142" s="21" t="str">
        <f>IF(AND($AM1142&lt;&gt;"",$AS1142&lt;&gt;"✓"),SUMPRODUCT(($AM$11:$AM1142&lt;&gt;"")*($AS$11:$AS1142&lt;&gt;"✓")),"")</f>
        <v/>
      </c>
      <c r="AZ1142" s="21" t="str">
        <f>IF(AND($AM1142&lt;&gt;"",$AS1142="✓"),SUMPRODUCT(($AM$11:$AM1142&lt;&gt;"")*($AS$11:$AS1142="✓")),"")</f>
        <v/>
      </c>
      <c r="BA1142" s="21" t="str">
        <f>IF($AL1142="","",$AL1142&amp;"|"&amp;COUNTIF($AL$11:$AL1142,$AL1142))</f>
        <v/>
      </c>
    </row>
    <row r="1143" spans="38:53" ht="15" customHeight="1" x14ac:dyDescent="0.25">
      <c r="AL1143" s="17"/>
      <c r="AM1143" s="12"/>
      <c r="AN1143" s="18"/>
      <c r="AO1143" s="18"/>
      <c r="AP1143" s="10"/>
      <c r="AQ1143" s="10"/>
      <c r="AR1143" s="19"/>
      <c r="AS1143" s="20"/>
      <c r="AT1143" s="19"/>
      <c r="AV1143" s="21">
        <f>IF(AND($AL1143&lt;&gt;"",COUNTIF($AL$11:$AL1143,$AL1143)=1),1,0)</f>
        <v>0</v>
      </c>
      <c r="AW1143" s="21">
        <f t="shared" si="121"/>
        <v>0</v>
      </c>
      <c r="AX1143" s="21" t="str">
        <f t="shared" si="120"/>
        <v/>
      </c>
      <c r="AY1143" s="21" t="str">
        <f>IF(AND($AM1143&lt;&gt;"",$AS1143&lt;&gt;"✓"),SUMPRODUCT(($AM$11:$AM1143&lt;&gt;"")*($AS$11:$AS1143&lt;&gt;"✓")),"")</f>
        <v/>
      </c>
      <c r="AZ1143" s="21" t="str">
        <f>IF(AND($AM1143&lt;&gt;"",$AS1143="✓"),SUMPRODUCT(($AM$11:$AM1143&lt;&gt;"")*($AS$11:$AS1143="✓")),"")</f>
        <v/>
      </c>
      <c r="BA1143" s="21" t="str">
        <f>IF($AL1143="","",$AL1143&amp;"|"&amp;COUNTIF($AL$11:$AL1143,$AL1143))</f>
        <v/>
      </c>
    </row>
    <row r="1144" spans="38:53" ht="15" customHeight="1" x14ac:dyDescent="0.25">
      <c r="AL1144" s="31"/>
      <c r="AM1144" s="26"/>
      <c r="AN1144" s="32"/>
      <c r="AO1144" s="32"/>
      <c r="AP1144" s="24"/>
      <c r="AQ1144" s="24"/>
      <c r="AR1144" s="33"/>
      <c r="AS1144" s="34"/>
      <c r="AT1144" s="33"/>
      <c r="AV1144" s="21">
        <f>IF(AND($AL1144&lt;&gt;"",COUNTIF($AL$11:$AL1144,$AL1144)=1),1,0)</f>
        <v>0</v>
      </c>
      <c r="AW1144" s="21">
        <f t="shared" si="121"/>
        <v>0</v>
      </c>
      <c r="AX1144" s="21" t="str">
        <f t="shared" si="120"/>
        <v/>
      </c>
      <c r="AY1144" s="21" t="str">
        <f>IF(AND($AM1144&lt;&gt;"",$AS1144&lt;&gt;"✓"),SUMPRODUCT(($AM$11:$AM1144&lt;&gt;"")*($AS$11:$AS1144&lt;&gt;"✓")),"")</f>
        <v/>
      </c>
      <c r="AZ1144" s="21" t="str">
        <f>IF(AND($AM1144&lt;&gt;"",$AS1144="✓"),SUMPRODUCT(($AM$11:$AM1144&lt;&gt;"")*($AS$11:$AS1144="✓")),"")</f>
        <v/>
      </c>
      <c r="BA1144" s="21" t="str">
        <f>IF($AL1144="","",$AL1144&amp;"|"&amp;COUNTIF($AL$11:$AL1144,$AL1144))</f>
        <v/>
      </c>
    </row>
    <row r="1145" spans="38:53" ht="15" customHeight="1" x14ac:dyDescent="0.25">
      <c r="AL1145" s="17"/>
      <c r="AM1145" s="12"/>
      <c r="AN1145" s="18"/>
      <c r="AO1145" s="18"/>
      <c r="AP1145" s="10"/>
      <c r="AQ1145" s="10"/>
      <c r="AR1145" s="19"/>
      <c r="AS1145" s="20"/>
      <c r="AT1145" s="19"/>
      <c r="AV1145" s="21">
        <f>IF(AND($AL1145&lt;&gt;"",COUNTIF($AL$11:$AL1145,$AL1145)=1),1,0)</f>
        <v>0</v>
      </c>
      <c r="AW1145" s="21">
        <f t="shared" si="121"/>
        <v>0</v>
      </c>
      <c r="AX1145" s="21" t="str">
        <f t="shared" si="120"/>
        <v/>
      </c>
      <c r="AY1145" s="21" t="str">
        <f>IF(AND($AM1145&lt;&gt;"",$AS1145&lt;&gt;"✓"),SUMPRODUCT(($AM$11:$AM1145&lt;&gt;"")*($AS$11:$AS1145&lt;&gt;"✓")),"")</f>
        <v/>
      </c>
      <c r="AZ1145" s="21" t="str">
        <f>IF(AND($AM1145&lt;&gt;"",$AS1145="✓"),SUMPRODUCT(($AM$11:$AM1145&lt;&gt;"")*($AS$11:$AS1145="✓")),"")</f>
        <v/>
      </c>
      <c r="BA1145" s="21" t="str">
        <f>IF($AL1145="","",$AL1145&amp;"|"&amp;COUNTIF($AL$11:$AL1145,$AL1145))</f>
        <v/>
      </c>
    </row>
    <row r="1146" spans="38:53" ht="15" customHeight="1" x14ac:dyDescent="0.25">
      <c r="AL1146" s="31"/>
      <c r="AM1146" s="26"/>
      <c r="AN1146" s="32"/>
      <c r="AO1146" s="32"/>
      <c r="AP1146" s="24"/>
      <c r="AQ1146" s="24"/>
      <c r="AR1146" s="33"/>
      <c r="AS1146" s="34"/>
      <c r="AT1146" s="33"/>
      <c r="AV1146" s="21">
        <f>IF(AND($AL1146&lt;&gt;"",COUNTIF($AL$11:$AL1146,$AL1146)=1),1,0)</f>
        <v>0</v>
      </c>
      <c r="AW1146" s="21">
        <f t="shared" si="121"/>
        <v>0</v>
      </c>
      <c r="AX1146" s="21" t="str">
        <f t="shared" si="120"/>
        <v/>
      </c>
      <c r="AY1146" s="21" t="str">
        <f>IF(AND($AM1146&lt;&gt;"",$AS1146&lt;&gt;"✓"),SUMPRODUCT(($AM$11:$AM1146&lt;&gt;"")*($AS$11:$AS1146&lt;&gt;"✓")),"")</f>
        <v/>
      </c>
      <c r="AZ1146" s="21" t="str">
        <f>IF(AND($AM1146&lt;&gt;"",$AS1146="✓"),SUMPRODUCT(($AM$11:$AM1146&lt;&gt;"")*($AS$11:$AS1146="✓")),"")</f>
        <v/>
      </c>
      <c r="BA1146" s="21" t="str">
        <f>IF($AL1146="","",$AL1146&amp;"|"&amp;COUNTIF($AL$11:$AL1146,$AL1146))</f>
        <v/>
      </c>
    </row>
    <row r="1147" spans="38:53" ht="15" customHeight="1" x14ac:dyDescent="0.25">
      <c r="AL1147" s="17"/>
      <c r="AM1147" s="12"/>
      <c r="AN1147" s="18"/>
      <c r="AO1147" s="18"/>
      <c r="AP1147" s="10"/>
      <c r="AQ1147" s="10"/>
      <c r="AR1147" s="19"/>
      <c r="AS1147" s="20"/>
      <c r="AT1147" s="19"/>
      <c r="AV1147" s="21">
        <f>IF(AND($AL1147&lt;&gt;"",COUNTIF($AL$11:$AL1147,$AL1147)=1),1,0)</f>
        <v>0</v>
      </c>
      <c r="AW1147" s="21">
        <f t="shared" si="121"/>
        <v>0</v>
      </c>
      <c r="AX1147" s="21" t="str">
        <f t="shared" si="120"/>
        <v/>
      </c>
      <c r="AY1147" s="21" t="str">
        <f>IF(AND($AM1147&lt;&gt;"",$AS1147&lt;&gt;"✓"),SUMPRODUCT(($AM$11:$AM1147&lt;&gt;"")*($AS$11:$AS1147&lt;&gt;"✓")),"")</f>
        <v/>
      </c>
      <c r="AZ1147" s="21" t="str">
        <f>IF(AND($AM1147&lt;&gt;"",$AS1147="✓"),SUMPRODUCT(($AM$11:$AM1147&lt;&gt;"")*($AS$11:$AS1147="✓")),"")</f>
        <v/>
      </c>
      <c r="BA1147" s="21" t="str">
        <f>IF($AL1147="","",$AL1147&amp;"|"&amp;COUNTIF($AL$11:$AL1147,$AL1147))</f>
        <v/>
      </c>
    </row>
    <row r="1148" spans="38:53" ht="15" customHeight="1" x14ac:dyDescent="0.25">
      <c r="AL1148" s="31"/>
      <c r="AM1148" s="26"/>
      <c r="AN1148" s="32"/>
      <c r="AO1148" s="32"/>
      <c r="AP1148" s="24"/>
      <c r="AQ1148" s="24"/>
      <c r="AR1148" s="33"/>
      <c r="AS1148" s="34"/>
      <c r="AT1148" s="33"/>
      <c r="AV1148" s="21">
        <f>IF(AND($AL1148&lt;&gt;"",COUNTIF($AL$11:$AL1148,$AL1148)=1),1,0)</f>
        <v>0</v>
      </c>
      <c r="AW1148" s="21">
        <f t="shared" si="121"/>
        <v>0</v>
      </c>
      <c r="AX1148" s="21" t="str">
        <f t="shared" si="120"/>
        <v/>
      </c>
      <c r="AY1148" s="21" t="str">
        <f>IF(AND($AM1148&lt;&gt;"",$AS1148&lt;&gt;"✓"),SUMPRODUCT(($AM$11:$AM1148&lt;&gt;"")*($AS$11:$AS1148&lt;&gt;"✓")),"")</f>
        <v/>
      </c>
      <c r="AZ1148" s="21" t="str">
        <f>IF(AND($AM1148&lt;&gt;"",$AS1148="✓"),SUMPRODUCT(($AM$11:$AM1148&lt;&gt;"")*($AS$11:$AS1148="✓")),"")</f>
        <v/>
      </c>
      <c r="BA1148" s="21" t="str">
        <f>IF($AL1148="","",$AL1148&amp;"|"&amp;COUNTIF($AL$11:$AL1148,$AL1148))</f>
        <v/>
      </c>
    </row>
    <row r="1149" spans="38:53" ht="15" customHeight="1" x14ac:dyDescent="0.25">
      <c r="AL1149" s="17"/>
      <c r="AM1149" s="12"/>
      <c r="AN1149" s="18"/>
      <c r="AO1149" s="18"/>
      <c r="AP1149" s="10"/>
      <c r="AQ1149" s="10"/>
      <c r="AR1149" s="19"/>
      <c r="AS1149" s="20"/>
      <c r="AT1149" s="19"/>
      <c r="AV1149" s="21">
        <f>IF(AND($AL1149&lt;&gt;"",COUNTIF($AL$11:$AL1149,$AL1149)=1),1,0)</f>
        <v>0</v>
      </c>
      <c r="AW1149" s="21">
        <f t="shared" si="121"/>
        <v>0</v>
      </c>
      <c r="AX1149" s="21" t="str">
        <f t="shared" si="120"/>
        <v/>
      </c>
      <c r="AY1149" s="21" t="str">
        <f>IF(AND($AM1149&lt;&gt;"",$AS1149&lt;&gt;"✓"),SUMPRODUCT(($AM$11:$AM1149&lt;&gt;"")*($AS$11:$AS1149&lt;&gt;"✓")),"")</f>
        <v/>
      </c>
      <c r="AZ1149" s="21" t="str">
        <f>IF(AND($AM1149&lt;&gt;"",$AS1149="✓"),SUMPRODUCT(($AM$11:$AM1149&lt;&gt;"")*($AS$11:$AS1149="✓")),"")</f>
        <v/>
      </c>
      <c r="BA1149" s="21" t="str">
        <f>IF($AL1149="","",$AL1149&amp;"|"&amp;COUNTIF($AL$11:$AL1149,$AL1149))</f>
        <v/>
      </c>
    </row>
    <row r="1150" spans="38:53" ht="15" customHeight="1" x14ac:dyDescent="0.25">
      <c r="AL1150" s="31"/>
      <c r="AM1150" s="26"/>
      <c r="AN1150" s="32"/>
      <c r="AO1150" s="32"/>
      <c r="AP1150" s="24"/>
      <c r="AQ1150" s="24"/>
      <c r="AR1150" s="33"/>
      <c r="AS1150" s="34"/>
      <c r="AT1150" s="33"/>
      <c r="AV1150" s="21">
        <f>IF(AND($AL1150&lt;&gt;"",COUNTIF($AL$11:$AL1150,$AL1150)=1),1,0)</f>
        <v>0</v>
      </c>
      <c r="AW1150" s="21">
        <f t="shared" si="121"/>
        <v>0</v>
      </c>
      <c r="AX1150" s="21" t="str">
        <f t="shared" si="120"/>
        <v/>
      </c>
      <c r="AY1150" s="21" t="str">
        <f>IF(AND($AM1150&lt;&gt;"",$AS1150&lt;&gt;"✓"),SUMPRODUCT(($AM$11:$AM1150&lt;&gt;"")*($AS$11:$AS1150&lt;&gt;"✓")),"")</f>
        <v/>
      </c>
      <c r="AZ1150" s="21" t="str">
        <f>IF(AND($AM1150&lt;&gt;"",$AS1150="✓"),SUMPRODUCT(($AM$11:$AM1150&lt;&gt;"")*($AS$11:$AS1150="✓")),"")</f>
        <v/>
      </c>
      <c r="BA1150" s="21" t="str">
        <f>IF($AL1150="","",$AL1150&amp;"|"&amp;COUNTIF($AL$11:$AL1150,$AL1150))</f>
        <v/>
      </c>
    </row>
    <row r="1151" spans="38:53" ht="15" customHeight="1" x14ac:dyDescent="0.25">
      <c r="AL1151" s="17"/>
      <c r="AM1151" s="12"/>
      <c r="AN1151" s="18"/>
      <c r="AO1151" s="18"/>
      <c r="AP1151" s="10"/>
      <c r="AQ1151" s="10"/>
      <c r="AR1151" s="19"/>
      <c r="AS1151" s="20"/>
      <c r="AT1151" s="19"/>
      <c r="AV1151" s="21">
        <f>IF(AND($AL1151&lt;&gt;"",COUNTIF($AL$11:$AL1151,$AL1151)=1),1,0)</f>
        <v>0</v>
      </c>
      <c r="AW1151" s="21">
        <f t="shared" si="121"/>
        <v>0</v>
      </c>
      <c r="AX1151" s="21" t="str">
        <f t="shared" si="120"/>
        <v/>
      </c>
      <c r="AY1151" s="21" t="str">
        <f>IF(AND($AM1151&lt;&gt;"",$AS1151&lt;&gt;"✓"),SUMPRODUCT(($AM$11:$AM1151&lt;&gt;"")*($AS$11:$AS1151&lt;&gt;"✓")),"")</f>
        <v/>
      </c>
      <c r="AZ1151" s="21" t="str">
        <f>IF(AND($AM1151&lt;&gt;"",$AS1151="✓"),SUMPRODUCT(($AM$11:$AM1151&lt;&gt;"")*($AS$11:$AS1151="✓")),"")</f>
        <v/>
      </c>
      <c r="BA1151" s="21" t="str">
        <f>IF($AL1151="","",$AL1151&amp;"|"&amp;COUNTIF($AL$11:$AL1151,$AL1151))</f>
        <v/>
      </c>
    </row>
    <row r="1152" spans="38:53" ht="15" customHeight="1" x14ac:dyDescent="0.25">
      <c r="AL1152" s="31"/>
      <c r="AM1152" s="26"/>
      <c r="AN1152" s="32"/>
      <c r="AO1152" s="32"/>
      <c r="AP1152" s="24"/>
      <c r="AQ1152" s="24"/>
      <c r="AR1152" s="33"/>
      <c r="AS1152" s="34"/>
      <c r="AT1152" s="33"/>
      <c r="AV1152" s="21">
        <f>IF(AND($AL1152&lt;&gt;"",COUNTIF($AL$11:$AL1152,$AL1152)=1),1,0)</f>
        <v>0</v>
      </c>
      <c r="AW1152" s="21">
        <f t="shared" si="121"/>
        <v>0</v>
      </c>
      <c r="AX1152" s="21" t="str">
        <f t="shared" si="120"/>
        <v/>
      </c>
      <c r="AY1152" s="21" t="str">
        <f>IF(AND($AM1152&lt;&gt;"",$AS1152&lt;&gt;"✓"),SUMPRODUCT(($AM$11:$AM1152&lt;&gt;"")*($AS$11:$AS1152&lt;&gt;"✓")),"")</f>
        <v/>
      </c>
      <c r="AZ1152" s="21" t="str">
        <f>IF(AND($AM1152&lt;&gt;"",$AS1152="✓"),SUMPRODUCT(($AM$11:$AM1152&lt;&gt;"")*($AS$11:$AS1152="✓")),"")</f>
        <v/>
      </c>
      <c r="BA1152" s="21" t="str">
        <f>IF($AL1152="","",$AL1152&amp;"|"&amp;COUNTIF($AL$11:$AL1152,$AL1152))</f>
        <v/>
      </c>
    </row>
    <row r="1153" spans="38:53" ht="15" customHeight="1" x14ac:dyDescent="0.25">
      <c r="AL1153" s="17"/>
      <c r="AM1153" s="12"/>
      <c r="AN1153" s="18"/>
      <c r="AO1153" s="18"/>
      <c r="AP1153" s="10"/>
      <c r="AQ1153" s="10"/>
      <c r="AR1153" s="19"/>
      <c r="AS1153" s="20"/>
      <c r="AT1153" s="19"/>
      <c r="AV1153" s="21">
        <f>IF(AND($AL1153&lt;&gt;"",COUNTIF($AL$11:$AL1153,$AL1153)=1),1,0)</f>
        <v>0</v>
      </c>
      <c r="AW1153" s="21">
        <f t="shared" si="121"/>
        <v>0</v>
      </c>
      <c r="AX1153" s="21" t="str">
        <f t="shared" si="120"/>
        <v/>
      </c>
      <c r="AY1153" s="21" t="str">
        <f>IF(AND($AM1153&lt;&gt;"",$AS1153&lt;&gt;"✓"),SUMPRODUCT(($AM$11:$AM1153&lt;&gt;"")*($AS$11:$AS1153&lt;&gt;"✓")),"")</f>
        <v/>
      </c>
      <c r="AZ1153" s="21" t="str">
        <f>IF(AND($AM1153&lt;&gt;"",$AS1153="✓"),SUMPRODUCT(($AM$11:$AM1153&lt;&gt;"")*($AS$11:$AS1153="✓")),"")</f>
        <v/>
      </c>
      <c r="BA1153" s="21" t="str">
        <f>IF($AL1153="","",$AL1153&amp;"|"&amp;COUNTIF($AL$11:$AL1153,$AL1153))</f>
        <v/>
      </c>
    </row>
    <row r="1154" spans="38:53" ht="15" customHeight="1" x14ac:dyDescent="0.25">
      <c r="AL1154" s="31"/>
      <c r="AM1154" s="26"/>
      <c r="AN1154" s="32"/>
      <c r="AO1154" s="32"/>
      <c r="AP1154" s="24"/>
      <c r="AQ1154" s="24"/>
      <c r="AR1154" s="33"/>
      <c r="AS1154" s="34"/>
      <c r="AT1154" s="33"/>
      <c r="AV1154" s="21">
        <f>IF(AND($AL1154&lt;&gt;"",COUNTIF($AL$11:$AL1154,$AL1154)=1),1,0)</f>
        <v>0</v>
      </c>
      <c r="AW1154" s="21">
        <f t="shared" si="121"/>
        <v>0</v>
      </c>
      <c r="AX1154" s="21" t="str">
        <f t="shared" si="120"/>
        <v/>
      </c>
      <c r="AY1154" s="21" t="str">
        <f>IF(AND($AM1154&lt;&gt;"",$AS1154&lt;&gt;"✓"),SUMPRODUCT(($AM$11:$AM1154&lt;&gt;"")*($AS$11:$AS1154&lt;&gt;"✓")),"")</f>
        <v/>
      </c>
      <c r="AZ1154" s="21" t="str">
        <f>IF(AND($AM1154&lt;&gt;"",$AS1154="✓"),SUMPRODUCT(($AM$11:$AM1154&lt;&gt;"")*($AS$11:$AS1154="✓")),"")</f>
        <v/>
      </c>
      <c r="BA1154" s="21" t="str">
        <f>IF($AL1154="","",$AL1154&amp;"|"&amp;COUNTIF($AL$11:$AL1154,$AL1154))</f>
        <v/>
      </c>
    </row>
    <row r="1155" spans="38:53" ht="15" customHeight="1" x14ac:dyDescent="0.25">
      <c r="AL1155" s="17"/>
      <c r="AM1155" s="12"/>
      <c r="AN1155" s="18"/>
      <c r="AO1155" s="18"/>
      <c r="AP1155" s="10"/>
      <c r="AQ1155" s="10"/>
      <c r="AR1155" s="19"/>
      <c r="AS1155" s="20"/>
      <c r="AT1155" s="19"/>
      <c r="AV1155" s="21">
        <f>IF(AND($AL1155&lt;&gt;"",COUNTIF($AL$11:$AL1155,$AL1155)=1),1,0)</f>
        <v>0</v>
      </c>
      <c r="AW1155" s="21">
        <f t="shared" si="121"/>
        <v>0</v>
      </c>
      <c r="AX1155" s="21" t="str">
        <f t="shared" si="120"/>
        <v/>
      </c>
      <c r="AY1155" s="21" t="str">
        <f>IF(AND($AM1155&lt;&gt;"",$AS1155&lt;&gt;"✓"),SUMPRODUCT(($AM$11:$AM1155&lt;&gt;"")*($AS$11:$AS1155&lt;&gt;"✓")),"")</f>
        <v/>
      </c>
      <c r="AZ1155" s="21" t="str">
        <f>IF(AND($AM1155&lt;&gt;"",$AS1155="✓"),SUMPRODUCT(($AM$11:$AM1155&lt;&gt;"")*($AS$11:$AS1155="✓")),"")</f>
        <v/>
      </c>
      <c r="BA1155" s="21" t="str">
        <f>IF($AL1155="","",$AL1155&amp;"|"&amp;COUNTIF($AL$11:$AL1155,$AL1155))</f>
        <v/>
      </c>
    </row>
    <row r="1156" spans="38:53" ht="15" customHeight="1" x14ac:dyDescent="0.25">
      <c r="AL1156" s="31"/>
      <c r="AM1156" s="26"/>
      <c r="AN1156" s="32"/>
      <c r="AO1156" s="32"/>
      <c r="AP1156" s="24"/>
      <c r="AQ1156" s="24"/>
      <c r="AR1156" s="33"/>
      <c r="AS1156" s="34"/>
      <c r="AT1156" s="33"/>
      <c r="AV1156" s="21">
        <f>IF(AND($AL1156&lt;&gt;"",COUNTIF($AL$11:$AL1156,$AL1156)=1),1,0)</f>
        <v>0</v>
      </c>
      <c r="AW1156" s="21">
        <f t="shared" si="121"/>
        <v>0</v>
      </c>
      <c r="AX1156" s="21" t="str">
        <f t="shared" si="120"/>
        <v/>
      </c>
      <c r="AY1156" s="21" t="str">
        <f>IF(AND($AM1156&lt;&gt;"",$AS1156&lt;&gt;"✓"),SUMPRODUCT(($AM$11:$AM1156&lt;&gt;"")*($AS$11:$AS1156&lt;&gt;"✓")),"")</f>
        <v/>
      </c>
      <c r="AZ1156" s="21" t="str">
        <f>IF(AND($AM1156&lt;&gt;"",$AS1156="✓"),SUMPRODUCT(($AM$11:$AM1156&lt;&gt;"")*($AS$11:$AS1156="✓")),"")</f>
        <v/>
      </c>
      <c r="BA1156" s="21" t="str">
        <f>IF($AL1156="","",$AL1156&amp;"|"&amp;COUNTIF($AL$11:$AL1156,$AL1156))</f>
        <v/>
      </c>
    </row>
    <row r="1157" spans="38:53" ht="15" customHeight="1" x14ac:dyDescent="0.25">
      <c r="AL1157" s="17"/>
      <c r="AM1157" s="12"/>
      <c r="AN1157" s="18"/>
      <c r="AO1157" s="18"/>
      <c r="AP1157" s="10"/>
      <c r="AQ1157" s="10"/>
      <c r="AR1157" s="19"/>
      <c r="AS1157" s="20"/>
      <c r="AT1157" s="19"/>
      <c r="AV1157" s="21">
        <f>IF(AND($AL1157&lt;&gt;"",COUNTIF($AL$11:$AL1157,$AL1157)=1),1,0)</f>
        <v>0</v>
      </c>
      <c r="AW1157" s="21">
        <f t="shared" si="121"/>
        <v>0</v>
      </c>
      <c r="AX1157" s="21" t="str">
        <f t="shared" si="120"/>
        <v/>
      </c>
      <c r="AY1157" s="21" t="str">
        <f>IF(AND($AM1157&lt;&gt;"",$AS1157&lt;&gt;"✓"),SUMPRODUCT(($AM$11:$AM1157&lt;&gt;"")*($AS$11:$AS1157&lt;&gt;"✓")),"")</f>
        <v/>
      </c>
      <c r="AZ1157" s="21" t="str">
        <f>IF(AND($AM1157&lt;&gt;"",$AS1157="✓"),SUMPRODUCT(($AM$11:$AM1157&lt;&gt;"")*($AS$11:$AS1157="✓")),"")</f>
        <v/>
      </c>
      <c r="BA1157" s="21" t="str">
        <f>IF($AL1157="","",$AL1157&amp;"|"&amp;COUNTIF($AL$11:$AL1157,$AL1157))</f>
        <v/>
      </c>
    </row>
    <row r="1158" spans="38:53" ht="15" customHeight="1" x14ac:dyDescent="0.25">
      <c r="AL1158" s="31"/>
      <c r="AM1158" s="26"/>
      <c r="AN1158" s="32"/>
      <c r="AO1158" s="32"/>
      <c r="AP1158" s="24"/>
      <c r="AQ1158" s="24"/>
      <c r="AR1158" s="33"/>
      <c r="AS1158" s="34"/>
      <c r="AT1158" s="33"/>
      <c r="AV1158" s="21">
        <f>IF(AND($AL1158&lt;&gt;"",COUNTIF($AL$11:$AL1158,$AL1158)=1),1,0)</f>
        <v>0</v>
      </c>
      <c r="AW1158" s="21">
        <f t="shared" si="121"/>
        <v>0</v>
      </c>
      <c r="AX1158" s="21" t="str">
        <f t="shared" si="120"/>
        <v/>
      </c>
      <c r="AY1158" s="21" t="str">
        <f>IF(AND($AM1158&lt;&gt;"",$AS1158&lt;&gt;"✓"),SUMPRODUCT(($AM$11:$AM1158&lt;&gt;"")*($AS$11:$AS1158&lt;&gt;"✓")),"")</f>
        <v/>
      </c>
      <c r="AZ1158" s="21" t="str">
        <f>IF(AND($AM1158&lt;&gt;"",$AS1158="✓"),SUMPRODUCT(($AM$11:$AM1158&lt;&gt;"")*($AS$11:$AS1158="✓")),"")</f>
        <v/>
      </c>
      <c r="BA1158" s="21" t="str">
        <f>IF($AL1158="","",$AL1158&amp;"|"&amp;COUNTIF($AL$11:$AL1158,$AL1158))</f>
        <v/>
      </c>
    </row>
    <row r="1159" spans="38:53" ht="15" customHeight="1" x14ac:dyDescent="0.25">
      <c r="AL1159" s="17"/>
      <c r="AM1159" s="12"/>
      <c r="AN1159" s="18"/>
      <c r="AO1159" s="18"/>
      <c r="AP1159" s="10"/>
      <c r="AQ1159" s="10"/>
      <c r="AR1159" s="19"/>
      <c r="AS1159" s="20"/>
      <c r="AT1159" s="19"/>
      <c r="AV1159" s="21">
        <f>IF(AND($AL1159&lt;&gt;"",COUNTIF($AL$11:$AL1159,$AL1159)=1),1,0)</f>
        <v>0</v>
      </c>
      <c r="AW1159" s="21">
        <f t="shared" si="121"/>
        <v>0</v>
      </c>
      <c r="AX1159" s="21" t="str">
        <f t="shared" si="120"/>
        <v/>
      </c>
      <c r="AY1159" s="21" t="str">
        <f>IF(AND($AM1159&lt;&gt;"",$AS1159&lt;&gt;"✓"),SUMPRODUCT(($AM$11:$AM1159&lt;&gt;"")*($AS$11:$AS1159&lt;&gt;"✓")),"")</f>
        <v/>
      </c>
      <c r="AZ1159" s="21" t="str">
        <f>IF(AND($AM1159&lt;&gt;"",$AS1159="✓"),SUMPRODUCT(($AM$11:$AM1159&lt;&gt;"")*($AS$11:$AS1159="✓")),"")</f>
        <v/>
      </c>
      <c r="BA1159" s="21" t="str">
        <f>IF($AL1159="","",$AL1159&amp;"|"&amp;COUNTIF($AL$11:$AL1159,$AL1159))</f>
        <v/>
      </c>
    </row>
    <row r="1160" spans="38:53" ht="15" customHeight="1" x14ac:dyDescent="0.25">
      <c r="AL1160" s="31"/>
      <c r="AM1160" s="26"/>
      <c r="AN1160" s="32"/>
      <c r="AO1160" s="32"/>
      <c r="AP1160" s="24"/>
      <c r="AQ1160" s="24"/>
      <c r="AR1160" s="33"/>
      <c r="AS1160" s="34"/>
      <c r="AT1160" s="33"/>
      <c r="AV1160" s="21">
        <f>IF(AND($AL1160&lt;&gt;"",COUNTIF($AL$11:$AL1160,$AL1160)=1),1,0)</f>
        <v>0</v>
      </c>
      <c r="AW1160" s="21">
        <f t="shared" si="121"/>
        <v>0</v>
      </c>
      <c r="AX1160" s="21" t="str">
        <f t="shared" si="120"/>
        <v/>
      </c>
      <c r="AY1160" s="21" t="str">
        <f>IF(AND($AM1160&lt;&gt;"",$AS1160&lt;&gt;"✓"),SUMPRODUCT(($AM$11:$AM1160&lt;&gt;"")*($AS$11:$AS1160&lt;&gt;"✓")),"")</f>
        <v/>
      </c>
      <c r="AZ1160" s="21" t="str">
        <f>IF(AND($AM1160&lt;&gt;"",$AS1160="✓"),SUMPRODUCT(($AM$11:$AM1160&lt;&gt;"")*($AS$11:$AS1160="✓")),"")</f>
        <v/>
      </c>
      <c r="BA1160" s="21" t="str">
        <f>IF($AL1160="","",$AL1160&amp;"|"&amp;COUNTIF($AL$11:$AL1160,$AL1160))</f>
        <v/>
      </c>
    </row>
    <row r="1161" spans="38:53" ht="15" customHeight="1" x14ac:dyDescent="0.25">
      <c r="AL1161" s="17"/>
      <c r="AM1161" s="12"/>
      <c r="AN1161" s="18"/>
      <c r="AO1161" s="18"/>
      <c r="AP1161" s="10"/>
      <c r="AQ1161" s="10"/>
      <c r="AR1161" s="19"/>
      <c r="AS1161" s="20"/>
      <c r="AT1161" s="19"/>
      <c r="AV1161" s="21">
        <f>IF(AND($AL1161&lt;&gt;"",COUNTIF($AL$11:$AL1161,$AL1161)=1),1,0)</f>
        <v>0</v>
      </c>
      <c r="AW1161" s="21">
        <f t="shared" si="121"/>
        <v>0</v>
      </c>
      <c r="AX1161" s="21" t="str">
        <f t="shared" si="120"/>
        <v/>
      </c>
      <c r="AY1161" s="21" t="str">
        <f>IF(AND($AM1161&lt;&gt;"",$AS1161&lt;&gt;"✓"),SUMPRODUCT(($AM$11:$AM1161&lt;&gt;"")*($AS$11:$AS1161&lt;&gt;"✓")),"")</f>
        <v/>
      </c>
      <c r="AZ1161" s="21" t="str">
        <f>IF(AND($AM1161&lt;&gt;"",$AS1161="✓"),SUMPRODUCT(($AM$11:$AM1161&lt;&gt;"")*($AS$11:$AS1161="✓")),"")</f>
        <v/>
      </c>
      <c r="BA1161" s="21" t="str">
        <f>IF($AL1161="","",$AL1161&amp;"|"&amp;COUNTIF($AL$11:$AL1161,$AL1161))</f>
        <v/>
      </c>
    </row>
    <row r="1162" spans="38:53" ht="15" customHeight="1" x14ac:dyDescent="0.25">
      <c r="AL1162" s="31"/>
      <c r="AM1162" s="26"/>
      <c r="AN1162" s="32"/>
      <c r="AO1162" s="32"/>
      <c r="AP1162" s="24"/>
      <c r="AQ1162" s="24"/>
      <c r="AR1162" s="33"/>
      <c r="AS1162" s="34"/>
      <c r="AT1162" s="33"/>
      <c r="AV1162" s="21">
        <f>IF(AND($AL1162&lt;&gt;"",COUNTIF($AL$11:$AL1162,$AL1162)=1),1,0)</f>
        <v>0</v>
      </c>
      <c r="AW1162" s="21">
        <f t="shared" si="121"/>
        <v>0</v>
      </c>
      <c r="AX1162" s="21" t="str">
        <f t="shared" si="120"/>
        <v/>
      </c>
      <c r="AY1162" s="21" t="str">
        <f>IF(AND($AM1162&lt;&gt;"",$AS1162&lt;&gt;"✓"),SUMPRODUCT(($AM$11:$AM1162&lt;&gt;"")*($AS$11:$AS1162&lt;&gt;"✓")),"")</f>
        <v/>
      </c>
      <c r="AZ1162" s="21" t="str">
        <f>IF(AND($AM1162&lt;&gt;"",$AS1162="✓"),SUMPRODUCT(($AM$11:$AM1162&lt;&gt;"")*($AS$11:$AS1162="✓")),"")</f>
        <v/>
      </c>
      <c r="BA1162" s="21" t="str">
        <f>IF($AL1162="","",$AL1162&amp;"|"&amp;COUNTIF($AL$11:$AL1162,$AL1162))</f>
        <v/>
      </c>
    </row>
    <row r="1163" spans="38:53" ht="15" customHeight="1" x14ac:dyDescent="0.25">
      <c r="AL1163" s="17"/>
      <c r="AM1163" s="12"/>
      <c r="AN1163" s="18"/>
      <c r="AO1163" s="18"/>
      <c r="AP1163" s="10"/>
      <c r="AQ1163" s="10"/>
      <c r="AR1163" s="19"/>
      <c r="AS1163" s="20"/>
      <c r="AT1163" s="19"/>
      <c r="AV1163" s="21">
        <f>IF(AND($AL1163&lt;&gt;"",COUNTIF($AL$11:$AL1163,$AL1163)=1),1,0)</f>
        <v>0</v>
      </c>
      <c r="AW1163" s="21">
        <f t="shared" si="121"/>
        <v>0</v>
      </c>
      <c r="AX1163" s="21" t="str">
        <f t="shared" ref="AX1163:AX1226" si="122">IF(AV1163=1,AW1163,"")</f>
        <v/>
      </c>
      <c r="AY1163" s="21" t="str">
        <f>IF(AND($AM1163&lt;&gt;"",$AS1163&lt;&gt;"✓"),SUMPRODUCT(($AM$11:$AM1163&lt;&gt;"")*($AS$11:$AS1163&lt;&gt;"✓")),"")</f>
        <v/>
      </c>
      <c r="AZ1163" s="21" t="str">
        <f>IF(AND($AM1163&lt;&gt;"",$AS1163="✓"),SUMPRODUCT(($AM$11:$AM1163&lt;&gt;"")*($AS$11:$AS1163="✓")),"")</f>
        <v/>
      </c>
      <c r="BA1163" s="21" t="str">
        <f>IF($AL1163="","",$AL1163&amp;"|"&amp;COUNTIF($AL$11:$AL1163,$AL1163))</f>
        <v/>
      </c>
    </row>
    <row r="1164" spans="38:53" ht="15" customHeight="1" x14ac:dyDescent="0.25">
      <c r="AL1164" s="31"/>
      <c r="AM1164" s="26"/>
      <c r="AN1164" s="32"/>
      <c r="AO1164" s="32"/>
      <c r="AP1164" s="24"/>
      <c r="AQ1164" s="24"/>
      <c r="AR1164" s="33"/>
      <c r="AS1164" s="34"/>
      <c r="AT1164" s="33"/>
      <c r="AV1164" s="21">
        <f>IF(AND($AL1164&lt;&gt;"",COUNTIF($AL$11:$AL1164,$AL1164)=1),1,0)</f>
        <v>0</v>
      </c>
      <c r="AW1164" s="21">
        <f t="shared" ref="AW1164:AW1227" si="123">AW1163+AV1164</f>
        <v>0</v>
      </c>
      <c r="AX1164" s="21" t="str">
        <f t="shared" si="122"/>
        <v/>
      </c>
      <c r="AY1164" s="21" t="str">
        <f>IF(AND($AM1164&lt;&gt;"",$AS1164&lt;&gt;"✓"),SUMPRODUCT(($AM$11:$AM1164&lt;&gt;"")*($AS$11:$AS1164&lt;&gt;"✓")),"")</f>
        <v/>
      </c>
      <c r="AZ1164" s="21" t="str">
        <f>IF(AND($AM1164&lt;&gt;"",$AS1164="✓"),SUMPRODUCT(($AM$11:$AM1164&lt;&gt;"")*($AS$11:$AS1164="✓")),"")</f>
        <v/>
      </c>
      <c r="BA1164" s="21" t="str">
        <f>IF($AL1164="","",$AL1164&amp;"|"&amp;COUNTIF($AL$11:$AL1164,$AL1164))</f>
        <v/>
      </c>
    </row>
    <row r="1165" spans="38:53" ht="15" customHeight="1" x14ac:dyDescent="0.25">
      <c r="AL1165" s="17"/>
      <c r="AM1165" s="12"/>
      <c r="AN1165" s="18"/>
      <c r="AO1165" s="18"/>
      <c r="AP1165" s="10"/>
      <c r="AQ1165" s="10"/>
      <c r="AR1165" s="19"/>
      <c r="AS1165" s="20"/>
      <c r="AT1165" s="19"/>
      <c r="AV1165" s="21">
        <f>IF(AND($AL1165&lt;&gt;"",COUNTIF($AL$11:$AL1165,$AL1165)=1),1,0)</f>
        <v>0</v>
      </c>
      <c r="AW1165" s="21">
        <f t="shared" si="123"/>
        <v>0</v>
      </c>
      <c r="AX1165" s="21" t="str">
        <f t="shared" si="122"/>
        <v/>
      </c>
      <c r="AY1165" s="21" t="str">
        <f>IF(AND($AM1165&lt;&gt;"",$AS1165&lt;&gt;"✓"),SUMPRODUCT(($AM$11:$AM1165&lt;&gt;"")*($AS$11:$AS1165&lt;&gt;"✓")),"")</f>
        <v/>
      </c>
      <c r="AZ1165" s="21" t="str">
        <f>IF(AND($AM1165&lt;&gt;"",$AS1165="✓"),SUMPRODUCT(($AM$11:$AM1165&lt;&gt;"")*($AS$11:$AS1165="✓")),"")</f>
        <v/>
      </c>
      <c r="BA1165" s="21" t="str">
        <f>IF($AL1165="","",$AL1165&amp;"|"&amp;COUNTIF($AL$11:$AL1165,$AL1165))</f>
        <v/>
      </c>
    </row>
    <row r="1166" spans="38:53" ht="15" customHeight="1" x14ac:dyDescent="0.25">
      <c r="AL1166" s="31"/>
      <c r="AM1166" s="26"/>
      <c r="AN1166" s="32"/>
      <c r="AO1166" s="32"/>
      <c r="AP1166" s="24"/>
      <c r="AQ1166" s="24"/>
      <c r="AR1166" s="33"/>
      <c r="AS1166" s="34"/>
      <c r="AT1166" s="33"/>
      <c r="AV1166" s="21">
        <f>IF(AND($AL1166&lt;&gt;"",COUNTIF($AL$11:$AL1166,$AL1166)=1),1,0)</f>
        <v>0</v>
      </c>
      <c r="AW1166" s="21">
        <f t="shared" si="123"/>
        <v>0</v>
      </c>
      <c r="AX1166" s="21" t="str">
        <f t="shared" si="122"/>
        <v/>
      </c>
      <c r="AY1166" s="21" t="str">
        <f>IF(AND($AM1166&lt;&gt;"",$AS1166&lt;&gt;"✓"),SUMPRODUCT(($AM$11:$AM1166&lt;&gt;"")*($AS$11:$AS1166&lt;&gt;"✓")),"")</f>
        <v/>
      </c>
      <c r="AZ1166" s="21" t="str">
        <f>IF(AND($AM1166&lt;&gt;"",$AS1166="✓"),SUMPRODUCT(($AM$11:$AM1166&lt;&gt;"")*($AS$11:$AS1166="✓")),"")</f>
        <v/>
      </c>
      <c r="BA1166" s="21" t="str">
        <f>IF($AL1166="","",$AL1166&amp;"|"&amp;COUNTIF($AL$11:$AL1166,$AL1166))</f>
        <v/>
      </c>
    </row>
    <row r="1167" spans="38:53" ht="15" customHeight="1" x14ac:dyDescent="0.25">
      <c r="AL1167" s="17"/>
      <c r="AM1167" s="12"/>
      <c r="AN1167" s="18"/>
      <c r="AO1167" s="18"/>
      <c r="AP1167" s="10"/>
      <c r="AQ1167" s="10"/>
      <c r="AR1167" s="19"/>
      <c r="AS1167" s="20"/>
      <c r="AT1167" s="19"/>
      <c r="AV1167" s="21">
        <f>IF(AND($AL1167&lt;&gt;"",COUNTIF($AL$11:$AL1167,$AL1167)=1),1,0)</f>
        <v>0</v>
      </c>
      <c r="AW1167" s="21">
        <f t="shared" si="123"/>
        <v>0</v>
      </c>
      <c r="AX1167" s="21" t="str">
        <f t="shared" si="122"/>
        <v/>
      </c>
      <c r="AY1167" s="21" t="str">
        <f>IF(AND($AM1167&lt;&gt;"",$AS1167&lt;&gt;"✓"),SUMPRODUCT(($AM$11:$AM1167&lt;&gt;"")*($AS$11:$AS1167&lt;&gt;"✓")),"")</f>
        <v/>
      </c>
      <c r="AZ1167" s="21" t="str">
        <f>IF(AND($AM1167&lt;&gt;"",$AS1167="✓"),SUMPRODUCT(($AM$11:$AM1167&lt;&gt;"")*($AS$11:$AS1167="✓")),"")</f>
        <v/>
      </c>
      <c r="BA1167" s="21" t="str">
        <f>IF($AL1167="","",$AL1167&amp;"|"&amp;COUNTIF($AL$11:$AL1167,$AL1167))</f>
        <v/>
      </c>
    </row>
    <row r="1168" spans="38:53" ht="15" customHeight="1" x14ac:dyDescent="0.25">
      <c r="AL1168" s="31"/>
      <c r="AM1168" s="26"/>
      <c r="AN1168" s="32"/>
      <c r="AO1168" s="32"/>
      <c r="AP1168" s="24"/>
      <c r="AQ1168" s="24"/>
      <c r="AR1168" s="33"/>
      <c r="AS1168" s="34"/>
      <c r="AT1168" s="33"/>
      <c r="AV1168" s="21">
        <f>IF(AND($AL1168&lt;&gt;"",COUNTIF($AL$11:$AL1168,$AL1168)=1),1,0)</f>
        <v>0</v>
      </c>
      <c r="AW1168" s="21">
        <f t="shared" si="123"/>
        <v>0</v>
      </c>
      <c r="AX1168" s="21" t="str">
        <f t="shared" si="122"/>
        <v/>
      </c>
      <c r="AY1168" s="21" t="str">
        <f>IF(AND($AM1168&lt;&gt;"",$AS1168&lt;&gt;"✓"),SUMPRODUCT(($AM$11:$AM1168&lt;&gt;"")*($AS$11:$AS1168&lt;&gt;"✓")),"")</f>
        <v/>
      </c>
      <c r="AZ1168" s="21" t="str">
        <f>IF(AND($AM1168&lt;&gt;"",$AS1168="✓"),SUMPRODUCT(($AM$11:$AM1168&lt;&gt;"")*($AS$11:$AS1168="✓")),"")</f>
        <v/>
      </c>
      <c r="BA1168" s="21" t="str">
        <f>IF($AL1168="","",$AL1168&amp;"|"&amp;COUNTIF($AL$11:$AL1168,$AL1168))</f>
        <v/>
      </c>
    </row>
    <row r="1169" spans="38:53" ht="15" customHeight="1" x14ac:dyDescent="0.25">
      <c r="AL1169" s="17"/>
      <c r="AM1169" s="12"/>
      <c r="AN1169" s="18"/>
      <c r="AO1169" s="18"/>
      <c r="AP1169" s="10"/>
      <c r="AQ1169" s="10"/>
      <c r="AR1169" s="19"/>
      <c r="AS1169" s="20"/>
      <c r="AT1169" s="19"/>
      <c r="AV1169" s="21">
        <f>IF(AND($AL1169&lt;&gt;"",COUNTIF($AL$11:$AL1169,$AL1169)=1),1,0)</f>
        <v>0</v>
      </c>
      <c r="AW1169" s="21">
        <f t="shared" si="123"/>
        <v>0</v>
      </c>
      <c r="AX1169" s="21" t="str">
        <f t="shared" si="122"/>
        <v/>
      </c>
      <c r="AY1169" s="21" t="str">
        <f>IF(AND($AM1169&lt;&gt;"",$AS1169&lt;&gt;"✓"),SUMPRODUCT(($AM$11:$AM1169&lt;&gt;"")*($AS$11:$AS1169&lt;&gt;"✓")),"")</f>
        <v/>
      </c>
      <c r="AZ1169" s="21" t="str">
        <f>IF(AND($AM1169&lt;&gt;"",$AS1169="✓"),SUMPRODUCT(($AM$11:$AM1169&lt;&gt;"")*($AS$11:$AS1169="✓")),"")</f>
        <v/>
      </c>
      <c r="BA1169" s="21" t="str">
        <f>IF($AL1169="","",$AL1169&amp;"|"&amp;COUNTIF($AL$11:$AL1169,$AL1169))</f>
        <v/>
      </c>
    </row>
    <row r="1170" spans="38:53" ht="15" customHeight="1" x14ac:dyDescent="0.25">
      <c r="AL1170" s="31"/>
      <c r="AM1170" s="26"/>
      <c r="AN1170" s="32"/>
      <c r="AO1170" s="32"/>
      <c r="AP1170" s="24"/>
      <c r="AQ1170" s="24"/>
      <c r="AR1170" s="33"/>
      <c r="AS1170" s="34"/>
      <c r="AT1170" s="33"/>
      <c r="AV1170" s="21">
        <f>IF(AND($AL1170&lt;&gt;"",COUNTIF($AL$11:$AL1170,$AL1170)=1),1,0)</f>
        <v>0</v>
      </c>
      <c r="AW1170" s="21">
        <f t="shared" si="123"/>
        <v>0</v>
      </c>
      <c r="AX1170" s="21" t="str">
        <f t="shared" si="122"/>
        <v/>
      </c>
      <c r="AY1170" s="21" t="str">
        <f>IF(AND($AM1170&lt;&gt;"",$AS1170&lt;&gt;"✓"),SUMPRODUCT(($AM$11:$AM1170&lt;&gt;"")*($AS$11:$AS1170&lt;&gt;"✓")),"")</f>
        <v/>
      </c>
      <c r="AZ1170" s="21" t="str">
        <f>IF(AND($AM1170&lt;&gt;"",$AS1170="✓"),SUMPRODUCT(($AM$11:$AM1170&lt;&gt;"")*($AS$11:$AS1170="✓")),"")</f>
        <v/>
      </c>
      <c r="BA1170" s="21" t="str">
        <f>IF($AL1170="","",$AL1170&amp;"|"&amp;COUNTIF($AL$11:$AL1170,$AL1170))</f>
        <v/>
      </c>
    </row>
    <row r="1171" spans="38:53" ht="15" customHeight="1" x14ac:dyDescent="0.25">
      <c r="AL1171" s="17"/>
      <c r="AM1171" s="12"/>
      <c r="AN1171" s="18"/>
      <c r="AO1171" s="18"/>
      <c r="AP1171" s="10"/>
      <c r="AQ1171" s="10"/>
      <c r="AR1171" s="19"/>
      <c r="AS1171" s="20"/>
      <c r="AT1171" s="19"/>
      <c r="AV1171" s="21">
        <f>IF(AND($AL1171&lt;&gt;"",COUNTIF($AL$11:$AL1171,$AL1171)=1),1,0)</f>
        <v>0</v>
      </c>
      <c r="AW1171" s="21">
        <f t="shared" si="123"/>
        <v>0</v>
      </c>
      <c r="AX1171" s="21" t="str">
        <f t="shared" si="122"/>
        <v/>
      </c>
      <c r="AY1171" s="21" t="str">
        <f>IF(AND($AM1171&lt;&gt;"",$AS1171&lt;&gt;"✓"),SUMPRODUCT(($AM$11:$AM1171&lt;&gt;"")*($AS$11:$AS1171&lt;&gt;"✓")),"")</f>
        <v/>
      </c>
      <c r="AZ1171" s="21" t="str">
        <f>IF(AND($AM1171&lt;&gt;"",$AS1171="✓"),SUMPRODUCT(($AM$11:$AM1171&lt;&gt;"")*($AS$11:$AS1171="✓")),"")</f>
        <v/>
      </c>
      <c r="BA1171" s="21" t="str">
        <f>IF($AL1171="","",$AL1171&amp;"|"&amp;COUNTIF($AL$11:$AL1171,$AL1171))</f>
        <v/>
      </c>
    </row>
    <row r="1172" spans="38:53" ht="15" customHeight="1" x14ac:dyDescent="0.25">
      <c r="AL1172" s="31"/>
      <c r="AM1172" s="26"/>
      <c r="AN1172" s="32"/>
      <c r="AO1172" s="32"/>
      <c r="AP1172" s="24"/>
      <c r="AQ1172" s="24"/>
      <c r="AR1172" s="33"/>
      <c r="AS1172" s="34"/>
      <c r="AT1172" s="33"/>
      <c r="AV1172" s="21">
        <f>IF(AND($AL1172&lt;&gt;"",COUNTIF($AL$11:$AL1172,$AL1172)=1),1,0)</f>
        <v>0</v>
      </c>
      <c r="AW1172" s="21">
        <f t="shared" si="123"/>
        <v>0</v>
      </c>
      <c r="AX1172" s="21" t="str">
        <f t="shared" si="122"/>
        <v/>
      </c>
      <c r="AY1172" s="21" t="str">
        <f>IF(AND($AM1172&lt;&gt;"",$AS1172&lt;&gt;"✓"),SUMPRODUCT(($AM$11:$AM1172&lt;&gt;"")*($AS$11:$AS1172&lt;&gt;"✓")),"")</f>
        <v/>
      </c>
      <c r="AZ1172" s="21" t="str">
        <f>IF(AND($AM1172&lt;&gt;"",$AS1172="✓"),SUMPRODUCT(($AM$11:$AM1172&lt;&gt;"")*($AS$11:$AS1172="✓")),"")</f>
        <v/>
      </c>
      <c r="BA1172" s="21" t="str">
        <f>IF($AL1172="","",$AL1172&amp;"|"&amp;COUNTIF($AL$11:$AL1172,$AL1172))</f>
        <v/>
      </c>
    </row>
    <row r="1173" spans="38:53" ht="15" customHeight="1" x14ac:dyDescent="0.25">
      <c r="AL1173" s="17"/>
      <c r="AM1173" s="12"/>
      <c r="AN1173" s="18"/>
      <c r="AO1173" s="18"/>
      <c r="AP1173" s="10"/>
      <c r="AQ1173" s="10"/>
      <c r="AR1173" s="19"/>
      <c r="AS1173" s="20"/>
      <c r="AT1173" s="19"/>
      <c r="AV1173" s="21">
        <f>IF(AND($AL1173&lt;&gt;"",COUNTIF($AL$11:$AL1173,$AL1173)=1),1,0)</f>
        <v>0</v>
      </c>
      <c r="AW1173" s="21">
        <f t="shared" si="123"/>
        <v>0</v>
      </c>
      <c r="AX1173" s="21" t="str">
        <f t="shared" si="122"/>
        <v/>
      </c>
      <c r="AY1173" s="21" t="str">
        <f>IF(AND($AM1173&lt;&gt;"",$AS1173&lt;&gt;"✓"),SUMPRODUCT(($AM$11:$AM1173&lt;&gt;"")*($AS$11:$AS1173&lt;&gt;"✓")),"")</f>
        <v/>
      </c>
      <c r="AZ1173" s="21" t="str">
        <f>IF(AND($AM1173&lt;&gt;"",$AS1173="✓"),SUMPRODUCT(($AM$11:$AM1173&lt;&gt;"")*($AS$11:$AS1173="✓")),"")</f>
        <v/>
      </c>
      <c r="BA1173" s="21" t="str">
        <f>IF($AL1173="","",$AL1173&amp;"|"&amp;COUNTIF($AL$11:$AL1173,$AL1173))</f>
        <v/>
      </c>
    </row>
    <row r="1174" spans="38:53" ht="15" customHeight="1" x14ac:dyDescent="0.25">
      <c r="AL1174" s="31"/>
      <c r="AM1174" s="26"/>
      <c r="AN1174" s="32"/>
      <c r="AO1174" s="32"/>
      <c r="AP1174" s="24"/>
      <c r="AQ1174" s="24"/>
      <c r="AR1174" s="33"/>
      <c r="AS1174" s="34"/>
      <c r="AT1174" s="33"/>
      <c r="AV1174" s="21">
        <f>IF(AND($AL1174&lt;&gt;"",COUNTIF($AL$11:$AL1174,$AL1174)=1),1,0)</f>
        <v>0</v>
      </c>
      <c r="AW1174" s="21">
        <f t="shared" si="123"/>
        <v>0</v>
      </c>
      <c r="AX1174" s="21" t="str">
        <f t="shared" si="122"/>
        <v/>
      </c>
      <c r="AY1174" s="21" t="str">
        <f>IF(AND($AM1174&lt;&gt;"",$AS1174&lt;&gt;"✓"),SUMPRODUCT(($AM$11:$AM1174&lt;&gt;"")*($AS$11:$AS1174&lt;&gt;"✓")),"")</f>
        <v/>
      </c>
      <c r="AZ1174" s="21" t="str">
        <f>IF(AND($AM1174&lt;&gt;"",$AS1174="✓"),SUMPRODUCT(($AM$11:$AM1174&lt;&gt;"")*($AS$11:$AS1174="✓")),"")</f>
        <v/>
      </c>
      <c r="BA1174" s="21" t="str">
        <f>IF($AL1174="","",$AL1174&amp;"|"&amp;COUNTIF($AL$11:$AL1174,$AL1174))</f>
        <v/>
      </c>
    </row>
    <row r="1175" spans="38:53" ht="15" customHeight="1" x14ac:dyDescent="0.25">
      <c r="AL1175" s="17"/>
      <c r="AM1175" s="12"/>
      <c r="AN1175" s="18"/>
      <c r="AO1175" s="18"/>
      <c r="AP1175" s="10"/>
      <c r="AQ1175" s="10"/>
      <c r="AR1175" s="19"/>
      <c r="AS1175" s="20"/>
      <c r="AT1175" s="19"/>
      <c r="AV1175" s="21">
        <f>IF(AND($AL1175&lt;&gt;"",COUNTIF($AL$11:$AL1175,$AL1175)=1),1,0)</f>
        <v>0</v>
      </c>
      <c r="AW1175" s="21">
        <f t="shared" si="123"/>
        <v>0</v>
      </c>
      <c r="AX1175" s="21" t="str">
        <f t="shared" si="122"/>
        <v/>
      </c>
      <c r="AY1175" s="21" t="str">
        <f>IF(AND($AM1175&lt;&gt;"",$AS1175&lt;&gt;"✓"),SUMPRODUCT(($AM$11:$AM1175&lt;&gt;"")*($AS$11:$AS1175&lt;&gt;"✓")),"")</f>
        <v/>
      </c>
      <c r="AZ1175" s="21" t="str">
        <f>IF(AND($AM1175&lt;&gt;"",$AS1175="✓"),SUMPRODUCT(($AM$11:$AM1175&lt;&gt;"")*($AS$11:$AS1175="✓")),"")</f>
        <v/>
      </c>
      <c r="BA1175" s="21" t="str">
        <f>IF($AL1175="","",$AL1175&amp;"|"&amp;COUNTIF($AL$11:$AL1175,$AL1175))</f>
        <v/>
      </c>
    </row>
    <row r="1176" spans="38:53" ht="15" customHeight="1" x14ac:dyDescent="0.25">
      <c r="AL1176" s="31"/>
      <c r="AM1176" s="26"/>
      <c r="AN1176" s="32"/>
      <c r="AO1176" s="32"/>
      <c r="AP1176" s="24"/>
      <c r="AQ1176" s="24"/>
      <c r="AR1176" s="33"/>
      <c r="AS1176" s="34"/>
      <c r="AT1176" s="33"/>
      <c r="AV1176" s="21">
        <f>IF(AND($AL1176&lt;&gt;"",COUNTIF($AL$11:$AL1176,$AL1176)=1),1,0)</f>
        <v>0</v>
      </c>
      <c r="AW1176" s="21">
        <f t="shared" si="123"/>
        <v>0</v>
      </c>
      <c r="AX1176" s="21" t="str">
        <f t="shared" si="122"/>
        <v/>
      </c>
      <c r="AY1176" s="21" t="str">
        <f>IF(AND($AM1176&lt;&gt;"",$AS1176&lt;&gt;"✓"),SUMPRODUCT(($AM$11:$AM1176&lt;&gt;"")*($AS$11:$AS1176&lt;&gt;"✓")),"")</f>
        <v/>
      </c>
      <c r="AZ1176" s="21" t="str">
        <f>IF(AND($AM1176&lt;&gt;"",$AS1176="✓"),SUMPRODUCT(($AM$11:$AM1176&lt;&gt;"")*($AS$11:$AS1176="✓")),"")</f>
        <v/>
      </c>
      <c r="BA1176" s="21" t="str">
        <f>IF($AL1176="","",$AL1176&amp;"|"&amp;COUNTIF($AL$11:$AL1176,$AL1176))</f>
        <v/>
      </c>
    </row>
    <row r="1177" spans="38:53" ht="15" customHeight="1" x14ac:dyDescent="0.25">
      <c r="AL1177" s="17"/>
      <c r="AM1177" s="12"/>
      <c r="AN1177" s="18"/>
      <c r="AO1177" s="18"/>
      <c r="AP1177" s="10"/>
      <c r="AQ1177" s="10"/>
      <c r="AR1177" s="19"/>
      <c r="AS1177" s="20"/>
      <c r="AT1177" s="19"/>
      <c r="AV1177" s="21">
        <f>IF(AND($AL1177&lt;&gt;"",COUNTIF($AL$11:$AL1177,$AL1177)=1),1,0)</f>
        <v>0</v>
      </c>
      <c r="AW1177" s="21">
        <f t="shared" si="123"/>
        <v>0</v>
      </c>
      <c r="AX1177" s="21" t="str">
        <f t="shared" si="122"/>
        <v/>
      </c>
      <c r="AY1177" s="21" t="str">
        <f>IF(AND($AM1177&lt;&gt;"",$AS1177&lt;&gt;"✓"),SUMPRODUCT(($AM$11:$AM1177&lt;&gt;"")*($AS$11:$AS1177&lt;&gt;"✓")),"")</f>
        <v/>
      </c>
      <c r="AZ1177" s="21" t="str">
        <f>IF(AND($AM1177&lt;&gt;"",$AS1177="✓"),SUMPRODUCT(($AM$11:$AM1177&lt;&gt;"")*($AS$11:$AS1177="✓")),"")</f>
        <v/>
      </c>
      <c r="BA1177" s="21" t="str">
        <f>IF($AL1177="","",$AL1177&amp;"|"&amp;COUNTIF($AL$11:$AL1177,$AL1177))</f>
        <v/>
      </c>
    </row>
    <row r="1178" spans="38:53" ht="15" customHeight="1" x14ac:dyDescent="0.25">
      <c r="AL1178" s="31"/>
      <c r="AM1178" s="26"/>
      <c r="AN1178" s="32"/>
      <c r="AO1178" s="32"/>
      <c r="AP1178" s="24"/>
      <c r="AQ1178" s="24"/>
      <c r="AR1178" s="33"/>
      <c r="AS1178" s="34"/>
      <c r="AT1178" s="33"/>
      <c r="AV1178" s="21">
        <f>IF(AND($AL1178&lt;&gt;"",COUNTIF($AL$11:$AL1178,$AL1178)=1),1,0)</f>
        <v>0</v>
      </c>
      <c r="AW1178" s="21">
        <f t="shared" si="123"/>
        <v>0</v>
      </c>
      <c r="AX1178" s="21" t="str">
        <f t="shared" si="122"/>
        <v/>
      </c>
      <c r="AY1178" s="21" t="str">
        <f>IF(AND($AM1178&lt;&gt;"",$AS1178&lt;&gt;"✓"),SUMPRODUCT(($AM$11:$AM1178&lt;&gt;"")*($AS$11:$AS1178&lt;&gt;"✓")),"")</f>
        <v/>
      </c>
      <c r="AZ1178" s="21" t="str">
        <f>IF(AND($AM1178&lt;&gt;"",$AS1178="✓"),SUMPRODUCT(($AM$11:$AM1178&lt;&gt;"")*($AS$11:$AS1178="✓")),"")</f>
        <v/>
      </c>
      <c r="BA1178" s="21" t="str">
        <f>IF($AL1178="","",$AL1178&amp;"|"&amp;COUNTIF($AL$11:$AL1178,$AL1178))</f>
        <v/>
      </c>
    </row>
    <row r="1179" spans="38:53" ht="15" customHeight="1" x14ac:dyDescent="0.25">
      <c r="AL1179" s="17"/>
      <c r="AM1179" s="12"/>
      <c r="AN1179" s="18"/>
      <c r="AO1179" s="18"/>
      <c r="AP1179" s="10"/>
      <c r="AQ1179" s="10"/>
      <c r="AR1179" s="19"/>
      <c r="AS1179" s="20"/>
      <c r="AT1179" s="19"/>
      <c r="AV1179" s="21">
        <f>IF(AND($AL1179&lt;&gt;"",COUNTIF($AL$11:$AL1179,$AL1179)=1),1,0)</f>
        <v>0</v>
      </c>
      <c r="AW1179" s="21">
        <f t="shared" si="123"/>
        <v>0</v>
      </c>
      <c r="AX1179" s="21" t="str">
        <f t="shared" si="122"/>
        <v/>
      </c>
      <c r="AY1179" s="21" t="str">
        <f>IF(AND($AM1179&lt;&gt;"",$AS1179&lt;&gt;"✓"),SUMPRODUCT(($AM$11:$AM1179&lt;&gt;"")*($AS$11:$AS1179&lt;&gt;"✓")),"")</f>
        <v/>
      </c>
      <c r="AZ1179" s="21" t="str">
        <f>IF(AND($AM1179&lt;&gt;"",$AS1179="✓"),SUMPRODUCT(($AM$11:$AM1179&lt;&gt;"")*($AS$11:$AS1179="✓")),"")</f>
        <v/>
      </c>
      <c r="BA1179" s="21" t="str">
        <f>IF($AL1179="","",$AL1179&amp;"|"&amp;COUNTIF($AL$11:$AL1179,$AL1179))</f>
        <v/>
      </c>
    </row>
    <row r="1180" spans="38:53" ht="15" customHeight="1" x14ac:dyDescent="0.25">
      <c r="AL1180" s="31"/>
      <c r="AM1180" s="26"/>
      <c r="AN1180" s="32"/>
      <c r="AO1180" s="32"/>
      <c r="AP1180" s="24"/>
      <c r="AQ1180" s="24"/>
      <c r="AR1180" s="33"/>
      <c r="AS1180" s="34"/>
      <c r="AT1180" s="33"/>
      <c r="AV1180" s="21">
        <f>IF(AND($AL1180&lt;&gt;"",COUNTIF($AL$11:$AL1180,$AL1180)=1),1,0)</f>
        <v>0</v>
      </c>
      <c r="AW1180" s="21">
        <f t="shared" si="123"/>
        <v>0</v>
      </c>
      <c r="AX1180" s="21" t="str">
        <f t="shared" si="122"/>
        <v/>
      </c>
      <c r="AY1180" s="21" t="str">
        <f>IF(AND($AM1180&lt;&gt;"",$AS1180&lt;&gt;"✓"),SUMPRODUCT(($AM$11:$AM1180&lt;&gt;"")*($AS$11:$AS1180&lt;&gt;"✓")),"")</f>
        <v/>
      </c>
      <c r="AZ1180" s="21" t="str">
        <f>IF(AND($AM1180&lt;&gt;"",$AS1180="✓"),SUMPRODUCT(($AM$11:$AM1180&lt;&gt;"")*($AS$11:$AS1180="✓")),"")</f>
        <v/>
      </c>
      <c r="BA1180" s="21" t="str">
        <f>IF($AL1180="","",$AL1180&amp;"|"&amp;COUNTIF($AL$11:$AL1180,$AL1180))</f>
        <v/>
      </c>
    </row>
    <row r="1181" spans="38:53" ht="15" customHeight="1" x14ac:dyDescent="0.25">
      <c r="AL1181" s="17"/>
      <c r="AM1181" s="12"/>
      <c r="AN1181" s="18"/>
      <c r="AO1181" s="18"/>
      <c r="AP1181" s="10"/>
      <c r="AQ1181" s="10"/>
      <c r="AR1181" s="19"/>
      <c r="AS1181" s="20"/>
      <c r="AT1181" s="19"/>
      <c r="AV1181" s="21">
        <f>IF(AND($AL1181&lt;&gt;"",COUNTIF($AL$11:$AL1181,$AL1181)=1),1,0)</f>
        <v>0</v>
      </c>
      <c r="AW1181" s="21">
        <f t="shared" si="123"/>
        <v>0</v>
      </c>
      <c r="AX1181" s="21" t="str">
        <f t="shared" si="122"/>
        <v/>
      </c>
      <c r="AY1181" s="21" t="str">
        <f>IF(AND($AM1181&lt;&gt;"",$AS1181&lt;&gt;"✓"),SUMPRODUCT(($AM$11:$AM1181&lt;&gt;"")*($AS$11:$AS1181&lt;&gt;"✓")),"")</f>
        <v/>
      </c>
      <c r="AZ1181" s="21" t="str">
        <f>IF(AND($AM1181&lt;&gt;"",$AS1181="✓"),SUMPRODUCT(($AM$11:$AM1181&lt;&gt;"")*($AS$11:$AS1181="✓")),"")</f>
        <v/>
      </c>
      <c r="BA1181" s="21" t="str">
        <f>IF($AL1181="","",$AL1181&amp;"|"&amp;COUNTIF($AL$11:$AL1181,$AL1181))</f>
        <v/>
      </c>
    </row>
    <row r="1182" spans="38:53" ht="15" customHeight="1" x14ac:dyDescent="0.25">
      <c r="AL1182" s="31"/>
      <c r="AM1182" s="26"/>
      <c r="AN1182" s="32"/>
      <c r="AO1182" s="32"/>
      <c r="AP1182" s="24"/>
      <c r="AQ1182" s="24"/>
      <c r="AR1182" s="33"/>
      <c r="AS1182" s="34"/>
      <c r="AT1182" s="33"/>
      <c r="AV1182" s="21">
        <f>IF(AND($AL1182&lt;&gt;"",COUNTIF($AL$11:$AL1182,$AL1182)=1),1,0)</f>
        <v>0</v>
      </c>
      <c r="AW1182" s="21">
        <f t="shared" si="123"/>
        <v>0</v>
      </c>
      <c r="AX1182" s="21" t="str">
        <f t="shared" si="122"/>
        <v/>
      </c>
      <c r="AY1182" s="21" t="str">
        <f>IF(AND($AM1182&lt;&gt;"",$AS1182&lt;&gt;"✓"),SUMPRODUCT(($AM$11:$AM1182&lt;&gt;"")*($AS$11:$AS1182&lt;&gt;"✓")),"")</f>
        <v/>
      </c>
      <c r="AZ1182" s="21" t="str">
        <f>IF(AND($AM1182&lt;&gt;"",$AS1182="✓"),SUMPRODUCT(($AM$11:$AM1182&lt;&gt;"")*($AS$11:$AS1182="✓")),"")</f>
        <v/>
      </c>
      <c r="BA1182" s="21" t="str">
        <f>IF($AL1182="","",$AL1182&amp;"|"&amp;COUNTIF($AL$11:$AL1182,$AL1182))</f>
        <v/>
      </c>
    </row>
    <row r="1183" spans="38:53" ht="15" customHeight="1" x14ac:dyDescent="0.25">
      <c r="AL1183" s="17"/>
      <c r="AM1183" s="12"/>
      <c r="AN1183" s="18"/>
      <c r="AO1183" s="18"/>
      <c r="AP1183" s="10"/>
      <c r="AQ1183" s="10"/>
      <c r="AR1183" s="19"/>
      <c r="AS1183" s="20"/>
      <c r="AT1183" s="19"/>
      <c r="AV1183" s="21">
        <f>IF(AND($AL1183&lt;&gt;"",COUNTIF($AL$11:$AL1183,$AL1183)=1),1,0)</f>
        <v>0</v>
      </c>
      <c r="AW1183" s="21">
        <f t="shared" si="123"/>
        <v>0</v>
      </c>
      <c r="AX1183" s="21" t="str">
        <f t="shared" si="122"/>
        <v/>
      </c>
      <c r="AY1183" s="21" t="str">
        <f>IF(AND($AM1183&lt;&gt;"",$AS1183&lt;&gt;"✓"),SUMPRODUCT(($AM$11:$AM1183&lt;&gt;"")*($AS$11:$AS1183&lt;&gt;"✓")),"")</f>
        <v/>
      </c>
      <c r="AZ1183" s="21" t="str">
        <f>IF(AND($AM1183&lt;&gt;"",$AS1183="✓"),SUMPRODUCT(($AM$11:$AM1183&lt;&gt;"")*($AS$11:$AS1183="✓")),"")</f>
        <v/>
      </c>
      <c r="BA1183" s="21" t="str">
        <f>IF($AL1183="","",$AL1183&amp;"|"&amp;COUNTIF($AL$11:$AL1183,$AL1183))</f>
        <v/>
      </c>
    </row>
    <row r="1184" spans="38:53" ht="15" customHeight="1" x14ac:dyDescent="0.25">
      <c r="AL1184" s="31"/>
      <c r="AM1184" s="26"/>
      <c r="AN1184" s="32"/>
      <c r="AO1184" s="32"/>
      <c r="AP1184" s="24"/>
      <c r="AQ1184" s="24"/>
      <c r="AR1184" s="33"/>
      <c r="AS1184" s="34"/>
      <c r="AT1184" s="33"/>
      <c r="AV1184" s="21">
        <f>IF(AND($AL1184&lt;&gt;"",COUNTIF($AL$11:$AL1184,$AL1184)=1),1,0)</f>
        <v>0</v>
      </c>
      <c r="AW1184" s="21">
        <f t="shared" si="123"/>
        <v>0</v>
      </c>
      <c r="AX1184" s="21" t="str">
        <f t="shared" si="122"/>
        <v/>
      </c>
      <c r="AY1184" s="21" t="str">
        <f>IF(AND($AM1184&lt;&gt;"",$AS1184&lt;&gt;"✓"),SUMPRODUCT(($AM$11:$AM1184&lt;&gt;"")*($AS$11:$AS1184&lt;&gt;"✓")),"")</f>
        <v/>
      </c>
      <c r="AZ1184" s="21" t="str">
        <f>IF(AND($AM1184&lt;&gt;"",$AS1184="✓"),SUMPRODUCT(($AM$11:$AM1184&lt;&gt;"")*($AS$11:$AS1184="✓")),"")</f>
        <v/>
      </c>
      <c r="BA1184" s="21" t="str">
        <f>IF($AL1184="","",$AL1184&amp;"|"&amp;COUNTIF($AL$11:$AL1184,$AL1184))</f>
        <v/>
      </c>
    </row>
    <row r="1185" spans="38:53" ht="15" customHeight="1" x14ac:dyDescent="0.25">
      <c r="AL1185" s="17"/>
      <c r="AM1185" s="12"/>
      <c r="AN1185" s="18"/>
      <c r="AO1185" s="18"/>
      <c r="AP1185" s="10"/>
      <c r="AQ1185" s="10"/>
      <c r="AR1185" s="19"/>
      <c r="AS1185" s="20"/>
      <c r="AT1185" s="19"/>
      <c r="AV1185" s="21">
        <f>IF(AND($AL1185&lt;&gt;"",COUNTIF($AL$11:$AL1185,$AL1185)=1),1,0)</f>
        <v>0</v>
      </c>
      <c r="AW1185" s="21">
        <f t="shared" si="123"/>
        <v>0</v>
      </c>
      <c r="AX1185" s="21" t="str">
        <f t="shared" si="122"/>
        <v/>
      </c>
      <c r="AY1185" s="21" t="str">
        <f>IF(AND($AM1185&lt;&gt;"",$AS1185&lt;&gt;"✓"),SUMPRODUCT(($AM$11:$AM1185&lt;&gt;"")*($AS$11:$AS1185&lt;&gt;"✓")),"")</f>
        <v/>
      </c>
      <c r="AZ1185" s="21" t="str">
        <f>IF(AND($AM1185&lt;&gt;"",$AS1185="✓"),SUMPRODUCT(($AM$11:$AM1185&lt;&gt;"")*($AS$11:$AS1185="✓")),"")</f>
        <v/>
      </c>
      <c r="BA1185" s="21" t="str">
        <f>IF($AL1185="","",$AL1185&amp;"|"&amp;COUNTIF($AL$11:$AL1185,$AL1185))</f>
        <v/>
      </c>
    </row>
    <row r="1186" spans="38:53" ht="15" customHeight="1" x14ac:dyDescent="0.25">
      <c r="AL1186" s="31"/>
      <c r="AM1186" s="26"/>
      <c r="AN1186" s="32"/>
      <c r="AO1186" s="32"/>
      <c r="AP1186" s="24"/>
      <c r="AQ1186" s="24"/>
      <c r="AR1186" s="33"/>
      <c r="AS1186" s="34"/>
      <c r="AT1186" s="33"/>
      <c r="AV1186" s="21">
        <f>IF(AND($AL1186&lt;&gt;"",COUNTIF($AL$11:$AL1186,$AL1186)=1),1,0)</f>
        <v>0</v>
      </c>
      <c r="AW1186" s="21">
        <f t="shared" si="123"/>
        <v>0</v>
      </c>
      <c r="AX1186" s="21" t="str">
        <f t="shared" si="122"/>
        <v/>
      </c>
      <c r="AY1186" s="21" t="str">
        <f>IF(AND($AM1186&lt;&gt;"",$AS1186&lt;&gt;"✓"),SUMPRODUCT(($AM$11:$AM1186&lt;&gt;"")*($AS$11:$AS1186&lt;&gt;"✓")),"")</f>
        <v/>
      </c>
      <c r="AZ1186" s="21" t="str">
        <f>IF(AND($AM1186&lt;&gt;"",$AS1186="✓"),SUMPRODUCT(($AM$11:$AM1186&lt;&gt;"")*($AS$11:$AS1186="✓")),"")</f>
        <v/>
      </c>
      <c r="BA1186" s="21" t="str">
        <f>IF($AL1186="","",$AL1186&amp;"|"&amp;COUNTIF($AL$11:$AL1186,$AL1186))</f>
        <v/>
      </c>
    </row>
    <row r="1187" spans="38:53" ht="15" customHeight="1" x14ac:dyDescent="0.25">
      <c r="AL1187" s="17"/>
      <c r="AM1187" s="12"/>
      <c r="AN1187" s="18"/>
      <c r="AO1187" s="18"/>
      <c r="AP1187" s="10"/>
      <c r="AQ1187" s="10"/>
      <c r="AR1187" s="19"/>
      <c r="AS1187" s="20"/>
      <c r="AT1187" s="19"/>
      <c r="AV1187" s="21">
        <f>IF(AND($AL1187&lt;&gt;"",COUNTIF($AL$11:$AL1187,$AL1187)=1),1,0)</f>
        <v>0</v>
      </c>
      <c r="AW1187" s="21">
        <f t="shared" si="123"/>
        <v>0</v>
      </c>
      <c r="AX1187" s="21" t="str">
        <f t="shared" si="122"/>
        <v/>
      </c>
      <c r="AY1187" s="21" t="str">
        <f>IF(AND($AM1187&lt;&gt;"",$AS1187&lt;&gt;"✓"),SUMPRODUCT(($AM$11:$AM1187&lt;&gt;"")*($AS$11:$AS1187&lt;&gt;"✓")),"")</f>
        <v/>
      </c>
      <c r="AZ1187" s="21" t="str">
        <f>IF(AND($AM1187&lt;&gt;"",$AS1187="✓"),SUMPRODUCT(($AM$11:$AM1187&lt;&gt;"")*($AS$11:$AS1187="✓")),"")</f>
        <v/>
      </c>
      <c r="BA1187" s="21" t="str">
        <f>IF($AL1187="","",$AL1187&amp;"|"&amp;COUNTIF($AL$11:$AL1187,$AL1187))</f>
        <v/>
      </c>
    </row>
    <row r="1188" spans="38:53" ht="15" customHeight="1" x14ac:dyDescent="0.25">
      <c r="AL1188" s="31"/>
      <c r="AM1188" s="26"/>
      <c r="AN1188" s="32"/>
      <c r="AO1188" s="32"/>
      <c r="AP1188" s="24"/>
      <c r="AQ1188" s="24"/>
      <c r="AR1188" s="33"/>
      <c r="AS1188" s="34"/>
      <c r="AT1188" s="33"/>
      <c r="AV1188" s="21">
        <f>IF(AND($AL1188&lt;&gt;"",COUNTIF($AL$11:$AL1188,$AL1188)=1),1,0)</f>
        <v>0</v>
      </c>
      <c r="AW1188" s="21">
        <f t="shared" si="123"/>
        <v>0</v>
      </c>
      <c r="AX1188" s="21" t="str">
        <f t="shared" si="122"/>
        <v/>
      </c>
      <c r="AY1188" s="21" t="str">
        <f>IF(AND($AM1188&lt;&gt;"",$AS1188&lt;&gt;"✓"),SUMPRODUCT(($AM$11:$AM1188&lt;&gt;"")*($AS$11:$AS1188&lt;&gt;"✓")),"")</f>
        <v/>
      </c>
      <c r="AZ1188" s="21" t="str">
        <f>IF(AND($AM1188&lt;&gt;"",$AS1188="✓"),SUMPRODUCT(($AM$11:$AM1188&lt;&gt;"")*($AS$11:$AS1188="✓")),"")</f>
        <v/>
      </c>
      <c r="BA1188" s="21" t="str">
        <f>IF($AL1188="","",$AL1188&amp;"|"&amp;COUNTIF($AL$11:$AL1188,$AL1188))</f>
        <v/>
      </c>
    </row>
    <row r="1189" spans="38:53" ht="15" customHeight="1" x14ac:dyDescent="0.25">
      <c r="AL1189" s="17"/>
      <c r="AM1189" s="12"/>
      <c r="AN1189" s="18"/>
      <c r="AO1189" s="18"/>
      <c r="AP1189" s="10"/>
      <c r="AQ1189" s="10"/>
      <c r="AR1189" s="19"/>
      <c r="AS1189" s="20"/>
      <c r="AT1189" s="19"/>
      <c r="AV1189" s="21">
        <f>IF(AND($AL1189&lt;&gt;"",COUNTIF($AL$11:$AL1189,$AL1189)=1),1,0)</f>
        <v>0</v>
      </c>
      <c r="AW1189" s="21">
        <f t="shared" si="123"/>
        <v>0</v>
      </c>
      <c r="AX1189" s="21" t="str">
        <f t="shared" si="122"/>
        <v/>
      </c>
      <c r="AY1189" s="21" t="str">
        <f>IF(AND($AM1189&lt;&gt;"",$AS1189&lt;&gt;"✓"),SUMPRODUCT(($AM$11:$AM1189&lt;&gt;"")*($AS$11:$AS1189&lt;&gt;"✓")),"")</f>
        <v/>
      </c>
      <c r="AZ1189" s="21" t="str">
        <f>IF(AND($AM1189&lt;&gt;"",$AS1189="✓"),SUMPRODUCT(($AM$11:$AM1189&lt;&gt;"")*($AS$11:$AS1189="✓")),"")</f>
        <v/>
      </c>
      <c r="BA1189" s="21" t="str">
        <f>IF($AL1189="","",$AL1189&amp;"|"&amp;COUNTIF($AL$11:$AL1189,$AL1189))</f>
        <v/>
      </c>
    </row>
    <row r="1190" spans="38:53" ht="15" customHeight="1" x14ac:dyDescent="0.25">
      <c r="AL1190" s="31"/>
      <c r="AM1190" s="26"/>
      <c r="AN1190" s="32"/>
      <c r="AO1190" s="32"/>
      <c r="AP1190" s="24"/>
      <c r="AQ1190" s="24"/>
      <c r="AR1190" s="33"/>
      <c r="AS1190" s="34"/>
      <c r="AT1190" s="33"/>
      <c r="AV1190" s="21">
        <f>IF(AND($AL1190&lt;&gt;"",COUNTIF($AL$11:$AL1190,$AL1190)=1),1,0)</f>
        <v>0</v>
      </c>
      <c r="AW1190" s="21">
        <f t="shared" si="123"/>
        <v>0</v>
      </c>
      <c r="AX1190" s="21" t="str">
        <f t="shared" si="122"/>
        <v/>
      </c>
      <c r="AY1190" s="21" t="str">
        <f>IF(AND($AM1190&lt;&gt;"",$AS1190&lt;&gt;"✓"),SUMPRODUCT(($AM$11:$AM1190&lt;&gt;"")*($AS$11:$AS1190&lt;&gt;"✓")),"")</f>
        <v/>
      </c>
      <c r="AZ1190" s="21" t="str">
        <f>IF(AND($AM1190&lt;&gt;"",$AS1190="✓"),SUMPRODUCT(($AM$11:$AM1190&lt;&gt;"")*($AS$11:$AS1190="✓")),"")</f>
        <v/>
      </c>
      <c r="BA1190" s="21" t="str">
        <f>IF($AL1190="","",$AL1190&amp;"|"&amp;COUNTIF($AL$11:$AL1190,$AL1190))</f>
        <v/>
      </c>
    </row>
    <row r="1191" spans="38:53" ht="15" customHeight="1" x14ac:dyDescent="0.25">
      <c r="AL1191" s="17"/>
      <c r="AM1191" s="12"/>
      <c r="AN1191" s="18"/>
      <c r="AO1191" s="18"/>
      <c r="AP1191" s="10"/>
      <c r="AQ1191" s="10"/>
      <c r="AR1191" s="19"/>
      <c r="AS1191" s="20"/>
      <c r="AT1191" s="19"/>
      <c r="AV1191" s="21">
        <f>IF(AND($AL1191&lt;&gt;"",COUNTIF($AL$11:$AL1191,$AL1191)=1),1,0)</f>
        <v>0</v>
      </c>
      <c r="AW1191" s="21">
        <f t="shared" si="123"/>
        <v>0</v>
      </c>
      <c r="AX1191" s="21" t="str">
        <f t="shared" si="122"/>
        <v/>
      </c>
      <c r="AY1191" s="21" t="str">
        <f>IF(AND($AM1191&lt;&gt;"",$AS1191&lt;&gt;"✓"),SUMPRODUCT(($AM$11:$AM1191&lt;&gt;"")*($AS$11:$AS1191&lt;&gt;"✓")),"")</f>
        <v/>
      </c>
      <c r="AZ1191" s="21" t="str">
        <f>IF(AND($AM1191&lt;&gt;"",$AS1191="✓"),SUMPRODUCT(($AM$11:$AM1191&lt;&gt;"")*($AS$11:$AS1191="✓")),"")</f>
        <v/>
      </c>
      <c r="BA1191" s="21" t="str">
        <f>IF($AL1191="","",$AL1191&amp;"|"&amp;COUNTIF($AL$11:$AL1191,$AL1191))</f>
        <v/>
      </c>
    </row>
    <row r="1192" spans="38:53" ht="15" customHeight="1" x14ac:dyDescent="0.25">
      <c r="AL1192" s="31"/>
      <c r="AM1192" s="26"/>
      <c r="AN1192" s="32"/>
      <c r="AO1192" s="32"/>
      <c r="AP1192" s="24"/>
      <c r="AQ1192" s="24"/>
      <c r="AR1192" s="33"/>
      <c r="AS1192" s="34"/>
      <c r="AT1192" s="33"/>
      <c r="AV1192" s="21">
        <f>IF(AND($AL1192&lt;&gt;"",COUNTIF($AL$11:$AL1192,$AL1192)=1),1,0)</f>
        <v>0</v>
      </c>
      <c r="AW1192" s="21">
        <f t="shared" si="123"/>
        <v>0</v>
      </c>
      <c r="AX1192" s="21" t="str">
        <f t="shared" si="122"/>
        <v/>
      </c>
      <c r="AY1192" s="21" t="str">
        <f>IF(AND($AM1192&lt;&gt;"",$AS1192&lt;&gt;"✓"),SUMPRODUCT(($AM$11:$AM1192&lt;&gt;"")*($AS$11:$AS1192&lt;&gt;"✓")),"")</f>
        <v/>
      </c>
      <c r="AZ1192" s="21" t="str">
        <f>IF(AND($AM1192&lt;&gt;"",$AS1192="✓"),SUMPRODUCT(($AM$11:$AM1192&lt;&gt;"")*($AS$11:$AS1192="✓")),"")</f>
        <v/>
      </c>
      <c r="BA1192" s="21" t="str">
        <f>IF($AL1192="","",$AL1192&amp;"|"&amp;COUNTIF($AL$11:$AL1192,$AL1192))</f>
        <v/>
      </c>
    </row>
    <row r="1193" spans="38:53" ht="15" customHeight="1" x14ac:dyDescent="0.25">
      <c r="AL1193" s="17"/>
      <c r="AM1193" s="12"/>
      <c r="AN1193" s="18"/>
      <c r="AO1193" s="18"/>
      <c r="AP1193" s="10"/>
      <c r="AQ1193" s="10"/>
      <c r="AR1193" s="19"/>
      <c r="AS1193" s="20"/>
      <c r="AT1193" s="19"/>
      <c r="AV1193" s="21">
        <f>IF(AND($AL1193&lt;&gt;"",COUNTIF($AL$11:$AL1193,$AL1193)=1),1,0)</f>
        <v>0</v>
      </c>
      <c r="AW1193" s="21">
        <f t="shared" si="123"/>
        <v>0</v>
      </c>
      <c r="AX1193" s="21" t="str">
        <f t="shared" si="122"/>
        <v/>
      </c>
      <c r="AY1193" s="21" t="str">
        <f>IF(AND($AM1193&lt;&gt;"",$AS1193&lt;&gt;"✓"),SUMPRODUCT(($AM$11:$AM1193&lt;&gt;"")*($AS$11:$AS1193&lt;&gt;"✓")),"")</f>
        <v/>
      </c>
      <c r="AZ1193" s="21" t="str">
        <f>IF(AND($AM1193&lt;&gt;"",$AS1193="✓"),SUMPRODUCT(($AM$11:$AM1193&lt;&gt;"")*($AS$11:$AS1193="✓")),"")</f>
        <v/>
      </c>
      <c r="BA1193" s="21" t="str">
        <f>IF($AL1193="","",$AL1193&amp;"|"&amp;COUNTIF($AL$11:$AL1193,$AL1193))</f>
        <v/>
      </c>
    </row>
    <row r="1194" spans="38:53" ht="15" customHeight="1" x14ac:dyDescent="0.25">
      <c r="AL1194" s="31"/>
      <c r="AM1194" s="26"/>
      <c r="AN1194" s="32"/>
      <c r="AO1194" s="32"/>
      <c r="AP1194" s="24"/>
      <c r="AQ1194" s="24"/>
      <c r="AR1194" s="33"/>
      <c r="AS1194" s="34"/>
      <c r="AT1194" s="33"/>
      <c r="AV1194" s="21">
        <f>IF(AND($AL1194&lt;&gt;"",COUNTIF($AL$11:$AL1194,$AL1194)=1),1,0)</f>
        <v>0</v>
      </c>
      <c r="AW1194" s="21">
        <f t="shared" si="123"/>
        <v>0</v>
      </c>
      <c r="AX1194" s="21" t="str">
        <f t="shared" si="122"/>
        <v/>
      </c>
      <c r="AY1194" s="21" t="str">
        <f>IF(AND($AM1194&lt;&gt;"",$AS1194&lt;&gt;"✓"),SUMPRODUCT(($AM$11:$AM1194&lt;&gt;"")*($AS$11:$AS1194&lt;&gt;"✓")),"")</f>
        <v/>
      </c>
      <c r="AZ1194" s="21" t="str">
        <f>IF(AND($AM1194&lt;&gt;"",$AS1194="✓"),SUMPRODUCT(($AM$11:$AM1194&lt;&gt;"")*($AS$11:$AS1194="✓")),"")</f>
        <v/>
      </c>
      <c r="BA1194" s="21" t="str">
        <f>IF($AL1194="","",$AL1194&amp;"|"&amp;COUNTIF($AL$11:$AL1194,$AL1194))</f>
        <v/>
      </c>
    </row>
    <row r="1195" spans="38:53" ht="15" customHeight="1" x14ac:dyDescent="0.25">
      <c r="AL1195" s="17"/>
      <c r="AM1195" s="12"/>
      <c r="AN1195" s="18"/>
      <c r="AO1195" s="18"/>
      <c r="AP1195" s="10"/>
      <c r="AQ1195" s="10"/>
      <c r="AR1195" s="19"/>
      <c r="AS1195" s="20"/>
      <c r="AT1195" s="19"/>
      <c r="AV1195" s="21">
        <f>IF(AND($AL1195&lt;&gt;"",COUNTIF($AL$11:$AL1195,$AL1195)=1),1,0)</f>
        <v>0</v>
      </c>
      <c r="AW1195" s="21">
        <f t="shared" si="123"/>
        <v>0</v>
      </c>
      <c r="AX1195" s="21" t="str">
        <f t="shared" si="122"/>
        <v/>
      </c>
      <c r="AY1195" s="21" t="str">
        <f>IF(AND($AM1195&lt;&gt;"",$AS1195&lt;&gt;"✓"),SUMPRODUCT(($AM$11:$AM1195&lt;&gt;"")*($AS$11:$AS1195&lt;&gt;"✓")),"")</f>
        <v/>
      </c>
      <c r="AZ1195" s="21" t="str">
        <f>IF(AND($AM1195&lt;&gt;"",$AS1195="✓"),SUMPRODUCT(($AM$11:$AM1195&lt;&gt;"")*($AS$11:$AS1195="✓")),"")</f>
        <v/>
      </c>
      <c r="BA1195" s="21" t="str">
        <f>IF($AL1195="","",$AL1195&amp;"|"&amp;COUNTIF($AL$11:$AL1195,$AL1195))</f>
        <v/>
      </c>
    </row>
    <row r="1196" spans="38:53" ht="15" customHeight="1" x14ac:dyDescent="0.25">
      <c r="AL1196" s="31"/>
      <c r="AM1196" s="26"/>
      <c r="AN1196" s="32"/>
      <c r="AO1196" s="32"/>
      <c r="AP1196" s="24"/>
      <c r="AQ1196" s="24"/>
      <c r="AR1196" s="33"/>
      <c r="AS1196" s="34"/>
      <c r="AT1196" s="33"/>
      <c r="AV1196" s="21">
        <f>IF(AND($AL1196&lt;&gt;"",COUNTIF($AL$11:$AL1196,$AL1196)=1),1,0)</f>
        <v>0</v>
      </c>
      <c r="AW1196" s="21">
        <f t="shared" si="123"/>
        <v>0</v>
      </c>
      <c r="AX1196" s="21" t="str">
        <f t="shared" si="122"/>
        <v/>
      </c>
      <c r="AY1196" s="21" t="str">
        <f>IF(AND($AM1196&lt;&gt;"",$AS1196&lt;&gt;"✓"),SUMPRODUCT(($AM$11:$AM1196&lt;&gt;"")*($AS$11:$AS1196&lt;&gt;"✓")),"")</f>
        <v/>
      </c>
      <c r="AZ1196" s="21" t="str">
        <f>IF(AND($AM1196&lt;&gt;"",$AS1196="✓"),SUMPRODUCT(($AM$11:$AM1196&lt;&gt;"")*($AS$11:$AS1196="✓")),"")</f>
        <v/>
      </c>
      <c r="BA1196" s="21" t="str">
        <f>IF($AL1196="","",$AL1196&amp;"|"&amp;COUNTIF($AL$11:$AL1196,$AL1196))</f>
        <v/>
      </c>
    </row>
    <row r="1197" spans="38:53" ht="15" customHeight="1" x14ac:dyDescent="0.25">
      <c r="AL1197" s="17"/>
      <c r="AM1197" s="12"/>
      <c r="AN1197" s="18"/>
      <c r="AO1197" s="18"/>
      <c r="AP1197" s="10"/>
      <c r="AQ1197" s="10"/>
      <c r="AR1197" s="19"/>
      <c r="AS1197" s="20"/>
      <c r="AT1197" s="19"/>
      <c r="AV1197" s="21">
        <f>IF(AND($AL1197&lt;&gt;"",COUNTIF($AL$11:$AL1197,$AL1197)=1),1,0)</f>
        <v>0</v>
      </c>
      <c r="AW1197" s="21">
        <f t="shared" si="123"/>
        <v>0</v>
      </c>
      <c r="AX1197" s="21" t="str">
        <f t="shared" si="122"/>
        <v/>
      </c>
      <c r="AY1197" s="21" t="str">
        <f>IF(AND($AM1197&lt;&gt;"",$AS1197&lt;&gt;"✓"),SUMPRODUCT(($AM$11:$AM1197&lt;&gt;"")*($AS$11:$AS1197&lt;&gt;"✓")),"")</f>
        <v/>
      </c>
      <c r="AZ1197" s="21" t="str">
        <f>IF(AND($AM1197&lt;&gt;"",$AS1197="✓"),SUMPRODUCT(($AM$11:$AM1197&lt;&gt;"")*($AS$11:$AS1197="✓")),"")</f>
        <v/>
      </c>
      <c r="BA1197" s="21" t="str">
        <f>IF($AL1197="","",$AL1197&amp;"|"&amp;COUNTIF($AL$11:$AL1197,$AL1197))</f>
        <v/>
      </c>
    </row>
    <row r="1198" spans="38:53" ht="15" customHeight="1" x14ac:dyDescent="0.25">
      <c r="AL1198" s="31"/>
      <c r="AM1198" s="26"/>
      <c r="AN1198" s="32"/>
      <c r="AO1198" s="32"/>
      <c r="AP1198" s="24"/>
      <c r="AQ1198" s="24"/>
      <c r="AR1198" s="33"/>
      <c r="AS1198" s="34"/>
      <c r="AT1198" s="33"/>
      <c r="AV1198" s="21">
        <f>IF(AND($AL1198&lt;&gt;"",COUNTIF($AL$11:$AL1198,$AL1198)=1),1,0)</f>
        <v>0</v>
      </c>
      <c r="AW1198" s="21">
        <f t="shared" si="123"/>
        <v>0</v>
      </c>
      <c r="AX1198" s="21" t="str">
        <f t="shared" si="122"/>
        <v/>
      </c>
      <c r="AY1198" s="21" t="str">
        <f>IF(AND($AM1198&lt;&gt;"",$AS1198&lt;&gt;"✓"),SUMPRODUCT(($AM$11:$AM1198&lt;&gt;"")*($AS$11:$AS1198&lt;&gt;"✓")),"")</f>
        <v/>
      </c>
      <c r="AZ1198" s="21" t="str">
        <f>IF(AND($AM1198&lt;&gt;"",$AS1198="✓"),SUMPRODUCT(($AM$11:$AM1198&lt;&gt;"")*($AS$11:$AS1198="✓")),"")</f>
        <v/>
      </c>
      <c r="BA1198" s="21" t="str">
        <f>IF($AL1198="","",$AL1198&amp;"|"&amp;COUNTIF($AL$11:$AL1198,$AL1198))</f>
        <v/>
      </c>
    </row>
    <row r="1199" spans="38:53" ht="15" customHeight="1" x14ac:dyDescent="0.25">
      <c r="AL1199" s="17"/>
      <c r="AM1199" s="12"/>
      <c r="AN1199" s="18"/>
      <c r="AO1199" s="18"/>
      <c r="AP1199" s="10"/>
      <c r="AQ1199" s="10"/>
      <c r="AR1199" s="19"/>
      <c r="AS1199" s="20"/>
      <c r="AT1199" s="19"/>
      <c r="AV1199" s="21">
        <f>IF(AND($AL1199&lt;&gt;"",COUNTIF($AL$11:$AL1199,$AL1199)=1),1,0)</f>
        <v>0</v>
      </c>
      <c r="AW1199" s="21">
        <f t="shared" si="123"/>
        <v>0</v>
      </c>
      <c r="AX1199" s="21" t="str">
        <f t="shared" si="122"/>
        <v/>
      </c>
      <c r="AY1199" s="21" t="str">
        <f>IF(AND($AM1199&lt;&gt;"",$AS1199&lt;&gt;"✓"),SUMPRODUCT(($AM$11:$AM1199&lt;&gt;"")*($AS$11:$AS1199&lt;&gt;"✓")),"")</f>
        <v/>
      </c>
      <c r="AZ1199" s="21" t="str">
        <f>IF(AND($AM1199&lt;&gt;"",$AS1199="✓"),SUMPRODUCT(($AM$11:$AM1199&lt;&gt;"")*($AS$11:$AS1199="✓")),"")</f>
        <v/>
      </c>
      <c r="BA1199" s="21" t="str">
        <f>IF($AL1199="","",$AL1199&amp;"|"&amp;COUNTIF($AL$11:$AL1199,$AL1199))</f>
        <v/>
      </c>
    </row>
    <row r="1200" spans="38:53" ht="15" customHeight="1" x14ac:dyDescent="0.25">
      <c r="AL1200" s="31"/>
      <c r="AM1200" s="26"/>
      <c r="AN1200" s="32"/>
      <c r="AO1200" s="32"/>
      <c r="AP1200" s="24"/>
      <c r="AQ1200" s="24"/>
      <c r="AR1200" s="33"/>
      <c r="AS1200" s="34"/>
      <c r="AT1200" s="33"/>
      <c r="AV1200" s="21">
        <f>IF(AND($AL1200&lt;&gt;"",COUNTIF($AL$11:$AL1200,$AL1200)=1),1,0)</f>
        <v>0</v>
      </c>
      <c r="AW1200" s="21">
        <f t="shared" si="123"/>
        <v>0</v>
      </c>
      <c r="AX1200" s="21" t="str">
        <f t="shared" si="122"/>
        <v/>
      </c>
      <c r="AY1200" s="21" t="str">
        <f>IF(AND($AM1200&lt;&gt;"",$AS1200&lt;&gt;"✓"),SUMPRODUCT(($AM$11:$AM1200&lt;&gt;"")*($AS$11:$AS1200&lt;&gt;"✓")),"")</f>
        <v/>
      </c>
      <c r="AZ1200" s="21" t="str">
        <f>IF(AND($AM1200&lt;&gt;"",$AS1200="✓"),SUMPRODUCT(($AM$11:$AM1200&lt;&gt;"")*($AS$11:$AS1200="✓")),"")</f>
        <v/>
      </c>
      <c r="BA1200" s="21" t="str">
        <f>IF($AL1200="","",$AL1200&amp;"|"&amp;COUNTIF($AL$11:$AL1200,$AL1200))</f>
        <v/>
      </c>
    </row>
    <row r="1201" spans="38:53" ht="15" customHeight="1" x14ac:dyDescent="0.25">
      <c r="AL1201" s="17"/>
      <c r="AM1201" s="12"/>
      <c r="AN1201" s="18"/>
      <c r="AO1201" s="18"/>
      <c r="AP1201" s="10"/>
      <c r="AQ1201" s="10"/>
      <c r="AR1201" s="19"/>
      <c r="AS1201" s="20"/>
      <c r="AT1201" s="19"/>
      <c r="AV1201" s="21">
        <f>IF(AND($AL1201&lt;&gt;"",COUNTIF($AL$11:$AL1201,$AL1201)=1),1,0)</f>
        <v>0</v>
      </c>
      <c r="AW1201" s="21">
        <f t="shared" si="123"/>
        <v>0</v>
      </c>
      <c r="AX1201" s="21" t="str">
        <f t="shared" si="122"/>
        <v/>
      </c>
      <c r="AY1201" s="21" t="str">
        <f>IF(AND($AM1201&lt;&gt;"",$AS1201&lt;&gt;"✓"),SUMPRODUCT(($AM$11:$AM1201&lt;&gt;"")*($AS$11:$AS1201&lt;&gt;"✓")),"")</f>
        <v/>
      </c>
      <c r="AZ1201" s="21" t="str">
        <f>IF(AND($AM1201&lt;&gt;"",$AS1201="✓"),SUMPRODUCT(($AM$11:$AM1201&lt;&gt;"")*($AS$11:$AS1201="✓")),"")</f>
        <v/>
      </c>
      <c r="BA1201" s="21" t="str">
        <f>IF($AL1201="","",$AL1201&amp;"|"&amp;COUNTIF($AL$11:$AL1201,$AL1201))</f>
        <v/>
      </c>
    </row>
    <row r="1202" spans="38:53" ht="15" customHeight="1" x14ac:dyDescent="0.25">
      <c r="AL1202" s="31"/>
      <c r="AM1202" s="26"/>
      <c r="AN1202" s="32"/>
      <c r="AO1202" s="32"/>
      <c r="AP1202" s="24"/>
      <c r="AQ1202" s="24"/>
      <c r="AR1202" s="33"/>
      <c r="AS1202" s="34"/>
      <c r="AT1202" s="33"/>
      <c r="AV1202" s="21">
        <f>IF(AND($AL1202&lt;&gt;"",COUNTIF($AL$11:$AL1202,$AL1202)=1),1,0)</f>
        <v>0</v>
      </c>
      <c r="AW1202" s="21">
        <f t="shared" si="123"/>
        <v>0</v>
      </c>
      <c r="AX1202" s="21" t="str">
        <f t="shared" si="122"/>
        <v/>
      </c>
      <c r="AY1202" s="21" t="str">
        <f>IF(AND($AM1202&lt;&gt;"",$AS1202&lt;&gt;"✓"),SUMPRODUCT(($AM$11:$AM1202&lt;&gt;"")*($AS$11:$AS1202&lt;&gt;"✓")),"")</f>
        <v/>
      </c>
      <c r="AZ1202" s="21" t="str">
        <f>IF(AND($AM1202&lt;&gt;"",$AS1202="✓"),SUMPRODUCT(($AM$11:$AM1202&lt;&gt;"")*($AS$11:$AS1202="✓")),"")</f>
        <v/>
      </c>
      <c r="BA1202" s="21" t="str">
        <f>IF($AL1202="","",$AL1202&amp;"|"&amp;COUNTIF($AL$11:$AL1202,$AL1202))</f>
        <v/>
      </c>
    </row>
    <row r="1203" spans="38:53" ht="15" customHeight="1" x14ac:dyDescent="0.25">
      <c r="AL1203" s="17"/>
      <c r="AM1203" s="12"/>
      <c r="AN1203" s="18"/>
      <c r="AO1203" s="18"/>
      <c r="AP1203" s="10"/>
      <c r="AQ1203" s="10"/>
      <c r="AR1203" s="19"/>
      <c r="AS1203" s="20"/>
      <c r="AT1203" s="19"/>
      <c r="AV1203" s="21">
        <f>IF(AND($AL1203&lt;&gt;"",COUNTIF($AL$11:$AL1203,$AL1203)=1),1,0)</f>
        <v>0</v>
      </c>
      <c r="AW1203" s="21">
        <f t="shared" si="123"/>
        <v>0</v>
      </c>
      <c r="AX1203" s="21" t="str">
        <f t="shared" si="122"/>
        <v/>
      </c>
      <c r="AY1203" s="21" t="str">
        <f>IF(AND($AM1203&lt;&gt;"",$AS1203&lt;&gt;"✓"),SUMPRODUCT(($AM$11:$AM1203&lt;&gt;"")*($AS$11:$AS1203&lt;&gt;"✓")),"")</f>
        <v/>
      </c>
      <c r="AZ1203" s="21" t="str">
        <f>IF(AND($AM1203&lt;&gt;"",$AS1203="✓"),SUMPRODUCT(($AM$11:$AM1203&lt;&gt;"")*($AS$11:$AS1203="✓")),"")</f>
        <v/>
      </c>
      <c r="BA1203" s="21" t="str">
        <f>IF($AL1203="","",$AL1203&amp;"|"&amp;COUNTIF($AL$11:$AL1203,$AL1203))</f>
        <v/>
      </c>
    </row>
    <row r="1204" spans="38:53" ht="15" customHeight="1" x14ac:dyDescent="0.25">
      <c r="AL1204" s="31"/>
      <c r="AM1204" s="26"/>
      <c r="AN1204" s="32"/>
      <c r="AO1204" s="32"/>
      <c r="AP1204" s="24"/>
      <c r="AQ1204" s="24"/>
      <c r="AR1204" s="33"/>
      <c r="AS1204" s="34"/>
      <c r="AT1204" s="33"/>
      <c r="AV1204" s="21">
        <f>IF(AND($AL1204&lt;&gt;"",COUNTIF($AL$11:$AL1204,$AL1204)=1),1,0)</f>
        <v>0</v>
      </c>
      <c r="AW1204" s="21">
        <f t="shared" si="123"/>
        <v>0</v>
      </c>
      <c r="AX1204" s="21" t="str">
        <f t="shared" si="122"/>
        <v/>
      </c>
      <c r="AY1204" s="21" t="str">
        <f>IF(AND($AM1204&lt;&gt;"",$AS1204&lt;&gt;"✓"),SUMPRODUCT(($AM$11:$AM1204&lt;&gt;"")*($AS$11:$AS1204&lt;&gt;"✓")),"")</f>
        <v/>
      </c>
      <c r="AZ1204" s="21" t="str">
        <f>IF(AND($AM1204&lt;&gt;"",$AS1204="✓"),SUMPRODUCT(($AM$11:$AM1204&lt;&gt;"")*($AS$11:$AS1204="✓")),"")</f>
        <v/>
      </c>
      <c r="BA1204" s="21" t="str">
        <f>IF($AL1204="","",$AL1204&amp;"|"&amp;COUNTIF($AL$11:$AL1204,$AL1204))</f>
        <v/>
      </c>
    </row>
    <row r="1205" spans="38:53" ht="15" customHeight="1" x14ac:dyDescent="0.25">
      <c r="AL1205" s="17"/>
      <c r="AM1205" s="12"/>
      <c r="AN1205" s="18"/>
      <c r="AO1205" s="18"/>
      <c r="AP1205" s="10"/>
      <c r="AQ1205" s="10"/>
      <c r="AR1205" s="19"/>
      <c r="AS1205" s="20"/>
      <c r="AT1205" s="19"/>
      <c r="AV1205" s="21">
        <f>IF(AND($AL1205&lt;&gt;"",COUNTIF($AL$11:$AL1205,$AL1205)=1),1,0)</f>
        <v>0</v>
      </c>
      <c r="AW1205" s="21">
        <f t="shared" si="123"/>
        <v>0</v>
      </c>
      <c r="AX1205" s="21" t="str">
        <f t="shared" si="122"/>
        <v/>
      </c>
      <c r="AY1205" s="21" t="str">
        <f>IF(AND($AM1205&lt;&gt;"",$AS1205&lt;&gt;"✓"),SUMPRODUCT(($AM$11:$AM1205&lt;&gt;"")*($AS$11:$AS1205&lt;&gt;"✓")),"")</f>
        <v/>
      </c>
      <c r="AZ1205" s="21" t="str">
        <f>IF(AND($AM1205&lt;&gt;"",$AS1205="✓"),SUMPRODUCT(($AM$11:$AM1205&lt;&gt;"")*($AS$11:$AS1205="✓")),"")</f>
        <v/>
      </c>
      <c r="BA1205" s="21" t="str">
        <f>IF($AL1205="","",$AL1205&amp;"|"&amp;COUNTIF($AL$11:$AL1205,$AL1205))</f>
        <v/>
      </c>
    </row>
    <row r="1206" spans="38:53" ht="15" customHeight="1" x14ac:dyDescent="0.25">
      <c r="AL1206" s="31"/>
      <c r="AM1206" s="26"/>
      <c r="AN1206" s="32"/>
      <c r="AO1206" s="32"/>
      <c r="AP1206" s="24"/>
      <c r="AQ1206" s="24"/>
      <c r="AR1206" s="33"/>
      <c r="AS1206" s="34"/>
      <c r="AT1206" s="33"/>
      <c r="AV1206" s="21">
        <f>IF(AND($AL1206&lt;&gt;"",COUNTIF($AL$11:$AL1206,$AL1206)=1),1,0)</f>
        <v>0</v>
      </c>
      <c r="AW1206" s="21">
        <f t="shared" si="123"/>
        <v>0</v>
      </c>
      <c r="AX1206" s="21" t="str">
        <f t="shared" si="122"/>
        <v/>
      </c>
      <c r="AY1206" s="21" t="str">
        <f>IF(AND($AM1206&lt;&gt;"",$AS1206&lt;&gt;"✓"),SUMPRODUCT(($AM$11:$AM1206&lt;&gt;"")*($AS$11:$AS1206&lt;&gt;"✓")),"")</f>
        <v/>
      </c>
      <c r="AZ1206" s="21" t="str">
        <f>IF(AND($AM1206&lt;&gt;"",$AS1206="✓"),SUMPRODUCT(($AM$11:$AM1206&lt;&gt;"")*($AS$11:$AS1206="✓")),"")</f>
        <v/>
      </c>
      <c r="BA1206" s="21" t="str">
        <f>IF($AL1206="","",$AL1206&amp;"|"&amp;COUNTIF($AL$11:$AL1206,$AL1206))</f>
        <v/>
      </c>
    </row>
    <row r="1207" spans="38:53" ht="15" customHeight="1" x14ac:dyDescent="0.25">
      <c r="AL1207" s="17"/>
      <c r="AM1207" s="12"/>
      <c r="AN1207" s="18"/>
      <c r="AO1207" s="18"/>
      <c r="AP1207" s="10"/>
      <c r="AQ1207" s="10"/>
      <c r="AR1207" s="19"/>
      <c r="AS1207" s="20"/>
      <c r="AT1207" s="19"/>
      <c r="AV1207" s="21">
        <f>IF(AND($AL1207&lt;&gt;"",COUNTIF($AL$11:$AL1207,$AL1207)=1),1,0)</f>
        <v>0</v>
      </c>
      <c r="AW1207" s="21">
        <f t="shared" si="123"/>
        <v>0</v>
      </c>
      <c r="AX1207" s="21" t="str">
        <f t="shared" si="122"/>
        <v/>
      </c>
      <c r="AY1207" s="21" t="str">
        <f>IF(AND($AM1207&lt;&gt;"",$AS1207&lt;&gt;"✓"),SUMPRODUCT(($AM$11:$AM1207&lt;&gt;"")*($AS$11:$AS1207&lt;&gt;"✓")),"")</f>
        <v/>
      </c>
      <c r="AZ1207" s="21" t="str">
        <f>IF(AND($AM1207&lt;&gt;"",$AS1207="✓"),SUMPRODUCT(($AM$11:$AM1207&lt;&gt;"")*($AS$11:$AS1207="✓")),"")</f>
        <v/>
      </c>
      <c r="BA1207" s="21" t="str">
        <f>IF($AL1207="","",$AL1207&amp;"|"&amp;COUNTIF($AL$11:$AL1207,$AL1207))</f>
        <v/>
      </c>
    </row>
    <row r="1208" spans="38:53" ht="15" customHeight="1" x14ac:dyDescent="0.25">
      <c r="AL1208" s="31"/>
      <c r="AM1208" s="26"/>
      <c r="AN1208" s="32"/>
      <c r="AO1208" s="32"/>
      <c r="AP1208" s="24"/>
      <c r="AQ1208" s="24"/>
      <c r="AR1208" s="33"/>
      <c r="AS1208" s="34"/>
      <c r="AT1208" s="33"/>
      <c r="AV1208" s="21">
        <f>IF(AND($AL1208&lt;&gt;"",COUNTIF($AL$11:$AL1208,$AL1208)=1),1,0)</f>
        <v>0</v>
      </c>
      <c r="AW1208" s="21">
        <f t="shared" si="123"/>
        <v>0</v>
      </c>
      <c r="AX1208" s="21" t="str">
        <f t="shared" si="122"/>
        <v/>
      </c>
      <c r="AY1208" s="21" t="str">
        <f>IF(AND($AM1208&lt;&gt;"",$AS1208&lt;&gt;"✓"),SUMPRODUCT(($AM$11:$AM1208&lt;&gt;"")*($AS$11:$AS1208&lt;&gt;"✓")),"")</f>
        <v/>
      </c>
      <c r="AZ1208" s="21" t="str">
        <f>IF(AND($AM1208&lt;&gt;"",$AS1208="✓"),SUMPRODUCT(($AM$11:$AM1208&lt;&gt;"")*($AS$11:$AS1208="✓")),"")</f>
        <v/>
      </c>
      <c r="BA1208" s="21" t="str">
        <f>IF($AL1208="","",$AL1208&amp;"|"&amp;COUNTIF($AL$11:$AL1208,$AL1208))</f>
        <v/>
      </c>
    </row>
    <row r="1209" spans="38:53" ht="15" customHeight="1" x14ac:dyDescent="0.25">
      <c r="AL1209" s="17"/>
      <c r="AM1209" s="12"/>
      <c r="AN1209" s="18"/>
      <c r="AO1209" s="18"/>
      <c r="AP1209" s="10"/>
      <c r="AQ1209" s="10"/>
      <c r="AR1209" s="19"/>
      <c r="AS1209" s="20"/>
      <c r="AT1209" s="19"/>
      <c r="AV1209" s="21">
        <f>IF(AND($AL1209&lt;&gt;"",COUNTIF($AL$11:$AL1209,$AL1209)=1),1,0)</f>
        <v>0</v>
      </c>
      <c r="AW1209" s="21">
        <f t="shared" si="123"/>
        <v>0</v>
      </c>
      <c r="AX1209" s="21" t="str">
        <f t="shared" si="122"/>
        <v/>
      </c>
      <c r="AY1209" s="21" t="str">
        <f>IF(AND($AM1209&lt;&gt;"",$AS1209&lt;&gt;"✓"),SUMPRODUCT(($AM$11:$AM1209&lt;&gt;"")*($AS$11:$AS1209&lt;&gt;"✓")),"")</f>
        <v/>
      </c>
      <c r="AZ1209" s="21" t="str">
        <f>IF(AND($AM1209&lt;&gt;"",$AS1209="✓"),SUMPRODUCT(($AM$11:$AM1209&lt;&gt;"")*($AS$11:$AS1209="✓")),"")</f>
        <v/>
      </c>
      <c r="BA1209" s="21" t="str">
        <f>IF($AL1209="","",$AL1209&amp;"|"&amp;COUNTIF($AL$11:$AL1209,$AL1209))</f>
        <v/>
      </c>
    </row>
    <row r="1210" spans="38:53" ht="15" customHeight="1" x14ac:dyDescent="0.25">
      <c r="AL1210" s="31"/>
      <c r="AM1210" s="26"/>
      <c r="AN1210" s="32"/>
      <c r="AO1210" s="32"/>
      <c r="AP1210" s="24"/>
      <c r="AQ1210" s="24"/>
      <c r="AR1210" s="33"/>
      <c r="AS1210" s="34"/>
      <c r="AT1210" s="33"/>
      <c r="AV1210" s="21">
        <f>IF(AND($AL1210&lt;&gt;"",COUNTIF($AL$11:$AL1210,$AL1210)=1),1,0)</f>
        <v>0</v>
      </c>
      <c r="AW1210" s="21">
        <f t="shared" si="123"/>
        <v>0</v>
      </c>
      <c r="AX1210" s="21" t="str">
        <f t="shared" si="122"/>
        <v/>
      </c>
      <c r="AY1210" s="21" t="str">
        <f>IF(AND($AM1210&lt;&gt;"",$AS1210&lt;&gt;"✓"),SUMPRODUCT(($AM$11:$AM1210&lt;&gt;"")*($AS$11:$AS1210&lt;&gt;"✓")),"")</f>
        <v/>
      </c>
      <c r="AZ1210" s="21" t="str">
        <f>IF(AND($AM1210&lt;&gt;"",$AS1210="✓"),SUMPRODUCT(($AM$11:$AM1210&lt;&gt;"")*($AS$11:$AS1210="✓")),"")</f>
        <v/>
      </c>
      <c r="BA1210" s="21" t="str">
        <f>IF($AL1210="","",$AL1210&amp;"|"&amp;COUNTIF($AL$11:$AL1210,$AL1210))</f>
        <v/>
      </c>
    </row>
    <row r="1211" spans="38:53" ht="15" customHeight="1" x14ac:dyDescent="0.25">
      <c r="AL1211" s="17"/>
      <c r="AM1211" s="12"/>
      <c r="AN1211" s="18"/>
      <c r="AO1211" s="18"/>
      <c r="AP1211" s="10"/>
      <c r="AQ1211" s="10"/>
      <c r="AR1211" s="19"/>
      <c r="AS1211" s="20"/>
      <c r="AT1211" s="19"/>
      <c r="AV1211" s="21">
        <f>IF(AND($AL1211&lt;&gt;"",COUNTIF($AL$11:$AL1211,$AL1211)=1),1,0)</f>
        <v>0</v>
      </c>
      <c r="AW1211" s="21">
        <f t="shared" si="123"/>
        <v>0</v>
      </c>
      <c r="AX1211" s="21" t="str">
        <f t="shared" si="122"/>
        <v/>
      </c>
      <c r="AY1211" s="21" t="str">
        <f>IF(AND($AM1211&lt;&gt;"",$AS1211&lt;&gt;"✓"),SUMPRODUCT(($AM$11:$AM1211&lt;&gt;"")*($AS$11:$AS1211&lt;&gt;"✓")),"")</f>
        <v/>
      </c>
      <c r="AZ1211" s="21" t="str">
        <f>IF(AND($AM1211&lt;&gt;"",$AS1211="✓"),SUMPRODUCT(($AM$11:$AM1211&lt;&gt;"")*($AS$11:$AS1211="✓")),"")</f>
        <v/>
      </c>
      <c r="BA1211" s="21" t="str">
        <f>IF($AL1211="","",$AL1211&amp;"|"&amp;COUNTIF($AL$11:$AL1211,$AL1211))</f>
        <v/>
      </c>
    </row>
    <row r="1212" spans="38:53" ht="15" customHeight="1" x14ac:dyDescent="0.25">
      <c r="AL1212" s="31"/>
      <c r="AM1212" s="26"/>
      <c r="AN1212" s="32"/>
      <c r="AO1212" s="32"/>
      <c r="AP1212" s="24"/>
      <c r="AQ1212" s="24"/>
      <c r="AR1212" s="33"/>
      <c r="AS1212" s="34"/>
      <c r="AT1212" s="33"/>
      <c r="AV1212" s="21">
        <f>IF(AND($AL1212&lt;&gt;"",COUNTIF($AL$11:$AL1212,$AL1212)=1),1,0)</f>
        <v>0</v>
      </c>
      <c r="AW1212" s="21">
        <f t="shared" si="123"/>
        <v>0</v>
      </c>
      <c r="AX1212" s="21" t="str">
        <f t="shared" si="122"/>
        <v/>
      </c>
      <c r="AY1212" s="21" t="str">
        <f>IF(AND($AM1212&lt;&gt;"",$AS1212&lt;&gt;"✓"),SUMPRODUCT(($AM$11:$AM1212&lt;&gt;"")*($AS$11:$AS1212&lt;&gt;"✓")),"")</f>
        <v/>
      </c>
      <c r="AZ1212" s="21" t="str">
        <f>IF(AND($AM1212&lt;&gt;"",$AS1212="✓"),SUMPRODUCT(($AM$11:$AM1212&lt;&gt;"")*($AS$11:$AS1212="✓")),"")</f>
        <v/>
      </c>
      <c r="BA1212" s="21" t="str">
        <f>IF($AL1212="","",$AL1212&amp;"|"&amp;COUNTIF($AL$11:$AL1212,$AL1212))</f>
        <v/>
      </c>
    </row>
    <row r="1213" spans="38:53" ht="15" customHeight="1" x14ac:dyDescent="0.25">
      <c r="AL1213" s="17"/>
      <c r="AM1213" s="12"/>
      <c r="AN1213" s="18"/>
      <c r="AO1213" s="18"/>
      <c r="AP1213" s="10"/>
      <c r="AQ1213" s="10"/>
      <c r="AR1213" s="19"/>
      <c r="AS1213" s="20"/>
      <c r="AT1213" s="19"/>
      <c r="AV1213" s="21">
        <f>IF(AND($AL1213&lt;&gt;"",COUNTIF($AL$11:$AL1213,$AL1213)=1),1,0)</f>
        <v>0</v>
      </c>
      <c r="AW1213" s="21">
        <f t="shared" si="123"/>
        <v>0</v>
      </c>
      <c r="AX1213" s="21" t="str">
        <f t="shared" si="122"/>
        <v/>
      </c>
      <c r="AY1213" s="21" t="str">
        <f>IF(AND($AM1213&lt;&gt;"",$AS1213&lt;&gt;"✓"),SUMPRODUCT(($AM$11:$AM1213&lt;&gt;"")*($AS$11:$AS1213&lt;&gt;"✓")),"")</f>
        <v/>
      </c>
      <c r="AZ1213" s="21" t="str">
        <f>IF(AND($AM1213&lt;&gt;"",$AS1213="✓"),SUMPRODUCT(($AM$11:$AM1213&lt;&gt;"")*($AS$11:$AS1213="✓")),"")</f>
        <v/>
      </c>
      <c r="BA1213" s="21" t="str">
        <f>IF($AL1213="","",$AL1213&amp;"|"&amp;COUNTIF($AL$11:$AL1213,$AL1213))</f>
        <v/>
      </c>
    </row>
    <row r="1214" spans="38:53" ht="15" customHeight="1" x14ac:dyDescent="0.25">
      <c r="AL1214" s="31"/>
      <c r="AM1214" s="26"/>
      <c r="AN1214" s="32"/>
      <c r="AO1214" s="32"/>
      <c r="AP1214" s="24"/>
      <c r="AQ1214" s="24"/>
      <c r="AR1214" s="33"/>
      <c r="AS1214" s="34"/>
      <c r="AT1214" s="33"/>
      <c r="AV1214" s="21">
        <f>IF(AND($AL1214&lt;&gt;"",COUNTIF($AL$11:$AL1214,$AL1214)=1),1,0)</f>
        <v>0</v>
      </c>
      <c r="AW1214" s="21">
        <f t="shared" si="123"/>
        <v>0</v>
      </c>
      <c r="AX1214" s="21" t="str">
        <f t="shared" si="122"/>
        <v/>
      </c>
      <c r="AY1214" s="21" t="str">
        <f>IF(AND($AM1214&lt;&gt;"",$AS1214&lt;&gt;"✓"),SUMPRODUCT(($AM$11:$AM1214&lt;&gt;"")*($AS$11:$AS1214&lt;&gt;"✓")),"")</f>
        <v/>
      </c>
      <c r="AZ1214" s="21" t="str">
        <f>IF(AND($AM1214&lt;&gt;"",$AS1214="✓"),SUMPRODUCT(($AM$11:$AM1214&lt;&gt;"")*($AS$11:$AS1214="✓")),"")</f>
        <v/>
      </c>
      <c r="BA1214" s="21" t="str">
        <f>IF($AL1214="","",$AL1214&amp;"|"&amp;COUNTIF($AL$11:$AL1214,$AL1214))</f>
        <v/>
      </c>
    </row>
    <row r="1215" spans="38:53" ht="15" customHeight="1" x14ac:dyDescent="0.25">
      <c r="AL1215" s="17"/>
      <c r="AM1215" s="12"/>
      <c r="AN1215" s="18"/>
      <c r="AO1215" s="18"/>
      <c r="AP1215" s="10"/>
      <c r="AQ1215" s="10"/>
      <c r="AR1215" s="19"/>
      <c r="AS1215" s="20"/>
      <c r="AT1215" s="19"/>
      <c r="AV1215" s="21">
        <f>IF(AND($AL1215&lt;&gt;"",COUNTIF($AL$11:$AL1215,$AL1215)=1),1,0)</f>
        <v>0</v>
      </c>
      <c r="AW1215" s="21">
        <f t="shared" si="123"/>
        <v>0</v>
      </c>
      <c r="AX1215" s="21" t="str">
        <f t="shared" si="122"/>
        <v/>
      </c>
      <c r="AY1215" s="21" t="str">
        <f>IF(AND($AM1215&lt;&gt;"",$AS1215&lt;&gt;"✓"),SUMPRODUCT(($AM$11:$AM1215&lt;&gt;"")*($AS$11:$AS1215&lt;&gt;"✓")),"")</f>
        <v/>
      </c>
      <c r="AZ1215" s="21" t="str">
        <f>IF(AND($AM1215&lt;&gt;"",$AS1215="✓"),SUMPRODUCT(($AM$11:$AM1215&lt;&gt;"")*($AS$11:$AS1215="✓")),"")</f>
        <v/>
      </c>
      <c r="BA1215" s="21" t="str">
        <f>IF($AL1215="","",$AL1215&amp;"|"&amp;COUNTIF($AL$11:$AL1215,$AL1215))</f>
        <v/>
      </c>
    </row>
    <row r="1216" spans="38:53" ht="15" customHeight="1" x14ac:dyDescent="0.25">
      <c r="AL1216" s="31"/>
      <c r="AM1216" s="26"/>
      <c r="AN1216" s="32"/>
      <c r="AO1216" s="32"/>
      <c r="AP1216" s="24"/>
      <c r="AQ1216" s="24"/>
      <c r="AR1216" s="33"/>
      <c r="AS1216" s="34"/>
      <c r="AT1216" s="33"/>
      <c r="AV1216" s="21">
        <f>IF(AND($AL1216&lt;&gt;"",COUNTIF($AL$11:$AL1216,$AL1216)=1),1,0)</f>
        <v>0</v>
      </c>
      <c r="AW1216" s="21">
        <f t="shared" si="123"/>
        <v>0</v>
      </c>
      <c r="AX1216" s="21" t="str">
        <f t="shared" si="122"/>
        <v/>
      </c>
      <c r="AY1216" s="21" t="str">
        <f>IF(AND($AM1216&lt;&gt;"",$AS1216&lt;&gt;"✓"),SUMPRODUCT(($AM$11:$AM1216&lt;&gt;"")*($AS$11:$AS1216&lt;&gt;"✓")),"")</f>
        <v/>
      </c>
      <c r="AZ1216" s="21" t="str">
        <f>IF(AND($AM1216&lt;&gt;"",$AS1216="✓"),SUMPRODUCT(($AM$11:$AM1216&lt;&gt;"")*($AS$11:$AS1216="✓")),"")</f>
        <v/>
      </c>
      <c r="BA1216" s="21" t="str">
        <f>IF($AL1216="","",$AL1216&amp;"|"&amp;COUNTIF($AL$11:$AL1216,$AL1216))</f>
        <v/>
      </c>
    </row>
    <row r="1217" spans="38:53" ht="15" customHeight="1" x14ac:dyDescent="0.25">
      <c r="AL1217" s="17"/>
      <c r="AM1217" s="12"/>
      <c r="AN1217" s="18"/>
      <c r="AO1217" s="18"/>
      <c r="AP1217" s="10"/>
      <c r="AQ1217" s="10"/>
      <c r="AR1217" s="19"/>
      <c r="AS1217" s="20"/>
      <c r="AT1217" s="19"/>
      <c r="AV1217" s="21">
        <f>IF(AND($AL1217&lt;&gt;"",COUNTIF($AL$11:$AL1217,$AL1217)=1),1,0)</f>
        <v>0</v>
      </c>
      <c r="AW1217" s="21">
        <f t="shared" si="123"/>
        <v>0</v>
      </c>
      <c r="AX1217" s="21" t="str">
        <f t="shared" si="122"/>
        <v/>
      </c>
      <c r="AY1217" s="21" t="str">
        <f>IF(AND($AM1217&lt;&gt;"",$AS1217&lt;&gt;"✓"),SUMPRODUCT(($AM$11:$AM1217&lt;&gt;"")*($AS$11:$AS1217&lt;&gt;"✓")),"")</f>
        <v/>
      </c>
      <c r="AZ1217" s="21" t="str">
        <f>IF(AND($AM1217&lt;&gt;"",$AS1217="✓"),SUMPRODUCT(($AM$11:$AM1217&lt;&gt;"")*($AS$11:$AS1217="✓")),"")</f>
        <v/>
      </c>
      <c r="BA1217" s="21" t="str">
        <f>IF($AL1217="","",$AL1217&amp;"|"&amp;COUNTIF($AL$11:$AL1217,$AL1217))</f>
        <v/>
      </c>
    </row>
    <row r="1218" spans="38:53" ht="15" customHeight="1" x14ac:dyDescent="0.25">
      <c r="AL1218" s="31"/>
      <c r="AM1218" s="26"/>
      <c r="AN1218" s="32"/>
      <c r="AO1218" s="32"/>
      <c r="AP1218" s="24"/>
      <c r="AQ1218" s="24"/>
      <c r="AR1218" s="33"/>
      <c r="AS1218" s="34"/>
      <c r="AT1218" s="33"/>
      <c r="AV1218" s="21">
        <f>IF(AND($AL1218&lt;&gt;"",COUNTIF($AL$11:$AL1218,$AL1218)=1),1,0)</f>
        <v>0</v>
      </c>
      <c r="AW1218" s="21">
        <f t="shared" si="123"/>
        <v>0</v>
      </c>
      <c r="AX1218" s="21" t="str">
        <f t="shared" si="122"/>
        <v/>
      </c>
      <c r="AY1218" s="21" t="str">
        <f>IF(AND($AM1218&lt;&gt;"",$AS1218&lt;&gt;"✓"),SUMPRODUCT(($AM$11:$AM1218&lt;&gt;"")*($AS$11:$AS1218&lt;&gt;"✓")),"")</f>
        <v/>
      </c>
      <c r="AZ1218" s="21" t="str">
        <f>IF(AND($AM1218&lt;&gt;"",$AS1218="✓"),SUMPRODUCT(($AM$11:$AM1218&lt;&gt;"")*($AS$11:$AS1218="✓")),"")</f>
        <v/>
      </c>
      <c r="BA1218" s="21" t="str">
        <f>IF($AL1218="","",$AL1218&amp;"|"&amp;COUNTIF($AL$11:$AL1218,$AL1218))</f>
        <v/>
      </c>
    </row>
    <row r="1219" spans="38:53" ht="15" customHeight="1" x14ac:dyDescent="0.25">
      <c r="AL1219" s="17"/>
      <c r="AM1219" s="12"/>
      <c r="AN1219" s="18"/>
      <c r="AO1219" s="18"/>
      <c r="AP1219" s="10"/>
      <c r="AQ1219" s="10"/>
      <c r="AR1219" s="19"/>
      <c r="AS1219" s="20"/>
      <c r="AT1219" s="19"/>
      <c r="AV1219" s="21">
        <f>IF(AND($AL1219&lt;&gt;"",COUNTIF($AL$11:$AL1219,$AL1219)=1),1,0)</f>
        <v>0</v>
      </c>
      <c r="AW1219" s="21">
        <f t="shared" si="123"/>
        <v>0</v>
      </c>
      <c r="AX1219" s="21" t="str">
        <f t="shared" si="122"/>
        <v/>
      </c>
      <c r="AY1219" s="21" t="str">
        <f>IF(AND($AM1219&lt;&gt;"",$AS1219&lt;&gt;"✓"),SUMPRODUCT(($AM$11:$AM1219&lt;&gt;"")*($AS$11:$AS1219&lt;&gt;"✓")),"")</f>
        <v/>
      </c>
      <c r="AZ1219" s="21" t="str">
        <f>IF(AND($AM1219&lt;&gt;"",$AS1219="✓"),SUMPRODUCT(($AM$11:$AM1219&lt;&gt;"")*($AS$11:$AS1219="✓")),"")</f>
        <v/>
      </c>
      <c r="BA1219" s="21" t="str">
        <f>IF($AL1219="","",$AL1219&amp;"|"&amp;COUNTIF($AL$11:$AL1219,$AL1219))</f>
        <v/>
      </c>
    </row>
    <row r="1220" spans="38:53" ht="15" customHeight="1" x14ac:dyDescent="0.25">
      <c r="AL1220" s="31"/>
      <c r="AM1220" s="26"/>
      <c r="AN1220" s="32"/>
      <c r="AO1220" s="32"/>
      <c r="AP1220" s="24"/>
      <c r="AQ1220" s="24"/>
      <c r="AR1220" s="33"/>
      <c r="AS1220" s="34"/>
      <c r="AT1220" s="33"/>
      <c r="AV1220" s="21">
        <f>IF(AND($AL1220&lt;&gt;"",COUNTIF($AL$11:$AL1220,$AL1220)=1),1,0)</f>
        <v>0</v>
      </c>
      <c r="AW1220" s="21">
        <f t="shared" si="123"/>
        <v>0</v>
      </c>
      <c r="AX1220" s="21" t="str">
        <f t="shared" si="122"/>
        <v/>
      </c>
      <c r="AY1220" s="21" t="str">
        <f>IF(AND($AM1220&lt;&gt;"",$AS1220&lt;&gt;"✓"),SUMPRODUCT(($AM$11:$AM1220&lt;&gt;"")*($AS$11:$AS1220&lt;&gt;"✓")),"")</f>
        <v/>
      </c>
      <c r="AZ1220" s="21" t="str">
        <f>IF(AND($AM1220&lt;&gt;"",$AS1220="✓"),SUMPRODUCT(($AM$11:$AM1220&lt;&gt;"")*($AS$11:$AS1220="✓")),"")</f>
        <v/>
      </c>
      <c r="BA1220" s="21" t="str">
        <f>IF($AL1220="","",$AL1220&amp;"|"&amp;COUNTIF($AL$11:$AL1220,$AL1220))</f>
        <v/>
      </c>
    </row>
    <row r="1221" spans="38:53" ht="15" customHeight="1" x14ac:dyDescent="0.25">
      <c r="AL1221" s="17"/>
      <c r="AM1221" s="12"/>
      <c r="AN1221" s="18"/>
      <c r="AO1221" s="18"/>
      <c r="AP1221" s="10"/>
      <c r="AQ1221" s="10"/>
      <c r="AR1221" s="19"/>
      <c r="AS1221" s="20"/>
      <c r="AT1221" s="19"/>
      <c r="AV1221" s="21">
        <f>IF(AND($AL1221&lt;&gt;"",COUNTIF($AL$11:$AL1221,$AL1221)=1),1,0)</f>
        <v>0</v>
      </c>
      <c r="AW1221" s="21">
        <f t="shared" si="123"/>
        <v>0</v>
      </c>
      <c r="AX1221" s="21" t="str">
        <f t="shared" si="122"/>
        <v/>
      </c>
      <c r="AY1221" s="21" t="str">
        <f>IF(AND($AM1221&lt;&gt;"",$AS1221&lt;&gt;"✓"),SUMPRODUCT(($AM$11:$AM1221&lt;&gt;"")*($AS$11:$AS1221&lt;&gt;"✓")),"")</f>
        <v/>
      </c>
      <c r="AZ1221" s="21" t="str">
        <f>IF(AND($AM1221&lt;&gt;"",$AS1221="✓"),SUMPRODUCT(($AM$11:$AM1221&lt;&gt;"")*($AS$11:$AS1221="✓")),"")</f>
        <v/>
      </c>
      <c r="BA1221" s="21" t="str">
        <f>IF($AL1221="","",$AL1221&amp;"|"&amp;COUNTIF($AL$11:$AL1221,$AL1221))</f>
        <v/>
      </c>
    </row>
    <row r="1222" spans="38:53" ht="15" customHeight="1" x14ac:dyDescent="0.25">
      <c r="AL1222" s="31"/>
      <c r="AM1222" s="26"/>
      <c r="AN1222" s="32"/>
      <c r="AO1222" s="32"/>
      <c r="AP1222" s="24"/>
      <c r="AQ1222" s="24"/>
      <c r="AR1222" s="33"/>
      <c r="AS1222" s="34"/>
      <c r="AT1222" s="33"/>
      <c r="AV1222" s="21">
        <f>IF(AND($AL1222&lt;&gt;"",COUNTIF($AL$11:$AL1222,$AL1222)=1),1,0)</f>
        <v>0</v>
      </c>
      <c r="AW1222" s="21">
        <f t="shared" si="123"/>
        <v>0</v>
      </c>
      <c r="AX1222" s="21" t="str">
        <f t="shared" si="122"/>
        <v/>
      </c>
      <c r="AY1222" s="21" t="str">
        <f>IF(AND($AM1222&lt;&gt;"",$AS1222&lt;&gt;"✓"),SUMPRODUCT(($AM$11:$AM1222&lt;&gt;"")*($AS$11:$AS1222&lt;&gt;"✓")),"")</f>
        <v/>
      </c>
      <c r="AZ1222" s="21" t="str">
        <f>IF(AND($AM1222&lt;&gt;"",$AS1222="✓"),SUMPRODUCT(($AM$11:$AM1222&lt;&gt;"")*($AS$11:$AS1222="✓")),"")</f>
        <v/>
      </c>
      <c r="BA1222" s="21" t="str">
        <f>IF($AL1222="","",$AL1222&amp;"|"&amp;COUNTIF($AL$11:$AL1222,$AL1222))</f>
        <v/>
      </c>
    </row>
    <row r="1223" spans="38:53" ht="15" customHeight="1" x14ac:dyDescent="0.25">
      <c r="AL1223" s="17"/>
      <c r="AM1223" s="12"/>
      <c r="AN1223" s="18"/>
      <c r="AO1223" s="18"/>
      <c r="AP1223" s="10"/>
      <c r="AQ1223" s="10"/>
      <c r="AR1223" s="19"/>
      <c r="AS1223" s="20"/>
      <c r="AT1223" s="19"/>
      <c r="AV1223" s="21">
        <f>IF(AND($AL1223&lt;&gt;"",COUNTIF($AL$11:$AL1223,$AL1223)=1),1,0)</f>
        <v>0</v>
      </c>
      <c r="AW1223" s="21">
        <f t="shared" si="123"/>
        <v>0</v>
      </c>
      <c r="AX1223" s="21" t="str">
        <f t="shared" si="122"/>
        <v/>
      </c>
      <c r="AY1223" s="21" t="str">
        <f>IF(AND($AM1223&lt;&gt;"",$AS1223&lt;&gt;"✓"),SUMPRODUCT(($AM$11:$AM1223&lt;&gt;"")*($AS$11:$AS1223&lt;&gt;"✓")),"")</f>
        <v/>
      </c>
      <c r="AZ1223" s="21" t="str">
        <f>IF(AND($AM1223&lt;&gt;"",$AS1223="✓"),SUMPRODUCT(($AM$11:$AM1223&lt;&gt;"")*($AS$11:$AS1223="✓")),"")</f>
        <v/>
      </c>
      <c r="BA1223" s="21" t="str">
        <f>IF($AL1223="","",$AL1223&amp;"|"&amp;COUNTIF($AL$11:$AL1223,$AL1223))</f>
        <v/>
      </c>
    </row>
    <row r="1224" spans="38:53" ht="15" customHeight="1" x14ac:dyDescent="0.25">
      <c r="AL1224" s="31"/>
      <c r="AM1224" s="26"/>
      <c r="AN1224" s="32"/>
      <c r="AO1224" s="32"/>
      <c r="AP1224" s="24"/>
      <c r="AQ1224" s="24"/>
      <c r="AR1224" s="33"/>
      <c r="AS1224" s="34"/>
      <c r="AT1224" s="33"/>
      <c r="AV1224" s="21">
        <f>IF(AND($AL1224&lt;&gt;"",COUNTIF($AL$11:$AL1224,$AL1224)=1),1,0)</f>
        <v>0</v>
      </c>
      <c r="AW1224" s="21">
        <f t="shared" si="123"/>
        <v>0</v>
      </c>
      <c r="AX1224" s="21" t="str">
        <f t="shared" si="122"/>
        <v/>
      </c>
      <c r="AY1224" s="21" t="str">
        <f>IF(AND($AM1224&lt;&gt;"",$AS1224&lt;&gt;"✓"),SUMPRODUCT(($AM$11:$AM1224&lt;&gt;"")*($AS$11:$AS1224&lt;&gt;"✓")),"")</f>
        <v/>
      </c>
      <c r="AZ1224" s="21" t="str">
        <f>IF(AND($AM1224&lt;&gt;"",$AS1224="✓"),SUMPRODUCT(($AM$11:$AM1224&lt;&gt;"")*($AS$11:$AS1224="✓")),"")</f>
        <v/>
      </c>
      <c r="BA1224" s="21" t="str">
        <f>IF($AL1224="","",$AL1224&amp;"|"&amp;COUNTIF($AL$11:$AL1224,$AL1224))</f>
        <v/>
      </c>
    </row>
    <row r="1225" spans="38:53" ht="15" customHeight="1" x14ac:dyDescent="0.25">
      <c r="AL1225" s="17"/>
      <c r="AM1225" s="12"/>
      <c r="AN1225" s="18"/>
      <c r="AO1225" s="18"/>
      <c r="AP1225" s="10"/>
      <c r="AQ1225" s="10"/>
      <c r="AR1225" s="19"/>
      <c r="AS1225" s="20"/>
      <c r="AT1225" s="19"/>
      <c r="AV1225" s="21">
        <f>IF(AND($AL1225&lt;&gt;"",COUNTIF($AL$11:$AL1225,$AL1225)=1),1,0)</f>
        <v>0</v>
      </c>
      <c r="AW1225" s="21">
        <f t="shared" si="123"/>
        <v>0</v>
      </c>
      <c r="AX1225" s="21" t="str">
        <f t="shared" si="122"/>
        <v/>
      </c>
      <c r="AY1225" s="21" t="str">
        <f>IF(AND($AM1225&lt;&gt;"",$AS1225&lt;&gt;"✓"),SUMPRODUCT(($AM$11:$AM1225&lt;&gt;"")*($AS$11:$AS1225&lt;&gt;"✓")),"")</f>
        <v/>
      </c>
      <c r="AZ1225" s="21" t="str">
        <f>IF(AND($AM1225&lt;&gt;"",$AS1225="✓"),SUMPRODUCT(($AM$11:$AM1225&lt;&gt;"")*($AS$11:$AS1225="✓")),"")</f>
        <v/>
      </c>
      <c r="BA1225" s="21" t="str">
        <f>IF($AL1225="","",$AL1225&amp;"|"&amp;COUNTIF($AL$11:$AL1225,$AL1225))</f>
        <v/>
      </c>
    </row>
    <row r="1226" spans="38:53" ht="15" customHeight="1" x14ac:dyDescent="0.25">
      <c r="AL1226" s="31"/>
      <c r="AM1226" s="26"/>
      <c r="AN1226" s="32"/>
      <c r="AO1226" s="32"/>
      <c r="AP1226" s="24"/>
      <c r="AQ1226" s="24"/>
      <c r="AR1226" s="33"/>
      <c r="AS1226" s="34"/>
      <c r="AT1226" s="33"/>
      <c r="AV1226" s="21">
        <f>IF(AND($AL1226&lt;&gt;"",COUNTIF($AL$11:$AL1226,$AL1226)=1),1,0)</f>
        <v>0</v>
      </c>
      <c r="AW1226" s="21">
        <f t="shared" si="123"/>
        <v>0</v>
      </c>
      <c r="AX1226" s="21" t="str">
        <f t="shared" si="122"/>
        <v/>
      </c>
      <c r="AY1226" s="21" t="str">
        <f>IF(AND($AM1226&lt;&gt;"",$AS1226&lt;&gt;"✓"),SUMPRODUCT(($AM$11:$AM1226&lt;&gt;"")*($AS$11:$AS1226&lt;&gt;"✓")),"")</f>
        <v/>
      </c>
      <c r="AZ1226" s="21" t="str">
        <f>IF(AND($AM1226&lt;&gt;"",$AS1226="✓"),SUMPRODUCT(($AM$11:$AM1226&lt;&gt;"")*($AS$11:$AS1226="✓")),"")</f>
        <v/>
      </c>
      <c r="BA1226" s="21" t="str">
        <f>IF($AL1226="","",$AL1226&amp;"|"&amp;COUNTIF($AL$11:$AL1226,$AL1226))</f>
        <v/>
      </c>
    </row>
    <row r="1227" spans="38:53" ht="15" customHeight="1" x14ac:dyDescent="0.25">
      <c r="AL1227" s="17"/>
      <c r="AM1227" s="12"/>
      <c r="AN1227" s="18"/>
      <c r="AO1227" s="18"/>
      <c r="AP1227" s="10"/>
      <c r="AQ1227" s="10"/>
      <c r="AR1227" s="19"/>
      <c r="AS1227" s="20"/>
      <c r="AT1227" s="19"/>
      <c r="AV1227" s="21">
        <f>IF(AND($AL1227&lt;&gt;"",COUNTIF($AL$11:$AL1227,$AL1227)=1),1,0)</f>
        <v>0</v>
      </c>
      <c r="AW1227" s="21">
        <f t="shared" si="123"/>
        <v>0</v>
      </c>
      <c r="AX1227" s="21" t="str">
        <f t="shared" ref="AX1227:AX1290" si="124">IF(AV1227=1,AW1227,"")</f>
        <v/>
      </c>
      <c r="AY1227" s="21" t="str">
        <f>IF(AND($AM1227&lt;&gt;"",$AS1227&lt;&gt;"✓"),SUMPRODUCT(($AM$11:$AM1227&lt;&gt;"")*($AS$11:$AS1227&lt;&gt;"✓")),"")</f>
        <v/>
      </c>
      <c r="AZ1227" s="21" t="str">
        <f>IF(AND($AM1227&lt;&gt;"",$AS1227="✓"),SUMPRODUCT(($AM$11:$AM1227&lt;&gt;"")*($AS$11:$AS1227="✓")),"")</f>
        <v/>
      </c>
      <c r="BA1227" s="21" t="str">
        <f>IF($AL1227="","",$AL1227&amp;"|"&amp;COUNTIF($AL$11:$AL1227,$AL1227))</f>
        <v/>
      </c>
    </row>
    <row r="1228" spans="38:53" ht="15" customHeight="1" x14ac:dyDescent="0.25">
      <c r="AL1228" s="31"/>
      <c r="AM1228" s="26"/>
      <c r="AN1228" s="32"/>
      <c r="AO1228" s="32"/>
      <c r="AP1228" s="24"/>
      <c r="AQ1228" s="24"/>
      <c r="AR1228" s="33"/>
      <c r="AS1228" s="34"/>
      <c r="AT1228" s="33"/>
      <c r="AV1228" s="21">
        <f>IF(AND($AL1228&lt;&gt;"",COUNTIF($AL$11:$AL1228,$AL1228)=1),1,0)</f>
        <v>0</v>
      </c>
      <c r="AW1228" s="21">
        <f t="shared" ref="AW1228:AW1291" si="125">AW1227+AV1228</f>
        <v>0</v>
      </c>
      <c r="AX1228" s="21" t="str">
        <f t="shared" si="124"/>
        <v/>
      </c>
      <c r="AY1228" s="21" t="str">
        <f>IF(AND($AM1228&lt;&gt;"",$AS1228&lt;&gt;"✓"),SUMPRODUCT(($AM$11:$AM1228&lt;&gt;"")*($AS$11:$AS1228&lt;&gt;"✓")),"")</f>
        <v/>
      </c>
      <c r="AZ1228" s="21" t="str">
        <f>IF(AND($AM1228&lt;&gt;"",$AS1228="✓"),SUMPRODUCT(($AM$11:$AM1228&lt;&gt;"")*($AS$11:$AS1228="✓")),"")</f>
        <v/>
      </c>
      <c r="BA1228" s="21" t="str">
        <f>IF($AL1228="","",$AL1228&amp;"|"&amp;COUNTIF($AL$11:$AL1228,$AL1228))</f>
        <v/>
      </c>
    </row>
    <row r="1229" spans="38:53" ht="15" customHeight="1" x14ac:dyDescent="0.25">
      <c r="AL1229" s="17"/>
      <c r="AM1229" s="12"/>
      <c r="AN1229" s="18"/>
      <c r="AO1229" s="18"/>
      <c r="AP1229" s="10"/>
      <c r="AQ1229" s="10"/>
      <c r="AR1229" s="19"/>
      <c r="AS1229" s="20"/>
      <c r="AT1229" s="19"/>
      <c r="AV1229" s="21">
        <f>IF(AND($AL1229&lt;&gt;"",COUNTIF($AL$11:$AL1229,$AL1229)=1),1,0)</f>
        <v>0</v>
      </c>
      <c r="AW1229" s="21">
        <f t="shared" si="125"/>
        <v>0</v>
      </c>
      <c r="AX1229" s="21" t="str">
        <f t="shared" si="124"/>
        <v/>
      </c>
      <c r="AY1229" s="21" t="str">
        <f>IF(AND($AM1229&lt;&gt;"",$AS1229&lt;&gt;"✓"),SUMPRODUCT(($AM$11:$AM1229&lt;&gt;"")*($AS$11:$AS1229&lt;&gt;"✓")),"")</f>
        <v/>
      </c>
      <c r="AZ1229" s="21" t="str">
        <f>IF(AND($AM1229&lt;&gt;"",$AS1229="✓"),SUMPRODUCT(($AM$11:$AM1229&lt;&gt;"")*($AS$11:$AS1229="✓")),"")</f>
        <v/>
      </c>
      <c r="BA1229" s="21" t="str">
        <f>IF($AL1229="","",$AL1229&amp;"|"&amp;COUNTIF($AL$11:$AL1229,$AL1229))</f>
        <v/>
      </c>
    </row>
    <row r="1230" spans="38:53" ht="15" customHeight="1" x14ac:dyDescent="0.25">
      <c r="AL1230" s="31"/>
      <c r="AM1230" s="26"/>
      <c r="AN1230" s="32"/>
      <c r="AO1230" s="32"/>
      <c r="AP1230" s="24"/>
      <c r="AQ1230" s="24"/>
      <c r="AR1230" s="33"/>
      <c r="AS1230" s="34"/>
      <c r="AT1230" s="33"/>
      <c r="AV1230" s="21">
        <f>IF(AND($AL1230&lt;&gt;"",COUNTIF($AL$11:$AL1230,$AL1230)=1),1,0)</f>
        <v>0</v>
      </c>
      <c r="AW1230" s="21">
        <f t="shared" si="125"/>
        <v>0</v>
      </c>
      <c r="AX1230" s="21" t="str">
        <f t="shared" si="124"/>
        <v/>
      </c>
      <c r="AY1230" s="21" t="str">
        <f>IF(AND($AM1230&lt;&gt;"",$AS1230&lt;&gt;"✓"),SUMPRODUCT(($AM$11:$AM1230&lt;&gt;"")*($AS$11:$AS1230&lt;&gt;"✓")),"")</f>
        <v/>
      </c>
      <c r="AZ1230" s="21" t="str">
        <f>IF(AND($AM1230&lt;&gt;"",$AS1230="✓"),SUMPRODUCT(($AM$11:$AM1230&lt;&gt;"")*($AS$11:$AS1230="✓")),"")</f>
        <v/>
      </c>
      <c r="BA1230" s="21" t="str">
        <f>IF($AL1230="","",$AL1230&amp;"|"&amp;COUNTIF($AL$11:$AL1230,$AL1230))</f>
        <v/>
      </c>
    </row>
    <row r="1231" spans="38:53" ht="15" customHeight="1" x14ac:dyDescent="0.25">
      <c r="AL1231" s="17"/>
      <c r="AM1231" s="12"/>
      <c r="AN1231" s="18"/>
      <c r="AO1231" s="18"/>
      <c r="AP1231" s="10"/>
      <c r="AQ1231" s="10"/>
      <c r="AR1231" s="19"/>
      <c r="AS1231" s="20"/>
      <c r="AT1231" s="19"/>
      <c r="AV1231" s="21">
        <f>IF(AND($AL1231&lt;&gt;"",COUNTIF($AL$11:$AL1231,$AL1231)=1),1,0)</f>
        <v>0</v>
      </c>
      <c r="AW1231" s="21">
        <f t="shared" si="125"/>
        <v>0</v>
      </c>
      <c r="AX1231" s="21" t="str">
        <f t="shared" si="124"/>
        <v/>
      </c>
      <c r="AY1231" s="21" t="str">
        <f>IF(AND($AM1231&lt;&gt;"",$AS1231&lt;&gt;"✓"),SUMPRODUCT(($AM$11:$AM1231&lt;&gt;"")*($AS$11:$AS1231&lt;&gt;"✓")),"")</f>
        <v/>
      </c>
      <c r="AZ1231" s="21" t="str">
        <f>IF(AND($AM1231&lt;&gt;"",$AS1231="✓"),SUMPRODUCT(($AM$11:$AM1231&lt;&gt;"")*($AS$11:$AS1231="✓")),"")</f>
        <v/>
      </c>
      <c r="BA1231" s="21" t="str">
        <f>IF($AL1231="","",$AL1231&amp;"|"&amp;COUNTIF($AL$11:$AL1231,$AL1231))</f>
        <v/>
      </c>
    </row>
    <row r="1232" spans="38:53" ht="15" customHeight="1" x14ac:dyDescent="0.25">
      <c r="AL1232" s="31"/>
      <c r="AM1232" s="26"/>
      <c r="AN1232" s="32"/>
      <c r="AO1232" s="32"/>
      <c r="AP1232" s="24"/>
      <c r="AQ1232" s="24"/>
      <c r="AR1232" s="33"/>
      <c r="AS1232" s="34"/>
      <c r="AT1232" s="33"/>
      <c r="AV1232" s="21">
        <f>IF(AND($AL1232&lt;&gt;"",COUNTIF($AL$11:$AL1232,$AL1232)=1),1,0)</f>
        <v>0</v>
      </c>
      <c r="AW1232" s="21">
        <f t="shared" si="125"/>
        <v>0</v>
      </c>
      <c r="AX1232" s="21" t="str">
        <f t="shared" si="124"/>
        <v/>
      </c>
      <c r="AY1232" s="21" t="str">
        <f>IF(AND($AM1232&lt;&gt;"",$AS1232&lt;&gt;"✓"),SUMPRODUCT(($AM$11:$AM1232&lt;&gt;"")*($AS$11:$AS1232&lt;&gt;"✓")),"")</f>
        <v/>
      </c>
      <c r="AZ1232" s="21" t="str">
        <f>IF(AND($AM1232&lt;&gt;"",$AS1232="✓"),SUMPRODUCT(($AM$11:$AM1232&lt;&gt;"")*($AS$11:$AS1232="✓")),"")</f>
        <v/>
      </c>
      <c r="BA1232" s="21" t="str">
        <f>IF($AL1232="","",$AL1232&amp;"|"&amp;COUNTIF($AL$11:$AL1232,$AL1232))</f>
        <v/>
      </c>
    </row>
    <row r="1233" spans="38:53" ht="15" customHeight="1" x14ac:dyDescent="0.25">
      <c r="AL1233" s="17"/>
      <c r="AM1233" s="12"/>
      <c r="AN1233" s="18"/>
      <c r="AO1233" s="18"/>
      <c r="AP1233" s="10"/>
      <c r="AQ1233" s="10"/>
      <c r="AR1233" s="19"/>
      <c r="AS1233" s="20"/>
      <c r="AT1233" s="19"/>
      <c r="AV1233" s="21">
        <f>IF(AND($AL1233&lt;&gt;"",COUNTIF($AL$11:$AL1233,$AL1233)=1),1,0)</f>
        <v>0</v>
      </c>
      <c r="AW1233" s="21">
        <f t="shared" si="125"/>
        <v>0</v>
      </c>
      <c r="AX1233" s="21" t="str">
        <f t="shared" si="124"/>
        <v/>
      </c>
      <c r="AY1233" s="21" t="str">
        <f>IF(AND($AM1233&lt;&gt;"",$AS1233&lt;&gt;"✓"),SUMPRODUCT(($AM$11:$AM1233&lt;&gt;"")*($AS$11:$AS1233&lt;&gt;"✓")),"")</f>
        <v/>
      </c>
      <c r="AZ1233" s="21" t="str">
        <f>IF(AND($AM1233&lt;&gt;"",$AS1233="✓"),SUMPRODUCT(($AM$11:$AM1233&lt;&gt;"")*($AS$11:$AS1233="✓")),"")</f>
        <v/>
      </c>
      <c r="BA1233" s="21" t="str">
        <f>IF($AL1233="","",$AL1233&amp;"|"&amp;COUNTIF($AL$11:$AL1233,$AL1233))</f>
        <v/>
      </c>
    </row>
    <row r="1234" spans="38:53" ht="15" customHeight="1" x14ac:dyDescent="0.25">
      <c r="AL1234" s="31"/>
      <c r="AM1234" s="26"/>
      <c r="AN1234" s="32"/>
      <c r="AO1234" s="32"/>
      <c r="AP1234" s="24"/>
      <c r="AQ1234" s="24"/>
      <c r="AR1234" s="33"/>
      <c r="AS1234" s="34"/>
      <c r="AT1234" s="33"/>
      <c r="AV1234" s="21">
        <f>IF(AND($AL1234&lt;&gt;"",COUNTIF($AL$11:$AL1234,$AL1234)=1),1,0)</f>
        <v>0</v>
      </c>
      <c r="AW1234" s="21">
        <f t="shared" si="125"/>
        <v>0</v>
      </c>
      <c r="AX1234" s="21" t="str">
        <f t="shared" si="124"/>
        <v/>
      </c>
      <c r="AY1234" s="21" t="str">
        <f>IF(AND($AM1234&lt;&gt;"",$AS1234&lt;&gt;"✓"),SUMPRODUCT(($AM$11:$AM1234&lt;&gt;"")*($AS$11:$AS1234&lt;&gt;"✓")),"")</f>
        <v/>
      </c>
      <c r="AZ1234" s="21" t="str">
        <f>IF(AND($AM1234&lt;&gt;"",$AS1234="✓"),SUMPRODUCT(($AM$11:$AM1234&lt;&gt;"")*($AS$11:$AS1234="✓")),"")</f>
        <v/>
      </c>
      <c r="BA1234" s="21" t="str">
        <f>IF($AL1234="","",$AL1234&amp;"|"&amp;COUNTIF($AL$11:$AL1234,$AL1234))</f>
        <v/>
      </c>
    </row>
    <row r="1235" spans="38:53" ht="15" customHeight="1" x14ac:dyDescent="0.25">
      <c r="AL1235" s="17"/>
      <c r="AM1235" s="12"/>
      <c r="AN1235" s="18"/>
      <c r="AO1235" s="18"/>
      <c r="AP1235" s="10"/>
      <c r="AQ1235" s="10"/>
      <c r="AR1235" s="19"/>
      <c r="AS1235" s="20"/>
      <c r="AT1235" s="19"/>
      <c r="AV1235" s="21">
        <f>IF(AND($AL1235&lt;&gt;"",COUNTIF($AL$11:$AL1235,$AL1235)=1),1,0)</f>
        <v>0</v>
      </c>
      <c r="AW1235" s="21">
        <f t="shared" si="125"/>
        <v>0</v>
      </c>
      <c r="AX1235" s="21" t="str">
        <f t="shared" si="124"/>
        <v/>
      </c>
      <c r="AY1235" s="21" t="str">
        <f>IF(AND($AM1235&lt;&gt;"",$AS1235&lt;&gt;"✓"),SUMPRODUCT(($AM$11:$AM1235&lt;&gt;"")*($AS$11:$AS1235&lt;&gt;"✓")),"")</f>
        <v/>
      </c>
      <c r="AZ1235" s="21" t="str">
        <f>IF(AND($AM1235&lt;&gt;"",$AS1235="✓"),SUMPRODUCT(($AM$11:$AM1235&lt;&gt;"")*($AS$11:$AS1235="✓")),"")</f>
        <v/>
      </c>
      <c r="BA1235" s="21" t="str">
        <f>IF($AL1235="","",$AL1235&amp;"|"&amp;COUNTIF($AL$11:$AL1235,$AL1235))</f>
        <v/>
      </c>
    </row>
    <row r="1236" spans="38:53" ht="15" customHeight="1" x14ac:dyDescent="0.25">
      <c r="AL1236" s="31"/>
      <c r="AM1236" s="26"/>
      <c r="AN1236" s="32"/>
      <c r="AO1236" s="32"/>
      <c r="AP1236" s="24"/>
      <c r="AQ1236" s="24"/>
      <c r="AR1236" s="33"/>
      <c r="AS1236" s="34"/>
      <c r="AT1236" s="33"/>
      <c r="AV1236" s="21">
        <f>IF(AND($AL1236&lt;&gt;"",COUNTIF($AL$11:$AL1236,$AL1236)=1),1,0)</f>
        <v>0</v>
      </c>
      <c r="AW1236" s="21">
        <f t="shared" si="125"/>
        <v>0</v>
      </c>
      <c r="AX1236" s="21" t="str">
        <f t="shared" si="124"/>
        <v/>
      </c>
      <c r="AY1236" s="21" t="str">
        <f>IF(AND($AM1236&lt;&gt;"",$AS1236&lt;&gt;"✓"),SUMPRODUCT(($AM$11:$AM1236&lt;&gt;"")*($AS$11:$AS1236&lt;&gt;"✓")),"")</f>
        <v/>
      </c>
      <c r="AZ1236" s="21" t="str">
        <f>IF(AND($AM1236&lt;&gt;"",$AS1236="✓"),SUMPRODUCT(($AM$11:$AM1236&lt;&gt;"")*($AS$11:$AS1236="✓")),"")</f>
        <v/>
      </c>
      <c r="BA1236" s="21" t="str">
        <f>IF($AL1236="","",$AL1236&amp;"|"&amp;COUNTIF($AL$11:$AL1236,$AL1236))</f>
        <v/>
      </c>
    </row>
    <row r="1237" spans="38:53" ht="15" customHeight="1" x14ac:dyDescent="0.25">
      <c r="AL1237" s="17"/>
      <c r="AM1237" s="12"/>
      <c r="AN1237" s="18"/>
      <c r="AO1237" s="18"/>
      <c r="AP1237" s="10"/>
      <c r="AQ1237" s="10"/>
      <c r="AR1237" s="19"/>
      <c r="AS1237" s="20"/>
      <c r="AT1237" s="19"/>
      <c r="AV1237" s="21">
        <f>IF(AND($AL1237&lt;&gt;"",COUNTIF($AL$11:$AL1237,$AL1237)=1),1,0)</f>
        <v>0</v>
      </c>
      <c r="AW1237" s="21">
        <f t="shared" si="125"/>
        <v>0</v>
      </c>
      <c r="AX1237" s="21" t="str">
        <f t="shared" si="124"/>
        <v/>
      </c>
      <c r="AY1237" s="21" t="str">
        <f>IF(AND($AM1237&lt;&gt;"",$AS1237&lt;&gt;"✓"),SUMPRODUCT(($AM$11:$AM1237&lt;&gt;"")*($AS$11:$AS1237&lt;&gt;"✓")),"")</f>
        <v/>
      </c>
      <c r="AZ1237" s="21" t="str">
        <f>IF(AND($AM1237&lt;&gt;"",$AS1237="✓"),SUMPRODUCT(($AM$11:$AM1237&lt;&gt;"")*($AS$11:$AS1237="✓")),"")</f>
        <v/>
      </c>
      <c r="BA1237" s="21" t="str">
        <f>IF($AL1237="","",$AL1237&amp;"|"&amp;COUNTIF($AL$11:$AL1237,$AL1237))</f>
        <v/>
      </c>
    </row>
    <row r="1238" spans="38:53" ht="15" customHeight="1" x14ac:dyDescent="0.25">
      <c r="AL1238" s="31"/>
      <c r="AM1238" s="26"/>
      <c r="AN1238" s="32"/>
      <c r="AO1238" s="32"/>
      <c r="AP1238" s="24"/>
      <c r="AQ1238" s="24"/>
      <c r="AR1238" s="33"/>
      <c r="AS1238" s="34"/>
      <c r="AT1238" s="33"/>
      <c r="AV1238" s="21">
        <f>IF(AND($AL1238&lt;&gt;"",COUNTIF($AL$11:$AL1238,$AL1238)=1),1,0)</f>
        <v>0</v>
      </c>
      <c r="AW1238" s="21">
        <f t="shared" si="125"/>
        <v>0</v>
      </c>
      <c r="AX1238" s="21" t="str">
        <f t="shared" si="124"/>
        <v/>
      </c>
      <c r="AY1238" s="21" t="str">
        <f>IF(AND($AM1238&lt;&gt;"",$AS1238&lt;&gt;"✓"),SUMPRODUCT(($AM$11:$AM1238&lt;&gt;"")*($AS$11:$AS1238&lt;&gt;"✓")),"")</f>
        <v/>
      </c>
      <c r="AZ1238" s="21" t="str">
        <f>IF(AND($AM1238&lt;&gt;"",$AS1238="✓"),SUMPRODUCT(($AM$11:$AM1238&lt;&gt;"")*($AS$11:$AS1238="✓")),"")</f>
        <v/>
      </c>
      <c r="BA1238" s="21" t="str">
        <f>IF($AL1238="","",$AL1238&amp;"|"&amp;COUNTIF($AL$11:$AL1238,$AL1238))</f>
        <v/>
      </c>
    </row>
    <row r="1239" spans="38:53" ht="15" customHeight="1" x14ac:dyDescent="0.25">
      <c r="AL1239" s="17"/>
      <c r="AM1239" s="12"/>
      <c r="AN1239" s="18"/>
      <c r="AO1239" s="18"/>
      <c r="AP1239" s="10"/>
      <c r="AQ1239" s="10"/>
      <c r="AR1239" s="19"/>
      <c r="AS1239" s="20"/>
      <c r="AT1239" s="19"/>
      <c r="AV1239" s="21">
        <f>IF(AND($AL1239&lt;&gt;"",COUNTIF($AL$11:$AL1239,$AL1239)=1),1,0)</f>
        <v>0</v>
      </c>
      <c r="AW1239" s="21">
        <f t="shared" si="125"/>
        <v>0</v>
      </c>
      <c r="AX1239" s="21" t="str">
        <f t="shared" si="124"/>
        <v/>
      </c>
      <c r="AY1239" s="21" t="str">
        <f>IF(AND($AM1239&lt;&gt;"",$AS1239&lt;&gt;"✓"),SUMPRODUCT(($AM$11:$AM1239&lt;&gt;"")*($AS$11:$AS1239&lt;&gt;"✓")),"")</f>
        <v/>
      </c>
      <c r="AZ1239" s="21" t="str">
        <f>IF(AND($AM1239&lt;&gt;"",$AS1239="✓"),SUMPRODUCT(($AM$11:$AM1239&lt;&gt;"")*($AS$11:$AS1239="✓")),"")</f>
        <v/>
      </c>
      <c r="BA1239" s="21" t="str">
        <f>IF($AL1239="","",$AL1239&amp;"|"&amp;COUNTIF($AL$11:$AL1239,$AL1239))</f>
        <v/>
      </c>
    </row>
    <row r="1240" spans="38:53" ht="15" customHeight="1" x14ac:dyDescent="0.25">
      <c r="AL1240" s="31"/>
      <c r="AM1240" s="26"/>
      <c r="AN1240" s="32"/>
      <c r="AO1240" s="32"/>
      <c r="AP1240" s="24"/>
      <c r="AQ1240" s="24"/>
      <c r="AR1240" s="33"/>
      <c r="AS1240" s="34"/>
      <c r="AT1240" s="33"/>
      <c r="AV1240" s="21">
        <f>IF(AND($AL1240&lt;&gt;"",COUNTIF($AL$11:$AL1240,$AL1240)=1),1,0)</f>
        <v>0</v>
      </c>
      <c r="AW1240" s="21">
        <f t="shared" si="125"/>
        <v>0</v>
      </c>
      <c r="AX1240" s="21" t="str">
        <f t="shared" si="124"/>
        <v/>
      </c>
      <c r="AY1240" s="21" t="str">
        <f>IF(AND($AM1240&lt;&gt;"",$AS1240&lt;&gt;"✓"),SUMPRODUCT(($AM$11:$AM1240&lt;&gt;"")*($AS$11:$AS1240&lt;&gt;"✓")),"")</f>
        <v/>
      </c>
      <c r="AZ1240" s="21" t="str">
        <f>IF(AND($AM1240&lt;&gt;"",$AS1240="✓"),SUMPRODUCT(($AM$11:$AM1240&lt;&gt;"")*($AS$11:$AS1240="✓")),"")</f>
        <v/>
      </c>
      <c r="BA1240" s="21" t="str">
        <f>IF($AL1240="","",$AL1240&amp;"|"&amp;COUNTIF($AL$11:$AL1240,$AL1240))</f>
        <v/>
      </c>
    </row>
    <row r="1241" spans="38:53" ht="15" customHeight="1" x14ac:dyDescent="0.25">
      <c r="AL1241" s="17"/>
      <c r="AM1241" s="12"/>
      <c r="AN1241" s="18"/>
      <c r="AO1241" s="18"/>
      <c r="AP1241" s="10"/>
      <c r="AQ1241" s="10"/>
      <c r="AR1241" s="19"/>
      <c r="AS1241" s="20"/>
      <c r="AT1241" s="19"/>
      <c r="AV1241" s="21">
        <f>IF(AND($AL1241&lt;&gt;"",COUNTIF($AL$11:$AL1241,$AL1241)=1),1,0)</f>
        <v>0</v>
      </c>
      <c r="AW1241" s="21">
        <f t="shared" si="125"/>
        <v>0</v>
      </c>
      <c r="AX1241" s="21" t="str">
        <f t="shared" si="124"/>
        <v/>
      </c>
      <c r="AY1241" s="21" t="str">
        <f>IF(AND($AM1241&lt;&gt;"",$AS1241&lt;&gt;"✓"),SUMPRODUCT(($AM$11:$AM1241&lt;&gt;"")*($AS$11:$AS1241&lt;&gt;"✓")),"")</f>
        <v/>
      </c>
      <c r="AZ1241" s="21" t="str">
        <f>IF(AND($AM1241&lt;&gt;"",$AS1241="✓"),SUMPRODUCT(($AM$11:$AM1241&lt;&gt;"")*($AS$11:$AS1241="✓")),"")</f>
        <v/>
      </c>
      <c r="BA1241" s="21" t="str">
        <f>IF($AL1241="","",$AL1241&amp;"|"&amp;COUNTIF($AL$11:$AL1241,$AL1241))</f>
        <v/>
      </c>
    </row>
    <row r="1242" spans="38:53" ht="15" customHeight="1" x14ac:dyDescent="0.25">
      <c r="AL1242" s="31"/>
      <c r="AM1242" s="26"/>
      <c r="AN1242" s="32"/>
      <c r="AO1242" s="32"/>
      <c r="AP1242" s="24"/>
      <c r="AQ1242" s="24"/>
      <c r="AR1242" s="33"/>
      <c r="AS1242" s="34"/>
      <c r="AT1242" s="33"/>
      <c r="AV1242" s="21">
        <f>IF(AND($AL1242&lt;&gt;"",COUNTIF($AL$11:$AL1242,$AL1242)=1),1,0)</f>
        <v>0</v>
      </c>
      <c r="AW1242" s="21">
        <f t="shared" si="125"/>
        <v>0</v>
      </c>
      <c r="AX1242" s="21" t="str">
        <f t="shared" si="124"/>
        <v/>
      </c>
      <c r="AY1242" s="21" t="str">
        <f>IF(AND($AM1242&lt;&gt;"",$AS1242&lt;&gt;"✓"),SUMPRODUCT(($AM$11:$AM1242&lt;&gt;"")*($AS$11:$AS1242&lt;&gt;"✓")),"")</f>
        <v/>
      </c>
      <c r="AZ1242" s="21" t="str">
        <f>IF(AND($AM1242&lt;&gt;"",$AS1242="✓"),SUMPRODUCT(($AM$11:$AM1242&lt;&gt;"")*($AS$11:$AS1242="✓")),"")</f>
        <v/>
      </c>
      <c r="BA1242" s="21" t="str">
        <f>IF($AL1242="","",$AL1242&amp;"|"&amp;COUNTIF($AL$11:$AL1242,$AL1242))</f>
        <v/>
      </c>
    </row>
    <row r="1243" spans="38:53" ht="15" customHeight="1" x14ac:dyDescent="0.25">
      <c r="AL1243" s="17"/>
      <c r="AM1243" s="12"/>
      <c r="AN1243" s="18"/>
      <c r="AO1243" s="18"/>
      <c r="AP1243" s="10"/>
      <c r="AQ1243" s="10"/>
      <c r="AR1243" s="19"/>
      <c r="AS1243" s="20"/>
      <c r="AT1243" s="19"/>
      <c r="AV1243" s="21">
        <f>IF(AND($AL1243&lt;&gt;"",COUNTIF($AL$11:$AL1243,$AL1243)=1),1,0)</f>
        <v>0</v>
      </c>
      <c r="AW1243" s="21">
        <f t="shared" si="125"/>
        <v>0</v>
      </c>
      <c r="AX1243" s="21" t="str">
        <f t="shared" si="124"/>
        <v/>
      </c>
      <c r="AY1243" s="21" t="str">
        <f>IF(AND($AM1243&lt;&gt;"",$AS1243&lt;&gt;"✓"),SUMPRODUCT(($AM$11:$AM1243&lt;&gt;"")*($AS$11:$AS1243&lt;&gt;"✓")),"")</f>
        <v/>
      </c>
      <c r="AZ1243" s="21" t="str">
        <f>IF(AND($AM1243&lt;&gt;"",$AS1243="✓"),SUMPRODUCT(($AM$11:$AM1243&lt;&gt;"")*($AS$11:$AS1243="✓")),"")</f>
        <v/>
      </c>
      <c r="BA1243" s="21" t="str">
        <f>IF($AL1243="","",$AL1243&amp;"|"&amp;COUNTIF($AL$11:$AL1243,$AL1243))</f>
        <v/>
      </c>
    </row>
    <row r="1244" spans="38:53" ht="15" customHeight="1" x14ac:dyDescent="0.25">
      <c r="AL1244" s="31"/>
      <c r="AM1244" s="26"/>
      <c r="AN1244" s="32"/>
      <c r="AO1244" s="32"/>
      <c r="AP1244" s="24"/>
      <c r="AQ1244" s="24"/>
      <c r="AR1244" s="33"/>
      <c r="AS1244" s="34"/>
      <c r="AT1244" s="33"/>
      <c r="AV1244" s="21">
        <f>IF(AND($AL1244&lt;&gt;"",COUNTIF($AL$11:$AL1244,$AL1244)=1),1,0)</f>
        <v>0</v>
      </c>
      <c r="AW1244" s="21">
        <f t="shared" si="125"/>
        <v>0</v>
      </c>
      <c r="AX1244" s="21" t="str">
        <f t="shared" si="124"/>
        <v/>
      </c>
      <c r="AY1244" s="21" t="str">
        <f>IF(AND($AM1244&lt;&gt;"",$AS1244&lt;&gt;"✓"),SUMPRODUCT(($AM$11:$AM1244&lt;&gt;"")*($AS$11:$AS1244&lt;&gt;"✓")),"")</f>
        <v/>
      </c>
      <c r="AZ1244" s="21" t="str">
        <f>IF(AND($AM1244&lt;&gt;"",$AS1244="✓"),SUMPRODUCT(($AM$11:$AM1244&lt;&gt;"")*($AS$11:$AS1244="✓")),"")</f>
        <v/>
      </c>
      <c r="BA1244" s="21" t="str">
        <f>IF($AL1244="","",$AL1244&amp;"|"&amp;COUNTIF($AL$11:$AL1244,$AL1244))</f>
        <v/>
      </c>
    </row>
    <row r="1245" spans="38:53" ht="15" customHeight="1" x14ac:dyDescent="0.25">
      <c r="AL1245" s="17"/>
      <c r="AM1245" s="12"/>
      <c r="AN1245" s="18"/>
      <c r="AO1245" s="18"/>
      <c r="AP1245" s="10"/>
      <c r="AQ1245" s="10"/>
      <c r="AR1245" s="19"/>
      <c r="AS1245" s="20"/>
      <c r="AT1245" s="19"/>
      <c r="AV1245" s="21">
        <f>IF(AND($AL1245&lt;&gt;"",COUNTIF($AL$11:$AL1245,$AL1245)=1),1,0)</f>
        <v>0</v>
      </c>
      <c r="AW1245" s="21">
        <f t="shared" si="125"/>
        <v>0</v>
      </c>
      <c r="AX1245" s="21" t="str">
        <f t="shared" si="124"/>
        <v/>
      </c>
      <c r="AY1245" s="21" t="str">
        <f>IF(AND($AM1245&lt;&gt;"",$AS1245&lt;&gt;"✓"),SUMPRODUCT(($AM$11:$AM1245&lt;&gt;"")*($AS$11:$AS1245&lt;&gt;"✓")),"")</f>
        <v/>
      </c>
      <c r="AZ1245" s="21" t="str">
        <f>IF(AND($AM1245&lt;&gt;"",$AS1245="✓"),SUMPRODUCT(($AM$11:$AM1245&lt;&gt;"")*($AS$11:$AS1245="✓")),"")</f>
        <v/>
      </c>
      <c r="BA1245" s="21" t="str">
        <f>IF($AL1245="","",$AL1245&amp;"|"&amp;COUNTIF($AL$11:$AL1245,$AL1245))</f>
        <v/>
      </c>
    </row>
    <row r="1246" spans="38:53" ht="15" customHeight="1" x14ac:dyDescent="0.25">
      <c r="AL1246" s="31"/>
      <c r="AM1246" s="26"/>
      <c r="AN1246" s="32"/>
      <c r="AO1246" s="32"/>
      <c r="AP1246" s="24"/>
      <c r="AQ1246" s="24"/>
      <c r="AR1246" s="33"/>
      <c r="AS1246" s="34"/>
      <c r="AT1246" s="33"/>
      <c r="AV1246" s="21">
        <f>IF(AND($AL1246&lt;&gt;"",COUNTIF($AL$11:$AL1246,$AL1246)=1),1,0)</f>
        <v>0</v>
      </c>
      <c r="AW1246" s="21">
        <f t="shared" si="125"/>
        <v>0</v>
      </c>
      <c r="AX1246" s="21" t="str">
        <f t="shared" si="124"/>
        <v/>
      </c>
      <c r="AY1246" s="21" t="str">
        <f>IF(AND($AM1246&lt;&gt;"",$AS1246&lt;&gt;"✓"),SUMPRODUCT(($AM$11:$AM1246&lt;&gt;"")*($AS$11:$AS1246&lt;&gt;"✓")),"")</f>
        <v/>
      </c>
      <c r="AZ1246" s="21" t="str">
        <f>IF(AND($AM1246&lt;&gt;"",$AS1246="✓"),SUMPRODUCT(($AM$11:$AM1246&lt;&gt;"")*($AS$11:$AS1246="✓")),"")</f>
        <v/>
      </c>
      <c r="BA1246" s="21" t="str">
        <f>IF($AL1246="","",$AL1246&amp;"|"&amp;COUNTIF($AL$11:$AL1246,$AL1246))</f>
        <v/>
      </c>
    </row>
    <row r="1247" spans="38:53" ht="15" customHeight="1" x14ac:dyDescent="0.25">
      <c r="AL1247" s="17"/>
      <c r="AM1247" s="12"/>
      <c r="AN1247" s="18"/>
      <c r="AO1247" s="18"/>
      <c r="AP1247" s="10"/>
      <c r="AQ1247" s="10"/>
      <c r="AR1247" s="19"/>
      <c r="AS1247" s="20"/>
      <c r="AT1247" s="19"/>
      <c r="AV1247" s="21">
        <f>IF(AND($AL1247&lt;&gt;"",COUNTIF($AL$11:$AL1247,$AL1247)=1),1,0)</f>
        <v>0</v>
      </c>
      <c r="AW1247" s="21">
        <f t="shared" si="125"/>
        <v>0</v>
      </c>
      <c r="AX1247" s="21" t="str">
        <f t="shared" si="124"/>
        <v/>
      </c>
      <c r="AY1247" s="21" t="str">
        <f>IF(AND($AM1247&lt;&gt;"",$AS1247&lt;&gt;"✓"),SUMPRODUCT(($AM$11:$AM1247&lt;&gt;"")*($AS$11:$AS1247&lt;&gt;"✓")),"")</f>
        <v/>
      </c>
      <c r="AZ1247" s="21" t="str">
        <f>IF(AND($AM1247&lt;&gt;"",$AS1247="✓"),SUMPRODUCT(($AM$11:$AM1247&lt;&gt;"")*($AS$11:$AS1247="✓")),"")</f>
        <v/>
      </c>
      <c r="BA1247" s="21" t="str">
        <f>IF($AL1247="","",$AL1247&amp;"|"&amp;COUNTIF($AL$11:$AL1247,$AL1247))</f>
        <v/>
      </c>
    </row>
    <row r="1248" spans="38:53" ht="15" customHeight="1" x14ac:dyDescent="0.25">
      <c r="AL1248" s="31"/>
      <c r="AM1248" s="26"/>
      <c r="AN1248" s="32"/>
      <c r="AO1248" s="32"/>
      <c r="AP1248" s="24"/>
      <c r="AQ1248" s="24"/>
      <c r="AR1248" s="33"/>
      <c r="AS1248" s="34"/>
      <c r="AT1248" s="33"/>
      <c r="AV1248" s="21">
        <f>IF(AND($AL1248&lt;&gt;"",COUNTIF($AL$11:$AL1248,$AL1248)=1),1,0)</f>
        <v>0</v>
      </c>
      <c r="AW1248" s="21">
        <f t="shared" si="125"/>
        <v>0</v>
      </c>
      <c r="AX1248" s="21" t="str">
        <f t="shared" si="124"/>
        <v/>
      </c>
      <c r="AY1248" s="21" t="str">
        <f>IF(AND($AM1248&lt;&gt;"",$AS1248&lt;&gt;"✓"),SUMPRODUCT(($AM$11:$AM1248&lt;&gt;"")*($AS$11:$AS1248&lt;&gt;"✓")),"")</f>
        <v/>
      </c>
      <c r="AZ1248" s="21" t="str">
        <f>IF(AND($AM1248&lt;&gt;"",$AS1248="✓"),SUMPRODUCT(($AM$11:$AM1248&lt;&gt;"")*($AS$11:$AS1248="✓")),"")</f>
        <v/>
      </c>
      <c r="BA1248" s="21" t="str">
        <f>IF($AL1248="","",$AL1248&amp;"|"&amp;COUNTIF($AL$11:$AL1248,$AL1248))</f>
        <v/>
      </c>
    </row>
    <row r="1249" spans="38:53" ht="15" customHeight="1" x14ac:dyDescent="0.25">
      <c r="AL1249" s="17"/>
      <c r="AM1249" s="12"/>
      <c r="AN1249" s="18"/>
      <c r="AO1249" s="18"/>
      <c r="AP1249" s="10"/>
      <c r="AQ1249" s="10"/>
      <c r="AR1249" s="19"/>
      <c r="AS1249" s="20"/>
      <c r="AT1249" s="19"/>
      <c r="AV1249" s="21">
        <f>IF(AND($AL1249&lt;&gt;"",COUNTIF($AL$11:$AL1249,$AL1249)=1),1,0)</f>
        <v>0</v>
      </c>
      <c r="AW1249" s="21">
        <f t="shared" si="125"/>
        <v>0</v>
      </c>
      <c r="AX1249" s="21" t="str">
        <f t="shared" si="124"/>
        <v/>
      </c>
      <c r="AY1249" s="21" t="str">
        <f>IF(AND($AM1249&lt;&gt;"",$AS1249&lt;&gt;"✓"),SUMPRODUCT(($AM$11:$AM1249&lt;&gt;"")*($AS$11:$AS1249&lt;&gt;"✓")),"")</f>
        <v/>
      </c>
      <c r="AZ1249" s="21" t="str">
        <f>IF(AND($AM1249&lt;&gt;"",$AS1249="✓"),SUMPRODUCT(($AM$11:$AM1249&lt;&gt;"")*($AS$11:$AS1249="✓")),"")</f>
        <v/>
      </c>
      <c r="BA1249" s="21" t="str">
        <f>IF($AL1249="","",$AL1249&amp;"|"&amp;COUNTIF($AL$11:$AL1249,$AL1249))</f>
        <v/>
      </c>
    </row>
    <row r="1250" spans="38:53" ht="15" customHeight="1" x14ac:dyDescent="0.25">
      <c r="AL1250" s="31"/>
      <c r="AM1250" s="26"/>
      <c r="AN1250" s="32"/>
      <c r="AO1250" s="32"/>
      <c r="AP1250" s="24"/>
      <c r="AQ1250" s="24"/>
      <c r="AR1250" s="33"/>
      <c r="AS1250" s="34"/>
      <c r="AT1250" s="33"/>
      <c r="AV1250" s="21">
        <f>IF(AND($AL1250&lt;&gt;"",COUNTIF($AL$11:$AL1250,$AL1250)=1),1,0)</f>
        <v>0</v>
      </c>
      <c r="AW1250" s="21">
        <f t="shared" si="125"/>
        <v>0</v>
      </c>
      <c r="AX1250" s="21" t="str">
        <f t="shared" si="124"/>
        <v/>
      </c>
      <c r="AY1250" s="21" t="str">
        <f>IF(AND($AM1250&lt;&gt;"",$AS1250&lt;&gt;"✓"),SUMPRODUCT(($AM$11:$AM1250&lt;&gt;"")*($AS$11:$AS1250&lt;&gt;"✓")),"")</f>
        <v/>
      </c>
      <c r="AZ1250" s="21" t="str">
        <f>IF(AND($AM1250&lt;&gt;"",$AS1250="✓"),SUMPRODUCT(($AM$11:$AM1250&lt;&gt;"")*($AS$11:$AS1250="✓")),"")</f>
        <v/>
      </c>
      <c r="BA1250" s="21" t="str">
        <f>IF($AL1250="","",$AL1250&amp;"|"&amp;COUNTIF($AL$11:$AL1250,$AL1250))</f>
        <v/>
      </c>
    </row>
    <row r="1251" spans="38:53" ht="15" customHeight="1" x14ac:dyDescent="0.25">
      <c r="AL1251" s="17"/>
      <c r="AM1251" s="12"/>
      <c r="AN1251" s="18"/>
      <c r="AO1251" s="18"/>
      <c r="AP1251" s="10"/>
      <c r="AQ1251" s="10"/>
      <c r="AR1251" s="19"/>
      <c r="AS1251" s="20"/>
      <c r="AT1251" s="19"/>
      <c r="AV1251" s="21">
        <f>IF(AND($AL1251&lt;&gt;"",COUNTIF($AL$11:$AL1251,$AL1251)=1),1,0)</f>
        <v>0</v>
      </c>
      <c r="AW1251" s="21">
        <f t="shared" si="125"/>
        <v>0</v>
      </c>
      <c r="AX1251" s="21" t="str">
        <f t="shared" si="124"/>
        <v/>
      </c>
      <c r="AY1251" s="21" t="str">
        <f>IF(AND($AM1251&lt;&gt;"",$AS1251&lt;&gt;"✓"),SUMPRODUCT(($AM$11:$AM1251&lt;&gt;"")*($AS$11:$AS1251&lt;&gt;"✓")),"")</f>
        <v/>
      </c>
      <c r="AZ1251" s="21" t="str">
        <f>IF(AND($AM1251&lt;&gt;"",$AS1251="✓"),SUMPRODUCT(($AM$11:$AM1251&lt;&gt;"")*($AS$11:$AS1251="✓")),"")</f>
        <v/>
      </c>
      <c r="BA1251" s="21" t="str">
        <f>IF($AL1251="","",$AL1251&amp;"|"&amp;COUNTIF($AL$11:$AL1251,$AL1251))</f>
        <v/>
      </c>
    </row>
    <row r="1252" spans="38:53" ht="15" customHeight="1" x14ac:dyDescent="0.25">
      <c r="AL1252" s="31"/>
      <c r="AM1252" s="26"/>
      <c r="AN1252" s="32"/>
      <c r="AO1252" s="32"/>
      <c r="AP1252" s="24"/>
      <c r="AQ1252" s="24"/>
      <c r="AR1252" s="33"/>
      <c r="AS1252" s="34"/>
      <c r="AT1252" s="33"/>
      <c r="AV1252" s="21">
        <f>IF(AND($AL1252&lt;&gt;"",COUNTIF($AL$11:$AL1252,$AL1252)=1),1,0)</f>
        <v>0</v>
      </c>
      <c r="AW1252" s="21">
        <f t="shared" si="125"/>
        <v>0</v>
      </c>
      <c r="AX1252" s="21" t="str">
        <f t="shared" si="124"/>
        <v/>
      </c>
      <c r="AY1252" s="21" t="str">
        <f>IF(AND($AM1252&lt;&gt;"",$AS1252&lt;&gt;"✓"),SUMPRODUCT(($AM$11:$AM1252&lt;&gt;"")*($AS$11:$AS1252&lt;&gt;"✓")),"")</f>
        <v/>
      </c>
      <c r="AZ1252" s="21" t="str">
        <f>IF(AND($AM1252&lt;&gt;"",$AS1252="✓"),SUMPRODUCT(($AM$11:$AM1252&lt;&gt;"")*($AS$11:$AS1252="✓")),"")</f>
        <v/>
      </c>
      <c r="BA1252" s="21" t="str">
        <f>IF($AL1252="","",$AL1252&amp;"|"&amp;COUNTIF($AL$11:$AL1252,$AL1252))</f>
        <v/>
      </c>
    </row>
    <row r="1253" spans="38:53" ht="15" customHeight="1" x14ac:dyDescent="0.25">
      <c r="AL1253" s="17"/>
      <c r="AM1253" s="12"/>
      <c r="AN1253" s="18"/>
      <c r="AO1253" s="18"/>
      <c r="AP1253" s="10"/>
      <c r="AQ1253" s="10"/>
      <c r="AR1253" s="19"/>
      <c r="AS1253" s="20"/>
      <c r="AT1253" s="19"/>
      <c r="AV1253" s="21">
        <f>IF(AND($AL1253&lt;&gt;"",COUNTIF($AL$11:$AL1253,$AL1253)=1),1,0)</f>
        <v>0</v>
      </c>
      <c r="AW1253" s="21">
        <f t="shared" si="125"/>
        <v>0</v>
      </c>
      <c r="AX1253" s="21" t="str">
        <f t="shared" si="124"/>
        <v/>
      </c>
      <c r="AY1253" s="21" t="str">
        <f>IF(AND($AM1253&lt;&gt;"",$AS1253&lt;&gt;"✓"),SUMPRODUCT(($AM$11:$AM1253&lt;&gt;"")*($AS$11:$AS1253&lt;&gt;"✓")),"")</f>
        <v/>
      </c>
      <c r="AZ1253" s="21" t="str">
        <f>IF(AND($AM1253&lt;&gt;"",$AS1253="✓"),SUMPRODUCT(($AM$11:$AM1253&lt;&gt;"")*($AS$11:$AS1253="✓")),"")</f>
        <v/>
      </c>
      <c r="BA1253" s="21" t="str">
        <f>IF($AL1253="","",$AL1253&amp;"|"&amp;COUNTIF($AL$11:$AL1253,$AL1253))</f>
        <v/>
      </c>
    </row>
    <row r="1254" spans="38:53" ht="15" customHeight="1" x14ac:dyDescent="0.25">
      <c r="AL1254" s="31"/>
      <c r="AM1254" s="26"/>
      <c r="AN1254" s="32"/>
      <c r="AO1254" s="32"/>
      <c r="AP1254" s="24"/>
      <c r="AQ1254" s="24"/>
      <c r="AR1254" s="33"/>
      <c r="AS1254" s="34"/>
      <c r="AT1254" s="33"/>
      <c r="AV1254" s="21">
        <f>IF(AND($AL1254&lt;&gt;"",COUNTIF($AL$11:$AL1254,$AL1254)=1),1,0)</f>
        <v>0</v>
      </c>
      <c r="AW1254" s="21">
        <f t="shared" si="125"/>
        <v>0</v>
      </c>
      <c r="AX1254" s="21" t="str">
        <f t="shared" si="124"/>
        <v/>
      </c>
      <c r="AY1254" s="21" t="str">
        <f>IF(AND($AM1254&lt;&gt;"",$AS1254&lt;&gt;"✓"),SUMPRODUCT(($AM$11:$AM1254&lt;&gt;"")*($AS$11:$AS1254&lt;&gt;"✓")),"")</f>
        <v/>
      </c>
      <c r="AZ1254" s="21" t="str">
        <f>IF(AND($AM1254&lt;&gt;"",$AS1254="✓"),SUMPRODUCT(($AM$11:$AM1254&lt;&gt;"")*($AS$11:$AS1254="✓")),"")</f>
        <v/>
      </c>
      <c r="BA1254" s="21" t="str">
        <f>IF($AL1254="","",$AL1254&amp;"|"&amp;COUNTIF($AL$11:$AL1254,$AL1254))</f>
        <v/>
      </c>
    </row>
    <row r="1255" spans="38:53" ht="15" customHeight="1" x14ac:dyDescent="0.25">
      <c r="AL1255" s="17"/>
      <c r="AM1255" s="12"/>
      <c r="AN1255" s="18"/>
      <c r="AO1255" s="18"/>
      <c r="AP1255" s="10"/>
      <c r="AQ1255" s="10"/>
      <c r="AR1255" s="19"/>
      <c r="AS1255" s="20"/>
      <c r="AT1255" s="19"/>
      <c r="AV1255" s="21">
        <f>IF(AND($AL1255&lt;&gt;"",COUNTIF($AL$11:$AL1255,$AL1255)=1),1,0)</f>
        <v>0</v>
      </c>
      <c r="AW1255" s="21">
        <f t="shared" si="125"/>
        <v>0</v>
      </c>
      <c r="AX1255" s="21" t="str">
        <f t="shared" si="124"/>
        <v/>
      </c>
      <c r="AY1255" s="21" t="str">
        <f>IF(AND($AM1255&lt;&gt;"",$AS1255&lt;&gt;"✓"),SUMPRODUCT(($AM$11:$AM1255&lt;&gt;"")*($AS$11:$AS1255&lt;&gt;"✓")),"")</f>
        <v/>
      </c>
      <c r="AZ1255" s="21" t="str">
        <f>IF(AND($AM1255&lt;&gt;"",$AS1255="✓"),SUMPRODUCT(($AM$11:$AM1255&lt;&gt;"")*($AS$11:$AS1255="✓")),"")</f>
        <v/>
      </c>
      <c r="BA1255" s="21" t="str">
        <f>IF($AL1255="","",$AL1255&amp;"|"&amp;COUNTIF($AL$11:$AL1255,$AL1255))</f>
        <v/>
      </c>
    </row>
    <row r="1256" spans="38:53" ht="15" customHeight="1" x14ac:dyDescent="0.25">
      <c r="AL1256" s="31"/>
      <c r="AM1256" s="26"/>
      <c r="AN1256" s="32"/>
      <c r="AO1256" s="32"/>
      <c r="AP1256" s="24"/>
      <c r="AQ1256" s="24"/>
      <c r="AR1256" s="33"/>
      <c r="AS1256" s="34"/>
      <c r="AT1256" s="33"/>
      <c r="AV1256" s="21">
        <f>IF(AND($AL1256&lt;&gt;"",COUNTIF($AL$11:$AL1256,$AL1256)=1),1,0)</f>
        <v>0</v>
      </c>
      <c r="AW1256" s="21">
        <f t="shared" si="125"/>
        <v>0</v>
      </c>
      <c r="AX1256" s="21" t="str">
        <f t="shared" si="124"/>
        <v/>
      </c>
      <c r="AY1256" s="21" t="str">
        <f>IF(AND($AM1256&lt;&gt;"",$AS1256&lt;&gt;"✓"),SUMPRODUCT(($AM$11:$AM1256&lt;&gt;"")*($AS$11:$AS1256&lt;&gt;"✓")),"")</f>
        <v/>
      </c>
      <c r="AZ1256" s="21" t="str">
        <f>IF(AND($AM1256&lt;&gt;"",$AS1256="✓"),SUMPRODUCT(($AM$11:$AM1256&lt;&gt;"")*($AS$11:$AS1256="✓")),"")</f>
        <v/>
      </c>
      <c r="BA1256" s="21" t="str">
        <f>IF($AL1256="","",$AL1256&amp;"|"&amp;COUNTIF($AL$11:$AL1256,$AL1256))</f>
        <v/>
      </c>
    </row>
    <row r="1257" spans="38:53" ht="15" customHeight="1" x14ac:dyDescent="0.25">
      <c r="AL1257" s="17"/>
      <c r="AM1257" s="12"/>
      <c r="AN1257" s="18"/>
      <c r="AO1257" s="18"/>
      <c r="AP1257" s="10"/>
      <c r="AQ1257" s="10"/>
      <c r="AR1257" s="19"/>
      <c r="AS1257" s="20"/>
      <c r="AT1257" s="19"/>
      <c r="AV1257" s="21">
        <f>IF(AND($AL1257&lt;&gt;"",COUNTIF($AL$11:$AL1257,$AL1257)=1),1,0)</f>
        <v>0</v>
      </c>
      <c r="AW1257" s="21">
        <f t="shared" si="125"/>
        <v>0</v>
      </c>
      <c r="AX1257" s="21" t="str">
        <f t="shared" si="124"/>
        <v/>
      </c>
      <c r="AY1257" s="21" t="str">
        <f>IF(AND($AM1257&lt;&gt;"",$AS1257&lt;&gt;"✓"),SUMPRODUCT(($AM$11:$AM1257&lt;&gt;"")*($AS$11:$AS1257&lt;&gt;"✓")),"")</f>
        <v/>
      </c>
      <c r="AZ1257" s="21" t="str">
        <f>IF(AND($AM1257&lt;&gt;"",$AS1257="✓"),SUMPRODUCT(($AM$11:$AM1257&lt;&gt;"")*($AS$11:$AS1257="✓")),"")</f>
        <v/>
      </c>
      <c r="BA1257" s="21" t="str">
        <f>IF($AL1257="","",$AL1257&amp;"|"&amp;COUNTIF($AL$11:$AL1257,$AL1257))</f>
        <v/>
      </c>
    </row>
    <row r="1258" spans="38:53" ht="15" customHeight="1" x14ac:dyDescent="0.25">
      <c r="AL1258" s="31"/>
      <c r="AM1258" s="26"/>
      <c r="AN1258" s="32"/>
      <c r="AO1258" s="32"/>
      <c r="AP1258" s="24"/>
      <c r="AQ1258" s="24"/>
      <c r="AR1258" s="33"/>
      <c r="AS1258" s="34"/>
      <c r="AT1258" s="33"/>
      <c r="AV1258" s="21">
        <f>IF(AND($AL1258&lt;&gt;"",COUNTIF($AL$11:$AL1258,$AL1258)=1),1,0)</f>
        <v>0</v>
      </c>
      <c r="AW1258" s="21">
        <f t="shared" si="125"/>
        <v>0</v>
      </c>
      <c r="AX1258" s="21" t="str">
        <f t="shared" si="124"/>
        <v/>
      </c>
      <c r="AY1258" s="21" t="str">
        <f>IF(AND($AM1258&lt;&gt;"",$AS1258&lt;&gt;"✓"),SUMPRODUCT(($AM$11:$AM1258&lt;&gt;"")*($AS$11:$AS1258&lt;&gt;"✓")),"")</f>
        <v/>
      </c>
      <c r="AZ1258" s="21" t="str">
        <f>IF(AND($AM1258&lt;&gt;"",$AS1258="✓"),SUMPRODUCT(($AM$11:$AM1258&lt;&gt;"")*($AS$11:$AS1258="✓")),"")</f>
        <v/>
      </c>
      <c r="BA1258" s="21" t="str">
        <f>IF($AL1258="","",$AL1258&amp;"|"&amp;COUNTIF($AL$11:$AL1258,$AL1258))</f>
        <v/>
      </c>
    </row>
    <row r="1259" spans="38:53" ht="15" customHeight="1" x14ac:dyDescent="0.25">
      <c r="AL1259" s="17"/>
      <c r="AM1259" s="12"/>
      <c r="AN1259" s="18"/>
      <c r="AO1259" s="18"/>
      <c r="AP1259" s="10"/>
      <c r="AQ1259" s="10"/>
      <c r="AR1259" s="19"/>
      <c r="AS1259" s="20"/>
      <c r="AT1259" s="19"/>
      <c r="AV1259" s="21">
        <f>IF(AND($AL1259&lt;&gt;"",COUNTIF($AL$11:$AL1259,$AL1259)=1),1,0)</f>
        <v>0</v>
      </c>
      <c r="AW1259" s="21">
        <f t="shared" si="125"/>
        <v>0</v>
      </c>
      <c r="AX1259" s="21" t="str">
        <f t="shared" si="124"/>
        <v/>
      </c>
      <c r="AY1259" s="21" t="str">
        <f>IF(AND($AM1259&lt;&gt;"",$AS1259&lt;&gt;"✓"),SUMPRODUCT(($AM$11:$AM1259&lt;&gt;"")*($AS$11:$AS1259&lt;&gt;"✓")),"")</f>
        <v/>
      </c>
      <c r="AZ1259" s="21" t="str">
        <f>IF(AND($AM1259&lt;&gt;"",$AS1259="✓"),SUMPRODUCT(($AM$11:$AM1259&lt;&gt;"")*($AS$11:$AS1259="✓")),"")</f>
        <v/>
      </c>
      <c r="BA1259" s="21" t="str">
        <f>IF($AL1259="","",$AL1259&amp;"|"&amp;COUNTIF($AL$11:$AL1259,$AL1259))</f>
        <v/>
      </c>
    </row>
    <row r="1260" spans="38:53" ht="15" customHeight="1" x14ac:dyDescent="0.25">
      <c r="AL1260" s="31"/>
      <c r="AM1260" s="26"/>
      <c r="AN1260" s="32"/>
      <c r="AO1260" s="32"/>
      <c r="AP1260" s="24"/>
      <c r="AQ1260" s="24"/>
      <c r="AR1260" s="33"/>
      <c r="AS1260" s="34"/>
      <c r="AT1260" s="33"/>
      <c r="AV1260" s="21">
        <f>IF(AND($AL1260&lt;&gt;"",COUNTIF($AL$11:$AL1260,$AL1260)=1),1,0)</f>
        <v>0</v>
      </c>
      <c r="AW1260" s="21">
        <f t="shared" si="125"/>
        <v>0</v>
      </c>
      <c r="AX1260" s="21" t="str">
        <f t="shared" si="124"/>
        <v/>
      </c>
      <c r="AY1260" s="21" t="str">
        <f>IF(AND($AM1260&lt;&gt;"",$AS1260&lt;&gt;"✓"),SUMPRODUCT(($AM$11:$AM1260&lt;&gt;"")*($AS$11:$AS1260&lt;&gt;"✓")),"")</f>
        <v/>
      </c>
      <c r="AZ1260" s="21" t="str">
        <f>IF(AND($AM1260&lt;&gt;"",$AS1260="✓"),SUMPRODUCT(($AM$11:$AM1260&lt;&gt;"")*($AS$11:$AS1260="✓")),"")</f>
        <v/>
      </c>
      <c r="BA1260" s="21" t="str">
        <f>IF($AL1260="","",$AL1260&amp;"|"&amp;COUNTIF($AL$11:$AL1260,$AL1260))</f>
        <v/>
      </c>
    </row>
    <row r="1261" spans="38:53" ht="15" customHeight="1" x14ac:dyDescent="0.25">
      <c r="AL1261" s="17"/>
      <c r="AM1261" s="12"/>
      <c r="AN1261" s="18"/>
      <c r="AO1261" s="18"/>
      <c r="AP1261" s="10"/>
      <c r="AQ1261" s="10"/>
      <c r="AR1261" s="19"/>
      <c r="AS1261" s="20"/>
      <c r="AT1261" s="19"/>
      <c r="AV1261" s="21">
        <f>IF(AND($AL1261&lt;&gt;"",COUNTIF($AL$11:$AL1261,$AL1261)=1),1,0)</f>
        <v>0</v>
      </c>
      <c r="AW1261" s="21">
        <f t="shared" si="125"/>
        <v>0</v>
      </c>
      <c r="AX1261" s="21" t="str">
        <f t="shared" si="124"/>
        <v/>
      </c>
      <c r="AY1261" s="21" t="str">
        <f>IF(AND($AM1261&lt;&gt;"",$AS1261&lt;&gt;"✓"),SUMPRODUCT(($AM$11:$AM1261&lt;&gt;"")*($AS$11:$AS1261&lt;&gt;"✓")),"")</f>
        <v/>
      </c>
      <c r="AZ1261" s="21" t="str">
        <f>IF(AND($AM1261&lt;&gt;"",$AS1261="✓"),SUMPRODUCT(($AM$11:$AM1261&lt;&gt;"")*($AS$11:$AS1261="✓")),"")</f>
        <v/>
      </c>
      <c r="BA1261" s="21" t="str">
        <f>IF($AL1261="","",$AL1261&amp;"|"&amp;COUNTIF($AL$11:$AL1261,$AL1261))</f>
        <v/>
      </c>
    </row>
    <row r="1262" spans="38:53" ht="15" customHeight="1" x14ac:dyDescent="0.25">
      <c r="AL1262" s="31"/>
      <c r="AM1262" s="26"/>
      <c r="AN1262" s="32"/>
      <c r="AO1262" s="32"/>
      <c r="AP1262" s="24"/>
      <c r="AQ1262" s="24"/>
      <c r="AR1262" s="33"/>
      <c r="AS1262" s="34"/>
      <c r="AT1262" s="33"/>
      <c r="AV1262" s="21">
        <f>IF(AND($AL1262&lt;&gt;"",COUNTIF($AL$11:$AL1262,$AL1262)=1),1,0)</f>
        <v>0</v>
      </c>
      <c r="AW1262" s="21">
        <f t="shared" si="125"/>
        <v>0</v>
      </c>
      <c r="AX1262" s="21" t="str">
        <f t="shared" si="124"/>
        <v/>
      </c>
      <c r="AY1262" s="21" t="str">
        <f>IF(AND($AM1262&lt;&gt;"",$AS1262&lt;&gt;"✓"),SUMPRODUCT(($AM$11:$AM1262&lt;&gt;"")*($AS$11:$AS1262&lt;&gt;"✓")),"")</f>
        <v/>
      </c>
      <c r="AZ1262" s="21" t="str">
        <f>IF(AND($AM1262&lt;&gt;"",$AS1262="✓"),SUMPRODUCT(($AM$11:$AM1262&lt;&gt;"")*($AS$11:$AS1262="✓")),"")</f>
        <v/>
      </c>
      <c r="BA1262" s="21" t="str">
        <f>IF($AL1262="","",$AL1262&amp;"|"&amp;COUNTIF($AL$11:$AL1262,$AL1262))</f>
        <v/>
      </c>
    </row>
    <row r="1263" spans="38:53" ht="15" customHeight="1" x14ac:dyDescent="0.25">
      <c r="AL1263" s="17"/>
      <c r="AM1263" s="12"/>
      <c r="AN1263" s="18"/>
      <c r="AO1263" s="18"/>
      <c r="AP1263" s="10"/>
      <c r="AQ1263" s="10"/>
      <c r="AR1263" s="19"/>
      <c r="AS1263" s="20"/>
      <c r="AT1263" s="19"/>
      <c r="AV1263" s="21">
        <f>IF(AND($AL1263&lt;&gt;"",COUNTIF($AL$11:$AL1263,$AL1263)=1),1,0)</f>
        <v>0</v>
      </c>
      <c r="AW1263" s="21">
        <f t="shared" si="125"/>
        <v>0</v>
      </c>
      <c r="AX1263" s="21" t="str">
        <f t="shared" si="124"/>
        <v/>
      </c>
      <c r="AY1263" s="21" t="str">
        <f>IF(AND($AM1263&lt;&gt;"",$AS1263&lt;&gt;"✓"),SUMPRODUCT(($AM$11:$AM1263&lt;&gt;"")*($AS$11:$AS1263&lt;&gt;"✓")),"")</f>
        <v/>
      </c>
      <c r="AZ1263" s="21" t="str">
        <f>IF(AND($AM1263&lt;&gt;"",$AS1263="✓"),SUMPRODUCT(($AM$11:$AM1263&lt;&gt;"")*($AS$11:$AS1263="✓")),"")</f>
        <v/>
      </c>
      <c r="BA1263" s="21" t="str">
        <f>IF($AL1263="","",$AL1263&amp;"|"&amp;COUNTIF($AL$11:$AL1263,$AL1263))</f>
        <v/>
      </c>
    </row>
    <row r="1264" spans="38:53" ht="15" customHeight="1" x14ac:dyDescent="0.25">
      <c r="AL1264" s="31"/>
      <c r="AM1264" s="26"/>
      <c r="AN1264" s="32"/>
      <c r="AO1264" s="32"/>
      <c r="AP1264" s="24"/>
      <c r="AQ1264" s="24"/>
      <c r="AR1264" s="33"/>
      <c r="AS1264" s="34"/>
      <c r="AT1264" s="33"/>
      <c r="AV1264" s="21">
        <f>IF(AND($AL1264&lt;&gt;"",COUNTIF($AL$11:$AL1264,$AL1264)=1),1,0)</f>
        <v>0</v>
      </c>
      <c r="AW1264" s="21">
        <f t="shared" si="125"/>
        <v>0</v>
      </c>
      <c r="AX1264" s="21" t="str">
        <f t="shared" si="124"/>
        <v/>
      </c>
      <c r="AY1264" s="21" t="str">
        <f>IF(AND($AM1264&lt;&gt;"",$AS1264&lt;&gt;"✓"),SUMPRODUCT(($AM$11:$AM1264&lt;&gt;"")*($AS$11:$AS1264&lt;&gt;"✓")),"")</f>
        <v/>
      </c>
      <c r="AZ1264" s="21" t="str">
        <f>IF(AND($AM1264&lt;&gt;"",$AS1264="✓"),SUMPRODUCT(($AM$11:$AM1264&lt;&gt;"")*($AS$11:$AS1264="✓")),"")</f>
        <v/>
      </c>
      <c r="BA1264" s="21" t="str">
        <f>IF($AL1264="","",$AL1264&amp;"|"&amp;COUNTIF($AL$11:$AL1264,$AL1264))</f>
        <v/>
      </c>
    </row>
    <row r="1265" spans="38:53" ht="15" customHeight="1" x14ac:dyDescent="0.25">
      <c r="AL1265" s="17"/>
      <c r="AM1265" s="12"/>
      <c r="AN1265" s="18"/>
      <c r="AO1265" s="18"/>
      <c r="AP1265" s="10"/>
      <c r="AQ1265" s="10"/>
      <c r="AR1265" s="19"/>
      <c r="AS1265" s="20"/>
      <c r="AT1265" s="19"/>
      <c r="AV1265" s="21">
        <f>IF(AND($AL1265&lt;&gt;"",COUNTIF($AL$11:$AL1265,$AL1265)=1),1,0)</f>
        <v>0</v>
      </c>
      <c r="AW1265" s="21">
        <f t="shared" si="125"/>
        <v>0</v>
      </c>
      <c r="AX1265" s="21" t="str">
        <f t="shared" si="124"/>
        <v/>
      </c>
      <c r="AY1265" s="21" t="str">
        <f>IF(AND($AM1265&lt;&gt;"",$AS1265&lt;&gt;"✓"),SUMPRODUCT(($AM$11:$AM1265&lt;&gt;"")*($AS$11:$AS1265&lt;&gt;"✓")),"")</f>
        <v/>
      </c>
      <c r="AZ1265" s="21" t="str">
        <f>IF(AND($AM1265&lt;&gt;"",$AS1265="✓"),SUMPRODUCT(($AM$11:$AM1265&lt;&gt;"")*($AS$11:$AS1265="✓")),"")</f>
        <v/>
      </c>
      <c r="BA1265" s="21" t="str">
        <f>IF($AL1265="","",$AL1265&amp;"|"&amp;COUNTIF($AL$11:$AL1265,$AL1265))</f>
        <v/>
      </c>
    </row>
    <row r="1266" spans="38:53" ht="15" customHeight="1" x14ac:dyDescent="0.25">
      <c r="AL1266" s="31"/>
      <c r="AM1266" s="26"/>
      <c r="AN1266" s="32"/>
      <c r="AO1266" s="32"/>
      <c r="AP1266" s="24"/>
      <c r="AQ1266" s="24"/>
      <c r="AR1266" s="33"/>
      <c r="AS1266" s="34"/>
      <c r="AT1266" s="33"/>
      <c r="AV1266" s="21">
        <f>IF(AND($AL1266&lt;&gt;"",COUNTIF($AL$11:$AL1266,$AL1266)=1),1,0)</f>
        <v>0</v>
      </c>
      <c r="AW1266" s="21">
        <f t="shared" si="125"/>
        <v>0</v>
      </c>
      <c r="AX1266" s="21" t="str">
        <f t="shared" si="124"/>
        <v/>
      </c>
      <c r="AY1266" s="21" t="str">
        <f>IF(AND($AM1266&lt;&gt;"",$AS1266&lt;&gt;"✓"),SUMPRODUCT(($AM$11:$AM1266&lt;&gt;"")*($AS$11:$AS1266&lt;&gt;"✓")),"")</f>
        <v/>
      </c>
      <c r="AZ1266" s="21" t="str">
        <f>IF(AND($AM1266&lt;&gt;"",$AS1266="✓"),SUMPRODUCT(($AM$11:$AM1266&lt;&gt;"")*($AS$11:$AS1266="✓")),"")</f>
        <v/>
      </c>
      <c r="BA1266" s="21" t="str">
        <f>IF($AL1266="","",$AL1266&amp;"|"&amp;COUNTIF($AL$11:$AL1266,$AL1266))</f>
        <v/>
      </c>
    </row>
    <row r="1267" spans="38:53" ht="15" customHeight="1" x14ac:dyDescent="0.25">
      <c r="AL1267" s="17"/>
      <c r="AM1267" s="12"/>
      <c r="AN1267" s="18"/>
      <c r="AO1267" s="18"/>
      <c r="AP1267" s="10"/>
      <c r="AQ1267" s="10"/>
      <c r="AR1267" s="19"/>
      <c r="AS1267" s="20"/>
      <c r="AT1267" s="19"/>
      <c r="AV1267" s="21">
        <f>IF(AND($AL1267&lt;&gt;"",COUNTIF($AL$11:$AL1267,$AL1267)=1),1,0)</f>
        <v>0</v>
      </c>
      <c r="AW1267" s="21">
        <f t="shared" si="125"/>
        <v>0</v>
      </c>
      <c r="AX1267" s="21" t="str">
        <f t="shared" si="124"/>
        <v/>
      </c>
      <c r="AY1267" s="21" t="str">
        <f>IF(AND($AM1267&lt;&gt;"",$AS1267&lt;&gt;"✓"),SUMPRODUCT(($AM$11:$AM1267&lt;&gt;"")*($AS$11:$AS1267&lt;&gt;"✓")),"")</f>
        <v/>
      </c>
      <c r="AZ1267" s="21" t="str">
        <f>IF(AND($AM1267&lt;&gt;"",$AS1267="✓"),SUMPRODUCT(($AM$11:$AM1267&lt;&gt;"")*($AS$11:$AS1267="✓")),"")</f>
        <v/>
      </c>
      <c r="BA1267" s="21" t="str">
        <f>IF($AL1267="","",$AL1267&amp;"|"&amp;COUNTIF($AL$11:$AL1267,$AL1267))</f>
        <v/>
      </c>
    </row>
    <row r="1268" spans="38:53" ht="15" customHeight="1" x14ac:dyDescent="0.25">
      <c r="AL1268" s="31"/>
      <c r="AM1268" s="26"/>
      <c r="AN1268" s="32"/>
      <c r="AO1268" s="32"/>
      <c r="AP1268" s="24"/>
      <c r="AQ1268" s="24"/>
      <c r="AR1268" s="33"/>
      <c r="AS1268" s="34"/>
      <c r="AT1268" s="33"/>
      <c r="AV1268" s="21">
        <f>IF(AND($AL1268&lt;&gt;"",COUNTIF($AL$11:$AL1268,$AL1268)=1),1,0)</f>
        <v>0</v>
      </c>
      <c r="AW1268" s="21">
        <f t="shared" si="125"/>
        <v>0</v>
      </c>
      <c r="AX1268" s="21" t="str">
        <f t="shared" si="124"/>
        <v/>
      </c>
      <c r="AY1268" s="21" t="str">
        <f>IF(AND($AM1268&lt;&gt;"",$AS1268&lt;&gt;"✓"),SUMPRODUCT(($AM$11:$AM1268&lt;&gt;"")*($AS$11:$AS1268&lt;&gt;"✓")),"")</f>
        <v/>
      </c>
      <c r="AZ1268" s="21" t="str">
        <f>IF(AND($AM1268&lt;&gt;"",$AS1268="✓"),SUMPRODUCT(($AM$11:$AM1268&lt;&gt;"")*($AS$11:$AS1268="✓")),"")</f>
        <v/>
      </c>
      <c r="BA1268" s="21" t="str">
        <f>IF($AL1268="","",$AL1268&amp;"|"&amp;COUNTIF($AL$11:$AL1268,$AL1268))</f>
        <v/>
      </c>
    </row>
    <row r="1269" spans="38:53" ht="15" customHeight="1" x14ac:dyDescent="0.25">
      <c r="AL1269" s="17"/>
      <c r="AM1269" s="12"/>
      <c r="AN1269" s="18"/>
      <c r="AO1269" s="18"/>
      <c r="AP1269" s="10"/>
      <c r="AQ1269" s="10"/>
      <c r="AR1269" s="19"/>
      <c r="AS1269" s="20"/>
      <c r="AT1269" s="19"/>
      <c r="AV1269" s="21">
        <f>IF(AND($AL1269&lt;&gt;"",COUNTIF($AL$11:$AL1269,$AL1269)=1),1,0)</f>
        <v>0</v>
      </c>
      <c r="AW1269" s="21">
        <f t="shared" si="125"/>
        <v>0</v>
      </c>
      <c r="AX1269" s="21" t="str">
        <f t="shared" si="124"/>
        <v/>
      </c>
      <c r="AY1269" s="21" t="str">
        <f>IF(AND($AM1269&lt;&gt;"",$AS1269&lt;&gt;"✓"),SUMPRODUCT(($AM$11:$AM1269&lt;&gt;"")*($AS$11:$AS1269&lt;&gt;"✓")),"")</f>
        <v/>
      </c>
      <c r="AZ1269" s="21" t="str">
        <f>IF(AND($AM1269&lt;&gt;"",$AS1269="✓"),SUMPRODUCT(($AM$11:$AM1269&lt;&gt;"")*($AS$11:$AS1269="✓")),"")</f>
        <v/>
      </c>
      <c r="BA1269" s="21" t="str">
        <f>IF($AL1269="","",$AL1269&amp;"|"&amp;COUNTIF($AL$11:$AL1269,$AL1269))</f>
        <v/>
      </c>
    </row>
    <row r="1270" spans="38:53" ht="15" customHeight="1" x14ac:dyDescent="0.25">
      <c r="AL1270" s="31"/>
      <c r="AM1270" s="26"/>
      <c r="AN1270" s="32"/>
      <c r="AO1270" s="32"/>
      <c r="AP1270" s="24"/>
      <c r="AQ1270" s="24"/>
      <c r="AR1270" s="33"/>
      <c r="AS1270" s="34"/>
      <c r="AT1270" s="33"/>
      <c r="AV1270" s="21">
        <f>IF(AND($AL1270&lt;&gt;"",COUNTIF($AL$11:$AL1270,$AL1270)=1),1,0)</f>
        <v>0</v>
      </c>
      <c r="AW1270" s="21">
        <f t="shared" si="125"/>
        <v>0</v>
      </c>
      <c r="AX1270" s="21" t="str">
        <f t="shared" si="124"/>
        <v/>
      </c>
      <c r="AY1270" s="21" t="str">
        <f>IF(AND($AM1270&lt;&gt;"",$AS1270&lt;&gt;"✓"),SUMPRODUCT(($AM$11:$AM1270&lt;&gt;"")*($AS$11:$AS1270&lt;&gt;"✓")),"")</f>
        <v/>
      </c>
      <c r="AZ1270" s="21" t="str">
        <f>IF(AND($AM1270&lt;&gt;"",$AS1270="✓"),SUMPRODUCT(($AM$11:$AM1270&lt;&gt;"")*($AS$11:$AS1270="✓")),"")</f>
        <v/>
      </c>
      <c r="BA1270" s="21" t="str">
        <f>IF($AL1270="","",$AL1270&amp;"|"&amp;COUNTIF($AL$11:$AL1270,$AL1270))</f>
        <v/>
      </c>
    </row>
    <row r="1271" spans="38:53" ht="15" customHeight="1" x14ac:dyDescent="0.25">
      <c r="AL1271" s="17"/>
      <c r="AM1271" s="12"/>
      <c r="AN1271" s="18"/>
      <c r="AO1271" s="18"/>
      <c r="AP1271" s="10"/>
      <c r="AQ1271" s="10"/>
      <c r="AR1271" s="19"/>
      <c r="AS1271" s="20"/>
      <c r="AT1271" s="19"/>
      <c r="AV1271" s="21">
        <f>IF(AND($AL1271&lt;&gt;"",COUNTIF($AL$11:$AL1271,$AL1271)=1),1,0)</f>
        <v>0</v>
      </c>
      <c r="AW1271" s="21">
        <f t="shared" si="125"/>
        <v>0</v>
      </c>
      <c r="AX1271" s="21" t="str">
        <f t="shared" si="124"/>
        <v/>
      </c>
      <c r="AY1271" s="21" t="str">
        <f>IF(AND($AM1271&lt;&gt;"",$AS1271&lt;&gt;"✓"),SUMPRODUCT(($AM$11:$AM1271&lt;&gt;"")*($AS$11:$AS1271&lt;&gt;"✓")),"")</f>
        <v/>
      </c>
      <c r="AZ1271" s="21" t="str">
        <f>IF(AND($AM1271&lt;&gt;"",$AS1271="✓"),SUMPRODUCT(($AM$11:$AM1271&lt;&gt;"")*($AS$11:$AS1271="✓")),"")</f>
        <v/>
      </c>
      <c r="BA1271" s="21" t="str">
        <f>IF($AL1271="","",$AL1271&amp;"|"&amp;COUNTIF($AL$11:$AL1271,$AL1271))</f>
        <v/>
      </c>
    </row>
    <row r="1272" spans="38:53" ht="15" customHeight="1" x14ac:dyDescent="0.25">
      <c r="AL1272" s="31"/>
      <c r="AM1272" s="26"/>
      <c r="AN1272" s="32"/>
      <c r="AO1272" s="32"/>
      <c r="AP1272" s="24"/>
      <c r="AQ1272" s="24"/>
      <c r="AR1272" s="33"/>
      <c r="AS1272" s="34"/>
      <c r="AT1272" s="33"/>
      <c r="AV1272" s="21">
        <f>IF(AND($AL1272&lt;&gt;"",COUNTIF($AL$11:$AL1272,$AL1272)=1),1,0)</f>
        <v>0</v>
      </c>
      <c r="AW1272" s="21">
        <f t="shared" si="125"/>
        <v>0</v>
      </c>
      <c r="AX1272" s="21" t="str">
        <f t="shared" si="124"/>
        <v/>
      </c>
      <c r="AY1272" s="21" t="str">
        <f>IF(AND($AM1272&lt;&gt;"",$AS1272&lt;&gt;"✓"),SUMPRODUCT(($AM$11:$AM1272&lt;&gt;"")*($AS$11:$AS1272&lt;&gt;"✓")),"")</f>
        <v/>
      </c>
      <c r="AZ1272" s="21" t="str">
        <f>IF(AND($AM1272&lt;&gt;"",$AS1272="✓"),SUMPRODUCT(($AM$11:$AM1272&lt;&gt;"")*($AS$11:$AS1272="✓")),"")</f>
        <v/>
      </c>
      <c r="BA1272" s="21" t="str">
        <f>IF($AL1272="","",$AL1272&amp;"|"&amp;COUNTIF($AL$11:$AL1272,$AL1272))</f>
        <v/>
      </c>
    </row>
    <row r="1273" spans="38:53" ht="15" customHeight="1" x14ac:dyDescent="0.25">
      <c r="AL1273" s="17"/>
      <c r="AM1273" s="12"/>
      <c r="AN1273" s="18"/>
      <c r="AO1273" s="18"/>
      <c r="AP1273" s="10"/>
      <c r="AQ1273" s="10"/>
      <c r="AR1273" s="19"/>
      <c r="AS1273" s="20"/>
      <c r="AT1273" s="19"/>
      <c r="AV1273" s="21">
        <f>IF(AND($AL1273&lt;&gt;"",COUNTIF($AL$11:$AL1273,$AL1273)=1),1,0)</f>
        <v>0</v>
      </c>
      <c r="AW1273" s="21">
        <f t="shared" si="125"/>
        <v>0</v>
      </c>
      <c r="AX1273" s="21" t="str">
        <f t="shared" si="124"/>
        <v/>
      </c>
      <c r="AY1273" s="21" t="str">
        <f>IF(AND($AM1273&lt;&gt;"",$AS1273&lt;&gt;"✓"),SUMPRODUCT(($AM$11:$AM1273&lt;&gt;"")*($AS$11:$AS1273&lt;&gt;"✓")),"")</f>
        <v/>
      </c>
      <c r="AZ1273" s="21" t="str">
        <f>IF(AND($AM1273&lt;&gt;"",$AS1273="✓"),SUMPRODUCT(($AM$11:$AM1273&lt;&gt;"")*($AS$11:$AS1273="✓")),"")</f>
        <v/>
      </c>
      <c r="BA1273" s="21" t="str">
        <f>IF($AL1273="","",$AL1273&amp;"|"&amp;COUNTIF($AL$11:$AL1273,$AL1273))</f>
        <v/>
      </c>
    </row>
    <row r="1274" spans="38:53" ht="15" customHeight="1" x14ac:dyDescent="0.25">
      <c r="AL1274" s="31"/>
      <c r="AM1274" s="26"/>
      <c r="AN1274" s="32"/>
      <c r="AO1274" s="32"/>
      <c r="AP1274" s="24"/>
      <c r="AQ1274" s="24"/>
      <c r="AR1274" s="33"/>
      <c r="AS1274" s="34"/>
      <c r="AT1274" s="33"/>
      <c r="AV1274" s="21">
        <f>IF(AND($AL1274&lt;&gt;"",COUNTIF($AL$11:$AL1274,$AL1274)=1),1,0)</f>
        <v>0</v>
      </c>
      <c r="AW1274" s="21">
        <f t="shared" si="125"/>
        <v>0</v>
      </c>
      <c r="AX1274" s="21" t="str">
        <f t="shared" si="124"/>
        <v/>
      </c>
      <c r="AY1274" s="21" t="str">
        <f>IF(AND($AM1274&lt;&gt;"",$AS1274&lt;&gt;"✓"),SUMPRODUCT(($AM$11:$AM1274&lt;&gt;"")*($AS$11:$AS1274&lt;&gt;"✓")),"")</f>
        <v/>
      </c>
      <c r="AZ1274" s="21" t="str">
        <f>IF(AND($AM1274&lt;&gt;"",$AS1274="✓"),SUMPRODUCT(($AM$11:$AM1274&lt;&gt;"")*($AS$11:$AS1274="✓")),"")</f>
        <v/>
      </c>
      <c r="BA1274" s="21" t="str">
        <f>IF($AL1274="","",$AL1274&amp;"|"&amp;COUNTIF($AL$11:$AL1274,$AL1274))</f>
        <v/>
      </c>
    </row>
    <row r="1275" spans="38:53" ht="15" customHeight="1" x14ac:dyDescent="0.25">
      <c r="AL1275" s="17"/>
      <c r="AM1275" s="12"/>
      <c r="AN1275" s="18"/>
      <c r="AO1275" s="18"/>
      <c r="AP1275" s="10"/>
      <c r="AQ1275" s="10"/>
      <c r="AR1275" s="19"/>
      <c r="AS1275" s="20"/>
      <c r="AT1275" s="19"/>
      <c r="AV1275" s="21">
        <f>IF(AND($AL1275&lt;&gt;"",COUNTIF($AL$11:$AL1275,$AL1275)=1),1,0)</f>
        <v>0</v>
      </c>
      <c r="AW1275" s="21">
        <f t="shared" si="125"/>
        <v>0</v>
      </c>
      <c r="AX1275" s="21" t="str">
        <f t="shared" si="124"/>
        <v/>
      </c>
      <c r="AY1275" s="21" t="str">
        <f>IF(AND($AM1275&lt;&gt;"",$AS1275&lt;&gt;"✓"),SUMPRODUCT(($AM$11:$AM1275&lt;&gt;"")*($AS$11:$AS1275&lt;&gt;"✓")),"")</f>
        <v/>
      </c>
      <c r="AZ1275" s="21" t="str">
        <f>IF(AND($AM1275&lt;&gt;"",$AS1275="✓"),SUMPRODUCT(($AM$11:$AM1275&lt;&gt;"")*($AS$11:$AS1275="✓")),"")</f>
        <v/>
      </c>
      <c r="BA1275" s="21" t="str">
        <f>IF($AL1275="","",$AL1275&amp;"|"&amp;COUNTIF($AL$11:$AL1275,$AL1275))</f>
        <v/>
      </c>
    </row>
    <row r="1276" spans="38:53" ht="15" customHeight="1" x14ac:dyDescent="0.25">
      <c r="AL1276" s="31"/>
      <c r="AM1276" s="26"/>
      <c r="AN1276" s="32"/>
      <c r="AO1276" s="32"/>
      <c r="AP1276" s="24"/>
      <c r="AQ1276" s="24"/>
      <c r="AR1276" s="33"/>
      <c r="AS1276" s="34"/>
      <c r="AT1276" s="33"/>
      <c r="AV1276" s="21">
        <f>IF(AND($AL1276&lt;&gt;"",COUNTIF($AL$11:$AL1276,$AL1276)=1),1,0)</f>
        <v>0</v>
      </c>
      <c r="AW1276" s="21">
        <f t="shared" si="125"/>
        <v>0</v>
      </c>
      <c r="AX1276" s="21" t="str">
        <f t="shared" si="124"/>
        <v/>
      </c>
      <c r="AY1276" s="21" t="str">
        <f>IF(AND($AM1276&lt;&gt;"",$AS1276&lt;&gt;"✓"),SUMPRODUCT(($AM$11:$AM1276&lt;&gt;"")*($AS$11:$AS1276&lt;&gt;"✓")),"")</f>
        <v/>
      </c>
      <c r="AZ1276" s="21" t="str">
        <f>IF(AND($AM1276&lt;&gt;"",$AS1276="✓"),SUMPRODUCT(($AM$11:$AM1276&lt;&gt;"")*($AS$11:$AS1276="✓")),"")</f>
        <v/>
      </c>
      <c r="BA1276" s="21" t="str">
        <f>IF($AL1276="","",$AL1276&amp;"|"&amp;COUNTIF($AL$11:$AL1276,$AL1276))</f>
        <v/>
      </c>
    </row>
    <row r="1277" spans="38:53" ht="15" customHeight="1" x14ac:dyDescent="0.25">
      <c r="AL1277" s="17"/>
      <c r="AM1277" s="12"/>
      <c r="AN1277" s="18"/>
      <c r="AO1277" s="18"/>
      <c r="AP1277" s="10"/>
      <c r="AQ1277" s="10"/>
      <c r="AR1277" s="19"/>
      <c r="AS1277" s="20"/>
      <c r="AT1277" s="19"/>
      <c r="AV1277" s="21">
        <f>IF(AND($AL1277&lt;&gt;"",COUNTIF($AL$11:$AL1277,$AL1277)=1),1,0)</f>
        <v>0</v>
      </c>
      <c r="AW1277" s="21">
        <f t="shared" si="125"/>
        <v>0</v>
      </c>
      <c r="AX1277" s="21" t="str">
        <f t="shared" si="124"/>
        <v/>
      </c>
      <c r="AY1277" s="21" t="str">
        <f>IF(AND($AM1277&lt;&gt;"",$AS1277&lt;&gt;"✓"),SUMPRODUCT(($AM$11:$AM1277&lt;&gt;"")*($AS$11:$AS1277&lt;&gt;"✓")),"")</f>
        <v/>
      </c>
      <c r="AZ1277" s="21" t="str">
        <f>IF(AND($AM1277&lt;&gt;"",$AS1277="✓"),SUMPRODUCT(($AM$11:$AM1277&lt;&gt;"")*($AS$11:$AS1277="✓")),"")</f>
        <v/>
      </c>
      <c r="BA1277" s="21" t="str">
        <f>IF($AL1277="","",$AL1277&amp;"|"&amp;COUNTIF($AL$11:$AL1277,$AL1277))</f>
        <v/>
      </c>
    </row>
    <row r="1278" spans="38:53" ht="15" customHeight="1" x14ac:dyDescent="0.25">
      <c r="AL1278" s="31"/>
      <c r="AM1278" s="26"/>
      <c r="AN1278" s="32"/>
      <c r="AO1278" s="32"/>
      <c r="AP1278" s="24"/>
      <c r="AQ1278" s="24"/>
      <c r="AR1278" s="33"/>
      <c r="AS1278" s="34"/>
      <c r="AT1278" s="33"/>
      <c r="AV1278" s="21">
        <f>IF(AND($AL1278&lt;&gt;"",COUNTIF($AL$11:$AL1278,$AL1278)=1),1,0)</f>
        <v>0</v>
      </c>
      <c r="AW1278" s="21">
        <f t="shared" si="125"/>
        <v>0</v>
      </c>
      <c r="AX1278" s="21" t="str">
        <f t="shared" si="124"/>
        <v/>
      </c>
      <c r="AY1278" s="21" t="str">
        <f>IF(AND($AM1278&lt;&gt;"",$AS1278&lt;&gt;"✓"),SUMPRODUCT(($AM$11:$AM1278&lt;&gt;"")*($AS$11:$AS1278&lt;&gt;"✓")),"")</f>
        <v/>
      </c>
      <c r="AZ1278" s="21" t="str">
        <f>IF(AND($AM1278&lt;&gt;"",$AS1278="✓"),SUMPRODUCT(($AM$11:$AM1278&lt;&gt;"")*($AS$11:$AS1278="✓")),"")</f>
        <v/>
      </c>
      <c r="BA1278" s="21" t="str">
        <f>IF($AL1278="","",$AL1278&amp;"|"&amp;COUNTIF($AL$11:$AL1278,$AL1278))</f>
        <v/>
      </c>
    </row>
    <row r="1279" spans="38:53" ht="15" customHeight="1" x14ac:dyDescent="0.25">
      <c r="AL1279" s="17"/>
      <c r="AM1279" s="12"/>
      <c r="AN1279" s="18"/>
      <c r="AO1279" s="18"/>
      <c r="AP1279" s="10"/>
      <c r="AQ1279" s="10"/>
      <c r="AR1279" s="19"/>
      <c r="AS1279" s="20"/>
      <c r="AT1279" s="19"/>
      <c r="AV1279" s="21">
        <f>IF(AND($AL1279&lt;&gt;"",COUNTIF($AL$11:$AL1279,$AL1279)=1),1,0)</f>
        <v>0</v>
      </c>
      <c r="AW1279" s="21">
        <f t="shared" si="125"/>
        <v>0</v>
      </c>
      <c r="AX1279" s="21" t="str">
        <f t="shared" si="124"/>
        <v/>
      </c>
      <c r="AY1279" s="21" t="str">
        <f>IF(AND($AM1279&lt;&gt;"",$AS1279&lt;&gt;"✓"),SUMPRODUCT(($AM$11:$AM1279&lt;&gt;"")*($AS$11:$AS1279&lt;&gt;"✓")),"")</f>
        <v/>
      </c>
      <c r="AZ1279" s="21" t="str">
        <f>IF(AND($AM1279&lt;&gt;"",$AS1279="✓"),SUMPRODUCT(($AM$11:$AM1279&lt;&gt;"")*($AS$11:$AS1279="✓")),"")</f>
        <v/>
      </c>
      <c r="BA1279" s="21" t="str">
        <f>IF($AL1279="","",$AL1279&amp;"|"&amp;COUNTIF($AL$11:$AL1279,$AL1279))</f>
        <v/>
      </c>
    </row>
    <row r="1280" spans="38:53" ht="15" customHeight="1" x14ac:dyDescent="0.25">
      <c r="AL1280" s="31"/>
      <c r="AM1280" s="26"/>
      <c r="AN1280" s="32"/>
      <c r="AO1280" s="32"/>
      <c r="AP1280" s="24"/>
      <c r="AQ1280" s="24"/>
      <c r="AR1280" s="33"/>
      <c r="AS1280" s="34"/>
      <c r="AT1280" s="33"/>
      <c r="AV1280" s="21">
        <f>IF(AND($AL1280&lt;&gt;"",COUNTIF($AL$11:$AL1280,$AL1280)=1),1,0)</f>
        <v>0</v>
      </c>
      <c r="AW1280" s="21">
        <f t="shared" si="125"/>
        <v>0</v>
      </c>
      <c r="AX1280" s="21" t="str">
        <f t="shared" si="124"/>
        <v/>
      </c>
      <c r="AY1280" s="21" t="str">
        <f>IF(AND($AM1280&lt;&gt;"",$AS1280&lt;&gt;"✓"),SUMPRODUCT(($AM$11:$AM1280&lt;&gt;"")*($AS$11:$AS1280&lt;&gt;"✓")),"")</f>
        <v/>
      </c>
      <c r="AZ1280" s="21" t="str">
        <f>IF(AND($AM1280&lt;&gt;"",$AS1280="✓"),SUMPRODUCT(($AM$11:$AM1280&lt;&gt;"")*($AS$11:$AS1280="✓")),"")</f>
        <v/>
      </c>
      <c r="BA1280" s="21" t="str">
        <f>IF($AL1280="","",$AL1280&amp;"|"&amp;COUNTIF($AL$11:$AL1280,$AL1280))</f>
        <v/>
      </c>
    </row>
    <row r="1281" spans="38:53" ht="15" customHeight="1" x14ac:dyDescent="0.25">
      <c r="AL1281" s="17"/>
      <c r="AM1281" s="12"/>
      <c r="AN1281" s="18"/>
      <c r="AO1281" s="18"/>
      <c r="AP1281" s="10"/>
      <c r="AQ1281" s="10"/>
      <c r="AR1281" s="19"/>
      <c r="AS1281" s="20"/>
      <c r="AT1281" s="19"/>
      <c r="AV1281" s="21">
        <f>IF(AND($AL1281&lt;&gt;"",COUNTIF($AL$11:$AL1281,$AL1281)=1),1,0)</f>
        <v>0</v>
      </c>
      <c r="AW1281" s="21">
        <f t="shared" si="125"/>
        <v>0</v>
      </c>
      <c r="AX1281" s="21" t="str">
        <f t="shared" si="124"/>
        <v/>
      </c>
      <c r="AY1281" s="21" t="str">
        <f>IF(AND($AM1281&lt;&gt;"",$AS1281&lt;&gt;"✓"),SUMPRODUCT(($AM$11:$AM1281&lt;&gt;"")*($AS$11:$AS1281&lt;&gt;"✓")),"")</f>
        <v/>
      </c>
      <c r="AZ1281" s="21" t="str">
        <f>IF(AND($AM1281&lt;&gt;"",$AS1281="✓"),SUMPRODUCT(($AM$11:$AM1281&lt;&gt;"")*($AS$11:$AS1281="✓")),"")</f>
        <v/>
      </c>
      <c r="BA1281" s="21" t="str">
        <f>IF($AL1281="","",$AL1281&amp;"|"&amp;COUNTIF($AL$11:$AL1281,$AL1281))</f>
        <v/>
      </c>
    </row>
    <row r="1282" spans="38:53" ht="15" customHeight="1" x14ac:dyDescent="0.25">
      <c r="AL1282" s="31"/>
      <c r="AM1282" s="26"/>
      <c r="AN1282" s="32"/>
      <c r="AO1282" s="32"/>
      <c r="AP1282" s="24"/>
      <c r="AQ1282" s="24"/>
      <c r="AR1282" s="33"/>
      <c r="AS1282" s="34"/>
      <c r="AT1282" s="33"/>
      <c r="AV1282" s="21">
        <f>IF(AND($AL1282&lt;&gt;"",COUNTIF($AL$11:$AL1282,$AL1282)=1),1,0)</f>
        <v>0</v>
      </c>
      <c r="AW1282" s="21">
        <f t="shared" si="125"/>
        <v>0</v>
      </c>
      <c r="AX1282" s="21" t="str">
        <f t="shared" si="124"/>
        <v/>
      </c>
      <c r="AY1282" s="21" t="str">
        <f>IF(AND($AM1282&lt;&gt;"",$AS1282&lt;&gt;"✓"),SUMPRODUCT(($AM$11:$AM1282&lt;&gt;"")*($AS$11:$AS1282&lt;&gt;"✓")),"")</f>
        <v/>
      </c>
      <c r="AZ1282" s="21" t="str">
        <f>IF(AND($AM1282&lt;&gt;"",$AS1282="✓"),SUMPRODUCT(($AM$11:$AM1282&lt;&gt;"")*($AS$11:$AS1282="✓")),"")</f>
        <v/>
      </c>
      <c r="BA1282" s="21" t="str">
        <f>IF($AL1282="","",$AL1282&amp;"|"&amp;COUNTIF($AL$11:$AL1282,$AL1282))</f>
        <v/>
      </c>
    </row>
    <row r="1283" spans="38:53" ht="15" customHeight="1" x14ac:dyDescent="0.25">
      <c r="AL1283" s="17"/>
      <c r="AM1283" s="12"/>
      <c r="AN1283" s="18"/>
      <c r="AO1283" s="18"/>
      <c r="AP1283" s="10"/>
      <c r="AQ1283" s="10"/>
      <c r="AR1283" s="19"/>
      <c r="AS1283" s="20"/>
      <c r="AT1283" s="19"/>
      <c r="AV1283" s="21">
        <f>IF(AND($AL1283&lt;&gt;"",COUNTIF($AL$11:$AL1283,$AL1283)=1),1,0)</f>
        <v>0</v>
      </c>
      <c r="AW1283" s="21">
        <f t="shared" si="125"/>
        <v>0</v>
      </c>
      <c r="AX1283" s="21" t="str">
        <f t="shared" si="124"/>
        <v/>
      </c>
      <c r="AY1283" s="21" t="str">
        <f>IF(AND($AM1283&lt;&gt;"",$AS1283&lt;&gt;"✓"),SUMPRODUCT(($AM$11:$AM1283&lt;&gt;"")*($AS$11:$AS1283&lt;&gt;"✓")),"")</f>
        <v/>
      </c>
      <c r="AZ1283" s="21" t="str">
        <f>IF(AND($AM1283&lt;&gt;"",$AS1283="✓"),SUMPRODUCT(($AM$11:$AM1283&lt;&gt;"")*($AS$11:$AS1283="✓")),"")</f>
        <v/>
      </c>
      <c r="BA1283" s="21" t="str">
        <f>IF($AL1283="","",$AL1283&amp;"|"&amp;COUNTIF($AL$11:$AL1283,$AL1283))</f>
        <v/>
      </c>
    </row>
    <row r="1284" spans="38:53" ht="15" customHeight="1" x14ac:dyDescent="0.25">
      <c r="AL1284" s="31"/>
      <c r="AM1284" s="26"/>
      <c r="AN1284" s="32"/>
      <c r="AO1284" s="32"/>
      <c r="AP1284" s="24"/>
      <c r="AQ1284" s="24"/>
      <c r="AR1284" s="33"/>
      <c r="AS1284" s="34"/>
      <c r="AT1284" s="33"/>
      <c r="AV1284" s="21">
        <f>IF(AND($AL1284&lt;&gt;"",COUNTIF($AL$11:$AL1284,$AL1284)=1),1,0)</f>
        <v>0</v>
      </c>
      <c r="AW1284" s="21">
        <f t="shared" si="125"/>
        <v>0</v>
      </c>
      <c r="AX1284" s="21" t="str">
        <f t="shared" si="124"/>
        <v/>
      </c>
      <c r="AY1284" s="21" t="str">
        <f>IF(AND($AM1284&lt;&gt;"",$AS1284&lt;&gt;"✓"),SUMPRODUCT(($AM$11:$AM1284&lt;&gt;"")*($AS$11:$AS1284&lt;&gt;"✓")),"")</f>
        <v/>
      </c>
      <c r="AZ1284" s="21" t="str">
        <f>IF(AND($AM1284&lt;&gt;"",$AS1284="✓"),SUMPRODUCT(($AM$11:$AM1284&lt;&gt;"")*($AS$11:$AS1284="✓")),"")</f>
        <v/>
      </c>
      <c r="BA1284" s="21" t="str">
        <f>IF($AL1284="","",$AL1284&amp;"|"&amp;COUNTIF($AL$11:$AL1284,$AL1284))</f>
        <v/>
      </c>
    </row>
    <row r="1285" spans="38:53" ht="15" customHeight="1" x14ac:dyDescent="0.25">
      <c r="AL1285" s="17"/>
      <c r="AM1285" s="12"/>
      <c r="AN1285" s="18"/>
      <c r="AO1285" s="18"/>
      <c r="AP1285" s="10"/>
      <c r="AQ1285" s="10"/>
      <c r="AR1285" s="19"/>
      <c r="AS1285" s="20"/>
      <c r="AT1285" s="19"/>
      <c r="AV1285" s="21">
        <f>IF(AND($AL1285&lt;&gt;"",COUNTIF($AL$11:$AL1285,$AL1285)=1),1,0)</f>
        <v>0</v>
      </c>
      <c r="AW1285" s="21">
        <f t="shared" si="125"/>
        <v>0</v>
      </c>
      <c r="AX1285" s="21" t="str">
        <f t="shared" si="124"/>
        <v/>
      </c>
      <c r="AY1285" s="21" t="str">
        <f>IF(AND($AM1285&lt;&gt;"",$AS1285&lt;&gt;"✓"),SUMPRODUCT(($AM$11:$AM1285&lt;&gt;"")*($AS$11:$AS1285&lt;&gt;"✓")),"")</f>
        <v/>
      </c>
      <c r="AZ1285" s="21" t="str">
        <f>IF(AND($AM1285&lt;&gt;"",$AS1285="✓"),SUMPRODUCT(($AM$11:$AM1285&lt;&gt;"")*($AS$11:$AS1285="✓")),"")</f>
        <v/>
      </c>
      <c r="BA1285" s="21" t="str">
        <f>IF($AL1285="","",$AL1285&amp;"|"&amp;COUNTIF($AL$11:$AL1285,$AL1285))</f>
        <v/>
      </c>
    </row>
    <row r="1286" spans="38:53" ht="15" customHeight="1" x14ac:dyDescent="0.25">
      <c r="AL1286" s="31"/>
      <c r="AM1286" s="26"/>
      <c r="AN1286" s="32"/>
      <c r="AO1286" s="32"/>
      <c r="AP1286" s="24"/>
      <c r="AQ1286" s="24"/>
      <c r="AR1286" s="33"/>
      <c r="AS1286" s="34"/>
      <c r="AT1286" s="33"/>
      <c r="AV1286" s="21">
        <f>IF(AND($AL1286&lt;&gt;"",COUNTIF($AL$11:$AL1286,$AL1286)=1),1,0)</f>
        <v>0</v>
      </c>
      <c r="AW1286" s="21">
        <f t="shared" si="125"/>
        <v>0</v>
      </c>
      <c r="AX1286" s="21" t="str">
        <f t="shared" si="124"/>
        <v/>
      </c>
      <c r="AY1286" s="21" t="str">
        <f>IF(AND($AM1286&lt;&gt;"",$AS1286&lt;&gt;"✓"),SUMPRODUCT(($AM$11:$AM1286&lt;&gt;"")*($AS$11:$AS1286&lt;&gt;"✓")),"")</f>
        <v/>
      </c>
      <c r="AZ1286" s="21" t="str">
        <f>IF(AND($AM1286&lt;&gt;"",$AS1286="✓"),SUMPRODUCT(($AM$11:$AM1286&lt;&gt;"")*($AS$11:$AS1286="✓")),"")</f>
        <v/>
      </c>
      <c r="BA1286" s="21" t="str">
        <f>IF($AL1286="","",$AL1286&amp;"|"&amp;COUNTIF($AL$11:$AL1286,$AL1286))</f>
        <v/>
      </c>
    </row>
    <row r="1287" spans="38:53" ht="15" customHeight="1" x14ac:dyDescent="0.25">
      <c r="AL1287" s="17"/>
      <c r="AM1287" s="12"/>
      <c r="AN1287" s="18"/>
      <c r="AO1287" s="18"/>
      <c r="AP1287" s="10"/>
      <c r="AQ1287" s="10"/>
      <c r="AR1287" s="19"/>
      <c r="AS1287" s="20"/>
      <c r="AT1287" s="19"/>
      <c r="AV1287" s="21">
        <f>IF(AND($AL1287&lt;&gt;"",COUNTIF($AL$11:$AL1287,$AL1287)=1),1,0)</f>
        <v>0</v>
      </c>
      <c r="AW1287" s="21">
        <f t="shared" si="125"/>
        <v>0</v>
      </c>
      <c r="AX1287" s="21" t="str">
        <f t="shared" si="124"/>
        <v/>
      </c>
      <c r="AY1287" s="21" t="str">
        <f>IF(AND($AM1287&lt;&gt;"",$AS1287&lt;&gt;"✓"),SUMPRODUCT(($AM$11:$AM1287&lt;&gt;"")*($AS$11:$AS1287&lt;&gt;"✓")),"")</f>
        <v/>
      </c>
      <c r="AZ1287" s="21" t="str">
        <f>IF(AND($AM1287&lt;&gt;"",$AS1287="✓"),SUMPRODUCT(($AM$11:$AM1287&lt;&gt;"")*($AS$11:$AS1287="✓")),"")</f>
        <v/>
      </c>
      <c r="BA1287" s="21" t="str">
        <f>IF($AL1287="","",$AL1287&amp;"|"&amp;COUNTIF($AL$11:$AL1287,$AL1287))</f>
        <v/>
      </c>
    </row>
    <row r="1288" spans="38:53" ht="15" customHeight="1" x14ac:dyDescent="0.25">
      <c r="AL1288" s="31"/>
      <c r="AM1288" s="26"/>
      <c r="AN1288" s="32"/>
      <c r="AO1288" s="32"/>
      <c r="AP1288" s="24"/>
      <c r="AQ1288" s="24"/>
      <c r="AR1288" s="33"/>
      <c r="AS1288" s="34"/>
      <c r="AT1288" s="33"/>
      <c r="AV1288" s="21">
        <f>IF(AND($AL1288&lt;&gt;"",COUNTIF($AL$11:$AL1288,$AL1288)=1),1,0)</f>
        <v>0</v>
      </c>
      <c r="AW1288" s="21">
        <f t="shared" si="125"/>
        <v>0</v>
      </c>
      <c r="AX1288" s="21" t="str">
        <f t="shared" si="124"/>
        <v/>
      </c>
      <c r="AY1288" s="21" t="str">
        <f>IF(AND($AM1288&lt;&gt;"",$AS1288&lt;&gt;"✓"),SUMPRODUCT(($AM$11:$AM1288&lt;&gt;"")*($AS$11:$AS1288&lt;&gt;"✓")),"")</f>
        <v/>
      </c>
      <c r="AZ1288" s="21" t="str">
        <f>IF(AND($AM1288&lt;&gt;"",$AS1288="✓"),SUMPRODUCT(($AM$11:$AM1288&lt;&gt;"")*($AS$11:$AS1288="✓")),"")</f>
        <v/>
      </c>
      <c r="BA1288" s="21" t="str">
        <f>IF($AL1288="","",$AL1288&amp;"|"&amp;COUNTIF($AL$11:$AL1288,$AL1288))</f>
        <v/>
      </c>
    </row>
    <row r="1289" spans="38:53" ht="15" customHeight="1" x14ac:dyDescent="0.25">
      <c r="AL1289" s="17"/>
      <c r="AM1289" s="12"/>
      <c r="AN1289" s="18"/>
      <c r="AO1289" s="18"/>
      <c r="AP1289" s="10"/>
      <c r="AQ1289" s="10"/>
      <c r="AR1289" s="19"/>
      <c r="AS1289" s="20"/>
      <c r="AT1289" s="19"/>
      <c r="AV1289" s="21">
        <f>IF(AND($AL1289&lt;&gt;"",COUNTIF($AL$11:$AL1289,$AL1289)=1),1,0)</f>
        <v>0</v>
      </c>
      <c r="AW1289" s="21">
        <f t="shared" si="125"/>
        <v>0</v>
      </c>
      <c r="AX1289" s="21" t="str">
        <f t="shared" si="124"/>
        <v/>
      </c>
      <c r="AY1289" s="21" t="str">
        <f>IF(AND($AM1289&lt;&gt;"",$AS1289&lt;&gt;"✓"),SUMPRODUCT(($AM$11:$AM1289&lt;&gt;"")*($AS$11:$AS1289&lt;&gt;"✓")),"")</f>
        <v/>
      </c>
      <c r="AZ1289" s="21" t="str">
        <f>IF(AND($AM1289&lt;&gt;"",$AS1289="✓"),SUMPRODUCT(($AM$11:$AM1289&lt;&gt;"")*($AS$11:$AS1289="✓")),"")</f>
        <v/>
      </c>
      <c r="BA1289" s="21" t="str">
        <f>IF($AL1289="","",$AL1289&amp;"|"&amp;COUNTIF($AL$11:$AL1289,$AL1289))</f>
        <v/>
      </c>
    </row>
    <row r="1290" spans="38:53" ht="15" customHeight="1" x14ac:dyDescent="0.25">
      <c r="AL1290" s="31"/>
      <c r="AM1290" s="26"/>
      <c r="AN1290" s="32"/>
      <c r="AO1290" s="32"/>
      <c r="AP1290" s="24"/>
      <c r="AQ1290" s="24"/>
      <c r="AR1290" s="33"/>
      <c r="AS1290" s="34"/>
      <c r="AT1290" s="33"/>
      <c r="AV1290" s="21">
        <f>IF(AND($AL1290&lt;&gt;"",COUNTIF($AL$11:$AL1290,$AL1290)=1),1,0)</f>
        <v>0</v>
      </c>
      <c r="AW1290" s="21">
        <f t="shared" si="125"/>
        <v>0</v>
      </c>
      <c r="AX1290" s="21" t="str">
        <f t="shared" si="124"/>
        <v/>
      </c>
      <c r="AY1290" s="21" t="str">
        <f>IF(AND($AM1290&lt;&gt;"",$AS1290&lt;&gt;"✓"),SUMPRODUCT(($AM$11:$AM1290&lt;&gt;"")*($AS$11:$AS1290&lt;&gt;"✓")),"")</f>
        <v/>
      </c>
      <c r="AZ1290" s="21" t="str">
        <f>IF(AND($AM1290&lt;&gt;"",$AS1290="✓"),SUMPRODUCT(($AM$11:$AM1290&lt;&gt;"")*($AS$11:$AS1290="✓")),"")</f>
        <v/>
      </c>
      <c r="BA1290" s="21" t="str">
        <f>IF($AL1290="","",$AL1290&amp;"|"&amp;COUNTIF($AL$11:$AL1290,$AL1290))</f>
        <v/>
      </c>
    </row>
    <row r="1291" spans="38:53" ht="15" customHeight="1" x14ac:dyDescent="0.25">
      <c r="AL1291" s="17"/>
      <c r="AM1291" s="12"/>
      <c r="AN1291" s="18"/>
      <c r="AO1291" s="18"/>
      <c r="AP1291" s="10"/>
      <c r="AQ1291" s="10"/>
      <c r="AR1291" s="19"/>
      <c r="AS1291" s="20"/>
      <c r="AT1291" s="19"/>
      <c r="AV1291" s="21">
        <f>IF(AND($AL1291&lt;&gt;"",COUNTIF($AL$11:$AL1291,$AL1291)=1),1,0)</f>
        <v>0</v>
      </c>
      <c r="AW1291" s="21">
        <f t="shared" si="125"/>
        <v>0</v>
      </c>
      <c r="AX1291" s="21" t="str">
        <f t="shared" ref="AX1291:AX1354" si="126">IF(AV1291=1,AW1291,"")</f>
        <v/>
      </c>
      <c r="AY1291" s="21" t="str">
        <f>IF(AND($AM1291&lt;&gt;"",$AS1291&lt;&gt;"✓"),SUMPRODUCT(($AM$11:$AM1291&lt;&gt;"")*($AS$11:$AS1291&lt;&gt;"✓")),"")</f>
        <v/>
      </c>
      <c r="AZ1291" s="21" t="str">
        <f>IF(AND($AM1291&lt;&gt;"",$AS1291="✓"),SUMPRODUCT(($AM$11:$AM1291&lt;&gt;"")*($AS$11:$AS1291="✓")),"")</f>
        <v/>
      </c>
      <c r="BA1291" s="21" t="str">
        <f>IF($AL1291="","",$AL1291&amp;"|"&amp;COUNTIF($AL$11:$AL1291,$AL1291))</f>
        <v/>
      </c>
    </row>
    <row r="1292" spans="38:53" ht="15" customHeight="1" x14ac:dyDescent="0.25">
      <c r="AL1292" s="31"/>
      <c r="AM1292" s="26"/>
      <c r="AN1292" s="32"/>
      <c r="AO1292" s="32"/>
      <c r="AP1292" s="24"/>
      <c r="AQ1292" s="24"/>
      <c r="AR1292" s="33"/>
      <c r="AS1292" s="34"/>
      <c r="AT1292" s="33"/>
      <c r="AV1292" s="21">
        <f>IF(AND($AL1292&lt;&gt;"",COUNTIF($AL$11:$AL1292,$AL1292)=1),1,0)</f>
        <v>0</v>
      </c>
      <c r="AW1292" s="21">
        <f t="shared" ref="AW1292:AW1355" si="127">AW1291+AV1292</f>
        <v>0</v>
      </c>
      <c r="AX1292" s="21" t="str">
        <f t="shared" si="126"/>
        <v/>
      </c>
      <c r="AY1292" s="21" t="str">
        <f>IF(AND($AM1292&lt;&gt;"",$AS1292&lt;&gt;"✓"),SUMPRODUCT(($AM$11:$AM1292&lt;&gt;"")*($AS$11:$AS1292&lt;&gt;"✓")),"")</f>
        <v/>
      </c>
      <c r="AZ1292" s="21" t="str">
        <f>IF(AND($AM1292&lt;&gt;"",$AS1292="✓"),SUMPRODUCT(($AM$11:$AM1292&lt;&gt;"")*($AS$11:$AS1292="✓")),"")</f>
        <v/>
      </c>
      <c r="BA1292" s="21" t="str">
        <f>IF($AL1292="","",$AL1292&amp;"|"&amp;COUNTIF($AL$11:$AL1292,$AL1292))</f>
        <v/>
      </c>
    </row>
    <row r="1293" spans="38:53" ht="15" customHeight="1" x14ac:dyDescent="0.25">
      <c r="AL1293" s="17"/>
      <c r="AM1293" s="12"/>
      <c r="AN1293" s="18"/>
      <c r="AO1293" s="18"/>
      <c r="AP1293" s="10"/>
      <c r="AQ1293" s="10"/>
      <c r="AR1293" s="19"/>
      <c r="AS1293" s="20"/>
      <c r="AT1293" s="19"/>
      <c r="AV1293" s="21">
        <f>IF(AND($AL1293&lt;&gt;"",COUNTIF($AL$11:$AL1293,$AL1293)=1),1,0)</f>
        <v>0</v>
      </c>
      <c r="AW1293" s="21">
        <f t="shared" si="127"/>
        <v>0</v>
      </c>
      <c r="AX1293" s="21" t="str">
        <f t="shared" si="126"/>
        <v/>
      </c>
      <c r="AY1293" s="21" t="str">
        <f>IF(AND($AM1293&lt;&gt;"",$AS1293&lt;&gt;"✓"),SUMPRODUCT(($AM$11:$AM1293&lt;&gt;"")*($AS$11:$AS1293&lt;&gt;"✓")),"")</f>
        <v/>
      </c>
      <c r="AZ1293" s="21" t="str">
        <f>IF(AND($AM1293&lt;&gt;"",$AS1293="✓"),SUMPRODUCT(($AM$11:$AM1293&lt;&gt;"")*($AS$11:$AS1293="✓")),"")</f>
        <v/>
      </c>
      <c r="BA1293" s="21" t="str">
        <f>IF($AL1293="","",$AL1293&amp;"|"&amp;COUNTIF($AL$11:$AL1293,$AL1293))</f>
        <v/>
      </c>
    </row>
    <row r="1294" spans="38:53" ht="15" customHeight="1" x14ac:dyDescent="0.25">
      <c r="AL1294" s="31"/>
      <c r="AM1294" s="26"/>
      <c r="AN1294" s="32"/>
      <c r="AO1294" s="32"/>
      <c r="AP1294" s="24"/>
      <c r="AQ1294" s="24"/>
      <c r="AR1294" s="33"/>
      <c r="AS1294" s="34"/>
      <c r="AT1294" s="33"/>
      <c r="AV1294" s="21">
        <f>IF(AND($AL1294&lt;&gt;"",COUNTIF($AL$11:$AL1294,$AL1294)=1),1,0)</f>
        <v>0</v>
      </c>
      <c r="AW1294" s="21">
        <f t="shared" si="127"/>
        <v>0</v>
      </c>
      <c r="AX1294" s="21" t="str">
        <f t="shared" si="126"/>
        <v/>
      </c>
      <c r="AY1294" s="21" t="str">
        <f>IF(AND($AM1294&lt;&gt;"",$AS1294&lt;&gt;"✓"),SUMPRODUCT(($AM$11:$AM1294&lt;&gt;"")*($AS$11:$AS1294&lt;&gt;"✓")),"")</f>
        <v/>
      </c>
      <c r="AZ1294" s="21" t="str">
        <f>IF(AND($AM1294&lt;&gt;"",$AS1294="✓"),SUMPRODUCT(($AM$11:$AM1294&lt;&gt;"")*($AS$11:$AS1294="✓")),"")</f>
        <v/>
      </c>
      <c r="BA1294" s="21" t="str">
        <f>IF($AL1294="","",$AL1294&amp;"|"&amp;COUNTIF($AL$11:$AL1294,$AL1294))</f>
        <v/>
      </c>
    </row>
    <row r="1295" spans="38:53" ht="15" customHeight="1" x14ac:dyDescent="0.25">
      <c r="AL1295" s="17"/>
      <c r="AM1295" s="12"/>
      <c r="AN1295" s="18"/>
      <c r="AO1295" s="18"/>
      <c r="AP1295" s="10"/>
      <c r="AQ1295" s="10"/>
      <c r="AR1295" s="19"/>
      <c r="AS1295" s="20"/>
      <c r="AT1295" s="19"/>
      <c r="AV1295" s="21">
        <f>IF(AND($AL1295&lt;&gt;"",COUNTIF($AL$11:$AL1295,$AL1295)=1),1,0)</f>
        <v>0</v>
      </c>
      <c r="AW1295" s="21">
        <f t="shared" si="127"/>
        <v>0</v>
      </c>
      <c r="AX1295" s="21" t="str">
        <f t="shared" si="126"/>
        <v/>
      </c>
      <c r="AY1295" s="21" t="str">
        <f>IF(AND($AM1295&lt;&gt;"",$AS1295&lt;&gt;"✓"),SUMPRODUCT(($AM$11:$AM1295&lt;&gt;"")*($AS$11:$AS1295&lt;&gt;"✓")),"")</f>
        <v/>
      </c>
      <c r="AZ1295" s="21" t="str">
        <f>IF(AND($AM1295&lt;&gt;"",$AS1295="✓"),SUMPRODUCT(($AM$11:$AM1295&lt;&gt;"")*($AS$11:$AS1295="✓")),"")</f>
        <v/>
      </c>
      <c r="BA1295" s="21" t="str">
        <f>IF($AL1295="","",$AL1295&amp;"|"&amp;COUNTIF($AL$11:$AL1295,$AL1295))</f>
        <v/>
      </c>
    </row>
    <row r="1296" spans="38:53" ht="15" customHeight="1" x14ac:dyDescent="0.25">
      <c r="AL1296" s="31"/>
      <c r="AM1296" s="26"/>
      <c r="AN1296" s="32"/>
      <c r="AO1296" s="32"/>
      <c r="AP1296" s="24"/>
      <c r="AQ1296" s="24"/>
      <c r="AR1296" s="33"/>
      <c r="AS1296" s="34"/>
      <c r="AT1296" s="33"/>
      <c r="AV1296" s="21">
        <f>IF(AND($AL1296&lt;&gt;"",COUNTIF($AL$11:$AL1296,$AL1296)=1),1,0)</f>
        <v>0</v>
      </c>
      <c r="AW1296" s="21">
        <f t="shared" si="127"/>
        <v>0</v>
      </c>
      <c r="AX1296" s="21" t="str">
        <f t="shared" si="126"/>
        <v/>
      </c>
      <c r="AY1296" s="21" t="str">
        <f>IF(AND($AM1296&lt;&gt;"",$AS1296&lt;&gt;"✓"),SUMPRODUCT(($AM$11:$AM1296&lt;&gt;"")*($AS$11:$AS1296&lt;&gt;"✓")),"")</f>
        <v/>
      </c>
      <c r="AZ1296" s="21" t="str">
        <f>IF(AND($AM1296&lt;&gt;"",$AS1296="✓"),SUMPRODUCT(($AM$11:$AM1296&lt;&gt;"")*($AS$11:$AS1296="✓")),"")</f>
        <v/>
      </c>
      <c r="BA1296" s="21" t="str">
        <f>IF($AL1296="","",$AL1296&amp;"|"&amp;COUNTIF($AL$11:$AL1296,$AL1296))</f>
        <v/>
      </c>
    </row>
    <row r="1297" spans="38:53" ht="15" customHeight="1" x14ac:dyDescent="0.25">
      <c r="AL1297" s="17"/>
      <c r="AM1297" s="12"/>
      <c r="AN1297" s="18"/>
      <c r="AO1297" s="18"/>
      <c r="AP1297" s="10"/>
      <c r="AQ1297" s="10"/>
      <c r="AR1297" s="19"/>
      <c r="AS1297" s="20"/>
      <c r="AT1297" s="19"/>
      <c r="AV1297" s="21">
        <f>IF(AND($AL1297&lt;&gt;"",COUNTIF($AL$11:$AL1297,$AL1297)=1),1,0)</f>
        <v>0</v>
      </c>
      <c r="AW1297" s="21">
        <f t="shared" si="127"/>
        <v>0</v>
      </c>
      <c r="AX1297" s="21" t="str">
        <f t="shared" si="126"/>
        <v/>
      </c>
      <c r="AY1297" s="21" t="str">
        <f>IF(AND($AM1297&lt;&gt;"",$AS1297&lt;&gt;"✓"),SUMPRODUCT(($AM$11:$AM1297&lt;&gt;"")*($AS$11:$AS1297&lt;&gt;"✓")),"")</f>
        <v/>
      </c>
      <c r="AZ1297" s="21" t="str">
        <f>IF(AND($AM1297&lt;&gt;"",$AS1297="✓"),SUMPRODUCT(($AM$11:$AM1297&lt;&gt;"")*($AS$11:$AS1297="✓")),"")</f>
        <v/>
      </c>
      <c r="BA1297" s="21" t="str">
        <f>IF($AL1297="","",$AL1297&amp;"|"&amp;COUNTIF($AL$11:$AL1297,$AL1297))</f>
        <v/>
      </c>
    </row>
    <row r="1298" spans="38:53" ht="15" customHeight="1" x14ac:dyDescent="0.25">
      <c r="AL1298" s="31"/>
      <c r="AM1298" s="26"/>
      <c r="AN1298" s="32"/>
      <c r="AO1298" s="32"/>
      <c r="AP1298" s="24"/>
      <c r="AQ1298" s="24"/>
      <c r="AR1298" s="33"/>
      <c r="AS1298" s="34"/>
      <c r="AT1298" s="33"/>
      <c r="AV1298" s="21">
        <f>IF(AND($AL1298&lt;&gt;"",COUNTIF($AL$11:$AL1298,$AL1298)=1),1,0)</f>
        <v>0</v>
      </c>
      <c r="AW1298" s="21">
        <f t="shared" si="127"/>
        <v>0</v>
      </c>
      <c r="AX1298" s="21" t="str">
        <f t="shared" si="126"/>
        <v/>
      </c>
      <c r="AY1298" s="21" t="str">
        <f>IF(AND($AM1298&lt;&gt;"",$AS1298&lt;&gt;"✓"),SUMPRODUCT(($AM$11:$AM1298&lt;&gt;"")*($AS$11:$AS1298&lt;&gt;"✓")),"")</f>
        <v/>
      </c>
      <c r="AZ1298" s="21" t="str">
        <f>IF(AND($AM1298&lt;&gt;"",$AS1298="✓"),SUMPRODUCT(($AM$11:$AM1298&lt;&gt;"")*($AS$11:$AS1298="✓")),"")</f>
        <v/>
      </c>
      <c r="BA1298" s="21" t="str">
        <f>IF($AL1298="","",$AL1298&amp;"|"&amp;COUNTIF($AL$11:$AL1298,$AL1298))</f>
        <v/>
      </c>
    </row>
    <row r="1299" spans="38:53" ht="15" customHeight="1" x14ac:dyDescent="0.25">
      <c r="AL1299" s="17"/>
      <c r="AM1299" s="12"/>
      <c r="AN1299" s="18"/>
      <c r="AO1299" s="18"/>
      <c r="AP1299" s="10"/>
      <c r="AQ1299" s="10"/>
      <c r="AR1299" s="19"/>
      <c r="AS1299" s="20"/>
      <c r="AT1299" s="19"/>
      <c r="AV1299" s="21">
        <f>IF(AND($AL1299&lt;&gt;"",COUNTIF($AL$11:$AL1299,$AL1299)=1),1,0)</f>
        <v>0</v>
      </c>
      <c r="AW1299" s="21">
        <f t="shared" si="127"/>
        <v>0</v>
      </c>
      <c r="AX1299" s="21" t="str">
        <f t="shared" si="126"/>
        <v/>
      </c>
      <c r="AY1299" s="21" t="str">
        <f>IF(AND($AM1299&lt;&gt;"",$AS1299&lt;&gt;"✓"),SUMPRODUCT(($AM$11:$AM1299&lt;&gt;"")*($AS$11:$AS1299&lt;&gt;"✓")),"")</f>
        <v/>
      </c>
      <c r="AZ1299" s="21" t="str">
        <f>IF(AND($AM1299&lt;&gt;"",$AS1299="✓"),SUMPRODUCT(($AM$11:$AM1299&lt;&gt;"")*($AS$11:$AS1299="✓")),"")</f>
        <v/>
      </c>
      <c r="BA1299" s="21" t="str">
        <f>IF($AL1299="","",$AL1299&amp;"|"&amp;COUNTIF($AL$11:$AL1299,$AL1299))</f>
        <v/>
      </c>
    </row>
    <row r="1300" spans="38:53" ht="15" customHeight="1" x14ac:dyDescent="0.25">
      <c r="AL1300" s="31"/>
      <c r="AM1300" s="26"/>
      <c r="AN1300" s="32"/>
      <c r="AO1300" s="32"/>
      <c r="AP1300" s="24"/>
      <c r="AQ1300" s="24"/>
      <c r="AR1300" s="33"/>
      <c r="AS1300" s="34"/>
      <c r="AT1300" s="33"/>
      <c r="AV1300" s="21">
        <f>IF(AND($AL1300&lt;&gt;"",COUNTIF($AL$11:$AL1300,$AL1300)=1),1,0)</f>
        <v>0</v>
      </c>
      <c r="AW1300" s="21">
        <f t="shared" si="127"/>
        <v>0</v>
      </c>
      <c r="AX1300" s="21" t="str">
        <f t="shared" si="126"/>
        <v/>
      </c>
      <c r="AY1300" s="21" t="str">
        <f>IF(AND($AM1300&lt;&gt;"",$AS1300&lt;&gt;"✓"),SUMPRODUCT(($AM$11:$AM1300&lt;&gt;"")*($AS$11:$AS1300&lt;&gt;"✓")),"")</f>
        <v/>
      </c>
      <c r="AZ1300" s="21" t="str">
        <f>IF(AND($AM1300&lt;&gt;"",$AS1300="✓"),SUMPRODUCT(($AM$11:$AM1300&lt;&gt;"")*($AS$11:$AS1300="✓")),"")</f>
        <v/>
      </c>
      <c r="BA1300" s="21" t="str">
        <f>IF($AL1300="","",$AL1300&amp;"|"&amp;COUNTIF($AL$11:$AL1300,$AL1300))</f>
        <v/>
      </c>
    </row>
    <row r="1301" spans="38:53" ht="15" customHeight="1" x14ac:dyDescent="0.25">
      <c r="AL1301" s="17"/>
      <c r="AM1301" s="12"/>
      <c r="AN1301" s="18"/>
      <c r="AO1301" s="18"/>
      <c r="AP1301" s="10"/>
      <c r="AQ1301" s="10"/>
      <c r="AR1301" s="19"/>
      <c r="AS1301" s="20"/>
      <c r="AT1301" s="19"/>
      <c r="AV1301" s="21">
        <f>IF(AND($AL1301&lt;&gt;"",COUNTIF($AL$11:$AL1301,$AL1301)=1),1,0)</f>
        <v>0</v>
      </c>
      <c r="AW1301" s="21">
        <f t="shared" si="127"/>
        <v>0</v>
      </c>
      <c r="AX1301" s="21" t="str">
        <f t="shared" si="126"/>
        <v/>
      </c>
      <c r="AY1301" s="21" t="str">
        <f>IF(AND($AM1301&lt;&gt;"",$AS1301&lt;&gt;"✓"),SUMPRODUCT(($AM$11:$AM1301&lt;&gt;"")*($AS$11:$AS1301&lt;&gt;"✓")),"")</f>
        <v/>
      </c>
      <c r="AZ1301" s="21" t="str">
        <f>IF(AND($AM1301&lt;&gt;"",$AS1301="✓"),SUMPRODUCT(($AM$11:$AM1301&lt;&gt;"")*($AS$11:$AS1301="✓")),"")</f>
        <v/>
      </c>
      <c r="BA1301" s="21" t="str">
        <f>IF($AL1301="","",$AL1301&amp;"|"&amp;COUNTIF($AL$11:$AL1301,$AL1301))</f>
        <v/>
      </c>
    </row>
    <row r="1302" spans="38:53" ht="15" customHeight="1" x14ac:dyDescent="0.25">
      <c r="AL1302" s="31"/>
      <c r="AM1302" s="26"/>
      <c r="AN1302" s="32"/>
      <c r="AO1302" s="32"/>
      <c r="AP1302" s="24"/>
      <c r="AQ1302" s="24"/>
      <c r="AR1302" s="33"/>
      <c r="AS1302" s="34"/>
      <c r="AT1302" s="33"/>
      <c r="AV1302" s="21">
        <f>IF(AND($AL1302&lt;&gt;"",COUNTIF($AL$11:$AL1302,$AL1302)=1),1,0)</f>
        <v>0</v>
      </c>
      <c r="AW1302" s="21">
        <f t="shared" si="127"/>
        <v>0</v>
      </c>
      <c r="AX1302" s="21" t="str">
        <f t="shared" si="126"/>
        <v/>
      </c>
      <c r="AY1302" s="21" t="str">
        <f>IF(AND($AM1302&lt;&gt;"",$AS1302&lt;&gt;"✓"),SUMPRODUCT(($AM$11:$AM1302&lt;&gt;"")*($AS$11:$AS1302&lt;&gt;"✓")),"")</f>
        <v/>
      </c>
      <c r="AZ1302" s="21" t="str">
        <f>IF(AND($AM1302&lt;&gt;"",$AS1302="✓"),SUMPRODUCT(($AM$11:$AM1302&lt;&gt;"")*($AS$11:$AS1302="✓")),"")</f>
        <v/>
      </c>
      <c r="BA1302" s="21" t="str">
        <f>IF($AL1302="","",$AL1302&amp;"|"&amp;COUNTIF($AL$11:$AL1302,$AL1302))</f>
        <v/>
      </c>
    </row>
    <row r="1303" spans="38:53" ht="15" customHeight="1" x14ac:dyDescent="0.25">
      <c r="AL1303" s="17"/>
      <c r="AM1303" s="12"/>
      <c r="AN1303" s="18"/>
      <c r="AO1303" s="18"/>
      <c r="AP1303" s="10"/>
      <c r="AQ1303" s="10"/>
      <c r="AR1303" s="19"/>
      <c r="AS1303" s="20"/>
      <c r="AT1303" s="19"/>
      <c r="AV1303" s="21">
        <f>IF(AND($AL1303&lt;&gt;"",COUNTIF($AL$11:$AL1303,$AL1303)=1),1,0)</f>
        <v>0</v>
      </c>
      <c r="AW1303" s="21">
        <f t="shared" si="127"/>
        <v>0</v>
      </c>
      <c r="AX1303" s="21" t="str">
        <f t="shared" si="126"/>
        <v/>
      </c>
      <c r="AY1303" s="21" t="str">
        <f>IF(AND($AM1303&lt;&gt;"",$AS1303&lt;&gt;"✓"),SUMPRODUCT(($AM$11:$AM1303&lt;&gt;"")*($AS$11:$AS1303&lt;&gt;"✓")),"")</f>
        <v/>
      </c>
      <c r="AZ1303" s="21" t="str">
        <f>IF(AND($AM1303&lt;&gt;"",$AS1303="✓"),SUMPRODUCT(($AM$11:$AM1303&lt;&gt;"")*($AS$11:$AS1303="✓")),"")</f>
        <v/>
      </c>
      <c r="BA1303" s="21" t="str">
        <f>IF($AL1303="","",$AL1303&amp;"|"&amp;COUNTIF($AL$11:$AL1303,$AL1303))</f>
        <v/>
      </c>
    </row>
    <row r="1304" spans="38:53" ht="15" customHeight="1" x14ac:dyDescent="0.25">
      <c r="AL1304" s="31"/>
      <c r="AM1304" s="26"/>
      <c r="AN1304" s="32"/>
      <c r="AO1304" s="32"/>
      <c r="AP1304" s="24"/>
      <c r="AQ1304" s="24"/>
      <c r="AR1304" s="33"/>
      <c r="AS1304" s="34"/>
      <c r="AT1304" s="33"/>
      <c r="AV1304" s="21">
        <f>IF(AND($AL1304&lt;&gt;"",COUNTIF($AL$11:$AL1304,$AL1304)=1),1,0)</f>
        <v>0</v>
      </c>
      <c r="AW1304" s="21">
        <f t="shared" si="127"/>
        <v>0</v>
      </c>
      <c r="AX1304" s="21" t="str">
        <f t="shared" si="126"/>
        <v/>
      </c>
      <c r="AY1304" s="21" t="str">
        <f>IF(AND($AM1304&lt;&gt;"",$AS1304&lt;&gt;"✓"),SUMPRODUCT(($AM$11:$AM1304&lt;&gt;"")*($AS$11:$AS1304&lt;&gt;"✓")),"")</f>
        <v/>
      </c>
      <c r="AZ1304" s="21" t="str">
        <f>IF(AND($AM1304&lt;&gt;"",$AS1304="✓"),SUMPRODUCT(($AM$11:$AM1304&lt;&gt;"")*($AS$11:$AS1304="✓")),"")</f>
        <v/>
      </c>
      <c r="BA1304" s="21" t="str">
        <f>IF($AL1304="","",$AL1304&amp;"|"&amp;COUNTIF($AL$11:$AL1304,$AL1304))</f>
        <v/>
      </c>
    </row>
    <row r="1305" spans="38:53" ht="15" customHeight="1" x14ac:dyDescent="0.25">
      <c r="AL1305" s="17"/>
      <c r="AM1305" s="12"/>
      <c r="AN1305" s="18"/>
      <c r="AO1305" s="18"/>
      <c r="AP1305" s="10"/>
      <c r="AQ1305" s="10"/>
      <c r="AR1305" s="19"/>
      <c r="AS1305" s="20"/>
      <c r="AT1305" s="19"/>
      <c r="AV1305" s="21">
        <f>IF(AND($AL1305&lt;&gt;"",COUNTIF($AL$11:$AL1305,$AL1305)=1),1,0)</f>
        <v>0</v>
      </c>
      <c r="AW1305" s="21">
        <f t="shared" si="127"/>
        <v>0</v>
      </c>
      <c r="AX1305" s="21" t="str">
        <f t="shared" si="126"/>
        <v/>
      </c>
      <c r="AY1305" s="21" t="str">
        <f>IF(AND($AM1305&lt;&gt;"",$AS1305&lt;&gt;"✓"),SUMPRODUCT(($AM$11:$AM1305&lt;&gt;"")*($AS$11:$AS1305&lt;&gt;"✓")),"")</f>
        <v/>
      </c>
      <c r="AZ1305" s="21" t="str">
        <f>IF(AND($AM1305&lt;&gt;"",$AS1305="✓"),SUMPRODUCT(($AM$11:$AM1305&lt;&gt;"")*($AS$11:$AS1305="✓")),"")</f>
        <v/>
      </c>
      <c r="BA1305" s="21" t="str">
        <f>IF($AL1305="","",$AL1305&amp;"|"&amp;COUNTIF($AL$11:$AL1305,$AL1305))</f>
        <v/>
      </c>
    </row>
    <row r="1306" spans="38:53" ht="15" customHeight="1" x14ac:dyDescent="0.25">
      <c r="AL1306" s="31"/>
      <c r="AM1306" s="26"/>
      <c r="AN1306" s="32"/>
      <c r="AO1306" s="32"/>
      <c r="AP1306" s="24"/>
      <c r="AQ1306" s="24"/>
      <c r="AR1306" s="33"/>
      <c r="AS1306" s="34"/>
      <c r="AT1306" s="33"/>
      <c r="AV1306" s="21">
        <f>IF(AND($AL1306&lt;&gt;"",COUNTIF($AL$11:$AL1306,$AL1306)=1),1,0)</f>
        <v>0</v>
      </c>
      <c r="AW1306" s="21">
        <f t="shared" si="127"/>
        <v>0</v>
      </c>
      <c r="AX1306" s="21" t="str">
        <f t="shared" si="126"/>
        <v/>
      </c>
      <c r="AY1306" s="21" t="str">
        <f>IF(AND($AM1306&lt;&gt;"",$AS1306&lt;&gt;"✓"),SUMPRODUCT(($AM$11:$AM1306&lt;&gt;"")*($AS$11:$AS1306&lt;&gt;"✓")),"")</f>
        <v/>
      </c>
      <c r="AZ1306" s="21" t="str">
        <f>IF(AND($AM1306&lt;&gt;"",$AS1306="✓"),SUMPRODUCT(($AM$11:$AM1306&lt;&gt;"")*($AS$11:$AS1306="✓")),"")</f>
        <v/>
      </c>
      <c r="BA1306" s="21" t="str">
        <f>IF($AL1306="","",$AL1306&amp;"|"&amp;COUNTIF($AL$11:$AL1306,$AL1306))</f>
        <v/>
      </c>
    </row>
    <row r="1307" spans="38:53" ht="15" customHeight="1" x14ac:dyDescent="0.25">
      <c r="AL1307" s="17"/>
      <c r="AM1307" s="12"/>
      <c r="AN1307" s="18"/>
      <c r="AO1307" s="18"/>
      <c r="AP1307" s="10"/>
      <c r="AQ1307" s="10"/>
      <c r="AR1307" s="19"/>
      <c r="AS1307" s="20"/>
      <c r="AT1307" s="19"/>
      <c r="AV1307" s="21">
        <f>IF(AND($AL1307&lt;&gt;"",COUNTIF($AL$11:$AL1307,$AL1307)=1),1,0)</f>
        <v>0</v>
      </c>
      <c r="AW1307" s="21">
        <f t="shared" si="127"/>
        <v>0</v>
      </c>
      <c r="AX1307" s="21" t="str">
        <f t="shared" si="126"/>
        <v/>
      </c>
      <c r="AY1307" s="21" t="str">
        <f>IF(AND($AM1307&lt;&gt;"",$AS1307&lt;&gt;"✓"),SUMPRODUCT(($AM$11:$AM1307&lt;&gt;"")*($AS$11:$AS1307&lt;&gt;"✓")),"")</f>
        <v/>
      </c>
      <c r="AZ1307" s="21" t="str">
        <f>IF(AND($AM1307&lt;&gt;"",$AS1307="✓"),SUMPRODUCT(($AM$11:$AM1307&lt;&gt;"")*($AS$11:$AS1307="✓")),"")</f>
        <v/>
      </c>
      <c r="BA1307" s="21" t="str">
        <f>IF($AL1307="","",$AL1307&amp;"|"&amp;COUNTIF($AL$11:$AL1307,$AL1307))</f>
        <v/>
      </c>
    </row>
    <row r="1308" spans="38:53" ht="15" customHeight="1" x14ac:dyDescent="0.25">
      <c r="AL1308" s="31"/>
      <c r="AM1308" s="26"/>
      <c r="AN1308" s="32"/>
      <c r="AO1308" s="32"/>
      <c r="AP1308" s="24"/>
      <c r="AQ1308" s="24"/>
      <c r="AR1308" s="33"/>
      <c r="AS1308" s="34"/>
      <c r="AT1308" s="33"/>
      <c r="AV1308" s="21">
        <f>IF(AND($AL1308&lt;&gt;"",COUNTIF($AL$11:$AL1308,$AL1308)=1),1,0)</f>
        <v>0</v>
      </c>
      <c r="AW1308" s="21">
        <f t="shared" si="127"/>
        <v>0</v>
      </c>
      <c r="AX1308" s="21" t="str">
        <f t="shared" si="126"/>
        <v/>
      </c>
      <c r="AY1308" s="21" t="str">
        <f>IF(AND($AM1308&lt;&gt;"",$AS1308&lt;&gt;"✓"),SUMPRODUCT(($AM$11:$AM1308&lt;&gt;"")*($AS$11:$AS1308&lt;&gt;"✓")),"")</f>
        <v/>
      </c>
      <c r="AZ1308" s="21" t="str">
        <f>IF(AND($AM1308&lt;&gt;"",$AS1308="✓"),SUMPRODUCT(($AM$11:$AM1308&lt;&gt;"")*($AS$11:$AS1308="✓")),"")</f>
        <v/>
      </c>
      <c r="BA1308" s="21" t="str">
        <f>IF($AL1308="","",$AL1308&amp;"|"&amp;COUNTIF($AL$11:$AL1308,$AL1308))</f>
        <v/>
      </c>
    </row>
    <row r="1309" spans="38:53" ht="15" customHeight="1" x14ac:dyDescent="0.25">
      <c r="AL1309" s="17"/>
      <c r="AM1309" s="12"/>
      <c r="AN1309" s="18"/>
      <c r="AO1309" s="18"/>
      <c r="AP1309" s="10"/>
      <c r="AQ1309" s="10"/>
      <c r="AR1309" s="19"/>
      <c r="AS1309" s="20"/>
      <c r="AT1309" s="19"/>
      <c r="AV1309" s="21">
        <f>IF(AND($AL1309&lt;&gt;"",COUNTIF($AL$11:$AL1309,$AL1309)=1),1,0)</f>
        <v>0</v>
      </c>
      <c r="AW1309" s="21">
        <f t="shared" si="127"/>
        <v>0</v>
      </c>
      <c r="AX1309" s="21" t="str">
        <f t="shared" si="126"/>
        <v/>
      </c>
      <c r="AY1309" s="21" t="str">
        <f>IF(AND($AM1309&lt;&gt;"",$AS1309&lt;&gt;"✓"),SUMPRODUCT(($AM$11:$AM1309&lt;&gt;"")*($AS$11:$AS1309&lt;&gt;"✓")),"")</f>
        <v/>
      </c>
      <c r="AZ1309" s="21" t="str">
        <f>IF(AND($AM1309&lt;&gt;"",$AS1309="✓"),SUMPRODUCT(($AM$11:$AM1309&lt;&gt;"")*($AS$11:$AS1309="✓")),"")</f>
        <v/>
      </c>
      <c r="BA1309" s="21" t="str">
        <f>IF($AL1309="","",$AL1309&amp;"|"&amp;COUNTIF($AL$11:$AL1309,$AL1309))</f>
        <v/>
      </c>
    </row>
    <row r="1310" spans="38:53" ht="15" customHeight="1" x14ac:dyDescent="0.25">
      <c r="AL1310" s="31"/>
      <c r="AM1310" s="26"/>
      <c r="AN1310" s="32"/>
      <c r="AO1310" s="32"/>
      <c r="AP1310" s="24"/>
      <c r="AQ1310" s="24"/>
      <c r="AR1310" s="33"/>
      <c r="AS1310" s="34"/>
      <c r="AT1310" s="33"/>
      <c r="AV1310" s="21">
        <f>IF(AND($AL1310&lt;&gt;"",COUNTIF($AL$11:$AL1310,$AL1310)=1),1,0)</f>
        <v>0</v>
      </c>
      <c r="AW1310" s="21">
        <f t="shared" si="127"/>
        <v>0</v>
      </c>
      <c r="AX1310" s="21" t="str">
        <f t="shared" si="126"/>
        <v/>
      </c>
      <c r="AY1310" s="21" t="str">
        <f>IF(AND($AM1310&lt;&gt;"",$AS1310&lt;&gt;"✓"),SUMPRODUCT(($AM$11:$AM1310&lt;&gt;"")*($AS$11:$AS1310&lt;&gt;"✓")),"")</f>
        <v/>
      </c>
      <c r="AZ1310" s="21" t="str">
        <f>IF(AND($AM1310&lt;&gt;"",$AS1310="✓"),SUMPRODUCT(($AM$11:$AM1310&lt;&gt;"")*($AS$11:$AS1310="✓")),"")</f>
        <v/>
      </c>
      <c r="BA1310" s="21" t="str">
        <f>IF($AL1310="","",$AL1310&amp;"|"&amp;COUNTIF($AL$11:$AL1310,$AL1310))</f>
        <v/>
      </c>
    </row>
    <row r="1311" spans="38:53" ht="15" customHeight="1" x14ac:dyDescent="0.25">
      <c r="AL1311" s="17"/>
      <c r="AM1311" s="12"/>
      <c r="AN1311" s="18"/>
      <c r="AO1311" s="18"/>
      <c r="AP1311" s="10"/>
      <c r="AQ1311" s="10"/>
      <c r="AR1311" s="19"/>
      <c r="AS1311" s="20"/>
      <c r="AT1311" s="19"/>
      <c r="AV1311" s="21">
        <f>IF(AND($AL1311&lt;&gt;"",COUNTIF($AL$11:$AL1311,$AL1311)=1),1,0)</f>
        <v>0</v>
      </c>
      <c r="AW1311" s="21">
        <f t="shared" si="127"/>
        <v>0</v>
      </c>
      <c r="AX1311" s="21" t="str">
        <f t="shared" si="126"/>
        <v/>
      </c>
      <c r="AY1311" s="21" t="str">
        <f>IF(AND($AM1311&lt;&gt;"",$AS1311&lt;&gt;"✓"),SUMPRODUCT(($AM$11:$AM1311&lt;&gt;"")*($AS$11:$AS1311&lt;&gt;"✓")),"")</f>
        <v/>
      </c>
      <c r="AZ1311" s="21" t="str">
        <f>IF(AND($AM1311&lt;&gt;"",$AS1311="✓"),SUMPRODUCT(($AM$11:$AM1311&lt;&gt;"")*($AS$11:$AS1311="✓")),"")</f>
        <v/>
      </c>
      <c r="BA1311" s="21" t="str">
        <f>IF($AL1311="","",$AL1311&amp;"|"&amp;COUNTIF($AL$11:$AL1311,$AL1311))</f>
        <v/>
      </c>
    </row>
    <row r="1312" spans="38:53" ht="15" customHeight="1" x14ac:dyDescent="0.25">
      <c r="AL1312" s="31"/>
      <c r="AM1312" s="26"/>
      <c r="AN1312" s="32"/>
      <c r="AO1312" s="32"/>
      <c r="AP1312" s="24"/>
      <c r="AQ1312" s="24"/>
      <c r="AR1312" s="33"/>
      <c r="AS1312" s="34"/>
      <c r="AT1312" s="33"/>
      <c r="AV1312" s="21">
        <f>IF(AND($AL1312&lt;&gt;"",COUNTIF($AL$11:$AL1312,$AL1312)=1),1,0)</f>
        <v>0</v>
      </c>
      <c r="AW1312" s="21">
        <f t="shared" si="127"/>
        <v>0</v>
      </c>
      <c r="AX1312" s="21" t="str">
        <f t="shared" si="126"/>
        <v/>
      </c>
      <c r="AY1312" s="21" t="str">
        <f>IF(AND($AM1312&lt;&gt;"",$AS1312&lt;&gt;"✓"),SUMPRODUCT(($AM$11:$AM1312&lt;&gt;"")*($AS$11:$AS1312&lt;&gt;"✓")),"")</f>
        <v/>
      </c>
      <c r="AZ1312" s="21" t="str">
        <f>IF(AND($AM1312&lt;&gt;"",$AS1312="✓"),SUMPRODUCT(($AM$11:$AM1312&lt;&gt;"")*($AS$11:$AS1312="✓")),"")</f>
        <v/>
      </c>
      <c r="BA1312" s="21" t="str">
        <f>IF($AL1312="","",$AL1312&amp;"|"&amp;COUNTIF($AL$11:$AL1312,$AL1312))</f>
        <v/>
      </c>
    </row>
    <row r="1313" spans="38:53" ht="15" customHeight="1" x14ac:dyDescent="0.25">
      <c r="AL1313" s="17"/>
      <c r="AM1313" s="12"/>
      <c r="AN1313" s="18"/>
      <c r="AO1313" s="18"/>
      <c r="AP1313" s="10"/>
      <c r="AQ1313" s="10"/>
      <c r="AR1313" s="19"/>
      <c r="AS1313" s="20"/>
      <c r="AT1313" s="19"/>
      <c r="AV1313" s="21">
        <f>IF(AND($AL1313&lt;&gt;"",COUNTIF($AL$11:$AL1313,$AL1313)=1),1,0)</f>
        <v>0</v>
      </c>
      <c r="AW1313" s="21">
        <f t="shared" si="127"/>
        <v>0</v>
      </c>
      <c r="AX1313" s="21" t="str">
        <f t="shared" si="126"/>
        <v/>
      </c>
      <c r="AY1313" s="21" t="str">
        <f>IF(AND($AM1313&lt;&gt;"",$AS1313&lt;&gt;"✓"),SUMPRODUCT(($AM$11:$AM1313&lt;&gt;"")*($AS$11:$AS1313&lt;&gt;"✓")),"")</f>
        <v/>
      </c>
      <c r="AZ1313" s="21" t="str">
        <f>IF(AND($AM1313&lt;&gt;"",$AS1313="✓"),SUMPRODUCT(($AM$11:$AM1313&lt;&gt;"")*($AS$11:$AS1313="✓")),"")</f>
        <v/>
      </c>
      <c r="BA1313" s="21" t="str">
        <f>IF($AL1313="","",$AL1313&amp;"|"&amp;COUNTIF($AL$11:$AL1313,$AL1313))</f>
        <v/>
      </c>
    </row>
    <row r="1314" spans="38:53" ht="15" customHeight="1" x14ac:dyDescent="0.25">
      <c r="AL1314" s="31"/>
      <c r="AM1314" s="26"/>
      <c r="AN1314" s="32"/>
      <c r="AO1314" s="32"/>
      <c r="AP1314" s="24"/>
      <c r="AQ1314" s="24"/>
      <c r="AR1314" s="33"/>
      <c r="AS1314" s="34"/>
      <c r="AT1314" s="33"/>
      <c r="AV1314" s="21">
        <f>IF(AND($AL1314&lt;&gt;"",COUNTIF($AL$11:$AL1314,$AL1314)=1),1,0)</f>
        <v>0</v>
      </c>
      <c r="AW1314" s="21">
        <f t="shared" si="127"/>
        <v>0</v>
      </c>
      <c r="AX1314" s="21" t="str">
        <f t="shared" si="126"/>
        <v/>
      </c>
      <c r="AY1314" s="21" t="str">
        <f>IF(AND($AM1314&lt;&gt;"",$AS1314&lt;&gt;"✓"),SUMPRODUCT(($AM$11:$AM1314&lt;&gt;"")*($AS$11:$AS1314&lt;&gt;"✓")),"")</f>
        <v/>
      </c>
      <c r="AZ1314" s="21" t="str">
        <f>IF(AND($AM1314&lt;&gt;"",$AS1314="✓"),SUMPRODUCT(($AM$11:$AM1314&lt;&gt;"")*($AS$11:$AS1314="✓")),"")</f>
        <v/>
      </c>
      <c r="BA1314" s="21" t="str">
        <f>IF($AL1314="","",$AL1314&amp;"|"&amp;COUNTIF($AL$11:$AL1314,$AL1314))</f>
        <v/>
      </c>
    </row>
    <row r="1315" spans="38:53" ht="15" customHeight="1" x14ac:dyDescent="0.25">
      <c r="AL1315" s="17"/>
      <c r="AM1315" s="12"/>
      <c r="AN1315" s="18"/>
      <c r="AO1315" s="18"/>
      <c r="AP1315" s="10"/>
      <c r="AQ1315" s="10"/>
      <c r="AR1315" s="19"/>
      <c r="AS1315" s="20"/>
      <c r="AT1315" s="19"/>
      <c r="AV1315" s="21">
        <f>IF(AND($AL1315&lt;&gt;"",COUNTIF($AL$11:$AL1315,$AL1315)=1),1,0)</f>
        <v>0</v>
      </c>
      <c r="AW1315" s="21">
        <f t="shared" si="127"/>
        <v>0</v>
      </c>
      <c r="AX1315" s="21" t="str">
        <f t="shared" si="126"/>
        <v/>
      </c>
      <c r="AY1315" s="21" t="str">
        <f>IF(AND($AM1315&lt;&gt;"",$AS1315&lt;&gt;"✓"),SUMPRODUCT(($AM$11:$AM1315&lt;&gt;"")*($AS$11:$AS1315&lt;&gt;"✓")),"")</f>
        <v/>
      </c>
      <c r="AZ1315" s="21" t="str">
        <f>IF(AND($AM1315&lt;&gt;"",$AS1315="✓"),SUMPRODUCT(($AM$11:$AM1315&lt;&gt;"")*($AS$11:$AS1315="✓")),"")</f>
        <v/>
      </c>
      <c r="BA1315" s="21" t="str">
        <f>IF($AL1315="","",$AL1315&amp;"|"&amp;COUNTIF($AL$11:$AL1315,$AL1315))</f>
        <v/>
      </c>
    </row>
    <row r="1316" spans="38:53" ht="15" customHeight="1" x14ac:dyDescent="0.25">
      <c r="AL1316" s="31"/>
      <c r="AM1316" s="26"/>
      <c r="AN1316" s="32"/>
      <c r="AO1316" s="32"/>
      <c r="AP1316" s="24"/>
      <c r="AQ1316" s="24"/>
      <c r="AR1316" s="33"/>
      <c r="AS1316" s="34"/>
      <c r="AT1316" s="33"/>
      <c r="AV1316" s="21">
        <f>IF(AND($AL1316&lt;&gt;"",COUNTIF($AL$11:$AL1316,$AL1316)=1),1,0)</f>
        <v>0</v>
      </c>
      <c r="AW1316" s="21">
        <f t="shared" si="127"/>
        <v>0</v>
      </c>
      <c r="AX1316" s="21" t="str">
        <f t="shared" si="126"/>
        <v/>
      </c>
      <c r="AY1316" s="21" t="str">
        <f>IF(AND($AM1316&lt;&gt;"",$AS1316&lt;&gt;"✓"),SUMPRODUCT(($AM$11:$AM1316&lt;&gt;"")*($AS$11:$AS1316&lt;&gt;"✓")),"")</f>
        <v/>
      </c>
      <c r="AZ1316" s="21" t="str">
        <f>IF(AND($AM1316&lt;&gt;"",$AS1316="✓"),SUMPRODUCT(($AM$11:$AM1316&lt;&gt;"")*($AS$11:$AS1316="✓")),"")</f>
        <v/>
      </c>
      <c r="BA1316" s="21" t="str">
        <f>IF($AL1316="","",$AL1316&amp;"|"&amp;COUNTIF($AL$11:$AL1316,$AL1316))</f>
        <v/>
      </c>
    </row>
    <row r="1317" spans="38:53" ht="15" customHeight="1" x14ac:dyDescent="0.25">
      <c r="AL1317" s="17"/>
      <c r="AM1317" s="12"/>
      <c r="AN1317" s="18"/>
      <c r="AO1317" s="18"/>
      <c r="AP1317" s="10"/>
      <c r="AQ1317" s="10"/>
      <c r="AR1317" s="19"/>
      <c r="AS1317" s="20"/>
      <c r="AT1317" s="19"/>
      <c r="AV1317" s="21">
        <f>IF(AND($AL1317&lt;&gt;"",COUNTIF($AL$11:$AL1317,$AL1317)=1),1,0)</f>
        <v>0</v>
      </c>
      <c r="AW1317" s="21">
        <f t="shared" si="127"/>
        <v>0</v>
      </c>
      <c r="AX1317" s="21" t="str">
        <f t="shared" si="126"/>
        <v/>
      </c>
      <c r="AY1317" s="21" t="str">
        <f>IF(AND($AM1317&lt;&gt;"",$AS1317&lt;&gt;"✓"),SUMPRODUCT(($AM$11:$AM1317&lt;&gt;"")*($AS$11:$AS1317&lt;&gt;"✓")),"")</f>
        <v/>
      </c>
      <c r="AZ1317" s="21" t="str">
        <f>IF(AND($AM1317&lt;&gt;"",$AS1317="✓"),SUMPRODUCT(($AM$11:$AM1317&lt;&gt;"")*($AS$11:$AS1317="✓")),"")</f>
        <v/>
      </c>
      <c r="BA1317" s="21" t="str">
        <f>IF($AL1317="","",$AL1317&amp;"|"&amp;COUNTIF($AL$11:$AL1317,$AL1317))</f>
        <v/>
      </c>
    </row>
    <row r="1318" spans="38:53" ht="15" customHeight="1" x14ac:dyDescent="0.25">
      <c r="AL1318" s="31"/>
      <c r="AM1318" s="26"/>
      <c r="AN1318" s="32"/>
      <c r="AO1318" s="32"/>
      <c r="AP1318" s="24"/>
      <c r="AQ1318" s="24"/>
      <c r="AR1318" s="33"/>
      <c r="AS1318" s="34"/>
      <c r="AT1318" s="33"/>
      <c r="AV1318" s="21">
        <f>IF(AND($AL1318&lt;&gt;"",COUNTIF($AL$11:$AL1318,$AL1318)=1),1,0)</f>
        <v>0</v>
      </c>
      <c r="AW1318" s="21">
        <f t="shared" si="127"/>
        <v>0</v>
      </c>
      <c r="AX1318" s="21" t="str">
        <f t="shared" si="126"/>
        <v/>
      </c>
      <c r="AY1318" s="21" t="str">
        <f>IF(AND($AM1318&lt;&gt;"",$AS1318&lt;&gt;"✓"),SUMPRODUCT(($AM$11:$AM1318&lt;&gt;"")*($AS$11:$AS1318&lt;&gt;"✓")),"")</f>
        <v/>
      </c>
      <c r="AZ1318" s="21" t="str">
        <f>IF(AND($AM1318&lt;&gt;"",$AS1318="✓"),SUMPRODUCT(($AM$11:$AM1318&lt;&gt;"")*($AS$11:$AS1318="✓")),"")</f>
        <v/>
      </c>
      <c r="BA1318" s="21" t="str">
        <f>IF($AL1318="","",$AL1318&amp;"|"&amp;COUNTIF($AL$11:$AL1318,$AL1318))</f>
        <v/>
      </c>
    </row>
    <row r="1319" spans="38:53" ht="15" customHeight="1" x14ac:dyDescent="0.25">
      <c r="AL1319" s="17"/>
      <c r="AM1319" s="12"/>
      <c r="AN1319" s="18"/>
      <c r="AO1319" s="18"/>
      <c r="AP1319" s="10"/>
      <c r="AQ1319" s="10"/>
      <c r="AR1319" s="19"/>
      <c r="AS1319" s="20"/>
      <c r="AT1319" s="19"/>
      <c r="AV1319" s="21">
        <f>IF(AND($AL1319&lt;&gt;"",COUNTIF($AL$11:$AL1319,$AL1319)=1),1,0)</f>
        <v>0</v>
      </c>
      <c r="AW1319" s="21">
        <f t="shared" si="127"/>
        <v>0</v>
      </c>
      <c r="AX1319" s="21" t="str">
        <f t="shared" si="126"/>
        <v/>
      </c>
      <c r="AY1319" s="21" t="str">
        <f>IF(AND($AM1319&lt;&gt;"",$AS1319&lt;&gt;"✓"),SUMPRODUCT(($AM$11:$AM1319&lt;&gt;"")*($AS$11:$AS1319&lt;&gt;"✓")),"")</f>
        <v/>
      </c>
      <c r="AZ1319" s="21" t="str">
        <f>IF(AND($AM1319&lt;&gt;"",$AS1319="✓"),SUMPRODUCT(($AM$11:$AM1319&lt;&gt;"")*($AS$11:$AS1319="✓")),"")</f>
        <v/>
      </c>
      <c r="BA1319" s="21" t="str">
        <f>IF($AL1319="","",$AL1319&amp;"|"&amp;COUNTIF($AL$11:$AL1319,$AL1319))</f>
        <v/>
      </c>
    </row>
    <row r="1320" spans="38:53" ht="15" customHeight="1" x14ac:dyDescent="0.25">
      <c r="AL1320" s="31"/>
      <c r="AM1320" s="26"/>
      <c r="AN1320" s="32"/>
      <c r="AO1320" s="32"/>
      <c r="AP1320" s="24"/>
      <c r="AQ1320" s="24"/>
      <c r="AR1320" s="33"/>
      <c r="AS1320" s="34"/>
      <c r="AT1320" s="33"/>
      <c r="AV1320" s="21">
        <f>IF(AND($AL1320&lt;&gt;"",COUNTIF($AL$11:$AL1320,$AL1320)=1),1,0)</f>
        <v>0</v>
      </c>
      <c r="AW1320" s="21">
        <f t="shared" si="127"/>
        <v>0</v>
      </c>
      <c r="AX1320" s="21" t="str">
        <f t="shared" si="126"/>
        <v/>
      </c>
      <c r="AY1320" s="21" t="str">
        <f>IF(AND($AM1320&lt;&gt;"",$AS1320&lt;&gt;"✓"),SUMPRODUCT(($AM$11:$AM1320&lt;&gt;"")*($AS$11:$AS1320&lt;&gt;"✓")),"")</f>
        <v/>
      </c>
      <c r="AZ1320" s="21" t="str">
        <f>IF(AND($AM1320&lt;&gt;"",$AS1320="✓"),SUMPRODUCT(($AM$11:$AM1320&lt;&gt;"")*($AS$11:$AS1320="✓")),"")</f>
        <v/>
      </c>
      <c r="BA1320" s="21" t="str">
        <f>IF($AL1320="","",$AL1320&amp;"|"&amp;COUNTIF($AL$11:$AL1320,$AL1320))</f>
        <v/>
      </c>
    </row>
    <row r="1321" spans="38:53" ht="15" customHeight="1" x14ac:dyDescent="0.25">
      <c r="AL1321" s="17"/>
      <c r="AM1321" s="12"/>
      <c r="AN1321" s="18"/>
      <c r="AO1321" s="18"/>
      <c r="AP1321" s="10"/>
      <c r="AQ1321" s="10"/>
      <c r="AR1321" s="19"/>
      <c r="AS1321" s="20"/>
      <c r="AT1321" s="19"/>
      <c r="AV1321" s="21">
        <f>IF(AND($AL1321&lt;&gt;"",COUNTIF($AL$11:$AL1321,$AL1321)=1),1,0)</f>
        <v>0</v>
      </c>
      <c r="AW1321" s="21">
        <f t="shared" si="127"/>
        <v>0</v>
      </c>
      <c r="AX1321" s="21" t="str">
        <f t="shared" si="126"/>
        <v/>
      </c>
      <c r="AY1321" s="21" t="str">
        <f>IF(AND($AM1321&lt;&gt;"",$AS1321&lt;&gt;"✓"),SUMPRODUCT(($AM$11:$AM1321&lt;&gt;"")*($AS$11:$AS1321&lt;&gt;"✓")),"")</f>
        <v/>
      </c>
      <c r="AZ1321" s="21" t="str">
        <f>IF(AND($AM1321&lt;&gt;"",$AS1321="✓"),SUMPRODUCT(($AM$11:$AM1321&lt;&gt;"")*($AS$11:$AS1321="✓")),"")</f>
        <v/>
      </c>
      <c r="BA1321" s="21" t="str">
        <f>IF($AL1321="","",$AL1321&amp;"|"&amp;COUNTIF($AL$11:$AL1321,$AL1321))</f>
        <v/>
      </c>
    </row>
    <row r="1322" spans="38:53" ht="15" customHeight="1" x14ac:dyDescent="0.25">
      <c r="AL1322" s="31"/>
      <c r="AM1322" s="26"/>
      <c r="AN1322" s="32"/>
      <c r="AO1322" s="32"/>
      <c r="AP1322" s="24"/>
      <c r="AQ1322" s="24"/>
      <c r="AR1322" s="33"/>
      <c r="AS1322" s="34"/>
      <c r="AT1322" s="33"/>
      <c r="AV1322" s="21">
        <f>IF(AND($AL1322&lt;&gt;"",COUNTIF($AL$11:$AL1322,$AL1322)=1),1,0)</f>
        <v>0</v>
      </c>
      <c r="AW1322" s="21">
        <f t="shared" si="127"/>
        <v>0</v>
      </c>
      <c r="AX1322" s="21" t="str">
        <f t="shared" si="126"/>
        <v/>
      </c>
      <c r="AY1322" s="21" t="str">
        <f>IF(AND($AM1322&lt;&gt;"",$AS1322&lt;&gt;"✓"),SUMPRODUCT(($AM$11:$AM1322&lt;&gt;"")*($AS$11:$AS1322&lt;&gt;"✓")),"")</f>
        <v/>
      </c>
      <c r="AZ1322" s="21" t="str">
        <f>IF(AND($AM1322&lt;&gt;"",$AS1322="✓"),SUMPRODUCT(($AM$11:$AM1322&lt;&gt;"")*($AS$11:$AS1322="✓")),"")</f>
        <v/>
      </c>
      <c r="BA1322" s="21" t="str">
        <f>IF($AL1322="","",$AL1322&amp;"|"&amp;COUNTIF($AL$11:$AL1322,$AL1322))</f>
        <v/>
      </c>
    </row>
    <row r="1323" spans="38:53" ht="15" customHeight="1" x14ac:dyDescent="0.25">
      <c r="AL1323" s="17"/>
      <c r="AM1323" s="12"/>
      <c r="AN1323" s="18"/>
      <c r="AO1323" s="18"/>
      <c r="AP1323" s="10"/>
      <c r="AQ1323" s="10"/>
      <c r="AR1323" s="19"/>
      <c r="AS1323" s="20"/>
      <c r="AT1323" s="19"/>
      <c r="AV1323" s="21">
        <f>IF(AND($AL1323&lt;&gt;"",COUNTIF($AL$11:$AL1323,$AL1323)=1),1,0)</f>
        <v>0</v>
      </c>
      <c r="AW1323" s="21">
        <f t="shared" si="127"/>
        <v>0</v>
      </c>
      <c r="AX1323" s="21" t="str">
        <f t="shared" si="126"/>
        <v/>
      </c>
      <c r="AY1323" s="21" t="str">
        <f>IF(AND($AM1323&lt;&gt;"",$AS1323&lt;&gt;"✓"),SUMPRODUCT(($AM$11:$AM1323&lt;&gt;"")*($AS$11:$AS1323&lt;&gt;"✓")),"")</f>
        <v/>
      </c>
      <c r="AZ1323" s="21" t="str">
        <f>IF(AND($AM1323&lt;&gt;"",$AS1323="✓"),SUMPRODUCT(($AM$11:$AM1323&lt;&gt;"")*($AS$11:$AS1323="✓")),"")</f>
        <v/>
      </c>
      <c r="BA1323" s="21" t="str">
        <f>IF($AL1323="","",$AL1323&amp;"|"&amp;COUNTIF($AL$11:$AL1323,$AL1323))</f>
        <v/>
      </c>
    </row>
    <row r="1324" spans="38:53" ht="15" customHeight="1" x14ac:dyDescent="0.25">
      <c r="AL1324" s="31"/>
      <c r="AM1324" s="26"/>
      <c r="AN1324" s="32"/>
      <c r="AO1324" s="32"/>
      <c r="AP1324" s="24"/>
      <c r="AQ1324" s="24"/>
      <c r="AR1324" s="33"/>
      <c r="AS1324" s="34"/>
      <c r="AT1324" s="33"/>
      <c r="AV1324" s="21">
        <f>IF(AND($AL1324&lt;&gt;"",COUNTIF($AL$11:$AL1324,$AL1324)=1),1,0)</f>
        <v>0</v>
      </c>
      <c r="AW1324" s="21">
        <f t="shared" si="127"/>
        <v>0</v>
      </c>
      <c r="AX1324" s="21" t="str">
        <f t="shared" si="126"/>
        <v/>
      </c>
      <c r="AY1324" s="21" t="str">
        <f>IF(AND($AM1324&lt;&gt;"",$AS1324&lt;&gt;"✓"),SUMPRODUCT(($AM$11:$AM1324&lt;&gt;"")*($AS$11:$AS1324&lt;&gt;"✓")),"")</f>
        <v/>
      </c>
      <c r="AZ1324" s="21" t="str">
        <f>IF(AND($AM1324&lt;&gt;"",$AS1324="✓"),SUMPRODUCT(($AM$11:$AM1324&lt;&gt;"")*($AS$11:$AS1324="✓")),"")</f>
        <v/>
      </c>
      <c r="BA1324" s="21" t="str">
        <f>IF($AL1324="","",$AL1324&amp;"|"&amp;COUNTIF($AL$11:$AL1324,$AL1324))</f>
        <v/>
      </c>
    </row>
    <row r="1325" spans="38:53" ht="15" customHeight="1" x14ac:dyDescent="0.25">
      <c r="AL1325" s="17"/>
      <c r="AM1325" s="12"/>
      <c r="AN1325" s="18"/>
      <c r="AO1325" s="18"/>
      <c r="AP1325" s="10"/>
      <c r="AQ1325" s="10"/>
      <c r="AR1325" s="19"/>
      <c r="AS1325" s="20"/>
      <c r="AT1325" s="19"/>
      <c r="AV1325" s="21">
        <f>IF(AND($AL1325&lt;&gt;"",COUNTIF($AL$11:$AL1325,$AL1325)=1),1,0)</f>
        <v>0</v>
      </c>
      <c r="AW1325" s="21">
        <f t="shared" si="127"/>
        <v>0</v>
      </c>
      <c r="AX1325" s="21" t="str">
        <f t="shared" si="126"/>
        <v/>
      </c>
      <c r="AY1325" s="21" t="str">
        <f>IF(AND($AM1325&lt;&gt;"",$AS1325&lt;&gt;"✓"),SUMPRODUCT(($AM$11:$AM1325&lt;&gt;"")*($AS$11:$AS1325&lt;&gt;"✓")),"")</f>
        <v/>
      </c>
      <c r="AZ1325" s="21" t="str">
        <f>IF(AND($AM1325&lt;&gt;"",$AS1325="✓"),SUMPRODUCT(($AM$11:$AM1325&lt;&gt;"")*($AS$11:$AS1325="✓")),"")</f>
        <v/>
      </c>
      <c r="BA1325" s="21" t="str">
        <f>IF($AL1325="","",$AL1325&amp;"|"&amp;COUNTIF($AL$11:$AL1325,$AL1325))</f>
        <v/>
      </c>
    </row>
    <row r="1326" spans="38:53" ht="15" customHeight="1" x14ac:dyDescent="0.25">
      <c r="AL1326" s="31"/>
      <c r="AM1326" s="26"/>
      <c r="AN1326" s="32"/>
      <c r="AO1326" s="32"/>
      <c r="AP1326" s="24"/>
      <c r="AQ1326" s="24"/>
      <c r="AR1326" s="33"/>
      <c r="AS1326" s="34"/>
      <c r="AT1326" s="33"/>
      <c r="AV1326" s="21">
        <f>IF(AND($AL1326&lt;&gt;"",COUNTIF($AL$11:$AL1326,$AL1326)=1),1,0)</f>
        <v>0</v>
      </c>
      <c r="AW1326" s="21">
        <f t="shared" si="127"/>
        <v>0</v>
      </c>
      <c r="AX1326" s="21" t="str">
        <f t="shared" si="126"/>
        <v/>
      </c>
      <c r="AY1326" s="21" t="str">
        <f>IF(AND($AM1326&lt;&gt;"",$AS1326&lt;&gt;"✓"),SUMPRODUCT(($AM$11:$AM1326&lt;&gt;"")*($AS$11:$AS1326&lt;&gt;"✓")),"")</f>
        <v/>
      </c>
      <c r="AZ1326" s="21" t="str">
        <f>IF(AND($AM1326&lt;&gt;"",$AS1326="✓"),SUMPRODUCT(($AM$11:$AM1326&lt;&gt;"")*($AS$11:$AS1326="✓")),"")</f>
        <v/>
      </c>
      <c r="BA1326" s="21" t="str">
        <f>IF($AL1326="","",$AL1326&amp;"|"&amp;COUNTIF($AL$11:$AL1326,$AL1326))</f>
        <v/>
      </c>
    </row>
    <row r="1327" spans="38:53" ht="15" customHeight="1" x14ac:dyDescent="0.25">
      <c r="AL1327" s="17"/>
      <c r="AM1327" s="12"/>
      <c r="AN1327" s="18"/>
      <c r="AO1327" s="18"/>
      <c r="AP1327" s="10"/>
      <c r="AQ1327" s="10"/>
      <c r="AR1327" s="19"/>
      <c r="AS1327" s="20"/>
      <c r="AT1327" s="19"/>
      <c r="AV1327" s="21">
        <f>IF(AND($AL1327&lt;&gt;"",COUNTIF($AL$11:$AL1327,$AL1327)=1),1,0)</f>
        <v>0</v>
      </c>
      <c r="AW1327" s="21">
        <f t="shared" si="127"/>
        <v>0</v>
      </c>
      <c r="AX1327" s="21" t="str">
        <f t="shared" si="126"/>
        <v/>
      </c>
      <c r="AY1327" s="21" t="str">
        <f>IF(AND($AM1327&lt;&gt;"",$AS1327&lt;&gt;"✓"),SUMPRODUCT(($AM$11:$AM1327&lt;&gt;"")*($AS$11:$AS1327&lt;&gt;"✓")),"")</f>
        <v/>
      </c>
      <c r="AZ1327" s="21" t="str">
        <f>IF(AND($AM1327&lt;&gt;"",$AS1327="✓"),SUMPRODUCT(($AM$11:$AM1327&lt;&gt;"")*($AS$11:$AS1327="✓")),"")</f>
        <v/>
      </c>
      <c r="BA1327" s="21" t="str">
        <f>IF($AL1327="","",$AL1327&amp;"|"&amp;COUNTIF($AL$11:$AL1327,$AL1327))</f>
        <v/>
      </c>
    </row>
    <row r="1328" spans="38:53" ht="15" customHeight="1" x14ac:dyDescent="0.25">
      <c r="AL1328" s="31"/>
      <c r="AM1328" s="26"/>
      <c r="AN1328" s="32"/>
      <c r="AO1328" s="32"/>
      <c r="AP1328" s="24"/>
      <c r="AQ1328" s="24"/>
      <c r="AR1328" s="33"/>
      <c r="AS1328" s="34"/>
      <c r="AT1328" s="33"/>
      <c r="AV1328" s="21">
        <f>IF(AND($AL1328&lt;&gt;"",COUNTIF($AL$11:$AL1328,$AL1328)=1),1,0)</f>
        <v>0</v>
      </c>
      <c r="AW1328" s="21">
        <f t="shared" si="127"/>
        <v>0</v>
      </c>
      <c r="AX1328" s="21" t="str">
        <f t="shared" si="126"/>
        <v/>
      </c>
      <c r="AY1328" s="21" t="str">
        <f>IF(AND($AM1328&lt;&gt;"",$AS1328&lt;&gt;"✓"),SUMPRODUCT(($AM$11:$AM1328&lt;&gt;"")*($AS$11:$AS1328&lt;&gt;"✓")),"")</f>
        <v/>
      </c>
      <c r="AZ1328" s="21" t="str">
        <f>IF(AND($AM1328&lt;&gt;"",$AS1328="✓"),SUMPRODUCT(($AM$11:$AM1328&lt;&gt;"")*($AS$11:$AS1328="✓")),"")</f>
        <v/>
      </c>
      <c r="BA1328" s="21" t="str">
        <f>IF($AL1328="","",$AL1328&amp;"|"&amp;COUNTIF($AL$11:$AL1328,$AL1328))</f>
        <v/>
      </c>
    </row>
    <row r="1329" spans="38:53" ht="15" customHeight="1" x14ac:dyDescent="0.25">
      <c r="AL1329" s="17"/>
      <c r="AM1329" s="12"/>
      <c r="AN1329" s="18"/>
      <c r="AO1329" s="18"/>
      <c r="AP1329" s="10"/>
      <c r="AQ1329" s="10"/>
      <c r="AR1329" s="19"/>
      <c r="AS1329" s="20"/>
      <c r="AT1329" s="19"/>
      <c r="AV1329" s="21">
        <f>IF(AND($AL1329&lt;&gt;"",COUNTIF($AL$11:$AL1329,$AL1329)=1),1,0)</f>
        <v>0</v>
      </c>
      <c r="AW1329" s="21">
        <f t="shared" si="127"/>
        <v>0</v>
      </c>
      <c r="AX1329" s="21" t="str">
        <f t="shared" si="126"/>
        <v/>
      </c>
      <c r="AY1329" s="21" t="str">
        <f>IF(AND($AM1329&lt;&gt;"",$AS1329&lt;&gt;"✓"),SUMPRODUCT(($AM$11:$AM1329&lt;&gt;"")*($AS$11:$AS1329&lt;&gt;"✓")),"")</f>
        <v/>
      </c>
      <c r="AZ1329" s="21" t="str">
        <f>IF(AND($AM1329&lt;&gt;"",$AS1329="✓"),SUMPRODUCT(($AM$11:$AM1329&lt;&gt;"")*($AS$11:$AS1329="✓")),"")</f>
        <v/>
      </c>
      <c r="BA1329" s="21" t="str">
        <f>IF($AL1329="","",$AL1329&amp;"|"&amp;COUNTIF($AL$11:$AL1329,$AL1329))</f>
        <v/>
      </c>
    </row>
    <row r="1330" spans="38:53" ht="15" customHeight="1" x14ac:dyDescent="0.25">
      <c r="AL1330" s="31"/>
      <c r="AM1330" s="26"/>
      <c r="AN1330" s="32"/>
      <c r="AO1330" s="32"/>
      <c r="AP1330" s="24"/>
      <c r="AQ1330" s="24"/>
      <c r="AR1330" s="33"/>
      <c r="AS1330" s="34"/>
      <c r="AT1330" s="33"/>
      <c r="AV1330" s="21">
        <f>IF(AND($AL1330&lt;&gt;"",COUNTIF($AL$11:$AL1330,$AL1330)=1),1,0)</f>
        <v>0</v>
      </c>
      <c r="AW1330" s="21">
        <f t="shared" si="127"/>
        <v>0</v>
      </c>
      <c r="AX1330" s="21" t="str">
        <f t="shared" si="126"/>
        <v/>
      </c>
      <c r="AY1330" s="21" t="str">
        <f>IF(AND($AM1330&lt;&gt;"",$AS1330&lt;&gt;"✓"),SUMPRODUCT(($AM$11:$AM1330&lt;&gt;"")*($AS$11:$AS1330&lt;&gt;"✓")),"")</f>
        <v/>
      </c>
      <c r="AZ1330" s="21" t="str">
        <f>IF(AND($AM1330&lt;&gt;"",$AS1330="✓"),SUMPRODUCT(($AM$11:$AM1330&lt;&gt;"")*($AS$11:$AS1330="✓")),"")</f>
        <v/>
      </c>
      <c r="BA1330" s="21" t="str">
        <f>IF($AL1330="","",$AL1330&amp;"|"&amp;COUNTIF($AL$11:$AL1330,$AL1330))</f>
        <v/>
      </c>
    </row>
    <row r="1331" spans="38:53" ht="15" customHeight="1" x14ac:dyDescent="0.25">
      <c r="AL1331" s="17"/>
      <c r="AM1331" s="12"/>
      <c r="AN1331" s="18"/>
      <c r="AO1331" s="18"/>
      <c r="AP1331" s="10"/>
      <c r="AQ1331" s="10"/>
      <c r="AR1331" s="19"/>
      <c r="AS1331" s="20"/>
      <c r="AT1331" s="19"/>
      <c r="AV1331" s="21">
        <f>IF(AND($AL1331&lt;&gt;"",COUNTIF($AL$11:$AL1331,$AL1331)=1),1,0)</f>
        <v>0</v>
      </c>
      <c r="AW1331" s="21">
        <f t="shared" si="127"/>
        <v>0</v>
      </c>
      <c r="AX1331" s="21" t="str">
        <f t="shared" si="126"/>
        <v/>
      </c>
      <c r="AY1331" s="21" t="str">
        <f>IF(AND($AM1331&lt;&gt;"",$AS1331&lt;&gt;"✓"),SUMPRODUCT(($AM$11:$AM1331&lt;&gt;"")*($AS$11:$AS1331&lt;&gt;"✓")),"")</f>
        <v/>
      </c>
      <c r="AZ1331" s="21" t="str">
        <f>IF(AND($AM1331&lt;&gt;"",$AS1331="✓"),SUMPRODUCT(($AM$11:$AM1331&lt;&gt;"")*($AS$11:$AS1331="✓")),"")</f>
        <v/>
      </c>
      <c r="BA1331" s="21" t="str">
        <f>IF($AL1331="","",$AL1331&amp;"|"&amp;COUNTIF($AL$11:$AL1331,$AL1331))</f>
        <v/>
      </c>
    </row>
    <row r="1332" spans="38:53" ht="15" customHeight="1" x14ac:dyDescent="0.25">
      <c r="AL1332" s="31"/>
      <c r="AM1332" s="26"/>
      <c r="AN1332" s="32"/>
      <c r="AO1332" s="32"/>
      <c r="AP1332" s="24"/>
      <c r="AQ1332" s="24"/>
      <c r="AR1332" s="33"/>
      <c r="AS1332" s="34"/>
      <c r="AT1332" s="33"/>
      <c r="AV1332" s="21">
        <f>IF(AND($AL1332&lt;&gt;"",COUNTIF($AL$11:$AL1332,$AL1332)=1),1,0)</f>
        <v>0</v>
      </c>
      <c r="AW1332" s="21">
        <f t="shared" si="127"/>
        <v>0</v>
      </c>
      <c r="AX1332" s="21" t="str">
        <f t="shared" si="126"/>
        <v/>
      </c>
      <c r="AY1332" s="21" t="str">
        <f>IF(AND($AM1332&lt;&gt;"",$AS1332&lt;&gt;"✓"),SUMPRODUCT(($AM$11:$AM1332&lt;&gt;"")*($AS$11:$AS1332&lt;&gt;"✓")),"")</f>
        <v/>
      </c>
      <c r="AZ1332" s="21" t="str">
        <f>IF(AND($AM1332&lt;&gt;"",$AS1332="✓"),SUMPRODUCT(($AM$11:$AM1332&lt;&gt;"")*($AS$11:$AS1332="✓")),"")</f>
        <v/>
      </c>
      <c r="BA1332" s="21" t="str">
        <f>IF($AL1332="","",$AL1332&amp;"|"&amp;COUNTIF($AL$11:$AL1332,$AL1332))</f>
        <v/>
      </c>
    </row>
    <row r="1333" spans="38:53" ht="15" customHeight="1" x14ac:dyDescent="0.25">
      <c r="AL1333" s="17"/>
      <c r="AM1333" s="12"/>
      <c r="AN1333" s="18"/>
      <c r="AO1333" s="18"/>
      <c r="AP1333" s="10"/>
      <c r="AQ1333" s="10"/>
      <c r="AR1333" s="19"/>
      <c r="AS1333" s="20"/>
      <c r="AT1333" s="19"/>
      <c r="AV1333" s="21">
        <f>IF(AND($AL1333&lt;&gt;"",COUNTIF($AL$11:$AL1333,$AL1333)=1),1,0)</f>
        <v>0</v>
      </c>
      <c r="AW1333" s="21">
        <f t="shared" si="127"/>
        <v>0</v>
      </c>
      <c r="AX1333" s="21" t="str">
        <f t="shared" si="126"/>
        <v/>
      </c>
      <c r="AY1333" s="21" t="str">
        <f>IF(AND($AM1333&lt;&gt;"",$AS1333&lt;&gt;"✓"),SUMPRODUCT(($AM$11:$AM1333&lt;&gt;"")*($AS$11:$AS1333&lt;&gt;"✓")),"")</f>
        <v/>
      </c>
      <c r="AZ1333" s="21" t="str">
        <f>IF(AND($AM1333&lt;&gt;"",$AS1333="✓"),SUMPRODUCT(($AM$11:$AM1333&lt;&gt;"")*($AS$11:$AS1333="✓")),"")</f>
        <v/>
      </c>
      <c r="BA1333" s="21" t="str">
        <f>IF($AL1333="","",$AL1333&amp;"|"&amp;COUNTIF($AL$11:$AL1333,$AL1333))</f>
        <v/>
      </c>
    </row>
    <row r="1334" spans="38:53" ht="15" customHeight="1" x14ac:dyDescent="0.25">
      <c r="AL1334" s="31"/>
      <c r="AM1334" s="26"/>
      <c r="AN1334" s="32"/>
      <c r="AO1334" s="32"/>
      <c r="AP1334" s="24"/>
      <c r="AQ1334" s="24"/>
      <c r="AR1334" s="33"/>
      <c r="AS1334" s="34"/>
      <c r="AT1334" s="33"/>
      <c r="AV1334" s="21">
        <f>IF(AND($AL1334&lt;&gt;"",COUNTIF($AL$11:$AL1334,$AL1334)=1),1,0)</f>
        <v>0</v>
      </c>
      <c r="AW1334" s="21">
        <f t="shared" si="127"/>
        <v>0</v>
      </c>
      <c r="AX1334" s="21" t="str">
        <f t="shared" si="126"/>
        <v/>
      </c>
      <c r="AY1334" s="21" t="str">
        <f>IF(AND($AM1334&lt;&gt;"",$AS1334&lt;&gt;"✓"),SUMPRODUCT(($AM$11:$AM1334&lt;&gt;"")*($AS$11:$AS1334&lt;&gt;"✓")),"")</f>
        <v/>
      </c>
      <c r="AZ1334" s="21" t="str">
        <f>IF(AND($AM1334&lt;&gt;"",$AS1334="✓"),SUMPRODUCT(($AM$11:$AM1334&lt;&gt;"")*($AS$11:$AS1334="✓")),"")</f>
        <v/>
      </c>
      <c r="BA1334" s="21" t="str">
        <f>IF($AL1334="","",$AL1334&amp;"|"&amp;COUNTIF($AL$11:$AL1334,$AL1334))</f>
        <v/>
      </c>
    </row>
    <row r="1335" spans="38:53" ht="15" customHeight="1" x14ac:dyDescent="0.25">
      <c r="AL1335" s="17"/>
      <c r="AM1335" s="12"/>
      <c r="AN1335" s="18"/>
      <c r="AO1335" s="18"/>
      <c r="AP1335" s="10"/>
      <c r="AQ1335" s="10"/>
      <c r="AR1335" s="19"/>
      <c r="AS1335" s="20"/>
      <c r="AT1335" s="19"/>
      <c r="AV1335" s="21">
        <f>IF(AND($AL1335&lt;&gt;"",COUNTIF($AL$11:$AL1335,$AL1335)=1),1,0)</f>
        <v>0</v>
      </c>
      <c r="AW1335" s="21">
        <f t="shared" si="127"/>
        <v>0</v>
      </c>
      <c r="AX1335" s="21" t="str">
        <f t="shared" si="126"/>
        <v/>
      </c>
      <c r="AY1335" s="21" t="str">
        <f>IF(AND($AM1335&lt;&gt;"",$AS1335&lt;&gt;"✓"),SUMPRODUCT(($AM$11:$AM1335&lt;&gt;"")*($AS$11:$AS1335&lt;&gt;"✓")),"")</f>
        <v/>
      </c>
      <c r="AZ1335" s="21" t="str">
        <f>IF(AND($AM1335&lt;&gt;"",$AS1335="✓"),SUMPRODUCT(($AM$11:$AM1335&lt;&gt;"")*($AS$11:$AS1335="✓")),"")</f>
        <v/>
      </c>
      <c r="BA1335" s="21" t="str">
        <f>IF($AL1335="","",$AL1335&amp;"|"&amp;COUNTIF($AL$11:$AL1335,$AL1335))</f>
        <v/>
      </c>
    </row>
    <row r="1336" spans="38:53" ht="15" customHeight="1" x14ac:dyDescent="0.25">
      <c r="AL1336" s="31"/>
      <c r="AM1336" s="26"/>
      <c r="AN1336" s="32"/>
      <c r="AO1336" s="32"/>
      <c r="AP1336" s="24"/>
      <c r="AQ1336" s="24"/>
      <c r="AR1336" s="33"/>
      <c r="AS1336" s="34"/>
      <c r="AT1336" s="33"/>
      <c r="AV1336" s="21">
        <f>IF(AND($AL1336&lt;&gt;"",COUNTIF($AL$11:$AL1336,$AL1336)=1),1,0)</f>
        <v>0</v>
      </c>
      <c r="AW1336" s="21">
        <f t="shared" si="127"/>
        <v>0</v>
      </c>
      <c r="AX1336" s="21" t="str">
        <f t="shared" si="126"/>
        <v/>
      </c>
      <c r="AY1336" s="21" t="str">
        <f>IF(AND($AM1336&lt;&gt;"",$AS1336&lt;&gt;"✓"),SUMPRODUCT(($AM$11:$AM1336&lt;&gt;"")*($AS$11:$AS1336&lt;&gt;"✓")),"")</f>
        <v/>
      </c>
      <c r="AZ1336" s="21" t="str">
        <f>IF(AND($AM1336&lt;&gt;"",$AS1336="✓"),SUMPRODUCT(($AM$11:$AM1336&lt;&gt;"")*($AS$11:$AS1336="✓")),"")</f>
        <v/>
      </c>
      <c r="BA1336" s="21" t="str">
        <f>IF($AL1336="","",$AL1336&amp;"|"&amp;COUNTIF($AL$11:$AL1336,$AL1336))</f>
        <v/>
      </c>
    </row>
    <row r="1337" spans="38:53" ht="15" customHeight="1" x14ac:dyDescent="0.25">
      <c r="AL1337" s="17"/>
      <c r="AM1337" s="12"/>
      <c r="AN1337" s="18"/>
      <c r="AO1337" s="18"/>
      <c r="AP1337" s="10"/>
      <c r="AQ1337" s="10"/>
      <c r="AR1337" s="19"/>
      <c r="AS1337" s="20"/>
      <c r="AT1337" s="19"/>
      <c r="AV1337" s="21">
        <f>IF(AND($AL1337&lt;&gt;"",COUNTIF($AL$11:$AL1337,$AL1337)=1),1,0)</f>
        <v>0</v>
      </c>
      <c r="AW1337" s="21">
        <f t="shared" si="127"/>
        <v>0</v>
      </c>
      <c r="AX1337" s="21" t="str">
        <f t="shared" si="126"/>
        <v/>
      </c>
      <c r="AY1337" s="21" t="str">
        <f>IF(AND($AM1337&lt;&gt;"",$AS1337&lt;&gt;"✓"),SUMPRODUCT(($AM$11:$AM1337&lt;&gt;"")*($AS$11:$AS1337&lt;&gt;"✓")),"")</f>
        <v/>
      </c>
      <c r="AZ1337" s="21" t="str">
        <f>IF(AND($AM1337&lt;&gt;"",$AS1337="✓"),SUMPRODUCT(($AM$11:$AM1337&lt;&gt;"")*($AS$11:$AS1337="✓")),"")</f>
        <v/>
      </c>
      <c r="BA1337" s="21" t="str">
        <f>IF($AL1337="","",$AL1337&amp;"|"&amp;COUNTIF($AL$11:$AL1337,$AL1337))</f>
        <v/>
      </c>
    </row>
    <row r="1338" spans="38:53" ht="15" customHeight="1" x14ac:dyDescent="0.25">
      <c r="AL1338" s="31"/>
      <c r="AM1338" s="26"/>
      <c r="AN1338" s="32"/>
      <c r="AO1338" s="32"/>
      <c r="AP1338" s="24"/>
      <c r="AQ1338" s="24"/>
      <c r="AR1338" s="33"/>
      <c r="AS1338" s="34"/>
      <c r="AT1338" s="33"/>
      <c r="AV1338" s="21">
        <f>IF(AND($AL1338&lt;&gt;"",COUNTIF($AL$11:$AL1338,$AL1338)=1),1,0)</f>
        <v>0</v>
      </c>
      <c r="AW1338" s="21">
        <f t="shared" si="127"/>
        <v>0</v>
      </c>
      <c r="AX1338" s="21" t="str">
        <f t="shared" si="126"/>
        <v/>
      </c>
      <c r="AY1338" s="21" t="str">
        <f>IF(AND($AM1338&lt;&gt;"",$AS1338&lt;&gt;"✓"),SUMPRODUCT(($AM$11:$AM1338&lt;&gt;"")*($AS$11:$AS1338&lt;&gt;"✓")),"")</f>
        <v/>
      </c>
      <c r="AZ1338" s="21" t="str">
        <f>IF(AND($AM1338&lt;&gt;"",$AS1338="✓"),SUMPRODUCT(($AM$11:$AM1338&lt;&gt;"")*($AS$11:$AS1338="✓")),"")</f>
        <v/>
      </c>
      <c r="BA1338" s="21" t="str">
        <f>IF($AL1338="","",$AL1338&amp;"|"&amp;COUNTIF($AL$11:$AL1338,$AL1338))</f>
        <v/>
      </c>
    </row>
    <row r="1339" spans="38:53" ht="15" customHeight="1" x14ac:dyDescent="0.25">
      <c r="AL1339" s="17"/>
      <c r="AM1339" s="12"/>
      <c r="AN1339" s="18"/>
      <c r="AO1339" s="18"/>
      <c r="AP1339" s="10"/>
      <c r="AQ1339" s="10"/>
      <c r="AR1339" s="19"/>
      <c r="AS1339" s="20"/>
      <c r="AT1339" s="19"/>
      <c r="AV1339" s="21">
        <f>IF(AND($AL1339&lt;&gt;"",COUNTIF($AL$11:$AL1339,$AL1339)=1),1,0)</f>
        <v>0</v>
      </c>
      <c r="AW1339" s="21">
        <f t="shared" si="127"/>
        <v>0</v>
      </c>
      <c r="AX1339" s="21" t="str">
        <f t="shared" si="126"/>
        <v/>
      </c>
      <c r="AY1339" s="21" t="str">
        <f>IF(AND($AM1339&lt;&gt;"",$AS1339&lt;&gt;"✓"),SUMPRODUCT(($AM$11:$AM1339&lt;&gt;"")*($AS$11:$AS1339&lt;&gt;"✓")),"")</f>
        <v/>
      </c>
      <c r="AZ1339" s="21" t="str">
        <f>IF(AND($AM1339&lt;&gt;"",$AS1339="✓"),SUMPRODUCT(($AM$11:$AM1339&lt;&gt;"")*($AS$11:$AS1339="✓")),"")</f>
        <v/>
      </c>
      <c r="BA1339" s="21" t="str">
        <f>IF($AL1339="","",$AL1339&amp;"|"&amp;COUNTIF($AL$11:$AL1339,$AL1339))</f>
        <v/>
      </c>
    </row>
    <row r="1340" spans="38:53" ht="15" customHeight="1" x14ac:dyDescent="0.25">
      <c r="AL1340" s="31"/>
      <c r="AM1340" s="26"/>
      <c r="AN1340" s="32"/>
      <c r="AO1340" s="32"/>
      <c r="AP1340" s="24"/>
      <c r="AQ1340" s="24"/>
      <c r="AR1340" s="33"/>
      <c r="AS1340" s="34"/>
      <c r="AT1340" s="33"/>
      <c r="AV1340" s="21">
        <f>IF(AND($AL1340&lt;&gt;"",COUNTIF($AL$11:$AL1340,$AL1340)=1),1,0)</f>
        <v>0</v>
      </c>
      <c r="AW1340" s="21">
        <f t="shared" si="127"/>
        <v>0</v>
      </c>
      <c r="AX1340" s="21" t="str">
        <f t="shared" si="126"/>
        <v/>
      </c>
      <c r="AY1340" s="21" t="str">
        <f>IF(AND($AM1340&lt;&gt;"",$AS1340&lt;&gt;"✓"),SUMPRODUCT(($AM$11:$AM1340&lt;&gt;"")*($AS$11:$AS1340&lt;&gt;"✓")),"")</f>
        <v/>
      </c>
      <c r="AZ1340" s="21" t="str">
        <f>IF(AND($AM1340&lt;&gt;"",$AS1340="✓"),SUMPRODUCT(($AM$11:$AM1340&lt;&gt;"")*($AS$11:$AS1340="✓")),"")</f>
        <v/>
      </c>
      <c r="BA1340" s="21" t="str">
        <f>IF($AL1340="","",$AL1340&amp;"|"&amp;COUNTIF($AL$11:$AL1340,$AL1340))</f>
        <v/>
      </c>
    </row>
    <row r="1341" spans="38:53" ht="15" customHeight="1" x14ac:dyDescent="0.25">
      <c r="AL1341" s="17"/>
      <c r="AM1341" s="12"/>
      <c r="AN1341" s="18"/>
      <c r="AO1341" s="18"/>
      <c r="AP1341" s="10"/>
      <c r="AQ1341" s="10"/>
      <c r="AR1341" s="19"/>
      <c r="AS1341" s="20"/>
      <c r="AT1341" s="19"/>
      <c r="AV1341" s="21">
        <f>IF(AND($AL1341&lt;&gt;"",COUNTIF($AL$11:$AL1341,$AL1341)=1),1,0)</f>
        <v>0</v>
      </c>
      <c r="AW1341" s="21">
        <f t="shared" si="127"/>
        <v>0</v>
      </c>
      <c r="AX1341" s="21" t="str">
        <f t="shared" si="126"/>
        <v/>
      </c>
      <c r="AY1341" s="21" t="str">
        <f>IF(AND($AM1341&lt;&gt;"",$AS1341&lt;&gt;"✓"),SUMPRODUCT(($AM$11:$AM1341&lt;&gt;"")*($AS$11:$AS1341&lt;&gt;"✓")),"")</f>
        <v/>
      </c>
      <c r="AZ1341" s="21" t="str">
        <f>IF(AND($AM1341&lt;&gt;"",$AS1341="✓"),SUMPRODUCT(($AM$11:$AM1341&lt;&gt;"")*($AS$11:$AS1341="✓")),"")</f>
        <v/>
      </c>
      <c r="BA1341" s="21" t="str">
        <f>IF($AL1341="","",$AL1341&amp;"|"&amp;COUNTIF($AL$11:$AL1341,$AL1341))</f>
        <v/>
      </c>
    </row>
    <row r="1342" spans="38:53" ht="15" customHeight="1" x14ac:dyDescent="0.25">
      <c r="AL1342" s="31"/>
      <c r="AM1342" s="26"/>
      <c r="AN1342" s="32"/>
      <c r="AO1342" s="32"/>
      <c r="AP1342" s="24"/>
      <c r="AQ1342" s="24"/>
      <c r="AR1342" s="33"/>
      <c r="AS1342" s="34"/>
      <c r="AT1342" s="33"/>
      <c r="AV1342" s="21">
        <f>IF(AND($AL1342&lt;&gt;"",COUNTIF($AL$11:$AL1342,$AL1342)=1),1,0)</f>
        <v>0</v>
      </c>
      <c r="AW1342" s="21">
        <f t="shared" si="127"/>
        <v>0</v>
      </c>
      <c r="AX1342" s="21" t="str">
        <f t="shared" si="126"/>
        <v/>
      </c>
      <c r="AY1342" s="21" t="str">
        <f>IF(AND($AM1342&lt;&gt;"",$AS1342&lt;&gt;"✓"),SUMPRODUCT(($AM$11:$AM1342&lt;&gt;"")*($AS$11:$AS1342&lt;&gt;"✓")),"")</f>
        <v/>
      </c>
      <c r="AZ1342" s="21" t="str">
        <f>IF(AND($AM1342&lt;&gt;"",$AS1342="✓"),SUMPRODUCT(($AM$11:$AM1342&lt;&gt;"")*($AS$11:$AS1342="✓")),"")</f>
        <v/>
      </c>
      <c r="BA1342" s="21" t="str">
        <f>IF($AL1342="","",$AL1342&amp;"|"&amp;COUNTIF($AL$11:$AL1342,$AL1342))</f>
        <v/>
      </c>
    </row>
    <row r="1343" spans="38:53" ht="15" customHeight="1" x14ac:dyDescent="0.25">
      <c r="AL1343" s="17"/>
      <c r="AM1343" s="12"/>
      <c r="AN1343" s="18"/>
      <c r="AO1343" s="18"/>
      <c r="AP1343" s="10"/>
      <c r="AQ1343" s="10"/>
      <c r="AR1343" s="19"/>
      <c r="AS1343" s="20"/>
      <c r="AT1343" s="19"/>
      <c r="AV1343" s="21">
        <f>IF(AND($AL1343&lt;&gt;"",COUNTIF($AL$11:$AL1343,$AL1343)=1),1,0)</f>
        <v>0</v>
      </c>
      <c r="AW1343" s="21">
        <f t="shared" si="127"/>
        <v>0</v>
      </c>
      <c r="AX1343" s="21" t="str">
        <f t="shared" si="126"/>
        <v/>
      </c>
      <c r="AY1343" s="21" t="str">
        <f>IF(AND($AM1343&lt;&gt;"",$AS1343&lt;&gt;"✓"),SUMPRODUCT(($AM$11:$AM1343&lt;&gt;"")*($AS$11:$AS1343&lt;&gt;"✓")),"")</f>
        <v/>
      </c>
      <c r="AZ1343" s="21" t="str">
        <f>IF(AND($AM1343&lt;&gt;"",$AS1343="✓"),SUMPRODUCT(($AM$11:$AM1343&lt;&gt;"")*($AS$11:$AS1343="✓")),"")</f>
        <v/>
      </c>
      <c r="BA1343" s="21" t="str">
        <f>IF($AL1343="","",$AL1343&amp;"|"&amp;COUNTIF($AL$11:$AL1343,$AL1343))</f>
        <v/>
      </c>
    </row>
    <row r="1344" spans="38:53" ht="15" customHeight="1" x14ac:dyDescent="0.25">
      <c r="AL1344" s="31"/>
      <c r="AM1344" s="26"/>
      <c r="AN1344" s="32"/>
      <c r="AO1344" s="32"/>
      <c r="AP1344" s="24"/>
      <c r="AQ1344" s="24"/>
      <c r="AR1344" s="33"/>
      <c r="AS1344" s="34"/>
      <c r="AT1344" s="33"/>
      <c r="AV1344" s="21">
        <f>IF(AND($AL1344&lt;&gt;"",COUNTIF($AL$11:$AL1344,$AL1344)=1),1,0)</f>
        <v>0</v>
      </c>
      <c r="AW1344" s="21">
        <f t="shared" si="127"/>
        <v>0</v>
      </c>
      <c r="AX1344" s="21" t="str">
        <f t="shared" si="126"/>
        <v/>
      </c>
      <c r="AY1344" s="21" t="str">
        <f>IF(AND($AM1344&lt;&gt;"",$AS1344&lt;&gt;"✓"),SUMPRODUCT(($AM$11:$AM1344&lt;&gt;"")*($AS$11:$AS1344&lt;&gt;"✓")),"")</f>
        <v/>
      </c>
      <c r="AZ1344" s="21" t="str">
        <f>IF(AND($AM1344&lt;&gt;"",$AS1344="✓"),SUMPRODUCT(($AM$11:$AM1344&lt;&gt;"")*($AS$11:$AS1344="✓")),"")</f>
        <v/>
      </c>
      <c r="BA1344" s="21" t="str">
        <f>IF($AL1344="","",$AL1344&amp;"|"&amp;COUNTIF($AL$11:$AL1344,$AL1344))</f>
        <v/>
      </c>
    </row>
    <row r="1345" spans="38:53" ht="15" customHeight="1" x14ac:dyDescent="0.25">
      <c r="AL1345" s="17"/>
      <c r="AM1345" s="12"/>
      <c r="AN1345" s="18"/>
      <c r="AO1345" s="18"/>
      <c r="AP1345" s="10"/>
      <c r="AQ1345" s="10"/>
      <c r="AR1345" s="19"/>
      <c r="AS1345" s="20"/>
      <c r="AT1345" s="19"/>
      <c r="AV1345" s="21">
        <f>IF(AND($AL1345&lt;&gt;"",COUNTIF($AL$11:$AL1345,$AL1345)=1),1,0)</f>
        <v>0</v>
      </c>
      <c r="AW1345" s="21">
        <f t="shared" si="127"/>
        <v>0</v>
      </c>
      <c r="AX1345" s="21" t="str">
        <f t="shared" si="126"/>
        <v/>
      </c>
      <c r="AY1345" s="21" t="str">
        <f>IF(AND($AM1345&lt;&gt;"",$AS1345&lt;&gt;"✓"),SUMPRODUCT(($AM$11:$AM1345&lt;&gt;"")*($AS$11:$AS1345&lt;&gt;"✓")),"")</f>
        <v/>
      </c>
      <c r="AZ1345" s="21" t="str">
        <f>IF(AND($AM1345&lt;&gt;"",$AS1345="✓"),SUMPRODUCT(($AM$11:$AM1345&lt;&gt;"")*($AS$11:$AS1345="✓")),"")</f>
        <v/>
      </c>
      <c r="BA1345" s="21" t="str">
        <f>IF($AL1345="","",$AL1345&amp;"|"&amp;COUNTIF($AL$11:$AL1345,$AL1345))</f>
        <v/>
      </c>
    </row>
    <row r="1346" spans="38:53" ht="15" customHeight="1" x14ac:dyDescent="0.25">
      <c r="AL1346" s="31"/>
      <c r="AM1346" s="26"/>
      <c r="AN1346" s="32"/>
      <c r="AO1346" s="32"/>
      <c r="AP1346" s="24"/>
      <c r="AQ1346" s="24"/>
      <c r="AR1346" s="33"/>
      <c r="AS1346" s="34"/>
      <c r="AT1346" s="33"/>
      <c r="AV1346" s="21">
        <f>IF(AND($AL1346&lt;&gt;"",COUNTIF($AL$11:$AL1346,$AL1346)=1),1,0)</f>
        <v>0</v>
      </c>
      <c r="AW1346" s="21">
        <f t="shared" si="127"/>
        <v>0</v>
      </c>
      <c r="AX1346" s="21" t="str">
        <f t="shared" si="126"/>
        <v/>
      </c>
      <c r="AY1346" s="21" t="str">
        <f>IF(AND($AM1346&lt;&gt;"",$AS1346&lt;&gt;"✓"),SUMPRODUCT(($AM$11:$AM1346&lt;&gt;"")*($AS$11:$AS1346&lt;&gt;"✓")),"")</f>
        <v/>
      </c>
      <c r="AZ1346" s="21" t="str">
        <f>IF(AND($AM1346&lt;&gt;"",$AS1346="✓"),SUMPRODUCT(($AM$11:$AM1346&lt;&gt;"")*($AS$11:$AS1346="✓")),"")</f>
        <v/>
      </c>
      <c r="BA1346" s="21" t="str">
        <f>IF($AL1346="","",$AL1346&amp;"|"&amp;COUNTIF($AL$11:$AL1346,$AL1346))</f>
        <v/>
      </c>
    </row>
    <row r="1347" spans="38:53" ht="15" customHeight="1" x14ac:dyDescent="0.25">
      <c r="AL1347" s="17"/>
      <c r="AM1347" s="12"/>
      <c r="AN1347" s="18"/>
      <c r="AO1347" s="18"/>
      <c r="AP1347" s="10"/>
      <c r="AQ1347" s="10"/>
      <c r="AR1347" s="19"/>
      <c r="AS1347" s="20"/>
      <c r="AT1347" s="19"/>
      <c r="AV1347" s="21">
        <f>IF(AND($AL1347&lt;&gt;"",COUNTIF($AL$11:$AL1347,$AL1347)=1),1,0)</f>
        <v>0</v>
      </c>
      <c r="AW1347" s="21">
        <f t="shared" si="127"/>
        <v>0</v>
      </c>
      <c r="AX1347" s="21" t="str">
        <f t="shared" si="126"/>
        <v/>
      </c>
      <c r="AY1347" s="21" t="str">
        <f>IF(AND($AM1347&lt;&gt;"",$AS1347&lt;&gt;"✓"),SUMPRODUCT(($AM$11:$AM1347&lt;&gt;"")*($AS$11:$AS1347&lt;&gt;"✓")),"")</f>
        <v/>
      </c>
      <c r="AZ1347" s="21" t="str">
        <f>IF(AND($AM1347&lt;&gt;"",$AS1347="✓"),SUMPRODUCT(($AM$11:$AM1347&lt;&gt;"")*($AS$11:$AS1347="✓")),"")</f>
        <v/>
      </c>
      <c r="BA1347" s="21" t="str">
        <f>IF($AL1347="","",$AL1347&amp;"|"&amp;COUNTIF($AL$11:$AL1347,$AL1347))</f>
        <v/>
      </c>
    </row>
    <row r="1348" spans="38:53" ht="15" customHeight="1" x14ac:dyDescent="0.25">
      <c r="AL1348" s="31"/>
      <c r="AM1348" s="26"/>
      <c r="AN1348" s="32"/>
      <c r="AO1348" s="32"/>
      <c r="AP1348" s="24"/>
      <c r="AQ1348" s="24"/>
      <c r="AR1348" s="33"/>
      <c r="AS1348" s="34"/>
      <c r="AT1348" s="33"/>
      <c r="AV1348" s="21">
        <f>IF(AND($AL1348&lt;&gt;"",COUNTIF($AL$11:$AL1348,$AL1348)=1),1,0)</f>
        <v>0</v>
      </c>
      <c r="AW1348" s="21">
        <f t="shared" si="127"/>
        <v>0</v>
      </c>
      <c r="AX1348" s="21" t="str">
        <f t="shared" si="126"/>
        <v/>
      </c>
      <c r="AY1348" s="21" t="str">
        <f>IF(AND($AM1348&lt;&gt;"",$AS1348&lt;&gt;"✓"),SUMPRODUCT(($AM$11:$AM1348&lt;&gt;"")*($AS$11:$AS1348&lt;&gt;"✓")),"")</f>
        <v/>
      </c>
      <c r="AZ1348" s="21" t="str">
        <f>IF(AND($AM1348&lt;&gt;"",$AS1348="✓"),SUMPRODUCT(($AM$11:$AM1348&lt;&gt;"")*($AS$11:$AS1348="✓")),"")</f>
        <v/>
      </c>
      <c r="BA1348" s="21" t="str">
        <f>IF($AL1348="","",$AL1348&amp;"|"&amp;COUNTIF($AL$11:$AL1348,$AL1348))</f>
        <v/>
      </c>
    </row>
    <row r="1349" spans="38:53" ht="15" customHeight="1" x14ac:dyDescent="0.25">
      <c r="AL1349" s="17"/>
      <c r="AM1349" s="12"/>
      <c r="AN1349" s="18"/>
      <c r="AO1349" s="18"/>
      <c r="AP1349" s="10"/>
      <c r="AQ1349" s="10"/>
      <c r="AR1349" s="19"/>
      <c r="AS1349" s="20"/>
      <c r="AT1349" s="19"/>
      <c r="AV1349" s="21">
        <f>IF(AND($AL1349&lt;&gt;"",COUNTIF($AL$11:$AL1349,$AL1349)=1),1,0)</f>
        <v>0</v>
      </c>
      <c r="AW1349" s="21">
        <f t="shared" si="127"/>
        <v>0</v>
      </c>
      <c r="AX1349" s="21" t="str">
        <f t="shared" si="126"/>
        <v/>
      </c>
      <c r="AY1349" s="21" t="str">
        <f>IF(AND($AM1349&lt;&gt;"",$AS1349&lt;&gt;"✓"),SUMPRODUCT(($AM$11:$AM1349&lt;&gt;"")*($AS$11:$AS1349&lt;&gt;"✓")),"")</f>
        <v/>
      </c>
      <c r="AZ1349" s="21" t="str">
        <f>IF(AND($AM1349&lt;&gt;"",$AS1349="✓"),SUMPRODUCT(($AM$11:$AM1349&lt;&gt;"")*($AS$11:$AS1349="✓")),"")</f>
        <v/>
      </c>
      <c r="BA1349" s="21" t="str">
        <f>IF($AL1349="","",$AL1349&amp;"|"&amp;COUNTIF($AL$11:$AL1349,$AL1349))</f>
        <v/>
      </c>
    </row>
    <row r="1350" spans="38:53" ht="15" customHeight="1" x14ac:dyDescent="0.25">
      <c r="AL1350" s="31"/>
      <c r="AM1350" s="26"/>
      <c r="AN1350" s="32"/>
      <c r="AO1350" s="32"/>
      <c r="AP1350" s="24"/>
      <c r="AQ1350" s="24"/>
      <c r="AR1350" s="33"/>
      <c r="AS1350" s="34"/>
      <c r="AT1350" s="33"/>
      <c r="AV1350" s="21">
        <f>IF(AND($AL1350&lt;&gt;"",COUNTIF($AL$11:$AL1350,$AL1350)=1),1,0)</f>
        <v>0</v>
      </c>
      <c r="AW1350" s="21">
        <f t="shared" si="127"/>
        <v>0</v>
      </c>
      <c r="AX1350" s="21" t="str">
        <f t="shared" si="126"/>
        <v/>
      </c>
      <c r="AY1350" s="21" t="str">
        <f>IF(AND($AM1350&lt;&gt;"",$AS1350&lt;&gt;"✓"),SUMPRODUCT(($AM$11:$AM1350&lt;&gt;"")*($AS$11:$AS1350&lt;&gt;"✓")),"")</f>
        <v/>
      </c>
      <c r="AZ1350" s="21" t="str">
        <f>IF(AND($AM1350&lt;&gt;"",$AS1350="✓"),SUMPRODUCT(($AM$11:$AM1350&lt;&gt;"")*($AS$11:$AS1350="✓")),"")</f>
        <v/>
      </c>
      <c r="BA1350" s="21" t="str">
        <f>IF($AL1350="","",$AL1350&amp;"|"&amp;COUNTIF($AL$11:$AL1350,$AL1350))</f>
        <v/>
      </c>
    </row>
    <row r="1351" spans="38:53" ht="15" customHeight="1" x14ac:dyDescent="0.25">
      <c r="AL1351" s="17"/>
      <c r="AM1351" s="12"/>
      <c r="AN1351" s="18"/>
      <c r="AO1351" s="18"/>
      <c r="AP1351" s="10"/>
      <c r="AQ1351" s="10"/>
      <c r="AR1351" s="19"/>
      <c r="AS1351" s="20"/>
      <c r="AT1351" s="19"/>
      <c r="AV1351" s="21">
        <f>IF(AND($AL1351&lt;&gt;"",COUNTIF($AL$11:$AL1351,$AL1351)=1),1,0)</f>
        <v>0</v>
      </c>
      <c r="AW1351" s="21">
        <f t="shared" si="127"/>
        <v>0</v>
      </c>
      <c r="AX1351" s="21" t="str">
        <f t="shared" si="126"/>
        <v/>
      </c>
      <c r="AY1351" s="21" t="str">
        <f>IF(AND($AM1351&lt;&gt;"",$AS1351&lt;&gt;"✓"),SUMPRODUCT(($AM$11:$AM1351&lt;&gt;"")*($AS$11:$AS1351&lt;&gt;"✓")),"")</f>
        <v/>
      </c>
      <c r="AZ1351" s="21" t="str">
        <f>IF(AND($AM1351&lt;&gt;"",$AS1351="✓"),SUMPRODUCT(($AM$11:$AM1351&lt;&gt;"")*($AS$11:$AS1351="✓")),"")</f>
        <v/>
      </c>
      <c r="BA1351" s="21" t="str">
        <f>IF($AL1351="","",$AL1351&amp;"|"&amp;COUNTIF($AL$11:$AL1351,$AL1351))</f>
        <v/>
      </c>
    </row>
    <row r="1352" spans="38:53" ht="15" customHeight="1" x14ac:dyDescent="0.25">
      <c r="AL1352" s="31"/>
      <c r="AM1352" s="26"/>
      <c r="AN1352" s="32"/>
      <c r="AO1352" s="32"/>
      <c r="AP1352" s="24"/>
      <c r="AQ1352" s="24"/>
      <c r="AR1352" s="33"/>
      <c r="AS1352" s="34"/>
      <c r="AT1352" s="33"/>
      <c r="AV1352" s="21">
        <f>IF(AND($AL1352&lt;&gt;"",COUNTIF($AL$11:$AL1352,$AL1352)=1),1,0)</f>
        <v>0</v>
      </c>
      <c r="AW1352" s="21">
        <f t="shared" si="127"/>
        <v>0</v>
      </c>
      <c r="AX1352" s="21" t="str">
        <f t="shared" si="126"/>
        <v/>
      </c>
      <c r="AY1352" s="21" t="str">
        <f>IF(AND($AM1352&lt;&gt;"",$AS1352&lt;&gt;"✓"),SUMPRODUCT(($AM$11:$AM1352&lt;&gt;"")*($AS$11:$AS1352&lt;&gt;"✓")),"")</f>
        <v/>
      </c>
      <c r="AZ1352" s="21" t="str">
        <f>IF(AND($AM1352&lt;&gt;"",$AS1352="✓"),SUMPRODUCT(($AM$11:$AM1352&lt;&gt;"")*($AS$11:$AS1352="✓")),"")</f>
        <v/>
      </c>
      <c r="BA1352" s="21" t="str">
        <f>IF($AL1352="","",$AL1352&amp;"|"&amp;COUNTIF($AL$11:$AL1352,$AL1352))</f>
        <v/>
      </c>
    </row>
    <row r="1353" spans="38:53" ht="15" customHeight="1" x14ac:dyDescent="0.25">
      <c r="AL1353" s="17"/>
      <c r="AM1353" s="12"/>
      <c r="AN1353" s="18"/>
      <c r="AO1353" s="18"/>
      <c r="AP1353" s="10"/>
      <c r="AQ1353" s="10"/>
      <c r="AR1353" s="19"/>
      <c r="AS1353" s="20"/>
      <c r="AT1353" s="19"/>
      <c r="AV1353" s="21">
        <f>IF(AND($AL1353&lt;&gt;"",COUNTIF($AL$11:$AL1353,$AL1353)=1),1,0)</f>
        <v>0</v>
      </c>
      <c r="AW1353" s="21">
        <f t="shared" si="127"/>
        <v>0</v>
      </c>
      <c r="AX1353" s="21" t="str">
        <f t="shared" si="126"/>
        <v/>
      </c>
      <c r="AY1353" s="21" t="str">
        <f>IF(AND($AM1353&lt;&gt;"",$AS1353&lt;&gt;"✓"),SUMPRODUCT(($AM$11:$AM1353&lt;&gt;"")*($AS$11:$AS1353&lt;&gt;"✓")),"")</f>
        <v/>
      </c>
      <c r="AZ1353" s="21" t="str">
        <f>IF(AND($AM1353&lt;&gt;"",$AS1353="✓"),SUMPRODUCT(($AM$11:$AM1353&lt;&gt;"")*($AS$11:$AS1353="✓")),"")</f>
        <v/>
      </c>
      <c r="BA1353" s="21" t="str">
        <f>IF($AL1353="","",$AL1353&amp;"|"&amp;COUNTIF($AL$11:$AL1353,$AL1353))</f>
        <v/>
      </c>
    </row>
    <row r="1354" spans="38:53" ht="15" customHeight="1" x14ac:dyDescent="0.25">
      <c r="AL1354" s="31"/>
      <c r="AM1354" s="26"/>
      <c r="AN1354" s="32"/>
      <c r="AO1354" s="32"/>
      <c r="AP1354" s="24"/>
      <c r="AQ1354" s="24"/>
      <c r="AR1354" s="33"/>
      <c r="AS1354" s="34"/>
      <c r="AT1354" s="33"/>
      <c r="AV1354" s="21">
        <f>IF(AND($AL1354&lt;&gt;"",COUNTIF($AL$11:$AL1354,$AL1354)=1),1,0)</f>
        <v>0</v>
      </c>
      <c r="AW1354" s="21">
        <f t="shared" si="127"/>
        <v>0</v>
      </c>
      <c r="AX1354" s="21" t="str">
        <f t="shared" si="126"/>
        <v/>
      </c>
      <c r="AY1354" s="21" t="str">
        <f>IF(AND($AM1354&lt;&gt;"",$AS1354&lt;&gt;"✓"),SUMPRODUCT(($AM$11:$AM1354&lt;&gt;"")*($AS$11:$AS1354&lt;&gt;"✓")),"")</f>
        <v/>
      </c>
      <c r="AZ1354" s="21" t="str">
        <f>IF(AND($AM1354&lt;&gt;"",$AS1354="✓"),SUMPRODUCT(($AM$11:$AM1354&lt;&gt;"")*($AS$11:$AS1354="✓")),"")</f>
        <v/>
      </c>
      <c r="BA1354" s="21" t="str">
        <f>IF($AL1354="","",$AL1354&amp;"|"&amp;COUNTIF($AL$11:$AL1354,$AL1354))</f>
        <v/>
      </c>
    </row>
    <row r="1355" spans="38:53" ht="15" customHeight="1" x14ac:dyDescent="0.25">
      <c r="AL1355" s="17"/>
      <c r="AM1355" s="12"/>
      <c r="AN1355" s="18"/>
      <c r="AO1355" s="18"/>
      <c r="AP1355" s="10"/>
      <c r="AQ1355" s="10"/>
      <c r="AR1355" s="19"/>
      <c r="AS1355" s="20"/>
      <c r="AT1355" s="19"/>
      <c r="AV1355" s="21">
        <f>IF(AND($AL1355&lt;&gt;"",COUNTIF($AL$11:$AL1355,$AL1355)=1),1,0)</f>
        <v>0</v>
      </c>
      <c r="AW1355" s="21">
        <f t="shared" si="127"/>
        <v>0</v>
      </c>
      <c r="AX1355" s="21" t="str">
        <f t="shared" ref="AX1355:AX1418" si="128">IF(AV1355=1,AW1355,"")</f>
        <v/>
      </c>
      <c r="AY1355" s="21" t="str">
        <f>IF(AND($AM1355&lt;&gt;"",$AS1355&lt;&gt;"✓"),SUMPRODUCT(($AM$11:$AM1355&lt;&gt;"")*($AS$11:$AS1355&lt;&gt;"✓")),"")</f>
        <v/>
      </c>
      <c r="AZ1355" s="21" t="str">
        <f>IF(AND($AM1355&lt;&gt;"",$AS1355="✓"),SUMPRODUCT(($AM$11:$AM1355&lt;&gt;"")*($AS$11:$AS1355="✓")),"")</f>
        <v/>
      </c>
      <c r="BA1355" s="21" t="str">
        <f>IF($AL1355="","",$AL1355&amp;"|"&amp;COUNTIF($AL$11:$AL1355,$AL1355))</f>
        <v/>
      </c>
    </row>
    <row r="1356" spans="38:53" ht="15" customHeight="1" x14ac:dyDescent="0.25">
      <c r="AL1356" s="31"/>
      <c r="AM1356" s="26"/>
      <c r="AN1356" s="32"/>
      <c r="AO1356" s="32"/>
      <c r="AP1356" s="24"/>
      <c r="AQ1356" s="24"/>
      <c r="AR1356" s="33"/>
      <c r="AS1356" s="34"/>
      <c r="AT1356" s="33"/>
      <c r="AV1356" s="21">
        <f>IF(AND($AL1356&lt;&gt;"",COUNTIF($AL$11:$AL1356,$AL1356)=1),1,0)</f>
        <v>0</v>
      </c>
      <c r="AW1356" s="21">
        <f t="shared" ref="AW1356:AW1419" si="129">AW1355+AV1356</f>
        <v>0</v>
      </c>
      <c r="AX1356" s="21" t="str">
        <f t="shared" si="128"/>
        <v/>
      </c>
      <c r="AY1356" s="21" t="str">
        <f>IF(AND($AM1356&lt;&gt;"",$AS1356&lt;&gt;"✓"),SUMPRODUCT(($AM$11:$AM1356&lt;&gt;"")*($AS$11:$AS1356&lt;&gt;"✓")),"")</f>
        <v/>
      </c>
      <c r="AZ1356" s="21" t="str">
        <f>IF(AND($AM1356&lt;&gt;"",$AS1356="✓"),SUMPRODUCT(($AM$11:$AM1356&lt;&gt;"")*($AS$11:$AS1356="✓")),"")</f>
        <v/>
      </c>
      <c r="BA1356" s="21" t="str">
        <f>IF($AL1356="","",$AL1356&amp;"|"&amp;COUNTIF($AL$11:$AL1356,$AL1356))</f>
        <v/>
      </c>
    </row>
    <row r="1357" spans="38:53" ht="15" customHeight="1" x14ac:dyDescent="0.25">
      <c r="AL1357" s="17"/>
      <c r="AM1357" s="12"/>
      <c r="AN1357" s="18"/>
      <c r="AO1357" s="18"/>
      <c r="AP1357" s="10"/>
      <c r="AQ1357" s="10"/>
      <c r="AR1357" s="19"/>
      <c r="AS1357" s="20"/>
      <c r="AT1357" s="19"/>
      <c r="AV1357" s="21">
        <f>IF(AND($AL1357&lt;&gt;"",COUNTIF($AL$11:$AL1357,$AL1357)=1),1,0)</f>
        <v>0</v>
      </c>
      <c r="AW1357" s="21">
        <f t="shared" si="129"/>
        <v>0</v>
      </c>
      <c r="AX1357" s="21" t="str">
        <f t="shared" si="128"/>
        <v/>
      </c>
      <c r="AY1357" s="21" t="str">
        <f>IF(AND($AM1357&lt;&gt;"",$AS1357&lt;&gt;"✓"),SUMPRODUCT(($AM$11:$AM1357&lt;&gt;"")*($AS$11:$AS1357&lt;&gt;"✓")),"")</f>
        <v/>
      </c>
      <c r="AZ1357" s="21" t="str">
        <f>IF(AND($AM1357&lt;&gt;"",$AS1357="✓"),SUMPRODUCT(($AM$11:$AM1357&lt;&gt;"")*($AS$11:$AS1357="✓")),"")</f>
        <v/>
      </c>
      <c r="BA1357" s="21" t="str">
        <f>IF($AL1357="","",$AL1357&amp;"|"&amp;COUNTIF($AL$11:$AL1357,$AL1357))</f>
        <v/>
      </c>
    </row>
    <row r="1358" spans="38:53" ht="15" customHeight="1" x14ac:dyDescent="0.25">
      <c r="AL1358" s="31"/>
      <c r="AM1358" s="26"/>
      <c r="AN1358" s="32"/>
      <c r="AO1358" s="32"/>
      <c r="AP1358" s="24"/>
      <c r="AQ1358" s="24"/>
      <c r="AR1358" s="33"/>
      <c r="AS1358" s="34"/>
      <c r="AT1358" s="33"/>
      <c r="AV1358" s="21">
        <f>IF(AND($AL1358&lt;&gt;"",COUNTIF($AL$11:$AL1358,$AL1358)=1),1,0)</f>
        <v>0</v>
      </c>
      <c r="AW1358" s="21">
        <f t="shared" si="129"/>
        <v>0</v>
      </c>
      <c r="AX1358" s="21" t="str">
        <f t="shared" si="128"/>
        <v/>
      </c>
      <c r="AY1358" s="21" t="str">
        <f>IF(AND($AM1358&lt;&gt;"",$AS1358&lt;&gt;"✓"),SUMPRODUCT(($AM$11:$AM1358&lt;&gt;"")*($AS$11:$AS1358&lt;&gt;"✓")),"")</f>
        <v/>
      </c>
      <c r="AZ1358" s="21" t="str">
        <f>IF(AND($AM1358&lt;&gt;"",$AS1358="✓"),SUMPRODUCT(($AM$11:$AM1358&lt;&gt;"")*($AS$11:$AS1358="✓")),"")</f>
        <v/>
      </c>
      <c r="BA1358" s="21" t="str">
        <f>IF($AL1358="","",$AL1358&amp;"|"&amp;COUNTIF($AL$11:$AL1358,$AL1358))</f>
        <v/>
      </c>
    </row>
    <row r="1359" spans="38:53" ht="15" customHeight="1" x14ac:dyDescent="0.25">
      <c r="AL1359" s="17"/>
      <c r="AM1359" s="12"/>
      <c r="AN1359" s="18"/>
      <c r="AO1359" s="18"/>
      <c r="AP1359" s="10"/>
      <c r="AQ1359" s="10"/>
      <c r="AR1359" s="19"/>
      <c r="AS1359" s="20"/>
      <c r="AT1359" s="19"/>
      <c r="AV1359" s="21">
        <f>IF(AND($AL1359&lt;&gt;"",COUNTIF($AL$11:$AL1359,$AL1359)=1),1,0)</f>
        <v>0</v>
      </c>
      <c r="AW1359" s="21">
        <f t="shared" si="129"/>
        <v>0</v>
      </c>
      <c r="AX1359" s="21" t="str">
        <f t="shared" si="128"/>
        <v/>
      </c>
      <c r="AY1359" s="21" t="str">
        <f>IF(AND($AM1359&lt;&gt;"",$AS1359&lt;&gt;"✓"),SUMPRODUCT(($AM$11:$AM1359&lt;&gt;"")*($AS$11:$AS1359&lt;&gt;"✓")),"")</f>
        <v/>
      </c>
      <c r="AZ1359" s="21" t="str">
        <f>IF(AND($AM1359&lt;&gt;"",$AS1359="✓"),SUMPRODUCT(($AM$11:$AM1359&lt;&gt;"")*($AS$11:$AS1359="✓")),"")</f>
        <v/>
      </c>
      <c r="BA1359" s="21" t="str">
        <f>IF($AL1359="","",$AL1359&amp;"|"&amp;COUNTIF($AL$11:$AL1359,$AL1359))</f>
        <v/>
      </c>
    </row>
    <row r="1360" spans="38:53" ht="15" customHeight="1" x14ac:dyDescent="0.25">
      <c r="AL1360" s="31"/>
      <c r="AM1360" s="26"/>
      <c r="AN1360" s="32"/>
      <c r="AO1360" s="32"/>
      <c r="AP1360" s="24"/>
      <c r="AQ1360" s="24"/>
      <c r="AR1360" s="33"/>
      <c r="AS1360" s="34"/>
      <c r="AT1360" s="33"/>
      <c r="AV1360" s="21">
        <f>IF(AND($AL1360&lt;&gt;"",COUNTIF($AL$11:$AL1360,$AL1360)=1),1,0)</f>
        <v>0</v>
      </c>
      <c r="AW1360" s="21">
        <f t="shared" si="129"/>
        <v>0</v>
      </c>
      <c r="AX1360" s="21" t="str">
        <f t="shared" si="128"/>
        <v/>
      </c>
      <c r="AY1360" s="21" t="str">
        <f>IF(AND($AM1360&lt;&gt;"",$AS1360&lt;&gt;"✓"),SUMPRODUCT(($AM$11:$AM1360&lt;&gt;"")*($AS$11:$AS1360&lt;&gt;"✓")),"")</f>
        <v/>
      </c>
      <c r="AZ1360" s="21" t="str">
        <f>IF(AND($AM1360&lt;&gt;"",$AS1360="✓"),SUMPRODUCT(($AM$11:$AM1360&lt;&gt;"")*($AS$11:$AS1360="✓")),"")</f>
        <v/>
      </c>
      <c r="BA1360" s="21" t="str">
        <f>IF($AL1360="","",$AL1360&amp;"|"&amp;COUNTIF($AL$11:$AL1360,$AL1360))</f>
        <v/>
      </c>
    </row>
    <row r="1361" spans="38:53" ht="15" customHeight="1" x14ac:dyDescent="0.25">
      <c r="AL1361" s="17"/>
      <c r="AM1361" s="12"/>
      <c r="AN1361" s="18"/>
      <c r="AO1361" s="18"/>
      <c r="AP1361" s="10"/>
      <c r="AQ1361" s="10"/>
      <c r="AR1361" s="19"/>
      <c r="AS1361" s="20"/>
      <c r="AT1361" s="19"/>
      <c r="AV1361" s="21">
        <f>IF(AND($AL1361&lt;&gt;"",COUNTIF($AL$11:$AL1361,$AL1361)=1),1,0)</f>
        <v>0</v>
      </c>
      <c r="AW1361" s="21">
        <f t="shared" si="129"/>
        <v>0</v>
      </c>
      <c r="AX1361" s="21" t="str">
        <f t="shared" si="128"/>
        <v/>
      </c>
      <c r="AY1361" s="21" t="str">
        <f>IF(AND($AM1361&lt;&gt;"",$AS1361&lt;&gt;"✓"),SUMPRODUCT(($AM$11:$AM1361&lt;&gt;"")*($AS$11:$AS1361&lt;&gt;"✓")),"")</f>
        <v/>
      </c>
      <c r="AZ1361" s="21" t="str">
        <f>IF(AND($AM1361&lt;&gt;"",$AS1361="✓"),SUMPRODUCT(($AM$11:$AM1361&lt;&gt;"")*($AS$11:$AS1361="✓")),"")</f>
        <v/>
      </c>
      <c r="BA1361" s="21" t="str">
        <f>IF($AL1361="","",$AL1361&amp;"|"&amp;COUNTIF($AL$11:$AL1361,$AL1361))</f>
        <v/>
      </c>
    </row>
    <row r="1362" spans="38:53" ht="15" customHeight="1" x14ac:dyDescent="0.25">
      <c r="AL1362" s="31"/>
      <c r="AM1362" s="26"/>
      <c r="AN1362" s="32"/>
      <c r="AO1362" s="32"/>
      <c r="AP1362" s="24"/>
      <c r="AQ1362" s="24"/>
      <c r="AR1362" s="33"/>
      <c r="AS1362" s="34"/>
      <c r="AT1362" s="33"/>
      <c r="AV1362" s="21">
        <f>IF(AND($AL1362&lt;&gt;"",COUNTIF($AL$11:$AL1362,$AL1362)=1),1,0)</f>
        <v>0</v>
      </c>
      <c r="AW1362" s="21">
        <f t="shared" si="129"/>
        <v>0</v>
      </c>
      <c r="AX1362" s="21" t="str">
        <f t="shared" si="128"/>
        <v/>
      </c>
      <c r="AY1362" s="21" t="str">
        <f>IF(AND($AM1362&lt;&gt;"",$AS1362&lt;&gt;"✓"),SUMPRODUCT(($AM$11:$AM1362&lt;&gt;"")*($AS$11:$AS1362&lt;&gt;"✓")),"")</f>
        <v/>
      </c>
      <c r="AZ1362" s="21" t="str">
        <f>IF(AND($AM1362&lt;&gt;"",$AS1362="✓"),SUMPRODUCT(($AM$11:$AM1362&lt;&gt;"")*($AS$11:$AS1362="✓")),"")</f>
        <v/>
      </c>
      <c r="BA1362" s="21" t="str">
        <f>IF($AL1362="","",$AL1362&amp;"|"&amp;COUNTIF($AL$11:$AL1362,$AL1362))</f>
        <v/>
      </c>
    </row>
    <row r="1363" spans="38:53" ht="15" customHeight="1" x14ac:dyDescent="0.25">
      <c r="AL1363" s="17"/>
      <c r="AM1363" s="12"/>
      <c r="AN1363" s="18"/>
      <c r="AO1363" s="18"/>
      <c r="AP1363" s="10"/>
      <c r="AQ1363" s="10"/>
      <c r="AR1363" s="19"/>
      <c r="AS1363" s="20"/>
      <c r="AT1363" s="19"/>
      <c r="AV1363" s="21">
        <f>IF(AND($AL1363&lt;&gt;"",COUNTIF($AL$11:$AL1363,$AL1363)=1),1,0)</f>
        <v>0</v>
      </c>
      <c r="AW1363" s="21">
        <f t="shared" si="129"/>
        <v>0</v>
      </c>
      <c r="AX1363" s="21" t="str">
        <f t="shared" si="128"/>
        <v/>
      </c>
      <c r="AY1363" s="21" t="str">
        <f>IF(AND($AM1363&lt;&gt;"",$AS1363&lt;&gt;"✓"),SUMPRODUCT(($AM$11:$AM1363&lt;&gt;"")*($AS$11:$AS1363&lt;&gt;"✓")),"")</f>
        <v/>
      </c>
      <c r="AZ1363" s="21" t="str">
        <f>IF(AND($AM1363&lt;&gt;"",$AS1363="✓"),SUMPRODUCT(($AM$11:$AM1363&lt;&gt;"")*($AS$11:$AS1363="✓")),"")</f>
        <v/>
      </c>
      <c r="BA1363" s="21" t="str">
        <f>IF($AL1363="","",$AL1363&amp;"|"&amp;COUNTIF($AL$11:$AL1363,$AL1363))</f>
        <v/>
      </c>
    </row>
    <row r="1364" spans="38:53" ht="15" customHeight="1" x14ac:dyDescent="0.25">
      <c r="AL1364" s="31"/>
      <c r="AM1364" s="26"/>
      <c r="AN1364" s="32"/>
      <c r="AO1364" s="32"/>
      <c r="AP1364" s="24"/>
      <c r="AQ1364" s="24"/>
      <c r="AR1364" s="33"/>
      <c r="AS1364" s="34"/>
      <c r="AT1364" s="33"/>
      <c r="AV1364" s="21">
        <f>IF(AND($AL1364&lt;&gt;"",COUNTIF($AL$11:$AL1364,$AL1364)=1),1,0)</f>
        <v>0</v>
      </c>
      <c r="AW1364" s="21">
        <f t="shared" si="129"/>
        <v>0</v>
      </c>
      <c r="AX1364" s="21" t="str">
        <f t="shared" si="128"/>
        <v/>
      </c>
      <c r="AY1364" s="21" t="str">
        <f>IF(AND($AM1364&lt;&gt;"",$AS1364&lt;&gt;"✓"),SUMPRODUCT(($AM$11:$AM1364&lt;&gt;"")*($AS$11:$AS1364&lt;&gt;"✓")),"")</f>
        <v/>
      </c>
      <c r="AZ1364" s="21" t="str">
        <f>IF(AND($AM1364&lt;&gt;"",$AS1364="✓"),SUMPRODUCT(($AM$11:$AM1364&lt;&gt;"")*($AS$11:$AS1364="✓")),"")</f>
        <v/>
      </c>
      <c r="BA1364" s="21" t="str">
        <f>IF($AL1364="","",$AL1364&amp;"|"&amp;COUNTIF($AL$11:$AL1364,$AL1364))</f>
        <v/>
      </c>
    </row>
    <row r="1365" spans="38:53" ht="15" customHeight="1" x14ac:dyDescent="0.25">
      <c r="AL1365" s="17"/>
      <c r="AM1365" s="12"/>
      <c r="AN1365" s="18"/>
      <c r="AO1365" s="18"/>
      <c r="AP1365" s="10"/>
      <c r="AQ1365" s="10"/>
      <c r="AR1365" s="19"/>
      <c r="AS1365" s="20"/>
      <c r="AT1365" s="19"/>
      <c r="AV1365" s="21">
        <f>IF(AND($AL1365&lt;&gt;"",COUNTIF($AL$11:$AL1365,$AL1365)=1),1,0)</f>
        <v>0</v>
      </c>
      <c r="AW1365" s="21">
        <f t="shared" si="129"/>
        <v>0</v>
      </c>
      <c r="AX1365" s="21" t="str">
        <f t="shared" si="128"/>
        <v/>
      </c>
      <c r="AY1365" s="21" t="str">
        <f>IF(AND($AM1365&lt;&gt;"",$AS1365&lt;&gt;"✓"),SUMPRODUCT(($AM$11:$AM1365&lt;&gt;"")*($AS$11:$AS1365&lt;&gt;"✓")),"")</f>
        <v/>
      </c>
      <c r="AZ1365" s="21" t="str">
        <f>IF(AND($AM1365&lt;&gt;"",$AS1365="✓"),SUMPRODUCT(($AM$11:$AM1365&lt;&gt;"")*($AS$11:$AS1365="✓")),"")</f>
        <v/>
      </c>
      <c r="BA1365" s="21" t="str">
        <f>IF($AL1365="","",$AL1365&amp;"|"&amp;COUNTIF($AL$11:$AL1365,$AL1365))</f>
        <v/>
      </c>
    </row>
    <row r="1366" spans="38:53" ht="15" customHeight="1" x14ac:dyDescent="0.25">
      <c r="AL1366" s="31"/>
      <c r="AM1366" s="26"/>
      <c r="AN1366" s="32"/>
      <c r="AO1366" s="32"/>
      <c r="AP1366" s="24"/>
      <c r="AQ1366" s="24"/>
      <c r="AR1366" s="33"/>
      <c r="AS1366" s="34"/>
      <c r="AT1366" s="33"/>
      <c r="AV1366" s="21">
        <f>IF(AND($AL1366&lt;&gt;"",COUNTIF($AL$11:$AL1366,$AL1366)=1),1,0)</f>
        <v>0</v>
      </c>
      <c r="AW1366" s="21">
        <f t="shared" si="129"/>
        <v>0</v>
      </c>
      <c r="AX1366" s="21" t="str">
        <f t="shared" si="128"/>
        <v/>
      </c>
      <c r="AY1366" s="21" t="str">
        <f>IF(AND($AM1366&lt;&gt;"",$AS1366&lt;&gt;"✓"),SUMPRODUCT(($AM$11:$AM1366&lt;&gt;"")*($AS$11:$AS1366&lt;&gt;"✓")),"")</f>
        <v/>
      </c>
      <c r="AZ1366" s="21" t="str">
        <f>IF(AND($AM1366&lt;&gt;"",$AS1366="✓"),SUMPRODUCT(($AM$11:$AM1366&lt;&gt;"")*($AS$11:$AS1366="✓")),"")</f>
        <v/>
      </c>
      <c r="BA1366" s="21" t="str">
        <f>IF($AL1366="","",$AL1366&amp;"|"&amp;COUNTIF($AL$11:$AL1366,$AL1366))</f>
        <v/>
      </c>
    </row>
    <row r="1367" spans="38:53" ht="15" customHeight="1" x14ac:dyDescent="0.25">
      <c r="AL1367" s="17"/>
      <c r="AM1367" s="12"/>
      <c r="AN1367" s="18"/>
      <c r="AO1367" s="18"/>
      <c r="AP1367" s="10"/>
      <c r="AQ1367" s="10"/>
      <c r="AR1367" s="19"/>
      <c r="AS1367" s="20"/>
      <c r="AT1367" s="19"/>
      <c r="AV1367" s="21">
        <f>IF(AND($AL1367&lt;&gt;"",COUNTIF($AL$11:$AL1367,$AL1367)=1),1,0)</f>
        <v>0</v>
      </c>
      <c r="AW1367" s="21">
        <f t="shared" si="129"/>
        <v>0</v>
      </c>
      <c r="AX1367" s="21" t="str">
        <f t="shared" si="128"/>
        <v/>
      </c>
      <c r="AY1367" s="21" t="str">
        <f>IF(AND($AM1367&lt;&gt;"",$AS1367&lt;&gt;"✓"),SUMPRODUCT(($AM$11:$AM1367&lt;&gt;"")*($AS$11:$AS1367&lt;&gt;"✓")),"")</f>
        <v/>
      </c>
      <c r="AZ1367" s="21" t="str">
        <f>IF(AND($AM1367&lt;&gt;"",$AS1367="✓"),SUMPRODUCT(($AM$11:$AM1367&lt;&gt;"")*($AS$11:$AS1367="✓")),"")</f>
        <v/>
      </c>
      <c r="BA1367" s="21" t="str">
        <f>IF($AL1367="","",$AL1367&amp;"|"&amp;COUNTIF($AL$11:$AL1367,$AL1367))</f>
        <v/>
      </c>
    </row>
    <row r="1368" spans="38:53" ht="15" customHeight="1" x14ac:dyDescent="0.25">
      <c r="AL1368" s="31"/>
      <c r="AM1368" s="26"/>
      <c r="AN1368" s="32"/>
      <c r="AO1368" s="32"/>
      <c r="AP1368" s="24"/>
      <c r="AQ1368" s="24"/>
      <c r="AR1368" s="33"/>
      <c r="AS1368" s="34"/>
      <c r="AT1368" s="33"/>
      <c r="AV1368" s="21">
        <f>IF(AND($AL1368&lt;&gt;"",COUNTIF($AL$11:$AL1368,$AL1368)=1),1,0)</f>
        <v>0</v>
      </c>
      <c r="AW1368" s="21">
        <f t="shared" si="129"/>
        <v>0</v>
      </c>
      <c r="AX1368" s="21" t="str">
        <f t="shared" si="128"/>
        <v/>
      </c>
      <c r="AY1368" s="21" t="str">
        <f>IF(AND($AM1368&lt;&gt;"",$AS1368&lt;&gt;"✓"),SUMPRODUCT(($AM$11:$AM1368&lt;&gt;"")*($AS$11:$AS1368&lt;&gt;"✓")),"")</f>
        <v/>
      </c>
      <c r="AZ1368" s="21" t="str">
        <f>IF(AND($AM1368&lt;&gt;"",$AS1368="✓"),SUMPRODUCT(($AM$11:$AM1368&lt;&gt;"")*($AS$11:$AS1368="✓")),"")</f>
        <v/>
      </c>
      <c r="BA1368" s="21" t="str">
        <f>IF($AL1368="","",$AL1368&amp;"|"&amp;COUNTIF($AL$11:$AL1368,$AL1368))</f>
        <v/>
      </c>
    </row>
    <row r="1369" spans="38:53" ht="15" customHeight="1" x14ac:dyDescent="0.25">
      <c r="AL1369" s="17"/>
      <c r="AM1369" s="12"/>
      <c r="AN1369" s="18"/>
      <c r="AO1369" s="18"/>
      <c r="AP1369" s="10"/>
      <c r="AQ1369" s="10"/>
      <c r="AR1369" s="19"/>
      <c r="AS1369" s="20"/>
      <c r="AT1369" s="19"/>
      <c r="AV1369" s="21">
        <f>IF(AND($AL1369&lt;&gt;"",COUNTIF($AL$11:$AL1369,$AL1369)=1),1,0)</f>
        <v>0</v>
      </c>
      <c r="AW1369" s="21">
        <f t="shared" si="129"/>
        <v>0</v>
      </c>
      <c r="AX1369" s="21" t="str">
        <f t="shared" si="128"/>
        <v/>
      </c>
      <c r="AY1369" s="21" t="str">
        <f>IF(AND($AM1369&lt;&gt;"",$AS1369&lt;&gt;"✓"),SUMPRODUCT(($AM$11:$AM1369&lt;&gt;"")*($AS$11:$AS1369&lt;&gt;"✓")),"")</f>
        <v/>
      </c>
      <c r="AZ1369" s="21" t="str">
        <f>IF(AND($AM1369&lt;&gt;"",$AS1369="✓"),SUMPRODUCT(($AM$11:$AM1369&lt;&gt;"")*($AS$11:$AS1369="✓")),"")</f>
        <v/>
      </c>
      <c r="BA1369" s="21" t="str">
        <f>IF($AL1369="","",$AL1369&amp;"|"&amp;COUNTIF($AL$11:$AL1369,$AL1369))</f>
        <v/>
      </c>
    </row>
    <row r="1370" spans="38:53" ht="15" customHeight="1" x14ac:dyDescent="0.25">
      <c r="AL1370" s="31"/>
      <c r="AM1370" s="26"/>
      <c r="AN1370" s="32"/>
      <c r="AO1370" s="32"/>
      <c r="AP1370" s="24"/>
      <c r="AQ1370" s="24"/>
      <c r="AR1370" s="33"/>
      <c r="AS1370" s="34"/>
      <c r="AT1370" s="33"/>
      <c r="AV1370" s="21">
        <f>IF(AND($AL1370&lt;&gt;"",COUNTIF($AL$11:$AL1370,$AL1370)=1),1,0)</f>
        <v>0</v>
      </c>
      <c r="AW1370" s="21">
        <f t="shared" si="129"/>
        <v>0</v>
      </c>
      <c r="AX1370" s="21" t="str">
        <f t="shared" si="128"/>
        <v/>
      </c>
      <c r="AY1370" s="21" t="str">
        <f>IF(AND($AM1370&lt;&gt;"",$AS1370&lt;&gt;"✓"),SUMPRODUCT(($AM$11:$AM1370&lt;&gt;"")*($AS$11:$AS1370&lt;&gt;"✓")),"")</f>
        <v/>
      </c>
      <c r="AZ1370" s="21" t="str">
        <f>IF(AND($AM1370&lt;&gt;"",$AS1370="✓"),SUMPRODUCT(($AM$11:$AM1370&lt;&gt;"")*($AS$11:$AS1370="✓")),"")</f>
        <v/>
      </c>
      <c r="BA1370" s="21" t="str">
        <f>IF($AL1370="","",$AL1370&amp;"|"&amp;COUNTIF($AL$11:$AL1370,$AL1370))</f>
        <v/>
      </c>
    </row>
    <row r="1371" spans="38:53" ht="15" customHeight="1" x14ac:dyDescent="0.25">
      <c r="AL1371" s="17"/>
      <c r="AM1371" s="12"/>
      <c r="AN1371" s="18"/>
      <c r="AO1371" s="18"/>
      <c r="AP1371" s="10"/>
      <c r="AQ1371" s="10"/>
      <c r="AR1371" s="19"/>
      <c r="AS1371" s="20"/>
      <c r="AT1371" s="19"/>
      <c r="AV1371" s="21">
        <f>IF(AND($AL1371&lt;&gt;"",COUNTIF($AL$11:$AL1371,$AL1371)=1),1,0)</f>
        <v>0</v>
      </c>
      <c r="AW1371" s="21">
        <f t="shared" si="129"/>
        <v>0</v>
      </c>
      <c r="AX1371" s="21" t="str">
        <f t="shared" si="128"/>
        <v/>
      </c>
      <c r="AY1371" s="21" t="str">
        <f>IF(AND($AM1371&lt;&gt;"",$AS1371&lt;&gt;"✓"),SUMPRODUCT(($AM$11:$AM1371&lt;&gt;"")*($AS$11:$AS1371&lt;&gt;"✓")),"")</f>
        <v/>
      </c>
      <c r="AZ1371" s="21" t="str">
        <f>IF(AND($AM1371&lt;&gt;"",$AS1371="✓"),SUMPRODUCT(($AM$11:$AM1371&lt;&gt;"")*($AS$11:$AS1371="✓")),"")</f>
        <v/>
      </c>
      <c r="BA1371" s="21" t="str">
        <f>IF($AL1371="","",$AL1371&amp;"|"&amp;COUNTIF($AL$11:$AL1371,$AL1371))</f>
        <v/>
      </c>
    </row>
    <row r="1372" spans="38:53" ht="15" customHeight="1" x14ac:dyDescent="0.25">
      <c r="AL1372" s="31"/>
      <c r="AM1372" s="26"/>
      <c r="AN1372" s="32"/>
      <c r="AO1372" s="32"/>
      <c r="AP1372" s="24"/>
      <c r="AQ1372" s="24"/>
      <c r="AR1372" s="33"/>
      <c r="AS1372" s="34"/>
      <c r="AT1372" s="33"/>
      <c r="AV1372" s="21">
        <f>IF(AND($AL1372&lt;&gt;"",COUNTIF($AL$11:$AL1372,$AL1372)=1),1,0)</f>
        <v>0</v>
      </c>
      <c r="AW1372" s="21">
        <f t="shared" si="129"/>
        <v>0</v>
      </c>
      <c r="AX1372" s="21" t="str">
        <f t="shared" si="128"/>
        <v/>
      </c>
      <c r="AY1372" s="21" t="str">
        <f>IF(AND($AM1372&lt;&gt;"",$AS1372&lt;&gt;"✓"),SUMPRODUCT(($AM$11:$AM1372&lt;&gt;"")*($AS$11:$AS1372&lt;&gt;"✓")),"")</f>
        <v/>
      </c>
      <c r="AZ1372" s="21" t="str">
        <f>IF(AND($AM1372&lt;&gt;"",$AS1372="✓"),SUMPRODUCT(($AM$11:$AM1372&lt;&gt;"")*($AS$11:$AS1372="✓")),"")</f>
        <v/>
      </c>
      <c r="BA1372" s="21" t="str">
        <f>IF($AL1372="","",$AL1372&amp;"|"&amp;COUNTIF($AL$11:$AL1372,$AL1372))</f>
        <v/>
      </c>
    </row>
    <row r="1373" spans="38:53" ht="15" customHeight="1" x14ac:dyDescent="0.25">
      <c r="AL1373" s="17"/>
      <c r="AM1373" s="12"/>
      <c r="AN1373" s="18"/>
      <c r="AO1373" s="18"/>
      <c r="AP1373" s="10"/>
      <c r="AQ1373" s="10"/>
      <c r="AR1373" s="19"/>
      <c r="AS1373" s="20"/>
      <c r="AT1373" s="19"/>
      <c r="AV1373" s="21">
        <f>IF(AND($AL1373&lt;&gt;"",COUNTIF($AL$11:$AL1373,$AL1373)=1),1,0)</f>
        <v>0</v>
      </c>
      <c r="AW1373" s="21">
        <f t="shared" si="129"/>
        <v>0</v>
      </c>
      <c r="AX1373" s="21" t="str">
        <f t="shared" si="128"/>
        <v/>
      </c>
      <c r="AY1373" s="21" t="str">
        <f>IF(AND($AM1373&lt;&gt;"",$AS1373&lt;&gt;"✓"),SUMPRODUCT(($AM$11:$AM1373&lt;&gt;"")*($AS$11:$AS1373&lt;&gt;"✓")),"")</f>
        <v/>
      </c>
      <c r="AZ1373" s="21" t="str">
        <f>IF(AND($AM1373&lt;&gt;"",$AS1373="✓"),SUMPRODUCT(($AM$11:$AM1373&lt;&gt;"")*($AS$11:$AS1373="✓")),"")</f>
        <v/>
      </c>
      <c r="BA1373" s="21" t="str">
        <f>IF($AL1373="","",$AL1373&amp;"|"&amp;COUNTIF($AL$11:$AL1373,$AL1373))</f>
        <v/>
      </c>
    </row>
    <row r="1374" spans="38:53" ht="15" customHeight="1" x14ac:dyDescent="0.25">
      <c r="AL1374" s="31"/>
      <c r="AM1374" s="26"/>
      <c r="AN1374" s="32"/>
      <c r="AO1374" s="32"/>
      <c r="AP1374" s="24"/>
      <c r="AQ1374" s="24"/>
      <c r="AR1374" s="33"/>
      <c r="AS1374" s="34"/>
      <c r="AT1374" s="33"/>
      <c r="AV1374" s="21">
        <f>IF(AND($AL1374&lt;&gt;"",COUNTIF($AL$11:$AL1374,$AL1374)=1),1,0)</f>
        <v>0</v>
      </c>
      <c r="AW1374" s="21">
        <f t="shared" si="129"/>
        <v>0</v>
      </c>
      <c r="AX1374" s="21" t="str">
        <f t="shared" si="128"/>
        <v/>
      </c>
      <c r="AY1374" s="21" t="str">
        <f>IF(AND($AM1374&lt;&gt;"",$AS1374&lt;&gt;"✓"),SUMPRODUCT(($AM$11:$AM1374&lt;&gt;"")*($AS$11:$AS1374&lt;&gt;"✓")),"")</f>
        <v/>
      </c>
      <c r="AZ1374" s="21" t="str">
        <f>IF(AND($AM1374&lt;&gt;"",$AS1374="✓"),SUMPRODUCT(($AM$11:$AM1374&lt;&gt;"")*($AS$11:$AS1374="✓")),"")</f>
        <v/>
      </c>
      <c r="BA1374" s="21" t="str">
        <f>IF($AL1374="","",$AL1374&amp;"|"&amp;COUNTIF($AL$11:$AL1374,$AL1374))</f>
        <v/>
      </c>
    </row>
    <row r="1375" spans="38:53" ht="15" customHeight="1" x14ac:dyDescent="0.25">
      <c r="AL1375" s="17"/>
      <c r="AM1375" s="12"/>
      <c r="AN1375" s="18"/>
      <c r="AO1375" s="18"/>
      <c r="AP1375" s="10"/>
      <c r="AQ1375" s="10"/>
      <c r="AR1375" s="19"/>
      <c r="AS1375" s="20"/>
      <c r="AT1375" s="19"/>
      <c r="AV1375" s="21">
        <f>IF(AND($AL1375&lt;&gt;"",COUNTIF($AL$11:$AL1375,$AL1375)=1),1,0)</f>
        <v>0</v>
      </c>
      <c r="AW1375" s="21">
        <f t="shared" si="129"/>
        <v>0</v>
      </c>
      <c r="AX1375" s="21" t="str">
        <f t="shared" si="128"/>
        <v/>
      </c>
      <c r="AY1375" s="21" t="str">
        <f>IF(AND($AM1375&lt;&gt;"",$AS1375&lt;&gt;"✓"),SUMPRODUCT(($AM$11:$AM1375&lt;&gt;"")*($AS$11:$AS1375&lt;&gt;"✓")),"")</f>
        <v/>
      </c>
      <c r="AZ1375" s="21" t="str">
        <f>IF(AND($AM1375&lt;&gt;"",$AS1375="✓"),SUMPRODUCT(($AM$11:$AM1375&lt;&gt;"")*($AS$11:$AS1375="✓")),"")</f>
        <v/>
      </c>
      <c r="BA1375" s="21" t="str">
        <f>IF($AL1375="","",$AL1375&amp;"|"&amp;COUNTIF($AL$11:$AL1375,$AL1375))</f>
        <v/>
      </c>
    </row>
    <row r="1376" spans="38:53" ht="15" customHeight="1" x14ac:dyDescent="0.25">
      <c r="AL1376" s="31"/>
      <c r="AM1376" s="26"/>
      <c r="AN1376" s="32"/>
      <c r="AO1376" s="32"/>
      <c r="AP1376" s="24"/>
      <c r="AQ1376" s="24"/>
      <c r="AR1376" s="33"/>
      <c r="AS1376" s="34"/>
      <c r="AT1376" s="33"/>
      <c r="AV1376" s="21">
        <f>IF(AND($AL1376&lt;&gt;"",COUNTIF($AL$11:$AL1376,$AL1376)=1),1,0)</f>
        <v>0</v>
      </c>
      <c r="AW1376" s="21">
        <f t="shared" si="129"/>
        <v>0</v>
      </c>
      <c r="AX1376" s="21" t="str">
        <f t="shared" si="128"/>
        <v/>
      </c>
      <c r="AY1376" s="21" t="str">
        <f>IF(AND($AM1376&lt;&gt;"",$AS1376&lt;&gt;"✓"),SUMPRODUCT(($AM$11:$AM1376&lt;&gt;"")*($AS$11:$AS1376&lt;&gt;"✓")),"")</f>
        <v/>
      </c>
      <c r="AZ1376" s="21" t="str">
        <f>IF(AND($AM1376&lt;&gt;"",$AS1376="✓"),SUMPRODUCT(($AM$11:$AM1376&lt;&gt;"")*($AS$11:$AS1376="✓")),"")</f>
        <v/>
      </c>
      <c r="BA1376" s="21" t="str">
        <f>IF($AL1376="","",$AL1376&amp;"|"&amp;COUNTIF($AL$11:$AL1376,$AL1376))</f>
        <v/>
      </c>
    </row>
    <row r="1377" spans="38:53" ht="15" customHeight="1" x14ac:dyDescent="0.25">
      <c r="AL1377" s="17"/>
      <c r="AM1377" s="12"/>
      <c r="AN1377" s="18"/>
      <c r="AO1377" s="18"/>
      <c r="AP1377" s="10"/>
      <c r="AQ1377" s="10"/>
      <c r="AR1377" s="19"/>
      <c r="AS1377" s="20"/>
      <c r="AT1377" s="19"/>
      <c r="AV1377" s="21">
        <f>IF(AND($AL1377&lt;&gt;"",COUNTIF($AL$11:$AL1377,$AL1377)=1),1,0)</f>
        <v>0</v>
      </c>
      <c r="AW1377" s="21">
        <f t="shared" si="129"/>
        <v>0</v>
      </c>
      <c r="AX1377" s="21" t="str">
        <f t="shared" si="128"/>
        <v/>
      </c>
      <c r="AY1377" s="21" t="str">
        <f>IF(AND($AM1377&lt;&gt;"",$AS1377&lt;&gt;"✓"),SUMPRODUCT(($AM$11:$AM1377&lt;&gt;"")*($AS$11:$AS1377&lt;&gt;"✓")),"")</f>
        <v/>
      </c>
      <c r="AZ1377" s="21" t="str">
        <f>IF(AND($AM1377&lt;&gt;"",$AS1377="✓"),SUMPRODUCT(($AM$11:$AM1377&lt;&gt;"")*($AS$11:$AS1377="✓")),"")</f>
        <v/>
      </c>
      <c r="BA1377" s="21" t="str">
        <f>IF($AL1377="","",$AL1377&amp;"|"&amp;COUNTIF($AL$11:$AL1377,$AL1377))</f>
        <v/>
      </c>
    </row>
    <row r="1378" spans="38:53" ht="15" customHeight="1" x14ac:dyDescent="0.25">
      <c r="AL1378" s="31"/>
      <c r="AM1378" s="26"/>
      <c r="AN1378" s="32"/>
      <c r="AO1378" s="32"/>
      <c r="AP1378" s="24"/>
      <c r="AQ1378" s="24"/>
      <c r="AR1378" s="33"/>
      <c r="AS1378" s="34"/>
      <c r="AT1378" s="33"/>
      <c r="AV1378" s="21">
        <f>IF(AND($AL1378&lt;&gt;"",COUNTIF($AL$11:$AL1378,$AL1378)=1),1,0)</f>
        <v>0</v>
      </c>
      <c r="AW1378" s="21">
        <f t="shared" si="129"/>
        <v>0</v>
      </c>
      <c r="AX1378" s="21" t="str">
        <f t="shared" si="128"/>
        <v/>
      </c>
      <c r="AY1378" s="21" t="str">
        <f>IF(AND($AM1378&lt;&gt;"",$AS1378&lt;&gt;"✓"),SUMPRODUCT(($AM$11:$AM1378&lt;&gt;"")*($AS$11:$AS1378&lt;&gt;"✓")),"")</f>
        <v/>
      </c>
      <c r="AZ1378" s="21" t="str">
        <f>IF(AND($AM1378&lt;&gt;"",$AS1378="✓"),SUMPRODUCT(($AM$11:$AM1378&lt;&gt;"")*($AS$11:$AS1378="✓")),"")</f>
        <v/>
      </c>
      <c r="BA1378" s="21" t="str">
        <f>IF($AL1378="","",$AL1378&amp;"|"&amp;COUNTIF($AL$11:$AL1378,$AL1378))</f>
        <v/>
      </c>
    </row>
    <row r="1379" spans="38:53" ht="15" customHeight="1" x14ac:dyDescent="0.25">
      <c r="AL1379" s="17"/>
      <c r="AM1379" s="12"/>
      <c r="AN1379" s="18"/>
      <c r="AO1379" s="18"/>
      <c r="AP1379" s="10"/>
      <c r="AQ1379" s="10"/>
      <c r="AR1379" s="19"/>
      <c r="AS1379" s="20"/>
      <c r="AT1379" s="19"/>
      <c r="AV1379" s="21">
        <f>IF(AND($AL1379&lt;&gt;"",COUNTIF($AL$11:$AL1379,$AL1379)=1),1,0)</f>
        <v>0</v>
      </c>
      <c r="AW1379" s="21">
        <f t="shared" si="129"/>
        <v>0</v>
      </c>
      <c r="AX1379" s="21" t="str">
        <f t="shared" si="128"/>
        <v/>
      </c>
      <c r="AY1379" s="21" t="str">
        <f>IF(AND($AM1379&lt;&gt;"",$AS1379&lt;&gt;"✓"),SUMPRODUCT(($AM$11:$AM1379&lt;&gt;"")*($AS$11:$AS1379&lt;&gt;"✓")),"")</f>
        <v/>
      </c>
      <c r="AZ1379" s="21" t="str">
        <f>IF(AND($AM1379&lt;&gt;"",$AS1379="✓"),SUMPRODUCT(($AM$11:$AM1379&lt;&gt;"")*($AS$11:$AS1379="✓")),"")</f>
        <v/>
      </c>
      <c r="BA1379" s="21" t="str">
        <f>IF($AL1379="","",$AL1379&amp;"|"&amp;COUNTIF($AL$11:$AL1379,$AL1379))</f>
        <v/>
      </c>
    </row>
    <row r="1380" spans="38:53" ht="15" customHeight="1" x14ac:dyDescent="0.25">
      <c r="AL1380" s="31"/>
      <c r="AM1380" s="26"/>
      <c r="AN1380" s="32"/>
      <c r="AO1380" s="32"/>
      <c r="AP1380" s="24"/>
      <c r="AQ1380" s="24"/>
      <c r="AR1380" s="33"/>
      <c r="AS1380" s="34"/>
      <c r="AT1380" s="33"/>
      <c r="AV1380" s="21">
        <f>IF(AND($AL1380&lt;&gt;"",COUNTIF($AL$11:$AL1380,$AL1380)=1),1,0)</f>
        <v>0</v>
      </c>
      <c r="AW1380" s="21">
        <f t="shared" si="129"/>
        <v>0</v>
      </c>
      <c r="AX1380" s="21" t="str">
        <f t="shared" si="128"/>
        <v/>
      </c>
      <c r="AY1380" s="21" t="str">
        <f>IF(AND($AM1380&lt;&gt;"",$AS1380&lt;&gt;"✓"),SUMPRODUCT(($AM$11:$AM1380&lt;&gt;"")*($AS$11:$AS1380&lt;&gt;"✓")),"")</f>
        <v/>
      </c>
      <c r="AZ1380" s="21" t="str">
        <f>IF(AND($AM1380&lt;&gt;"",$AS1380="✓"),SUMPRODUCT(($AM$11:$AM1380&lt;&gt;"")*($AS$11:$AS1380="✓")),"")</f>
        <v/>
      </c>
      <c r="BA1380" s="21" t="str">
        <f>IF($AL1380="","",$AL1380&amp;"|"&amp;COUNTIF($AL$11:$AL1380,$AL1380))</f>
        <v/>
      </c>
    </row>
    <row r="1381" spans="38:53" ht="15" customHeight="1" x14ac:dyDescent="0.25">
      <c r="AL1381" s="17"/>
      <c r="AM1381" s="12"/>
      <c r="AN1381" s="18"/>
      <c r="AO1381" s="18"/>
      <c r="AP1381" s="10"/>
      <c r="AQ1381" s="10"/>
      <c r="AR1381" s="19"/>
      <c r="AS1381" s="20"/>
      <c r="AT1381" s="19"/>
      <c r="AV1381" s="21">
        <f>IF(AND($AL1381&lt;&gt;"",COUNTIF($AL$11:$AL1381,$AL1381)=1),1,0)</f>
        <v>0</v>
      </c>
      <c r="AW1381" s="21">
        <f t="shared" si="129"/>
        <v>0</v>
      </c>
      <c r="AX1381" s="21" t="str">
        <f t="shared" si="128"/>
        <v/>
      </c>
      <c r="AY1381" s="21" t="str">
        <f>IF(AND($AM1381&lt;&gt;"",$AS1381&lt;&gt;"✓"),SUMPRODUCT(($AM$11:$AM1381&lt;&gt;"")*($AS$11:$AS1381&lt;&gt;"✓")),"")</f>
        <v/>
      </c>
      <c r="AZ1381" s="21" t="str">
        <f>IF(AND($AM1381&lt;&gt;"",$AS1381="✓"),SUMPRODUCT(($AM$11:$AM1381&lt;&gt;"")*($AS$11:$AS1381="✓")),"")</f>
        <v/>
      </c>
      <c r="BA1381" s="21" t="str">
        <f>IF($AL1381="","",$AL1381&amp;"|"&amp;COUNTIF($AL$11:$AL1381,$AL1381))</f>
        <v/>
      </c>
    </row>
    <row r="1382" spans="38:53" ht="15" customHeight="1" x14ac:dyDescent="0.25">
      <c r="AL1382" s="31"/>
      <c r="AM1382" s="26"/>
      <c r="AN1382" s="32"/>
      <c r="AO1382" s="32"/>
      <c r="AP1382" s="24"/>
      <c r="AQ1382" s="24"/>
      <c r="AR1382" s="33"/>
      <c r="AS1382" s="34"/>
      <c r="AT1382" s="33"/>
      <c r="AV1382" s="21">
        <f>IF(AND($AL1382&lt;&gt;"",COUNTIF($AL$11:$AL1382,$AL1382)=1),1,0)</f>
        <v>0</v>
      </c>
      <c r="AW1382" s="21">
        <f t="shared" si="129"/>
        <v>0</v>
      </c>
      <c r="AX1382" s="21" t="str">
        <f t="shared" si="128"/>
        <v/>
      </c>
      <c r="AY1382" s="21" t="str">
        <f>IF(AND($AM1382&lt;&gt;"",$AS1382&lt;&gt;"✓"),SUMPRODUCT(($AM$11:$AM1382&lt;&gt;"")*($AS$11:$AS1382&lt;&gt;"✓")),"")</f>
        <v/>
      </c>
      <c r="AZ1382" s="21" t="str">
        <f>IF(AND($AM1382&lt;&gt;"",$AS1382="✓"),SUMPRODUCT(($AM$11:$AM1382&lt;&gt;"")*($AS$11:$AS1382="✓")),"")</f>
        <v/>
      </c>
      <c r="BA1382" s="21" t="str">
        <f>IF($AL1382="","",$AL1382&amp;"|"&amp;COUNTIF($AL$11:$AL1382,$AL1382))</f>
        <v/>
      </c>
    </row>
    <row r="1383" spans="38:53" ht="15" customHeight="1" x14ac:dyDescent="0.25">
      <c r="AL1383" s="17"/>
      <c r="AM1383" s="12"/>
      <c r="AN1383" s="18"/>
      <c r="AO1383" s="18"/>
      <c r="AP1383" s="10"/>
      <c r="AQ1383" s="10"/>
      <c r="AR1383" s="19"/>
      <c r="AS1383" s="20"/>
      <c r="AT1383" s="19"/>
      <c r="AV1383" s="21">
        <f>IF(AND($AL1383&lt;&gt;"",COUNTIF($AL$11:$AL1383,$AL1383)=1),1,0)</f>
        <v>0</v>
      </c>
      <c r="AW1383" s="21">
        <f t="shared" si="129"/>
        <v>0</v>
      </c>
      <c r="AX1383" s="21" t="str">
        <f t="shared" si="128"/>
        <v/>
      </c>
      <c r="AY1383" s="21" t="str">
        <f>IF(AND($AM1383&lt;&gt;"",$AS1383&lt;&gt;"✓"),SUMPRODUCT(($AM$11:$AM1383&lt;&gt;"")*($AS$11:$AS1383&lt;&gt;"✓")),"")</f>
        <v/>
      </c>
      <c r="AZ1383" s="21" t="str">
        <f>IF(AND($AM1383&lt;&gt;"",$AS1383="✓"),SUMPRODUCT(($AM$11:$AM1383&lt;&gt;"")*($AS$11:$AS1383="✓")),"")</f>
        <v/>
      </c>
      <c r="BA1383" s="21" t="str">
        <f>IF($AL1383="","",$AL1383&amp;"|"&amp;COUNTIF($AL$11:$AL1383,$AL1383))</f>
        <v/>
      </c>
    </row>
    <row r="1384" spans="38:53" ht="15" customHeight="1" x14ac:dyDescent="0.25">
      <c r="AL1384" s="31"/>
      <c r="AM1384" s="26"/>
      <c r="AN1384" s="32"/>
      <c r="AO1384" s="32"/>
      <c r="AP1384" s="24"/>
      <c r="AQ1384" s="24"/>
      <c r="AR1384" s="33"/>
      <c r="AS1384" s="34"/>
      <c r="AT1384" s="33"/>
      <c r="AV1384" s="21">
        <f>IF(AND($AL1384&lt;&gt;"",COUNTIF($AL$11:$AL1384,$AL1384)=1),1,0)</f>
        <v>0</v>
      </c>
      <c r="AW1384" s="21">
        <f t="shared" si="129"/>
        <v>0</v>
      </c>
      <c r="AX1384" s="21" t="str">
        <f t="shared" si="128"/>
        <v/>
      </c>
      <c r="AY1384" s="21" t="str">
        <f>IF(AND($AM1384&lt;&gt;"",$AS1384&lt;&gt;"✓"),SUMPRODUCT(($AM$11:$AM1384&lt;&gt;"")*($AS$11:$AS1384&lt;&gt;"✓")),"")</f>
        <v/>
      </c>
      <c r="AZ1384" s="21" t="str">
        <f>IF(AND($AM1384&lt;&gt;"",$AS1384="✓"),SUMPRODUCT(($AM$11:$AM1384&lt;&gt;"")*($AS$11:$AS1384="✓")),"")</f>
        <v/>
      </c>
      <c r="BA1384" s="21" t="str">
        <f>IF($AL1384="","",$AL1384&amp;"|"&amp;COUNTIF($AL$11:$AL1384,$AL1384))</f>
        <v/>
      </c>
    </row>
    <row r="1385" spans="38:53" ht="15" customHeight="1" x14ac:dyDescent="0.25">
      <c r="AL1385" s="17"/>
      <c r="AM1385" s="12"/>
      <c r="AN1385" s="18"/>
      <c r="AO1385" s="18"/>
      <c r="AP1385" s="10"/>
      <c r="AQ1385" s="10"/>
      <c r="AR1385" s="19"/>
      <c r="AS1385" s="20"/>
      <c r="AT1385" s="19"/>
      <c r="AV1385" s="21">
        <f>IF(AND($AL1385&lt;&gt;"",COUNTIF($AL$11:$AL1385,$AL1385)=1),1,0)</f>
        <v>0</v>
      </c>
      <c r="AW1385" s="21">
        <f t="shared" si="129"/>
        <v>0</v>
      </c>
      <c r="AX1385" s="21" t="str">
        <f t="shared" si="128"/>
        <v/>
      </c>
      <c r="AY1385" s="21" t="str">
        <f>IF(AND($AM1385&lt;&gt;"",$AS1385&lt;&gt;"✓"),SUMPRODUCT(($AM$11:$AM1385&lt;&gt;"")*($AS$11:$AS1385&lt;&gt;"✓")),"")</f>
        <v/>
      </c>
      <c r="AZ1385" s="21" t="str">
        <f>IF(AND($AM1385&lt;&gt;"",$AS1385="✓"),SUMPRODUCT(($AM$11:$AM1385&lt;&gt;"")*($AS$11:$AS1385="✓")),"")</f>
        <v/>
      </c>
      <c r="BA1385" s="21" t="str">
        <f>IF($AL1385="","",$AL1385&amp;"|"&amp;COUNTIF($AL$11:$AL1385,$AL1385))</f>
        <v/>
      </c>
    </row>
    <row r="1386" spans="38:53" ht="15" customHeight="1" x14ac:dyDescent="0.25">
      <c r="AL1386" s="31"/>
      <c r="AM1386" s="26"/>
      <c r="AN1386" s="32"/>
      <c r="AO1386" s="32"/>
      <c r="AP1386" s="24"/>
      <c r="AQ1386" s="24"/>
      <c r="AR1386" s="33"/>
      <c r="AS1386" s="34"/>
      <c r="AT1386" s="33"/>
      <c r="AV1386" s="21">
        <f>IF(AND($AL1386&lt;&gt;"",COUNTIF($AL$11:$AL1386,$AL1386)=1),1,0)</f>
        <v>0</v>
      </c>
      <c r="AW1386" s="21">
        <f t="shared" si="129"/>
        <v>0</v>
      </c>
      <c r="AX1386" s="21" t="str">
        <f t="shared" si="128"/>
        <v/>
      </c>
      <c r="AY1386" s="21" t="str">
        <f>IF(AND($AM1386&lt;&gt;"",$AS1386&lt;&gt;"✓"),SUMPRODUCT(($AM$11:$AM1386&lt;&gt;"")*($AS$11:$AS1386&lt;&gt;"✓")),"")</f>
        <v/>
      </c>
      <c r="AZ1386" s="21" t="str">
        <f>IF(AND($AM1386&lt;&gt;"",$AS1386="✓"),SUMPRODUCT(($AM$11:$AM1386&lt;&gt;"")*($AS$11:$AS1386="✓")),"")</f>
        <v/>
      </c>
      <c r="BA1386" s="21" t="str">
        <f>IF($AL1386="","",$AL1386&amp;"|"&amp;COUNTIF($AL$11:$AL1386,$AL1386))</f>
        <v/>
      </c>
    </row>
    <row r="1387" spans="38:53" ht="15" customHeight="1" x14ac:dyDescent="0.25">
      <c r="AL1387" s="17"/>
      <c r="AM1387" s="12"/>
      <c r="AN1387" s="18"/>
      <c r="AO1387" s="18"/>
      <c r="AP1387" s="10"/>
      <c r="AQ1387" s="10"/>
      <c r="AR1387" s="19"/>
      <c r="AS1387" s="20"/>
      <c r="AT1387" s="19"/>
      <c r="AV1387" s="21">
        <f>IF(AND($AL1387&lt;&gt;"",COUNTIF($AL$11:$AL1387,$AL1387)=1),1,0)</f>
        <v>0</v>
      </c>
      <c r="AW1387" s="21">
        <f t="shared" si="129"/>
        <v>0</v>
      </c>
      <c r="AX1387" s="21" t="str">
        <f t="shared" si="128"/>
        <v/>
      </c>
      <c r="AY1387" s="21" t="str">
        <f>IF(AND($AM1387&lt;&gt;"",$AS1387&lt;&gt;"✓"),SUMPRODUCT(($AM$11:$AM1387&lt;&gt;"")*($AS$11:$AS1387&lt;&gt;"✓")),"")</f>
        <v/>
      </c>
      <c r="AZ1387" s="21" t="str">
        <f>IF(AND($AM1387&lt;&gt;"",$AS1387="✓"),SUMPRODUCT(($AM$11:$AM1387&lt;&gt;"")*($AS$11:$AS1387="✓")),"")</f>
        <v/>
      </c>
      <c r="BA1387" s="21" t="str">
        <f>IF($AL1387="","",$AL1387&amp;"|"&amp;COUNTIF($AL$11:$AL1387,$AL1387))</f>
        <v/>
      </c>
    </row>
    <row r="1388" spans="38:53" ht="15" customHeight="1" x14ac:dyDescent="0.25">
      <c r="AL1388" s="31"/>
      <c r="AM1388" s="26"/>
      <c r="AN1388" s="32"/>
      <c r="AO1388" s="32"/>
      <c r="AP1388" s="24"/>
      <c r="AQ1388" s="24"/>
      <c r="AR1388" s="33"/>
      <c r="AS1388" s="34"/>
      <c r="AT1388" s="33"/>
      <c r="AV1388" s="21">
        <f>IF(AND($AL1388&lt;&gt;"",COUNTIF($AL$11:$AL1388,$AL1388)=1),1,0)</f>
        <v>0</v>
      </c>
      <c r="AW1388" s="21">
        <f t="shared" si="129"/>
        <v>0</v>
      </c>
      <c r="AX1388" s="21" t="str">
        <f t="shared" si="128"/>
        <v/>
      </c>
      <c r="AY1388" s="21" t="str">
        <f>IF(AND($AM1388&lt;&gt;"",$AS1388&lt;&gt;"✓"),SUMPRODUCT(($AM$11:$AM1388&lt;&gt;"")*($AS$11:$AS1388&lt;&gt;"✓")),"")</f>
        <v/>
      </c>
      <c r="AZ1388" s="21" t="str">
        <f>IF(AND($AM1388&lt;&gt;"",$AS1388="✓"),SUMPRODUCT(($AM$11:$AM1388&lt;&gt;"")*($AS$11:$AS1388="✓")),"")</f>
        <v/>
      </c>
      <c r="BA1388" s="21" t="str">
        <f>IF($AL1388="","",$AL1388&amp;"|"&amp;COUNTIF($AL$11:$AL1388,$AL1388))</f>
        <v/>
      </c>
    </row>
    <row r="1389" spans="38:53" ht="15" customHeight="1" x14ac:dyDescent="0.25">
      <c r="AL1389" s="17"/>
      <c r="AM1389" s="12"/>
      <c r="AN1389" s="18"/>
      <c r="AO1389" s="18"/>
      <c r="AP1389" s="10"/>
      <c r="AQ1389" s="10"/>
      <c r="AR1389" s="19"/>
      <c r="AS1389" s="20"/>
      <c r="AT1389" s="19"/>
      <c r="AV1389" s="21">
        <f>IF(AND($AL1389&lt;&gt;"",COUNTIF($AL$11:$AL1389,$AL1389)=1),1,0)</f>
        <v>0</v>
      </c>
      <c r="AW1389" s="21">
        <f t="shared" si="129"/>
        <v>0</v>
      </c>
      <c r="AX1389" s="21" t="str">
        <f t="shared" si="128"/>
        <v/>
      </c>
      <c r="AY1389" s="21" t="str">
        <f>IF(AND($AM1389&lt;&gt;"",$AS1389&lt;&gt;"✓"),SUMPRODUCT(($AM$11:$AM1389&lt;&gt;"")*($AS$11:$AS1389&lt;&gt;"✓")),"")</f>
        <v/>
      </c>
      <c r="AZ1389" s="21" t="str">
        <f>IF(AND($AM1389&lt;&gt;"",$AS1389="✓"),SUMPRODUCT(($AM$11:$AM1389&lt;&gt;"")*($AS$11:$AS1389="✓")),"")</f>
        <v/>
      </c>
      <c r="BA1389" s="21" t="str">
        <f>IF($AL1389="","",$AL1389&amp;"|"&amp;COUNTIF($AL$11:$AL1389,$AL1389))</f>
        <v/>
      </c>
    </row>
    <row r="1390" spans="38:53" ht="15" customHeight="1" x14ac:dyDescent="0.25">
      <c r="AL1390" s="31"/>
      <c r="AM1390" s="26"/>
      <c r="AN1390" s="32"/>
      <c r="AO1390" s="32"/>
      <c r="AP1390" s="24"/>
      <c r="AQ1390" s="24"/>
      <c r="AR1390" s="33"/>
      <c r="AS1390" s="34"/>
      <c r="AT1390" s="33"/>
      <c r="AV1390" s="21">
        <f>IF(AND($AL1390&lt;&gt;"",COUNTIF($AL$11:$AL1390,$AL1390)=1),1,0)</f>
        <v>0</v>
      </c>
      <c r="AW1390" s="21">
        <f t="shared" si="129"/>
        <v>0</v>
      </c>
      <c r="AX1390" s="21" t="str">
        <f t="shared" si="128"/>
        <v/>
      </c>
      <c r="AY1390" s="21" t="str">
        <f>IF(AND($AM1390&lt;&gt;"",$AS1390&lt;&gt;"✓"),SUMPRODUCT(($AM$11:$AM1390&lt;&gt;"")*($AS$11:$AS1390&lt;&gt;"✓")),"")</f>
        <v/>
      </c>
      <c r="AZ1390" s="21" t="str">
        <f>IF(AND($AM1390&lt;&gt;"",$AS1390="✓"),SUMPRODUCT(($AM$11:$AM1390&lt;&gt;"")*($AS$11:$AS1390="✓")),"")</f>
        <v/>
      </c>
      <c r="BA1390" s="21" t="str">
        <f>IF($AL1390="","",$AL1390&amp;"|"&amp;COUNTIF($AL$11:$AL1390,$AL1390))</f>
        <v/>
      </c>
    </row>
    <row r="1391" spans="38:53" ht="15" customHeight="1" x14ac:dyDescent="0.25">
      <c r="AL1391" s="17"/>
      <c r="AM1391" s="12"/>
      <c r="AN1391" s="18"/>
      <c r="AO1391" s="18"/>
      <c r="AP1391" s="10"/>
      <c r="AQ1391" s="10"/>
      <c r="AR1391" s="19"/>
      <c r="AS1391" s="20"/>
      <c r="AT1391" s="19"/>
      <c r="AV1391" s="21">
        <f>IF(AND($AL1391&lt;&gt;"",COUNTIF($AL$11:$AL1391,$AL1391)=1),1,0)</f>
        <v>0</v>
      </c>
      <c r="AW1391" s="21">
        <f t="shared" si="129"/>
        <v>0</v>
      </c>
      <c r="AX1391" s="21" t="str">
        <f t="shared" si="128"/>
        <v/>
      </c>
      <c r="AY1391" s="21" t="str">
        <f>IF(AND($AM1391&lt;&gt;"",$AS1391&lt;&gt;"✓"),SUMPRODUCT(($AM$11:$AM1391&lt;&gt;"")*($AS$11:$AS1391&lt;&gt;"✓")),"")</f>
        <v/>
      </c>
      <c r="AZ1391" s="21" t="str">
        <f>IF(AND($AM1391&lt;&gt;"",$AS1391="✓"),SUMPRODUCT(($AM$11:$AM1391&lt;&gt;"")*($AS$11:$AS1391="✓")),"")</f>
        <v/>
      </c>
      <c r="BA1391" s="21" t="str">
        <f>IF($AL1391="","",$AL1391&amp;"|"&amp;COUNTIF($AL$11:$AL1391,$AL1391))</f>
        <v/>
      </c>
    </row>
    <row r="1392" spans="38:53" ht="15" customHeight="1" x14ac:dyDescent="0.25">
      <c r="AL1392" s="31"/>
      <c r="AM1392" s="26"/>
      <c r="AN1392" s="32"/>
      <c r="AO1392" s="32"/>
      <c r="AP1392" s="24"/>
      <c r="AQ1392" s="24"/>
      <c r="AR1392" s="33"/>
      <c r="AS1392" s="34"/>
      <c r="AT1392" s="33"/>
      <c r="AV1392" s="21">
        <f>IF(AND($AL1392&lt;&gt;"",COUNTIF($AL$11:$AL1392,$AL1392)=1),1,0)</f>
        <v>0</v>
      </c>
      <c r="AW1392" s="21">
        <f t="shared" si="129"/>
        <v>0</v>
      </c>
      <c r="AX1392" s="21" t="str">
        <f t="shared" si="128"/>
        <v/>
      </c>
      <c r="AY1392" s="21" t="str">
        <f>IF(AND($AM1392&lt;&gt;"",$AS1392&lt;&gt;"✓"),SUMPRODUCT(($AM$11:$AM1392&lt;&gt;"")*($AS$11:$AS1392&lt;&gt;"✓")),"")</f>
        <v/>
      </c>
      <c r="AZ1392" s="21" t="str">
        <f>IF(AND($AM1392&lt;&gt;"",$AS1392="✓"),SUMPRODUCT(($AM$11:$AM1392&lt;&gt;"")*($AS$11:$AS1392="✓")),"")</f>
        <v/>
      </c>
      <c r="BA1392" s="21" t="str">
        <f>IF($AL1392="","",$AL1392&amp;"|"&amp;COUNTIF($AL$11:$AL1392,$AL1392))</f>
        <v/>
      </c>
    </row>
    <row r="1393" spans="38:53" ht="15" customHeight="1" x14ac:dyDescent="0.25">
      <c r="AL1393" s="17"/>
      <c r="AM1393" s="12"/>
      <c r="AN1393" s="18"/>
      <c r="AO1393" s="18"/>
      <c r="AP1393" s="10"/>
      <c r="AQ1393" s="10"/>
      <c r="AR1393" s="19"/>
      <c r="AS1393" s="20"/>
      <c r="AT1393" s="19"/>
      <c r="AV1393" s="21">
        <f>IF(AND($AL1393&lt;&gt;"",COUNTIF($AL$11:$AL1393,$AL1393)=1),1,0)</f>
        <v>0</v>
      </c>
      <c r="AW1393" s="21">
        <f t="shared" si="129"/>
        <v>0</v>
      </c>
      <c r="AX1393" s="21" t="str">
        <f t="shared" si="128"/>
        <v/>
      </c>
      <c r="AY1393" s="21" t="str">
        <f>IF(AND($AM1393&lt;&gt;"",$AS1393&lt;&gt;"✓"),SUMPRODUCT(($AM$11:$AM1393&lt;&gt;"")*($AS$11:$AS1393&lt;&gt;"✓")),"")</f>
        <v/>
      </c>
      <c r="AZ1393" s="21" t="str">
        <f>IF(AND($AM1393&lt;&gt;"",$AS1393="✓"),SUMPRODUCT(($AM$11:$AM1393&lt;&gt;"")*($AS$11:$AS1393="✓")),"")</f>
        <v/>
      </c>
      <c r="BA1393" s="21" t="str">
        <f>IF($AL1393="","",$AL1393&amp;"|"&amp;COUNTIF($AL$11:$AL1393,$AL1393))</f>
        <v/>
      </c>
    </row>
    <row r="1394" spans="38:53" ht="15" customHeight="1" x14ac:dyDescent="0.25">
      <c r="AL1394" s="31"/>
      <c r="AM1394" s="26"/>
      <c r="AN1394" s="32"/>
      <c r="AO1394" s="32"/>
      <c r="AP1394" s="24"/>
      <c r="AQ1394" s="24"/>
      <c r="AR1394" s="33"/>
      <c r="AS1394" s="34"/>
      <c r="AT1394" s="33"/>
      <c r="AV1394" s="21">
        <f>IF(AND($AL1394&lt;&gt;"",COUNTIF($AL$11:$AL1394,$AL1394)=1),1,0)</f>
        <v>0</v>
      </c>
      <c r="AW1394" s="21">
        <f t="shared" si="129"/>
        <v>0</v>
      </c>
      <c r="AX1394" s="21" t="str">
        <f t="shared" si="128"/>
        <v/>
      </c>
      <c r="AY1394" s="21" t="str">
        <f>IF(AND($AM1394&lt;&gt;"",$AS1394&lt;&gt;"✓"),SUMPRODUCT(($AM$11:$AM1394&lt;&gt;"")*($AS$11:$AS1394&lt;&gt;"✓")),"")</f>
        <v/>
      </c>
      <c r="AZ1394" s="21" t="str">
        <f>IF(AND($AM1394&lt;&gt;"",$AS1394="✓"),SUMPRODUCT(($AM$11:$AM1394&lt;&gt;"")*($AS$11:$AS1394="✓")),"")</f>
        <v/>
      </c>
      <c r="BA1394" s="21" t="str">
        <f>IF($AL1394="","",$AL1394&amp;"|"&amp;COUNTIF($AL$11:$AL1394,$AL1394))</f>
        <v/>
      </c>
    </row>
    <row r="1395" spans="38:53" ht="15" customHeight="1" x14ac:dyDescent="0.25">
      <c r="AL1395" s="17"/>
      <c r="AM1395" s="12"/>
      <c r="AN1395" s="18"/>
      <c r="AO1395" s="18"/>
      <c r="AP1395" s="10"/>
      <c r="AQ1395" s="10"/>
      <c r="AR1395" s="19"/>
      <c r="AS1395" s="20"/>
      <c r="AT1395" s="19"/>
      <c r="AV1395" s="21">
        <f>IF(AND($AL1395&lt;&gt;"",COUNTIF($AL$11:$AL1395,$AL1395)=1),1,0)</f>
        <v>0</v>
      </c>
      <c r="AW1395" s="21">
        <f t="shared" si="129"/>
        <v>0</v>
      </c>
      <c r="AX1395" s="21" t="str">
        <f t="shared" si="128"/>
        <v/>
      </c>
      <c r="AY1395" s="21" t="str">
        <f>IF(AND($AM1395&lt;&gt;"",$AS1395&lt;&gt;"✓"),SUMPRODUCT(($AM$11:$AM1395&lt;&gt;"")*($AS$11:$AS1395&lt;&gt;"✓")),"")</f>
        <v/>
      </c>
      <c r="AZ1395" s="21" t="str">
        <f>IF(AND($AM1395&lt;&gt;"",$AS1395="✓"),SUMPRODUCT(($AM$11:$AM1395&lt;&gt;"")*($AS$11:$AS1395="✓")),"")</f>
        <v/>
      </c>
      <c r="BA1395" s="21" t="str">
        <f>IF($AL1395="","",$AL1395&amp;"|"&amp;COUNTIF($AL$11:$AL1395,$AL1395))</f>
        <v/>
      </c>
    </row>
    <row r="1396" spans="38:53" ht="15" customHeight="1" x14ac:dyDescent="0.25">
      <c r="AL1396" s="31"/>
      <c r="AM1396" s="26"/>
      <c r="AN1396" s="32"/>
      <c r="AO1396" s="32"/>
      <c r="AP1396" s="24"/>
      <c r="AQ1396" s="24"/>
      <c r="AR1396" s="33"/>
      <c r="AS1396" s="34"/>
      <c r="AT1396" s="33"/>
      <c r="AV1396" s="21">
        <f>IF(AND($AL1396&lt;&gt;"",COUNTIF($AL$11:$AL1396,$AL1396)=1),1,0)</f>
        <v>0</v>
      </c>
      <c r="AW1396" s="21">
        <f t="shared" si="129"/>
        <v>0</v>
      </c>
      <c r="AX1396" s="21" t="str">
        <f t="shared" si="128"/>
        <v/>
      </c>
      <c r="AY1396" s="21" t="str">
        <f>IF(AND($AM1396&lt;&gt;"",$AS1396&lt;&gt;"✓"),SUMPRODUCT(($AM$11:$AM1396&lt;&gt;"")*($AS$11:$AS1396&lt;&gt;"✓")),"")</f>
        <v/>
      </c>
      <c r="AZ1396" s="21" t="str">
        <f>IF(AND($AM1396&lt;&gt;"",$AS1396="✓"),SUMPRODUCT(($AM$11:$AM1396&lt;&gt;"")*($AS$11:$AS1396="✓")),"")</f>
        <v/>
      </c>
      <c r="BA1396" s="21" t="str">
        <f>IF($AL1396="","",$AL1396&amp;"|"&amp;COUNTIF($AL$11:$AL1396,$AL1396))</f>
        <v/>
      </c>
    </row>
    <row r="1397" spans="38:53" ht="15" customHeight="1" x14ac:dyDescent="0.25">
      <c r="AL1397" s="17"/>
      <c r="AM1397" s="12"/>
      <c r="AN1397" s="18"/>
      <c r="AO1397" s="18"/>
      <c r="AP1397" s="10"/>
      <c r="AQ1397" s="10"/>
      <c r="AR1397" s="19"/>
      <c r="AS1397" s="20"/>
      <c r="AT1397" s="19"/>
      <c r="AV1397" s="21">
        <f>IF(AND($AL1397&lt;&gt;"",COUNTIF($AL$11:$AL1397,$AL1397)=1),1,0)</f>
        <v>0</v>
      </c>
      <c r="AW1397" s="21">
        <f t="shared" si="129"/>
        <v>0</v>
      </c>
      <c r="AX1397" s="21" t="str">
        <f t="shared" si="128"/>
        <v/>
      </c>
      <c r="AY1397" s="21" t="str">
        <f>IF(AND($AM1397&lt;&gt;"",$AS1397&lt;&gt;"✓"),SUMPRODUCT(($AM$11:$AM1397&lt;&gt;"")*($AS$11:$AS1397&lt;&gt;"✓")),"")</f>
        <v/>
      </c>
      <c r="AZ1397" s="21" t="str">
        <f>IF(AND($AM1397&lt;&gt;"",$AS1397="✓"),SUMPRODUCT(($AM$11:$AM1397&lt;&gt;"")*($AS$11:$AS1397="✓")),"")</f>
        <v/>
      </c>
      <c r="BA1397" s="21" t="str">
        <f>IF($AL1397="","",$AL1397&amp;"|"&amp;COUNTIF($AL$11:$AL1397,$AL1397))</f>
        <v/>
      </c>
    </row>
    <row r="1398" spans="38:53" ht="15" customHeight="1" x14ac:dyDescent="0.25">
      <c r="AL1398" s="31"/>
      <c r="AM1398" s="26"/>
      <c r="AN1398" s="32"/>
      <c r="AO1398" s="32"/>
      <c r="AP1398" s="24"/>
      <c r="AQ1398" s="24"/>
      <c r="AR1398" s="33"/>
      <c r="AS1398" s="34"/>
      <c r="AT1398" s="33"/>
      <c r="AV1398" s="21">
        <f>IF(AND($AL1398&lt;&gt;"",COUNTIF($AL$11:$AL1398,$AL1398)=1),1,0)</f>
        <v>0</v>
      </c>
      <c r="AW1398" s="21">
        <f t="shared" si="129"/>
        <v>0</v>
      </c>
      <c r="AX1398" s="21" t="str">
        <f t="shared" si="128"/>
        <v/>
      </c>
      <c r="AY1398" s="21" t="str">
        <f>IF(AND($AM1398&lt;&gt;"",$AS1398&lt;&gt;"✓"),SUMPRODUCT(($AM$11:$AM1398&lt;&gt;"")*($AS$11:$AS1398&lt;&gt;"✓")),"")</f>
        <v/>
      </c>
      <c r="AZ1398" s="21" t="str">
        <f>IF(AND($AM1398&lt;&gt;"",$AS1398="✓"),SUMPRODUCT(($AM$11:$AM1398&lt;&gt;"")*($AS$11:$AS1398="✓")),"")</f>
        <v/>
      </c>
      <c r="BA1398" s="21" t="str">
        <f>IF($AL1398="","",$AL1398&amp;"|"&amp;COUNTIF($AL$11:$AL1398,$AL1398))</f>
        <v/>
      </c>
    </row>
    <row r="1399" spans="38:53" ht="15" customHeight="1" x14ac:dyDescent="0.25">
      <c r="AL1399" s="17"/>
      <c r="AM1399" s="12"/>
      <c r="AN1399" s="18"/>
      <c r="AO1399" s="18"/>
      <c r="AP1399" s="10"/>
      <c r="AQ1399" s="10"/>
      <c r="AR1399" s="19"/>
      <c r="AS1399" s="20"/>
      <c r="AT1399" s="19"/>
      <c r="AV1399" s="21">
        <f>IF(AND($AL1399&lt;&gt;"",COUNTIF($AL$11:$AL1399,$AL1399)=1),1,0)</f>
        <v>0</v>
      </c>
      <c r="AW1399" s="21">
        <f t="shared" si="129"/>
        <v>0</v>
      </c>
      <c r="AX1399" s="21" t="str">
        <f t="shared" si="128"/>
        <v/>
      </c>
      <c r="AY1399" s="21" t="str">
        <f>IF(AND($AM1399&lt;&gt;"",$AS1399&lt;&gt;"✓"),SUMPRODUCT(($AM$11:$AM1399&lt;&gt;"")*($AS$11:$AS1399&lt;&gt;"✓")),"")</f>
        <v/>
      </c>
      <c r="AZ1399" s="21" t="str">
        <f>IF(AND($AM1399&lt;&gt;"",$AS1399="✓"),SUMPRODUCT(($AM$11:$AM1399&lt;&gt;"")*($AS$11:$AS1399="✓")),"")</f>
        <v/>
      </c>
      <c r="BA1399" s="21" t="str">
        <f>IF($AL1399="","",$AL1399&amp;"|"&amp;COUNTIF($AL$11:$AL1399,$AL1399))</f>
        <v/>
      </c>
    </row>
    <row r="1400" spans="38:53" ht="15" customHeight="1" x14ac:dyDescent="0.25">
      <c r="AL1400" s="31"/>
      <c r="AM1400" s="26"/>
      <c r="AN1400" s="32"/>
      <c r="AO1400" s="32"/>
      <c r="AP1400" s="24"/>
      <c r="AQ1400" s="24"/>
      <c r="AR1400" s="33"/>
      <c r="AS1400" s="34"/>
      <c r="AT1400" s="33"/>
      <c r="AV1400" s="21">
        <f>IF(AND($AL1400&lt;&gt;"",COUNTIF($AL$11:$AL1400,$AL1400)=1),1,0)</f>
        <v>0</v>
      </c>
      <c r="AW1400" s="21">
        <f t="shared" si="129"/>
        <v>0</v>
      </c>
      <c r="AX1400" s="21" t="str">
        <f t="shared" si="128"/>
        <v/>
      </c>
      <c r="AY1400" s="21" t="str">
        <f>IF(AND($AM1400&lt;&gt;"",$AS1400&lt;&gt;"✓"),SUMPRODUCT(($AM$11:$AM1400&lt;&gt;"")*($AS$11:$AS1400&lt;&gt;"✓")),"")</f>
        <v/>
      </c>
      <c r="AZ1400" s="21" t="str">
        <f>IF(AND($AM1400&lt;&gt;"",$AS1400="✓"),SUMPRODUCT(($AM$11:$AM1400&lt;&gt;"")*($AS$11:$AS1400="✓")),"")</f>
        <v/>
      </c>
      <c r="BA1400" s="21" t="str">
        <f>IF($AL1400="","",$AL1400&amp;"|"&amp;COUNTIF($AL$11:$AL1400,$AL1400))</f>
        <v/>
      </c>
    </row>
    <row r="1401" spans="38:53" ht="15" customHeight="1" x14ac:dyDescent="0.25">
      <c r="AL1401" s="17"/>
      <c r="AM1401" s="12"/>
      <c r="AN1401" s="18"/>
      <c r="AO1401" s="18"/>
      <c r="AP1401" s="10"/>
      <c r="AQ1401" s="10"/>
      <c r="AR1401" s="19"/>
      <c r="AS1401" s="20"/>
      <c r="AT1401" s="19"/>
      <c r="AV1401" s="21">
        <f>IF(AND($AL1401&lt;&gt;"",COUNTIF($AL$11:$AL1401,$AL1401)=1),1,0)</f>
        <v>0</v>
      </c>
      <c r="AW1401" s="21">
        <f t="shared" si="129"/>
        <v>0</v>
      </c>
      <c r="AX1401" s="21" t="str">
        <f t="shared" si="128"/>
        <v/>
      </c>
      <c r="AY1401" s="21" t="str">
        <f>IF(AND($AM1401&lt;&gt;"",$AS1401&lt;&gt;"✓"),SUMPRODUCT(($AM$11:$AM1401&lt;&gt;"")*($AS$11:$AS1401&lt;&gt;"✓")),"")</f>
        <v/>
      </c>
      <c r="AZ1401" s="21" t="str">
        <f>IF(AND($AM1401&lt;&gt;"",$AS1401="✓"),SUMPRODUCT(($AM$11:$AM1401&lt;&gt;"")*($AS$11:$AS1401="✓")),"")</f>
        <v/>
      </c>
      <c r="BA1401" s="21" t="str">
        <f>IF($AL1401="","",$AL1401&amp;"|"&amp;COUNTIF($AL$11:$AL1401,$AL1401))</f>
        <v/>
      </c>
    </row>
    <row r="1402" spans="38:53" ht="15" customHeight="1" x14ac:dyDescent="0.25">
      <c r="AL1402" s="31"/>
      <c r="AM1402" s="26"/>
      <c r="AN1402" s="32"/>
      <c r="AO1402" s="32"/>
      <c r="AP1402" s="24"/>
      <c r="AQ1402" s="24"/>
      <c r="AR1402" s="33"/>
      <c r="AS1402" s="34"/>
      <c r="AT1402" s="33"/>
      <c r="AV1402" s="21">
        <f>IF(AND($AL1402&lt;&gt;"",COUNTIF($AL$11:$AL1402,$AL1402)=1),1,0)</f>
        <v>0</v>
      </c>
      <c r="AW1402" s="21">
        <f t="shared" si="129"/>
        <v>0</v>
      </c>
      <c r="AX1402" s="21" t="str">
        <f t="shared" si="128"/>
        <v/>
      </c>
      <c r="AY1402" s="21" t="str">
        <f>IF(AND($AM1402&lt;&gt;"",$AS1402&lt;&gt;"✓"),SUMPRODUCT(($AM$11:$AM1402&lt;&gt;"")*($AS$11:$AS1402&lt;&gt;"✓")),"")</f>
        <v/>
      </c>
      <c r="AZ1402" s="21" t="str">
        <f>IF(AND($AM1402&lt;&gt;"",$AS1402="✓"),SUMPRODUCT(($AM$11:$AM1402&lt;&gt;"")*($AS$11:$AS1402="✓")),"")</f>
        <v/>
      </c>
      <c r="BA1402" s="21" t="str">
        <f>IF($AL1402="","",$AL1402&amp;"|"&amp;COUNTIF($AL$11:$AL1402,$AL1402))</f>
        <v/>
      </c>
    </row>
    <row r="1403" spans="38:53" ht="15" customHeight="1" x14ac:dyDescent="0.25">
      <c r="AL1403" s="17"/>
      <c r="AM1403" s="12"/>
      <c r="AN1403" s="18"/>
      <c r="AO1403" s="18"/>
      <c r="AP1403" s="10"/>
      <c r="AQ1403" s="10"/>
      <c r="AR1403" s="19"/>
      <c r="AS1403" s="20"/>
      <c r="AT1403" s="19"/>
      <c r="AV1403" s="21">
        <f>IF(AND($AL1403&lt;&gt;"",COUNTIF($AL$11:$AL1403,$AL1403)=1),1,0)</f>
        <v>0</v>
      </c>
      <c r="AW1403" s="21">
        <f t="shared" si="129"/>
        <v>0</v>
      </c>
      <c r="AX1403" s="21" t="str">
        <f t="shared" si="128"/>
        <v/>
      </c>
      <c r="AY1403" s="21" t="str">
        <f>IF(AND($AM1403&lt;&gt;"",$AS1403&lt;&gt;"✓"),SUMPRODUCT(($AM$11:$AM1403&lt;&gt;"")*($AS$11:$AS1403&lt;&gt;"✓")),"")</f>
        <v/>
      </c>
      <c r="AZ1403" s="21" t="str">
        <f>IF(AND($AM1403&lt;&gt;"",$AS1403="✓"),SUMPRODUCT(($AM$11:$AM1403&lt;&gt;"")*($AS$11:$AS1403="✓")),"")</f>
        <v/>
      </c>
      <c r="BA1403" s="21" t="str">
        <f>IF($AL1403="","",$AL1403&amp;"|"&amp;COUNTIF($AL$11:$AL1403,$AL1403))</f>
        <v/>
      </c>
    </row>
    <row r="1404" spans="38:53" ht="15" customHeight="1" x14ac:dyDescent="0.25">
      <c r="AL1404" s="31"/>
      <c r="AM1404" s="26"/>
      <c r="AN1404" s="32"/>
      <c r="AO1404" s="32"/>
      <c r="AP1404" s="24"/>
      <c r="AQ1404" s="24"/>
      <c r="AR1404" s="33"/>
      <c r="AS1404" s="34"/>
      <c r="AT1404" s="33"/>
      <c r="AV1404" s="21">
        <f>IF(AND($AL1404&lt;&gt;"",COUNTIF($AL$11:$AL1404,$AL1404)=1),1,0)</f>
        <v>0</v>
      </c>
      <c r="AW1404" s="21">
        <f t="shared" si="129"/>
        <v>0</v>
      </c>
      <c r="AX1404" s="21" t="str">
        <f t="shared" si="128"/>
        <v/>
      </c>
      <c r="AY1404" s="21" t="str">
        <f>IF(AND($AM1404&lt;&gt;"",$AS1404&lt;&gt;"✓"),SUMPRODUCT(($AM$11:$AM1404&lt;&gt;"")*($AS$11:$AS1404&lt;&gt;"✓")),"")</f>
        <v/>
      </c>
      <c r="AZ1404" s="21" t="str">
        <f>IF(AND($AM1404&lt;&gt;"",$AS1404="✓"),SUMPRODUCT(($AM$11:$AM1404&lt;&gt;"")*($AS$11:$AS1404="✓")),"")</f>
        <v/>
      </c>
      <c r="BA1404" s="21" t="str">
        <f>IF($AL1404="","",$AL1404&amp;"|"&amp;COUNTIF($AL$11:$AL1404,$AL1404))</f>
        <v/>
      </c>
    </row>
    <row r="1405" spans="38:53" ht="15" customHeight="1" x14ac:dyDescent="0.25">
      <c r="AL1405" s="17"/>
      <c r="AM1405" s="12"/>
      <c r="AN1405" s="18"/>
      <c r="AO1405" s="18"/>
      <c r="AP1405" s="10"/>
      <c r="AQ1405" s="10"/>
      <c r="AR1405" s="19"/>
      <c r="AS1405" s="20"/>
      <c r="AT1405" s="19"/>
      <c r="AV1405" s="21">
        <f>IF(AND($AL1405&lt;&gt;"",COUNTIF($AL$11:$AL1405,$AL1405)=1),1,0)</f>
        <v>0</v>
      </c>
      <c r="AW1405" s="21">
        <f t="shared" si="129"/>
        <v>0</v>
      </c>
      <c r="AX1405" s="21" t="str">
        <f t="shared" si="128"/>
        <v/>
      </c>
      <c r="AY1405" s="21" t="str">
        <f>IF(AND($AM1405&lt;&gt;"",$AS1405&lt;&gt;"✓"),SUMPRODUCT(($AM$11:$AM1405&lt;&gt;"")*($AS$11:$AS1405&lt;&gt;"✓")),"")</f>
        <v/>
      </c>
      <c r="AZ1405" s="21" t="str">
        <f>IF(AND($AM1405&lt;&gt;"",$AS1405="✓"),SUMPRODUCT(($AM$11:$AM1405&lt;&gt;"")*($AS$11:$AS1405="✓")),"")</f>
        <v/>
      </c>
      <c r="BA1405" s="21" t="str">
        <f>IF($AL1405="","",$AL1405&amp;"|"&amp;COUNTIF($AL$11:$AL1405,$AL1405))</f>
        <v/>
      </c>
    </row>
    <row r="1406" spans="38:53" ht="15" customHeight="1" x14ac:dyDescent="0.25">
      <c r="AL1406" s="31"/>
      <c r="AM1406" s="26"/>
      <c r="AN1406" s="32"/>
      <c r="AO1406" s="32"/>
      <c r="AP1406" s="24"/>
      <c r="AQ1406" s="24"/>
      <c r="AR1406" s="33"/>
      <c r="AS1406" s="34"/>
      <c r="AT1406" s="33"/>
      <c r="AV1406" s="21">
        <f>IF(AND($AL1406&lt;&gt;"",COUNTIF($AL$11:$AL1406,$AL1406)=1),1,0)</f>
        <v>0</v>
      </c>
      <c r="AW1406" s="21">
        <f t="shared" si="129"/>
        <v>0</v>
      </c>
      <c r="AX1406" s="21" t="str">
        <f t="shared" si="128"/>
        <v/>
      </c>
      <c r="AY1406" s="21" t="str">
        <f>IF(AND($AM1406&lt;&gt;"",$AS1406&lt;&gt;"✓"),SUMPRODUCT(($AM$11:$AM1406&lt;&gt;"")*($AS$11:$AS1406&lt;&gt;"✓")),"")</f>
        <v/>
      </c>
      <c r="AZ1406" s="21" t="str">
        <f>IF(AND($AM1406&lt;&gt;"",$AS1406="✓"),SUMPRODUCT(($AM$11:$AM1406&lt;&gt;"")*($AS$11:$AS1406="✓")),"")</f>
        <v/>
      </c>
      <c r="BA1406" s="21" t="str">
        <f>IF($AL1406="","",$AL1406&amp;"|"&amp;COUNTIF($AL$11:$AL1406,$AL1406))</f>
        <v/>
      </c>
    </row>
    <row r="1407" spans="38:53" ht="15" customHeight="1" x14ac:dyDescent="0.25">
      <c r="AL1407" s="17"/>
      <c r="AM1407" s="12"/>
      <c r="AN1407" s="18"/>
      <c r="AO1407" s="18"/>
      <c r="AP1407" s="10"/>
      <c r="AQ1407" s="10"/>
      <c r="AR1407" s="19"/>
      <c r="AS1407" s="20"/>
      <c r="AT1407" s="19"/>
      <c r="AV1407" s="21">
        <f>IF(AND($AL1407&lt;&gt;"",COUNTIF($AL$11:$AL1407,$AL1407)=1),1,0)</f>
        <v>0</v>
      </c>
      <c r="AW1407" s="21">
        <f t="shared" si="129"/>
        <v>0</v>
      </c>
      <c r="AX1407" s="21" t="str">
        <f t="shared" si="128"/>
        <v/>
      </c>
      <c r="AY1407" s="21" t="str">
        <f>IF(AND($AM1407&lt;&gt;"",$AS1407&lt;&gt;"✓"),SUMPRODUCT(($AM$11:$AM1407&lt;&gt;"")*($AS$11:$AS1407&lt;&gt;"✓")),"")</f>
        <v/>
      </c>
      <c r="AZ1407" s="21" t="str">
        <f>IF(AND($AM1407&lt;&gt;"",$AS1407="✓"),SUMPRODUCT(($AM$11:$AM1407&lt;&gt;"")*($AS$11:$AS1407="✓")),"")</f>
        <v/>
      </c>
      <c r="BA1407" s="21" t="str">
        <f>IF($AL1407="","",$AL1407&amp;"|"&amp;COUNTIF($AL$11:$AL1407,$AL1407))</f>
        <v/>
      </c>
    </row>
    <row r="1408" spans="38:53" ht="15" customHeight="1" x14ac:dyDescent="0.25">
      <c r="AL1408" s="31"/>
      <c r="AM1408" s="26"/>
      <c r="AN1408" s="32"/>
      <c r="AO1408" s="32"/>
      <c r="AP1408" s="24"/>
      <c r="AQ1408" s="24"/>
      <c r="AR1408" s="33"/>
      <c r="AS1408" s="34"/>
      <c r="AT1408" s="33"/>
      <c r="AV1408" s="21">
        <f>IF(AND($AL1408&lt;&gt;"",COUNTIF($AL$11:$AL1408,$AL1408)=1),1,0)</f>
        <v>0</v>
      </c>
      <c r="AW1408" s="21">
        <f t="shared" si="129"/>
        <v>0</v>
      </c>
      <c r="AX1408" s="21" t="str">
        <f t="shared" si="128"/>
        <v/>
      </c>
      <c r="AY1408" s="21" t="str">
        <f>IF(AND($AM1408&lt;&gt;"",$AS1408&lt;&gt;"✓"),SUMPRODUCT(($AM$11:$AM1408&lt;&gt;"")*($AS$11:$AS1408&lt;&gt;"✓")),"")</f>
        <v/>
      </c>
      <c r="AZ1408" s="21" t="str">
        <f>IF(AND($AM1408&lt;&gt;"",$AS1408="✓"),SUMPRODUCT(($AM$11:$AM1408&lt;&gt;"")*($AS$11:$AS1408="✓")),"")</f>
        <v/>
      </c>
      <c r="BA1408" s="21" t="str">
        <f>IF($AL1408="","",$AL1408&amp;"|"&amp;COUNTIF($AL$11:$AL1408,$AL1408))</f>
        <v/>
      </c>
    </row>
    <row r="1409" spans="38:53" ht="15" customHeight="1" x14ac:dyDescent="0.25">
      <c r="AL1409" s="17"/>
      <c r="AM1409" s="12"/>
      <c r="AN1409" s="18"/>
      <c r="AO1409" s="18"/>
      <c r="AP1409" s="10"/>
      <c r="AQ1409" s="10"/>
      <c r="AR1409" s="19"/>
      <c r="AS1409" s="20"/>
      <c r="AT1409" s="19"/>
      <c r="AV1409" s="21">
        <f>IF(AND($AL1409&lt;&gt;"",COUNTIF($AL$11:$AL1409,$AL1409)=1),1,0)</f>
        <v>0</v>
      </c>
      <c r="AW1409" s="21">
        <f t="shared" si="129"/>
        <v>0</v>
      </c>
      <c r="AX1409" s="21" t="str">
        <f t="shared" si="128"/>
        <v/>
      </c>
      <c r="AY1409" s="21" t="str">
        <f>IF(AND($AM1409&lt;&gt;"",$AS1409&lt;&gt;"✓"),SUMPRODUCT(($AM$11:$AM1409&lt;&gt;"")*($AS$11:$AS1409&lt;&gt;"✓")),"")</f>
        <v/>
      </c>
      <c r="AZ1409" s="21" t="str">
        <f>IF(AND($AM1409&lt;&gt;"",$AS1409="✓"),SUMPRODUCT(($AM$11:$AM1409&lt;&gt;"")*($AS$11:$AS1409="✓")),"")</f>
        <v/>
      </c>
      <c r="BA1409" s="21" t="str">
        <f>IF($AL1409="","",$AL1409&amp;"|"&amp;COUNTIF($AL$11:$AL1409,$AL1409))</f>
        <v/>
      </c>
    </row>
    <row r="1410" spans="38:53" ht="15" customHeight="1" x14ac:dyDescent="0.25">
      <c r="AL1410" s="31"/>
      <c r="AM1410" s="26"/>
      <c r="AN1410" s="32"/>
      <c r="AO1410" s="32"/>
      <c r="AP1410" s="24"/>
      <c r="AQ1410" s="24"/>
      <c r="AR1410" s="33"/>
      <c r="AS1410" s="34"/>
      <c r="AT1410" s="33"/>
      <c r="AV1410" s="21">
        <f>IF(AND($AL1410&lt;&gt;"",COUNTIF($AL$11:$AL1410,$AL1410)=1),1,0)</f>
        <v>0</v>
      </c>
      <c r="AW1410" s="21">
        <f t="shared" si="129"/>
        <v>0</v>
      </c>
      <c r="AX1410" s="21" t="str">
        <f t="shared" si="128"/>
        <v/>
      </c>
      <c r="AY1410" s="21" t="str">
        <f>IF(AND($AM1410&lt;&gt;"",$AS1410&lt;&gt;"✓"),SUMPRODUCT(($AM$11:$AM1410&lt;&gt;"")*($AS$11:$AS1410&lt;&gt;"✓")),"")</f>
        <v/>
      </c>
      <c r="AZ1410" s="21" t="str">
        <f>IF(AND($AM1410&lt;&gt;"",$AS1410="✓"),SUMPRODUCT(($AM$11:$AM1410&lt;&gt;"")*($AS$11:$AS1410="✓")),"")</f>
        <v/>
      </c>
      <c r="BA1410" s="21" t="str">
        <f>IF($AL1410="","",$AL1410&amp;"|"&amp;COUNTIF($AL$11:$AL1410,$AL1410))</f>
        <v/>
      </c>
    </row>
    <row r="1411" spans="38:53" ht="15" customHeight="1" x14ac:dyDescent="0.25">
      <c r="AL1411" s="17"/>
      <c r="AM1411" s="12"/>
      <c r="AN1411" s="18"/>
      <c r="AO1411" s="18"/>
      <c r="AP1411" s="10"/>
      <c r="AQ1411" s="10"/>
      <c r="AR1411" s="19"/>
      <c r="AS1411" s="20"/>
      <c r="AT1411" s="19"/>
      <c r="AV1411" s="21">
        <f>IF(AND($AL1411&lt;&gt;"",COUNTIF($AL$11:$AL1411,$AL1411)=1),1,0)</f>
        <v>0</v>
      </c>
      <c r="AW1411" s="21">
        <f t="shared" si="129"/>
        <v>0</v>
      </c>
      <c r="AX1411" s="21" t="str">
        <f t="shared" si="128"/>
        <v/>
      </c>
      <c r="AY1411" s="21" t="str">
        <f>IF(AND($AM1411&lt;&gt;"",$AS1411&lt;&gt;"✓"),SUMPRODUCT(($AM$11:$AM1411&lt;&gt;"")*($AS$11:$AS1411&lt;&gt;"✓")),"")</f>
        <v/>
      </c>
      <c r="AZ1411" s="21" t="str">
        <f>IF(AND($AM1411&lt;&gt;"",$AS1411="✓"),SUMPRODUCT(($AM$11:$AM1411&lt;&gt;"")*($AS$11:$AS1411="✓")),"")</f>
        <v/>
      </c>
      <c r="BA1411" s="21" t="str">
        <f>IF($AL1411="","",$AL1411&amp;"|"&amp;COUNTIF($AL$11:$AL1411,$AL1411))</f>
        <v/>
      </c>
    </row>
    <row r="1412" spans="38:53" ht="15" customHeight="1" x14ac:dyDescent="0.25">
      <c r="AL1412" s="31"/>
      <c r="AM1412" s="26"/>
      <c r="AN1412" s="32"/>
      <c r="AO1412" s="32"/>
      <c r="AP1412" s="24"/>
      <c r="AQ1412" s="24"/>
      <c r="AR1412" s="33"/>
      <c r="AS1412" s="34"/>
      <c r="AT1412" s="33"/>
      <c r="AV1412" s="21">
        <f>IF(AND($AL1412&lt;&gt;"",COUNTIF($AL$11:$AL1412,$AL1412)=1),1,0)</f>
        <v>0</v>
      </c>
      <c r="AW1412" s="21">
        <f t="shared" si="129"/>
        <v>0</v>
      </c>
      <c r="AX1412" s="21" t="str">
        <f t="shared" si="128"/>
        <v/>
      </c>
      <c r="AY1412" s="21" t="str">
        <f>IF(AND($AM1412&lt;&gt;"",$AS1412&lt;&gt;"✓"),SUMPRODUCT(($AM$11:$AM1412&lt;&gt;"")*($AS$11:$AS1412&lt;&gt;"✓")),"")</f>
        <v/>
      </c>
      <c r="AZ1412" s="21" t="str">
        <f>IF(AND($AM1412&lt;&gt;"",$AS1412="✓"),SUMPRODUCT(($AM$11:$AM1412&lt;&gt;"")*($AS$11:$AS1412="✓")),"")</f>
        <v/>
      </c>
      <c r="BA1412" s="21" t="str">
        <f>IF($AL1412="","",$AL1412&amp;"|"&amp;COUNTIF($AL$11:$AL1412,$AL1412))</f>
        <v/>
      </c>
    </row>
    <row r="1413" spans="38:53" ht="15" customHeight="1" x14ac:dyDescent="0.25">
      <c r="AL1413" s="17"/>
      <c r="AM1413" s="12"/>
      <c r="AN1413" s="18"/>
      <c r="AO1413" s="18"/>
      <c r="AP1413" s="10"/>
      <c r="AQ1413" s="10"/>
      <c r="AR1413" s="19"/>
      <c r="AS1413" s="20"/>
      <c r="AT1413" s="19"/>
      <c r="AV1413" s="21">
        <f>IF(AND($AL1413&lt;&gt;"",COUNTIF($AL$11:$AL1413,$AL1413)=1),1,0)</f>
        <v>0</v>
      </c>
      <c r="AW1413" s="21">
        <f t="shared" si="129"/>
        <v>0</v>
      </c>
      <c r="AX1413" s="21" t="str">
        <f t="shared" si="128"/>
        <v/>
      </c>
      <c r="AY1413" s="21" t="str">
        <f>IF(AND($AM1413&lt;&gt;"",$AS1413&lt;&gt;"✓"),SUMPRODUCT(($AM$11:$AM1413&lt;&gt;"")*($AS$11:$AS1413&lt;&gt;"✓")),"")</f>
        <v/>
      </c>
      <c r="AZ1413" s="21" t="str">
        <f>IF(AND($AM1413&lt;&gt;"",$AS1413="✓"),SUMPRODUCT(($AM$11:$AM1413&lt;&gt;"")*($AS$11:$AS1413="✓")),"")</f>
        <v/>
      </c>
      <c r="BA1413" s="21" t="str">
        <f>IF($AL1413="","",$AL1413&amp;"|"&amp;COUNTIF($AL$11:$AL1413,$AL1413))</f>
        <v/>
      </c>
    </row>
    <row r="1414" spans="38:53" ht="15" customHeight="1" x14ac:dyDescent="0.25">
      <c r="AL1414" s="31"/>
      <c r="AM1414" s="26"/>
      <c r="AN1414" s="32"/>
      <c r="AO1414" s="32"/>
      <c r="AP1414" s="24"/>
      <c r="AQ1414" s="24"/>
      <c r="AR1414" s="33"/>
      <c r="AS1414" s="34"/>
      <c r="AT1414" s="33"/>
      <c r="AV1414" s="21">
        <f>IF(AND($AL1414&lt;&gt;"",COUNTIF($AL$11:$AL1414,$AL1414)=1),1,0)</f>
        <v>0</v>
      </c>
      <c r="AW1414" s="21">
        <f t="shared" si="129"/>
        <v>0</v>
      </c>
      <c r="AX1414" s="21" t="str">
        <f t="shared" si="128"/>
        <v/>
      </c>
      <c r="AY1414" s="21" t="str">
        <f>IF(AND($AM1414&lt;&gt;"",$AS1414&lt;&gt;"✓"),SUMPRODUCT(($AM$11:$AM1414&lt;&gt;"")*($AS$11:$AS1414&lt;&gt;"✓")),"")</f>
        <v/>
      </c>
      <c r="AZ1414" s="21" t="str">
        <f>IF(AND($AM1414&lt;&gt;"",$AS1414="✓"),SUMPRODUCT(($AM$11:$AM1414&lt;&gt;"")*($AS$11:$AS1414="✓")),"")</f>
        <v/>
      </c>
      <c r="BA1414" s="21" t="str">
        <f>IF($AL1414="","",$AL1414&amp;"|"&amp;COUNTIF($AL$11:$AL1414,$AL1414))</f>
        <v/>
      </c>
    </row>
    <row r="1415" spans="38:53" ht="15" customHeight="1" x14ac:dyDescent="0.25">
      <c r="AL1415" s="17"/>
      <c r="AM1415" s="12"/>
      <c r="AN1415" s="18"/>
      <c r="AO1415" s="18"/>
      <c r="AP1415" s="10"/>
      <c r="AQ1415" s="10"/>
      <c r="AR1415" s="19"/>
      <c r="AS1415" s="20"/>
      <c r="AT1415" s="19"/>
      <c r="AV1415" s="21">
        <f>IF(AND($AL1415&lt;&gt;"",COUNTIF($AL$11:$AL1415,$AL1415)=1),1,0)</f>
        <v>0</v>
      </c>
      <c r="AW1415" s="21">
        <f t="shared" si="129"/>
        <v>0</v>
      </c>
      <c r="AX1415" s="21" t="str">
        <f t="shared" si="128"/>
        <v/>
      </c>
      <c r="AY1415" s="21" t="str">
        <f>IF(AND($AM1415&lt;&gt;"",$AS1415&lt;&gt;"✓"),SUMPRODUCT(($AM$11:$AM1415&lt;&gt;"")*($AS$11:$AS1415&lt;&gt;"✓")),"")</f>
        <v/>
      </c>
      <c r="AZ1415" s="21" t="str">
        <f>IF(AND($AM1415&lt;&gt;"",$AS1415="✓"),SUMPRODUCT(($AM$11:$AM1415&lt;&gt;"")*($AS$11:$AS1415="✓")),"")</f>
        <v/>
      </c>
      <c r="BA1415" s="21" t="str">
        <f>IF($AL1415="","",$AL1415&amp;"|"&amp;COUNTIF($AL$11:$AL1415,$AL1415))</f>
        <v/>
      </c>
    </row>
    <row r="1416" spans="38:53" ht="15" customHeight="1" x14ac:dyDescent="0.25">
      <c r="AL1416" s="31"/>
      <c r="AM1416" s="26"/>
      <c r="AN1416" s="32"/>
      <c r="AO1416" s="32"/>
      <c r="AP1416" s="24"/>
      <c r="AQ1416" s="24"/>
      <c r="AR1416" s="33"/>
      <c r="AS1416" s="34"/>
      <c r="AT1416" s="33"/>
      <c r="AV1416" s="21">
        <f>IF(AND($AL1416&lt;&gt;"",COUNTIF($AL$11:$AL1416,$AL1416)=1),1,0)</f>
        <v>0</v>
      </c>
      <c r="AW1416" s="21">
        <f t="shared" si="129"/>
        <v>0</v>
      </c>
      <c r="AX1416" s="21" t="str">
        <f t="shared" si="128"/>
        <v/>
      </c>
      <c r="AY1416" s="21" t="str">
        <f>IF(AND($AM1416&lt;&gt;"",$AS1416&lt;&gt;"✓"),SUMPRODUCT(($AM$11:$AM1416&lt;&gt;"")*($AS$11:$AS1416&lt;&gt;"✓")),"")</f>
        <v/>
      </c>
      <c r="AZ1416" s="21" t="str">
        <f>IF(AND($AM1416&lt;&gt;"",$AS1416="✓"),SUMPRODUCT(($AM$11:$AM1416&lt;&gt;"")*($AS$11:$AS1416="✓")),"")</f>
        <v/>
      </c>
      <c r="BA1416" s="21" t="str">
        <f>IF($AL1416="","",$AL1416&amp;"|"&amp;COUNTIF($AL$11:$AL1416,$AL1416))</f>
        <v/>
      </c>
    </row>
    <row r="1417" spans="38:53" ht="15" customHeight="1" x14ac:dyDescent="0.25">
      <c r="AL1417" s="17"/>
      <c r="AM1417" s="12"/>
      <c r="AN1417" s="18"/>
      <c r="AO1417" s="18"/>
      <c r="AP1417" s="10"/>
      <c r="AQ1417" s="10"/>
      <c r="AR1417" s="19"/>
      <c r="AS1417" s="20"/>
      <c r="AT1417" s="19"/>
      <c r="AV1417" s="21">
        <f>IF(AND($AL1417&lt;&gt;"",COUNTIF($AL$11:$AL1417,$AL1417)=1),1,0)</f>
        <v>0</v>
      </c>
      <c r="AW1417" s="21">
        <f t="shared" si="129"/>
        <v>0</v>
      </c>
      <c r="AX1417" s="21" t="str">
        <f t="shared" si="128"/>
        <v/>
      </c>
      <c r="AY1417" s="21" t="str">
        <f>IF(AND($AM1417&lt;&gt;"",$AS1417&lt;&gt;"✓"),SUMPRODUCT(($AM$11:$AM1417&lt;&gt;"")*($AS$11:$AS1417&lt;&gt;"✓")),"")</f>
        <v/>
      </c>
      <c r="AZ1417" s="21" t="str">
        <f>IF(AND($AM1417&lt;&gt;"",$AS1417="✓"),SUMPRODUCT(($AM$11:$AM1417&lt;&gt;"")*($AS$11:$AS1417="✓")),"")</f>
        <v/>
      </c>
      <c r="BA1417" s="21" t="str">
        <f>IF($AL1417="","",$AL1417&amp;"|"&amp;COUNTIF($AL$11:$AL1417,$AL1417))</f>
        <v/>
      </c>
    </row>
    <row r="1418" spans="38:53" ht="15" customHeight="1" x14ac:dyDescent="0.25">
      <c r="AL1418" s="31"/>
      <c r="AM1418" s="26"/>
      <c r="AN1418" s="32"/>
      <c r="AO1418" s="32"/>
      <c r="AP1418" s="24"/>
      <c r="AQ1418" s="24"/>
      <c r="AR1418" s="33"/>
      <c r="AS1418" s="34"/>
      <c r="AT1418" s="33"/>
      <c r="AV1418" s="21">
        <f>IF(AND($AL1418&lt;&gt;"",COUNTIF($AL$11:$AL1418,$AL1418)=1),1,0)</f>
        <v>0</v>
      </c>
      <c r="AW1418" s="21">
        <f t="shared" si="129"/>
        <v>0</v>
      </c>
      <c r="AX1418" s="21" t="str">
        <f t="shared" si="128"/>
        <v/>
      </c>
      <c r="AY1418" s="21" t="str">
        <f>IF(AND($AM1418&lt;&gt;"",$AS1418&lt;&gt;"✓"),SUMPRODUCT(($AM$11:$AM1418&lt;&gt;"")*($AS$11:$AS1418&lt;&gt;"✓")),"")</f>
        <v/>
      </c>
      <c r="AZ1418" s="21" t="str">
        <f>IF(AND($AM1418&lt;&gt;"",$AS1418="✓"),SUMPRODUCT(($AM$11:$AM1418&lt;&gt;"")*($AS$11:$AS1418="✓")),"")</f>
        <v/>
      </c>
      <c r="BA1418" s="21" t="str">
        <f>IF($AL1418="","",$AL1418&amp;"|"&amp;COUNTIF($AL$11:$AL1418,$AL1418))</f>
        <v/>
      </c>
    </row>
    <row r="1419" spans="38:53" ht="15" customHeight="1" x14ac:dyDescent="0.25">
      <c r="AL1419" s="17"/>
      <c r="AM1419" s="12"/>
      <c r="AN1419" s="18"/>
      <c r="AO1419" s="18"/>
      <c r="AP1419" s="10"/>
      <c r="AQ1419" s="10"/>
      <c r="AR1419" s="19"/>
      <c r="AS1419" s="20"/>
      <c r="AT1419" s="19"/>
      <c r="AV1419" s="21">
        <f>IF(AND($AL1419&lt;&gt;"",COUNTIF($AL$11:$AL1419,$AL1419)=1),1,0)</f>
        <v>0</v>
      </c>
      <c r="AW1419" s="21">
        <f t="shared" si="129"/>
        <v>0</v>
      </c>
      <c r="AX1419" s="21" t="str">
        <f t="shared" ref="AX1419:AX1482" si="130">IF(AV1419=1,AW1419,"")</f>
        <v/>
      </c>
      <c r="AY1419" s="21" t="str">
        <f>IF(AND($AM1419&lt;&gt;"",$AS1419&lt;&gt;"✓"),SUMPRODUCT(($AM$11:$AM1419&lt;&gt;"")*($AS$11:$AS1419&lt;&gt;"✓")),"")</f>
        <v/>
      </c>
      <c r="AZ1419" s="21" t="str">
        <f>IF(AND($AM1419&lt;&gt;"",$AS1419="✓"),SUMPRODUCT(($AM$11:$AM1419&lt;&gt;"")*($AS$11:$AS1419="✓")),"")</f>
        <v/>
      </c>
      <c r="BA1419" s="21" t="str">
        <f>IF($AL1419="","",$AL1419&amp;"|"&amp;COUNTIF($AL$11:$AL1419,$AL1419))</f>
        <v/>
      </c>
    </row>
    <row r="1420" spans="38:53" ht="15" customHeight="1" x14ac:dyDescent="0.25">
      <c r="AL1420" s="31"/>
      <c r="AM1420" s="26"/>
      <c r="AN1420" s="32"/>
      <c r="AO1420" s="32"/>
      <c r="AP1420" s="24"/>
      <c r="AQ1420" s="24"/>
      <c r="AR1420" s="33"/>
      <c r="AS1420" s="34"/>
      <c r="AT1420" s="33"/>
      <c r="AV1420" s="21">
        <f>IF(AND($AL1420&lt;&gt;"",COUNTIF($AL$11:$AL1420,$AL1420)=1),1,0)</f>
        <v>0</v>
      </c>
      <c r="AW1420" s="21">
        <f t="shared" ref="AW1420:AW1483" si="131">AW1419+AV1420</f>
        <v>0</v>
      </c>
      <c r="AX1420" s="21" t="str">
        <f t="shared" si="130"/>
        <v/>
      </c>
      <c r="AY1420" s="21" t="str">
        <f>IF(AND($AM1420&lt;&gt;"",$AS1420&lt;&gt;"✓"),SUMPRODUCT(($AM$11:$AM1420&lt;&gt;"")*($AS$11:$AS1420&lt;&gt;"✓")),"")</f>
        <v/>
      </c>
      <c r="AZ1420" s="21" t="str">
        <f>IF(AND($AM1420&lt;&gt;"",$AS1420="✓"),SUMPRODUCT(($AM$11:$AM1420&lt;&gt;"")*($AS$11:$AS1420="✓")),"")</f>
        <v/>
      </c>
      <c r="BA1420" s="21" t="str">
        <f>IF($AL1420="","",$AL1420&amp;"|"&amp;COUNTIF($AL$11:$AL1420,$AL1420))</f>
        <v/>
      </c>
    </row>
    <row r="1421" spans="38:53" ht="15" customHeight="1" x14ac:dyDescent="0.25">
      <c r="AL1421" s="17"/>
      <c r="AM1421" s="12"/>
      <c r="AN1421" s="18"/>
      <c r="AO1421" s="18"/>
      <c r="AP1421" s="10"/>
      <c r="AQ1421" s="10"/>
      <c r="AR1421" s="19"/>
      <c r="AS1421" s="20"/>
      <c r="AT1421" s="19"/>
      <c r="AV1421" s="21">
        <f>IF(AND($AL1421&lt;&gt;"",COUNTIF($AL$11:$AL1421,$AL1421)=1),1,0)</f>
        <v>0</v>
      </c>
      <c r="AW1421" s="21">
        <f t="shared" si="131"/>
        <v>0</v>
      </c>
      <c r="AX1421" s="21" t="str">
        <f t="shared" si="130"/>
        <v/>
      </c>
      <c r="AY1421" s="21" t="str">
        <f>IF(AND($AM1421&lt;&gt;"",$AS1421&lt;&gt;"✓"),SUMPRODUCT(($AM$11:$AM1421&lt;&gt;"")*($AS$11:$AS1421&lt;&gt;"✓")),"")</f>
        <v/>
      </c>
      <c r="AZ1421" s="21" t="str">
        <f>IF(AND($AM1421&lt;&gt;"",$AS1421="✓"),SUMPRODUCT(($AM$11:$AM1421&lt;&gt;"")*($AS$11:$AS1421="✓")),"")</f>
        <v/>
      </c>
      <c r="BA1421" s="21" t="str">
        <f>IF($AL1421="","",$AL1421&amp;"|"&amp;COUNTIF($AL$11:$AL1421,$AL1421))</f>
        <v/>
      </c>
    </row>
    <row r="1422" spans="38:53" ht="15" customHeight="1" x14ac:dyDescent="0.25">
      <c r="AL1422" s="31"/>
      <c r="AM1422" s="26"/>
      <c r="AN1422" s="32"/>
      <c r="AO1422" s="32"/>
      <c r="AP1422" s="24"/>
      <c r="AQ1422" s="24"/>
      <c r="AR1422" s="33"/>
      <c r="AS1422" s="34"/>
      <c r="AT1422" s="33"/>
      <c r="AV1422" s="21">
        <f>IF(AND($AL1422&lt;&gt;"",COUNTIF($AL$11:$AL1422,$AL1422)=1),1,0)</f>
        <v>0</v>
      </c>
      <c r="AW1422" s="21">
        <f t="shared" si="131"/>
        <v>0</v>
      </c>
      <c r="AX1422" s="21" t="str">
        <f t="shared" si="130"/>
        <v/>
      </c>
      <c r="AY1422" s="21" t="str">
        <f>IF(AND($AM1422&lt;&gt;"",$AS1422&lt;&gt;"✓"),SUMPRODUCT(($AM$11:$AM1422&lt;&gt;"")*($AS$11:$AS1422&lt;&gt;"✓")),"")</f>
        <v/>
      </c>
      <c r="AZ1422" s="21" t="str">
        <f>IF(AND($AM1422&lt;&gt;"",$AS1422="✓"),SUMPRODUCT(($AM$11:$AM1422&lt;&gt;"")*($AS$11:$AS1422="✓")),"")</f>
        <v/>
      </c>
      <c r="BA1422" s="21" t="str">
        <f>IF($AL1422="","",$AL1422&amp;"|"&amp;COUNTIF($AL$11:$AL1422,$AL1422))</f>
        <v/>
      </c>
    </row>
    <row r="1423" spans="38:53" ht="15" customHeight="1" x14ac:dyDescent="0.25">
      <c r="AL1423" s="17"/>
      <c r="AM1423" s="12"/>
      <c r="AN1423" s="18"/>
      <c r="AO1423" s="18"/>
      <c r="AP1423" s="10"/>
      <c r="AQ1423" s="10"/>
      <c r="AR1423" s="19"/>
      <c r="AS1423" s="20"/>
      <c r="AT1423" s="19"/>
      <c r="AV1423" s="21">
        <f>IF(AND($AL1423&lt;&gt;"",COUNTIF($AL$11:$AL1423,$AL1423)=1),1,0)</f>
        <v>0</v>
      </c>
      <c r="AW1423" s="21">
        <f t="shared" si="131"/>
        <v>0</v>
      </c>
      <c r="AX1423" s="21" t="str">
        <f t="shared" si="130"/>
        <v/>
      </c>
      <c r="AY1423" s="21" t="str">
        <f>IF(AND($AM1423&lt;&gt;"",$AS1423&lt;&gt;"✓"),SUMPRODUCT(($AM$11:$AM1423&lt;&gt;"")*($AS$11:$AS1423&lt;&gt;"✓")),"")</f>
        <v/>
      </c>
      <c r="AZ1423" s="21" t="str">
        <f>IF(AND($AM1423&lt;&gt;"",$AS1423="✓"),SUMPRODUCT(($AM$11:$AM1423&lt;&gt;"")*($AS$11:$AS1423="✓")),"")</f>
        <v/>
      </c>
      <c r="BA1423" s="21" t="str">
        <f>IF($AL1423="","",$AL1423&amp;"|"&amp;COUNTIF($AL$11:$AL1423,$AL1423))</f>
        <v/>
      </c>
    </row>
    <row r="1424" spans="38:53" ht="15" customHeight="1" x14ac:dyDescent="0.25">
      <c r="AL1424" s="31"/>
      <c r="AM1424" s="26"/>
      <c r="AN1424" s="32"/>
      <c r="AO1424" s="32"/>
      <c r="AP1424" s="24"/>
      <c r="AQ1424" s="24"/>
      <c r="AR1424" s="33"/>
      <c r="AS1424" s="34"/>
      <c r="AT1424" s="33"/>
      <c r="AV1424" s="21">
        <f>IF(AND($AL1424&lt;&gt;"",COUNTIF($AL$11:$AL1424,$AL1424)=1),1,0)</f>
        <v>0</v>
      </c>
      <c r="AW1424" s="21">
        <f t="shared" si="131"/>
        <v>0</v>
      </c>
      <c r="AX1424" s="21" t="str">
        <f t="shared" si="130"/>
        <v/>
      </c>
      <c r="AY1424" s="21" t="str">
        <f>IF(AND($AM1424&lt;&gt;"",$AS1424&lt;&gt;"✓"),SUMPRODUCT(($AM$11:$AM1424&lt;&gt;"")*($AS$11:$AS1424&lt;&gt;"✓")),"")</f>
        <v/>
      </c>
      <c r="AZ1424" s="21" t="str">
        <f>IF(AND($AM1424&lt;&gt;"",$AS1424="✓"),SUMPRODUCT(($AM$11:$AM1424&lt;&gt;"")*($AS$11:$AS1424="✓")),"")</f>
        <v/>
      </c>
      <c r="BA1424" s="21" t="str">
        <f>IF($AL1424="","",$AL1424&amp;"|"&amp;COUNTIF($AL$11:$AL1424,$AL1424))</f>
        <v/>
      </c>
    </row>
    <row r="1425" spans="38:53" ht="15" customHeight="1" x14ac:dyDescent="0.25">
      <c r="AL1425" s="17"/>
      <c r="AM1425" s="12"/>
      <c r="AN1425" s="18"/>
      <c r="AO1425" s="18"/>
      <c r="AP1425" s="10"/>
      <c r="AQ1425" s="10"/>
      <c r="AR1425" s="19"/>
      <c r="AS1425" s="20"/>
      <c r="AT1425" s="19"/>
      <c r="AV1425" s="21">
        <f>IF(AND($AL1425&lt;&gt;"",COUNTIF($AL$11:$AL1425,$AL1425)=1),1,0)</f>
        <v>0</v>
      </c>
      <c r="AW1425" s="21">
        <f t="shared" si="131"/>
        <v>0</v>
      </c>
      <c r="AX1425" s="21" t="str">
        <f t="shared" si="130"/>
        <v/>
      </c>
      <c r="AY1425" s="21" t="str">
        <f>IF(AND($AM1425&lt;&gt;"",$AS1425&lt;&gt;"✓"),SUMPRODUCT(($AM$11:$AM1425&lt;&gt;"")*($AS$11:$AS1425&lt;&gt;"✓")),"")</f>
        <v/>
      </c>
      <c r="AZ1425" s="21" t="str">
        <f>IF(AND($AM1425&lt;&gt;"",$AS1425="✓"),SUMPRODUCT(($AM$11:$AM1425&lt;&gt;"")*($AS$11:$AS1425="✓")),"")</f>
        <v/>
      </c>
      <c r="BA1425" s="21" t="str">
        <f>IF($AL1425="","",$AL1425&amp;"|"&amp;COUNTIF($AL$11:$AL1425,$AL1425))</f>
        <v/>
      </c>
    </row>
    <row r="1426" spans="38:53" ht="15" customHeight="1" x14ac:dyDescent="0.25">
      <c r="AL1426" s="31"/>
      <c r="AM1426" s="26"/>
      <c r="AN1426" s="32"/>
      <c r="AO1426" s="32"/>
      <c r="AP1426" s="24"/>
      <c r="AQ1426" s="24"/>
      <c r="AR1426" s="33"/>
      <c r="AS1426" s="34"/>
      <c r="AT1426" s="33"/>
      <c r="AV1426" s="21">
        <f>IF(AND($AL1426&lt;&gt;"",COUNTIF($AL$11:$AL1426,$AL1426)=1),1,0)</f>
        <v>0</v>
      </c>
      <c r="AW1426" s="21">
        <f t="shared" si="131"/>
        <v>0</v>
      </c>
      <c r="AX1426" s="21" t="str">
        <f t="shared" si="130"/>
        <v/>
      </c>
      <c r="AY1426" s="21" t="str">
        <f>IF(AND($AM1426&lt;&gt;"",$AS1426&lt;&gt;"✓"),SUMPRODUCT(($AM$11:$AM1426&lt;&gt;"")*($AS$11:$AS1426&lt;&gt;"✓")),"")</f>
        <v/>
      </c>
      <c r="AZ1426" s="21" t="str">
        <f>IF(AND($AM1426&lt;&gt;"",$AS1426="✓"),SUMPRODUCT(($AM$11:$AM1426&lt;&gt;"")*($AS$11:$AS1426="✓")),"")</f>
        <v/>
      </c>
      <c r="BA1426" s="21" t="str">
        <f>IF($AL1426="","",$AL1426&amp;"|"&amp;COUNTIF($AL$11:$AL1426,$AL1426))</f>
        <v/>
      </c>
    </row>
    <row r="1427" spans="38:53" ht="15" customHeight="1" x14ac:dyDescent="0.25">
      <c r="AL1427" s="17"/>
      <c r="AM1427" s="12"/>
      <c r="AN1427" s="18"/>
      <c r="AO1427" s="18"/>
      <c r="AP1427" s="10"/>
      <c r="AQ1427" s="10"/>
      <c r="AR1427" s="19"/>
      <c r="AS1427" s="20"/>
      <c r="AT1427" s="19"/>
      <c r="AV1427" s="21">
        <f>IF(AND($AL1427&lt;&gt;"",COUNTIF($AL$11:$AL1427,$AL1427)=1),1,0)</f>
        <v>0</v>
      </c>
      <c r="AW1427" s="21">
        <f t="shared" si="131"/>
        <v>0</v>
      </c>
      <c r="AX1427" s="21" t="str">
        <f t="shared" si="130"/>
        <v/>
      </c>
      <c r="AY1427" s="21" t="str">
        <f>IF(AND($AM1427&lt;&gt;"",$AS1427&lt;&gt;"✓"),SUMPRODUCT(($AM$11:$AM1427&lt;&gt;"")*($AS$11:$AS1427&lt;&gt;"✓")),"")</f>
        <v/>
      </c>
      <c r="AZ1427" s="21" t="str">
        <f>IF(AND($AM1427&lt;&gt;"",$AS1427="✓"),SUMPRODUCT(($AM$11:$AM1427&lt;&gt;"")*($AS$11:$AS1427="✓")),"")</f>
        <v/>
      </c>
      <c r="BA1427" s="21" t="str">
        <f>IF($AL1427="","",$AL1427&amp;"|"&amp;COUNTIF($AL$11:$AL1427,$AL1427))</f>
        <v/>
      </c>
    </row>
    <row r="1428" spans="38:53" ht="15" customHeight="1" x14ac:dyDescent="0.25">
      <c r="AL1428" s="31"/>
      <c r="AM1428" s="26"/>
      <c r="AN1428" s="32"/>
      <c r="AO1428" s="32"/>
      <c r="AP1428" s="24"/>
      <c r="AQ1428" s="24"/>
      <c r="AR1428" s="33"/>
      <c r="AS1428" s="34"/>
      <c r="AT1428" s="33"/>
      <c r="AV1428" s="21">
        <f>IF(AND($AL1428&lt;&gt;"",COUNTIF($AL$11:$AL1428,$AL1428)=1),1,0)</f>
        <v>0</v>
      </c>
      <c r="AW1428" s="21">
        <f t="shared" si="131"/>
        <v>0</v>
      </c>
      <c r="AX1428" s="21" t="str">
        <f t="shared" si="130"/>
        <v/>
      </c>
      <c r="AY1428" s="21" t="str">
        <f>IF(AND($AM1428&lt;&gt;"",$AS1428&lt;&gt;"✓"),SUMPRODUCT(($AM$11:$AM1428&lt;&gt;"")*($AS$11:$AS1428&lt;&gt;"✓")),"")</f>
        <v/>
      </c>
      <c r="AZ1428" s="21" t="str">
        <f>IF(AND($AM1428&lt;&gt;"",$AS1428="✓"),SUMPRODUCT(($AM$11:$AM1428&lt;&gt;"")*($AS$11:$AS1428="✓")),"")</f>
        <v/>
      </c>
      <c r="BA1428" s="21" t="str">
        <f>IF($AL1428="","",$AL1428&amp;"|"&amp;COUNTIF($AL$11:$AL1428,$AL1428))</f>
        <v/>
      </c>
    </row>
    <row r="1429" spans="38:53" ht="15" customHeight="1" x14ac:dyDescent="0.25">
      <c r="AL1429" s="17"/>
      <c r="AM1429" s="12"/>
      <c r="AN1429" s="18"/>
      <c r="AO1429" s="18"/>
      <c r="AP1429" s="10"/>
      <c r="AQ1429" s="10"/>
      <c r="AR1429" s="19"/>
      <c r="AS1429" s="20"/>
      <c r="AT1429" s="19"/>
      <c r="AV1429" s="21">
        <f>IF(AND($AL1429&lt;&gt;"",COUNTIF($AL$11:$AL1429,$AL1429)=1),1,0)</f>
        <v>0</v>
      </c>
      <c r="AW1429" s="21">
        <f t="shared" si="131"/>
        <v>0</v>
      </c>
      <c r="AX1429" s="21" t="str">
        <f t="shared" si="130"/>
        <v/>
      </c>
      <c r="AY1429" s="21" t="str">
        <f>IF(AND($AM1429&lt;&gt;"",$AS1429&lt;&gt;"✓"),SUMPRODUCT(($AM$11:$AM1429&lt;&gt;"")*($AS$11:$AS1429&lt;&gt;"✓")),"")</f>
        <v/>
      </c>
      <c r="AZ1429" s="21" t="str">
        <f>IF(AND($AM1429&lt;&gt;"",$AS1429="✓"),SUMPRODUCT(($AM$11:$AM1429&lt;&gt;"")*($AS$11:$AS1429="✓")),"")</f>
        <v/>
      </c>
      <c r="BA1429" s="21" t="str">
        <f>IF($AL1429="","",$AL1429&amp;"|"&amp;COUNTIF($AL$11:$AL1429,$AL1429))</f>
        <v/>
      </c>
    </row>
    <row r="1430" spans="38:53" ht="15" customHeight="1" x14ac:dyDescent="0.25">
      <c r="AL1430" s="31"/>
      <c r="AM1430" s="26"/>
      <c r="AN1430" s="32"/>
      <c r="AO1430" s="32"/>
      <c r="AP1430" s="24"/>
      <c r="AQ1430" s="24"/>
      <c r="AR1430" s="33"/>
      <c r="AS1430" s="34"/>
      <c r="AT1430" s="33"/>
      <c r="AV1430" s="21">
        <f>IF(AND($AL1430&lt;&gt;"",COUNTIF($AL$11:$AL1430,$AL1430)=1),1,0)</f>
        <v>0</v>
      </c>
      <c r="AW1430" s="21">
        <f t="shared" si="131"/>
        <v>0</v>
      </c>
      <c r="AX1430" s="21" t="str">
        <f t="shared" si="130"/>
        <v/>
      </c>
      <c r="AY1430" s="21" t="str">
        <f>IF(AND($AM1430&lt;&gt;"",$AS1430&lt;&gt;"✓"),SUMPRODUCT(($AM$11:$AM1430&lt;&gt;"")*($AS$11:$AS1430&lt;&gt;"✓")),"")</f>
        <v/>
      </c>
      <c r="AZ1430" s="21" t="str">
        <f>IF(AND($AM1430&lt;&gt;"",$AS1430="✓"),SUMPRODUCT(($AM$11:$AM1430&lt;&gt;"")*($AS$11:$AS1430="✓")),"")</f>
        <v/>
      </c>
      <c r="BA1430" s="21" t="str">
        <f>IF($AL1430="","",$AL1430&amp;"|"&amp;COUNTIF($AL$11:$AL1430,$AL1430))</f>
        <v/>
      </c>
    </row>
    <row r="1431" spans="38:53" ht="15" customHeight="1" x14ac:dyDescent="0.25">
      <c r="AL1431" s="17"/>
      <c r="AM1431" s="12"/>
      <c r="AN1431" s="18"/>
      <c r="AO1431" s="18"/>
      <c r="AP1431" s="10"/>
      <c r="AQ1431" s="10"/>
      <c r="AR1431" s="19"/>
      <c r="AS1431" s="20"/>
      <c r="AT1431" s="19"/>
      <c r="AV1431" s="21">
        <f>IF(AND($AL1431&lt;&gt;"",COUNTIF($AL$11:$AL1431,$AL1431)=1),1,0)</f>
        <v>0</v>
      </c>
      <c r="AW1431" s="21">
        <f t="shared" si="131"/>
        <v>0</v>
      </c>
      <c r="AX1431" s="21" t="str">
        <f t="shared" si="130"/>
        <v/>
      </c>
      <c r="AY1431" s="21" t="str">
        <f>IF(AND($AM1431&lt;&gt;"",$AS1431&lt;&gt;"✓"),SUMPRODUCT(($AM$11:$AM1431&lt;&gt;"")*($AS$11:$AS1431&lt;&gt;"✓")),"")</f>
        <v/>
      </c>
      <c r="AZ1431" s="21" t="str">
        <f>IF(AND($AM1431&lt;&gt;"",$AS1431="✓"),SUMPRODUCT(($AM$11:$AM1431&lt;&gt;"")*($AS$11:$AS1431="✓")),"")</f>
        <v/>
      </c>
      <c r="BA1431" s="21" t="str">
        <f>IF($AL1431="","",$AL1431&amp;"|"&amp;COUNTIF($AL$11:$AL1431,$AL1431))</f>
        <v/>
      </c>
    </row>
    <row r="1432" spans="38:53" ht="15" customHeight="1" x14ac:dyDescent="0.25">
      <c r="AL1432" s="31"/>
      <c r="AM1432" s="26"/>
      <c r="AN1432" s="32"/>
      <c r="AO1432" s="32"/>
      <c r="AP1432" s="24"/>
      <c r="AQ1432" s="24"/>
      <c r="AR1432" s="33"/>
      <c r="AS1432" s="34"/>
      <c r="AT1432" s="33"/>
      <c r="AV1432" s="21">
        <f>IF(AND($AL1432&lt;&gt;"",COUNTIF($AL$11:$AL1432,$AL1432)=1),1,0)</f>
        <v>0</v>
      </c>
      <c r="AW1432" s="21">
        <f t="shared" si="131"/>
        <v>0</v>
      </c>
      <c r="AX1432" s="21" t="str">
        <f t="shared" si="130"/>
        <v/>
      </c>
      <c r="AY1432" s="21" t="str">
        <f>IF(AND($AM1432&lt;&gt;"",$AS1432&lt;&gt;"✓"),SUMPRODUCT(($AM$11:$AM1432&lt;&gt;"")*($AS$11:$AS1432&lt;&gt;"✓")),"")</f>
        <v/>
      </c>
      <c r="AZ1432" s="21" t="str">
        <f>IF(AND($AM1432&lt;&gt;"",$AS1432="✓"),SUMPRODUCT(($AM$11:$AM1432&lt;&gt;"")*($AS$11:$AS1432="✓")),"")</f>
        <v/>
      </c>
      <c r="BA1432" s="21" t="str">
        <f>IF($AL1432="","",$AL1432&amp;"|"&amp;COUNTIF($AL$11:$AL1432,$AL1432))</f>
        <v/>
      </c>
    </row>
    <row r="1433" spans="38:53" ht="15" customHeight="1" x14ac:dyDescent="0.25">
      <c r="AL1433" s="17"/>
      <c r="AM1433" s="12"/>
      <c r="AN1433" s="18"/>
      <c r="AO1433" s="18"/>
      <c r="AP1433" s="10"/>
      <c r="AQ1433" s="10"/>
      <c r="AR1433" s="19"/>
      <c r="AS1433" s="20"/>
      <c r="AT1433" s="19"/>
      <c r="AV1433" s="21">
        <f>IF(AND($AL1433&lt;&gt;"",COUNTIF($AL$11:$AL1433,$AL1433)=1),1,0)</f>
        <v>0</v>
      </c>
      <c r="AW1433" s="21">
        <f t="shared" si="131"/>
        <v>0</v>
      </c>
      <c r="AX1433" s="21" t="str">
        <f t="shared" si="130"/>
        <v/>
      </c>
      <c r="AY1433" s="21" t="str">
        <f>IF(AND($AM1433&lt;&gt;"",$AS1433&lt;&gt;"✓"),SUMPRODUCT(($AM$11:$AM1433&lt;&gt;"")*($AS$11:$AS1433&lt;&gt;"✓")),"")</f>
        <v/>
      </c>
      <c r="AZ1433" s="21" t="str">
        <f>IF(AND($AM1433&lt;&gt;"",$AS1433="✓"),SUMPRODUCT(($AM$11:$AM1433&lt;&gt;"")*($AS$11:$AS1433="✓")),"")</f>
        <v/>
      </c>
      <c r="BA1433" s="21" t="str">
        <f>IF($AL1433="","",$AL1433&amp;"|"&amp;COUNTIF($AL$11:$AL1433,$AL1433))</f>
        <v/>
      </c>
    </row>
    <row r="1434" spans="38:53" ht="15" customHeight="1" x14ac:dyDescent="0.25">
      <c r="AL1434" s="31"/>
      <c r="AM1434" s="26"/>
      <c r="AN1434" s="32"/>
      <c r="AO1434" s="32"/>
      <c r="AP1434" s="24"/>
      <c r="AQ1434" s="24"/>
      <c r="AR1434" s="33"/>
      <c r="AS1434" s="34"/>
      <c r="AT1434" s="33"/>
      <c r="AV1434" s="21">
        <f>IF(AND($AL1434&lt;&gt;"",COUNTIF($AL$11:$AL1434,$AL1434)=1),1,0)</f>
        <v>0</v>
      </c>
      <c r="AW1434" s="21">
        <f t="shared" si="131"/>
        <v>0</v>
      </c>
      <c r="AX1434" s="21" t="str">
        <f t="shared" si="130"/>
        <v/>
      </c>
      <c r="AY1434" s="21" t="str">
        <f>IF(AND($AM1434&lt;&gt;"",$AS1434&lt;&gt;"✓"),SUMPRODUCT(($AM$11:$AM1434&lt;&gt;"")*($AS$11:$AS1434&lt;&gt;"✓")),"")</f>
        <v/>
      </c>
      <c r="AZ1434" s="21" t="str">
        <f>IF(AND($AM1434&lt;&gt;"",$AS1434="✓"),SUMPRODUCT(($AM$11:$AM1434&lt;&gt;"")*($AS$11:$AS1434="✓")),"")</f>
        <v/>
      </c>
      <c r="BA1434" s="21" t="str">
        <f>IF($AL1434="","",$AL1434&amp;"|"&amp;COUNTIF($AL$11:$AL1434,$AL1434))</f>
        <v/>
      </c>
    </row>
    <row r="1435" spans="38:53" ht="15" customHeight="1" x14ac:dyDescent="0.25">
      <c r="AL1435" s="17"/>
      <c r="AM1435" s="12"/>
      <c r="AN1435" s="18"/>
      <c r="AO1435" s="18"/>
      <c r="AP1435" s="10"/>
      <c r="AQ1435" s="10"/>
      <c r="AR1435" s="19"/>
      <c r="AS1435" s="20"/>
      <c r="AT1435" s="19"/>
      <c r="AV1435" s="21">
        <f>IF(AND($AL1435&lt;&gt;"",COUNTIF($AL$11:$AL1435,$AL1435)=1),1,0)</f>
        <v>0</v>
      </c>
      <c r="AW1435" s="21">
        <f t="shared" si="131"/>
        <v>0</v>
      </c>
      <c r="AX1435" s="21" t="str">
        <f t="shared" si="130"/>
        <v/>
      </c>
      <c r="AY1435" s="21" t="str">
        <f>IF(AND($AM1435&lt;&gt;"",$AS1435&lt;&gt;"✓"),SUMPRODUCT(($AM$11:$AM1435&lt;&gt;"")*($AS$11:$AS1435&lt;&gt;"✓")),"")</f>
        <v/>
      </c>
      <c r="AZ1435" s="21" t="str">
        <f>IF(AND($AM1435&lt;&gt;"",$AS1435="✓"),SUMPRODUCT(($AM$11:$AM1435&lt;&gt;"")*($AS$11:$AS1435="✓")),"")</f>
        <v/>
      </c>
      <c r="BA1435" s="21" t="str">
        <f>IF($AL1435="","",$AL1435&amp;"|"&amp;COUNTIF($AL$11:$AL1435,$AL1435))</f>
        <v/>
      </c>
    </row>
    <row r="1436" spans="38:53" ht="15" customHeight="1" x14ac:dyDescent="0.25">
      <c r="AL1436" s="31"/>
      <c r="AM1436" s="26"/>
      <c r="AN1436" s="32"/>
      <c r="AO1436" s="32"/>
      <c r="AP1436" s="24"/>
      <c r="AQ1436" s="24"/>
      <c r="AR1436" s="33"/>
      <c r="AS1436" s="34"/>
      <c r="AT1436" s="33"/>
      <c r="AV1436" s="21">
        <f>IF(AND($AL1436&lt;&gt;"",COUNTIF($AL$11:$AL1436,$AL1436)=1),1,0)</f>
        <v>0</v>
      </c>
      <c r="AW1436" s="21">
        <f t="shared" si="131"/>
        <v>0</v>
      </c>
      <c r="AX1436" s="21" t="str">
        <f t="shared" si="130"/>
        <v/>
      </c>
      <c r="AY1436" s="21" t="str">
        <f>IF(AND($AM1436&lt;&gt;"",$AS1436&lt;&gt;"✓"),SUMPRODUCT(($AM$11:$AM1436&lt;&gt;"")*($AS$11:$AS1436&lt;&gt;"✓")),"")</f>
        <v/>
      </c>
      <c r="AZ1436" s="21" t="str">
        <f>IF(AND($AM1436&lt;&gt;"",$AS1436="✓"),SUMPRODUCT(($AM$11:$AM1436&lt;&gt;"")*($AS$11:$AS1436="✓")),"")</f>
        <v/>
      </c>
      <c r="BA1436" s="21" t="str">
        <f>IF($AL1436="","",$AL1436&amp;"|"&amp;COUNTIF($AL$11:$AL1436,$AL1436))</f>
        <v/>
      </c>
    </row>
    <row r="1437" spans="38:53" ht="15" customHeight="1" x14ac:dyDescent="0.25">
      <c r="AL1437" s="17"/>
      <c r="AM1437" s="12"/>
      <c r="AN1437" s="18"/>
      <c r="AO1437" s="18"/>
      <c r="AP1437" s="10"/>
      <c r="AQ1437" s="10"/>
      <c r="AR1437" s="19"/>
      <c r="AS1437" s="20"/>
      <c r="AT1437" s="19"/>
      <c r="AV1437" s="21">
        <f>IF(AND($AL1437&lt;&gt;"",COUNTIF($AL$11:$AL1437,$AL1437)=1),1,0)</f>
        <v>0</v>
      </c>
      <c r="AW1437" s="21">
        <f t="shared" si="131"/>
        <v>0</v>
      </c>
      <c r="AX1437" s="21" t="str">
        <f t="shared" si="130"/>
        <v/>
      </c>
      <c r="AY1437" s="21" t="str">
        <f>IF(AND($AM1437&lt;&gt;"",$AS1437&lt;&gt;"✓"),SUMPRODUCT(($AM$11:$AM1437&lt;&gt;"")*($AS$11:$AS1437&lt;&gt;"✓")),"")</f>
        <v/>
      </c>
      <c r="AZ1437" s="21" t="str">
        <f>IF(AND($AM1437&lt;&gt;"",$AS1437="✓"),SUMPRODUCT(($AM$11:$AM1437&lt;&gt;"")*($AS$11:$AS1437="✓")),"")</f>
        <v/>
      </c>
      <c r="BA1437" s="21" t="str">
        <f>IF($AL1437="","",$AL1437&amp;"|"&amp;COUNTIF($AL$11:$AL1437,$AL1437))</f>
        <v/>
      </c>
    </row>
    <row r="1438" spans="38:53" ht="15" customHeight="1" x14ac:dyDescent="0.25">
      <c r="AL1438" s="31"/>
      <c r="AM1438" s="26"/>
      <c r="AN1438" s="32"/>
      <c r="AO1438" s="32"/>
      <c r="AP1438" s="24"/>
      <c r="AQ1438" s="24"/>
      <c r="AR1438" s="33"/>
      <c r="AS1438" s="34"/>
      <c r="AT1438" s="33"/>
      <c r="AV1438" s="21">
        <f>IF(AND($AL1438&lt;&gt;"",COUNTIF($AL$11:$AL1438,$AL1438)=1),1,0)</f>
        <v>0</v>
      </c>
      <c r="AW1438" s="21">
        <f t="shared" si="131"/>
        <v>0</v>
      </c>
      <c r="AX1438" s="21" t="str">
        <f t="shared" si="130"/>
        <v/>
      </c>
      <c r="AY1438" s="21" t="str">
        <f>IF(AND($AM1438&lt;&gt;"",$AS1438&lt;&gt;"✓"),SUMPRODUCT(($AM$11:$AM1438&lt;&gt;"")*($AS$11:$AS1438&lt;&gt;"✓")),"")</f>
        <v/>
      </c>
      <c r="AZ1438" s="21" t="str">
        <f>IF(AND($AM1438&lt;&gt;"",$AS1438="✓"),SUMPRODUCT(($AM$11:$AM1438&lt;&gt;"")*($AS$11:$AS1438="✓")),"")</f>
        <v/>
      </c>
      <c r="BA1438" s="21" t="str">
        <f>IF($AL1438="","",$AL1438&amp;"|"&amp;COUNTIF($AL$11:$AL1438,$AL1438))</f>
        <v/>
      </c>
    </row>
    <row r="1439" spans="38:53" ht="15" customHeight="1" x14ac:dyDescent="0.25">
      <c r="AL1439" s="17"/>
      <c r="AM1439" s="12"/>
      <c r="AN1439" s="18"/>
      <c r="AO1439" s="18"/>
      <c r="AP1439" s="10"/>
      <c r="AQ1439" s="10"/>
      <c r="AR1439" s="19"/>
      <c r="AS1439" s="20"/>
      <c r="AT1439" s="19"/>
      <c r="AV1439" s="21">
        <f>IF(AND($AL1439&lt;&gt;"",COUNTIF($AL$11:$AL1439,$AL1439)=1),1,0)</f>
        <v>0</v>
      </c>
      <c r="AW1439" s="21">
        <f t="shared" si="131"/>
        <v>0</v>
      </c>
      <c r="AX1439" s="21" t="str">
        <f t="shared" si="130"/>
        <v/>
      </c>
      <c r="AY1439" s="21" t="str">
        <f>IF(AND($AM1439&lt;&gt;"",$AS1439&lt;&gt;"✓"),SUMPRODUCT(($AM$11:$AM1439&lt;&gt;"")*($AS$11:$AS1439&lt;&gt;"✓")),"")</f>
        <v/>
      </c>
      <c r="AZ1439" s="21" t="str">
        <f>IF(AND($AM1439&lt;&gt;"",$AS1439="✓"),SUMPRODUCT(($AM$11:$AM1439&lt;&gt;"")*($AS$11:$AS1439="✓")),"")</f>
        <v/>
      </c>
      <c r="BA1439" s="21" t="str">
        <f>IF($AL1439="","",$AL1439&amp;"|"&amp;COUNTIF($AL$11:$AL1439,$AL1439))</f>
        <v/>
      </c>
    </row>
    <row r="1440" spans="38:53" ht="15" customHeight="1" x14ac:dyDescent="0.25">
      <c r="AL1440" s="31"/>
      <c r="AM1440" s="26"/>
      <c r="AN1440" s="32"/>
      <c r="AO1440" s="32"/>
      <c r="AP1440" s="24"/>
      <c r="AQ1440" s="24"/>
      <c r="AR1440" s="33"/>
      <c r="AS1440" s="34"/>
      <c r="AT1440" s="33"/>
      <c r="AV1440" s="21">
        <f>IF(AND($AL1440&lt;&gt;"",COUNTIF($AL$11:$AL1440,$AL1440)=1),1,0)</f>
        <v>0</v>
      </c>
      <c r="AW1440" s="21">
        <f t="shared" si="131"/>
        <v>0</v>
      </c>
      <c r="AX1440" s="21" t="str">
        <f t="shared" si="130"/>
        <v/>
      </c>
      <c r="AY1440" s="21" t="str">
        <f>IF(AND($AM1440&lt;&gt;"",$AS1440&lt;&gt;"✓"),SUMPRODUCT(($AM$11:$AM1440&lt;&gt;"")*($AS$11:$AS1440&lt;&gt;"✓")),"")</f>
        <v/>
      </c>
      <c r="AZ1440" s="21" t="str">
        <f>IF(AND($AM1440&lt;&gt;"",$AS1440="✓"),SUMPRODUCT(($AM$11:$AM1440&lt;&gt;"")*($AS$11:$AS1440="✓")),"")</f>
        <v/>
      </c>
      <c r="BA1440" s="21" t="str">
        <f>IF($AL1440="","",$AL1440&amp;"|"&amp;COUNTIF($AL$11:$AL1440,$AL1440))</f>
        <v/>
      </c>
    </row>
    <row r="1441" spans="38:53" ht="15" customHeight="1" x14ac:dyDescent="0.25">
      <c r="AL1441" s="17"/>
      <c r="AM1441" s="12"/>
      <c r="AN1441" s="18"/>
      <c r="AO1441" s="18"/>
      <c r="AP1441" s="10"/>
      <c r="AQ1441" s="10"/>
      <c r="AR1441" s="19"/>
      <c r="AS1441" s="20"/>
      <c r="AT1441" s="19"/>
      <c r="AV1441" s="21">
        <f>IF(AND($AL1441&lt;&gt;"",COUNTIF($AL$11:$AL1441,$AL1441)=1),1,0)</f>
        <v>0</v>
      </c>
      <c r="AW1441" s="21">
        <f t="shared" si="131"/>
        <v>0</v>
      </c>
      <c r="AX1441" s="21" t="str">
        <f t="shared" si="130"/>
        <v/>
      </c>
      <c r="AY1441" s="21" t="str">
        <f>IF(AND($AM1441&lt;&gt;"",$AS1441&lt;&gt;"✓"),SUMPRODUCT(($AM$11:$AM1441&lt;&gt;"")*($AS$11:$AS1441&lt;&gt;"✓")),"")</f>
        <v/>
      </c>
      <c r="AZ1441" s="21" t="str">
        <f>IF(AND($AM1441&lt;&gt;"",$AS1441="✓"),SUMPRODUCT(($AM$11:$AM1441&lt;&gt;"")*($AS$11:$AS1441="✓")),"")</f>
        <v/>
      </c>
      <c r="BA1441" s="21" t="str">
        <f>IF($AL1441="","",$AL1441&amp;"|"&amp;COUNTIF($AL$11:$AL1441,$AL1441))</f>
        <v/>
      </c>
    </row>
    <row r="1442" spans="38:53" ht="15" customHeight="1" x14ac:dyDescent="0.25">
      <c r="AL1442" s="31"/>
      <c r="AM1442" s="26"/>
      <c r="AN1442" s="32"/>
      <c r="AO1442" s="32"/>
      <c r="AP1442" s="24"/>
      <c r="AQ1442" s="24"/>
      <c r="AR1442" s="33"/>
      <c r="AS1442" s="34"/>
      <c r="AT1442" s="33"/>
      <c r="AV1442" s="21">
        <f>IF(AND($AL1442&lt;&gt;"",COUNTIF($AL$11:$AL1442,$AL1442)=1),1,0)</f>
        <v>0</v>
      </c>
      <c r="AW1442" s="21">
        <f t="shared" si="131"/>
        <v>0</v>
      </c>
      <c r="AX1442" s="21" t="str">
        <f t="shared" si="130"/>
        <v/>
      </c>
      <c r="AY1442" s="21" t="str">
        <f>IF(AND($AM1442&lt;&gt;"",$AS1442&lt;&gt;"✓"),SUMPRODUCT(($AM$11:$AM1442&lt;&gt;"")*($AS$11:$AS1442&lt;&gt;"✓")),"")</f>
        <v/>
      </c>
      <c r="AZ1442" s="21" t="str">
        <f>IF(AND($AM1442&lt;&gt;"",$AS1442="✓"),SUMPRODUCT(($AM$11:$AM1442&lt;&gt;"")*($AS$11:$AS1442="✓")),"")</f>
        <v/>
      </c>
      <c r="BA1442" s="21" t="str">
        <f>IF($AL1442="","",$AL1442&amp;"|"&amp;COUNTIF($AL$11:$AL1442,$AL1442))</f>
        <v/>
      </c>
    </row>
    <row r="1443" spans="38:53" ht="15" customHeight="1" x14ac:dyDescent="0.25">
      <c r="AL1443" s="17"/>
      <c r="AM1443" s="12"/>
      <c r="AN1443" s="18"/>
      <c r="AO1443" s="18"/>
      <c r="AP1443" s="10"/>
      <c r="AQ1443" s="10"/>
      <c r="AR1443" s="19"/>
      <c r="AS1443" s="20"/>
      <c r="AT1443" s="19"/>
      <c r="AV1443" s="21">
        <f>IF(AND($AL1443&lt;&gt;"",COUNTIF($AL$11:$AL1443,$AL1443)=1),1,0)</f>
        <v>0</v>
      </c>
      <c r="AW1443" s="21">
        <f t="shared" si="131"/>
        <v>0</v>
      </c>
      <c r="AX1443" s="21" t="str">
        <f t="shared" si="130"/>
        <v/>
      </c>
      <c r="AY1443" s="21" t="str">
        <f>IF(AND($AM1443&lt;&gt;"",$AS1443&lt;&gt;"✓"),SUMPRODUCT(($AM$11:$AM1443&lt;&gt;"")*($AS$11:$AS1443&lt;&gt;"✓")),"")</f>
        <v/>
      </c>
      <c r="AZ1443" s="21" t="str">
        <f>IF(AND($AM1443&lt;&gt;"",$AS1443="✓"),SUMPRODUCT(($AM$11:$AM1443&lt;&gt;"")*($AS$11:$AS1443="✓")),"")</f>
        <v/>
      </c>
      <c r="BA1443" s="21" t="str">
        <f>IF($AL1443="","",$AL1443&amp;"|"&amp;COUNTIF($AL$11:$AL1443,$AL1443))</f>
        <v/>
      </c>
    </row>
    <row r="1444" spans="38:53" ht="15" customHeight="1" x14ac:dyDescent="0.25">
      <c r="AL1444" s="31"/>
      <c r="AM1444" s="26"/>
      <c r="AN1444" s="32"/>
      <c r="AO1444" s="32"/>
      <c r="AP1444" s="24"/>
      <c r="AQ1444" s="24"/>
      <c r="AR1444" s="33"/>
      <c r="AS1444" s="34"/>
      <c r="AT1444" s="33"/>
      <c r="AV1444" s="21">
        <f>IF(AND($AL1444&lt;&gt;"",COUNTIF($AL$11:$AL1444,$AL1444)=1),1,0)</f>
        <v>0</v>
      </c>
      <c r="AW1444" s="21">
        <f t="shared" si="131"/>
        <v>0</v>
      </c>
      <c r="AX1444" s="21" t="str">
        <f t="shared" si="130"/>
        <v/>
      </c>
      <c r="AY1444" s="21" t="str">
        <f>IF(AND($AM1444&lt;&gt;"",$AS1444&lt;&gt;"✓"),SUMPRODUCT(($AM$11:$AM1444&lt;&gt;"")*($AS$11:$AS1444&lt;&gt;"✓")),"")</f>
        <v/>
      </c>
      <c r="AZ1444" s="21" t="str">
        <f>IF(AND($AM1444&lt;&gt;"",$AS1444="✓"),SUMPRODUCT(($AM$11:$AM1444&lt;&gt;"")*($AS$11:$AS1444="✓")),"")</f>
        <v/>
      </c>
      <c r="BA1444" s="21" t="str">
        <f>IF($AL1444="","",$AL1444&amp;"|"&amp;COUNTIF($AL$11:$AL1444,$AL1444))</f>
        <v/>
      </c>
    </row>
    <row r="1445" spans="38:53" ht="15" customHeight="1" x14ac:dyDescent="0.25">
      <c r="AL1445" s="17"/>
      <c r="AM1445" s="12"/>
      <c r="AN1445" s="18"/>
      <c r="AO1445" s="18"/>
      <c r="AP1445" s="10"/>
      <c r="AQ1445" s="10"/>
      <c r="AR1445" s="19"/>
      <c r="AS1445" s="20"/>
      <c r="AT1445" s="19"/>
      <c r="AV1445" s="21">
        <f>IF(AND($AL1445&lt;&gt;"",COUNTIF($AL$11:$AL1445,$AL1445)=1),1,0)</f>
        <v>0</v>
      </c>
      <c r="AW1445" s="21">
        <f t="shared" si="131"/>
        <v>0</v>
      </c>
      <c r="AX1445" s="21" t="str">
        <f t="shared" si="130"/>
        <v/>
      </c>
      <c r="AY1445" s="21" t="str">
        <f>IF(AND($AM1445&lt;&gt;"",$AS1445&lt;&gt;"✓"),SUMPRODUCT(($AM$11:$AM1445&lt;&gt;"")*($AS$11:$AS1445&lt;&gt;"✓")),"")</f>
        <v/>
      </c>
      <c r="AZ1445" s="21" t="str">
        <f>IF(AND($AM1445&lt;&gt;"",$AS1445="✓"),SUMPRODUCT(($AM$11:$AM1445&lt;&gt;"")*($AS$11:$AS1445="✓")),"")</f>
        <v/>
      </c>
      <c r="BA1445" s="21" t="str">
        <f>IF($AL1445="","",$AL1445&amp;"|"&amp;COUNTIF($AL$11:$AL1445,$AL1445))</f>
        <v/>
      </c>
    </row>
    <row r="1446" spans="38:53" ht="15" customHeight="1" x14ac:dyDescent="0.25">
      <c r="AL1446" s="31"/>
      <c r="AM1446" s="26"/>
      <c r="AN1446" s="32"/>
      <c r="AO1446" s="32"/>
      <c r="AP1446" s="24"/>
      <c r="AQ1446" s="24"/>
      <c r="AR1446" s="33"/>
      <c r="AS1446" s="34"/>
      <c r="AT1446" s="33"/>
      <c r="AV1446" s="21">
        <f>IF(AND($AL1446&lt;&gt;"",COUNTIF($AL$11:$AL1446,$AL1446)=1),1,0)</f>
        <v>0</v>
      </c>
      <c r="AW1446" s="21">
        <f t="shared" si="131"/>
        <v>0</v>
      </c>
      <c r="AX1446" s="21" t="str">
        <f t="shared" si="130"/>
        <v/>
      </c>
      <c r="AY1446" s="21" t="str">
        <f>IF(AND($AM1446&lt;&gt;"",$AS1446&lt;&gt;"✓"),SUMPRODUCT(($AM$11:$AM1446&lt;&gt;"")*($AS$11:$AS1446&lt;&gt;"✓")),"")</f>
        <v/>
      </c>
      <c r="AZ1446" s="21" t="str">
        <f>IF(AND($AM1446&lt;&gt;"",$AS1446="✓"),SUMPRODUCT(($AM$11:$AM1446&lt;&gt;"")*($AS$11:$AS1446="✓")),"")</f>
        <v/>
      </c>
      <c r="BA1446" s="21" t="str">
        <f>IF($AL1446="","",$AL1446&amp;"|"&amp;COUNTIF($AL$11:$AL1446,$AL1446))</f>
        <v/>
      </c>
    </row>
    <row r="1447" spans="38:53" ht="15" customHeight="1" x14ac:dyDescent="0.25">
      <c r="AL1447" s="17"/>
      <c r="AM1447" s="12"/>
      <c r="AN1447" s="18"/>
      <c r="AO1447" s="18"/>
      <c r="AP1447" s="10"/>
      <c r="AQ1447" s="10"/>
      <c r="AR1447" s="19"/>
      <c r="AS1447" s="20"/>
      <c r="AT1447" s="19"/>
      <c r="AV1447" s="21">
        <f>IF(AND($AL1447&lt;&gt;"",COUNTIF($AL$11:$AL1447,$AL1447)=1),1,0)</f>
        <v>0</v>
      </c>
      <c r="AW1447" s="21">
        <f t="shared" si="131"/>
        <v>0</v>
      </c>
      <c r="AX1447" s="21" t="str">
        <f t="shared" si="130"/>
        <v/>
      </c>
      <c r="AY1447" s="21" t="str">
        <f>IF(AND($AM1447&lt;&gt;"",$AS1447&lt;&gt;"✓"),SUMPRODUCT(($AM$11:$AM1447&lt;&gt;"")*($AS$11:$AS1447&lt;&gt;"✓")),"")</f>
        <v/>
      </c>
      <c r="AZ1447" s="21" t="str">
        <f>IF(AND($AM1447&lt;&gt;"",$AS1447="✓"),SUMPRODUCT(($AM$11:$AM1447&lt;&gt;"")*($AS$11:$AS1447="✓")),"")</f>
        <v/>
      </c>
      <c r="BA1447" s="21" t="str">
        <f>IF($AL1447="","",$AL1447&amp;"|"&amp;COUNTIF($AL$11:$AL1447,$AL1447))</f>
        <v/>
      </c>
    </row>
    <row r="1448" spans="38:53" ht="15" customHeight="1" x14ac:dyDescent="0.25">
      <c r="AL1448" s="31"/>
      <c r="AM1448" s="26"/>
      <c r="AN1448" s="32"/>
      <c r="AO1448" s="32"/>
      <c r="AP1448" s="24"/>
      <c r="AQ1448" s="24"/>
      <c r="AR1448" s="33"/>
      <c r="AS1448" s="34"/>
      <c r="AT1448" s="33"/>
      <c r="AV1448" s="21">
        <f>IF(AND($AL1448&lt;&gt;"",COUNTIF($AL$11:$AL1448,$AL1448)=1),1,0)</f>
        <v>0</v>
      </c>
      <c r="AW1448" s="21">
        <f t="shared" si="131"/>
        <v>0</v>
      </c>
      <c r="AX1448" s="21" t="str">
        <f t="shared" si="130"/>
        <v/>
      </c>
      <c r="AY1448" s="21" t="str">
        <f>IF(AND($AM1448&lt;&gt;"",$AS1448&lt;&gt;"✓"),SUMPRODUCT(($AM$11:$AM1448&lt;&gt;"")*($AS$11:$AS1448&lt;&gt;"✓")),"")</f>
        <v/>
      </c>
      <c r="AZ1448" s="21" t="str">
        <f>IF(AND($AM1448&lt;&gt;"",$AS1448="✓"),SUMPRODUCT(($AM$11:$AM1448&lt;&gt;"")*($AS$11:$AS1448="✓")),"")</f>
        <v/>
      </c>
      <c r="BA1448" s="21" t="str">
        <f>IF($AL1448="","",$AL1448&amp;"|"&amp;COUNTIF($AL$11:$AL1448,$AL1448))</f>
        <v/>
      </c>
    </row>
    <row r="1449" spans="38:53" ht="15" customHeight="1" x14ac:dyDescent="0.25">
      <c r="AL1449" s="17"/>
      <c r="AM1449" s="12"/>
      <c r="AN1449" s="18"/>
      <c r="AO1449" s="18"/>
      <c r="AP1449" s="10"/>
      <c r="AQ1449" s="10"/>
      <c r="AR1449" s="19"/>
      <c r="AS1449" s="20"/>
      <c r="AT1449" s="19"/>
      <c r="AV1449" s="21">
        <f>IF(AND($AL1449&lt;&gt;"",COUNTIF($AL$11:$AL1449,$AL1449)=1),1,0)</f>
        <v>0</v>
      </c>
      <c r="AW1449" s="21">
        <f t="shared" si="131"/>
        <v>0</v>
      </c>
      <c r="AX1449" s="21" t="str">
        <f t="shared" si="130"/>
        <v/>
      </c>
      <c r="AY1449" s="21" t="str">
        <f>IF(AND($AM1449&lt;&gt;"",$AS1449&lt;&gt;"✓"),SUMPRODUCT(($AM$11:$AM1449&lt;&gt;"")*($AS$11:$AS1449&lt;&gt;"✓")),"")</f>
        <v/>
      </c>
      <c r="AZ1449" s="21" t="str">
        <f>IF(AND($AM1449&lt;&gt;"",$AS1449="✓"),SUMPRODUCT(($AM$11:$AM1449&lt;&gt;"")*($AS$11:$AS1449="✓")),"")</f>
        <v/>
      </c>
      <c r="BA1449" s="21" t="str">
        <f>IF($AL1449="","",$AL1449&amp;"|"&amp;COUNTIF($AL$11:$AL1449,$AL1449))</f>
        <v/>
      </c>
    </row>
    <row r="1450" spans="38:53" ht="15" customHeight="1" x14ac:dyDescent="0.25">
      <c r="AL1450" s="31"/>
      <c r="AM1450" s="26"/>
      <c r="AN1450" s="32"/>
      <c r="AO1450" s="32"/>
      <c r="AP1450" s="24"/>
      <c r="AQ1450" s="24"/>
      <c r="AR1450" s="33"/>
      <c r="AS1450" s="34"/>
      <c r="AT1450" s="33"/>
      <c r="AV1450" s="21">
        <f>IF(AND($AL1450&lt;&gt;"",COUNTIF($AL$11:$AL1450,$AL1450)=1),1,0)</f>
        <v>0</v>
      </c>
      <c r="AW1450" s="21">
        <f t="shared" si="131"/>
        <v>0</v>
      </c>
      <c r="AX1450" s="21" t="str">
        <f t="shared" si="130"/>
        <v/>
      </c>
      <c r="AY1450" s="21" t="str">
        <f>IF(AND($AM1450&lt;&gt;"",$AS1450&lt;&gt;"✓"),SUMPRODUCT(($AM$11:$AM1450&lt;&gt;"")*($AS$11:$AS1450&lt;&gt;"✓")),"")</f>
        <v/>
      </c>
      <c r="AZ1450" s="21" t="str">
        <f>IF(AND($AM1450&lt;&gt;"",$AS1450="✓"),SUMPRODUCT(($AM$11:$AM1450&lt;&gt;"")*($AS$11:$AS1450="✓")),"")</f>
        <v/>
      </c>
      <c r="BA1450" s="21" t="str">
        <f>IF($AL1450="","",$AL1450&amp;"|"&amp;COUNTIF($AL$11:$AL1450,$AL1450))</f>
        <v/>
      </c>
    </row>
    <row r="1451" spans="38:53" ht="15" customHeight="1" x14ac:dyDescent="0.25">
      <c r="AL1451" s="17"/>
      <c r="AM1451" s="12"/>
      <c r="AN1451" s="18"/>
      <c r="AO1451" s="18"/>
      <c r="AP1451" s="10"/>
      <c r="AQ1451" s="10"/>
      <c r="AR1451" s="19"/>
      <c r="AS1451" s="20"/>
      <c r="AT1451" s="19"/>
      <c r="AV1451" s="21">
        <f>IF(AND($AL1451&lt;&gt;"",COUNTIF($AL$11:$AL1451,$AL1451)=1),1,0)</f>
        <v>0</v>
      </c>
      <c r="AW1451" s="21">
        <f t="shared" si="131"/>
        <v>0</v>
      </c>
      <c r="AX1451" s="21" t="str">
        <f t="shared" si="130"/>
        <v/>
      </c>
      <c r="AY1451" s="21" t="str">
        <f>IF(AND($AM1451&lt;&gt;"",$AS1451&lt;&gt;"✓"),SUMPRODUCT(($AM$11:$AM1451&lt;&gt;"")*($AS$11:$AS1451&lt;&gt;"✓")),"")</f>
        <v/>
      </c>
      <c r="AZ1451" s="21" t="str">
        <f>IF(AND($AM1451&lt;&gt;"",$AS1451="✓"),SUMPRODUCT(($AM$11:$AM1451&lt;&gt;"")*($AS$11:$AS1451="✓")),"")</f>
        <v/>
      </c>
      <c r="BA1451" s="21" t="str">
        <f>IF($AL1451="","",$AL1451&amp;"|"&amp;COUNTIF($AL$11:$AL1451,$AL1451))</f>
        <v/>
      </c>
    </row>
    <row r="1452" spans="38:53" ht="15" customHeight="1" x14ac:dyDescent="0.25">
      <c r="AL1452" s="31"/>
      <c r="AM1452" s="26"/>
      <c r="AN1452" s="32"/>
      <c r="AO1452" s="32"/>
      <c r="AP1452" s="24"/>
      <c r="AQ1452" s="24"/>
      <c r="AR1452" s="33"/>
      <c r="AS1452" s="34"/>
      <c r="AT1452" s="33"/>
      <c r="AV1452" s="21">
        <f>IF(AND($AL1452&lt;&gt;"",COUNTIF($AL$11:$AL1452,$AL1452)=1),1,0)</f>
        <v>0</v>
      </c>
      <c r="AW1452" s="21">
        <f t="shared" si="131"/>
        <v>0</v>
      </c>
      <c r="AX1452" s="21" t="str">
        <f t="shared" si="130"/>
        <v/>
      </c>
      <c r="AY1452" s="21" t="str">
        <f>IF(AND($AM1452&lt;&gt;"",$AS1452&lt;&gt;"✓"),SUMPRODUCT(($AM$11:$AM1452&lt;&gt;"")*($AS$11:$AS1452&lt;&gt;"✓")),"")</f>
        <v/>
      </c>
      <c r="AZ1452" s="21" t="str">
        <f>IF(AND($AM1452&lt;&gt;"",$AS1452="✓"),SUMPRODUCT(($AM$11:$AM1452&lt;&gt;"")*($AS$11:$AS1452="✓")),"")</f>
        <v/>
      </c>
      <c r="BA1452" s="21" t="str">
        <f>IF($AL1452="","",$AL1452&amp;"|"&amp;COUNTIF($AL$11:$AL1452,$AL1452))</f>
        <v/>
      </c>
    </row>
    <row r="1453" spans="38:53" ht="15" customHeight="1" x14ac:dyDescent="0.25">
      <c r="AL1453" s="17"/>
      <c r="AM1453" s="12"/>
      <c r="AN1453" s="18"/>
      <c r="AO1453" s="18"/>
      <c r="AP1453" s="10"/>
      <c r="AQ1453" s="10"/>
      <c r="AR1453" s="19"/>
      <c r="AS1453" s="20"/>
      <c r="AT1453" s="19"/>
      <c r="AV1453" s="21">
        <f>IF(AND($AL1453&lt;&gt;"",COUNTIF($AL$11:$AL1453,$AL1453)=1),1,0)</f>
        <v>0</v>
      </c>
      <c r="AW1453" s="21">
        <f t="shared" si="131"/>
        <v>0</v>
      </c>
      <c r="AX1453" s="21" t="str">
        <f t="shared" si="130"/>
        <v/>
      </c>
      <c r="AY1453" s="21" t="str">
        <f>IF(AND($AM1453&lt;&gt;"",$AS1453&lt;&gt;"✓"),SUMPRODUCT(($AM$11:$AM1453&lt;&gt;"")*($AS$11:$AS1453&lt;&gt;"✓")),"")</f>
        <v/>
      </c>
      <c r="AZ1453" s="21" t="str">
        <f>IF(AND($AM1453&lt;&gt;"",$AS1453="✓"),SUMPRODUCT(($AM$11:$AM1453&lt;&gt;"")*($AS$11:$AS1453="✓")),"")</f>
        <v/>
      </c>
      <c r="BA1453" s="21" t="str">
        <f>IF($AL1453="","",$AL1453&amp;"|"&amp;COUNTIF($AL$11:$AL1453,$AL1453))</f>
        <v/>
      </c>
    </row>
    <row r="1454" spans="38:53" ht="15" customHeight="1" x14ac:dyDescent="0.25">
      <c r="AL1454" s="31"/>
      <c r="AM1454" s="26"/>
      <c r="AN1454" s="32"/>
      <c r="AO1454" s="32"/>
      <c r="AP1454" s="24"/>
      <c r="AQ1454" s="24"/>
      <c r="AR1454" s="33"/>
      <c r="AS1454" s="34"/>
      <c r="AT1454" s="33"/>
      <c r="AV1454" s="21">
        <f>IF(AND($AL1454&lt;&gt;"",COUNTIF($AL$11:$AL1454,$AL1454)=1),1,0)</f>
        <v>0</v>
      </c>
      <c r="AW1454" s="21">
        <f t="shared" si="131"/>
        <v>0</v>
      </c>
      <c r="AX1454" s="21" t="str">
        <f t="shared" si="130"/>
        <v/>
      </c>
      <c r="AY1454" s="21" t="str">
        <f>IF(AND($AM1454&lt;&gt;"",$AS1454&lt;&gt;"✓"),SUMPRODUCT(($AM$11:$AM1454&lt;&gt;"")*($AS$11:$AS1454&lt;&gt;"✓")),"")</f>
        <v/>
      </c>
      <c r="AZ1454" s="21" t="str">
        <f>IF(AND($AM1454&lt;&gt;"",$AS1454="✓"),SUMPRODUCT(($AM$11:$AM1454&lt;&gt;"")*($AS$11:$AS1454="✓")),"")</f>
        <v/>
      </c>
      <c r="BA1454" s="21" t="str">
        <f>IF($AL1454="","",$AL1454&amp;"|"&amp;COUNTIF($AL$11:$AL1454,$AL1454))</f>
        <v/>
      </c>
    </row>
    <row r="1455" spans="38:53" ht="15" customHeight="1" x14ac:dyDescent="0.25">
      <c r="AL1455" s="17"/>
      <c r="AM1455" s="12"/>
      <c r="AN1455" s="18"/>
      <c r="AO1455" s="18"/>
      <c r="AP1455" s="10"/>
      <c r="AQ1455" s="10"/>
      <c r="AR1455" s="19"/>
      <c r="AS1455" s="20"/>
      <c r="AT1455" s="19"/>
      <c r="AV1455" s="21">
        <f>IF(AND($AL1455&lt;&gt;"",COUNTIF($AL$11:$AL1455,$AL1455)=1),1,0)</f>
        <v>0</v>
      </c>
      <c r="AW1455" s="21">
        <f t="shared" si="131"/>
        <v>0</v>
      </c>
      <c r="AX1455" s="21" t="str">
        <f t="shared" si="130"/>
        <v/>
      </c>
      <c r="AY1455" s="21" t="str">
        <f>IF(AND($AM1455&lt;&gt;"",$AS1455&lt;&gt;"✓"),SUMPRODUCT(($AM$11:$AM1455&lt;&gt;"")*($AS$11:$AS1455&lt;&gt;"✓")),"")</f>
        <v/>
      </c>
      <c r="AZ1455" s="21" t="str">
        <f>IF(AND($AM1455&lt;&gt;"",$AS1455="✓"),SUMPRODUCT(($AM$11:$AM1455&lt;&gt;"")*($AS$11:$AS1455="✓")),"")</f>
        <v/>
      </c>
      <c r="BA1455" s="21" t="str">
        <f>IF($AL1455="","",$AL1455&amp;"|"&amp;COUNTIF($AL$11:$AL1455,$AL1455))</f>
        <v/>
      </c>
    </row>
    <row r="1456" spans="38:53" ht="15" customHeight="1" x14ac:dyDescent="0.25">
      <c r="AL1456" s="31"/>
      <c r="AM1456" s="26"/>
      <c r="AN1456" s="32"/>
      <c r="AO1456" s="32"/>
      <c r="AP1456" s="24"/>
      <c r="AQ1456" s="24"/>
      <c r="AR1456" s="33"/>
      <c r="AS1456" s="34"/>
      <c r="AT1456" s="33"/>
      <c r="AV1456" s="21">
        <f>IF(AND($AL1456&lt;&gt;"",COUNTIF($AL$11:$AL1456,$AL1456)=1),1,0)</f>
        <v>0</v>
      </c>
      <c r="AW1456" s="21">
        <f t="shared" si="131"/>
        <v>0</v>
      </c>
      <c r="AX1456" s="21" t="str">
        <f t="shared" si="130"/>
        <v/>
      </c>
      <c r="AY1456" s="21" t="str">
        <f>IF(AND($AM1456&lt;&gt;"",$AS1456&lt;&gt;"✓"),SUMPRODUCT(($AM$11:$AM1456&lt;&gt;"")*($AS$11:$AS1456&lt;&gt;"✓")),"")</f>
        <v/>
      </c>
      <c r="AZ1456" s="21" t="str">
        <f>IF(AND($AM1456&lt;&gt;"",$AS1456="✓"),SUMPRODUCT(($AM$11:$AM1456&lt;&gt;"")*($AS$11:$AS1456="✓")),"")</f>
        <v/>
      </c>
      <c r="BA1456" s="21" t="str">
        <f>IF($AL1456="","",$AL1456&amp;"|"&amp;COUNTIF($AL$11:$AL1456,$AL1456))</f>
        <v/>
      </c>
    </row>
    <row r="1457" spans="38:53" ht="15" customHeight="1" x14ac:dyDescent="0.25">
      <c r="AL1457" s="17"/>
      <c r="AM1457" s="12"/>
      <c r="AN1457" s="18"/>
      <c r="AO1457" s="18"/>
      <c r="AP1457" s="10"/>
      <c r="AQ1457" s="10"/>
      <c r="AR1457" s="19"/>
      <c r="AS1457" s="20"/>
      <c r="AT1457" s="19"/>
      <c r="AV1457" s="21">
        <f>IF(AND($AL1457&lt;&gt;"",COUNTIF($AL$11:$AL1457,$AL1457)=1),1,0)</f>
        <v>0</v>
      </c>
      <c r="AW1457" s="21">
        <f t="shared" si="131"/>
        <v>0</v>
      </c>
      <c r="AX1457" s="21" t="str">
        <f t="shared" si="130"/>
        <v/>
      </c>
      <c r="AY1457" s="21" t="str">
        <f>IF(AND($AM1457&lt;&gt;"",$AS1457&lt;&gt;"✓"),SUMPRODUCT(($AM$11:$AM1457&lt;&gt;"")*($AS$11:$AS1457&lt;&gt;"✓")),"")</f>
        <v/>
      </c>
      <c r="AZ1457" s="21" t="str">
        <f>IF(AND($AM1457&lt;&gt;"",$AS1457="✓"),SUMPRODUCT(($AM$11:$AM1457&lt;&gt;"")*($AS$11:$AS1457="✓")),"")</f>
        <v/>
      </c>
      <c r="BA1457" s="21" t="str">
        <f>IF($AL1457="","",$AL1457&amp;"|"&amp;COUNTIF($AL$11:$AL1457,$AL1457))</f>
        <v/>
      </c>
    </row>
    <row r="1458" spans="38:53" ht="15" customHeight="1" x14ac:dyDescent="0.25">
      <c r="AL1458" s="31"/>
      <c r="AM1458" s="26"/>
      <c r="AN1458" s="32"/>
      <c r="AO1458" s="32"/>
      <c r="AP1458" s="24"/>
      <c r="AQ1458" s="24"/>
      <c r="AR1458" s="33"/>
      <c r="AS1458" s="34"/>
      <c r="AT1458" s="33"/>
      <c r="AV1458" s="21">
        <f>IF(AND($AL1458&lt;&gt;"",COUNTIF($AL$11:$AL1458,$AL1458)=1),1,0)</f>
        <v>0</v>
      </c>
      <c r="AW1458" s="21">
        <f t="shared" si="131"/>
        <v>0</v>
      </c>
      <c r="AX1458" s="21" t="str">
        <f t="shared" si="130"/>
        <v/>
      </c>
      <c r="AY1458" s="21" t="str">
        <f>IF(AND($AM1458&lt;&gt;"",$AS1458&lt;&gt;"✓"),SUMPRODUCT(($AM$11:$AM1458&lt;&gt;"")*($AS$11:$AS1458&lt;&gt;"✓")),"")</f>
        <v/>
      </c>
      <c r="AZ1458" s="21" t="str">
        <f>IF(AND($AM1458&lt;&gt;"",$AS1458="✓"),SUMPRODUCT(($AM$11:$AM1458&lt;&gt;"")*($AS$11:$AS1458="✓")),"")</f>
        <v/>
      </c>
      <c r="BA1458" s="21" t="str">
        <f>IF($AL1458="","",$AL1458&amp;"|"&amp;COUNTIF($AL$11:$AL1458,$AL1458))</f>
        <v/>
      </c>
    </row>
    <row r="1459" spans="38:53" ht="15" customHeight="1" x14ac:dyDescent="0.25">
      <c r="AL1459" s="17"/>
      <c r="AM1459" s="12"/>
      <c r="AN1459" s="18"/>
      <c r="AO1459" s="18"/>
      <c r="AP1459" s="10"/>
      <c r="AQ1459" s="10"/>
      <c r="AR1459" s="19"/>
      <c r="AS1459" s="20"/>
      <c r="AT1459" s="19"/>
      <c r="AV1459" s="21">
        <f>IF(AND($AL1459&lt;&gt;"",COUNTIF($AL$11:$AL1459,$AL1459)=1),1,0)</f>
        <v>0</v>
      </c>
      <c r="AW1459" s="21">
        <f t="shared" si="131"/>
        <v>0</v>
      </c>
      <c r="AX1459" s="21" t="str">
        <f t="shared" si="130"/>
        <v/>
      </c>
      <c r="AY1459" s="21" t="str">
        <f>IF(AND($AM1459&lt;&gt;"",$AS1459&lt;&gt;"✓"),SUMPRODUCT(($AM$11:$AM1459&lt;&gt;"")*($AS$11:$AS1459&lt;&gt;"✓")),"")</f>
        <v/>
      </c>
      <c r="AZ1459" s="21" t="str">
        <f>IF(AND($AM1459&lt;&gt;"",$AS1459="✓"),SUMPRODUCT(($AM$11:$AM1459&lt;&gt;"")*($AS$11:$AS1459="✓")),"")</f>
        <v/>
      </c>
      <c r="BA1459" s="21" t="str">
        <f>IF($AL1459="","",$AL1459&amp;"|"&amp;COUNTIF($AL$11:$AL1459,$AL1459))</f>
        <v/>
      </c>
    </row>
    <row r="1460" spans="38:53" ht="15" customHeight="1" x14ac:dyDescent="0.25">
      <c r="AL1460" s="31"/>
      <c r="AM1460" s="26"/>
      <c r="AN1460" s="32"/>
      <c r="AO1460" s="32"/>
      <c r="AP1460" s="24"/>
      <c r="AQ1460" s="24"/>
      <c r="AR1460" s="33"/>
      <c r="AS1460" s="34"/>
      <c r="AT1460" s="33"/>
      <c r="AV1460" s="21">
        <f>IF(AND($AL1460&lt;&gt;"",COUNTIF($AL$11:$AL1460,$AL1460)=1),1,0)</f>
        <v>0</v>
      </c>
      <c r="AW1460" s="21">
        <f t="shared" si="131"/>
        <v>0</v>
      </c>
      <c r="AX1460" s="21" t="str">
        <f t="shared" si="130"/>
        <v/>
      </c>
      <c r="AY1460" s="21" t="str">
        <f>IF(AND($AM1460&lt;&gt;"",$AS1460&lt;&gt;"✓"),SUMPRODUCT(($AM$11:$AM1460&lt;&gt;"")*($AS$11:$AS1460&lt;&gt;"✓")),"")</f>
        <v/>
      </c>
      <c r="AZ1460" s="21" t="str">
        <f>IF(AND($AM1460&lt;&gt;"",$AS1460="✓"),SUMPRODUCT(($AM$11:$AM1460&lt;&gt;"")*($AS$11:$AS1460="✓")),"")</f>
        <v/>
      </c>
      <c r="BA1460" s="21" t="str">
        <f>IF($AL1460="","",$AL1460&amp;"|"&amp;COUNTIF($AL$11:$AL1460,$AL1460))</f>
        <v/>
      </c>
    </row>
    <row r="1461" spans="38:53" ht="15" customHeight="1" x14ac:dyDescent="0.25">
      <c r="AL1461" s="17"/>
      <c r="AM1461" s="12"/>
      <c r="AN1461" s="18"/>
      <c r="AO1461" s="18"/>
      <c r="AP1461" s="10"/>
      <c r="AQ1461" s="10"/>
      <c r="AR1461" s="19"/>
      <c r="AS1461" s="20"/>
      <c r="AT1461" s="19"/>
      <c r="AV1461" s="21">
        <f>IF(AND($AL1461&lt;&gt;"",COUNTIF($AL$11:$AL1461,$AL1461)=1),1,0)</f>
        <v>0</v>
      </c>
      <c r="AW1461" s="21">
        <f t="shared" si="131"/>
        <v>0</v>
      </c>
      <c r="AX1461" s="21" t="str">
        <f t="shared" si="130"/>
        <v/>
      </c>
      <c r="AY1461" s="21" t="str">
        <f>IF(AND($AM1461&lt;&gt;"",$AS1461&lt;&gt;"✓"),SUMPRODUCT(($AM$11:$AM1461&lt;&gt;"")*($AS$11:$AS1461&lt;&gt;"✓")),"")</f>
        <v/>
      </c>
      <c r="AZ1461" s="21" t="str">
        <f>IF(AND($AM1461&lt;&gt;"",$AS1461="✓"),SUMPRODUCT(($AM$11:$AM1461&lt;&gt;"")*($AS$11:$AS1461="✓")),"")</f>
        <v/>
      </c>
      <c r="BA1461" s="21" t="str">
        <f>IF($AL1461="","",$AL1461&amp;"|"&amp;COUNTIF($AL$11:$AL1461,$AL1461))</f>
        <v/>
      </c>
    </row>
    <row r="1462" spans="38:53" ht="15" customHeight="1" x14ac:dyDescent="0.25">
      <c r="AL1462" s="31"/>
      <c r="AM1462" s="26"/>
      <c r="AN1462" s="32"/>
      <c r="AO1462" s="32"/>
      <c r="AP1462" s="24"/>
      <c r="AQ1462" s="24"/>
      <c r="AR1462" s="33"/>
      <c r="AS1462" s="34"/>
      <c r="AT1462" s="33"/>
      <c r="AV1462" s="21">
        <f>IF(AND($AL1462&lt;&gt;"",COUNTIF($AL$11:$AL1462,$AL1462)=1),1,0)</f>
        <v>0</v>
      </c>
      <c r="AW1462" s="21">
        <f t="shared" si="131"/>
        <v>0</v>
      </c>
      <c r="AX1462" s="21" t="str">
        <f t="shared" si="130"/>
        <v/>
      </c>
      <c r="AY1462" s="21" t="str">
        <f>IF(AND($AM1462&lt;&gt;"",$AS1462&lt;&gt;"✓"),SUMPRODUCT(($AM$11:$AM1462&lt;&gt;"")*($AS$11:$AS1462&lt;&gt;"✓")),"")</f>
        <v/>
      </c>
      <c r="AZ1462" s="21" t="str">
        <f>IF(AND($AM1462&lt;&gt;"",$AS1462="✓"),SUMPRODUCT(($AM$11:$AM1462&lt;&gt;"")*($AS$11:$AS1462="✓")),"")</f>
        <v/>
      </c>
      <c r="BA1462" s="21" t="str">
        <f>IF($AL1462="","",$AL1462&amp;"|"&amp;COUNTIF($AL$11:$AL1462,$AL1462))</f>
        <v/>
      </c>
    </row>
    <row r="1463" spans="38:53" ht="15" customHeight="1" x14ac:dyDescent="0.25">
      <c r="AL1463" s="17"/>
      <c r="AM1463" s="12"/>
      <c r="AN1463" s="18"/>
      <c r="AO1463" s="18"/>
      <c r="AP1463" s="10"/>
      <c r="AQ1463" s="10"/>
      <c r="AR1463" s="19"/>
      <c r="AS1463" s="20"/>
      <c r="AT1463" s="19"/>
      <c r="AV1463" s="21">
        <f>IF(AND($AL1463&lt;&gt;"",COUNTIF($AL$11:$AL1463,$AL1463)=1),1,0)</f>
        <v>0</v>
      </c>
      <c r="AW1463" s="21">
        <f t="shared" si="131"/>
        <v>0</v>
      </c>
      <c r="AX1463" s="21" t="str">
        <f t="shared" si="130"/>
        <v/>
      </c>
      <c r="AY1463" s="21" t="str">
        <f>IF(AND($AM1463&lt;&gt;"",$AS1463&lt;&gt;"✓"),SUMPRODUCT(($AM$11:$AM1463&lt;&gt;"")*($AS$11:$AS1463&lt;&gt;"✓")),"")</f>
        <v/>
      </c>
      <c r="AZ1463" s="21" t="str">
        <f>IF(AND($AM1463&lt;&gt;"",$AS1463="✓"),SUMPRODUCT(($AM$11:$AM1463&lt;&gt;"")*($AS$11:$AS1463="✓")),"")</f>
        <v/>
      </c>
      <c r="BA1463" s="21" t="str">
        <f>IF($AL1463="","",$AL1463&amp;"|"&amp;COUNTIF($AL$11:$AL1463,$AL1463))</f>
        <v/>
      </c>
    </row>
    <row r="1464" spans="38:53" ht="15" customHeight="1" x14ac:dyDescent="0.25">
      <c r="AL1464" s="31"/>
      <c r="AM1464" s="26"/>
      <c r="AN1464" s="32"/>
      <c r="AO1464" s="32"/>
      <c r="AP1464" s="24"/>
      <c r="AQ1464" s="24"/>
      <c r="AR1464" s="33"/>
      <c r="AS1464" s="34"/>
      <c r="AT1464" s="33"/>
      <c r="AV1464" s="21">
        <f>IF(AND($AL1464&lt;&gt;"",COUNTIF($AL$11:$AL1464,$AL1464)=1),1,0)</f>
        <v>0</v>
      </c>
      <c r="AW1464" s="21">
        <f t="shared" si="131"/>
        <v>0</v>
      </c>
      <c r="AX1464" s="21" t="str">
        <f t="shared" si="130"/>
        <v/>
      </c>
      <c r="AY1464" s="21" t="str">
        <f>IF(AND($AM1464&lt;&gt;"",$AS1464&lt;&gt;"✓"),SUMPRODUCT(($AM$11:$AM1464&lt;&gt;"")*($AS$11:$AS1464&lt;&gt;"✓")),"")</f>
        <v/>
      </c>
      <c r="AZ1464" s="21" t="str">
        <f>IF(AND($AM1464&lt;&gt;"",$AS1464="✓"),SUMPRODUCT(($AM$11:$AM1464&lt;&gt;"")*($AS$11:$AS1464="✓")),"")</f>
        <v/>
      </c>
      <c r="BA1464" s="21" t="str">
        <f>IF($AL1464="","",$AL1464&amp;"|"&amp;COUNTIF($AL$11:$AL1464,$AL1464))</f>
        <v/>
      </c>
    </row>
    <row r="1465" spans="38:53" ht="15" customHeight="1" x14ac:dyDescent="0.25">
      <c r="AL1465" s="17"/>
      <c r="AM1465" s="12"/>
      <c r="AN1465" s="18"/>
      <c r="AO1465" s="18"/>
      <c r="AP1465" s="10"/>
      <c r="AQ1465" s="10"/>
      <c r="AR1465" s="19"/>
      <c r="AS1465" s="20"/>
      <c r="AT1465" s="19"/>
      <c r="AV1465" s="21">
        <f>IF(AND($AL1465&lt;&gt;"",COUNTIF($AL$11:$AL1465,$AL1465)=1),1,0)</f>
        <v>0</v>
      </c>
      <c r="AW1465" s="21">
        <f t="shared" si="131"/>
        <v>0</v>
      </c>
      <c r="AX1465" s="21" t="str">
        <f t="shared" si="130"/>
        <v/>
      </c>
      <c r="AY1465" s="21" t="str">
        <f>IF(AND($AM1465&lt;&gt;"",$AS1465&lt;&gt;"✓"),SUMPRODUCT(($AM$11:$AM1465&lt;&gt;"")*($AS$11:$AS1465&lt;&gt;"✓")),"")</f>
        <v/>
      </c>
      <c r="AZ1465" s="21" t="str">
        <f>IF(AND($AM1465&lt;&gt;"",$AS1465="✓"),SUMPRODUCT(($AM$11:$AM1465&lt;&gt;"")*($AS$11:$AS1465="✓")),"")</f>
        <v/>
      </c>
      <c r="BA1465" s="21" t="str">
        <f>IF($AL1465="","",$AL1465&amp;"|"&amp;COUNTIF($AL$11:$AL1465,$AL1465))</f>
        <v/>
      </c>
    </row>
    <row r="1466" spans="38:53" ht="15" customHeight="1" x14ac:dyDescent="0.25">
      <c r="AL1466" s="31"/>
      <c r="AM1466" s="26"/>
      <c r="AN1466" s="32"/>
      <c r="AO1466" s="32"/>
      <c r="AP1466" s="24"/>
      <c r="AQ1466" s="24"/>
      <c r="AR1466" s="33"/>
      <c r="AS1466" s="34"/>
      <c r="AT1466" s="33"/>
      <c r="AV1466" s="21">
        <f>IF(AND($AL1466&lt;&gt;"",COUNTIF($AL$11:$AL1466,$AL1466)=1),1,0)</f>
        <v>0</v>
      </c>
      <c r="AW1466" s="21">
        <f t="shared" si="131"/>
        <v>0</v>
      </c>
      <c r="AX1466" s="21" t="str">
        <f t="shared" si="130"/>
        <v/>
      </c>
      <c r="AY1466" s="21" t="str">
        <f>IF(AND($AM1466&lt;&gt;"",$AS1466&lt;&gt;"✓"),SUMPRODUCT(($AM$11:$AM1466&lt;&gt;"")*($AS$11:$AS1466&lt;&gt;"✓")),"")</f>
        <v/>
      </c>
      <c r="AZ1466" s="21" t="str">
        <f>IF(AND($AM1466&lt;&gt;"",$AS1466="✓"),SUMPRODUCT(($AM$11:$AM1466&lt;&gt;"")*($AS$11:$AS1466="✓")),"")</f>
        <v/>
      </c>
      <c r="BA1466" s="21" t="str">
        <f>IF($AL1466="","",$AL1466&amp;"|"&amp;COUNTIF($AL$11:$AL1466,$AL1466))</f>
        <v/>
      </c>
    </row>
    <row r="1467" spans="38:53" ht="15" customHeight="1" x14ac:dyDescent="0.25">
      <c r="AL1467" s="17"/>
      <c r="AM1467" s="12"/>
      <c r="AN1467" s="18"/>
      <c r="AO1467" s="18"/>
      <c r="AP1467" s="10"/>
      <c r="AQ1467" s="10"/>
      <c r="AR1467" s="19"/>
      <c r="AS1467" s="20"/>
      <c r="AT1467" s="19"/>
      <c r="AV1467" s="21">
        <f>IF(AND($AL1467&lt;&gt;"",COUNTIF($AL$11:$AL1467,$AL1467)=1),1,0)</f>
        <v>0</v>
      </c>
      <c r="AW1467" s="21">
        <f t="shared" si="131"/>
        <v>0</v>
      </c>
      <c r="AX1467" s="21" t="str">
        <f t="shared" si="130"/>
        <v/>
      </c>
      <c r="AY1467" s="21" t="str">
        <f>IF(AND($AM1467&lt;&gt;"",$AS1467&lt;&gt;"✓"),SUMPRODUCT(($AM$11:$AM1467&lt;&gt;"")*($AS$11:$AS1467&lt;&gt;"✓")),"")</f>
        <v/>
      </c>
      <c r="AZ1467" s="21" t="str">
        <f>IF(AND($AM1467&lt;&gt;"",$AS1467="✓"),SUMPRODUCT(($AM$11:$AM1467&lt;&gt;"")*($AS$11:$AS1467="✓")),"")</f>
        <v/>
      </c>
      <c r="BA1467" s="21" t="str">
        <f>IF($AL1467="","",$AL1467&amp;"|"&amp;COUNTIF($AL$11:$AL1467,$AL1467))</f>
        <v/>
      </c>
    </row>
    <row r="1468" spans="38:53" ht="15" customHeight="1" x14ac:dyDescent="0.25">
      <c r="AL1468" s="31"/>
      <c r="AM1468" s="26"/>
      <c r="AN1468" s="32"/>
      <c r="AO1468" s="32"/>
      <c r="AP1468" s="24"/>
      <c r="AQ1468" s="24"/>
      <c r="AR1468" s="33"/>
      <c r="AS1468" s="34"/>
      <c r="AT1468" s="33"/>
      <c r="AV1468" s="21">
        <f>IF(AND($AL1468&lt;&gt;"",COUNTIF($AL$11:$AL1468,$AL1468)=1),1,0)</f>
        <v>0</v>
      </c>
      <c r="AW1468" s="21">
        <f t="shared" si="131"/>
        <v>0</v>
      </c>
      <c r="AX1468" s="21" t="str">
        <f t="shared" si="130"/>
        <v/>
      </c>
      <c r="AY1468" s="21" t="str">
        <f>IF(AND($AM1468&lt;&gt;"",$AS1468&lt;&gt;"✓"),SUMPRODUCT(($AM$11:$AM1468&lt;&gt;"")*($AS$11:$AS1468&lt;&gt;"✓")),"")</f>
        <v/>
      </c>
      <c r="AZ1468" s="21" t="str">
        <f>IF(AND($AM1468&lt;&gt;"",$AS1468="✓"),SUMPRODUCT(($AM$11:$AM1468&lt;&gt;"")*($AS$11:$AS1468="✓")),"")</f>
        <v/>
      </c>
      <c r="BA1468" s="21" t="str">
        <f>IF($AL1468="","",$AL1468&amp;"|"&amp;COUNTIF($AL$11:$AL1468,$AL1468))</f>
        <v/>
      </c>
    </row>
    <row r="1469" spans="38:53" ht="15" customHeight="1" x14ac:dyDescent="0.25">
      <c r="AL1469" s="17"/>
      <c r="AM1469" s="12"/>
      <c r="AN1469" s="18"/>
      <c r="AO1469" s="18"/>
      <c r="AP1469" s="10"/>
      <c r="AQ1469" s="10"/>
      <c r="AR1469" s="19"/>
      <c r="AS1469" s="20"/>
      <c r="AT1469" s="19"/>
      <c r="AV1469" s="21">
        <f>IF(AND($AL1469&lt;&gt;"",COUNTIF($AL$11:$AL1469,$AL1469)=1),1,0)</f>
        <v>0</v>
      </c>
      <c r="AW1469" s="21">
        <f t="shared" si="131"/>
        <v>0</v>
      </c>
      <c r="AX1469" s="21" t="str">
        <f t="shared" si="130"/>
        <v/>
      </c>
      <c r="AY1469" s="21" t="str">
        <f>IF(AND($AM1469&lt;&gt;"",$AS1469&lt;&gt;"✓"),SUMPRODUCT(($AM$11:$AM1469&lt;&gt;"")*($AS$11:$AS1469&lt;&gt;"✓")),"")</f>
        <v/>
      </c>
      <c r="AZ1469" s="21" t="str">
        <f>IF(AND($AM1469&lt;&gt;"",$AS1469="✓"),SUMPRODUCT(($AM$11:$AM1469&lt;&gt;"")*($AS$11:$AS1469="✓")),"")</f>
        <v/>
      </c>
      <c r="BA1469" s="21" t="str">
        <f>IF($AL1469="","",$AL1469&amp;"|"&amp;COUNTIF($AL$11:$AL1469,$AL1469))</f>
        <v/>
      </c>
    </row>
    <row r="1470" spans="38:53" ht="15" customHeight="1" x14ac:dyDescent="0.25">
      <c r="AL1470" s="31"/>
      <c r="AM1470" s="26"/>
      <c r="AN1470" s="32"/>
      <c r="AO1470" s="32"/>
      <c r="AP1470" s="24"/>
      <c r="AQ1470" s="24"/>
      <c r="AR1470" s="33"/>
      <c r="AS1470" s="34"/>
      <c r="AT1470" s="33"/>
      <c r="AV1470" s="21">
        <f>IF(AND($AL1470&lt;&gt;"",COUNTIF($AL$11:$AL1470,$AL1470)=1),1,0)</f>
        <v>0</v>
      </c>
      <c r="AW1470" s="21">
        <f t="shared" si="131"/>
        <v>0</v>
      </c>
      <c r="AX1470" s="21" t="str">
        <f t="shared" si="130"/>
        <v/>
      </c>
      <c r="AY1470" s="21" t="str">
        <f>IF(AND($AM1470&lt;&gt;"",$AS1470&lt;&gt;"✓"),SUMPRODUCT(($AM$11:$AM1470&lt;&gt;"")*($AS$11:$AS1470&lt;&gt;"✓")),"")</f>
        <v/>
      </c>
      <c r="AZ1470" s="21" t="str">
        <f>IF(AND($AM1470&lt;&gt;"",$AS1470="✓"),SUMPRODUCT(($AM$11:$AM1470&lt;&gt;"")*($AS$11:$AS1470="✓")),"")</f>
        <v/>
      </c>
      <c r="BA1470" s="21" t="str">
        <f>IF($AL1470="","",$AL1470&amp;"|"&amp;COUNTIF($AL$11:$AL1470,$AL1470))</f>
        <v/>
      </c>
    </row>
    <row r="1471" spans="38:53" ht="15" customHeight="1" x14ac:dyDescent="0.25">
      <c r="AL1471" s="17"/>
      <c r="AM1471" s="12"/>
      <c r="AN1471" s="18"/>
      <c r="AO1471" s="18"/>
      <c r="AP1471" s="10"/>
      <c r="AQ1471" s="10"/>
      <c r="AR1471" s="19"/>
      <c r="AS1471" s="20"/>
      <c r="AT1471" s="19"/>
      <c r="AV1471" s="21">
        <f>IF(AND($AL1471&lt;&gt;"",COUNTIF($AL$11:$AL1471,$AL1471)=1),1,0)</f>
        <v>0</v>
      </c>
      <c r="AW1471" s="21">
        <f t="shared" si="131"/>
        <v>0</v>
      </c>
      <c r="AX1471" s="21" t="str">
        <f t="shared" si="130"/>
        <v/>
      </c>
      <c r="AY1471" s="21" t="str">
        <f>IF(AND($AM1471&lt;&gt;"",$AS1471&lt;&gt;"✓"),SUMPRODUCT(($AM$11:$AM1471&lt;&gt;"")*($AS$11:$AS1471&lt;&gt;"✓")),"")</f>
        <v/>
      </c>
      <c r="AZ1471" s="21" t="str">
        <f>IF(AND($AM1471&lt;&gt;"",$AS1471="✓"),SUMPRODUCT(($AM$11:$AM1471&lt;&gt;"")*($AS$11:$AS1471="✓")),"")</f>
        <v/>
      </c>
      <c r="BA1471" s="21" t="str">
        <f>IF($AL1471="","",$AL1471&amp;"|"&amp;COUNTIF($AL$11:$AL1471,$AL1471))</f>
        <v/>
      </c>
    </row>
    <row r="1472" spans="38:53" ht="15" customHeight="1" x14ac:dyDescent="0.25">
      <c r="AL1472" s="31"/>
      <c r="AM1472" s="26"/>
      <c r="AN1472" s="32"/>
      <c r="AO1472" s="32"/>
      <c r="AP1472" s="24"/>
      <c r="AQ1472" s="24"/>
      <c r="AR1472" s="33"/>
      <c r="AS1472" s="34"/>
      <c r="AT1472" s="33"/>
      <c r="AV1472" s="21">
        <f>IF(AND($AL1472&lt;&gt;"",COUNTIF($AL$11:$AL1472,$AL1472)=1),1,0)</f>
        <v>0</v>
      </c>
      <c r="AW1472" s="21">
        <f t="shared" si="131"/>
        <v>0</v>
      </c>
      <c r="AX1472" s="21" t="str">
        <f t="shared" si="130"/>
        <v/>
      </c>
      <c r="AY1472" s="21" t="str">
        <f>IF(AND($AM1472&lt;&gt;"",$AS1472&lt;&gt;"✓"),SUMPRODUCT(($AM$11:$AM1472&lt;&gt;"")*($AS$11:$AS1472&lt;&gt;"✓")),"")</f>
        <v/>
      </c>
      <c r="AZ1472" s="21" t="str">
        <f>IF(AND($AM1472&lt;&gt;"",$AS1472="✓"),SUMPRODUCT(($AM$11:$AM1472&lt;&gt;"")*($AS$11:$AS1472="✓")),"")</f>
        <v/>
      </c>
      <c r="BA1472" s="21" t="str">
        <f>IF($AL1472="","",$AL1472&amp;"|"&amp;COUNTIF($AL$11:$AL1472,$AL1472))</f>
        <v/>
      </c>
    </row>
    <row r="1473" spans="38:53" ht="15" customHeight="1" x14ac:dyDescent="0.25">
      <c r="AL1473" s="17"/>
      <c r="AM1473" s="12"/>
      <c r="AN1473" s="18"/>
      <c r="AO1473" s="18"/>
      <c r="AP1473" s="10"/>
      <c r="AQ1473" s="10"/>
      <c r="AR1473" s="19"/>
      <c r="AS1473" s="20"/>
      <c r="AT1473" s="19"/>
      <c r="AV1473" s="21">
        <f>IF(AND($AL1473&lt;&gt;"",COUNTIF($AL$11:$AL1473,$AL1473)=1),1,0)</f>
        <v>0</v>
      </c>
      <c r="AW1473" s="21">
        <f t="shared" si="131"/>
        <v>0</v>
      </c>
      <c r="AX1473" s="21" t="str">
        <f t="shared" si="130"/>
        <v/>
      </c>
      <c r="AY1473" s="21" t="str">
        <f>IF(AND($AM1473&lt;&gt;"",$AS1473&lt;&gt;"✓"),SUMPRODUCT(($AM$11:$AM1473&lt;&gt;"")*($AS$11:$AS1473&lt;&gt;"✓")),"")</f>
        <v/>
      </c>
      <c r="AZ1473" s="21" t="str">
        <f>IF(AND($AM1473&lt;&gt;"",$AS1473="✓"),SUMPRODUCT(($AM$11:$AM1473&lt;&gt;"")*($AS$11:$AS1473="✓")),"")</f>
        <v/>
      </c>
      <c r="BA1473" s="21" t="str">
        <f>IF($AL1473="","",$AL1473&amp;"|"&amp;COUNTIF($AL$11:$AL1473,$AL1473))</f>
        <v/>
      </c>
    </row>
    <row r="1474" spans="38:53" ht="15" customHeight="1" x14ac:dyDescent="0.25">
      <c r="AL1474" s="31"/>
      <c r="AM1474" s="26"/>
      <c r="AN1474" s="32"/>
      <c r="AO1474" s="32"/>
      <c r="AP1474" s="24"/>
      <c r="AQ1474" s="24"/>
      <c r="AR1474" s="33"/>
      <c r="AS1474" s="34"/>
      <c r="AT1474" s="33"/>
      <c r="AV1474" s="21">
        <f>IF(AND($AL1474&lt;&gt;"",COUNTIF($AL$11:$AL1474,$AL1474)=1),1,0)</f>
        <v>0</v>
      </c>
      <c r="AW1474" s="21">
        <f t="shared" si="131"/>
        <v>0</v>
      </c>
      <c r="AX1474" s="21" t="str">
        <f t="shared" si="130"/>
        <v/>
      </c>
      <c r="AY1474" s="21" t="str">
        <f>IF(AND($AM1474&lt;&gt;"",$AS1474&lt;&gt;"✓"),SUMPRODUCT(($AM$11:$AM1474&lt;&gt;"")*($AS$11:$AS1474&lt;&gt;"✓")),"")</f>
        <v/>
      </c>
      <c r="AZ1474" s="21" t="str">
        <f>IF(AND($AM1474&lt;&gt;"",$AS1474="✓"),SUMPRODUCT(($AM$11:$AM1474&lt;&gt;"")*($AS$11:$AS1474="✓")),"")</f>
        <v/>
      </c>
      <c r="BA1474" s="21" t="str">
        <f>IF($AL1474="","",$AL1474&amp;"|"&amp;COUNTIF($AL$11:$AL1474,$AL1474))</f>
        <v/>
      </c>
    </row>
    <row r="1475" spans="38:53" ht="15" customHeight="1" x14ac:dyDescent="0.25">
      <c r="AL1475" s="17"/>
      <c r="AM1475" s="12"/>
      <c r="AN1475" s="18"/>
      <c r="AO1475" s="18"/>
      <c r="AP1475" s="10"/>
      <c r="AQ1475" s="10"/>
      <c r="AR1475" s="19"/>
      <c r="AS1475" s="20"/>
      <c r="AT1475" s="19"/>
      <c r="AV1475" s="21">
        <f>IF(AND($AL1475&lt;&gt;"",COUNTIF($AL$11:$AL1475,$AL1475)=1),1,0)</f>
        <v>0</v>
      </c>
      <c r="AW1475" s="21">
        <f t="shared" si="131"/>
        <v>0</v>
      </c>
      <c r="AX1475" s="21" t="str">
        <f t="shared" si="130"/>
        <v/>
      </c>
      <c r="AY1475" s="21" t="str">
        <f>IF(AND($AM1475&lt;&gt;"",$AS1475&lt;&gt;"✓"),SUMPRODUCT(($AM$11:$AM1475&lt;&gt;"")*($AS$11:$AS1475&lt;&gt;"✓")),"")</f>
        <v/>
      </c>
      <c r="AZ1475" s="21" t="str">
        <f>IF(AND($AM1475&lt;&gt;"",$AS1475="✓"),SUMPRODUCT(($AM$11:$AM1475&lt;&gt;"")*($AS$11:$AS1475="✓")),"")</f>
        <v/>
      </c>
      <c r="BA1475" s="21" t="str">
        <f>IF($AL1475="","",$AL1475&amp;"|"&amp;COUNTIF($AL$11:$AL1475,$AL1475))</f>
        <v/>
      </c>
    </row>
    <row r="1476" spans="38:53" ht="15" customHeight="1" x14ac:dyDescent="0.25">
      <c r="AL1476" s="31"/>
      <c r="AM1476" s="26"/>
      <c r="AN1476" s="32"/>
      <c r="AO1476" s="32"/>
      <c r="AP1476" s="24"/>
      <c r="AQ1476" s="24"/>
      <c r="AR1476" s="33"/>
      <c r="AS1476" s="34"/>
      <c r="AT1476" s="33"/>
      <c r="AV1476" s="21">
        <f>IF(AND($AL1476&lt;&gt;"",COUNTIF($AL$11:$AL1476,$AL1476)=1),1,0)</f>
        <v>0</v>
      </c>
      <c r="AW1476" s="21">
        <f t="shared" si="131"/>
        <v>0</v>
      </c>
      <c r="AX1476" s="21" t="str">
        <f t="shared" si="130"/>
        <v/>
      </c>
      <c r="AY1476" s="21" t="str">
        <f>IF(AND($AM1476&lt;&gt;"",$AS1476&lt;&gt;"✓"),SUMPRODUCT(($AM$11:$AM1476&lt;&gt;"")*($AS$11:$AS1476&lt;&gt;"✓")),"")</f>
        <v/>
      </c>
      <c r="AZ1476" s="21" t="str">
        <f>IF(AND($AM1476&lt;&gt;"",$AS1476="✓"),SUMPRODUCT(($AM$11:$AM1476&lt;&gt;"")*($AS$11:$AS1476="✓")),"")</f>
        <v/>
      </c>
      <c r="BA1476" s="21" t="str">
        <f>IF($AL1476="","",$AL1476&amp;"|"&amp;COUNTIF($AL$11:$AL1476,$AL1476))</f>
        <v/>
      </c>
    </row>
    <row r="1477" spans="38:53" ht="15" customHeight="1" x14ac:dyDescent="0.25">
      <c r="AL1477" s="17"/>
      <c r="AM1477" s="12"/>
      <c r="AN1477" s="18"/>
      <c r="AO1477" s="18"/>
      <c r="AP1477" s="10"/>
      <c r="AQ1477" s="10"/>
      <c r="AR1477" s="19"/>
      <c r="AS1477" s="20"/>
      <c r="AT1477" s="19"/>
      <c r="AV1477" s="21">
        <f>IF(AND($AL1477&lt;&gt;"",COUNTIF($AL$11:$AL1477,$AL1477)=1),1,0)</f>
        <v>0</v>
      </c>
      <c r="AW1477" s="21">
        <f t="shared" si="131"/>
        <v>0</v>
      </c>
      <c r="AX1477" s="21" t="str">
        <f t="shared" si="130"/>
        <v/>
      </c>
      <c r="AY1477" s="21" t="str">
        <f>IF(AND($AM1477&lt;&gt;"",$AS1477&lt;&gt;"✓"),SUMPRODUCT(($AM$11:$AM1477&lt;&gt;"")*($AS$11:$AS1477&lt;&gt;"✓")),"")</f>
        <v/>
      </c>
      <c r="AZ1477" s="21" t="str">
        <f>IF(AND($AM1477&lt;&gt;"",$AS1477="✓"),SUMPRODUCT(($AM$11:$AM1477&lt;&gt;"")*($AS$11:$AS1477="✓")),"")</f>
        <v/>
      </c>
      <c r="BA1477" s="21" t="str">
        <f>IF($AL1477="","",$AL1477&amp;"|"&amp;COUNTIF($AL$11:$AL1477,$AL1477))</f>
        <v/>
      </c>
    </row>
    <row r="1478" spans="38:53" ht="15" customHeight="1" x14ac:dyDescent="0.25">
      <c r="AL1478" s="31"/>
      <c r="AM1478" s="26"/>
      <c r="AN1478" s="32"/>
      <c r="AO1478" s="32"/>
      <c r="AP1478" s="24"/>
      <c r="AQ1478" s="24"/>
      <c r="AR1478" s="33"/>
      <c r="AS1478" s="34"/>
      <c r="AT1478" s="33"/>
      <c r="AV1478" s="21">
        <f>IF(AND($AL1478&lt;&gt;"",COUNTIF($AL$11:$AL1478,$AL1478)=1),1,0)</f>
        <v>0</v>
      </c>
      <c r="AW1478" s="21">
        <f t="shared" si="131"/>
        <v>0</v>
      </c>
      <c r="AX1478" s="21" t="str">
        <f t="shared" si="130"/>
        <v/>
      </c>
      <c r="AY1478" s="21" t="str">
        <f>IF(AND($AM1478&lt;&gt;"",$AS1478&lt;&gt;"✓"),SUMPRODUCT(($AM$11:$AM1478&lt;&gt;"")*($AS$11:$AS1478&lt;&gt;"✓")),"")</f>
        <v/>
      </c>
      <c r="AZ1478" s="21" t="str">
        <f>IF(AND($AM1478&lt;&gt;"",$AS1478="✓"),SUMPRODUCT(($AM$11:$AM1478&lt;&gt;"")*($AS$11:$AS1478="✓")),"")</f>
        <v/>
      </c>
      <c r="BA1478" s="21" t="str">
        <f>IF($AL1478="","",$AL1478&amp;"|"&amp;COUNTIF($AL$11:$AL1478,$AL1478))</f>
        <v/>
      </c>
    </row>
    <row r="1479" spans="38:53" ht="15" customHeight="1" x14ac:dyDescent="0.25">
      <c r="AL1479" s="17"/>
      <c r="AM1479" s="12"/>
      <c r="AN1479" s="18"/>
      <c r="AO1479" s="18"/>
      <c r="AP1479" s="10"/>
      <c r="AQ1479" s="10"/>
      <c r="AR1479" s="19"/>
      <c r="AS1479" s="20"/>
      <c r="AT1479" s="19"/>
      <c r="AV1479" s="21">
        <f>IF(AND($AL1479&lt;&gt;"",COUNTIF($AL$11:$AL1479,$AL1479)=1),1,0)</f>
        <v>0</v>
      </c>
      <c r="AW1479" s="21">
        <f t="shared" si="131"/>
        <v>0</v>
      </c>
      <c r="AX1479" s="21" t="str">
        <f t="shared" si="130"/>
        <v/>
      </c>
      <c r="AY1479" s="21" t="str">
        <f>IF(AND($AM1479&lt;&gt;"",$AS1479&lt;&gt;"✓"),SUMPRODUCT(($AM$11:$AM1479&lt;&gt;"")*($AS$11:$AS1479&lt;&gt;"✓")),"")</f>
        <v/>
      </c>
      <c r="AZ1479" s="21" t="str">
        <f>IF(AND($AM1479&lt;&gt;"",$AS1479="✓"),SUMPRODUCT(($AM$11:$AM1479&lt;&gt;"")*($AS$11:$AS1479="✓")),"")</f>
        <v/>
      </c>
      <c r="BA1479" s="21" t="str">
        <f>IF($AL1479="","",$AL1479&amp;"|"&amp;COUNTIF($AL$11:$AL1479,$AL1479))</f>
        <v/>
      </c>
    </row>
    <row r="1480" spans="38:53" ht="15" customHeight="1" x14ac:dyDescent="0.25">
      <c r="AL1480" s="31"/>
      <c r="AM1480" s="26"/>
      <c r="AN1480" s="32"/>
      <c r="AO1480" s="32"/>
      <c r="AP1480" s="24"/>
      <c r="AQ1480" s="24"/>
      <c r="AR1480" s="33"/>
      <c r="AS1480" s="34"/>
      <c r="AT1480" s="33"/>
      <c r="AV1480" s="21">
        <f>IF(AND($AL1480&lt;&gt;"",COUNTIF($AL$11:$AL1480,$AL1480)=1),1,0)</f>
        <v>0</v>
      </c>
      <c r="AW1480" s="21">
        <f t="shared" si="131"/>
        <v>0</v>
      </c>
      <c r="AX1480" s="21" t="str">
        <f t="shared" si="130"/>
        <v/>
      </c>
      <c r="AY1480" s="21" t="str">
        <f>IF(AND($AM1480&lt;&gt;"",$AS1480&lt;&gt;"✓"),SUMPRODUCT(($AM$11:$AM1480&lt;&gt;"")*($AS$11:$AS1480&lt;&gt;"✓")),"")</f>
        <v/>
      </c>
      <c r="AZ1480" s="21" t="str">
        <f>IF(AND($AM1480&lt;&gt;"",$AS1480="✓"),SUMPRODUCT(($AM$11:$AM1480&lt;&gt;"")*($AS$11:$AS1480="✓")),"")</f>
        <v/>
      </c>
      <c r="BA1480" s="21" t="str">
        <f>IF($AL1480="","",$AL1480&amp;"|"&amp;COUNTIF($AL$11:$AL1480,$AL1480))</f>
        <v/>
      </c>
    </row>
    <row r="1481" spans="38:53" ht="15" customHeight="1" x14ac:dyDescent="0.25">
      <c r="AL1481" s="17"/>
      <c r="AM1481" s="12"/>
      <c r="AN1481" s="18"/>
      <c r="AO1481" s="18"/>
      <c r="AP1481" s="10"/>
      <c r="AQ1481" s="10"/>
      <c r="AR1481" s="19"/>
      <c r="AS1481" s="20"/>
      <c r="AT1481" s="19"/>
      <c r="AV1481" s="21">
        <f>IF(AND($AL1481&lt;&gt;"",COUNTIF($AL$11:$AL1481,$AL1481)=1),1,0)</f>
        <v>0</v>
      </c>
      <c r="AW1481" s="21">
        <f t="shared" si="131"/>
        <v>0</v>
      </c>
      <c r="AX1481" s="21" t="str">
        <f t="shared" si="130"/>
        <v/>
      </c>
      <c r="AY1481" s="21" t="str">
        <f>IF(AND($AM1481&lt;&gt;"",$AS1481&lt;&gt;"✓"),SUMPRODUCT(($AM$11:$AM1481&lt;&gt;"")*($AS$11:$AS1481&lt;&gt;"✓")),"")</f>
        <v/>
      </c>
      <c r="AZ1481" s="21" t="str">
        <f>IF(AND($AM1481&lt;&gt;"",$AS1481="✓"),SUMPRODUCT(($AM$11:$AM1481&lt;&gt;"")*($AS$11:$AS1481="✓")),"")</f>
        <v/>
      </c>
      <c r="BA1481" s="21" t="str">
        <f>IF($AL1481="","",$AL1481&amp;"|"&amp;COUNTIF($AL$11:$AL1481,$AL1481))</f>
        <v/>
      </c>
    </row>
    <row r="1482" spans="38:53" ht="15" customHeight="1" x14ac:dyDescent="0.25">
      <c r="AL1482" s="31"/>
      <c r="AM1482" s="26"/>
      <c r="AN1482" s="32"/>
      <c r="AO1482" s="32"/>
      <c r="AP1482" s="24"/>
      <c r="AQ1482" s="24"/>
      <c r="AR1482" s="33"/>
      <c r="AS1482" s="34"/>
      <c r="AT1482" s="33"/>
      <c r="AV1482" s="21">
        <f>IF(AND($AL1482&lt;&gt;"",COUNTIF($AL$11:$AL1482,$AL1482)=1),1,0)</f>
        <v>0</v>
      </c>
      <c r="AW1482" s="21">
        <f t="shared" si="131"/>
        <v>0</v>
      </c>
      <c r="AX1482" s="21" t="str">
        <f t="shared" si="130"/>
        <v/>
      </c>
      <c r="AY1482" s="21" t="str">
        <f>IF(AND($AM1482&lt;&gt;"",$AS1482&lt;&gt;"✓"),SUMPRODUCT(($AM$11:$AM1482&lt;&gt;"")*($AS$11:$AS1482&lt;&gt;"✓")),"")</f>
        <v/>
      </c>
      <c r="AZ1482" s="21" t="str">
        <f>IF(AND($AM1482&lt;&gt;"",$AS1482="✓"),SUMPRODUCT(($AM$11:$AM1482&lt;&gt;"")*($AS$11:$AS1482="✓")),"")</f>
        <v/>
      </c>
      <c r="BA1482" s="21" t="str">
        <f>IF($AL1482="","",$AL1482&amp;"|"&amp;COUNTIF($AL$11:$AL1482,$AL1482))</f>
        <v/>
      </c>
    </row>
    <row r="1483" spans="38:53" ht="15" customHeight="1" x14ac:dyDescent="0.25">
      <c r="AL1483" s="17"/>
      <c r="AM1483" s="12"/>
      <c r="AN1483" s="18"/>
      <c r="AO1483" s="18"/>
      <c r="AP1483" s="10"/>
      <c r="AQ1483" s="10"/>
      <c r="AR1483" s="19"/>
      <c r="AS1483" s="20"/>
      <c r="AT1483" s="19"/>
      <c r="AV1483" s="21">
        <f>IF(AND($AL1483&lt;&gt;"",COUNTIF($AL$11:$AL1483,$AL1483)=1),1,0)</f>
        <v>0</v>
      </c>
      <c r="AW1483" s="21">
        <f t="shared" si="131"/>
        <v>0</v>
      </c>
      <c r="AX1483" s="21" t="str">
        <f t="shared" ref="AX1483:AX1546" si="132">IF(AV1483=1,AW1483,"")</f>
        <v/>
      </c>
      <c r="AY1483" s="21" t="str">
        <f>IF(AND($AM1483&lt;&gt;"",$AS1483&lt;&gt;"✓"),SUMPRODUCT(($AM$11:$AM1483&lt;&gt;"")*($AS$11:$AS1483&lt;&gt;"✓")),"")</f>
        <v/>
      </c>
      <c r="AZ1483" s="21" t="str">
        <f>IF(AND($AM1483&lt;&gt;"",$AS1483="✓"),SUMPRODUCT(($AM$11:$AM1483&lt;&gt;"")*($AS$11:$AS1483="✓")),"")</f>
        <v/>
      </c>
      <c r="BA1483" s="21" t="str">
        <f>IF($AL1483="","",$AL1483&amp;"|"&amp;COUNTIF($AL$11:$AL1483,$AL1483))</f>
        <v/>
      </c>
    </row>
    <row r="1484" spans="38:53" ht="15" customHeight="1" x14ac:dyDescent="0.25">
      <c r="AL1484" s="31"/>
      <c r="AM1484" s="26"/>
      <c r="AN1484" s="32"/>
      <c r="AO1484" s="32"/>
      <c r="AP1484" s="24"/>
      <c r="AQ1484" s="24"/>
      <c r="AR1484" s="33"/>
      <c r="AS1484" s="34"/>
      <c r="AT1484" s="33"/>
      <c r="AV1484" s="21">
        <f>IF(AND($AL1484&lt;&gt;"",COUNTIF($AL$11:$AL1484,$AL1484)=1),1,0)</f>
        <v>0</v>
      </c>
      <c r="AW1484" s="21">
        <f t="shared" ref="AW1484:AW1547" si="133">AW1483+AV1484</f>
        <v>0</v>
      </c>
      <c r="AX1484" s="21" t="str">
        <f t="shared" si="132"/>
        <v/>
      </c>
      <c r="AY1484" s="21" t="str">
        <f>IF(AND($AM1484&lt;&gt;"",$AS1484&lt;&gt;"✓"),SUMPRODUCT(($AM$11:$AM1484&lt;&gt;"")*($AS$11:$AS1484&lt;&gt;"✓")),"")</f>
        <v/>
      </c>
      <c r="AZ1484" s="21" t="str">
        <f>IF(AND($AM1484&lt;&gt;"",$AS1484="✓"),SUMPRODUCT(($AM$11:$AM1484&lt;&gt;"")*($AS$11:$AS1484="✓")),"")</f>
        <v/>
      </c>
      <c r="BA1484" s="21" t="str">
        <f>IF($AL1484="","",$AL1484&amp;"|"&amp;COUNTIF($AL$11:$AL1484,$AL1484))</f>
        <v/>
      </c>
    </row>
    <row r="1485" spans="38:53" ht="15" customHeight="1" x14ac:dyDescent="0.25">
      <c r="AL1485" s="17"/>
      <c r="AM1485" s="12"/>
      <c r="AN1485" s="18"/>
      <c r="AO1485" s="18"/>
      <c r="AP1485" s="10"/>
      <c r="AQ1485" s="10"/>
      <c r="AR1485" s="19"/>
      <c r="AS1485" s="20"/>
      <c r="AT1485" s="19"/>
      <c r="AV1485" s="21">
        <f>IF(AND($AL1485&lt;&gt;"",COUNTIF($AL$11:$AL1485,$AL1485)=1),1,0)</f>
        <v>0</v>
      </c>
      <c r="AW1485" s="21">
        <f t="shared" si="133"/>
        <v>0</v>
      </c>
      <c r="AX1485" s="21" t="str">
        <f t="shared" si="132"/>
        <v/>
      </c>
      <c r="AY1485" s="21" t="str">
        <f>IF(AND($AM1485&lt;&gt;"",$AS1485&lt;&gt;"✓"),SUMPRODUCT(($AM$11:$AM1485&lt;&gt;"")*($AS$11:$AS1485&lt;&gt;"✓")),"")</f>
        <v/>
      </c>
      <c r="AZ1485" s="21" t="str">
        <f>IF(AND($AM1485&lt;&gt;"",$AS1485="✓"),SUMPRODUCT(($AM$11:$AM1485&lt;&gt;"")*($AS$11:$AS1485="✓")),"")</f>
        <v/>
      </c>
      <c r="BA1485" s="21" t="str">
        <f>IF($AL1485="","",$AL1485&amp;"|"&amp;COUNTIF($AL$11:$AL1485,$AL1485))</f>
        <v/>
      </c>
    </row>
    <row r="1486" spans="38:53" ht="15" customHeight="1" x14ac:dyDescent="0.25">
      <c r="AL1486" s="31"/>
      <c r="AM1486" s="26"/>
      <c r="AN1486" s="32"/>
      <c r="AO1486" s="32"/>
      <c r="AP1486" s="24"/>
      <c r="AQ1486" s="24"/>
      <c r="AR1486" s="33"/>
      <c r="AS1486" s="34"/>
      <c r="AT1486" s="33"/>
      <c r="AV1486" s="21">
        <f>IF(AND($AL1486&lt;&gt;"",COUNTIF($AL$11:$AL1486,$AL1486)=1),1,0)</f>
        <v>0</v>
      </c>
      <c r="AW1486" s="21">
        <f t="shared" si="133"/>
        <v>0</v>
      </c>
      <c r="AX1486" s="21" t="str">
        <f t="shared" si="132"/>
        <v/>
      </c>
      <c r="AY1486" s="21" t="str">
        <f>IF(AND($AM1486&lt;&gt;"",$AS1486&lt;&gt;"✓"),SUMPRODUCT(($AM$11:$AM1486&lt;&gt;"")*($AS$11:$AS1486&lt;&gt;"✓")),"")</f>
        <v/>
      </c>
      <c r="AZ1486" s="21" t="str">
        <f>IF(AND($AM1486&lt;&gt;"",$AS1486="✓"),SUMPRODUCT(($AM$11:$AM1486&lt;&gt;"")*($AS$11:$AS1486="✓")),"")</f>
        <v/>
      </c>
      <c r="BA1486" s="21" t="str">
        <f>IF($AL1486="","",$AL1486&amp;"|"&amp;COUNTIF($AL$11:$AL1486,$AL1486))</f>
        <v/>
      </c>
    </row>
    <row r="1487" spans="38:53" ht="15" customHeight="1" x14ac:dyDescent="0.25">
      <c r="AL1487" s="17"/>
      <c r="AM1487" s="12"/>
      <c r="AN1487" s="18"/>
      <c r="AO1487" s="18"/>
      <c r="AP1487" s="10"/>
      <c r="AQ1487" s="10"/>
      <c r="AR1487" s="19"/>
      <c r="AS1487" s="20"/>
      <c r="AT1487" s="19"/>
      <c r="AV1487" s="21">
        <f>IF(AND($AL1487&lt;&gt;"",COUNTIF($AL$11:$AL1487,$AL1487)=1),1,0)</f>
        <v>0</v>
      </c>
      <c r="AW1487" s="21">
        <f t="shared" si="133"/>
        <v>0</v>
      </c>
      <c r="AX1487" s="21" t="str">
        <f t="shared" si="132"/>
        <v/>
      </c>
      <c r="AY1487" s="21" t="str">
        <f>IF(AND($AM1487&lt;&gt;"",$AS1487&lt;&gt;"✓"),SUMPRODUCT(($AM$11:$AM1487&lt;&gt;"")*($AS$11:$AS1487&lt;&gt;"✓")),"")</f>
        <v/>
      </c>
      <c r="AZ1487" s="21" t="str">
        <f>IF(AND($AM1487&lt;&gt;"",$AS1487="✓"),SUMPRODUCT(($AM$11:$AM1487&lt;&gt;"")*($AS$11:$AS1487="✓")),"")</f>
        <v/>
      </c>
      <c r="BA1487" s="21" t="str">
        <f>IF($AL1487="","",$AL1487&amp;"|"&amp;COUNTIF($AL$11:$AL1487,$AL1487))</f>
        <v/>
      </c>
    </row>
    <row r="1488" spans="38:53" ht="15" customHeight="1" x14ac:dyDescent="0.25">
      <c r="AL1488" s="31"/>
      <c r="AM1488" s="26"/>
      <c r="AN1488" s="32"/>
      <c r="AO1488" s="32"/>
      <c r="AP1488" s="24"/>
      <c r="AQ1488" s="24"/>
      <c r="AR1488" s="33"/>
      <c r="AS1488" s="34"/>
      <c r="AT1488" s="33"/>
      <c r="AV1488" s="21">
        <f>IF(AND($AL1488&lt;&gt;"",COUNTIF($AL$11:$AL1488,$AL1488)=1),1,0)</f>
        <v>0</v>
      </c>
      <c r="AW1488" s="21">
        <f t="shared" si="133"/>
        <v>0</v>
      </c>
      <c r="AX1488" s="21" t="str">
        <f t="shared" si="132"/>
        <v/>
      </c>
      <c r="AY1488" s="21" t="str">
        <f>IF(AND($AM1488&lt;&gt;"",$AS1488&lt;&gt;"✓"),SUMPRODUCT(($AM$11:$AM1488&lt;&gt;"")*($AS$11:$AS1488&lt;&gt;"✓")),"")</f>
        <v/>
      </c>
      <c r="AZ1488" s="21" t="str">
        <f>IF(AND($AM1488&lt;&gt;"",$AS1488="✓"),SUMPRODUCT(($AM$11:$AM1488&lt;&gt;"")*($AS$11:$AS1488="✓")),"")</f>
        <v/>
      </c>
      <c r="BA1488" s="21" t="str">
        <f>IF($AL1488="","",$AL1488&amp;"|"&amp;COUNTIF($AL$11:$AL1488,$AL1488))</f>
        <v/>
      </c>
    </row>
    <row r="1489" spans="38:53" ht="15" customHeight="1" x14ac:dyDescent="0.25">
      <c r="AL1489" s="17"/>
      <c r="AM1489" s="12"/>
      <c r="AN1489" s="18"/>
      <c r="AO1489" s="18"/>
      <c r="AP1489" s="10"/>
      <c r="AQ1489" s="10"/>
      <c r="AR1489" s="19"/>
      <c r="AS1489" s="20"/>
      <c r="AT1489" s="19"/>
      <c r="AV1489" s="21">
        <f>IF(AND($AL1489&lt;&gt;"",COUNTIF($AL$11:$AL1489,$AL1489)=1),1,0)</f>
        <v>0</v>
      </c>
      <c r="AW1489" s="21">
        <f t="shared" si="133"/>
        <v>0</v>
      </c>
      <c r="AX1489" s="21" t="str">
        <f t="shared" si="132"/>
        <v/>
      </c>
      <c r="AY1489" s="21" t="str">
        <f>IF(AND($AM1489&lt;&gt;"",$AS1489&lt;&gt;"✓"),SUMPRODUCT(($AM$11:$AM1489&lt;&gt;"")*($AS$11:$AS1489&lt;&gt;"✓")),"")</f>
        <v/>
      </c>
      <c r="AZ1489" s="21" t="str">
        <f>IF(AND($AM1489&lt;&gt;"",$AS1489="✓"),SUMPRODUCT(($AM$11:$AM1489&lt;&gt;"")*($AS$11:$AS1489="✓")),"")</f>
        <v/>
      </c>
      <c r="BA1489" s="21" t="str">
        <f>IF($AL1489="","",$AL1489&amp;"|"&amp;COUNTIF($AL$11:$AL1489,$AL1489))</f>
        <v/>
      </c>
    </row>
    <row r="1490" spans="38:53" ht="15" customHeight="1" x14ac:dyDescent="0.25">
      <c r="AL1490" s="31"/>
      <c r="AM1490" s="26"/>
      <c r="AN1490" s="32"/>
      <c r="AO1490" s="32"/>
      <c r="AP1490" s="24"/>
      <c r="AQ1490" s="24"/>
      <c r="AR1490" s="33"/>
      <c r="AS1490" s="34"/>
      <c r="AT1490" s="33"/>
      <c r="AV1490" s="21">
        <f>IF(AND($AL1490&lt;&gt;"",COUNTIF($AL$11:$AL1490,$AL1490)=1),1,0)</f>
        <v>0</v>
      </c>
      <c r="AW1490" s="21">
        <f t="shared" si="133"/>
        <v>0</v>
      </c>
      <c r="AX1490" s="21" t="str">
        <f t="shared" si="132"/>
        <v/>
      </c>
      <c r="AY1490" s="21" t="str">
        <f>IF(AND($AM1490&lt;&gt;"",$AS1490&lt;&gt;"✓"),SUMPRODUCT(($AM$11:$AM1490&lt;&gt;"")*($AS$11:$AS1490&lt;&gt;"✓")),"")</f>
        <v/>
      </c>
      <c r="AZ1490" s="21" t="str">
        <f>IF(AND($AM1490&lt;&gt;"",$AS1490="✓"),SUMPRODUCT(($AM$11:$AM1490&lt;&gt;"")*($AS$11:$AS1490="✓")),"")</f>
        <v/>
      </c>
      <c r="BA1490" s="21" t="str">
        <f>IF($AL1490="","",$AL1490&amp;"|"&amp;COUNTIF($AL$11:$AL1490,$AL1490))</f>
        <v/>
      </c>
    </row>
    <row r="1491" spans="38:53" ht="15" customHeight="1" x14ac:dyDescent="0.25">
      <c r="AL1491" s="17"/>
      <c r="AM1491" s="12"/>
      <c r="AN1491" s="18"/>
      <c r="AO1491" s="18"/>
      <c r="AP1491" s="10"/>
      <c r="AQ1491" s="10"/>
      <c r="AR1491" s="19"/>
      <c r="AS1491" s="20"/>
      <c r="AT1491" s="19"/>
      <c r="AV1491" s="21">
        <f>IF(AND($AL1491&lt;&gt;"",COUNTIF($AL$11:$AL1491,$AL1491)=1),1,0)</f>
        <v>0</v>
      </c>
      <c r="AW1491" s="21">
        <f t="shared" si="133"/>
        <v>0</v>
      </c>
      <c r="AX1491" s="21" t="str">
        <f t="shared" si="132"/>
        <v/>
      </c>
      <c r="AY1491" s="21" t="str">
        <f>IF(AND($AM1491&lt;&gt;"",$AS1491&lt;&gt;"✓"),SUMPRODUCT(($AM$11:$AM1491&lt;&gt;"")*($AS$11:$AS1491&lt;&gt;"✓")),"")</f>
        <v/>
      </c>
      <c r="AZ1491" s="21" t="str">
        <f>IF(AND($AM1491&lt;&gt;"",$AS1491="✓"),SUMPRODUCT(($AM$11:$AM1491&lt;&gt;"")*($AS$11:$AS1491="✓")),"")</f>
        <v/>
      </c>
      <c r="BA1491" s="21" t="str">
        <f>IF($AL1491="","",$AL1491&amp;"|"&amp;COUNTIF($AL$11:$AL1491,$AL1491))</f>
        <v/>
      </c>
    </row>
    <row r="1492" spans="38:53" ht="15" customHeight="1" x14ac:dyDescent="0.25">
      <c r="AL1492" s="31"/>
      <c r="AM1492" s="26"/>
      <c r="AN1492" s="32"/>
      <c r="AO1492" s="32"/>
      <c r="AP1492" s="24"/>
      <c r="AQ1492" s="24"/>
      <c r="AR1492" s="33"/>
      <c r="AS1492" s="34"/>
      <c r="AT1492" s="33"/>
      <c r="AV1492" s="21">
        <f>IF(AND($AL1492&lt;&gt;"",COUNTIF($AL$11:$AL1492,$AL1492)=1),1,0)</f>
        <v>0</v>
      </c>
      <c r="AW1492" s="21">
        <f t="shared" si="133"/>
        <v>0</v>
      </c>
      <c r="AX1492" s="21" t="str">
        <f t="shared" si="132"/>
        <v/>
      </c>
      <c r="AY1492" s="21" t="str">
        <f>IF(AND($AM1492&lt;&gt;"",$AS1492&lt;&gt;"✓"),SUMPRODUCT(($AM$11:$AM1492&lt;&gt;"")*($AS$11:$AS1492&lt;&gt;"✓")),"")</f>
        <v/>
      </c>
      <c r="AZ1492" s="21" t="str">
        <f>IF(AND($AM1492&lt;&gt;"",$AS1492="✓"),SUMPRODUCT(($AM$11:$AM1492&lt;&gt;"")*($AS$11:$AS1492="✓")),"")</f>
        <v/>
      </c>
      <c r="BA1492" s="21" t="str">
        <f>IF($AL1492="","",$AL1492&amp;"|"&amp;COUNTIF($AL$11:$AL1492,$AL1492))</f>
        <v/>
      </c>
    </row>
    <row r="1493" spans="38:53" ht="15" customHeight="1" x14ac:dyDescent="0.25">
      <c r="AL1493" s="17"/>
      <c r="AM1493" s="12"/>
      <c r="AN1493" s="18"/>
      <c r="AO1493" s="18"/>
      <c r="AP1493" s="10"/>
      <c r="AQ1493" s="10"/>
      <c r="AR1493" s="19"/>
      <c r="AS1493" s="20"/>
      <c r="AT1493" s="19"/>
      <c r="AV1493" s="21">
        <f>IF(AND($AL1493&lt;&gt;"",COUNTIF($AL$11:$AL1493,$AL1493)=1),1,0)</f>
        <v>0</v>
      </c>
      <c r="AW1493" s="21">
        <f t="shared" si="133"/>
        <v>0</v>
      </c>
      <c r="AX1493" s="21" t="str">
        <f t="shared" si="132"/>
        <v/>
      </c>
      <c r="AY1493" s="21" t="str">
        <f>IF(AND($AM1493&lt;&gt;"",$AS1493&lt;&gt;"✓"),SUMPRODUCT(($AM$11:$AM1493&lt;&gt;"")*($AS$11:$AS1493&lt;&gt;"✓")),"")</f>
        <v/>
      </c>
      <c r="AZ1493" s="21" t="str">
        <f>IF(AND($AM1493&lt;&gt;"",$AS1493="✓"),SUMPRODUCT(($AM$11:$AM1493&lt;&gt;"")*($AS$11:$AS1493="✓")),"")</f>
        <v/>
      </c>
      <c r="BA1493" s="21" t="str">
        <f>IF($AL1493="","",$AL1493&amp;"|"&amp;COUNTIF($AL$11:$AL1493,$AL1493))</f>
        <v/>
      </c>
    </row>
    <row r="1494" spans="38:53" ht="15" customHeight="1" x14ac:dyDescent="0.25">
      <c r="AL1494" s="31"/>
      <c r="AM1494" s="26"/>
      <c r="AN1494" s="32"/>
      <c r="AO1494" s="32"/>
      <c r="AP1494" s="24"/>
      <c r="AQ1494" s="24"/>
      <c r="AR1494" s="33"/>
      <c r="AS1494" s="34"/>
      <c r="AT1494" s="33"/>
      <c r="AV1494" s="21">
        <f>IF(AND($AL1494&lt;&gt;"",COUNTIF($AL$11:$AL1494,$AL1494)=1),1,0)</f>
        <v>0</v>
      </c>
      <c r="AW1494" s="21">
        <f t="shared" si="133"/>
        <v>0</v>
      </c>
      <c r="AX1494" s="21" t="str">
        <f t="shared" si="132"/>
        <v/>
      </c>
      <c r="AY1494" s="21" t="str">
        <f>IF(AND($AM1494&lt;&gt;"",$AS1494&lt;&gt;"✓"),SUMPRODUCT(($AM$11:$AM1494&lt;&gt;"")*($AS$11:$AS1494&lt;&gt;"✓")),"")</f>
        <v/>
      </c>
      <c r="AZ1494" s="21" t="str">
        <f>IF(AND($AM1494&lt;&gt;"",$AS1494="✓"),SUMPRODUCT(($AM$11:$AM1494&lt;&gt;"")*($AS$11:$AS1494="✓")),"")</f>
        <v/>
      </c>
      <c r="BA1494" s="21" t="str">
        <f>IF($AL1494="","",$AL1494&amp;"|"&amp;COUNTIF($AL$11:$AL1494,$AL1494))</f>
        <v/>
      </c>
    </row>
    <row r="1495" spans="38:53" ht="15" customHeight="1" x14ac:dyDescent="0.25">
      <c r="AL1495" s="17"/>
      <c r="AM1495" s="12"/>
      <c r="AN1495" s="18"/>
      <c r="AO1495" s="18"/>
      <c r="AP1495" s="10"/>
      <c r="AQ1495" s="10"/>
      <c r="AR1495" s="19"/>
      <c r="AS1495" s="20"/>
      <c r="AT1495" s="19"/>
      <c r="AV1495" s="21">
        <f>IF(AND($AL1495&lt;&gt;"",COUNTIF($AL$11:$AL1495,$AL1495)=1),1,0)</f>
        <v>0</v>
      </c>
      <c r="AW1495" s="21">
        <f t="shared" si="133"/>
        <v>0</v>
      </c>
      <c r="AX1495" s="21" t="str">
        <f t="shared" si="132"/>
        <v/>
      </c>
      <c r="AY1495" s="21" t="str">
        <f>IF(AND($AM1495&lt;&gt;"",$AS1495&lt;&gt;"✓"),SUMPRODUCT(($AM$11:$AM1495&lt;&gt;"")*($AS$11:$AS1495&lt;&gt;"✓")),"")</f>
        <v/>
      </c>
      <c r="AZ1495" s="21" t="str">
        <f>IF(AND($AM1495&lt;&gt;"",$AS1495="✓"),SUMPRODUCT(($AM$11:$AM1495&lt;&gt;"")*($AS$11:$AS1495="✓")),"")</f>
        <v/>
      </c>
      <c r="BA1495" s="21" t="str">
        <f>IF($AL1495="","",$AL1495&amp;"|"&amp;COUNTIF($AL$11:$AL1495,$AL1495))</f>
        <v/>
      </c>
    </row>
    <row r="1496" spans="38:53" ht="15" customHeight="1" x14ac:dyDescent="0.25">
      <c r="AL1496" s="31"/>
      <c r="AM1496" s="26"/>
      <c r="AN1496" s="32"/>
      <c r="AO1496" s="32"/>
      <c r="AP1496" s="24"/>
      <c r="AQ1496" s="24"/>
      <c r="AR1496" s="33"/>
      <c r="AS1496" s="34"/>
      <c r="AT1496" s="33"/>
      <c r="AV1496" s="21">
        <f>IF(AND($AL1496&lt;&gt;"",COUNTIF($AL$11:$AL1496,$AL1496)=1),1,0)</f>
        <v>0</v>
      </c>
      <c r="AW1496" s="21">
        <f t="shared" si="133"/>
        <v>0</v>
      </c>
      <c r="AX1496" s="21" t="str">
        <f t="shared" si="132"/>
        <v/>
      </c>
      <c r="AY1496" s="21" t="str">
        <f>IF(AND($AM1496&lt;&gt;"",$AS1496&lt;&gt;"✓"),SUMPRODUCT(($AM$11:$AM1496&lt;&gt;"")*($AS$11:$AS1496&lt;&gt;"✓")),"")</f>
        <v/>
      </c>
      <c r="AZ1496" s="21" t="str">
        <f>IF(AND($AM1496&lt;&gt;"",$AS1496="✓"),SUMPRODUCT(($AM$11:$AM1496&lt;&gt;"")*($AS$11:$AS1496="✓")),"")</f>
        <v/>
      </c>
      <c r="BA1496" s="21" t="str">
        <f>IF($AL1496="","",$AL1496&amp;"|"&amp;COUNTIF($AL$11:$AL1496,$AL1496))</f>
        <v/>
      </c>
    </row>
    <row r="1497" spans="38:53" ht="15" customHeight="1" x14ac:dyDescent="0.25">
      <c r="AL1497" s="17"/>
      <c r="AM1497" s="12"/>
      <c r="AN1497" s="18"/>
      <c r="AO1497" s="18"/>
      <c r="AP1497" s="10"/>
      <c r="AQ1497" s="10"/>
      <c r="AR1497" s="19"/>
      <c r="AS1497" s="20"/>
      <c r="AT1497" s="19"/>
      <c r="AV1497" s="21">
        <f>IF(AND($AL1497&lt;&gt;"",COUNTIF($AL$11:$AL1497,$AL1497)=1),1,0)</f>
        <v>0</v>
      </c>
      <c r="AW1497" s="21">
        <f t="shared" si="133"/>
        <v>0</v>
      </c>
      <c r="AX1497" s="21" t="str">
        <f t="shared" si="132"/>
        <v/>
      </c>
      <c r="AY1497" s="21" t="str">
        <f>IF(AND($AM1497&lt;&gt;"",$AS1497&lt;&gt;"✓"),SUMPRODUCT(($AM$11:$AM1497&lt;&gt;"")*($AS$11:$AS1497&lt;&gt;"✓")),"")</f>
        <v/>
      </c>
      <c r="AZ1497" s="21" t="str">
        <f>IF(AND($AM1497&lt;&gt;"",$AS1497="✓"),SUMPRODUCT(($AM$11:$AM1497&lt;&gt;"")*($AS$11:$AS1497="✓")),"")</f>
        <v/>
      </c>
      <c r="BA1497" s="21" t="str">
        <f>IF($AL1497="","",$AL1497&amp;"|"&amp;COUNTIF($AL$11:$AL1497,$AL1497))</f>
        <v/>
      </c>
    </row>
    <row r="1498" spans="38:53" ht="15" customHeight="1" x14ac:dyDescent="0.25">
      <c r="AL1498" s="31"/>
      <c r="AM1498" s="26"/>
      <c r="AN1498" s="32"/>
      <c r="AO1498" s="32"/>
      <c r="AP1498" s="24"/>
      <c r="AQ1498" s="24"/>
      <c r="AR1498" s="33"/>
      <c r="AS1498" s="34"/>
      <c r="AT1498" s="33"/>
      <c r="AV1498" s="21">
        <f>IF(AND($AL1498&lt;&gt;"",COUNTIF($AL$11:$AL1498,$AL1498)=1),1,0)</f>
        <v>0</v>
      </c>
      <c r="AW1498" s="21">
        <f t="shared" si="133"/>
        <v>0</v>
      </c>
      <c r="AX1498" s="21" t="str">
        <f t="shared" si="132"/>
        <v/>
      </c>
      <c r="AY1498" s="21" t="str">
        <f>IF(AND($AM1498&lt;&gt;"",$AS1498&lt;&gt;"✓"),SUMPRODUCT(($AM$11:$AM1498&lt;&gt;"")*($AS$11:$AS1498&lt;&gt;"✓")),"")</f>
        <v/>
      </c>
      <c r="AZ1498" s="21" t="str">
        <f>IF(AND($AM1498&lt;&gt;"",$AS1498="✓"),SUMPRODUCT(($AM$11:$AM1498&lt;&gt;"")*($AS$11:$AS1498="✓")),"")</f>
        <v/>
      </c>
      <c r="BA1498" s="21" t="str">
        <f>IF($AL1498="","",$AL1498&amp;"|"&amp;COUNTIF($AL$11:$AL1498,$AL1498))</f>
        <v/>
      </c>
    </row>
    <row r="1499" spans="38:53" ht="15" customHeight="1" x14ac:dyDescent="0.25">
      <c r="AL1499" s="17"/>
      <c r="AM1499" s="12"/>
      <c r="AN1499" s="18"/>
      <c r="AO1499" s="18"/>
      <c r="AP1499" s="10"/>
      <c r="AQ1499" s="10"/>
      <c r="AR1499" s="19"/>
      <c r="AS1499" s="20"/>
      <c r="AT1499" s="19"/>
      <c r="AV1499" s="21">
        <f>IF(AND($AL1499&lt;&gt;"",COUNTIF($AL$11:$AL1499,$AL1499)=1),1,0)</f>
        <v>0</v>
      </c>
      <c r="AW1499" s="21">
        <f t="shared" si="133"/>
        <v>0</v>
      </c>
      <c r="AX1499" s="21" t="str">
        <f t="shared" si="132"/>
        <v/>
      </c>
      <c r="AY1499" s="21" t="str">
        <f>IF(AND($AM1499&lt;&gt;"",$AS1499&lt;&gt;"✓"),SUMPRODUCT(($AM$11:$AM1499&lt;&gt;"")*($AS$11:$AS1499&lt;&gt;"✓")),"")</f>
        <v/>
      </c>
      <c r="AZ1499" s="21" t="str">
        <f>IF(AND($AM1499&lt;&gt;"",$AS1499="✓"),SUMPRODUCT(($AM$11:$AM1499&lt;&gt;"")*($AS$11:$AS1499="✓")),"")</f>
        <v/>
      </c>
      <c r="BA1499" s="21" t="str">
        <f>IF($AL1499="","",$AL1499&amp;"|"&amp;COUNTIF($AL$11:$AL1499,$AL1499))</f>
        <v/>
      </c>
    </row>
    <row r="1500" spans="38:53" ht="15" customHeight="1" x14ac:dyDescent="0.25">
      <c r="AL1500" s="31"/>
      <c r="AM1500" s="26"/>
      <c r="AN1500" s="32"/>
      <c r="AO1500" s="32"/>
      <c r="AP1500" s="24"/>
      <c r="AQ1500" s="24"/>
      <c r="AR1500" s="33"/>
      <c r="AS1500" s="34"/>
      <c r="AT1500" s="33"/>
      <c r="AV1500" s="21">
        <f>IF(AND($AL1500&lt;&gt;"",COUNTIF($AL$11:$AL1500,$AL1500)=1),1,0)</f>
        <v>0</v>
      </c>
      <c r="AW1500" s="21">
        <f t="shared" si="133"/>
        <v>0</v>
      </c>
      <c r="AX1500" s="21" t="str">
        <f t="shared" si="132"/>
        <v/>
      </c>
      <c r="AY1500" s="21" t="str">
        <f>IF(AND($AM1500&lt;&gt;"",$AS1500&lt;&gt;"✓"),SUMPRODUCT(($AM$11:$AM1500&lt;&gt;"")*($AS$11:$AS1500&lt;&gt;"✓")),"")</f>
        <v/>
      </c>
      <c r="AZ1500" s="21" t="str">
        <f>IF(AND($AM1500&lt;&gt;"",$AS1500="✓"),SUMPRODUCT(($AM$11:$AM1500&lt;&gt;"")*($AS$11:$AS1500="✓")),"")</f>
        <v/>
      </c>
      <c r="BA1500" s="21" t="str">
        <f>IF($AL1500="","",$AL1500&amp;"|"&amp;COUNTIF($AL$11:$AL1500,$AL1500))</f>
        <v/>
      </c>
    </row>
    <row r="1501" spans="38:53" ht="15" customHeight="1" x14ac:dyDescent="0.25">
      <c r="AL1501" s="17"/>
      <c r="AM1501" s="12"/>
      <c r="AN1501" s="18"/>
      <c r="AO1501" s="18"/>
      <c r="AP1501" s="10"/>
      <c r="AQ1501" s="10"/>
      <c r="AR1501" s="19"/>
      <c r="AS1501" s="20"/>
      <c r="AT1501" s="19"/>
      <c r="AV1501" s="21">
        <f>IF(AND($AL1501&lt;&gt;"",COUNTIF($AL$11:$AL1501,$AL1501)=1),1,0)</f>
        <v>0</v>
      </c>
      <c r="AW1501" s="21">
        <f t="shared" si="133"/>
        <v>0</v>
      </c>
      <c r="AX1501" s="21" t="str">
        <f t="shared" si="132"/>
        <v/>
      </c>
      <c r="AY1501" s="21" t="str">
        <f>IF(AND($AM1501&lt;&gt;"",$AS1501&lt;&gt;"✓"),SUMPRODUCT(($AM$11:$AM1501&lt;&gt;"")*($AS$11:$AS1501&lt;&gt;"✓")),"")</f>
        <v/>
      </c>
      <c r="AZ1501" s="21" t="str">
        <f>IF(AND($AM1501&lt;&gt;"",$AS1501="✓"),SUMPRODUCT(($AM$11:$AM1501&lt;&gt;"")*($AS$11:$AS1501="✓")),"")</f>
        <v/>
      </c>
      <c r="BA1501" s="21" t="str">
        <f>IF($AL1501="","",$AL1501&amp;"|"&amp;COUNTIF($AL$11:$AL1501,$AL1501))</f>
        <v/>
      </c>
    </row>
    <row r="1502" spans="38:53" ht="15" customHeight="1" x14ac:dyDescent="0.25">
      <c r="AL1502" s="31"/>
      <c r="AM1502" s="26"/>
      <c r="AN1502" s="32"/>
      <c r="AO1502" s="32"/>
      <c r="AP1502" s="24"/>
      <c r="AQ1502" s="24"/>
      <c r="AR1502" s="33"/>
      <c r="AS1502" s="34"/>
      <c r="AT1502" s="33"/>
      <c r="AV1502" s="21">
        <f>IF(AND($AL1502&lt;&gt;"",COUNTIF($AL$11:$AL1502,$AL1502)=1),1,0)</f>
        <v>0</v>
      </c>
      <c r="AW1502" s="21">
        <f t="shared" si="133"/>
        <v>0</v>
      </c>
      <c r="AX1502" s="21" t="str">
        <f t="shared" si="132"/>
        <v/>
      </c>
      <c r="AY1502" s="21" t="str">
        <f>IF(AND($AM1502&lt;&gt;"",$AS1502&lt;&gt;"✓"),SUMPRODUCT(($AM$11:$AM1502&lt;&gt;"")*($AS$11:$AS1502&lt;&gt;"✓")),"")</f>
        <v/>
      </c>
      <c r="AZ1502" s="21" t="str">
        <f>IF(AND($AM1502&lt;&gt;"",$AS1502="✓"),SUMPRODUCT(($AM$11:$AM1502&lt;&gt;"")*($AS$11:$AS1502="✓")),"")</f>
        <v/>
      </c>
      <c r="BA1502" s="21" t="str">
        <f>IF($AL1502="","",$AL1502&amp;"|"&amp;COUNTIF($AL$11:$AL1502,$AL1502))</f>
        <v/>
      </c>
    </row>
    <row r="1503" spans="38:53" ht="15" customHeight="1" x14ac:dyDescent="0.25">
      <c r="AL1503" s="17"/>
      <c r="AM1503" s="12"/>
      <c r="AN1503" s="18"/>
      <c r="AO1503" s="18"/>
      <c r="AP1503" s="10"/>
      <c r="AQ1503" s="10"/>
      <c r="AR1503" s="19"/>
      <c r="AS1503" s="20"/>
      <c r="AT1503" s="19"/>
      <c r="AV1503" s="21">
        <f>IF(AND($AL1503&lt;&gt;"",COUNTIF($AL$11:$AL1503,$AL1503)=1),1,0)</f>
        <v>0</v>
      </c>
      <c r="AW1503" s="21">
        <f t="shared" si="133"/>
        <v>0</v>
      </c>
      <c r="AX1503" s="21" t="str">
        <f t="shared" si="132"/>
        <v/>
      </c>
      <c r="AY1503" s="21" t="str">
        <f>IF(AND($AM1503&lt;&gt;"",$AS1503&lt;&gt;"✓"),SUMPRODUCT(($AM$11:$AM1503&lt;&gt;"")*($AS$11:$AS1503&lt;&gt;"✓")),"")</f>
        <v/>
      </c>
      <c r="AZ1503" s="21" t="str">
        <f>IF(AND($AM1503&lt;&gt;"",$AS1503="✓"),SUMPRODUCT(($AM$11:$AM1503&lt;&gt;"")*($AS$11:$AS1503="✓")),"")</f>
        <v/>
      </c>
      <c r="BA1503" s="21" t="str">
        <f>IF($AL1503="","",$AL1503&amp;"|"&amp;COUNTIF($AL$11:$AL1503,$AL1503))</f>
        <v/>
      </c>
    </row>
    <row r="1504" spans="38:53" ht="15" customHeight="1" x14ac:dyDescent="0.25">
      <c r="AL1504" s="31"/>
      <c r="AM1504" s="26"/>
      <c r="AN1504" s="32"/>
      <c r="AO1504" s="32"/>
      <c r="AP1504" s="24"/>
      <c r="AQ1504" s="24"/>
      <c r="AR1504" s="33"/>
      <c r="AS1504" s="34"/>
      <c r="AT1504" s="33"/>
      <c r="AV1504" s="21">
        <f>IF(AND($AL1504&lt;&gt;"",COUNTIF($AL$11:$AL1504,$AL1504)=1),1,0)</f>
        <v>0</v>
      </c>
      <c r="AW1504" s="21">
        <f t="shared" si="133"/>
        <v>0</v>
      </c>
      <c r="AX1504" s="21" t="str">
        <f t="shared" si="132"/>
        <v/>
      </c>
      <c r="AY1504" s="21" t="str">
        <f>IF(AND($AM1504&lt;&gt;"",$AS1504&lt;&gt;"✓"),SUMPRODUCT(($AM$11:$AM1504&lt;&gt;"")*($AS$11:$AS1504&lt;&gt;"✓")),"")</f>
        <v/>
      </c>
      <c r="AZ1504" s="21" t="str">
        <f>IF(AND($AM1504&lt;&gt;"",$AS1504="✓"),SUMPRODUCT(($AM$11:$AM1504&lt;&gt;"")*($AS$11:$AS1504="✓")),"")</f>
        <v/>
      </c>
      <c r="BA1504" s="21" t="str">
        <f>IF($AL1504="","",$AL1504&amp;"|"&amp;COUNTIF($AL$11:$AL1504,$AL1504))</f>
        <v/>
      </c>
    </row>
    <row r="1505" spans="38:53" ht="15" customHeight="1" x14ac:dyDescent="0.25">
      <c r="AL1505" s="17"/>
      <c r="AM1505" s="12"/>
      <c r="AN1505" s="18"/>
      <c r="AO1505" s="18"/>
      <c r="AP1505" s="10"/>
      <c r="AQ1505" s="10"/>
      <c r="AR1505" s="19"/>
      <c r="AS1505" s="20"/>
      <c r="AT1505" s="19"/>
      <c r="AV1505" s="21">
        <f>IF(AND($AL1505&lt;&gt;"",COUNTIF($AL$11:$AL1505,$AL1505)=1),1,0)</f>
        <v>0</v>
      </c>
      <c r="AW1505" s="21">
        <f t="shared" si="133"/>
        <v>0</v>
      </c>
      <c r="AX1505" s="21" t="str">
        <f t="shared" si="132"/>
        <v/>
      </c>
      <c r="AY1505" s="21" t="str">
        <f>IF(AND($AM1505&lt;&gt;"",$AS1505&lt;&gt;"✓"),SUMPRODUCT(($AM$11:$AM1505&lt;&gt;"")*($AS$11:$AS1505&lt;&gt;"✓")),"")</f>
        <v/>
      </c>
      <c r="AZ1505" s="21" t="str">
        <f>IF(AND($AM1505&lt;&gt;"",$AS1505="✓"),SUMPRODUCT(($AM$11:$AM1505&lt;&gt;"")*($AS$11:$AS1505="✓")),"")</f>
        <v/>
      </c>
      <c r="BA1505" s="21" t="str">
        <f>IF($AL1505="","",$AL1505&amp;"|"&amp;COUNTIF($AL$11:$AL1505,$AL1505))</f>
        <v/>
      </c>
    </row>
    <row r="1506" spans="38:53" ht="15" customHeight="1" x14ac:dyDescent="0.25">
      <c r="AL1506" s="31"/>
      <c r="AM1506" s="26"/>
      <c r="AN1506" s="32"/>
      <c r="AO1506" s="32"/>
      <c r="AP1506" s="24"/>
      <c r="AQ1506" s="24"/>
      <c r="AR1506" s="33"/>
      <c r="AS1506" s="34"/>
      <c r="AT1506" s="33"/>
      <c r="AV1506" s="21">
        <f>IF(AND($AL1506&lt;&gt;"",COUNTIF($AL$11:$AL1506,$AL1506)=1),1,0)</f>
        <v>0</v>
      </c>
      <c r="AW1506" s="21">
        <f t="shared" si="133"/>
        <v>0</v>
      </c>
      <c r="AX1506" s="21" t="str">
        <f t="shared" si="132"/>
        <v/>
      </c>
      <c r="AY1506" s="21" t="str">
        <f>IF(AND($AM1506&lt;&gt;"",$AS1506&lt;&gt;"✓"),SUMPRODUCT(($AM$11:$AM1506&lt;&gt;"")*($AS$11:$AS1506&lt;&gt;"✓")),"")</f>
        <v/>
      </c>
      <c r="AZ1506" s="21" t="str">
        <f>IF(AND($AM1506&lt;&gt;"",$AS1506="✓"),SUMPRODUCT(($AM$11:$AM1506&lt;&gt;"")*($AS$11:$AS1506="✓")),"")</f>
        <v/>
      </c>
      <c r="BA1506" s="21" t="str">
        <f>IF($AL1506="","",$AL1506&amp;"|"&amp;COUNTIF($AL$11:$AL1506,$AL1506))</f>
        <v/>
      </c>
    </row>
    <row r="1507" spans="38:53" ht="15" customHeight="1" x14ac:dyDescent="0.25">
      <c r="AL1507" s="17"/>
      <c r="AM1507" s="12"/>
      <c r="AN1507" s="18"/>
      <c r="AO1507" s="18"/>
      <c r="AP1507" s="10"/>
      <c r="AQ1507" s="10"/>
      <c r="AR1507" s="19"/>
      <c r="AS1507" s="20"/>
      <c r="AT1507" s="19"/>
      <c r="AV1507" s="21">
        <f>IF(AND($AL1507&lt;&gt;"",COUNTIF($AL$11:$AL1507,$AL1507)=1),1,0)</f>
        <v>0</v>
      </c>
      <c r="AW1507" s="21">
        <f t="shared" si="133"/>
        <v>0</v>
      </c>
      <c r="AX1507" s="21" t="str">
        <f t="shared" si="132"/>
        <v/>
      </c>
      <c r="AY1507" s="21" t="str">
        <f>IF(AND($AM1507&lt;&gt;"",$AS1507&lt;&gt;"✓"),SUMPRODUCT(($AM$11:$AM1507&lt;&gt;"")*($AS$11:$AS1507&lt;&gt;"✓")),"")</f>
        <v/>
      </c>
      <c r="AZ1507" s="21" t="str">
        <f>IF(AND($AM1507&lt;&gt;"",$AS1507="✓"),SUMPRODUCT(($AM$11:$AM1507&lt;&gt;"")*($AS$11:$AS1507="✓")),"")</f>
        <v/>
      </c>
      <c r="BA1507" s="21" t="str">
        <f>IF($AL1507="","",$AL1507&amp;"|"&amp;COUNTIF($AL$11:$AL1507,$AL1507))</f>
        <v/>
      </c>
    </row>
    <row r="1508" spans="38:53" ht="15" customHeight="1" x14ac:dyDescent="0.25">
      <c r="AL1508" s="31"/>
      <c r="AM1508" s="26"/>
      <c r="AN1508" s="32"/>
      <c r="AO1508" s="32"/>
      <c r="AP1508" s="24"/>
      <c r="AQ1508" s="24"/>
      <c r="AR1508" s="33"/>
      <c r="AS1508" s="34"/>
      <c r="AT1508" s="33"/>
      <c r="AV1508" s="21">
        <f>IF(AND($AL1508&lt;&gt;"",COUNTIF($AL$11:$AL1508,$AL1508)=1),1,0)</f>
        <v>0</v>
      </c>
      <c r="AW1508" s="21">
        <f t="shared" si="133"/>
        <v>0</v>
      </c>
      <c r="AX1508" s="21" t="str">
        <f t="shared" si="132"/>
        <v/>
      </c>
      <c r="AY1508" s="21" t="str">
        <f>IF(AND($AM1508&lt;&gt;"",$AS1508&lt;&gt;"✓"),SUMPRODUCT(($AM$11:$AM1508&lt;&gt;"")*($AS$11:$AS1508&lt;&gt;"✓")),"")</f>
        <v/>
      </c>
      <c r="AZ1508" s="21" t="str">
        <f>IF(AND($AM1508&lt;&gt;"",$AS1508="✓"),SUMPRODUCT(($AM$11:$AM1508&lt;&gt;"")*($AS$11:$AS1508="✓")),"")</f>
        <v/>
      </c>
      <c r="BA1508" s="21" t="str">
        <f>IF($AL1508="","",$AL1508&amp;"|"&amp;COUNTIF($AL$11:$AL1508,$AL1508))</f>
        <v/>
      </c>
    </row>
    <row r="1509" spans="38:53" ht="15" customHeight="1" x14ac:dyDescent="0.25">
      <c r="AL1509" s="17"/>
      <c r="AM1509" s="12"/>
      <c r="AN1509" s="18"/>
      <c r="AO1509" s="18"/>
      <c r="AP1509" s="10"/>
      <c r="AQ1509" s="10"/>
      <c r="AR1509" s="19"/>
      <c r="AS1509" s="20"/>
      <c r="AT1509" s="19"/>
      <c r="AV1509" s="21">
        <f>IF(AND($AL1509&lt;&gt;"",COUNTIF($AL$11:$AL1509,$AL1509)=1),1,0)</f>
        <v>0</v>
      </c>
      <c r="AW1509" s="21">
        <f t="shared" si="133"/>
        <v>0</v>
      </c>
      <c r="AX1509" s="21" t="str">
        <f t="shared" si="132"/>
        <v/>
      </c>
      <c r="AY1509" s="21" t="str">
        <f>IF(AND($AM1509&lt;&gt;"",$AS1509&lt;&gt;"✓"),SUMPRODUCT(($AM$11:$AM1509&lt;&gt;"")*($AS$11:$AS1509&lt;&gt;"✓")),"")</f>
        <v/>
      </c>
      <c r="AZ1509" s="21" t="str">
        <f>IF(AND($AM1509&lt;&gt;"",$AS1509="✓"),SUMPRODUCT(($AM$11:$AM1509&lt;&gt;"")*($AS$11:$AS1509="✓")),"")</f>
        <v/>
      </c>
      <c r="BA1509" s="21" t="str">
        <f>IF($AL1509="","",$AL1509&amp;"|"&amp;COUNTIF($AL$11:$AL1509,$AL1509))</f>
        <v/>
      </c>
    </row>
    <row r="1510" spans="38:53" ht="15" customHeight="1" x14ac:dyDescent="0.25">
      <c r="AL1510" s="31"/>
      <c r="AM1510" s="26"/>
      <c r="AN1510" s="32"/>
      <c r="AO1510" s="32"/>
      <c r="AP1510" s="24"/>
      <c r="AQ1510" s="24"/>
      <c r="AR1510" s="33"/>
      <c r="AS1510" s="34"/>
      <c r="AT1510" s="33"/>
      <c r="AV1510" s="21">
        <f>IF(AND($AL1510&lt;&gt;"",COUNTIF($AL$11:$AL1510,$AL1510)=1),1,0)</f>
        <v>0</v>
      </c>
      <c r="AW1510" s="21">
        <f t="shared" si="133"/>
        <v>0</v>
      </c>
      <c r="AX1510" s="21" t="str">
        <f t="shared" si="132"/>
        <v/>
      </c>
      <c r="AY1510" s="21" t="str">
        <f>IF(AND($AM1510&lt;&gt;"",$AS1510&lt;&gt;"✓"),SUMPRODUCT(($AM$11:$AM1510&lt;&gt;"")*($AS$11:$AS1510&lt;&gt;"✓")),"")</f>
        <v/>
      </c>
      <c r="AZ1510" s="21" t="str">
        <f>IF(AND($AM1510&lt;&gt;"",$AS1510="✓"),SUMPRODUCT(($AM$11:$AM1510&lt;&gt;"")*($AS$11:$AS1510="✓")),"")</f>
        <v/>
      </c>
      <c r="BA1510" s="21" t="str">
        <f>IF($AL1510="","",$AL1510&amp;"|"&amp;COUNTIF($AL$11:$AL1510,$AL1510))</f>
        <v/>
      </c>
    </row>
    <row r="1511" spans="38:53" ht="15" customHeight="1" x14ac:dyDescent="0.25">
      <c r="AL1511" s="17"/>
      <c r="AM1511" s="12"/>
      <c r="AN1511" s="18"/>
      <c r="AO1511" s="18"/>
      <c r="AP1511" s="10"/>
      <c r="AQ1511" s="10"/>
      <c r="AR1511" s="19"/>
      <c r="AS1511" s="20"/>
      <c r="AT1511" s="19"/>
      <c r="AV1511" s="21">
        <f>IF(AND($AL1511&lt;&gt;"",COUNTIF($AL$11:$AL1511,$AL1511)=1),1,0)</f>
        <v>0</v>
      </c>
      <c r="AW1511" s="21">
        <f t="shared" si="133"/>
        <v>0</v>
      </c>
      <c r="AX1511" s="21" t="str">
        <f t="shared" si="132"/>
        <v/>
      </c>
      <c r="AY1511" s="21" t="str">
        <f>IF(AND($AM1511&lt;&gt;"",$AS1511&lt;&gt;"✓"),SUMPRODUCT(($AM$11:$AM1511&lt;&gt;"")*($AS$11:$AS1511&lt;&gt;"✓")),"")</f>
        <v/>
      </c>
      <c r="AZ1511" s="21" t="str">
        <f>IF(AND($AM1511&lt;&gt;"",$AS1511="✓"),SUMPRODUCT(($AM$11:$AM1511&lt;&gt;"")*($AS$11:$AS1511="✓")),"")</f>
        <v/>
      </c>
      <c r="BA1511" s="21" t="str">
        <f>IF($AL1511="","",$AL1511&amp;"|"&amp;COUNTIF($AL$11:$AL1511,$AL1511))</f>
        <v/>
      </c>
    </row>
    <row r="1512" spans="38:53" ht="15" customHeight="1" x14ac:dyDescent="0.25">
      <c r="AL1512" s="31"/>
      <c r="AM1512" s="26"/>
      <c r="AN1512" s="32"/>
      <c r="AO1512" s="32"/>
      <c r="AP1512" s="24"/>
      <c r="AQ1512" s="24"/>
      <c r="AR1512" s="33"/>
      <c r="AS1512" s="34"/>
      <c r="AT1512" s="33"/>
      <c r="AV1512" s="21">
        <f>IF(AND($AL1512&lt;&gt;"",COUNTIF($AL$11:$AL1512,$AL1512)=1),1,0)</f>
        <v>0</v>
      </c>
      <c r="AW1512" s="21">
        <f t="shared" si="133"/>
        <v>0</v>
      </c>
      <c r="AX1512" s="21" t="str">
        <f t="shared" si="132"/>
        <v/>
      </c>
      <c r="AY1512" s="21" t="str">
        <f>IF(AND($AM1512&lt;&gt;"",$AS1512&lt;&gt;"✓"),SUMPRODUCT(($AM$11:$AM1512&lt;&gt;"")*($AS$11:$AS1512&lt;&gt;"✓")),"")</f>
        <v/>
      </c>
      <c r="AZ1512" s="21" t="str">
        <f>IF(AND($AM1512&lt;&gt;"",$AS1512="✓"),SUMPRODUCT(($AM$11:$AM1512&lt;&gt;"")*($AS$11:$AS1512="✓")),"")</f>
        <v/>
      </c>
      <c r="BA1512" s="21" t="str">
        <f>IF($AL1512="","",$AL1512&amp;"|"&amp;COUNTIF($AL$11:$AL1512,$AL1512))</f>
        <v/>
      </c>
    </row>
    <row r="1513" spans="38:53" ht="15" customHeight="1" x14ac:dyDescent="0.25">
      <c r="AL1513" s="17"/>
      <c r="AM1513" s="12"/>
      <c r="AN1513" s="18"/>
      <c r="AO1513" s="18"/>
      <c r="AP1513" s="10"/>
      <c r="AQ1513" s="10"/>
      <c r="AR1513" s="19"/>
      <c r="AS1513" s="20"/>
      <c r="AT1513" s="19"/>
      <c r="AV1513" s="21">
        <f>IF(AND($AL1513&lt;&gt;"",COUNTIF($AL$11:$AL1513,$AL1513)=1),1,0)</f>
        <v>0</v>
      </c>
      <c r="AW1513" s="21">
        <f t="shared" si="133"/>
        <v>0</v>
      </c>
      <c r="AX1513" s="21" t="str">
        <f t="shared" si="132"/>
        <v/>
      </c>
      <c r="AY1513" s="21" t="str">
        <f>IF(AND($AM1513&lt;&gt;"",$AS1513&lt;&gt;"✓"),SUMPRODUCT(($AM$11:$AM1513&lt;&gt;"")*($AS$11:$AS1513&lt;&gt;"✓")),"")</f>
        <v/>
      </c>
      <c r="AZ1513" s="21" t="str">
        <f>IF(AND($AM1513&lt;&gt;"",$AS1513="✓"),SUMPRODUCT(($AM$11:$AM1513&lt;&gt;"")*($AS$11:$AS1513="✓")),"")</f>
        <v/>
      </c>
      <c r="BA1513" s="21" t="str">
        <f>IF($AL1513="","",$AL1513&amp;"|"&amp;COUNTIF($AL$11:$AL1513,$AL1513))</f>
        <v/>
      </c>
    </row>
    <row r="1514" spans="38:53" ht="15" customHeight="1" x14ac:dyDescent="0.25">
      <c r="AL1514" s="31"/>
      <c r="AM1514" s="26"/>
      <c r="AN1514" s="32"/>
      <c r="AO1514" s="32"/>
      <c r="AP1514" s="24"/>
      <c r="AQ1514" s="24"/>
      <c r="AR1514" s="33"/>
      <c r="AS1514" s="34"/>
      <c r="AT1514" s="33"/>
      <c r="AV1514" s="21">
        <f>IF(AND($AL1514&lt;&gt;"",COUNTIF($AL$11:$AL1514,$AL1514)=1),1,0)</f>
        <v>0</v>
      </c>
      <c r="AW1514" s="21">
        <f t="shared" si="133"/>
        <v>0</v>
      </c>
      <c r="AX1514" s="21" t="str">
        <f t="shared" si="132"/>
        <v/>
      </c>
      <c r="AY1514" s="21" t="str">
        <f>IF(AND($AM1514&lt;&gt;"",$AS1514&lt;&gt;"✓"),SUMPRODUCT(($AM$11:$AM1514&lt;&gt;"")*($AS$11:$AS1514&lt;&gt;"✓")),"")</f>
        <v/>
      </c>
      <c r="AZ1514" s="21" t="str">
        <f>IF(AND($AM1514&lt;&gt;"",$AS1514="✓"),SUMPRODUCT(($AM$11:$AM1514&lt;&gt;"")*($AS$11:$AS1514="✓")),"")</f>
        <v/>
      </c>
      <c r="BA1514" s="21" t="str">
        <f>IF($AL1514="","",$AL1514&amp;"|"&amp;COUNTIF($AL$11:$AL1514,$AL1514))</f>
        <v/>
      </c>
    </row>
    <row r="1515" spans="38:53" ht="15" customHeight="1" x14ac:dyDescent="0.25">
      <c r="AL1515" s="17"/>
      <c r="AM1515" s="12"/>
      <c r="AN1515" s="18"/>
      <c r="AO1515" s="18"/>
      <c r="AP1515" s="10"/>
      <c r="AQ1515" s="10"/>
      <c r="AR1515" s="19"/>
      <c r="AS1515" s="20"/>
      <c r="AT1515" s="19"/>
      <c r="AV1515" s="21">
        <f>IF(AND($AL1515&lt;&gt;"",COUNTIF($AL$11:$AL1515,$AL1515)=1),1,0)</f>
        <v>0</v>
      </c>
      <c r="AW1515" s="21">
        <f t="shared" si="133"/>
        <v>0</v>
      </c>
      <c r="AX1515" s="21" t="str">
        <f t="shared" si="132"/>
        <v/>
      </c>
      <c r="AY1515" s="21" t="str">
        <f>IF(AND($AM1515&lt;&gt;"",$AS1515&lt;&gt;"✓"),SUMPRODUCT(($AM$11:$AM1515&lt;&gt;"")*($AS$11:$AS1515&lt;&gt;"✓")),"")</f>
        <v/>
      </c>
      <c r="AZ1515" s="21" t="str">
        <f>IF(AND($AM1515&lt;&gt;"",$AS1515="✓"),SUMPRODUCT(($AM$11:$AM1515&lt;&gt;"")*($AS$11:$AS1515="✓")),"")</f>
        <v/>
      </c>
      <c r="BA1515" s="21" t="str">
        <f>IF($AL1515="","",$AL1515&amp;"|"&amp;COUNTIF($AL$11:$AL1515,$AL1515))</f>
        <v/>
      </c>
    </row>
    <row r="1516" spans="38:53" ht="15" customHeight="1" x14ac:dyDescent="0.25">
      <c r="AL1516" s="31"/>
      <c r="AM1516" s="26"/>
      <c r="AN1516" s="32"/>
      <c r="AO1516" s="32"/>
      <c r="AP1516" s="24"/>
      <c r="AQ1516" s="24"/>
      <c r="AR1516" s="33"/>
      <c r="AS1516" s="34"/>
      <c r="AT1516" s="33"/>
      <c r="AV1516" s="21">
        <f>IF(AND($AL1516&lt;&gt;"",COUNTIF($AL$11:$AL1516,$AL1516)=1),1,0)</f>
        <v>0</v>
      </c>
      <c r="AW1516" s="21">
        <f t="shared" si="133"/>
        <v>0</v>
      </c>
      <c r="AX1516" s="21" t="str">
        <f t="shared" si="132"/>
        <v/>
      </c>
      <c r="AY1516" s="21" t="str">
        <f>IF(AND($AM1516&lt;&gt;"",$AS1516&lt;&gt;"✓"),SUMPRODUCT(($AM$11:$AM1516&lt;&gt;"")*($AS$11:$AS1516&lt;&gt;"✓")),"")</f>
        <v/>
      </c>
      <c r="AZ1516" s="21" t="str">
        <f>IF(AND($AM1516&lt;&gt;"",$AS1516="✓"),SUMPRODUCT(($AM$11:$AM1516&lt;&gt;"")*($AS$11:$AS1516="✓")),"")</f>
        <v/>
      </c>
      <c r="BA1516" s="21" t="str">
        <f>IF($AL1516="","",$AL1516&amp;"|"&amp;COUNTIF($AL$11:$AL1516,$AL1516))</f>
        <v/>
      </c>
    </row>
    <row r="1517" spans="38:53" ht="15" customHeight="1" x14ac:dyDescent="0.25">
      <c r="AL1517" s="17"/>
      <c r="AM1517" s="12"/>
      <c r="AN1517" s="18"/>
      <c r="AO1517" s="18"/>
      <c r="AP1517" s="10"/>
      <c r="AQ1517" s="10"/>
      <c r="AR1517" s="19"/>
      <c r="AS1517" s="20"/>
      <c r="AT1517" s="19"/>
      <c r="AV1517" s="21">
        <f>IF(AND($AL1517&lt;&gt;"",COUNTIF($AL$11:$AL1517,$AL1517)=1),1,0)</f>
        <v>0</v>
      </c>
      <c r="AW1517" s="21">
        <f t="shared" si="133"/>
        <v>0</v>
      </c>
      <c r="AX1517" s="21" t="str">
        <f t="shared" si="132"/>
        <v/>
      </c>
      <c r="AY1517" s="21" t="str">
        <f>IF(AND($AM1517&lt;&gt;"",$AS1517&lt;&gt;"✓"),SUMPRODUCT(($AM$11:$AM1517&lt;&gt;"")*($AS$11:$AS1517&lt;&gt;"✓")),"")</f>
        <v/>
      </c>
      <c r="AZ1517" s="21" t="str">
        <f>IF(AND($AM1517&lt;&gt;"",$AS1517="✓"),SUMPRODUCT(($AM$11:$AM1517&lt;&gt;"")*($AS$11:$AS1517="✓")),"")</f>
        <v/>
      </c>
      <c r="BA1517" s="21" t="str">
        <f>IF($AL1517="","",$AL1517&amp;"|"&amp;COUNTIF($AL$11:$AL1517,$AL1517))</f>
        <v/>
      </c>
    </row>
    <row r="1518" spans="38:53" ht="15" customHeight="1" x14ac:dyDescent="0.25">
      <c r="AL1518" s="31"/>
      <c r="AM1518" s="26"/>
      <c r="AN1518" s="32"/>
      <c r="AO1518" s="32"/>
      <c r="AP1518" s="24"/>
      <c r="AQ1518" s="24"/>
      <c r="AR1518" s="33"/>
      <c r="AS1518" s="34"/>
      <c r="AT1518" s="33"/>
      <c r="AV1518" s="21">
        <f>IF(AND($AL1518&lt;&gt;"",COUNTIF($AL$11:$AL1518,$AL1518)=1),1,0)</f>
        <v>0</v>
      </c>
      <c r="AW1518" s="21">
        <f t="shared" si="133"/>
        <v>0</v>
      </c>
      <c r="AX1518" s="21" t="str">
        <f t="shared" si="132"/>
        <v/>
      </c>
      <c r="AY1518" s="21" t="str">
        <f>IF(AND($AM1518&lt;&gt;"",$AS1518&lt;&gt;"✓"),SUMPRODUCT(($AM$11:$AM1518&lt;&gt;"")*($AS$11:$AS1518&lt;&gt;"✓")),"")</f>
        <v/>
      </c>
      <c r="AZ1518" s="21" t="str">
        <f>IF(AND($AM1518&lt;&gt;"",$AS1518="✓"),SUMPRODUCT(($AM$11:$AM1518&lt;&gt;"")*($AS$11:$AS1518="✓")),"")</f>
        <v/>
      </c>
      <c r="BA1518" s="21" t="str">
        <f>IF($AL1518="","",$AL1518&amp;"|"&amp;COUNTIF($AL$11:$AL1518,$AL1518))</f>
        <v/>
      </c>
    </row>
    <row r="1519" spans="38:53" ht="15" customHeight="1" x14ac:dyDescent="0.25">
      <c r="AL1519" s="17"/>
      <c r="AM1519" s="12"/>
      <c r="AN1519" s="18"/>
      <c r="AO1519" s="18"/>
      <c r="AP1519" s="10"/>
      <c r="AQ1519" s="10"/>
      <c r="AR1519" s="19"/>
      <c r="AS1519" s="20"/>
      <c r="AT1519" s="19"/>
      <c r="AV1519" s="21">
        <f>IF(AND($AL1519&lt;&gt;"",COUNTIF($AL$11:$AL1519,$AL1519)=1),1,0)</f>
        <v>0</v>
      </c>
      <c r="AW1519" s="21">
        <f t="shared" si="133"/>
        <v>0</v>
      </c>
      <c r="AX1519" s="21" t="str">
        <f t="shared" si="132"/>
        <v/>
      </c>
      <c r="AY1519" s="21" t="str">
        <f>IF(AND($AM1519&lt;&gt;"",$AS1519&lt;&gt;"✓"),SUMPRODUCT(($AM$11:$AM1519&lt;&gt;"")*($AS$11:$AS1519&lt;&gt;"✓")),"")</f>
        <v/>
      </c>
      <c r="AZ1519" s="21" t="str">
        <f>IF(AND($AM1519&lt;&gt;"",$AS1519="✓"),SUMPRODUCT(($AM$11:$AM1519&lt;&gt;"")*($AS$11:$AS1519="✓")),"")</f>
        <v/>
      </c>
      <c r="BA1519" s="21" t="str">
        <f>IF($AL1519="","",$AL1519&amp;"|"&amp;COUNTIF($AL$11:$AL1519,$AL1519))</f>
        <v/>
      </c>
    </row>
    <row r="1520" spans="38:53" ht="15" customHeight="1" x14ac:dyDescent="0.25">
      <c r="AL1520" s="31"/>
      <c r="AM1520" s="26"/>
      <c r="AN1520" s="32"/>
      <c r="AO1520" s="32"/>
      <c r="AP1520" s="24"/>
      <c r="AQ1520" s="24"/>
      <c r="AR1520" s="33"/>
      <c r="AS1520" s="34"/>
      <c r="AT1520" s="33"/>
      <c r="AV1520" s="21">
        <f>IF(AND($AL1520&lt;&gt;"",COUNTIF($AL$11:$AL1520,$AL1520)=1),1,0)</f>
        <v>0</v>
      </c>
      <c r="AW1520" s="21">
        <f t="shared" si="133"/>
        <v>0</v>
      </c>
      <c r="AX1520" s="21" t="str">
        <f t="shared" si="132"/>
        <v/>
      </c>
      <c r="AY1520" s="21" t="str">
        <f>IF(AND($AM1520&lt;&gt;"",$AS1520&lt;&gt;"✓"),SUMPRODUCT(($AM$11:$AM1520&lt;&gt;"")*($AS$11:$AS1520&lt;&gt;"✓")),"")</f>
        <v/>
      </c>
      <c r="AZ1520" s="21" t="str">
        <f>IF(AND($AM1520&lt;&gt;"",$AS1520="✓"),SUMPRODUCT(($AM$11:$AM1520&lt;&gt;"")*($AS$11:$AS1520="✓")),"")</f>
        <v/>
      </c>
      <c r="BA1520" s="21" t="str">
        <f>IF($AL1520="","",$AL1520&amp;"|"&amp;COUNTIF($AL$11:$AL1520,$AL1520))</f>
        <v/>
      </c>
    </row>
    <row r="1521" spans="38:53" ht="15" customHeight="1" x14ac:dyDescent="0.25">
      <c r="AL1521" s="17"/>
      <c r="AM1521" s="12"/>
      <c r="AN1521" s="18"/>
      <c r="AO1521" s="18"/>
      <c r="AP1521" s="10"/>
      <c r="AQ1521" s="10"/>
      <c r="AR1521" s="19"/>
      <c r="AS1521" s="20"/>
      <c r="AT1521" s="19"/>
      <c r="AV1521" s="21">
        <f>IF(AND($AL1521&lt;&gt;"",COUNTIF($AL$11:$AL1521,$AL1521)=1),1,0)</f>
        <v>0</v>
      </c>
      <c r="AW1521" s="21">
        <f t="shared" si="133"/>
        <v>0</v>
      </c>
      <c r="AX1521" s="21" t="str">
        <f t="shared" si="132"/>
        <v/>
      </c>
      <c r="AY1521" s="21" t="str">
        <f>IF(AND($AM1521&lt;&gt;"",$AS1521&lt;&gt;"✓"),SUMPRODUCT(($AM$11:$AM1521&lt;&gt;"")*($AS$11:$AS1521&lt;&gt;"✓")),"")</f>
        <v/>
      </c>
      <c r="AZ1521" s="21" t="str">
        <f>IF(AND($AM1521&lt;&gt;"",$AS1521="✓"),SUMPRODUCT(($AM$11:$AM1521&lt;&gt;"")*($AS$11:$AS1521="✓")),"")</f>
        <v/>
      </c>
      <c r="BA1521" s="21" t="str">
        <f>IF($AL1521="","",$AL1521&amp;"|"&amp;COUNTIF($AL$11:$AL1521,$AL1521))</f>
        <v/>
      </c>
    </row>
    <row r="1522" spans="38:53" ht="15" customHeight="1" x14ac:dyDescent="0.25">
      <c r="AL1522" s="31"/>
      <c r="AM1522" s="26"/>
      <c r="AN1522" s="32"/>
      <c r="AO1522" s="32"/>
      <c r="AP1522" s="24"/>
      <c r="AQ1522" s="24"/>
      <c r="AR1522" s="33"/>
      <c r="AS1522" s="34"/>
      <c r="AT1522" s="33"/>
      <c r="AV1522" s="21">
        <f>IF(AND($AL1522&lt;&gt;"",COUNTIF($AL$11:$AL1522,$AL1522)=1),1,0)</f>
        <v>0</v>
      </c>
      <c r="AW1522" s="21">
        <f t="shared" si="133"/>
        <v>0</v>
      </c>
      <c r="AX1522" s="21" t="str">
        <f t="shared" si="132"/>
        <v/>
      </c>
      <c r="AY1522" s="21" t="str">
        <f>IF(AND($AM1522&lt;&gt;"",$AS1522&lt;&gt;"✓"),SUMPRODUCT(($AM$11:$AM1522&lt;&gt;"")*($AS$11:$AS1522&lt;&gt;"✓")),"")</f>
        <v/>
      </c>
      <c r="AZ1522" s="21" t="str">
        <f>IF(AND($AM1522&lt;&gt;"",$AS1522="✓"),SUMPRODUCT(($AM$11:$AM1522&lt;&gt;"")*($AS$11:$AS1522="✓")),"")</f>
        <v/>
      </c>
      <c r="BA1522" s="21" t="str">
        <f>IF($AL1522="","",$AL1522&amp;"|"&amp;COUNTIF($AL$11:$AL1522,$AL1522))</f>
        <v/>
      </c>
    </row>
    <row r="1523" spans="38:53" ht="15" customHeight="1" x14ac:dyDescent="0.25">
      <c r="AL1523" s="17"/>
      <c r="AM1523" s="12"/>
      <c r="AN1523" s="18"/>
      <c r="AO1523" s="18"/>
      <c r="AP1523" s="10"/>
      <c r="AQ1523" s="10"/>
      <c r="AR1523" s="19"/>
      <c r="AS1523" s="20"/>
      <c r="AT1523" s="19"/>
      <c r="AV1523" s="21">
        <f>IF(AND($AL1523&lt;&gt;"",COUNTIF($AL$11:$AL1523,$AL1523)=1),1,0)</f>
        <v>0</v>
      </c>
      <c r="AW1523" s="21">
        <f t="shared" si="133"/>
        <v>0</v>
      </c>
      <c r="AX1523" s="21" t="str">
        <f t="shared" si="132"/>
        <v/>
      </c>
      <c r="AY1523" s="21" t="str">
        <f>IF(AND($AM1523&lt;&gt;"",$AS1523&lt;&gt;"✓"),SUMPRODUCT(($AM$11:$AM1523&lt;&gt;"")*($AS$11:$AS1523&lt;&gt;"✓")),"")</f>
        <v/>
      </c>
      <c r="AZ1523" s="21" t="str">
        <f>IF(AND($AM1523&lt;&gt;"",$AS1523="✓"),SUMPRODUCT(($AM$11:$AM1523&lt;&gt;"")*($AS$11:$AS1523="✓")),"")</f>
        <v/>
      </c>
      <c r="BA1523" s="21" t="str">
        <f>IF($AL1523="","",$AL1523&amp;"|"&amp;COUNTIF($AL$11:$AL1523,$AL1523))</f>
        <v/>
      </c>
    </row>
    <row r="1524" spans="38:53" ht="15" customHeight="1" x14ac:dyDescent="0.25">
      <c r="AL1524" s="31"/>
      <c r="AM1524" s="26"/>
      <c r="AN1524" s="32"/>
      <c r="AO1524" s="32"/>
      <c r="AP1524" s="24"/>
      <c r="AQ1524" s="24"/>
      <c r="AR1524" s="33"/>
      <c r="AS1524" s="34"/>
      <c r="AT1524" s="33"/>
      <c r="AV1524" s="21">
        <f>IF(AND($AL1524&lt;&gt;"",COUNTIF($AL$11:$AL1524,$AL1524)=1),1,0)</f>
        <v>0</v>
      </c>
      <c r="AW1524" s="21">
        <f t="shared" si="133"/>
        <v>0</v>
      </c>
      <c r="AX1524" s="21" t="str">
        <f t="shared" si="132"/>
        <v/>
      </c>
      <c r="AY1524" s="21" t="str">
        <f>IF(AND($AM1524&lt;&gt;"",$AS1524&lt;&gt;"✓"),SUMPRODUCT(($AM$11:$AM1524&lt;&gt;"")*($AS$11:$AS1524&lt;&gt;"✓")),"")</f>
        <v/>
      </c>
      <c r="AZ1524" s="21" t="str">
        <f>IF(AND($AM1524&lt;&gt;"",$AS1524="✓"),SUMPRODUCT(($AM$11:$AM1524&lt;&gt;"")*($AS$11:$AS1524="✓")),"")</f>
        <v/>
      </c>
      <c r="BA1524" s="21" t="str">
        <f>IF($AL1524="","",$AL1524&amp;"|"&amp;COUNTIF($AL$11:$AL1524,$AL1524))</f>
        <v/>
      </c>
    </row>
    <row r="1525" spans="38:53" ht="15" customHeight="1" x14ac:dyDescent="0.25">
      <c r="AL1525" s="17"/>
      <c r="AM1525" s="12"/>
      <c r="AN1525" s="18"/>
      <c r="AO1525" s="18"/>
      <c r="AP1525" s="10"/>
      <c r="AQ1525" s="10"/>
      <c r="AR1525" s="19"/>
      <c r="AS1525" s="20"/>
      <c r="AT1525" s="19"/>
      <c r="AV1525" s="21">
        <f>IF(AND($AL1525&lt;&gt;"",COUNTIF($AL$11:$AL1525,$AL1525)=1),1,0)</f>
        <v>0</v>
      </c>
      <c r="AW1525" s="21">
        <f t="shared" si="133"/>
        <v>0</v>
      </c>
      <c r="AX1525" s="21" t="str">
        <f t="shared" si="132"/>
        <v/>
      </c>
      <c r="AY1525" s="21" t="str">
        <f>IF(AND($AM1525&lt;&gt;"",$AS1525&lt;&gt;"✓"),SUMPRODUCT(($AM$11:$AM1525&lt;&gt;"")*($AS$11:$AS1525&lt;&gt;"✓")),"")</f>
        <v/>
      </c>
      <c r="AZ1525" s="21" t="str">
        <f>IF(AND($AM1525&lt;&gt;"",$AS1525="✓"),SUMPRODUCT(($AM$11:$AM1525&lt;&gt;"")*($AS$11:$AS1525="✓")),"")</f>
        <v/>
      </c>
      <c r="BA1525" s="21" t="str">
        <f>IF($AL1525="","",$AL1525&amp;"|"&amp;COUNTIF($AL$11:$AL1525,$AL1525))</f>
        <v/>
      </c>
    </row>
    <row r="1526" spans="38:53" ht="15" customHeight="1" x14ac:dyDescent="0.25">
      <c r="AL1526" s="31"/>
      <c r="AM1526" s="26"/>
      <c r="AN1526" s="32"/>
      <c r="AO1526" s="32"/>
      <c r="AP1526" s="24"/>
      <c r="AQ1526" s="24"/>
      <c r="AR1526" s="33"/>
      <c r="AS1526" s="34"/>
      <c r="AT1526" s="33"/>
      <c r="AV1526" s="21">
        <f>IF(AND($AL1526&lt;&gt;"",COUNTIF($AL$11:$AL1526,$AL1526)=1),1,0)</f>
        <v>0</v>
      </c>
      <c r="AW1526" s="21">
        <f t="shared" si="133"/>
        <v>0</v>
      </c>
      <c r="AX1526" s="21" t="str">
        <f t="shared" si="132"/>
        <v/>
      </c>
      <c r="AY1526" s="21" t="str">
        <f>IF(AND($AM1526&lt;&gt;"",$AS1526&lt;&gt;"✓"),SUMPRODUCT(($AM$11:$AM1526&lt;&gt;"")*($AS$11:$AS1526&lt;&gt;"✓")),"")</f>
        <v/>
      </c>
      <c r="AZ1526" s="21" t="str">
        <f>IF(AND($AM1526&lt;&gt;"",$AS1526="✓"),SUMPRODUCT(($AM$11:$AM1526&lt;&gt;"")*($AS$11:$AS1526="✓")),"")</f>
        <v/>
      </c>
      <c r="BA1526" s="21" t="str">
        <f>IF($AL1526="","",$AL1526&amp;"|"&amp;COUNTIF($AL$11:$AL1526,$AL1526))</f>
        <v/>
      </c>
    </row>
    <row r="1527" spans="38:53" ht="15" customHeight="1" x14ac:dyDescent="0.25">
      <c r="AL1527" s="17"/>
      <c r="AM1527" s="12"/>
      <c r="AN1527" s="18"/>
      <c r="AO1527" s="18"/>
      <c r="AP1527" s="10"/>
      <c r="AQ1527" s="10"/>
      <c r="AR1527" s="19"/>
      <c r="AS1527" s="20"/>
      <c r="AT1527" s="19"/>
      <c r="AV1527" s="21">
        <f>IF(AND($AL1527&lt;&gt;"",COUNTIF($AL$11:$AL1527,$AL1527)=1),1,0)</f>
        <v>0</v>
      </c>
      <c r="AW1527" s="21">
        <f t="shared" si="133"/>
        <v>0</v>
      </c>
      <c r="AX1527" s="21" t="str">
        <f t="shared" si="132"/>
        <v/>
      </c>
      <c r="AY1527" s="21" t="str">
        <f>IF(AND($AM1527&lt;&gt;"",$AS1527&lt;&gt;"✓"),SUMPRODUCT(($AM$11:$AM1527&lt;&gt;"")*($AS$11:$AS1527&lt;&gt;"✓")),"")</f>
        <v/>
      </c>
      <c r="AZ1527" s="21" t="str">
        <f>IF(AND($AM1527&lt;&gt;"",$AS1527="✓"),SUMPRODUCT(($AM$11:$AM1527&lt;&gt;"")*($AS$11:$AS1527="✓")),"")</f>
        <v/>
      </c>
      <c r="BA1527" s="21" t="str">
        <f>IF($AL1527="","",$AL1527&amp;"|"&amp;COUNTIF($AL$11:$AL1527,$AL1527))</f>
        <v/>
      </c>
    </row>
    <row r="1528" spans="38:53" ht="15" customHeight="1" x14ac:dyDescent="0.25">
      <c r="AL1528" s="31"/>
      <c r="AM1528" s="26"/>
      <c r="AN1528" s="32"/>
      <c r="AO1528" s="32"/>
      <c r="AP1528" s="24"/>
      <c r="AQ1528" s="24"/>
      <c r="AR1528" s="33"/>
      <c r="AS1528" s="34"/>
      <c r="AT1528" s="33"/>
      <c r="AV1528" s="21">
        <f>IF(AND($AL1528&lt;&gt;"",COUNTIF($AL$11:$AL1528,$AL1528)=1),1,0)</f>
        <v>0</v>
      </c>
      <c r="AW1528" s="21">
        <f t="shared" si="133"/>
        <v>0</v>
      </c>
      <c r="AX1528" s="21" t="str">
        <f t="shared" si="132"/>
        <v/>
      </c>
      <c r="AY1528" s="21" t="str">
        <f>IF(AND($AM1528&lt;&gt;"",$AS1528&lt;&gt;"✓"),SUMPRODUCT(($AM$11:$AM1528&lt;&gt;"")*($AS$11:$AS1528&lt;&gt;"✓")),"")</f>
        <v/>
      </c>
      <c r="AZ1528" s="21" t="str">
        <f>IF(AND($AM1528&lt;&gt;"",$AS1528="✓"),SUMPRODUCT(($AM$11:$AM1528&lt;&gt;"")*($AS$11:$AS1528="✓")),"")</f>
        <v/>
      </c>
      <c r="BA1528" s="21" t="str">
        <f>IF($AL1528="","",$AL1528&amp;"|"&amp;COUNTIF($AL$11:$AL1528,$AL1528))</f>
        <v/>
      </c>
    </row>
    <row r="1529" spans="38:53" ht="15" customHeight="1" x14ac:dyDescent="0.25">
      <c r="AL1529" s="17"/>
      <c r="AM1529" s="12"/>
      <c r="AN1529" s="18"/>
      <c r="AO1529" s="18"/>
      <c r="AP1529" s="10"/>
      <c r="AQ1529" s="10"/>
      <c r="AR1529" s="19"/>
      <c r="AS1529" s="20"/>
      <c r="AT1529" s="19"/>
      <c r="AV1529" s="21">
        <f>IF(AND($AL1529&lt;&gt;"",COUNTIF($AL$11:$AL1529,$AL1529)=1),1,0)</f>
        <v>0</v>
      </c>
      <c r="AW1529" s="21">
        <f t="shared" si="133"/>
        <v>0</v>
      </c>
      <c r="AX1529" s="21" t="str">
        <f t="shared" si="132"/>
        <v/>
      </c>
      <c r="AY1529" s="21" t="str">
        <f>IF(AND($AM1529&lt;&gt;"",$AS1529&lt;&gt;"✓"),SUMPRODUCT(($AM$11:$AM1529&lt;&gt;"")*($AS$11:$AS1529&lt;&gt;"✓")),"")</f>
        <v/>
      </c>
      <c r="AZ1529" s="21" t="str">
        <f>IF(AND($AM1529&lt;&gt;"",$AS1529="✓"),SUMPRODUCT(($AM$11:$AM1529&lt;&gt;"")*($AS$11:$AS1529="✓")),"")</f>
        <v/>
      </c>
      <c r="BA1529" s="21" t="str">
        <f>IF($AL1529="","",$AL1529&amp;"|"&amp;COUNTIF($AL$11:$AL1529,$AL1529))</f>
        <v/>
      </c>
    </row>
    <row r="1530" spans="38:53" ht="15" customHeight="1" x14ac:dyDescent="0.25">
      <c r="AL1530" s="31"/>
      <c r="AM1530" s="26"/>
      <c r="AN1530" s="32"/>
      <c r="AO1530" s="32"/>
      <c r="AP1530" s="24"/>
      <c r="AQ1530" s="24"/>
      <c r="AR1530" s="33"/>
      <c r="AS1530" s="34"/>
      <c r="AT1530" s="33"/>
      <c r="AV1530" s="21">
        <f>IF(AND($AL1530&lt;&gt;"",COUNTIF($AL$11:$AL1530,$AL1530)=1),1,0)</f>
        <v>0</v>
      </c>
      <c r="AW1530" s="21">
        <f t="shared" si="133"/>
        <v>0</v>
      </c>
      <c r="AX1530" s="21" t="str">
        <f t="shared" si="132"/>
        <v/>
      </c>
      <c r="AY1530" s="21" t="str">
        <f>IF(AND($AM1530&lt;&gt;"",$AS1530&lt;&gt;"✓"),SUMPRODUCT(($AM$11:$AM1530&lt;&gt;"")*($AS$11:$AS1530&lt;&gt;"✓")),"")</f>
        <v/>
      </c>
      <c r="AZ1530" s="21" t="str">
        <f>IF(AND($AM1530&lt;&gt;"",$AS1530="✓"),SUMPRODUCT(($AM$11:$AM1530&lt;&gt;"")*($AS$11:$AS1530="✓")),"")</f>
        <v/>
      </c>
      <c r="BA1530" s="21" t="str">
        <f>IF($AL1530="","",$AL1530&amp;"|"&amp;COUNTIF($AL$11:$AL1530,$AL1530))</f>
        <v/>
      </c>
    </row>
    <row r="1531" spans="38:53" ht="15" customHeight="1" x14ac:dyDescent="0.25">
      <c r="AL1531" s="17"/>
      <c r="AM1531" s="12"/>
      <c r="AN1531" s="18"/>
      <c r="AO1531" s="18"/>
      <c r="AP1531" s="10"/>
      <c r="AQ1531" s="10"/>
      <c r="AR1531" s="19"/>
      <c r="AS1531" s="20"/>
      <c r="AT1531" s="19"/>
      <c r="AV1531" s="21">
        <f>IF(AND($AL1531&lt;&gt;"",COUNTIF($AL$11:$AL1531,$AL1531)=1),1,0)</f>
        <v>0</v>
      </c>
      <c r="AW1531" s="21">
        <f t="shared" si="133"/>
        <v>0</v>
      </c>
      <c r="AX1531" s="21" t="str">
        <f t="shared" si="132"/>
        <v/>
      </c>
      <c r="AY1531" s="21" t="str">
        <f>IF(AND($AM1531&lt;&gt;"",$AS1531&lt;&gt;"✓"),SUMPRODUCT(($AM$11:$AM1531&lt;&gt;"")*($AS$11:$AS1531&lt;&gt;"✓")),"")</f>
        <v/>
      </c>
      <c r="AZ1531" s="21" t="str">
        <f>IF(AND($AM1531&lt;&gt;"",$AS1531="✓"),SUMPRODUCT(($AM$11:$AM1531&lt;&gt;"")*($AS$11:$AS1531="✓")),"")</f>
        <v/>
      </c>
      <c r="BA1531" s="21" t="str">
        <f>IF($AL1531="","",$AL1531&amp;"|"&amp;COUNTIF($AL$11:$AL1531,$AL1531))</f>
        <v/>
      </c>
    </row>
    <row r="1532" spans="38:53" ht="15" customHeight="1" x14ac:dyDescent="0.25">
      <c r="AL1532" s="31"/>
      <c r="AM1532" s="26"/>
      <c r="AN1532" s="32"/>
      <c r="AO1532" s="32"/>
      <c r="AP1532" s="24"/>
      <c r="AQ1532" s="24"/>
      <c r="AR1532" s="33"/>
      <c r="AS1532" s="34"/>
      <c r="AT1532" s="33"/>
      <c r="AV1532" s="21">
        <f>IF(AND($AL1532&lt;&gt;"",COUNTIF($AL$11:$AL1532,$AL1532)=1),1,0)</f>
        <v>0</v>
      </c>
      <c r="AW1532" s="21">
        <f t="shared" si="133"/>
        <v>0</v>
      </c>
      <c r="AX1532" s="21" t="str">
        <f t="shared" si="132"/>
        <v/>
      </c>
      <c r="AY1532" s="21" t="str">
        <f>IF(AND($AM1532&lt;&gt;"",$AS1532&lt;&gt;"✓"),SUMPRODUCT(($AM$11:$AM1532&lt;&gt;"")*($AS$11:$AS1532&lt;&gt;"✓")),"")</f>
        <v/>
      </c>
      <c r="AZ1532" s="21" t="str">
        <f>IF(AND($AM1532&lt;&gt;"",$AS1532="✓"),SUMPRODUCT(($AM$11:$AM1532&lt;&gt;"")*($AS$11:$AS1532="✓")),"")</f>
        <v/>
      </c>
      <c r="BA1532" s="21" t="str">
        <f>IF($AL1532="","",$AL1532&amp;"|"&amp;COUNTIF($AL$11:$AL1532,$AL1532))</f>
        <v/>
      </c>
    </row>
    <row r="1533" spans="38:53" ht="15" customHeight="1" x14ac:dyDescent="0.25">
      <c r="AL1533" s="17"/>
      <c r="AM1533" s="12"/>
      <c r="AN1533" s="18"/>
      <c r="AO1533" s="18"/>
      <c r="AP1533" s="10"/>
      <c r="AQ1533" s="10"/>
      <c r="AR1533" s="19"/>
      <c r="AS1533" s="20"/>
      <c r="AT1533" s="19"/>
      <c r="AV1533" s="21">
        <f>IF(AND($AL1533&lt;&gt;"",COUNTIF($AL$11:$AL1533,$AL1533)=1),1,0)</f>
        <v>0</v>
      </c>
      <c r="AW1533" s="21">
        <f t="shared" si="133"/>
        <v>0</v>
      </c>
      <c r="AX1533" s="21" t="str">
        <f t="shared" si="132"/>
        <v/>
      </c>
      <c r="AY1533" s="21" t="str">
        <f>IF(AND($AM1533&lt;&gt;"",$AS1533&lt;&gt;"✓"),SUMPRODUCT(($AM$11:$AM1533&lt;&gt;"")*($AS$11:$AS1533&lt;&gt;"✓")),"")</f>
        <v/>
      </c>
      <c r="AZ1533" s="21" t="str">
        <f>IF(AND($AM1533&lt;&gt;"",$AS1533="✓"),SUMPRODUCT(($AM$11:$AM1533&lt;&gt;"")*($AS$11:$AS1533="✓")),"")</f>
        <v/>
      </c>
      <c r="BA1533" s="21" t="str">
        <f>IF($AL1533="","",$AL1533&amp;"|"&amp;COUNTIF($AL$11:$AL1533,$AL1533))</f>
        <v/>
      </c>
    </row>
    <row r="1534" spans="38:53" ht="15" customHeight="1" x14ac:dyDescent="0.25">
      <c r="AL1534" s="31"/>
      <c r="AM1534" s="26"/>
      <c r="AN1534" s="32"/>
      <c r="AO1534" s="32"/>
      <c r="AP1534" s="24"/>
      <c r="AQ1534" s="24"/>
      <c r="AR1534" s="33"/>
      <c r="AS1534" s="34"/>
      <c r="AT1534" s="33"/>
      <c r="AV1534" s="21">
        <f>IF(AND($AL1534&lt;&gt;"",COUNTIF($AL$11:$AL1534,$AL1534)=1),1,0)</f>
        <v>0</v>
      </c>
      <c r="AW1534" s="21">
        <f t="shared" si="133"/>
        <v>0</v>
      </c>
      <c r="AX1534" s="21" t="str">
        <f t="shared" si="132"/>
        <v/>
      </c>
      <c r="AY1534" s="21" t="str">
        <f>IF(AND($AM1534&lt;&gt;"",$AS1534&lt;&gt;"✓"),SUMPRODUCT(($AM$11:$AM1534&lt;&gt;"")*($AS$11:$AS1534&lt;&gt;"✓")),"")</f>
        <v/>
      </c>
      <c r="AZ1534" s="21" t="str">
        <f>IF(AND($AM1534&lt;&gt;"",$AS1534="✓"),SUMPRODUCT(($AM$11:$AM1534&lt;&gt;"")*($AS$11:$AS1534="✓")),"")</f>
        <v/>
      </c>
      <c r="BA1534" s="21" t="str">
        <f>IF($AL1534="","",$AL1534&amp;"|"&amp;COUNTIF($AL$11:$AL1534,$AL1534))</f>
        <v/>
      </c>
    </row>
    <row r="1535" spans="38:53" ht="15" customHeight="1" x14ac:dyDescent="0.25">
      <c r="AL1535" s="17"/>
      <c r="AM1535" s="12"/>
      <c r="AN1535" s="18"/>
      <c r="AO1535" s="18"/>
      <c r="AP1535" s="10"/>
      <c r="AQ1535" s="10"/>
      <c r="AR1535" s="19"/>
      <c r="AS1535" s="20"/>
      <c r="AT1535" s="19"/>
      <c r="AV1535" s="21">
        <f>IF(AND($AL1535&lt;&gt;"",COUNTIF($AL$11:$AL1535,$AL1535)=1),1,0)</f>
        <v>0</v>
      </c>
      <c r="AW1535" s="21">
        <f t="shared" si="133"/>
        <v>0</v>
      </c>
      <c r="AX1535" s="21" t="str">
        <f t="shared" si="132"/>
        <v/>
      </c>
      <c r="AY1535" s="21" t="str">
        <f>IF(AND($AM1535&lt;&gt;"",$AS1535&lt;&gt;"✓"),SUMPRODUCT(($AM$11:$AM1535&lt;&gt;"")*($AS$11:$AS1535&lt;&gt;"✓")),"")</f>
        <v/>
      </c>
      <c r="AZ1535" s="21" t="str">
        <f>IF(AND($AM1535&lt;&gt;"",$AS1535="✓"),SUMPRODUCT(($AM$11:$AM1535&lt;&gt;"")*($AS$11:$AS1535="✓")),"")</f>
        <v/>
      </c>
      <c r="BA1535" s="21" t="str">
        <f>IF($AL1535="","",$AL1535&amp;"|"&amp;COUNTIF($AL$11:$AL1535,$AL1535))</f>
        <v/>
      </c>
    </row>
    <row r="1536" spans="38:53" ht="15" customHeight="1" x14ac:dyDescent="0.25">
      <c r="AL1536" s="31"/>
      <c r="AM1536" s="26"/>
      <c r="AN1536" s="32"/>
      <c r="AO1536" s="32"/>
      <c r="AP1536" s="24"/>
      <c r="AQ1536" s="24"/>
      <c r="AR1536" s="33"/>
      <c r="AS1536" s="34"/>
      <c r="AT1536" s="33"/>
      <c r="AV1536" s="21">
        <f>IF(AND($AL1536&lt;&gt;"",COUNTIF($AL$11:$AL1536,$AL1536)=1),1,0)</f>
        <v>0</v>
      </c>
      <c r="AW1536" s="21">
        <f t="shared" si="133"/>
        <v>0</v>
      </c>
      <c r="AX1536" s="21" t="str">
        <f t="shared" si="132"/>
        <v/>
      </c>
      <c r="AY1536" s="21" t="str">
        <f>IF(AND($AM1536&lt;&gt;"",$AS1536&lt;&gt;"✓"),SUMPRODUCT(($AM$11:$AM1536&lt;&gt;"")*($AS$11:$AS1536&lt;&gt;"✓")),"")</f>
        <v/>
      </c>
      <c r="AZ1536" s="21" t="str">
        <f>IF(AND($AM1536&lt;&gt;"",$AS1536="✓"),SUMPRODUCT(($AM$11:$AM1536&lt;&gt;"")*($AS$11:$AS1536="✓")),"")</f>
        <v/>
      </c>
      <c r="BA1536" s="21" t="str">
        <f>IF($AL1536="","",$AL1536&amp;"|"&amp;COUNTIF($AL$11:$AL1536,$AL1536))</f>
        <v/>
      </c>
    </row>
    <row r="1537" spans="38:53" ht="15" customHeight="1" x14ac:dyDescent="0.25">
      <c r="AL1537" s="17"/>
      <c r="AM1537" s="12"/>
      <c r="AN1537" s="18"/>
      <c r="AO1537" s="18"/>
      <c r="AP1537" s="10"/>
      <c r="AQ1537" s="10"/>
      <c r="AR1537" s="19"/>
      <c r="AS1537" s="20"/>
      <c r="AT1537" s="19"/>
      <c r="AV1537" s="21">
        <f>IF(AND($AL1537&lt;&gt;"",COUNTIF($AL$11:$AL1537,$AL1537)=1),1,0)</f>
        <v>0</v>
      </c>
      <c r="AW1537" s="21">
        <f t="shared" si="133"/>
        <v>0</v>
      </c>
      <c r="AX1537" s="21" t="str">
        <f t="shared" si="132"/>
        <v/>
      </c>
      <c r="AY1537" s="21" t="str">
        <f>IF(AND($AM1537&lt;&gt;"",$AS1537&lt;&gt;"✓"),SUMPRODUCT(($AM$11:$AM1537&lt;&gt;"")*($AS$11:$AS1537&lt;&gt;"✓")),"")</f>
        <v/>
      </c>
      <c r="AZ1537" s="21" t="str">
        <f>IF(AND($AM1537&lt;&gt;"",$AS1537="✓"),SUMPRODUCT(($AM$11:$AM1537&lt;&gt;"")*($AS$11:$AS1537="✓")),"")</f>
        <v/>
      </c>
      <c r="BA1537" s="21" t="str">
        <f>IF($AL1537="","",$AL1537&amp;"|"&amp;COUNTIF($AL$11:$AL1537,$AL1537))</f>
        <v/>
      </c>
    </row>
    <row r="1538" spans="38:53" ht="15" customHeight="1" x14ac:dyDescent="0.25">
      <c r="AL1538" s="31"/>
      <c r="AM1538" s="26"/>
      <c r="AN1538" s="32"/>
      <c r="AO1538" s="32"/>
      <c r="AP1538" s="24"/>
      <c r="AQ1538" s="24"/>
      <c r="AR1538" s="33"/>
      <c r="AS1538" s="34"/>
      <c r="AT1538" s="33"/>
      <c r="AV1538" s="21">
        <f>IF(AND($AL1538&lt;&gt;"",COUNTIF($AL$11:$AL1538,$AL1538)=1),1,0)</f>
        <v>0</v>
      </c>
      <c r="AW1538" s="21">
        <f t="shared" si="133"/>
        <v>0</v>
      </c>
      <c r="AX1538" s="21" t="str">
        <f t="shared" si="132"/>
        <v/>
      </c>
      <c r="AY1538" s="21" t="str">
        <f>IF(AND($AM1538&lt;&gt;"",$AS1538&lt;&gt;"✓"),SUMPRODUCT(($AM$11:$AM1538&lt;&gt;"")*($AS$11:$AS1538&lt;&gt;"✓")),"")</f>
        <v/>
      </c>
      <c r="AZ1538" s="21" t="str">
        <f>IF(AND($AM1538&lt;&gt;"",$AS1538="✓"),SUMPRODUCT(($AM$11:$AM1538&lt;&gt;"")*($AS$11:$AS1538="✓")),"")</f>
        <v/>
      </c>
      <c r="BA1538" s="21" t="str">
        <f>IF($AL1538="","",$AL1538&amp;"|"&amp;COUNTIF($AL$11:$AL1538,$AL1538))</f>
        <v/>
      </c>
    </row>
    <row r="1539" spans="38:53" ht="15" customHeight="1" x14ac:dyDescent="0.25">
      <c r="AL1539" s="17"/>
      <c r="AM1539" s="12"/>
      <c r="AN1539" s="18"/>
      <c r="AO1539" s="18"/>
      <c r="AP1539" s="10"/>
      <c r="AQ1539" s="10"/>
      <c r="AR1539" s="19"/>
      <c r="AS1539" s="20"/>
      <c r="AT1539" s="19"/>
      <c r="AV1539" s="21">
        <f>IF(AND($AL1539&lt;&gt;"",COUNTIF($AL$11:$AL1539,$AL1539)=1),1,0)</f>
        <v>0</v>
      </c>
      <c r="AW1539" s="21">
        <f t="shared" si="133"/>
        <v>0</v>
      </c>
      <c r="AX1539" s="21" t="str">
        <f t="shared" si="132"/>
        <v/>
      </c>
      <c r="AY1539" s="21" t="str">
        <f>IF(AND($AM1539&lt;&gt;"",$AS1539&lt;&gt;"✓"),SUMPRODUCT(($AM$11:$AM1539&lt;&gt;"")*($AS$11:$AS1539&lt;&gt;"✓")),"")</f>
        <v/>
      </c>
      <c r="AZ1539" s="21" t="str">
        <f>IF(AND($AM1539&lt;&gt;"",$AS1539="✓"),SUMPRODUCT(($AM$11:$AM1539&lt;&gt;"")*($AS$11:$AS1539="✓")),"")</f>
        <v/>
      </c>
      <c r="BA1539" s="21" t="str">
        <f>IF($AL1539="","",$AL1539&amp;"|"&amp;COUNTIF($AL$11:$AL1539,$AL1539))</f>
        <v/>
      </c>
    </row>
    <row r="1540" spans="38:53" ht="15" customHeight="1" x14ac:dyDescent="0.25">
      <c r="AL1540" s="31"/>
      <c r="AM1540" s="26"/>
      <c r="AN1540" s="32"/>
      <c r="AO1540" s="32"/>
      <c r="AP1540" s="24"/>
      <c r="AQ1540" s="24"/>
      <c r="AR1540" s="33"/>
      <c r="AS1540" s="34"/>
      <c r="AT1540" s="33"/>
      <c r="AV1540" s="21">
        <f>IF(AND($AL1540&lt;&gt;"",COUNTIF($AL$11:$AL1540,$AL1540)=1),1,0)</f>
        <v>0</v>
      </c>
      <c r="AW1540" s="21">
        <f t="shared" si="133"/>
        <v>0</v>
      </c>
      <c r="AX1540" s="21" t="str">
        <f t="shared" si="132"/>
        <v/>
      </c>
      <c r="AY1540" s="21" t="str">
        <f>IF(AND($AM1540&lt;&gt;"",$AS1540&lt;&gt;"✓"),SUMPRODUCT(($AM$11:$AM1540&lt;&gt;"")*($AS$11:$AS1540&lt;&gt;"✓")),"")</f>
        <v/>
      </c>
      <c r="AZ1540" s="21" t="str">
        <f>IF(AND($AM1540&lt;&gt;"",$AS1540="✓"),SUMPRODUCT(($AM$11:$AM1540&lt;&gt;"")*($AS$11:$AS1540="✓")),"")</f>
        <v/>
      </c>
      <c r="BA1540" s="21" t="str">
        <f>IF($AL1540="","",$AL1540&amp;"|"&amp;COUNTIF($AL$11:$AL1540,$AL1540))</f>
        <v/>
      </c>
    </row>
    <row r="1541" spans="38:53" ht="15" customHeight="1" x14ac:dyDescent="0.25">
      <c r="AL1541" s="17"/>
      <c r="AM1541" s="12"/>
      <c r="AN1541" s="18"/>
      <c r="AO1541" s="18"/>
      <c r="AP1541" s="10"/>
      <c r="AQ1541" s="10"/>
      <c r="AR1541" s="19"/>
      <c r="AS1541" s="20"/>
      <c r="AT1541" s="19"/>
      <c r="AV1541" s="21">
        <f>IF(AND($AL1541&lt;&gt;"",COUNTIF($AL$11:$AL1541,$AL1541)=1),1,0)</f>
        <v>0</v>
      </c>
      <c r="AW1541" s="21">
        <f t="shared" si="133"/>
        <v>0</v>
      </c>
      <c r="AX1541" s="21" t="str">
        <f t="shared" si="132"/>
        <v/>
      </c>
      <c r="AY1541" s="21" t="str">
        <f>IF(AND($AM1541&lt;&gt;"",$AS1541&lt;&gt;"✓"),SUMPRODUCT(($AM$11:$AM1541&lt;&gt;"")*($AS$11:$AS1541&lt;&gt;"✓")),"")</f>
        <v/>
      </c>
      <c r="AZ1541" s="21" t="str">
        <f>IF(AND($AM1541&lt;&gt;"",$AS1541="✓"),SUMPRODUCT(($AM$11:$AM1541&lt;&gt;"")*($AS$11:$AS1541="✓")),"")</f>
        <v/>
      </c>
      <c r="BA1541" s="21" t="str">
        <f>IF($AL1541="","",$AL1541&amp;"|"&amp;COUNTIF($AL$11:$AL1541,$AL1541))</f>
        <v/>
      </c>
    </row>
    <row r="1542" spans="38:53" ht="15" customHeight="1" x14ac:dyDescent="0.25">
      <c r="AL1542" s="31"/>
      <c r="AM1542" s="26"/>
      <c r="AN1542" s="32"/>
      <c r="AO1542" s="32"/>
      <c r="AP1542" s="24"/>
      <c r="AQ1542" s="24"/>
      <c r="AR1542" s="33"/>
      <c r="AS1542" s="34"/>
      <c r="AT1542" s="33"/>
      <c r="AV1542" s="21">
        <f>IF(AND($AL1542&lt;&gt;"",COUNTIF($AL$11:$AL1542,$AL1542)=1),1,0)</f>
        <v>0</v>
      </c>
      <c r="AW1542" s="21">
        <f t="shared" si="133"/>
        <v>0</v>
      </c>
      <c r="AX1542" s="21" t="str">
        <f t="shared" si="132"/>
        <v/>
      </c>
      <c r="AY1542" s="21" t="str">
        <f>IF(AND($AM1542&lt;&gt;"",$AS1542&lt;&gt;"✓"),SUMPRODUCT(($AM$11:$AM1542&lt;&gt;"")*($AS$11:$AS1542&lt;&gt;"✓")),"")</f>
        <v/>
      </c>
      <c r="AZ1542" s="21" t="str">
        <f>IF(AND($AM1542&lt;&gt;"",$AS1542="✓"),SUMPRODUCT(($AM$11:$AM1542&lt;&gt;"")*($AS$11:$AS1542="✓")),"")</f>
        <v/>
      </c>
      <c r="BA1542" s="21" t="str">
        <f>IF($AL1542="","",$AL1542&amp;"|"&amp;COUNTIF($AL$11:$AL1542,$AL1542))</f>
        <v/>
      </c>
    </row>
    <row r="1543" spans="38:53" ht="15" customHeight="1" x14ac:dyDescent="0.25">
      <c r="AL1543" s="17"/>
      <c r="AM1543" s="12"/>
      <c r="AN1543" s="18"/>
      <c r="AO1543" s="18"/>
      <c r="AP1543" s="10"/>
      <c r="AQ1543" s="10"/>
      <c r="AR1543" s="19"/>
      <c r="AS1543" s="20"/>
      <c r="AT1543" s="19"/>
      <c r="AV1543" s="21">
        <f>IF(AND($AL1543&lt;&gt;"",COUNTIF($AL$11:$AL1543,$AL1543)=1),1,0)</f>
        <v>0</v>
      </c>
      <c r="AW1543" s="21">
        <f t="shared" si="133"/>
        <v>0</v>
      </c>
      <c r="AX1543" s="21" t="str">
        <f t="shared" si="132"/>
        <v/>
      </c>
      <c r="AY1543" s="21" t="str">
        <f>IF(AND($AM1543&lt;&gt;"",$AS1543&lt;&gt;"✓"),SUMPRODUCT(($AM$11:$AM1543&lt;&gt;"")*($AS$11:$AS1543&lt;&gt;"✓")),"")</f>
        <v/>
      </c>
      <c r="AZ1543" s="21" t="str">
        <f>IF(AND($AM1543&lt;&gt;"",$AS1543="✓"),SUMPRODUCT(($AM$11:$AM1543&lt;&gt;"")*($AS$11:$AS1543="✓")),"")</f>
        <v/>
      </c>
      <c r="BA1543" s="21" t="str">
        <f>IF($AL1543="","",$AL1543&amp;"|"&amp;COUNTIF($AL$11:$AL1543,$AL1543))</f>
        <v/>
      </c>
    </row>
    <row r="1544" spans="38:53" ht="15" customHeight="1" x14ac:dyDescent="0.25">
      <c r="AL1544" s="31"/>
      <c r="AM1544" s="26"/>
      <c r="AN1544" s="32"/>
      <c r="AO1544" s="32"/>
      <c r="AP1544" s="24"/>
      <c r="AQ1544" s="24"/>
      <c r="AR1544" s="33"/>
      <c r="AS1544" s="34"/>
      <c r="AT1544" s="33"/>
      <c r="AV1544" s="21">
        <f>IF(AND($AL1544&lt;&gt;"",COUNTIF($AL$11:$AL1544,$AL1544)=1),1,0)</f>
        <v>0</v>
      </c>
      <c r="AW1544" s="21">
        <f t="shared" si="133"/>
        <v>0</v>
      </c>
      <c r="AX1544" s="21" t="str">
        <f t="shared" si="132"/>
        <v/>
      </c>
      <c r="AY1544" s="21" t="str">
        <f>IF(AND($AM1544&lt;&gt;"",$AS1544&lt;&gt;"✓"),SUMPRODUCT(($AM$11:$AM1544&lt;&gt;"")*($AS$11:$AS1544&lt;&gt;"✓")),"")</f>
        <v/>
      </c>
      <c r="AZ1544" s="21" t="str">
        <f>IF(AND($AM1544&lt;&gt;"",$AS1544="✓"),SUMPRODUCT(($AM$11:$AM1544&lt;&gt;"")*($AS$11:$AS1544="✓")),"")</f>
        <v/>
      </c>
      <c r="BA1544" s="21" t="str">
        <f>IF($AL1544="","",$AL1544&amp;"|"&amp;COUNTIF($AL$11:$AL1544,$AL1544))</f>
        <v/>
      </c>
    </row>
    <row r="1545" spans="38:53" ht="15" customHeight="1" x14ac:dyDescent="0.25">
      <c r="AL1545" s="17"/>
      <c r="AM1545" s="12"/>
      <c r="AN1545" s="18"/>
      <c r="AO1545" s="18"/>
      <c r="AP1545" s="10"/>
      <c r="AQ1545" s="10"/>
      <c r="AR1545" s="19"/>
      <c r="AS1545" s="20"/>
      <c r="AT1545" s="19"/>
      <c r="AV1545" s="21">
        <f>IF(AND($AL1545&lt;&gt;"",COUNTIF($AL$11:$AL1545,$AL1545)=1),1,0)</f>
        <v>0</v>
      </c>
      <c r="AW1545" s="21">
        <f t="shared" si="133"/>
        <v>0</v>
      </c>
      <c r="AX1545" s="21" t="str">
        <f t="shared" si="132"/>
        <v/>
      </c>
      <c r="AY1545" s="21" t="str">
        <f>IF(AND($AM1545&lt;&gt;"",$AS1545&lt;&gt;"✓"),SUMPRODUCT(($AM$11:$AM1545&lt;&gt;"")*($AS$11:$AS1545&lt;&gt;"✓")),"")</f>
        <v/>
      </c>
      <c r="AZ1545" s="21" t="str">
        <f>IF(AND($AM1545&lt;&gt;"",$AS1545="✓"),SUMPRODUCT(($AM$11:$AM1545&lt;&gt;"")*($AS$11:$AS1545="✓")),"")</f>
        <v/>
      </c>
      <c r="BA1545" s="21" t="str">
        <f>IF($AL1545="","",$AL1545&amp;"|"&amp;COUNTIF($AL$11:$AL1545,$AL1545))</f>
        <v/>
      </c>
    </row>
    <row r="1546" spans="38:53" ht="15" customHeight="1" x14ac:dyDescent="0.25">
      <c r="AL1546" s="31"/>
      <c r="AM1546" s="26"/>
      <c r="AN1546" s="32"/>
      <c r="AO1546" s="32"/>
      <c r="AP1546" s="24"/>
      <c r="AQ1546" s="24"/>
      <c r="AR1546" s="33"/>
      <c r="AS1546" s="34"/>
      <c r="AT1546" s="33"/>
      <c r="AV1546" s="21">
        <f>IF(AND($AL1546&lt;&gt;"",COUNTIF($AL$11:$AL1546,$AL1546)=1),1,0)</f>
        <v>0</v>
      </c>
      <c r="AW1546" s="21">
        <f t="shared" si="133"/>
        <v>0</v>
      </c>
      <c r="AX1546" s="21" t="str">
        <f t="shared" si="132"/>
        <v/>
      </c>
      <c r="AY1546" s="21" t="str">
        <f>IF(AND($AM1546&lt;&gt;"",$AS1546&lt;&gt;"✓"),SUMPRODUCT(($AM$11:$AM1546&lt;&gt;"")*($AS$11:$AS1546&lt;&gt;"✓")),"")</f>
        <v/>
      </c>
      <c r="AZ1546" s="21" t="str">
        <f>IF(AND($AM1546&lt;&gt;"",$AS1546="✓"),SUMPRODUCT(($AM$11:$AM1546&lt;&gt;"")*($AS$11:$AS1546="✓")),"")</f>
        <v/>
      </c>
      <c r="BA1546" s="21" t="str">
        <f>IF($AL1546="","",$AL1546&amp;"|"&amp;COUNTIF($AL$11:$AL1546,$AL1546))</f>
        <v/>
      </c>
    </row>
    <row r="1547" spans="38:53" ht="15" customHeight="1" x14ac:dyDescent="0.25">
      <c r="AL1547" s="17"/>
      <c r="AM1547" s="12"/>
      <c r="AN1547" s="18"/>
      <c r="AO1547" s="18"/>
      <c r="AP1547" s="10"/>
      <c r="AQ1547" s="10"/>
      <c r="AR1547" s="19"/>
      <c r="AS1547" s="20"/>
      <c r="AT1547" s="19"/>
      <c r="AV1547" s="21">
        <f>IF(AND($AL1547&lt;&gt;"",COUNTIF($AL$11:$AL1547,$AL1547)=1),1,0)</f>
        <v>0</v>
      </c>
      <c r="AW1547" s="21">
        <f t="shared" si="133"/>
        <v>0</v>
      </c>
      <c r="AX1547" s="21" t="str">
        <f t="shared" ref="AX1547:AX1610" si="134">IF(AV1547=1,AW1547,"")</f>
        <v/>
      </c>
      <c r="AY1547" s="21" t="str">
        <f>IF(AND($AM1547&lt;&gt;"",$AS1547&lt;&gt;"✓"),SUMPRODUCT(($AM$11:$AM1547&lt;&gt;"")*($AS$11:$AS1547&lt;&gt;"✓")),"")</f>
        <v/>
      </c>
      <c r="AZ1547" s="21" t="str">
        <f>IF(AND($AM1547&lt;&gt;"",$AS1547="✓"),SUMPRODUCT(($AM$11:$AM1547&lt;&gt;"")*($AS$11:$AS1547="✓")),"")</f>
        <v/>
      </c>
      <c r="BA1547" s="21" t="str">
        <f>IF($AL1547="","",$AL1547&amp;"|"&amp;COUNTIF($AL$11:$AL1547,$AL1547))</f>
        <v/>
      </c>
    </row>
    <row r="1548" spans="38:53" ht="15" customHeight="1" x14ac:dyDescent="0.25">
      <c r="AL1548" s="31"/>
      <c r="AM1548" s="26"/>
      <c r="AN1548" s="32"/>
      <c r="AO1548" s="32"/>
      <c r="AP1548" s="24"/>
      <c r="AQ1548" s="24"/>
      <c r="AR1548" s="33"/>
      <c r="AS1548" s="34"/>
      <c r="AT1548" s="33"/>
      <c r="AV1548" s="21">
        <f>IF(AND($AL1548&lt;&gt;"",COUNTIF($AL$11:$AL1548,$AL1548)=1),1,0)</f>
        <v>0</v>
      </c>
      <c r="AW1548" s="21">
        <f t="shared" ref="AW1548:AW1611" si="135">AW1547+AV1548</f>
        <v>0</v>
      </c>
      <c r="AX1548" s="21" t="str">
        <f t="shared" si="134"/>
        <v/>
      </c>
      <c r="AY1548" s="21" t="str">
        <f>IF(AND($AM1548&lt;&gt;"",$AS1548&lt;&gt;"✓"),SUMPRODUCT(($AM$11:$AM1548&lt;&gt;"")*($AS$11:$AS1548&lt;&gt;"✓")),"")</f>
        <v/>
      </c>
      <c r="AZ1548" s="21" t="str">
        <f>IF(AND($AM1548&lt;&gt;"",$AS1548="✓"),SUMPRODUCT(($AM$11:$AM1548&lt;&gt;"")*($AS$11:$AS1548="✓")),"")</f>
        <v/>
      </c>
      <c r="BA1548" s="21" t="str">
        <f>IF($AL1548="","",$AL1548&amp;"|"&amp;COUNTIF($AL$11:$AL1548,$AL1548))</f>
        <v/>
      </c>
    </row>
    <row r="1549" spans="38:53" ht="15" customHeight="1" x14ac:dyDescent="0.25">
      <c r="AL1549" s="17"/>
      <c r="AM1549" s="12"/>
      <c r="AN1549" s="18"/>
      <c r="AO1549" s="18"/>
      <c r="AP1549" s="10"/>
      <c r="AQ1549" s="10"/>
      <c r="AR1549" s="19"/>
      <c r="AS1549" s="20"/>
      <c r="AT1549" s="19"/>
      <c r="AV1549" s="21">
        <f>IF(AND($AL1549&lt;&gt;"",COUNTIF($AL$11:$AL1549,$AL1549)=1),1,0)</f>
        <v>0</v>
      </c>
      <c r="AW1549" s="21">
        <f t="shared" si="135"/>
        <v>0</v>
      </c>
      <c r="AX1549" s="21" t="str">
        <f t="shared" si="134"/>
        <v/>
      </c>
      <c r="AY1549" s="21" t="str">
        <f>IF(AND($AM1549&lt;&gt;"",$AS1549&lt;&gt;"✓"),SUMPRODUCT(($AM$11:$AM1549&lt;&gt;"")*($AS$11:$AS1549&lt;&gt;"✓")),"")</f>
        <v/>
      </c>
      <c r="AZ1549" s="21" t="str">
        <f>IF(AND($AM1549&lt;&gt;"",$AS1549="✓"),SUMPRODUCT(($AM$11:$AM1549&lt;&gt;"")*($AS$11:$AS1549="✓")),"")</f>
        <v/>
      </c>
      <c r="BA1549" s="21" t="str">
        <f>IF($AL1549="","",$AL1549&amp;"|"&amp;COUNTIF($AL$11:$AL1549,$AL1549))</f>
        <v/>
      </c>
    </row>
    <row r="1550" spans="38:53" ht="15" customHeight="1" x14ac:dyDescent="0.25">
      <c r="AL1550" s="31"/>
      <c r="AM1550" s="26"/>
      <c r="AN1550" s="32"/>
      <c r="AO1550" s="32"/>
      <c r="AP1550" s="24"/>
      <c r="AQ1550" s="24"/>
      <c r="AR1550" s="33"/>
      <c r="AS1550" s="34"/>
      <c r="AT1550" s="33"/>
      <c r="AV1550" s="21">
        <f>IF(AND($AL1550&lt;&gt;"",COUNTIF($AL$11:$AL1550,$AL1550)=1),1,0)</f>
        <v>0</v>
      </c>
      <c r="AW1550" s="21">
        <f t="shared" si="135"/>
        <v>0</v>
      </c>
      <c r="AX1550" s="21" t="str">
        <f t="shared" si="134"/>
        <v/>
      </c>
      <c r="AY1550" s="21" t="str">
        <f>IF(AND($AM1550&lt;&gt;"",$AS1550&lt;&gt;"✓"),SUMPRODUCT(($AM$11:$AM1550&lt;&gt;"")*($AS$11:$AS1550&lt;&gt;"✓")),"")</f>
        <v/>
      </c>
      <c r="AZ1550" s="21" t="str">
        <f>IF(AND($AM1550&lt;&gt;"",$AS1550="✓"),SUMPRODUCT(($AM$11:$AM1550&lt;&gt;"")*($AS$11:$AS1550="✓")),"")</f>
        <v/>
      </c>
      <c r="BA1550" s="21" t="str">
        <f>IF($AL1550="","",$AL1550&amp;"|"&amp;COUNTIF($AL$11:$AL1550,$AL1550))</f>
        <v/>
      </c>
    </row>
    <row r="1551" spans="38:53" ht="15" customHeight="1" x14ac:dyDescent="0.25">
      <c r="AL1551" s="17"/>
      <c r="AM1551" s="12"/>
      <c r="AN1551" s="18"/>
      <c r="AO1551" s="18"/>
      <c r="AP1551" s="10"/>
      <c r="AQ1551" s="10"/>
      <c r="AR1551" s="19"/>
      <c r="AS1551" s="20"/>
      <c r="AT1551" s="19"/>
      <c r="AV1551" s="21">
        <f>IF(AND($AL1551&lt;&gt;"",COUNTIF($AL$11:$AL1551,$AL1551)=1),1,0)</f>
        <v>0</v>
      </c>
      <c r="AW1551" s="21">
        <f t="shared" si="135"/>
        <v>0</v>
      </c>
      <c r="AX1551" s="21" t="str">
        <f t="shared" si="134"/>
        <v/>
      </c>
      <c r="AY1551" s="21" t="str">
        <f>IF(AND($AM1551&lt;&gt;"",$AS1551&lt;&gt;"✓"),SUMPRODUCT(($AM$11:$AM1551&lt;&gt;"")*($AS$11:$AS1551&lt;&gt;"✓")),"")</f>
        <v/>
      </c>
      <c r="AZ1551" s="21" t="str">
        <f>IF(AND($AM1551&lt;&gt;"",$AS1551="✓"),SUMPRODUCT(($AM$11:$AM1551&lt;&gt;"")*($AS$11:$AS1551="✓")),"")</f>
        <v/>
      </c>
      <c r="BA1551" s="21" t="str">
        <f>IF($AL1551="","",$AL1551&amp;"|"&amp;COUNTIF($AL$11:$AL1551,$AL1551))</f>
        <v/>
      </c>
    </row>
    <row r="1552" spans="38:53" ht="15" customHeight="1" x14ac:dyDescent="0.25">
      <c r="AL1552" s="31"/>
      <c r="AM1552" s="26"/>
      <c r="AN1552" s="32"/>
      <c r="AO1552" s="32"/>
      <c r="AP1552" s="24"/>
      <c r="AQ1552" s="24"/>
      <c r="AR1552" s="33"/>
      <c r="AS1552" s="34"/>
      <c r="AT1552" s="33"/>
      <c r="AV1552" s="21">
        <f>IF(AND($AL1552&lt;&gt;"",COUNTIF($AL$11:$AL1552,$AL1552)=1),1,0)</f>
        <v>0</v>
      </c>
      <c r="AW1552" s="21">
        <f t="shared" si="135"/>
        <v>0</v>
      </c>
      <c r="AX1552" s="21" t="str">
        <f t="shared" si="134"/>
        <v/>
      </c>
      <c r="AY1552" s="21" t="str">
        <f>IF(AND($AM1552&lt;&gt;"",$AS1552&lt;&gt;"✓"),SUMPRODUCT(($AM$11:$AM1552&lt;&gt;"")*($AS$11:$AS1552&lt;&gt;"✓")),"")</f>
        <v/>
      </c>
      <c r="AZ1552" s="21" t="str">
        <f>IF(AND($AM1552&lt;&gt;"",$AS1552="✓"),SUMPRODUCT(($AM$11:$AM1552&lt;&gt;"")*($AS$11:$AS1552="✓")),"")</f>
        <v/>
      </c>
      <c r="BA1552" s="21" t="str">
        <f>IF($AL1552="","",$AL1552&amp;"|"&amp;COUNTIF($AL$11:$AL1552,$AL1552))</f>
        <v/>
      </c>
    </row>
    <row r="1553" spans="38:53" ht="15" customHeight="1" x14ac:dyDescent="0.25">
      <c r="AL1553" s="17"/>
      <c r="AM1553" s="12"/>
      <c r="AN1553" s="18"/>
      <c r="AO1553" s="18"/>
      <c r="AP1553" s="10"/>
      <c r="AQ1553" s="10"/>
      <c r="AR1553" s="19"/>
      <c r="AS1553" s="20"/>
      <c r="AT1553" s="19"/>
      <c r="AV1553" s="21">
        <f>IF(AND($AL1553&lt;&gt;"",COUNTIF($AL$11:$AL1553,$AL1553)=1),1,0)</f>
        <v>0</v>
      </c>
      <c r="AW1553" s="21">
        <f t="shared" si="135"/>
        <v>0</v>
      </c>
      <c r="AX1553" s="21" t="str">
        <f t="shared" si="134"/>
        <v/>
      </c>
      <c r="AY1553" s="21" t="str">
        <f>IF(AND($AM1553&lt;&gt;"",$AS1553&lt;&gt;"✓"),SUMPRODUCT(($AM$11:$AM1553&lt;&gt;"")*($AS$11:$AS1553&lt;&gt;"✓")),"")</f>
        <v/>
      </c>
      <c r="AZ1553" s="21" t="str">
        <f>IF(AND($AM1553&lt;&gt;"",$AS1553="✓"),SUMPRODUCT(($AM$11:$AM1553&lt;&gt;"")*($AS$11:$AS1553="✓")),"")</f>
        <v/>
      </c>
      <c r="BA1553" s="21" t="str">
        <f>IF($AL1553="","",$AL1553&amp;"|"&amp;COUNTIF($AL$11:$AL1553,$AL1553))</f>
        <v/>
      </c>
    </row>
    <row r="1554" spans="38:53" ht="15" customHeight="1" x14ac:dyDescent="0.25">
      <c r="AL1554" s="31"/>
      <c r="AM1554" s="26"/>
      <c r="AN1554" s="32"/>
      <c r="AO1554" s="32"/>
      <c r="AP1554" s="24"/>
      <c r="AQ1554" s="24"/>
      <c r="AR1554" s="33"/>
      <c r="AS1554" s="34"/>
      <c r="AT1554" s="33"/>
      <c r="AV1554" s="21">
        <f>IF(AND($AL1554&lt;&gt;"",COUNTIF($AL$11:$AL1554,$AL1554)=1),1,0)</f>
        <v>0</v>
      </c>
      <c r="AW1554" s="21">
        <f t="shared" si="135"/>
        <v>0</v>
      </c>
      <c r="AX1554" s="21" t="str">
        <f t="shared" si="134"/>
        <v/>
      </c>
      <c r="AY1554" s="21" t="str">
        <f>IF(AND($AM1554&lt;&gt;"",$AS1554&lt;&gt;"✓"),SUMPRODUCT(($AM$11:$AM1554&lt;&gt;"")*($AS$11:$AS1554&lt;&gt;"✓")),"")</f>
        <v/>
      </c>
      <c r="AZ1554" s="21" t="str">
        <f>IF(AND($AM1554&lt;&gt;"",$AS1554="✓"),SUMPRODUCT(($AM$11:$AM1554&lt;&gt;"")*($AS$11:$AS1554="✓")),"")</f>
        <v/>
      </c>
      <c r="BA1554" s="21" t="str">
        <f>IF($AL1554="","",$AL1554&amp;"|"&amp;COUNTIF($AL$11:$AL1554,$AL1554))</f>
        <v/>
      </c>
    </row>
    <row r="1555" spans="38:53" ht="15" customHeight="1" x14ac:dyDescent="0.25">
      <c r="AL1555" s="17"/>
      <c r="AM1555" s="12"/>
      <c r="AN1555" s="18"/>
      <c r="AO1555" s="18"/>
      <c r="AP1555" s="10"/>
      <c r="AQ1555" s="10"/>
      <c r="AR1555" s="19"/>
      <c r="AS1555" s="20"/>
      <c r="AT1555" s="19"/>
      <c r="AV1555" s="21">
        <f>IF(AND($AL1555&lt;&gt;"",COUNTIF($AL$11:$AL1555,$AL1555)=1),1,0)</f>
        <v>0</v>
      </c>
      <c r="AW1555" s="21">
        <f t="shared" si="135"/>
        <v>0</v>
      </c>
      <c r="AX1555" s="21" t="str">
        <f t="shared" si="134"/>
        <v/>
      </c>
      <c r="AY1555" s="21" t="str">
        <f>IF(AND($AM1555&lt;&gt;"",$AS1555&lt;&gt;"✓"),SUMPRODUCT(($AM$11:$AM1555&lt;&gt;"")*($AS$11:$AS1555&lt;&gt;"✓")),"")</f>
        <v/>
      </c>
      <c r="AZ1555" s="21" t="str">
        <f>IF(AND($AM1555&lt;&gt;"",$AS1555="✓"),SUMPRODUCT(($AM$11:$AM1555&lt;&gt;"")*($AS$11:$AS1555="✓")),"")</f>
        <v/>
      </c>
      <c r="BA1555" s="21" t="str">
        <f>IF($AL1555="","",$AL1555&amp;"|"&amp;COUNTIF($AL$11:$AL1555,$AL1555))</f>
        <v/>
      </c>
    </row>
    <row r="1556" spans="38:53" ht="15" customHeight="1" x14ac:dyDescent="0.25">
      <c r="AL1556" s="31"/>
      <c r="AM1556" s="26"/>
      <c r="AN1556" s="32"/>
      <c r="AO1556" s="32"/>
      <c r="AP1556" s="24"/>
      <c r="AQ1556" s="24"/>
      <c r="AR1556" s="33"/>
      <c r="AS1556" s="34"/>
      <c r="AT1556" s="33"/>
      <c r="AV1556" s="21">
        <f>IF(AND($AL1556&lt;&gt;"",COUNTIF($AL$11:$AL1556,$AL1556)=1),1,0)</f>
        <v>0</v>
      </c>
      <c r="AW1556" s="21">
        <f t="shared" si="135"/>
        <v>0</v>
      </c>
      <c r="AX1556" s="21" t="str">
        <f t="shared" si="134"/>
        <v/>
      </c>
      <c r="AY1556" s="21" t="str">
        <f>IF(AND($AM1556&lt;&gt;"",$AS1556&lt;&gt;"✓"),SUMPRODUCT(($AM$11:$AM1556&lt;&gt;"")*($AS$11:$AS1556&lt;&gt;"✓")),"")</f>
        <v/>
      </c>
      <c r="AZ1556" s="21" t="str">
        <f>IF(AND($AM1556&lt;&gt;"",$AS1556="✓"),SUMPRODUCT(($AM$11:$AM1556&lt;&gt;"")*($AS$11:$AS1556="✓")),"")</f>
        <v/>
      </c>
      <c r="BA1556" s="21" t="str">
        <f>IF($AL1556="","",$AL1556&amp;"|"&amp;COUNTIF($AL$11:$AL1556,$AL1556))</f>
        <v/>
      </c>
    </row>
    <row r="1557" spans="38:53" ht="15" customHeight="1" x14ac:dyDescent="0.25">
      <c r="AL1557" s="17"/>
      <c r="AM1557" s="12"/>
      <c r="AN1557" s="18"/>
      <c r="AO1557" s="18"/>
      <c r="AP1557" s="10"/>
      <c r="AQ1557" s="10"/>
      <c r="AR1557" s="19"/>
      <c r="AS1557" s="20"/>
      <c r="AT1557" s="19"/>
      <c r="AV1557" s="21">
        <f>IF(AND($AL1557&lt;&gt;"",COUNTIF($AL$11:$AL1557,$AL1557)=1),1,0)</f>
        <v>0</v>
      </c>
      <c r="AW1557" s="21">
        <f t="shared" si="135"/>
        <v>0</v>
      </c>
      <c r="AX1557" s="21" t="str">
        <f t="shared" si="134"/>
        <v/>
      </c>
      <c r="AY1557" s="21" t="str">
        <f>IF(AND($AM1557&lt;&gt;"",$AS1557&lt;&gt;"✓"),SUMPRODUCT(($AM$11:$AM1557&lt;&gt;"")*($AS$11:$AS1557&lt;&gt;"✓")),"")</f>
        <v/>
      </c>
      <c r="AZ1557" s="21" t="str">
        <f>IF(AND($AM1557&lt;&gt;"",$AS1557="✓"),SUMPRODUCT(($AM$11:$AM1557&lt;&gt;"")*($AS$11:$AS1557="✓")),"")</f>
        <v/>
      </c>
      <c r="BA1557" s="21" t="str">
        <f>IF($AL1557="","",$AL1557&amp;"|"&amp;COUNTIF($AL$11:$AL1557,$AL1557))</f>
        <v/>
      </c>
    </row>
    <row r="1558" spans="38:53" ht="15" customHeight="1" x14ac:dyDescent="0.25">
      <c r="AL1558" s="31"/>
      <c r="AM1558" s="26"/>
      <c r="AN1558" s="32"/>
      <c r="AO1558" s="32"/>
      <c r="AP1558" s="24"/>
      <c r="AQ1558" s="24"/>
      <c r="AR1558" s="33"/>
      <c r="AS1558" s="34"/>
      <c r="AT1558" s="33"/>
      <c r="AV1558" s="21">
        <f>IF(AND($AL1558&lt;&gt;"",COUNTIF($AL$11:$AL1558,$AL1558)=1),1,0)</f>
        <v>0</v>
      </c>
      <c r="AW1558" s="21">
        <f t="shared" si="135"/>
        <v>0</v>
      </c>
      <c r="AX1558" s="21" t="str">
        <f t="shared" si="134"/>
        <v/>
      </c>
      <c r="AY1558" s="21" t="str">
        <f>IF(AND($AM1558&lt;&gt;"",$AS1558&lt;&gt;"✓"),SUMPRODUCT(($AM$11:$AM1558&lt;&gt;"")*($AS$11:$AS1558&lt;&gt;"✓")),"")</f>
        <v/>
      </c>
      <c r="AZ1558" s="21" t="str">
        <f>IF(AND($AM1558&lt;&gt;"",$AS1558="✓"),SUMPRODUCT(($AM$11:$AM1558&lt;&gt;"")*($AS$11:$AS1558="✓")),"")</f>
        <v/>
      </c>
      <c r="BA1558" s="21" t="str">
        <f>IF($AL1558="","",$AL1558&amp;"|"&amp;COUNTIF($AL$11:$AL1558,$AL1558))</f>
        <v/>
      </c>
    </row>
    <row r="1559" spans="38:53" ht="15" customHeight="1" x14ac:dyDescent="0.25">
      <c r="AL1559" s="17"/>
      <c r="AM1559" s="12"/>
      <c r="AN1559" s="18"/>
      <c r="AO1559" s="18"/>
      <c r="AP1559" s="10"/>
      <c r="AQ1559" s="10"/>
      <c r="AR1559" s="19"/>
      <c r="AS1559" s="20"/>
      <c r="AT1559" s="19"/>
      <c r="AV1559" s="21">
        <f>IF(AND($AL1559&lt;&gt;"",COUNTIF($AL$11:$AL1559,$AL1559)=1),1,0)</f>
        <v>0</v>
      </c>
      <c r="AW1559" s="21">
        <f t="shared" si="135"/>
        <v>0</v>
      </c>
      <c r="AX1559" s="21" t="str">
        <f t="shared" si="134"/>
        <v/>
      </c>
      <c r="AY1559" s="21" t="str">
        <f>IF(AND($AM1559&lt;&gt;"",$AS1559&lt;&gt;"✓"),SUMPRODUCT(($AM$11:$AM1559&lt;&gt;"")*($AS$11:$AS1559&lt;&gt;"✓")),"")</f>
        <v/>
      </c>
      <c r="AZ1559" s="21" t="str">
        <f>IF(AND($AM1559&lt;&gt;"",$AS1559="✓"),SUMPRODUCT(($AM$11:$AM1559&lt;&gt;"")*($AS$11:$AS1559="✓")),"")</f>
        <v/>
      </c>
      <c r="BA1559" s="21" t="str">
        <f>IF($AL1559="","",$AL1559&amp;"|"&amp;COUNTIF($AL$11:$AL1559,$AL1559))</f>
        <v/>
      </c>
    </row>
    <row r="1560" spans="38:53" ht="15" customHeight="1" x14ac:dyDescent="0.25">
      <c r="AL1560" s="31"/>
      <c r="AM1560" s="26"/>
      <c r="AN1560" s="32"/>
      <c r="AO1560" s="32"/>
      <c r="AP1560" s="24"/>
      <c r="AQ1560" s="24"/>
      <c r="AR1560" s="33"/>
      <c r="AS1560" s="34"/>
      <c r="AT1560" s="33"/>
      <c r="AV1560" s="21">
        <f>IF(AND($AL1560&lt;&gt;"",COUNTIF($AL$11:$AL1560,$AL1560)=1),1,0)</f>
        <v>0</v>
      </c>
      <c r="AW1560" s="21">
        <f t="shared" si="135"/>
        <v>0</v>
      </c>
      <c r="AX1560" s="21" t="str">
        <f t="shared" si="134"/>
        <v/>
      </c>
      <c r="AY1560" s="21" t="str">
        <f>IF(AND($AM1560&lt;&gt;"",$AS1560&lt;&gt;"✓"),SUMPRODUCT(($AM$11:$AM1560&lt;&gt;"")*($AS$11:$AS1560&lt;&gt;"✓")),"")</f>
        <v/>
      </c>
      <c r="AZ1560" s="21" t="str">
        <f>IF(AND($AM1560&lt;&gt;"",$AS1560="✓"),SUMPRODUCT(($AM$11:$AM1560&lt;&gt;"")*($AS$11:$AS1560="✓")),"")</f>
        <v/>
      </c>
      <c r="BA1560" s="21" t="str">
        <f>IF($AL1560="","",$AL1560&amp;"|"&amp;COUNTIF($AL$11:$AL1560,$AL1560))</f>
        <v/>
      </c>
    </row>
    <row r="1561" spans="38:53" ht="15" customHeight="1" x14ac:dyDescent="0.25">
      <c r="AL1561" s="17"/>
      <c r="AM1561" s="12"/>
      <c r="AN1561" s="18"/>
      <c r="AO1561" s="18"/>
      <c r="AP1561" s="10"/>
      <c r="AQ1561" s="10"/>
      <c r="AR1561" s="19"/>
      <c r="AS1561" s="20"/>
      <c r="AT1561" s="19"/>
      <c r="AV1561" s="21">
        <f>IF(AND($AL1561&lt;&gt;"",COUNTIF($AL$11:$AL1561,$AL1561)=1),1,0)</f>
        <v>0</v>
      </c>
      <c r="AW1561" s="21">
        <f t="shared" si="135"/>
        <v>0</v>
      </c>
      <c r="AX1561" s="21" t="str">
        <f t="shared" si="134"/>
        <v/>
      </c>
      <c r="AY1561" s="21" t="str">
        <f>IF(AND($AM1561&lt;&gt;"",$AS1561&lt;&gt;"✓"),SUMPRODUCT(($AM$11:$AM1561&lt;&gt;"")*($AS$11:$AS1561&lt;&gt;"✓")),"")</f>
        <v/>
      </c>
      <c r="AZ1561" s="21" t="str">
        <f>IF(AND($AM1561&lt;&gt;"",$AS1561="✓"),SUMPRODUCT(($AM$11:$AM1561&lt;&gt;"")*($AS$11:$AS1561="✓")),"")</f>
        <v/>
      </c>
      <c r="BA1561" s="21" t="str">
        <f>IF($AL1561="","",$AL1561&amp;"|"&amp;COUNTIF($AL$11:$AL1561,$AL1561))</f>
        <v/>
      </c>
    </row>
    <row r="1562" spans="38:53" ht="15" customHeight="1" x14ac:dyDescent="0.25">
      <c r="AL1562" s="31"/>
      <c r="AM1562" s="26"/>
      <c r="AN1562" s="32"/>
      <c r="AO1562" s="32"/>
      <c r="AP1562" s="24"/>
      <c r="AQ1562" s="24"/>
      <c r="AR1562" s="33"/>
      <c r="AS1562" s="34"/>
      <c r="AT1562" s="33"/>
      <c r="AV1562" s="21">
        <f>IF(AND($AL1562&lt;&gt;"",COUNTIF($AL$11:$AL1562,$AL1562)=1),1,0)</f>
        <v>0</v>
      </c>
      <c r="AW1562" s="21">
        <f t="shared" si="135"/>
        <v>0</v>
      </c>
      <c r="AX1562" s="21" t="str">
        <f t="shared" si="134"/>
        <v/>
      </c>
      <c r="AY1562" s="21" t="str">
        <f>IF(AND($AM1562&lt;&gt;"",$AS1562&lt;&gt;"✓"),SUMPRODUCT(($AM$11:$AM1562&lt;&gt;"")*($AS$11:$AS1562&lt;&gt;"✓")),"")</f>
        <v/>
      </c>
      <c r="AZ1562" s="21" t="str">
        <f>IF(AND($AM1562&lt;&gt;"",$AS1562="✓"),SUMPRODUCT(($AM$11:$AM1562&lt;&gt;"")*($AS$11:$AS1562="✓")),"")</f>
        <v/>
      </c>
      <c r="BA1562" s="21" t="str">
        <f>IF($AL1562="","",$AL1562&amp;"|"&amp;COUNTIF($AL$11:$AL1562,$AL1562))</f>
        <v/>
      </c>
    </row>
    <row r="1563" spans="38:53" ht="15" customHeight="1" x14ac:dyDescent="0.25">
      <c r="AL1563" s="17"/>
      <c r="AM1563" s="12"/>
      <c r="AN1563" s="18"/>
      <c r="AO1563" s="18"/>
      <c r="AP1563" s="10"/>
      <c r="AQ1563" s="10"/>
      <c r="AR1563" s="19"/>
      <c r="AS1563" s="20"/>
      <c r="AT1563" s="19"/>
      <c r="AV1563" s="21">
        <f>IF(AND($AL1563&lt;&gt;"",COUNTIF($AL$11:$AL1563,$AL1563)=1),1,0)</f>
        <v>0</v>
      </c>
      <c r="AW1563" s="21">
        <f t="shared" si="135"/>
        <v>0</v>
      </c>
      <c r="AX1563" s="21" t="str">
        <f t="shared" si="134"/>
        <v/>
      </c>
      <c r="AY1563" s="21" t="str">
        <f>IF(AND($AM1563&lt;&gt;"",$AS1563&lt;&gt;"✓"),SUMPRODUCT(($AM$11:$AM1563&lt;&gt;"")*($AS$11:$AS1563&lt;&gt;"✓")),"")</f>
        <v/>
      </c>
      <c r="AZ1563" s="21" t="str">
        <f>IF(AND($AM1563&lt;&gt;"",$AS1563="✓"),SUMPRODUCT(($AM$11:$AM1563&lt;&gt;"")*($AS$11:$AS1563="✓")),"")</f>
        <v/>
      </c>
      <c r="BA1563" s="21" t="str">
        <f>IF($AL1563="","",$AL1563&amp;"|"&amp;COUNTIF($AL$11:$AL1563,$AL1563))</f>
        <v/>
      </c>
    </row>
    <row r="1564" spans="38:53" ht="15" customHeight="1" x14ac:dyDescent="0.25">
      <c r="AL1564" s="31"/>
      <c r="AM1564" s="26"/>
      <c r="AN1564" s="32"/>
      <c r="AO1564" s="32"/>
      <c r="AP1564" s="24"/>
      <c r="AQ1564" s="24"/>
      <c r="AR1564" s="33"/>
      <c r="AS1564" s="34"/>
      <c r="AT1564" s="33"/>
      <c r="AV1564" s="21">
        <f>IF(AND($AL1564&lt;&gt;"",COUNTIF($AL$11:$AL1564,$AL1564)=1),1,0)</f>
        <v>0</v>
      </c>
      <c r="AW1564" s="21">
        <f t="shared" si="135"/>
        <v>0</v>
      </c>
      <c r="AX1564" s="21" t="str">
        <f t="shared" si="134"/>
        <v/>
      </c>
      <c r="AY1564" s="21" t="str">
        <f>IF(AND($AM1564&lt;&gt;"",$AS1564&lt;&gt;"✓"),SUMPRODUCT(($AM$11:$AM1564&lt;&gt;"")*($AS$11:$AS1564&lt;&gt;"✓")),"")</f>
        <v/>
      </c>
      <c r="AZ1564" s="21" t="str">
        <f>IF(AND($AM1564&lt;&gt;"",$AS1564="✓"),SUMPRODUCT(($AM$11:$AM1564&lt;&gt;"")*($AS$11:$AS1564="✓")),"")</f>
        <v/>
      </c>
      <c r="BA1564" s="21" t="str">
        <f>IF($AL1564="","",$AL1564&amp;"|"&amp;COUNTIF($AL$11:$AL1564,$AL1564))</f>
        <v/>
      </c>
    </row>
    <row r="1565" spans="38:53" ht="15" customHeight="1" x14ac:dyDescent="0.25">
      <c r="AL1565" s="17"/>
      <c r="AM1565" s="12"/>
      <c r="AN1565" s="18"/>
      <c r="AO1565" s="18"/>
      <c r="AP1565" s="10"/>
      <c r="AQ1565" s="10"/>
      <c r="AR1565" s="19"/>
      <c r="AS1565" s="20"/>
      <c r="AT1565" s="19"/>
      <c r="AV1565" s="21">
        <f>IF(AND($AL1565&lt;&gt;"",COUNTIF($AL$11:$AL1565,$AL1565)=1),1,0)</f>
        <v>0</v>
      </c>
      <c r="AW1565" s="21">
        <f t="shared" si="135"/>
        <v>0</v>
      </c>
      <c r="AX1565" s="21" t="str">
        <f t="shared" si="134"/>
        <v/>
      </c>
      <c r="AY1565" s="21" t="str">
        <f>IF(AND($AM1565&lt;&gt;"",$AS1565&lt;&gt;"✓"),SUMPRODUCT(($AM$11:$AM1565&lt;&gt;"")*($AS$11:$AS1565&lt;&gt;"✓")),"")</f>
        <v/>
      </c>
      <c r="AZ1565" s="21" t="str">
        <f>IF(AND($AM1565&lt;&gt;"",$AS1565="✓"),SUMPRODUCT(($AM$11:$AM1565&lt;&gt;"")*($AS$11:$AS1565="✓")),"")</f>
        <v/>
      </c>
      <c r="BA1565" s="21" t="str">
        <f>IF($AL1565="","",$AL1565&amp;"|"&amp;COUNTIF($AL$11:$AL1565,$AL1565))</f>
        <v/>
      </c>
    </row>
    <row r="1566" spans="38:53" ht="15" customHeight="1" x14ac:dyDescent="0.25">
      <c r="AL1566" s="31"/>
      <c r="AM1566" s="26"/>
      <c r="AN1566" s="32"/>
      <c r="AO1566" s="32"/>
      <c r="AP1566" s="24"/>
      <c r="AQ1566" s="24"/>
      <c r="AR1566" s="33"/>
      <c r="AS1566" s="34"/>
      <c r="AT1566" s="33"/>
      <c r="AV1566" s="21">
        <f>IF(AND($AL1566&lt;&gt;"",COUNTIF($AL$11:$AL1566,$AL1566)=1),1,0)</f>
        <v>0</v>
      </c>
      <c r="AW1566" s="21">
        <f t="shared" si="135"/>
        <v>0</v>
      </c>
      <c r="AX1566" s="21" t="str">
        <f t="shared" si="134"/>
        <v/>
      </c>
      <c r="AY1566" s="21" t="str">
        <f>IF(AND($AM1566&lt;&gt;"",$AS1566&lt;&gt;"✓"),SUMPRODUCT(($AM$11:$AM1566&lt;&gt;"")*($AS$11:$AS1566&lt;&gt;"✓")),"")</f>
        <v/>
      </c>
      <c r="AZ1566" s="21" t="str">
        <f>IF(AND($AM1566&lt;&gt;"",$AS1566="✓"),SUMPRODUCT(($AM$11:$AM1566&lt;&gt;"")*($AS$11:$AS1566="✓")),"")</f>
        <v/>
      </c>
      <c r="BA1566" s="21" t="str">
        <f>IF($AL1566="","",$AL1566&amp;"|"&amp;COUNTIF($AL$11:$AL1566,$AL1566))</f>
        <v/>
      </c>
    </row>
    <row r="1567" spans="38:53" ht="15" customHeight="1" x14ac:dyDescent="0.25">
      <c r="AL1567" s="17"/>
      <c r="AM1567" s="12"/>
      <c r="AN1567" s="18"/>
      <c r="AO1567" s="18"/>
      <c r="AP1567" s="10"/>
      <c r="AQ1567" s="10"/>
      <c r="AR1567" s="19"/>
      <c r="AS1567" s="20"/>
      <c r="AT1567" s="19"/>
      <c r="AV1567" s="21">
        <f>IF(AND($AL1567&lt;&gt;"",COUNTIF($AL$11:$AL1567,$AL1567)=1),1,0)</f>
        <v>0</v>
      </c>
      <c r="AW1567" s="21">
        <f t="shared" si="135"/>
        <v>0</v>
      </c>
      <c r="AX1567" s="21" t="str">
        <f t="shared" si="134"/>
        <v/>
      </c>
      <c r="AY1567" s="21" t="str">
        <f>IF(AND($AM1567&lt;&gt;"",$AS1567&lt;&gt;"✓"),SUMPRODUCT(($AM$11:$AM1567&lt;&gt;"")*($AS$11:$AS1567&lt;&gt;"✓")),"")</f>
        <v/>
      </c>
      <c r="AZ1567" s="21" t="str">
        <f>IF(AND($AM1567&lt;&gt;"",$AS1567="✓"),SUMPRODUCT(($AM$11:$AM1567&lt;&gt;"")*($AS$11:$AS1567="✓")),"")</f>
        <v/>
      </c>
      <c r="BA1567" s="21" t="str">
        <f>IF($AL1567="","",$AL1567&amp;"|"&amp;COUNTIF($AL$11:$AL1567,$AL1567))</f>
        <v/>
      </c>
    </row>
    <row r="1568" spans="38:53" ht="15" customHeight="1" x14ac:dyDescent="0.25">
      <c r="AL1568" s="31"/>
      <c r="AM1568" s="26"/>
      <c r="AN1568" s="32"/>
      <c r="AO1568" s="32"/>
      <c r="AP1568" s="24"/>
      <c r="AQ1568" s="24"/>
      <c r="AR1568" s="33"/>
      <c r="AS1568" s="34"/>
      <c r="AT1568" s="33"/>
      <c r="AV1568" s="21">
        <f>IF(AND($AL1568&lt;&gt;"",COUNTIF($AL$11:$AL1568,$AL1568)=1),1,0)</f>
        <v>0</v>
      </c>
      <c r="AW1568" s="21">
        <f t="shared" si="135"/>
        <v>0</v>
      </c>
      <c r="AX1568" s="21" t="str">
        <f t="shared" si="134"/>
        <v/>
      </c>
      <c r="AY1568" s="21" t="str">
        <f>IF(AND($AM1568&lt;&gt;"",$AS1568&lt;&gt;"✓"),SUMPRODUCT(($AM$11:$AM1568&lt;&gt;"")*($AS$11:$AS1568&lt;&gt;"✓")),"")</f>
        <v/>
      </c>
      <c r="AZ1568" s="21" t="str">
        <f>IF(AND($AM1568&lt;&gt;"",$AS1568="✓"),SUMPRODUCT(($AM$11:$AM1568&lt;&gt;"")*($AS$11:$AS1568="✓")),"")</f>
        <v/>
      </c>
      <c r="BA1568" s="21" t="str">
        <f>IF($AL1568="","",$AL1568&amp;"|"&amp;COUNTIF($AL$11:$AL1568,$AL1568))</f>
        <v/>
      </c>
    </row>
    <row r="1569" spans="38:53" ht="15" customHeight="1" x14ac:dyDescent="0.25">
      <c r="AL1569" s="17"/>
      <c r="AM1569" s="12"/>
      <c r="AN1569" s="18"/>
      <c r="AO1569" s="18"/>
      <c r="AP1569" s="10"/>
      <c r="AQ1569" s="10"/>
      <c r="AR1569" s="19"/>
      <c r="AS1569" s="20"/>
      <c r="AT1569" s="19"/>
      <c r="AV1569" s="21">
        <f>IF(AND($AL1569&lt;&gt;"",COUNTIF($AL$11:$AL1569,$AL1569)=1),1,0)</f>
        <v>0</v>
      </c>
      <c r="AW1569" s="21">
        <f t="shared" si="135"/>
        <v>0</v>
      </c>
      <c r="AX1569" s="21" t="str">
        <f t="shared" si="134"/>
        <v/>
      </c>
      <c r="AY1569" s="21" t="str">
        <f>IF(AND($AM1569&lt;&gt;"",$AS1569&lt;&gt;"✓"),SUMPRODUCT(($AM$11:$AM1569&lt;&gt;"")*($AS$11:$AS1569&lt;&gt;"✓")),"")</f>
        <v/>
      </c>
      <c r="AZ1569" s="21" t="str">
        <f>IF(AND($AM1569&lt;&gt;"",$AS1569="✓"),SUMPRODUCT(($AM$11:$AM1569&lt;&gt;"")*($AS$11:$AS1569="✓")),"")</f>
        <v/>
      </c>
      <c r="BA1569" s="21" t="str">
        <f>IF($AL1569="","",$AL1569&amp;"|"&amp;COUNTIF($AL$11:$AL1569,$AL1569))</f>
        <v/>
      </c>
    </row>
    <row r="1570" spans="38:53" ht="15" customHeight="1" x14ac:dyDescent="0.25">
      <c r="AL1570" s="31"/>
      <c r="AM1570" s="26"/>
      <c r="AN1570" s="32"/>
      <c r="AO1570" s="32"/>
      <c r="AP1570" s="24"/>
      <c r="AQ1570" s="24"/>
      <c r="AR1570" s="33"/>
      <c r="AS1570" s="34"/>
      <c r="AT1570" s="33"/>
      <c r="AV1570" s="21">
        <f>IF(AND($AL1570&lt;&gt;"",COUNTIF($AL$11:$AL1570,$AL1570)=1),1,0)</f>
        <v>0</v>
      </c>
      <c r="AW1570" s="21">
        <f t="shared" si="135"/>
        <v>0</v>
      </c>
      <c r="AX1570" s="21" t="str">
        <f t="shared" si="134"/>
        <v/>
      </c>
      <c r="AY1570" s="21" t="str">
        <f>IF(AND($AM1570&lt;&gt;"",$AS1570&lt;&gt;"✓"),SUMPRODUCT(($AM$11:$AM1570&lt;&gt;"")*($AS$11:$AS1570&lt;&gt;"✓")),"")</f>
        <v/>
      </c>
      <c r="AZ1570" s="21" t="str">
        <f>IF(AND($AM1570&lt;&gt;"",$AS1570="✓"),SUMPRODUCT(($AM$11:$AM1570&lt;&gt;"")*($AS$11:$AS1570="✓")),"")</f>
        <v/>
      </c>
      <c r="BA1570" s="21" t="str">
        <f>IF($AL1570="","",$AL1570&amp;"|"&amp;COUNTIF($AL$11:$AL1570,$AL1570))</f>
        <v/>
      </c>
    </row>
    <row r="1571" spans="38:53" ht="15" customHeight="1" x14ac:dyDescent="0.25">
      <c r="AL1571" s="17"/>
      <c r="AM1571" s="12"/>
      <c r="AN1571" s="18"/>
      <c r="AO1571" s="18"/>
      <c r="AP1571" s="10"/>
      <c r="AQ1571" s="10"/>
      <c r="AR1571" s="19"/>
      <c r="AS1571" s="20"/>
      <c r="AT1571" s="19"/>
      <c r="AV1571" s="21">
        <f>IF(AND($AL1571&lt;&gt;"",COUNTIF($AL$11:$AL1571,$AL1571)=1),1,0)</f>
        <v>0</v>
      </c>
      <c r="AW1571" s="21">
        <f t="shared" si="135"/>
        <v>0</v>
      </c>
      <c r="AX1571" s="21" t="str">
        <f t="shared" si="134"/>
        <v/>
      </c>
      <c r="AY1571" s="21" t="str">
        <f>IF(AND($AM1571&lt;&gt;"",$AS1571&lt;&gt;"✓"),SUMPRODUCT(($AM$11:$AM1571&lt;&gt;"")*($AS$11:$AS1571&lt;&gt;"✓")),"")</f>
        <v/>
      </c>
      <c r="AZ1571" s="21" t="str">
        <f>IF(AND($AM1571&lt;&gt;"",$AS1571="✓"),SUMPRODUCT(($AM$11:$AM1571&lt;&gt;"")*($AS$11:$AS1571="✓")),"")</f>
        <v/>
      </c>
      <c r="BA1571" s="21" t="str">
        <f>IF($AL1571="","",$AL1571&amp;"|"&amp;COUNTIF($AL$11:$AL1571,$AL1571))</f>
        <v/>
      </c>
    </row>
    <row r="1572" spans="38:53" ht="15" customHeight="1" x14ac:dyDescent="0.25">
      <c r="AL1572" s="31"/>
      <c r="AM1572" s="26"/>
      <c r="AN1572" s="32"/>
      <c r="AO1572" s="32"/>
      <c r="AP1572" s="24"/>
      <c r="AQ1572" s="24"/>
      <c r="AR1572" s="33"/>
      <c r="AS1572" s="34"/>
      <c r="AT1572" s="33"/>
      <c r="AV1572" s="21">
        <f>IF(AND($AL1572&lt;&gt;"",COUNTIF($AL$11:$AL1572,$AL1572)=1),1,0)</f>
        <v>0</v>
      </c>
      <c r="AW1572" s="21">
        <f t="shared" si="135"/>
        <v>0</v>
      </c>
      <c r="AX1572" s="21" t="str">
        <f t="shared" si="134"/>
        <v/>
      </c>
      <c r="AY1572" s="21" t="str">
        <f>IF(AND($AM1572&lt;&gt;"",$AS1572&lt;&gt;"✓"),SUMPRODUCT(($AM$11:$AM1572&lt;&gt;"")*($AS$11:$AS1572&lt;&gt;"✓")),"")</f>
        <v/>
      </c>
      <c r="AZ1572" s="21" t="str">
        <f>IF(AND($AM1572&lt;&gt;"",$AS1572="✓"),SUMPRODUCT(($AM$11:$AM1572&lt;&gt;"")*($AS$11:$AS1572="✓")),"")</f>
        <v/>
      </c>
      <c r="BA1572" s="21" t="str">
        <f>IF($AL1572="","",$AL1572&amp;"|"&amp;COUNTIF($AL$11:$AL1572,$AL1572))</f>
        <v/>
      </c>
    </row>
    <row r="1573" spans="38:53" ht="15" customHeight="1" x14ac:dyDescent="0.25">
      <c r="AL1573" s="17"/>
      <c r="AM1573" s="12"/>
      <c r="AN1573" s="18"/>
      <c r="AO1573" s="18"/>
      <c r="AP1573" s="10"/>
      <c r="AQ1573" s="10"/>
      <c r="AR1573" s="19"/>
      <c r="AS1573" s="20"/>
      <c r="AT1573" s="19"/>
      <c r="AV1573" s="21">
        <f>IF(AND($AL1573&lt;&gt;"",COUNTIF($AL$11:$AL1573,$AL1573)=1),1,0)</f>
        <v>0</v>
      </c>
      <c r="AW1573" s="21">
        <f t="shared" si="135"/>
        <v>0</v>
      </c>
      <c r="AX1573" s="21" t="str">
        <f t="shared" si="134"/>
        <v/>
      </c>
      <c r="AY1573" s="21" t="str">
        <f>IF(AND($AM1573&lt;&gt;"",$AS1573&lt;&gt;"✓"),SUMPRODUCT(($AM$11:$AM1573&lt;&gt;"")*($AS$11:$AS1573&lt;&gt;"✓")),"")</f>
        <v/>
      </c>
      <c r="AZ1573" s="21" t="str">
        <f>IF(AND($AM1573&lt;&gt;"",$AS1573="✓"),SUMPRODUCT(($AM$11:$AM1573&lt;&gt;"")*($AS$11:$AS1573="✓")),"")</f>
        <v/>
      </c>
      <c r="BA1573" s="21" t="str">
        <f>IF($AL1573="","",$AL1573&amp;"|"&amp;COUNTIF($AL$11:$AL1573,$AL1573))</f>
        <v/>
      </c>
    </row>
    <row r="1574" spans="38:53" ht="15" customHeight="1" x14ac:dyDescent="0.25">
      <c r="AL1574" s="31"/>
      <c r="AM1574" s="26"/>
      <c r="AN1574" s="32"/>
      <c r="AO1574" s="32"/>
      <c r="AP1574" s="24"/>
      <c r="AQ1574" s="24"/>
      <c r="AR1574" s="33"/>
      <c r="AS1574" s="34"/>
      <c r="AT1574" s="33"/>
      <c r="AV1574" s="21">
        <f>IF(AND($AL1574&lt;&gt;"",COUNTIF($AL$11:$AL1574,$AL1574)=1),1,0)</f>
        <v>0</v>
      </c>
      <c r="AW1574" s="21">
        <f t="shared" si="135"/>
        <v>0</v>
      </c>
      <c r="AX1574" s="21" t="str">
        <f t="shared" si="134"/>
        <v/>
      </c>
      <c r="AY1574" s="21" t="str">
        <f>IF(AND($AM1574&lt;&gt;"",$AS1574&lt;&gt;"✓"),SUMPRODUCT(($AM$11:$AM1574&lt;&gt;"")*($AS$11:$AS1574&lt;&gt;"✓")),"")</f>
        <v/>
      </c>
      <c r="AZ1574" s="21" t="str">
        <f>IF(AND($AM1574&lt;&gt;"",$AS1574="✓"),SUMPRODUCT(($AM$11:$AM1574&lt;&gt;"")*($AS$11:$AS1574="✓")),"")</f>
        <v/>
      </c>
      <c r="BA1574" s="21" t="str">
        <f>IF($AL1574="","",$AL1574&amp;"|"&amp;COUNTIF($AL$11:$AL1574,$AL1574))</f>
        <v/>
      </c>
    </row>
    <row r="1575" spans="38:53" ht="15" customHeight="1" x14ac:dyDescent="0.25">
      <c r="AL1575" s="17"/>
      <c r="AM1575" s="12"/>
      <c r="AN1575" s="18"/>
      <c r="AO1575" s="18"/>
      <c r="AP1575" s="10"/>
      <c r="AQ1575" s="10"/>
      <c r="AR1575" s="19"/>
      <c r="AS1575" s="20"/>
      <c r="AT1575" s="19"/>
      <c r="AV1575" s="21">
        <f>IF(AND($AL1575&lt;&gt;"",COUNTIF($AL$11:$AL1575,$AL1575)=1),1,0)</f>
        <v>0</v>
      </c>
      <c r="AW1575" s="21">
        <f t="shared" si="135"/>
        <v>0</v>
      </c>
      <c r="AX1575" s="21" t="str">
        <f t="shared" si="134"/>
        <v/>
      </c>
      <c r="AY1575" s="21" t="str">
        <f>IF(AND($AM1575&lt;&gt;"",$AS1575&lt;&gt;"✓"),SUMPRODUCT(($AM$11:$AM1575&lt;&gt;"")*($AS$11:$AS1575&lt;&gt;"✓")),"")</f>
        <v/>
      </c>
      <c r="AZ1575" s="21" t="str">
        <f>IF(AND($AM1575&lt;&gt;"",$AS1575="✓"),SUMPRODUCT(($AM$11:$AM1575&lt;&gt;"")*($AS$11:$AS1575="✓")),"")</f>
        <v/>
      </c>
      <c r="BA1575" s="21" t="str">
        <f>IF($AL1575="","",$AL1575&amp;"|"&amp;COUNTIF($AL$11:$AL1575,$AL1575))</f>
        <v/>
      </c>
    </row>
    <row r="1576" spans="38:53" ht="15" customHeight="1" x14ac:dyDescent="0.25">
      <c r="AL1576" s="31"/>
      <c r="AM1576" s="26"/>
      <c r="AN1576" s="32"/>
      <c r="AO1576" s="32"/>
      <c r="AP1576" s="24"/>
      <c r="AQ1576" s="24"/>
      <c r="AR1576" s="33"/>
      <c r="AS1576" s="34"/>
      <c r="AT1576" s="33"/>
      <c r="AV1576" s="21">
        <f>IF(AND($AL1576&lt;&gt;"",COUNTIF($AL$11:$AL1576,$AL1576)=1),1,0)</f>
        <v>0</v>
      </c>
      <c r="AW1576" s="21">
        <f t="shared" si="135"/>
        <v>0</v>
      </c>
      <c r="AX1576" s="21" t="str">
        <f t="shared" si="134"/>
        <v/>
      </c>
      <c r="AY1576" s="21" t="str">
        <f>IF(AND($AM1576&lt;&gt;"",$AS1576&lt;&gt;"✓"),SUMPRODUCT(($AM$11:$AM1576&lt;&gt;"")*($AS$11:$AS1576&lt;&gt;"✓")),"")</f>
        <v/>
      </c>
      <c r="AZ1576" s="21" t="str">
        <f>IF(AND($AM1576&lt;&gt;"",$AS1576="✓"),SUMPRODUCT(($AM$11:$AM1576&lt;&gt;"")*($AS$11:$AS1576="✓")),"")</f>
        <v/>
      </c>
      <c r="BA1576" s="21" t="str">
        <f>IF($AL1576="","",$AL1576&amp;"|"&amp;COUNTIF($AL$11:$AL1576,$AL1576))</f>
        <v/>
      </c>
    </row>
    <row r="1577" spans="38:53" ht="15" customHeight="1" x14ac:dyDescent="0.25">
      <c r="AL1577" s="17"/>
      <c r="AM1577" s="12"/>
      <c r="AN1577" s="18"/>
      <c r="AO1577" s="18"/>
      <c r="AP1577" s="10"/>
      <c r="AQ1577" s="10"/>
      <c r="AR1577" s="19"/>
      <c r="AS1577" s="20"/>
      <c r="AT1577" s="19"/>
      <c r="AV1577" s="21">
        <f>IF(AND($AL1577&lt;&gt;"",COUNTIF($AL$11:$AL1577,$AL1577)=1),1,0)</f>
        <v>0</v>
      </c>
      <c r="AW1577" s="21">
        <f t="shared" si="135"/>
        <v>0</v>
      </c>
      <c r="AX1577" s="21" t="str">
        <f t="shared" si="134"/>
        <v/>
      </c>
      <c r="AY1577" s="21" t="str">
        <f>IF(AND($AM1577&lt;&gt;"",$AS1577&lt;&gt;"✓"),SUMPRODUCT(($AM$11:$AM1577&lt;&gt;"")*($AS$11:$AS1577&lt;&gt;"✓")),"")</f>
        <v/>
      </c>
      <c r="AZ1577" s="21" t="str">
        <f>IF(AND($AM1577&lt;&gt;"",$AS1577="✓"),SUMPRODUCT(($AM$11:$AM1577&lt;&gt;"")*($AS$11:$AS1577="✓")),"")</f>
        <v/>
      </c>
      <c r="BA1577" s="21" t="str">
        <f>IF($AL1577="","",$AL1577&amp;"|"&amp;COUNTIF($AL$11:$AL1577,$AL1577))</f>
        <v/>
      </c>
    </row>
    <row r="1578" spans="38:53" ht="15" customHeight="1" x14ac:dyDescent="0.25">
      <c r="AL1578" s="31"/>
      <c r="AM1578" s="26"/>
      <c r="AN1578" s="32"/>
      <c r="AO1578" s="32"/>
      <c r="AP1578" s="24"/>
      <c r="AQ1578" s="24"/>
      <c r="AR1578" s="33"/>
      <c r="AS1578" s="34"/>
      <c r="AT1578" s="33"/>
      <c r="AV1578" s="21">
        <f>IF(AND($AL1578&lt;&gt;"",COUNTIF($AL$11:$AL1578,$AL1578)=1),1,0)</f>
        <v>0</v>
      </c>
      <c r="AW1578" s="21">
        <f t="shared" si="135"/>
        <v>0</v>
      </c>
      <c r="AX1578" s="21" t="str">
        <f t="shared" si="134"/>
        <v/>
      </c>
      <c r="AY1578" s="21" t="str">
        <f>IF(AND($AM1578&lt;&gt;"",$AS1578&lt;&gt;"✓"),SUMPRODUCT(($AM$11:$AM1578&lt;&gt;"")*($AS$11:$AS1578&lt;&gt;"✓")),"")</f>
        <v/>
      </c>
      <c r="AZ1578" s="21" t="str">
        <f>IF(AND($AM1578&lt;&gt;"",$AS1578="✓"),SUMPRODUCT(($AM$11:$AM1578&lt;&gt;"")*($AS$11:$AS1578="✓")),"")</f>
        <v/>
      </c>
      <c r="BA1578" s="21" t="str">
        <f>IF($AL1578="","",$AL1578&amp;"|"&amp;COUNTIF($AL$11:$AL1578,$AL1578))</f>
        <v/>
      </c>
    </row>
    <row r="1579" spans="38:53" ht="15" customHeight="1" x14ac:dyDescent="0.25">
      <c r="AL1579" s="17"/>
      <c r="AM1579" s="12"/>
      <c r="AN1579" s="18"/>
      <c r="AO1579" s="18"/>
      <c r="AP1579" s="10"/>
      <c r="AQ1579" s="10"/>
      <c r="AR1579" s="19"/>
      <c r="AS1579" s="20"/>
      <c r="AT1579" s="19"/>
      <c r="AV1579" s="21">
        <f>IF(AND($AL1579&lt;&gt;"",COUNTIF($AL$11:$AL1579,$AL1579)=1),1,0)</f>
        <v>0</v>
      </c>
      <c r="AW1579" s="21">
        <f t="shared" si="135"/>
        <v>0</v>
      </c>
      <c r="AX1579" s="21" t="str">
        <f t="shared" si="134"/>
        <v/>
      </c>
      <c r="AY1579" s="21" t="str">
        <f>IF(AND($AM1579&lt;&gt;"",$AS1579&lt;&gt;"✓"),SUMPRODUCT(($AM$11:$AM1579&lt;&gt;"")*($AS$11:$AS1579&lt;&gt;"✓")),"")</f>
        <v/>
      </c>
      <c r="AZ1579" s="21" t="str">
        <f>IF(AND($AM1579&lt;&gt;"",$AS1579="✓"),SUMPRODUCT(($AM$11:$AM1579&lt;&gt;"")*($AS$11:$AS1579="✓")),"")</f>
        <v/>
      </c>
      <c r="BA1579" s="21" t="str">
        <f>IF($AL1579="","",$AL1579&amp;"|"&amp;COUNTIF($AL$11:$AL1579,$AL1579))</f>
        <v/>
      </c>
    </row>
    <row r="1580" spans="38:53" ht="15" customHeight="1" x14ac:dyDescent="0.25">
      <c r="AL1580" s="31"/>
      <c r="AM1580" s="26"/>
      <c r="AN1580" s="32"/>
      <c r="AO1580" s="32"/>
      <c r="AP1580" s="24"/>
      <c r="AQ1580" s="24"/>
      <c r="AR1580" s="33"/>
      <c r="AS1580" s="34"/>
      <c r="AT1580" s="33"/>
      <c r="AV1580" s="21">
        <f>IF(AND($AL1580&lt;&gt;"",COUNTIF($AL$11:$AL1580,$AL1580)=1),1,0)</f>
        <v>0</v>
      </c>
      <c r="AW1580" s="21">
        <f t="shared" si="135"/>
        <v>0</v>
      </c>
      <c r="AX1580" s="21" t="str">
        <f t="shared" si="134"/>
        <v/>
      </c>
      <c r="AY1580" s="21" t="str">
        <f>IF(AND($AM1580&lt;&gt;"",$AS1580&lt;&gt;"✓"),SUMPRODUCT(($AM$11:$AM1580&lt;&gt;"")*($AS$11:$AS1580&lt;&gt;"✓")),"")</f>
        <v/>
      </c>
      <c r="AZ1580" s="21" t="str">
        <f>IF(AND($AM1580&lt;&gt;"",$AS1580="✓"),SUMPRODUCT(($AM$11:$AM1580&lt;&gt;"")*($AS$11:$AS1580="✓")),"")</f>
        <v/>
      </c>
      <c r="BA1580" s="21" t="str">
        <f>IF($AL1580="","",$AL1580&amp;"|"&amp;COUNTIF($AL$11:$AL1580,$AL1580))</f>
        <v/>
      </c>
    </row>
    <row r="1581" spans="38:53" ht="15" customHeight="1" x14ac:dyDescent="0.25">
      <c r="AL1581" s="17"/>
      <c r="AM1581" s="12"/>
      <c r="AN1581" s="18"/>
      <c r="AO1581" s="18"/>
      <c r="AP1581" s="10"/>
      <c r="AQ1581" s="10"/>
      <c r="AR1581" s="19"/>
      <c r="AS1581" s="20"/>
      <c r="AT1581" s="19"/>
      <c r="AV1581" s="21">
        <f>IF(AND($AL1581&lt;&gt;"",COUNTIF($AL$11:$AL1581,$AL1581)=1),1,0)</f>
        <v>0</v>
      </c>
      <c r="AW1581" s="21">
        <f t="shared" si="135"/>
        <v>0</v>
      </c>
      <c r="AX1581" s="21" t="str">
        <f t="shared" si="134"/>
        <v/>
      </c>
      <c r="AY1581" s="21" t="str">
        <f>IF(AND($AM1581&lt;&gt;"",$AS1581&lt;&gt;"✓"),SUMPRODUCT(($AM$11:$AM1581&lt;&gt;"")*($AS$11:$AS1581&lt;&gt;"✓")),"")</f>
        <v/>
      </c>
      <c r="AZ1581" s="21" t="str">
        <f>IF(AND($AM1581&lt;&gt;"",$AS1581="✓"),SUMPRODUCT(($AM$11:$AM1581&lt;&gt;"")*($AS$11:$AS1581="✓")),"")</f>
        <v/>
      </c>
      <c r="BA1581" s="21" t="str">
        <f>IF($AL1581="","",$AL1581&amp;"|"&amp;COUNTIF($AL$11:$AL1581,$AL1581))</f>
        <v/>
      </c>
    </row>
    <row r="1582" spans="38:53" ht="15" customHeight="1" x14ac:dyDescent="0.25">
      <c r="AL1582" s="31"/>
      <c r="AM1582" s="26"/>
      <c r="AN1582" s="32"/>
      <c r="AO1582" s="32"/>
      <c r="AP1582" s="24"/>
      <c r="AQ1582" s="24"/>
      <c r="AR1582" s="33"/>
      <c r="AS1582" s="34"/>
      <c r="AT1582" s="33"/>
      <c r="AV1582" s="21">
        <f>IF(AND($AL1582&lt;&gt;"",COUNTIF($AL$11:$AL1582,$AL1582)=1),1,0)</f>
        <v>0</v>
      </c>
      <c r="AW1582" s="21">
        <f t="shared" si="135"/>
        <v>0</v>
      </c>
      <c r="AX1582" s="21" t="str">
        <f t="shared" si="134"/>
        <v/>
      </c>
      <c r="AY1582" s="21" t="str">
        <f>IF(AND($AM1582&lt;&gt;"",$AS1582&lt;&gt;"✓"),SUMPRODUCT(($AM$11:$AM1582&lt;&gt;"")*($AS$11:$AS1582&lt;&gt;"✓")),"")</f>
        <v/>
      </c>
      <c r="AZ1582" s="21" t="str">
        <f>IF(AND($AM1582&lt;&gt;"",$AS1582="✓"),SUMPRODUCT(($AM$11:$AM1582&lt;&gt;"")*($AS$11:$AS1582="✓")),"")</f>
        <v/>
      </c>
      <c r="BA1582" s="21" t="str">
        <f>IF($AL1582="","",$AL1582&amp;"|"&amp;COUNTIF($AL$11:$AL1582,$AL1582))</f>
        <v/>
      </c>
    </row>
    <row r="1583" spans="38:53" ht="15" customHeight="1" x14ac:dyDescent="0.25">
      <c r="AL1583" s="17"/>
      <c r="AM1583" s="12"/>
      <c r="AN1583" s="18"/>
      <c r="AO1583" s="18"/>
      <c r="AP1583" s="10"/>
      <c r="AQ1583" s="10"/>
      <c r="AR1583" s="19"/>
      <c r="AS1583" s="20"/>
      <c r="AT1583" s="19"/>
      <c r="AV1583" s="21">
        <f>IF(AND($AL1583&lt;&gt;"",COUNTIF($AL$11:$AL1583,$AL1583)=1),1,0)</f>
        <v>0</v>
      </c>
      <c r="AW1583" s="21">
        <f t="shared" si="135"/>
        <v>0</v>
      </c>
      <c r="AX1583" s="21" t="str">
        <f t="shared" si="134"/>
        <v/>
      </c>
      <c r="AY1583" s="21" t="str">
        <f>IF(AND($AM1583&lt;&gt;"",$AS1583&lt;&gt;"✓"),SUMPRODUCT(($AM$11:$AM1583&lt;&gt;"")*($AS$11:$AS1583&lt;&gt;"✓")),"")</f>
        <v/>
      </c>
      <c r="AZ1583" s="21" t="str">
        <f>IF(AND($AM1583&lt;&gt;"",$AS1583="✓"),SUMPRODUCT(($AM$11:$AM1583&lt;&gt;"")*($AS$11:$AS1583="✓")),"")</f>
        <v/>
      </c>
      <c r="BA1583" s="21" t="str">
        <f>IF($AL1583="","",$AL1583&amp;"|"&amp;COUNTIF($AL$11:$AL1583,$AL1583))</f>
        <v/>
      </c>
    </row>
    <row r="1584" spans="38:53" ht="15" customHeight="1" x14ac:dyDescent="0.25">
      <c r="AL1584" s="31"/>
      <c r="AM1584" s="26"/>
      <c r="AN1584" s="32"/>
      <c r="AO1584" s="32"/>
      <c r="AP1584" s="24"/>
      <c r="AQ1584" s="24"/>
      <c r="AR1584" s="33"/>
      <c r="AS1584" s="34"/>
      <c r="AT1584" s="33"/>
      <c r="AV1584" s="21">
        <f>IF(AND($AL1584&lt;&gt;"",COUNTIF($AL$11:$AL1584,$AL1584)=1),1,0)</f>
        <v>0</v>
      </c>
      <c r="AW1584" s="21">
        <f t="shared" si="135"/>
        <v>0</v>
      </c>
      <c r="AX1584" s="21" t="str">
        <f t="shared" si="134"/>
        <v/>
      </c>
      <c r="AY1584" s="21" t="str">
        <f>IF(AND($AM1584&lt;&gt;"",$AS1584&lt;&gt;"✓"),SUMPRODUCT(($AM$11:$AM1584&lt;&gt;"")*($AS$11:$AS1584&lt;&gt;"✓")),"")</f>
        <v/>
      </c>
      <c r="AZ1584" s="21" t="str">
        <f>IF(AND($AM1584&lt;&gt;"",$AS1584="✓"),SUMPRODUCT(($AM$11:$AM1584&lt;&gt;"")*($AS$11:$AS1584="✓")),"")</f>
        <v/>
      </c>
      <c r="BA1584" s="21" t="str">
        <f>IF($AL1584="","",$AL1584&amp;"|"&amp;COUNTIF($AL$11:$AL1584,$AL1584))</f>
        <v/>
      </c>
    </row>
    <row r="1585" spans="38:53" ht="15" customHeight="1" x14ac:dyDescent="0.25">
      <c r="AL1585" s="17"/>
      <c r="AM1585" s="12"/>
      <c r="AN1585" s="18"/>
      <c r="AO1585" s="18"/>
      <c r="AP1585" s="10"/>
      <c r="AQ1585" s="10"/>
      <c r="AR1585" s="19"/>
      <c r="AS1585" s="20"/>
      <c r="AT1585" s="19"/>
      <c r="AV1585" s="21">
        <f>IF(AND($AL1585&lt;&gt;"",COUNTIF($AL$11:$AL1585,$AL1585)=1),1,0)</f>
        <v>0</v>
      </c>
      <c r="AW1585" s="21">
        <f t="shared" si="135"/>
        <v>0</v>
      </c>
      <c r="AX1585" s="21" t="str">
        <f t="shared" si="134"/>
        <v/>
      </c>
      <c r="AY1585" s="21" t="str">
        <f>IF(AND($AM1585&lt;&gt;"",$AS1585&lt;&gt;"✓"),SUMPRODUCT(($AM$11:$AM1585&lt;&gt;"")*($AS$11:$AS1585&lt;&gt;"✓")),"")</f>
        <v/>
      </c>
      <c r="AZ1585" s="21" t="str">
        <f>IF(AND($AM1585&lt;&gt;"",$AS1585="✓"),SUMPRODUCT(($AM$11:$AM1585&lt;&gt;"")*($AS$11:$AS1585="✓")),"")</f>
        <v/>
      </c>
      <c r="BA1585" s="21" t="str">
        <f>IF($AL1585="","",$AL1585&amp;"|"&amp;COUNTIF($AL$11:$AL1585,$AL1585))</f>
        <v/>
      </c>
    </row>
    <row r="1586" spans="38:53" ht="15" customHeight="1" x14ac:dyDescent="0.25">
      <c r="AL1586" s="31"/>
      <c r="AM1586" s="26"/>
      <c r="AN1586" s="32"/>
      <c r="AO1586" s="32"/>
      <c r="AP1586" s="24"/>
      <c r="AQ1586" s="24"/>
      <c r="AR1586" s="33"/>
      <c r="AS1586" s="34"/>
      <c r="AT1586" s="33"/>
      <c r="AV1586" s="21">
        <f>IF(AND($AL1586&lt;&gt;"",COUNTIF($AL$11:$AL1586,$AL1586)=1),1,0)</f>
        <v>0</v>
      </c>
      <c r="AW1586" s="21">
        <f t="shared" si="135"/>
        <v>0</v>
      </c>
      <c r="AX1586" s="21" t="str">
        <f t="shared" si="134"/>
        <v/>
      </c>
      <c r="AY1586" s="21" t="str">
        <f>IF(AND($AM1586&lt;&gt;"",$AS1586&lt;&gt;"✓"),SUMPRODUCT(($AM$11:$AM1586&lt;&gt;"")*($AS$11:$AS1586&lt;&gt;"✓")),"")</f>
        <v/>
      </c>
      <c r="AZ1586" s="21" t="str">
        <f>IF(AND($AM1586&lt;&gt;"",$AS1586="✓"),SUMPRODUCT(($AM$11:$AM1586&lt;&gt;"")*($AS$11:$AS1586="✓")),"")</f>
        <v/>
      </c>
      <c r="BA1586" s="21" t="str">
        <f>IF($AL1586="","",$AL1586&amp;"|"&amp;COUNTIF($AL$11:$AL1586,$AL1586))</f>
        <v/>
      </c>
    </row>
    <row r="1587" spans="38:53" ht="15" customHeight="1" x14ac:dyDescent="0.25">
      <c r="AL1587" s="17"/>
      <c r="AM1587" s="12"/>
      <c r="AN1587" s="18"/>
      <c r="AO1587" s="18"/>
      <c r="AP1587" s="10"/>
      <c r="AQ1587" s="10"/>
      <c r="AR1587" s="19"/>
      <c r="AS1587" s="20"/>
      <c r="AT1587" s="19"/>
      <c r="AV1587" s="21">
        <f>IF(AND($AL1587&lt;&gt;"",COUNTIF($AL$11:$AL1587,$AL1587)=1),1,0)</f>
        <v>0</v>
      </c>
      <c r="AW1587" s="21">
        <f t="shared" si="135"/>
        <v>0</v>
      </c>
      <c r="AX1587" s="21" t="str">
        <f t="shared" si="134"/>
        <v/>
      </c>
      <c r="AY1587" s="21" t="str">
        <f>IF(AND($AM1587&lt;&gt;"",$AS1587&lt;&gt;"✓"),SUMPRODUCT(($AM$11:$AM1587&lt;&gt;"")*($AS$11:$AS1587&lt;&gt;"✓")),"")</f>
        <v/>
      </c>
      <c r="AZ1587" s="21" t="str">
        <f>IF(AND($AM1587&lt;&gt;"",$AS1587="✓"),SUMPRODUCT(($AM$11:$AM1587&lt;&gt;"")*($AS$11:$AS1587="✓")),"")</f>
        <v/>
      </c>
      <c r="BA1587" s="21" t="str">
        <f>IF($AL1587="","",$AL1587&amp;"|"&amp;COUNTIF($AL$11:$AL1587,$AL1587))</f>
        <v/>
      </c>
    </row>
    <row r="1588" spans="38:53" ht="15" customHeight="1" x14ac:dyDescent="0.25">
      <c r="AL1588" s="31"/>
      <c r="AM1588" s="26"/>
      <c r="AN1588" s="32"/>
      <c r="AO1588" s="32"/>
      <c r="AP1588" s="24"/>
      <c r="AQ1588" s="24"/>
      <c r="AR1588" s="33"/>
      <c r="AS1588" s="34"/>
      <c r="AT1588" s="33"/>
      <c r="AV1588" s="21">
        <f>IF(AND($AL1588&lt;&gt;"",COUNTIF($AL$11:$AL1588,$AL1588)=1),1,0)</f>
        <v>0</v>
      </c>
      <c r="AW1588" s="21">
        <f t="shared" si="135"/>
        <v>0</v>
      </c>
      <c r="AX1588" s="21" t="str">
        <f t="shared" si="134"/>
        <v/>
      </c>
      <c r="AY1588" s="21" t="str">
        <f>IF(AND($AM1588&lt;&gt;"",$AS1588&lt;&gt;"✓"),SUMPRODUCT(($AM$11:$AM1588&lt;&gt;"")*($AS$11:$AS1588&lt;&gt;"✓")),"")</f>
        <v/>
      </c>
      <c r="AZ1588" s="21" t="str">
        <f>IF(AND($AM1588&lt;&gt;"",$AS1588="✓"),SUMPRODUCT(($AM$11:$AM1588&lt;&gt;"")*($AS$11:$AS1588="✓")),"")</f>
        <v/>
      </c>
      <c r="BA1588" s="21" t="str">
        <f>IF($AL1588="","",$AL1588&amp;"|"&amp;COUNTIF($AL$11:$AL1588,$AL1588))</f>
        <v/>
      </c>
    </row>
    <row r="1589" spans="38:53" ht="15" customHeight="1" x14ac:dyDescent="0.25">
      <c r="AL1589" s="17"/>
      <c r="AM1589" s="12"/>
      <c r="AN1589" s="18"/>
      <c r="AO1589" s="18"/>
      <c r="AP1589" s="10"/>
      <c r="AQ1589" s="10"/>
      <c r="AR1589" s="19"/>
      <c r="AS1589" s="20"/>
      <c r="AT1589" s="19"/>
      <c r="AV1589" s="21">
        <f>IF(AND($AL1589&lt;&gt;"",COUNTIF($AL$11:$AL1589,$AL1589)=1),1,0)</f>
        <v>0</v>
      </c>
      <c r="AW1589" s="21">
        <f t="shared" si="135"/>
        <v>0</v>
      </c>
      <c r="AX1589" s="21" t="str">
        <f t="shared" si="134"/>
        <v/>
      </c>
      <c r="AY1589" s="21" t="str">
        <f>IF(AND($AM1589&lt;&gt;"",$AS1589&lt;&gt;"✓"),SUMPRODUCT(($AM$11:$AM1589&lt;&gt;"")*($AS$11:$AS1589&lt;&gt;"✓")),"")</f>
        <v/>
      </c>
      <c r="AZ1589" s="21" t="str">
        <f>IF(AND($AM1589&lt;&gt;"",$AS1589="✓"),SUMPRODUCT(($AM$11:$AM1589&lt;&gt;"")*($AS$11:$AS1589="✓")),"")</f>
        <v/>
      </c>
      <c r="BA1589" s="21" t="str">
        <f>IF($AL1589="","",$AL1589&amp;"|"&amp;COUNTIF($AL$11:$AL1589,$AL1589))</f>
        <v/>
      </c>
    </row>
    <row r="1590" spans="38:53" ht="15" customHeight="1" x14ac:dyDescent="0.25">
      <c r="AL1590" s="31"/>
      <c r="AM1590" s="26"/>
      <c r="AN1590" s="32"/>
      <c r="AO1590" s="32"/>
      <c r="AP1590" s="24"/>
      <c r="AQ1590" s="24"/>
      <c r="AR1590" s="33"/>
      <c r="AS1590" s="34"/>
      <c r="AT1590" s="33"/>
      <c r="AV1590" s="21">
        <f>IF(AND($AL1590&lt;&gt;"",COUNTIF($AL$11:$AL1590,$AL1590)=1),1,0)</f>
        <v>0</v>
      </c>
      <c r="AW1590" s="21">
        <f t="shared" si="135"/>
        <v>0</v>
      </c>
      <c r="AX1590" s="21" t="str">
        <f t="shared" si="134"/>
        <v/>
      </c>
      <c r="AY1590" s="21" t="str">
        <f>IF(AND($AM1590&lt;&gt;"",$AS1590&lt;&gt;"✓"),SUMPRODUCT(($AM$11:$AM1590&lt;&gt;"")*($AS$11:$AS1590&lt;&gt;"✓")),"")</f>
        <v/>
      </c>
      <c r="AZ1590" s="21" t="str">
        <f>IF(AND($AM1590&lt;&gt;"",$AS1590="✓"),SUMPRODUCT(($AM$11:$AM1590&lt;&gt;"")*($AS$11:$AS1590="✓")),"")</f>
        <v/>
      </c>
      <c r="BA1590" s="21" t="str">
        <f>IF($AL1590="","",$AL1590&amp;"|"&amp;COUNTIF($AL$11:$AL1590,$AL1590))</f>
        <v/>
      </c>
    </row>
    <row r="1591" spans="38:53" ht="15" customHeight="1" x14ac:dyDescent="0.25">
      <c r="AL1591" s="17"/>
      <c r="AM1591" s="12"/>
      <c r="AN1591" s="18"/>
      <c r="AO1591" s="18"/>
      <c r="AP1591" s="10"/>
      <c r="AQ1591" s="10"/>
      <c r="AR1591" s="19"/>
      <c r="AS1591" s="20"/>
      <c r="AT1591" s="19"/>
      <c r="AV1591" s="21">
        <f>IF(AND($AL1591&lt;&gt;"",COUNTIF($AL$11:$AL1591,$AL1591)=1),1,0)</f>
        <v>0</v>
      </c>
      <c r="AW1591" s="21">
        <f t="shared" si="135"/>
        <v>0</v>
      </c>
      <c r="AX1591" s="21" t="str">
        <f t="shared" si="134"/>
        <v/>
      </c>
      <c r="AY1591" s="21" t="str">
        <f>IF(AND($AM1591&lt;&gt;"",$AS1591&lt;&gt;"✓"),SUMPRODUCT(($AM$11:$AM1591&lt;&gt;"")*($AS$11:$AS1591&lt;&gt;"✓")),"")</f>
        <v/>
      </c>
      <c r="AZ1591" s="21" t="str">
        <f>IF(AND($AM1591&lt;&gt;"",$AS1591="✓"),SUMPRODUCT(($AM$11:$AM1591&lt;&gt;"")*($AS$11:$AS1591="✓")),"")</f>
        <v/>
      </c>
      <c r="BA1591" s="21" t="str">
        <f>IF($AL1591="","",$AL1591&amp;"|"&amp;COUNTIF($AL$11:$AL1591,$AL1591))</f>
        <v/>
      </c>
    </row>
    <row r="1592" spans="38:53" ht="15" customHeight="1" x14ac:dyDescent="0.25">
      <c r="AL1592" s="31"/>
      <c r="AM1592" s="26"/>
      <c r="AN1592" s="32"/>
      <c r="AO1592" s="32"/>
      <c r="AP1592" s="24"/>
      <c r="AQ1592" s="24"/>
      <c r="AR1592" s="33"/>
      <c r="AS1592" s="34"/>
      <c r="AT1592" s="33"/>
      <c r="AV1592" s="21">
        <f>IF(AND($AL1592&lt;&gt;"",COUNTIF($AL$11:$AL1592,$AL1592)=1),1,0)</f>
        <v>0</v>
      </c>
      <c r="AW1592" s="21">
        <f t="shared" si="135"/>
        <v>0</v>
      </c>
      <c r="AX1592" s="21" t="str">
        <f t="shared" si="134"/>
        <v/>
      </c>
      <c r="AY1592" s="21" t="str">
        <f>IF(AND($AM1592&lt;&gt;"",$AS1592&lt;&gt;"✓"),SUMPRODUCT(($AM$11:$AM1592&lt;&gt;"")*($AS$11:$AS1592&lt;&gt;"✓")),"")</f>
        <v/>
      </c>
      <c r="AZ1592" s="21" t="str">
        <f>IF(AND($AM1592&lt;&gt;"",$AS1592="✓"),SUMPRODUCT(($AM$11:$AM1592&lt;&gt;"")*($AS$11:$AS1592="✓")),"")</f>
        <v/>
      </c>
      <c r="BA1592" s="21" t="str">
        <f>IF($AL1592="","",$AL1592&amp;"|"&amp;COUNTIF($AL$11:$AL1592,$AL1592))</f>
        <v/>
      </c>
    </row>
    <row r="1593" spans="38:53" ht="15" customHeight="1" x14ac:dyDescent="0.25">
      <c r="AL1593" s="17"/>
      <c r="AM1593" s="12"/>
      <c r="AN1593" s="18"/>
      <c r="AO1593" s="18"/>
      <c r="AP1593" s="10"/>
      <c r="AQ1593" s="10"/>
      <c r="AR1593" s="19"/>
      <c r="AS1593" s="20"/>
      <c r="AT1593" s="19"/>
      <c r="AV1593" s="21">
        <f>IF(AND($AL1593&lt;&gt;"",COUNTIF($AL$11:$AL1593,$AL1593)=1),1,0)</f>
        <v>0</v>
      </c>
      <c r="AW1593" s="21">
        <f t="shared" si="135"/>
        <v>0</v>
      </c>
      <c r="AX1593" s="21" t="str">
        <f t="shared" si="134"/>
        <v/>
      </c>
      <c r="AY1593" s="21" t="str">
        <f>IF(AND($AM1593&lt;&gt;"",$AS1593&lt;&gt;"✓"),SUMPRODUCT(($AM$11:$AM1593&lt;&gt;"")*($AS$11:$AS1593&lt;&gt;"✓")),"")</f>
        <v/>
      </c>
      <c r="AZ1593" s="21" t="str">
        <f>IF(AND($AM1593&lt;&gt;"",$AS1593="✓"),SUMPRODUCT(($AM$11:$AM1593&lt;&gt;"")*($AS$11:$AS1593="✓")),"")</f>
        <v/>
      </c>
      <c r="BA1593" s="21" t="str">
        <f>IF($AL1593="","",$AL1593&amp;"|"&amp;COUNTIF($AL$11:$AL1593,$AL1593))</f>
        <v/>
      </c>
    </row>
    <row r="1594" spans="38:53" ht="15" customHeight="1" x14ac:dyDescent="0.25">
      <c r="AL1594" s="31"/>
      <c r="AM1594" s="26"/>
      <c r="AN1594" s="32"/>
      <c r="AO1594" s="32"/>
      <c r="AP1594" s="24"/>
      <c r="AQ1594" s="24"/>
      <c r="AR1594" s="33"/>
      <c r="AS1594" s="34"/>
      <c r="AT1594" s="33"/>
      <c r="AV1594" s="21">
        <f>IF(AND($AL1594&lt;&gt;"",COUNTIF($AL$11:$AL1594,$AL1594)=1),1,0)</f>
        <v>0</v>
      </c>
      <c r="AW1594" s="21">
        <f t="shared" si="135"/>
        <v>0</v>
      </c>
      <c r="AX1594" s="21" t="str">
        <f t="shared" si="134"/>
        <v/>
      </c>
      <c r="AY1594" s="21" t="str">
        <f>IF(AND($AM1594&lt;&gt;"",$AS1594&lt;&gt;"✓"),SUMPRODUCT(($AM$11:$AM1594&lt;&gt;"")*($AS$11:$AS1594&lt;&gt;"✓")),"")</f>
        <v/>
      </c>
      <c r="AZ1594" s="21" t="str">
        <f>IF(AND($AM1594&lt;&gt;"",$AS1594="✓"),SUMPRODUCT(($AM$11:$AM1594&lt;&gt;"")*($AS$11:$AS1594="✓")),"")</f>
        <v/>
      </c>
      <c r="BA1594" s="21" t="str">
        <f>IF($AL1594="","",$AL1594&amp;"|"&amp;COUNTIF($AL$11:$AL1594,$AL1594))</f>
        <v/>
      </c>
    </row>
    <row r="1595" spans="38:53" ht="15" customHeight="1" x14ac:dyDescent="0.25">
      <c r="AL1595" s="17"/>
      <c r="AM1595" s="12"/>
      <c r="AN1595" s="18"/>
      <c r="AO1595" s="18"/>
      <c r="AP1595" s="10"/>
      <c r="AQ1595" s="10"/>
      <c r="AR1595" s="19"/>
      <c r="AS1595" s="20"/>
      <c r="AT1595" s="19"/>
      <c r="AV1595" s="21">
        <f>IF(AND($AL1595&lt;&gt;"",COUNTIF($AL$11:$AL1595,$AL1595)=1),1,0)</f>
        <v>0</v>
      </c>
      <c r="AW1595" s="21">
        <f t="shared" si="135"/>
        <v>0</v>
      </c>
      <c r="AX1595" s="21" t="str">
        <f t="shared" si="134"/>
        <v/>
      </c>
      <c r="AY1595" s="21" t="str">
        <f>IF(AND($AM1595&lt;&gt;"",$AS1595&lt;&gt;"✓"),SUMPRODUCT(($AM$11:$AM1595&lt;&gt;"")*($AS$11:$AS1595&lt;&gt;"✓")),"")</f>
        <v/>
      </c>
      <c r="AZ1595" s="21" t="str">
        <f>IF(AND($AM1595&lt;&gt;"",$AS1595="✓"),SUMPRODUCT(($AM$11:$AM1595&lt;&gt;"")*($AS$11:$AS1595="✓")),"")</f>
        <v/>
      </c>
      <c r="BA1595" s="21" t="str">
        <f>IF($AL1595="","",$AL1595&amp;"|"&amp;COUNTIF($AL$11:$AL1595,$AL1595))</f>
        <v/>
      </c>
    </row>
    <row r="1596" spans="38:53" ht="15" customHeight="1" x14ac:dyDescent="0.25">
      <c r="AL1596" s="31"/>
      <c r="AM1596" s="26"/>
      <c r="AN1596" s="32"/>
      <c r="AO1596" s="32"/>
      <c r="AP1596" s="24"/>
      <c r="AQ1596" s="24"/>
      <c r="AR1596" s="33"/>
      <c r="AS1596" s="34"/>
      <c r="AT1596" s="33"/>
      <c r="AV1596" s="21">
        <f>IF(AND($AL1596&lt;&gt;"",COUNTIF($AL$11:$AL1596,$AL1596)=1),1,0)</f>
        <v>0</v>
      </c>
      <c r="AW1596" s="21">
        <f t="shared" si="135"/>
        <v>0</v>
      </c>
      <c r="AX1596" s="21" t="str">
        <f t="shared" si="134"/>
        <v/>
      </c>
      <c r="AY1596" s="21" t="str">
        <f>IF(AND($AM1596&lt;&gt;"",$AS1596&lt;&gt;"✓"),SUMPRODUCT(($AM$11:$AM1596&lt;&gt;"")*($AS$11:$AS1596&lt;&gt;"✓")),"")</f>
        <v/>
      </c>
      <c r="AZ1596" s="21" t="str">
        <f>IF(AND($AM1596&lt;&gt;"",$AS1596="✓"),SUMPRODUCT(($AM$11:$AM1596&lt;&gt;"")*($AS$11:$AS1596="✓")),"")</f>
        <v/>
      </c>
      <c r="BA1596" s="21" t="str">
        <f>IF($AL1596="","",$AL1596&amp;"|"&amp;COUNTIF($AL$11:$AL1596,$AL1596))</f>
        <v/>
      </c>
    </row>
    <row r="1597" spans="38:53" ht="15" customHeight="1" x14ac:dyDescent="0.25">
      <c r="AL1597" s="17"/>
      <c r="AM1597" s="12"/>
      <c r="AN1597" s="18"/>
      <c r="AO1597" s="18"/>
      <c r="AP1597" s="10"/>
      <c r="AQ1597" s="10"/>
      <c r="AR1597" s="19"/>
      <c r="AS1597" s="20"/>
      <c r="AT1597" s="19"/>
      <c r="AV1597" s="21">
        <f>IF(AND($AL1597&lt;&gt;"",COUNTIF($AL$11:$AL1597,$AL1597)=1),1,0)</f>
        <v>0</v>
      </c>
      <c r="AW1597" s="21">
        <f t="shared" si="135"/>
        <v>0</v>
      </c>
      <c r="AX1597" s="21" t="str">
        <f t="shared" si="134"/>
        <v/>
      </c>
      <c r="AY1597" s="21" t="str">
        <f>IF(AND($AM1597&lt;&gt;"",$AS1597&lt;&gt;"✓"),SUMPRODUCT(($AM$11:$AM1597&lt;&gt;"")*($AS$11:$AS1597&lt;&gt;"✓")),"")</f>
        <v/>
      </c>
      <c r="AZ1597" s="21" t="str">
        <f>IF(AND($AM1597&lt;&gt;"",$AS1597="✓"),SUMPRODUCT(($AM$11:$AM1597&lt;&gt;"")*($AS$11:$AS1597="✓")),"")</f>
        <v/>
      </c>
      <c r="BA1597" s="21" t="str">
        <f>IF($AL1597="","",$AL1597&amp;"|"&amp;COUNTIF($AL$11:$AL1597,$AL1597))</f>
        <v/>
      </c>
    </row>
    <row r="1598" spans="38:53" ht="15" customHeight="1" x14ac:dyDescent="0.25">
      <c r="AL1598" s="31"/>
      <c r="AM1598" s="26"/>
      <c r="AN1598" s="32"/>
      <c r="AO1598" s="32"/>
      <c r="AP1598" s="24"/>
      <c r="AQ1598" s="24"/>
      <c r="AR1598" s="33"/>
      <c r="AS1598" s="34"/>
      <c r="AT1598" s="33"/>
      <c r="AV1598" s="21">
        <f>IF(AND($AL1598&lt;&gt;"",COUNTIF($AL$11:$AL1598,$AL1598)=1),1,0)</f>
        <v>0</v>
      </c>
      <c r="AW1598" s="21">
        <f t="shared" si="135"/>
        <v>0</v>
      </c>
      <c r="AX1598" s="21" t="str">
        <f t="shared" si="134"/>
        <v/>
      </c>
      <c r="AY1598" s="21" t="str">
        <f>IF(AND($AM1598&lt;&gt;"",$AS1598&lt;&gt;"✓"),SUMPRODUCT(($AM$11:$AM1598&lt;&gt;"")*($AS$11:$AS1598&lt;&gt;"✓")),"")</f>
        <v/>
      </c>
      <c r="AZ1598" s="21" t="str">
        <f>IF(AND($AM1598&lt;&gt;"",$AS1598="✓"),SUMPRODUCT(($AM$11:$AM1598&lt;&gt;"")*($AS$11:$AS1598="✓")),"")</f>
        <v/>
      </c>
      <c r="BA1598" s="21" t="str">
        <f>IF($AL1598="","",$AL1598&amp;"|"&amp;COUNTIF($AL$11:$AL1598,$AL1598))</f>
        <v/>
      </c>
    </row>
    <row r="1599" spans="38:53" ht="15" customHeight="1" x14ac:dyDescent="0.25">
      <c r="AL1599" s="17"/>
      <c r="AM1599" s="12"/>
      <c r="AN1599" s="18"/>
      <c r="AO1599" s="18"/>
      <c r="AP1599" s="10"/>
      <c r="AQ1599" s="10"/>
      <c r="AR1599" s="19"/>
      <c r="AS1599" s="20"/>
      <c r="AT1599" s="19"/>
      <c r="AV1599" s="21">
        <f>IF(AND($AL1599&lt;&gt;"",COUNTIF($AL$11:$AL1599,$AL1599)=1),1,0)</f>
        <v>0</v>
      </c>
      <c r="AW1599" s="21">
        <f t="shared" si="135"/>
        <v>0</v>
      </c>
      <c r="AX1599" s="21" t="str">
        <f t="shared" si="134"/>
        <v/>
      </c>
      <c r="AY1599" s="21" t="str">
        <f>IF(AND($AM1599&lt;&gt;"",$AS1599&lt;&gt;"✓"),SUMPRODUCT(($AM$11:$AM1599&lt;&gt;"")*($AS$11:$AS1599&lt;&gt;"✓")),"")</f>
        <v/>
      </c>
      <c r="AZ1599" s="21" t="str">
        <f>IF(AND($AM1599&lt;&gt;"",$AS1599="✓"),SUMPRODUCT(($AM$11:$AM1599&lt;&gt;"")*($AS$11:$AS1599="✓")),"")</f>
        <v/>
      </c>
      <c r="BA1599" s="21" t="str">
        <f>IF($AL1599="","",$AL1599&amp;"|"&amp;COUNTIF($AL$11:$AL1599,$AL1599))</f>
        <v/>
      </c>
    </row>
    <row r="1600" spans="38:53" ht="15" customHeight="1" x14ac:dyDescent="0.25">
      <c r="AL1600" s="31"/>
      <c r="AM1600" s="26"/>
      <c r="AN1600" s="32"/>
      <c r="AO1600" s="32"/>
      <c r="AP1600" s="24"/>
      <c r="AQ1600" s="24"/>
      <c r="AR1600" s="33"/>
      <c r="AS1600" s="34"/>
      <c r="AT1600" s="33"/>
      <c r="AV1600" s="21">
        <f>IF(AND($AL1600&lt;&gt;"",COUNTIF($AL$11:$AL1600,$AL1600)=1),1,0)</f>
        <v>0</v>
      </c>
      <c r="AW1600" s="21">
        <f t="shared" si="135"/>
        <v>0</v>
      </c>
      <c r="AX1600" s="21" t="str">
        <f t="shared" si="134"/>
        <v/>
      </c>
      <c r="AY1600" s="21" t="str">
        <f>IF(AND($AM1600&lt;&gt;"",$AS1600&lt;&gt;"✓"),SUMPRODUCT(($AM$11:$AM1600&lt;&gt;"")*($AS$11:$AS1600&lt;&gt;"✓")),"")</f>
        <v/>
      </c>
      <c r="AZ1600" s="21" t="str">
        <f>IF(AND($AM1600&lt;&gt;"",$AS1600="✓"),SUMPRODUCT(($AM$11:$AM1600&lt;&gt;"")*($AS$11:$AS1600="✓")),"")</f>
        <v/>
      </c>
      <c r="BA1600" s="21" t="str">
        <f>IF($AL1600="","",$AL1600&amp;"|"&amp;COUNTIF($AL$11:$AL1600,$AL1600))</f>
        <v/>
      </c>
    </row>
    <row r="1601" spans="38:53" ht="15" customHeight="1" x14ac:dyDescent="0.25">
      <c r="AL1601" s="17"/>
      <c r="AM1601" s="12"/>
      <c r="AN1601" s="18"/>
      <c r="AO1601" s="18"/>
      <c r="AP1601" s="10"/>
      <c r="AQ1601" s="10"/>
      <c r="AR1601" s="19"/>
      <c r="AS1601" s="20"/>
      <c r="AT1601" s="19"/>
      <c r="AV1601" s="21">
        <f>IF(AND($AL1601&lt;&gt;"",COUNTIF($AL$11:$AL1601,$AL1601)=1),1,0)</f>
        <v>0</v>
      </c>
      <c r="AW1601" s="21">
        <f t="shared" si="135"/>
        <v>0</v>
      </c>
      <c r="AX1601" s="21" t="str">
        <f t="shared" si="134"/>
        <v/>
      </c>
      <c r="AY1601" s="21" t="str">
        <f>IF(AND($AM1601&lt;&gt;"",$AS1601&lt;&gt;"✓"),SUMPRODUCT(($AM$11:$AM1601&lt;&gt;"")*($AS$11:$AS1601&lt;&gt;"✓")),"")</f>
        <v/>
      </c>
      <c r="AZ1601" s="21" t="str">
        <f>IF(AND($AM1601&lt;&gt;"",$AS1601="✓"),SUMPRODUCT(($AM$11:$AM1601&lt;&gt;"")*($AS$11:$AS1601="✓")),"")</f>
        <v/>
      </c>
      <c r="BA1601" s="21" t="str">
        <f>IF($AL1601="","",$AL1601&amp;"|"&amp;COUNTIF($AL$11:$AL1601,$AL1601))</f>
        <v/>
      </c>
    </row>
    <row r="1602" spans="38:53" ht="15" customHeight="1" x14ac:dyDescent="0.25">
      <c r="AL1602" s="31"/>
      <c r="AM1602" s="26"/>
      <c r="AN1602" s="32"/>
      <c r="AO1602" s="32"/>
      <c r="AP1602" s="24"/>
      <c r="AQ1602" s="24"/>
      <c r="AR1602" s="33"/>
      <c r="AS1602" s="34"/>
      <c r="AT1602" s="33"/>
      <c r="AV1602" s="21">
        <f>IF(AND($AL1602&lt;&gt;"",COUNTIF($AL$11:$AL1602,$AL1602)=1),1,0)</f>
        <v>0</v>
      </c>
      <c r="AW1602" s="21">
        <f t="shared" si="135"/>
        <v>0</v>
      </c>
      <c r="AX1602" s="21" t="str">
        <f t="shared" si="134"/>
        <v/>
      </c>
      <c r="AY1602" s="21" t="str">
        <f>IF(AND($AM1602&lt;&gt;"",$AS1602&lt;&gt;"✓"),SUMPRODUCT(($AM$11:$AM1602&lt;&gt;"")*($AS$11:$AS1602&lt;&gt;"✓")),"")</f>
        <v/>
      </c>
      <c r="AZ1602" s="21" t="str">
        <f>IF(AND($AM1602&lt;&gt;"",$AS1602="✓"),SUMPRODUCT(($AM$11:$AM1602&lt;&gt;"")*($AS$11:$AS1602="✓")),"")</f>
        <v/>
      </c>
      <c r="BA1602" s="21" t="str">
        <f>IF($AL1602="","",$AL1602&amp;"|"&amp;COUNTIF($AL$11:$AL1602,$AL1602))</f>
        <v/>
      </c>
    </row>
    <row r="1603" spans="38:53" ht="15" customHeight="1" x14ac:dyDescent="0.25">
      <c r="AL1603" s="17"/>
      <c r="AM1603" s="12"/>
      <c r="AN1603" s="18"/>
      <c r="AO1603" s="18"/>
      <c r="AP1603" s="10"/>
      <c r="AQ1603" s="10"/>
      <c r="AR1603" s="19"/>
      <c r="AS1603" s="20"/>
      <c r="AT1603" s="19"/>
      <c r="AV1603" s="21">
        <f>IF(AND($AL1603&lt;&gt;"",COUNTIF($AL$11:$AL1603,$AL1603)=1),1,0)</f>
        <v>0</v>
      </c>
      <c r="AW1603" s="21">
        <f t="shared" si="135"/>
        <v>0</v>
      </c>
      <c r="AX1603" s="21" t="str">
        <f t="shared" si="134"/>
        <v/>
      </c>
      <c r="AY1603" s="21" t="str">
        <f>IF(AND($AM1603&lt;&gt;"",$AS1603&lt;&gt;"✓"),SUMPRODUCT(($AM$11:$AM1603&lt;&gt;"")*($AS$11:$AS1603&lt;&gt;"✓")),"")</f>
        <v/>
      </c>
      <c r="AZ1603" s="21" t="str">
        <f>IF(AND($AM1603&lt;&gt;"",$AS1603="✓"),SUMPRODUCT(($AM$11:$AM1603&lt;&gt;"")*($AS$11:$AS1603="✓")),"")</f>
        <v/>
      </c>
      <c r="BA1603" s="21" t="str">
        <f>IF($AL1603="","",$AL1603&amp;"|"&amp;COUNTIF($AL$11:$AL1603,$AL1603))</f>
        <v/>
      </c>
    </row>
    <row r="1604" spans="38:53" ht="15" customHeight="1" x14ac:dyDescent="0.25">
      <c r="AL1604" s="31"/>
      <c r="AM1604" s="26"/>
      <c r="AN1604" s="32"/>
      <c r="AO1604" s="32"/>
      <c r="AP1604" s="24"/>
      <c r="AQ1604" s="24"/>
      <c r="AR1604" s="33"/>
      <c r="AS1604" s="34"/>
      <c r="AT1604" s="33"/>
      <c r="AV1604" s="21">
        <f>IF(AND($AL1604&lt;&gt;"",COUNTIF($AL$11:$AL1604,$AL1604)=1),1,0)</f>
        <v>0</v>
      </c>
      <c r="AW1604" s="21">
        <f t="shared" si="135"/>
        <v>0</v>
      </c>
      <c r="AX1604" s="21" t="str">
        <f t="shared" si="134"/>
        <v/>
      </c>
      <c r="AY1604" s="21" t="str">
        <f>IF(AND($AM1604&lt;&gt;"",$AS1604&lt;&gt;"✓"),SUMPRODUCT(($AM$11:$AM1604&lt;&gt;"")*($AS$11:$AS1604&lt;&gt;"✓")),"")</f>
        <v/>
      </c>
      <c r="AZ1604" s="21" t="str">
        <f>IF(AND($AM1604&lt;&gt;"",$AS1604="✓"),SUMPRODUCT(($AM$11:$AM1604&lt;&gt;"")*($AS$11:$AS1604="✓")),"")</f>
        <v/>
      </c>
      <c r="BA1604" s="21" t="str">
        <f>IF($AL1604="","",$AL1604&amp;"|"&amp;COUNTIF($AL$11:$AL1604,$AL1604))</f>
        <v/>
      </c>
    </row>
    <row r="1605" spans="38:53" ht="15" customHeight="1" x14ac:dyDescent="0.25">
      <c r="AL1605" s="17"/>
      <c r="AM1605" s="12"/>
      <c r="AN1605" s="18"/>
      <c r="AO1605" s="18"/>
      <c r="AP1605" s="10"/>
      <c r="AQ1605" s="10"/>
      <c r="AR1605" s="19"/>
      <c r="AS1605" s="20"/>
      <c r="AT1605" s="19"/>
      <c r="AV1605" s="21">
        <f>IF(AND($AL1605&lt;&gt;"",COUNTIF($AL$11:$AL1605,$AL1605)=1),1,0)</f>
        <v>0</v>
      </c>
      <c r="AW1605" s="21">
        <f t="shared" si="135"/>
        <v>0</v>
      </c>
      <c r="AX1605" s="21" t="str">
        <f t="shared" si="134"/>
        <v/>
      </c>
      <c r="AY1605" s="21" t="str">
        <f>IF(AND($AM1605&lt;&gt;"",$AS1605&lt;&gt;"✓"),SUMPRODUCT(($AM$11:$AM1605&lt;&gt;"")*($AS$11:$AS1605&lt;&gt;"✓")),"")</f>
        <v/>
      </c>
      <c r="AZ1605" s="21" t="str">
        <f>IF(AND($AM1605&lt;&gt;"",$AS1605="✓"),SUMPRODUCT(($AM$11:$AM1605&lt;&gt;"")*($AS$11:$AS1605="✓")),"")</f>
        <v/>
      </c>
      <c r="BA1605" s="21" t="str">
        <f>IF($AL1605="","",$AL1605&amp;"|"&amp;COUNTIF($AL$11:$AL1605,$AL1605))</f>
        <v/>
      </c>
    </row>
    <row r="1606" spans="38:53" ht="15" customHeight="1" x14ac:dyDescent="0.25">
      <c r="AL1606" s="31"/>
      <c r="AM1606" s="26"/>
      <c r="AN1606" s="32"/>
      <c r="AO1606" s="32"/>
      <c r="AP1606" s="24"/>
      <c r="AQ1606" s="24"/>
      <c r="AR1606" s="33"/>
      <c r="AS1606" s="34"/>
      <c r="AT1606" s="33"/>
      <c r="AV1606" s="21">
        <f>IF(AND($AL1606&lt;&gt;"",COUNTIF($AL$11:$AL1606,$AL1606)=1),1,0)</f>
        <v>0</v>
      </c>
      <c r="AW1606" s="21">
        <f t="shared" si="135"/>
        <v>0</v>
      </c>
      <c r="AX1606" s="21" t="str">
        <f t="shared" si="134"/>
        <v/>
      </c>
      <c r="AY1606" s="21" t="str">
        <f>IF(AND($AM1606&lt;&gt;"",$AS1606&lt;&gt;"✓"),SUMPRODUCT(($AM$11:$AM1606&lt;&gt;"")*($AS$11:$AS1606&lt;&gt;"✓")),"")</f>
        <v/>
      </c>
      <c r="AZ1606" s="21" t="str">
        <f>IF(AND($AM1606&lt;&gt;"",$AS1606="✓"),SUMPRODUCT(($AM$11:$AM1606&lt;&gt;"")*($AS$11:$AS1606="✓")),"")</f>
        <v/>
      </c>
      <c r="BA1606" s="21" t="str">
        <f>IF($AL1606="","",$AL1606&amp;"|"&amp;COUNTIF($AL$11:$AL1606,$AL1606))</f>
        <v/>
      </c>
    </row>
    <row r="1607" spans="38:53" ht="15" customHeight="1" x14ac:dyDescent="0.25">
      <c r="AL1607" s="17"/>
      <c r="AM1607" s="12"/>
      <c r="AN1607" s="18"/>
      <c r="AO1607" s="18"/>
      <c r="AP1607" s="10"/>
      <c r="AQ1607" s="10"/>
      <c r="AR1607" s="19"/>
      <c r="AS1607" s="20"/>
      <c r="AT1607" s="19"/>
      <c r="AV1607" s="21">
        <f>IF(AND($AL1607&lt;&gt;"",COUNTIF($AL$11:$AL1607,$AL1607)=1),1,0)</f>
        <v>0</v>
      </c>
      <c r="AW1607" s="21">
        <f t="shared" si="135"/>
        <v>0</v>
      </c>
      <c r="AX1607" s="21" t="str">
        <f t="shared" si="134"/>
        <v/>
      </c>
      <c r="AY1607" s="21" t="str">
        <f>IF(AND($AM1607&lt;&gt;"",$AS1607&lt;&gt;"✓"),SUMPRODUCT(($AM$11:$AM1607&lt;&gt;"")*($AS$11:$AS1607&lt;&gt;"✓")),"")</f>
        <v/>
      </c>
      <c r="AZ1607" s="21" t="str">
        <f>IF(AND($AM1607&lt;&gt;"",$AS1607="✓"),SUMPRODUCT(($AM$11:$AM1607&lt;&gt;"")*($AS$11:$AS1607="✓")),"")</f>
        <v/>
      </c>
      <c r="BA1607" s="21" t="str">
        <f>IF($AL1607="","",$AL1607&amp;"|"&amp;COUNTIF($AL$11:$AL1607,$AL1607))</f>
        <v/>
      </c>
    </row>
    <row r="1608" spans="38:53" ht="15" customHeight="1" x14ac:dyDescent="0.25">
      <c r="AL1608" s="31"/>
      <c r="AM1608" s="26"/>
      <c r="AN1608" s="32"/>
      <c r="AO1608" s="32"/>
      <c r="AP1608" s="24"/>
      <c r="AQ1608" s="24"/>
      <c r="AR1608" s="33"/>
      <c r="AS1608" s="34"/>
      <c r="AT1608" s="33"/>
      <c r="AV1608" s="21">
        <f>IF(AND($AL1608&lt;&gt;"",COUNTIF($AL$11:$AL1608,$AL1608)=1),1,0)</f>
        <v>0</v>
      </c>
      <c r="AW1608" s="21">
        <f t="shared" si="135"/>
        <v>0</v>
      </c>
      <c r="AX1608" s="21" t="str">
        <f t="shared" si="134"/>
        <v/>
      </c>
      <c r="AY1608" s="21" t="str">
        <f>IF(AND($AM1608&lt;&gt;"",$AS1608&lt;&gt;"✓"),SUMPRODUCT(($AM$11:$AM1608&lt;&gt;"")*($AS$11:$AS1608&lt;&gt;"✓")),"")</f>
        <v/>
      </c>
      <c r="AZ1608" s="21" t="str">
        <f>IF(AND($AM1608&lt;&gt;"",$AS1608="✓"),SUMPRODUCT(($AM$11:$AM1608&lt;&gt;"")*($AS$11:$AS1608="✓")),"")</f>
        <v/>
      </c>
      <c r="BA1608" s="21" t="str">
        <f>IF($AL1608="","",$AL1608&amp;"|"&amp;COUNTIF($AL$11:$AL1608,$AL1608))</f>
        <v/>
      </c>
    </row>
    <row r="1609" spans="38:53" ht="15" customHeight="1" x14ac:dyDescent="0.25">
      <c r="AL1609" s="17"/>
      <c r="AM1609" s="12"/>
      <c r="AN1609" s="18"/>
      <c r="AO1609" s="18"/>
      <c r="AP1609" s="10"/>
      <c r="AQ1609" s="10"/>
      <c r="AR1609" s="19"/>
      <c r="AS1609" s="20"/>
      <c r="AT1609" s="19"/>
      <c r="AV1609" s="21">
        <f>IF(AND($AL1609&lt;&gt;"",COUNTIF($AL$11:$AL1609,$AL1609)=1),1,0)</f>
        <v>0</v>
      </c>
      <c r="AW1609" s="21">
        <f t="shared" si="135"/>
        <v>0</v>
      </c>
      <c r="AX1609" s="21" t="str">
        <f t="shared" si="134"/>
        <v/>
      </c>
      <c r="AY1609" s="21" t="str">
        <f>IF(AND($AM1609&lt;&gt;"",$AS1609&lt;&gt;"✓"),SUMPRODUCT(($AM$11:$AM1609&lt;&gt;"")*($AS$11:$AS1609&lt;&gt;"✓")),"")</f>
        <v/>
      </c>
      <c r="AZ1609" s="21" t="str">
        <f>IF(AND($AM1609&lt;&gt;"",$AS1609="✓"),SUMPRODUCT(($AM$11:$AM1609&lt;&gt;"")*($AS$11:$AS1609="✓")),"")</f>
        <v/>
      </c>
      <c r="BA1609" s="21" t="str">
        <f>IF($AL1609="","",$AL1609&amp;"|"&amp;COUNTIF($AL$11:$AL1609,$AL1609))</f>
        <v/>
      </c>
    </row>
    <row r="1610" spans="38:53" ht="15" customHeight="1" x14ac:dyDescent="0.25">
      <c r="AL1610" s="31"/>
      <c r="AM1610" s="26"/>
      <c r="AN1610" s="32"/>
      <c r="AO1610" s="32"/>
      <c r="AP1610" s="24"/>
      <c r="AQ1610" s="24"/>
      <c r="AR1610" s="33"/>
      <c r="AS1610" s="34"/>
      <c r="AT1610" s="33"/>
      <c r="AV1610" s="21">
        <f>IF(AND($AL1610&lt;&gt;"",COUNTIF($AL$11:$AL1610,$AL1610)=1),1,0)</f>
        <v>0</v>
      </c>
      <c r="AW1610" s="21">
        <f t="shared" si="135"/>
        <v>0</v>
      </c>
      <c r="AX1610" s="21" t="str">
        <f t="shared" si="134"/>
        <v/>
      </c>
      <c r="AY1610" s="21" t="str">
        <f>IF(AND($AM1610&lt;&gt;"",$AS1610&lt;&gt;"✓"),SUMPRODUCT(($AM$11:$AM1610&lt;&gt;"")*($AS$11:$AS1610&lt;&gt;"✓")),"")</f>
        <v/>
      </c>
      <c r="AZ1610" s="21" t="str">
        <f>IF(AND($AM1610&lt;&gt;"",$AS1610="✓"),SUMPRODUCT(($AM$11:$AM1610&lt;&gt;"")*($AS$11:$AS1610="✓")),"")</f>
        <v/>
      </c>
      <c r="BA1610" s="21" t="str">
        <f>IF($AL1610="","",$AL1610&amp;"|"&amp;COUNTIF($AL$11:$AL1610,$AL1610))</f>
        <v/>
      </c>
    </row>
    <row r="1611" spans="38:53" ht="15" customHeight="1" x14ac:dyDescent="0.25">
      <c r="AL1611" s="17"/>
      <c r="AM1611" s="12"/>
      <c r="AN1611" s="18"/>
      <c r="AO1611" s="18"/>
      <c r="AP1611" s="10"/>
      <c r="AQ1611" s="10"/>
      <c r="AR1611" s="19"/>
      <c r="AS1611" s="20"/>
      <c r="AT1611" s="19"/>
      <c r="AV1611" s="21">
        <f>IF(AND($AL1611&lt;&gt;"",COUNTIF($AL$11:$AL1611,$AL1611)=1),1,0)</f>
        <v>0</v>
      </c>
      <c r="AW1611" s="21">
        <f t="shared" si="135"/>
        <v>0</v>
      </c>
      <c r="AX1611" s="21" t="str">
        <f t="shared" ref="AX1611:AX1674" si="136">IF(AV1611=1,AW1611,"")</f>
        <v/>
      </c>
      <c r="AY1611" s="21" t="str">
        <f>IF(AND($AM1611&lt;&gt;"",$AS1611&lt;&gt;"✓"),SUMPRODUCT(($AM$11:$AM1611&lt;&gt;"")*($AS$11:$AS1611&lt;&gt;"✓")),"")</f>
        <v/>
      </c>
      <c r="AZ1611" s="21" t="str">
        <f>IF(AND($AM1611&lt;&gt;"",$AS1611="✓"),SUMPRODUCT(($AM$11:$AM1611&lt;&gt;"")*($AS$11:$AS1611="✓")),"")</f>
        <v/>
      </c>
      <c r="BA1611" s="21" t="str">
        <f>IF($AL1611="","",$AL1611&amp;"|"&amp;COUNTIF($AL$11:$AL1611,$AL1611))</f>
        <v/>
      </c>
    </row>
    <row r="1612" spans="38:53" ht="15" customHeight="1" x14ac:dyDescent="0.25">
      <c r="AL1612" s="31"/>
      <c r="AM1612" s="26"/>
      <c r="AN1612" s="32"/>
      <c r="AO1612" s="32"/>
      <c r="AP1612" s="24"/>
      <c r="AQ1612" s="24"/>
      <c r="AR1612" s="33"/>
      <c r="AS1612" s="34"/>
      <c r="AT1612" s="33"/>
      <c r="AV1612" s="21">
        <f>IF(AND($AL1612&lt;&gt;"",COUNTIF($AL$11:$AL1612,$AL1612)=1),1,0)</f>
        <v>0</v>
      </c>
      <c r="AW1612" s="21">
        <f t="shared" ref="AW1612:AW1675" si="137">AW1611+AV1612</f>
        <v>0</v>
      </c>
      <c r="AX1612" s="21" t="str">
        <f t="shared" si="136"/>
        <v/>
      </c>
      <c r="AY1612" s="21" t="str">
        <f>IF(AND($AM1612&lt;&gt;"",$AS1612&lt;&gt;"✓"),SUMPRODUCT(($AM$11:$AM1612&lt;&gt;"")*($AS$11:$AS1612&lt;&gt;"✓")),"")</f>
        <v/>
      </c>
      <c r="AZ1612" s="21" t="str">
        <f>IF(AND($AM1612&lt;&gt;"",$AS1612="✓"),SUMPRODUCT(($AM$11:$AM1612&lt;&gt;"")*($AS$11:$AS1612="✓")),"")</f>
        <v/>
      </c>
      <c r="BA1612" s="21" t="str">
        <f>IF($AL1612="","",$AL1612&amp;"|"&amp;COUNTIF($AL$11:$AL1612,$AL1612))</f>
        <v/>
      </c>
    </row>
    <row r="1613" spans="38:53" ht="15" customHeight="1" x14ac:dyDescent="0.25">
      <c r="AL1613" s="17"/>
      <c r="AM1613" s="12"/>
      <c r="AN1613" s="18"/>
      <c r="AO1613" s="18"/>
      <c r="AP1613" s="10"/>
      <c r="AQ1613" s="10"/>
      <c r="AR1613" s="19"/>
      <c r="AS1613" s="20"/>
      <c r="AT1613" s="19"/>
      <c r="AV1613" s="21">
        <f>IF(AND($AL1613&lt;&gt;"",COUNTIF($AL$11:$AL1613,$AL1613)=1),1,0)</f>
        <v>0</v>
      </c>
      <c r="AW1613" s="21">
        <f t="shared" si="137"/>
        <v>0</v>
      </c>
      <c r="AX1613" s="21" t="str">
        <f t="shared" si="136"/>
        <v/>
      </c>
      <c r="AY1613" s="21" t="str">
        <f>IF(AND($AM1613&lt;&gt;"",$AS1613&lt;&gt;"✓"),SUMPRODUCT(($AM$11:$AM1613&lt;&gt;"")*($AS$11:$AS1613&lt;&gt;"✓")),"")</f>
        <v/>
      </c>
      <c r="AZ1613" s="21" t="str">
        <f>IF(AND($AM1613&lt;&gt;"",$AS1613="✓"),SUMPRODUCT(($AM$11:$AM1613&lt;&gt;"")*($AS$11:$AS1613="✓")),"")</f>
        <v/>
      </c>
      <c r="BA1613" s="21" t="str">
        <f>IF($AL1613="","",$AL1613&amp;"|"&amp;COUNTIF($AL$11:$AL1613,$AL1613))</f>
        <v/>
      </c>
    </row>
    <row r="1614" spans="38:53" ht="15" customHeight="1" x14ac:dyDescent="0.25">
      <c r="AL1614" s="31"/>
      <c r="AM1614" s="26"/>
      <c r="AN1614" s="32"/>
      <c r="AO1614" s="32"/>
      <c r="AP1614" s="24"/>
      <c r="AQ1614" s="24"/>
      <c r="AR1614" s="33"/>
      <c r="AS1614" s="34"/>
      <c r="AT1614" s="33"/>
      <c r="AV1614" s="21">
        <f>IF(AND($AL1614&lt;&gt;"",COUNTIF($AL$11:$AL1614,$AL1614)=1),1,0)</f>
        <v>0</v>
      </c>
      <c r="AW1614" s="21">
        <f t="shared" si="137"/>
        <v>0</v>
      </c>
      <c r="AX1614" s="21" t="str">
        <f t="shared" si="136"/>
        <v/>
      </c>
      <c r="AY1614" s="21" t="str">
        <f>IF(AND($AM1614&lt;&gt;"",$AS1614&lt;&gt;"✓"),SUMPRODUCT(($AM$11:$AM1614&lt;&gt;"")*($AS$11:$AS1614&lt;&gt;"✓")),"")</f>
        <v/>
      </c>
      <c r="AZ1614" s="21" t="str">
        <f>IF(AND($AM1614&lt;&gt;"",$AS1614="✓"),SUMPRODUCT(($AM$11:$AM1614&lt;&gt;"")*($AS$11:$AS1614="✓")),"")</f>
        <v/>
      </c>
      <c r="BA1614" s="21" t="str">
        <f>IF($AL1614="","",$AL1614&amp;"|"&amp;COUNTIF($AL$11:$AL1614,$AL1614))</f>
        <v/>
      </c>
    </row>
    <row r="1615" spans="38:53" ht="15" customHeight="1" x14ac:dyDescent="0.25">
      <c r="AL1615" s="17"/>
      <c r="AM1615" s="12"/>
      <c r="AN1615" s="18"/>
      <c r="AO1615" s="18"/>
      <c r="AP1615" s="10"/>
      <c r="AQ1615" s="10"/>
      <c r="AR1615" s="19"/>
      <c r="AS1615" s="20"/>
      <c r="AT1615" s="19"/>
      <c r="AV1615" s="21">
        <f>IF(AND($AL1615&lt;&gt;"",COUNTIF($AL$11:$AL1615,$AL1615)=1),1,0)</f>
        <v>0</v>
      </c>
      <c r="AW1615" s="21">
        <f t="shared" si="137"/>
        <v>0</v>
      </c>
      <c r="AX1615" s="21" t="str">
        <f t="shared" si="136"/>
        <v/>
      </c>
      <c r="AY1615" s="21" t="str">
        <f>IF(AND($AM1615&lt;&gt;"",$AS1615&lt;&gt;"✓"),SUMPRODUCT(($AM$11:$AM1615&lt;&gt;"")*($AS$11:$AS1615&lt;&gt;"✓")),"")</f>
        <v/>
      </c>
      <c r="AZ1615" s="21" t="str">
        <f>IF(AND($AM1615&lt;&gt;"",$AS1615="✓"),SUMPRODUCT(($AM$11:$AM1615&lt;&gt;"")*($AS$11:$AS1615="✓")),"")</f>
        <v/>
      </c>
      <c r="BA1615" s="21" t="str">
        <f>IF($AL1615="","",$AL1615&amp;"|"&amp;COUNTIF($AL$11:$AL1615,$AL1615))</f>
        <v/>
      </c>
    </row>
    <row r="1616" spans="38:53" ht="15" customHeight="1" x14ac:dyDescent="0.25">
      <c r="AL1616" s="31"/>
      <c r="AM1616" s="26"/>
      <c r="AN1616" s="32"/>
      <c r="AO1616" s="32"/>
      <c r="AP1616" s="24"/>
      <c r="AQ1616" s="24"/>
      <c r="AR1616" s="33"/>
      <c r="AS1616" s="34"/>
      <c r="AT1616" s="33"/>
      <c r="AV1616" s="21">
        <f>IF(AND($AL1616&lt;&gt;"",COUNTIF($AL$11:$AL1616,$AL1616)=1),1,0)</f>
        <v>0</v>
      </c>
      <c r="AW1616" s="21">
        <f t="shared" si="137"/>
        <v>0</v>
      </c>
      <c r="AX1616" s="21" t="str">
        <f t="shared" si="136"/>
        <v/>
      </c>
      <c r="AY1616" s="21" t="str">
        <f>IF(AND($AM1616&lt;&gt;"",$AS1616&lt;&gt;"✓"),SUMPRODUCT(($AM$11:$AM1616&lt;&gt;"")*($AS$11:$AS1616&lt;&gt;"✓")),"")</f>
        <v/>
      </c>
      <c r="AZ1616" s="21" t="str">
        <f>IF(AND($AM1616&lt;&gt;"",$AS1616="✓"),SUMPRODUCT(($AM$11:$AM1616&lt;&gt;"")*($AS$11:$AS1616="✓")),"")</f>
        <v/>
      </c>
      <c r="BA1616" s="21" t="str">
        <f>IF($AL1616="","",$AL1616&amp;"|"&amp;COUNTIF($AL$11:$AL1616,$AL1616))</f>
        <v/>
      </c>
    </row>
    <row r="1617" spans="38:53" ht="15" customHeight="1" x14ac:dyDescent="0.25">
      <c r="AL1617" s="17"/>
      <c r="AM1617" s="12"/>
      <c r="AN1617" s="18"/>
      <c r="AO1617" s="18"/>
      <c r="AP1617" s="10"/>
      <c r="AQ1617" s="10"/>
      <c r="AR1617" s="19"/>
      <c r="AS1617" s="20"/>
      <c r="AT1617" s="19"/>
      <c r="AV1617" s="21">
        <f>IF(AND($AL1617&lt;&gt;"",COUNTIF($AL$11:$AL1617,$AL1617)=1),1,0)</f>
        <v>0</v>
      </c>
      <c r="AW1617" s="21">
        <f t="shared" si="137"/>
        <v>0</v>
      </c>
      <c r="AX1617" s="21" t="str">
        <f t="shared" si="136"/>
        <v/>
      </c>
      <c r="AY1617" s="21" t="str">
        <f>IF(AND($AM1617&lt;&gt;"",$AS1617&lt;&gt;"✓"),SUMPRODUCT(($AM$11:$AM1617&lt;&gt;"")*($AS$11:$AS1617&lt;&gt;"✓")),"")</f>
        <v/>
      </c>
      <c r="AZ1617" s="21" t="str">
        <f>IF(AND($AM1617&lt;&gt;"",$AS1617="✓"),SUMPRODUCT(($AM$11:$AM1617&lt;&gt;"")*($AS$11:$AS1617="✓")),"")</f>
        <v/>
      </c>
      <c r="BA1617" s="21" t="str">
        <f>IF($AL1617="","",$AL1617&amp;"|"&amp;COUNTIF($AL$11:$AL1617,$AL1617))</f>
        <v/>
      </c>
    </row>
    <row r="1618" spans="38:53" ht="15" customHeight="1" x14ac:dyDescent="0.25">
      <c r="AL1618" s="31"/>
      <c r="AM1618" s="26"/>
      <c r="AN1618" s="32"/>
      <c r="AO1618" s="32"/>
      <c r="AP1618" s="24"/>
      <c r="AQ1618" s="24"/>
      <c r="AR1618" s="33"/>
      <c r="AS1618" s="34"/>
      <c r="AT1618" s="33"/>
      <c r="AV1618" s="21">
        <f>IF(AND($AL1618&lt;&gt;"",COUNTIF($AL$11:$AL1618,$AL1618)=1),1,0)</f>
        <v>0</v>
      </c>
      <c r="AW1618" s="21">
        <f t="shared" si="137"/>
        <v>0</v>
      </c>
      <c r="AX1618" s="21" t="str">
        <f t="shared" si="136"/>
        <v/>
      </c>
      <c r="AY1618" s="21" t="str">
        <f>IF(AND($AM1618&lt;&gt;"",$AS1618&lt;&gt;"✓"),SUMPRODUCT(($AM$11:$AM1618&lt;&gt;"")*($AS$11:$AS1618&lt;&gt;"✓")),"")</f>
        <v/>
      </c>
      <c r="AZ1618" s="21" t="str">
        <f>IF(AND($AM1618&lt;&gt;"",$AS1618="✓"),SUMPRODUCT(($AM$11:$AM1618&lt;&gt;"")*($AS$11:$AS1618="✓")),"")</f>
        <v/>
      </c>
      <c r="BA1618" s="21" t="str">
        <f>IF($AL1618="","",$AL1618&amp;"|"&amp;COUNTIF($AL$11:$AL1618,$AL1618))</f>
        <v/>
      </c>
    </row>
    <row r="1619" spans="38:53" ht="15" customHeight="1" x14ac:dyDescent="0.25">
      <c r="AL1619" s="17"/>
      <c r="AM1619" s="12"/>
      <c r="AN1619" s="18"/>
      <c r="AO1619" s="18"/>
      <c r="AP1619" s="10"/>
      <c r="AQ1619" s="10"/>
      <c r="AR1619" s="19"/>
      <c r="AS1619" s="20"/>
      <c r="AT1619" s="19"/>
      <c r="AV1619" s="21">
        <f>IF(AND($AL1619&lt;&gt;"",COUNTIF($AL$11:$AL1619,$AL1619)=1),1,0)</f>
        <v>0</v>
      </c>
      <c r="AW1619" s="21">
        <f t="shared" si="137"/>
        <v>0</v>
      </c>
      <c r="AX1619" s="21" t="str">
        <f t="shared" si="136"/>
        <v/>
      </c>
      <c r="AY1619" s="21" t="str">
        <f>IF(AND($AM1619&lt;&gt;"",$AS1619&lt;&gt;"✓"),SUMPRODUCT(($AM$11:$AM1619&lt;&gt;"")*($AS$11:$AS1619&lt;&gt;"✓")),"")</f>
        <v/>
      </c>
      <c r="AZ1619" s="21" t="str">
        <f>IF(AND($AM1619&lt;&gt;"",$AS1619="✓"),SUMPRODUCT(($AM$11:$AM1619&lt;&gt;"")*($AS$11:$AS1619="✓")),"")</f>
        <v/>
      </c>
      <c r="BA1619" s="21" t="str">
        <f>IF($AL1619="","",$AL1619&amp;"|"&amp;COUNTIF($AL$11:$AL1619,$AL1619))</f>
        <v/>
      </c>
    </row>
    <row r="1620" spans="38:53" ht="15" customHeight="1" x14ac:dyDescent="0.25">
      <c r="AL1620" s="31"/>
      <c r="AM1620" s="26"/>
      <c r="AN1620" s="32"/>
      <c r="AO1620" s="32"/>
      <c r="AP1620" s="24"/>
      <c r="AQ1620" s="24"/>
      <c r="AR1620" s="33"/>
      <c r="AS1620" s="34"/>
      <c r="AT1620" s="33"/>
      <c r="AV1620" s="21">
        <f>IF(AND($AL1620&lt;&gt;"",COUNTIF($AL$11:$AL1620,$AL1620)=1),1,0)</f>
        <v>0</v>
      </c>
      <c r="AW1620" s="21">
        <f t="shared" si="137"/>
        <v>0</v>
      </c>
      <c r="AX1620" s="21" t="str">
        <f t="shared" si="136"/>
        <v/>
      </c>
      <c r="AY1620" s="21" t="str">
        <f>IF(AND($AM1620&lt;&gt;"",$AS1620&lt;&gt;"✓"),SUMPRODUCT(($AM$11:$AM1620&lt;&gt;"")*($AS$11:$AS1620&lt;&gt;"✓")),"")</f>
        <v/>
      </c>
      <c r="AZ1620" s="21" t="str">
        <f>IF(AND($AM1620&lt;&gt;"",$AS1620="✓"),SUMPRODUCT(($AM$11:$AM1620&lt;&gt;"")*($AS$11:$AS1620="✓")),"")</f>
        <v/>
      </c>
      <c r="BA1620" s="21" t="str">
        <f>IF($AL1620="","",$AL1620&amp;"|"&amp;COUNTIF($AL$11:$AL1620,$AL1620))</f>
        <v/>
      </c>
    </row>
    <row r="1621" spans="38:53" ht="15" customHeight="1" x14ac:dyDescent="0.25">
      <c r="AL1621" s="17"/>
      <c r="AM1621" s="12"/>
      <c r="AN1621" s="18"/>
      <c r="AO1621" s="18"/>
      <c r="AP1621" s="10"/>
      <c r="AQ1621" s="10"/>
      <c r="AR1621" s="19"/>
      <c r="AS1621" s="20"/>
      <c r="AT1621" s="19"/>
      <c r="AV1621" s="21">
        <f>IF(AND($AL1621&lt;&gt;"",COUNTIF($AL$11:$AL1621,$AL1621)=1),1,0)</f>
        <v>0</v>
      </c>
      <c r="AW1621" s="21">
        <f t="shared" si="137"/>
        <v>0</v>
      </c>
      <c r="AX1621" s="21" t="str">
        <f t="shared" si="136"/>
        <v/>
      </c>
      <c r="AY1621" s="21" t="str">
        <f>IF(AND($AM1621&lt;&gt;"",$AS1621&lt;&gt;"✓"),SUMPRODUCT(($AM$11:$AM1621&lt;&gt;"")*($AS$11:$AS1621&lt;&gt;"✓")),"")</f>
        <v/>
      </c>
      <c r="AZ1621" s="21" t="str">
        <f>IF(AND($AM1621&lt;&gt;"",$AS1621="✓"),SUMPRODUCT(($AM$11:$AM1621&lt;&gt;"")*($AS$11:$AS1621="✓")),"")</f>
        <v/>
      </c>
      <c r="BA1621" s="21" t="str">
        <f>IF($AL1621="","",$AL1621&amp;"|"&amp;COUNTIF($AL$11:$AL1621,$AL1621))</f>
        <v/>
      </c>
    </row>
    <row r="1622" spans="38:53" ht="15" customHeight="1" x14ac:dyDescent="0.25">
      <c r="AL1622" s="31"/>
      <c r="AM1622" s="26"/>
      <c r="AN1622" s="32"/>
      <c r="AO1622" s="32"/>
      <c r="AP1622" s="24"/>
      <c r="AQ1622" s="24"/>
      <c r="AR1622" s="33"/>
      <c r="AS1622" s="34"/>
      <c r="AT1622" s="33"/>
      <c r="AV1622" s="21">
        <f>IF(AND($AL1622&lt;&gt;"",COUNTIF($AL$11:$AL1622,$AL1622)=1),1,0)</f>
        <v>0</v>
      </c>
      <c r="AW1622" s="21">
        <f t="shared" si="137"/>
        <v>0</v>
      </c>
      <c r="AX1622" s="21" t="str">
        <f t="shared" si="136"/>
        <v/>
      </c>
      <c r="AY1622" s="21" t="str">
        <f>IF(AND($AM1622&lt;&gt;"",$AS1622&lt;&gt;"✓"),SUMPRODUCT(($AM$11:$AM1622&lt;&gt;"")*($AS$11:$AS1622&lt;&gt;"✓")),"")</f>
        <v/>
      </c>
      <c r="AZ1622" s="21" t="str">
        <f>IF(AND($AM1622&lt;&gt;"",$AS1622="✓"),SUMPRODUCT(($AM$11:$AM1622&lt;&gt;"")*($AS$11:$AS1622="✓")),"")</f>
        <v/>
      </c>
      <c r="BA1622" s="21" t="str">
        <f>IF($AL1622="","",$AL1622&amp;"|"&amp;COUNTIF($AL$11:$AL1622,$AL1622))</f>
        <v/>
      </c>
    </row>
    <row r="1623" spans="38:53" ht="15" customHeight="1" x14ac:dyDescent="0.25">
      <c r="AL1623" s="17"/>
      <c r="AM1623" s="12"/>
      <c r="AN1623" s="18"/>
      <c r="AO1623" s="18"/>
      <c r="AP1623" s="10"/>
      <c r="AQ1623" s="10"/>
      <c r="AR1623" s="19"/>
      <c r="AS1623" s="20"/>
      <c r="AT1623" s="19"/>
      <c r="AV1623" s="21">
        <f>IF(AND($AL1623&lt;&gt;"",COUNTIF($AL$11:$AL1623,$AL1623)=1),1,0)</f>
        <v>0</v>
      </c>
      <c r="AW1623" s="21">
        <f t="shared" si="137"/>
        <v>0</v>
      </c>
      <c r="AX1623" s="21" t="str">
        <f t="shared" si="136"/>
        <v/>
      </c>
      <c r="AY1623" s="21" t="str">
        <f>IF(AND($AM1623&lt;&gt;"",$AS1623&lt;&gt;"✓"),SUMPRODUCT(($AM$11:$AM1623&lt;&gt;"")*($AS$11:$AS1623&lt;&gt;"✓")),"")</f>
        <v/>
      </c>
      <c r="AZ1623" s="21" t="str">
        <f>IF(AND($AM1623&lt;&gt;"",$AS1623="✓"),SUMPRODUCT(($AM$11:$AM1623&lt;&gt;"")*($AS$11:$AS1623="✓")),"")</f>
        <v/>
      </c>
      <c r="BA1623" s="21" t="str">
        <f>IF($AL1623="","",$AL1623&amp;"|"&amp;COUNTIF($AL$11:$AL1623,$AL1623))</f>
        <v/>
      </c>
    </row>
    <row r="1624" spans="38:53" ht="15" customHeight="1" x14ac:dyDescent="0.25">
      <c r="AL1624" s="31"/>
      <c r="AM1624" s="26"/>
      <c r="AN1624" s="32"/>
      <c r="AO1624" s="32"/>
      <c r="AP1624" s="24"/>
      <c r="AQ1624" s="24"/>
      <c r="AR1624" s="33"/>
      <c r="AS1624" s="34"/>
      <c r="AT1624" s="33"/>
      <c r="AV1624" s="21">
        <f>IF(AND($AL1624&lt;&gt;"",COUNTIF($AL$11:$AL1624,$AL1624)=1),1,0)</f>
        <v>0</v>
      </c>
      <c r="AW1624" s="21">
        <f t="shared" si="137"/>
        <v>0</v>
      </c>
      <c r="AX1624" s="21" t="str">
        <f t="shared" si="136"/>
        <v/>
      </c>
      <c r="AY1624" s="21" t="str">
        <f>IF(AND($AM1624&lt;&gt;"",$AS1624&lt;&gt;"✓"),SUMPRODUCT(($AM$11:$AM1624&lt;&gt;"")*($AS$11:$AS1624&lt;&gt;"✓")),"")</f>
        <v/>
      </c>
      <c r="AZ1624" s="21" t="str">
        <f>IF(AND($AM1624&lt;&gt;"",$AS1624="✓"),SUMPRODUCT(($AM$11:$AM1624&lt;&gt;"")*($AS$11:$AS1624="✓")),"")</f>
        <v/>
      </c>
      <c r="BA1624" s="21" t="str">
        <f>IF($AL1624="","",$AL1624&amp;"|"&amp;COUNTIF($AL$11:$AL1624,$AL1624))</f>
        <v/>
      </c>
    </row>
    <row r="1625" spans="38:53" ht="15" customHeight="1" x14ac:dyDescent="0.25">
      <c r="AL1625" s="17"/>
      <c r="AM1625" s="12"/>
      <c r="AN1625" s="18"/>
      <c r="AO1625" s="18"/>
      <c r="AP1625" s="10"/>
      <c r="AQ1625" s="10"/>
      <c r="AR1625" s="19"/>
      <c r="AS1625" s="20"/>
      <c r="AT1625" s="19"/>
      <c r="AV1625" s="21">
        <f>IF(AND($AL1625&lt;&gt;"",COUNTIF($AL$11:$AL1625,$AL1625)=1),1,0)</f>
        <v>0</v>
      </c>
      <c r="AW1625" s="21">
        <f t="shared" si="137"/>
        <v>0</v>
      </c>
      <c r="AX1625" s="21" t="str">
        <f t="shared" si="136"/>
        <v/>
      </c>
      <c r="AY1625" s="21" t="str">
        <f>IF(AND($AM1625&lt;&gt;"",$AS1625&lt;&gt;"✓"),SUMPRODUCT(($AM$11:$AM1625&lt;&gt;"")*($AS$11:$AS1625&lt;&gt;"✓")),"")</f>
        <v/>
      </c>
      <c r="AZ1625" s="21" t="str">
        <f>IF(AND($AM1625&lt;&gt;"",$AS1625="✓"),SUMPRODUCT(($AM$11:$AM1625&lt;&gt;"")*($AS$11:$AS1625="✓")),"")</f>
        <v/>
      </c>
      <c r="BA1625" s="21" t="str">
        <f>IF($AL1625="","",$AL1625&amp;"|"&amp;COUNTIF($AL$11:$AL1625,$AL1625))</f>
        <v/>
      </c>
    </row>
    <row r="1626" spans="38:53" ht="15" customHeight="1" x14ac:dyDescent="0.25">
      <c r="AL1626" s="31"/>
      <c r="AM1626" s="26"/>
      <c r="AN1626" s="32"/>
      <c r="AO1626" s="32"/>
      <c r="AP1626" s="24"/>
      <c r="AQ1626" s="24"/>
      <c r="AR1626" s="33"/>
      <c r="AS1626" s="34"/>
      <c r="AT1626" s="33"/>
      <c r="AV1626" s="21">
        <f>IF(AND($AL1626&lt;&gt;"",COUNTIF($AL$11:$AL1626,$AL1626)=1),1,0)</f>
        <v>0</v>
      </c>
      <c r="AW1626" s="21">
        <f t="shared" si="137"/>
        <v>0</v>
      </c>
      <c r="AX1626" s="21" t="str">
        <f t="shared" si="136"/>
        <v/>
      </c>
      <c r="AY1626" s="21" t="str">
        <f>IF(AND($AM1626&lt;&gt;"",$AS1626&lt;&gt;"✓"),SUMPRODUCT(($AM$11:$AM1626&lt;&gt;"")*($AS$11:$AS1626&lt;&gt;"✓")),"")</f>
        <v/>
      </c>
      <c r="AZ1626" s="21" t="str">
        <f>IF(AND($AM1626&lt;&gt;"",$AS1626="✓"),SUMPRODUCT(($AM$11:$AM1626&lt;&gt;"")*($AS$11:$AS1626="✓")),"")</f>
        <v/>
      </c>
      <c r="BA1626" s="21" t="str">
        <f>IF($AL1626="","",$AL1626&amp;"|"&amp;COUNTIF($AL$11:$AL1626,$AL1626))</f>
        <v/>
      </c>
    </row>
    <row r="1627" spans="38:53" ht="15" customHeight="1" x14ac:dyDescent="0.25">
      <c r="AL1627" s="17"/>
      <c r="AM1627" s="12"/>
      <c r="AN1627" s="18"/>
      <c r="AO1627" s="18"/>
      <c r="AP1627" s="10"/>
      <c r="AQ1627" s="10"/>
      <c r="AR1627" s="19"/>
      <c r="AS1627" s="20"/>
      <c r="AT1627" s="19"/>
      <c r="AV1627" s="21">
        <f>IF(AND($AL1627&lt;&gt;"",COUNTIF($AL$11:$AL1627,$AL1627)=1),1,0)</f>
        <v>0</v>
      </c>
      <c r="AW1627" s="21">
        <f t="shared" si="137"/>
        <v>0</v>
      </c>
      <c r="AX1627" s="21" t="str">
        <f t="shared" si="136"/>
        <v/>
      </c>
      <c r="AY1627" s="21" t="str">
        <f>IF(AND($AM1627&lt;&gt;"",$AS1627&lt;&gt;"✓"),SUMPRODUCT(($AM$11:$AM1627&lt;&gt;"")*($AS$11:$AS1627&lt;&gt;"✓")),"")</f>
        <v/>
      </c>
      <c r="AZ1627" s="21" t="str">
        <f>IF(AND($AM1627&lt;&gt;"",$AS1627="✓"),SUMPRODUCT(($AM$11:$AM1627&lt;&gt;"")*($AS$11:$AS1627="✓")),"")</f>
        <v/>
      </c>
      <c r="BA1627" s="21" t="str">
        <f>IF($AL1627="","",$AL1627&amp;"|"&amp;COUNTIF($AL$11:$AL1627,$AL1627))</f>
        <v/>
      </c>
    </row>
    <row r="1628" spans="38:53" ht="15" customHeight="1" x14ac:dyDescent="0.25">
      <c r="AL1628" s="31"/>
      <c r="AM1628" s="26"/>
      <c r="AN1628" s="32"/>
      <c r="AO1628" s="32"/>
      <c r="AP1628" s="24"/>
      <c r="AQ1628" s="24"/>
      <c r="AR1628" s="33"/>
      <c r="AS1628" s="34"/>
      <c r="AT1628" s="33"/>
      <c r="AV1628" s="21">
        <f>IF(AND($AL1628&lt;&gt;"",COUNTIF($AL$11:$AL1628,$AL1628)=1),1,0)</f>
        <v>0</v>
      </c>
      <c r="AW1628" s="21">
        <f t="shared" si="137"/>
        <v>0</v>
      </c>
      <c r="AX1628" s="21" t="str">
        <f t="shared" si="136"/>
        <v/>
      </c>
      <c r="AY1628" s="21" t="str">
        <f>IF(AND($AM1628&lt;&gt;"",$AS1628&lt;&gt;"✓"),SUMPRODUCT(($AM$11:$AM1628&lt;&gt;"")*($AS$11:$AS1628&lt;&gt;"✓")),"")</f>
        <v/>
      </c>
      <c r="AZ1628" s="21" t="str">
        <f>IF(AND($AM1628&lt;&gt;"",$AS1628="✓"),SUMPRODUCT(($AM$11:$AM1628&lt;&gt;"")*($AS$11:$AS1628="✓")),"")</f>
        <v/>
      </c>
      <c r="BA1628" s="21" t="str">
        <f>IF($AL1628="","",$AL1628&amp;"|"&amp;COUNTIF($AL$11:$AL1628,$AL1628))</f>
        <v/>
      </c>
    </row>
    <row r="1629" spans="38:53" ht="15" customHeight="1" x14ac:dyDescent="0.25">
      <c r="AL1629" s="17"/>
      <c r="AM1629" s="12"/>
      <c r="AN1629" s="18"/>
      <c r="AO1629" s="18"/>
      <c r="AP1629" s="10"/>
      <c r="AQ1629" s="10"/>
      <c r="AR1629" s="19"/>
      <c r="AS1629" s="20"/>
      <c r="AT1629" s="19"/>
      <c r="AV1629" s="21">
        <f>IF(AND($AL1629&lt;&gt;"",COUNTIF($AL$11:$AL1629,$AL1629)=1),1,0)</f>
        <v>0</v>
      </c>
      <c r="AW1629" s="21">
        <f t="shared" si="137"/>
        <v>0</v>
      </c>
      <c r="AX1629" s="21" t="str">
        <f t="shared" si="136"/>
        <v/>
      </c>
      <c r="AY1629" s="21" t="str">
        <f>IF(AND($AM1629&lt;&gt;"",$AS1629&lt;&gt;"✓"),SUMPRODUCT(($AM$11:$AM1629&lt;&gt;"")*($AS$11:$AS1629&lt;&gt;"✓")),"")</f>
        <v/>
      </c>
      <c r="AZ1629" s="21" t="str">
        <f>IF(AND($AM1629&lt;&gt;"",$AS1629="✓"),SUMPRODUCT(($AM$11:$AM1629&lt;&gt;"")*($AS$11:$AS1629="✓")),"")</f>
        <v/>
      </c>
      <c r="BA1629" s="21" t="str">
        <f>IF($AL1629="","",$AL1629&amp;"|"&amp;COUNTIF($AL$11:$AL1629,$AL1629))</f>
        <v/>
      </c>
    </row>
    <row r="1630" spans="38:53" ht="15" customHeight="1" x14ac:dyDescent="0.25">
      <c r="AL1630" s="31"/>
      <c r="AM1630" s="26"/>
      <c r="AN1630" s="32"/>
      <c r="AO1630" s="32"/>
      <c r="AP1630" s="24"/>
      <c r="AQ1630" s="24"/>
      <c r="AR1630" s="33"/>
      <c r="AS1630" s="34"/>
      <c r="AT1630" s="33"/>
      <c r="AV1630" s="21">
        <f>IF(AND($AL1630&lt;&gt;"",COUNTIF($AL$11:$AL1630,$AL1630)=1),1,0)</f>
        <v>0</v>
      </c>
      <c r="AW1630" s="21">
        <f t="shared" si="137"/>
        <v>0</v>
      </c>
      <c r="AX1630" s="21" t="str">
        <f t="shared" si="136"/>
        <v/>
      </c>
      <c r="AY1630" s="21" t="str">
        <f>IF(AND($AM1630&lt;&gt;"",$AS1630&lt;&gt;"✓"),SUMPRODUCT(($AM$11:$AM1630&lt;&gt;"")*($AS$11:$AS1630&lt;&gt;"✓")),"")</f>
        <v/>
      </c>
      <c r="AZ1630" s="21" t="str">
        <f>IF(AND($AM1630&lt;&gt;"",$AS1630="✓"),SUMPRODUCT(($AM$11:$AM1630&lt;&gt;"")*($AS$11:$AS1630="✓")),"")</f>
        <v/>
      </c>
      <c r="BA1630" s="21" t="str">
        <f>IF($AL1630="","",$AL1630&amp;"|"&amp;COUNTIF($AL$11:$AL1630,$AL1630))</f>
        <v/>
      </c>
    </row>
    <row r="1631" spans="38:53" ht="15" customHeight="1" x14ac:dyDescent="0.25">
      <c r="AL1631" s="17"/>
      <c r="AM1631" s="12"/>
      <c r="AN1631" s="18"/>
      <c r="AO1631" s="18"/>
      <c r="AP1631" s="10"/>
      <c r="AQ1631" s="10"/>
      <c r="AR1631" s="19"/>
      <c r="AS1631" s="20"/>
      <c r="AT1631" s="19"/>
      <c r="AV1631" s="21">
        <f>IF(AND($AL1631&lt;&gt;"",COUNTIF($AL$11:$AL1631,$AL1631)=1),1,0)</f>
        <v>0</v>
      </c>
      <c r="AW1631" s="21">
        <f t="shared" si="137"/>
        <v>0</v>
      </c>
      <c r="AX1631" s="21" t="str">
        <f t="shared" si="136"/>
        <v/>
      </c>
      <c r="AY1631" s="21" t="str">
        <f>IF(AND($AM1631&lt;&gt;"",$AS1631&lt;&gt;"✓"),SUMPRODUCT(($AM$11:$AM1631&lt;&gt;"")*($AS$11:$AS1631&lt;&gt;"✓")),"")</f>
        <v/>
      </c>
      <c r="AZ1631" s="21" t="str">
        <f>IF(AND($AM1631&lt;&gt;"",$AS1631="✓"),SUMPRODUCT(($AM$11:$AM1631&lt;&gt;"")*($AS$11:$AS1631="✓")),"")</f>
        <v/>
      </c>
      <c r="BA1631" s="21" t="str">
        <f>IF($AL1631="","",$AL1631&amp;"|"&amp;COUNTIF($AL$11:$AL1631,$AL1631))</f>
        <v/>
      </c>
    </row>
    <row r="1632" spans="38:53" ht="15" customHeight="1" x14ac:dyDescent="0.25">
      <c r="AL1632" s="31"/>
      <c r="AM1632" s="26"/>
      <c r="AN1632" s="32"/>
      <c r="AO1632" s="32"/>
      <c r="AP1632" s="24"/>
      <c r="AQ1632" s="24"/>
      <c r="AR1632" s="33"/>
      <c r="AS1632" s="34"/>
      <c r="AT1632" s="33"/>
      <c r="AV1632" s="21">
        <f>IF(AND($AL1632&lt;&gt;"",COUNTIF($AL$11:$AL1632,$AL1632)=1),1,0)</f>
        <v>0</v>
      </c>
      <c r="AW1632" s="21">
        <f t="shared" si="137"/>
        <v>0</v>
      </c>
      <c r="AX1632" s="21" t="str">
        <f t="shared" si="136"/>
        <v/>
      </c>
      <c r="AY1632" s="21" t="str">
        <f>IF(AND($AM1632&lt;&gt;"",$AS1632&lt;&gt;"✓"),SUMPRODUCT(($AM$11:$AM1632&lt;&gt;"")*($AS$11:$AS1632&lt;&gt;"✓")),"")</f>
        <v/>
      </c>
      <c r="AZ1632" s="21" t="str">
        <f>IF(AND($AM1632&lt;&gt;"",$AS1632="✓"),SUMPRODUCT(($AM$11:$AM1632&lt;&gt;"")*($AS$11:$AS1632="✓")),"")</f>
        <v/>
      </c>
      <c r="BA1632" s="21" t="str">
        <f>IF($AL1632="","",$AL1632&amp;"|"&amp;COUNTIF($AL$11:$AL1632,$AL1632))</f>
        <v/>
      </c>
    </row>
    <row r="1633" spans="38:53" ht="15" customHeight="1" x14ac:dyDescent="0.25">
      <c r="AL1633" s="17"/>
      <c r="AM1633" s="12"/>
      <c r="AN1633" s="18"/>
      <c r="AO1633" s="18"/>
      <c r="AP1633" s="10"/>
      <c r="AQ1633" s="10"/>
      <c r="AR1633" s="19"/>
      <c r="AS1633" s="20"/>
      <c r="AT1633" s="19"/>
      <c r="AV1633" s="21">
        <f>IF(AND($AL1633&lt;&gt;"",COUNTIF($AL$11:$AL1633,$AL1633)=1),1,0)</f>
        <v>0</v>
      </c>
      <c r="AW1633" s="21">
        <f t="shared" si="137"/>
        <v>0</v>
      </c>
      <c r="AX1633" s="21" t="str">
        <f t="shared" si="136"/>
        <v/>
      </c>
      <c r="AY1633" s="21" t="str">
        <f>IF(AND($AM1633&lt;&gt;"",$AS1633&lt;&gt;"✓"),SUMPRODUCT(($AM$11:$AM1633&lt;&gt;"")*($AS$11:$AS1633&lt;&gt;"✓")),"")</f>
        <v/>
      </c>
      <c r="AZ1633" s="21" t="str">
        <f>IF(AND($AM1633&lt;&gt;"",$AS1633="✓"),SUMPRODUCT(($AM$11:$AM1633&lt;&gt;"")*($AS$11:$AS1633="✓")),"")</f>
        <v/>
      </c>
      <c r="BA1633" s="21" t="str">
        <f>IF($AL1633="","",$AL1633&amp;"|"&amp;COUNTIF($AL$11:$AL1633,$AL1633))</f>
        <v/>
      </c>
    </row>
    <row r="1634" spans="38:53" ht="15" customHeight="1" x14ac:dyDescent="0.25">
      <c r="AL1634" s="31"/>
      <c r="AM1634" s="26"/>
      <c r="AN1634" s="32"/>
      <c r="AO1634" s="32"/>
      <c r="AP1634" s="24"/>
      <c r="AQ1634" s="24"/>
      <c r="AR1634" s="33"/>
      <c r="AS1634" s="34"/>
      <c r="AT1634" s="33"/>
      <c r="AV1634" s="21">
        <f>IF(AND($AL1634&lt;&gt;"",COUNTIF($AL$11:$AL1634,$AL1634)=1),1,0)</f>
        <v>0</v>
      </c>
      <c r="AW1634" s="21">
        <f t="shared" si="137"/>
        <v>0</v>
      </c>
      <c r="AX1634" s="21" t="str">
        <f t="shared" si="136"/>
        <v/>
      </c>
      <c r="AY1634" s="21" t="str">
        <f>IF(AND($AM1634&lt;&gt;"",$AS1634&lt;&gt;"✓"),SUMPRODUCT(($AM$11:$AM1634&lt;&gt;"")*($AS$11:$AS1634&lt;&gt;"✓")),"")</f>
        <v/>
      </c>
      <c r="AZ1634" s="21" t="str">
        <f>IF(AND($AM1634&lt;&gt;"",$AS1634="✓"),SUMPRODUCT(($AM$11:$AM1634&lt;&gt;"")*($AS$11:$AS1634="✓")),"")</f>
        <v/>
      </c>
      <c r="BA1634" s="21" t="str">
        <f>IF($AL1634="","",$AL1634&amp;"|"&amp;COUNTIF($AL$11:$AL1634,$AL1634))</f>
        <v/>
      </c>
    </row>
    <row r="1635" spans="38:53" ht="15" customHeight="1" x14ac:dyDescent="0.25">
      <c r="AL1635" s="17"/>
      <c r="AM1635" s="12"/>
      <c r="AN1635" s="18"/>
      <c r="AO1635" s="18"/>
      <c r="AP1635" s="10"/>
      <c r="AQ1635" s="10"/>
      <c r="AR1635" s="19"/>
      <c r="AS1635" s="20"/>
      <c r="AT1635" s="19"/>
      <c r="AV1635" s="21">
        <f>IF(AND($AL1635&lt;&gt;"",COUNTIF($AL$11:$AL1635,$AL1635)=1),1,0)</f>
        <v>0</v>
      </c>
      <c r="AW1635" s="21">
        <f t="shared" si="137"/>
        <v>0</v>
      </c>
      <c r="AX1635" s="21" t="str">
        <f t="shared" si="136"/>
        <v/>
      </c>
      <c r="AY1635" s="21" t="str">
        <f>IF(AND($AM1635&lt;&gt;"",$AS1635&lt;&gt;"✓"),SUMPRODUCT(($AM$11:$AM1635&lt;&gt;"")*($AS$11:$AS1635&lt;&gt;"✓")),"")</f>
        <v/>
      </c>
      <c r="AZ1635" s="21" t="str">
        <f>IF(AND($AM1635&lt;&gt;"",$AS1635="✓"),SUMPRODUCT(($AM$11:$AM1635&lt;&gt;"")*($AS$11:$AS1635="✓")),"")</f>
        <v/>
      </c>
      <c r="BA1635" s="21" t="str">
        <f>IF($AL1635="","",$AL1635&amp;"|"&amp;COUNTIF($AL$11:$AL1635,$AL1635))</f>
        <v/>
      </c>
    </row>
    <row r="1636" spans="38:53" ht="15" customHeight="1" x14ac:dyDescent="0.25">
      <c r="AL1636" s="31"/>
      <c r="AM1636" s="26"/>
      <c r="AN1636" s="32"/>
      <c r="AO1636" s="32"/>
      <c r="AP1636" s="24"/>
      <c r="AQ1636" s="24"/>
      <c r="AR1636" s="33"/>
      <c r="AS1636" s="34"/>
      <c r="AT1636" s="33"/>
      <c r="AV1636" s="21">
        <f>IF(AND($AL1636&lt;&gt;"",COUNTIF($AL$11:$AL1636,$AL1636)=1),1,0)</f>
        <v>0</v>
      </c>
      <c r="AW1636" s="21">
        <f t="shared" si="137"/>
        <v>0</v>
      </c>
      <c r="AX1636" s="21" t="str">
        <f t="shared" si="136"/>
        <v/>
      </c>
      <c r="AY1636" s="21" t="str">
        <f>IF(AND($AM1636&lt;&gt;"",$AS1636&lt;&gt;"✓"),SUMPRODUCT(($AM$11:$AM1636&lt;&gt;"")*($AS$11:$AS1636&lt;&gt;"✓")),"")</f>
        <v/>
      </c>
      <c r="AZ1636" s="21" t="str">
        <f>IF(AND($AM1636&lt;&gt;"",$AS1636="✓"),SUMPRODUCT(($AM$11:$AM1636&lt;&gt;"")*($AS$11:$AS1636="✓")),"")</f>
        <v/>
      </c>
      <c r="BA1636" s="21" t="str">
        <f>IF($AL1636="","",$AL1636&amp;"|"&amp;COUNTIF($AL$11:$AL1636,$AL1636))</f>
        <v/>
      </c>
    </row>
    <row r="1637" spans="38:53" ht="15" customHeight="1" x14ac:dyDescent="0.25">
      <c r="AL1637" s="17"/>
      <c r="AM1637" s="12"/>
      <c r="AN1637" s="18"/>
      <c r="AO1637" s="18"/>
      <c r="AP1637" s="10"/>
      <c r="AQ1637" s="10"/>
      <c r="AR1637" s="19"/>
      <c r="AS1637" s="20"/>
      <c r="AT1637" s="19"/>
      <c r="AV1637" s="21">
        <f>IF(AND($AL1637&lt;&gt;"",COUNTIF($AL$11:$AL1637,$AL1637)=1),1,0)</f>
        <v>0</v>
      </c>
      <c r="AW1637" s="21">
        <f t="shared" si="137"/>
        <v>0</v>
      </c>
      <c r="AX1637" s="21" t="str">
        <f t="shared" si="136"/>
        <v/>
      </c>
      <c r="AY1637" s="21" t="str">
        <f>IF(AND($AM1637&lt;&gt;"",$AS1637&lt;&gt;"✓"),SUMPRODUCT(($AM$11:$AM1637&lt;&gt;"")*($AS$11:$AS1637&lt;&gt;"✓")),"")</f>
        <v/>
      </c>
      <c r="AZ1637" s="21" t="str">
        <f>IF(AND($AM1637&lt;&gt;"",$AS1637="✓"),SUMPRODUCT(($AM$11:$AM1637&lt;&gt;"")*($AS$11:$AS1637="✓")),"")</f>
        <v/>
      </c>
      <c r="BA1637" s="21" t="str">
        <f>IF($AL1637="","",$AL1637&amp;"|"&amp;COUNTIF($AL$11:$AL1637,$AL1637))</f>
        <v/>
      </c>
    </row>
    <row r="1638" spans="38:53" ht="15" customHeight="1" x14ac:dyDescent="0.25">
      <c r="AL1638" s="31"/>
      <c r="AM1638" s="26"/>
      <c r="AN1638" s="32"/>
      <c r="AO1638" s="32"/>
      <c r="AP1638" s="24"/>
      <c r="AQ1638" s="24"/>
      <c r="AR1638" s="33"/>
      <c r="AS1638" s="34"/>
      <c r="AT1638" s="33"/>
      <c r="AV1638" s="21">
        <f>IF(AND($AL1638&lt;&gt;"",COUNTIF($AL$11:$AL1638,$AL1638)=1),1,0)</f>
        <v>0</v>
      </c>
      <c r="AW1638" s="21">
        <f t="shared" si="137"/>
        <v>0</v>
      </c>
      <c r="AX1638" s="21" t="str">
        <f t="shared" si="136"/>
        <v/>
      </c>
      <c r="AY1638" s="21" t="str">
        <f>IF(AND($AM1638&lt;&gt;"",$AS1638&lt;&gt;"✓"),SUMPRODUCT(($AM$11:$AM1638&lt;&gt;"")*($AS$11:$AS1638&lt;&gt;"✓")),"")</f>
        <v/>
      </c>
      <c r="AZ1638" s="21" t="str">
        <f>IF(AND($AM1638&lt;&gt;"",$AS1638="✓"),SUMPRODUCT(($AM$11:$AM1638&lt;&gt;"")*($AS$11:$AS1638="✓")),"")</f>
        <v/>
      </c>
      <c r="BA1638" s="21" t="str">
        <f>IF($AL1638="","",$AL1638&amp;"|"&amp;COUNTIF($AL$11:$AL1638,$AL1638))</f>
        <v/>
      </c>
    </row>
    <row r="1639" spans="38:53" ht="15" customHeight="1" x14ac:dyDescent="0.25">
      <c r="AL1639" s="17"/>
      <c r="AM1639" s="12"/>
      <c r="AN1639" s="18"/>
      <c r="AO1639" s="18"/>
      <c r="AP1639" s="10"/>
      <c r="AQ1639" s="10"/>
      <c r="AR1639" s="19"/>
      <c r="AS1639" s="20"/>
      <c r="AT1639" s="19"/>
      <c r="AV1639" s="21">
        <f>IF(AND($AL1639&lt;&gt;"",COUNTIF($AL$11:$AL1639,$AL1639)=1),1,0)</f>
        <v>0</v>
      </c>
      <c r="AW1639" s="21">
        <f t="shared" si="137"/>
        <v>0</v>
      </c>
      <c r="AX1639" s="21" t="str">
        <f t="shared" si="136"/>
        <v/>
      </c>
      <c r="AY1639" s="21" t="str">
        <f>IF(AND($AM1639&lt;&gt;"",$AS1639&lt;&gt;"✓"),SUMPRODUCT(($AM$11:$AM1639&lt;&gt;"")*($AS$11:$AS1639&lt;&gt;"✓")),"")</f>
        <v/>
      </c>
      <c r="AZ1639" s="21" t="str">
        <f>IF(AND($AM1639&lt;&gt;"",$AS1639="✓"),SUMPRODUCT(($AM$11:$AM1639&lt;&gt;"")*($AS$11:$AS1639="✓")),"")</f>
        <v/>
      </c>
      <c r="BA1639" s="21" t="str">
        <f>IF($AL1639="","",$AL1639&amp;"|"&amp;COUNTIF($AL$11:$AL1639,$AL1639))</f>
        <v/>
      </c>
    </row>
    <row r="1640" spans="38:53" ht="15" customHeight="1" x14ac:dyDescent="0.25">
      <c r="AL1640" s="31"/>
      <c r="AM1640" s="26"/>
      <c r="AN1640" s="32"/>
      <c r="AO1640" s="32"/>
      <c r="AP1640" s="24"/>
      <c r="AQ1640" s="24"/>
      <c r="AR1640" s="33"/>
      <c r="AS1640" s="34"/>
      <c r="AT1640" s="33"/>
      <c r="AV1640" s="21">
        <f>IF(AND($AL1640&lt;&gt;"",COUNTIF($AL$11:$AL1640,$AL1640)=1),1,0)</f>
        <v>0</v>
      </c>
      <c r="AW1640" s="21">
        <f t="shared" si="137"/>
        <v>0</v>
      </c>
      <c r="AX1640" s="21" t="str">
        <f t="shared" si="136"/>
        <v/>
      </c>
      <c r="AY1640" s="21" t="str">
        <f>IF(AND($AM1640&lt;&gt;"",$AS1640&lt;&gt;"✓"),SUMPRODUCT(($AM$11:$AM1640&lt;&gt;"")*($AS$11:$AS1640&lt;&gt;"✓")),"")</f>
        <v/>
      </c>
      <c r="AZ1640" s="21" t="str">
        <f>IF(AND($AM1640&lt;&gt;"",$AS1640="✓"),SUMPRODUCT(($AM$11:$AM1640&lt;&gt;"")*($AS$11:$AS1640="✓")),"")</f>
        <v/>
      </c>
      <c r="BA1640" s="21" t="str">
        <f>IF($AL1640="","",$AL1640&amp;"|"&amp;COUNTIF($AL$11:$AL1640,$AL1640))</f>
        <v/>
      </c>
    </row>
    <row r="1641" spans="38:53" ht="15" customHeight="1" x14ac:dyDescent="0.25">
      <c r="AL1641" s="17"/>
      <c r="AM1641" s="12"/>
      <c r="AN1641" s="18"/>
      <c r="AO1641" s="18"/>
      <c r="AP1641" s="10"/>
      <c r="AQ1641" s="10"/>
      <c r="AR1641" s="19"/>
      <c r="AS1641" s="20"/>
      <c r="AT1641" s="19"/>
      <c r="AV1641" s="21">
        <f>IF(AND($AL1641&lt;&gt;"",COUNTIF($AL$11:$AL1641,$AL1641)=1),1,0)</f>
        <v>0</v>
      </c>
      <c r="AW1641" s="21">
        <f t="shared" si="137"/>
        <v>0</v>
      </c>
      <c r="AX1641" s="21" t="str">
        <f t="shared" si="136"/>
        <v/>
      </c>
      <c r="AY1641" s="21" t="str">
        <f>IF(AND($AM1641&lt;&gt;"",$AS1641&lt;&gt;"✓"),SUMPRODUCT(($AM$11:$AM1641&lt;&gt;"")*($AS$11:$AS1641&lt;&gt;"✓")),"")</f>
        <v/>
      </c>
      <c r="AZ1641" s="21" t="str">
        <f>IF(AND($AM1641&lt;&gt;"",$AS1641="✓"),SUMPRODUCT(($AM$11:$AM1641&lt;&gt;"")*($AS$11:$AS1641="✓")),"")</f>
        <v/>
      </c>
      <c r="BA1641" s="21" t="str">
        <f>IF($AL1641="","",$AL1641&amp;"|"&amp;COUNTIF($AL$11:$AL1641,$AL1641))</f>
        <v/>
      </c>
    </row>
    <row r="1642" spans="38:53" ht="15" customHeight="1" x14ac:dyDescent="0.25">
      <c r="AL1642" s="31"/>
      <c r="AM1642" s="26"/>
      <c r="AN1642" s="32"/>
      <c r="AO1642" s="32"/>
      <c r="AP1642" s="24"/>
      <c r="AQ1642" s="24"/>
      <c r="AR1642" s="33"/>
      <c r="AS1642" s="34"/>
      <c r="AT1642" s="33"/>
      <c r="AV1642" s="21">
        <f>IF(AND($AL1642&lt;&gt;"",COUNTIF($AL$11:$AL1642,$AL1642)=1),1,0)</f>
        <v>0</v>
      </c>
      <c r="AW1642" s="21">
        <f t="shared" si="137"/>
        <v>0</v>
      </c>
      <c r="AX1642" s="21" t="str">
        <f t="shared" si="136"/>
        <v/>
      </c>
      <c r="AY1642" s="21" t="str">
        <f>IF(AND($AM1642&lt;&gt;"",$AS1642&lt;&gt;"✓"),SUMPRODUCT(($AM$11:$AM1642&lt;&gt;"")*($AS$11:$AS1642&lt;&gt;"✓")),"")</f>
        <v/>
      </c>
      <c r="AZ1642" s="21" t="str">
        <f>IF(AND($AM1642&lt;&gt;"",$AS1642="✓"),SUMPRODUCT(($AM$11:$AM1642&lt;&gt;"")*($AS$11:$AS1642="✓")),"")</f>
        <v/>
      </c>
      <c r="BA1642" s="21" t="str">
        <f>IF($AL1642="","",$AL1642&amp;"|"&amp;COUNTIF($AL$11:$AL1642,$AL1642))</f>
        <v/>
      </c>
    </row>
    <row r="1643" spans="38:53" ht="15" customHeight="1" x14ac:dyDescent="0.25">
      <c r="AL1643" s="17"/>
      <c r="AM1643" s="12"/>
      <c r="AN1643" s="18"/>
      <c r="AO1643" s="18"/>
      <c r="AP1643" s="10"/>
      <c r="AQ1643" s="10"/>
      <c r="AR1643" s="19"/>
      <c r="AS1643" s="20"/>
      <c r="AT1643" s="19"/>
      <c r="AV1643" s="21">
        <f>IF(AND($AL1643&lt;&gt;"",COUNTIF($AL$11:$AL1643,$AL1643)=1),1,0)</f>
        <v>0</v>
      </c>
      <c r="AW1643" s="21">
        <f t="shared" si="137"/>
        <v>0</v>
      </c>
      <c r="AX1643" s="21" t="str">
        <f t="shared" si="136"/>
        <v/>
      </c>
      <c r="AY1643" s="21" t="str">
        <f>IF(AND($AM1643&lt;&gt;"",$AS1643&lt;&gt;"✓"),SUMPRODUCT(($AM$11:$AM1643&lt;&gt;"")*($AS$11:$AS1643&lt;&gt;"✓")),"")</f>
        <v/>
      </c>
      <c r="AZ1643" s="21" t="str">
        <f>IF(AND($AM1643&lt;&gt;"",$AS1643="✓"),SUMPRODUCT(($AM$11:$AM1643&lt;&gt;"")*($AS$11:$AS1643="✓")),"")</f>
        <v/>
      </c>
      <c r="BA1643" s="21" t="str">
        <f>IF($AL1643="","",$AL1643&amp;"|"&amp;COUNTIF($AL$11:$AL1643,$AL1643))</f>
        <v/>
      </c>
    </row>
    <row r="1644" spans="38:53" ht="15" customHeight="1" x14ac:dyDescent="0.25">
      <c r="AL1644" s="31"/>
      <c r="AM1644" s="26"/>
      <c r="AN1644" s="32"/>
      <c r="AO1644" s="32"/>
      <c r="AP1644" s="24"/>
      <c r="AQ1644" s="24"/>
      <c r="AR1644" s="33"/>
      <c r="AS1644" s="34"/>
      <c r="AT1644" s="33"/>
      <c r="AV1644" s="21">
        <f>IF(AND($AL1644&lt;&gt;"",COUNTIF($AL$11:$AL1644,$AL1644)=1),1,0)</f>
        <v>0</v>
      </c>
      <c r="AW1644" s="21">
        <f t="shared" si="137"/>
        <v>0</v>
      </c>
      <c r="AX1644" s="21" t="str">
        <f t="shared" si="136"/>
        <v/>
      </c>
      <c r="AY1644" s="21" t="str">
        <f>IF(AND($AM1644&lt;&gt;"",$AS1644&lt;&gt;"✓"),SUMPRODUCT(($AM$11:$AM1644&lt;&gt;"")*($AS$11:$AS1644&lt;&gt;"✓")),"")</f>
        <v/>
      </c>
      <c r="AZ1644" s="21" t="str">
        <f>IF(AND($AM1644&lt;&gt;"",$AS1644="✓"),SUMPRODUCT(($AM$11:$AM1644&lt;&gt;"")*($AS$11:$AS1644="✓")),"")</f>
        <v/>
      </c>
      <c r="BA1644" s="21" t="str">
        <f>IF($AL1644="","",$AL1644&amp;"|"&amp;COUNTIF($AL$11:$AL1644,$AL1644))</f>
        <v/>
      </c>
    </row>
    <row r="1645" spans="38:53" ht="15" customHeight="1" x14ac:dyDescent="0.25">
      <c r="AL1645" s="17"/>
      <c r="AM1645" s="12"/>
      <c r="AN1645" s="18"/>
      <c r="AO1645" s="18"/>
      <c r="AP1645" s="10"/>
      <c r="AQ1645" s="10"/>
      <c r="AR1645" s="19"/>
      <c r="AS1645" s="20"/>
      <c r="AT1645" s="19"/>
      <c r="AV1645" s="21">
        <f>IF(AND($AL1645&lt;&gt;"",COUNTIF($AL$11:$AL1645,$AL1645)=1),1,0)</f>
        <v>0</v>
      </c>
      <c r="AW1645" s="21">
        <f t="shared" si="137"/>
        <v>0</v>
      </c>
      <c r="AX1645" s="21" t="str">
        <f t="shared" si="136"/>
        <v/>
      </c>
      <c r="AY1645" s="21" t="str">
        <f>IF(AND($AM1645&lt;&gt;"",$AS1645&lt;&gt;"✓"),SUMPRODUCT(($AM$11:$AM1645&lt;&gt;"")*($AS$11:$AS1645&lt;&gt;"✓")),"")</f>
        <v/>
      </c>
      <c r="AZ1645" s="21" t="str">
        <f>IF(AND($AM1645&lt;&gt;"",$AS1645="✓"),SUMPRODUCT(($AM$11:$AM1645&lt;&gt;"")*($AS$11:$AS1645="✓")),"")</f>
        <v/>
      </c>
      <c r="BA1645" s="21" t="str">
        <f>IF($AL1645="","",$AL1645&amp;"|"&amp;COUNTIF($AL$11:$AL1645,$AL1645))</f>
        <v/>
      </c>
    </row>
    <row r="1646" spans="38:53" ht="15" customHeight="1" x14ac:dyDescent="0.25">
      <c r="AL1646" s="31"/>
      <c r="AM1646" s="26"/>
      <c r="AN1646" s="32"/>
      <c r="AO1646" s="32"/>
      <c r="AP1646" s="24"/>
      <c r="AQ1646" s="24"/>
      <c r="AR1646" s="33"/>
      <c r="AS1646" s="34"/>
      <c r="AT1646" s="33"/>
      <c r="AV1646" s="21">
        <f>IF(AND($AL1646&lt;&gt;"",COUNTIF($AL$11:$AL1646,$AL1646)=1),1,0)</f>
        <v>0</v>
      </c>
      <c r="AW1646" s="21">
        <f t="shared" si="137"/>
        <v>0</v>
      </c>
      <c r="AX1646" s="21" t="str">
        <f t="shared" si="136"/>
        <v/>
      </c>
      <c r="AY1646" s="21" t="str">
        <f>IF(AND($AM1646&lt;&gt;"",$AS1646&lt;&gt;"✓"),SUMPRODUCT(($AM$11:$AM1646&lt;&gt;"")*($AS$11:$AS1646&lt;&gt;"✓")),"")</f>
        <v/>
      </c>
      <c r="AZ1646" s="21" t="str">
        <f>IF(AND($AM1646&lt;&gt;"",$AS1646="✓"),SUMPRODUCT(($AM$11:$AM1646&lt;&gt;"")*($AS$11:$AS1646="✓")),"")</f>
        <v/>
      </c>
      <c r="BA1646" s="21" t="str">
        <f>IF($AL1646="","",$AL1646&amp;"|"&amp;COUNTIF($AL$11:$AL1646,$AL1646))</f>
        <v/>
      </c>
    </row>
    <row r="1647" spans="38:53" ht="15" customHeight="1" x14ac:dyDescent="0.25">
      <c r="AL1647" s="17"/>
      <c r="AM1647" s="12"/>
      <c r="AN1647" s="18"/>
      <c r="AO1647" s="18"/>
      <c r="AP1647" s="10"/>
      <c r="AQ1647" s="10"/>
      <c r="AR1647" s="19"/>
      <c r="AS1647" s="20"/>
      <c r="AT1647" s="19"/>
      <c r="AV1647" s="21">
        <f>IF(AND($AL1647&lt;&gt;"",COUNTIF($AL$11:$AL1647,$AL1647)=1),1,0)</f>
        <v>0</v>
      </c>
      <c r="AW1647" s="21">
        <f t="shared" si="137"/>
        <v>0</v>
      </c>
      <c r="AX1647" s="21" t="str">
        <f t="shared" si="136"/>
        <v/>
      </c>
      <c r="AY1647" s="21" t="str">
        <f>IF(AND($AM1647&lt;&gt;"",$AS1647&lt;&gt;"✓"),SUMPRODUCT(($AM$11:$AM1647&lt;&gt;"")*($AS$11:$AS1647&lt;&gt;"✓")),"")</f>
        <v/>
      </c>
      <c r="AZ1647" s="21" t="str">
        <f>IF(AND($AM1647&lt;&gt;"",$AS1647="✓"),SUMPRODUCT(($AM$11:$AM1647&lt;&gt;"")*($AS$11:$AS1647="✓")),"")</f>
        <v/>
      </c>
      <c r="BA1647" s="21" t="str">
        <f>IF($AL1647="","",$AL1647&amp;"|"&amp;COUNTIF($AL$11:$AL1647,$AL1647))</f>
        <v/>
      </c>
    </row>
    <row r="1648" spans="38:53" ht="15" customHeight="1" x14ac:dyDescent="0.25">
      <c r="AL1648" s="31"/>
      <c r="AM1648" s="26"/>
      <c r="AN1648" s="32"/>
      <c r="AO1648" s="32"/>
      <c r="AP1648" s="24"/>
      <c r="AQ1648" s="24"/>
      <c r="AR1648" s="33"/>
      <c r="AS1648" s="34"/>
      <c r="AT1648" s="33"/>
      <c r="AV1648" s="21">
        <f>IF(AND($AL1648&lt;&gt;"",COUNTIF($AL$11:$AL1648,$AL1648)=1),1,0)</f>
        <v>0</v>
      </c>
      <c r="AW1648" s="21">
        <f t="shared" si="137"/>
        <v>0</v>
      </c>
      <c r="AX1648" s="21" t="str">
        <f t="shared" si="136"/>
        <v/>
      </c>
      <c r="AY1648" s="21" t="str">
        <f>IF(AND($AM1648&lt;&gt;"",$AS1648&lt;&gt;"✓"),SUMPRODUCT(($AM$11:$AM1648&lt;&gt;"")*($AS$11:$AS1648&lt;&gt;"✓")),"")</f>
        <v/>
      </c>
      <c r="AZ1648" s="21" t="str">
        <f>IF(AND($AM1648&lt;&gt;"",$AS1648="✓"),SUMPRODUCT(($AM$11:$AM1648&lt;&gt;"")*($AS$11:$AS1648="✓")),"")</f>
        <v/>
      </c>
      <c r="BA1648" s="21" t="str">
        <f>IF($AL1648="","",$AL1648&amp;"|"&amp;COUNTIF($AL$11:$AL1648,$AL1648))</f>
        <v/>
      </c>
    </row>
    <row r="1649" spans="38:53" ht="15" customHeight="1" x14ac:dyDescent="0.25">
      <c r="AL1649" s="17"/>
      <c r="AM1649" s="12"/>
      <c r="AN1649" s="18"/>
      <c r="AO1649" s="18"/>
      <c r="AP1649" s="10"/>
      <c r="AQ1649" s="10"/>
      <c r="AR1649" s="19"/>
      <c r="AS1649" s="20"/>
      <c r="AT1649" s="19"/>
      <c r="AV1649" s="21">
        <f>IF(AND($AL1649&lt;&gt;"",COUNTIF($AL$11:$AL1649,$AL1649)=1),1,0)</f>
        <v>0</v>
      </c>
      <c r="AW1649" s="21">
        <f t="shared" si="137"/>
        <v>0</v>
      </c>
      <c r="AX1649" s="21" t="str">
        <f t="shared" si="136"/>
        <v/>
      </c>
      <c r="AY1649" s="21" t="str">
        <f>IF(AND($AM1649&lt;&gt;"",$AS1649&lt;&gt;"✓"),SUMPRODUCT(($AM$11:$AM1649&lt;&gt;"")*($AS$11:$AS1649&lt;&gt;"✓")),"")</f>
        <v/>
      </c>
      <c r="AZ1649" s="21" t="str">
        <f>IF(AND($AM1649&lt;&gt;"",$AS1649="✓"),SUMPRODUCT(($AM$11:$AM1649&lt;&gt;"")*($AS$11:$AS1649="✓")),"")</f>
        <v/>
      </c>
      <c r="BA1649" s="21" t="str">
        <f>IF($AL1649="","",$AL1649&amp;"|"&amp;COUNTIF($AL$11:$AL1649,$AL1649))</f>
        <v/>
      </c>
    </row>
    <row r="1650" spans="38:53" ht="15" customHeight="1" x14ac:dyDescent="0.25">
      <c r="AL1650" s="31"/>
      <c r="AM1650" s="26"/>
      <c r="AN1650" s="32"/>
      <c r="AO1650" s="32"/>
      <c r="AP1650" s="24"/>
      <c r="AQ1650" s="24"/>
      <c r="AR1650" s="33"/>
      <c r="AS1650" s="34"/>
      <c r="AT1650" s="33"/>
      <c r="AV1650" s="21">
        <f>IF(AND($AL1650&lt;&gt;"",COUNTIF($AL$11:$AL1650,$AL1650)=1),1,0)</f>
        <v>0</v>
      </c>
      <c r="AW1650" s="21">
        <f t="shared" si="137"/>
        <v>0</v>
      </c>
      <c r="AX1650" s="21" t="str">
        <f t="shared" si="136"/>
        <v/>
      </c>
      <c r="AY1650" s="21" t="str">
        <f>IF(AND($AM1650&lt;&gt;"",$AS1650&lt;&gt;"✓"),SUMPRODUCT(($AM$11:$AM1650&lt;&gt;"")*($AS$11:$AS1650&lt;&gt;"✓")),"")</f>
        <v/>
      </c>
      <c r="AZ1650" s="21" t="str">
        <f>IF(AND($AM1650&lt;&gt;"",$AS1650="✓"),SUMPRODUCT(($AM$11:$AM1650&lt;&gt;"")*($AS$11:$AS1650="✓")),"")</f>
        <v/>
      </c>
      <c r="BA1650" s="21" t="str">
        <f>IF($AL1650="","",$AL1650&amp;"|"&amp;COUNTIF($AL$11:$AL1650,$AL1650))</f>
        <v/>
      </c>
    </row>
    <row r="1651" spans="38:53" ht="15" customHeight="1" x14ac:dyDescent="0.25">
      <c r="AL1651" s="17"/>
      <c r="AM1651" s="12"/>
      <c r="AN1651" s="18"/>
      <c r="AO1651" s="18"/>
      <c r="AP1651" s="10"/>
      <c r="AQ1651" s="10"/>
      <c r="AR1651" s="19"/>
      <c r="AS1651" s="20"/>
      <c r="AT1651" s="19"/>
      <c r="AV1651" s="21">
        <f>IF(AND($AL1651&lt;&gt;"",COUNTIF($AL$11:$AL1651,$AL1651)=1),1,0)</f>
        <v>0</v>
      </c>
      <c r="AW1651" s="21">
        <f t="shared" si="137"/>
        <v>0</v>
      </c>
      <c r="AX1651" s="21" t="str">
        <f t="shared" si="136"/>
        <v/>
      </c>
      <c r="AY1651" s="21" t="str">
        <f>IF(AND($AM1651&lt;&gt;"",$AS1651&lt;&gt;"✓"),SUMPRODUCT(($AM$11:$AM1651&lt;&gt;"")*($AS$11:$AS1651&lt;&gt;"✓")),"")</f>
        <v/>
      </c>
      <c r="AZ1651" s="21" t="str">
        <f>IF(AND($AM1651&lt;&gt;"",$AS1651="✓"),SUMPRODUCT(($AM$11:$AM1651&lt;&gt;"")*($AS$11:$AS1651="✓")),"")</f>
        <v/>
      </c>
      <c r="BA1651" s="21" t="str">
        <f>IF($AL1651="","",$AL1651&amp;"|"&amp;COUNTIF($AL$11:$AL1651,$AL1651))</f>
        <v/>
      </c>
    </row>
    <row r="1652" spans="38:53" ht="15" customHeight="1" x14ac:dyDescent="0.25">
      <c r="AL1652" s="31"/>
      <c r="AM1652" s="26"/>
      <c r="AN1652" s="32"/>
      <c r="AO1652" s="32"/>
      <c r="AP1652" s="24"/>
      <c r="AQ1652" s="24"/>
      <c r="AR1652" s="33"/>
      <c r="AS1652" s="34"/>
      <c r="AT1652" s="33"/>
      <c r="AV1652" s="21">
        <f>IF(AND($AL1652&lt;&gt;"",COUNTIF($AL$11:$AL1652,$AL1652)=1),1,0)</f>
        <v>0</v>
      </c>
      <c r="AW1652" s="21">
        <f t="shared" si="137"/>
        <v>0</v>
      </c>
      <c r="AX1652" s="21" t="str">
        <f t="shared" si="136"/>
        <v/>
      </c>
      <c r="AY1652" s="21" t="str">
        <f>IF(AND($AM1652&lt;&gt;"",$AS1652&lt;&gt;"✓"),SUMPRODUCT(($AM$11:$AM1652&lt;&gt;"")*($AS$11:$AS1652&lt;&gt;"✓")),"")</f>
        <v/>
      </c>
      <c r="AZ1652" s="21" t="str">
        <f>IF(AND($AM1652&lt;&gt;"",$AS1652="✓"),SUMPRODUCT(($AM$11:$AM1652&lt;&gt;"")*($AS$11:$AS1652="✓")),"")</f>
        <v/>
      </c>
      <c r="BA1652" s="21" t="str">
        <f>IF($AL1652="","",$AL1652&amp;"|"&amp;COUNTIF($AL$11:$AL1652,$AL1652))</f>
        <v/>
      </c>
    </row>
    <row r="1653" spans="38:53" ht="15" customHeight="1" x14ac:dyDescent="0.25">
      <c r="AL1653" s="17"/>
      <c r="AM1653" s="12"/>
      <c r="AN1653" s="18"/>
      <c r="AO1653" s="18"/>
      <c r="AP1653" s="10"/>
      <c r="AQ1653" s="10"/>
      <c r="AR1653" s="19"/>
      <c r="AS1653" s="20"/>
      <c r="AT1653" s="19"/>
      <c r="AV1653" s="21">
        <f>IF(AND($AL1653&lt;&gt;"",COUNTIF($AL$11:$AL1653,$AL1653)=1),1,0)</f>
        <v>0</v>
      </c>
      <c r="AW1653" s="21">
        <f t="shared" si="137"/>
        <v>0</v>
      </c>
      <c r="AX1653" s="21" t="str">
        <f t="shared" si="136"/>
        <v/>
      </c>
      <c r="AY1653" s="21" t="str">
        <f>IF(AND($AM1653&lt;&gt;"",$AS1653&lt;&gt;"✓"),SUMPRODUCT(($AM$11:$AM1653&lt;&gt;"")*($AS$11:$AS1653&lt;&gt;"✓")),"")</f>
        <v/>
      </c>
      <c r="AZ1653" s="21" t="str">
        <f>IF(AND($AM1653&lt;&gt;"",$AS1653="✓"),SUMPRODUCT(($AM$11:$AM1653&lt;&gt;"")*($AS$11:$AS1653="✓")),"")</f>
        <v/>
      </c>
      <c r="BA1653" s="21" t="str">
        <f>IF($AL1653="","",$AL1653&amp;"|"&amp;COUNTIF($AL$11:$AL1653,$AL1653))</f>
        <v/>
      </c>
    </row>
    <row r="1654" spans="38:53" ht="15" customHeight="1" x14ac:dyDescent="0.25">
      <c r="AL1654" s="31"/>
      <c r="AM1654" s="26"/>
      <c r="AN1654" s="32"/>
      <c r="AO1654" s="32"/>
      <c r="AP1654" s="24"/>
      <c r="AQ1654" s="24"/>
      <c r="AR1654" s="33"/>
      <c r="AS1654" s="34"/>
      <c r="AT1654" s="33"/>
      <c r="AV1654" s="21">
        <f>IF(AND($AL1654&lt;&gt;"",COUNTIF($AL$11:$AL1654,$AL1654)=1),1,0)</f>
        <v>0</v>
      </c>
      <c r="AW1654" s="21">
        <f t="shared" si="137"/>
        <v>0</v>
      </c>
      <c r="AX1654" s="21" t="str">
        <f t="shared" si="136"/>
        <v/>
      </c>
      <c r="AY1654" s="21" t="str">
        <f>IF(AND($AM1654&lt;&gt;"",$AS1654&lt;&gt;"✓"),SUMPRODUCT(($AM$11:$AM1654&lt;&gt;"")*($AS$11:$AS1654&lt;&gt;"✓")),"")</f>
        <v/>
      </c>
      <c r="AZ1654" s="21" t="str">
        <f>IF(AND($AM1654&lt;&gt;"",$AS1654="✓"),SUMPRODUCT(($AM$11:$AM1654&lt;&gt;"")*($AS$11:$AS1654="✓")),"")</f>
        <v/>
      </c>
      <c r="BA1654" s="21" t="str">
        <f>IF($AL1654="","",$AL1654&amp;"|"&amp;COUNTIF($AL$11:$AL1654,$AL1654))</f>
        <v/>
      </c>
    </row>
    <row r="1655" spans="38:53" ht="15" customHeight="1" x14ac:dyDescent="0.25">
      <c r="AL1655" s="17"/>
      <c r="AM1655" s="12"/>
      <c r="AN1655" s="18"/>
      <c r="AO1655" s="18"/>
      <c r="AP1655" s="10"/>
      <c r="AQ1655" s="10"/>
      <c r="AR1655" s="19"/>
      <c r="AS1655" s="20"/>
      <c r="AT1655" s="19"/>
      <c r="AV1655" s="21">
        <f>IF(AND($AL1655&lt;&gt;"",COUNTIF($AL$11:$AL1655,$AL1655)=1),1,0)</f>
        <v>0</v>
      </c>
      <c r="AW1655" s="21">
        <f t="shared" si="137"/>
        <v>0</v>
      </c>
      <c r="AX1655" s="21" t="str">
        <f t="shared" si="136"/>
        <v/>
      </c>
      <c r="AY1655" s="21" t="str">
        <f>IF(AND($AM1655&lt;&gt;"",$AS1655&lt;&gt;"✓"),SUMPRODUCT(($AM$11:$AM1655&lt;&gt;"")*($AS$11:$AS1655&lt;&gt;"✓")),"")</f>
        <v/>
      </c>
      <c r="AZ1655" s="21" t="str">
        <f>IF(AND($AM1655&lt;&gt;"",$AS1655="✓"),SUMPRODUCT(($AM$11:$AM1655&lt;&gt;"")*($AS$11:$AS1655="✓")),"")</f>
        <v/>
      </c>
      <c r="BA1655" s="21" t="str">
        <f>IF($AL1655="","",$AL1655&amp;"|"&amp;COUNTIF($AL$11:$AL1655,$AL1655))</f>
        <v/>
      </c>
    </row>
    <row r="1656" spans="38:53" ht="15" customHeight="1" x14ac:dyDescent="0.25">
      <c r="AL1656" s="31"/>
      <c r="AM1656" s="26"/>
      <c r="AN1656" s="32"/>
      <c r="AO1656" s="32"/>
      <c r="AP1656" s="24"/>
      <c r="AQ1656" s="24"/>
      <c r="AR1656" s="33"/>
      <c r="AS1656" s="34"/>
      <c r="AT1656" s="33"/>
      <c r="AV1656" s="21">
        <f>IF(AND($AL1656&lt;&gt;"",COUNTIF($AL$11:$AL1656,$AL1656)=1),1,0)</f>
        <v>0</v>
      </c>
      <c r="AW1656" s="21">
        <f t="shared" si="137"/>
        <v>0</v>
      </c>
      <c r="AX1656" s="21" t="str">
        <f t="shared" si="136"/>
        <v/>
      </c>
      <c r="AY1656" s="21" t="str">
        <f>IF(AND($AM1656&lt;&gt;"",$AS1656&lt;&gt;"✓"),SUMPRODUCT(($AM$11:$AM1656&lt;&gt;"")*($AS$11:$AS1656&lt;&gt;"✓")),"")</f>
        <v/>
      </c>
      <c r="AZ1656" s="21" t="str">
        <f>IF(AND($AM1656&lt;&gt;"",$AS1656="✓"),SUMPRODUCT(($AM$11:$AM1656&lt;&gt;"")*($AS$11:$AS1656="✓")),"")</f>
        <v/>
      </c>
      <c r="BA1656" s="21" t="str">
        <f>IF($AL1656="","",$AL1656&amp;"|"&amp;COUNTIF($AL$11:$AL1656,$AL1656))</f>
        <v/>
      </c>
    </row>
    <row r="1657" spans="38:53" ht="15" customHeight="1" x14ac:dyDescent="0.25">
      <c r="AL1657" s="17"/>
      <c r="AM1657" s="12"/>
      <c r="AN1657" s="18"/>
      <c r="AO1657" s="18"/>
      <c r="AP1657" s="10"/>
      <c r="AQ1657" s="10"/>
      <c r="AR1657" s="19"/>
      <c r="AS1657" s="20"/>
      <c r="AT1657" s="19"/>
      <c r="AV1657" s="21">
        <f>IF(AND($AL1657&lt;&gt;"",COUNTIF($AL$11:$AL1657,$AL1657)=1),1,0)</f>
        <v>0</v>
      </c>
      <c r="AW1657" s="21">
        <f t="shared" si="137"/>
        <v>0</v>
      </c>
      <c r="AX1657" s="21" t="str">
        <f t="shared" si="136"/>
        <v/>
      </c>
      <c r="AY1657" s="21" t="str">
        <f>IF(AND($AM1657&lt;&gt;"",$AS1657&lt;&gt;"✓"),SUMPRODUCT(($AM$11:$AM1657&lt;&gt;"")*($AS$11:$AS1657&lt;&gt;"✓")),"")</f>
        <v/>
      </c>
      <c r="AZ1657" s="21" t="str">
        <f>IF(AND($AM1657&lt;&gt;"",$AS1657="✓"),SUMPRODUCT(($AM$11:$AM1657&lt;&gt;"")*($AS$11:$AS1657="✓")),"")</f>
        <v/>
      </c>
      <c r="BA1657" s="21" t="str">
        <f>IF($AL1657="","",$AL1657&amp;"|"&amp;COUNTIF($AL$11:$AL1657,$AL1657))</f>
        <v/>
      </c>
    </row>
    <row r="1658" spans="38:53" ht="15" customHeight="1" x14ac:dyDescent="0.25">
      <c r="AL1658" s="31"/>
      <c r="AM1658" s="26"/>
      <c r="AN1658" s="32"/>
      <c r="AO1658" s="32"/>
      <c r="AP1658" s="24"/>
      <c r="AQ1658" s="24"/>
      <c r="AR1658" s="33"/>
      <c r="AS1658" s="34"/>
      <c r="AT1658" s="33"/>
      <c r="AV1658" s="21">
        <f>IF(AND($AL1658&lt;&gt;"",COUNTIF($AL$11:$AL1658,$AL1658)=1),1,0)</f>
        <v>0</v>
      </c>
      <c r="AW1658" s="21">
        <f t="shared" si="137"/>
        <v>0</v>
      </c>
      <c r="AX1658" s="21" t="str">
        <f t="shared" si="136"/>
        <v/>
      </c>
      <c r="AY1658" s="21" t="str">
        <f>IF(AND($AM1658&lt;&gt;"",$AS1658&lt;&gt;"✓"),SUMPRODUCT(($AM$11:$AM1658&lt;&gt;"")*($AS$11:$AS1658&lt;&gt;"✓")),"")</f>
        <v/>
      </c>
      <c r="AZ1658" s="21" t="str">
        <f>IF(AND($AM1658&lt;&gt;"",$AS1658="✓"),SUMPRODUCT(($AM$11:$AM1658&lt;&gt;"")*($AS$11:$AS1658="✓")),"")</f>
        <v/>
      </c>
      <c r="BA1658" s="21" t="str">
        <f>IF($AL1658="","",$AL1658&amp;"|"&amp;COUNTIF($AL$11:$AL1658,$AL1658))</f>
        <v/>
      </c>
    </row>
    <row r="1659" spans="38:53" ht="15" customHeight="1" x14ac:dyDescent="0.25">
      <c r="AL1659" s="17"/>
      <c r="AM1659" s="12"/>
      <c r="AN1659" s="18"/>
      <c r="AO1659" s="18"/>
      <c r="AP1659" s="10"/>
      <c r="AQ1659" s="10"/>
      <c r="AR1659" s="19"/>
      <c r="AS1659" s="20"/>
      <c r="AT1659" s="19"/>
      <c r="AV1659" s="21">
        <f>IF(AND($AL1659&lt;&gt;"",COUNTIF($AL$11:$AL1659,$AL1659)=1),1,0)</f>
        <v>0</v>
      </c>
      <c r="AW1659" s="21">
        <f t="shared" si="137"/>
        <v>0</v>
      </c>
      <c r="AX1659" s="21" t="str">
        <f t="shared" si="136"/>
        <v/>
      </c>
      <c r="AY1659" s="21" t="str">
        <f>IF(AND($AM1659&lt;&gt;"",$AS1659&lt;&gt;"✓"),SUMPRODUCT(($AM$11:$AM1659&lt;&gt;"")*($AS$11:$AS1659&lt;&gt;"✓")),"")</f>
        <v/>
      </c>
      <c r="AZ1659" s="21" t="str">
        <f>IF(AND($AM1659&lt;&gt;"",$AS1659="✓"),SUMPRODUCT(($AM$11:$AM1659&lt;&gt;"")*($AS$11:$AS1659="✓")),"")</f>
        <v/>
      </c>
      <c r="BA1659" s="21" t="str">
        <f>IF($AL1659="","",$AL1659&amp;"|"&amp;COUNTIF($AL$11:$AL1659,$AL1659))</f>
        <v/>
      </c>
    </row>
    <row r="1660" spans="38:53" ht="15" customHeight="1" x14ac:dyDescent="0.25">
      <c r="AL1660" s="31"/>
      <c r="AM1660" s="26"/>
      <c r="AN1660" s="32"/>
      <c r="AO1660" s="32"/>
      <c r="AP1660" s="24"/>
      <c r="AQ1660" s="24"/>
      <c r="AR1660" s="33"/>
      <c r="AS1660" s="34"/>
      <c r="AT1660" s="33"/>
      <c r="AV1660" s="21">
        <f>IF(AND($AL1660&lt;&gt;"",COUNTIF($AL$11:$AL1660,$AL1660)=1),1,0)</f>
        <v>0</v>
      </c>
      <c r="AW1660" s="21">
        <f t="shared" si="137"/>
        <v>0</v>
      </c>
      <c r="AX1660" s="21" t="str">
        <f t="shared" si="136"/>
        <v/>
      </c>
      <c r="AY1660" s="21" t="str">
        <f>IF(AND($AM1660&lt;&gt;"",$AS1660&lt;&gt;"✓"),SUMPRODUCT(($AM$11:$AM1660&lt;&gt;"")*($AS$11:$AS1660&lt;&gt;"✓")),"")</f>
        <v/>
      </c>
      <c r="AZ1660" s="21" t="str">
        <f>IF(AND($AM1660&lt;&gt;"",$AS1660="✓"),SUMPRODUCT(($AM$11:$AM1660&lt;&gt;"")*($AS$11:$AS1660="✓")),"")</f>
        <v/>
      </c>
      <c r="BA1660" s="21" t="str">
        <f>IF($AL1660="","",$AL1660&amp;"|"&amp;COUNTIF($AL$11:$AL1660,$AL1660))</f>
        <v/>
      </c>
    </row>
    <row r="1661" spans="38:53" ht="15" customHeight="1" x14ac:dyDescent="0.25">
      <c r="AL1661" s="17"/>
      <c r="AM1661" s="12"/>
      <c r="AN1661" s="18"/>
      <c r="AO1661" s="18"/>
      <c r="AP1661" s="10"/>
      <c r="AQ1661" s="10"/>
      <c r="AR1661" s="19"/>
      <c r="AS1661" s="20"/>
      <c r="AT1661" s="19"/>
      <c r="AV1661" s="21">
        <f>IF(AND($AL1661&lt;&gt;"",COUNTIF($AL$11:$AL1661,$AL1661)=1),1,0)</f>
        <v>0</v>
      </c>
      <c r="AW1661" s="21">
        <f t="shared" si="137"/>
        <v>0</v>
      </c>
      <c r="AX1661" s="21" t="str">
        <f t="shared" si="136"/>
        <v/>
      </c>
      <c r="AY1661" s="21" t="str">
        <f>IF(AND($AM1661&lt;&gt;"",$AS1661&lt;&gt;"✓"),SUMPRODUCT(($AM$11:$AM1661&lt;&gt;"")*($AS$11:$AS1661&lt;&gt;"✓")),"")</f>
        <v/>
      </c>
      <c r="AZ1661" s="21" t="str">
        <f>IF(AND($AM1661&lt;&gt;"",$AS1661="✓"),SUMPRODUCT(($AM$11:$AM1661&lt;&gt;"")*($AS$11:$AS1661="✓")),"")</f>
        <v/>
      </c>
      <c r="BA1661" s="21" t="str">
        <f>IF($AL1661="","",$AL1661&amp;"|"&amp;COUNTIF($AL$11:$AL1661,$AL1661))</f>
        <v/>
      </c>
    </row>
    <row r="1662" spans="38:53" ht="15" customHeight="1" x14ac:dyDescent="0.25">
      <c r="AL1662" s="31"/>
      <c r="AM1662" s="26"/>
      <c r="AN1662" s="32"/>
      <c r="AO1662" s="32"/>
      <c r="AP1662" s="24"/>
      <c r="AQ1662" s="24"/>
      <c r="AR1662" s="33"/>
      <c r="AS1662" s="34"/>
      <c r="AT1662" s="33"/>
      <c r="AV1662" s="21">
        <f>IF(AND($AL1662&lt;&gt;"",COUNTIF($AL$11:$AL1662,$AL1662)=1),1,0)</f>
        <v>0</v>
      </c>
      <c r="AW1662" s="21">
        <f t="shared" si="137"/>
        <v>0</v>
      </c>
      <c r="AX1662" s="21" t="str">
        <f t="shared" si="136"/>
        <v/>
      </c>
      <c r="AY1662" s="21" t="str">
        <f>IF(AND($AM1662&lt;&gt;"",$AS1662&lt;&gt;"✓"),SUMPRODUCT(($AM$11:$AM1662&lt;&gt;"")*($AS$11:$AS1662&lt;&gt;"✓")),"")</f>
        <v/>
      </c>
      <c r="AZ1662" s="21" t="str">
        <f>IF(AND($AM1662&lt;&gt;"",$AS1662="✓"),SUMPRODUCT(($AM$11:$AM1662&lt;&gt;"")*($AS$11:$AS1662="✓")),"")</f>
        <v/>
      </c>
      <c r="BA1662" s="21" t="str">
        <f>IF($AL1662="","",$AL1662&amp;"|"&amp;COUNTIF($AL$11:$AL1662,$AL1662))</f>
        <v/>
      </c>
    </row>
    <row r="1663" spans="38:53" ht="15" customHeight="1" x14ac:dyDescent="0.25">
      <c r="AL1663" s="17"/>
      <c r="AM1663" s="12"/>
      <c r="AN1663" s="18"/>
      <c r="AO1663" s="18"/>
      <c r="AP1663" s="10"/>
      <c r="AQ1663" s="10"/>
      <c r="AR1663" s="19"/>
      <c r="AS1663" s="20"/>
      <c r="AT1663" s="19"/>
      <c r="AV1663" s="21">
        <f>IF(AND($AL1663&lt;&gt;"",COUNTIF($AL$11:$AL1663,$AL1663)=1),1,0)</f>
        <v>0</v>
      </c>
      <c r="AW1663" s="21">
        <f t="shared" si="137"/>
        <v>0</v>
      </c>
      <c r="AX1663" s="21" t="str">
        <f t="shared" si="136"/>
        <v/>
      </c>
      <c r="AY1663" s="21" t="str">
        <f>IF(AND($AM1663&lt;&gt;"",$AS1663&lt;&gt;"✓"),SUMPRODUCT(($AM$11:$AM1663&lt;&gt;"")*($AS$11:$AS1663&lt;&gt;"✓")),"")</f>
        <v/>
      </c>
      <c r="AZ1663" s="21" t="str">
        <f>IF(AND($AM1663&lt;&gt;"",$AS1663="✓"),SUMPRODUCT(($AM$11:$AM1663&lt;&gt;"")*($AS$11:$AS1663="✓")),"")</f>
        <v/>
      </c>
      <c r="BA1663" s="21" t="str">
        <f>IF($AL1663="","",$AL1663&amp;"|"&amp;COUNTIF($AL$11:$AL1663,$AL1663))</f>
        <v/>
      </c>
    </row>
    <row r="1664" spans="38:53" ht="15" customHeight="1" x14ac:dyDescent="0.25">
      <c r="AL1664" s="31"/>
      <c r="AM1664" s="26"/>
      <c r="AN1664" s="32"/>
      <c r="AO1664" s="32"/>
      <c r="AP1664" s="24"/>
      <c r="AQ1664" s="24"/>
      <c r="AR1664" s="33"/>
      <c r="AS1664" s="34"/>
      <c r="AT1664" s="33"/>
      <c r="AV1664" s="21">
        <f>IF(AND($AL1664&lt;&gt;"",COUNTIF($AL$11:$AL1664,$AL1664)=1),1,0)</f>
        <v>0</v>
      </c>
      <c r="AW1664" s="21">
        <f t="shared" si="137"/>
        <v>0</v>
      </c>
      <c r="AX1664" s="21" t="str">
        <f t="shared" si="136"/>
        <v/>
      </c>
      <c r="AY1664" s="21" t="str">
        <f>IF(AND($AM1664&lt;&gt;"",$AS1664&lt;&gt;"✓"),SUMPRODUCT(($AM$11:$AM1664&lt;&gt;"")*($AS$11:$AS1664&lt;&gt;"✓")),"")</f>
        <v/>
      </c>
      <c r="AZ1664" s="21" t="str">
        <f>IF(AND($AM1664&lt;&gt;"",$AS1664="✓"),SUMPRODUCT(($AM$11:$AM1664&lt;&gt;"")*($AS$11:$AS1664="✓")),"")</f>
        <v/>
      </c>
      <c r="BA1664" s="21" t="str">
        <f>IF($AL1664="","",$AL1664&amp;"|"&amp;COUNTIF($AL$11:$AL1664,$AL1664))</f>
        <v/>
      </c>
    </row>
    <row r="1665" spans="38:53" ht="15" customHeight="1" x14ac:dyDescent="0.25">
      <c r="AL1665" s="17"/>
      <c r="AM1665" s="12"/>
      <c r="AN1665" s="18"/>
      <c r="AO1665" s="18"/>
      <c r="AP1665" s="10"/>
      <c r="AQ1665" s="10"/>
      <c r="AR1665" s="19"/>
      <c r="AS1665" s="20"/>
      <c r="AT1665" s="19"/>
      <c r="AV1665" s="21">
        <f>IF(AND($AL1665&lt;&gt;"",COUNTIF($AL$11:$AL1665,$AL1665)=1),1,0)</f>
        <v>0</v>
      </c>
      <c r="AW1665" s="21">
        <f t="shared" si="137"/>
        <v>0</v>
      </c>
      <c r="AX1665" s="21" t="str">
        <f t="shared" si="136"/>
        <v/>
      </c>
      <c r="AY1665" s="21" t="str">
        <f>IF(AND($AM1665&lt;&gt;"",$AS1665&lt;&gt;"✓"),SUMPRODUCT(($AM$11:$AM1665&lt;&gt;"")*($AS$11:$AS1665&lt;&gt;"✓")),"")</f>
        <v/>
      </c>
      <c r="AZ1665" s="21" t="str">
        <f>IF(AND($AM1665&lt;&gt;"",$AS1665="✓"),SUMPRODUCT(($AM$11:$AM1665&lt;&gt;"")*($AS$11:$AS1665="✓")),"")</f>
        <v/>
      </c>
      <c r="BA1665" s="21" t="str">
        <f>IF($AL1665="","",$AL1665&amp;"|"&amp;COUNTIF($AL$11:$AL1665,$AL1665))</f>
        <v/>
      </c>
    </row>
    <row r="1666" spans="38:53" ht="15" customHeight="1" x14ac:dyDescent="0.25">
      <c r="AL1666" s="31"/>
      <c r="AM1666" s="26"/>
      <c r="AN1666" s="32"/>
      <c r="AO1666" s="32"/>
      <c r="AP1666" s="24"/>
      <c r="AQ1666" s="24"/>
      <c r="AR1666" s="33"/>
      <c r="AS1666" s="34"/>
      <c r="AT1666" s="33"/>
      <c r="AV1666" s="21">
        <f>IF(AND($AL1666&lt;&gt;"",COUNTIF($AL$11:$AL1666,$AL1666)=1),1,0)</f>
        <v>0</v>
      </c>
      <c r="AW1666" s="21">
        <f t="shared" si="137"/>
        <v>0</v>
      </c>
      <c r="AX1666" s="21" t="str">
        <f t="shared" si="136"/>
        <v/>
      </c>
      <c r="AY1666" s="21" t="str">
        <f>IF(AND($AM1666&lt;&gt;"",$AS1666&lt;&gt;"✓"),SUMPRODUCT(($AM$11:$AM1666&lt;&gt;"")*($AS$11:$AS1666&lt;&gt;"✓")),"")</f>
        <v/>
      </c>
      <c r="AZ1666" s="21" t="str">
        <f>IF(AND($AM1666&lt;&gt;"",$AS1666="✓"),SUMPRODUCT(($AM$11:$AM1666&lt;&gt;"")*($AS$11:$AS1666="✓")),"")</f>
        <v/>
      </c>
      <c r="BA1666" s="21" t="str">
        <f>IF($AL1666="","",$AL1666&amp;"|"&amp;COUNTIF($AL$11:$AL1666,$AL1666))</f>
        <v/>
      </c>
    </row>
    <row r="1667" spans="38:53" ht="15" customHeight="1" x14ac:dyDescent="0.25">
      <c r="AL1667" s="17"/>
      <c r="AM1667" s="12"/>
      <c r="AN1667" s="18"/>
      <c r="AO1667" s="18"/>
      <c r="AP1667" s="10"/>
      <c r="AQ1667" s="10"/>
      <c r="AR1667" s="19"/>
      <c r="AS1667" s="20"/>
      <c r="AT1667" s="19"/>
      <c r="AV1667" s="21">
        <f>IF(AND($AL1667&lt;&gt;"",COUNTIF($AL$11:$AL1667,$AL1667)=1),1,0)</f>
        <v>0</v>
      </c>
      <c r="AW1667" s="21">
        <f t="shared" si="137"/>
        <v>0</v>
      </c>
      <c r="AX1667" s="21" t="str">
        <f t="shared" si="136"/>
        <v/>
      </c>
      <c r="AY1667" s="21" t="str">
        <f>IF(AND($AM1667&lt;&gt;"",$AS1667&lt;&gt;"✓"),SUMPRODUCT(($AM$11:$AM1667&lt;&gt;"")*($AS$11:$AS1667&lt;&gt;"✓")),"")</f>
        <v/>
      </c>
      <c r="AZ1667" s="21" t="str">
        <f>IF(AND($AM1667&lt;&gt;"",$AS1667="✓"),SUMPRODUCT(($AM$11:$AM1667&lt;&gt;"")*($AS$11:$AS1667="✓")),"")</f>
        <v/>
      </c>
      <c r="BA1667" s="21" t="str">
        <f>IF($AL1667="","",$AL1667&amp;"|"&amp;COUNTIF($AL$11:$AL1667,$AL1667))</f>
        <v/>
      </c>
    </row>
    <row r="1668" spans="38:53" ht="15" customHeight="1" x14ac:dyDescent="0.25">
      <c r="AL1668" s="31"/>
      <c r="AM1668" s="26"/>
      <c r="AN1668" s="32"/>
      <c r="AO1668" s="32"/>
      <c r="AP1668" s="24"/>
      <c r="AQ1668" s="24"/>
      <c r="AR1668" s="33"/>
      <c r="AS1668" s="34"/>
      <c r="AT1668" s="33"/>
      <c r="AV1668" s="21">
        <f>IF(AND($AL1668&lt;&gt;"",COUNTIF($AL$11:$AL1668,$AL1668)=1),1,0)</f>
        <v>0</v>
      </c>
      <c r="AW1668" s="21">
        <f t="shared" si="137"/>
        <v>0</v>
      </c>
      <c r="AX1668" s="21" t="str">
        <f t="shared" si="136"/>
        <v/>
      </c>
      <c r="AY1668" s="21" t="str">
        <f>IF(AND($AM1668&lt;&gt;"",$AS1668&lt;&gt;"✓"),SUMPRODUCT(($AM$11:$AM1668&lt;&gt;"")*($AS$11:$AS1668&lt;&gt;"✓")),"")</f>
        <v/>
      </c>
      <c r="AZ1668" s="21" t="str">
        <f>IF(AND($AM1668&lt;&gt;"",$AS1668="✓"),SUMPRODUCT(($AM$11:$AM1668&lt;&gt;"")*($AS$11:$AS1668="✓")),"")</f>
        <v/>
      </c>
      <c r="BA1668" s="21" t="str">
        <f>IF($AL1668="","",$AL1668&amp;"|"&amp;COUNTIF($AL$11:$AL1668,$AL1668))</f>
        <v/>
      </c>
    </row>
    <row r="1669" spans="38:53" ht="15" customHeight="1" x14ac:dyDescent="0.25">
      <c r="AL1669" s="17"/>
      <c r="AM1669" s="12"/>
      <c r="AN1669" s="18"/>
      <c r="AO1669" s="18"/>
      <c r="AP1669" s="10"/>
      <c r="AQ1669" s="10"/>
      <c r="AR1669" s="19"/>
      <c r="AS1669" s="20"/>
      <c r="AT1669" s="19"/>
      <c r="AV1669" s="21">
        <f>IF(AND($AL1669&lt;&gt;"",COUNTIF($AL$11:$AL1669,$AL1669)=1),1,0)</f>
        <v>0</v>
      </c>
      <c r="AW1669" s="21">
        <f t="shared" si="137"/>
        <v>0</v>
      </c>
      <c r="AX1669" s="21" t="str">
        <f t="shared" si="136"/>
        <v/>
      </c>
      <c r="AY1669" s="21" t="str">
        <f>IF(AND($AM1669&lt;&gt;"",$AS1669&lt;&gt;"✓"),SUMPRODUCT(($AM$11:$AM1669&lt;&gt;"")*($AS$11:$AS1669&lt;&gt;"✓")),"")</f>
        <v/>
      </c>
      <c r="AZ1669" s="21" t="str">
        <f>IF(AND($AM1669&lt;&gt;"",$AS1669="✓"),SUMPRODUCT(($AM$11:$AM1669&lt;&gt;"")*($AS$11:$AS1669="✓")),"")</f>
        <v/>
      </c>
      <c r="BA1669" s="21" t="str">
        <f>IF($AL1669="","",$AL1669&amp;"|"&amp;COUNTIF($AL$11:$AL1669,$AL1669))</f>
        <v/>
      </c>
    </row>
    <row r="1670" spans="38:53" ht="15" customHeight="1" x14ac:dyDescent="0.25">
      <c r="AL1670" s="31"/>
      <c r="AM1670" s="26"/>
      <c r="AN1670" s="32"/>
      <c r="AO1670" s="32"/>
      <c r="AP1670" s="24"/>
      <c r="AQ1670" s="24"/>
      <c r="AR1670" s="33"/>
      <c r="AS1670" s="34"/>
      <c r="AT1670" s="33"/>
      <c r="AV1670" s="21">
        <f>IF(AND($AL1670&lt;&gt;"",COUNTIF($AL$11:$AL1670,$AL1670)=1),1,0)</f>
        <v>0</v>
      </c>
      <c r="AW1670" s="21">
        <f t="shared" si="137"/>
        <v>0</v>
      </c>
      <c r="AX1670" s="21" t="str">
        <f t="shared" si="136"/>
        <v/>
      </c>
      <c r="AY1670" s="21" t="str">
        <f>IF(AND($AM1670&lt;&gt;"",$AS1670&lt;&gt;"✓"),SUMPRODUCT(($AM$11:$AM1670&lt;&gt;"")*($AS$11:$AS1670&lt;&gt;"✓")),"")</f>
        <v/>
      </c>
      <c r="AZ1670" s="21" t="str">
        <f>IF(AND($AM1670&lt;&gt;"",$AS1670="✓"),SUMPRODUCT(($AM$11:$AM1670&lt;&gt;"")*($AS$11:$AS1670="✓")),"")</f>
        <v/>
      </c>
      <c r="BA1670" s="21" t="str">
        <f>IF($AL1670="","",$AL1670&amp;"|"&amp;COUNTIF($AL$11:$AL1670,$AL1670))</f>
        <v/>
      </c>
    </row>
    <row r="1671" spans="38:53" ht="15" customHeight="1" x14ac:dyDescent="0.25">
      <c r="AL1671" s="17"/>
      <c r="AM1671" s="12"/>
      <c r="AN1671" s="18"/>
      <c r="AO1671" s="18"/>
      <c r="AP1671" s="10"/>
      <c r="AQ1671" s="10"/>
      <c r="AR1671" s="19"/>
      <c r="AS1671" s="20"/>
      <c r="AT1671" s="19"/>
      <c r="AV1671" s="21">
        <f>IF(AND($AL1671&lt;&gt;"",COUNTIF($AL$11:$AL1671,$AL1671)=1),1,0)</f>
        <v>0</v>
      </c>
      <c r="AW1671" s="21">
        <f t="shared" si="137"/>
        <v>0</v>
      </c>
      <c r="AX1671" s="21" t="str">
        <f t="shared" si="136"/>
        <v/>
      </c>
      <c r="AY1671" s="21" t="str">
        <f>IF(AND($AM1671&lt;&gt;"",$AS1671&lt;&gt;"✓"),SUMPRODUCT(($AM$11:$AM1671&lt;&gt;"")*($AS$11:$AS1671&lt;&gt;"✓")),"")</f>
        <v/>
      </c>
      <c r="AZ1671" s="21" t="str">
        <f>IF(AND($AM1671&lt;&gt;"",$AS1671="✓"),SUMPRODUCT(($AM$11:$AM1671&lt;&gt;"")*($AS$11:$AS1671="✓")),"")</f>
        <v/>
      </c>
      <c r="BA1671" s="21" t="str">
        <f>IF($AL1671="","",$AL1671&amp;"|"&amp;COUNTIF($AL$11:$AL1671,$AL1671))</f>
        <v/>
      </c>
    </row>
    <row r="1672" spans="38:53" ht="15" customHeight="1" x14ac:dyDescent="0.25">
      <c r="AL1672" s="31"/>
      <c r="AM1672" s="26"/>
      <c r="AN1672" s="32"/>
      <c r="AO1672" s="32"/>
      <c r="AP1672" s="24"/>
      <c r="AQ1672" s="24"/>
      <c r="AR1672" s="33"/>
      <c r="AS1672" s="34"/>
      <c r="AT1672" s="33"/>
      <c r="AV1672" s="21">
        <f>IF(AND($AL1672&lt;&gt;"",COUNTIF($AL$11:$AL1672,$AL1672)=1),1,0)</f>
        <v>0</v>
      </c>
      <c r="AW1672" s="21">
        <f t="shared" si="137"/>
        <v>0</v>
      </c>
      <c r="AX1672" s="21" t="str">
        <f t="shared" si="136"/>
        <v/>
      </c>
      <c r="AY1672" s="21" t="str">
        <f>IF(AND($AM1672&lt;&gt;"",$AS1672&lt;&gt;"✓"),SUMPRODUCT(($AM$11:$AM1672&lt;&gt;"")*($AS$11:$AS1672&lt;&gt;"✓")),"")</f>
        <v/>
      </c>
      <c r="AZ1672" s="21" t="str">
        <f>IF(AND($AM1672&lt;&gt;"",$AS1672="✓"),SUMPRODUCT(($AM$11:$AM1672&lt;&gt;"")*($AS$11:$AS1672="✓")),"")</f>
        <v/>
      </c>
      <c r="BA1672" s="21" t="str">
        <f>IF($AL1672="","",$AL1672&amp;"|"&amp;COUNTIF($AL$11:$AL1672,$AL1672))</f>
        <v/>
      </c>
    </row>
    <row r="1673" spans="38:53" ht="15" customHeight="1" x14ac:dyDescent="0.25">
      <c r="AL1673" s="17"/>
      <c r="AM1673" s="12"/>
      <c r="AN1673" s="18"/>
      <c r="AO1673" s="18"/>
      <c r="AP1673" s="10"/>
      <c r="AQ1673" s="10"/>
      <c r="AR1673" s="19"/>
      <c r="AS1673" s="20"/>
      <c r="AT1673" s="19"/>
      <c r="AV1673" s="21">
        <f>IF(AND($AL1673&lt;&gt;"",COUNTIF($AL$11:$AL1673,$AL1673)=1),1,0)</f>
        <v>0</v>
      </c>
      <c r="AW1673" s="21">
        <f t="shared" si="137"/>
        <v>0</v>
      </c>
      <c r="AX1673" s="21" t="str">
        <f t="shared" si="136"/>
        <v/>
      </c>
      <c r="AY1673" s="21" t="str">
        <f>IF(AND($AM1673&lt;&gt;"",$AS1673&lt;&gt;"✓"),SUMPRODUCT(($AM$11:$AM1673&lt;&gt;"")*($AS$11:$AS1673&lt;&gt;"✓")),"")</f>
        <v/>
      </c>
      <c r="AZ1673" s="21" t="str">
        <f>IF(AND($AM1673&lt;&gt;"",$AS1673="✓"),SUMPRODUCT(($AM$11:$AM1673&lt;&gt;"")*($AS$11:$AS1673="✓")),"")</f>
        <v/>
      </c>
      <c r="BA1673" s="21" t="str">
        <f>IF($AL1673="","",$AL1673&amp;"|"&amp;COUNTIF($AL$11:$AL1673,$AL1673))</f>
        <v/>
      </c>
    </row>
    <row r="1674" spans="38:53" ht="15" customHeight="1" x14ac:dyDescent="0.25">
      <c r="AL1674" s="31"/>
      <c r="AM1674" s="26"/>
      <c r="AN1674" s="32"/>
      <c r="AO1674" s="32"/>
      <c r="AP1674" s="24"/>
      <c r="AQ1674" s="24"/>
      <c r="AR1674" s="33"/>
      <c r="AS1674" s="34"/>
      <c r="AT1674" s="33"/>
      <c r="AV1674" s="21">
        <f>IF(AND($AL1674&lt;&gt;"",COUNTIF($AL$11:$AL1674,$AL1674)=1),1,0)</f>
        <v>0</v>
      </c>
      <c r="AW1674" s="21">
        <f t="shared" si="137"/>
        <v>0</v>
      </c>
      <c r="AX1674" s="21" t="str">
        <f t="shared" si="136"/>
        <v/>
      </c>
      <c r="AY1674" s="21" t="str">
        <f>IF(AND($AM1674&lt;&gt;"",$AS1674&lt;&gt;"✓"),SUMPRODUCT(($AM$11:$AM1674&lt;&gt;"")*($AS$11:$AS1674&lt;&gt;"✓")),"")</f>
        <v/>
      </c>
      <c r="AZ1674" s="21" t="str">
        <f>IF(AND($AM1674&lt;&gt;"",$AS1674="✓"),SUMPRODUCT(($AM$11:$AM1674&lt;&gt;"")*($AS$11:$AS1674="✓")),"")</f>
        <v/>
      </c>
      <c r="BA1674" s="21" t="str">
        <f>IF($AL1674="","",$AL1674&amp;"|"&amp;COUNTIF($AL$11:$AL1674,$AL1674))</f>
        <v/>
      </c>
    </row>
    <row r="1675" spans="38:53" ht="15" customHeight="1" x14ac:dyDescent="0.25">
      <c r="AL1675" s="17"/>
      <c r="AM1675" s="12"/>
      <c r="AN1675" s="18"/>
      <c r="AO1675" s="18"/>
      <c r="AP1675" s="10"/>
      <c r="AQ1675" s="10"/>
      <c r="AR1675" s="19"/>
      <c r="AS1675" s="20"/>
      <c r="AT1675" s="19"/>
      <c r="AV1675" s="21">
        <f>IF(AND($AL1675&lt;&gt;"",COUNTIF($AL$11:$AL1675,$AL1675)=1),1,0)</f>
        <v>0</v>
      </c>
      <c r="AW1675" s="21">
        <f t="shared" si="137"/>
        <v>0</v>
      </c>
      <c r="AX1675" s="21" t="str">
        <f t="shared" ref="AX1675:AX1738" si="138">IF(AV1675=1,AW1675,"")</f>
        <v/>
      </c>
      <c r="AY1675" s="21" t="str">
        <f>IF(AND($AM1675&lt;&gt;"",$AS1675&lt;&gt;"✓"),SUMPRODUCT(($AM$11:$AM1675&lt;&gt;"")*($AS$11:$AS1675&lt;&gt;"✓")),"")</f>
        <v/>
      </c>
      <c r="AZ1675" s="21" t="str">
        <f>IF(AND($AM1675&lt;&gt;"",$AS1675="✓"),SUMPRODUCT(($AM$11:$AM1675&lt;&gt;"")*($AS$11:$AS1675="✓")),"")</f>
        <v/>
      </c>
      <c r="BA1675" s="21" t="str">
        <f>IF($AL1675="","",$AL1675&amp;"|"&amp;COUNTIF($AL$11:$AL1675,$AL1675))</f>
        <v/>
      </c>
    </row>
    <row r="1676" spans="38:53" ht="15" customHeight="1" x14ac:dyDescent="0.25">
      <c r="AL1676" s="31"/>
      <c r="AM1676" s="26"/>
      <c r="AN1676" s="32"/>
      <c r="AO1676" s="32"/>
      <c r="AP1676" s="24"/>
      <c r="AQ1676" s="24"/>
      <c r="AR1676" s="33"/>
      <c r="AS1676" s="34"/>
      <c r="AT1676" s="33"/>
      <c r="AV1676" s="21">
        <f>IF(AND($AL1676&lt;&gt;"",COUNTIF($AL$11:$AL1676,$AL1676)=1),1,0)</f>
        <v>0</v>
      </c>
      <c r="AW1676" s="21">
        <f t="shared" ref="AW1676:AW1739" si="139">AW1675+AV1676</f>
        <v>0</v>
      </c>
      <c r="AX1676" s="21" t="str">
        <f t="shared" si="138"/>
        <v/>
      </c>
      <c r="AY1676" s="21" t="str">
        <f>IF(AND($AM1676&lt;&gt;"",$AS1676&lt;&gt;"✓"),SUMPRODUCT(($AM$11:$AM1676&lt;&gt;"")*($AS$11:$AS1676&lt;&gt;"✓")),"")</f>
        <v/>
      </c>
      <c r="AZ1676" s="21" t="str">
        <f>IF(AND($AM1676&lt;&gt;"",$AS1676="✓"),SUMPRODUCT(($AM$11:$AM1676&lt;&gt;"")*($AS$11:$AS1676="✓")),"")</f>
        <v/>
      </c>
      <c r="BA1676" s="21" t="str">
        <f>IF($AL1676="","",$AL1676&amp;"|"&amp;COUNTIF($AL$11:$AL1676,$AL1676))</f>
        <v/>
      </c>
    </row>
    <row r="1677" spans="38:53" ht="15" customHeight="1" x14ac:dyDescent="0.25">
      <c r="AL1677" s="17"/>
      <c r="AM1677" s="12"/>
      <c r="AN1677" s="18"/>
      <c r="AO1677" s="18"/>
      <c r="AP1677" s="10"/>
      <c r="AQ1677" s="10"/>
      <c r="AR1677" s="19"/>
      <c r="AS1677" s="20"/>
      <c r="AT1677" s="19"/>
      <c r="AV1677" s="21">
        <f>IF(AND($AL1677&lt;&gt;"",COUNTIF($AL$11:$AL1677,$AL1677)=1),1,0)</f>
        <v>0</v>
      </c>
      <c r="AW1677" s="21">
        <f t="shared" si="139"/>
        <v>0</v>
      </c>
      <c r="AX1677" s="21" t="str">
        <f t="shared" si="138"/>
        <v/>
      </c>
      <c r="AY1677" s="21" t="str">
        <f>IF(AND($AM1677&lt;&gt;"",$AS1677&lt;&gt;"✓"),SUMPRODUCT(($AM$11:$AM1677&lt;&gt;"")*($AS$11:$AS1677&lt;&gt;"✓")),"")</f>
        <v/>
      </c>
      <c r="AZ1677" s="21" t="str">
        <f>IF(AND($AM1677&lt;&gt;"",$AS1677="✓"),SUMPRODUCT(($AM$11:$AM1677&lt;&gt;"")*($AS$11:$AS1677="✓")),"")</f>
        <v/>
      </c>
      <c r="BA1677" s="21" t="str">
        <f>IF($AL1677="","",$AL1677&amp;"|"&amp;COUNTIF($AL$11:$AL1677,$AL1677))</f>
        <v/>
      </c>
    </row>
    <row r="1678" spans="38:53" ht="15" customHeight="1" x14ac:dyDescent="0.25">
      <c r="AL1678" s="31"/>
      <c r="AM1678" s="26"/>
      <c r="AN1678" s="32"/>
      <c r="AO1678" s="32"/>
      <c r="AP1678" s="24"/>
      <c r="AQ1678" s="24"/>
      <c r="AR1678" s="33"/>
      <c r="AS1678" s="34"/>
      <c r="AT1678" s="33"/>
      <c r="AV1678" s="21">
        <f>IF(AND($AL1678&lt;&gt;"",COUNTIF($AL$11:$AL1678,$AL1678)=1),1,0)</f>
        <v>0</v>
      </c>
      <c r="AW1678" s="21">
        <f t="shared" si="139"/>
        <v>0</v>
      </c>
      <c r="AX1678" s="21" t="str">
        <f t="shared" si="138"/>
        <v/>
      </c>
      <c r="AY1678" s="21" t="str">
        <f>IF(AND($AM1678&lt;&gt;"",$AS1678&lt;&gt;"✓"),SUMPRODUCT(($AM$11:$AM1678&lt;&gt;"")*($AS$11:$AS1678&lt;&gt;"✓")),"")</f>
        <v/>
      </c>
      <c r="AZ1678" s="21" t="str">
        <f>IF(AND($AM1678&lt;&gt;"",$AS1678="✓"),SUMPRODUCT(($AM$11:$AM1678&lt;&gt;"")*($AS$11:$AS1678="✓")),"")</f>
        <v/>
      </c>
      <c r="BA1678" s="21" t="str">
        <f>IF($AL1678="","",$AL1678&amp;"|"&amp;COUNTIF($AL$11:$AL1678,$AL1678))</f>
        <v/>
      </c>
    </row>
    <row r="1679" spans="38:53" ht="15" customHeight="1" x14ac:dyDescent="0.25">
      <c r="AL1679" s="17"/>
      <c r="AM1679" s="12"/>
      <c r="AN1679" s="18"/>
      <c r="AO1679" s="18"/>
      <c r="AP1679" s="10"/>
      <c r="AQ1679" s="10"/>
      <c r="AR1679" s="19"/>
      <c r="AS1679" s="20"/>
      <c r="AT1679" s="19"/>
      <c r="AV1679" s="21">
        <f>IF(AND($AL1679&lt;&gt;"",COUNTIF($AL$11:$AL1679,$AL1679)=1),1,0)</f>
        <v>0</v>
      </c>
      <c r="AW1679" s="21">
        <f t="shared" si="139"/>
        <v>0</v>
      </c>
      <c r="AX1679" s="21" t="str">
        <f t="shared" si="138"/>
        <v/>
      </c>
      <c r="AY1679" s="21" t="str">
        <f>IF(AND($AM1679&lt;&gt;"",$AS1679&lt;&gt;"✓"),SUMPRODUCT(($AM$11:$AM1679&lt;&gt;"")*($AS$11:$AS1679&lt;&gt;"✓")),"")</f>
        <v/>
      </c>
      <c r="AZ1679" s="21" t="str">
        <f>IF(AND($AM1679&lt;&gt;"",$AS1679="✓"),SUMPRODUCT(($AM$11:$AM1679&lt;&gt;"")*($AS$11:$AS1679="✓")),"")</f>
        <v/>
      </c>
      <c r="BA1679" s="21" t="str">
        <f>IF($AL1679="","",$AL1679&amp;"|"&amp;COUNTIF($AL$11:$AL1679,$AL1679))</f>
        <v/>
      </c>
    </row>
    <row r="1680" spans="38:53" ht="15" customHeight="1" x14ac:dyDescent="0.25">
      <c r="AL1680" s="31"/>
      <c r="AM1680" s="26"/>
      <c r="AN1680" s="32"/>
      <c r="AO1680" s="32"/>
      <c r="AP1680" s="24"/>
      <c r="AQ1680" s="24"/>
      <c r="AR1680" s="33"/>
      <c r="AS1680" s="34"/>
      <c r="AT1680" s="33"/>
      <c r="AV1680" s="21">
        <f>IF(AND($AL1680&lt;&gt;"",COUNTIF($AL$11:$AL1680,$AL1680)=1),1,0)</f>
        <v>0</v>
      </c>
      <c r="AW1680" s="21">
        <f t="shared" si="139"/>
        <v>0</v>
      </c>
      <c r="AX1680" s="21" t="str">
        <f t="shared" si="138"/>
        <v/>
      </c>
      <c r="AY1680" s="21" t="str">
        <f>IF(AND($AM1680&lt;&gt;"",$AS1680&lt;&gt;"✓"),SUMPRODUCT(($AM$11:$AM1680&lt;&gt;"")*($AS$11:$AS1680&lt;&gt;"✓")),"")</f>
        <v/>
      </c>
      <c r="AZ1680" s="21" t="str">
        <f>IF(AND($AM1680&lt;&gt;"",$AS1680="✓"),SUMPRODUCT(($AM$11:$AM1680&lt;&gt;"")*($AS$11:$AS1680="✓")),"")</f>
        <v/>
      </c>
      <c r="BA1680" s="21" t="str">
        <f>IF($AL1680="","",$AL1680&amp;"|"&amp;COUNTIF($AL$11:$AL1680,$AL1680))</f>
        <v/>
      </c>
    </row>
    <row r="1681" spans="38:53" ht="15" customHeight="1" x14ac:dyDescent="0.25">
      <c r="AL1681" s="17"/>
      <c r="AM1681" s="12"/>
      <c r="AN1681" s="18"/>
      <c r="AO1681" s="18"/>
      <c r="AP1681" s="10"/>
      <c r="AQ1681" s="10"/>
      <c r="AR1681" s="19"/>
      <c r="AS1681" s="20"/>
      <c r="AT1681" s="19"/>
      <c r="AV1681" s="21">
        <f>IF(AND($AL1681&lt;&gt;"",COUNTIF($AL$11:$AL1681,$AL1681)=1),1,0)</f>
        <v>0</v>
      </c>
      <c r="AW1681" s="21">
        <f t="shared" si="139"/>
        <v>0</v>
      </c>
      <c r="AX1681" s="21" t="str">
        <f t="shared" si="138"/>
        <v/>
      </c>
      <c r="AY1681" s="21" t="str">
        <f>IF(AND($AM1681&lt;&gt;"",$AS1681&lt;&gt;"✓"),SUMPRODUCT(($AM$11:$AM1681&lt;&gt;"")*($AS$11:$AS1681&lt;&gt;"✓")),"")</f>
        <v/>
      </c>
      <c r="AZ1681" s="21" t="str">
        <f>IF(AND($AM1681&lt;&gt;"",$AS1681="✓"),SUMPRODUCT(($AM$11:$AM1681&lt;&gt;"")*($AS$11:$AS1681="✓")),"")</f>
        <v/>
      </c>
      <c r="BA1681" s="21" t="str">
        <f>IF($AL1681="","",$AL1681&amp;"|"&amp;COUNTIF($AL$11:$AL1681,$AL1681))</f>
        <v/>
      </c>
    </row>
    <row r="1682" spans="38:53" ht="15" customHeight="1" x14ac:dyDescent="0.25">
      <c r="AL1682" s="31"/>
      <c r="AM1682" s="26"/>
      <c r="AN1682" s="32"/>
      <c r="AO1682" s="32"/>
      <c r="AP1682" s="24"/>
      <c r="AQ1682" s="24"/>
      <c r="AR1682" s="33"/>
      <c r="AS1682" s="34"/>
      <c r="AT1682" s="33"/>
      <c r="AV1682" s="21">
        <f>IF(AND($AL1682&lt;&gt;"",COUNTIF($AL$11:$AL1682,$AL1682)=1),1,0)</f>
        <v>0</v>
      </c>
      <c r="AW1682" s="21">
        <f t="shared" si="139"/>
        <v>0</v>
      </c>
      <c r="AX1682" s="21" t="str">
        <f t="shared" si="138"/>
        <v/>
      </c>
      <c r="AY1682" s="21" t="str">
        <f>IF(AND($AM1682&lt;&gt;"",$AS1682&lt;&gt;"✓"),SUMPRODUCT(($AM$11:$AM1682&lt;&gt;"")*($AS$11:$AS1682&lt;&gt;"✓")),"")</f>
        <v/>
      </c>
      <c r="AZ1682" s="21" t="str">
        <f>IF(AND($AM1682&lt;&gt;"",$AS1682="✓"),SUMPRODUCT(($AM$11:$AM1682&lt;&gt;"")*($AS$11:$AS1682="✓")),"")</f>
        <v/>
      </c>
      <c r="BA1682" s="21" t="str">
        <f>IF($AL1682="","",$AL1682&amp;"|"&amp;COUNTIF($AL$11:$AL1682,$AL1682))</f>
        <v/>
      </c>
    </row>
    <row r="1683" spans="38:53" ht="15" customHeight="1" x14ac:dyDescent="0.25">
      <c r="AL1683" s="17"/>
      <c r="AM1683" s="12"/>
      <c r="AN1683" s="18"/>
      <c r="AO1683" s="18"/>
      <c r="AP1683" s="10"/>
      <c r="AQ1683" s="10"/>
      <c r="AR1683" s="19"/>
      <c r="AS1683" s="20"/>
      <c r="AT1683" s="19"/>
      <c r="AV1683" s="21">
        <f>IF(AND($AL1683&lt;&gt;"",COUNTIF($AL$11:$AL1683,$AL1683)=1),1,0)</f>
        <v>0</v>
      </c>
      <c r="AW1683" s="21">
        <f t="shared" si="139"/>
        <v>0</v>
      </c>
      <c r="AX1683" s="21" t="str">
        <f t="shared" si="138"/>
        <v/>
      </c>
      <c r="AY1683" s="21" t="str">
        <f>IF(AND($AM1683&lt;&gt;"",$AS1683&lt;&gt;"✓"),SUMPRODUCT(($AM$11:$AM1683&lt;&gt;"")*($AS$11:$AS1683&lt;&gt;"✓")),"")</f>
        <v/>
      </c>
      <c r="AZ1683" s="21" t="str">
        <f>IF(AND($AM1683&lt;&gt;"",$AS1683="✓"),SUMPRODUCT(($AM$11:$AM1683&lt;&gt;"")*($AS$11:$AS1683="✓")),"")</f>
        <v/>
      </c>
      <c r="BA1683" s="21" t="str">
        <f>IF($AL1683="","",$AL1683&amp;"|"&amp;COUNTIF($AL$11:$AL1683,$AL1683))</f>
        <v/>
      </c>
    </row>
    <row r="1684" spans="38:53" ht="15" customHeight="1" x14ac:dyDescent="0.25">
      <c r="AL1684" s="31"/>
      <c r="AM1684" s="26"/>
      <c r="AN1684" s="32"/>
      <c r="AO1684" s="32"/>
      <c r="AP1684" s="24"/>
      <c r="AQ1684" s="24"/>
      <c r="AR1684" s="33"/>
      <c r="AS1684" s="34"/>
      <c r="AT1684" s="33"/>
      <c r="AV1684" s="21">
        <f>IF(AND($AL1684&lt;&gt;"",COUNTIF($AL$11:$AL1684,$AL1684)=1),1,0)</f>
        <v>0</v>
      </c>
      <c r="AW1684" s="21">
        <f t="shared" si="139"/>
        <v>0</v>
      </c>
      <c r="AX1684" s="21" t="str">
        <f t="shared" si="138"/>
        <v/>
      </c>
      <c r="AY1684" s="21" t="str">
        <f>IF(AND($AM1684&lt;&gt;"",$AS1684&lt;&gt;"✓"),SUMPRODUCT(($AM$11:$AM1684&lt;&gt;"")*($AS$11:$AS1684&lt;&gt;"✓")),"")</f>
        <v/>
      </c>
      <c r="AZ1684" s="21" t="str">
        <f>IF(AND($AM1684&lt;&gt;"",$AS1684="✓"),SUMPRODUCT(($AM$11:$AM1684&lt;&gt;"")*($AS$11:$AS1684="✓")),"")</f>
        <v/>
      </c>
      <c r="BA1684" s="21" t="str">
        <f>IF($AL1684="","",$AL1684&amp;"|"&amp;COUNTIF($AL$11:$AL1684,$AL1684))</f>
        <v/>
      </c>
    </row>
    <row r="1685" spans="38:53" ht="15" customHeight="1" x14ac:dyDescent="0.25">
      <c r="AL1685" s="17"/>
      <c r="AM1685" s="12"/>
      <c r="AN1685" s="18"/>
      <c r="AO1685" s="18"/>
      <c r="AP1685" s="10"/>
      <c r="AQ1685" s="10"/>
      <c r="AR1685" s="19"/>
      <c r="AS1685" s="20"/>
      <c r="AT1685" s="19"/>
      <c r="AV1685" s="21">
        <f>IF(AND($AL1685&lt;&gt;"",COUNTIF($AL$11:$AL1685,$AL1685)=1),1,0)</f>
        <v>0</v>
      </c>
      <c r="AW1685" s="21">
        <f t="shared" si="139"/>
        <v>0</v>
      </c>
      <c r="AX1685" s="21" t="str">
        <f t="shared" si="138"/>
        <v/>
      </c>
      <c r="AY1685" s="21" t="str">
        <f>IF(AND($AM1685&lt;&gt;"",$AS1685&lt;&gt;"✓"),SUMPRODUCT(($AM$11:$AM1685&lt;&gt;"")*($AS$11:$AS1685&lt;&gt;"✓")),"")</f>
        <v/>
      </c>
      <c r="AZ1685" s="21" t="str">
        <f>IF(AND($AM1685&lt;&gt;"",$AS1685="✓"),SUMPRODUCT(($AM$11:$AM1685&lt;&gt;"")*($AS$11:$AS1685="✓")),"")</f>
        <v/>
      </c>
      <c r="BA1685" s="21" t="str">
        <f>IF($AL1685="","",$AL1685&amp;"|"&amp;COUNTIF($AL$11:$AL1685,$AL1685))</f>
        <v/>
      </c>
    </row>
    <row r="1686" spans="38:53" ht="15" customHeight="1" x14ac:dyDescent="0.25">
      <c r="AL1686" s="31"/>
      <c r="AM1686" s="26"/>
      <c r="AN1686" s="32"/>
      <c r="AO1686" s="32"/>
      <c r="AP1686" s="24"/>
      <c r="AQ1686" s="24"/>
      <c r="AR1686" s="33"/>
      <c r="AS1686" s="34"/>
      <c r="AT1686" s="33"/>
      <c r="AV1686" s="21">
        <f>IF(AND($AL1686&lt;&gt;"",COUNTIF($AL$11:$AL1686,$AL1686)=1),1,0)</f>
        <v>0</v>
      </c>
      <c r="AW1686" s="21">
        <f t="shared" si="139"/>
        <v>0</v>
      </c>
      <c r="AX1686" s="21" t="str">
        <f t="shared" si="138"/>
        <v/>
      </c>
      <c r="AY1686" s="21" t="str">
        <f>IF(AND($AM1686&lt;&gt;"",$AS1686&lt;&gt;"✓"),SUMPRODUCT(($AM$11:$AM1686&lt;&gt;"")*($AS$11:$AS1686&lt;&gt;"✓")),"")</f>
        <v/>
      </c>
      <c r="AZ1686" s="21" t="str">
        <f>IF(AND($AM1686&lt;&gt;"",$AS1686="✓"),SUMPRODUCT(($AM$11:$AM1686&lt;&gt;"")*($AS$11:$AS1686="✓")),"")</f>
        <v/>
      </c>
      <c r="BA1686" s="21" t="str">
        <f>IF($AL1686="","",$AL1686&amp;"|"&amp;COUNTIF($AL$11:$AL1686,$AL1686))</f>
        <v/>
      </c>
    </row>
    <row r="1687" spans="38:53" ht="15" customHeight="1" x14ac:dyDescent="0.25">
      <c r="AL1687" s="17"/>
      <c r="AM1687" s="12"/>
      <c r="AN1687" s="18"/>
      <c r="AO1687" s="18"/>
      <c r="AP1687" s="10"/>
      <c r="AQ1687" s="10"/>
      <c r="AR1687" s="19"/>
      <c r="AS1687" s="20"/>
      <c r="AT1687" s="19"/>
      <c r="AV1687" s="21">
        <f>IF(AND($AL1687&lt;&gt;"",COUNTIF($AL$11:$AL1687,$AL1687)=1),1,0)</f>
        <v>0</v>
      </c>
      <c r="AW1687" s="21">
        <f t="shared" si="139"/>
        <v>0</v>
      </c>
      <c r="AX1687" s="21" t="str">
        <f t="shared" si="138"/>
        <v/>
      </c>
      <c r="AY1687" s="21" t="str">
        <f>IF(AND($AM1687&lt;&gt;"",$AS1687&lt;&gt;"✓"),SUMPRODUCT(($AM$11:$AM1687&lt;&gt;"")*($AS$11:$AS1687&lt;&gt;"✓")),"")</f>
        <v/>
      </c>
      <c r="AZ1687" s="21" t="str">
        <f>IF(AND($AM1687&lt;&gt;"",$AS1687="✓"),SUMPRODUCT(($AM$11:$AM1687&lt;&gt;"")*($AS$11:$AS1687="✓")),"")</f>
        <v/>
      </c>
      <c r="BA1687" s="21" t="str">
        <f>IF($AL1687="","",$AL1687&amp;"|"&amp;COUNTIF($AL$11:$AL1687,$AL1687))</f>
        <v/>
      </c>
    </row>
    <row r="1688" spans="38:53" ht="15" customHeight="1" x14ac:dyDescent="0.25">
      <c r="AL1688" s="31"/>
      <c r="AM1688" s="26"/>
      <c r="AN1688" s="32"/>
      <c r="AO1688" s="32"/>
      <c r="AP1688" s="24"/>
      <c r="AQ1688" s="24"/>
      <c r="AR1688" s="33"/>
      <c r="AS1688" s="34"/>
      <c r="AT1688" s="33"/>
      <c r="AV1688" s="21">
        <f>IF(AND($AL1688&lt;&gt;"",COUNTIF($AL$11:$AL1688,$AL1688)=1),1,0)</f>
        <v>0</v>
      </c>
      <c r="AW1688" s="21">
        <f t="shared" si="139"/>
        <v>0</v>
      </c>
      <c r="AX1688" s="21" t="str">
        <f t="shared" si="138"/>
        <v/>
      </c>
      <c r="AY1688" s="21" t="str">
        <f>IF(AND($AM1688&lt;&gt;"",$AS1688&lt;&gt;"✓"),SUMPRODUCT(($AM$11:$AM1688&lt;&gt;"")*($AS$11:$AS1688&lt;&gt;"✓")),"")</f>
        <v/>
      </c>
      <c r="AZ1688" s="21" t="str">
        <f>IF(AND($AM1688&lt;&gt;"",$AS1688="✓"),SUMPRODUCT(($AM$11:$AM1688&lt;&gt;"")*($AS$11:$AS1688="✓")),"")</f>
        <v/>
      </c>
      <c r="BA1688" s="21" t="str">
        <f>IF($AL1688="","",$AL1688&amp;"|"&amp;COUNTIF($AL$11:$AL1688,$AL1688))</f>
        <v/>
      </c>
    </row>
    <row r="1689" spans="38:53" ht="15" customHeight="1" x14ac:dyDescent="0.25">
      <c r="AL1689" s="17"/>
      <c r="AM1689" s="12"/>
      <c r="AN1689" s="18"/>
      <c r="AO1689" s="18"/>
      <c r="AP1689" s="10"/>
      <c r="AQ1689" s="10"/>
      <c r="AR1689" s="19"/>
      <c r="AS1689" s="20"/>
      <c r="AT1689" s="19"/>
      <c r="AV1689" s="21">
        <f>IF(AND($AL1689&lt;&gt;"",COUNTIF($AL$11:$AL1689,$AL1689)=1),1,0)</f>
        <v>0</v>
      </c>
      <c r="AW1689" s="21">
        <f t="shared" si="139"/>
        <v>0</v>
      </c>
      <c r="AX1689" s="21" t="str">
        <f t="shared" si="138"/>
        <v/>
      </c>
      <c r="AY1689" s="21" t="str">
        <f>IF(AND($AM1689&lt;&gt;"",$AS1689&lt;&gt;"✓"),SUMPRODUCT(($AM$11:$AM1689&lt;&gt;"")*($AS$11:$AS1689&lt;&gt;"✓")),"")</f>
        <v/>
      </c>
      <c r="AZ1689" s="21" t="str">
        <f>IF(AND($AM1689&lt;&gt;"",$AS1689="✓"),SUMPRODUCT(($AM$11:$AM1689&lt;&gt;"")*($AS$11:$AS1689="✓")),"")</f>
        <v/>
      </c>
      <c r="BA1689" s="21" t="str">
        <f>IF($AL1689="","",$AL1689&amp;"|"&amp;COUNTIF($AL$11:$AL1689,$AL1689))</f>
        <v/>
      </c>
    </row>
    <row r="1690" spans="38:53" ht="15" customHeight="1" x14ac:dyDescent="0.25">
      <c r="AL1690" s="31"/>
      <c r="AM1690" s="26"/>
      <c r="AN1690" s="32"/>
      <c r="AO1690" s="32"/>
      <c r="AP1690" s="24"/>
      <c r="AQ1690" s="24"/>
      <c r="AR1690" s="33"/>
      <c r="AS1690" s="34"/>
      <c r="AT1690" s="33"/>
      <c r="AV1690" s="21">
        <f>IF(AND($AL1690&lt;&gt;"",COUNTIF($AL$11:$AL1690,$AL1690)=1),1,0)</f>
        <v>0</v>
      </c>
      <c r="AW1690" s="21">
        <f t="shared" si="139"/>
        <v>0</v>
      </c>
      <c r="AX1690" s="21" t="str">
        <f t="shared" si="138"/>
        <v/>
      </c>
      <c r="AY1690" s="21" t="str">
        <f>IF(AND($AM1690&lt;&gt;"",$AS1690&lt;&gt;"✓"),SUMPRODUCT(($AM$11:$AM1690&lt;&gt;"")*($AS$11:$AS1690&lt;&gt;"✓")),"")</f>
        <v/>
      </c>
      <c r="AZ1690" s="21" t="str">
        <f>IF(AND($AM1690&lt;&gt;"",$AS1690="✓"),SUMPRODUCT(($AM$11:$AM1690&lt;&gt;"")*($AS$11:$AS1690="✓")),"")</f>
        <v/>
      </c>
      <c r="BA1690" s="21" t="str">
        <f>IF($AL1690="","",$AL1690&amp;"|"&amp;COUNTIF($AL$11:$AL1690,$AL1690))</f>
        <v/>
      </c>
    </row>
    <row r="1691" spans="38:53" ht="15" customHeight="1" x14ac:dyDescent="0.25">
      <c r="AL1691" s="17"/>
      <c r="AM1691" s="12"/>
      <c r="AN1691" s="18"/>
      <c r="AO1691" s="18"/>
      <c r="AP1691" s="10"/>
      <c r="AQ1691" s="10"/>
      <c r="AR1691" s="19"/>
      <c r="AS1691" s="20"/>
      <c r="AT1691" s="19"/>
      <c r="AV1691" s="21">
        <f>IF(AND($AL1691&lt;&gt;"",COUNTIF($AL$11:$AL1691,$AL1691)=1),1,0)</f>
        <v>0</v>
      </c>
      <c r="AW1691" s="21">
        <f t="shared" si="139"/>
        <v>0</v>
      </c>
      <c r="AX1691" s="21" t="str">
        <f t="shared" si="138"/>
        <v/>
      </c>
      <c r="AY1691" s="21" t="str">
        <f>IF(AND($AM1691&lt;&gt;"",$AS1691&lt;&gt;"✓"),SUMPRODUCT(($AM$11:$AM1691&lt;&gt;"")*($AS$11:$AS1691&lt;&gt;"✓")),"")</f>
        <v/>
      </c>
      <c r="AZ1691" s="21" t="str">
        <f>IF(AND($AM1691&lt;&gt;"",$AS1691="✓"),SUMPRODUCT(($AM$11:$AM1691&lt;&gt;"")*($AS$11:$AS1691="✓")),"")</f>
        <v/>
      </c>
      <c r="BA1691" s="21" t="str">
        <f>IF($AL1691="","",$AL1691&amp;"|"&amp;COUNTIF($AL$11:$AL1691,$AL1691))</f>
        <v/>
      </c>
    </row>
    <row r="1692" spans="38:53" ht="15" customHeight="1" x14ac:dyDescent="0.25">
      <c r="AL1692" s="31"/>
      <c r="AM1692" s="26"/>
      <c r="AN1692" s="32"/>
      <c r="AO1692" s="32"/>
      <c r="AP1692" s="24"/>
      <c r="AQ1692" s="24"/>
      <c r="AR1692" s="33"/>
      <c r="AS1692" s="34"/>
      <c r="AT1692" s="33"/>
      <c r="AV1692" s="21">
        <f>IF(AND($AL1692&lt;&gt;"",COUNTIF($AL$11:$AL1692,$AL1692)=1),1,0)</f>
        <v>0</v>
      </c>
      <c r="AW1692" s="21">
        <f t="shared" si="139"/>
        <v>0</v>
      </c>
      <c r="AX1692" s="21" t="str">
        <f t="shared" si="138"/>
        <v/>
      </c>
      <c r="AY1692" s="21" t="str">
        <f>IF(AND($AM1692&lt;&gt;"",$AS1692&lt;&gt;"✓"),SUMPRODUCT(($AM$11:$AM1692&lt;&gt;"")*($AS$11:$AS1692&lt;&gt;"✓")),"")</f>
        <v/>
      </c>
      <c r="AZ1692" s="21" t="str">
        <f>IF(AND($AM1692&lt;&gt;"",$AS1692="✓"),SUMPRODUCT(($AM$11:$AM1692&lt;&gt;"")*($AS$11:$AS1692="✓")),"")</f>
        <v/>
      </c>
      <c r="BA1692" s="21" t="str">
        <f>IF($AL1692="","",$AL1692&amp;"|"&amp;COUNTIF($AL$11:$AL1692,$AL1692))</f>
        <v/>
      </c>
    </row>
    <row r="1693" spans="38:53" ht="15" customHeight="1" x14ac:dyDescent="0.25">
      <c r="AL1693" s="17"/>
      <c r="AM1693" s="12"/>
      <c r="AN1693" s="18"/>
      <c r="AO1693" s="18"/>
      <c r="AP1693" s="10"/>
      <c r="AQ1693" s="10"/>
      <c r="AR1693" s="19"/>
      <c r="AS1693" s="20"/>
      <c r="AT1693" s="19"/>
      <c r="AV1693" s="21">
        <f>IF(AND($AL1693&lt;&gt;"",COUNTIF($AL$11:$AL1693,$AL1693)=1),1,0)</f>
        <v>0</v>
      </c>
      <c r="AW1693" s="21">
        <f t="shared" si="139"/>
        <v>0</v>
      </c>
      <c r="AX1693" s="21" t="str">
        <f t="shared" si="138"/>
        <v/>
      </c>
      <c r="AY1693" s="21" t="str">
        <f>IF(AND($AM1693&lt;&gt;"",$AS1693&lt;&gt;"✓"),SUMPRODUCT(($AM$11:$AM1693&lt;&gt;"")*($AS$11:$AS1693&lt;&gt;"✓")),"")</f>
        <v/>
      </c>
      <c r="AZ1693" s="21" t="str">
        <f>IF(AND($AM1693&lt;&gt;"",$AS1693="✓"),SUMPRODUCT(($AM$11:$AM1693&lt;&gt;"")*($AS$11:$AS1693="✓")),"")</f>
        <v/>
      </c>
      <c r="BA1693" s="21" t="str">
        <f>IF($AL1693="","",$AL1693&amp;"|"&amp;COUNTIF($AL$11:$AL1693,$AL1693))</f>
        <v/>
      </c>
    </row>
    <row r="1694" spans="38:53" ht="15" customHeight="1" x14ac:dyDescent="0.25">
      <c r="AL1694" s="31"/>
      <c r="AM1694" s="26"/>
      <c r="AN1694" s="32"/>
      <c r="AO1694" s="32"/>
      <c r="AP1694" s="24"/>
      <c r="AQ1694" s="24"/>
      <c r="AR1694" s="33"/>
      <c r="AS1694" s="34"/>
      <c r="AT1694" s="33"/>
      <c r="AV1694" s="21">
        <f>IF(AND($AL1694&lt;&gt;"",COUNTIF($AL$11:$AL1694,$AL1694)=1),1,0)</f>
        <v>0</v>
      </c>
      <c r="AW1694" s="21">
        <f t="shared" si="139"/>
        <v>0</v>
      </c>
      <c r="AX1694" s="21" t="str">
        <f t="shared" si="138"/>
        <v/>
      </c>
      <c r="AY1694" s="21" t="str">
        <f>IF(AND($AM1694&lt;&gt;"",$AS1694&lt;&gt;"✓"),SUMPRODUCT(($AM$11:$AM1694&lt;&gt;"")*($AS$11:$AS1694&lt;&gt;"✓")),"")</f>
        <v/>
      </c>
      <c r="AZ1694" s="21" t="str">
        <f>IF(AND($AM1694&lt;&gt;"",$AS1694="✓"),SUMPRODUCT(($AM$11:$AM1694&lt;&gt;"")*($AS$11:$AS1694="✓")),"")</f>
        <v/>
      </c>
      <c r="BA1694" s="21" t="str">
        <f>IF($AL1694="","",$AL1694&amp;"|"&amp;COUNTIF($AL$11:$AL1694,$AL1694))</f>
        <v/>
      </c>
    </row>
    <row r="1695" spans="38:53" ht="15" customHeight="1" x14ac:dyDescent="0.25">
      <c r="AL1695" s="17"/>
      <c r="AM1695" s="12"/>
      <c r="AN1695" s="18"/>
      <c r="AO1695" s="18"/>
      <c r="AP1695" s="10"/>
      <c r="AQ1695" s="10"/>
      <c r="AR1695" s="19"/>
      <c r="AS1695" s="20"/>
      <c r="AT1695" s="19"/>
      <c r="AV1695" s="21">
        <f>IF(AND($AL1695&lt;&gt;"",COUNTIF($AL$11:$AL1695,$AL1695)=1),1,0)</f>
        <v>0</v>
      </c>
      <c r="AW1695" s="21">
        <f t="shared" si="139"/>
        <v>0</v>
      </c>
      <c r="AX1695" s="21" t="str">
        <f t="shared" si="138"/>
        <v/>
      </c>
      <c r="AY1695" s="21" t="str">
        <f>IF(AND($AM1695&lt;&gt;"",$AS1695&lt;&gt;"✓"),SUMPRODUCT(($AM$11:$AM1695&lt;&gt;"")*($AS$11:$AS1695&lt;&gt;"✓")),"")</f>
        <v/>
      </c>
      <c r="AZ1695" s="21" t="str">
        <f>IF(AND($AM1695&lt;&gt;"",$AS1695="✓"),SUMPRODUCT(($AM$11:$AM1695&lt;&gt;"")*($AS$11:$AS1695="✓")),"")</f>
        <v/>
      </c>
      <c r="BA1695" s="21" t="str">
        <f>IF($AL1695="","",$AL1695&amp;"|"&amp;COUNTIF($AL$11:$AL1695,$AL1695))</f>
        <v/>
      </c>
    </row>
    <row r="1696" spans="38:53" ht="15" customHeight="1" x14ac:dyDescent="0.25">
      <c r="AL1696" s="31"/>
      <c r="AM1696" s="26"/>
      <c r="AN1696" s="32"/>
      <c r="AO1696" s="32"/>
      <c r="AP1696" s="24"/>
      <c r="AQ1696" s="24"/>
      <c r="AR1696" s="33"/>
      <c r="AS1696" s="34"/>
      <c r="AT1696" s="33"/>
      <c r="AV1696" s="21">
        <f>IF(AND($AL1696&lt;&gt;"",COUNTIF($AL$11:$AL1696,$AL1696)=1),1,0)</f>
        <v>0</v>
      </c>
      <c r="AW1696" s="21">
        <f t="shared" si="139"/>
        <v>0</v>
      </c>
      <c r="AX1696" s="21" t="str">
        <f t="shared" si="138"/>
        <v/>
      </c>
      <c r="AY1696" s="21" t="str">
        <f>IF(AND($AM1696&lt;&gt;"",$AS1696&lt;&gt;"✓"),SUMPRODUCT(($AM$11:$AM1696&lt;&gt;"")*($AS$11:$AS1696&lt;&gt;"✓")),"")</f>
        <v/>
      </c>
      <c r="AZ1696" s="21" t="str">
        <f>IF(AND($AM1696&lt;&gt;"",$AS1696="✓"),SUMPRODUCT(($AM$11:$AM1696&lt;&gt;"")*($AS$11:$AS1696="✓")),"")</f>
        <v/>
      </c>
      <c r="BA1696" s="21" t="str">
        <f>IF($AL1696="","",$AL1696&amp;"|"&amp;COUNTIF($AL$11:$AL1696,$AL1696))</f>
        <v/>
      </c>
    </row>
    <row r="1697" spans="38:53" ht="15" customHeight="1" x14ac:dyDescent="0.25">
      <c r="AL1697" s="17"/>
      <c r="AM1697" s="12"/>
      <c r="AN1697" s="18"/>
      <c r="AO1697" s="18"/>
      <c r="AP1697" s="10"/>
      <c r="AQ1697" s="10"/>
      <c r="AR1697" s="19"/>
      <c r="AS1697" s="20"/>
      <c r="AT1697" s="19"/>
      <c r="AV1697" s="21">
        <f>IF(AND($AL1697&lt;&gt;"",COUNTIF($AL$11:$AL1697,$AL1697)=1),1,0)</f>
        <v>0</v>
      </c>
      <c r="AW1697" s="21">
        <f t="shared" si="139"/>
        <v>0</v>
      </c>
      <c r="AX1697" s="21" t="str">
        <f t="shared" si="138"/>
        <v/>
      </c>
      <c r="AY1697" s="21" t="str">
        <f>IF(AND($AM1697&lt;&gt;"",$AS1697&lt;&gt;"✓"),SUMPRODUCT(($AM$11:$AM1697&lt;&gt;"")*($AS$11:$AS1697&lt;&gt;"✓")),"")</f>
        <v/>
      </c>
      <c r="AZ1697" s="21" t="str">
        <f>IF(AND($AM1697&lt;&gt;"",$AS1697="✓"),SUMPRODUCT(($AM$11:$AM1697&lt;&gt;"")*($AS$11:$AS1697="✓")),"")</f>
        <v/>
      </c>
      <c r="BA1697" s="21" t="str">
        <f>IF($AL1697="","",$AL1697&amp;"|"&amp;COUNTIF($AL$11:$AL1697,$AL1697))</f>
        <v/>
      </c>
    </row>
    <row r="1698" spans="38:53" ht="15" customHeight="1" x14ac:dyDescent="0.25">
      <c r="AL1698" s="31"/>
      <c r="AM1698" s="26"/>
      <c r="AN1698" s="32"/>
      <c r="AO1698" s="32"/>
      <c r="AP1698" s="24"/>
      <c r="AQ1698" s="24"/>
      <c r="AR1698" s="33"/>
      <c r="AS1698" s="34"/>
      <c r="AT1698" s="33"/>
      <c r="AV1698" s="21">
        <f>IF(AND($AL1698&lt;&gt;"",COUNTIF($AL$11:$AL1698,$AL1698)=1),1,0)</f>
        <v>0</v>
      </c>
      <c r="AW1698" s="21">
        <f t="shared" si="139"/>
        <v>0</v>
      </c>
      <c r="AX1698" s="21" t="str">
        <f t="shared" si="138"/>
        <v/>
      </c>
      <c r="AY1698" s="21" t="str">
        <f>IF(AND($AM1698&lt;&gt;"",$AS1698&lt;&gt;"✓"),SUMPRODUCT(($AM$11:$AM1698&lt;&gt;"")*($AS$11:$AS1698&lt;&gt;"✓")),"")</f>
        <v/>
      </c>
      <c r="AZ1698" s="21" t="str">
        <f>IF(AND($AM1698&lt;&gt;"",$AS1698="✓"),SUMPRODUCT(($AM$11:$AM1698&lt;&gt;"")*($AS$11:$AS1698="✓")),"")</f>
        <v/>
      </c>
      <c r="BA1698" s="21" t="str">
        <f>IF($AL1698="","",$AL1698&amp;"|"&amp;COUNTIF($AL$11:$AL1698,$AL1698))</f>
        <v/>
      </c>
    </row>
    <row r="1699" spans="38:53" ht="15" customHeight="1" x14ac:dyDescent="0.25">
      <c r="AL1699" s="17"/>
      <c r="AM1699" s="12"/>
      <c r="AN1699" s="18"/>
      <c r="AO1699" s="18"/>
      <c r="AP1699" s="10"/>
      <c r="AQ1699" s="10"/>
      <c r="AR1699" s="19"/>
      <c r="AS1699" s="20"/>
      <c r="AT1699" s="19"/>
      <c r="AV1699" s="21">
        <f>IF(AND($AL1699&lt;&gt;"",COUNTIF($AL$11:$AL1699,$AL1699)=1),1,0)</f>
        <v>0</v>
      </c>
      <c r="AW1699" s="21">
        <f t="shared" si="139"/>
        <v>0</v>
      </c>
      <c r="AX1699" s="21" t="str">
        <f t="shared" si="138"/>
        <v/>
      </c>
      <c r="AY1699" s="21" t="str">
        <f>IF(AND($AM1699&lt;&gt;"",$AS1699&lt;&gt;"✓"),SUMPRODUCT(($AM$11:$AM1699&lt;&gt;"")*($AS$11:$AS1699&lt;&gt;"✓")),"")</f>
        <v/>
      </c>
      <c r="AZ1699" s="21" t="str">
        <f>IF(AND($AM1699&lt;&gt;"",$AS1699="✓"),SUMPRODUCT(($AM$11:$AM1699&lt;&gt;"")*($AS$11:$AS1699="✓")),"")</f>
        <v/>
      </c>
      <c r="BA1699" s="21" t="str">
        <f>IF($AL1699="","",$AL1699&amp;"|"&amp;COUNTIF($AL$11:$AL1699,$AL1699))</f>
        <v/>
      </c>
    </row>
    <row r="1700" spans="38:53" ht="15" customHeight="1" x14ac:dyDescent="0.25">
      <c r="AL1700" s="31"/>
      <c r="AM1700" s="26"/>
      <c r="AN1700" s="32"/>
      <c r="AO1700" s="32"/>
      <c r="AP1700" s="24"/>
      <c r="AQ1700" s="24"/>
      <c r="AR1700" s="33"/>
      <c r="AS1700" s="34"/>
      <c r="AT1700" s="33"/>
      <c r="AV1700" s="21">
        <f>IF(AND($AL1700&lt;&gt;"",COUNTIF($AL$11:$AL1700,$AL1700)=1),1,0)</f>
        <v>0</v>
      </c>
      <c r="AW1700" s="21">
        <f t="shared" si="139"/>
        <v>0</v>
      </c>
      <c r="AX1700" s="21" t="str">
        <f t="shared" si="138"/>
        <v/>
      </c>
      <c r="AY1700" s="21" t="str">
        <f>IF(AND($AM1700&lt;&gt;"",$AS1700&lt;&gt;"✓"),SUMPRODUCT(($AM$11:$AM1700&lt;&gt;"")*($AS$11:$AS1700&lt;&gt;"✓")),"")</f>
        <v/>
      </c>
      <c r="AZ1700" s="21" t="str">
        <f>IF(AND($AM1700&lt;&gt;"",$AS1700="✓"),SUMPRODUCT(($AM$11:$AM1700&lt;&gt;"")*($AS$11:$AS1700="✓")),"")</f>
        <v/>
      </c>
      <c r="BA1700" s="21" t="str">
        <f>IF($AL1700="","",$AL1700&amp;"|"&amp;COUNTIF($AL$11:$AL1700,$AL1700))</f>
        <v/>
      </c>
    </row>
    <row r="1701" spans="38:53" ht="15" customHeight="1" x14ac:dyDescent="0.25">
      <c r="AL1701" s="17"/>
      <c r="AM1701" s="12"/>
      <c r="AN1701" s="18"/>
      <c r="AO1701" s="18"/>
      <c r="AP1701" s="10"/>
      <c r="AQ1701" s="10"/>
      <c r="AR1701" s="19"/>
      <c r="AS1701" s="20"/>
      <c r="AT1701" s="19"/>
      <c r="AV1701" s="21">
        <f>IF(AND($AL1701&lt;&gt;"",COUNTIF($AL$11:$AL1701,$AL1701)=1),1,0)</f>
        <v>0</v>
      </c>
      <c r="AW1701" s="21">
        <f t="shared" si="139"/>
        <v>0</v>
      </c>
      <c r="AX1701" s="21" t="str">
        <f t="shared" si="138"/>
        <v/>
      </c>
      <c r="AY1701" s="21" t="str">
        <f>IF(AND($AM1701&lt;&gt;"",$AS1701&lt;&gt;"✓"),SUMPRODUCT(($AM$11:$AM1701&lt;&gt;"")*($AS$11:$AS1701&lt;&gt;"✓")),"")</f>
        <v/>
      </c>
      <c r="AZ1701" s="21" t="str">
        <f>IF(AND($AM1701&lt;&gt;"",$AS1701="✓"),SUMPRODUCT(($AM$11:$AM1701&lt;&gt;"")*($AS$11:$AS1701="✓")),"")</f>
        <v/>
      </c>
      <c r="BA1701" s="21" t="str">
        <f>IF($AL1701="","",$AL1701&amp;"|"&amp;COUNTIF($AL$11:$AL1701,$AL1701))</f>
        <v/>
      </c>
    </row>
    <row r="1702" spans="38:53" ht="15" customHeight="1" x14ac:dyDescent="0.25">
      <c r="AL1702" s="31"/>
      <c r="AM1702" s="26"/>
      <c r="AN1702" s="32"/>
      <c r="AO1702" s="32"/>
      <c r="AP1702" s="24"/>
      <c r="AQ1702" s="24"/>
      <c r="AR1702" s="33"/>
      <c r="AS1702" s="34"/>
      <c r="AT1702" s="33"/>
      <c r="AV1702" s="21">
        <f>IF(AND($AL1702&lt;&gt;"",COUNTIF($AL$11:$AL1702,$AL1702)=1),1,0)</f>
        <v>0</v>
      </c>
      <c r="AW1702" s="21">
        <f t="shared" si="139"/>
        <v>0</v>
      </c>
      <c r="AX1702" s="21" t="str">
        <f t="shared" si="138"/>
        <v/>
      </c>
      <c r="AY1702" s="21" t="str">
        <f>IF(AND($AM1702&lt;&gt;"",$AS1702&lt;&gt;"✓"),SUMPRODUCT(($AM$11:$AM1702&lt;&gt;"")*($AS$11:$AS1702&lt;&gt;"✓")),"")</f>
        <v/>
      </c>
      <c r="AZ1702" s="21" t="str">
        <f>IF(AND($AM1702&lt;&gt;"",$AS1702="✓"),SUMPRODUCT(($AM$11:$AM1702&lt;&gt;"")*($AS$11:$AS1702="✓")),"")</f>
        <v/>
      </c>
      <c r="BA1702" s="21" t="str">
        <f>IF($AL1702="","",$AL1702&amp;"|"&amp;COUNTIF($AL$11:$AL1702,$AL1702))</f>
        <v/>
      </c>
    </row>
    <row r="1703" spans="38:53" ht="15" customHeight="1" x14ac:dyDescent="0.25">
      <c r="AL1703" s="17"/>
      <c r="AM1703" s="12"/>
      <c r="AN1703" s="18"/>
      <c r="AO1703" s="18"/>
      <c r="AP1703" s="10"/>
      <c r="AQ1703" s="10"/>
      <c r="AR1703" s="19"/>
      <c r="AS1703" s="20"/>
      <c r="AT1703" s="19"/>
      <c r="AV1703" s="21">
        <f>IF(AND($AL1703&lt;&gt;"",COUNTIF($AL$11:$AL1703,$AL1703)=1),1,0)</f>
        <v>0</v>
      </c>
      <c r="AW1703" s="21">
        <f t="shared" si="139"/>
        <v>0</v>
      </c>
      <c r="AX1703" s="21" t="str">
        <f t="shared" si="138"/>
        <v/>
      </c>
      <c r="AY1703" s="21" t="str">
        <f>IF(AND($AM1703&lt;&gt;"",$AS1703&lt;&gt;"✓"),SUMPRODUCT(($AM$11:$AM1703&lt;&gt;"")*($AS$11:$AS1703&lt;&gt;"✓")),"")</f>
        <v/>
      </c>
      <c r="AZ1703" s="21" t="str">
        <f>IF(AND($AM1703&lt;&gt;"",$AS1703="✓"),SUMPRODUCT(($AM$11:$AM1703&lt;&gt;"")*($AS$11:$AS1703="✓")),"")</f>
        <v/>
      </c>
      <c r="BA1703" s="21" t="str">
        <f>IF($AL1703="","",$AL1703&amp;"|"&amp;COUNTIF($AL$11:$AL1703,$AL1703))</f>
        <v/>
      </c>
    </row>
    <row r="1704" spans="38:53" ht="15" customHeight="1" x14ac:dyDescent="0.25">
      <c r="AL1704" s="31"/>
      <c r="AM1704" s="26"/>
      <c r="AN1704" s="32"/>
      <c r="AO1704" s="32"/>
      <c r="AP1704" s="24"/>
      <c r="AQ1704" s="24"/>
      <c r="AR1704" s="33"/>
      <c r="AS1704" s="34"/>
      <c r="AT1704" s="33"/>
      <c r="AV1704" s="21">
        <f>IF(AND($AL1704&lt;&gt;"",COUNTIF($AL$11:$AL1704,$AL1704)=1),1,0)</f>
        <v>0</v>
      </c>
      <c r="AW1704" s="21">
        <f t="shared" si="139"/>
        <v>0</v>
      </c>
      <c r="AX1704" s="21" t="str">
        <f t="shared" si="138"/>
        <v/>
      </c>
      <c r="AY1704" s="21" t="str">
        <f>IF(AND($AM1704&lt;&gt;"",$AS1704&lt;&gt;"✓"),SUMPRODUCT(($AM$11:$AM1704&lt;&gt;"")*($AS$11:$AS1704&lt;&gt;"✓")),"")</f>
        <v/>
      </c>
      <c r="AZ1704" s="21" t="str">
        <f>IF(AND($AM1704&lt;&gt;"",$AS1704="✓"),SUMPRODUCT(($AM$11:$AM1704&lt;&gt;"")*($AS$11:$AS1704="✓")),"")</f>
        <v/>
      </c>
      <c r="BA1704" s="21" t="str">
        <f>IF($AL1704="","",$AL1704&amp;"|"&amp;COUNTIF($AL$11:$AL1704,$AL1704))</f>
        <v/>
      </c>
    </row>
    <row r="1705" spans="38:53" ht="15" customHeight="1" x14ac:dyDescent="0.25">
      <c r="AL1705" s="17"/>
      <c r="AM1705" s="12"/>
      <c r="AN1705" s="18"/>
      <c r="AO1705" s="18"/>
      <c r="AP1705" s="10"/>
      <c r="AQ1705" s="10"/>
      <c r="AR1705" s="19"/>
      <c r="AS1705" s="20"/>
      <c r="AT1705" s="19"/>
      <c r="AV1705" s="21">
        <f>IF(AND($AL1705&lt;&gt;"",COUNTIF($AL$11:$AL1705,$AL1705)=1),1,0)</f>
        <v>0</v>
      </c>
      <c r="AW1705" s="21">
        <f t="shared" si="139"/>
        <v>0</v>
      </c>
      <c r="AX1705" s="21" t="str">
        <f t="shared" si="138"/>
        <v/>
      </c>
      <c r="AY1705" s="21" t="str">
        <f>IF(AND($AM1705&lt;&gt;"",$AS1705&lt;&gt;"✓"),SUMPRODUCT(($AM$11:$AM1705&lt;&gt;"")*($AS$11:$AS1705&lt;&gt;"✓")),"")</f>
        <v/>
      </c>
      <c r="AZ1705" s="21" t="str">
        <f>IF(AND($AM1705&lt;&gt;"",$AS1705="✓"),SUMPRODUCT(($AM$11:$AM1705&lt;&gt;"")*($AS$11:$AS1705="✓")),"")</f>
        <v/>
      </c>
      <c r="BA1705" s="21" t="str">
        <f>IF($AL1705="","",$AL1705&amp;"|"&amp;COUNTIF($AL$11:$AL1705,$AL1705))</f>
        <v/>
      </c>
    </row>
    <row r="1706" spans="38:53" ht="15" customHeight="1" x14ac:dyDescent="0.25">
      <c r="AL1706" s="31"/>
      <c r="AM1706" s="26"/>
      <c r="AN1706" s="32"/>
      <c r="AO1706" s="32"/>
      <c r="AP1706" s="24"/>
      <c r="AQ1706" s="24"/>
      <c r="AR1706" s="33"/>
      <c r="AS1706" s="34"/>
      <c r="AT1706" s="33"/>
      <c r="AV1706" s="21">
        <f>IF(AND($AL1706&lt;&gt;"",COUNTIF($AL$11:$AL1706,$AL1706)=1),1,0)</f>
        <v>0</v>
      </c>
      <c r="AW1706" s="21">
        <f t="shared" si="139"/>
        <v>0</v>
      </c>
      <c r="AX1706" s="21" t="str">
        <f t="shared" si="138"/>
        <v/>
      </c>
      <c r="AY1706" s="21" t="str">
        <f>IF(AND($AM1706&lt;&gt;"",$AS1706&lt;&gt;"✓"),SUMPRODUCT(($AM$11:$AM1706&lt;&gt;"")*($AS$11:$AS1706&lt;&gt;"✓")),"")</f>
        <v/>
      </c>
      <c r="AZ1706" s="21" t="str">
        <f>IF(AND($AM1706&lt;&gt;"",$AS1706="✓"),SUMPRODUCT(($AM$11:$AM1706&lt;&gt;"")*($AS$11:$AS1706="✓")),"")</f>
        <v/>
      </c>
      <c r="BA1706" s="21" t="str">
        <f>IF($AL1706="","",$AL1706&amp;"|"&amp;COUNTIF($AL$11:$AL1706,$AL1706))</f>
        <v/>
      </c>
    </row>
    <row r="1707" spans="38:53" ht="15" customHeight="1" x14ac:dyDescent="0.25">
      <c r="AL1707" s="17"/>
      <c r="AM1707" s="12"/>
      <c r="AN1707" s="18"/>
      <c r="AO1707" s="18"/>
      <c r="AP1707" s="10"/>
      <c r="AQ1707" s="10"/>
      <c r="AR1707" s="19"/>
      <c r="AS1707" s="20"/>
      <c r="AT1707" s="19"/>
      <c r="AV1707" s="21">
        <f>IF(AND($AL1707&lt;&gt;"",COUNTIF($AL$11:$AL1707,$AL1707)=1),1,0)</f>
        <v>0</v>
      </c>
      <c r="AW1707" s="21">
        <f t="shared" si="139"/>
        <v>0</v>
      </c>
      <c r="AX1707" s="21" t="str">
        <f t="shared" si="138"/>
        <v/>
      </c>
      <c r="AY1707" s="21" t="str">
        <f>IF(AND($AM1707&lt;&gt;"",$AS1707&lt;&gt;"✓"),SUMPRODUCT(($AM$11:$AM1707&lt;&gt;"")*($AS$11:$AS1707&lt;&gt;"✓")),"")</f>
        <v/>
      </c>
      <c r="AZ1707" s="21" t="str">
        <f>IF(AND($AM1707&lt;&gt;"",$AS1707="✓"),SUMPRODUCT(($AM$11:$AM1707&lt;&gt;"")*($AS$11:$AS1707="✓")),"")</f>
        <v/>
      </c>
      <c r="BA1707" s="21" t="str">
        <f>IF($AL1707="","",$AL1707&amp;"|"&amp;COUNTIF($AL$11:$AL1707,$AL1707))</f>
        <v/>
      </c>
    </row>
    <row r="1708" spans="38:53" ht="15" customHeight="1" x14ac:dyDescent="0.25">
      <c r="AL1708" s="31"/>
      <c r="AM1708" s="26"/>
      <c r="AN1708" s="32"/>
      <c r="AO1708" s="32"/>
      <c r="AP1708" s="24"/>
      <c r="AQ1708" s="24"/>
      <c r="AR1708" s="33"/>
      <c r="AS1708" s="34"/>
      <c r="AT1708" s="33"/>
      <c r="AV1708" s="21">
        <f>IF(AND($AL1708&lt;&gt;"",COUNTIF($AL$11:$AL1708,$AL1708)=1),1,0)</f>
        <v>0</v>
      </c>
      <c r="AW1708" s="21">
        <f t="shared" si="139"/>
        <v>0</v>
      </c>
      <c r="AX1708" s="21" t="str">
        <f t="shared" si="138"/>
        <v/>
      </c>
      <c r="AY1708" s="21" t="str">
        <f>IF(AND($AM1708&lt;&gt;"",$AS1708&lt;&gt;"✓"),SUMPRODUCT(($AM$11:$AM1708&lt;&gt;"")*($AS$11:$AS1708&lt;&gt;"✓")),"")</f>
        <v/>
      </c>
      <c r="AZ1708" s="21" t="str">
        <f>IF(AND($AM1708&lt;&gt;"",$AS1708="✓"),SUMPRODUCT(($AM$11:$AM1708&lt;&gt;"")*($AS$11:$AS1708="✓")),"")</f>
        <v/>
      </c>
      <c r="BA1708" s="21" t="str">
        <f>IF($AL1708="","",$AL1708&amp;"|"&amp;COUNTIF($AL$11:$AL1708,$AL1708))</f>
        <v/>
      </c>
    </row>
    <row r="1709" spans="38:53" ht="15" customHeight="1" x14ac:dyDescent="0.25">
      <c r="AL1709" s="17"/>
      <c r="AM1709" s="12"/>
      <c r="AN1709" s="18"/>
      <c r="AO1709" s="18"/>
      <c r="AP1709" s="10"/>
      <c r="AQ1709" s="10"/>
      <c r="AR1709" s="19"/>
      <c r="AS1709" s="20"/>
      <c r="AT1709" s="19"/>
      <c r="AV1709" s="21">
        <f>IF(AND($AL1709&lt;&gt;"",COUNTIF($AL$11:$AL1709,$AL1709)=1),1,0)</f>
        <v>0</v>
      </c>
      <c r="AW1709" s="21">
        <f t="shared" si="139"/>
        <v>0</v>
      </c>
      <c r="AX1709" s="21" t="str">
        <f t="shared" si="138"/>
        <v/>
      </c>
      <c r="AY1709" s="21" t="str">
        <f>IF(AND($AM1709&lt;&gt;"",$AS1709&lt;&gt;"✓"),SUMPRODUCT(($AM$11:$AM1709&lt;&gt;"")*($AS$11:$AS1709&lt;&gt;"✓")),"")</f>
        <v/>
      </c>
      <c r="AZ1709" s="21" t="str">
        <f>IF(AND($AM1709&lt;&gt;"",$AS1709="✓"),SUMPRODUCT(($AM$11:$AM1709&lt;&gt;"")*($AS$11:$AS1709="✓")),"")</f>
        <v/>
      </c>
      <c r="BA1709" s="21" t="str">
        <f>IF($AL1709="","",$AL1709&amp;"|"&amp;COUNTIF($AL$11:$AL1709,$AL1709))</f>
        <v/>
      </c>
    </row>
    <row r="1710" spans="38:53" ht="15" customHeight="1" x14ac:dyDescent="0.25">
      <c r="AL1710" s="31"/>
      <c r="AM1710" s="26"/>
      <c r="AN1710" s="32"/>
      <c r="AO1710" s="32"/>
      <c r="AP1710" s="24"/>
      <c r="AQ1710" s="24"/>
      <c r="AR1710" s="33"/>
      <c r="AS1710" s="34"/>
      <c r="AT1710" s="33"/>
      <c r="AV1710" s="21">
        <f>IF(AND($AL1710&lt;&gt;"",COUNTIF($AL$11:$AL1710,$AL1710)=1),1,0)</f>
        <v>0</v>
      </c>
      <c r="AW1710" s="21">
        <f t="shared" si="139"/>
        <v>0</v>
      </c>
      <c r="AX1710" s="21" t="str">
        <f t="shared" si="138"/>
        <v/>
      </c>
      <c r="AY1710" s="21" t="str">
        <f>IF(AND($AM1710&lt;&gt;"",$AS1710&lt;&gt;"✓"),SUMPRODUCT(($AM$11:$AM1710&lt;&gt;"")*($AS$11:$AS1710&lt;&gt;"✓")),"")</f>
        <v/>
      </c>
      <c r="AZ1710" s="21" t="str">
        <f>IF(AND($AM1710&lt;&gt;"",$AS1710="✓"),SUMPRODUCT(($AM$11:$AM1710&lt;&gt;"")*($AS$11:$AS1710="✓")),"")</f>
        <v/>
      </c>
      <c r="BA1710" s="21" t="str">
        <f>IF($AL1710="","",$AL1710&amp;"|"&amp;COUNTIF($AL$11:$AL1710,$AL1710))</f>
        <v/>
      </c>
    </row>
    <row r="1711" spans="38:53" ht="15" customHeight="1" x14ac:dyDescent="0.25">
      <c r="AL1711" s="17"/>
      <c r="AM1711" s="12"/>
      <c r="AN1711" s="18"/>
      <c r="AO1711" s="18"/>
      <c r="AP1711" s="10"/>
      <c r="AQ1711" s="10"/>
      <c r="AR1711" s="19"/>
      <c r="AS1711" s="20"/>
      <c r="AT1711" s="19"/>
      <c r="AV1711" s="21">
        <f>IF(AND($AL1711&lt;&gt;"",COUNTIF($AL$11:$AL1711,$AL1711)=1),1,0)</f>
        <v>0</v>
      </c>
      <c r="AW1711" s="21">
        <f t="shared" si="139"/>
        <v>0</v>
      </c>
      <c r="AX1711" s="21" t="str">
        <f t="shared" si="138"/>
        <v/>
      </c>
      <c r="AY1711" s="21" t="str">
        <f>IF(AND($AM1711&lt;&gt;"",$AS1711&lt;&gt;"✓"),SUMPRODUCT(($AM$11:$AM1711&lt;&gt;"")*($AS$11:$AS1711&lt;&gt;"✓")),"")</f>
        <v/>
      </c>
      <c r="AZ1711" s="21" t="str">
        <f>IF(AND($AM1711&lt;&gt;"",$AS1711="✓"),SUMPRODUCT(($AM$11:$AM1711&lt;&gt;"")*($AS$11:$AS1711="✓")),"")</f>
        <v/>
      </c>
      <c r="BA1711" s="21" t="str">
        <f>IF($AL1711="","",$AL1711&amp;"|"&amp;COUNTIF($AL$11:$AL1711,$AL1711))</f>
        <v/>
      </c>
    </row>
    <row r="1712" spans="38:53" ht="15" customHeight="1" x14ac:dyDescent="0.25">
      <c r="AL1712" s="31"/>
      <c r="AM1712" s="26"/>
      <c r="AN1712" s="32"/>
      <c r="AO1712" s="32"/>
      <c r="AP1712" s="24"/>
      <c r="AQ1712" s="24"/>
      <c r="AR1712" s="33"/>
      <c r="AS1712" s="34"/>
      <c r="AT1712" s="33"/>
      <c r="AV1712" s="21">
        <f>IF(AND($AL1712&lt;&gt;"",COUNTIF($AL$11:$AL1712,$AL1712)=1),1,0)</f>
        <v>0</v>
      </c>
      <c r="AW1712" s="21">
        <f t="shared" si="139"/>
        <v>0</v>
      </c>
      <c r="AX1712" s="21" t="str">
        <f t="shared" si="138"/>
        <v/>
      </c>
      <c r="AY1712" s="21" t="str">
        <f>IF(AND($AM1712&lt;&gt;"",$AS1712&lt;&gt;"✓"),SUMPRODUCT(($AM$11:$AM1712&lt;&gt;"")*($AS$11:$AS1712&lt;&gt;"✓")),"")</f>
        <v/>
      </c>
      <c r="AZ1712" s="21" t="str">
        <f>IF(AND($AM1712&lt;&gt;"",$AS1712="✓"),SUMPRODUCT(($AM$11:$AM1712&lt;&gt;"")*($AS$11:$AS1712="✓")),"")</f>
        <v/>
      </c>
      <c r="BA1712" s="21" t="str">
        <f>IF($AL1712="","",$AL1712&amp;"|"&amp;COUNTIF($AL$11:$AL1712,$AL1712))</f>
        <v/>
      </c>
    </row>
    <row r="1713" spans="38:53" ht="15" customHeight="1" x14ac:dyDescent="0.25">
      <c r="AL1713" s="17"/>
      <c r="AM1713" s="12"/>
      <c r="AN1713" s="18"/>
      <c r="AO1713" s="18"/>
      <c r="AP1713" s="10"/>
      <c r="AQ1713" s="10"/>
      <c r="AR1713" s="19"/>
      <c r="AS1713" s="20"/>
      <c r="AT1713" s="19"/>
      <c r="AV1713" s="21">
        <f>IF(AND($AL1713&lt;&gt;"",COUNTIF($AL$11:$AL1713,$AL1713)=1),1,0)</f>
        <v>0</v>
      </c>
      <c r="AW1713" s="21">
        <f t="shared" si="139"/>
        <v>0</v>
      </c>
      <c r="AX1713" s="21" t="str">
        <f t="shared" si="138"/>
        <v/>
      </c>
      <c r="AY1713" s="21" t="str">
        <f>IF(AND($AM1713&lt;&gt;"",$AS1713&lt;&gt;"✓"),SUMPRODUCT(($AM$11:$AM1713&lt;&gt;"")*($AS$11:$AS1713&lt;&gt;"✓")),"")</f>
        <v/>
      </c>
      <c r="AZ1713" s="21" t="str">
        <f>IF(AND($AM1713&lt;&gt;"",$AS1713="✓"),SUMPRODUCT(($AM$11:$AM1713&lt;&gt;"")*($AS$11:$AS1713="✓")),"")</f>
        <v/>
      </c>
      <c r="BA1713" s="21" t="str">
        <f>IF($AL1713="","",$AL1713&amp;"|"&amp;COUNTIF($AL$11:$AL1713,$AL1713))</f>
        <v/>
      </c>
    </row>
    <row r="1714" spans="38:53" ht="15" customHeight="1" x14ac:dyDescent="0.25">
      <c r="AL1714" s="31"/>
      <c r="AM1714" s="26"/>
      <c r="AN1714" s="32"/>
      <c r="AO1714" s="32"/>
      <c r="AP1714" s="24"/>
      <c r="AQ1714" s="24"/>
      <c r="AR1714" s="33"/>
      <c r="AS1714" s="34"/>
      <c r="AT1714" s="33"/>
      <c r="AV1714" s="21">
        <f>IF(AND($AL1714&lt;&gt;"",COUNTIF($AL$11:$AL1714,$AL1714)=1),1,0)</f>
        <v>0</v>
      </c>
      <c r="AW1714" s="21">
        <f t="shared" si="139"/>
        <v>0</v>
      </c>
      <c r="AX1714" s="21" t="str">
        <f t="shared" si="138"/>
        <v/>
      </c>
      <c r="AY1714" s="21" t="str">
        <f>IF(AND($AM1714&lt;&gt;"",$AS1714&lt;&gt;"✓"),SUMPRODUCT(($AM$11:$AM1714&lt;&gt;"")*($AS$11:$AS1714&lt;&gt;"✓")),"")</f>
        <v/>
      </c>
      <c r="AZ1714" s="21" t="str">
        <f>IF(AND($AM1714&lt;&gt;"",$AS1714="✓"),SUMPRODUCT(($AM$11:$AM1714&lt;&gt;"")*($AS$11:$AS1714="✓")),"")</f>
        <v/>
      </c>
      <c r="BA1714" s="21" t="str">
        <f>IF($AL1714="","",$AL1714&amp;"|"&amp;COUNTIF($AL$11:$AL1714,$AL1714))</f>
        <v/>
      </c>
    </row>
    <row r="1715" spans="38:53" ht="15" customHeight="1" x14ac:dyDescent="0.25">
      <c r="AL1715" s="17"/>
      <c r="AM1715" s="12"/>
      <c r="AN1715" s="18"/>
      <c r="AO1715" s="18"/>
      <c r="AP1715" s="10"/>
      <c r="AQ1715" s="10"/>
      <c r="AR1715" s="19"/>
      <c r="AS1715" s="20"/>
      <c r="AT1715" s="19"/>
      <c r="AV1715" s="21">
        <f>IF(AND($AL1715&lt;&gt;"",COUNTIF($AL$11:$AL1715,$AL1715)=1),1,0)</f>
        <v>0</v>
      </c>
      <c r="AW1715" s="21">
        <f t="shared" si="139"/>
        <v>0</v>
      </c>
      <c r="AX1715" s="21" t="str">
        <f t="shared" si="138"/>
        <v/>
      </c>
      <c r="AY1715" s="21" t="str">
        <f>IF(AND($AM1715&lt;&gt;"",$AS1715&lt;&gt;"✓"),SUMPRODUCT(($AM$11:$AM1715&lt;&gt;"")*($AS$11:$AS1715&lt;&gt;"✓")),"")</f>
        <v/>
      </c>
      <c r="AZ1715" s="21" t="str">
        <f>IF(AND($AM1715&lt;&gt;"",$AS1715="✓"),SUMPRODUCT(($AM$11:$AM1715&lt;&gt;"")*($AS$11:$AS1715="✓")),"")</f>
        <v/>
      </c>
      <c r="BA1715" s="21" t="str">
        <f>IF($AL1715="","",$AL1715&amp;"|"&amp;COUNTIF($AL$11:$AL1715,$AL1715))</f>
        <v/>
      </c>
    </row>
    <row r="1716" spans="38:53" ht="15" customHeight="1" x14ac:dyDescent="0.25">
      <c r="AL1716" s="31"/>
      <c r="AM1716" s="26"/>
      <c r="AN1716" s="32"/>
      <c r="AO1716" s="32"/>
      <c r="AP1716" s="24"/>
      <c r="AQ1716" s="24"/>
      <c r="AR1716" s="33"/>
      <c r="AS1716" s="34"/>
      <c r="AT1716" s="33"/>
      <c r="AV1716" s="21">
        <f>IF(AND($AL1716&lt;&gt;"",COUNTIF($AL$11:$AL1716,$AL1716)=1),1,0)</f>
        <v>0</v>
      </c>
      <c r="AW1716" s="21">
        <f t="shared" si="139"/>
        <v>0</v>
      </c>
      <c r="AX1716" s="21" t="str">
        <f t="shared" si="138"/>
        <v/>
      </c>
      <c r="AY1716" s="21" t="str">
        <f>IF(AND($AM1716&lt;&gt;"",$AS1716&lt;&gt;"✓"),SUMPRODUCT(($AM$11:$AM1716&lt;&gt;"")*($AS$11:$AS1716&lt;&gt;"✓")),"")</f>
        <v/>
      </c>
      <c r="AZ1716" s="21" t="str">
        <f>IF(AND($AM1716&lt;&gt;"",$AS1716="✓"),SUMPRODUCT(($AM$11:$AM1716&lt;&gt;"")*($AS$11:$AS1716="✓")),"")</f>
        <v/>
      </c>
      <c r="BA1716" s="21" t="str">
        <f>IF($AL1716="","",$AL1716&amp;"|"&amp;COUNTIF($AL$11:$AL1716,$AL1716))</f>
        <v/>
      </c>
    </row>
    <row r="1717" spans="38:53" ht="15" customHeight="1" x14ac:dyDescent="0.25">
      <c r="AL1717" s="17"/>
      <c r="AM1717" s="12"/>
      <c r="AN1717" s="18"/>
      <c r="AO1717" s="18"/>
      <c r="AP1717" s="10"/>
      <c r="AQ1717" s="10"/>
      <c r="AR1717" s="19"/>
      <c r="AS1717" s="20"/>
      <c r="AT1717" s="19"/>
      <c r="AV1717" s="21">
        <f>IF(AND($AL1717&lt;&gt;"",COUNTIF($AL$11:$AL1717,$AL1717)=1),1,0)</f>
        <v>0</v>
      </c>
      <c r="AW1717" s="21">
        <f t="shared" si="139"/>
        <v>0</v>
      </c>
      <c r="AX1717" s="21" t="str">
        <f t="shared" si="138"/>
        <v/>
      </c>
      <c r="AY1717" s="21" t="str">
        <f>IF(AND($AM1717&lt;&gt;"",$AS1717&lt;&gt;"✓"),SUMPRODUCT(($AM$11:$AM1717&lt;&gt;"")*($AS$11:$AS1717&lt;&gt;"✓")),"")</f>
        <v/>
      </c>
      <c r="AZ1717" s="21" t="str">
        <f>IF(AND($AM1717&lt;&gt;"",$AS1717="✓"),SUMPRODUCT(($AM$11:$AM1717&lt;&gt;"")*($AS$11:$AS1717="✓")),"")</f>
        <v/>
      </c>
      <c r="BA1717" s="21" t="str">
        <f>IF($AL1717="","",$AL1717&amp;"|"&amp;COUNTIF($AL$11:$AL1717,$AL1717))</f>
        <v/>
      </c>
    </row>
    <row r="1718" spans="38:53" ht="15" customHeight="1" x14ac:dyDescent="0.25">
      <c r="AL1718" s="31"/>
      <c r="AM1718" s="26"/>
      <c r="AN1718" s="32"/>
      <c r="AO1718" s="32"/>
      <c r="AP1718" s="24"/>
      <c r="AQ1718" s="24"/>
      <c r="AR1718" s="33"/>
      <c r="AS1718" s="34"/>
      <c r="AT1718" s="33"/>
      <c r="AV1718" s="21">
        <f>IF(AND($AL1718&lt;&gt;"",COUNTIF($AL$11:$AL1718,$AL1718)=1),1,0)</f>
        <v>0</v>
      </c>
      <c r="AW1718" s="21">
        <f t="shared" si="139"/>
        <v>0</v>
      </c>
      <c r="AX1718" s="21" t="str">
        <f t="shared" si="138"/>
        <v/>
      </c>
      <c r="AY1718" s="21" t="str">
        <f>IF(AND($AM1718&lt;&gt;"",$AS1718&lt;&gt;"✓"),SUMPRODUCT(($AM$11:$AM1718&lt;&gt;"")*($AS$11:$AS1718&lt;&gt;"✓")),"")</f>
        <v/>
      </c>
      <c r="AZ1718" s="21" t="str">
        <f>IF(AND($AM1718&lt;&gt;"",$AS1718="✓"),SUMPRODUCT(($AM$11:$AM1718&lt;&gt;"")*($AS$11:$AS1718="✓")),"")</f>
        <v/>
      </c>
      <c r="BA1718" s="21" t="str">
        <f>IF($AL1718="","",$AL1718&amp;"|"&amp;COUNTIF($AL$11:$AL1718,$AL1718))</f>
        <v/>
      </c>
    </row>
    <row r="1719" spans="38:53" ht="15" customHeight="1" x14ac:dyDescent="0.25">
      <c r="AL1719" s="17"/>
      <c r="AM1719" s="12"/>
      <c r="AN1719" s="18"/>
      <c r="AO1719" s="18"/>
      <c r="AP1719" s="10"/>
      <c r="AQ1719" s="10"/>
      <c r="AR1719" s="19"/>
      <c r="AS1719" s="20"/>
      <c r="AT1719" s="19"/>
      <c r="AV1719" s="21">
        <f>IF(AND($AL1719&lt;&gt;"",COUNTIF($AL$11:$AL1719,$AL1719)=1),1,0)</f>
        <v>0</v>
      </c>
      <c r="AW1719" s="21">
        <f t="shared" si="139"/>
        <v>0</v>
      </c>
      <c r="AX1719" s="21" t="str">
        <f t="shared" si="138"/>
        <v/>
      </c>
      <c r="AY1719" s="21" t="str">
        <f>IF(AND($AM1719&lt;&gt;"",$AS1719&lt;&gt;"✓"),SUMPRODUCT(($AM$11:$AM1719&lt;&gt;"")*($AS$11:$AS1719&lt;&gt;"✓")),"")</f>
        <v/>
      </c>
      <c r="AZ1719" s="21" t="str">
        <f>IF(AND($AM1719&lt;&gt;"",$AS1719="✓"),SUMPRODUCT(($AM$11:$AM1719&lt;&gt;"")*($AS$11:$AS1719="✓")),"")</f>
        <v/>
      </c>
      <c r="BA1719" s="21" t="str">
        <f>IF($AL1719="","",$AL1719&amp;"|"&amp;COUNTIF($AL$11:$AL1719,$AL1719))</f>
        <v/>
      </c>
    </row>
    <row r="1720" spans="38:53" ht="15" customHeight="1" x14ac:dyDescent="0.25">
      <c r="AL1720" s="31"/>
      <c r="AM1720" s="26"/>
      <c r="AN1720" s="32"/>
      <c r="AO1720" s="32"/>
      <c r="AP1720" s="24"/>
      <c r="AQ1720" s="24"/>
      <c r="AR1720" s="33"/>
      <c r="AS1720" s="34"/>
      <c r="AT1720" s="33"/>
      <c r="AV1720" s="21">
        <f>IF(AND($AL1720&lt;&gt;"",COUNTIF($AL$11:$AL1720,$AL1720)=1),1,0)</f>
        <v>0</v>
      </c>
      <c r="AW1720" s="21">
        <f t="shared" si="139"/>
        <v>0</v>
      </c>
      <c r="AX1720" s="21" t="str">
        <f t="shared" si="138"/>
        <v/>
      </c>
      <c r="AY1720" s="21" t="str">
        <f>IF(AND($AM1720&lt;&gt;"",$AS1720&lt;&gt;"✓"),SUMPRODUCT(($AM$11:$AM1720&lt;&gt;"")*($AS$11:$AS1720&lt;&gt;"✓")),"")</f>
        <v/>
      </c>
      <c r="AZ1720" s="21" t="str">
        <f>IF(AND($AM1720&lt;&gt;"",$AS1720="✓"),SUMPRODUCT(($AM$11:$AM1720&lt;&gt;"")*($AS$11:$AS1720="✓")),"")</f>
        <v/>
      </c>
      <c r="BA1720" s="21" t="str">
        <f>IF($AL1720="","",$AL1720&amp;"|"&amp;COUNTIF($AL$11:$AL1720,$AL1720))</f>
        <v/>
      </c>
    </row>
    <row r="1721" spans="38:53" ht="15" customHeight="1" x14ac:dyDescent="0.25">
      <c r="AL1721" s="17"/>
      <c r="AM1721" s="12"/>
      <c r="AN1721" s="18"/>
      <c r="AO1721" s="18"/>
      <c r="AP1721" s="10"/>
      <c r="AQ1721" s="10"/>
      <c r="AR1721" s="19"/>
      <c r="AS1721" s="20"/>
      <c r="AT1721" s="19"/>
      <c r="AV1721" s="21">
        <f>IF(AND($AL1721&lt;&gt;"",COUNTIF($AL$11:$AL1721,$AL1721)=1),1,0)</f>
        <v>0</v>
      </c>
      <c r="AW1721" s="21">
        <f t="shared" si="139"/>
        <v>0</v>
      </c>
      <c r="AX1721" s="21" t="str">
        <f t="shared" si="138"/>
        <v/>
      </c>
      <c r="AY1721" s="21" t="str">
        <f>IF(AND($AM1721&lt;&gt;"",$AS1721&lt;&gt;"✓"),SUMPRODUCT(($AM$11:$AM1721&lt;&gt;"")*($AS$11:$AS1721&lt;&gt;"✓")),"")</f>
        <v/>
      </c>
      <c r="AZ1721" s="21" t="str">
        <f>IF(AND($AM1721&lt;&gt;"",$AS1721="✓"),SUMPRODUCT(($AM$11:$AM1721&lt;&gt;"")*($AS$11:$AS1721="✓")),"")</f>
        <v/>
      </c>
      <c r="BA1721" s="21" t="str">
        <f>IF($AL1721="","",$AL1721&amp;"|"&amp;COUNTIF($AL$11:$AL1721,$AL1721))</f>
        <v/>
      </c>
    </row>
    <row r="1722" spans="38:53" ht="15" customHeight="1" x14ac:dyDescent="0.25">
      <c r="AL1722" s="31"/>
      <c r="AM1722" s="26"/>
      <c r="AN1722" s="32"/>
      <c r="AO1722" s="32"/>
      <c r="AP1722" s="24"/>
      <c r="AQ1722" s="24"/>
      <c r="AR1722" s="33"/>
      <c r="AS1722" s="34"/>
      <c r="AT1722" s="33"/>
      <c r="AV1722" s="21">
        <f>IF(AND($AL1722&lt;&gt;"",COUNTIF($AL$11:$AL1722,$AL1722)=1),1,0)</f>
        <v>0</v>
      </c>
      <c r="AW1722" s="21">
        <f t="shared" si="139"/>
        <v>0</v>
      </c>
      <c r="AX1722" s="21" t="str">
        <f t="shared" si="138"/>
        <v/>
      </c>
      <c r="AY1722" s="21" t="str">
        <f>IF(AND($AM1722&lt;&gt;"",$AS1722&lt;&gt;"✓"),SUMPRODUCT(($AM$11:$AM1722&lt;&gt;"")*($AS$11:$AS1722&lt;&gt;"✓")),"")</f>
        <v/>
      </c>
      <c r="AZ1722" s="21" t="str">
        <f>IF(AND($AM1722&lt;&gt;"",$AS1722="✓"),SUMPRODUCT(($AM$11:$AM1722&lt;&gt;"")*($AS$11:$AS1722="✓")),"")</f>
        <v/>
      </c>
      <c r="BA1722" s="21" t="str">
        <f>IF($AL1722="","",$AL1722&amp;"|"&amp;COUNTIF($AL$11:$AL1722,$AL1722))</f>
        <v/>
      </c>
    </row>
    <row r="1723" spans="38:53" ht="15" customHeight="1" x14ac:dyDescent="0.25">
      <c r="AL1723" s="17"/>
      <c r="AM1723" s="12"/>
      <c r="AN1723" s="18"/>
      <c r="AO1723" s="18"/>
      <c r="AP1723" s="10"/>
      <c r="AQ1723" s="10"/>
      <c r="AR1723" s="19"/>
      <c r="AS1723" s="20"/>
      <c r="AT1723" s="19"/>
      <c r="AV1723" s="21">
        <f>IF(AND($AL1723&lt;&gt;"",COUNTIF($AL$11:$AL1723,$AL1723)=1),1,0)</f>
        <v>0</v>
      </c>
      <c r="AW1723" s="21">
        <f t="shared" si="139"/>
        <v>0</v>
      </c>
      <c r="AX1723" s="21" t="str">
        <f t="shared" si="138"/>
        <v/>
      </c>
      <c r="AY1723" s="21" t="str">
        <f>IF(AND($AM1723&lt;&gt;"",$AS1723&lt;&gt;"✓"),SUMPRODUCT(($AM$11:$AM1723&lt;&gt;"")*($AS$11:$AS1723&lt;&gt;"✓")),"")</f>
        <v/>
      </c>
      <c r="AZ1723" s="21" t="str">
        <f>IF(AND($AM1723&lt;&gt;"",$AS1723="✓"),SUMPRODUCT(($AM$11:$AM1723&lt;&gt;"")*($AS$11:$AS1723="✓")),"")</f>
        <v/>
      </c>
      <c r="BA1723" s="21" t="str">
        <f>IF($AL1723="","",$AL1723&amp;"|"&amp;COUNTIF($AL$11:$AL1723,$AL1723))</f>
        <v/>
      </c>
    </row>
    <row r="1724" spans="38:53" ht="15" customHeight="1" x14ac:dyDescent="0.25">
      <c r="AL1724" s="31"/>
      <c r="AM1724" s="26"/>
      <c r="AN1724" s="32"/>
      <c r="AO1724" s="32"/>
      <c r="AP1724" s="24"/>
      <c r="AQ1724" s="24"/>
      <c r="AR1724" s="33"/>
      <c r="AS1724" s="34"/>
      <c r="AT1724" s="33"/>
      <c r="AV1724" s="21">
        <f>IF(AND($AL1724&lt;&gt;"",COUNTIF($AL$11:$AL1724,$AL1724)=1),1,0)</f>
        <v>0</v>
      </c>
      <c r="AW1724" s="21">
        <f t="shared" si="139"/>
        <v>0</v>
      </c>
      <c r="AX1724" s="21" t="str">
        <f t="shared" si="138"/>
        <v/>
      </c>
      <c r="AY1724" s="21" t="str">
        <f>IF(AND($AM1724&lt;&gt;"",$AS1724&lt;&gt;"✓"),SUMPRODUCT(($AM$11:$AM1724&lt;&gt;"")*($AS$11:$AS1724&lt;&gt;"✓")),"")</f>
        <v/>
      </c>
      <c r="AZ1724" s="21" t="str">
        <f>IF(AND($AM1724&lt;&gt;"",$AS1724="✓"),SUMPRODUCT(($AM$11:$AM1724&lt;&gt;"")*($AS$11:$AS1724="✓")),"")</f>
        <v/>
      </c>
      <c r="BA1724" s="21" t="str">
        <f>IF($AL1724="","",$AL1724&amp;"|"&amp;COUNTIF($AL$11:$AL1724,$AL1724))</f>
        <v/>
      </c>
    </row>
    <row r="1725" spans="38:53" ht="15" customHeight="1" x14ac:dyDescent="0.25">
      <c r="AL1725" s="17"/>
      <c r="AM1725" s="12"/>
      <c r="AN1725" s="18"/>
      <c r="AO1725" s="18"/>
      <c r="AP1725" s="10"/>
      <c r="AQ1725" s="10"/>
      <c r="AR1725" s="19"/>
      <c r="AS1725" s="20"/>
      <c r="AT1725" s="19"/>
      <c r="AV1725" s="21">
        <f>IF(AND($AL1725&lt;&gt;"",COUNTIF($AL$11:$AL1725,$AL1725)=1),1,0)</f>
        <v>0</v>
      </c>
      <c r="AW1725" s="21">
        <f t="shared" si="139"/>
        <v>0</v>
      </c>
      <c r="AX1725" s="21" t="str">
        <f t="shared" si="138"/>
        <v/>
      </c>
      <c r="AY1725" s="21" t="str">
        <f>IF(AND($AM1725&lt;&gt;"",$AS1725&lt;&gt;"✓"),SUMPRODUCT(($AM$11:$AM1725&lt;&gt;"")*($AS$11:$AS1725&lt;&gt;"✓")),"")</f>
        <v/>
      </c>
      <c r="AZ1725" s="21" t="str">
        <f>IF(AND($AM1725&lt;&gt;"",$AS1725="✓"),SUMPRODUCT(($AM$11:$AM1725&lt;&gt;"")*($AS$11:$AS1725="✓")),"")</f>
        <v/>
      </c>
      <c r="BA1725" s="21" t="str">
        <f>IF($AL1725="","",$AL1725&amp;"|"&amp;COUNTIF($AL$11:$AL1725,$AL1725))</f>
        <v/>
      </c>
    </row>
    <row r="1726" spans="38:53" ht="15" customHeight="1" x14ac:dyDescent="0.25">
      <c r="AL1726" s="31"/>
      <c r="AM1726" s="26"/>
      <c r="AN1726" s="32"/>
      <c r="AO1726" s="32"/>
      <c r="AP1726" s="24"/>
      <c r="AQ1726" s="24"/>
      <c r="AR1726" s="33"/>
      <c r="AS1726" s="34"/>
      <c r="AT1726" s="33"/>
      <c r="AV1726" s="21">
        <f>IF(AND($AL1726&lt;&gt;"",COUNTIF($AL$11:$AL1726,$AL1726)=1),1,0)</f>
        <v>0</v>
      </c>
      <c r="AW1726" s="21">
        <f t="shared" si="139"/>
        <v>0</v>
      </c>
      <c r="AX1726" s="21" t="str">
        <f t="shared" si="138"/>
        <v/>
      </c>
      <c r="AY1726" s="21" t="str">
        <f>IF(AND($AM1726&lt;&gt;"",$AS1726&lt;&gt;"✓"),SUMPRODUCT(($AM$11:$AM1726&lt;&gt;"")*($AS$11:$AS1726&lt;&gt;"✓")),"")</f>
        <v/>
      </c>
      <c r="AZ1726" s="21" t="str">
        <f>IF(AND($AM1726&lt;&gt;"",$AS1726="✓"),SUMPRODUCT(($AM$11:$AM1726&lt;&gt;"")*($AS$11:$AS1726="✓")),"")</f>
        <v/>
      </c>
      <c r="BA1726" s="21" t="str">
        <f>IF($AL1726="","",$AL1726&amp;"|"&amp;COUNTIF($AL$11:$AL1726,$AL1726))</f>
        <v/>
      </c>
    </row>
    <row r="1727" spans="38:53" ht="15" customHeight="1" x14ac:dyDescent="0.25">
      <c r="AL1727" s="17"/>
      <c r="AM1727" s="12"/>
      <c r="AN1727" s="18"/>
      <c r="AO1727" s="18"/>
      <c r="AP1727" s="10"/>
      <c r="AQ1727" s="10"/>
      <c r="AR1727" s="19"/>
      <c r="AS1727" s="20"/>
      <c r="AT1727" s="19"/>
      <c r="AV1727" s="21">
        <f>IF(AND($AL1727&lt;&gt;"",COUNTIF($AL$11:$AL1727,$AL1727)=1),1,0)</f>
        <v>0</v>
      </c>
      <c r="AW1727" s="21">
        <f t="shared" si="139"/>
        <v>0</v>
      </c>
      <c r="AX1727" s="21" t="str">
        <f t="shared" si="138"/>
        <v/>
      </c>
      <c r="AY1727" s="21" t="str">
        <f>IF(AND($AM1727&lt;&gt;"",$AS1727&lt;&gt;"✓"),SUMPRODUCT(($AM$11:$AM1727&lt;&gt;"")*($AS$11:$AS1727&lt;&gt;"✓")),"")</f>
        <v/>
      </c>
      <c r="AZ1727" s="21" t="str">
        <f>IF(AND($AM1727&lt;&gt;"",$AS1727="✓"),SUMPRODUCT(($AM$11:$AM1727&lt;&gt;"")*($AS$11:$AS1727="✓")),"")</f>
        <v/>
      </c>
      <c r="BA1727" s="21" t="str">
        <f>IF($AL1727="","",$AL1727&amp;"|"&amp;COUNTIF($AL$11:$AL1727,$AL1727))</f>
        <v/>
      </c>
    </row>
    <row r="1728" spans="38:53" ht="15" customHeight="1" x14ac:dyDescent="0.25">
      <c r="AL1728" s="31"/>
      <c r="AM1728" s="26"/>
      <c r="AN1728" s="32"/>
      <c r="AO1728" s="32"/>
      <c r="AP1728" s="24"/>
      <c r="AQ1728" s="24"/>
      <c r="AR1728" s="33"/>
      <c r="AS1728" s="34"/>
      <c r="AT1728" s="33"/>
      <c r="AV1728" s="21">
        <f>IF(AND($AL1728&lt;&gt;"",COUNTIF($AL$11:$AL1728,$AL1728)=1),1,0)</f>
        <v>0</v>
      </c>
      <c r="AW1728" s="21">
        <f t="shared" si="139"/>
        <v>0</v>
      </c>
      <c r="AX1728" s="21" t="str">
        <f t="shared" si="138"/>
        <v/>
      </c>
      <c r="AY1728" s="21" t="str">
        <f>IF(AND($AM1728&lt;&gt;"",$AS1728&lt;&gt;"✓"),SUMPRODUCT(($AM$11:$AM1728&lt;&gt;"")*($AS$11:$AS1728&lt;&gt;"✓")),"")</f>
        <v/>
      </c>
      <c r="AZ1728" s="21" t="str">
        <f>IF(AND($AM1728&lt;&gt;"",$AS1728="✓"),SUMPRODUCT(($AM$11:$AM1728&lt;&gt;"")*($AS$11:$AS1728="✓")),"")</f>
        <v/>
      </c>
      <c r="BA1728" s="21" t="str">
        <f>IF($AL1728="","",$AL1728&amp;"|"&amp;COUNTIF($AL$11:$AL1728,$AL1728))</f>
        <v/>
      </c>
    </row>
    <row r="1729" spans="38:53" ht="15" customHeight="1" x14ac:dyDescent="0.25">
      <c r="AL1729" s="17"/>
      <c r="AM1729" s="12"/>
      <c r="AN1729" s="18"/>
      <c r="AO1729" s="18"/>
      <c r="AP1729" s="10"/>
      <c r="AQ1729" s="10"/>
      <c r="AR1729" s="19"/>
      <c r="AS1729" s="20"/>
      <c r="AT1729" s="19"/>
      <c r="AV1729" s="21">
        <f>IF(AND($AL1729&lt;&gt;"",COUNTIF($AL$11:$AL1729,$AL1729)=1),1,0)</f>
        <v>0</v>
      </c>
      <c r="AW1729" s="21">
        <f t="shared" si="139"/>
        <v>0</v>
      </c>
      <c r="AX1729" s="21" t="str">
        <f t="shared" si="138"/>
        <v/>
      </c>
      <c r="AY1729" s="21" t="str">
        <f>IF(AND($AM1729&lt;&gt;"",$AS1729&lt;&gt;"✓"),SUMPRODUCT(($AM$11:$AM1729&lt;&gt;"")*($AS$11:$AS1729&lt;&gt;"✓")),"")</f>
        <v/>
      </c>
      <c r="AZ1729" s="21" t="str">
        <f>IF(AND($AM1729&lt;&gt;"",$AS1729="✓"),SUMPRODUCT(($AM$11:$AM1729&lt;&gt;"")*($AS$11:$AS1729="✓")),"")</f>
        <v/>
      </c>
      <c r="BA1729" s="21" t="str">
        <f>IF($AL1729="","",$AL1729&amp;"|"&amp;COUNTIF($AL$11:$AL1729,$AL1729))</f>
        <v/>
      </c>
    </row>
    <row r="1730" spans="38:53" ht="15" customHeight="1" x14ac:dyDescent="0.25">
      <c r="AL1730" s="31"/>
      <c r="AM1730" s="26"/>
      <c r="AN1730" s="32"/>
      <c r="AO1730" s="32"/>
      <c r="AP1730" s="24"/>
      <c r="AQ1730" s="24"/>
      <c r="AR1730" s="33"/>
      <c r="AS1730" s="34"/>
      <c r="AT1730" s="33"/>
      <c r="AV1730" s="21">
        <f>IF(AND($AL1730&lt;&gt;"",COUNTIF($AL$11:$AL1730,$AL1730)=1),1,0)</f>
        <v>0</v>
      </c>
      <c r="AW1730" s="21">
        <f t="shared" si="139"/>
        <v>0</v>
      </c>
      <c r="AX1730" s="21" t="str">
        <f t="shared" si="138"/>
        <v/>
      </c>
      <c r="AY1730" s="21" t="str">
        <f>IF(AND($AM1730&lt;&gt;"",$AS1730&lt;&gt;"✓"),SUMPRODUCT(($AM$11:$AM1730&lt;&gt;"")*($AS$11:$AS1730&lt;&gt;"✓")),"")</f>
        <v/>
      </c>
      <c r="AZ1730" s="21" t="str">
        <f>IF(AND($AM1730&lt;&gt;"",$AS1730="✓"),SUMPRODUCT(($AM$11:$AM1730&lt;&gt;"")*($AS$11:$AS1730="✓")),"")</f>
        <v/>
      </c>
      <c r="BA1730" s="21" t="str">
        <f>IF($AL1730="","",$AL1730&amp;"|"&amp;COUNTIF($AL$11:$AL1730,$AL1730))</f>
        <v/>
      </c>
    </row>
    <row r="1731" spans="38:53" ht="15" customHeight="1" x14ac:dyDescent="0.25">
      <c r="AL1731" s="17"/>
      <c r="AM1731" s="12"/>
      <c r="AN1731" s="18"/>
      <c r="AO1731" s="18"/>
      <c r="AP1731" s="10"/>
      <c r="AQ1731" s="10"/>
      <c r="AR1731" s="19"/>
      <c r="AS1731" s="20"/>
      <c r="AT1731" s="19"/>
      <c r="AV1731" s="21">
        <f>IF(AND($AL1731&lt;&gt;"",COUNTIF($AL$11:$AL1731,$AL1731)=1),1,0)</f>
        <v>0</v>
      </c>
      <c r="AW1731" s="21">
        <f t="shared" si="139"/>
        <v>0</v>
      </c>
      <c r="AX1731" s="21" t="str">
        <f t="shared" si="138"/>
        <v/>
      </c>
      <c r="AY1731" s="21" t="str">
        <f>IF(AND($AM1731&lt;&gt;"",$AS1731&lt;&gt;"✓"),SUMPRODUCT(($AM$11:$AM1731&lt;&gt;"")*($AS$11:$AS1731&lt;&gt;"✓")),"")</f>
        <v/>
      </c>
      <c r="AZ1731" s="21" t="str">
        <f>IF(AND($AM1731&lt;&gt;"",$AS1731="✓"),SUMPRODUCT(($AM$11:$AM1731&lt;&gt;"")*($AS$11:$AS1731="✓")),"")</f>
        <v/>
      </c>
      <c r="BA1731" s="21" t="str">
        <f>IF($AL1731="","",$AL1731&amp;"|"&amp;COUNTIF($AL$11:$AL1731,$AL1731))</f>
        <v/>
      </c>
    </row>
    <row r="1732" spans="38:53" ht="15" customHeight="1" x14ac:dyDescent="0.25">
      <c r="AL1732" s="31"/>
      <c r="AM1732" s="26"/>
      <c r="AN1732" s="32"/>
      <c r="AO1732" s="32"/>
      <c r="AP1732" s="24"/>
      <c r="AQ1732" s="24"/>
      <c r="AR1732" s="33"/>
      <c r="AS1732" s="34"/>
      <c r="AT1732" s="33"/>
      <c r="AV1732" s="21">
        <f>IF(AND($AL1732&lt;&gt;"",COUNTIF($AL$11:$AL1732,$AL1732)=1),1,0)</f>
        <v>0</v>
      </c>
      <c r="AW1732" s="21">
        <f t="shared" si="139"/>
        <v>0</v>
      </c>
      <c r="AX1732" s="21" t="str">
        <f t="shared" si="138"/>
        <v/>
      </c>
      <c r="AY1732" s="21" t="str">
        <f>IF(AND($AM1732&lt;&gt;"",$AS1732&lt;&gt;"✓"),SUMPRODUCT(($AM$11:$AM1732&lt;&gt;"")*($AS$11:$AS1732&lt;&gt;"✓")),"")</f>
        <v/>
      </c>
      <c r="AZ1732" s="21" t="str">
        <f>IF(AND($AM1732&lt;&gt;"",$AS1732="✓"),SUMPRODUCT(($AM$11:$AM1732&lt;&gt;"")*($AS$11:$AS1732="✓")),"")</f>
        <v/>
      </c>
      <c r="BA1732" s="21" t="str">
        <f>IF($AL1732="","",$AL1732&amp;"|"&amp;COUNTIF($AL$11:$AL1732,$AL1732))</f>
        <v/>
      </c>
    </row>
    <row r="1733" spans="38:53" ht="15" customHeight="1" x14ac:dyDescent="0.25">
      <c r="AL1733" s="17"/>
      <c r="AM1733" s="12"/>
      <c r="AN1733" s="18"/>
      <c r="AO1733" s="18"/>
      <c r="AP1733" s="10"/>
      <c r="AQ1733" s="10"/>
      <c r="AR1733" s="19"/>
      <c r="AS1733" s="20"/>
      <c r="AT1733" s="19"/>
      <c r="AV1733" s="21">
        <f>IF(AND($AL1733&lt;&gt;"",COUNTIF($AL$11:$AL1733,$AL1733)=1),1,0)</f>
        <v>0</v>
      </c>
      <c r="AW1733" s="21">
        <f t="shared" si="139"/>
        <v>0</v>
      </c>
      <c r="AX1733" s="21" t="str">
        <f t="shared" si="138"/>
        <v/>
      </c>
      <c r="AY1733" s="21" t="str">
        <f>IF(AND($AM1733&lt;&gt;"",$AS1733&lt;&gt;"✓"),SUMPRODUCT(($AM$11:$AM1733&lt;&gt;"")*($AS$11:$AS1733&lt;&gt;"✓")),"")</f>
        <v/>
      </c>
      <c r="AZ1733" s="21" t="str">
        <f>IF(AND($AM1733&lt;&gt;"",$AS1733="✓"),SUMPRODUCT(($AM$11:$AM1733&lt;&gt;"")*($AS$11:$AS1733="✓")),"")</f>
        <v/>
      </c>
      <c r="BA1733" s="21" t="str">
        <f>IF($AL1733="","",$AL1733&amp;"|"&amp;COUNTIF($AL$11:$AL1733,$AL1733))</f>
        <v/>
      </c>
    </row>
    <row r="1734" spans="38:53" ht="15" customHeight="1" x14ac:dyDescent="0.25">
      <c r="AL1734" s="31"/>
      <c r="AM1734" s="26"/>
      <c r="AN1734" s="32"/>
      <c r="AO1734" s="32"/>
      <c r="AP1734" s="24"/>
      <c r="AQ1734" s="24"/>
      <c r="AR1734" s="33"/>
      <c r="AS1734" s="34"/>
      <c r="AT1734" s="33"/>
      <c r="AV1734" s="21">
        <f>IF(AND($AL1734&lt;&gt;"",COUNTIF($AL$11:$AL1734,$AL1734)=1),1,0)</f>
        <v>0</v>
      </c>
      <c r="AW1734" s="21">
        <f t="shared" si="139"/>
        <v>0</v>
      </c>
      <c r="AX1734" s="21" t="str">
        <f t="shared" si="138"/>
        <v/>
      </c>
      <c r="AY1734" s="21" t="str">
        <f>IF(AND($AM1734&lt;&gt;"",$AS1734&lt;&gt;"✓"),SUMPRODUCT(($AM$11:$AM1734&lt;&gt;"")*($AS$11:$AS1734&lt;&gt;"✓")),"")</f>
        <v/>
      </c>
      <c r="AZ1734" s="21" t="str">
        <f>IF(AND($AM1734&lt;&gt;"",$AS1734="✓"),SUMPRODUCT(($AM$11:$AM1734&lt;&gt;"")*($AS$11:$AS1734="✓")),"")</f>
        <v/>
      </c>
      <c r="BA1734" s="21" t="str">
        <f>IF($AL1734="","",$AL1734&amp;"|"&amp;COUNTIF($AL$11:$AL1734,$AL1734))</f>
        <v/>
      </c>
    </row>
    <row r="1735" spans="38:53" ht="15" customHeight="1" x14ac:dyDescent="0.25">
      <c r="AL1735" s="17"/>
      <c r="AM1735" s="12"/>
      <c r="AN1735" s="18"/>
      <c r="AO1735" s="18"/>
      <c r="AP1735" s="10"/>
      <c r="AQ1735" s="10"/>
      <c r="AR1735" s="19"/>
      <c r="AS1735" s="20"/>
      <c r="AT1735" s="19"/>
      <c r="AV1735" s="21">
        <f>IF(AND($AL1735&lt;&gt;"",COUNTIF($AL$11:$AL1735,$AL1735)=1),1,0)</f>
        <v>0</v>
      </c>
      <c r="AW1735" s="21">
        <f t="shared" si="139"/>
        <v>0</v>
      </c>
      <c r="AX1735" s="21" t="str">
        <f t="shared" si="138"/>
        <v/>
      </c>
      <c r="AY1735" s="21" t="str">
        <f>IF(AND($AM1735&lt;&gt;"",$AS1735&lt;&gt;"✓"),SUMPRODUCT(($AM$11:$AM1735&lt;&gt;"")*($AS$11:$AS1735&lt;&gt;"✓")),"")</f>
        <v/>
      </c>
      <c r="AZ1735" s="21" t="str">
        <f>IF(AND($AM1735&lt;&gt;"",$AS1735="✓"),SUMPRODUCT(($AM$11:$AM1735&lt;&gt;"")*($AS$11:$AS1735="✓")),"")</f>
        <v/>
      </c>
      <c r="BA1735" s="21" t="str">
        <f>IF($AL1735="","",$AL1735&amp;"|"&amp;COUNTIF($AL$11:$AL1735,$AL1735))</f>
        <v/>
      </c>
    </row>
    <row r="1736" spans="38:53" ht="15" customHeight="1" x14ac:dyDescent="0.25">
      <c r="AL1736" s="31"/>
      <c r="AM1736" s="26"/>
      <c r="AN1736" s="32"/>
      <c r="AO1736" s="32"/>
      <c r="AP1736" s="24"/>
      <c r="AQ1736" s="24"/>
      <c r="AR1736" s="33"/>
      <c r="AS1736" s="34"/>
      <c r="AT1736" s="33"/>
      <c r="AV1736" s="21">
        <f>IF(AND($AL1736&lt;&gt;"",COUNTIF($AL$11:$AL1736,$AL1736)=1),1,0)</f>
        <v>0</v>
      </c>
      <c r="AW1736" s="21">
        <f t="shared" si="139"/>
        <v>0</v>
      </c>
      <c r="AX1736" s="21" t="str">
        <f t="shared" si="138"/>
        <v/>
      </c>
      <c r="AY1736" s="21" t="str">
        <f>IF(AND($AM1736&lt;&gt;"",$AS1736&lt;&gt;"✓"),SUMPRODUCT(($AM$11:$AM1736&lt;&gt;"")*($AS$11:$AS1736&lt;&gt;"✓")),"")</f>
        <v/>
      </c>
      <c r="AZ1736" s="21" t="str">
        <f>IF(AND($AM1736&lt;&gt;"",$AS1736="✓"),SUMPRODUCT(($AM$11:$AM1736&lt;&gt;"")*($AS$11:$AS1736="✓")),"")</f>
        <v/>
      </c>
      <c r="BA1736" s="21" t="str">
        <f>IF($AL1736="","",$AL1736&amp;"|"&amp;COUNTIF($AL$11:$AL1736,$AL1736))</f>
        <v/>
      </c>
    </row>
    <row r="1737" spans="38:53" ht="15" customHeight="1" x14ac:dyDescent="0.25">
      <c r="AL1737" s="17"/>
      <c r="AM1737" s="12"/>
      <c r="AN1737" s="18"/>
      <c r="AO1737" s="18"/>
      <c r="AP1737" s="10"/>
      <c r="AQ1737" s="10"/>
      <c r="AR1737" s="19"/>
      <c r="AS1737" s="20"/>
      <c r="AT1737" s="19"/>
      <c r="AV1737" s="21">
        <f>IF(AND($AL1737&lt;&gt;"",COUNTIF($AL$11:$AL1737,$AL1737)=1),1,0)</f>
        <v>0</v>
      </c>
      <c r="AW1737" s="21">
        <f t="shared" si="139"/>
        <v>0</v>
      </c>
      <c r="AX1737" s="21" t="str">
        <f t="shared" si="138"/>
        <v/>
      </c>
      <c r="AY1737" s="21" t="str">
        <f>IF(AND($AM1737&lt;&gt;"",$AS1737&lt;&gt;"✓"),SUMPRODUCT(($AM$11:$AM1737&lt;&gt;"")*($AS$11:$AS1737&lt;&gt;"✓")),"")</f>
        <v/>
      </c>
      <c r="AZ1737" s="21" t="str">
        <f>IF(AND($AM1737&lt;&gt;"",$AS1737="✓"),SUMPRODUCT(($AM$11:$AM1737&lt;&gt;"")*($AS$11:$AS1737="✓")),"")</f>
        <v/>
      </c>
      <c r="BA1737" s="21" t="str">
        <f>IF($AL1737="","",$AL1737&amp;"|"&amp;COUNTIF($AL$11:$AL1737,$AL1737))</f>
        <v/>
      </c>
    </row>
    <row r="1738" spans="38:53" ht="15" customHeight="1" x14ac:dyDescent="0.25">
      <c r="AL1738" s="31"/>
      <c r="AM1738" s="26"/>
      <c r="AN1738" s="32"/>
      <c r="AO1738" s="32"/>
      <c r="AP1738" s="24"/>
      <c r="AQ1738" s="24"/>
      <c r="AR1738" s="33"/>
      <c r="AS1738" s="34"/>
      <c r="AT1738" s="33"/>
      <c r="AV1738" s="21">
        <f>IF(AND($AL1738&lt;&gt;"",COUNTIF($AL$11:$AL1738,$AL1738)=1),1,0)</f>
        <v>0</v>
      </c>
      <c r="AW1738" s="21">
        <f t="shared" si="139"/>
        <v>0</v>
      </c>
      <c r="AX1738" s="21" t="str">
        <f t="shared" si="138"/>
        <v/>
      </c>
      <c r="AY1738" s="21" t="str">
        <f>IF(AND($AM1738&lt;&gt;"",$AS1738&lt;&gt;"✓"),SUMPRODUCT(($AM$11:$AM1738&lt;&gt;"")*($AS$11:$AS1738&lt;&gt;"✓")),"")</f>
        <v/>
      </c>
      <c r="AZ1738" s="21" t="str">
        <f>IF(AND($AM1738&lt;&gt;"",$AS1738="✓"),SUMPRODUCT(($AM$11:$AM1738&lt;&gt;"")*($AS$11:$AS1738="✓")),"")</f>
        <v/>
      </c>
      <c r="BA1738" s="21" t="str">
        <f>IF($AL1738="","",$AL1738&amp;"|"&amp;COUNTIF($AL$11:$AL1738,$AL1738))</f>
        <v/>
      </c>
    </row>
    <row r="1739" spans="38:53" ht="15" customHeight="1" x14ac:dyDescent="0.25">
      <c r="AL1739" s="17"/>
      <c r="AM1739" s="12"/>
      <c r="AN1739" s="18"/>
      <c r="AO1739" s="18"/>
      <c r="AP1739" s="10"/>
      <c r="AQ1739" s="10"/>
      <c r="AR1739" s="19"/>
      <c r="AS1739" s="20"/>
      <c r="AT1739" s="19"/>
      <c r="AV1739" s="21">
        <f>IF(AND($AL1739&lt;&gt;"",COUNTIF($AL$11:$AL1739,$AL1739)=1),1,0)</f>
        <v>0</v>
      </c>
      <c r="AW1739" s="21">
        <f t="shared" si="139"/>
        <v>0</v>
      </c>
      <c r="AX1739" s="21" t="str">
        <f t="shared" ref="AX1739:AX1802" si="140">IF(AV1739=1,AW1739,"")</f>
        <v/>
      </c>
      <c r="AY1739" s="21" t="str">
        <f>IF(AND($AM1739&lt;&gt;"",$AS1739&lt;&gt;"✓"),SUMPRODUCT(($AM$11:$AM1739&lt;&gt;"")*($AS$11:$AS1739&lt;&gt;"✓")),"")</f>
        <v/>
      </c>
      <c r="AZ1739" s="21" t="str">
        <f>IF(AND($AM1739&lt;&gt;"",$AS1739="✓"),SUMPRODUCT(($AM$11:$AM1739&lt;&gt;"")*($AS$11:$AS1739="✓")),"")</f>
        <v/>
      </c>
      <c r="BA1739" s="21" t="str">
        <f>IF($AL1739="","",$AL1739&amp;"|"&amp;COUNTIF($AL$11:$AL1739,$AL1739))</f>
        <v/>
      </c>
    </row>
    <row r="1740" spans="38:53" ht="15" customHeight="1" x14ac:dyDescent="0.25">
      <c r="AL1740" s="31"/>
      <c r="AM1740" s="26"/>
      <c r="AN1740" s="32"/>
      <c r="AO1740" s="32"/>
      <c r="AP1740" s="24"/>
      <c r="AQ1740" s="24"/>
      <c r="AR1740" s="33"/>
      <c r="AS1740" s="34"/>
      <c r="AT1740" s="33"/>
      <c r="AV1740" s="21">
        <f>IF(AND($AL1740&lt;&gt;"",COUNTIF($AL$11:$AL1740,$AL1740)=1),1,0)</f>
        <v>0</v>
      </c>
      <c r="AW1740" s="21">
        <f t="shared" ref="AW1740:AW1803" si="141">AW1739+AV1740</f>
        <v>0</v>
      </c>
      <c r="AX1740" s="21" t="str">
        <f t="shared" si="140"/>
        <v/>
      </c>
      <c r="AY1740" s="21" t="str">
        <f>IF(AND($AM1740&lt;&gt;"",$AS1740&lt;&gt;"✓"),SUMPRODUCT(($AM$11:$AM1740&lt;&gt;"")*($AS$11:$AS1740&lt;&gt;"✓")),"")</f>
        <v/>
      </c>
      <c r="AZ1740" s="21" t="str">
        <f>IF(AND($AM1740&lt;&gt;"",$AS1740="✓"),SUMPRODUCT(($AM$11:$AM1740&lt;&gt;"")*($AS$11:$AS1740="✓")),"")</f>
        <v/>
      </c>
      <c r="BA1740" s="21" t="str">
        <f>IF($AL1740="","",$AL1740&amp;"|"&amp;COUNTIF($AL$11:$AL1740,$AL1740))</f>
        <v/>
      </c>
    </row>
    <row r="1741" spans="38:53" ht="15" customHeight="1" x14ac:dyDescent="0.25">
      <c r="AL1741" s="17"/>
      <c r="AM1741" s="12"/>
      <c r="AN1741" s="18"/>
      <c r="AO1741" s="18"/>
      <c r="AP1741" s="10"/>
      <c r="AQ1741" s="10"/>
      <c r="AR1741" s="19"/>
      <c r="AS1741" s="20"/>
      <c r="AT1741" s="19"/>
      <c r="AV1741" s="21">
        <f>IF(AND($AL1741&lt;&gt;"",COUNTIF($AL$11:$AL1741,$AL1741)=1),1,0)</f>
        <v>0</v>
      </c>
      <c r="AW1741" s="21">
        <f t="shared" si="141"/>
        <v>0</v>
      </c>
      <c r="AX1741" s="21" t="str">
        <f t="shared" si="140"/>
        <v/>
      </c>
      <c r="AY1741" s="21" t="str">
        <f>IF(AND($AM1741&lt;&gt;"",$AS1741&lt;&gt;"✓"),SUMPRODUCT(($AM$11:$AM1741&lt;&gt;"")*($AS$11:$AS1741&lt;&gt;"✓")),"")</f>
        <v/>
      </c>
      <c r="AZ1741" s="21" t="str">
        <f>IF(AND($AM1741&lt;&gt;"",$AS1741="✓"),SUMPRODUCT(($AM$11:$AM1741&lt;&gt;"")*($AS$11:$AS1741="✓")),"")</f>
        <v/>
      </c>
      <c r="BA1741" s="21" t="str">
        <f>IF($AL1741="","",$AL1741&amp;"|"&amp;COUNTIF($AL$11:$AL1741,$AL1741))</f>
        <v/>
      </c>
    </row>
    <row r="1742" spans="38:53" ht="15" customHeight="1" x14ac:dyDescent="0.25">
      <c r="AL1742" s="31"/>
      <c r="AM1742" s="26"/>
      <c r="AN1742" s="32"/>
      <c r="AO1742" s="32"/>
      <c r="AP1742" s="24"/>
      <c r="AQ1742" s="24"/>
      <c r="AR1742" s="33"/>
      <c r="AS1742" s="34"/>
      <c r="AT1742" s="33"/>
      <c r="AV1742" s="21">
        <f>IF(AND($AL1742&lt;&gt;"",COUNTIF($AL$11:$AL1742,$AL1742)=1),1,0)</f>
        <v>0</v>
      </c>
      <c r="AW1742" s="21">
        <f t="shared" si="141"/>
        <v>0</v>
      </c>
      <c r="AX1742" s="21" t="str">
        <f t="shared" si="140"/>
        <v/>
      </c>
      <c r="AY1742" s="21" t="str">
        <f>IF(AND($AM1742&lt;&gt;"",$AS1742&lt;&gt;"✓"),SUMPRODUCT(($AM$11:$AM1742&lt;&gt;"")*($AS$11:$AS1742&lt;&gt;"✓")),"")</f>
        <v/>
      </c>
      <c r="AZ1742" s="21" t="str">
        <f>IF(AND($AM1742&lt;&gt;"",$AS1742="✓"),SUMPRODUCT(($AM$11:$AM1742&lt;&gt;"")*($AS$11:$AS1742="✓")),"")</f>
        <v/>
      </c>
      <c r="BA1742" s="21" t="str">
        <f>IF($AL1742="","",$AL1742&amp;"|"&amp;COUNTIF($AL$11:$AL1742,$AL1742))</f>
        <v/>
      </c>
    </row>
    <row r="1743" spans="38:53" ht="15" customHeight="1" x14ac:dyDescent="0.25">
      <c r="AL1743" s="17"/>
      <c r="AM1743" s="12"/>
      <c r="AN1743" s="18"/>
      <c r="AO1743" s="18"/>
      <c r="AP1743" s="10"/>
      <c r="AQ1743" s="10"/>
      <c r="AR1743" s="19"/>
      <c r="AS1743" s="20"/>
      <c r="AT1743" s="19"/>
      <c r="AV1743" s="21">
        <f>IF(AND($AL1743&lt;&gt;"",COUNTIF($AL$11:$AL1743,$AL1743)=1),1,0)</f>
        <v>0</v>
      </c>
      <c r="AW1743" s="21">
        <f t="shared" si="141"/>
        <v>0</v>
      </c>
      <c r="AX1743" s="21" t="str">
        <f t="shared" si="140"/>
        <v/>
      </c>
      <c r="AY1743" s="21" t="str">
        <f>IF(AND($AM1743&lt;&gt;"",$AS1743&lt;&gt;"✓"),SUMPRODUCT(($AM$11:$AM1743&lt;&gt;"")*($AS$11:$AS1743&lt;&gt;"✓")),"")</f>
        <v/>
      </c>
      <c r="AZ1743" s="21" t="str">
        <f>IF(AND($AM1743&lt;&gt;"",$AS1743="✓"),SUMPRODUCT(($AM$11:$AM1743&lt;&gt;"")*($AS$11:$AS1743="✓")),"")</f>
        <v/>
      </c>
      <c r="BA1743" s="21" t="str">
        <f>IF($AL1743="","",$AL1743&amp;"|"&amp;COUNTIF($AL$11:$AL1743,$AL1743))</f>
        <v/>
      </c>
    </row>
    <row r="1744" spans="38:53" ht="15" customHeight="1" x14ac:dyDescent="0.25">
      <c r="AL1744" s="31"/>
      <c r="AM1744" s="26"/>
      <c r="AN1744" s="32"/>
      <c r="AO1744" s="32"/>
      <c r="AP1744" s="24"/>
      <c r="AQ1744" s="24"/>
      <c r="AR1744" s="33"/>
      <c r="AS1744" s="34"/>
      <c r="AT1744" s="33"/>
      <c r="AV1744" s="21">
        <f>IF(AND($AL1744&lt;&gt;"",COUNTIF($AL$11:$AL1744,$AL1744)=1),1,0)</f>
        <v>0</v>
      </c>
      <c r="AW1744" s="21">
        <f t="shared" si="141"/>
        <v>0</v>
      </c>
      <c r="AX1744" s="21" t="str">
        <f t="shared" si="140"/>
        <v/>
      </c>
      <c r="AY1744" s="21" t="str">
        <f>IF(AND($AM1744&lt;&gt;"",$AS1744&lt;&gt;"✓"),SUMPRODUCT(($AM$11:$AM1744&lt;&gt;"")*($AS$11:$AS1744&lt;&gt;"✓")),"")</f>
        <v/>
      </c>
      <c r="AZ1744" s="21" t="str">
        <f>IF(AND($AM1744&lt;&gt;"",$AS1744="✓"),SUMPRODUCT(($AM$11:$AM1744&lt;&gt;"")*($AS$11:$AS1744="✓")),"")</f>
        <v/>
      </c>
      <c r="BA1744" s="21" t="str">
        <f>IF($AL1744="","",$AL1744&amp;"|"&amp;COUNTIF($AL$11:$AL1744,$AL1744))</f>
        <v/>
      </c>
    </row>
    <row r="1745" spans="38:53" ht="15" customHeight="1" x14ac:dyDescent="0.25">
      <c r="AL1745" s="17"/>
      <c r="AM1745" s="12"/>
      <c r="AN1745" s="18"/>
      <c r="AO1745" s="18"/>
      <c r="AP1745" s="10"/>
      <c r="AQ1745" s="10"/>
      <c r="AR1745" s="19"/>
      <c r="AS1745" s="20"/>
      <c r="AT1745" s="19"/>
      <c r="AV1745" s="21">
        <f>IF(AND($AL1745&lt;&gt;"",COUNTIF($AL$11:$AL1745,$AL1745)=1),1,0)</f>
        <v>0</v>
      </c>
      <c r="AW1745" s="21">
        <f t="shared" si="141"/>
        <v>0</v>
      </c>
      <c r="AX1745" s="21" t="str">
        <f t="shared" si="140"/>
        <v/>
      </c>
      <c r="AY1745" s="21" t="str">
        <f>IF(AND($AM1745&lt;&gt;"",$AS1745&lt;&gt;"✓"),SUMPRODUCT(($AM$11:$AM1745&lt;&gt;"")*($AS$11:$AS1745&lt;&gt;"✓")),"")</f>
        <v/>
      </c>
      <c r="AZ1745" s="21" t="str">
        <f>IF(AND($AM1745&lt;&gt;"",$AS1745="✓"),SUMPRODUCT(($AM$11:$AM1745&lt;&gt;"")*($AS$11:$AS1745="✓")),"")</f>
        <v/>
      </c>
      <c r="BA1745" s="21" t="str">
        <f>IF($AL1745="","",$AL1745&amp;"|"&amp;COUNTIF($AL$11:$AL1745,$AL1745))</f>
        <v/>
      </c>
    </row>
    <row r="1746" spans="38:53" ht="15" customHeight="1" x14ac:dyDescent="0.25">
      <c r="AL1746" s="31"/>
      <c r="AM1746" s="26"/>
      <c r="AN1746" s="32"/>
      <c r="AO1746" s="32"/>
      <c r="AP1746" s="24"/>
      <c r="AQ1746" s="24"/>
      <c r="AR1746" s="33"/>
      <c r="AS1746" s="34"/>
      <c r="AT1746" s="33"/>
      <c r="AV1746" s="21">
        <f>IF(AND($AL1746&lt;&gt;"",COUNTIF($AL$11:$AL1746,$AL1746)=1),1,0)</f>
        <v>0</v>
      </c>
      <c r="AW1746" s="21">
        <f t="shared" si="141"/>
        <v>0</v>
      </c>
      <c r="AX1746" s="21" t="str">
        <f t="shared" si="140"/>
        <v/>
      </c>
      <c r="AY1746" s="21" t="str">
        <f>IF(AND($AM1746&lt;&gt;"",$AS1746&lt;&gt;"✓"),SUMPRODUCT(($AM$11:$AM1746&lt;&gt;"")*($AS$11:$AS1746&lt;&gt;"✓")),"")</f>
        <v/>
      </c>
      <c r="AZ1746" s="21" t="str">
        <f>IF(AND($AM1746&lt;&gt;"",$AS1746="✓"),SUMPRODUCT(($AM$11:$AM1746&lt;&gt;"")*($AS$11:$AS1746="✓")),"")</f>
        <v/>
      </c>
      <c r="BA1746" s="21" t="str">
        <f>IF($AL1746="","",$AL1746&amp;"|"&amp;COUNTIF($AL$11:$AL1746,$AL1746))</f>
        <v/>
      </c>
    </row>
    <row r="1747" spans="38:53" ht="15" customHeight="1" x14ac:dyDescent="0.25">
      <c r="AL1747" s="17"/>
      <c r="AM1747" s="12"/>
      <c r="AN1747" s="18"/>
      <c r="AO1747" s="18"/>
      <c r="AP1747" s="10"/>
      <c r="AQ1747" s="10"/>
      <c r="AR1747" s="19"/>
      <c r="AS1747" s="20"/>
      <c r="AT1747" s="19"/>
      <c r="AV1747" s="21">
        <f>IF(AND($AL1747&lt;&gt;"",COUNTIF($AL$11:$AL1747,$AL1747)=1),1,0)</f>
        <v>0</v>
      </c>
      <c r="AW1747" s="21">
        <f t="shared" si="141"/>
        <v>0</v>
      </c>
      <c r="AX1747" s="21" t="str">
        <f t="shared" si="140"/>
        <v/>
      </c>
      <c r="AY1747" s="21" t="str">
        <f>IF(AND($AM1747&lt;&gt;"",$AS1747&lt;&gt;"✓"),SUMPRODUCT(($AM$11:$AM1747&lt;&gt;"")*($AS$11:$AS1747&lt;&gt;"✓")),"")</f>
        <v/>
      </c>
      <c r="AZ1747" s="21" t="str">
        <f>IF(AND($AM1747&lt;&gt;"",$AS1747="✓"),SUMPRODUCT(($AM$11:$AM1747&lt;&gt;"")*($AS$11:$AS1747="✓")),"")</f>
        <v/>
      </c>
      <c r="BA1747" s="21" t="str">
        <f>IF($AL1747="","",$AL1747&amp;"|"&amp;COUNTIF($AL$11:$AL1747,$AL1747))</f>
        <v/>
      </c>
    </row>
    <row r="1748" spans="38:53" ht="15" customHeight="1" x14ac:dyDescent="0.25">
      <c r="AL1748" s="31"/>
      <c r="AM1748" s="26"/>
      <c r="AN1748" s="32"/>
      <c r="AO1748" s="32"/>
      <c r="AP1748" s="24"/>
      <c r="AQ1748" s="24"/>
      <c r="AR1748" s="33"/>
      <c r="AS1748" s="34"/>
      <c r="AT1748" s="33"/>
      <c r="AV1748" s="21">
        <f>IF(AND($AL1748&lt;&gt;"",COUNTIF($AL$11:$AL1748,$AL1748)=1),1,0)</f>
        <v>0</v>
      </c>
      <c r="AW1748" s="21">
        <f t="shared" si="141"/>
        <v>0</v>
      </c>
      <c r="AX1748" s="21" t="str">
        <f t="shared" si="140"/>
        <v/>
      </c>
      <c r="AY1748" s="21" t="str">
        <f>IF(AND($AM1748&lt;&gt;"",$AS1748&lt;&gt;"✓"),SUMPRODUCT(($AM$11:$AM1748&lt;&gt;"")*($AS$11:$AS1748&lt;&gt;"✓")),"")</f>
        <v/>
      </c>
      <c r="AZ1748" s="21" t="str">
        <f>IF(AND($AM1748&lt;&gt;"",$AS1748="✓"),SUMPRODUCT(($AM$11:$AM1748&lt;&gt;"")*($AS$11:$AS1748="✓")),"")</f>
        <v/>
      </c>
      <c r="BA1748" s="21" t="str">
        <f>IF($AL1748="","",$AL1748&amp;"|"&amp;COUNTIF($AL$11:$AL1748,$AL1748))</f>
        <v/>
      </c>
    </row>
    <row r="1749" spans="38:53" ht="15" customHeight="1" x14ac:dyDescent="0.25">
      <c r="AL1749" s="17"/>
      <c r="AM1749" s="12"/>
      <c r="AN1749" s="18"/>
      <c r="AO1749" s="18"/>
      <c r="AP1749" s="10"/>
      <c r="AQ1749" s="10"/>
      <c r="AR1749" s="19"/>
      <c r="AS1749" s="20"/>
      <c r="AT1749" s="19"/>
      <c r="AV1749" s="21">
        <f>IF(AND($AL1749&lt;&gt;"",COUNTIF($AL$11:$AL1749,$AL1749)=1),1,0)</f>
        <v>0</v>
      </c>
      <c r="AW1749" s="21">
        <f t="shared" si="141"/>
        <v>0</v>
      </c>
      <c r="AX1749" s="21" t="str">
        <f t="shared" si="140"/>
        <v/>
      </c>
      <c r="AY1749" s="21" t="str">
        <f>IF(AND($AM1749&lt;&gt;"",$AS1749&lt;&gt;"✓"),SUMPRODUCT(($AM$11:$AM1749&lt;&gt;"")*($AS$11:$AS1749&lt;&gt;"✓")),"")</f>
        <v/>
      </c>
      <c r="AZ1749" s="21" t="str">
        <f>IF(AND($AM1749&lt;&gt;"",$AS1749="✓"),SUMPRODUCT(($AM$11:$AM1749&lt;&gt;"")*($AS$11:$AS1749="✓")),"")</f>
        <v/>
      </c>
      <c r="BA1749" s="21" t="str">
        <f>IF($AL1749="","",$AL1749&amp;"|"&amp;COUNTIF($AL$11:$AL1749,$AL1749))</f>
        <v/>
      </c>
    </row>
    <row r="1750" spans="38:53" ht="15" customHeight="1" x14ac:dyDescent="0.25">
      <c r="AL1750" s="31"/>
      <c r="AM1750" s="26"/>
      <c r="AN1750" s="32"/>
      <c r="AO1750" s="32"/>
      <c r="AP1750" s="24"/>
      <c r="AQ1750" s="24"/>
      <c r="AR1750" s="33"/>
      <c r="AS1750" s="34"/>
      <c r="AT1750" s="33"/>
      <c r="AV1750" s="21">
        <f>IF(AND($AL1750&lt;&gt;"",COUNTIF($AL$11:$AL1750,$AL1750)=1),1,0)</f>
        <v>0</v>
      </c>
      <c r="AW1750" s="21">
        <f t="shared" si="141"/>
        <v>0</v>
      </c>
      <c r="AX1750" s="21" t="str">
        <f t="shared" si="140"/>
        <v/>
      </c>
      <c r="AY1750" s="21" t="str">
        <f>IF(AND($AM1750&lt;&gt;"",$AS1750&lt;&gt;"✓"),SUMPRODUCT(($AM$11:$AM1750&lt;&gt;"")*($AS$11:$AS1750&lt;&gt;"✓")),"")</f>
        <v/>
      </c>
      <c r="AZ1750" s="21" t="str">
        <f>IF(AND($AM1750&lt;&gt;"",$AS1750="✓"),SUMPRODUCT(($AM$11:$AM1750&lt;&gt;"")*($AS$11:$AS1750="✓")),"")</f>
        <v/>
      </c>
      <c r="BA1750" s="21" t="str">
        <f>IF($AL1750="","",$AL1750&amp;"|"&amp;COUNTIF($AL$11:$AL1750,$AL1750))</f>
        <v/>
      </c>
    </row>
    <row r="1751" spans="38:53" ht="15" customHeight="1" x14ac:dyDescent="0.25">
      <c r="AL1751" s="17"/>
      <c r="AM1751" s="12"/>
      <c r="AN1751" s="18"/>
      <c r="AO1751" s="18"/>
      <c r="AP1751" s="10"/>
      <c r="AQ1751" s="10"/>
      <c r="AR1751" s="19"/>
      <c r="AS1751" s="20"/>
      <c r="AT1751" s="19"/>
      <c r="AV1751" s="21">
        <f>IF(AND($AL1751&lt;&gt;"",COUNTIF($AL$11:$AL1751,$AL1751)=1),1,0)</f>
        <v>0</v>
      </c>
      <c r="AW1751" s="21">
        <f t="shared" si="141"/>
        <v>0</v>
      </c>
      <c r="AX1751" s="21" t="str">
        <f t="shared" si="140"/>
        <v/>
      </c>
      <c r="AY1751" s="21" t="str">
        <f>IF(AND($AM1751&lt;&gt;"",$AS1751&lt;&gt;"✓"),SUMPRODUCT(($AM$11:$AM1751&lt;&gt;"")*($AS$11:$AS1751&lt;&gt;"✓")),"")</f>
        <v/>
      </c>
      <c r="AZ1751" s="21" t="str">
        <f>IF(AND($AM1751&lt;&gt;"",$AS1751="✓"),SUMPRODUCT(($AM$11:$AM1751&lt;&gt;"")*($AS$11:$AS1751="✓")),"")</f>
        <v/>
      </c>
      <c r="BA1751" s="21" t="str">
        <f>IF($AL1751="","",$AL1751&amp;"|"&amp;COUNTIF($AL$11:$AL1751,$AL1751))</f>
        <v/>
      </c>
    </row>
    <row r="1752" spans="38:53" ht="15" customHeight="1" x14ac:dyDescent="0.25">
      <c r="AL1752" s="31"/>
      <c r="AM1752" s="26"/>
      <c r="AN1752" s="32"/>
      <c r="AO1752" s="32"/>
      <c r="AP1752" s="24"/>
      <c r="AQ1752" s="24"/>
      <c r="AR1752" s="33"/>
      <c r="AS1752" s="34"/>
      <c r="AT1752" s="33"/>
      <c r="AV1752" s="21">
        <f>IF(AND($AL1752&lt;&gt;"",COUNTIF($AL$11:$AL1752,$AL1752)=1),1,0)</f>
        <v>0</v>
      </c>
      <c r="AW1752" s="21">
        <f t="shared" si="141"/>
        <v>0</v>
      </c>
      <c r="AX1752" s="21" t="str">
        <f t="shared" si="140"/>
        <v/>
      </c>
      <c r="AY1752" s="21" t="str">
        <f>IF(AND($AM1752&lt;&gt;"",$AS1752&lt;&gt;"✓"),SUMPRODUCT(($AM$11:$AM1752&lt;&gt;"")*($AS$11:$AS1752&lt;&gt;"✓")),"")</f>
        <v/>
      </c>
      <c r="AZ1752" s="21" t="str">
        <f>IF(AND($AM1752&lt;&gt;"",$AS1752="✓"),SUMPRODUCT(($AM$11:$AM1752&lt;&gt;"")*($AS$11:$AS1752="✓")),"")</f>
        <v/>
      </c>
      <c r="BA1752" s="21" t="str">
        <f>IF($AL1752="","",$AL1752&amp;"|"&amp;COUNTIF($AL$11:$AL1752,$AL1752))</f>
        <v/>
      </c>
    </row>
    <row r="1753" spans="38:53" ht="15" customHeight="1" x14ac:dyDescent="0.25">
      <c r="AL1753" s="17"/>
      <c r="AM1753" s="12"/>
      <c r="AN1753" s="18"/>
      <c r="AO1753" s="18"/>
      <c r="AP1753" s="10"/>
      <c r="AQ1753" s="10"/>
      <c r="AR1753" s="19"/>
      <c r="AS1753" s="20"/>
      <c r="AT1753" s="19"/>
      <c r="AV1753" s="21">
        <f>IF(AND($AL1753&lt;&gt;"",COUNTIF($AL$11:$AL1753,$AL1753)=1),1,0)</f>
        <v>0</v>
      </c>
      <c r="AW1753" s="21">
        <f t="shared" si="141"/>
        <v>0</v>
      </c>
      <c r="AX1753" s="21" t="str">
        <f t="shared" si="140"/>
        <v/>
      </c>
      <c r="AY1753" s="21" t="str">
        <f>IF(AND($AM1753&lt;&gt;"",$AS1753&lt;&gt;"✓"),SUMPRODUCT(($AM$11:$AM1753&lt;&gt;"")*($AS$11:$AS1753&lt;&gt;"✓")),"")</f>
        <v/>
      </c>
      <c r="AZ1753" s="21" t="str">
        <f>IF(AND($AM1753&lt;&gt;"",$AS1753="✓"),SUMPRODUCT(($AM$11:$AM1753&lt;&gt;"")*($AS$11:$AS1753="✓")),"")</f>
        <v/>
      </c>
      <c r="BA1753" s="21" t="str">
        <f>IF($AL1753="","",$AL1753&amp;"|"&amp;COUNTIF($AL$11:$AL1753,$AL1753))</f>
        <v/>
      </c>
    </row>
    <row r="1754" spans="38:53" ht="15" customHeight="1" x14ac:dyDescent="0.25">
      <c r="AL1754" s="31"/>
      <c r="AM1754" s="26"/>
      <c r="AN1754" s="32"/>
      <c r="AO1754" s="32"/>
      <c r="AP1754" s="24"/>
      <c r="AQ1754" s="24"/>
      <c r="AR1754" s="33"/>
      <c r="AS1754" s="34"/>
      <c r="AT1754" s="33"/>
      <c r="AV1754" s="21">
        <f>IF(AND($AL1754&lt;&gt;"",COUNTIF($AL$11:$AL1754,$AL1754)=1),1,0)</f>
        <v>0</v>
      </c>
      <c r="AW1754" s="21">
        <f t="shared" si="141"/>
        <v>0</v>
      </c>
      <c r="AX1754" s="21" t="str">
        <f t="shared" si="140"/>
        <v/>
      </c>
      <c r="AY1754" s="21" t="str">
        <f>IF(AND($AM1754&lt;&gt;"",$AS1754&lt;&gt;"✓"),SUMPRODUCT(($AM$11:$AM1754&lt;&gt;"")*($AS$11:$AS1754&lt;&gt;"✓")),"")</f>
        <v/>
      </c>
      <c r="AZ1754" s="21" t="str">
        <f>IF(AND($AM1754&lt;&gt;"",$AS1754="✓"),SUMPRODUCT(($AM$11:$AM1754&lt;&gt;"")*($AS$11:$AS1754="✓")),"")</f>
        <v/>
      </c>
      <c r="BA1754" s="21" t="str">
        <f>IF($AL1754="","",$AL1754&amp;"|"&amp;COUNTIF($AL$11:$AL1754,$AL1754))</f>
        <v/>
      </c>
    </row>
    <row r="1755" spans="38:53" ht="15" customHeight="1" x14ac:dyDescent="0.25">
      <c r="AL1755" s="17"/>
      <c r="AM1755" s="12"/>
      <c r="AN1755" s="18"/>
      <c r="AO1755" s="18"/>
      <c r="AP1755" s="10"/>
      <c r="AQ1755" s="10"/>
      <c r="AR1755" s="19"/>
      <c r="AS1755" s="20"/>
      <c r="AT1755" s="19"/>
      <c r="AV1755" s="21">
        <f>IF(AND($AL1755&lt;&gt;"",COUNTIF($AL$11:$AL1755,$AL1755)=1),1,0)</f>
        <v>0</v>
      </c>
      <c r="AW1755" s="21">
        <f t="shared" si="141"/>
        <v>0</v>
      </c>
      <c r="AX1755" s="21" t="str">
        <f t="shared" si="140"/>
        <v/>
      </c>
      <c r="AY1755" s="21" t="str">
        <f>IF(AND($AM1755&lt;&gt;"",$AS1755&lt;&gt;"✓"),SUMPRODUCT(($AM$11:$AM1755&lt;&gt;"")*($AS$11:$AS1755&lt;&gt;"✓")),"")</f>
        <v/>
      </c>
      <c r="AZ1755" s="21" t="str">
        <f>IF(AND($AM1755&lt;&gt;"",$AS1755="✓"),SUMPRODUCT(($AM$11:$AM1755&lt;&gt;"")*($AS$11:$AS1755="✓")),"")</f>
        <v/>
      </c>
      <c r="BA1755" s="21" t="str">
        <f>IF($AL1755="","",$AL1755&amp;"|"&amp;COUNTIF($AL$11:$AL1755,$AL1755))</f>
        <v/>
      </c>
    </row>
    <row r="1756" spans="38:53" ht="15" customHeight="1" x14ac:dyDescent="0.25">
      <c r="AL1756" s="31"/>
      <c r="AM1756" s="26"/>
      <c r="AN1756" s="32"/>
      <c r="AO1756" s="32"/>
      <c r="AP1756" s="24"/>
      <c r="AQ1756" s="24"/>
      <c r="AR1756" s="33"/>
      <c r="AS1756" s="34"/>
      <c r="AT1756" s="33"/>
      <c r="AV1756" s="21">
        <f>IF(AND($AL1756&lt;&gt;"",COUNTIF($AL$11:$AL1756,$AL1756)=1),1,0)</f>
        <v>0</v>
      </c>
      <c r="AW1756" s="21">
        <f t="shared" si="141"/>
        <v>0</v>
      </c>
      <c r="AX1756" s="21" t="str">
        <f t="shared" si="140"/>
        <v/>
      </c>
      <c r="AY1756" s="21" t="str">
        <f>IF(AND($AM1756&lt;&gt;"",$AS1756&lt;&gt;"✓"),SUMPRODUCT(($AM$11:$AM1756&lt;&gt;"")*($AS$11:$AS1756&lt;&gt;"✓")),"")</f>
        <v/>
      </c>
      <c r="AZ1756" s="21" t="str">
        <f>IF(AND($AM1756&lt;&gt;"",$AS1756="✓"),SUMPRODUCT(($AM$11:$AM1756&lt;&gt;"")*($AS$11:$AS1756="✓")),"")</f>
        <v/>
      </c>
      <c r="BA1756" s="21" t="str">
        <f>IF($AL1756="","",$AL1756&amp;"|"&amp;COUNTIF($AL$11:$AL1756,$AL1756))</f>
        <v/>
      </c>
    </row>
    <row r="1757" spans="38:53" ht="15" customHeight="1" x14ac:dyDescent="0.25">
      <c r="AL1757" s="17"/>
      <c r="AM1757" s="12"/>
      <c r="AN1757" s="18"/>
      <c r="AO1757" s="18"/>
      <c r="AP1757" s="10"/>
      <c r="AQ1757" s="10"/>
      <c r="AR1757" s="19"/>
      <c r="AS1757" s="20"/>
      <c r="AT1757" s="19"/>
      <c r="AV1757" s="21">
        <f>IF(AND($AL1757&lt;&gt;"",COUNTIF($AL$11:$AL1757,$AL1757)=1),1,0)</f>
        <v>0</v>
      </c>
      <c r="AW1757" s="21">
        <f t="shared" si="141"/>
        <v>0</v>
      </c>
      <c r="AX1757" s="21" t="str">
        <f t="shared" si="140"/>
        <v/>
      </c>
      <c r="AY1757" s="21" t="str">
        <f>IF(AND($AM1757&lt;&gt;"",$AS1757&lt;&gt;"✓"),SUMPRODUCT(($AM$11:$AM1757&lt;&gt;"")*($AS$11:$AS1757&lt;&gt;"✓")),"")</f>
        <v/>
      </c>
      <c r="AZ1757" s="21" t="str">
        <f>IF(AND($AM1757&lt;&gt;"",$AS1757="✓"),SUMPRODUCT(($AM$11:$AM1757&lt;&gt;"")*($AS$11:$AS1757="✓")),"")</f>
        <v/>
      </c>
      <c r="BA1757" s="21" t="str">
        <f>IF($AL1757="","",$AL1757&amp;"|"&amp;COUNTIF($AL$11:$AL1757,$AL1757))</f>
        <v/>
      </c>
    </row>
    <row r="1758" spans="38:53" ht="15" customHeight="1" x14ac:dyDescent="0.25">
      <c r="AL1758" s="31"/>
      <c r="AM1758" s="26"/>
      <c r="AN1758" s="32"/>
      <c r="AO1758" s="32"/>
      <c r="AP1758" s="24"/>
      <c r="AQ1758" s="24"/>
      <c r="AR1758" s="33"/>
      <c r="AS1758" s="34"/>
      <c r="AT1758" s="33"/>
      <c r="AV1758" s="21">
        <f>IF(AND($AL1758&lt;&gt;"",COUNTIF($AL$11:$AL1758,$AL1758)=1),1,0)</f>
        <v>0</v>
      </c>
      <c r="AW1758" s="21">
        <f t="shared" si="141"/>
        <v>0</v>
      </c>
      <c r="AX1758" s="21" t="str">
        <f t="shared" si="140"/>
        <v/>
      </c>
      <c r="AY1758" s="21" t="str">
        <f>IF(AND($AM1758&lt;&gt;"",$AS1758&lt;&gt;"✓"),SUMPRODUCT(($AM$11:$AM1758&lt;&gt;"")*($AS$11:$AS1758&lt;&gt;"✓")),"")</f>
        <v/>
      </c>
      <c r="AZ1758" s="21" t="str">
        <f>IF(AND($AM1758&lt;&gt;"",$AS1758="✓"),SUMPRODUCT(($AM$11:$AM1758&lt;&gt;"")*($AS$11:$AS1758="✓")),"")</f>
        <v/>
      </c>
      <c r="BA1758" s="21" t="str">
        <f>IF($AL1758="","",$AL1758&amp;"|"&amp;COUNTIF($AL$11:$AL1758,$AL1758))</f>
        <v/>
      </c>
    </row>
    <row r="1759" spans="38:53" ht="15" customHeight="1" x14ac:dyDescent="0.25">
      <c r="AL1759" s="17"/>
      <c r="AM1759" s="12"/>
      <c r="AN1759" s="18"/>
      <c r="AO1759" s="18"/>
      <c r="AP1759" s="10"/>
      <c r="AQ1759" s="10"/>
      <c r="AR1759" s="19"/>
      <c r="AS1759" s="20"/>
      <c r="AT1759" s="19"/>
      <c r="AV1759" s="21">
        <f>IF(AND($AL1759&lt;&gt;"",COUNTIF($AL$11:$AL1759,$AL1759)=1),1,0)</f>
        <v>0</v>
      </c>
      <c r="AW1759" s="21">
        <f t="shared" si="141"/>
        <v>0</v>
      </c>
      <c r="AX1759" s="21" t="str">
        <f t="shared" si="140"/>
        <v/>
      </c>
      <c r="AY1759" s="21" t="str">
        <f>IF(AND($AM1759&lt;&gt;"",$AS1759&lt;&gt;"✓"),SUMPRODUCT(($AM$11:$AM1759&lt;&gt;"")*($AS$11:$AS1759&lt;&gt;"✓")),"")</f>
        <v/>
      </c>
      <c r="AZ1759" s="21" t="str">
        <f>IF(AND($AM1759&lt;&gt;"",$AS1759="✓"),SUMPRODUCT(($AM$11:$AM1759&lt;&gt;"")*($AS$11:$AS1759="✓")),"")</f>
        <v/>
      </c>
      <c r="BA1759" s="21" t="str">
        <f>IF($AL1759="","",$AL1759&amp;"|"&amp;COUNTIF($AL$11:$AL1759,$AL1759))</f>
        <v/>
      </c>
    </row>
    <row r="1760" spans="38:53" ht="15" customHeight="1" x14ac:dyDescent="0.25">
      <c r="AL1760" s="31"/>
      <c r="AM1760" s="26"/>
      <c r="AN1760" s="32"/>
      <c r="AO1760" s="32"/>
      <c r="AP1760" s="24"/>
      <c r="AQ1760" s="24"/>
      <c r="AR1760" s="33"/>
      <c r="AS1760" s="34"/>
      <c r="AT1760" s="33"/>
      <c r="AV1760" s="21">
        <f>IF(AND($AL1760&lt;&gt;"",COUNTIF($AL$11:$AL1760,$AL1760)=1),1,0)</f>
        <v>0</v>
      </c>
      <c r="AW1760" s="21">
        <f t="shared" si="141"/>
        <v>0</v>
      </c>
      <c r="AX1760" s="21" t="str">
        <f t="shared" si="140"/>
        <v/>
      </c>
      <c r="AY1760" s="21" t="str">
        <f>IF(AND($AM1760&lt;&gt;"",$AS1760&lt;&gt;"✓"),SUMPRODUCT(($AM$11:$AM1760&lt;&gt;"")*($AS$11:$AS1760&lt;&gt;"✓")),"")</f>
        <v/>
      </c>
      <c r="AZ1760" s="21" t="str">
        <f>IF(AND($AM1760&lt;&gt;"",$AS1760="✓"),SUMPRODUCT(($AM$11:$AM1760&lt;&gt;"")*($AS$11:$AS1760="✓")),"")</f>
        <v/>
      </c>
      <c r="BA1760" s="21" t="str">
        <f>IF($AL1760="","",$AL1760&amp;"|"&amp;COUNTIF($AL$11:$AL1760,$AL1760))</f>
        <v/>
      </c>
    </row>
    <row r="1761" spans="38:53" ht="15" customHeight="1" x14ac:dyDescent="0.25">
      <c r="AL1761" s="17"/>
      <c r="AM1761" s="12"/>
      <c r="AN1761" s="18"/>
      <c r="AO1761" s="18"/>
      <c r="AP1761" s="10"/>
      <c r="AQ1761" s="10"/>
      <c r="AR1761" s="19"/>
      <c r="AS1761" s="20"/>
      <c r="AT1761" s="19"/>
      <c r="AV1761" s="21">
        <f>IF(AND($AL1761&lt;&gt;"",COUNTIF($AL$11:$AL1761,$AL1761)=1),1,0)</f>
        <v>0</v>
      </c>
      <c r="AW1761" s="21">
        <f t="shared" si="141"/>
        <v>0</v>
      </c>
      <c r="AX1761" s="21" t="str">
        <f t="shared" si="140"/>
        <v/>
      </c>
      <c r="AY1761" s="21" t="str">
        <f>IF(AND($AM1761&lt;&gt;"",$AS1761&lt;&gt;"✓"),SUMPRODUCT(($AM$11:$AM1761&lt;&gt;"")*($AS$11:$AS1761&lt;&gt;"✓")),"")</f>
        <v/>
      </c>
      <c r="AZ1761" s="21" t="str">
        <f>IF(AND($AM1761&lt;&gt;"",$AS1761="✓"),SUMPRODUCT(($AM$11:$AM1761&lt;&gt;"")*($AS$11:$AS1761="✓")),"")</f>
        <v/>
      </c>
      <c r="BA1761" s="21" t="str">
        <f>IF($AL1761="","",$AL1761&amp;"|"&amp;COUNTIF($AL$11:$AL1761,$AL1761))</f>
        <v/>
      </c>
    </row>
    <row r="1762" spans="38:53" ht="15" customHeight="1" x14ac:dyDescent="0.25">
      <c r="AL1762" s="31"/>
      <c r="AM1762" s="26"/>
      <c r="AN1762" s="32"/>
      <c r="AO1762" s="32"/>
      <c r="AP1762" s="24"/>
      <c r="AQ1762" s="24"/>
      <c r="AR1762" s="33"/>
      <c r="AS1762" s="34"/>
      <c r="AT1762" s="33"/>
      <c r="AV1762" s="21">
        <f>IF(AND($AL1762&lt;&gt;"",COUNTIF($AL$11:$AL1762,$AL1762)=1),1,0)</f>
        <v>0</v>
      </c>
      <c r="AW1762" s="21">
        <f t="shared" si="141"/>
        <v>0</v>
      </c>
      <c r="AX1762" s="21" t="str">
        <f t="shared" si="140"/>
        <v/>
      </c>
      <c r="AY1762" s="21" t="str">
        <f>IF(AND($AM1762&lt;&gt;"",$AS1762&lt;&gt;"✓"),SUMPRODUCT(($AM$11:$AM1762&lt;&gt;"")*($AS$11:$AS1762&lt;&gt;"✓")),"")</f>
        <v/>
      </c>
      <c r="AZ1762" s="21" t="str">
        <f>IF(AND($AM1762&lt;&gt;"",$AS1762="✓"),SUMPRODUCT(($AM$11:$AM1762&lt;&gt;"")*($AS$11:$AS1762="✓")),"")</f>
        <v/>
      </c>
      <c r="BA1762" s="21" t="str">
        <f>IF($AL1762="","",$AL1762&amp;"|"&amp;COUNTIF($AL$11:$AL1762,$AL1762))</f>
        <v/>
      </c>
    </row>
    <row r="1763" spans="38:53" ht="15" customHeight="1" x14ac:dyDescent="0.25">
      <c r="AL1763" s="17"/>
      <c r="AM1763" s="12"/>
      <c r="AN1763" s="18"/>
      <c r="AO1763" s="18"/>
      <c r="AP1763" s="10"/>
      <c r="AQ1763" s="10"/>
      <c r="AR1763" s="19"/>
      <c r="AS1763" s="20"/>
      <c r="AT1763" s="19"/>
      <c r="AV1763" s="21">
        <f>IF(AND($AL1763&lt;&gt;"",COUNTIF($AL$11:$AL1763,$AL1763)=1),1,0)</f>
        <v>0</v>
      </c>
      <c r="AW1763" s="21">
        <f t="shared" si="141"/>
        <v>0</v>
      </c>
      <c r="AX1763" s="21" t="str">
        <f t="shared" si="140"/>
        <v/>
      </c>
      <c r="AY1763" s="21" t="str">
        <f>IF(AND($AM1763&lt;&gt;"",$AS1763&lt;&gt;"✓"),SUMPRODUCT(($AM$11:$AM1763&lt;&gt;"")*($AS$11:$AS1763&lt;&gt;"✓")),"")</f>
        <v/>
      </c>
      <c r="AZ1763" s="21" t="str">
        <f>IF(AND($AM1763&lt;&gt;"",$AS1763="✓"),SUMPRODUCT(($AM$11:$AM1763&lt;&gt;"")*($AS$11:$AS1763="✓")),"")</f>
        <v/>
      </c>
      <c r="BA1763" s="21" t="str">
        <f>IF($AL1763="","",$AL1763&amp;"|"&amp;COUNTIF($AL$11:$AL1763,$AL1763))</f>
        <v/>
      </c>
    </row>
    <row r="1764" spans="38:53" ht="15" customHeight="1" x14ac:dyDescent="0.25">
      <c r="AL1764" s="31"/>
      <c r="AM1764" s="26"/>
      <c r="AN1764" s="32"/>
      <c r="AO1764" s="32"/>
      <c r="AP1764" s="24"/>
      <c r="AQ1764" s="24"/>
      <c r="AR1764" s="33"/>
      <c r="AS1764" s="34"/>
      <c r="AT1764" s="33"/>
      <c r="AV1764" s="21">
        <f>IF(AND($AL1764&lt;&gt;"",COUNTIF($AL$11:$AL1764,$AL1764)=1),1,0)</f>
        <v>0</v>
      </c>
      <c r="AW1764" s="21">
        <f t="shared" si="141"/>
        <v>0</v>
      </c>
      <c r="AX1764" s="21" t="str">
        <f t="shared" si="140"/>
        <v/>
      </c>
      <c r="AY1764" s="21" t="str">
        <f>IF(AND($AM1764&lt;&gt;"",$AS1764&lt;&gt;"✓"),SUMPRODUCT(($AM$11:$AM1764&lt;&gt;"")*($AS$11:$AS1764&lt;&gt;"✓")),"")</f>
        <v/>
      </c>
      <c r="AZ1764" s="21" t="str">
        <f>IF(AND($AM1764&lt;&gt;"",$AS1764="✓"),SUMPRODUCT(($AM$11:$AM1764&lt;&gt;"")*($AS$11:$AS1764="✓")),"")</f>
        <v/>
      </c>
      <c r="BA1764" s="21" t="str">
        <f>IF($AL1764="","",$AL1764&amp;"|"&amp;COUNTIF($AL$11:$AL1764,$AL1764))</f>
        <v/>
      </c>
    </row>
    <row r="1765" spans="38:53" ht="15" customHeight="1" x14ac:dyDescent="0.25">
      <c r="AL1765" s="17"/>
      <c r="AM1765" s="12"/>
      <c r="AN1765" s="18"/>
      <c r="AO1765" s="18"/>
      <c r="AP1765" s="10"/>
      <c r="AQ1765" s="10"/>
      <c r="AR1765" s="19"/>
      <c r="AS1765" s="20"/>
      <c r="AT1765" s="19"/>
      <c r="AV1765" s="21">
        <f>IF(AND($AL1765&lt;&gt;"",COUNTIF($AL$11:$AL1765,$AL1765)=1),1,0)</f>
        <v>0</v>
      </c>
      <c r="AW1765" s="21">
        <f t="shared" si="141"/>
        <v>0</v>
      </c>
      <c r="AX1765" s="21" t="str">
        <f t="shared" si="140"/>
        <v/>
      </c>
      <c r="AY1765" s="21" t="str">
        <f>IF(AND($AM1765&lt;&gt;"",$AS1765&lt;&gt;"✓"),SUMPRODUCT(($AM$11:$AM1765&lt;&gt;"")*($AS$11:$AS1765&lt;&gt;"✓")),"")</f>
        <v/>
      </c>
      <c r="AZ1765" s="21" t="str">
        <f>IF(AND($AM1765&lt;&gt;"",$AS1765="✓"),SUMPRODUCT(($AM$11:$AM1765&lt;&gt;"")*($AS$11:$AS1765="✓")),"")</f>
        <v/>
      </c>
      <c r="BA1765" s="21" t="str">
        <f>IF($AL1765="","",$AL1765&amp;"|"&amp;COUNTIF($AL$11:$AL1765,$AL1765))</f>
        <v/>
      </c>
    </row>
    <row r="1766" spans="38:53" ht="15" customHeight="1" x14ac:dyDescent="0.25">
      <c r="AL1766" s="31"/>
      <c r="AM1766" s="26"/>
      <c r="AN1766" s="32"/>
      <c r="AO1766" s="32"/>
      <c r="AP1766" s="24"/>
      <c r="AQ1766" s="24"/>
      <c r="AR1766" s="33"/>
      <c r="AS1766" s="34"/>
      <c r="AT1766" s="33"/>
      <c r="AV1766" s="21">
        <f>IF(AND($AL1766&lt;&gt;"",COUNTIF($AL$11:$AL1766,$AL1766)=1),1,0)</f>
        <v>0</v>
      </c>
      <c r="AW1766" s="21">
        <f t="shared" si="141"/>
        <v>0</v>
      </c>
      <c r="AX1766" s="21" t="str">
        <f t="shared" si="140"/>
        <v/>
      </c>
      <c r="AY1766" s="21" t="str">
        <f>IF(AND($AM1766&lt;&gt;"",$AS1766&lt;&gt;"✓"),SUMPRODUCT(($AM$11:$AM1766&lt;&gt;"")*($AS$11:$AS1766&lt;&gt;"✓")),"")</f>
        <v/>
      </c>
      <c r="AZ1766" s="21" t="str">
        <f>IF(AND($AM1766&lt;&gt;"",$AS1766="✓"),SUMPRODUCT(($AM$11:$AM1766&lt;&gt;"")*($AS$11:$AS1766="✓")),"")</f>
        <v/>
      </c>
      <c r="BA1766" s="21" t="str">
        <f>IF($AL1766="","",$AL1766&amp;"|"&amp;COUNTIF($AL$11:$AL1766,$AL1766))</f>
        <v/>
      </c>
    </row>
    <row r="1767" spans="38:53" ht="15" customHeight="1" x14ac:dyDescent="0.25">
      <c r="AL1767" s="17"/>
      <c r="AM1767" s="12"/>
      <c r="AN1767" s="18"/>
      <c r="AO1767" s="18"/>
      <c r="AP1767" s="10"/>
      <c r="AQ1767" s="10"/>
      <c r="AR1767" s="19"/>
      <c r="AS1767" s="20"/>
      <c r="AT1767" s="19"/>
      <c r="AV1767" s="21">
        <f>IF(AND($AL1767&lt;&gt;"",COUNTIF($AL$11:$AL1767,$AL1767)=1),1,0)</f>
        <v>0</v>
      </c>
      <c r="AW1767" s="21">
        <f t="shared" si="141"/>
        <v>0</v>
      </c>
      <c r="AX1767" s="21" t="str">
        <f t="shared" si="140"/>
        <v/>
      </c>
      <c r="AY1767" s="21" t="str">
        <f>IF(AND($AM1767&lt;&gt;"",$AS1767&lt;&gt;"✓"),SUMPRODUCT(($AM$11:$AM1767&lt;&gt;"")*($AS$11:$AS1767&lt;&gt;"✓")),"")</f>
        <v/>
      </c>
      <c r="AZ1767" s="21" t="str">
        <f>IF(AND($AM1767&lt;&gt;"",$AS1767="✓"),SUMPRODUCT(($AM$11:$AM1767&lt;&gt;"")*($AS$11:$AS1767="✓")),"")</f>
        <v/>
      </c>
      <c r="BA1767" s="21" t="str">
        <f>IF($AL1767="","",$AL1767&amp;"|"&amp;COUNTIF($AL$11:$AL1767,$AL1767))</f>
        <v/>
      </c>
    </row>
    <row r="1768" spans="38:53" ht="15" customHeight="1" x14ac:dyDescent="0.25">
      <c r="AL1768" s="31"/>
      <c r="AM1768" s="26"/>
      <c r="AN1768" s="32"/>
      <c r="AO1768" s="32"/>
      <c r="AP1768" s="24"/>
      <c r="AQ1768" s="24"/>
      <c r="AR1768" s="33"/>
      <c r="AS1768" s="34"/>
      <c r="AT1768" s="33"/>
      <c r="AV1768" s="21">
        <f>IF(AND($AL1768&lt;&gt;"",COUNTIF($AL$11:$AL1768,$AL1768)=1),1,0)</f>
        <v>0</v>
      </c>
      <c r="AW1768" s="21">
        <f t="shared" si="141"/>
        <v>0</v>
      </c>
      <c r="AX1768" s="21" t="str">
        <f t="shared" si="140"/>
        <v/>
      </c>
      <c r="AY1768" s="21" t="str">
        <f>IF(AND($AM1768&lt;&gt;"",$AS1768&lt;&gt;"✓"),SUMPRODUCT(($AM$11:$AM1768&lt;&gt;"")*($AS$11:$AS1768&lt;&gt;"✓")),"")</f>
        <v/>
      </c>
      <c r="AZ1768" s="21" t="str">
        <f>IF(AND($AM1768&lt;&gt;"",$AS1768="✓"),SUMPRODUCT(($AM$11:$AM1768&lt;&gt;"")*($AS$11:$AS1768="✓")),"")</f>
        <v/>
      </c>
      <c r="BA1768" s="21" t="str">
        <f>IF($AL1768="","",$AL1768&amp;"|"&amp;COUNTIF($AL$11:$AL1768,$AL1768))</f>
        <v/>
      </c>
    </row>
    <row r="1769" spans="38:53" ht="15" customHeight="1" x14ac:dyDescent="0.25">
      <c r="AL1769" s="17"/>
      <c r="AM1769" s="12"/>
      <c r="AN1769" s="18"/>
      <c r="AO1769" s="18"/>
      <c r="AP1769" s="10"/>
      <c r="AQ1769" s="10"/>
      <c r="AR1769" s="19"/>
      <c r="AS1769" s="20"/>
      <c r="AT1769" s="19"/>
      <c r="AV1769" s="21">
        <f>IF(AND($AL1769&lt;&gt;"",COUNTIF($AL$11:$AL1769,$AL1769)=1),1,0)</f>
        <v>0</v>
      </c>
      <c r="AW1769" s="21">
        <f t="shared" si="141"/>
        <v>0</v>
      </c>
      <c r="AX1769" s="21" t="str">
        <f t="shared" si="140"/>
        <v/>
      </c>
      <c r="AY1769" s="21" t="str">
        <f>IF(AND($AM1769&lt;&gt;"",$AS1769&lt;&gt;"✓"),SUMPRODUCT(($AM$11:$AM1769&lt;&gt;"")*($AS$11:$AS1769&lt;&gt;"✓")),"")</f>
        <v/>
      </c>
      <c r="AZ1769" s="21" t="str">
        <f>IF(AND($AM1769&lt;&gt;"",$AS1769="✓"),SUMPRODUCT(($AM$11:$AM1769&lt;&gt;"")*($AS$11:$AS1769="✓")),"")</f>
        <v/>
      </c>
      <c r="BA1769" s="21" t="str">
        <f>IF($AL1769="","",$AL1769&amp;"|"&amp;COUNTIF($AL$11:$AL1769,$AL1769))</f>
        <v/>
      </c>
    </row>
    <row r="1770" spans="38:53" ht="15" customHeight="1" x14ac:dyDescent="0.25">
      <c r="AL1770" s="31"/>
      <c r="AM1770" s="26"/>
      <c r="AN1770" s="32"/>
      <c r="AO1770" s="32"/>
      <c r="AP1770" s="24"/>
      <c r="AQ1770" s="24"/>
      <c r="AR1770" s="33"/>
      <c r="AS1770" s="34"/>
      <c r="AT1770" s="33"/>
      <c r="AV1770" s="21">
        <f>IF(AND($AL1770&lt;&gt;"",COUNTIF($AL$11:$AL1770,$AL1770)=1),1,0)</f>
        <v>0</v>
      </c>
      <c r="AW1770" s="21">
        <f t="shared" si="141"/>
        <v>0</v>
      </c>
      <c r="AX1770" s="21" t="str">
        <f t="shared" si="140"/>
        <v/>
      </c>
      <c r="AY1770" s="21" t="str">
        <f>IF(AND($AM1770&lt;&gt;"",$AS1770&lt;&gt;"✓"),SUMPRODUCT(($AM$11:$AM1770&lt;&gt;"")*($AS$11:$AS1770&lt;&gt;"✓")),"")</f>
        <v/>
      </c>
      <c r="AZ1770" s="21" t="str">
        <f>IF(AND($AM1770&lt;&gt;"",$AS1770="✓"),SUMPRODUCT(($AM$11:$AM1770&lt;&gt;"")*($AS$11:$AS1770="✓")),"")</f>
        <v/>
      </c>
      <c r="BA1770" s="21" t="str">
        <f>IF($AL1770="","",$AL1770&amp;"|"&amp;COUNTIF($AL$11:$AL1770,$AL1770))</f>
        <v/>
      </c>
    </row>
    <row r="1771" spans="38:53" ht="15" customHeight="1" x14ac:dyDescent="0.25">
      <c r="AL1771" s="17"/>
      <c r="AM1771" s="12"/>
      <c r="AN1771" s="18"/>
      <c r="AO1771" s="18"/>
      <c r="AP1771" s="10"/>
      <c r="AQ1771" s="10"/>
      <c r="AR1771" s="19"/>
      <c r="AS1771" s="20"/>
      <c r="AT1771" s="19"/>
      <c r="AV1771" s="21">
        <f>IF(AND($AL1771&lt;&gt;"",COUNTIF($AL$11:$AL1771,$AL1771)=1),1,0)</f>
        <v>0</v>
      </c>
      <c r="AW1771" s="21">
        <f t="shared" si="141"/>
        <v>0</v>
      </c>
      <c r="AX1771" s="21" t="str">
        <f t="shared" si="140"/>
        <v/>
      </c>
      <c r="AY1771" s="21" t="str">
        <f>IF(AND($AM1771&lt;&gt;"",$AS1771&lt;&gt;"✓"),SUMPRODUCT(($AM$11:$AM1771&lt;&gt;"")*($AS$11:$AS1771&lt;&gt;"✓")),"")</f>
        <v/>
      </c>
      <c r="AZ1771" s="21" t="str">
        <f>IF(AND($AM1771&lt;&gt;"",$AS1771="✓"),SUMPRODUCT(($AM$11:$AM1771&lt;&gt;"")*($AS$11:$AS1771="✓")),"")</f>
        <v/>
      </c>
      <c r="BA1771" s="21" t="str">
        <f>IF($AL1771="","",$AL1771&amp;"|"&amp;COUNTIF($AL$11:$AL1771,$AL1771))</f>
        <v/>
      </c>
    </row>
    <row r="1772" spans="38:53" ht="15" customHeight="1" x14ac:dyDescent="0.25">
      <c r="AL1772" s="31"/>
      <c r="AM1772" s="26"/>
      <c r="AN1772" s="32"/>
      <c r="AO1772" s="32"/>
      <c r="AP1772" s="24"/>
      <c r="AQ1772" s="24"/>
      <c r="AR1772" s="33"/>
      <c r="AS1772" s="34"/>
      <c r="AT1772" s="33"/>
      <c r="AV1772" s="21">
        <f>IF(AND($AL1772&lt;&gt;"",COUNTIF($AL$11:$AL1772,$AL1772)=1),1,0)</f>
        <v>0</v>
      </c>
      <c r="AW1772" s="21">
        <f t="shared" si="141"/>
        <v>0</v>
      </c>
      <c r="AX1772" s="21" t="str">
        <f t="shared" si="140"/>
        <v/>
      </c>
      <c r="AY1772" s="21" t="str">
        <f>IF(AND($AM1772&lt;&gt;"",$AS1772&lt;&gt;"✓"),SUMPRODUCT(($AM$11:$AM1772&lt;&gt;"")*($AS$11:$AS1772&lt;&gt;"✓")),"")</f>
        <v/>
      </c>
      <c r="AZ1772" s="21" t="str">
        <f>IF(AND($AM1772&lt;&gt;"",$AS1772="✓"),SUMPRODUCT(($AM$11:$AM1772&lt;&gt;"")*($AS$11:$AS1772="✓")),"")</f>
        <v/>
      </c>
      <c r="BA1772" s="21" t="str">
        <f>IF($AL1772="","",$AL1772&amp;"|"&amp;COUNTIF($AL$11:$AL1772,$AL1772))</f>
        <v/>
      </c>
    </row>
    <row r="1773" spans="38:53" ht="15" customHeight="1" x14ac:dyDescent="0.25">
      <c r="AL1773" s="17"/>
      <c r="AM1773" s="12"/>
      <c r="AN1773" s="18"/>
      <c r="AO1773" s="18"/>
      <c r="AP1773" s="10"/>
      <c r="AQ1773" s="10"/>
      <c r="AR1773" s="19"/>
      <c r="AS1773" s="20"/>
      <c r="AT1773" s="19"/>
      <c r="AV1773" s="21">
        <f>IF(AND($AL1773&lt;&gt;"",COUNTIF($AL$11:$AL1773,$AL1773)=1),1,0)</f>
        <v>0</v>
      </c>
      <c r="AW1773" s="21">
        <f t="shared" si="141"/>
        <v>0</v>
      </c>
      <c r="AX1773" s="21" t="str">
        <f t="shared" si="140"/>
        <v/>
      </c>
      <c r="AY1773" s="21" t="str">
        <f>IF(AND($AM1773&lt;&gt;"",$AS1773&lt;&gt;"✓"),SUMPRODUCT(($AM$11:$AM1773&lt;&gt;"")*($AS$11:$AS1773&lt;&gt;"✓")),"")</f>
        <v/>
      </c>
      <c r="AZ1773" s="21" t="str">
        <f>IF(AND($AM1773&lt;&gt;"",$AS1773="✓"),SUMPRODUCT(($AM$11:$AM1773&lt;&gt;"")*($AS$11:$AS1773="✓")),"")</f>
        <v/>
      </c>
      <c r="BA1773" s="21" t="str">
        <f>IF($AL1773="","",$AL1773&amp;"|"&amp;COUNTIF($AL$11:$AL1773,$AL1773))</f>
        <v/>
      </c>
    </row>
    <row r="1774" spans="38:53" ht="15" customHeight="1" x14ac:dyDescent="0.25">
      <c r="AL1774" s="31"/>
      <c r="AM1774" s="26"/>
      <c r="AN1774" s="32"/>
      <c r="AO1774" s="32"/>
      <c r="AP1774" s="24"/>
      <c r="AQ1774" s="24"/>
      <c r="AR1774" s="33"/>
      <c r="AS1774" s="34"/>
      <c r="AT1774" s="33"/>
      <c r="AV1774" s="21">
        <f>IF(AND($AL1774&lt;&gt;"",COUNTIF($AL$11:$AL1774,$AL1774)=1),1,0)</f>
        <v>0</v>
      </c>
      <c r="AW1774" s="21">
        <f t="shared" si="141"/>
        <v>0</v>
      </c>
      <c r="AX1774" s="21" t="str">
        <f t="shared" si="140"/>
        <v/>
      </c>
      <c r="AY1774" s="21" t="str">
        <f>IF(AND($AM1774&lt;&gt;"",$AS1774&lt;&gt;"✓"),SUMPRODUCT(($AM$11:$AM1774&lt;&gt;"")*($AS$11:$AS1774&lt;&gt;"✓")),"")</f>
        <v/>
      </c>
      <c r="AZ1774" s="21" t="str">
        <f>IF(AND($AM1774&lt;&gt;"",$AS1774="✓"),SUMPRODUCT(($AM$11:$AM1774&lt;&gt;"")*($AS$11:$AS1774="✓")),"")</f>
        <v/>
      </c>
      <c r="BA1774" s="21" t="str">
        <f>IF($AL1774="","",$AL1774&amp;"|"&amp;COUNTIF($AL$11:$AL1774,$AL1774))</f>
        <v/>
      </c>
    </row>
    <row r="1775" spans="38:53" ht="15" customHeight="1" x14ac:dyDescent="0.25">
      <c r="AL1775" s="17"/>
      <c r="AM1775" s="12"/>
      <c r="AN1775" s="18"/>
      <c r="AO1775" s="18"/>
      <c r="AP1775" s="10"/>
      <c r="AQ1775" s="10"/>
      <c r="AR1775" s="19"/>
      <c r="AS1775" s="20"/>
      <c r="AT1775" s="19"/>
      <c r="AV1775" s="21">
        <f>IF(AND($AL1775&lt;&gt;"",COUNTIF($AL$11:$AL1775,$AL1775)=1),1,0)</f>
        <v>0</v>
      </c>
      <c r="AW1775" s="21">
        <f t="shared" si="141"/>
        <v>0</v>
      </c>
      <c r="AX1775" s="21" t="str">
        <f t="shared" si="140"/>
        <v/>
      </c>
      <c r="AY1775" s="21" t="str">
        <f>IF(AND($AM1775&lt;&gt;"",$AS1775&lt;&gt;"✓"),SUMPRODUCT(($AM$11:$AM1775&lt;&gt;"")*($AS$11:$AS1775&lt;&gt;"✓")),"")</f>
        <v/>
      </c>
      <c r="AZ1775" s="21" t="str">
        <f>IF(AND($AM1775&lt;&gt;"",$AS1775="✓"),SUMPRODUCT(($AM$11:$AM1775&lt;&gt;"")*($AS$11:$AS1775="✓")),"")</f>
        <v/>
      </c>
      <c r="BA1775" s="21" t="str">
        <f>IF($AL1775="","",$AL1775&amp;"|"&amp;COUNTIF($AL$11:$AL1775,$AL1775))</f>
        <v/>
      </c>
    </row>
    <row r="1776" spans="38:53" ht="15" customHeight="1" x14ac:dyDescent="0.25">
      <c r="AL1776" s="31"/>
      <c r="AM1776" s="26"/>
      <c r="AN1776" s="32"/>
      <c r="AO1776" s="32"/>
      <c r="AP1776" s="24"/>
      <c r="AQ1776" s="24"/>
      <c r="AR1776" s="33"/>
      <c r="AS1776" s="34"/>
      <c r="AT1776" s="33"/>
      <c r="AV1776" s="21">
        <f>IF(AND($AL1776&lt;&gt;"",COUNTIF($AL$11:$AL1776,$AL1776)=1),1,0)</f>
        <v>0</v>
      </c>
      <c r="AW1776" s="21">
        <f t="shared" si="141"/>
        <v>0</v>
      </c>
      <c r="AX1776" s="21" t="str">
        <f t="shared" si="140"/>
        <v/>
      </c>
      <c r="AY1776" s="21" t="str">
        <f>IF(AND($AM1776&lt;&gt;"",$AS1776&lt;&gt;"✓"),SUMPRODUCT(($AM$11:$AM1776&lt;&gt;"")*($AS$11:$AS1776&lt;&gt;"✓")),"")</f>
        <v/>
      </c>
      <c r="AZ1776" s="21" t="str">
        <f>IF(AND($AM1776&lt;&gt;"",$AS1776="✓"),SUMPRODUCT(($AM$11:$AM1776&lt;&gt;"")*($AS$11:$AS1776="✓")),"")</f>
        <v/>
      </c>
      <c r="BA1776" s="21" t="str">
        <f>IF($AL1776="","",$AL1776&amp;"|"&amp;COUNTIF($AL$11:$AL1776,$AL1776))</f>
        <v/>
      </c>
    </row>
    <row r="1777" spans="38:53" ht="15" customHeight="1" x14ac:dyDescent="0.25">
      <c r="AL1777" s="17"/>
      <c r="AM1777" s="12"/>
      <c r="AN1777" s="18"/>
      <c r="AO1777" s="18"/>
      <c r="AP1777" s="10"/>
      <c r="AQ1777" s="10"/>
      <c r="AR1777" s="19"/>
      <c r="AS1777" s="20"/>
      <c r="AT1777" s="19"/>
      <c r="AV1777" s="21">
        <f>IF(AND($AL1777&lt;&gt;"",COUNTIF($AL$11:$AL1777,$AL1777)=1),1,0)</f>
        <v>0</v>
      </c>
      <c r="AW1777" s="21">
        <f t="shared" si="141"/>
        <v>0</v>
      </c>
      <c r="AX1777" s="21" t="str">
        <f t="shared" si="140"/>
        <v/>
      </c>
      <c r="AY1777" s="21" t="str">
        <f>IF(AND($AM1777&lt;&gt;"",$AS1777&lt;&gt;"✓"),SUMPRODUCT(($AM$11:$AM1777&lt;&gt;"")*($AS$11:$AS1777&lt;&gt;"✓")),"")</f>
        <v/>
      </c>
      <c r="AZ1777" s="21" t="str">
        <f>IF(AND($AM1777&lt;&gt;"",$AS1777="✓"),SUMPRODUCT(($AM$11:$AM1777&lt;&gt;"")*($AS$11:$AS1777="✓")),"")</f>
        <v/>
      </c>
      <c r="BA1777" s="21" t="str">
        <f>IF($AL1777="","",$AL1777&amp;"|"&amp;COUNTIF($AL$11:$AL1777,$AL1777))</f>
        <v/>
      </c>
    </row>
    <row r="1778" spans="38:53" ht="15" customHeight="1" x14ac:dyDescent="0.25">
      <c r="AL1778" s="31"/>
      <c r="AM1778" s="26"/>
      <c r="AN1778" s="32"/>
      <c r="AO1778" s="32"/>
      <c r="AP1778" s="24"/>
      <c r="AQ1778" s="24"/>
      <c r="AR1778" s="33"/>
      <c r="AS1778" s="34"/>
      <c r="AT1778" s="33"/>
      <c r="AV1778" s="21">
        <f>IF(AND($AL1778&lt;&gt;"",COUNTIF($AL$11:$AL1778,$AL1778)=1),1,0)</f>
        <v>0</v>
      </c>
      <c r="AW1778" s="21">
        <f t="shared" si="141"/>
        <v>0</v>
      </c>
      <c r="AX1778" s="21" t="str">
        <f t="shared" si="140"/>
        <v/>
      </c>
      <c r="AY1778" s="21" t="str">
        <f>IF(AND($AM1778&lt;&gt;"",$AS1778&lt;&gt;"✓"),SUMPRODUCT(($AM$11:$AM1778&lt;&gt;"")*($AS$11:$AS1778&lt;&gt;"✓")),"")</f>
        <v/>
      </c>
      <c r="AZ1778" s="21" t="str">
        <f>IF(AND($AM1778&lt;&gt;"",$AS1778="✓"),SUMPRODUCT(($AM$11:$AM1778&lt;&gt;"")*($AS$11:$AS1778="✓")),"")</f>
        <v/>
      </c>
      <c r="BA1778" s="21" t="str">
        <f>IF($AL1778="","",$AL1778&amp;"|"&amp;COUNTIF($AL$11:$AL1778,$AL1778))</f>
        <v/>
      </c>
    </row>
    <row r="1779" spans="38:53" ht="15" customHeight="1" x14ac:dyDescent="0.25">
      <c r="AL1779" s="17"/>
      <c r="AM1779" s="12"/>
      <c r="AN1779" s="18"/>
      <c r="AO1779" s="18"/>
      <c r="AP1779" s="10"/>
      <c r="AQ1779" s="10"/>
      <c r="AR1779" s="19"/>
      <c r="AS1779" s="20"/>
      <c r="AT1779" s="19"/>
      <c r="AV1779" s="21">
        <f>IF(AND($AL1779&lt;&gt;"",COUNTIF($AL$11:$AL1779,$AL1779)=1),1,0)</f>
        <v>0</v>
      </c>
      <c r="AW1779" s="21">
        <f t="shared" si="141"/>
        <v>0</v>
      </c>
      <c r="AX1779" s="21" t="str">
        <f t="shared" si="140"/>
        <v/>
      </c>
      <c r="AY1779" s="21" t="str">
        <f>IF(AND($AM1779&lt;&gt;"",$AS1779&lt;&gt;"✓"),SUMPRODUCT(($AM$11:$AM1779&lt;&gt;"")*($AS$11:$AS1779&lt;&gt;"✓")),"")</f>
        <v/>
      </c>
      <c r="AZ1779" s="21" t="str">
        <f>IF(AND($AM1779&lt;&gt;"",$AS1779="✓"),SUMPRODUCT(($AM$11:$AM1779&lt;&gt;"")*($AS$11:$AS1779="✓")),"")</f>
        <v/>
      </c>
      <c r="BA1779" s="21" t="str">
        <f>IF($AL1779="","",$AL1779&amp;"|"&amp;COUNTIF($AL$11:$AL1779,$AL1779))</f>
        <v/>
      </c>
    </row>
    <row r="1780" spans="38:53" ht="15" customHeight="1" x14ac:dyDescent="0.25">
      <c r="AL1780" s="31"/>
      <c r="AM1780" s="26"/>
      <c r="AN1780" s="32"/>
      <c r="AO1780" s="32"/>
      <c r="AP1780" s="24"/>
      <c r="AQ1780" s="24"/>
      <c r="AR1780" s="33"/>
      <c r="AS1780" s="34"/>
      <c r="AT1780" s="33"/>
      <c r="AV1780" s="21">
        <f>IF(AND($AL1780&lt;&gt;"",COUNTIF($AL$11:$AL1780,$AL1780)=1),1,0)</f>
        <v>0</v>
      </c>
      <c r="AW1780" s="21">
        <f t="shared" si="141"/>
        <v>0</v>
      </c>
      <c r="AX1780" s="21" t="str">
        <f t="shared" si="140"/>
        <v/>
      </c>
      <c r="AY1780" s="21" t="str">
        <f>IF(AND($AM1780&lt;&gt;"",$AS1780&lt;&gt;"✓"),SUMPRODUCT(($AM$11:$AM1780&lt;&gt;"")*($AS$11:$AS1780&lt;&gt;"✓")),"")</f>
        <v/>
      </c>
      <c r="AZ1780" s="21" t="str">
        <f>IF(AND($AM1780&lt;&gt;"",$AS1780="✓"),SUMPRODUCT(($AM$11:$AM1780&lt;&gt;"")*($AS$11:$AS1780="✓")),"")</f>
        <v/>
      </c>
      <c r="BA1780" s="21" t="str">
        <f>IF($AL1780="","",$AL1780&amp;"|"&amp;COUNTIF($AL$11:$AL1780,$AL1780))</f>
        <v/>
      </c>
    </row>
    <row r="1781" spans="38:53" ht="15" customHeight="1" x14ac:dyDescent="0.25">
      <c r="AL1781" s="17"/>
      <c r="AM1781" s="12"/>
      <c r="AN1781" s="18"/>
      <c r="AO1781" s="18"/>
      <c r="AP1781" s="10"/>
      <c r="AQ1781" s="10"/>
      <c r="AR1781" s="19"/>
      <c r="AS1781" s="20"/>
      <c r="AT1781" s="19"/>
      <c r="AV1781" s="21">
        <f>IF(AND($AL1781&lt;&gt;"",COUNTIF($AL$11:$AL1781,$AL1781)=1),1,0)</f>
        <v>0</v>
      </c>
      <c r="AW1781" s="21">
        <f t="shared" si="141"/>
        <v>0</v>
      </c>
      <c r="AX1781" s="21" t="str">
        <f t="shared" si="140"/>
        <v/>
      </c>
      <c r="AY1781" s="21" t="str">
        <f>IF(AND($AM1781&lt;&gt;"",$AS1781&lt;&gt;"✓"),SUMPRODUCT(($AM$11:$AM1781&lt;&gt;"")*($AS$11:$AS1781&lt;&gt;"✓")),"")</f>
        <v/>
      </c>
      <c r="AZ1781" s="21" t="str">
        <f>IF(AND($AM1781&lt;&gt;"",$AS1781="✓"),SUMPRODUCT(($AM$11:$AM1781&lt;&gt;"")*($AS$11:$AS1781="✓")),"")</f>
        <v/>
      </c>
      <c r="BA1781" s="21" t="str">
        <f>IF($AL1781="","",$AL1781&amp;"|"&amp;COUNTIF($AL$11:$AL1781,$AL1781))</f>
        <v/>
      </c>
    </row>
    <row r="1782" spans="38:53" ht="15" customHeight="1" x14ac:dyDescent="0.25">
      <c r="AL1782" s="31"/>
      <c r="AM1782" s="26"/>
      <c r="AN1782" s="32"/>
      <c r="AO1782" s="32"/>
      <c r="AP1782" s="24"/>
      <c r="AQ1782" s="24"/>
      <c r="AR1782" s="33"/>
      <c r="AS1782" s="34"/>
      <c r="AT1782" s="33"/>
      <c r="AV1782" s="21">
        <f>IF(AND($AL1782&lt;&gt;"",COUNTIF($AL$11:$AL1782,$AL1782)=1),1,0)</f>
        <v>0</v>
      </c>
      <c r="AW1782" s="21">
        <f t="shared" si="141"/>
        <v>0</v>
      </c>
      <c r="AX1782" s="21" t="str">
        <f t="shared" si="140"/>
        <v/>
      </c>
      <c r="AY1782" s="21" t="str">
        <f>IF(AND($AM1782&lt;&gt;"",$AS1782&lt;&gt;"✓"),SUMPRODUCT(($AM$11:$AM1782&lt;&gt;"")*($AS$11:$AS1782&lt;&gt;"✓")),"")</f>
        <v/>
      </c>
      <c r="AZ1782" s="21" t="str">
        <f>IF(AND($AM1782&lt;&gt;"",$AS1782="✓"),SUMPRODUCT(($AM$11:$AM1782&lt;&gt;"")*($AS$11:$AS1782="✓")),"")</f>
        <v/>
      </c>
      <c r="BA1782" s="21" t="str">
        <f>IF($AL1782="","",$AL1782&amp;"|"&amp;COUNTIF($AL$11:$AL1782,$AL1782))</f>
        <v/>
      </c>
    </row>
    <row r="1783" spans="38:53" ht="15" customHeight="1" x14ac:dyDescent="0.25">
      <c r="AL1783" s="17"/>
      <c r="AM1783" s="12"/>
      <c r="AN1783" s="18"/>
      <c r="AO1783" s="18"/>
      <c r="AP1783" s="10"/>
      <c r="AQ1783" s="10"/>
      <c r="AR1783" s="19"/>
      <c r="AS1783" s="20"/>
      <c r="AT1783" s="19"/>
      <c r="AV1783" s="21">
        <f>IF(AND($AL1783&lt;&gt;"",COUNTIF($AL$11:$AL1783,$AL1783)=1),1,0)</f>
        <v>0</v>
      </c>
      <c r="AW1783" s="21">
        <f t="shared" si="141"/>
        <v>0</v>
      </c>
      <c r="AX1783" s="21" t="str">
        <f t="shared" si="140"/>
        <v/>
      </c>
      <c r="AY1783" s="21" t="str">
        <f>IF(AND($AM1783&lt;&gt;"",$AS1783&lt;&gt;"✓"),SUMPRODUCT(($AM$11:$AM1783&lt;&gt;"")*($AS$11:$AS1783&lt;&gt;"✓")),"")</f>
        <v/>
      </c>
      <c r="AZ1783" s="21" t="str">
        <f>IF(AND($AM1783&lt;&gt;"",$AS1783="✓"),SUMPRODUCT(($AM$11:$AM1783&lt;&gt;"")*($AS$11:$AS1783="✓")),"")</f>
        <v/>
      </c>
      <c r="BA1783" s="21" t="str">
        <f>IF($AL1783="","",$AL1783&amp;"|"&amp;COUNTIF($AL$11:$AL1783,$AL1783))</f>
        <v/>
      </c>
    </row>
    <row r="1784" spans="38:53" ht="15" customHeight="1" x14ac:dyDescent="0.25">
      <c r="AL1784" s="31"/>
      <c r="AM1784" s="26"/>
      <c r="AN1784" s="32"/>
      <c r="AO1784" s="32"/>
      <c r="AP1784" s="24"/>
      <c r="AQ1784" s="24"/>
      <c r="AR1784" s="33"/>
      <c r="AS1784" s="34"/>
      <c r="AT1784" s="33"/>
      <c r="AV1784" s="21">
        <f>IF(AND($AL1784&lt;&gt;"",COUNTIF($AL$11:$AL1784,$AL1784)=1),1,0)</f>
        <v>0</v>
      </c>
      <c r="AW1784" s="21">
        <f t="shared" si="141"/>
        <v>0</v>
      </c>
      <c r="AX1784" s="21" t="str">
        <f t="shared" si="140"/>
        <v/>
      </c>
      <c r="AY1784" s="21" t="str">
        <f>IF(AND($AM1784&lt;&gt;"",$AS1784&lt;&gt;"✓"),SUMPRODUCT(($AM$11:$AM1784&lt;&gt;"")*($AS$11:$AS1784&lt;&gt;"✓")),"")</f>
        <v/>
      </c>
      <c r="AZ1784" s="21" t="str">
        <f>IF(AND($AM1784&lt;&gt;"",$AS1784="✓"),SUMPRODUCT(($AM$11:$AM1784&lt;&gt;"")*($AS$11:$AS1784="✓")),"")</f>
        <v/>
      </c>
      <c r="BA1784" s="21" t="str">
        <f>IF($AL1784="","",$AL1784&amp;"|"&amp;COUNTIF($AL$11:$AL1784,$AL1784))</f>
        <v/>
      </c>
    </row>
    <row r="1785" spans="38:53" ht="15" customHeight="1" x14ac:dyDescent="0.25">
      <c r="AL1785" s="17"/>
      <c r="AM1785" s="12"/>
      <c r="AN1785" s="18"/>
      <c r="AO1785" s="18"/>
      <c r="AP1785" s="10"/>
      <c r="AQ1785" s="10"/>
      <c r="AR1785" s="19"/>
      <c r="AS1785" s="20"/>
      <c r="AT1785" s="19"/>
      <c r="AV1785" s="21">
        <f>IF(AND($AL1785&lt;&gt;"",COUNTIF($AL$11:$AL1785,$AL1785)=1),1,0)</f>
        <v>0</v>
      </c>
      <c r="AW1785" s="21">
        <f t="shared" si="141"/>
        <v>0</v>
      </c>
      <c r="AX1785" s="21" t="str">
        <f t="shared" si="140"/>
        <v/>
      </c>
      <c r="AY1785" s="21" t="str">
        <f>IF(AND($AM1785&lt;&gt;"",$AS1785&lt;&gt;"✓"),SUMPRODUCT(($AM$11:$AM1785&lt;&gt;"")*($AS$11:$AS1785&lt;&gt;"✓")),"")</f>
        <v/>
      </c>
      <c r="AZ1785" s="21" t="str">
        <f>IF(AND($AM1785&lt;&gt;"",$AS1785="✓"),SUMPRODUCT(($AM$11:$AM1785&lt;&gt;"")*($AS$11:$AS1785="✓")),"")</f>
        <v/>
      </c>
      <c r="BA1785" s="21" t="str">
        <f>IF($AL1785="","",$AL1785&amp;"|"&amp;COUNTIF($AL$11:$AL1785,$AL1785))</f>
        <v/>
      </c>
    </row>
    <row r="1786" spans="38:53" ht="15" customHeight="1" x14ac:dyDescent="0.25">
      <c r="AL1786" s="31"/>
      <c r="AM1786" s="26"/>
      <c r="AN1786" s="32"/>
      <c r="AO1786" s="32"/>
      <c r="AP1786" s="24"/>
      <c r="AQ1786" s="24"/>
      <c r="AR1786" s="33"/>
      <c r="AS1786" s="34"/>
      <c r="AT1786" s="33"/>
      <c r="AV1786" s="21">
        <f>IF(AND($AL1786&lt;&gt;"",COUNTIF($AL$11:$AL1786,$AL1786)=1),1,0)</f>
        <v>0</v>
      </c>
      <c r="AW1786" s="21">
        <f t="shared" si="141"/>
        <v>0</v>
      </c>
      <c r="AX1786" s="21" t="str">
        <f t="shared" si="140"/>
        <v/>
      </c>
      <c r="AY1786" s="21" t="str">
        <f>IF(AND($AM1786&lt;&gt;"",$AS1786&lt;&gt;"✓"),SUMPRODUCT(($AM$11:$AM1786&lt;&gt;"")*($AS$11:$AS1786&lt;&gt;"✓")),"")</f>
        <v/>
      </c>
      <c r="AZ1786" s="21" t="str">
        <f>IF(AND($AM1786&lt;&gt;"",$AS1786="✓"),SUMPRODUCT(($AM$11:$AM1786&lt;&gt;"")*($AS$11:$AS1786="✓")),"")</f>
        <v/>
      </c>
      <c r="BA1786" s="21" t="str">
        <f>IF($AL1786="","",$AL1786&amp;"|"&amp;COUNTIF($AL$11:$AL1786,$AL1786))</f>
        <v/>
      </c>
    </row>
    <row r="1787" spans="38:53" ht="15" customHeight="1" x14ac:dyDescent="0.25">
      <c r="AL1787" s="17"/>
      <c r="AM1787" s="12"/>
      <c r="AN1787" s="18"/>
      <c r="AO1787" s="18"/>
      <c r="AP1787" s="10"/>
      <c r="AQ1787" s="10"/>
      <c r="AR1787" s="19"/>
      <c r="AS1787" s="20"/>
      <c r="AT1787" s="19"/>
      <c r="AV1787" s="21">
        <f>IF(AND($AL1787&lt;&gt;"",COUNTIF($AL$11:$AL1787,$AL1787)=1),1,0)</f>
        <v>0</v>
      </c>
      <c r="AW1787" s="21">
        <f t="shared" si="141"/>
        <v>0</v>
      </c>
      <c r="AX1787" s="21" t="str">
        <f t="shared" si="140"/>
        <v/>
      </c>
      <c r="AY1787" s="21" t="str">
        <f>IF(AND($AM1787&lt;&gt;"",$AS1787&lt;&gt;"✓"),SUMPRODUCT(($AM$11:$AM1787&lt;&gt;"")*($AS$11:$AS1787&lt;&gt;"✓")),"")</f>
        <v/>
      </c>
      <c r="AZ1787" s="21" t="str">
        <f>IF(AND($AM1787&lt;&gt;"",$AS1787="✓"),SUMPRODUCT(($AM$11:$AM1787&lt;&gt;"")*($AS$11:$AS1787="✓")),"")</f>
        <v/>
      </c>
      <c r="BA1787" s="21" t="str">
        <f>IF($AL1787="","",$AL1787&amp;"|"&amp;COUNTIF($AL$11:$AL1787,$AL1787))</f>
        <v/>
      </c>
    </row>
    <row r="1788" spans="38:53" ht="15" customHeight="1" x14ac:dyDescent="0.25">
      <c r="AL1788" s="31"/>
      <c r="AM1788" s="26"/>
      <c r="AN1788" s="32"/>
      <c r="AO1788" s="32"/>
      <c r="AP1788" s="24"/>
      <c r="AQ1788" s="24"/>
      <c r="AR1788" s="33"/>
      <c r="AS1788" s="34"/>
      <c r="AT1788" s="33"/>
      <c r="AV1788" s="21">
        <f>IF(AND($AL1788&lt;&gt;"",COUNTIF($AL$11:$AL1788,$AL1788)=1),1,0)</f>
        <v>0</v>
      </c>
      <c r="AW1788" s="21">
        <f t="shared" si="141"/>
        <v>0</v>
      </c>
      <c r="AX1788" s="21" t="str">
        <f t="shared" si="140"/>
        <v/>
      </c>
      <c r="AY1788" s="21" t="str">
        <f>IF(AND($AM1788&lt;&gt;"",$AS1788&lt;&gt;"✓"),SUMPRODUCT(($AM$11:$AM1788&lt;&gt;"")*($AS$11:$AS1788&lt;&gt;"✓")),"")</f>
        <v/>
      </c>
      <c r="AZ1788" s="21" t="str">
        <f>IF(AND($AM1788&lt;&gt;"",$AS1788="✓"),SUMPRODUCT(($AM$11:$AM1788&lt;&gt;"")*($AS$11:$AS1788="✓")),"")</f>
        <v/>
      </c>
      <c r="BA1788" s="21" t="str">
        <f>IF($AL1788="","",$AL1788&amp;"|"&amp;COUNTIF($AL$11:$AL1788,$AL1788))</f>
        <v/>
      </c>
    </row>
    <row r="1789" spans="38:53" ht="15" customHeight="1" x14ac:dyDescent="0.25">
      <c r="AL1789" s="17"/>
      <c r="AM1789" s="12"/>
      <c r="AN1789" s="18"/>
      <c r="AO1789" s="18"/>
      <c r="AP1789" s="10"/>
      <c r="AQ1789" s="10"/>
      <c r="AR1789" s="19"/>
      <c r="AS1789" s="20"/>
      <c r="AT1789" s="19"/>
      <c r="AV1789" s="21">
        <f>IF(AND($AL1789&lt;&gt;"",COUNTIF($AL$11:$AL1789,$AL1789)=1),1,0)</f>
        <v>0</v>
      </c>
      <c r="AW1789" s="21">
        <f t="shared" si="141"/>
        <v>0</v>
      </c>
      <c r="AX1789" s="21" t="str">
        <f t="shared" si="140"/>
        <v/>
      </c>
      <c r="AY1789" s="21" t="str">
        <f>IF(AND($AM1789&lt;&gt;"",$AS1789&lt;&gt;"✓"),SUMPRODUCT(($AM$11:$AM1789&lt;&gt;"")*($AS$11:$AS1789&lt;&gt;"✓")),"")</f>
        <v/>
      </c>
      <c r="AZ1789" s="21" t="str">
        <f>IF(AND($AM1789&lt;&gt;"",$AS1789="✓"),SUMPRODUCT(($AM$11:$AM1789&lt;&gt;"")*($AS$11:$AS1789="✓")),"")</f>
        <v/>
      </c>
      <c r="BA1789" s="21" t="str">
        <f>IF($AL1789="","",$AL1789&amp;"|"&amp;COUNTIF($AL$11:$AL1789,$AL1789))</f>
        <v/>
      </c>
    </row>
    <row r="1790" spans="38:53" ht="15" customHeight="1" x14ac:dyDescent="0.25">
      <c r="AL1790" s="31"/>
      <c r="AM1790" s="26"/>
      <c r="AN1790" s="32"/>
      <c r="AO1790" s="32"/>
      <c r="AP1790" s="24"/>
      <c r="AQ1790" s="24"/>
      <c r="AR1790" s="33"/>
      <c r="AS1790" s="34"/>
      <c r="AT1790" s="33"/>
      <c r="AV1790" s="21">
        <f>IF(AND($AL1790&lt;&gt;"",COUNTIF($AL$11:$AL1790,$AL1790)=1),1,0)</f>
        <v>0</v>
      </c>
      <c r="AW1790" s="21">
        <f t="shared" si="141"/>
        <v>0</v>
      </c>
      <c r="AX1790" s="21" t="str">
        <f t="shared" si="140"/>
        <v/>
      </c>
      <c r="AY1790" s="21" t="str">
        <f>IF(AND($AM1790&lt;&gt;"",$AS1790&lt;&gt;"✓"),SUMPRODUCT(($AM$11:$AM1790&lt;&gt;"")*($AS$11:$AS1790&lt;&gt;"✓")),"")</f>
        <v/>
      </c>
      <c r="AZ1790" s="21" t="str">
        <f>IF(AND($AM1790&lt;&gt;"",$AS1790="✓"),SUMPRODUCT(($AM$11:$AM1790&lt;&gt;"")*($AS$11:$AS1790="✓")),"")</f>
        <v/>
      </c>
      <c r="BA1790" s="21" t="str">
        <f>IF($AL1790="","",$AL1790&amp;"|"&amp;COUNTIF($AL$11:$AL1790,$AL1790))</f>
        <v/>
      </c>
    </row>
    <row r="1791" spans="38:53" ht="15" customHeight="1" x14ac:dyDescent="0.25">
      <c r="AL1791" s="17"/>
      <c r="AM1791" s="12"/>
      <c r="AN1791" s="18"/>
      <c r="AO1791" s="18"/>
      <c r="AP1791" s="10"/>
      <c r="AQ1791" s="10"/>
      <c r="AR1791" s="19"/>
      <c r="AS1791" s="20"/>
      <c r="AT1791" s="19"/>
      <c r="AV1791" s="21">
        <f>IF(AND($AL1791&lt;&gt;"",COUNTIF($AL$11:$AL1791,$AL1791)=1),1,0)</f>
        <v>0</v>
      </c>
      <c r="AW1791" s="21">
        <f t="shared" si="141"/>
        <v>0</v>
      </c>
      <c r="AX1791" s="21" t="str">
        <f t="shared" si="140"/>
        <v/>
      </c>
      <c r="AY1791" s="21" t="str">
        <f>IF(AND($AM1791&lt;&gt;"",$AS1791&lt;&gt;"✓"),SUMPRODUCT(($AM$11:$AM1791&lt;&gt;"")*($AS$11:$AS1791&lt;&gt;"✓")),"")</f>
        <v/>
      </c>
      <c r="AZ1791" s="21" t="str">
        <f>IF(AND($AM1791&lt;&gt;"",$AS1791="✓"),SUMPRODUCT(($AM$11:$AM1791&lt;&gt;"")*($AS$11:$AS1791="✓")),"")</f>
        <v/>
      </c>
      <c r="BA1791" s="21" t="str">
        <f>IF($AL1791="","",$AL1791&amp;"|"&amp;COUNTIF($AL$11:$AL1791,$AL1791))</f>
        <v/>
      </c>
    </row>
    <row r="1792" spans="38:53" ht="15" customHeight="1" x14ac:dyDescent="0.25">
      <c r="AL1792" s="31"/>
      <c r="AM1792" s="26"/>
      <c r="AN1792" s="32"/>
      <c r="AO1792" s="32"/>
      <c r="AP1792" s="24"/>
      <c r="AQ1792" s="24"/>
      <c r="AR1792" s="33"/>
      <c r="AS1792" s="34"/>
      <c r="AT1792" s="33"/>
      <c r="AV1792" s="21">
        <f>IF(AND($AL1792&lt;&gt;"",COUNTIF($AL$11:$AL1792,$AL1792)=1),1,0)</f>
        <v>0</v>
      </c>
      <c r="AW1792" s="21">
        <f t="shared" si="141"/>
        <v>0</v>
      </c>
      <c r="AX1792" s="21" t="str">
        <f t="shared" si="140"/>
        <v/>
      </c>
      <c r="AY1792" s="21" t="str">
        <f>IF(AND($AM1792&lt;&gt;"",$AS1792&lt;&gt;"✓"),SUMPRODUCT(($AM$11:$AM1792&lt;&gt;"")*($AS$11:$AS1792&lt;&gt;"✓")),"")</f>
        <v/>
      </c>
      <c r="AZ1792" s="21" t="str">
        <f>IF(AND($AM1792&lt;&gt;"",$AS1792="✓"),SUMPRODUCT(($AM$11:$AM1792&lt;&gt;"")*($AS$11:$AS1792="✓")),"")</f>
        <v/>
      </c>
      <c r="BA1792" s="21" t="str">
        <f>IF($AL1792="","",$AL1792&amp;"|"&amp;COUNTIF($AL$11:$AL1792,$AL1792))</f>
        <v/>
      </c>
    </row>
    <row r="1793" spans="38:53" ht="15" customHeight="1" x14ac:dyDescent="0.25">
      <c r="AL1793" s="17"/>
      <c r="AM1793" s="12"/>
      <c r="AN1793" s="18"/>
      <c r="AO1793" s="18"/>
      <c r="AP1793" s="10"/>
      <c r="AQ1793" s="10"/>
      <c r="AR1793" s="19"/>
      <c r="AS1793" s="20"/>
      <c r="AT1793" s="19"/>
      <c r="AV1793" s="21">
        <f>IF(AND($AL1793&lt;&gt;"",COUNTIF($AL$11:$AL1793,$AL1793)=1),1,0)</f>
        <v>0</v>
      </c>
      <c r="AW1793" s="21">
        <f t="shared" si="141"/>
        <v>0</v>
      </c>
      <c r="AX1793" s="21" t="str">
        <f t="shared" si="140"/>
        <v/>
      </c>
      <c r="AY1793" s="21" t="str">
        <f>IF(AND($AM1793&lt;&gt;"",$AS1793&lt;&gt;"✓"),SUMPRODUCT(($AM$11:$AM1793&lt;&gt;"")*($AS$11:$AS1793&lt;&gt;"✓")),"")</f>
        <v/>
      </c>
      <c r="AZ1793" s="21" t="str">
        <f>IF(AND($AM1793&lt;&gt;"",$AS1793="✓"),SUMPRODUCT(($AM$11:$AM1793&lt;&gt;"")*($AS$11:$AS1793="✓")),"")</f>
        <v/>
      </c>
      <c r="BA1793" s="21" t="str">
        <f>IF($AL1793="","",$AL1793&amp;"|"&amp;COUNTIF($AL$11:$AL1793,$AL1793))</f>
        <v/>
      </c>
    </row>
    <row r="1794" spans="38:53" ht="15" customHeight="1" x14ac:dyDescent="0.25">
      <c r="AL1794" s="31"/>
      <c r="AM1794" s="26"/>
      <c r="AN1794" s="32"/>
      <c r="AO1794" s="32"/>
      <c r="AP1794" s="24"/>
      <c r="AQ1794" s="24"/>
      <c r="AR1794" s="33"/>
      <c r="AS1794" s="34"/>
      <c r="AT1794" s="33"/>
      <c r="AV1794" s="21">
        <f>IF(AND($AL1794&lt;&gt;"",COUNTIF($AL$11:$AL1794,$AL1794)=1),1,0)</f>
        <v>0</v>
      </c>
      <c r="AW1794" s="21">
        <f t="shared" si="141"/>
        <v>0</v>
      </c>
      <c r="AX1794" s="21" t="str">
        <f t="shared" si="140"/>
        <v/>
      </c>
      <c r="AY1794" s="21" t="str">
        <f>IF(AND($AM1794&lt;&gt;"",$AS1794&lt;&gt;"✓"),SUMPRODUCT(($AM$11:$AM1794&lt;&gt;"")*($AS$11:$AS1794&lt;&gt;"✓")),"")</f>
        <v/>
      </c>
      <c r="AZ1794" s="21" t="str">
        <f>IF(AND($AM1794&lt;&gt;"",$AS1794="✓"),SUMPRODUCT(($AM$11:$AM1794&lt;&gt;"")*($AS$11:$AS1794="✓")),"")</f>
        <v/>
      </c>
      <c r="BA1794" s="21" t="str">
        <f>IF($AL1794="","",$AL1794&amp;"|"&amp;COUNTIF($AL$11:$AL1794,$AL1794))</f>
        <v/>
      </c>
    </row>
    <row r="1795" spans="38:53" ht="15" customHeight="1" x14ac:dyDescent="0.25">
      <c r="AL1795" s="17"/>
      <c r="AM1795" s="12"/>
      <c r="AN1795" s="18"/>
      <c r="AO1795" s="18"/>
      <c r="AP1795" s="10"/>
      <c r="AQ1795" s="10"/>
      <c r="AR1795" s="19"/>
      <c r="AS1795" s="20"/>
      <c r="AT1795" s="19"/>
      <c r="AV1795" s="21">
        <f>IF(AND($AL1795&lt;&gt;"",COUNTIF($AL$11:$AL1795,$AL1795)=1),1,0)</f>
        <v>0</v>
      </c>
      <c r="AW1795" s="21">
        <f t="shared" si="141"/>
        <v>0</v>
      </c>
      <c r="AX1795" s="21" t="str">
        <f t="shared" si="140"/>
        <v/>
      </c>
      <c r="AY1795" s="21" t="str">
        <f>IF(AND($AM1795&lt;&gt;"",$AS1795&lt;&gt;"✓"),SUMPRODUCT(($AM$11:$AM1795&lt;&gt;"")*($AS$11:$AS1795&lt;&gt;"✓")),"")</f>
        <v/>
      </c>
      <c r="AZ1795" s="21" t="str">
        <f>IF(AND($AM1795&lt;&gt;"",$AS1795="✓"),SUMPRODUCT(($AM$11:$AM1795&lt;&gt;"")*($AS$11:$AS1795="✓")),"")</f>
        <v/>
      </c>
      <c r="BA1795" s="21" t="str">
        <f>IF($AL1795="","",$AL1795&amp;"|"&amp;COUNTIF($AL$11:$AL1795,$AL1795))</f>
        <v/>
      </c>
    </row>
    <row r="1796" spans="38:53" ht="15" customHeight="1" x14ac:dyDescent="0.25">
      <c r="AL1796" s="31"/>
      <c r="AM1796" s="26"/>
      <c r="AN1796" s="32"/>
      <c r="AO1796" s="32"/>
      <c r="AP1796" s="24"/>
      <c r="AQ1796" s="24"/>
      <c r="AR1796" s="33"/>
      <c r="AS1796" s="34"/>
      <c r="AT1796" s="33"/>
      <c r="AV1796" s="21">
        <f>IF(AND($AL1796&lt;&gt;"",COUNTIF($AL$11:$AL1796,$AL1796)=1),1,0)</f>
        <v>0</v>
      </c>
      <c r="AW1796" s="21">
        <f t="shared" si="141"/>
        <v>0</v>
      </c>
      <c r="AX1796" s="21" t="str">
        <f t="shared" si="140"/>
        <v/>
      </c>
      <c r="AY1796" s="21" t="str">
        <f>IF(AND($AM1796&lt;&gt;"",$AS1796&lt;&gt;"✓"),SUMPRODUCT(($AM$11:$AM1796&lt;&gt;"")*($AS$11:$AS1796&lt;&gt;"✓")),"")</f>
        <v/>
      </c>
      <c r="AZ1796" s="21" t="str">
        <f>IF(AND($AM1796&lt;&gt;"",$AS1796="✓"),SUMPRODUCT(($AM$11:$AM1796&lt;&gt;"")*($AS$11:$AS1796="✓")),"")</f>
        <v/>
      </c>
      <c r="BA1796" s="21" t="str">
        <f>IF($AL1796="","",$AL1796&amp;"|"&amp;COUNTIF($AL$11:$AL1796,$AL1796))</f>
        <v/>
      </c>
    </row>
    <row r="1797" spans="38:53" ht="15" customHeight="1" x14ac:dyDescent="0.25">
      <c r="AL1797" s="17"/>
      <c r="AM1797" s="12"/>
      <c r="AN1797" s="18"/>
      <c r="AO1797" s="18"/>
      <c r="AP1797" s="10"/>
      <c r="AQ1797" s="10"/>
      <c r="AR1797" s="19"/>
      <c r="AS1797" s="20"/>
      <c r="AT1797" s="19"/>
      <c r="AV1797" s="21">
        <f>IF(AND($AL1797&lt;&gt;"",COUNTIF($AL$11:$AL1797,$AL1797)=1),1,0)</f>
        <v>0</v>
      </c>
      <c r="AW1797" s="21">
        <f t="shared" si="141"/>
        <v>0</v>
      </c>
      <c r="AX1797" s="21" t="str">
        <f t="shared" si="140"/>
        <v/>
      </c>
      <c r="AY1797" s="21" t="str">
        <f>IF(AND($AM1797&lt;&gt;"",$AS1797&lt;&gt;"✓"),SUMPRODUCT(($AM$11:$AM1797&lt;&gt;"")*($AS$11:$AS1797&lt;&gt;"✓")),"")</f>
        <v/>
      </c>
      <c r="AZ1797" s="21" t="str">
        <f>IF(AND($AM1797&lt;&gt;"",$AS1797="✓"),SUMPRODUCT(($AM$11:$AM1797&lt;&gt;"")*($AS$11:$AS1797="✓")),"")</f>
        <v/>
      </c>
      <c r="BA1797" s="21" t="str">
        <f>IF($AL1797="","",$AL1797&amp;"|"&amp;COUNTIF($AL$11:$AL1797,$AL1797))</f>
        <v/>
      </c>
    </row>
    <row r="1798" spans="38:53" ht="15" customHeight="1" x14ac:dyDescent="0.25">
      <c r="AL1798" s="31"/>
      <c r="AM1798" s="26"/>
      <c r="AN1798" s="32"/>
      <c r="AO1798" s="32"/>
      <c r="AP1798" s="24"/>
      <c r="AQ1798" s="24"/>
      <c r="AR1798" s="33"/>
      <c r="AS1798" s="34"/>
      <c r="AT1798" s="33"/>
      <c r="AV1798" s="21">
        <f>IF(AND($AL1798&lt;&gt;"",COUNTIF($AL$11:$AL1798,$AL1798)=1),1,0)</f>
        <v>0</v>
      </c>
      <c r="AW1798" s="21">
        <f t="shared" si="141"/>
        <v>0</v>
      </c>
      <c r="AX1798" s="21" t="str">
        <f t="shared" si="140"/>
        <v/>
      </c>
      <c r="AY1798" s="21" t="str">
        <f>IF(AND($AM1798&lt;&gt;"",$AS1798&lt;&gt;"✓"),SUMPRODUCT(($AM$11:$AM1798&lt;&gt;"")*($AS$11:$AS1798&lt;&gt;"✓")),"")</f>
        <v/>
      </c>
      <c r="AZ1798" s="21" t="str">
        <f>IF(AND($AM1798&lt;&gt;"",$AS1798="✓"),SUMPRODUCT(($AM$11:$AM1798&lt;&gt;"")*($AS$11:$AS1798="✓")),"")</f>
        <v/>
      </c>
      <c r="BA1798" s="21" t="str">
        <f>IF($AL1798="","",$AL1798&amp;"|"&amp;COUNTIF($AL$11:$AL1798,$AL1798))</f>
        <v/>
      </c>
    </row>
    <row r="1799" spans="38:53" ht="15" customHeight="1" x14ac:dyDescent="0.25">
      <c r="AL1799" s="17"/>
      <c r="AM1799" s="12"/>
      <c r="AN1799" s="18"/>
      <c r="AO1799" s="18"/>
      <c r="AP1799" s="10"/>
      <c r="AQ1799" s="10"/>
      <c r="AR1799" s="19"/>
      <c r="AS1799" s="20"/>
      <c r="AT1799" s="19"/>
      <c r="AV1799" s="21">
        <f>IF(AND($AL1799&lt;&gt;"",COUNTIF($AL$11:$AL1799,$AL1799)=1),1,0)</f>
        <v>0</v>
      </c>
      <c r="AW1799" s="21">
        <f t="shared" si="141"/>
        <v>0</v>
      </c>
      <c r="AX1799" s="21" t="str">
        <f t="shared" si="140"/>
        <v/>
      </c>
      <c r="AY1799" s="21" t="str">
        <f>IF(AND($AM1799&lt;&gt;"",$AS1799&lt;&gt;"✓"),SUMPRODUCT(($AM$11:$AM1799&lt;&gt;"")*($AS$11:$AS1799&lt;&gt;"✓")),"")</f>
        <v/>
      </c>
      <c r="AZ1799" s="21" t="str">
        <f>IF(AND($AM1799&lt;&gt;"",$AS1799="✓"),SUMPRODUCT(($AM$11:$AM1799&lt;&gt;"")*($AS$11:$AS1799="✓")),"")</f>
        <v/>
      </c>
      <c r="BA1799" s="21" t="str">
        <f>IF($AL1799="","",$AL1799&amp;"|"&amp;COUNTIF($AL$11:$AL1799,$AL1799))</f>
        <v/>
      </c>
    </row>
    <row r="1800" spans="38:53" ht="15" customHeight="1" x14ac:dyDescent="0.25">
      <c r="AL1800" s="31"/>
      <c r="AM1800" s="26"/>
      <c r="AN1800" s="32"/>
      <c r="AO1800" s="32"/>
      <c r="AP1800" s="24"/>
      <c r="AQ1800" s="24"/>
      <c r="AR1800" s="33"/>
      <c r="AS1800" s="34"/>
      <c r="AT1800" s="33"/>
      <c r="AV1800" s="21">
        <f>IF(AND($AL1800&lt;&gt;"",COUNTIF($AL$11:$AL1800,$AL1800)=1),1,0)</f>
        <v>0</v>
      </c>
      <c r="AW1800" s="21">
        <f t="shared" si="141"/>
        <v>0</v>
      </c>
      <c r="AX1800" s="21" t="str">
        <f t="shared" si="140"/>
        <v/>
      </c>
      <c r="AY1800" s="21" t="str">
        <f>IF(AND($AM1800&lt;&gt;"",$AS1800&lt;&gt;"✓"),SUMPRODUCT(($AM$11:$AM1800&lt;&gt;"")*($AS$11:$AS1800&lt;&gt;"✓")),"")</f>
        <v/>
      </c>
      <c r="AZ1800" s="21" t="str">
        <f>IF(AND($AM1800&lt;&gt;"",$AS1800="✓"),SUMPRODUCT(($AM$11:$AM1800&lt;&gt;"")*($AS$11:$AS1800="✓")),"")</f>
        <v/>
      </c>
      <c r="BA1800" s="21" t="str">
        <f>IF($AL1800="","",$AL1800&amp;"|"&amp;COUNTIF($AL$11:$AL1800,$AL1800))</f>
        <v/>
      </c>
    </row>
    <row r="1801" spans="38:53" ht="15" customHeight="1" x14ac:dyDescent="0.25">
      <c r="AL1801" s="17"/>
      <c r="AM1801" s="12"/>
      <c r="AN1801" s="18"/>
      <c r="AO1801" s="18"/>
      <c r="AP1801" s="10"/>
      <c r="AQ1801" s="10"/>
      <c r="AR1801" s="19"/>
      <c r="AS1801" s="20"/>
      <c r="AT1801" s="19"/>
      <c r="AV1801" s="21">
        <f>IF(AND($AL1801&lt;&gt;"",COUNTIF($AL$11:$AL1801,$AL1801)=1),1,0)</f>
        <v>0</v>
      </c>
      <c r="AW1801" s="21">
        <f t="shared" si="141"/>
        <v>0</v>
      </c>
      <c r="AX1801" s="21" t="str">
        <f t="shared" si="140"/>
        <v/>
      </c>
      <c r="AY1801" s="21" t="str">
        <f>IF(AND($AM1801&lt;&gt;"",$AS1801&lt;&gt;"✓"),SUMPRODUCT(($AM$11:$AM1801&lt;&gt;"")*($AS$11:$AS1801&lt;&gt;"✓")),"")</f>
        <v/>
      </c>
      <c r="AZ1801" s="21" t="str">
        <f>IF(AND($AM1801&lt;&gt;"",$AS1801="✓"),SUMPRODUCT(($AM$11:$AM1801&lt;&gt;"")*($AS$11:$AS1801="✓")),"")</f>
        <v/>
      </c>
      <c r="BA1801" s="21" t="str">
        <f>IF($AL1801="","",$AL1801&amp;"|"&amp;COUNTIF($AL$11:$AL1801,$AL1801))</f>
        <v/>
      </c>
    </row>
    <row r="1802" spans="38:53" ht="15" customHeight="1" x14ac:dyDescent="0.25">
      <c r="AL1802" s="31"/>
      <c r="AM1802" s="26"/>
      <c r="AN1802" s="32"/>
      <c r="AO1802" s="32"/>
      <c r="AP1802" s="24"/>
      <c r="AQ1802" s="24"/>
      <c r="AR1802" s="33"/>
      <c r="AS1802" s="34"/>
      <c r="AT1802" s="33"/>
      <c r="AV1802" s="21">
        <f>IF(AND($AL1802&lt;&gt;"",COUNTIF($AL$11:$AL1802,$AL1802)=1),1,0)</f>
        <v>0</v>
      </c>
      <c r="AW1802" s="21">
        <f t="shared" si="141"/>
        <v>0</v>
      </c>
      <c r="AX1802" s="21" t="str">
        <f t="shared" si="140"/>
        <v/>
      </c>
      <c r="AY1802" s="21" t="str">
        <f>IF(AND($AM1802&lt;&gt;"",$AS1802&lt;&gt;"✓"),SUMPRODUCT(($AM$11:$AM1802&lt;&gt;"")*($AS$11:$AS1802&lt;&gt;"✓")),"")</f>
        <v/>
      </c>
      <c r="AZ1802" s="21" t="str">
        <f>IF(AND($AM1802&lt;&gt;"",$AS1802="✓"),SUMPRODUCT(($AM$11:$AM1802&lt;&gt;"")*($AS$11:$AS1802="✓")),"")</f>
        <v/>
      </c>
      <c r="BA1802" s="21" t="str">
        <f>IF($AL1802="","",$AL1802&amp;"|"&amp;COUNTIF($AL$11:$AL1802,$AL1802))</f>
        <v/>
      </c>
    </row>
    <row r="1803" spans="38:53" ht="15" customHeight="1" x14ac:dyDescent="0.25">
      <c r="AL1803" s="17"/>
      <c r="AM1803" s="12"/>
      <c r="AN1803" s="18"/>
      <c r="AO1803" s="18"/>
      <c r="AP1803" s="10"/>
      <c r="AQ1803" s="10"/>
      <c r="AR1803" s="19"/>
      <c r="AS1803" s="20"/>
      <c r="AT1803" s="19"/>
      <c r="AV1803" s="21">
        <f>IF(AND($AL1803&lt;&gt;"",COUNTIF($AL$11:$AL1803,$AL1803)=1),1,0)</f>
        <v>0</v>
      </c>
      <c r="AW1803" s="21">
        <f t="shared" si="141"/>
        <v>0</v>
      </c>
      <c r="AX1803" s="21" t="str">
        <f t="shared" ref="AX1803:AX1866" si="142">IF(AV1803=1,AW1803,"")</f>
        <v/>
      </c>
      <c r="AY1803" s="21" t="str">
        <f>IF(AND($AM1803&lt;&gt;"",$AS1803&lt;&gt;"✓"),SUMPRODUCT(($AM$11:$AM1803&lt;&gt;"")*($AS$11:$AS1803&lt;&gt;"✓")),"")</f>
        <v/>
      </c>
      <c r="AZ1803" s="21" t="str">
        <f>IF(AND($AM1803&lt;&gt;"",$AS1803="✓"),SUMPRODUCT(($AM$11:$AM1803&lt;&gt;"")*($AS$11:$AS1803="✓")),"")</f>
        <v/>
      </c>
      <c r="BA1803" s="21" t="str">
        <f>IF($AL1803="","",$AL1803&amp;"|"&amp;COUNTIF($AL$11:$AL1803,$AL1803))</f>
        <v/>
      </c>
    </row>
    <row r="1804" spans="38:53" ht="15" customHeight="1" x14ac:dyDescent="0.25">
      <c r="AL1804" s="31"/>
      <c r="AM1804" s="26"/>
      <c r="AN1804" s="32"/>
      <c r="AO1804" s="32"/>
      <c r="AP1804" s="24"/>
      <c r="AQ1804" s="24"/>
      <c r="AR1804" s="33"/>
      <c r="AS1804" s="34"/>
      <c r="AT1804" s="33"/>
      <c r="AV1804" s="21">
        <f>IF(AND($AL1804&lt;&gt;"",COUNTIF($AL$11:$AL1804,$AL1804)=1),1,0)</f>
        <v>0</v>
      </c>
      <c r="AW1804" s="21">
        <f t="shared" ref="AW1804:AW1867" si="143">AW1803+AV1804</f>
        <v>0</v>
      </c>
      <c r="AX1804" s="21" t="str">
        <f t="shared" si="142"/>
        <v/>
      </c>
      <c r="AY1804" s="21" t="str">
        <f>IF(AND($AM1804&lt;&gt;"",$AS1804&lt;&gt;"✓"),SUMPRODUCT(($AM$11:$AM1804&lt;&gt;"")*($AS$11:$AS1804&lt;&gt;"✓")),"")</f>
        <v/>
      </c>
      <c r="AZ1804" s="21" t="str">
        <f>IF(AND($AM1804&lt;&gt;"",$AS1804="✓"),SUMPRODUCT(($AM$11:$AM1804&lt;&gt;"")*($AS$11:$AS1804="✓")),"")</f>
        <v/>
      </c>
      <c r="BA1804" s="21" t="str">
        <f>IF($AL1804="","",$AL1804&amp;"|"&amp;COUNTIF($AL$11:$AL1804,$AL1804))</f>
        <v/>
      </c>
    </row>
    <row r="1805" spans="38:53" ht="15" customHeight="1" x14ac:dyDescent="0.25">
      <c r="AL1805" s="17"/>
      <c r="AM1805" s="12"/>
      <c r="AN1805" s="18"/>
      <c r="AO1805" s="18"/>
      <c r="AP1805" s="10"/>
      <c r="AQ1805" s="10"/>
      <c r="AR1805" s="19"/>
      <c r="AS1805" s="20"/>
      <c r="AT1805" s="19"/>
      <c r="AV1805" s="21">
        <f>IF(AND($AL1805&lt;&gt;"",COUNTIF($AL$11:$AL1805,$AL1805)=1),1,0)</f>
        <v>0</v>
      </c>
      <c r="AW1805" s="21">
        <f t="shared" si="143"/>
        <v>0</v>
      </c>
      <c r="AX1805" s="21" t="str">
        <f t="shared" si="142"/>
        <v/>
      </c>
      <c r="AY1805" s="21" t="str">
        <f>IF(AND($AM1805&lt;&gt;"",$AS1805&lt;&gt;"✓"),SUMPRODUCT(($AM$11:$AM1805&lt;&gt;"")*($AS$11:$AS1805&lt;&gt;"✓")),"")</f>
        <v/>
      </c>
      <c r="AZ1805" s="21" t="str">
        <f>IF(AND($AM1805&lt;&gt;"",$AS1805="✓"),SUMPRODUCT(($AM$11:$AM1805&lt;&gt;"")*($AS$11:$AS1805="✓")),"")</f>
        <v/>
      </c>
      <c r="BA1805" s="21" t="str">
        <f>IF($AL1805="","",$AL1805&amp;"|"&amp;COUNTIF($AL$11:$AL1805,$AL1805))</f>
        <v/>
      </c>
    </row>
    <row r="1806" spans="38:53" ht="15" customHeight="1" x14ac:dyDescent="0.25">
      <c r="AL1806" s="31"/>
      <c r="AM1806" s="26"/>
      <c r="AN1806" s="32"/>
      <c r="AO1806" s="32"/>
      <c r="AP1806" s="24"/>
      <c r="AQ1806" s="24"/>
      <c r="AR1806" s="33"/>
      <c r="AS1806" s="34"/>
      <c r="AT1806" s="33"/>
      <c r="AV1806" s="21">
        <f>IF(AND($AL1806&lt;&gt;"",COUNTIF($AL$11:$AL1806,$AL1806)=1),1,0)</f>
        <v>0</v>
      </c>
      <c r="AW1806" s="21">
        <f t="shared" si="143"/>
        <v>0</v>
      </c>
      <c r="AX1806" s="21" t="str">
        <f t="shared" si="142"/>
        <v/>
      </c>
      <c r="AY1806" s="21" t="str">
        <f>IF(AND($AM1806&lt;&gt;"",$AS1806&lt;&gt;"✓"),SUMPRODUCT(($AM$11:$AM1806&lt;&gt;"")*($AS$11:$AS1806&lt;&gt;"✓")),"")</f>
        <v/>
      </c>
      <c r="AZ1806" s="21" t="str">
        <f>IF(AND($AM1806&lt;&gt;"",$AS1806="✓"),SUMPRODUCT(($AM$11:$AM1806&lt;&gt;"")*($AS$11:$AS1806="✓")),"")</f>
        <v/>
      </c>
      <c r="BA1806" s="21" t="str">
        <f>IF($AL1806="","",$AL1806&amp;"|"&amp;COUNTIF($AL$11:$AL1806,$AL1806))</f>
        <v/>
      </c>
    </row>
    <row r="1807" spans="38:53" ht="15" customHeight="1" x14ac:dyDescent="0.25">
      <c r="AL1807" s="17"/>
      <c r="AM1807" s="12"/>
      <c r="AN1807" s="18"/>
      <c r="AO1807" s="18"/>
      <c r="AP1807" s="10"/>
      <c r="AQ1807" s="10"/>
      <c r="AR1807" s="19"/>
      <c r="AS1807" s="20"/>
      <c r="AT1807" s="19"/>
      <c r="AV1807" s="21">
        <f>IF(AND($AL1807&lt;&gt;"",COUNTIF($AL$11:$AL1807,$AL1807)=1),1,0)</f>
        <v>0</v>
      </c>
      <c r="AW1807" s="21">
        <f t="shared" si="143"/>
        <v>0</v>
      </c>
      <c r="AX1807" s="21" t="str">
        <f t="shared" si="142"/>
        <v/>
      </c>
      <c r="AY1807" s="21" t="str">
        <f>IF(AND($AM1807&lt;&gt;"",$AS1807&lt;&gt;"✓"),SUMPRODUCT(($AM$11:$AM1807&lt;&gt;"")*($AS$11:$AS1807&lt;&gt;"✓")),"")</f>
        <v/>
      </c>
      <c r="AZ1807" s="21" t="str">
        <f>IF(AND($AM1807&lt;&gt;"",$AS1807="✓"),SUMPRODUCT(($AM$11:$AM1807&lt;&gt;"")*($AS$11:$AS1807="✓")),"")</f>
        <v/>
      </c>
      <c r="BA1807" s="21" t="str">
        <f>IF($AL1807="","",$AL1807&amp;"|"&amp;COUNTIF($AL$11:$AL1807,$AL1807))</f>
        <v/>
      </c>
    </row>
    <row r="1808" spans="38:53" ht="15" customHeight="1" x14ac:dyDescent="0.25">
      <c r="AL1808" s="31"/>
      <c r="AM1808" s="26"/>
      <c r="AN1808" s="32"/>
      <c r="AO1808" s="32"/>
      <c r="AP1808" s="24"/>
      <c r="AQ1808" s="24"/>
      <c r="AR1808" s="33"/>
      <c r="AS1808" s="34"/>
      <c r="AT1808" s="33"/>
      <c r="AV1808" s="21">
        <f>IF(AND($AL1808&lt;&gt;"",COUNTIF($AL$11:$AL1808,$AL1808)=1),1,0)</f>
        <v>0</v>
      </c>
      <c r="AW1808" s="21">
        <f t="shared" si="143"/>
        <v>0</v>
      </c>
      <c r="AX1808" s="21" t="str">
        <f t="shared" si="142"/>
        <v/>
      </c>
      <c r="AY1808" s="21" t="str">
        <f>IF(AND($AM1808&lt;&gt;"",$AS1808&lt;&gt;"✓"),SUMPRODUCT(($AM$11:$AM1808&lt;&gt;"")*($AS$11:$AS1808&lt;&gt;"✓")),"")</f>
        <v/>
      </c>
      <c r="AZ1808" s="21" t="str">
        <f>IF(AND($AM1808&lt;&gt;"",$AS1808="✓"),SUMPRODUCT(($AM$11:$AM1808&lt;&gt;"")*($AS$11:$AS1808="✓")),"")</f>
        <v/>
      </c>
      <c r="BA1808" s="21" t="str">
        <f>IF($AL1808="","",$AL1808&amp;"|"&amp;COUNTIF($AL$11:$AL1808,$AL1808))</f>
        <v/>
      </c>
    </row>
    <row r="1809" spans="38:53" ht="15" customHeight="1" x14ac:dyDescent="0.25">
      <c r="AL1809" s="17"/>
      <c r="AM1809" s="12"/>
      <c r="AN1809" s="18"/>
      <c r="AO1809" s="18"/>
      <c r="AP1809" s="10"/>
      <c r="AQ1809" s="10"/>
      <c r="AR1809" s="19"/>
      <c r="AS1809" s="20"/>
      <c r="AT1809" s="19"/>
      <c r="AV1809" s="21">
        <f>IF(AND($AL1809&lt;&gt;"",COUNTIF($AL$11:$AL1809,$AL1809)=1),1,0)</f>
        <v>0</v>
      </c>
      <c r="AW1809" s="21">
        <f t="shared" si="143"/>
        <v>0</v>
      </c>
      <c r="AX1809" s="21" t="str">
        <f t="shared" si="142"/>
        <v/>
      </c>
      <c r="AY1809" s="21" t="str">
        <f>IF(AND($AM1809&lt;&gt;"",$AS1809&lt;&gt;"✓"),SUMPRODUCT(($AM$11:$AM1809&lt;&gt;"")*($AS$11:$AS1809&lt;&gt;"✓")),"")</f>
        <v/>
      </c>
      <c r="AZ1809" s="21" t="str">
        <f>IF(AND($AM1809&lt;&gt;"",$AS1809="✓"),SUMPRODUCT(($AM$11:$AM1809&lt;&gt;"")*($AS$11:$AS1809="✓")),"")</f>
        <v/>
      </c>
      <c r="BA1809" s="21" t="str">
        <f>IF($AL1809="","",$AL1809&amp;"|"&amp;COUNTIF($AL$11:$AL1809,$AL1809))</f>
        <v/>
      </c>
    </row>
    <row r="1810" spans="38:53" ht="15" customHeight="1" x14ac:dyDescent="0.25">
      <c r="AL1810" s="31"/>
      <c r="AM1810" s="26"/>
      <c r="AN1810" s="32"/>
      <c r="AO1810" s="32"/>
      <c r="AP1810" s="24"/>
      <c r="AQ1810" s="24"/>
      <c r="AR1810" s="33"/>
      <c r="AS1810" s="34"/>
      <c r="AT1810" s="33"/>
      <c r="AV1810" s="21">
        <f>IF(AND($AL1810&lt;&gt;"",COUNTIF($AL$11:$AL1810,$AL1810)=1),1,0)</f>
        <v>0</v>
      </c>
      <c r="AW1810" s="21">
        <f t="shared" si="143"/>
        <v>0</v>
      </c>
      <c r="AX1810" s="21" t="str">
        <f t="shared" si="142"/>
        <v/>
      </c>
      <c r="AY1810" s="21" t="str">
        <f>IF(AND($AM1810&lt;&gt;"",$AS1810&lt;&gt;"✓"),SUMPRODUCT(($AM$11:$AM1810&lt;&gt;"")*($AS$11:$AS1810&lt;&gt;"✓")),"")</f>
        <v/>
      </c>
      <c r="AZ1810" s="21" t="str">
        <f>IF(AND($AM1810&lt;&gt;"",$AS1810="✓"),SUMPRODUCT(($AM$11:$AM1810&lt;&gt;"")*($AS$11:$AS1810="✓")),"")</f>
        <v/>
      </c>
      <c r="BA1810" s="21" t="str">
        <f>IF($AL1810="","",$AL1810&amp;"|"&amp;COUNTIF($AL$11:$AL1810,$AL1810))</f>
        <v/>
      </c>
    </row>
    <row r="1811" spans="38:53" ht="15" customHeight="1" x14ac:dyDescent="0.25">
      <c r="AL1811" s="17"/>
      <c r="AM1811" s="12"/>
      <c r="AN1811" s="18"/>
      <c r="AO1811" s="18"/>
      <c r="AP1811" s="10"/>
      <c r="AQ1811" s="10"/>
      <c r="AR1811" s="19"/>
      <c r="AS1811" s="20"/>
      <c r="AT1811" s="19"/>
      <c r="AV1811" s="21">
        <f>IF(AND($AL1811&lt;&gt;"",COUNTIF($AL$11:$AL1811,$AL1811)=1),1,0)</f>
        <v>0</v>
      </c>
      <c r="AW1811" s="21">
        <f t="shared" si="143"/>
        <v>0</v>
      </c>
      <c r="AX1811" s="21" t="str">
        <f t="shared" si="142"/>
        <v/>
      </c>
      <c r="AY1811" s="21" t="str">
        <f>IF(AND($AM1811&lt;&gt;"",$AS1811&lt;&gt;"✓"),SUMPRODUCT(($AM$11:$AM1811&lt;&gt;"")*($AS$11:$AS1811&lt;&gt;"✓")),"")</f>
        <v/>
      </c>
      <c r="AZ1811" s="21" t="str">
        <f>IF(AND($AM1811&lt;&gt;"",$AS1811="✓"),SUMPRODUCT(($AM$11:$AM1811&lt;&gt;"")*($AS$11:$AS1811="✓")),"")</f>
        <v/>
      </c>
      <c r="BA1811" s="21" t="str">
        <f>IF($AL1811="","",$AL1811&amp;"|"&amp;COUNTIF($AL$11:$AL1811,$AL1811))</f>
        <v/>
      </c>
    </row>
    <row r="1812" spans="38:53" ht="15" customHeight="1" x14ac:dyDescent="0.25">
      <c r="AL1812" s="31"/>
      <c r="AM1812" s="26"/>
      <c r="AN1812" s="32"/>
      <c r="AO1812" s="32"/>
      <c r="AP1812" s="24"/>
      <c r="AQ1812" s="24"/>
      <c r="AR1812" s="33"/>
      <c r="AS1812" s="34"/>
      <c r="AT1812" s="33"/>
      <c r="AV1812" s="21">
        <f>IF(AND($AL1812&lt;&gt;"",COUNTIF($AL$11:$AL1812,$AL1812)=1),1,0)</f>
        <v>0</v>
      </c>
      <c r="AW1812" s="21">
        <f t="shared" si="143"/>
        <v>0</v>
      </c>
      <c r="AX1812" s="21" t="str">
        <f t="shared" si="142"/>
        <v/>
      </c>
      <c r="AY1812" s="21" t="str">
        <f>IF(AND($AM1812&lt;&gt;"",$AS1812&lt;&gt;"✓"),SUMPRODUCT(($AM$11:$AM1812&lt;&gt;"")*($AS$11:$AS1812&lt;&gt;"✓")),"")</f>
        <v/>
      </c>
      <c r="AZ1812" s="21" t="str">
        <f>IF(AND($AM1812&lt;&gt;"",$AS1812="✓"),SUMPRODUCT(($AM$11:$AM1812&lt;&gt;"")*($AS$11:$AS1812="✓")),"")</f>
        <v/>
      </c>
      <c r="BA1812" s="21" t="str">
        <f>IF($AL1812="","",$AL1812&amp;"|"&amp;COUNTIF($AL$11:$AL1812,$AL1812))</f>
        <v/>
      </c>
    </row>
    <row r="1813" spans="38:53" ht="15" customHeight="1" x14ac:dyDescent="0.25">
      <c r="AL1813" s="17"/>
      <c r="AM1813" s="12"/>
      <c r="AN1813" s="18"/>
      <c r="AO1813" s="18"/>
      <c r="AP1813" s="10"/>
      <c r="AQ1813" s="10"/>
      <c r="AR1813" s="19"/>
      <c r="AS1813" s="20"/>
      <c r="AT1813" s="19"/>
      <c r="AV1813" s="21">
        <f>IF(AND($AL1813&lt;&gt;"",COUNTIF($AL$11:$AL1813,$AL1813)=1),1,0)</f>
        <v>0</v>
      </c>
      <c r="AW1813" s="21">
        <f t="shared" si="143"/>
        <v>0</v>
      </c>
      <c r="AX1813" s="21" t="str">
        <f t="shared" si="142"/>
        <v/>
      </c>
      <c r="AY1813" s="21" t="str">
        <f>IF(AND($AM1813&lt;&gt;"",$AS1813&lt;&gt;"✓"),SUMPRODUCT(($AM$11:$AM1813&lt;&gt;"")*($AS$11:$AS1813&lt;&gt;"✓")),"")</f>
        <v/>
      </c>
      <c r="AZ1813" s="21" t="str">
        <f>IF(AND($AM1813&lt;&gt;"",$AS1813="✓"),SUMPRODUCT(($AM$11:$AM1813&lt;&gt;"")*($AS$11:$AS1813="✓")),"")</f>
        <v/>
      </c>
      <c r="BA1813" s="21" t="str">
        <f>IF($AL1813="","",$AL1813&amp;"|"&amp;COUNTIF($AL$11:$AL1813,$AL1813))</f>
        <v/>
      </c>
    </row>
    <row r="1814" spans="38:53" ht="15" customHeight="1" x14ac:dyDescent="0.25">
      <c r="AL1814" s="31"/>
      <c r="AM1814" s="26"/>
      <c r="AN1814" s="32"/>
      <c r="AO1814" s="32"/>
      <c r="AP1814" s="24"/>
      <c r="AQ1814" s="24"/>
      <c r="AR1814" s="33"/>
      <c r="AS1814" s="34"/>
      <c r="AT1814" s="33"/>
      <c r="AV1814" s="21">
        <f>IF(AND($AL1814&lt;&gt;"",COUNTIF($AL$11:$AL1814,$AL1814)=1),1,0)</f>
        <v>0</v>
      </c>
      <c r="AW1814" s="21">
        <f t="shared" si="143"/>
        <v>0</v>
      </c>
      <c r="AX1814" s="21" t="str">
        <f t="shared" si="142"/>
        <v/>
      </c>
      <c r="AY1814" s="21" t="str">
        <f>IF(AND($AM1814&lt;&gt;"",$AS1814&lt;&gt;"✓"),SUMPRODUCT(($AM$11:$AM1814&lt;&gt;"")*($AS$11:$AS1814&lt;&gt;"✓")),"")</f>
        <v/>
      </c>
      <c r="AZ1814" s="21" t="str">
        <f>IF(AND($AM1814&lt;&gt;"",$AS1814="✓"),SUMPRODUCT(($AM$11:$AM1814&lt;&gt;"")*($AS$11:$AS1814="✓")),"")</f>
        <v/>
      </c>
      <c r="BA1814" s="21" t="str">
        <f>IF($AL1814="","",$AL1814&amp;"|"&amp;COUNTIF($AL$11:$AL1814,$AL1814))</f>
        <v/>
      </c>
    </row>
    <row r="1815" spans="38:53" ht="15" customHeight="1" x14ac:dyDescent="0.25">
      <c r="AL1815" s="17"/>
      <c r="AM1815" s="12"/>
      <c r="AN1815" s="18"/>
      <c r="AO1815" s="18"/>
      <c r="AP1815" s="10"/>
      <c r="AQ1815" s="10"/>
      <c r="AR1815" s="19"/>
      <c r="AS1815" s="20"/>
      <c r="AT1815" s="19"/>
      <c r="AV1815" s="21">
        <f>IF(AND($AL1815&lt;&gt;"",COUNTIF($AL$11:$AL1815,$AL1815)=1),1,0)</f>
        <v>0</v>
      </c>
      <c r="AW1815" s="21">
        <f t="shared" si="143"/>
        <v>0</v>
      </c>
      <c r="AX1815" s="21" t="str">
        <f t="shared" si="142"/>
        <v/>
      </c>
      <c r="AY1815" s="21" t="str">
        <f>IF(AND($AM1815&lt;&gt;"",$AS1815&lt;&gt;"✓"),SUMPRODUCT(($AM$11:$AM1815&lt;&gt;"")*($AS$11:$AS1815&lt;&gt;"✓")),"")</f>
        <v/>
      </c>
      <c r="AZ1815" s="21" t="str">
        <f>IF(AND($AM1815&lt;&gt;"",$AS1815="✓"),SUMPRODUCT(($AM$11:$AM1815&lt;&gt;"")*($AS$11:$AS1815="✓")),"")</f>
        <v/>
      </c>
      <c r="BA1815" s="21" t="str">
        <f>IF($AL1815="","",$AL1815&amp;"|"&amp;COUNTIF($AL$11:$AL1815,$AL1815))</f>
        <v/>
      </c>
    </row>
    <row r="1816" spans="38:53" ht="15" customHeight="1" x14ac:dyDescent="0.25">
      <c r="AL1816" s="31"/>
      <c r="AM1816" s="26"/>
      <c r="AN1816" s="32"/>
      <c r="AO1816" s="32"/>
      <c r="AP1816" s="24"/>
      <c r="AQ1816" s="24"/>
      <c r="AR1816" s="33"/>
      <c r="AS1816" s="34"/>
      <c r="AT1816" s="33"/>
      <c r="AV1816" s="21">
        <f>IF(AND($AL1816&lt;&gt;"",COUNTIF($AL$11:$AL1816,$AL1816)=1),1,0)</f>
        <v>0</v>
      </c>
      <c r="AW1816" s="21">
        <f t="shared" si="143"/>
        <v>0</v>
      </c>
      <c r="AX1816" s="21" t="str">
        <f t="shared" si="142"/>
        <v/>
      </c>
      <c r="AY1816" s="21" t="str">
        <f>IF(AND($AM1816&lt;&gt;"",$AS1816&lt;&gt;"✓"),SUMPRODUCT(($AM$11:$AM1816&lt;&gt;"")*($AS$11:$AS1816&lt;&gt;"✓")),"")</f>
        <v/>
      </c>
      <c r="AZ1816" s="21" t="str">
        <f>IF(AND($AM1816&lt;&gt;"",$AS1816="✓"),SUMPRODUCT(($AM$11:$AM1816&lt;&gt;"")*($AS$11:$AS1816="✓")),"")</f>
        <v/>
      </c>
      <c r="BA1816" s="21" t="str">
        <f>IF($AL1816="","",$AL1816&amp;"|"&amp;COUNTIF($AL$11:$AL1816,$AL1816))</f>
        <v/>
      </c>
    </row>
    <row r="1817" spans="38:53" ht="15" customHeight="1" x14ac:dyDescent="0.25">
      <c r="AL1817" s="17"/>
      <c r="AM1817" s="12"/>
      <c r="AN1817" s="18"/>
      <c r="AO1817" s="18"/>
      <c r="AP1817" s="10"/>
      <c r="AQ1817" s="10"/>
      <c r="AR1817" s="19"/>
      <c r="AS1817" s="20"/>
      <c r="AT1817" s="19"/>
      <c r="AV1817" s="21">
        <f>IF(AND($AL1817&lt;&gt;"",COUNTIF($AL$11:$AL1817,$AL1817)=1),1,0)</f>
        <v>0</v>
      </c>
      <c r="AW1817" s="21">
        <f t="shared" si="143"/>
        <v>0</v>
      </c>
      <c r="AX1817" s="21" t="str">
        <f t="shared" si="142"/>
        <v/>
      </c>
      <c r="AY1817" s="21" t="str">
        <f>IF(AND($AM1817&lt;&gt;"",$AS1817&lt;&gt;"✓"),SUMPRODUCT(($AM$11:$AM1817&lt;&gt;"")*($AS$11:$AS1817&lt;&gt;"✓")),"")</f>
        <v/>
      </c>
      <c r="AZ1817" s="21" t="str">
        <f>IF(AND($AM1817&lt;&gt;"",$AS1817="✓"),SUMPRODUCT(($AM$11:$AM1817&lt;&gt;"")*($AS$11:$AS1817="✓")),"")</f>
        <v/>
      </c>
      <c r="BA1817" s="21" t="str">
        <f>IF($AL1817="","",$AL1817&amp;"|"&amp;COUNTIF($AL$11:$AL1817,$AL1817))</f>
        <v/>
      </c>
    </row>
    <row r="1818" spans="38:53" ht="15" customHeight="1" x14ac:dyDescent="0.25">
      <c r="AL1818" s="31"/>
      <c r="AM1818" s="26"/>
      <c r="AN1818" s="32"/>
      <c r="AO1818" s="32"/>
      <c r="AP1818" s="24"/>
      <c r="AQ1818" s="24"/>
      <c r="AR1818" s="33"/>
      <c r="AS1818" s="34"/>
      <c r="AT1818" s="33"/>
      <c r="AV1818" s="21">
        <f>IF(AND($AL1818&lt;&gt;"",COUNTIF($AL$11:$AL1818,$AL1818)=1),1,0)</f>
        <v>0</v>
      </c>
      <c r="AW1818" s="21">
        <f t="shared" si="143"/>
        <v>0</v>
      </c>
      <c r="AX1818" s="21" t="str">
        <f t="shared" si="142"/>
        <v/>
      </c>
      <c r="AY1818" s="21" t="str">
        <f>IF(AND($AM1818&lt;&gt;"",$AS1818&lt;&gt;"✓"),SUMPRODUCT(($AM$11:$AM1818&lt;&gt;"")*($AS$11:$AS1818&lt;&gt;"✓")),"")</f>
        <v/>
      </c>
      <c r="AZ1818" s="21" t="str">
        <f>IF(AND($AM1818&lt;&gt;"",$AS1818="✓"),SUMPRODUCT(($AM$11:$AM1818&lt;&gt;"")*($AS$11:$AS1818="✓")),"")</f>
        <v/>
      </c>
      <c r="BA1818" s="21" t="str">
        <f>IF($AL1818="","",$AL1818&amp;"|"&amp;COUNTIF($AL$11:$AL1818,$AL1818))</f>
        <v/>
      </c>
    </row>
    <row r="1819" spans="38:53" ht="15" customHeight="1" x14ac:dyDescent="0.25">
      <c r="AL1819" s="17"/>
      <c r="AM1819" s="12"/>
      <c r="AN1819" s="18"/>
      <c r="AO1819" s="18"/>
      <c r="AP1819" s="10"/>
      <c r="AQ1819" s="10"/>
      <c r="AR1819" s="19"/>
      <c r="AS1819" s="20"/>
      <c r="AT1819" s="19"/>
      <c r="AV1819" s="21">
        <f>IF(AND($AL1819&lt;&gt;"",COUNTIF($AL$11:$AL1819,$AL1819)=1),1,0)</f>
        <v>0</v>
      </c>
      <c r="AW1819" s="21">
        <f t="shared" si="143"/>
        <v>0</v>
      </c>
      <c r="AX1819" s="21" t="str">
        <f t="shared" si="142"/>
        <v/>
      </c>
      <c r="AY1819" s="21" t="str">
        <f>IF(AND($AM1819&lt;&gt;"",$AS1819&lt;&gt;"✓"),SUMPRODUCT(($AM$11:$AM1819&lt;&gt;"")*($AS$11:$AS1819&lt;&gt;"✓")),"")</f>
        <v/>
      </c>
      <c r="AZ1819" s="21" t="str">
        <f>IF(AND($AM1819&lt;&gt;"",$AS1819="✓"),SUMPRODUCT(($AM$11:$AM1819&lt;&gt;"")*($AS$11:$AS1819="✓")),"")</f>
        <v/>
      </c>
      <c r="BA1819" s="21" t="str">
        <f>IF($AL1819="","",$AL1819&amp;"|"&amp;COUNTIF($AL$11:$AL1819,$AL1819))</f>
        <v/>
      </c>
    </row>
    <row r="1820" spans="38:53" ht="15" customHeight="1" x14ac:dyDescent="0.25">
      <c r="AL1820" s="31"/>
      <c r="AM1820" s="26"/>
      <c r="AN1820" s="32"/>
      <c r="AO1820" s="32"/>
      <c r="AP1820" s="24"/>
      <c r="AQ1820" s="24"/>
      <c r="AR1820" s="33"/>
      <c r="AS1820" s="34"/>
      <c r="AT1820" s="33"/>
      <c r="AV1820" s="21">
        <f>IF(AND($AL1820&lt;&gt;"",COUNTIF($AL$11:$AL1820,$AL1820)=1),1,0)</f>
        <v>0</v>
      </c>
      <c r="AW1820" s="21">
        <f t="shared" si="143"/>
        <v>0</v>
      </c>
      <c r="AX1820" s="21" t="str">
        <f t="shared" si="142"/>
        <v/>
      </c>
      <c r="AY1820" s="21" t="str">
        <f>IF(AND($AM1820&lt;&gt;"",$AS1820&lt;&gt;"✓"),SUMPRODUCT(($AM$11:$AM1820&lt;&gt;"")*($AS$11:$AS1820&lt;&gt;"✓")),"")</f>
        <v/>
      </c>
      <c r="AZ1820" s="21" t="str">
        <f>IF(AND($AM1820&lt;&gt;"",$AS1820="✓"),SUMPRODUCT(($AM$11:$AM1820&lt;&gt;"")*($AS$11:$AS1820="✓")),"")</f>
        <v/>
      </c>
      <c r="BA1820" s="21" t="str">
        <f>IF($AL1820="","",$AL1820&amp;"|"&amp;COUNTIF($AL$11:$AL1820,$AL1820))</f>
        <v/>
      </c>
    </row>
    <row r="1821" spans="38:53" ht="15" customHeight="1" x14ac:dyDescent="0.25">
      <c r="AL1821" s="17"/>
      <c r="AM1821" s="12"/>
      <c r="AN1821" s="18"/>
      <c r="AO1821" s="18"/>
      <c r="AP1821" s="10"/>
      <c r="AQ1821" s="10"/>
      <c r="AR1821" s="19"/>
      <c r="AS1821" s="20"/>
      <c r="AT1821" s="19"/>
      <c r="AV1821" s="21">
        <f>IF(AND($AL1821&lt;&gt;"",COUNTIF($AL$11:$AL1821,$AL1821)=1),1,0)</f>
        <v>0</v>
      </c>
      <c r="AW1821" s="21">
        <f t="shared" si="143"/>
        <v>0</v>
      </c>
      <c r="AX1821" s="21" t="str">
        <f t="shared" si="142"/>
        <v/>
      </c>
      <c r="AY1821" s="21" t="str">
        <f>IF(AND($AM1821&lt;&gt;"",$AS1821&lt;&gt;"✓"),SUMPRODUCT(($AM$11:$AM1821&lt;&gt;"")*($AS$11:$AS1821&lt;&gt;"✓")),"")</f>
        <v/>
      </c>
      <c r="AZ1821" s="21" t="str">
        <f>IF(AND($AM1821&lt;&gt;"",$AS1821="✓"),SUMPRODUCT(($AM$11:$AM1821&lt;&gt;"")*($AS$11:$AS1821="✓")),"")</f>
        <v/>
      </c>
      <c r="BA1821" s="21" t="str">
        <f>IF($AL1821="","",$AL1821&amp;"|"&amp;COUNTIF($AL$11:$AL1821,$AL1821))</f>
        <v/>
      </c>
    </row>
    <row r="1822" spans="38:53" ht="15" customHeight="1" x14ac:dyDescent="0.25">
      <c r="AL1822" s="31"/>
      <c r="AM1822" s="26"/>
      <c r="AN1822" s="32"/>
      <c r="AO1822" s="32"/>
      <c r="AP1822" s="24"/>
      <c r="AQ1822" s="24"/>
      <c r="AR1822" s="33"/>
      <c r="AS1822" s="34"/>
      <c r="AT1822" s="33"/>
      <c r="AV1822" s="21">
        <f>IF(AND($AL1822&lt;&gt;"",COUNTIF($AL$11:$AL1822,$AL1822)=1),1,0)</f>
        <v>0</v>
      </c>
      <c r="AW1822" s="21">
        <f t="shared" si="143"/>
        <v>0</v>
      </c>
      <c r="AX1822" s="21" t="str">
        <f t="shared" si="142"/>
        <v/>
      </c>
      <c r="AY1822" s="21" t="str">
        <f>IF(AND($AM1822&lt;&gt;"",$AS1822&lt;&gt;"✓"),SUMPRODUCT(($AM$11:$AM1822&lt;&gt;"")*($AS$11:$AS1822&lt;&gt;"✓")),"")</f>
        <v/>
      </c>
      <c r="AZ1822" s="21" t="str">
        <f>IF(AND($AM1822&lt;&gt;"",$AS1822="✓"),SUMPRODUCT(($AM$11:$AM1822&lt;&gt;"")*($AS$11:$AS1822="✓")),"")</f>
        <v/>
      </c>
      <c r="BA1822" s="21" t="str">
        <f>IF($AL1822="","",$AL1822&amp;"|"&amp;COUNTIF($AL$11:$AL1822,$AL1822))</f>
        <v/>
      </c>
    </row>
    <row r="1823" spans="38:53" ht="15" customHeight="1" x14ac:dyDescent="0.25">
      <c r="AL1823" s="17"/>
      <c r="AM1823" s="12"/>
      <c r="AN1823" s="18"/>
      <c r="AO1823" s="18"/>
      <c r="AP1823" s="10"/>
      <c r="AQ1823" s="10"/>
      <c r="AR1823" s="19"/>
      <c r="AS1823" s="20"/>
      <c r="AT1823" s="19"/>
      <c r="AV1823" s="21">
        <f>IF(AND($AL1823&lt;&gt;"",COUNTIF($AL$11:$AL1823,$AL1823)=1),1,0)</f>
        <v>0</v>
      </c>
      <c r="AW1823" s="21">
        <f t="shared" si="143"/>
        <v>0</v>
      </c>
      <c r="AX1823" s="21" t="str">
        <f t="shared" si="142"/>
        <v/>
      </c>
      <c r="AY1823" s="21" t="str">
        <f>IF(AND($AM1823&lt;&gt;"",$AS1823&lt;&gt;"✓"),SUMPRODUCT(($AM$11:$AM1823&lt;&gt;"")*($AS$11:$AS1823&lt;&gt;"✓")),"")</f>
        <v/>
      </c>
      <c r="AZ1823" s="21" t="str">
        <f>IF(AND($AM1823&lt;&gt;"",$AS1823="✓"),SUMPRODUCT(($AM$11:$AM1823&lt;&gt;"")*($AS$11:$AS1823="✓")),"")</f>
        <v/>
      </c>
      <c r="BA1823" s="21" t="str">
        <f>IF($AL1823="","",$AL1823&amp;"|"&amp;COUNTIF($AL$11:$AL1823,$AL1823))</f>
        <v/>
      </c>
    </row>
    <row r="1824" spans="38:53" ht="15" customHeight="1" x14ac:dyDescent="0.25">
      <c r="AL1824" s="31"/>
      <c r="AM1824" s="26"/>
      <c r="AN1824" s="32"/>
      <c r="AO1824" s="32"/>
      <c r="AP1824" s="24"/>
      <c r="AQ1824" s="24"/>
      <c r="AR1824" s="33"/>
      <c r="AS1824" s="34"/>
      <c r="AT1824" s="33"/>
      <c r="AV1824" s="21">
        <f>IF(AND($AL1824&lt;&gt;"",COUNTIF($AL$11:$AL1824,$AL1824)=1),1,0)</f>
        <v>0</v>
      </c>
      <c r="AW1824" s="21">
        <f t="shared" si="143"/>
        <v>0</v>
      </c>
      <c r="AX1824" s="21" t="str">
        <f t="shared" si="142"/>
        <v/>
      </c>
      <c r="AY1824" s="21" t="str">
        <f>IF(AND($AM1824&lt;&gt;"",$AS1824&lt;&gt;"✓"),SUMPRODUCT(($AM$11:$AM1824&lt;&gt;"")*($AS$11:$AS1824&lt;&gt;"✓")),"")</f>
        <v/>
      </c>
      <c r="AZ1824" s="21" t="str">
        <f>IF(AND($AM1824&lt;&gt;"",$AS1824="✓"),SUMPRODUCT(($AM$11:$AM1824&lt;&gt;"")*($AS$11:$AS1824="✓")),"")</f>
        <v/>
      </c>
      <c r="BA1824" s="21" t="str">
        <f>IF($AL1824="","",$AL1824&amp;"|"&amp;COUNTIF($AL$11:$AL1824,$AL1824))</f>
        <v/>
      </c>
    </row>
    <row r="1825" spans="38:53" ht="15" customHeight="1" x14ac:dyDescent="0.25">
      <c r="AL1825" s="17"/>
      <c r="AM1825" s="12"/>
      <c r="AN1825" s="18"/>
      <c r="AO1825" s="18"/>
      <c r="AP1825" s="10"/>
      <c r="AQ1825" s="10"/>
      <c r="AR1825" s="19"/>
      <c r="AS1825" s="20"/>
      <c r="AT1825" s="19"/>
      <c r="AV1825" s="21">
        <f>IF(AND($AL1825&lt;&gt;"",COUNTIF($AL$11:$AL1825,$AL1825)=1),1,0)</f>
        <v>0</v>
      </c>
      <c r="AW1825" s="21">
        <f t="shared" si="143"/>
        <v>0</v>
      </c>
      <c r="AX1825" s="21" t="str">
        <f t="shared" si="142"/>
        <v/>
      </c>
      <c r="AY1825" s="21" t="str">
        <f>IF(AND($AM1825&lt;&gt;"",$AS1825&lt;&gt;"✓"),SUMPRODUCT(($AM$11:$AM1825&lt;&gt;"")*($AS$11:$AS1825&lt;&gt;"✓")),"")</f>
        <v/>
      </c>
      <c r="AZ1825" s="21" t="str">
        <f>IF(AND($AM1825&lt;&gt;"",$AS1825="✓"),SUMPRODUCT(($AM$11:$AM1825&lt;&gt;"")*($AS$11:$AS1825="✓")),"")</f>
        <v/>
      </c>
      <c r="BA1825" s="21" t="str">
        <f>IF($AL1825="","",$AL1825&amp;"|"&amp;COUNTIF($AL$11:$AL1825,$AL1825))</f>
        <v/>
      </c>
    </row>
    <row r="1826" spans="38:53" ht="15" customHeight="1" x14ac:dyDescent="0.25">
      <c r="AL1826" s="31"/>
      <c r="AM1826" s="26"/>
      <c r="AN1826" s="32"/>
      <c r="AO1826" s="32"/>
      <c r="AP1826" s="24"/>
      <c r="AQ1826" s="24"/>
      <c r="AR1826" s="33"/>
      <c r="AS1826" s="34"/>
      <c r="AT1826" s="33"/>
      <c r="AV1826" s="21">
        <f>IF(AND($AL1826&lt;&gt;"",COUNTIF($AL$11:$AL1826,$AL1826)=1),1,0)</f>
        <v>0</v>
      </c>
      <c r="AW1826" s="21">
        <f t="shared" si="143"/>
        <v>0</v>
      </c>
      <c r="AX1826" s="21" t="str">
        <f t="shared" si="142"/>
        <v/>
      </c>
      <c r="AY1826" s="21" t="str">
        <f>IF(AND($AM1826&lt;&gt;"",$AS1826&lt;&gt;"✓"),SUMPRODUCT(($AM$11:$AM1826&lt;&gt;"")*($AS$11:$AS1826&lt;&gt;"✓")),"")</f>
        <v/>
      </c>
      <c r="AZ1826" s="21" t="str">
        <f>IF(AND($AM1826&lt;&gt;"",$AS1826="✓"),SUMPRODUCT(($AM$11:$AM1826&lt;&gt;"")*($AS$11:$AS1826="✓")),"")</f>
        <v/>
      </c>
      <c r="BA1826" s="21" t="str">
        <f>IF($AL1826="","",$AL1826&amp;"|"&amp;COUNTIF($AL$11:$AL1826,$AL1826))</f>
        <v/>
      </c>
    </row>
    <row r="1827" spans="38:53" ht="15" customHeight="1" x14ac:dyDescent="0.25">
      <c r="AL1827" s="17"/>
      <c r="AM1827" s="12"/>
      <c r="AN1827" s="18"/>
      <c r="AO1827" s="18"/>
      <c r="AP1827" s="10"/>
      <c r="AQ1827" s="10"/>
      <c r="AR1827" s="19"/>
      <c r="AS1827" s="20"/>
      <c r="AT1827" s="19"/>
      <c r="AV1827" s="21">
        <f>IF(AND($AL1827&lt;&gt;"",COUNTIF($AL$11:$AL1827,$AL1827)=1),1,0)</f>
        <v>0</v>
      </c>
      <c r="AW1827" s="21">
        <f t="shared" si="143"/>
        <v>0</v>
      </c>
      <c r="AX1827" s="21" t="str">
        <f t="shared" si="142"/>
        <v/>
      </c>
      <c r="AY1827" s="21" t="str">
        <f>IF(AND($AM1827&lt;&gt;"",$AS1827&lt;&gt;"✓"),SUMPRODUCT(($AM$11:$AM1827&lt;&gt;"")*($AS$11:$AS1827&lt;&gt;"✓")),"")</f>
        <v/>
      </c>
      <c r="AZ1827" s="21" t="str">
        <f>IF(AND($AM1827&lt;&gt;"",$AS1827="✓"),SUMPRODUCT(($AM$11:$AM1827&lt;&gt;"")*($AS$11:$AS1827="✓")),"")</f>
        <v/>
      </c>
      <c r="BA1827" s="21" t="str">
        <f>IF($AL1827="","",$AL1827&amp;"|"&amp;COUNTIF($AL$11:$AL1827,$AL1827))</f>
        <v/>
      </c>
    </row>
    <row r="1828" spans="38:53" ht="15" customHeight="1" x14ac:dyDescent="0.25">
      <c r="AL1828" s="31"/>
      <c r="AM1828" s="26"/>
      <c r="AN1828" s="32"/>
      <c r="AO1828" s="32"/>
      <c r="AP1828" s="24"/>
      <c r="AQ1828" s="24"/>
      <c r="AR1828" s="33"/>
      <c r="AS1828" s="34"/>
      <c r="AT1828" s="33"/>
      <c r="AV1828" s="21">
        <f>IF(AND($AL1828&lt;&gt;"",COUNTIF($AL$11:$AL1828,$AL1828)=1),1,0)</f>
        <v>0</v>
      </c>
      <c r="AW1828" s="21">
        <f t="shared" si="143"/>
        <v>0</v>
      </c>
      <c r="AX1828" s="21" t="str">
        <f t="shared" si="142"/>
        <v/>
      </c>
      <c r="AY1828" s="21" t="str">
        <f>IF(AND($AM1828&lt;&gt;"",$AS1828&lt;&gt;"✓"),SUMPRODUCT(($AM$11:$AM1828&lt;&gt;"")*($AS$11:$AS1828&lt;&gt;"✓")),"")</f>
        <v/>
      </c>
      <c r="AZ1828" s="21" t="str">
        <f>IF(AND($AM1828&lt;&gt;"",$AS1828="✓"),SUMPRODUCT(($AM$11:$AM1828&lt;&gt;"")*($AS$11:$AS1828="✓")),"")</f>
        <v/>
      </c>
      <c r="BA1828" s="21" t="str">
        <f>IF($AL1828="","",$AL1828&amp;"|"&amp;COUNTIF($AL$11:$AL1828,$AL1828))</f>
        <v/>
      </c>
    </row>
    <row r="1829" spans="38:53" ht="15" customHeight="1" x14ac:dyDescent="0.25">
      <c r="AL1829" s="17"/>
      <c r="AM1829" s="12"/>
      <c r="AN1829" s="18"/>
      <c r="AO1829" s="18"/>
      <c r="AP1829" s="10"/>
      <c r="AQ1829" s="10"/>
      <c r="AR1829" s="19"/>
      <c r="AS1829" s="20"/>
      <c r="AT1829" s="19"/>
      <c r="AV1829" s="21">
        <f>IF(AND($AL1829&lt;&gt;"",COUNTIF($AL$11:$AL1829,$AL1829)=1),1,0)</f>
        <v>0</v>
      </c>
      <c r="AW1829" s="21">
        <f t="shared" si="143"/>
        <v>0</v>
      </c>
      <c r="AX1829" s="21" t="str">
        <f t="shared" si="142"/>
        <v/>
      </c>
      <c r="AY1829" s="21" t="str">
        <f>IF(AND($AM1829&lt;&gt;"",$AS1829&lt;&gt;"✓"),SUMPRODUCT(($AM$11:$AM1829&lt;&gt;"")*($AS$11:$AS1829&lt;&gt;"✓")),"")</f>
        <v/>
      </c>
      <c r="AZ1829" s="21" t="str">
        <f>IF(AND($AM1829&lt;&gt;"",$AS1829="✓"),SUMPRODUCT(($AM$11:$AM1829&lt;&gt;"")*($AS$11:$AS1829="✓")),"")</f>
        <v/>
      </c>
      <c r="BA1829" s="21" t="str">
        <f>IF($AL1829="","",$AL1829&amp;"|"&amp;COUNTIF($AL$11:$AL1829,$AL1829))</f>
        <v/>
      </c>
    </row>
    <row r="1830" spans="38:53" ht="15" customHeight="1" x14ac:dyDescent="0.25">
      <c r="AL1830" s="31"/>
      <c r="AM1830" s="26"/>
      <c r="AN1830" s="32"/>
      <c r="AO1830" s="32"/>
      <c r="AP1830" s="24"/>
      <c r="AQ1830" s="24"/>
      <c r="AR1830" s="33"/>
      <c r="AS1830" s="34"/>
      <c r="AT1830" s="33"/>
      <c r="AV1830" s="21">
        <f>IF(AND($AL1830&lt;&gt;"",COUNTIF($AL$11:$AL1830,$AL1830)=1),1,0)</f>
        <v>0</v>
      </c>
      <c r="AW1830" s="21">
        <f t="shared" si="143"/>
        <v>0</v>
      </c>
      <c r="AX1830" s="21" t="str">
        <f t="shared" si="142"/>
        <v/>
      </c>
      <c r="AY1830" s="21" t="str">
        <f>IF(AND($AM1830&lt;&gt;"",$AS1830&lt;&gt;"✓"),SUMPRODUCT(($AM$11:$AM1830&lt;&gt;"")*($AS$11:$AS1830&lt;&gt;"✓")),"")</f>
        <v/>
      </c>
      <c r="AZ1830" s="21" t="str">
        <f>IF(AND($AM1830&lt;&gt;"",$AS1830="✓"),SUMPRODUCT(($AM$11:$AM1830&lt;&gt;"")*($AS$11:$AS1830="✓")),"")</f>
        <v/>
      </c>
      <c r="BA1830" s="21" t="str">
        <f>IF($AL1830="","",$AL1830&amp;"|"&amp;COUNTIF($AL$11:$AL1830,$AL1830))</f>
        <v/>
      </c>
    </row>
    <row r="1831" spans="38:53" ht="15" customHeight="1" x14ac:dyDescent="0.25">
      <c r="AL1831" s="17"/>
      <c r="AM1831" s="12"/>
      <c r="AN1831" s="18"/>
      <c r="AO1831" s="18"/>
      <c r="AP1831" s="10"/>
      <c r="AQ1831" s="10"/>
      <c r="AR1831" s="19"/>
      <c r="AS1831" s="20"/>
      <c r="AT1831" s="19"/>
      <c r="AV1831" s="21">
        <f>IF(AND($AL1831&lt;&gt;"",COUNTIF($AL$11:$AL1831,$AL1831)=1),1,0)</f>
        <v>0</v>
      </c>
      <c r="AW1831" s="21">
        <f t="shared" si="143"/>
        <v>0</v>
      </c>
      <c r="AX1831" s="21" t="str">
        <f t="shared" si="142"/>
        <v/>
      </c>
      <c r="AY1831" s="21" t="str">
        <f>IF(AND($AM1831&lt;&gt;"",$AS1831&lt;&gt;"✓"),SUMPRODUCT(($AM$11:$AM1831&lt;&gt;"")*($AS$11:$AS1831&lt;&gt;"✓")),"")</f>
        <v/>
      </c>
      <c r="AZ1831" s="21" t="str">
        <f>IF(AND($AM1831&lt;&gt;"",$AS1831="✓"),SUMPRODUCT(($AM$11:$AM1831&lt;&gt;"")*($AS$11:$AS1831="✓")),"")</f>
        <v/>
      </c>
      <c r="BA1831" s="21" t="str">
        <f>IF($AL1831="","",$AL1831&amp;"|"&amp;COUNTIF($AL$11:$AL1831,$AL1831))</f>
        <v/>
      </c>
    </row>
    <row r="1832" spans="38:53" ht="15" customHeight="1" x14ac:dyDescent="0.25">
      <c r="AL1832" s="31"/>
      <c r="AM1832" s="26"/>
      <c r="AN1832" s="32"/>
      <c r="AO1832" s="32"/>
      <c r="AP1832" s="24"/>
      <c r="AQ1832" s="24"/>
      <c r="AR1832" s="33"/>
      <c r="AS1832" s="34"/>
      <c r="AT1832" s="33"/>
      <c r="AV1832" s="21">
        <f>IF(AND($AL1832&lt;&gt;"",COUNTIF($AL$11:$AL1832,$AL1832)=1),1,0)</f>
        <v>0</v>
      </c>
      <c r="AW1832" s="21">
        <f t="shared" si="143"/>
        <v>0</v>
      </c>
      <c r="AX1832" s="21" t="str">
        <f t="shared" si="142"/>
        <v/>
      </c>
      <c r="AY1832" s="21" t="str">
        <f>IF(AND($AM1832&lt;&gt;"",$AS1832&lt;&gt;"✓"),SUMPRODUCT(($AM$11:$AM1832&lt;&gt;"")*($AS$11:$AS1832&lt;&gt;"✓")),"")</f>
        <v/>
      </c>
      <c r="AZ1832" s="21" t="str">
        <f>IF(AND($AM1832&lt;&gt;"",$AS1832="✓"),SUMPRODUCT(($AM$11:$AM1832&lt;&gt;"")*($AS$11:$AS1832="✓")),"")</f>
        <v/>
      </c>
      <c r="BA1832" s="21" t="str">
        <f>IF($AL1832="","",$AL1832&amp;"|"&amp;COUNTIF($AL$11:$AL1832,$AL1832))</f>
        <v/>
      </c>
    </row>
    <row r="1833" spans="38:53" ht="15" customHeight="1" x14ac:dyDescent="0.25">
      <c r="AL1833" s="17"/>
      <c r="AM1833" s="12"/>
      <c r="AN1833" s="18"/>
      <c r="AO1833" s="18"/>
      <c r="AP1833" s="10"/>
      <c r="AQ1833" s="10"/>
      <c r="AR1833" s="19"/>
      <c r="AS1833" s="20"/>
      <c r="AT1833" s="19"/>
      <c r="AV1833" s="21">
        <f>IF(AND($AL1833&lt;&gt;"",COUNTIF($AL$11:$AL1833,$AL1833)=1),1,0)</f>
        <v>0</v>
      </c>
      <c r="AW1833" s="21">
        <f t="shared" si="143"/>
        <v>0</v>
      </c>
      <c r="AX1833" s="21" t="str">
        <f t="shared" si="142"/>
        <v/>
      </c>
      <c r="AY1833" s="21" t="str">
        <f>IF(AND($AM1833&lt;&gt;"",$AS1833&lt;&gt;"✓"),SUMPRODUCT(($AM$11:$AM1833&lt;&gt;"")*($AS$11:$AS1833&lt;&gt;"✓")),"")</f>
        <v/>
      </c>
      <c r="AZ1833" s="21" t="str">
        <f>IF(AND($AM1833&lt;&gt;"",$AS1833="✓"),SUMPRODUCT(($AM$11:$AM1833&lt;&gt;"")*($AS$11:$AS1833="✓")),"")</f>
        <v/>
      </c>
      <c r="BA1833" s="21" t="str">
        <f>IF($AL1833="","",$AL1833&amp;"|"&amp;COUNTIF($AL$11:$AL1833,$AL1833))</f>
        <v/>
      </c>
    </row>
    <row r="1834" spans="38:53" ht="15" customHeight="1" x14ac:dyDescent="0.25">
      <c r="AL1834" s="31"/>
      <c r="AM1834" s="26"/>
      <c r="AN1834" s="32"/>
      <c r="AO1834" s="32"/>
      <c r="AP1834" s="24"/>
      <c r="AQ1834" s="24"/>
      <c r="AR1834" s="33"/>
      <c r="AS1834" s="34"/>
      <c r="AT1834" s="33"/>
      <c r="AV1834" s="21">
        <f>IF(AND($AL1834&lt;&gt;"",COUNTIF($AL$11:$AL1834,$AL1834)=1),1,0)</f>
        <v>0</v>
      </c>
      <c r="AW1834" s="21">
        <f t="shared" si="143"/>
        <v>0</v>
      </c>
      <c r="AX1834" s="21" t="str">
        <f t="shared" si="142"/>
        <v/>
      </c>
      <c r="AY1834" s="21" t="str">
        <f>IF(AND($AM1834&lt;&gt;"",$AS1834&lt;&gt;"✓"),SUMPRODUCT(($AM$11:$AM1834&lt;&gt;"")*($AS$11:$AS1834&lt;&gt;"✓")),"")</f>
        <v/>
      </c>
      <c r="AZ1834" s="21" t="str">
        <f>IF(AND($AM1834&lt;&gt;"",$AS1834="✓"),SUMPRODUCT(($AM$11:$AM1834&lt;&gt;"")*($AS$11:$AS1834="✓")),"")</f>
        <v/>
      </c>
      <c r="BA1834" s="21" t="str">
        <f>IF($AL1834="","",$AL1834&amp;"|"&amp;COUNTIF($AL$11:$AL1834,$AL1834))</f>
        <v/>
      </c>
    </row>
    <row r="1835" spans="38:53" ht="15" customHeight="1" x14ac:dyDescent="0.25">
      <c r="AL1835" s="17"/>
      <c r="AM1835" s="12"/>
      <c r="AN1835" s="18"/>
      <c r="AO1835" s="18"/>
      <c r="AP1835" s="10"/>
      <c r="AQ1835" s="10"/>
      <c r="AR1835" s="19"/>
      <c r="AS1835" s="20"/>
      <c r="AT1835" s="19"/>
      <c r="AV1835" s="21">
        <f>IF(AND($AL1835&lt;&gt;"",COUNTIF($AL$11:$AL1835,$AL1835)=1),1,0)</f>
        <v>0</v>
      </c>
      <c r="AW1835" s="21">
        <f t="shared" si="143"/>
        <v>0</v>
      </c>
      <c r="AX1835" s="21" t="str">
        <f t="shared" si="142"/>
        <v/>
      </c>
      <c r="AY1835" s="21" t="str">
        <f>IF(AND($AM1835&lt;&gt;"",$AS1835&lt;&gt;"✓"),SUMPRODUCT(($AM$11:$AM1835&lt;&gt;"")*($AS$11:$AS1835&lt;&gt;"✓")),"")</f>
        <v/>
      </c>
      <c r="AZ1835" s="21" t="str">
        <f>IF(AND($AM1835&lt;&gt;"",$AS1835="✓"),SUMPRODUCT(($AM$11:$AM1835&lt;&gt;"")*($AS$11:$AS1835="✓")),"")</f>
        <v/>
      </c>
      <c r="BA1835" s="21" t="str">
        <f>IF($AL1835="","",$AL1835&amp;"|"&amp;COUNTIF($AL$11:$AL1835,$AL1835))</f>
        <v/>
      </c>
    </row>
    <row r="1836" spans="38:53" ht="15" customHeight="1" x14ac:dyDescent="0.25">
      <c r="AL1836" s="31"/>
      <c r="AM1836" s="26"/>
      <c r="AN1836" s="32"/>
      <c r="AO1836" s="32"/>
      <c r="AP1836" s="24"/>
      <c r="AQ1836" s="24"/>
      <c r="AR1836" s="33"/>
      <c r="AS1836" s="34"/>
      <c r="AT1836" s="33"/>
      <c r="AV1836" s="21">
        <f>IF(AND($AL1836&lt;&gt;"",COUNTIF($AL$11:$AL1836,$AL1836)=1),1,0)</f>
        <v>0</v>
      </c>
      <c r="AW1836" s="21">
        <f t="shared" si="143"/>
        <v>0</v>
      </c>
      <c r="AX1836" s="21" t="str">
        <f t="shared" si="142"/>
        <v/>
      </c>
      <c r="AY1836" s="21" t="str">
        <f>IF(AND($AM1836&lt;&gt;"",$AS1836&lt;&gt;"✓"),SUMPRODUCT(($AM$11:$AM1836&lt;&gt;"")*($AS$11:$AS1836&lt;&gt;"✓")),"")</f>
        <v/>
      </c>
      <c r="AZ1836" s="21" t="str">
        <f>IF(AND($AM1836&lt;&gt;"",$AS1836="✓"),SUMPRODUCT(($AM$11:$AM1836&lt;&gt;"")*($AS$11:$AS1836="✓")),"")</f>
        <v/>
      </c>
      <c r="BA1836" s="21" t="str">
        <f>IF($AL1836="","",$AL1836&amp;"|"&amp;COUNTIF($AL$11:$AL1836,$AL1836))</f>
        <v/>
      </c>
    </row>
    <row r="1837" spans="38:53" ht="15" customHeight="1" x14ac:dyDescent="0.25">
      <c r="AL1837" s="17"/>
      <c r="AM1837" s="12"/>
      <c r="AN1837" s="18"/>
      <c r="AO1837" s="18"/>
      <c r="AP1837" s="10"/>
      <c r="AQ1837" s="10"/>
      <c r="AR1837" s="19"/>
      <c r="AS1837" s="20"/>
      <c r="AT1837" s="19"/>
      <c r="AV1837" s="21">
        <f>IF(AND($AL1837&lt;&gt;"",COUNTIF($AL$11:$AL1837,$AL1837)=1),1,0)</f>
        <v>0</v>
      </c>
      <c r="AW1837" s="21">
        <f t="shared" si="143"/>
        <v>0</v>
      </c>
      <c r="AX1837" s="21" t="str">
        <f t="shared" si="142"/>
        <v/>
      </c>
      <c r="AY1837" s="21" t="str">
        <f>IF(AND($AM1837&lt;&gt;"",$AS1837&lt;&gt;"✓"),SUMPRODUCT(($AM$11:$AM1837&lt;&gt;"")*($AS$11:$AS1837&lt;&gt;"✓")),"")</f>
        <v/>
      </c>
      <c r="AZ1837" s="21" t="str">
        <f>IF(AND($AM1837&lt;&gt;"",$AS1837="✓"),SUMPRODUCT(($AM$11:$AM1837&lt;&gt;"")*($AS$11:$AS1837="✓")),"")</f>
        <v/>
      </c>
      <c r="BA1837" s="21" t="str">
        <f>IF($AL1837="","",$AL1837&amp;"|"&amp;COUNTIF($AL$11:$AL1837,$AL1837))</f>
        <v/>
      </c>
    </row>
    <row r="1838" spans="38:53" ht="15" customHeight="1" x14ac:dyDescent="0.25">
      <c r="AL1838" s="31"/>
      <c r="AM1838" s="26"/>
      <c r="AN1838" s="32"/>
      <c r="AO1838" s="32"/>
      <c r="AP1838" s="24"/>
      <c r="AQ1838" s="24"/>
      <c r="AR1838" s="33"/>
      <c r="AS1838" s="34"/>
      <c r="AT1838" s="33"/>
      <c r="AV1838" s="21">
        <f>IF(AND($AL1838&lt;&gt;"",COUNTIF($AL$11:$AL1838,$AL1838)=1),1,0)</f>
        <v>0</v>
      </c>
      <c r="AW1838" s="21">
        <f t="shared" si="143"/>
        <v>0</v>
      </c>
      <c r="AX1838" s="21" t="str">
        <f t="shared" si="142"/>
        <v/>
      </c>
      <c r="AY1838" s="21" t="str">
        <f>IF(AND($AM1838&lt;&gt;"",$AS1838&lt;&gt;"✓"),SUMPRODUCT(($AM$11:$AM1838&lt;&gt;"")*($AS$11:$AS1838&lt;&gt;"✓")),"")</f>
        <v/>
      </c>
      <c r="AZ1838" s="21" t="str">
        <f>IF(AND($AM1838&lt;&gt;"",$AS1838="✓"),SUMPRODUCT(($AM$11:$AM1838&lt;&gt;"")*($AS$11:$AS1838="✓")),"")</f>
        <v/>
      </c>
      <c r="BA1838" s="21" t="str">
        <f>IF($AL1838="","",$AL1838&amp;"|"&amp;COUNTIF($AL$11:$AL1838,$AL1838))</f>
        <v/>
      </c>
    </row>
    <row r="1839" spans="38:53" ht="15" customHeight="1" x14ac:dyDescent="0.25">
      <c r="AL1839" s="17"/>
      <c r="AM1839" s="12"/>
      <c r="AN1839" s="18"/>
      <c r="AO1839" s="18"/>
      <c r="AP1839" s="10"/>
      <c r="AQ1839" s="10"/>
      <c r="AR1839" s="19"/>
      <c r="AS1839" s="20"/>
      <c r="AT1839" s="19"/>
      <c r="AV1839" s="21">
        <f>IF(AND($AL1839&lt;&gt;"",COUNTIF($AL$11:$AL1839,$AL1839)=1),1,0)</f>
        <v>0</v>
      </c>
      <c r="AW1839" s="21">
        <f t="shared" si="143"/>
        <v>0</v>
      </c>
      <c r="AX1839" s="21" t="str">
        <f t="shared" si="142"/>
        <v/>
      </c>
      <c r="AY1839" s="21" t="str">
        <f>IF(AND($AM1839&lt;&gt;"",$AS1839&lt;&gt;"✓"),SUMPRODUCT(($AM$11:$AM1839&lt;&gt;"")*($AS$11:$AS1839&lt;&gt;"✓")),"")</f>
        <v/>
      </c>
      <c r="AZ1839" s="21" t="str">
        <f>IF(AND($AM1839&lt;&gt;"",$AS1839="✓"),SUMPRODUCT(($AM$11:$AM1839&lt;&gt;"")*($AS$11:$AS1839="✓")),"")</f>
        <v/>
      </c>
      <c r="BA1839" s="21" t="str">
        <f>IF($AL1839="","",$AL1839&amp;"|"&amp;COUNTIF($AL$11:$AL1839,$AL1839))</f>
        <v/>
      </c>
    </row>
    <row r="1840" spans="38:53" ht="15" customHeight="1" x14ac:dyDescent="0.25">
      <c r="AL1840" s="31"/>
      <c r="AM1840" s="26"/>
      <c r="AN1840" s="32"/>
      <c r="AO1840" s="32"/>
      <c r="AP1840" s="24"/>
      <c r="AQ1840" s="24"/>
      <c r="AR1840" s="33"/>
      <c r="AS1840" s="34"/>
      <c r="AT1840" s="33"/>
      <c r="AV1840" s="21">
        <f>IF(AND($AL1840&lt;&gt;"",COUNTIF($AL$11:$AL1840,$AL1840)=1),1,0)</f>
        <v>0</v>
      </c>
      <c r="AW1840" s="21">
        <f t="shared" si="143"/>
        <v>0</v>
      </c>
      <c r="AX1840" s="21" t="str">
        <f t="shared" si="142"/>
        <v/>
      </c>
      <c r="AY1840" s="21" t="str">
        <f>IF(AND($AM1840&lt;&gt;"",$AS1840&lt;&gt;"✓"),SUMPRODUCT(($AM$11:$AM1840&lt;&gt;"")*($AS$11:$AS1840&lt;&gt;"✓")),"")</f>
        <v/>
      </c>
      <c r="AZ1840" s="21" t="str">
        <f>IF(AND($AM1840&lt;&gt;"",$AS1840="✓"),SUMPRODUCT(($AM$11:$AM1840&lt;&gt;"")*($AS$11:$AS1840="✓")),"")</f>
        <v/>
      </c>
      <c r="BA1840" s="21" t="str">
        <f>IF($AL1840="","",$AL1840&amp;"|"&amp;COUNTIF($AL$11:$AL1840,$AL1840))</f>
        <v/>
      </c>
    </row>
    <row r="1841" spans="38:53" ht="15" customHeight="1" x14ac:dyDescent="0.25">
      <c r="AL1841" s="17"/>
      <c r="AM1841" s="12"/>
      <c r="AN1841" s="18"/>
      <c r="AO1841" s="18"/>
      <c r="AP1841" s="10"/>
      <c r="AQ1841" s="10"/>
      <c r="AR1841" s="19"/>
      <c r="AS1841" s="20"/>
      <c r="AT1841" s="19"/>
      <c r="AV1841" s="21">
        <f>IF(AND($AL1841&lt;&gt;"",COUNTIF($AL$11:$AL1841,$AL1841)=1),1,0)</f>
        <v>0</v>
      </c>
      <c r="AW1841" s="21">
        <f t="shared" si="143"/>
        <v>0</v>
      </c>
      <c r="AX1841" s="21" t="str">
        <f t="shared" si="142"/>
        <v/>
      </c>
      <c r="AY1841" s="21" t="str">
        <f>IF(AND($AM1841&lt;&gt;"",$AS1841&lt;&gt;"✓"),SUMPRODUCT(($AM$11:$AM1841&lt;&gt;"")*($AS$11:$AS1841&lt;&gt;"✓")),"")</f>
        <v/>
      </c>
      <c r="AZ1841" s="21" t="str">
        <f>IF(AND($AM1841&lt;&gt;"",$AS1841="✓"),SUMPRODUCT(($AM$11:$AM1841&lt;&gt;"")*($AS$11:$AS1841="✓")),"")</f>
        <v/>
      </c>
      <c r="BA1841" s="21" t="str">
        <f>IF($AL1841="","",$AL1841&amp;"|"&amp;COUNTIF($AL$11:$AL1841,$AL1841))</f>
        <v/>
      </c>
    </row>
    <row r="1842" spans="38:53" ht="15" customHeight="1" x14ac:dyDescent="0.25">
      <c r="AL1842" s="31"/>
      <c r="AM1842" s="26"/>
      <c r="AN1842" s="32"/>
      <c r="AO1842" s="32"/>
      <c r="AP1842" s="24"/>
      <c r="AQ1842" s="24"/>
      <c r="AR1842" s="33"/>
      <c r="AS1842" s="34"/>
      <c r="AT1842" s="33"/>
      <c r="AV1842" s="21">
        <f>IF(AND($AL1842&lt;&gt;"",COUNTIF($AL$11:$AL1842,$AL1842)=1),1,0)</f>
        <v>0</v>
      </c>
      <c r="AW1842" s="21">
        <f t="shared" si="143"/>
        <v>0</v>
      </c>
      <c r="AX1842" s="21" t="str">
        <f t="shared" si="142"/>
        <v/>
      </c>
      <c r="AY1842" s="21" t="str">
        <f>IF(AND($AM1842&lt;&gt;"",$AS1842&lt;&gt;"✓"),SUMPRODUCT(($AM$11:$AM1842&lt;&gt;"")*($AS$11:$AS1842&lt;&gt;"✓")),"")</f>
        <v/>
      </c>
      <c r="AZ1842" s="21" t="str">
        <f>IF(AND($AM1842&lt;&gt;"",$AS1842="✓"),SUMPRODUCT(($AM$11:$AM1842&lt;&gt;"")*($AS$11:$AS1842="✓")),"")</f>
        <v/>
      </c>
      <c r="BA1842" s="21" t="str">
        <f>IF($AL1842="","",$AL1842&amp;"|"&amp;COUNTIF($AL$11:$AL1842,$AL1842))</f>
        <v/>
      </c>
    </row>
    <row r="1843" spans="38:53" ht="15" customHeight="1" x14ac:dyDescent="0.25">
      <c r="AL1843" s="17"/>
      <c r="AM1843" s="12"/>
      <c r="AN1843" s="18"/>
      <c r="AO1843" s="18"/>
      <c r="AP1843" s="10"/>
      <c r="AQ1843" s="10"/>
      <c r="AR1843" s="19"/>
      <c r="AS1843" s="20"/>
      <c r="AT1843" s="19"/>
      <c r="AV1843" s="21">
        <f>IF(AND($AL1843&lt;&gt;"",COUNTIF($AL$11:$AL1843,$AL1843)=1),1,0)</f>
        <v>0</v>
      </c>
      <c r="AW1843" s="21">
        <f t="shared" si="143"/>
        <v>0</v>
      </c>
      <c r="AX1843" s="21" t="str">
        <f t="shared" si="142"/>
        <v/>
      </c>
      <c r="AY1843" s="21" t="str">
        <f>IF(AND($AM1843&lt;&gt;"",$AS1843&lt;&gt;"✓"),SUMPRODUCT(($AM$11:$AM1843&lt;&gt;"")*($AS$11:$AS1843&lt;&gt;"✓")),"")</f>
        <v/>
      </c>
      <c r="AZ1843" s="21" t="str">
        <f>IF(AND($AM1843&lt;&gt;"",$AS1843="✓"),SUMPRODUCT(($AM$11:$AM1843&lt;&gt;"")*($AS$11:$AS1843="✓")),"")</f>
        <v/>
      </c>
      <c r="BA1843" s="21" t="str">
        <f>IF($AL1843="","",$AL1843&amp;"|"&amp;COUNTIF($AL$11:$AL1843,$AL1843))</f>
        <v/>
      </c>
    </row>
    <row r="1844" spans="38:53" ht="15" customHeight="1" x14ac:dyDescent="0.25">
      <c r="AL1844" s="31"/>
      <c r="AM1844" s="26"/>
      <c r="AN1844" s="32"/>
      <c r="AO1844" s="32"/>
      <c r="AP1844" s="24"/>
      <c r="AQ1844" s="24"/>
      <c r="AR1844" s="33"/>
      <c r="AS1844" s="34"/>
      <c r="AT1844" s="33"/>
      <c r="AV1844" s="21">
        <f>IF(AND($AL1844&lt;&gt;"",COUNTIF($AL$11:$AL1844,$AL1844)=1),1,0)</f>
        <v>0</v>
      </c>
      <c r="AW1844" s="21">
        <f t="shared" si="143"/>
        <v>0</v>
      </c>
      <c r="AX1844" s="21" t="str">
        <f t="shared" si="142"/>
        <v/>
      </c>
      <c r="AY1844" s="21" t="str">
        <f>IF(AND($AM1844&lt;&gt;"",$AS1844&lt;&gt;"✓"),SUMPRODUCT(($AM$11:$AM1844&lt;&gt;"")*($AS$11:$AS1844&lt;&gt;"✓")),"")</f>
        <v/>
      </c>
      <c r="AZ1844" s="21" t="str">
        <f>IF(AND($AM1844&lt;&gt;"",$AS1844="✓"),SUMPRODUCT(($AM$11:$AM1844&lt;&gt;"")*($AS$11:$AS1844="✓")),"")</f>
        <v/>
      </c>
      <c r="BA1844" s="21" t="str">
        <f>IF($AL1844="","",$AL1844&amp;"|"&amp;COUNTIF($AL$11:$AL1844,$AL1844))</f>
        <v/>
      </c>
    </row>
    <row r="1845" spans="38:53" ht="15" customHeight="1" x14ac:dyDescent="0.25">
      <c r="AL1845" s="17"/>
      <c r="AM1845" s="12"/>
      <c r="AN1845" s="18"/>
      <c r="AO1845" s="18"/>
      <c r="AP1845" s="10"/>
      <c r="AQ1845" s="10"/>
      <c r="AR1845" s="19"/>
      <c r="AS1845" s="20"/>
      <c r="AT1845" s="19"/>
      <c r="AV1845" s="21">
        <f>IF(AND($AL1845&lt;&gt;"",COUNTIF($AL$11:$AL1845,$AL1845)=1),1,0)</f>
        <v>0</v>
      </c>
      <c r="AW1845" s="21">
        <f t="shared" si="143"/>
        <v>0</v>
      </c>
      <c r="AX1845" s="21" t="str">
        <f t="shared" si="142"/>
        <v/>
      </c>
      <c r="AY1845" s="21" t="str">
        <f>IF(AND($AM1845&lt;&gt;"",$AS1845&lt;&gt;"✓"),SUMPRODUCT(($AM$11:$AM1845&lt;&gt;"")*($AS$11:$AS1845&lt;&gt;"✓")),"")</f>
        <v/>
      </c>
      <c r="AZ1845" s="21" t="str">
        <f>IF(AND($AM1845&lt;&gt;"",$AS1845="✓"),SUMPRODUCT(($AM$11:$AM1845&lt;&gt;"")*($AS$11:$AS1845="✓")),"")</f>
        <v/>
      </c>
      <c r="BA1845" s="21" t="str">
        <f>IF($AL1845="","",$AL1845&amp;"|"&amp;COUNTIF($AL$11:$AL1845,$AL1845))</f>
        <v/>
      </c>
    </row>
    <row r="1846" spans="38:53" ht="15" customHeight="1" x14ac:dyDescent="0.25">
      <c r="AL1846" s="31"/>
      <c r="AM1846" s="26"/>
      <c r="AN1846" s="32"/>
      <c r="AO1846" s="32"/>
      <c r="AP1846" s="24"/>
      <c r="AQ1846" s="24"/>
      <c r="AR1846" s="33"/>
      <c r="AS1846" s="34"/>
      <c r="AT1846" s="33"/>
      <c r="AV1846" s="21">
        <f>IF(AND($AL1846&lt;&gt;"",COUNTIF($AL$11:$AL1846,$AL1846)=1),1,0)</f>
        <v>0</v>
      </c>
      <c r="AW1846" s="21">
        <f t="shared" si="143"/>
        <v>0</v>
      </c>
      <c r="AX1846" s="21" t="str">
        <f t="shared" si="142"/>
        <v/>
      </c>
      <c r="AY1846" s="21" t="str">
        <f>IF(AND($AM1846&lt;&gt;"",$AS1846&lt;&gt;"✓"),SUMPRODUCT(($AM$11:$AM1846&lt;&gt;"")*($AS$11:$AS1846&lt;&gt;"✓")),"")</f>
        <v/>
      </c>
      <c r="AZ1846" s="21" t="str">
        <f>IF(AND($AM1846&lt;&gt;"",$AS1846="✓"),SUMPRODUCT(($AM$11:$AM1846&lt;&gt;"")*($AS$11:$AS1846="✓")),"")</f>
        <v/>
      </c>
      <c r="BA1846" s="21" t="str">
        <f>IF($AL1846="","",$AL1846&amp;"|"&amp;COUNTIF($AL$11:$AL1846,$AL1846))</f>
        <v/>
      </c>
    </row>
    <row r="1847" spans="38:53" ht="15" customHeight="1" x14ac:dyDescent="0.25">
      <c r="AL1847" s="17"/>
      <c r="AM1847" s="12"/>
      <c r="AN1847" s="18"/>
      <c r="AO1847" s="18"/>
      <c r="AP1847" s="10"/>
      <c r="AQ1847" s="10"/>
      <c r="AR1847" s="19"/>
      <c r="AS1847" s="20"/>
      <c r="AT1847" s="19"/>
      <c r="AV1847" s="21">
        <f>IF(AND($AL1847&lt;&gt;"",COUNTIF($AL$11:$AL1847,$AL1847)=1),1,0)</f>
        <v>0</v>
      </c>
      <c r="AW1847" s="21">
        <f t="shared" si="143"/>
        <v>0</v>
      </c>
      <c r="AX1847" s="21" t="str">
        <f t="shared" si="142"/>
        <v/>
      </c>
      <c r="AY1847" s="21" t="str">
        <f>IF(AND($AM1847&lt;&gt;"",$AS1847&lt;&gt;"✓"),SUMPRODUCT(($AM$11:$AM1847&lt;&gt;"")*($AS$11:$AS1847&lt;&gt;"✓")),"")</f>
        <v/>
      </c>
      <c r="AZ1847" s="21" t="str">
        <f>IF(AND($AM1847&lt;&gt;"",$AS1847="✓"),SUMPRODUCT(($AM$11:$AM1847&lt;&gt;"")*($AS$11:$AS1847="✓")),"")</f>
        <v/>
      </c>
      <c r="BA1847" s="21" t="str">
        <f>IF($AL1847="","",$AL1847&amp;"|"&amp;COUNTIF($AL$11:$AL1847,$AL1847))</f>
        <v/>
      </c>
    </row>
    <row r="1848" spans="38:53" ht="15" customHeight="1" x14ac:dyDescent="0.25">
      <c r="AL1848" s="31"/>
      <c r="AM1848" s="26"/>
      <c r="AN1848" s="32"/>
      <c r="AO1848" s="32"/>
      <c r="AP1848" s="24"/>
      <c r="AQ1848" s="24"/>
      <c r="AR1848" s="33"/>
      <c r="AS1848" s="34"/>
      <c r="AT1848" s="33"/>
      <c r="AV1848" s="21">
        <f>IF(AND($AL1848&lt;&gt;"",COUNTIF($AL$11:$AL1848,$AL1848)=1),1,0)</f>
        <v>0</v>
      </c>
      <c r="AW1848" s="21">
        <f t="shared" si="143"/>
        <v>0</v>
      </c>
      <c r="AX1848" s="21" t="str">
        <f t="shared" si="142"/>
        <v/>
      </c>
      <c r="AY1848" s="21" t="str">
        <f>IF(AND($AM1848&lt;&gt;"",$AS1848&lt;&gt;"✓"),SUMPRODUCT(($AM$11:$AM1848&lt;&gt;"")*($AS$11:$AS1848&lt;&gt;"✓")),"")</f>
        <v/>
      </c>
      <c r="AZ1848" s="21" t="str">
        <f>IF(AND($AM1848&lt;&gt;"",$AS1848="✓"),SUMPRODUCT(($AM$11:$AM1848&lt;&gt;"")*($AS$11:$AS1848="✓")),"")</f>
        <v/>
      </c>
      <c r="BA1848" s="21" t="str">
        <f>IF($AL1848="","",$AL1848&amp;"|"&amp;COUNTIF($AL$11:$AL1848,$AL1848))</f>
        <v/>
      </c>
    </row>
    <row r="1849" spans="38:53" ht="15" customHeight="1" x14ac:dyDescent="0.25">
      <c r="AL1849" s="17"/>
      <c r="AM1849" s="12"/>
      <c r="AN1849" s="18"/>
      <c r="AO1849" s="18"/>
      <c r="AP1849" s="10"/>
      <c r="AQ1849" s="10"/>
      <c r="AR1849" s="19"/>
      <c r="AS1849" s="20"/>
      <c r="AT1849" s="19"/>
      <c r="AV1849" s="21">
        <f>IF(AND($AL1849&lt;&gt;"",COUNTIF($AL$11:$AL1849,$AL1849)=1),1,0)</f>
        <v>0</v>
      </c>
      <c r="AW1849" s="21">
        <f t="shared" si="143"/>
        <v>0</v>
      </c>
      <c r="AX1849" s="21" t="str">
        <f t="shared" si="142"/>
        <v/>
      </c>
      <c r="AY1849" s="21" t="str">
        <f>IF(AND($AM1849&lt;&gt;"",$AS1849&lt;&gt;"✓"),SUMPRODUCT(($AM$11:$AM1849&lt;&gt;"")*($AS$11:$AS1849&lt;&gt;"✓")),"")</f>
        <v/>
      </c>
      <c r="AZ1849" s="21" t="str">
        <f>IF(AND($AM1849&lt;&gt;"",$AS1849="✓"),SUMPRODUCT(($AM$11:$AM1849&lt;&gt;"")*($AS$11:$AS1849="✓")),"")</f>
        <v/>
      </c>
      <c r="BA1849" s="21" t="str">
        <f>IF($AL1849="","",$AL1849&amp;"|"&amp;COUNTIF($AL$11:$AL1849,$AL1849))</f>
        <v/>
      </c>
    </row>
    <row r="1850" spans="38:53" ht="15" customHeight="1" x14ac:dyDescent="0.25">
      <c r="AL1850" s="31"/>
      <c r="AM1850" s="26"/>
      <c r="AN1850" s="32"/>
      <c r="AO1850" s="32"/>
      <c r="AP1850" s="24"/>
      <c r="AQ1850" s="24"/>
      <c r="AR1850" s="33"/>
      <c r="AS1850" s="34"/>
      <c r="AT1850" s="33"/>
      <c r="AV1850" s="21">
        <f>IF(AND($AL1850&lt;&gt;"",COUNTIF($AL$11:$AL1850,$AL1850)=1),1,0)</f>
        <v>0</v>
      </c>
      <c r="AW1850" s="21">
        <f t="shared" si="143"/>
        <v>0</v>
      </c>
      <c r="AX1850" s="21" t="str">
        <f t="shared" si="142"/>
        <v/>
      </c>
      <c r="AY1850" s="21" t="str">
        <f>IF(AND($AM1850&lt;&gt;"",$AS1850&lt;&gt;"✓"),SUMPRODUCT(($AM$11:$AM1850&lt;&gt;"")*($AS$11:$AS1850&lt;&gt;"✓")),"")</f>
        <v/>
      </c>
      <c r="AZ1850" s="21" t="str">
        <f>IF(AND($AM1850&lt;&gt;"",$AS1850="✓"),SUMPRODUCT(($AM$11:$AM1850&lt;&gt;"")*($AS$11:$AS1850="✓")),"")</f>
        <v/>
      </c>
      <c r="BA1850" s="21" t="str">
        <f>IF($AL1850="","",$AL1850&amp;"|"&amp;COUNTIF($AL$11:$AL1850,$AL1850))</f>
        <v/>
      </c>
    </row>
    <row r="1851" spans="38:53" ht="15" customHeight="1" x14ac:dyDescent="0.25">
      <c r="AL1851" s="17"/>
      <c r="AM1851" s="12"/>
      <c r="AN1851" s="18"/>
      <c r="AO1851" s="18"/>
      <c r="AP1851" s="10"/>
      <c r="AQ1851" s="10"/>
      <c r="AR1851" s="19"/>
      <c r="AS1851" s="20"/>
      <c r="AT1851" s="19"/>
      <c r="AV1851" s="21">
        <f>IF(AND($AL1851&lt;&gt;"",COUNTIF($AL$11:$AL1851,$AL1851)=1),1,0)</f>
        <v>0</v>
      </c>
      <c r="AW1851" s="21">
        <f t="shared" si="143"/>
        <v>0</v>
      </c>
      <c r="AX1851" s="21" t="str">
        <f t="shared" si="142"/>
        <v/>
      </c>
      <c r="AY1851" s="21" t="str">
        <f>IF(AND($AM1851&lt;&gt;"",$AS1851&lt;&gt;"✓"),SUMPRODUCT(($AM$11:$AM1851&lt;&gt;"")*($AS$11:$AS1851&lt;&gt;"✓")),"")</f>
        <v/>
      </c>
      <c r="AZ1851" s="21" t="str">
        <f>IF(AND($AM1851&lt;&gt;"",$AS1851="✓"),SUMPRODUCT(($AM$11:$AM1851&lt;&gt;"")*($AS$11:$AS1851="✓")),"")</f>
        <v/>
      </c>
      <c r="BA1851" s="21" t="str">
        <f>IF($AL1851="","",$AL1851&amp;"|"&amp;COUNTIF($AL$11:$AL1851,$AL1851))</f>
        <v/>
      </c>
    </row>
    <row r="1852" spans="38:53" ht="15" customHeight="1" x14ac:dyDescent="0.25">
      <c r="AL1852" s="31"/>
      <c r="AM1852" s="26"/>
      <c r="AN1852" s="32"/>
      <c r="AO1852" s="32"/>
      <c r="AP1852" s="24"/>
      <c r="AQ1852" s="24"/>
      <c r="AR1852" s="33"/>
      <c r="AS1852" s="34"/>
      <c r="AT1852" s="33"/>
      <c r="AV1852" s="21">
        <f>IF(AND($AL1852&lt;&gt;"",COUNTIF($AL$11:$AL1852,$AL1852)=1),1,0)</f>
        <v>0</v>
      </c>
      <c r="AW1852" s="21">
        <f t="shared" si="143"/>
        <v>0</v>
      </c>
      <c r="AX1852" s="21" t="str">
        <f t="shared" si="142"/>
        <v/>
      </c>
      <c r="AY1852" s="21" t="str">
        <f>IF(AND($AM1852&lt;&gt;"",$AS1852&lt;&gt;"✓"),SUMPRODUCT(($AM$11:$AM1852&lt;&gt;"")*($AS$11:$AS1852&lt;&gt;"✓")),"")</f>
        <v/>
      </c>
      <c r="AZ1852" s="21" t="str">
        <f>IF(AND($AM1852&lt;&gt;"",$AS1852="✓"),SUMPRODUCT(($AM$11:$AM1852&lt;&gt;"")*($AS$11:$AS1852="✓")),"")</f>
        <v/>
      </c>
      <c r="BA1852" s="21" t="str">
        <f>IF($AL1852="","",$AL1852&amp;"|"&amp;COUNTIF($AL$11:$AL1852,$AL1852))</f>
        <v/>
      </c>
    </row>
    <row r="1853" spans="38:53" ht="15" customHeight="1" x14ac:dyDescent="0.25">
      <c r="AL1853" s="17"/>
      <c r="AM1853" s="12"/>
      <c r="AN1853" s="18"/>
      <c r="AO1853" s="18"/>
      <c r="AP1853" s="10"/>
      <c r="AQ1853" s="10"/>
      <c r="AR1853" s="19"/>
      <c r="AS1853" s="20"/>
      <c r="AT1853" s="19"/>
      <c r="AV1853" s="21">
        <f>IF(AND($AL1853&lt;&gt;"",COUNTIF($AL$11:$AL1853,$AL1853)=1),1,0)</f>
        <v>0</v>
      </c>
      <c r="AW1853" s="21">
        <f t="shared" si="143"/>
        <v>0</v>
      </c>
      <c r="AX1853" s="21" t="str">
        <f t="shared" si="142"/>
        <v/>
      </c>
      <c r="AY1853" s="21" t="str">
        <f>IF(AND($AM1853&lt;&gt;"",$AS1853&lt;&gt;"✓"),SUMPRODUCT(($AM$11:$AM1853&lt;&gt;"")*($AS$11:$AS1853&lt;&gt;"✓")),"")</f>
        <v/>
      </c>
      <c r="AZ1853" s="21" t="str">
        <f>IF(AND($AM1853&lt;&gt;"",$AS1853="✓"),SUMPRODUCT(($AM$11:$AM1853&lt;&gt;"")*($AS$11:$AS1853="✓")),"")</f>
        <v/>
      </c>
      <c r="BA1853" s="21" t="str">
        <f>IF($AL1853="","",$AL1853&amp;"|"&amp;COUNTIF($AL$11:$AL1853,$AL1853))</f>
        <v/>
      </c>
    </row>
    <row r="1854" spans="38:53" ht="15" customHeight="1" x14ac:dyDescent="0.25">
      <c r="AL1854" s="31"/>
      <c r="AM1854" s="26"/>
      <c r="AN1854" s="32"/>
      <c r="AO1854" s="32"/>
      <c r="AP1854" s="24"/>
      <c r="AQ1854" s="24"/>
      <c r="AR1854" s="33"/>
      <c r="AS1854" s="34"/>
      <c r="AT1854" s="33"/>
      <c r="AV1854" s="21">
        <f>IF(AND($AL1854&lt;&gt;"",COUNTIF($AL$11:$AL1854,$AL1854)=1),1,0)</f>
        <v>0</v>
      </c>
      <c r="AW1854" s="21">
        <f t="shared" si="143"/>
        <v>0</v>
      </c>
      <c r="AX1854" s="21" t="str">
        <f t="shared" si="142"/>
        <v/>
      </c>
      <c r="AY1854" s="21" t="str">
        <f>IF(AND($AM1854&lt;&gt;"",$AS1854&lt;&gt;"✓"),SUMPRODUCT(($AM$11:$AM1854&lt;&gt;"")*($AS$11:$AS1854&lt;&gt;"✓")),"")</f>
        <v/>
      </c>
      <c r="AZ1854" s="21" t="str">
        <f>IF(AND($AM1854&lt;&gt;"",$AS1854="✓"),SUMPRODUCT(($AM$11:$AM1854&lt;&gt;"")*($AS$11:$AS1854="✓")),"")</f>
        <v/>
      </c>
      <c r="BA1854" s="21" t="str">
        <f>IF($AL1854="","",$AL1854&amp;"|"&amp;COUNTIF($AL$11:$AL1854,$AL1854))</f>
        <v/>
      </c>
    </row>
    <row r="1855" spans="38:53" ht="15" customHeight="1" x14ac:dyDescent="0.25">
      <c r="AL1855" s="17"/>
      <c r="AM1855" s="12"/>
      <c r="AN1855" s="18"/>
      <c r="AO1855" s="18"/>
      <c r="AP1855" s="10"/>
      <c r="AQ1855" s="10"/>
      <c r="AR1855" s="19"/>
      <c r="AS1855" s="20"/>
      <c r="AT1855" s="19"/>
      <c r="AV1855" s="21">
        <f>IF(AND($AL1855&lt;&gt;"",COUNTIF($AL$11:$AL1855,$AL1855)=1),1,0)</f>
        <v>0</v>
      </c>
      <c r="AW1855" s="21">
        <f t="shared" si="143"/>
        <v>0</v>
      </c>
      <c r="AX1855" s="21" t="str">
        <f t="shared" si="142"/>
        <v/>
      </c>
      <c r="AY1855" s="21" t="str">
        <f>IF(AND($AM1855&lt;&gt;"",$AS1855&lt;&gt;"✓"),SUMPRODUCT(($AM$11:$AM1855&lt;&gt;"")*($AS$11:$AS1855&lt;&gt;"✓")),"")</f>
        <v/>
      </c>
      <c r="AZ1855" s="21" t="str">
        <f>IF(AND($AM1855&lt;&gt;"",$AS1855="✓"),SUMPRODUCT(($AM$11:$AM1855&lt;&gt;"")*($AS$11:$AS1855="✓")),"")</f>
        <v/>
      </c>
      <c r="BA1855" s="21" t="str">
        <f>IF($AL1855="","",$AL1855&amp;"|"&amp;COUNTIF($AL$11:$AL1855,$AL1855))</f>
        <v/>
      </c>
    </row>
    <row r="1856" spans="38:53" ht="15" customHeight="1" x14ac:dyDescent="0.25">
      <c r="AL1856" s="31"/>
      <c r="AM1856" s="26"/>
      <c r="AN1856" s="32"/>
      <c r="AO1856" s="32"/>
      <c r="AP1856" s="24"/>
      <c r="AQ1856" s="24"/>
      <c r="AR1856" s="33"/>
      <c r="AS1856" s="34"/>
      <c r="AT1856" s="33"/>
      <c r="AV1856" s="21">
        <f>IF(AND($AL1856&lt;&gt;"",COUNTIF($AL$11:$AL1856,$AL1856)=1),1,0)</f>
        <v>0</v>
      </c>
      <c r="AW1856" s="21">
        <f t="shared" si="143"/>
        <v>0</v>
      </c>
      <c r="AX1856" s="21" t="str">
        <f t="shared" si="142"/>
        <v/>
      </c>
      <c r="AY1856" s="21" t="str">
        <f>IF(AND($AM1856&lt;&gt;"",$AS1856&lt;&gt;"✓"),SUMPRODUCT(($AM$11:$AM1856&lt;&gt;"")*($AS$11:$AS1856&lt;&gt;"✓")),"")</f>
        <v/>
      </c>
      <c r="AZ1856" s="21" t="str">
        <f>IF(AND($AM1856&lt;&gt;"",$AS1856="✓"),SUMPRODUCT(($AM$11:$AM1856&lt;&gt;"")*($AS$11:$AS1856="✓")),"")</f>
        <v/>
      </c>
      <c r="BA1856" s="21" t="str">
        <f>IF($AL1856="","",$AL1856&amp;"|"&amp;COUNTIF($AL$11:$AL1856,$AL1856))</f>
        <v/>
      </c>
    </row>
    <row r="1857" spans="38:53" ht="15" customHeight="1" x14ac:dyDescent="0.25">
      <c r="AL1857" s="17"/>
      <c r="AM1857" s="12"/>
      <c r="AN1857" s="18"/>
      <c r="AO1857" s="18"/>
      <c r="AP1857" s="10"/>
      <c r="AQ1857" s="10"/>
      <c r="AR1857" s="19"/>
      <c r="AS1857" s="20"/>
      <c r="AT1857" s="19"/>
      <c r="AV1857" s="21">
        <f>IF(AND($AL1857&lt;&gt;"",COUNTIF($AL$11:$AL1857,$AL1857)=1),1,0)</f>
        <v>0</v>
      </c>
      <c r="AW1857" s="21">
        <f t="shared" si="143"/>
        <v>0</v>
      </c>
      <c r="AX1857" s="21" t="str">
        <f t="shared" si="142"/>
        <v/>
      </c>
      <c r="AY1857" s="21" t="str">
        <f>IF(AND($AM1857&lt;&gt;"",$AS1857&lt;&gt;"✓"),SUMPRODUCT(($AM$11:$AM1857&lt;&gt;"")*($AS$11:$AS1857&lt;&gt;"✓")),"")</f>
        <v/>
      </c>
      <c r="AZ1857" s="21" t="str">
        <f>IF(AND($AM1857&lt;&gt;"",$AS1857="✓"),SUMPRODUCT(($AM$11:$AM1857&lt;&gt;"")*($AS$11:$AS1857="✓")),"")</f>
        <v/>
      </c>
      <c r="BA1857" s="21" t="str">
        <f>IF($AL1857="","",$AL1857&amp;"|"&amp;COUNTIF($AL$11:$AL1857,$AL1857))</f>
        <v/>
      </c>
    </row>
    <row r="1858" spans="38:53" ht="15" customHeight="1" x14ac:dyDescent="0.25">
      <c r="AL1858" s="31"/>
      <c r="AM1858" s="26"/>
      <c r="AN1858" s="32"/>
      <c r="AO1858" s="32"/>
      <c r="AP1858" s="24"/>
      <c r="AQ1858" s="24"/>
      <c r="AR1858" s="33"/>
      <c r="AS1858" s="34"/>
      <c r="AT1858" s="33"/>
      <c r="AV1858" s="21">
        <f>IF(AND($AL1858&lt;&gt;"",COUNTIF($AL$11:$AL1858,$AL1858)=1),1,0)</f>
        <v>0</v>
      </c>
      <c r="AW1858" s="21">
        <f t="shared" si="143"/>
        <v>0</v>
      </c>
      <c r="AX1858" s="21" t="str">
        <f t="shared" si="142"/>
        <v/>
      </c>
      <c r="AY1858" s="21" t="str">
        <f>IF(AND($AM1858&lt;&gt;"",$AS1858&lt;&gt;"✓"),SUMPRODUCT(($AM$11:$AM1858&lt;&gt;"")*($AS$11:$AS1858&lt;&gt;"✓")),"")</f>
        <v/>
      </c>
      <c r="AZ1858" s="21" t="str">
        <f>IF(AND($AM1858&lt;&gt;"",$AS1858="✓"),SUMPRODUCT(($AM$11:$AM1858&lt;&gt;"")*($AS$11:$AS1858="✓")),"")</f>
        <v/>
      </c>
      <c r="BA1858" s="21" t="str">
        <f>IF($AL1858="","",$AL1858&amp;"|"&amp;COUNTIF($AL$11:$AL1858,$AL1858))</f>
        <v/>
      </c>
    </row>
    <row r="1859" spans="38:53" ht="15" customHeight="1" x14ac:dyDescent="0.25">
      <c r="AL1859" s="17"/>
      <c r="AM1859" s="12"/>
      <c r="AN1859" s="18"/>
      <c r="AO1859" s="18"/>
      <c r="AP1859" s="10"/>
      <c r="AQ1859" s="10"/>
      <c r="AR1859" s="19"/>
      <c r="AS1859" s="20"/>
      <c r="AT1859" s="19"/>
      <c r="AV1859" s="21">
        <f>IF(AND($AL1859&lt;&gt;"",COUNTIF($AL$11:$AL1859,$AL1859)=1),1,0)</f>
        <v>0</v>
      </c>
      <c r="AW1859" s="21">
        <f t="shared" si="143"/>
        <v>0</v>
      </c>
      <c r="AX1859" s="21" t="str">
        <f t="shared" si="142"/>
        <v/>
      </c>
      <c r="AY1859" s="21" t="str">
        <f>IF(AND($AM1859&lt;&gt;"",$AS1859&lt;&gt;"✓"),SUMPRODUCT(($AM$11:$AM1859&lt;&gt;"")*($AS$11:$AS1859&lt;&gt;"✓")),"")</f>
        <v/>
      </c>
      <c r="AZ1859" s="21" t="str">
        <f>IF(AND($AM1859&lt;&gt;"",$AS1859="✓"),SUMPRODUCT(($AM$11:$AM1859&lt;&gt;"")*($AS$11:$AS1859="✓")),"")</f>
        <v/>
      </c>
      <c r="BA1859" s="21" t="str">
        <f>IF($AL1859="","",$AL1859&amp;"|"&amp;COUNTIF($AL$11:$AL1859,$AL1859))</f>
        <v/>
      </c>
    </row>
    <row r="1860" spans="38:53" ht="15" customHeight="1" x14ac:dyDescent="0.25">
      <c r="AL1860" s="31"/>
      <c r="AM1860" s="26"/>
      <c r="AN1860" s="32"/>
      <c r="AO1860" s="32"/>
      <c r="AP1860" s="24"/>
      <c r="AQ1860" s="24"/>
      <c r="AR1860" s="33"/>
      <c r="AS1860" s="34"/>
      <c r="AT1860" s="33"/>
      <c r="AV1860" s="21">
        <f>IF(AND($AL1860&lt;&gt;"",COUNTIF($AL$11:$AL1860,$AL1860)=1),1,0)</f>
        <v>0</v>
      </c>
      <c r="AW1860" s="21">
        <f t="shared" si="143"/>
        <v>0</v>
      </c>
      <c r="AX1860" s="21" t="str">
        <f t="shared" si="142"/>
        <v/>
      </c>
      <c r="AY1860" s="21" t="str">
        <f>IF(AND($AM1860&lt;&gt;"",$AS1860&lt;&gt;"✓"),SUMPRODUCT(($AM$11:$AM1860&lt;&gt;"")*($AS$11:$AS1860&lt;&gt;"✓")),"")</f>
        <v/>
      </c>
      <c r="AZ1860" s="21" t="str">
        <f>IF(AND($AM1860&lt;&gt;"",$AS1860="✓"),SUMPRODUCT(($AM$11:$AM1860&lt;&gt;"")*($AS$11:$AS1860="✓")),"")</f>
        <v/>
      </c>
      <c r="BA1860" s="21" t="str">
        <f>IF($AL1860="","",$AL1860&amp;"|"&amp;COUNTIF($AL$11:$AL1860,$AL1860))</f>
        <v/>
      </c>
    </row>
    <row r="1861" spans="38:53" ht="15" customHeight="1" x14ac:dyDescent="0.25">
      <c r="AL1861" s="17"/>
      <c r="AM1861" s="12"/>
      <c r="AN1861" s="18"/>
      <c r="AO1861" s="18"/>
      <c r="AP1861" s="10"/>
      <c r="AQ1861" s="10"/>
      <c r="AR1861" s="19"/>
      <c r="AS1861" s="20"/>
      <c r="AT1861" s="19"/>
      <c r="AV1861" s="21">
        <f>IF(AND($AL1861&lt;&gt;"",COUNTIF($AL$11:$AL1861,$AL1861)=1),1,0)</f>
        <v>0</v>
      </c>
      <c r="AW1861" s="21">
        <f t="shared" si="143"/>
        <v>0</v>
      </c>
      <c r="AX1861" s="21" t="str">
        <f t="shared" si="142"/>
        <v/>
      </c>
      <c r="AY1861" s="21" t="str">
        <f>IF(AND($AM1861&lt;&gt;"",$AS1861&lt;&gt;"✓"),SUMPRODUCT(($AM$11:$AM1861&lt;&gt;"")*($AS$11:$AS1861&lt;&gt;"✓")),"")</f>
        <v/>
      </c>
      <c r="AZ1861" s="21" t="str">
        <f>IF(AND($AM1861&lt;&gt;"",$AS1861="✓"),SUMPRODUCT(($AM$11:$AM1861&lt;&gt;"")*($AS$11:$AS1861="✓")),"")</f>
        <v/>
      </c>
      <c r="BA1861" s="21" t="str">
        <f>IF($AL1861="","",$AL1861&amp;"|"&amp;COUNTIF($AL$11:$AL1861,$AL1861))</f>
        <v/>
      </c>
    </row>
    <row r="1862" spans="38:53" ht="15" customHeight="1" x14ac:dyDescent="0.25">
      <c r="AL1862" s="31"/>
      <c r="AM1862" s="26"/>
      <c r="AN1862" s="32"/>
      <c r="AO1862" s="32"/>
      <c r="AP1862" s="24"/>
      <c r="AQ1862" s="24"/>
      <c r="AR1862" s="33"/>
      <c r="AS1862" s="34"/>
      <c r="AT1862" s="33"/>
      <c r="AV1862" s="21">
        <f>IF(AND($AL1862&lt;&gt;"",COUNTIF($AL$11:$AL1862,$AL1862)=1),1,0)</f>
        <v>0</v>
      </c>
      <c r="AW1862" s="21">
        <f t="shared" si="143"/>
        <v>0</v>
      </c>
      <c r="AX1862" s="21" t="str">
        <f t="shared" si="142"/>
        <v/>
      </c>
      <c r="AY1862" s="21" t="str">
        <f>IF(AND($AM1862&lt;&gt;"",$AS1862&lt;&gt;"✓"),SUMPRODUCT(($AM$11:$AM1862&lt;&gt;"")*($AS$11:$AS1862&lt;&gt;"✓")),"")</f>
        <v/>
      </c>
      <c r="AZ1862" s="21" t="str">
        <f>IF(AND($AM1862&lt;&gt;"",$AS1862="✓"),SUMPRODUCT(($AM$11:$AM1862&lt;&gt;"")*($AS$11:$AS1862="✓")),"")</f>
        <v/>
      </c>
      <c r="BA1862" s="21" t="str">
        <f>IF($AL1862="","",$AL1862&amp;"|"&amp;COUNTIF($AL$11:$AL1862,$AL1862))</f>
        <v/>
      </c>
    </row>
    <row r="1863" spans="38:53" ht="15" customHeight="1" x14ac:dyDescent="0.25">
      <c r="AL1863" s="17"/>
      <c r="AM1863" s="12"/>
      <c r="AN1863" s="18"/>
      <c r="AO1863" s="18"/>
      <c r="AP1863" s="10"/>
      <c r="AQ1863" s="10"/>
      <c r="AR1863" s="19"/>
      <c r="AS1863" s="20"/>
      <c r="AT1863" s="19"/>
      <c r="AV1863" s="21">
        <f>IF(AND($AL1863&lt;&gt;"",COUNTIF($AL$11:$AL1863,$AL1863)=1),1,0)</f>
        <v>0</v>
      </c>
      <c r="AW1863" s="21">
        <f t="shared" si="143"/>
        <v>0</v>
      </c>
      <c r="AX1863" s="21" t="str">
        <f t="shared" si="142"/>
        <v/>
      </c>
      <c r="AY1863" s="21" t="str">
        <f>IF(AND($AM1863&lt;&gt;"",$AS1863&lt;&gt;"✓"),SUMPRODUCT(($AM$11:$AM1863&lt;&gt;"")*($AS$11:$AS1863&lt;&gt;"✓")),"")</f>
        <v/>
      </c>
      <c r="AZ1863" s="21" t="str">
        <f>IF(AND($AM1863&lt;&gt;"",$AS1863="✓"),SUMPRODUCT(($AM$11:$AM1863&lt;&gt;"")*($AS$11:$AS1863="✓")),"")</f>
        <v/>
      </c>
      <c r="BA1863" s="21" t="str">
        <f>IF($AL1863="","",$AL1863&amp;"|"&amp;COUNTIF($AL$11:$AL1863,$AL1863))</f>
        <v/>
      </c>
    </row>
    <row r="1864" spans="38:53" ht="15" customHeight="1" x14ac:dyDescent="0.25">
      <c r="AL1864" s="31"/>
      <c r="AM1864" s="26"/>
      <c r="AN1864" s="32"/>
      <c r="AO1864" s="32"/>
      <c r="AP1864" s="24"/>
      <c r="AQ1864" s="24"/>
      <c r="AR1864" s="33"/>
      <c r="AS1864" s="34"/>
      <c r="AT1864" s="33"/>
      <c r="AV1864" s="21">
        <f>IF(AND($AL1864&lt;&gt;"",COUNTIF($AL$11:$AL1864,$AL1864)=1),1,0)</f>
        <v>0</v>
      </c>
      <c r="AW1864" s="21">
        <f t="shared" si="143"/>
        <v>0</v>
      </c>
      <c r="AX1864" s="21" t="str">
        <f t="shared" si="142"/>
        <v/>
      </c>
      <c r="AY1864" s="21" t="str">
        <f>IF(AND($AM1864&lt;&gt;"",$AS1864&lt;&gt;"✓"),SUMPRODUCT(($AM$11:$AM1864&lt;&gt;"")*($AS$11:$AS1864&lt;&gt;"✓")),"")</f>
        <v/>
      </c>
      <c r="AZ1864" s="21" t="str">
        <f>IF(AND($AM1864&lt;&gt;"",$AS1864="✓"),SUMPRODUCT(($AM$11:$AM1864&lt;&gt;"")*($AS$11:$AS1864="✓")),"")</f>
        <v/>
      </c>
      <c r="BA1864" s="21" t="str">
        <f>IF($AL1864="","",$AL1864&amp;"|"&amp;COUNTIF($AL$11:$AL1864,$AL1864))</f>
        <v/>
      </c>
    </row>
    <row r="1865" spans="38:53" ht="15" customHeight="1" x14ac:dyDescent="0.25">
      <c r="AL1865" s="17"/>
      <c r="AM1865" s="12"/>
      <c r="AN1865" s="18"/>
      <c r="AO1865" s="18"/>
      <c r="AP1865" s="10"/>
      <c r="AQ1865" s="10"/>
      <c r="AR1865" s="19"/>
      <c r="AS1865" s="20"/>
      <c r="AT1865" s="19"/>
      <c r="AV1865" s="21">
        <f>IF(AND($AL1865&lt;&gt;"",COUNTIF($AL$11:$AL1865,$AL1865)=1),1,0)</f>
        <v>0</v>
      </c>
      <c r="AW1865" s="21">
        <f t="shared" si="143"/>
        <v>0</v>
      </c>
      <c r="AX1865" s="21" t="str">
        <f t="shared" si="142"/>
        <v/>
      </c>
      <c r="AY1865" s="21" t="str">
        <f>IF(AND($AM1865&lt;&gt;"",$AS1865&lt;&gt;"✓"),SUMPRODUCT(($AM$11:$AM1865&lt;&gt;"")*($AS$11:$AS1865&lt;&gt;"✓")),"")</f>
        <v/>
      </c>
      <c r="AZ1865" s="21" t="str">
        <f>IF(AND($AM1865&lt;&gt;"",$AS1865="✓"),SUMPRODUCT(($AM$11:$AM1865&lt;&gt;"")*($AS$11:$AS1865="✓")),"")</f>
        <v/>
      </c>
      <c r="BA1865" s="21" t="str">
        <f>IF($AL1865="","",$AL1865&amp;"|"&amp;COUNTIF($AL$11:$AL1865,$AL1865))</f>
        <v/>
      </c>
    </row>
    <row r="1866" spans="38:53" ht="15" customHeight="1" x14ac:dyDescent="0.25">
      <c r="AL1866" s="31"/>
      <c r="AM1866" s="26"/>
      <c r="AN1866" s="32"/>
      <c r="AO1866" s="32"/>
      <c r="AP1866" s="24"/>
      <c r="AQ1866" s="24"/>
      <c r="AR1866" s="33"/>
      <c r="AS1866" s="34"/>
      <c r="AT1866" s="33"/>
      <c r="AV1866" s="21">
        <f>IF(AND($AL1866&lt;&gt;"",COUNTIF($AL$11:$AL1866,$AL1866)=1),1,0)</f>
        <v>0</v>
      </c>
      <c r="AW1866" s="21">
        <f t="shared" si="143"/>
        <v>0</v>
      </c>
      <c r="AX1866" s="21" t="str">
        <f t="shared" si="142"/>
        <v/>
      </c>
      <c r="AY1866" s="21" t="str">
        <f>IF(AND($AM1866&lt;&gt;"",$AS1866&lt;&gt;"✓"),SUMPRODUCT(($AM$11:$AM1866&lt;&gt;"")*($AS$11:$AS1866&lt;&gt;"✓")),"")</f>
        <v/>
      </c>
      <c r="AZ1866" s="21" t="str">
        <f>IF(AND($AM1866&lt;&gt;"",$AS1866="✓"),SUMPRODUCT(($AM$11:$AM1866&lt;&gt;"")*($AS$11:$AS1866="✓")),"")</f>
        <v/>
      </c>
      <c r="BA1866" s="21" t="str">
        <f>IF($AL1866="","",$AL1866&amp;"|"&amp;COUNTIF($AL$11:$AL1866,$AL1866))</f>
        <v/>
      </c>
    </row>
    <row r="1867" spans="38:53" ht="15" customHeight="1" x14ac:dyDescent="0.25">
      <c r="AL1867" s="17"/>
      <c r="AM1867" s="12"/>
      <c r="AN1867" s="18"/>
      <c r="AO1867" s="18"/>
      <c r="AP1867" s="10"/>
      <c r="AQ1867" s="10"/>
      <c r="AR1867" s="19"/>
      <c r="AS1867" s="20"/>
      <c r="AT1867" s="19"/>
      <c r="AV1867" s="21">
        <f>IF(AND($AL1867&lt;&gt;"",COUNTIF($AL$11:$AL1867,$AL1867)=1),1,0)</f>
        <v>0</v>
      </c>
      <c r="AW1867" s="21">
        <f t="shared" si="143"/>
        <v>0</v>
      </c>
      <c r="AX1867" s="21" t="str">
        <f t="shared" ref="AX1867:AX1930" si="144">IF(AV1867=1,AW1867,"")</f>
        <v/>
      </c>
      <c r="AY1867" s="21" t="str">
        <f>IF(AND($AM1867&lt;&gt;"",$AS1867&lt;&gt;"✓"),SUMPRODUCT(($AM$11:$AM1867&lt;&gt;"")*($AS$11:$AS1867&lt;&gt;"✓")),"")</f>
        <v/>
      </c>
      <c r="AZ1867" s="21" t="str">
        <f>IF(AND($AM1867&lt;&gt;"",$AS1867="✓"),SUMPRODUCT(($AM$11:$AM1867&lt;&gt;"")*($AS$11:$AS1867="✓")),"")</f>
        <v/>
      </c>
      <c r="BA1867" s="21" t="str">
        <f>IF($AL1867="","",$AL1867&amp;"|"&amp;COUNTIF($AL$11:$AL1867,$AL1867))</f>
        <v/>
      </c>
    </row>
    <row r="1868" spans="38:53" ht="15" customHeight="1" x14ac:dyDescent="0.25">
      <c r="AL1868" s="31"/>
      <c r="AM1868" s="26"/>
      <c r="AN1868" s="32"/>
      <c r="AO1868" s="32"/>
      <c r="AP1868" s="24"/>
      <c r="AQ1868" s="24"/>
      <c r="AR1868" s="33"/>
      <c r="AS1868" s="34"/>
      <c r="AT1868" s="33"/>
      <c r="AV1868" s="21">
        <f>IF(AND($AL1868&lt;&gt;"",COUNTIF($AL$11:$AL1868,$AL1868)=1),1,0)</f>
        <v>0</v>
      </c>
      <c r="AW1868" s="21">
        <f t="shared" ref="AW1868:AW1931" si="145">AW1867+AV1868</f>
        <v>0</v>
      </c>
      <c r="AX1868" s="21" t="str">
        <f t="shared" si="144"/>
        <v/>
      </c>
      <c r="AY1868" s="21" t="str">
        <f>IF(AND($AM1868&lt;&gt;"",$AS1868&lt;&gt;"✓"),SUMPRODUCT(($AM$11:$AM1868&lt;&gt;"")*($AS$11:$AS1868&lt;&gt;"✓")),"")</f>
        <v/>
      </c>
      <c r="AZ1868" s="21" t="str">
        <f>IF(AND($AM1868&lt;&gt;"",$AS1868="✓"),SUMPRODUCT(($AM$11:$AM1868&lt;&gt;"")*($AS$11:$AS1868="✓")),"")</f>
        <v/>
      </c>
      <c r="BA1868" s="21" t="str">
        <f>IF($AL1868="","",$AL1868&amp;"|"&amp;COUNTIF($AL$11:$AL1868,$AL1868))</f>
        <v/>
      </c>
    </row>
    <row r="1869" spans="38:53" ht="15" customHeight="1" x14ac:dyDescent="0.25">
      <c r="AL1869" s="17"/>
      <c r="AM1869" s="12"/>
      <c r="AN1869" s="18"/>
      <c r="AO1869" s="18"/>
      <c r="AP1869" s="10"/>
      <c r="AQ1869" s="10"/>
      <c r="AR1869" s="19"/>
      <c r="AS1869" s="20"/>
      <c r="AT1869" s="19"/>
      <c r="AV1869" s="21">
        <f>IF(AND($AL1869&lt;&gt;"",COUNTIF($AL$11:$AL1869,$AL1869)=1),1,0)</f>
        <v>0</v>
      </c>
      <c r="AW1869" s="21">
        <f t="shared" si="145"/>
        <v>0</v>
      </c>
      <c r="AX1869" s="21" t="str">
        <f t="shared" si="144"/>
        <v/>
      </c>
      <c r="AY1869" s="21" t="str">
        <f>IF(AND($AM1869&lt;&gt;"",$AS1869&lt;&gt;"✓"),SUMPRODUCT(($AM$11:$AM1869&lt;&gt;"")*($AS$11:$AS1869&lt;&gt;"✓")),"")</f>
        <v/>
      </c>
      <c r="AZ1869" s="21" t="str">
        <f>IF(AND($AM1869&lt;&gt;"",$AS1869="✓"),SUMPRODUCT(($AM$11:$AM1869&lt;&gt;"")*($AS$11:$AS1869="✓")),"")</f>
        <v/>
      </c>
      <c r="BA1869" s="21" t="str">
        <f>IF($AL1869="","",$AL1869&amp;"|"&amp;COUNTIF($AL$11:$AL1869,$AL1869))</f>
        <v/>
      </c>
    </row>
    <row r="1870" spans="38:53" ht="15" customHeight="1" x14ac:dyDescent="0.25">
      <c r="AL1870" s="31"/>
      <c r="AM1870" s="26"/>
      <c r="AN1870" s="32"/>
      <c r="AO1870" s="32"/>
      <c r="AP1870" s="24"/>
      <c r="AQ1870" s="24"/>
      <c r="AR1870" s="33"/>
      <c r="AS1870" s="34"/>
      <c r="AT1870" s="33"/>
      <c r="AV1870" s="21">
        <f>IF(AND($AL1870&lt;&gt;"",COUNTIF($AL$11:$AL1870,$AL1870)=1),1,0)</f>
        <v>0</v>
      </c>
      <c r="AW1870" s="21">
        <f t="shared" si="145"/>
        <v>0</v>
      </c>
      <c r="AX1870" s="21" t="str">
        <f t="shared" si="144"/>
        <v/>
      </c>
      <c r="AY1870" s="21" t="str">
        <f>IF(AND($AM1870&lt;&gt;"",$AS1870&lt;&gt;"✓"),SUMPRODUCT(($AM$11:$AM1870&lt;&gt;"")*($AS$11:$AS1870&lt;&gt;"✓")),"")</f>
        <v/>
      </c>
      <c r="AZ1870" s="21" t="str">
        <f>IF(AND($AM1870&lt;&gt;"",$AS1870="✓"),SUMPRODUCT(($AM$11:$AM1870&lt;&gt;"")*($AS$11:$AS1870="✓")),"")</f>
        <v/>
      </c>
      <c r="BA1870" s="21" t="str">
        <f>IF($AL1870="","",$AL1870&amp;"|"&amp;COUNTIF($AL$11:$AL1870,$AL1870))</f>
        <v/>
      </c>
    </row>
    <row r="1871" spans="38:53" ht="15" customHeight="1" x14ac:dyDescent="0.25">
      <c r="AL1871" s="17"/>
      <c r="AM1871" s="12"/>
      <c r="AN1871" s="18"/>
      <c r="AO1871" s="18"/>
      <c r="AP1871" s="10"/>
      <c r="AQ1871" s="10"/>
      <c r="AR1871" s="19"/>
      <c r="AS1871" s="20"/>
      <c r="AT1871" s="19"/>
      <c r="AV1871" s="21">
        <f>IF(AND($AL1871&lt;&gt;"",COUNTIF($AL$11:$AL1871,$AL1871)=1),1,0)</f>
        <v>0</v>
      </c>
      <c r="AW1871" s="21">
        <f t="shared" si="145"/>
        <v>0</v>
      </c>
      <c r="AX1871" s="21" t="str">
        <f t="shared" si="144"/>
        <v/>
      </c>
      <c r="AY1871" s="21" t="str">
        <f>IF(AND($AM1871&lt;&gt;"",$AS1871&lt;&gt;"✓"),SUMPRODUCT(($AM$11:$AM1871&lt;&gt;"")*($AS$11:$AS1871&lt;&gt;"✓")),"")</f>
        <v/>
      </c>
      <c r="AZ1871" s="21" t="str">
        <f>IF(AND($AM1871&lt;&gt;"",$AS1871="✓"),SUMPRODUCT(($AM$11:$AM1871&lt;&gt;"")*($AS$11:$AS1871="✓")),"")</f>
        <v/>
      </c>
      <c r="BA1871" s="21" t="str">
        <f>IF($AL1871="","",$AL1871&amp;"|"&amp;COUNTIF($AL$11:$AL1871,$AL1871))</f>
        <v/>
      </c>
    </row>
    <row r="1872" spans="38:53" ht="15" customHeight="1" x14ac:dyDescent="0.25">
      <c r="AL1872" s="31"/>
      <c r="AM1872" s="26"/>
      <c r="AN1872" s="32"/>
      <c r="AO1872" s="32"/>
      <c r="AP1872" s="24"/>
      <c r="AQ1872" s="24"/>
      <c r="AR1872" s="33"/>
      <c r="AS1872" s="34"/>
      <c r="AT1872" s="33"/>
      <c r="AV1872" s="21">
        <f>IF(AND($AL1872&lt;&gt;"",COUNTIF($AL$11:$AL1872,$AL1872)=1),1,0)</f>
        <v>0</v>
      </c>
      <c r="AW1872" s="21">
        <f t="shared" si="145"/>
        <v>0</v>
      </c>
      <c r="AX1872" s="21" t="str">
        <f t="shared" si="144"/>
        <v/>
      </c>
      <c r="AY1872" s="21" t="str">
        <f>IF(AND($AM1872&lt;&gt;"",$AS1872&lt;&gt;"✓"),SUMPRODUCT(($AM$11:$AM1872&lt;&gt;"")*($AS$11:$AS1872&lt;&gt;"✓")),"")</f>
        <v/>
      </c>
      <c r="AZ1872" s="21" t="str">
        <f>IF(AND($AM1872&lt;&gt;"",$AS1872="✓"),SUMPRODUCT(($AM$11:$AM1872&lt;&gt;"")*($AS$11:$AS1872="✓")),"")</f>
        <v/>
      </c>
      <c r="BA1872" s="21" t="str">
        <f>IF($AL1872="","",$AL1872&amp;"|"&amp;COUNTIF($AL$11:$AL1872,$AL1872))</f>
        <v/>
      </c>
    </row>
    <row r="1873" spans="38:53" ht="15" customHeight="1" x14ac:dyDescent="0.25">
      <c r="AL1873" s="17"/>
      <c r="AM1873" s="12"/>
      <c r="AN1873" s="18"/>
      <c r="AO1873" s="18"/>
      <c r="AP1873" s="10"/>
      <c r="AQ1873" s="10"/>
      <c r="AR1873" s="19"/>
      <c r="AS1873" s="20"/>
      <c r="AT1873" s="19"/>
      <c r="AV1873" s="21">
        <f>IF(AND($AL1873&lt;&gt;"",COUNTIF($AL$11:$AL1873,$AL1873)=1),1,0)</f>
        <v>0</v>
      </c>
      <c r="AW1873" s="21">
        <f t="shared" si="145"/>
        <v>0</v>
      </c>
      <c r="AX1873" s="21" t="str">
        <f t="shared" si="144"/>
        <v/>
      </c>
      <c r="AY1873" s="21" t="str">
        <f>IF(AND($AM1873&lt;&gt;"",$AS1873&lt;&gt;"✓"),SUMPRODUCT(($AM$11:$AM1873&lt;&gt;"")*($AS$11:$AS1873&lt;&gt;"✓")),"")</f>
        <v/>
      </c>
      <c r="AZ1873" s="21" t="str">
        <f>IF(AND($AM1873&lt;&gt;"",$AS1873="✓"),SUMPRODUCT(($AM$11:$AM1873&lt;&gt;"")*($AS$11:$AS1873="✓")),"")</f>
        <v/>
      </c>
      <c r="BA1873" s="21" t="str">
        <f>IF($AL1873="","",$AL1873&amp;"|"&amp;COUNTIF($AL$11:$AL1873,$AL1873))</f>
        <v/>
      </c>
    </row>
    <row r="1874" spans="38:53" ht="15" customHeight="1" x14ac:dyDescent="0.25">
      <c r="AL1874" s="31"/>
      <c r="AM1874" s="26"/>
      <c r="AN1874" s="32"/>
      <c r="AO1874" s="32"/>
      <c r="AP1874" s="24"/>
      <c r="AQ1874" s="24"/>
      <c r="AR1874" s="33"/>
      <c r="AS1874" s="34"/>
      <c r="AT1874" s="33"/>
      <c r="AV1874" s="21">
        <f>IF(AND($AL1874&lt;&gt;"",COUNTIF($AL$11:$AL1874,$AL1874)=1),1,0)</f>
        <v>0</v>
      </c>
      <c r="AW1874" s="21">
        <f t="shared" si="145"/>
        <v>0</v>
      </c>
      <c r="AX1874" s="21" t="str">
        <f t="shared" si="144"/>
        <v/>
      </c>
      <c r="AY1874" s="21" t="str">
        <f>IF(AND($AM1874&lt;&gt;"",$AS1874&lt;&gt;"✓"),SUMPRODUCT(($AM$11:$AM1874&lt;&gt;"")*($AS$11:$AS1874&lt;&gt;"✓")),"")</f>
        <v/>
      </c>
      <c r="AZ1874" s="21" t="str">
        <f>IF(AND($AM1874&lt;&gt;"",$AS1874="✓"),SUMPRODUCT(($AM$11:$AM1874&lt;&gt;"")*($AS$11:$AS1874="✓")),"")</f>
        <v/>
      </c>
      <c r="BA1874" s="21" t="str">
        <f>IF($AL1874="","",$AL1874&amp;"|"&amp;COUNTIF($AL$11:$AL1874,$AL1874))</f>
        <v/>
      </c>
    </row>
    <row r="1875" spans="38:53" ht="15" customHeight="1" x14ac:dyDescent="0.25">
      <c r="AL1875" s="17"/>
      <c r="AM1875" s="12"/>
      <c r="AN1875" s="18"/>
      <c r="AO1875" s="18"/>
      <c r="AP1875" s="10"/>
      <c r="AQ1875" s="10"/>
      <c r="AR1875" s="19"/>
      <c r="AS1875" s="20"/>
      <c r="AT1875" s="19"/>
      <c r="AV1875" s="21">
        <f>IF(AND($AL1875&lt;&gt;"",COUNTIF($AL$11:$AL1875,$AL1875)=1),1,0)</f>
        <v>0</v>
      </c>
      <c r="AW1875" s="21">
        <f t="shared" si="145"/>
        <v>0</v>
      </c>
      <c r="AX1875" s="21" t="str">
        <f t="shared" si="144"/>
        <v/>
      </c>
      <c r="AY1875" s="21" t="str">
        <f>IF(AND($AM1875&lt;&gt;"",$AS1875&lt;&gt;"✓"),SUMPRODUCT(($AM$11:$AM1875&lt;&gt;"")*($AS$11:$AS1875&lt;&gt;"✓")),"")</f>
        <v/>
      </c>
      <c r="AZ1875" s="21" t="str">
        <f>IF(AND($AM1875&lt;&gt;"",$AS1875="✓"),SUMPRODUCT(($AM$11:$AM1875&lt;&gt;"")*($AS$11:$AS1875="✓")),"")</f>
        <v/>
      </c>
      <c r="BA1875" s="21" t="str">
        <f>IF($AL1875="","",$AL1875&amp;"|"&amp;COUNTIF($AL$11:$AL1875,$AL1875))</f>
        <v/>
      </c>
    </row>
    <row r="1876" spans="38:53" ht="15" customHeight="1" x14ac:dyDescent="0.25">
      <c r="AL1876" s="31"/>
      <c r="AM1876" s="26"/>
      <c r="AN1876" s="32"/>
      <c r="AO1876" s="32"/>
      <c r="AP1876" s="24"/>
      <c r="AQ1876" s="24"/>
      <c r="AR1876" s="33"/>
      <c r="AS1876" s="34"/>
      <c r="AT1876" s="33"/>
      <c r="AV1876" s="21">
        <f>IF(AND($AL1876&lt;&gt;"",COUNTIF($AL$11:$AL1876,$AL1876)=1),1,0)</f>
        <v>0</v>
      </c>
      <c r="AW1876" s="21">
        <f t="shared" si="145"/>
        <v>0</v>
      </c>
      <c r="AX1876" s="21" t="str">
        <f t="shared" si="144"/>
        <v/>
      </c>
      <c r="AY1876" s="21" t="str">
        <f>IF(AND($AM1876&lt;&gt;"",$AS1876&lt;&gt;"✓"),SUMPRODUCT(($AM$11:$AM1876&lt;&gt;"")*($AS$11:$AS1876&lt;&gt;"✓")),"")</f>
        <v/>
      </c>
      <c r="AZ1876" s="21" t="str">
        <f>IF(AND($AM1876&lt;&gt;"",$AS1876="✓"),SUMPRODUCT(($AM$11:$AM1876&lt;&gt;"")*($AS$11:$AS1876="✓")),"")</f>
        <v/>
      </c>
      <c r="BA1876" s="21" t="str">
        <f>IF($AL1876="","",$AL1876&amp;"|"&amp;COUNTIF($AL$11:$AL1876,$AL1876))</f>
        <v/>
      </c>
    </row>
    <row r="1877" spans="38:53" ht="15" customHeight="1" x14ac:dyDescent="0.25">
      <c r="AL1877" s="17"/>
      <c r="AM1877" s="12"/>
      <c r="AN1877" s="18"/>
      <c r="AO1877" s="18"/>
      <c r="AP1877" s="10"/>
      <c r="AQ1877" s="10"/>
      <c r="AR1877" s="19"/>
      <c r="AS1877" s="20"/>
      <c r="AT1877" s="19"/>
      <c r="AV1877" s="21">
        <f>IF(AND($AL1877&lt;&gt;"",COUNTIF($AL$11:$AL1877,$AL1877)=1),1,0)</f>
        <v>0</v>
      </c>
      <c r="AW1877" s="21">
        <f t="shared" si="145"/>
        <v>0</v>
      </c>
      <c r="AX1877" s="21" t="str">
        <f t="shared" si="144"/>
        <v/>
      </c>
      <c r="AY1877" s="21" t="str">
        <f>IF(AND($AM1877&lt;&gt;"",$AS1877&lt;&gt;"✓"),SUMPRODUCT(($AM$11:$AM1877&lt;&gt;"")*($AS$11:$AS1877&lt;&gt;"✓")),"")</f>
        <v/>
      </c>
      <c r="AZ1877" s="21" t="str">
        <f>IF(AND($AM1877&lt;&gt;"",$AS1877="✓"),SUMPRODUCT(($AM$11:$AM1877&lt;&gt;"")*($AS$11:$AS1877="✓")),"")</f>
        <v/>
      </c>
      <c r="BA1877" s="21" t="str">
        <f>IF($AL1877="","",$AL1877&amp;"|"&amp;COUNTIF($AL$11:$AL1877,$AL1877))</f>
        <v/>
      </c>
    </row>
    <row r="1878" spans="38:53" ht="15" customHeight="1" x14ac:dyDescent="0.25">
      <c r="AL1878" s="31"/>
      <c r="AM1878" s="26"/>
      <c r="AN1878" s="32"/>
      <c r="AO1878" s="32"/>
      <c r="AP1878" s="24"/>
      <c r="AQ1878" s="24"/>
      <c r="AR1878" s="33"/>
      <c r="AS1878" s="34"/>
      <c r="AT1878" s="33"/>
      <c r="AV1878" s="21">
        <f>IF(AND($AL1878&lt;&gt;"",COUNTIF($AL$11:$AL1878,$AL1878)=1),1,0)</f>
        <v>0</v>
      </c>
      <c r="AW1878" s="21">
        <f t="shared" si="145"/>
        <v>0</v>
      </c>
      <c r="AX1878" s="21" t="str">
        <f t="shared" si="144"/>
        <v/>
      </c>
      <c r="AY1878" s="21" t="str">
        <f>IF(AND($AM1878&lt;&gt;"",$AS1878&lt;&gt;"✓"),SUMPRODUCT(($AM$11:$AM1878&lt;&gt;"")*($AS$11:$AS1878&lt;&gt;"✓")),"")</f>
        <v/>
      </c>
      <c r="AZ1878" s="21" t="str">
        <f>IF(AND($AM1878&lt;&gt;"",$AS1878="✓"),SUMPRODUCT(($AM$11:$AM1878&lt;&gt;"")*($AS$11:$AS1878="✓")),"")</f>
        <v/>
      </c>
      <c r="BA1878" s="21" t="str">
        <f>IF($AL1878="","",$AL1878&amp;"|"&amp;COUNTIF($AL$11:$AL1878,$AL1878))</f>
        <v/>
      </c>
    </row>
    <row r="1879" spans="38:53" ht="15" customHeight="1" x14ac:dyDescent="0.25">
      <c r="AL1879" s="17"/>
      <c r="AM1879" s="12"/>
      <c r="AN1879" s="18"/>
      <c r="AO1879" s="18"/>
      <c r="AP1879" s="10"/>
      <c r="AQ1879" s="10"/>
      <c r="AR1879" s="19"/>
      <c r="AS1879" s="20"/>
      <c r="AT1879" s="19"/>
      <c r="AV1879" s="21">
        <f>IF(AND($AL1879&lt;&gt;"",COUNTIF($AL$11:$AL1879,$AL1879)=1),1,0)</f>
        <v>0</v>
      </c>
      <c r="AW1879" s="21">
        <f t="shared" si="145"/>
        <v>0</v>
      </c>
      <c r="AX1879" s="21" t="str">
        <f t="shared" si="144"/>
        <v/>
      </c>
      <c r="AY1879" s="21" t="str">
        <f>IF(AND($AM1879&lt;&gt;"",$AS1879&lt;&gt;"✓"),SUMPRODUCT(($AM$11:$AM1879&lt;&gt;"")*($AS$11:$AS1879&lt;&gt;"✓")),"")</f>
        <v/>
      </c>
      <c r="AZ1879" s="21" t="str">
        <f>IF(AND($AM1879&lt;&gt;"",$AS1879="✓"),SUMPRODUCT(($AM$11:$AM1879&lt;&gt;"")*($AS$11:$AS1879="✓")),"")</f>
        <v/>
      </c>
      <c r="BA1879" s="21" t="str">
        <f>IF($AL1879="","",$AL1879&amp;"|"&amp;COUNTIF($AL$11:$AL1879,$AL1879))</f>
        <v/>
      </c>
    </row>
    <row r="1880" spans="38:53" ht="15" customHeight="1" x14ac:dyDescent="0.25">
      <c r="AL1880" s="31"/>
      <c r="AM1880" s="26"/>
      <c r="AN1880" s="32"/>
      <c r="AO1880" s="32"/>
      <c r="AP1880" s="24"/>
      <c r="AQ1880" s="24"/>
      <c r="AR1880" s="33"/>
      <c r="AS1880" s="34"/>
      <c r="AT1880" s="33"/>
      <c r="AV1880" s="21">
        <f>IF(AND($AL1880&lt;&gt;"",COUNTIF($AL$11:$AL1880,$AL1880)=1),1,0)</f>
        <v>0</v>
      </c>
      <c r="AW1880" s="21">
        <f t="shared" si="145"/>
        <v>0</v>
      </c>
      <c r="AX1880" s="21" t="str">
        <f t="shared" si="144"/>
        <v/>
      </c>
      <c r="AY1880" s="21" t="str">
        <f>IF(AND($AM1880&lt;&gt;"",$AS1880&lt;&gt;"✓"),SUMPRODUCT(($AM$11:$AM1880&lt;&gt;"")*($AS$11:$AS1880&lt;&gt;"✓")),"")</f>
        <v/>
      </c>
      <c r="AZ1880" s="21" t="str">
        <f>IF(AND($AM1880&lt;&gt;"",$AS1880="✓"),SUMPRODUCT(($AM$11:$AM1880&lt;&gt;"")*($AS$11:$AS1880="✓")),"")</f>
        <v/>
      </c>
      <c r="BA1880" s="21" t="str">
        <f>IF($AL1880="","",$AL1880&amp;"|"&amp;COUNTIF($AL$11:$AL1880,$AL1880))</f>
        <v/>
      </c>
    </row>
    <row r="1881" spans="38:53" ht="15" customHeight="1" x14ac:dyDescent="0.25">
      <c r="AL1881" s="17"/>
      <c r="AM1881" s="12"/>
      <c r="AN1881" s="18"/>
      <c r="AO1881" s="18"/>
      <c r="AP1881" s="10"/>
      <c r="AQ1881" s="10"/>
      <c r="AR1881" s="19"/>
      <c r="AS1881" s="20"/>
      <c r="AT1881" s="19"/>
      <c r="AV1881" s="21">
        <f>IF(AND($AL1881&lt;&gt;"",COUNTIF($AL$11:$AL1881,$AL1881)=1),1,0)</f>
        <v>0</v>
      </c>
      <c r="AW1881" s="21">
        <f t="shared" si="145"/>
        <v>0</v>
      </c>
      <c r="AX1881" s="21" t="str">
        <f t="shared" si="144"/>
        <v/>
      </c>
      <c r="AY1881" s="21" t="str">
        <f>IF(AND($AM1881&lt;&gt;"",$AS1881&lt;&gt;"✓"),SUMPRODUCT(($AM$11:$AM1881&lt;&gt;"")*($AS$11:$AS1881&lt;&gt;"✓")),"")</f>
        <v/>
      </c>
      <c r="AZ1881" s="21" t="str">
        <f>IF(AND($AM1881&lt;&gt;"",$AS1881="✓"),SUMPRODUCT(($AM$11:$AM1881&lt;&gt;"")*($AS$11:$AS1881="✓")),"")</f>
        <v/>
      </c>
      <c r="BA1881" s="21" t="str">
        <f>IF($AL1881="","",$AL1881&amp;"|"&amp;COUNTIF($AL$11:$AL1881,$AL1881))</f>
        <v/>
      </c>
    </row>
    <row r="1882" spans="38:53" ht="15" customHeight="1" x14ac:dyDescent="0.25">
      <c r="AL1882" s="31"/>
      <c r="AM1882" s="26"/>
      <c r="AN1882" s="32"/>
      <c r="AO1882" s="32"/>
      <c r="AP1882" s="24"/>
      <c r="AQ1882" s="24"/>
      <c r="AR1882" s="33"/>
      <c r="AS1882" s="34"/>
      <c r="AT1882" s="33"/>
      <c r="AV1882" s="21">
        <f>IF(AND($AL1882&lt;&gt;"",COUNTIF($AL$11:$AL1882,$AL1882)=1),1,0)</f>
        <v>0</v>
      </c>
      <c r="AW1882" s="21">
        <f t="shared" si="145"/>
        <v>0</v>
      </c>
      <c r="AX1882" s="21" t="str">
        <f t="shared" si="144"/>
        <v/>
      </c>
      <c r="AY1882" s="21" t="str">
        <f>IF(AND($AM1882&lt;&gt;"",$AS1882&lt;&gt;"✓"),SUMPRODUCT(($AM$11:$AM1882&lt;&gt;"")*($AS$11:$AS1882&lt;&gt;"✓")),"")</f>
        <v/>
      </c>
      <c r="AZ1882" s="21" t="str">
        <f>IF(AND($AM1882&lt;&gt;"",$AS1882="✓"),SUMPRODUCT(($AM$11:$AM1882&lt;&gt;"")*($AS$11:$AS1882="✓")),"")</f>
        <v/>
      </c>
      <c r="BA1882" s="21" t="str">
        <f>IF($AL1882="","",$AL1882&amp;"|"&amp;COUNTIF($AL$11:$AL1882,$AL1882))</f>
        <v/>
      </c>
    </row>
    <row r="1883" spans="38:53" ht="15" customHeight="1" x14ac:dyDescent="0.25">
      <c r="AL1883" s="17"/>
      <c r="AM1883" s="12"/>
      <c r="AN1883" s="18"/>
      <c r="AO1883" s="18"/>
      <c r="AP1883" s="10"/>
      <c r="AQ1883" s="10"/>
      <c r="AR1883" s="19"/>
      <c r="AS1883" s="20"/>
      <c r="AT1883" s="19"/>
      <c r="AV1883" s="21">
        <f>IF(AND($AL1883&lt;&gt;"",COUNTIF($AL$11:$AL1883,$AL1883)=1),1,0)</f>
        <v>0</v>
      </c>
      <c r="AW1883" s="21">
        <f t="shared" si="145"/>
        <v>0</v>
      </c>
      <c r="AX1883" s="21" t="str">
        <f t="shared" si="144"/>
        <v/>
      </c>
      <c r="AY1883" s="21" t="str">
        <f>IF(AND($AM1883&lt;&gt;"",$AS1883&lt;&gt;"✓"),SUMPRODUCT(($AM$11:$AM1883&lt;&gt;"")*($AS$11:$AS1883&lt;&gt;"✓")),"")</f>
        <v/>
      </c>
      <c r="AZ1883" s="21" t="str">
        <f>IF(AND($AM1883&lt;&gt;"",$AS1883="✓"),SUMPRODUCT(($AM$11:$AM1883&lt;&gt;"")*($AS$11:$AS1883="✓")),"")</f>
        <v/>
      </c>
      <c r="BA1883" s="21" t="str">
        <f>IF($AL1883="","",$AL1883&amp;"|"&amp;COUNTIF($AL$11:$AL1883,$AL1883))</f>
        <v/>
      </c>
    </row>
    <row r="1884" spans="38:53" ht="15" customHeight="1" x14ac:dyDescent="0.25">
      <c r="AL1884" s="31"/>
      <c r="AM1884" s="26"/>
      <c r="AN1884" s="32"/>
      <c r="AO1884" s="32"/>
      <c r="AP1884" s="24"/>
      <c r="AQ1884" s="24"/>
      <c r="AR1884" s="33"/>
      <c r="AS1884" s="34"/>
      <c r="AT1884" s="33"/>
      <c r="AV1884" s="21">
        <f>IF(AND($AL1884&lt;&gt;"",COUNTIF($AL$11:$AL1884,$AL1884)=1),1,0)</f>
        <v>0</v>
      </c>
      <c r="AW1884" s="21">
        <f t="shared" si="145"/>
        <v>0</v>
      </c>
      <c r="AX1884" s="21" t="str">
        <f t="shared" si="144"/>
        <v/>
      </c>
      <c r="AY1884" s="21" t="str">
        <f>IF(AND($AM1884&lt;&gt;"",$AS1884&lt;&gt;"✓"),SUMPRODUCT(($AM$11:$AM1884&lt;&gt;"")*($AS$11:$AS1884&lt;&gt;"✓")),"")</f>
        <v/>
      </c>
      <c r="AZ1884" s="21" t="str">
        <f>IF(AND($AM1884&lt;&gt;"",$AS1884="✓"),SUMPRODUCT(($AM$11:$AM1884&lt;&gt;"")*($AS$11:$AS1884="✓")),"")</f>
        <v/>
      </c>
      <c r="BA1884" s="21" t="str">
        <f>IF($AL1884="","",$AL1884&amp;"|"&amp;COUNTIF($AL$11:$AL1884,$AL1884))</f>
        <v/>
      </c>
    </row>
    <row r="1885" spans="38:53" ht="15" customHeight="1" x14ac:dyDescent="0.25">
      <c r="AL1885" s="17"/>
      <c r="AM1885" s="12"/>
      <c r="AN1885" s="18"/>
      <c r="AO1885" s="18"/>
      <c r="AP1885" s="10"/>
      <c r="AQ1885" s="10"/>
      <c r="AR1885" s="19"/>
      <c r="AS1885" s="20"/>
      <c r="AT1885" s="19"/>
      <c r="AV1885" s="21">
        <f>IF(AND($AL1885&lt;&gt;"",COUNTIF($AL$11:$AL1885,$AL1885)=1),1,0)</f>
        <v>0</v>
      </c>
      <c r="AW1885" s="21">
        <f t="shared" si="145"/>
        <v>0</v>
      </c>
      <c r="AX1885" s="21" t="str">
        <f t="shared" si="144"/>
        <v/>
      </c>
      <c r="AY1885" s="21" t="str">
        <f>IF(AND($AM1885&lt;&gt;"",$AS1885&lt;&gt;"✓"),SUMPRODUCT(($AM$11:$AM1885&lt;&gt;"")*($AS$11:$AS1885&lt;&gt;"✓")),"")</f>
        <v/>
      </c>
      <c r="AZ1885" s="21" t="str">
        <f>IF(AND($AM1885&lt;&gt;"",$AS1885="✓"),SUMPRODUCT(($AM$11:$AM1885&lt;&gt;"")*($AS$11:$AS1885="✓")),"")</f>
        <v/>
      </c>
      <c r="BA1885" s="21" t="str">
        <f>IF($AL1885="","",$AL1885&amp;"|"&amp;COUNTIF($AL$11:$AL1885,$AL1885))</f>
        <v/>
      </c>
    </row>
    <row r="1886" spans="38:53" ht="15" customHeight="1" x14ac:dyDescent="0.25">
      <c r="AL1886" s="31"/>
      <c r="AM1886" s="26"/>
      <c r="AN1886" s="32"/>
      <c r="AO1886" s="32"/>
      <c r="AP1886" s="24"/>
      <c r="AQ1886" s="24"/>
      <c r="AR1886" s="33"/>
      <c r="AS1886" s="34"/>
      <c r="AT1886" s="33"/>
      <c r="AV1886" s="21">
        <f>IF(AND($AL1886&lt;&gt;"",COUNTIF($AL$11:$AL1886,$AL1886)=1),1,0)</f>
        <v>0</v>
      </c>
      <c r="AW1886" s="21">
        <f t="shared" si="145"/>
        <v>0</v>
      </c>
      <c r="AX1886" s="21" t="str">
        <f t="shared" si="144"/>
        <v/>
      </c>
      <c r="AY1886" s="21" t="str">
        <f>IF(AND($AM1886&lt;&gt;"",$AS1886&lt;&gt;"✓"),SUMPRODUCT(($AM$11:$AM1886&lt;&gt;"")*($AS$11:$AS1886&lt;&gt;"✓")),"")</f>
        <v/>
      </c>
      <c r="AZ1886" s="21" t="str">
        <f>IF(AND($AM1886&lt;&gt;"",$AS1886="✓"),SUMPRODUCT(($AM$11:$AM1886&lt;&gt;"")*($AS$11:$AS1886="✓")),"")</f>
        <v/>
      </c>
      <c r="BA1886" s="21" t="str">
        <f>IF($AL1886="","",$AL1886&amp;"|"&amp;COUNTIF($AL$11:$AL1886,$AL1886))</f>
        <v/>
      </c>
    </row>
    <row r="1887" spans="38:53" ht="15" customHeight="1" x14ac:dyDescent="0.25">
      <c r="AL1887" s="17"/>
      <c r="AM1887" s="12"/>
      <c r="AN1887" s="18"/>
      <c r="AO1887" s="18"/>
      <c r="AP1887" s="10"/>
      <c r="AQ1887" s="10"/>
      <c r="AR1887" s="19"/>
      <c r="AS1887" s="20"/>
      <c r="AT1887" s="19"/>
      <c r="AV1887" s="21">
        <f>IF(AND($AL1887&lt;&gt;"",COUNTIF($AL$11:$AL1887,$AL1887)=1),1,0)</f>
        <v>0</v>
      </c>
      <c r="AW1887" s="21">
        <f t="shared" si="145"/>
        <v>0</v>
      </c>
      <c r="AX1887" s="21" t="str">
        <f t="shared" si="144"/>
        <v/>
      </c>
      <c r="AY1887" s="21" t="str">
        <f>IF(AND($AM1887&lt;&gt;"",$AS1887&lt;&gt;"✓"),SUMPRODUCT(($AM$11:$AM1887&lt;&gt;"")*($AS$11:$AS1887&lt;&gt;"✓")),"")</f>
        <v/>
      </c>
      <c r="AZ1887" s="21" t="str">
        <f>IF(AND($AM1887&lt;&gt;"",$AS1887="✓"),SUMPRODUCT(($AM$11:$AM1887&lt;&gt;"")*($AS$11:$AS1887="✓")),"")</f>
        <v/>
      </c>
      <c r="BA1887" s="21" t="str">
        <f>IF($AL1887="","",$AL1887&amp;"|"&amp;COUNTIF($AL$11:$AL1887,$AL1887))</f>
        <v/>
      </c>
    </row>
    <row r="1888" spans="38:53" ht="15" customHeight="1" x14ac:dyDescent="0.25">
      <c r="AL1888" s="31"/>
      <c r="AM1888" s="26"/>
      <c r="AN1888" s="32"/>
      <c r="AO1888" s="32"/>
      <c r="AP1888" s="24"/>
      <c r="AQ1888" s="24"/>
      <c r="AR1888" s="33"/>
      <c r="AS1888" s="34"/>
      <c r="AT1888" s="33"/>
      <c r="AV1888" s="21">
        <f>IF(AND($AL1888&lt;&gt;"",COUNTIF($AL$11:$AL1888,$AL1888)=1),1,0)</f>
        <v>0</v>
      </c>
      <c r="AW1888" s="21">
        <f t="shared" si="145"/>
        <v>0</v>
      </c>
      <c r="AX1888" s="21" t="str">
        <f t="shared" si="144"/>
        <v/>
      </c>
      <c r="AY1888" s="21" t="str">
        <f>IF(AND($AM1888&lt;&gt;"",$AS1888&lt;&gt;"✓"),SUMPRODUCT(($AM$11:$AM1888&lt;&gt;"")*($AS$11:$AS1888&lt;&gt;"✓")),"")</f>
        <v/>
      </c>
      <c r="AZ1888" s="21" t="str">
        <f>IF(AND($AM1888&lt;&gt;"",$AS1888="✓"),SUMPRODUCT(($AM$11:$AM1888&lt;&gt;"")*($AS$11:$AS1888="✓")),"")</f>
        <v/>
      </c>
      <c r="BA1888" s="21" t="str">
        <f>IF($AL1888="","",$AL1888&amp;"|"&amp;COUNTIF($AL$11:$AL1888,$AL1888))</f>
        <v/>
      </c>
    </row>
    <row r="1889" spans="38:53" ht="15" customHeight="1" x14ac:dyDescent="0.25">
      <c r="AL1889" s="17"/>
      <c r="AM1889" s="12"/>
      <c r="AN1889" s="18"/>
      <c r="AO1889" s="18"/>
      <c r="AP1889" s="10"/>
      <c r="AQ1889" s="10"/>
      <c r="AR1889" s="19"/>
      <c r="AS1889" s="20"/>
      <c r="AT1889" s="19"/>
      <c r="AV1889" s="21">
        <f>IF(AND($AL1889&lt;&gt;"",COUNTIF($AL$11:$AL1889,$AL1889)=1),1,0)</f>
        <v>0</v>
      </c>
      <c r="AW1889" s="21">
        <f t="shared" si="145"/>
        <v>0</v>
      </c>
      <c r="AX1889" s="21" t="str">
        <f t="shared" si="144"/>
        <v/>
      </c>
      <c r="AY1889" s="21" t="str">
        <f>IF(AND($AM1889&lt;&gt;"",$AS1889&lt;&gt;"✓"),SUMPRODUCT(($AM$11:$AM1889&lt;&gt;"")*($AS$11:$AS1889&lt;&gt;"✓")),"")</f>
        <v/>
      </c>
      <c r="AZ1889" s="21" t="str">
        <f>IF(AND($AM1889&lt;&gt;"",$AS1889="✓"),SUMPRODUCT(($AM$11:$AM1889&lt;&gt;"")*($AS$11:$AS1889="✓")),"")</f>
        <v/>
      </c>
      <c r="BA1889" s="21" t="str">
        <f>IF($AL1889="","",$AL1889&amp;"|"&amp;COUNTIF($AL$11:$AL1889,$AL1889))</f>
        <v/>
      </c>
    </row>
    <row r="1890" spans="38:53" ht="15" customHeight="1" x14ac:dyDescent="0.25">
      <c r="AL1890" s="31"/>
      <c r="AM1890" s="26"/>
      <c r="AN1890" s="32"/>
      <c r="AO1890" s="32"/>
      <c r="AP1890" s="24"/>
      <c r="AQ1890" s="24"/>
      <c r="AR1890" s="33"/>
      <c r="AS1890" s="34"/>
      <c r="AT1890" s="33"/>
      <c r="AV1890" s="21">
        <f>IF(AND($AL1890&lt;&gt;"",COUNTIF($AL$11:$AL1890,$AL1890)=1),1,0)</f>
        <v>0</v>
      </c>
      <c r="AW1890" s="21">
        <f t="shared" si="145"/>
        <v>0</v>
      </c>
      <c r="AX1890" s="21" t="str">
        <f t="shared" si="144"/>
        <v/>
      </c>
      <c r="AY1890" s="21" t="str">
        <f>IF(AND($AM1890&lt;&gt;"",$AS1890&lt;&gt;"✓"),SUMPRODUCT(($AM$11:$AM1890&lt;&gt;"")*($AS$11:$AS1890&lt;&gt;"✓")),"")</f>
        <v/>
      </c>
      <c r="AZ1890" s="21" t="str">
        <f>IF(AND($AM1890&lt;&gt;"",$AS1890="✓"),SUMPRODUCT(($AM$11:$AM1890&lt;&gt;"")*($AS$11:$AS1890="✓")),"")</f>
        <v/>
      </c>
      <c r="BA1890" s="21" t="str">
        <f>IF($AL1890="","",$AL1890&amp;"|"&amp;COUNTIF($AL$11:$AL1890,$AL1890))</f>
        <v/>
      </c>
    </row>
    <row r="1891" spans="38:53" ht="15" customHeight="1" x14ac:dyDescent="0.25">
      <c r="AL1891" s="17"/>
      <c r="AM1891" s="12"/>
      <c r="AN1891" s="18"/>
      <c r="AO1891" s="18"/>
      <c r="AP1891" s="10"/>
      <c r="AQ1891" s="10"/>
      <c r="AR1891" s="19"/>
      <c r="AS1891" s="20"/>
      <c r="AT1891" s="19"/>
      <c r="AV1891" s="21">
        <f>IF(AND($AL1891&lt;&gt;"",COUNTIF($AL$11:$AL1891,$AL1891)=1),1,0)</f>
        <v>0</v>
      </c>
      <c r="AW1891" s="21">
        <f t="shared" si="145"/>
        <v>0</v>
      </c>
      <c r="AX1891" s="21" t="str">
        <f t="shared" si="144"/>
        <v/>
      </c>
      <c r="AY1891" s="21" t="str">
        <f>IF(AND($AM1891&lt;&gt;"",$AS1891&lt;&gt;"✓"),SUMPRODUCT(($AM$11:$AM1891&lt;&gt;"")*($AS$11:$AS1891&lt;&gt;"✓")),"")</f>
        <v/>
      </c>
      <c r="AZ1891" s="21" t="str">
        <f>IF(AND($AM1891&lt;&gt;"",$AS1891="✓"),SUMPRODUCT(($AM$11:$AM1891&lt;&gt;"")*($AS$11:$AS1891="✓")),"")</f>
        <v/>
      </c>
      <c r="BA1891" s="21" t="str">
        <f>IF($AL1891="","",$AL1891&amp;"|"&amp;COUNTIF($AL$11:$AL1891,$AL1891))</f>
        <v/>
      </c>
    </row>
    <row r="1892" spans="38:53" ht="15" customHeight="1" x14ac:dyDescent="0.25">
      <c r="AL1892" s="31"/>
      <c r="AM1892" s="26"/>
      <c r="AN1892" s="32"/>
      <c r="AO1892" s="32"/>
      <c r="AP1892" s="24"/>
      <c r="AQ1892" s="24"/>
      <c r="AR1892" s="33"/>
      <c r="AS1892" s="34"/>
      <c r="AT1892" s="33"/>
      <c r="AV1892" s="21">
        <f>IF(AND($AL1892&lt;&gt;"",COUNTIF($AL$11:$AL1892,$AL1892)=1),1,0)</f>
        <v>0</v>
      </c>
      <c r="AW1892" s="21">
        <f t="shared" si="145"/>
        <v>0</v>
      </c>
      <c r="AX1892" s="21" t="str">
        <f t="shared" si="144"/>
        <v/>
      </c>
      <c r="AY1892" s="21" t="str">
        <f>IF(AND($AM1892&lt;&gt;"",$AS1892&lt;&gt;"✓"),SUMPRODUCT(($AM$11:$AM1892&lt;&gt;"")*($AS$11:$AS1892&lt;&gt;"✓")),"")</f>
        <v/>
      </c>
      <c r="AZ1892" s="21" t="str">
        <f>IF(AND($AM1892&lt;&gt;"",$AS1892="✓"),SUMPRODUCT(($AM$11:$AM1892&lt;&gt;"")*($AS$11:$AS1892="✓")),"")</f>
        <v/>
      </c>
      <c r="BA1892" s="21" t="str">
        <f>IF($AL1892="","",$AL1892&amp;"|"&amp;COUNTIF($AL$11:$AL1892,$AL1892))</f>
        <v/>
      </c>
    </row>
    <row r="1893" spans="38:53" ht="15" customHeight="1" x14ac:dyDescent="0.25">
      <c r="AL1893" s="17"/>
      <c r="AM1893" s="12"/>
      <c r="AN1893" s="18"/>
      <c r="AO1893" s="18"/>
      <c r="AP1893" s="10"/>
      <c r="AQ1893" s="10"/>
      <c r="AR1893" s="19"/>
      <c r="AS1893" s="20"/>
      <c r="AT1893" s="19"/>
      <c r="AV1893" s="21">
        <f>IF(AND($AL1893&lt;&gt;"",COUNTIF($AL$11:$AL1893,$AL1893)=1),1,0)</f>
        <v>0</v>
      </c>
      <c r="AW1893" s="21">
        <f t="shared" si="145"/>
        <v>0</v>
      </c>
      <c r="AX1893" s="21" t="str">
        <f t="shared" si="144"/>
        <v/>
      </c>
      <c r="AY1893" s="21" t="str">
        <f>IF(AND($AM1893&lt;&gt;"",$AS1893&lt;&gt;"✓"),SUMPRODUCT(($AM$11:$AM1893&lt;&gt;"")*($AS$11:$AS1893&lt;&gt;"✓")),"")</f>
        <v/>
      </c>
      <c r="AZ1893" s="21" t="str">
        <f>IF(AND($AM1893&lt;&gt;"",$AS1893="✓"),SUMPRODUCT(($AM$11:$AM1893&lt;&gt;"")*($AS$11:$AS1893="✓")),"")</f>
        <v/>
      </c>
      <c r="BA1893" s="21" t="str">
        <f>IF($AL1893="","",$AL1893&amp;"|"&amp;COUNTIF($AL$11:$AL1893,$AL1893))</f>
        <v/>
      </c>
    </row>
    <row r="1894" spans="38:53" ht="15" customHeight="1" x14ac:dyDescent="0.25">
      <c r="AL1894" s="31"/>
      <c r="AM1894" s="26"/>
      <c r="AN1894" s="32"/>
      <c r="AO1894" s="32"/>
      <c r="AP1894" s="24"/>
      <c r="AQ1894" s="24"/>
      <c r="AR1894" s="33"/>
      <c r="AS1894" s="34"/>
      <c r="AT1894" s="33"/>
      <c r="AV1894" s="21">
        <f>IF(AND($AL1894&lt;&gt;"",COUNTIF($AL$11:$AL1894,$AL1894)=1),1,0)</f>
        <v>0</v>
      </c>
      <c r="AW1894" s="21">
        <f t="shared" si="145"/>
        <v>0</v>
      </c>
      <c r="AX1894" s="21" t="str">
        <f t="shared" si="144"/>
        <v/>
      </c>
      <c r="AY1894" s="21" t="str">
        <f>IF(AND($AM1894&lt;&gt;"",$AS1894&lt;&gt;"✓"),SUMPRODUCT(($AM$11:$AM1894&lt;&gt;"")*($AS$11:$AS1894&lt;&gt;"✓")),"")</f>
        <v/>
      </c>
      <c r="AZ1894" s="21" t="str">
        <f>IF(AND($AM1894&lt;&gt;"",$AS1894="✓"),SUMPRODUCT(($AM$11:$AM1894&lt;&gt;"")*($AS$11:$AS1894="✓")),"")</f>
        <v/>
      </c>
      <c r="BA1894" s="21" t="str">
        <f>IF($AL1894="","",$AL1894&amp;"|"&amp;COUNTIF($AL$11:$AL1894,$AL1894))</f>
        <v/>
      </c>
    </row>
    <row r="1895" spans="38:53" ht="15" customHeight="1" x14ac:dyDescent="0.25">
      <c r="AL1895" s="17"/>
      <c r="AM1895" s="12"/>
      <c r="AN1895" s="18"/>
      <c r="AO1895" s="18"/>
      <c r="AP1895" s="10"/>
      <c r="AQ1895" s="10"/>
      <c r="AR1895" s="19"/>
      <c r="AS1895" s="20"/>
      <c r="AT1895" s="19"/>
      <c r="AV1895" s="21">
        <f>IF(AND($AL1895&lt;&gt;"",COUNTIF($AL$11:$AL1895,$AL1895)=1),1,0)</f>
        <v>0</v>
      </c>
      <c r="AW1895" s="21">
        <f t="shared" si="145"/>
        <v>0</v>
      </c>
      <c r="AX1895" s="21" t="str">
        <f t="shared" si="144"/>
        <v/>
      </c>
      <c r="AY1895" s="21" t="str">
        <f>IF(AND($AM1895&lt;&gt;"",$AS1895&lt;&gt;"✓"),SUMPRODUCT(($AM$11:$AM1895&lt;&gt;"")*($AS$11:$AS1895&lt;&gt;"✓")),"")</f>
        <v/>
      </c>
      <c r="AZ1895" s="21" t="str">
        <f>IF(AND($AM1895&lt;&gt;"",$AS1895="✓"),SUMPRODUCT(($AM$11:$AM1895&lt;&gt;"")*($AS$11:$AS1895="✓")),"")</f>
        <v/>
      </c>
      <c r="BA1895" s="21" t="str">
        <f>IF($AL1895="","",$AL1895&amp;"|"&amp;COUNTIF($AL$11:$AL1895,$AL1895))</f>
        <v/>
      </c>
    </row>
    <row r="1896" spans="38:53" ht="15" customHeight="1" x14ac:dyDescent="0.25">
      <c r="AL1896" s="31"/>
      <c r="AM1896" s="26"/>
      <c r="AN1896" s="32"/>
      <c r="AO1896" s="32"/>
      <c r="AP1896" s="24"/>
      <c r="AQ1896" s="24"/>
      <c r="AR1896" s="33"/>
      <c r="AS1896" s="34"/>
      <c r="AT1896" s="33"/>
      <c r="AV1896" s="21">
        <f>IF(AND($AL1896&lt;&gt;"",COUNTIF($AL$11:$AL1896,$AL1896)=1),1,0)</f>
        <v>0</v>
      </c>
      <c r="AW1896" s="21">
        <f t="shared" si="145"/>
        <v>0</v>
      </c>
      <c r="AX1896" s="21" t="str">
        <f t="shared" si="144"/>
        <v/>
      </c>
      <c r="AY1896" s="21" t="str">
        <f>IF(AND($AM1896&lt;&gt;"",$AS1896&lt;&gt;"✓"),SUMPRODUCT(($AM$11:$AM1896&lt;&gt;"")*($AS$11:$AS1896&lt;&gt;"✓")),"")</f>
        <v/>
      </c>
      <c r="AZ1896" s="21" t="str">
        <f>IF(AND($AM1896&lt;&gt;"",$AS1896="✓"),SUMPRODUCT(($AM$11:$AM1896&lt;&gt;"")*($AS$11:$AS1896="✓")),"")</f>
        <v/>
      </c>
      <c r="BA1896" s="21" t="str">
        <f>IF($AL1896="","",$AL1896&amp;"|"&amp;COUNTIF($AL$11:$AL1896,$AL1896))</f>
        <v/>
      </c>
    </row>
    <row r="1897" spans="38:53" ht="15" customHeight="1" x14ac:dyDescent="0.25">
      <c r="AL1897" s="17"/>
      <c r="AM1897" s="12"/>
      <c r="AN1897" s="18"/>
      <c r="AO1897" s="18"/>
      <c r="AP1897" s="10"/>
      <c r="AQ1897" s="10"/>
      <c r="AR1897" s="19"/>
      <c r="AS1897" s="20"/>
      <c r="AT1897" s="19"/>
      <c r="AV1897" s="21">
        <f>IF(AND($AL1897&lt;&gt;"",COUNTIF($AL$11:$AL1897,$AL1897)=1),1,0)</f>
        <v>0</v>
      </c>
      <c r="AW1897" s="21">
        <f t="shared" si="145"/>
        <v>0</v>
      </c>
      <c r="AX1897" s="21" t="str">
        <f t="shared" si="144"/>
        <v/>
      </c>
      <c r="AY1897" s="21" t="str">
        <f>IF(AND($AM1897&lt;&gt;"",$AS1897&lt;&gt;"✓"),SUMPRODUCT(($AM$11:$AM1897&lt;&gt;"")*($AS$11:$AS1897&lt;&gt;"✓")),"")</f>
        <v/>
      </c>
      <c r="AZ1897" s="21" t="str">
        <f>IF(AND($AM1897&lt;&gt;"",$AS1897="✓"),SUMPRODUCT(($AM$11:$AM1897&lt;&gt;"")*($AS$11:$AS1897="✓")),"")</f>
        <v/>
      </c>
      <c r="BA1897" s="21" t="str">
        <f>IF($AL1897="","",$AL1897&amp;"|"&amp;COUNTIF($AL$11:$AL1897,$AL1897))</f>
        <v/>
      </c>
    </row>
    <row r="1898" spans="38:53" ht="15" customHeight="1" x14ac:dyDescent="0.25">
      <c r="AL1898" s="31"/>
      <c r="AM1898" s="26"/>
      <c r="AN1898" s="32"/>
      <c r="AO1898" s="32"/>
      <c r="AP1898" s="24"/>
      <c r="AQ1898" s="24"/>
      <c r="AR1898" s="33"/>
      <c r="AS1898" s="34"/>
      <c r="AT1898" s="33"/>
      <c r="AV1898" s="21">
        <f>IF(AND($AL1898&lt;&gt;"",COUNTIF($AL$11:$AL1898,$AL1898)=1),1,0)</f>
        <v>0</v>
      </c>
      <c r="AW1898" s="21">
        <f t="shared" si="145"/>
        <v>0</v>
      </c>
      <c r="AX1898" s="21" t="str">
        <f t="shared" si="144"/>
        <v/>
      </c>
      <c r="AY1898" s="21" t="str">
        <f>IF(AND($AM1898&lt;&gt;"",$AS1898&lt;&gt;"✓"),SUMPRODUCT(($AM$11:$AM1898&lt;&gt;"")*($AS$11:$AS1898&lt;&gt;"✓")),"")</f>
        <v/>
      </c>
      <c r="AZ1898" s="21" t="str">
        <f>IF(AND($AM1898&lt;&gt;"",$AS1898="✓"),SUMPRODUCT(($AM$11:$AM1898&lt;&gt;"")*($AS$11:$AS1898="✓")),"")</f>
        <v/>
      </c>
      <c r="BA1898" s="21" t="str">
        <f>IF($AL1898="","",$AL1898&amp;"|"&amp;COUNTIF($AL$11:$AL1898,$AL1898))</f>
        <v/>
      </c>
    </row>
    <row r="1899" spans="38:53" ht="15" customHeight="1" x14ac:dyDescent="0.25">
      <c r="AL1899" s="17"/>
      <c r="AM1899" s="12"/>
      <c r="AN1899" s="18"/>
      <c r="AO1899" s="18"/>
      <c r="AP1899" s="10"/>
      <c r="AQ1899" s="10"/>
      <c r="AR1899" s="19"/>
      <c r="AS1899" s="20"/>
      <c r="AT1899" s="19"/>
      <c r="AV1899" s="21">
        <f>IF(AND($AL1899&lt;&gt;"",COUNTIF($AL$11:$AL1899,$AL1899)=1),1,0)</f>
        <v>0</v>
      </c>
      <c r="AW1899" s="21">
        <f t="shared" si="145"/>
        <v>0</v>
      </c>
      <c r="AX1899" s="21" t="str">
        <f t="shared" si="144"/>
        <v/>
      </c>
      <c r="AY1899" s="21" t="str">
        <f>IF(AND($AM1899&lt;&gt;"",$AS1899&lt;&gt;"✓"),SUMPRODUCT(($AM$11:$AM1899&lt;&gt;"")*($AS$11:$AS1899&lt;&gt;"✓")),"")</f>
        <v/>
      </c>
      <c r="AZ1899" s="21" t="str">
        <f>IF(AND($AM1899&lt;&gt;"",$AS1899="✓"),SUMPRODUCT(($AM$11:$AM1899&lt;&gt;"")*($AS$11:$AS1899="✓")),"")</f>
        <v/>
      </c>
      <c r="BA1899" s="21" t="str">
        <f>IF($AL1899="","",$AL1899&amp;"|"&amp;COUNTIF($AL$11:$AL1899,$AL1899))</f>
        <v/>
      </c>
    </row>
    <row r="1900" spans="38:53" ht="15" customHeight="1" x14ac:dyDescent="0.25">
      <c r="AL1900" s="31"/>
      <c r="AM1900" s="26"/>
      <c r="AN1900" s="32"/>
      <c r="AO1900" s="32"/>
      <c r="AP1900" s="24"/>
      <c r="AQ1900" s="24"/>
      <c r="AR1900" s="33"/>
      <c r="AS1900" s="34"/>
      <c r="AT1900" s="33"/>
      <c r="AV1900" s="21">
        <f>IF(AND($AL1900&lt;&gt;"",COUNTIF($AL$11:$AL1900,$AL1900)=1),1,0)</f>
        <v>0</v>
      </c>
      <c r="AW1900" s="21">
        <f t="shared" si="145"/>
        <v>0</v>
      </c>
      <c r="AX1900" s="21" t="str">
        <f t="shared" si="144"/>
        <v/>
      </c>
      <c r="AY1900" s="21" t="str">
        <f>IF(AND($AM1900&lt;&gt;"",$AS1900&lt;&gt;"✓"),SUMPRODUCT(($AM$11:$AM1900&lt;&gt;"")*($AS$11:$AS1900&lt;&gt;"✓")),"")</f>
        <v/>
      </c>
      <c r="AZ1900" s="21" t="str">
        <f>IF(AND($AM1900&lt;&gt;"",$AS1900="✓"),SUMPRODUCT(($AM$11:$AM1900&lt;&gt;"")*($AS$11:$AS1900="✓")),"")</f>
        <v/>
      </c>
      <c r="BA1900" s="21" t="str">
        <f>IF($AL1900="","",$AL1900&amp;"|"&amp;COUNTIF($AL$11:$AL1900,$AL1900))</f>
        <v/>
      </c>
    </row>
    <row r="1901" spans="38:53" ht="15" customHeight="1" x14ac:dyDescent="0.25">
      <c r="AL1901" s="17"/>
      <c r="AM1901" s="12"/>
      <c r="AN1901" s="18"/>
      <c r="AO1901" s="18"/>
      <c r="AP1901" s="10"/>
      <c r="AQ1901" s="10"/>
      <c r="AR1901" s="19"/>
      <c r="AS1901" s="20"/>
      <c r="AT1901" s="19"/>
      <c r="AV1901" s="21">
        <f>IF(AND($AL1901&lt;&gt;"",COUNTIF($AL$11:$AL1901,$AL1901)=1),1,0)</f>
        <v>0</v>
      </c>
      <c r="AW1901" s="21">
        <f t="shared" si="145"/>
        <v>0</v>
      </c>
      <c r="AX1901" s="21" t="str">
        <f t="shared" si="144"/>
        <v/>
      </c>
      <c r="AY1901" s="21" t="str">
        <f>IF(AND($AM1901&lt;&gt;"",$AS1901&lt;&gt;"✓"),SUMPRODUCT(($AM$11:$AM1901&lt;&gt;"")*($AS$11:$AS1901&lt;&gt;"✓")),"")</f>
        <v/>
      </c>
      <c r="AZ1901" s="21" t="str">
        <f>IF(AND($AM1901&lt;&gt;"",$AS1901="✓"),SUMPRODUCT(($AM$11:$AM1901&lt;&gt;"")*($AS$11:$AS1901="✓")),"")</f>
        <v/>
      </c>
      <c r="BA1901" s="21" t="str">
        <f>IF($AL1901="","",$AL1901&amp;"|"&amp;COUNTIF($AL$11:$AL1901,$AL1901))</f>
        <v/>
      </c>
    </row>
    <row r="1902" spans="38:53" ht="15" customHeight="1" x14ac:dyDescent="0.25">
      <c r="AL1902" s="31"/>
      <c r="AM1902" s="26"/>
      <c r="AN1902" s="32"/>
      <c r="AO1902" s="32"/>
      <c r="AP1902" s="24"/>
      <c r="AQ1902" s="24"/>
      <c r="AR1902" s="33"/>
      <c r="AS1902" s="34"/>
      <c r="AT1902" s="33"/>
      <c r="AV1902" s="21">
        <f>IF(AND($AL1902&lt;&gt;"",COUNTIF($AL$11:$AL1902,$AL1902)=1),1,0)</f>
        <v>0</v>
      </c>
      <c r="AW1902" s="21">
        <f t="shared" si="145"/>
        <v>0</v>
      </c>
      <c r="AX1902" s="21" t="str">
        <f t="shared" si="144"/>
        <v/>
      </c>
      <c r="AY1902" s="21" t="str">
        <f>IF(AND($AM1902&lt;&gt;"",$AS1902&lt;&gt;"✓"),SUMPRODUCT(($AM$11:$AM1902&lt;&gt;"")*($AS$11:$AS1902&lt;&gt;"✓")),"")</f>
        <v/>
      </c>
      <c r="AZ1902" s="21" t="str">
        <f>IF(AND($AM1902&lt;&gt;"",$AS1902="✓"),SUMPRODUCT(($AM$11:$AM1902&lt;&gt;"")*($AS$11:$AS1902="✓")),"")</f>
        <v/>
      </c>
      <c r="BA1902" s="21" t="str">
        <f>IF($AL1902="","",$AL1902&amp;"|"&amp;COUNTIF($AL$11:$AL1902,$AL1902))</f>
        <v/>
      </c>
    </row>
    <row r="1903" spans="38:53" ht="15" customHeight="1" x14ac:dyDescent="0.25">
      <c r="AL1903" s="17"/>
      <c r="AM1903" s="12"/>
      <c r="AN1903" s="18"/>
      <c r="AO1903" s="18"/>
      <c r="AP1903" s="10"/>
      <c r="AQ1903" s="10"/>
      <c r="AR1903" s="19"/>
      <c r="AS1903" s="20"/>
      <c r="AT1903" s="19"/>
      <c r="AV1903" s="21">
        <f>IF(AND($AL1903&lt;&gt;"",COUNTIF($AL$11:$AL1903,$AL1903)=1),1,0)</f>
        <v>0</v>
      </c>
      <c r="AW1903" s="21">
        <f t="shared" si="145"/>
        <v>0</v>
      </c>
      <c r="AX1903" s="21" t="str">
        <f t="shared" si="144"/>
        <v/>
      </c>
      <c r="AY1903" s="21" t="str">
        <f>IF(AND($AM1903&lt;&gt;"",$AS1903&lt;&gt;"✓"),SUMPRODUCT(($AM$11:$AM1903&lt;&gt;"")*($AS$11:$AS1903&lt;&gt;"✓")),"")</f>
        <v/>
      </c>
      <c r="AZ1903" s="21" t="str">
        <f>IF(AND($AM1903&lt;&gt;"",$AS1903="✓"),SUMPRODUCT(($AM$11:$AM1903&lt;&gt;"")*($AS$11:$AS1903="✓")),"")</f>
        <v/>
      </c>
      <c r="BA1903" s="21" t="str">
        <f>IF($AL1903="","",$AL1903&amp;"|"&amp;COUNTIF($AL$11:$AL1903,$AL1903))</f>
        <v/>
      </c>
    </row>
    <row r="1904" spans="38:53" ht="15" customHeight="1" x14ac:dyDescent="0.25">
      <c r="AL1904" s="31"/>
      <c r="AM1904" s="26"/>
      <c r="AN1904" s="32"/>
      <c r="AO1904" s="32"/>
      <c r="AP1904" s="24"/>
      <c r="AQ1904" s="24"/>
      <c r="AR1904" s="33"/>
      <c r="AS1904" s="34"/>
      <c r="AT1904" s="33"/>
      <c r="AV1904" s="21">
        <f>IF(AND($AL1904&lt;&gt;"",COUNTIF($AL$11:$AL1904,$AL1904)=1),1,0)</f>
        <v>0</v>
      </c>
      <c r="AW1904" s="21">
        <f t="shared" si="145"/>
        <v>0</v>
      </c>
      <c r="AX1904" s="21" t="str">
        <f t="shared" si="144"/>
        <v/>
      </c>
      <c r="AY1904" s="21" t="str">
        <f>IF(AND($AM1904&lt;&gt;"",$AS1904&lt;&gt;"✓"),SUMPRODUCT(($AM$11:$AM1904&lt;&gt;"")*($AS$11:$AS1904&lt;&gt;"✓")),"")</f>
        <v/>
      </c>
      <c r="AZ1904" s="21" t="str">
        <f>IF(AND($AM1904&lt;&gt;"",$AS1904="✓"),SUMPRODUCT(($AM$11:$AM1904&lt;&gt;"")*($AS$11:$AS1904="✓")),"")</f>
        <v/>
      </c>
      <c r="BA1904" s="21" t="str">
        <f>IF($AL1904="","",$AL1904&amp;"|"&amp;COUNTIF($AL$11:$AL1904,$AL1904))</f>
        <v/>
      </c>
    </row>
    <row r="1905" spans="38:53" ht="15" customHeight="1" x14ac:dyDescent="0.25">
      <c r="AL1905" s="17"/>
      <c r="AM1905" s="12"/>
      <c r="AN1905" s="18"/>
      <c r="AO1905" s="18"/>
      <c r="AP1905" s="10"/>
      <c r="AQ1905" s="10"/>
      <c r="AR1905" s="19"/>
      <c r="AS1905" s="20"/>
      <c r="AT1905" s="19"/>
      <c r="AV1905" s="21">
        <f>IF(AND($AL1905&lt;&gt;"",COUNTIF($AL$11:$AL1905,$AL1905)=1),1,0)</f>
        <v>0</v>
      </c>
      <c r="AW1905" s="21">
        <f t="shared" si="145"/>
        <v>0</v>
      </c>
      <c r="AX1905" s="21" t="str">
        <f t="shared" si="144"/>
        <v/>
      </c>
      <c r="AY1905" s="21" t="str">
        <f>IF(AND($AM1905&lt;&gt;"",$AS1905&lt;&gt;"✓"),SUMPRODUCT(($AM$11:$AM1905&lt;&gt;"")*($AS$11:$AS1905&lt;&gt;"✓")),"")</f>
        <v/>
      </c>
      <c r="AZ1905" s="21" t="str">
        <f>IF(AND($AM1905&lt;&gt;"",$AS1905="✓"),SUMPRODUCT(($AM$11:$AM1905&lt;&gt;"")*($AS$11:$AS1905="✓")),"")</f>
        <v/>
      </c>
      <c r="BA1905" s="21" t="str">
        <f>IF($AL1905="","",$AL1905&amp;"|"&amp;COUNTIF($AL$11:$AL1905,$AL1905))</f>
        <v/>
      </c>
    </row>
    <row r="1906" spans="38:53" ht="15" customHeight="1" x14ac:dyDescent="0.25">
      <c r="AL1906" s="31"/>
      <c r="AM1906" s="26"/>
      <c r="AN1906" s="32"/>
      <c r="AO1906" s="32"/>
      <c r="AP1906" s="24"/>
      <c r="AQ1906" s="24"/>
      <c r="AR1906" s="33"/>
      <c r="AS1906" s="34"/>
      <c r="AT1906" s="33"/>
      <c r="AV1906" s="21">
        <f>IF(AND($AL1906&lt;&gt;"",COUNTIF($AL$11:$AL1906,$AL1906)=1),1,0)</f>
        <v>0</v>
      </c>
      <c r="AW1906" s="21">
        <f t="shared" si="145"/>
        <v>0</v>
      </c>
      <c r="AX1906" s="21" t="str">
        <f t="shared" si="144"/>
        <v/>
      </c>
      <c r="AY1906" s="21" t="str">
        <f>IF(AND($AM1906&lt;&gt;"",$AS1906&lt;&gt;"✓"),SUMPRODUCT(($AM$11:$AM1906&lt;&gt;"")*($AS$11:$AS1906&lt;&gt;"✓")),"")</f>
        <v/>
      </c>
      <c r="AZ1906" s="21" t="str">
        <f>IF(AND($AM1906&lt;&gt;"",$AS1906="✓"),SUMPRODUCT(($AM$11:$AM1906&lt;&gt;"")*($AS$11:$AS1906="✓")),"")</f>
        <v/>
      </c>
      <c r="BA1906" s="21" t="str">
        <f>IF($AL1906="","",$AL1906&amp;"|"&amp;COUNTIF($AL$11:$AL1906,$AL1906))</f>
        <v/>
      </c>
    </row>
    <row r="1907" spans="38:53" ht="15" customHeight="1" x14ac:dyDescent="0.25">
      <c r="AL1907" s="17"/>
      <c r="AM1907" s="12"/>
      <c r="AN1907" s="18"/>
      <c r="AO1907" s="18"/>
      <c r="AP1907" s="10"/>
      <c r="AQ1907" s="10"/>
      <c r="AR1907" s="19"/>
      <c r="AS1907" s="20"/>
      <c r="AT1907" s="19"/>
      <c r="AV1907" s="21">
        <f>IF(AND($AL1907&lt;&gt;"",COUNTIF($AL$11:$AL1907,$AL1907)=1),1,0)</f>
        <v>0</v>
      </c>
      <c r="AW1907" s="21">
        <f t="shared" si="145"/>
        <v>0</v>
      </c>
      <c r="AX1907" s="21" t="str">
        <f t="shared" si="144"/>
        <v/>
      </c>
      <c r="AY1907" s="21" t="str">
        <f>IF(AND($AM1907&lt;&gt;"",$AS1907&lt;&gt;"✓"),SUMPRODUCT(($AM$11:$AM1907&lt;&gt;"")*($AS$11:$AS1907&lt;&gt;"✓")),"")</f>
        <v/>
      </c>
      <c r="AZ1907" s="21" t="str">
        <f>IF(AND($AM1907&lt;&gt;"",$AS1907="✓"),SUMPRODUCT(($AM$11:$AM1907&lt;&gt;"")*($AS$11:$AS1907="✓")),"")</f>
        <v/>
      </c>
      <c r="BA1907" s="21" t="str">
        <f>IF($AL1907="","",$AL1907&amp;"|"&amp;COUNTIF($AL$11:$AL1907,$AL1907))</f>
        <v/>
      </c>
    </row>
    <row r="1908" spans="38:53" ht="15" customHeight="1" x14ac:dyDescent="0.25">
      <c r="AL1908" s="31"/>
      <c r="AM1908" s="26"/>
      <c r="AN1908" s="32"/>
      <c r="AO1908" s="32"/>
      <c r="AP1908" s="24"/>
      <c r="AQ1908" s="24"/>
      <c r="AR1908" s="33"/>
      <c r="AS1908" s="34"/>
      <c r="AT1908" s="33"/>
      <c r="AV1908" s="21">
        <f>IF(AND($AL1908&lt;&gt;"",COUNTIF($AL$11:$AL1908,$AL1908)=1),1,0)</f>
        <v>0</v>
      </c>
      <c r="AW1908" s="21">
        <f t="shared" si="145"/>
        <v>0</v>
      </c>
      <c r="AX1908" s="21" t="str">
        <f t="shared" si="144"/>
        <v/>
      </c>
      <c r="AY1908" s="21" t="str">
        <f>IF(AND($AM1908&lt;&gt;"",$AS1908&lt;&gt;"✓"),SUMPRODUCT(($AM$11:$AM1908&lt;&gt;"")*($AS$11:$AS1908&lt;&gt;"✓")),"")</f>
        <v/>
      </c>
      <c r="AZ1908" s="21" t="str">
        <f>IF(AND($AM1908&lt;&gt;"",$AS1908="✓"),SUMPRODUCT(($AM$11:$AM1908&lt;&gt;"")*($AS$11:$AS1908="✓")),"")</f>
        <v/>
      </c>
      <c r="BA1908" s="21" t="str">
        <f>IF($AL1908="","",$AL1908&amp;"|"&amp;COUNTIF($AL$11:$AL1908,$AL1908))</f>
        <v/>
      </c>
    </row>
    <row r="1909" spans="38:53" ht="15" customHeight="1" x14ac:dyDescent="0.25">
      <c r="AL1909" s="17"/>
      <c r="AM1909" s="12"/>
      <c r="AN1909" s="18"/>
      <c r="AO1909" s="18"/>
      <c r="AP1909" s="10"/>
      <c r="AQ1909" s="10"/>
      <c r="AR1909" s="19"/>
      <c r="AS1909" s="20"/>
      <c r="AT1909" s="19"/>
      <c r="AV1909" s="21">
        <f>IF(AND($AL1909&lt;&gt;"",COUNTIF($AL$11:$AL1909,$AL1909)=1),1,0)</f>
        <v>0</v>
      </c>
      <c r="AW1909" s="21">
        <f t="shared" si="145"/>
        <v>0</v>
      </c>
      <c r="AX1909" s="21" t="str">
        <f t="shared" si="144"/>
        <v/>
      </c>
      <c r="AY1909" s="21" t="str">
        <f>IF(AND($AM1909&lt;&gt;"",$AS1909&lt;&gt;"✓"),SUMPRODUCT(($AM$11:$AM1909&lt;&gt;"")*($AS$11:$AS1909&lt;&gt;"✓")),"")</f>
        <v/>
      </c>
      <c r="AZ1909" s="21" t="str">
        <f>IF(AND($AM1909&lt;&gt;"",$AS1909="✓"),SUMPRODUCT(($AM$11:$AM1909&lt;&gt;"")*($AS$11:$AS1909="✓")),"")</f>
        <v/>
      </c>
      <c r="BA1909" s="21" t="str">
        <f>IF($AL1909="","",$AL1909&amp;"|"&amp;COUNTIF($AL$11:$AL1909,$AL1909))</f>
        <v/>
      </c>
    </row>
    <row r="1910" spans="38:53" ht="15" customHeight="1" x14ac:dyDescent="0.25">
      <c r="AL1910" s="31"/>
      <c r="AM1910" s="26"/>
      <c r="AN1910" s="32"/>
      <c r="AO1910" s="32"/>
      <c r="AP1910" s="24"/>
      <c r="AQ1910" s="24"/>
      <c r="AR1910" s="33"/>
      <c r="AS1910" s="34"/>
      <c r="AT1910" s="33"/>
      <c r="AV1910" s="21">
        <f>IF(AND($AL1910&lt;&gt;"",COUNTIF($AL$11:$AL1910,$AL1910)=1),1,0)</f>
        <v>0</v>
      </c>
      <c r="AW1910" s="21">
        <f t="shared" si="145"/>
        <v>0</v>
      </c>
      <c r="AX1910" s="21" t="str">
        <f t="shared" si="144"/>
        <v/>
      </c>
      <c r="AY1910" s="21" t="str">
        <f>IF(AND($AM1910&lt;&gt;"",$AS1910&lt;&gt;"✓"),SUMPRODUCT(($AM$11:$AM1910&lt;&gt;"")*($AS$11:$AS1910&lt;&gt;"✓")),"")</f>
        <v/>
      </c>
      <c r="AZ1910" s="21" t="str">
        <f>IF(AND($AM1910&lt;&gt;"",$AS1910="✓"),SUMPRODUCT(($AM$11:$AM1910&lt;&gt;"")*($AS$11:$AS1910="✓")),"")</f>
        <v/>
      </c>
      <c r="BA1910" s="21" t="str">
        <f>IF($AL1910="","",$AL1910&amp;"|"&amp;COUNTIF($AL$11:$AL1910,$AL1910))</f>
        <v/>
      </c>
    </row>
    <row r="1911" spans="38:53" ht="15" customHeight="1" x14ac:dyDescent="0.25">
      <c r="AL1911" s="17"/>
      <c r="AM1911" s="12"/>
      <c r="AN1911" s="18"/>
      <c r="AO1911" s="18"/>
      <c r="AP1911" s="10"/>
      <c r="AQ1911" s="10"/>
      <c r="AR1911" s="19"/>
      <c r="AS1911" s="20"/>
      <c r="AT1911" s="19"/>
      <c r="AV1911" s="21">
        <f>IF(AND($AL1911&lt;&gt;"",COUNTIF($AL$11:$AL1911,$AL1911)=1),1,0)</f>
        <v>0</v>
      </c>
      <c r="AW1911" s="21">
        <f t="shared" si="145"/>
        <v>0</v>
      </c>
      <c r="AX1911" s="21" t="str">
        <f t="shared" si="144"/>
        <v/>
      </c>
      <c r="AY1911" s="21" t="str">
        <f>IF(AND($AM1911&lt;&gt;"",$AS1911&lt;&gt;"✓"),SUMPRODUCT(($AM$11:$AM1911&lt;&gt;"")*($AS$11:$AS1911&lt;&gt;"✓")),"")</f>
        <v/>
      </c>
      <c r="AZ1911" s="21" t="str">
        <f>IF(AND($AM1911&lt;&gt;"",$AS1911="✓"),SUMPRODUCT(($AM$11:$AM1911&lt;&gt;"")*($AS$11:$AS1911="✓")),"")</f>
        <v/>
      </c>
      <c r="BA1911" s="21" t="str">
        <f>IF($AL1911="","",$AL1911&amp;"|"&amp;COUNTIF($AL$11:$AL1911,$AL1911))</f>
        <v/>
      </c>
    </row>
    <row r="1912" spans="38:53" ht="15" customHeight="1" x14ac:dyDescent="0.25">
      <c r="AL1912" s="31"/>
      <c r="AM1912" s="26"/>
      <c r="AN1912" s="32"/>
      <c r="AO1912" s="32"/>
      <c r="AP1912" s="24"/>
      <c r="AQ1912" s="24"/>
      <c r="AR1912" s="33"/>
      <c r="AS1912" s="34"/>
      <c r="AT1912" s="33"/>
      <c r="AV1912" s="21">
        <f>IF(AND($AL1912&lt;&gt;"",COUNTIF($AL$11:$AL1912,$AL1912)=1),1,0)</f>
        <v>0</v>
      </c>
      <c r="AW1912" s="21">
        <f t="shared" si="145"/>
        <v>0</v>
      </c>
      <c r="AX1912" s="21" t="str">
        <f t="shared" si="144"/>
        <v/>
      </c>
      <c r="AY1912" s="21" t="str">
        <f>IF(AND($AM1912&lt;&gt;"",$AS1912&lt;&gt;"✓"),SUMPRODUCT(($AM$11:$AM1912&lt;&gt;"")*($AS$11:$AS1912&lt;&gt;"✓")),"")</f>
        <v/>
      </c>
      <c r="AZ1912" s="21" t="str">
        <f>IF(AND($AM1912&lt;&gt;"",$AS1912="✓"),SUMPRODUCT(($AM$11:$AM1912&lt;&gt;"")*($AS$11:$AS1912="✓")),"")</f>
        <v/>
      </c>
      <c r="BA1912" s="21" t="str">
        <f>IF($AL1912="","",$AL1912&amp;"|"&amp;COUNTIF($AL$11:$AL1912,$AL1912))</f>
        <v/>
      </c>
    </row>
    <row r="1913" spans="38:53" ht="15" customHeight="1" x14ac:dyDescent="0.25">
      <c r="AL1913" s="17"/>
      <c r="AM1913" s="12"/>
      <c r="AN1913" s="18"/>
      <c r="AO1913" s="18"/>
      <c r="AP1913" s="10"/>
      <c r="AQ1913" s="10"/>
      <c r="AR1913" s="19"/>
      <c r="AS1913" s="20"/>
      <c r="AT1913" s="19"/>
      <c r="AV1913" s="21">
        <f>IF(AND($AL1913&lt;&gt;"",COUNTIF($AL$11:$AL1913,$AL1913)=1),1,0)</f>
        <v>0</v>
      </c>
      <c r="AW1913" s="21">
        <f t="shared" si="145"/>
        <v>0</v>
      </c>
      <c r="AX1913" s="21" t="str">
        <f t="shared" si="144"/>
        <v/>
      </c>
      <c r="AY1913" s="21" t="str">
        <f>IF(AND($AM1913&lt;&gt;"",$AS1913&lt;&gt;"✓"),SUMPRODUCT(($AM$11:$AM1913&lt;&gt;"")*($AS$11:$AS1913&lt;&gt;"✓")),"")</f>
        <v/>
      </c>
      <c r="AZ1913" s="21" t="str">
        <f>IF(AND($AM1913&lt;&gt;"",$AS1913="✓"),SUMPRODUCT(($AM$11:$AM1913&lt;&gt;"")*($AS$11:$AS1913="✓")),"")</f>
        <v/>
      </c>
      <c r="BA1913" s="21" t="str">
        <f>IF($AL1913="","",$AL1913&amp;"|"&amp;COUNTIF($AL$11:$AL1913,$AL1913))</f>
        <v/>
      </c>
    </row>
    <row r="1914" spans="38:53" ht="15" customHeight="1" x14ac:dyDescent="0.25">
      <c r="AL1914" s="31"/>
      <c r="AM1914" s="26"/>
      <c r="AN1914" s="32"/>
      <c r="AO1914" s="32"/>
      <c r="AP1914" s="24"/>
      <c r="AQ1914" s="24"/>
      <c r="AR1914" s="33"/>
      <c r="AS1914" s="34"/>
      <c r="AT1914" s="33"/>
      <c r="AV1914" s="21">
        <f>IF(AND($AL1914&lt;&gt;"",COUNTIF($AL$11:$AL1914,$AL1914)=1),1,0)</f>
        <v>0</v>
      </c>
      <c r="AW1914" s="21">
        <f t="shared" si="145"/>
        <v>0</v>
      </c>
      <c r="AX1914" s="21" t="str">
        <f t="shared" si="144"/>
        <v/>
      </c>
      <c r="AY1914" s="21" t="str">
        <f>IF(AND($AM1914&lt;&gt;"",$AS1914&lt;&gt;"✓"),SUMPRODUCT(($AM$11:$AM1914&lt;&gt;"")*($AS$11:$AS1914&lt;&gt;"✓")),"")</f>
        <v/>
      </c>
      <c r="AZ1914" s="21" t="str">
        <f>IF(AND($AM1914&lt;&gt;"",$AS1914="✓"),SUMPRODUCT(($AM$11:$AM1914&lt;&gt;"")*($AS$11:$AS1914="✓")),"")</f>
        <v/>
      </c>
      <c r="BA1914" s="21" t="str">
        <f>IF($AL1914="","",$AL1914&amp;"|"&amp;COUNTIF($AL$11:$AL1914,$AL1914))</f>
        <v/>
      </c>
    </row>
    <row r="1915" spans="38:53" ht="15" customHeight="1" x14ac:dyDescent="0.25">
      <c r="AL1915" s="17"/>
      <c r="AM1915" s="12"/>
      <c r="AN1915" s="18"/>
      <c r="AO1915" s="18"/>
      <c r="AP1915" s="10"/>
      <c r="AQ1915" s="10"/>
      <c r="AR1915" s="19"/>
      <c r="AS1915" s="20"/>
      <c r="AT1915" s="19"/>
      <c r="AV1915" s="21">
        <f>IF(AND($AL1915&lt;&gt;"",COUNTIF($AL$11:$AL1915,$AL1915)=1),1,0)</f>
        <v>0</v>
      </c>
      <c r="AW1915" s="21">
        <f t="shared" si="145"/>
        <v>0</v>
      </c>
      <c r="AX1915" s="21" t="str">
        <f t="shared" si="144"/>
        <v/>
      </c>
      <c r="AY1915" s="21" t="str">
        <f>IF(AND($AM1915&lt;&gt;"",$AS1915&lt;&gt;"✓"),SUMPRODUCT(($AM$11:$AM1915&lt;&gt;"")*($AS$11:$AS1915&lt;&gt;"✓")),"")</f>
        <v/>
      </c>
      <c r="AZ1915" s="21" t="str">
        <f>IF(AND($AM1915&lt;&gt;"",$AS1915="✓"),SUMPRODUCT(($AM$11:$AM1915&lt;&gt;"")*($AS$11:$AS1915="✓")),"")</f>
        <v/>
      </c>
      <c r="BA1915" s="21" t="str">
        <f>IF($AL1915="","",$AL1915&amp;"|"&amp;COUNTIF($AL$11:$AL1915,$AL1915))</f>
        <v/>
      </c>
    </row>
    <row r="1916" spans="38:53" ht="15" customHeight="1" x14ac:dyDescent="0.25">
      <c r="AL1916" s="31"/>
      <c r="AM1916" s="26"/>
      <c r="AN1916" s="32"/>
      <c r="AO1916" s="32"/>
      <c r="AP1916" s="24"/>
      <c r="AQ1916" s="24"/>
      <c r="AR1916" s="33"/>
      <c r="AS1916" s="34"/>
      <c r="AT1916" s="33"/>
      <c r="AV1916" s="21">
        <f>IF(AND($AL1916&lt;&gt;"",COUNTIF($AL$11:$AL1916,$AL1916)=1),1,0)</f>
        <v>0</v>
      </c>
      <c r="AW1916" s="21">
        <f t="shared" si="145"/>
        <v>0</v>
      </c>
      <c r="AX1916" s="21" t="str">
        <f t="shared" si="144"/>
        <v/>
      </c>
      <c r="AY1916" s="21" t="str">
        <f>IF(AND($AM1916&lt;&gt;"",$AS1916&lt;&gt;"✓"),SUMPRODUCT(($AM$11:$AM1916&lt;&gt;"")*($AS$11:$AS1916&lt;&gt;"✓")),"")</f>
        <v/>
      </c>
      <c r="AZ1916" s="21" t="str">
        <f>IF(AND($AM1916&lt;&gt;"",$AS1916="✓"),SUMPRODUCT(($AM$11:$AM1916&lt;&gt;"")*($AS$11:$AS1916="✓")),"")</f>
        <v/>
      </c>
      <c r="BA1916" s="21" t="str">
        <f>IF($AL1916="","",$AL1916&amp;"|"&amp;COUNTIF($AL$11:$AL1916,$AL1916))</f>
        <v/>
      </c>
    </row>
    <row r="1917" spans="38:53" ht="15" customHeight="1" x14ac:dyDescent="0.25">
      <c r="AL1917" s="17"/>
      <c r="AM1917" s="12"/>
      <c r="AN1917" s="18"/>
      <c r="AO1917" s="18"/>
      <c r="AP1917" s="10"/>
      <c r="AQ1917" s="10"/>
      <c r="AR1917" s="19"/>
      <c r="AS1917" s="20"/>
      <c r="AT1917" s="19"/>
      <c r="AV1917" s="21">
        <f>IF(AND($AL1917&lt;&gt;"",COUNTIF($AL$11:$AL1917,$AL1917)=1),1,0)</f>
        <v>0</v>
      </c>
      <c r="AW1917" s="21">
        <f t="shared" si="145"/>
        <v>0</v>
      </c>
      <c r="AX1917" s="21" t="str">
        <f t="shared" si="144"/>
        <v/>
      </c>
      <c r="AY1917" s="21" t="str">
        <f>IF(AND($AM1917&lt;&gt;"",$AS1917&lt;&gt;"✓"),SUMPRODUCT(($AM$11:$AM1917&lt;&gt;"")*($AS$11:$AS1917&lt;&gt;"✓")),"")</f>
        <v/>
      </c>
      <c r="AZ1917" s="21" t="str">
        <f>IF(AND($AM1917&lt;&gt;"",$AS1917="✓"),SUMPRODUCT(($AM$11:$AM1917&lt;&gt;"")*($AS$11:$AS1917="✓")),"")</f>
        <v/>
      </c>
      <c r="BA1917" s="21" t="str">
        <f>IF($AL1917="","",$AL1917&amp;"|"&amp;COUNTIF($AL$11:$AL1917,$AL1917))</f>
        <v/>
      </c>
    </row>
    <row r="1918" spans="38:53" ht="15" customHeight="1" x14ac:dyDescent="0.25">
      <c r="AL1918" s="31"/>
      <c r="AM1918" s="26"/>
      <c r="AN1918" s="32"/>
      <c r="AO1918" s="32"/>
      <c r="AP1918" s="24"/>
      <c r="AQ1918" s="24"/>
      <c r="AR1918" s="33"/>
      <c r="AS1918" s="34"/>
      <c r="AT1918" s="33"/>
      <c r="AV1918" s="21">
        <f>IF(AND($AL1918&lt;&gt;"",COUNTIF($AL$11:$AL1918,$AL1918)=1),1,0)</f>
        <v>0</v>
      </c>
      <c r="AW1918" s="21">
        <f t="shared" si="145"/>
        <v>0</v>
      </c>
      <c r="AX1918" s="21" t="str">
        <f t="shared" si="144"/>
        <v/>
      </c>
      <c r="AY1918" s="21" t="str">
        <f>IF(AND($AM1918&lt;&gt;"",$AS1918&lt;&gt;"✓"),SUMPRODUCT(($AM$11:$AM1918&lt;&gt;"")*($AS$11:$AS1918&lt;&gt;"✓")),"")</f>
        <v/>
      </c>
      <c r="AZ1918" s="21" t="str">
        <f>IF(AND($AM1918&lt;&gt;"",$AS1918="✓"),SUMPRODUCT(($AM$11:$AM1918&lt;&gt;"")*($AS$11:$AS1918="✓")),"")</f>
        <v/>
      </c>
      <c r="BA1918" s="21" t="str">
        <f>IF($AL1918="","",$AL1918&amp;"|"&amp;COUNTIF($AL$11:$AL1918,$AL1918))</f>
        <v/>
      </c>
    </row>
    <row r="1919" spans="38:53" ht="15" customHeight="1" x14ac:dyDescent="0.25">
      <c r="AL1919" s="17"/>
      <c r="AM1919" s="12"/>
      <c r="AN1919" s="18"/>
      <c r="AO1919" s="18"/>
      <c r="AP1919" s="10"/>
      <c r="AQ1919" s="10"/>
      <c r="AR1919" s="19"/>
      <c r="AS1919" s="20"/>
      <c r="AT1919" s="19"/>
      <c r="AV1919" s="21">
        <f>IF(AND($AL1919&lt;&gt;"",COUNTIF($AL$11:$AL1919,$AL1919)=1),1,0)</f>
        <v>0</v>
      </c>
      <c r="AW1919" s="21">
        <f t="shared" si="145"/>
        <v>0</v>
      </c>
      <c r="AX1919" s="21" t="str">
        <f t="shared" si="144"/>
        <v/>
      </c>
      <c r="AY1919" s="21" t="str">
        <f>IF(AND($AM1919&lt;&gt;"",$AS1919&lt;&gt;"✓"),SUMPRODUCT(($AM$11:$AM1919&lt;&gt;"")*($AS$11:$AS1919&lt;&gt;"✓")),"")</f>
        <v/>
      </c>
      <c r="AZ1919" s="21" t="str">
        <f>IF(AND($AM1919&lt;&gt;"",$AS1919="✓"),SUMPRODUCT(($AM$11:$AM1919&lt;&gt;"")*($AS$11:$AS1919="✓")),"")</f>
        <v/>
      </c>
      <c r="BA1919" s="21" t="str">
        <f>IF($AL1919="","",$AL1919&amp;"|"&amp;COUNTIF($AL$11:$AL1919,$AL1919))</f>
        <v/>
      </c>
    </row>
    <row r="1920" spans="38:53" ht="15" customHeight="1" x14ac:dyDescent="0.25">
      <c r="AL1920" s="31"/>
      <c r="AM1920" s="26"/>
      <c r="AN1920" s="32"/>
      <c r="AO1920" s="32"/>
      <c r="AP1920" s="24"/>
      <c r="AQ1920" s="24"/>
      <c r="AR1920" s="33"/>
      <c r="AS1920" s="34"/>
      <c r="AT1920" s="33"/>
      <c r="AV1920" s="21">
        <f>IF(AND($AL1920&lt;&gt;"",COUNTIF($AL$11:$AL1920,$AL1920)=1),1,0)</f>
        <v>0</v>
      </c>
      <c r="AW1920" s="21">
        <f t="shared" si="145"/>
        <v>0</v>
      </c>
      <c r="AX1920" s="21" t="str">
        <f t="shared" si="144"/>
        <v/>
      </c>
      <c r="AY1920" s="21" t="str">
        <f>IF(AND($AM1920&lt;&gt;"",$AS1920&lt;&gt;"✓"),SUMPRODUCT(($AM$11:$AM1920&lt;&gt;"")*($AS$11:$AS1920&lt;&gt;"✓")),"")</f>
        <v/>
      </c>
      <c r="AZ1920" s="21" t="str">
        <f>IF(AND($AM1920&lt;&gt;"",$AS1920="✓"),SUMPRODUCT(($AM$11:$AM1920&lt;&gt;"")*($AS$11:$AS1920="✓")),"")</f>
        <v/>
      </c>
      <c r="BA1920" s="21" t="str">
        <f>IF($AL1920="","",$AL1920&amp;"|"&amp;COUNTIF($AL$11:$AL1920,$AL1920))</f>
        <v/>
      </c>
    </row>
    <row r="1921" spans="38:53" ht="15" customHeight="1" x14ac:dyDescent="0.25">
      <c r="AL1921" s="17"/>
      <c r="AM1921" s="12"/>
      <c r="AN1921" s="18"/>
      <c r="AO1921" s="18"/>
      <c r="AP1921" s="10"/>
      <c r="AQ1921" s="10"/>
      <c r="AR1921" s="19"/>
      <c r="AS1921" s="20"/>
      <c r="AT1921" s="19"/>
      <c r="AV1921" s="21">
        <f>IF(AND($AL1921&lt;&gt;"",COUNTIF($AL$11:$AL1921,$AL1921)=1),1,0)</f>
        <v>0</v>
      </c>
      <c r="AW1921" s="21">
        <f t="shared" si="145"/>
        <v>0</v>
      </c>
      <c r="AX1921" s="21" t="str">
        <f t="shared" si="144"/>
        <v/>
      </c>
      <c r="AY1921" s="21" t="str">
        <f>IF(AND($AM1921&lt;&gt;"",$AS1921&lt;&gt;"✓"),SUMPRODUCT(($AM$11:$AM1921&lt;&gt;"")*($AS$11:$AS1921&lt;&gt;"✓")),"")</f>
        <v/>
      </c>
      <c r="AZ1921" s="21" t="str">
        <f>IF(AND($AM1921&lt;&gt;"",$AS1921="✓"),SUMPRODUCT(($AM$11:$AM1921&lt;&gt;"")*($AS$11:$AS1921="✓")),"")</f>
        <v/>
      </c>
      <c r="BA1921" s="21" t="str">
        <f>IF($AL1921="","",$AL1921&amp;"|"&amp;COUNTIF($AL$11:$AL1921,$AL1921))</f>
        <v/>
      </c>
    </row>
    <row r="1922" spans="38:53" ht="15" customHeight="1" x14ac:dyDescent="0.25">
      <c r="AL1922" s="31"/>
      <c r="AM1922" s="26"/>
      <c r="AN1922" s="32"/>
      <c r="AO1922" s="32"/>
      <c r="AP1922" s="24"/>
      <c r="AQ1922" s="24"/>
      <c r="AR1922" s="33"/>
      <c r="AS1922" s="34"/>
      <c r="AT1922" s="33"/>
      <c r="AV1922" s="21">
        <f>IF(AND($AL1922&lt;&gt;"",COUNTIF($AL$11:$AL1922,$AL1922)=1),1,0)</f>
        <v>0</v>
      </c>
      <c r="AW1922" s="21">
        <f t="shared" si="145"/>
        <v>0</v>
      </c>
      <c r="AX1922" s="21" t="str">
        <f t="shared" si="144"/>
        <v/>
      </c>
      <c r="AY1922" s="21" t="str">
        <f>IF(AND($AM1922&lt;&gt;"",$AS1922&lt;&gt;"✓"),SUMPRODUCT(($AM$11:$AM1922&lt;&gt;"")*($AS$11:$AS1922&lt;&gt;"✓")),"")</f>
        <v/>
      </c>
      <c r="AZ1922" s="21" t="str">
        <f>IF(AND($AM1922&lt;&gt;"",$AS1922="✓"),SUMPRODUCT(($AM$11:$AM1922&lt;&gt;"")*($AS$11:$AS1922="✓")),"")</f>
        <v/>
      </c>
      <c r="BA1922" s="21" t="str">
        <f>IF($AL1922="","",$AL1922&amp;"|"&amp;COUNTIF($AL$11:$AL1922,$AL1922))</f>
        <v/>
      </c>
    </row>
    <row r="1923" spans="38:53" ht="15" customHeight="1" x14ac:dyDescent="0.25">
      <c r="AL1923" s="17"/>
      <c r="AM1923" s="12"/>
      <c r="AN1923" s="18"/>
      <c r="AO1923" s="18"/>
      <c r="AP1923" s="10"/>
      <c r="AQ1923" s="10"/>
      <c r="AR1923" s="19"/>
      <c r="AS1923" s="20"/>
      <c r="AT1923" s="19"/>
      <c r="AV1923" s="21">
        <f>IF(AND($AL1923&lt;&gt;"",COUNTIF($AL$11:$AL1923,$AL1923)=1),1,0)</f>
        <v>0</v>
      </c>
      <c r="AW1923" s="21">
        <f t="shared" si="145"/>
        <v>0</v>
      </c>
      <c r="AX1923" s="21" t="str">
        <f t="shared" si="144"/>
        <v/>
      </c>
      <c r="AY1923" s="21" t="str">
        <f>IF(AND($AM1923&lt;&gt;"",$AS1923&lt;&gt;"✓"),SUMPRODUCT(($AM$11:$AM1923&lt;&gt;"")*($AS$11:$AS1923&lt;&gt;"✓")),"")</f>
        <v/>
      </c>
      <c r="AZ1923" s="21" t="str">
        <f>IF(AND($AM1923&lt;&gt;"",$AS1923="✓"),SUMPRODUCT(($AM$11:$AM1923&lt;&gt;"")*($AS$11:$AS1923="✓")),"")</f>
        <v/>
      </c>
      <c r="BA1923" s="21" t="str">
        <f>IF($AL1923="","",$AL1923&amp;"|"&amp;COUNTIF($AL$11:$AL1923,$AL1923))</f>
        <v/>
      </c>
    </row>
    <row r="1924" spans="38:53" ht="15" customHeight="1" x14ac:dyDescent="0.25">
      <c r="AL1924" s="31"/>
      <c r="AM1924" s="26"/>
      <c r="AN1924" s="32"/>
      <c r="AO1924" s="32"/>
      <c r="AP1924" s="24"/>
      <c r="AQ1924" s="24"/>
      <c r="AR1924" s="33"/>
      <c r="AS1924" s="34"/>
      <c r="AT1924" s="33"/>
      <c r="AV1924" s="21">
        <f>IF(AND($AL1924&lt;&gt;"",COUNTIF($AL$11:$AL1924,$AL1924)=1),1,0)</f>
        <v>0</v>
      </c>
      <c r="AW1924" s="21">
        <f t="shared" si="145"/>
        <v>0</v>
      </c>
      <c r="AX1924" s="21" t="str">
        <f t="shared" si="144"/>
        <v/>
      </c>
      <c r="AY1924" s="21" t="str">
        <f>IF(AND($AM1924&lt;&gt;"",$AS1924&lt;&gt;"✓"),SUMPRODUCT(($AM$11:$AM1924&lt;&gt;"")*($AS$11:$AS1924&lt;&gt;"✓")),"")</f>
        <v/>
      </c>
      <c r="AZ1924" s="21" t="str">
        <f>IF(AND($AM1924&lt;&gt;"",$AS1924="✓"),SUMPRODUCT(($AM$11:$AM1924&lt;&gt;"")*($AS$11:$AS1924="✓")),"")</f>
        <v/>
      </c>
      <c r="BA1924" s="21" t="str">
        <f>IF($AL1924="","",$AL1924&amp;"|"&amp;COUNTIF($AL$11:$AL1924,$AL1924))</f>
        <v/>
      </c>
    </row>
    <row r="1925" spans="38:53" ht="15" customHeight="1" x14ac:dyDescent="0.25">
      <c r="AL1925" s="17"/>
      <c r="AM1925" s="12"/>
      <c r="AN1925" s="18"/>
      <c r="AO1925" s="18"/>
      <c r="AP1925" s="10"/>
      <c r="AQ1925" s="10"/>
      <c r="AR1925" s="19"/>
      <c r="AS1925" s="20"/>
      <c r="AT1925" s="19"/>
      <c r="AV1925" s="21">
        <f>IF(AND($AL1925&lt;&gt;"",COUNTIF($AL$11:$AL1925,$AL1925)=1),1,0)</f>
        <v>0</v>
      </c>
      <c r="AW1925" s="21">
        <f t="shared" si="145"/>
        <v>0</v>
      </c>
      <c r="AX1925" s="21" t="str">
        <f t="shared" si="144"/>
        <v/>
      </c>
      <c r="AY1925" s="21" t="str">
        <f>IF(AND($AM1925&lt;&gt;"",$AS1925&lt;&gt;"✓"),SUMPRODUCT(($AM$11:$AM1925&lt;&gt;"")*($AS$11:$AS1925&lt;&gt;"✓")),"")</f>
        <v/>
      </c>
      <c r="AZ1925" s="21" t="str">
        <f>IF(AND($AM1925&lt;&gt;"",$AS1925="✓"),SUMPRODUCT(($AM$11:$AM1925&lt;&gt;"")*($AS$11:$AS1925="✓")),"")</f>
        <v/>
      </c>
      <c r="BA1925" s="21" t="str">
        <f>IF($AL1925="","",$AL1925&amp;"|"&amp;COUNTIF($AL$11:$AL1925,$AL1925))</f>
        <v/>
      </c>
    </row>
    <row r="1926" spans="38:53" ht="15" customHeight="1" x14ac:dyDescent="0.25">
      <c r="AL1926" s="31"/>
      <c r="AM1926" s="26"/>
      <c r="AN1926" s="32"/>
      <c r="AO1926" s="32"/>
      <c r="AP1926" s="24"/>
      <c r="AQ1926" s="24"/>
      <c r="AR1926" s="33"/>
      <c r="AS1926" s="34"/>
      <c r="AT1926" s="33"/>
      <c r="AV1926" s="21">
        <f>IF(AND($AL1926&lt;&gt;"",COUNTIF($AL$11:$AL1926,$AL1926)=1),1,0)</f>
        <v>0</v>
      </c>
      <c r="AW1926" s="21">
        <f t="shared" si="145"/>
        <v>0</v>
      </c>
      <c r="AX1926" s="21" t="str">
        <f t="shared" si="144"/>
        <v/>
      </c>
      <c r="AY1926" s="21" t="str">
        <f>IF(AND($AM1926&lt;&gt;"",$AS1926&lt;&gt;"✓"),SUMPRODUCT(($AM$11:$AM1926&lt;&gt;"")*($AS$11:$AS1926&lt;&gt;"✓")),"")</f>
        <v/>
      </c>
      <c r="AZ1926" s="21" t="str">
        <f>IF(AND($AM1926&lt;&gt;"",$AS1926="✓"),SUMPRODUCT(($AM$11:$AM1926&lt;&gt;"")*($AS$11:$AS1926="✓")),"")</f>
        <v/>
      </c>
      <c r="BA1926" s="21" t="str">
        <f>IF($AL1926="","",$AL1926&amp;"|"&amp;COUNTIF($AL$11:$AL1926,$AL1926))</f>
        <v/>
      </c>
    </row>
    <row r="1927" spans="38:53" ht="15" customHeight="1" x14ac:dyDescent="0.25">
      <c r="AL1927" s="17"/>
      <c r="AM1927" s="12"/>
      <c r="AN1927" s="18"/>
      <c r="AO1927" s="18"/>
      <c r="AP1927" s="10"/>
      <c r="AQ1927" s="10"/>
      <c r="AR1927" s="19"/>
      <c r="AS1927" s="20"/>
      <c r="AT1927" s="19"/>
      <c r="AV1927" s="21">
        <f>IF(AND($AL1927&lt;&gt;"",COUNTIF($AL$11:$AL1927,$AL1927)=1),1,0)</f>
        <v>0</v>
      </c>
      <c r="AW1927" s="21">
        <f t="shared" si="145"/>
        <v>0</v>
      </c>
      <c r="AX1927" s="21" t="str">
        <f t="shared" si="144"/>
        <v/>
      </c>
      <c r="AY1927" s="21" t="str">
        <f>IF(AND($AM1927&lt;&gt;"",$AS1927&lt;&gt;"✓"),SUMPRODUCT(($AM$11:$AM1927&lt;&gt;"")*($AS$11:$AS1927&lt;&gt;"✓")),"")</f>
        <v/>
      </c>
      <c r="AZ1927" s="21" t="str">
        <f>IF(AND($AM1927&lt;&gt;"",$AS1927="✓"),SUMPRODUCT(($AM$11:$AM1927&lt;&gt;"")*($AS$11:$AS1927="✓")),"")</f>
        <v/>
      </c>
      <c r="BA1927" s="21" t="str">
        <f>IF($AL1927="","",$AL1927&amp;"|"&amp;COUNTIF($AL$11:$AL1927,$AL1927))</f>
        <v/>
      </c>
    </row>
    <row r="1928" spans="38:53" ht="15" customHeight="1" x14ac:dyDescent="0.25">
      <c r="AL1928" s="31"/>
      <c r="AM1928" s="26"/>
      <c r="AN1928" s="32"/>
      <c r="AO1928" s="32"/>
      <c r="AP1928" s="24"/>
      <c r="AQ1928" s="24"/>
      <c r="AR1928" s="33"/>
      <c r="AS1928" s="34"/>
      <c r="AT1928" s="33"/>
      <c r="AV1928" s="21">
        <f>IF(AND($AL1928&lt;&gt;"",COUNTIF($AL$11:$AL1928,$AL1928)=1),1,0)</f>
        <v>0</v>
      </c>
      <c r="AW1928" s="21">
        <f t="shared" si="145"/>
        <v>0</v>
      </c>
      <c r="AX1928" s="21" t="str">
        <f t="shared" si="144"/>
        <v/>
      </c>
      <c r="AY1928" s="21" t="str">
        <f>IF(AND($AM1928&lt;&gt;"",$AS1928&lt;&gt;"✓"),SUMPRODUCT(($AM$11:$AM1928&lt;&gt;"")*($AS$11:$AS1928&lt;&gt;"✓")),"")</f>
        <v/>
      </c>
      <c r="AZ1928" s="21" t="str">
        <f>IF(AND($AM1928&lt;&gt;"",$AS1928="✓"),SUMPRODUCT(($AM$11:$AM1928&lt;&gt;"")*($AS$11:$AS1928="✓")),"")</f>
        <v/>
      </c>
      <c r="BA1928" s="21" t="str">
        <f>IF($AL1928="","",$AL1928&amp;"|"&amp;COUNTIF($AL$11:$AL1928,$AL1928))</f>
        <v/>
      </c>
    </row>
    <row r="1929" spans="38:53" ht="15" customHeight="1" x14ac:dyDescent="0.25">
      <c r="AL1929" s="17"/>
      <c r="AM1929" s="12"/>
      <c r="AN1929" s="18"/>
      <c r="AO1929" s="18"/>
      <c r="AP1929" s="10"/>
      <c r="AQ1929" s="10"/>
      <c r="AR1929" s="19"/>
      <c r="AS1929" s="20"/>
      <c r="AT1929" s="19"/>
      <c r="AV1929" s="21">
        <f>IF(AND($AL1929&lt;&gt;"",COUNTIF($AL$11:$AL1929,$AL1929)=1),1,0)</f>
        <v>0</v>
      </c>
      <c r="AW1929" s="21">
        <f t="shared" si="145"/>
        <v>0</v>
      </c>
      <c r="AX1929" s="21" t="str">
        <f t="shared" si="144"/>
        <v/>
      </c>
      <c r="AY1929" s="21" t="str">
        <f>IF(AND($AM1929&lt;&gt;"",$AS1929&lt;&gt;"✓"),SUMPRODUCT(($AM$11:$AM1929&lt;&gt;"")*($AS$11:$AS1929&lt;&gt;"✓")),"")</f>
        <v/>
      </c>
      <c r="AZ1929" s="21" t="str">
        <f>IF(AND($AM1929&lt;&gt;"",$AS1929="✓"),SUMPRODUCT(($AM$11:$AM1929&lt;&gt;"")*($AS$11:$AS1929="✓")),"")</f>
        <v/>
      </c>
      <c r="BA1929" s="21" t="str">
        <f>IF($AL1929="","",$AL1929&amp;"|"&amp;COUNTIF($AL$11:$AL1929,$AL1929))</f>
        <v/>
      </c>
    </row>
    <row r="1930" spans="38:53" ht="15" customHeight="1" x14ac:dyDescent="0.25">
      <c r="AL1930" s="31"/>
      <c r="AM1930" s="26"/>
      <c r="AN1930" s="32"/>
      <c r="AO1930" s="32"/>
      <c r="AP1930" s="24"/>
      <c r="AQ1930" s="24"/>
      <c r="AR1930" s="33"/>
      <c r="AS1930" s="34"/>
      <c r="AT1930" s="33"/>
      <c r="AV1930" s="21">
        <f>IF(AND($AL1930&lt;&gt;"",COUNTIF($AL$11:$AL1930,$AL1930)=1),1,0)</f>
        <v>0</v>
      </c>
      <c r="AW1930" s="21">
        <f t="shared" si="145"/>
        <v>0</v>
      </c>
      <c r="AX1930" s="21" t="str">
        <f t="shared" si="144"/>
        <v/>
      </c>
      <c r="AY1930" s="21" t="str">
        <f>IF(AND($AM1930&lt;&gt;"",$AS1930&lt;&gt;"✓"),SUMPRODUCT(($AM$11:$AM1930&lt;&gt;"")*($AS$11:$AS1930&lt;&gt;"✓")),"")</f>
        <v/>
      </c>
      <c r="AZ1930" s="21" t="str">
        <f>IF(AND($AM1930&lt;&gt;"",$AS1930="✓"),SUMPRODUCT(($AM$11:$AM1930&lt;&gt;"")*($AS$11:$AS1930="✓")),"")</f>
        <v/>
      </c>
      <c r="BA1930" s="21" t="str">
        <f>IF($AL1930="","",$AL1930&amp;"|"&amp;COUNTIF($AL$11:$AL1930,$AL1930))</f>
        <v/>
      </c>
    </row>
    <row r="1931" spans="38:53" ht="15" customHeight="1" x14ac:dyDescent="0.25">
      <c r="AL1931" s="17"/>
      <c r="AM1931" s="12"/>
      <c r="AN1931" s="18"/>
      <c r="AO1931" s="18"/>
      <c r="AP1931" s="10"/>
      <c r="AQ1931" s="10"/>
      <c r="AR1931" s="19"/>
      <c r="AS1931" s="20"/>
      <c r="AT1931" s="19"/>
      <c r="AV1931" s="21">
        <f>IF(AND($AL1931&lt;&gt;"",COUNTIF($AL$11:$AL1931,$AL1931)=1),1,0)</f>
        <v>0</v>
      </c>
      <c r="AW1931" s="21">
        <f t="shared" si="145"/>
        <v>0</v>
      </c>
      <c r="AX1931" s="21" t="str">
        <f t="shared" ref="AX1931:AX1994" si="146">IF(AV1931=1,AW1931,"")</f>
        <v/>
      </c>
      <c r="AY1931" s="21" t="str">
        <f>IF(AND($AM1931&lt;&gt;"",$AS1931&lt;&gt;"✓"),SUMPRODUCT(($AM$11:$AM1931&lt;&gt;"")*($AS$11:$AS1931&lt;&gt;"✓")),"")</f>
        <v/>
      </c>
      <c r="AZ1931" s="21" t="str">
        <f>IF(AND($AM1931&lt;&gt;"",$AS1931="✓"),SUMPRODUCT(($AM$11:$AM1931&lt;&gt;"")*($AS$11:$AS1931="✓")),"")</f>
        <v/>
      </c>
      <c r="BA1931" s="21" t="str">
        <f>IF($AL1931="","",$AL1931&amp;"|"&amp;COUNTIF($AL$11:$AL1931,$AL1931))</f>
        <v/>
      </c>
    </row>
    <row r="1932" spans="38:53" ht="15" customHeight="1" x14ac:dyDescent="0.25">
      <c r="AL1932" s="31"/>
      <c r="AM1932" s="26"/>
      <c r="AN1932" s="32"/>
      <c r="AO1932" s="32"/>
      <c r="AP1932" s="24"/>
      <c r="AQ1932" s="24"/>
      <c r="AR1932" s="33"/>
      <c r="AS1932" s="34"/>
      <c r="AT1932" s="33"/>
      <c r="AV1932" s="21">
        <f>IF(AND($AL1932&lt;&gt;"",COUNTIF($AL$11:$AL1932,$AL1932)=1),1,0)</f>
        <v>0</v>
      </c>
      <c r="AW1932" s="21">
        <f t="shared" ref="AW1932:AW1995" si="147">AW1931+AV1932</f>
        <v>0</v>
      </c>
      <c r="AX1932" s="21" t="str">
        <f t="shared" si="146"/>
        <v/>
      </c>
      <c r="AY1932" s="21" t="str">
        <f>IF(AND($AM1932&lt;&gt;"",$AS1932&lt;&gt;"✓"),SUMPRODUCT(($AM$11:$AM1932&lt;&gt;"")*($AS$11:$AS1932&lt;&gt;"✓")),"")</f>
        <v/>
      </c>
      <c r="AZ1932" s="21" t="str">
        <f>IF(AND($AM1932&lt;&gt;"",$AS1932="✓"),SUMPRODUCT(($AM$11:$AM1932&lt;&gt;"")*($AS$11:$AS1932="✓")),"")</f>
        <v/>
      </c>
      <c r="BA1932" s="21" t="str">
        <f>IF($AL1932="","",$AL1932&amp;"|"&amp;COUNTIF($AL$11:$AL1932,$AL1932))</f>
        <v/>
      </c>
    </row>
    <row r="1933" spans="38:53" ht="15" customHeight="1" x14ac:dyDescent="0.25">
      <c r="AL1933" s="17"/>
      <c r="AM1933" s="12"/>
      <c r="AN1933" s="18"/>
      <c r="AO1933" s="18"/>
      <c r="AP1933" s="10"/>
      <c r="AQ1933" s="10"/>
      <c r="AR1933" s="19"/>
      <c r="AS1933" s="20"/>
      <c r="AT1933" s="19"/>
      <c r="AV1933" s="21">
        <f>IF(AND($AL1933&lt;&gt;"",COUNTIF($AL$11:$AL1933,$AL1933)=1),1,0)</f>
        <v>0</v>
      </c>
      <c r="AW1933" s="21">
        <f t="shared" si="147"/>
        <v>0</v>
      </c>
      <c r="AX1933" s="21" t="str">
        <f t="shared" si="146"/>
        <v/>
      </c>
      <c r="AY1933" s="21" t="str">
        <f>IF(AND($AM1933&lt;&gt;"",$AS1933&lt;&gt;"✓"),SUMPRODUCT(($AM$11:$AM1933&lt;&gt;"")*($AS$11:$AS1933&lt;&gt;"✓")),"")</f>
        <v/>
      </c>
      <c r="AZ1933" s="21" t="str">
        <f>IF(AND($AM1933&lt;&gt;"",$AS1933="✓"),SUMPRODUCT(($AM$11:$AM1933&lt;&gt;"")*($AS$11:$AS1933="✓")),"")</f>
        <v/>
      </c>
      <c r="BA1933" s="21" t="str">
        <f>IF($AL1933="","",$AL1933&amp;"|"&amp;COUNTIF($AL$11:$AL1933,$AL1933))</f>
        <v/>
      </c>
    </row>
    <row r="1934" spans="38:53" ht="15" customHeight="1" x14ac:dyDescent="0.25">
      <c r="AL1934" s="31"/>
      <c r="AM1934" s="26"/>
      <c r="AN1934" s="32"/>
      <c r="AO1934" s="32"/>
      <c r="AP1934" s="24"/>
      <c r="AQ1934" s="24"/>
      <c r="AR1934" s="33"/>
      <c r="AS1934" s="34"/>
      <c r="AT1934" s="33"/>
      <c r="AV1934" s="21">
        <f>IF(AND($AL1934&lt;&gt;"",COUNTIF($AL$11:$AL1934,$AL1934)=1),1,0)</f>
        <v>0</v>
      </c>
      <c r="AW1934" s="21">
        <f t="shared" si="147"/>
        <v>0</v>
      </c>
      <c r="AX1934" s="21" t="str">
        <f t="shared" si="146"/>
        <v/>
      </c>
      <c r="AY1934" s="21" t="str">
        <f>IF(AND($AM1934&lt;&gt;"",$AS1934&lt;&gt;"✓"),SUMPRODUCT(($AM$11:$AM1934&lt;&gt;"")*($AS$11:$AS1934&lt;&gt;"✓")),"")</f>
        <v/>
      </c>
      <c r="AZ1934" s="21" t="str">
        <f>IF(AND($AM1934&lt;&gt;"",$AS1934="✓"),SUMPRODUCT(($AM$11:$AM1934&lt;&gt;"")*($AS$11:$AS1934="✓")),"")</f>
        <v/>
      </c>
      <c r="BA1934" s="21" t="str">
        <f>IF($AL1934="","",$AL1934&amp;"|"&amp;COUNTIF($AL$11:$AL1934,$AL1934))</f>
        <v/>
      </c>
    </row>
    <row r="1935" spans="38:53" ht="15" customHeight="1" x14ac:dyDescent="0.25">
      <c r="AL1935" s="17"/>
      <c r="AM1935" s="12"/>
      <c r="AN1935" s="18"/>
      <c r="AO1935" s="18"/>
      <c r="AP1935" s="10"/>
      <c r="AQ1935" s="10"/>
      <c r="AR1935" s="19"/>
      <c r="AS1935" s="20"/>
      <c r="AT1935" s="19"/>
      <c r="AV1935" s="21">
        <f>IF(AND($AL1935&lt;&gt;"",COUNTIF($AL$11:$AL1935,$AL1935)=1),1,0)</f>
        <v>0</v>
      </c>
      <c r="AW1935" s="21">
        <f t="shared" si="147"/>
        <v>0</v>
      </c>
      <c r="AX1935" s="21" t="str">
        <f t="shared" si="146"/>
        <v/>
      </c>
      <c r="AY1935" s="21" t="str">
        <f>IF(AND($AM1935&lt;&gt;"",$AS1935&lt;&gt;"✓"),SUMPRODUCT(($AM$11:$AM1935&lt;&gt;"")*($AS$11:$AS1935&lt;&gt;"✓")),"")</f>
        <v/>
      </c>
      <c r="AZ1935" s="21" t="str">
        <f>IF(AND($AM1935&lt;&gt;"",$AS1935="✓"),SUMPRODUCT(($AM$11:$AM1935&lt;&gt;"")*($AS$11:$AS1935="✓")),"")</f>
        <v/>
      </c>
      <c r="BA1935" s="21" t="str">
        <f>IF($AL1935="","",$AL1935&amp;"|"&amp;COUNTIF($AL$11:$AL1935,$AL1935))</f>
        <v/>
      </c>
    </row>
    <row r="1936" spans="38:53" ht="15" customHeight="1" x14ac:dyDescent="0.25">
      <c r="AL1936" s="31"/>
      <c r="AM1936" s="26"/>
      <c r="AN1936" s="32"/>
      <c r="AO1936" s="32"/>
      <c r="AP1936" s="24"/>
      <c r="AQ1936" s="24"/>
      <c r="AR1936" s="33"/>
      <c r="AS1936" s="34"/>
      <c r="AT1936" s="33"/>
      <c r="AV1936" s="21">
        <f>IF(AND($AL1936&lt;&gt;"",COUNTIF($AL$11:$AL1936,$AL1936)=1),1,0)</f>
        <v>0</v>
      </c>
      <c r="AW1936" s="21">
        <f t="shared" si="147"/>
        <v>0</v>
      </c>
      <c r="AX1936" s="21" t="str">
        <f t="shared" si="146"/>
        <v/>
      </c>
      <c r="AY1936" s="21" t="str">
        <f>IF(AND($AM1936&lt;&gt;"",$AS1936&lt;&gt;"✓"),SUMPRODUCT(($AM$11:$AM1936&lt;&gt;"")*($AS$11:$AS1936&lt;&gt;"✓")),"")</f>
        <v/>
      </c>
      <c r="AZ1936" s="21" t="str">
        <f>IF(AND($AM1936&lt;&gt;"",$AS1936="✓"),SUMPRODUCT(($AM$11:$AM1936&lt;&gt;"")*($AS$11:$AS1936="✓")),"")</f>
        <v/>
      </c>
      <c r="BA1936" s="21" t="str">
        <f>IF($AL1936="","",$AL1936&amp;"|"&amp;COUNTIF($AL$11:$AL1936,$AL1936))</f>
        <v/>
      </c>
    </row>
    <row r="1937" spans="38:53" ht="15" customHeight="1" x14ac:dyDescent="0.25">
      <c r="AL1937" s="17"/>
      <c r="AM1937" s="12"/>
      <c r="AN1937" s="18"/>
      <c r="AO1937" s="18"/>
      <c r="AP1937" s="10"/>
      <c r="AQ1937" s="10"/>
      <c r="AR1937" s="19"/>
      <c r="AS1937" s="20"/>
      <c r="AT1937" s="19"/>
      <c r="AV1937" s="21">
        <f>IF(AND($AL1937&lt;&gt;"",COUNTIF($AL$11:$AL1937,$AL1937)=1),1,0)</f>
        <v>0</v>
      </c>
      <c r="AW1937" s="21">
        <f t="shared" si="147"/>
        <v>0</v>
      </c>
      <c r="AX1937" s="21" t="str">
        <f t="shared" si="146"/>
        <v/>
      </c>
      <c r="AY1937" s="21" t="str">
        <f>IF(AND($AM1937&lt;&gt;"",$AS1937&lt;&gt;"✓"),SUMPRODUCT(($AM$11:$AM1937&lt;&gt;"")*($AS$11:$AS1937&lt;&gt;"✓")),"")</f>
        <v/>
      </c>
      <c r="AZ1937" s="21" t="str">
        <f>IF(AND($AM1937&lt;&gt;"",$AS1937="✓"),SUMPRODUCT(($AM$11:$AM1937&lt;&gt;"")*($AS$11:$AS1937="✓")),"")</f>
        <v/>
      </c>
      <c r="BA1937" s="21" t="str">
        <f>IF($AL1937="","",$AL1937&amp;"|"&amp;COUNTIF($AL$11:$AL1937,$AL1937))</f>
        <v/>
      </c>
    </row>
    <row r="1938" spans="38:53" ht="15" customHeight="1" x14ac:dyDescent="0.25">
      <c r="AL1938" s="31"/>
      <c r="AM1938" s="26"/>
      <c r="AN1938" s="32"/>
      <c r="AO1938" s="32"/>
      <c r="AP1938" s="24"/>
      <c r="AQ1938" s="24"/>
      <c r="AR1938" s="33"/>
      <c r="AS1938" s="34"/>
      <c r="AT1938" s="33"/>
      <c r="AV1938" s="21">
        <f>IF(AND($AL1938&lt;&gt;"",COUNTIF($AL$11:$AL1938,$AL1938)=1),1,0)</f>
        <v>0</v>
      </c>
      <c r="AW1938" s="21">
        <f t="shared" si="147"/>
        <v>0</v>
      </c>
      <c r="AX1938" s="21" t="str">
        <f t="shared" si="146"/>
        <v/>
      </c>
      <c r="AY1938" s="21" t="str">
        <f>IF(AND($AM1938&lt;&gt;"",$AS1938&lt;&gt;"✓"),SUMPRODUCT(($AM$11:$AM1938&lt;&gt;"")*($AS$11:$AS1938&lt;&gt;"✓")),"")</f>
        <v/>
      </c>
      <c r="AZ1938" s="21" t="str">
        <f>IF(AND($AM1938&lt;&gt;"",$AS1938="✓"),SUMPRODUCT(($AM$11:$AM1938&lt;&gt;"")*($AS$11:$AS1938="✓")),"")</f>
        <v/>
      </c>
      <c r="BA1938" s="21" t="str">
        <f>IF($AL1938="","",$AL1938&amp;"|"&amp;COUNTIF($AL$11:$AL1938,$AL1938))</f>
        <v/>
      </c>
    </row>
    <row r="1939" spans="38:53" ht="15" customHeight="1" x14ac:dyDescent="0.25">
      <c r="AL1939" s="17"/>
      <c r="AM1939" s="12"/>
      <c r="AN1939" s="18"/>
      <c r="AO1939" s="18"/>
      <c r="AP1939" s="10"/>
      <c r="AQ1939" s="10"/>
      <c r="AR1939" s="19"/>
      <c r="AS1939" s="20"/>
      <c r="AT1939" s="19"/>
      <c r="AV1939" s="21">
        <f>IF(AND($AL1939&lt;&gt;"",COUNTIF($AL$11:$AL1939,$AL1939)=1),1,0)</f>
        <v>0</v>
      </c>
      <c r="AW1939" s="21">
        <f t="shared" si="147"/>
        <v>0</v>
      </c>
      <c r="AX1939" s="21" t="str">
        <f t="shared" si="146"/>
        <v/>
      </c>
      <c r="AY1939" s="21" t="str">
        <f>IF(AND($AM1939&lt;&gt;"",$AS1939&lt;&gt;"✓"),SUMPRODUCT(($AM$11:$AM1939&lt;&gt;"")*($AS$11:$AS1939&lt;&gt;"✓")),"")</f>
        <v/>
      </c>
      <c r="AZ1939" s="21" t="str">
        <f>IF(AND($AM1939&lt;&gt;"",$AS1939="✓"),SUMPRODUCT(($AM$11:$AM1939&lt;&gt;"")*($AS$11:$AS1939="✓")),"")</f>
        <v/>
      </c>
      <c r="BA1939" s="21" t="str">
        <f>IF($AL1939="","",$AL1939&amp;"|"&amp;COUNTIF($AL$11:$AL1939,$AL1939))</f>
        <v/>
      </c>
    </row>
    <row r="1940" spans="38:53" ht="15" customHeight="1" x14ac:dyDescent="0.25">
      <c r="AL1940" s="31"/>
      <c r="AM1940" s="26"/>
      <c r="AN1940" s="32"/>
      <c r="AO1940" s="32"/>
      <c r="AP1940" s="24"/>
      <c r="AQ1940" s="24"/>
      <c r="AR1940" s="33"/>
      <c r="AS1940" s="34"/>
      <c r="AT1940" s="33"/>
      <c r="AV1940" s="21">
        <f>IF(AND($AL1940&lt;&gt;"",COUNTIF($AL$11:$AL1940,$AL1940)=1),1,0)</f>
        <v>0</v>
      </c>
      <c r="AW1940" s="21">
        <f t="shared" si="147"/>
        <v>0</v>
      </c>
      <c r="AX1940" s="21" t="str">
        <f t="shared" si="146"/>
        <v/>
      </c>
      <c r="AY1940" s="21" t="str">
        <f>IF(AND($AM1940&lt;&gt;"",$AS1940&lt;&gt;"✓"),SUMPRODUCT(($AM$11:$AM1940&lt;&gt;"")*($AS$11:$AS1940&lt;&gt;"✓")),"")</f>
        <v/>
      </c>
      <c r="AZ1940" s="21" t="str">
        <f>IF(AND($AM1940&lt;&gt;"",$AS1940="✓"),SUMPRODUCT(($AM$11:$AM1940&lt;&gt;"")*($AS$11:$AS1940="✓")),"")</f>
        <v/>
      </c>
      <c r="BA1940" s="21" t="str">
        <f>IF($AL1940="","",$AL1940&amp;"|"&amp;COUNTIF($AL$11:$AL1940,$AL1940))</f>
        <v/>
      </c>
    </row>
    <row r="1941" spans="38:53" ht="15" customHeight="1" x14ac:dyDescent="0.25">
      <c r="AL1941" s="17"/>
      <c r="AM1941" s="12"/>
      <c r="AN1941" s="18"/>
      <c r="AO1941" s="18"/>
      <c r="AP1941" s="10"/>
      <c r="AQ1941" s="10"/>
      <c r="AR1941" s="19"/>
      <c r="AS1941" s="20"/>
      <c r="AT1941" s="19"/>
      <c r="AV1941" s="21">
        <f>IF(AND($AL1941&lt;&gt;"",COUNTIF($AL$11:$AL1941,$AL1941)=1),1,0)</f>
        <v>0</v>
      </c>
      <c r="AW1941" s="21">
        <f t="shared" si="147"/>
        <v>0</v>
      </c>
      <c r="AX1941" s="21" t="str">
        <f t="shared" si="146"/>
        <v/>
      </c>
      <c r="AY1941" s="21" t="str">
        <f>IF(AND($AM1941&lt;&gt;"",$AS1941&lt;&gt;"✓"),SUMPRODUCT(($AM$11:$AM1941&lt;&gt;"")*($AS$11:$AS1941&lt;&gt;"✓")),"")</f>
        <v/>
      </c>
      <c r="AZ1941" s="21" t="str">
        <f>IF(AND($AM1941&lt;&gt;"",$AS1941="✓"),SUMPRODUCT(($AM$11:$AM1941&lt;&gt;"")*($AS$11:$AS1941="✓")),"")</f>
        <v/>
      </c>
      <c r="BA1941" s="21" t="str">
        <f>IF($AL1941="","",$AL1941&amp;"|"&amp;COUNTIF($AL$11:$AL1941,$AL1941))</f>
        <v/>
      </c>
    </row>
    <row r="1942" spans="38:53" ht="15" customHeight="1" x14ac:dyDescent="0.25">
      <c r="AL1942" s="31"/>
      <c r="AM1942" s="26"/>
      <c r="AN1942" s="32"/>
      <c r="AO1942" s="32"/>
      <c r="AP1942" s="24"/>
      <c r="AQ1942" s="24"/>
      <c r="AR1942" s="33"/>
      <c r="AS1942" s="34"/>
      <c r="AT1942" s="33"/>
      <c r="AV1942" s="21">
        <f>IF(AND($AL1942&lt;&gt;"",COUNTIF($AL$11:$AL1942,$AL1942)=1),1,0)</f>
        <v>0</v>
      </c>
      <c r="AW1942" s="21">
        <f t="shared" si="147"/>
        <v>0</v>
      </c>
      <c r="AX1942" s="21" t="str">
        <f t="shared" si="146"/>
        <v/>
      </c>
      <c r="AY1942" s="21" t="str">
        <f>IF(AND($AM1942&lt;&gt;"",$AS1942&lt;&gt;"✓"),SUMPRODUCT(($AM$11:$AM1942&lt;&gt;"")*($AS$11:$AS1942&lt;&gt;"✓")),"")</f>
        <v/>
      </c>
      <c r="AZ1942" s="21" t="str">
        <f>IF(AND($AM1942&lt;&gt;"",$AS1942="✓"),SUMPRODUCT(($AM$11:$AM1942&lt;&gt;"")*($AS$11:$AS1942="✓")),"")</f>
        <v/>
      </c>
      <c r="BA1942" s="21" t="str">
        <f>IF($AL1942="","",$AL1942&amp;"|"&amp;COUNTIF($AL$11:$AL1942,$AL1942))</f>
        <v/>
      </c>
    </row>
    <row r="1943" spans="38:53" ht="15" customHeight="1" x14ac:dyDescent="0.25">
      <c r="AL1943" s="17"/>
      <c r="AM1943" s="12"/>
      <c r="AN1943" s="18"/>
      <c r="AO1943" s="18"/>
      <c r="AP1943" s="10"/>
      <c r="AQ1943" s="10"/>
      <c r="AR1943" s="19"/>
      <c r="AS1943" s="20"/>
      <c r="AT1943" s="19"/>
      <c r="AV1943" s="21">
        <f>IF(AND($AL1943&lt;&gt;"",COUNTIF($AL$11:$AL1943,$AL1943)=1),1,0)</f>
        <v>0</v>
      </c>
      <c r="AW1943" s="21">
        <f t="shared" si="147"/>
        <v>0</v>
      </c>
      <c r="AX1943" s="21" t="str">
        <f t="shared" si="146"/>
        <v/>
      </c>
      <c r="AY1943" s="21" t="str">
        <f>IF(AND($AM1943&lt;&gt;"",$AS1943&lt;&gt;"✓"),SUMPRODUCT(($AM$11:$AM1943&lt;&gt;"")*($AS$11:$AS1943&lt;&gt;"✓")),"")</f>
        <v/>
      </c>
      <c r="AZ1943" s="21" t="str">
        <f>IF(AND($AM1943&lt;&gt;"",$AS1943="✓"),SUMPRODUCT(($AM$11:$AM1943&lt;&gt;"")*($AS$11:$AS1943="✓")),"")</f>
        <v/>
      </c>
      <c r="BA1943" s="21" t="str">
        <f>IF($AL1943="","",$AL1943&amp;"|"&amp;COUNTIF($AL$11:$AL1943,$AL1943))</f>
        <v/>
      </c>
    </row>
    <row r="1944" spans="38:53" ht="15" customHeight="1" x14ac:dyDescent="0.25">
      <c r="AL1944" s="31"/>
      <c r="AM1944" s="26"/>
      <c r="AN1944" s="32"/>
      <c r="AO1944" s="32"/>
      <c r="AP1944" s="24"/>
      <c r="AQ1944" s="24"/>
      <c r="AR1944" s="33"/>
      <c r="AS1944" s="34"/>
      <c r="AT1944" s="33"/>
      <c r="AV1944" s="21">
        <f>IF(AND($AL1944&lt;&gt;"",COUNTIF($AL$11:$AL1944,$AL1944)=1),1,0)</f>
        <v>0</v>
      </c>
      <c r="AW1944" s="21">
        <f t="shared" si="147"/>
        <v>0</v>
      </c>
      <c r="AX1944" s="21" t="str">
        <f t="shared" si="146"/>
        <v/>
      </c>
      <c r="AY1944" s="21" t="str">
        <f>IF(AND($AM1944&lt;&gt;"",$AS1944&lt;&gt;"✓"),SUMPRODUCT(($AM$11:$AM1944&lt;&gt;"")*($AS$11:$AS1944&lt;&gt;"✓")),"")</f>
        <v/>
      </c>
      <c r="AZ1944" s="21" t="str">
        <f>IF(AND($AM1944&lt;&gt;"",$AS1944="✓"),SUMPRODUCT(($AM$11:$AM1944&lt;&gt;"")*($AS$11:$AS1944="✓")),"")</f>
        <v/>
      </c>
      <c r="BA1944" s="21" t="str">
        <f>IF($AL1944="","",$AL1944&amp;"|"&amp;COUNTIF($AL$11:$AL1944,$AL1944))</f>
        <v/>
      </c>
    </row>
    <row r="1945" spans="38:53" ht="15" customHeight="1" x14ac:dyDescent="0.25">
      <c r="AL1945" s="17"/>
      <c r="AM1945" s="12"/>
      <c r="AN1945" s="18"/>
      <c r="AO1945" s="18"/>
      <c r="AP1945" s="10"/>
      <c r="AQ1945" s="10"/>
      <c r="AR1945" s="19"/>
      <c r="AS1945" s="20"/>
      <c r="AT1945" s="19"/>
      <c r="AV1945" s="21">
        <f>IF(AND($AL1945&lt;&gt;"",COUNTIF($AL$11:$AL1945,$AL1945)=1),1,0)</f>
        <v>0</v>
      </c>
      <c r="AW1945" s="21">
        <f t="shared" si="147"/>
        <v>0</v>
      </c>
      <c r="AX1945" s="21" t="str">
        <f t="shared" si="146"/>
        <v/>
      </c>
      <c r="AY1945" s="21" t="str">
        <f>IF(AND($AM1945&lt;&gt;"",$AS1945&lt;&gt;"✓"),SUMPRODUCT(($AM$11:$AM1945&lt;&gt;"")*($AS$11:$AS1945&lt;&gt;"✓")),"")</f>
        <v/>
      </c>
      <c r="AZ1945" s="21" t="str">
        <f>IF(AND($AM1945&lt;&gt;"",$AS1945="✓"),SUMPRODUCT(($AM$11:$AM1945&lt;&gt;"")*($AS$11:$AS1945="✓")),"")</f>
        <v/>
      </c>
      <c r="BA1945" s="21" t="str">
        <f>IF($AL1945="","",$AL1945&amp;"|"&amp;COUNTIF($AL$11:$AL1945,$AL1945))</f>
        <v/>
      </c>
    </row>
    <row r="1946" spans="38:53" ht="15" customHeight="1" x14ac:dyDescent="0.25">
      <c r="AL1946" s="31"/>
      <c r="AM1946" s="26"/>
      <c r="AN1946" s="32"/>
      <c r="AO1946" s="32"/>
      <c r="AP1946" s="24"/>
      <c r="AQ1946" s="24"/>
      <c r="AR1946" s="33"/>
      <c r="AS1946" s="34"/>
      <c r="AT1946" s="33"/>
      <c r="AV1946" s="21">
        <f>IF(AND($AL1946&lt;&gt;"",COUNTIF($AL$11:$AL1946,$AL1946)=1),1,0)</f>
        <v>0</v>
      </c>
      <c r="AW1946" s="21">
        <f t="shared" si="147"/>
        <v>0</v>
      </c>
      <c r="AX1946" s="21" t="str">
        <f t="shared" si="146"/>
        <v/>
      </c>
      <c r="AY1946" s="21" t="str">
        <f>IF(AND($AM1946&lt;&gt;"",$AS1946&lt;&gt;"✓"),SUMPRODUCT(($AM$11:$AM1946&lt;&gt;"")*($AS$11:$AS1946&lt;&gt;"✓")),"")</f>
        <v/>
      </c>
      <c r="AZ1946" s="21" t="str">
        <f>IF(AND($AM1946&lt;&gt;"",$AS1946="✓"),SUMPRODUCT(($AM$11:$AM1946&lt;&gt;"")*($AS$11:$AS1946="✓")),"")</f>
        <v/>
      </c>
      <c r="BA1946" s="21" t="str">
        <f>IF($AL1946="","",$AL1946&amp;"|"&amp;COUNTIF($AL$11:$AL1946,$AL1946))</f>
        <v/>
      </c>
    </row>
    <row r="1947" spans="38:53" ht="15" customHeight="1" x14ac:dyDescent="0.25">
      <c r="AL1947" s="17"/>
      <c r="AM1947" s="12"/>
      <c r="AN1947" s="18"/>
      <c r="AO1947" s="18"/>
      <c r="AP1947" s="10"/>
      <c r="AQ1947" s="10"/>
      <c r="AR1947" s="19"/>
      <c r="AS1947" s="20"/>
      <c r="AT1947" s="19"/>
      <c r="AV1947" s="21">
        <f>IF(AND($AL1947&lt;&gt;"",COUNTIF($AL$11:$AL1947,$AL1947)=1),1,0)</f>
        <v>0</v>
      </c>
      <c r="AW1947" s="21">
        <f t="shared" si="147"/>
        <v>0</v>
      </c>
      <c r="AX1947" s="21" t="str">
        <f t="shared" si="146"/>
        <v/>
      </c>
      <c r="AY1947" s="21" t="str">
        <f>IF(AND($AM1947&lt;&gt;"",$AS1947&lt;&gt;"✓"),SUMPRODUCT(($AM$11:$AM1947&lt;&gt;"")*($AS$11:$AS1947&lt;&gt;"✓")),"")</f>
        <v/>
      </c>
      <c r="AZ1947" s="21" t="str">
        <f>IF(AND($AM1947&lt;&gt;"",$AS1947="✓"),SUMPRODUCT(($AM$11:$AM1947&lt;&gt;"")*($AS$11:$AS1947="✓")),"")</f>
        <v/>
      </c>
      <c r="BA1947" s="21" t="str">
        <f>IF($AL1947="","",$AL1947&amp;"|"&amp;COUNTIF($AL$11:$AL1947,$AL1947))</f>
        <v/>
      </c>
    </row>
    <row r="1948" spans="38:53" ht="15" customHeight="1" x14ac:dyDescent="0.25">
      <c r="AL1948" s="31"/>
      <c r="AM1948" s="26"/>
      <c r="AN1948" s="32"/>
      <c r="AO1948" s="32"/>
      <c r="AP1948" s="24"/>
      <c r="AQ1948" s="24"/>
      <c r="AR1948" s="33"/>
      <c r="AS1948" s="34"/>
      <c r="AT1948" s="33"/>
      <c r="AV1948" s="21">
        <f>IF(AND($AL1948&lt;&gt;"",COUNTIF($AL$11:$AL1948,$AL1948)=1),1,0)</f>
        <v>0</v>
      </c>
      <c r="AW1948" s="21">
        <f t="shared" si="147"/>
        <v>0</v>
      </c>
      <c r="AX1948" s="21" t="str">
        <f t="shared" si="146"/>
        <v/>
      </c>
      <c r="AY1948" s="21" t="str">
        <f>IF(AND($AM1948&lt;&gt;"",$AS1948&lt;&gt;"✓"),SUMPRODUCT(($AM$11:$AM1948&lt;&gt;"")*($AS$11:$AS1948&lt;&gt;"✓")),"")</f>
        <v/>
      </c>
      <c r="AZ1948" s="21" t="str">
        <f>IF(AND($AM1948&lt;&gt;"",$AS1948="✓"),SUMPRODUCT(($AM$11:$AM1948&lt;&gt;"")*($AS$11:$AS1948="✓")),"")</f>
        <v/>
      </c>
      <c r="BA1948" s="21" t="str">
        <f>IF($AL1948="","",$AL1948&amp;"|"&amp;COUNTIF($AL$11:$AL1948,$AL1948))</f>
        <v/>
      </c>
    </row>
    <row r="1949" spans="38:53" ht="15" customHeight="1" x14ac:dyDescent="0.25">
      <c r="AL1949" s="17"/>
      <c r="AM1949" s="12"/>
      <c r="AN1949" s="18"/>
      <c r="AO1949" s="18"/>
      <c r="AP1949" s="10"/>
      <c r="AQ1949" s="10"/>
      <c r="AR1949" s="19"/>
      <c r="AS1949" s="20"/>
      <c r="AT1949" s="19"/>
      <c r="AV1949" s="21">
        <f>IF(AND($AL1949&lt;&gt;"",COUNTIF($AL$11:$AL1949,$AL1949)=1),1,0)</f>
        <v>0</v>
      </c>
      <c r="AW1949" s="21">
        <f t="shared" si="147"/>
        <v>0</v>
      </c>
      <c r="AX1949" s="21" t="str">
        <f t="shared" si="146"/>
        <v/>
      </c>
      <c r="AY1949" s="21" t="str">
        <f>IF(AND($AM1949&lt;&gt;"",$AS1949&lt;&gt;"✓"),SUMPRODUCT(($AM$11:$AM1949&lt;&gt;"")*($AS$11:$AS1949&lt;&gt;"✓")),"")</f>
        <v/>
      </c>
      <c r="AZ1949" s="21" t="str">
        <f>IF(AND($AM1949&lt;&gt;"",$AS1949="✓"),SUMPRODUCT(($AM$11:$AM1949&lt;&gt;"")*($AS$11:$AS1949="✓")),"")</f>
        <v/>
      </c>
      <c r="BA1949" s="21" t="str">
        <f>IF($AL1949="","",$AL1949&amp;"|"&amp;COUNTIF($AL$11:$AL1949,$AL1949))</f>
        <v/>
      </c>
    </row>
    <row r="1950" spans="38:53" ht="15" customHeight="1" x14ac:dyDescent="0.25">
      <c r="AL1950" s="31"/>
      <c r="AM1950" s="26"/>
      <c r="AN1950" s="32"/>
      <c r="AO1950" s="32"/>
      <c r="AP1950" s="24"/>
      <c r="AQ1950" s="24"/>
      <c r="AR1950" s="33"/>
      <c r="AS1950" s="34"/>
      <c r="AT1950" s="33"/>
      <c r="AV1950" s="21">
        <f>IF(AND($AL1950&lt;&gt;"",COUNTIF($AL$11:$AL1950,$AL1950)=1),1,0)</f>
        <v>0</v>
      </c>
      <c r="AW1950" s="21">
        <f t="shared" si="147"/>
        <v>0</v>
      </c>
      <c r="AX1950" s="21" t="str">
        <f t="shared" si="146"/>
        <v/>
      </c>
      <c r="AY1950" s="21" t="str">
        <f>IF(AND($AM1950&lt;&gt;"",$AS1950&lt;&gt;"✓"),SUMPRODUCT(($AM$11:$AM1950&lt;&gt;"")*($AS$11:$AS1950&lt;&gt;"✓")),"")</f>
        <v/>
      </c>
      <c r="AZ1950" s="21" t="str">
        <f>IF(AND($AM1950&lt;&gt;"",$AS1950="✓"),SUMPRODUCT(($AM$11:$AM1950&lt;&gt;"")*($AS$11:$AS1950="✓")),"")</f>
        <v/>
      </c>
      <c r="BA1950" s="21" t="str">
        <f>IF($AL1950="","",$AL1950&amp;"|"&amp;COUNTIF($AL$11:$AL1950,$AL1950))</f>
        <v/>
      </c>
    </row>
    <row r="1951" spans="38:53" ht="15" customHeight="1" x14ac:dyDescent="0.25">
      <c r="AL1951" s="17"/>
      <c r="AM1951" s="12"/>
      <c r="AN1951" s="18"/>
      <c r="AO1951" s="18"/>
      <c r="AP1951" s="10"/>
      <c r="AQ1951" s="10"/>
      <c r="AR1951" s="19"/>
      <c r="AS1951" s="20"/>
      <c r="AT1951" s="19"/>
      <c r="AV1951" s="21">
        <f>IF(AND($AL1951&lt;&gt;"",COUNTIF($AL$11:$AL1951,$AL1951)=1),1,0)</f>
        <v>0</v>
      </c>
      <c r="AW1951" s="21">
        <f t="shared" si="147"/>
        <v>0</v>
      </c>
      <c r="AX1951" s="21" t="str">
        <f t="shared" si="146"/>
        <v/>
      </c>
      <c r="AY1951" s="21" t="str">
        <f>IF(AND($AM1951&lt;&gt;"",$AS1951&lt;&gt;"✓"),SUMPRODUCT(($AM$11:$AM1951&lt;&gt;"")*($AS$11:$AS1951&lt;&gt;"✓")),"")</f>
        <v/>
      </c>
      <c r="AZ1951" s="21" t="str">
        <f>IF(AND($AM1951&lt;&gt;"",$AS1951="✓"),SUMPRODUCT(($AM$11:$AM1951&lt;&gt;"")*($AS$11:$AS1951="✓")),"")</f>
        <v/>
      </c>
      <c r="BA1951" s="21" t="str">
        <f>IF($AL1951="","",$AL1951&amp;"|"&amp;COUNTIF($AL$11:$AL1951,$AL1951))</f>
        <v/>
      </c>
    </row>
    <row r="1952" spans="38:53" ht="15" customHeight="1" x14ac:dyDescent="0.25">
      <c r="AL1952" s="31"/>
      <c r="AM1952" s="26"/>
      <c r="AN1952" s="32"/>
      <c r="AO1952" s="32"/>
      <c r="AP1952" s="24"/>
      <c r="AQ1952" s="24"/>
      <c r="AR1952" s="33"/>
      <c r="AS1952" s="34"/>
      <c r="AT1952" s="33"/>
      <c r="AV1952" s="21">
        <f>IF(AND($AL1952&lt;&gt;"",COUNTIF($AL$11:$AL1952,$AL1952)=1),1,0)</f>
        <v>0</v>
      </c>
      <c r="AW1952" s="21">
        <f t="shared" si="147"/>
        <v>0</v>
      </c>
      <c r="AX1952" s="21" t="str">
        <f t="shared" si="146"/>
        <v/>
      </c>
      <c r="AY1952" s="21" t="str">
        <f>IF(AND($AM1952&lt;&gt;"",$AS1952&lt;&gt;"✓"),SUMPRODUCT(($AM$11:$AM1952&lt;&gt;"")*($AS$11:$AS1952&lt;&gt;"✓")),"")</f>
        <v/>
      </c>
      <c r="AZ1952" s="21" t="str">
        <f>IF(AND($AM1952&lt;&gt;"",$AS1952="✓"),SUMPRODUCT(($AM$11:$AM1952&lt;&gt;"")*($AS$11:$AS1952="✓")),"")</f>
        <v/>
      </c>
      <c r="BA1952" s="21" t="str">
        <f>IF($AL1952="","",$AL1952&amp;"|"&amp;COUNTIF($AL$11:$AL1952,$AL1952))</f>
        <v/>
      </c>
    </row>
    <row r="1953" spans="38:53" ht="15" customHeight="1" x14ac:dyDescent="0.25">
      <c r="AL1953" s="17"/>
      <c r="AM1953" s="12"/>
      <c r="AN1953" s="18"/>
      <c r="AO1953" s="18"/>
      <c r="AP1953" s="10"/>
      <c r="AQ1953" s="10"/>
      <c r="AR1953" s="19"/>
      <c r="AS1953" s="20"/>
      <c r="AT1953" s="19"/>
      <c r="AV1953" s="21">
        <f>IF(AND($AL1953&lt;&gt;"",COUNTIF($AL$11:$AL1953,$AL1953)=1),1,0)</f>
        <v>0</v>
      </c>
      <c r="AW1953" s="21">
        <f t="shared" si="147"/>
        <v>0</v>
      </c>
      <c r="AX1953" s="21" t="str">
        <f t="shared" si="146"/>
        <v/>
      </c>
      <c r="AY1953" s="21" t="str">
        <f>IF(AND($AM1953&lt;&gt;"",$AS1953&lt;&gt;"✓"),SUMPRODUCT(($AM$11:$AM1953&lt;&gt;"")*($AS$11:$AS1953&lt;&gt;"✓")),"")</f>
        <v/>
      </c>
      <c r="AZ1953" s="21" t="str">
        <f>IF(AND($AM1953&lt;&gt;"",$AS1953="✓"),SUMPRODUCT(($AM$11:$AM1953&lt;&gt;"")*($AS$11:$AS1953="✓")),"")</f>
        <v/>
      </c>
      <c r="BA1953" s="21" t="str">
        <f>IF($AL1953="","",$AL1953&amp;"|"&amp;COUNTIF($AL$11:$AL1953,$AL1953))</f>
        <v/>
      </c>
    </row>
    <row r="1954" spans="38:53" ht="15" customHeight="1" x14ac:dyDescent="0.25">
      <c r="AL1954" s="31"/>
      <c r="AM1954" s="26"/>
      <c r="AN1954" s="32"/>
      <c r="AO1954" s="32"/>
      <c r="AP1954" s="24"/>
      <c r="AQ1954" s="24"/>
      <c r="AR1954" s="33"/>
      <c r="AS1954" s="34"/>
      <c r="AT1954" s="33"/>
      <c r="AV1954" s="21">
        <f>IF(AND($AL1954&lt;&gt;"",COUNTIF($AL$11:$AL1954,$AL1954)=1),1,0)</f>
        <v>0</v>
      </c>
      <c r="AW1954" s="21">
        <f t="shared" si="147"/>
        <v>0</v>
      </c>
      <c r="AX1954" s="21" t="str">
        <f t="shared" si="146"/>
        <v/>
      </c>
      <c r="AY1954" s="21" t="str">
        <f>IF(AND($AM1954&lt;&gt;"",$AS1954&lt;&gt;"✓"),SUMPRODUCT(($AM$11:$AM1954&lt;&gt;"")*($AS$11:$AS1954&lt;&gt;"✓")),"")</f>
        <v/>
      </c>
      <c r="AZ1954" s="21" t="str">
        <f>IF(AND($AM1954&lt;&gt;"",$AS1954="✓"),SUMPRODUCT(($AM$11:$AM1954&lt;&gt;"")*($AS$11:$AS1954="✓")),"")</f>
        <v/>
      </c>
      <c r="BA1954" s="21" t="str">
        <f>IF($AL1954="","",$AL1954&amp;"|"&amp;COUNTIF($AL$11:$AL1954,$AL1954))</f>
        <v/>
      </c>
    </row>
    <row r="1955" spans="38:53" ht="15" customHeight="1" x14ac:dyDescent="0.25">
      <c r="AL1955" s="17"/>
      <c r="AM1955" s="12"/>
      <c r="AN1955" s="18"/>
      <c r="AO1955" s="18"/>
      <c r="AP1955" s="10"/>
      <c r="AQ1955" s="10"/>
      <c r="AR1955" s="19"/>
      <c r="AS1955" s="20"/>
      <c r="AT1955" s="19"/>
      <c r="AV1955" s="21">
        <f>IF(AND($AL1955&lt;&gt;"",COUNTIF($AL$11:$AL1955,$AL1955)=1),1,0)</f>
        <v>0</v>
      </c>
      <c r="AW1955" s="21">
        <f t="shared" si="147"/>
        <v>0</v>
      </c>
      <c r="AX1955" s="21" t="str">
        <f t="shared" si="146"/>
        <v/>
      </c>
      <c r="AY1955" s="21" t="str">
        <f>IF(AND($AM1955&lt;&gt;"",$AS1955&lt;&gt;"✓"),SUMPRODUCT(($AM$11:$AM1955&lt;&gt;"")*($AS$11:$AS1955&lt;&gt;"✓")),"")</f>
        <v/>
      </c>
      <c r="AZ1955" s="21" t="str">
        <f>IF(AND($AM1955&lt;&gt;"",$AS1955="✓"),SUMPRODUCT(($AM$11:$AM1955&lt;&gt;"")*($AS$11:$AS1955="✓")),"")</f>
        <v/>
      </c>
      <c r="BA1955" s="21" t="str">
        <f>IF($AL1955="","",$AL1955&amp;"|"&amp;COUNTIF($AL$11:$AL1955,$AL1955))</f>
        <v/>
      </c>
    </row>
    <row r="1956" spans="38:53" ht="15" customHeight="1" x14ac:dyDescent="0.25">
      <c r="AL1956" s="31"/>
      <c r="AM1956" s="26"/>
      <c r="AN1956" s="32"/>
      <c r="AO1956" s="32"/>
      <c r="AP1956" s="24"/>
      <c r="AQ1956" s="24"/>
      <c r="AR1956" s="33"/>
      <c r="AS1956" s="34"/>
      <c r="AT1956" s="33"/>
      <c r="AV1956" s="21">
        <f>IF(AND($AL1956&lt;&gt;"",COUNTIF($AL$11:$AL1956,$AL1956)=1),1,0)</f>
        <v>0</v>
      </c>
      <c r="AW1956" s="21">
        <f t="shared" si="147"/>
        <v>0</v>
      </c>
      <c r="AX1956" s="21" t="str">
        <f t="shared" si="146"/>
        <v/>
      </c>
      <c r="AY1956" s="21" t="str">
        <f>IF(AND($AM1956&lt;&gt;"",$AS1956&lt;&gt;"✓"),SUMPRODUCT(($AM$11:$AM1956&lt;&gt;"")*($AS$11:$AS1956&lt;&gt;"✓")),"")</f>
        <v/>
      </c>
      <c r="AZ1956" s="21" t="str">
        <f>IF(AND($AM1956&lt;&gt;"",$AS1956="✓"),SUMPRODUCT(($AM$11:$AM1956&lt;&gt;"")*($AS$11:$AS1956="✓")),"")</f>
        <v/>
      </c>
      <c r="BA1956" s="21" t="str">
        <f>IF($AL1956="","",$AL1956&amp;"|"&amp;COUNTIF($AL$11:$AL1956,$AL1956))</f>
        <v/>
      </c>
    </row>
    <row r="1957" spans="38:53" ht="15" customHeight="1" x14ac:dyDescent="0.25">
      <c r="AL1957" s="17"/>
      <c r="AM1957" s="12"/>
      <c r="AN1957" s="18"/>
      <c r="AO1957" s="18"/>
      <c r="AP1957" s="10"/>
      <c r="AQ1957" s="10"/>
      <c r="AR1957" s="19"/>
      <c r="AS1957" s="20"/>
      <c r="AT1957" s="19"/>
      <c r="AV1957" s="21">
        <f>IF(AND($AL1957&lt;&gt;"",COUNTIF($AL$11:$AL1957,$AL1957)=1),1,0)</f>
        <v>0</v>
      </c>
      <c r="AW1957" s="21">
        <f t="shared" si="147"/>
        <v>0</v>
      </c>
      <c r="AX1957" s="21" t="str">
        <f t="shared" si="146"/>
        <v/>
      </c>
      <c r="AY1957" s="21" t="str">
        <f>IF(AND($AM1957&lt;&gt;"",$AS1957&lt;&gt;"✓"),SUMPRODUCT(($AM$11:$AM1957&lt;&gt;"")*($AS$11:$AS1957&lt;&gt;"✓")),"")</f>
        <v/>
      </c>
      <c r="AZ1957" s="21" t="str">
        <f>IF(AND($AM1957&lt;&gt;"",$AS1957="✓"),SUMPRODUCT(($AM$11:$AM1957&lt;&gt;"")*($AS$11:$AS1957="✓")),"")</f>
        <v/>
      </c>
      <c r="BA1957" s="21" t="str">
        <f>IF($AL1957="","",$AL1957&amp;"|"&amp;COUNTIF($AL$11:$AL1957,$AL1957))</f>
        <v/>
      </c>
    </row>
    <row r="1958" spans="38:53" ht="15" customHeight="1" x14ac:dyDescent="0.25">
      <c r="AL1958" s="31"/>
      <c r="AM1958" s="26"/>
      <c r="AN1958" s="32"/>
      <c r="AO1958" s="32"/>
      <c r="AP1958" s="24"/>
      <c r="AQ1958" s="24"/>
      <c r="AR1958" s="33"/>
      <c r="AS1958" s="34"/>
      <c r="AT1958" s="33"/>
      <c r="AV1958" s="21">
        <f>IF(AND($AL1958&lt;&gt;"",COUNTIF($AL$11:$AL1958,$AL1958)=1),1,0)</f>
        <v>0</v>
      </c>
      <c r="AW1958" s="21">
        <f t="shared" si="147"/>
        <v>0</v>
      </c>
      <c r="AX1958" s="21" t="str">
        <f t="shared" si="146"/>
        <v/>
      </c>
      <c r="AY1958" s="21" t="str">
        <f>IF(AND($AM1958&lt;&gt;"",$AS1958&lt;&gt;"✓"),SUMPRODUCT(($AM$11:$AM1958&lt;&gt;"")*($AS$11:$AS1958&lt;&gt;"✓")),"")</f>
        <v/>
      </c>
      <c r="AZ1958" s="21" t="str">
        <f>IF(AND($AM1958&lt;&gt;"",$AS1958="✓"),SUMPRODUCT(($AM$11:$AM1958&lt;&gt;"")*($AS$11:$AS1958="✓")),"")</f>
        <v/>
      </c>
      <c r="BA1958" s="21" t="str">
        <f>IF($AL1958="","",$AL1958&amp;"|"&amp;COUNTIF($AL$11:$AL1958,$AL1958))</f>
        <v/>
      </c>
    </row>
    <row r="1959" spans="38:53" ht="15" customHeight="1" x14ac:dyDescent="0.25">
      <c r="AL1959" s="17"/>
      <c r="AM1959" s="12"/>
      <c r="AN1959" s="18"/>
      <c r="AO1959" s="18"/>
      <c r="AP1959" s="10"/>
      <c r="AQ1959" s="10"/>
      <c r="AR1959" s="19"/>
      <c r="AS1959" s="20"/>
      <c r="AT1959" s="19"/>
      <c r="AV1959" s="21">
        <f>IF(AND($AL1959&lt;&gt;"",COUNTIF($AL$11:$AL1959,$AL1959)=1),1,0)</f>
        <v>0</v>
      </c>
      <c r="AW1959" s="21">
        <f t="shared" si="147"/>
        <v>0</v>
      </c>
      <c r="AX1959" s="21" t="str">
        <f t="shared" si="146"/>
        <v/>
      </c>
      <c r="AY1959" s="21" t="str">
        <f>IF(AND($AM1959&lt;&gt;"",$AS1959&lt;&gt;"✓"),SUMPRODUCT(($AM$11:$AM1959&lt;&gt;"")*($AS$11:$AS1959&lt;&gt;"✓")),"")</f>
        <v/>
      </c>
      <c r="AZ1959" s="21" t="str">
        <f>IF(AND($AM1959&lt;&gt;"",$AS1959="✓"),SUMPRODUCT(($AM$11:$AM1959&lt;&gt;"")*($AS$11:$AS1959="✓")),"")</f>
        <v/>
      </c>
      <c r="BA1959" s="21" t="str">
        <f>IF($AL1959="","",$AL1959&amp;"|"&amp;COUNTIF($AL$11:$AL1959,$AL1959))</f>
        <v/>
      </c>
    </row>
    <row r="1960" spans="38:53" ht="15" customHeight="1" x14ac:dyDescent="0.25">
      <c r="AL1960" s="31"/>
      <c r="AM1960" s="26"/>
      <c r="AN1960" s="32"/>
      <c r="AO1960" s="32"/>
      <c r="AP1960" s="24"/>
      <c r="AQ1960" s="24"/>
      <c r="AR1960" s="33"/>
      <c r="AS1960" s="34"/>
      <c r="AT1960" s="33"/>
      <c r="AV1960" s="21">
        <f>IF(AND($AL1960&lt;&gt;"",COUNTIF($AL$11:$AL1960,$AL1960)=1),1,0)</f>
        <v>0</v>
      </c>
      <c r="AW1960" s="21">
        <f t="shared" si="147"/>
        <v>0</v>
      </c>
      <c r="AX1960" s="21" t="str">
        <f t="shared" si="146"/>
        <v/>
      </c>
      <c r="AY1960" s="21" t="str">
        <f>IF(AND($AM1960&lt;&gt;"",$AS1960&lt;&gt;"✓"),SUMPRODUCT(($AM$11:$AM1960&lt;&gt;"")*($AS$11:$AS1960&lt;&gt;"✓")),"")</f>
        <v/>
      </c>
      <c r="AZ1960" s="21" t="str">
        <f>IF(AND($AM1960&lt;&gt;"",$AS1960="✓"),SUMPRODUCT(($AM$11:$AM1960&lt;&gt;"")*($AS$11:$AS1960="✓")),"")</f>
        <v/>
      </c>
      <c r="BA1960" s="21" t="str">
        <f>IF($AL1960="","",$AL1960&amp;"|"&amp;COUNTIF($AL$11:$AL1960,$AL1960))</f>
        <v/>
      </c>
    </row>
    <row r="1961" spans="38:53" ht="15" customHeight="1" x14ac:dyDescent="0.25">
      <c r="AL1961" s="17"/>
      <c r="AM1961" s="12"/>
      <c r="AN1961" s="18"/>
      <c r="AO1961" s="18"/>
      <c r="AP1961" s="10"/>
      <c r="AQ1961" s="10"/>
      <c r="AR1961" s="19"/>
      <c r="AS1961" s="20"/>
      <c r="AT1961" s="19"/>
      <c r="AV1961" s="21">
        <f>IF(AND($AL1961&lt;&gt;"",COUNTIF($AL$11:$AL1961,$AL1961)=1),1,0)</f>
        <v>0</v>
      </c>
      <c r="AW1961" s="21">
        <f t="shared" si="147"/>
        <v>0</v>
      </c>
      <c r="AX1961" s="21" t="str">
        <f t="shared" si="146"/>
        <v/>
      </c>
      <c r="AY1961" s="21" t="str">
        <f>IF(AND($AM1961&lt;&gt;"",$AS1961&lt;&gt;"✓"),SUMPRODUCT(($AM$11:$AM1961&lt;&gt;"")*($AS$11:$AS1961&lt;&gt;"✓")),"")</f>
        <v/>
      </c>
      <c r="AZ1961" s="21" t="str">
        <f>IF(AND($AM1961&lt;&gt;"",$AS1961="✓"),SUMPRODUCT(($AM$11:$AM1961&lt;&gt;"")*($AS$11:$AS1961="✓")),"")</f>
        <v/>
      </c>
      <c r="BA1961" s="21" t="str">
        <f>IF($AL1961="","",$AL1961&amp;"|"&amp;COUNTIF($AL$11:$AL1961,$AL1961))</f>
        <v/>
      </c>
    </row>
    <row r="1962" spans="38:53" ht="15" customHeight="1" x14ac:dyDescent="0.25">
      <c r="AL1962" s="31"/>
      <c r="AM1962" s="26"/>
      <c r="AN1962" s="32"/>
      <c r="AO1962" s="32"/>
      <c r="AP1962" s="24"/>
      <c r="AQ1962" s="24"/>
      <c r="AR1962" s="33"/>
      <c r="AS1962" s="34"/>
      <c r="AT1962" s="33"/>
      <c r="AV1962" s="21">
        <f>IF(AND($AL1962&lt;&gt;"",COUNTIF($AL$11:$AL1962,$AL1962)=1),1,0)</f>
        <v>0</v>
      </c>
      <c r="AW1962" s="21">
        <f t="shared" si="147"/>
        <v>0</v>
      </c>
      <c r="AX1962" s="21" t="str">
        <f t="shared" si="146"/>
        <v/>
      </c>
      <c r="AY1962" s="21" t="str">
        <f>IF(AND($AM1962&lt;&gt;"",$AS1962&lt;&gt;"✓"),SUMPRODUCT(($AM$11:$AM1962&lt;&gt;"")*($AS$11:$AS1962&lt;&gt;"✓")),"")</f>
        <v/>
      </c>
      <c r="AZ1962" s="21" t="str">
        <f>IF(AND($AM1962&lt;&gt;"",$AS1962="✓"),SUMPRODUCT(($AM$11:$AM1962&lt;&gt;"")*($AS$11:$AS1962="✓")),"")</f>
        <v/>
      </c>
      <c r="BA1962" s="21" t="str">
        <f>IF($AL1962="","",$AL1962&amp;"|"&amp;COUNTIF($AL$11:$AL1962,$AL1962))</f>
        <v/>
      </c>
    </row>
    <row r="1963" spans="38:53" ht="15" customHeight="1" x14ac:dyDescent="0.25">
      <c r="AL1963" s="17"/>
      <c r="AM1963" s="12"/>
      <c r="AN1963" s="18"/>
      <c r="AO1963" s="18"/>
      <c r="AP1963" s="10"/>
      <c r="AQ1963" s="10"/>
      <c r="AR1963" s="19"/>
      <c r="AS1963" s="20"/>
      <c r="AT1963" s="19"/>
      <c r="AV1963" s="21">
        <f>IF(AND($AL1963&lt;&gt;"",COUNTIF($AL$11:$AL1963,$AL1963)=1),1,0)</f>
        <v>0</v>
      </c>
      <c r="AW1963" s="21">
        <f t="shared" si="147"/>
        <v>0</v>
      </c>
      <c r="AX1963" s="21" t="str">
        <f t="shared" si="146"/>
        <v/>
      </c>
      <c r="AY1963" s="21" t="str">
        <f>IF(AND($AM1963&lt;&gt;"",$AS1963&lt;&gt;"✓"),SUMPRODUCT(($AM$11:$AM1963&lt;&gt;"")*($AS$11:$AS1963&lt;&gt;"✓")),"")</f>
        <v/>
      </c>
      <c r="AZ1963" s="21" t="str">
        <f>IF(AND($AM1963&lt;&gt;"",$AS1963="✓"),SUMPRODUCT(($AM$11:$AM1963&lt;&gt;"")*($AS$11:$AS1963="✓")),"")</f>
        <v/>
      </c>
      <c r="BA1963" s="21" t="str">
        <f>IF($AL1963="","",$AL1963&amp;"|"&amp;COUNTIF($AL$11:$AL1963,$AL1963))</f>
        <v/>
      </c>
    </row>
    <row r="1964" spans="38:53" ht="15" customHeight="1" x14ac:dyDescent="0.25">
      <c r="AL1964" s="31"/>
      <c r="AM1964" s="26"/>
      <c r="AN1964" s="32"/>
      <c r="AO1964" s="32"/>
      <c r="AP1964" s="24"/>
      <c r="AQ1964" s="24"/>
      <c r="AR1964" s="33"/>
      <c r="AS1964" s="34"/>
      <c r="AT1964" s="33"/>
      <c r="AV1964" s="21">
        <f>IF(AND($AL1964&lt;&gt;"",COUNTIF($AL$11:$AL1964,$AL1964)=1),1,0)</f>
        <v>0</v>
      </c>
      <c r="AW1964" s="21">
        <f t="shared" si="147"/>
        <v>0</v>
      </c>
      <c r="AX1964" s="21" t="str">
        <f t="shared" si="146"/>
        <v/>
      </c>
      <c r="AY1964" s="21" t="str">
        <f>IF(AND($AM1964&lt;&gt;"",$AS1964&lt;&gt;"✓"),SUMPRODUCT(($AM$11:$AM1964&lt;&gt;"")*($AS$11:$AS1964&lt;&gt;"✓")),"")</f>
        <v/>
      </c>
      <c r="AZ1964" s="21" t="str">
        <f>IF(AND($AM1964&lt;&gt;"",$AS1964="✓"),SUMPRODUCT(($AM$11:$AM1964&lt;&gt;"")*($AS$11:$AS1964="✓")),"")</f>
        <v/>
      </c>
      <c r="BA1964" s="21" t="str">
        <f>IF($AL1964="","",$AL1964&amp;"|"&amp;COUNTIF($AL$11:$AL1964,$AL1964))</f>
        <v/>
      </c>
    </row>
    <row r="1965" spans="38:53" ht="15" customHeight="1" x14ac:dyDescent="0.25">
      <c r="AL1965" s="17"/>
      <c r="AM1965" s="12"/>
      <c r="AN1965" s="18"/>
      <c r="AO1965" s="18"/>
      <c r="AP1965" s="10"/>
      <c r="AQ1965" s="10"/>
      <c r="AR1965" s="19"/>
      <c r="AS1965" s="20"/>
      <c r="AT1965" s="19"/>
      <c r="AV1965" s="21">
        <f>IF(AND($AL1965&lt;&gt;"",COUNTIF($AL$11:$AL1965,$AL1965)=1),1,0)</f>
        <v>0</v>
      </c>
      <c r="AW1965" s="21">
        <f t="shared" si="147"/>
        <v>0</v>
      </c>
      <c r="AX1965" s="21" t="str">
        <f t="shared" si="146"/>
        <v/>
      </c>
      <c r="AY1965" s="21" t="str">
        <f>IF(AND($AM1965&lt;&gt;"",$AS1965&lt;&gt;"✓"),SUMPRODUCT(($AM$11:$AM1965&lt;&gt;"")*($AS$11:$AS1965&lt;&gt;"✓")),"")</f>
        <v/>
      </c>
      <c r="AZ1965" s="21" t="str">
        <f>IF(AND($AM1965&lt;&gt;"",$AS1965="✓"),SUMPRODUCT(($AM$11:$AM1965&lt;&gt;"")*($AS$11:$AS1965="✓")),"")</f>
        <v/>
      </c>
      <c r="BA1965" s="21" t="str">
        <f>IF($AL1965="","",$AL1965&amp;"|"&amp;COUNTIF($AL$11:$AL1965,$AL1965))</f>
        <v/>
      </c>
    </row>
    <row r="1966" spans="38:53" ht="15" customHeight="1" x14ac:dyDescent="0.25">
      <c r="AL1966" s="31"/>
      <c r="AM1966" s="26"/>
      <c r="AN1966" s="32"/>
      <c r="AO1966" s="32"/>
      <c r="AP1966" s="24"/>
      <c r="AQ1966" s="24"/>
      <c r="AR1966" s="33"/>
      <c r="AS1966" s="34"/>
      <c r="AT1966" s="33"/>
      <c r="AV1966" s="21">
        <f>IF(AND($AL1966&lt;&gt;"",COUNTIF($AL$11:$AL1966,$AL1966)=1),1,0)</f>
        <v>0</v>
      </c>
      <c r="AW1966" s="21">
        <f t="shared" si="147"/>
        <v>0</v>
      </c>
      <c r="AX1966" s="21" t="str">
        <f t="shared" si="146"/>
        <v/>
      </c>
      <c r="AY1966" s="21" t="str">
        <f>IF(AND($AM1966&lt;&gt;"",$AS1966&lt;&gt;"✓"),SUMPRODUCT(($AM$11:$AM1966&lt;&gt;"")*($AS$11:$AS1966&lt;&gt;"✓")),"")</f>
        <v/>
      </c>
      <c r="AZ1966" s="21" t="str">
        <f>IF(AND($AM1966&lt;&gt;"",$AS1966="✓"),SUMPRODUCT(($AM$11:$AM1966&lt;&gt;"")*($AS$11:$AS1966="✓")),"")</f>
        <v/>
      </c>
      <c r="BA1966" s="21" t="str">
        <f>IF($AL1966="","",$AL1966&amp;"|"&amp;COUNTIF($AL$11:$AL1966,$AL1966))</f>
        <v/>
      </c>
    </row>
    <row r="1967" spans="38:53" ht="15" customHeight="1" x14ac:dyDescent="0.25">
      <c r="AL1967" s="17"/>
      <c r="AM1967" s="12"/>
      <c r="AN1967" s="18"/>
      <c r="AO1967" s="18"/>
      <c r="AP1967" s="10"/>
      <c r="AQ1967" s="10"/>
      <c r="AR1967" s="19"/>
      <c r="AS1967" s="20"/>
      <c r="AT1967" s="19"/>
      <c r="AV1967" s="21">
        <f>IF(AND($AL1967&lt;&gt;"",COUNTIF($AL$11:$AL1967,$AL1967)=1),1,0)</f>
        <v>0</v>
      </c>
      <c r="AW1967" s="21">
        <f t="shared" si="147"/>
        <v>0</v>
      </c>
      <c r="AX1967" s="21" t="str">
        <f t="shared" si="146"/>
        <v/>
      </c>
      <c r="AY1967" s="21" t="str">
        <f>IF(AND($AM1967&lt;&gt;"",$AS1967&lt;&gt;"✓"),SUMPRODUCT(($AM$11:$AM1967&lt;&gt;"")*($AS$11:$AS1967&lt;&gt;"✓")),"")</f>
        <v/>
      </c>
      <c r="AZ1967" s="21" t="str">
        <f>IF(AND($AM1967&lt;&gt;"",$AS1967="✓"),SUMPRODUCT(($AM$11:$AM1967&lt;&gt;"")*($AS$11:$AS1967="✓")),"")</f>
        <v/>
      </c>
      <c r="BA1967" s="21" t="str">
        <f>IF($AL1967="","",$AL1967&amp;"|"&amp;COUNTIF($AL$11:$AL1967,$AL1967))</f>
        <v/>
      </c>
    </row>
    <row r="1968" spans="38:53" ht="15" customHeight="1" x14ac:dyDescent="0.25">
      <c r="AL1968" s="31"/>
      <c r="AM1968" s="26"/>
      <c r="AN1968" s="32"/>
      <c r="AO1968" s="32"/>
      <c r="AP1968" s="24"/>
      <c r="AQ1968" s="24"/>
      <c r="AR1968" s="33"/>
      <c r="AS1968" s="34"/>
      <c r="AT1968" s="33"/>
      <c r="AV1968" s="21">
        <f>IF(AND($AL1968&lt;&gt;"",COUNTIF($AL$11:$AL1968,$AL1968)=1),1,0)</f>
        <v>0</v>
      </c>
      <c r="AW1968" s="21">
        <f t="shared" si="147"/>
        <v>0</v>
      </c>
      <c r="AX1968" s="21" t="str">
        <f t="shared" si="146"/>
        <v/>
      </c>
      <c r="AY1968" s="21" t="str">
        <f>IF(AND($AM1968&lt;&gt;"",$AS1968&lt;&gt;"✓"),SUMPRODUCT(($AM$11:$AM1968&lt;&gt;"")*($AS$11:$AS1968&lt;&gt;"✓")),"")</f>
        <v/>
      </c>
      <c r="AZ1968" s="21" t="str">
        <f>IF(AND($AM1968&lt;&gt;"",$AS1968="✓"),SUMPRODUCT(($AM$11:$AM1968&lt;&gt;"")*($AS$11:$AS1968="✓")),"")</f>
        <v/>
      </c>
      <c r="BA1968" s="21" t="str">
        <f>IF($AL1968="","",$AL1968&amp;"|"&amp;COUNTIF($AL$11:$AL1968,$AL1968))</f>
        <v/>
      </c>
    </row>
    <row r="1969" spans="38:53" ht="15" customHeight="1" x14ac:dyDescent="0.25">
      <c r="AL1969" s="17"/>
      <c r="AM1969" s="12"/>
      <c r="AN1969" s="18"/>
      <c r="AO1969" s="18"/>
      <c r="AP1969" s="10"/>
      <c r="AQ1969" s="10"/>
      <c r="AR1969" s="19"/>
      <c r="AS1969" s="20"/>
      <c r="AT1969" s="19"/>
      <c r="AV1969" s="21">
        <f>IF(AND($AL1969&lt;&gt;"",COUNTIF($AL$11:$AL1969,$AL1969)=1),1,0)</f>
        <v>0</v>
      </c>
      <c r="AW1969" s="21">
        <f t="shared" si="147"/>
        <v>0</v>
      </c>
      <c r="AX1969" s="21" t="str">
        <f t="shared" si="146"/>
        <v/>
      </c>
      <c r="AY1969" s="21" t="str">
        <f>IF(AND($AM1969&lt;&gt;"",$AS1969&lt;&gt;"✓"),SUMPRODUCT(($AM$11:$AM1969&lt;&gt;"")*($AS$11:$AS1969&lt;&gt;"✓")),"")</f>
        <v/>
      </c>
      <c r="AZ1969" s="21" t="str">
        <f>IF(AND($AM1969&lt;&gt;"",$AS1969="✓"),SUMPRODUCT(($AM$11:$AM1969&lt;&gt;"")*($AS$11:$AS1969="✓")),"")</f>
        <v/>
      </c>
      <c r="BA1969" s="21" t="str">
        <f>IF($AL1969="","",$AL1969&amp;"|"&amp;COUNTIF($AL$11:$AL1969,$AL1969))</f>
        <v/>
      </c>
    </row>
    <row r="1970" spans="38:53" ht="15" customHeight="1" x14ac:dyDescent="0.25">
      <c r="AL1970" s="31"/>
      <c r="AM1970" s="26"/>
      <c r="AN1970" s="32"/>
      <c r="AO1970" s="32"/>
      <c r="AP1970" s="24"/>
      <c r="AQ1970" s="24"/>
      <c r="AR1970" s="33"/>
      <c r="AS1970" s="34"/>
      <c r="AT1970" s="33"/>
      <c r="AV1970" s="21">
        <f>IF(AND($AL1970&lt;&gt;"",COUNTIF($AL$11:$AL1970,$AL1970)=1),1,0)</f>
        <v>0</v>
      </c>
      <c r="AW1970" s="21">
        <f t="shared" si="147"/>
        <v>0</v>
      </c>
      <c r="AX1970" s="21" t="str">
        <f t="shared" si="146"/>
        <v/>
      </c>
      <c r="AY1970" s="21" t="str">
        <f>IF(AND($AM1970&lt;&gt;"",$AS1970&lt;&gt;"✓"),SUMPRODUCT(($AM$11:$AM1970&lt;&gt;"")*($AS$11:$AS1970&lt;&gt;"✓")),"")</f>
        <v/>
      </c>
      <c r="AZ1970" s="21" t="str">
        <f>IF(AND($AM1970&lt;&gt;"",$AS1970="✓"),SUMPRODUCT(($AM$11:$AM1970&lt;&gt;"")*($AS$11:$AS1970="✓")),"")</f>
        <v/>
      </c>
      <c r="BA1970" s="21" t="str">
        <f>IF($AL1970="","",$AL1970&amp;"|"&amp;COUNTIF($AL$11:$AL1970,$AL1970))</f>
        <v/>
      </c>
    </row>
    <row r="1971" spans="38:53" ht="15" customHeight="1" x14ac:dyDescent="0.25">
      <c r="AL1971" s="17"/>
      <c r="AM1971" s="12"/>
      <c r="AN1971" s="18"/>
      <c r="AO1971" s="18"/>
      <c r="AP1971" s="10"/>
      <c r="AQ1971" s="10"/>
      <c r="AR1971" s="19"/>
      <c r="AS1971" s="20"/>
      <c r="AT1971" s="19"/>
      <c r="AV1971" s="21">
        <f>IF(AND($AL1971&lt;&gt;"",COUNTIF($AL$11:$AL1971,$AL1971)=1),1,0)</f>
        <v>0</v>
      </c>
      <c r="AW1971" s="21">
        <f t="shared" si="147"/>
        <v>0</v>
      </c>
      <c r="AX1971" s="21" t="str">
        <f t="shared" si="146"/>
        <v/>
      </c>
      <c r="AY1971" s="21" t="str">
        <f>IF(AND($AM1971&lt;&gt;"",$AS1971&lt;&gt;"✓"),SUMPRODUCT(($AM$11:$AM1971&lt;&gt;"")*($AS$11:$AS1971&lt;&gt;"✓")),"")</f>
        <v/>
      </c>
      <c r="AZ1971" s="21" t="str">
        <f>IF(AND($AM1971&lt;&gt;"",$AS1971="✓"),SUMPRODUCT(($AM$11:$AM1971&lt;&gt;"")*($AS$11:$AS1971="✓")),"")</f>
        <v/>
      </c>
      <c r="BA1971" s="21" t="str">
        <f>IF($AL1971="","",$AL1971&amp;"|"&amp;COUNTIF($AL$11:$AL1971,$AL1971))</f>
        <v/>
      </c>
    </row>
    <row r="1972" spans="38:53" ht="15" customHeight="1" x14ac:dyDescent="0.25">
      <c r="AL1972" s="31"/>
      <c r="AM1972" s="26"/>
      <c r="AN1972" s="32"/>
      <c r="AO1972" s="32"/>
      <c r="AP1972" s="24"/>
      <c r="AQ1972" s="24"/>
      <c r="AR1972" s="33"/>
      <c r="AS1972" s="34"/>
      <c r="AT1972" s="33"/>
      <c r="AV1972" s="21">
        <f>IF(AND($AL1972&lt;&gt;"",COUNTIF($AL$11:$AL1972,$AL1972)=1),1,0)</f>
        <v>0</v>
      </c>
      <c r="AW1972" s="21">
        <f t="shared" si="147"/>
        <v>0</v>
      </c>
      <c r="AX1972" s="21" t="str">
        <f t="shared" si="146"/>
        <v/>
      </c>
      <c r="AY1972" s="21" t="str">
        <f>IF(AND($AM1972&lt;&gt;"",$AS1972&lt;&gt;"✓"),SUMPRODUCT(($AM$11:$AM1972&lt;&gt;"")*($AS$11:$AS1972&lt;&gt;"✓")),"")</f>
        <v/>
      </c>
      <c r="AZ1972" s="21" t="str">
        <f>IF(AND($AM1972&lt;&gt;"",$AS1972="✓"),SUMPRODUCT(($AM$11:$AM1972&lt;&gt;"")*($AS$11:$AS1972="✓")),"")</f>
        <v/>
      </c>
      <c r="BA1972" s="21" t="str">
        <f>IF($AL1972="","",$AL1972&amp;"|"&amp;COUNTIF($AL$11:$AL1972,$AL1972))</f>
        <v/>
      </c>
    </row>
    <row r="1973" spans="38:53" ht="15" customHeight="1" x14ac:dyDescent="0.25">
      <c r="AL1973" s="17"/>
      <c r="AM1973" s="12"/>
      <c r="AN1973" s="18"/>
      <c r="AO1973" s="18"/>
      <c r="AP1973" s="10"/>
      <c r="AQ1973" s="10"/>
      <c r="AR1973" s="19"/>
      <c r="AS1973" s="20"/>
      <c r="AT1973" s="19"/>
      <c r="AV1973" s="21">
        <f>IF(AND($AL1973&lt;&gt;"",COUNTIF($AL$11:$AL1973,$AL1973)=1),1,0)</f>
        <v>0</v>
      </c>
      <c r="AW1973" s="21">
        <f t="shared" si="147"/>
        <v>0</v>
      </c>
      <c r="AX1973" s="21" t="str">
        <f t="shared" si="146"/>
        <v/>
      </c>
      <c r="AY1973" s="21" t="str">
        <f>IF(AND($AM1973&lt;&gt;"",$AS1973&lt;&gt;"✓"),SUMPRODUCT(($AM$11:$AM1973&lt;&gt;"")*($AS$11:$AS1973&lt;&gt;"✓")),"")</f>
        <v/>
      </c>
      <c r="AZ1973" s="21" t="str">
        <f>IF(AND($AM1973&lt;&gt;"",$AS1973="✓"),SUMPRODUCT(($AM$11:$AM1973&lt;&gt;"")*($AS$11:$AS1973="✓")),"")</f>
        <v/>
      </c>
      <c r="BA1973" s="21" t="str">
        <f>IF($AL1973="","",$AL1973&amp;"|"&amp;COUNTIF($AL$11:$AL1973,$AL1973))</f>
        <v/>
      </c>
    </row>
    <row r="1974" spans="38:53" ht="15" customHeight="1" x14ac:dyDescent="0.25">
      <c r="AL1974" s="31"/>
      <c r="AM1974" s="26"/>
      <c r="AN1974" s="32"/>
      <c r="AO1974" s="32"/>
      <c r="AP1974" s="24"/>
      <c r="AQ1974" s="24"/>
      <c r="AR1974" s="33"/>
      <c r="AS1974" s="34"/>
      <c r="AT1974" s="33"/>
      <c r="AV1974" s="21">
        <f>IF(AND($AL1974&lt;&gt;"",COUNTIF($AL$11:$AL1974,$AL1974)=1),1,0)</f>
        <v>0</v>
      </c>
      <c r="AW1974" s="21">
        <f t="shared" si="147"/>
        <v>0</v>
      </c>
      <c r="AX1974" s="21" t="str">
        <f t="shared" si="146"/>
        <v/>
      </c>
      <c r="AY1974" s="21" t="str">
        <f>IF(AND($AM1974&lt;&gt;"",$AS1974&lt;&gt;"✓"),SUMPRODUCT(($AM$11:$AM1974&lt;&gt;"")*($AS$11:$AS1974&lt;&gt;"✓")),"")</f>
        <v/>
      </c>
      <c r="AZ1974" s="21" t="str">
        <f>IF(AND($AM1974&lt;&gt;"",$AS1974="✓"),SUMPRODUCT(($AM$11:$AM1974&lt;&gt;"")*($AS$11:$AS1974="✓")),"")</f>
        <v/>
      </c>
      <c r="BA1974" s="21" t="str">
        <f>IF($AL1974="","",$AL1974&amp;"|"&amp;COUNTIF($AL$11:$AL1974,$AL1974))</f>
        <v/>
      </c>
    </row>
    <row r="1975" spans="38:53" ht="15" customHeight="1" x14ac:dyDescent="0.25">
      <c r="AL1975" s="17"/>
      <c r="AM1975" s="12"/>
      <c r="AN1975" s="18"/>
      <c r="AO1975" s="18"/>
      <c r="AP1975" s="10"/>
      <c r="AQ1975" s="10"/>
      <c r="AR1975" s="19"/>
      <c r="AS1975" s="20"/>
      <c r="AT1975" s="19"/>
      <c r="AV1975" s="21">
        <f>IF(AND($AL1975&lt;&gt;"",COUNTIF($AL$11:$AL1975,$AL1975)=1),1,0)</f>
        <v>0</v>
      </c>
      <c r="AW1975" s="21">
        <f t="shared" si="147"/>
        <v>0</v>
      </c>
      <c r="AX1975" s="21" t="str">
        <f t="shared" si="146"/>
        <v/>
      </c>
      <c r="AY1975" s="21" t="str">
        <f>IF(AND($AM1975&lt;&gt;"",$AS1975&lt;&gt;"✓"),SUMPRODUCT(($AM$11:$AM1975&lt;&gt;"")*($AS$11:$AS1975&lt;&gt;"✓")),"")</f>
        <v/>
      </c>
      <c r="AZ1975" s="21" t="str">
        <f>IF(AND($AM1975&lt;&gt;"",$AS1975="✓"),SUMPRODUCT(($AM$11:$AM1975&lt;&gt;"")*($AS$11:$AS1975="✓")),"")</f>
        <v/>
      </c>
      <c r="BA1975" s="21" t="str">
        <f>IF($AL1975="","",$AL1975&amp;"|"&amp;COUNTIF($AL$11:$AL1975,$AL1975))</f>
        <v/>
      </c>
    </row>
    <row r="1976" spans="38:53" ht="15" customHeight="1" x14ac:dyDescent="0.25">
      <c r="AL1976" s="31"/>
      <c r="AM1976" s="26"/>
      <c r="AN1976" s="32"/>
      <c r="AO1976" s="32"/>
      <c r="AP1976" s="24"/>
      <c r="AQ1976" s="24"/>
      <c r="AR1976" s="33"/>
      <c r="AS1976" s="34"/>
      <c r="AT1976" s="33"/>
      <c r="AV1976" s="21">
        <f>IF(AND($AL1976&lt;&gt;"",COUNTIF($AL$11:$AL1976,$AL1976)=1),1,0)</f>
        <v>0</v>
      </c>
      <c r="AW1976" s="21">
        <f t="shared" si="147"/>
        <v>0</v>
      </c>
      <c r="AX1976" s="21" t="str">
        <f t="shared" si="146"/>
        <v/>
      </c>
      <c r="AY1976" s="21" t="str">
        <f>IF(AND($AM1976&lt;&gt;"",$AS1976&lt;&gt;"✓"),SUMPRODUCT(($AM$11:$AM1976&lt;&gt;"")*($AS$11:$AS1976&lt;&gt;"✓")),"")</f>
        <v/>
      </c>
      <c r="AZ1976" s="21" t="str">
        <f>IF(AND($AM1976&lt;&gt;"",$AS1976="✓"),SUMPRODUCT(($AM$11:$AM1976&lt;&gt;"")*($AS$11:$AS1976="✓")),"")</f>
        <v/>
      </c>
      <c r="BA1976" s="21" t="str">
        <f>IF($AL1976="","",$AL1976&amp;"|"&amp;COUNTIF($AL$11:$AL1976,$AL1976))</f>
        <v/>
      </c>
    </row>
    <row r="1977" spans="38:53" ht="15" customHeight="1" x14ac:dyDescent="0.25">
      <c r="AL1977" s="17"/>
      <c r="AM1977" s="12"/>
      <c r="AN1977" s="18"/>
      <c r="AO1977" s="18"/>
      <c r="AP1977" s="10"/>
      <c r="AQ1977" s="10"/>
      <c r="AR1977" s="19"/>
      <c r="AS1977" s="20"/>
      <c r="AT1977" s="19"/>
      <c r="AV1977" s="21">
        <f>IF(AND($AL1977&lt;&gt;"",COUNTIF($AL$11:$AL1977,$AL1977)=1),1,0)</f>
        <v>0</v>
      </c>
      <c r="AW1977" s="21">
        <f t="shared" si="147"/>
        <v>0</v>
      </c>
      <c r="AX1977" s="21" t="str">
        <f t="shared" si="146"/>
        <v/>
      </c>
      <c r="AY1977" s="21" t="str">
        <f>IF(AND($AM1977&lt;&gt;"",$AS1977&lt;&gt;"✓"),SUMPRODUCT(($AM$11:$AM1977&lt;&gt;"")*($AS$11:$AS1977&lt;&gt;"✓")),"")</f>
        <v/>
      </c>
      <c r="AZ1977" s="21" t="str">
        <f>IF(AND($AM1977&lt;&gt;"",$AS1977="✓"),SUMPRODUCT(($AM$11:$AM1977&lt;&gt;"")*($AS$11:$AS1977="✓")),"")</f>
        <v/>
      </c>
      <c r="BA1977" s="21" t="str">
        <f>IF($AL1977="","",$AL1977&amp;"|"&amp;COUNTIF($AL$11:$AL1977,$AL1977))</f>
        <v/>
      </c>
    </row>
    <row r="1978" spans="38:53" ht="15" customHeight="1" x14ac:dyDescent="0.25">
      <c r="AL1978" s="31"/>
      <c r="AM1978" s="26"/>
      <c r="AN1978" s="32"/>
      <c r="AO1978" s="32"/>
      <c r="AP1978" s="24"/>
      <c r="AQ1978" s="24"/>
      <c r="AR1978" s="33"/>
      <c r="AS1978" s="34"/>
      <c r="AT1978" s="33"/>
      <c r="AV1978" s="21">
        <f>IF(AND($AL1978&lt;&gt;"",COUNTIF($AL$11:$AL1978,$AL1978)=1),1,0)</f>
        <v>0</v>
      </c>
      <c r="AW1978" s="21">
        <f t="shared" si="147"/>
        <v>0</v>
      </c>
      <c r="AX1978" s="21" t="str">
        <f t="shared" si="146"/>
        <v/>
      </c>
      <c r="AY1978" s="21" t="str">
        <f>IF(AND($AM1978&lt;&gt;"",$AS1978&lt;&gt;"✓"),SUMPRODUCT(($AM$11:$AM1978&lt;&gt;"")*($AS$11:$AS1978&lt;&gt;"✓")),"")</f>
        <v/>
      </c>
      <c r="AZ1978" s="21" t="str">
        <f>IF(AND($AM1978&lt;&gt;"",$AS1978="✓"),SUMPRODUCT(($AM$11:$AM1978&lt;&gt;"")*($AS$11:$AS1978="✓")),"")</f>
        <v/>
      </c>
      <c r="BA1978" s="21" t="str">
        <f>IF($AL1978="","",$AL1978&amp;"|"&amp;COUNTIF($AL$11:$AL1978,$AL1978))</f>
        <v/>
      </c>
    </row>
    <row r="1979" spans="38:53" ht="15" customHeight="1" x14ac:dyDescent="0.25">
      <c r="AL1979" s="17"/>
      <c r="AM1979" s="12"/>
      <c r="AN1979" s="18"/>
      <c r="AO1979" s="18"/>
      <c r="AP1979" s="10"/>
      <c r="AQ1979" s="10"/>
      <c r="AR1979" s="19"/>
      <c r="AS1979" s="20"/>
      <c r="AT1979" s="19"/>
      <c r="AV1979" s="21">
        <f>IF(AND($AL1979&lt;&gt;"",COUNTIF($AL$11:$AL1979,$AL1979)=1),1,0)</f>
        <v>0</v>
      </c>
      <c r="AW1979" s="21">
        <f t="shared" si="147"/>
        <v>0</v>
      </c>
      <c r="AX1979" s="21" t="str">
        <f t="shared" si="146"/>
        <v/>
      </c>
      <c r="AY1979" s="21" t="str">
        <f>IF(AND($AM1979&lt;&gt;"",$AS1979&lt;&gt;"✓"),SUMPRODUCT(($AM$11:$AM1979&lt;&gt;"")*($AS$11:$AS1979&lt;&gt;"✓")),"")</f>
        <v/>
      </c>
      <c r="AZ1979" s="21" t="str">
        <f>IF(AND($AM1979&lt;&gt;"",$AS1979="✓"),SUMPRODUCT(($AM$11:$AM1979&lt;&gt;"")*($AS$11:$AS1979="✓")),"")</f>
        <v/>
      </c>
      <c r="BA1979" s="21" t="str">
        <f>IF($AL1979="","",$AL1979&amp;"|"&amp;COUNTIF($AL$11:$AL1979,$AL1979))</f>
        <v/>
      </c>
    </row>
    <row r="1980" spans="38:53" ht="15" customHeight="1" x14ac:dyDescent="0.25">
      <c r="AL1980" s="31"/>
      <c r="AM1980" s="26"/>
      <c r="AN1980" s="32"/>
      <c r="AO1980" s="32"/>
      <c r="AP1980" s="24"/>
      <c r="AQ1980" s="24"/>
      <c r="AR1980" s="33"/>
      <c r="AS1980" s="34"/>
      <c r="AT1980" s="33"/>
      <c r="AV1980" s="21">
        <f>IF(AND($AL1980&lt;&gt;"",COUNTIF($AL$11:$AL1980,$AL1980)=1),1,0)</f>
        <v>0</v>
      </c>
      <c r="AW1980" s="21">
        <f t="shared" si="147"/>
        <v>0</v>
      </c>
      <c r="AX1980" s="21" t="str">
        <f t="shared" si="146"/>
        <v/>
      </c>
      <c r="AY1980" s="21" t="str">
        <f>IF(AND($AM1980&lt;&gt;"",$AS1980&lt;&gt;"✓"),SUMPRODUCT(($AM$11:$AM1980&lt;&gt;"")*($AS$11:$AS1980&lt;&gt;"✓")),"")</f>
        <v/>
      </c>
      <c r="AZ1980" s="21" t="str">
        <f>IF(AND($AM1980&lt;&gt;"",$AS1980="✓"),SUMPRODUCT(($AM$11:$AM1980&lt;&gt;"")*($AS$11:$AS1980="✓")),"")</f>
        <v/>
      </c>
      <c r="BA1980" s="21" t="str">
        <f>IF($AL1980="","",$AL1980&amp;"|"&amp;COUNTIF($AL$11:$AL1980,$AL1980))</f>
        <v/>
      </c>
    </row>
    <row r="1981" spans="38:53" ht="15" customHeight="1" x14ac:dyDescent="0.25">
      <c r="AL1981" s="17"/>
      <c r="AM1981" s="12"/>
      <c r="AN1981" s="18"/>
      <c r="AO1981" s="18"/>
      <c r="AP1981" s="10"/>
      <c r="AQ1981" s="10"/>
      <c r="AR1981" s="19"/>
      <c r="AS1981" s="20"/>
      <c r="AT1981" s="19"/>
      <c r="AV1981" s="21">
        <f>IF(AND($AL1981&lt;&gt;"",COUNTIF($AL$11:$AL1981,$AL1981)=1),1,0)</f>
        <v>0</v>
      </c>
      <c r="AW1981" s="21">
        <f t="shared" si="147"/>
        <v>0</v>
      </c>
      <c r="AX1981" s="21" t="str">
        <f t="shared" si="146"/>
        <v/>
      </c>
      <c r="AY1981" s="21" t="str">
        <f>IF(AND($AM1981&lt;&gt;"",$AS1981&lt;&gt;"✓"),SUMPRODUCT(($AM$11:$AM1981&lt;&gt;"")*($AS$11:$AS1981&lt;&gt;"✓")),"")</f>
        <v/>
      </c>
      <c r="AZ1981" s="21" t="str">
        <f>IF(AND($AM1981&lt;&gt;"",$AS1981="✓"),SUMPRODUCT(($AM$11:$AM1981&lt;&gt;"")*($AS$11:$AS1981="✓")),"")</f>
        <v/>
      </c>
      <c r="BA1981" s="21" t="str">
        <f>IF($AL1981="","",$AL1981&amp;"|"&amp;COUNTIF($AL$11:$AL1981,$AL1981))</f>
        <v/>
      </c>
    </row>
    <row r="1982" spans="38:53" ht="15" customHeight="1" x14ac:dyDescent="0.25">
      <c r="AL1982" s="31"/>
      <c r="AM1982" s="26"/>
      <c r="AN1982" s="32"/>
      <c r="AO1982" s="32"/>
      <c r="AP1982" s="24"/>
      <c r="AQ1982" s="24"/>
      <c r="AR1982" s="33"/>
      <c r="AS1982" s="34"/>
      <c r="AT1982" s="33"/>
      <c r="AV1982" s="21">
        <f>IF(AND($AL1982&lt;&gt;"",COUNTIF($AL$11:$AL1982,$AL1982)=1),1,0)</f>
        <v>0</v>
      </c>
      <c r="AW1982" s="21">
        <f t="shared" si="147"/>
        <v>0</v>
      </c>
      <c r="AX1982" s="21" t="str">
        <f t="shared" si="146"/>
        <v/>
      </c>
      <c r="AY1982" s="21" t="str">
        <f>IF(AND($AM1982&lt;&gt;"",$AS1982&lt;&gt;"✓"),SUMPRODUCT(($AM$11:$AM1982&lt;&gt;"")*($AS$11:$AS1982&lt;&gt;"✓")),"")</f>
        <v/>
      </c>
      <c r="AZ1982" s="21" t="str">
        <f>IF(AND($AM1982&lt;&gt;"",$AS1982="✓"),SUMPRODUCT(($AM$11:$AM1982&lt;&gt;"")*($AS$11:$AS1982="✓")),"")</f>
        <v/>
      </c>
      <c r="BA1982" s="21" t="str">
        <f>IF($AL1982="","",$AL1982&amp;"|"&amp;COUNTIF($AL$11:$AL1982,$AL1982))</f>
        <v/>
      </c>
    </row>
    <row r="1983" spans="38:53" ht="15" customHeight="1" x14ac:dyDescent="0.25">
      <c r="AL1983" s="17"/>
      <c r="AM1983" s="12"/>
      <c r="AN1983" s="18"/>
      <c r="AO1983" s="18"/>
      <c r="AP1983" s="10"/>
      <c r="AQ1983" s="10"/>
      <c r="AR1983" s="19"/>
      <c r="AS1983" s="20"/>
      <c r="AT1983" s="19"/>
      <c r="AV1983" s="21">
        <f>IF(AND($AL1983&lt;&gt;"",COUNTIF($AL$11:$AL1983,$AL1983)=1),1,0)</f>
        <v>0</v>
      </c>
      <c r="AW1983" s="21">
        <f t="shared" si="147"/>
        <v>0</v>
      </c>
      <c r="AX1983" s="21" t="str">
        <f t="shared" si="146"/>
        <v/>
      </c>
      <c r="AY1983" s="21" t="str">
        <f>IF(AND($AM1983&lt;&gt;"",$AS1983&lt;&gt;"✓"),SUMPRODUCT(($AM$11:$AM1983&lt;&gt;"")*($AS$11:$AS1983&lt;&gt;"✓")),"")</f>
        <v/>
      </c>
      <c r="AZ1983" s="21" t="str">
        <f>IF(AND($AM1983&lt;&gt;"",$AS1983="✓"),SUMPRODUCT(($AM$11:$AM1983&lt;&gt;"")*($AS$11:$AS1983="✓")),"")</f>
        <v/>
      </c>
      <c r="BA1983" s="21" t="str">
        <f>IF($AL1983="","",$AL1983&amp;"|"&amp;COUNTIF($AL$11:$AL1983,$AL1983))</f>
        <v/>
      </c>
    </row>
    <row r="1984" spans="38:53" ht="15" customHeight="1" x14ac:dyDescent="0.25">
      <c r="AL1984" s="31"/>
      <c r="AM1984" s="26"/>
      <c r="AN1984" s="32"/>
      <c r="AO1984" s="32"/>
      <c r="AP1984" s="24"/>
      <c r="AQ1984" s="24"/>
      <c r="AR1984" s="33"/>
      <c r="AS1984" s="34"/>
      <c r="AT1984" s="33"/>
      <c r="AV1984" s="21">
        <f>IF(AND($AL1984&lt;&gt;"",COUNTIF($AL$11:$AL1984,$AL1984)=1),1,0)</f>
        <v>0</v>
      </c>
      <c r="AW1984" s="21">
        <f t="shared" si="147"/>
        <v>0</v>
      </c>
      <c r="AX1984" s="21" t="str">
        <f t="shared" si="146"/>
        <v/>
      </c>
      <c r="AY1984" s="21" t="str">
        <f>IF(AND($AM1984&lt;&gt;"",$AS1984&lt;&gt;"✓"),SUMPRODUCT(($AM$11:$AM1984&lt;&gt;"")*($AS$11:$AS1984&lt;&gt;"✓")),"")</f>
        <v/>
      </c>
      <c r="AZ1984" s="21" t="str">
        <f>IF(AND($AM1984&lt;&gt;"",$AS1984="✓"),SUMPRODUCT(($AM$11:$AM1984&lt;&gt;"")*($AS$11:$AS1984="✓")),"")</f>
        <v/>
      </c>
      <c r="BA1984" s="21" t="str">
        <f>IF($AL1984="","",$AL1984&amp;"|"&amp;COUNTIF($AL$11:$AL1984,$AL1984))</f>
        <v/>
      </c>
    </row>
    <row r="1985" spans="38:53" ht="15" customHeight="1" x14ac:dyDescent="0.25">
      <c r="AL1985" s="17"/>
      <c r="AM1985" s="12"/>
      <c r="AN1985" s="18"/>
      <c r="AO1985" s="18"/>
      <c r="AP1985" s="10"/>
      <c r="AQ1985" s="10"/>
      <c r="AR1985" s="19"/>
      <c r="AS1985" s="20"/>
      <c r="AT1985" s="19"/>
      <c r="AV1985" s="21">
        <f>IF(AND($AL1985&lt;&gt;"",COUNTIF($AL$11:$AL1985,$AL1985)=1),1,0)</f>
        <v>0</v>
      </c>
      <c r="AW1985" s="21">
        <f t="shared" si="147"/>
        <v>0</v>
      </c>
      <c r="AX1985" s="21" t="str">
        <f t="shared" si="146"/>
        <v/>
      </c>
      <c r="AY1985" s="21" t="str">
        <f>IF(AND($AM1985&lt;&gt;"",$AS1985&lt;&gt;"✓"),SUMPRODUCT(($AM$11:$AM1985&lt;&gt;"")*($AS$11:$AS1985&lt;&gt;"✓")),"")</f>
        <v/>
      </c>
      <c r="AZ1985" s="21" t="str">
        <f>IF(AND($AM1985&lt;&gt;"",$AS1985="✓"),SUMPRODUCT(($AM$11:$AM1985&lt;&gt;"")*($AS$11:$AS1985="✓")),"")</f>
        <v/>
      </c>
      <c r="BA1985" s="21" t="str">
        <f>IF($AL1985="","",$AL1985&amp;"|"&amp;COUNTIF($AL$11:$AL1985,$AL1985))</f>
        <v/>
      </c>
    </row>
    <row r="1986" spans="38:53" ht="15" customHeight="1" x14ac:dyDescent="0.25">
      <c r="AL1986" s="31"/>
      <c r="AM1986" s="26"/>
      <c r="AN1986" s="32"/>
      <c r="AO1986" s="32"/>
      <c r="AP1986" s="24"/>
      <c r="AQ1986" s="24"/>
      <c r="AR1986" s="33"/>
      <c r="AS1986" s="34"/>
      <c r="AT1986" s="33"/>
      <c r="AV1986" s="21">
        <f>IF(AND($AL1986&lt;&gt;"",COUNTIF($AL$11:$AL1986,$AL1986)=1),1,0)</f>
        <v>0</v>
      </c>
      <c r="AW1986" s="21">
        <f t="shared" si="147"/>
        <v>0</v>
      </c>
      <c r="AX1986" s="21" t="str">
        <f t="shared" si="146"/>
        <v/>
      </c>
      <c r="AY1986" s="21" t="str">
        <f>IF(AND($AM1986&lt;&gt;"",$AS1986&lt;&gt;"✓"),SUMPRODUCT(($AM$11:$AM1986&lt;&gt;"")*($AS$11:$AS1986&lt;&gt;"✓")),"")</f>
        <v/>
      </c>
      <c r="AZ1986" s="21" t="str">
        <f>IF(AND($AM1986&lt;&gt;"",$AS1986="✓"),SUMPRODUCT(($AM$11:$AM1986&lt;&gt;"")*($AS$11:$AS1986="✓")),"")</f>
        <v/>
      </c>
      <c r="BA1986" s="21" t="str">
        <f>IF($AL1986="","",$AL1986&amp;"|"&amp;COUNTIF($AL$11:$AL1986,$AL1986))</f>
        <v/>
      </c>
    </row>
    <row r="1987" spans="38:53" ht="15" customHeight="1" x14ac:dyDescent="0.25">
      <c r="AL1987" s="17"/>
      <c r="AM1987" s="12"/>
      <c r="AN1987" s="18"/>
      <c r="AO1987" s="18"/>
      <c r="AP1987" s="10"/>
      <c r="AQ1987" s="10"/>
      <c r="AR1987" s="19"/>
      <c r="AS1987" s="20"/>
      <c r="AT1987" s="19"/>
      <c r="AV1987" s="21">
        <f>IF(AND($AL1987&lt;&gt;"",COUNTIF($AL$11:$AL1987,$AL1987)=1),1,0)</f>
        <v>0</v>
      </c>
      <c r="AW1987" s="21">
        <f t="shared" si="147"/>
        <v>0</v>
      </c>
      <c r="AX1987" s="21" t="str">
        <f t="shared" si="146"/>
        <v/>
      </c>
      <c r="AY1987" s="21" t="str">
        <f>IF(AND($AM1987&lt;&gt;"",$AS1987&lt;&gt;"✓"),SUMPRODUCT(($AM$11:$AM1987&lt;&gt;"")*($AS$11:$AS1987&lt;&gt;"✓")),"")</f>
        <v/>
      </c>
      <c r="AZ1987" s="21" t="str">
        <f>IF(AND($AM1987&lt;&gt;"",$AS1987="✓"),SUMPRODUCT(($AM$11:$AM1987&lt;&gt;"")*($AS$11:$AS1987="✓")),"")</f>
        <v/>
      </c>
      <c r="BA1987" s="21" t="str">
        <f>IF($AL1987="","",$AL1987&amp;"|"&amp;COUNTIF($AL$11:$AL1987,$AL1987))</f>
        <v/>
      </c>
    </row>
    <row r="1988" spans="38:53" ht="15" customHeight="1" x14ac:dyDescent="0.25">
      <c r="AL1988" s="31"/>
      <c r="AM1988" s="26"/>
      <c r="AN1988" s="32"/>
      <c r="AO1988" s="32"/>
      <c r="AP1988" s="24"/>
      <c r="AQ1988" s="24"/>
      <c r="AR1988" s="33"/>
      <c r="AS1988" s="34"/>
      <c r="AT1988" s="33"/>
      <c r="AV1988" s="21">
        <f>IF(AND($AL1988&lt;&gt;"",COUNTIF($AL$11:$AL1988,$AL1988)=1),1,0)</f>
        <v>0</v>
      </c>
      <c r="AW1988" s="21">
        <f t="shared" si="147"/>
        <v>0</v>
      </c>
      <c r="AX1988" s="21" t="str">
        <f t="shared" si="146"/>
        <v/>
      </c>
      <c r="AY1988" s="21" t="str">
        <f>IF(AND($AM1988&lt;&gt;"",$AS1988&lt;&gt;"✓"),SUMPRODUCT(($AM$11:$AM1988&lt;&gt;"")*($AS$11:$AS1988&lt;&gt;"✓")),"")</f>
        <v/>
      </c>
      <c r="AZ1988" s="21" t="str">
        <f>IF(AND($AM1988&lt;&gt;"",$AS1988="✓"),SUMPRODUCT(($AM$11:$AM1988&lt;&gt;"")*($AS$11:$AS1988="✓")),"")</f>
        <v/>
      </c>
      <c r="BA1988" s="21" t="str">
        <f>IF($AL1988="","",$AL1988&amp;"|"&amp;COUNTIF($AL$11:$AL1988,$AL1988))</f>
        <v/>
      </c>
    </row>
    <row r="1989" spans="38:53" ht="15" customHeight="1" x14ac:dyDescent="0.25">
      <c r="AL1989" s="17"/>
      <c r="AM1989" s="12"/>
      <c r="AN1989" s="18"/>
      <c r="AO1989" s="18"/>
      <c r="AP1989" s="10"/>
      <c r="AQ1989" s="10"/>
      <c r="AR1989" s="19"/>
      <c r="AS1989" s="20"/>
      <c r="AT1989" s="19"/>
      <c r="AV1989" s="21">
        <f>IF(AND($AL1989&lt;&gt;"",COUNTIF($AL$11:$AL1989,$AL1989)=1),1,0)</f>
        <v>0</v>
      </c>
      <c r="AW1989" s="21">
        <f t="shared" si="147"/>
        <v>0</v>
      </c>
      <c r="AX1989" s="21" t="str">
        <f t="shared" si="146"/>
        <v/>
      </c>
      <c r="AY1989" s="21" t="str">
        <f>IF(AND($AM1989&lt;&gt;"",$AS1989&lt;&gt;"✓"),SUMPRODUCT(($AM$11:$AM1989&lt;&gt;"")*($AS$11:$AS1989&lt;&gt;"✓")),"")</f>
        <v/>
      </c>
      <c r="AZ1989" s="21" t="str">
        <f>IF(AND($AM1989&lt;&gt;"",$AS1989="✓"),SUMPRODUCT(($AM$11:$AM1989&lt;&gt;"")*($AS$11:$AS1989="✓")),"")</f>
        <v/>
      </c>
      <c r="BA1989" s="21" t="str">
        <f>IF($AL1989="","",$AL1989&amp;"|"&amp;COUNTIF($AL$11:$AL1989,$AL1989))</f>
        <v/>
      </c>
    </row>
    <row r="1990" spans="38:53" ht="15" customHeight="1" x14ac:dyDescent="0.25">
      <c r="AL1990" s="31"/>
      <c r="AM1990" s="26"/>
      <c r="AN1990" s="32"/>
      <c r="AO1990" s="32"/>
      <c r="AP1990" s="24"/>
      <c r="AQ1990" s="24"/>
      <c r="AR1990" s="33"/>
      <c r="AS1990" s="34"/>
      <c r="AT1990" s="33"/>
      <c r="AV1990" s="21">
        <f>IF(AND($AL1990&lt;&gt;"",COUNTIF($AL$11:$AL1990,$AL1990)=1),1,0)</f>
        <v>0</v>
      </c>
      <c r="AW1990" s="21">
        <f t="shared" si="147"/>
        <v>0</v>
      </c>
      <c r="AX1990" s="21" t="str">
        <f t="shared" si="146"/>
        <v/>
      </c>
      <c r="AY1990" s="21" t="str">
        <f>IF(AND($AM1990&lt;&gt;"",$AS1990&lt;&gt;"✓"),SUMPRODUCT(($AM$11:$AM1990&lt;&gt;"")*($AS$11:$AS1990&lt;&gt;"✓")),"")</f>
        <v/>
      </c>
      <c r="AZ1990" s="21" t="str">
        <f>IF(AND($AM1990&lt;&gt;"",$AS1990="✓"),SUMPRODUCT(($AM$11:$AM1990&lt;&gt;"")*($AS$11:$AS1990="✓")),"")</f>
        <v/>
      </c>
      <c r="BA1990" s="21" t="str">
        <f>IF($AL1990="","",$AL1990&amp;"|"&amp;COUNTIF($AL$11:$AL1990,$AL1990))</f>
        <v/>
      </c>
    </row>
    <row r="1991" spans="38:53" ht="15" customHeight="1" x14ac:dyDescent="0.25">
      <c r="AL1991" s="17"/>
      <c r="AM1991" s="12"/>
      <c r="AN1991" s="18"/>
      <c r="AO1991" s="18"/>
      <c r="AP1991" s="10"/>
      <c r="AQ1991" s="10"/>
      <c r="AR1991" s="19"/>
      <c r="AS1991" s="20"/>
      <c r="AT1991" s="19"/>
      <c r="AV1991" s="21">
        <f>IF(AND($AL1991&lt;&gt;"",COUNTIF($AL$11:$AL1991,$AL1991)=1),1,0)</f>
        <v>0</v>
      </c>
      <c r="AW1991" s="21">
        <f t="shared" si="147"/>
        <v>0</v>
      </c>
      <c r="AX1991" s="21" t="str">
        <f t="shared" si="146"/>
        <v/>
      </c>
      <c r="AY1991" s="21" t="str">
        <f>IF(AND($AM1991&lt;&gt;"",$AS1991&lt;&gt;"✓"),SUMPRODUCT(($AM$11:$AM1991&lt;&gt;"")*($AS$11:$AS1991&lt;&gt;"✓")),"")</f>
        <v/>
      </c>
      <c r="AZ1991" s="21" t="str">
        <f>IF(AND($AM1991&lt;&gt;"",$AS1991="✓"),SUMPRODUCT(($AM$11:$AM1991&lt;&gt;"")*($AS$11:$AS1991="✓")),"")</f>
        <v/>
      </c>
      <c r="BA1991" s="21" t="str">
        <f>IF($AL1991="","",$AL1991&amp;"|"&amp;COUNTIF($AL$11:$AL1991,$AL1991))</f>
        <v/>
      </c>
    </row>
    <row r="1992" spans="38:53" ht="15" customHeight="1" x14ac:dyDescent="0.25">
      <c r="AL1992" s="31"/>
      <c r="AM1992" s="26"/>
      <c r="AN1992" s="32"/>
      <c r="AO1992" s="32"/>
      <c r="AP1992" s="24"/>
      <c r="AQ1992" s="24"/>
      <c r="AR1992" s="33"/>
      <c r="AS1992" s="34"/>
      <c r="AT1992" s="33"/>
      <c r="AV1992" s="21">
        <f>IF(AND($AL1992&lt;&gt;"",COUNTIF($AL$11:$AL1992,$AL1992)=1),1,0)</f>
        <v>0</v>
      </c>
      <c r="AW1992" s="21">
        <f t="shared" si="147"/>
        <v>0</v>
      </c>
      <c r="AX1992" s="21" t="str">
        <f t="shared" si="146"/>
        <v/>
      </c>
      <c r="AY1992" s="21" t="str">
        <f>IF(AND($AM1992&lt;&gt;"",$AS1992&lt;&gt;"✓"),SUMPRODUCT(($AM$11:$AM1992&lt;&gt;"")*($AS$11:$AS1992&lt;&gt;"✓")),"")</f>
        <v/>
      </c>
      <c r="AZ1992" s="21" t="str">
        <f>IF(AND($AM1992&lt;&gt;"",$AS1992="✓"),SUMPRODUCT(($AM$11:$AM1992&lt;&gt;"")*($AS$11:$AS1992="✓")),"")</f>
        <v/>
      </c>
      <c r="BA1992" s="21" t="str">
        <f>IF($AL1992="","",$AL1992&amp;"|"&amp;COUNTIF($AL$11:$AL1992,$AL1992))</f>
        <v/>
      </c>
    </row>
    <row r="1993" spans="38:53" ht="15" customHeight="1" x14ac:dyDescent="0.25">
      <c r="AL1993" s="17"/>
      <c r="AM1993" s="12"/>
      <c r="AN1993" s="18"/>
      <c r="AO1993" s="18"/>
      <c r="AP1993" s="10"/>
      <c r="AQ1993" s="10"/>
      <c r="AR1993" s="19"/>
      <c r="AS1993" s="20"/>
      <c r="AT1993" s="19"/>
      <c r="AV1993" s="21">
        <f>IF(AND($AL1993&lt;&gt;"",COUNTIF($AL$11:$AL1993,$AL1993)=1),1,0)</f>
        <v>0</v>
      </c>
      <c r="AW1993" s="21">
        <f t="shared" si="147"/>
        <v>0</v>
      </c>
      <c r="AX1993" s="21" t="str">
        <f t="shared" si="146"/>
        <v/>
      </c>
      <c r="AY1993" s="21" t="str">
        <f>IF(AND($AM1993&lt;&gt;"",$AS1993&lt;&gt;"✓"),SUMPRODUCT(($AM$11:$AM1993&lt;&gt;"")*($AS$11:$AS1993&lt;&gt;"✓")),"")</f>
        <v/>
      </c>
      <c r="AZ1993" s="21" t="str">
        <f>IF(AND($AM1993&lt;&gt;"",$AS1993="✓"),SUMPRODUCT(($AM$11:$AM1993&lt;&gt;"")*($AS$11:$AS1993="✓")),"")</f>
        <v/>
      </c>
      <c r="BA1993" s="21" t="str">
        <f>IF($AL1993="","",$AL1993&amp;"|"&amp;COUNTIF($AL$11:$AL1993,$AL1993))</f>
        <v/>
      </c>
    </row>
    <row r="1994" spans="38:53" ht="15" customHeight="1" x14ac:dyDescent="0.25">
      <c r="AL1994" s="31"/>
      <c r="AM1994" s="26"/>
      <c r="AN1994" s="32"/>
      <c r="AO1994" s="32"/>
      <c r="AP1994" s="24"/>
      <c r="AQ1994" s="24"/>
      <c r="AR1994" s="33"/>
      <c r="AS1994" s="34"/>
      <c r="AT1994" s="33"/>
      <c r="AV1994" s="21">
        <f>IF(AND($AL1994&lt;&gt;"",COUNTIF($AL$11:$AL1994,$AL1994)=1),1,0)</f>
        <v>0</v>
      </c>
      <c r="AW1994" s="21">
        <f t="shared" si="147"/>
        <v>0</v>
      </c>
      <c r="AX1994" s="21" t="str">
        <f t="shared" si="146"/>
        <v/>
      </c>
      <c r="AY1994" s="21" t="str">
        <f>IF(AND($AM1994&lt;&gt;"",$AS1994&lt;&gt;"✓"),SUMPRODUCT(($AM$11:$AM1994&lt;&gt;"")*($AS$11:$AS1994&lt;&gt;"✓")),"")</f>
        <v/>
      </c>
      <c r="AZ1994" s="21" t="str">
        <f>IF(AND($AM1994&lt;&gt;"",$AS1994="✓"),SUMPRODUCT(($AM$11:$AM1994&lt;&gt;"")*($AS$11:$AS1994="✓")),"")</f>
        <v/>
      </c>
      <c r="BA1994" s="21" t="str">
        <f>IF($AL1994="","",$AL1994&amp;"|"&amp;COUNTIF($AL$11:$AL1994,$AL1994))</f>
        <v/>
      </c>
    </row>
    <row r="1995" spans="38:53" ht="15" customHeight="1" x14ac:dyDescent="0.25">
      <c r="AL1995" s="17"/>
      <c r="AM1995" s="12"/>
      <c r="AN1995" s="18"/>
      <c r="AO1995" s="18"/>
      <c r="AP1995" s="10"/>
      <c r="AQ1995" s="10"/>
      <c r="AR1995" s="19"/>
      <c r="AS1995" s="20"/>
      <c r="AT1995" s="19"/>
      <c r="AV1995" s="21">
        <f>IF(AND($AL1995&lt;&gt;"",COUNTIF($AL$11:$AL1995,$AL1995)=1),1,0)</f>
        <v>0</v>
      </c>
      <c r="AW1995" s="21">
        <f t="shared" si="147"/>
        <v>0</v>
      </c>
      <c r="AX1995" s="21" t="str">
        <f t="shared" ref="AX1995:AX2058" si="148">IF(AV1995=1,AW1995,"")</f>
        <v/>
      </c>
      <c r="AY1995" s="21" t="str">
        <f>IF(AND($AM1995&lt;&gt;"",$AS1995&lt;&gt;"✓"),SUMPRODUCT(($AM$11:$AM1995&lt;&gt;"")*($AS$11:$AS1995&lt;&gt;"✓")),"")</f>
        <v/>
      </c>
      <c r="AZ1995" s="21" t="str">
        <f>IF(AND($AM1995&lt;&gt;"",$AS1995="✓"),SUMPRODUCT(($AM$11:$AM1995&lt;&gt;"")*($AS$11:$AS1995="✓")),"")</f>
        <v/>
      </c>
      <c r="BA1995" s="21" t="str">
        <f>IF($AL1995="","",$AL1995&amp;"|"&amp;COUNTIF($AL$11:$AL1995,$AL1995))</f>
        <v/>
      </c>
    </row>
    <row r="1996" spans="38:53" ht="15" customHeight="1" x14ac:dyDescent="0.25">
      <c r="AL1996" s="31"/>
      <c r="AM1996" s="26"/>
      <c r="AN1996" s="32"/>
      <c r="AO1996" s="32"/>
      <c r="AP1996" s="24"/>
      <c r="AQ1996" s="24"/>
      <c r="AR1996" s="33"/>
      <c r="AS1996" s="34"/>
      <c r="AT1996" s="33"/>
      <c r="AV1996" s="21">
        <f>IF(AND($AL1996&lt;&gt;"",COUNTIF($AL$11:$AL1996,$AL1996)=1),1,0)</f>
        <v>0</v>
      </c>
      <c r="AW1996" s="21">
        <f t="shared" ref="AW1996:AW2059" si="149">AW1995+AV1996</f>
        <v>0</v>
      </c>
      <c r="AX1996" s="21" t="str">
        <f t="shared" si="148"/>
        <v/>
      </c>
      <c r="AY1996" s="21" t="str">
        <f>IF(AND($AM1996&lt;&gt;"",$AS1996&lt;&gt;"✓"),SUMPRODUCT(($AM$11:$AM1996&lt;&gt;"")*($AS$11:$AS1996&lt;&gt;"✓")),"")</f>
        <v/>
      </c>
      <c r="AZ1996" s="21" t="str">
        <f>IF(AND($AM1996&lt;&gt;"",$AS1996="✓"),SUMPRODUCT(($AM$11:$AM1996&lt;&gt;"")*($AS$11:$AS1996="✓")),"")</f>
        <v/>
      </c>
      <c r="BA1996" s="21" t="str">
        <f>IF($AL1996="","",$AL1996&amp;"|"&amp;COUNTIF($AL$11:$AL1996,$AL1996))</f>
        <v/>
      </c>
    </row>
    <row r="1997" spans="38:53" ht="15" customHeight="1" x14ac:dyDescent="0.25">
      <c r="AL1997" s="17"/>
      <c r="AM1997" s="12"/>
      <c r="AN1997" s="18"/>
      <c r="AO1997" s="18"/>
      <c r="AP1997" s="10"/>
      <c r="AQ1997" s="10"/>
      <c r="AR1997" s="19"/>
      <c r="AS1997" s="20"/>
      <c r="AT1997" s="19"/>
      <c r="AV1997" s="21">
        <f>IF(AND($AL1997&lt;&gt;"",COUNTIF($AL$11:$AL1997,$AL1997)=1),1,0)</f>
        <v>0</v>
      </c>
      <c r="AW1997" s="21">
        <f t="shared" si="149"/>
        <v>0</v>
      </c>
      <c r="AX1997" s="21" t="str">
        <f t="shared" si="148"/>
        <v/>
      </c>
      <c r="AY1997" s="21" t="str">
        <f>IF(AND($AM1997&lt;&gt;"",$AS1997&lt;&gt;"✓"),SUMPRODUCT(($AM$11:$AM1997&lt;&gt;"")*($AS$11:$AS1997&lt;&gt;"✓")),"")</f>
        <v/>
      </c>
      <c r="AZ1997" s="21" t="str">
        <f>IF(AND($AM1997&lt;&gt;"",$AS1997="✓"),SUMPRODUCT(($AM$11:$AM1997&lt;&gt;"")*($AS$11:$AS1997="✓")),"")</f>
        <v/>
      </c>
      <c r="BA1997" s="21" t="str">
        <f>IF($AL1997="","",$AL1997&amp;"|"&amp;COUNTIF($AL$11:$AL1997,$AL1997))</f>
        <v/>
      </c>
    </row>
    <row r="1998" spans="38:53" ht="15" customHeight="1" x14ac:dyDescent="0.25">
      <c r="AL1998" s="31"/>
      <c r="AM1998" s="26"/>
      <c r="AN1998" s="32"/>
      <c r="AO1998" s="32"/>
      <c r="AP1998" s="24"/>
      <c r="AQ1998" s="24"/>
      <c r="AR1998" s="33"/>
      <c r="AS1998" s="34"/>
      <c r="AT1998" s="33"/>
      <c r="AV1998" s="21">
        <f>IF(AND($AL1998&lt;&gt;"",COUNTIF($AL$11:$AL1998,$AL1998)=1),1,0)</f>
        <v>0</v>
      </c>
      <c r="AW1998" s="21">
        <f t="shared" si="149"/>
        <v>0</v>
      </c>
      <c r="AX1998" s="21" t="str">
        <f t="shared" si="148"/>
        <v/>
      </c>
      <c r="AY1998" s="21" t="str">
        <f>IF(AND($AM1998&lt;&gt;"",$AS1998&lt;&gt;"✓"),SUMPRODUCT(($AM$11:$AM1998&lt;&gt;"")*($AS$11:$AS1998&lt;&gt;"✓")),"")</f>
        <v/>
      </c>
      <c r="AZ1998" s="21" t="str">
        <f>IF(AND($AM1998&lt;&gt;"",$AS1998="✓"),SUMPRODUCT(($AM$11:$AM1998&lt;&gt;"")*($AS$11:$AS1998="✓")),"")</f>
        <v/>
      </c>
      <c r="BA1998" s="21" t="str">
        <f>IF($AL1998="","",$AL1998&amp;"|"&amp;COUNTIF($AL$11:$AL1998,$AL1998))</f>
        <v/>
      </c>
    </row>
    <row r="1999" spans="38:53" ht="15" customHeight="1" x14ac:dyDescent="0.25">
      <c r="AL1999" s="17"/>
      <c r="AM1999" s="12"/>
      <c r="AN1999" s="18"/>
      <c r="AO1999" s="18"/>
      <c r="AP1999" s="10"/>
      <c r="AQ1999" s="10"/>
      <c r="AR1999" s="19"/>
      <c r="AS1999" s="20"/>
      <c r="AT1999" s="19"/>
      <c r="AV1999" s="21">
        <f>IF(AND($AL1999&lt;&gt;"",COUNTIF($AL$11:$AL1999,$AL1999)=1),1,0)</f>
        <v>0</v>
      </c>
      <c r="AW1999" s="21">
        <f t="shared" si="149"/>
        <v>0</v>
      </c>
      <c r="AX1999" s="21" t="str">
        <f t="shared" si="148"/>
        <v/>
      </c>
      <c r="AY1999" s="21" t="str">
        <f>IF(AND($AM1999&lt;&gt;"",$AS1999&lt;&gt;"✓"),SUMPRODUCT(($AM$11:$AM1999&lt;&gt;"")*($AS$11:$AS1999&lt;&gt;"✓")),"")</f>
        <v/>
      </c>
      <c r="AZ1999" s="21" t="str">
        <f>IF(AND($AM1999&lt;&gt;"",$AS1999="✓"),SUMPRODUCT(($AM$11:$AM1999&lt;&gt;"")*($AS$11:$AS1999="✓")),"")</f>
        <v/>
      </c>
      <c r="BA1999" s="21" t="str">
        <f>IF($AL1999="","",$AL1999&amp;"|"&amp;COUNTIF($AL$11:$AL1999,$AL1999))</f>
        <v/>
      </c>
    </row>
    <row r="2000" spans="38:53" ht="15" customHeight="1" x14ac:dyDescent="0.25">
      <c r="AL2000" s="31"/>
      <c r="AM2000" s="26"/>
      <c r="AN2000" s="32"/>
      <c r="AO2000" s="32"/>
      <c r="AP2000" s="24"/>
      <c r="AQ2000" s="24"/>
      <c r="AR2000" s="33"/>
      <c r="AS2000" s="34"/>
      <c r="AT2000" s="33"/>
      <c r="AV2000" s="21">
        <f>IF(AND($AL2000&lt;&gt;"",COUNTIF($AL$11:$AL2000,$AL2000)=1),1,0)</f>
        <v>0</v>
      </c>
      <c r="AW2000" s="21">
        <f t="shared" si="149"/>
        <v>0</v>
      </c>
      <c r="AX2000" s="21" t="str">
        <f t="shared" si="148"/>
        <v/>
      </c>
      <c r="AY2000" s="21" t="str">
        <f>IF(AND($AM2000&lt;&gt;"",$AS2000&lt;&gt;"✓"),SUMPRODUCT(($AM$11:$AM2000&lt;&gt;"")*($AS$11:$AS2000&lt;&gt;"✓")),"")</f>
        <v/>
      </c>
      <c r="AZ2000" s="21" t="str">
        <f>IF(AND($AM2000&lt;&gt;"",$AS2000="✓"),SUMPRODUCT(($AM$11:$AM2000&lt;&gt;"")*($AS$11:$AS2000="✓")),"")</f>
        <v/>
      </c>
      <c r="BA2000" s="21" t="str">
        <f>IF($AL2000="","",$AL2000&amp;"|"&amp;COUNTIF($AL$11:$AL2000,$AL2000))</f>
        <v/>
      </c>
    </row>
    <row r="2001" spans="38:53" ht="15" customHeight="1" x14ac:dyDescent="0.25">
      <c r="AL2001" s="17"/>
      <c r="AM2001" s="12"/>
      <c r="AN2001" s="18"/>
      <c r="AO2001" s="18"/>
      <c r="AP2001" s="10"/>
      <c r="AQ2001" s="10"/>
      <c r="AR2001" s="19"/>
      <c r="AS2001" s="20"/>
      <c r="AT2001" s="19"/>
      <c r="AV2001" s="21">
        <f>IF(AND($AL2001&lt;&gt;"",COUNTIF($AL$11:$AL2001,$AL2001)=1),1,0)</f>
        <v>0</v>
      </c>
      <c r="AW2001" s="21">
        <f t="shared" si="149"/>
        <v>0</v>
      </c>
      <c r="AX2001" s="21" t="str">
        <f t="shared" si="148"/>
        <v/>
      </c>
      <c r="AY2001" s="21" t="str">
        <f>IF(AND($AM2001&lt;&gt;"",$AS2001&lt;&gt;"✓"),SUMPRODUCT(($AM$11:$AM2001&lt;&gt;"")*($AS$11:$AS2001&lt;&gt;"✓")),"")</f>
        <v/>
      </c>
      <c r="AZ2001" s="21" t="str">
        <f>IF(AND($AM2001&lt;&gt;"",$AS2001="✓"),SUMPRODUCT(($AM$11:$AM2001&lt;&gt;"")*($AS$11:$AS2001="✓")),"")</f>
        <v/>
      </c>
      <c r="BA2001" s="21" t="str">
        <f>IF($AL2001="","",$AL2001&amp;"|"&amp;COUNTIF($AL$11:$AL2001,$AL2001))</f>
        <v/>
      </c>
    </row>
    <row r="2002" spans="38:53" ht="15" customHeight="1" x14ac:dyDescent="0.25">
      <c r="AL2002" s="31"/>
      <c r="AM2002" s="26"/>
      <c r="AN2002" s="32"/>
      <c r="AO2002" s="32"/>
      <c r="AP2002" s="24"/>
      <c r="AQ2002" s="24"/>
      <c r="AR2002" s="33"/>
      <c r="AS2002" s="34"/>
      <c r="AT2002" s="33"/>
      <c r="AV2002" s="21">
        <f>IF(AND($AL2002&lt;&gt;"",COUNTIF($AL$11:$AL2002,$AL2002)=1),1,0)</f>
        <v>0</v>
      </c>
      <c r="AW2002" s="21">
        <f t="shared" si="149"/>
        <v>0</v>
      </c>
      <c r="AX2002" s="21" t="str">
        <f t="shared" si="148"/>
        <v/>
      </c>
      <c r="AY2002" s="21" t="str">
        <f>IF(AND($AM2002&lt;&gt;"",$AS2002&lt;&gt;"✓"),SUMPRODUCT(($AM$11:$AM2002&lt;&gt;"")*($AS$11:$AS2002&lt;&gt;"✓")),"")</f>
        <v/>
      </c>
      <c r="AZ2002" s="21" t="str">
        <f>IF(AND($AM2002&lt;&gt;"",$AS2002="✓"),SUMPRODUCT(($AM$11:$AM2002&lt;&gt;"")*($AS$11:$AS2002="✓")),"")</f>
        <v/>
      </c>
      <c r="BA2002" s="21" t="str">
        <f>IF($AL2002="","",$AL2002&amp;"|"&amp;COUNTIF($AL$11:$AL2002,$AL2002))</f>
        <v/>
      </c>
    </row>
    <row r="2003" spans="38:53" ht="15" customHeight="1" x14ac:dyDescent="0.25">
      <c r="AL2003" s="17"/>
      <c r="AM2003" s="12"/>
      <c r="AN2003" s="18"/>
      <c r="AO2003" s="18"/>
      <c r="AP2003" s="10"/>
      <c r="AQ2003" s="10"/>
      <c r="AR2003" s="19"/>
      <c r="AS2003" s="20"/>
      <c r="AT2003" s="19"/>
      <c r="AV2003" s="21">
        <f>IF(AND($AL2003&lt;&gt;"",COUNTIF($AL$11:$AL2003,$AL2003)=1),1,0)</f>
        <v>0</v>
      </c>
      <c r="AW2003" s="21">
        <f t="shared" si="149"/>
        <v>0</v>
      </c>
      <c r="AX2003" s="21" t="str">
        <f t="shared" si="148"/>
        <v/>
      </c>
      <c r="AY2003" s="21" t="str">
        <f>IF(AND($AM2003&lt;&gt;"",$AS2003&lt;&gt;"✓"),SUMPRODUCT(($AM$11:$AM2003&lt;&gt;"")*($AS$11:$AS2003&lt;&gt;"✓")),"")</f>
        <v/>
      </c>
      <c r="AZ2003" s="21" t="str">
        <f>IF(AND($AM2003&lt;&gt;"",$AS2003="✓"),SUMPRODUCT(($AM$11:$AM2003&lt;&gt;"")*($AS$11:$AS2003="✓")),"")</f>
        <v/>
      </c>
      <c r="BA2003" s="21" t="str">
        <f>IF($AL2003="","",$AL2003&amp;"|"&amp;COUNTIF($AL$11:$AL2003,$AL2003))</f>
        <v/>
      </c>
    </row>
    <row r="2004" spans="38:53" ht="15" customHeight="1" x14ac:dyDescent="0.25">
      <c r="AL2004" s="31"/>
      <c r="AM2004" s="26"/>
      <c r="AN2004" s="32"/>
      <c r="AO2004" s="32"/>
      <c r="AP2004" s="24"/>
      <c r="AQ2004" s="24"/>
      <c r="AR2004" s="33"/>
      <c r="AS2004" s="34"/>
      <c r="AT2004" s="33"/>
      <c r="AV2004" s="21">
        <f>IF(AND($AL2004&lt;&gt;"",COUNTIF($AL$11:$AL2004,$AL2004)=1),1,0)</f>
        <v>0</v>
      </c>
      <c r="AW2004" s="21">
        <f t="shared" si="149"/>
        <v>0</v>
      </c>
      <c r="AX2004" s="21" t="str">
        <f t="shared" si="148"/>
        <v/>
      </c>
      <c r="AY2004" s="21" t="str">
        <f>IF(AND($AM2004&lt;&gt;"",$AS2004&lt;&gt;"✓"),SUMPRODUCT(($AM$11:$AM2004&lt;&gt;"")*($AS$11:$AS2004&lt;&gt;"✓")),"")</f>
        <v/>
      </c>
      <c r="AZ2004" s="21" t="str">
        <f>IF(AND($AM2004&lt;&gt;"",$AS2004="✓"),SUMPRODUCT(($AM$11:$AM2004&lt;&gt;"")*($AS$11:$AS2004="✓")),"")</f>
        <v/>
      </c>
      <c r="BA2004" s="21" t="str">
        <f>IF($AL2004="","",$AL2004&amp;"|"&amp;COUNTIF($AL$11:$AL2004,$AL2004))</f>
        <v/>
      </c>
    </row>
    <row r="2005" spans="38:53" ht="15" customHeight="1" x14ac:dyDescent="0.25">
      <c r="AL2005" s="17"/>
      <c r="AM2005" s="12"/>
      <c r="AN2005" s="18"/>
      <c r="AO2005" s="18"/>
      <c r="AP2005" s="10"/>
      <c r="AQ2005" s="10"/>
      <c r="AR2005" s="19"/>
      <c r="AS2005" s="20"/>
      <c r="AT2005" s="19"/>
      <c r="AV2005" s="21">
        <f>IF(AND($AL2005&lt;&gt;"",COUNTIF($AL$11:$AL2005,$AL2005)=1),1,0)</f>
        <v>0</v>
      </c>
      <c r="AW2005" s="21">
        <f t="shared" si="149"/>
        <v>0</v>
      </c>
      <c r="AX2005" s="21" t="str">
        <f t="shared" si="148"/>
        <v/>
      </c>
      <c r="AY2005" s="21" t="str">
        <f>IF(AND($AM2005&lt;&gt;"",$AS2005&lt;&gt;"✓"),SUMPRODUCT(($AM$11:$AM2005&lt;&gt;"")*($AS$11:$AS2005&lt;&gt;"✓")),"")</f>
        <v/>
      </c>
      <c r="AZ2005" s="21" t="str">
        <f>IF(AND($AM2005&lt;&gt;"",$AS2005="✓"),SUMPRODUCT(($AM$11:$AM2005&lt;&gt;"")*($AS$11:$AS2005="✓")),"")</f>
        <v/>
      </c>
      <c r="BA2005" s="21" t="str">
        <f>IF($AL2005="","",$AL2005&amp;"|"&amp;COUNTIF($AL$11:$AL2005,$AL2005))</f>
        <v/>
      </c>
    </row>
    <row r="2006" spans="38:53" ht="15" customHeight="1" x14ac:dyDescent="0.25">
      <c r="AL2006" s="31"/>
      <c r="AM2006" s="26"/>
      <c r="AN2006" s="32"/>
      <c r="AO2006" s="32"/>
      <c r="AP2006" s="24"/>
      <c r="AQ2006" s="24"/>
      <c r="AR2006" s="33"/>
      <c r="AS2006" s="34"/>
      <c r="AT2006" s="33"/>
      <c r="AV2006" s="21">
        <f>IF(AND($AL2006&lt;&gt;"",COUNTIF($AL$11:$AL2006,$AL2006)=1),1,0)</f>
        <v>0</v>
      </c>
      <c r="AW2006" s="21">
        <f t="shared" si="149"/>
        <v>0</v>
      </c>
      <c r="AX2006" s="21" t="str">
        <f t="shared" si="148"/>
        <v/>
      </c>
      <c r="AY2006" s="21" t="str">
        <f>IF(AND($AM2006&lt;&gt;"",$AS2006&lt;&gt;"✓"),SUMPRODUCT(($AM$11:$AM2006&lt;&gt;"")*($AS$11:$AS2006&lt;&gt;"✓")),"")</f>
        <v/>
      </c>
      <c r="AZ2006" s="21" t="str">
        <f>IF(AND($AM2006&lt;&gt;"",$AS2006="✓"),SUMPRODUCT(($AM$11:$AM2006&lt;&gt;"")*($AS$11:$AS2006="✓")),"")</f>
        <v/>
      </c>
      <c r="BA2006" s="21" t="str">
        <f>IF($AL2006="","",$AL2006&amp;"|"&amp;COUNTIF($AL$11:$AL2006,$AL2006))</f>
        <v/>
      </c>
    </row>
    <row r="2007" spans="38:53" ht="15" customHeight="1" x14ac:dyDescent="0.25">
      <c r="AL2007" s="17"/>
      <c r="AM2007" s="12"/>
      <c r="AN2007" s="18"/>
      <c r="AO2007" s="18"/>
      <c r="AP2007" s="10"/>
      <c r="AQ2007" s="10"/>
      <c r="AR2007" s="19"/>
      <c r="AS2007" s="20"/>
      <c r="AT2007" s="19"/>
      <c r="AV2007" s="21">
        <f>IF(AND($AL2007&lt;&gt;"",COUNTIF($AL$11:$AL2007,$AL2007)=1),1,0)</f>
        <v>0</v>
      </c>
      <c r="AW2007" s="21">
        <f t="shared" si="149"/>
        <v>0</v>
      </c>
      <c r="AX2007" s="21" t="str">
        <f t="shared" si="148"/>
        <v/>
      </c>
      <c r="AY2007" s="21" t="str">
        <f>IF(AND($AM2007&lt;&gt;"",$AS2007&lt;&gt;"✓"),SUMPRODUCT(($AM$11:$AM2007&lt;&gt;"")*($AS$11:$AS2007&lt;&gt;"✓")),"")</f>
        <v/>
      </c>
      <c r="AZ2007" s="21" t="str">
        <f>IF(AND($AM2007&lt;&gt;"",$AS2007="✓"),SUMPRODUCT(($AM$11:$AM2007&lt;&gt;"")*($AS$11:$AS2007="✓")),"")</f>
        <v/>
      </c>
      <c r="BA2007" s="21" t="str">
        <f>IF($AL2007="","",$AL2007&amp;"|"&amp;COUNTIF($AL$11:$AL2007,$AL2007))</f>
        <v/>
      </c>
    </row>
    <row r="2008" spans="38:53" ht="15" customHeight="1" x14ac:dyDescent="0.25">
      <c r="AL2008" s="31"/>
      <c r="AM2008" s="26"/>
      <c r="AN2008" s="32"/>
      <c r="AO2008" s="32"/>
      <c r="AP2008" s="24"/>
      <c r="AQ2008" s="24"/>
      <c r="AR2008" s="33"/>
      <c r="AS2008" s="34"/>
      <c r="AT2008" s="33"/>
      <c r="AV2008" s="21">
        <f>IF(AND($AL2008&lt;&gt;"",COUNTIF($AL$11:$AL2008,$AL2008)=1),1,0)</f>
        <v>0</v>
      </c>
      <c r="AW2008" s="21">
        <f t="shared" si="149"/>
        <v>0</v>
      </c>
      <c r="AX2008" s="21" t="str">
        <f t="shared" si="148"/>
        <v/>
      </c>
      <c r="AY2008" s="21" t="str">
        <f>IF(AND($AM2008&lt;&gt;"",$AS2008&lt;&gt;"✓"),SUMPRODUCT(($AM$11:$AM2008&lt;&gt;"")*($AS$11:$AS2008&lt;&gt;"✓")),"")</f>
        <v/>
      </c>
      <c r="AZ2008" s="21" t="str">
        <f>IF(AND($AM2008&lt;&gt;"",$AS2008="✓"),SUMPRODUCT(($AM$11:$AM2008&lt;&gt;"")*($AS$11:$AS2008="✓")),"")</f>
        <v/>
      </c>
      <c r="BA2008" s="21" t="str">
        <f>IF($AL2008="","",$AL2008&amp;"|"&amp;COUNTIF($AL$11:$AL2008,$AL2008))</f>
        <v/>
      </c>
    </row>
    <row r="2009" spans="38:53" ht="15" customHeight="1" x14ac:dyDescent="0.25">
      <c r="AL2009" s="17"/>
      <c r="AM2009" s="12"/>
      <c r="AN2009" s="18"/>
      <c r="AO2009" s="18"/>
      <c r="AP2009" s="10"/>
      <c r="AQ2009" s="10"/>
      <c r="AR2009" s="19"/>
      <c r="AS2009" s="20"/>
      <c r="AT2009" s="19"/>
      <c r="AV2009" s="21">
        <f>IF(AND($AL2009&lt;&gt;"",COUNTIF($AL$11:$AL2009,$AL2009)=1),1,0)</f>
        <v>0</v>
      </c>
      <c r="AW2009" s="21">
        <f t="shared" si="149"/>
        <v>0</v>
      </c>
      <c r="AX2009" s="21" t="str">
        <f t="shared" si="148"/>
        <v/>
      </c>
      <c r="AY2009" s="21" t="str">
        <f>IF(AND($AM2009&lt;&gt;"",$AS2009&lt;&gt;"✓"),SUMPRODUCT(($AM$11:$AM2009&lt;&gt;"")*($AS$11:$AS2009&lt;&gt;"✓")),"")</f>
        <v/>
      </c>
      <c r="AZ2009" s="21" t="str">
        <f>IF(AND($AM2009&lt;&gt;"",$AS2009="✓"),SUMPRODUCT(($AM$11:$AM2009&lt;&gt;"")*($AS$11:$AS2009="✓")),"")</f>
        <v/>
      </c>
      <c r="BA2009" s="21" t="str">
        <f>IF($AL2009="","",$AL2009&amp;"|"&amp;COUNTIF($AL$11:$AL2009,$AL2009))</f>
        <v/>
      </c>
    </row>
    <row r="2010" spans="38:53" ht="15" customHeight="1" x14ac:dyDescent="0.25">
      <c r="AL2010" s="31"/>
      <c r="AM2010" s="26"/>
      <c r="AN2010" s="32"/>
      <c r="AO2010" s="32"/>
      <c r="AP2010" s="24"/>
      <c r="AQ2010" s="24"/>
      <c r="AR2010" s="33"/>
      <c r="AS2010" s="34"/>
      <c r="AT2010" s="33"/>
      <c r="AV2010" s="21">
        <f>IF(AND($AL2010&lt;&gt;"",COUNTIF($AL$11:$AL2010,$AL2010)=1),1,0)</f>
        <v>0</v>
      </c>
      <c r="AW2010" s="21">
        <f t="shared" si="149"/>
        <v>0</v>
      </c>
      <c r="AX2010" s="21" t="str">
        <f t="shared" si="148"/>
        <v/>
      </c>
      <c r="AY2010" s="21" t="str">
        <f>IF(AND($AM2010&lt;&gt;"",$AS2010&lt;&gt;"✓"),SUMPRODUCT(($AM$11:$AM2010&lt;&gt;"")*($AS$11:$AS2010&lt;&gt;"✓")),"")</f>
        <v/>
      </c>
      <c r="AZ2010" s="21" t="str">
        <f>IF(AND($AM2010&lt;&gt;"",$AS2010="✓"),SUMPRODUCT(($AM$11:$AM2010&lt;&gt;"")*($AS$11:$AS2010="✓")),"")</f>
        <v/>
      </c>
      <c r="BA2010" s="21" t="str">
        <f>IF($AL2010="","",$AL2010&amp;"|"&amp;COUNTIF($AL$11:$AL2010,$AL2010))</f>
        <v/>
      </c>
    </row>
    <row r="2011" spans="38:53" ht="15" customHeight="1" x14ac:dyDescent="0.25">
      <c r="AL2011" s="17"/>
      <c r="AM2011" s="12"/>
      <c r="AN2011" s="18"/>
      <c r="AO2011" s="18"/>
      <c r="AP2011" s="10"/>
      <c r="AQ2011" s="10"/>
      <c r="AR2011" s="19"/>
      <c r="AS2011" s="20"/>
      <c r="AT2011" s="19"/>
      <c r="AV2011" s="21">
        <f>IF(AND($AL2011&lt;&gt;"",COUNTIF($AL$11:$AL2011,$AL2011)=1),1,0)</f>
        <v>0</v>
      </c>
      <c r="AW2011" s="21">
        <f t="shared" si="149"/>
        <v>0</v>
      </c>
      <c r="AX2011" s="21" t="str">
        <f t="shared" si="148"/>
        <v/>
      </c>
      <c r="AY2011" s="21" t="str">
        <f>IF(AND($AM2011&lt;&gt;"",$AS2011&lt;&gt;"✓"),SUMPRODUCT(($AM$11:$AM2011&lt;&gt;"")*($AS$11:$AS2011&lt;&gt;"✓")),"")</f>
        <v/>
      </c>
      <c r="AZ2011" s="21" t="str">
        <f>IF(AND($AM2011&lt;&gt;"",$AS2011="✓"),SUMPRODUCT(($AM$11:$AM2011&lt;&gt;"")*($AS$11:$AS2011="✓")),"")</f>
        <v/>
      </c>
      <c r="BA2011" s="21" t="str">
        <f>IF($AL2011="","",$AL2011&amp;"|"&amp;COUNTIF($AL$11:$AL2011,$AL2011))</f>
        <v/>
      </c>
    </row>
    <row r="2012" spans="38:53" ht="15" customHeight="1" x14ac:dyDescent="0.25">
      <c r="AL2012" s="31"/>
      <c r="AM2012" s="26"/>
      <c r="AN2012" s="32"/>
      <c r="AO2012" s="32"/>
      <c r="AP2012" s="24"/>
      <c r="AQ2012" s="24"/>
      <c r="AR2012" s="33"/>
      <c r="AS2012" s="34"/>
      <c r="AT2012" s="33"/>
      <c r="AV2012" s="21">
        <f>IF(AND($AL2012&lt;&gt;"",COUNTIF($AL$11:$AL2012,$AL2012)=1),1,0)</f>
        <v>0</v>
      </c>
      <c r="AW2012" s="21">
        <f t="shared" si="149"/>
        <v>0</v>
      </c>
      <c r="AX2012" s="21" t="str">
        <f t="shared" si="148"/>
        <v/>
      </c>
      <c r="AY2012" s="21" t="str">
        <f>IF(AND($AM2012&lt;&gt;"",$AS2012&lt;&gt;"✓"),SUMPRODUCT(($AM$11:$AM2012&lt;&gt;"")*($AS$11:$AS2012&lt;&gt;"✓")),"")</f>
        <v/>
      </c>
      <c r="AZ2012" s="21" t="str">
        <f>IF(AND($AM2012&lt;&gt;"",$AS2012="✓"),SUMPRODUCT(($AM$11:$AM2012&lt;&gt;"")*($AS$11:$AS2012="✓")),"")</f>
        <v/>
      </c>
      <c r="BA2012" s="21" t="str">
        <f>IF($AL2012="","",$AL2012&amp;"|"&amp;COUNTIF($AL$11:$AL2012,$AL2012))</f>
        <v/>
      </c>
    </row>
    <row r="2013" spans="38:53" ht="15" customHeight="1" x14ac:dyDescent="0.25">
      <c r="AL2013" s="17"/>
      <c r="AM2013" s="12"/>
      <c r="AN2013" s="18"/>
      <c r="AO2013" s="18"/>
      <c r="AP2013" s="10"/>
      <c r="AQ2013" s="10"/>
      <c r="AR2013" s="19"/>
      <c r="AS2013" s="20"/>
      <c r="AT2013" s="19"/>
      <c r="AV2013" s="21">
        <f>IF(AND($AL2013&lt;&gt;"",COUNTIF($AL$11:$AL2013,$AL2013)=1),1,0)</f>
        <v>0</v>
      </c>
      <c r="AW2013" s="21">
        <f t="shared" si="149"/>
        <v>0</v>
      </c>
      <c r="AX2013" s="21" t="str">
        <f t="shared" si="148"/>
        <v/>
      </c>
      <c r="AY2013" s="21" t="str">
        <f>IF(AND($AM2013&lt;&gt;"",$AS2013&lt;&gt;"✓"),SUMPRODUCT(($AM$11:$AM2013&lt;&gt;"")*($AS$11:$AS2013&lt;&gt;"✓")),"")</f>
        <v/>
      </c>
      <c r="AZ2013" s="21" t="str">
        <f>IF(AND($AM2013&lt;&gt;"",$AS2013="✓"),SUMPRODUCT(($AM$11:$AM2013&lt;&gt;"")*($AS$11:$AS2013="✓")),"")</f>
        <v/>
      </c>
      <c r="BA2013" s="21" t="str">
        <f>IF($AL2013="","",$AL2013&amp;"|"&amp;COUNTIF($AL$11:$AL2013,$AL2013))</f>
        <v/>
      </c>
    </row>
    <row r="2014" spans="38:53" ht="15" customHeight="1" x14ac:dyDescent="0.25">
      <c r="AL2014" s="31"/>
      <c r="AM2014" s="26"/>
      <c r="AN2014" s="32"/>
      <c r="AO2014" s="32"/>
      <c r="AP2014" s="24"/>
      <c r="AQ2014" s="24"/>
      <c r="AR2014" s="33"/>
      <c r="AS2014" s="34"/>
      <c r="AT2014" s="33"/>
      <c r="AV2014" s="21">
        <f>IF(AND($AL2014&lt;&gt;"",COUNTIF($AL$11:$AL2014,$AL2014)=1),1,0)</f>
        <v>0</v>
      </c>
      <c r="AW2014" s="21">
        <f t="shared" si="149"/>
        <v>0</v>
      </c>
      <c r="AX2014" s="21" t="str">
        <f t="shared" si="148"/>
        <v/>
      </c>
      <c r="AY2014" s="21" t="str">
        <f>IF(AND($AM2014&lt;&gt;"",$AS2014&lt;&gt;"✓"),SUMPRODUCT(($AM$11:$AM2014&lt;&gt;"")*($AS$11:$AS2014&lt;&gt;"✓")),"")</f>
        <v/>
      </c>
      <c r="AZ2014" s="21" t="str">
        <f>IF(AND($AM2014&lt;&gt;"",$AS2014="✓"),SUMPRODUCT(($AM$11:$AM2014&lt;&gt;"")*($AS$11:$AS2014="✓")),"")</f>
        <v/>
      </c>
      <c r="BA2014" s="21" t="str">
        <f>IF($AL2014="","",$AL2014&amp;"|"&amp;COUNTIF($AL$11:$AL2014,$AL2014))</f>
        <v/>
      </c>
    </row>
    <row r="2015" spans="38:53" ht="15" customHeight="1" x14ac:dyDescent="0.25">
      <c r="AL2015" s="17"/>
      <c r="AM2015" s="12"/>
      <c r="AN2015" s="18"/>
      <c r="AO2015" s="18"/>
      <c r="AP2015" s="10"/>
      <c r="AQ2015" s="10"/>
      <c r="AR2015" s="19"/>
      <c r="AS2015" s="20"/>
      <c r="AT2015" s="19"/>
      <c r="AV2015" s="21">
        <f>IF(AND($AL2015&lt;&gt;"",COUNTIF($AL$11:$AL2015,$AL2015)=1),1,0)</f>
        <v>0</v>
      </c>
      <c r="AW2015" s="21">
        <f t="shared" si="149"/>
        <v>0</v>
      </c>
      <c r="AX2015" s="21" t="str">
        <f t="shared" si="148"/>
        <v/>
      </c>
      <c r="AY2015" s="21" t="str">
        <f>IF(AND($AM2015&lt;&gt;"",$AS2015&lt;&gt;"✓"),SUMPRODUCT(($AM$11:$AM2015&lt;&gt;"")*($AS$11:$AS2015&lt;&gt;"✓")),"")</f>
        <v/>
      </c>
      <c r="AZ2015" s="21" t="str">
        <f>IF(AND($AM2015&lt;&gt;"",$AS2015="✓"),SUMPRODUCT(($AM$11:$AM2015&lt;&gt;"")*($AS$11:$AS2015="✓")),"")</f>
        <v/>
      </c>
      <c r="BA2015" s="21" t="str">
        <f>IF($AL2015="","",$AL2015&amp;"|"&amp;COUNTIF($AL$11:$AL2015,$AL2015))</f>
        <v/>
      </c>
    </row>
    <row r="2016" spans="38:53" ht="15" customHeight="1" x14ac:dyDescent="0.25">
      <c r="AL2016" s="31"/>
      <c r="AM2016" s="26"/>
      <c r="AN2016" s="32"/>
      <c r="AO2016" s="32"/>
      <c r="AP2016" s="24"/>
      <c r="AQ2016" s="24"/>
      <c r="AR2016" s="33"/>
      <c r="AS2016" s="34"/>
      <c r="AT2016" s="33"/>
      <c r="AV2016" s="21">
        <f>IF(AND($AL2016&lt;&gt;"",COUNTIF($AL$11:$AL2016,$AL2016)=1),1,0)</f>
        <v>0</v>
      </c>
      <c r="AW2016" s="21">
        <f t="shared" si="149"/>
        <v>0</v>
      </c>
      <c r="AX2016" s="21" t="str">
        <f t="shared" si="148"/>
        <v/>
      </c>
      <c r="AY2016" s="21" t="str">
        <f>IF(AND($AM2016&lt;&gt;"",$AS2016&lt;&gt;"✓"),SUMPRODUCT(($AM$11:$AM2016&lt;&gt;"")*($AS$11:$AS2016&lt;&gt;"✓")),"")</f>
        <v/>
      </c>
      <c r="AZ2016" s="21" t="str">
        <f>IF(AND($AM2016&lt;&gt;"",$AS2016="✓"),SUMPRODUCT(($AM$11:$AM2016&lt;&gt;"")*($AS$11:$AS2016="✓")),"")</f>
        <v/>
      </c>
      <c r="BA2016" s="21" t="str">
        <f>IF($AL2016="","",$AL2016&amp;"|"&amp;COUNTIF($AL$11:$AL2016,$AL2016))</f>
        <v/>
      </c>
    </row>
    <row r="2017" spans="38:53" ht="15" customHeight="1" x14ac:dyDescent="0.25">
      <c r="AL2017" s="17"/>
      <c r="AM2017" s="12"/>
      <c r="AN2017" s="18"/>
      <c r="AO2017" s="18"/>
      <c r="AP2017" s="10"/>
      <c r="AQ2017" s="10"/>
      <c r="AR2017" s="19"/>
      <c r="AS2017" s="20"/>
      <c r="AT2017" s="19"/>
      <c r="AV2017" s="21">
        <f>IF(AND($AL2017&lt;&gt;"",COUNTIF($AL$11:$AL2017,$AL2017)=1),1,0)</f>
        <v>0</v>
      </c>
      <c r="AW2017" s="21">
        <f t="shared" si="149"/>
        <v>0</v>
      </c>
      <c r="AX2017" s="21" t="str">
        <f t="shared" si="148"/>
        <v/>
      </c>
      <c r="AY2017" s="21" t="str">
        <f>IF(AND($AM2017&lt;&gt;"",$AS2017&lt;&gt;"✓"),SUMPRODUCT(($AM$11:$AM2017&lt;&gt;"")*($AS$11:$AS2017&lt;&gt;"✓")),"")</f>
        <v/>
      </c>
      <c r="AZ2017" s="21" t="str">
        <f>IF(AND($AM2017&lt;&gt;"",$AS2017="✓"),SUMPRODUCT(($AM$11:$AM2017&lt;&gt;"")*($AS$11:$AS2017="✓")),"")</f>
        <v/>
      </c>
      <c r="BA2017" s="21" t="str">
        <f>IF($AL2017="","",$AL2017&amp;"|"&amp;COUNTIF($AL$11:$AL2017,$AL2017))</f>
        <v/>
      </c>
    </row>
    <row r="2018" spans="38:53" ht="15" customHeight="1" x14ac:dyDescent="0.25">
      <c r="AL2018" s="31"/>
      <c r="AM2018" s="26"/>
      <c r="AN2018" s="32"/>
      <c r="AO2018" s="32"/>
      <c r="AP2018" s="24"/>
      <c r="AQ2018" s="24"/>
      <c r="AR2018" s="33"/>
      <c r="AS2018" s="34"/>
      <c r="AT2018" s="33"/>
      <c r="AV2018" s="21">
        <f>IF(AND($AL2018&lt;&gt;"",COUNTIF($AL$11:$AL2018,$AL2018)=1),1,0)</f>
        <v>0</v>
      </c>
      <c r="AW2018" s="21">
        <f t="shared" si="149"/>
        <v>0</v>
      </c>
      <c r="AX2018" s="21" t="str">
        <f t="shared" si="148"/>
        <v/>
      </c>
      <c r="AY2018" s="21" t="str">
        <f>IF(AND($AM2018&lt;&gt;"",$AS2018&lt;&gt;"✓"),SUMPRODUCT(($AM$11:$AM2018&lt;&gt;"")*($AS$11:$AS2018&lt;&gt;"✓")),"")</f>
        <v/>
      </c>
      <c r="AZ2018" s="21" t="str">
        <f>IF(AND($AM2018&lt;&gt;"",$AS2018="✓"),SUMPRODUCT(($AM$11:$AM2018&lt;&gt;"")*($AS$11:$AS2018="✓")),"")</f>
        <v/>
      </c>
      <c r="BA2018" s="21" t="str">
        <f>IF($AL2018="","",$AL2018&amp;"|"&amp;COUNTIF($AL$11:$AL2018,$AL2018))</f>
        <v/>
      </c>
    </row>
    <row r="2019" spans="38:53" ht="15" customHeight="1" x14ac:dyDescent="0.25">
      <c r="AL2019" s="17"/>
      <c r="AM2019" s="12"/>
      <c r="AN2019" s="18"/>
      <c r="AO2019" s="18"/>
      <c r="AP2019" s="10"/>
      <c r="AQ2019" s="10"/>
      <c r="AR2019" s="19"/>
      <c r="AS2019" s="20"/>
      <c r="AT2019" s="19"/>
      <c r="AV2019" s="21">
        <f>IF(AND($AL2019&lt;&gt;"",COUNTIF($AL$11:$AL2019,$AL2019)=1),1,0)</f>
        <v>0</v>
      </c>
      <c r="AW2019" s="21">
        <f t="shared" si="149"/>
        <v>0</v>
      </c>
      <c r="AX2019" s="21" t="str">
        <f t="shared" si="148"/>
        <v/>
      </c>
      <c r="AY2019" s="21" t="str">
        <f>IF(AND($AM2019&lt;&gt;"",$AS2019&lt;&gt;"✓"),SUMPRODUCT(($AM$11:$AM2019&lt;&gt;"")*($AS$11:$AS2019&lt;&gt;"✓")),"")</f>
        <v/>
      </c>
      <c r="AZ2019" s="21" t="str">
        <f>IF(AND($AM2019&lt;&gt;"",$AS2019="✓"),SUMPRODUCT(($AM$11:$AM2019&lt;&gt;"")*($AS$11:$AS2019="✓")),"")</f>
        <v/>
      </c>
      <c r="BA2019" s="21" t="str">
        <f>IF($AL2019="","",$AL2019&amp;"|"&amp;COUNTIF($AL$11:$AL2019,$AL2019))</f>
        <v/>
      </c>
    </row>
    <row r="2020" spans="38:53" ht="15" customHeight="1" x14ac:dyDescent="0.25">
      <c r="AL2020" s="31"/>
      <c r="AM2020" s="26"/>
      <c r="AN2020" s="32"/>
      <c r="AO2020" s="32"/>
      <c r="AP2020" s="24"/>
      <c r="AQ2020" s="24"/>
      <c r="AR2020" s="33"/>
      <c r="AS2020" s="34"/>
      <c r="AT2020" s="33"/>
      <c r="AV2020" s="21">
        <f>IF(AND($AL2020&lt;&gt;"",COUNTIF($AL$11:$AL2020,$AL2020)=1),1,0)</f>
        <v>0</v>
      </c>
      <c r="AW2020" s="21">
        <f t="shared" si="149"/>
        <v>0</v>
      </c>
      <c r="AX2020" s="21" t="str">
        <f t="shared" si="148"/>
        <v/>
      </c>
      <c r="AY2020" s="21" t="str">
        <f>IF(AND($AM2020&lt;&gt;"",$AS2020&lt;&gt;"✓"),SUMPRODUCT(($AM$11:$AM2020&lt;&gt;"")*($AS$11:$AS2020&lt;&gt;"✓")),"")</f>
        <v/>
      </c>
      <c r="AZ2020" s="21" t="str">
        <f>IF(AND($AM2020&lt;&gt;"",$AS2020="✓"),SUMPRODUCT(($AM$11:$AM2020&lt;&gt;"")*($AS$11:$AS2020="✓")),"")</f>
        <v/>
      </c>
      <c r="BA2020" s="21" t="str">
        <f>IF($AL2020="","",$AL2020&amp;"|"&amp;COUNTIF($AL$11:$AL2020,$AL2020))</f>
        <v/>
      </c>
    </row>
    <row r="2021" spans="38:53" ht="15" customHeight="1" x14ac:dyDescent="0.25">
      <c r="AL2021" s="17"/>
      <c r="AM2021" s="12"/>
      <c r="AN2021" s="18"/>
      <c r="AO2021" s="18"/>
      <c r="AP2021" s="10"/>
      <c r="AQ2021" s="10"/>
      <c r="AR2021" s="19"/>
      <c r="AS2021" s="20"/>
      <c r="AT2021" s="19"/>
      <c r="AV2021" s="21">
        <f>IF(AND($AL2021&lt;&gt;"",COUNTIF($AL$11:$AL2021,$AL2021)=1),1,0)</f>
        <v>0</v>
      </c>
      <c r="AW2021" s="21">
        <f t="shared" si="149"/>
        <v>0</v>
      </c>
      <c r="AX2021" s="21" t="str">
        <f t="shared" si="148"/>
        <v/>
      </c>
      <c r="AY2021" s="21" t="str">
        <f>IF(AND($AM2021&lt;&gt;"",$AS2021&lt;&gt;"✓"),SUMPRODUCT(($AM$11:$AM2021&lt;&gt;"")*($AS$11:$AS2021&lt;&gt;"✓")),"")</f>
        <v/>
      </c>
      <c r="AZ2021" s="21" t="str">
        <f>IF(AND($AM2021&lt;&gt;"",$AS2021="✓"),SUMPRODUCT(($AM$11:$AM2021&lt;&gt;"")*($AS$11:$AS2021="✓")),"")</f>
        <v/>
      </c>
      <c r="BA2021" s="21" t="str">
        <f>IF($AL2021="","",$AL2021&amp;"|"&amp;COUNTIF($AL$11:$AL2021,$AL2021))</f>
        <v/>
      </c>
    </row>
    <row r="2022" spans="38:53" ht="15" customHeight="1" x14ac:dyDescent="0.25">
      <c r="AL2022" s="31"/>
      <c r="AM2022" s="26"/>
      <c r="AN2022" s="32"/>
      <c r="AO2022" s="32"/>
      <c r="AP2022" s="24"/>
      <c r="AQ2022" s="24"/>
      <c r="AR2022" s="33"/>
      <c r="AS2022" s="34"/>
      <c r="AT2022" s="33"/>
      <c r="AV2022" s="21">
        <f>IF(AND($AL2022&lt;&gt;"",COUNTIF($AL$11:$AL2022,$AL2022)=1),1,0)</f>
        <v>0</v>
      </c>
      <c r="AW2022" s="21">
        <f t="shared" si="149"/>
        <v>0</v>
      </c>
      <c r="AX2022" s="21" t="str">
        <f t="shared" si="148"/>
        <v/>
      </c>
      <c r="AY2022" s="21" t="str">
        <f>IF(AND($AM2022&lt;&gt;"",$AS2022&lt;&gt;"✓"),SUMPRODUCT(($AM$11:$AM2022&lt;&gt;"")*($AS$11:$AS2022&lt;&gt;"✓")),"")</f>
        <v/>
      </c>
      <c r="AZ2022" s="21" t="str">
        <f>IF(AND($AM2022&lt;&gt;"",$AS2022="✓"),SUMPRODUCT(($AM$11:$AM2022&lt;&gt;"")*($AS$11:$AS2022="✓")),"")</f>
        <v/>
      </c>
      <c r="BA2022" s="21" t="str">
        <f>IF($AL2022="","",$AL2022&amp;"|"&amp;COUNTIF($AL$11:$AL2022,$AL2022))</f>
        <v/>
      </c>
    </row>
    <row r="2023" spans="38:53" ht="15" customHeight="1" x14ac:dyDescent="0.25">
      <c r="AL2023" s="17"/>
      <c r="AM2023" s="12"/>
      <c r="AN2023" s="18"/>
      <c r="AO2023" s="18"/>
      <c r="AP2023" s="10"/>
      <c r="AQ2023" s="10"/>
      <c r="AR2023" s="19"/>
      <c r="AS2023" s="20"/>
      <c r="AT2023" s="19"/>
      <c r="AV2023" s="21">
        <f>IF(AND($AL2023&lt;&gt;"",COUNTIF($AL$11:$AL2023,$AL2023)=1),1,0)</f>
        <v>0</v>
      </c>
      <c r="AW2023" s="21">
        <f t="shared" si="149"/>
        <v>0</v>
      </c>
      <c r="AX2023" s="21" t="str">
        <f t="shared" si="148"/>
        <v/>
      </c>
      <c r="AY2023" s="21" t="str">
        <f>IF(AND($AM2023&lt;&gt;"",$AS2023&lt;&gt;"✓"),SUMPRODUCT(($AM$11:$AM2023&lt;&gt;"")*($AS$11:$AS2023&lt;&gt;"✓")),"")</f>
        <v/>
      </c>
      <c r="AZ2023" s="21" t="str">
        <f>IF(AND($AM2023&lt;&gt;"",$AS2023="✓"),SUMPRODUCT(($AM$11:$AM2023&lt;&gt;"")*($AS$11:$AS2023="✓")),"")</f>
        <v/>
      </c>
      <c r="BA2023" s="21" t="str">
        <f>IF($AL2023="","",$AL2023&amp;"|"&amp;COUNTIF($AL$11:$AL2023,$AL2023))</f>
        <v/>
      </c>
    </row>
    <row r="2024" spans="38:53" ht="15" customHeight="1" x14ac:dyDescent="0.25">
      <c r="AL2024" s="31"/>
      <c r="AM2024" s="26"/>
      <c r="AN2024" s="32"/>
      <c r="AO2024" s="32"/>
      <c r="AP2024" s="24"/>
      <c r="AQ2024" s="24"/>
      <c r="AR2024" s="33"/>
      <c r="AS2024" s="34"/>
      <c r="AT2024" s="33"/>
      <c r="AV2024" s="21">
        <f>IF(AND($AL2024&lt;&gt;"",COUNTIF($AL$11:$AL2024,$AL2024)=1),1,0)</f>
        <v>0</v>
      </c>
      <c r="AW2024" s="21">
        <f t="shared" si="149"/>
        <v>0</v>
      </c>
      <c r="AX2024" s="21" t="str">
        <f t="shared" si="148"/>
        <v/>
      </c>
      <c r="AY2024" s="21" t="str">
        <f>IF(AND($AM2024&lt;&gt;"",$AS2024&lt;&gt;"✓"),SUMPRODUCT(($AM$11:$AM2024&lt;&gt;"")*($AS$11:$AS2024&lt;&gt;"✓")),"")</f>
        <v/>
      </c>
      <c r="AZ2024" s="21" t="str">
        <f>IF(AND($AM2024&lt;&gt;"",$AS2024="✓"),SUMPRODUCT(($AM$11:$AM2024&lt;&gt;"")*($AS$11:$AS2024="✓")),"")</f>
        <v/>
      </c>
      <c r="BA2024" s="21" t="str">
        <f>IF($AL2024="","",$AL2024&amp;"|"&amp;COUNTIF($AL$11:$AL2024,$AL2024))</f>
        <v/>
      </c>
    </row>
    <row r="2025" spans="38:53" ht="15" customHeight="1" x14ac:dyDescent="0.25">
      <c r="AL2025" s="17"/>
      <c r="AM2025" s="12"/>
      <c r="AN2025" s="18"/>
      <c r="AO2025" s="18"/>
      <c r="AP2025" s="10"/>
      <c r="AQ2025" s="10"/>
      <c r="AR2025" s="19"/>
      <c r="AS2025" s="20"/>
      <c r="AT2025" s="19"/>
      <c r="AV2025" s="21">
        <f>IF(AND($AL2025&lt;&gt;"",COUNTIF($AL$11:$AL2025,$AL2025)=1),1,0)</f>
        <v>0</v>
      </c>
      <c r="AW2025" s="21">
        <f t="shared" si="149"/>
        <v>0</v>
      </c>
      <c r="AX2025" s="21" t="str">
        <f t="shared" si="148"/>
        <v/>
      </c>
      <c r="AY2025" s="21" t="str">
        <f>IF(AND($AM2025&lt;&gt;"",$AS2025&lt;&gt;"✓"),SUMPRODUCT(($AM$11:$AM2025&lt;&gt;"")*($AS$11:$AS2025&lt;&gt;"✓")),"")</f>
        <v/>
      </c>
      <c r="AZ2025" s="21" t="str">
        <f>IF(AND($AM2025&lt;&gt;"",$AS2025="✓"),SUMPRODUCT(($AM$11:$AM2025&lt;&gt;"")*($AS$11:$AS2025="✓")),"")</f>
        <v/>
      </c>
      <c r="BA2025" s="21" t="str">
        <f>IF($AL2025="","",$AL2025&amp;"|"&amp;COUNTIF($AL$11:$AL2025,$AL2025))</f>
        <v/>
      </c>
    </row>
    <row r="2026" spans="38:53" ht="15" customHeight="1" x14ac:dyDescent="0.25">
      <c r="AL2026" s="31"/>
      <c r="AM2026" s="26"/>
      <c r="AN2026" s="32"/>
      <c r="AO2026" s="32"/>
      <c r="AP2026" s="24"/>
      <c r="AQ2026" s="24"/>
      <c r="AR2026" s="33"/>
      <c r="AS2026" s="34"/>
      <c r="AT2026" s="33"/>
      <c r="AV2026" s="21">
        <f>IF(AND($AL2026&lt;&gt;"",COUNTIF($AL$11:$AL2026,$AL2026)=1),1,0)</f>
        <v>0</v>
      </c>
      <c r="AW2026" s="21">
        <f t="shared" si="149"/>
        <v>0</v>
      </c>
      <c r="AX2026" s="21" t="str">
        <f t="shared" si="148"/>
        <v/>
      </c>
      <c r="AY2026" s="21" t="str">
        <f>IF(AND($AM2026&lt;&gt;"",$AS2026&lt;&gt;"✓"),SUMPRODUCT(($AM$11:$AM2026&lt;&gt;"")*($AS$11:$AS2026&lt;&gt;"✓")),"")</f>
        <v/>
      </c>
      <c r="AZ2026" s="21" t="str">
        <f>IF(AND($AM2026&lt;&gt;"",$AS2026="✓"),SUMPRODUCT(($AM$11:$AM2026&lt;&gt;"")*($AS$11:$AS2026="✓")),"")</f>
        <v/>
      </c>
      <c r="BA2026" s="21" t="str">
        <f>IF($AL2026="","",$AL2026&amp;"|"&amp;COUNTIF($AL$11:$AL2026,$AL2026))</f>
        <v/>
      </c>
    </row>
    <row r="2027" spans="38:53" ht="15" customHeight="1" x14ac:dyDescent="0.25">
      <c r="AL2027" s="17"/>
      <c r="AM2027" s="12"/>
      <c r="AN2027" s="18"/>
      <c r="AO2027" s="18"/>
      <c r="AP2027" s="10"/>
      <c r="AQ2027" s="10"/>
      <c r="AR2027" s="19"/>
      <c r="AS2027" s="20"/>
      <c r="AT2027" s="19"/>
      <c r="AV2027" s="21">
        <f>IF(AND($AL2027&lt;&gt;"",COUNTIF($AL$11:$AL2027,$AL2027)=1),1,0)</f>
        <v>0</v>
      </c>
      <c r="AW2027" s="21">
        <f t="shared" si="149"/>
        <v>0</v>
      </c>
      <c r="AX2027" s="21" t="str">
        <f t="shared" si="148"/>
        <v/>
      </c>
      <c r="AY2027" s="21" t="str">
        <f>IF(AND($AM2027&lt;&gt;"",$AS2027&lt;&gt;"✓"),SUMPRODUCT(($AM$11:$AM2027&lt;&gt;"")*($AS$11:$AS2027&lt;&gt;"✓")),"")</f>
        <v/>
      </c>
      <c r="AZ2027" s="21" t="str">
        <f>IF(AND($AM2027&lt;&gt;"",$AS2027="✓"),SUMPRODUCT(($AM$11:$AM2027&lt;&gt;"")*($AS$11:$AS2027="✓")),"")</f>
        <v/>
      </c>
      <c r="BA2027" s="21" t="str">
        <f>IF($AL2027="","",$AL2027&amp;"|"&amp;COUNTIF($AL$11:$AL2027,$AL2027))</f>
        <v/>
      </c>
    </row>
    <row r="2028" spans="38:53" ht="15" customHeight="1" x14ac:dyDescent="0.25">
      <c r="AL2028" s="31"/>
      <c r="AM2028" s="26"/>
      <c r="AN2028" s="32"/>
      <c r="AO2028" s="32"/>
      <c r="AP2028" s="24"/>
      <c r="AQ2028" s="24"/>
      <c r="AR2028" s="33"/>
      <c r="AS2028" s="34"/>
      <c r="AT2028" s="33"/>
      <c r="AV2028" s="21">
        <f>IF(AND($AL2028&lt;&gt;"",COUNTIF($AL$11:$AL2028,$AL2028)=1),1,0)</f>
        <v>0</v>
      </c>
      <c r="AW2028" s="21">
        <f t="shared" si="149"/>
        <v>0</v>
      </c>
      <c r="AX2028" s="21" t="str">
        <f t="shared" si="148"/>
        <v/>
      </c>
      <c r="AY2028" s="21" t="str">
        <f>IF(AND($AM2028&lt;&gt;"",$AS2028&lt;&gt;"✓"),SUMPRODUCT(($AM$11:$AM2028&lt;&gt;"")*($AS$11:$AS2028&lt;&gt;"✓")),"")</f>
        <v/>
      </c>
      <c r="AZ2028" s="21" t="str">
        <f>IF(AND($AM2028&lt;&gt;"",$AS2028="✓"),SUMPRODUCT(($AM$11:$AM2028&lt;&gt;"")*($AS$11:$AS2028="✓")),"")</f>
        <v/>
      </c>
      <c r="BA2028" s="21" t="str">
        <f>IF($AL2028="","",$AL2028&amp;"|"&amp;COUNTIF($AL$11:$AL2028,$AL2028))</f>
        <v/>
      </c>
    </row>
    <row r="2029" spans="38:53" ht="15" customHeight="1" x14ac:dyDescent="0.25">
      <c r="AL2029" s="17"/>
      <c r="AM2029" s="12"/>
      <c r="AN2029" s="18"/>
      <c r="AO2029" s="18"/>
      <c r="AP2029" s="10"/>
      <c r="AQ2029" s="10"/>
      <c r="AR2029" s="19"/>
      <c r="AS2029" s="20"/>
      <c r="AT2029" s="19"/>
      <c r="AV2029" s="21">
        <f>IF(AND($AL2029&lt;&gt;"",COUNTIF($AL$11:$AL2029,$AL2029)=1),1,0)</f>
        <v>0</v>
      </c>
      <c r="AW2029" s="21">
        <f t="shared" si="149"/>
        <v>0</v>
      </c>
      <c r="AX2029" s="21" t="str">
        <f t="shared" si="148"/>
        <v/>
      </c>
      <c r="AY2029" s="21" t="str">
        <f>IF(AND($AM2029&lt;&gt;"",$AS2029&lt;&gt;"✓"),SUMPRODUCT(($AM$11:$AM2029&lt;&gt;"")*($AS$11:$AS2029&lt;&gt;"✓")),"")</f>
        <v/>
      </c>
      <c r="AZ2029" s="21" t="str">
        <f>IF(AND($AM2029&lt;&gt;"",$AS2029="✓"),SUMPRODUCT(($AM$11:$AM2029&lt;&gt;"")*($AS$11:$AS2029="✓")),"")</f>
        <v/>
      </c>
      <c r="BA2029" s="21" t="str">
        <f>IF($AL2029="","",$AL2029&amp;"|"&amp;COUNTIF($AL$11:$AL2029,$AL2029))</f>
        <v/>
      </c>
    </row>
    <row r="2030" spans="38:53" ht="15" customHeight="1" x14ac:dyDescent="0.25">
      <c r="AL2030" s="31"/>
      <c r="AM2030" s="26"/>
      <c r="AN2030" s="32"/>
      <c r="AO2030" s="32"/>
      <c r="AP2030" s="24"/>
      <c r="AQ2030" s="24"/>
      <c r="AR2030" s="33"/>
      <c r="AS2030" s="34"/>
      <c r="AT2030" s="33"/>
      <c r="AV2030" s="21">
        <f>IF(AND($AL2030&lt;&gt;"",COUNTIF($AL$11:$AL2030,$AL2030)=1),1,0)</f>
        <v>0</v>
      </c>
      <c r="AW2030" s="21">
        <f t="shared" si="149"/>
        <v>0</v>
      </c>
      <c r="AX2030" s="21" t="str">
        <f t="shared" si="148"/>
        <v/>
      </c>
      <c r="AY2030" s="21" t="str">
        <f>IF(AND($AM2030&lt;&gt;"",$AS2030&lt;&gt;"✓"),SUMPRODUCT(($AM$11:$AM2030&lt;&gt;"")*($AS$11:$AS2030&lt;&gt;"✓")),"")</f>
        <v/>
      </c>
      <c r="AZ2030" s="21" t="str">
        <f>IF(AND($AM2030&lt;&gt;"",$AS2030="✓"),SUMPRODUCT(($AM$11:$AM2030&lt;&gt;"")*($AS$11:$AS2030="✓")),"")</f>
        <v/>
      </c>
      <c r="BA2030" s="21" t="str">
        <f>IF($AL2030="","",$AL2030&amp;"|"&amp;COUNTIF($AL$11:$AL2030,$AL2030))</f>
        <v/>
      </c>
    </row>
    <row r="2031" spans="38:53" ht="15" customHeight="1" x14ac:dyDescent="0.25">
      <c r="AL2031" s="17"/>
      <c r="AM2031" s="12"/>
      <c r="AN2031" s="18"/>
      <c r="AO2031" s="18"/>
      <c r="AP2031" s="10"/>
      <c r="AQ2031" s="10"/>
      <c r="AR2031" s="19"/>
      <c r="AS2031" s="20"/>
      <c r="AT2031" s="19"/>
      <c r="AV2031" s="21">
        <f>IF(AND($AL2031&lt;&gt;"",COUNTIF($AL$11:$AL2031,$AL2031)=1),1,0)</f>
        <v>0</v>
      </c>
      <c r="AW2031" s="21">
        <f t="shared" si="149"/>
        <v>0</v>
      </c>
      <c r="AX2031" s="21" t="str">
        <f t="shared" si="148"/>
        <v/>
      </c>
      <c r="AY2031" s="21" t="str">
        <f>IF(AND($AM2031&lt;&gt;"",$AS2031&lt;&gt;"✓"),SUMPRODUCT(($AM$11:$AM2031&lt;&gt;"")*($AS$11:$AS2031&lt;&gt;"✓")),"")</f>
        <v/>
      </c>
      <c r="AZ2031" s="21" t="str">
        <f>IF(AND($AM2031&lt;&gt;"",$AS2031="✓"),SUMPRODUCT(($AM$11:$AM2031&lt;&gt;"")*($AS$11:$AS2031="✓")),"")</f>
        <v/>
      </c>
      <c r="BA2031" s="21" t="str">
        <f>IF($AL2031="","",$AL2031&amp;"|"&amp;COUNTIF($AL$11:$AL2031,$AL2031))</f>
        <v/>
      </c>
    </row>
    <row r="2032" spans="38:53" ht="15" customHeight="1" x14ac:dyDescent="0.25">
      <c r="AL2032" s="31"/>
      <c r="AM2032" s="26"/>
      <c r="AN2032" s="32"/>
      <c r="AO2032" s="32"/>
      <c r="AP2032" s="24"/>
      <c r="AQ2032" s="24"/>
      <c r="AR2032" s="33"/>
      <c r="AS2032" s="34"/>
      <c r="AT2032" s="33"/>
      <c r="AV2032" s="21">
        <f>IF(AND($AL2032&lt;&gt;"",COUNTIF($AL$11:$AL2032,$AL2032)=1),1,0)</f>
        <v>0</v>
      </c>
      <c r="AW2032" s="21">
        <f t="shared" si="149"/>
        <v>0</v>
      </c>
      <c r="AX2032" s="21" t="str">
        <f t="shared" si="148"/>
        <v/>
      </c>
      <c r="AY2032" s="21" t="str">
        <f>IF(AND($AM2032&lt;&gt;"",$AS2032&lt;&gt;"✓"),SUMPRODUCT(($AM$11:$AM2032&lt;&gt;"")*($AS$11:$AS2032&lt;&gt;"✓")),"")</f>
        <v/>
      </c>
      <c r="AZ2032" s="21" t="str">
        <f>IF(AND($AM2032&lt;&gt;"",$AS2032="✓"),SUMPRODUCT(($AM$11:$AM2032&lt;&gt;"")*($AS$11:$AS2032="✓")),"")</f>
        <v/>
      </c>
      <c r="BA2032" s="21" t="str">
        <f>IF($AL2032="","",$AL2032&amp;"|"&amp;COUNTIF($AL$11:$AL2032,$AL2032))</f>
        <v/>
      </c>
    </row>
    <row r="2033" spans="38:53" ht="15" customHeight="1" x14ac:dyDescent="0.25">
      <c r="AL2033" s="17"/>
      <c r="AM2033" s="12"/>
      <c r="AN2033" s="18"/>
      <c r="AO2033" s="18"/>
      <c r="AP2033" s="10"/>
      <c r="AQ2033" s="10"/>
      <c r="AR2033" s="19"/>
      <c r="AS2033" s="20"/>
      <c r="AT2033" s="19"/>
      <c r="AV2033" s="21">
        <f>IF(AND($AL2033&lt;&gt;"",COUNTIF($AL$11:$AL2033,$AL2033)=1),1,0)</f>
        <v>0</v>
      </c>
      <c r="AW2033" s="21">
        <f t="shared" si="149"/>
        <v>0</v>
      </c>
      <c r="AX2033" s="21" t="str">
        <f t="shared" si="148"/>
        <v/>
      </c>
      <c r="AY2033" s="21" t="str">
        <f>IF(AND($AM2033&lt;&gt;"",$AS2033&lt;&gt;"✓"),SUMPRODUCT(($AM$11:$AM2033&lt;&gt;"")*($AS$11:$AS2033&lt;&gt;"✓")),"")</f>
        <v/>
      </c>
      <c r="AZ2033" s="21" t="str">
        <f>IF(AND($AM2033&lt;&gt;"",$AS2033="✓"),SUMPRODUCT(($AM$11:$AM2033&lt;&gt;"")*($AS$11:$AS2033="✓")),"")</f>
        <v/>
      </c>
      <c r="BA2033" s="21" t="str">
        <f>IF($AL2033="","",$AL2033&amp;"|"&amp;COUNTIF($AL$11:$AL2033,$AL2033))</f>
        <v/>
      </c>
    </row>
    <row r="2034" spans="38:53" ht="15" customHeight="1" x14ac:dyDescent="0.25">
      <c r="AL2034" s="31"/>
      <c r="AM2034" s="26"/>
      <c r="AN2034" s="32"/>
      <c r="AO2034" s="32"/>
      <c r="AP2034" s="24"/>
      <c r="AQ2034" s="24"/>
      <c r="AR2034" s="33"/>
      <c r="AS2034" s="34"/>
      <c r="AT2034" s="33"/>
      <c r="AV2034" s="21">
        <f>IF(AND($AL2034&lt;&gt;"",COUNTIF($AL$11:$AL2034,$AL2034)=1),1,0)</f>
        <v>0</v>
      </c>
      <c r="AW2034" s="21">
        <f t="shared" si="149"/>
        <v>0</v>
      </c>
      <c r="AX2034" s="21" t="str">
        <f t="shared" si="148"/>
        <v/>
      </c>
      <c r="AY2034" s="21" t="str">
        <f>IF(AND($AM2034&lt;&gt;"",$AS2034&lt;&gt;"✓"),SUMPRODUCT(($AM$11:$AM2034&lt;&gt;"")*($AS$11:$AS2034&lt;&gt;"✓")),"")</f>
        <v/>
      </c>
      <c r="AZ2034" s="21" t="str">
        <f>IF(AND($AM2034&lt;&gt;"",$AS2034="✓"),SUMPRODUCT(($AM$11:$AM2034&lt;&gt;"")*($AS$11:$AS2034="✓")),"")</f>
        <v/>
      </c>
      <c r="BA2034" s="21" t="str">
        <f>IF($AL2034="","",$AL2034&amp;"|"&amp;COUNTIF($AL$11:$AL2034,$AL2034))</f>
        <v/>
      </c>
    </row>
    <row r="2035" spans="38:53" ht="15" customHeight="1" x14ac:dyDescent="0.25">
      <c r="AL2035" s="17"/>
      <c r="AM2035" s="12"/>
      <c r="AN2035" s="18"/>
      <c r="AO2035" s="18"/>
      <c r="AP2035" s="10"/>
      <c r="AQ2035" s="10"/>
      <c r="AR2035" s="19"/>
      <c r="AS2035" s="20"/>
      <c r="AT2035" s="19"/>
      <c r="AV2035" s="21">
        <f>IF(AND($AL2035&lt;&gt;"",COUNTIF($AL$11:$AL2035,$AL2035)=1),1,0)</f>
        <v>0</v>
      </c>
      <c r="AW2035" s="21">
        <f t="shared" si="149"/>
        <v>0</v>
      </c>
      <c r="AX2035" s="21" t="str">
        <f t="shared" si="148"/>
        <v/>
      </c>
      <c r="AY2035" s="21" t="str">
        <f>IF(AND($AM2035&lt;&gt;"",$AS2035&lt;&gt;"✓"),SUMPRODUCT(($AM$11:$AM2035&lt;&gt;"")*($AS$11:$AS2035&lt;&gt;"✓")),"")</f>
        <v/>
      </c>
      <c r="AZ2035" s="21" t="str">
        <f>IF(AND($AM2035&lt;&gt;"",$AS2035="✓"),SUMPRODUCT(($AM$11:$AM2035&lt;&gt;"")*($AS$11:$AS2035="✓")),"")</f>
        <v/>
      </c>
      <c r="BA2035" s="21" t="str">
        <f>IF($AL2035="","",$AL2035&amp;"|"&amp;COUNTIF($AL$11:$AL2035,$AL2035))</f>
        <v/>
      </c>
    </row>
    <row r="2036" spans="38:53" ht="15" customHeight="1" x14ac:dyDescent="0.25">
      <c r="AL2036" s="31"/>
      <c r="AM2036" s="26"/>
      <c r="AN2036" s="32"/>
      <c r="AO2036" s="32"/>
      <c r="AP2036" s="24"/>
      <c r="AQ2036" s="24"/>
      <c r="AR2036" s="33"/>
      <c r="AS2036" s="34"/>
      <c r="AT2036" s="33"/>
      <c r="AV2036" s="21">
        <f>IF(AND($AL2036&lt;&gt;"",COUNTIF($AL$11:$AL2036,$AL2036)=1),1,0)</f>
        <v>0</v>
      </c>
      <c r="AW2036" s="21">
        <f t="shared" si="149"/>
        <v>0</v>
      </c>
      <c r="AX2036" s="21" t="str">
        <f t="shared" si="148"/>
        <v/>
      </c>
      <c r="AY2036" s="21" t="str">
        <f>IF(AND($AM2036&lt;&gt;"",$AS2036&lt;&gt;"✓"),SUMPRODUCT(($AM$11:$AM2036&lt;&gt;"")*($AS$11:$AS2036&lt;&gt;"✓")),"")</f>
        <v/>
      </c>
      <c r="AZ2036" s="21" t="str">
        <f>IF(AND($AM2036&lt;&gt;"",$AS2036="✓"),SUMPRODUCT(($AM$11:$AM2036&lt;&gt;"")*($AS$11:$AS2036="✓")),"")</f>
        <v/>
      </c>
      <c r="BA2036" s="21" t="str">
        <f>IF($AL2036="","",$AL2036&amp;"|"&amp;COUNTIF($AL$11:$AL2036,$AL2036))</f>
        <v/>
      </c>
    </row>
    <row r="2037" spans="38:53" ht="15" customHeight="1" x14ac:dyDescent="0.25">
      <c r="AL2037" s="17"/>
      <c r="AM2037" s="12"/>
      <c r="AN2037" s="18"/>
      <c r="AO2037" s="18"/>
      <c r="AP2037" s="10"/>
      <c r="AQ2037" s="10"/>
      <c r="AR2037" s="19"/>
      <c r="AS2037" s="20"/>
      <c r="AT2037" s="19"/>
      <c r="AV2037" s="21">
        <f>IF(AND($AL2037&lt;&gt;"",COUNTIF($AL$11:$AL2037,$AL2037)=1),1,0)</f>
        <v>0</v>
      </c>
      <c r="AW2037" s="21">
        <f t="shared" si="149"/>
        <v>0</v>
      </c>
      <c r="AX2037" s="21" t="str">
        <f t="shared" si="148"/>
        <v/>
      </c>
      <c r="AY2037" s="21" t="str">
        <f>IF(AND($AM2037&lt;&gt;"",$AS2037&lt;&gt;"✓"),SUMPRODUCT(($AM$11:$AM2037&lt;&gt;"")*($AS$11:$AS2037&lt;&gt;"✓")),"")</f>
        <v/>
      </c>
      <c r="AZ2037" s="21" t="str">
        <f>IF(AND($AM2037&lt;&gt;"",$AS2037="✓"),SUMPRODUCT(($AM$11:$AM2037&lt;&gt;"")*($AS$11:$AS2037="✓")),"")</f>
        <v/>
      </c>
      <c r="BA2037" s="21" t="str">
        <f>IF($AL2037="","",$AL2037&amp;"|"&amp;COUNTIF($AL$11:$AL2037,$AL2037))</f>
        <v/>
      </c>
    </row>
    <row r="2038" spans="38:53" ht="15" customHeight="1" x14ac:dyDescent="0.25">
      <c r="AL2038" s="31"/>
      <c r="AM2038" s="26"/>
      <c r="AN2038" s="32"/>
      <c r="AO2038" s="32"/>
      <c r="AP2038" s="24"/>
      <c r="AQ2038" s="24"/>
      <c r="AR2038" s="33"/>
      <c r="AS2038" s="34"/>
      <c r="AT2038" s="33"/>
      <c r="AV2038" s="21">
        <f>IF(AND($AL2038&lt;&gt;"",COUNTIF($AL$11:$AL2038,$AL2038)=1),1,0)</f>
        <v>0</v>
      </c>
      <c r="AW2038" s="21">
        <f t="shared" si="149"/>
        <v>0</v>
      </c>
      <c r="AX2038" s="21" t="str">
        <f t="shared" si="148"/>
        <v/>
      </c>
      <c r="AY2038" s="21" t="str">
        <f>IF(AND($AM2038&lt;&gt;"",$AS2038&lt;&gt;"✓"),SUMPRODUCT(($AM$11:$AM2038&lt;&gt;"")*($AS$11:$AS2038&lt;&gt;"✓")),"")</f>
        <v/>
      </c>
      <c r="AZ2038" s="21" t="str">
        <f>IF(AND($AM2038&lt;&gt;"",$AS2038="✓"),SUMPRODUCT(($AM$11:$AM2038&lt;&gt;"")*($AS$11:$AS2038="✓")),"")</f>
        <v/>
      </c>
      <c r="BA2038" s="21" t="str">
        <f>IF($AL2038="","",$AL2038&amp;"|"&amp;COUNTIF($AL$11:$AL2038,$AL2038))</f>
        <v/>
      </c>
    </row>
    <row r="2039" spans="38:53" ht="15" customHeight="1" x14ac:dyDescent="0.25">
      <c r="AL2039" s="17"/>
      <c r="AM2039" s="12"/>
      <c r="AN2039" s="18"/>
      <c r="AO2039" s="18"/>
      <c r="AP2039" s="10"/>
      <c r="AQ2039" s="10"/>
      <c r="AR2039" s="19"/>
      <c r="AS2039" s="20"/>
      <c r="AT2039" s="19"/>
      <c r="AV2039" s="21">
        <f>IF(AND($AL2039&lt;&gt;"",COUNTIF($AL$11:$AL2039,$AL2039)=1),1,0)</f>
        <v>0</v>
      </c>
      <c r="AW2039" s="21">
        <f t="shared" si="149"/>
        <v>0</v>
      </c>
      <c r="AX2039" s="21" t="str">
        <f t="shared" si="148"/>
        <v/>
      </c>
      <c r="AY2039" s="21" t="str">
        <f>IF(AND($AM2039&lt;&gt;"",$AS2039&lt;&gt;"✓"),SUMPRODUCT(($AM$11:$AM2039&lt;&gt;"")*($AS$11:$AS2039&lt;&gt;"✓")),"")</f>
        <v/>
      </c>
      <c r="AZ2039" s="21" t="str">
        <f>IF(AND($AM2039&lt;&gt;"",$AS2039="✓"),SUMPRODUCT(($AM$11:$AM2039&lt;&gt;"")*($AS$11:$AS2039="✓")),"")</f>
        <v/>
      </c>
      <c r="BA2039" s="21" t="str">
        <f>IF($AL2039="","",$AL2039&amp;"|"&amp;COUNTIF($AL$11:$AL2039,$AL2039))</f>
        <v/>
      </c>
    </row>
    <row r="2040" spans="38:53" ht="15" customHeight="1" x14ac:dyDescent="0.25">
      <c r="AL2040" s="31"/>
      <c r="AM2040" s="26"/>
      <c r="AN2040" s="32"/>
      <c r="AO2040" s="32"/>
      <c r="AP2040" s="24"/>
      <c r="AQ2040" s="24"/>
      <c r="AR2040" s="33"/>
      <c r="AS2040" s="34"/>
      <c r="AT2040" s="33"/>
      <c r="AV2040" s="21">
        <f>IF(AND($AL2040&lt;&gt;"",COUNTIF($AL$11:$AL2040,$AL2040)=1),1,0)</f>
        <v>0</v>
      </c>
      <c r="AW2040" s="21">
        <f t="shared" si="149"/>
        <v>0</v>
      </c>
      <c r="AX2040" s="21" t="str">
        <f t="shared" si="148"/>
        <v/>
      </c>
      <c r="AY2040" s="21" t="str">
        <f>IF(AND($AM2040&lt;&gt;"",$AS2040&lt;&gt;"✓"),SUMPRODUCT(($AM$11:$AM2040&lt;&gt;"")*($AS$11:$AS2040&lt;&gt;"✓")),"")</f>
        <v/>
      </c>
      <c r="AZ2040" s="21" t="str">
        <f>IF(AND($AM2040&lt;&gt;"",$AS2040="✓"),SUMPRODUCT(($AM$11:$AM2040&lt;&gt;"")*($AS$11:$AS2040="✓")),"")</f>
        <v/>
      </c>
      <c r="BA2040" s="21" t="str">
        <f>IF($AL2040="","",$AL2040&amp;"|"&amp;COUNTIF($AL$11:$AL2040,$AL2040))</f>
        <v/>
      </c>
    </row>
    <row r="2041" spans="38:53" ht="15" customHeight="1" x14ac:dyDescent="0.25">
      <c r="AL2041" s="17"/>
      <c r="AM2041" s="12"/>
      <c r="AN2041" s="18"/>
      <c r="AO2041" s="18"/>
      <c r="AP2041" s="10"/>
      <c r="AQ2041" s="10"/>
      <c r="AR2041" s="19"/>
      <c r="AS2041" s="20"/>
      <c r="AT2041" s="19"/>
      <c r="AV2041" s="21">
        <f>IF(AND($AL2041&lt;&gt;"",COUNTIF($AL$11:$AL2041,$AL2041)=1),1,0)</f>
        <v>0</v>
      </c>
      <c r="AW2041" s="21">
        <f t="shared" si="149"/>
        <v>0</v>
      </c>
      <c r="AX2041" s="21" t="str">
        <f t="shared" si="148"/>
        <v/>
      </c>
      <c r="AY2041" s="21" t="str">
        <f>IF(AND($AM2041&lt;&gt;"",$AS2041&lt;&gt;"✓"),SUMPRODUCT(($AM$11:$AM2041&lt;&gt;"")*($AS$11:$AS2041&lt;&gt;"✓")),"")</f>
        <v/>
      </c>
      <c r="AZ2041" s="21" t="str">
        <f>IF(AND($AM2041&lt;&gt;"",$AS2041="✓"),SUMPRODUCT(($AM$11:$AM2041&lt;&gt;"")*($AS$11:$AS2041="✓")),"")</f>
        <v/>
      </c>
      <c r="BA2041" s="21" t="str">
        <f>IF($AL2041="","",$AL2041&amp;"|"&amp;COUNTIF($AL$11:$AL2041,$AL2041))</f>
        <v/>
      </c>
    </row>
    <row r="2042" spans="38:53" ht="15" customHeight="1" x14ac:dyDescent="0.25">
      <c r="AL2042" s="31"/>
      <c r="AM2042" s="26"/>
      <c r="AN2042" s="32"/>
      <c r="AO2042" s="32"/>
      <c r="AP2042" s="24"/>
      <c r="AQ2042" s="24"/>
      <c r="AR2042" s="33"/>
      <c r="AS2042" s="34"/>
      <c r="AT2042" s="33"/>
      <c r="AV2042" s="21">
        <f>IF(AND($AL2042&lt;&gt;"",COUNTIF($AL$11:$AL2042,$AL2042)=1),1,0)</f>
        <v>0</v>
      </c>
      <c r="AW2042" s="21">
        <f t="shared" si="149"/>
        <v>0</v>
      </c>
      <c r="AX2042" s="21" t="str">
        <f t="shared" si="148"/>
        <v/>
      </c>
      <c r="AY2042" s="21" t="str">
        <f>IF(AND($AM2042&lt;&gt;"",$AS2042&lt;&gt;"✓"),SUMPRODUCT(($AM$11:$AM2042&lt;&gt;"")*($AS$11:$AS2042&lt;&gt;"✓")),"")</f>
        <v/>
      </c>
      <c r="AZ2042" s="21" t="str">
        <f>IF(AND($AM2042&lt;&gt;"",$AS2042="✓"),SUMPRODUCT(($AM$11:$AM2042&lt;&gt;"")*($AS$11:$AS2042="✓")),"")</f>
        <v/>
      </c>
      <c r="BA2042" s="21" t="str">
        <f>IF($AL2042="","",$AL2042&amp;"|"&amp;COUNTIF($AL$11:$AL2042,$AL2042))</f>
        <v/>
      </c>
    </row>
    <row r="2043" spans="38:53" ht="15" customHeight="1" x14ac:dyDescent="0.25">
      <c r="AL2043" s="17"/>
      <c r="AM2043" s="12"/>
      <c r="AN2043" s="18"/>
      <c r="AO2043" s="18"/>
      <c r="AP2043" s="10"/>
      <c r="AQ2043" s="10"/>
      <c r="AR2043" s="19"/>
      <c r="AS2043" s="20"/>
      <c r="AT2043" s="19"/>
      <c r="AV2043" s="21">
        <f>IF(AND($AL2043&lt;&gt;"",COUNTIF($AL$11:$AL2043,$AL2043)=1),1,0)</f>
        <v>0</v>
      </c>
      <c r="AW2043" s="21">
        <f t="shared" si="149"/>
        <v>0</v>
      </c>
      <c r="AX2043" s="21" t="str">
        <f t="shared" si="148"/>
        <v/>
      </c>
      <c r="AY2043" s="21" t="str">
        <f>IF(AND($AM2043&lt;&gt;"",$AS2043&lt;&gt;"✓"),SUMPRODUCT(($AM$11:$AM2043&lt;&gt;"")*($AS$11:$AS2043&lt;&gt;"✓")),"")</f>
        <v/>
      </c>
      <c r="AZ2043" s="21" t="str">
        <f>IF(AND($AM2043&lt;&gt;"",$AS2043="✓"),SUMPRODUCT(($AM$11:$AM2043&lt;&gt;"")*($AS$11:$AS2043="✓")),"")</f>
        <v/>
      </c>
      <c r="BA2043" s="21" t="str">
        <f>IF($AL2043="","",$AL2043&amp;"|"&amp;COUNTIF($AL$11:$AL2043,$AL2043))</f>
        <v/>
      </c>
    </row>
    <row r="2044" spans="38:53" ht="15" customHeight="1" x14ac:dyDescent="0.25">
      <c r="AL2044" s="31"/>
      <c r="AM2044" s="26"/>
      <c r="AN2044" s="32"/>
      <c r="AO2044" s="32"/>
      <c r="AP2044" s="24"/>
      <c r="AQ2044" s="24"/>
      <c r="AR2044" s="33"/>
      <c r="AS2044" s="34"/>
      <c r="AT2044" s="33"/>
      <c r="AV2044" s="21">
        <f>IF(AND($AL2044&lt;&gt;"",COUNTIF($AL$11:$AL2044,$AL2044)=1),1,0)</f>
        <v>0</v>
      </c>
      <c r="AW2044" s="21">
        <f t="shared" si="149"/>
        <v>0</v>
      </c>
      <c r="AX2044" s="21" t="str">
        <f t="shared" si="148"/>
        <v/>
      </c>
      <c r="AY2044" s="21" t="str">
        <f>IF(AND($AM2044&lt;&gt;"",$AS2044&lt;&gt;"✓"),SUMPRODUCT(($AM$11:$AM2044&lt;&gt;"")*($AS$11:$AS2044&lt;&gt;"✓")),"")</f>
        <v/>
      </c>
      <c r="AZ2044" s="21" t="str">
        <f>IF(AND($AM2044&lt;&gt;"",$AS2044="✓"),SUMPRODUCT(($AM$11:$AM2044&lt;&gt;"")*($AS$11:$AS2044="✓")),"")</f>
        <v/>
      </c>
      <c r="BA2044" s="21" t="str">
        <f>IF($AL2044="","",$AL2044&amp;"|"&amp;COUNTIF($AL$11:$AL2044,$AL2044))</f>
        <v/>
      </c>
    </row>
    <row r="2045" spans="38:53" ht="15" customHeight="1" x14ac:dyDescent="0.25">
      <c r="AL2045" s="17"/>
      <c r="AM2045" s="12"/>
      <c r="AN2045" s="18"/>
      <c r="AO2045" s="18"/>
      <c r="AP2045" s="10"/>
      <c r="AQ2045" s="10"/>
      <c r="AR2045" s="19"/>
      <c r="AS2045" s="20"/>
      <c r="AT2045" s="19"/>
      <c r="AV2045" s="21">
        <f>IF(AND($AL2045&lt;&gt;"",COUNTIF($AL$11:$AL2045,$AL2045)=1),1,0)</f>
        <v>0</v>
      </c>
      <c r="AW2045" s="21">
        <f t="shared" si="149"/>
        <v>0</v>
      </c>
      <c r="AX2045" s="21" t="str">
        <f t="shared" si="148"/>
        <v/>
      </c>
      <c r="AY2045" s="21" t="str">
        <f>IF(AND($AM2045&lt;&gt;"",$AS2045&lt;&gt;"✓"),SUMPRODUCT(($AM$11:$AM2045&lt;&gt;"")*($AS$11:$AS2045&lt;&gt;"✓")),"")</f>
        <v/>
      </c>
      <c r="AZ2045" s="21" t="str">
        <f>IF(AND($AM2045&lt;&gt;"",$AS2045="✓"),SUMPRODUCT(($AM$11:$AM2045&lt;&gt;"")*($AS$11:$AS2045="✓")),"")</f>
        <v/>
      </c>
      <c r="BA2045" s="21" t="str">
        <f>IF($AL2045="","",$AL2045&amp;"|"&amp;COUNTIF($AL$11:$AL2045,$AL2045))</f>
        <v/>
      </c>
    </row>
    <row r="2046" spans="38:53" ht="15" customHeight="1" x14ac:dyDescent="0.25">
      <c r="AL2046" s="31"/>
      <c r="AM2046" s="26"/>
      <c r="AN2046" s="32"/>
      <c r="AO2046" s="32"/>
      <c r="AP2046" s="24"/>
      <c r="AQ2046" s="24"/>
      <c r="AR2046" s="33"/>
      <c r="AS2046" s="34"/>
      <c r="AT2046" s="33"/>
      <c r="AV2046" s="21">
        <f>IF(AND($AL2046&lt;&gt;"",COUNTIF($AL$11:$AL2046,$AL2046)=1),1,0)</f>
        <v>0</v>
      </c>
      <c r="AW2046" s="21">
        <f t="shared" si="149"/>
        <v>0</v>
      </c>
      <c r="AX2046" s="21" t="str">
        <f t="shared" si="148"/>
        <v/>
      </c>
      <c r="AY2046" s="21" t="str">
        <f>IF(AND($AM2046&lt;&gt;"",$AS2046&lt;&gt;"✓"),SUMPRODUCT(($AM$11:$AM2046&lt;&gt;"")*($AS$11:$AS2046&lt;&gt;"✓")),"")</f>
        <v/>
      </c>
      <c r="AZ2046" s="21" t="str">
        <f>IF(AND($AM2046&lt;&gt;"",$AS2046="✓"),SUMPRODUCT(($AM$11:$AM2046&lt;&gt;"")*($AS$11:$AS2046="✓")),"")</f>
        <v/>
      </c>
      <c r="BA2046" s="21" t="str">
        <f>IF($AL2046="","",$AL2046&amp;"|"&amp;COUNTIF($AL$11:$AL2046,$AL2046))</f>
        <v/>
      </c>
    </row>
    <row r="2047" spans="38:53" ht="15" customHeight="1" x14ac:dyDescent="0.25">
      <c r="AL2047" s="17"/>
      <c r="AM2047" s="12"/>
      <c r="AN2047" s="18"/>
      <c r="AO2047" s="18"/>
      <c r="AP2047" s="10"/>
      <c r="AQ2047" s="10"/>
      <c r="AR2047" s="19"/>
      <c r="AS2047" s="20"/>
      <c r="AT2047" s="19"/>
      <c r="AV2047" s="21">
        <f>IF(AND($AL2047&lt;&gt;"",COUNTIF($AL$11:$AL2047,$AL2047)=1),1,0)</f>
        <v>0</v>
      </c>
      <c r="AW2047" s="21">
        <f t="shared" si="149"/>
        <v>0</v>
      </c>
      <c r="AX2047" s="21" t="str">
        <f t="shared" si="148"/>
        <v/>
      </c>
      <c r="AY2047" s="21" t="str">
        <f>IF(AND($AM2047&lt;&gt;"",$AS2047&lt;&gt;"✓"),SUMPRODUCT(($AM$11:$AM2047&lt;&gt;"")*($AS$11:$AS2047&lt;&gt;"✓")),"")</f>
        <v/>
      </c>
      <c r="AZ2047" s="21" t="str">
        <f>IF(AND($AM2047&lt;&gt;"",$AS2047="✓"),SUMPRODUCT(($AM$11:$AM2047&lt;&gt;"")*($AS$11:$AS2047="✓")),"")</f>
        <v/>
      </c>
      <c r="BA2047" s="21" t="str">
        <f>IF($AL2047="","",$AL2047&amp;"|"&amp;COUNTIF($AL$11:$AL2047,$AL2047))</f>
        <v/>
      </c>
    </row>
    <row r="2048" spans="38:53" ht="15" customHeight="1" x14ac:dyDescent="0.25">
      <c r="AL2048" s="31"/>
      <c r="AM2048" s="26"/>
      <c r="AN2048" s="32"/>
      <c r="AO2048" s="32"/>
      <c r="AP2048" s="24"/>
      <c r="AQ2048" s="24"/>
      <c r="AR2048" s="33"/>
      <c r="AS2048" s="34"/>
      <c r="AT2048" s="33"/>
      <c r="AV2048" s="21">
        <f>IF(AND($AL2048&lt;&gt;"",COUNTIF($AL$11:$AL2048,$AL2048)=1),1,0)</f>
        <v>0</v>
      </c>
      <c r="AW2048" s="21">
        <f t="shared" si="149"/>
        <v>0</v>
      </c>
      <c r="AX2048" s="21" t="str">
        <f t="shared" si="148"/>
        <v/>
      </c>
      <c r="AY2048" s="21" t="str">
        <f>IF(AND($AM2048&lt;&gt;"",$AS2048&lt;&gt;"✓"),SUMPRODUCT(($AM$11:$AM2048&lt;&gt;"")*($AS$11:$AS2048&lt;&gt;"✓")),"")</f>
        <v/>
      </c>
      <c r="AZ2048" s="21" t="str">
        <f>IF(AND($AM2048&lt;&gt;"",$AS2048="✓"),SUMPRODUCT(($AM$11:$AM2048&lt;&gt;"")*($AS$11:$AS2048="✓")),"")</f>
        <v/>
      </c>
      <c r="BA2048" s="21" t="str">
        <f>IF($AL2048="","",$AL2048&amp;"|"&amp;COUNTIF($AL$11:$AL2048,$AL2048))</f>
        <v/>
      </c>
    </row>
    <row r="2049" spans="38:53" ht="15" customHeight="1" x14ac:dyDescent="0.25">
      <c r="AL2049" s="17"/>
      <c r="AM2049" s="12"/>
      <c r="AN2049" s="18"/>
      <c r="AO2049" s="18"/>
      <c r="AP2049" s="10"/>
      <c r="AQ2049" s="10"/>
      <c r="AR2049" s="19"/>
      <c r="AS2049" s="20"/>
      <c r="AT2049" s="19"/>
      <c r="AV2049" s="21">
        <f>IF(AND($AL2049&lt;&gt;"",COUNTIF($AL$11:$AL2049,$AL2049)=1),1,0)</f>
        <v>0</v>
      </c>
      <c r="AW2049" s="21">
        <f t="shared" si="149"/>
        <v>0</v>
      </c>
      <c r="AX2049" s="21" t="str">
        <f t="shared" si="148"/>
        <v/>
      </c>
      <c r="AY2049" s="21" t="str">
        <f>IF(AND($AM2049&lt;&gt;"",$AS2049&lt;&gt;"✓"),SUMPRODUCT(($AM$11:$AM2049&lt;&gt;"")*($AS$11:$AS2049&lt;&gt;"✓")),"")</f>
        <v/>
      </c>
      <c r="AZ2049" s="21" t="str">
        <f>IF(AND($AM2049&lt;&gt;"",$AS2049="✓"),SUMPRODUCT(($AM$11:$AM2049&lt;&gt;"")*($AS$11:$AS2049="✓")),"")</f>
        <v/>
      </c>
      <c r="BA2049" s="21" t="str">
        <f>IF($AL2049="","",$AL2049&amp;"|"&amp;COUNTIF($AL$11:$AL2049,$AL2049))</f>
        <v/>
      </c>
    </row>
    <row r="2050" spans="38:53" ht="15" customHeight="1" x14ac:dyDescent="0.25">
      <c r="AL2050" s="31"/>
      <c r="AM2050" s="26"/>
      <c r="AN2050" s="32"/>
      <c r="AO2050" s="32"/>
      <c r="AP2050" s="24"/>
      <c r="AQ2050" s="24"/>
      <c r="AR2050" s="33"/>
      <c r="AS2050" s="34"/>
      <c r="AT2050" s="33"/>
      <c r="AV2050" s="21">
        <f>IF(AND($AL2050&lt;&gt;"",COUNTIF($AL$11:$AL2050,$AL2050)=1),1,0)</f>
        <v>0</v>
      </c>
      <c r="AW2050" s="21">
        <f t="shared" si="149"/>
        <v>0</v>
      </c>
      <c r="AX2050" s="21" t="str">
        <f t="shared" si="148"/>
        <v/>
      </c>
      <c r="AY2050" s="21" t="str">
        <f>IF(AND($AM2050&lt;&gt;"",$AS2050&lt;&gt;"✓"),SUMPRODUCT(($AM$11:$AM2050&lt;&gt;"")*($AS$11:$AS2050&lt;&gt;"✓")),"")</f>
        <v/>
      </c>
      <c r="AZ2050" s="21" t="str">
        <f>IF(AND($AM2050&lt;&gt;"",$AS2050="✓"),SUMPRODUCT(($AM$11:$AM2050&lt;&gt;"")*($AS$11:$AS2050="✓")),"")</f>
        <v/>
      </c>
      <c r="BA2050" s="21" t="str">
        <f>IF($AL2050="","",$AL2050&amp;"|"&amp;COUNTIF($AL$11:$AL2050,$AL2050))</f>
        <v/>
      </c>
    </row>
    <row r="2051" spans="38:53" ht="15" customHeight="1" x14ac:dyDescent="0.25">
      <c r="AL2051" s="17"/>
      <c r="AM2051" s="12"/>
      <c r="AN2051" s="18"/>
      <c r="AO2051" s="18"/>
      <c r="AP2051" s="10"/>
      <c r="AQ2051" s="10"/>
      <c r="AR2051" s="19"/>
      <c r="AS2051" s="20"/>
      <c r="AT2051" s="19"/>
      <c r="AV2051" s="21">
        <f>IF(AND($AL2051&lt;&gt;"",COUNTIF($AL$11:$AL2051,$AL2051)=1),1,0)</f>
        <v>0</v>
      </c>
      <c r="AW2051" s="21">
        <f t="shared" si="149"/>
        <v>0</v>
      </c>
      <c r="AX2051" s="21" t="str">
        <f t="shared" si="148"/>
        <v/>
      </c>
      <c r="AY2051" s="21" t="str">
        <f>IF(AND($AM2051&lt;&gt;"",$AS2051&lt;&gt;"✓"),SUMPRODUCT(($AM$11:$AM2051&lt;&gt;"")*($AS$11:$AS2051&lt;&gt;"✓")),"")</f>
        <v/>
      </c>
      <c r="AZ2051" s="21" t="str">
        <f>IF(AND($AM2051&lt;&gt;"",$AS2051="✓"),SUMPRODUCT(($AM$11:$AM2051&lt;&gt;"")*($AS$11:$AS2051="✓")),"")</f>
        <v/>
      </c>
      <c r="BA2051" s="21" t="str">
        <f>IF($AL2051="","",$AL2051&amp;"|"&amp;COUNTIF($AL$11:$AL2051,$AL2051))</f>
        <v/>
      </c>
    </row>
    <row r="2052" spans="38:53" ht="15" customHeight="1" x14ac:dyDescent="0.25">
      <c r="AL2052" s="31"/>
      <c r="AM2052" s="26"/>
      <c r="AN2052" s="32"/>
      <c r="AO2052" s="32"/>
      <c r="AP2052" s="24"/>
      <c r="AQ2052" s="24"/>
      <c r="AR2052" s="33"/>
      <c r="AS2052" s="34"/>
      <c r="AT2052" s="33"/>
      <c r="AV2052" s="21">
        <f>IF(AND($AL2052&lt;&gt;"",COUNTIF($AL$11:$AL2052,$AL2052)=1),1,0)</f>
        <v>0</v>
      </c>
      <c r="AW2052" s="21">
        <f t="shared" si="149"/>
        <v>0</v>
      </c>
      <c r="AX2052" s="21" t="str">
        <f t="shared" si="148"/>
        <v/>
      </c>
      <c r="AY2052" s="21" t="str">
        <f>IF(AND($AM2052&lt;&gt;"",$AS2052&lt;&gt;"✓"),SUMPRODUCT(($AM$11:$AM2052&lt;&gt;"")*($AS$11:$AS2052&lt;&gt;"✓")),"")</f>
        <v/>
      </c>
      <c r="AZ2052" s="21" t="str">
        <f>IF(AND($AM2052&lt;&gt;"",$AS2052="✓"),SUMPRODUCT(($AM$11:$AM2052&lt;&gt;"")*($AS$11:$AS2052="✓")),"")</f>
        <v/>
      </c>
      <c r="BA2052" s="21" t="str">
        <f>IF($AL2052="","",$AL2052&amp;"|"&amp;COUNTIF($AL$11:$AL2052,$AL2052))</f>
        <v/>
      </c>
    </row>
    <row r="2053" spans="38:53" ht="15" customHeight="1" x14ac:dyDescent="0.25">
      <c r="AL2053" s="17"/>
      <c r="AM2053" s="12"/>
      <c r="AN2053" s="18"/>
      <c r="AO2053" s="18"/>
      <c r="AP2053" s="10"/>
      <c r="AQ2053" s="10"/>
      <c r="AR2053" s="19"/>
      <c r="AS2053" s="20"/>
      <c r="AT2053" s="19"/>
      <c r="AV2053" s="21">
        <f>IF(AND($AL2053&lt;&gt;"",COUNTIF($AL$11:$AL2053,$AL2053)=1),1,0)</f>
        <v>0</v>
      </c>
      <c r="AW2053" s="21">
        <f t="shared" si="149"/>
        <v>0</v>
      </c>
      <c r="AX2053" s="21" t="str">
        <f t="shared" si="148"/>
        <v/>
      </c>
      <c r="AY2053" s="21" t="str">
        <f>IF(AND($AM2053&lt;&gt;"",$AS2053&lt;&gt;"✓"),SUMPRODUCT(($AM$11:$AM2053&lt;&gt;"")*($AS$11:$AS2053&lt;&gt;"✓")),"")</f>
        <v/>
      </c>
      <c r="AZ2053" s="21" t="str">
        <f>IF(AND($AM2053&lt;&gt;"",$AS2053="✓"),SUMPRODUCT(($AM$11:$AM2053&lt;&gt;"")*($AS$11:$AS2053="✓")),"")</f>
        <v/>
      </c>
      <c r="BA2053" s="21" t="str">
        <f>IF($AL2053="","",$AL2053&amp;"|"&amp;COUNTIF($AL$11:$AL2053,$AL2053))</f>
        <v/>
      </c>
    </row>
    <row r="2054" spans="38:53" ht="15" customHeight="1" x14ac:dyDescent="0.25">
      <c r="AL2054" s="31"/>
      <c r="AM2054" s="26"/>
      <c r="AN2054" s="32"/>
      <c r="AO2054" s="32"/>
      <c r="AP2054" s="24"/>
      <c r="AQ2054" s="24"/>
      <c r="AR2054" s="33"/>
      <c r="AS2054" s="34"/>
      <c r="AT2054" s="33"/>
      <c r="AV2054" s="21">
        <f>IF(AND($AL2054&lt;&gt;"",COUNTIF($AL$11:$AL2054,$AL2054)=1),1,0)</f>
        <v>0</v>
      </c>
      <c r="AW2054" s="21">
        <f t="shared" si="149"/>
        <v>0</v>
      </c>
      <c r="AX2054" s="21" t="str">
        <f t="shared" si="148"/>
        <v/>
      </c>
      <c r="AY2054" s="21" t="str">
        <f>IF(AND($AM2054&lt;&gt;"",$AS2054&lt;&gt;"✓"),SUMPRODUCT(($AM$11:$AM2054&lt;&gt;"")*($AS$11:$AS2054&lt;&gt;"✓")),"")</f>
        <v/>
      </c>
      <c r="AZ2054" s="21" t="str">
        <f>IF(AND($AM2054&lt;&gt;"",$AS2054="✓"),SUMPRODUCT(($AM$11:$AM2054&lt;&gt;"")*($AS$11:$AS2054="✓")),"")</f>
        <v/>
      </c>
      <c r="BA2054" s="21" t="str">
        <f>IF($AL2054="","",$AL2054&amp;"|"&amp;COUNTIF($AL$11:$AL2054,$AL2054))</f>
        <v/>
      </c>
    </row>
    <row r="2055" spans="38:53" ht="15" customHeight="1" x14ac:dyDescent="0.25">
      <c r="AL2055" s="17"/>
      <c r="AM2055" s="12"/>
      <c r="AN2055" s="18"/>
      <c r="AO2055" s="18"/>
      <c r="AP2055" s="10"/>
      <c r="AQ2055" s="10"/>
      <c r="AR2055" s="19"/>
      <c r="AS2055" s="20"/>
      <c r="AT2055" s="19"/>
      <c r="AV2055" s="21">
        <f>IF(AND($AL2055&lt;&gt;"",COUNTIF($AL$11:$AL2055,$AL2055)=1),1,0)</f>
        <v>0</v>
      </c>
      <c r="AW2055" s="21">
        <f t="shared" si="149"/>
        <v>0</v>
      </c>
      <c r="AX2055" s="21" t="str">
        <f t="shared" si="148"/>
        <v/>
      </c>
      <c r="AY2055" s="21" t="str">
        <f>IF(AND($AM2055&lt;&gt;"",$AS2055&lt;&gt;"✓"),SUMPRODUCT(($AM$11:$AM2055&lt;&gt;"")*($AS$11:$AS2055&lt;&gt;"✓")),"")</f>
        <v/>
      </c>
      <c r="AZ2055" s="21" t="str">
        <f>IF(AND($AM2055&lt;&gt;"",$AS2055="✓"),SUMPRODUCT(($AM$11:$AM2055&lt;&gt;"")*($AS$11:$AS2055="✓")),"")</f>
        <v/>
      </c>
      <c r="BA2055" s="21" t="str">
        <f>IF($AL2055="","",$AL2055&amp;"|"&amp;COUNTIF($AL$11:$AL2055,$AL2055))</f>
        <v/>
      </c>
    </row>
    <row r="2056" spans="38:53" ht="15" customHeight="1" x14ac:dyDescent="0.25">
      <c r="AL2056" s="31"/>
      <c r="AM2056" s="26"/>
      <c r="AN2056" s="32"/>
      <c r="AO2056" s="32"/>
      <c r="AP2056" s="24"/>
      <c r="AQ2056" s="24"/>
      <c r="AR2056" s="33"/>
      <c r="AS2056" s="34"/>
      <c r="AT2056" s="33"/>
      <c r="AV2056" s="21">
        <f>IF(AND($AL2056&lt;&gt;"",COUNTIF($AL$11:$AL2056,$AL2056)=1),1,0)</f>
        <v>0</v>
      </c>
      <c r="AW2056" s="21">
        <f t="shared" si="149"/>
        <v>0</v>
      </c>
      <c r="AX2056" s="21" t="str">
        <f t="shared" si="148"/>
        <v/>
      </c>
      <c r="AY2056" s="21" t="str">
        <f>IF(AND($AM2056&lt;&gt;"",$AS2056&lt;&gt;"✓"),SUMPRODUCT(($AM$11:$AM2056&lt;&gt;"")*($AS$11:$AS2056&lt;&gt;"✓")),"")</f>
        <v/>
      </c>
      <c r="AZ2056" s="21" t="str">
        <f>IF(AND($AM2056&lt;&gt;"",$AS2056="✓"),SUMPRODUCT(($AM$11:$AM2056&lt;&gt;"")*($AS$11:$AS2056="✓")),"")</f>
        <v/>
      </c>
      <c r="BA2056" s="21" t="str">
        <f>IF($AL2056="","",$AL2056&amp;"|"&amp;COUNTIF($AL$11:$AL2056,$AL2056))</f>
        <v/>
      </c>
    </row>
    <row r="2057" spans="38:53" ht="15" customHeight="1" x14ac:dyDescent="0.25">
      <c r="AL2057" s="17"/>
      <c r="AM2057" s="12"/>
      <c r="AN2057" s="18"/>
      <c r="AO2057" s="18"/>
      <c r="AP2057" s="10"/>
      <c r="AQ2057" s="10"/>
      <c r="AR2057" s="19"/>
      <c r="AS2057" s="20"/>
      <c r="AT2057" s="19"/>
      <c r="AV2057" s="21">
        <f>IF(AND($AL2057&lt;&gt;"",COUNTIF($AL$11:$AL2057,$AL2057)=1),1,0)</f>
        <v>0</v>
      </c>
      <c r="AW2057" s="21">
        <f t="shared" si="149"/>
        <v>0</v>
      </c>
      <c r="AX2057" s="21" t="str">
        <f t="shared" si="148"/>
        <v/>
      </c>
      <c r="AY2057" s="21" t="str">
        <f>IF(AND($AM2057&lt;&gt;"",$AS2057&lt;&gt;"✓"),SUMPRODUCT(($AM$11:$AM2057&lt;&gt;"")*($AS$11:$AS2057&lt;&gt;"✓")),"")</f>
        <v/>
      </c>
      <c r="AZ2057" s="21" t="str">
        <f>IF(AND($AM2057&lt;&gt;"",$AS2057="✓"),SUMPRODUCT(($AM$11:$AM2057&lt;&gt;"")*($AS$11:$AS2057="✓")),"")</f>
        <v/>
      </c>
      <c r="BA2057" s="21" t="str">
        <f>IF($AL2057="","",$AL2057&amp;"|"&amp;COUNTIF($AL$11:$AL2057,$AL2057))</f>
        <v/>
      </c>
    </row>
    <row r="2058" spans="38:53" ht="15" customHeight="1" x14ac:dyDescent="0.25">
      <c r="AL2058" s="31"/>
      <c r="AM2058" s="26"/>
      <c r="AN2058" s="32"/>
      <c r="AO2058" s="32"/>
      <c r="AP2058" s="24"/>
      <c r="AQ2058" s="24"/>
      <c r="AR2058" s="33"/>
      <c r="AS2058" s="34"/>
      <c r="AT2058" s="33"/>
      <c r="AV2058" s="21">
        <f>IF(AND($AL2058&lt;&gt;"",COUNTIF($AL$11:$AL2058,$AL2058)=1),1,0)</f>
        <v>0</v>
      </c>
      <c r="AW2058" s="21">
        <f t="shared" si="149"/>
        <v>0</v>
      </c>
      <c r="AX2058" s="21" t="str">
        <f t="shared" si="148"/>
        <v/>
      </c>
      <c r="AY2058" s="21" t="str">
        <f>IF(AND($AM2058&lt;&gt;"",$AS2058&lt;&gt;"✓"),SUMPRODUCT(($AM$11:$AM2058&lt;&gt;"")*($AS$11:$AS2058&lt;&gt;"✓")),"")</f>
        <v/>
      </c>
      <c r="AZ2058" s="21" t="str">
        <f>IF(AND($AM2058&lt;&gt;"",$AS2058="✓"),SUMPRODUCT(($AM$11:$AM2058&lt;&gt;"")*($AS$11:$AS2058="✓")),"")</f>
        <v/>
      </c>
      <c r="BA2058" s="21" t="str">
        <f>IF($AL2058="","",$AL2058&amp;"|"&amp;COUNTIF($AL$11:$AL2058,$AL2058))</f>
        <v/>
      </c>
    </row>
    <row r="2059" spans="38:53" ht="15" customHeight="1" x14ac:dyDescent="0.25">
      <c r="AL2059" s="17"/>
      <c r="AM2059" s="12"/>
      <c r="AN2059" s="18"/>
      <c r="AO2059" s="18"/>
      <c r="AP2059" s="10"/>
      <c r="AQ2059" s="10"/>
      <c r="AR2059" s="19"/>
      <c r="AS2059" s="20"/>
      <c r="AT2059" s="19"/>
      <c r="AV2059" s="21">
        <f>IF(AND($AL2059&lt;&gt;"",COUNTIF($AL$11:$AL2059,$AL2059)=1),1,0)</f>
        <v>0</v>
      </c>
      <c r="AW2059" s="21">
        <f t="shared" si="149"/>
        <v>0</v>
      </c>
      <c r="AX2059" s="21" t="str">
        <f t="shared" ref="AX2059:AX2122" si="150">IF(AV2059=1,AW2059,"")</f>
        <v/>
      </c>
      <c r="AY2059" s="21" t="str">
        <f>IF(AND($AM2059&lt;&gt;"",$AS2059&lt;&gt;"✓"),SUMPRODUCT(($AM$11:$AM2059&lt;&gt;"")*($AS$11:$AS2059&lt;&gt;"✓")),"")</f>
        <v/>
      </c>
      <c r="AZ2059" s="21" t="str">
        <f>IF(AND($AM2059&lt;&gt;"",$AS2059="✓"),SUMPRODUCT(($AM$11:$AM2059&lt;&gt;"")*($AS$11:$AS2059="✓")),"")</f>
        <v/>
      </c>
      <c r="BA2059" s="21" t="str">
        <f>IF($AL2059="","",$AL2059&amp;"|"&amp;COUNTIF($AL$11:$AL2059,$AL2059))</f>
        <v/>
      </c>
    </row>
    <row r="2060" spans="38:53" ht="15" customHeight="1" x14ac:dyDescent="0.25">
      <c r="AL2060" s="31"/>
      <c r="AM2060" s="26"/>
      <c r="AN2060" s="32"/>
      <c r="AO2060" s="32"/>
      <c r="AP2060" s="24"/>
      <c r="AQ2060" s="24"/>
      <c r="AR2060" s="33"/>
      <c r="AS2060" s="34"/>
      <c r="AT2060" s="33"/>
      <c r="AV2060" s="21">
        <f>IF(AND($AL2060&lt;&gt;"",COUNTIF($AL$11:$AL2060,$AL2060)=1),1,0)</f>
        <v>0</v>
      </c>
      <c r="AW2060" s="21">
        <f t="shared" ref="AW2060:AW2123" si="151">AW2059+AV2060</f>
        <v>0</v>
      </c>
      <c r="AX2060" s="21" t="str">
        <f t="shared" si="150"/>
        <v/>
      </c>
      <c r="AY2060" s="21" t="str">
        <f>IF(AND($AM2060&lt;&gt;"",$AS2060&lt;&gt;"✓"),SUMPRODUCT(($AM$11:$AM2060&lt;&gt;"")*($AS$11:$AS2060&lt;&gt;"✓")),"")</f>
        <v/>
      </c>
      <c r="AZ2060" s="21" t="str">
        <f>IF(AND($AM2060&lt;&gt;"",$AS2060="✓"),SUMPRODUCT(($AM$11:$AM2060&lt;&gt;"")*($AS$11:$AS2060="✓")),"")</f>
        <v/>
      </c>
      <c r="BA2060" s="21" t="str">
        <f>IF($AL2060="","",$AL2060&amp;"|"&amp;COUNTIF($AL$11:$AL2060,$AL2060))</f>
        <v/>
      </c>
    </row>
    <row r="2061" spans="38:53" ht="15" customHeight="1" x14ac:dyDescent="0.25">
      <c r="AL2061" s="17"/>
      <c r="AM2061" s="12"/>
      <c r="AN2061" s="18"/>
      <c r="AO2061" s="18"/>
      <c r="AP2061" s="10"/>
      <c r="AQ2061" s="10"/>
      <c r="AR2061" s="19"/>
      <c r="AS2061" s="20"/>
      <c r="AT2061" s="19"/>
      <c r="AV2061" s="21">
        <f>IF(AND($AL2061&lt;&gt;"",COUNTIF($AL$11:$AL2061,$AL2061)=1),1,0)</f>
        <v>0</v>
      </c>
      <c r="AW2061" s="21">
        <f t="shared" si="151"/>
        <v>0</v>
      </c>
      <c r="AX2061" s="21" t="str">
        <f t="shared" si="150"/>
        <v/>
      </c>
      <c r="AY2061" s="21" t="str">
        <f>IF(AND($AM2061&lt;&gt;"",$AS2061&lt;&gt;"✓"),SUMPRODUCT(($AM$11:$AM2061&lt;&gt;"")*($AS$11:$AS2061&lt;&gt;"✓")),"")</f>
        <v/>
      </c>
      <c r="AZ2061" s="21" t="str">
        <f>IF(AND($AM2061&lt;&gt;"",$AS2061="✓"),SUMPRODUCT(($AM$11:$AM2061&lt;&gt;"")*($AS$11:$AS2061="✓")),"")</f>
        <v/>
      </c>
      <c r="BA2061" s="21" t="str">
        <f>IF($AL2061="","",$AL2061&amp;"|"&amp;COUNTIF($AL$11:$AL2061,$AL2061))</f>
        <v/>
      </c>
    </row>
    <row r="2062" spans="38:53" ht="15" customHeight="1" x14ac:dyDescent="0.25">
      <c r="AL2062" s="31"/>
      <c r="AM2062" s="26"/>
      <c r="AN2062" s="32"/>
      <c r="AO2062" s="32"/>
      <c r="AP2062" s="24"/>
      <c r="AQ2062" s="24"/>
      <c r="AR2062" s="33"/>
      <c r="AS2062" s="34"/>
      <c r="AT2062" s="33"/>
      <c r="AV2062" s="21">
        <f>IF(AND($AL2062&lt;&gt;"",COUNTIF($AL$11:$AL2062,$AL2062)=1),1,0)</f>
        <v>0</v>
      </c>
      <c r="AW2062" s="21">
        <f t="shared" si="151"/>
        <v>0</v>
      </c>
      <c r="AX2062" s="21" t="str">
        <f t="shared" si="150"/>
        <v/>
      </c>
      <c r="AY2062" s="21" t="str">
        <f>IF(AND($AM2062&lt;&gt;"",$AS2062&lt;&gt;"✓"),SUMPRODUCT(($AM$11:$AM2062&lt;&gt;"")*($AS$11:$AS2062&lt;&gt;"✓")),"")</f>
        <v/>
      </c>
      <c r="AZ2062" s="21" t="str">
        <f>IF(AND($AM2062&lt;&gt;"",$AS2062="✓"),SUMPRODUCT(($AM$11:$AM2062&lt;&gt;"")*($AS$11:$AS2062="✓")),"")</f>
        <v/>
      </c>
      <c r="BA2062" s="21" t="str">
        <f>IF($AL2062="","",$AL2062&amp;"|"&amp;COUNTIF($AL$11:$AL2062,$AL2062))</f>
        <v/>
      </c>
    </row>
    <row r="2063" spans="38:53" ht="15" customHeight="1" x14ac:dyDescent="0.25">
      <c r="AL2063" s="17"/>
      <c r="AM2063" s="12"/>
      <c r="AN2063" s="18"/>
      <c r="AO2063" s="18"/>
      <c r="AP2063" s="10"/>
      <c r="AQ2063" s="10"/>
      <c r="AR2063" s="19"/>
      <c r="AS2063" s="20"/>
      <c r="AT2063" s="19"/>
      <c r="AV2063" s="21">
        <f>IF(AND($AL2063&lt;&gt;"",COUNTIF($AL$11:$AL2063,$AL2063)=1),1,0)</f>
        <v>0</v>
      </c>
      <c r="AW2063" s="21">
        <f t="shared" si="151"/>
        <v>0</v>
      </c>
      <c r="AX2063" s="21" t="str">
        <f t="shared" si="150"/>
        <v/>
      </c>
      <c r="AY2063" s="21" t="str">
        <f>IF(AND($AM2063&lt;&gt;"",$AS2063&lt;&gt;"✓"),SUMPRODUCT(($AM$11:$AM2063&lt;&gt;"")*($AS$11:$AS2063&lt;&gt;"✓")),"")</f>
        <v/>
      </c>
      <c r="AZ2063" s="21" t="str">
        <f>IF(AND($AM2063&lt;&gt;"",$AS2063="✓"),SUMPRODUCT(($AM$11:$AM2063&lt;&gt;"")*($AS$11:$AS2063="✓")),"")</f>
        <v/>
      </c>
      <c r="BA2063" s="21" t="str">
        <f>IF($AL2063="","",$AL2063&amp;"|"&amp;COUNTIF($AL$11:$AL2063,$AL2063))</f>
        <v/>
      </c>
    </row>
    <row r="2064" spans="38:53" ht="15" customHeight="1" x14ac:dyDescent="0.25">
      <c r="AL2064" s="31"/>
      <c r="AM2064" s="26"/>
      <c r="AN2064" s="32"/>
      <c r="AO2064" s="32"/>
      <c r="AP2064" s="24"/>
      <c r="AQ2064" s="24"/>
      <c r="AR2064" s="33"/>
      <c r="AS2064" s="34"/>
      <c r="AT2064" s="33"/>
      <c r="AV2064" s="21">
        <f>IF(AND($AL2064&lt;&gt;"",COUNTIF($AL$11:$AL2064,$AL2064)=1),1,0)</f>
        <v>0</v>
      </c>
      <c r="AW2064" s="21">
        <f t="shared" si="151"/>
        <v>0</v>
      </c>
      <c r="AX2064" s="21" t="str">
        <f t="shared" si="150"/>
        <v/>
      </c>
      <c r="AY2064" s="21" t="str">
        <f>IF(AND($AM2064&lt;&gt;"",$AS2064&lt;&gt;"✓"),SUMPRODUCT(($AM$11:$AM2064&lt;&gt;"")*($AS$11:$AS2064&lt;&gt;"✓")),"")</f>
        <v/>
      </c>
      <c r="AZ2064" s="21" t="str">
        <f>IF(AND($AM2064&lt;&gt;"",$AS2064="✓"),SUMPRODUCT(($AM$11:$AM2064&lt;&gt;"")*($AS$11:$AS2064="✓")),"")</f>
        <v/>
      </c>
      <c r="BA2064" s="21" t="str">
        <f>IF($AL2064="","",$AL2064&amp;"|"&amp;COUNTIF($AL$11:$AL2064,$AL2064))</f>
        <v/>
      </c>
    </row>
    <row r="2065" spans="38:53" ht="15" customHeight="1" x14ac:dyDescent="0.25">
      <c r="AL2065" s="17"/>
      <c r="AM2065" s="12"/>
      <c r="AN2065" s="18"/>
      <c r="AO2065" s="18"/>
      <c r="AP2065" s="10"/>
      <c r="AQ2065" s="10"/>
      <c r="AR2065" s="19"/>
      <c r="AS2065" s="20"/>
      <c r="AT2065" s="19"/>
      <c r="AV2065" s="21">
        <f>IF(AND($AL2065&lt;&gt;"",COUNTIF($AL$11:$AL2065,$AL2065)=1),1,0)</f>
        <v>0</v>
      </c>
      <c r="AW2065" s="21">
        <f t="shared" si="151"/>
        <v>0</v>
      </c>
      <c r="AX2065" s="21" t="str">
        <f t="shared" si="150"/>
        <v/>
      </c>
      <c r="AY2065" s="21" t="str">
        <f>IF(AND($AM2065&lt;&gt;"",$AS2065&lt;&gt;"✓"),SUMPRODUCT(($AM$11:$AM2065&lt;&gt;"")*($AS$11:$AS2065&lt;&gt;"✓")),"")</f>
        <v/>
      </c>
      <c r="AZ2065" s="21" t="str">
        <f>IF(AND($AM2065&lt;&gt;"",$AS2065="✓"),SUMPRODUCT(($AM$11:$AM2065&lt;&gt;"")*($AS$11:$AS2065="✓")),"")</f>
        <v/>
      </c>
      <c r="BA2065" s="21" t="str">
        <f>IF($AL2065="","",$AL2065&amp;"|"&amp;COUNTIF($AL$11:$AL2065,$AL2065))</f>
        <v/>
      </c>
    </row>
    <row r="2066" spans="38:53" ht="15" customHeight="1" x14ac:dyDescent="0.25">
      <c r="AL2066" s="31"/>
      <c r="AM2066" s="26"/>
      <c r="AN2066" s="32"/>
      <c r="AO2066" s="32"/>
      <c r="AP2066" s="24"/>
      <c r="AQ2066" s="24"/>
      <c r="AR2066" s="33"/>
      <c r="AS2066" s="34"/>
      <c r="AT2066" s="33"/>
      <c r="AV2066" s="21">
        <f>IF(AND($AL2066&lt;&gt;"",COUNTIF($AL$11:$AL2066,$AL2066)=1),1,0)</f>
        <v>0</v>
      </c>
      <c r="AW2066" s="21">
        <f t="shared" si="151"/>
        <v>0</v>
      </c>
      <c r="AX2066" s="21" t="str">
        <f t="shared" si="150"/>
        <v/>
      </c>
      <c r="AY2066" s="21" t="str">
        <f>IF(AND($AM2066&lt;&gt;"",$AS2066&lt;&gt;"✓"),SUMPRODUCT(($AM$11:$AM2066&lt;&gt;"")*($AS$11:$AS2066&lt;&gt;"✓")),"")</f>
        <v/>
      </c>
      <c r="AZ2066" s="21" t="str">
        <f>IF(AND($AM2066&lt;&gt;"",$AS2066="✓"),SUMPRODUCT(($AM$11:$AM2066&lt;&gt;"")*($AS$11:$AS2066="✓")),"")</f>
        <v/>
      </c>
      <c r="BA2066" s="21" t="str">
        <f>IF($AL2066="","",$AL2066&amp;"|"&amp;COUNTIF($AL$11:$AL2066,$AL2066))</f>
        <v/>
      </c>
    </row>
    <row r="2067" spans="38:53" ht="15" customHeight="1" x14ac:dyDescent="0.25">
      <c r="AL2067" s="17"/>
      <c r="AM2067" s="12"/>
      <c r="AN2067" s="18"/>
      <c r="AO2067" s="18"/>
      <c r="AP2067" s="10"/>
      <c r="AQ2067" s="10"/>
      <c r="AR2067" s="19"/>
      <c r="AS2067" s="20"/>
      <c r="AT2067" s="19"/>
      <c r="AV2067" s="21">
        <f>IF(AND($AL2067&lt;&gt;"",COUNTIF($AL$11:$AL2067,$AL2067)=1),1,0)</f>
        <v>0</v>
      </c>
      <c r="AW2067" s="21">
        <f t="shared" si="151"/>
        <v>0</v>
      </c>
      <c r="AX2067" s="21" t="str">
        <f t="shared" si="150"/>
        <v/>
      </c>
      <c r="AY2067" s="21" t="str">
        <f>IF(AND($AM2067&lt;&gt;"",$AS2067&lt;&gt;"✓"),SUMPRODUCT(($AM$11:$AM2067&lt;&gt;"")*($AS$11:$AS2067&lt;&gt;"✓")),"")</f>
        <v/>
      </c>
      <c r="AZ2067" s="21" t="str">
        <f>IF(AND($AM2067&lt;&gt;"",$AS2067="✓"),SUMPRODUCT(($AM$11:$AM2067&lt;&gt;"")*($AS$11:$AS2067="✓")),"")</f>
        <v/>
      </c>
      <c r="BA2067" s="21" t="str">
        <f>IF($AL2067="","",$AL2067&amp;"|"&amp;COUNTIF($AL$11:$AL2067,$AL2067))</f>
        <v/>
      </c>
    </row>
    <row r="2068" spans="38:53" ht="15" customHeight="1" x14ac:dyDescent="0.25">
      <c r="AL2068" s="31"/>
      <c r="AM2068" s="26"/>
      <c r="AN2068" s="32"/>
      <c r="AO2068" s="32"/>
      <c r="AP2068" s="24"/>
      <c r="AQ2068" s="24"/>
      <c r="AR2068" s="33"/>
      <c r="AS2068" s="34"/>
      <c r="AT2068" s="33"/>
      <c r="AV2068" s="21">
        <f>IF(AND($AL2068&lt;&gt;"",COUNTIF($AL$11:$AL2068,$AL2068)=1),1,0)</f>
        <v>0</v>
      </c>
      <c r="AW2068" s="21">
        <f t="shared" si="151"/>
        <v>0</v>
      </c>
      <c r="AX2068" s="21" t="str">
        <f t="shared" si="150"/>
        <v/>
      </c>
      <c r="AY2068" s="21" t="str">
        <f>IF(AND($AM2068&lt;&gt;"",$AS2068&lt;&gt;"✓"),SUMPRODUCT(($AM$11:$AM2068&lt;&gt;"")*($AS$11:$AS2068&lt;&gt;"✓")),"")</f>
        <v/>
      </c>
      <c r="AZ2068" s="21" t="str">
        <f>IF(AND($AM2068&lt;&gt;"",$AS2068="✓"),SUMPRODUCT(($AM$11:$AM2068&lt;&gt;"")*($AS$11:$AS2068="✓")),"")</f>
        <v/>
      </c>
      <c r="BA2068" s="21" t="str">
        <f>IF($AL2068="","",$AL2068&amp;"|"&amp;COUNTIF($AL$11:$AL2068,$AL2068))</f>
        <v/>
      </c>
    </row>
    <row r="2069" spans="38:53" ht="15" customHeight="1" x14ac:dyDescent="0.25">
      <c r="AL2069" s="17"/>
      <c r="AM2069" s="12"/>
      <c r="AN2069" s="18"/>
      <c r="AO2069" s="18"/>
      <c r="AP2069" s="10"/>
      <c r="AQ2069" s="10"/>
      <c r="AR2069" s="19"/>
      <c r="AS2069" s="20"/>
      <c r="AT2069" s="19"/>
      <c r="AV2069" s="21">
        <f>IF(AND($AL2069&lt;&gt;"",COUNTIF($AL$11:$AL2069,$AL2069)=1),1,0)</f>
        <v>0</v>
      </c>
      <c r="AW2069" s="21">
        <f t="shared" si="151"/>
        <v>0</v>
      </c>
      <c r="AX2069" s="21" t="str">
        <f t="shared" si="150"/>
        <v/>
      </c>
      <c r="AY2069" s="21" t="str">
        <f>IF(AND($AM2069&lt;&gt;"",$AS2069&lt;&gt;"✓"),SUMPRODUCT(($AM$11:$AM2069&lt;&gt;"")*($AS$11:$AS2069&lt;&gt;"✓")),"")</f>
        <v/>
      </c>
      <c r="AZ2069" s="21" t="str">
        <f>IF(AND($AM2069&lt;&gt;"",$AS2069="✓"),SUMPRODUCT(($AM$11:$AM2069&lt;&gt;"")*($AS$11:$AS2069="✓")),"")</f>
        <v/>
      </c>
      <c r="BA2069" s="21" t="str">
        <f>IF($AL2069="","",$AL2069&amp;"|"&amp;COUNTIF($AL$11:$AL2069,$AL2069))</f>
        <v/>
      </c>
    </row>
    <row r="2070" spans="38:53" ht="15" customHeight="1" x14ac:dyDescent="0.25">
      <c r="AL2070" s="31"/>
      <c r="AM2070" s="26"/>
      <c r="AN2070" s="32"/>
      <c r="AO2070" s="32"/>
      <c r="AP2070" s="24"/>
      <c r="AQ2070" s="24"/>
      <c r="AR2070" s="33"/>
      <c r="AS2070" s="34"/>
      <c r="AT2070" s="33"/>
      <c r="AV2070" s="21">
        <f>IF(AND($AL2070&lt;&gt;"",COUNTIF($AL$11:$AL2070,$AL2070)=1),1,0)</f>
        <v>0</v>
      </c>
      <c r="AW2070" s="21">
        <f t="shared" si="151"/>
        <v>0</v>
      </c>
      <c r="AX2070" s="21" t="str">
        <f t="shared" si="150"/>
        <v/>
      </c>
      <c r="AY2070" s="21" t="str">
        <f>IF(AND($AM2070&lt;&gt;"",$AS2070&lt;&gt;"✓"),SUMPRODUCT(($AM$11:$AM2070&lt;&gt;"")*($AS$11:$AS2070&lt;&gt;"✓")),"")</f>
        <v/>
      </c>
      <c r="AZ2070" s="21" t="str">
        <f>IF(AND($AM2070&lt;&gt;"",$AS2070="✓"),SUMPRODUCT(($AM$11:$AM2070&lt;&gt;"")*($AS$11:$AS2070="✓")),"")</f>
        <v/>
      </c>
      <c r="BA2070" s="21" t="str">
        <f>IF($AL2070="","",$AL2070&amp;"|"&amp;COUNTIF($AL$11:$AL2070,$AL2070))</f>
        <v/>
      </c>
    </row>
    <row r="2071" spans="38:53" ht="15" customHeight="1" x14ac:dyDescent="0.25">
      <c r="AL2071" s="17"/>
      <c r="AM2071" s="12"/>
      <c r="AN2071" s="18"/>
      <c r="AO2071" s="18"/>
      <c r="AP2071" s="10"/>
      <c r="AQ2071" s="10"/>
      <c r="AR2071" s="19"/>
      <c r="AS2071" s="20"/>
      <c r="AT2071" s="19"/>
      <c r="AV2071" s="21">
        <f>IF(AND($AL2071&lt;&gt;"",COUNTIF($AL$11:$AL2071,$AL2071)=1),1,0)</f>
        <v>0</v>
      </c>
      <c r="AW2071" s="21">
        <f t="shared" si="151"/>
        <v>0</v>
      </c>
      <c r="AX2071" s="21" t="str">
        <f t="shared" si="150"/>
        <v/>
      </c>
      <c r="AY2071" s="21" t="str">
        <f>IF(AND($AM2071&lt;&gt;"",$AS2071&lt;&gt;"✓"),SUMPRODUCT(($AM$11:$AM2071&lt;&gt;"")*($AS$11:$AS2071&lt;&gt;"✓")),"")</f>
        <v/>
      </c>
      <c r="AZ2071" s="21" t="str">
        <f>IF(AND($AM2071&lt;&gt;"",$AS2071="✓"),SUMPRODUCT(($AM$11:$AM2071&lt;&gt;"")*($AS$11:$AS2071="✓")),"")</f>
        <v/>
      </c>
      <c r="BA2071" s="21" t="str">
        <f>IF($AL2071="","",$AL2071&amp;"|"&amp;COUNTIF($AL$11:$AL2071,$AL2071))</f>
        <v/>
      </c>
    </row>
    <row r="2072" spans="38:53" ht="15" customHeight="1" x14ac:dyDescent="0.25">
      <c r="AL2072" s="31"/>
      <c r="AM2072" s="26"/>
      <c r="AN2072" s="32"/>
      <c r="AO2072" s="32"/>
      <c r="AP2072" s="24"/>
      <c r="AQ2072" s="24"/>
      <c r="AR2072" s="33"/>
      <c r="AS2072" s="34"/>
      <c r="AT2072" s="33"/>
      <c r="AV2072" s="21">
        <f>IF(AND($AL2072&lt;&gt;"",COUNTIF($AL$11:$AL2072,$AL2072)=1),1,0)</f>
        <v>0</v>
      </c>
      <c r="AW2072" s="21">
        <f t="shared" si="151"/>
        <v>0</v>
      </c>
      <c r="AX2072" s="21" t="str">
        <f t="shared" si="150"/>
        <v/>
      </c>
      <c r="AY2072" s="21" t="str">
        <f>IF(AND($AM2072&lt;&gt;"",$AS2072&lt;&gt;"✓"),SUMPRODUCT(($AM$11:$AM2072&lt;&gt;"")*($AS$11:$AS2072&lt;&gt;"✓")),"")</f>
        <v/>
      </c>
      <c r="AZ2072" s="21" t="str">
        <f>IF(AND($AM2072&lt;&gt;"",$AS2072="✓"),SUMPRODUCT(($AM$11:$AM2072&lt;&gt;"")*($AS$11:$AS2072="✓")),"")</f>
        <v/>
      </c>
      <c r="BA2072" s="21" t="str">
        <f>IF($AL2072="","",$AL2072&amp;"|"&amp;COUNTIF($AL$11:$AL2072,$AL2072))</f>
        <v/>
      </c>
    </row>
    <row r="2073" spans="38:53" ht="15" customHeight="1" x14ac:dyDescent="0.25">
      <c r="AL2073" s="17"/>
      <c r="AM2073" s="12"/>
      <c r="AN2073" s="18"/>
      <c r="AO2073" s="18"/>
      <c r="AP2073" s="10"/>
      <c r="AQ2073" s="10"/>
      <c r="AR2073" s="19"/>
      <c r="AS2073" s="20"/>
      <c r="AT2073" s="19"/>
      <c r="AV2073" s="21">
        <f>IF(AND($AL2073&lt;&gt;"",COUNTIF($AL$11:$AL2073,$AL2073)=1),1,0)</f>
        <v>0</v>
      </c>
      <c r="AW2073" s="21">
        <f t="shared" si="151"/>
        <v>0</v>
      </c>
      <c r="AX2073" s="21" t="str">
        <f t="shared" si="150"/>
        <v/>
      </c>
      <c r="AY2073" s="21" t="str">
        <f>IF(AND($AM2073&lt;&gt;"",$AS2073&lt;&gt;"✓"),SUMPRODUCT(($AM$11:$AM2073&lt;&gt;"")*($AS$11:$AS2073&lt;&gt;"✓")),"")</f>
        <v/>
      </c>
      <c r="AZ2073" s="21" t="str">
        <f>IF(AND($AM2073&lt;&gt;"",$AS2073="✓"),SUMPRODUCT(($AM$11:$AM2073&lt;&gt;"")*($AS$11:$AS2073="✓")),"")</f>
        <v/>
      </c>
      <c r="BA2073" s="21" t="str">
        <f>IF($AL2073="","",$AL2073&amp;"|"&amp;COUNTIF($AL$11:$AL2073,$AL2073))</f>
        <v/>
      </c>
    </row>
    <row r="2074" spans="38:53" ht="15" customHeight="1" x14ac:dyDescent="0.25">
      <c r="AL2074" s="31"/>
      <c r="AM2074" s="26"/>
      <c r="AN2074" s="32"/>
      <c r="AO2074" s="32"/>
      <c r="AP2074" s="24"/>
      <c r="AQ2074" s="24"/>
      <c r="AR2074" s="33"/>
      <c r="AS2074" s="34"/>
      <c r="AT2074" s="33"/>
      <c r="AV2074" s="21">
        <f>IF(AND($AL2074&lt;&gt;"",COUNTIF($AL$11:$AL2074,$AL2074)=1),1,0)</f>
        <v>0</v>
      </c>
      <c r="AW2074" s="21">
        <f t="shared" si="151"/>
        <v>0</v>
      </c>
      <c r="AX2074" s="21" t="str">
        <f t="shared" si="150"/>
        <v/>
      </c>
      <c r="AY2074" s="21" t="str">
        <f>IF(AND($AM2074&lt;&gt;"",$AS2074&lt;&gt;"✓"),SUMPRODUCT(($AM$11:$AM2074&lt;&gt;"")*($AS$11:$AS2074&lt;&gt;"✓")),"")</f>
        <v/>
      </c>
      <c r="AZ2074" s="21" t="str">
        <f>IF(AND($AM2074&lt;&gt;"",$AS2074="✓"),SUMPRODUCT(($AM$11:$AM2074&lt;&gt;"")*($AS$11:$AS2074="✓")),"")</f>
        <v/>
      </c>
      <c r="BA2074" s="21" t="str">
        <f>IF($AL2074="","",$AL2074&amp;"|"&amp;COUNTIF($AL$11:$AL2074,$AL2074))</f>
        <v/>
      </c>
    </row>
    <row r="2075" spans="38:53" ht="15" customHeight="1" x14ac:dyDescent="0.25">
      <c r="AL2075" s="17"/>
      <c r="AM2075" s="12"/>
      <c r="AN2075" s="18"/>
      <c r="AO2075" s="18"/>
      <c r="AP2075" s="10"/>
      <c r="AQ2075" s="10"/>
      <c r="AR2075" s="19"/>
      <c r="AS2075" s="20"/>
      <c r="AT2075" s="19"/>
      <c r="AV2075" s="21">
        <f>IF(AND($AL2075&lt;&gt;"",COUNTIF($AL$11:$AL2075,$AL2075)=1),1,0)</f>
        <v>0</v>
      </c>
      <c r="AW2075" s="21">
        <f t="shared" si="151"/>
        <v>0</v>
      </c>
      <c r="AX2075" s="21" t="str">
        <f t="shared" si="150"/>
        <v/>
      </c>
      <c r="AY2075" s="21" t="str">
        <f>IF(AND($AM2075&lt;&gt;"",$AS2075&lt;&gt;"✓"),SUMPRODUCT(($AM$11:$AM2075&lt;&gt;"")*($AS$11:$AS2075&lt;&gt;"✓")),"")</f>
        <v/>
      </c>
      <c r="AZ2075" s="21" t="str">
        <f>IF(AND($AM2075&lt;&gt;"",$AS2075="✓"),SUMPRODUCT(($AM$11:$AM2075&lt;&gt;"")*($AS$11:$AS2075="✓")),"")</f>
        <v/>
      </c>
      <c r="BA2075" s="21" t="str">
        <f>IF($AL2075="","",$AL2075&amp;"|"&amp;COUNTIF($AL$11:$AL2075,$AL2075))</f>
        <v/>
      </c>
    </row>
    <row r="2076" spans="38:53" ht="15" customHeight="1" x14ac:dyDescent="0.25">
      <c r="AL2076" s="31"/>
      <c r="AM2076" s="26"/>
      <c r="AN2076" s="32"/>
      <c r="AO2076" s="32"/>
      <c r="AP2076" s="24"/>
      <c r="AQ2076" s="24"/>
      <c r="AR2076" s="33"/>
      <c r="AS2076" s="34"/>
      <c r="AT2076" s="33"/>
      <c r="AV2076" s="21">
        <f>IF(AND($AL2076&lt;&gt;"",COUNTIF($AL$11:$AL2076,$AL2076)=1),1,0)</f>
        <v>0</v>
      </c>
      <c r="AW2076" s="21">
        <f t="shared" si="151"/>
        <v>0</v>
      </c>
      <c r="AX2076" s="21" t="str">
        <f t="shared" si="150"/>
        <v/>
      </c>
      <c r="AY2076" s="21" t="str">
        <f>IF(AND($AM2076&lt;&gt;"",$AS2076&lt;&gt;"✓"),SUMPRODUCT(($AM$11:$AM2076&lt;&gt;"")*($AS$11:$AS2076&lt;&gt;"✓")),"")</f>
        <v/>
      </c>
      <c r="AZ2076" s="21" t="str">
        <f>IF(AND($AM2076&lt;&gt;"",$AS2076="✓"),SUMPRODUCT(($AM$11:$AM2076&lt;&gt;"")*($AS$11:$AS2076="✓")),"")</f>
        <v/>
      </c>
      <c r="BA2076" s="21" t="str">
        <f>IF($AL2076="","",$AL2076&amp;"|"&amp;COUNTIF($AL$11:$AL2076,$AL2076))</f>
        <v/>
      </c>
    </row>
    <row r="2077" spans="38:53" ht="15" customHeight="1" x14ac:dyDescent="0.25">
      <c r="AL2077" s="17"/>
      <c r="AM2077" s="12"/>
      <c r="AN2077" s="18"/>
      <c r="AO2077" s="18"/>
      <c r="AP2077" s="10"/>
      <c r="AQ2077" s="10"/>
      <c r="AR2077" s="19"/>
      <c r="AS2077" s="20"/>
      <c r="AT2077" s="19"/>
      <c r="AV2077" s="21">
        <f>IF(AND($AL2077&lt;&gt;"",COUNTIF($AL$11:$AL2077,$AL2077)=1),1,0)</f>
        <v>0</v>
      </c>
      <c r="AW2077" s="21">
        <f t="shared" si="151"/>
        <v>0</v>
      </c>
      <c r="AX2077" s="21" t="str">
        <f t="shared" si="150"/>
        <v/>
      </c>
      <c r="AY2077" s="21" t="str">
        <f>IF(AND($AM2077&lt;&gt;"",$AS2077&lt;&gt;"✓"),SUMPRODUCT(($AM$11:$AM2077&lt;&gt;"")*($AS$11:$AS2077&lt;&gt;"✓")),"")</f>
        <v/>
      </c>
      <c r="AZ2077" s="21" t="str">
        <f>IF(AND($AM2077&lt;&gt;"",$AS2077="✓"),SUMPRODUCT(($AM$11:$AM2077&lt;&gt;"")*($AS$11:$AS2077="✓")),"")</f>
        <v/>
      </c>
      <c r="BA2077" s="21" t="str">
        <f>IF($AL2077="","",$AL2077&amp;"|"&amp;COUNTIF($AL$11:$AL2077,$AL2077))</f>
        <v/>
      </c>
    </row>
    <row r="2078" spans="38:53" ht="15" customHeight="1" x14ac:dyDescent="0.25">
      <c r="AL2078" s="31"/>
      <c r="AM2078" s="26"/>
      <c r="AN2078" s="32"/>
      <c r="AO2078" s="32"/>
      <c r="AP2078" s="24"/>
      <c r="AQ2078" s="24"/>
      <c r="AR2078" s="33"/>
      <c r="AS2078" s="34"/>
      <c r="AT2078" s="33"/>
      <c r="AV2078" s="21">
        <f>IF(AND($AL2078&lt;&gt;"",COUNTIF($AL$11:$AL2078,$AL2078)=1),1,0)</f>
        <v>0</v>
      </c>
      <c r="AW2078" s="21">
        <f t="shared" si="151"/>
        <v>0</v>
      </c>
      <c r="AX2078" s="21" t="str">
        <f t="shared" si="150"/>
        <v/>
      </c>
      <c r="AY2078" s="21" t="str">
        <f>IF(AND($AM2078&lt;&gt;"",$AS2078&lt;&gt;"✓"),SUMPRODUCT(($AM$11:$AM2078&lt;&gt;"")*($AS$11:$AS2078&lt;&gt;"✓")),"")</f>
        <v/>
      </c>
      <c r="AZ2078" s="21" t="str">
        <f>IF(AND($AM2078&lt;&gt;"",$AS2078="✓"),SUMPRODUCT(($AM$11:$AM2078&lt;&gt;"")*($AS$11:$AS2078="✓")),"")</f>
        <v/>
      </c>
      <c r="BA2078" s="21" t="str">
        <f>IF($AL2078="","",$AL2078&amp;"|"&amp;COUNTIF($AL$11:$AL2078,$AL2078))</f>
        <v/>
      </c>
    </row>
    <row r="2079" spans="38:53" ht="15" customHeight="1" x14ac:dyDescent="0.25">
      <c r="AL2079" s="17"/>
      <c r="AM2079" s="12"/>
      <c r="AN2079" s="18"/>
      <c r="AO2079" s="18"/>
      <c r="AP2079" s="10"/>
      <c r="AQ2079" s="10"/>
      <c r="AR2079" s="19"/>
      <c r="AS2079" s="20"/>
      <c r="AT2079" s="19"/>
      <c r="AV2079" s="21">
        <f>IF(AND($AL2079&lt;&gt;"",COUNTIF($AL$11:$AL2079,$AL2079)=1),1,0)</f>
        <v>0</v>
      </c>
      <c r="AW2079" s="21">
        <f t="shared" si="151"/>
        <v>0</v>
      </c>
      <c r="AX2079" s="21" t="str">
        <f t="shared" si="150"/>
        <v/>
      </c>
      <c r="AY2079" s="21" t="str">
        <f>IF(AND($AM2079&lt;&gt;"",$AS2079&lt;&gt;"✓"),SUMPRODUCT(($AM$11:$AM2079&lt;&gt;"")*($AS$11:$AS2079&lt;&gt;"✓")),"")</f>
        <v/>
      </c>
      <c r="AZ2079" s="21" t="str">
        <f>IF(AND($AM2079&lt;&gt;"",$AS2079="✓"),SUMPRODUCT(($AM$11:$AM2079&lt;&gt;"")*($AS$11:$AS2079="✓")),"")</f>
        <v/>
      </c>
      <c r="BA2079" s="21" t="str">
        <f>IF($AL2079="","",$AL2079&amp;"|"&amp;COUNTIF($AL$11:$AL2079,$AL2079))</f>
        <v/>
      </c>
    </row>
    <row r="2080" spans="38:53" ht="15" customHeight="1" x14ac:dyDescent="0.25">
      <c r="AL2080" s="31"/>
      <c r="AM2080" s="26"/>
      <c r="AN2080" s="32"/>
      <c r="AO2080" s="32"/>
      <c r="AP2080" s="24"/>
      <c r="AQ2080" s="24"/>
      <c r="AR2080" s="33"/>
      <c r="AS2080" s="34"/>
      <c r="AT2080" s="33"/>
      <c r="AV2080" s="21">
        <f>IF(AND($AL2080&lt;&gt;"",COUNTIF($AL$11:$AL2080,$AL2080)=1),1,0)</f>
        <v>0</v>
      </c>
      <c r="AW2080" s="21">
        <f t="shared" si="151"/>
        <v>0</v>
      </c>
      <c r="AX2080" s="21" t="str">
        <f t="shared" si="150"/>
        <v/>
      </c>
      <c r="AY2080" s="21" t="str">
        <f>IF(AND($AM2080&lt;&gt;"",$AS2080&lt;&gt;"✓"),SUMPRODUCT(($AM$11:$AM2080&lt;&gt;"")*($AS$11:$AS2080&lt;&gt;"✓")),"")</f>
        <v/>
      </c>
      <c r="AZ2080" s="21" t="str">
        <f>IF(AND($AM2080&lt;&gt;"",$AS2080="✓"),SUMPRODUCT(($AM$11:$AM2080&lt;&gt;"")*($AS$11:$AS2080="✓")),"")</f>
        <v/>
      </c>
      <c r="BA2080" s="21" t="str">
        <f>IF($AL2080="","",$AL2080&amp;"|"&amp;COUNTIF($AL$11:$AL2080,$AL2080))</f>
        <v/>
      </c>
    </row>
    <row r="2081" spans="38:53" ht="15" customHeight="1" x14ac:dyDescent="0.25">
      <c r="AL2081" s="17"/>
      <c r="AM2081" s="12"/>
      <c r="AN2081" s="18"/>
      <c r="AO2081" s="18"/>
      <c r="AP2081" s="10"/>
      <c r="AQ2081" s="10"/>
      <c r="AR2081" s="19"/>
      <c r="AS2081" s="20"/>
      <c r="AT2081" s="19"/>
      <c r="AV2081" s="21">
        <f>IF(AND($AL2081&lt;&gt;"",COUNTIF($AL$11:$AL2081,$AL2081)=1),1,0)</f>
        <v>0</v>
      </c>
      <c r="AW2081" s="21">
        <f t="shared" si="151"/>
        <v>0</v>
      </c>
      <c r="AX2081" s="21" t="str">
        <f t="shared" si="150"/>
        <v/>
      </c>
      <c r="AY2081" s="21" t="str">
        <f>IF(AND($AM2081&lt;&gt;"",$AS2081&lt;&gt;"✓"),SUMPRODUCT(($AM$11:$AM2081&lt;&gt;"")*($AS$11:$AS2081&lt;&gt;"✓")),"")</f>
        <v/>
      </c>
      <c r="AZ2081" s="21" t="str">
        <f>IF(AND($AM2081&lt;&gt;"",$AS2081="✓"),SUMPRODUCT(($AM$11:$AM2081&lt;&gt;"")*($AS$11:$AS2081="✓")),"")</f>
        <v/>
      </c>
      <c r="BA2081" s="21" t="str">
        <f>IF($AL2081="","",$AL2081&amp;"|"&amp;COUNTIF($AL$11:$AL2081,$AL2081))</f>
        <v/>
      </c>
    </row>
    <row r="2082" spans="38:53" ht="15" customHeight="1" x14ac:dyDescent="0.25">
      <c r="AL2082" s="31"/>
      <c r="AM2082" s="26"/>
      <c r="AN2082" s="32"/>
      <c r="AO2082" s="32"/>
      <c r="AP2082" s="24"/>
      <c r="AQ2082" s="24"/>
      <c r="AR2082" s="33"/>
      <c r="AS2082" s="34"/>
      <c r="AT2082" s="33"/>
      <c r="AV2082" s="21">
        <f>IF(AND($AL2082&lt;&gt;"",COUNTIF($AL$11:$AL2082,$AL2082)=1),1,0)</f>
        <v>0</v>
      </c>
      <c r="AW2082" s="21">
        <f t="shared" si="151"/>
        <v>0</v>
      </c>
      <c r="AX2082" s="21" t="str">
        <f t="shared" si="150"/>
        <v/>
      </c>
      <c r="AY2082" s="21" t="str">
        <f>IF(AND($AM2082&lt;&gt;"",$AS2082&lt;&gt;"✓"),SUMPRODUCT(($AM$11:$AM2082&lt;&gt;"")*($AS$11:$AS2082&lt;&gt;"✓")),"")</f>
        <v/>
      </c>
      <c r="AZ2082" s="21" t="str">
        <f>IF(AND($AM2082&lt;&gt;"",$AS2082="✓"),SUMPRODUCT(($AM$11:$AM2082&lt;&gt;"")*($AS$11:$AS2082="✓")),"")</f>
        <v/>
      </c>
      <c r="BA2082" s="21" t="str">
        <f>IF($AL2082="","",$AL2082&amp;"|"&amp;COUNTIF($AL$11:$AL2082,$AL2082))</f>
        <v/>
      </c>
    </row>
    <row r="2083" spans="38:53" ht="15" customHeight="1" x14ac:dyDescent="0.25">
      <c r="AL2083" s="17"/>
      <c r="AM2083" s="12"/>
      <c r="AN2083" s="18"/>
      <c r="AO2083" s="18"/>
      <c r="AP2083" s="10"/>
      <c r="AQ2083" s="10"/>
      <c r="AR2083" s="19"/>
      <c r="AS2083" s="20"/>
      <c r="AT2083" s="19"/>
      <c r="AV2083" s="21">
        <f>IF(AND($AL2083&lt;&gt;"",COUNTIF($AL$11:$AL2083,$AL2083)=1),1,0)</f>
        <v>0</v>
      </c>
      <c r="AW2083" s="21">
        <f t="shared" si="151"/>
        <v>0</v>
      </c>
      <c r="AX2083" s="21" t="str">
        <f t="shared" si="150"/>
        <v/>
      </c>
      <c r="AY2083" s="21" t="str">
        <f>IF(AND($AM2083&lt;&gt;"",$AS2083&lt;&gt;"✓"),SUMPRODUCT(($AM$11:$AM2083&lt;&gt;"")*($AS$11:$AS2083&lt;&gt;"✓")),"")</f>
        <v/>
      </c>
      <c r="AZ2083" s="21" t="str">
        <f>IF(AND($AM2083&lt;&gt;"",$AS2083="✓"),SUMPRODUCT(($AM$11:$AM2083&lt;&gt;"")*($AS$11:$AS2083="✓")),"")</f>
        <v/>
      </c>
      <c r="BA2083" s="21" t="str">
        <f>IF($AL2083="","",$AL2083&amp;"|"&amp;COUNTIF($AL$11:$AL2083,$AL2083))</f>
        <v/>
      </c>
    </row>
    <row r="2084" spans="38:53" ht="15" customHeight="1" x14ac:dyDescent="0.25">
      <c r="AL2084" s="31"/>
      <c r="AM2084" s="26"/>
      <c r="AN2084" s="32"/>
      <c r="AO2084" s="32"/>
      <c r="AP2084" s="24"/>
      <c r="AQ2084" s="24"/>
      <c r="AR2084" s="33"/>
      <c r="AS2084" s="34"/>
      <c r="AT2084" s="33"/>
      <c r="AV2084" s="21">
        <f>IF(AND($AL2084&lt;&gt;"",COUNTIF($AL$11:$AL2084,$AL2084)=1),1,0)</f>
        <v>0</v>
      </c>
      <c r="AW2084" s="21">
        <f t="shared" si="151"/>
        <v>0</v>
      </c>
      <c r="AX2084" s="21" t="str">
        <f t="shared" si="150"/>
        <v/>
      </c>
      <c r="AY2084" s="21" t="str">
        <f>IF(AND($AM2084&lt;&gt;"",$AS2084&lt;&gt;"✓"),SUMPRODUCT(($AM$11:$AM2084&lt;&gt;"")*($AS$11:$AS2084&lt;&gt;"✓")),"")</f>
        <v/>
      </c>
      <c r="AZ2084" s="21" t="str">
        <f>IF(AND($AM2084&lt;&gt;"",$AS2084="✓"),SUMPRODUCT(($AM$11:$AM2084&lt;&gt;"")*($AS$11:$AS2084="✓")),"")</f>
        <v/>
      </c>
      <c r="BA2084" s="21" t="str">
        <f>IF($AL2084="","",$AL2084&amp;"|"&amp;COUNTIF($AL$11:$AL2084,$AL2084))</f>
        <v/>
      </c>
    </row>
    <row r="2085" spans="38:53" ht="15" customHeight="1" x14ac:dyDescent="0.25">
      <c r="AL2085" s="17"/>
      <c r="AM2085" s="12"/>
      <c r="AN2085" s="18"/>
      <c r="AO2085" s="18"/>
      <c r="AP2085" s="10"/>
      <c r="AQ2085" s="10"/>
      <c r="AR2085" s="19"/>
      <c r="AS2085" s="20"/>
      <c r="AT2085" s="19"/>
      <c r="AV2085" s="21">
        <f>IF(AND($AL2085&lt;&gt;"",COUNTIF($AL$11:$AL2085,$AL2085)=1),1,0)</f>
        <v>0</v>
      </c>
      <c r="AW2085" s="21">
        <f t="shared" si="151"/>
        <v>0</v>
      </c>
      <c r="AX2085" s="21" t="str">
        <f t="shared" si="150"/>
        <v/>
      </c>
      <c r="AY2085" s="21" t="str">
        <f>IF(AND($AM2085&lt;&gt;"",$AS2085&lt;&gt;"✓"),SUMPRODUCT(($AM$11:$AM2085&lt;&gt;"")*($AS$11:$AS2085&lt;&gt;"✓")),"")</f>
        <v/>
      </c>
      <c r="AZ2085" s="21" t="str">
        <f>IF(AND($AM2085&lt;&gt;"",$AS2085="✓"),SUMPRODUCT(($AM$11:$AM2085&lt;&gt;"")*($AS$11:$AS2085="✓")),"")</f>
        <v/>
      </c>
      <c r="BA2085" s="21" t="str">
        <f>IF($AL2085="","",$AL2085&amp;"|"&amp;COUNTIF($AL$11:$AL2085,$AL2085))</f>
        <v/>
      </c>
    </row>
    <row r="2086" spans="38:53" ht="15" customHeight="1" x14ac:dyDescent="0.25">
      <c r="AL2086" s="31"/>
      <c r="AM2086" s="26"/>
      <c r="AN2086" s="32"/>
      <c r="AO2086" s="32"/>
      <c r="AP2086" s="24"/>
      <c r="AQ2086" s="24"/>
      <c r="AR2086" s="33"/>
      <c r="AS2086" s="34"/>
      <c r="AT2086" s="33"/>
      <c r="AV2086" s="21">
        <f>IF(AND($AL2086&lt;&gt;"",COUNTIF($AL$11:$AL2086,$AL2086)=1),1,0)</f>
        <v>0</v>
      </c>
      <c r="AW2086" s="21">
        <f t="shared" si="151"/>
        <v>0</v>
      </c>
      <c r="AX2086" s="21" t="str">
        <f t="shared" si="150"/>
        <v/>
      </c>
      <c r="AY2086" s="21" t="str">
        <f>IF(AND($AM2086&lt;&gt;"",$AS2086&lt;&gt;"✓"),SUMPRODUCT(($AM$11:$AM2086&lt;&gt;"")*($AS$11:$AS2086&lt;&gt;"✓")),"")</f>
        <v/>
      </c>
      <c r="AZ2086" s="21" t="str">
        <f>IF(AND($AM2086&lt;&gt;"",$AS2086="✓"),SUMPRODUCT(($AM$11:$AM2086&lt;&gt;"")*($AS$11:$AS2086="✓")),"")</f>
        <v/>
      </c>
      <c r="BA2086" s="21" t="str">
        <f>IF($AL2086="","",$AL2086&amp;"|"&amp;COUNTIF($AL$11:$AL2086,$AL2086))</f>
        <v/>
      </c>
    </row>
    <row r="2087" spans="38:53" ht="15" customHeight="1" x14ac:dyDescent="0.25">
      <c r="AL2087" s="17"/>
      <c r="AM2087" s="12"/>
      <c r="AN2087" s="18"/>
      <c r="AO2087" s="18"/>
      <c r="AP2087" s="10"/>
      <c r="AQ2087" s="10"/>
      <c r="AR2087" s="19"/>
      <c r="AS2087" s="20"/>
      <c r="AT2087" s="19"/>
      <c r="AV2087" s="21">
        <f>IF(AND($AL2087&lt;&gt;"",COUNTIF($AL$11:$AL2087,$AL2087)=1),1,0)</f>
        <v>0</v>
      </c>
      <c r="AW2087" s="21">
        <f t="shared" si="151"/>
        <v>0</v>
      </c>
      <c r="AX2087" s="21" t="str">
        <f t="shared" si="150"/>
        <v/>
      </c>
      <c r="AY2087" s="21" t="str">
        <f>IF(AND($AM2087&lt;&gt;"",$AS2087&lt;&gt;"✓"),SUMPRODUCT(($AM$11:$AM2087&lt;&gt;"")*($AS$11:$AS2087&lt;&gt;"✓")),"")</f>
        <v/>
      </c>
      <c r="AZ2087" s="21" t="str">
        <f>IF(AND($AM2087&lt;&gt;"",$AS2087="✓"),SUMPRODUCT(($AM$11:$AM2087&lt;&gt;"")*($AS$11:$AS2087="✓")),"")</f>
        <v/>
      </c>
      <c r="BA2087" s="21" t="str">
        <f>IF($AL2087="","",$AL2087&amp;"|"&amp;COUNTIF($AL$11:$AL2087,$AL2087))</f>
        <v/>
      </c>
    </row>
    <row r="2088" spans="38:53" ht="15" customHeight="1" x14ac:dyDescent="0.25">
      <c r="AL2088" s="31"/>
      <c r="AM2088" s="26"/>
      <c r="AN2088" s="32"/>
      <c r="AO2088" s="32"/>
      <c r="AP2088" s="24"/>
      <c r="AQ2088" s="24"/>
      <c r="AR2088" s="33"/>
      <c r="AS2088" s="34"/>
      <c r="AT2088" s="33"/>
      <c r="AV2088" s="21">
        <f>IF(AND($AL2088&lt;&gt;"",COUNTIF($AL$11:$AL2088,$AL2088)=1),1,0)</f>
        <v>0</v>
      </c>
      <c r="AW2088" s="21">
        <f t="shared" si="151"/>
        <v>0</v>
      </c>
      <c r="AX2088" s="21" t="str">
        <f t="shared" si="150"/>
        <v/>
      </c>
      <c r="AY2088" s="21" t="str">
        <f>IF(AND($AM2088&lt;&gt;"",$AS2088&lt;&gt;"✓"),SUMPRODUCT(($AM$11:$AM2088&lt;&gt;"")*($AS$11:$AS2088&lt;&gt;"✓")),"")</f>
        <v/>
      </c>
      <c r="AZ2088" s="21" t="str">
        <f>IF(AND($AM2088&lt;&gt;"",$AS2088="✓"),SUMPRODUCT(($AM$11:$AM2088&lt;&gt;"")*($AS$11:$AS2088="✓")),"")</f>
        <v/>
      </c>
      <c r="BA2088" s="21" t="str">
        <f>IF($AL2088="","",$AL2088&amp;"|"&amp;COUNTIF($AL$11:$AL2088,$AL2088))</f>
        <v/>
      </c>
    </row>
    <row r="2089" spans="38:53" ht="15" customHeight="1" x14ac:dyDescent="0.25">
      <c r="AL2089" s="17"/>
      <c r="AM2089" s="12"/>
      <c r="AN2089" s="18"/>
      <c r="AO2089" s="18"/>
      <c r="AP2089" s="10"/>
      <c r="AQ2089" s="10"/>
      <c r="AR2089" s="19"/>
      <c r="AS2089" s="20"/>
      <c r="AT2089" s="19"/>
      <c r="AV2089" s="21">
        <f>IF(AND($AL2089&lt;&gt;"",COUNTIF($AL$11:$AL2089,$AL2089)=1),1,0)</f>
        <v>0</v>
      </c>
      <c r="AW2089" s="21">
        <f t="shared" si="151"/>
        <v>0</v>
      </c>
      <c r="AX2089" s="21" t="str">
        <f t="shared" si="150"/>
        <v/>
      </c>
      <c r="AY2089" s="21" t="str">
        <f>IF(AND($AM2089&lt;&gt;"",$AS2089&lt;&gt;"✓"),SUMPRODUCT(($AM$11:$AM2089&lt;&gt;"")*($AS$11:$AS2089&lt;&gt;"✓")),"")</f>
        <v/>
      </c>
      <c r="AZ2089" s="21" t="str">
        <f>IF(AND($AM2089&lt;&gt;"",$AS2089="✓"),SUMPRODUCT(($AM$11:$AM2089&lt;&gt;"")*($AS$11:$AS2089="✓")),"")</f>
        <v/>
      </c>
      <c r="BA2089" s="21" t="str">
        <f>IF($AL2089="","",$AL2089&amp;"|"&amp;COUNTIF($AL$11:$AL2089,$AL2089))</f>
        <v/>
      </c>
    </row>
    <row r="2090" spans="38:53" ht="15" customHeight="1" x14ac:dyDescent="0.25">
      <c r="AL2090" s="31"/>
      <c r="AM2090" s="26"/>
      <c r="AN2090" s="32"/>
      <c r="AO2090" s="32"/>
      <c r="AP2090" s="24"/>
      <c r="AQ2090" s="24"/>
      <c r="AR2090" s="33"/>
      <c r="AS2090" s="34"/>
      <c r="AT2090" s="33"/>
      <c r="AV2090" s="21">
        <f>IF(AND($AL2090&lt;&gt;"",COUNTIF($AL$11:$AL2090,$AL2090)=1),1,0)</f>
        <v>0</v>
      </c>
      <c r="AW2090" s="21">
        <f t="shared" si="151"/>
        <v>0</v>
      </c>
      <c r="AX2090" s="21" t="str">
        <f t="shared" si="150"/>
        <v/>
      </c>
      <c r="AY2090" s="21" t="str">
        <f>IF(AND($AM2090&lt;&gt;"",$AS2090&lt;&gt;"✓"),SUMPRODUCT(($AM$11:$AM2090&lt;&gt;"")*($AS$11:$AS2090&lt;&gt;"✓")),"")</f>
        <v/>
      </c>
      <c r="AZ2090" s="21" t="str">
        <f>IF(AND($AM2090&lt;&gt;"",$AS2090="✓"),SUMPRODUCT(($AM$11:$AM2090&lt;&gt;"")*($AS$11:$AS2090="✓")),"")</f>
        <v/>
      </c>
      <c r="BA2090" s="21" t="str">
        <f>IF($AL2090="","",$AL2090&amp;"|"&amp;COUNTIF($AL$11:$AL2090,$AL2090))</f>
        <v/>
      </c>
    </row>
    <row r="2091" spans="38:53" ht="15" customHeight="1" x14ac:dyDescent="0.25">
      <c r="AL2091" s="17"/>
      <c r="AM2091" s="12"/>
      <c r="AN2091" s="18"/>
      <c r="AO2091" s="18"/>
      <c r="AP2091" s="10"/>
      <c r="AQ2091" s="10"/>
      <c r="AR2091" s="19"/>
      <c r="AS2091" s="20"/>
      <c r="AT2091" s="19"/>
      <c r="AV2091" s="21">
        <f>IF(AND($AL2091&lt;&gt;"",COUNTIF($AL$11:$AL2091,$AL2091)=1),1,0)</f>
        <v>0</v>
      </c>
      <c r="AW2091" s="21">
        <f t="shared" si="151"/>
        <v>0</v>
      </c>
      <c r="AX2091" s="21" t="str">
        <f t="shared" si="150"/>
        <v/>
      </c>
      <c r="AY2091" s="21" t="str">
        <f>IF(AND($AM2091&lt;&gt;"",$AS2091&lt;&gt;"✓"),SUMPRODUCT(($AM$11:$AM2091&lt;&gt;"")*($AS$11:$AS2091&lt;&gt;"✓")),"")</f>
        <v/>
      </c>
      <c r="AZ2091" s="21" t="str">
        <f>IF(AND($AM2091&lt;&gt;"",$AS2091="✓"),SUMPRODUCT(($AM$11:$AM2091&lt;&gt;"")*($AS$11:$AS2091="✓")),"")</f>
        <v/>
      </c>
      <c r="BA2091" s="21" t="str">
        <f>IF($AL2091="","",$AL2091&amp;"|"&amp;COUNTIF($AL$11:$AL2091,$AL2091))</f>
        <v/>
      </c>
    </row>
    <row r="2092" spans="38:53" ht="15" customHeight="1" x14ac:dyDescent="0.25">
      <c r="AL2092" s="31"/>
      <c r="AM2092" s="26"/>
      <c r="AN2092" s="32"/>
      <c r="AO2092" s="32"/>
      <c r="AP2092" s="24"/>
      <c r="AQ2092" s="24"/>
      <c r="AR2092" s="33"/>
      <c r="AS2092" s="34"/>
      <c r="AT2092" s="33"/>
      <c r="AV2092" s="21">
        <f>IF(AND($AL2092&lt;&gt;"",COUNTIF($AL$11:$AL2092,$AL2092)=1),1,0)</f>
        <v>0</v>
      </c>
      <c r="AW2092" s="21">
        <f t="shared" si="151"/>
        <v>0</v>
      </c>
      <c r="AX2092" s="21" t="str">
        <f t="shared" si="150"/>
        <v/>
      </c>
      <c r="AY2092" s="21" t="str">
        <f>IF(AND($AM2092&lt;&gt;"",$AS2092&lt;&gt;"✓"),SUMPRODUCT(($AM$11:$AM2092&lt;&gt;"")*($AS$11:$AS2092&lt;&gt;"✓")),"")</f>
        <v/>
      </c>
      <c r="AZ2092" s="21" t="str">
        <f>IF(AND($AM2092&lt;&gt;"",$AS2092="✓"),SUMPRODUCT(($AM$11:$AM2092&lt;&gt;"")*($AS$11:$AS2092="✓")),"")</f>
        <v/>
      </c>
      <c r="BA2092" s="21" t="str">
        <f>IF($AL2092="","",$AL2092&amp;"|"&amp;COUNTIF($AL$11:$AL2092,$AL2092))</f>
        <v/>
      </c>
    </row>
    <row r="2093" spans="38:53" ht="15" customHeight="1" x14ac:dyDescent="0.25">
      <c r="AL2093" s="17"/>
      <c r="AM2093" s="12"/>
      <c r="AN2093" s="18"/>
      <c r="AO2093" s="18"/>
      <c r="AP2093" s="10"/>
      <c r="AQ2093" s="10"/>
      <c r="AR2093" s="19"/>
      <c r="AS2093" s="20"/>
      <c r="AT2093" s="19"/>
      <c r="AV2093" s="21">
        <f>IF(AND($AL2093&lt;&gt;"",COUNTIF($AL$11:$AL2093,$AL2093)=1),1,0)</f>
        <v>0</v>
      </c>
      <c r="AW2093" s="21">
        <f t="shared" si="151"/>
        <v>0</v>
      </c>
      <c r="AX2093" s="21" t="str">
        <f t="shared" si="150"/>
        <v/>
      </c>
      <c r="AY2093" s="21" t="str">
        <f>IF(AND($AM2093&lt;&gt;"",$AS2093&lt;&gt;"✓"),SUMPRODUCT(($AM$11:$AM2093&lt;&gt;"")*($AS$11:$AS2093&lt;&gt;"✓")),"")</f>
        <v/>
      </c>
      <c r="AZ2093" s="21" t="str">
        <f>IF(AND($AM2093&lt;&gt;"",$AS2093="✓"),SUMPRODUCT(($AM$11:$AM2093&lt;&gt;"")*($AS$11:$AS2093="✓")),"")</f>
        <v/>
      </c>
      <c r="BA2093" s="21" t="str">
        <f>IF($AL2093="","",$AL2093&amp;"|"&amp;COUNTIF($AL$11:$AL2093,$AL2093))</f>
        <v/>
      </c>
    </row>
    <row r="2094" spans="38:53" ht="15" customHeight="1" x14ac:dyDescent="0.25">
      <c r="AL2094" s="31"/>
      <c r="AM2094" s="26"/>
      <c r="AN2094" s="32"/>
      <c r="AO2094" s="32"/>
      <c r="AP2094" s="24"/>
      <c r="AQ2094" s="24"/>
      <c r="AR2094" s="33"/>
      <c r="AS2094" s="34"/>
      <c r="AT2094" s="33"/>
      <c r="AV2094" s="21">
        <f>IF(AND($AL2094&lt;&gt;"",COUNTIF($AL$11:$AL2094,$AL2094)=1),1,0)</f>
        <v>0</v>
      </c>
      <c r="AW2094" s="21">
        <f t="shared" si="151"/>
        <v>0</v>
      </c>
      <c r="AX2094" s="21" t="str">
        <f t="shared" si="150"/>
        <v/>
      </c>
      <c r="AY2094" s="21" t="str">
        <f>IF(AND($AM2094&lt;&gt;"",$AS2094&lt;&gt;"✓"),SUMPRODUCT(($AM$11:$AM2094&lt;&gt;"")*($AS$11:$AS2094&lt;&gt;"✓")),"")</f>
        <v/>
      </c>
      <c r="AZ2094" s="21" t="str">
        <f>IF(AND($AM2094&lt;&gt;"",$AS2094="✓"),SUMPRODUCT(($AM$11:$AM2094&lt;&gt;"")*($AS$11:$AS2094="✓")),"")</f>
        <v/>
      </c>
      <c r="BA2094" s="21" t="str">
        <f>IF($AL2094="","",$AL2094&amp;"|"&amp;COUNTIF($AL$11:$AL2094,$AL2094))</f>
        <v/>
      </c>
    </row>
    <row r="2095" spans="38:53" ht="15" customHeight="1" x14ac:dyDescent="0.25">
      <c r="AL2095" s="17"/>
      <c r="AM2095" s="12"/>
      <c r="AN2095" s="18"/>
      <c r="AO2095" s="18"/>
      <c r="AP2095" s="10"/>
      <c r="AQ2095" s="10"/>
      <c r="AR2095" s="19"/>
      <c r="AS2095" s="20"/>
      <c r="AT2095" s="19"/>
      <c r="AV2095" s="21">
        <f>IF(AND($AL2095&lt;&gt;"",COUNTIF($AL$11:$AL2095,$AL2095)=1),1,0)</f>
        <v>0</v>
      </c>
      <c r="AW2095" s="21">
        <f t="shared" si="151"/>
        <v>0</v>
      </c>
      <c r="AX2095" s="21" t="str">
        <f t="shared" si="150"/>
        <v/>
      </c>
      <c r="AY2095" s="21" t="str">
        <f>IF(AND($AM2095&lt;&gt;"",$AS2095&lt;&gt;"✓"),SUMPRODUCT(($AM$11:$AM2095&lt;&gt;"")*($AS$11:$AS2095&lt;&gt;"✓")),"")</f>
        <v/>
      </c>
      <c r="AZ2095" s="21" t="str">
        <f>IF(AND($AM2095&lt;&gt;"",$AS2095="✓"),SUMPRODUCT(($AM$11:$AM2095&lt;&gt;"")*($AS$11:$AS2095="✓")),"")</f>
        <v/>
      </c>
      <c r="BA2095" s="21" t="str">
        <f>IF($AL2095="","",$AL2095&amp;"|"&amp;COUNTIF($AL$11:$AL2095,$AL2095))</f>
        <v/>
      </c>
    </row>
    <row r="2096" spans="38:53" ht="15" customHeight="1" x14ac:dyDescent="0.25">
      <c r="AL2096" s="31"/>
      <c r="AM2096" s="26"/>
      <c r="AN2096" s="32"/>
      <c r="AO2096" s="32"/>
      <c r="AP2096" s="24"/>
      <c r="AQ2096" s="24"/>
      <c r="AR2096" s="33"/>
      <c r="AS2096" s="34"/>
      <c r="AT2096" s="33"/>
      <c r="AV2096" s="21">
        <f>IF(AND($AL2096&lt;&gt;"",COUNTIF($AL$11:$AL2096,$AL2096)=1),1,0)</f>
        <v>0</v>
      </c>
      <c r="AW2096" s="21">
        <f t="shared" si="151"/>
        <v>0</v>
      </c>
      <c r="AX2096" s="21" t="str">
        <f t="shared" si="150"/>
        <v/>
      </c>
      <c r="AY2096" s="21" t="str">
        <f>IF(AND($AM2096&lt;&gt;"",$AS2096&lt;&gt;"✓"),SUMPRODUCT(($AM$11:$AM2096&lt;&gt;"")*($AS$11:$AS2096&lt;&gt;"✓")),"")</f>
        <v/>
      </c>
      <c r="AZ2096" s="21" t="str">
        <f>IF(AND($AM2096&lt;&gt;"",$AS2096="✓"),SUMPRODUCT(($AM$11:$AM2096&lt;&gt;"")*($AS$11:$AS2096="✓")),"")</f>
        <v/>
      </c>
      <c r="BA2096" s="21" t="str">
        <f>IF($AL2096="","",$AL2096&amp;"|"&amp;COUNTIF($AL$11:$AL2096,$AL2096))</f>
        <v/>
      </c>
    </row>
    <row r="2097" spans="38:53" ht="15" customHeight="1" x14ac:dyDescent="0.25">
      <c r="AL2097" s="17"/>
      <c r="AM2097" s="12"/>
      <c r="AN2097" s="18"/>
      <c r="AO2097" s="18"/>
      <c r="AP2097" s="10"/>
      <c r="AQ2097" s="10"/>
      <c r="AR2097" s="19"/>
      <c r="AS2097" s="20"/>
      <c r="AT2097" s="19"/>
      <c r="AV2097" s="21">
        <f>IF(AND($AL2097&lt;&gt;"",COUNTIF($AL$11:$AL2097,$AL2097)=1),1,0)</f>
        <v>0</v>
      </c>
      <c r="AW2097" s="21">
        <f t="shared" si="151"/>
        <v>0</v>
      </c>
      <c r="AX2097" s="21" t="str">
        <f t="shared" si="150"/>
        <v/>
      </c>
      <c r="AY2097" s="21" t="str">
        <f>IF(AND($AM2097&lt;&gt;"",$AS2097&lt;&gt;"✓"),SUMPRODUCT(($AM$11:$AM2097&lt;&gt;"")*($AS$11:$AS2097&lt;&gt;"✓")),"")</f>
        <v/>
      </c>
      <c r="AZ2097" s="21" t="str">
        <f>IF(AND($AM2097&lt;&gt;"",$AS2097="✓"),SUMPRODUCT(($AM$11:$AM2097&lt;&gt;"")*($AS$11:$AS2097="✓")),"")</f>
        <v/>
      </c>
      <c r="BA2097" s="21" t="str">
        <f>IF($AL2097="","",$AL2097&amp;"|"&amp;COUNTIF($AL$11:$AL2097,$AL2097))</f>
        <v/>
      </c>
    </row>
    <row r="2098" spans="38:53" ht="15" customHeight="1" x14ac:dyDescent="0.25">
      <c r="AL2098" s="31"/>
      <c r="AM2098" s="26"/>
      <c r="AN2098" s="32"/>
      <c r="AO2098" s="32"/>
      <c r="AP2098" s="24"/>
      <c r="AQ2098" s="24"/>
      <c r="AR2098" s="33"/>
      <c r="AS2098" s="34"/>
      <c r="AT2098" s="33"/>
      <c r="AV2098" s="21">
        <f>IF(AND($AL2098&lt;&gt;"",COUNTIF($AL$11:$AL2098,$AL2098)=1),1,0)</f>
        <v>0</v>
      </c>
      <c r="AW2098" s="21">
        <f t="shared" si="151"/>
        <v>0</v>
      </c>
      <c r="AX2098" s="21" t="str">
        <f t="shared" si="150"/>
        <v/>
      </c>
      <c r="AY2098" s="21" t="str">
        <f>IF(AND($AM2098&lt;&gt;"",$AS2098&lt;&gt;"✓"),SUMPRODUCT(($AM$11:$AM2098&lt;&gt;"")*($AS$11:$AS2098&lt;&gt;"✓")),"")</f>
        <v/>
      </c>
      <c r="AZ2098" s="21" t="str">
        <f>IF(AND($AM2098&lt;&gt;"",$AS2098="✓"),SUMPRODUCT(($AM$11:$AM2098&lt;&gt;"")*($AS$11:$AS2098="✓")),"")</f>
        <v/>
      </c>
      <c r="BA2098" s="21" t="str">
        <f>IF($AL2098="","",$AL2098&amp;"|"&amp;COUNTIF($AL$11:$AL2098,$AL2098))</f>
        <v/>
      </c>
    </row>
    <row r="2099" spans="38:53" ht="15" customHeight="1" x14ac:dyDescent="0.25">
      <c r="AL2099" s="17"/>
      <c r="AM2099" s="12"/>
      <c r="AN2099" s="18"/>
      <c r="AO2099" s="18"/>
      <c r="AP2099" s="10"/>
      <c r="AQ2099" s="10"/>
      <c r="AR2099" s="19"/>
      <c r="AS2099" s="20"/>
      <c r="AT2099" s="19"/>
      <c r="AV2099" s="21">
        <f>IF(AND($AL2099&lt;&gt;"",COUNTIF($AL$11:$AL2099,$AL2099)=1),1,0)</f>
        <v>0</v>
      </c>
      <c r="AW2099" s="21">
        <f t="shared" si="151"/>
        <v>0</v>
      </c>
      <c r="AX2099" s="21" t="str">
        <f t="shared" si="150"/>
        <v/>
      </c>
      <c r="AY2099" s="21" t="str">
        <f>IF(AND($AM2099&lt;&gt;"",$AS2099&lt;&gt;"✓"),SUMPRODUCT(($AM$11:$AM2099&lt;&gt;"")*($AS$11:$AS2099&lt;&gt;"✓")),"")</f>
        <v/>
      </c>
      <c r="AZ2099" s="21" t="str">
        <f>IF(AND($AM2099&lt;&gt;"",$AS2099="✓"),SUMPRODUCT(($AM$11:$AM2099&lt;&gt;"")*($AS$11:$AS2099="✓")),"")</f>
        <v/>
      </c>
      <c r="BA2099" s="21" t="str">
        <f>IF($AL2099="","",$AL2099&amp;"|"&amp;COUNTIF($AL$11:$AL2099,$AL2099))</f>
        <v/>
      </c>
    </row>
    <row r="2100" spans="38:53" ht="15" customHeight="1" x14ac:dyDescent="0.25">
      <c r="AL2100" s="31"/>
      <c r="AM2100" s="26"/>
      <c r="AN2100" s="32"/>
      <c r="AO2100" s="32"/>
      <c r="AP2100" s="24"/>
      <c r="AQ2100" s="24"/>
      <c r="AR2100" s="33"/>
      <c r="AS2100" s="34"/>
      <c r="AT2100" s="33"/>
      <c r="AV2100" s="21">
        <f>IF(AND($AL2100&lt;&gt;"",COUNTIF($AL$11:$AL2100,$AL2100)=1),1,0)</f>
        <v>0</v>
      </c>
      <c r="AW2100" s="21">
        <f t="shared" si="151"/>
        <v>0</v>
      </c>
      <c r="AX2100" s="21" t="str">
        <f t="shared" si="150"/>
        <v/>
      </c>
      <c r="AY2100" s="21" t="str">
        <f>IF(AND($AM2100&lt;&gt;"",$AS2100&lt;&gt;"✓"),SUMPRODUCT(($AM$11:$AM2100&lt;&gt;"")*($AS$11:$AS2100&lt;&gt;"✓")),"")</f>
        <v/>
      </c>
      <c r="AZ2100" s="21" t="str">
        <f>IF(AND($AM2100&lt;&gt;"",$AS2100="✓"),SUMPRODUCT(($AM$11:$AM2100&lt;&gt;"")*($AS$11:$AS2100="✓")),"")</f>
        <v/>
      </c>
      <c r="BA2100" s="21" t="str">
        <f>IF($AL2100="","",$AL2100&amp;"|"&amp;COUNTIF($AL$11:$AL2100,$AL2100))</f>
        <v/>
      </c>
    </row>
    <row r="2101" spans="38:53" ht="15" customHeight="1" x14ac:dyDescent="0.25">
      <c r="AL2101" s="17"/>
      <c r="AM2101" s="12"/>
      <c r="AN2101" s="18"/>
      <c r="AO2101" s="18"/>
      <c r="AP2101" s="10"/>
      <c r="AQ2101" s="10"/>
      <c r="AR2101" s="19"/>
      <c r="AS2101" s="20"/>
      <c r="AT2101" s="19"/>
      <c r="AV2101" s="21">
        <f>IF(AND($AL2101&lt;&gt;"",COUNTIF($AL$11:$AL2101,$AL2101)=1),1,0)</f>
        <v>0</v>
      </c>
      <c r="AW2101" s="21">
        <f t="shared" si="151"/>
        <v>0</v>
      </c>
      <c r="AX2101" s="21" t="str">
        <f t="shared" si="150"/>
        <v/>
      </c>
      <c r="AY2101" s="21" t="str">
        <f>IF(AND($AM2101&lt;&gt;"",$AS2101&lt;&gt;"✓"),SUMPRODUCT(($AM$11:$AM2101&lt;&gt;"")*($AS$11:$AS2101&lt;&gt;"✓")),"")</f>
        <v/>
      </c>
      <c r="AZ2101" s="21" t="str">
        <f>IF(AND($AM2101&lt;&gt;"",$AS2101="✓"),SUMPRODUCT(($AM$11:$AM2101&lt;&gt;"")*($AS$11:$AS2101="✓")),"")</f>
        <v/>
      </c>
      <c r="BA2101" s="21" t="str">
        <f>IF($AL2101="","",$AL2101&amp;"|"&amp;COUNTIF($AL$11:$AL2101,$AL2101))</f>
        <v/>
      </c>
    </row>
    <row r="2102" spans="38:53" ht="15" customHeight="1" x14ac:dyDescent="0.25">
      <c r="AL2102" s="31"/>
      <c r="AM2102" s="26"/>
      <c r="AN2102" s="32"/>
      <c r="AO2102" s="32"/>
      <c r="AP2102" s="24"/>
      <c r="AQ2102" s="24"/>
      <c r="AR2102" s="33"/>
      <c r="AS2102" s="34"/>
      <c r="AT2102" s="33"/>
      <c r="AV2102" s="21">
        <f>IF(AND($AL2102&lt;&gt;"",COUNTIF($AL$11:$AL2102,$AL2102)=1),1,0)</f>
        <v>0</v>
      </c>
      <c r="AW2102" s="21">
        <f t="shared" si="151"/>
        <v>0</v>
      </c>
      <c r="AX2102" s="21" t="str">
        <f t="shared" si="150"/>
        <v/>
      </c>
      <c r="AY2102" s="21" t="str">
        <f>IF(AND($AM2102&lt;&gt;"",$AS2102&lt;&gt;"✓"),SUMPRODUCT(($AM$11:$AM2102&lt;&gt;"")*($AS$11:$AS2102&lt;&gt;"✓")),"")</f>
        <v/>
      </c>
      <c r="AZ2102" s="21" t="str">
        <f>IF(AND($AM2102&lt;&gt;"",$AS2102="✓"),SUMPRODUCT(($AM$11:$AM2102&lt;&gt;"")*($AS$11:$AS2102="✓")),"")</f>
        <v/>
      </c>
      <c r="BA2102" s="21" t="str">
        <f>IF($AL2102="","",$AL2102&amp;"|"&amp;COUNTIF($AL$11:$AL2102,$AL2102))</f>
        <v/>
      </c>
    </row>
    <row r="2103" spans="38:53" ht="15" customHeight="1" x14ac:dyDescent="0.25">
      <c r="AL2103" s="17"/>
      <c r="AM2103" s="12"/>
      <c r="AN2103" s="18"/>
      <c r="AO2103" s="18"/>
      <c r="AP2103" s="10"/>
      <c r="AQ2103" s="10"/>
      <c r="AR2103" s="19"/>
      <c r="AS2103" s="20"/>
      <c r="AT2103" s="19"/>
      <c r="AV2103" s="21">
        <f>IF(AND($AL2103&lt;&gt;"",COUNTIF($AL$11:$AL2103,$AL2103)=1),1,0)</f>
        <v>0</v>
      </c>
      <c r="AW2103" s="21">
        <f t="shared" si="151"/>
        <v>0</v>
      </c>
      <c r="AX2103" s="21" t="str">
        <f t="shared" si="150"/>
        <v/>
      </c>
      <c r="AY2103" s="21" t="str">
        <f>IF(AND($AM2103&lt;&gt;"",$AS2103&lt;&gt;"✓"),SUMPRODUCT(($AM$11:$AM2103&lt;&gt;"")*($AS$11:$AS2103&lt;&gt;"✓")),"")</f>
        <v/>
      </c>
      <c r="AZ2103" s="21" t="str">
        <f>IF(AND($AM2103&lt;&gt;"",$AS2103="✓"),SUMPRODUCT(($AM$11:$AM2103&lt;&gt;"")*($AS$11:$AS2103="✓")),"")</f>
        <v/>
      </c>
      <c r="BA2103" s="21" t="str">
        <f>IF($AL2103="","",$AL2103&amp;"|"&amp;COUNTIF($AL$11:$AL2103,$AL2103))</f>
        <v/>
      </c>
    </row>
    <row r="2104" spans="38:53" ht="15" customHeight="1" x14ac:dyDescent="0.25">
      <c r="AL2104" s="31"/>
      <c r="AM2104" s="26"/>
      <c r="AN2104" s="32"/>
      <c r="AO2104" s="32"/>
      <c r="AP2104" s="24"/>
      <c r="AQ2104" s="24"/>
      <c r="AR2104" s="33"/>
      <c r="AS2104" s="34"/>
      <c r="AT2104" s="33"/>
      <c r="AV2104" s="21">
        <f>IF(AND($AL2104&lt;&gt;"",COUNTIF($AL$11:$AL2104,$AL2104)=1),1,0)</f>
        <v>0</v>
      </c>
      <c r="AW2104" s="21">
        <f t="shared" si="151"/>
        <v>0</v>
      </c>
      <c r="AX2104" s="21" t="str">
        <f t="shared" si="150"/>
        <v/>
      </c>
      <c r="AY2104" s="21" t="str">
        <f>IF(AND($AM2104&lt;&gt;"",$AS2104&lt;&gt;"✓"),SUMPRODUCT(($AM$11:$AM2104&lt;&gt;"")*($AS$11:$AS2104&lt;&gt;"✓")),"")</f>
        <v/>
      </c>
      <c r="AZ2104" s="21" t="str">
        <f>IF(AND($AM2104&lt;&gt;"",$AS2104="✓"),SUMPRODUCT(($AM$11:$AM2104&lt;&gt;"")*($AS$11:$AS2104="✓")),"")</f>
        <v/>
      </c>
      <c r="BA2104" s="21" t="str">
        <f>IF($AL2104="","",$AL2104&amp;"|"&amp;COUNTIF($AL$11:$AL2104,$AL2104))</f>
        <v/>
      </c>
    </row>
    <row r="2105" spans="38:53" ht="15" customHeight="1" x14ac:dyDescent="0.25">
      <c r="AL2105" s="17"/>
      <c r="AM2105" s="12"/>
      <c r="AN2105" s="18"/>
      <c r="AO2105" s="18"/>
      <c r="AP2105" s="10"/>
      <c r="AQ2105" s="10"/>
      <c r="AR2105" s="19"/>
      <c r="AS2105" s="20"/>
      <c r="AT2105" s="19"/>
      <c r="AV2105" s="21">
        <f>IF(AND($AL2105&lt;&gt;"",COUNTIF($AL$11:$AL2105,$AL2105)=1),1,0)</f>
        <v>0</v>
      </c>
      <c r="AW2105" s="21">
        <f t="shared" si="151"/>
        <v>0</v>
      </c>
      <c r="AX2105" s="21" t="str">
        <f t="shared" si="150"/>
        <v/>
      </c>
      <c r="AY2105" s="21" t="str">
        <f>IF(AND($AM2105&lt;&gt;"",$AS2105&lt;&gt;"✓"),SUMPRODUCT(($AM$11:$AM2105&lt;&gt;"")*($AS$11:$AS2105&lt;&gt;"✓")),"")</f>
        <v/>
      </c>
      <c r="AZ2105" s="21" t="str">
        <f>IF(AND($AM2105&lt;&gt;"",$AS2105="✓"),SUMPRODUCT(($AM$11:$AM2105&lt;&gt;"")*($AS$11:$AS2105="✓")),"")</f>
        <v/>
      </c>
      <c r="BA2105" s="21" t="str">
        <f>IF($AL2105="","",$AL2105&amp;"|"&amp;COUNTIF($AL$11:$AL2105,$AL2105))</f>
        <v/>
      </c>
    </row>
    <row r="2106" spans="38:53" ht="15" customHeight="1" x14ac:dyDescent="0.25">
      <c r="AL2106" s="31"/>
      <c r="AM2106" s="26"/>
      <c r="AN2106" s="32"/>
      <c r="AO2106" s="32"/>
      <c r="AP2106" s="24"/>
      <c r="AQ2106" s="24"/>
      <c r="AR2106" s="33"/>
      <c r="AS2106" s="34"/>
      <c r="AT2106" s="33"/>
      <c r="AV2106" s="21">
        <f>IF(AND($AL2106&lt;&gt;"",COUNTIF($AL$11:$AL2106,$AL2106)=1),1,0)</f>
        <v>0</v>
      </c>
      <c r="AW2106" s="21">
        <f t="shared" si="151"/>
        <v>0</v>
      </c>
      <c r="AX2106" s="21" t="str">
        <f t="shared" si="150"/>
        <v/>
      </c>
      <c r="AY2106" s="21" t="str">
        <f>IF(AND($AM2106&lt;&gt;"",$AS2106&lt;&gt;"✓"),SUMPRODUCT(($AM$11:$AM2106&lt;&gt;"")*($AS$11:$AS2106&lt;&gt;"✓")),"")</f>
        <v/>
      </c>
      <c r="AZ2106" s="21" t="str">
        <f>IF(AND($AM2106&lt;&gt;"",$AS2106="✓"),SUMPRODUCT(($AM$11:$AM2106&lt;&gt;"")*($AS$11:$AS2106="✓")),"")</f>
        <v/>
      </c>
      <c r="BA2106" s="21" t="str">
        <f>IF($AL2106="","",$AL2106&amp;"|"&amp;COUNTIF($AL$11:$AL2106,$AL2106))</f>
        <v/>
      </c>
    </row>
    <row r="2107" spans="38:53" ht="15" customHeight="1" x14ac:dyDescent="0.25">
      <c r="AL2107" s="17"/>
      <c r="AM2107" s="12"/>
      <c r="AN2107" s="18"/>
      <c r="AO2107" s="18"/>
      <c r="AP2107" s="10"/>
      <c r="AQ2107" s="10"/>
      <c r="AR2107" s="19"/>
      <c r="AS2107" s="20"/>
      <c r="AT2107" s="19"/>
      <c r="AV2107" s="21">
        <f>IF(AND($AL2107&lt;&gt;"",COUNTIF($AL$11:$AL2107,$AL2107)=1),1,0)</f>
        <v>0</v>
      </c>
      <c r="AW2107" s="21">
        <f t="shared" si="151"/>
        <v>0</v>
      </c>
      <c r="AX2107" s="21" t="str">
        <f t="shared" si="150"/>
        <v/>
      </c>
      <c r="AY2107" s="21" t="str">
        <f>IF(AND($AM2107&lt;&gt;"",$AS2107&lt;&gt;"✓"),SUMPRODUCT(($AM$11:$AM2107&lt;&gt;"")*($AS$11:$AS2107&lt;&gt;"✓")),"")</f>
        <v/>
      </c>
      <c r="AZ2107" s="21" t="str">
        <f>IF(AND($AM2107&lt;&gt;"",$AS2107="✓"),SUMPRODUCT(($AM$11:$AM2107&lt;&gt;"")*($AS$11:$AS2107="✓")),"")</f>
        <v/>
      </c>
      <c r="BA2107" s="21" t="str">
        <f>IF($AL2107="","",$AL2107&amp;"|"&amp;COUNTIF($AL$11:$AL2107,$AL2107))</f>
        <v/>
      </c>
    </row>
    <row r="2108" spans="38:53" ht="15" customHeight="1" x14ac:dyDescent="0.25">
      <c r="AL2108" s="31"/>
      <c r="AM2108" s="26"/>
      <c r="AN2108" s="32"/>
      <c r="AO2108" s="32"/>
      <c r="AP2108" s="24"/>
      <c r="AQ2108" s="24"/>
      <c r="AR2108" s="33"/>
      <c r="AS2108" s="34"/>
      <c r="AT2108" s="33"/>
      <c r="AV2108" s="21">
        <f>IF(AND($AL2108&lt;&gt;"",COUNTIF($AL$11:$AL2108,$AL2108)=1),1,0)</f>
        <v>0</v>
      </c>
      <c r="AW2108" s="21">
        <f t="shared" si="151"/>
        <v>0</v>
      </c>
      <c r="AX2108" s="21" t="str">
        <f t="shared" si="150"/>
        <v/>
      </c>
      <c r="AY2108" s="21" t="str">
        <f>IF(AND($AM2108&lt;&gt;"",$AS2108&lt;&gt;"✓"),SUMPRODUCT(($AM$11:$AM2108&lt;&gt;"")*($AS$11:$AS2108&lt;&gt;"✓")),"")</f>
        <v/>
      </c>
      <c r="AZ2108" s="21" t="str">
        <f>IF(AND($AM2108&lt;&gt;"",$AS2108="✓"),SUMPRODUCT(($AM$11:$AM2108&lt;&gt;"")*($AS$11:$AS2108="✓")),"")</f>
        <v/>
      </c>
      <c r="BA2108" s="21" t="str">
        <f>IF($AL2108="","",$AL2108&amp;"|"&amp;COUNTIF($AL$11:$AL2108,$AL2108))</f>
        <v/>
      </c>
    </row>
    <row r="2109" spans="38:53" ht="15" customHeight="1" x14ac:dyDescent="0.25">
      <c r="AL2109" s="17"/>
      <c r="AM2109" s="12"/>
      <c r="AN2109" s="18"/>
      <c r="AO2109" s="18"/>
      <c r="AP2109" s="10"/>
      <c r="AQ2109" s="10"/>
      <c r="AR2109" s="19"/>
      <c r="AS2109" s="20"/>
      <c r="AT2109" s="19"/>
      <c r="AV2109" s="21">
        <f>IF(AND($AL2109&lt;&gt;"",COUNTIF($AL$11:$AL2109,$AL2109)=1),1,0)</f>
        <v>0</v>
      </c>
      <c r="AW2109" s="21">
        <f t="shared" si="151"/>
        <v>0</v>
      </c>
      <c r="AX2109" s="21" t="str">
        <f t="shared" si="150"/>
        <v/>
      </c>
      <c r="AY2109" s="21" t="str">
        <f>IF(AND($AM2109&lt;&gt;"",$AS2109&lt;&gt;"✓"),SUMPRODUCT(($AM$11:$AM2109&lt;&gt;"")*($AS$11:$AS2109&lt;&gt;"✓")),"")</f>
        <v/>
      </c>
      <c r="AZ2109" s="21" t="str">
        <f>IF(AND($AM2109&lt;&gt;"",$AS2109="✓"),SUMPRODUCT(($AM$11:$AM2109&lt;&gt;"")*($AS$11:$AS2109="✓")),"")</f>
        <v/>
      </c>
      <c r="BA2109" s="21" t="str">
        <f>IF($AL2109="","",$AL2109&amp;"|"&amp;COUNTIF($AL$11:$AL2109,$AL2109))</f>
        <v/>
      </c>
    </row>
    <row r="2110" spans="38:53" ht="15" customHeight="1" x14ac:dyDescent="0.25">
      <c r="AL2110" s="31"/>
      <c r="AM2110" s="26"/>
      <c r="AN2110" s="32"/>
      <c r="AO2110" s="32"/>
      <c r="AP2110" s="24"/>
      <c r="AQ2110" s="24"/>
      <c r="AR2110" s="33"/>
      <c r="AS2110" s="34"/>
      <c r="AT2110" s="33"/>
      <c r="AV2110" s="21">
        <f>IF(AND($AL2110&lt;&gt;"",COUNTIF($AL$11:$AL2110,$AL2110)=1),1,0)</f>
        <v>0</v>
      </c>
      <c r="AW2110" s="21">
        <f t="shared" si="151"/>
        <v>0</v>
      </c>
      <c r="AX2110" s="21" t="str">
        <f t="shared" si="150"/>
        <v/>
      </c>
      <c r="AY2110" s="21" t="str">
        <f>IF(AND($AM2110&lt;&gt;"",$AS2110&lt;&gt;"✓"),SUMPRODUCT(($AM$11:$AM2110&lt;&gt;"")*($AS$11:$AS2110&lt;&gt;"✓")),"")</f>
        <v/>
      </c>
      <c r="AZ2110" s="21" t="str">
        <f>IF(AND($AM2110&lt;&gt;"",$AS2110="✓"),SUMPRODUCT(($AM$11:$AM2110&lt;&gt;"")*($AS$11:$AS2110="✓")),"")</f>
        <v/>
      </c>
      <c r="BA2110" s="21" t="str">
        <f>IF($AL2110="","",$AL2110&amp;"|"&amp;COUNTIF($AL$11:$AL2110,$AL2110))</f>
        <v/>
      </c>
    </row>
    <row r="2111" spans="38:53" ht="15" customHeight="1" x14ac:dyDescent="0.25">
      <c r="AL2111" s="17"/>
      <c r="AM2111" s="12"/>
      <c r="AN2111" s="18"/>
      <c r="AO2111" s="18"/>
      <c r="AP2111" s="10"/>
      <c r="AQ2111" s="10"/>
      <c r="AR2111" s="19"/>
      <c r="AS2111" s="20"/>
      <c r="AT2111" s="19"/>
      <c r="AV2111" s="21">
        <f>IF(AND($AL2111&lt;&gt;"",COUNTIF($AL$11:$AL2111,$AL2111)=1),1,0)</f>
        <v>0</v>
      </c>
      <c r="AW2111" s="21">
        <f t="shared" si="151"/>
        <v>0</v>
      </c>
      <c r="AX2111" s="21" t="str">
        <f t="shared" si="150"/>
        <v/>
      </c>
      <c r="AY2111" s="21" t="str">
        <f>IF(AND($AM2111&lt;&gt;"",$AS2111&lt;&gt;"✓"),SUMPRODUCT(($AM$11:$AM2111&lt;&gt;"")*($AS$11:$AS2111&lt;&gt;"✓")),"")</f>
        <v/>
      </c>
      <c r="AZ2111" s="21" t="str">
        <f>IF(AND($AM2111&lt;&gt;"",$AS2111="✓"),SUMPRODUCT(($AM$11:$AM2111&lt;&gt;"")*($AS$11:$AS2111="✓")),"")</f>
        <v/>
      </c>
      <c r="BA2111" s="21" t="str">
        <f>IF($AL2111="","",$AL2111&amp;"|"&amp;COUNTIF($AL$11:$AL2111,$AL2111))</f>
        <v/>
      </c>
    </row>
    <row r="2112" spans="38:53" ht="15" customHeight="1" x14ac:dyDescent="0.25">
      <c r="AL2112" s="31"/>
      <c r="AM2112" s="26"/>
      <c r="AN2112" s="32"/>
      <c r="AO2112" s="32"/>
      <c r="AP2112" s="24"/>
      <c r="AQ2112" s="24"/>
      <c r="AR2112" s="33"/>
      <c r="AS2112" s="34"/>
      <c r="AT2112" s="33"/>
      <c r="AV2112" s="21">
        <f>IF(AND($AL2112&lt;&gt;"",COUNTIF($AL$11:$AL2112,$AL2112)=1),1,0)</f>
        <v>0</v>
      </c>
      <c r="AW2112" s="21">
        <f t="shared" si="151"/>
        <v>0</v>
      </c>
      <c r="AX2112" s="21" t="str">
        <f t="shared" si="150"/>
        <v/>
      </c>
      <c r="AY2112" s="21" t="str">
        <f>IF(AND($AM2112&lt;&gt;"",$AS2112&lt;&gt;"✓"),SUMPRODUCT(($AM$11:$AM2112&lt;&gt;"")*($AS$11:$AS2112&lt;&gt;"✓")),"")</f>
        <v/>
      </c>
      <c r="AZ2112" s="21" t="str">
        <f>IF(AND($AM2112&lt;&gt;"",$AS2112="✓"),SUMPRODUCT(($AM$11:$AM2112&lt;&gt;"")*($AS$11:$AS2112="✓")),"")</f>
        <v/>
      </c>
      <c r="BA2112" s="21" t="str">
        <f>IF($AL2112="","",$AL2112&amp;"|"&amp;COUNTIF($AL$11:$AL2112,$AL2112))</f>
        <v/>
      </c>
    </row>
    <row r="2113" spans="38:53" ht="15" customHeight="1" x14ac:dyDescent="0.25">
      <c r="AL2113" s="17"/>
      <c r="AM2113" s="12"/>
      <c r="AN2113" s="18"/>
      <c r="AO2113" s="18"/>
      <c r="AP2113" s="10"/>
      <c r="AQ2113" s="10"/>
      <c r="AR2113" s="19"/>
      <c r="AS2113" s="20"/>
      <c r="AT2113" s="19"/>
      <c r="AV2113" s="21">
        <f>IF(AND($AL2113&lt;&gt;"",COUNTIF($AL$11:$AL2113,$AL2113)=1),1,0)</f>
        <v>0</v>
      </c>
      <c r="AW2113" s="21">
        <f t="shared" si="151"/>
        <v>0</v>
      </c>
      <c r="AX2113" s="21" t="str">
        <f t="shared" si="150"/>
        <v/>
      </c>
      <c r="AY2113" s="21" t="str">
        <f>IF(AND($AM2113&lt;&gt;"",$AS2113&lt;&gt;"✓"),SUMPRODUCT(($AM$11:$AM2113&lt;&gt;"")*($AS$11:$AS2113&lt;&gt;"✓")),"")</f>
        <v/>
      </c>
      <c r="AZ2113" s="21" t="str">
        <f>IF(AND($AM2113&lt;&gt;"",$AS2113="✓"),SUMPRODUCT(($AM$11:$AM2113&lt;&gt;"")*($AS$11:$AS2113="✓")),"")</f>
        <v/>
      </c>
      <c r="BA2113" s="21" t="str">
        <f>IF($AL2113="","",$AL2113&amp;"|"&amp;COUNTIF($AL$11:$AL2113,$AL2113))</f>
        <v/>
      </c>
    </row>
    <row r="2114" spans="38:53" ht="15" customHeight="1" x14ac:dyDescent="0.25">
      <c r="AL2114" s="31"/>
      <c r="AM2114" s="26"/>
      <c r="AN2114" s="32"/>
      <c r="AO2114" s="32"/>
      <c r="AP2114" s="24"/>
      <c r="AQ2114" s="24"/>
      <c r="AR2114" s="33"/>
      <c r="AS2114" s="34"/>
      <c r="AT2114" s="33"/>
      <c r="AV2114" s="21">
        <f>IF(AND($AL2114&lt;&gt;"",COUNTIF($AL$11:$AL2114,$AL2114)=1),1,0)</f>
        <v>0</v>
      </c>
      <c r="AW2114" s="21">
        <f t="shared" si="151"/>
        <v>0</v>
      </c>
      <c r="AX2114" s="21" t="str">
        <f t="shared" si="150"/>
        <v/>
      </c>
      <c r="AY2114" s="21" t="str">
        <f>IF(AND($AM2114&lt;&gt;"",$AS2114&lt;&gt;"✓"),SUMPRODUCT(($AM$11:$AM2114&lt;&gt;"")*($AS$11:$AS2114&lt;&gt;"✓")),"")</f>
        <v/>
      </c>
      <c r="AZ2114" s="21" t="str">
        <f>IF(AND($AM2114&lt;&gt;"",$AS2114="✓"),SUMPRODUCT(($AM$11:$AM2114&lt;&gt;"")*($AS$11:$AS2114="✓")),"")</f>
        <v/>
      </c>
      <c r="BA2114" s="21" t="str">
        <f>IF($AL2114="","",$AL2114&amp;"|"&amp;COUNTIF($AL$11:$AL2114,$AL2114))</f>
        <v/>
      </c>
    </row>
    <row r="2115" spans="38:53" ht="15" customHeight="1" x14ac:dyDescent="0.25">
      <c r="AL2115" s="17"/>
      <c r="AM2115" s="12"/>
      <c r="AN2115" s="18"/>
      <c r="AO2115" s="18"/>
      <c r="AP2115" s="10"/>
      <c r="AQ2115" s="10"/>
      <c r="AR2115" s="19"/>
      <c r="AS2115" s="20"/>
      <c r="AT2115" s="19"/>
      <c r="AV2115" s="21">
        <f>IF(AND($AL2115&lt;&gt;"",COUNTIF($AL$11:$AL2115,$AL2115)=1),1,0)</f>
        <v>0</v>
      </c>
      <c r="AW2115" s="21">
        <f t="shared" si="151"/>
        <v>0</v>
      </c>
      <c r="AX2115" s="21" t="str">
        <f t="shared" si="150"/>
        <v/>
      </c>
      <c r="AY2115" s="21" t="str">
        <f>IF(AND($AM2115&lt;&gt;"",$AS2115&lt;&gt;"✓"),SUMPRODUCT(($AM$11:$AM2115&lt;&gt;"")*($AS$11:$AS2115&lt;&gt;"✓")),"")</f>
        <v/>
      </c>
      <c r="AZ2115" s="21" t="str">
        <f>IF(AND($AM2115&lt;&gt;"",$AS2115="✓"),SUMPRODUCT(($AM$11:$AM2115&lt;&gt;"")*($AS$11:$AS2115="✓")),"")</f>
        <v/>
      </c>
      <c r="BA2115" s="21" t="str">
        <f>IF($AL2115="","",$AL2115&amp;"|"&amp;COUNTIF($AL$11:$AL2115,$AL2115))</f>
        <v/>
      </c>
    </row>
    <row r="2116" spans="38:53" ht="15" customHeight="1" x14ac:dyDescent="0.25">
      <c r="AL2116" s="31"/>
      <c r="AM2116" s="26"/>
      <c r="AN2116" s="32"/>
      <c r="AO2116" s="32"/>
      <c r="AP2116" s="24"/>
      <c r="AQ2116" s="24"/>
      <c r="AR2116" s="33"/>
      <c r="AS2116" s="34"/>
      <c r="AT2116" s="33"/>
      <c r="AV2116" s="21">
        <f>IF(AND($AL2116&lt;&gt;"",COUNTIF($AL$11:$AL2116,$AL2116)=1),1,0)</f>
        <v>0</v>
      </c>
      <c r="AW2116" s="21">
        <f t="shared" si="151"/>
        <v>0</v>
      </c>
      <c r="AX2116" s="21" t="str">
        <f t="shared" si="150"/>
        <v/>
      </c>
      <c r="AY2116" s="21" t="str">
        <f>IF(AND($AM2116&lt;&gt;"",$AS2116&lt;&gt;"✓"),SUMPRODUCT(($AM$11:$AM2116&lt;&gt;"")*($AS$11:$AS2116&lt;&gt;"✓")),"")</f>
        <v/>
      </c>
      <c r="AZ2116" s="21" t="str">
        <f>IF(AND($AM2116&lt;&gt;"",$AS2116="✓"),SUMPRODUCT(($AM$11:$AM2116&lt;&gt;"")*($AS$11:$AS2116="✓")),"")</f>
        <v/>
      </c>
      <c r="BA2116" s="21" t="str">
        <f>IF($AL2116="","",$AL2116&amp;"|"&amp;COUNTIF($AL$11:$AL2116,$AL2116))</f>
        <v/>
      </c>
    </row>
    <row r="2117" spans="38:53" ht="15" customHeight="1" x14ac:dyDescent="0.25">
      <c r="AL2117" s="17"/>
      <c r="AM2117" s="12"/>
      <c r="AN2117" s="18"/>
      <c r="AO2117" s="18"/>
      <c r="AP2117" s="10"/>
      <c r="AQ2117" s="10"/>
      <c r="AR2117" s="19"/>
      <c r="AS2117" s="20"/>
      <c r="AT2117" s="19"/>
      <c r="AV2117" s="21">
        <f>IF(AND($AL2117&lt;&gt;"",COUNTIF($AL$11:$AL2117,$AL2117)=1),1,0)</f>
        <v>0</v>
      </c>
      <c r="AW2117" s="21">
        <f t="shared" si="151"/>
        <v>0</v>
      </c>
      <c r="AX2117" s="21" t="str">
        <f t="shared" si="150"/>
        <v/>
      </c>
      <c r="AY2117" s="21" t="str">
        <f>IF(AND($AM2117&lt;&gt;"",$AS2117&lt;&gt;"✓"),SUMPRODUCT(($AM$11:$AM2117&lt;&gt;"")*($AS$11:$AS2117&lt;&gt;"✓")),"")</f>
        <v/>
      </c>
      <c r="AZ2117" s="21" t="str">
        <f>IF(AND($AM2117&lt;&gt;"",$AS2117="✓"),SUMPRODUCT(($AM$11:$AM2117&lt;&gt;"")*($AS$11:$AS2117="✓")),"")</f>
        <v/>
      </c>
      <c r="BA2117" s="21" t="str">
        <f>IF($AL2117="","",$AL2117&amp;"|"&amp;COUNTIF($AL$11:$AL2117,$AL2117))</f>
        <v/>
      </c>
    </row>
    <row r="2118" spans="38:53" ht="15" customHeight="1" x14ac:dyDescent="0.25">
      <c r="AL2118" s="31"/>
      <c r="AM2118" s="26"/>
      <c r="AN2118" s="32"/>
      <c r="AO2118" s="32"/>
      <c r="AP2118" s="24"/>
      <c r="AQ2118" s="24"/>
      <c r="AR2118" s="33"/>
      <c r="AS2118" s="34"/>
      <c r="AT2118" s="33"/>
      <c r="AV2118" s="21">
        <f>IF(AND($AL2118&lt;&gt;"",COUNTIF($AL$11:$AL2118,$AL2118)=1),1,0)</f>
        <v>0</v>
      </c>
      <c r="AW2118" s="21">
        <f t="shared" si="151"/>
        <v>0</v>
      </c>
      <c r="AX2118" s="21" t="str">
        <f t="shared" si="150"/>
        <v/>
      </c>
      <c r="AY2118" s="21" t="str">
        <f>IF(AND($AM2118&lt;&gt;"",$AS2118&lt;&gt;"✓"),SUMPRODUCT(($AM$11:$AM2118&lt;&gt;"")*($AS$11:$AS2118&lt;&gt;"✓")),"")</f>
        <v/>
      </c>
      <c r="AZ2118" s="21" t="str">
        <f>IF(AND($AM2118&lt;&gt;"",$AS2118="✓"),SUMPRODUCT(($AM$11:$AM2118&lt;&gt;"")*($AS$11:$AS2118="✓")),"")</f>
        <v/>
      </c>
      <c r="BA2118" s="21" t="str">
        <f>IF($AL2118="","",$AL2118&amp;"|"&amp;COUNTIF($AL$11:$AL2118,$AL2118))</f>
        <v/>
      </c>
    </row>
    <row r="2119" spans="38:53" ht="15" customHeight="1" x14ac:dyDescent="0.25">
      <c r="AL2119" s="17"/>
      <c r="AM2119" s="12"/>
      <c r="AN2119" s="18"/>
      <c r="AO2119" s="18"/>
      <c r="AP2119" s="10"/>
      <c r="AQ2119" s="10"/>
      <c r="AR2119" s="19"/>
      <c r="AS2119" s="20"/>
      <c r="AT2119" s="19"/>
      <c r="AV2119" s="21">
        <f>IF(AND($AL2119&lt;&gt;"",COUNTIF($AL$11:$AL2119,$AL2119)=1),1,0)</f>
        <v>0</v>
      </c>
      <c r="AW2119" s="21">
        <f t="shared" si="151"/>
        <v>0</v>
      </c>
      <c r="AX2119" s="21" t="str">
        <f t="shared" si="150"/>
        <v/>
      </c>
      <c r="AY2119" s="21" t="str">
        <f>IF(AND($AM2119&lt;&gt;"",$AS2119&lt;&gt;"✓"),SUMPRODUCT(($AM$11:$AM2119&lt;&gt;"")*($AS$11:$AS2119&lt;&gt;"✓")),"")</f>
        <v/>
      </c>
      <c r="AZ2119" s="21" t="str">
        <f>IF(AND($AM2119&lt;&gt;"",$AS2119="✓"),SUMPRODUCT(($AM$11:$AM2119&lt;&gt;"")*($AS$11:$AS2119="✓")),"")</f>
        <v/>
      </c>
      <c r="BA2119" s="21" t="str">
        <f>IF($AL2119="","",$AL2119&amp;"|"&amp;COUNTIF($AL$11:$AL2119,$AL2119))</f>
        <v/>
      </c>
    </row>
    <row r="2120" spans="38:53" ht="15" customHeight="1" x14ac:dyDescent="0.25">
      <c r="AL2120" s="31"/>
      <c r="AM2120" s="26"/>
      <c r="AN2120" s="32"/>
      <c r="AO2120" s="32"/>
      <c r="AP2120" s="24"/>
      <c r="AQ2120" s="24"/>
      <c r="AR2120" s="33"/>
      <c r="AS2120" s="34"/>
      <c r="AT2120" s="33"/>
      <c r="AV2120" s="21">
        <f>IF(AND($AL2120&lt;&gt;"",COUNTIF($AL$11:$AL2120,$AL2120)=1),1,0)</f>
        <v>0</v>
      </c>
      <c r="AW2120" s="21">
        <f t="shared" si="151"/>
        <v>0</v>
      </c>
      <c r="AX2120" s="21" t="str">
        <f t="shared" si="150"/>
        <v/>
      </c>
      <c r="AY2120" s="21" t="str">
        <f>IF(AND($AM2120&lt;&gt;"",$AS2120&lt;&gt;"✓"),SUMPRODUCT(($AM$11:$AM2120&lt;&gt;"")*($AS$11:$AS2120&lt;&gt;"✓")),"")</f>
        <v/>
      </c>
      <c r="AZ2120" s="21" t="str">
        <f>IF(AND($AM2120&lt;&gt;"",$AS2120="✓"),SUMPRODUCT(($AM$11:$AM2120&lt;&gt;"")*($AS$11:$AS2120="✓")),"")</f>
        <v/>
      </c>
      <c r="BA2120" s="21" t="str">
        <f>IF($AL2120="","",$AL2120&amp;"|"&amp;COUNTIF($AL$11:$AL2120,$AL2120))</f>
        <v/>
      </c>
    </row>
    <row r="2121" spans="38:53" ht="15" customHeight="1" x14ac:dyDescent="0.25">
      <c r="AL2121" s="17"/>
      <c r="AM2121" s="12"/>
      <c r="AN2121" s="18"/>
      <c r="AO2121" s="18"/>
      <c r="AP2121" s="10"/>
      <c r="AQ2121" s="10"/>
      <c r="AR2121" s="19"/>
      <c r="AS2121" s="20"/>
      <c r="AT2121" s="19"/>
      <c r="AV2121" s="21">
        <f>IF(AND($AL2121&lt;&gt;"",COUNTIF($AL$11:$AL2121,$AL2121)=1),1,0)</f>
        <v>0</v>
      </c>
      <c r="AW2121" s="21">
        <f t="shared" si="151"/>
        <v>0</v>
      </c>
      <c r="AX2121" s="21" t="str">
        <f t="shared" si="150"/>
        <v/>
      </c>
      <c r="AY2121" s="21" t="str">
        <f>IF(AND($AM2121&lt;&gt;"",$AS2121&lt;&gt;"✓"),SUMPRODUCT(($AM$11:$AM2121&lt;&gt;"")*($AS$11:$AS2121&lt;&gt;"✓")),"")</f>
        <v/>
      </c>
      <c r="AZ2121" s="21" t="str">
        <f>IF(AND($AM2121&lt;&gt;"",$AS2121="✓"),SUMPRODUCT(($AM$11:$AM2121&lt;&gt;"")*($AS$11:$AS2121="✓")),"")</f>
        <v/>
      </c>
      <c r="BA2121" s="21" t="str">
        <f>IF($AL2121="","",$AL2121&amp;"|"&amp;COUNTIF($AL$11:$AL2121,$AL2121))</f>
        <v/>
      </c>
    </row>
    <row r="2122" spans="38:53" ht="15" customHeight="1" x14ac:dyDescent="0.25">
      <c r="AL2122" s="31"/>
      <c r="AM2122" s="26"/>
      <c r="AN2122" s="32"/>
      <c r="AO2122" s="32"/>
      <c r="AP2122" s="24"/>
      <c r="AQ2122" s="24"/>
      <c r="AR2122" s="33"/>
      <c r="AS2122" s="34"/>
      <c r="AT2122" s="33"/>
      <c r="AV2122" s="21">
        <f>IF(AND($AL2122&lt;&gt;"",COUNTIF($AL$11:$AL2122,$AL2122)=1),1,0)</f>
        <v>0</v>
      </c>
      <c r="AW2122" s="21">
        <f t="shared" si="151"/>
        <v>0</v>
      </c>
      <c r="AX2122" s="21" t="str">
        <f t="shared" si="150"/>
        <v/>
      </c>
      <c r="AY2122" s="21" t="str">
        <f>IF(AND($AM2122&lt;&gt;"",$AS2122&lt;&gt;"✓"),SUMPRODUCT(($AM$11:$AM2122&lt;&gt;"")*($AS$11:$AS2122&lt;&gt;"✓")),"")</f>
        <v/>
      </c>
      <c r="AZ2122" s="21" t="str">
        <f>IF(AND($AM2122&lt;&gt;"",$AS2122="✓"),SUMPRODUCT(($AM$11:$AM2122&lt;&gt;"")*($AS$11:$AS2122="✓")),"")</f>
        <v/>
      </c>
      <c r="BA2122" s="21" t="str">
        <f>IF($AL2122="","",$AL2122&amp;"|"&amp;COUNTIF($AL$11:$AL2122,$AL2122))</f>
        <v/>
      </c>
    </row>
    <row r="2123" spans="38:53" ht="15" customHeight="1" x14ac:dyDescent="0.25">
      <c r="AL2123" s="17"/>
      <c r="AM2123" s="12"/>
      <c r="AN2123" s="18"/>
      <c r="AO2123" s="18"/>
      <c r="AP2123" s="10"/>
      <c r="AQ2123" s="10"/>
      <c r="AR2123" s="19"/>
      <c r="AS2123" s="20"/>
      <c r="AT2123" s="19"/>
      <c r="AV2123" s="21">
        <f>IF(AND($AL2123&lt;&gt;"",COUNTIF($AL$11:$AL2123,$AL2123)=1),1,0)</f>
        <v>0</v>
      </c>
      <c r="AW2123" s="21">
        <f t="shared" si="151"/>
        <v>0</v>
      </c>
      <c r="AX2123" s="21" t="str">
        <f t="shared" ref="AX2123:AX2186" si="152">IF(AV2123=1,AW2123,"")</f>
        <v/>
      </c>
      <c r="AY2123" s="21" t="str">
        <f>IF(AND($AM2123&lt;&gt;"",$AS2123&lt;&gt;"✓"),SUMPRODUCT(($AM$11:$AM2123&lt;&gt;"")*($AS$11:$AS2123&lt;&gt;"✓")),"")</f>
        <v/>
      </c>
      <c r="AZ2123" s="21" t="str">
        <f>IF(AND($AM2123&lt;&gt;"",$AS2123="✓"),SUMPRODUCT(($AM$11:$AM2123&lt;&gt;"")*($AS$11:$AS2123="✓")),"")</f>
        <v/>
      </c>
      <c r="BA2123" s="21" t="str">
        <f>IF($AL2123="","",$AL2123&amp;"|"&amp;COUNTIF($AL$11:$AL2123,$AL2123))</f>
        <v/>
      </c>
    </row>
    <row r="2124" spans="38:53" ht="15" customHeight="1" x14ac:dyDescent="0.25">
      <c r="AL2124" s="31"/>
      <c r="AM2124" s="26"/>
      <c r="AN2124" s="32"/>
      <c r="AO2124" s="32"/>
      <c r="AP2124" s="24"/>
      <c r="AQ2124" s="24"/>
      <c r="AR2124" s="33"/>
      <c r="AS2124" s="34"/>
      <c r="AT2124" s="33"/>
      <c r="AV2124" s="21">
        <f>IF(AND($AL2124&lt;&gt;"",COUNTIF($AL$11:$AL2124,$AL2124)=1),1,0)</f>
        <v>0</v>
      </c>
      <c r="AW2124" s="21">
        <f t="shared" ref="AW2124:AW2187" si="153">AW2123+AV2124</f>
        <v>0</v>
      </c>
      <c r="AX2124" s="21" t="str">
        <f t="shared" si="152"/>
        <v/>
      </c>
      <c r="AY2124" s="21" t="str">
        <f>IF(AND($AM2124&lt;&gt;"",$AS2124&lt;&gt;"✓"),SUMPRODUCT(($AM$11:$AM2124&lt;&gt;"")*($AS$11:$AS2124&lt;&gt;"✓")),"")</f>
        <v/>
      </c>
      <c r="AZ2124" s="21" t="str">
        <f>IF(AND($AM2124&lt;&gt;"",$AS2124="✓"),SUMPRODUCT(($AM$11:$AM2124&lt;&gt;"")*($AS$11:$AS2124="✓")),"")</f>
        <v/>
      </c>
      <c r="BA2124" s="21" t="str">
        <f>IF($AL2124="","",$AL2124&amp;"|"&amp;COUNTIF($AL$11:$AL2124,$AL2124))</f>
        <v/>
      </c>
    </row>
    <row r="2125" spans="38:53" ht="15" customHeight="1" x14ac:dyDescent="0.25">
      <c r="AL2125" s="17"/>
      <c r="AM2125" s="12"/>
      <c r="AN2125" s="18"/>
      <c r="AO2125" s="18"/>
      <c r="AP2125" s="10"/>
      <c r="AQ2125" s="10"/>
      <c r="AR2125" s="19"/>
      <c r="AS2125" s="20"/>
      <c r="AT2125" s="19"/>
      <c r="AV2125" s="21">
        <f>IF(AND($AL2125&lt;&gt;"",COUNTIF($AL$11:$AL2125,$AL2125)=1),1,0)</f>
        <v>0</v>
      </c>
      <c r="AW2125" s="21">
        <f t="shared" si="153"/>
        <v>0</v>
      </c>
      <c r="AX2125" s="21" t="str">
        <f t="shared" si="152"/>
        <v/>
      </c>
      <c r="AY2125" s="21" t="str">
        <f>IF(AND($AM2125&lt;&gt;"",$AS2125&lt;&gt;"✓"),SUMPRODUCT(($AM$11:$AM2125&lt;&gt;"")*($AS$11:$AS2125&lt;&gt;"✓")),"")</f>
        <v/>
      </c>
      <c r="AZ2125" s="21" t="str">
        <f>IF(AND($AM2125&lt;&gt;"",$AS2125="✓"),SUMPRODUCT(($AM$11:$AM2125&lt;&gt;"")*($AS$11:$AS2125="✓")),"")</f>
        <v/>
      </c>
      <c r="BA2125" s="21" t="str">
        <f>IF($AL2125="","",$AL2125&amp;"|"&amp;COUNTIF($AL$11:$AL2125,$AL2125))</f>
        <v/>
      </c>
    </row>
    <row r="2126" spans="38:53" ht="15" customHeight="1" x14ac:dyDescent="0.25">
      <c r="AL2126" s="31"/>
      <c r="AM2126" s="26"/>
      <c r="AN2126" s="32"/>
      <c r="AO2126" s="32"/>
      <c r="AP2126" s="24"/>
      <c r="AQ2126" s="24"/>
      <c r="AR2126" s="33"/>
      <c r="AS2126" s="34"/>
      <c r="AT2126" s="33"/>
      <c r="AV2126" s="21">
        <f>IF(AND($AL2126&lt;&gt;"",COUNTIF($AL$11:$AL2126,$AL2126)=1),1,0)</f>
        <v>0</v>
      </c>
      <c r="AW2126" s="21">
        <f t="shared" si="153"/>
        <v>0</v>
      </c>
      <c r="AX2126" s="21" t="str">
        <f t="shared" si="152"/>
        <v/>
      </c>
      <c r="AY2126" s="21" t="str">
        <f>IF(AND($AM2126&lt;&gt;"",$AS2126&lt;&gt;"✓"),SUMPRODUCT(($AM$11:$AM2126&lt;&gt;"")*($AS$11:$AS2126&lt;&gt;"✓")),"")</f>
        <v/>
      </c>
      <c r="AZ2126" s="21" t="str">
        <f>IF(AND($AM2126&lt;&gt;"",$AS2126="✓"),SUMPRODUCT(($AM$11:$AM2126&lt;&gt;"")*($AS$11:$AS2126="✓")),"")</f>
        <v/>
      </c>
      <c r="BA2126" s="21" t="str">
        <f>IF($AL2126="","",$AL2126&amp;"|"&amp;COUNTIF($AL$11:$AL2126,$AL2126))</f>
        <v/>
      </c>
    </row>
    <row r="2127" spans="38:53" ht="15" customHeight="1" x14ac:dyDescent="0.25">
      <c r="AL2127" s="17"/>
      <c r="AM2127" s="12"/>
      <c r="AN2127" s="18"/>
      <c r="AO2127" s="18"/>
      <c r="AP2127" s="10"/>
      <c r="AQ2127" s="10"/>
      <c r="AR2127" s="19"/>
      <c r="AS2127" s="20"/>
      <c r="AT2127" s="19"/>
      <c r="AV2127" s="21">
        <f>IF(AND($AL2127&lt;&gt;"",COUNTIF($AL$11:$AL2127,$AL2127)=1),1,0)</f>
        <v>0</v>
      </c>
      <c r="AW2127" s="21">
        <f t="shared" si="153"/>
        <v>0</v>
      </c>
      <c r="AX2127" s="21" t="str">
        <f t="shared" si="152"/>
        <v/>
      </c>
      <c r="AY2127" s="21" t="str">
        <f>IF(AND($AM2127&lt;&gt;"",$AS2127&lt;&gt;"✓"),SUMPRODUCT(($AM$11:$AM2127&lt;&gt;"")*($AS$11:$AS2127&lt;&gt;"✓")),"")</f>
        <v/>
      </c>
      <c r="AZ2127" s="21" t="str">
        <f>IF(AND($AM2127&lt;&gt;"",$AS2127="✓"),SUMPRODUCT(($AM$11:$AM2127&lt;&gt;"")*($AS$11:$AS2127="✓")),"")</f>
        <v/>
      </c>
      <c r="BA2127" s="21" t="str">
        <f>IF($AL2127="","",$AL2127&amp;"|"&amp;COUNTIF($AL$11:$AL2127,$AL2127))</f>
        <v/>
      </c>
    </row>
    <row r="2128" spans="38:53" ht="15" customHeight="1" x14ac:dyDescent="0.25">
      <c r="AL2128" s="31"/>
      <c r="AM2128" s="26"/>
      <c r="AN2128" s="32"/>
      <c r="AO2128" s="32"/>
      <c r="AP2128" s="24"/>
      <c r="AQ2128" s="24"/>
      <c r="AR2128" s="33"/>
      <c r="AS2128" s="34"/>
      <c r="AT2128" s="33"/>
      <c r="AV2128" s="21">
        <f>IF(AND($AL2128&lt;&gt;"",COUNTIF($AL$11:$AL2128,$AL2128)=1),1,0)</f>
        <v>0</v>
      </c>
      <c r="AW2128" s="21">
        <f t="shared" si="153"/>
        <v>0</v>
      </c>
      <c r="AX2128" s="21" t="str">
        <f t="shared" si="152"/>
        <v/>
      </c>
      <c r="AY2128" s="21" t="str">
        <f>IF(AND($AM2128&lt;&gt;"",$AS2128&lt;&gt;"✓"),SUMPRODUCT(($AM$11:$AM2128&lt;&gt;"")*($AS$11:$AS2128&lt;&gt;"✓")),"")</f>
        <v/>
      </c>
      <c r="AZ2128" s="21" t="str">
        <f>IF(AND($AM2128&lt;&gt;"",$AS2128="✓"),SUMPRODUCT(($AM$11:$AM2128&lt;&gt;"")*($AS$11:$AS2128="✓")),"")</f>
        <v/>
      </c>
      <c r="BA2128" s="21" t="str">
        <f>IF($AL2128="","",$AL2128&amp;"|"&amp;COUNTIF($AL$11:$AL2128,$AL2128))</f>
        <v/>
      </c>
    </row>
    <row r="2129" spans="38:53" ht="15" customHeight="1" x14ac:dyDescent="0.25">
      <c r="AL2129" s="17"/>
      <c r="AM2129" s="12"/>
      <c r="AN2129" s="18"/>
      <c r="AO2129" s="18"/>
      <c r="AP2129" s="10"/>
      <c r="AQ2129" s="10"/>
      <c r="AR2129" s="19"/>
      <c r="AS2129" s="20"/>
      <c r="AT2129" s="19"/>
      <c r="AV2129" s="21">
        <f>IF(AND($AL2129&lt;&gt;"",COUNTIF($AL$11:$AL2129,$AL2129)=1),1,0)</f>
        <v>0</v>
      </c>
      <c r="AW2129" s="21">
        <f t="shared" si="153"/>
        <v>0</v>
      </c>
      <c r="AX2129" s="21" t="str">
        <f t="shared" si="152"/>
        <v/>
      </c>
      <c r="AY2129" s="21" t="str">
        <f>IF(AND($AM2129&lt;&gt;"",$AS2129&lt;&gt;"✓"),SUMPRODUCT(($AM$11:$AM2129&lt;&gt;"")*($AS$11:$AS2129&lt;&gt;"✓")),"")</f>
        <v/>
      </c>
      <c r="AZ2129" s="21" t="str">
        <f>IF(AND($AM2129&lt;&gt;"",$AS2129="✓"),SUMPRODUCT(($AM$11:$AM2129&lt;&gt;"")*($AS$11:$AS2129="✓")),"")</f>
        <v/>
      </c>
      <c r="BA2129" s="21" t="str">
        <f>IF($AL2129="","",$AL2129&amp;"|"&amp;COUNTIF($AL$11:$AL2129,$AL2129))</f>
        <v/>
      </c>
    </row>
    <row r="2130" spans="38:53" ht="15" customHeight="1" x14ac:dyDescent="0.25">
      <c r="AL2130" s="31"/>
      <c r="AM2130" s="26"/>
      <c r="AN2130" s="32"/>
      <c r="AO2130" s="32"/>
      <c r="AP2130" s="24"/>
      <c r="AQ2130" s="24"/>
      <c r="AR2130" s="33"/>
      <c r="AS2130" s="34"/>
      <c r="AT2130" s="33"/>
      <c r="AV2130" s="21">
        <f>IF(AND($AL2130&lt;&gt;"",COUNTIF($AL$11:$AL2130,$AL2130)=1),1,0)</f>
        <v>0</v>
      </c>
      <c r="AW2130" s="21">
        <f t="shared" si="153"/>
        <v>0</v>
      </c>
      <c r="AX2130" s="21" t="str">
        <f t="shared" si="152"/>
        <v/>
      </c>
      <c r="AY2130" s="21" t="str">
        <f>IF(AND($AM2130&lt;&gt;"",$AS2130&lt;&gt;"✓"),SUMPRODUCT(($AM$11:$AM2130&lt;&gt;"")*($AS$11:$AS2130&lt;&gt;"✓")),"")</f>
        <v/>
      </c>
      <c r="AZ2130" s="21" t="str">
        <f>IF(AND($AM2130&lt;&gt;"",$AS2130="✓"),SUMPRODUCT(($AM$11:$AM2130&lt;&gt;"")*($AS$11:$AS2130="✓")),"")</f>
        <v/>
      </c>
      <c r="BA2130" s="21" t="str">
        <f>IF($AL2130="","",$AL2130&amp;"|"&amp;COUNTIF($AL$11:$AL2130,$AL2130))</f>
        <v/>
      </c>
    </row>
    <row r="2131" spans="38:53" ht="15" customHeight="1" x14ac:dyDescent="0.25">
      <c r="AL2131" s="17"/>
      <c r="AM2131" s="12"/>
      <c r="AN2131" s="18"/>
      <c r="AO2131" s="18"/>
      <c r="AP2131" s="10"/>
      <c r="AQ2131" s="10"/>
      <c r="AR2131" s="19"/>
      <c r="AS2131" s="20"/>
      <c r="AT2131" s="19"/>
      <c r="AV2131" s="21">
        <f>IF(AND($AL2131&lt;&gt;"",COUNTIF($AL$11:$AL2131,$AL2131)=1),1,0)</f>
        <v>0</v>
      </c>
      <c r="AW2131" s="21">
        <f t="shared" si="153"/>
        <v>0</v>
      </c>
      <c r="AX2131" s="21" t="str">
        <f t="shared" si="152"/>
        <v/>
      </c>
      <c r="AY2131" s="21" t="str">
        <f>IF(AND($AM2131&lt;&gt;"",$AS2131&lt;&gt;"✓"),SUMPRODUCT(($AM$11:$AM2131&lt;&gt;"")*($AS$11:$AS2131&lt;&gt;"✓")),"")</f>
        <v/>
      </c>
      <c r="AZ2131" s="21" t="str">
        <f>IF(AND($AM2131&lt;&gt;"",$AS2131="✓"),SUMPRODUCT(($AM$11:$AM2131&lt;&gt;"")*($AS$11:$AS2131="✓")),"")</f>
        <v/>
      </c>
      <c r="BA2131" s="21" t="str">
        <f>IF($AL2131="","",$AL2131&amp;"|"&amp;COUNTIF($AL$11:$AL2131,$AL2131))</f>
        <v/>
      </c>
    </row>
    <row r="2132" spans="38:53" ht="15" customHeight="1" x14ac:dyDescent="0.25">
      <c r="AL2132" s="31"/>
      <c r="AM2132" s="26"/>
      <c r="AN2132" s="32"/>
      <c r="AO2132" s="32"/>
      <c r="AP2132" s="24"/>
      <c r="AQ2132" s="24"/>
      <c r="AR2132" s="33"/>
      <c r="AS2132" s="34"/>
      <c r="AT2132" s="33"/>
      <c r="AV2132" s="21">
        <f>IF(AND($AL2132&lt;&gt;"",COUNTIF($AL$11:$AL2132,$AL2132)=1),1,0)</f>
        <v>0</v>
      </c>
      <c r="AW2132" s="21">
        <f t="shared" si="153"/>
        <v>0</v>
      </c>
      <c r="AX2132" s="21" t="str">
        <f t="shared" si="152"/>
        <v/>
      </c>
      <c r="AY2132" s="21" t="str">
        <f>IF(AND($AM2132&lt;&gt;"",$AS2132&lt;&gt;"✓"),SUMPRODUCT(($AM$11:$AM2132&lt;&gt;"")*($AS$11:$AS2132&lt;&gt;"✓")),"")</f>
        <v/>
      </c>
      <c r="AZ2132" s="21" t="str">
        <f>IF(AND($AM2132&lt;&gt;"",$AS2132="✓"),SUMPRODUCT(($AM$11:$AM2132&lt;&gt;"")*($AS$11:$AS2132="✓")),"")</f>
        <v/>
      </c>
      <c r="BA2132" s="21" t="str">
        <f>IF($AL2132="","",$AL2132&amp;"|"&amp;COUNTIF($AL$11:$AL2132,$AL2132))</f>
        <v/>
      </c>
    </row>
    <row r="2133" spans="38:53" ht="15" customHeight="1" x14ac:dyDescent="0.25">
      <c r="AL2133" s="17"/>
      <c r="AM2133" s="12"/>
      <c r="AN2133" s="18"/>
      <c r="AO2133" s="18"/>
      <c r="AP2133" s="10"/>
      <c r="AQ2133" s="10"/>
      <c r="AR2133" s="19"/>
      <c r="AS2133" s="20"/>
      <c r="AT2133" s="19"/>
      <c r="AV2133" s="21">
        <f>IF(AND($AL2133&lt;&gt;"",COUNTIF($AL$11:$AL2133,$AL2133)=1),1,0)</f>
        <v>0</v>
      </c>
      <c r="AW2133" s="21">
        <f t="shared" si="153"/>
        <v>0</v>
      </c>
      <c r="AX2133" s="21" t="str">
        <f t="shared" si="152"/>
        <v/>
      </c>
      <c r="AY2133" s="21" t="str">
        <f>IF(AND($AM2133&lt;&gt;"",$AS2133&lt;&gt;"✓"),SUMPRODUCT(($AM$11:$AM2133&lt;&gt;"")*($AS$11:$AS2133&lt;&gt;"✓")),"")</f>
        <v/>
      </c>
      <c r="AZ2133" s="21" t="str">
        <f>IF(AND($AM2133&lt;&gt;"",$AS2133="✓"),SUMPRODUCT(($AM$11:$AM2133&lt;&gt;"")*($AS$11:$AS2133="✓")),"")</f>
        <v/>
      </c>
      <c r="BA2133" s="21" t="str">
        <f>IF($AL2133="","",$AL2133&amp;"|"&amp;COUNTIF($AL$11:$AL2133,$AL2133))</f>
        <v/>
      </c>
    </row>
    <row r="2134" spans="38:53" ht="15" customHeight="1" x14ac:dyDescent="0.25">
      <c r="AL2134" s="31"/>
      <c r="AM2134" s="26"/>
      <c r="AN2134" s="32"/>
      <c r="AO2134" s="32"/>
      <c r="AP2134" s="24"/>
      <c r="AQ2134" s="24"/>
      <c r="AR2134" s="33"/>
      <c r="AS2134" s="34"/>
      <c r="AT2134" s="33"/>
      <c r="AV2134" s="21">
        <f>IF(AND($AL2134&lt;&gt;"",COUNTIF($AL$11:$AL2134,$AL2134)=1),1,0)</f>
        <v>0</v>
      </c>
      <c r="AW2134" s="21">
        <f t="shared" si="153"/>
        <v>0</v>
      </c>
      <c r="AX2134" s="21" t="str">
        <f t="shared" si="152"/>
        <v/>
      </c>
      <c r="AY2134" s="21" t="str">
        <f>IF(AND($AM2134&lt;&gt;"",$AS2134&lt;&gt;"✓"),SUMPRODUCT(($AM$11:$AM2134&lt;&gt;"")*($AS$11:$AS2134&lt;&gt;"✓")),"")</f>
        <v/>
      </c>
      <c r="AZ2134" s="21" t="str">
        <f>IF(AND($AM2134&lt;&gt;"",$AS2134="✓"),SUMPRODUCT(($AM$11:$AM2134&lt;&gt;"")*($AS$11:$AS2134="✓")),"")</f>
        <v/>
      </c>
      <c r="BA2134" s="21" t="str">
        <f>IF($AL2134="","",$AL2134&amp;"|"&amp;COUNTIF($AL$11:$AL2134,$AL2134))</f>
        <v/>
      </c>
    </row>
    <row r="2135" spans="38:53" ht="15" customHeight="1" x14ac:dyDescent="0.25">
      <c r="AL2135" s="17"/>
      <c r="AM2135" s="12"/>
      <c r="AN2135" s="18"/>
      <c r="AO2135" s="18"/>
      <c r="AP2135" s="10"/>
      <c r="AQ2135" s="10"/>
      <c r="AR2135" s="19"/>
      <c r="AS2135" s="20"/>
      <c r="AT2135" s="19"/>
      <c r="AV2135" s="21">
        <f>IF(AND($AL2135&lt;&gt;"",COUNTIF($AL$11:$AL2135,$AL2135)=1),1,0)</f>
        <v>0</v>
      </c>
      <c r="AW2135" s="21">
        <f t="shared" si="153"/>
        <v>0</v>
      </c>
      <c r="AX2135" s="21" t="str">
        <f t="shared" si="152"/>
        <v/>
      </c>
      <c r="AY2135" s="21" t="str">
        <f>IF(AND($AM2135&lt;&gt;"",$AS2135&lt;&gt;"✓"),SUMPRODUCT(($AM$11:$AM2135&lt;&gt;"")*($AS$11:$AS2135&lt;&gt;"✓")),"")</f>
        <v/>
      </c>
      <c r="AZ2135" s="21" t="str">
        <f>IF(AND($AM2135&lt;&gt;"",$AS2135="✓"),SUMPRODUCT(($AM$11:$AM2135&lt;&gt;"")*($AS$11:$AS2135="✓")),"")</f>
        <v/>
      </c>
      <c r="BA2135" s="21" t="str">
        <f>IF($AL2135="","",$AL2135&amp;"|"&amp;COUNTIF($AL$11:$AL2135,$AL2135))</f>
        <v/>
      </c>
    </row>
    <row r="2136" spans="38:53" ht="15" customHeight="1" x14ac:dyDescent="0.25">
      <c r="AL2136" s="31"/>
      <c r="AM2136" s="26"/>
      <c r="AN2136" s="32"/>
      <c r="AO2136" s="32"/>
      <c r="AP2136" s="24"/>
      <c r="AQ2136" s="24"/>
      <c r="AR2136" s="33"/>
      <c r="AS2136" s="34"/>
      <c r="AT2136" s="33"/>
      <c r="AV2136" s="21">
        <f>IF(AND($AL2136&lt;&gt;"",COUNTIF($AL$11:$AL2136,$AL2136)=1),1,0)</f>
        <v>0</v>
      </c>
      <c r="AW2136" s="21">
        <f t="shared" si="153"/>
        <v>0</v>
      </c>
      <c r="AX2136" s="21" t="str">
        <f t="shared" si="152"/>
        <v/>
      </c>
      <c r="AY2136" s="21" t="str">
        <f>IF(AND($AM2136&lt;&gt;"",$AS2136&lt;&gt;"✓"),SUMPRODUCT(($AM$11:$AM2136&lt;&gt;"")*($AS$11:$AS2136&lt;&gt;"✓")),"")</f>
        <v/>
      </c>
      <c r="AZ2136" s="21" t="str">
        <f>IF(AND($AM2136&lt;&gt;"",$AS2136="✓"),SUMPRODUCT(($AM$11:$AM2136&lt;&gt;"")*($AS$11:$AS2136="✓")),"")</f>
        <v/>
      </c>
      <c r="BA2136" s="21" t="str">
        <f>IF($AL2136="","",$AL2136&amp;"|"&amp;COUNTIF($AL$11:$AL2136,$AL2136))</f>
        <v/>
      </c>
    </row>
    <row r="2137" spans="38:53" ht="15" customHeight="1" x14ac:dyDescent="0.25">
      <c r="AL2137" s="17"/>
      <c r="AM2137" s="12"/>
      <c r="AN2137" s="18"/>
      <c r="AO2137" s="18"/>
      <c r="AP2137" s="10"/>
      <c r="AQ2137" s="10"/>
      <c r="AR2137" s="19"/>
      <c r="AS2137" s="20"/>
      <c r="AT2137" s="19"/>
      <c r="AV2137" s="21">
        <f>IF(AND($AL2137&lt;&gt;"",COUNTIF($AL$11:$AL2137,$AL2137)=1),1,0)</f>
        <v>0</v>
      </c>
      <c r="AW2137" s="21">
        <f t="shared" si="153"/>
        <v>0</v>
      </c>
      <c r="AX2137" s="21" t="str">
        <f t="shared" si="152"/>
        <v/>
      </c>
      <c r="AY2137" s="21" t="str">
        <f>IF(AND($AM2137&lt;&gt;"",$AS2137&lt;&gt;"✓"),SUMPRODUCT(($AM$11:$AM2137&lt;&gt;"")*($AS$11:$AS2137&lt;&gt;"✓")),"")</f>
        <v/>
      </c>
      <c r="AZ2137" s="21" t="str">
        <f>IF(AND($AM2137&lt;&gt;"",$AS2137="✓"),SUMPRODUCT(($AM$11:$AM2137&lt;&gt;"")*($AS$11:$AS2137="✓")),"")</f>
        <v/>
      </c>
      <c r="BA2137" s="21" t="str">
        <f>IF($AL2137="","",$AL2137&amp;"|"&amp;COUNTIF($AL$11:$AL2137,$AL2137))</f>
        <v/>
      </c>
    </row>
    <row r="2138" spans="38:53" ht="15" customHeight="1" x14ac:dyDescent="0.25">
      <c r="AL2138" s="31"/>
      <c r="AM2138" s="26"/>
      <c r="AN2138" s="32"/>
      <c r="AO2138" s="32"/>
      <c r="AP2138" s="24"/>
      <c r="AQ2138" s="24"/>
      <c r="AR2138" s="33"/>
      <c r="AS2138" s="34"/>
      <c r="AT2138" s="33"/>
      <c r="AV2138" s="21">
        <f>IF(AND($AL2138&lt;&gt;"",COUNTIF($AL$11:$AL2138,$AL2138)=1),1,0)</f>
        <v>0</v>
      </c>
      <c r="AW2138" s="21">
        <f t="shared" si="153"/>
        <v>0</v>
      </c>
      <c r="AX2138" s="21" t="str">
        <f t="shared" si="152"/>
        <v/>
      </c>
      <c r="AY2138" s="21" t="str">
        <f>IF(AND($AM2138&lt;&gt;"",$AS2138&lt;&gt;"✓"),SUMPRODUCT(($AM$11:$AM2138&lt;&gt;"")*($AS$11:$AS2138&lt;&gt;"✓")),"")</f>
        <v/>
      </c>
      <c r="AZ2138" s="21" t="str">
        <f>IF(AND($AM2138&lt;&gt;"",$AS2138="✓"),SUMPRODUCT(($AM$11:$AM2138&lt;&gt;"")*($AS$11:$AS2138="✓")),"")</f>
        <v/>
      </c>
      <c r="BA2138" s="21" t="str">
        <f>IF($AL2138="","",$AL2138&amp;"|"&amp;COUNTIF($AL$11:$AL2138,$AL2138))</f>
        <v/>
      </c>
    </row>
    <row r="2139" spans="38:53" ht="15" customHeight="1" x14ac:dyDescent="0.25">
      <c r="AL2139" s="17"/>
      <c r="AM2139" s="12"/>
      <c r="AN2139" s="18"/>
      <c r="AO2139" s="18"/>
      <c r="AP2139" s="10"/>
      <c r="AQ2139" s="10"/>
      <c r="AR2139" s="19"/>
      <c r="AS2139" s="20"/>
      <c r="AT2139" s="19"/>
      <c r="AV2139" s="21">
        <f>IF(AND($AL2139&lt;&gt;"",COUNTIF($AL$11:$AL2139,$AL2139)=1),1,0)</f>
        <v>0</v>
      </c>
      <c r="AW2139" s="21">
        <f t="shared" si="153"/>
        <v>0</v>
      </c>
      <c r="AX2139" s="21" t="str">
        <f t="shared" si="152"/>
        <v/>
      </c>
      <c r="AY2139" s="21" t="str">
        <f>IF(AND($AM2139&lt;&gt;"",$AS2139&lt;&gt;"✓"),SUMPRODUCT(($AM$11:$AM2139&lt;&gt;"")*($AS$11:$AS2139&lt;&gt;"✓")),"")</f>
        <v/>
      </c>
      <c r="AZ2139" s="21" t="str">
        <f>IF(AND($AM2139&lt;&gt;"",$AS2139="✓"),SUMPRODUCT(($AM$11:$AM2139&lt;&gt;"")*($AS$11:$AS2139="✓")),"")</f>
        <v/>
      </c>
      <c r="BA2139" s="21" t="str">
        <f>IF($AL2139="","",$AL2139&amp;"|"&amp;COUNTIF($AL$11:$AL2139,$AL2139))</f>
        <v/>
      </c>
    </row>
    <row r="2140" spans="38:53" ht="15" customHeight="1" x14ac:dyDescent="0.25">
      <c r="AL2140" s="31"/>
      <c r="AM2140" s="26"/>
      <c r="AN2140" s="32"/>
      <c r="AO2140" s="32"/>
      <c r="AP2140" s="24"/>
      <c r="AQ2140" s="24"/>
      <c r="AR2140" s="33"/>
      <c r="AS2140" s="34"/>
      <c r="AT2140" s="33"/>
      <c r="AV2140" s="21">
        <f>IF(AND($AL2140&lt;&gt;"",COUNTIF($AL$11:$AL2140,$AL2140)=1),1,0)</f>
        <v>0</v>
      </c>
      <c r="AW2140" s="21">
        <f t="shared" si="153"/>
        <v>0</v>
      </c>
      <c r="AX2140" s="21" t="str">
        <f t="shared" si="152"/>
        <v/>
      </c>
      <c r="AY2140" s="21" t="str">
        <f>IF(AND($AM2140&lt;&gt;"",$AS2140&lt;&gt;"✓"),SUMPRODUCT(($AM$11:$AM2140&lt;&gt;"")*($AS$11:$AS2140&lt;&gt;"✓")),"")</f>
        <v/>
      </c>
      <c r="AZ2140" s="21" t="str">
        <f>IF(AND($AM2140&lt;&gt;"",$AS2140="✓"),SUMPRODUCT(($AM$11:$AM2140&lt;&gt;"")*($AS$11:$AS2140="✓")),"")</f>
        <v/>
      </c>
      <c r="BA2140" s="21" t="str">
        <f>IF($AL2140="","",$AL2140&amp;"|"&amp;COUNTIF($AL$11:$AL2140,$AL2140))</f>
        <v/>
      </c>
    </row>
    <row r="2141" spans="38:53" ht="15" customHeight="1" x14ac:dyDescent="0.25">
      <c r="AL2141" s="17"/>
      <c r="AM2141" s="12"/>
      <c r="AN2141" s="18"/>
      <c r="AO2141" s="18"/>
      <c r="AP2141" s="10"/>
      <c r="AQ2141" s="10"/>
      <c r="AR2141" s="19"/>
      <c r="AS2141" s="20"/>
      <c r="AT2141" s="19"/>
      <c r="AV2141" s="21">
        <f>IF(AND($AL2141&lt;&gt;"",COUNTIF($AL$11:$AL2141,$AL2141)=1),1,0)</f>
        <v>0</v>
      </c>
      <c r="AW2141" s="21">
        <f t="shared" si="153"/>
        <v>0</v>
      </c>
      <c r="AX2141" s="21" t="str">
        <f t="shared" si="152"/>
        <v/>
      </c>
      <c r="AY2141" s="21" t="str">
        <f>IF(AND($AM2141&lt;&gt;"",$AS2141&lt;&gt;"✓"),SUMPRODUCT(($AM$11:$AM2141&lt;&gt;"")*($AS$11:$AS2141&lt;&gt;"✓")),"")</f>
        <v/>
      </c>
      <c r="AZ2141" s="21" t="str">
        <f>IF(AND($AM2141&lt;&gt;"",$AS2141="✓"),SUMPRODUCT(($AM$11:$AM2141&lt;&gt;"")*($AS$11:$AS2141="✓")),"")</f>
        <v/>
      </c>
      <c r="BA2141" s="21" t="str">
        <f>IF($AL2141="","",$AL2141&amp;"|"&amp;COUNTIF($AL$11:$AL2141,$AL2141))</f>
        <v/>
      </c>
    </row>
    <row r="2142" spans="38:53" ht="15" customHeight="1" x14ac:dyDescent="0.25">
      <c r="AL2142" s="31"/>
      <c r="AM2142" s="26"/>
      <c r="AN2142" s="32"/>
      <c r="AO2142" s="32"/>
      <c r="AP2142" s="24"/>
      <c r="AQ2142" s="24"/>
      <c r="AR2142" s="33"/>
      <c r="AS2142" s="34"/>
      <c r="AT2142" s="33"/>
      <c r="AV2142" s="21">
        <f>IF(AND($AL2142&lt;&gt;"",COUNTIF($AL$11:$AL2142,$AL2142)=1),1,0)</f>
        <v>0</v>
      </c>
      <c r="AW2142" s="21">
        <f t="shared" si="153"/>
        <v>0</v>
      </c>
      <c r="AX2142" s="21" t="str">
        <f t="shared" si="152"/>
        <v/>
      </c>
      <c r="AY2142" s="21" t="str">
        <f>IF(AND($AM2142&lt;&gt;"",$AS2142&lt;&gt;"✓"),SUMPRODUCT(($AM$11:$AM2142&lt;&gt;"")*($AS$11:$AS2142&lt;&gt;"✓")),"")</f>
        <v/>
      </c>
      <c r="AZ2142" s="21" t="str">
        <f>IF(AND($AM2142&lt;&gt;"",$AS2142="✓"),SUMPRODUCT(($AM$11:$AM2142&lt;&gt;"")*($AS$11:$AS2142="✓")),"")</f>
        <v/>
      </c>
      <c r="BA2142" s="21" t="str">
        <f>IF($AL2142="","",$AL2142&amp;"|"&amp;COUNTIF($AL$11:$AL2142,$AL2142))</f>
        <v/>
      </c>
    </row>
    <row r="2143" spans="38:53" ht="15" customHeight="1" x14ac:dyDescent="0.25">
      <c r="AL2143" s="17"/>
      <c r="AM2143" s="12"/>
      <c r="AN2143" s="18"/>
      <c r="AO2143" s="18"/>
      <c r="AP2143" s="10"/>
      <c r="AQ2143" s="10"/>
      <c r="AR2143" s="19"/>
      <c r="AS2143" s="20"/>
      <c r="AT2143" s="19"/>
      <c r="AV2143" s="21">
        <f>IF(AND($AL2143&lt;&gt;"",COUNTIF($AL$11:$AL2143,$AL2143)=1),1,0)</f>
        <v>0</v>
      </c>
      <c r="AW2143" s="21">
        <f t="shared" si="153"/>
        <v>0</v>
      </c>
      <c r="AX2143" s="21" t="str">
        <f t="shared" si="152"/>
        <v/>
      </c>
      <c r="AY2143" s="21" t="str">
        <f>IF(AND($AM2143&lt;&gt;"",$AS2143&lt;&gt;"✓"),SUMPRODUCT(($AM$11:$AM2143&lt;&gt;"")*($AS$11:$AS2143&lt;&gt;"✓")),"")</f>
        <v/>
      </c>
      <c r="AZ2143" s="21" t="str">
        <f>IF(AND($AM2143&lt;&gt;"",$AS2143="✓"),SUMPRODUCT(($AM$11:$AM2143&lt;&gt;"")*($AS$11:$AS2143="✓")),"")</f>
        <v/>
      </c>
      <c r="BA2143" s="21" t="str">
        <f>IF($AL2143="","",$AL2143&amp;"|"&amp;COUNTIF($AL$11:$AL2143,$AL2143))</f>
        <v/>
      </c>
    </row>
    <row r="2144" spans="38:53" ht="15" customHeight="1" x14ac:dyDescent="0.25">
      <c r="AL2144" s="31"/>
      <c r="AM2144" s="26"/>
      <c r="AN2144" s="32"/>
      <c r="AO2144" s="32"/>
      <c r="AP2144" s="24"/>
      <c r="AQ2144" s="24"/>
      <c r="AR2144" s="33"/>
      <c r="AS2144" s="34"/>
      <c r="AT2144" s="33"/>
      <c r="AV2144" s="21">
        <f>IF(AND($AL2144&lt;&gt;"",COUNTIF($AL$11:$AL2144,$AL2144)=1),1,0)</f>
        <v>0</v>
      </c>
      <c r="AW2144" s="21">
        <f t="shared" si="153"/>
        <v>0</v>
      </c>
      <c r="AX2144" s="21" t="str">
        <f t="shared" si="152"/>
        <v/>
      </c>
      <c r="AY2144" s="21" t="str">
        <f>IF(AND($AM2144&lt;&gt;"",$AS2144&lt;&gt;"✓"),SUMPRODUCT(($AM$11:$AM2144&lt;&gt;"")*($AS$11:$AS2144&lt;&gt;"✓")),"")</f>
        <v/>
      </c>
      <c r="AZ2144" s="21" t="str">
        <f>IF(AND($AM2144&lt;&gt;"",$AS2144="✓"),SUMPRODUCT(($AM$11:$AM2144&lt;&gt;"")*($AS$11:$AS2144="✓")),"")</f>
        <v/>
      </c>
      <c r="BA2144" s="21" t="str">
        <f>IF($AL2144="","",$AL2144&amp;"|"&amp;COUNTIF($AL$11:$AL2144,$AL2144))</f>
        <v/>
      </c>
    </row>
    <row r="2145" spans="38:53" ht="15" customHeight="1" x14ac:dyDescent="0.25">
      <c r="AL2145" s="17"/>
      <c r="AM2145" s="12"/>
      <c r="AN2145" s="18"/>
      <c r="AO2145" s="18"/>
      <c r="AP2145" s="10"/>
      <c r="AQ2145" s="10"/>
      <c r="AR2145" s="19"/>
      <c r="AS2145" s="20"/>
      <c r="AT2145" s="19"/>
      <c r="AV2145" s="21">
        <f>IF(AND($AL2145&lt;&gt;"",COUNTIF($AL$11:$AL2145,$AL2145)=1),1,0)</f>
        <v>0</v>
      </c>
      <c r="AW2145" s="21">
        <f t="shared" si="153"/>
        <v>0</v>
      </c>
      <c r="AX2145" s="21" t="str">
        <f t="shared" si="152"/>
        <v/>
      </c>
      <c r="AY2145" s="21" t="str">
        <f>IF(AND($AM2145&lt;&gt;"",$AS2145&lt;&gt;"✓"),SUMPRODUCT(($AM$11:$AM2145&lt;&gt;"")*($AS$11:$AS2145&lt;&gt;"✓")),"")</f>
        <v/>
      </c>
      <c r="AZ2145" s="21" t="str">
        <f>IF(AND($AM2145&lt;&gt;"",$AS2145="✓"),SUMPRODUCT(($AM$11:$AM2145&lt;&gt;"")*($AS$11:$AS2145="✓")),"")</f>
        <v/>
      </c>
      <c r="BA2145" s="21" t="str">
        <f>IF($AL2145="","",$AL2145&amp;"|"&amp;COUNTIF($AL$11:$AL2145,$AL2145))</f>
        <v/>
      </c>
    </row>
    <row r="2146" spans="38:53" ht="15" customHeight="1" x14ac:dyDescent="0.25">
      <c r="AL2146" s="31"/>
      <c r="AM2146" s="26"/>
      <c r="AN2146" s="32"/>
      <c r="AO2146" s="32"/>
      <c r="AP2146" s="24"/>
      <c r="AQ2146" s="24"/>
      <c r="AR2146" s="33"/>
      <c r="AS2146" s="34"/>
      <c r="AT2146" s="33"/>
      <c r="AV2146" s="21">
        <f>IF(AND($AL2146&lt;&gt;"",COUNTIF($AL$11:$AL2146,$AL2146)=1),1,0)</f>
        <v>0</v>
      </c>
      <c r="AW2146" s="21">
        <f t="shared" si="153"/>
        <v>0</v>
      </c>
      <c r="AX2146" s="21" t="str">
        <f t="shared" si="152"/>
        <v/>
      </c>
      <c r="AY2146" s="21" t="str">
        <f>IF(AND($AM2146&lt;&gt;"",$AS2146&lt;&gt;"✓"),SUMPRODUCT(($AM$11:$AM2146&lt;&gt;"")*($AS$11:$AS2146&lt;&gt;"✓")),"")</f>
        <v/>
      </c>
      <c r="AZ2146" s="21" t="str">
        <f>IF(AND($AM2146&lt;&gt;"",$AS2146="✓"),SUMPRODUCT(($AM$11:$AM2146&lt;&gt;"")*($AS$11:$AS2146="✓")),"")</f>
        <v/>
      </c>
      <c r="BA2146" s="21" t="str">
        <f>IF($AL2146="","",$AL2146&amp;"|"&amp;COUNTIF($AL$11:$AL2146,$AL2146))</f>
        <v/>
      </c>
    </row>
    <row r="2147" spans="38:53" ht="15" customHeight="1" x14ac:dyDescent="0.25">
      <c r="AL2147" s="17"/>
      <c r="AM2147" s="12"/>
      <c r="AN2147" s="18"/>
      <c r="AO2147" s="18"/>
      <c r="AP2147" s="10"/>
      <c r="AQ2147" s="10"/>
      <c r="AR2147" s="19"/>
      <c r="AS2147" s="20"/>
      <c r="AT2147" s="19"/>
      <c r="AV2147" s="21">
        <f>IF(AND($AL2147&lt;&gt;"",COUNTIF($AL$11:$AL2147,$AL2147)=1),1,0)</f>
        <v>0</v>
      </c>
      <c r="AW2147" s="21">
        <f t="shared" si="153"/>
        <v>0</v>
      </c>
      <c r="AX2147" s="21" t="str">
        <f t="shared" si="152"/>
        <v/>
      </c>
      <c r="AY2147" s="21" t="str">
        <f>IF(AND($AM2147&lt;&gt;"",$AS2147&lt;&gt;"✓"),SUMPRODUCT(($AM$11:$AM2147&lt;&gt;"")*($AS$11:$AS2147&lt;&gt;"✓")),"")</f>
        <v/>
      </c>
      <c r="AZ2147" s="21" t="str">
        <f>IF(AND($AM2147&lt;&gt;"",$AS2147="✓"),SUMPRODUCT(($AM$11:$AM2147&lt;&gt;"")*($AS$11:$AS2147="✓")),"")</f>
        <v/>
      </c>
      <c r="BA2147" s="21" t="str">
        <f>IF($AL2147="","",$AL2147&amp;"|"&amp;COUNTIF($AL$11:$AL2147,$AL2147))</f>
        <v/>
      </c>
    </row>
    <row r="2148" spans="38:53" ht="15" customHeight="1" x14ac:dyDescent="0.25">
      <c r="AL2148" s="31"/>
      <c r="AM2148" s="26"/>
      <c r="AN2148" s="32"/>
      <c r="AO2148" s="32"/>
      <c r="AP2148" s="24"/>
      <c r="AQ2148" s="24"/>
      <c r="AR2148" s="33"/>
      <c r="AS2148" s="34"/>
      <c r="AT2148" s="33"/>
      <c r="AV2148" s="21">
        <f>IF(AND($AL2148&lt;&gt;"",COUNTIF($AL$11:$AL2148,$AL2148)=1),1,0)</f>
        <v>0</v>
      </c>
      <c r="AW2148" s="21">
        <f t="shared" si="153"/>
        <v>0</v>
      </c>
      <c r="AX2148" s="21" t="str">
        <f t="shared" si="152"/>
        <v/>
      </c>
      <c r="AY2148" s="21" t="str">
        <f>IF(AND($AM2148&lt;&gt;"",$AS2148&lt;&gt;"✓"),SUMPRODUCT(($AM$11:$AM2148&lt;&gt;"")*($AS$11:$AS2148&lt;&gt;"✓")),"")</f>
        <v/>
      </c>
      <c r="AZ2148" s="21" t="str">
        <f>IF(AND($AM2148&lt;&gt;"",$AS2148="✓"),SUMPRODUCT(($AM$11:$AM2148&lt;&gt;"")*($AS$11:$AS2148="✓")),"")</f>
        <v/>
      </c>
      <c r="BA2148" s="21" t="str">
        <f>IF($AL2148="","",$AL2148&amp;"|"&amp;COUNTIF($AL$11:$AL2148,$AL2148))</f>
        <v/>
      </c>
    </row>
    <row r="2149" spans="38:53" ht="15" customHeight="1" x14ac:dyDescent="0.25">
      <c r="AL2149" s="17"/>
      <c r="AM2149" s="12"/>
      <c r="AN2149" s="18"/>
      <c r="AO2149" s="18"/>
      <c r="AP2149" s="10"/>
      <c r="AQ2149" s="10"/>
      <c r="AR2149" s="19"/>
      <c r="AS2149" s="20"/>
      <c r="AT2149" s="19"/>
      <c r="AV2149" s="21">
        <f>IF(AND($AL2149&lt;&gt;"",COUNTIF($AL$11:$AL2149,$AL2149)=1),1,0)</f>
        <v>0</v>
      </c>
      <c r="AW2149" s="21">
        <f t="shared" si="153"/>
        <v>0</v>
      </c>
      <c r="AX2149" s="21" t="str">
        <f t="shared" si="152"/>
        <v/>
      </c>
      <c r="AY2149" s="21" t="str">
        <f>IF(AND($AM2149&lt;&gt;"",$AS2149&lt;&gt;"✓"),SUMPRODUCT(($AM$11:$AM2149&lt;&gt;"")*($AS$11:$AS2149&lt;&gt;"✓")),"")</f>
        <v/>
      </c>
      <c r="AZ2149" s="21" t="str">
        <f>IF(AND($AM2149&lt;&gt;"",$AS2149="✓"),SUMPRODUCT(($AM$11:$AM2149&lt;&gt;"")*($AS$11:$AS2149="✓")),"")</f>
        <v/>
      </c>
      <c r="BA2149" s="21" t="str">
        <f>IF($AL2149="","",$AL2149&amp;"|"&amp;COUNTIF($AL$11:$AL2149,$AL2149))</f>
        <v/>
      </c>
    </row>
    <row r="2150" spans="38:53" ht="15" customHeight="1" x14ac:dyDescent="0.25">
      <c r="AL2150" s="31"/>
      <c r="AM2150" s="26"/>
      <c r="AN2150" s="32"/>
      <c r="AO2150" s="32"/>
      <c r="AP2150" s="24"/>
      <c r="AQ2150" s="24"/>
      <c r="AR2150" s="33"/>
      <c r="AS2150" s="34"/>
      <c r="AT2150" s="33"/>
      <c r="AV2150" s="21">
        <f>IF(AND($AL2150&lt;&gt;"",COUNTIF($AL$11:$AL2150,$AL2150)=1),1,0)</f>
        <v>0</v>
      </c>
      <c r="AW2150" s="21">
        <f t="shared" si="153"/>
        <v>0</v>
      </c>
      <c r="AX2150" s="21" t="str">
        <f t="shared" si="152"/>
        <v/>
      </c>
      <c r="AY2150" s="21" t="str">
        <f>IF(AND($AM2150&lt;&gt;"",$AS2150&lt;&gt;"✓"),SUMPRODUCT(($AM$11:$AM2150&lt;&gt;"")*($AS$11:$AS2150&lt;&gt;"✓")),"")</f>
        <v/>
      </c>
      <c r="AZ2150" s="21" t="str">
        <f>IF(AND($AM2150&lt;&gt;"",$AS2150="✓"),SUMPRODUCT(($AM$11:$AM2150&lt;&gt;"")*($AS$11:$AS2150="✓")),"")</f>
        <v/>
      </c>
      <c r="BA2150" s="21" t="str">
        <f>IF($AL2150="","",$AL2150&amp;"|"&amp;COUNTIF($AL$11:$AL2150,$AL2150))</f>
        <v/>
      </c>
    </row>
    <row r="2151" spans="38:53" ht="15" customHeight="1" x14ac:dyDescent="0.25">
      <c r="AL2151" s="17"/>
      <c r="AM2151" s="12"/>
      <c r="AN2151" s="18"/>
      <c r="AO2151" s="18"/>
      <c r="AP2151" s="10"/>
      <c r="AQ2151" s="10"/>
      <c r="AR2151" s="19"/>
      <c r="AS2151" s="20"/>
      <c r="AT2151" s="19"/>
      <c r="AV2151" s="21">
        <f>IF(AND($AL2151&lt;&gt;"",COUNTIF($AL$11:$AL2151,$AL2151)=1),1,0)</f>
        <v>0</v>
      </c>
      <c r="AW2151" s="21">
        <f t="shared" si="153"/>
        <v>0</v>
      </c>
      <c r="AX2151" s="21" t="str">
        <f t="shared" si="152"/>
        <v/>
      </c>
      <c r="AY2151" s="21" t="str">
        <f>IF(AND($AM2151&lt;&gt;"",$AS2151&lt;&gt;"✓"),SUMPRODUCT(($AM$11:$AM2151&lt;&gt;"")*($AS$11:$AS2151&lt;&gt;"✓")),"")</f>
        <v/>
      </c>
      <c r="AZ2151" s="21" t="str">
        <f>IF(AND($AM2151&lt;&gt;"",$AS2151="✓"),SUMPRODUCT(($AM$11:$AM2151&lt;&gt;"")*($AS$11:$AS2151="✓")),"")</f>
        <v/>
      </c>
      <c r="BA2151" s="21" t="str">
        <f>IF($AL2151="","",$AL2151&amp;"|"&amp;COUNTIF($AL$11:$AL2151,$AL2151))</f>
        <v/>
      </c>
    </row>
    <row r="2152" spans="38:53" ht="15" customHeight="1" x14ac:dyDescent="0.25">
      <c r="AL2152" s="31"/>
      <c r="AM2152" s="26"/>
      <c r="AN2152" s="32"/>
      <c r="AO2152" s="32"/>
      <c r="AP2152" s="24"/>
      <c r="AQ2152" s="24"/>
      <c r="AR2152" s="33"/>
      <c r="AS2152" s="34"/>
      <c r="AT2152" s="33"/>
      <c r="AV2152" s="21">
        <f>IF(AND($AL2152&lt;&gt;"",COUNTIF($AL$11:$AL2152,$AL2152)=1),1,0)</f>
        <v>0</v>
      </c>
      <c r="AW2152" s="21">
        <f t="shared" si="153"/>
        <v>0</v>
      </c>
      <c r="AX2152" s="21" t="str">
        <f t="shared" si="152"/>
        <v/>
      </c>
      <c r="AY2152" s="21" t="str">
        <f>IF(AND($AM2152&lt;&gt;"",$AS2152&lt;&gt;"✓"),SUMPRODUCT(($AM$11:$AM2152&lt;&gt;"")*($AS$11:$AS2152&lt;&gt;"✓")),"")</f>
        <v/>
      </c>
      <c r="AZ2152" s="21" t="str">
        <f>IF(AND($AM2152&lt;&gt;"",$AS2152="✓"),SUMPRODUCT(($AM$11:$AM2152&lt;&gt;"")*($AS$11:$AS2152="✓")),"")</f>
        <v/>
      </c>
      <c r="BA2152" s="21" t="str">
        <f>IF($AL2152="","",$AL2152&amp;"|"&amp;COUNTIF($AL$11:$AL2152,$AL2152))</f>
        <v/>
      </c>
    </row>
    <row r="2153" spans="38:53" ht="15" customHeight="1" x14ac:dyDescent="0.25">
      <c r="AL2153" s="17"/>
      <c r="AM2153" s="12"/>
      <c r="AN2153" s="18"/>
      <c r="AO2153" s="18"/>
      <c r="AP2153" s="10"/>
      <c r="AQ2153" s="10"/>
      <c r="AR2153" s="19"/>
      <c r="AS2153" s="20"/>
      <c r="AT2153" s="19"/>
      <c r="AV2153" s="21">
        <f>IF(AND($AL2153&lt;&gt;"",COUNTIF($AL$11:$AL2153,$AL2153)=1),1,0)</f>
        <v>0</v>
      </c>
      <c r="AW2153" s="21">
        <f t="shared" si="153"/>
        <v>0</v>
      </c>
      <c r="AX2153" s="21" t="str">
        <f t="shared" si="152"/>
        <v/>
      </c>
      <c r="AY2153" s="21" t="str">
        <f>IF(AND($AM2153&lt;&gt;"",$AS2153&lt;&gt;"✓"),SUMPRODUCT(($AM$11:$AM2153&lt;&gt;"")*($AS$11:$AS2153&lt;&gt;"✓")),"")</f>
        <v/>
      </c>
      <c r="AZ2153" s="21" t="str">
        <f>IF(AND($AM2153&lt;&gt;"",$AS2153="✓"),SUMPRODUCT(($AM$11:$AM2153&lt;&gt;"")*($AS$11:$AS2153="✓")),"")</f>
        <v/>
      </c>
      <c r="BA2153" s="21" t="str">
        <f>IF($AL2153="","",$AL2153&amp;"|"&amp;COUNTIF($AL$11:$AL2153,$AL2153))</f>
        <v/>
      </c>
    </row>
    <row r="2154" spans="38:53" ht="15" customHeight="1" x14ac:dyDescent="0.25">
      <c r="AL2154" s="31"/>
      <c r="AM2154" s="26"/>
      <c r="AN2154" s="32"/>
      <c r="AO2154" s="32"/>
      <c r="AP2154" s="24"/>
      <c r="AQ2154" s="24"/>
      <c r="AR2154" s="33"/>
      <c r="AS2154" s="34"/>
      <c r="AT2154" s="33"/>
      <c r="AV2154" s="21">
        <f>IF(AND($AL2154&lt;&gt;"",COUNTIF($AL$11:$AL2154,$AL2154)=1),1,0)</f>
        <v>0</v>
      </c>
      <c r="AW2154" s="21">
        <f t="shared" si="153"/>
        <v>0</v>
      </c>
      <c r="AX2154" s="21" t="str">
        <f t="shared" si="152"/>
        <v/>
      </c>
      <c r="AY2154" s="21" t="str">
        <f>IF(AND($AM2154&lt;&gt;"",$AS2154&lt;&gt;"✓"),SUMPRODUCT(($AM$11:$AM2154&lt;&gt;"")*($AS$11:$AS2154&lt;&gt;"✓")),"")</f>
        <v/>
      </c>
      <c r="AZ2154" s="21" t="str">
        <f>IF(AND($AM2154&lt;&gt;"",$AS2154="✓"),SUMPRODUCT(($AM$11:$AM2154&lt;&gt;"")*($AS$11:$AS2154="✓")),"")</f>
        <v/>
      </c>
      <c r="BA2154" s="21" t="str">
        <f>IF($AL2154="","",$AL2154&amp;"|"&amp;COUNTIF($AL$11:$AL2154,$AL2154))</f>
        <v/>
      </c>
    </row>
    <row r="2155" spans="38:53" ht="15" customHeight="1" x14ac:dyDescent="0.25">
      <c r="AL2155" s="17"/>
      <c r="AM2155" s="12"/>
      <c r="AN2155" s="18"/>
      <c r="AO2155" s="18"/>
      <c r="AP2155" s="10"/>
      <c r="AQ2155" s="10"/>
      <c r="AR2155" s="19"/>
      <c r="AS2155" s="20"/>
      <c r="AT2155" s="19"/>
      <c r="AV2155" s="21">
        <f>IF(AND($AL2155&lt;&gt;"",COUNTIF($AL$11:$AL2155,$AL2155)=1),1,0)</f>
        <v>0</v>
      </c>
      <c r="AW2155" s="21">
        <f t="shared" si="153"/>
        <v>0</v>
      </c>
      <c r="AX2155" s="21" t="str">
        <f t="shared" si="152"/>
        <v/>
      </c>
      <c r="AY2155" s="21" t="str">
        <f>IF(AND($AM2155&lt;&gt;"",$AS2155&lt;&gt;"✓"),SUMPRODUCT(($AM$11:$AM2155&lt;&gt;"")*($AS$11:$AS2155&lt;&gt;"✓")),"")</f>
        <v/>
      </c>
      <c r="AZ2155" s="21" t="str">
        <f>IF(AND($AM2155&lt;&gt;"",$AS2155="✓"),SUMPRODUCT(($AM$11:$AM2155&lt;&gt;"")*($AS$11:$AS2155="✓")),"")</f>
        <v/>
      </c>
      <c r="BA2155" s="21" t="str">
        <f>IF($AL2155="","",$AL2155&amp;"|"&amp;COUNTIF($AL$11:$AL2155,$AL2155))</f>
        <v/>
      </c>
    </row>
    <row r="2156" spans="38:53" ht="15" customHeight="1" x14ac:dyDescent="0.25">
      <c r="AL2156" s="31"/>
      <c r="AM2156" s="26"/>
      <c r="AN2156" s="32"/>
      <c r="AO2156" s="32"/>
      <c r="AP2156" s="24"/>
      <c r="AQ2156" s="24"/>
      <c r="AR2156" s="33"/>
      <c r="AS2156" s="34"/>
      <c r="AT2156" s="33"/>
      <c r="AV2156" s="21">
        <f>IF(AND($AL2156&lt;&gt;"",COUNTIF($AL$11:$AL2156,$AL2156)=1),1,0)</f>
        <v>0</v>
      </c>
      <c r="AW2156" s="21">
        <f t="shared" si="153"/>
        <v>0</v>
      </c>
      <c r="AX2156" s="21" t="str">
        <f t="shared" si="152"/>
        <v/>
      </c>
      <c r="AY2156" s="21" t="str">
        <f>IF(AND($AM2156&lt;&gt;"",$AS2156&lt;&gt;"✓"),SUMPRODUCT(($AM$11:$AM2156&lt;&gt;"")*($AS$11:$AS2156&lt;&gt;"✓")),"")</f>
        <v/>
      </c>
      <c r="AZ2156" s="21" t="str">
        <f>IF(AND($AM2156&lt;&gt;"",$AS2156="✓"),SUMPRODUCT(($AM$11:$AM2156&lt;&gt;"")*($AS$11:$AS2156="✓")),"")</f>
        <v/>
      </c>
      <c r="BA2156" s="21" t="str">
        <f>IF($AL2156="","",$AL2156&amp;"|"&amp;COUNTIF($AL$11:$AL2156,$AL2156))</f>
        <v/>
      </c>
    </row>
    <row r="2157" spans="38:53" ht="15" customHeight="1" x14ac:dyDescent="0.25">
      <c r="AL2157" s="17"/>
      <c r="AM2157" s="12"/>
      <c r="AN2157" s="18"/>
      <c r="AO2157" s="18"/>
      <c r="AP2157" s="10"/>
      <c r="AQ2157" s="10"/>
      <c r="AR2157" s="19"/>
      <c r="AS2157" s="20"/>
      <c r="AT2157" s="19"/>
      <c r="AV2157" s="21">
        <f>IF(AND($AL2157&lt;&gt;"",COUNTIF($AL$11:$AL2157,$AL2157)=1),1,0)</f>
        <v>0</v>
      </c>
      <c r="AW2157" s="21">
        <f t="shared" si="153"/>
        <v>0</v>
      </c>
      <c r="AX2157" s="21" t="str">
        <f t="shared" si="152"/>
        <v/>
      </c>
      <c r="AY2157" s="21" t="str">
        <f>IF(AND($AM2157&lt;&gt;"",$AS2157&lt;&gt;"✓"),SUMPRODUCT(($AM$11:$AM2157&lt;&gt;"")*($AS$11:$AS2157&lt;&gt;"✓")),"")</f>
        <v/>
      </c>
      <c r="AZ2157" s="21" t="str">
        <f>IF(AND($AM2157&lt;&gt;"",$AS2157="✓"),SUMPRODUCT(($AM$11:$AM2157&lt;&gt;"")*($AS$11:$AS2157="✓")),"")</f>
        <v/>
      </c>
      <c r="BA2157" s="21" t="str">
        <f>IF($AL2157="","",$AL2157&amp;"|"&amp;COUNTIF($AL$11:$AL2157,$AL2157))</f>
        <v/>
      </c>
    </row>
    <row r="2158" spans="38:53" ht="15" customHeight="1" x14ac:dyDescent="0.25">
      <c r="AL2158" s="31"/>
      <c r="AM2158" s="26"/>
      <c r="AN2158" s="32"/>
      <c r="AO2158" s="32"/>
      <c r="AP2158" s="24"/>
      <c r="AQ2158" s="24"/>
      <c r="AR2158" s="33"/>
      <c r="AS2158" s="34"/>
      <c r="AT2158" s="33"/>
      <c r="AV2158" s="21">
        <f>IF(AND($AL2158&lt;&gt;"",COUNTIF($AL$11:$AL2158,$AL2158)=1),1,0)</f>
        <v>0</v>
      </c>
      <c r="AW2158" s="21">
        <f t="shared" si="153"/>
        <v>0</v>
      </c>
      <c r="AX2158" s="21" t="str">
        <f t="shared" si="152"/>
        <v/>
      </c>
      <c r="AY2158" s="21" t="str">
        <f>IF(AND($AM2158&lt;&gt;"",$AS2158&lt;&gt;"✓"),SUMPRODUCT(($AM$11:$AM2158&lt;&gt;"")*($AS$11:$AS2158&lt;&gt;"✓")),"")</f>
        <v/>
      </c>
      <c r="AZ2158" s="21" t="str">
        <f>IF(AND($AM2158&lt;&gt;"",$AS2158="✓"),SUMPRODUCT(($AM$11:$AM2158&lt;&gt;"")*($AS$11:$AS2158="✓")),"")</f>
        <v/>
      </c>
      <c r="BA2158" s="21" t="str">
        <f>IF($AL2158="","",$AL2158&amp;"|"&amp;COUNTIF($AL$11:$AL2158,$AL2158))</f>
        <v/>
      </c>
    </row>
    <row r="2159" spans="38:53" ht="15" customHeight="1" x14ac:dyDescent="0.25">
      <c r="AL2159" s="17"/>
      <c r="AM2159" s="12"/>
      <c r="AN2159" s="18"/>
      <c r="AO2159" s="18"/>
      <c r="AP2159" s="10"/>
      <c r="AQ2159" s="10"/>
      <c r="AR2159" s="19"/>
      <c r="AS2159" s="20"/>
      <c r="AT2159" s="19"/>
      <c r="AV2159" s="21">
        <f>IF(AND($AL2159&lt;&gt;"",COUNTIF($AL$11:$AL2159,$AL2159)=1),1,0)</f>
        <v>0</v>
      </c>
      <c r="AW2159" s="21">
        <f t="shared" si="153"/>
        <v>0</v>
      </c>
      <c r="AX2159" s="21" t="str">
        <f t="shared" si="152"/>
        <v/>
      </c>
      <c r="AY2159" s="21" t="str">
        <f>IF(AND($AM2159&lt;&gt;"",$AS2159&lt;&gt;"✓"),SUMPRODUCT(($AM$11:$AM2159&lt;&gt;"")*($AS$11:$AS2159&lt;&gt;"✓")),"")</f>
        <v/>
      </c>
      <c r="AZ2159" s="21" t="str">
        <f>IF(AND($AM2159&lt;&gt;"",$AS2159="✓"),SUMPRODUCT(($AM$11:$AM2159&lt;&gt;"")*($AS$11:$AS2159="✓")),"")</f>
        <v/>
      </c>
      <c r="BA2159" s="21" t="str">
        <f>IF($AL2159="","",$AL2159&amp;"|"&amp;COUNTIF($AL$11:$AL2159,$AL2159))</f>
        <v/>
      </c>
    </row>
    <row r="2160" spans="38:53" ht="15" customHeight="1" x14ac:dyDescent="0.25">
      <c r="AL2160" s="31"/>
      <c r="AM2160" s="26"/>
      <c r="AN2160" s="32"/>
      <c r="AO2160" s="32"/>
      <c r="AP2160" s="24"/>
      <c r="AQ2160" s="24"/>
      <c r="AR2160" s="33"/>
      <c r="AS2160" s="34"/>
      <c r="AT2160" s="33"/>
      <c r="AV2160" s="21">
        <f>IF(AND($AL2160&lt;&gt;"",COUNTIF($AL$11:$AL2160,$AL2160)=1),1,0)</f>
        <v>0</v>
      </c>
      <c r="AW2160" s="21">
        <f t="shared" si="153"/>
        <v>0</v>
      </c>
      <c r="AX2160" s="21" t="str">
        <f t="shared" si="152"/>
        <v/>
      </c>
      <c r="AY2160" s="21" t="str">
        <f>IF(AND($AM2160&lt;&gt;"",$AS2160&lt;&gt;"✓"),SUMPRODUCT(($AM$11:$AM2160&lt;&gt;"")*($AS$11:$AS2160&lt;&gt;"✓")),"")</f>
        <v/>
      </c>
      <c r="AZ2160" s="21" t="str">
        <f>IF(AND($AM2160&lt;&gt;"",$AS2160="✓"),SUMPRODUCT(($AM$11:$AM2160&lt;&gt;"")*($AS$11:$AS2160="✓")),"")</f>
        <v/>
      </c>
      <c r="BA2160" s="21" t="str">
        <f>IF($AL2160="","",$AL2160&amp;"|"&amp;COUNTIF($AL$11:$AL2160,$AL2160))</f>
        <v/>
      </c>
    </row>
    <row r="2161" spans="38:53" ht="15" customHeight="1" x14ac:dyDescent="0.25">
      <c r="AL2161" s="17"/>
      <c r="AM2161" s="12"/>
      <c r="AN2161" s="18"/>
      <c r="AO2161" s="18"/>
      <c r="AP2161" s="10"/>
      <c r="AQ2161" s="10"/>
      <c r="AR2161" s="19"/>
      <c r="AS2161" s="20"/>
      <c r="AT2161" s="19"/>
      <c r="AV2161" s="21">
        <f>IF(AND($AL2161&lt;&gt;"",COUNTIF($AL$11:$AL2161,$AL2161)=1),1,0)</f>
        <v>0</v>
      </c>
      <c r="AW2161" s="21">
        <f t="shared" si="153"/>
        <v>0</v>
      </c>
      <c r="AX2161" s="21" t="str">
        <f t="shared" si="152"/>
        <v/>
      </c>
      <c r="AY2161" s="21" t="str">
        <f>IF(AND($AM2161&lt;&gt;"",$AS2161&lt;&gt;"✓"),SUMPRODUCT(($AM$11:$AM2161&lt;&gt;"")*($AS$11:$AS2161&lt;&gt;"✓")),"")</f>
        <v/>
      </c>
      <c r="AZ2161" s="21" t="str">
        <f>IF(AND($AM2161&lt;&gt;"",$AS2161="✓"),SUMPRODUCT(($AM$11:$AM2161&lt;&gt;"")*($AS$11:$AS2161="✓")),"")</f>
        <v/>
      </c>
      <c r="BA2161" s="21" t="str">
        <f>IF($AL2161="","",$AL2161&amp;"|"&amp;COUNTIF($AL$11:$AL2161,$AL2161))</f>
        <v/>
      </c>
    </row>
    <row r="2162" spans="38:53" ht="15" customHeight="1" x14ac:dyDescent="0.25">
      <c r="AL2162" s="31"/>
      <c r="AM2162" s="26"/>
      <c r="AN2162" s="32"/>
      <c r="AO2162" s="32"/>
      <c r="AP2162" s="24"/>
      <c r="AQ2162" s="24"/>
      <c r="AR2162" s="33"/>
      <c r="AS2162" s="34"/>
      <c r="AT2162" s="33"/>
      <c r="AV2162" s="21">
        <f>IF(AND($AL2162&lt;&gt;"",COUNTIF($AL$11:$AL2162,$AL2162)=1),1,0)</f>
        <v>0</v>
      </c>
      <c r="AW2162" s="21">
        <f t="shared" si="153"/>
        <v>0</v>
      </c>
      <c r="AX2162" s="21" t="str">
        <f t="shared" si="152"/>
        <v/>
      </c>
      <c r="AY2162" s="21" t="str">
        <f>IF(AND($AM2162&lt;&gt;"",$AS2162&lt;&gt;"✓"),SUMPRODUCT(($AM$11:$AM2162&lt;&gt;"")*($AS$11:$AS2162&lt;&gt;"✓")),"")</f>
        <v/>
      </c>
      <c r="AZ2162" s="21" t="str">
        <f>IF(AND($AM2162&lt;&gt;"",$AS2162="✓"),SUMPRODUCT(($AM$11:$AM2162&lt;&gt;"")*($AS$11:$AS2162="✓")),"")</f>
        <v/>
      </c>
      <c r="BA2162" s="21" t="str">
        <f>IF($AL2162="","",$AL2162&amp;"|"&amp;COUNTIF($AL$11:$AL2162,$AL2162))</f>
        <v/>
      </c>
    </row>
    <row r="2163" spans="38:53" ht="15" customHeight="1" x14ac:dyDescent="0.25">
      <c r="AL2163" s="17"/>
      <c r="AM2163" s="12"/>
      <c r="AN2163" s="18"/>
      <c r="AO2163" s="18"/>
      <c r="AP2163" s="10"/>
      <c r="AQ2163" s="10"/>
      <c r="AR2163" s="19"/>
      <c r="AS2163" s="20"/>
      <c r="AT2163" s="19"/>
      <c r="AV2163" s="21">
        <f>IF(AND($AL2163&lt;&gt;"",COUNTIF($AL$11:$AL2163,$AL2163)=1),1,0)</f>
        <v>0</v>
      </c>
      <c r="AW2163" s="21">
        <f t="shared" si="153"/>
        <v>0</v>
      </c>
      <c r="AX2163" s="21" t="str">
        <f t="shared" si="152"/>
        <v/>
      </c>
      <c r="AY2163" s="21" t="str">
        <f>IF(AND($AM2163&lt;&gt;"",$AS2163&lt;&gt;"✓"),SUMPRODUCT(($AM$11:$AM2163&lt;&gt;"")*($AS$11:$AS2163&lt;&gt;"✓")),"")</f>
        <v/>
      </c>
      <c r="AZ2163" s="21" t="str">
        <f>IF(AND($AM2163&lt;&gt;"",$AS2163="✓"),SUMPRODUCT(($AM$11:$AM2163&lt;&gt;"")*($AS$11:$AS2163="✓")),"")</f>
        <v/>
      </c>
      <c r="BA2163" s="21" t="str">
        <f>IF($AL2163="","",$AL2163&amp;"|"&amp;COUNTIF($AL$11:$AL2163,$AL2163))</f>
        <v/>
      </c>
    </row>
    <row r="2164" spans="38:53" ht="15" customHeight="1" x14ac:dyDescent="0.25">
      <c r="AL2164" s="31"/>
      <c r="AM2164" s="26"/>
      <c r="AN2164" s="32"/>
      <c r="AO2164" s="32"/>
      <c r="AP2164" s="24"/>
      <c r="AQ2164" s="24"/>
      <c r="AR2164" s="33"/>
      <c r="AS2164" s="34"/>
      <c r="AT2164" s="33"/>
      <c r="AV2164" s="21">
        <f>IF(AND($AL2164&lt;&gt;"",COUNTIF($AL$11:$AL2164,$AL2164)=1),1,0)</f>
        <v>0</v>
      </c>
      <c r="AW2164" s="21">
        <f t="shared" si="153"/>
        <v>0</v>
      </c>
      <c r="AX2164" s="21" t="str">
        <f t="shared" si="152"/>
        <v/>
      </c>
      <c r="AY2164" s="21" t="str">
        <f>IF(AND($AM2164&lt;&gt;"",$AS2164&lt;&gt;"✓"),SUMPRODUCT(($AM$11:$AM2164&lt;&gt;"")*($AS$11:$AS2164&lt;&gt;"✓")),"")</f>
        <v/>
      </c>
      <c r="AZ2164" s="21" t="str">
        <f>IF(AND($AM2164&lt;&gt;"",$AS2164="✓"),SUMPRODUCT(($AM$11:$AM2164&lt;&gt;"")*($AS$11:$AS2164="✓")),"")</f>
        <v/>
      </c>
      <c r="BA2164" s="21" t="str">
        <f>IF($AL2164="","",$AL2164&amp;"|"&amp;COUNTIF($AL$11:$AL2164,$AL2164))</f>
        <v/>
      </c>
    </row>
    <row r="2165" spans="38:53" ht="15" customHeight="1" x14ac:dyDescent="0.25">
      <c r="AL2165" s="17"/>
      <c r="AM2165" s="12"/>
      <c r="AN2165" s="18"/>
      <c r="AO2165" s="18"/>
      <c r="AP2165" s="10"/>
      <c r="AQ2165" s="10"/>
      <c r="AR2165" s="19"/>
      <c r="AS2165" s="20"/>
      <c r="AT2165" s="19"/>
      <c r="AV2165" s="21">
        <f>IF(AND($AL2165&lt;&gt;"",COUNTIF($AL$11:$AL2165,$AL2165)=1),1,0)</f>
        <v>0</v>
      </c>
      <c r="AW2165" s="21">
        <f t="shared" si="153"/>
        <v>0</v>
      </c>
      <c r="AX2165" s="21" t="str">
        <f t="shared" si="152"/>
        <v/>
      </c>
      <c r="AY2165" s="21" t="str">
        <f>IF(AND($AM2165&lt;&gt;"",$AS2165&lt;&gt;"✓"),SUMPRODUCT(($AM$11:$AM2165&lt;&gt;"")*($AS$11:$AS2165&lt;&gt;"✓")),"")</f>
        <v/>
      </c>
      <c r="AZ2165" s="21" t="str">
        <f>IF(AND($AM2165&lt;&gt;"",$AS2165="✓"),SUMPRODUCT(($AM$11:$AM2165&lt;&gt;"")*($AS$11:$AS2165="✓")),"")</f>
        <v/>
      </c>
      <c r="BA2165" s="21" t="str">
        <f>IF($AL2165="","",$AL2165&amp;"|"&amp;COUNTIF($AL$11:$AL2165,$AL2165))</f>
        <v/>
      </c>
    </row>
    <row r="2166" spans="38:53" ht="15" customHeight="1" x14ac:dyDescent="0.25">
      <c r="AL2166" s="31"/>
      <c r="AM2166" s="26"/>
      <c r="AN2166" s="32"/>
      <c r="AO2166" s="32"/>
      <c r="AP2166" s="24"/>
      <c r="AQ2166" s="24"/>
      <c r="AR2166" s="33"/>
      <c r="AS2166" s="34"/>
      <c r="AT2166" s="33"/>
      <c r="AV2166" s="21">
        <f>IF(AND($AL2166&lt;&gt;"",COUNTIF($AL$11:$AL2166,$AL2166)=1),1,0)</f>
        <v>0</v>
      </c>
      <c r="AW2166" s="21">
        <f t="shared" si="153"/>
        <v>0</v>
      </c>
      <c r="AX2166" s="21" t="str">
        <f t="shared" si="152"/>
        <v/>
      </c>
      <c r="AY2166" s="21" t="str">
        <f>IF(AND($AM2166&lt;&gt;"",$AS2166&lt;&gt;"✓"),SUMPRODUCT(($AM$11:$AM2166&lt;&gt;"")*($AS$11:$AS2166&lt;&gt;"✓")),"")</f>
        <v/>
      </c>
      <c r="AZ2166" s="21" t="str">
        <f>IF(AND($AM2166&lt;&gt;"",$AS2166="✓"),SUMPRODUCT(($AM$11:$AM2166&lt;&gt;"")*($AS$11:$AS2166="✓")),"")</f>
        <v/>
      </c>
      <c r="BA2166" s="21" t="str">
        <f>IF($AL2166="","",$AL2166&amp;"|"&amp;COUNTIF($AL$11:$AL2166,$AL2166))</f>
        <v/>
      </c>
    </row>
    <row r="2167" spans="38:53" ht="15" customHeight="1" x14ac:dyDescent="0.25">
      <c r="AL2167" s="17"/>
      <c r="AM2167" s="12"/>
      <c r="AN2167" s="18"/>
      <c r="AO2167" s="18"/>
      <c r="AP2167" s="10"/>
      <c r="AQ2167" s="10"/>
      <c r="AR2167" s="19"/>
      <c r="AS2167" s="20"/>
      <c r="AT2167" s="19"/>
      <c r="AV2167" s="21">
        <f>IF(AND($AL2167&lt;&gt;"",COUNTIF($AL$11:$AL2167,$AL2167)=1),1,0)</f>
        <v>0</v>
      </c>
      <c r="AW2167" s="21">
        <f t="shared" si="153"/>
        <v>0</v>
      </c>
      <c r="AX2167" s="21" t="str">
        <f t="shared" si="152"/>
        <v/>
      </c>
      <c r="AY2167" s="21" t="str">
        <f>IF(AND($AM2167&lt;&gt;"",$AS2167&lt;&gt;"✓"),SUMPRODUCT(($AM$11:$AM2167&lt;&gt;"")*($AS$11:$AS2167&lt;&gt;"✓")),"")</f>
        <v/>
      </c>
      <c r="AZ2167" s="21" t="str">
        <f>IF(AND($AM2167&lt;&gt;"",$AS2167="✓"),SUMPRODUCT(($AM$11:$AM2167&lt;&gt;"")*($AS$11:$AS2167="✓")),"")</f>
        <v/>
      </c>
      <c r="BA2167" s="21" t="str">
        <f>IF($AL2167="","",$AL2167&amp;"|"&amp;COUNTIF($AL$11:$AL2167,$AL2167))</f>
        <v/>
      </c>
    </row>
    <row r="2168" spans="38:53" ht="15" customHeight="1" x14ac:dyDescent="0.25">
      <c r="AL2168" s="31"/>
      <c r="AM2168" s="26"/>
      <c r="AN2168" s="32"/>
      <c r="AO2168" s="32"/>
      <c r="AP2168" s="24"/>
      <c r="AQ2168" s="24"/>
      <c r="AR2168" s="33"/>
      <c r="AS2168" s="34"/>
      <c r="AT2168" s="33"/>
      <c r="AV2168" s="21">
        <f>IF(AND($AL2168&lt;&gt;"",COUNTIF($AL$11:$AL2168,$AL2168)=1),1,0)</f>
        <v>0</v>
      </c>
      <c r="AW2168" s="21">
        <f t="shared" si="153"/>
        <v>0</v>
      </c>
      <c r="AX2168" s="21" t="str">
        <f t="shared" si="152"/>
        <v/>
      </c>
      <c r="AY2168" s="21" t="str">
        <f>IF(AND($AM2168&lt;&gt;"",$AS2168&lt;&gt;"✓"),SUMPRODUCT(($AM$11:$AM2168&lt;&gt;"")*($AS$11:$AS2168&lt;&gt;"✓")),"")</f>
        <v/>
      </c>
      <c r="AZ2168" s="21" t="str">
        <f>IF(AND($AM2168&lt;&gt;"",$AS2168="✓"),SUMPRODUCT(($AM$11:$AM2168&lt;&gt;"")*($AS$11:$AS2168="✓")),"")</f>
        <v/>
      </c>
      <c r="BA2168" s="21" t="str">
        <f>IF($AL2168="","",$AL2168&amp;"|"&amp;COUNTIF($AL$11:$AL2168,$AL2168))</f>
        <v/>
      </c>
    </row>
    <row r="2169" spans="38:53" ht="15" customHeight="1" x14ac:dyDescent="0.25">
      <c r="AL2169" s="17"/>
      <c r="AM2169" s="12"/>
      <c r="AN2169" s="18"/>
      <c r="AO2169" s="18"/>
      <c r="AP2169" s="10"/>
      <c r="AQ2169" s="10"/>
      <c r="AR2169" s="19"/>
      <c r="AS2169" s="20"/>
      <c r="AT2169" s="19"/>
      <c r="AV2169" s="21">
        <f>IF(AND($AL2169&lt;&gt;"",COUNTIF($AL$11:$AL2169,$AL2169)=1),1,0)</f>
        <v>0</v>
      </c>
      <c r="AW2169" s="21">
        <f t="shared" si="153"/>
        <v>0</v>
      </c>
      <c r="AX2169" s="21" t="str">
        <f t="shared" si="152"/>
        <v/>
      </c>
      <c r="AY2169" s="21" t="str">
        <f>IF(AND($AM2169&lt;&gt;"",$AS2169&lt;&gt;"✓"),SUMPRODUCT(($AM$11:$AM2169&lt;&gt;"")*($AS$11:$AS2169&lt;&gt;"✓")),"")</f>
        <v/>
      </c>
      <c r="AZ2169" s="21" t="str">
        <f>IF(AND($AM2169&lt;&gt;"",$AS2169="✓"),SUMPRODUCT(($AM$11:$AM2169&lt;&gt;"")*($AS$11:$AS2169="✓")),"")</f>
        <v/>
      </c>
      <c r="BA2169" s="21" t="str">
        <f>IF($AL2169="","",$AL2169&amp;"|"&amp;COUNTIF($AL$11:$AL2169,$AL2169))</f>
        <v/>
      </c>
    </row>
    <row r="2170" spans="38:53" ht="15" customHeight="1" x14ac:dyDescent="0.25">
      <c r="AL2170" s="31"/>
      <c r="AM2170" s="26"/>
      <c r="AN2170" s="32"/>
      <c r="AO2170" s="32"/>
      <c r="AP2170" s="24"/>
      <c r="AQ2170" s="24"/>
      <c r="AR2170" s="33"/>
      <c r="AS2170" s="34"/>
      <c r="AT2170" s="33"/>
      <c r="AV2170" s="21">
        <f>IF(AND($AL2170&lt;&gt;"",COUNTIF($AL$11:$AL2170,$AL2170)=1),1,0)</f>
        <v>0</v>
      </c>
      <c r="AW2170" s="21">
        <f t="shared" si="153"/>
        <v>0</v>
      </c>
      <c r="AX2170" s="21" t="str">
        <f t="shared" si="152"/>
        <v/>
      </c>
      <c r="AY2170" s="21" t="str">
        <f>IF(AND($AM2170&lt;&gt;"",$AS2170&lt;&gt;"✓"),SUMPRODUCT(($AM$11:$AM2170&lt;&gt;"")*($AS$11:$AS2170&lt;&gt;"✓")),"")</f>
        <v/>
      </c>
      <c r="AZ2170" s="21" t="str">
        <f>IF(AND($AM2170&lt;&gt;"",$AS2170="✓"),SUMPRODUCT(($AM$11:$AM2170&lt;&gt;"")*($AS$11:$AS2170="✓")),"")</f>
        <v/>
      </c>
      <c r="BA2170" s="21" t="str">
        <f>IF($AL2170="","",$AL2170&amp;"|"&amp;COUNTIF($AL$11:$AL2170,$AL2170))</f>
        <v/>
      </c>
    </row>
    <row r="2171" spans="38:53" ht="15" customHeight="1" x14ac:dyDescent="0.25">
      <c r="AL2171" s="17"/>
      <c r="AM2171" s="12"/>
      <c r="AN2171" s="18"/>
      <c r="AO2171" s="18"/>
      <c r="AP2171" s="10"/>
      <c r="AQ2171" s="10"/>
      <c r="AR2171" s="19"/>
      <c r="AS2171" s="20"/>
      <c r="AT2171" s="19"/>
      <c r="AV2171" s="21">
        <f>IF(AND($AL2171&lt;&gt;"",COUNTIF($AL$11:$AL2171,$AL2171)=1),1,0)</f>
        <v>0</v>
      </c>
      <c r="AW2171" s="21">
        <f t="shared" si="153"/>
        <v>0</v>
      </c>
      <c r="AX2171" s="21" t="str">
        <f t="shared" si="152"/>
        <v/>
      </c>
      <c r="AY2171" s="21" t="str">
        <f>IF(AND($AM2171&lt;&gt;"",$AS2171&lt;&gt;"✓"),SUMPRODUCT(($AM$11:$AM2171&lt;&gt;"")*($AS$11:$AS2171&lt;&gt;"✓")),"")</f>
        <v/>
      </c>
      <c r="AZ2171" s="21" t="str">
        <f>IF(AND($AM2171&lt;&gt;"",$AS2171="✓"),SUMPRODUCT(($AM$11:$AM2171&lt;&gt;"")*($AS$11:$AS2171="✓")),"")</f>
        <v/>
      </c>
      <c r="BA2171" s="21" t="str">
        <f>IF($AL2171="","",$AL2171&amp;"|"&amp;COUNTIF($AL$11:$AL2171,$AL2171))</f>
        <v/>
      </c>
    </row>
    <row r="2172" spans="38:53" ht="15" customHeight="1" x14ac:dyDescent="0.25">
      <c r="AL2172" s="31"/>
      <c r="AM2172" s="26"/>
      <c r="AN2172" s="32"/>
      <c r="AO2172" s="32"/>
      <c r="AP2172" s="24"/>
      <c r="AQ2172" s="24"/>
      <c r="AR2172" s="33"/>
      <c r="AS2172" s="34"/>
      <c r="AT2172" s="33"/>
      <c r="AV2172" s="21">
        <f>IF(AND($AL2172&lt;&gt;"",COUNTIF($AL$11:$AL2172,$AL2172)=1),1,0)</f>
        <v>0</v>
      </c>
      <c r="AW2172" s="21">
        <f t="shared" si="153"/>
        <v>0</v>
      </c>
      <c r="AX2172" s="21" t="str">
        <f t="shared" si="152"/>
        <v/>
      </c>
      <c r="AY2172" s="21" t="str">
        <f>IF(AND($AM2172&lt;&gt;"",$AS2172&lt;&gt;"✓"),SUMPRODUCT(($AM$11:$AM2172&lt;&gt;"")*($AS$11:$AS2172&lt;&gt;"✓")),"")</f>
        <v/>
      </c>
      <c r="AZ2172" s="21" t="str">
        <f>IF(AND($AM2172&lt;&gt;"",$AS2172="✓"),SUMPRODUCT(($AM$11:$AM2172&lt;&gt;"")*($AS$11:$AS2172="✓")),"")</f>
        <v/>
      </c>
      <c r="BA2172" s="21" t="str">
        <f>IF($AL2172="","",$AL2172&amp;"|"&amp;COUNTIF($AL$11:$AL2172,$AL2172))</f>
        <v/>
      </c>
    </row>
    <row r="2173" spans="38:53" ht="15" customHeight="1" x14ac:dyDescent="0.25">
      <c r="AL2173" s="17"/>
      <c r="AM2173" s="12"/>
      <c r="AN2173" s="18"/>
      <c r="AO2173" s="18"/>
      <c r="AP2173" s="10"/>
      <c r="AQ2173" s="10"/>
      <c r="AR2173" s="19"/>
      <c r="AS2173" s="20"/>
      <c r="AT2173" s="19"/>
      <c r="AV2173" s="21">
        <f>IF(AND($AL2173&lt;&gt;"",COUNTIF($AL$11:$AL2173,$AL2173)=1),1,0)</f>
        <v>0</v>
      </c>
      <c r="AW2173" s="21">
        <f t="shared" si="153"/>
        <v>0</v>
      </c>
      <c r="AX2173" s="21" t="str">
        <f t="shared" si="152"/>
        <v/>
      </c>
      <c r="AY2173" s="21" t="str">
        <f>IF(AND($AM2173&lt;&gt;"",$AS2173&lt;&gt;"✓"),SUMPRODUCT(($AM$11:$AM2173&lt;&gt;"")*($AS$11:$AS2173&lt;&gt;"✓")),"")</f>
        <v/>
      </c>
      <c r="AZ2173" s="21" t="str">
        <f>IF(AND($AM2173&lt;&gt;"",$AS2173="✓"),SUMPRODUCT(($AM$11:$AM2173&lt;&gt;"")*($AS$11:$AS2173="✓")),"")</f>
        <v/>
      </c>
      <c r="BA2173" s="21" t="str">
        <f>IF($AL2173="","",$AL2173&amp;"|"&amp;COUNTIF($AL$11:$AL2173,$AL2173))</f>
        <v/>
      </c>
    </row>
    <row r="2174" spans="38:53" ht="15" customHeight="1" x14ac:dyDescent="0.25">
      <c r="AL2174" s="31"/>
      <c r="AM2174" s="26"/>
      <c r="AN2174" s="32"/>
      <c r="AO2174" s="32"/>
      <c r="AP2174" s="24"/>
      <c r="AQ2174" s="24"/>
      <c r="AR2174" s="33"/>
      <c r="AS2174" s="34"/>
      <c r="AT2174" s="33"/>
      <c r="AV2174" s="21">
        <f>IF(AND($AL2174&lt;&gt;"",COUNTIF($AL$11:$AL2174,$AL2174)=1),1,0)</f>
        <v>0</v>
      </c>
      <c r="AW2174" s="21">
        <f t="shared" si="153"/>
        <v>0</v>
      </c>
      <c r="AX2174" s="21" t="str">
        <f t="shared" si="152"/>
        <v/>
      </c>
      <c r="AY2174" s="21" t="str">
        <f>IF(AND($AM2174&lt;&gt;"",$AS2174&lt;&gt;"✓"),SUMPRODUCT(($AM$11:$AM2174&lt;&gt;"")*($AS$11:$AS2174&lt;&gt;"✓")),"")</f>
        <v/>
      </c>
      <c r="AZ2174" s="21" t="str">
        <f>IF(AND($AM2174&lt;&gt;"",$AS2174="✓"),SUMPRODUCT(($AM$11:$AM2174&lt;&gt;"")*($AS$11:$AS2174="✓")),"")</f>
        <v/>
      </c>
      <c r="BA2174" s="21" t="str">
        <f>IF($AL2174="","",$AL2174&amp;"|"&amp;COUNTIF($AL$11:$AL2174,$AL2174))</f>
        <v/>
      </c>
    </row>
    <row r="2175" spans="38:53" ht="15" customHeight="1" x14ac:dyDescent="0.25">
      <c r="AL2175" s="17"/>
      <c r="AM2175" s="12"/>
      <c r="AN2175" s="18"/>
      <c r="AO2175" s="18"/>
      <c r="AP2175" s="10"/>
      <c r="AQ2175" s="10"/>
      <c r="AR2175" s="19"/>
      <c r="AS2175" s="20"/>
      <c r="AT2175" s="19"/>
      <c r="AV2175" s="21">
        <f>IF(AND($AL2175&lt;&gt;"",COUNTIF($AL$11:$AL2175,$AL2175)=1),1,0)</f>
        <v>0</v>
      </c>
      <c r="AW2175" s="21">
        <f t="shared" si="153"/>
        <v>0</v>
      </c>
      <c r="AX2175" s="21" t="str">
        <f t="shared" si="152"/>
        <v/>
      </c>
      <c r="AY2175" s="21" t="str">
        <f>IF(AND($AM2175&lt;&gt;"",$AS2175&lt;&gt;"✓"),SUMPRODUCT(($AM$11:$AM2175&lt;&gt;"")*($AS$11:$AS2175&lt;&gt;"✓")),"")</f>
        <v/>
      </c>
      <c r="AZ2175" s="21" t="str">
        <f>IF(AND($AM2175&lt;&gt;"",$AS2175="✓"),SUMPRODUCT(($AM$11:$AM2175&lt;&gt;"")*($AS$11:$AS2175="✓")),"")</f>
        <v/>
      </c>
      <c r="BA2175" s="21" t="str">
        <f>IF($AL2175="","",$AL2175&amp;"|"&amp;COUNTIF($AL$11:$AL2175,$AL2175))</f>
        <v/>
      </c>
    </row>
    <row r="2176" spans="38:53" ht="15" customHeight="1" x14ac:dyDescent="0.25">
      <c r="AL2176" s="31"/>
      <c r="AM2176" s="26"/>
      <c r="AN2176" s="32"/>
      <c r="AO2176" s="32"/>
      <c r="AP2176" s="24"/>
      <c r="AQ2176" s="24"/>
      <c r="AR2176" s="33"/>
      <c r="AS2176" s="34"/>
      <c r="AT2176" s="33"/>
      <c r="AV2176" s="21">
        <f>IF(AND($AL2176&lt;&gt;"",COUNTIF($AL$11:$AL2176,$AL2176)=1),1,0)</f>
        <v>0</v>
      </c>
      <c r="AW2176" s="21">
        <f t="shared" si="153"/>
        <v>0</v>
      </c>
      <c r="AX2176" s="21" t="str">
        <f t="shared" si="152"/>
        <v/>
      </c>
      <c r="AY2176" s="21" t="str">
        <f>IF(AND($AM2176&lt;&gt;"",$AS2176&lt;&gt;"✓"),SUMPRODUCT(($AM$11:$AM2176&lt;&gt;"")*($AS$11:$AS2176&lt;&gt;"✓")),"")</f>
        <v/>
      </c>
      <c r="AZ2176" s="21" t="str">
        <f>IF(AND($AM2176&lt;&gt;"",$AS2176="✓"),SUMPRODUCT(($AM$11:$AM2176&lt;&gt;"")*($AS$11:$AS2176="✓")),"")</f>
        <v/>
      </c>
      <c r="BA2176" s="21" t="str">
        <f>IF($AL2176="","",$AL2176&amp;"|"&amp;COUNTIF($AL$11:$AL2176,$AL2176))</f>
        <v/>
      </c>
    </row>
    <row r="2177" spans="38:53" ht="15" customHeight="1" x14ac:dyDescent="0.25">
      <c r="AL2177" s="17"/>
      <c r="AM2177" s="12"/>
      <c r="AN2177" s="18"/>
      <c r="AO2177" s="18"/>
      <c r="AP2177" s="10"/>
      <c r="AQ2177" s="10"/>
      <c r="AR2177" s="19"/>
      <c r="AS2177" s="20"/>
      <c r="AT2177" s="19"/>
      <c r="AV2177" s="21">
        <f>IF(AND($AL2177&lt;&gt;"",COUNTIF($AL$11:$AL2177,$AL2177)=1),1,0)</f>
        <v>0</v>
      </c>
      <c r="AW2177" s="21">
        <f t="shared" si="153"/>
        <v>0</v>
      </c>
      <c r="AX2177" s="21" t="str">
        <f t="shared" si="152"/>
        <v/>
      </c>
      <c r="AY2177" s="21" t="str">
        <f>IF(AND($AM2177&lt;&gt;"",$AS2177&lt;&gt;"✓"),SUMPRODUCT(($AM$11:$AM2177&lt;&gt;"")*($AS$11:$AS2177&lt;&gt;"✓")),"")</f>
        <v/>
      </c>
      <c r="AZ2177" s="21" t="str">
        <f>IF(AND($AM2177&lt;&gt;"",$AS2177="✓"),SUMPRODUCT(($AM$11:$AM2177&lt;&gt;"")*($AS$11:$AS2177="✓")),"")</f>
        <v/>
      </c>
      <c r="BA2177" s="21" t="str">
        <f>IF($AL2177="","",$AL2177&amp;"|"&amp;COUNTIF($AL$11:$AL2177,$AL2177))</f>
        <v/>
      </c>
    </row>
    <row r="2178" spans="38:53" ht="15" customHeight="1" x14ac:dyDescent="0.25">
      <c r="AL2178" s="31"/>
      <c r="AM2178" s="26"/>
      <c r="AN2178" s="32"/>
      <c r="AO2178" s="32"/>
      <c r="AP2178" s="24"/>
      <c r="AQ2178" s="24"/>
      <c r="AR2178" s="33"/>
      <c r="AS2178" s="34"/>
      <c r="AT2178" s="33"/>
      <c r="AV2178" s="21">
        <f>IF(AND($AL2178&lt;&gt;"",COUNTIF($AL$11:$AL2178,$AL2178)=1),1,0)</f>
        <v>0</v>
      </c>
      <c r="AW2178" s="21">
        <f t="shared" si="153"/>
        <v>0</v>
      </c>
      <c r="AX2178" s="21" t="str">
        <f t="shared" si="152"/>
        <v/>
      </c>
      <c r="AY2178" s="21" t="str">
        <f>IF(AND($AM2178&lt;&gt;"",$AS2178&lt;&gt;"✓"),SUMPRODUCT(($AM$11:$AM2178&lt;&gt;"")*($AS$11:$AS2178&lt;&gt;"✓")),"")</f>
        <v/>
      </c>
      <c r="AZ2178" s="21" t="str">
        <f>IF(AND($AM2178&lt;&gt;"",$AS2178="✓"),SUMPRODUCT(($AM$11:$AM2178&lt;&gt;"")*($AS$11:$AS2178="✓")),"")</f>
        <v/>
      </c>
      <c r="BA2178" s="21" t="str">
        <f>IF($AL2178="","",$AL2178&amp;"|"&amp;COUNTIF($AL$11:$AL2178,$AL2178))</f>
        <v/>
      </c>
    </row>
    <row r="2179" spans="38:53" ht="15" customHeight="1" x14ac:dyDescent="0.25">
      <c r="AL2179" s="17"/>
      <c r="AM2179" s="12"/>
      <c r="AN2179" s="18"/>
      <c r="AO2179" s="18"/>
      <c r="AP2179" s="10"/>
      <c r="AQ2179" s="10"/>
      <c r="AR2179" s="19"/>
      <c r="AS2179" s="20"/>
      <c r="AT2179" s="19"/>
      <c r="AV2179" s="21">
        <f>IF(AND($AL2179&lt;&gt;"",COUNTIF($AL$11:$AL2179,$AL2179)=1),1,0)</f>
        <v>0</v>
      </c>
      <c r="AW2179" s="21">
        <f t="shared" si="153"/>
        <v>0</v>
      </c>
      <c r="AX2179" s="21" t="str">
        <f t="shared" si="152"/>
        <v/>
      </c>
      <c r="AY2179" s="21" t="str">
        <f>IF(AND($AM2179&lt;&gt;"",$AS2179&lt;&gt;"✓"),SUMPRODUCT(($AM$11:$AM2179&lt;&gt;"")*($AS$11:$AS2179&lt;&gt;"✓")),"")</f>
        <v/>
      </c>
      <c r="AZ2179" s="21" t="str">
        <f>IF(AND($AM2179&lt;&gt;"",$AS2179="✓"),SUMPRODUCT(($AM$11:$AM2179&lt;&gt;"")*($AS$11:$AS2179="✓")),"")</f>
        <v/>
      </c>
      <c r="BA2179" s="21" t="str">
        <f>IF($AL2179="","",$AL2179&amp;"|"&amp;COUNTIF($AL$11:$AL2179,$AL2179))</f>
        <v/>
      </c>
    </row>
    <row r="2180" spans="38:53" ht="15" customHeight="1" x14ac:dyDescent="0.25">
      <c r="AL2180" s="31"/>
      <c r="AM2180" s="26"/>
      <c r="AN2180" s="32"/>
      <c r="AO2180" s="32"/>
      <c r="AP2180" s="24"/>
      <c r="AQ2180" s="24"/>
      <c r="AR2180" s="33"/>
      <c r="AS2180" s="34"/>
      <c r="AT2180" s="33"/>
      <c r="AV2180" s="21">
        <f>IF(AND($AL2180&lt;&gt;"",COUNTIF($AL$11:$AL2180,$AL2180)=1),1,0)</f>
        <v>0</v>
      </c>
      <c r="AW2180" s="21">
        <f t="shared" si="153"/>
        <v>0</v>
      </c>
      <c r="AX2180" s="21" t="str">
        <f t="shared" si="152"/>
        <v/>
      </c>
      <c r="AY2180" s="21" t="str">
        <f>IF(AND($AM2180&lt;&gt;"",$AS2180&lt;&gt;"✓"),SUMPRODUCT(($AM$11:$AM2180&lt;&gt;"")*($AS$11:$AS2180&lt;&gt;"✓")),"")</f>
        <v/>
      </c>
      <c r="AZ2180" s="21" t="str">
        <f>IF(AND($AM2180&lt;&gt;"",$AS2180="✓"),SUMPRODUCT(($AM$11:$AM2180&lt;&gt;"")*($AS$11:$AS2180="✓")),"")</f>
        <v/>
      </c>
      <c r="BA2180" s="21" t="str">
        <f>IF($AL2180="","",$AL2180&amp;"|"&amp;COUNTIF($AL$11:$AL2180,$AL2180))</f>
        <v/>
      </c>
    </row>
    <row r="2181" spans="38:53" ht="15" customHeight="1" x14ac:dyDescent="0.25">
      <c r="AL2181" s="17"/>
      <c r="AM2181" s="12"/>
      <c r="AN2181" s="18"/>
      <c r="AO2181" s="18"/>
      <c r="AP2181" s="10"/>
      <c r="AQ2181" s="10"/>
      <c r="AR2181" s="19"/>
      <c r="AS2181" s="20"/>
      <c r="AT2181" s="19"/>
      <c r="AV2181" s="21">
        <f>IF(AND($AL2181&lt;&gt;"",COUNTIF($AL$11:$AL2181,$AL2181)=1),1,0)</f>
        <v>0</v>
      </c>
      <c r="AW2181" s="21">
        <f t="shared" si="153"/>
        <v>0</v>
      </c>
      <c r="AX2181" s="21" t="str">
        <f t="shared" si="152"/>
        <v/>
      </c>
      <c r="AY2181" s="21" t="str">
        <f>IF(AND($AM2181&lt;&gt;"",$AS2181&lt;&gt;"✓"),SUMPRODUCT(($AM$11:$AM2181&lt;&gt;"")*($AS$11:$AS2181&lt;&gt;"✓")),"")</f>
        <v/>
      </c>
      <c r="AZ2181" s="21" t="str">
        <f>IF(AND($AM2181&lt;&gt;"",$AS2181="✓"),SUMPRODUCT(($AM$11:$AM2181&lt;&gt;"")*($AS$11:$AS2181="✓")),"")</f>
        <v/>
      </c>
      <c r="BA2181" s="21" t="str">
        <f>IF($AL2181="","",$AL2181&amp;"|"&amp;COUNTIF($AL$11:$AL2181,$AL2181))</f>
        <v/>
      </c>
    </row>
    <row r="2182" spans="38:53" ht="15" customHeight="1" x14ac:dyDescent="0.25">
      <c r="AL2182" s="31"/>
      <c r="AM2182" s="26"/>
      <c r="AN2182" s="32"/>
      <c r="AO2182" s="32"/>
      <c r="AP2182" s="24"/>
      <c r="AQ2182" s="24"/>
      <c r="AR2182" s="33"/>
      <c r="AS2182" s="34"/>
      <c r="AT2182" s="33"/>
      <c r="AV2182" s="21">
        <f>IF(AND($AL2182&lt;&gt;"",COUNTIF($AL$11:$AL2182,$AL2182)=1),1,0)</f>
        <v>0</v>
      </c>
      <c r="AW2182" s="21">
        <f t="shared" si="153"/>
        <v>0</v>
      </c>
      <c r="AX2182" s="21" t="str">
        <f t="shared" si="152"/>
        <v/>
      </c>
      <c r="AY2182" s="21" t="str">
        <f>IF(AND($AM2182&lt;&gt;"",$AS2182&lt;&gt;"✓"),SUMPRODUCT(($AM$11:$AM2182&lt;&gt;"")*($AS$11:$AS2182&lt;&gt;"✓")),"")</f>
        <v/>
      </c>
      <c r="AZ2182" s="21" t="str">
        <f>IF(AND($AM2182&lt;&gt;"",$AS2182="✓"),SUMPRODUCT(($AM$11:$AM2182&lt;&gt;"")*($AS$11:$AS2182="✓")),"")</f>
        <v/>
      </c>
      <c r="BA2182" s="21" t="str">
        <f>IF($AL2182="","",$AL2182&amp;"|"&amp;COUNTIF($AL$11:$AL2182,$AL2182))</f>
        <v/>
      </c>
    </row>
    <row r="2183" spans="38:53" ht="15" customHeight="1" x14ac:dyDescent="0.25">
      <c r="AL2183" s="17"/>
      <c r="AM2183" s="12"/>
      <c r="AN2183" s="18"/>
      <c r="AO2183" s="18"/>
      <c r="AP2183" s="10"/>
      <c r="AQ2183" s="10"/>
      <c r="AR2183" s="19"/>
      <c r="AS2183" s="20"/>
      <c r="AT2183" s="19"/>
      <c r="AV2183" s="21">
        <f>IF(AND($AL2183&lt;&gt;"",COUNTIF($AL$11:$AL2183,$AL2183)=1),1,0)</f>
        <v>0</v>
      </c>
      <c r="AW2183" s="21">
        <f t="shared" si="153"/>
        <v>0</v>
      </c>
      <c r="AX2183" s="21" t="str">
        <f t="shared" si="152"/>
        <v/>
      </c>
      <c r="AY2183" s="21" t="str">
        <f>IF(AND($AM2183&lt;&gt;"",$AS2183&lt;&gt;"✓"),SUMPRODUCT(($AM$11:$AM2183&lt;&gt;"")*($AS$11:$AS2183&lt;&gt;"✓")),"")</f>
        <v/>
      </c>
      <c r="AZ2183" s="21" t="str">
        <f>IF(AND($AM2183&lt;&gt;"",$AS2183="✓"),SUMPRODUCT(($AM$11:$AM2183&lt;&gt;"")*($AS$11:$AS2183="✓")),"")</f>
        <v/>
      </c>
      <c r="BA2183" s="21" t="str">
        <f>IF($AL2183="","",$AL2183&amp;"|"&amp;COUNTIF($AL$11:$AL2183,$AL2183))</f>
        <v/>
      </c>
    </row>
    <row r="2184" spans="38:53" ht="15" customHeight="1" x14ac:dyDescent="0.25">
      <c r="AL2184" s="31"/>
      <c r="AM2184" s="26"/>
      <c r="AN2184" s="32"/>
      <c r="AO2184" s="32"/>
      <c r="AP2184" s="24"/>
      <c r="AQ2184" s="24"/>
      <c r="AR2184" s="33"/>
      <c r="AS2184" s="34"/>
      <c r="AT2184" s="33"/>
      <c r="AV2184" s="21">
        <f>IF(AND($AL2184&lt;&gt;"",COUNTIF($AL$11:$AL2184,$AL2184)=1),1,0)</f>
        <v>0</v>
      </c>
      <c r="AW2184" s="21">
        <f t="shared" si="153"/>
        <v>0</v>
      </c>
      <c r="AX2184" s="21" t="str">
        <f t="shared" si="152"/>
        <v/>
      </c>
      <c r="AY2184" s="21" t="str">
        <f>IF(AND($AM2184&lt;&gt;"",$AS2184&lt;&gt;"✓"),SUMPRODUCT(($AM$11:$AM2184&lt;&gt;"")*($AS$11:$AS2184&lt;&gt;"✓")),"")</f>
        <v/>
      </c>
      <c r="AZ2184" s="21" t="str">
        <f>IF(AND($AM2184&lt;&gt;"",$AS2184="✓"),SUMPRODUCT(($AM$11:$AM2184&lt;&gt;"")*($AS$11:$AS2184="✓")),"")</f>
        <v/>
      </c>
      <c r="BA2184" s="21" t="str">
        <f>IF($AL2184="","",$AL2184&amp;"|"&amp;COUNTIF($AL$11:$AL2184,$AL2184))</f>
        <v/>
      </c>
    </row>
    <row r="2185" spans="38:53" ht="15" customHeight="1" x14ac:dyDescent="0.25">
      <c r="AL2185" s="17"/>
      <c r="AM2185" s="12"/>
      <c r="AN2185" s="18"/>
      <c r="AO2185" s="18"/>
      <c r="AP2185" s="10"/>
      <c r="AQ2185" s="10"/>
      <c r="AR2185" s="19"/>
      <c r="AS2185" s="20"/>
      <c r="AT2185" s="19"/>
      <c r="AV2185" s="21">
        <f>IF(AND($AL2185&lt;&gt;"",COUNTIF($AL$11:$AL2185,$AL2185)=1),1,0)</f>
        <v>0</v>
      </c>
      <c r="AW2185" s="21">
        <f t="shared" si="153"/>
        <v>0</v>
      </c>
      <c r="AX2185" s="21" t="str">
        <f t="shared" si="152"/>
        <v/>
      </c>
      <c r="AY2185" s="21" t="str">
        <f>IF(AND($AM2185&lt;&gt;"",$AS2185&lt;&gt;"✓"),SUMPRODUCT(($AM$11:$AM2185&lt;&gt;"")*($AS$11:$AS2185&lt;&gt;"✓")),"")</f>
        <v/>
      </c>
      <c r="AZ2185" s="21" t="str">
        <f>IF(AND($AM2185&lt;&gt;"",$AS2185="✓"),SUMPRODUCT(($AM$11:$AM2185&lt;&gt;"")*($AS$11:$AS2185="✓")),"")</f>
        <v/>
      </c>
      <c r="BA2185" s="21" t="str">
        <f>IF($AL2185="","",$AL2185&amp;"|"&amp;COUNTIF($AL$11:$AL2185,$AL2185))</f>
        <v/>
      </c>
    </row>
    <row r="2186" spans="38:53" ht="15" customHeight="1" x14ac:dyDescent="0.25">
      <c r="AL2186" s="31"/>
      <c r="AM2186" s="26"/>
      <c r="AN2186" s="32"/>
      <c r="AO2186" s="32"/>
      <c r="AP2186" s="24"/>
      <c r="AQ2186" s="24"/>
      <c r="AR2186" s="33"/>
      <c r="AS2186" s="34"/>
      <c r="AT2186" s="33"/>
      <c r="AV2186" s="21">
        <f>IF(AND($AL2186&lt;&gt;"",COUNTIF($AL$11:$AL2186,$AL2186)=1),1,0)</f>
        <v>0</v>
      </c>
      <c r="AW2186" s="21">
        <f t="shared" si="153"/>
        <v>0</v>
      </c>
      <c r="AX2186" s="21" t="str">
        <f t="shared" si="152"/>
        <v/>
      </c>
      <c r="AY2186" s="21" t="str">
        <f>IF(AND($AM2186&lt;&gt;"",$AS2186&lt;&gt;"✓"),SUMPRODUCT(($AM$11:$AM2186&lt;&gt;"")*($AS$11:$AS2186&lt;&gt;"✓")),"")</f>
        <v/>
      </c>
      <c r="AZ2186" s="21" t="str">
        <f>IF(AND($AM2186&lt;&gt;"",$AS2186="✓"),SUMPRODUCT(($AM$11:$AM2186&lt;&gt;"")*($AS$11:$AS2186="✓")),"")</f>
        <v/>
      </c>
      <c r="BA2186" s="21" t="str">
        <f>IF($AL2186="","",$AL2186&amp;"|"&amp;COUNTIF($AL$11:$AL2186,$AL2186))</f>
        <v/>
      </c>
    </row>
    <row r="2187" spans="38:53" ht="15" customHeight="1" x14ac:dyDescent="0.25">
      <c r="AL2187" s="17"/>
      <c r="AM2187" s="12"/>
      <c r="AN2187" s="18"/>
      <c r="AO2187" s="18"/>
      <c r="AP2187" s="10"/>
      <c r="AQ2187" s="10"/>
      <c r="AR2187" s="19"/>
      <c r="AS2187" s="20"/>
      <c r="AT2187" s="19"/>
      <c r="AV2187" s="21">
        <f>IF(AND($AL2187&lt;&gt;"",COUNTIF($AL$11:$AL2187,$AL2187)=1),1,0)</f>
        <v>0</v>
      </c>
      <c r="AW2187" s="21">
        <f t="shared" si="153"/>
        <v>0</v>
      </c>
      <c r="AX2187" s="21" t="str">
        <f t="shared" ref="AX2187:AX2250" si="154">IF(AV2187=1,AW2187,"")</f>
        <v/>
      </c>
      <c r="AY2187" s="21" t="str">
        <f>IF(AND($AM2187&lt;&gt;"",$AS2187&lt;&gt;"✓"),SUMPRODUCT(($AM$11:$AM2187&lt;&gt;"")*($AS$11:$AS2187&lt;&gt;"✓")),"")</f>
        <v/>
      </c>
      <c r="AZ2187" s="21" t="str">
        <f>IF(AND($AM2187&lt;&gt;"",$AS2187="✓"),SUMPRODUCT(($AM$11:$AM2187&lt;&gt;"")*($AS$11:$AS2187="✓")),"")</f>
        <v/>
      </c>
      <c r="BA2187" s="21" t="str">
        <f>IF($AL2187="","",$AL2187&amp;"|"&amp;COUNTIF($AL$11:$AL2187,$AL2187))</f>
        <v/>
      </c>
    </row>
    <row r="2188" spans="38:53" ht="15" customHeight="1" x14ac:dyDescent="0.25">
      <c r="AL2188" s="31"/>
      <c r="AM2188" s="26"/>
      <c r="AN2188" s="32"/>
      <c r="AO2188" s="32"/>
      <c r="AP2188" s="24"/>
      <c r="AQ2188" s="24"/>
      <c r="AR2188" s="33"/>
      <c r="AS2188" s="34"/>
      <c r="AT2188" s="33"/>
      <c r="AV2188" s="21">
        <f>IF(AND($AL2188&lt;&gt;"",COUNTIF($AL$11:$AL2188,$AL2188)=1),1,0)</f>
        <v>0</v>
      </c>
      <c r="AW2188" s="21">
        <f t="shared" ref="AW2188:AW2251" si="155">AW2187+AV2188</f>
        <v>0</v>
      </c>
      <c r="AX2188" s="21" t="str">
        <f t="shared" si="154"/>
        <v/>
      </c>
      <c r="AY2188" s="21" t="str">
        <f>IF(AND($AM2188&lt;&gt;"",$AS2188&lt;&gt;"✓"),SUMPRODUCT(($AM$11:$AM2188&lt;&gt;"")*($AS$11:$AS2188&lt;&gt;"✓")),"")</f>
        <v/>
      </c>
      <c r="AZ2188" s="21" t="str">
        <f>IF(AND($AM2188&lt;&gt;"",$AS2188="✓"),SUMPRODUCT(($AM$11:$AM2188&lt;&gt;"")*($AS$11:$AS2188="✓")),"")</f>
        <v/>
      </c>
      <c r="BA2188" s="21" t="str">
        <f>IF($AL2188="","",$AL2188&amp;"|"&amp;COUNTIF($AL$11:$AL2188,$AL2188))</f>
        <v/>
      </c>
    </row>
    <row r="2189" spans="38:53" ht="15" customHeight="1" x14ac:dyDescent="0.25">
      <c r="AL2189" s="17"/>
      <c r="AM2189" s="12"/>
      <c r="AN2189" s="18"/>
      <c r="AO2189" s="18"/>
      <c r="AP2189" s="10"/>
      <c r="AQ2189" s="10"/>
      <c r="AR2189" s="19"/>
      <c r="AS2189" s="20"/>
      <c r="AT2189" s="19"/>
      <c r="AV2189" s="21">
        <f>IF(AND($AL2189&lt;&gt;"",COUNTIF($AL$11:$AL2189,$AL2189)=1),1,0)</f>
        <v>0</v>
      </c>
      <c r="AW2189" s="21">
        <f t="shared" si="155"/>
        <v>0</v>
      </c>
      <c r="AX2189" s="21" t="str">
        <f t="shared" si="154"/>
        <v/>
      </c>
      <c r="AY2189" s="21" t="str">
        <f>IF(AND($AM2189&lt;&gt;"",$AS2189&lt;&gt;"✓"),SUMPRODUCT(($AM$11:$AM2189&lt;&gt;"")*($AS$11:$AS2189&lt;&gt;"✓")),"")</f>
        <v/>
      </c>
      <c r="AZ2189" s="21" t="str">
        <f>IF(AND($AM2189&lt;&gt;"",$AS2189="✓"),SUMPRODUCT(($AM$11:$AM2189&lt;&gt;"")*($AS$11:$AS2189="✓")),"")</f>
        <v/>
      </c>
      <c r="BA2189" s="21" t="str">
        <f>IF($AL2189="","",$AL2189&amp;"|"&amp;COUNTIF($AL$11:$AL2189,$AL2189))</f>
        <v/>
      </c>
    </row>
    <row r="2190" spans="38:53" ht="15" customHeight="1" x14ac:dyDescent="0.25">
      <c r="AL2190" s="31"/>
      <c r="AM2190" s="26"/>
      <c r="AN2190" s="32"/>
      <c r="AO2190" s="32"/>
      <c r="AP2190" s="24"/>
      <c r="AQ2190" s="24"/>
      <c r="AR2190" s="33"/>
      <c r="AS2190" s="34"/>
      <c r="AT2190" s="33"/>
      <c r="AV2190" s="21">
        <f>IF(AND($AL2190&lt;&gt;"",COUNTIF($AL$11:$AL2190,$AL2190)=1),1,0)</f>
        <v>0</v>
      </c>
      <c r="AW2190" s="21">
        <f t="shared" si="155"/>
        <v>0</v>
      </c>
      <c r="AX2190" s="21" t="str">
        <f t="shared" si="154"/>
        <v/>
      </c>
      <c r="AY2190" s="21" t="str">
        <f>IF(AND($AM2190&lt;&gt;"",$AS2190&lt;&gt;"✓"),SUMPRODUCT(($AM$11:$AM2190&lt;&gt;"")*($AS$11:$AS2190&lt;&gt;"✓")),"")</f>
        <v/>
      </c>
      <c r="AZ2190" s="21" t="str">
        <f>IF(AND($AM2190&lt;&gt;"",$AS2190="✓"),SUMPRODUCT(($AM$11:$AM2190&lt;&gt;"")*($AS$11:$AS2190="✓")),"")</f>
        <v/>
      </c>
      <c r="BA2190" s="21" t="str">
        <f>IF($AL2190="","",$AL2190&amp;"|"&amp;COUNTIF($AL$11:$AL2190,$AL2190))</f>
        <v/>
      </c>
    </row>
    <row r="2191" spans="38:53" ht="15" customHeight="1" x14ac:dyDescent="0.25">
      <c r="AL2191" s="17"/>
      <c r="AM2191" s="12"/>
      <c r="AN2191" s="18"/>
      <c r="AO2191" s="18"/>
      <c r="AP2191" s="10"/>
      <c r="AQ2191" s="10"/>
      <c r="AR2191" s="19"/>
      <c r="AS2191" s="20"/>
      <c r="AT2191" s="19"/>
      <c r="AV2191" s="21">
        <f>IF(AND($AL2191&lt;&gt;"",COUNTIF($AL$11:$AL2191,$AL2191)=1),1,0)</f>
        <v>0</v>
      </c>
      <c r="AW2191" s="21">
        <f t="shared" si="155"/>
        <v>0</v>
      </c>
      <c r="AX2191" s="21" t="str">
        <f t="shared" si="154"/>
        <v/>
      </c>
      <c r="AY2191" s="21" t="str">
        <f>IF(AND($AM2191&lt;&gt;"",$AS2191&lt;&gt;"✓"),SUMPRODUCT(($AM$11:$AM2191&lt;&gt;"")*($AS$11:$AS2191&lt;&gt;"✓")),"")</f>
        <v/>
      </c>
      <c r="AZ2191" s="21" t="str">
        <f>IF(AND($AM2191&lt;&gt;"",$AS2191="✓"),SUMPRODUCT(($AM$11:$AM2191&lt;&gt;"")*($AS$11:$AS2191="✓")),"")</f>
        <v/>
      </c>
      <c r="BA2191" s="21" t="str">
        <f>IF($AL2191="","",$AL2191&amp;"|"&amp;COUNTIF($AL$11:$AL2191,$AL2191))</f>
        <v/>
      </c>
    </row>
    <row r="2192" spans="38:53" ht="15" customHeight="1" x14ac:dyDescent="0.25">
      <c r="AL2192" s="31"/>
      <c r="AM2192" s="26"/>
      <c r="AN2192" s="32"/>
      <c r="AO2192" s="32"/>
      <c r="AP2192" s="24"/>
      <c r="AQ2192" s="24"/>
      <c r="AR2192" s="33"/>
      <c r="AS2192" s="34"/>
      <c r="AT2192" s="33"/>
      <c r="AV2192" s="21">
        <f>IF(AND($AL2192&lt;&gt;"",COUNTIF($AL$11:$AL2192,$AL2192)=1),1,0)</f>
        <v>0</v>
      </c>
      <c r="AW2192" s="21">
        <f t="shared" si="155"/>
        <v>0</v>
      </c>
      <c r="AX2192" s="21" t="str">
        <f t="shared" si="154"/>
        <v/>
      </c>
      <c r="AY2192" s="21" t="str">
        <f>IF(AND($AM2192&lt;&gt;"",$AS2192&lt;&gt;"✓"),SUMPRODUCT(($AM$11:$AM2192&lt;&gt;"")*($AS$11:$AS2192&lt;&gt;"✓")),"")</f>
        <v/>
      </c>
      <c r="AZ2192" s="21" t="str">
        <f>IF(AND($AM2192&lt;&gt;"",$AS2192="✓"),SUMPRODUCT(($AM$11:$AM2192&lt;&gt;"")*($AS$11:$AS2192="✓")),"")</f>
        <v/>
      </c>
      <c r="BA2192" s="21" t="str">
        <f>IF($AL2192="","",$AL2192&amp;"|"&amp;COUNTIF($AL$11:$AL2192,$AL2192))</f>
        <v/>
      </c>
    </row>
    <row r="2193" spans="38:53" ht="15" customHeight="1" x14ac:dyDescent="0.25">
      <c r="AL2193" s="17"/>
      <c r="AM2193" s="12"/>
      <c r="AN2193" s="18"/>
      <c r="AO2193" s="18"/>
      <c r="AP2193" s="10"/>
      <c r="AQ2193" s="10"/>
      <c r="AR2193" s="19"/>
      <c r="AS2193" s="20"/>
      <c r="AT2193" s="19"/>
      <c r="AV2193" s="21">
        <f>IF(AND($AL2193&lt;&gt;"",COUNTIF($AL$11:$AL2193,$AL2193)=1),1,0)</f>
        <v>0</v>
      </c>
      <c r="AW2193" s="21">
        <f t="shared" si="155"/>
        <v>0</v>
      </c>
      <c r="AX2193" s="21" t="str">
        <f t="shared" si="154"/>
        <v/>
      </c>
      <c r="AY2193" s="21" t="str">
        <f>IF(AND($AM2193&lt;&gt;"",$AS2193&lt;&gt;"✓"),SUMPRODUCT(($AM$11:$AM2193&lt;&gt;"")*($AS$11:$AS2193&lt;&gt;"✓")),"")</f>
        <v/>
      </c>
      <c r="AZ2193" s="21" t="str">
        <f>IF(AND($AM2193&lt;&gt;"",$AS2193="✓"),SUMPRODUCT(($AM$11:$AM2193&lt;&gt;"")*($AS$11:$AS2193="✓")),"")</f>
        <v/>
      </c>
      <c r="BA2193" s="21" t="str">
        <f>IF($AL2193="","",$AL2193&amp;"|"&amp;COUNTIF($AL$11:$AL2193,$AL2193))</f>
        <v/>
      </c>
    </row>
    <row r="2194" spans="38:53" ht="15" customHeight="1" x14ac:dyDescent="0.25">
      <c r="AL2194" s="31"/>
      <c r="AM2194" s="26"/>
      <c r="AN2194" s="32"/>
      <c r="AO2194" s="32"/>
      <c r="AP2194" s="24"/>
      <c r="AQ2194" s="24"/>
      <c r="AR2194" s="33"/>
      <c r="AS2194" s="34"/>
      <c r="AT2194" s="33"/>
      <c r="AV2194" s="21">
        <f>IF(AND($AL2194&lt;&gt;"",COUNTIF($AL$11:$AL2194,$AL2194)=1),1,0)</f>
        <v>0</v>
      </c>
      <c r="AW2194" s="21">
        <f t="shared" si="155"/>
        <v>0</v>
      </c>
      <c r="AX2194" s="21" t="str">
        <f t="shared" si="154"/>
        <v/>
      </c>
      <c r="AY2194" s="21" t="str">
        <f>IF(AND($AM2194&lt;&gt;"",$AS2194&lt;&gt;"✓"),SUMPRODUCT(($AM$11:$AM2194&lt;&gt;"")*($AS$11:$AS2194&lt;&gt;"✓")),"")</f>
        <v/>
      </c>
      <c r="AZ2194" s="21" t="str">
        <f>IF(AND($AM2194&lt;&gt;"",$AS2194="✓"),SUMPRODUCT(($AM$11:$AM2194&lt;&gt;"")*($AS$11:$AS2194="✓")),"")</f>
        <v/>
      </c>
      <c r="BA2194" s="21" t="str">
        <f>IF($AL2194="","",$AL2194&amp;"|"&amp;COUNTIF($AL$11:$AL2194,$AL2194))</f>
        <v/>
      </c>
    </row>
    <row r="2195" spans="38:53" ht="15" customHeight="1" x14ac:dyDescent="0.25">
      <c r="AL2195" s="17"/>
      <c r="AM2195" s="12"/>
      <c r="AN2195" s="18"/>
      <c r="AO2195" s="18"/>
      <c r="AP2195" s="10"/>
      <c r="AQ2195" s="10"/>
      <c r="AR2195" s="19"/>
      <c r="AS2195" s="20"/>
      <c r="AT2195" s="19"/>
      <c r="AV2195" s="21">
        <f>IF(AND($AL2195&lt;&gt;"",COUNTIF($AL$11:$AL2195,$AL2195)=1),1,0)</f>
        <v>0</v>
      </c>
      <c r="AW2195" s="21">
        <f t="shared" si="155"/>
        <v>0</v>
      </c>
      <c r="AX2195" s="21" t="str">
        <f t="shared" si="154"/>
        <v/>
      </c>
      <c r="AY2195" s="21" t="str">
        <f>IF(AND($AM2195&lt;&gt;"",$AS2195&lt;&gt;"✓"),SUMPRODUCT(($AM$11:$AM2195&lt;&gt;"")*($AS$11:$AS2195&lt;&gt;"✓")),"")</f>
        <v/>
      </c>
      <c r="AZ2195" s="21" t="str">
        <f>IF(AND($AM2195&lt;&gt;"",$AS2195="✓"),SUMPRODUCT(($AM$11:$AM2195&lt;&gt;"")*($AS$11:$AS2195="✓")),"")</f>
        <v/>
      </c>
      <c r="BA2195" s="21" t="str">
        <f>IF($AL2195="","",$AL2195&amp;"|"&amp;COUNTIF($AL$11:$AL2195,$AL2195))</f>
        <v/>
      </c>
    </row>
    <row r="2196" spans="38:53" ht="15" customHeight="1" x14ac:dyDescent="0.25">
      <c r="AL2196" s="31"/>
      <c r="AM2196" s="26"/>
      <c r="AN2196" s="32"/>
      <c r="AO2196" s="32"/>
      <c r="AP2196" s="24"/>
      <c r="AQ2196" s="24"/>
      <c r="AR2196" s="33"/>
      <c r="AS2196" s="34"/>
      <c r="AT2196" s="33"/>
      <c r="AV2196" s="21">
        <f>IF(AND($AL2196&lt;&gt;"",COUNTIF($AL$11:$AL2196,$AL2196)=1),1,0)</f>
        <v>0</v>
      </c>
      <c r="AW2196" s="21">
        <f t="shared" si="155"/>
        <v>0</v>
      </c>
      <c r="AX2196" s="21" t="str">
        <f t="shared" si="154"/>
        <v/>
      </c>
      <c r="AY2196" s="21" t="str">
        <f>IF(AND($AM2196&lt;&gt;"",$AS2196&lt;&gt;"✓"),SUMPRODUCT(($AM$11:$AM2196&lt;&gt;"")*($AS$11:$AS2196&lt;&gt;"✓")),"")</f>
        <v/>
      </c>
      <c r="AZ2196" s="21" t="str">
        <f>IF(AND($AM2196&lt;&gt;"",$AS2196="✓"),SUMPRODUCT(($AM$11:$AM2196&lt;&gt;"")*($AS$11:$AS2196="✓")),"")</f>
        <v/>
      </c>
      <c r="BA2196" s="21" t="str">
        <f>IF($AL2196="","",$AL2196&amp;"|"&amp;COUNTIF($AL$11:$AL2196,$AL2196))</f>
        <v/>
      </c>
    </row>
    <row r="2197" spans="38:53" ht="15" customHeight="1" x14ac:dyDescent="0.25">
      <c r="AL2197" s="17"/>
      <c r="AM2197" s="12"/>
      <c r="AN2197" s="18"/>
      <c r="AO2197" s="18"/>
      <c r="AP2197" s="10"/>
      <c r="AQ2197" s="10"/>
      <c r="AR2197" s="19"/>
      <c r="AS2197" s="20"/>
      <c r="AT2197" s="19"/>
      <c r="AV2197" s="21">
        <f>IF(AND($AL2197&lt;&gt;"",COUNTIF($AL$11:$AL2197,$AL2197)=1),1,0)</f>
        <v>0</v>
      </c>
      <c r="AW2197" s="21">
        <f t="shared" si="155"/>
        <v>0</v>
      </c>
      <c r="AX2197" s="21" t="str">
        <f t="shared" si="154"/>
        <v/>
      </c>
      <c r="AY2197" s="21" t="str">
        <f>IF(AND($AM2197&lt;&gt;"",$AS2197&lt;&gt;"✓"),SUMPRODUCT(($AM$11:$AM2197&lt;&gt;"")*($AS$11:$AS2197&lt;&gt;"✓")),"")</f>
        <v/>
      </c>
      <c r="AZ2197" s="21" t="str">
        <f>IF(AND($AM2197&lt;&gt;"",$AS2197="✓"),SUMPRODUCT(($AM$11:$AM2197&lt;&gt;"")*($AS$11:$AS2197="✓")),"")</f>
        <v/>
      </c>
      <c r="BA2197" s="21" t="str">
        <f>IF($AL2197="","",$AL2197&amp;"|"&amp;COUNTIF($AL$11:$AL2197,$AL2197))</f>
        <v/>
      </c>
    </row>
    <row r="2198" spans="38:53" ht="15" customHeight="1" x14ac:dyDescent="0.25">
      <c r="AL2198" s="31"/>
      <c r="AM2198" s="26"/>
      <c r="AN2198" s="32"/>
      <c r="AO2198" s="32"/>
      <c r="AP2198" s="24"/>
      <c r="AQ2198" s="24"/>
      <c r="AR2198" s="33"/>
      <c r="AS2198" s="34"/>
      <c r="AT2198" s="33"/>
      <c r="AV2198" s="21">
        <f>IF(AND($AL2198&lt;&gt;"",COUNTIF($AL$11:$AL2198,$AL2198)=1),1,0)</f>
        <v>0</v>
      </c>
      <c r="AW2198" s="21">
        <f t="shared" si="155"/>
        <v>0</v>
      </c>
      <c r="AX2198" s="21" t="str">
        <f t="shared" si="154"/>
        <v/>
      </c>
      <c r="AY2198" s="21" t="str">
        <f>IF(AND($AM2198&lt;&gt;"",$AS2198&lt;&gt;"✓"),SUMPRODUCT(($AM$11:$AM2198&lt;&gt;"")*($AS$11:$AS2198&lt;&gt;"✓")),"")</f>
        <v/>
      </c>
      <c r="AZ2198" s="21" t="str">
        <f>IF(AND($AM2198&lt;&gt;"",$AS2198="✓"),SUMPRODUCT(($AM$11:$AM2198&lt;&gt;"")*($AS$11:$AS2198="✓")),"")</f>
        <v/>
      </c>
      <c r="BA2198" s="21" t="str">
        <f>IF($AL2198="","",$AL2198&amp;"|"&amp;COUNTIF($AL$11:$AL2198,$AL2198))</f>
        <v/>
      </c>
    </row>
    <row r="2199" spans="38:53" ht="15" customHeight="1" x14ac:dyDescent="0.25">
      <c r="AL2199" s="17"/>
      <c r="AM2199" s="12"/>
      <c r="AN2199" s="18"/>
      <c r="AO2199" s="18"/>
      <c r="AP2199" s="10"/>
      <c r="AQ2199" s="10"/>
      <c r="AR2199" s="19"/>
      <c r="AS2199" s="20"/>
      <c r="AT2199" s="19"/>
      <c r="AV2199" s="21">
        <f>IF(AND($AL2199&lt;&gt;"",COUNTIF($AL$11:$AL2199,$AL2199)=1),1,0)</f>
        <v>0</v>
      </c>
      <c r="AW2199" s="21">
        <f t="shared" si="155"/>
        <v>0</v>
      </c>
      <c r="AX2199" s="21" t="str">
        <f t="shared" si="154"/>
        <v/>
      </c>
      <c r="AY2199" s="21" t="str">
        <f>IF(AND($AM2199&lt;&gt;"",$AS2199&lt;&gt;"✓"),SUMPRODUCT(($AM$11:$AM2199&lt;&gt;"")*($AS$11:$AS2199&lt;&gt;"✓")),"")</f>
        <v/>
      </c>
      <c r="AZ2199" s="21" t="str">
        <f>IF(AND($AM2199&lt;&gt;"",$AS2199="✓"),SUMPRODUCT(($AM$11:$AM2199&lt;&gt;"")*($AS$11:$AS2199="✓")),"")</f>
        <v/>
      </c>
      <c r="BA2199" s="21" t="str">
        <f>IF($AL2199="","",$AL2199&amp;"|"&amp;COUNTIF($AL$11:$AL2199,$AL2199))</f>
        <v/>
      </c>
    </row>
    <row r="2200" spans="38:53" ht="15" customHeight="1" x14ac:dyDescent="0.25">
      <c r="AL2200" s="31"/>
      <c r="AM2200" s="26"/>
      <c r="AN2200" s="32"/>
      <c r="AO2200" s="32"/>
      <c r="AP2200" s="24"/>
      <c r="AQ2200" s="24"/>
      <c r="AR2200" s="33"/>
      <c r="AS2200" s="34"/>
      <c r="AT2200" s="33"/>
      <c r="AV2200" s="21">
        <f>IF(AND($AL2200&lt;&gt;"",COUNTIF($AL$11:$AL2200,$AL2200)=1),1,0)</f>
        <v>0</v>
      </c>
      <c r="AW2200" s="21">
        <f t="shared" si="155"/>
        <v>0</v>
      </c>
      <c r="AX2200" s="21" t="str">
        <f t="shared" si="154"/>
        <v/>
      </c>
      <c r="AY2200" s="21" t="str">
        <f>IF(AND($AM2200&lt;&gt;"",$AS2200&lt;&gt;"✓"),SUMPRODUCT(($AM$11:$AM2200&lt;&gt;"")*($AS$11:$AS2200&lt;&gt;"✓")),"")</f>
        <v/>
      </c>
      <c r="AZ2200" s="21" t="str">
        <f>IF(AND($AM2200&lt;&gt;"",$AS2200="✓"),SUMPRODUCT(($AM$11:$AM2200&lt;&gt;"")*($AS$11:$AS2200="✓")),"")</f>
        <v/>
      </c>
      <c r="BA2200" s="21" t="str">
        <f>IF($AL2200="","",$AL2200&amp;"|"&amp;COUNTIF($AL$11:$AL2200,$AL2200))</f>
        <v/>
      </c>
    </row>
    <row r="2201" spans="38:53" ht="15" customHeight="1" x14ac:dyDescent="0.25">
      <c r="AL2201" s="17"/>
      <c r="AM2201" s="12"/>
      <c r="AN2201" s="18"/>
      <c r="AO2201" s="18"/>
      <c r="AP2201" s="10"/>
      <c r="AQ2201" s="10"/>
      <c r="AR2201" s="19"/>
      <c r="AS2201" s="20"/>
      <c r="AT2201" s="19"/>
      <c r="AV2201" s="21">
        <f>IF(AND($AL2201&lt;&gt;"",COUNTIF($AL$11:$AL2201,$AL2201)=1),1,0)</f>
        <v>0</v>
      </c>
      <c r="AW2201" s="21">
        <f t="shared" si="155"/>
        <v>0</v>
      </c>
      <c r="AX2201" s="21" t="str">
        <f t="shared" si="154"/>
        <v/>
      </c>
      <c r="AY2201" s="21" t="str">
        <f>IF(AND($AM2201&lt;&gt;"",$AS2201&lt;&gt;"✓"),SUMPRODUCT(($AM$11:$AM2201&lt;&gt;"")*($AS$11:$AS2201&lt;&gt;"✓")),"")</f>
        <v/>
      </c>
      <c r="AZ2201" s="21" t="str">
        <f>IF(AND($AM2201&lt;&gt;"",$AS2201="✓"),SUMPRODUCT(($AM$11:$AM2201&lt;&gt;"")*($AS$11:$AS2201="✓")),"")</f>
        <v/>
      </c>
      <c r="BA2201" s="21" t="str">
        <f>IF($AL2201="","",$AL2201&amp;"|"&amp;COUNTIF($AL$11:$AL2201,$AL2201))</f>
        <v/>
      </c>
    </row>
    <row r="2202" spans="38:53" ht="15" customHeight="1" x14ac:dyDescent="0.25">
      <c r="AL2202" s="31"/>
      <c r="AM2202" s="26"/>
      <c r="AN2202" s="32"/>
      <c r="AO2202" s="32"/>
      <c r="AP2202" s="24"/>
      <c r="AQ2202" s="24"/>
      <c r="AR2202" s="33"/>
      <c r="AS2202" s="34"/>
      <c r="AT2202" s="33"/>
      <c r="AV2202" s="21">
        <f>IF(AND($AL2202&lt;&gt;"",COUNTIF($AL$11:$AL2202,$AL2202)=1),1,0)</f>
        <v>0</v>
      </c>
      <c r="AW2202" s="21">
        <f t="shared" si="155"/>
        <v>0</v>
      </c>
      <c r="AX2202" s="21" t="str">
        <f t="shared" si="154"/>
        <v/>
      </c>
      <c r="AY2202" s="21" t="str">
        <f>IF(AND($AM2202&lt;&gt;"",$AS2202&lt;&gt;"✓"),SUMPRODUCT(($AM$11:$AM2202&lt;&gt;"")*($AS$11:$AS2202&lt;&gt;"✓")),"")</f>
        <v/>
      </c>
      <c r="AZ2202" s="21" t="str">
        <f>IF(AND($AM2202&lt;&gt;"",$AS2202="✓"),SUMPRODUCT(($AM$11:$AM2202&lt;&gt;"")*($AS$11:$AS2202="✓")),"")</f>
        <v/>
      </c>
      <c r="BA2202" s="21" t="str">
        <f>IF($AL2202="","",$AL2202&amp;"|"&amp;COUNTIF($AL$11:$AL2202,$AL2202))</f>
        <v/>
      </c>
    </row>
    <row r="2203" spans="38:53" ht="15" customHeight="1" x14ac:dyDescent="0.25">
      <c r="AL2203" s="17"/>
      <c r="AM2203" s="12"/>
      <c r="AN2203" s="18"/>
      <c r="AO2203" s="18"/>
      <c r="AP2203" s="10"/>
      <c r="AQ2203" s="10"/>
      <c r="AR2203" s="19"/>
      <c r="AS2203" s="20"/>
      <c r="AT2203" s="19"/>
      <c r="AV2203" s="21">
        <f>IF(AND($AL2203&lt;&gt;"",COUNTIF($AL$11:$AL2203,$AL2203)=1),1,0)</f>
        <v>0</v>
      </c>
      <c r="AW2203" s="21">
        <f t="shared" si="155"/>
        <v>0</v>
      </c>
      <c r="AX2203" s="21" t="str">
        <f t="shared" si="154"/>
        <v/>
      </c>
      <c r="AY2203" s="21" t="str">
        <f>IF(AND($AM2203&lt;&gt;"",$AS2203&lt;&gt;"✓"),SUMPRODUCT(($AM$11:$AM2203&lt;&gt;"")*($AS$11:$AS2203&lt;&gt;"✓")),"")</f>
        <v/>
      </c>
      <c r="AZ2203" s="21" t="str">
        <f>IF(AND($AM2203&lt;&gt;"",$AS2203="✓"),SUMPRODUCT(($AM$11:$AM2203&lt;&gt;"")*($AS$11:$AS2203="✓")),"")</f>
        <v/>
      </c>
      <c r="BA2203" s="21" t="str">
        <f>IF($AL2203="","",$AL2203&amp;"|"&amp;COUNTIF($AL$11:$AL2203,$AL2203))</f>
        <v/>
      </c>
    </row>
    <row r="2204" spans="38:53" ht="15" customHeight="1" x14ac:dyDescent="0.25">
      <c r="AL2204" s="31"/>
      <c r="AM2204" s="26"/>
      <c r="AN2204" s="32"/>
      <c r="AO2204" s="32"/>
      <c r="AP2204" s="24"/>
      <c r="AQ2204" s="24"/>
      <c r="AR2204" s="33"/>
      <c r="AS2204" s="34"/>
      <c r="AT2204" s="33"/>
      <c r="AV2204" s="21">
        <f>IF(AND($AL2204&lt;&gt;"",COUNTIF($AL$11:$AL2204,$AL2204)=1),1,0)</f>
        <v>0</v>
      </c>
      <c r="AW2204" s="21">
        <f t="shared" si="155"/>
        <v>0</v>
      </c>
      <c r="AX2204" s="21" t="str">
        <f t="shared" si="154"/>
        <v/>
      </c>
      <c r="AY2204" s="21" t="str">
        <f>IF(AND($AM2204&lt;&gt;"",$AS2204&lt;&gt;"✓"),SUMPRODUCT(($AM$11:$AM2204&lt;&gt;"")*($AS$11:$AS2204&lt;&gt;"✓")),"")</f>
        <v/>
      </c>
      <c r="AZ2204" s="21" t="str">
        <f>IF(AND($AM2204&lt;&gt;"",$AS2204="✓"),SUMPRODUCT(($AM$11:$AM2204&lt;&gt;"")*($AS$11:$AS2204="✓")),"")</f>
        <v/>
      </c>
      <c r="BA2204" s="21" t="str">
        <f>IF($AL2204="","",$AL2204&amp;"|"&amp;COUNTIF($AL$11:$AL2204,$AL2204))</f>
        <v/>
      </c>
    </row>
    <row r="2205" spans="38:53" ht="15" customHeight="1" x14ac:dyDescent="0.25">
      <c r="AL2205" s="17"/>
      <c r="AM2205" s="12"/>
      <c r="AN2205" s="18"/>
      <c r="AO2205" s="18"/>
      <c r="AP2205" s="10"/>
      <c r="AQ2205" s="10"/>
      <c r="AR2205" s="19"/>
      <c r="AS2205" s="20"/>
      <c r="AT2205" s="19"/>
      <c r="AV2205" s="21">
        <f>IF(AND($AL2205&lt;&gt;"",COUNTIF($AL$11:$AL2205,$AL2205)=1),1,0)</f>
        <v>0</v>
      </c>
      <c r="AW2205" s="21">
        <f t="shared" si="155"/>
        <v>0</v>
      </c>
      <c r="AX2205" s="21" t="str">
        <f t="shared" si="154"/>
        <v/>
      </c>
      <c r="AY2205" s="21" t="str">
        <f>IF(AND($AM2205&lt;&gt;"",$AS2205&lt;&gt;"✓"),SUMPRODUCT(($AM$11:$AM2205&lt;&gt;"")*($AS$11:$AS2205&lt;&gt;"✓")),"")</f>
        <v/>
      </c>
      <c r="AZ2205" s="21" t="str">
        <f>IF(AND($AM2205&lt;&gt;"",$AS2205="✓"),SUMPRODUCT(($AM$11:$AM2205&lt;&gt;"")*($AS$11:$AS2205="✓")),"")</f>
        <v/>
      </c>
      <c r="BA2205" s="21" t="str">
        <f>IF($AL2205="","",$AL2205&amp;"|"&amp;COUNTIF($AL$11:$AL2205,$AL2205))</f>
        <v/>
      </c>
    </row>
    <row r="2206" spans="38:53" ht="15" customHeight="1" x14ac:dyDescent="0.25">
      <c r="AL2206" s="31"/>
      <c r="AM2206" s="26"/>
      <c r="AN2206" s="32"/>
      <c r="AO2206" s="32"/>
      <c r="AP2206" s="24"/>
      <c r="AQ2206" s="24"/>
      <c r="AR2206" s="33"/>
      <c r="AS2206" s="34"/>
      <c r="AT2206" s="33"/>
      <c r="AV2206" s="21">
        <f>IF(AND($AL2206&lt;&gt;"",COUNTIF($AL$11:$AL2206,$AL2206)=1),1,0)</f>
        <v>0</v>
      </c>
      <c r="AW2206" s="21">
        <f t="shared" si="155"/>
        <v>0</v>
      </c>
      <c r="AX2206" s="21" t="str">
        <f t="shared" si="154"/>
        <v/>
      </c>
      <c r="AY2206" s="21" t="str">
        <f>IF(AND($AM2206&lt;&gt;"",$AS2206&lt;&gt;"✓"),SUMPRODUCT(($AM$11:$AM2206&lt;&gt;"")*($AS$11:$AS2206&lt;&gt;"✓")),"")</f>
        <v/>
      </c>
      <c r="AZ2206" s="21" t="str">
        <f>IF(AND($AM2206&lt;&gt;"",$AS2206="✓"),SUMPRODUCT(($AM$11:$AM2206&lt;&gt;"")*($AS$11:$AS2206="✓")),"")</f>
        <v/>
      </c>
      <c r="BA2206" s="21" t="str">
        <f>IF($AL2206="","",$AL2206&amp;"|"&amp;COUNTIF($AL$11:$AL2206,$AL2206))</f>
        <v/>
      </c>
    </row>
    <row r="2207" spans="38:53" ht="15" customHeight="1" x14ac:dyDescent="0.25">
      <c r="AL2207" s="17"/>
      <c r="AM2207" s="12"/>
      <c r="AN2207" s="18"/>
      <c r="AO2207" s="18"/>
      <c r="AP2207" s="10"/>
      <c r="AQ2207" s="10"/>
      <c r="AR2207" s="19"/>
      <c r="AS2207" s="20"/>
      <c r="AT2207" s="19"/>
      <c r="AV2207" s="21">
        <f>IF(AND($AL2207&lt;&gt;"",COUNTIF($AL$11:$AL2207,$AL2207)=1),1,0)</f>
        <v>0</v>
      </c>
      <c r="AW2207" s="21">
        <f t="shared" si="155"/>
        <v>0</v>
      </c>
      <c r="AX2207" s="21" t="str">
        <f t="shared" si="154"/>
        <v/>
      </c>
      <c r="AY2207" s="21" t="str">
        <f>IF(AND($AM2207&lt;&gt;"",$AS2207&lt;&gt;"✓"),SUMPRODUCT(($AM$11:$AM2207&lt;&gt;"")*($AS$11:$AS2207&lt;&gt;"✓")),"")</f>
        <v/>
      </c>
      <c r="AZ2207" s="21" t="str">
        <f>IF(AND($AM2207&lt;&gt;"",$AS2207="✓"),SUMPRODUCT(($AM$11:$AM2207&lt;&gt;"")*($AS$11:$AS2207="✓")),"")</f>
        <v/>
      </c>
      <c r="BA2207" s="21" t="str">
        <f>IF($AL2207="","",$AL2207&amp;"|"&amp;COUNTIF($AL$11:$AL2207,$AL2207))</f>
        <v/>
      </c>
    </row>
    <row r="2208" spans="38:53" ht="15" customHeight="1" x14ac:dyDescent="0.25">
      <c r="AL2208" s="31"/>
      <c r="AM2208" s="26"/>
      <c r="AN2208" s="32"/>
      <c r="AO2208" s="32"/>
      <c r="AP2208" s="24"/>
      <c r="AQ2208" s="24"/>
      <c r="AR2208" s="33"/>
      <c r="AS2208" s="34"/>
      <c r="AT2208" s="33"/>
      <c r="AV2208" s="21">
        <f>IF(AND($AL2208&lt;&gt;"",COUNTIF($AL$11:$AL2208,$AL2208)=1),1,0)</f>
        <v>0</v>
      </c>
      <c r="AW2208" s="21">
        <f t="shared" si="155"/>
        <v>0</v>
      </c>
      <c r="AX2208" s="21" t="str">
        <f t="shared" si="154"/>
        <v/>
      </c>
      <c r="AY2208" s="21" t="str">
        <f>IF(AND($AM2208&lt;&gt;"",$AS2208&lt;&gt;"✓"),SUMPRODUCT(($AM$11:$AM2208&lt;&gt;"")*($AS$11:$AS2208&lt;&gt;"✓")),"")</f>
        <v/>
      </c>
      <c r="AZ2208" s="21" t="str">
        <f>IF(AND($AM2208&lt;&gt;"",$AS2208="✓"),SUMPRODUCT(($AM$11:$AM2208&lt;&gt;"")*($AS$11:$AS2208="✓")),"")</f>
        <v/>
      </c>
      <c r="BA2208" s="21" t="str">
        <f>IF($AL2208="","",$AL2208&amp;"|"&amp;COUNTIF($AL$11:$AL2208,$AL2208))</f>
        <v/>
      </c>
    </row>
    <row r="2209" spans="38:53" ht="15" customHeight="1" x14ac:dyDescent="0.25">
      <c r="AL2209" s="17"/>
      <c r="AM2209" s="12"/>
      <c r="AN2209" s="18"/>
      <c r="AO2209" s="18"/>
      <c r="AP2209" s="10"/>
      <c r="AQ2209" s="10"/>
      <c r="AR2209" s="19"/>
      <c r="AS2209" s="20"/>
      <c r="AT2209" s="19"/>
      <c r="AV2209" s="21">
        <f>IF(AND($AL2209&lt;&gt;"",COUNTIF($AL$11:$AL2209,$AL2209)=1),1,0)</f>
        <v>0</v>
      </c>
      <c r="AW2209" s="21">
        <f t="shared" si="155"/>
        <v>0</v>
      </c>
      <c r="AX2209" s="21" t="str">
        <f t="shared" si="154"/>
        <v/>
      </c>
      <c r="AY2209" s="21" t="str">
        <f>IF(AND($AM2209&lt;&gt;"",$AS2209&lt;&gt;"✓"),SUMPRODUCT(($AM$11:$AM2209&lt;&gt;"")*($AS$11:$AS2209&lt;&gt;"✓")),"")</f>
        <v/>
      </c>
      <c r="AZ2209" s="21" t="str">
        <f>IF(AND($AM2209&lt;&gt;"",$AS2209="✓"),SUMPRODUCT(($AM$11:$AM2209&lt;&gt;"")*($AS$11:$AS2209="✓")),"")</f>
        <v/>
      </c>
      <c r="BA2209" s="21" t="str">
        <f>IF($AL2209="","",$AL2209&amp;"|"&amp;COUNTIF($AL$11:$AL2209,$AL2209))</f>
        <v/>
      </c>
    </row>
    <row r="2210" spans="38:53" ht="15" customHeight="1" x14ac:dyDescent="0.25">
      <c r="AL2210" s="31"/>
      <c r="AM2210" s="26"/>
      <c r="AN2210" s="32"/>
      <c r="AO2210" s="32"/>
      <c r="AP2210" s="24"/>
      <c r="AQ2210" s="24"/>
      <c r="AR2210" s="33"/>
      <c r="AS2210" s="34"/>
      <c r="AT2210" s="33"/>
      <c r="AV2210" s="21">
        <f>IF(AND($AL2210&lt;&gt;"",COUNTIF($AL$11:$AL2210,$AL2210)=1),1,0)</f>
        <v>0</v>
      </c>
      <c r="AW2210" s="21">
        <f t="shared" si="155"/>
        <v>0</v>
      </c>
      <c r="AX2210" s="21" t="str">
        <f t="shared" si="154"/>
        <v/>
      </c>
      <c r="AY2210" s="21" t="str">
        <f>IF(AND($AM2210&lt;&gt;"",$AS2210&lt;&gt;"✓"),SUMPRODUCT(($AM$11:$AM2210&lt;&gt;"")*($AS$11:$AS2210&lt;&gt;"✓")),"")</f>
        <v/>
      </c>
      <c r="AZ2210" s="21" t="str">
        <f>IF(AND($AM2210&lt;&gt;"",$AS2210="✓"),SUMPRODUCT(($AM$11:$AM2210&lt;&gt;"")*($AS$11:$AS2210="✓")),"")</f>
        <v/>
      </c>
      <c r="BA2210" s="21" t="str">
        <f>IF($AL2210="","",$AL2210&amp;"|"&amp;COUNTIF($AL$11:$AL2210,$AL2210))</f>
        <v/>
      </c>
    </row>
    <row r="2211" spans="38:53" ht="15" customHeight="1" x14ac:dyDescent="0.25">
      <c r="AL2211" s="17"/>
      <c r="AM2211" s="12"/>
      <c r="AN2211" s="18"/>
      <c r="AO2211" s="18"/>
      <c r="AP2211" s="10"/>
      <c r="AQ2211" s="10"/>
      <c r="AR2211" s="19"/>
      <c r="AS2211" s="20"/>
      <c r="AT2211" s="19"/>
      <c r="AV2211" s="21">
        <f>IF(AND($AL2211&lt;&gt;"",COUNTIF($AL$11:$AL2211,$AL2211)=1),1,0)</f>
        <v>0</v>
      </c>
      <c r="AW2211" s="21">
        <f t="shared" si="155"/>
        <v>0</v>
      </c>
      <c r="AX2211" s="21" t="str">
        <f t="shared" si="154"/>
        <v/>
      </c>
      <c r="AY2211" s="21" t="str">
        <f>IF(AND($AM2211&lt;&gt;"",$AS2211&lt;&gt;"✓"),SUMPRODUCT(($AM$11:$AM2211&lt;&gt;"")*($AS$11:$AS2211&lt;&gt;"✓")),"")</f>
        <v/>
      </c>
      <c r="AZ2211" s="21" t="str">
        <f>IF(AND($AM2211&lt;&gt;"",$AS2211="✓"),SUMPRODUCT(($AM$11:$AM2211&lt;&gt;"")*($AS$11:$AS2211="✓")),"")</f>
        <v/>
      </c>
      <c r="BA2211" s="21" t="str">
        <f>IF($AL2211="","",$AL2211&amp;"|"&amp;COUNTIF($AL$11:$AL2211,$AL2211))</f>
        <v/>
      </c>
    </row>
    <row r="2212" spans="38:53" ht="15" customHeight="1" x14ac:dyDescent="0.25">
      <c r="AL2212" s="31"/>
      <c r="AM2212" s="26"/>
      <c r="AN2212" s="32"/>
      <c r="AO2212" s="32"/>
      <c r="AP2212" s="24"/>
      <c r="AQ2212" s="24"/>
      <c r="AR2212" s="33"/>
      <c r="AS2212" s="34"/>
      <c r="AT2212" s="33"/>
      <c r="AV2212" s="21">
        <f>IF(AND($AL2212&lt;&gt;"",COUNTIF($AL$11:$AL2212,$AL2212)=1),1,0)</f>
        <v>0</v>
      </c>
      <c r="AW2212" s="21">
        <f t="shared" si="155"/>
        <v>0</v>
      </c>
      <c r="AX2212" s="21" t="str">
        <f t="shared" si="154"/>
        <v/>
      </c>
      <c r="AY2212" s="21" t="str">
        <f>IF(AND($AM2212&lt;&gt;"",$AS2212&lt;&gt;"✓"),SUMPRODUCT(($AM$11:$AM2212&lt;&gt;"")*($AS$11:$AS2212&lt;&gt;"✓")),"")</f>
        <v/>
      </c>
      <c r="AZ2212" s="21" t="str">
        <f>IF(AND($AM2212&lt;&gt;"",$AS2212="✓"),SUMPRODUCT(($AM$11:$AM2212&lt;&gt;"")*($AS$11:$AS2212="✓")),"")</f>
        <v/>
      </c>
      <c r="BA2212" s="21" t="str">
        <f>IF($AL2212="","",$AL2212&amp;"|"&amp;COUNTIF($AL$11:$AL2212,$AL2212))</f>
        <v/>
      </c>
    </row>
    <row r="2213" spans="38:53" ht="15" customHeight="1" x14ac:dyDescent="0.25">
      <c r="AL2213" s="17"/>
      <c r="AM2213" s="12"/>
      <c r="AN2213" s="18"/>
      <c r="AO2213" s="18"/>
      <c r="AP2213" s="10"/>
      <c r="AQ2213" s="10"/>
      <c r="AR2213" s="19"/>
      <c r="AS2213" s="20"/>
      <c r="AT2213" s="19"/>
      <c r="AV2213" s="21">
        <f>IF(AND($AL2213&lt;&gt;"",COUNTIF($AL$11:$AL2213,$AL2213)=1),1,0)</f>
        <v>0</v>
      </c>
      <c r="AW2213" s="21">
        <f t="shared" si="155"/>
        <v>0</v>
      </c>
      <c r="AX2213" s="21" t="str">
        <f t="shared" si="154"/>
        <v/>
      </c>
      <c r="AY2213" s="21" t="str">
        <f>IF(AND($AM2213&lt;&gt;"",$AS2213&lt;&gt;"✓"),SUMPRODUCT(($AM$11:$AM2213&lt;&gt;"")*($AS$11:$AS2213&lt;&gt;"✓")),"")</f>
        <v/>
      </c>
      <c r="AZ2213" s="21" t="str">
        <f>IF(AND($AM2213&lt;&gt;"",$AS2213="✓"),SUMPRODUCT(($AM$11:$AM2213&lt;&gt;"")*($AS$11:$AS2213="✓")),"")</f>
        <v/>
      </c>
      <c r="BA2213" s="21" t="str">
        <f>IF($AL2213="","",$AL2213&amp;"|"&amp;COUNTIF($AL$11:$AL2213,$AL2213))</f>
        <v/>
      </c>
    </row>
    <row r="2214" spans="38:53" ht="15" customHeight="1" x14ac:dyDescent="0.25">
      <c r="AL2214" s="31"/>
      <c r="AM2214" s="26"/>
      <c r="AN2214" s="32"/>
      <c r="AO2214" s="32"/>
      <c r="AP2214" s="24"/>
      <c r="AQ2214" s="24"/>
      <c r="AR2214" s="33"/>
      <c r="AS2214" s="34"/>
      <c r="AT2214" s="33"/>
      <c r="AV2214" s="21">
        <f>IF(AND($AL2214&lt;&gt;"",COUNTIF($AL$11:$AL2214,$AL2214)=1),1,0)</f>
        <v>0</v>
      </c>
      <c r="AW2214" s="21">
        <f t="shared" si="155"/>
        <v>0</v>
      </c>
      <c r="AX2214" s="21" t="str">
        <f t="shared" si="154"/>
        <v/>
      </c>
      <c r="AY2214" s="21" t="str">
        <f>IF(AND($AM2214&lt;&gt;"",$AS2214&lt;&gt;"✓"),SUMPRODUCT(($AM$11:$AM2214&lt;&gt;"")*($AS$11:$AS2214&lt;&gt;"✓")),"")</f>
        <v/>
      </c>
      <c r="AZ2214" s="21" t="str">
        <f>IF(AND($AM2214&lt;&gt;"",$AS2214="✓"),SUMPRODUCT(($AM$11:$AM2214&lt;&gt;"")*($AS$11:$AS2214="✓")),"")</f>
        <v/>
      </c>
      <c r="BA2214" s="21" t="str">
        <f>IF($AL2214="","",$AL2214&amp;"|"&amp;COUNTIF($AL$11:$AL2214,$AL2214))</f>
        <v/>
      </c>
    </row>
    <row r="2215" spans="38:53" ht="15" customHeight="1" x14ac:dyDescent="0.25">
      <c r="AL2215" s="17"/>
      <c r="AM2215" s="12"/>
      <c r="AN2215" s="18"/>
      <c r="AO2215" s="18"/>
      <c r="AP2215" s="10"/>
      <c r="AQ2215" s="10"/>
      <c r="AR2215" s="19"/>
      <c r="AS2215" s="20"/>
      <c r="AT2215" s="19"/>
      <c r="AV2215" s="21">
        <f>IF(AND($AL2215&lt;&gt;"",COUNTIF($AL$11:$AL2215,$AL2215)=1),1,0)</f>
        <v>0</v>
      </c>
      <c r="AW2215" s="21">
        <f t="shared" si="155"/>
        <v>0</v>
      </c>
      <c r="AX2215" s="21" t="str">
        <f t="shared" si="154"/>
        <v/>
      </c>
      <c r="AY2215" s="21" t="str">
        <f>IF(AND($AM2215&lt;&gt;"",$AS2215&lt;&gt;"✓"),SUMPRODUCT(($AM$11:$AM2215&lt;&gt;"")*($AS$11:$AS2215&lt;&gt;"✓")),"")</f>
        <v/>
      </c>
      <c r="AZ2215" s="21" t="str">
        <f>IF(AND($AM2215&lt;&gt;"",$AS2215="✓"),SUMPRODUCT(($AM$11:$AM2215&lt;&gt;"")*($AS$11:$AS2215="✓")),"")</f>
        <v/>
      </c>
      <c r="BA2215" s="21" t="str">
        <f>IF($AL2215="","",$AL2215&amp;"|"&amp;COUNTIF($AL$11:$AL2215,$AL2215))</f>
        <v/>
      </c>
    </row>
    <row r="2216" spans="38:53" ht="15" customHeight="1" x14ac:dyDescent="0.25">
      <c r="AL2216" s="31"/>
      <c r="AM2216" s="26"/>
      <c r="AN2216" s="32"/>
      <c r="AO2216" s="32"/>
      <c r="AP2216" s="24"/>
      <c r="AQ2216" s="24"/>
      <c r="AR2216" s="33"/>
      <c r="AS2216" s="34"/>
      <c r="AT2216" s="33"/>
      <c r="AV2216" s="21">
        <f>IF(AND($AL2216&lt;&gt;"",COUNTIF($AL$11:$AL2216,$AL2216)=1),1,0)</f>
        <v>0</v>
      </c>
      <c r="AW2216" s="21">
        <f t="shared" si="155"/>
        <v>0</v>
      </c>
      <c r="AX2216" s="21" t="str">
        <f t="shared" si="154"/>
        <v/>
      </c>
      <c r="AY2216" s="21" t="str">
        <f>IF(AND($AM2216&lt;&gt;"",$AS2216&lt;&gt;"✓"),SUMPRODUCT(($AM$11:$AM2216&lt;&gt;"")*($AS$11:$AS2216&lt;&gt;"✓")),"")</f>
        <v/>
      </c>
      <c r="AZ2216" s="21" t="str">
        <f>IF(AND($AM2216&lt;&gt;"",$AS2216="✓"),SUMPRODUCT(($AM$11:$AM2216&lt;&gt;"")*($AS$11:$AS2216="✓")),"")</f>
        <v/>
      </c>
      <c r="BA2216" s="21" t="str">
        <f>IF($AL2216="","",$AL2216&amp;"|"&amp;COUNTIF($AL$11:$AL2216,$AL2216))</f>
        <v/>
      </c>
    </row>
    <row r="2217" spans="38:53" ht="15" customHeight="1" x14ac:dyDescent="0.25">
      <c r="AL2217" s="17"/>
      <c r="AM2217" s="12"/>
      <c r="AN2217" s="18"/>
      <c r="AO2217" s="18"/>
      <c r="AP2217" s="10"/>
      <c r="AQ2217" s="10"/>
      <c r="AR2217" s="19"/>
      <c r="AS2217" s="20"/>
      <c r="AT2217" s="19"/>
      <c r="AV2217" s="21">
        <f>IF(AND($AL2217&lt;&gt;"",COUNTIF($AL$11:$AL2217,$AL2217)=1),1,0)</f>
        <v>0</v>
      </c>
      <c r="AW2217" s="21">
        <f t="shared" si="155"/>
        <v>0</v>
      </c>
      <c r="AX2217" s="21" t="str">
        <f t="shared" si="154"/>
        <v/>
      </c>
      <c r="AY2217" s="21" t="str">
        <f>IF(AND($AM2217&lt;&gt;"",$AS2217&lt;&gt;"✓"),SUMPRODUCT(($AM$11:$AM2217&lt;&gt;"")*($AS$11:$AS2217&lt;&gt;"✓")),"")</f>
        <v/>
      </c>
      <c r="AZ2217" s="21" t="str">
        <f>IF(AND($AM2217&lt;&gt;"",$AS2217="✓"),SUMPRODUCT(($AM$11:$AM2217&lt;&gt;"")*($AS$11:$AS2217="✓")),"")</f>
        <v/>
      </c>
      <c r="BA2217" s="21" t="str">
        <f>IF($AL2217="","",$AL2217&amp;"|"&amp;COUNTIF($AL$11:$AL2217,$AL2217))</f>
        <v/>
      </c>
    </row>
    <row r="2218" spans="38:53" ht="15" customHeight="1" x14ac:dyDescent="0.25">
      <c r="AL2218" s="31"/>
      <c r="AM2218" s="26"/>
      <c r="AN2218" s="32"/>
      <c r="AO2218" s="32"/>
      <c r="AP2218" s="24"/>
      <c r="AQ2218" s="24"/>
      <c r="AR2218" s="33"/>
      <c r="AS2218" s="34"/>
      <c r="AT2218" s="33"/>
      <c r="AV2218" s="21">
        <f>IF(AND($AL2218&lt;&gt;"",COUNTIF($AL$11:$AL2218,$AL2218)=1),1,0)</f>
        <v>0</v>
      </c>
      <c r="AW2218" s="21">
        <f t="shared" si="155"/>
        <v>0</v>
      </c>
      <c r="AX2218" s="21" t="str">
        <f t="shared" si="154"/>
        <v/>
      </c>
      <c r="AY2218" s="21" t="str">
        <f>IF(AND($AM2218&lt;&gt;"",$AS2218&lt;&gt;"✓"),SUMPRODUCT(($AM$11:$AM2218&lt;&gt;"")*($AS$11:$AS2218&lt;&gt;"✓")),"")</f>
        <v/>
      </c>
      <c r="AZ2218" s="21" t="str">
        <f>IF(AND($AM2218&lt;&gt;"",$AS2218="✓"),SUMPRODUCT(($AM$11:$AM2218&lt;&gt;"")*($AS$11:$AS2218="✓")),"")</f>
        <v/>
      </c>
      <c r="BA2218" s="21" t="str">
        <f>IF($AL2218="","",$AL2218&amp;"|"&amp;COUNTIF($AL$11:$AL2218,$AL2218))</f>
        <v/>
      </c>
    </row>
    <row r="2219" spans="38:53" ht="15" customHeight="1" x14ac:dyDescent="0.25">
      <c r="AL2219" s="17"/>
      <c r="AM2219" s="12"/>
      <c r="AN2219" s="18"/>
      <c r="AO2219" s="18"/>
      <c r="AP2219" s="10"/>
      <c r="AQ2219" s="10"/>
      <c r="AR2219" s="19"/>
      <c r="AS2219" s="20"/>
      <c r="AT2219" s="19"/>
      <c r="AV2219" s="21">
        <f>IF(AND($AL2219&lt;&gt;"",COUNTIF($AL$11:$AL2219,$AL2219)=1),1,0)</f>
        <v>0</v>
      </c>
      <c r="AW2219" s="21">
        <f t="shared" si="155"/>
        <v>0</v>
      </c>
      <c r="AX2219" s="21" t="str">
        <f t="shared" si="154"/>
        <v/>
      </c>
      <c r="AY2219" s="21" t="str">
        <f>IF(AND($AM2219&lt;&gt;"",$AS2219&lt;&gt;"✓"),SUMPRODUCT(($AM$11:$AM2219&lt;&gt;"")*($AS$11:$AS2219&lt;&gt;"✓")),"")</f>
        <v/>
      </c>
      <c r="AZ2219" s="21" t="str">
        <f>IF(AND($AM2219&lt;&gt;"",$AS2219="✓"),SUMPRODUCT(($AM$11:$AM2219&lt;&gt;"")*($AS$11:$AS2219="✓")),"")</f>
        <v/>
      </c>
      <c r="BA2219" s="21" t="str">
        <f>IF($AL2219="","",$AL2219&amp;"|"&amp;COUNTIF($AL$11:$AL2219,$AL2219))</f>
        <v/>
      </c>
    </row>
    <row r="2220" spans="38:53" ht="15" customHeight="1" x14ac:dyDescent="0.25">
      <c r="AL2220" s="31"/>
      <c r="AM2220" s="26"/>
      <c r="AN2220" s="32"/>
      <c r="AO2220" s="32"/>
      <c r="AP2220" s="24"/>
      <c r="AQ2220" s="24"/>
      <c r="AR2220" s="33"/>
      <c r="AS2220" s="34"/>
      <c r="AT2220" s="33"/>
      <c r="AV2220" s="21">
        <f>IF(AND($AL2220&lt;&gt;"",COUNTIF($AL$11:$AL2220,$AL2220)=1),1,0)</f>
        <v>0</v>
      </c>
      <c r="AW2220" s="21">
        <f t="shared" si="155"/>
        <v>0</v>
      </c>
      <c r="AX2220" s="21" t="str">
        <f t="shared" si="154"/>
        <v/>
      </c>
      <c r="AY2220" s="21" t="str">
        <f>IF(AND($AM2220&lt;&gt;"",$AS2220&lt;&gt;"✓"),SUMPRODUCT(($AM$11:$AM2220&lt;&gt;"")*($AS$11:$AS2220&lt;&gt;"✓")),"")</f>
        <v/>
      </c>
      <c r="AZ2220" s="21" t="str">
        <f>IF(AND($AM2220&lt;&gt;"",$AS2220="✓"),SUMPRODUCT(($AM$11:$AM2220&lt;&gt;"")*($AS$11:$AS2220="✓")),"")</f>
        <v/>
      </c>
      <c r="BA2220" s="21" t="str">
        <f>IF($AL2220="","",$AL2220&amp;"|"&amp;COUNTIF($AL$11:$AL2220,$AL2220))</f>
        <v/>
      </c>
    </row>
    <row r="2221" spans="38:53" ht="15" customHeight="1" x14ac:dyDescent="0.25">
      <c r="AL2221" s="17"/>
      <c r="AM2221" s="12"/>
      <c r="AN2221" s="18"/>
      <c r="AO2221" s="18"/>
      <c r="AP2221" s="10"/>
      <c r="AQ2221" s="10"/>
      <c r="AR2221" s="19"/>
      <c r="AS2221" s="20"/>
      <c r="AT2221" s="19"/>
      <c r="AV2221" s="21">
        <f>IF(AND($AL2221&lt;&gt;"",COUNTIF($AL$11:$AL2221,$AL2221)=1),1,0)</f>
        <v>0</v>
      </c>
      <c r="AW2221" s="21">
        <f t="shared" si="155"/>
        <v>0</v>
      </c>
      <c r="AX2221" s="21" t="str">
        <f t="shared" si="154"/>
        <v/>
      </c>
      <c r="AY2221" s="21" t="str">
        <f>IF(AND($AM2221&lt;&gt;"",$AS2221&lt;&gt;"✓"),SUMPRODUCT(($AM$11:$AM2221&lt;&gt;"")*($AS$11:$AS2221&lt;&gt;"✓")),"")</f>
        <v/>
      </c>
      <c r="AZ2221" s="21" t="str">
        <f>IF(AND($AM2221&lt;&gt;"",$AS2221="✓"),SUMPRODUCT(($AM$11:$AM2221&lt;&gt;"")*($AS$11:$AS2221="✓")),"")</f>
        <v/>
      </c>
      <c r="BA2221" s="21" t="str">
        <f>IF($AL2221="","",$AL2221&amp;"|"&amp;COUNTIF($AL$11:$AL2221,$AL2221))</f>
        <v/>
      </c>
    </row>
    <row r="2222" spans="38:53" ht="15" customHeight="1" x14ac:dyDescent="0.25">
      <c r="AL2222" s="31"/>
      <c r="AM2222" s="26"/>
      <c r="AN2222" s="32"/>
      <c r="AO2222" s="32"/>
      <c r="AP2222" s="24"/>
      <c r="AQ2222" s="24"/>
      <c r="AR2222" s="33"/>
      <c r="AS2222" s="34"/>
      <c r="AT2222" s="33"/>
      <c r="AV2222" s="21">
        <f>IF(AND($AL2222&lt;&gt;"",COUNTIF($AL$11:$AL2222,$AL2222)=1),1,0)</f>
        <v>0</v>
      </c>
      <c r="AW2222" s="21">
        <f t="shared" si="155"/>
        <v>0</v>
      </c>
      <c r="AX2222" s="21" t="str">
        <f t="shared" si="154"/>
        <v/>
      </c>
      <c r="AY2222" s="21" t="str">
        <f>IF(AND($AM2222&lt;&gt;"",$AS2222&lt;&gt;"✓"),SUMPRODUCT(($AM$11:$AM2222&lt;&gt;"")*($AS$11:$AS2222&lt;&gt;"✓")),"")</f>
        <v/>
      </c>
      <c r="AZ2222" s="21" t="str">
        <f>IF(AND($AM2222&lt;&gt;"",$AS2222="✓"),SUMPRODUCT(($AM$11:$AM2222&lt;&gt;"")*($AS$11:$AS2222="✓")),"")</f>
        <v/>
      </c>
      <c r="BA2222" s="21" t="str">
        <f>IF($AL2222="","",$AL2222&amp;"|"&amp;COUNTIF($AL$11:$AL2222,$AL2222))</f>
        <v/>
      </c>
    </row>
    <row r="2223" spans="38:53" ht="15" customHeight="1" x14ac:dyDescent="0.25">
      <c r="AL2223" s="17"/>
      <c r="AM2223" s="12"/>
      <c r="AN2223" s="18"/>
      <c r="AO2223" s="18"/>
      <c r="AP2223" s="10"/>
      <c r="AQ2223" s="10"/>
      <c r="AR2223" s="19"/>
      <c r="AS2223" s="20"/>
      <c r="AT2223" s="19"/>
      <c r="AV2223" s="21">
        <f>IF(AND($AL2223&lt;&gt;"",COUNTIF($AL$11:$AL2223,$AL2223)=1),1,0)</f>
        <v>0</v>
      </c>
      <c r="AW2223" s="21">
        <f t="shared" si="155"/>
        <v>0</v>
      </c>
      <c r="AX2223" s="21" t="str">
        <f t="shared" si="154"/>
        <v/>
      </c>
      <c r="AY2223" s="21" t="str">
        <f>IF(AND($AM2223&lt;&gt;"",$AS2223&lt;&gt;"✓"),SUMPRODUCT(($AM$11:$AM2223&lt;&gt;"")*($AS$11:$AS2223&lt;&gt;"✓")),"")</f>
        <v/>
      </c>
      <c r="AZ2223" s="21" t="str">
        <f>IF(AND($AM2223&lt;&gt;"",$AS2223="✓"),SUMPRODUCT(($AM$11:$AM2223&lt;&gt;"")*($AS$11:$AS2223="✓")),"")</f>
        <v/>
      </c>
      <c r="BA2223" s="21" t="str">
        <f>IF($AL2223="","",$AL2223&amp;"|"&amp;COUNTIF($AL$11:$AL2223,$AL2223))</f>
        <v/>
      </c>
    </row>
    <row r="2224" spans="38:53" ht="15" customHeight="1" x14ac:dyDescent="0.25">
      <c r="AL2224" s="31"/>
      <c r="AM2224" s="26"/>
      <c r="AN2224" s="32"/>
      <c r="AO2224" s="32"/>
      <c r="AP2224" s="24"/>
      <c r="AQ2224" s="24"/>
      <c r="AR2224" s="33"/>
      <c r="AS2224" s="34"/>
      <c r="AT2224" s="33"/>
      <c r="AV2224" s="21">
        <f>IF(AND($AL2224&lt;&gt;"",COUNTIF($AL$11:$AL2224,$AL2224)=1),1,0)</f>
        <v>0</v>
      </c>
      <c r="AW2224" s="21">
        <f t="shared" si="155"/>
        <v>0</v>
      </c>
      <c r="AX2224" s="21" t="str">
        <f t="shared" si="154"/>
        <v/>
      </c>
      <c r="AY2224" s="21" t="str">
        <f>IF(AND($AM2224&lt;&gt;"",$AS2224&lt;&gt;"✓"),SUMPRODUCT(($AM$11:$AM2224&lt;&gt;"")*($AS$11:$AS2224&lt;&gt;"✓")),"")</f>
        <v/>
      </c>
      <c r="AZ2224" s="21" t="str">
        <f>IF(AND($AM2224&lt;&gt;"",$AS2224="✓"),SUMPRODUCT(($AM$11:$AM2224&lt;&gt;"")*($AS$11:$AS2224="✓")),"")</f>
        <v/>
      </c>
      <c r="BA2224" s="21" t="str">
        <f>IF($AL2224="","",$AL2224&amp;"|"&amp;COUNTIF($AL$11:$AL2224,$AL2224))</f>
        <v/>
      </c>
    </row>
    <row r="2225" spans="38:53" ht="15" customHeight="1" x14ac:dyDescent="0.25">
      <c r="AL2225" s="17"/>
      <c r="AM2225" s="12"/>
      <c r="AN2225" s="18"/>
      <c r="AO2225" s="18"/>
      <c r="AP2225" s="10"/>
      <c r="AQ2225" s="10"/>
      <c r="AR2225" s="19"/>
      <c r="AS2225" s="20"/>
      <c r="AT2225" s="19"/>
      <c r="AV2225" s="21">
        <f>IF(AND($AL2225&lt;&gt;"",COUNTIF($AL$11:$AL2225,$AL2225)=1),1,0)</f>
        <v>0</v>
      </c>
      <c r="AW2225" s="21">
        <f t="shared" si="155"/>
        <v>0</v>
      </c>
      <c r="AX2225" s="21" t="str">
        <f t="shared" si="154"/>
        <v/>
      </c>
      <c r="AY2225" s="21" t="str">
        <f>IF(AND($AM2225&lt;&gt;"",$AS2225&lt;&gt;"✓"),SUMPRODUCT(($AM$11:$AM2225&lt;&gt;"")*($AS$11:$AS2225&lt;&gt;"✓")),"")</f>
        <v/>
      </c>
      <c r="AZ2225" s="21" t="str">
        <f>IF(AND($AM2225&lt;&gt;"",$AS2225="✓"),SUMPRODUCT(($AM$11:$AM2225&lt;&gt;"")*($AS$11:$AS2225="✓")),"")</f>
        <v/>
      </c>
      <c r="BA2225" s="21" t="str">
        <f>IF($AL2225="","",$AL2225&amp;"|"&amp;COUNTIF($AL$11:$AL2225,$AL2225))</f>
        <v/>
      </c>
    </row>
    <row r="2226" spans="38:53" ht="15" customHeight="1" x14ac:dyDescent="0.25">
      <c r="AL2226" s="31"/>
      <c r="AM2226" s="26"/>
      <c r="AN2226" s="32"/>
      <c r="AO2226" s="32"/>
      <c r="AP2226" s="24"/>
      <c r="AQ2226" s="24"/>
      <c r="AR2226" s="33"/>
      <c r="AS2226" s="34"/>
      <c r="AT2226" s="33"/>
      <c r="AV2226" s="21">
        <f>IF(AND($AL2226&lt;&gt;"",COUNTIF($AL$11:$AL2226,$AL2226)=1),1,0)</f>
        <v>0</v>
      </c>
      <c r="AW2226" s="21">
        <f t="shared" si="155"/>
        <v>0</v>
      </c>
      <c r="AX2226" s="21" t="str">
        <f t="shared" si="154"/>
        <v/>
      </c>
      <c r="AY2226" s="21" t="str">
        <f>IF(AND($AM2226&lt;&gt;"",$AS2226&lt;&gt;"✓"),SUMPRODUCT(($AM$11:$AM2226&lt;&gt;"")*($AS$11:$AS2226&lt;&gt;"✓")),"")</f>
        <v/>
      </c>
      <c r="AZ2226" s="21" t="str">
        <f>IF(AND($AM2226&lt;&gt;"",$AS2226="✓"),SUMPRODUCT(($AM$11:$AM2226&lt;&gt;"")*($AS$11:$AS2226="✓")),"")</f>
        <v/>
      </c>
      <c r="BA2226" s="21" t="str">
        <f>IF($AL2226="","",$AL2226&amp;"|"&amp;COUNTIF($AL$11:$AL2226,$AL2226))</f>
        <v/>
      </c>
    </row>
    <row r="2227" spans="38:53" ht="15" customHeight="1" x14ac:dyDescent="0.25">
      <c r="AL2227" s="17"/>
      <c r="AM2227" s="12"/>
      <c r="AN2227" s="18"/>
      <c r="AO2227" s="18"/>
      <c r="AP2227" s="10"/>
      <c r="AQ2227" s="10"/>
      <c r="AR2227" s="19"/>
      <c r="AS2227" s="20"/>
      <c r="AT2227" s="19"/>
      <c r="AV2227" s="21">
        <f>IF(AND($AL2227&lt;&gt;"",COUNTIF($AL$11:$AL2227,$AL2227)=1),1,0)</f>
        <v>0</v>
      </c>
      <c r="AW2227" s="21">
        <f t="shared" si="155"/>
        <v>0</v>
      </c>
      <c r="AX2227" s="21" t="str">
        <f t="shared" si="154"/>
        <v/>
      </c>
      <c r="AY2227" s="21" t="str">
        <f>IF(AND($AM2227&lt;&gt;"",$AS2227&lt;&gt;"✓"),SUMPRODUCT(($AM$11:$AM2227&lt;&gt;"")*($AS$11:$AS2227&lt;&gt;"✓")),"")</f>
        <v/>
      </c>
      <c r="AZ2227" s="21" t="str">
        <f>IF(AND($AM2227&lt;&gt;"",$AS2227="✓"),SUMPRODUCT(($AM$11:$AM2227&lt;&gt;"")*($AS$11:$AS2227="✓")),"")</f>
        <v/>
      </c>
      <c r="BA2227" s="21" t="str">
        <f>IF($AL2227="","",$AL2227&amp;"|"&amp;COUNTIF($AL$11:$AL2227,$AL2227))</f>
        <v/>
      </c>
    </row>
    <row r="2228" spans="38:53" ht="15" customHeight="1" x14ac:dyDescent="0.25">
      <c r="AL2228" s="31"/>
      <c r="AM2228" s="26"/>
      <c r="AN2228" s="32"/>
      <c r="AO2228" s="32"/>
      <c r="AP2228" s="24"/>
      <c r="AQ2228" s="24"/>
      <c r="AR2228" s="33"/>
      <c r="AS2228" s="34"/>
      <c r="AT2228" s="33"/>
      <c r="AV2228" s="21">
        <f>IF(AND($AL2228&lt;&gt;"",COUNTIF($AL$11:$AL2228,$AL2228)=1),1,0)</f>
        <v>0</v>
      </c>
      <c r="AW2228" s="21">
        <f t="shared" si="155"/>
        <v>0</v>
      </c>
      <c r="AX2228" s="21" t="str">
        <f t="shared" si="154"/>
        <v/>
      </c>
      <c r="AY2228" s="21" t="str">
        <f>IF(AND($AM2228&lt;&gt;"",$AS2228&lt;&gt;"✓"),SUMPRODUCT(($AM$11:$AM2228&lt;&gt;"")*($AS$11:$AS2228&lt;&gt;"✓")),"")</f>
        <v/>
      </c>
      <c r="AZ2228" s="21" t="str">
        <f>IF(AND($AM2228&lt;&gt;"",$AS2228="✓"),SUMPRODUCT(($AM$11:$AM2228&lt;&gt;"")*($AS$11:$AS2228="✓")),"")</f>
        <v/>
      </c>
      <c r="BA2228" s="21" t="str">
        <f>IF($AL2228="","",$AL2228&amp;"|"&amp;COUNTIF($AL$11:$AL2228,$AL2228))</f>
        <v/>
      </c>
    </row>
    <row r="2229" spans="38:53" ht="15" customHeight="1" x14ac:dyDescent="0.25">
      <c r="AL2229" s="17"/>
      <c r="AM2229" s="12"/>
      <c r="AN2229" s="18"/>
      <c r="AO2229" s="18"/>
      <c r="AP2229" s="10"/>
      <c r="AQ2229" s="10"/>
      <c r="AR2229" s="19"/>
      <c r="AS2229" s="20"/>
      <c r="AT2229" s="19"/>
      <c r="AV2229" s="21">
        <f>IF(AND($AL2229&lt;&gt;"",COUNTIF($AL$11:$AL2229,$AL2229)=1),1,0)</f>
        <v>0</v>
      </c>
      <c r="AW2229" s="21">
        <f t="shared" si="155"/>
        <v>0</v>
      </c>
      <c r="AX2229" s="21" t="str">
        <f t="shared" si="154"/>
        <v/>
      </c>
      <c r="AY2229" s="21" t="str">
        <f>IF(AND($AM2229&lt;&gt;"",$AS2229&lt;&gt;"✓"),SUMPRODUCT(($AM$11:$AM2229&lt;&gt;"")*($AS$11:$AS2229&lt;&gt;"✓")),"")</f>
        <v/>
      </c>
      <c r="AZ2229" s="21" t="str">
        <f>IF(AND($AM2229&lt;&gt;"",$AS2229="✓"),SUMPRODUCT(($AM$11:$AM2229&lt;&gt;"")*($AS$11:$AS2229="✓")),"")</f>
        <v/>
      </c>
      <c r="BA2229" s="21" t="str">
        <f>IF($AL2229="","",$AL2229&amp;"|"&amp;COUNTIF($AL$11:$AL2229,$AL2229))</f>
        <v/>
      </c>
    </row>
    <row r="2230" spans="38:53" ht="15" customHeight="1" x14ac:dyDescent="0.25">
      <c r="AL2230" s="31"/>
      <c r="AM2230" s="26"/>
      <c r="AN2230" s="32"/>
      <c r="AO2230" s="32"/>
      <c r="AP2230" s="24"/>
      <c r="AQ2230" s="24"/>
      <c r="AR2230" s="33"/>
      <c r="AS2230" s="34"/>
      <c r="AT2230" s="33"/>
      <c r="AV2230" s="21">
        <f>IF(AND($AL2230&lt;&gt;"",COUNTIF($AL$11:$AL2230,$AL2230)=1),1,0)</f>
        <v>0</v>
      </c>
      <c r="AW2230" s="21">
        <f t="shared" si="155"/>
        <v>0</v>
      </c>
      <c r="AX2230" s="21" t="str">
        <f t="shared" si="154"/>
        <v/>
      </c>
      <c r="AY2230" s="21" t="str">
        <f>IF(AND($AM2230&lt;&gt;"",$AS2230&lt;&gt;"✓"),SUMPRODUCT(($AM$11:$AM2230&lt;&gt;"")*($AS$11:$AS2230&lt;&gt;"✓")),"")</f>
        <v/>
      </c>
      <c r="AZ2230" s="21" t="str">
        <f>IF(AND($AM2230&lt;&gt;"",$AS2230="✓"),SUMPRODUCT(($AM$11:$AM2230&lt;&gt;"")*($AS$11:$AS2230="✓")),"")</f>
        <v/>
      </c>
      <c r="BA2230" s="21" t="str">
        <f>IF($AL2230="","",$AL2230&amp;"|"&amp;COUNTIF($AL$11:$AL2230,$AL2230))</f>
        <v/>
      </c>
    </row>
    <row r="2231" spans="38:53" ht="15" customHeight="1" x14ac:dyDescent="0.25">
      <c r="AL2231" s="17"/>
      <c r="AM2231" s="12"/>
      <c r="AN2231" s="18"/>
      <c r="AO2231" s="18"/>
      <c r="AP2231" s="10"/>
      <c r="AQ2231" s="10"/>
      <c r="AR2231" s="19"/>
      <c r="AS2231" s="20"/>
      <c r="AT2231" s="19"/>
      <c r="AV2231" s="21">
        <f>IF(AND($AL2231&lt;&gt;"",COUNTIF($AL$11:$AL2231,$AL2231)=1),1,0)</f>
        <v>0</v>
      </c>
      <c r="AW2231" s="21">
        <f t="shared" si="155"/>
        <v>0</v>
      </c>
      <c r="AX2231" s="21" t="str">
        <f t="shared" si="154"/>
        <v/>
      </c>
      <c r="AY2231" s="21" t="str">
        <f>IF(AND($AM2231&lt;&gt;"",$AS2231&lt;&gt;"✓"),SUMPRODUCT(($AM$11:$AM2231&lt;&gt;"")*($AS$11:$AS2231&lt;&gt;"✓")),"")</f>
        <v/>
      </c>
      <c r="AZ2231" s="21" t="str">
        <f>IF(AND($AM2231&lt;&gt;"",$AS2231="✓"),SUMPRODUCT(($AM$11:$AM2231&lt;&gt;"")*($AS$11:$AS2231="✓")),"")</f>
        <v/>
      </c>
      <c r="BA2231" s="21" t="str">
        <f>IF($AL2231="","",$AL2231&amp;"|"&amp;COUNTIF($AL$11:$AL2231,$AL2231))</f>
        <v/>
      </c>
    </row>
    <row r="2232" spans="38:53" ht="15" customHeight="1" x14ac:dyDescent="0.25">
      <c r="AL2232" s="31"/>
      <c r="AM2232" s="26"/>
      <c r="AN2232" s="32"/>
      <c r="AO2232" s="32"/>
      <c r="AP2232" s="24"/>
      <c r="AQ2232" s="24"/>
      <c r="AR2232" s="33"/>
      <c r="AS2232" s="34"/>
      <c r="AT2232" s="33"/>
      <c r="AV2232" s="21">
        <f>IF(AND($AL2232&lt;&gt;"",COUNTIF($AL$11:$AL2232,$AL2232)=1),1,0)</f>
        <v>0</v>
      </c>
      <c r="AW2232" s="21">
        <f t="shared" si="155"/>
        <v>0</v>
      </c>
      <c r="AX2232" s="21" t="str">
        <f t="shared" si="154"/>
        <v/>
      </c>
      <c r="AY2232" s="21" t="str">
        <f>IF(AND($AM2232&lt;&gt;"",$AS2232&lt;&gt;"✓"),SUMPRODUCT(($AM$11:$AM2232&lt;&gt;"")*($AS$11:$AS2232&lt;&gt;"✓")),"")</f>
        <v/>
      </c>
      <c r="AZ2232" s="21" t="str">
        <f>IF(AND($AM2232&lt;&gt;"",$AS2232="✓"),SUMPRODUCT(($AM$11:$AM2232&lt;&gt;"")*($AS$11:$AS2232="✓")),"")</f>
        <v/>
      </c>
      <c r="BA2232" s="21" t="str">
        <f>IF($AL2232="","",$AL2232&amp;"|"&amp;COUNTIF($AL$11:$AL2232,$AL2232))</f>
        <v/>
      </c>
    </row>
    <row r="2233" spans="38:53" ht="15" customHeight="1" x14ac:dyDescent="0.25">
      <c r="AL2233" s="17"/>
      <c r="AM2233" s="12"/>
      <c r="AN2233" s="18"/>
      <c r="AO2233" s="18"/>
      <c r="AP2233" s="10"/>
      <c r="AQ2233" s="10"/>
      <c r="AR2233" s="19"/>
      <c r="AS2233" s="20"/>
      <c r="AT2233" s="19"/>
      <c r="AV2233" s="21">
        <f>IF(AND($AL2233&lt;&gt;"",COUNTIF($AL$11:$AL2233,$AL2233)=1),1,0)</f>
        <v>0</v>
      </c>
      <c r="AW2233" s="21">
        <f t="shared" si="155"/>
        <v>0</v>
      </c>
      <c r="AX2233" s="21" t="str">
        <f t="shared" si="154"/>
        <v/>
      </c>
      <c r="AY2233" s="21" t="str">
        <f>IF(AND($AM2233&lt;&gt;"",$AS2233&lt;&gt;"✓"),SUMPRODUCT(($AM$11:$AM2233&lt;&gt;"")*($AS$11:$AS2233&lt;&gt;"✓")),"")</f>
        <v/>
      </c>
      <c r="AZ2233" s="21" t="str">
        <f>IF(AND($AM2233&lt;&gt;"",$AS2233="✓"),SUMPRODUCT(($AM$11:$AM2233&lt;&gt;"")*($AS$11:$AS2233="✓")),"")</f>
        <v/>
      </c>
      <c r="BA2233" s="21" t="str">
        <f>IF($AL2233="","",$AL2233&amp;"|"&amp;COUNTIF($AL$11:$AL2233,$AL2233))</f>
        <v/>
      </c>
    </row>
    <row r="2234" spans="38:53" ht="15" customHeight="1" x14ac:dyDescent="0.25">
      <c r="AL2234" s="31"/>
      <c r="AM2234" s="26"/>
      <c r="AN2234" s="32"/>
      <c r="AO2234" s="32"/>
      <c r="AP2234" s="24"/>
      <c r="AQ2234" s="24"/>
      <c r="AR2234" s="33"/>
      <c r="AS2234" s="34"/>
      <c r="AT2234" s="33"/>
      <c r="AV2234" s="21">
        <f>IF(AND($AL2234&lt;&gt;"",COUNTIF($AL$11:$AL2234,$AL2234)=1),1,0)</f>
        <v>0</v>
      </c>
      <c r="AW2234" s="21">
        <f t="shared" si="155"/>
        <v>0</v>
      </c>
      <c r="AX2234" s="21" t="str">
        <f t="shared" si="154"/>
        <v/>
      </c>
      <c r="AY2234" s="21" t="str">
        <f>IF(AND($AM2234&lt;&gt;"",$AS2234&lt;&gt;"✓"),SUMPRODUCT(($AM$11:$AM2234&lt;&gt;"")*($AS$11:$AS2234&lt;&gt;"✓")),"")</f>
        <v/>
      </c>
      <c r="AZ2234" s="21" t="str">
        <f>IF(AND($AM2234&lt;&gt;"",$AS2234="✓"),SUMPRODUCT(($AM$11:$AM2234&lt;&gt;"")*($AS$11:$AS2234="✓")),"")</f>
        <v/>
      </c>
      <c r="BA2234" s="21" t="str">
        <f>IF($AL2234="","",$AL2234&amp;"|"&amp;COUNTIF($AL$11:$AL2234,$AL2234))</f>
        <v/>
      </c>
    </row>
    <row r="2235" spans="38:53" ht="15" customHeight="1" x14ac:dyDescent="0.25">
      <c r="AL2235" s="17"/>
      <c r="AM2235" s="12"/>
      <c r="AN2235" s="18"/>
      <c r="AO2235" s="18"/>
      <c r="AP2235" s="10"/>
      <c r="AQ2235" s="10"/>
      <c r="AR2235" s="19"/>
      <c r="AS2235" s="20"/>
      <c r="AT2235" s="19"/>
      <c r="AV2235" s="21">
        <f>IF(AND($AL2235&lt;&gt;"",COUNTIF($AL$11:$AL2235,$AL2235)=1),1,0)</f>
        <v>0</v>
      </c>
      <c r="AW2235" s="21">
        <f t="shared" si="155"/>
        <v>0</v>
      </c>
      <c r="AX2235" s="21" t="str">
        <f t="shared" si="154"/>
        <v/>
      </c>
      <c r="AY2235" s="21" t="str">
        <f>IF(AND($AM2235&lt;&gt;"",$AS2235&lt;&gt;"✓"),SUMPRODUCT(($AM$11:$AM2235&lt;&gt;"")*($AS$11:$AS2235&lt;&gt;"✓")),"")</f>
        <v/>
      </c>
      <c r="AZ2235" s="21" t="str">
        <f>IF(AND($AM2235&lt;&gt;"",$AS2235="✓"),SUMPRODUCT(($AM$11:$AM2235&lt;&gt;"")*($AS$11:$AS2235="✓")),"")</f>
        <v/>
      </c>
      <c r="BA2235" s="21" t="str">
        <f>IF($AL2235="","",$AL2235&amp;"|"&amp;COUNTIF($AL$11:$AL2235,$AL2235))</f>
        <v/>
      </c>
    </row>
    <row r="2236" spans="38:53" ht="15" customHeight="1" x14ac:dyDescent="0.25">
      <c r="AL2236" s="31"/>
      <c r="AM2236" s="26"/>
      <c r="AN2236" s="32"/>
      <c r="AO2236" s="32"/>
      <c r="AP2236" s="24"/>
      <c r="AQ2236" s="24"/>
      <c r="AR2236" s="33"/>
      <c r="AS2236" s="34"/>
      <c r="AT2236" s="33"/>
      <c r="AV2236" s="21">
        <f>IF(AND($AL2236&lt;&gt;"",COUNTIF($AL$11:$AL2236,$AL2236)=1),1,0)</f>
        <v>0</v>
      </c>
      <c r="AW2236" s="21">
        <f t="shared" si="155"/>
        <v>0</v>
      </c>
      <c r="AX2236" s="21" t="str">
        <f t="shared" si="154"/>
        <v/>
      </c>
      <c r="AY2236" s="21" t="str">
        <f>IF(AND($AM2236&lt;&gt;"",$AS2236&lt;&gt;"✓"),SUMPRODUCT(($AM$11:$AM2236&lt;&gt;"")*($AS$11:$AS2236&lt;&gt;"✓")),"")</f>
        <v/>
      </c>
      <c r="AZ2236" s="21" t="str">
        <f>IF(AND($AM2236&lt;&gt;"",$AS2236="✓"),SUMPRODUCT(($AM$11:$AM2236&lt;&gt;"")*($AS$11:$AS2236="✓")),"")</f>
        <v/>
      </c>
      <c r="BA2236" s="21" t="str">
        <f>IF($AL2236="","",$AL2236&amp;"|"&amp;COUNTIF($AL$11:$AL2236,$AL2236))</f>
        <v/>
      </c>
    </row>
    <row r="2237" spans="38:53" ht="15" customHeight="1" x14ac:dyDescent="0.25">
      <c r="AL2237" s="17"/>
      <c r="AM2237" s="12"/>
      <c r="AN2237" s="18"/>
      <c r="AO2237" s="18"/>
      <c r="AP2237" s="10"/>
      <c r="AQ2237" s="10"/>
      <c r="AR2237" s="19"/>
      <c r="AS2237" s="20"/>
      <c r="AT2237" s="19"/>
      <c r="AV2237" s="21">
        <f>IF(AND($AL2237&lt;&gt;"",COUNTIF($AL$11:$AL2237,$AL2237)=1),1,0)</f>
        <v>0</v>
      </c>
      <c r="AW2237" s="21">
        <f t="shared" si="155"/>
        <v>0</v>
      </c>
      <c r="AX2237" s="21" t="str">
        <f t="shared" si="154"/>
        <v/>
      </c>
      <c r="AY2237" s="21" t="str">
        <f>IF(AND($AM2237&lt;&gt;"",$AS2237&lt;&gt;"✓"),SUMPRODUCT(($AM$11:$AM2237&lt;&gt;"")*($AS$11:$AS2237&lt;&gt;"✓")),"")</f>
        <v/>
      </c>
      <c r="AZ2237" s="21" t="str">
        <f>IF(AND($AM2237&lt;&gt;"",$AS2237="✓"),SUMPRODUCT(($AM$11:$AM2237&lt;&gt;"")*($AS$11:$AS2237="✓")),"")</f>
        <v/>
      </c>
      <c r="BA2237" s="21" t="str">
        <f>IF($AL2237="","",$AL2237&amp;"|"&amp;COUNTIF($AL$11:$AL2237,$AL2237))</f>
        <v/>
      </c>
    </row>
    <row r="2238" spans="38:53" ht="15" customHeight="1" x14ac:dyDescent="0.25">
      <c r="AL2238" s="31"/>
      <c r="AM2238" s="26"/>
      <c r="AN2238" s="32"/>
      <c r="AO2238" s="32"/>
      <c r="AP2238" s="24"/>
      <c r="AQ2238" s="24"/>
      <c r="AR2238" s="33"/>
      <c r="AS2238" s="34"/>
      <c r="AT2238" s="33"/>
      <c r="AV2238" s="21">
        <f>IF(AND($AL2238&lt;&gt;"",COUNTIF($AL$11:$AL2238,$AL2238)=1),1,0)</f>
        <v>0</v>
      </c>
      <c r="AW2238" s="21">
        <f t="shared" si="155"/>
        <v>0</v>
      </c>
      <c r="AX2238" s="21" t="str">
        <f t="shared" si="154"/>
        <v/>
      </c>
      <c r="AY2238" s="21" t="str">
        <f>IF(AND($AM2238&lt;&gt;"",$AS2238&lt;&gt;"✓"),SUMPRODUCT(($AM$11:$AM2238&lt;&gt;"")*($AS$11:$AS2238&lt;&gt;"✓")),"")</f>
        <v/>
      </c>
      <c r="AZ2238" s="21" t="str">
        <f>IF(AND($AM2238&lt;&gt;"",$AS2238="✓"),SUMPRODUCT(($AM$11:$AM2238&lt;&gt;"")*($AS$11:$AS2238="✓")),"")</f>
        <v/>
      </c>
      <c r="BA2238" s="21" t="str">
        <f>IF($AL2238="","",$AL2238&amp;"|"&amp;COUNTIF($AL$11:$AL2238,$AL2238))</f>
        <v/>
      </c>
    </row>
    <row r="2239" spans="38:53" ht="15" customHeight="1" x14ac:dyDescent="0.25">
      <c r="AL2239" s="17"/>
      <c r="AM2239" s="12"/>
      <c r="AN2239" s="18"/>
      <c r="AO2239" s="18"/>
      <c r="AP2239" s="10"/>
      <c r="AQ2239" s="10"/>
      <c r="AR2239" s="19"/>
      <c r="AS2239" s="20"/>
      <c r="AT2239" s="19"/>
      <c r="AV2239" s="21">
        <f>IF(AND($AL2239&lt;&gt;"",COUNTIF($AL$11:$AL2239,$AL2239)=1),1,0)</f>
        <v>0</v>
      </c>
      <c r="AW2239" s="21">
        <f t="shared" si="155"/>
        <v>0</v>
      </c>
      <c r="AX2239" s="21" t="str">
        <f t="shared" si="154"/>
        <v/>
      </c>
      <c r="AY2239" s="21" t="str">
        <f>IF(AND($AM2239&lt;&gt;"",$AS2239&lt;&gt;"✓"),SUMPRODUCT(($AM$11:$AM2239&lt;&gt;"")*($AS$11:$AS2239&lt;&gt;"✓")),"")</f>
        <v/>
      </c>
      <c r="AZ2239" s="21" t="str">
        <f>IF(AND($AM2239&lt;&gt;"",$AS2239="✓"),SUMPRODUCT(($AM$11:$AM2239&lt;&gt;"")*($AS$11:$AS2239="✓")),"")</f>
        <v/>
      </c>
      <c r="BA2239" s="21" t="str">
        <f>IF($AL2239="","",$AL2239&amp;"|"&amp;COUNTIF($AL$11:$AL2239,$AL2239))</f>
        <v/>
      </c>
    </row>
    <row r="2240" spans="38:53" ht="15" customHeight="1" x14ac:dyDescent="0.25">
      <c r="AL2240" s="31"/>
      <c r="AM2240" s="26"/>
      <c r="AN2240" s="32"/>
      <c r="AO2240" s="32"/>
      <c r="AP2240" s="24"/>
      <c r="AQ2240" s="24"/>
      <c r="AR2240" s="33"/>
      <c r="AS2240" s="34"/>
      <c r="AT2240" s="33"/>
      <c r="AV2240" s="21">
        <f>IF(AND($AL2240&lt;&gt;"",COUNTIF($AL$11:$AL2240,$AL2240)=1),1,0)</f>
        <v>0</v>
      </c>
      <c r="AW2240" s="21">
        <f t="shared" si="155"/>
        <v>0</v>
      </c>
      <c r="AX2240" s="21" t="str">
        <f t="shared" si="154"/>
        <v/>
      </c>
      <c r="AY2240" s="21" t="str">
        <f>IF(AND($AM2240&lt;&gt;"",$AS2240&lt;&gt;"✓"),SUMPRODUCT(($AM$11:$AM2240&lt;&gt;"")*($AS$11:$AS2240&lt;&gt;"✓")),"")</f>
        <v/>
      </c>
      <c r="AZ2240" s="21" t="str">
        <f>IF(AND($AM2240&lt;&gt;"",$AS2240="✓"),SUMPRODUCT(($AM$11:$AM2240&lt;&gt;"")*($AS$11:$AS2240="✓")),"")</f>
        <v/>
      </c>
      <c r="BA2240" s="21" t="str">
        <f>IF($AL2240="","",$AL2240&amp;"|"&amp;COUNTIF($AL$11:$AL2240,$AL2240))</f>
        <v/>
      </c>
    </row>
    <row r="2241" spans="38:53" ht="15" customHeight="1" x14ac:dyDescent="0.25">
      <c r="AL2241" s="17"/>
      <c r="AM2241" s="12"/>
      <c r="AN2241" s="18"/>
      <c r="AO2241" s="18"/>
      <c r="AP2241" s="10"/>
      <c r="AQ2241" s="10"/>
      <c r="AR2241" s="19"/>
      <c r="AS2241" s="20"/>
      <c r="AT2241" s="19"/>
      <c r="AV2241" s="21">
        <f>IF(AND($AL2241&lt;&gt;"",COUNTIF($AL$11:$AL2241,$AL2241)=1),1,0)</f>
        <v>0</v>
      </c>
      <c r="AW2241" s="21">
        <f t="shared" si="155"/>
        <v>0</v>
      </c>
      <c r="AX2241" s="21" t="str">
        <f t="shared" si="154"/>
        <v/>
      </c>
      <c r="AY2241" s="21" t="str">
        <f>IF(AND($AM2241&lt;&gt;"",$AS2241&lt;&gt;"✓"),SUMPRODUCT(($AM$11:$AM2241&lt;&gt;"")*($AS$11:$AS2241&lt;&gt;"✓")),"")</f>
        <v/>
      </c>
      <c r="AZ2241" s="21" t="str">
        <f>IF(AND($AM2241&lt;&gt;"",$AS2241="✓"),SUMPRODUCT(($AM$11:$AM2241&lt;&gt;"")*($AS$11:$AS2241="✓")),"")</f>
        <v/>
      </c>
      <c r="BA2241" s="21" t="str">
        <f>IF($AL2241="","",$AL2241&amp;"|"&amp;COUNTIF($AL$11:$AL2241,$AL2241))</f>
        <v/>
      </c>
    </row>
    <row r="2242" spans="38:53" ht="15" customHeight="1" x14ac:dyDescent="0.25">
      <c r="AL2242" s="31"/>
      <c r="AM2242" s="26"/>
      <c r="AN2242" s="32"/>
      <c r="AO2242" s="32"/>
      <c r="AP2242" s="24"/>
      <c r="AQ2242" s="24"/>
      <c r="AR2242" s="33"/>
      <c r="AS2242" s="34"/>
      <c r="AT2242" s="33"/>
      <c r="AV2242" s="21">
        <f>IF(AND($AL2242&lt;&gt;"",COUNTIF($AL$11:$AL2242,$AL2242)=1),1,0)</f>
        <v>0</v>
      </c>
      <c r="AW2242" s="21">
        <f t="shared" si="155"/>
        <v>0</v>
      </c>
      <c r="AX2242" s="21" t="str">
        <f t="shared" si="154"/>
        <v/>
      </c>
      <c r="AY2242" s="21" t="str">
        <f>IF(AND($AM2242&lt;&gt;"",$AS2242&lt;&gt;"✓"),SUMPRODUCT(($AM$11:$AM2242&lt;&gt;"")*($AS$11:$AS2242&lt;&gt;"✓")),"")</f>
        <v/>
      </c>
      <c r="AZ2242" s="21" t="str">
        <f>IF(AND($AM2242&lt;&gt;"",$AS2242="✓"),SUMPRODUCT(($AM$11:$AM2242&lt;&gt;"")*($AS$11:$AS2242="✓")),"")</f>
        <v/>
      </c>
      <c r="BA2242" s="21" t="str">
        <f>IF($AL2242="","",$AL2242&amp;"|"&amp;COUNTIF($AL$11:$AL2242,$AL2242))</f>
        <v/>
      </c>
    </row>
    <row r="2243" spans="38:53" ht="15" customHeight="1" x14ac:dyDescent="0.25">
      <c r="AL2243" s="17"/>
      <c r="AM2243" s="12"/>
      <c r="AN2243" s="18"/>
      <c r="AO2243" s="18"/>
      <c r="AP2243" s="10"/>
      <c r="AQ2243" s="10"/>
      <c r="AR2243" s="19"/>
      <c r="AS2243" s="20"/>
      <c r="AT2243" s="19"/>
      <c r="AV2243" s="21">
        <f>IF(AND($AL2243&lt;&gt;"",COUNTIF($AL$11:$AL2243,$AL2243)=1),1,0)</f>
        <v>0</v>
      </c>
      <c r="AW2243" s="21">
        <f t="shared" si="155"/>
        <v>0</v>
      </c>
      <c r="AX2243" s="21" t="str">
        <f t="shared" si="154"/>
        <v/>
      </c>
      <c r="AY2243" s="21" t="str">
        <f>IF(AND($AM2243&lt;&gt;"",$AS2243&lt;&gt;"✓"),SUMPRODUCT(($AM$11:$AM2243&lt;&gt;"")*($AS$11:$AS2243&lt;&gt;"✓")),"")</f>
        <v/>
      </c>
      <c r="AZ2243" s="21" t="str">
        <f>IF(AND($AM2243&lt;&gt;"",$AS2243="✓"),SUMPRODUCT(($AM$11:$AM2243&lt;&gt;"")*($AS$11:$AS2243="✓")),"")</f>
        <v/>
      </c>
      <c r="BA2243" s="21" t="str">
        <f>IF($AL2243="","",$AL2243&amp;"|"&amp;COUNTIF($AL$11:$AL2243,$AL2243))</f>
        <v/>
      </c>
    </row>
    <row r="2244" spans="38:53" ht="15" customHeight="1" x14ac:dyDescent="0.25">
      <c r="AL2244" s="31"/>
      <c r="AM2244" s="26"/>
      <c r="AN2244" s="32"/>
      <c r="AO2244" s="32"/>
      <c r="AP2244" s="24"/>
      <c r="AQ2244" s="24"/>
      <c r="AR2244" s="33"/>
      <c r="AS2244" s="34"/>
      <c r="AT2244" s="33"/>
      <c r="AV2244" s="21">
        <f>IF(AND($AL2244&lt;&gt;"",COUNTIF($AL$11:$AL2244,$AL2244)=1),1,0)</f>
        <v>0</v>
      </c>
      <c r="AW2244" s="21">
        <f t="shared" si="155"/>
        <v>0</v>
      </c>
      <c r="AX2244" s="21" t="str">
        <f t="shared" si="154"/>
        <v/>
      </c>
      <c r="AY2244" s="21" t="str">
        <f>IF(AND($AM2244&lt;&gt;"",$AS2244&lt;&gt;"✓"),SUMPRODUCT(($AM$11:$AM2244&lt;&gt;"")*($AS$11:$AS2244&lt;&gt;"✓")),"")</f>
        <v/>
      </c>
      <c r="AZ2244" s="21" t="str">
        <f>IF(AND($AM2244&lt;&gt;"",$AS2244="✓"),SUMPRODUCT(($AM$11:$AM2244&lt;&gt;"")*($AS$11:$AS2244="✓")),"")</f>
        <v/>
      </c>
      <c r="BA2244" s="21" t="str">
        <f>IF($AL2244="","",$AL2244&amp;"|"&amp;COUNTIF($AL$11:$AL2244,$AL2244))</f>
        <v/>
      </c>
    </row>
    <row r="2245" spans="38:53" ht="15" customHeight="1" x14ac:dyDescent="0.25">
      <c r="AL2245" s="17"/>
      <c r="AM2245" s="12"/>
      <c r="AN2245" s="18"/>
      <c r="AO2245" s="18"/>
      <c r="AP2245" s="10"/>
      <c r="AQ2245" s="10"/>
      <c r="AR2245" s="19"/>
      <c r="AS2245" s="20"/>
      <c r="AT2245" s="19"/>
      <c r="AV2245" s="21">
        <f>IF(AND($AL2245&lt;&gt;"",COUNTIF($AL$11:$AL2245,$AL2245)=1),1,0)</f>
        <v>0</v>
      </c>
      <c r="AW2245" s="21">
        <f t="shared" si="155"/>
        <v>0</v>
      </c>
      <c r="AX2245" s="21" t="str">
        <f t="shared" si="154"/>
        <v/>
      </c>
      <c r="AY2245" s="21" t="str">
        <f>IF(AND($AM2245&lt;&gt;"",$AS2245&lt;&gt;"✓"),SUMPRODUCT(($AM$11:$AM2245&lt;&gt;"")*($AS$11:$AS2245&lt;&gt;"✓")),"")</f>
        <v/>
      </c>
      <c r="AZ2245" s="21" t="str">
        <f>IF(AND($AM2245&lt;&gt;"",$AS2245="✓"),SUMPRODUCT(($AM$11:$AM2245&lt;&gt;"")*($AS$11:$AS2245="✓")),"")</f>
        <v/>
      </c>
      <c r="BA2245" s="21" t="str">
        <f>IF($AL2245="","",$AL2245&amp;"|"&amp;COUNTIF($AL$11:$AL2245,$AL2245))</f>
        <v/>
      </c>
    </row>
    <row r="2246" spans="38:53" ht="15" customHeight="1" x14ac:dyDescent="0.25">
      <c r="AL2246" s="31"/>
      <c r="AM2246" s="26"/>
      <c r="AN2246" s="32"/>
      <c r="AO2246" s="32"/>
      <c r="AP2246" s="24"/>
      <c r="AQ2246" s="24"/>
      <c r="AR2246" s="33"/>
      <c r="AS2246" s="34"/>
      <c r="AT2246" s="33"/>
      <c r="AV2246" s="21">
        <f>IF(AND($AL2246&lt;&gt;"",COUNTIF($AL$11:$AL2246,$AL2246)=1),1,0)</f>
        <v>0</v>
      </c>
      <c r="AW2246" s="21">
        <f t="shared" si="155"/>
        <v>0</v>
      </c>
      <c r="AX2246" s="21" t="str">
        <f t="shared" si="154"/>
        <v/>
      </c>
      <c r="AY2246" s="21" t="str">
        <f>IF(AND($AM2246&lt;&gt;"",$AS2246&lt;&gt;"✓"),SUMPRODUCT(($AM$11:$AM2246&lt;&gt;"")*($AS$11:$AS2246&lt;&gt;"✓")),"")</f>
        <v/>
      </c>
      <c r="AZ2246" s="21" t="str">
        <f>IF(AND($AM2246&lt;&gt;"",$AS2246="✓"),SUMPRODUCT(($AM$11:$AM2246&lt;&gt;"")*($AS$11:$AS2246="✓")),"")</f>
        <v/>
      </c>
      <c r="BA2246" s="21" t="str">
        <f>IF($AL2246="","",$AL2246&amp;"|"&amp;COUNTIF($AL$11:$AL2246,$AL2246))</f>
        <v/>
      </c>
    </row>
    <row r="2247" spans="38:53" ht="15" customHeight="1" x14ac:dyDescent="0.25">
      <c r="AL2247" s="17"/>
      <c r="AM2247" s="12"/>
      <c r="AN2247" s="18"/>
      <c r="AO2247" s="18"/>
      <c r="AP2247" s="10"/>
      <c r="AQ2247" s="10"/>
      <c r="AR2247" s="19"/>
      <c r="AS2247" s="20"/>
      <c r="AT2247" s="19"/>
      <c r="AV2247" s="21">
        <f>IF(AND($AL2247&lt;&gt;"",COUNTIF($AL$11:$AL2247,$AL2247)=1),1,0)</f>
        <v>0</v>
      </c>
      <c r="AW2247" s="21">
        <f t="shared" si="155"/>
        <v>0</v>
      </c>
      <c r="AX2247" s="21" t="str">
        <f t="shared" si="154"/>
        <v/>
      </c>
      <c r="AY2247" s="21" t="str">
        <f>IF(AND($AM2247&lt;&gt;"",$AS2247&lt;&gt;"✓"),SUMPRODUCT(($AM$11:$AM2247&lt;&gt;"")*($AS$11:$AS2247&lt;&gt;"✓")),"")</f>
        <v/>
      </c>
      <c r="AZ2247" s="21" t="str">
        <f>IF(AND($AM2247&lt;&gt;"",$AS2247="✓"),SUMPRODUCT(($AM$11:$AM2247&lt;&gt;"")*($AS$11:$AS2247="✓")),"")</f>
        <v/>
      </c>
      <c r="BA2247" s="21" t="str">
        <f>IF($AL2247="","",$AL2247&amp;"|"&amp;COUNTIF($AL$11:$AL2247,$AL2247))</f>
        <v/>
      </c>
    </row>
    <row r="2248" spans="38:53" ht="15" customHeight="1" x14ac:dyDescent="0.25">
      <c r="AL2248" s="31"/>
      <c r="AM2248" s="26"/>
      <c r="AN2248" s="32"/>
      <c r="AO2248" s="32"/>
      <c r="AP2248" s="24"/>
      <c r="AQ2248" s="24"/>
      <c r="AR2248" s="33"/>
      <c r="AS2248" s="34"/>
      <c r="AT2248" s="33"/>
      <c r="AV2248" s="21">
        <f>IF(AND($AL2248&lt;&gt;"",COUNTIF($AL$11:$AL2248,$AL2248)=1),1,0)</f>
        <v>0</v>
      </c>
      <c r="AW2248" s="21">
        <f t="shared" si="155"/>
        <v>0</v>
      </c>
      <c r="AX2248" s="21" t="str">
        <f t="shared" si="154"/>
        <v/>
      </c>
      <c r="AY2248" s="21" t="str">
        <f>IF(AND($AM2248&lt;&gt;"",$AS2248&lt;&gt;"✓"),SUMPRODUCT(($AM$11:$AM2248&lt;&gt;"")*($AS$11:$AS2248&lt;&gt;"✓")),"")</f>
        <v/>
      </c>
      <c r="AZ2248" s="21" t="str">
        <f>IF(AND($AM2248&lt;&gt;"",$AS2248="✓"),SUMPRODUCT(($AM$11:$AM2248&lt;&gt;"")*($AS$11:$AS2248="✓")),"")</f>
        <v/>
      </c>
      <c r="BA2248" s="21" t="str">
        <f>IF($AL2248="","",$AL2248&amp;"|"&amp;COUNTIF($AL$11:$AL2248,$AL2248))</f>
        <v/>
      </c>
    </row>
    <row r="2249" spans="38:53" ht="15" customHeight="1" x14ac:dyDescent="0.25">
      <c r="AL2249" s="17"/>
      <c r="AM2249" s="12"/>
      <c r="AN2249" s="18"/>
      <c r="AO2249" s="18"/>
      <c r="AP2249" s="10"/>
      <c r="AQ2249" s="10"/>
      <c r="AR2249" s="19"/>
      <c r="AS2249" s="20"/>
      <c r="AT2249" s="19"/>
      <c r="AV2249" s="21">
        <f>IF(AND($AL2249&lt;&gt;"",COUNTIF($AL$11:$AL2249,$AL2249)=1),1,0)</f>
        <v>0</v>
      </c>
      <c r="AW2249" s="21">
        <f t="shared" si="155"/>
        <v>0</v>
      </c>
      <c r="AX2249" s="21" t="str">
        <f t="shared" si="154"/>
        <v/>
      </c>
      <c r="AY2249" s="21" t="str">
        <f>IF(AND($AM2249&lt;&gt;"",$AS2249&lt;&gt;"✓"),SUMPRODUCT(($AM$11:$AM2249&lt;&gt;"")*($AS$11:$AS2249&lt;&gt;"✓")),"")</f>
        <v/>
      </c>
      <c r="AZ2249" s="21" t="str">
        <f>IF(AND($AM2249&lt;&gt;"",$AS2249="✓"),SUMPRODUCT(($AM$11:$AM2249&lt;&gt;"")*($AS$11:$AS2249="✓")),"")</f>
        <v/>
      </c>
      <c r="BA2249" s="21" t="str">
        <f>IF($AL2249="","",$AL2249&amp;"|"&amp;COUNTIF($AL$11:$AL2249,$AL2249))</f>
        <v/>
      </c>
    </row>
    <row r="2250" spans="38:53" ht="15" customHeight="1" x14ac:dyDescent="0.25">
      <c r="AL2250" s="31"/>
      <c r="AM2250" s="26"/>
      <c r="AN2250" s="32"/>
      <c r="AO2250" s="32"/>
      <c r="AP2250" s="24"/>
      <c r="AQ2250" s="24"/>
      <c r="AR2250" s="33"/>
      <c r="AS2250" s="34"/>
      <c r="AT2250" s="33"/>
      <c r="AV2250" s="21">
        <f>IF(AND($AL2250&lt;&gt;"",COUNTIF($AL$11:$AL2250,$AL2250)=1),1,0)</f>
        <v>0</v>
      </c>
      <c r="AW2250" s="21">
        <f t="shared" si="155"/>
        <v>0</v>
      </c>
      <c r="AX2250" s="21" t="str">
        <f t="shared" si="154"/>
        <v/>
      </c>
      <c r="AY2250" s="21" t="str">
        <f>IF(AND($AM2250&lt;&gt;"",$AS2250&lt;&gt;"✓"),SUMPRODUCT(($AM$11:$AM2250&lt;&gt;"")*($AS$11:$AS2250&lt;&gt;"✓")),"")</f>
        <v/>
      </c>
      <c r="AZ2250" s="21" t="str">
        <f>IF(AND($AM2250&lt;&gt;"",$AS2250="✓"),SUMPRODUCT(($AM$11:$AM2250&lt;&gt;"")*($AS$11:$AS2250="✓")),"")</f>
        <v/>
      </c>
      <c r="BA2250" s="21" t="str">
        <f>IF($AL2250="","",$AL2250&amp;"|"&amp;COUNTIF($AL$11:$AL2250,$AL2250))</f>
        <v/>
      </c>
    </row>
    <row r="2251" spans="38:53" ht="15" customHeight="1" x14ac:dyDescent="0.25">
      <c r="AL2251" s="17"/>
      <c r="AM2251" s="12"/>
      <c r="AN2251" s="18"/>
      <c r="AO2251" s="18"/>
      <c r="AP2251" s="10"/>
      <c r="AQ2251" s="10"/>
      <c r="AR2251" s="19"/>
      <c r="AS2251" s="20"/>
      <c r="AT2251" s="19"/>
      <c r="AV2251" s="21">
        <f>IF(AND($AL2251&lt;&gt;"",COUNTIF($AL$11:$AL2251,$AL2251)=1),1,0)</f>
        <v>0</v>
      </c>
      <c r="AW2251" s="21">
        <f t="shared" si="155"/>
        <v>0</v>
      </c>
      <c r="AX2251" s="21" t="str">
        <f t="shared" ref="AX2251:AX2314" si="156">IF(AV2251=1,AW2251,"")</f>
        <v/>
      </c>
      <c r="AY2251" s="21" t="str">
        <f>IF(AND($AM2251&lt;&gt;"",$AS2251&lt;&gt;"✓"),SUMPRODUCT(($AM$11:$AM2251&lt;&gt;"")*($AS$11:$AS2251&lt;&gt;"✓")),"")</f>
        <v/>
      </c>
      <c r="AZ2251" s="21" t="str">
        <f>IF(AND($AM2251&lt;&gt;"",$AS2251="✓"),SUMPRODUCT(($AM$11:$AM2251&lt;&gt;"")*($AS$11:$AS2251="✓")),"")</f>
        <v/>
      </c>
      <c r="BA2251" s="21" t="str">
        <f>IF($AL2251="","",$AL2251&amp;"|"&amp;COUNTIF($AL$11:$AL2251,$AL2251))</f>
        <v/>
      </c>
    </row>
    <row r="2252" spans="38:53" ht="15" customHeight="1" x14ac:dyDescent="0.25">
      <c r="AL2252" s="31"/>
      <c r="AM2252" s="26"/>
      <c r="AN2252" s="32"/>
      <c r="AO2252" s="32"/>
      <c r="AP2252" s="24"/>
      <c r="AQ2252" s="24"/>
      <c r="AR2252" s="33"/>
      <c r="AS2252" s="34"/>
      <c r="AT2252" s="33"/>
      <c r="AV2252" s="21">
        <f>IF(AND($AL2252&lt;&gt;"",COUNTIF($AL$11:$AL2252,$AL2252)=1),1,0)</f>
        <v>0</v>
      </c>
      <c r="AW2252" s="21">
        <f t="shared" ref="AW2252:AW2315" si="157">AW2251+AV2252</f>
        <v>0</v>
      </c>
      <c r="AX2252" s="21" t="str">
        <f t="shared" si="156"/>
        <v/>
      </c>
      <c r="AY2252" s="21" t="str">
        <f>IF(AND($AM2252&lt;&gt;"",$AS2252&lt;&gt;"✓"),SUMPRODUCT(($AM$11:$AM2252&lt;&gt;"")*($AS$11:$AS2252&lt;&gt;"✓")),"")</f>
        <v/>
      </c>
      <c r="AZ2252" s="21" t="str">
        <f>IF(AND($AM2252&lt;&gt;"",$AS2252="✓"),SUMPRODUCT(($AM$11:$AM2252&lt;&gt;"")*($AS$11:$AS2252="✓")),"")</f>
        <v/>
      </c>
      <c r="BA2252" s="21" t="str">
        <f>IF($AL2252="","",$AL2252&amp;"|"&amp;COUNTIF($AL$11:$AL2252,$AL2252))</f>
        <v/>
      </c>
    </row>
    <row r="2253" spans="38:53" ht="15" customHeight="1" x14ac:dyDescent="0.25">
      <c r="AL2253" s="17"/>
      <c r="AM2253" s="12"/>
      <c r="AN2253" s="18"/>
      <c r="AO2253" s="18"/>
      <c r="AP2253" s="10"/>
      <c r="AQ2253" s="10"/>
      <c r="AR2253" s="19"/>
      <c r="AS2253" s="20"/>
      <c r="AT2253" s="19"/>
      <c r="AV2253" s="21">
        <f>IF(AND($AL2253&lt;&gt;"",COUNTIF($AL$11:$AL2253,$AL2253)=1),1,0)</f>
        <v>0</v>
      </c>
      <c r="AW2253" s="21">
        <f t="shared" si="157"/>
        <v>0</v>
      </c>
      <c r="AX2253" s="21" t="str">
        <f t="shared" si="156"/>
        <v/>
      </c>
      <c r="AY2253" s="21" t="str">
        <f>IF(AND($AM2253&lt;&gt;"",$AS2253&lt;&gt;"✓"),SUMPRODUCT(($AM$11:$AM2253&lt;&gt;"")*($AS$11:$AS2253&lt;&gt;"✓")),"")</f>
        <v/>
      </c>
      <c r="AZ2253" s="21" t="str">
        <f>IF(AND($AM2253&lt;&gt;"",$AS2253="✓"),SUMPRODUCT(($AM$11:$AM2253&lt;&gt;"")*($AS$11:$AS2253="✓")),"")</f>
        <v/>
      </c>
      <c r="BA2253" s="21" t="str">
        <f>IF($AL2253="","",$AL2253&amp;"|"&amp;COUNTIF($AL$11:$AL2253,$AL2253))</f>
        <v/>
      </c>
    </row>
    <row r="2254" spans="38:53" ht="15" customHeight="1" x14ac:dyDescent="0.25">
      <c r="AL2254" s="31"/>
      <c r="AM2254" s="26"/>
      <c r="AN2254" s="32"/>
      <c r="AO2254" s="32"/>
      <c r="AP2254" s="24"/>
      <c r="AQ2254" s="24"/>
      <c r="AR2254" s="33"/>
      <c r="AS2254" s="34"/>
      <c r="AT2254" s="33"/>
      <c r="AV2254" s="21">
        <f>IF(AND($AL2254&lt;&gt;"",COUNTIF($AL$11:$AL2254,$AL2254)=1),1,0)</f>
        <v>0</v>
      </c>
      <c r="AW2254" s="21">
        <f t="shared" si="157"/>
        <v>0</v>
      </c>
      <c r="AX2254" s="21" t="str">
        <f t="shared" si="156"/>
        <v/>
      </c>
      <c r="AY2254" s="21" t="str">
        <f>IF(AND($AM2254&lt;&gt;"",$AS2254&lt;&gt;"✓"),SUMPRODUCT(($AM$11:$AM2254&lt;&gt;"")*($AS$11:$AS2254&lt;&gt;"✓")),"")</f>
        <v/>
      </c>
      <c r="AZ2254" s="21" t="str">
        <f>IF(AND($AM2254&lt;&gt;"",$AS2254="✓"),SUMPRODUCT(($AM$11:$AM2254&lt;&gt;"")*($AS$11:$AS2254="✓")),"")</f>
        <v/>
      </c>
      <c r="BA2254" s="21" t="str">
        <f>IF($AL2254="","",$AL2254&amp;"|"&amp;COUNTIF($AL$11:$AL2254,$AL2254))</f>
        <v/>
      </c>
    </row>
    <row r="2255" spans="38:53" ht="15" customHeight="1" x14ac:dyDescent="0.25">
      <c r="AL2255" s="17"/>
      <c r="AM2255" s="12"/>
      <c r="AN2255" s="18"/>
      <c r="AO2255" s="18"/>
      <c r="AP2255" s="10"/>
      <c r="AQ2255" s="10"/>
      <c r="AR2255" s="19"/>
      <c r="AS2255" s="20"/>
      <c r="AT2255" s="19"/>
      <c r="AV2255" s="21">
        <f>IF(AND($AL2255&lt;&gt;"",COUNTIF($AL$11:$AL2255,$AL2255)=1),1,0)</f>
        <v>0</v>
      </c>
      <c r="AW2255" s="21">
        <f t="shared" si="157"/>
        <v>0</v>
      </c>
      <c r="AX2255" s="21" t="str">
        <f t="shared" si="156"/>
        <v/>
      </c>
      <c r="AY2255" s="21" t="str">
        <f>IF(AND($AM2255&lt;&gt;"",$AS2255&lt;&gt;"✓"),SUMPRODUCT(($AM$11:$AM2255&lt;&gt;"")*($AS$11:$AS2255&lt;&gt;"✓")),"")</f>
        <v/>
      </c>
      <c r="AZ2255" s="21" t="str">
        <f>IF(AND($AM2255&lt;&gt;"",$AS2255="✓"),SUMPRODUCT(($AM$11:$AM2255&lt;&gt;"")*($AS$11:$AS2255="✓")),"")</f>
        <v/>
      </c>
      <c r="BA2255" s="21" t="str">
        <f>IF($AL2255="","",$AL2255&amp;"|"&amp;COUNTIF($AL$11:$AL2255,$AL2255))</f>
        <v/>
      </c>
    </row>
    <row r="2256" spans="38:53" ht="15" customHeight="1" x14ac:dyDescent="0.25">
      <c r="AL2256" s="31"/>
      <c r="AM2256" s="26"/>
      <c r="AN2256" s="32"/>
      <c r="AO2256" s="32"/>
      <c r="AP2256" s="24"/>
      <c r="AQ2256" s="24"/>
      <c r="AR2256" s="33"/>
      <c r="AS2256" s="34"/>
      <c r="AT2256" s="33"/>
      <c r="AV2256" s="21">
        <f>IF(AND($AL2256&lt;&gt;"",COUNTIF($AL$11:$AL2256,$AL2256)=1),1,0)</f>
        <v>0</v>
      </c>
      <c r="AW2256" s="21">
        <f t="shared" si="157"/>
        <v>0</v>
      </c>
      <c r="AX2256" s="21" t="str">
        <f t="shared" si="156"/>
        <v/>
      </c>
      <c r="AY2256" s="21" t="str">
        <f>IF(AND($AM2256&lt;&gt;"",$AS2256&lt;&gt;"✓"),SUMPRODUCT(($AM$11:$AM2256&lt;&gt;"")*($AS$11:$AS2256&lt;&gt;"✓")),"")</f>
        <v/>
      </c>
      <c r="AZ2256" s="21" t="str">
        <f>IF(AND($AM2256&lt;&gt;"",$AS2256="✓"),SUMPRODUCT(($AM$11:$AM2256&lt;&gt;"")*($AS$11:$AS2256="✓")),"")</f>
        <v/>
      </c>
      <c r="BA2256" s="21" t="str">
        <f>IF($AL2256="","",$AL2256&amp;"|"&amp;COUNTIF($AL$11:$AL2256,$AL2256))</f>
        <v/>
      </c>
    </row>
    <row r="2257" spans="38:53" ht="15" customHeight="1" x14ac:dyDescent="0.25">
      <c r="AL2257" s="17"/>
      <c r="AM2257" s="12"/>
      <c r="AN2257" s="18"/>
      <c r="AO2257" s="18"/>
      <c r="AP2257" s="10"/>
      <c r="AQ2257" s="10"/>
      <c r="AR2257" s="19"/>
      <c r="AS2257" s="20"/>
      <c r="AT2257" s="19"/>
      <c r="AV2257" s="21">
        <f>IF(AND($AL2257&lt;&gt;"",COUNTIF($AL$11:$AL2257,$AL2257)=1),1,0)</f>
        <v>0</v>
      </c>
      <c r="AW2257" s="21">
        <f t="shared" si="157"/>
        <v>0</v>
      </c>
      <c r="AX2257" s="21" t="str">
        <f t="shared" si="156"/>
        <v/>
      </c>
      <c r="AY2257" s="21" t="str">
        <f>IF(AND($AM2257&lt;&gt;"",$AS2257&lt;&gt;"✓"),SUMPRODUCT(($AM$11:$AM2257&lt;&gt;"")*($AS$11:$AS2257&lt;&gt;"✓")),"")</f>
        <v/>
      </c>
      <c r="AZ2257" s="21" t="str">
        <f>IF(AND($AM2257&lt;&gt;"",$AS2257="✓"),SUMPRODUCT(($AM$11:$AM2257&lt;&gt;"")*($AS$11:$AS2257="✓")),"")</f>
        <v/>
      </c>
      <c r="BA2257" s="21" t="str">
        <f>IF($AL2257="","",$AL2257&amp;"|"&amp;COUNTIF($AL$11:$AL2257,$AL2257))</f>
        <v/>
      </c>
    </row>
    <row r="2258" spans="38:53" ht="15" customHeight="1" x14ac:dyDescent="0.25">
      <c r="AL2258" s="31"/>
      <c r="AM2258" s="26"/>
      <c r="AN2258" s="32"/>
      <c r="AO2258" s="32"/>
      <c r="AP2258" s="24"/>
      <c r="AQ2258" s="24"/>
      <c r="AR2258" s="33"/>
      <c r="AS2258" s="34"/>
      <c r="AT2258" s="33"/>
      <c r="AV2258" s="21">
        <f>IF(AND($AL2258&lt;&gt;"",COUNTIF($AL$11:$AL2258,$AL2258)=1),1,0)</f>
        <v>0</v>
      </c>
      <c r="AW2258" s="21">
        <f t="shared" si="157"/>
        <v>0</v>
      </c>
      <c r="AX2258" s="21" t="str">
        <f t="shared" si="156"/>
        <v/>
      </c>
      <c r="AY2258" s="21" t="str">
        <f>IF(AND($AM2258&lt;&gt;"",$AS2258&lt;&gt;"✓"),SUMPRODUCT(($AM$11:$AM2258&lt;&gt;"")*($AS$11:$AS2258&lt;&gt;"✓")),"")</f>
        <v/>
      </c>
      <c r="AZ2258" s="21" t="str">
        <f>IF(AND($AM2258&lt;&gt;"",$AS2258="✓"),SUMPRODUCT(($AM$11:$AM2258&lt;&gt;"")*($AS$11:$AS2258="✓")),"")</f>
        <v/>
      </c>
      <c r="BA2258" s="21" t="str">
        <f>IF($AL2258="","",$AL2258&amp;"|"&amp;COUNTIF($AL$11:$AL2258,$AL2258))</f>
        <v/>
      </c>
    </row>
    <row r="2259" spans="38:53" ht="15" customHeight="1" x14ac:dyDescent="0.25">
      <c r="AL2259" s="17"/>
      <c r="AM2259" s="12"/>
      <c r="AN2259" s="18"/>
      <c r="AO2259" s="18"/>
      <c r="AP2259" s="10"/>
      <c r="AQ2259" s="10"/>
      <c r="AR2259" s="19"/>
      <c r="AS2259" s="20"/>
      <c r="AT2259" s="19"/>
      <c r="AV2259" s="21">
        <f>IF(AND($AL2259&lt;&gt;"",COUNTIF($AL$11:$AL2259,$AL2259)=1),1,0)</f>
        <v>0</v>
      </c>
      <c r="AW2259" s="21">
        <f t="shared" si="157"/>
        <v>0</v>
      </c>
      <c r="AX2259" s="21" t="str">
        <f t="shared" si="156"/>
        <v/>
      </c>
      <c r="AY2259" s="21" t="str">
        <f>IF(AND($AM2259&lt;&gt;"",$AS2259&lt;&gt;"✓"),SUMPRODUCT(($AM$11:$AM2259&lt;&gt;"")*($AS$11:$AS2259&lt;&gt;"✓")),"")</f>
        <v/>
      </c>
      <c r="AZ2259" s="21" t="str">
        <f>IF(AND($AM2259&lt;&gt;"",$AS2259="✓"),SUMPRODUCT(($AM$11:$AM2259&lt;&gt;"")*($AS$11:$AS2259="✓")),"")</f>
        <v/>
      </c>
      <c r="BA2259" s="21" t="str">
        <f>IF($AL2259="","",$AL2259&amp;"|"&amp;COUNTIF($AL$11:$AL2259,$AL2259))</f>
        <v/>
      </c>
    </row>
    <row r="2260" spans="38:53" ht="15" customHeight="1" x14ac:dyDescent="0.25">
      <c r="AL2260" s="31"/>
      <c r="AM2260" s="26"/>
      <c r="AN2260" s="32"/>
      <c r="AO2260" s="32"/>
      <c r="AP2260" s="24"/>
      <c r="AQ2260" s="24"/>
      <c r="AR2260" s="33"/>
      <c r="AS2260" s="34"/>
      <c r="AT2260" s="33"/>
      <c r="AV2260" s="21">
        <f>IF(AND($AL2260&lt;&gt;"",COUNTIF($AL$11:$AL2260,$AL2260)=1),1,0)</f>
        <v>0</v>
      </c>
      <c r="AW2260" s="21">
        <f t="shared" si="157"/>
        <v>0</v>
      </c>
      <c r="AX2260" s="21" t="str">
        <f t="shared" si="156"/>
        <v/>
      </c>
      <c r="AY2260" s="21" t="str">
        <f>IF(AND($AM2260&lt;&gt;"",$AS2260&lt;&gt;"✓"),SUMPRODUCT(($AM$11:$AM2260&lt;&gt;"")*($AS$11:$AS2260&lt;&gt;"✓")),"")</f>
        <v/>
      </c>
      <c r="AZ2260" s="21" t="str">
        <f>IF(AND($AM2260&lt;&gt;"",$AS2260="✓"),SUMPRODUCT(($AM$11:$AM2260&lt;&gt;"")*($AS$11:$AS2260="✓")),"")</f>
        <v/>
      </c>
      <c r="BA2260" s="21" t="str">
        <f>IF($AL2260="","",$AL2260&amp;"|"&amp;COUNTIF($AL$11:$AL2260,$AL2260))</f>
        <v/>
      </c>
    </row>
    <row r="2261" spans="38:53" ht="15" customHeight="1" x14ac:dyDescent="0.25">
      <c r="AL2261" s="17"/>
      <c r="AM2261" s="12"/>
      <c r="AN2261" s="18"/>
      <c r="AO2261" s="18"/>
      <c r="AP2261" s="10"/>
      <c r="AQ2261" s="10"/>
      <c r="AR2261" s="19"/>
      <c r="AS2261" s="20"/>
      <c r="AT2261" s="19"/>
      <c r="AV2261" s="21">
        <f>IF(AND($AL2261&lt;&gt;"",COUNTIF($AL$11:$AL2261,$AL2261)=1),1,0)</f>
        <v>0</v>
      </c>
      <c r="AW2261" s="21">
        <f t="shared" si="157"/>
        <v>0</v>
      </c>
      <c r="AX2261" s="21" t="str">
        <f t="shared" si="156"/>
        <v/>
      </c>
      <c r="AY2261" s="21" t="str">
        <f>IF(AND($AM2261&lt;&gt;"",$AS2261&lt;&gt;"✓"),SUMPRODUCT(($AM$11:$AM2261&lt;&gt;"")*($AS$11:$AS2261&lt;&gt;"✓")),"")</f>
        <v/>
      </c>
      <c r="AZ2261" s="21" t="str">
        <f>IF(AND($AM2261&lt;&gt;"",$AS2261="✓"),SUMPRODUCT(($AM$11:$AM2261&lt;&gt;"")*($AS$11:$AS2261="✓")),"")</f>
        <v/>
      </c>
      <c r="BA2261" s="21" t="str">
        <f>IF($AL2261="","",$AL2261&amp;"|"&amp;COUNTIF($AL$11:$AL2261,$AL2261))</f>
        <v/>
      </c>
    </row>
    <row r="2262" spans="38:53" ht="15" customHeight="1" x14ac:dyDescent="0.25">
      <c r="AL2262" s="31"/>
      <c r="AM2262" s="26"/>
      <c r="AN2262" s="32"/>
      <c r="AO2262" s="32"/>
      <c r="AP2262" s="24"/>
      <c r="AQ2262" s="24"/>
      <c r="AR2262" s="33"/>
      <c r="AS2262" s="34"/>
      <c r="AT2262" s="33"/>
      <c r="AV2262" s="21">
        <f>IF(AND($AL2262&lt;&gt;"",COUNTIF($AL$11:$AL2262,$AL2262)=1),1,0)</f>
        <v>0</v>
      </c>
      <c r="AW2262" s="21">
        <f t="shared" si="157"/>
        <v>0</v>
      </c>
      <c r="AX2262" s="21" t="str">
        <f t="shared" si="156"/>
        <v/>
      </c>
      <c r="AY2262" s="21" t="str">
        <f>IF(AND($AM2262&lt;&gt;"",$AS2262&lt;&gt;"✓"),SUMPRODUCT(($AM$11:$AM2262&lt;&gt;"")*($AS$11:$AS2262&lt;&gt;"✓")),"")</f>
        <v/>
      </c>
      <c r="AZ2262" s="21" t="str">
        <f>IF(AND($AM2262&lt;&gt;"",$AS2262="✓"),SUMPRODUCT(($AM$11:$AM2262&lt;&gt;"")*($AS$11:$AS2262="✓")),"")</f>
        <v/>
      </c>
      <c r="BA2262" s="21" t="str">
        <f>IF($AL2262="","",$AL2262&amp;"|"&amp;COUNTIF($AL$11:$AL2262,$AL2262))</f>
        <v/>
      </c>
    </row>
    <row r="2263" spans="38:53" ht="15" customHeight="1" x14ac:dyDescent="0.25">
      <c r="AL2263" s="17"/>
      <c r="AM2263" s="12"/>
      <c r="AN2263" s="18"/>
      <c r="AO2263" s="18"/>
      <c r="AP2263" s="10"/>
      <c r="AQ2263" s="10"/>
      <c r="AR2263" s="19"/>
      <c r="AS2263" s="20"/>
      <c r="AT2263" s="19"/>
      <c r="AV2263" s="21">
        <f>IF(AND($AL2263&lt;&gt;"",COUNTIF($AL$11:$AL2263,$AL2263)=1),1,0)</f>
        <v>0</v>
      </c>
      <c r="AW2263" s="21">
        <f t="shared" si="157"/>
        <v>0</v>
      </c>
      <c r="AX2263" s="21" t="str">
        <f t="shared" si="156"/>
        <v/>
      </c>
      <c r="AY2263" s="21" t="str">
        <f>IF(AND($AM2263&lt;&gt;"",$AS2263&lt;&gt;"✓"),SUMPRODUCT(($AM$11:$AM2263&lt;&gt;"")*($AS$11:$AS2263&lt;&gt;"✓")),"")</f>
        <v/>
      </c>
      <c r="AZ2263" s="21" t="str">
        <f>IF(AND($AM2263&lt;&gt;"",$AS2263="✓"),SUMPRODUCT(($AM$11:$AM2263&lt;&gt;"")*($AS$11:$AS2263="✓")),"")</f>
        <v/>
      </c>
      <c r="BA2263" s="21" t="str">
        <f>IF($AL2263="","",$AL2263&amp;"|"&amp;COUNTIF($AL$11:$AL2263,$AL2263))</f>
        <v/>
      </c>
    </row>
    <row r="2264" spans="38:53" ht="15" customHeight="1" x14ac:dyDescent="0.25">
      <c r="AL2264" s="31"/>
      <c r="AM2264" s="26"/>
      <c r="AN2264" s="32"/>
      <c r="AO2264" s="32"/>
      <c r="AP2264" s="24"/>
      <c r="AQ2264" s="24"/>
      <c r="AR2264" s="33"/>
      <c r="AS2264" s="34"/>
      <c r="AT2264" s="33"/>
      <c r="AV2264" s="21">
        <f>IF(AND($AL2264&lt;&gt;"",COUNTIF($AL$11:$AL2264,$AL2264)=1),1,0)</f>
        <v>0</v>
      </c>
      <c r="AW2264" s="21">
        <f t="shared" si="157"/>
        <v>0</v>
      </c>
      <c r="AX2264" s="21" t="str">
        <f t="shared" si="156"/>
        <v/>
      </c>
      <c r="AY2264" s="21" t="str">
        <f>IF(AND($AM2264&lt;&gt;"",$AS2264&lt;&gt;"✓"),SUMPRODUCT(($AM$11:$AM2264&lt;&gt;"")*($AS$11:$AS2264&lt;&gt;"✓")),"")</f>
        <v/>
      </c>
      <c r="AZ2264" s="21" t="str">
        <f>IF(AND($AM2264&lt;&gt;"",$AS2264="✓"),SUMPRODUCT(($AM$11:$AM2264&lt;&gt;"")*($AS$11:$AS2264="✓")),"")</f>
        <v/>
      </c>
      <c r="BA2264" s="21" t="str">
        <f>IF($AL2264="","",$AL2264&amp;"|"&amp;COUNTIF($AL$11:$AL2264,$AL2264))</f>
        <v/>
      </c>
    </row>
    <row r="2265" spans="38:53" ht="15" customHeight="1" x14ac:dyDescent="0.25">
      <c r="AL2265" s="17"/>
      <c r="AM2265" s="12"/>
      <c r="AN2265" s="18"/>
      <c r="AO2265" s="18"/>
      <c r="AP2265" s="10"/>
      <c r="AQ2265" s="10"/>
      <c r="AR2265" s="19"/>
      <c r="AS2265" s="20"/>
      <c r="AT2265" s="19"/>
      <c r="AV2265" s="21">
        <f>IF(AND($AL2265&lt;&gt;"",COUNTIF($AL$11:$AL2265,$AL2265)=1),1,0)</f>
        <v>0</v>
      </c>
      <c r="AW2265" s="21">
        <f t="shared" si="157"/>
        <v>0</v>
      </c>
      <c r="AX2265" s="21" t="str">
        <f t="shared" si="156"/>
        <v/>
      </c>
      <c r="AY2265" s="21" t="str">
        <f>IF(AND($AM2265&lt;&gt;"",$AS2265&lt;&gt;"✓"),SUMPRODUCT(($AM$11:$AM2265&lt;&gt;"")*($AS$11:$AS2265&lt;&gt;"✓")),"")</f>
        <v/>
      </c>
      <c r="AZ2265" s="21" t="str">
        <f>IF(AND($AM2265&lt;&gt;"",$AS2265="✓"),SUMPRODUCT(($AM$11:$AM2265&lt;&gt;"")*($AS$11:$AS2265="✓")),"")</f>
        <v/>
      </c>
      <c r="BA2265" s="21" t="str">
        <f>IF($AL2265="","",$AL2265&amp;"|"&amp;COUNTIF($AL$11:$AL2265,$AL2265))</f>
        <v/>
      </c>
    </row>
    <row r="2266" spans="38:53" ht="15" customHeight="1" x14ac:dyDescent="0.25">
      <c r="AL2266" s="31"/>
      <c r="AM2266" s="26"/>
      <c r="AN2266" s="32"/>
      <c r="AO2266" s="32"/>
      <c r="AP2266" s="24"/>
      <c r="AQ2266" s="24"/>
      <c r="AR2266" s="33"/>
      <c r="AS2266" s="34"/>
      <c r="AT2266" s="33"/>
      <c r="AV2266" s="21">
        <f>IF(AND($AL2266&lt;&gt;"",COUNTIF($AL$11:$AL2266,$AL2266)=1),1,0)</f>
        <v>0</v>
      </c>
      <c r="AW2266" s="21">
        <f t="shared" si="157"/>
        <v>0</v>
      </c>
      <c r="AX2266" s="21" t="str">
        <f t="shared" si="156"/>
        <v/>
      </c>
      <c r="AY2266" s="21" t="str">
        <f>IF(AND($AM2266&lt;&gt;"",$AS2266&lt;&gt;"✓"),SUMPRODUCT(($AM$11:$AM2266&lt;&gt;"")*($AS$11:$AS2266&lt;&gt;"✓")),"")</f>
        <v/>
      </c>
      <c r="AZ2266" s="21" t="str">
        <f>IF(AND($AM2266&lt;&gt;"",$AS2266="✓"),SUMPRODUCT(($AM$11:$AM2266&lt;&gt;"")*($AS$11:$AS2266="✓")),"")</f>
        <v/>
      </c>
      <c r="BA2266" s="21" t="str">
        <f>IF($AL2266="","",$AL2266&amp;"|"&amp;COUNTIF($AL$11:$AL2266,$AL2266))</f>
        <v/>
      </c>
    </row>
    <row r="2267" spans="38:53" ht="15" customHeight="1" x14ac:dyDescent="0.25">
      <c r="AL2267" s="17"/>
      <c r="AM2267" s="12"/>
      <c r="AN2267" s="18"/>
      <c r="AO2267" s="18"/>
      <c r="AP2267" s="10"/>
      <c r="AQ2267" s="10"/>
      <c r="AR2267" s="19"/>
      <c r="AS2267" s="20"/>
      <c r="AT2267" s="19"/>
      <c r="AV2267" s="21">
        <f>IF(AND($AL2267&lt;&gt;"",COUNTIF($AL$11:$AL2267,$AL2267)=1),1,0)</f>
        <v>0</v>
      </c>
      <c r="AW2267" s="21">
        <f t="shared" si="157"/>
        <v>0</v>
      </c>
      <c r="AX2267" s="21" t="str">
        <f t="shared" si="156"/>
        <v/>
      </c>
      <c r="AY2267" s="21" t="str">
        <f>IF(AND($AM2267&lt;&gt;"",$AS2267&lt;&gt;"✓"),SUMPRODUCT(($AM$11:$AM2267&lt;&gt;"")*($AS$11:$AS2267&lt;&gt;"✓")),"")</f>
        <v/>
      </c>
      <c r="AZ2267" s="21" t="str">
        <f>IF(AND($AM2267&lt;&gt;"",$AS2267="✓"),SUMPRODUCT(($AM$11:$AM2267&lt;&gt;"")*($AS$11:$AS2267="✓")),"")</f>
        <v/>
      </c>
      <c r="BA2267" s="21" t="str">
        <f>IF($AL2267="","",$AL2267&amp;"|"&amp;COUNTIF($AL$11:$AL2267,$AL2267))</f>
        <v/>
      </c>
    </row>
    <row r="2268" spans="38:53" ht="15" customHeight="1" x14ac:dyDescent="0.25">
      <c r="AL2268" s="31"/>
      <c r="AM2268" s="26"/>
      <c r="AN2268" s="32"/>
      <c r="AO2268" s="32"/>
      <c r="AP2268" s="24"/>
      <c r="AQ2268" s="24"/>
      <c r="AR2268" s="33"/>
      <c r="AS2268" s="34"/>
      <c r="AT2268" s="33"/>
      <c r="AV2268" s="21">
        <f>IF(AND($AL2268&lt;&gt;"",COUNTIF($AL$11:$AL2268,$AL2268)=1),1,0)</f>
        <v>0</v>
      </c>
      <c r="AW2268" s="21">
        <f t="shared" si="157"/>
        <v>0</v>
      </c>
      <c r="AX2268" s="21" t="str">
        <f t="shared" si="156"/>
        <v/>
      </c>
      <c r="AY2268" s="21" t="str">
        <f>IF(AND($AM2268&lt;&gt;"",$AS2268&lt;&gt;"✓"),SUMPRODUCT(($AM$11:$AM2268&lt;&gt;"")*($AS$11:$AS2268&lt;&gt;"✓")),"")</f>
        <v/>
      </c>
      <c r="AZ2268" s="21" t="str">
        <f>IF(AND($AM2268&lt;&gt;"",$AS2268="✓"),SUMPRODUCT(($AM$11:$AM2268&lt;&gt;"")*($AS$11:$AS2268="✓")),"")</f>
        <v/>
      </c>
      <c r="BA2268" s="21" t="str">
        <f>IF($AL2268="","",$AL2268&amp;"|"&amp;COUNTIF($AL$11:$AL2268,$AL2268))</f>
        <v/>
      </c>
    </row>
    <row r="2269" spans="38:53" ht="15" customHeight="1" x14ac:dyDescent="0.25">
      <c r="AL2269" s="17"/>
      <c r="AM2269" s="12"/>
      <c r="AN2269" s="18"/>
      <c r="AO2269" s="18"/>
      <c r="AP2269" s="10"/>
      <c r="AQ2269" s="10"/>
      <c r="AR2269" s="19"/>
      <c r="AS2269" s="20"/>
      <c r="AT2269" s="19"/>
      <c r="AV2269" s="21">
        <f>IF(AND($AL2269&lt;&gt;"",COUNTIF($AL$11:$AL2269,$AL2269)=1),1,0)</f>
        <v>0</v>
      </c>
      <c r="AW2269" s="21">
        <f t="shared" si="157"/>
        <v>0</v>
      </c>
      <c r="AX2269" s="21" t="str">
        <f t="shared" si="156"/>
        <v/>
      </c>
      <c r="AY2269" s="21" t="str">
        <f>IF(AND($AM2269&lt;&gt;"",$AS2269&lt;&gt;"✓"),SUMPRODUCT(($AM$11:$AM2269&lt;&gt;"")*($AS$11:$AS2269&lt;&gt;"✓")),"")</f>
        <v/>
      </c>
      <c r="AZ2269" s="21" t="str">
        <f>IF(AND($AM2269&lt;&gt;"",$AS2269="✓"),SUMPRODUCT(($AM$11:$AM2269&lt;&gt;"")*($AS$11:$AS2269="✓")),"")</f>
        <v/>
      </c>
      <c r="BA2269" s="21" t="str">
        <f>IF($AL2269="","",$AL2269&amp;"|"&amp;COUNTIF($AL$11:$AL2269,$AL2269))</f>
        <v/>
      </c>
    </row>
    <row r="2270" spans="38:53" ht="15" customHeight="1" x14ac:dyDescent="0.25">
      <c r="AL2270" s="31"/>
      <c r="AM2270" s="26"/>
      <c r="AN2270" s="32"/>
      <c r="AO2270" s="32"/>
      <c r="AP2270" s="24"/>
      <c r="AQ2270" s="24"/>
      <c r="AR2270" s="33"/>
      <c r="AS2270" s="34"/>
      <c r="AT2270" s="33"/>
      <c r="AV2270" s="21">
        <f>IF(AND($AL2270&lt;&gt;"",COUNTIF($AL$11:$AL2270,$AL2270)=1),1,0)</f>
        <v>0</v>
      </c>
      <c r="AW2270" s="21">
        <f t="shared" si="157"/>
        <v>0</v>
      </c>
      <c r="AX2270" s="21" t="str">
        <f t="shared" si="156"/>
        <v/>
      </c>
      <c r="AY2270" s="21" t="str">
        <f>IF(AND($AM2270&lt;&gt;"",$AS2270&lt;&gt;"✓"),SUMPRODUCT(($AM$11:$AM2270&lt;&gt;"")*($AS$11:$AS2270&lt;&gt;"✓")),"")</f>
        <v/>
      </c>
      <c r="AZ2270" s="21" t="str">
        <f>IF(AND($AM2270&lt;&gt;"",$AS2270="✓"),SUMPRODUCT(($AM$11:$AM2270&lt;&gt;"")*($AS$11:$AS2270="✓")),"")</f>
        <v/>
      </c>
      <c r="BA2270" s="21" t="str">
        <f>IF($AL2270="","",$AL2270&amp;"|"&amp;COUNTIF($AL$11:$AL2270,$AL2270))</f>
        <v/>
      </c>
    </row>
    <row r="2271" spans="38:53" ht="15" customHeight="1" x14ac:dyDescent="0.25">
      <c r="AL2271" s="17"/>
      <c r="AM2271" s="12"/>
      <c r="AN2271" s="18"/>
      <c r="AO2271" s="18"/>
      <c r="AP2271" s="10"/>
      <c r="AQ2271" s="10"/>
      <c r="AR2271" s="19"/>
      <c r="AS2271" s="20"/>
      <c r="AT2271" s="19"/>
      <c r="AV2271" s="21">
        <f>IF(AND($AL2271&lt;&gt;"",COUNTIF($AL$11:$AL2271,$AL2271)=1),1,0)</f>
        <v>0</v>
      </c>
      <c r="AW2271" s="21">
        <f t="shared" si="157"/>
        <v>0</v>
      </c>
      <c r="AX2271" s="21" t="str">
        <f t="shared" si="156"/>
        <v/>
      </c>
      <c r="AY2271" s="21" t="str">
        <f>IF(AND($AM2271&lt;&gt;"",$AS2271&lt;&gt;"✓"),SUMPRODUCT(($AM$11:$AM2271&lt;&gt;"")*($AS$11:$AS2271&lt;&gt;"✓")),"")</f>
        <v/>
      </c>
      <c r="AZ2271" s="21" t="str">
        <f>IF(AND($AM2271&lt;&gt;"",$AS2271="✓"),SUMPRODUCT(($AM$11:$AM2271&lt;&gt;"")*($AS$11:$AS2271="✓")),"")</f>
        <v/>
      </c>
      <c r="BA2271" s="21" t="str">
        <f>IF($AL2271="","",$AL2271&amp;"|"&amp;COUNTIF($AL$11:$AL2271,$AL2271))</f>
        <v/>
      </c>
    </row>
    <row r="2272" spans="38:53" ht="15" customHeight="1" x14ac:dyDescent="0.25">
      <c r="AL2272" s="31"/>
      <c r="AM2272" s="26"/>
      <c r="AN2272" s="32"/>
      <c r="AO2272" s="32"/>
      <c r="AP2272" s="24"/>
      <c r="AQ2272" s="24"/>
      <c r="AR2272" s="33"/>
      <c r="AS2272" s="34"/>
      <c r="AT2272" s="33"/>
      <c r="AV2272" s="21">
        <f>IF(AND($AL2272&lt;&gt;"",COUNTIF($AL$11:$AL2272,$AL2272)=1),1,0)</f>
        <v>0</v>
      </c>
      <c r="AW2272" s="21">
        <f t="shared" si="157"/>
        <v>0</v>
      </c>
      <c r="AX2272" s="21" t="str">
        <f t="shared" si="156"/>
        <v/>
      </c>
      <c r="AY2272" s="21" t="str">
        <f>IF(AND($AM2272&lt;&gt;"",$AS2272&lt;&gt;"✓"),SUMPRODUCT(($AM$11:$AM2272&lt;&gt;"")*($AS$11:$AS2272&lt;&gt;"✓")),"")</f>
        <v/>
      </c>
      <c r="AZ2272" s="21" t="str">
        <f>IF(AND($AM2272&lt;&gt;"",$AS2272="✓"),SUMPRODUCT(($AM$11:$AM2272&lt;&gt;"")*($AS$11:$AS2272="✓")),"")</f>
        <v/>
      </c>
      <c r="BA2272" s="21" t="str">
        <f>IF($AL2272="","",$AL2272&amp;"|"&amp;COUNTIF($AL$11:$AL2272,$AL2272))</f>
        <v/>
      </c>
    </row>
    <row r="2273" spans="38:53" ht="15" customHeight="1" x14ac:dyDescent="0.25">
      <c r="AL2273" s="17"/>
      <c r="AM2273" s="12"/>
      <c r="AN2273" s="18"/>
      <c r="AO2273" s="18"/>
      <c r="AP2273" s="10"/>
      <c r="AQ2273" s="10"/>
      <c r="AR2273" s="19"/>
      <c r="AS2273" s="20"/>
      <c r="AT2273" s="19"/>
      <c r="AV2273" s="21">
        <f>IF(AND($AL2273&lt;&gt;"",COUNTIF($AL$11:$AL2273,$AL2273)=1),1,0)</f>
        <v>0</v>
      </c>
      <c r="AW2273" s="21">
        <f t="shared" si="157"/>
        <v>0</v>
      </c>
      <c r="AX2273" s="21" t="str">
        <f t="shared" si="156"/>
        <v/>
      </c>
      <c r="AY2273" s="21" t="str">
        <f>IF(AND($AM2273&lt;&gt;"",$AS2273&lt;&gt;"✓"),SUMPRODUCT(($AM$11:$AM2273&lt;&gt;"")*($AS$11:$AS2273&lt;&gt;"✓")),"")</f>
        <v/>
      </c>
      <c r="AZ2273" s="21" t="str">
        <f>IF(AND($AM2273&lt;&gt;"",$AS2273="✓"),SUMPRODUCT(($AM$11:$AM2273&lt;&gt;"")*($AS$11:$AS2273="✓")),"")</f>
        <v/>
      </c>
      <c r="BA2273" s="21" t="str">
        <f>IF($AL2273="","",$AL2273&amp;"|"&amp;COUNTIF($AL$11:$AL2273,$AL2273))</f>
        <v/>
      </c>
    </row>
    <row r="2274" spans="38:53" ht="15" customHeight="1" x14ac:dyDescent="0.25">
      <c r="AL2274" s="31"/>
      <c r="AM2274" s="26"/>
      <c r="AN2274" s="32"/>
      <c r="AO2274" s="32"/>
      <c r="AP2274" s="24"/>
      <c r="AQ2274" s="24"/>
      <c r="AR2274" s="33"/>
      <c r="AS2274" s="34"/>
      <c r="AT2274" s="33"/>
      <c r="AV2274" s="21">
        <f>IF(AND($AL2274&lt;&gt;"",COUNTIF($AL$11:$AL2274,$AL2274)=1),1,0)</f>
        <v>0</v>
      </c>
      <c r="AW2274" s="21">
        <f t="shared" si="157"/>
        <v>0</v>
      </c>
      <c r="AX2274" s="21" t="str">
        <f t="shared" si="156"/>
        <v/>
      </c>
      <c r="AY2274" s="21" t="str">
        <f>IF(AND($AM2274&lt;&gt;"",$AS2274&lt;&gt;"✓"),SUMPRODUCT(($AM$11:$AM2274&lt;&gt;"")*($AS$11:$AS2274&lt;&gt;"✓")),"")</f>
        <v/>
      </c>
      <c r="AZ2274" s="21" t="str">
        <f>IF(AND($AM2274&lt;&gt;"",$AS2274="✓"),SUMPRODUCT(($AM$11:$AM2274&lt;&gt;"")*($AS$11:$AS2274="✓")),"")</f>
        <v/>
      </c>
      <c r="BA2274" s="21" t="str">
        <f>IF($AL2274="","",$AL2274&amp;"|"&amp;COUNTIF($AL$11:$AL2274,$AL2274))</f>
        <v/>
      </c>
    </row>
    <row r="2275" spans="38:53" ht="15" customHeight="1" x14ac:dyDescent="0.25">
      <c r="AL2275" s="17"/>
      <c r="AM2275" s="12"/>
      <c r="AN2275" s="18"/>
      <c r="AO2275" s="18"/>
      <c r="AP2275" s="10"/>
      <c r="AQ2275" s="10"/>
      <c r="AR2275" s="19"/>
      <c r="AS2275" s="20"/>
      <c r="AT2275" s="19"/>
      <c r="AV2275" s="21">
        <f>IF(AND($AL2275&lt;&gt;"",COUNTIF($AL$11:$AL2275,$AL2275)=1),1,0)</f>
        <v>0</v>
      </c>
      <c r="AW2275" s="21">
        <f t="shared" si="157"/>
        <v>0</v>
      </c>
      <c r="AX2275" s="21" t="str">
        <f t="shared" si="156"/>
        <v/>
      </c>
      <c r="AY2275" s="21" t="str">
        <f>IF(AND($AM2275&lt;&gt;"",$AS2275&lt;&gt;"✓"),SUMPRODUCT(($AM$11:$AM2275&lt;&gt;"")*($AS$11:$AS2275&lt;&gt;"✓")),"")</f>
        <v/>
      </c>
      <c r="AZ2275" s="21" t="str">
        <f>IF(AND($AM2275&lt;&gt;"",$AS2275="✓"),SUMPRODUCT(($AM$11:$AM2275&lt;&gt;"")*($AS$11:$AS2275="✓")),"")</f>
        <v/>
      </c>
      <c r="BA2275" s="21" t="str">
        <f>IF($AL2275="","",$AL2275&amp;"|"&amp;COUNTIF($AL$11:$AL2275,$AL2275))</f>
        <v/>
      </c>
    </row>
    <row r="2276" spans="38:53" ht="15" customHeight="1" x14ac:dyDescent="0.25">
      <c r="AL2276" s="31"/>
      <c r="AM2276" s="26"/>
      <c r="AN2276" s="32"/>
      <c r="AO2276" s="32"/>
      <c r="AP2276" s="24"/>
      <c r="AQ2276" s="24"/>
      <c r="AR2276" s="33"/>
      <c r="AS2276" s="34"/>
      <c r="AT2276" s="33"/>
      <c r="AV2276" s="21">
        <f>IF(AND($AL2276&lt;&gt;"",COUNTIF($AL$11:$AL2276,$AL2276)=1),1,0)</f>
        <v>0</v>
      </c>
      <c r="AW2276" s="21">
        <f t="shared" si="157"/>
        <v>0</v>
      </c>
      <c r="AX2276" s="21" t="str">
        <f t="shared" si="156"/>
        <v/>
      </c>
      <c r="AY2276" s="21" t="str">
        <f>IF(AND($AM2276&lt;&gt;"",$AS2276&lt;&gt;"✓"),SUMPRODUCT(($AM$11:$AM2276&lt;&gt;"")*($AS$11:$AS2276&lt;&gt;"✓")),"")</f>
        <v/>
      </c>
      <c r="AZ2276" s="21" t="str">
        <f>IF(AND($AM2276&lt;&gt;"",$AS2276="✓"),SUMPRODUCT(($AM$11:$AM2276&lt;&gt;"")*($AS$11:$AS2276="✓")),"")</f>
        <v/>
      </c>
      <c r="BA2276" s="21" t="str">
        <f>IF($AL2276="","",$AL2276&amp;"|"&amp;COUNTIF($AL$11:$AL2276,$AL2276))</f>
        <v/>
      </c>
    </row>
    <row r="2277" spans="38:53" ht="15" customHeight="1" x14ac:dyDescent="0.25">
      <c r="AL2277" s="17"/>
      <c r="AM2277" s="12"/>
      <c r="AN2277" s="18"/>
      <c r="AO2277" s="18"/>
      <c r="AP2277" s="10"/>
      <c r="AQ2277" s="10"/>
      <c r="AR2277" s="19"/>
      <c r="AS2277" s="20"/>
      <c r="AT2277" s="19"/>
      <c r="AV2277" s="21">
        <f>IF(AND($AL2277&lt;&gt;"",COUNTIF($AL$11:$AL2277,$AL2277)=1),1,0)</f>
        <v>0</v>
      </c>
      <c r="AW2277" s="21">
        <f t="shared" si="157"/>
        <v>0</v>
      </c>
      <c r="AX2277" s="21" t="str">
        <f t="shared" si="156"/>
        <v/>
      </c>
      <c r="AY2277" s="21" t="str">
        <f>IF(AND($AM2277&lt;&gt;"",$AS2277&lt;&gt;"✓"),SUMPRODUCT(($AM$11:$AM2277&lt;&gt;"")*($AS$11:$AS2277&lt;&gt;"✓")),"")</f>
        <v/>
      </c>
      <c r="AZ2277" s="21" t="str">
        <f>IF(AND($AM2277&lt;&gt;"",$AS2277="✓"),SUMPRODUCT(($AM$11:$AM2277&lt;&gt;"")*($AS$11:$AS2277="✓")),"")</f>
        <v/>
      </c>
      <c r="BA2277" s="21" t="str">
        <f>IF($AL2277="","",$AL2277&amp;"|"&amp;COUNTIF($AL$11:$AL2277,$AL2277))</f>
        <v/>
      </c>
    </row>
    <row r="2278" spans="38:53" ht="15" customHeight="1" x14ac:dyDescent="0.25">
      <c r="AL2278" s="31"/>
      <c r="AM2278" s="26"/>
      <c r="AN2278" s="32"/>
      <c r="AO2278" s="32"/>
      <c r="AP2278" s="24"/>
      <c r="AQ2278" s="24"/>
      <c r="AR2278" s="33"/>
      <c r="AS2278" s="34"/>
      <c r="AT2278" s="33"/>
      <c r="AV2278" s="21">
        <f>IF(AND($AL2278&lt;&gt;"",COUNTIF($AL$11:$AL2278,$AL2278)=1),1,0)</f>
        <v>0</v>
      </c>
      <c r="AW2278" s="21">
        <f t="shared" si="157"/>
        <v>0</v>
      </c>
      <c r="AX2278" s="21" t="str">
        <f t="shared" si="156"/>
        <v/>
      </c>
      <c r="AY2278" s="21" t="str">
        <f>IF(AND($AM2278&lt;&gt;"",$AS2278&lt;&gt;"✓"),SUMPRODUCT(($AM$11:$AM2278&lt;&gt;"")*($AS$11:$AS2278&lt;&gt;"✓")),"")</f>
        <v/>
      </c>
      <c r="AZ2278" s="21" t="str">
        <f>IF(AND($AM2278&lt;&gt;"",$AS2278="✓"),SUMPRODUCT(($AM$11:$AM2278&lt;&gt;"")*($AS$11:$AS2278="✓")),"")</f>
        <v/>
      </c>
      <c r="BA2278" s="21" t="str">
        <f>IF($AL2278="","",$AL2278&amp;"|"&amp;COUNTIF($AL$11:$AL2278,$AL2278))</f>
        <v/>
      </c>
    </row>
    <row r="2279" spans="38:53" ht="15" customHeight="1" x14ac:dyDescent="0.25">
      <c r="AL2279" s="17"/>
      <c r="AM2279" s="12"/>
      <c r="AN2279" s="18"/>
      <c r="AO2279" s="18"/>
      <c r="AP2279" s="10"/>
      <c r="AQ2279" s="10"/>
      <c r="AR2279" s="19"/>
      <c r="AS2279" s="20"/>
      <c r="AT2279" s="19"/>
      <c r="AV2279" s="21">
        <f>IF(AND($AL2279&lt;&gt;"",COUNTIF($AL$11:$AL2279,$AL2279)=1),1,0)</f>
        <v>0</v>
      </c>
      <c r="AW2279" s="21">
        <f t="shared" si="157"/>
        <v>0</v>
      </c>
      <c r="AX2279" s="21" t="str">
        <f t="shared" si="156"/>
        <v/>
      </c>
      <c r="AY2279" s="21" t="str">
        <f>IF(AND($AM2279&lt;&gt;"",$AS2279&lt;&gt;"✓"),SUMPRODUCT(($AM$11:$AM2279&lt;&gt;"")*($AS$11:$AS2279&lt;&gt;"✓")),"")</f>
        <v/>
      </c>
      <c r="AZ2279" s="21" t="str">
        <f>IF(AND($AM2279&lt;&gt;"",$AS2279="✓"),SUMPRODUCT(($AM$11:$AM2279&lt;&gt;"")*($AS$11:$AS2279="✓")),"")</f>
        <v/>
      </c>
      <c r="BA2279" s="21" t="str">
        <f>IF($AL2279="","",$AL2279&amp;"|"&amp;COUNTIF($AL$11:$AL2279,$AL2279))</f>
        <v/>
      </c>
    </row>
    <row r="2280" spans="38:53" ht="15" customHeight="1" x14ac:dyDescent="0.25">
      <c r="AL2280" s="31"/>
      <c r="AM2280" s="26"/>
      <c r="AN2280" s="32"/>
      <c r="AO2280" s="32"/>
      <c r="AP2280" s="24"/>
      <c r="AQ2280" s="24"/>
      <c r="AR2280" s="33"/>
      <c r="AS2280" s="34"/>
      <c r="AT2280" s="33"/>
      <c r="AV2280" s="21">
        <f>IF(AND($AL2280&lt;&gt;"",COUNTIF($AL$11:$AL2280,$AL2280)=1),1,0)</f>
        <v>0</v>
      </c>
      <c r="AW2280" s="21">
        <f t="shared" si="157"/>
        <v>0</v>
      </c>
      <c r="AX2280" s="21" t="str">
        <f t="shared" si="156"/>
        <v/>
      </c>
      <c r="AY2280" s="21" t="str">
        <f>IF(AND($AM2280&lt;&gt;"",$AS2280&lt;&gt;"✓"),SUMPRODUCT(($AM$11:$AM2280&lt;&gt;"")*($AS$11:$AS2280&lt;&gt;"✓")),"")</f>
        <v/>
      </c>
      <c r="AZ2280" s="21" t="str">
        <f>IF(AND($AM2280&lt;&gt;"",$AS2280="✓"),SUMPRODUCT(($AM$11:$AM2280&lt;&gt;"")*($AS$11:$AS2280="✓")),"")</f>
        <v/>
      </c>
      <c r="BA2280" s="21" t="str">
        <f>IF($AL2280="","",$AL2280&amp;"|"&amp;COUNTIF($AL$11:$AL2280,$AL2280))</f>
        <v/>
      </c>
    </row>
    <row r="2281" spans="38:53" ht="15" customHeight="1" x14ac:dyDescent="0.25">
      <c r="AL2281" s="17"/>
      <c r="AM2281" s="12"/>
      <c r="AN2281" s="18"/>
      <c r="AO2281" s="18"/>
      <c r="AP2281" s="10"/>
      <c r="AQ2281" s="10"/>
      <c r="AR2281" s="19"/>
      <c r="AS2281" s="20"/>
      <c r="AT2281" s="19"/>
      <c r="AV2281" s="21">
        <f>IF(AND($AL2281&lt;&gt;"",COUNTIF($AL$11:$AL2281,$AL2281)=1),1,0)</f>
        <v>0</v>
      </c>
      <c r="AW2281" s="21">
        <f t="shared" si="157"/>
        <v>0</v>
      </c>
      <c r="AX2281" s="21" t="str">
        <f t="shared" si="156"/>
        <v/>
      </c>
      <c r="AY2281" s="21" t="str">
        <f>IF(AND($AM2281&lt;&gt;"",$AS2281&lt;&gt;"✓"),SUMPRODUCT(($AM$11:$AM2281&lt;&gt;"")*($AS$11:$AS2281&lt;&gt;"✓")),"")</f>
        <v/>
      </c>
      <c r="AZ2281" s="21" t="str">
        <f>IF(AND($AM2281&lt;&gt;"",$AS2281="✓"),SUMPRODUCT(($AM$11:$AM2281&lt;&gt;"")*($AS$11:$AS2281="✓")),"")</f>
        <v/>
      </c>
      <c r="BA2281" s="21" t="str">
        <f>IF($AL2281="","",$AL2281&amp;"|"&amp;COUNTIF($AL$11:$AL2281,$AL2281))</f>
        <v/>
      </c>
    </row>
    <row r="2282" spans="38:53" ht="15" customHeight="1" x14ac:dyDescent="0.25">
      <c r="AL2282" s="31"/>
      <c r="AM2282" s="26"/>
      <c r="AN2282" s="32"/>
      <c r="AO2282" s="32"/>
      <c r="AP2282" s="24"/>
      <c r="AQ2282" s="24"/>
      <c r="AR2282" s="33"/>
      <c r="AS2282" s="34"/>
      <c r="AT2282" s="33"/>
      <c r="AV2282" s="21">
        <f>IF(AND($AL2282&lt;&gt;"",COUNTIF($AL$11:$AL2282,$AL2282)=1),1,0)</f>
        <v>0</v>
      </c>
      <c r="AW2282" s="21">
        <f t="shared" si="157"/>
        <v>0</v>
      </c>
      <c r="AX2282" s="21" t="str">
        <f t="shared" si="156"/>
        <v/>
      </c>
      <c r="AY2282" s="21" t="str">
        <f>IF(AND($AM2282&lt;&gt;"",$AS2282&lt;&gt;"✓"),SUMPRODUCT(($AM$11:$AM2282&lt;&gt;"")*($AS$11:$AS2282&lt;&gt;"✓")),"")</f>
        <v/>
      </c>
      <c r="AZ2282" s="21" t="str">
        <f>IF(AND($AM2282&lt;&gt;"",$AS2282="✓"),SUMPRODUCT(($AM$11:$AM2282&lt;&gt;"")*($AS$11:$AS2282="✓")),"")</f>
        <v/>
      </c>
      <c r="BA2282" s="21" t="str">
        <f>IF($AL2282="","",$AL2282&amp;"|"&amp;COUNTIF($AL$11:$AL2282,$AL2282))</f>
        <v/>
      </c>
    </row>
    <row r="2283" spans="38:53" ht="15" customHeight="1" x14ac:dyDescent="0.25">
      <c r="AL2283" s="17"/>
      <c r="AM2283" s="12"/>
      <c r="AN2283" s="18"/>
      <c r="AO2283" s="18"/>
      <c r="AP2283" s="10"/>
      <c r="AQ2283" s="10"/>
      <c r="AR2283" s="19"/>
      <c r="AS2283" s="20"/>
      <c r="AT2283" s="19"/>
      <c r="AV2283" s="21">
        <f>IF(AND($AL2283&lt;&gt;"",COUNTIF($AL$11:$AL2283,$AL2283)=1),1,0)</f>
        <v>0</v>
      </c>
      <c r="AW2283" s="21">
        <f t="shared" si="157"/>
        <v>0</v>
      </c>
      <c r="AX2283" s="21" t="str">
        <f t="shared" si="156"/>
        <v/>
      </c>
      <c r="AY2283" s="21" t="str">
        <f>IF(AND($AM2283&lt;&gt;"",$AS2283&lt;&gt;"✓"),SUMPRODUCT(($AM$11:$AM2283&lt;&gt;"")*($AS$11:$AS2283&lt;&gt;"✓")),"")</f>
        <v/>
      </c>
      <c r="AZ2283" s="21" t="str">
        <f>IF(AND($AM2283&lt;&gt;"",$AS2283="✓"),SUMPRODUCT(($AM$11:$AM2283&lt;&gt;"")*($AS$11:$AS2283="✓")),"")</f>
        <v/>
      </c>
      <c r="BA2283" s="21" t="str">
        <f>IF($AL2283="","",$AL2283&amp;"|"&amp;COUNTIF($AL$11:$AL2283,$AL2283))</f>
        <v/>
      </c>
    </row>
    <row r="2284" spans="38:53" ht="15" customHeight="1" x14ac:dyDescent="0.25">
      <c r="AL2284" s="31"/>
      <c r="AM2284" s="26"/>
      <c r="AN2284" s="32"/>
      <c r="AO2284" s="32"/>
      <c r="AP2284" s="24"/>
      <c r="AQ2284" s="24"/>
      <c r="AR2284" s="33"/>
      <c r="AS2284" s="34"/>
      <c r="AT2284" s="33"/>
      <c r="AV2284" s="21">
        <f>IF(AND($AL2284&lt;&gt;"",COUNTIF($AL$11:$AL2284,$AL2284)=1),1,0)</f>
        <v>0</v>
      </c>
      <c r="AW2284" s="21">
        <f t="shared" si="157"/>
        <v>0</v>
      </c>
      <c r="AX2284" s="21" t="str">
        <f t="shared" si="156"/>
        <v/>
      </c>
      <c r="AY2284" s="21" t="str">
        <f>IF(AND($AM2284&lt;&gt;"",$AS2284&lt;&gt;"✓"),SUMPRODUCT(($AM$11:$AM2284&lt;&gt;"")*($AS$11:$AS2284&lt;&gt;"✓")),"")</f>
        <v/>
      </c>
      <c r="AZ2284" s="21" t="str">
        <f>IF(AND($AM2284&lt;&gt;"",$AS2284="✓"),SUMPRODUCT(($AM$11:$AM2284&lt;&gt;"")*($AS$11:$AS2284="✓")),"")</f>
        <v/>
      </c>
      <c r="BA2284" s="21" t="str">
        <f>IF($AL2284="","",$AL2284&amp;"|"&amp;COUNTIF($AL$11:$AL2284,$AL2284))</f>
        <v/>
      </c>
    </row>
    <row r="2285" spans="38:53" ht="15" customHeight="1" x14ac:dyDescent="0.25">
      <c r="AL2285" s="17"/>
      <c r="AM2285" s="12"/>
      <c r="AN2285" s="18"/>
      <c r="AO2285" s="18"/>
      <c r="AP2285" s="10"/>
      <c r="AQ2285" s="10"/>
      <c r="AR2285" s="19"/>
      <c r="AS2285" s="20"/>
      <c r="AT2285" s="19"/>
      <c r="AV2285" s="21">
        <f>IF(AND($AL2285&lt;&gt;"",COUNTIF($AL$11:$AL2285,$AL2285)=1),1,0)</f>
        <v>0</v>
      </c>
      <c r="AW2285" s="21">
        <f t="shared" si="157"/>
        <v>0</v>
      </c>
      <c r="AX2285" s="21" t="str">
        <f t="shared" si="156"/>
        <v/>
      </c>
      <c r="AY2285" s="21" t="str">
        <f>IF(AND($AM2285&lt;&gt;"",$AS2285&lt;&gt;"✓"),SUMPRODUCT(($AM$11:$AM2285&lt;&gt;"")*($AS$11:$AS2285&lt;&gt;"✓")),"")</f>
        <v/>
      </c>
      <c r="AZ2285" s="21" t="str">
        <f>IF(AND($AM2285&lt;&gt;"",$AS2285="✓"),SUMPRODUCT(($AM$11:$AM2285&lt;&gt;"")*($AS$11:$AS2285="✓")),"")</f>
        <v/>
      </c>
      <c r="BA2285" s="21" t="str">
        <f>IF($AL2285="","",$AL2285&amp;"|"&amp;COUNTIF($AL$11:$AL2285,$AL2285))</f>
        <v/>
      </c>
    </row>
    <row r="2286" spans="38:53" ht="15" customHeight="1" x14ac:dyDescent="0.25">
      <c r="AL2286" s="31"/>
      <c r="AM2286" s="26"/>
      <c r="AN2286" s="32"/>
      <c r="AO2286" s="32"/>
      <c r="AP2286" s="24"/>
      <c r="AQ2286" s="24"/>
      <c r="AR2286" s="33"/>
      <c r="AS2286" s="34"/>
      <c r="AT2286" s="33"/>
      <c r="AV2286" s="21">
        <f>IF(AND($AL2286&lt;&gt;"",COUNTIF($AL$11:$AL2286,$AL2286)=1),1,0)</f>
        <v>0</v>
      </c>
      <c r="AW2286" s="21">
        <f t="shared" si="157"/>
        <v>0</v>
      </c>
      <c r="AX2286" s="21" t="str">
        <f t="shared" si="156"/>
        <v/>
      </c>
      <c r="AY2286" s="21" t="str">
        <f>IF(AND($AM2286&lt;&gt;"",$AS2286&lt;&gt;"✓"),SUMPRODUCT(($AM$11:$AM2286&lt;&gt;"")*($AS$11:$AS2286&lt;&gt;"✓")),"")</f>
        <v/>
      </c>
      <c r="AZ2286" s="21" t="str">
        <f>IF(AND($AM2286&lt;&gt;"",$AS2286="✓"),SUMPRODUCT(($AM$11:$AM2286&lt;&gt;"")*($AS$11:$AS2286="✓")),"")</f>
        <v/>
      </c>
      <c r="BA2286" s="21" t="str">
        <f>IF($AL2286="","",$AL2286&amp;"|"&amp;COUNTIF($AL$11:$AL2286,$AL2286))</f>
        <v/>
      </c>
    </row>
    <row r="2287" spans="38:53" ht="15" customHeight="1" x14ac:dyDescent="0.25">
      <c r="AL2287" s="17"/>
      <c r="AM2287" s="12"/>
      <c r="AN2287" s="18"/>
      <c r="AO2287" s="18"/>
      <c r="AP2287" s="10"/>
      <c r="AQ2287" s="10"/>
      <c r="AR2287" s="19"/>
      <c r="AS2287" s="20"/>
      <c r="AT2287" s="19"/>
      <c r="AV2287" s="21">
        <f>IF(AND($AL2287&lt;&gt;"",COUNTIF($AL$11:$AL2287,$AL2287)=1),1,0)</f>
        <v>0</v>
      </c>
      <c r="AW2287" s="21">
        <f t="shared" si="157"/>
        <v>0</v>
      </c>
      <c r="AX2287" s="21" t="str">
        <f t="shared" si="156"/>
        <v/>
      </c>
      <c r="AY2287" s="21" t="str">
        <f>IF(AND($AM2287&lt;&gt;"",$AS2287&lt;&gt;"✓"),SUMPRODUCT(($AM$11:$AM2287&lt;&gt;"")*($AS$11:$AS2287&lt;&gt;"✓")),"")</f>
        <v/>
      </c>
      <c r="AZ2287" s="21" t="str">
        <f>IF(AND($AM2287&lt;&gt;"",$AS2287="✓"),SUMPRODUCT(($AM$11:$AM2287&lt;&gt;"")*($AS$11:$AS2287="✓")),"")</f>
        <v/>
      </c>
      <c r="BA2287" s="21" t="str">
        <f>IF($AL2287="","",$AL2287&amp;"|"&amp;COUNTIF($AL$11:$AL2287,$AL2287))</f>
        <v/>
      </c>
    </row>
    <row r="2288" spans="38:53" ht="15" customHeight="1" x14ac:dyDescent="0.25">
      <c r="AL2288" s="31"/>
      <c r="AM2288" s="26"/>
      <c r="AN2288" s="32"/>
      <c r="AO2288" s="32"/>
      <c r="AP2288" s="24"/>
      <c r="AQ2288" s="24"/>
      <c r="AR2288" s="33"/>
      <c r="AS2288" s="34"/>
      <c r="AT2288" s="33"/>
      <c r="AV2288" s="21">
        <f>IF(AND($AL2288&lt;&gt;"",COUNTIF($AL$11:$AL2288,$AL2288)=1),1,0)</f>
        <v>0</v>
      </c>
      <c r="AW2288" s="21">
        <f t="shared" si="157"/>
        <v>0</v>
      </c>
      <c r="AX2288" s="21" t="str">
        <f t="shared" si="156"/>
        <v/>
      </c>
      <c r="AY2288" s="21" t="str">
        <f>IF(AND($AM2288&lt;&gt;"",$AS2288&lt;&gt;"✓"),SUMPRODUCT(($AM$11:$AM2288&lt;&gt;"")*($AS$11:$AS2288&lt;&gt;"✓")),"")</f>
        <v/>
      </c>
      <c r="AZ2288" s="21" t="str">
        <f>IF(AND($AM2288&lt;&gt;"",$AS2288="✓"),SUMPRODUCT(($AM$11:$AM2288&lt;&gt;"")*($AS$11:$AS2288="✓")),"")</f>
        <v/>
      </c>
      <c r="BA2288" s="21" t="str">
        <f>IF($AL2288="","",$AL2288&amp;"|"&amp;COUNTIF($AL$11:$AL2288,$AL2288))</f>
        <v/>
      </c>
    </row>
    <row r="2289" spans="38:53" ht="15" customHeight="1" x14ac:dyDescent="0.25">
      <c r="AL2289" s="17"/>
      <c r="AM2289" s="12"/>
      <c r="AN2289" s="18"/>
      <c r="AO2289" s="18"/>
      <c r="AP2289" s="10"/>
      <c r="AQ2289" s="10"/>
      <c r="AR2289" s="19"/>
      <c r="AS2289" s="20"/>
      <c r="AT2289" s="19"/>
      <c r="AV2289" s="21">
        <f>IF(AND($AL2289&lt;&gt;"",COUNTIF($AL$11:$AL2289,$AL2289)=1),1,0)</f>
        <v>0</v>
      </c>
      <c r="AW2289" s="21">
        <f t="shared" si="157"/>
        <v>0</v>
      </c>
      <c r="AX2289" s="21" t="str">
        <f t="shared" si="156"/>
        <v/>
      </c>
      <c r="AY2289" s="21" t="str">
        <f>IF(AND($AM2289&lt;&gt;"",$AS2289&lt;&gt;"✓"),SUMPRODUCT(($AM$11:$AM2289&lt;&gt;"")*($AS$11:$AS2289&lt;&gt;"✓")),"")</f>
        <v/>
      </c>
      <c r="AZ2289" s="21" t="str">
        <f>IF(AND($AM2289&lt;&gt;"",$AS2289="✓"),SUMPRODUCT(($AM$11:$AM2289&lt;&gt;"")*($AS$11:$AS2289="✓")),"")</f>
        <v/>
      </c>
      <c r="BA2289" s="21" t="str">
        <f>IF($AL2289="","",$AL2289&amp;"|"&amp;COUNTIF($AL$11:$AL2289,$AL2289))</f>
        <v/>
      </c>
    </row>
    <row r="2290" spans="38:53" ht="15" customHeight="1" x14ac:dyDescent="0.25">
      <c r="AL2290" s="31"/>
      <c r="AM2290" s="26"/>
      <c r="AN2290" s="32"/>
      <c r="AO2290" s="32"/>
      <c r="AP2290" s="24"/>
      <c r="AQ2290" s="24"/>
      <c r="AR2290" s="33"/>
      <c r="AS2290" s="34"/>
      <c r="AT2290" s="33"/>
      <c r="AV2290" s="21">
        <f>IF(AND($AL2290&lt;&gt;"",COUNTIF($AL$11:$AL2290,$AL2290)=1),1,0)</f>
        <v>0</v>
      </c>
      <c r="AW2290" s="21">
        <f t="shared" si="157"/>
        <v>0</v>
      </c>
      <c r="AX2290" s="21" t="str">
        <f t="shared" si="156"/>
        <v/>
      </c>
      <c r="AY2290" s="21" t="str">
        <f>IF(AND($AM2290&lt;&gt;"",$AS2290&lt;&gt;"✓"),SUMPRODUCT(($AM$11:$AM2290&lt;&gt;"")*($AS$11:$AS2290&lt;&gt;"✓")),"")</f>
        <v/>
      </c>
      <c r="AZ2290" s="21" t="str">
        <f>IF(AND($AM2290&lt;&gt;"",$AS2290="✓"),SUMPRODUCT(($AM$11:$AM2290&lt;&gt;"")*($AS$11:$AS2290="✓")),"")</f>
        <v/>
      </c>
      <c r="BA2290" s="21" t="str">
        <f>IF($AL2290="","",$AL2290&amp;"|"&amp;COUNTIF($AL$11:$AL2290,$AL2290))</f>
        <v/>
      </c>
    </row>
    <row r="2291" spans="38:53" ht="15" customHeight="1" x14ac:dyDescent="0.25">
      <c r="AL2291" s="17"/>
      <c r="AM2291" s="12"/>
      <c r="AN2291" s="18"/>
      <c r="AO2291" s="18"/>
      <c r="AP2291" s="10"/>
      <c r="AQ2291" s="10"/>
      <c r="AR2291" s="19"/>
      <c r="AS2291" s="20"/>
      <c r="AT2291" s="19"/>
      <c r="AV2291" s="21">
        <f>IF(AND($AL2291&lt;&gt;"",COUNTIF($AL$11:$AL2291,$AL2291)=1),1,0)</f>
        <v>0</v>
      </c>
      <c r="AW2291" s="21">
        <f t="shared" si="157"/>
        <v>0</v>
      </c>
      <c r="AX2291" s="21" t="str">
        <f t="shared" si="156"/>
        <v/>
      </c>
      <c r="AY2291" s="21" t="str">
        <f>IF(AND($AM2291&lt;&gt;"",$AS2291&lt;&gt;"✓"),SUMPRODUCT(($AM$11:$AM2291&lt;&gt;"")*($AS$11:$AS2291&lt;&gt;"✓")),"")</f>
        <v/>
      </c>
      <c r="AZ2291" s="21" t="str">
        <f>IF(AND($AM2291&lt;&gt;"",$AS2291="✓"),SUMPRODUCT(($AM$11:$AM2291&lt;&gt;"")*($AS$11:$AS2291="✓")),"")</f>
        <v/>
      </c>
      <c r="BA2291" s="21" t="str">
        <f>IF($AL2291="","",$AL2291&amp;"|"&amp;COUNTIF($AL$11:$AL2291,$AL2291))</f>
        <v/>
      </c>
    </row>
    <row r="2292" spans="38:53" ht="15" customHeight="1" x14ac:dyDescent="0.25">
      <c r="AL2292" s="31"/>
      <c r="AM2292" s="26"/>
      <c r="AN2292" s="32"/>
      <c r="AO2292" s="32"/>
      <c r="AP2292" s="24"/>
      <c r="AQ2292" s="24"/>
      <c r="AR2292" s="33"/>
      <c r="AS2292" s="34"/>
      <c r="AT2292" s="33"/>
      <c r="AV2292" s="21">
        <f>IF(AND($AL2292&lt;&gt;"",COUNTIF($AL$11:$AL2292,$AL2292)=1),1,0)</f>
        <v>0</v>
      </c>
      <c r="AW2292" s="21">
        <f t="shared" si="157"/>
        <v>0</v>
      </c>
      <c r="AX2292" s="21" t="str">
        <f t="shared" si="156"/>
        <v/>
      </c>
      <c r="AY2292" s="21" t="str">
        <f>IF(AND($AM2292&lt;&gt;"",$AS2292&lt;&gt;"✓"),SUMPRODUCT(($AM$11:$AM2292&lt;&gt;"")*($AS$11:$AS2292&lt;&gt;"✓")),"")</f>
        <v/>
      </c>
      <c r="AZ2292" s="21" t="str">
        <f>IF(AND($AM2292&lt;&gt;"",$AS2292="✓"),SUMPRODUCT(($AM$11:$AM2292&lt;&gt;"")*($AS$11:$AS2292="✓")),"")</f>
        <v/>
      </c>
      <c r="BA2292" s="21" t="str">
        <f>IF($AL2292="","",$AL2292&amp;"|"&amp;COUNTIF($AL$11:$AL2292,$AL2292))</f>
        <v/>
      </c>
    </row>
    <row r="2293" spans="38:53" ht="15" customHeight="1" x14ac:dyDescent="0.25">
      <c r="AL2293" s="17"/>
      <c r="AM2293" s="12"/>
      <c r="AN2293" s="18"/>
      <c r="AO2293" s="18"/>
      <c r="AP2293" s="10"/>
      <c r="AQ2293" s="10"/>
      <c r="AR2293" s="19"/>
      <c r="AS2293" s="20"/>
      <c r="AT2293" s="19"/>
      <c r="AV2293" s="21">
        <f>IF(AND($AL2293&lt;&gt;"",COUNTIF($AL$11:$AL2293,$AL2293)=1),1,0)</f>
        <v>0</v>
      </c>
      <c r="AW2293" s="21">
        <f t="shared" si="157"/>
        <v>0</v>
      </c>
      <c r="AX2293" s="21" t="str">
        <f t="shared" si="156"/>
        <v/>
      </c>
      <c r="AY2293" s="21" t="str">
        <f>IF(AND($AM2293&lt;&gt;"",$AS2293&lt;&gt;"✓"),SUMPRODUCT(($AM$11:$AM2293&lt;&gt;"")*($AS$11:$AS2293&lt;&gt;"✓")),"")</f>
        <v/>
      </c>
      <c r="AZ2293" s="21" t="str">
        <f>IF(AND($AM2293&lt;&gt;"",$AS2293="✓"),SUMPRODUCT(($AM$11:$AM2293&lt;&gt;"")*($AS$11:$AS2293="✓")),"")</f>
        <v/>
      </c>
      <c r="BA2293" s="21" t="str">
        <f>IF($AL2293="","",$AL2293&amp;"|"&amp;COUNTIF($AL$11:$AL2293,$AL2293))</f>
        <v/>
      </c>
    </row>
    <row r="2294" spans="38:53" ht="15" customHeight="1" x14ac:dyDescent="0.25">
      <c r="AL2294" s="31"/>
      <c r="AM2294" s="26"/>
      <c r="AN2294" s="32"/>
      <c r="AO2294" s="32"/>
      <c r="AP2294" s="24"/>
      <c r="AQ2294" s="24"/>
      <c r="AR2294" s="33"/>
      <c r="AS2294" s="34"/>
      <c r="AT2294" s="33"/>
      <c r="AV2294" s="21">
        <f>IF(AND($AL2294&lt;&gt;"",COUNTIF($AL$11:$AL2294,$AL2294)=1),1,0)</f>
        <v>0</v>
      </c>
      <c r="AW2294" s="21">
        <f t="shared" si="157"/>
        <v>0</v>
      </c>
      <c r="AX2294" s="21" t="str">
        <f t="shared" si="156"/>
        <v/>
      </c>
      <c r="AY2294" s="21" t="str">
        <f>IF(AND($AM2294&lt;&gt;"",$AS2294&lt;&gt;"✓"),SUMPRODUCT(($AM$11:$AM2294&lt;&gt;"")*($AS$11:$AS2294&lt;&gt;"✓")),"")</f>
        <v/>
      </c>
      <c r="AZ2294" s="21" t="str">
        <f>IF(AND($AM2294&lt;&gt;"",$AS2294="✓"),SUMPRODUCT(($AM$11:$AM2294&lt;&gt;"")*($AS$11:$AS2294="✓")),"")</f>
        <v/>
      </c>
      <c r="BA2294" s="21" t="str">
        <f>IF($AL2294="","",$AL2294&amp;"|"&amp;COUNTIF($AL$11:$AL2294,$AL2294))</f>
        <v/>
      </c>
    </row>
    <row r="2295" spans="38:53" ht="15" customHeight="1" x14ac:dyDescent="0.25">
      <c r="AL2295" s="17"/>
      <c r="AM2295" s="12"/>
      <c r="AN2295" s="18"/>
      <c r="AO2295" s="18"/>
      <c r="AP2295" s="10"/>
      <c r="AQ2295" s="10"/>
      <c r="AR2295" s="19"/>
      <c r="AS2295" s="20"/>
      <c r="AT2295" s="19"/>
      <c r="AV2295" s="21">
        <f>IF(AND($AL2295&lt;&gt;"",COUNTIF($AL$11:$AL2295,$AL2295)=1),1,0)</f>
        <v>0</v>
      </c>
      <c r="AW2295" s="21">
        <f t="shared" si="157"/>
        <v>0</v>
      </c>
      <c r="AX2295" s="21" t="str">
        <f t="shared" si="156"/>
        <v/>
      </c>
      <c r="AY2295" s="21" t="str">
        <f>IF(AND($AM2295&lt;&gt;"",$AS2295&lt;&gt;"✓"),SUMPRODUCT(($AM$11:$AM2295&lt;&gt;"")*($AS$11:$AS2295&lt;&gt;"✓")),"")</f>
        <v/>
      </c>
      <c r="AZ2295" s="21" t="str">
        <f>IF(AND($AM2295&lt;&gt;"",$AS2295="✓"),SUMPRODUCT(($AM$11:$AM2295&lt;&gt;"")*($AS$11:$AS2295="✓")),"")</f>
        <v/>
      </c>
      <c r="BA2295" s="21" t="str">
        <f>IF($AL2295="","",$AL2295&amp;"|"&amp;COUNTIF($AL$11:$AL2295,$AL2295))</f>
        <v/>
      </c>
    </row>
    <row r="2296" spans="38:53" ht="15" customHeight="1" x14ac:dyDescent="0.25">
      <c r="AL2296" s="31"/>
      <c r="AM2296" s="26"/>
      <c r="AN2296" s="32"/>
      <c r="AO2296" s="32"/>
      <c r="AP2296" s="24"/>
      <c r="AQ2296" s="24"/>
      <c r="AR2296" s="33"/>
      <c r="AS2296" s="34"/>
      <c r="AT2296" s="33"/>
      <c r="AV2296" s="21">
        <f>IF(AND($AL2296&lt;&gt;"",COUNTIF($AL$11:$AL2296,$AL2296)=1),1,0)</f>
        <v>0</v>
      </c>
      <c r="AW2296" s="21">
        <f t="shared" si="157"/>
        <v>0</v>
      </c>
      <c r="AX2296" s="21" t="str">
        <f t="shared" si="156"/>
        <v/>
      </c>
      <c r="AY2296" s="21" t="str">
        <f>IF(AND($AM2296&lt;&gt;"",$AS2296&lt;&gt;"✓"),SUMPRODUCT(($AM$11:$AM2296&lt;&gt;"")*($AS$11:$AS2296&lt;&gt;"✓")),"")</f>
        <v/>
      </c>
      <c r="AZ2296" s="21" t="str">
        <f>IF(AND($AM2296&lt;&gt;"",$AS2296="✓"),SUMPRODUCT(($AM$11:$AM2296&lt;&gt;"")*($AS$11:$AS2296="✓")),"")</f>
        <v/>
      </c>
      <c r="BA2296" s="21" t="str">
        <f>IF($AL2296="","",$AL2296&amp;"|"&amp;COUNTIF($AL$11:$AL2296,$AL2296))</f>
        <v/>
      </c>
    </row>
    <row r="2297" spans="38:53" ht="15" customHeight="1" x14ac:dyDescent="0.25">
      <c r="AL2297" s="17"/>
      <c r="AM2297" s="12"/>
      <c r="AN2297" s="18"/>
      <c r="AO2297" s="18"/>
      <c r="AP2297" s="10"/>
      <c r="AQ2297" s="10"/>
      <c r="AR2297" s="19"/>
      <c r="AS2297" s="20"/>
      <c r="AT2297" s="19"/>
      <c r="AV2297" s="21">
        <f>IF(AND($AL2297&lt;&gt;"",COUNTIF($AL$11:$AL2297,$AL2297)=1),1,0)</f>
        <v>0</v>
      </c>
      <c r="AW2297" s="21">
        <f t="shared" si="157"/>
        <v>0</v>
      </c>
      <c r="AX2297" s="21" t="str">
        <f t="shared" si="156"/>
        <v/>
      </c>
      <c r="AY2297" s="21" t="str">
        <f>IF(AND($AM2297&lt;&gt;"",$AS2297&lt;&gt;"✓"),SUMPRODUCT(($AM$11:$AM2297&lt;&gt;"")*($AS$11:$AS2297&lt;&gt;"✓")),"")</f>
        <v/>
      </c>
      <c r="AZ2297" s="21" t="str">
        <f>IF(AND($AM2297&lt;&gt;"",$AS2297="✓"),SUMPRODUCT(($AM$11:$AM2297&lt;&gt;"")*($AS$11:$AS2297="✓")),"")</f>
        <v/>
      </c>
      <c r="BA2297" s="21" t="str">
        <f>IF($AL2297="","",$AL2297&amp;"|"&amp;COUNTIF($AL$11:$AL2297,$AL2297))</f>
        <v/>
      </c>
    </row>
    <row r="2298" spans="38:53" ht="15" customHeight="1" x14ac:dyDescent="0.25">
      <c r="AL2298" s="31"/>
      <c r="AM2298" s="26"/>
      <c r="AN2298" s="32"/>
      <c r="AO2298" s="32"/>
      <c r="AP2298" s="24"/>
      <c r="AQ2298" s="24"/>
      <c r="AR2298" s="33"/>
      <c r="AS2298" s="34"/>
      <c r="AT2298" s="33"/>
      <c r="AV2298" s="21">
        <f>IF(AND($AL2298&lt;&gt;"",COUNTIF($AL$11:$AL2298,$AL2298)=1),1,0)</f>
        <v>0</v>
      </c>
      <c r="AW2298" s="21">
        <f t="shared" si="157"/>
        <v>0</v>
      </c>
      <c r="AX2298" s="21" t="str">
        <f t="shared" si="156"/>
        <v/>
      </c>
      <c r="AY2298" s="21" t="str">
        <f>IF(AND($AM2298&lt;&gt;"",$AS2298&lt;&gt;"✓"),SUMPRODUCT(($AM$11:$AM2298&lt;&gt;"")*($AS$11:$AS2298&lt;&gt;"✓")),"")</f>
        <v/>
      </c>
      <c r="AZ2298" s="21" t="str">
        <f>IF(AND($AM2298&lt;&gt;"",$AS2298="✓"),SUMPRODUCT(($AM$11:$AM2298&lt;&gt;"")*($AS$11:$AS2298="✓")),"")</f>
        <v/>
      </c>
      <c r="BA2298" s="21" t="str">
        <f>IF($AL2298="","",$AL2298&amp;"|"&amp;COUNTIF($AL$11:$AL2298,$AL2298))</f>
        <v/>
      </c>
    </row>
    <row r="2299" spans="38:53" ht="15" customHeight="1" x14ac:dyDescent="0.25">
      <c r="AL2299" s="17"/>
      <c r="AM2299" s="12"/>
      <c r="AN2299" s="18"/>
      <c r="AO2299" s="18"/>
      <c r="AP2299" s="10"/>
      <c r="AQ2299" s="10"/>
      <c r="AR2299" s="19"/>
      <c r="AS2299" s="20"/>
      <c r="AT2299" s="19"/>
      <c r="AV2299" s="21">
        <f>IF(AND($AL2299&lt;&gt;"",COUNTIF($AL$11:$AL2299,$AL2299)=1),1,0)</f>
        <v>0</v>
      </c>
      <c r="AW2299" s="21">
        <f t="shared" si="157"/>
        <v>0</v>
      </c>
      <c r="AX2299" s="21" t="str">
        <f t="shared" si="156"/>
        <v/>
      </c>
      <c r="AY2299" s="21" t="str">
        <f>IF(AND($AM2299&lt;&gt;"",$AS2299&lt;&gt;"✓"),SUMPRODUCT(($AM$11:$AM2299&lt;&gt;"")*($AS$11:$AS2299&lt;&gt;"✓")),"")</f>
        <v/>
      </c>
      <c r="AZ2299" s="21" t="str">
        <f>IF(AND($AM2299&lt;&gt;"",$AS2299="✓"),SUMPRODUCT(($AM$11:$AM2299&lt;&gt;"")*($AS$11:$AS2299="✓")),"")</f>
        <v/>
      </c>
      <c r="BA2299" s="21" t="str">
        <f>IF($AL2299="","",$AL2299&amp;"|"&amp;COUNTIF($AL$11:$AL2299,$AL2299))</f>
        <v/>
      </c>
    </row>
    <row r="2300" spans="38:53" ht="15" customHeight="1" x14ac:dyDescent="0.25">
      <c r="AL2300" s="31"/>
      <c r="AM2300" s="26"/>
      <c r="AN2300" s="32"/>
      <c r="AO2300" s="32"/>
      <c r="AP2300" s="24"/>
      <c r="AQ2300" s="24"/>
      <c r="AR2300" s="33"/>
      <c r="AS2300" s="34"/>
      <c r="AT2300" s="33"/>
      <c r="AV2300" s="21">
        <f>IF(AND($AL2300&lt;&gt;"",COUNTIF($AL$11:$AL2300,$AL2300)=1),1,0)</f>
        <v>0</v>
      </c>
      <c r="AW2300" s="21">
        <f t="shared" si="157"/>
        <v>0</v>
      </c>
      <c r="AX2300" s="21" t="str">
        <f t="shared" si="156"/>
        <v/>
      </c>
      <c r="AY2300" s="21" t="str">
        <f>IF(AND($AM2300&lt;&gt;"",$AS2300&lt;&gt;"✓"),SUMPRODUCT(($AM$11:$AM2300&lt;&gt;"")*($AS$11:$AS2300&lt;&gt;"✓")),"")</f>
        <v/>
      </c>
      <c r="AZ2300" s="21" t="str">
        <f>IF(AND($AM2300&lt;&gt;"",$AS2300="✓"),SUMPRODUCT(($AM$11:$AM2300&lt;&gt;"")*($AS$11:$AS2300="✓")),"")</f>
        <v/>
      </c>
      <c r="BA2300" s="21" t="str">
        <f>IF($AL2300="","",$AL2300&amp;"|"&amp;COUNTIF($AL$11:$AL2300,$AL2300))</f>
        <v/>
      </c>
    </row>
    <row r="2301" spans="38:53" ht="15" customHeight="1" x14ac:dyDescent="0.25">
      <c r="AL2301" s="17"/>
      <c r="AM2301" s="12"/>
      <c r="AN2301" s="18"/>
      <c r="AO2301" s="18"/>
      <c r="AP2301" s="10"/>
      <c r="AQ2301" s="10"/>
      <c r="AR2301" s="19"/>
      <c r="AS2301" s="20"/>
      <c r="AT2301" s="19"/>
      <c r="AV2301" s="21">
        <f>IF(AND($AL2301&lt;&gt;"",COUNTIF($AL$11:$AL2301,$AL2301)=1),1,0)</f>
        <v>0</v>
      </c>
      <c r="AW2301" s="21">
        <f t="shared" si="157"/>
        <v>0</v>
      </c>
      <c r="AX2301" s="21" t="str">
        <f t="shared" si="156"/>
        <v/>
      </c>
      <c r="AY2301" s="21" t="str">
        <f>IF(AND($AM2301&lt;&gt;"",$AS2301&lt;&gt;"✓"),SUMPRODUCT(($AM$11:$AM2301&lt;&gt;"")*($AS$11:$AS2301&lt;&gt;"✓")),"")</f>
        <v/>
      </c>
      <c r="AZ2301" s="21" t="str">
        <f>IF(AND($AM2301&lt;&gt;"",$AS2301="✓"),SUMPRODUCT(($AM$11:$AM2301&lt;&gt;"")*($AS$11:$AS2301="✓")),"")</f>
        <v/>
      </c>
      <c r="BA2301" s="21" t="str">
        <f>IF($AL2301="","",$AL2301&amp;"|"&amp;COUNTIF($AL$11:$AL2301,$AL2301))</f>
        <v/>
      </c>
    </row>
    <row r="2302" spans="38:53" ht="15" customHeight="1" x14ac:dyDescent="0.25">
      <c r="AL2302" s="31"/>
      <c r="AM2302" s="26"/>
      <c r="AN2302" s="32"/>
      <c r="AO2302" s="32"/>
      <c r="AP2302" s="24"/>
      <c r="AQ2302" s="24"/>
      <c r="AR2302" s="33"/>
      <c r="AS2302" s="34"/>
      <c r="AT2302" s="33"/>
      <c r="AV2302" s="21">
        <f>IF(AND($AL2302&lt;&gt;"",COUNTIF($AL$11:$AL2302,$AL2302)=1),1,0)</f>
        <v>0</v>
      </c>
      <c r="AW2302" s="21">
        <f t="shared" si="157"/>
        <v>0</v>
      </c>
      <c r="AX2302" s="21" t="str">
        <f t="shared" si="156"/>
        <v/>
      </c>
      <c r="AY2302" s="21" t="str">
        <f>IF(AND($AM2302&lt;&gt;"",$AS2302&lt;&gt;"✓"),SUMPRODUCT(($AM$11:$AM2302&lt;&gt;"")*($AS$11:$AS2302&lt;&gt;"✓")),"")</f>
        <v/>
      </c>
      <c r="AZ2302" s="21" t="str">
        <f>IF(AND($AM2302&lt;&gt;"",$AS2302="✓"),SUMPRODUCT(($AM$11:$AM2302&lt;&gt;"")*($AS$11:$AS2302="✓")),"")</f>
        <v/>
      </c>
      <c r="BA2302" s="21" t="str">
        <f>IF($AL2302="","",$AL2302&amp;"|"&amp;COUNTIF($AL$11:$AL2302,$AL2302))</f>
        <v/>
      </c>
    </row>
    <row r="2303" spans="38:53" ht="15" customHeight="1" x14ac:dyDescent="0.25">
      <c r="AL2303" s="17"/>
      <c r="AM2303" s="12"/>
      <c r="AN2303" s="18"/>
      <c r="AO2303" s="18"/>
      <c r="AP2303" s="10"/>
      <c r="AQ2303" s="10"/>
      <c r="AR2303" s="19"/>
      <c r="AS2303" s="20"/>
      <c r="AT2303" s="19"/>
      <c r="AV2303" s="21">
        <f>IF(AND($AL2303&lt;&gt;"",COUNTIF($AL$11:$AL2303,$AL2303)=1),1,0)</f>
        <v>0</v>
      </c>
      <c r="AW2303" s="21">
        <f t="shared" si="157"/>
        <v>0</v>
      </c>
      <c r="AX2303" s="21" t="str">
        <f t="shared" si="156"/>
        <v/>
      </c>
      <c r="AY2303" s="21" t="str">
        <f>IF(AND($AM2303&lt;&gt;"",$AS2303&lt;&gt;"✓"),SUMPRODUCT(($AM$11:$AM2303&lt;&gt;"")*($AS$11:$AS2303&lt;&gt;"✓")),"")</f>
        <v/>
      </c>
      <c r="AZ2303" s="21" t="str">
        <f>IF(AND($AM2303&lt;&gt;"",$AS2303="✓"),SUMPRODUCT(($AM$11:$AM2303&lt;&gt;"")*($AS$11:$AS2303="✓")),"")</f>
        <v/>
      </c>
      <c r="BA2303" s="21" t="str">
        <f>IF($AL2303="","",$AL2303&amp;"|"&amp;COUNTIF($AL$11:$AL2303,$AL2303))</f>
        <v/>
      </c>
    </row>
    <row r="2304" spans="38:53" ht="15" customHeight="1" x14ac:dyDescent="0.25">
      <c r="AL2304" s="31"/>
      <c r="AM2304" s="26"/>
      <c r="AN2304" s="32"/>
      <c r="AO2304" s="32"/>
      <c r="AP2304" s="24"/>
      <c r="AQ2304" s="24"/>
      <c r="AR2304" s="33"/>
      <c r="AS2304" s="34"/>
      <c r="AT2304" s="33"/>
      <c r="AV2304" s="21">
        <f>IF(AND($AL2304&lt;&gt;"",COUNTIF($AL$11:$AL2304,$AL2304)=1),1,0)</f>
        <v>0</v>
      </c>
      <c r="AW2304" s="21">
        <f t="shared" si="157"/>
        <v>0</v>
      </c>
      <c r="AX2304" s="21" t="str">
        <f t="shared" si="156"/>
        <v/>
      </c>
      <c r="AY2304" s="21" t="str">
        <f>IF(AND($AM2304&lt;&gt;"",$AS2304&lt;&gt;"✓"),SUMPRODUCT(($AM$11:$AM2304&lt;&gt;"")*($AS$11:$AS2304&lt;&gt;"✓")),"")</f>
        <v/>
      </c>
      <c r="AZ2304" s="21" t="str">
        <f>IF(AND($AM2304&lt;&gt;"",$AS2304="✓"),SUMPRODUCT(($AM$11:$AM2304&lt;&gt;"")*($AS$11:$AS2304="✓")),"")</f>
        <v/>
      </c>
      <c r="BA2304" s="21" t="str">
        <f>IF($AL2304="","",$AL2304&amp;"|"&amp;COUNTIF($AL$11:$AL2304,$AL2304))</f>
        <v/>
      </c>
    </row>
    <row r="2305" spans="38:53" ht="15" customHeight="1" x14ac:dyDescent="0.25">
      <c r="AL2305" s="17"/>
      <c r="AM2305" s="12"/>
      <c r="AN2305" s="18"/>
      <c r="AO2305" s="18"/>
      <c r="AP2305" s="10"/>
      <c r="AQ2305" s="10"/>
      <c r="AR2305" s="19"/>
      <c r="AS2305" s="20"/>
      <c r="AT2305" s="19"/>
      <c r="AV2305" s="21">
        <f>IF(AND($AL2305&lt;&gt;"",COUNTIF($AL$11:$AL2305,$AL2305)=1),1,0)</f>
        <v>0</v>
      </c>
      <c r="AW2305" s="21">
        <f t="shared" si="157"/>
        <v>0</v>
      </c>
      <c r="AX2305" s="21" t="str">
        <f t="shared" si="156"/>
        <v/>
      </c>
      <c r="AY2305" s="21" t="str">
        <f>IF(AND($AM2305&lt;&gt;"",$AS2305&lt;&gt;"✓"),SUMPRODUCT(($AM$11:$AM2305&lt;&gt;"")*($AS$11:$AS2305&lt;&gt;"✓")),"")</f>
        <v/>
      </c>
      <c r="AZ2305" s="21" t="str">
        <f>IF(AND($AM2305&lt;&gt;"",$AS2305="✓"),SUMPRODUCT(($AM$11:$AM2305&lt;&gt;"")*($AS$11:$AS2305="✓")),"")</f>
        <v/>
      </c>
      <c r="BA2305" s="21" t="str">
        <f>IF($AL2305="","",$AL2305&amp;"|"&amp;COUNTIF($AL$11:$AL2305,$AL2305))</f>
        <v/>
      </c>
    </row>
    <row r="2306" spans="38:53" ht="15" customHeight="1" x14ac:dyDescent="0.25">
      <c r="AL2306" s="31"/>
      <c r="AM2306" s="26"/>
      <c r="AN2306" s="32"/>
      <c r="AO2306" s="32"/>
      <c r="AP2306" s="24"/>
      <c r="AQ2306" s="24"/>
      <c r="AR2306" s="33"/>
      <c r="AS2306" s="34"/>
      <c r="AT2306" s="33"/>
      <c r="AV2306" s="21">
        <f>IF(AND($AL2306&lt;&gt;"",COUNTIF($AL$11:$AL2306,$AL2306)=1),1,0)</f>
        <v>0</v>
      </c>
      <c r="AW2306" s="21">
        <f t="shared" si="157"/>
        <v>0</v>
      </c>
      <c r="AX2306" s="21" t="str">
        <f t="shared" si="156"/>
        <v/>
      </c>
      <c r="AY2306" s="21" t="str">
        <f>IF(AND($AM2306&lt;&gt;"",$AS2306&lt;&gt;"✓"),SUMPRODUCT(($AM$11:$AM2306&lt;&gt;"")*($AS$11:$AS2306&lt;&gt;"✓")),"")</f>
        <v/>
      </c>
      <c r="AZ2306" s="21" t="str">
        <f>IF(AND($AM2306&lt;&gt;"",$AS2306="✓"),SUMPRODUCT(($AM$11:$AM2306&lt;&gt;"")*($AS$11:$AS2306="✓")),"")</f>
        <v/>
      </c>
      <c r="BA2306" s="21" t="str">
        <f>IF($AL2306="","",$AL2306&amp;"|"&amp;COUNTIF($AL$11:$AL2306,$AL2306))</f>
        <v/>
      </c>
    </row>
    <row r="2307" spans="38:53" ht="15" customHeight="1" x14ac:dyDescent="0.25">
      <c r="AL2307" s="17"/>
      <c r="AM2307" s="12"/>
      <c r="AN2307" s="18"/>
      <c r="AO2307" s="18"/>
      <c r="AP2307" s="10"/>
      <c r="AQ2307" s="10"/>
      <c r="AR2307" s="19"/>
      <c r="AS2307" s="20"/>
      <c r="AT2307" s="19"/>
      <c r="AV2307" s="21">
        <f>IF(AND($AL2307&lt;&gt;"",COUNTIF($AL$11:$AL2307,$AL2307)=1),1,0)</f>
        <v>0</v>
      </c>
      <c r="AW2307" s="21">
        <f t="shared" si="157"/>
        <v>0</v>
      </c>
      <c r="AX2307" s="21" t="str">
        <f t="shared" si="156"/>
        <v/>
      </c>
      <c r="AY2307" s="21" t="str">
        <f>IF(AND($AM2307&lt;&gt;"",$AS2307&lt;&gt;"✓"),SUMPRODUCT(($AM$11:$AM2307&lt;&gt;"")*($AS$11:$AS2307&lt;&gt;"✓")),"")</f>
        <v/>
      </c>
      <c r="AZ2307" s="21" t="str">
        <f>IF(AND($AM2307&lt;&gt;"",$AS2307="✓"),SUMPRODUCT(($AM$11:$AM2307&lt;&gt;"")*($AS$11:$AS2307="✓")),"")</f>
        <v/>
      </c>
      <c r="BA2307" s="21" t="str">
        <f>IF($AL2307="","",$AL2307&amp;"|"&amp;COUNTIF($AL$11:$AL2307,$AL2307))</f>
        <v/>
      </c>
    </row>
    <row r="2308" spans="38:53" ht="15" customHeight="1" x14ac:dyDescent="0.25">
      <c r="AL2308" s="31"/>
      <c r="AM2308" s="26"/>
      <c r="AN2308" s="32"/>
      <c r="AO2308" s="32"/>
      <c r="AP2308" s="24"/>
      <c r="AQ2308" s="24"/>
      <c r="AR2308" s="33"/>
      <c r="AS2308" s="34"/>
      <c r="AT2308" s="33"/>
      <c r="AV2308" s="21">
        <f>IF(AND($AL2308&lt;&gt;"",COUNTIF($AL$11:$AL2308,$AL2308)=1),1,0)</f>
        <v>0</v>
      </c>
      <c r="AW2308" s="21">
        <f t="shared" si="157"/>
        <v>0</v>
      </c>
      <c r="AX2308" s="21" t="str">
        <f t="shared" si="156"/>
        <v/>
      </c>
      <c r="AY2308" s="21" t="str">
        <f>IF(AND($AM2308&lt;&gt;"",$AS2308&lt;&gt;"✓"),SUMPRODUCT(($AM$11:$AM2308&lt;&gt;"")*($AS$11:$AS2308&lt;&gt;"✓")),"")</f>
        <v/>
      </c>
      <c r="AZ2308" s="21" t="str">
        <f>IF(AND($AM2308&lt;&gt;"",$AS2308="✓"),SUMPRODUCT(($AM$11:$AM2308&lt;&gt;"")*($AS$11:$AS2308="✓")),"")</f>
        <v/>
      </c>
      <c r="BA2308" s="21" t="str">
        <f>IF($AL2308="","",$AL2308&amp;"|"&amp;COUNTIF($AL$11:$AL2308,$AL2308))</f>
        <v/>
      </c>
    </row>
    <row r="2309" spans="38:53" ht="15" customHeight="1" x14ac:dyDescent="0.25">
      <c r="AL2309" s="17"/>
      <c r="AM2309" s="12"/>
      <c r="AN2309" s="18"/>
      <c r="AO2309" s="18"/>
      <c r="AP2309" s="10"/>
      <c r="AQ2309" s="10"/>
      <c r="AR2309" s="19"/>
      <c r="AS2309" s="20"/>
      <c r="AT2309" s="19"/>
      <c r="AV2309" s="21">
        <f>IF(AND($AL2309&lt;&gt;"",COUNTIF($AL$11:$AL2309,$AL2309)=1),1,0)</f>
        <v>0</v>
      </c>
      <c r="AW2309" s="21">
        <f t="shared" si="157"/>
        <v>0</v>
      </c>
      <c r="AX2309" s="21" t="str">
        <f t="shared" si="156"/>
        <v/>
      </c>
      <c r="AY2309" s="21" t="str">
        <f>IF(AND($AM2309&lt;&gt;"",$AS2309&lt;&gt;"✓"),SUMPRODUCT(($AM$11:$AM2309&lt;&gt;"")*($AS$11:$AS2309&lt;&gt;"✓")),"")</f>
        <v/>
      </c>
      <c r="AZ2309" s="21" t="str">
        <f>IF(AND($AM2309&lt;&gt;"",$AS2309="✓"),SUMPRODUCT(($AM$11:$AM2309&lt;&gt;"")*($AS$11:$AS2309="✓")),"")</f>
        <v/>
      </c>
      <c r="BA2309" s="21" t="str">
        <f>IF($AL2309="","",$AL2309&amp;"|"&amp;COUNTIF($AL$11:$AL2309,$AL2309))</f>
        <v/>
      </c>
    </row>
    <row r="2310" spans="38:53" ht="15" customHeight="1" x14ac:dyDescent="0.25">
      <c r="AL2310" s="31"/>
      <c r="AM2310" s="26"/>
      <c r="AN2310" s="32"/>
      <c r="AO2310" s="32"/>
      <c r="AP2310" s="24"/>
      <c r="AQ2310" s="24"/>
      <c r="AR2310" s="33"/>
      <c r="AS2310" s="34"/>
      <c r="AT2310" s="33"/>
      <c r="AV2310" s="21">
        <f>IF(AND($AL2310&lt;&gt;"",COUNTIF($AL$11:$AL2310,$AL2310)=1),1,0)</f>
        <v>0</v>
      </c>
      <c r="AW2310" s="21">
        <f t="shared" si="157"/>
        <v>0</v>
      </c>
      <c r="AX2310" s="21" t="str">
        <f t="shared" si="156"/>
        <v/>
      </c>
      <c r="AY2310" s="21" t="str">
        <f>IF(AND($AM2310&lt;&gt;"",$AS2310&lt;&gt;"✓"),SUMPRODUCT(($AM$11:$AM2310&lt;&gt;"")*($AS$11:$AS2310&lt;&gt;"✓")),"")</f>
        <v/>
      </c>
      <c r="AZ2310" s="21" t="str">
        <f>IF(AND($AM2310&lt;&gt;"",$AS2310="✓"),SUMPRODUCT(($AM$11:$AM2310&lt;&gt;"")*($AS$11:$AS2310="✓")),"")</f>
        <v/>
      </c>
      <c r="BA2310" s="21" t="str">
        <f>IF($AL2310="","",$AL2310&amp;"|"&amp;COUNTIF($AL$11:$AL2310,$AL2310))</f>
        <v/>
      </c>
    </row>
    <row r="2311" spans="38:53" ht="15" customHeight="1" x14ac:dyDescent="0.25">
      <c r="AL2311" s="17"/>
      <c r="AM2311" s="12"/>
      <c r="AN2311" s="18"/>
      <c r="AO2311" s="18"/>
      <c r="AP2311" s="10"/>
      <c r="AQ2311" s="10"/>
      <c r="AR2311" s="19"/>
      <c r="AS2311" s="20"/>
      <c r="AT2311" s="19"/>
      <c r="AV2311" s="21">
        <f>IF(AND($AL2311&lt;&gt;"",COUNTIF($AL$11:$AL2311,$AL2311)=1),1,0)</f>
        <v>0</v>
      </c>
      <c r="AW2311" s="21">
        <f t="shared" si="157"/>
        <v>0</v>
      </c>
      <c r="AX2311" s="21" t="str">
        <f t="shared" si="156"/>
        <v/>
      </c>
      <c r="AY2311" s="21" t="str">
        <f>IF(AND($AM2311&lt;&gt;"",$AS2311&lt;&gt;"✓"),SUMPRODUCT(($AM$11:$AM2311&lt;&gt;"")*($AS$11:$AS2311&lt;&gt;"✓")),"")</f>
        <v/>
      </c>
      <c r="AZ2311" s="21" t="str">
        <f>IF(AND($AM2311&lt;&gt;"",$AS2311="✓"),SUMPRODUCT(($AM$11:$AM2311&lt;&gt;"")*($AS$11:$AS2311="✓")),"")</f>
        <v/>
      </c>
      <c r="BA2311" s="21" t="str">
        <f>IF($AL2311="","",$AL2311&amp;"|"&amp;COUNTIF($AL$11:$AL2311,$AL2311))</f>
        <v/>
      </c>
    </row>
    <row r="2312" spans="38:53" ht="15" customHeight="1" x14ac:dyDescent="0.25">
      <c r="AL2312" s="31"/>
      <c r="AM2312" s="26"/>
      <c r="AN2312" s="32"/>
      <c r="AO2312" s="32"/>
      <c r="AP2312" s="24"/>
      <c r="AQ2312" s="24"/>
      <c r="AR2312" s="33"/>
      <c r="AS2312" s="34"/>
      <c r="AT2312" s="33"/>
      <c r="AV2312" s="21">
        <f>IF(AND($AL2312&lt;&gt;"",COUNTIF($AL$11:$AL2312,$AL2312)=1),1,0)</f>
        <v>0</v>
      </c>
      <c r="AW2312" s="21">
        <f t="shared" si="157"/>
        <v>0</v>
      </c>
      <c r="AX2312" s="21" t="str">
        <f t="shared" si="156"/>
        <v/>
      </c>
      <c r="AY2312" s="21" t="str">
        <f>IF(AND($AM2312&lt;&gt;"",$AS2312&lt;&gt;"✓"),SUMPRODUCT(($AM$11:$AM2312&lt;&gt;"")*($AS$11:$AS2312&lt;&gt;"✓")),"")</f>
        <v/>
      </c>
      <c r="AZ2312" s="21" t="str">
        <f>IF(AND($AM2312&lt;&gt;"",$AS2312="✓"),SUMPRODUCT(($AM$11:$AM2312&lt;&gt;"")*($AS$11:$AS2312="✓")),"")</f>
        <v/>
      </c>
      <c r="BA2312" s="21" t="str">
        <f>IF($AL2312="","",$AL2312&amp;"|"&amp;COUNTIF($AL$11:$AL2312,$AL2312))</f>
        <v/>
      </c>
    </row>
    <row r="2313" spans="38:53" ht="15" customHeight="1" x14ac:dyDescent="0.25">
      <c r="AL2313" s="17"/>
      <c r="AM2313" s="12"/>
      <c r="AN2313" s="18"/>
      <c r="AO2313" s="18"/>
      <c r="AP2313" s="10"/>
      <c r="AQ2313" s="10"/>
      <c r="AR2313" s="19"/>
      <c r="AS2313" s="20"/>
      <c r="AT2313" s="19"/>
      <c r="AV2313" s="21">
        <f>IF(AND($AL2313&lt;&gt;"",COUNTIF($AL$11:$AL2313,$AL2313)=1),1,0)</f>
        <v>0</v>
      </c>
      <c r="AW2313" s="21">
        <f t="shared" si="157"/>
        <v>0</v>
      </c>
      <c r="AX2313" s="21" t="str">
        <f t="shared" si="156"/>
        <v/>
      </c>
      <c r="AY2313" s="21" t="str">
        <f>IF(AND($AM2313&lt;&gt;"",$AS2313&lt;&gt;"✓"),SUMPRODUCT(($AM$11:$AM2313&lt;&gt;"")*($AS$11:$AS2313&lt;&gt;"✓")),"")</f>
        <v/>
      </c>
      <c r="AZ2313" s="21" t="str">
        <f>IF(AND($AM2313&lt;&gt;"",$AS2313="✓"),SUMPRODUCT(($AM$11:$AM2313&lt;&gt;"")*($AS$11:$AS2313="✓")),"")</f>
        <v/>
      </c>
      <c r="BA2313" s="21" t="str">
        <f>IF($AL2313="","",$AL2313&amp;"|"&amp;COUNTIF($AL$11:$AL2313,$AL2313))</f>
        <v/>
      </c>
    </row>
    <row r="2314" spans="38:53" ht="15" customHeight="1" x14ac:dyDescent="0.25">
      <c r="AL2314" s="31"/>
      <c r="AM2314" s="26"/>
      <c r="AN2314" s="32"/>
      <c r="AO2314" s="32"/>
      <c r="AP2314" s="24"/>
      <c r="AQ2314" s="24"/>
      <c r="AR2314" s="33"/>
      <c r="AS2314" s="34"/>
      <c r="AT2314" s="33"/>
      <c r="AV2314" s="21">
        <f>IF(AND($AL2314&lt;&gt;"",COUNTIF($AL$11:$AL2314,$AL2314)=1),1,0)</f>
        <v>0</v>
      </c>
      <c r="AW2314" s="21">
        <f t="shared" si="157"/>
        <v>0</v>
      </c>
      <c r="AX2314" s="21" t="str">
        <f t="shared" si="156"/>
        <v/>
      </c>
      <c r="AY2314" s="21" t="str">
        <f>IF(AND($AM2314&lt;&gt;"",$AS2314&lt;&gt;"✓"),SUMPRODUCT(($AM$11:$AM2314&lt;&gt;"")*($AS$11:$AS2314&lt;&gt;"✓")),"")</f>
        <v/>
      </c>
      <c r="AZ2314" s="21" t="str">
        <f>IF(AND($AM2314&lt;&gt;"",$AS2314="✓"),SUMPRODUCT(($AM$11:$AM2314&lt;&gt;"")*($AS$11:$AS2314="✓")),"")</f>
        <v/>
      </c>
      <c r="BA2314" s="21" t="str">
        <f>IF($AL2314="","",$AL2314&amp;"|"&amp;COUNTIF($AL$11:$AL2314,$AL2314))</f>
        <v/>
      </c>
    </row>
    <row r="2315" spans="38:53" ht="15" customHeight="1" x14ac:dyDescent="0.25">
      <c r="AL2315" s="17"/>
      <c r="AM2315" s="12"/>
      <c r="AN2315" s="18"/>
      <c r="AO2315" s="18"/>
      <c r="AP2315" s="10"/>
      <c r="AQ2315" s="10"/>
      <c r="AR2315" s="19"/>
      <c r="AS2315" s="20"/>
      <c r="AT2315" s="19"/>
      <c r="AV2315" s="21">
        <f>IF(AND($AL2315&lt;&gt;"",COUNTIF($AL$11:$AL2315,$AL2315)=1),1,0)</f>
        <v>0</v>
      </c>
      <c r="AW2315" s="21">
        <f t="shared" si="157"/>
        <v>0</v>
      </c>
      <c r="AX2315" s="21" t="str">
        <f t="shared" ref="AX2315:AX2378" si="158">IF(AV2315=1,AW2315,"")</f>
        <v/>
      </c>
      <c r="AY2315" s="21" t="str">
        <f>IF(AND($AM2315&lt;&gt;"",$AS2315&lt;&gt;"✓"),SUMPRODUCT(($AM$11:$AM2315&lt;&gt;"")*($AS$11:$AS2315&lt;&gt;"✓")),"")</f>
        <v/>
      </c>
      <c r="AZ2315" s="21" t="str">
        <f>IF(AND($AM2315&lt;&gt;"",$AS2315="✓"),SUMPRODUCT(($AM$11:$AM2315&lt;&gt;"")*($AS$11:$AS2315="✓")),"")</f>
        <v/>
      </c>
      <c r="BA2315" s="21" t="str">
        <f>IF($AL2315="","",$AL2315&amp;"|"&amp;COUNTIF($AL$11:$AL2315,$AL2315))</f>
        <v/>
      </c>
    </row>
    <row r="2316" spans="38:53" ht="15" customHeight="1" x14ac:dyDescent="0.25">
      <c r="AL2316" s="31"/>
      <c r="AM2316" s="26"/>
      <c r="AN2316" s="32"/>
      <c r="AO2316" s="32"/>
      <c r="AP2316" s="24"/>
      <c r="AQ2316" s="24"/>
      <c r="AR2316" s="33"/>
      <c r="AS2316" s="34"/>
      <c r="AT2316" s="33"/>
      <c r="AV2316" s="21">
        <f>IF(AND($AL2316&lt;&gt;"",COUNTIF($AL$11:$AL2316,$AL2316)=1),1,0)</f>
        <v>0</v>
      </c>
      <c r="AW2316" s="21">
        <f t="shared" ref="AW2316:AW2379" si="159">AW2315+AV2316</f>
        <v>0</v>
      </c>
      <c r="AX2316" s="21" t="str">
        <f t="shared" si="158"/>
        <v/>
      </c>
      <c r="AY2316" s="21" t="str">
        <f>IF(AND($AM2316&lt;&gt;"",$AS2316&lt;&gt;"✓"),SUMPRODUCT(($AM$11:$AM2316&lt;&gt;"")*($AS$11:$AS2316&lt;&gt;"✓")),"")</f>
        <v/>
      </c>
      <c r="AZ2316" s="21" t="str">
        <f>IF(AND($AM2316&lt;&gt;"",$AS2316="✓"),SUMPRODUCT(($AM$11:$AM2316&lt;&gt;"")*($AS$11:$AS2316="✓")),"")</f>
        <v/>
      </c>
      <c r="BA2316" s="21" t="str">
        <f>IF($AL2316="","",$AL2316&amp;"|"&amp;COUNTIF($AL$11:$AL2316,$AL2316))</f>
        <v/>
      </c>
    </row>
    <row r="2317" spans="38:53" ht="15" customHeight="1" x14ac:dyDescent="0.25">
      <c r="AL2317" s="17"/>
      <c r="AM2317" s="12"/>
      <c r="AN2317" s="18"/>
      <c r="AO2317" s="18"/>
      <c r="AP2317" s="10"/>
      <c r="AQ2317" s="10"/>
      <c r="AR2317" s="19"/>
      <c r="AS2317" s="20"/>
      <c r="AT2317" s="19"/>
      <c r="AV2317" s="21">
        <f>IF(AND($AL2317&lt;&gt;"",COUNTIF($AL$11:$AL2317,$AL2317)=1),1,0)</f>
        <v>0</v>
      </c>
      <c r="AW2317" s="21">
        <f t="shared" si="159"/>
        <v>0</v>
      </c>
      <c r="AX2317" s="21" t="str">
        <f t="shared" si="158"/>
        <v/>
      </c>
      <c r="AY2317" s="21" t="str">
        <f>IF(AND($AM2317&lt;&gt;"",$AS2317&lt;&gt;"✓"),SUMPRODUCT(($AM$11:$AM2317&lt;&gt;"")*($AS$11:$AS2317&lt;&gt;"✓")),"")</f>
        <v/>
      </c>
      <c r="AZ2317" s="21" t="str">
        <f>IF(AND($AM2317&lt;&gt;"",$AS2317="✓"),SUMPRODUCT(($AM$11:$AM2317&lt;&gt;"")*($AS$11:$AS2317="✓")),"")</f>
        <v/>
      </c>
      <c r="BA2317" s="21" t="str">
        <f>IF($AL2317="","",$AL2317&amp;"|"&amp;COUNTIF($AL$11:$AL2317,$AL2317))</f>
        <v/>
      </c>
    </row>
    <row r="2318" spans="38:53" ht="15" customHeight="1" x14ac:dyDescent="0.25">
      <c r="AL2318" s="31"/>
      <c r="AM2318" s="26"/>
      <c r="AN2318" s="32"/>
      <c r="AO2318" s="32"/>
      <c r="AP2318" s="24"/>
      <c r="AQ2318" s="24"/>
      <c r="AR2318" s="33"/>
      <c r="AS2318" s="34"/>
      <c r="AT2318" s="33"/>
      <c r="AV2318" s="21">
        <f>IF(AND($AL2318&lt;&gt;"",COUNTIF($AL$11:$AL2318,$AL2318)=1),1,0)</f>
        <v>0</v>
      </c>
      <c r="AW2318" s="21">
        <f t="shared" si="159"/>
        <v>0</v>
      </c>
      <c r="AX2318" s="21" t="str">
        <f t="shared" si="158"/>
        <v/>
      </c>
      <c r="AY2318" s="21" t="str">
        <f>IF(AND($AM2318&lt;&gt;"",$AS2318&lt;&gt;"✓"),SUMPRODUCT(($AM$11:$AM2318&lt;&gt;"")*($AS$11:$AS2318&lt;&gt;"✓")),"")</f>
        <v/>
      </c>
      <c r="AZ2318" s="21" t="str">
        <f>IF(AND($AM2318&lt;&gt;"",$AS2318="✓"),SUMPRODUCT(($AM$11:$AM2318&lt;&gt;"")*($AS$11:$AS2318="✓")),"")</f>
        <v/>
      </c>
      <c r="BA2318" s="21" t="str">
        <f>IF($AL2318="","",$AL2318&amp;"|"&amp;COUNTIF($AL$11:$AL2318,$AL2318))</f>
        <v/>
      </c>
    </row>
    <row r="2319" spans="38:53" ht="15" customHeight="1" x14ac:dyDescent="0.25">
      <c r="AL2319" s="17"/>
      <c r="AM2319" s="12"/>
      <c r="AN2319" s="18"/>
      <c r="AO2319" s="18"/>
      <c r="AP2319" s="10"/>
      <c r="AQ2319" s="10"/>
      <c r="AR2319" s="19"/>
      <c r="AS2319" s="20"/>
      <c r="AT2319" s="19"/>
      <c r="AV2319" s="21">
        <f>IF(AND($AL2319&lt;&gt;"",COUNTIF($AL$11:$AL2319,$AL2319)=1),1,0)</f>
        <v>0</v>
      </c>
      <c r="AW2319" s="21">
        <f t="shared" si="159"/>
        <v>0</v>
      </c>
      <c r="AX2319" s="21" t="str">
        <f t="shared" si="158"/>
        <v/>
      </c>
      <c r="AY2319" s="21" t="str">
        <f>IF(AND($AM2319&lt;&gt;"",$AS2319&lt;&gt;"✓"),SUMPRODUCT(($AM$11:$AM2319&lt;&gt;"")*($AS$11:$AS2319&lt;&gt;"✓")),"")</f>
        <v/>
      </c>
      <c r="AZ2319" s="21" t="str">
        <f>IF(AND($AM2319&lt;&gt;"",$AS2319="✓"),SUMPRODUCT(($AM$11:$AM2319&lt;&gt;"")*($AS$11:$AS2319="✓")),"")</f>
        <v/>
      </c>
      <c r="BA2319" s="21" t="str">
        <f>IF($AL2319="","",$AL2319&amp;"|"&amp;COUNTIF($AL$11:$AL2319,$AL2319))</f>
        <v/>
      </c>
    </row>
    <row r="2320" spans="38:53" ht="15" customHeight="1" x14ac:dyDescent="0.25">
      <c r="AL2320" s="31"/>
      <c r="AM2320" s="26"/>
      <c r="AN2320" s="32"/>
      <c r="AO2320" s="32"/>
      <c r="AP2320" s="24"/>
      <c r="AQ2320" s="24"/>
      <c r="AR2320" s="33"/>
      <c r="AS2320" s="34"/>
      <c r="AT2320" s="33"/>
      <c r="AV2320" s="21">
        <f>IF(AND($AL2320&lt;&gt;"",COUNTIF($AL$11:$AL2320,$AL2320)=1),1,0)</f>
        <v>0</v>
      </c>
      <c r="AW2320" s="21">
        <f t="shared" si="159"/>
        <v>0</v>
      </c>
      <c r="AX2320" s="21" t="str">
        <f t="shared" si="158"/>
        <v/>
      </c>
      <c r="AY2320" s="21" t="str">
        <f>IF(AND($AM2320&lt;&gt;"",$AS2320&lt;&gt;"✓"),SUMPRODUCT(($AM$11:$AM2320&lt;&gt;"")*($AS$11:$AS2320&lt;&gt;"✓")),"")</f>
        <v/>
      </c>
      <c r="AZ2320" s="21" t="str">
        <f>IF(AND($AM2320&lt;&gt;"",$AS2320="✓"),SUMPRODUCT(($AM$11:$AM2320&lt;&gt;"")*($AS$11:$AS2320="✓")),"")</f>
        <v/>
      </c>
      <c r="BA2320" s="21" t="str">
        <f>IF($AL2320="","",$AL2320&amp;"|"&amp;COUNTIF($AL$11:$AL2320,$AL2320))</f>
        <v/>
      </c>
    </row>
    <row r="2321" spans="38:53" ht="15" customHeight="1" x14ac:dyDescent="0.25">
      <c r="AL2321" s="17"/>
      <c r="AM2321" s="12"/>
      <c r="AN2321" s="18"/>
      <c r="AO2321" s="18"/>
      <c r="AP2321" s="10"/>
      <c r="AQ2321" s="10"/>
      <c r="AR2321" s="19"/>
      <c r="AS2321" s="20"/>
      <c r="AT2321" s="19"/>
      <c r="AV2321" s="21">
        <f>IF(AND($AL2321&lt;&gt;"",COUNTIF($AL$11:$AL2321,$AL2321)=1),1,0)</f>
        <v>0</v>
      </c>
      <c r="AW2321" s="21">
        <f t="shared" si="159"/>
        <v>0</v>
      </c>
      <c r="AX2321" s="21" t="str">
        <f t="shared" si="158"/>
        <v/>
      </c>
      <c r="AY2321" s="21" t="str">
        <f>IF(AND($AM2321&lt;&gt;"",$AS2321&lt;&gt;"✓"),SUMPRODUCT(($AM$11:$AM2321&lt;&gt;"")*($AS$11:$AS2321&lt;&gt;"✓")),"")</f>
        <v/>
      </c>
      <c r="AZ2321" s="21" t="str">
        <f>IF(AND($AM2321&lt;&gt;"",$AS2321="✓"),SUMPRODUCT(($AM$11:$AM2321&lt;&gt;"")*($AS$11:$AS2321="✓")),"")</f>
        <v/>
      </c>
      <c r="BA2321" s="21" t="str">
        <f>IF($AL2321="","",$AL2321&amp;"|"&amp;COUNTIF($AL$11:$AL2321,$AL2321))</f>
        <v/>
      </c>
    </row>
    <row r="2322" spans="38:53" ht="15" customHeight="1" x14ac:dyDescent="0.25">
      <c r="AL2322" s="31"/>
      <c r="AM2322" s="26"/>
      <c r="AN2322" s="32"/>
      <c r="AO2322" s="32"/>
      <c r="AP2322" s="24"/>
      <c r="AQ2322" s="24"/>
      <c r="AR2322" s="33"/>
      <c r="AS2322" s="34"/>
      <c r="AT2322" s="33"/>
      <c r="AV2322" s="21">
        <f>IF(AND($AL2322&lt;&gt;"",COUNTIF($AL$11:$AL2322,$AL2322)=1),1,0)</f>
        <v>0</v>
      </c>
      <c r="AW2322" s="21">
        <f t="shared" si="159"/>
        <v>0</v>
      </c>
      <c r="AX2322" s="21" t="str">
        <f t="shared" si="158"/>
        <v/>
      </c>
      <c r="AY2322" s="21" t="str">
        <f>IF(AND($AM2322&lt;&gt;"",$AS2322&lt;&gt;"✓"),SUMPRODUCT(($AM$11:$AM2322&lt;&gt;"")*($AS$11:$AS2322&lt;&gt;"✓")),"")</f>
        <v/>
      </c>
      <c r="AZ2322" s="21" t="str">
        <f>IF(AND($AM2322&lt;&gt;"",$AS2322="✓"),SUMPRODUCT(($AM$11:$AM2322&lt;&gt;"")*($AS$11:$AS2322="✓")),"")</f>
        <v/>
      </c>
      <c r="BA2322" s="21" t="str">
        <f>IF($AL2322="","",$AL2322&amp;"|"&amp;COUNTIF($AL$11:$AL2322,$AL2322))</f>
        <v/>
      </c>
    </row>
    <row r="2323" spans="38:53" ht="15" customHeight="1" x14ac:dyDescent="0.25">
      <c r="AL2323" s="17"/>
      <c r="AM2323" s="12"/>
      <c r="AN2323" s="18"/>
      <c r="AO2323" s="18"/>
      <c r="AP2323" s="10"/>
      <c r="AQ2323" s="10"/>
      <c r="AR2323" s="19"/>
      <c r="AS2323" s="20"/>
      <c r="AT2323" s="19"/>
      <c r="AV2323" s="21">
        <f>IF(AND($AL2323&lt;&gt;"",COUNTIF($AL$11:$AL2323,$AL2323)=1),1,0)</f>
        <v>0</v>
      </c>
      <c r="AW2323" s="21">
        <f t="shared" si="159"/>
        <v>0</v>
      </c>
      <c r="AX2323" s="21" t="str">
        <f t="shared" si="158"/>
        <v/>
      </c>
      <c r="AY2323" s="21" t="str">
        <f>IF(AND($AM2323&lt;&gt;"",$AS2323&lt;&gt;"✓"),SUMPRODUCT(($AM$11:$AM2323&lt;&gt;"")*($AS$11:$AS2323&lt;&gt;"✓")),"")</f>
        <v/>
      </c>
      <c r="AZ2323" s="21" t="str">
        <f>IF(AND($AM2323&lt;&gt;"",$AS2323="✓"),SUMPRODUCT(($AM$11:$AM2323&lt;&gt;"")*($AS$11:$AS2323="✓")),"")</f>
        <v/>
      </c>
      <c r="BA2323" s="21" t="str">
        <f>IF($AL2323="","",$AL2323&amp;"|"&amp;COUNTIF($AL$11:$AL2323,$AL2323))</f>
        <v/>
      </c>
    </row>
    <row r="2324" spans="38:53" ht="15" customHeight="1" x14ac:dyDescent="0.25">
      <c r="AL2324" s="31"/>
      <c r="AM2324" s="26"/>
      <c r="AN2324" s="32"/>
      <c r="AO2324" s="32"/>
      <c r="AP2324" s="24"/>
      <c r="AQ2324" s="24"/>
      <c r="AR2324" s="33"/>
      <c r="AS2324" s="34"/>
      <c r="AT2324" s="33"/>
      <c r="AV2324" s="21">
        <f>IF(AND($AL2324&lt;&gt;"",COUNTIF($AL$11:$AL2324,$AL2324)=1),1,0)</f>
        <v>0</v>
      </c>
      <c r="AW2324" s="21">
        <f t="shared" si="159"/>
        <v>0</v>
      </c>
      <c r="AX2324" s="21" t="str">
        <f t="shared" si="158"/>
        <v/>
      </c>
      <c r="AY2324" s="21" t="str">
        <f>IF(AND($AM2324&lt;&gt;"",$AS2324&lt;&gt;"✓"),SUMPRODUCT(($AM$11:$AM2324&lt;&gt;"")*($AS$11:$AS2324&lt;&gt;"✓")),"")</f>
        <v/>
      </c>
      <c r="AZ2324" s="21" t="str">
        <f>IF(AND($AM2324&lt;&gt;"",$AS2324="✓"),SUMPRODUCT(($AM$11:$AM2324&lt;&gt;"")*($AS$11:$AS2324="✓")),"")</f>
        <v/>
      </c>
      <c r="BA2324" s="21" t="str">
        <f>IF($AL2324="","",$AL2324&amp;"|"&amp;COUNTIF($AL$11:$AL2324,$AL2324))</f>
        <v/>
      </c>
    </row>
    <row r="2325" spans="38:53" ht="15" customHeight="1" x14ac:dyDescent="0.25">
      <c r="AL2325" s="17"/>
      <c r="AM2325" s="12"/>
      <c r="AN2325" s="18"/>
      <c r="AO2325" s="18"/>
      <c r="AP2325" s="10"/>
      <c r="AQ2325" s="10"/>
      <c r="AR2325" s="19"/>
      <c r="AS2325" s="20"/>
      <c r="AT2325" s="19"/>
      <c r="AV2325" s="21">
        <f>IF(AND($AL2325&lt;&gt;"",COUNTIF($AL$11:$AL2325,$AL2325)=1),1,0)</f>
        <v>0</v>
      </c>
      <c r="AW2325" s="21">
        <f t="shared" si="159"/>
        <v>0</v>
      </c>
      <c r="AX2325" s="21" t="str">
        <f t="shared" si="158"/>
        <v/>
      </c>
      <c r="AY2325" s="21" t="str">
        <f>IF(AND($AM2325&lt;&gt;"",$AS2325&lt;&gt;"✓"),SUMPRODUCT(($AM$11:$AM2325&lt;&gt;"")*($AS$11:$AS2325&lt;&gt;"✓")),"")</f>
        <v/>
      </c>
      <c r="AZ2325" s="21" t="str">
        <f>IF(AND($AM2325&lt;&gt;"",$AS2325="✓"),SUMPRODUCT(($AM$11:$AM2325&lt;&gt;"")*($AS$11:$AS2325="✓")),"")</f>
        <v/>
      </c>
      <c r="BA2325" s="21" t="str">
        <f>IF($AL2325="","",$AL2325&amp;"|"&amp;COUNTIF($AL$11:$AL2325,$AL2325))</f>
        <v/>
      </c>
    </row>
    <row r="2326" spans="38:53" ht="15" customHeight="1" x14ac:dyDescent="0.25">
      <c r="AL2326" s="31"/>
      <c r="AM2326" s="26"/>
      <c r="AN2326" s="32"/>
      <c r="AO2326" s="32"/>
      <c r="AP2326" s="24"/>
      <c r="AQ2326" s="24"/>
      <c r="AR2326" s="33"/>
      <c r="AS2326" s="34"/>
      <c r="AT2326" s="33"/>
      <c r="AV2326" s="21">
        <f>IF(AND($AL2326&lt;&gt;"",COUNTIF($AL$11:$AL2326,$AL2326)=1),1,0)</f>
        <v>0</v>
      </c>
      <c r="AW2326" s="21">
        <f t="shared" si="159"/>
        <v>0</v>
      </c>
      <c r="AX2326" s="21" t="str">
        <f t="shared" si="158"/>
        <v/>
      </c>
      <c r="AY2326" s="21" t="str">
        <f>IF(AND($AM2326&lt;&gt;"",$AS2326&lt;&gt;"✓"),SUMPRODUCT(($AM$11:$AM2326&lt;&gt;"")*($AS$11:$AS2326&lt;&gt;"✓")),"")</f>
        <v/>
      </c>
      <c r="AZ2326" s="21" t="str">
        <f>IF(AND($AM2326&lt;&gt;"",$AS2326="✓"),SUMPRODUCT(($AM$11:$AM2326&lt;&gt;"")*($AS$11:$AS2326="✓")),"")</f>
        <v/>
      </c>
      <c r="BA2326" s="21" t="str">
        <f>IF($AL2326="","",$AL2326&amp;"|"&amp;COUNTIF($AL$11:$AL2326,$AL2326))</f>
        <v/>
      </c>
    </row>
    <row r="2327" spans="38:53" ht="15" customHeight="1" x14ac:dyDescent="0.25">
      <c r="AL2327" s="17"/>
      <c r="AM2327" s="12"/>
      <c r="AN2327" s="18"/>
      <c r="AO2327" s="18"/>
      <c r="AP2327" s="10"/>
      <c r="AQ2327" s="10"/>
      <c r="AR2327" s="19"/>
      <c r="AS2327" s="20"/>
      <c r="AT2327" s="19"/>
      <c r="AV2327" s="21">
        <f>IF(AND($AL2327&lt;&gt;"",COUNTIF($AL$11:$AL2327,$AL2327)=1),1,0)</f>
        <v>0</v>
      </c>
      <c r="AW2327" s="21">
        <f t="shared" si="159"/>
        <v>0</v>
      </c>
      <c r="AX2327" s="21" t="str">
        <f t="shared" si="158"/>
        <v/>
      </c>
      <c r="AY2327" s="21" t="str">
        <f>IF(AND($AM2327&lt;&gt;"",$AS2327&lt;&gt;"✓"),SUMPRODUCT(($AM$11:$AM2327&lt;&gt;"")*($AS$11:$AS2327&lt;&gt;"✓")),"")</f>
        <v/>
      </c>
      <c r="AZ2327" s="21" t="str">
        <f>IF(AND($AM2327&lt;&gt;"",$AS2327="✓"),SUMPRODUCT(($AM$11:$AM2327&lt;&gt;"")*($AS$11:$AS2327="✓")),"")</f>
        <v/>
      </c>
      <c r="BA2327" s="21" t="str">
        <f>IF($AL2327="","",$AL2327&amp;"|"&amp;COUNTIF($AL$11:$AL2327,$AL2327))</f>
        <v/>
      </c>
    </row>
    <row r="2328" spans="38:53" ht="15" customHeight="1" x14ac:dyDescent="0.25">
      <c r="AL2328" s="31"/>
      <c r="AM2328" s="26"/>
      <c r="AN2328" s="32"/>
      <c r="AO2328" s="32"/>
      <c r="AP2328" s="24"/>
      <c r="AQ2328" s="24"/>
      <c r="AR2328" s="33"/>
      <c r="AS2328" s="34"/>
      <c r="AT2328" s="33"/>
      <c r="AV2328" s="21">
        <f>IF(AND($AL2328&lt;&gt;"",COUNTIF($AL$11:$AL2328,$AL2328)=1),1,0)</f>
        <v>0</v>
      </c>
      <c r="AW2328" s="21">
        <f t="shared" si="159"/>
        <v>0</v>
      </c>
      <c r="AX2328" s="21" t="str">
        <f t="shared" si="158"/>
        <v/>
      </c>
      <c r="AY2328" s="21" t="str">
        <f>IF(AND($AM2328&lt;&gt;"",$AS2328&lt;&gt;"✓"),SUMPRODUCT(($AM$11:$AM2328&lt;&gt;"")*($AS$11:$AS2328&lt;&gt;"✓")),"")</f>
        <v/>
      </c>
      <c r="AZ2328" s="21" t="str">
        <f>IF(AND($AM2328&lt;&gt;"",$AS2328="✓"),SUMPRODUCT(($AM$11:$AM2328&lt;&gt;"")*($AS$11:$AS2328="✓")),"")</f>
        <v/>
      </c>
      <c r="BA2328" s="21" t="str">
        <f>IF($AL2328="","",$AL2328&amp;"|"&amp;COUNTIF($AL$11:$AL2328,$AL2328))</f>
        <v/>
      </c>
    </row>
    <row r="2329" spans="38:53" ht="15" customHeight="1" x14ac:dyDescent="0.25">
      <c r="AL2329" s="17"/>
      <c r="AM2329" s="12"/>
      <c r="AN2329" s="18"/>
      <c r="AO2329" s="18"/>
      <c r="AP2329" s="10"/>
      <c r="AQ2329" s="10"/>
      <c r="AR2329" s="19"/>
      <c r="AS2329" s="20"/>
      <c r="AT2329" s="19"/>
      <c r="AV2329" s="21">
        <f>IF(AND($AL2329&lt;&gt;"",COUNTIF($AL$11:$AL2329,$AL2329)=1),1,0)</f>
        <v>0</v>
      </c>
      <c r="AW2329" s="21">
        <f t="shared" si="159"/>
        <v>0</v>
      </c>
      <c r="AX2329" s="21" t="str">
        <f t="shared" si="158"/>
        <v/>
      </c>
      <c r="AY2329" s="21" t="str">
        <f>IF(AND($AM2329&lt;&gt;"",$AS2329&lt;&gt;"✓"),SUMPRODUCT(($AM$11:$AM2329&lt;&gt;"")*($AS$11:$AS2329&lt;&gt;"✓")),"")</f>
        <v/>
      </c>
      <c r="AZ2329" s="21" t="str">
        <f>IF(AND($AM2329&lt;&gt;"",$AS2329="✓"),SUMPRODUCT(($AM$11:$AM2329&lt;&gt;"")*($AS$11:$AS2329="✓")),"")</f>
        <v/>
      </c>
      <c r="BA2329" s="21" t="str">
        <f>IF($AL2329="","",$AL2329&amp;"|"&amp;COUNTIF($AL$11:$AL2329,$AL2329))</f>
        <v/>
      </c>
    </row>
    <row r="2330" spans="38:53" ht="15" customHeight="1" x14ac:dyDescent="0.25">
      <c r="AL2330" s="31"/>
      <c r="AM2330" s="26"/>
      <c r="AN2330" s="32"/>
      <c r="AO2330" s="32"/>
      <c r="AP2330" s="24"/>
      <c r="AQ2330" s="24"/>
      <c r="AR2330" s="33"/>
      <c r="AS2330" s="34"/>
      <c r="AT2330" s="33"/>
      <c r="AV2330" s="21">
        <f>IF(AND($AL2330&lt;&gt;"",COUNTIF($AL$11:$AL2330,$AL2330)=1),1,0)</f>
        <v>0</v>
      </c>
      <c r="AW2330" s="21">
        <f t="shared" si="159"/>
        <v>0</v>
      </c>
      <c r="AX2330" s="21" t="str">
        <f t="shared" si="158"/>
        <v/>
      </c>
      <c r="AY2330" s="21" t="str">
        <f>IF(AND($AM2330&lt;&gt;"",$AS2330&lt;&gt;"✓"),SUMPRODUCT(($AM$11:$AM2330&lt;&gt;"")*($AS$11:$AS2330&lt;&gt;"✓")),"")</f>
        <v/>
      </c>
      <c r="AZ2330" s="21" t="str">
        <f>IF(AND($AM2330&lt;&gt;"",$AS2330="✓"),SUMPRODUCT(($AM$11:$AM2330&lt;&gt;"")*($AS$11:$AS2330="✓")),"")</f>
        <v/>
      </c>
      <c r="BA2330" s="21" t="str">
        <f>IF($AL2330="","",$AL2330&amp;"|"&amp;COUNTIF($AL$11:$AL2330,$AL2330))</f>
        <v/>
      </c>
    </row>
    <row r="2331" spans="38:53" ht="15" customHeight="1" x14ac:dyDescent="0.25">
      <c r="AL2331" s="17"/>
      <c r="AM2331" s="12"/>
      <c r="AN2331" s="18"/>
      <c r="AO2331" s="18"/>
      <c r="AP2331" s="10"/>
      <c r="AQ2331" s="10"/>
      <c r="AR2331" s="19"/>
      <c r="AS2331" s="20"/>
      <c r="AT2331" s="19"/>
      <c r="AV2331" s="21">
        <f>IF(AND($AL2331&lt;&gt;"",COUNTIF($AL$11:$AL2331,$AL2331)=1),1,0)</f>
        <v>0</v>
      </c>
      <c r="AW2331" s="21">
        <f t="shared" si="159"/>
        <v>0</v>
      </c>
      <c r="AX2331" s="21" t="str">
        <f t="shared" si="158"/>
        <v/>
      </c>
      <c r="AY2331" s="21" t="str">
        <f>IF(AND($AM2331&lt;&gt;"",$AS2331&lt;&gt;"✓"),SUMPRODUCT(($AM$11:$AM2331&lt;&gt;"")*($AS$11:$AS2331&lt;&gt;"✓")),"")</f>
        <v/>
      </c>
      <c r="AZ2331" s="21" t="str">
        <f>IF(AND($AM2331&lt;&gt;"",$AS2331="✓"),SUMPRODUCT(($AM$11:$AM2331&lt;&gt;"")*($AS$11:$AS2331="✓")),"")</f>
        <v/>
      </c>
      <c r="BA2331" s="21" t="str">
        <f>IF($AL2331="","",$AL2331&amp;"|"&amp;COUNTIF($AL$11:$AL2331,$AL2331))</f>
        <v/>
      </c>
    </row>
    <row r="2332" spans="38:53" ht="15" customHeight="1" x14ac:dyDescent="0.25">
      <c r="AL2332" s="31"/>
      <c r="AM2332" s="26"/>
      <c r="AN2332" s="32"/>
      <c r="AO2332" s="32"/>
      <c r="AP2332" s="24"/>
      <c r="AQ2332" s="24"/>
      <c r="AR2332" s="33"/>
      <c r="AS2332" s="34"/>
      <c r="AT2332" s="33"/>
      <c r="AV2332" s="21">
        <f>IF(AND($AL2332&lt;&gt;"",COUNTIF($AL$11:$AL2332,$AL2332)=1),1,0)</f>
        <v>0</v>
      </c>
      <c r="AW2332" s="21">
        <f t="shared" si="159"/>
        <v>0</v>
      </c>
      <c r="AX2332" s="21" t="str">
        <f t="shared" si="158"/>
        <v/>
      </c>
      <c r="AY2332" s="21" t="str">
        <f>IF(AND($AM2332&lt;&gt;"",$AS2332&lt;&gt;"✓"),SUMPRODUCT(($AM$11:$AM2332&lt;&gt;"")*($AS$11:$AS2332&lt;&gt;"✓")),"")</f>
        <v/>
      </c>
      <c r="AZ2332" s="21" t="str">
        <f>IF(AND($AM2332&lt;&gt;"",$AS2332="✓"),SUMPRODUCT(($AM$11:$AM2332&lt;&gt;"")*($AS$11:$AS2332="✓")),"")</f>
        <v/>
      </c>
      <c r="BA2332" s="21" t="str">
        <f>IF($AL2332="","",$AL2332&amp;"|"&amp;COUNTIF($AL$11:$AL2332,$AL2332))</f>
        <v/>
      </c>
    </row>
    <row r="2333" spans="38:53" ht="15" customHeight="1" x14ac:dyDescent="0.25">
      <c r="AL2333" s="17"/>
      <c r="AM2333" s="12"/>
      <c r="AN2333" s="18"/>
      <c r="AO2333" s="18"/>
      <c r="AP2333" s="10"/>
      <c r="AQ2333" s="10"/>
      <c r="AR2333" s="19"/>
      <c r="AS2333" s="20"/>
      <c r="AT2333" s="19"/>
      <c r="AV2333" s="21">
        <f>IF(AND($AL2333&lt;&gt;"",COUNTIF($AL$11:$AL2333,$AL2333)=1),1,0)</f>
        <v>0</v>
      </c>
      <c r="AW2333" s="21">
        <f t="shared" si="159"/>
        <v>0</v>
      </c>
      <c r="AX2333" s="21" t="str">
        <f t="shared" si="158"/>
        <v/>
      </c>
      <c r="AY2333" s="21" t="str">
        <f>IF(AND($AM2333&lt;&gt;"",$AS2333&lt;&gt;"✓"),SUMPRODUCT(($AM$11:$AM2333&lt;&gt;"")*($AS$11:$AS2333&lt;&gt;"✓")),"")</f>
        <v/>
      </c>
      <c r="AZ2333" s="21" t="str">
        <f>IF(AND($AM2333&lt;&gt;"",$AS2333="✓"),SUMPRODUCT(($AM$11:$AM2333&lt;&gt;"")*($AS$11:$AS2333="✓")),"")</f>
        <v/>
      </c>
      <c r="BA2333" s="21" t="str">
        <f>IF($AL2333="","",$AL2333&amp;"|"&amp;COUNTIF($AL$11:$AL2333,$AL2333))</f>
        <v/>
      </c>
    </row>
    <row r="2334" spans="38:53" ht="15" customHeight="1" x14ac:dyDescent="0.25">
      <c r="AL2334" s="31"/>
      <c r="AM2334" s="26"/>
      <c r="AN2334" s="32"/>
      <c r="AO2334" s="32"/>
      <c r="AP2334" s="24"/>
      <c r="AQ2334" s="24"/>
      <c r="AR2334" s="33"/>
      <c r="AS2334" s="34"/>
      <c r="AT2334" s="33"/>
      <c r="AV2334" s="21">
        <f>IF(AND($AL2334&lt;&gt;"",COUNTIF($AL$11:$AL2334,$AL2334)=1),1,0)</f>
        <v>0</v>
      </c>
      <c r="AW2334" s="21">
        <f t="shared" si="159"/>
        <v>0</v>
      </c>
      <c r="AX2334" s="21" t="str">
        <f t="shared" si="158"/>
        <v/>
      </c>
      <c r="AY2334" s="21" t="str">
        <f>IF(AND($AM2334&lt;&gt;"",$AS2334&lt;&gt;"✓"),SUMPRODUCT(($AM$11:$AM2334&lt;&gt;"")*($AS$11:$AS2334&lt;&gt;"✓")),"")</f>
        <v/>
      </c>
      <c r="AZ2334" s="21" t="str">
        <f>IF(AND($AM2334&lt;&gt;"",$AS2334="✓"),SUMPRODUCT(($AM$11:$AM2334&lt;&gt;"")*($AS$11:$AS2334="✓")),"")</f>
        <v/>
      </c>
      <c r="BA2334" s="21" t="str">
        <f>IF($AL2334="","",$AL2334&amp;"|"&amp;COUNTIF($AL$11:$AL2334,$AL2334))</f>
        <v/>
      </c>
    </row>
    <row r="2335" spans="38:53" ht="15" customHeight="1" x14ac:dyDescent="0.25">
      <c r="AL2335" s="17"/>
      <c r="AM2335" s="12"/>
      <c r="AN2335" s="18"/>
      <c r="AO2335" s="18"/>
      <c r="AP2335" s="10"/>
      <c r="AQ2335" s="10"/>
      <c r="AR2335" s="19"/>
      <c r="AS2335" s="20"/>
      <c r="AT2335" s="19"/>
      <c r="AV2335" s="21">
        <f>IF(AND($AL2335&lt;&gt;"",COUNTIF($AL$11:$AL2335,$AL2335)=1),1,0)</f>
        <v>0</v>
      </c>
      <c r="AW2335" s="21">
        <f t="shared" si="159"/>
        <v>0</v>
      </c>
      <c r="AX2335" s="21" t="str">
        <f t="shared" si="158"/>
        <v/>
      </c>
      <c r="AY2335" s="21" t="str">
        <f>IF(AND($AM2335&lt;&gt;"",$AS2335&lt;&gt;"✓"),SUMPRODUCT(($AM$11:$AM2335&lt;&gt;"")*($AS$11:$AS2335&lt;&gt;"✓")),"")</f>
        <v/>
      </c>
      <c r="AZ2335" s="21" t="str">
        <f>IF(AND($AM2335&lt;&gt;"",$AS2335="✓"),SUMPRODUCT(($AM$11:$AM2335&lt;&gt;"")*($AS$11:$AS2335="✓")),"")</f>
        <v/>
      </c>
      <c r="BA2335" s="21" t="str">
        <f>IF($AL2335="","",$AL2335&amp;"|"&amp;COUNTIF($AL$11:$AL2335,$AL2335))</f>
        <v/>
      </c>
    </row>
    <row r="2336" spans="38:53" ht="15" customHeight="1" x14ac:dyDescent="0.25">
      <c r="AL2336" s="31"/>
      <c r="AM2336" s="26"/>
      <c r="AN2336" s="32"/>
      <c r="AO2336" s="32"/>
      <c r="AP2336" s="24"/>
      <c r="AQ2336" s="24"/>
      <c r="AR2336" s="33"/>
      <c r="AS2336" s="34"/>
      <c r="AT2336" s="33"/>
      <c r="AV2336" s="21">
        <f>IF(AND($AL2336&lt;&gt;"",COUNTIF($AL$11:$AL2336,$AL2336)=1),1,0)</f>
        <v>0</v>
      </c>
      <c r="AW2336" s="21">
        <f t="shared" si="159"/>
        <v>0</v>
      </c>
      <c r="AX2336" s="21" t="str">
        <f t="shared" si="158"/>
        <v/>
      </c>
      <c r="AY2336" s="21" t="str">
        <f>IF(AND($AM2336&lt;&gt;"",$AS2336&lt;&gt;"✓"),SUMPRODUCT(($AM$11:$AM2336&lt;&gt;"")*($AS$11:$AS2336&lt;&gt;"✓")),"")</f>
        <v/>
      </c>
      <c r="AZ2336" s="21" t="str">
        <f>IF(AND($AM2336&lt;&gt;"",$AS2336="✓"),SUMPRODUCT(($AM$11:$AM2336&lt;&gt;"")*($AS$11:$AS2336="✓")),"")</f>
        <v/>
      </c>
      <c r="BA2336" s="21" t="str">
        <f>IF($AL2336="","",$AL2336&amp;"|"&amp;COUNTIF($AL$11:$AL2336,$AL2336))</f>
        <v/>
      </c>
    </row>
    <row r="2337" spans="38:53" ht="15" customHeight="1" x14ac:dyDescent="0.25">
      <c r="AL2337" s="17"/>
      <c r="AM2337" s="12"/>
      <c r="AN2337" s="18"/>
      <c r="AO2337" s="18"/>
      <c r="AP2337" s="10"/>
      <c r="AQ2337" s="10"/>
      <c r="AR2337" s="19"/>
      <c r="AS2337" s="20"/>
      <c r="AT2337" s="19"/>
      <c r="AV2337" s="21">
        <f>IF(AND($AL2337&lt;&gt;"",COUNTIF($AL$11:$AL2337,$AL2337)=1),1,0)</f>
        <v>0</v>
      </c>
      <c r="AW2337" s="21">
        <f t="shared" si="159"/>
        <v>0</v>
      </c>
      <c r="AX2337" s="21" t="str">
        <f t="shared" si="158"/>
        <v/>
      </c>
      <c r="AY2337" s="21" t="str">
        <f>IF(AND($AM2337&lt;&gt;"",$AS2337&lt;&gt;"✓"),SUMPRODUCT(($AM$11:$AM2337&lt;&gt;"")*($AS$11:$AS2337&lt;&gt;"✓")),"")</f>
        <v/>
      </c>
      <c r="AZ2337" s="21" t="str">
        <f>IF(AND($AM2337&lt;&gt;"",$AS2337="✓"),SUMPRODUCT(($AM$11:$AM2337&lt;&gt;"")*($AS$11:$AS2337="✓")),"")</f>
        <v/>
      </c>
      <c r="BA2337" s="21" t="str">
        <f>IF($AL2337="","",$AL2337&amp;"|"&amp;COUNTIF($AL$11:$AL2337,$AL2337))</f>
        <v/>
      </c>
    </row>
    <row r="2338" spans="38:53" ht="15" customHeight="1" x14ac:dyDescent="0.25">
      <c r="AL2338" s="31"/>
      <c r="AM2338" s="26"/>
      <c r="AN2338" s="32"/>
      <c r="AO2338" s="32"/>
      <c r="AP2338" s="24"/>
      <c r="AQ2338" s="24"/>
      <c r="AR2338" s="33"/>
      <c r="AS2338" s="34"/>
      <c r="AT2338" s="33"/>
      <c r="AV2338" s="21">
        <f>IF(AND($AL2338&lt;&gt;"",COUNTIF($AL$11:$AL2338,$AL2338)=1),1,0)</f>
        <v>0</v>
      </c>
      <c r="AW2338" s="21">
        <f t="shared" si="159"/>
        <v>0</v>
      </c>
      <c r="AX2338" s="21" t="str">
        <f t="shared" si="158"/>
        <v/>
      </c>
      <c r="AY2338" s="21" t="str">
        <f>IF(AND($AM2338&lt;&gt;"",$AS2338&lt;&gt;"✓"),SUMPRODUCT(($AM$11:$AM2338&lt;&gt;"")*($AS$11:$AS2338&lt;&gt;"✓")),"")</f>
        <v/>
      </c>
      <c r="AZ2338" s="21" t="str">
        <f>IF(AND($AM2338&lt;&gt;"",$AS2338="✓"),SUMPRODUCT(($AM$11:$AM2338&lt;&gt;"")*($AS$11:$AS2338="✓")),"")</f>
        <v/>
      </c>
      <c r="BA2338" s="21" t="str">
        <f>IF($AL2338="","",$AL2338&amp;"|"&amp;COUNTIF($AL$11:$AL2338,$AL2338))</f>
        <v/>
      </c>
    </row>
    <row r="2339" spans="38:53" ht="15" customHeight="1" x14ac:dyDescent="0.25">
      <c r="AL2339" s="17"/>
      <c r="AM2339" s="12"/>
      <c r="AN2339" s="18"/>
      <c r="AO2339" s="18"/>
      <c r="AP2339" s="10"/>
      <c r="AQ2339" s="10"/>
      <c r="AR2339" s="19"/>
      <c r="AS2339" s="20"/>
      <c r="AT2339" s="19"/>
      <c r="AV2339" s="21">
        <f>IF(AND($AL2339&lt;&gt;"",COUNTIF($AL$11:$AL2339,$AL2339)=1),1,0)</f>
        <v>0</v>
      </c>
      <c r="AW2339" s="21">
        <f t="shared" si="159"/>
        <v>0</v>
      </c>
      <c r="AX2339" s="21" t="str">
        <f t="shared" si="158"/>
        <v/>
      </c>
      <c r="AY2339" s="21" t="str">
        <f>IF(AND($AM2339&lt;&gt;"",$AS2339&lt;&gt;"✓"),SUMPRODUCT(($AM$11:$AM2339&lt;&gt;"")*($AS$11:$AS2339&lt;&gt;"✓")),"")</f>
        <v/>
      </c>
      <c r="AZ2339" s="21" t="str">
        <f>IF(AND($AM2339&lt;&gt;"",$AS2339="✓"),SUMPRODUCT(($AM$11:$AM2339&lt;&gt;"")*($AS$11:$AS2339="✓")),"")</f>
        <v/>
      </c>
      <c r="BA2339" s="21" t="str">
        <f>IF($AL2339="","",$AL2339&amp;"|"&amp;COUNTIF($AL$11:$AL2339,$AL2339))</f>
        <v/>
      </c>
    </row>
    <row r="2340" spans="38:53" ht="15" customHeight="1" x14ac:dyDescent="0.25">
      <c r="AL2340" s="31"/>
      <c r="AM2340" s="26"/>
      <c r="AN2340" s="32"/>
      <c r="AO2340" s="32"/>
      <c r="AP2340" s="24"/>
      <c r="AQ2340" s="24"/>
      <c r="AR2340" s="33"/>
      <c r="AS2340" s="34"/>
      <c r="AT2340" s="33"/>
      <c r="AV2340" s="21">
        <f>IF(AND($AL2340&lt;&gt;"",COUNTIF($AL$11:$AL2340,$AL2340)=1),1,0)</f>
        <v>0</v>
      </c>
      <c r="AW2340" s="21">
        <f t="shared" si="159"/>
        <v>0</v>
      </c>
      <c r="AX2340" s="21" t="str">
        <f t="shared" si="158"/>
        <v/>
      </c>
      <c r="AY2340" s="21" t="str">
        <f>IF(AND($AM2340&lt;&gt;"",$AS2340&lt;&gt;"✓"),SUMPRODUCT(($AM$11:$AM2340&lt;&gt;"")*($AS$11:$AS2340&lt;&gt;"✓")),"")</f>
        <v/>
      </c>
      <c r="AZ2340" s="21" t="str">
        <f>IF(AND($AM2340&lt;&gt;"",$AS2340="✓"),SUMPRODUCT(($AM$11:$AM2340&lt;&gt;"")*($AS$11:$AS2340="✓")),"")</f>
        <v/>
      </c>
      <c r="BA2340" s="21" t="str">
        <f>IF($AL2340="","",$AL2340&amp;"|"&amp;COUNTIF($AL$11:$AL2340,$AL2340))</f>
        <v/>
      </c>
    </row>
    <row r="2341" spans="38:53" ht="15" customHeight="1" x14ac:dyDescent="0.25">
      <c r="AL2341" s="17"/>
      <c r="AM2341" s="12"/>
      <c r="AN2341" s="18"/>
      <c r="AO2341" s="18"/>
      <c r="AP2341" s="10"/>
      <c r="AQ2341" s="10"/>
      <c r="AR2341" s="19"/>
      <c r="AS2341" s="20"/>
      <c r="AT2341" s="19"/>
      <c r="AV2341" s="21">
        <f>IF(AND($AL2341&lt;&gt;"",COUNTIF($AL$11:$AL2341,$AL2341)=1),1,0)</f>
        <v>0</v>
      </c>
      <c r="AW2341" s="21">
        <f t="shared" si="159"/>
        <v>0</v>
      </c>
      <c r="AX2341" s="21" t="str">
        <f t="shared" si="158"/>
        <v/>
      </c>
      <c r="AY2341" s="21" t="str">
        <f>IF(AND($AM2341&lt;&gt;"",$AS2341&lt;&gt;"✓"),SUMPRODUCT(($AM$11:$AM2341&lt;&gt;"")*($AS$11:$AS2341&lt;&gt;"✓")),"")</f>
        <v/>
      </c>
      <c r="AZ2341" s="21" t="str">
        <f>IF(AND($AM2341&lt;&gt;"",$AS2341="✓"),SUMPRODUCT(($AM$11:$AM2341&lt;&gt;"")*($AS$11:$AS2341="✓")),"")</f>
        <v/>
      </c>
      <c r="BA2341" s="21" t="str">
        <f>IF($AL2341="","",$AL2341&amp;"|"&amp;COUNTIF($AL$11:$AL2341,$AL2341))</f>
        <v/>
      </c>
    </row>
    <row r="2342" spans="38:53" ht="15" customHeight="1" x14ac:dyDescent="0.25">
      <c r="AL2342" s="31"/>
      <c r="AM2342" s="26"/>
      <c r="AN2342" s="32"/>
      <c r="AO2342" s="32"/>
      <c r="AP2342" s="24"/>
      <c r="AQ2342" s="24"/>
      <c r="AR2342" s="33"/>
      <c r="AS2342" s="34"/>
      <c r="AT2342" s="33"/>
      <c r="AV2342" s="21">
        <f>IF(AND($AL2342&lt;&gt;"",COUNTIF($AL$11:$AL2342,$AL2342)=1),1,0)</f>
        <v>0</v>
      </c>
      <c r="AW2342" s="21">
        <f t="shared" si="159"/>
        <v>0</v>
      </c>
      <c r="AX2342" s="21" t="str">
        <f t="shared" si="158"/>
        <v/>
      </c>
      <c r="AY2342" s="21" t="str">
        <f>IF(AND($AM2342&lt;&gt;"",$AS2342&lt;&gt;"✓"),SUMPRODUCT(($AM$11:$AM2342&lt;&gt;"")*($AS$11:$AS2342&lt;&gt;"✓")),"")</f>
        <v/>
      </c>
      <c r="AZ2342" s="21" t="str">
        <f>IF(AND($AM2342&lt;&gt;"",$AS2342="✓"),SUMPRODUCT(($AM$11:$AM2342&lt;&gt;"")*($AS$11:$AS2342="✓")),"")</f>
        <v/>
      </c>
      <c r="BA2342" s="21" t="str">
        <f>IF($AL2342="","",$AL2342&amp;"|"&amp;COUNTIF($AL$11:$AL2342,$AL2342))</f>
        <v/>
      </c>
    </row>
    <row r="2343" spans="38:53" ht="15" customHeight="1" x14ac:dyDescent="0.25">
      <c r="AL2343" s="17"/>
      <c r="AM2343" s="12"/>
      <c r="AN2343" s="18"/>
      <c r="AO2343" s="18"/>
      <c r="AP2343" s="10"/>
      <c r="AQ2343" s="10"/>
      <c r="AR2343" s="19"/>
      <c r="AS2343" s="20"/>
      <c r="AT2343" s="19"/>
      <c r="AV2343" s="21">
        <f>IF(AND($AL2343&lt;&gt;"",COUNTIF($AL$11:$AL2343,$AL2343)=1),1,0)</f>
        <v>0</v>
      </c>
      <c r="AW2343" s="21">
        <f t="shared" si="159"/>
        <v>0</v>
      </c>
      <c r="AX2343" s="21" t="str">
        <f t="shared" si="158"/>
        <v/>
      </c>
      <c r="AY2343" s="21" t="str">
        <f>IF(AND($AM2343&lt;&gt;"",$AS2343&lt;&gt;"✓"),SUMPRODUCT(($AM$11:$AM2343&lt;&gt;"")*($AS$11:$AS2343&lt;&gt;"✓")),"")</f>
        <v/>
      </c>
      <c r="AZ2343" s="21" t="str">
        <f>IF(AND($AM2343&lt;&gt;"",$AS2343="✓"),SUMPRODUCT(($AM$11:$AM2343&lt;&gt;"")*($AS$11:$AS2343="✓")),"")</f>
        <v/>
      </c>
      <c r="BA2343" s="21" t="str">
        <f>IF($AL2343="","",$AL2343&amp;"|"&amp;COUNTIF($AL$11:$AL2343,$AL2343))</f>
        <v/>
      </c>
    </row>
    <row r="2344" spans="38:53" ht="15" customHeight="1" x14ac:dyDescent="0.25">
      <c r="AL2344" s="31"/>
      <c r="AM2344" s="26"/>
      <c r="AN2344" s="32"/>
      <c r="AO2344" s="32"/>
      <c r="AP2344" s="24"/>
      <c r="AQ2344" s="24"/>
      <c r="AR2344" s="33"/>
      <c r="AS2344" s="34"/>
      <c r="AT2344" s="33"/>
      <c r="AV2344" s="21">
        <f>IF(AND($AL2344&lt;&gt;"",COUNTIF($AL$11:$AL2344,$AL2344)=1),1,0)</f>
        <v>0</v>
      </c>
      <c r="AW2344" s="21">
        <f t="shared" si="159"/>
        <v>0</v>
      </c>
      <c r="AX2344" s="21" t="str">
        <f t="shared" si="158"/>
        <v/>
      </c>
      <c r="AY2344" s="21" t="str">
        <f>IF(AND($AM2344&lt;&gt;"",$AS2344&lt;&gt;"✓"),SUMPRODUCT(($AM$11:$AM2344&lt;&gt;"")*($AS$11:$AS2344&lt;&gt;"✓")),"")</f>
        <v/>
      </c>
      <c r="AZ2344" s="21" t="str">
        <f>IF(AND($AM2344&lt;&gt;"",$AS2344="✓"),SUMPRODUCT(($AM$11:$AM2344&lt;&gt;"")*($AS$11:$AS2344="✓")),"")</f>
        <v/>
      </c>
      <c r="BA2344" s="21" t="str">
        <f>IF($AL2344="","",$AL2344&amp;"|"&amp;COUNTIF($AL$11:$AL2344,$AL2344))</f>
        <v/>
      </c>
    </row>
    <row r="2345" spans="38:53" ht="15" customHeight="1" x14ac:dyDescent="0.25">
      <c r="AL2345" s="17"/>
      <c r="AM2345" s="12"/>
      <c r="AN2345" s="18"/>
      <c r="AO2345" s="18"/>
      <c r="AP2345" s="10"/>
      <c r="AQ2345" s="10"/>
      <c r="AR2345" s="19"/>
      <c r="AS2345" s="20"/>
      <c r="AT2345" s="19"/>
      <c r="AV2345" s="21">
        <f>IF(AND($AL2345&lt;&gt;"",COUNTIF($AL$11:$AL2345,$AL2345)=1),1,0)</f>
        <v>0</v>
      </c>
      <c r="AW2345" s="21">
        <f t="shared" si="159"/>
        <v>0</v>
      </c>
      <c r="AX2345" s="21" t="str">
        <f t="shared" si="158"/>
        <v/>
      </c>
      <c r="AY2345" s="21" t="str">
        <f>IF(AND($AM2345&lt;&gt;"",$AS2345&lt;&gt;"✓"),SUMPRODUCT(($AM$11:$AM2345&lt;&gt;"")*($AS$11:$AS2345&lt;&gt;"✓")),"")</f>
        <v/>
      </c>
      <c r="AZ2345" s="21" t="str">
        <f>IF(AND($AM2345&lt;&gt;"",$AS2345="✓"),SUMPRODUCT(($AM$11:$AM2345&lt;&gt;"")*($AS$11:$AS2345="✓")),"")</f>
        <v/>
      </c>
      <c r="BA2345" s="21" t="str">
        <f>IF($AL2345="","",$AL2345&amp;"|"&amp;COUNTIF($AL$11:$AL2345,$AL2345))</f>
        <v/>
      </c>
    </row>
    <row r="2346" spans="38:53" ht="15" customHeight="1" x14ac:dyDescent="0.25">
      <c r="AL2346" s="31"/>
      <c r="AM2346" s="26"/>
      <c r="AN2346" s="32"/>
      <c r="AO2346" s="32"/>
      <c r="AP2346" s="24"/>
      <c r="AQ2346" s="24"/>
      <c r="AR2346" s="33"/>
      <c r="AS2346" s="34"/>
      <c r="AT2346" s="33"/>
      <c r="AV2346" s="21">
        <f>IF(AND($AL2346&lt;&gt;"",COUNTIF($AL$11:$AL2346,$AL2346)=1),1,0)</f>
        <v>0</v>
      </c>
      <c r="AW2346" s="21">
        <f t="shared" si="159"/>
        <v>0</v>
      </c>
      <c r="AX2346" s="21" t="str">
        <f t="shared" si="158"/>
        <v/>
      </c>
      <c r="AY2346" s="21" t="str">
        <f>IF(AND($AM2346&lt;&gt;"",$AS2346&lt;&gt;"✓"),SUMPRODUCT(($AM$11:$AM2346&lt;&gt;"")*($AS$11:$AS2346&lt;&gt;"✓")),"")</f>
        <v/>
      </c>
      <c r="AZ2346" s="21" t="str">
        <f>IF(AND($AM2346&lt;&gt;"",$AS2346="✓"),SUMPRODUCT(($AM$11:$AM2346&lt;&gt;"")*($AS$11:$AS2346="✓")),"")</f>
        <v/>
      </c>
      <c r="BA2346" s="21" t="str">
        <f>IF($AL2346="","",$AL2346&amp;"|"&amp;COUNTIF($AL$11:$AL2346,$AL2346))</f>
        <v/>
      </c>
    </row>
    <row r="2347" spans="38:53" ht="15" customHeight="1" x14ac:dyDescent="0.25">
      <c r="AL2347" s="17"/>
      <c r="AM2347" s="12"/>
      <c r="AN2347" s="18"/>
      <c r="AO2347" s="18"/>
      <c r="AP2347" s="10"/>
      <c r="AQ2347" s="10"/>
      <c r="AR2347" s="19"/>
      <c r="AS2347" s="20"/>
      <c r="AT2347" s="19"/>
      <c r="AV2347" s="21">
        <f>IF(AND($AL2347&lt;&gt;"",COUNTIF($AL$11:$AL2347,$AL2347)=1),1,0)</f>
        <v>0</v>
      </c>
      <c r="AW2347" s="21">
        <f t="shared" si="159"/>
        <v>0</v>
      </c>
      <c r="AX2347" s="21" t="str">
        <f t="shared" si="158"/>
        <v/>
      </c>
      <c r="AY2347" s="21" t="str">
        <f>IF(AND($AM2347&lt;&gt;"",$AS2347&lt;&gt;"✓"),SUMPRODUCT(($AM$11:$AM2347&lt;&gt;"")*($AS$11:$AS2347&lt;&gt;"✓")),"")</f>
        <v/>
      </c>
      <c r="AZ2347" s="21" t="str">
        <f>IF(AND($AM2347&lt;&gt;"",$AS2347="✓"),SUMPRODUCT(($AM$11:$AM2347&lt;&gt;"")*($AS$11:$AS2347="✓")),"")</f>
        <v/>
      </c>
      <c r="BA2347" s="21" t="str">
        <f>IF($AL2347="","",$AL2347&amp;"|"&amp;COUNTIF($AL$11:$AL2347,$AL2347))</f>
        <v/>
      </c>
    </row>
    <row r="2348" spans="38:53" ht="15" customHeight="1" x14ac:dyDescent="0.25">
      <c r="AL2348" s="31"/>
      <c r="AM2348" s="26"/>
      <c r="AN2348" s="32"/>
      <c r="AO2348" s="32"/>
      <c r="AP2348" s="24"/>
      <c r="AQ2348" s="24"/>
      <c r="AR2348" s="33"/>
      <c r="AS2348" s="34"/>
      <c r="AT2348" s="33"/>
      <c r="AV2348" s="21">
        <f>IF(AND($AL2348&lt;&gt;"",COUNTIF($AL$11:$AL2348,$AL2348)=1),1,0)</f>
        <v>0</v>
      </c>
      <c r="AW2348" s="21">
        <f t="shared" si="159"/>
        <v>0</v>
      </c>
      <c r="AX2348" s="21" t="str">
        <f t="shared" si="158"/>
        <v/>
      </c>
      <c r="AY2348" s="21" t="str">
        <f>IF(AND($AM2348&lt;&gt;"",$AS2348&lt;&gt;"✓"),SUMPRODUCT(($AM$11:$AM2348&lt;&gt;"")*($AS$11:$AS2348&lt;&gt;"✓")),"")</f>
        <v/>
      </c>
      <c r="AZ2348" s="21" t="str">
        <f>IF(AND($AM2348&lt;&gt;"",$AS2348="✓"),SUMPRODUCT(($AM$11:$AM2348&lt;&gt;"")*($AS$11:$AS2348="✓")),"")</f>
        <v/>
      </c>
      <c r="BA2348" s="21" t="str">
        <f>IF($AL2348="","",$AL2348&amp;"|"&amp;COUNTIF($AL$11:$AL2348,$AL2348))</f>
        <v/>
      </c>
    </row>
    <row r="2349" spans="38:53" ht="15" customHeight="1" x14ac:dyDescent="0.25">
      <c r="AL2349" s="17"/>
      <c r="AM2349" s="12"/>
      <c r="AN2349" s="18"/>
      <c r="AO2349" s="18"/>
      <c r="AP2349" s="10"/>
      <c r="AQ2349" s="10"/>
      <c r="AR2349" s="19"/>
      <c r="AS2349" s="20"/>
      <c r="AT2349" s="19"/>
      <c r="AV2349" s="21">
        <f>IF(AND($AL2349&lt;&gt;"",COUNTIF($AL$11:$AL2349,$AL2349)=1),1,0)</f>
        <v>0</v>
      </c>
      <c r="AW2349" s="21">
        <f t="shared" si="159"/>
        <v>0</v>
      </c>
      <c r="AX2349" s="21" t="str">
        <f t="shared" si="158"/>
        <v/>
      </c>
      <c r="AY2349" s="21" t="str">
        <f>IF(AND($AM2349&lt;&gt;"",$AS2349&lt;&gt;"✓"),SUMPRODUCT(($AM$11:$AM2349&lt;&gt;"")*($AS$11:$AS2349&lt;&gt;"✓")),"")</f>
        <v/>
      </c>
      <c r="AZ2349" s="21" t="str">
        <f>IF(AND($AM2349&lt;&gt;"",$AS2349="✓"),SUMPRODUCT(($AM$11:$AM2349&lt;&gt;"")*($AS$11:$AS2349="✓")),"")</f>
        <v/>
      </c>
      <c r="BA2349" s="21" t="str">
        <f>IF($AL2349="","",$AL2349&amp;"|"&amp;COUNTIF($AL$11:$AL2349,$AL2349))</f>
        <v/>
      </c>
    </row>
    <row r="2350" spans="38:53" ht="15" customHeight="1" x14ac:dyDescent="0.25">
      <c r="AL2350" s="31"/>
      <c r="AM2350" s="26"/>
      <c r="AN2350" s="32"/>
      <c r="AO2350" s="32"/>
      <c r="AP2350" s="24"/>
      <c r="AQ2350" s="24"/>
      <c r="AR2350" s="33"/>
      <c r="AS2350" s="34"/>
      <c r="AT2350" s="33"/>
      <c r="AV2350" s="21">
        <f>IF(AND($AL2350&lt;&gt;"",COUNTIF($AL$11:$AL2350,$AL2350)=1),1,0)</f>
        <v>0</v>
      </c>
      <c r="AW2350" s="21">
        <f t="shared" si="159"/>
        <v>0</v>
      </c>
      <c r="AX2350" s="21" t="str">
        <f t="shared" si="158"/>
        <v/>
      </c>
      <c r="AY2350" s="21" t="str">
        <f>IF(AND($AM2350&lt;&gt;"",$AS2350&lt;&gt;"✓"),SUMPRODUCT(($AM$11:$AM2350&lt;&gt;"")*($AS$11:$AS2350&lt;&gt;"✓")),"")</f>
        <v/>
      </c>
      <c r="AZ2350" s="21" t="str">
        <f>IF(AND($AM2350&lt;&gt;"",$AS2350="✓"),SUMPRODUCT(($AM$11:$AM2350&lt;&gt;"")*($AS$11:$AS2350="✓")),"")</f>
        <v/>
      </c>
      <c r="BA2350" s="21" t="str">
        <f>IF($AL2350="","",$AL2350&amp;"|"&amp;COUNTIF($AL$11:$AL2350,$AL2350))</f>
        <v/>
      </c>
    </row>
    <row r="2351" spans="38:53" ht="15" customHeight="1" x14ac:dyDescent="0.25">
      <c r="AL2351" s="17"/>
      <c r="AM2351" s="12"/>
      <c r="AN2351" s="18"/>
      <c r="AO2351" s="18"/>
      <c r="AP2351" s="10"/>
      <c r="AQ2351" s="10"/>
      <c r="AR2351" s="19"/>
      <c r="AS2351" s="20"/>
      <c r="AT2351" s="19"/>
      <c r="AV2351" s="21">
        <f>IF(AND($AL2351&lt;&gt;"",COUNTIF($AL$11:$AL2351,$AL2351)=1),1,0)</f>
        <v>0</v>
      </c>
      <c r="AW2351" s="21">
        <f t="shared" si="159"/>
        <v>0</v>
      </c>
      <c r="AX2351" s="21" t="str">
        <f t="shared" si="158"/>
        <v/>
      </c>
      <c r="AY2351" s="21" t="str">
        <f>IF(AND($AM2351&lt;&gt;"",$AS2351&lt;&gt;"✓"),SUMPRODUCT(($AM$11:$AM2351&lt;&gt;"")*($AS$11:$AS2351&lt;&gt;"✓")),"")</f>
        <v/>
      </c>
      <c r="AZ2351" s="21" t="str">
        <f>IF(AND($AM2351&lt;&gt;"",$AS2351="✓"),SUMPRODUCT(($AM$11:$AM2351&lt;&gt;"")*($AS$11:$AS2351="✓")),"")</f>
        <v/>
      </c>
      <c r="BA2351" s="21" t="str">
        <f>IF($AL2351="","",$AL2351&amp;"|"&amp;COUNTIF($AL$11:$AL2351,$AL2351))</f>
        <v/>
      </c>
    </row>
    <row r="2352" spans="38:53" ht="15" customHeight="1" x14ac:dyDescent="0.25">
      <c r="AL2352" s="31"/>
      <c r="AM2352" s="26"/>
      <c r="AN2352" s="32"/>
      <c r="AO2352" s="32"/>
      <c r="AP2352" s="24"/>
      <c r="AQ2352" s="24"/>
      <c r="AR2352" s="33"/>
      <c r="AS2352" s="34"/>
      <c r="AT2352" s="33"/>
      <c r="AV2352" s="21">
        <f>IF(AND($AL2352&lt;&gt;"",COUNTIF($AL$11:$AL2352,$AL2352)=1),1,0)</f>
        <v>0</v>
      </c>
      <c r="AW2352" s="21">
        <f t="shared" si="159"/>
        <v>0</v>
      </c>
      <c r="AX2352" s="21" t="str">
        <f t="shared" si="158"/>
        <v/>
      </c>
      <c r="AY2352" s="21" t="str">
        <f>IF(AND($AM2352&lt;&gt;"",$AS2352&lt;&gt;"✓"),SUMPRODUCT(($AM$11:$AM2352&lt;&gt;"")*($AS$11:$AS2352&lt;&gt;"✓")),"")</f>
        <v/>
      </c>
      <c r="AZ2352" s="21" t="str">
        <f>IF(AND($AM2352&lt;&gt;"",$AS2352="✓"),SUMPRODUCT(($AM$11:$AM2352&lt;&gt;"")*($AS$11:$AS2352="✓")),"")</f>
        <v/>
      </c>
      <c r="BA2352" s="21" t="str">
        <f>IF($AL2352="","",$AL2352&amp;"|"&amp;COUNTIF($AL$11:$AL2352,$AL2352))</f>
        <v/>
      </c>
    </row>
    <row r="2353" spans="38:53" ht="15" customHeight="1" x14ac:dyDescent="0.25">
      <c r="AL2353" s="17"/>
      <c r="AM2353" s="12"/>
      <c r="AN2353" s="18"/>
      <c r="AO2353" s="18"/>
      <c r="AP2353" s="10"/>
      <c r="AQ2353" s="10"/>
      <c r="AR2353" s="19"/>
      <c r="AS2353" s="20"/>
      <c r="AT2353" s="19"/>
      <c r="AV2353" s="21">
        <f>IF(AND($AL2353&lt;&gt;"",COUNTIF($AL$11:$AL2353,$AL2353)=1),1,0)</f>
        <v>0</v>
      </c>
      <c r="AW2353" s="21">
        <f t="shared" si="159"/>
        <v>0</v>
      </c>
      <c r="AX2353" s="21" t="str">
        <f t="shared" si="158"/>
        <v/>
      </c>
      <c r="AY2353" s="21" t="str">
        <f>IF(AND($AM2353&lt;&gt;"",$AS2353&lt;&gt;"✓"),SUMPRODUCT(($AM$11:$AM2353&lt;&gt;"")*($AS$11:$AS2353&lt;&gt;"✓")),"")</f>
        <v/>
      </c>
      <c r="AZ2353" s="21" t="str">
        <f>IF(AND($AM2353&lt;&gt;"",$AS2353="✓"),SUMPRODUCT(($AM$11:$AM2353&lt;&gt;"")*($AS$11:$AS2353="✓")),"")</f>
        <v/>
      </c>
      <c r="BA2353" s="21" t="str">
        <f>IF($AL2353="","",$AL2353&amp;"|"&amp;COUNTIF($AL$11:$AL2353,$AL2353))</f>
        <v/>
      </c>
    </row>
    <row r="2354" spans="38:53" ht="15" customHeight="1" x14ac:dyDescent="0.25">
      <c r="AL2354" s="31"/>
      <c r="AM2354" s="26"/>
      <c r="AN2354" s="32"/>
      <c r="AO2354" s="32"/>
      <c r="AP2354" s="24"/>
      <c r="AQ2354" s="24"/>
      <c r="AR2354" s="33"/>
      <c r="AS2354" s="34"/>
      <c r="AT2354" s="33"/>
      <c r="AV2354" s="21">
        <f>IF(AND($AL2354&lt;&gt;"",COUNTIF($AL$11:$AL2354,$AL2354)=1),1,0)</f>
        <v>0</v>
      </c>
      <c r="AW2354" s="21">
        <f t="shared" si="159"/>
        <v>0</v>
      </c>
      <c r="AX2354" s="21" t="str">
        <f t="shared" si="158"/>
        <v/>
      </c>
      <c r="AY2354" s="21" t="str">
        <f>IF(AND($AM2354&lt;&gt;"",$AS2354&lt;&gt;"✓"),SUMPRODUCT(($AM$11:$AM2354&lt;&gt;"")*($AS$11:$AS2354&lt;&gt;"✓")),"")</f>
        <v/>
      </c>
      <c r="AZ2354" s="21" t="str">
        <f>IF(AND($AM2354&lt;&gt;"",$AS2354="✓"),SUMPRODUCT(($AM$11:$AM2354&lt;&gt;"")*($AS$11:$AS2354="✓")),"")</f>
        <v/>
      </c>
      <c r="BA2354" s="21" t="str">
        <f>IF($AL2354="","",$AL2354&amp;"|"&amp;COUNTIF($AL$11:$AL2354,$AL2354))</f>
        <v/>
      </c>
    </row>
    <row r="2355" spans="38:53" ht="15" customHeight="1" x14ac:dyDescent="0.25">
      <c r="AL2355" s="17"/>
      <c r="AM2355" s="12"/>
      <c r="AN2355" s="18"/>
      <c r="AO2355" s="18"/>
      <c r="AP2355" s="10"/>
      <c r="AQ2355" s="10"/>
      <c r="AR2355" s="19"/>
      <c r="AS2355" s="20"/>
      <c r="AT2355" s="19"/>
      <c r="AV2355" s="21">
        <f>IF(AND($AL2355&lt;&gt;"",COUNTIF($AL$11:$AL2355,$AL2355)=1),1,0)</f>
        <v>0</v>
      </c>
      <c r="AW2355" s="21">
        <f t="shared" si="159"/>
        <v>0</v>
      </c>
      <c r="AX2355" s="21" t="str">
        <f t="shared" si="158"/>
        <v/>
      </c>
      <c r="AY2355" s="21" t="str">
        <f>IF(AND($AM2355&lt;&gt;"",$AS2355&lt;&gt;"✓"),SUMPRODUCT(($AM$11:$AM2355&lt;&gt;"")*($AS$11:$AS2355&lt;&gt;"✓")),"")</f>
        <v/>
      </c>
      <c r="AZ2355" s="21" t="str">
        <f>IF(AND($AM2355&lt;&gt;"",$AS2355="✓"),SUMPRODUCT(($AM$11:$AM2355&lt;&gt;"")*($AS$11:$AS2355="✓")),"")</f>
        <v/>
      </c>
      <c r="BA2355" s="21" t="str">
        <f>IF($AL2355="","",$AL2355&amp;"|"&amp;COUNTIF($AL$11:$AL2355,$AL2355))</f>
        <v/>
      </c>
    </row>
    <row r="2356" spans="38:53" ht="15" customHeight="1" x14ac:dyDescent="0.25">
      <c r="AL2356" s="31"/>
      <c r="AM2356" s="26"/>
      <c r="AN2356" s="32"/>
      <c r="AO2356" s="32"/>
      <c r="AP2356" s="24"/>
      <c r="AQ2356" s="24"/>
      <c r="AR2356" s="33"/>
      <c r="AS2356" s="34"/>
      <c r="AT2356" s="33"/>
      <c r="AV2356" s="21">
        <f>IF(AND($AL2356&lt;&gt;"",COUNTIF($AL$11:$AL2356,$AL2356)=1),1,0)</f>
        <v>0</v>
      </c>
      <c r="AW2356" s="21">
        <f t="shared" si="159"/>
        <v>0</v>
      </c>
      <c r="AX2356" s="21" t="str">
        <f t="shared" si="158"/>
        <v/>
      </c>
      <c r="AY2356" s="21" t="str">
        <f>IF(AND($AM2356&lt;&gt;"",$AS2356&lt;&gt;"✓"),SUMPRODUCT(($AM$11:$AM2356&lt;&gt;"")*($AS$11:$AS2356&lt;&gt;"✓")),"")</f>
        <v/>
      </c>
      <c r="AZ2356" s="21" t="str">
        <f>IF(AND($AM2356&lt;&gt;"",$AS2356="✓"),SUMPRODUCT(($AM$11:$AM2356&lt;&gt;"")*($AS$11:$AS2356="✓")),"")</f>
        <v/>
      </c>
      <c r="BA2356" s="21" t="str">
        <f>IF($AL2356="","",$AL2356&amp;"|"&amp;COUNTIF($AL$11:$AL2356,$AL2356))</f>
        <v/>
      </c>
    </row>
    <row r="2357" spans="38:53" ht="15" customHeight="1" x14ac:dyDescent="0.25">
      <c r="AL2357" s="17"/>
      <c r="AM2357" s="12"/>
      <c r="AN2357" s="18"/>
      <c r="AO2357" s="18"/>
      <c r="AP2357" s="10"/>
      <c r="AQ2357" s="10"/>
      <c r="AR2357" s="19"/>
      <c r="AS2357" s="20"/>
      <c r="AT2357" s="19"/>
      <c r="AV2357" s="21">
        <f>IF(AND($AL2357&lt;&gt;"",COUNTIF($AL$11:$AL2357,$AL2357)=1),1,0)</f>
        <v>0</v>
      </c>
      <c r="AW2357" s="21">
        <f t="shared" si="159"/>
        <v>0</v>
      </c>
      <c r="AX2357" s="21" t="str">
        <f t="shared" si="158"/>
        <v/>
      </c>
      <c r="AY2357" s="21" t="str">
        <f>IF(AND($AM2357&lt;&gt;"",$AS2357&lt;&gt;"✓"),SUMPRODUCT(($AM$11:$AM2357&lt;&gt;"")*($AS$11:$AS2357&lt;&gt;"✓")),"")</f>
        <v/>
      </c>
      <c r="AZ2357" s="21" t="str">
        <f>IF(AND($AM2357&lt;&gt;"",$AS2357="✓"),SUMPRODUCT(($AM$11:$AM2357&lt;&gt;"")*($AS$11:$AS2357="✓")),"")</f>
        <v/>
      </c>
      <c r="BA2357" s="21" t="str">
        <f>IF($AL2357="","",$AL2357&amp;"|"&amp;COUNTIF($AL$11:$AL2357,$AL2357))</f>
        <v/>
      </c>
    </row>
    <row r="2358" spans="38:53" ht="15" customHeight="1" x14ac:dyDescent="0.25">
      <c r="AL2358" s="31"/>
      <c r="AM2358" s="26"/>
      <c r="AN2358" s="32"/>
      <c r="AO2358" s="32"/>
      <c r="AP2358" s="24"/>
      <c r="AQ2358" s="24"/>
      <c r="AR2358" s="33"/>
      <c r="AS2358" s="34"/>
      <c r="AT2358" s="33"/>
      <c r="AV2358" s="21">
        <f>IF(AND($AL2358&lt;&gt;"",COUNTIF($AL$11:$AL2358,$AL2358)=1),1,0)</f>
        <v>0</v>
      </c>
      <c r="AW2358" s="21">
        <f t="shared" si="159"/>
        <v>0</v>
      </c>
      <c r="AX2358" s="21" t="str">
        <f t="shared" si="158"/>
        <v/>
      </c>
      <c r="AY2358" s="21" t="str">
        <f>IF(AND($AM2358&lt;&gt;"",$AS2358&lt;&gt;"✓"),SUMPRODUCT(($AM$11:$AM2358&lt;&gt;"")*($AS$11:$AS2358&lt;&gt;"✓")),"")</f>
        <v/>
      </c>
      <c r="AZ2358" s="21" t="str">
        <f>IF(AND($AM2358&lt;&gt;"",$AS2358="✓"),SUMPRODUCT(($AM$11:$AM2358&lt;&gt;"")*($AS$11:$AS2358="✓")),"")</f>
        <v/>
      </c>
      <c r="BA2358" s="21" t="str">
        <f>IF($AL2358="","",$AL2358&amp;"|"&amp;COUNTIF($AL$11:$AL2358,$AL2358))</f>
        <v/>
      </c>
    </row>
    <row r="2359" spans="38:53" ht="15" customHeight="1" x14ac:dyDescent="0.25">
      <c r="AL2359" s="17"/>
      <c r="AM2359" s="12"/>
      <c r="AN2359" s="18"/>
      <c r="AO2359" s="18"/>
      <c r="AP2359" s="10"/>
      <c r="AQ2359" s="10"/>
      <c r="AR2359" s="19"/>
      <c r="AS2359" s="20"/>
      <c r="AT2359" s="19"/>
      <c r="AV2359" s="21">
        <f>IF(AND($AL2359&lt;&gt;"",COUNTIF($AL$11:$AL2359,$AL2359)=1),1,0)</f>
        <v>0</v>
      </c>
      <c r="AW2359" s="21">
        <f t="shared" si="159"/>
        <v>0</v>
      </c>
      <c r="AX2359" s="21" t="str">
        <f t="shared" si="158"/>
        <v/>
      </c>
      <c r="AY2359" s="21" t="str">
        <f>IF(AND($AM2359&lt;&gt;"",$AS2359&lt;&gt;"✓"),SUMPRODUCT(($AM$11:$AM2359&lt;&gt;"")*($AS$11:$AS2359&lt;&gt;"✓")),"")</f>
        <v/>
      </c>
      <c r="AZ2359" s="21" t="str">
        <f>IF(AND($AM2359&lt;&gt;"",$AS2359="✓"),SUMPRODUCT(($AM$11:$AM2359&lt;&gt;"")*($AS$11:$AS2359="✓")),"")</f>
        <v/>
      </c>
      <c r="BA2359" s="21" t="str">
        <f>IF($AL2359="","",$AL2359&amp;"|"&amp;COUNTIF($AL$11:$AL2359,$AL2359))</f>
        <v/>
      </c>
    </row>
    <row r="2360" spans="38:53" ht="15" customHeight="1" x14ac:dyDescent="0.25">
      <c r="AL2360" s="31"/>
      <c r="AM2360" s="26"/>
      <c r="AN2360" s="32"/>
      <c r="AO2360" s="32"/>
      <c r="AP2360" s="24"/>
      <c r="AQ2360" s="24"/>
      <c r="AR2360" s="33"/>
      <c r="AS2360" s="34"/>
      <c r="AT2360" s="33"/>
      <c r="AV2360" s="21">
        <f>IF(AND($AL2360&lt;&gt;"",COUNTIF($AL$11:$AL2360,$AL2360)=1),1,0)</f>
        <v>0</v>
      </c>
      <c r="AW2360" s="21">
        <f t="shared" si="159"/>
        <v>0</v>
      </c>
      <c r="AX2360" s="21" t="str">
        <f t="shared" si="158"/>
        <v/>
      </c>
      <c r="AY2360" s="21" t="str">
        <f>IF(AND($AM2360&lt;&gt;"",$AS2360&lt;&gt;"✓"),SUMPRODUCT(($AM$11:$AM2360&lt;&gt;"")*($AS$11:$AS2360&lt;&gt;"✓")),"")</f>
        <v/>
      </c>
      <c r="AZ2360" s="21" t="str">
        <f>IF(AND($AM2360&lt;&gt;"",$AS2360="✓"),SUMPRODUCT(($AM$11:$AM2360&lt;&gt;"")*($AS$11:$AS2360="✓")),"")</f>
        <v/>
      </c>
      <c r="BA2360" s="21" t="str">
        <f>IF($AL2360="","",$AL2360&amp;"|"&amp;COUNTIF($AL$11:$AL2360,$AL2360))</f>
        <v/>
      </c>
    </row>
    <row r="2361" spans="38:53" ht="15" customHeight="1" x14ac:dyDescent="0.25">
      <c r="AL2361" s="17"/>
      <c r="AM2361" s="12"/>
      <c r="AN2361" s="18"/>
      <c r="AO2361" s="18"/>
      <c r="AP2361" s="10"/>
      <c r="AQ2361" s="10"/>
      <c r="AR2361" s="19"/>
      <c r="AS2361" s="20"/>
      <c r="AT2361" s="19"/>
      <c r="AV2361" s="21">
        <f>IF(AND($AL2361&lt;&gt;"",COUNTIF($AL$11:$AL2361,$AL2361)=1),1,0)</f>
        <v>0</v>
      </c>
      <c r="AW2361" s="21">
        <f t="shared" si="159"/>
        <v>0</v>
      </c>
      <c r="AX2361" s="21" t="str">
        <f t="shared" si="158"/>
        <v/>
      </c>
      <c r="AY2361" s="21" t="str">
        <f>IF(AND($AM2361&lt;&gt;"",$AS2361&lt;&gt;"✓"),SUMPRODUCT(($AM$11:$AM2361&lt;&gt;"")*($AS$11:$AS2361&lt;&gt;"✓")),"")</f>
        <v/>
      </c>
      <c r="AZ2361" s="21" t="str">
        <f>IF(AND($AM2361&lt;&gt;"",$AS2361="✓"),SUMPRODUCT(($AM$11:$AM2361&lt;&gt;"")*($AS$11:$AS2361="✓")),"")</f>
        <v/>
      </c>
      <c r="BA2361" s="21" t="str">
        <f>IF($AL2361="","",$AL2361&amp;"|"&amp;COUNTIF($AL$11:$AL2361,$AL2361))</f>
        <v/>
      </c>
    </row>
    <row r="2362" spans="38:53" ht="15" customHeight="1" x14ac:dyDescent="0.25">
      <c r="AL2362" s="31"/>
      <c r="AM2362" s="26"/>
      <c r="AN2362" s="32"/>
      <c r="AO2362" s="32"/>
      <c r="AP2362" s="24"/>
      <c r="AQ2362" s="24"/>
      <c r="AR2362" s="33"/>
      <c r="AS2362" s="34"/>
      <c r="AT2362" s="33"/>
      <c r="AV2362" s="21">
        <f>IF(AND($AL2362&lt;&gt;"",COUNTIF($AL$11:$AL2362,$AL2362)=1),1,0)</f>
        <v>0</v>
      </c>
      <c r="AW2362" s="21">
        <f t="shared" si="159"/>
        <v>0</v>
      </c>
      <c r="AX2362" s="21" t="str">
        <f t="shared" si="158"/>
        <v/>
      </c>
      <c r="AY2362" s="21" t="str">
        <f>IF(AND($AM2362&lt;&gt;"",$AS2362&lt;&gt;"✓"),SUMPRODUCT(($AM$11:$AM2362&lt;&gt;"")*($AS$11:$AS2362&lt;&gt;"✓")),"")</f>
        <v/>
      </c>
      <c r="AZ2362" s="21" t="str">
        <f>IF(AND($AM2362&lt;&gt;"",$AS2362="✓"),SUMPRODUCT(($AM$11:$AM2362&lt;&gt;"")*($AS$11:$AS2362="✓")),"")</f>
        <v/>
      </c>
      <c r="BA2362" s="21" t="str">
        <f>IF($AL2362="","",$AL2362&amp;"|"&amp;COUNTIF($AL$11:$AL2362,$AL2362))</f>
        <v/>
      </c>
    </row>
    <row r="2363" spans="38:53" ht="15" customHeight="1" x14ac:dyDescent="0.25">
      <c r="AL2363" s="17"/>
      <c r="AM2363" s="12"/>
      <c r="AN2363" s="18"/>
      <c r="AO2363" s="18"/>
      <c r="AP2363" s="10"/>
      <c r="AQ2363" s="10"/>
      <c r="AR2363" s="19"/>
      <c r="AS2363" s="20"/>
      <c r="AT2363" s="19"/>
      <c r="AV2363" s="21">
        <f>IF(AND($AL2363&lt;&gt;"",COUNTIF($AL$11:$AL2363,$AL2363)=1),1,0)</f>
        <v>0</v>
      </c>
      <c r="AW2363" s="21">
        <f t="shared" si="159"/>
        <v>0</v>
      </c>
      <c r="AX2363" s="21" t="str">
        <f t="shared" si="158"/>
        <v/>
      </c>
      <c r="AY2363" s="21" t="str">
        <f>IF(AND($AM2363&lt;&gt;"",$AS2363&lt;&gt;"✓"),SUMPRODUCT(($AM$11:$AM2363&lt;&gt;"")*($AS$11:$AS2363&lt;&gt;"✓")),"")</f>
        <v/>
      </c>
      <c r="AZ2363" s="21" t="str">
        <f>IF(AND($AM2363&lt;&gt;"",$AS2363="✓"),SUMPRODUCT(($AM$11:$AM2363&lt;&gt;"")*($AS$11:$AS2363="✓")),"")</f>
        <v/>
      </c>
      <c r="BA2363" s="21" t="str">
        <f>IF($AL2363="","",$AL2363&amp;"|"&amp;COUNTIF($AL$11:$AL2363,$AL2363))</f>
        <v/>
      </c>
    </row>
    <row r="2364" spans="38:53" ht="15" customHeight="1" x14ac:dyDescent="0.25">
      <c r="AL2364" s="31"/>
      <c r="AM2364" s="26"/>
      <c r="AN2364" s="32"/>
      <c r="AO2364" s="32"/>
      <c r="AP2364" s="24"/>
      <c r="AQ2364" s="24"/>
      <c r="AR2364" s="33"/>
      <c r="AS2364" s="34"/>
      <c r="AT2364" s="33"/>
      <c r="AV2364" s="21">
        <f>IF(AND($AL2364&lt;&gt;"",COUNTIF($AL$11:$AL2364,$AL2364)=1),1,0)</f>
        <v>0</v>
      </c>
      <c r="AW2364" s="21">
        <f t="shared" si="159"/>
        <v>0</v>
      </c>
      <c r="AX2364" s="21" t="str">
        <f t="shared" si="158"/>
        <v/>
      </c>
      <c r="AY2364" s="21" t="str">
        <f>IF(AND($AM2364&lt;&gt;"",$AS2364&lt;&gt;"✓"),SUMPRODUCT(($AM$11:$AM2364&lt;&gt;"")*($AS$11:$AS2364&lt;&gt;"✓")),"")</f>
        <v/>
      </c>
      <c r="AZ2364" s="21" t="str">
        <f>IF(AND($AM2364&lt;&gt;"",$AS2364="✓"),SUMPRODUCT(($AM$11:$AM2364&lt;&gt;"")*($AS$11:$AS2364="✓")),"")</f>
        <v/>
      </c>
      <c r="BA2364" s="21" t="str">
        <f>IF($AL2364="","",$AL2364&amp;"|"&amp;COUNTIF($AL$11:$AL2364,$AL2364))</f>
        <v/>
      </c>
    </row>
    <row r="2365" spans="38:53" ht="15" customHeight="1" x14ac:dyDescent="0.25">
      <c r="AL2365" s="17"/>
      <c r="AM2365" s="12"/>
      <c r="AN2365" s="18"/>
      <c r="AO2365" s="18"/>
      <c r="AP2365" s="10"/>
      <c r="AQ2365" s="10"/>
      <c r="AR2365" s="19"/>
      <c r="AS2365" s="20"/>
      <c r="AT2365" s="19"/>
      <c r="AV2365" s="21">
        <f>IF(AND($AL2365&lt;&gt;"",COUNTIF($AL$11:$AL2365,$AL2365)=1),1,0)</f>
        <v>0</v>
      </c>
      <c r="AW2365" s="21">
        <f t="shared" si="159"/>
        <v>0</v>
      </c>
      <c r="AX2365" s="21" t="str">
        <f t="shared" si="158"/>
        <v/>
      </c>
      <c r="AY2365" s="21" t="str">
        <f>IF(AND($AM2365&lt;&gt;"",$AS2365&lt;&gt;"✓"),SUMPRODUCT(($AM$11:$AM2365&lt;&gt;"")*($AS$11:$AS2365&lt;&gt;"✓")),"")</f>
        <v/>
      </c>
      <c r="AZ2365" s="21" t="str">
        <f>IF(AND($AM2365&lt;&gt;"",$AS2365="✓"),SUMPRODUCT(($AM$11:$AM2365&lt;&gt;"")*($AS$11:$AS2365="✓")),"")</f>
        <v/>
      </c>
      <c r="BA2365" s="21" t="str">
        <f>IF($AL2365="","",$AL2365&amp;"|"&amp;COUNTIF($AL$11:$AL2365,$AL2365))</f>
        <v/>
      </c>
    </row>
    <row r="2366" spans="38:53" ht="15" customHeight="1" x14ac:dyDescent="0.25">
      <c r="AL2366" s="31"/>
      <c r="AM2366" s="26"/>
      <c r="AN2366" s="32"/>
      <c r="AO2366" s="32"/>
      <c r="AP2366" s="24"/>
      <c r="AQ2366" s="24"/>
      <c r="AR2366" s="33"/>
      <c r="AS2366" s="34"/>
      <c r="AT2366" s="33"/>
      <c r="AV2366" s="21">
        <f>IF(AND($AL2366&lt;&gt;"",COUNTIF($AL$11:$AL2366,$AL2366)=1),1,0)</f>
        <v>0</v>
      </c>
      <c r="AW2366" s="21">
        <f t="shared" si="159"/>
        <v>0</v>
      </c>
      <c r="AX2366" s="21" t="str">
        <f t="shared" si="158"/>
        <v/>
      </c>
      <c r="AY2366" s="21" t="str">
        <f>IF(AND($AM2366&lt;&gt;"",$AS2366&lt;&gt;"✓"),SUMPRODUCT(($AM$11:$AM2366&lt;&gt;"")*($AS$11:$AS2366&lt;&gt;"✓")),"")</f>
        <v/>
      </c>
      <c r="AZ2366" s="21" t="str">
        <f>IF(AND($AM2366&lt;&gt;"",$AS2366="✓"),SUMPRODUCT(($AM$11:$AM2366&lt;&gt;"")*($AS$11:$AS2366="✓")),"")</f>
        <v/>
      </c>
      <c r="BA2366" s="21" t="str">
        <f>IF($AL2366="","",$AL2366&amp;"|"&amp;COUNTIF($AL$11:$AL2366,$AL2366))</f>
        <v/>
      </c>
    </row>
    <row r="2367" spans="38:53" ht="15" customHeight="1" x14ac:dyDescent="0.25">
      <c r="AL2367" s="17"/>
      <c r="AM2367" s="12"/>
      <c r="AN2367" s="18"/>
      <c r="AO2367" s="18"/>
      <c r="AP2367" s="10"/>
      <c r="AQ2367" s="10"/>
      <c r="AR2367" s="19"/>
      <c r="AS2367" s="20"/>
      <c r="AT2367" s="19"/>
      <c r="AV2367" s="21">
        <f>IF(AND($AL2367&lt;&gt;"",COUNTIF($AL$11:$AL2367,$AL2367)=1),1,0)</f>
        <v>0</v>
      </c>
      <c r="AW2367" s="21">
        <f t="shared" si="159"/>
        <v>0</v>
      </c>
      <c r="AX2367" s="21" t="str">
        <f t="shared" si="158"/>
        <v/>
      </c>
      <c r="AY2367" s="21" t="str">
        <f>IF(AND($AM2367&lt;&gt;"",$AS2367&lt;&gt;"✓"),SUMPRODUCT(($AM$11:$AM2367&lt;&gt;"")*($AS$11:$AS2367&lt;&gt;"✓")),"")</f>
        <v/>
      </c>
      <c r="AZ2367" s="21" t="str">
        <f>IF(AND($AM2367&lt;&gt;"",$AS2367="✓"),SUMPRODUCT(($AM$11:$AM2367&lt;&gt;"")*($AS$11:$AS2367="✓")),"")</f>
        <v/>
      </c>
      <c r="BA2367" s="21" t="str">
        <f>IF($AL2367="","",$AL2367&amp;"|"&amp;COUNTIF($AL$11:$AL2367,$AL2367))</f>
        <v/>
      </c>
    </row>
    <row r="2368" spans="38:53" ht="15" customHeight="1" x14ac:dyDescent="0.25">
      <c r="AL2368" s="31"/>
      <c r="AM2368" s="26"/>
      <c r="AN2368" s="32"/>
      <c r="AO2368" s="32"/>
      <c r="AP2368" s="24"/>
      <c r="AQ2368" s="24"/>
      <c r="AR2368" s="33"/>
      <c r="AS2368" s="34"/>
      <c r="AT2368" s="33"/>
      <c r="AV2368" s="21">
        <f>IF(AND($AL2368&lt;&gt;"",COUNTIF($AL$11:$AL2368,$AL2368)=1),1,0)</f>
        <v>0</v>
      </c>
      <c r="AW2368" s="21">
        <f t="shared" si="159"/>
        <v>0</v>
      </c>
      <c r="AX2368" s="21" t="str">
        <f t="shared" si="158"/>
        <v/>
      </c>
      <c r="AY2368" s="21" t="str">
        <f>IF(AND($AM2368&lt;&gt;"",$AS2368&lt;&gt;"✓"),SUMPRODUCT(($AM$11:$AM2368&lt;&gt;"")*($AS$11:$AS2368&lt;&gt;"✓")),"")</f>
        <v/>
      </c>
      <c r="AZ2368" s="21" t="str">
        <f>IF(AND($AM2368&lt;&gt;"",$AS2368="✓"),SUMPRODUCT(($AM$11:$AM2368&lt;&gt;"")*($AS$11:$AS2368="✓")),"")</f>
        <v/>
      </c>
      <c r="BA2368" s="21" t="str">
        <f>IF($AL2368="","",$AL2368&amp;"|"&amp;COUNTIF($AL$11:$AL2368,$AL2368))</f>
        <v/>
      </c>
    </row>
    <row r="2369" spans="38:53" ht="15" customHeight="1" x14ac:dyDescent="0.25">
      <c r="AL2369" s="17"/>
      <c r="AM2369" s="12"/>
      <c r="AN2369" s="18"/>
      <c r="AO2369" s="18"/>
      <c r="AP2369" s="10"/>
      <c r="AQ2369" s="10"/>
      <c r="AR2369" s="19"/>
      <c r="AS2369" s="20"/>
      <c r="AT2369" s="19"/>
      <c r="AV2369" s="21">
        <f>IF(AND($AL2369&lt;&gt;"",COUNTIF($AL$11:$AL2369,$AL2369)=1),1,0)</f>
        <v>0</v>
      </c>
      <c r="AW2369" s="21">
        <f t="shared" si="159"/>
        <v>0</v>
      </c>
      <c r="AX2369" s="21" t="str">
        <f t="shared" si="158"/>
        <v/>
      </c>
      <c r="AY2369" s="21" t="str">
        <f>IF(AND($AM2369&lt;&gt;"",$AS2369&lt;&gt;"✓"),SUMPRODUCT(($AM$11:$AM2369&lt;&gt;"")*($AS$11:$AS2369&lt;&gt;"✓")),"")</f>
        <v/>
      </c>
      <c r="AZ2369" s="21" t="str">
        <f>IF(AND($AM2369&lt;&gt;"",$AS2369="✓"),SUMPRODUCT(($AM$11:$AM2369&lt;&gt;"")*($AS$11:$AS2369="✓")),"")</f>
        <v/>
      </c>
      <c r="BA2369" s="21" t="str">
        <f>IF($AL2369="","",$AL2369&amp;"|"&amp;COUNTIF($AL$11:$AL2369,$AL2369))</f>
        <v/>
      </c>
    </row>
    <row r="2370" spans="38:53" ht="15" customHeight="1" x14ac:dyDescent="0.25">
      <c r="AL2370" s="31"/>
      <c r="AM2370" s="26"/>
      <c r="AN2370" s="32"/>
      <c r="AO2370" s="32"/>
      <c r="AP2370" s="24"/>
      <c r="AQ2370" s="24"/>
      <c r="AR2370" s="33"/>
      <c r="AS2370" s="34"/>
      <c r="AT2370" s="33"/>
      <c r="AV2370" s="21">
        <f>IF(AND($AL2370&lt;&gt;"",COUNTIF($AL$11:$AL2370,$AL2370)=1),1,0)</f>
        <v>0</v>
      </c>
      <c r="AW2370" s="21">
        <f t="shared" si="159"/>
        <v>0</v>
      </c>
      <c r="AX2370" s="21" t="str">
        <f t="shared" si="158"/>
        <v/>
      </c>
      <c r="AY2370" s="21" t="str">
        <f>IF(AND($AM2370&lt;&gt;"",$AS2370&lt;&gt;"✓"),SUMPRODUCT(($AM$11:$AM2370&lt;&gt;"")*($AS$11:$AS2370&lt;&gt;"✓")),"")</f>
        <v/>
      </c>
      <c r="AZ2370" s="21" t="str">
        <f>IF(AND($AM2370&lt;&gt;"",$AS2370="✓"),SUMPRODUCT(($AM$11:$AM2370&lt;&gt;"")*($AS$11:$AS2370="✓")),"")</f>
        <v/>
      </c>
      <c r="BA2370" s="21" t="str">
        <f>IF($AL2370="","",$AL2370&amp;"|"&amp;COUNTIF($AL$11:$AL2370,$AL2370))</f>
        <v/>
      </c>
    </row>
    <row r="2371" spans="38:53" ht="15" customHeight="1" x14ac:dyDescent="0.25">
      <c r="AL2371" s="17"/>
      <c r="AM2371" s="12"/>
      <c r="AN2371" s="18"/>
      <c r="AO2371" s="18"/>
      <c r="AP2371" s="10"/>
      <c r="AQ2371" s="10"/>
      <c r="AR2371" s="19"/>
      <c r="AS2371" s="20"/>
      <c r="AT2371" s="19"/>
      <c r="AV2371" s="21">
        <f>IF(AND($AL2371&lt;&gt;"",COUNTIF($AL$11:$AL2371,$AL2371)=1),1,0)</f>
        <v>0</v>
      </c>
      <c r="AW2371" s="21">
        <f t="shared" si="159"/>
        <v>0</v>
      </c>
      <c r="AX2371" s="21" t="str">
        <f t="shared" si="158"/>
        <v/>
      </c>
      <c r="AY2371" s="21" t="str">
        <f>IF(AND($AM2371&lt;&gt;"",$AS2371&lt;&gt;"✓"),SUMPRODUCT(($AM$11:$AM2371&lt;&gt;"")*($AS$11:$AS2371&lt;&gt;"✓")),"")</f>
        <v/>
      </c>
      <c r="AZ2371" s="21" t="str">
        <f>IF(AND($AM2371&lt;&gt;"",$AS2371="✓"),SUMPRODUCT(($AM$11:$AM2371&lt;&gt;"")*($AS$11:$AS2371="✓")),"")</f>
        <v/>
      </c>
      <c r="BA2371" s="21" t="str">
        <f>IF($AL2371="","",$AL2371&amp;"|"&amp;COUNTIF($AL$11:$AL2371,$AL2371))</f>
        <v/>
      </c>
    </row>
    <row r="2372" spans="38:53" ht="15" customHeight="1" x14ac:dyDescent="0.25">
      <c r="AL2372" s="31"/>
      <c r="AM2372" s="26"/>
      <c r="AN2372" s="32"/>
      <c r="AO2372" s="32"/>
      <c r="AP2372" s="24"/>
      <c r="AQ2372" s="24"/>
      <c r="AR2372" s="33"/>
      <c r="AS2372" s="34"/>
      <c r="AT2372" s="33"/>
      <c r="AV2372" s="21">
        <f>IF(AND($AL2372&lt;&gt;"",COUNTIF($AL$11:$AL2372,$AL2372)=1),1,0)</f>
        <v>0</v>
      </c>
      <c r="AW2372" s="21">
        <f t="shared" si="159"/>
        <v>0</v>
      </c>
      <c r="AX2372" s="21" t="str">
        <f t="shared" si="158"/>
        <v/>
      </c>
      <c r="AY2372" s="21" t="str">
        <f>IF(AND($AM2372&lt;&gt;"",$AS2372&lt;&gt;"✓"),SUMPRODUCT(($AM$11:$AM2372&lt;&gt;"")*($AS$11:$AS2372&lt;&gt;"✓")),"")</f>
        <v/>
      </c>
      <c r="AZ2372" s="21" t="str">
        <f>IF(AND($AM2372&lt;&gt;"",$AS2372="✓"),SUMPRODUCT(($AM$11:$AM2372&lt;&gt;"")*($AS$11:$AS2372="✓")),"")</f>
        <v/>
      </c>
      <c r="BA2372" s="21" t="str">
        <f>IF($AL2372="","",$AL2372&amp;"|"&amp;COUNTIF($AL$11:$AL2372,$AL2372))</f>
        <v/>
      </c>
    </row>
    <row r="2373" spans="38:53" ht="15" customHeight="1" x14ac:dyDescent="0.25">
      <c r="AL2373" s="17"/>
      <c r="AM2373" s="12"/>
      <c r="AN2373" s="18"/>
      <c r="AO2373" s="18"/>
      <c r="AP2373" s="10"/>
      <c r="AQ2373" s="10"/>
      <c r="AR2373" s="19"/>
      <c r="AS2373" s="20"/>
      <c r="AT2373" s="19"/>
      <c r="AV2373" s="21">
        <f>IF(AND($AL2373&lt;&gt;"",COUNTIF($AL$11:$AL2373,$AL2373)=1),1,0)</f>
        <v>0</v>
      </c>
      <c r="AW2373" s="21">
        <f t="shared" si="159"/>
        <v>0</v>
      </c>
      <c r="AX2373" s="21" t="str">
        <f t="shared" si="158"/>
        <v/>
      </c>
      <c r="AY2373" s="21" t="str">
        <f>IF(AND($AM2373&lt;&gt;"",$AS2373&lt;&gt;"✓"),SUMPRODUCT(($AM$11:$AM2373&lt;&gt;"")*($AS$11:$AS2373&lt;&gt;"✓")),"")</f>
        <v/>
      </c>
      <c r="AZ2373" s="21" t="str">
        <f>IF(AND($AM2373&lt;&gt;"",$AS2373="✓"),SUMPRODUCT(($AM$11:$AM2373&lt;&gt;"")*($AS$11:$AS2373="✓")),"")</f>
        <v/>
      </c>
      <c r="BA2373" s="21" t="str">
        <f>IF($AL2373="","",$AL2373&amp;"|"&amp;COUNTIF($AL$11:$AL2373,$AL2373))</f>
        <v/>
      </c>
    </row>
    <row r="2374" spans="38:53" ht="15" customHeight="1" x14ac:dyDescent="0.25">
      <c r="AL2374" s="31"/>
      <c r="AM2374" s="26"/>
      <c r="AN2374" s="32"/>
      <c r="AO2374" s="32"/>
      <c r="AP2374" s="24"/>
      <c r="AQ2374" s="24"/>
      <c r="AR2374" s="33"/>
      <c r="AS2374" s="34"/>
      <c r="AT2374" s="33"/>
      <c r="AV2374" s="21">
        <f>IF(AND($AL2374&lt;&gt;"",COUNTIF($AL$11:$AL2374,$AL2374)=1),1,0)</f>
        <v>0</v>
      </c>
      <c r="AW2374" s="21">
        <f t="shared" si="159"/>
        <v>0</v>
      </c>
      <c r="AX2374" s="21" t="str">
        <f t="shared" si="158"/>
        <v/>
      </c>
      <c r="AY2374" s="21" t="str">
        <f>IF(AND($AM2374&lt;&gt;"",$AS2374&lt;&gt;"✓"),SUMPRODUCT(($AM$11:$AM2374&lt;&gt;"")*($AS$11:$AS2374&lt;&gt;"✓")),"")</f>
        <v/>
      </c>
      <c r="AZ2374" s="21" t="str">
        <f>IF(AND($AM2374&lt;&gt;"",$AS2374="✓"),SUMPRODUCT(($AM$11:$AM2374&lt;&gt;"")*($AS$11:$AS2374="✓")),"")</f>
        <v/>
      </c>
      <c r="BA2374" s="21" t="str">
        <f>IF($AL2374="","",$AL2374&amp;"|"&amp;COUNTIF($AL$11:$AL2374,$AL2374))</f>
        <v/>
      </c>
    </row>
    <row r="2375" spans="38:53" ht="15" customHeight="1" x14ac:dyDescent="0.25">
      <c r="AL2375" s="17"/>
      <c r="AM2375" s="12"/>
      <c r="AN2375" s="18"/>
      <c r="AO2375" s="18"/>
      <c r="AP2375" s="10"/>
      <c r="AQ2375" s="10"/>
      <c r="AR2375" s="19"/>
      <c r="AS2375" s="20"/>
      <c r="AT2375" s="19"/>
      <c r="AV2375" s="21">
        <f>IF(AND($AL2375&lt;&gt;"",COUNTIF($AL$11:$AL2375,$AL2375)=1),1,0)</f>
        <v>0</v>
      </c>
      <c r="AW2375" s="21">
        <f t="shared" si="159"/>
        <v>0</v>
      </c>
      <c r="AX2375" s="21" t="str">
        <f t="shared" si="158"/>
        <v/>
      </c>
      <c r="AY2375" s="21" t="str">
        <f>IF(AND($AM2375&lt;&gt;"",$AS2375&lt;&gt;"✓"),SUMPRODUCT(($AM$11:$AM2375&lt;&gt;"")*($AS$11:$AS2375&lt;&gt;"✓")),"")</f>
        <v/>
      </c>
      <c r="AZ2375" s="21" t="str">
        <f>IF(AND($AM2375&lt;&gt;"",$AS2375="✓"),SUMPRODUCT(($AM$11:$AM2375&lt;&gt;"")*($AS$11:$AS2375="✓")),"")</f>
        <v/>
      </c>
      <c r="BA2375" s="21" t="str">
        <f>IF($AL2375="","",$AL2375&amp;"|"&amp;COUNTIF($AL$11:$AL2375,$AL2375))</f>
        <v/>
      </c>
    </row>
    <row r="2376" spans="38:53" ht="15" customHeight="1" x14ac:dyDescent="0.25">
      <c r="AL2376" s="31"/>
      <c r="AM2376" s="26"/>
      <c r="AN2376" s="32"/>
      <c r="AO2376" s="32"/>
      <c r="AP2376" s="24"/>
      <c r="AQ2376" s="24"/>
      <c r="AR2376" s="33"/>
      <c r="AS2376" s="34"/>
      <c r="AT2376" s="33"/>
      <c r="AV2376" s="21">
        <f>IF(AND($AL2376&lt;&gt;"",COUNTIF($AL$11:$AL2376,$AL2376)=1),1,0)</f>
        <v>0</v>
      </c>
      <c r="AW2376" s="21">
        <f t="shared" si="159"/>
        <v>0</v>
      </c>
      <c r="AX2376" s="21" t="str">
        <f t="shared" si="158"/>
        <v/>
      </c>
      <c r="AY2376" s="21" t="str">
        <f>IF(AND($AM2376&lt;&gt;"",$AS2376&lt;&gt;"✓"),SUMPRODUCT(($AM$11:$AM2376&lt;&gt;"")*($AS$11:$AS2376&lt;&gt;"✓")),"")</f>
        <v/>
      </c>
      <c r="AZ2376" s="21" t="str">
        <f>IF(AND($AM2376&lt;&gt;"",$AS2376="✓"),SUMPRODUCT(($AM$11:$AM2376&lt;&gt;"")*($AS$11:$AS2376="✓")),"")</f>
        <v/>
      </c>
      <c r="BA2376" s="21" t="str">
        <f>IF($AL2376="","",$AL2376&amp;"|"&amp;COUNTIF($AL$11:$AL2376,$AL2376))</f>
        <v/>
      </c>
    </row>
    <row r="2377" spans="38:53" ht="15" customHeight="1" x14ac:dyDescent="0.25">
      <c r="AL2377" s="17"/>
      <c r="AM2377" s="12"/>
      <c r="AN2377" s="18"/>
      <c r="AO2377" s="18"/>
      <c r="AP2377" s="10"/>
      <c r="AQ2377" s="10"/>
      <c r="AR2377" s="19"/>
      <c r="AS2377" s="20"/>
      <c r="AT2377" s="19"/>
      <c r="AV2377" s="21">
        <f>IF(AND($AL2377&lt;&gt;"",COUNTIF($AL$11:$AL2377,$AL2377)=1),1,0)</f>
        <v>0</v>
      </c>
      <c r="AW2377" s="21">
        <f t="shared" si="159"/>
        <v>0</v>
      </c>
      <c r="AX2377" s="21" t="str">
        <f t="shared" si="158"/>
        <v/>
      </c>
      <c r="AY2377" s="21" t="str">
        <f>IF(AND($AM2377&lt;&gt;"",$AS2377&lt;&gt;"✓"),SUMPRODUCT(($AM$11:$AM2377&lt;&gt;"")*($AS$11:$AS2377&lt;&gt;"✓")),"")</f>
        <v/>
      </c>
      <c r="AZ2377" s="21" t="str">
        <f>IF(AND($AM2377&lt;&gt;"",$AS2377="✓"),SUMPRODUCT(($AM$11:$AM2377&lt;&gt;"")*($AS$11:$AS2377="✓")),"")</f>
        <v/>
      </c>
      <c r="BA2377" s="21" t="str">
        <f>IF($AL2377="","",$AL2377&amp;"|"&amp;COUNTIF($AL$11:$AL2377,$AL2377))</f>
        <v/>
      </c>
    </row>
    <row r="2378" spans="38:53" ht="15" customHeight="1" x14ac:dyDescent="0.25">
      <c r="AL2378" s="31"/>
      <c r="AM2378" s="26"/>
      <c r="AN2378" s="32"/>
      <c r="AO2378" s="32"/>
      <c r="AP2378" s="24"/>
      <c r="AQ2378" s="24"/>
      <c r="AR2378" s="33"/>
      <c r="AS2378" s="34"/>
      <c r="AT2378" s="33"/>
      <c r="AV2378" s="21">
        <f>IF(AND($AL2378&lt;&gt;"",COUNTIF($AL$11:$AL2378,$AL2378)=1),1,0)</f>
        <v>0</v>
      </c>
      <c r="AW2378" s="21">
        <f t="shared" si="159"/>
        <v>0</v>
      </c>
      <c r="AX2378" s="21" t="str">
        <f t="shared" si="158"/>
        <v/>
      </c>
      <c r="AY2378" s="21" t="str">
        <f>IF(AND($AM2378&lt;&gt;"",$AS2378&lt;&gt;"✓"),SUMPRODUCT(($AM$11:$AM2378&lt;&gt;"")*($AS$11:$AS2378&lt;&gt;"✓")),"")</f>
        <v/>
      </c>
      <c r="AZ2378" s="21" t="str">
        <f>IF(AND($AM2378&lt;&gt;"",$AS2378="✓"),SUMPRODUCT(($AM$11:$AM2378&lt;&gt;"")*($AS$11:$AS2378="✓")),"")</f>
        <v/>
      </c>
      <c r="BA2378" s="21" t="str">
        <f>IF($AL2378="","",$AL2378&amp;"|"&amp;COUNTIF($AL$11:$AL2378,$AL2378))</f>
        <v/>
      </c>
    </row>
    <row r="2379" spans="38:53" ht="15" customHeight="1" x14ac:dyDescent="0.25">
      <c r="AL2379" s="17"/>
      <c r="AM2379" s="12"/>
      <c r="AN2379" s="18"/>
      <c r="AO2379" s="18"/>
      <c r="AP2379" s="10"/>
      <c r="AQ2379" s="10"/>
      <c r="AR2379" s="19"/>
      <c r="AS2379" s="20"/>
      <c r="AT2379" s="19"/>
      <c r="AV2379" s="21">
        <f>IF(AND($AL2379&lt;&gt;"",COUNTIF($AL$11:$AL2379,$AL2379)=1),1,0)</f>
        <v>0</v>
      </c>
      <c r="AW2379" s="21">
        <f t="shared" si="159"/>
        <v>0</v>
      </c>
      <c r="AX2379" s="21" t="str">
        <f t="shared" ref="AX2379:AX2442" si="160">IF(AV2379=1,AW2379,"")</f>
        <v/>
      </c>
      <c r="AY2379" s="21" t="str">
        <f>IF(AND($AM2379&lt;&gt;"",$AS2379&lt;&gt;"✓"),SUMPRODUCT(($AM$11:$AM2379&lt;&gt;"")*($AS$11:$AS2379&lt;&gt;"✓")),"")</f>
        <v/>
      </c>
      <c r="AZ2379" s="21" t="str">
        <f>IF(AND($AM2379&lt;&gt;"",$AS2379="✓"),SUMPRODUCT(($AM$11:$AM2379&lt;&gt;"")*($AS$11:$AS2379="✓")),"")</f>
        <v/>
      </c>
      <c r="BA2379" s="21" t="str">
        <f>IF($AL2379="","",$AL2379&amp;"|"&amp;COUNTIF($AL$11:$AL2379,$AL2379))</f>
        <v/>
      </c>
    </row>
    <row r="2380" spans="38:53" ht="15" customHeight="1" x14ac:dyDescent="0.25">
      <c r="AL2380" s="31"/>
      <c r="AM2380" s="26"/>
      <c r="AN2380" s="32"/>
      <c r="AO2380" s="32"/>
      <c r="AP2380" s="24"/>
      <c r="AQ2380" s="24"/>
      <c r="AR2380" s="33"/>
      <c r="AS2380" s="34"/>
      <c r="AT2380" s="33"/>
      <c r="AV2380" s="21">
        <f>IF(AND($AL2380&lt;&gt;"",COUNTIF($AL$11:$AL2380,$AL2380)=1),1,0)</f>
        <v>0</v>
      </c>
      <c r="AW2380" s="21">
        <f t="shared" ref="AW2380:AW2443" si="161">AW2379+AV2380</f>
        <v>0</v>
      </c>
      <c r="AX2380" s="21" t="str">
        <f t="shared" si="160"/>
        <v/>
      </c>
      <c r="AY2380" s="21" t="str">
        <f>IF(AND($AM2380&lt;&gt;"",$AS2380&lt;&gt;"✓"),SUMPRODUCT(($AM$11:$AM2380&lt;&gt;"")*($AS$11:$AS2380&lt;&gt;"✓")),"")</f>
        <v/>
      </c>
      <c r="AZ2380" s="21" t="str">
        <f>IF(AND($AM2380&lt;&gt;"",$AS2380="✓"),SUMPRODUCT(($AM$11:$AM2380&lt;&gt;"")*($AS$11:$AS2380="✓")),"")</f>
        <v/>
      </c>
      <c r="BA2380" s="21" t="str">
        <f>IF($AL2380="","",$AL2380&amp;"|"&amp;COUNTIF($AL$11:$AL2380,$AL2380))</f>
        <v/>
      </c>
    </row>
    <row r="2381" spans="38:53" ht="15" customHeight="1" x14ac:dyDescent="0.25">
      <c r="AL2381" s="17"/>
      <c r="AM2381" s="12"/>
      <c r="AN2381" s="18"/>
      <c r="AO2381" s="18"/>
      <c r="AP2381" s="10"/>
      <c r="AQ2381" s="10"/>
      <c r="AR2381" s="19"/>
      <c r="AS2381" s="20"/>
      <c r="AT2381" s="19"/>
      <c r="AV2381" s="21">
        <f>IF(AND($AL2381&lt;&gt;"",COUNTIF($AL$11:$AL2381,$AL2381)=1),1,0)</f>
        <v>0</v>
      </c>
      <c r="AW2381" s="21">
        <f t="shared" si="161"/>
        <v>0</v>
      </c>
      <c r="AX2381" s="21" t="str">
        <f t="shared" si="160"/>
        <v/>
      </c>
      <c r="AY2381" s="21" t="str">
        <f>IF(AND($AM2381&lt;&gt;"",$AS2381&lt;&gt;"✓"),SUMPRODUCT(($AM$11:$AM2381&lt;&gt;"")*($AS$11:$AS2381&lt;&gt;"✓")),"")</f>
        <v/>
      </c>
      <c r="AZ2381" s="21" t="str">
        <f>IF(AND($AM2381&lt;&gt;"",$AS2381="✓"),SUMPRODUCT(($AM$11:$AM2381&lt;&gt;"")*($AS$11:$AS2381="✓")),"")</f>
        <v/>
      </c>
      <c r="BA2381" s="21" t="str">
        <f>IF($AL2381="","",$AL2381&amp;"|"&amp;COUNTIF($AL$11:$AL2381,$AL2381))</f>
        <v/>
      </c>
    </row>
    <row r="2382" spans="38:53" ht="15" customHeight="1" x14ac:dyDescent="0.25">
      <c r="AL2382" s="31"/>
      <c r="AM2382" s="26"/>
      <c r="AN2382" s="32"/>
      <c r="AO2382" s="32"/>
      <c r="AP2382" s="24"/>
      <c r="AQ2382" s="24"/>
      <c r="AR2382" s="33"/>
      <c r="AS2382" s="34"/>
      <c r="AT2382" s="33"/>
      <c r="AV2382" s="21">
        <f>IF(AND($AL2382&lt;&gt;"",COUNTIF($AL$11:$AL2382,$AL2382)=1),1,0)</f>
        <v>0</v>
      </c>
      <c r="AW2382" s="21">
        <f t="shared" si="161"/>
        <v>0</v>
      </c>
      <c r="AX2382" s="21" t="str">
        <f t="shared" si="160"/>
        <v/>
      </c>
      <c r="AY2382" s="21" t="str">
        <f>IF(AND($AM2382&lt;&gt;"",$AS2382&lt;&gt;"✓"),SUMPRODUCT(($AM$11:$AM2382&lt;&gt;"")*($AS$11:$AS2382&lt;&gt;"✓")),"")</f>
        <v/>
      </c>
      <c r="AZ2382" s="21" t="str">
        <f>IF(AND($AM2382&lt;&gt;"",$AS2382="✓"),SUMPRODUCT(($AM$11:$AM2382&lt;&gt;"")*($AS$11:$AS2382="✓")),"")</f>
        <v/>
      </c>
      <c r="BA2382" s="21" t="str">
        <f>IF($AL2382="","",$AL2382&amp;"|"&amp;COUNTIF($AL$11:$AL2382,$AL2382))</f>
        <v/>
      </c>
    </row>
    <row r="2383" spans="38:53" ht="15" customHeight="1" x14ac:dyDescent="0.25">
      <c r="AL2383" s="17"/>
      <c r="AM2383" s="12"/>
      <c r="AN2383" s="18"/>
      <c r="AO2383" s="18"/>
      <c r="AP2383" s="10"/>
      <c r="AQ2383" s="10"/>
      <c r="AR2383" s="19"/>
      <c r="AS2383" s="20"/>
      <c r="AT2383" s="19"/>
      <c r="AV2383" s="21">
        <f>IF(AND($AL2383&lt;&gt;"",COUNTIF($AL$11:$AL2383,$AL2383)=1),1,0)</f>
        <v>0</v>
      </c>
      <c r="AW2383" s="21">
        <f t="shared" si="161"/>
        <v>0</v>
      </c>
      <c r="AX2383" s="21" t="str">
        <f t="shared" si="160"/>
        <v/>
      </c>
      <c r="AY2383" s="21" t="str">
        <f>IF(AND($AM2383&lt;&gt;"",$AS2383&lt;&gt;"✓"),SUMPRODUCT(($AM$11:$AM2383&lt;&gt;"")*($AS$11:$AS2383&lt;&gt;"✓")),"")</f>
        <v/>
      </c>
      <c r="AZ2383" s="21" t="str">
        <f>IF(AND($AM2383&lt;&gt;"",$AS2383="✓"),SUMPRODUCT(($AM$11:$AM2383&lt;&gt;"")*($AS$11:$AS2383="✓")),"")</f>
        <v/>
      </c>
      <c r="BA2383" s="21" t="str">
        <f>IF($AL2383="","",$AL2383&amp;"|"&amp;COUNTIF($AL$11:$AL2383,$AL2383))</f>
        <v/>
      </c>
    </row>
    <row r="2384" spans="38:53" ht="15" customHeight="1" x14ac:dyDescent="0.25">
      <c r="AL2384" s="31"/>
      <c r="AM2384" s="26"/>
      <c r="AN2384" s="32"/>
      <c r="AO2384" s="32"/>
      <c r="AP2384" s="24"/>
      <c r="AQ2384" s="24"/>
      <c r="AR2384" s="33"/>
      <c r="AS2384" s="34"/>
      <c r="AT2384" s="33"/>
      <c r="AV2384" s="21">
        <f>IF(AND($AL2384&lt;&gt;"",COUNTIF($AL$11:$AL2384,$AL2384)=1),1,0)</f>
        <v>0</v>
      </c>
      <c r="AW2384" s="21">
        <f t="shared" si="161"/>
        <v>0</v>
      </c>
      <c r="AX2384" s="21" t="str">
        <f t="shared" si="160"/>
        <v/>
      </c>
      <c r="AY2384" s="21" t="str">
        <f>IF(AND($AM2384&lt;&gt;"",$AS2384&lt;&gt;"✓"),SUMPRODUCT(($AM$11:$AM2384&lt;&gt;"")*($AS$11:$AS2384&lt;&gt;"✓")),"")</f>
        <v/>
      </c>
      <c r="AZ2384" s="21" t="str">
        <f>IF(AND($AM2384&lt;&gt;"",$AS2384="✓"),SUMPRODUCT(($AM$11:$AM2384&lt;&gt;"")*($AS$11:$AS2384="✓")),"")</f>
        <v/>
      </c>
      <c r="BA2384" s="21" t="str">
        <f>IF($AL2384="","",$AL2384&amp;"|"&amp;COUNTIF($AL$11:$AL2384,$AL2384))</f>
        <v/>
      </c>
    </row>
    <row r="2385" spans="38:53" ht="15" customHeight="1" x14ac:dyDescent="0.25">
      <c r="AL2385" s="17"/>
      <c r="AM2385" s="12"/>
      <c r="AN2385" s="18"/>
      <c r="AO2385" s="18"/>
      <c r="AP2385" s="10"/>
      <c r="AQ2385" s="10"/>
      <c r="AR2385" s="19"/>
      <c r="AS2385" s="20"/>
      <c r="AT2385" s="19"/>
      <c r="AV2385" s="21">
        <f>IF(AND($AL2385&lt;&gt;"",COUNTIF($AL$11:$AL2385,$AL2385)=1),1,0)</f>
        <v>0</v>
      </c>
      <c r="AW2385" s="21">
        <f t="shared" si="161"/>
        <v>0</v>
      </c>
      <c r="AX2385" s="21" t="str">
        <f t="shared" si="160"/>
        <v/>
      </c>
      <c r="AY2385" s="21" t="str">
        <f>IF(AND($AM2385&lt;&gt;"",$AS2385&lt;&gt;"✓"),SUMPRODUCT(($AM$11:$AM2385&lt;&gt;"")*($AS$11:$AS2385&lt;&gt;"✓")),"")</f>
        <v/>
      </c>
      <c r="AZ2385" s="21" t="str">
        <f>IF(AND($AM2385&lt;&gt;"",$AS2385="✓"),SUMPRODUCT(($AM$11:$AM2385&lt;&gt;"")*($AS$11:$AS2385="✓")),"")</f>
        <v/>
      </c>
      <c r="BA2385" s="21" t="str">
        <f>IF($AL2385="","",$AL2385&amp;"|"&amp;COUNTIF($AL$11:$AL2385,$AL2385))</f>
        <v/>
      </c>
    </row>
    <row r="2386" spans="38:53" ht="15" customHeight="1" x14ac:dyDescent="0.25">
      <c r="AL2386" s="31"/>
      <c r="AM2386" s="26"/>
      <c r="AN2386" s="32"/>
      <c r="AO2386" s="32"/>
      <c r="AP2386" s="24"/>
      <c r="AQ2386" s="24"/>
      <c r="AR2386" s="33"/>
      <c r="AS2386" s="34"/>
      <c r="AT2386" s="33"/>
      <c r="AV2386" s="21">
        <f>IF(AND($AL2386&lt;&gt;"",COUNTIF($AL$11:$AL2386,$AL2386)=1),1,0)</f>
        <v>0</v>
      </c>
      <c r="AW2386" s="21">
        <f t="shared" si="161"/>
        <v>0</v>
      </c>
      <c r="AX2386" s="21" t="str">
        <f t="shared" si="160"/>
        <v/>
      </c>
      <c r="AY2386" s="21" t="str">
        <f>IF(AND($AM2386&lt;&gt;"",$AS2386&lt;&gt;"✓"),SUMPRODUCT(($AM$11:$AM2386&lt;&gt;"")*($AS$11:$AS2386&lt;&gt;"✓")),"")</f>
        <v/>
      </c>
      <c r="AZ2386" s="21" t="str">
        <f>IF(AND($AM2386&lt;&gt;"",$AS2386="✓"),SUMPRODUCT(($AM$11:$AM2386&lt;&gt;"")*($AS$11:$AS2386="✓")),"")</f>
        <v/>
      </c>
      <c r="BA2386" s="21" t="str">
        <f>IF($AL2386="","",$AL2386&amp;"|"&amp;COUNTIF($AL$11:$AL2386,$AL2386))</f>
        <v/>
      </c>
    </row>
    <row r="2387" spans="38:53" ht="15" customHeight="1" x14ac:dyDescent="0.25">
      <c r="AL2387" s="17"/>
      <c r="AM2387" s="12"/>
      <c r="AN2387" s="18"/>
      <c r="AO2387" s="18"/>
      <c r="AP2387" s="10"/>
      <c r="AQ2387" s="10"/>
      <c r="AR2387" s="19"/>
      <c r="AS2387" s="20"/>
      <c r="AT2387" s="19"/>
      <c r="AV2387" s="21">
        <f>IF(AND($AL2387&lt;&gt;"",COUNTIF($AL$11:$AL2387,$AL2387)=1),1,0)</f>
        <v>0</v>
      </c>
      <c r="AW2387" s="21">
        <f t="shared" si="161"/>
        <v>0</v>
      </c>
      <c r="AX2387" s="21" t="str">
        <f t="shared" si="160"/>
        <v/>
      </c>
      <c r="AY2387" s="21" t="str">
        <f>IF(AND($AM2387&lt;&gt;"",$AS2387&lt;&gt;"✓"),SUMPRODUCT(($AM$11:$AM2387&lt;&gt;"")*($AS$11:$AS2387&lt;&gt;"✓")),"")</f>
        <v/>
      </c>
      <c r="AZ2387" s="21" t="str">
        <f>IF(AND($AM2387&lt;&gt;"",$AS2387="✓"),SUMPRODUCT(($AM$11:$AM2387&lt;&gt;"")*($AS$11:$AS2387="✓")),"")</f>
        <v/>
      </c>
      <c r="BA2387" s="21" t="str">
        <f>IF($AL2387="","",$AL2387&amp;"|"&amp;COUNTIF($AL$11:$AL2387,$AL2387))</f>
        <v/>
      </c>
    </row>
    <row r="2388" spans="38:53" ht="15" customHeight="1" x14ac:dyDescent="0.25">
      <c r="AL2388" s="31"/>
      <c r="AM2388" s="26"/>
      <c r="AN2388" s="32"/>
      <c r="AO2388" s="32"/>
      <c r="AP2388" s="24"/>
      <c r="AQ2388" s="24"/>
      <c r="AR2388" s="33"/>
      <c r="AS2388" s="34"/>
      <c r="AT2388" s="33"/>
      <c r="AV2388" s="21">
        <f>IF(AND($AL2388&lt;&gt;"",COUNTIF($AL$11:$AL2388,$AL2388)=1),1,0)</f>
        <v>0</v>
      </c>
      <c r="AW2388" s="21">
        <f t="shared" si="161"/>
        <v>0</v>
      </c>
      <c r="AX2388" s="21" t="str">
        <f t="shared" si="160"/>
        <v/>
      </c>
      <c r="AY2388" s="21" t="str">
        <f>IF(AND($AM2388&lt;&gt;"",$AS2388&lt;&gt;"✓"),SUMPRODUCT(($AM$11:$AM2388&lt;&gt;"")*($AS$11:$AS2388&lt;&gt;"✓")),"")</f>
        <v/>
      </c>
      <c r="AZ2388" s="21" t="str">
        <f>IF(AND($AM2388&lt;&gt;"",$AS2388="✓"),SUMPRODUCT(($AM$11:$AM2388&lt;&gt;"")*($AS$11:$AS2388="✓")),"")</f>
        <v/>
      </c>
      <c r="BA2388" s="21" t="str">
        <f>IF($AL2388="","",$AL2388&amp;"|"&amp;COUNTIF($AL$11:$AL2388,$AL2388))</f>
        <v/>
      </c>
    </row>
    <row r="2389" spans="38:53" ht="15" customHeight="1" x14ac:dyDescent="0.25">
      <c r="AL2389" s="17"/>
      <c r="AM2389" s="12"/>
      <c r="AN2389" s="18"/>
      <c r="AO2389" s="18"/>
      <c r="AP2389" s="10"/>
      <c r="AQ2389" s="10"/>
      <c r="AR2389" s="19"/>
      <c r="AS2389" s="20"/>
      <c r="AT2389" s="19"/>
      <c r="AV2389" s="21">
        <f>IF(AND($AL2389&lt;&gt;"",COUNTIF($AL$11:$AL2389,$AL2389)=1),1,0)</f>
        <v>0</v>
      </c>
      <c r="AW2389" s="21">
        <f t="shared" si="161"/>
        <v>0</v>
      </c>
      <c r="AX2389" s="21" t="str">
        <f t="shared" si="160"/>
        <v/>
      </c>
      <c r="AY2389" s="21" t="str">
        <f>IF(AND($AM2389&lt;&gt;"",$AS2389&lt;&gt;"✓"),SUMPRODUCT(($AM$11:$AM2389&lt;&gt;"")*($AS$11:$AS2389&lt;&gt;"✓")),"")</f>
        <v/>
      </c>
      <c r="AZ2389" s="21" t="str">
        <f>IF(AND($AM2389&lt;&gt;"",$AS2389="✓"),SUMPRODUCT(($AM$11:$AM2389&lt;&gt;"")*($AS$11:$AS2389="✓")),"")</f>
        <v/>
      </c>
      <c r="BA2389" s="21" t="str">
        <f>IF($AL2389="","",$AL2389&amp;"|"&amp;COUNTIF($AL$11:$AL2389,$AL2389))</f>
        <v/>
      </c>
    </row>
    <row r="2390" spans="38:53" ht="15" customHeight="1" x14ac:dyDescent="0.25">
      <c r="AL2390" s="31"/>
      <c r="AM2390" s="26"/>
      <c r="AN2390" s="32"/>
      <c r="AO2390" s="32"/>
      <c r="AP2390" s="24"/>
      <c r="AQ2390" s="24"/>
      <c r="AR2390" s="33"/>
      <c r="AS2390" s="34"/>
      <c r="AT2390" s="33"/>
      <c r="AV2390" s="21">
        <f>IF(AND($AL2390&lt;&gt;"",COUNTIF($AL$11:$AL2390,$AL2390)=1),1,0)</f>
        <v>0</v>
      </c>
      <c r="AW2390" s="21">
        <f t="shared" si="161"/>
        <v>0</v>
      </c>
      <c r="AX2390" s="21" t="str">
        <f t="shared" si="160"/>
        <v/>
      </c>
      <c r="AY2390" s="21" t="str">
        <f>IF(AND($AM2390&lt;&gt;"",$AS2390&lt;&gt;"✓"),SUMPRODUCT(($AM$11:$AM2390&lt;&gt;"")*($AS$11:$AS2390&lt;&gt;"✓")),"")</f>
        <v/>
      </c>
      <c r="AZ2390" s="21" t="str">
        <f>IF(AND($AM2390&lt;&gt;"",$AS2390="✓"),SUMPRODUCT(($AM$11:$AM2390&lt;&gt;"")*($AS$11:$AS2390="✓")),"")</f>
        <v/>
      </c>
      <c r="BA2390" s="21" t="str">
        <f>IF($AL2390="","",$AL2390&amp;"|"&amp;COUNTIF($AL$11:$AL2390,$AL2390))</f>
        <v/>
      </c>
    </row>
    <row r="2391" spans="38:53" ht="15" customHeight="1" x14ac:dyDescent="0.25">
      <c r="AL2391" s="17"/>
      <c r="AM2391" s="12"/>
      <c r="AN2391" s="18"/>
      <c r="AO2391" s="18"/>
      <c r="AP2391" s="10"/>
      <c r="AQ2391" s="10"/>
      <c r="AR2391" s="19"/>
      <c r="AS2391" s="20"/>
      <c r="AT2391" s="19"/>
      <c r="AV2391" s="21">
        <f>IF(AND($AL2391&lt;&gt;"",COUNTIF($AL$11:$AL2391,$AL2391)=1),1,0)</f>
        <v>0</v>
      </c>
      <c r="AW2391" s="21">
        <f t="shared" si="161"/>
        <v>0</v>
      </c>
      <c r="AX2391" s="21" t="str">
        <f t="shared" si="160"/>
        <v/>
      </c>
      <c r="AY2391" s="21" t="str">
        <f>IF(AND($AM2391&lt;&gt;"",$AS2391&lt;&gt;"✓"),SUMPRODUCT(($AM$11:$AM2391&lt;&gt;"")*($AS$11:$AS2391&lt;&gt;"✓")),"")</f>
        <v/>
      </c>
      <c r="AZ2391" s="21" t="str">
        <f>IF(AND($AM2391&lt;&gt;"",$AS2391="✓"),SUMPRODUCT(($AM$11:$AM2391&lt;&gt;"")*($AS$11:$AS2391="✓")),"")</f>
        <v/>
      </c>
      <c r="BA2391" s="21" t="str">
        <f>IF($AL2391="","",$AL2391&amp;"|"&amp;COUNTIF($AL$11:$AL2391,$AL2391))</f>
        <v/>
      </c>
    </row>
    <row r="2392" spans="38:53" ht="15" customHeight="1" x14ac:dyDescent="0.25">
      <c r="AL2392" s="31"/>
      <c r="AM2392" s="26"/>
      <c r="AN2392" s="32"/>
      <c r="AO2392" s="32"/>
      <c r="AP2392" s="24"/>
      <c r="AQ2392" s="24"/>
      <c r="AR2392" s="33"/>
      <c r="AS2392" s="34"/>
      <c r="AT2392" s="33"/>
      <c r="AV2392" s="21">
        <f>IF(AND($AL2392&lt;&gt;"",COUNTIF($AL$11:$AL2392,$AL2392)=1),1,0)</f>
        <v>0</v>
      </c>
      <c r="AW2392" s="21">
        <f t="shared" si="161"/>
        <v>0</v>
      </c>
      <c r="AX2392" s="21" t="str">
        <f t="shared" si="160"/>
        <v/>
      </c>
      <c r="AY2392" s="21" t="str">
        <f>IF(AND($AM2392&lt;&gt;"",$AS2392&lt;&gt;"✓"),SUMPRODUCT(($AM$11:$AM2392&lt;&gt;"")*($AS$11:$AS2392&lt;&gt;"✓")),"")</f>
        <v/>
      </c>
      <c r="AZ2392" s="21" t="str">
        <f>IF(AND($AM2392&lt;&gt;"",$AS2392="✓"),SUMPRODUCT(($AM$11:$AM2392&lt;&gt;"")*($AS$11:$AS2392="✓")),"")</f>
        <v/>
      </c>
      <c r="BA2392" s="21" t="str">
        <f>IF($AL2392="","",$AL2392&amp;"|"&amp;COUNTIF($AL$11:$AL2392,$AL2392))</f>
        <v/>
      </c>
    </row>
    <row r="2393" spans="38:53" ht="15" customHeight="1" x14ac:dyDescent="0.25">
      <c r="AL2393" s="17"/>
      <c r="AM2393" s="12"/>
      <c r="AN2393" s="18"/>
      <c r="AO2393" s="18"/>
      <c r="AP2393" s="10"/>
      <c r="AQ2393" s="10"/>
      <c r="AR2393" s="19"/>
      <c r="AS2393" s="20"/>
      <c r="AT2393" s="19"/>
      <c r="AV2393" s="21">
        <f>IF(AND($AL2393&lt;&gt;"",COUNTIF($AL$11:$AL2393,$AL2393)=1),1,0)</f>
        <v>0</v>
      </c>
      <c r="AW2393" s="21">
        <f t="shared" si="161"/>
        <v>0</v>
      </c>
      <c r="AX2393" s="21" t="str">
        <f t="shared" si="160"/>
        <v/>
      </c>
      <c r="AY2393" s="21" t="str">
        <f>IF(AND($AM2393&lt;&gt;"",$AS2393&lt;&gt;"✓"),SUMPRODUCT(($AM$11:$AM2393&lt;&gt;"")*($AS$11:$AS2393&lt;&gt;"✓")),"")</f>
        <v/>
      </c>
      <c r="AZ2393" s="21" t="str">
        <f>IF(AND($AM2393&lt;&gt;"",$AS2393="✓"),SUMPRODUCT(($AM$11:$AM2393&lt;&gt;"")*($AS$11:$AS2393="✓")),"")</f>
        <v/>
      </c>
      <c r="BA2393" s="21" t="str">
        <f>IF($AL2393="","",$AL2393&amp;"|"&amp;COUNTIF($AL$11:$AL2393,$AL2393))</f>
        <v/>
      </c>
    </row>
    <row r="2394" spans="38:53" ht="15" customHeight="1" x14ac:dyDescent="0.25">
      <c r="AL2394" s="31"/>
      <c r="AM2394" s="26"/>
      <c r="AN2394" s="32"/>
      <c r="AO2394" s="32"/>
      <c r="AP2394" s="24"/>
      <c r="AQ2394" s="24"/>
      <c r="AR2394" s="33"/>
      <c r="AS2394" s="34"/>
      <c r="AT2394" s="33"/>
      <c r="AV2394" s="21">
        <f>IF(AND($AL2394&lt;&gt;"",COUNTIF($AL$11:$AL2394,$AL2394)=1),1,0)</f>
        <v>0</v>
      </c>
      <c r="AW2394" s="21">
        <f t="shared" si="161"/>
        <v>0</v>
      </c>
      <c r="AX2394" s="21" t="str">
        <f t="shared" si="160"/>
        <v/>
      </c>
      <c r="AY2394" s="21" t="str">
        <f>IF(AND($AM2394&lt;&gt;"",$AS2394&lt;&gt;"✓"),SUMPRODUCT(($AM$11:$AM2394&lt;&gt;"")*($AS$11:$AS2394&lt;&gt;"✓")),"")</f>
        <v/>
      </c>
      <c r="AZ2394" s="21" t="str">
        <f>IF(AND($AM2394&lt;&gt;"",$AS2394="✓"),SUMPRODUCT(($AM$11:$AM2394&lt;&gt;"")*($AS$11:$AS2394="✓")),"")</f>
        <v/>
      </c>
      <c r="BA2394" s="21" t="str">
        <f>IF($AL2394="","",$AL2394&amp;"|"&amp;COUNTIF($AL$11:$AL2394,$AL2394))</f>
        <v/>
      </c>
    </row>
    <row r="2395" spans="38:53" ht="15" customHeight="1" x14ac:dyDescent="0.25">
      <c r="AL2395" s="17"/>
      <c r="AM2395" s="12"/>
      <c r="AN2395" s="18"/>
      <c r="AO2395" s="18"/>
      <c r="AP2395" s="10"/>
      <c r="AQ2395" s="10"/>
      <c r="AR2395" s="19"/>
      <c r="AS2395" s="20"/>
      <c r="AT2395" s="19"/>
      <c r="AV2395" s="21">
        <f>IF(AND($AL2395&lt;&gt;"",COUNTIF($AL$11:$AL2395,$AL2395)=1),1,0)</f>
        <v>0</v>
      </c>
      <c r="AW2395" s="21">
        <f t="shared" si="161"/>
        <v>0</v>
      </c>
      <c r="AX2395" s="21" t="str">
        <f t="shared" si="160"/>
        <v/>
      </c>
      <c r="AY2395" s="21" t="str">
        <f>IF(AND($AM2395&lt;&gt;"",$AS2395&lt;&gt;"✓"),SUMPRODUCT(($AM$11:$AM2395&lt;&gt;"")*($AS$11:$AS2395&lt;&gt;"✓")),"")</f>
        <v/>
      </c>
      <c r="AZ2395" s="21" t="str">
        <f>IF(AND($AM2395&lt;&gt;"",$AS2395="✓"),SUMPRODUCT(($AM$11:$AM2395&lt;&gt;"")*($AS$11:$AS2395="✓")),"")</f>
        <v/>
      </c>
      <c r="BA2395" s="21" t="str">
        <f>IF($AL2395="","",$AL2395&amp;"|"&amp;COUNTIF($AL$11:$AL2395,$AL2395))</f>
        <v/>
      </c>
    </row>
    <row r="2396" spans="38:53" ht="15" customHeight="1" x14ac:dyDescent="0.25">
      <c r="AL2396" s="31"/>
      <c r="AM2396" s="26"/>
      <c r="AN2396" s="32"/>
      <c r="AO2396" s="32"/>
      <c r="AP2396" s="24"/>
      <c r="AQ2396" s="24"/>
      <c r="AR2396" s="33"/>
      <c r="AS2396" s="34"/>
      <c r="AT2396" s="33"/>
      <c r="AV2396" s="21">
        <f>IF(AND($AL2396&lt;&gt;"",COUNTIF($AL$11:$AL2396,$AL2396)=1),1,0)</f>
        <v>0</v>
      </c>
      <c r="AW2396" s="21">
        <f t="shared" si="161"/>
        <v>0</v>
      </c>
      <c r="AX2396" s="21" t="str">
        <f t="shared" si="160"/>
        <v/>
      </c>
      <c r="AY2396" s="21" t="str">
        <f>IF(AND($AM2396&lt;&gt;"",$AS2396&lt;&gt;"✓"),SUMPRODUCT(($AM$11:$AM2396&lt;&gt;"")*($AS$11:$AS2396&lt;&gt;"✓")),"")</f>
        <v/>
      </c>
      <c r="AZ2396" s="21" t="str">
        <f>IF(AND($AM2396&lt;&gt;"",$AS2396="✓"),SUMPRODUCT(($AM$11:$AM2396&lt;&gt;"")*($AS$11:$AS2396="✓")),"")</f>
        <v/>
      </c>
      <c r="BA2396" s="21" t="str">
        <f>IF($AL2396="","",$AL2396&amp;"|"&amp;COUNTIF($AL$11:$AL2396,$AL2396))</f>
        <v/>
      </c>
    </row>
    <row r="2397" spans="38:53" ht="15" customHeight="1" x14ac:dyDescent="0.25">
      <c r="AL2397" s="17"/>
      <c r="AM2397" s="12"/>
      <c r="AN2397" s="18"/>
      <c r="AO2397" s="18"/>
      <c r="AP2397" s="10"/>
      <c r="AQ2397" s="10"/>
      <c r="AR2397" s="19"/>
      <c r="AS2397" s="20"/>
      <c r="AT2397" s="19"/>
      <c r="AV2397" s="21">
        <f>IF(AND($AL2397&lt;&gt;"",COUNTIF($AL$11:$AL2397,$AL2397)=1),1,0)</f>
        <v>0</v>
      </c>
      <c r="AW2397" s="21">
        <f t="shared" si="161"/>
        <v>0</v>
      </c>
      <c r="AX2397" s="21" t="str">
        <f t="shared" si="160"/>
        <v/>
      </c>
      <c r="AY2397" s="21" t="str">
        <f>IF(AND($AM2397&lt;&gt;"",$AS2397&lt;&gt;"✓"),SUMPRODUCT(($AM$11:$AM2397&lt;&gt;"")*($AS$11:$AS2397&lt;&gt;"✓")),"")</f>
        <v/>
      </c>
      <c r="AZ2397" s="21" t="str">
        <f>IF(AND($AM2397&lt;&gt;"",$AS2397="✓"),SUMPRODUCT(($AM$11:$AM2397&lt;&gt;"")*($AS$11:$AS2397="✓")),"")</f>
        <v/>
      </c>
      <c r="BA2397" s="21" t="str">
        <f>IF($AL2397="","",$AL2397&amp;"|"&amp;COUNTIF($AL$11:$AL2397,$AL2397))</f>
        <v/>
      </c>
    </row>
    <row r="2398" spans="38:53" ht="15" customHeight="1" x14ac:dyDescent="0.25">
      <c r="AL2398" s="31"/>
      <c r="AM2398" s="26"/>
      <c r="AN2398" s="32"/>
      <c r="AO2398" s="32"/>
      <c r="AP2398" s="24"/>
      <c r="AQ2398" s="24"/>
      <c r="AR2398" s="33"/>
      <c r="AS2398" s="34"/>
      <c r="AT2398" s="33"/>
      <c r="AV2398" s="21">
        <f>IF(AND($AL2398&lt;&gt;"",COUNTIF($AL$11:$AL2398,$AL2398)=1),1,0)</f>
        <v>0</v>
      </c>
      <c r="AW2398" s="21">
        <f t="shared" si="161"/>
        <v>0</v>
      </c>
      <c r="AX2398" s="21" t="str">
        <f t="shared" si="160"/>
        <v/>
      </c>
      <c r="AY2398" s="21" t="str">
        <f>IF(AND($AM2398&lt;&gt;"",$AS2398&lt;&gt;"✓"),SUMPRODUCT(($AM$11:$AM2398&lt;&gt;"")*($AS$11:$AS2398&lt;&gt;"✓")),"")</f>
        <v/>
      </c>
      <c r="AZ2398" s="21" t="str">
        <f>IF(AND($AM2398&lt;&gt;"",$AS2398="✓"),SUMPRODUCT(($AM$11:$AM2398&lt;&gt;"")*($AS$11:$AS2398="✓")),"")</f>
        <v/>
      </c>
      <c r="BA2398" s="21" t="str">
        <f>IF($AL2398="","",$AL2398&amp;"|"&amp;COUNTIF($AL$11:$AL2398,$AL2398))</f>
        <v/>
      </c>
    </row>
    <row r="2399" spans="38:53" ht="15" customHeight="1" x14ac:dyDescent="0.25">
      <c r="AL2399" s="17"/>
      <c r="AM2399" s="12"/>
      <c r="AN2399" s="18"/>
      <c r="AO2399" s="18"/>
      <c r="AP2399" s="10"/>
      <c r="AQ2399" s="10"/>
      <c r="AR2399" s="19"/>
      <c r="AS2399" s="20"/>
      <c r="AT2399" s="19"/>
      <c r="AV2399" s="21">
        <f>IF(AND($AL2399&lt;&gt;"",COUNTIF($AL$11:$AL2399,$AL2399)=1),1,0)</f>
        <v>0</v>
      </c>
      <c r="AW2399" s="21">
        <f t="shared" si="161"/>
        <v>0</v>
      </c>
      <c r="AX2399" s="21" t="str">
        <f t="shared" si="160"/>
        <v/>
      </c>
      <c r="AY2399" s="21" t="str">
        <f>IF(AND($AM2399&lt;&gt;"",$AS2399&lt;&gt;"✓"),SUMPRODUCT(($AM$11:$AM2399&lt;&gt;"")*($AS$11:$AS2399&lt;&gt;"✓")),"")</f>
        <v/>
      </c>
      <c r="AZ2399" s="21" t="str">
        <f>IF(AND($AM2399&lt;&gt;"",$AS2399="✓"),SUMPRODUCT(($AM$11:$AM2399&lt;&gt;"")*($AS$11:$AS2399="✓")),"")</f>
        <v/>
      </c>
      <c r="BA2399" s="21" t="str">
        <f>IF($AL2399="","",$AL2399&amp;"|"&amp;COUNTIF($AL$11:$AL2399,$AL2399))</f>
        <v/>
      </c>
    </row>
    <row r="2400" spans="38:53" ht="15" customHeight="1" x14ac:dyDescent="0.25">
      <c r="AL2400" s="31"/>
      <c r="AM2400" s="26"/>
      <c r="AN2400" s="32"/>
      <c r="AO2400" s="32"/>
      <c r="AP2400" s="24"/>
      <c r="AQ2400" s="24"/>
      <c r="AR2400" s="33"/>
      <c r="AS2400" s="34"/>
      <c r="AT2400" s="33"/>
      <c r="AV2400" s="21">
        <f>IF(AND($AL2400&lt;&gt;"",COUNTIF($AL$11:$AL2400,$AL2400)=1),1,0)</f>
        <v>0</v>
      </c>
      <c r="AW2400" s="21">
        <f t="shared" si="161"/>
        <v>0</v>
      </c>
      <c r="AX2400" s="21" t="str">
        <f t="shared" si="160"/>
        <v/>
      </c>
      <c r="AY2400" s="21" t="str">
        <f>IF(AND($AM2400&lt;&gt;"",$AS2400&lt;&gt;"✓"),SUMPRODUCT(($AM$11:$AM2400&lt;&gt;"")*($AS$11:$AS2400&lt;&gt;"✓")),"")</f>
        <v/>
      </c>
      <c r="AZ2400" s="21" t="str">
        <f>IF(AND($AM2400&lt;&gt;"",$AS2400="✓"),SUMPRODUCT(($AM$11:$AM2400&lt;&gt;"")*($AS$11:$AS2400="✓")),"")</f>
        <v/>
      </c>
      <c r="BA2400" s="21" t="str">
        <f>IF($AL2400="","",$AL2400&amp;"|"&amp;COUNTIF($AL$11:$AL2400,$AL2400))</f>
        <v/>
      </c>
    </row>
    <row r="2401" spans="38:53" ht="15" customHeight="1" x14ac:dyDescent="0.25">
      <c r="AL2401" s="17"/>
      <c r="AM2401" s="12"/>
      <c r="AN2401" s="18"/>
      <c r="AO2401" s="18"/>
      <c r="AP2401" s="10"/>
      <c r="AQ2401" s="10"/>
      <c r="AR2401" s="19"/>
      <c r="AS2401" s="20"/>
      <c r="AT2401" s="19"/>
      <c r="AV2401" s="21">
        <f>IF(AND($AL2401&lt;&gt;"",COUNTIF($AL$11:$AL2401,$AL2401)=1),1,0)</f>
        <v>0</v>
      </c>
      <c r="AW2401" s="21">
        <f t="shared" si="161"/>
        <v>0</v>
      </c>
      <c r="AX2401" s="21" t="str">
        <f t="shared" si="160"/>
        <v/>
      </c>
      <c r="AY2401" s="21" t="str">
        <f>IF(AND($AM2401&lt;&gt;"",$AS2401&lt;&gt;"✓"),SUMPRODUCT(($AM$11:$AM2401&lt;&gt;"")*($AS$11:$AS2401&lt;&gt;"✓")),"")</f>
        <v/>
      </c>
      <c r="AZ2401" s="21" t="str">
        <f>IF(AND($AM2401&lt;&gt;"",$AS2401="✓"),SUMPRODUCT(($AM$11:$AM2401&lt;&gt;"")*($AS$11:$AS2401="✓")),"")</f>
        <v/>
      </c>
      <c r="BA2401" s="21" t="str">
        <f>IF($AL2401="","",$AL2401&amp;"|"&amp;COUNTIF($AL$11:$AL2401,$AL2401))</f>
        <v/>
      </c>
    </row>
    <row r="2402" spans="38:53" ht="15" customHeight="1" x14ac:dyDescent="0.25">
      <c r="AL2402" s="31"/>
      <c r="AM2402" s="26"/>
      <c r="AN2402" s="32"/>
      <c r="AO2402" s="32"/>
      <c r="AP2402" s="24"/>
      <c r="AQ2402" s="24"/>
      <c r="AR2402" s="33"/>
      <c r="AS2402" s="34"/>
      <c r="AT2402" s="33"/>
      <c r="AV2402" s="21">
        <f>IF(AND($AL2402&lt;&gt;"",COUNTIF($AL$11:$AL2402,$AL2402)=1),1,0)</f>
        <v>0</v>
      </c>
      <c r="AW2402" s="21">
        <f t="shared" si="161"/>
        <v>0</v>
      </c>
      <c r="AX2402" s="21" t="str">
        <f t="shared" si="160"/>
        <v/>
      </c>
      <c r="AY2402" s="21" t="str">
        <f>IF(AND($AM2402&lt;&gt;"",$AS2402&lt;&gt;"✓"),SUMPRODUCT(($AM$11:$AM2402&lt;&gt;"")*($AS$11:$AS2402&lt;&gt;"✓")),"")</f>
        <v/>
      </c>
      <c r="AZ2402" s="21" t="str">
        <f>IF(AND($AM2402&lt;&gt;"",$AS2402="✓"),SUMPRODUCT(($AM$11:$AM2402&lt;&gt;"")*($AS$11:$AS2402="✓")),"")</f>
        <v/>
      </c>
      <c r="BA2402" s="21" t="str">
        <f>IF($AL2402="","",$AL2402&amp;"|"&amp;COUNTIF($AL$11:$AL2402,$AL2402))</f>
        <v/>
      </c>
    </row>
    <row r="2403" spans="38:53" ht="15" customHeight="1" x14ac:dyDescent="0.25">
      <c r="AL2403" s="17"/>
      <c r="AM2403" s="12"/>
      <c r="AN2403" s="18"/>
      <c r="AO2403" s="18"/>
      <c r="AP2403" s="10"/>
      <c r="AQ2403" s="10"/>
      <c r="AR2403" s="19"/>
      <c r="AS2403" s="20"/>
      <c r="AT2403" s="19"/>
      <c r="AV2403" s="21">
        <f>IF(AND($AL2403&lt;&gt;"",COUNTIF($AL$11:$AL2403,$AL2403)=1),1,0)</f>
        <v>0</v>
      </c>
      <c r="AW2403" s="21">
        <f t="shared" si="161"/>
        <v>0</v>
      </c>
      <c r="AX2403" s="21" t="str">
        <f t="shared" si="160"/>
        <v/>
      </c>
      <c r="AY2403" s="21" t="str">
        <f>IF(AND($AM2403&lt;&gt;"",$AS2403&lt;&gt;"✓"),SUMPRODUCT(($AM$11:$AM2403&lt;&gt;"")*($AS$11:$AS2403&lt;&gt;"✓")),"")</f>
        <v/>
      </c>
      <c r="AZ2403" s="21" t="str">
        <f>IF(AND($AM2403&lt;&gt;"",$AS2403="✓"),SUMPRODUCT(($AM$11:$AM2403&lt;&gt;"")*($AS$11:$AS2403="✓")),"")</f>
        <v/>
      </c>
      <c r="BA2403" s="21" t="str">
        <f>IF($AL2403="","",$AL2403&amp;"|"&amp;COUNTIF($AL$11:$AL2403,$AL2403))</f>
        <v/>
      </c>
    </row>
    <row r="2404" spans="38:53" ht="15" customHeight="1" x14ac:dyDescent="0.25">
      <c r="AL2404" s="31"/>
      <c r="AM2404" s="26"/>
      <c r="AN2404" s="32"/>
      <c r="AO2404" s="32"/>
      <c r="AP2404" s="24"/>
      <c r="AQ2404" s="24"/>
      <c r="AR2404" s="33"/>
      <c r="AS2404" s="34"/>
      <c r="AT2404" s="33"/>
      <c r="AV2404" s="21">
        <f>IF(AND($AL2404&lt;&gt;"",COUNTIF($AL$11:$AL2404,$AL2404)=1),1,0)</f>
        <v>0</v>
      </c>
      <c r="AW2404" s="21">
        <f t="shared" si="161"/>
        <v>0</v>
      </c>
      <c r="AX2404" s="21" t="str">
        <f t="shared" si="160"/>
        <v/>
      </c>
      <c r="AY2404" s="21" t="str">
        <f>IF(AND($AM2404&lt;&gt;"",$AS2404&lt;&gt;"✓"),SUMPRODUCT(($AM$11:$AM2404&lt;&gt;"")*($AS$11:$AS2404&lt;&gt;"✓")),"")</f>
        <v/>
      </c>
      <c r="AZ2404" s="21" t="str">
        <f>IF(AND($AM2404&lt;&gt;"",$AS2404="✓"),SUMPRODUCT(($AM$11:$AM2404&lt;&gt;"")*($AS$11:$AS2404="✓")),"")</f>
        <v/>
      </c>
      <c r="BA2404" s="21" t="str">
        <f>IF($AL2404="","",$AL2404&amp;"|"&amp;COUNTIF($AL$11:$AL2404,$AL2404))</f>
        <v/>
      </c>
    </row>
    <row r="2405" spans="38:53" ht="15" customHeight="1" x14ac:dyDescent="0.25">
      <c r="AL2405" s="17"/>
      <c r="AM2405" s="12"/>
      <c r="AN2405" s="18"/>
      <c r="AO2405" s="18"/>
      <c r="AP2405" s="10"/>
      <c r="AQ2405" s="10"/>
      <c r="AR2405" s="19"/>
      <c r="AS2405" s="20"/>
      <c r="AT2405" s="19"/>
      <c r="AV2405" s="21">
        <f>IF(AND($AL2405&lt;&gt;"",COUNTIF($AL$11:$AL2405,$AL2405)=1),1,0)</f>
        <v>0</v>
      </c>
      <c r="AW2405" s="21">
        <f t="shared" si="161"/>
        <v>0</v>
      </c>
      <c r="AX2405" s="21" t="str">
        <f t="shared" si="160"/>
        <v/>
      </c>
      <c r="AY2405" s="21" t="str">
        <f>IF(AND($AM2405&lt;&gt;"",$AS2405&lt;&gt;"✓"),SUMPRODUCT(($AM$11:$AM2405&lt;&gt;"")*($AS$11:$AS2405&lt;&gt;"✓")),"")</f>
        <v/>
      </c>
      <c r="AZ2405" s="21" t="str">
        <f>IF(AND($AM2405&lt;&gt;"",$AS2405="✓"),SUMPRODUCT(($AM$11:$AM2405&lt;&gt;"")*($AS$11:$AS2405="✓")),"")</f>
        <v/>
      </c>
      <c r="BA2405" s="21" t="str">
        <f>IF($AL2405="","",$AL2405&amp;"|"&amp;COUNTIF($AL$11:$AL2405,$AL2405))</f>
        <v/>
      </c>
    </row>
    <row r="2406" spans="38:53" ht="15" customHeight="1" x14ac:dyDescent="0.25">
      <c r="AL2406" s="31"/>
      <c r="AM2406" s="26"/>
      <c r="AN2406" s="32"/>
      <c r="AO2406" s="32"/>
      <c r="AP2406" s="24"/>
      <c r="AQ2406" s="24"/>
      <c r="AR2406" s="33"/>
      <c r="AS2406" s="34"/>
      <c r="AT2406" s="33"/>
      <c r="AV2406" s="21">
        <f>IF(AND($AL2406&lt;&gt;"",COUNTIF($AL$11:$AL2406,$AL2406)=1),1,0)</f>
        <v>0</v>
      </c>
      <c r="AW2406" s="21">
        <f t="shared" si="161"/>
        <v>0</v>
      </c>
      <c r="AX2406" s="21" t="str">
        <f t="shared" si="160"/>
        <v/>
      </c>
      <c r="AY2406" s="21" t="str">
        <f>IF(AND($AM2406&lt;&gt;"",$AS2406&lt;&gt;"✓"),SUMPRODUCT(($AM$11:$AM2406&lt;&gt;"")*($AS$11:$AS2406&lt;&gt;"✓")),"")</f>
        <v/>
      </c>
      <c r="AZ2406" s="21" t="str">
        <f>IF(AND($AM2406&lt;&gt;"",$AS2406="✓"),SUMPRODUCT(($AM$11:$AM2406&lt;&gt;"")*($AS$11:$AS2406="✓")),"")</f>
        <v/>
      </c>
      <c r="BA2406" s="21" t="str">
        <f>IF($AL2406="","",$AL2406&amp;"|"&amp;COUNTIF($AL$11:$AL2406,$AL2406))</f>
        <v/>
      </c>
    </row>
    <row r="2407" spans="38:53" ht="15" customHeight="1" x14ac:dyDescent="0.25">
      <c r="AL2407" s="17"/>
      <c r="AM2407" s="12"/>
      <c r="AN2407" s="18"/>
      <c r="AO2407" s="18"/>
      <c r="AP2407" s="10"/>
      <c r="AQ2407" s="10"/>
      <c r="AR2407" s="19"/>
      <c r="AS2407" s="20"/>
      <c r="AT2407" s="19"/>
      <c r="AV2407" s="21">
        <f>IF(AND($AL2407&lt;&gt;"",COUNTIF($AL$11:$AL2407,$AL2407)=1),1,0)</f>
        <v>0</v>
      </c>
      <c r="AW2407" s="21">
        <f t="shared" si="161"/>
        <v>0</v>
      </c>
      <c r="AX2407" s="21" t="str">
        <f t="shared" si="160"/>
        <v/>
      </c>
      <c r="AY2407" s="21" t="str">
        <f>IF(AND($AM2407&lt;&gt;"",$AS2407&lt;&gt;"✓"),SUMPRODUCT(($AM$11:$AM2407&lt;&gt;"")*($AS$11:$AS2407&lt;&gt;"✓")),"")</f>
        <v/>
      </c>
      <c r="AZ2407" s="21" t="str">
        <f>IF(AND($AM2407&lt;&gt;"",$AS2407="✓"),SUMPRODUCT(($AM$11:$AM2407&lt;&gt;"")*($AS$11:$AS2407="✓")),"")</f>
        <v/>
      </c>
      <c r="BA2407" s="21" t="str">
        <f>IF($AL2407="","",$AL2407&amp;"|"&amp;COUNTIF($AL$11:$AL2407,$AL2407))</f>
        <v/>
      </c>
    </row>
    <row r="2408" spans="38:53" ht="15" customHeight="1" x14ac:dyDescent="0.25">
      <c r="AL2408" s="31"/>
      <c r="AM2408" s="26"/>
      <c r="AN2408" s="32"/>
      <c r="AO2408" s="32"/>
      <c r="AP2408" s="24"/>
      <c r="AQ2408" s="24"/>
      <c r="AR2408" s="33"/>
      <c r="AS2408" s="34"/>
      <c r="AT2408" s="33"/>
      <c r="AV2408" s="21">
        <f>IF(AND($AL2408&lt;&gt;"",COUNTIF($AL$11:$AL2408,$AL2408)=1),1,0)</f>
        <v>0</v>
      </c>
      <c r="AW2408" s="21">
        <f t="shared" si="161"/>
        <v>0</v>
      </c>
      <c r="AX2408" s="21" t="str">
        <f t="shared" si="160"/>
        <v/>
      </c>
      <c r="AY2408" s="21" t="str">
        <f>IF(AND($AM2408&lt;&gt;"",$AS2408&lt;&gt;"✓"),SUMPRODUCT(($AM$11:$AM2408&lt;&gt;"")*($AS$11:$AS2408&lt;&gt;"✓")),"")</f>
        <v/>
      </c>
      <c r="AZ2408" s="21" t="str">
        <f>IF(AND($AM2408&lt;&gt;"",$AS2408="✓"),SUMPRODUCT(($AM$11:$AM2408&lt;&gt;"")*($AS$11:$AS2408="✓")),"")</f>
        <v/>
      </c>
      <c r="BA2408" s="21" t="str">
        <f>IF($AL2408="","",$AL2408&amp;"|"&amp;COUNTIF($AL$11:$AL2408,$AL2408))</f>
        <v/>
      </c>
    </row>
    <row r="2409" spans="38:53" ht="15" customHeight="1" x14ac:dyDescent="0.25">
      <c r="AL2409" s="17"/>
      <c r="AM2409" s="12"/>
      <c r="AN2409" s="18"/>
      <c r="AO2409" s="18"/>
      <c r="AP2409" s="10"/>
      <c r="AQ2409" s="10"/>
      <c r="AR2409" s="19"/>
      <c r="AS2409" s="20"/>
      <c r="AT2409" s="19"/>
      <c r="AV2409" s="21">
        <f>IF(AND($AL2409&lt;&gt;"",COUNTIF($AL$11:$AL2409,$AL2409)=1),1,0)</f>
        <v>0</v>
      </c>
      <c r="AW2409" s="21">
        <f t="shared" si="161"/>
        <v>0</v>
      </c>
      <c r="AX2409" s="21" t="str">
        <f t="shared" si="160"/>
        <v/>
      </c>
      <c r="AY2409" s="21" t="str">
        <f>IF(AND($AM2409&lt;&gt;"",$AS2409&lt;&gt;"✓"),SUMPRODUCT(($AM$11:$AM2409&lt;&gt;"")*($AS$11:$AS2409&lt;&gt;"✓")),"")</f>
        <v/>
      </c>
      <c r="AZ2409" s="21" t="str">
        <f>IF(AND($AM2409&lt;&gt;"",$AS2409="✓"),SUMPRODUCT(($AM$11:$AM2409&lt;&gt;"")*($AS$11:$AS2409="✓")),"")</f>
        <v/>
      </c>
      <c r="BA2409" s="21" t="str">
        <f>IF($AL2409="","",$AL2409&amp;"|"&amp;COUNTIF($AL$11:$AL2409,$AL2409))</f>
        <v/>
      </c>
    </row>
    <row r="2410" spans="38:53" ht="15" customHeight="1" x14ac:dyDescent="0.25">
      <c r="AL2410" s="31"/>
      <c r="AM2410" s="26"/>
      <c r="AN2410" s="32"/>
      <c r="AO2410" s="32"/>
      <c r="AP2410" s="24"/>
      <c r="AQ2410" s="24"/>
      <c r="AR2410" s="33"/>
      <c r="AS2410" s="34"/>
      <c r="AT2410" s="33"/>
      <c r="AV2410" s="21">
        <f>IF(AND($AL2410&lt;&gt;"",COUNTIF($AL$11:$AL2410,$AL2410)=1),1,0)</f>
        <v>0</v>
      </c>
      <c r="AW2410" s="21">
        <f t="shared" si="161"/>
        <v>0</v>
      </c>
      <c r="AX2410" s="21" t="str">
        <f t="shared" si="160"/>
        <v/>
      </c>
      <c r="AY2410" s="21" t="str">
        <f>IF(AND($AM2410&lt;&gt;"",$AS2410&lt;&gt;"✓"),SUMPRODUCT(($AM$11:$AM2410&lt;&gt;"")*($AS$11:$AS2410&lt;&gt;"✓")),"")</f>
        <v/>
      </c>
      <c r="AZ2410" s="21" t="str">
        <f>IF(AND($AM2410&lt;&gt;"",$AS2410="✓"),SUMPRODUCT(($AM$11:$AM2410&lt;&gt;"")*($AS$11:$AS2410="✓")),"")</f>
        <v/>
      </c>
      <c r="BA2410" s="21" t="str">
        <f>IF($AL2410="","",$AL2410&amp;"|"&amp;COUNTIF($AL$11:$AL2410,$AL2410))</f>
        <v/>
      </c>
    </row>
    <row r="2411" spans="38:53" ht="15" customHeight="1" x14ac:dyDescent="0.25">
      <c r="AL2411" s="17"/>
      <c r="AM2411" s="12"/>
      <c r="AN2411" s="18"/>
      <c r="AO2411" s="18"/>
      <c r="AP2411" s="10"/>
      <c r="AQ2411" s="10"/>
      <c r="AR2411" s="19"/>
      <c r="AS2411" s="20"/>
      <c r="AT2411" s="19"/>
      <c r="AV2411" s="21">
        <f>IF(AND($AL2411&lt;&gt;"",COUNTIF($AL$11:$AL2411,$AL2411)=1),1,0)</f>
        <v>0</v>
      </c>
      <c r="AW2411" s="21">
        <f t="shared" si="161"/>
        <v>0</v>
      </c>
      <c r="AX2411" s="21" t="str">
        <f t="shared" si="160"/>
        <v/>
      </c>
      <c r="AY2411" s="21" t="str">
        <f>IF(AND($AM2411&lt;&gt;"",$AS2411&lt;&gt;"✓"),SUMPRODUCT(($AM$11:$AM2411&lt;&gt;"")*($AS$11:$AS2411&lt;&gt;"✓")),"")</f>
        <v/>
      </c>
      <c r="AZ2411" s="21" t="str">
        <f>IF(AND($AM2411&lt;&gt;"",$AS2411="✓"),SUMPRODUCT(($AM$11:$AM2411&lt;&gt;"")*($AS$11:$AS2411="✓")),"")</f>
        <v/>
      </c>
      <c r="BA2411" s="21" t="str">
        <f>IF($AL2411="","",$AL2411&amp;"|"&amp;COUNTIF($AL$11:$AL2411,$AL2411))</f>
        <v/>
      </c>
    </row>
    <row r="2412" spans="38:53" ht="15" customHeight="1" x14ac:dyDescent="0.25">
      <c r="AL2412" s="31"/>
      <c r="AM2412" s="26"/>
      <c r="AN2412" s="32"/>
      <c r="AO2412" s="32"/>
      <c r="AP2412" s="24"/>
      <c r="AQ2412" s="24"/>
      <c r="AR2412" s="33"/>
      <c r="AS2412" s="34"/>
      <c r="AT2412" s="33"/>
      <c r="AV2412" s="21">
        <f>IF(AND($AL2412&lt;&gt;"",COUNTIF($AL$11:$AL2412,$AL2412)=1),1,0)</f>
        <v>0</v>
      </c>
      <c r="AW2412" s="21">
        <f t="shared" si="161"/>
        <v>0</v>
      </c>
      <c r="AX2412" s="21" t="str">
        <f t="shared" si="160"/>
        <v/>
      </c>
      <c r="AY2412" s="21" t="str">
        <f>IF(AND($AM2412&lt;&gt;"",$AS2412&lt;&gt;"✓"),SUMPRODUCT(($AM$11:$AM2412&lt;&gt;"")*($AS$11:$AS2412&lt;&gt;"✓")),"")</f>
        <v/>
      </c>
      <c r="AZ2412" s="21" t="str">
        <f>IF(AND($AM2412&lt;&gt;"",$AS2412="✓"),SUMPRODUCT(($AM$11:$AM2412&lt;&gt;"")*($AS$11:$AS2412="✓")),"")</f>
        <v/>
      </c>
      <c r="BA2412" s="21" t="str">
        <f>IF($AL2412="","",$AL2412&amp;"|"&amp;COUNTIF($AL$11:$AL2412,$AL2412))</f>
        <v/>
      </c>
    </row>
    <row r="2413" spans="38:53" ht="15" customHeight="1" x14ac:dyDescent="0.25">
      <c r="AL2413" s="17"/>
      <c r="AM2413" s="12"/>
      <c r="AN2413" s="18"/>
      <c r="AO2413" s="18"/>
      <c r="AP2413" s="10"/>
      <c r="AQ2413" s="10"/>
      <c r="AR2413" s="19"/>
      <c r="AS2413" s="20"/>
      <c r="AT2413" s="19"/>
      <c r="AV2413" s="21">
        <f>IF(AND($AL2413&lt;&gt;"",COUNTIF($AL$11:$AL2413,$AL2413)=1),1,0)</f>
        <v>0</v>
      </c>
      <c r="AW2413" s="21">
        <f t="shared" si="161"/>
        <v>0</v>
      </c>
      <c r="AX2413" s="21" t="str">
        <f t="shared" si="160"/>
        <v/>
      </c>
      <c r="AY2413" s="21" t="str">
        <f>IF(AND($AM2413&lt;&gt;"",$AS2413&lt;&gt;"✓"),SUMPRODUCT(($AM$11:$AM2413&lt;&gt;"")*($AS$11:$AS2413&lt;&gt;"✓")),"")</f>
        <v/>
      </c>
      <c r="AZ2413" s="21" t="str">
        <f>IF(AND($AM2413&lt;&gt;"",$AS2413="✓"),SUMPRODUCT(($AM$11:$AM2413&lt;&gt;"")*($AS$11:$AS2413="✓")),"")</f>
        <v/>
      </c>
      <c r="BA2413" s="21" t="str">
        <f>IF($AL2413="","",$AL2413&amp;"|"&amp;COUNTIF($AL$11:$AL2413,$AL2413))</f>
        <v/>
      </c>
    </row>
    <row r="2414" spans="38:53" ht="15" customHeight="1" x14ac:dyDescent="0.25">
      <c r="AL2414" s="31"/>
      <c r="AM2414" s="26"/>
      <c r="AN2414" s="32"/>
      <c r="AO2414" s="32"/>
      <c r="AP2414" s="24"/>
      <c r="AQ2414" s="24"/>
      <c r="AR2414" s="33"/>
      <c r="AS2414" s="34"/>
      <c r="AT2414" s="33"/>
      <c r="AV2414" s="21">
        <f>IF(AND($AL2414&lt;&gt;"",COUNTIF($AL$11:$AL2414,$AL2414)=1),1,0)</f>
        <v>0</v>
      </c>
      <c r="AW2414" s="21">
        <f t="shared" si="161"/>
        <v>0</v>
      </c>
      <c r="AX2414" s="21" t="str">
        <f t="shared" si="160"/>
        <v/>
      </c>
      <c r="AY2414" s="21" t="str">
        <f>IF(AND($AM2414&lt;&gt;"",$AS2414&lt;&gt;"✓"),SUMPRODUCT(($AM$11:$AM2414&lt;&gt;"")*($AS$11:$AS2414&lt;&gt;"✓")),"")</f>
        <v/>
      </c>
      <c r="AZ2414" s="21" t="str">
        <f>IF(AND($AM2414&lt;&gt;"",$AS2414="✓"),SUMPRODUCT(($AM$11:$AM2414&lt;&gt;"")*($AS$11:$AS2414="✓")),"")</f>
        <v/>
      </c>
      <c r="BA2414" s="21" t="str">
        <f>IF($AL2414="","",$AL2414&amp;"|"&amp;COUNTIF($AL$11:$AL2414,$AL2414))</f>
        <v/>
      </c>
    </row>
    <row r="2415" spans="38:53" ht="15" customHeight="1" x14ac:dyDescent="0.25">
      <c r="AL2415" s="17"/>
      <c r="AM2415" s="12"/>
      <c r="AN2415" s="18"/>
      <c r="AO2415" s="18"/>
      <c r="AP2415" s="10"/>
      <c r="AQ2415" s="10"/>
      <c r="AR2415" s="19"/>
      <c r="AS2415" s="20"/>
      <c r="AT2415" s="19"/>
      <c r="AV2415" s="21">
        <f>IF(AND($AL2415&lt;&gt;"",COUNTIF($AL$11:$AL2415,$AL2415)=1),1,0)</f>
        <v>0</v>
      </c>
      <c r="AW2415" s="21">
        <f t="shared" si="161"/>
        <v>0</v>
      </c>
      <c r="AX2415" s="21" t="str">
        <f t="shared" si="160"/>
        <v/>
      </c>
      <c r="AY2415" s="21" t="str">
        <f>IF(AND($AM2415&lt;&gt;"",$AS2415&lt;&gt;"✓"),SUMPRODUCT(($AM$11:$AM2415&lt;&gt;"")*($AS$11:$AS2415&lt;&gt;"✓")),"")</f>
        <v/>
      </c>
      <c r="AZ2415" s="21" t="str">
        <f>IF(AND($AM2415&lt;&gt;"",$AS2415="✓"),SUMPRODUCT(($AM$11:$AM2415&lt;&gt;"")*($AS$11:$AS2415="✓")),"")</f>
        <v/>
      </c>
      <c r="BA2415" s="21" t="str">
        <f>IF($AL2415="","",$AL2415&amp;"|"&amp;COUNTIF($AL$11:$AL2415,$AL2415))</f>
        <v/>
      </c>
    </row>
    <row r="2416" spans="38:53" ht="15" customHeight="1" x14ac:dyDescent="0.25">
      <c r="AL2416" s="31"/>
      <c r="AM2416" s="26"/>
      <c r="AN2416" s="32"/>
      <c r="AO2416" s="32"/>
      <c r="AP2416" s="24"/>
      <c r="AQ2416" s="24"/>
      <c r="AR2416" s="33"/>
      <c r="AS2416" s="34"/>
      <c r="AT2416" s="33"/>
      <c r="AV2416" s="21">
        <f>IF(AND($AL2416&lt;&gt;"",COUNTIF($AL$11:$AL2416,$AL2416)=1),1,0)</f>
        <v>0</v>
      </c>
      <c r="AW2416" s="21">
        <f t="shared" si="161"/>
        <v>0</v>
      </c>
      <c r="AX2416" s="21" t="str">
        <f t="shared" si="160"/>
        <v/>
      </c>
      <c r="AY2416" s="21" t="str">
        <f>IF(AND($AM2416&lt;&gt;"",$AS2416&lt;&gt;"✓"),SUMPRODUCT(($AM$11:$AM2416&lt;&gt;"")*($AS$11:$AS2416&lt;&gt;"✓")),"")</f>
        <v/>
      </c>
      <c r="AZ2416" s="21" t="str">
        <f>IF(AND($AM2416&lt;&gt;"",$AS2416="✓"),SUMPRODUCT(($AM$11:$AM2416&lt;&gt;"")*($AS$11:$AS2416="✓")),"")</f>
        <v/>
      </c>
      <c r="BA2416" s="21" t="str">
        <f>IF($AL2416="","",$AL2416&amp;"|"&amp;COUNTIF($AL$11:$AL2416,$AL2416))</f>
        <v/>
      </c>
    </row>
    <row r="2417" spans="38:53" ht="15" customHeight="1" x14ac:dyDescent="0.25">
      <c r="AL2417" s="17"/>
      <c r="AM2417" s="12"/>
      <c r="AN2417" s="18"/>
      <c r="AO2417" s="18"/>
      <c r="AP2417" s="10"/>
      <c r="AQ2417" s="10"/>
      <c r="AR2417" s="19"/>
      <c r="AS2417" s="20"/>
      <c r="AT2417" s="19"/>
      <c r="AV2417" s="21">
        <f>IF(AND($AL2417&lt;&gt;"",COUNTIF($AL$11:$AL2417,$AL2417)=1),1,0)</f>
        <v>0</v>
      </c>
      <c r="AW2417" s="21">
        <f t="shared" si="161"/>
        <v>0</v>
      </c>
      <c r="AX2417" s="21" t="str">
        <f t="shared" si="160"/>
        <v/>
      </c>
      <c r="AY2417" s="21" t="str">
        <f>IF(AND($AM2417&lt;&gt;"",$AS2417&lt;&gt;"✓"),SUMPRODUCT(($AM$11:$AM2417&lt;&gt;"")*($AS$11:$AS2417&lt;&gt;"✓")),"")</f>
        <v/>
      </c>
      <c r="AZ2417" s="21" t="str">
        <f>IF(AND($AM2417&lt;&gt;"",$AS2417="✓"),SUMPRODUCT(($AM$11:$AM2417&lt;&gt;"")*($AS$11:$AS2417="✓")),"")</f>
        <v/>
      </c>
      <c r="BA2417" s="21" t="str">
        <f>IF($AL2417="","",$AL2417&amp;"|"&amp;COUNTIF($AL$11:$AL2417,$AL2417))</f>
        <v/>
      </c>
    </row>
    <row r="2418" spans="38:53" ht="15" customHeight="1" x14ac:dyDescent="0.25">
      <c r="AL2418" s="31"/>
      <c r="AM2418" s="26"/>
      <c r="AN2418" s="32"/>
      <c r="AO2418" s="32"/>
      <c r="AP2418" s="24"/>
      <c r="AQ2418" s="24"/>
      <c r="AR2418" s="33"/>
      <c r="AS2418" s="34"/>
      <c r="AT2418" s="33"/>
      <c r="AV2418" s="21">
        <f>IF(AND($AL2418&lt;&gt;"",COUNTIF($AL$11:$AL2418,$AL2418)=1),1,0)</f>
        <v>0</v>
      </c>
      <c r="AW2418" s="21">
        <f t="shared" si="161"/>
        <v>0</v>
      </c>
      <c r="AX2418" s="21" t="str">
        <f t="shared" si="160"/>
        <v/>
      </c>
      <c r="AY2418" s="21" t="str">
        <f>IF(AND($AM2418&lt;&gt;"",$AS2418&lt;&gt;"✓"),SUMPRODUCT(($AM$11:$AM2418&lt;&gt;"")*($AS$11:$AS2418&lt;&gt;"✓")),"")</f>
        <v/>
      </c>
      <c r="AZ2418" s="21" t="str">
        <f>IF(AND($AM2418&lt;&gt;"",$AS2418="✓"),SUMPRODUCT(($AM$11:$AM2418&lt;&gt;"")*($AS$11:$AS2418="✓")),"")</f>
        <v/>
      </c>
      <c r="BA2418" s="21" t="str">
        <f>IF($AL2418="","",$AL2418&amp;"|"&amp;COUNTIF($AL$11:$AL2418,$AL2418))</f>
        <v/>
      </c>
    </row>
    <row r="2419" spans="38:53" ht="15" customHeight="1" x14ac:dyDescent="0.25">
      <c r="AL2419" s="17"/>
      <c r="AM2419" s="12"/>
      <c r="AN2419" s="18"/>
      <c r="AO2419" s="18"/>
      <c r="AP2419" s="10"/>
      <c r="AQ2419" s="10"/>
      <c r="AR2419" s="19"/>
      <c r="AS2419" s="20"/>
      <c r="AT2419" s="19"/>
      <c r="AV2419" s="21">
        <f>IF(AND($AL2419&lt;&gt;"",COUNTIF($AL$11:$AL2419,$AL2419)=1),1,0)</f>
        <v>0</v>
      </c>
      <c r="AW2419" s="21">
        <f t="shared" si="161"/>
        <v>0</v>
      </c>
      <c r="AX2419" s="21" t="str">
        <f t="shared" si="160"/>
        <v/>
      </c>
      <c r="AY2419" s="21" t="str">
        <f>IF(AND($AM2419&lt;&gt;"",$AS2419&lt;&gt;"✓"),SUMPRODUCT(($AM$11:$AM2419&lt;&gt;"")*($AS$11:$AS2419&lt;&gt;"✓")),"")</f>
        <v/>
      </c>
      <c r="AZ2419" s="21" t="str">
        <f>IF(AND($AM2419&lt;&gt;"",$AS2419="✓"),SUMPRODUCT(($AM$11:$AM2419&lt;&gt;"")*($AS$11:$AS2419="✓")),"")</f>
        <v/>
      </c>
      <c r="BA2419" s="21" t="str">
        <f>IF($AL2419="","",$AL2419&amp;"|"&amp;COUNTIF($AL$11:$AL2419,$AL2419))</f>
        <v/>
      </c>
    </row>
    <row r="2420" spans="38:53" ht="15" customHeight="1" x14ac:dyDescent="0.25">
      <c r="AL2420" s="31"/>
      <c r="AM2420" s="26"/>
      <c r="AN2420" s="32"/>
      <c r="AO2420" s="32"/>
      <c r="AP2420" s="24"/>
      <c r="AQ2420" s="24"/>
      <c r="AR2420" s="33"/>
      <c r="AS2420" s="34"/>
      <c r="AT2420" s="33"/>
      <c r="AV2420" s="21">
        <f>IF(AND($AL2420&lt;&gt;"",COUNTIF($AL$11:$AL2420,$AL2420)=1),1,0)</f>
        <v>0</v>
      </c>
      <c r="AW2420" s="21">
        <f t="shared" si="161"/>
        <v>0</v>
      </c>
      <c r="AX2420" s="21" t="str">
        <f t="shared" si="160"/>
        <v/>
      </c>
      <c r="AY2420" s="21" t="str">
        <f>IF(AND($AM2420&lt;&gt;"",$AS2420&lt;&gt;"✓"),SUMPRODUCT(($AM$11:$AM2420&lt;&gt;"")*($AS$11:$AS2420&lt;&gt;"✓")),"")</f>
        <v/>
      </c>
      <c r="AZ2420" s="21" t="str">
        <f>IF(AND($AM2420&lt;&gt;"",$AS2420="✓"),SUMPRODUCT(($AM$11:$AM2420&lt;&gt;"")*($AS$11:$AS2420="✓")),"")</f>
        <v/>
      </c>
      <c r="BA2420" s="21" t="str">
        <f>IF($AL2420="","",$AL2420&amp;"|"&amp;COUNTIF($AL$11:$AL2420,$AL2420))</f>
        <v/>
      </c>
    </row>
    <row r="2421" spans="38:53" ht="15" customHeight="1" x14ac:dyDescent="0.25">
      <c r="AL2421" s="17"/>
      <c r="AM2421" s="12"/>
      <c r="AN2421" s="18"/>
      <c r="AO2421" s="18"/>
      <c r="AP2421" s="10"/>
      <c r="AQ2421" s="10"/>
      <c r="AR2421" s="19"/>
      <c r="AS2421" s="20"/>
      <c r="AT2421" s="19"/>
      <c r="AV2421" s="21">
        <f>IF(AND($AL2421&lt;&gt;"",COUNTIF($AL$11:$AL2421,$AL2421)=1),1,0)</f>
        <v>0</v>
      </c>
      <c r="AW2421" s="21">
        <f t="shared" si="161"/>
        <v>0</v>
      </c>
      <c r="AX2421" s="21" t="str">
        <f t="shared" si="160"/>
        <v/>
      </c>
      <c r="AY2421" s="21" t="str">
        <f>IF(AND($AM2421&lt;&gt;"",$AS2421&lt;&gt;"✓"),SUMPRODUCT(($AM$11:$AM2421&lt;&gt;"")*($AS$11:$AS2421&lt;&gt;"✓")),"")</f>
        <v/>
      </c>
      <c r="AZ2421" s="21" t="str">
        <f>IF(AND($AM2421&lt;&gt;"",$AS2421="✓"),SUMPRODUCT(($AM$11:$AM2421&lt;&gt;"")*($AS$11:$AS2421="✓")),"")</f>
        <v/>
      </c>
      <c r="BA2421" s="21" t="str">
        <f>IF($AL2421="","",$AL2421&amp;"|"&amp;COUNTIF($AL$11:$AL2421,$AL2421))</f>
        <v/>
      </c>
    </row>
    <row r="2422" spans="38:53" ht="15" customHeight="1" x14ac:dyDescent="0.25">
      <c r="AL2422" s="31"/>
      <c r="AM2422" s="26"/>
      <c r="AN2422" s="32"/>
      <c r="AO2422" s="32"/>
      <c r="AP2422" s="24"/>
      <c r="AQ2422" s="24"/>
      <c r="AR2422" s="33"/>
      <c r="AS2422" s="34"/>
      <c r="AT2422" s="33"/>
      <c r="AV2422" s="21">
        <f>IF(AND($AL2422&lt;&gt;"",COUNTIF($AL$11:$AL2422,$AL2422)=1),1,0)</f>
        <v>0</v>
      </c>
      <c r="AW2422" s="21">
        <f t="shared" si="161"/>
        <v>0</v>
      </c>
      <c r="AX2422" s="21" t="str">
        <f t="shared" si="160"/>
        <v/>
      </c>
      <c r="AY2422" s="21" t="str">
        <f>IF(AND($AM2422&lt;&gt;"",$AS2422&lt;&gt;"✓"),SUMPRODUCT(($AM$11:$AM2422&lt;&gt;"")*($AS$11:$AS2422&lt;&gt;"✓")),"")</f>
        <v/>
      </c>
      <c r="AZ2422" s="21" t="str">
        <f>IF(AND($AM2422&lt;&gt;"",$AS2422="✓"),SUMPRODUCT(($AM$11:$AM2422&lt;&gt;"")*($AS$11:$AS2422="✓")),"")</f>
        <v/>
      </c>
      <c r="BA2422" s="21" t="str">
        <f>IF($AL2422="","",$AL2422&amp;"|"&amp;COUNTIF($AL$11:$AL2422,$AL2422))</f>
        <v/>
      </c>
    </row>
    <row r="2423" spans="38:53" ht="15" customHeight="1" x14ac:dyDescent="0.25">
      <c r="AL2423" s="17"/>
      <c r="AM2423" s="12"/>
      <c r="AN2423" s="18"/>
      <c r="AO2423" s="18"/>
      <c r="AP2423" s="10"/>
      <c r="AQ2423" s="10"/>
      <c r="AR2423" s="19"/>
      <c r="AS2423" s="20"/>
      <c r="AT2423" s="19"/>
      <c r="AV2423" s="21">
        <f>IF(AND($AL2423&lt;&gt;"",COUNTIF($AL$11:$AL2423,$AL2423)=1),1,0)</f>
        <v>0</v>
      </c>
      <c r="AW2423" s="21">
        <f t="shared" si="161"/>
        <v>0</v>
      </c>
      <c r="AX2423" s="21" t="str">
        <f t="shared" si="160"/>
        <v/>
      </c>
      <c r="AY2423" s="21" t="str">
        <f>IF(AND($AM2423&lt;&gt;"",$AS2423&lt;&gt;"✓"),SUMPRODUCT(($AM$11:$AM2423&lt;&gt;"")*($AS$11:$AS2423&lt;&gt;"✓")),"")</f>
        <v/>
      </c>
      <c r="AZ2423" s="21" t="str">
        <f>IF(AND($AM2423&lt;&gt;"",$AS2423="✓"),SUMPRODUCT(($AM$11:$AM2423&lt;&gt;"")*($AS$11:$AS2423="✓")),"")</f>
        <v/>
      </c>
      <c r="BA2423" s="21" t="str">
        <f>IF($AL2423="","",$AL2423&amp;"|"&amp;COUNTIF($AL$11:$AL2423,$AL2423))</f>
        <v/>
      </c>
    </row>
    <row r="2424" spans="38:53" ht="15" customHeight="1" x14ac:dyDescent="0.25">
      <c r="AL2424" s="31"/>
      <c r="AM2424" s="26"/>
      <c r="AN2424" s="32"/>
      <c r="AO2424" s="32"/>
      <c r="AP2424" s="24"/>
      <c r="AQ2424" s="24"/>
      <c r="AR2424" s="33"/>
      <c r="AS2424" s="34"/>
      <c r="AT2424" s="33"/>
      <c r="AV2424" s="21">
        <f>IF(AND($AL2424&lt;&gt;"",COUNTIF($AL$11:$AL2424,$AL2424)=1),1,0)</f>
        <v>0</v>
      </c>
      <c r="AW2424" s="21">
        <f t="shared" si="161"/>
        <v>0</v>
      </c>
      <c r="AX2424" s="21" t="str">
        <f t="shared" si="160"/>
        <v/>
      </c>
      <c r="AY2424" s="21" t="str">
        <f>IF(AND($AM2424&lt;&gt;"",$AS2424&lt;&gt;"✓"),SUMPRODUCT(($AM$11:$AM2424&lt;&gt;"")*($AS$11:$AS2424&lt;&gt;"✓")),"")</f>
        <v/>
      </c>
      <c r="AZ2424" s="21" t="str">
        <f>IF(AND($AM2424&lt;&gt;"",$AS2424="✓"),SUMPRODUCT(($AM$11:$AM2424&lt;&gt;"")*($AS$11:$AS2424="✓")),"")</f>
        <v/>
      </c>
      <c r="BA2424" s="21" t="str">
        <f>IF($AL2424="","",$AL2424&amp;"|"&amp;COUNTIF($AL$11:$AL2424,$AL2424))</f>
        <v/>
      </c>
    </row>
    <row r="2425" spans="38:53" ht="15" customHeight="1" x14ac:dyDescent="0.25">
      <c r="AL2425" s="17"/>
      <c r="AM2425" s="12"/>
      <c r="AN2425" s="18"/>
      <c r="AO2425" s="18"/>
      <c r="AP2425" s="10"/>
      <c r="AQ2425" s="10"/>
      <c r="AR2425" s="19"/>
      <c r="AS2425" s="20"/>
      <c r="AT2425" s="19"/>
      <c r="AV2425" s="21">
        <f>IF(AND($AL2425&lt;&gt;"",COUNTIF($AL$11:$AL2425,$AL2425)=1),1,0)</f>
        <v>0</v>
      </c>
      <c r="AW2425" s="21">
        <f t="shared" si="161"/>
        <v>0</v>
      </c>
      <c r="AX2425" s="21" t="str">
        <f t="shared" si="160"/>
        <v/>
      </c>
      <c r="AY2425" s="21" t="str">
        <f>IF(AND($AM2425&lt;&gt;"",$AS2425&lt;&gt;"✓"),SUMPRODUCT(($AM$11:$AM2425&lt;&gt;"")*($AS$11:$AS2425&lt;&gt;"✓")),"")</f>
        <v/>
      </c>
      <c r="AZ2425" s="21" t="str">
        <f>IF(AND($AM2425&lt;&gt;"",$AS2425="✓"),SUMPRODUCT(($AM$11:$AM2425&lt;&gt;"")*($AS$11:$AS2425="✓")),"")</f>
        <v/>
      </c>
      <c r="BA2425" s="21" t="str">
        <f>IF($AL2425="","",$AL2425&amp;"|"&amp;COUNTIF($AL$11:$AL2425,$AL2425))</f>
        <v/>
      </c>
    </row>
    <row r="2426" spans="38:53" ht="15" customHeight="1" x14ac:dyDescent="0.25">
      <c r="AL2426" s="31"/>
      <c r="AM2426" s="26"/>
      <c r="AN2426" s="32"/>
      <c r="AO2426" s="32"/>
      <c r="AP2426" s="24"/>
      <c r="AQ2426" s="24"/>
      <c r="AR2426" s="33"/>
      <c r="AS2426" s="34"/>
      <c r="AT2426" s="33"/>
      <c r="AV2426" s="21">
        <f>IF(AND($AL2426&lt;&gt;"",COUNTIF($AL$11:$AL2426,$AL2426)=1),1,0)</f>
        <v>0</v>
      </c>
      <c r="AW2426" s="21">
        <f t="shared" si="161"/>
        <v>0</v>
      </c>
      <c r="AX2426" s="21" t="str">
        <f t="shared" si="160"/>
        <v/>
      </c>
      <c r="AY2426" s="21" t="str">
        <f>IF(AND($AM2426&lt;&gt;"",$AS2426&lt;&gt;"✓"),SUMPRODUCT(($AM$11:$AM2426&lt;&gt;"")*($AS$11:$AS2426&lt;&gt;"✓")),"")</f>
        <v/>
      </c>
      <c r="AZ2426" s="21" t="str">
        <f>IF(AND($AM2426&lt;&gt;"",$AS2426="✓"),SUMPRODUCT(($AM$11:$AM2426&lt;&gt;"")*($AS$11:$AS2426="✓")),"")</f>
        <v/>
      </c>
      <c r="BA2426" s="21" t="str">
        <f>IF($AL2426="","",$AL2426&amp;"|"&amp;COUNTIF($AL$11:$AL2426,$AL2426))</f>
        <v/>
      </c>
    </row>
    <row r="2427" spans="38:53" ht="15" customHeight="1" x14ac:dyDescent="0.25">
      <c r="AL2427" s="17"/>
      <c r="AM2427" s="12"/>
      <c r="AN2427" s="18"/>
      <c r="AO2427" s="18"/>
      <c r="AP2427" s="10"/>
      <c r="AQ2427" s="10"/>
      <c r="AR2427" s="19"/>
      <c r="AS2427" s="20"/>
      <c r="AT2427" s="19"/>
      <c r="AV2427" s="21">
        <f>IF(AND($AL2427&lt;&gt;"",COUNTIF($AL$11:$AL2427,$AL2427)=1),1,0)</f>
        <v>0</v>
      </c>
      <c r="AW2427" s="21">
        <f t="shared" si="161"/>
        <v>0</v>
      </c>
      <c r="AX2427" s="21" t="str">
        <f t="shared" si="160"/>
        <v/>
      </c>
      <c r="AY2427" s="21" t="str">
        <f>IF(AND($AM2427&lt;&gt;"",$AS2427&lt;&gt;"✓"),SUMPRODUCT(($AM$11:$AM2427&lt;&gt;"")*($AS$11:$AS2427&lt;&gt;"✓")),"")</f>
        <v/>
      </c>
      <c r="AZ2427" s="21" t="str">
        <f>IF(AND($AM2427&lt;&gt;"",$AS2427="✓"),SUMPRODUCT(($AM$11:$AM2427&lt;&gt;"")*($AS$11:$AS2427="✓")),"")</f>
        <v/>
      </c>
      <c r="BA2427" s="21" t="str">
        <f>IF($AL2427="","",$AL2427&amp;"|"&amp;COUNTIF($AL$11:$AL2427,$AL2427))</f>
        <v/>
      </c>
    </row>
    <row r="2428" spans="38:53" ht="15" customHeight="1" x14ac:dyDescent="0.25">
      <c r="AL2428" s="31"/>
      <c r="AM2428" s="26"/>
      <c r="AN2428" s="32"/>
      <c r="AO2428" s="32"/>
      <c r="AP2428" s="24"/>
      <c r="AQ2428" s="24"/>
      <c r="AR2428" s="33"/>
      <c r="AS2428" s="34"/>
      <c r="AT2428" s="33"/>
      <c r="AV2428" s="21">
        <f>IF(AND($AL2428&lt;&gt;"",COUNTIF($AL$11:$AL2428,$AL2428)=1),1,0)</f>
        <v>0</v>
      </c>
      <c r="AW2428" s="21">
        <f t="shared" si="161"/>
        <v>0</v>
      </c>
      <c r="AX2428" s="21" t="str">
        <f t="shared" si="160"/>
        <v/>
      </c>
      <c r="AY2428" s="21" t="str">
        <f>IF(AND($AM2428&lt;&gt;"",$AS2428&lt;&gt;"✓"),SUMPRODUCT(($AM$11:$AM2428&lt;&gt;"")*($AS$11:$AS2428&lt;&gt;"✓")),"")</f>
        <v/>
      </c>
      <c r="AZ2428" s="21" t="str">
        <f>IF(AND($AM2428&lt;&gt;"",$AS2428="✓"),SUMPRODUCT(($AM$11:$AM2428&lt;&gt;"")*($AS$11:$AS2428="✓")),"")</f>
        <v/>
      </c>
      <c r="BA2428" s="21" t="str">
        <f>IF($AL2428="","",$AL2428&amp;"|"&amp;COUNTIF($AL$11:$AL2428,$AL2428))</f>
        <v/>
      </c>
    </row>
    <row r="2429" spans="38:53" ht="15" customHeight="1" x14ac:dyDescent="0.25">
      <c r="AL2429" s="17"/>
      <c r="AM2429" s="12"/>
      <c r="AN2429" s="18"/>
      <c r="AO2429" s="18"/>
      <c r="AP2429" s="10"/>
      <c r="AQ2429" s="10"/>
      <c r="AR2429" s="19"/>
      <c r="AS2429" s="20"/>
      <c r="AT2429" s="19"/>
      <c r="AV2429" s="21">
        <f>IF(AND($AL2429&lt;&gt;"",COUNTIF($AL$11:$AL2429,$AL2429)=1),1,0)</f>
        <v>0</v>
      </c>
      <c r="AW2429" s="21">
        <f t="shared" si="161"/>
        <v>0</v>
      </c>
      <c r="AX2429" s="21" t="str">
        <f t="shared" si="160"/>
        <v/>
      </c>
      <c r="AY2429" s="21" t="str">
        <f>IF(AND($AM2429&lt;&gt;"",$AS2429&lt;&gt;"✓"),SUMPRODUCT(($AM$11:$AM2429&lt;&gt;"")*($AS$11:$AS2429&lt;&gt;"✓")),"")</f>
        <v/>
      </c>
      <c r="AZ2429" s="21" t="str">
        <f>IF(AND($AM2429&lt;&gt;"",$AS2429="✓"),SUMPRODUCT(($AM$11:$AM2429&lt;&gt;"")*($AS$11:$AS2429="✓")),"")</f>
        <v/>
      </c>
      <c r="BA2429" s="21" t="str">
        <f>IF($AL2429="","",$AL2429&amp;"|"&amp;COUNTIF($AL$11:$AL2429,$AL2429))</f>
        <v/>
      </c>
    </row>
    <row r="2430" spans="38:53" ht="15" customHeight="1" x14ac:dyDescent="0.25">
      <c r="AL2430" s="31"/>
      <c r="AM2430" s="26"/>
      <c r="AN2430" s="32"/>
      <c r="AO2430" s="32"/>
      <c r="AP2430" s="24"/>
      <c r="AQ2430" s="24"/>
      <c r="AR2430" s="33"/>
      <c r="AS2430" s="34"/>
      <c r="AT2430" s="33"/>
      <c r="AV2430" s="21">
        <f>IF(AND($AL2430&lt;&gt;"",COUNTIF($AL$11:$AL2430,$AL2430)=1),1,0)</f>
        <v>0</v>
      </c>
      <c r="AW2430" s="21">
        <f t="shared" si="161"/>
        <v>0</v>
      </c>
      <c r="AX2430" s="21" t="str">
        <f t="shared" si="160"/>
        <v/>
      </c>
      <c r="AY2430" s="21" t="str">
        <f>IF(AND($AM2430&lt;&gt;"",$AS2430&lt;&gt;"✓"),SUMPRODUCT(($AM$11:$AM2430&lt;&gt;"")*($AS$11:$AS2430&lt;&gt;"✓")),"")</f>
        <v/>
      </c>
      <c r="AZ2430" s="21" t="str">
        <f>IF(AND($AM2430&lt;&gt;"",$AS2430="✓"),SUMPRODUCT(($AM$11:$AM2430&lt;&gt;"")*($AS$11:$AS2430="✓")),"")</f>
        <v/>
      </c>
      <c r="BA2430" s="21" t="str">
        <f>IF($AL2430="","",$AL2430&amp;"|"&amp;COUNTIF($AL$11:$AL2430,$AL2430))</f>
        <v/>
      </c>
    </row>
    <row r="2431" spans="38:53" ht="15" customHeight="1" x14ac:dyDescent="0.25">
      <c r="AL2431" s="17"/>
      <c r="AM2431" s="12"/>
      <c r="AN2431" s="18"/>
      <c r="AO2431" s="18"/>
      <c r="AP2431" s="10"/>
      <c r="AQ2431" s="10"/>
      <c r="AR2431" s="19"/>
      <c r="AS2431" s="20"/>
      <c r="AT2431" s="19"/>
      <c r="AV2431" s="21">
        <f>IF(AND($AL2431&lt;&gt;"",COUNTIF($AL$11:$AL2431,$AL2431)=1),1,0)</f>
        <v>0</v>
      </c>
      <c r="AW2431" s="21">
        <f t="shared" si="161"/>
        <v>0</v>
      </c>
      <c r="AX2431" s="21" t="str">
        <f t="shared" si="160"/>
        <v/>
      </c>
      <c r="AY2431" s="21" t="str">
        <f>IF(AND($AM2431&lt;&gt;"",$AS2431&lt;&gt;"✓"),SUMPRODUCT(($AM$11:$AM2431&lt;&gt;"")*($AS$11:$AS2431&lt;&gt;"✓")),"")</f>
        <v/>
      </c>
      <c r="AZ2431" s="21" t="str">
        <f>IF(AND($AM2431&lt;&gt;"",$AS2431="✓"),SUMPRODUCT(($AM$11:$AM2431&lt;&gt;"")*($AS$11:$AS2431="✓")),"")</f>
        <v/>
      </c>
      <c r="BA2431" s="21" t="str">
        <f>IF($AL2431="","",$AL2431&amp;"|"&amp;COUNTIF($AL$11:$AL2431,$AL2431))</f>
        <v/>
      </c>
    </row>
    <row r="2432" spans="38:53" ht="15" customHeight="1" x14ac:dyDescent="0.25">
      <c r="AL2432" s="31"/>
      <c r="AM2432" s="26"/>
      <c r="AN2432" s="32"/>
      <c r="AO2432" s="32"/>
      <c r="AP2432" s="24"/>
      <c r="AQ2432" s="24"/>
      <c r="AR2432" s="33"/>
      <c r="AS2432" s="34"/>
      <c r="AT2432" s="33"/>
      <c r="AV2432" s="21">
        <f>IF(AND($AL2432&lt;&gt;"",COUNTIF($AL$11:$AL2432,$AL2432)=1),1,0)</f>
        <v>0</v>
      </c>
      <c r="AW2432" s="21">
        <f t="shared" si="161"/>
        <v>0</v>
      </c>
      <c r="AX2432" s="21" t="str">
        <f t="shared" si="160"/>
        <v/>
      </c>
      <c r="AY2432" s="21" t="str">
        <f>IF(AND($AM2432&lt;&gt;"",$AS2432&lt;&gt;"✓"),SUMPRODUCT(($AM$11:$AM2432&lt;&gt;"")*($AS$11:$AS2432&lt;&gt;"✓")),"")</f>
        <v/>
      </c>
      <c r="AZ2432" s="21" t="str">
        <f>IF(AND($AM2432&lt;&gt;"",$AS2432="✓"),SUMPRODUCT(($AM$11:$AM2432&lt;&gt;"")*($AS$11:$AS2432="✓")),"")</f>
        <v/>
      </c>
      <c r="BA2432" s="21" t="str">
        <f>IF($AL2432="","",$AL2432&amp;"|"&amp;COUNTIF($AL$11:$AL2432,$AL2432))</f>
        <v/>
      </c>
    </row>
    <row r="2433" spans="38:53" ht="15" customHeight="1" x14ac:dyDescent="0.25">
      <c r="AL2433" s="17"/>
      <c r="AM2433" s="12"/>
      <c r="AN2433" s="18"/>
      <c r="AO2433" s="18"/>
      <c r="AP2433" s="10"/>
      <c r="AQ2433" s="10"/>
      <c r="AR2433" s="19"/>
      <c r="AS2433" s="20"/>
      <c r="AT2433" s="19"/>
      <c r="AV2433" s="21">
        <f>IF(AND($AL2433&lt;&gt;"",COUNTIF($AL$11:$AL2433,$AL2433)=1),1,0)</f>
        <v>0</v>
      </c>
      <c r="AW2433" s="21">
        <f t="shared" si="161"/>
        <v>0</v>
      </c>
      <c r="AX2433" s="21" t="str">
        <f t="shared" si="160"/>
        <v/>
      </c>
      <c r="AY2433" s="21" t="str">
        <f>IF(AND($AM2433&lt;&gt;"",$AS2433&lt;&gt;"✓"),SUMPRODUCT(($AM$11:$AM2433&lt;&gt;"")*($AS$11:$AS2433&lt;&gt;"✓")),"")</f>
        <v/>
      </c>
      <c r="AZ2433" s="21" t="str">
        <f>IF(AND($AM2433&lt;&gt;"",$AS2433="✓"),SUMPRODUCT(($AM$11:$AM2433&lt;&gt;"")*($AS$11:$AS2433="✓")),"")</f>
        <v/>
      </c>
      <c r="BA2433" s="21" t="str">
        <f>IF($AL2433="","",$AL2433&amp;"|"&amp;COUNTIF($AL$11:$AL2433,$AL2433))</f>
        <v/>
      </c>
    </row>
    <row r="2434" spans="38:53" ht="15" customHeight="1" x14ac:dyDescent="0.25">
      <c r="AL2434" s="31"/>
      <c r="AM2434" s="26"/>
      <c r="AN2434" s="32"/>
      <c r="AO2434" s="32"/>
      <c r="AP2434" s="24"/>
      <c r="AQ2434" s="24"/>
      <c r="AR2434" s="33"/>
      <c r="AS2434" s="34"/>
      <c r="AT2434" s="33"/>
      <c r="AV2434" s="21">
        <f>IF(AND($AL2434&lt;&gt;"",COUNTIF($AL$11:$AL2434,$AL2434)=1),1,0)</f>
        <v>0</v>
      </c>
      <c r="AW2434" s="21">
        <f t="shared" si="161"/>
        <v>0</v>
      </c>
      <c r="AX2434" s="21" t="str">
        <f t="shared" si="160"/>
        <v/>
      </c>
      <c r="AY2434" s="21" t="str">
        <f>IF(AND($AM2434&lt;&gt;"",$AS2434&lt;&gt;"✓"),SUMPRODUCT(($AM$11:$AM2434&lt;&gt;"")*($AS$11:$AS2434&lt;&gt;"✓")),"")</f>
        <v/>
      </c>
      <c r="AZ2434" s="21" t="str">
        <f>IF(AND($AM2434&lt;&gt;"",$AS2434="✓"),SUMPRODUCT(($AM$11:$AM2434&lt;&gt;"")*($AS$11:$AS2434="✓")),"")</f>
        <v/>
      </c>
      <c r="BA2434" s="21" t="str">
        <f>IF($AL2434="","",$AL2434&amp;"|"&amp;COUNTIF($AL$11:$AL2434,$AL2434))</f>
        <v/>
      </c>
    </row>
    <row r="2435" spans="38:53" ht="15" customHeight="1" x14ac:dyDescent="0.25">
      <c r="AL2435" s="17"/>
      <c r="AM2435" s="12"/>
      <c r="AN2435" s="18"/>
      <c r="AO2435" s="18"/>
      <c r="AP2435" s="10"/>
      <c r="AQ2435" s="10"/>
      <c r="AR2435" s="19"/>
      <c r="AS2435" s="20"/>
      <c r="AT2435" s="19"/>
      <c r="AV2435" s="21">
        <f>IF(AND($AL2435&lt;&gt;"",COUNTIF($AL$11:$AL2435,$AL2435)=1),1,0)</f>
        <v>0</v>
      </c>
      <c r="AW2435" s="21">
        <f t="shared" si="161"/>
        <v>0</v>
      </c>
      <c r="AX2435" s="21" t="str">
        <f t="shared" si="160"/>
        <v/>
      </c>
      <c r="AY2435" s="21" t="str">
        <f>IF(AND($AM2435&lt;&gt;"",$AS2435&lt;&gt;"✓"),SUMPRODUCT(($AM$11:$AM2435&lt;&gt;"")*($AS$11:$AS2435&lt;&gt;"✓")),"")</f>
        <v/>
      </c>
      <c r="AZ2435" s="21" t="str">
        <f>IF(AND($AM2435&lt;&gt;"",$AS2435="✓"),SUMPRODUCT(($AM$11:$AM2435&lt;&gt;"")*($AS$11:$AS2435="✓")),"")</f>
        <v/>
      </c>
      <c r="BA2435" s="21" t="str">
        <f>IF($AL2435="","",$AL2435&amp;"|"&amp;COUNTIF($AL$11:$AL2435,$AL2435))</f>
        <v/>
      </c>
    </row>
    <row r="2436" spans="38:53" ht="15" customHeight="1" x14ac:dyDescent="0.25">
      <c r="AL2436" s="31"/>
      <c r="AM2436" s="26"/>
      <c r="AN2436" s="32"/>
      <c r="AO2436" s="32"/>
      <c r="AP2436" s="24"/>
      <c r="AQ2436" s="24"/>
      <c r="AR2436" s="33"/>
      <c r="AS2436" s="34"/>
      <c r="AT2436" s="33"/>
      <c r="AV2436" s="21">
        <f>IF(AND($AL2436&lt;&gt;"",COUNTIF($AL$11:$AL2436,$AL2436)=1),1,0)</f>
        <v>0</v>
      </c>
      <c r="AW2436" s="21">
        <f t="shared" si="161"/>
        <v>0</v>
      </c>
      <c r="AX2436" s="21" t="str">
        <f t="shared" si="160"/>
        <v/>
      </c>
      <c r="AY2436" s="21" t="str">
        <f>IF(AND($AM2436&lt;&gt;"",$AS2436&lt;&gt;"✓"),SUMPRODUCT(($AM$11:$AM2436&lt;&gt;"")*($AS$11:$AS2436&lt;&gt;"✓")),"")</f>
        <v/>
      </c>
      <c r="AZ2436" s="21" t="str">
        <f>IF(AND($AM2436&lt;&gt;"",$AS2436="✓"),SUMPRODUCT(($AM$11:$AM2436&lt;&gt;"")*($AS$11:$AS2436="✓")),"")</f>
        <v/>
      </c>
      <c r="BA2436" s="21" t="str">
        <f>IF($AL2436="","",$AL2436&amp;"|"&amp;COUNTIF($AL$11:$AL2436,$AL2436))</f>
        <v/>
      </c>
    </row>
    <row r="2437" spans="38:53" ht="15" customHeight="1" x14ac:dyDescent="0.25">
      <c r="AL2437" s="17"/>
      <c r="AM2437" s="12"/>
      <c r="AN2437" s="18"/>
      <c r="AO2437" s="18"/>
      <c r="AP2437" s="10"/>
      <c r="AQ2437" s="10"/>
      <c r="AR2437" s="19"/>
      <c r="AS2437" s="20"/>
      <c r="AT2437" s="19"/>
      <c r="AV2437" s="21">
        <f>IF(AND($AL2437&lt;&gt;"",COUNTIF($AL$11:$AL2437,$AL2437)=1),1,0)</f>
        <v>0</v>
      </c>
      <c r="AW2437" s="21">
        <f t="shared" si="161"/>
        <v>0</v>
      </c>
      <c r="AX2437" s="21" t="str">
        <f t="shared" si="160"/>
        <v/>
      </c>
      <c r="AY2437" s="21" t="str">
        <f>IF(AND($AM2437&lt;&gt;"",$AS2437&lt;&gt;"✓"),SUMPRODUCT(($AM$11:$AM2437&lt;&gt;"")*($AS$11:$AS2437&lt;&gt;"✓")),"")</f>
        <v/>
      </c>
      <c r="AZ2437" s="21" t="str">
        <f>IF(AND($AM2437&lt;&gt;"",$AS2437="✓"),SUMPRODUCT(($AM$11:$AM2437&lt;&gt;"")*($AS$11:$AS2437="✓")),"")</f>
        <v/>
      </c>
      <c r="BA2437" s="21" t="str">
        <f>IF($AL2437="","",$AL2437&amp;"|"&amp;COUNTIF($AL$11:$AL2437,$AL2437))</f>
        <v/>
      </c>
    </row>
    <row r="2438" spans="38:53" ht="15" customHeight="1" x14ac:dyDescent="0.25">
      <c r="AL2438" s="31"/>
      <c r="AM2438" s="26"/>
      <c r="AN2438" s="32"/>
      <c r="AO2438" s="32"/>
      <c r="AP2438" s="24"/>
      <c r="AQ2438" s="24"/>
      <c r="AR2438" s="33"/>
      <c r="AS2438" s="34"/>
      <c r="AT2438" s="33"/>
      <c r="AV2438" s="21">
        <f>IF(AND($AL2438&lt;&gt;"",COUNTIF($AL$11:$AL2438,$AL2438)=1),1,0)</f>
        <v>0</v>
      </c>
      <c r="AW2438" s="21">
        <f t="shared" si="161"/>
        <v>0</v>
      </c>
      <c r="AX2438" s="21" t="str">
        <f t="shared" si="160"/>
        <v/>
      </c>
      <c r="AY2438" s="21" t="str">
        <f>IF(AND($AM2438&lt;&gt;"",$AS2438&lt;&gt;"✓"),SUMPRODUCT(($AM$11:$AM2438&lt;&gt;"")*($AS$11:$AS2438&lt;&gt;"✓")),"")</f>
        <v/>
      </c>
      <c r="AZ2438" s="21" t="str">
        <f>IF(AND($AM2438&lt;&gt;"",$AS2438="✓"),SUMPRODUCT(($AM$11:$AM2438&lt;&gt;"")*($AS$11:$AS2438="✓")),"")</f>
        <v/>
      </c>
      <c r="BA2438" s="21" t="str">
        <f>IF($AL2438="","",$AL2438&amp;"|"&amp;COUNTIF($AL$11:$AL2438,$AL2438))</f>
        <v/>
      </c>
    </row>
    <row r="2439" spans="38:53" ht="15" customHeight="1" x14ac:dyDescent="0.25">
      <c r="AL2439" s="17"/>
      <c r="AM2439" s="12"/>
      <c r="AN2439" s="18"/>
      <c r="AO2439" s="18"/>
      <c r="AP2439" s="10"/>
      <c r="AQ2439" s="10"/>
      <c r="AR2439" s="19"/>
      <c r="AS2439" s="20"/>
      <c r="AT2439" s="19"/>
      <c r="AV2439" s="21">
        <f>IF(AND($AL2439&lt;&gt;"",COUNTIF($AL$11:$AL2439,$AL2439)=1),1,0)</f>
        <v>0</v>
      </c>
      <c r="AW2439" s="21">
        <f t="shared" si="161"/>
        <v>0</v>
      </c>
      <c r="AX2439" s="21" t="str">
        <f t="shared" si="160"/>
        <v/>
      </c>
      <c r="AY2439" s="21" t="str">
        <f>IF(AND($AM2439&lt;&gt;"",$AS2439&lt;&gt;"✓"),SUMPRODUCT(($AM$11:$AM2439&lt;&gt;"")*($AS$11:$AS2439&lt;&gt;"✓")),"")</f>
        <v/>
      </c>
      <c r="AZ2439" s="21" t="str">
        <f>IF(AND($AM2439&lt;&gt;"",$AS2439="✓"),SUMPRODUCT(($AM$11:$AM2439&lt;&gt;"")*($AS$11:$AS2439="✓")),"")</f>
        <v/>
      </c>
      <c r="BA2439" s="21" t="str">
        <f>IF($AL2439="","",$AL2439&amp;"|"&amp;COUNTIF($AL$11:$AL2439,$AL2439))</f>
        <v/>
      </c>
    </row>
    <row r="2440" spans="38:53" ht="15" customHeight="1" x14ac:dyDescent="0.25">
      <c r="AL2440" s="31"/>
      <c r="AM2440" s="26"/>
      <c r="AN2440" s="32"/>
      <c r="AO2440" s="32"/>
      <c r="AP2440" s="24"/>
      <c r="AQ2440" s="24"/>
      <c r="AR2440" s="33"/>
      <c r="AS2440" s="34"/>
      <c r="AT2440" s="33"/>
      <c r="AV2440" s="21">
        <f>IF(AND($AL2440&lt;&gt;"",COUNTIF($AL$11:$AL2440,$AL2440)=1),1,0)</f>
        <v>0</v>
      </c>
      <c r="AW2440" s="21">
        <f t="shared" si="161"/>
        <v>0</v>
      </c>
      <c r="AX2440" s="21" t="str">
        <f t="shared" si="160"/>
        <v/>
      </c>
      <c r="AY2440" s="21" t="str">
        <f>IF(AND($AM2440&lt;&gt;"",$AS2440&lt;&gt;"✓"),SUMPRODUCT(($AM$11:$AM2440&lt;&gt;"")*($AS$11:$AS2440&lt;&gt;"✓")),"")</f>
        <v/>
      </c>
      <c r="AZ2440" s="21" t="str">
        <f>IF(AND($AM2440&lt;&gt;"",$AS2440="✓"),SUMPRODUCT(($AM$11:$AM2440&lt;&gt;"")*($AS$11:$AS2440="✓")),"")</f>
        <v/>
      </c>
      <c r="BA2440" s="21" t="str">
        <f>IF($AL2440="","",$AL2440&amp;"|"&amp;COUNTIF($AL$11:$AL2440,$AL2440))</f>
        <v/>
      </c>
    </row>
    <row r="2441" spans="38:53" ht="15" customHeight="1" x14ac:dyDescent="0.25">
      <c r="AL2441" s="17"/>
      <c r="AM2441" s="12"/>
      <c r="AN2441" s="18"/>
      <c r="AO2441" s="18"/>
      <c r="AP2441" s="10"/>
      <c r="AQ2441" s="10"/>
      <c r="AR2441" s="19"/>
      <c r="AS2441" s="20"/>
      <c r="AT2441" s="19"/>
      <c r="AV2441" s="21">
        <f>IF(AND($AL2441&lt;&gt;"",COUNTIF($AL$11:$AL2441,$AL2441)=1),1,0)</f>
        <v>0</v>
      </c>
      <c r="AW2441" s="21">
        <f t="shared" si="161"/>
        <v>0</v>
      </c>
      <c r="AX2441" s="21" t="str">
        <f t="shared" si="160"/>
        <v/>
      </c>
      <c r="AY2441" s="21" t="str">
        <f>IF(AND($AM2441&lt;&gt;"",$AS2441&lt;&gt;"✓"),SUMPRODUCT(($AM$11:$AM2441&lt;&gt;"")*($AS$11:$AS2441&lt;&gt;"✓")),"")</f>
        <v/>
      </c>
      <c r="AZ2441" s="21" t="str">
        <f>IF(AND($AM2441&lt;&gt;"",$AS2441="✓"),SUMPRODUCT(($AM$11:$AM2441&lt;&gt;"")*($AS$11:$AS2441="✓")),"")</f>
        <v/>
      </c>
      <c r="BA2441" s="21" t="str">
        <f>IF($AL2441="","",$AL2441&amp;"|"&amp;COUNTIF($AL$11:$AL2441,$AL2441))</f>
        <v/>
      </c>
    </row>
    <row r="2442" spans="38:53" ht="15" customHeight="1" x14ac:dyDescent="0.25">
      <c r="AL2442" s="31"/>
      <c r="AM2442" s="26"/>
      <c r="AN2442" s="32"/>
      <c r="AO2442" s="32"/>
      <c r="AP2442" s="24"/>
      <c r="AQ2442" s="24"/>
      <c r="AR2442" s="33"/>
      <c r="AS2442" s="34"/>
      <c r="AT2442" s="33"/>
      <c r="AV2442" s="21">
        <f>IF(AND($AL2442&lt;&gt;"",COUNTIF($AL$11:$AL2442,$AL2442)=1),1,0)</f>
        <v>0</v>
      </c>
      <c r="AW2442" s="21">
        <f t="shared" si="161"/>
        <v>0</v>
      </c>
      <c r="AX2442" s="21" t="str">
        <f t="shared" si="160"/>
        <v/>
      </c>
      <c r="AY2442" s="21" t="str">
        <f>IF(AND($AM2442&lt;&gt;"",$AS2442&lt;&gt;"✓"),SUMPRODUCT(($AM$11:$AM2442&lt;&gt;"")*($AS$11:$AS2442&lt;&gt;"✓")),"")</f>
        <v/>
      </c>
      <c r="AZ2442" s="21" t="str">
        <f>IF(AND($AM2442&lt;&gt;"",$AS2442="✓"),SUMPRODUCT(($AM$11:$AM2442&lt;&gt;"")*($AS$11:$AS2442="✓")),"")</f>
        <v/>
      </c>
      <c r="BA2442" s="21" t="str">
        <f>IF($AL2442="","",$AL2442&amp;"|"&amp;COUNTIF($AL$11:$AL2442,$AL2442))</f>
        <v/>
      </c>
    </row>
    <row r="2443" spans="38:53" ht="15" customHeight="1" x14ac:dyDescent="0.25">
      <c r="AL2443" s="17"/>
      <c r="AM2443" s="12"/>
      <c r="AN2443" s="18"/>
      <c r="AO2443" s="18"/>
      <c r="AP2443" s="10"/>
      <c r="AQ2443" s="10"/>
      <c r="AR2443" s="19"/>
      <c r="AS2443" s="20"/>
      <c r="AT2443" s="19"/>
      <c r="AV2443" s="21">
        <f>IF(AND($AL2443&lt;&gt;"",COUNTIF($AL$11:$AL2443,$AL2443)=1),1,0)</f>
        <v>0</v>
      </c>
      <c r="AW2443" s="21">
        <f t="shared" si="161"/>
        <v>0</v>
      </c>
      <c r="AX2443" s="21" t="str">
        <f t="shared" ref="AX2443:AX2506" si="162">IF(AV2443=1,AW2443,"")</f>
        <v/>
      </c>
      <c r="AY2443" s="21" t="str">
        <f>IF(AND($AM2443&lt;&gt;"",$AS2443&lt;&gt;"✓"),SUMPRODUCT(($AM$11:$AM2443&lt;&gt;"")*($AS$11:$AS2443&lt;&gt;"✓")),"")</f>
        <v/>
      </c>
      <c r="AZ2443" s="21" t="str">
        <f>IF(AND($AM2443&lt;&gt;"",$AS2443="✓"),SUMPRODUCT(($AM$11:$AM2443&lt;&gt;"")*($AS$11:$AS2443="✓")),"")</f>
        <v/>
      </c>
      <c r="BA2443" s="21" t="str">
        <f>IF($AL2443="","",$AL2443&amp;"|"&amp;COUNTIF($AL$11:$AL2443,$AL2443))</f>
        <v/>
      </c>
    </row>
    <row r="2444" spans="38:53" ht="15" customHeight="1" x14ac:dyDescent="0.25">
      <c r="AL2444" s="31"/>
      <c r="AM2444" s="26"/>
      <c r="AN2444" s="32"/>
      <c r="AO2444" s="32"/>
      <c r="AP2444" s="24"/>
      <c r="AQ2444" s="24"/>
      <c r="AR2444" s="33"/>
      <c r="AS2444" s="34"/>
      <c r="AT2444" s="33"/>
      <c r="AV2444" s="21">
        <f>IF(AND($AL2444&lt;&gt;"",COUNTIF($AL$11:$AL2444,$AL2444)=1),1,0)</f>
        <v>0</v>
      </c>
      <c r="AW2444" s="21">
        <f t="shared" ref="AW2444:AW2507" si="163">AW2443+AV2444</f>
        <v>0</v>
      </c>
      <c r="AX2444" s="21" t="str">
        <f t="shared" si="162"/>
        <v/>
      </c>
      <c r="AY2444" s="21" t="str">
        <f>IF(AND($AM2444&lt;&gt;"",$AS2444&lt;&gt;"✓"),SUMPRODUCT(($AM$11:$AM2444&lt;&gt;"")*($AS$11:$AS2444&lt;&gt;"✓")),"")</f>
        <v/>
      </c>
      <c r="AZ2444" s="21" t="str">
        <f>IF(AND($AM2444&lt;&gt;"",$AS2444="✓"),SUMPRODUCT(($AM$11:$AM2444&lt;&gt;"")*($AS$11:$AS2444="✓")),"")</f>
        <v/>
      </c>
      <c r="BA2444" s="21" t="str">
        <f>IF($AL2444="","",$AL2444&amp;"|"&amp;COUNTIF($AL$11:$AL2444,$AL2444))</f>
        <v/>
      </c>
    </row>
    <row r="2445" spans="38:53" ht="15" customHeight="1" x14ac:dyDescent="0.25">
      <c r="AL2445" s="17"/>
      <c r="AM2445" s="12"/>
      <c r="AN2445" s="18"/>
      <c r="AO2445" s="18"/>
      <c r="AP2445" s="10"/>
      <c r="AQ2445" s="10"/>
      <c r="AR2445" s="19"/>
      <c r="AS2445" s="20"/>
      <c r="AT2445" s="19"/>
      <c r="AV2445" s="21">
        <f>IF(AND($AL2445&lt;&gt;"",COUNTIF($AL$11:$AL2445,$AL2445)=1),1,0)</f>
        <v>0</v>
      </c>
      <c r="AW2445" s="21">
        <f t="shared" si="163"/>
        <v>0</v>
      </c>
      <c r="AX2445" s="21" t="str">
        <f t="shared" si="162"/>
        <v/>
      </c>
      <c r="AY2445" s="21" t="str">
        <f>IF(AND($AM2445&lt;&gt;"",$AS2445&lt;&gt;"✓"),SUMPRODUCT(($AM$11:$AM2445&lt;&gt;"")*($AS$11:$AS2445&lt;&gt;"✓")),"")</f>
        <v/>
      </c>
      <c r="AZ2445" s="21" t="str">
        <f>IF(AND($AM2445&lt;&gt;"",$AS2445="✓"),SUMPRODUCT(($AM$11:$AM2445&lt;&gt;"")*($AS$11:$AS2445="✓")),"")</f>
        <v/>
      </c>
      <c r="BA2445" s="21" t="str">
        <f>IF($AL2445="","",$AL2445&amp;"|"&amp;COUNTIF($AL$11:$AL2445,$AL2445))</f>
        <v/>
      </c>
    </row>
    <row r="2446" spans="38:53" ht="15" customHeight="1" x14ac:dyDescent="0.25">
      <c r="AL2446" s="31"/>
      <c r="AM2446" s="26"/>
      <c r="AN2446" s="32"/>
      <c r="AO2446" s="32"/>
      <c r="AP2446" s="24"/>
      <c r="AQ2446" s="24"/>
      <c r="AR2446" s="33"/>
      <c r="AS2446" s="34"/>
      <c r="AT2446" s="33"/>
      <c r="AV2446" s="21">
        <f>IF(AND($AL2446&lt;&gt;"",COUNTIF($AL$11:$AL2446,$AL2446)=1),1,0)</f>
        <v>0</v>
      </c>
      <c r="AW2446" s="21">
        <f t="shared" si="163"/>
        <v>0</v>
      </c>
      <c r="AX2446" s="21" t="str">
        <f t="shared" si="162"/>
        <v/>
      </c>
      <c r="AY2446" s="21" t="str">
        <f>IF(AND($AM2446&lt;&gt;"",$AS2446&lt;&gt;"✓"),SUMPRODUCT(($AM$11:$AM2446&lt;&gt;"")*($AS$11:$AS2446&lt;&gt;"✓")),"")</f>
        <v/>
      </c>
      <c r="AZ2446" s="21" t="str">
        <f>IF(AND($AM2446&lt;&gt;"",$AS2446="✓"),SUMPRODUCT(($AM$11:$AM2446&lt;&gt;"")*($AS$11:$AS2446="✓")),"")</f>
        <v/>
      </c>
      <c r="BA2446" s="21" t="str">
        <f>IF($AL2446="","",$AL2446&amp;"|"&amp;COUNTIF($AL$11:$AL2446,$AL2446))</f>
        <v/>
      </c>
    </row>
    <row r="2447" spans="38:53" ht="15" customHeight="1" x14ac:dyDescent="0.25">
      <c r="AL2447" s="17"/>
      <c r="AM2447" s="12"/>
      <c r="AN2447" s="18"/>
      <c r="AO2447" s="18"/>
      <c r="AP2447" s="10"/>
      <c r="AQ2447" s="10"/>
      <c r="AR2447" s="19"/>
      <c r="AS2447" s="20"/>
      <c r="AT2447" s="19"/>
      <c r="AV2447" s="21">
        <f>IF(AND($AL2447&lt;&gt;"",COUNTIF($AL$11:$AL2447,$AL2447)=1),1,0)</f>
        <v>0</v>
      </c>
      <c r="AW2447" s="21">
        <f t="shared" si="163"/>
        <v>0</v>
      </c>
      <c r="AX2447" s="21" t="str">
        <f t="shared" si="162"/>
        <v/>
      </c>
      <c r="AY2447" s="21" t="str">
        <f>IF(AND($AM2447&lt;&gt;"",$AS2447&lt;&gt;"✓"),SUMPRODUCT(($AM$11:$AM2447&lt;&gt;"")*($AS$11:$AS2447&lt;&gt;"✓")),"")</f>
        <v/>
      </c>
      <c r="AZ2447" s="21" t="str">
        <f>IF(AND($AM2447&lt;&gt;"",$AS2447="✓"),SUMPRODUCT(($AM$11:$AM2447&lt;&gt;"")*($AS$11:$AS2447="✓")),"")</f>
        <v/>
      </c>
      <c r="BA2447" s="21" t="str">
        <f>IF($AL2447="","",$AL2447&amp;"|"&amp;COUNTIF($AL$11:$AL2447,$AL2447))</f>
        <v/>
      </c>
    </row>
    <row r="2448" spans="38:53" ht="15" customHeight="1" x14ac:dyDescent="0.25">
      <c r="AL2448" s="31"/>
      <c r="AM2448" s="26"/>
      <c r="AN2448" s="32"/>
      <c r="AO2448" s="32"/>
      <c r="AP2448" s="24"/>
      <c r="AQ2448" s="24"/>
      <c r="AR2448" s="33"/>
      <c r="AS2448" s="34"/>
      <c r="AT2448" s="33"/>
      <c r="AV2448" s="21">
        <f>IF(AND($AL2448&lt;&gt;"",COUNTIF($AL$11:$AL2448,$AL2448)=1),1,0)</f>
        <v>0</v>
      </c>
      <c r="AW2448" s="21">
        <f t="shared" si="163"/>
        <v>0</v>
      </c>
      <c r="AX2448" s="21" t="str">
        <f t="shared" si="162"/>
        <v/>
      </c>
      <c r="AY2448" s="21" t="str">
        <f>IF(AND($AM2448&lt;&gt;"",$AS2448&lt;&gt;"✓"),SUMPRODUCT(($AM$11:$AM2448&lt;&gt;"")*($AS$11:$AS2448&lt;&gt;"✓")),"")</f>
        <v/>
      </c>
      <c r="AZ2448" s="21" t="str">
        <f>IF(AND($AM2448&lt;&gt;"",$AS2448="✓"),SUMPRODUCT(($AM$11:$AM2448&lt;&gt;"")*($AS$11:$AS2448="✓")),"")</f>
        <v/>
      </c>
      <c r="BA2448" s="21" t="str">
        <f>IF($AL2448="","",$AL2448&amp;"|"&amp;COUNTIF($AL$11:$AL2448,$AL2448))</f>
        <v/>
      </c>
    </row>
    <row r="2449" spans="38:53" ht="15" customHeight="1" x14ac:dyDescent="0.25">
      <c r="AL2449" s="17"/>
      <c r="AM2449" s="12"/>
      <c r="AN2449" s="18"/>
      <c r="AO2449" s="18"/>
      <c r="AP2449" s="10"/>
      <c r="AQ2449" s="10"/>
      <c r="AR2449" s="19"/>
      <c r="AS2449" s="20"/>
      <c r="AT2449" s="19"/>
      <c r="AV2449" s="21">
        <f>IF(AND($AL2449&lt;&gt;"",COUNTIF($AL$11:$AL2449,$AL2449)=1),1,0)</f>
        <v>0</v>
      </c>
      <c r="AW2449" s="21">
        <f t="shared" si="163"/>
        <v>0</v>
      </c>
      <c r="AX2449" s="21" t="str">
        <f t="shared" si="162"/>
        <v/>
      </c>
      <c r="AY2449" s="21" t="str">
        <f>IF(AND($AM2449&lt;&gt;"",$AS2449&lt;&gt;"✓"),SUMPRODUCT(($AM$11:$AM2449&lt;&gt;"")*($AS$11:$AS2449&lt;&gt;"✓")),"")</f>
        <v/>
      </c>
      <c r="AZ2449" s="21" t="str">
        <f>IF(AND($AM2449&lt;&gt;"",$AS2449="✓"),SUMPRODUCT(($AM$11:$AM2449&lt;&gt;"")*($AS$11:$AS2449="✓")),"")</f>
        <v/>
      </c>
      <c r="BA2449" s="21" t="str">
        <f>IF($AL2449="","",$AL2449&amp;"|"&amp;COUNTIF($AL$11:$AL2449,$AL2449))</f>
        <v/>
      </c>
    </row>
    <row r="2450" spans="38:53" ht="15" customHeight="1" x14ac:dyDescent="0.25">
      <c r="AL2450" s="31"/>
      <c r="AM2450" s="26"/>
      <c r="AN2450" s="32"/>
      <c r="AO2450" s="32"/>
      <c r="AP2450" s="24"/>
      <c r="AQ2450" s="24"/>
      <c r="AR2450" s="33"/>
      <c r="AS2450" s="34"/>
      <c r="AT2450" s="33"/>
      <c r="AV2450" s="21">
        <f>IF(AND($AL2450&lt;&gt;"",COUNTIF($AL$11:$AL2450,$AL2450)=1),1,0)</f>
        <v>0</v>
      </c>
      <c r="AW2450" s="21">
        <f t="shared" si="163"/>
        <v>0</v>
      </c>
      <c r="AX2450" s="21" t="str">
        <f t="shared" si="162"/>
        <v/>
      </c>
      <c r="AY2450" s="21" t="str">
        <f>IF(AND($AM2450&lt;&gt;"",$AS2450&lt;&gt;"✓"),SUMPRODUCT(($AM$11:$AM2450&lt;&gt;"")*($AS$11:$AS2450&lt;&gt;"✓")),"")</f>
        <v/>
      </c>
      <c r="AZ2450" s="21" t="str">
        <f>IF(AND($AM2450&lt;&gt;"",$AS2450="✓"),SUMPRODUCT(($AM$11:$AM2450&lt;&gt;"")*($AS$11:$AS2450="✓")),"")</f>
        <v/>
      </c>
      <c r="BA2450" s="21" t="str">
        <f>IF($AL2450="","",$AL2450&amp;"|"&amp;COUNTIF($AL$11:$AL2450,$AL2450))</f>
        <v/>
      </c>
    </row>
    <row r="2451" spans="38:53" ht="15" customHeight="1" x14ac:dyDescent="0.25">
      <c r="AL2451" s="17"/>
      <c r="AM2451" s="12"/>
      <c r="AN2451" s="18"/>
      <c r="AO2451" s="18"/>
      <c r="AP2451" s="10"/>
      <c r="AQ2451" s="10"/>
      <c r="AR2451" s="19"/>
      <c r="AS2451" s="20"/>
      <c r="AT2451" s="19"/>
      <c r="AV2451" s="21">
        <f>IF(AND($AL2451&lt;&gt;"",COUNTIF($AL$11:$AL2451,$AL2451)=1),1,0)</f>
        <v>0</v>
      </c>
      <c r="AW2451" s="21">
        <f t="shared" si="163"/>
        <v>0</v>
      </c>
      <c r="AX2451" s="21" t="str">
        <f t="shared" si="162"/>
        <v/>
      </c>
      <c r="AY2451" s="21" t="str">
        <f>IF(AND($AM2451&lt;&gt;"",$AS2451&lt;&gt;"✓"),SUMPRODUCT(($AM$11:$AM2451&lt;&gt;"")*($AS$11:$AS2451&lt;&gt;"✓")),"")</f>
        <v/>
      </c>
      <c r="AZ2451" s="21" t="str">
        <f>IF(AND($AM2451&lt;&gt;"",$AS2451="✓"),SUMPRODUCT(($AM$11:$AM2451&lt;&gt;"")*($AS$11:$AS2451="✓")),"")</f>
        <v/>
      </c>
      <c r="BA2451" s="21" t="str">
        <f>IF($AL2451="","",$AL2451&amp;"|"&amp;COUNTIF($AL$11:$AL2451,$AL2451))</f>
        <v/>
      </c>
    </row>
    <row r="2452" spans="38:53" ht="15" customHeight="1" x14ac:dyDescent="0.25">
      <c r="AL2452" s="31"/>
      <c r="AM2452" s="26"/>
      <c r="AN2452" s="32"/>
      <c r="AO2452" s="32"/>
      <c r="AP2452" s="24"/>
      <c r="AQ2452" s="24"/>
      <c r="AR2452" s="33"/>
      <c r="AS2452" s="34"/>
      <c r="AT2452" s="33"/>
      <c r="AV2452" s="21">
        <f>IF(AND($AL2452&lt;&gt;"",COUNTIF($AL$11:$AL2452,$AL2452)=1),1,0)</f>
        <v>0</v>
      </c>
      <c r="AW2452" s="21">
        <f t="shared" si="163"/>
        <v>0</v>
      </c>
      <c r="AX2452" s="21" t="str">
        <f t="shared" si="162"/>
        <v/>
      </c>
      <c r="AY2452" s="21" t="str">
        <f>IF(AND($AM2452&lt;&gt;"",$AS2452&lt;&gt;"✓"),SUMPRODUCT(($AM$11:$AM2452&lt;&gt;"")*($AS$11:$AS2452&lt;&gt;"✓")),"")</f>
        <v/>
      </c>
      <c r="AZ2452" s="21" t="str">
        <f>IF(AND($AM2452&lt;&gt;"",$AS2452="✓"),SUMPRODUCT(($AM$11:$AM2452&lt;&gt;"")*($AS$11:$AS2452="✓")),"")</f>
        <v/>
      </c>
      <c r="BA2452" s="21" t="str">
        <f>IF($AL2452="","",$AL2452&amp;"|"&amp;COUNTIF($AL$11:$AL2452,$AL2452))</f>
        <v/>
      </c>
    </row>
    <row r="2453" spans="38:53" ht="15" customHeight="1" x14ac:dyDescent="0.25">
      <c r="AL2453" s="17"/>
      <c r="AM2453" s="12"/>
      <c r="AN2453" s="18"/>
      <c r="AO2453" s="18"/>
      <c r="AP2453" s="10"/>
      <c r="AQ2453" s="10"/>
      <c r="AR2453" s="19"/>
      <c r="AS2453" s="20"/>
      <c r="AT2453" s="19"/>
      <c r="AV2453" s="21">
        <f>IF(AND($AL2453&lt;&gt;"",COUNTIF($AL$11:$AL2453,$AL2453)=1),1,0)</f>
        <v>0</v>
      </c>
      <c r="AW2453" s="21">
        <f t="shared" si="163"/>
        <v>0</v>
      </c>
      <c r="AX2453" s="21" t="str">
        <f t="shared" si="162"/>
        <v/>
      </c>
      <c r="AY2453" s="21" t="str">
        <f>IF(AND($AM2453&lt;&gt;"",$AS2453&lt;&gt;"✓"),SUMPRODUCT(($AM$11:$AM2453&lt;&gt;"")*($AS$11:$AS2453&lt;&gt;"✓")),"")</f>
        <v/>
      </c>
      <c r="AZ2453" s="21" t="str">
        <f>IF(AND($AM2453&lt;&gt;"",$AS2453="✓"),SUMPRODUCT(($AM$11:$AM2453&lt;&gt;"")*($AS$11:$AS2453="✓")),"")</f>
        <v/>
      </c>
      <c r="BA2453" s="21" t="str">
        <f>IF($AL2453="","",$AL2453&amp;"|"&amp;COUNTIF($AL$11:$AL2453,$AL2453))</f>
        <v/>
      </c>
    </row>
    <row r="2454" spans="38:53" ht="15" customHeight="1" x14ac:dyDescent="0.25">
      <c r="AL2454" s="31"/>
      <c r="AM2454" s="26"/>
      <c r="AN2454" s="32"/>
      <c r="AO2454" s="32"/>
      <c r="AP2454" s="24"/>
      <c r="AQ2454" s="24"/>
      <c r="AR2454" s="33"/>
      <c r="AS2454" s="34"/>
      <c r="AT2454" s="33"/>
      <c r="AV2454" s="21">
        <f>IF(AND($AL2454&lt;&gt;"",COUNTIF($AL$11:$AL2454,$AL2454)=1),1,0)</f>
        <v>0</v>
      </c>
      <c r="AW2454" s="21">
        <f t="shared" si="163"/>
        <v>0</v>
      </c>
      <c r="AX2454" s="21" t="str">
        <f t="shared" si="162"/>
        <v/>
      </c>
      <c r="AY2454" s="21" t="str">
        <f>IF(AND($AM2454&lt;&gt;"",$AS2454&lt;&gt;"✓"),SUMPRODUCT(($AM$11:$AM2454&lt;&gt;"")*($AS$11:$AS2454&lt;&gt;"✓")),"")</f>
        <v/>
      </c>
      <c r="AZ2454" s="21" t="str">
        <f>IF(AND($AM2454&lt;&gt;"",$AS2454="✓"),SUMPRODUCT(($AM$11:$AM2454&lt;&gt;"")*($AS$11:$AS2454="✓")),"")</f>
        <v/>
      </c>
      <c r="BA2454" s="21" t="str">
        <f>IF($AL2454="","",$AL2454&amp;"|"&amp;COUNTIF($AL$11:$AL2454,$AL2454))</f>
        <v/>
      </c>
    </row>
    <row r="2455" spans="38:53" ht="15" customHeight="1" x14ac:dyDescent="0.25">
      <c r="AL2455" s="17"/>
      <c r="AM2455" s="12"/>
      <c r="AN2455" s="18"/>
      <c r="AO2455" s="18"/>
      <c r="AP2455" s="10"/>
      <c r="AQ2455" s="10"/>
      <c r="AR2455" s="19"/>
      <c r="AS2455" s="20"/>
      <c r="AT2455" s="19"/>
      <c r="AV2455" s="21">
        <f>IF(AND($AL2455&lt;&gt;"",COUNTIF($AL$11:$AL2455,$AL2455)=1),1,0)</f>
        <v>0</v>
      </c>
      <c r="AW2455" s="21">
        <f t="shared" si="163"/>
        <v>0</v>
      </c>
      <c r="AX2455" s="21" t="str">
        <f t="shared" si="162"/>
        <v/>
      </c>
      <c r="AY2455" s="21" t="str">
        <f>IF(AND($AM2455&lt;&gt;"",$AS2455&lt;&gt;"✓"),SUMPRODUCT(($AM$11:$AM2455&lt;&gt;"")*($AS$11:$AS2455&lt;&gt;"✓")),"")</f>
        <v/>
      </c>
      <c r="AZ2455" s="21" t="str">
        <f>IF(AND($AM2455&lt;&gt;"",$AS2455="✓"),SUMPRODUCT(($AM$11:$AM2455&lt;&gt;"")*($AS$11:$AS2455="✓")),"")</f>
        <v/>
      </c>
      <c r="BA2455" s="21" t="str">
        <f>IF($AL2455="","",$AL2455&amp;"|"&amp;COUNTIF($AL$11:$AL2455,$AL2455))</f>
        <v/>
      </c>
    </row>
    <row r="2456" spans="38:53" ht="15" customHeight="1" x14ac:dyDescent="0.25">
      <c r="AL2456" s="31"/>
      <c r="AM2456" s="26"/>
      <c r="AN2456" s="32"/>
      <c r="AO2456" s="32"/>
      <c r="AP2456" s="24"/>
      <c r="AQ2456" s="24"/>
      <c r="AR2456" s="33"/>
      <c r="AS2456" s="34"/>
      <c r="AT2456" s="33"/>
      <c r="AV2456" s="21">
        <f>IF(AND($AL2456&lt;&gt;"",COUNTIF($AL$11:$AL2456,$AL2456)=1),1,0)</f>
        <v>0</v>
      </c>
      <c r="AW2456" s="21">
        <f t="shared" si="163"/>
        <v>0</v>
      </c>
      <c r="AX2456" s="21" t="str">
        <f t="shared" si="162"/>
        <v/>
      </c>
      <c r="AY2456" s="21" t="str">
        <f>IF(AND($AM2456&lt;&gt;"",$AS2456&lt;&gt;"✓"),SUMPRODUCT(($AM$11:$AM2456&lt;&gt;"")*($AS$11:$AS2456&lt;&gt;"✓")),"")</f>
        <v/>
      </c>
      <c r="AZ2456" s="21" t="str">
        <f>IF(AND($AM2456&lt;&gt;"",$AS2456="✓"),SUMPRODUCT(($AM$11:$AM2456&lt;&gt;"")*($AS$11:$AS2456="✓")),"")</f>
        <v/>
      </c>
      <c r="BA2456" s="21" t="str">
        <f>IF($AL2456="","",$AL2456&amp;"|"&amp;COUNTIF($AL$11:$AL2456,$AL2456))</f>
        <v/>
      </c>
    </row>
    <row r="2457" spans="38:53" ht="15" customHeight="1" x14ac:dyDescent="0.25">
      <c r="AL2457" s="17"/>
      <c r="AM2457" s="12"/>
      <c r="AN2457" s="18"/>
      <c r="AO2457" s="18"/>
      <c r="AP2457" s="10"/>
      <c r="AQ2457" s="10"/>
      <c r="AR2457" s="19"/>
      <c r="AS2457" s="20"/>
      <c r="AT2457" s="19"/>
      <c r="AV2457" s="21">
        <f>IF(AND($AL2457&lt;&gt;"",COUNTIF($AL$11:$AL2457,$AL2457)=1),1,0)</f>
        <v>0</v>
      </c>
      <c r="AW2457" s="21">
        <f t="shared" si="163"/>
        <v>0</v>
      </c>
      <c r="AX2457" s="21" t="str">
        <f t="shared" si="162"/>
        <v/>
      </c>
      <c r="AY2457" s="21" t="str">
        <f>IF(AND($AM2457&lt;&gt;"",$AS2457&lt;&gt;"✓"),SUMPRODUCT(($AM$11:$AM2457&lt;&gt;"")*($AS$11:$AS2457&lt;&gt;"✓")),"")</f>
        <v/>
      </c>
      <c r="AZ2457" s="21" t="str">
        <f>IF(AND($AM2457&lt;&gt;"",$AS2457="✓"),SUMPRODUCT(($AM$11:$AM2457&lt;&gt;"")*($AS$11:$AS2457="✓")),"")</f>
        <v/>
      </c>
      <c r="BA2457" s="21" t="str">
        <f>IF($AL2457="","",$AL2457&amp;"|"&amp;COUNTIF($AL$11:$AL2457,$AL2457))</f>
        <v/>
      </c>
    </row>
    <row r="2458" spans="38:53" ht="15" customHeight="1" x14ac:dyDescent="0.25">
      <c r="AL2458" s="31"/>
      <c r="AM2458" s="26"/>
      <c r="AN2458" s="32"/>
      <c r="AO2458" s="32"/>
      <c r="AP2458" s="24"/>
      <c r="AQ2458" s="24"/>
      <c r="AR2458" s="33"/>
      <c r="AS2458" s="34"/>
      <c r="AT2458" s="33"/>
      <c r="AV2458" s="21">
        <f>IF(AND($AL2458&lt;&gt;"",COUNTIF($AL$11:$AL2458,$AL2458)=1),1,0)</f>
        <v>0</v>
      </c>
      <c r="AW2458" s="21">
        <f t="shared" si="163"/>
        <v>0</v>
      </c>
      <c r="AX2458" s="21" t="str">
        <f t="shared" si="162"/>
        <v/>
      </c>
      <c r="AY2458" s="21" t="str">
        <f>IF(AND($AM2458&lt;&gt;"",$AS2458&lt;&gt;"✓"),SUMPRODUCT(($AM$11:$AM2458&lt;&gt;"")*($AS$11:$AS2458&lt;&gt;"✓")),"")</f>
        <v/>
      </c>
      <c r="AZ2458" s="21" t="str">
        <f>IF(AND($AM2458&lt;&gt;"",$AS2458="✓"),SUMPRODUCT(($AM$11:$AM2458&lt;&gt;"")*($AS$11:$AS2458="✓")),"")</f>
        <v/>
      </c>
      <c r="BA2458" s="21" t="str">
        <f>IF($AL2458="","",$AL2458&amp;"|"&amp;COUNTIF($AL$11:$AL2458,$AL2458))</f>
        <v/>
      </c>
    </row>
    <row r="2459" spans="38:53" ht="15" customHeight="1" x14ac:dyDescent="0.25">
      <c r="AL2459" s="17"/>
      <c r="AM2459" s="12"/>
      <c r="AN2459" s="18"/>
      <c r="AO2459" s="18"/>
      <c r="AP2459" s="10"/>
      <c r="AQ2459" s="10"/>
      <c r="AR2459" s="19"/>
      <c r="AS2459" s="20"/>
      <c r="AT2459" s="19"/>
      <c r="AV2459" s="21">
        <f>IF(AND($AL2459&lt;&gt;"",COUNTIF($AL$11:$AL2459,$AL2459)=1),1,0)</f>
        <v>0</v>
      </c>
      <c r="AW2459" s="21">
        <f t="shared" si="163"/>
        <v>0</v>
      </c>
      <c r="AX2459" s="21" t="str">
        <f t="shared" si="162"/>
        <v/>
      </c>
      <c r="AY2459" s="21" t="str">
        <f>IF(AND($AM2459&lt;&gt;"",$AS2459&lt;&gt;"✓"),SUMPRODUCT(($AM$11:$AM2459&lt;&gt;"")*($AS$11:$AS2459&lt;&gt;"✓")),"")</f>
        <v/>
      </c>
      <c r="AZ2459" s="21" t="str">
        <f>IF(AND($AM2459&lt;&gt;"",$AS2459="✓"),SUMPRODUCT(($AM$11:$AM2459&lt;&gt;"")*($AS$11:$AS2459="✓")),"")</f>
        <v/>
      </c>
      <c r="BA2459" s="21" t="str">
        <f>IF($AL2459="","",$AL2459&amp;"|"&amp;COUNTIF($AL$11:$AL2459,$AL2459))</f>
        <v/>
      </c>
    </row>
    <row r="2460" spans="38:53" ht="15" customHeight="1" x14ac:dyDescent="0.25">
      <c r="AL2460" s="31"/>
      <c r="AM2460" s="26"/>
      <c r="AN2460" s="32"/>
      <c r="AO2460" s="32"/>
      <c r="AP2460" s="24"/>
      <c r="AQ2460" s="24"/>
      <c r="AR2460" s="33"/>
      <c r="AS2460" s="34"/>
      <c r="AT2460" s="33"/>
      <c r="AV2460" s="21">
        <f>IF(AND($AL2460&lt;&gt;"",COUNTIF($AL$11:$AL2460,$AL2460)=1),1,0)</f>
        <v>0</v>
      </c>
      <c r="AW2460" s="21">
        <f t="shared" si="163"/>
        <v>0</v>
      </c>
      <c r="AX2460" s="21" t="str">
        <f t="shared" si="162"/>
        <v/>
      </c>
      <c r="AY2460" s="21" t="str">
        <f>IF(AND($AM2460&lt;&gt;"",$AS2460&lt;&gt;"✓"),SUMPRODUCT(($AM$11:$AM2460&lt;&gt;"")*($AS$11:$AS2460&lt;&gt;"✓")),"")</f>
        <v/>
      </c>
      <c r="AZ2460" s="21" t="str">
        <f>IF(AND($AM2460&lt;&gt;"",$AS2460="✓"),SUMPRODUCT(($AM$11:$AM2460&lt;&gt;"")*($AS$11:$AS2460="✓")),"")</f>
        <v/>
      </c>
      <c r="BA2460" s="21" t="str">
        <f>IF($AL2460="","",$AL2460&amp;"|"&amp;COUNTIF($AL$11:$AL2460,$AL2460))</f>
        <v/>
      </c>
    </row>
    <row r="2461" spans="38:53" ht="15" customHeight="1" x14ac:dyDescent="0.25">
      <c r="AL2461" s="17"/>
      <c r="AM2461" s="12"/>
      <c r="AN2461" s="18"/>
      <c r="AO2461" s="18"/>
      <c r="AP2461" s="10"/>
      <c r="AQ2461" s="10"/>
      <c r="AR2461" s="19"/>
      <c r="AS2461" s="20"/>
      <c r="AT2461" s="19"/>
      <c r="AV2461" s="21">
        <f>IF(AND($AL2461&lt;&gt;"",COUNTIF($AL$11:$AL2461,$AL2461)=1),1,0)</f>
        <v>0</v>
      </c>
      <c r="AW2461" s="21">
        <f t="shared" si="163"/>
        <v>0</v>
      </c>
      <c r="AX2461" s="21" t="str">
        <f t="shared" si="162"/>
        <v/>
      </c>
      <c r="AY2461" s="21" t="str">
        <f>IF(AND($AM2461&lt;&gt;"",$AS2461&lt;&gt;"✓"),SUMPRODUCT(($AM$11:$AM2461&lt;&gt;"")*($AS$11:$AS2461&lt;&gt;"✓")),"")</f>
        <v/>
      </c>
      <c r="AZ2461" s="21" t="str">
        <f>IF(AND($AM2461&lt;&gt;"",$AS2461="✓"),SUMPRODUCT(($AM$11:$AM2461&lt;&gt;"")*($AS$11:$AS2461="✓")),"")</f>
        <v/>
      </c>
      <c r="BA2461" s="21" t="str">
        <f>IF($AL2461="","",$AL2461&amp;"|"&amp;COUNTIF($AL$11:$AL2461,$AL2461))</f>
        <v/>
      </c>
    </row>
    <row r="2462" spans="38:53" ht="15" customHeight="1" x14ac:dyDescent="0.25">
      <c r="AL2462" s="31"/>
      <c r="AM2462" s="26"/>
      <c r="AN2462" s="32"/>
      <c r="AO2462" s="32"/>
      <c r="AP2462" s="24"/>
      <c r="AQ2462" s="24"/>
      <c r="AR2462" s="33"/>
      <c r="AS2462" s="34"/>
      <c r="AT2462" s="33"/>
      <c r="AV2462" s="21">
        <f>IF(AND($AL2462&lt;&gt;"",COUNTIF($AL$11:$AL2462,$AL2462)=1),1,0)</f>
        <v>0</v>
      </c>
      <c r="AW2462" s="21">
        <f t="shared" si="163"/>
        <v>0</v>
      </c>
      <c r="AX2462" s="21" t="str">
        <f t="shared" si="162"/>
        <v/>
      </c>
      <c r="AY2462" s="21" t="str">
        <f>IF(AND($AM2462&lt;&gt;"",$AS2462&lt;&gt;"✓"),SUMPRODUCT(($AM$11:$AM2462&lt;&gt;"")*($AS$11:$AS2462&lt;&gt;"✓")),"")</f>
        <v/>
      </c>
      <c r="AZ2462" s="21" t="str">
        <f>IF(AND($AM2462&lt;&gt;"",$AS2462="✓"),SUMPRODUCT(($AM$11:$AM2462&lt;&gt;"")*($AS$11:$AS2462="✓")),"")</f>
        <v/>
      </c>
      <c r="BA2462" s="21" t="str">
        <f>IF($AL2462="","",$AL2462&amp;"|"&amp;COUNTIF($AL$11:$AL2462,$AL2462))</f>
        <v/>
      </c>
    </row>
    <row r="2463" spans="38:53" ht="15" customHeight="1" x14ac:dyDescent="0.25">
      <c r="AL2463" s="17"/>
      <c r="AM2463" s="12"/>
      <c r="AN2463" s="18"/>
      <c r="AO2463" s="18"/>
      <c r="AP2463" s="10"/>
      <c r="AQ2463" s="10"/>
      <c r="AR2463" s="19"/>
      <c r="AS2463" s="20"/>
      <c r="AT2463" s="19"/>
      <c r="AV2463" s="21">
        <f>IF(AND($AL2463&lt;&gt;"",COUNTIF($AL$11:$AL2463,$AL2463)=1),1,0)</f>
        <v>0</v>
      </c>
      <c r="AW2463" s="21">
        <f t="shared" si="163"/>
        <v>0</v>
      </c>
      <c r="AX2463" s="21" t="str">
        <f t="shared" si="162"/>
        <v/>
      </c>
      <c r="AY2463" s="21" t="str">
        <f>IF(AND($AM2463&lt;&gt;"",$AS2463&lt;&gt;"✓"),SUMPRODUCT(($AM$11:$AM2463&lt;&gt;"")*($AS$11:$AS2463&lt;&gt;"✓")),"")</f>
        <v/>
      </c>
      <c r="AZ2463" s="21" t="str">
        <f>IF(AND($AM2463&lt;&gt;"",$AS2463="✓"),SUMPRODUCT(($AM$11:$AM2463&lt;&gt;"")*($AS$11:$AS2463="✓")),"")</f>
        <v/>
      </c>
      <c r="BA2463" s="21" t="str">
        <f>IF($AL2463="","",$AL2463&amp;"|"&amp;COUNTIF($AL$11:$AL2463,$AL2463))</f>
        <v/>
      </c>
    </row>
    <row r="2464" spans="38:53" ht="15" customHeight="1" x14ac:dyDescent="0.25">
      <c r="AL2464" s="31"/>
      <c r="AM2464" s="26"/>
      <c r="AN2464" s="32"/>
      <c r="AO2464" s="32"/>
      <c r="AP2464" s="24"/>
      <c r="AQ2464" s="24"/>
      <c r="AR2464" s="33"/>
      <c r="AS2464" s="34"/>
      <c r="AT2464" s="33"/>
      <c r="AV2464" s="21">
        <f>IF(AND($AL2464&lt;&gt;"",COUNTIF($AL$11:$AL2464,$AL2464)=1),1,0)</f>
        <v>0</v>
      </c>
      <c r="AW2464" s="21">
        <f t="shared" si="163"/>
        <v>0</v>
      </c>
      <c r="AX2464" s="21" t="str">
        <f t="shared" si="162"/>
        <v/>
      </c>
      <c r="AY2464" s="21" t="str">
        <f>IF(AND($AM2464&lt;&gt;"",$AS2464&lt;&gt;"✓"),SUMPRODUCT(($AM$11:$AM2464&lt;&gt;"")*($AS$11:$AS2464&lt;&gt;"✓")),"")</f>
        <v/>
      </c>
      <c r="AZ2464" s="21" t="str">
        <f>IF(AND($AM2464&lt;&gt;"",$AS2464="✓"),SUMPRODUCT(($AM$11:$AM2464&lt;&gt;"")*($AS$11:$AS2464="✓")),"")</f>
        <v/>
      </c>
      <c r="BA2464" s="21" t="str">
        <f>IF($AL2464="","",$AL2464&amp;"|"&amp;COUNTIF($AL$11:$AL2464,$AL2464))</f>
        <v/>
      </c>
    </row>
    <row r="2465" spans="38:53" ht="15" customHeight="1" x14ac:dyDescent="0.25">
      <c r="AL2465" s="17"/>
      <c r="AM2465" s="12"/>
      <c r="AN2465" s="18"/>
      <c r="AO2465" s="18"/>
      <c r="AP2465" s="10"/>
      <c r="AQ2465" s="10"/>
      <c r="AR2465" s="19"/>
      <c r="AS2465" s="20"/>
      <c r="AT2465" s="19"/>
      <c r="AV2465" s="21">
        <f>IF(AND($AL2465&lt;&gt;"",COUNTIF($AL$11:$AL2465,$AL2465)=1),1,0)</f>
        <v>0</v>
      </c>
      <c r="AW2465" s="21">
        <f t="shared" si="163"/>
        <v>0</v>
      </c>
      <c r="AX2465" s="21" t="str">
        <f t="shared" si="162"/>
        <v/>
      </c>
      <c r="AY2465" s="21" t="str">
        <f>IF(AND($AM2465&lt;&gt;"",$AS2465&lt;&gt;"✓"),SUMPRODUCT(($AM$11:$AM2465&lt;&gt;"")*($AS$11:$AS2465&lt;&gt;"✓")),"")</f>
        <v/>
      </c>
      <c r="AZ2465" s="21" t="str">
        <f>IF(AND($AM2465&lt;&gt;"",$AS2465="✓"),SUMPRODUCT(($AM$11:$AM2465&lt;&gt;"")*($AS$11:$AS2465="✓")),"")</f>
        <v/>
      </c>
      <c r="BA2465" s="21" t="str">
        <f>IF($AL2465="","",$AL2465&amp;"|"&amp;COUNTIF($AL$11:$AL2465,$AL2465))</f>
        <v/>
      </c>
    </row>
    <row r="2466" spans="38:53" ht="15" customHeight="1" x14ac:dyDescent="0.25">
      <c r="AL2466" s="31"/>
      <c r="AM2466" s="26"/>
      <c r="AN2466" s="32"/>
      <c r="AO2466" s="32"/>
      <c r="AP2466" s="24"/>
      <c r="AQ2466" s="24"/>
      <c r="AR2466" s="33"/>
      <c r="AS2466" s="34"/>
      <c r="AT2466" s="33"/>
      <c r="AV2466" s="21">
        <f>IF(AND($AL2466&lt;&gt;"",COUNTIF($AL$11:$AL2466,$AL2466)=1),1,0)</f>
        <v>0</v>
      </c>
      <c r="AW2466" s="21">
        <f t="shared" si="163"/>
        <v>0</v>
      </c>
      <c r="AX2466" s="21" t="str">
        <f t="shared" si="162"/>
        <v/>
      </c>
      <c r="AY2466" s="21" t="str">
        <f>IF(AND($AM2466&lt;&gt;"",$AS2466&lt;&gt;"✓"),SUMPRODUCT(($AM$11:$AM2466&lt;&gt;"")*($AS$11:$AS2466&lt;&gt;"✓")),"")</f>
        <v/>
      </c>
      <c r="AZ2466" s="21" t="str">
        <f>IF(AND($AM2466&lt;&gt;"",$AS2466="✓"),SUMPRODUCT(($AM$11:$AM2466&lt;&gt;"")*($AS$11:$AS2466="✓")),"")</f>
        <v/>
      </c>
      <c r="BA2466" s="21" t="str">
        <f>IF($AL2466="","",$AL2466&amp;"|"&amp;COUNTIF($AL$11:$AL2466,$AL2466))</f>
        <v/>
      </c>
    </row>
    <row r="2467" spans="38:53" ht="15" customHeight="1" x14ac:dyDescent="0.25">
      <c r="AL2467" s="17"/>
      <c r="AM2467" s="12"/>
      <c r="AN2467" s="18"/>
      <c r="AO2467" s="18"/>
      <c r="AP2467" s="10"/>
      <c r="AQ2467" s="10"/>
      <c r="AR2467" s="19"/>
      <c r="AS2467" s="20"/>
      <c r="AT2467" s="19"/>
      <c r="AV2467" s="21">
        <f>IF(AND($AL2467&lt;&gt;"",COUNTIF($AL$11:$AL2467,$AL2467)=1),1,0)</f>
        <v>0</v>
      </c>
      <c r="AW2467" s="21">
        <f t="shared" si="163"/>
        <v>0</v>
      </c>
      <c r="AX2467" s="21" t="str">
        <f t="shared" si="162"/>
        <v/>
      </c>
      <c r="AY2467" s="21" t="str">
        <f>IF(AND($AM2467&lt;&gt;"",$AS2467&lt;&gt;"✓"),SUMPRODUCT(($AM$11:$AM2467&lt;&gt;"")*($AS$11:$AS2467&lt;&gt;"✓")),"")</f>
        <v/>
      </c>
      <c r="AZ2467" s="21" t="str">
        <f>IF(AND($AM2467&lt;&gt;"",$AS2467="✓"),SUMPRODUCT(($AM$11:$AM2467&lt;&gt;"")*($AS$11:$AS2467="✓")),"")</f>
        <v/>
      </c>
      <c r="BA2467" s="21" t="str">
        <f>IF($AL2467="","",$AL2467&amp;"|"&amp;COUNTIF($AL$11:$AL2467,$AL2467))</f>
        <v/>
      </c>
    </row>
    <row r="2468" spans="38:53" ht="15" customHeight="1" x14ac:dyDescent="0.25">
      <c r="AL2468" s="31"/>
      <c r="AM2468" s="26"/>
      <c r="AN2468" s="32"/>
      <c r="AO2468" s="32"/>
      <c r="AP2468" s="24"/>
      <c r="AQ2468" s="24"/>
      <c r="AR2468" s="33"/>
      <c r="AS2468" s="34"/>
      <c r="AT2468" s="33"/>
      <c r="AV2468" s="21">
        <f>IF(AND($AL2468&lt;&gt;"",COUNTIF($AL$11:$AL2468,$AL2468)=1),1,0)</f>
        <v>0</v>
      </c>
      <c r="AW2468" s="21">
        <f t="shared" si="163"/>
        <v>0</v>
      </c>
      <c r="AX2468" s="21" t="str">
        <f t="shared" si="162"/>
        <v/>
      </c>
      <c r="AY2468" s="21" t="str">
        <f>IF(AND($AM2468&lt;&gt;"",$AS2468&lt;&gt;"✓"),SUMPRODUCT(($AM$11:$AM2468&lt;&gt;"")*($AS$11:$AS2468&lt;&gt;"✓")),"")</f>
        <v/>
      </c>
      <c r="AZ2468" s="21" t="str">
        <f>IF(AND($AM2468&lt;&gt;"",$AS2468="✓"),SUMPRODUCT(($AM$11:$AM2468&lt;&gt;"")*($AS$11:$AS2468="✓")),"")</f>
        <v/>
      </c>
      <c r="BA2468" s="21" t="str">
        <f>IF($AL2468="","",$AL2468&amp;"|"&amp;COUNTIF($AL$11:$AL2468,$AL2468))</f>
        <v/>
      </c>
    </row>
    <row r="2469" spans="38:53" ht="15" customHeight="1" x14ac:dyDescent="0.25">
      <c r="AL2469" s="17"/>
      <c r="AM2469" s="12"/>
      <c r="AN2469" s="18"/>
      <c r="AO2469" s="18"/>
      <c r="AP2469" s="10"/>
      <c r="AQ2469" s="10"/>
      <c r="AR2469" s="19"/>
      <c r="AS2469" s="20"/>
      <c r="AT2469" s="19"/>
      <c r="AV2469" s="21">
        <f>IF(AND($AL2469&lt;&gt;"",COUNTIF($AL$11:$AL2469,$AL2469)=1),1,0)</f>
        <v>0</v>
      </c>
      <c r="AW2469" s="21">
        <f t="shared" si="163"/>
        <v>0</v>
      </c>
      <c r="AX2469" s="21" t="str">
        <f t="shared" si="162"/>
        <v/>
      </c>
      <c r="AY2469" s="21" t="str">
        <f>IF(AND($AM2469&lt;&gt;"",$AS2469&lt;&gt;"✓"),SUMPRODUCT(($AM$11:$AM2469&lt;&gt;"")*($AS$11:$AS2469&lt;&gt;"✓")),"")</f>
        <v/>
      </c>
      <c r="AZ2469" s="21" t="str">
        <f>IF(AND($AM2469&lt;&gt;"",$AS2469="✓"),SUMPRODUCT(($AM$11:$AM2469&lt;&gt;"")*($AS$11:$AS2469="✓")),"")</f>
        <v/>
      </c>
      <c r="BA2469" s="21" t="str">
        <f>IF($AL2469="","",$AL2469&amp;"|"&amp;COUNTIF($AL$11:$AL2469,$AL2469))</f>
        <v/>
      </c>
    </row>
    <row r="2470" spans="38:53" ht="15" customHeight="1" x14ac:dyDescent="0.25">
      <c r="AL2470" s="31"/>
      <c r="AM2470" s="26"/>
      <c r="AN2470" s="32"/>
      <c r="AO2470" s="32"/>
      <c r="AP2470" s="24"/>
      <c r="AQ2470" s="24"/>
      <c r="AR2470" s="33"/>
      <c r="AS2470" s="34"/>
      <c r="AT2470" s="33"/>
      <c r="AV2470" s="21">
        <f>IF(AND($AL2470&lt;&gt;"",COUNTIF($AL$11:$AL2470,$AL2470)=1),1,0)</f>
        <v>0</v>
      </c>
      <c r="AW2470" s="21">
        <f t="shared" si="163"/>
        <v>0</v>
      </c>
      <c r="AX2470" s="21" t="str">
        <f t="shared" si="162"/>
        <v/>
      </c>
      <c r="AY2470" s="21" t="str">
        <f>IF(AND($AM2470&lt;&gt;"",$AS2470&lt;&gt;"✓"),SUMPRODUCT(($AM$11:$AM2470&lt;&gt;"")*($AS$11:$AS2470&lt;&gt;"✓")),"")</f>
        <v/>
      </c>
      <c r="AZ2470" s="21" t="str">
        <f>IF(AND($AM2470&lt;&gt;"",$AS2470="✓"),SUMPRODUCT(($AM$11:$AM2470&lt;&gt;"")*($AS$11:$AS2470="✓")),"")</f>
        <v/>
      </c>
      <c r="BA2470" s="21" t="str">
        <f>IF($AL2470="","",$AL2470&amp;"|"&amp;COUNTIF($AL$11:$AL2470,$AL2470))</f>
        <v/>
      </c>
    </row>
    <row r="2471" spans="38:53" ht="15" customHeight="1" x14ac:dyDescent="0.25">
      <c r="AL2471" s="17"/>
      <c r="AM2471" s="12"/>
      <c r="AN2471" s="18"/>
      <c r="AO2471" s="18"/>
      <c r="AP2471" s="10"/>
      <c r="AQ2471" s="10"/>
      <c r="AR2471" s="19"/>
      <c r="AS2471" s="20"/>
      <c r="AT2471" s="19"/>
      <c r="AV2471" s="21">
        <f>IF(AND($AL2471&lt;&gt;"",COUNTIF($AL$11:$AL2471,$AL2471)=1),1,0)</f>
        <v>0</v>
      </c>
      <c r="AW2471" s="21">
        <f t="shared" si="163"/>
        <v>0</v>
      </c>
      <c r="AX2471" s="21" t="str">
        <f t="shared" si="162"/>
        <v/>
      </c>
      <c r="AY2471" s="21" t="str">
        <f>IF(AND($AM2471&lt;&gt;"",$AS2471&lt;&gt;"✓"),SUMPRODUCT(($AM$11:$AM2471&lt;&gt;"")*($AS$11:$AS2471&lt;&gt;"✓")),"")</f>
        <v/>
      </c>
      <c r="AZ2471" s="21" t="str">
        <f>IF(AND($AM2471&lt;&gt;"",$AS2471="✓"),SUMPRODUCT(($AM$11:$AM2471&lt;&gt;"")*($AS$11:$AS2471="✓")),"")</f>
        <v/>
      </c>
      <c r="BA2471" s="21" t="str">
        <f>IF($AL2471="","",$AL2471&amp;"|"&amp;COUNTIF($AL$11:$AL2471,$AL2471))</f>
        <v/>
      </c>
    </row>
    <row r="2472" spans="38:53" ht="15" customHeight="1" x14ac:dyDescent="0.25">
      <c r="AL2472" s="31"/>
      <c r="AM2472" s="26"/>
      <c r="AN2472" s="32"/>
      <c r="AO2472" s="32"/>
      <c r="AP2472" s="24"/>
      <c r="AQ2472" s="24"/>
      <c r="AR2472" s="33"/>
      <c r="AS2472" s="34"/>
      <c r="AT2472" s="33"/>
      <c r="AV2472" s="21">
        <f>IF(AND($AL2472&lt;&gt;"",COUNTIF($AL$11:$AL2472,$AL2472)=1),1,0)</f>
        <v>0</v>
      </c>
      <c r="AW2472" s="21">
        <f t="shared" si="163"/>
        <v>0</v>
      </c>
      <c r="AX2472" s="21" t="str">
        <f t="shared" si="162"/>
        <v/>
      </c>
      <c r="AY2472" s="21" t="str">
        <f>IF(AND($AM2472&lt;&gt;"",$AS2472&lt;&gt;"✓"),SUMPRODUCT(($AM$11:$AM2472&lt;&gt;"")*($AS$11:$AS2472&lt;&gt;"✓")),"")</f>
        <v/>
      </c>
      <c r="AZ2472" s="21" t="str">
        <f>IF(AND($AM2472&lt;&gt;"",$AS2472="✓"),SUMPRODUCT(($AM$11:$AM2472&lt;&gt;"")*($AS$11:$AS2472="✓")),"")</f>
        <v/>
      </c>
      <c r="BA2472" s="21" t="str">
        <f>IF($AL2472="","",$AL2472&amp;"|"&amp;COUNTIF($AL$11:$AL2472,$AL2472))</f>
        <v/>
      </c>
    </row>
    <row r="2473" spans="38:53" ht="15" customHeight="1" x14ac:dyDescent="0.25">
      <c r="AL2473" s="17"/>
      <c r="AM2473" s="12"/>
      <c r="AN2473" s="18"/>
      <c r="AO2473" s="18"/>
      <c r="AP2473" s="10"/>
      <c r="AQ2473" s="10"/>
      <c r="AR2473" s="19"/>
      <c r="AS2473" s="20"/>
      <c r="AT2473" s="19"/>
      <c r="AV2473" s="21">
        <f>IF(AND($AL2473&lt;&gt;"",COUNTIF($AL$11:$AL2473,$AL2473)=1),1,0)</f>
        <v>0</v>
      </c>
      <c r="AW2473" s="21">
        <f t="shared" si="163"/>
        <v>0</v>
      </c>
      <c r="AX2473" s="21" t="str">
        <f t="shared" si="162"/>
        <v/>
      </c>
      <c r="AY2473" s="21" t="str">
        <f>IF(AND($AM2473&lt;&gt;"",$AS2473&lt;&gt;"✓"),SUMPRODUCT(($AM$11:$AM2473&lt;&gt;"")*($AS$11:$AS2473&lt;&gt;"✓")),"")</f>
        <v/>
      </c>
      <c r="AZ2473" s="21" t="str">
        <f>IF(AND($AM2473&lt;&gt;"",$AS2473="✓"),SUMPRODUCT(($AM$11:$AM2473&lt;&gt;"")*($AS$11:$AS2473="✓")),"")</f>
        <v/>
      </c>
      <c r="BA2473" s="21" t="str">
        <f>IF($AL2473="","",$AL2473&amp;"|"&amp;COUNTIF($AL$11:$AL2473,$AL2473))</f>
        <v/>
      </c>
    </row>
    <row r="2474" spans="38:53" ht="15" customHeight="1" x14ac:dyDescent="0.25">
      <c r="AL2474" s="31"/>
      <c r="AM2474" s="26"/>
      <c r="AN2474" s="32"/>
      <c r="AO2474" s="32"/>
      <c r="AP2474" s="24"/>
      <c r="AQ2474" s="24"/>
      <c r="AR2474" s="33"/>
      <c r="AS2474" s="34"/>
      <c r="AT2474" s="33"/>
      <c r="AV2474" s="21">
        <f>IF(AND($AL2474&lt;&gt;"",COUNTIF($AL$11:$AL2474,$AL2474)=1),1,0)</f>
        <v>0</v>
      </c>
      <c r="AW2474" s="21">
        <f t="shared" si="163"/>
        <v>0</v>
      </c>
      <c r="AX2474" s="21" t="str">
        <f t="shared" si="162"/>
        <v/>
      </c>
      <c r="AY2474" s="21" t="str">
        <f>IF(AND($AM2474&lt;&gt;"",$AS2474&lt;&gt;"✓"),SUMPRODUCT(($AM$11:$AM2474&lt;&gt;"")*($AS$11:$AS2474&lt;&gt;"✓")),"")</f>
        <v/>
      </c>
      <c r="AZ2474" s="21" t="str">
        <f>IF(AND($AM2474&lt;&gt;"",$AS2474="✓"),SUMPRODUCT(($AM$11:$AM2474&lt;&gt;"")*($AS$11:$AS2474="✓")),"")</f>
        <v/>
      </c>
      <c r="BA2474" s="21" t="str">
        <f>IF($AL2474="","",$AL2474&amp;"|"&amp;COUNTIF($AL$11:$AL2474,$AL2474))</f>
        <v/>
      </c>
    </row>
    <row r="2475" spans="38:53" ht="15" customHeight="1" x14ac:dyDescent="0.25">
      <c r="AL2475" s="17"/>
      <c r="AM2475" s="12"/>
      <c r="AN2475" s="18"/>
      <c r="AO2475" s="18"/>
      <c r="AP2475" s="10"/>
      <c r="AQ2475" s="10"/>
      <c r="AR2475" s="19"/>
      <c r="AS2475" s="20"/>
      <c r="AT2475" s="19"/>
      <c r="AV2475" s="21">
        <f>IF(AND($AL2475&lt;&gt;"",COUNTIF($AL$11:$AL2475,$AL2475)=1),1,0)</f>
        <v>0</v>
      </c>
      <c r="AW2475" s="21">
        <f t="shared" si="163"/>
        <v>0</v>
      </c>
      <c r="AX2475" s="21" t="str">
        <f t="shared" si="162"/>
        <v/>
      </c>
      <c r="AY2475" s="21" t="str">
        <f>IF(AND($AM2475&lt;&gt;"",$AS2475&lt;&gt;"✓"),SUMPRODUCT(($AM$11:$AM2475&lt;&gt;"")*($AS$11:$AS2475&lt;&gt;"✓")),"")</f>
        <v/>
      </c>
      <c r="AZ2475" s="21" t="str">
        <f>IF(AND($AM2475&lt;&gt;"",$AS2475="✓"),SUMPRODUCT(($AM$11:$AM2475&lt;&gt;"")*($AS$11:$AS2475="✓")),"")</f>
        <v/>
      </c>
      <c r="BA2475" s="21" t="str">
        <f>IF($AL2475="","",$AL2475&amp;"|"&amp;COUNTIF($AL$11:$AL2475,$AL2475))</f>
        <v/>
      </c>
    </row>
    <row r="2476" spans="38:53" ht="15" customHeight="1" x14ac:dyDescent="0.25">
      <c r="AL2476" s="31"/>
      <c r="AM2476" s="26"/>
      <c r="AN2476" s="32"/>
      <c r="AO2476" s="32"/>
      <c r="AP2476" s="24"/>
      <c r="AQ2476" s="24"/>
      <c r="AR2476" s="33"/>
      <c r="AS2476" s="34"/>
      <c r="AT2476" s="33"/>
      <c r="AV2476" s="21">
        <f>IF(AND($AL2476&lt;&gt;"",COUNTIF($AL$11:$AL2476,$AL2476)=1),1,0)</f>
        <v>0</v>
      </c>
      <c r="AW2476" s="21">
        <f t="shared" si="163"/>
        <v>0</v>
      </c>
      <c r="AX2476" s="21" t="str">
        <f t="shared" si="162"/>
        <v/>
      </c>
      <c r="AY2476" s="21" t="str">
        <f>IF(AND($AM2476&lt;&gt;"",$AS2476&lt;&gt;"✓"),SUMPRODUCT(($AM$11:$AM2476&lt;&gt;"")*($AS$11:$AS2476&lt;&gt;"✓")),"")</f>
        <v/>
      </c>
      <c r="AZ2476" s="21" t="str">
        <f>IF(AND($AM2476&lt;&gt;"",$AS2476="✓"),SUMPRODUCT(($AM$11:$AM2476&lt;&gt;"")*($AS$11:$AS2476="✓")),"")</f>
        <v/>
      </c>
      <c r="BA2476" s="21" t="str">
        <f>IF($AL2476="","",$AL2476&amp;"|"&amp;COUNTIF($AL$11:$AL2476,$AL2476))</f>
        <v/>
      </c>
    </row>
    <row r="2477" spans="38:53" ht="15" customHeight="1" x14ac:dyDescent="0.25">
      <c r="AL2477" s="17"/>
      <c r="AM2477" s="12"/>
      <c r="AN2477" s="18"/>
      <c r="AO2477" s="18"/>
      <c r="AP2477" s="10"/>
      <c r="AQ2477" s="10"/>
      <c r="AR2477" s="19"/>
      <c r="AS2477" s="20"/>
      <c r="AT2477" s="19"/>
      <c r="AV2477" s="21">
        <f>IF(AND($AL2477&lt;&gt;"",COUNTIF($AL$11:$AL2477,$AL2477)=1),1,0)</f>
        <v>0</v>
      </c>
      <c r="AW2477" s="21">
        <f t="shared" si="163"/>
        <v>0</v>
      </c>
      <c r="AX2477" s="21" t="str">
        <f t="shared" si="162"/>
        <v/>
      </c>
      <c r="AY2477" s="21" t="str">
        <f>IF(AND($AM2477&lt;&gt;"",$AS2477&lt;&gt;"✓"),SUMPRODUCT(($AM$11:$AM2477&lt;&gt;"")*($AS$11:$AS2477&lt;&gt;"✓")),"")</f>
        <v/>
      </c>
      <c r="AZ2477" s="21" t="str">
        <f>IF(AND($AM2477&lt;&gt;"",$AS2477="✓"),SUMPRODUCT(($AM$11:$AM2477&lt;&gt;"")*($AS$11:$AS2477="✓")),"")</f>
        <v/>
      </c>
      <c r="BA2477" s="21" t="str">
        <f>IF($AL2477="","",$AL2477&amp;"|"&amp;COUNTIF($AL$11:$AL2477,$AL2477))</f>
        <v/>
      </c>
    </row>
    <row r="2478" spans="38:53" ht="15" customHeight="1" x14ac:dyDescent="0.25">
      <c r="AL2478" s="31"/>
      <c r="AM2478" s="26"/>
      <c r="AN2478" s="32"/>
      <c r="AO2478" s="32"/>
      <c r="AP2478" s="24"/>
      <c r="AQ2478" s="24"/>
      <c r="AR2478" s="33"/>
      <c r="AS2478" s="34"/>
      <c r="AT2478" s="33"/>
      <c r="AV2478" s="21">
        <f>IF(AND($AL2478&lt;&gt;"",COUNTIF($AL$11:$AL2478,$AL2478)=1),1,0)</f>
        <v>0</v>
      </c>
      <c r="AW2478" s="21">
        <f t="shared" si="163"/>
        <v>0</v>
      </c>
      <c r="AX2478" s="21" t="str">
        <f t="shared" si="162"/>
        <v/>
      </c>
      <c r="AY2478" s="21" t="str">
        <f>IF(AND($AM2478&lt;&gt;"",$AS2478&lt;&gt;"✓"),SUMPRODUCT(($AM$11:$AM2478&lt;&gt;"")*($AS$11:$AS2478&lt;&gt;"✓")),"")</f>
        <v/>
      </c>
      <c r="AZ2478" s="21" t="str">
        <f>IF(AND($AM2478&lt;&gt;"",$AS2478="✓"),SUMPRODUCT(($AM$11:$AM2478&lt;&gt;"")*($AS$11:$AS2478="✓")),"")</f>
        <v/>
      </c>
      <c r="BA2478" s="21" t="str">
        <f>IF($AL2478="","",$AL2478&amp;"|"&amp;COUNTIF($AL$11:$AL2478,$AL2478))</f>
        <v/>
      </c>
    </row>
    <row r="2479" spans="38:53" ht="15" customHeight="1" x14ac:dyDescent="0.25">
      <c r="AL2479" s="17"/>
      <c r="AM2479" s="12"/>
      <c r="AN2479" s="18"/>
      <c r="AO2479" s="18"/>
      <c r="AP2479" s="10"/>
      <c r="AQ2479" s="10"/>
      <c r="AR2479" s="19"/>
      <c r="AS2479" s="20"/>
      <c r="AT2479" s="19"/>
      <c r="AV2479" s="21">
        <f>IF(AND($AL2479&lt;&gt;"",COUNTIF($AL$11:$AL2479,$AL2479)=1),1,0)</f>
        <v>0</v>
      </c>
      <c r="AW2479" s="21">
        <f t="shared" si="163"/>
        <v>0</v>
      </c>
      <c r="AX2479" s="21" t="str">
        <f t="shared" si="162"/>
        <v/>
      </c>
      <c r="AY2479" s="21" t="str">
        <f>IF(AND($AM2479&lt;&gt;"",$AS2479&lt;&gt;"✓"),SUMPRODUCT(($AM$11:$AM2479&lt;&gt;"")*($AS$11:$AS2479&lt;&gt;"✓")),"")</f>
        <v/>
      </c>
      <c r="AZ2479" s="21" t="str">
        <f>IF(AND($AM2479&lt;&gt;"",$AS2479="✓"),SUMPRODUCT(($AM$11:$AM2479&lt;&gt;"")*($AS$11:$AS2479="✓")),"")</f>
        <v/>
      </c>
      <c r="BA2479" s="21" t="str">
        <f>IF($AL2479="","",$AL2479&amp;"|"&amp;COUNTIF($AL$11:$AL2479,$AL2479))</f>
        <v/>
      </c>
    </row>
    <row r="2480" spans="38:53" ht="15" customHeight="1" x14ac:dyDescent="0.25">
      <c r="AL2480" s="31"/>
      <c r="AM2480" s="26"/>
      <c r="AN2480" s="32"/>
      <c r="AO2480" s="32"/>
      <c r="AP2480" s="24"/>
      <c r="AQ2480" s="24"/>
      <c r="AR2480" s="33"/>
      <c r="AS2480" s="34"/>
      <c r="AT2480" s="33"/>
      <c r="AV2480" s="21">
        <f>IF(AND($AL2480&lt;&gt;"",COUNTIF($AL$11:$AL2480,$AL2480)=1),1,0)</f>
        <v>0</v>
      </c>
      <c r="AW2480" s="21">
        <f t="shared" si="163"/>
        <v>0</v>
      </c>
      <c r="AX2480" s="21" t="str">
        <f t="shared" si="162"/>
        <v/>
      </c>
      <c r="AY2480" s="21" t="str">
        <f>IF(AND($AM2480&lt;&gt;"",$AS2480&lt;&gt;"✓"),SUMPRODUCT(($AM$11:$AM2480&lt;&gt;"")*($AS$11:$AS2480&lt;&gt;"✓")),"")</f>
        <v/>
      </c>
      <c r="AZ2480" s="21" t="str">
        <f>IF(AND($AM2480&lt;&gt;"",$AS2480="✓"),SUMPRODUCT(($AM$11:$AM2480&lt;&gt;"")*($AS$11:$AS2480="✓")),"")</f>
        <v/>
      </c>
      <c r="BA2480" s="21" t="str">
        <f>IF($AL2480="","",$AL2480&amp;"|"&amp;COUNTIF($AL$11:$AL2480,$AL2480))</f>
        <v/>
      </c>
    </row>
    <row r="2481" spans="38:53" ht="15" customHeight="1" x14ac:dyDescent="0.25">
      <c r="AL2481" s="17"/>
      <c r="AM2481" s="12"/>
      <c r="AN2481" s="18"/>
      <c r="AO2481" s="18"/>
      <c r="AP2481" s="10"/>
      <c r="AQ2481" s="10"/>
      <c r="AR2481" s="19"/>
      <c r="AS2481" s="20"/>
      <c r="AT2481" s="19"/>
      <c r="AV2481" s="21">
        <f>IF(AND($AL2481&lt;&gt;"",COUNTIF($AL$11:$AL2481,$AL2481)=1),1,0)</f>
        <v>0</v>
      </c>
      <c r="AW2481" s="21">
        <f t="shared" si="163"/>
        <v>0</v>
      </c>
      <c r="AX2481" s="21" t="str">
        <f t="shared" si="162"/>
        <v/>
      </c>
      <c r="AY2481" s="21" t="str">
        <f>IF(AND($AM2481&lt;&gt;"",$AS2481&lt;&gt;"✓"),SUMPRODUCT(($AM$11:$AM2481&lt;&gt;"")*($AS$11:$AS2481&lt;&gt;"✓")),"")</f>
        <v/>
      </c>
      <c r="AZ2481" s="21" t="str">
        <f>IF(AND($AM2481&lt;&gt;"",$AS2481="✓"),SUMPRODUCT(($AM$11:$AM2481&lt;&gt;"")*($AS$11:$AS2481="✓")),"")</f>
        <v/>
      </c>
      <c r="BA2481" s="21" t="str">
        <f>IF($AL2481="","",$AL2481&amp;"|"&amp;COUNTIF($AL$11:$AL2481,$AL2481))</f>
        <v/>
      </c>
    </row>
    <row r="2482" spans="38:53" ht="15" customHeight="1" x14ac:dyDescent="0.25">
      <c r="AL2482" s="31"/>
      <c r="AM2482" s="26"/>
      <c r="AN2482" s="32"/>
      <c r="AO2482" s="32"/>
      <c r="AP2482" s="24"/>
      <c r="AQ2482" s="24"/>
      <c r="AR2482" s="33"/>
      <c r="AS2482" s="34"/>
      <c r="AT2482" s="33"/>
      <c r="AV2482" s="21">
        <f>IF(AND($AL2482&lt;&gt;"",COUNTIF($AL$11:$AL2482,$AL2482)=1),1,0)</f>
        <v>0</v>
      </c>
      <c r="AW2482" s="21">
        <f t="shared" si="163"/>
        <v>0</v>
      </c>
      <c r="AX2482" s="21" t="str">
        <f t="shared" si="162"/>
        <v/>
      </c>
      <c r="AY2482" s="21" t="str">
        <f>IF(AND($AM2482&lt;&gt;"",$AS2482&lt;&gt;"✓"),SUMPRODUCT(($AM$11:$AM2482&lt;&gt;"")*($AS$11:$AS2482&lt;&gt;"✓")),"")</f>
        <v/>
      </c>
      <c r="AZ2482" s="21" t="str">
        <f>IF(AND($AM2482&lt;&gt;"",$AS2482="✓"),SUMPRODUCT(($AM$11:$AM2482&lt;&gt;"")*($AS$11:$AS2482="✓")),"")</f>
        <v/>
      </c>
      <c r="BA2482" s="21" t="str">
        <f>IF($AL2482="","",$AL2482&amp;"|"&amp;COUNTIF($AL$11:$AL2482,$AL2482))</f>
        <v/>
      </c>
    </row>
    <row r="2483" spans="38:53" ht="15" customHeight="1" x14ac:dyDescent="0.25">
      <c r="AL2483" s="17"/>
      <c r="AM2483" s="12"/>
      <c r="AN2483" s="18"/>
      <c r="AO2483" s="18"/>
      <c r="AP2483" s="10"/>
      <c r="AQ2483" s="10"/>
      <c r="AR2483" s="19"/>
      <c r="AS2483" s="20"/>
      <c r="AT2483" s="19"/>
      <c r="AV2483" s="21">
        <f>IF(AND($AL2483&lt;&gt;"",COUNTIF($AL$11:$AL2483,$AL2483)=1),1,0)</f>
        <v>0</v>
      </c>
      <c r="AW2483" s="21">
        <f t="shared" si="163"/>
        <v>0</v>
      </c>
      <c r="AX2483" s="21" t="str">
        <f t="shared" si="162"/>
        <v/>
      </c>
      <c r="AY2483" s="21" t="str">
        <f>IF(AND($AM2483&lt;&gt;"",$AS2483&lt;&gt;"✓"),SUMPRODUCT(($AM$11:$AM2483&lt;&gt;"")*($AS$11:$AS2483&lt;&gt;"✓")),"")</f>
        <v/>
      </c>
      <c r="AZ2483" s="21" t="str">
        <f>IF(AND($AM2483&lt;&gt;"",$AS2483="✓"),SUMPRODUCT(($AM$11:$AM2483&lt;&gt;"")*($AS$11:$AS2483="✓")),"")</f>
        <v/>
      </c>
      <c r="BA2483" s="21" t="str">
        <f>IF($AL2483="","",$AL2483&amp;"|"&amp;COUNTIF($AL$11:$AL2483,$AL2483))</f>
        <v/>
      </c>
    </row>
    <row r="2484" spans="38:53" ht="15" customHeight="1" x14ac:dyDescent="0.25">
      <c r="AL2484" s="31"/>
      <c r="AM2484" s="26"/>
      <c r="AN2484" s="32"/>
      <c r="AO2484" s="32"/>
      <c r="AP2484" s="24"/>
      <c r="AQ2484" s="24"/>
      <c r="AR2484" s="33"/>
      <c r="AS2484" s="34"/>
      <c r="AT2484" s="33"/>
      <c r="AV2484" s="21">
        <f>IF(AND($AL2484&lt;&gt;"",COUNTIF($AL$11:$AL2484,$AL2484)=1),1,0)</f>
        <v>0</v>
      </c>
      <c r="AW2484" s="21">
        <f t="shared" si="163"/>
        <v>0</v>
      </c>
      <c r="AX2484" s="21" t="str">
        <f t="shared" si="162"/>
        <v/>
      </c>
      <c r="AY2484" s="21" t="str">
        <f>IF(AND($AM2484&lt;&gt;"",$AS2484&lt;&gt;"✓"),SUMPRODUCT(($AM$11:$AM2484&lt;&gt;"")*($AS$11:$AS2484&lt;&gt;"✓")),"")</f>
        <v/>
      </c>
      <c r="AZ2484" s="21" t="str">
        <f>IF(AND($AM2484&lt;&gt;"",$AS2484="✓"),SUMPRODUCT(($AM$11:$AM2484&lt;&gt;"")*($AS$11:$AS2484="✓")),"")</f>
        <v/>
      </c>
      <c r="BA2484" s="21" t="str">
        <f>IF($AL2484="","",$AL2484&amp;"|"&amp;COUNTIF($AL$11:$AL2484,$AL2484))</f>
        <v/>
      </c>
    </row>
    <row r="2485" spans="38:53" ht="15" customHeight="1" x14ac:dyDescent="0.25">
      <c r="AL2485" s="17"/>
      <c r="AM2485" s="12"/>
      <c r="AN2485" s="18"/>
      <c r="AO2485" s="18"/>
      <c r="AP2485" s="10"/>
      <c r="AQ2485" s="10"/>
      <c r="AR2485" s="19"/>
      <c r="AS2485" s="20"/>
      <c r="AT2485" s="19"/>
      <c r="AV2485" s="21">
        <f>IF(AND($AL2485&lt;&gt;"",COUNTIF($AL$11:$AL2485,$AL2485)=1),1,0)</f>
        <v>0</v>
      </c>
      <c r="AW2485" s="21">
        <f t="shared" si="163"/>
        <v>0</v>
      </c>
      <c r="AX2485" s="21" t="str">
        <f t="shared" si="162"/>
        <v/>
      </c>
      <c r="AY2485" s="21" t="str">
        <f>IF(AND($AM2485&lt;&gt;"",$AS2485&lt;&gt;"✓"),SUMPRODUCT(($AM$11:$AM2485&lt;&gt;"")*($AS$11:$AS2485&lt;&gt;"✓")),"")</f>
        <v/>
      </c>
      <c r="AZ2485" s="21" t="str">
        <f>IF(AND($AM2485&lt;&gt;"",$AS2485="✓"),SUMPRODUCT(($AM$11:$AM2485&lt;&gt;"")*($AS$11:$AS2485="✓")),"")</f>
        <v/>
      </c>
      <c r="BA2485" s="21" t="str">
        <f>IF($AL2485="","",$AL2485&amp;"|"&amp;COUNTIF($AL$11:$AL2485,$AL2485))</f>
        <v/>
      </c>
    </row>
    <row r="2486" spans="38:53" ht="15" customHeight="1" x14ac:dyDescent="0.25">
      <c r="AL2486" s="31"/>
      <c r="AM2486" s="26"/>
      <c r="AN2486" s="32"/>
      <c r="AO2486" s="32"/>
      <c r="AP2486" s="24"/>
      <c r="AQ2486" s="24"/>
      <c r="AR2486" s="33"/>
      <c r="AS2486" s="34"/>
      <c r="AT2486" s="33"/>
      <c r="AV2486" s="21">
        <f>IF(AND($AL2486&lt;&gt;"",COUNTIF($AL$11:$AL2486,$AL2486)=1),1,0)</f>
        <v>0</v>
      </c>
      <c r="AW2486" s="21">
        <f t="shared" si="163"/>
        <v>0</v>
      </c>
      <c r="AX2486" s="21" t="str">
        <f t="shared" si="162"/>
        <v/>
      </c>
      <c r="AY2486" s="21" t="str">
        <f>IF(AND($AM2486&lt;&gt;"",$AS2486&lt;&gt;"✓"),SUMPRODUCT(($AM$11:$AM2486&lt;&gt;"")*($AS$11:$AS2486&lt;&gt;"✓")),"")</f>
        <v/>
      </c>
      <c r="AZ2486" s="21" t="str">
        <f>IF(AND($AM2486&lt;&gt;"",$AS2486="✓"),SUMPRODUCT(($AM$11:$AM2486&lt;&gt;"")*($AS$11:$AS2486="✓")),"")</f>
        <v/>
      </c>
      <c r="BA2486" s="21" t="str">
        <f>IF($AL2486="","",$AL2486&amp;"|"&amp;COUNTIF($AL$11:$AL2486,$AL2486))</f>
        <v/>
      </c>
    </row>
    <row r="2487" spans="38:53" ht="15" customHeight="1" x14ac:dyDescent="0.25">
      <c r="AL2487" s="17"/>
      <c r="AM2487" s="12"/>
      <c r="AN2487" s="18"/>
      <c r="AO2487" s="18"/>
      <c r="AP2487" s="10"/>
      <c r="AQ2487" s="10"/>
      <c r="AR2487" s="19"/>
      <c r="AS2487" s="20"/>
      <c r="AT2487" s="19"/>
      <c r="AV2487" s="21">
        <f>IF(AND($AL2487&lt;&gt;"",COUNTIF($AL$11:$AL2487,$AL2487)=1),1,0)</f>
        <v>0</v>
      </c>
      <c r="AW2487" s="21">
        <f t="shared" si="163"/>
        <v>0</v>
      </c>
      <c r="AX2487" s="21" t="str">
        <f t="shared" si="162"/>
        <v/>
      </c>
      <c r="AY2487" s="21" t="str">
        <f>IF(AND($AM2487&lt;&gt;"",$AS2487&lt;&gt;"✓"),SUMPRODUCT(($AM$11:$AM2487&lt;&gt;"")*($AS$11:$AS2487&lt;&gt;"✓")),"")</f>
        <v/>
      </c>
      <c r="AZ2487" s="21" t="str">
        <f>IF(AND($AM2487&lt;&gt;"",$AS2487="✓"),SUMPRODUCT(($AM$11:$AM2487&lt;&gt;"")*($AS$11:$AS2487="✓")),"")</f>
        <v/>
      </c>
      <c r="BA2487" s="21" t="str">
        <f>IF($AL2487="","",$AL2487&amp;"|"&amp;COUNTIF($AL$11:$AL2487,$AL2487))</f>
        <v/>
      </c>
    </row>
    <row r="2488" spans="38:53" ht="15" customHeight="1" x14ac:dyDescent="0.25">
      <c r="AL2488" s="31"/>
      <c r="AM2488" s="26"/>
      <c r="AN2488" s="32"/>
      <c r="AO2488" s="32"/>
      <c r="AP2488" s="24"/>
      <c r="AQ2488" s="24"/>
      <c r="AR2488" s="33"/>
      <c r="AS2488" s="34"/>
      <c r="AT2488" s="33"/>
      <c r="AV2488" s="21">
        <f>IF(AND($AL2488&lt;&gt;"",COUNTIF($AL$11:$AL2488,$AL2488)=1),1,0)</f>
        <v>0</v>
      </c>
      <c r="AW2488" s="21">
        <f t="shared" si="163"/>
        <v>0</v>
      </c>
      <c r="AX2488" s="21" t="str">
        <f t="shared" si="162"/>
        <v/>
      </c>
      <c r="AY2488" s="21" t="str">
        <f>IF(AND($AM2488&lt;&gt;"",$AS2488&lt;&gt;"✓"),SUMPRODUCT(($AM$11:$AM2488&lt;&gt;"")*($AS$11:$AS2488&lt;&gt;"✓")),"")</f>
        <v/>
      </c>
      <c r="AZ2488" s="21" t="str">
        <f>IF(AND($AM2488&lt;&gt;"",$AS2488="✓"),SUMPRODUCT(($AM$11:$AM2488&lt;&gt;"")*($AS$11:$AS2488="✓")),"")</f>
        <v/>
      </c>
      <c r="BA2488" s="21" t="str">
        <f>IF($AL2488="","",$AL2488&amp;"|"&amp;COUNTIF($AL$11:$AL2488,$AL2488))</f>
        <v/>
      </c>
    </row>
    <row r="2489" spans="38:53" ht="15" customHeight="1" x14ac:dyDescent="0.25">
      <c r="AL2489" s="17"/>
      <c r="AM2489" s="12"/>
      <c r="AN2489" s="18"/>
      <c r="AO2489" s="18"/>
      <c r="AP2489" s="10"/>
      <c r="AQ2489" s="10"/>
      <c r="AR2489" s="19"/>
      <c r="AS2489" s="20"/>
      <c r="AT2489" s="19"/>
      <c r="AV2489" s="21">
        <f>IF(AND($AL2489&lt;&gt;"",COUNTIF($AL$11:$AL2489,$AL2489)=1),1,0)</f>
        <v>0</v>
      </c>
      <c r="AW2489" s="21">
        <f t="shared" si="163"/>
        <v>0</v>
      </c>
      <c r="AX2489" s="21" t="str">
        <f t="shared" si="162"/>
        <v/>
      </c>
      <c r="AY2489" s="21" t="str">
        <f>IF(AND($AM2489&lt;&gt;"",$AS2489&lt;&gt;"✓"),SUMPRODUCT(($AM$11:$AM2489&lt;&gt;"")*($AS$11:$AS2489&lt;&gt;"✓")),"")</f>
        <v/>
      </c>
      <c r="AZ2489" s="21" t="str">
        <f>IF(AND($AM2489&lt;&gt;"",$AS2489="✓"),SUMPRODUCT(($AM$11:$AM2489&lt;&gt;"")*($AS$11:$AS2489="✓")),"")</f>
        <v/>
      </c>
      <c r="BA2489" s="21" t="str">
        <f>IF($AL2489="","",$AL2489&amp;"|"&amp;COUNTIF($AL$11:$AL2489,$AL2489))</f>
        <v/>
      </c>
    </row>
    <row r="2490" spans="38:53" ht="15" customHeight="1" x14ac:dyDescent="0.25">
      <c r="AL2490" s="31"/>
      <c r="AM2490" s="26"/>
      <c r="AN2490" s="32"/>
      <c r="AO2490" s="32"/>
      <c r="AP2490" s="24"/>
      <c r="AQ2490" s="24"/>
      <c r="AR2490" s="33"/>
      <c r="AS2490" s="34"/>
      <c r="AT2490" s="33"/>
      <c r="AV2490" s="21">
        <f>IF(AND($AL2490&lt;&gt;"",COUNTIF($AL$11:$AL2490,$AL2490)=1),1,0)</f>
        <v>0</v>
      </c>
      <c r="AW2490" s="21">
        <f t="shared" si="163"/>
        <v>0</v>
      </c>
      <c r="AX2490" s="21" t="str">
        <f t="shared" si="162"/>
        <v/>
      </c>
      <c r="AY2490" s="21" t="str">
        <f>IF(AND($AM2490&lt;&gt;"",$AS2490&lt;&gt;"✓"),SUMPRODUCT(($AM$11:$AM2490&lt;&gt;"")*($AS$11:$AS2490&lt;&gt;"✓")),"")</f>
        <v/>
      </c>
      <c r="AZ2490" s="21" t="str">
        <f>IF(AND($AM2490&lt;&gt;"",$AS2490="✓"),SUMPRODUCT(($AM$11:$AM2490&lt;&gt;"")*($AS$11:$AS2490="✓")),"")</f>
        <v/>
      </c>
      <c r="BA2490" s="21" t="str">
        <f>IF($AL2490="","",$AL2490&amp;"|"&amp;COUNTIF($AL$11:$AL2490,$AL2490))</f>
        <v/>
      </c>
    </row>
    <row r="2491" spans="38:53" ht="15" customHeight="1" x14ac:dyDescent="0.25">
      <c r="AL2491" s="17"/>
      <c r="AM2491" s="12"/>
      <c r="AN2491" s="18"/>
      <c r="AO2491" s="18"/>
      <c r="AP2491" s="10"/>
      <c r="AQ2491" s="10"/>
      <c r="AR2491" s="19"/>
      <c r="AS2491" s="20"/>
      <c r="AT2491" s="19"/>
      <c r="AV2491" s="21">
        <f>IF(AND($AL2491&lt;&gt;"",COUNTIF($AL$11:$AL2491,$AL2491)=1),1,0)</f>
        <v>0</v>
      </c>
      <c r="AW2491" s="21">
        <f t="shared" si="163"/>
        <v>0</v>
      </c>
      <c r="AX2491" s="21" t="str">
        <f t="shared" si="162"/>
        <v/>
      </c>
      <c r="AY2491" s="21" t="str">
        <f>IF(AND($AM2491&lt;&gt;"",$AS2491&lt;&gt;"✓"),SUMPRODUCT(($AM$11:$AM2491&lt;&gt;"")*($AS$11:$AS2491&lt;&gt;"✓")),"")</f>
        <v/>
      </c>
      <c r="AZ2491" s="21" t="str">
        <f>IF(AND($AM2491&lt;&gt;"",$AS2491="✓"),SUMPRODUCT(($AM$11:$AM2491&lt;&gt;"")*($AS$11:$AS2491="✓")),"")</f>
        <v/>
      </c>
      <c r="BA2491" s="21" t="str">
        <f>IF($AL2491="","",$AL2491&amp;"|"&amp;COUNTIF($AL$11:$AL2491,$AL2491))</f>
        <v/>
      </c>
    </row>
    <row r="2492" spans="38:53" ht="15" customHeight="1" x14ac:dyDescent="0.25">
      <c r="AL2492" s="31"/>
      <c r="AM2492" s="26"/>
      <c r="AN2492" s="32"/>
      <c r="AO2492" s="32"/>
      <c r="AP2492" s="24"/>
      <c r="AQ2492" s="24"/>
      <c r="AR2492" s="33"/>
      <c r="AS2492" s="34"/>
      <c r="AT2492" s="33"/>
      <c r="AV2492" s="21">
        <f>IF(AND($AL2492&lt;&gt;"",COUNTIF($AL$11:$AL2492,$AL2492)=1),1,0)</f>
        <v>0</v>
      </c>
      <c r="AW2492" s="21">
        <f t="shared" si="163"/>
        <v>0</v>
      </c>
      <c r="AX2492" s="21" t="str">
        <f t="shared" si="162"/>
        <v/>
      </c>
      <c r="AY2492" s="21" t="str">
        <f>IF(AND($AM2492&lt;&gt;"",$AS2492&lt;&gt;"✓"),SUMPRODUCT(($AM$11:$AM2492&lt;&gt;"")*($AS$11:$AS2492&lt;&gt;"✓")),"")</f>
        <v/>
      </c>
      <c r="AZ2492" s="21" t="str">
        <f>IF(AND($AM2492&lt;&gt;"",$AS2492="✓"),SUMPRODUCT(($AM$11:$AM2492&lt;&gt;"")*($AS$11:$AS2492="✓")),"")</f>
        <v/>
      </c>
      <c r="BA2492" s="21" t="str">
        <f>IF($AL2492="","",$AL2492&amp;"|"&amp;COUNTIF($AL$11:$AL2492,$AL2492))</f>
        <v/>
      </c>
    </row>
    <row r="2493" spans="38:53" ht="15" customHeight="1" x14ac:dyDescent="0.25">
      <c r="AL2493" s="17"/>
      <c r="AM2493" s="12"/>
      <c r="AN2493" s="18"/>
      <c r="AO2493" s="18"/>
      <c r="AP2493" s="10"/>
      <c r="AQ2493" s="10"/>
      <c r="AR2493" s="19"/>
      <c r="AS2493" s="20"/>
      <c r="AT2493" s="19"/>
      <c r="AV2493" s="21">
        <f>IF(AND($AL2493&lt;&gt;"",COUNTIF($AL$11:$AL2493,$AL2493)=1),1,0)</f>
        <v>0</v>
      </c>
      <c r="AW2493" s="21">
        <f t="shared" si="163"/>
        <v>0</v>
      </c>
      <c r="AX2493" s="21" t="str">
        <f t="shared" si="162"/>
        <v/>
      </c>
      <c r="AY2493" s="21" t="str">
        <f>IF(AND($AM2493&lt;&gt;"",$AS2493&lt;&gt;"✓"),SUMPRODUCT(($AM$11:$AM2493&lt;&gt;"")*($AS$11:$AS2493&lt;&gt;"✓")),"")</f>
        <v/>
      </c>
      <c r="AZ2493" s="21" t="str">
        <f>IF(AND($AM2493&lt;&gt;"",$AS2493="✓"),SUMPRODUCT(($AM$11:$AM2493&lt;&gt;"")*($AS$11:$AS2493="✓")),"")</f>
        <v/>
      </c>
      <c r="BA2493" s="21" t="str">
        <f>IF($AL2493="","",$AL2493&amp;"|"&amp;COUNTIF($AL$11:$AL2493,$AL2493))</f>
        <v/>
      </c>
    </row>
    <row r="2494" spans="38:53" ht="15" customHeight="1" x14ac:dyDescent="0.25">
      <c r="AL2494" s="31"/>
      <c r="AM2494" s="26"/>
      <c r="AN2494" s="32"/>
      <c r="AO2494" s="32"/>
      <c r="AP2494" s="24"/>
      <c r="AQ2494" s="24"/>
      <c r="AR2494" s="33"/>
      <c r="AS2494" s="34"/>
      <c r="AT2494" s="33"/>
      <c r="AV2494" s="21">
        <f>IF(AND($AL2494&lt;&gt;"",COUNTIF($AL$11:$AL2494,$AL2494)=1),1,0)</f>
        <v>0</v>
      </c>
      <c r="AW2494" s="21">
        <f t="shared" si="163"/>
        <v>0</v>
      </c>
      <c r="AX2494" s="21" t="str">
        <f t="shared" si="162"/>
        <v/>
      </c>
      <c r="AY2494" s="21" t="str">
        <f>IF(AND($AM2494&lt;&gt;"",$AS2494&lt;&gt;"✓"),SUMPRODUCT(($AM$11:$AM2494&lt;&gt;"")*($AS$11:$AS2494&lt;&gt;"✓")),"")</f>
        <v/>
      </c>
      <c r="AZ2494" s="21" t="str">
        <f>IF(AND($AM2494&lt;&gt;"",$AS2494="✓"),SUMPRODUCT(($AM$11:$AM2494&lt;&gt;"")*($AS$11:$AS2494="✓")),"")</f>
        <v/>
      </c>
      <c r="BA2494" s="21" t="str">
        <f>IF($AL2494="","",$AL2494&amp;"|"&amp;COUNTIF($AL$11:$AL2494,$AL2494))</f>
        <v/>
      </c>
    </row>
    <row r="2495" spans="38:53" ht="15" customHeight="1" x14ac:dyDescent="0.25">
      <c r="AL2495" s="17"/>
      <c r="AM2495" s="12"/>
      <c r="AN2495" s="18"/>
      <c r="AO2495" s="18"/>
      <c r="AP2495" s="10"/>
      <c r="AQ2495" s="10"/>
      <c r="AR2495" s="19"/>
      <c r="AS2495" s="20"/>
      <c r="AT2495" s="19"/>
      <c r="AV2495" s="21">
        <f>IF(AND($AL2495&lt;&gt;"",COUNTIF($AL$11:$AL2495,$AL2495)=1),1,0)</f>
        <v>0</v>
      </c>
      <c r="AW2495" s="21">
        <f t="shared" si="163"/>
        <v>0</v>
      </c>
      <c r="AX2495" s="21" t="str">
        <f t="shared" si="162"/>
        <v/>
      </c>
      <c r="AY2495" s="21" t="str">
        <f>IF(AND($AM2495&lt;&gt;"",$AS2495&lt;&gt;"✓"),SUMPRODUCT(($AM$11:$AM2495&lt;&gt;"")*($AS$11:$AS2495&lt;&gt;"✓")),"")</f>
        <v/>
      </c>
      <c r="AZ2495" s="21" t="str">
        <f>IF(AND($AM2495&lt;&gt;"",$AS2495="✓"),SUMPRODUCT(($AM$11:$AM2495&lt;&gt;"")*($AS$11:$AS2495="✓")),"")</f>
        <v/>
      </c>
      <c r="BA2495" s="21" t="str">
        <f>IF($AL2495="","",$AL2495&amp;"|"&amp;COUNTIF($AL$11:$AL2495,$AL2495))</f>
        <v/>
      </c>
    </row>
    <row r="2496" spans="38:53" ht="15" customHeight="1" x14ac:dyDescent="0.25">
      <c r="AL2496" s="31"/>
      <c r="AM2496" s="26"/>
      <c r="AN2496" s="32"/>
      <c r="AO2496" s="32"/>
      <c r="AP2496" s="24"/>
      <c r="AQ2496" s="24"/>
      <c r="AR2496" s="33"/>
      <c r="AS2496" s="34"/>
      <c r="AT2496" s="33"/>
      <c r="AV2496" s="21">
        <f>IF(AND($AL2496&lt;&gt;"",COUNTIF($AL$11:$AL2496,$AL2496)=1),1,0)</f>
        <v>0</v>
      </c>
      <c r="AW2496" s="21">
        <f t="shared" si="163"/>
        <v>0</v>
      </c>
      <c r="AX2496" s="21" t="str">
        <f t="shared" si="162"/>
        <v/>
      </c>
      <c r="AY2496" s="21" t="str">
        <f>IF(AND($AM2496&lt;&gt;"",$AS2496&lt;&gt;"✓"),SUMPRODUCT(($AM$11:$AM2496&lt;&gt;"")*($AS$11:$AS2496&lt;&gt;"✓")),"")</f>
        <v/>
      </c>
      <c r="AZ2496" s="21" t="str">
        <f>IF(AND($AM2496&lt;&gt;"",$AS2496="✓"),SUMPRODUCT(($AM$11:$AM2496&lt;&gt;"")*($AS$11:$AS2496="✓")),"")</f>
        <v/>
      </c>
      <c r="BA2496" s="21" t="str">
        <f>IF($AL2496="","",$AL2496&amp;"|"&amp;COUNTIF($AL$11:$AL2496,$AL2496))</f>
        <v/>
      </c>
    </row>
    <row r="2497" spans="38:53" ht="15" customHeight="1" x14ac:dyDescent="0.25">
      <c r="AL2497" s="17"/>
      <c r="AM2497" s="12"/>
      <c r="AN2497" s="18"/>
      <c r="AO2497" s="18"/>
      <c r="AP2497" s="10"/>
      <c r="AQ2497" s="10"/>
      <c r="AR2497" s="19"/>
      <c r="AS2497" s="20"/>
      <c r="AT2497" s="19"/>
      <c r="AV2497" s="21">
        <f>IF(AND($AL2497&lt;&gt;"",COUNTIF($AL$11:$AL2497,$AL2497)=1),1,0)</f>
        <v>0</v>
      </c>
      <c r="AW2497" s="21">
        <f t="shared" si="163"/>
        <v>0</v>
      </c>
      <c r="AX2497" s="21" t="str">
        <f t="shared" si="162"/>
        <v/>
      </c>
      <c r="AY2497" s="21" t="str">
        <f>IF(AND($AM2497&lt;&gt;"",$AS2497&lt;&gt;"✓"),SUMPRODUCT(($AM$11:$AM2497&lt;&gt;"")*($AS$11:$AS2497&lt;&gt;"✓")),"")</f>
        <v/>
      </c>
      <c r="AZ2497" s="21" t="str">
        <f>IF(AND($AM2497&lt;&gt;"",$AS2497="✓"),SUMPRODUCT(($AM$11:$AM2497&lt;&gt;"")*($AS$11:$AS2497="✓")),"")</f>
        <v/>
      </c>
      <c r="BA2497" s="21" t="str">
        <f>IF($AL2497="","",$AL2497&amp;"|"&amp;COUNTIF($AL$11:$AL2497,$AL2497))</f>
        <v/>
      </c>
    </row>
    <row r="2498" spans="38:53" ht="15" customHeight="1" x14ac:dyDescent="0.25">
      <c r="AL2498" s="31"/>
      <c r="AM2498" s="26"/>
      <c r="AN2498" s="32"/>
      <c r="AO2498" s="32"/>
      <c r="AP2498" s="24"/>
      <c r="AQ2498" s="24"/>
      <c r="AR2498" s="33"/>
      <c r="AS2498" s="34"/>
      <c r="AT2498" s="33"/>
      <c r="AV2498" s="21">
        <f>IF(AND($AL2498&lt;&gt;"",COUNTIF($AL$11:$AL2498,$AL2498)=1),1,0)</f>
        <v>0</v>
      </c>
      <c r="AW2498" s="21">
        <f t="shared" si="163"/>
        <v>0</v>
      </c>
      <c r="AX2498" s="21" t="str">
        <f t="shared" si="162"/>
        <v/>
      </c>
      <c r="AY2498" s="21" t="str">
        <f>IF(AND($AM2498&lt;&gt;"",$AS2498&lt;&gt;"✓"),SUMPRODUCT(($AM$11:$AM2498&lt;&gt;"")*($AS$11:$AS2498&lt;&gt;"✓")),"")</f>
        <v/>
      </c>
      <c r="AZ2498" s="21" t="str">
        <f>IF(AND($AM2498&lt;&gt;"",$AS2498="✓"),SUMPRODUCT(($AM$11:$AM2498&lt;&gt;"")*($AS$11:$AS2498="✓")),"")</f>
        <v/>
      </c>
      <c r="BA2498" s="21" t="str">
        <f>IF($AL2498="","",$AL2498&amp;"|"&amp;COUNTIF($AL$11:$AL2498,$AL2498))</f>
        <v/>
      </c>
    </row>
    <row r="2499" spans="38:53" ht="15" customHeight="1" x14ac:dyDescent="0.25">
      <c r="AL2499" s="17"/>
      <c r="AM2499" s="12"/>
      <c r="AN2499" s="18"/>
      <c r="AO2499" s="18"/>
      <c r="AP2499" s="10"/>
      <c r="AQ2499" s="10"/>
      <c r="AR2499" s="19"/>
      <c r="AS2499" s="20"/>
      <c r="AT2499" s="19"/>
      <c r="AV2499" s="21">
        <f>IF(AND($AL2499&lt;&gt;"",COUNTIF($AL$11:$AL2499,$AL2499)=1),1,0)</f>
        <v>0</v>
      </c>
      <c r="AW2499" s="21">
        <f t="shared" si="163"/>
        <v>0</v>
      </c>
      <c r="AX2499" s="21" t="str">
        <f t="shared" si="162"/>
        <v/>
      </c>
      <c r="AY2499" s="21" t="str">
        <f>IF(AND($AM2499&lt;&gt;"",$AS2499&lt;&gt;"✓"),SUMPRODUCT(($AM$11:$AM2499&lt;&gt;"")*($AS$11:$AS2499&lt;&gt;"✓")),"")</f>
        <v/>
      </c>
      <c r="AZ2499" s="21" t="str">
        <f>IF(AND($AM2499&lt;&gt;"",$AS2499="✓"),SUMPRODUCT(($AM$11:$AM2499&lt;&gt;"")*($AS$11:$AS2499="✓")),"")</f>
        <v/>
      </c>
      <c r="BA2499" s="21" t="str">
        <f>IF($AL2499="","",$AL2499&amp;"|"&amp;COUNTIF($AL$11:$AL2499,$AL2499))</f>
        <v/>
      </c>
    </row>
    <row r="2500" spans="38:53" ht="15" customHeight="1" x14ac:dyDescent="0.25">
      <c r="AL2500" s="31"/>
      <c r="AM2500" s="26"/>
      <c r="AN2500" s="32"/>
      <c r="AO2500" s="32"/>
      <c r="AP2500" s="24"/>
      <c r="AQ2500" s="24"/>
      <c r="AR2500" s="33"/>
      <c r="AS2500" s="34"/>
      <c r="AT2500" s="33"/>
      <c r="AV2500" s="21">
        <f>IF(AND($AL2500&lt;&gt;"",COUNTIF($AL$11:$AL2500,$AL2500)=1),1,0)</f>
        <v>0</v>
      </c>
      <c r="AW2500" s="21">
        <f t="shared" si="163"/>
        <v>0</v>
      </c>
      <c r="AX2500" s="21" t="str">
        <f t="shared" si="162"/>
        <v/>
      </c>
      <c r="AY2500" s="21" t="str">
        <f>IF(AND($AM2500&lt;&gt;"",$AS2500&lt;&gt;"✓"),SUMPRODUCT(($AM$11:$AM2500&lt;&gt;"")*($AS$11:$AS2500&lt;&gt;"✓")),"")</f>
        <v/>
      </c>
      <c r="AZ2500" s="21" t="str">
        <f>IF(AND($AM2500&lt;&gt;"",$AS2500="✓"),SUMPRODUCT(($AM$11:$AM2500&lt;&gt;"")*($AS$11:$AS2500="✓")),"")</f>
        <v/>
      </c>
      <c r="BA2500" s="21" t="str">
        <f>IF($AL2500="","",$AL2500&amp;"|"&amp;COUNTIF($AL$11:$AL2500,$AL2500))</f>
        <v/>
      </c>
    </row>
    <row r="2501" spans="38:53" ht="15" customHeight="1" x14ac:dyDescent="0.25">
      <c r="AL2501" s="17"/>
      <c r="AM2501" s="12"/>
      <c r="AN2501" s="18"/>
      <c r="AO2501" s="18"/>
      <c r="AP2501" s="10"/>
      <c r="AQ2501" s="10"/>
      <c r="AR2501" s="19"/>
      <c r="AS2501" s="20"/>
      <c r="AT2501" s="19"/>
      <c r="AV2501" s="21">
        <f>IF(AND($AL2501&lt;&gt;"",COUNTIF($AL$11:$AL2501,$AL2501)=1),1,0)</f>
        <v>0</v>
      </c>
      <c r="AW2501" s="21">
        <f t="shared" si="163"/>
        <v>0</v>
      </c>
      <c r="AX2501" s="21" t="str">
        <f t="shared" si="162"/>
        <v/>
      </c>
      <c r="AY2501" s="21" t="str">
        <f>IF(AND($AM2501&lt;&gt;"",$AS2501&lt;&gt;"✓"),SUMPRODUCT(($AM$11:$AM2501&lt;&gt;"")*($AS$11:$AS2501&lt;&gt;"✓")),"")</f>
        <v/>
      </c>
      <c r="AZ2501" s="21" t="str">
        <f>IF(AND($AM2501&lt;&gt;"",$AS2501="✓"),SUMPRODUCT(($AM$11:$AM2501&lt;&gt;"")*($AS$11:$AS2501="✓")),"")</f>
        <v/>
      </c>
      <c r="BA2501" s="21" t="str">
        <f>IF($AL2501="","",$AL2501&amp;"|"&amp;COUNTIF($AL$11:$AL2501,$AL2501))</f>
        <v/>
      </c>
    </row>
    <row r="2502" spans="38:53" ht="15" customHeight="1" x14ac:dyDescent="0.25">
      <c r="AL2502" s="31"/>
      <c r="AM2502" s="26"/>
      <c r="AN2502" s="32"/>
      <c r="AO2502" s="32"/>
      <c r="AP2502" s="24"/>
      <c r="AQ2502" s="24"/>
      <c r="AR2502" s="33"/>
      <c r="AS2502" s="34"/>
      <c r="AT2502" s="33"/>
      <c r="AV2502" s="21">
        <f>IF(AND($AL2502&lt;&gt;"",COUNTIF($AL$11:$AL2502,$AL2502)=1),1,0)</f>
        <v>0</v>
      </c>
      <c r="AW2502" s="21">
        <f t="shared" si="163"/>
        <v>0</v>
      </c>
      <c r="AX2502" s="21" t="str">
        <f t="shared" si="162"/>
        <v/>
      </c>
      <c r="AY2502" s="21" t="str">
        <f>IF(AND($AM2502&lt;&gt;"",$AS2502&lt;&gt;"✓"),SUMPRODUCT(($AM$11:$AM2502&lt;&gt;"")*($AS$11:$AS2502&lt;&gt;"✓")),"")</f>
        <v/>
      </c>
      <c r="AZ2502" s="21" t="str">
        <f>IF(AND($AM2502&lt;&gt;"",$AS2502="✓"),SUMPRODUCT(($AM$11:$AM2502&lt;&gt;"")*($AS$11:$AS2502="✓")),"")</f>
        <v/>
      </c>
      <c r="BA2502" s="21" t="str">
        <f>IF($AL2502="","",$AL2502&amp;"|"&amp;COUNTIF($AL$11:$AL2502,$AL2502))</f>
        <v/>
      </c>
    </row>
    <row r="2503" spans="38:53" ht="15" customHeight="1" x14ac:dyDescent="0.25">
      <c r="AL2503" s="17"/>
      <c r="AM2503" s="12"/>
      <c r="AN2503" s="18"/>
      <c r="AO2503" s="18"/>
      <c r="AP2503" s="10"/>
      <c r="AQ2503" s="10"/>
      <c r="AR2503" s="19"/>
      <c r="AS2503" s="20"/>
      <c r="AT2503" s="19"/>
      <c r="AV2503" s="21">
        <f>IF(AND($AL2503&lt;&gt;"",COUNTIF($AL$11:$AL2503,$AL2503)=1),1,0)</f>
        <v>0</v>
      </c>
      <c r="AW2503" s="21">
        <f t="shared" si="163"/>
        <v>0</v>
      </c>
      <c r="AX2503" s="21" t="str">
        <f t="shared" si="162"/>
        <v/>
      </c>
      <c r="AY2503" s="21" t="str">
        <f>IF(AND($AM2503&lt;&gt;"",$AS2503&lt;&gt;"✓"),SUMPRODUCT(($AM$11:$AM2503&lt;&gt;"")*($AS$11:$AS2503&lt;&gt;"✓")),"")</f>
        <v/>
      </c>
      <c r="AZ2503" s="21" t="str">
        <f>IF(AND($AM2503&lt;&gt;"",$AS2503="✓"),SUMPRODUCT(($AM$11:$AM2503&lt;&gt;"")*($AS$11:$AS2503="✓")),"")</f>
        <v/>
      </c>
      <c r="BA2503" s="21" t="str">
        <f>IF($AL2503="","",$AL2503&amp;"|"&amp;COUNTIF($AL$11:$AL2503,$AL2503))</f>
        <v/>
      </c>
    </row>
    <row r="2504" spans="38:53" ht="15" customHeight="1" x14ac:dyDescent="0.25">
      <c r="AL2504" s="31"/>
      <c r="AM2504" s="26"/>
      <c r="AN2504" s="32"/>
      <c r="AO2504" s="32"/>
      <c r="AP2504" s="24"/>
      <c r="AQ2504" s="24"/>
      <c r="AR2504" s="33"/>
      <c r="AS2504" s="34"/>
      <c r="AT2504" s="33"/>
      <c r="AV2504" s="21">
        <f>IF(AND($AL2504&lt;&gt;"",COUNTIF($AL$11:$AL2504,$AL2504)=1),1,0)</f>
        <v>0</v>
      </c>
      <c r="AW2504" s="21">
        <f t="shared" si="163"/>
        <v>0</v>
      </c>
      <c r="AX2504" s="21" t="str">
        <f t="shared" si="162"/>
        <v/>
      </c>
      <c r="AY2504" s="21" t="str">
        <f>IF(AND($AM2504&lt;&gt;"",$AS2504&lt;&gt;"✓"),SUMPRODUCT(($AM$11:$AM2504&lt;&gt;"")*($AS$11:$AS2504&lt;&gt;"✓")),"")</f>
        <v/>
      </c>
      <c r="AZ2504" s="21" t="str">
        <f>IF(AND($AM2504&lt;&gt;"",$AS2504="✓"),SUMPRODUCT(($AM$11:$AM2504&lt;&gt;"")*($AS$11:$AS2504="✓")),"")</f>
        <v/>
      </c>
      <c r="BA2504" s="21" t="str">
        <f>IF($AL2504="","",$AL2504&amp;"|"&amp;COUNTIF($AL$11:$AL2504,$AL2504))</f>
        <v/>
      </c>
    </row>
    <row r="2505" spans="38:53" ht="15" customHeight="1" x14ac:dyDescent="0.25">
      <c r="AL2505" s="17"/>
      <c r="AM2505" s="12"/>
      <c r="AN2505" s="18"/>
      <c r="AO2505" s="18"/>
      <c r="AP2505" s="10"/>
      <c r="AQ2505" s="10"/>
      <c r="AR2505" s="19"/>
      <c r="AS2505" s="20"/>
      <c r="AT2505" s="19"/>
      <c r="AV2505" s="21">
        <f>IF(AND($AL2505&lt;&gt;"",COUNTIF($AL$11:$AL2505,$AL2505)=1),1,0)</f>
        <v>0</v>
      </c>
      <c r="AW2505" s="21">
        <f t="shared" si="163"/>
        <v>0</v>
      </c>
      <c r="AX2505" s="21" t="str">
        <f t="shared" si="162"/>
        <v/>
      </c>
      <c r="AY2505" s="21" t="str">
        <f>IF(AND($AM2505&lt;&gt;"",$AS2505&lt;&gt;"✓"),SUMPRODUCT(($AM$11:$AM2505&lt;&gt;"")*($AS$11:$AS2505&lt;&gt;"✓")),"")</f>
        <v/>
      </c>
      <c r="AZ2505" s="21" t="str">
        <f>IF(AND($AM2505&lt;&gt;"",$AS2505="✓"),SUMPRODUCT(($AM$11:$AM2505&lt;&gt;"")*($AS$11:$AS2505="✓")),"")</f>
        <v/>
      </c>
      <c r="BA2505" s="21" t="str">
        <f>IF($AL2505="","",$AL2505&amp;"|"&amp;COUNTIF($AL$11:$AL2505,$AL2505))</f>
        <v/>
      </c>
    </row>
    <row r="2506" spans="38:53" ht="15" customHeight="1" x14ac:dyDescent="0.25">
      <c r="AL2506" s="31"/>
      <c r="AM2506" s="26"/>
      <c r="AN2506" s="32"/>
      <c r="AO2506" s="32"/>
      <c r="AP2506" s="24"/>
      <c r="AQ2506" s="24"/>
      <c r="AR2506" s="33"/>
      <c r="AS2506" s="34"/>
      <c r="AT2506" s="33"/>
      <c r="AV2506" s="21">
        <f>IF(AND($AL2506&lt;&gt;"",COUNTIF($AL$11:$AL2506,$AL2506)=1),1,0)</f>
        <v>0</v>
      </c>
      <c r="AW2506" s="21">
        <f t="shared" si="163"/>
        <v>0</v>
      </c>
      <c r="AX2506" s="21" t="str">
        <f t="shared" si="162"/>
        <v/>
      </c>
      <c r="AY2506" s="21" t="str">
        <f>IF(AND($AM2506&lt;&gt;"",$AS2506&lt;&gt;"✓"),SUMPRODUCT(($AM$11:$AM2506&lt;&gt;"")*($AS$11:$AS2506&lt;&gt;"✓")),"")</f>
        <v/>
      </c>
      <c r="AZ2506" s="21" t="str">
        <f>IF(AND($AM2506&lt;&gt;"",$AS2506="✓"),SUMPRODUCT(($AM$11:$AM2506&lt;&gt;"")*($AS$11:$AS2506="✓")),"")</f>
        <v/>
      </c>
      <c r="BA2506" s="21" t="str">
        <f>IF($AL2506="","",$AL2506&amp;"|"&amp;COUNTIF($AL$11:$AL2506,$AL2506))</f>
        <v/>
      </c>
    </row>
    <row r="2507" spans="38:53" ht="15" customHeight="1" x14ac:dyDescent="0.25">
      <c r="AL2507" s="17"/>
      <c r="AM2507" s="12"/>
      <c r="AN2507" s="18"/>
      <c r="AO2507" s="18"/>
      <c r="AP2507" s="10"/>
      <c r="AQ2507" s="10"/>
      <c r="AR2507" s="19"/>
      <c r="AS2507" s="20"/>
      <c r="AT2507" s="19"/>
      <c r="AV2507" s="21">
        <f>IF(AND($AL2507&lt;&gt;"",COUNTIF($AL$11:$AL2507,$AL2507)=1),1,0)</f>
        <v>0</v>
      </c>
      <c r="AW2507" s="21">
        <f t="shared" si="163"/>
        <v>0</v>
      </c>
      <c r="AX2507" s="21" t="str">
        <f t="shared" ref="AX2507:AX2570" si="164">IF(AV2507=1,AW2507,"")</f>
        <v/>
      </c>
      <c r="AY2507" s="21" t="str">
        <f>IF(AND($AM2507&lt;&gt;"",$AS2507&lt;&gt;"✓"),SUMPRODUCT(($AM$11:$AM2507&lt;&gt;"")*($AS$11:$AS2507&lt;&gt;"✓")),"")</f>
        <v/>
      </c>
      <c r="AZ2507" s="21" t="str">
        <f>IF(AND($AM2507&lt;&gt;"",$AS2507="✓"),SUMPRODUCT(($AM$11:$AM2507&lt;&gt;"")*($AS$11:$AS2507="✓")),"")</f>
        <v/>
      </c>
      <c r="BA2507" s="21" t="str">
        <f>IF($AL2507="","",$AL2507&amp;"|"&amp;COUNTIF($AL$11:$AL2507,$AL2507))</f>
        <v/>
      </c>
    </row>
    <row r="2508" spans="38:53" ht="15" customHeight="1" x14ac:dyDescent="0.25">
      <c r="AL2508" s="31"/>
      <c r="AM2508" s="26"/>
      <c r="AN2508" s="32"/>
      <c r="AO2508" s="32"/>
      <c r="AP2508" s="24"/>
      <c r="AQ2508" s="24"/>
      <c r="AR2508" s="33"/>
      <c r="AS2508" s="34"/>
      <c r="AT2508" s="33"/>
      <c r="AV2508" s="21">
        <f>IF(AND($AL2508&lt;&gt;"",COUNTIF($AL$11:$AL2508,$AL2508)=1),1,0)</f>
        <v>0</v>
      </c>
      <c r="AW2508" s="21">
        <f t="shared" ref="AW2508:AW2571" si="165">AW2507+AV2508</f>
        <v>0</v>
      </c>
      <c r="AX2508" s="21" t="str">
        <f t="shared" si="164"/>
        <v/>
      </c>
      <c r="AY2508" s="21" t="str">
        <f>IF(AND($AM2508&lt;&gt;"",$AS2508&lt;&gt;"✓"),SUMPRODUCT(($AM$11:$AM2508&lt;&gt;"")*($AS$11:$AS2508&lt;&gt;"✓")),"")</f>
        <v/>
      </c>
      <c r="AZ2508" s="21" t="str">
        <f>IF(AND($AM2508&lt;&gt;"",$AS2508="✓"),SUMPRODUCT(($AM$11:$AM2508&lt;&gt;"")*($AS$11:$AS2508="✓")),"")</f>
        <v/>
      </c>
      <c r="BA2508" s="21" t="str">
        <f>IF($AL2508="","",$AL2508&amp;"|"&amp;COUNTIF($AL$11:$AL2508,$AL2508))</f>
        <v/>
      </c>
    </row>
    <row r="2509" spans="38:53" ht="15" customHeight="1" x14ac:dyDescent="0.25">
      <c r="AL2509" s="17"/>
      <c r="AM2509" s="12"/>
      <c r="AN2509" s="18"/>
      <c r="AO2509" s="18"/>
      <c r="AP2509" s="10"/>
      <c r="AQ2509" s="10"/>
      <c r="AR2509" s="19"/>
      <c r="AS2509" s="20"/>
      <c r="AT2509" s="19"/>
      <c r="AV2509" s="21">
        <f>IF(AND($AL2509&lt;&gt;"",COUNTIF($AL$11:$AL2509,$AL2509)=1),1,0)</f>
        <v>0</v>
      </c>
      <c r="AW2509" s="21">
        <f t="shared" si="165"/>
        <v>0</v>
      </c>
      <c r="AX2509" s="21" t="str">
        <f t="shared" si="164"/>
        <v/>
      </c>
      <c r="AY2509" s="21" t="str">
        <f>IF(AND($AM2509&lt;&gt;"",$AS2509&lt;&gt;"✓"),SUMPRODUCT(($AM$11:$AM2509&lt;&gt;"")*($AS$11:$AS2509&lt;&gt;"✓")),"")</f>
        <v/>
      </c>
      <c r="AZ2509" s="21" t="str">
        <f>IF(AND($AM2509&lt;&gt;"",$AS2509="✓"),SUMPRODUCT(($AM$11:$AM2509&lt;&gt;"")*($AS$11:$AS2509="✓")),"")</f>
        <v/>
      </c>
      <c r="BA2509" s="21" t="str">
        <f>IF($AL2509="","",$AL2509&amp;"|"&amp;COUNTIF($AL$11:$AL2509,$AL2509))</f>
        <v/>
      </c>
    </row>
    <row r="2510" spans="38:53" ht="15" customHeight="1" x14ac:dyDescent="0.25">
      <c r="AL2510" s="31"/>
      <c r="AM2510" s="26"/>
      <c r="AN2510" s="32"/>
      <c r="AO2510" s="32"/>
      <c r="AP2510" s="24"/>
      <c r="AQ2510" s="24"/>
      <c r="AR2510" s="33"/>
      <c r="AS2510" s="34"/>
      <c r="AT2510" s="33"/>
      <c r="AV2510" s="21">
        <f>IF(AND($AL2510&lt;&gt;"",COUNTIF($AL$11:$AL2510,$AL2510)=1),1,0)</f>
        <v>0</v>
      </c>
      <c r="AW2510" s="21">
        <f t="shared" si="165"/>
        <v>0</v>
      </c>
      <c r="AX2510" s="21" t="str">
        <f t="shared" si="164"/>
        <v/>
      </c>
      <c r="AY2510" s="21" t="str">
        <f>IF(AND($AM2510&lt;&gt;"",$AS2510&lt;&gt;"✓"),SUMPRODUCT(($AM$11:$AM2510&lt;&gt;"")*($AS$11:$AS2510&lt;&gt;"✓")),"")</f>
        <v/>
      </c>
      <c r="AZ2510" s="21" t="str">
        <f>IF(AND($AM2510&lt;&gt;"",$AS2510="✓"),SUMPRODUCT(($AM$11:$AM2510&lt;&gt;"")*($AS$11:$AS2510="✓")),"")</f>
        <v/>
      </c>
      <c r="BA2510" s="21" t="str">
        <f>IF($AL2510="","",$AL2510&amp;"|"&amp;COUNTIF($AL$11:$AL2510,$AL2510))</f>
        <v/>
      </c>
    </row>
    <row r="2511" spans="38:53" ht="15" customHeight="1" x14ac:dyDescent="0.25">
      <c r="AL2511" s="17"/>
      <c r="AM2511" s="12"/>
      <c r="AN2511" s="18"/>
      <c r="AO2511" s="18"/>
      <c r="AP2511" s="10"/>
      <c r="AQ2511" s="10"/>
      <c r="AR2511" s="19"/>
      <c r="AS2511" s="20"/>
      <c r="AT2511" s="19"/>
      <c r="AV2511" s="21">
        <f>IF(AND($AL2511&lt;&gt;"",COUNTIF($AL$11:$AL2511,$AL2511)=1),1,0)</f>
        <v>0</v>
      </c>
      <c r="AW2511" s="21">
        <f t="shared" si="165"/>
        <v>0</v>
      </c>
      <c r="AX2511" s="21" t="str">
        <f t="shared" si="164"/>
        <v/>
      </c>
      <c r="AY2511" s="21" t="str">
        <f>IF(AND($AM2511&lt;&gt;"",$AS2511&lt;&gt;"✓"),SUMPRODUCT(($AM$11:$AM2511&lt;&gt;"")*($AS$11:$AS2511&lt;&gt;"✓")),"")</f>
        <v/>
      </c>
      <c r="AZ2511" s="21" t="str">
        <f>IF(AND($AM2511&lt;&gt;"",$AS2511="✓"),SUMPRODUCT(($AM$11:$AM2511&lt;&gt;"")*($AS$11:$AS2511="✓")),"")</f>
        <v/>
      </c>
      <c r="BA2511" s="21" t="str">
        <f>IF($AL2511="","",$AL2511&amp;"|"&amp;COUNTIF($AL$11:$AL2511,$AL2511))</f>
        <v/>
      </c>
    </row>
    <row r="2512" spans="38:53" ht="15" customHeight="1" x14ac:dyDescent="0.25">
      <c r="AL2512" s="31"/>
      <c r="AM2512" s="26"/>
      <c r="AN2512" s="32"/>
      <c r="AO2512" s="32"/>
      <c r="AP2512" s="24"/>
      <c r="AQ2512" s="24"/>
      <c r="AR2512" s="33"/>
      <c r="AS2512" s="34"/>
      <c r="AT2512" s="33"/>
      <c r="AV2512" s="21">
        <f>IF(AND($AL2512&lt;&gt;"",COUNTIF($AL$11:$AL2512,$AL2512)=1),1,0)</f>
        <v>0</v>
      </c>
      <c r="AW2512" s="21">
        <f t="shared" si="165"/>
        <v>0</v>
      </c>
      <c r="AX2512" s="21" t="str">
        <f t="shared" si="164"/>
        <v/>
      </c>
      <c r="AY2512" s="21" t="str">
        <f>IF(AND($AM2512&lt;&gt;"",$AS2512&lt;&gt;"✓"),SUMPRODUCT(($AM$11:$AM2512&lt;&gt;"")*($AS$11:$AS2512&lt;&gt;"✓")),"")</f>
        <v/>
      </c>
      <c r="AZ2512" s="21" t="str">
        <f>IF(AND($AM2512&lt;&gt;"",$AS2512="✓"),SUMPRODUCT(($AM$11:$AM2512&lt;&gt;"")*($AS$11:$AS2512="✓")),"")</f>
        <v/>
      </c>
      <c r="BA2512" s="21" t="str">
        <f>IF($AL2512="","",$AL2512&amp;"|"&amp;COUNTIF($AL$11:$AL2512,$AL2512))</f>
        <v/>
      </c>
    </row>
    <row r="2513" spans="38:53" ht="15" customHeight="1" x14ac:dyDescent="0.25">
      <c r="AL2513" s="17"/>
      <c r="AM2513" s="12"/>
      <c r="AN2513" s="18"/>
      <c r="AO2513" s="18"/>
      <c r="AP2513" s="10"/>
      <c r="AQ2513" s="10"/>
      <c r="AR2513" s="19"/>
      <c r="AS2513" s="20"/>
      <c r="AT2513" s="19"/>
      <c r="AV2513" s="21">
        <f>IF(AND($AL2513&lt;&gt;"",COUNTIF($AL$11:$AL2513,$AL2513)=1),1,0)</f>
        <v>0</v>
      </c>
      <c r="AW2513" s="21">
        <f t="shared" si="165"/>
        <v>0</v>
      </c>
      <c r="AX2513" s="21" t="str">
        <f t="shared" si="164"/>
        <v/>
      </c>
      <c r="AY2513" s="21" t="str">
        <f>IF(AND($AM2513&lt;&gt;"",$AS2513&lt;&gt;"✓"),SUMPRODUCT(($AM$11:$AM2513&lt;&gt;"")*($AS$11:$AS2513&lt;&gt;"✓")),"")</f>
        <v/>
      </c>
      <c r="AZ2513" s="21" t="str">
        <f>IF(AND($AM2513&lt;&gt;"",$AS2513="✓"),SUMPRODUCT(($AM$11:$AM2513&lt;&gt;"")*($AS$11:$AS2513="✓")),"")</f>
        <v/>
      </c>
      <c r="BA2513" s="21" t="str">
        <f>IF($AL2513="","",$AL2513&amp;"|"&amp;COUNTIF($AL$11:$AL2513,$AL2513))</f>
        <v/>
      </c>
    </row>
    <row r="2514" spans="38:53" ht="15" customHeight="1" x14ac:dyDescent="0.25">
      <c r="AL2514" s="31"/>
      <c r="AM2514" s="26"/>
      <c r="AN2514" s="32"/>
      <c r="AO2514" s="32"/>
      <c r="AP2514" s="24"/>
      <c r="AQ2514" s="24"/>
      <c r="AR2514" s="33"/>
      <c r="AS2514" s="34"/>
      <c r="AT2514" s="33"/>
      <c r="AV2514" s="21">
        <f>IF(AND($AL2514&lt;&gt;"",COUNTIF($AL$11:$AL2514,$AL2514)=1),1,0)</f>
        <v>0</v>
      </c>
      <c r="AW2514" s="21">
        <f t="shared" si="165"/>
        <v>0</v>
      </c>
      <c r="AX2514" s="21" t="str">
        <f t="shared" si="164"/>
        <v/>
      </c>
      <c r="AY2514" s="21" t="str">
        <f>IF(AND($AM2514&lt;&gt;"",$AS2514&lt;&gt;"✓"),SUMPRODUCT(($AM$11:$AM2514&lt;&gt;"")*($AS$11:$AS2514&lt;&gt;"✓")),"")</f>
        <v/>
      </c>
      <c r="AZ2514" s="21" t="str">
        <f>IF(AND($AM2514&lt;&gt;"",$AS2514="✓"),SUMPRODUCT(($AM$11:$AM2514&lt;&gt;"")*($AS$11:$AS2514="✓")),"")</f>
        <v/>
      </c>
      <c r="BA2514" s="21" t="str">
        <f>IF($AL2514="","",$AL2514&amp;"|"&amp;COUNTIF($AL$11:$AL2514,$AL2514))</f>
        <v/>
      </c>
    </row>
    <row r="2515" spans="38:53" ht="15" customHeight="1" x14ac:dyDescent="0.25">
      <c r="AL2515" s="17"/>
      <c r="AM2515" s="12"/>
      <c r="AN2515" s="18"/>
      <c r="AO2515" s="18"/>
      <c r="AP2515" s="10"/>
      <c r="AQ2515" s="10"/>
      <c r="AR2515" s="19"/>
      <c r="AS2515" s="20"/>
      <c r="AT2515" s="19"/>
      <c r="AV2515" s="21">
        <f>IF(AND($AL2515&lt;&gt;"",COUNTIF($AL$11:$AL2515,$AL2515)=1),1,0)</f>
        <v>0</v>
      </c>
      <c r="AW2515" s="21">
        <f t="shared" si="165"/>
        <v>0</v>
      </c>
      <c r="AX2515" s="21" t="str">
        <f t="shared" si="164"/>
        <v/>
      </c>
      <c r="AY2515" s="21" t="str">
        <f>IF(AND($AM2515&lt;&gt;"",$AS2515&lt;&gt;"✓"),SUMPRODUCT(($AM$11:$AM2515&lt;&gt;"")*($AS$11:$AS2515&lt;&gt;"✓")),"")</f>
        <v/>
      </c>
      <c r="AZ2515" s="21" t="str">
        <f>IF(AND($AM2515&lt;&gt;"",$AS2515="✓"),SUMPRODUCT(($AM$11:$AM2515&lt;&gt;"")*($AS$11:$AS2515="✓")),"")</f>
        <v/>
      </c>
      <c r="BA2515" s="21" t="str">
        <f>IF($AL2515="","",$AL2515&amp;"|"&amp;COUNTIF($AL$11:$AL2515,$AL2515))</f>
        <v/>
      </c>
    </row>
    <row r="2516" spans="38:53" ht="15" customHeight="1" x14ac:dyDescent="0.25">
      <c r="AL2516" s="31"/>
      <c r="AM2516" s="26"/>
      <c r="AN2516" s="32"/>
      <c r="AO2516" s="32"/>
      <c r="AP2516" s="24"/>
      <c r="AQ2516" s="24"/>
      <c r="AR2516" s="33"/>
      <c r="AS2516" s="34"/>
      <c r="AT2516" s="33"/>
      <c r="AV2516" s="21">
        <f>IF(AND($AL2516&lt;&gt;"",COUNTIF($AL$11:$AL2516,$AL2516)=1),1,0)</f>
        <v>0</v>
      </c>
      <c r="AW2516" s="21">
        <f t="shared" si="165"/>
        <v>0</v>
      </c>
      <c r="AX2516" s="21" t="str">
        <f t="shared" si="164"/>
        <v/>
      </c>
      <c r="AY2516" s="21" t="str">
        <f>IF(AND($AM2516&lt;&gt;"",$AS2516&lt;&gt;"✓"),SUMPRODUCT(($AM$11:$AM2516&lt;&gt;"")*($AS$11:$AS2516&lt;&gt;"✓")),"")</f>
        <v/>
      </c>
      <c r="AZ2516" s="21" t="str">
        <f>IF(AND($AM2516&lt;&gt;"",$AS2516="✓"),SUMPRODUCT(($AM$11:$AM2516&lt;&gt;"")*($AS$11:$AS2516="✓")),"")</f>
        <v/>
      </c>
      <c r="BA2516" s="21" t="str">
        <f>IF($AL2516="","",$AL2516&amp;"|"&amp;COUNTIF($AL$11:$AL2516,$AL2516))</f>
        <v/>
      </c>
    </row>
    <row r="2517" spans="38:53" ht="15" customHeight="1" x14ac:dyDescent="0.25">
      <c r="AL2517" s="17"/>
      <c r="AM2517" s="12"/>
      <c r="AN2517" s="18"/>
      <c r="AO2517" s="18"/>
      <c r="AP2517" s="10"/>
      <c r="AQ2517" s="10"/>
      <c r="AR2517" s="19"/>
      <c r="AS2517" s="20"/>
      <c r="AT2517" s="19"/>
      <c r="AV2517" s="21">
        <f>IF(AND($AL2517&lt;&gt;"",COUNTIF($AL$11:$AL2517,$AL2517)=1),1,0)</f>
        <v>0</v>
      </c>
      <c r="AW2517" s="21">
        <f t="shared" si="165"/>
        <v>0</v>
      </c>
      <c r="AX2517" s="21" t="str">
        <f t="shared" si="164"/>
        <v/>
      </c>
      <c r="AY2517" s="21" t="str">
        <f>IF(AND($AM2517&lt;&gt;"",$AS2517&lt;&gt;"✓"),SUMPRODUCT(($AM$11:$AM2517&lt;&gt;"")*($AS$11:$AS2517&lt;&gt;"✓")),"")</f>
        <v/>
      </c>
      <c r="AZ2517" s="21" t="str">
        <f>IF(AND($AM2517&lt;&gt;"",$AS2517="✓"),SUMPRODUCT(($AM$11:$AM2517&lt;&gt;"")*($AS$11:$AS2517="✓")),"")</f>
        <v/>
      </c>
      <c r="BA2517" s="21" t="str">
        <f>IF($AL2517="","",$AL2517&amp;"|"&amp;COUNTIF($AL$11:$AL2517,$AL2517))</f>
        <v/>
      </c>
    </row>
    <row r="2518" spans="38:53" ht="15" customHeight="1" x14ac:dyDescent="0.25">
      <c r="AL2518" s="31"/>
      <c r="AM2518" s="26"/>
      <c r="AN2518" s="32"/>
      <c r="AO2518" s="32"/>
      <c r="AP2518" s="24"/>
      <c r="AQ2518" s="24"/>
      <c r="AR2518" s="33"/>
      <c r="AS2518" s="34"/>
      <c r="AT2518" s="33"/>
      <c r="AV2518" s="21">
        <f>IF(AND($AL2518&lt;&gt;"",COUNTIF($AL$11:$AL2518,$AL2518)=1),1,0)</f>
        <v>0</v>
      </c>
      <c r="AW2518" s="21">
        <f t="shared" si="165"/>
        <v>0</v>
      </c>
      <c r="AX2518" s="21" t="str">
        <f t="shared" si="164"/>
        <v/>
      </c>
      <c r="AY2518" s="21" t="str">
        <f>IF(AND($AM2518&lt;&gt;"",$AS2518&lt;&gt;"✓"),SUMPRODUCT(($AM$11:$AM2518&lt;&gt;"")*($AS$11:$AS2518&lt;&gt;"✓")),"")</f>
        <v/>
      </c>
      <c r="AZ2518" s="21" t="str">
        <f>IF(AND($AM2518&lt;&gt;"",$AS2518="✓"),SUMPRODUCT(($AM$11:$AM2518&lt;&gt;"")*($AS$11:$AS2518="✓")),"")</f>
        <v/>
      </c>
      <c r="BA2518" s="21" t="str">
        <f>IF($AL2518="","",$AL2518&amp;"|"&amp;COUNTIF($AL$11:$AL2518,$AL2518))</f>
        <v/>
      </c>
    </row>
    <row r="2519" spans="38:53" ht="15" customHeight="1" x14ac:dyDescent="0.25">
      <c r="AL2519" s="17"/>
      <c r="AM2519" s="12"/>
      <c r="AN2519" s="18"/>
      <c r="AO2519" s="18"/>
      <c r="AP2519" s="10"/>
      <c r="AQ2519" s="10"/>
      <c r="AR2519" s="19"/>
      <c r="AS2519" s="20"/>
      <c r="AT2519" s="19"/>
      <c r="AV2519" s="21">
        <f>IF(AND($AL2519&lt;&gt;"",COUNTIF($AL$11:$AL2519,$AL2519)=1),1,0)</f>
        <v>0</v>
      </c>
      <c r="AW2519" s="21">
        <f t="shared" si="165"/>
        <v>0</v>
      </c>
      <c r="AX2519" s="21" t="str">
        <f t="shared" si="164"/>
        <v/>
      </c>
      <c r="AY2519" s="21" t="str">
        <f>IF(AND($AM2519&lt;&gt;"",$AS2519&lt;&gt;"✓"),SUMPRODUCT(($AM$11:$AM2519&lt;&gt;"")*($AS$11:$AS2519&lt;&gt;"✓")),"")</f>
        <v/>
      </c>
      <c r="AZ2519" s="21" t="str">
        <f>IF(AND($AM2519&lt;&gt;"",$AS2519="✓"),SUMPRODUCT(($AM$11:$AM2519&lt;&gt;"")*($AS$11:$AS2519="✓")),"")</f>
        <v/>
      </c>
      <c r="BA2519" s="21" t="str">
        <f>IF($AL2519="","",$AL2519&amp;"|"&amp;COUNTIF($AL$11:$AL2519,$AL2519))</f>
        <v/>
      </c>
    </row>
    <row r="2520" spans="38:53" ht="15" customHeight="1" x14ac:dyDescent="0.25">
      <c r="AL2520" s="31"/>
      <c r="AM2520" s="26"/>
      <c r="AN2520" s="32"/>
      <c r="AO2520" s="32"/>
      <c r="AP2520" s="24"/>
      <c r="AQ2520" s="24"/>
      <c r="AR2520" s="33"/>
      <c r="AS2520" s="34"/>
      <c r="AT2520" s="33"/>
      <c r="AV2520" s="21">
        <f>IF(AND($AL2520&lt;&gt;"",COUNTIF($AL$11:$AL2520,$AL2520)=1),1,0)</f>
        <v>0</v>
      </c>
      <c r="AW2520" s="21">
        <f t="shared" si="165"/>
        <v>0</v>
      </c>
      <c r="AX2520" s="21" t="str">
        <f t="shared" si="164"/>
        <v/>
      </c>
      <c r="AY2520" s="21" t="str">
        <f>IF(AND($AM2520&lt;&gt;"",$AS2520&lt;&gt;"✓"),SUMPRODUCT(($AM$11:$AM2520&lt;&gt;"")*($AS$11:$AS2520&lt;&gt;"✓")),"")</f>
        <v/>
      </c>
      <c r="AZ2520" s="21" t="str">
        <f>IF(AND($AM2520&lt;&gt;"",$AS2520="✓"),SUMPRODUCT(($AM$11:$AM2520&lt;&gt;"")*($AS$11:$AS2520="✓")),"")</f>
        <v/>
      </c>
      <c r="BA2520" s="21" t="str">
        <f>IF($AL2520="","",$AL2520&amp;"|"&amp;COUNTIF($AL$11:$AL2520,$AL2520))</f>
        <v/>
      </c>
    </row>
    <row r="2521" spans="38:53" ht="15" customHeight="1" x14ac:dyDescent="0.25">
      <c r="AL2521" s="17"/>
      <c r="AM2521" s="12"/>
      <c r="AN2521" s="18"/>
      <c r="AO2521" s="18"/>
      <c r="AP2521" s="10"/>
      <c r="AQ2521" s="10"/>
      <c r="AR2521" s="19"/>
      <c r="AS2521" s="20"/>
      <c r="AT2521" s="19"/>
      <c r="AV2521" s="21">
        <f>IF(AND($AL2521&lt;&gt;"",COUNTIF($AL$11:$AL2521,$AL2521)=1),1,0)</f>
        <v>0</v>
      </c>
      <c r="AW2521" s="21">
        <f t="shared" si="165"/>
        <v>0</v>
      </c>
      <c r="AX2521" s="21" t="str">
        <f t="shared" si="164"/>
        <v/>
      </c>
      <c r="AY2521" s="21" t="str">
        <f>IF(AND($AM2521&lt;&gt;"",$AS2521&lt;&gt;"✓"),SUMPRODUCT(($AM$11:$AM2521&lt;&gt;"")*($AS$11:$AS2521&lt;&gt;"✓")),"")</f>
        <v/>
      </c>
      <c r="AZ2521" s="21" t="str">
        <f>IF(AND($AM2521&lt;&gt;"",$AS2521="✓"),SUMPRODUCT(($AM$11:$AM2521&lt;&gt;"")*($AS$11:$AS2521="✓")),"")</f>
        <v/>
      </c>
      <c r="BA2521" s="21" t="str">
        <f>IF($AL2521="","",$AL2521&amp;"|"&amp;COUNTIF($AL$11:$AL2521,$AL2521))</f>
        <v/>
      </c>
    </row>
    <row r="2522" spans="38:53" ht="15" customHeight="1" x14ac:dyDescent="0.25">
      <c r="AL2522" s="31"/>
      <c r="AM2522" s="26"/>
      <c r="AN2522" s="32"/>
      <c r="AO2522" s="32"/>
      <c r="AP2522" s="24"/>
      <c r="AQ2522" s="24"/>
      <c r="AR2522" s="33"/>
      <c r="AS2522" s="34"/>
      <c r="AT2522" s="33"/>
      <c r="AV2522" s="21">
        <f>IF(AND($AL2522&lt;&gt;"",COUNTIF($AL$11:$AL2522,$AL2522)=1),1,0)</f>
        <v>0</v>
      </c>
      <c r="AW2522" s="21">
        <f t="shared" si="165"/>
        <v>0</v>
      </c>
      <c r="AX2522" s="21" t="str">
        <f t="shared" si="164"/>
        <v/>
      </c>
      <c r="AY2522" s="21" t="str">
        <f>IF(AND($AM2522&lt;&gt;"",$AS2522&lt;&gt;"✓"),SUMPRODUCT(($AM$11:$AM2522&lt;&gt;"")*($AS$11:$AS2522&lt;&gt;"✓")),"")</f>
        <v/>
      </c>
      <c r="AZ2522" s="21" t="str">
        <f>IF(AND($AM2522&lt;&gt;"",$AS2522="✓"),SUMPRODUCT(($AM$11:$AM2522&lt;&gt;"")*($AS$11:$AS2522="✓")),"")</f>
        <v/>
      </c>
      <c r="BA2522" s="21" t="str">
        <f>IF($AL2522="","",$AL2522&amp;"|"&amp;COUNTIF($AL$11:$AL2522,$AL2522))</f>
        <v/>
      </c>
    </row>
    <row r="2523" spans="38:53" ht="15" customHeight="1" x14ac:dyDescent="0.25">
      <c r="AL2523" s="17"/>
      <c r="AM2523" s="12"/>
      <c r="AN2523" s="18"/>
      <c r="AO2523" s="18"/>
      <c r="AP2523" s="10"/>
      <c r="AQ2523" s="10"/>
      <c r="AR2523" s="19"/>
      <c r="AS2523" s="20"/>
      <c r="AT2523" s="19"/>
      <c r="AV2523" s="21">
        <f>IF(AND($AL2523&lt;&gt;"",COUNTIF($AL$11:$AL2523,$AL2523)=1),1,0)</f>
        <v>0</v>
      </c>
      <c r="AW2523" s="21">
        <f t="shared" si="165"/>
        <v>0</v>
      </c>
      <c r="AX2523" s="21" t="str">
        <f t="shared" si="164"/>
        <v/>
      </c>
      <c r="AY2523" s="21" t="str">
        <f>IF(AND($AM2523&lt;&gt;"",$AS2523&lt;&gt;"✓"),SUMPRODUCT(($AM$11:$AM2523&lt;&gt;"")*($AS$11:$AS2523&lt;&gt;"✓")),"")</f>
        <v/>
      </c>
      <c r="AZ2523" s="21" t="str">
        <f>IF(AND($AM2523&lt;&gt;"",$AS2523="✓"),SUMPRODUCT(($AM$11:$AM2523&lt;&gt;"")*($AS$11:$AS2523="✓")),"")</f>
        <v/>
      </c>
      <c r="BA2523" s="21" t="str">
        <f>IF($AL2523="","",$AL2523&amp;"|"&amp;COUNTIF($AL$11:$AL2523,$AL2523))</f>
        <v/>
      </c>
    </row>
    <row r="2524" spans="38:53" ht="15" customHeight="1" x14ac:dyDescent="0.25">
      <c r="AL2524" s="31"/>
      <c r="AM2524" s="26"/>
      <c r="AN2524" s="32"/>
      <c r="AO2524" s="32"/>
      <c r="AP2524" s="24"/>
      <c r="AQ2524" s="24"/>
      <c r="AR2524" s="33"/>
      <c r="AS2524" s="34"/>
      <c r="AT2524" s="33"/>
      <c r="AV2524" s="21">
        <f>IF(AND($AL2524&lt;&gt;"",COUNTIF($AL$11:$AL2524,$AL2524)=1),1,0)</f>
        <v>0</v>
      </c>
      <c r="AW2524" s="21">
        <f t="shared" si="165"/>
        <v>0</v>
      </c>
      <c r="AX2524" s="21" t="str">
        <f t="shared" si="164"/>
        <v/>
      </c>
      <c r="AY2524" s="21" t="str">
        <f>IF(AND($AM2524&lt;&gt;"",$AS2524&lt;&gt;"✓"),SUMPRODUCT(($AM$11:$AM2524&lt;&gt;"")*($AS$11:$AS2524&lt;&gt;"✓")),"")</f>
        <v/>
      </c>
      <c r="AZ2524" s="21" t="str">
        <f>IF(AND($AM2524&lt;&gt;"",$AS2524="✓"),SUMPRODUCT(($AM$11:$AM2524&lt;&gt;"")*($AS$11:$AS2524="✓")),"")</f>
        <v/>
      </c>
      <c r="BA2524" s="21" t="str">
        <f>IF($AL2524="","",$AL2524&amp;"|"&amp;COUNTIF($AL$11:$AL2524,$AL2524))</f>
        <v/>
      </c>
    </row>
    <row r="2525" spans="38:53" ht="15" customHeight="1" x14ac:dyDescent="0.25">
      <c r="AL2525" s="17"/>
      <c r="AM2525" s="12"/>
      <c r="AN2525" s="18"/>
      <c r="AO2525" s="18"/>
      <c r="AP2525" s="10"/>
      <c r="AQ2525" s="10"/>
      <c r="AR2525" s="19"/>
      <c r="AS2525" s="20"/>
      <c r="AT2525" s="19"/>
      <c r="AV2525" s="21">
        <f>IF(AND($AL2525&lt;&gt;"",COUNTIF($AL$11:$AL2525,$AL2525)=1),1,0)</f>
        <v>0</v>
      </c>
      <c r="AW2525" s="21">
        <f t="shared" si="165"/>
        <v>0</v>
      </c>
      <c r="AX2525" s="21" t="str">
        <f t="shared" si="164"/>
        <v/>
      </c>
      <c r="AY2525" s="21" t="str">
        <f>IF(AND($AM2525&lt;&gt;"",$AS2525&lt;&gt;"✓"),SUMPRODUCT(($AM$11:$AM2525&lt;&gt;"")*($AS$11:$AS2525&lt;&gt;"✓")),"")</f>
        <v/>
      </c>
      <c r="AZ2525" s="21" t="str">
        <f>IF(AND($AM2525&lt;&gt;"",$AS2525="✓"),SUMPRODUCT(($AM$11:$AM2525&lt;&gt;"")*($AS$11:$AS2525="✓")),"")</f>
        <v/>
      </c>
      <c r="BA2525" s="21" t="str">
        <f>IF($AL2525="","",$AL2525&amp;"|"&amp;COUNTIF($AL$11:$AL2525,$AL2525))</f>
        <v/>
      </c>
    </row>
    <row r="2526" spans="38:53" ht="15" customHeight="1" x14ac:dyDescent="0.25">
      <c r="AL2526" s="31"/>
      <c r="AM2526" s="26"/>
      <c r="AN2526" s="32"/>
      <c r="AO2526" s="32"/>
      <c r="AP2526" s="24"/>
      <c r="AQ2526" s="24"/>
      <c r="AR2526" s="33"/>
      <c r="AS2526" s="34"/>
      <c r="AT2526" s="33"/>
      <c r="AV2526" s="21">
        <f>IF(AND($AL2526&lt;&gt;"",COUNTIF($AL$11:$AL2526,$AL2526)=1),1,0)</f>
        <v>0</v>
      </c>
      <c r="AW2526" s="21">
        <f t="shared" si="165"/>
        <v>0</v>
      </c>
      <c r="AX2526" s="21" t="str">
        <f t="shared" si="164"/>
        <v/>
      </c>
      <c r="AY2526" s="21" t="str">
        <f>IF(AND($AM2526&lt;&gt;"",$AS2526&lt;&gt;"✓"),SUMPRODUCT(($AM$11:$AM2526&lt;&gt;"")*($AS$11:$AS2526&lt;&gt;"✓")),"")</f>
        <v/>
      </c>
      <c r="AZ2526" s="21" t="str">
        <f>IF(AND($AM2526&lt;&gt;"",$AS2526="✓"),SUMPRODUCT(($AM$11:$AM2526&lt;&gt;"")*($AS$11:$AS2526="✓")),"")</f>
        <v/>
      </c>
      <c r="BA2526" s="21" t="str">
        <f>IF($AL2526="","",$AL2526&amp;"|"&amp;COUNTIF($AL$11:$AL2526,$AL2526))</f>
        <v/>
      </c>
    </row>
    <row r="2527" spans="38:53" ht="15" customHeight="1" x14ac:dyDescent="0.25">
      <c r="AL2527" s="17"/>
      <c r="AM2527" s="12"/>
      <c r="AN2527" s="18"/>
      <c r="AO2527" s="18"/>
      <c r="AP2527" s="10"/>
      <c r="AQ2527" s="10"/>
      <c r="AR2527" s="19"/>
      <c r="AS2527" s="20"/>
      <c r="AT2527" s="19"/>
      <c r="AV2527" s="21">
        <f>IF(AND($AL2527&lt;&gt;"",COUNTIF($AL$11:$AL2527,$AL2527)=1),1,0)</f>
        <v>0</v>
      </c>
      <c r="AW2527" s="21">
        <f t="shared" si="165"/>
        <v>0</v>
      </c>
      <c r="AX2527" s="21" t="str">
        <f t="shared" si="164"/>
        <v/>
      </c>
      <c r="AY2527" s="21" t="str">
        <f>IF(AND($AM2527&lt;&gt;"",$AS2527&lt;&gt;"✓"),SUMPRODUCT(($AM$11:$AM2527&lt;&gt;"")*($AS$11:$AS2527&lt;&gt;"✓")),"")</f>
        <v/>
      </c>
      <c r="AZ2527" s="21" t="str">
        <f>IF(AND($AM2527&lt;&gt;"",$AS2527="✓"),SUMPRODUCT(($AM$11:$AM2527&lt;&gt;"")*($AS$11:$AS2527="✓")),"")</f>
        <v/>
      </c>
      <c r="BA2527" s="21" t="str">
        <f>IF($AL2527="","",$AL2527&amp;"|"&amp;COUNTIF($AL$11:$AL2527,$AL2527))</f>
        <v/>
      </c>
    </row>
    <row r="2528" spans="38:53" ht="15" customHeight="1" x14ac:dyDescent="0.25">
      <c r="AL2528" s="31"/>
      <c r="AM2528" s="26"/>
      <c r="AN2528" s="32"/>
      <c r="AO2528" s="32"/>
      <c r="AP2528" s="24"/>
      <c r="AQ2528" s="24"/>
      <c r="AR2528" s="33"/>
      <c r="AS2528" s="34"/>
      <c r="AT2528" s="33"/>
      <c r="AV2528" s="21">
        <f>IF(AND($AL2528&lt;&gt;"",COUNTIF($AL$11:$AL2528,$AL2528)=1),1,0)</f>
        <v>0</v>
      </c>
      <c r="AW2528" s="21">
        <f t="shared" si="165"/>
        <v>0</v>
      </c>
      <c r="AX2528" s="21" t="str">
        <f t="shared" si="164"/>
        <v/>
      </c>
      <c r="AY2528" s="21" t="str">
        <f>IF(AND($AM2528&lt;&gt;"",$AS2528&lt;&gt;"✓"),SUMPRODUCT(($AM$11:$AM2528&lt;&gt;"")*($AS$11:$AS2528&lt;&gt;"✓")),"")</f>
        <v/>
      </c>
      <c r="AZ2528" s="21" t="str">
        <f>IF(AND($AM2528&lt;&gt;"",$AS2528="✓"),SUMPRODUCT(($AM$11:$AM2528&lt;&gt;"")*($AS$11:$AS2528="✓")),"")</f>
        <v/>
      </c>
      <c r="BA2528" s="21" t="str">
        <f>IF($AL2528="","",$AL2528&amp;"|"&amp;COUNTIF($AL$11:$AL2528,$AL2528))</f>
        <v/>
      </c>
    </row>
    <row r="2529" spans="38:53" ht="15" customHeight="1" x14ac:dyDescent="0.25">
      <c r="AL2529" s="17"/>
      <c r="AM2529" s="12"/>
      <c r="AN2529" s="18"/>
      <c r="AO2529" s="18"/>
      <c r="AP2529" s="10"/>
      <c r="AQ2529" s="10"/>
      <c r="AR2529" s="19"/>
      <c r="AS2529" s="20"/>
      <c r="AT2529" s="19"/>
      <c r="AV2529" s="21">
        <f>IF(AND($AL2529&lt;&gt;"",COUNTIF($AL$11:$AL2529,$AL2529)=1),1,0)</f>
        <v>0</v>
      </c>
      <c r="AW2529" s="21">
        <f t="shared" si="165"/>
        <v>0</v>
      </c>
      <c r="AX2529" s="21" t="str">
        <f t="shared" si="164"/>
        <v/>
      </c>
      <c r="AY2529" s="21" t="str">
        <f>IF(AND($AM2529&lt;&gt;"",$AS2529&lt;&gt;"✓"),SUMPRODUCT(($AM$11:$AM2529&lt;&gt;"")*($AS$11:$AS2529&lt;&gt;"✓")),"")</f>
        <v/>
      </c>
      <c r="AZ2529" s="21" t="str">
        <f>IF(AND($AM2529&lt;&gt;"",$AS2529="✓"),SUMPRODUCT(($AM$11:$AM2529&lt;&gt;"")*($AS$11:$AS2529="✓")),"")</f>
        <v/>
      </c>
      <c r="BA2529" s="21" t="str">
        <f>IF($AL2529="","",$AL2529&amp;"|"&amp;COUNTIF($AL$11:$AL2529,$AL2529))</f>
        <v/>
      </c>
    </row>
    <row r="2530" spans="38:53" ht="15" customHeight="1" x14ac:dyDescent="0.25">
      <c r="AL2530" s="31"/>
      <c r="AM2530" s="26"/>
      <c r="AN2530" s="32"/>
      <c r="AO2530" s="32"/>
      <c r="AP2530" s="24"/>
      <c r="AQ2530" s="24"/>
      <c r="AR2530" s="33"/>
      <c r="AS2530" s="34"/>
      <c r="AT2530" s="33"/>
      <c r="AV2530" s="21">
        <f>IF(AND($AL2530&lt;&gt;"",COUNTIF($AL$11:$AL2530,$AL2530)=1),1,0)</f>
        <v>0</v>
      </c>
      <c r="AW2530" s="21">
        <f t="shared" si="165"/>
        <v>0</v>
      </c>
      <c r="AX2530" s="21" t="str">
        <f t="shared" si="164"/>
        <v/>
      </c>
      <c r="AY2530" s="21" t="str">
        <f>IF(AND($AM2530&lt;&gt;"",$AS2530&lt;&gt;"✓"),SUMPRODUCT(($AM$11:$AM2530&lt;&gt;"")*($AS$11:$AS2530&lt;&gt;"✓")),"")</f>
        <v/>
      </c>
      <c r="AZ2530" s="21" t="str">
        <f>IF(AND($AM2530&lt;&gt;"",$AS2530="✓"),SUMPRODUCT(($AM$11:$AM2530&lt;&gt;"")*($AS$11:$AS2530="✓")),"")</f>
        <v/>
      </c>
      <c r="BA2530" s="21" t="str">
        <f>IF($AL2530="","",$AL2530&amp;"|"&amp;COUNTIF($AL$11:$AL2530,$AL2530))</f>
        <v/>
      </c>
    </row>
    <row r="2531" spans="38:53" ht="15" customHeight="1" x14ac:dyDescent="0.25">
      <c r="AL2531" s="17"/>
      <c r="AM2531" s="12"/>
      <c r="AN2531" s="18"/>
      <c r="AO2531" s="18"/>
      <c r="AP2531" s="10"/>
      <c r="AQ2531" s="10"/>
      <c r="AR2531" s="19"/>
      <c r="AS2531" s="20"/>
      <c r="AT2531" s="19"/>
      <c r="AV2531" s="21">
        <f>IF(AND($AL2531&lt;&gt;"",COUNTIF($AL$11:$AL2531,$AL2531)=1),1,0)</f>
        <v>0</v>
      </c>
      <c r="AW2531" s="21">
        <f t="shared" si="165"/>
        <v>0</v>
      </c>
      <c r="AX2531" s="21" t="str">
        <f t="shared" si="164"/>
        <v/>
      </c>
      <c r="AY2531" s="21" t="str">
        <f>IF(AND($AM2531&lt;&gt;"",$AS2531&lt;&gt;"✓"),SUMPRODUCT(($AM$11:$AM2531&lt;&gt;"")*($AS$11:$AS2531&lt;&gt;"✓")),"")</f>
        <v/>
      </c>
      <c r="AZ2531" s="21" t="str">
        <f>IF(AND($AM2531&lt;&gt;"",$AS2531="✓"),SUMPRODUCT(($AM$11:$AM2531&lt;&gt;"")*($AS$11:$AS2531="✓")),"")</f>
        <v/>
      </c>
      <c r="BA2531" s="21" t="str">
        <f>IF($AL2531="","",$AL2531&amp;"|"&amp;COUNTIF($AL$11:$AL2531,$AL2531))</f>
        <v/>
      </c>
    </row>
    <row r="2532" spans="38:53" ht="15" customHeight="1" x14ac:dyDescent="0.25">
      <c r="AL2532" s="31"/>
      <c r="AM2532" s="26"/>
      <c r="AN2532" s="32"/>
      <c r="AO2532" s="32"/>
      <c r="AP2532" s="24"/>
      <c r="AQ2532" s="24"/>
      <c r="AR2532" s="33"/>
      <c r="AS2532" s="34"/>
      <c r="AT2532" s="33"/>
      <c r="AV2532" s="21">
        <f>IF(AND($AL2532&lt;&gt;"",COUNTIF($AL$11:$AL2532,$AL2532)=1),1,0)</f>
        <v>0</v>
      </c>
      <c r="AW2532" s="21">
        <f t="shared" si="165"/>
        <v>0</v>
      </c>
      <c r="AX2532" s="21" t="str">
        <f t="shared" si="164"/>
        <v/>
      </c>
      <c r="AY2532" s="21" t="str">
        <f>IF(AND($AM2532&lt;&gt;"",$AS2532&lt;&gt;"✓"),SUMPRODUCT(($AM$11:$AM2532&lt;&gt;"")*($AS$11:$AS2532&lt;&gt;"✓")),"")</f>
        <v/>
      </c>
      <c r="AZ2532" s="21" t="str">
        <f>IF(AND($AM2532&lt;&gt;"",$AS2532="✓"),SUMPRODUCT(($AM$11:$AM2532&lt;&gt;"")*($AS$11:$AS2532="✓")),"")</f>
        <v/>
      </c>
      <c r="BA2532" s="21" t="str">
        <f>IF($AL2532="","",$AL2532&amp;"|"&amp;COUNTIF($AL$11:$AL2532,$AL2532))</f>
        <v/>
      </c>
    </row>
    <row r="2533" spans="38:53" ht="15" customHeight="1" x14ac:dyDescent="0.25">
      <c r="AL2533" s="17"/>
      <c r="AM2533" s="12"/>
      <c r="AN2533" s="18"/>
      <c r="AO2533" s="18"/>
      <c r="AP2533" s="10"/>
      <c r="AQ2533" s="10"/>
      <c r="AR2533" s="19"/>
      <c r="AS2533" s="20"/>
      <c r="AT2533" s="19"/>
      <c r="AV2533" s="21">
        <f>IF(AND($AL2533&lt;&gt;"",COUNTIF($AL$11:$AL2533,$AL2533)=1),1,0)</f>
        <v>0</v>
      </c>
      <c r="AW2533" s="21">
        <f t="shared" si="165"/>
        <v>0</v>
      </c>
      <c r="AX2533" s="21" t="str">
        <f t="shared" si="164"/>
        <v/>
      </c>
      <c r="AY2533" s="21" t="str">
        <f>IF(AND($AM2533&lt;&gt;"",$AS2533&lt;&gt;"✓"),SUMPRODUCT(($AM$11:$AM2533&lt;&gt;"")*($AS$11:$AS2533&lt;&gt;"✓")),"")</f>
        <v/>
      </c>
      <c r="AZ2533" s="21" t="str">
        <f>IF(AND($AM2533&lt;&gt;"",$AS2533="✓"),SUMPRODUCT(($AM$11:$AM2533&lt;&gt;"")*($AS$11:$AS2533="✓")),"")</f>
        <v/>
      </c>
      <c r="BA2533" s="21" t="str">
        <f>IF($AL2533="","",$AL2533&amp;"|"&amp;COUNTIF($AL$11:$AL2533,$AL2533))</f>
        <v/>
      </c>
    </row>
    <row r="2534" spans="38:53" ht="15" customHeight="1" x14ac:dyDescent="0.25">
      <c r="AL2534" s="31"/>
      <c r="AM2534" s="26"/>
      <c r="AN2534" s="32"/>
      <c r="AO2534" s="32"/>
      <c r="AP2534" s="24"/>
      <c r="AQ2534" s="24"/>
      <c r="AR2534" s="33"/>
      <c r="AS2534" s="34"/>
      <c r="AT2534" s="33"/>
      <c r="AV2534" s="21">
        <f>IF(AND($AL2534&lt;&gt;"",COUNTIF($AL$11:$AL2534,$AL2534)=1),1,0)</f>
        <v>0</v>
      </c>
      <c r="AW2534" s="21">
        <f t="shared" si="165"/>
        <v>0</v>
      </c>
      <c r="AX2534" s="21" t="str">
        <f t="shared" si="164"/>
        <v/>
      </c>
      <c r="AY2534" s="21" t="str">
        <f>IF(AND($AM2534&lt;&gt;"",$AS2534&lt;&gt;"✓"),SUMPRODUCT(($AM$11:$AM2534&lt;&gt;"")*($AS$11:$AS2534&lt;&gt;"✓")),"")</f>
        <v/>
      </c>
      <c r="AZ2534" s="21" t="str">
        <f>IF(AND($AM2534&lt;&gt;"",$AS2534="✓"),SUMPRODUCT(($AM$11:$AM2534&lt;&gt;"")*($AS$11:$AS2534="✓")),"")</f>
        <v/>
      </c>
      <c r="BA2534" s="21" t="str">
        <f>IF($AL2534="","",$AL2534&amp;"|"&amp;COUNTIF($AL$11:$AL2534,$AL2534))</f>
        <v/>
      </c>
    </row>
    <row r="2535" spans="38:53" ht="15" customHeight="1" x14ac:dyDescent="0.25">
      <c r="AL2535" s="17"/>
      <c r="AM2535" s="12"/>
      <c r="AN2535" s="18"/>
      <c r="AO2535" s="18"/>
      <c r="AP2535" s="10"/>
      <c r="AQ2535" s="10"/>
      <c r="AR2535" s="19"/>
      <c r="AS2535" s="20"/>
      <c r="AT2535" s="19"/>
      <c r="AV2535" s="21">
        <f>IF(AND($AL2535&lt;&gt;"",COUNTIF($AL$11:$AL2535,$AL2535)=1),1,0)</f>
        <v>0</v>
      </c>
      <c r="AW2535" s="21">
        <f t="shared" si="165"/>
        <v>0</v>
      </c>
      <c r="AX2535" s="21" t="str">
        <f t="shared" si="164"/>
        <v/>
      </c>
      <c r="AY2535" s="21" t="str">
        <f>IF(AND($AM2535&lt;&gt;"",$AS2535&lt;&gt;"✓"),SUMPRODUCT(($AM$11:$AM2535&lt;&gt;"")*($AS$11:$AS2535&lt;&gt;"✓")),"")</f>
        <v/>
      </c>
      <c r="AZ2535" s="21" t="str">
        <f>IF(AND($AM2535&lt;&gt;"",$AS2535="✓"),SUMPRODUCT(($AM$11:$AM2535&lt;&gt;"")*($AS$11:$AS2535="✓")),"")</f>
        <v/>
      </c>
      <c r="BA2535" s="21" t="str">
        <f>IF($AL2535="","",$AL2535&amp;"|"&amp;COUNTIF($AL$11:$AL2535,$AL2535))</f>
        <v/>
      </c>
    </row>
    <row r="2536" spans="38:53" ht="15" customHeight="1" x14ac:dyDescent="0.25">
      <c r="AL2536" s="31"/>
      <c r="AM2536" s="26"/>
      <c r="AN2536" s="32"/>
      <c r="AO2536" s="32"/>
      <c r="AP2536" s="24"/>
      <c r="AQ2536" s="24"/>
      <c r="AR2536" s="33"/>
      <c r="AS2536" s="34"/>
      <c r="AT2536" s="33"/>
      <c r="AV2536" s="21">
        <f>IF(AND($AL2536&lt;&gt;"",COUNTIF($AL$11:$AL2536,$AL2536)=1),1,0)</f>
        <v>0</v>
      </c>
      <c r="AW2536" s="21">
        <f t="shared" si="165"/>
        <v>0</v>
      </c>
      <c r="AX2536" s="21" t="str">
        <f t="shared" si="164"/>
        <v/>
      </c>
      <c r="AY2536" s="21" t="str">
        <f>IF(AND($AM2536&lt;&gt;"",$AS2536&lt;&gt;"✓"),SUMPRODUCT(($AM$11:$AM2536&lt;&gt;"")*($AS$11:$AS2536&lt;&gt;"✓")),"")</f>
        <v/>
      </c>
      <c r="AZ2536" s="21" t="str">
        <f>IF(AND($AM2536&lt;&gt;"",$AS2536="✓"),SUMPRODUCT(($AM$11:$AM2536&lt;&gt;"")*($AS$11:$AS2536="✓")),"")</f>
        <v/>
      </c>
      <c r="BA2536" s="21" t="str">
        <f>IF($AL2536="","",$AL2536&amp;"|"&amp;COUNTIF($AL$11:$AL2536,$AL2536))</f>
        <v/>
      </c>
    </row>
    <row r="2537" spans="38:53" ht="15" customHeight="1" x14ac:dyDescent="0.25">
      <c r="AL2537" s="17"/>
      <c r="AM2537" s="12"/>
      <c r="AN2537" s="18"/>
      <c r="AO2537" s="18"/>
      <c r="AP2537" s="10"/>
      <c r="AQ2537" s="10"/>
      <c r="AR2537" s="19"/>
      <c r="AS2537" s="20"/>
      <c r="AT2537" s="19"/>
      <c r="AV2537" s="21">
        <f>IF(AND($AL2537&lt;&gt;"",COUNTIF($AL$11:$AL2537,$AL2537)=1),1,0)</f>
        <v>0</v>
      </c>
      <c r="AW2537" s="21">
        <f t="shared" si="165"/>
        <v>0</v>
      </c>
      <c r="AX2537" s="21" t="str">
        <f t="shared" si="164"/>
        <v/>
      </c>
      <c r="AY2537" s="21" t="str">
        <f>IF(AND($AM2537&lt;&gt;"",$AS2537&lt;&gt;"✓"),SUMPRODUCT(($AM$11:$AM2537&lt;&gt;"")*($AS$11:$AS2537&lt;&gt;"✓")),"")</f>
        <v/>
      </c>
      <c r="AZ2537" s="21" t="str">
        <f>IF(AND($AM2537&lt;&gt;"",$AS2537="✓"),SUMPRODUCT(($AM$11:$AM2537&lt;&gt;"")*($AS$11:$AS2537="✓")),"")</f>
        <v/>
      </c>
      <c r="BA2537" s="21" t="str">
        <f>IF($AL2537="","",$AL2537&amp;"|"&amp;COUNTIF($AL$11:$AL2537,$AL2537))</f>
        <v/>
      </c>
    </row>
    <row r="2538" spans="38:53" ht="15" customHeight="1" x14ac:dyDescent="0.25">
      <c r="AL2538" s="31"/>
      <c r="AM2538" s="26"/>
      <c r="AN2538" s="32"/>
      <c r="AO2538" s="32"/>
      <c r="AP2538" s="24"/>
      <c r="AQ2538" s="24"/>
      <c r="AR2538" s="33"/>
      <c r="AS2538" s="34"/>
      <c r="AT2538" s="33"/>
      <c r="AV2538" s="21">
        <f>IF(AND($AL2538&lt;&gt;"",COUNTIF($AL$11:$AL2538,$AL2538)=1),1,0)</f>
        <v>0</v>
      </c>
      <c r="AW2538" s="21">
        <f t="shared" si="165"/>
        <v>0</v>
      </c>
      <c r="AX2538" s="21" t="str">
        <f t="shared" si="164"/>
        <v/>
      </c>
      <c r="AY2538" s="21" t="str">
        <f>IF(AND($AM2538&lt;&gt;"",$AS2538&lt;&gt;"✓"),SUMPRODUCT(($AM$11:$AM2538&lt;&gt;"")*($AS$11:$AS2538&lt;&gt;"✓")),"")</f>
        <v/>
      </c>
      <c r="AZ2538" s="21" t="str">
        <f>IF(AND($AM2538&lt;&gt;"",$AS2538="✓"),SUMPRODUCT(($AM$11:$AM2538&lt;&gt;"")*($AS$11:$AS2538="✓")),"")</f>
        <v/>
      </c>
      <c r="BA2538" s="21" t="str">
        <f>IF($AL2538="","",$AL2538&amp;"|"&amp;COUNTIF($AL$11:$AL2538,$AL2538))</f>
        <v/>
      </c>
    </row>
    <row r="2539" spans="38:53" ht="15" customHeight="1" x14ac:dyDescent="0.25">
      <c r="AL2539" s="17"/>
      <c r="AM2539" s="12"/>
      <c r="AN2539" s="18"/>
      <c r="AO2539" s="18"/>
      <c r="AP2539" s="10"/>
      <c r="AQ2539" s="10"/>
      <c r="AR2539" s="19"/>
      <c r="AS2539" s="20"/>
      <c r="AT2539" s="19"/>
      <c r="AV2539" s="21">
        <f>IF(AND($AL2539&lt;&gt;"",COUNTIF($AL$11:$AL2539,$AL2539)=1),1,0)</f>
        <v>0</v>
      </c>
      <c r="AW2539" s="21">
        <f t="shared" si="165"/>
        <v>0</v>
      </c>
      <c r="AX2539" s="21" t="str">
        <f t="shared" si="164"/>
        <v/>
      </c>
      <c r="AY2539" s="21" t="str">
        <f>IF(AND($AM2539&lt;&gt;"",$AS2539&lt;&gt;"✓"),SUMPRODUCT(($AM$11:$AM2539&lt;&gt;"")*($AS$11:$AS2539&lt;&gt;"✓")),"")</f>
        <v/>
      </c>
      <c r="AZ2539" s="21" t="str">
        <f>IF(AND($AM2539&lt;&gt;"",$AS2539="✓"),SUMPRODUCT(($AM$11:$AM2539&lt;&gt;"")*($AS$11:$AS2539="✓")),"")</f>
        <v/>
      </c>
      <c r="BA2539" s="21" t="str">
        <f>IF($AL2539="","",$AL2539&amp;"|"&amp;COUNTIF($AL$11:$AL2539,$AL2539))</f>
        <v/>
      </c>
    </row>
    <row r="2540" spans="38:53" ht="15" customHeight="1" x14ac:dyDescent="0.25">
      <c r="AL2540" s="31"/>
      <c r="AM2540" s="26"/>
      <c r="AN2540" s="32"/>
      <c r="AO2540" s="32"/>
      <c r="AP2540" s="24"/>
      <c r="AQ2540" s="24"/>
      <c r="AR2540" s="33"/>
      <c r="AS2540" s="34"/>
      <c r="AT2540" s="33"/>
      <c r="AV2540" s="21">
        <f>IF(AND($AL2540&lt;&gt;"",COUNTIF($AL$11:$AL2540,$AL2540)=1),1,0)</f>
        <v>0</v>
      </c>
      <c r="AW2540" s="21">
        <f t="shared" si="165"/>
        <v>0</v>
      </c>
      <c r="AX2540" s="21" t="str">
        <f t="shared" si="164"/>
        <v/>
      </c>
      <c r="AY2540" s="21" t="str">
        <f>IF(AND($AM2540&lt;&gt;"",$AS2540&lt;&gt;"✓"),SUMPRODUCT(($AM$11:$AM2540&lt;&gt;"")*($AS$11:$AS2540&lt;&gt;"✓")),"")</f>
        <v/>
      </c>
      <c r="AZ2540" s="21" t="str">
        <f>IF(AND($AM2540&lt;&gt;"",$AS2540="✓"),SUMPRODUCT(($AM$11:$AM2540&lt;&gt;"")*($AS$11:$AS2540="✓")),"")</f>
        <v/>
      </c>
      <c r="BA2540" s="21" t="str">
        <f>IF($AL2540="","",$AL2540&amp;"|"&amp;COUNTIF($AL$11:$AL2540,$AL2540))</f>
        <v/>
      </c>
    </row>
    <row r="2541" spans="38:53" ht="15" customHeight="1" x14ac:dyDescent="0.25">
      <c r="AL2541" s="17"/>
      <c r="AM2541" s="12"/>
      <c r="AN2541" s="18"/>
      <c r="AO2541" s="18"/>
      <c r="AP2541" s="10"/>
      <c r="AQ2541" s="10"/>
      <c r="AR2541" s="19"/>
      <c r="AS2541" s="20"/>
      <c r="AT2541" s="19"/>
      <c r="AV2541" s="21">
        <f>IF(AND($AL2541&lt;&gt;"",COUNTIF($AL$11:$AL2541,$AL2541)=1),1,0)</f>
        <v>0</v>
      </c>
      <c r="AW2541" s="21">
        <f t="shared" si="165"/>
        <v>0</v>
      </c>
      <c r="AX2541" s="21" t="str">
        <f t="shared" si="164"/>
        <v/>
      </c>
      <c r="AY2541" s="21" t="str">
        <f>IF(AND($AM2541&lt;&gt;"",$AS2541&lt;&gt;"✓"),SUMPRODUCT(($AM$11:$AM2541&lt;&gt;"")*($AS$11:$AS2541&lt;&gt;"✓")),"")</f>
        <v/>
      </c>
      <c r="AZ2541" s="21" t="str">
        <f>IF(AND($AM2541&lt;&gt;"",$AS2541="✓"),SUMPRODUCT(($AM$11:$AM2541&lt;&gt;"")*($AS$11:$AS2541="✓")),"")</f>
        <v/>
      </c>
      <c r="BA2541" s="21" t="str">
        <f>IF($AL2541="","",$AL2541&amp;"|"&amp;COUNTIF($AL$11:$AL2541,$AL2541))</f>
        <v/>
      </c>
    </row>
    <row r="2542" spans="38:53" ht="15" customHeight="1" x14ac:dyDescent="0.25">
      <c r="AL2542" s="31"/>
      <c r="AM2542" s="26"/>
      <c r="AN2542" s="32"/>
      <c r="AO2542" s="32"/>
      <c r="AP2542" s="24"/>
      <c r="AQ2542" s="24"/>
      <c r="AR2542" s="33"/>
      <c r="AS2542" s="34"/>
      <c r="AT2542" s="33"/>
      <c r="AV2542" s="21">
        <f>IF(AND($AL2542&lt;&gt;"",COUNTIF($AL$11:$AL2542,$AL2542)=1),1,0)</f>
        <v>0</v>
      </c>
      <c r="AW2542" s="21">
        <f t="shared" si="165"/>
        <v>0</v>
      </c>
      <c r="AX2542" s="21" t="str">
        <f t="shared" si="164"/>
        <v/>
      </c>
      <c r="AY2542" s="21" t="str">
        <f>IF(AND($AM2542&lt;&gt;"",$AS2542&lt;&gt;"✓"),SUMPRODUCT(($AM$11:$AM2542&lt;&gt;"")*($AS$11:$AS2542&lt;&gt;"✓")),"")</f>
        <v/>
      </c>
      <c r="AZ2542" s="21" t="str">
        <f>IF(AND($AM2542&lt;&gt;"",$AS2542="✓"),SUMPRODUCT(($AM$11:$AM2542&lt;&gt;"")*($AS$11:$AS2542="✓")),"")</f>
        <v/>
      </c>
      <c r="BA2542" s="21" t="str">
        <f>IF($AL2542="","",$AL2542&amp;"|"&amp;COUNTIF($AL$11:$AL2542,$AL2542))</f>
        <v/>
      </c>
    </row>
    <row r="2543" spans="38:53" ht="15" customHeight="1" x14ac:dyDescent="0.25">
      <c r="AL2543" s="17"/>
      <c r="AM2543" s="12"/>
      <c r="AN2543" s="18"/>
      <c r="AO2543" s="18"/>
      <c r="AP2543" s="10"/>
      <c r="AQ2543" s="10"/>
      <c r="AR2543" s="19"/>
      <c r="AS2543" s="20"/>
      <c r="AT2543" s="19"/>
      <c r="AV2543" s="21">
        <f>IF(AND($AL2543&lt;&gt;"",COUNTIF($AL$11:$AL2543,$AL2543)=1),1,0)</f>
        <v>0</v>
      </c>
      <c r="AW2543" s="21">
        <f t="shared" si="165"/>
        <v>0</v>
      </c>
      <c r="AX2543" s="21" t="str">
        <f t="shared" si="164"/>
        <v/>
      </c>
      <c r="AY2543" s="21" t="str">
        <f>IF(AND($AM2543&lt;&gt;"",$AS2543&lt;&gt;"✓"),SUMPRODUCT(($AM$11:$AM2543&lt;&gt;"")*($AS$11:$AS2543&lt;&gt;"✓")),"")</f>
        <v/>
      </c>
      <c r="AZ2543" s="21" t="str">
        <f>IF(AND($AM2543&lt;&gt;"",$AS2543="✓"),SUMPRODUCT(($AM$11:$AM2543&lt;&gt;"")*($AS$11:$AS2543="✓")),"")</f>
        <v/>
      </c>
      <c r="BA2543" s="21" t="str">
        <f>IF($AL2543="","",$AL2543&amp;"|"&amp;COUNTIF($AL$11:$AL2543,$AL2543))</f>
        <v/>
      </c>
    </row>
    <row r="2544" spans="38:53" ht="15" customHeight="1" x14ac:dyDescent="0.25">
      <c r="AL2544" s="31"/>
      <c r="AM2544" s="26"/>
      <c r="AN2544" s="32"/>
      <c r="AO2544" s="32"/>
      <c r="AP2544" s="24"/>
      <c r="AQ2544" s="24"/>
      <c r="AR2544" s="33"/>
      <c r="AS2544" s="34"/>
      <c r="AT2544" s="33"/>
      <c r="AV2544" s="21">
        <f>IF(AND($AL2544&lt;&gt;"",COUNTIF($AL$11:$AL2544,$AL2544)=1),1,0)</f>
        <v>0</v>
      </c>
      <c r="AW2544" s="21">
        <f t="shared" si="165"/>
        <v>0</v>
      </c>
      <c r="AX2544" s="21" t="str">
        <f t="shared" si="164"/>
        <v/>
      </c>
      <c r="AY2544" s="21" t="str">
        <f>IF(AND($AM2544&lt;&gt;"",$AS2544&lt;&gt;"✓"),SUMPRODUCT(($AM$11:$AM2544&lt;&gt;"")*($AS$11:$AS2544&lt;&gt;"✓")),"")</f>
        <v/>
      </c>
      <c r="AZ2544" s="21" t="str">
        <f>IF(AND($AM2544&lt;&gt;"",$AS2544="✓"),SUMPRODUCT(($AM$11:$AM2544&lt;&gt;"")*($AS$11:$AS2544="✓")),"")</f>
        <v/>
      </c>
      <c r="BA2544" s="21" t="str">
        <f>IF($AL2544="","",$AL2544&amp;"|"&amp;COUNTIF($AL$11:$AL2544,$AL2544))</f>
        <v/>
      </c>
    </row>
    <row r="2545" spans="38:53" ht="15" customHeight="1" x14ac:dyDescent="0.25">
      <c r="AL2545" s="17"/>
      <c r="AM2545" s="12"/>
      <c r="AN2545" s="18"/>
      <c r="AO2545" s="18"/>
      <c r="AP2545" s="10"/>
      <c r="AQ2545" s="10"/>
      <c r="AR2545" s="19"/>
      <c r="AS2545" s="20"/>
      <c r="AT2545" s="19"/>
      <c r="AV2545" s="21">
        <f>IF(AND($AL2545&lt;&gt;"",COUNTIF($AL$11:$AL2545,$AL2545)=1),1,0)</f>
        <v>0</v>
      </c>
      <c r="AW2545" s="21">
        <f t="shared" si="165"/>
        <v>0</v>
      </c>
      <c r="AX2545" s="21" t="str">
        <f t="shared" si="164"/>
        <v/>
      </c>
      <c r="AY2545" s="21" t="str">
        <f>IF(AND($AM2545&lt;&gt;"",$AS2545&lt;&gt;"✓"),SUMPRODUCT(($AM$11:$AM2545&lt;&gt;"")*($AS$11:$AS2545&lt;&gt;"✓")),"")</f>
        <v/>
      </c>
      <c r="AZ2545" s="21" t="str">
        <f>IF(AND($AM2545&lt;&gt;"",$AS2545="✓"),SUMPRODUCT(($AM$11:$AM2545&lt;&gt;"")*($AS$11:$AS2545="✓")),"")</f>
        <v/>
      </c>
      <c r="BA2545" s="21" t="str">
        <f>IF($AL2545="","",$AL2545&amp;"|"&amp;COUNTIF($AL$11:$AL2545,$AL2545))</f>
        <v/>
      </c>
    </row>
    <row r="2546" spans="38:53" ht="15" customHeight="1" x14ac:dyDescent="0.25">
      <c r="AL2546" s="31"/>
      <c r="AM2546" s="26"/>
      <c r="AN2546" s="32"/>
      <c r="AO2546" s="32"/>
      <c r="AP2546" s="24"/>
      <c r="AQ2546" s="24"/>
      <c r="AR2546" s="33"/>
      <c r="AS2546" s="34"/>
      <c r="AT2546" s="33"/>
      <c r="AV2546" s="21">
        <f>IF(AND($AL2546&lt;&gt;"",COUNTIF($AL$11:$AL2546,$AL2546)=1),1,0)</f>
        <v>0</v>
      </c>
      <c r="AW2546" s="21">
        <f t="shared" si="165"/>
        <v>0</v>
      </c>
      <c r="AX2546" s="21" t="str">
        <f t="shared" si="164"/>
        <v/>
      </c>
      <c r="AY2546" s="21" t="str">
        <f>IF(AND($AM2546&lt;&gt;"",$AS2546&lt;&gt;"✓"),SUMPRODUCT(($AM$11:$AM2546&lt;&gt;"")*($AS$11:$AS2546&lt;&gt;"✓")),"")</f>
        <v/>
      </c>
      <c r="AZ2546" s="21" t="str">
        <f>IF(AND($AM2546&lt;&gt;"",$AS2546="✓"),SUMPRODUCT(($AM$11:$AM2546&lt;&gt;"")*($AS$11:$AS2546="✓")),"")</f>
        <v/>
      </c>
      <c r="BA2546" s="21" t="str">
        <f>IF($AL2546="","",$AL2546&amp;"|"&amp;COUNTIF($AL$11:$AL2546,$AL2546))</f>
        <v/>
      </c>
    </row>
    <row r="2547" spans="38:53" ht="15" customHeight="1" x14ac:dyDescent="0.25">
      <c r="AL2547" s="17"/>
      <c r="AM2547" s="12"/>
      <c r="AN2547" s="18"/>
      <c r="AO2547" s="18"/>
      <c r="AP2547" s="10"/>
      <c r="AQ2547" s="10"/>
      <c r="AR2547" s="19"/>
      <c r="AS2547" s="20"/>
      <c r="AT2547" s="19"/>
      <c r="AV2547" s="21">
        <f>IF(AND($AL2547&lt;&gt;"",COUNTIF($AL$11:$AL2547,$AL2547)=1),1,0)</f>
        <v>0</v>
      </c>
      <c r="AW2547" s="21">
        <f t="shared" si="165"/>
        <v>0</v>
      </c>
      <c r="AX2547" s="21" t="str">
        <f t="shared" si="164"/>
        <v/>
      </c>
      <c r="AY2547" s="21" t="str">
        <f>IF(AND($AM2547&lt;&gt;"",$AS2547&lt;&gt;"✓"),SUMPRODUCT(($AM$11:$AM2547&lt;&gt;"")*($AS$11:$AS2547&lt;&gt;"✓")),"")</f>
        <v/>
      </c>
      <c r="AZ2547" s="21" t="str">
        <f>IF(AND($AM2547&lt;&gt;"",$AS2547="✓"),SUMPRODUCT(($AM$11:$AM2547&lt;&gt;"")*($AS$11:$AS2547="✓")),"")</f>
        <v/>
      </c>
      <c r="BA2547" s="21" t="str">
        <f>IF($AL2547="","",$AL2547&amp;"|"&amp;COUNTIF($AL$11:$AL2547,$AL2547))</f>
        <v/>
      </c>
    </row>
    <row r="2548" spans="38:53" ht="15" customHeight="1" x14ac:dyDescent="0.25">
      <c r="AL2548" s="31"/>
      <c r="AM2548" s="26"/>
      <c r="AN2548" s="32"/>
      <c r="AO2548" s="32"/>
      <c r="AP2548" s="24"/>
      <c r="AQ2548" s="24"/>
      <c r="AR2548" s="33"/>
      <c r="AS2548" s="34"/>
      <c r="AT2548" s="33"/>
      <c r="AV2548" s="21">
        <f>IF(AND($AL2548&lt;&gt;"",COUNTIF($AL$11:$AL2548,$AL2548)=1),1,0)</f>
        <v>0</v>
      </c>
      <c r="AW2548" s="21">
        <f t="shared" si="165"/>
        <v>0</v>
      </c>
      <c r="AX2548" s="21" t="str">
        <f t="shared" si="164"/>
        <v/>
      </c>
      <c r="AY2548" s="21" t="str">
        <f>IF(AND($AM2548&lt;&gt;"",$AS2548&lt;&gt;"✓"),SUMPRODUCT(($AM$11:$AM2548&lt;&gt;"")*($AS$11:$AS2548&lt;&gt;"✓")),"")</f>
        <v/>
      </c>
      <c r="AZ2548" s="21" t="str">
        <f>IF(AND($AM2548&lt;&gt;"",$AS2548="✓"),SUMPRODUCT(($AM$11:$AM2548&lt;&gt;"")*($AS$11:$AS2548="✓")),"")</f>
        <v/>
      </c>
      <c r="BA2548" s="21" t="str">
        <f>IF($AL2548="","",$AL2548&amp;"|"&amp;COUNTIF($AL$11:$AL2548,$AL2548))</f>
        <v/>
      </c>
    </row>
    <row r="2549" spans="38:53" ht="15" customHeight="1" x14ac:dyDescent="0.25">
      <c r="AL2549" s="17"/>
      <c r="AM2549" s="12"/>
      <c r="AN2549" s="18"/>
      <c r="AO2549" s="18"/>
      <c r="AP2549" s="10"/>
      <c r="AQ2549" s="10"/>
      <c r="AR2549" s="19"/>
      <c r="AS2549" s="20"/>
      <c r="AT2549" s="19"/>
      <c r="AV2549" s="21">
        <f>IF(AND($AL2549&lt;&gt;"",COUNTIF($AL$11:$AL2549,$AL2549)=1),1,0)</f>
        <v>0</v>
      </c>
      <c r="AW2549" s="21">
        <f t="shared" si="165"/>
        <v>0</v>
      </c>
      <c r="AX2549" s="21" t="str">
        <f t="shared" si="164"/>
        <v/>
      </c>
      <c r="AY2549" s="21" t="str">
        <f>IF(AND($AM2549&lt;&gt;"",$AS2549&lt;&gt;"✓"),SUMPRODUCT(($AM$11:$AM2549&lt;&gt;"")*($AS$11:$AS2549&lt;&gt;"✓")),"")</f>
        <v/>
      </c>
      <c r="AZ2549" s="21" t="str">
        <f>IF(AND($AM2549&lt;&gt;"",$AS2549="✓"),SUMPRODUCT(($AM$11:$AM2549&lt;&gt;"")*($AS$11:$AS2549="✓")),"")</f>
        <v/>
      </c>
      <c r="BA2549" s="21" t="str">
        <f>IF($AL2549="","",$AL2549&amp;"|"&amp;COUNTIF($AL$11:$AL2549,$AL2549))</f>
        <v/>
      </c>
    </row>
    <row r="2550" spans="38:53" ht="15" customHeight="1" x14ac:dyDescent="0.25">
      <c r="AL2550" s="31"/>
      <c r="AM2550" s="26"/>
      <c r="AN2550" s="32"/>
      <c r="AO2550" s="32"/>
      <c r="AP2550" s="24"/>
      <c r="AQ2550" s="24"/>
      <c r="AR2550" s="33"/>
      <c r="AS2550" s="34"/>
      <c r="AT2550" s="33"/>
      <c r="AV2550" s="21">
        <f>IF(AND($AL2550&lt;&gt;"",COUNTIF($AL$11:$AL2550,$AL2550)=1),1,0)</f>
        <v>0</v>
      </c>
      <c r="AW2550" s="21">
        <f t="shared" si="165"/>
        <v>0</v>
      </c>
      <c r="AX2550" s="21" t="str">
        <f t="shared" si="164"/>
        <v/>
      </c>
      <c r="AY2550" s="21" t="str">
        <f>IF(AND($AM2550&lt;&gt;"",$AS2550&lt;&gt;"✓"),SUMPRODUCT(($AM$11:$AM2550&lt;&gt;"")*($AS$11:$AS2550&lt;&gt;"✓")),"")</f>
        <v/>
      </c>
      <c r="AZ2550" s="21" t="str">
        <f>IF(AND($AM2550&lt;&gt;"",$AS2550="✓"),SUMPRODUCT(($AM$11:$AM2550&lt;&gt;"")*($AS$11:$AS2550="✓")),"")</f>
        <v/>
      </c>
      <c r="BA2550" s="21" t="str">
        <f>IF($AL2550="","",$AL2550&amp;"|"&amp;COUNTIF($AL$11:$AL2550,$AL2550))</f>
        <v/>
      </c>
    </row>
    <row r="2551" spans="38:53" ht="15" customHeight="1" x14ac:dyDescent="0.25">
      <c r="AL2551" s="17"/>
      <c r="AM2551" s="12"/>
      <c r="AN2551" s="18"/>
      <c r="AO2551" s="18"/>
      <c r="AP2551" s="10"/>
      <c r="AQ2551" s="10"/>
      <c r="AR2551" s="19"/>
      <c r="AS2551" s="20"/>
      <c r="AT2551" s="19"/>
      <c r="AV2551" s="21">
        <f>IF(AND($AL2551&lt;&gt;"",COUNTIF($AL$11:$AL2551,$AL2551)=1),1,0)</f>
        <v>0</v>
      </c>
      <c r="AW2551" s="21">
        <f t="shared" si="165"/>
        <v>0</v>
      </c>
      <c r="AX2551" s="21" t="str">
        <f t="shared" si="164"/>
        <v/>
      </c>
      <c r="AY2551" s="21" t="str">
        <f>IF(AND($AM2551&lt;&gt;"",$AS2551&lt;&gt;"✓"),SUMPRODUCT(($AM$11:$AM2551&lt;&gt;"")*($AS$11:$AS2551&lt;&gt;"✓")),"")</f>
        <v/>
      </c>
      <c r="AZ2551" s="21" t="str">
        <f>IF(AND($AM2551&lt;&gt;"",$AS2551="✓"),SUMPRODUCT(($AM$11:$AM2551&lt;&gt;"")*($AS$11:$AS2551="✓")),"")</f>
        <v/>
      </c>
      <c r="BA2551" s="21" t="str">
        <f>IF($AL2551="","",$AL2551&amp;"|"&amp;COUNTIF($AL$11:$AL2551,$AL2551))</f>
        <v/>
      </c>
    </row>
    <row r="2552" spans="38:53" ht="15" customHeight="1" x14ac:dyDescent="0.25">
      <c r="AL2552" s="31"/>
      <c r="AM2552" s="26"/>
      <c r="AN2552" s="32"/>
      <c r="AO2552" s="32"/>
      <c r="AP2552" s="24"/>
      <c r="AQ2552" s="24"/>
      <c r="AR2552" s="33"/>
      <c r="AS2552" s="34"/>
      <c r="AT2552" s="33"/>
      <c r="AV2552" s="21">
        <f>IF(AND($AL2552&lt;&gt;"",COUNTIF($AL$11:$AL2552,$AL2552)=1),1,0)</f>
        <v>0</v>
      </c>
      <c r="AW2552" s="21">
        <f t="shared" si="165"/>
        <v>0</v>
      </c>
      <c r="AX2552" s="21" t="str">
        <f t="shared" si="164"/>
        <v/>
      </c>
      <c r="AY2552" s="21" t="str">
        <f>IF(AND($AM2552&lt;&gt;"",$AS2552&lt;&gt;"✓"),SUMPRODUCT(($AM$11:$AM2552&lt;&gt;"")*($AS$11:$AS2552&lt;&gt;"✓")),"")</f>
        <v/>
      </c>
      <c r="AZ2552" s="21" t="str">
        <f>IF(AND($AM2552&lt;&gt;"",$AS2552="✓"),SUMPRODUCT(($AM$11:$AM2552&lt;&gt;"")*($AS$11:$AS2552="✓")),"")</f>
        <v/>
      </c>
      <c r="BA2552" s="21" t="str">
        <f>IF($AL2552="","",$AL2552&amp;"|"&amp;COUNTIF($AL$11:$AL2552,$AL2552))</f>
        <v/>
      </c>
    </row>
    <row r="2553" spans="38:53" ht="15" customHeight="1" x14ac:dyDescent="0.25">
      <c r="AL2553" s="17"/>
      <c r="AM2553" s="12"/>
      <c r="AN2553" s="18"/>
      <c r="AO2553" s="18"/>
      <c r="AP2553" s="10"/>
      <c r="AQ2553" s="10"/>
      <c r="AR2553" s="19"/>
      <c r="AS2553" s="20"/>
      <c r="AT2553" s="19"/>
      <c r="AV2553" s="21">
        <f>IF(AND($AL2553&lt;&gt;"",COUNTIF($AL$11:$AL2553,$AL2553)=1),1,0)</f>
        <v>0</v>
      </c>
      <c r="AW2553" s="21">
        <f t="shared" si="165"/>
        <v>0</v>
      </c>
      <c r="AX2553" s="21" t="str">
        <f t="shared" si="164"/>
        <v/>
      </c>
      <c r="AY2553" s="21" t="str">
        <f>IF(AND($AM2553&lt;&gt;"",$AS2553&lt;&gt;"✓"),SUMPRODUCT(($AM$11:$AM2553&lt;&gt;"")*($AS$11:$AS2553&lt;&gt;"✓")),"")</f>
        <v/>
      </c>
      <c r="AZ2553" s="21" t="str">
        <f>IF(AND($AM2553&lt;&gt;"",$AS2553="✓"),SUMPRODUCT(($AM$11:$AM2553&lt;&gt;"")*($AS$11:$AS2553="✓")),"")</f>
        <v/>
      </c>
      <c r="BA2553" s="21" t="str">
        <f>IF($AL2553="","",$AL2553&amp;"|"&amp;COUNTIF($AL$11:$AL2553,$AL2553))</f>
        <v/>
      </c>
    </row>
    <row r="2554" spans="38:53" ht="15" customHeight="1" x14ac:dyDescent="0.25">
      <c r="AL2554" s="31"/>
      <c r="AM2554" s="26"/>
      <c r="AN2554" s="32"/>
      <c r="AO2554" s="32"/>
      <c r="AP2554" s="24"/>
      <c r="AQ2554" s="24"/>
      <c r="AR2554" s="33"/>
      <c r="AS2554" s="34"/>
      <c r="AT2554" s="33"/>
      <c r="AV2554" s="21">
        <f>IF(AND($AL2554&lt;&gt;"",COUNTIF($AL$11:$AL2554,$AL2554)=1),1,0)</f>
        <v>0</v>
      </c>
      <c r="AW2554" s="21">
        <f t="shared" si="165"/>
        <v>0</v>
      </c>
      <c r="AX2554" s="21" t="str">
        <f t="shared" si="164"/>
        <v/>
      </c>
      <c r="AY2554" s="21" t="str">
        <f>IF(AND($AM2554&lt;&gt;"",$AS2554&lt;&gt;"✓"),SUMPRODUCT(($AM$11:$AM2554&lt;&gt;"")*($AS$11:$AS2554&lt;&gt;"✓")),"")</f>
        <v/>
      </c>
      <c r="AZ2554" s="21" t="str">
        <f>IF(AND($AM2554&lt;&gt;"",$AS2554="✓"),SUMPRODUCT(($AM$11:$AM2554&lt;&gt;"")*($AS$11:$AS2554="✓")),"")</f>
        <v/>
      </c>
      <c r="BA2554" s="21" t="str">
        <f>IF($AL2554="","",$AL2554&amp;"|"&amp;COUNTIF($AL$11:$AL2554,$AL2554))</f>
        <v/>
      </c>
    </row>
    <row r="2555" spans="38:53" ht="15" customHeight="1" x14ac:dyDescent="0.25">
      <c r="AL2555" s="17"/>
      <c r="AM2555" s="12"/>
      <c r="AN2555" s="18"/>
      <c r="AO2555" s="18"/>
      <c r="AP2555" s="10"/>
      <c r="AQ2555" s="10"/>
      <c r="AR2555" s="19"/>
      <c r="AS2555" s="20"/>
      <c r="AT2555" s="19"/>
      <c r="AV2555" s="21">
        <f>IF(AND($AL2555&lt;&gt;"",COUNTIF($AL$11:$AL2555,$AL2555)=1),1,0)</f>
        <v>0</v>
      </c>
      <c r="AW2555" s="21">
        <f t="shared" si="165"/>
        <v>0</v>
      </c>
      <c r="AX2555" s="21" t="str">
        <f t="shared" si="164"/>
        <v/>
      </c>
      <c r="AY2555" s="21" t="str">
        <f>IF(AND($AM2555&lt;&gt;"",$AS2555&lt;&gt;"✓"),SUMPRODUCT(($AM$11:$AM2555&lt;&gt;"")*($AS$11:$AS2555&lt;&gt;"✓")),"")</f>
        <v/>
      </c>
      <c r="AZ2555" s="21" t="str">
        <f>IF(AND($AM2555&lt;&gt;"",$AS2555="✓"),SUMPRODUCT(($AM$11:$AM2555&lt;&gt;"")*($AS$11:$AS2555="✓")),"")</f>
        <v/>
      </c>
      <c r="BA2555" s="21" t="str">
        <f>IF($AL2555="","",$AL2555&amp;"|"&amp;COUNTIF($AL$11:$AL2555,$AL2555))</f>
        <v/>
      </c>
    </row>
    <row r="2556" spans="38:53" ht="15" customHeight="1" x14ac:dyDescent="0.25">
      <c r="AL2556" s="31"/>
      <c r="AM2556" s="26"/>
      <c r="AN2556" s="32"/>
      <c r="AO2556" s="32"/>
      <c r="AP2556" s="24"/>
      <c r="AQ2556" s="24"/>
      <c r="AR2556" s="33"/>
      <c r="AS2556" s="34"/>
      <c r="AT2556" s="33"/>
      <c r="AV2556" s="21">
        <f>IF(AND($AL2556&lt;&gt;"",COUNTIF($AL$11:$AL2556,$AL2556)=1),1,0)</f>
        <v>0</v>
      </c>
      <c r="AW2556" s="21">
        <f t="shared" si="165"/>
        <v>0</v>
      </c>
      <c r="AX2556" s="21" t="str">
        <f t="shared" si="164"/>
        <v/>
      </c>
      <c r="AY2556" s="21" t="str">
        <f>IF(AND($AM2556&lt;&gt;"",$AS2556&lt;&gt;"✓"),SUMPRODUCT(($AM$11:$AM2556&lt;&gt;"")*($AS$11:$AS2556&lt;&gt;"✓")),"")</f>
        <v/>
      </c>
      <c r="AZ2556" s="21" t="str">
        <f>IF(AND($AM2556&lt;&gt;"",$AS2556="✓"),SUMPRODUCT(($AM$11:$AM2556&lt;&gt;"")*($AS$11:$AS2556="✓")),"")</f>
        <v/>
      </c>
      <c r="BA2556" s="21" t="str">
        <f>IF($AL2556="","",$AL2556&amp;"|"&amp;COUNTIF($AL$11:$AL2556,$AL2556))</f>
        <v/>
      </c>
    </row>
    <row r="2557" spans="38:53" ht="15" customHeight="1" x14ac:dyDescent="0.25">
      <c r="AL2557" s="17"/>
      <c r="AM2557" s="12"/>
      <c r="AN2557" s="18"/>
      <c r="AO2557" s="18"/>
      <c r="AP2557" s="10"/>
      <c r="AQ2557" s="10"/>
      <c r="AR2557" s="19"/>
      <c r="AS2557" s="20"/>
      <c r="AT2557" s="19"/>
      <c r="AV2557" s="21">
        <f>IF(AND($AL2557&lt;&gt;"",COUNTIF($AL$11:$AL2557,$AL2557)=1),1,0)</f>
        <v>0</v>
      </c>
      <c r="AW2557" s="21">
        <f t="shared" si="165"/>
        <v>0</v>
      </c>
      <c r="AX2557" s="21" t="str">
        <f t="shared" si="164"/>
        <v/>
      </c>
      <c r="AY2557" s="21" t="str">
        <f>IF(AND($AM2557&lt;&gt;"",$AS2557&lt;&gt;"✓"),SUMPRODUCT(($AM$11:$AM2557&lt;&gt;"")*($AS$11:$AS2557&lt;&gt;"✓")),"")</f>
        <v/>
      </c>
      <c r="AZ2557" s="21" t="str">
        <f>IF(AND($AM2557&lt;&gt;"",$AS2557="✓"),SUMPRODUCT(($AM$11:$AM2557&lt;&gt;"")*($AS$11:$AS2557="✓")),"")</f>
        <v/>
      </c>
      <c r="BA2557" s="21" t="str">
        <f>IF($AL2557="","",$AL2557&amp;"|"&amp;COUNTIF($AL$11:$AL2557,$AL2557))</f>
        <v/>
      </c>
    </row>
    <row r="2558" spans="38:53" ht="15" customHeight="1" x14ac:dyDescent="0.25">
      <c r="AL2558" s="31"/>
      <c r="AM2558" s="26"/>
      <c r="AN2558" s="32"/>
      <c r="AO2558" s="32"/>
      <c r="AP2558" s="24"/>
      <c r="AQ2558" s="24"/>
      <c r="AR2558" s="33"/>
      <c r="AS2558" s="34"/>
      <c r="AT2558" s="33"/>
      <c r="AV2558" s="21">
        <f>IF(AND($AL2558&lt;&gt;"",COUNTIF($AL$11:$AL2558,$AL2558)=1),1,0)</f>
        <v>0</v>
      </c>
      <c r="AW2558" s="21">
        <f t="shared" si="165"/>
        <v>0</v>
      </c>
      <c r="AX2558" s="21" t="str">
        <f t="shared" si="164"/>
        <v/>
      </c>
      <c r="AY2558" s="21" t="str">
        <f>IF(AND($AM2558&lt;&gt;"",$AS2558&lt;&gt;"✓"),SUMPRODUCT(($AM$11:$AM2558&lt;&gt;"")*($AS$11:$AS2558&lt;&gt;"✓")),"")</f>
        <v/>
      </c>
      <c r="AZ2558" s="21" t="str">
        <f>IF(AND($AM2558&lt;&gt;"",$AS2558="✓"),SUMPRODUCT(($AM$11:$AM2558&lt;&gt;"")*($AS$11:$AS2558="✓")),"")</f>
        <v/>
      </c>
      <c r="BA2558" s="21" t="str">
        <f>IF($AL2558="","",$AL2558&amp;"|"&amp;COUNTIF($AL$11:$AL2558,$AL2558))</f>
        <v/>
      </c>
    </row>
    <row r="2559" spans="38:53" ht="15" customHeight="1" x14ac:dyDescent="0.25">
      <c r="AL2559" s="17"/>
      <c r="AM2559" s="12"/>
      <c r="AN2559" s="18"/>
      <c r="AO2559" s="18"/>
      <c r="AP2559" s="10"/>
      <c r="AQ2559" s="10"/>
      <c r="AR2559" s="19"/>
      <c r="AS2559" s="20"/>
      <c r="AT2559" s="19"/>
      <c r="AV2559" s="21">
        <f>IF(AND($AL2559&lt;&gt;"",COUNTIF($AL$11:$AL2559,$AL2559)=1),1,0)</f>
        <v>0</v>
      </c>
      <c r="AW2559" s="21">
        <f t="shared" si="165"/>
        <v>0</v>
      </c>
      <c r="AX2559" s="21" t="str">
        <f t="shared" si="164"/>
        <v/>
      </c>
      <c r="AY2559" s="21" t="str">
        <f>IF(AND($AM2559&lt;&gt;"",$AS2559&lt;&gt;"✓"),SUMPRODUCT(($AM$11:$AM2559&lt;&gt;"")*($AS$11:$AS2559&lt;&gt;"✓")),"")</f>
        <v/>
      </c>
      <c r="AZ2559" s="21" t="str">
        <f>IF(AND($AM2559&lt;&gt;"",$AS2559="✓"),SUMPRODUCT(($AM$11:$AM2559&lt;&gt;"")*($AS$11:$AS2559="✓")),"")</f>
        <v/>
      </c>
      <c r="BA2559" s="21" t="str">
        <f>IF($AL2559="","",$AL2559&amp;"|"&amp;COUNTIF($AL$11:$AL2559,$AL2559))</f>
        <v/>
      </c>
    </row>
    <row r="2560" spans="38:53" ht="15" customHeight="1" x14ac:dyDescent="0.25">
      <c r="AL2560" s="31"/>
      <c r="AM2560" s="26"/>
      <c r="AN2560" s="32"/>
      <c r="AO2560" s="32"/>
      <c r="AP2560" s="24"/>
      <c r="AQ2560" s="24"/>
      <c r="AR2560" s="33"/>
      <c r="AS2560" s="34"/>
      <c r="AT2560" s="33"/>
      <c r="AV2560" s="21">
        <f>IF(AND($AL2560&lt;&gt;"",COUNTIF($AL$11:$AL2560,$AL2560)=1),1,0)</f>
        <v>0</v>
      </c>
      <c r="AW2560" s="21">
        <f t="shared" si="165"/>
        <v>0</v>
      </c>
      <c r="AX2560" s="21" t="str">
        <f t="shared" si="164"/>
        <v/>
      </c>
      <c r="AY2560" s="21" t="str">
        <f>IF(AND($AM2560&lt;&gt;"",$AS2560&lt;&gt;"✓"),SUMPRODUCT(($AM$11:$AM2560&lt;&gt;"")*($AS$11:$AS2560&lt;&gt;"✓")),"")</f>
        <v/>
      </c>
      <c r="AZ2560" s="21" t="str">
        <f>IF(AND($AM2560&lt;&gt;"",$AS2560="✓"),SUMPRODUCT(($AM$11:$AM2560&lt;&gt;"")*($AS$11:$AS2560="✓")),"")</f>
        <v/>
      </c>
      <c r="BA2560" s="21" t="str">
        <f>IF($AL2560="","",$AL2560&amp;"|"&amp;COUNTIF($AL$11:$AL2560,$AL2560))</f>
        <v/>
      </c>
    </row>
    <row r="2561" spans="38:53" ht="15" customHeight="1" x14ac:dyDescent="0.25">
      <c r="AL2561" s="17"/>
      <c r="AM2561" s="12"/>
      <c r="AN2561" s="18"/>
      <c r="AO2561" s="18"/>
      <c r="AP2561" s="10"/>
      <c r="AQ2561" s="10"/>
      <c r="AR2561" s="19"/>
      <c r="AS2561" s="20"/>
      <c r="AT2561" s="19"/>
      <c r="AV2561" s="21">
        <f>IF(AND($AL2561&lt;&gt;"",COUNTIF($AL$11:$AL2561,$AL2561)=1),1,0)</f>
        <v>0</v>
      </c>
      <c r="AW2561" s="21">
        <f t="shared" si="165"/>
        <v>0</v>
      </c>
      <c r="AX2561" s="21" t="str">
        <f t="shared" si="164"/>
        <v/>
      </c>
      <c r="AY2561" s="21" t="str">
        <f>IF(AND($AM2561&lt;&gt;"",$AS2561&lt;&gt;"✓"),SUMPRODUCT(($AM$11:$AM2561&lt;&gt;"")*($AS$11:$AS2561&lt;&gt;"✓")),"")</f>
        <v/>
      </c>
      <c r="AZ2561" s="21" t="str">
        <f>IF(AND($AM2561&lt;&gt;"",$AS2561="✓"),SUMPRODUCT(($AM$11:$AM2561&lt;&gt;"")*($AS$11:$AS2561="✓")),"")</f>
        <v/>
      </c>
      <c r="BA2561" s="21" t="str">
        <f>IF($AL2561="","",$AL2561&amp;"|"&amp;COUNTIF($AL$11:$AL2561,$AL2561))</f>
        <v/>
      </c>
    </row>
    <row r="2562" spans="38:53" ht="15" customHeight="1" x14ac:dyDescent="0.25">
      <c r="AL2562" s="31"/>
      <c r="AM2562" s="26"/>
      <c r="AN2562" s="32"/>
      <c r="AO2562" s="32"/>
      <c r="AP2562" s="24"/>
      <c r="AQ2562" s="24"/>
      <c r="AR2562" s="33"/>
      <c r="AS2562" s="34"/>
      <c r="AT2562" s="33"/>
      <c r="AV2562" s="21">
        <f>IF(AND($AL2562&lt;&gt;"",COUNTIF($AL$11:$AL2562,$AL2562)=1),1,0)</f>
        <v>0</v>
      </c>
      <c r="AW2562" s="21">
        <f t="shared" si="165"/>
        <v>0</v>
      </c>
      <c r="AX2562" s="21" t="str">
        <f t="shared" si="164"/>
        <v/>
      </c>
      <c r="AY2562" s="21" t="str">
        <f>IF(AND($AM2562&lt;&gt;"",$AS2562&lt;&gt;"✓"),SUMPRODUCT(($AM$11:$AM2562&lt;&gt;"")*($AS$11:$AS2562&lt;&gt;"✓")),"")</f>
        <v/>
      </c>
      <c r="AZ2562" s="21" t="str">
        <f>IF(AND($AM2562&lt;&gt;"",$AS2562="✓"),SUMPRODUCT(($AM$11:$AM2562&lt;&gt;"")*($AS$11:$AS2562="✓")),"")</f>
        <v/>
      </c>
      <c r="BA2562" s="21" t="str">
        <f>IF($AL2562="","",$AL2562&amp;"|"&amp;COUNTIF($AL$11:$AL2562,$AL2562))</f>
        <v/>
      </c>
    </row>
    <row r="2563" spans="38:53" ht="15" customHeight="1" x14ac:dyDescent="0.25">
      <c r="AL2563" s="17"/>
      <c r="AM2563" s="12"/>
      <c r="AN2563" s="18"/>
      <c r="AO2563" s="18"/>
      <c r="AP2563" s="10"/>
      <c r="AQ2563" s="10"/>
      <c r="AR2563" s="19"/>
      <c r="AS2563" s="20"/>
      <c r="AT2563" s="19"/>
      <c r="AV2563" s="21">
        <f>IF(AND($AL2563&lt;&gt;"",COUNTIF($AL$11:$AL2563,$AL2563)=1),1,0)</f>
        <v>0</v>
      </c>
      <c r="AW2563" s="21">
        <f t="shared" si="165"/>
        <v>0</v>
      </c>
      <c r="AX2563" s="21" t="str">
        <f t="shared" si="164"/>
        <v/>
      </c>
      <c r="AY2563" s="21" t="str">
        <f>IF(AND($AM2563&lt;&gt;"",$AS2563&lt;&gt;"✓"),SUMPRODUCT(($AM$11:$AM2563&lt;&gt;"")*($AS$11:$AS2563&lt;&gt;"✓")),"")</f>
        <v/>
      </c>
      <c r="AZ2563" s="21" t="str">
        <f>IF(AND($AM2563&lt;&gt;"",$AS2563="✓"),SUMPRODUCT(($AM$11:$AM2563&lt;&gt;"")*($AS$11:$AS2563="✓")),"")</f>
        <v/>
      </c>
      <c r="BA2563" s="21" t="str">
        <f>IF($AL2563="","",$AL2563&amp;"|"&amp;COUNTIF($AL$11:$AL2563,$AL2563))</f>
        <v/>
      </c>
    </row>
    <row r="2564" spans="38:53" ht="15" customHeight="1" x14ac:dyDescent="0.25">
      <c r="AL2564" s="31"/>
      <c r="AM2564" s="26"/>
      <c r="AN2564" s="32"/>
      <c r="AO2564" s="32"/>
      <c r="AP2564" s="24"/>
      <c r="AQ2564" s="24"/>
      <c r="AR2564" s="33"/>
      <c r="AS2564" s="34"/>
      <c r="AT2564" s="33"/>
      <c r="AV2564" s="21">
        <f>IF(AND($AL2564&lt;&gt;"",COUNTIF($AL$11:$AL2564,$AL2564)=1),1,0)</f>
        <v>0</v>
      </c>
      <c r="AW2564" s="21">
        <f t="shared" si="165"/>
        <v>0</v>
      </c>
      <c r="AX2564" s="21" t="str">
        <f t="shared" si="164"/>
        <v/>
      </c>
      <c r="AY2564" s="21" t="str">
        <f>IF(AND($AM2564&lt;&gt;"",$AS2564&lt;&gt;"✓"),SUMPRODUCT(($AM$11:$AM2564&lt;&gt;"")*($AS$11:$AS2564&lt;&gt;"✓")),"")</f>
        <v/>
      </c>
      <c r="AZ2564" s="21" t="str">
        <f>IF(AND($AM2564&lt;&gt;"",$AS2564="✓"),SUMPRODUCT(($AM$11:$AM2564&lt;&gt;"")*($AS$11:$AS2564="✓")),"")</f>
        <v/>
      </c>
      <c r="BA2564" s="21" t="str">
        <f>IF($AL2564="","",$AL2564&amp;"|"&amp;COUNTIF($AL$11:$AL2564,$AL2564))</f>
        <v/>
      </c>
    </row>
    <row r="2565" spans="38:53" ht="15" customHeight="1" x14ac:dyDescent="0.25">
      <c r="AL2565" s="17"/>
      <c r="AM2565" s="12"/>
      <c r="AN2565" s="18"/>
      <c r="AO2565" s="18"/>
      <c r="AP2565" s="10"/>
      <c r="AQ2565" s="10"/>
      <c r="AR2565" s="19"/>
      <c r="AS2565" s="20"/>
      <c r="AT2565" s="19"/>
      <c r="AV2565" s="21">
        <f>IF(AND($AL2565&lt;&gt;"",COUNTIF($AL$11:$AL2565,$AL2565)=1),1,0)</f>
        <v>0</v>
      </c>
      <c r="AW2565" s="21">
        <f t="shared" si="165"/>
        <v>0</v>
      </c>
      <c r="AX2565" s="21" t="str">
        <f t="shared" si="164"/>
        <v/>
      </c>
      <c r="AY2565" s="21" t="str">
        <f>IF(AND($AM2565&lt;&gt;"",$AS2565&lt;&gt;"✓"),SUMPRODUCT(($AM$11:$AM2565&lt;&gt;"")*($AS$11:$AS2565&lt;&gt;"✓")),"")</f>
        <v/>
      </c>
      <c r="AZ2565" s="21" t="str">
        <f>IF(AND($AM2565&lt;&gt;"",$AS2565="✓"),SUMPRODUCT(($AM$11:$AM2565&lt;&gt;"")*($AS$11:$AS2565="✓")),"")</f>
        <v/>
      </c>
      <c r="BA2565" s="21" t="str">
        <f>IF($AL2565="","",$AL2565&amp;"|"&amp;COUNTIF($AL$11:$AL2565,$AL2565))</f>
        <v/>
      </c>
    </row>
    <row r="2566" spans="38:53" ht="15" customHeight="1" x14ac:dyDescent="0.25">
      <c r="AL2566" s="31"/>
      <c r="AM2566" s="26"/>
      <c r="AN2566" s="32"/>
      <c r="AO2566" s="32"/>
      <c r="AP2566" s="24"/>
      <c r="AQ2566" s="24"/>
      <c r="AR2566" s="33"/>
      <c r="AS2566" s="34"/>
      <c r="AT2566" s="33"/>
      <c r="AV2566" s="21">
        <f>IF(AND($AL2566&lt;&gt;"",COUNTIF($AL$11:$AL2566,$AL2566)=1),1,0)</f>
        <v>0</v>
      </c>
      <c r="AW2566" s="21">
        <f t="shared" si="165"/>
        <v>0</v>
      </c>
      <c r="AX2566" s="21" t="str">
        <f t="shared" si="164"/>
        <v/>
      </c>
      <c r="AY2566" s="21" t="str">
        <f>IF(AND($AM2566&lt;&gt;"",$AS2566&lt;&gt;"✓"),SUMPRODUCT(($AM$11:$AM2566&lt;&gt;"")*($AS$11:$AS2566&lt;&gt;"✓")),"")</f>
        <v/>
      </c>
      <c r="AZ2566" s="21" t="str">
        <f>IF(AND($AM2566&lt;&gt;"",$AS2566="✓"),SUMPRODUCT(($AM$11:$AM2566&lt;&gt;"")*($AS$11:$AS2566="✓")),"")</f>
        <v/>
      </c>
      <c r="BA2566" s="21" t="str">
        <f>IF($AL2566="","",$AL2566&amp;"|"&amp;COUNTIF($AL$11:$AL2566,$AL2566))</f>
        <v/>
      </c>
    </row>
    <row r="2567" spans="38:53" ht="15" customHeight="1" x14ac:dyDescent="0.25">
      <c r="AL2567" s="17"/>
      <c r="AM2567" s="12"/>
      <c r="AN2567" s="18"/>
      <c r="AO2567" s="18"/>
      <c r="AP2567" s="10"/>
      <c r="AQ2567" s="10"/>
      <c r="AR2567" s="19"/>
      <c r="AS2567" s="20"/>
      <c r="AT2567" s="19"/>
      <c r="AV2567" s="21">
        <f>IF(AND($AL2567&lt;&gt;"",COUNTIF($AL$11:$AL2567,$AL2567)=1),1,0)</f>
        <v>0</v>
      </c>
      <c r="AW2567" s="21">
        <f t="shared" si="165"/>
        <v>0</v>
      </c>
      <c r="AX2567" s="21" t="str">
        <f t="shared" si="164"/>
        <v/>
      </c>
      <c r="AY2567" s="21" t="str">
        <f>IF(AND($AM2567&lt;&gt;"",$AS2567&lt;&gt;"✓"),SUMPRODUCT(($AM$11:$AM2567&lt;&gt;"")*($AS$11:$AS2567&lt;&gt;"✓")),"")</f>
        <v/>
      </c>
      <c r="AZ2567" s="21" t="str">
        <f>IF(AND($AM2567&lt;&gt;"",$AS2567="✓"),SUMPRODUCT(($AM$11:$AM2567&lt;&gt;"")*($AS$11:$AS2567="✓")),"")</f>
        <v/>
      </c>
      <c r="BA2567" s="21" t="str">
        <f>IF($AL2567="","",$AL2567&amp;"|"&amp;COUNTIF($AL$11:$AL2567,$AL2567))</f>
        <v/>
      </c>
    </row>
    <row r="2568" spans="38:53" ht="15" customHeight="1" x14ac:dyDescent="0.25">
      <c r="AL2568" s="31"/>
      <c r="AM2568" s="26"/>
      <c r="AN2568" s="32"/>
      <c r="AO2568" s="32"/>
      <c r="AP2568" s="24"/>
      <c r="AQ2568" s="24"/>
      <c r="AR2568" s="33"/>
      <c r="AS2568" s="34"/>
      <c r="AT2568" s="33"/>
      <c r="AV2568" s="21">
        <f>IF(AND($AL2568&lt;&gt;"",COUNTIF($AL$11:$AL2568,$AL2568)=1),1,0)</f>
        <v>0</v>
      </c>
      <c r="AW2568" s="21">
        <f t="shared" si="165"/>
        <v>0</v>
      </c>
      <c r="AX2568" s="21" t="str">
        <f t="shared" si="164"/>
        <v/>
      </c>
      <c r="AY2568" s="21" t="str">
        <f>IF(AND($AM2568&lt;&gt;"",$AS2568&lt;&gt;"✓"),SUMPRODUCT(($AM$11:$AM2568&lt;&gt;"")*($AS$11:$AS2568&lt;&gt;"✓")),"")</f>
        <v/>
      </c>
      <c r="AZ2568" s="21" t="str">
        <f>IF(AND($AM2568&lt;&gt;"",$AS2568="✓"),SUMPRODUCT(($AM$11:$AM2568&lt;&gt;"")*($AS$11:$AS2568="✓")),"")</f>
        <v/>
      </c>
      <c r="BA2568" s="21" t="str">
        <f>IF($AL2568="","",$AL2568&amp;"|"&amp;COUNTIF($AL$11:$AL2568,$AL2568))</f>
        <v/>
      </c>
    </row>
    <row r="2569" spans="38:53" ht="15" customHeight="1" x14ac:dyDescent="0.25">
      <c r="AL2569" s="17"/>
      <c r="AM2569" s="12"/>
      <c r="AN2569" s="18"/>
      <c r="AO2569" s="18"/>
      <c r="AP2569" s="10"/>
      <c r="AQ2569" s="10"/>
      <c r="AR2569" s="19"/>
      <c r="AS2569" s="20"/>
      <c r="AT2569" s="19"/>
      <c r="AV2569" s="21">
        <f>IF(AND($AL2569&lt;&gt;"",COUNTIF($AL$11:$AL2569,$AL2569)=1),1,0)</f>
        <v>0</v>
      </c>
      <c r="AW2569" s="21">
        <f t="shared" si="165"/>
        <v>0</v>
      </c>
      <c r="AX2569" s="21" t="str">
        <f t="shared" si="164"/>
        <v/>
      </c>
      <c r="AY2569" s="21" t="str">
        <f>IF(AND($AM2569&lt;&gt;"",$AS2569&lt;&gt;"✓"),SUMPRODUCT(($AM$11:$AM2569&lt;&gt;"")*($AS$11:$AS2569&lt;&gt;"✓")),"")</f>
        <v/>
      </c>
      <c r="AZ2569" s="21" t="str">
        <f>IF(AND($AM2569&lt;&gt;"",$AS2569="✓"),SUMPRODUCT(($AM$11:$AM2569&lt;&gt;"")*($AS$11:$AS2569="✓")),"")</f>
        <v/>
      </c>
      <c r="BA2569" s="21" t="str">
        <f>IF($AL2569="","",$AL2569&amp;"|"&amp;COUNTIF($AL$11:$AL2569,$AL2569))</f>
        <v/>
      </c>
    </row>
    <row r="2570" spans="38:53" ht="15" customHeight="1" x14ac:dyDescent="0.25">
      <c r="AL2570" s="31"/>
      <c r="AM2570" s="26"/>
      <c r="AN2570" s="32"/>
      <c r="AO2570" s="32"/>
      <c r="AP2570" s="24"/>
      <c r="AQ2570" s="24"/>
      <c r="AR2570" s="33"/>
      <c r="AS2570" s="34"/>
      <c r="AT2570" s="33"/>
      <c r="AV2570" s="21">
        <f>IF(AND($AL2570&lt;&gt;"",COUNTIF($AL$11:$AL2570,$AL2570)=1),1,0)</f>
        <v>0</v>
      </c>
      <c r="AW2570" s="21">
        <f t="shared" si="165"/>
        <v>0</v>
      </c>
      <c r="AX2570" s="21" t="str">
        <f t="shared" si="164"/>
        <v/>
      </c>
      <c r="AY2570" s="21" t="str">
        <f>IF(AND($AM2570&lt;&gt;"",$AS2570&lt;&gt;"✓"),SUMPRODUCT(($AM$11:$AM2570&lt;&gt;"")*($AS$11:$AS2570&lt;&gt;"✓")),"")</f>
        <v/>
      </c>
      <c r="AZ2570" s="21" t="str">
        <f>IF(AND($AM2570&lt;&gt;"",$AS2570="✓"),SUMPRODUCT(($AM$11:$AM2570&lt;&gt;"")*($AS$11:$AS2570="✓")),"")</f>
        <v/>
      </c>
      <c r="BA2570" s="21" t="str">
        <f>IF($AL2570="","",$AL2570&amp;"|"&amp;COUNTIF($AL$11:$AL2570,$AL2570))</f>
        <v/>
      </c>
    </row>
    <row r="2571" spans="38:53" ht="15" customHeight="1" x14ac:dyDescent="0.25">
      <c r="AL2571" s="17"/>
      <c r="AM2571" s="12"/>
      <c r="AN2571" s="18"/>
      <c r="AO2571" s="18"/>
      <c r="AP2571" s="10"/>
      <c r="AQ2571" s="10"/>
      <c r="AR2571" s="19"/>
      <c r="AS2571" s="20"/>
      <c r="AT2571" s="19"/>
      <c r="AV2571" s="21">
        <f>IF(AND($AL2571&lt;&gt;"",COUNTIF($AL$11:$AL2571,$AL2571)=1),1,0)</f>
        <v>0</v>
      </c>
      <c r="AW2571" s="21">
        <f t="shared" si="165"/>
        <v>0</v>
      </c>
      <c r="AX2571" s="21" t="str">
        <f t="shared" ref="AX2571:AX2634" si="166">IF(AV2571=1,AW2571,"")</f>
        <v/>
      </c>
      <c r="AY2571" s="21" t="str">
        <f>IF(AND($AM2571&lt;&gt;"",$AS2571&lt;&gt;"✓"),SUMPRODUCT(($AM$11:$AM2571&lt;&gt;"")*($AS$11:$AS2571&lt;&gt;"✓")),"")</f>
        <v/>
      </c>
      <c r="AZ2571" s="21" t="str">
        <f>IF(AND($AM2571&lt;&gt;"",$AS2571="✓"),SUMPRODUCT(($AM$11:$AM2571&lt;&gt;"")*($AS$11:$AS2571="✓")),"")</f>
        <v/>
      </c>
      <c r="BA2571" s="21" t="str">
        <f>IF($AL2571="","",$AL2571&amp;"|"&amp;COUNTIF($AL$11:$AL2571,$AL2571))</f>
        <v/>
      </c>
    </row>
    <row r="2572" spans="38:53" ht="15" customHeight="1" x14ac:dyDescent="0.25">
      <c r="AL2572" s="31"/>
      <c r="AM2572" s="26"/>
      <c r="AN2572" s="32"/>
      <c r="AO2572" s="32"/>
      <c r="AP2572" s="24"/>
      <c r="AQ2572" s="24"/>
      <c r="AR2572" s="33"/>
      <c r="AS2572" s="34"/>
      <c r="AT2572" s="33"/>
      <c r="AV2572" s="21">
        <f>IF(AND($AL2572&lt;&gt;"",COUNTIF($AL$11:$AL2572,$AL2572)=1),1,0)</f>
        <v>0</v>
      </c>
      <c r="AW2572" s="21">
        <f t="shared" ref="AW2572:AW2635" si="167">AW2571+AV2572</f>
        <v>0</v>
      </c>
      <c r="AX2572" s="21" t="str">
        <f t="shared" si="166"/>
        <v/>
      </c>
      <c r="AY2572" s="21" t="str">
        <f>IF(AND($AM2572&lt;&gt;"",$AS2572&lt;&gt;"✓"),SUMPRODUCT(($AM$11:$AM2572&lt;&gt;"")*($AS$11:$AS2572&lt;&gt;"✓")),"")</f>
        <v/>
      </c>
      <c r="AZ2572" s="21" t="str">
        <f>IF(AND($AM2572&lt;&gt;"",$AS2572="✓"),SUMPRODUCT(($AM$11:$AM2572&lt;&gt;"")*($AS$11:$AS2572="✓")),"")</f>
        <v/>
      </c>
      <c r="BA2572" s="21" t="str">
        <f>IF($AL2572="","",$AL2572&amp;"|"&amp;COUNTIF($AL$11:$AL2572,$AL2572))</f>
        <v/>
      </c>
    </row>
    <row r="2573" spans="38:53" ht="15" customHeight="1" x14ac:dyDescent="0.25">
      <c r="AL2573" s="17"/>
      <c r="AM2573" s="12"/>
      <c r="AN2573" s="18"/>
      <c r="AO2573" s="18"/>
      <c r="AP2573" s="10"/>
      <c r="AQ2573" s="10"/>
      <c r="AR2573" s="19"/>
      <c r="AS2573" s="20"/>
      <c r="AT2573" s="19"/>
      <c r="AV2573" s="21">
        <f>IF(AND($AL2573&lt;&gt;"",COUNTIF($AL$11:$AL2573,$AL2573)=1),1,0)</f>
        <v>0</v>
      </c>
      <c r="AW2573" s="21">
        <f t="shared" si="167"/>
        <v>0</v>
      </c>
      <c r="AX2573" s="21" t="str">
        <f t="shared" si="166"/>
        <v/>
      </c>
      <c r="AY2573" s="21" t="str">
        <f>IF(AND($AM2573&lt;&gt;"",$AS2573&lt;&gt;"✓"),SUMPRODUCT(($AM$11:$AM2573&lt;&gt;"")*($AS$11:$AS2573&lt;&gt;"✓")),"")</f>
        <v/>
      </c>
      <c r="AZ2573" s="21" t="str">
        <f>IF(AND($AM2573&lt;&gt;"",$AS2573="✓"),SUMPRODUCT(($AM$11:$AM2573&lt;&gt;"")*($AS$11:$AS2573="✓")),"")</f>
        <v/>
      </c>
      <c r="BA2573" s="21" t="str">
        <f>IF($AL2573="","",$AL2573&amp;"|"&amp;COUNTIF($AL$11:$AL2573,$AL2573))</f>
        <v/>
      </c>
    </row>
    <row r="2574" spans="38:53" ht="15" customHeight="1" x14ac:dyDescent="0.25">
      <c r="AL2574" s="31"/>
      <c r="AM2574" s="26"/>
      <c r="AN2574" s="32"/>
      <c r="AO2574" s="32"/>
      <c r="AP2574" s="24"/>
      <c r="AQ2574" s="24"/>
      <c r="AR2574" s="33"/>
      <c r="AS2574" s="34"/>
      <c r="AT2574" s="33"/>
      <c r="AV2574" s="21">
        <f>IF(AND($AL2574&lt;&gt;"",COUNTIF($AL$11:$AL2574,$AL2574)=1),1,0)</f>
        <v>0</v>
      </c>
      <c r="AW2574" s="21">
        <f t="shared" si="167"/>
        <v>0</v>
      </c>
      <c r="AX2574" s="21" t="str">
        <f t="shared" si="166"/>
        <v/>
      </c>
      <c r="AY2574" s="21" t="str">
        <f>IF(AND($AM2574&lt;&gt;"",$AS2574&lt;&gt;"✓"),SUMPRODUCT(($AM$11:$AM2574&lt;&gt;"")*($AS$11:$AS2574&lt;&gt;"✓")),"")</f>
        <v/>
      </c>
      <c r="AZ2574" s="21" t="str">
        <f>IF(AND($AM2574&lt;&gt;"",$AS2574="✓"),SUMPRODUCT(($AM$11:$AM2574&lt;&gt;"")*($AS$11:$AS2574="✓")),"")</f>
        <v/>
      </c>
      <c r="BA2574" s="21" t="str">
        <f>IF($AL2574="","",$AL2574&amp;"|"&amp;COUNTIF($AL$11:$AL2574,$AL2574))</f>
        <v/>
      </c>
    </row>
    <row r="2575" spans="38:53" ht="15" customHeight="1" x14ac:dyDescent="0.25">
      <c r="AL2575" s="17"/>
      <c r="AM2575" s="12"/>
      <c r="AN2575" s="18"/>
      <c r="AO2575" s="18"/>
      <c r="AP2575" s="10"/>
      <c r="AQ2575" s="10"/>
      <c r="AR2575" s="19"/>
      <c r="AS2575" s="20"/>
      <c r="AT2575" s="19"/>
      <c r="AV2575" s="21">
        <f>IF(AND($AL2575&lt;&gt;"",COUNTIF($AL$11:$AL2575,$AL2575)=1),1,0)</f>
        <v>0</v>
      </c>
      <c r="AW2575" s="21">
        <f t="shared" si="167"/>
        <v>0</v>
      </c>
      <c r="AX2575" s="21" t="str">
        <f t="shared" si="166"/>
        <v/>
      </c>
      <c r="AY2575" s="21" t="str">
        <f>IF(AND($AM2575&lt;&gt;"",$AS2575&lt;&gt;"✓"),SUMPRODUCT(($AM$11:$AM2575&lt;&gt;"")*($AS$11:$AS2575&lt;&gt;"✓")),"")</f>
        <v/>
      </c>
      <c r="AZ2575" s="21" t="str">
        <f>IF(AND($AM2575&lt;&gt;"",$AS2575="✓"),SUMPRODUCT(($AM$11:$AM2575&lt;&gt;"")*($AS$11:$AS2575="✓")),"")</f>
        <v/>
      </c>
      <c r="BA2575" s="21" t="str">
        <f>IF($AL2575="","",$AL2575&amp;"|"&amp;COUNTIF($AL$11:$AL2575,$AL2575))</f>
        <v/>
      </c>
    </row>
    <row r="2576" spans="38:53" ht="15" customHeight="1" x14ac:dyDescent="0.25">
      <c r="AL2576" s="31"/>
      <c r="AM2576" s="26"/>
      <c r="AN2576" s="32"/>
      <c r="AO2576" s="32"/>
      <c r="AP2576" s="24"/>
      <c r="AQ2576" s="24"/>
      <c r="AR2576" s="33"/>
      <c r="AS2576" s="34"/>
      <c r="AT2576" s="33"/>
      <c r="AV2576" s="21">
        <f>IF(AND($AL2576&lt;&gt;"",COUNTIF($AL$11:$AL2576,$AL2576)=1),1,0)</f>
        <v>0</v>
      </c>
      <c r="AW2576" s="21">
        <f t="shared" si="167"/>
        <v>0</v>
      </c>
      <c r="AX2576" s="21" t="str">
        <f t="shared" si="166"/>
        <v/>
      </c>
      <c r="AY2576" s="21" t="str">
        <f>IF(AND($AM2576&lt;&gt;"",$AS2576&lt;&gt;"✓"),SUMPRODUCT(($AM$11:$AM2576&lt;&gt;"")*($AS$11:$AS2576&lt;&gt;"✓")),"")</f>
        <v/>
      </c>
      <c r="AZ2576" s="21" t="str">
        <f>IF(AND($AM2576&lt;&gt;"",$AS2576="✓"),SUMPRODUCT(($AM$11:$AM2576&lt;&gt;"")*($AS$11:$AS2576="✓")),"")</f>
        <v/>
      </c>
      <c r="BA2576" s="21" t="str">
        <f>IF($AL2576="","",$AL2576&amp;"|"&amp;COUNTIF($AL$11:$AL2576,$AL2576))</f>
        <v/>
      </c>
    </row>
    <row r="2577" spans="38:53" ht="15" customHeight="1" x14ac:dyDescent="0.25">
      <c r="AL2577" s="17"/>
      <c r="AM2577" s="12"/>
      <c r="AN2577" s="18"/>
      <c r="AO2577" s="18"/>
      <c r="AP2577" s="10"/>
      <c r="AQ2577" s="10"/>
      <c r="AR2577" s="19"/>
      <c r="AS2577" s="20"/>
      <c r="AT2577" s="19"/>
      <c r="AV2577" s="21">
        <f>IF(AND($AL2577&lt;&gt;"",COUNTIF($AL$11:$AL2577,$AL2577)=1),1,0)</f>
        <v>0</v>
      </c>
      <c r="AW2577" s="21">
        <f t="shared" si="167"/>
        <v>0</v>
      </c>
      <c r="AX2577" s="21" t="str">
        <f t="shared" si="166"/>
        <v/>
      </c>
      <c r="AY2577" s="21" t="str">
        <f>IF(AND($AM2577&lt;&gt;"",$AS2577&lt;&gt;"✓"),SUMPRODUCT(($AM$11:$AM2577&lt;&gt;"")*($AS$11:$AS2577&lt;&gt;"✓")),"")</f>
        <v/>
      </c>
      <c r="AZ2577" s="21" t="str">
        <f>IF(AND($AM2577&lt;&gt;"",$AS2577="✓"),SUMPRODUCT(($AM$11:$AM2577&lt;&gt;"")*($AS$11:$AS2577="✓")),"")</f>
        <v/>
      </c>
      <c r="BA2577" s="21" t="str">
        <f>IF($AL2577="","",$AL2577&amp;"|"&amp;COUNTIF($AL$11:$AL2577,$AL2577))</f>
        <v/>
      </c>
    </row>
    <row r="2578" spans="38:53" ht="15" customHeight="1" x14ac:dyDescent="0.25">
      <c r="AL2578" s="31"/>
      <c r="AM2578" s="26"/>
      <c r="AN2578" s="32"/>
      <c r="AO2578" s="32"/>
      <c r="AP2578" s="24"/>
      <c r="AQ2578" s="24"/>
      <c r="AR2578" s="33"/>
      <c r="AS2578" s="34"/>
      <c r="AT2578" s="33"/>
      <c r="AV2578" s="21">
        <f>IF(AND($AL2578&lt;&gt;"",COUNTIF($AL$11:$AL2578,$AL2578)=1),1,0)</f>
        <v>0</v>
      </c>
      <c r="AW2578" s="21">
        <f t="shared" si="167"/>
        <v>0</v>
      </c>
      <c r="AX2578" s="21" t="str">
        <f t="shared" si="166"/>
        <v/>
      </c>
      <c r="AY2578" s="21" t="str">
        <f>IF(AND($AM2578&lt;&gt;"",$AS2578&lt;&gt;"✓"),SUMPRODUCT(($AM$11:$AM2578&lt;&gt;"")*($AS$11:$AS2578&lt;&gt;"✓")),"")</f>
        <v/>
      </c>
      <c r="AZ2578" s="21" t="str">
        <f>IF(AND($AM2578&lt;&gt;"",$AS2578="✓"),SUMPRODUCT(($AM$11:$AM2578&lt;&gt;"")*($AS$11:$AS2578="✓")),"")</f>
        <v/>
      </c>
      <c r="BA2578" s="21" t="str">
        <f>IF($AL2578="","",$AL2578&amp;"|"&amp;COUNTIF($AL$11:$AL2578,$AL2578))</f>
        <v/>
      </c>
    </row>
    <row r="2579" spans="38:53" ht="15" customHeight="1" x14ac:dyDescent="0.25">
      <c r="AL2579" s="17"/>
      <c r="AM2579" s="12"/>
      <c r="AN2579" s="18"/>
      <c r="AO2579" s="18"/>
      <c r="AP2579" s="10"/>
      <c r="AQ2579" s="10"/>
      <c r="AR2579" s="19"/>
      <c r="AS2579" s="20"/>
      <c r="AT2579" s="19"/>
      <c r="AV2579" s="21">
        <f>IF(AND($AL2579&lt;&gt;"",COUNTIF($AL$11:$AL2579,$AL2579)=1),1,0)</f>
        <v>0</v>
      </c>
      <c r="AW2579" s="21">
        <f t="shared" si="167"/>
        <v>0</v>
      </c>
      <c r="AX2579" s="21" t="str">
        <f t="shared" si="166"/>
        <v/>
      </c>
      <c r="AY2579" s="21" t="str">
        <f>IF(AND($AM2579&lt;&gt;"",$AS2579&lt;&gt;"✓"),SUMPRODUCT(($AM$11:$AM2579&lt;&gt;"")*($AS$11:$AS2579&lt;&gt;"✓")),"")</f>
        <v/>
      </c>
      <c r="AZ2579" s="21" t="str">
        <f>IF(AND($AM2579&lt;&gt;"",$AS2579="✓"),SUMPRODUCT(($AM$11:$AM2579&lt;&gt;"")*($AS$11:$AS2579="✓")),"")</f>
        <v/>
      </c>
      <c r="BA2579" s="21" t="str">
        <f>IF($AL2579="","",$AL2579&amp;"|"&amp;COUNTIF($AL$11:$AL2579,$AL2579))</f>
        <v/>
      </c>
    </row>
    <row r="2580" spans="38:53" ht="15" customHeight="1" x14ac:dyDescent="0.25">
      <c r="AL2580" s="31"/>
      <c r="AM2580" s="26"/>
      <c r="AN2580" s="32"/>
      <c r="AO2580" s="32"/>
      <c r="AP2580" s="24"/>
      <c r="AQ2580" s="24"/>
      <c r="AR2580" s="33"/>
      <c r="AS2580" s="34"/>
      <c r="AT2580" s="33"/>
      <c r="AV2580" s="21">
        <f>IF(AND($AL2580&lt;&gt;"",COUNTIF($AL$11:$AL2580,$AL2580)=1),1,0)</f>
        <v>0</v>
      </c>
      <c r="AW2580" s="21">
        <f t="shared" si="167"/>
        <v>0</v>
      </c>
      <c r="AX2580" s="21" t="str">
        <f t="shared" si="166"/>
        <v/>
      </c>
      <c r="AY2580" s="21" t="str">
        <f>IF(AND($AM2580&lt;&gt;"",$AS2580&lt;&gt;"✓"),SUMPRODUCT(($AM$11:$AM2580&lt;&gt;"")*($AS$11:$AS2580&lt;&gt;"✓")),"")</f>
        <v/>
      </c>
      <c r="AZ2580" s="21" t="str">
        <f>IF(AND($AM2580&lt;&gt;"",$AS2580="✓"),SUMPRODUCT(($AM$11:$AM2580&lt;&gt;"")*($AS$11:$AS2580="✓")),"")</f>
        <v/>
      </c>
      <c r="BA2580" s="21" t="str">
        <f>IF($AL2580="","",$AL2580&amp;"|"&amp;COUNTIF($AL$11:$AL2580,$AL2580))</f>
        <v/>
      </c>
    </row>
    <row r="2581" spans="38:53" ht="15" customHeight="1" x14ac:dyDescent="0.25">
      <c r="AL2581" s="17"/>
      <c r="AM2581" s="12"/>
      <c r="AN2581" s="18"/>
      <c r="AO2581" s="18"/>
      <c r="AP2581" s="10"/>
      <c r="AQ2581" s="10"/>
      <c r="AR2581" s="19"/>
      <c r="AS2581" s="20"/>
      <c r="AT2581" s="19"/>
      <c r="AV2581" s="21">
        <f>IF(AND($AL2581&lt;&gt;"",COUNTIF($AL$11:$AL2581,$AL2581)=1),1,0)</f>
        <v>0</v>
      </c>
      <c r="AW2581" s="21">
        <f t="shared" si="167"/>
        <v>0</v>
      </c>
      <c r="AX2581" s="21" t="str">
        <f t="shared" si="166"/>
        <v/>
      </c>
      <c r="AY2581" s="21" t="str">
        <f>IF(AND($AM2581&lt;&gt;"",$AS2581&lt;&gt;"✓"),SUMPRODUCT(($AM$11:$AM2581&lt;&gt;"")*($AS$11:$AS2581&lt;&gt;"✓")),"")</f>
        <v/>
      </c>
      <c r="AZ2581" s="21" t="str">
        <f>IF(AND($AM2581&lt;&gt;"",$AS2581="✓"),SUMPRODUCT(($AM$11:$AM2581&lt;&gt;"")*($AS$11:$AS2581="✓")),"")</f>
        <v/>
      </c>
      <c r="BA2581" s="21" t="str">
        <f>IF($AL2581="","",$AL2581&amp;"|"&amp;COUNTIF($AL$11:$AL2581,$AL2581))</f>
        <v/>
      </c>
    </row>
    <row r="2582" spans="38:53" ht="15" customHeight="1" x14ac:dyDescent="0.25">
      <c r="AL2582" s="31"/>
      <c r="AM2582" s="26"/>
      <c r="AN2582" s="32"/>
      <c r="AO2582" s="32"/>
      <c r="AP2582" s="24"/>
      <c r="AQ2582" s="24"/>
      <c r="AR2582" s="33"/>
      <c r="AS2582" s="34"/>
      <c r="AT2582" s="33"/>
      <c r="AV2582" s="21">
        <f>IF(AND($AL2582&lt;&gt;"",COUNTIF($AL$11:$AL2582,$AL2582)=1),1,0)</f>
        <v>0</v>
      </c>
      <c r="AW2582" s="21">
        <f t="shared" si="167"/>
        <v>0</v>
      </c>
      <c r="AX2582" s="21" t="str">
        <f t="shared" si="166"/>
        <v/>
      </c>
      <c r="AY2582" s="21" t="str">
        <f>IF(AND($AM2582&lt;&gt;"",$AS2582&lt;&gt;"✓"),SUMPRODUCT(($AM$11:$AM2582&lt;&gt;"")*($AS$11:$AS2582&lt;&gt;"✓")),"")</f>
        <v/>
      </c>
      <c r="AZ2582" s="21" t="str">
        <f>IF(AND($AM2582&lt;&gt;"",$AS2582="✓"),SUMPRODUCT(($AM$11:$AM2582&lt;&gt;"")*($AS$11:$AS2582="✓")),"")</f>
        <v/>
      </c>
      <c r="BA2582" s="21" t="str">
        <f>IF($AL2582="","",$AL2582&amp;"|"&amp;COUNTIF($AL$11:$AL2582,$AL2582))</f>
        <v/>
      </c>
    </row>
    <row r="2583" spans="38:53" ht="15" customHeight="1" x14ac:dyDescent="0.25">
      <c r="AL2583" s="17"/>
      <c r="AM2583" s="12"/>
      <c r="AN2583" s="18"/>
      <c r="AO2583" s="18"/>
      <c r="AP2583" s="10"/>
      <c r="AQ2583" s="10"/>
      <c r="AR2583" s="19"/>
      <c r="AS2583" s="20"/>
      <c r="AT2583" s="19"/>
      <c r="AV2583" s="21">
        <f>IF(AND($AL2583&lt;&gt;"",COUNTIF($AL$11:$AL2583,$AL2583)=1),1,0)</f>
        <v>0</v>
      </c>
      <c r="AW2583" s="21">
        <f t="shared" si="167"/>
        <v>0</v>
      </c>
      <c r="AX2583" s="21" t="str">
        <f t="shared" si="166"/>
        <v/>
      </c>
      <c r="AY2583" s="21" t="str">
        <f>IF(AND($AM2583&lt;&gt;"",$AS2583&lt;&gt;"✓"),SUMPRODUCT(($AM$11:$AM2583&lt;&gt;"")*($AS$11:$AS2583&lt;&gt;"✓")),"")</f>
        <v/>
      </c>
      <c r="AZ2583" s="21" t="str">
        <f>IF(AND($AM2583&lt;&gt;"",$AS2583="✓"),SUMPRODUCT(($AM$11:$AM2583&lt;&gt;"")*($AS$11:$AS2583="✓")),"")</f>
        <v/>
      </c>
      <c r="BA2583" s="21" t="str">
        <f>IF($AL2583="","",$AL2583&amp;"|"&amp;COUNTIF($AL$11:$AL2583,$AL2583))</f>
        <v/>
      </c>
    </row>
    <row r="2584" spans="38:53" ht="15" customHeight="1" x14ac:dyDescent="0.25">
      <c r="AL2584" s="31"/>
      <c r="AM2584" s="26"/>
      <c r="AN2584" s="32"/>
      <c r="AO2584" s="32"/>
      <c r="AP2584" s="24"/>
      <c r="AQ2584" s="24"/>
      <c r="AR2584" s="33"/>
      <c r="AS2584" s="34"/>
      <c r="AT2584" s="33"/>
      <c r="AV2584" s="21">
        <f>IF(AND($AL2584&lt;&gt;"",COUNTIF($AL$11:$AL2584,$AL2584)=1),1,0)</f>
        <v>0</v>
      </c>
      <c r="AW2584" s="21">
        <f t="shared" si="167"/>
        <v>0</v>
      </c>
      <c r="AX2584" s="21" t="str">
        <f t="shared" si="166"/>
        <v/>
      </c>
      <c r="AY2584" s="21" t="str">
        <f>IF(AND($AM2584&lt;&gt;"",$AS2584&lt;&gt;"✓"),SUMPRODUCT(($AM$11:$AM2584&lt;&gt;"")*($AS$11:$AS2584&lt;&gt;"✓")),"")</f>
        <v/>
      </c>
      <c r="AZ2584" s="21" t="str">
        <f>IF(AND($AM2584&lt;&gt;"",$AS2584="✓"),SUMPRODUCT(($AM$11:$AM2584&lt;&gt;"")*($AS$11:$AS2584="✓")),"")</f>
        <v/>
      </c>
      <c r="BA2584" s="21" t="str">
        <f>IF($AL2584="","",$AL2584&amp;"|"&amp;COUNTIF($AL$11:$AL2584,$AL2584))</f>
        <v/>
      </c>
    </row>
    <row r="2585" spans="38:53" ht="15" customHeight="1" x14ac:dyDescent="0.25">
      <c r="AL2585" s="17"/>
      <c r="AM2585" s="12"/>
      <c r="AN2585" s="18"/>
      <c r="AO2585" s="18"/>
      <c r="AP2585" s="10"/>
      <c r="AQ2585" s="10"/>
      <c r="AR2585" s="19"/>
      <c r="AS2585" s="20"/>
      <c r="AT2585" s="19"/>
      <c r="AV2585" s="21">
        <f>IF(AND($AL2585&lt;&gt;"",COUNTIF($AL$11:$AL2585,$AL2585)=1),1,0)</f>
        <v>0</v>
      </c>
      <c r="AW2585" s="21">
        <f t="shared" si="167"/>
        <v>0</v>
      </c>
      <c r="AX2585" s="21" t="str">
        <f t="shared" si="166"/>
        <v/>
      </c>
      <c r="AY2585" s="21" t="str">
        <f>IF(AND($AM2585&lt;&gt;"",$AS2585&lt;&gt;"✓"),SUMPRODUCT(($AM$11:$AM2585&lt;&gt;"")*($AS$11:$AS2585&lt;&gt;"✓")),"")</f>
        <v/>
      </c>
      <c r="AZ2585" s="21" t="str">
        <f>IF(AND($AM2585&lt;&gt;"",$AS2585="✓"),SUMPRODUCT(($AM$11:$AM2585&lt;&gt;"")*($AS$11:$AS2585="✓")),"")</f>
        <v/>
      </c>
      <c r="BA2585" s="21" t="str">
        <f>IF($AL2585="","",$AL2585&amp;"|"&amp;COUNTIF($AL$11:$AL2585,$AL2585))</f>
        <v/>
      </c>
    </row>
    <row r="2586" spans="38:53" ht="15" customHeight="1" x14ac:dyDescent="0.25">
      <c r="AL2586" s="31"/>
      <c r="AM2586" s="26"/>
      <c r="AN2586" s="32"/>
      <c r="AO2586" s="32"/>
      <c r="AP2586" s="24"/>
      <c r="AQ2586" s="24"/>
      <c r="AR2586" s="33"/>
      <c r="AS2586" s="34"/>
      <c r="AT2586" s="33"/>
      <c r="AV2586" s="21">
        <f>IF(AND($AL2586&lt;&gt;"",COUNTIF($AL$11:$AL2586,$AL2586)=1),1,0)</f>
        <v>0</v>
      </c>
      <c r="AW2586" s="21">
        <f t="shared" si="167"/>
        <v>0</v>
      </c>
      <c r="AX2586" s="21" t="str">
        <f t="shared" si="166"/>
        <v/>
      </c>
      <c r="AY2586" s="21" t="str">
        <f>IF(AND($AM2586&lt;&gt;"",$AS2586&lt;&gt;"✓"),SUMPRODUCT(($AM$11:$AM2586&lt;&gt;"")*($AS$11:$AS2586&lt;&gt;"✓")),"")</f>
        <v/>
      </c>
      <c r="AZ2586" s="21" t="str">
        <f>IF(AND($AM2586&lt;&gt;"",$AS2586="✓"),SUMPRODUCT(($AM$11:$AM2586&lt;&gt;"")*($AS$11:$AS2586="✓")),"")</f>
        <v/>
      </c>
      <c r="BA2586" s="21" t="str">
        <f>IF($AL2586="","",$AL2586&amp;"|"&amp;COUNTIF($AL$11:$AL2586,$AL2586))</f>
        <v/>
      </c>
    </row>
    <row r="2587" spans="38:53" ht="15" customHeight="1" x14ac:dyDescent="0.25">
      <c r="AL2587" s="17"/>
      <c r="AM2587" s="12"/>
      <c r="AN2587" s="18"/>
      <c r="AO2587" s="18"/>
      <c r="AP2587" s="10"/>
      <c r="AQ2587" s="10"/>
      <c r="AR2587" s="19"/>
      <c r="AS2587" s="20"/>
      <c r="AT2587" s="19"/>
      <c r="AV2587" s="21">
        <f>IF(AND($AL2587&lt;&gt;"",COUNTIF($AL$11:$AL2587,$AL2587)=1),1,0)</f>
        <v>0</v>
      </c>
      <c r="AW2587" s="21">
        <f t="shared" si="167"/>
        <v>0</v>
      </c>
      <c r="AX2587" s="21" t="str">
        <f t="shared" si="166"/>
        <v/>
      </c>
      <c r="AY2587" s="21" t="str">
        <f>IF(AND($AM2587&lt;&gt;"",$AS2587&lt;&gt;"✓"),SUMPRODUCT(($AM$11:$AM2587&lt;&gt;"")*($AS$11:$AS2587&lt;&gt;"✓")),"")</f>
        <v/>
      </c>
      <c r="AZ2587" s="21" t="str">
        <f>IF(AND($AM2587&lt;&gt;"",$AS2587="✓"),SUMPRODUCT(($AM$11:$AM2587&lt;&gt;"")*($AS$11:$AS2587="✓")),"")</f>
        <v/>
      </c>
      <c r="BA2587" s="21" t="str">
        <f>IF($AL2587="","",$AL2587&amp;"|"&amp;COUNTIF($AL$11:$AL2587,$AL2587))</f>
        <v/>
      </c>
    </row>
    <row r="2588" spans="38:53" ht="15" customHeight="1" x14ac:dyDescent="0.25">
      <c r="AL2588" s="31"/>
      <c r="AM2588" s="26"/>
      <c r="AN2588" s="32"/>
      <c r="AO2588" s="32"/>
      <c r="AP2588" s="24"/>
      <c r="AQ2588" s="24"/>
      <c r="AR2588" s="33"/>
      <c r="AS2588" s="34"/>
      <c r="AT2588" s="33"/>
      <c r="AV2588" s="21">
        <f>IF(AND($AL2588&lt;&gt;"",COUNTIF($AL$11:$AL2588,$AL2588)=1),1,0)</f>
        <v>0</v>
      </c>
      <c r="AW2588" s="21">
        <f t="shared" si="167"/>
        <v>0</v>
      </c>
      <c r="AX2588" s="21" t="str">
        <f t="shared" si="166"/>
        <v/>
      </c>
      <c r="AY2588" s="21" t="str">
        <f>IF(AND($AM2588&lt;&gt;"",$AS2588&lt;&gt;"✓"),SUMPRODUCT(($AM$11:$AM2588&lt;&gt;"")*($AS$11:$AS2588&lt;&gt;"✓")),"")</f>
        <v/>
      </c>
      <c r="AZ2588" s="21" t="str">
        <f>IF(AND($AM2588&lt;&gt;"",$AS2588="✓"),SUMPRODUCT(($AM$11:$AM2588&lt;&gt;"")*($AS$11:$AS2588="✓")),"")</f>
        <v/>
      </c>
      <c r="BA2588" s="21" t="str">
        <f>IF($AL2588="","",$AL2588&amp;"|"&amp;COUNTIF($AL$11:$AL2588,$AL2588))</f>
        <v/>
      </c>
    </row>
    <row r="2589" spans="38:53" ht="15" customHeight="1" x14ac:dyDescent="0.25">
      <c r="AL2589" s="17"/>
      <c r="AM2589" s="12"/>
      <c r="AN2589" s="18"/>
      <c r="AO2589" s="18"/>
      <c r="AP2589" s="10"/>
      <c r="AQ2589" s="10"/>
      <c r="AR2589" s="19"/>
      <c r="AS2589" s="20"/>
      <c r="AT2589" s="19"/>
      <c r="AV2589" s="21">
        <f>IF(AND($AL2589&lt;&gt;"",COUNTIF($AL$11:$AL2589,$AL2589)=1),1,0)</f>
        <v>0</v>
      </c>
      <c r="AW2589" s="21">
        <f t="shared" si="167"/>
        <v>0</v>
      </c>
      <c r="AX2589" s="21" t="str">
        <f t="shared" si="166"/>
        <v/>
      </c>
      <c r="AY2589" s="21" t="str">
        <f>IF(AND($AM2589&lt;&gt;"",$AS2589&lt;&gt;"✓"),SUMPRODUCT(($AM$11:$AM2589&lt;&gt;"")*($AS$11:$AS2589&lt;&gt;"✓")),"")</f>
        <v/>
      </c>
      <c r="AZ2589" s="21" t="str">
        <f>IF(AND($AM2589&lt;&gt;"",$AS2589="✓"),SUMPRODUCT(($AM$11:$AM2589&lt;&gt;"")*($AS$11:$AS2589="✓")),"")</f>
        <v/>
      </c>
      <c r="BA2589" s="21" t="str">
        <f>IF($AL2589="","",$AL2589&amp;"|"&amp;COUNTIF($AL$11:$AL2589,$AL2589))</f>
        <v/>
      </c>
    </row>
    <row r="2590" spans="38:53" ht="15" customHeight="1" x14ac:dyDescent="0.25">
      <c r="AL2590" s="31"/>
      <c r="AM2590" s="26"/>
      <c r="AN2590" s="32"/>
      <c r="AO2590" s="32"/>
      <c r="AP2590" s="24"/>
      <c r="AQ2590" s="24"/>
      <c r="AR2590" s="33"/>
      <c r="AS2590" s="34"/>
      <c r="AT2590" s="33"/>
      <c r="AV2590" s="21">
        <f>IF(AND($AL2590&lt;&gt;"",COUNTIF($AL$11:$AL2590,$AL2590)=1),1,0)</f>
        <v>0</v>
      </c>
      <c r="AW2590" s="21">
        <f t="shared" si="167"/>
        <v>0</v>
      </c>
      <c r="AX2590" s="21" t="str">
        <f t="shared" si="166"/>
        <v/>
      </c>
      <c r="AY2590" s="21" t="str">
        <f>IF(AND($AM2590&lt;&gt;"",$AS2590&lt;&gt;"✓"),SUMPRODUCT(($AM$11:$AM2590&lt;&gt;"")*($AS$11:$AS2590&lt;&gt;"✓")),"")</f>
        <v/>
      </c>
      <c r="AZ2590" s="21" t="str">
        <f>IF(AND($AM2590&lt;&gt;"",$AS2590="✓"),SUMPRODUCT(($AM$11:$AM2590&lt;&gt;"")*($AS$11:$AS2590="✓")),"")</f>
        <v/>
      </c>
      <c r="BA2590" s="21" t="str">
        <f>IF($AL2590="","",$AL2590&amp;"|"&amp;COUNTIF($AL$11:$AL2590,$AL2590))</f>
        <v/>
      </c>
    </row>
    <row r="2591" spans="38:53" ht="15" customHeight="1" x14ac:dyDescent="0.25">
      <c r="AL2591" s="17"/>
      <c r="AM2591" s="12"/>
      <c r="AN2591" s="18"/>
      <c r="AO2591" s="18"/>
      <c r="AP2591" s="10"/>
      <c r="AQ2591" s="10"/>
      <c r="AR2591" s="19"/>
      <c r="AS2591" s="20"/>
      <c r="AT2591" s="19"/>
      <c r="AV2591" s="21">
        <f>IF(AND($AL2591&lt;&gt;"",COUNTIF($AL$11:$AL2591,$AL2591)=1),1,0)</f>
        <v>0</v>
      </c>
      <c r="AW2591" s="21">
        <f t="shared" si="167"/>
        <v>0</v>
      </c>
      <c r="AX2591" s="21" t="str">
        <f t="shared" si="166"/>
        <v/>
      </c>
      <c r="AY2591" s="21" t="str">
        <f>IF(AND($AM2591&lt;&gt;"",$AS2591&lt;&gt;"✓"),SUMPRODUCT(($AM$11:$AM2591&lt;&gt;"")*($AS$11:$AS2591&lt;&gt;"✓")),"")</f>
        <v/>
      </c>
      <c r="AZ2591" s="21" t="str">
        <f>IF(AND($AM2591&lt;&gt;"",$AS2591="✓"),SUMPRODUCT(($AM$11:$AM2591&lt;&gt;"")*($AS$11:$AS2591="✓")),"")</f>
        <v/>
      </c>
      <c r="BA2591" s="21" t="str">
        <f>IF($AL2591="","",$AL2591&amp;"|"&amp;COUNTIF($AL$11:$AL2591,$AL2591))</f>
        <v/>
      </c>
    </row>
    <row r="2592" spans="38:53" ht="15" customHeight="1" x14ac:dyDescent="0.25">
      <c r="AL2592" s="31"/>
      <c r="AM2592" s="26"/>
      <c r="AN2592" s="32"/>
      <c r="AO2592" s="32"/>
      <c r="AP2592" s="24"/>
      <c r="AQ2592" s="24"/>
      <c r="AR2592" s="33"/>
      <c r="AS2592" s="34"/>
      <c r="AT2592" s="33"/>
      <c r="AV2592" s="21">
        <f>IF(AND($AL2592&lt;&gt;"",COUNTIF($AL$11:$AL2592,$AL2592)=1),1,0)</f>
        <v>0</v>
      </c>
      <c r="AW2592" s="21">
        <f t="shared" si="167"/>
        <v>0</v>
      </c>
      <c r="AX2592" s="21" t="str">
        <f t="shared" si="166"/>
        <v/>
      </c>
      <c r="AY2592" s="21" t="str">
        <f>IF(AND($AM2592&lt;&gt;"",$AS2592&lt;&gt;"✓"),SUMPRODUCT(($AM$11:$AM2592&lt;&gt;"")*($AS$11:$AS2592&lt;&gt;"✓")),"")</f>
        <v/>
      </c>
      <c r="AZ2592" s="21" t="str">
        <f>IF(AND($AM2592&lt;&gt;"",$AS2592="✓"),SUMPRODUCT(($AM$11:$AM2592&lt;&gt;"")*($AS$11:$AS2592="✓")),"")</f>
        <v/>
      </c>
      <c r="BA2592" s="21" t="str">
        <f>IF($AL2592="","",$AL2592&amp;"|"&amp;COUNTIF($AL$11:$AL2592,$AL2592))</f>
        <v/>
      </c>
    </row>
    <row r="2593" spans="38:53" ht="15" customHeight="1" x14ac:dyDescent="0.25">
      <c r="AL2593" s="17"/>
      <c r="AM2593" s="12"/>
      <c r="AN2593" s="18"/>
      <c r="AO2593" s="18"/>
      <c r="AP2593" s="10"/>
      <c r="AQ2593" s="10"/>
      <c r="AR2593" s="19"/>
      <c r="AS2593" s="20"/>
      <c r="AT2593" s="19"/>
      <c r="AV2593" s="21">
        <f>IF(AND($AL2593&lt;&gt;"",COUNTIF($AL$11:$AL2593,$AL2593)=1),1,0)</f>
        <v>0</v>
      </c>
      <c r="AW2593" s="21">
        <f t="shared" si="167"/>
        <v>0</v>
      </c>
      <c r="AX2593" s="21" t="str">
        <f t="shared" si="166"/>
        <v/>
      </c>
      <c r="AY2593" s="21" t="str">
        <f>IF(AND($AM2593&lt;&gt;"",$AS2593&lt;&gt;"✓"),SUMPRODUCT(($AM$11:$AM2593&lt;&gt;"")*($AS$11:$AS2593&lt;&gt;"✓")),"")</f>
        <v/>
      </c>
      <c r="AZ2593" s="21" t="str">
        <f>IF(AND($AM2593&lt;&gt;"",$AS2593="✓"),SUMPRODUCT(($AM$11:$AM2593&lt;&gt;"")*($AS$11:$AS2593="✓")),"")</f>
        <v/>
      </c>
      <c r="BA2593" s="21" t="str">
        <f>IF($AL2593="","",$AL2593&amp;"|"&amp;COUNTIF($AL$11:$AL2593,$AL2593))</f>
        <v/>
      </c>
    </row>
    <row r="2594" spans="38:53" ht="15" customHeight="1" x14ac:dyDescent="0.25">
      <c r="AL2594" s="31"/>
      <c r="AM2594" s="26"/>
      <c r="AN2594" s="32"/>
      <c r="AO2594" s="32"/>
      <c r="AP2594" s="24"/>
      <c r="AQ2594" s="24"/>
      <c r="AR2594" s="33"/>
      <c r="AS2594" s="34"/>
      <c r="AT2594" s="33"/>
      <c r="AV2594" s="21">
        <f>IF(AND($AL2594&lt;&gt;"",COUNTIF($AL$11:$AL2594,$AL2594)=1),1,0)</f>
        <v>0</v>
      </c>
      <c r="AW2594" s="21">
        <f t="shared" si="167"/>
        <v>0</v>
      </c>
      <c r="AX2594" s="21" t="str">
        <f t="shared" si="166"/>
        <v/>
      </c>
      <c r="AY2594" s="21" t="str">
        <f>IF(AND($AM2594&lt;&gt;"",$AS2594&lt;&gt;"✓"),SUMPRODUCT(($AM$11:$AM2594&lt;&gt;"")*($AS$11:$AS2594&lt;&gt;"✓")),"")</f>
        <v/>
      </c>
      <c r="AZ2594" s="21" t="str">
        <f>IF(AND($AM2594&lt;&gt;"",$AS2594="✓"),SUMPRODUCT(($AM$11:$AM2594&lt;&gt;"")*($AS$11:$AS2594="✓")),"")</f>
        <v/>
      </c>
      <c r="BA2594" s="21" t="str">
        <f>IF($AL2594="","",$AL2594&amp;"|"&amp;COUNTIF($AL$11:$AL2594,$AL2594))</f>
        <v/>
      </c>
    </row>
    <row r="2595" spans="38:53" ht="15" customHeight="1" x14ac:dyDescent="0.25">
      <c r="AL2595" s="17"/>
      <c r="AM2595" s="12"/>
      <c r="AN2595" s="18"/>
      <c r="AO2595" s="18"/>
      <c r="AP2595" s="10"/>
      <c r="AQ2595" s="10"/>
      <c r="AR2595" s="19"/>
      <c r="AS2595" s="20"/>
      <c r="AT2595" s="19"/>
      <c r="AV2595" s="21">
        <f>IF(AND($AL2595&lt;&gt;"",COUNTIF($AL$11:$AL2595,$AL2595)=1),1,0)</f>
        <v>0</v>
      </c>
      <c r="AW2595" s="21">
        <f t="shared" si="167"/>
        <v>0</v>
      </c>
      <c r="AX2595" s="21" t="str">
        <f t="shared" si="166"/>
        <v/>
      </c>
      <c r="AY2595" s="21" t="str">
        <f>IF(AND($AM2595&lt;&gt;"",$AS2595&lt;&gt;"✓"),SUMPRODUCT(($AM$11:$AM2595&lt;&gt;"")*($AS$11:$AS2595&lt;&gt;"✓")),"")</f>
        <v/>
      </c>
      <c r="AZ2595" s="21" t="str">
        <f>IF(AND($AM2595&lt;&gt;"",$AS2595="✓"),SUMPRODUCT(($AM$11:$AM2595&lt;&gt;"")*($AS$11:$AS2595="✓")),"")</f>
        <v/>
      </c>
      <c r="BA2595" s="21" t="str">
        <f>IF($AL2595="","",$AL2595&amp;"|"&amp;COUNTIF($AL$11:$AL2595,$AL2595))</f>
        <v/>
      </c>
    </row>
    <row r="2596" spans="38:53" ht="15" customHeight="1" x14ac:dyDescent="0.25">
      <c r="AL2596" s="31"/>
      <c r="AM2596" s="26"/>
      <c r="AN2596" s="32"/>
      <c r="AO2596" s="32"/>
      <c r="AP2596" s="24"/>
      <c r="AQ2596" s="24"/>
      <c r="AR2596" s="33"/>
      <c r="AS2596" s="34"/>
      <c r="AT2596" s="33"/>
      <c r="AV2596" s="21">
        <f>IF(AND($AL2596&lt;&gt;"",COUNTIF($AL$11:$AL2596,$AL2596)=1),1,0)</f>
        <v>0</v>
      </c>
      <c r="AW2596" s="21">
        <f t="shared" si="167"/>
        <v>0</v>
      </c>
      <c r="AX2596" s="21" t="str">
        <f t="shared" si="166"/>
        <v/>
      </c>
      <c r="AY2596" s="21" t="str">
        <f>IF(AND($AM2596&lt;&gt;"",$AS2596&lt;&gt;"✓"),SUMPRODUCT(($AM$11:$AM2596&lt;&gt;"")*($AS$11:$AS2596&lt;&gt;"✓")),"")</f>
        <v/>
      </c>
      <c r="AZ2596" s="21" t="str">
        <f>IF(AND($AM2596&lt;&gt;"",$AS2596="✓"),SUMPRODUCT(($AM$11:$AM2596&lt;&gt;"")*($AS$11:$AS2596="✓")),"")</f>
        <v/>
      </c>
      <c r="BA2596" s="21" t="str">
        <f>IF($AL2596="","",$AL2596&amp;"|"&amp;COUNTIF($AL$11:$AL2596,$AL2596))</f>
        <v/>
      </c>
    </row>
    <row r="2597" spans="38:53" ht="15" customHeight="1" x14ac:dyDescent="0.25">
      <c r="AL2597" s="17"/>
      <c r="AM2597" s="12"/>
      <c r="AN2597" s="18"/>
      <c r="AO2597" s="18"/>
      <c r="AP2597" s="10"/>
      <c r="AQ2597" s="10"/>
      <c r="AR2597" s="19"/>
      <c r="AS2597" s="20"/>
      <c r="AT2597" s="19"/>
      <c r="AV2597" s="21">
        <f>IF(AND($AL2597&lt;&gt;"",COUNTIF($AL$11:$AL2597,$AL2597)=1),1,0)</f>
        <v>0</v>
      </c>
      <c r="AW2597" s="21">
        <f t="shared" si="167"/>
        <v>0</v>
      </c>
      <c r="AX2597" s="21" t="str">
        <f t="shared" si="166"/>
        <v/>
      </c>
      <c r="AY2597" s="21" t="str">
        <f>IF(AND($AM2597&lt;&gt;"",$AS2597&lt;&gt;"✓"),SUMPRODUCT(($AM$11:$AM2597&lt;&gt;"")*($AS$11:$AS2597&lt;&gt;"✓")),"")</f>
        <v/>
      </c>
      <c r="AZ2597" s="21" t="str">
        <f>IF(AND($AM2597&lt;&gt;"",$AS2597="✓"),SUMPRODUCT(($AM$11:$AM2597&lt;&gt;"")*($AS$11:$AS2597="✓")),"")</f>
        <v/>
      </c>
      <c r="BA2597" s="21" t="str">
        <f>IF($AL2597="","",$AL2597&amp;"|"&amp;COUNTIF($AL$11:$AL2597,$AL2597))</f>
        <v/>
      </c>
    </row>
    <row r="2598" spans="38:53" ht="15" customHeight="1" x14ac:dyDescent="0.25">
      <c r="AL2598" s="31"/>
      <c r="AM2598" s="26"/>
      <c r="AN2598" s="32"/>
      <c r="AO2598" s="32"/>
      <c r="AP2598" s="24"/>
      <c r="AQ2598" s="24"/>
      <c r="AR2598" s="33"/>
      <c r="AS2598" s="34"/>
      <c r="AT2598" s="33"/>
      <c r="AV2598" s="21">
        <f>IF(AND($AL2598&lt;&gt;"",COUNTIF($AL$11:$AL2598,$AL2598)=1),1,0)</f>
        <v>0</v>
      </c>
      <c r="AW2598" s="21">
        <f t="shared" si="167"/>
        <v>0</v>
      </c>
      <c r="AX2598" s="21" t="str">
        <f t="shared" si="166"/>
        <v/>
      </c>
      <c r="AY2598" s="21" t="str">
        <f>IF(AND($AM2598&lt;&gt;"",$AS2598&lt;&gt;"✓"),SUMPRODUCT(($AM$11:$AM2598&lt;&gt;"")*($AS$11:$AS2598&lt;&gt;"✓")),"")</f>
        <v/>
      </c>
      <c r="AZ2598" s="21" t="str">
        <f>IF(AND($AM2598&lt;&gt;"",$AS2598="✓"),SUMPRODUCT(($AM$11:$AM2598&lt;&gt;"")*($AS$11:$AS2598="✓")),"")</f>
        <v/>
      </c>
      <c r="BA2598" s="21" t="str">
        <f>IF($AL2598="","",$AL2598&amp;"|"&amp;COUNTIF($AL$11:$AL2598,$AL2598))</f>
        <v/>
      </c>
    </row>
    <row r="2599" spans="38:53" ht="15" customHeight="1" x14ac:dyDescent="0.25">
      <c r="AL2599" s="17"/>
      <c r="AM2599" s="12"/>
      <c r="AN2599" s="18"/>
      <c r="AO2599" s="18"/>
      <c r="AP2599" s="10"/>
      <c r="AQ2599" s="10"/>
      <c r="AR2599" s="19"/>
      <c r="AS2599" s="20"/>
      <c r="AT2599" s="19"/>
      <c r="AV2599" s="21">
        <f>IF(AND($AL2599&lt;&gt;"",COUNTIF($AL$11:$AL2599,$AL2599)=1),1,0)</f>
        <v>0</v>
      </c>
      <c r="AW2599" s="21">
        <f t="shared" si="167"/>
        <v>0</v>
      </c>
      <c r="AX2599" s="21" t="str">
        <f t="shared" si="166"/>
        <v/>
      </c>
      <c r="AY2599" s="21" t="str">
        <f>IF(AND($AM2599&lt;&gt;"",$AS2599&lt;&gt;"✓"),SUMPRODUCT(($AM$11:$AM2599&lt;&gt;"")*($AS$11:$AS2599&lt;&gt;"✓")),"")</f>
        <v/>
      </c>
      <c r="AZ2599" s="21" t="str">
        <f>IF(AND($AM2599&lt;&gt;"",$AS2599="✓"),SUMPRODUCT(($AM$11:$AM2599&lt;&gt;"")*($AS$11:$AS2599="✓")),"")</f>
        <v/>
      </c>
      <c r="BA2599" s="21" t="str">
        <f>IF($AL2599="","",$AL2599&amp;"|"&amp;COUNTIF($AL$11:$AL2599,$AL2599))</f>
        <v/>
      </c>
    </row>
    <row r="2600" spans="38:53" ht="15" customHeight="1" x14ac:dyDescent="0.25">
      <c r="AL2600" s="31"/>
      <c r="AM2600" s="26"/>
      <c r="AN2600" s="32"/>
      <c r="AO2600" s="32"/>
      <c r="AP2600" s="24"/>
      <c r="AQ2600" s="24"/>
      <c r="AR2600" s="33"/>
      <c r="AS2600" s="34"/>
      <c r="AT2600" s="33"/>
      <c r="AV2600" s="21">
        <f>IF(AND($AL2600&lt;&gt;"",COUNTIF($AL$11:$AL2600,$AL2600)=1),1,0)</f>
        <v>0</v>
      </c>
      <c r="AW2600" s="21">
        <f t="shared" si="167"/>
        <v>0</v>
      </c>
      <c r="AX2600" s="21" t="str">
        <f t="shared" si="166"/>
        <v/>
      </c>
      <c r="AY2600" s="21" t="str">
        <f>IF(AND($AM2600&lt;&gt;"",$AS2600&lt;&gt;"✓"),SUMPRODUCT(($AM$11:$AM2600&lt;&gt;"")*($AS$11:$AS2600&lt;&gt;"✓")),"")</f>
        <v/>
      </c>
      <c r="AZ2600" s="21" t="str">
        <f>IF(AND($AM2600&lt;&gt;"",$AS2600="✓"),SUMPRODUCT(($AM$11:$AM2600&lt;&gt;"")*($AS$11:$AS2600="✓")),"")</f>
        <v/>
      </c>
      <c r="BA2600" s="21" t="str">
        <f>IF($AL2600="","",$AL2600&amp;"|"&amp;COUNTIF($AL$11:$AL2600,$AL2600))</f>
        <v/>
      </c>
    </row>
    <row r="2601" spans="38:53" ht="15" customHeight="1" x14ac:dyDescent="0.25">
      <c r="AL2601" s="17"/>
      <c r="AM2601" s="12"/>
      <c r="AN2601" s="18"/>
      <c r="AO2601" s="18"/>
      <c r="AP2601" s="10"/>
      <c r="AQ2601" s="10"/>
      <c r="AR2601" s="19"/>
      <c r="AS2601" s="20"/>
      <c r="AT2601" s="19"/>
      <c r="AV2601" s="21">
        <f>IF(AND($AL2601&lt;&gt;"",COUNTIF($AL$11:$AL2601,$AL2601)=1),1,0)</f>
        <v>0</v>
      </c>
      <c r="AW2601" s="21">
        <f t="shared" si="167"/>
        <v>0</v>
      </c>
      <c r="AX2601" s="21" t="str">
        <f t="shared" si="166"/>
        <v/>
      </c>
      <c r="AY2601" s="21" t="str">
        <f>IF(AND($AM2601&lt;&gt;"",$AS2601&lt;&gt;"✓"),SUMPRODUCT(($AM$11:$AM2601&lt;&gt;"")*($AS$11:$AS2601&lt;&gt;"✓")),"")</f>
        <v/>
      </c>
      <c r="AZ2601" s="21" t="str">
        <f>IF(AND($AM2601&lt;&gt;"",$AS2601="✓"),SUMPRODUCT(($AM$11:$AM2601&lt;&gt;"")*($AS$11:$AS2601="✓")),"")</f>
        <v/>
      </c>
      <c r="BA2601" s="21" t="str">
        <f>IF($AL2601="","",$AL2601&amp;"|"&amp;COUNTIF($AL$11:$AL2601,$AL2601))</f>
        <v/>
      </c>
    </row>
    <row r="2602" spans="38:53" ht="15" customHeight="1" x14ac:dyDescent="0.25">
      <c r="AL2602" s="31"/>
      <c r="AM2602" s="26"/>
      <c r="AN2602" s="32"/>
      <c r="AO2602" s="32"/>
      <c r="AP2602" s="24"/>
      <c r="AQ2602" s="24"/>
      <c r="AR2602" s="33"/>
      <c r="AS2602" s="34"/>
      <c r="AT2602" s="33"/>
      <c r="AV2602" s="21">
        <f>IF(AND($AL2602&lt;&gt;"",COUNTIF($AL$11:$AL2602,$AL2602)=1),1,0)</f>
        <v>0</v>
      </c>
      <c r="AW2602" s="21">
        <f t="shared" si="167"/>
        <v>0</v>
      </c>
      <c r="AX2602" s="21" t="str">
        <f t="shared" si="166"/>
        <v/>
      </c>
      <c r="AY2602" s="21" t="str">
        <f>IF(AND($AM2602&lt;&gt;"",$AS2602&lt;&gt;"✓"),SUMPRODUCT(($AM$11:$AM2602&lt;&gt;"")*($AS$11:$AS2602&lt;&gt;"✓")),"")</f>
        <v/>
      </c>
      <c r="AZ2602" s="21" t="str">
        <f>IF(AND($AM2602&lt;&gt;"",$AS2602="✓"),SUMPRODUCT(($AM$11:$AM2602&lt;&gt;"")*($AS$11:$AS2602="✓")),"")</f>
        <v/>
      </c>
      <c r="BA2602" s="21" t="str">
        <f>IF($AL2602="","",$AL2602&amp;"|"&amp;COUNTIF($AL$11:$AL2602,$AL2602))</f>
        <v/>
      </c>
    </row>
    <row r="2603" spans="38:53" ht="15" customHeight="1" x14ac:dyDescent="0.25">
      <c r="AL2603" s="17"/>
      <c r="AM2603" s="12"/>
      <c r="AN2603" s="18"/>
      <c r="AO2603" s="18"/>
      <c r="AP2603" s="10"/>
      <c r="AQ2603" s="10"/>
      <c r="AR2603" s="19"/>
      <c r="AS2603" s="20"/>
      <c r="AT2603" s="19"/>
      <c r="AV2603" s="21">
        <f>IF(AND($AL2603&lt;&gt;"",COUNTIF($AL$11:$AL2603,$AL2603)=1),1,0)</f>
        <v>0</v>
      </c>
      <c r="AW2603" s="21">
        <f t="shared" si="167"/>
        <v>0</v>
      </c>
      <c r="AX2603" s="21" t="str">
        <f t="shared" si="166"/>
        <v/>
      </c>
      <c r="AY2603" s="21" t="str">
        <f>IF(AND($AM2603&lt;&gt;"",$AS2603&lt;&gt;"✓"),SUMPRODUCT(($AM$11:$AM2603&lt;&gt;"")*($AS$11:$AS2603&lt;&gt;"✓")),"")</f>
        <v/>
      </c>
      <c r="AZ2603" s="21" t="str">
        <f>IF(AND($AM2603&lt;&gt;"",$AS2603="✓"),SUMPRODUCT(($AM$11:$AM2603&lt;&gt;"")*($AS$11:$AS2603="✓")),"")</f>
        <v/>
      </c>
      <c r="BA2603" s="21" t="str">
        <f>IF($AL2603="","",$AL2603&amp;"|"&amp;COUNTIF($AL$11:$AL2603,$AL2603))</f>
        <v/>
      </c>
    </row>
    <row r="2604" spans="38:53" ht="15" customHeight="1" x14ac:dyDescent="0.25">
      <c r="AL2604" s="31"/>
      <c r="AM2604" s="26"/>
      <c r="AN2604" s="32"/>
      <c r="AO2604" s="32"/>
      <c r="AP2604" s="24"/>
      <c r="AQ2604" s="24"/>
      <c r="AR2604" s="33"/>
      <c r="AS2604" s="34"/>
      <c r="AT2604" s="33"/>
      <c r="AV2604" s="21">
        <f>IF(AND($AL2604&lt;&gt;"",COUNTIF($AL$11:$AL2604,$AL2604)=1),1,0)</f>
        <v>0</v>
      </c>
      <c r="AW2604" s="21">
        <f t="shared" si="167"/>
        <v>0</v>
      </c>
      <c r="AX2604" s="21" t="str">
        <f t="shared" si="166"/>
        <v/>
      </c>
      <c r="AY2604" s="21" t="str">
        <f>IF(AND($AM2604&lt;&gt;"",$AS2604&lt;&gt;"✓"),SUMPRODUCT(($AM$11:$AM2604&lt;&gt;"")*($AS$11:$AS2604&lt;&gt;"✓")),"")</f>
        <v/>
      </c>
      <c r="AZ2604" s="21" t="str">
        <f>IF(AND($AM2604&lt;&gt;"",$AS2604="✓"),SUMPRODUCT(($AM$11:$AM2604&lt;&gt;"")*($AS$11:$AS2604="✓")),"")</f>
        <v/>
      </c>
      <c r="BA2604" s="21" t="str">
        <f>IF($AL2604="","",$AL2604&amp;"|"&amp;COUNTIF($AL$11:$AL2604,$AL2604))</f>
        <v/>
      </c>
    </row>
    <row r="2605" spans="38:53" ht="15" customHeight="1" x14ac:dyDescent="0.25">
      <c r="AL2605" s="17"/>
      <c r="AM2605" s="12"/>
      <c r="AN2605" s="18"/>
      <c r="AO2605" s="18"/>
      <c r="AP2605" s="10"/>
      <c r="AQ2605" s="10"/>
      <c r="AR2605" s="19"/>
      <c r="AS2605" s="20"/>
      <c r="AT2605" s="19"/>
      <c r="AV2605" s="21">
        <f>IF(AND($AL2605&lt;&gt;"",COUNTIF($AL$11:$AL2605,$AL2605)=1),1,0)</f>
        <v>0</v>
      </c>
      <c r="AW2605" s="21">
        <f t="shared" si="167"/>
        <v>0</v>
      </c>
      <c r="AX2605" s="21" t="str">
        <f t="shared" si="166"/>
        <v/>
      </c>
      <c r="AY2605" s="21" t="str">
        <f>IF(AND($AM2605&lt;&gt;"",$AS2605&lt;&gt;"✓"),SUMPRODUCT(($AM$11:$AM2605&lt;&gt;"")*($AS$11:$AS2605&lt;&gt;"✓")),"")</f>
        <v/>
      </c>
      <c r="AZ2605" s="21" t="str">
        <f>IF(AND($AM2605&lt;&gt;"",$AS2605="✓"),SUMPRODUCT(($AM$11:$AM2605&lt;&gt;"")*($AS$11:$AS2605="✓")),"")</f>
        <v/>
      </c>
      <c r="BA2605" s="21" t="str">
        <f>IF($AL2605="","",$AL2605&amp;"|"&amp;COUNTIF($AL$11:$AL2605,$AL2605))</f>
        <v/>
      </c>
    </row>
    <row r="2606" spans="38:53" ht="15" customHeight="1" x14ac:dyDescent="0.25">
      <c r="AL2606" s="31"/>
      <c r="AM2606" s="26"/>
      <c r="AN2606" s="32"/>
      <c r="AO2606" s="32"/>
      <c r="AP2606" s="24"/>
      <c r="AQ2606" s="24"/>
      <c r="AR2606" s="33"/>
      <c r="AS2606" s="34"/>
      <c r="AT2606" s="33"/>
      <c r="AV2606" s="21">
        <f>IF(AND($AL2606&lt;&gt;"",COUNTIF($AL$11:$AL2606,$AL2606)=1),1,0)</f>
        <v>0</v>
      </c>
      <c r="AW2606" s="21">
        <f t="shared" si="167"/>
        <v>0</v>
      </c>
      <c r="AX2606" s="21" t="str">
        <f t="shared" si="166"/>
        <v/>
      </c>
      <c r="AY2606" s="21" t="str">
        <f>IF(AND($AM2606&lt;&gt;"",$AS2606&lt;&gt;"✓"),SUMPRODUCT(($AM$11:$AM2606&lt;&gt;"")*($AS$11:$AS2606&lt;&gt;"✓")),"")</f>
        <v/>
      </c>
      <c r="AZ2606" s="21" t="str">
        <f>IF(AND($AM2606&lt;&gt;"",$AS2606="✓"),SUMPRODUCT(($AM$11:$AM2606&lt;&gt;"")*($AS$11:$AS2606="✓")),"")</f>
        <v/>
      </c>
      <c r="BA2606" s="21" t="str">
        <f>IF($AL2606="","",$AL2606&amp;"|"&amp;COUNTIF($AL$11:$AL2606,$AL2606))</f>
        <v/>
      </c>
    </row>
    <row r="2607" spans="38:53" ht="15" customHeight="1" x14ac:dyDescent="0.25">
      <c r="AL2607" s="17"/>
      <c r="AM2607" s="12"/>
      <c r="AN2607" s="18"/>
      <c r="AO2607" s="18"/>
      <c r="AP2607" s="10"/>
      <c r="AQ2607" s="10"/>
      <c r="AR2607" s="19"/>
      <c r="AS2607" s="20"/>
      <c r="AT2607" s="19"/>
      <c r="AV2607" s="21">
        <f>IF(AND($AL2607&lt;&gt;"",COUNTIF($AL$11:$AL2607,$AL2607)=1),1,0)</f>
        <v>0</v>
      </c>
      <c r="AW2607" s="21">
        <f t="shared" si="167"/>
        <v>0</v>
      </c>
      <c r="AX2607" s="21" t="str">
        <f t="shared" si="166"/>
        <v/>
      </c>
      <c r="AY2607" s="21" t="str">
        <f>IF(AND($AM2607&lt;&gt;"",$AS2607&lt;&gt;"✓"),SUMPRODUCT(($AM$11:$AM2607&lt;&gt;"")*($AS$11:$AS2607&lt;&gt;"✓")),"")</f>
        <v/>
      </c>
      <c r="AZ2607" s="21" t="str">
        <f>IF(AND($AM2607&lt;&gt;"",$AS2607="✓"),SUMPRODUCT(($AM$11:$AM2607&lt;&gt;"")*($AS$11:$AS2607="✓")),"")</f>
        <v/>
      </c>
      <c r="BA2607" s="21" t="str">
        <f>IF($AL2607="","",$AL2607&amp;"|"&amp;COUNTIF($AL$11:$AL2607,$AL2607))</f>
        <v/>
      </c>
    </row>
    <row r="2608" spans="38:53" ht="15" customHeight="1" x14ac:dyDescent="0.25">
      <c r="AL2608" s="31"/>
      <c r="AM2608" s="26"/>
      <c r="AN2608" s="32"/>
      <c r="AO2608" s="32"/>
      <c r="AP2608" s="24"/>
      <c r="AQ2608" s="24"/>
      <c r="AR2608" s="33"/>
      <c r="AS2608" s="34"/>
      <c r="AT2608" s="33"/>
      <c r="AV2608" s="21">
        <f>IF(AND($AL2608&lt;&gt;"",COUNTIF($AL$11:$AL2608,$AL2608)=1),1,0)</f>
        <v>0</v>
      </c>
      <c r="AW2608" s="21">
        <f t="shared" si="167"/>
        <v>0</v>
      </c>
      <c r="AX2608" s="21" t="str">
        <f t="shared" si="166"/>
        <v/>
      </c>
      <c r="AY2608" s="21" t="str">
        <f>IF(AND($AM2608&lt;&gt;"",$AS2608&lt;&gt;"✓"),SUMPRODUCT(($AM$11:$AM2608&lt;&gt;"")*($AS$11:$AS2608&lt;&gt;"✓")),"")</f>
        <v/>
      </c>
      <c r="AZ2608" s="21" t="str">
        <f>IF(AND($AM2608&lt;&gt;"",$AS2608="✓"),SUMPRODUCT(($AM$11:$AM2608&lt;&gt;"")*($AS$11:$AS2608="✓")),"")</f>
        <v/>
      </c>
      <c r="BA2608" s="21" t="str">
        <f>IF($AL2608="","",$AL2608&amp;"|"&amp;COUNTIF($AL$11:$AL2608,$AL2608))</f>
        <v/>
      </c>
    </row>
    <row r="2609" spans="38:53" ht="15" customHeight="1" x14ac:dyDescent="0.25">
      <c r="AL2609" s="17"/>
      <c r="AM2609" s="12"/>
      <c r="AN2609" s="18"/>
      <c r="AO2609" s="18"/>
      <c r="AP2609" s="10"/>
      <c r="AQ2609" s="10"/>
      <c r="AR2609" s="19"/>
      <c r="AS2609" s="20"/>
      <c r="AT2609" s="19"/>
      <c r="AV2609" s="21">
        <f>IF(AND($AL2609&lt;&gt;"",COUNTIF($AL$11:$AL2609,$AL2609)=1),1,0)</f>
        <v>0</v>
      </c>
      <c r="AW2609" s="21">
        <f t="shared" si="167"/>
        <v>0</v>
      </c>
      <c r="AX2609" s="21" t="str">
        <f t="shared" si="166"/>
        <v/>
      </c>
      <c r="AY2609" s="21" t="str">
        <f>IF(AND($AM2609&lt;&gt;"",$AS2609&lt;&gt;"✓"),SUMPRODUCT(($AM$11:$AM2609&lt;&gt;"")*($AS$11:$AS2609&lt;&gt;"✓")),"")</f>
        <v/>
      </c>
      <c r="AZ2609" s="21" t="str">
        <f>IF(AND($AM2609&lt;&gt;"",$AS2609="✓"),SUMPRODUCT(($AM$11:$AM2609&lt;&gt;"")*($AS$11:$AS2609="✓")),"")</f>
        <v/>
      </c>
      <c r="BA2609" s="21" t="str">
        <f>IF($AL2609="","",$AL2609&amp;"|"&amp;COUNTIF($AL$11:$AL2609,$AL2609))</f>
        <v/>
      </c>
    </row>
    <row r="2610" spans="38:53" ht="15" customHeight="1" x14ac:dyDescent="0.25">
      <c r="AL2610" s="31"/>
      <c r="AM2610" s="26"/>
      <c r="AN2610" s="32"/>
      <c r="AO2610" s="32"/>
      <c r="AP2610" s="24"/>
      <c r="AQ2610" s="24"/>
      <c r="AR2610" s="33"/>
      <c r="AS2610" s="34"/>
      <c r="AT2610" s="33"/>
      <c r="AV2610" s="21">
        <f>IF(AND($AL2610&lt;&gt;"",COUNTIF($AL$11:$AL2610,$AL2610)=1),1,0)</f>
        <v>0</v>
      </c>
      <c r="AW2610" s="21">
        <f t="shared" si="167"/>
        <v>0</v>
      </c>
      <c r="AX2610" s="21" t="str">
        <f t="shared" si="166"/>
        <v/>
      </c>
      <c r="AY2610" s="21" t="str">
        <f>IF(AND($AM2610&lt;&gt;"",$AS2610&lt;&gt;"✓"),SUMPRODUCT(($AM$11:$AM2610&lt;&gt;"")*($AS$11:$AS2610&lt;&gt;"✓")),"")</f>
        <v/>
      </c>
      <c r="AZ2610" s="21" t="str">
        <f>IF(AND($AM2610&lt;&gt;"",$AS2610="✓"),SUMPRODUCT(($AM$11:$AM2610&lt;&gt;"")*($AS$11:$AS2610="✓")),"")</f>
        <v/>
      </c>
      <c r="BA2610" s="21" t="str">
        <f>IF($AL2610="","",$AL2610&amp;"|"&amp;COUNTIF($AL$11:$AL2610,$AL2610))</f>
        <v/>
      </c>
    </row>
    <row r="2611" spans="38:53" ht="15" customHeight="1" x14ac:dyDescent="0.25">
      <c r="AL2611" s="17"/>
      <c r="AM2611" s="12"/>
      <c r="AN2611" s="18"/>
      <c r="AO2611" s="18"/>
      <c r="AP2611" s="10"/>
      <c r="AQ2611" s="10"/>
      <c r="AR2611" s="19"/>
      <c r="AS2611" s="20"/>
      <c r="AT2611" s="19"/>
      <c r="AV2611" s="21">
        <f>IF(AND($AL2611&lt;&gt;"",COUNTIF($AL$11:$AL2611,$AL2611)=1),1,0)</f>
        <v>0</v>
      </c>
      <c r="AW2611" s="21">
        <f t="shared" si="167"/>
        <v>0</v>
      </c>
      <c r="AX2611" s="21" t="str">
        <f t="shared" si="166"/>
        <v/>
      </c>
      <c r="AY2611" s="21" t="str">
        <f>IF(AND($AM2611&lt;&gt;"",$AS2611&lt;&gt;"✓"),SUMPRODUCT(($AM$11:$AM2611&lt;&gt;"")*($AS$11:$AS2611&lt;&gt;"✓")),"")</f>
        <v/>
      </c>
      <c r="AZ2611" s="21" t="str">
        <f>IF(AND($AM2611&lt;&gt;"",$AS2611="✓"),SUMPRODUCT(($AM$11:$AM2611&lt;&gt;"")*($AS$11:$AS2611="✓")),"")</f>
        <v/>
      </c>
      <c r="BA2611" s="21" t="str">
        <f>IF($AL2611="","",$AL2611&amp;"|"&amp;COUNTIF($AL$11:$AL2611,$AL2611))</f>
        <v/>
      </c>
    </row>
    <row r="2612" spans="38:53" ht="15" customHeight="1" x14ac:dyDescent="0.25">
      <c r="AL2612" s="31"/>
      <c r="AM2612" s="26"/>
      <c r="AN2612" s="32"/>
      <c r="AO2612" s="32"/>
      <c r="AP2612" s="24"/>
      <c r="AQ2612" s="24"/>
      <c r="AR2612" s="33"/>
      <c r="AS2612" s="34"/>
      <c r="AT2612" s="33"/>
      <c r="AV2612" s="21">
        <f>IF(AND($AL2612&lt;&gt;"",COUNTIF($AL$11:$AL2612,$AL2612)=1),1,0)</f>
        <v>0</v>
      </c>
      <c r="AW2612" s="21">
        <f t="shared" si="167"/>
        <v>0</v>
      </c>
      <c r="AX2612" s="21" t="str">
        <f t="shared" si="166"/>
        <v/>
      </c>
      <c r="AY2612" s="21" t="str">
        <f>IF(AND($AM2612&lt;&gt;"",$AS2612&lt;&gt;"✓"),SUMPRODUCT(($AM$11:$AM2612&lt;&gt;"")*($AS$11:$AS2612&lt;&gt;"✓")),"")</f>
        <v/>
      </c>
      <c r="AZ2612" s="21" t="str">
        <f>IF(AND($AM2612&lt;&gt;"",$AS2612="✓"),SUMPRODUCT(($AM$11:$AM2612&lt;&gt;"")*($AS$11:$AS2612="✓")),"")</f>
        <v/>
      </c>
      <c r="BA2612" s="21" t="str">
        <f>IF($AL2612="","",$AL2612&amp;"|"&amp;COUNTIF($AL$11:$AL2612,$AL2612))</f>
        <v/>
      </c>
    </row>
    <row r="2613" spans="38:53" ht="15" customHeight="1" x14ac:dyDescent="0.25">
      <c r="AL2613" s="17"/>
      <c r="AM2613" s="12"/>
      <c r="AN2613" s="18"/>
      <c r="AO2613" s="18"/>
      <c r="AP2613" s="10"/>
      <c r="AQ2613" s="10"/>
      <c r="AR2613" s="19"/>
      <c r="AS2613" s="20"/>
      <c r="AT2613" s="19"/>
      <c r="AV2613" s="21">
        <f>IF(AND($AL2613&lt;&gt;"",COUNTIF($AL$11:$AL2613,$AL2613)=1),1,0)</f>
        <v>0</v>
      </c>
      <c r="AW2613" s="21">
        <f t="shared" si="167"/>
        <v>0</v>
      </c>
      <c r="AX2613" s="21" t="str">
        <f t="shared" si="166"/>
        <v/>
      </c>
      <c r="AY2613" s="21" t="str">
        <f>IF(AND($AM2613&lt;&gt;"",$AS2613&lt;&gt;"✓"),SUMPRODUCT(($AM$11:$AM2613&lt;&gt;"")*($AS$11:$AS2613&lt;&gt;"✓")),"")</f>
        <v/>
      </c>
      <c r="AZ2613" s="21" t="str">
        <f>IF(AND($AM2613&lt;&gt;"",$AS2613="✓"),SUMPRODUCT(($AM$11:$AM2613&lt;&gt;"")*($AS$11:$AS2613="✓")),"")</f>
        <v/>
      </c>
      <c r="BA2613" s="21" t="str">
        <f>IF($AL2613="","",$AL2613&amp;"|"&amp;COUNTIF($AL$11:$AL2613,$AL2613))</f>
        <v/>
      </c>
    </row>
    <row r="2614" spans="38:53" ht="15" customHeight="1" x14ac:dyDescent="0.25">
      <c r="AL2614" s="31"/>
      <c r="AM2614" s="26"/>
      <c r="AN2614" s="32"/>
      <c r="AO2614" s="32"/>
      <c r="AP2614" s="24"/>
      <c r="AQ2614" s="24"/>
      <c r="AR2614" s="33"/>
      <c r="AS2614" s="34"/>
      <c r="AT2614" s="33"/>
      <c r="AV2614" s="21">
        <f>IF(AND($AL2614&lt;&gt;"",COUNTIF($AL$11:$AL2614,$AL2614)=1),1,0)</f>
        <v>0</v>
      </c>
      <c r="AW2614" s="21">
        <f t="shared" si="167"/>
        <v>0</v>
      </c>
      <c r="AX2614" s="21" t="str">
        <f t="shared" si="166"/>
        <v/>
      </c>
      <c r="AY2614" s="21" t="str">
        <f>IF(AND($AM2614&lt;&gt;"",$AS2614&lt;&gt;"✓"),SUMPRODUCT(($AM$11:$AM2614&lt;&gt;"")*($AS$11:$AS2614&lt;&gt;"✓")),"")</f>
        <v/>
      </c>
      <c r="AZ2614" s="21" t="str">
        <f>IF(AND($AM2614&lt;&gt;"",$AS2614="✓"),SUMPRODUCT(($AM$11:$AM2614&lt;&gt;"")*($AS$11:$AS2614="✓")),"")</f>
        <v/>
      </c>
      <c r="BA2614" s="21" t="str">
        <f>IF($AL2614="","",$AL2614&amp;"|"&amp;COUNTIF($AL$11:$AL2614,$AL2614))</f>
        <v/>
      </c>
    </row>
    <row r="2615" spans="38:53" ht="15" customHeight="1" x14ac:dyDescent="0.25">
      <c r="AL2615" s="17"/>
      <c r="AM2615" s="12"/>
      <c r="AN2615" s="18"/>
      <c r="AO2615" s="18"/>
      <c r="AP2615" s="10"/>
      <c r="AQ2615" s="10"/>
      <c r="AR2615" s="19"/>
      <c r="AS2615" s="20"/>
      <c r="AT2615" s="19"/>
      <c r="AV2615" s="21">
        <f>IF(AND($AL2615&lt;&gt;"",COUNTIF($AL$11:$AL2615,$AL2615)=1),1,0)</f>
        <v>0</v>
      </c>
      <c r="AW2615" s="21">
        <f t="shared" si="167"/>
        <v>0</v>
      </c>
      <c r="AX2615" s="21" t="str">
        <f t="shared" si="166"/>
        <v/>
      </c>
      <c r="AY2615" s="21" t="str">
        <f>IF(AND($AM2615&lt;&gt;"",$AS2615&lt;&gt;"✓"),SUMPRODUCT(($AM$11:$AM2615&lt;&gt;"")*($AS$11:$AS2615&lt;&gt;"✓")),"")</f>
        <v/>
      </c>
      <c r="AZ2615" s="21" t="str">
        <f>IF(AND($AM2615&lt;&gt;"",$AS2615="✓"),SUMPRODUCT(($AM$11:$AM2615&lt;&gt;"")*($AS$11:$AS2615="✓")),"")</f>
        <v/>
      </c>
      <c r="BA2615" s="21" t="str">
        <f>IF($AL2615="","",$AL2615&amp;"|"&amp;COUNTIF($AL$11:$AL2615,$AL2615))</f>
        <v/>
      </c>
    </row>
    <row r="2616" spans="38:53" ht="15" customHeight="1" x14ac:dyDescent="0.25">
      <c r="AL2616" s="31"/>
      <c r="AM2616" s="26"/>
      <c r="AN2616" s="32"/>
      <c r="AO2616" s="32"/>
      <c r="AP2616" s="24"/>
      <c r="AQ2616" s="24"/>
      <c r="AR2616" s="33"/>
      <c r="AS2616" s="34"/>
      <c r="AT2616" s="33"/>
      <c r="AV2616" s="21">
        <f>IF(AND($AL2616&lt;&gt;"",COUNTIF($AL$11:$AL2616,$AL2616)=1),1,0)</f>
        <v>0</v>
      </c>
      <c r="AW2616" s="21">
        <f t="shared" si="167"/>
        <v>0</v>
      </c>
      <c r="AX2616" s="21" t="str">
        <f t="shared" si="166"/>
        <v/>
      </c>
      <c r="AY2616" s="21" t="str">
        <f>IF(AND($AM2616&lt;&gt;"",$AS2616&lt;&gt;"✓"),SUMPRODUCT(($AM$11:$AM2616&lt;&gt;"")*($AS$11:$AS2616&lt;&gt;"✓")),"")</f>
        <v/>
      </c>
      <c r="AZ2616" s="21" t="str">
        <f>IF(AND($AM2616&lt;&gt;"",$AS2616="✓"),SUMPRODUCT(($AM$11:$AM2616&lt;&gt;"")*($AS$11:$AS2616="✓")),"")</f>
        <v/>
      </c>
      <c r="BA2616" s="21" t="str">
        <f>IF($AL2616="","",$AL2616&amp;"|"&amp;COUNTIF($AL$11:$AL2616,$AL2616))</f>
        <v/>
      </c>
    </row>
    <row r="2617" spans="38:53" ht="15" customHeight="1" x14ac:dyDescent="0.25">
      <c r="AL2617" s="17"/>
      <c r="AM2617" s="12"/>
      <c r="AN2617" s="18"/>
      <c r="AO2617" s="18"/>
      <c r="AP2617" s="10"/>
      <c r="AQ2617" s="10"/>
      <c r="AR2617" s="19"/>
      <c r="AS2617" s="20"/>
      <c r="AT2617" s="19"/>
      <c r="AV2617" s="21">
        <f>IF(AND($AL2617&lt;&gt;"",COUNTIF($AL$11:$AL2617,$AL2617)=1),1,0)</f>
        <v>0</v>
      </c>
      <c r="AW2617" s="21">
        <f t="shared" si="167"/>
        <v>0</v>
      </c>
      <c r="AX2617" s="21" t="str">
        <f t="shared" si="166"/>
        <v/>
      </c>
      <c r="AY2617" s="21" t="str">
        <f>IF(AND($AM2617&lt;&gt;"",$AS2617&lt;&gt;"✓"),SUMPRODUCT(($AM$11:$AM2617&lt;&gt;"")*($AS$11:$AS2617&lt;&gt;"✓")),"")</f>
        <v/>
      </c>
      <c r="AZ2617" s="21" t="str">
        <f>IF(AND($AM2617&lt;&gt;"",$AS2617="✓"),SUMPRODUCT(($AM$11:$AM2617&lt;&gt;"")*($AS$11:$AS2617="✓")),"")</f>
        <v/>
      </c>
      <c r="BA2617" s="21" t="str">
        <f>IF($AL2617="","",$AL2617&amp;"|"&amp;COUNTIF($AL$11:$AL2617,$AL2617))</f>
        <v/>
      </c>
    </row>
    <row r="2618" spans="38:53" ht="15" customHeight="1" x14ac:dyDescent="0.25">
      <c r="AL2618" s="31"/>
      <c r="AM2618" s="26"/>
      <c r="AN2618" s="32"/>
      <c r="AO2618" s="32"/>
      <c r="AP2618" s="24"/>
      <c r="AQ2618" s="24"/>
      <c r="AR2618" s="33"/>
      <c r="AS2618" s="34"/>
      <c r="AT2618" s="33"/>
      <c r="AV2618" s="21">
        <f>IF(AND($AL2618&lt;&gt;"",COUNTIF($AL$11:$AL2618,$AL2618)=1),1,0)</f>
        <v>0</v>
      </c>
      <c r="AW2618" s="21">
        <f t="shared" si="167"/>
        <v>0</v>
      </c>
      <c r="AX2618" s="21" t="str">
        <f t="shared" si="166"/>
        <v/>
      </c>
      <c r="AY2618" s="21" t="str">
        <f>IF(AND($AM2618&lt;&gt;"",$AS2618&lt;&gt;"✓"),SUMPRODUCT(($AM$11:$AM2618&lt;&gt;"")*($AS$11:$AS2618&lt;&gt;"✓")),"")</f>
        <v/>
      </c>
      <c r="AZ2618" s="21" t="str">
        <f>IF(AND($AM2618&lt;&gt;"",$AS2618="✓"),SUMPRODUCT(($AM$11:$AM2618&lt;&gt;"")*($AS$11:$AS2618="✓")),"")</f>
        <v/>
      </c>
      <c r="BA2618" s="21" t="str">
        <f>IF($AL2618="","",$AL2618&amp;"|"&amp;COUNTIF($AL$11:$AL2618,$AL2618))</f>
        <v/>
      </c>
    </row>
    <row r="2619" spans="38:53" ht="15" customHeight="1" x14ac:dyDescent="0.25">
      <c r="AL2619" s="17"/>
      <c r="AM2619" s="12"/>
      <c r="AN2619" s="18"/>
      <c r="AO2619" s="18"/>
      <c r="AP2619" s="10"/>
      <c r="AQ2619" s="10"/>
      <c r="AR2619" s="19"/>
      <c r="AS2619" s="20"/>
      <c r="AT2619" s="19"/>
      <c r="AV2619" s="21">
        <f>IF(AND($AL2619&lt;&gt;"",COUNTIF($AL$11:$AL2619,$AL2619)=1),1,0)</f>
        <v>0</v>
      </c>
      <c r="AW2619" s="21">
        <f t="shared" si="167"/>
        <v>0</v>
      </c>
      <c r="AX2619" s="21" t="str">
        <f t="shared" si="166"/>
        <v/>
      </c>
      <c r="AY2619" s="21" t="str">
        <f>IF(AND($AM2619&lt;&gt;"",$AS2619&lt;&gt;"✓"),SUMPRODUCT(($AM$11:$AM2619&lt;&gt;"")*($AS$11:$AS2619&lt;&gt;"✓")),"")</f>
        <v/>
      </c>
      <c r="AZ2619" s="21" t="str">
        <f>IF(AND($AM2619&lt;&gt;"",$AS2619="✓"),SUMPRODUCT(($AM$11:$AM2619&lt;&gt;"")*($AS$11:$AS2619="✓")),"")</f>
        <v/>
      </c>
      <c r="BA2619" s="21" t="str">
        <f>IF($AL2619="","",$AL2619&amp;"|"&amp;COUNTIF($AL$11:$AL2619,$AL2619))</f>
        <v/>
      </c>
    </row>
    <row r="2620" spans="38:53" ht="15" customHeight="1" x14ac:dyDescent="0.25">
      <c r="AL2620" s="31"/>
      <c r="AM2620" s="26"/>
      <c r="AN2620" s="32"/>
      <c r="AO2620" s="32"/>
      <c r="AP2620" s="24"/>
      <c r="AQ2620" s="24"/>
      <c r="AR2620" s="33"/>
      <c r="AS2620" s="34"/>
      <c r="AT2620" s="33"/>
      <c r="AV2620" s="21">
        <f>IF(AND($AL2620&lt;&gt;"",COUNTIF($AL$11:$AL2620,$AL2620)=1),1,0)</f>
        <v>0</v>
      </c>
      <c r="AW2620" s="21">
        <f t="shared" si="167"/>
        <v>0</v>
      </c>
      <c r="AX2620" s="21" t="str">
        <f t="shared" si="166"/>
        <v/>
      </c>
      <c r="AY2620" s="21" t="str">
        <f>IF(AND($AM2620&lt;&gt;"",$AS2620&lt;&gt;"✓"),SUMPRODUCT(($AM$11:$AM2620&lt;&gt;"")*($AS$11:$AS2620&lt;&gt;"✓")),"")</f>
        <v/>
      </c>
      <c r="AZ2620" s="21" t="str">
        <f>IF(AND($AM2620&lt;&gt;"",$AS2620="✓"),SUMPRODUCT(($AM$11:$AM2620&lt;&gt;"")*($AS$11:$AS2620="✓")),"")</f>
        <v/>
      </c>
      <c r="BA2620" s="21" t="str">
        <f>IF($AL2620="","",$AL2620&amp;"|"&amp;COUNTIF($AL$11:$AL2620,$AL2620))</f>
        <v/>
      </c>
    </row>
    <row r="2621" spans="38:53" ht="15" customHeight="1" x14ac:dyDescent="0.25">
      <c r="AL2621" s="17"/>
      <c r="AM2621" s="12"/>
      <c r="AN2621" s="18"/>
      <c r="AO2621" s="18"/>
      <c r="AP2621" s="10"/>
      <c r="AQ2621" s="10"/>
      <c r="AR2621" s="19"/>
      <c r="AS2621" s="20"/>
      <c r="AT2621" s="19"/>
      <c r="AV2621" s="21">
        <f>IF(AND($AL2621&lt;&gt;"",COUNTIF($AL$11:$AL2621,$AL2621)=1),1,0)</f>
        <v>0</v>
      </c>
      <c r="AW2621" s="21">
        <f t="shared" si="167"/>
        <v>0</v>
      </c>
      <c r="AX2621" s="21" t="str">
        <f t="shared" si="166"/>
        <v/>
      </c>
      <c r="AY2621" s="21" t="str">
        <f>IF(AND($AM2621&lt;&gt;"",$AS2621&lt;&gt;"✓"),SUMPRODUCT(($AM$11:$AM2621&lt;&gt;"")*($AS$11:$AS2621&lt;&gt;"✓")),"")</f>
        <v/>
      </c>
      <c r="AZ2621" s="21" t="str">
        <f>IF(AND($AM2621&lt;&gt;"",$AS2621="✓"),SUMPRODUCT(($AM$11:$AM2621&lt;&gt;"")*($AS$11:$AS2621="✓")),"")</f>
        <v/>
      </c>
      <c r="BA2621" s="21" t="str">
        <f>IF($AL2621="","",$AL2621&amp;"|"&amp;COUNTIF($AL$11:$AL2621,$AL2621))</f>
        <v/>
      </c>
    </row>
    <row r="2622" spans="38:53" ht="15" customHeight="1" x14ac:dyDescent="0.25">
      <c r="AL2622" s="31"/>
      <c r="AM2622" s="26"/>
      <c r="AN2622" s="32"/>
      <c r="AO2622" s="32"/>
      <c r="AP2622" s="24"/>
      <c r="AQ2622" s="24"/>
      <c r="AR2622" s="33"/>
      <c r="AS2622" s="34"/>
      <c r="AT2622" s="33"/>
      <c r="AV2622" s="21">
        <f>IF(AND($AL2622&lt;&gt;"",COUNTIF($AL$11:$AL2622,$AL2622)=1),1,0)</f>
        <v>0</v>
      </c>
      <c r="AW2622" s="21">
        <f t="shared" si="167"/>
        <v>0</v>
      </c>
      <c r="AX2622" s="21" t="str">
        <f t="shared" si="166"/>
        <v/>
      </c>
      <c r="AY2622" s="21" t="str">
        <f>IF(AND($AM2622&lt;&gt;"",$AS2622&lt;&gt;"✓"),SUMPRODUCT(($AM$11:$AM2622&lt;&gt;"")*($AS$11:$AS2622&lt;&gt;"✓")),"")</f>
        <v/>
      </c>
      <c r="AZ2622" s="21" t="str">
        <f>IF(AND($AM2622&lt;&gt;"",$AS2622="✓"),SUMPRODUCT(($AM$11:$AM2622&lt;&gt;"")*($AS$11:$AS2622="✓")),"")</f>
        <v/>
      </c>
      <c r="BA2622" s="21" t="str">
        <f>IF($AL2622="","",$AL2622&amp;"|"&amp;COUNTIF($AL$11:$AL2622,$AL2622))</f>
        <v/>
      </c>
    </row>
    <row r="2623" spans="38:53" ht="15" customHeight="1" x14ac:dyDescent="0.25">
      <c r="AL2623" s="17"/>
      <c r="AM2623" s="12"/>
      <c r="AN2623" s="18"/>
      <c r="AO2623" s="18"/>
      <c r="AP2623" s="10"/>
      <c r="AQ2623" s="10"/>
      <c r="AR2623" s="19"/>
      <c r="AS2623" s="20"/>
      <c r="AT2623" s="19"/>
      <c r="AV2623" s="21">
        <f>IF(AND($AL2623&lt;&gt;"",COUNTIF($AL$11:$AL2623,$AL2623)=1),1,0)</f>
        <v>0</v>
      </c>
      <c r="AW2623" s="21">
        <f t="shared" si="167"/>
        <v>0</v>
      </c>
      <c r="AX2623" s="21" t="str">
        <f t="shared" si="166"/>
        <v/>
      </c>
      <c r="AY2623" s="21" t="str">
        <f>IF(AND($AM2623&lt;&gt;"",$AS2623&lt;&gt;"✓"),SUMPRODUCT(($AM$11:$AM2623&lt;&gt;"")*($AS$11:$AS2623&lt;&gt;"✓")),"")</f>
        <v/>
      </c>
      <c r="AZ2623" s="21" t="str">
        <f>IF(AND($AM2623&lt;&gt;"",$AS2623="✓"),SUMPRODUCT(($AM$11:$AM2623&lt;&gt;"")*($AS$11:$AS2623="✓")),"")</f>
        <v/>
      </c>
      <c r="BA2623" s="21" t="str">
        <f>IF($AL2623="","",$AL2623&amp;"|"&amp;COUNTIF($AL$11:$AL2623,$AL2623))</f>
        <v/>
      </c>
    </row>
    <row r="2624" spans="38:53" ht="15" customHeight="1" x14ac:dyDescent="0.25">
      <c r="AL2624" s="31"/>
      <c r="AM2624" s="26"/>
      <c r="AN2624" s="32"/>
      <c r="AO2624" s="32"/>
      <c r="AP2624" s="24"/>
      <c r="AQ2624" s="24"/>
      <c r="AR2624" s="33"/>
      <c r="AS2624" s="34"/>
      <c r="AT2624" s="33"/>
      <c r="AV2624" s="21">
        <f>IF(AND($AL2624&lt;&gt;"",COUNTIF($AL$11:$AL2624,$AL2624)=1),1,0)</f>
        <v>0</v>
      </c>
      <c r="AW2624" s="21">
        <f t="shared" si="167"/>
        <v>0</v>
      </c>
      <c r="AX2624" s="21" t="str">
        <f t="shared" si="166"/>
        <v/>
      </c>
      <c r="AY2624" s="21" t="str">
        <f>IF(AND($AM2624&lt;&gt;"",$AS2624&lt;&gt;"✓"),SUMPRODUCT(($AM$11:$AM2624&lt;&gt;"")*($AS$11:$AS2624&lt;&gt;"✓")),"")</f>
        <v/>
      </c>
      <c r="AZ2624" s="21" t="str">
        <f>IF(AND($AM2624&lt;&gt;"",$AS2624="✓"),SUMPRODUCT(($AM$11:$AM2624&lt;&gt;"")*($AS$11:$AS2624="✓")),"")</f>
        <v/>
      </c>
      <c r="BA2624" s="21" t="str">
        <f>IF($AL2624="","",$AL2624&amp;"|"&amp;COUNTIF($AL$11:$AL2624,$AL2624))</f>
        <v/>
      </c>
    </row>
    <row r="2625" spans="38:53" ht="15" customHeight="1" x14ac:dyDescent="0.25">
      <c r="AL2625" s="17"/>
      <c r="AM2625" s="12"/>
      <c r="AN2625" s="18"/>
      <c r="AO2625" s="18"/>
      <c r="AP2625" s="10"/>
      <c r="AQ2625" s="10"/>
      <c r="AR2625" s="19"/>
      <c r="AS2625" s="20"/>
      <c r="AT2625" s="19"/>
      <c r="AV2625" s="21">
        <f>IF(AND($AL2625&lt;&gt;"",COUNTIF($AL$11:$AL2625,$AL2625)=1),1,0)</f>
        <v>0</v>
      </c>
      <c r="AW2625" s="21">
        <f t="shared" si="167"/>
        <v>0</v>
      </c>
      <c r="AX2625" s="21" t="str">
        <f t="shared" si="166"/>
        <v/>
      </c>
      <c r="AY2625" s="21" t="str">
        <f>IF(AND($AM2625&lt;&gt;"",$AS2625&lt;&gt;"✓"),SUMPRODUCT(($AM$11:$AM2625&lt;&gt;"")*($AS$11:$AS2625&lt;&gt;"✓")),"")</f>
        <v/>
      </c>
      <c r="AZ2625" s="21" t="str">
        <f>IF(AND($AM2625&lt;&gt;"",$AS2625="✓"),SUMPRODUCT(($AM$11:$AM2625&lt;&gt;"")*($AS$11:$AS2625="✓")),"")</f>
        <v/>
      </c>
      <c r="BA2625" s="21" t="str">
        <f>IF($AL2625="","",$AL2625&amp;"|"&amp;COUNTIF($AL$11:$AL2625,$AL2625))</f>
        <v/>
      </c>
    </row>
    <row r="2626" spans="38:53" ht="15" customHeight="1" x14ac:dyDescent="0.25">
      <c r="AL2626" s="31"/>
      <c r="AM2626" s="26"/>
      <c r="AN2626" s="32"/>
      <c r="AO2626" s="32"/>
      <c r="AP2626" s="24"/>
      <c r="AQ2626" s="24"/>
      <c r="AR2626" s="33"/>
      <c r="AS2626" s="34"/>
      <c r="AT2626" s="33"/>
      <c r="AV2626" s="21">
        <f>IF(AND($AL2626&lt;&gt;"",COUNTIF($AL$11:$AL2626,$AL2626)=1),1,0)</f>
        <v>0</v>
      </c>
      <c r="AW2626" s="21">
        <f t="shared" si="167"/>
        <v>0</v>
      </c>
      <c r="AX2626" s="21" t="str">
        <f t="shared" si="166"/>
        <v/>
      </c>
      <c r="AY2626" s="21" t="str">
        <f>IF(AND($AM2626&lt;&gt;"",$AS2626&lt;&gt;"✓"),SUMPRODUCT(($AM$11:$AM2626&lt;&gt;"")*($AS$11:$AS2626&lt;&gt;"✓")),"")</f>
        <v/>
      </c>
      <c r="AZ2626" s="21" t="str">
        <f>IF(AND($AM2626&lt;&gt;"",$AS2626="✓"),SUMPRODUCT(($AM$11:$AM2626&lt;&gt;"")*($AS$11:$AS2626="✓")),"")</f>
        <v/>
      </c>
      <c r="BA2626" s="21" t="str">
        <f>IF($AL2626="","",$AL2626&amp;"|"&amp;COUNTIF($AL$11:$AL2626,$AL2626))</f>
        <v/>
      </c>
    </row>
    <row r="2627" spans="38:53" ht="15" customHeight="1" x14ac:dyDescent="0.25">
      <c r="AL2627" s="17"/>
      <c r="AM2627" s="12"/>
      <c r="AN2627" s="18"/>
      <c r="AO2627" s="18"/>
      <c r="AP2627" s="10"/>
      <c r="AQ2627" s="10"/>
      <c r="AR2627" s="19"/>
      <c r="AS2627" s="20"/>
      <c r="AT2627" s="19"/>
      <c r="AV2627" s="21">
        <f>IF(AND($AL2627&lt;&gt;"",COUNTIF($AL$11:$AL2627,$AL2627)=1),1,0)</f>
        <v>0</v>
      </c>
      <c r="AW2627" s="21">
        <f t="shared" si="167"/>
        <v>0</v>
      </c>
      <c r="AX2627" s="21" t="str">
        <f t="shared" si="166"/>
        <v/>
      </c>
      <c r="AY2627" s="21" t="str">
        <f>IF(AND($AM2627&lt;&gt;"",$AS2627&lt;&gt;"✓"),SUMPRODUCT(($AM$11:$AM2627&lt;&gt;"")*($AS$11:$AS2627&lt;&gt;"✓")),"")</f>
        <v/>
      </c>
      <c r="AZ2627" s="21" t="str">
        <f>IF(AND($AM2627&lt;&gt;"",$AS2627="✓"),SUMPRODUCT(($AM$11:$AM2627&lt;&gt;"")*($AS$11:$AS2627="✓")),"")</f>
        <v/>
      </c>
      <c r="BA2627" s="21" t="str">
        <f>IF($AL2627="","",$AL2627&amp;"|"&amp;COUNTIF($AL$11:$AL2627,$AL2627))</f>
        <v/>
      </c>
    </row>
    <row r="2628" spans="38:53" ht="15" customHeight="1" x14ac:dyDescent="0.25">
      <c r="AL2628" s="31"/>
      <c r="AM2628" s="26"/>
      <c r="AN2628" s="32"/>
      <c r="AO2628" s="32"/>
      <c r="AP2628" s="24"/>
      <c r="AQ2628" s="24"/>
      <c r="AR2628" s="33"/>
      <c r="AS2628" s="34"/>
      <c r="AT2628" s="33"/>
      <c r="AV2628" s="21">
        <f>IF(AND($AL2628&lt;&gt;"",COUNTIF($AL$11:$AL2628,$AL2628)=1),1,0)</f>
        <v>0</v>
      </c>
      <c r="AW2628" s="21">
        <f t="shared" si="167"/>
        <v>0</v>
      </c>
      <c r="AX2628" s="21" t="str">
        <f t="shared" si="166"/>
        <v/>
      </c>
      <c r="AY2628" s="21" t="str">
        <f>IF(AND($AM2628&lt;&gt;"",$AS2628&lt;&gt;"✓"),SUMPRODUCT(($AM$11:$AM2628&lt;&gt;"")*($AS$11:$AS2628&lt;&gt;"✓")),"")</f>
        <v/>
      </c>
      <c r="AZ2628" s="21" t="str">
        <f>IF(AND($AM2628&lt;&gt;"",$AS2628="✓"),SUMPRODUCT(($AM$11:$AM2628&lt;&gt;"")*($AS$11:$AS2628="✓")),"")</f>
        <v/>
      </c>
      <c r="BA2628" s="21" t="str">
        <f>IF($AL2628="","",$AL2628&amp;"|"&amp;COUNTIF($AL$11:$AL2628,$AL2628))</f>
        <v/>
      </c>
    </row>
    <row r="2629" spans="38:53" ht="15" customHeight="1" x14ac:dyDescent="0.25">
      <c r="AL2629" s="17"/>
      <c r="AM2629" s="12"/>
      <c r="AN2629" s="18"/>
      <c r="AO2629" s="18"/>
      <c r="AP2629" s="10"/>
      <c r="AQ2629" s="10"/>
      <c r="AR2629" s="19"/>
      <c r="AS2629" s="20"/>
      <c r="AT2629" s="19"/>
      <c r="AV2629" s="21">
        <f>IF(AND($AL2629&lt;&gt;"",COUNTIF($AL$11:$AL2629,$AL2629)=1),1,0)</f>
        <v>0</v>
      </c>
      <c r="AW2629" s="21">
        <f t="shared" si="167"/>
        <v>0</v>
      </c>
      <c r="AX2629" s="21" t="str">
        <f t="shared" si="166"/>
        <v/>
      </c>
      <c r="AY2629" s="21" t="str">
        <f>IF(AND($AM2629&lt;&gt;"",$AS2629&lt;&gt;"✓"),SUMPRODUCT(($AM$11:$AM2629&lt;&gt;"")*($AS$11:$AS2629&lt;&gt;"✓")),"")</f>
        <v/>
      </c>
      <c r="AZ2629" s="21" t="str">
        <f>IF(AND($AM2629&lt;&gt;"",$AS2629="✓"),SUMPRODUCT(($AM$11:$AM2629&lt;&gt;"")*($AS$11:$AS2629="✓")),"")</f>
        <v/>
      </c>
      <c r="BA2629" s="21" t="str">
        <f>IF($AL2629="","",$AL2629&amp;"|"&amp;COUNTIF($AL$11:$AL2629,$AL2629))</f>
        <v/>
      </c>
    </row>
    <row r="2630" spans="38:53" ht="15" customHeight="1" x14ac:dyDescent="0.25">
      <c r="AL2630" s="31"/>
      <c r="AM2630" s="26"/>
      <c r="AN2630" s="32"/>
      <c r="AO2630" s="32"/>
      <c r="AP2630" s="24"/>
      <c r="AQ2630" s="24"/>
      <c r="AR2630" s="33"/>
      <c r="AS2630" s="34"/>
      <c r="AT2630" s="33"/>
      <c r="AV2630" s="21">
        <f>IF(AND($AL2630&lt;&gt;"",COUNTIF($AL$11:$AL2630,$AL2630)=1),1,0)</f>
        <v>0</v>
      </c>
      <c r="AW2630" s="21">
        <f t="shared" si="167"/>
        <v>0</v>
      </c>
      <c r="AX2630" s="21" t="str">
        <f t="shared" si="166"/>
        <v/>
      </c>
      <c r="AY2630" s="21" t="str">
        <f>IF(AND($AM2630&lt;&gt;"",$AS2630&lt;&gt;"✓"),SUMPRODUCT(($AM$11:$AM2630&lt;&gt;"")*($AS$11:$AS2630&lt;&gt;"✓")),"")</f>
        <v/>
      </c>
      <c r="AZ2630" s="21" t="str">
        <f>IF(AND($AM2630&lt;&gt;"",$AS2630="✓"),SUMPRODUCT(($AM$11:$AM2630&lt;&gt;"")*($AS$11:$AS2630="✓")),"")</f>
        <v/>
      </c>
      <c r="BA2630" s="21" t="str">
        <f>IF($AL2630="","",$AL2630&amp;"|"&amp;COUNTIF($AL$11:$AL2630,$AL2630))</f>
        <v/>
      </c>
    </row>
    <row r="2631" spans="38:53" ht="15" customHeight="1" x14ac:dyDescent="0.25">
      <c r="AL2631" s="17"/>
      <c r="AM2631" s="12"/>
      <c r="AN2631" s="18"/>
      <c r="AO2631" s="18"/>
      <c r="AP2631" s="10"/>
      <c r="AQ2631" s="10"/>
      <c r="AR2631" s="19"/>
      <c r="AS2631" s="20"/>
      <c r="AT2631" s="19"/>
      <c r="AV2631" s="21">
        <f>IF(AND($AL2631&lt;&gt;"",COUNTIF($AL$11:$AL2631,$AL2631)=1),1,0)</f>
        <v>0</v>
      </c>
      <c r="AW2631" s="21">
        <f t="shared" si="167"/>
        <v>0</v>
      </c>
      <c r="AX2631" s="21" t="str">
        <f t="shared" si="166"/>
        <v/>
      </c>
      <c r="AY2631" s="21" t="str">
        <f>IF(AND($AM2631&lt;&gt;"",$AS2631&lt;&gt;"✓"),SUMPRODUCT(($AM$11:$AM2631&lt;&gt;"")*($AS$11:$AS2631&lt;&gt;"✓")),"")</f>
        <v/>
      </c>
      <c r="AZ2631" s="21" t="str">
        <f>IF(AND($AM2631&lt;&gt;"",$AS2631="✓"),SUMPRODUCT(($AM$11:$AM2631&lt;&gt;"")*($AS$11:$AS2631="✓")),"")</f>
        <v/>
      </c>
      <c r="BA2631" s="21" t="str">
        <f>IF($AL2631="","",$AL2631&amp;"|"&amp;COUNTIF($AL$11:$AL2631,$AL2631))</f>
        <v/>
      </c>
    </row>
    <row r="2632" spans="38:53" ht="15" customHeight="1" x14ac:dyDescent="0.25">
      <c r="AL2632" s="31"/>
      <c r="AM2632" s="26"/>
      <c r="AN2632" s="32"/>
      <c r="AO2632" s="32"/>
      <c r="AP2632" s="24"/>
      <c r="AQ2632" s="24"/>
      <c r="AR2632" s="33"/>
      <c r="AS2632" s="34"/>
      <c r="AT2632" s="33"/>
      <c r="AV2632" s="21">
        <f>IF(AND($AL2632&lt;&gt;"",COUNTIF($AL$11:$AL2632,$AL2632)=1),1,0)</f>
        <v>0</v>
      </c>
      <c r="AW2632" s="21">
        <f t="shared" si="167"/>
        <v>0</v>
      </c>
      <c r="AX2632" s="21" t="str">
        <f t="shared" si="166"/>
        <v/>
      </c>
      <c r="AY2632" s="21" t="str">
        <f>IF(AND($AM2632&lt;&gt;"",$AS2632&lt;&gt;"✓"),SUMPRODUCT(($AM$11:$AM2632&lt;&gt;"")*($AS$11:$AS2632&lt;&gt;"✓")),"")</f>
        <v/>
      </c>
      <c r="AZ2632" s="21" t="str">
        <f>IF(AND($AM2632&lt;&gt;"",$AS2632="✓"),SUMPRODUCT(($AM$11:$AM2632&lt;&gt;"")*($AS$11:$AS2632="✓")),"")</f>
        <v/>
      </c>
      <c r="BA2632" s="21" t="str">
        <f>IF($AL2632="","",$AL2632&amp;"|"&amp;COUNTIF($AL$11:$AL2632,$AL2632))</f>
        <v/>
      </c>
    </row>
    <row r="2633" spans="38:53" ht="15" customHeight="1" x14ac:dyDescent="0.25">
      <c r="AL2633" s="17"/>
      <c r="AM2633" s="12"/>
      <c r="AN2633" s="18"/>
      <c r="AO2633" s="18"/>
      <c r="AP2633" s="10"/>
      <c r="AQ2633" s="10"/>
      <c r="AR2633" s="19"/>
      <c r="AS2633" s="20"/>
      <c r="AT2633" s="19"/>
      <c r="AV2633" s="21">
        <f>IF(AND($AL2633&lt;&gt;"",COUNTIF($AL$11:$AL2633,$AL2633)=1),1,0)</f>
        <v>0</v>
      </c>
      <c r="AW2633" s="21">
        <f t="shared" si="167"/>
        <v>0</v>
      </c>
      <c r="AX2633" s="21" t="str">
        <f t="shared" si="166"/>
        <v/>
      </c>
      <c r="AY2633" s="21" t="str">
        <f>IF(AND($AM2633&lt;&gt;"",$AS2633&lt;&gt;"✓"),SUMPRODUCT(($AM$11:$AM2633&lt;&gt;"")*($AS$11:$AS2633&lt;&gt;"✓")),"")</f>
        <v/>
      </c>
      <c r="AZ2633" s="21" t="str">
        <f>IF(AND($AM2633&lt;&gt;"",$AS2633="✓"),SUMPRODUCT(($AM$11:$AM2633&lt;&gt;"")*($AS$11:$AS2633="✓")),"")</f>
        <v/>
      </c>
      <c r="BA2633" s="21" t="str">
        <f>IF($AL2633="","",$AL2633&amp;"|"&amp;COUNTIF($AL$11:$AL2633,$AL2633))</f>
        <v/>
      </c>
    </row>
    <row r="2634" spans="38:53" ht="15" customHeight="1" x14ac:dyDescent="0.25">
      <c r="AL2634" s="31"/>
      <c r="AM2634" s="26"/>
      <c r="AN2634" s="32"/>
      <c r="AO2634" s="32"/>
      <c r="AP2634" s="24"/>
      <c r="AQ2634" s="24"/>
      <c r="AR2634" s="33"/>
      <c r="AS2634" s="34"/>
      <c r="AT2634" s="33"/>
      <c r="AV2634" s="21">
        <f>IF(AND($AL2634&lt;&gt;"",COUNTIF($AL$11:$AL2634,$AL2634)=1),1,0)</f>
        <v>0</v>
      </c>
      <c r="AW2634" s="21">
        <f t="shared" si="167"/>
        <v>0</v>
      </c>
      <c r="AX2634" s="21" t="str">
        <f t="shared" si="166"/>
        <v/>
      </c>
      <c r="AY2634" s="21" t="str">
        <f>IF(AND($AM2634&lt;&gt;"",$AS2634&lt;&gt;"✓"),SUMPRODUCT(($AM$11:$AM2634&lt;&gt;"")*($AS$11:$AS2634&lt;&gt;"✓")),"")</f>
        <v/>
      </c>
      <c r="AZ2634" s="21" t="str">
        <f>IF(AND($AM2634&lt;&gt;"",$AS2634="✓"),SUMPRODUCT(($AM$11:$AM2634&lt;&gt;"")*($AS$11:$AS2634="✓")),"")</f>
        <v/>
      </c>
      <c r="BA2634" s="21" t="str">
        <f>IF($AL2634="","",$AL2634&amp;"|"&amp;COUNTIF($AL$11:$AL2634,$AL2634))</f>
        <v/>
      </c>
    </row>
    <row r="2635" spans="38:53" ht="15" customHeight="1" x14ac:dyDescent="0.25">
      <c r="AL2635" s="17"/>
      <c r="AM2635" s="12"/>
      <c r="AN2635" s="18"/>
      <c r="AO2635" s="18"/>
      <c r="AP2635" s="10"/>
      <c r="AQ2635" s="10"/>
      <c r="AR2635" s="19"/>
      <c r="AS2635" s="20"/>
      <c r="AT2635" s="19"/>
      <c r="AV2635" s="21">
        <f>IF(AND($AL2635&lt;&gt;"",COUNTIF($AL$11:$AL2635,$AL2635)=1),1,0)</f>
        <v>0</v>
      </c>
      <c r="AW2635" s="21">
        <f t="shared" si="167"/>
        <v>0</v>
      </c>
      <c r="AX2635" s="21" t="str">
        <f t="shared" ref="AX2635:AX2698" si="168">IF(AV2635=1,AW2635,"")</f>
        <v/>
      </c>
      <c r="AY2635" s="21" t="str">
        <f>IF(AND($AM2635&lt;&gt;"",$AS2635&lt;&gt;"✓"),SUMPRODUCT(($AM$11:$AM2635&lt;&gt;"")*($AS$11:$AS2635&lt;&gt;"✓")),"")</f>
        <v/>
      </c>
      <c r="AZ2635" s="21" t="str">
        <f>IF(AND($AM2635&lt;&gt;"",$AS2635="✓"),SUMPRODUCT(($AM$11:$AM2635&lt;&gt;"")*($AS$11:$AS2635="✓")),"")</f>
        <v/>
      </c>
      <c r="BA2635" s="21" t="str">
        <f>IF($AL2635="","",$AL2635&amp;"|"&amp;COUNTIF($AL$11:$AL2635,$AL2635))</f>
        <v/>
      </c>
    </row>
    <row r="2636" spans="38:53" ht="15" customHeight="1" x14ac:dyDescent="0.25">
      <c r="AL2636" s="31"/>
      <c r="AM2636" s="26"/>
      <c r="AN2636" s="32"/>
      <c r="AO2636" s="32"/>
      <c r="AP2636" s="24"/>
      <c r="AQ2636" s="24"/>
      <c r="AR2636" s="33"/>
      <c r="AS2636" s="34"/>
      <c r="AT2636" s="33"/>
      <c r="AV2636" s="21">
        <f>IF(AND($AL2636&lt;&gt;"",COUNTIF($AL$11:$AL2636,$AL2636)=1),1,0)</f>
        <v>0</v>
      </c>
      <c r="AW2636" s="21">
        <f t="shared" ref="AW2636:AW2699" si="169">AW2635+AV2636</f>
        <v>0</v>
      </c>
      <c r="AX2636" s="21" t="str">
        <f t="shared" si="168"/>
        <v/>
      </c>
      <c r="AY2636" s="21" t="str">
        <f>IF(AND($AM2636&lt;&gt;"",$AS2636&lt;&gt;"✓"),SUMPRODUCT(($AM$11:$AM2636&lt;&gt;"")*($AS$11:$AS2636&lt;&gt;"✓")),"")</f>
        <v/>
      </c>
      <c r="AZ2636" s="21" t="str">
        <f>IF(AND($AM2636&lt;&gt;"",$AS2636="✓"),SUMPRODUCT(($AM$11:$AM2636&lt;&gt;"")*($AS$11:$AS2636="✓")),"")</f>
        <v/>
      </c>
      <c r="BA2636" s="21" t="str">
        <f>IF($AL2636="","",$AL2636&amp;"|"&amp;COUNTIF($AL$11:$AL2636,$AL2636))</f>
        <v/>
      </c>
    </row>
    <row r="2637" spans="38:53" ht="15" customHeight="1" x14ac:dyDescent="0.25">
      <c r="AL2637" s="17"/>
      <c r="AM2637" s="12"/>
      <c r="AN2637" s="18"/>
      <c r="AO2637" s="18"/>
      <c r="AP2637" s="10"/>
      <c r="AQ2637" s="10"/>
      <c r="AR2637" s="19"/>
      <c r="AS2637" s="20"/>
      <c r="AT2637" s="19"/>
      <c r="AV2637" s="21">
        <f>IF(AND($AL2637&lt;&gt;"",COUNTIF($AL$11:$AL2637,$AL2637)=1),1,0)</f>
        <v>0</v>
      </c>
      <c r="AW2637" s="21">
        <f t="shared" si="169"/>
        <v>0</v>
      </c>
      <c r="AX2637" s="21" t="str">
        <f t="shared" si="168"/>
        <v/>
      </c>
      <c r="AY2637" s="21" t="str">
        <f>IF(AND($AM2637&lt;&gt;"",$AS2637&lt;&gt;"✓"),SUMPRODUCT(($AM$11:$AM2637&lt;&gt;"")*($AS$11:$AS2637&lt;&gt;"✓")),"")</f>
        <v/>
      </c>
      <c r="AZ2637" s="21" t="str">
        <f>IF(AND($AM2637&lt;&gt;"",$AS2637="✓"),SUMPRODUCT(($AM$11:$AM2637&lt;&gt;"")*($AS$11:$AS2637="✓")),"")</f>
        <v/>
      </c>
      <c r="BA2637" s="21" t="str">
        <f>IF($AL2637="","",$AL2637&amp;"|"&amp;COUNTIF($AL$11:$AL2637,$AL2637))</f>
        <v/>
      </c>
    </row>
    <row r="2638" spans="38:53" ht="15" customHeight="1" x14ac:dyDescent="0.25">
      <c r="AL2638" s="31"/>
      <c r="AM2638" s="26"/>
      <c r="AN2638" s="32"/>
      <c r="AO2638" s="32"/>
      <c r="AP2638" s="24"/>
      <c r="AQ2638" s="24"/>
      <c r="AR2638" s="33"/>
      <c r="AS2638" s="34"/>
      <c r="AT2638" s="33"/>
      <c r="AV2638" s="21">
        <f>IF(AND($AL2638&lt;&gt;"",COUNTIF($AL$11:$AL2638,$AL2638)=1),1,0)</f>
        <v>0</v>
      </c>
      <c r="AW2638" s="21">
        <f t="shared" si="169"/>
        <v>0</v>
      </c>
      <c r="AX2638" s="21" t="str">
        <f t="shared" si="168"/>
        <v/>
      </c>
      <c r="AY2638" s="21" t="str">
        <f>IF(AND($AM2638&lt;&gt;"",$AS2638&lt;&gt;"✓"),SUMPRODUCT(($AM$11:$AM2638&lt;&gt;"")*($AS$11:$AS2638&lt;&gt;"✓")),"")</f>
        <v/>
      </c>
      <c r="AZ2638" s="21" t="str">
        <f>IF(AND($AM2638&lt;&gt;"",$AS2638="✓"),SUMPRODUCT(($AM$11:$AM2638&lt;&gt;"")*($AS$11:$AS2638="✓")),"")</f>
        <v/>
      </c>
      <c r="BA2638" s="21" t="str">
        <f>IF($AL2638="","",$AL2638&amp;"|"&amp;COUNTIF($AL$11:$AL2638,$AL2638))</f>
        <v/>
      </c>
    </row>
    <row r="2639" spans="38:53" ht="15" customHeight="1" x14ac:dyDescent="0.25">
      <c r="AL2639" s="17"/>
      <c r="AM2639" s="12"/>
      <c r="AN2639" s="18"/>
      <c r="AO2639" s="18"/>
      <c r="AP2639" s="10"/>
      <c r="AQ2639" s="10"/>
      <c r="AR2639" s="19"/>
      <c r="AS2639" s="20"/>
      <c r="AT2639" s="19"/>
      <c r="AV2639" s="21">
        <f>IF(AND($AL2639&lt;&gt;"",COUNTIF($AL$11:$AL2639,$AL2639)=1),1,0)</f>
        <v>0</v>
      </c>
      <c r="AW2639" s="21">
        <f t="shared" si="169"/>
        <v>0</v>
      </c>
      <c r="AX2639" s="21" t="str">
        <f t="shared" si="168"/>
        <v/>
      </c>
      <c r="AY2639" s="21" t="str">
        <f>IF(AND($AM2639&lt;&gt;"",$AS2639&lt;&gt;"✓"),SUMPRODUCT(($AM$11:$AM2639&lt;&gt;"")*($AS$11:$AS2639&lt;&gt;"✓")),"")</f>
        <v/>
      </c>
      <c r="AZ2639" s="21" t="str">
        <f>IF(AND($AM2639&lt;&gt;"",$AS2639="✓"),SUMPRODUCT(($AM$11:$AM2639&lt;&gt;"")*($AS$11:$AS2639="✓")),"")</f>
        <v/>
      </c>
      <c r="BA2639" s="21" t="str">
        <f>IF($AL2639="","",$AL2639&amp;"|"&amp;COUNTIF($AL$11:$AL2639,$AL2639))</f>
        <v/>
      </c>
    </row>
    <row r="2640" spans="38:53" ht="15" customHeight="1" x14ac:dyDescent="0.25">
      <c r="AL2640" s="31"/>
      <c r="AM2640" s="26"/>
      <c r="AN2640" s="32"/>
      <c r="AO2640" s="32"/>
      <c r="AP2640" s="24"/>
      <c r="AQ2640" s="24"/>
      <c r="AR2640" s="33"/>
      <c r="AS2640" s="34"/>
      <c r="AT2640" s="33"/>
      <c r="AV2640" s="21">
        <f>IF(AND($AL2640&lt;&gt;"",COUNTIF($AL$11:$AL2640,$AL2640)=1),1,0)</f>
        <v>0</v>
      </c>
      <c r="AW2640" s="21">
        <f t="shared" si="169"/>
        <v>0</v>
      </c>
      <c r="AX2640" s="21" t="str">
        <f t="shared" si="168"/>
        <v/>
      </c>
      <c r="AY2640" s="21" t="str">
        <f>IF(AND($AM2640&lt;&gt;"",$AS2640&lt;&gt;"✓"),SUMPRODUCT(($AM$11:$AM2640&lt;&gt;"")*($AS$11:$AS2640&lt;&gt;"✓")),"")</f>
        <v/>
      </c>
      <c r="AZ2640" s="21" t="str">
        <f>IF(AND($AM2640&lt;&gt;"",$AS2640="✓"),SUMPRODUCT(($AM$11:$AM2640&lt;&gt;"")*($AS$11:$AS2640="✓")),"")</f>
        <v/>
      </c>
      <c r="BA2640" s="21" t="str">
        <f>IF($AL2640="","",$AL2640&amp;"|"&amp;COUNTIF($AL$11:$AL2640,$AL2640))</f>
        <v/>
      </c>
    </row>
    <row r="2641" spans="38:53" ht="15" customHeight="1" x14ac:dyDescent="0.25">
      <c r="AL2641" s="17"/>
      <c r="AM2641" s="12"/>
      <c r="AN2641" s="18"/>
      <c r="AO2641" s="18"/>
      <c r="AP2641" s="10"/>
      <c r="AQ2641" s="10"/>
      <c r="AR2641" s="19"/>
      <c r="AS2641" s="20"/>
      <c r="AT2641" s="19"/>
      <c r="AV2641" s="21">
        <f>IF(AND($AL2641&lt;&gt;"",COUNTIF($AL$11:$AL2641,$AL2641)=1),1,0)</f>
        <v>0</v>
      </c>
      <c r="AW2641" s="21">
        <f t="shared" si="169"/>
        <v>0</v>
      </c>
      <c r="AX2641" s="21" t="str">
        <f t="shared" si="168"/>
        <v/>
      </c>
      <c r="AY2641" s="21" t="str">
        <f>IF(AND($AM2641&lt;&gt;"",$AS2641&lt;&gt;"✓"),SUMPRODUCT(($AM$11:$AM2641&lt;&gt;"")*($AS$11:$AS2641&lt;&gt;"✓")),"")</f>
        <v/>
      </c>
      <c r="AZ2641" s="21" t="str">
        <f>IF(AND($AM2641&lt;&gt;"",$AS2641="✓"),SUMPRODUCT(($AM$11:$AM2641&lt;&gt;"")*($AS$11:$AS2641="✓")),"")</f>
        <v/>
      </c>
      <c r="BA2641" s="21" t="str">
        <f>IF($AL2641="","",$AL2641&amp;"|"&amp;COUNTIF($AL$11:$AL2641,$AL2641))</f>
        <v/>
      </c>
    </row>
    <row r="2642" spans="38:53" ht="15" customHeight="1" x14ac:dyDescent="0.25">
      <c r="AL2642" s="31"/>
      <c r="AM2642" s="26"/>
      <c r="AN2642" s="32"/>
      <c r="AO2642" s="32"/>
      <c r="AP2642" s="24"/>
      <c r="AQ2642" s="24"/>
      <c r="AR2642" s="33"/>
      <c r="AS2642" s="34"/>
      <c r="AT2642" s="33"/>
      <c r="AV2642" s="21">
        <f>IF(AND($AL2642&lt;&gt;"",COUNTIF($AL$11:$AL2642,$AL2642)=1),1,0)</f>
        <v>0</v>
      </c>
      <c r="AW2642" s="21">
        <f t="shared" si="169"/>
        <v>0</v>
      </c>
      <c r="AX2642" s="21" t="str">
        <f t="shared" si="168"/>
        <v/>
      </c>
      <c r="AY2642" s="21" t="str">
        <f>IF(AND($AM2642&lt;&gt;"",$AS2642&lt;&gt;"✓"),SUMPRODUCT(($AM$11:$AM2642&lt;&gt;"")*($AS$11:$AS2642&lt;&gt;"✓")),"")</f>
        <v/>
      </c>
      <c r="AZ2642" s="21" t="str">
        <f>IF(AND($AM2642&lt;&gt;"",$AS2642="✓"),SUMPRODUCT(($AM$11:$AM2642&lt;&gt;"")*($AS$11:$AS2642="✓")),"")</f>
        <v/>
      </c>
      <c r="BA2642" s="21" t="str">
        <f>IF($AL2642="","",$AL2642&amp;"|"&amp;COUNTIF($AL$11:$AL2642,$AL2642))</f>
        <v/>
      </c>
    </row>
    <row r="2643" spans="38:53" ht="15" customHeight="1" x14ac:dyDescent="0.25">
      <c r="AL2643" s="17"/>
      <c r="AM2643" s="12"/>
      <c r="AN2643" s="18"/>
      <c r="AO2643" s="18"/>
      <c r="AP2643" s="10"/>
      <c r="AQ2643" s="10"/>
      <c r="AR2643" s="19"/>
      <c r="AS2643" s="20"/>
      <c r="AT2643" s="19"/>
      <c r="AV2643" s="21">
        <f>IF(AND($AL2643&lt;&gt;"",COUNTIF($AL$11:$AL2643,$AL2643)=1),1,0)</f>
        <v>0</v>
      </c>
      <c r="AW2643" s="21">
        <f t="shared" si="169"/>
        <v>0</v>
      </c>
      <c r="AX2643" s="21" t="str">
        <f t="shared" si="168"/>
        <v/>
      </c>
      <c r="AY2643" s="21" t="str">
        <f>IF(AND($AM2643&lt;&gt;"",$AS2643&lt;&gt;"✓"),SUMPRODUCT(($AM$11:$AM2643&lt;&gt;"")*($AS$11:$AS2643&lt;&gt;"✓")),"")</f>
        <v/>
      </c>
      <c r="AZ2643" s="21" t="str">
        <f>IF(AND($AM2643&lt;&gt;"",$AS2643="✓"),SUMPRODUCT(($AM$11:$AM2643&lt;&gt;"")*($AS$11:$AS2643="✓")),"")</f>
        <v/>
      </c>
      <c r="BA2643" s="21" t="str">
        <f>IF($AL2643="","",$AL2643&amp;"|"&amp;COUNTIF($AL$11:$AL2643,$AL2643))</f>
        <v/>
      </c>
    </row>
    <row r="2644" spans="38:53" ht="15" customHeight="1" x14ac:dyDescent="0.25">
      <c r="AL2644" s="31"/>
      <c r="AM2644" s="26"/>
      <c r="AN2644" s="32"/>
      <c r="AO2644" s="32"/>
      <c r="AP2644" s="24"/>
      <c r="AQ2644" s="24"/>
      <c r="AR2644" s="33"/>
      <c r="AS2644" s="34"/>
      <c r="AT2644" s="33"/>
      <c r="AV2644" s="21">
        <f>IF(AND($AL2644&lt;&gt;"",COUNTIF($AL$11:$AL2644,$AL2644)=1),1,0)</f>
        <v>0</v>
      </c>
      <c r="AW2644" s="21">
        <f t="shared" si="169"/>
        <v>0</v>
      </c>
      <c r="AX2644" s="21" t="str">
        <f t="shared" si="168"/>
        <v/>
      </c>
      <c r="AY2644" s="21" t="str">
        <f>IF(AND($AM2644&lt;&gt;"",$AS2644&lt;&gt;"✓"),SUMPRODUCT(($AM$11:$AM2644&lt;&gt;"")*($AS$11:$AS2644&lt;&gt;"✓")),"")</f>
        <v/>
      </c>
      <c r="AZ2644" s="21" t="str">
        <f>IF(AND($AM2644&lt;&gt;"",$AS2644="✓"),SUMPRODUCT(($AM$11:$AM2644&lt;&gt;"")*($AS$11:$AS2644="✓")),"")</f>
        <v/>
      </c>
      <c r="BA2644" s="21" t="str">
        <f>IF($AL2644="","",$AL2644&amp;"|"&amp;COUNTIF($AL$11:$AL2644,$AL2644))</f>
        <v/>
      </c>
    </row>
    <row r="2645" spans="38:53" ht="15" customHeight="1" x14ac:dyDescent="0.25">
      <c r="AL2645" s="17"/>
      <c r="AM2645" s="12"/>
      <c r="AN2645" s="18"/>
      <c r="AO2645" s="18"/>
      <c r="AP2645" s="10"/>
      <c r="AQ2645" s="10"/>
      <c r="AR2645" s="19"/>
      <c r="AS2645" s="20"/>
      <c r="AT2645" s="19"/>
      <c r="AV2645" s="21">
        <f>IF(AND($AL2645&lt;&gt;"",COUNTIF($AL$11:$AL2645,$AL2645)=1),1,0)</f>
        <v>0</v>
      </c>
      <c r="AW2645" s="21">
        <f t="shared" si="169"/>
        <v>0</v>
      </c>
      <c r="AX2645" s="21" t="str">
        <f t="shared" si="168"/>
        <v/>
      </c>
      <c r="AY2645" s="21" t="str">
        <f>IF(AND($AM2645&lt;&gt;"",$AS2645&lt;&gt;"✓"),SUMPRODUCT(($AM$11:$AM2645&lt;&gt;"")*($AS$11:$AS2645&lt;&gt;"✓")),"")</f>
        <v/>
      </c>
      <c r="AZ2645" s="21" t="str">
        <f>IF(AND($AM2645&lt;&gt;"",$AS2645="✓"),SUMPRODUCT(($AM$11:$AM2645&lt;&gt;"")*($AS$11:$AS2645="✓")),"")</f>
        <v/>
      </c>
      <c r="BA2645" s="21" t="str">
        <f>IF($AL2645="","",$AL2645&amp;"|"&amp;COUNTIF($AL$11:$AL2645,$AL2645))</f>
        <v/>
      </c>
    </row>
    <row r="2646" spans="38:53" ht="15" customHeight="1" x14ac:dyDescent="0.25">
      <c r="AL2646" s="31"/>
      <c r="AM2646" s="26"/>
      <c r="AN2646" s="32"/>
      <c r="AO2646" s="32"/>
      <c r="AP2646" s="24"/>
      <c r="AQ2646" s="24"/>
      <c r="AR2646" s="33"/>
      <c r="AS2646" s="34"/>
      <c r="AT2646" s="33"/>
      <c r="AV2646" s="21">
        <f>IF(AND($AL2646&lt;&gt;"",COUNTIF($AL$11:$AL2646,$AL2646)=1),1,0)</f>
        <v>0</v>
      </c>
      <c r="AW2646" s="21">
        <f t="shared" si="169"/>
        <v>0</v>
      </c>
      <c r="AX2646" s="21" t="str">
        <f t="shared" si="168"/>
        <v/>
      </c>
      <c r="AY2646" s="21" t="str">
        <f>IF(AND($AM2646&lt;&gt;"",$AS2646&lt;&gt;"✓"),SUMPRODUCT(($AM$11:$AM2646&lt;&gt;"")*($AS$11:$AS2646&lt;&gt;"✓")),"")</f>
        <v/>
      </c>
      <c r="AZ2646" s="21" t="str">
        <f>IF(AND($AM2646&lt;&gt;"",$AS2646="✓"),SUMPRODUCT(($AM$11:$AM2646&lt;&gt;"")*($AS$11:$AS2646="✓")),"")</f>
        <v/>
      </c>
      <c r="BA2646" s="21" t="str">
        <f>IF($AL2646="","",$AL2646&amp;"|"&amp;COUNTIF($AL$11:$AL2646,$AL2646))</f>
        <v/>
      </c>
    </row>
    <row r="2647" spans="38:53" ht="15" customHeight="1" x14ac:dyDescent="0.25">
      <c r="AL2647" s="17"/>
      <c r="AM2647" s="12"/>
      <c r="AN2647" s="18"/>
      <c r="AO2647" s="18"/>
      <c r="AP2647" s="10"/>
      <c r="AQ2647" s="10"/>
      <c r="AR2647" s="19"/>
      <c r="AS2647" s="20"/>
      <c r="AT2647" s="19"/>
      <c r="AV2647" s="21">
        <f>IF(AND($AL2647&lt;&gt;"",COUNTIF($AL$11:$AL2647,$AL2647)=1),1,0)</f>
        <v>0</v>
      </c>
      <c r="AW2647" s="21">
        <f t="shared" si="169"/>
        <v>0</v>
      </c>
      <c r="AX2647" s="21" t="str">
        <f t="shared" si="168"/>
        <v/>
      </c>
      <c r="AY2647" s="21" t="str">
        <f>IF(AND($AM2647&lt;&gt;"",$AS2647&lt;&gt;"✓"),SUMPRODUCT(($AM$11:$AM2647&lt;&gt;"")*($AS$11:$AS2647&lt;&gt;"✓")),"")</f>
        <v/>
      </c>
      <c r="AZ2647" s="21" t="str">
        <f>IF(AND($AM2647&lt;&gt;"",$AS2647="✓"),SUMPRODUCT(($AM$11:$AM2647&lt;&gt;"")*($AS$11:$AS2647="✓")),"")</f>
        <v/>
      </c>
      <c r="BA2647" s="21" t="str">
        <f>IF($AL2647="","",$AL2647&amp;"|"&amp;COUNTIF($AL$11:$AL2647,$AL2647))</f>
        <v/>
      </c>
    </row>
    <row r="2648" spans="38:53" ht="15" customHeight="1" x14ac:dyDescent="0.25">
      <c r="AL2648" s="31"/>
      <c r="AM2648" s="26"/>
      <c r="AN2648" s="32"/>
      <c r="AO2648" s="32"/>
      <c r="AP2648" s="24"/>
      <c r="AQ2648" s="24"/>
      <c r="AR2648" s="33"/>
      <c r="AS2648" s="34"/>
      <c r="AT2648" s="33"/>
      <c r="AV2648" s="21">
        <f>IF(AND($AL2648&lt;&gt;"",COUNTIF($AL$11:$AL2648,$AL2648)=1),1,0)</f>
        <v>0</v>
      </c>
      <c r="AW2648" s="21">
        <f t="shared" si="169"/>
        <v>0</v>
      </c>
      <c r="AX2648" s="21" t="str">
        <f t="shared" si="168"/>
        <v/>
      </c>
      <c r="AY2648" s="21" t="str">
        <f>IF(AND($AM2648&lt;&gt;"",$AS2648&lt;&gt;"✓"),SUMPRODUCT(($AM$11:$AM2648&lt;&gt;"")*($AS$11:$AS2648&lt;&gt;"✓")),"")</f>
        <v/>
      </c>
      <c r="AZ2648" s="21" t="str">
        <f>IF(AND($AM2648&lt;&gt;"",$AS2648="✓"),SUMPRODUCT(($AM$11:$AM2648&lt;&gt;"")*($AS$11:$AS2648="✓")),"")</f>
        <v/>
      </c>
      <c r="BA2648" s="21" t="str">
        <f>IF($AL2648="","",$AL2648&amp;"|"&amp;COUNTIF($AL$11:$AL2648,$AL2648))</f>
        <v/>
      </c>
    </row>
    <row r="2649" spans="38:53" ht="15" customHeight="1" x14ac:dyDescent="0.25">
      <c r="AL2649" s="17"/>
      <c r="AM2649" s="12"/>
      <c r="AN2649" s="18"/>
      <c r="AO2649" s="18"/>
      <c r="AP2649" s="10"/>
      <c r="AQ2649" s="10"/>
      <c r="AR2649" s="19"/>
      <c r="AS2649" s="20"/>
      <c r="AT2649" s="19"/>
      <c r="AV2649" s="21">
        <f>IF(AND($AL2649&lt;&gt;"",COUNTIF($AL$11:$AL2649,$AL2649)=1),1,0)</f>
        <v>0</v>
      </c>
      <c r="AW2649" s="21">
        <f t="shared" si="169"/>
        <v>0</v>
      </c>
      <c r="AX2649" s="21" t="str">
        <f t="shared" si="168"/>
        <v/>
      </c>
      <c r="AY2649" s="21" t="str">
        <f>IF(AND($AM2649&lt;&gt;"",$AS2649&lt;&gt;"✓"),SUMPRODUCT(($AM$11:$AM2649&lt;&gt;"")*($AS$11:$AS2649&lt;&gt;"✓")),"")</f>
        <v/>
      </c>
      <c r="AZ2649" s="21" t="str">
        <f>IF(AND($AM2649&lt;&gt;"",$AS2649="✓"),SUMPRODUCT(($AM$11:$AM2649&lt;&gt;"")*($AS$11:$AS2649="✓")),"")</f>
        <v/>
      </c>
      <c r="BA2649" s="21" t="str">
        <f>IF($AL2649="","",$AL2649&amp;"|"&amp;COUNTIF($AL$11:$AL2649,$AL2649))</f>
        <v/>
      </c>
    </row>
    <row r="2650" spans="38:53" ht="15" customHeight="1" x14ac:dyDescent="0.25">
      <c r="AL2650" s="31"/>
      <c r="AM2650" s="26"/>
      <c r="AN2650" s="32"/>
      <c r="AO2650" s="32"/>
      <c r="AP2650" s="24"/>
      <c r="AQ2650" s="24"/>
      <c r="AR2650" s="33"/>
      <c r="AS2650" s="34"/>
      <c r="AT2650" s="33"/>
      <c r="AV2650" s="21">
        <f>IF(AND($AL2650&lt;&gt;"",COUNTIF($AL$11:$AL2650,$AL2650)=1),1,0)</f>
        <v>0</v>
      </c>
      <c r="AW2650" s="21">
        <f t="shared" si="169"/>
        <v>0</v>
      </c>
      <c r="AX2650" s="21" t="str">
        <f t="shared" si="168"/>
        <v/>
      </c>
      <c r="AY2650" s="21" t="str">
        <f>IF(AND($AM2650&lt;&gt;"",$AS2650&lt;&gt;"✓"),SUMPRODUCT(($AM$11:$AM2650&lt;&gt;"")*($AS$11:$AS2650&lt;&gt;"✓")),"")</f>
        <v/>
      </c>
      <c r="AZ2650" s="21" t="str">
        <f>IF(AND($AM2650&lt;&gt;"",$AS2650="✓"),SUMPRODUCT(($AM$11:$AM2650&lt;&gt;"")*($AS$11:$AS2650="✓")),"")</f>
        <v/>
      </c>
      <c r="BA2650" s="21" t="str">
        <f>IF($AL2650="","",$AL2650&amp;"|"&amp;COUNTIF($AL$11:$AL2650,$AL2650))</f>
        <v/>
      </c>
    </row>
    <row r="2651" spans="38:53" ht="15" customHeight="1" x14ac:dyDescent="0.25">
      <c r="AL2651" s="17"/>
      <c r="AM2651" s="12"/>
      <c r="AN2651" s="18"/>
      <c r="AO2651" s="18"/>
      <c r="AP2651" s="10"/>
      <c r="AQ2651" s="10"/>
      <c r="AR2651" s="19"/>
      <c r="AS2651" s="20"/>
      <c r="AT2651" s="19"/>
      <c r="AV2651" s="21">
        <f>IF(AND($AL2651&lt;&gt;"",COUNTIF($AL$11:$AL2651,$AL2651)=1),1,0)</f>
        <v>0</v>
      </c>
      <c r="AW2651" s="21">
        <f t="shared" si="169"/>
        <v>0</v>
      </c>
      <c r="AX2651" s="21" t="str">
        <f t="shared" si="168"/>
        <v/>
      </c>
      <c r="AY2651" s="21" t="str">
        <f>IF(AND($AM2651&lt;&gt;"",$AS2651&lt;&gt;"✓"),SUMPRODUCT(($AM$11:$AM2651&lt;&gt;"")*($AS$11:$AS2651&lt;&gt;"✓")),"")</f>
        <v/>
      </c>
      <c r="AZ2651" s="21" t="str">
        <f>IF(AND($AM2651&lt;&gt;"",$AS2651="✓"),SUMPRODUCT(($AM$11:$AM2651&lt;&gt;"")*($AS$11:$AS2651="✓")),"")</f>
        <v/>
      </c>
      <c r="BA2651" s="21" t="str">
        <f>IF($AL2651="","",$AL2651&amp;"|"&amp;COUNTIF($AL$11:$AL2651,$AL2651))</f>
        <v/>
      </c>
    </row>
    <row r="2652" spans="38:53" ht="15" customHeight="1" x14ac:dyDescent="0.25">
      <c r="AL2652" s="31"/>
      <c r="AM2652" s="26"/>
      <c r="AN2652" s="32"/>
      <c r="AO2652" s="32"/>
      <c r="AP2652" s="24"/>
      <c r="AQ2652" s="24"/>
      <c r="AR2652" s="33"/>
      <c r="AS2652" s="34"/>
      <c r="AT2652" s="33"/>
      <c r="AV2652" s="21">
        <f>IF(AND($AL2652&lt;&gt;"",COUNTIF($AL$11:$AL2652,$AL2652)=1),1,0)</f>
        <v>0</v>
      </c>
      <c r="AW2652" s="21">
        <f t="shared" si="169"/>
        <v>0</v>
      </c>
      <c r="AX2652" s="21" t="str">
        <f t="shared" si="168"/>
        <v/>
      </c>
      <c r="AY2652" s="21" t="str">
        <f>IF(AND($AM2652&lt;&gt;"",$AS2652&lt;&gt;"✓"),SUMPRODUCT(($AM$11:$AM2652&lt;&gt;"")*($AS$11:$AS2652&lt;&gt;"✓")),"")</f>
        <v/>
      </c>
      <c r="AZ2652" s="21" t="str">
        <f>IF(AND($AM2652&lt;&gt;"",$AS2652="✓"),SUMPRODUCT(($AM$11:$AM2652&lt;&gt;"")*($AS$11:$AS2652="✓")),"")</f>
        <v/>
      </c>
      <c r="BA2652" s="21" t="str">
        <f>IF($AL2652="","",$AL2652&amp;"|"&amp;COUNTIF($AL$11:$AL2652,$AL2652))</f>
        <v/>
      </c>
    </row>
    <row r="2653" spans="38:53" ht="15" customHeight="1" x14ac:dyDescent="0.25">
      <c r="AL2653" s="17"/>
      <c r="AM2653" s="12"/>
      <c r="AN2653" s="18"/>
      <c r="AO2653" s="18"/>
      <c r="AP2653" s="10"/>
      <c r="AQ2653" s="10"/>
      <c r="AR2653" s="19"/>
      <c r="AS2653" s="20"/>
      <c r="AT2653" s="19"/>
      <c r="AV2653" s="21">
        <f>IF(AND($AL2653&lt;&gt;"",COUNTIF($AL$11:$AL2653,$AL2653)=1),1,0)</f>
        <v>0</v>
      </c>
      <c r="AW2653" s="21">
        <f t="shared" si="169"/>
        <v>0</v>
      </c>
      <c r="AX2653" s="21" t="str">
        <f t="shared" si="168"/>
        <v/>
      </c>
      <c r="AY2653" s="21" t="str">
        <f>IF(AND($AM2653&lt;&gt;"",$AS2653&lt;&gt;"✓"),SUMPRODUCT(($AM$11:$AM2653&lt;&gt;"")*($AS$11:$AS2653&lt;&gt;"✓")),"")</f>
        <v/>
      </c>
      <c r="AZ2653" s="21" t="str">
        <f>IF(AND($AM2653&lt;&gt;"",$AS2653="✓"),SUMPRODUCT(($AM$11:$AM2653&lt;&gt;"")*($AS$11:$AS2653="✓")),"")</f>
        <v/>
      </c>
      <c r="BA2653" s="21" t="str">
        <f>IF($AL2653="","",$AL2653&amp;"|"&amp;COUNTIF($AL$11:$AL2653,$AL2653))</f>
        <v/>
      </c>
    </row>
    <row r="2654" spans="38:53" ht="15" customHeight="1" x14ac:dyDescent="0.25">
      <c r="AL2654" s="31"/>
      <c r="AM2654" s="26"/>
      <c r="AN2654" s="32"/>
      <c r="AO2654" s="32"/>
      <c r="AP2654" s="24"/>
      <c r="AQ2654" s="24"/>
      <c r="AR2654" s="33"/>
      <c r="AS2654" s="34"/>
      <c r="AT2654" s="33"/>
      <c r="AV2654" s="21">
        <f>IF(AND($AL2654&lt;&gt;"",COUNTIF($AL$11:$AL2654,$AL2654)=1),1,0)</f>
        <v>0</v>
      </c>
      <c r="AW2654" s="21">
        <f t="shared" si="169"/>
        <v>0</v>
      </c>
      <c r="AX2654" s="21" t="str">
        <f t="shared" si="168"/>
        <v/>
      </c>
      <c r="AY2654" s="21" t="str">
        <f>IF(AND($AM2654&lt;&gt;"",$AS2654&lt;&gt;"✓"),SUMPRODUCT(($AM$11:$AM2654&lt;&gt;"")*($AS$11:$AS2654&lt;&gt;"✓")),"")</f>
        <v/>
      </c>
      <c r="AZ2654" s="21" t="str">
        <f>IF(AND($AM2654&lt;&gt;"",$AS2654="✓"),SUMPRODUCT(($AM$11:$AM2654&lt;&gt;"")*($AS$11:$AS2654="✓")),"")</f>
        <v/>
      </c>
      <c r="BA2654" s="21" t="str">
        <f>IF($AL2654="","",$AL2654&amp;"|"&amp;COUNTIF($AL$11:$AL2654,$AL2654))</f>
        <v/>
      </c>
    </row>
    <row r="2655" spans="38:53" ht="15" customHeight="1" x14ac:dyDescent="0.25">
      <c r="AL2655" s="17"/>
      <c r="AM2655" s="12"/>
      <c r="AN2655" s="18"/>
      <c r="AO2655" s="18"/>
      <c r="AP2655" s="10"/>
      <c r="AQ2655" s="10"/>
      <c r="AR2655" s="19"/>
      <c r="AS2655" s="20"/>
      <c r="AT2655" s="19"/>
      <c r="AV2655" s="21">
        <f>IF(AND($AL2655&lt;&gt;"",COUNTIF($AL$11:$AL2655,$AL2655)=1),1,0)</f>
        <v>0</v>
      </c>
      <c r="AW2655" s="21">
        <f t="shared" si="169"/>
        <v>0</v>
      </c>
      <c r="AX2655" s="21" t="str">
        <f t="shared" si="168"/>
        <v/>
      </c>
      <c r="AY2655" s="21" t="str">
        <f>IF(AND($AM2655&lt;&gt;"",$AS2655&lt;&gt;"✓"),SUMPRODUCT(($AM$11:$AM2655&lt;&gt;"")*($AS$11:$AS2655&lt;&gt;"✓")),"")</f>
        <v/>
      </c>
      <c r="AZ2655" s="21" t="str">
        <f>IF(AND($AM2655&lt;&gt;"",$AS2655="✓"),SUMPRODUCT(($AM$11:$AM2655&lt;&gt;"")*($AS$11:$AS2655="✓")),"")</f>
        <v/>
      </c>
      <c r="BA2655" s="21" t="str">
        <f>IF($AL2655="","",$AL2655&amp;"|"&amp;COUNTIF($AL$11:$AL2655,$AL2655))</f>
        <v/>
      </c>
    </row>
    <row r="2656" spans="38:53" ht="15" customHeight="1" x14ac:dyDescent="0.25">
      <c r="AL2656" s="31"/>
      <c r="AM2656" s="26"/>
      <c r="AN2656" s="32"/>
      <c r="AO2656" s="32"/>
      <c r="AP2656" s="24"/>
      <c r="AQ2656" s="24"/>
      <c r="AR2656" s="33"/>
      <c r="AS2656" s="34"/>
      <c r="AT2656" s="33"/>
      <c r="AV2656" s="21">
        <f>IF(AND($AL2656&lt;&gt;"",COUNTIF($AL$11:$AL2656,$AL2656)=1),1,0)</f>
        <v>0</v>
      </c>
      <c r="AW2656" s="21">
        <f t="shared" si="169"/>
        <v>0</v>
      </c>
      <c r="AX2656" s="21" t="str">
        <f t="shared" si="168"/>
        <v/>
      </c>
      <c r="AY2656" s="21" t="str">
        <f>IF(AND($AM2656&lt;&gt;"",$AS2656&lt;&gt;"✓"),SUMPRODUCT(($AM$11:$AM2656&lt;&gt;"")*($AS$11:$AS2656&lt;&gt;"✓")),"")</f>
        <v/>
      </c>
      <c r="AZ2656" s="21" t="str">
        <f>IF(AND($AM2656&lt;&gt;"",$AS2656="✓"),SUMPRODUCT(($AM$11:$AM2656&lt;&gt;"")*($AS$11:$AS2656="✓")),"")</f>
        <v/>
      </c>
      <c r="BA2656" s="21" t="str">
        <f>IF($AL2656="","",$AL2656&amp;"|"&amp;COUNTIF($AL$11:$AL2656,$AL2656))</f>
        <v/>
      </c>
    </row>
    <row r="2657" spans="38:53" ht="15" customHeight="1" x14ac:dyDescent="0.25">
      <c r="AL2657" s="17"/>
      <c r="AM2657" s="12"/>
      <c r="AN2657" s="18"/>
      <c r="AO2657" s="18"/>
      <c r="AP2657" s="10"/>
      <c r="AQ2657" s="10"/>
      <c r="AR2657" s="19"/>
      <c r="AS2657" s="20"/>
      <c r="AT2657" s="19"/>
      <c r="AV2657" s="21">
        <f>IF(AND($AL2657&lt;&gt;"",COUNTIF($AL$11:$AL2657,$AL2657)=1),1,0)</f>
        <v>0</v>
      </c>
      <c r="AW2657" s="21">
        <f t="shared" si="169"/>
        <v>0</v>
      </c>
      <c r="AX2657" s="21" t="str">
        <f t="shared" si="168"/>
        <v/>
      </c>
      <c r="AY2657" s="21" t="str">
        <f>IF(AND($AM2657&lt;&gt;"",$AS2657&lt;&gt;"✓"),SUMPRODUCT(($AM$11:$AM2657&lt;&gt;"")*($AS$11:$AS2657&lt;&gt;"✓")),"")</f>
        <v/>
      </c>
      <c r="AZ2657" s="21" t="str">
        <f>IF(AND($AM2657&lt;&gt;"",$AS2657="✓"),SUMPRODUCT(($AM$11:$AM2657&lt;&gt;"")*($AS$11:$AS2657="✓")),"")</f>
        <v/>
      </c>
      <c r="BA2657" s="21" t="str">
        <f>IF($AL2657="","",$AL2657&amp;"|"&amp;COUNTIF($AL$11:$AL2657,$AL2657))</f>
        <v/>
      </c>
    </row>
    <row r="2658" spans="38:53" ht="15" customHeight="1" x14ac:dyDescent="0.25">
      <c r="AL2658" s="31"/>
      <c r="AM2658" s="26"/>
      <c r="AN2658" s="32"/>
      <c r="AO2658" s="32"/>
      <c r="AP2658" s="24"/>
      <c r="AQ2658" s="24"/>
      <c r="AR2658" s="33"/>
      <c r="AS2658" s="34"/>
      <c r="AT2658" s="33"/>
      <c r="AV2658" s="21">
        <f>IF(AND($AL2658&lt;&gt;"",COUNTIF($AL$11:$AL2658,$AL2658)=1),1,0)</f>
        <v>0</v>
      </c>
      <c r="AW2658" s="21">
        <f t="shared" si="169"/>
        <v>0</v>
      </c>
      <c r="AX2658" s="21" t="str">
        <f t="shared" si="168"/>
        <v/>
      </c>
      <c r="AY2658" s="21" t="str">
        <f>IF(AND($AM2658&lt;&gt;"",$AS2658&lt;&gt;"✓"),SUMPRODUCT(($AM$11:$AM2658&lt;&gt;"")*($AS$11:$AS2658&lt;&gt;"✓")),"")</f>
        <v/>
      </c>
      <c r="AZ2658" s="21" t="str">
        <f>IF(AND($AM2658&lt;&gt;"",$AS2658="✓"),SUMPRODUCT(($AM$11:$AM2658&lt;&gt;"")*($AS$11:$AS2658="✓")),"")</f>
        <v/>
      </c>
      <c r="BA2658" s="21" t="str">
        <f>IF($AL2658="","",$AL2658&amp;"|"&amp;COUNTIF($AL$11:$AL2658,$AL2658))</f>
        <v/>
      </c>
    </row>
    <row r="2659" spans="38:53" ht="15" customHeight="1" x14ac:dyDescent="0.25">
      <c r="AL2659" s="17"/>
      <c r="AM2659" s="12"/>
      <c r="AN2659" s="18"/>
      <c r="AO2659" s="18"/>
      <c r="AP2659" s="10"/>
      <c r="AQ2659" s="10"/>
      <c r="AR2659" s="19"/>
      <c r="AS2659" s="20"/>
      <c r="AT2659" s="19"/>
      <c r="AV2659" s="21">
        <f>IF(AND($AL2659&lt;&gt;"",COUNTIF($AL$11:$AL2659,$AL2659)=1),1,0)</f>
        <v>0</v>
      </c>
      <c r="AW2659" s="21">
        <f t="shared" si="169"/>
        <v>0</v>
      </c>
      <c r="AX2659" s="21" t="str">
        <f t="shared" si="168"/>
        <v/>
      </c>
      <c r="AY2659" s="21" t="str">
        <f>IF(AND($AM2659&lt;&gt;"",$AS2659&lt;&gt;"✓"),SUMPRODUCT(($AM$11:$AM2659&lt;&gt;"")*($AS$11:$AS2659&lt;&gt;"✓")),"")</f>
        <v/>
      </c>
      <c r="AZ2659" s="21" t="str">
        <f>IF(AND($AM2659&lt;&gt;"",$AS2659="✓"),SUMPRODUCT(($AM$11:$AM2659&lt;&gt;"")*($AS$11:$AS2659="✓")),"")</f>
        <v/>
      </c>
      <c r="BA2659" s="21" t="str">
        <f>IF($AL2659="","",$AL2659&amp;"|"&amp;COUNTIF($AL$11:$AL2659,$AL2659))</f>
        <v/>
      </c>
    </row>
    <row r="2660" spans="38:53" ht="15" customHeight="1" x14ac:dyDescent="0.25">
      <c r="AL2660" s="31"/>
      <c r="AM2660" s="26"/>
      <c r="AN2660" s="32"/>
      <c r="AO2660" s="32"/>
      <c r="AP2660" s="24"/>
      <c r="AQ2660" s="24"/>
      <c r="AR2660" s="33"/>
      <c r="AS2660" s="34"/>
      <c r="AT2660" s="33"/>
      <c r="AV2660" s="21">
        <f>IF(AND($AL2660&lt;&gt;"",COUNTIF($AL$11:$AL2660,$AL2660)=1),1,0)</f>
        <v>0</v>
      </c>
      <c r="AW2660" s="21">
        <f t="shared" si="169"/>
        <v>0</v>
      </c>
      <c r="AX2660" s="21" t="str">
        <f t="shared" si="168"/>
        <v/>
      </c>
      <c r="AY2660" s="21" t="str">
        <f>IF(AND($AM2660&lt;&gt;"",$AS2660&lt;&gt;"✓"),SUMPRODUCT(($AM$11:$AM2660&lt;&gt;"")*($AS$11:$AS2660&lt;&gt;"✓")),"")</f>
        <v/>
      </c>
      <c r="AZ2660" s="21" t="str">
        <f>IF(AND($AM2660&lt;&gt;"",$AS2660="✓"),SUMPRODUCT(($AM$11:$AM2660&lt;&gt;"")*($AS$11:$AS2660="✓")),"")</f>
        <v/>
      </c>
      <c r="BA2660" s="21" t="str">
        <f>IF($AL2660="","",$AL2660&amp;"|"&amp;COUNTIF($AL$11:$AL2660,$AL2660))</f>
        <v/>
      </c>
    </row>
    <row r="2661" spans="38:53" ht="15" customHeight="1" x14ac:dyDescent="0.25">
      <c r="AL2661" s="17"/>
      <c r="AM2661" s="12"/>
      <c r="AN2661" s="18"/>
      <c r="AO2661" s="18"/>
      <c r="AP2661" s="10"/>
      <c r="AQ2661" s="10"/>
      <c r="AR2661" s="19"/>
      <c r="AS2661" s="20"/>
      <c r="AT2661" s="19"/>
      <c r="AV2661" s="21">
        <f>IF(AND($AL2661&lt;&gt;"",COUNTIF($AL$11:$AL2661,$AL2661)=1),1,0)</f>
        <v>0</v>
      </c>
      <c r="AW2661" s="21">
        <f t="shared" si="169"/>
        <v>0</v>
      </c>
      <c r="AX2661" s="21" t="str">
        <f t="shared" si="168"/>
        <v/>
      </c>
      <c r="AY2661" s="21" t="str">
        <f>IF(AND($AM2661&lt;&gt;"",$AS2661&lt;&gt;"✓"),SUMPRODUCT(($AM$11:$AM2661&lt;&gt;"")*($AS$11:$AS2661&lt;&gt;"✓")),"")</f>
        <v/>
      </c>
      <c r="AZ2661" s="21" t="str">
        <f>IF(AND($AM2661&lt;&gt;"",$AS2661="✓"),SUMPRODUCT(($AM$11:$AM2661&lt;&gt;"")*($AS$11:$AS2661="✓")),"")</f>
        <v/>
      </c>
      <c r="BA2661" s="21" t="str">
        <f>IF($AL2661="","",$AL2661&amp;"|"&amp;COUNTIF($AL$11:$AL2661,$AL2661))</f>
        <v/>
      </c>
    </row>
    <row r="2662" spans="38:53" ht="15" customHeight="1" x14ac:dyDescent="0.25">
      <c r="AL2662" s="31"/>
      <c r="AM2662" s="26"/>
      <c r="AN2662" s="32"/>
      <c r="AO2662" s="32"/>
      <c r="AP2662" s="24"/>
      <c r="AQ2662" s="24"/>
      <c r="AR2662" s="33"/>
      <c r="AS2662" s="34"/>
      <c r="AT2662" s="33"/>
      <c r="AV2662" s="21">
        <f>IF(AND($AL2662&lt;&gt;"",COUNTIF($AL$11:$AL2662,$AL2662)=1),1,0)</f>
        <v>0</v>
      </c>
      <c r="AW2662" s="21">
        <f t="shared" si="169"/>
        <v>0</v>
      </c>
      <c r="AX2662" s="21" t="str">
        <f t="shared" si="168"/>
        <v/>
      </c>
      <c r="AY2662" s="21" t="str">
        <f>IF(AND($AM2662&lt;&gt;"",$AS2662&lt;&gt;"✓"),SUMPRODUCT(($AM$11:$AM2662&lt;&gt;"")*($AS$11:$AS2662&lt;&gt;"✓")),"")</f>
        <v/>
      </c>
      <c r="AZ2662" s="21" t="str">
        <f>IF(AND($AM2662&lt;&gt;"",$AS2662="✓"),SUMPRODUCT(($AM$11:$AM2662&lt;&gt;"")*($AS$11:$AS2662="✓")),"")</f>
        <v/>
      </c>
      <c r="BA2662" s="21" t="str">
        <f>IF($AL2662="","",$AL2662&amp;"|"&amp;COUNTIF($AL$11:$AL2662,$AL2662))</f>
        <v/>
      </c>
    </row>
    <row r="2663" spans="38:53" ht="15" customHeight="1" x14ac:dyDescent="0.25">
      <c r="AL2663" s="17"/>
      <c r="AM2663" s="12"/>
      <c r="AN2663" s="18"/>
      <c r="AO2663" s="18"/>
      <c r="AP2663" s="10"/>
      <c r="AQ2663" s="10"/>
      <c r="AR2663" s="19"/>
      <c r="AS2663" s="20"/>
      <c r="AT2663" s="19"/>
      <c r="AV2663" s="21">
        <f>IF(AND($AL2663&lt;&gt;"",COUNTIF($AL$11:$AL2663,$AL2663)=1),1,0)</f>
        <v>0</v>
      </c>
      <c r="AW2663" s="21">
        <f t="shared" si="169"/>
        <v>0</v>
      </c>
      <c r="AX2663" s="21" t="str">
        <f t="shared" si="168"/>
        <v/>
      </c>
      <c r="AY2663" s="21" t="str">
        <f>IF(AND($AM2663&lt;&gt;"",$AS2663&lt;&gt;"✓"),SUMPRODUCT(($AM$11:$AM2663&lt;&gt;"")*($AS$11:$AS2663&lt;&gt;"✓")),"")</f>
        <v/>
      </c>
      <c r="AZ2663" s="21" t="str">
        <f>IF(AND($AM2663&lt;&gt;"",$AS2663="✓"),SUMPRODUCT(($AM$11:$AM2663&lt;&gt;"")*($AS$11:$AS2663="✓")),"")</f>
        <v/>
      </c>
      <c r="BA2663" s="21" t="str">
        <f>IF($AL2663="","",$AL2663&amp;"|"&amp;COUNTIF($AL$11:$AL2663,$AL2663))</f>
        <v/>
      </c>
    </row>
    <row r="2664" spans="38:53" ht="15" customHeight="1" x14ac:dyDescent="0.25">
      <c r="AL2664" s="31"/>
      <c r="AM2664" s="26"/>
      <c r="AN2664" s="32"/>
      <c r="AO2664" s="32"/>
      <c r="AP2664" s="24"/>
      <c r="AQ2664" s="24"/>
      <c r="AR2664" s="33"/>
      <c r="AS2664" s="34"/>
      <c r="AT2664" s="33"/>
      <c r="AV2664" s="21">
        <f>IF(AND($AL2664&lt;&gt;"",COUNTIF($AL$11:$AL2664,$AL2664)=1),1,0)</f>
        <v>0</v>
      </c>
      <c r="AW2664" s="21">
        <f t="shared" si="169"/>
        <v>0</v>
      </c>
      <c r="AX2664" s="21" t="str">
        <f t="shared" si="168"/>
        <v/>
      </c>
      <c r="AY2664" s="21" t="str">
        <f>IF(AND($AM2664&lt;&gt;"",$AS2664&lt;&gt;"✓"),SUMPRODUCT(($AM$11:$AM2664&lt;&gt;"")*($AS$11:$AS2664&lt;&gt;"✓")),"")</f>
        <v/>
      </c>
      <c r="AZ2664" s="21" t="str">
        <f>IF(AND($AM2664&lt;&gt;"",$AS2664="✓"),SUMPRODUCT(($AM$11:$AM2664&lt;&gt;"")*($AS$11:$AS2664="✓")),"")</f>
        <v/>
      </c>
      <c r="BA2664" s="21" t="str">
        <f>IF($AL2664="","",$AL2664&amp;"|"&amp;COUNTIF($AL$11:$AL2664,$AL2664))</f>
        <v/>
      </c>
    </row>
    <row r="2665" spans="38:53" ht="15" customHeight="1" x14ac:dyDescent="0.25">
      <c r="AL2665" s="17"/>
      <c r="AM2665" s="12"/>
      <c r="AN2665" s="18"/>
      <c r="AO2665" s="18"/>
      <c r="AP2665" s="10"/>
      <c r="AQ2665" s="10"/>
      <c r="AR2665" s="19"/>
      <c r="AS2665" s="20"/>
      <c r="AT2665" s="19"/>
      <c r="AV2665" s="21">
        <f>IF(AND($AL2665&lt;&gt;"",COUNTIF($AL$11:$AL2665,$AL2665)=1),1,0)</f>
        <v>0</v>
      </c>
      <c r="AW2665" s="21">
        <f t="shared" si="169"/>
        <v>0</v>
      </c>
      <c r="AX2665" s="21" t="str">
        <f t="shared" si="168"/>
        <v/>
      </c>
      <c r="AY2665" s="21" t="str">
        <f>IF(AND($AM2665&lt;&gt;"",$AS2665&lt;&gt;"✓"),SUMPRODUCT(($AM$11:$AM2665&lt;&gt;"")*($AS$11:$AS2665&lt;&gt;"✓")),"")</f>
        <v/>
      </c>
      <c r="AZ2665" s="21" t="str">
        <f>IF(AND($AM2665&lt;&gt;"",$AS2665="✓"),SUMPRODUCT(($AM$11:$AM2665&lt;&gt;"")*($AS$11:$AS2665="✓")),"")</f>
        <v/>
      </c>
      <c r="BA2665" s="21" t="str">
        <f>IF($AL2665="","",$AL2665&amp;"|"&amp;COUNTIF($AL$11:$AL2665,$AL2665))</f>
        <v/>
      </c>
    </row>
    <row r="2666" spans="38:53" ht="15" customHeight="1" x14ac:dyDescent="0.25">
      <c r="AL2666" s="31"/>
      <c r="AM2666" s="26"/>
      <c r="AN2666" s="32"/>
      <c r="AO2666" s="32"/>
      <c r="AP2666" s="24"/>
      <c r="AQ2666" s="24"/>
      <c r="AR2666" s="33"/>
      <c r="AS2666" s="34"/>
      <c r="AT2666" s="33"/>
      <c r="AV2666" s="21">
        <f>IF(AND($AL2666&lt;&gt;"",COUNTIF($AL$11:$AL2666,$AL2666)=1),1,0)</f>
        <v>0</v>
      </c>
      <c r="AW2666" s="21">
        <f t="shared" si="169"/>
        <v>0</v>
      </c>
      <c r="AX2666" s="21" t="str">
        <f t="shared" si="168"/>
        <v/>
      </c>
      <c r="AY2666" s="21" t="str">
        <f>IF(AND($AM2666&lt;&gt;"",$AS2666&lt;&gt;"✓"),SUMPRODUCT(($AM$11:$AM2666&lt;&gt;"")*($AS$11:$AS2666&lt;&gt;"✓")),"")</f>
        <v/>
      </c>
      <c r="AZ2666" s="21" t="str">
        <f>IF(AND($AM2666&lt;&gt;"",$AS2666="✓"),SUMPRODUCT(($AM$11:$AM2666&lt;&gt;"")*($AS$11:$AS2666="✓")),"")</f>
        <v/>
      </c>
      <c r="BA2666" s="21" t="str">
        <f>IF($AL2666="","",$AL2666&amp;"|"&amp;COUNTIF($AL$11:$AL2666,$AL2666))</f>
        <v/>
      </c>
    </row>
    <row r="2667" spans="38:53" ht="15" customHeight="1" x14ac:dyDescent="0.25">
      <c r="AL2667" s="17"/>
      <c r="AM2667" s="12"/>
      <c r="AN2667" s="18"/>
      <c r="AO2667" s="18"/>
      <c r="AP2667" s="10"/>
      <c r="AQ2667" s="10"/>
      <c r="AR2667" s="19"/>
      <c r="AS2667" s="20"/>
      <c r="AT2667" s="19"/>
      <c r="AV2667" s="21">
        <f>IF(AND($AL2667&lt;&gt;"",COUNTIF($AL$11:$AL2667,$AL2667)=1),1,0)</f>
        <v>0</v>
      </c>
      <c r="AW2667" s="21">
        <f t="shared" si="169"/>
        <v>0</v>
      </c>
      <c r="AX2667" s="21" t="str">
        <f t="shared" si="168"/>
        <v/>
      </c>
      <c r="AY2667" s="21" t="str">
        <f>IF(AND($AM2667&lt;&gt;"",$AS2667&lt;&gt;"✓"),SUMPRODUCT(($AM$11:$AM2667&lt;&gt;"")*($AS$11:$AS2667&lt;&gt;"✓")),"")</f>
        <v/>
      </c>
      <c r="AZ2667" s="21" t="str">
        <f>IF(AND($AM2667&lt;&gt;"",$AS2667="✓"),SUMPRODUCT(($AM$11:$AM2667&lt;&gt;"")*($AS$11:$AS2667="✓")),"")</f>
        <v/>
      </c>
      <c r="BA2667" s="21" t="str">
        <f>IF($AL2667="","",$AL2667&amp;"|"&amp;COUNTIF($AL$11:$AL2667,$AL2667))</f>
        <v/>
      </c>
    </row>
    <row r="2668" spans="38:53" ht="15" customHeight="1" x14ac:dyDescent="0.25">
      <c r="AL2668" s="31"/>
      <c r="AM2668" s="26"/>
      <c r="AN2668" s="32"/>
      <c r="AO2668" s="32"/>
      <c r="AP2668" s="24"/>
      <c r="AQ2668" s="24"/>
      <c r="AR2668" s="33"/>
      <c r="AS2668" s="34"/>
      <c r="AT2668" s="33"/>
      <c r="AV2668" s="21">
        <f>IF(AND($AL2668&lt;&gt;"",COUNTIF($AL$11:$AL2668,$AL2668)=1),1,0)</f>
        <v>0</v>
      </c>
      <c r="AW2668" s="21">
        <f t="shared" si="169"/>
        <v>0</v>
      </c>
      <c r="AX2668" s="21" t="str">
        <f t="shared" si="168"/>
        <v/>
      </c>
      <c r="AY2668" s="21" t="str">
        <f>IF(AND($AM2668&lt;&gt;"",$AS2668&lt;&gt;"✓"),SUMPRODUCT(($AM$11:$AM2668&lt;&gt;"")*($AS$11:$AS2668&lt;&gt;"✓")),"")</f>
        <v/>
      </c>
      <c r="AZ2668" s="21" t="str">
        <f>IF(AND($AM2668&lt;&gt;"",$AS2668="✓"),SUMPRODUCT(($AM$11:$AM2668&lt;&gt;"")*($AS$11:$AS2668="✓")),"")</f>
        <v/>
      </c>
      <c r="BA2668" s="21" t="str">
        <f>IF($AL2668="","",$AL2668&amp;"|"&amp;COUNTIF($AL$11:$AL2668,$AL2668))</f>
        <v/>
      </c>
    </row>
    <row r="2669" spans="38:53" ht="15" customHeight="1" x14ac:dyDescent="0.25">
      <c r="AL2669" s="17"/>
      <c r="AM2669" s="12"/>
      <c r="AN2669" s="18"/>
      <c r="AO2669" s="18"/>
      <c r="AP2669" s="10"/>
      <c r="AQ2669" s="10"/>
      <c r="AR2669" s="19"/>
      <c r="AS2669" s="20"/>
      <c r="AT2669" s="19"/>
      <c r="AV2669" s="21">
        <f>IF(AND($AL2669&lt;&gt;"",COUNTIF($AL$11:$AL2669,$AL2669)=1),1,0)</f>
        <v>0</v>
      </c>
      <c r="AW2669" s="21">
        <f t="shared" si="169"/>
        <v>0</v>
      </c>
      <c r="AX2669" s="21" t="str">
        <f t="shared" si="168"/>
        <v/>
      </c>
      <c r="AY2669" s="21" t="str">
        <f>IF(AND($AM2669&lt;&gt;"",$AS2669&lt;&gt;"✓"),SUMPRODUCT(($AM$11:$AM2669&lt;&gt;"")*($AS$11:$AS2669&lt;&gt;"✓")),"")</f>
        <v/>
      </c>
      <c r="AZ2669" s="21" t="str">
        <f>IF(AND($AM2669&lt;&gt;"",$AS2669="✓"),SUMPRODUCT(($AM$11:$AM2669&lt;&gt;"")*($AS$11:$AS2669="✓")),"")</f>
        <v/>
      </c>
      <c r="BA2669" s="21" t="str">
        <f>IF($AL2669="","",$AL2669&amp;"|"&amp;COUNTIF($AL$11:$AL2669,$AL2669))</f>
        <v/>
      </c>
    </row>
    <row r="2670" spans="38:53" ht="15" customHeight="1" x14ac:dyDescent="0.25">
      <c r="AL2670" s="31"/>
      <c r="AM2670" s="26"/>
      <c r="AN2670" s="32"/>
      <c r="AO2670" s="32"/>
      <c r="AP2670" s="24"/>
      <c r="AQ2670" s="24"/>
      <c r="AR2670" s="33"/>
      <c r="AS2670" s="34"/>
      <c r="AT2670" s="33"/>
      <c r="AV2670" s="21">
        <f>IF(AND($AL2670&lt;&gt;"",COUNTIF($AL$11:$AL2670,$AL2670)=1),1,0)</f>
        <v>0</v>
      </c>
      <c r="AW2670" s="21">
        <f t="shared" si="169"/>
        <v>0</v>
      </c>
      <c r="AX2670" s="21" t="str">
        <f t="shared" si="168"/>
        <v/>
      </c>
      <c r="AY2670" s="21" t="str">
        <f>IF(AND($AM2670&lt;&gt;"",$AS2670&lt;&gt;"✓"),SUMPRODUCT(($AM$11:$AM2670&lt;&gt;"")*($AS$11:$AS2670&lt;&gt;"✓")),"")</f>
        <v/>
      </c>
      <c r="AZ2670" s="21" t="str">
        <f>IF(AND($AM2670&lt;&gt;"",$AS2670="✓"),SUMPRODUCT(($AM$11:$AM2670&lt;&gt;"")*($AS$11:$AS2670="✓")),"")</f>
        <v/>
      </c>
      <c r="BA2670" s="21" t="str">
        <f>IF($AL2670="","",$AL2670&amp;"|"&amp;COUNTIF($AL$11:$AL2670,$AL2670))</f>
        <v/>
      </c>
    </row>
    <row r="2671" spans="38:53" ht="15" customHeight="1" x14ac:dyDescent="0.25">
      <c r="AL2671" s="17"/>
      <c r="AM2671" s="12"/>
      <c r="AN2671" s="18"/>
      <c r="AO2671" s="18"/>
      <c r="AP2671" s="10"/>
      <c r="AQ2671" s="10"/>
      <c r="AR2671" s="19"/>
      <c r="AS2671" s="20"/>
      <c r="AT2671" s="19"/>
      <c r="AV2671" s="21">
        <f>IF(AND($AL2671&lt;&gt;"",COUNTIF($AL$11:$AL2671,$AL2671)=1),1,0)</f>
        <v>0</v>
      </c>
      <c r="AW2671" s="21">
        <f t="shared" si="169"/>
        <v>0</v>
      </c>
      <c r="AX2671" s="21" t="str">
        <f t="shared" si="168"/>
        <v/>
      </c>
      <c r="AY2671" s="21" t="str">
        <f>IF(AND($AM2671&lt;&gt;"",$AS2671&lt;&gt;"✓"),SUMPRODUCT(($AM$11:$AM2671&lt;&gt;"")*($AS$11:$AS2671&lt;&gt;"✓")),"")</f>
        <v/>
      </c>
      <c r="AZ2671" s="21" t="str">
        <f>IF(AND($AM2671&lt;&gt;"",$AS2671="✓"),SUMPRODUCT(($AM$11:$AM2671&lt;&gt;"")*($AS$11:$AS2671="✓")),"")</f>
        <v/>
      </c>
      <c r="BA2671" s="21" t="str">
        <f>IF($AL2671="","",$AL2671&amp;"|"&amp;COUNTIF($AL$11:$AL2671,$AL2671))</f>
        <v/>
      </c>
    </row>
    <row r="2672" spans="38:53" ht="15" customHeight="1" x14ac:dyDescent="0.25">
      <c r="AL2672" s="31"/>
      <c r="AM2672" s="26"/>
      <c r="AN2672" s="32"/>
      <c r="AO2672" s="32"/>
      <c r="AP2672" s="24"/>
      <c r="AQ2672" s="24"/>
      <c r="AR2672" s="33"/>
      <c r="AS2672" s="34"/>
      <c r="AT2672" s="33"/>
      <c r="AV2672" s="21">
        <f>IF(AND($AL2672&lt;&gt;"",COUNTIF($AL$11:$AL2672,$AL2672)=1),1,0)</f>
        <v>0</v>
      </c>
      <c r="AW2672" s="21">
        <f t="shared" si="169"/>
        <v>0</v>
      </c>
      <c r="AX2672" s="21" t="str">
        <f t="shared" si="168"/>
        <v/>
      </c>
      <c r="AY2672" s="21" t="str">
        <f>IF(AND($AM2672&lt;&gt;"",$AS2672&lt;&gt;"✓"),SUMPRODUCT(($AM$11:$AM2672&lt;&gt;"")*($AS$11:$AS2672&lt;&gt;"✓")),"")</f>
        <v/>
      </c>
      <c r="AZ2672" s="21" t="str">
        <f>IF(AND($AM2672&lt;&gt;"",$AS2672="✓"),SUMPRODUCT(($AM$11:$AM2672&lt;&gt;"")*($AS$11:$AS2672="✓")),"")</f>
        <v/>
      </c>
      <c r="BA2672" s="21" t="str">
        <f>IF($AL2672="","",$AL2672&amp;"|"&amp;COUNTIF($AL$11:$AL2672,$AL2672))</f>
        <v/>
      </c>
    </row>
    <row r="2673" spans="38:53" ht="15" customHeight="1" x14ac:dyDescent="0.25">
      <c r="AL2673" s="17"/>
      <c r="AM2673" s="12"/>
      <c r="AN2673" s="18"/>
      <c r="AO2673" s="18"/>
      <c r="AP2673" s="10"/>
      <c r="AQ2673" s="10"/>
      <c r="AR2673" s="19"/>
      <c r="AS2673" s="20"/>
      <c r="AT2673" s="19"/>
      <c r="AV2673" s="21">
        <f>IF(AND($AL2673&lt;&gt;"",COUNTIF($AL$11:$AL2673,$AL2673)=1),1,0)</f>
        <v>0</v>
      </c>
      <c r="AW2673" s="21">
        <f t="shared" si="169"/>
        <v>0</v>
      </c>
      <c r="AX2673" s="21" t="str">
        <f t="shared" si="168"/>
        <v/>
      </c>
      <c r="AY2673" s="21" t="str">
        <f>IF(AND($AM2673&lt;&gt;"",$AS2673&lt;&gt;"✓"),SUMPRODUCT(($AM$11:$AM2673&lt;&gt;"")*($AS$11:$AS2673&lt;&gt;"✓")),"")</f>
        <v/>
      </c>
      <c r="AZ2673" s="21" t="str">
        <f>IF(AND($AM2673&lt;&gt;"",$AS2673="✓"),SUMPRODUCT(($AM$11:$AM2673&lt;&gt;"")*($AS$11:$AS2673="✓")),"")</f>
        <v/>
      </c>
      <c r="BA2673" s="21" t="str">
        <f>IF($AL2673="","",$AL2673&amp;"|"&amp;COUNTIF($AL$11:$AL2673,$AL2673))</f>
        <v/>
      </c>
    </row>
    <row r="2674" spans="38:53" ht="15" customHeight="1" x14ac:dyDescent="0.25">
      <c r="AL2674" s="31"/>
      <c r="AM2674" s="26"/>
      <c r="AN2674" s="32"/>
      <c r="AO2674" s="32"/>
      <c r="AP2674" s="24"/>
      <c r="AQ2674" s="24"/>
      <c r="AR2674" s="33"/>
      <c r="AS2674" s="34"/>
      <c r="AT2674" s="33"/>
      <c r="AV2674" s="21">
        <f>IF(AND($AL2674&lt;&gt;"",COUNTIF($AL$11:$AL2674,$AL2674)=1),1,0)</f>
        <v>0</v>
      </c>
      <c r="AW2674" s="21">
        <f t="shared" si="169"/>
        <v>0</v>
      </c>
      <c r="AX2674" s="21" t="str">
        <f t="shared" si="168"/>
        <v/>
      </c>
      <c r="AY2674" s="21" t="str">
        <f>IF(AND($AM2674&lt;&gt;"",$AS2674&lt;&gt;"✓"),SUMPRODUCT(($AM$11:$AM2674&lt;&gt;"")*($AS$11:$AS2674&lt;&gt;"✓")),"")</f>
        <v/>
      </c>
      <c r="AZ2674" s="21" t="str">
        <f>IF(AND($AM2674&lt;&gt;"",$AS2674="✓"),SUMPRODUCT(($AM$11:$AM2674&lt;&gt;"")*($AS$11:$AS2674="✓")),"")</f>
        <v/>
      </c>
      <c r="BA2674" s="21" t="str">
        <f>IF($AL2674="","",$AL2674&amp;"|"&amp;COUNTIF($AL$11:$AL2674,$AL2674))</f>
        <v/>
      </c>
    </row>
    <row r="2675" spans="38:53" ht="15" customHeight="1" x14ac:dyDescent="0.25">
      <c r="AL2675" s="17"/>
      <c r="AM2675" s="12"/>
      <c r="AN2675" s="18"/>
      <c r="AO2675" s="18"/>
      <c r="AP2675" s="10"/>
      <c r="AQ2675" s="10"/>
      <c r="AR2675" s="19"/>
      <c r="AS2675" s="20"/>
      <c r="AT2675" s="19"/>
      <c r="AV2675" s="21">
        <f>IF(AND($AL2675&lt;&gt;"",COUNTIF($AL$11:$AL2675,$AL2675)=1),1,0)</f>
        <v>0</v>
      </c>
      <c r="AW2675" s="21">
        <f t="shared" si="169"/>
        <v>0</v>
      </c>
      <c r="AX2675" s="21" t="str">
        <f t="shared" si="168"/>
        <v/>
      </c>
      <c r="AY2675" s="21" t="str">
        <f>IF(AND($AM2675&lt;&gt;"",$AS2675&lt;&gt;"✓"),SUMPRODUCT(($AM$11:$AM2675&lt;&gt;"")*($AS$11:$AS2675&lt;&gt;"✓")),"")</f>
        <v/>
      </c>
      <c r="AZ2675" s="21" t="str">
        <f>IF(AND($AM2675&lt;&gt;"",$AS2675="✓"),SUMPRODUCT(($AM$11:$AM2675&lt;&gt;"")*($AS$11:$AS2675="✓")),"")</f>
        <v/>
      </c>
      <c r="BA2675" s="21" t="str">
        <f>IF($AL2675="","",$AL2675&amp;"|"&amp;COUNTIF($AL$11:$AL2675,$AL2675))</f>
        <v/>
      </c>
    </row>
    <row r="2676" spans="38:53" ht="15" customHeight="1" x14ac:dyDescent="0.25">
      <c r="AL2676" s="31"/>
      <c r="AM2676" s="26"/>
      <c r="AN2676" s="32"/>
      <c r="AO2676" s="32"/>
      <c r="AP2676" s="24"/>
      <c r="AQ2676" s="24"/>
      <c r="AR2676" s="33"/>
      <c r="AS2676" s="34"/>
      <c r="AT2676" s="33"/>
      <c r="AV2676" s="21">
        <f>IF(AND($AL2676&lt;&gt;"",COUNTIF($AL$11:$AL2676,$AL2676)=1),1,0)</f>
        <v>0</v>
      </c>
      <c r="AW2676" s="21">
        <f t="shared" si="169"/>
        <v>0</v>
      </c>
      <c r="AX2676" s="21" t="str">
        <f t="shared" si="168"/>
        <v/>
      </c>
      <c r="AY2676" s="21" t="str">
        <f>IF(AND($AM2676&lt;&gt;"",$AS2676&lt;&gt;"✓"),SUMPRODUCT(($AM$11:$AM2676&lt;&gt;"")*($AS$11:$AS2676&lt;&gt;"✓")),"")</f>
        <v/>
      </c>
      <c r="AZ2676" s="21" t="str">
        <f>IF(AND($AM2676&lt;&gt;"",$AS2676="✓"),SUMPRODUCT(($AM$11:$AM2676&lt;&gt;"")*($AS$11:$AS2676="✓")),"")</f>
        <v/>
      </c>
      <c r="BA2676" s="21" t="str">
        <f>IF($AL2676="","",$AL2676&amp;"|"&amp;COUNTIF($AL$11:$AL2676,$AL2676))</f>
        <v/>
      </c>
    </row>
    <row r="2677" spans="38:53" ht="15" customHeight="1" x14ac:dyDescent="0.25">
      <c r="AL2677" s="17"/>
      <c r="AM2677" s="12"/>
      <c r="AN2677" s="18"/>
      <c r="AO2677" s="18"/>
      <c r="AP2677" s="10"/>
      <c r="AQ2677" s="10"/>
      <c r="AR2677" s="19"/>
      <c r="AS2677" s="20"/>
      <c r="AT2677" s="19"/>
      <c r="AV2677" s="21">
        <f>IF(AND($AL2677&lt;&gt;"",COUNTIF($AL$11:$AL2677,$AL2677)=1),1,0)</f>
        <v>0</v>
      </c>
      <c r="AW2677" s="21">
        <f t="shared" si="169"/>
        <v>0</v>
      </c>
      <c r="AX2677" s="21" t="str">
        <f t="shared" si="168"/>
        <v/>
      </c>
      <c r="AY2677" s="21" t="str">
        <f>IF(AND($AM2677&lt;&gt;"",$AS2677&lt;&gt;"✓"),SUMPRODUCT(($AM$11:$AM2677&lt;&gt;"")*($AS$11:$AS2677&lt;&gt;"✓")),"")</f>
        <v/>
      </c>
      <c r="AZ2677" s="21" t="str">
        <f>IF(AND($AM2677&lt;&gt;"",$AS2677="✓"),SUMPRODUCT(($AM$11:$AM2677&lt;&gt;"")*($AS$11:$AS2677="✓")),"")</f>
        <v/>
      </c>
      <c r="BA2677" s="21" t="str">
        <f>IF($AL2677="","",$AL2677&amp;"|"&amp;COUNTIF($AL$11:$AL2677,$AL2677))</f>
        <v/>
      </c>
    </row>
    <row r="2678" spans="38:53" ht="15" customHeight="1" x14ac:dyDescent="0.25">
      <c r="AL2678" s="31"/>
      <c r="AM2678" s="26"/>
      <c r="AN2678" s="32"/>
      <c r="AO2678" s="32"/>
      <c r="AP2678" s="24"/>
      <c r="AQ2678" s="24"/>
      <c r="AR2678" s="33"/>
      <c r="AS2678" s="34"/>
      <c r="AT2678" s="33"/>
      <c r="AV2678" s="21">
        <f>IF(AND($AL2678&lt;&gt;"",COUNTIF($AL$11:$AL2678,$AL2678)=1),1,0)</f>
        <v>0</v>
      </c>
      <c r="AW2678" s="21">
        <f t="shared" si="169"/>
        <v>0</v>
      </c>
      <c r="AX2678" s="21" t="str">
        <f t="shared" si="168"/>
        <v/>
      </c>
      <c r="AY2678" s="21" t="str">
        <f>IF(AND($AM2678&lt;&gt;"",$AS2678&lt;&gt;"✓"),SUMPRODUCT(($AM$11:$AM2678&lt;&gt;"")*($AS$11:$AS2678&lt;&gt;"✓")),"")</f>
        <v/>
      </c>
      <c r="AZ2678" s="21" t="str">
        <f>IF(AND($AM2678&lt;&gt;"",$AS2678="✓"),SUMPRODUCT(($AM$11:$AM2678&lt;&gt;"")*($AS$11:$AS2678="✓")),"")</f>
        <v/>
      </c>
      <c r="BA2678" s="21" t="str">
        <f>IF($AL2678="","",$AL2678&amp;"|"&amp;COUNTIF($AL$11:$AL2678,$AL2678))</f>
        <v/>
      </c>
    </row>
    <row r="2679" spans="38:53" ht="15" customHeight="1" x14ac:dyDescent="0.25">
      <c r="AL2679" s="17"/>
      <c r="AM2679" s="12"/>
      <c r="AN2679" s="18"/>
      <c r="AO2679" s="18"/>
      <c r="AP2679" s="10"/>
      <c r="AQ2679" s="10"/>
      <c r="AR2679" s="19"/>
      <c r="AS2679" s="20"/>
      <c r="AT2679" s="19"/>
      <c r="AV2679" s="21">
        <f>IF(AND($AL2679&lt;&gt;"",COUNTIF($AL$11:$AL2679,$AL2679)=1),1,0)</f>
        <v>0</v>
      </c>
      <c r="AW2679" s="21">
        <f t="shared" si="169"/>
        <v>0</v>
      </c>
      <c r="AX2679" s="21" t="str">
        <f t="shared" si="168"/>
        <v/>
      </c>
      <c r="AY2679" s="21" t="str">
        <f>IF(AND($AM2679&lt;&gt;"",$AS2679&lt;&gt;"✓"),SUMPRODUCT(($AM$11:$AM2679&lt;&gt;"")*($AS$11:$AS2679&lt;&gt;"✓")),"")</f>
        <v/>
      </c>
      <c r="AZ2679" s="21" t="str">
        <f>IF(AND($AM2679&lt;&gt;"",$AS2679="✓"),SUMPRODUCT(($AM$11:$AM2679&lt;&gt;"")*($AS$11:$AS2679="✓")),"")</f>
        <v/>
      </c>
      <c r="BA2679" s="21" t="str">
        <f>IF($AL2679="","",$AL2679&amp;"|"&amp;COUNTIF($AL$11:$AL2679,$AL2679))</f>
        <v/>
      </c>
    </row>
    <row r="2680" spans="38:53" ht="15" customHeight="1" x14ac:dyDescent="0.25">
      <c r="AL2680" s="31"/>
      <c r="AM2680" s="26"/>
      <c r="AN2680" s="32"/>
      <c r="AO2680" s="32"/>
      <c r="AP2680" s="24"/>
      <c r="AQ2680" s="24"/>
      <c r="AR2680" s="33"/>
      <c r="AS2680" s="34"/>
      <c r="AT2680" s="33"/>
      <c r="AV2680" s="21">
        <f>IF(AND($AL2680&lt;&gt;"",COUNTIF($AL$11:$AL2680,$AL2680)=1),1,0)</f>
        <v>0</v>
      </c>
      <c r="AW2680" s="21">
        <f t="shared" si="169"/>
        <v>0</v>
      </c>
      <c r="AX2680" s="21" t="str">
        <f t="shared" si="168"/>
        <v/>
      </c>
      <c r="AY2680" s="21" t="str">
        <f>IF(AND($AM2680&lt;&gt;"",$AS2680&lt;&gt;"✓"),SUMPRODUCT(($AM$11:$AM2680&lt;&gt;"")*($AS$11:$AS2680&lt;&gt;"✓")),"")</f>
        <v/>
      </c>
      <c r="AZ2680" s="21" t="str">
        <f>IF(AND($AM2680&lt;&gt;"",$AS2680="✓"),SUMPRODUCT(($AM$11:$AM2680&lt;&gt;"")*($AS$11:$AS2680="✓")),"")</f>
        <v/>
      </c>
      <c r="BA2680" s="21" t="str">
        <f>IF($AL2680="","",$AL2680&amp;"|"&amp;COUNTIF($AL$11:$AL2680,$AL2680))</f>
        <v/>
      </c>
    </row>
    <row r="2681" spans="38:53" ht="15" customHeight="1" x14ac:dyDescent="0.25">
      <c r="AL2681" s="17"/>
      <c r="AM2681" s="12"/>
      <c r="AN2681" s="18"/>
      <c r="AO2681" s="18"/>
      <c r="AP2681" s="10"/>
      <c r="AQ2681" s="10"/>
      <c r="AR2681" s="19"/>
      <c r="AS2681" s="20"/>
      <c r="AT2681" s="19"/>
      <c r="AV2681" s="21">
        <f>IF(AND($AL2681&lt;&gt;"",COUNTIF($AL$11:$AL2681,$AL2681)=1),1,0)</f>
        <v>0</v>
      </c>
      <c r="AW2681" s="21">
        <f t="shared" si="169"/>
        <v>0</v>
      </c>
      <c r="AX2681" s="21" t="str">
        <f t="shared" si="168"/>
        <v/>
      </c>
      <c r="AY2681" s="21" t="str">
        <f>IF(AND($AM2681&lt;&gt;"",$AS2681&lt;&gt;"✓"),SUMPRODUCT(($AM$11:$AM2681&lt;&gt;"")*($AS$11:$AS2681&lt;&gt;"✓")),"")</f>
        <v/>
      </c>
      <c r="AZ2681" s="21" t="str">
        <f>IF(AND($AM2681&lt;&gt;"",$AS2681="✓"),SUMPRODUCT(($AM$11:$AM2681&lt;&gt;"")*($AS$11:$AS2681="✓")),"")</f>
        <v/>
      </c>
      <c r="BA2681" s="21" t="str">
        <f>IF($AL2681="","",$AL2681&amp;"|"&amp;COUNTIF($AL$11:$AL2681,$AL2681))</f>
        <v/>
      </c>
    </row>
    <row r="2682" spans="38:53" ht="15" customHeight="1" x14ac:dyDescent="0.25">
      <c r="AL2682" s="31"/>
      <c r="AM2682" s="26"/>
      <c r="AN2682" s="32"/>
      <c r="AO2682" s="32"/>
      <c r="AP2682" s="24"/>
      <c r="AQ2682" s="24"/>
      <c r="AR2682" s="33"/>
      <c r="AS2682" s="34"/>
      <c r="AT2682" s="33"/>
      <c r="AV2682" s="21">
        <f>IF(AND($AL2682&lt;&gt;"",COUNTIF($AL$11:$AL2682,$AL2682)=1),1,0)</f>
        <v>0</v>
      </c>
      <c r="AW2682" s="21">
        <f t="shared" si="169"/>
        <v>0</v>
      </c>
      <c r="AX2682" s="21" t="str">
        <f t="shared" si="168"/>
        <v/>
      </c>
      <c r="AY2682" s="21" t="str">
        <f>IF(AND($AM2682&lt;&gt;"",$AS2682&lt;&gt;"✓"),SUMPRODUCT(($AM$11:$AM2682&lt;&gt;"")*($AS$11:$AS2682&lt;&gt;"✓")),"")</f>
        <v/>
      </c>
      <c r="AZ2682" s="21" t="str">
        <f>IF(AND($AM2682&lt;&gt;"",$AS2682="✓"),SUMPRODUCT(($AM$11:$AM2682&lt;&gt;"")*($AS$11:$AS2682="✓")),"")</f>
        <v/>
      </c>
      <c r="BA2682" s="21" t="str">
        <f>IF($AL2682="","",$AL2682&amp;"|"&amp;COUNTIF($AL$11:$AL2682,$AL2682))</f>
        <v/>
      </c>
    </row>
    <row r="2683" spans="38:53" ht="15" customHeight="1" x14ac:dyDescent="0.25">
      <c r="AL2683" s="17"/>
      <c r="AM2683" s="12"/>
      <c r="AN2683" s="18"/>
      <c r="AO2683" s="18"/>
      <c r="AP2683" s="10"/>
      <c r="AQ2683" s="10"/>
      <c r="AR2683" s="19"/>
      <c r="AS2683" s="20"/>
      <c r="AT2683" s="19"/>
      <c r="AV2683" s="21">
        <f>IF(AND($AL2683&lt;&gt;"",COUNTIF($AL$11:$AL2683,$AL2683)=1),1,0)</f>
        <v>0</v>
      </c>
      <c r="AW2683" s="21">
        <f t="shared" si="169"/>
        <v>0</v>
      </c>
      <c r="AX2683" s="21" t="str">
        <f t="shared" si="168"/>
        <v/>
      </c>
      <c r="AY2683" s="21" t="str">
        <f>IF(AND($AM2683&lt;&gt;"",$AS2683&lt;&gt;"✓"),SUMPRODUCT(($AM$11:$AM2683&lt;&gt;"")*($AS$11:$AS2683&lt;&gt;"✓")),"")</f>
        <v/>
      </c>
      <c r="AZ2683" s="21" t="str">
        <f>IF(AND($AM2683&lt;&gt;"",$AS2683="✓"),SUMPRODUCT(($AM$11:$AM2683&lt;&gt;"")*($AS$11:$AS2683="✓")),"")</f>
        <v/>
      </c>
      <c r="BA2683" s="21" t="str">
        <f>IF($AL2683="","",$AL2683&amp;"|"&amp;COUNTIF($AL$11:$AL2683,$AL2683))</f>
        <v/>
      </c>
    </row>
    <row r="2684" spans="38:53" ht="15" customHeight="1" x14ac:dyDescent="0.25">
      <c r="AL2684" s="31"/>
      <c r="AM2684" s="26"/>
      <c r="AN2684" s="32"/>
      <c r="AO2684" s="32"/>
      <c r="AP2684" s="24"/>
      <c r="AQ2684" s="24"/>
      <c r="AR2684" s="33"/>
      <c r="AS2684" s="34"/>
      <c r="AT2684" s="33"/>
      <c r="AV2684" s="21">
        <f>IF(AND($AL2684&lt;&gt;"",COUNTIF($AL$11:$AL2684,$AL2684)=1),1,0)</f>
        <v>0</v>
      </c>
      <c r="AW2684" s="21">
        <f t="shared" si="169"/>
        <v>0</v>
      </c>
      <c r="AX2684" s="21" t="str">
        <f t="shared" si="168"/>
        <v/>
      </c>
      <c r="AY2684" s="21" t="str">
        <f>IF(AND($AM2684&lt;&gt;"",$AS2684&lt;&gt;"✓"),SUMPRODUCT(($AM$11:$AM2684&lt;&gt;"")*($AS$11:$AS2684&lt;&gt;"✓")),"")</f>
        <v/>
      </c>
      <c r="AZ2684" s="21" t="str">
        <f>IF(AND($AM2684&lt;&gt;"",$AS2684="✓"),SUMPRODUCT(($AM$11:$AM2684&lt;&gt;"")*($AS$11:$AS2684="✓")),"")</f>
        <v/>
      </c>
      <c r="BA2684" s="21" t="str">
        <f>IF($AL2684="","",$AL2684&amp;"|"&amp;COUNTIF($AL$11:$AL2684,$AL2684))</f>
        <v/>
      </c>
    </row>
    <row r="2685" spans="38:53" ht="15" customHeight="1" x14ac:dyDescent="0.25">
      <c r="AL2685" s="17"/>
      <c r="AM2685" s="12"/>
      <c r="AN2685" s="18"/>
      <c r="AO2685" s="18"/>
      <c r="AP2685" s="10"/>
      <c r="AQ2685" s="10"/>
      <c r="AR2685" s="19"/>
      <c r="AS2685" s="20"/>
      <c r="AT2685" s="19"/>
      <c r="AV2685" s="21">
        <f>IF(AND($AL2685&lt;&gt;"",COUNTIF($AL$11:$AL2685,$AL2685)=1),1,0)</f>
        <v>0</v>
      </c>
      <c r="AW2685" s="21">
        <f t="shared" si="169"/>
        <v>0</v>
      </c>
      <c r="AX2685" s="21" t="str">
        <f t="shared" si="168"/>
        <v/>
      </c>
      <c r="AY2685" s="21" t="str">
        <f>IF(AND($AM2685&lt;&gt;"",$AS2685&lt;&gt;"✓"),SUMPRODUCT(($AM$11:$AM2685&lt;&gt;"")*($AS$11:$AS2685&lt;&gt;"✓")),"")</f>
        <v/>
      </c>
      <c r="AZ2685" s="21" t="str">
        <f>IF(AND($AM2685&lt;&gt;"",$AS2685="✓"),SUMPRODUCT(($AM$11:$AM2685&lt;&gt;"")*($AS$11:$AS2685="✓")),"")</f>
        <v/>
      </c>
      <c r="BA2685" s="21" t="str">
        <f>IF($AL2685="","",$AL2685&amp;"|"&amp;COUNTIF($AL$11:$AL2685,$AL2685))</f>
        <v/>
      </c>
    </row>
    <row r="2686" spans="38:53" ht="15" customHeight="1" x14ac:dyDescent="0.25">
      <c r="AL2686" s="31"/>
      <c r="AM2686" s="26"/>
      <c r="AN2686" s="32"/>
      <c r="AO2686" s="32"/>
      <c r="AP2686" s="24"/>
      <c r="AQ2686" s="24"/>
      <c r="AR2686" s="33"/>
      <c r="AS2686" s="34"/>
      <c r="AT2686" s="33"/>
      <c r="AV2686" s="21">
        <f>IF(AND($AL2686&lt;&gt;"",COUNTIF($AL$11:$AL2686,$AL2686)=1),1,0)</f>
        <v>0</v>
      </c>
      <c r="AW2686" s="21">
        <f t="shared" si="169"/>
        <v>0</v>
      </c>
      <c r="AX2686" s="21" t="str">
        <f t="shared" si="168"/>
        <v/>
      </c>
      <c r="AY2686" s="21" t="str">
        <f>IF(AND($AM2686&lt;&gt;"",$AS2686&lt;&gt;"✓"),SUMPRODUCT(($AM$11:$AM2686&lt;&gt;"")*($AS$11:$AS2686&lt;&gt;"✓")),"")</f>
        <v/>
      </c>
      <c r="AZ2686" s="21" t="str">
        <f>IF(AND($AM2686&lt;&gt;"",$AS2686="✓"),SUMPRODUCT(($AM$11:$AM2686&lt;&gt;"")*($AS$11:$AS2686="✓")),"")</f>
        <v/>
      </c>
      <c r="BA2686" s="21" t="str">
        <f>IF($AL2686="","",$AL2686&amp;"|"&amp;COUNTIF($AL$11:$AL2686,$AL2686))</f>
        <v/>
      </c>
    </row>
    <row r="2687" spans="38:53" ht="15" customHeight="1" x14ac:dyDescent="0.25">
      <c r="AL2687" s="17"/>
      <c r="AM2687" s="12"/>
      <c r="AN2687" s="18"/>
      <c r="AO2687" s="18"/>
      <c r="AP2687" s="10"/>
      <c r="AQ2687" s="10"/>
      <c r="AR2687" s="19"/>
      <c r="AS2687" s="20"/>
      <c r="AT2687" s="19"/>
      <c r="AV2687" s="21">
        <f>IF(AND($AL2687&lt;&gt;"",COUNTIF($AL$11:$AL2687,$AL2687)=1),1,0)</f>
        <v>0</v>
      </c>
      <c r="AW2687" s="21">
        <f t="shared" si="169"/>
        <v>0</v>
      </c>
      <c r="AX2687" s="21" t="str">
        <f t="shared" si="168"/>
        <v/>
      </c>
      <c r="AY2687" s="21" t="str">
        <f>IF(AND($AM2687&lt;&gt;"",$AS2687&lt;&gt;"✓"),SUMPRODUCT(($AM$11:$AM2687&lt;&gt;"")*($AS$11:$AS2687&lt;&gt;"✓")),"")</f>
        <v/>
      </c>
      <c r="AZ2687" s="21" t="str">
        <f>IF(AND($AM2687&lt;&gt;"",$AS2687="✓"),SUMPRODUCT(($AM$11:$AM2687&lt;&gt;"")*($AS$11:$AS2687="✓")),"")</f>
        <v/>
      </c>
      <c r="BA2687" s="21" t="str">
        <f>IF($AL2687="","",$AL2687&amp;"|"&amp;COUNTIF($AL$11:$AL2687,$AL2687))</f>
        <v/>
      </c>
    </row>
    <row r="2688" spans="38:53" ht="15" customHeight="1" x14ac:dyDescent="0.25">
      <c r="AL2688" s="31"/>
      <c r="AM2688" s="26"/>
      <c r="AN2688" s="32"/>
      <c r="AO2688" s="32"/>
      <c r="AP2688" s="24"/>
      <c r="AQ2688" s="24"/>
      <c r="AR2688" s="33"/>
      <c r="AS2688" s="34"/>
      <c r="AT2688" s="33"/>
      <c r="AV2688" s="21">
        <f>IF(AND($AL2688&lt;&gt;"",COUNTIF($AL$11:$AL2688,$AL2688)=1),1,0)</f>
        <v>0</v>
      </c>
      <c r="AW2688" s="21">
        <f t="shared" si="169"/>
        <v>0</v>
      </c>
      <c r="AX2688" s="21" t="str">
        <f t="shared" si="168"/>
        <v/>
      </c>
      <c r="AY2688" s="21" t="str">
        <f>IF(AND($AM2688&lt;&gt;"",$AS2688&lt;&gt;"✓"),SUMPRODUCT(($AM$11:$AM2688&lt;&gt;"")*($AS$11:$AS2688&lt;&gt;"✓")),"")</f>
        <v/>
      </c>
      <c r="AZ2688" s="21" t="str">
        <f>IF(AND($AM2688&lt;&gt;"",$AS2688="✓"),SUMPRODUCT(($AM$11:$AM2688&lt;&gt;"")*($AS$11:$AS2688="✓")),"")</f>
        <v/>
      </c>
      <c r="BA2688" s="21" t="str">
        <f>IF($AL2688="","",$AL2688&amp;"|"&amp;COUNTIF($AL$11:$AL2688,$AL2688))</f>
        <v/>
      </c>
    </row>
    <row r="2689" spans="38:53" ht="15" customHeight="1" x14ac:dyDescent="0.25">
      <c r="AL2689" s="17"/>
      <c r="AM2689" s="12"/>
      <c r="AN2689" s="18"/>
      <c r="AO2689" s="18"/>
      <c r="AP2689" s="10"/>
      <c r="AQ2689" s="10"/>
      <c r="AR2689" s="19"/>
      <c r="AS2689" s="20"/>
      <c r="AT2689" s="19"/>
      <c r="AV2689" s="21">
        <f>IF(AND($AL2689&lt;&gt;"",COUNTIF($AL$11:$AL2689,$AL2689)=1),1,0)</f>
        <v>0</v>
      </c>
      <c r="AW2689" s="21">
        <f t="shared" si="169"/>
        <v>0</v>
      </c>
      <c r="AX2689" s="21" t="str">
        <f t="shared" si="168"/>
        <v/>
      </c>
      <c r="AY2689" s="21" t="str">
        <f>IF(AND($AM2689&lt;&gt;"",$AS2689&lt;&gt;"✓"),SUMPRODUCT(($AM$11:$AM2689&lt;&gt;"")*($AS$11:$AS2689&lt;&gt;"✓")),"")</f>
        <v/>
      </c>
      <c r="AZ2689" s="21" t="str">
        <f>IF(AND($AM2689&lt;&gt;"",$AS2689="✓"),SUMPRODUCT(($AM$11:$AM2689&lt;&gt;"")*($AS$11:$AS2689="✓")),"")</f>
        <v/>
      </c>
      <c r="BA2689" s="21" t="str">
        <f>IF($AL2689="","",$AL2689&amp;"|"&amp;COUNTIF($AL$11:$AL2689,$AL2689))</f>
        <v/>
      </c>
    </row>
    <row r="2690" spans="38:53" ht="15" customHeight="1" x14ac:dyDescent="0.25">
      <c r="AL2690" s="31"/>
      <c r="AM2690" s="26"/>
      <c r="AN2690" s="32"/>
      <c r="AO2690" s="32"/>
      <c r="AP2690" s="24"/>
      <c r="AQ2690" s="24"/>
      <c r="AR2690" s="33"/>
      <c r="AS2690" s="34"/>
      <c r="AT2690" s="33"/>
      <c r="AV2690" s="21">
        <f>IF(AND($AL2690&lt;&gt;"",COUNTIF($AL$11:$AL2690,$AL2690)=1),1,0)</f>
        <v>0</v>
      </c>
      <c r="AW2690" s="21">
        <f t="shared" si="169"/>
        <v>0</v>
      </c>
      <c r="AX2690" s="21" t="str">
        <f t="shared" si="168"/>
        <v/>
      </c>
      <c r="AY2690" s="21" t="str">
        <f>IF(AND($AM2690&lt;&gt;"",$AS2690&lt;&gt;"✓"),SUMPRODUCT(($AM$11:$AM2690&lt;&gt;"")*($AS$11:$AS2690&lt;&gt;"✓")),"")</f>
        <v/>
      </c>
      <c r="AZ2690" s="21" t="str">
        <f>IF(AND($AM2690&lt;&gt;"",$AS2690="✓"),SUMPRODUCT(($AM$11:$AM2690&lt;&gt;"")*($AS$11:$AS2690="✓")),"")</f>
        <v/>
      </c>
      <c r="BA2690" s="21" t="str">
        <f>IF($AL2690="","",$AL2690&amp;"|"&amp;COUNTIF($AL$11:$AL2690,$AL2690))</f>
        <v/>
      </c>
    </row>
    <row r="2691" spans="38:53" ht="15" customHeight="1" x14ac:dyDescent="0.25">
      <c r="AL2691" s="17"/>
      <c r="AM2691" s="12"/>
      <c r="AN2691" s="18"/>
      <c r="AO2691" s="18"/>
      <c r="AP2691" s="10"/>
      <c r="AQ2691" s="10"/>
      <c r="AR2691" s="19"/>
      <c r="AS2691" s="20"/>
      <c r="AT2691" s="19"/>
      <c r="AV2691" s="21">
        <f>IF(AND($AL2691&lt;&gt;"",COUNTIF($AL$11:$AL2691,$AL2691)=1),1,0)</f>
        <v>0</v>
      </c>
      <c r="AW2691" s="21">
        <f t="shared" si="169"/>
        <v>0</v>
      </c>
      <c r="AX2691" s="21" t="str">
        <f t="shared" si="168"/>
        <v/>
      </c>
      <c r="AY2691" s="21" t="str">
        <f>IF(AND($AM2691&lt;&gt;"",$AS2691&lt;&gt;"✓"),SUMPRODUCT(($AM$11:$AM2691&lt;&gt;"")*($AS$11:$AS2691&lt;&gt;"✓")),"")</f>
        <v/>
      </c>
      <c r="AZ2691" s="21" t="str">
        <f>IF(AND($AM2691&lt;&gt;"",$AS2691="✓"),SUMPRODUCT(($AM$11:$AM2691&lt;&gt;"")*($AS$11:$AS2691="✓")),"")</f>
        <v/>
      </c>
      <c r="BA2691" s="21" t="str">
        <f>IF($AL2691="","",$AL2691&amp;"|"&amp;COUNTIF($AL$11:$AL2691,$AL2691))</f>
        <v/>
      </c>
    </row>
    <row r="2692" spans="38:53" ht="15" customHeight="1" x14ac:dyDescent="0.25">
      <c r="AL2692" s="31"/>
      <c r="AM2692" s="26"/>
      <c r="AN2692" s="32"/>
      <c r="AO2692" s="32"/>
      <c r="AP2692" s="24"/>
      <c r="AQ2692" s="24"/>
      <c r="AR2692" s="33"/>
      <c r="AS2692" s="34"/>
      <c r="AT2692" s="33"/>
      <c r="AV2692" s="21">
        <f>IF(AND($AL2692&lt;&gt;"",COUNTIF($AL$11:$AL2692,$AL2692)=1),1,0)</f>
        <v>0</v>
      </c>
      <c r="AW2692" s="21">
        <f t="shared" si="169"/>
        <v>0</v>
      </c>
      <c r="AX2692" s="21" t="str">
        <f t="shared" si="168"/>
        <v/>
      </c>
      <c r="AY2692" s="21" t="str">
        <f>IF(AND($AM2692&lt;&gt;"",$AS2692&lt;&gt;"✓"),SUMPRODUCT(($AM$11:$AM2692&lt;&gt;"")*($AS$11:$AS2692&lt;&gt;"✓")),"")</f>
        <v/>
      </c>
      <c r="AZ2692" s="21" t="str">
        <f>IF(AND($AM2692&lt;&gt;"",$AS2692="✓"),SUMPRODUCT(($AM$11:$AM2692&lt;&gt;"")*($AS$11:$AS2692="✓")),"")</f>
        <v/>
      </c>
      <c r="BA2692" s="21" t="str">
        <f>IF($AL2692="","",$AL2692&amp;"|"&amp;COUNTIF($AL$11:$AL2692,$AL2692))</f>
        <v/>
      </c>
    </row>
    <row r="2693" spans="38:53" ht="15" customHeight="1" x14ac:dyDescent="0.25">
      <c r="AL2693" s="17"/>
      <c r="AM2693" s="12"/>
      <c r="AN2693" s="18"/>
      <c r="AO2693" s="18"/>
      <c r="AP2693" s="10"/>
      <c r="AQ2693" s="10"/>
      <c r="AR2693" s="19"/>
      <c r="AS2693" s="20"/>
      <c r="AT2693" s="19"/>
      <c r="AV2693" s="21">
        <f>IF(AND($AL2693&lt;&gt;"",COUNTIF($AL$11:$AL2693,$AL2693)=1),1,0)</f>
        <v>0</v>
      </c>
      <c r="AW2693" s="21">
        <f t="shared" si="169"/>
        <v>0</v>
      </c>
      <c r="AX2693" s="21" t="str">
        <f t="shared" si="168"/>
        <v/>
      </c>
      <c r="AY2693" s="21" t="str">
        <f>IF(AND($AM2693&lt;&gt;"",$AS2693&lt;&gt;"✓"),SUMPRODUCT(($AM$11:$AM2693&lt;&gt;"")*($AS$11:$AS2693&lt;&gt;"✓")),"")</f>
        <v/>
      </c>
      <c r="AZ2693" s="21" t="str">
        <f>IF(AND($AM2693&lt;&gt;"",$AS2693="✓"),SUMPRODUCT(($AM$11:$AM2693&lt;&gt;"")*($AS$11:$AS2693="✓")),"")</f>
        <v/>
      </c>
      <c r="BA2693" s="21" t="str">
        <f>IF($AL2693="","",$AL2693&amp;"|"&amp;COUNTIF($AL$11:$AL2693,$AL2693))</f>
        <v/>
      </c>
    </row>
    <row r="2694" spans="38:53" ht="15" customHeight="1" x14ac:dyDescent="0.25">
      <c r="AL2694" s="31"/>
      <c r="AM2694" s="26"/>
      <c r="AN2694" s="32"/>
      <c r="AO2694" s="32"/>
      <c r="AP2694" s="24"/>
      <c r="AQ2694" s="24"/>
      <c r="AR2694" s="33"/>
      <c r="AS2694" s="34"/>
      <c r="AT2694" s="33"/>
      <c r="AV2694" s="21">
        <f>IF(AND($AL2694&lt;&gt;"",COUNTIF($AL$11:$AL2694,$AL2694)=1),1,0)</f>
        <v>0</v>
      </c>
      <c r="AW2694" s="21">
        <f t="shared" si="169"/>
        <v>0</v>
      </c>
      <c r="AX2694" s="21" t="str">
        <f t="shared" si="168"/>
        <v/>
      </c>
      <c r="AY2694" s="21" t="str">
        <f>IF(AND($AM2694&lt;&gt;"",$AS2694&lt;&gt;"✓"),SUMPRODUCT(($AM$11:$AM2694&lt;&gt;"")*($AS$11:$AS2694&lt;&gt;"✓")),"")</f>
        <v/>
      </c>
      <c r="AZ2694" s="21" t="str">
        <f>IF(AND($AM2694&lt;&gt;"",$AS2694="✓"),SUMPRODUCT(($AM$11:$AM2694&lt;&gt;"")*($AS$11:$AS2694="✓")),"")</f>
        <v/>
      </c>
      <c r="BA2694" s="21" t="str">
        <f>IF($AL2694="","",$AL2694&amp;"|"&amp;COUNTIF($AL$11:$AL2694,$AL2694))</f>
        <v/>
      </c>
    </row>
    <row r="2695" spans="38:53" ht="15" customHeight="1" x14ac:dyDescent="0.25">
      <c r="AL2695" s="17"/>
      <c r="AM2695" s="12"/>
      <c r="AN2695" s="18"/>
      <c r="AO2695" s="18"/>
      <c r="AP2695" s="10"/>
      <c r="AQ2695" s="10"/>
      <c r="AR2695" s="19"/>
      <c r="AS2695" s="20"/>
      <c r="AT2695" s="19"/>
      <c r="AV2695" s="21">
        <f>IF(AND($AL2695&lt;&gt;"",COUNTIF($AL$11:$AL2695,$AL2695)=1),1,0)</f>
        <v>0</v>
      </c>
      <c r="AW2695" s="21">
        <f t="shared" si="169"/>
        <v>0</v>
      </c>
      <c r="AX2695" s="21" t="str">
        <f t="shared" si="168"/>
        <v/>
      </c>
      <c r="AY2695" s="21" t="str">
        <f>IF(AND($AM2695&lt;&gt;"",$AS2695&lt;&gt;"✓"),SUMPRODUCT(($AM$11:$AM2695&lt;&gt;"")*($AS$11:$AS2695&lt;&gt;"✓")),"")</f>
        <v/>
      </c>
      <c r="AZ2695" s="21" t="str">
        <f>IF(AND($AM2695&lt;&gt;"",$AS2695="✓"),SUMPRODUCT(($AM$11:$AM2695&lt;&gt;"")*($AS$11:$AS2695="✓")),"")</f>
        <v/>
      </c>
      <c r="BA2695" s="21" t="str">
        <f>IF($AL2695="","",$AL2695&amp;"|"&amp;COUNTIF($AL$11:$AL2695,$AL2695))</f>
        <v/>
      </c>
    </row>
    <row r="2696" spans="38:53" ht="15" customHeight="1" x14ac:dyDescent="0.25">
      <c r="AL2696" s="31"/>
      <c r="AM2696" s="26"/>
      <c r="AN2696" s="32"/>
      <c r="AO2696" s="32"/>
      <c r="AP2696" s="24"/>
      <c r="AQ2696" s="24"/>
      <c r="AR2696" s="33"/>
      <c r="AS2696" s="34"/>
      <c r="AT2696" s="33"/>
      <c r="AV2696" s="21">
        <f>IF(AND($AL2696&lt;&gt;"",COUNTIF($AL$11:$AL2696,$AL2696)=1),1,0)</f>
        <v>0</v>
      </c>
      <c r="AW2696" s="21">
        <f t="shared" si="169"/>
        <v>0</v>
      </c>
      <c r="AX2696" s="21" t="str">
        <f t="shared" si="168"/>
        <v/>
      </c>
      <c r="AY2696" s="21" t="str">
        <f>IF(AND($AM2696&lt;&gt;"",$AS2696&lt;&gt;"✓"),SUMPRODUCT(($AM$11:$AM2696&lt;&gt;"")*($AS$11:$AS2696&lt;&gt;"✓")),"")</f>
        <v/>
      </c>
      <c r="AZ2696" s="21" t="str">
        <f>IF(AND($AM2696&lt;&gt;"",$AS2696="✓"),SUMPRODUCT(($AM$11:$AM2696&lt;&gt;"")*($AS$11:$AS2696="✓")),"")</f>
        <v/>
      </c>
      <c r="BA2696" s="21" t="str">
        <f>IF($AL2696="","",$AL2696&amp;"|"&amp;COUNTIF($AL$11:$AL2696,$AL2696))</f>
        <v/>
      </c>
    </row>
    <row r="2697" spans="38:53" ht="15" customHeight="1" x14ac:dyDescent="0.25">
      <c r="AL2697" s="17"/>
      <c r="AM2697" s="12"/>
      <c r="AN2697" s="18"/>
      <c r="AO2697" s="18"/>
      <c r="AP2697" s="10"/>
      <c r="AQ2697" s="10"/>
      <c r="AR2697" s="19"/>
      <c r="AS2697" s="20"/>
      <c r="AT2697" s="19"/>
      <c r="AV2697" s="21">
        <f>IF(AND($AL2697&lt;&gt;"",COUNTIF($AL$11:$AL2697,$AL2697)=1),1,0)</f>
        <v>0</v>
      </c>
      <c r="AW2697" s="21">
        <f t="shared" si="169"/>
        <v>0</v>
      </c>
      <c r="AX2697" s="21" t="str">
        <f t="shared" si="168"/>
        <v/>
      </c>
      <c r="AY2697" s="21" t="str">
        <f>IF(AND($AM2697&lt;&gt;"",$AS2697&lt;&gt;"✓"),SUMPRODUCT(($AM$11:$AM2697&lt;&gt;"")*($AS$11:$AS2697&lt;&gt;"✓")),"")</f>
        <v/>
      </c>
      <c r="AZ2697" s="21" t="str">
        <f>IF(AND($AM2697&lt;&gt;"",$AS2697="✓"),SUMPRODUCT(($AM$11:$AM2697&lt;&gt;"")*($AS$11:$AS2697="✓")),"")</f>
        <v/>
      </c>
      <c r="BA2697" s="21" t="str">
        <f>IF($AL2697="","",$AL2697&amp;"|"&amp;COUNTIF($AL$11:$AL2697,$AL2697))</f>
        <v/>
      </c>
    </row>
    <row r="2698" spans="38:53" ht="15" customHeight="1" x14ac:dyDescent="0.25">
      <c r="AL2698" s="31"/>
      <c r="AM2698" s="26"/>
      <c r="AN2698" s="32"/>
      <c r="AO2698" s="32"/>
      <c r="AP2698" s="24"/>
      <c r="AQ2698" s="24"/>
      <c r="AR2698" s="33"/>
      <c r="AS2698" s="34"/>
      <c r="AT2698" s="33"/>
      <c r="AV2698" s="21">
        <f>IF(AND($AL2698&lt;&gt;"",COUNTIF($AL$11:$AL2698,$AL2698)=1),1,0)</f>
        <v>0</v>
      </c>
      <c r="AW2698" s="21">
        <f t="shared" si="169"/>
        <v>0</v>
      </c>
      <c r="AX2698" s="21" t="str">
        <f t="shared" si="168"/>
        <v/>
      </c>
      <c r="AY2698" s="21" t="str">
        <f>IF(AND($AM2698&lt;&gt;"",$AS2698&lt;&gt;"✓"),SUMPRODUCT(($AM$11:$AM2698&lt;&gt;"")*($AS$11:$AS2698&lt;&gt;"✓")),"")</f>
        <v/>
      </c>
      <c r="AZ2698" s="21" t="str">
        <f>IF(AND($AM2698&lt;&gt;"",$AS2698="✓"),SUMPRODUCT(($AM$11:$AM2698&lt;&gt;"")*($AS$11:$AS2698="✓")),"")</f>
        <v/>
      </c>
      <c r="BA2698" s="21" t="str">
        <f>IF($AL2698="","",$AL2698&amp;"|"&amp;COUNTIF($AL$11:$AL2698,$AL2698))</f>
        <v/>
      </c>
    </row>
    <row r="2699" spans="38:53" ht="15" customHeight="1" x14ac:dyDescent="0.25">
      <c r="AL2699" s="17"/>
      <c r="AM2699" s="12"/>
      <c r="AN2699" s="18"/>
      <c r="AO2699" s="18"/>
      <c r="AP2699" s="10"/>
      <c r="AQ2699" s="10"/>
      <c r="AR2699" s="19"/>
      <c r="AS2699" s="20"/>
      <c r="AT2699" s="19"/>
      <c r="AV2699" s="21">
        <f>IF(AND($AL2699&lt;&gt;"",COUNTIF($AL$11:$AL2699,$AL2699)=1),1,0)</f>
        <v>0</v>
      </c>
      <c r="AW2699" s="21">
        <f t="shared" si="169"/>
        <v>0</v>
      </c>
      <c r="AX2699" s="21" t="str">
        <f t="shared" ref="AX2699:AX2762" si="170">IF(AV2699=1,AW2699,"")</f>
        <v/>
      </c>
      <c r="AY2699" s="21" t="str">
        <f>IF(AND($AM2699&lt;&gt;"",$AS2699&lt;&gt;"✓"),SUMPRODUCT(($AM$11:$AM2699&lt;&gt;"")*($AS$11:$AS2699&lt;&gt;"✓")),"")</f>
        <v/>
      </c>
      <c r="AZ2699" s="21" t="str">
        <f>IF(AND($AM2699&lt;&gt;"",$AS2699="✓"),SUMPRODUCT(($AM$11:$AM2699&lt;&gt;"")*($AS$11:$AS2699="✓")),"")</f>
        <v/>
      </c>
      <c r="BA2699" s="21" t="str">
        <f>IF($AL2699="","",$AL2699&amp;"|"&amp;COUNTIF($AL$11:$AL2699,$AL2699))</f>
        <v/>
      </c>
    </row>
    <row r="2700" spans="38:53" ht="15" customHeight="1" x14ac:dyDescent="0.25">
      <c r="AL2700" s="31"/>
      <c r="AM2700" s="26"/>
      <c r="AN2700" s="32"/>
      <c r="AO2700" s="32"/>
      <c r="AP2700" s="24"/>
      <c r="AQ2700" s="24"/>
      <c r="AR2700" s="33"/>
      <c r="AS2700" s="34"/>
      <c r="AT2700" s="33"/>
      <c r="AV2700" s="21">
        <f>IF(AND($AL2700&lt;&gt;"",COUNTIF($AL$11:$AL2700,$AL2700)=1),1,0)</f>
        <v>0</v>
      </c>
      <c r="AW2700" s="21">
        <f t="shared" ref="AW2700:AW2763" si="171">AW2699+AV2700</f>
        <v>0</v>
      </c>
      <c r="AX2700" s="21" t="str">
        <f t="shared" si="170"/>
        <v/>
      </c>
      <c r="AY2700" s="21" t="str">
        <f>IF(AND($AM2700&lt;&gt;"",$AS2700&lt;&gt;"✓"),SUMPRODUCT(($AM$11:$AM2700&lt;&gt;"")*($AS$11:$AS2700&lt;&gt;"✓")),"")</f>
        <v/>
      </c>
      <c r="AZ2700" s="21" t="str">
        <f>IF(AND($AM2700&lt;&gt;"",$AS2700="✓"),SUMPRODUCT(($AM$11:$AM2700&lt;&gt;"")*($AS$11:$AS2700="✓")),"")</f>
        <v/>
      </c>
      <c r="BA2700" s="21" t="str">
        <f>IF($AL2700="","",$AL2700&amp;"|"&amp;COUNTIF($AL$11:$AL2700,$AL2700))</f>
        <v/>
      </c>
    </row>
    <row r="2701" spans="38:53" ht="15" customHeight="1" x14ac:dyDescent="0.25">
      <c r="AL2701" s="17"/>
      <c r="AM2701" s="12"/>
      <c r="AN2701" s="18"/>
      <c r="AO2701" s="18"/>
      <c r="AP2701" s="10"/>
      <c r="AQ2701" s="10"/>
      <c r="AR2701" s="19"/>
      <c r="AS2701" s="20"/>
      <c r="AT2701" s="19"/>
      <c r="AV2701" s="21">
        <f>IF(AND($AL2701&lt;&gt;"",COUNTIF($AL$11:$AL2701,$AL2701)=1),1,0)</f>
        <v>0</v>
      </c>
      <c r="AW2701" s="21">
        <f t="shared" si="171"/>
        <v>0</v>
      </c>
      <c r="AX2701" s="21" t="str">
        <f t="shared" si="170"/>
        <v/>
      </c>
      <c r="AY2701" s="21" t="str">
        <f>IF(AND($AM2701&lt;&gt;"",$AS2701&lt;&gt;"✓"),SUMPRODUCT(($AM$11:$AM2701&lt;&gt;"")*($AS$11:$AS2701&lt;&gt;"✓")),"")</f>
        <v/>
      </c>
      <c r="AZ2701" s="21" t="str">
        <f>IF(AND($AM2701&lt;&gt;"",$AS2701="✓"),SUMPRODUCT(($AM$11:$AM2701&lt;&gt;"")*($AS$11:$AS2701="✓")),"")</f>
        <v/>
      </c>
      <c r="BA2701" s="21" t="str">
        <f>IF($AL2701="","",$AL2701&amp;"|"&amp;COUNTIF($AL$11:$AL2701,$AL2701))</f>
        <v/>
      </c>
    </row>
    <row r="2702" spans="38:53" ht="15" customHeight="1" x14ac:dyDescent="0.25">
      <c r="AL2702" s="31"/>
      <c r="AM2702" s="26"/>
      <c r="AN2702" s="32"/>
      <c r="AO2702" s="32"/>
      <c r="AP2702" s="24"/>
      <c r="AQ2702" s="24"/>
      <c r="AR2702" s="33"/>
      <c r="AS2702" s="34"/>
      <c r="AT2702" s="33"/>
      <c r="AV2702" s="21">
        <f>IF(AND($AL2702&lt;&gt;"",COUNTIF($AL$11:$AL2702,$AL2702)=1),1,0)</f>
        <v>0</v>
      </c>
      <c r="AW2702" s="21">
        <f t="shared" si="171"/>
        <v>0</v>
      </c>
      <c r="AX2702" s="21" t="str">
        <f t="shared" si="170"/>
        <v/>
      </c>
      <c r="AY2702" s="21" t="str">
        <f>IF(AND($AM2702&lt;&gt;"",$AS2702&lt;&gt;"✓"),SUMPRODUCT(($AM$11:$AM2702&lt;&gt;"")*($AS$11:$AS2702&lt;&gt;"✓")),"")</f>
        <v/>
      </c>
      <c r="AZ2702" s="21" t="str">
        <f>IF(AND($AM2702&lt;&gt;"",$AS2702="✓"),SUMPRODUCT(($AM$11:$AM2702&lt;&gt;"")*($AS$11:$AS2702="✓")),"")</f>
        <v/>
      </c>
      <c r="BA2702" s="21" t="str">
        <f>IF($AL2702="","",$AL2702&amp;"|"&amp;COUNTIF($AL$11:$AL2702,$AL2702))</f>
        <v/>
      </c>
    </row>
    <row r="2703" spans="38:53" ht="15" customHeight="1" x14ac:dyDescent="0.25">
      <c r="AL2703" s="17"/>
      <c r="AM2703" s="12"/>
      <c r="AN2703" s="18"/>
      <c r="AO2703" s="18"/>
      <c r="AP2703" s="10"/>
      <c r="AQ2703" s="10"/>
      <c r="AR2703" s="19"/>
      <c r="AS2703" s="20"/>
      <c r="AT2703" s="19"/>
      <c r="AV2703" s="21">
        <f>IF(AND($AL2703&lt;&gt;"",COUNTIF($AL$11:$AL2703,$AL2703)=1),1,0)</f>
        <v>0</v>
      </c>
      <c r="AW2703" s="21">
        <f t="shared" si="171"/>
        <v>0</v>
      </c>
      <c r="AX2703" s="21" t="str">
        <f t="shared" si="170"/>
        <v/>
      </c>
      <c r="AY2703" s="21" t="str">
        <f>IF(AND($AM2703&lt;&gt;"",$AS2703&lt;&gt;"✓"),SUMPRODUCT(($AM$11:$AM2703&lt;&gt;"")*($AS$11:$AS2703&lt;&gt;"✓")),"")</f>
        <v/>
      </c>
      <c r="AZ2703" s="21" t="str">
        <f>IF(AND($AM2703&lt;&gt;"",$AS2703="✓"),SUMPRODUCT(($AM$11:$AM2703&lt;&gt;"")*($AS$11:$AS2703="✓")),"")</f>
        <v/>
      </c>
      <c r="BA2703" s="21" t="str">
        <f>IF($AL2703="","",$AL2703&amp;"|"&amp;COUNTIF($AL$11:$AL2703,$AL2703))</f>
        <v/>
      </c>
    </row>
    <row r="2704" spans="38:53" ht="15" customHeight="1" x14ac:dyDescent="0.25">
      <c r="AL2704" s="31"/>
      <c r="AM2704" s="26"/>
      <c r="AN2704" s="32"/>
      <c r="AO2704" s="32"/>
      <c r="AP2704" s="24"/>
      <c r="AQ2704" s="24"/>
      <c r="AR2704" s="33"/>
      <c r="AS2704" s="34"/>
      <c r="AT2704" s="33"/>
      <c r="AV2704" s="21">
        <f>IF(AND($AL2704&lt;&gt;"",COUNTIF($AL$11:$AL2704,$AL2704)=1),1,0)</f>
        <v>0</v>
      </c>
      <c r="AW2704" s="21">
        <f t="shared" si="171"/>
        <v>0</v>
      </c>
      <c r="AX2704" s="21" t="str">
        <f t="shared" si="170"/>
        <v/>
      </c>
      <c r="AY2704" s="21" t="str">
        <f>IF(AND($AM2704&lt;&gt;"",$AS2704&lt;&gt;"✓"),SUMPRODUCT(($AM$11:$AM2704&lt;&gt;"")*($AS$11:$AS2704&lt;&gt;"✓")),"")</f>
        <v/>
      </c>
      <c r="AZ2704" s="21" t="str">
        <f>IF(AND($AM2704&lt;&gt;"",$AS2704="✓"),SUMPRODUCT(($AM$11:$AM2704&lt;&gt;"")*($AS$11:$AS2704="✓")),"")</f>
        <v/>
      </c>
      <c r="BA2704" s="21" t="str">
        <f>IF($AL2704="","",$AL2704&amp;"|"&amp;COUNTIF($AL$11:$AL2704,$AL2704))</f>
        <v/>
      </c>
    </row>
    <row r="2705" spans="38:53" ht="15" customHeight="1" x14ac:dyDescent="0.25">
      <c r="AL2705" s="17"/>
      <c r="AM2705" s="12"/>
      <c r="AN2705" s="18"/>
      <c r="AO2705" s="18"/>
      <c r="AP2705" s="10"/>
      <c r="AQ2705" s="10"/>
      <c r="AR2705" s="19"/>
      <c r="AS2705" s="20"/>
      <c r="AT2705" s="19"/>
      <c r="AV2705" s="21">
        <f>IF(AND($AL2705&lt;&gt;"",COUNTIF($AL$11:$AL2705,$AL2705)=1),1,0)</f>
        <v>0</v>
      </c>
      <c r="AW2705" s="21">
        <f t="shared" si="171"/>
        <v>0</v>
      </c>
      <c r="AX2705" s="21" t="str">
        <f t="shared" si="170"/>
        <v/>
      </c>
      <c r="AY2705" s="21" t="str">
        <f>IF(AND($AM2705&lt;&gt;"",$AS2705&lt;&gt;"✓"),SUMPRODUCT(($AM$11:$AM2705&lt;&gt;"")*($AS$11:$AS2705&lt;&gt;"✓")),"")</f>
        <v/>
      </c>
      <c r="AZ2705" s="21" t="str">
        <f>IF(AND($AM2705&lt;&gt;"",$AS2705="✓"),SUMPRODUCT(($AM$11:$AM2705&lt;&gt;"")*($AS$11:$AS2705="✓")),"")</f>
        <v/>
      </c>
      <c r="BA2705" s="21" t="str">
        <f>IF($AL2705="","",$AL2705&amp;"|"&amp;COUNTIF($AL$11:$AL2705,$AL2705))</f>
        <v/>
      </c>
    </row>
    <row r="2706" spans="38:53" ht="15" customHeight="1" x14ac:dyDescent="0.25">
      <c r="AL2706" s="31"/>
      <c r="AM2706" s="26"/>
      <c r="AN2706" s="32"/>
      <c r="AO2706" s="32"/>
      <c r="AP2706" s="24"/>
      <c r="AQ2706" s="24"/>
      <c r="AR2706" s="33"/>
      <c r="AS2706" s="34"/>
      <c r="AT2706" s="33"/>
      <c r="AV2706" s="21">
        <f>IF(AND($AL2706&lt;&gt;"",COUNTIF($AL$11:$AL2706,$AL2706)=1),1,0)</f>
        <v>0</v>
      </c>
      <c r="AW2706" s="21">
        <f t="shared" si="171"/>
        <v>0</v>
      </c>
      <c r="AX2706" s="21" t="str">
        <f t="shared" si="170"/>
        <v/>
      </c>
      <c r="AY2706" s="21" t="str">
        <f>IF(AND($AM2706&lt;&gt;"",$AS2706&lt;&gt;"✓"),SUMPRODUCT(($AM$11:$AM2706&lt;&gt;"")*($AS$11:$AS2706&lt;&gt;"✓")),"")</f>
        <v/>
      </c>
      <c r="AZ2706" s="21" t="str">
        <f>IF(AND($AM2706&lt;&gt;"",$AS2706="✓"),SUMPRODUCT(($AM$11:$AM2706&lt;&gt;"")*($AS$11:$AS2706="✓")),"")</f>
        <v/>
      </c>
      <c r="BA2706" s="21" t="str">
        <f>IF($AL2706="","",$AL2706&amp;"|"&amp;COUNTIF($AL$11:$AL2706,$AL2706))</f>
        <v/>
      </c>
    </row>
    <row r="2707" spans="38:53" ht="15" customHeight="1" x14ac:dyDescent="0.25">
      <c r="AL2707" s="17"/>
      <c r="AM2707" s="12"/>
      <c r="AN2707" s="18"/>
      <c r="AO2707" s="18"/>
      <c r="AP2707" s="10"/>
      <c r="AQ2707" s="10"/>
      <c r="AR2707" s="19"/>
      <c r="AS2707" s="20"/>
      <c r="AT2707" s="19"/>
      <c r="AV2707" s="21">
        <f>IF(AND($AL2707&lt;&gt;"",COUNTIF($AL$11:$AL2707,$AL2707)=1),1,0)</f>
        <v>0</v>
      </c>
      <c r="AW2707" s="21">
        <f t="shared" si="171"/>
        <v>0</v>
      </c>
      <c r="AX2707" s="21" t="str">
        <f t="shared" si="170"/>
        <v/>
      </c>
      <c r="AY2707" s="21" t="str">
        <f>IF(AND($AM2707&lt;&gt;"",$AS2707&lt;&gt;"✓"),SUMPRODUCT(($AM$11:$AM2707&lt;&gt;"")*($AS$11:$AS2707&lt;&gt;"✓")),"")</f>
        <v/>
      </c>
      <c r="AZ2707" s="21" t="str">
        <f>IF(AND($AM2707&lt;&gt;"",$AS2707="✓"),SUMPRODUCT(($AM$11:$AM2707&lt;&gt;"")*($AS$11:$AS2707="✓")),"")</f>
        <v/>
      </c>
      <c r="BA2707" s="21" t="str">
        <f>IF($AL2707="","",$AL2707&amp;"|"&amp;COUNTIF($AL$11:$AL2707,$AL2707))</f>
        <v/>
      </c>
    </row>
    <row r="2708" spans="38:53" ht="15" customHeight="1" x14ac:dyDescent="0.25">
      <c r="AL2708" s="31"/>
      <c r="AM2708" s="26"/>
      <c r="AN2708" s="32"/>
      <c r="AO2708" s="32"/>
      <c r="AP2708" s="24"/>
      <c r="AQ2708" s="24"/>
      <c r="AR2708" s="33"/>
      <c r="AS2708" s="34"/>
      <c r="AT2708" s="33"/>
      <c r="AV2708" s="21">
        <f>IF(AND($AL2708&lt;&gt;"",COUNTIF($AL$11:$AL2708,$AL2708)=1),1,0)</f>
        <v>0</v>
      </c>
      <c r="AW2708" s="21">
        <f t="shared" si="171"/>
        <v>0</v>
      </c>
      <c r="AX2708" s="21" t="str">
        <f t="shared" si="170"/>
        <v/>
      </c>
      <c r="AY2708" s="21" t="str">
        <f>IF(AND($AM2708&lt;&gt;"",$AS2708&lt;&gt;"✓"),SUMPRODUCT(($AM$11:$AM2708&lt;&gt;"")*($AS$11:$AS2708&lt;&gt;"✓")),"")</f>
        <v/>
      </c>
      <c r="AZ2708" s="21" t="str">
        <f>IF(AND($AM2708&lt;&gt;"",$AS2708="✓"),SUMPRODUCT(($AM$11:$AM2708&lt;&gt;"")*($AS$11:$AS2708="✓")),"")</f>
        <v/>
      </c>
      <c r="BA2708" s="21" t="str">
        <f>IF($AL2708="","",$AL2708&amp;"|"&amp;COUNTIF($AL$11:$AL2708,$AL2708))</f>
        <v/>
      </c>
    </row>
    <row r="2709" spans="38:53" ht="15" customHeight="1" x14ac:dyDescent="0.25">
      <c r="AL2709" s="17"/>
      <c r="AM2709" s="12"/>
      <c r="AN2709" s="18"/>
      <c r="AO2709" s="18"/>
      <c r="AP2709" s="10"/>
      <c r="AQ2709" s="10"/>
      <c r="AR2709" s="19"/>
      <c r="AS2709" s="20"/>
      <c r="AT2709" s="19"/>
      <c r="AV2709" s="21">
        <f>IF(AND($AL2709&lt;&gt;"",COUNTIF($AL$11:$AL2709,$AL2709)=1),1,0)</f>
        <v>0</v>
      </c>
      <c r="AW2709" s="21">
        <f t="shared" si="171"/>
        <v>0</v>
      </c>
      <c r="AX2709" s="21" t="str">
        <f t="shared" si="170"/>
        <v/>
      </c>
      <c r="AY2709" s="21" t="str">
        <f>IF(AND($AM2709&lt;&gt;"",$AS2709&lt;&gt;"✓"),SUMPRODUCT(($AM$11:$AM2709&lt;&gt;"")*($AS$11:$AS2709&lt;&gt;"✓")),"")</f>
        <v/>
      </c>
      <c r="AZ2709" s="21" t="str">
        <f>IF(AND($AM2709&lt;&gt;"",$AS2709="✓"),SUMPRODUCT(($AM$11:$AM2709&lt;&gt;"")*($AS$11:$AS2709="✓")),"")</f>
        <v/>
      </c>
      <c r="BA2709" s="21" t="str">
        <f>IF($AL2709="","",$AL2709&amp;"|"&amp;COUNTIF($AL$11:$AL2709,$AL2709))</f>
        <v/>
      </c>
    </row>
    <row r="2710" spans="38:53" ht="15" customHeight="1" x14ac:dyDescent="0.25">
      <c r="AL2710" s="31"/>
      <c r="AM2710" s="26"/>
      <c r="AN2710" s="32"/>
      <c r="AO2710" s="32"/>
      <c r="AP2710" s="24"/>
      <c r="AQ2710" s="24"/>
      <c r="AR2710" s="33"/>
      <c r="AS2710" s="34"/>
      <c r="AT2710" s="33"/>
      <c r="AV2710" s="21">
        <f>IF(AND($AL2710&lt;&gt;"",COUNTIF($AL$11:$AL2710,$AL2710)=1),1,0)</f>
        <v>0</v>
      </c>
      <c r="AW2710" s="21">
        <f t="shared" si="171"/>
        <v>0</v>
      </c>
      <c r="AX2710" s="21" t="str">
        <f t="shared" si="170"/>
        <v/>
      </c>
      <c r="AY2710" s="21" t="str">
        <f>IF(AND($AM2710&lt;&gt;"",$AS2710&lt;&gt;"✓"),SUMPRODUCT(($AM$11:$AM2710&lt;&gt;"")*($AS$11:$AS2710&lt;&gt;"✓")),"")</f>
        <v/>
      </c>
      <c r="AZ2710" s="21" t="str">
        <f>IF(AND($AM2710&lt;&gt;"",$AS2710="✓"),SUMPRODUCT(($AM$11:$AM2710&lt;&gt;"")*($AS$11:$AS2710="✓")),"")</f>
        <v/>
      </c>
      <c r="BA2710" s="21" t="str">
        <f>IF($AL2710="","",$AL2710&amp;"|"&amp;COUNTIF($AL$11:$AL2710,$AL2710))</f>
        <v/>
      </c>
    </row>
    <row r="2711" spans="38:53" ht="15" customHeight="1" x14ac:dyDescent="0.25">
      <c r="AL2711" s="17"/>
      <c r="AM2711" s="12"/>
      <c r="AN2711" s="18"/>
      <c r="AO2711" s="18"/>
      <c r="AP2711" s="10"/>
      <c r="AQ2711" s="10"/>
      <c r="AR2711" s="19"/>
      <c r="AS2711" s="20"/>
      <c r="AT2711" s="19"/>
      <c r="AV2711" s="21">
        <f>IF(AND($AL2711&lt;&gt;"",COUNTIF($AL$11:$AL2711,$AL2711)=1),1,0)</f>
        <v>0</v>
      </c>
      <c r="AW2711" s="21">
        <f t="shared" si="171"/>
        <v>0</v>
      </c>
      <c r="AX2711" s="21" t="str">
        <f t="shared" si="170"/>
        <v/>
      </c>
      <c r="AY2711" s="21" t="str">
        <f>IF(AND($AM2711&lt;&gt;"",$AS2711&lt;&gt;"✓"),SUMPRODUCT(($AM$11:$AM2711&lt;&gt;"")*($AS$11:$AS2711&lt;&gt;"✓")),"")</f>
        <v/>
      </c>
      <c r="AZ2711" s="21" t="str">
        <f>IF(AND($AM2711&lt;&gt;"",$AS2711="✓"),SUMPRODUCT(($AM$11:$AM2711&lt;&gt;"")*($AS$11:$AS2711="✓")),"")</f>
        <v/>
      </c>
      <c r="BA2711" s="21" t="str">
        <f>IF($AL2711="","",$AL2711&amp;"|"&amp;COUNTIF($AL$11:$AL2711,$AL2711))</f>
        <v/>
      </c>
    </row>
    <row r="2712" spans="38:53" ht="15" customHeight="1" x14ac:dyDescent="0.25">
      <c r="AL2712" s="31"/>
      <c r="AM2712" s="26"/>
      <c r="AN2712" s="32"/>
      <c r="AO2712" s="32"/>
      <c r="AP2712" s="24"/>
      <c r="AQ2712" s="24"/>
      <c r="AR2712" s="33"/>
      <c r="AS2712" s="34"/>
      <c r="AT2712" s="33"/>
      <c r="AV2712" s="21">
        <f>IF(AND($AL2712&lt;&gt;"",COUNTIF($AL$11:$AL2712,$AL2712)=1),1,0)</f>
        <v>0</v>
      </c>
      <c r="AW2712" s="21">
        <f t="shared" si="171"/>
        <v>0</v>
      </c>
      <c r="AX2712" s="21" t="str">
        <f t="shared" si="170"/>
        <v/>
      </c>
      <c r="AY2712" s="21" t="str">
        <f>IF(AND($AM2712&lt;&gt;"",$AS2712&lt;&gt;"✓"),SUMPRODUCT(($AM$11:$AM2712&lt;&gt;"")*($AS$11:$AS2712&lt;&gt;"✓")),"")</f>
        <v/>
      </c>
      <c r="AZ2712" s="21" t="str">
        <f>IF(AND($AM2712&lt;&gt;"",$AS2712="✓"),SUMPRODUCT(($AM$11:$AM2712&lt;&gt;"")*($AS$11:$AS2712="✓")),"")</f>
        <v/>
      </c>
      <c r="BA2712" s="21" t="str">
        <f>IF($AL2712="","",$AL2712&amp;"|"&amp;COUNTIF($AL$11:$AL2712,$AL2712))</f>
        <v/>
      </c>
    </row>
    <row r="2713" spans="38:53" ht="15" customHeight="1" x14ac:dyDescent="0.25">
      <c r="AL2713" s="17"/>
      <c r="AM2713" s="12"/>
      <c r="AN2713" s="18"/>
      <c r="AO2713" s="18"/>
      <c r="AP2713" s="10"/>
      <c r="AQ2713" s="10"/>
      <c r="AR2713" s="19"/>
      <c r="AS2713" s="20"/>
      <c r="AT2713" s="19"/>
      <c r="AV2713" s="21">
        <f>IF(AND($AL2713&lt;&gt;"",COUNTIF($AL$11:$AL2713,$AL2713)=1),1,0)</f>
        <v>0</v>
      </c>
      <c r="AW2713" s="21">
        <f t="shared" si="171"/>
        <v>0</v>
      </c>
      <c r="AX2713" s="21" t="str">
        <f t="shared" si="170"/>
        <v/>
      </c>
      <c r="AY2713" s="21" t="str">
        <f>IF(AND($AM2713&lt;&gt;"",$AS2713&lt;&gt;"✓"),SUMPRODUCT(($AM$11:$AM2713&lt;&gt;"")*($AS$11:$AS2713&lt;&gt;"✓")),"")</f>
        <v/>
      </c>
      <c r="AZ2713" s="21" t="str">
        <f>IF(AND($AM2713&lt;&gt;"",$AS2713="✓"),SUMPRODUCT(($AM$11:$AM2713&lt;&gt;"")*($AS$11:$AS2713="✓")),"")</f>
        <v/>
      </c>
      <c r="BA2713" s="21" t="str">
        <f>IF($AL2713="","",$AL2713&amp;"|"&amp;COUNTIF($AL$11:$AL2713,$AL2713))</f>
        <v/>
      </c>
    </row>
    <row r="2714" spans="38:53" ht="15" customHeight="1" x14ac:dyDescent="0.25">
      <c r="AL2714" s="31"/>
      <c r="AM2714" s="26"/>
      <c r="AN2714" s="32"/>
      <c r="AO2714" s="32"/>
      <c r="AP2714" s="24"/>
      <c r="AQ2714" s="24"/>
      <c r="AR2714" s="33"/>
      <c r="AS2714" s="34"/>
      <c r="AT2714" s="33"/>
      <c r="AV2714" s="21">
        <f>IF(AND($AL2714&lt;&gt;"",COUNTIF($AL$11:$AL2714,$AL2714)=1),1,0)</f>
        <v>0</v>
      </c>
      <c r="AW2714" s="21">
        <f t="shared" si="171"/>
        <v>0</v>
      </c>
      <c r="AX2714" s="21" t="str">
        <f t="shared" si="170"/>
        <v/>
      </c>
      <c r="AY2714" s="21" t="str">
        <f>IF(AND($AM2714&lt;&gt;"",$AS2714&lt;&gt;"✓"),SUMPRODUCT(($AM$11:$AM2714&lt;&gt;"")*($AS$11:$AS2714&lt;&gt;"✓")),"")</f>
        <v/>
      </c>
      <c r="AZ2714" s="21" t="str">
        <f>IF(AND($AM2714&lt;&gt;"",$AS2714="✓"),SUMPRODUCT(($AM$11:$AM2714&lt;&gt;"")*($AS$11:$AS2714="✓")),"")</f>
        <v/>
      </c>
      <c r="BA2714" s="21" t="str">
        <f>IF($AL2714="","",$AL2714&amp;"|"&amp;COUNTIF($AL$11:$AL2714,$AL2714))</f>
        <v/>
      </c>
    </row>
    <row r="2715" spans="38:53" ht="15" customHeight="1" x14ac:dyDescent="0.25">
      <c r="AL2715" s="17"/>
      <c r="AM2715" s="12"/>
      <c r="AN2715" s="18"/>
      <c r="AO2715" s="18"/>
      <c r="AP2715" s="10"/>
      <c r="AQ2715" s="10"/>
      <c r="AR2715" s="19"/>
      <c r="AS2715" s="20"/>
      <c r="AT2715" s="19"/>
      <c r="AV2715" s="21">
        <f>IF(AND($AL2715&lt;&gt;"",COUNTIF($AL$11:$AL2715,$AL2715)=1),1,0)</f>
        <v>0</v>
      </c>
      <c r="AW2715" s="21">
        <f t="shared" si="171"/>
        <v>0</v>
      </c>
      <c r="AX2715" s="21" t="str">
        <f t="shared" si="170"/>
        <v/>
      </c>
      <c r="AY2715" s="21" t="str">
        <f>IF(AND($AM2715&lt;&gt;"",$AS2715&lt;&gt;"✓"),SUMPRODUCT(($AM$11:$AM2715&lt;&gt;"")*($AS$11:$AS2715&lt;&gt;"✓")),"")</f>
        <v/>
      </c>
      <c r="AZ2715" s="21" t="str">
        <f>IF(AND($AM2715&lt;&gt;"",$AS2715="✓"),SUMPRODUCT(($AM$11:$AM2715&lt;&gt;"")*($AS$11:$AS2715="✓")),"")</f>
        <v/>
      </c>
      <c r="BA2715" s="21" t="str">
        <f>IF($AL2715="","",$AL2715&amp;"|"&amp;COUNTIF($AL$11:$AL2715,$AL2715))</f>
        <v/>
      </c>
    </row>
    <row r="2716" spans="38:53" ht="15" customHeight="1" x14ac:dyDescent="0.25">
      <c r="AL2716" s="31"/>
      <c r="AM2716" s="26"/>
      <c r="AN2716" s="32"/>
      <c r="AO2716" s="32"/>
      <c r="AP2716" s="24"/>
      <c r="AQ2716" s="24"/>
      <c r="AR2716" s="33"/>
      <c r="AS2716" s="34"/>
      <c r="AT2716" s="33"/>
      <c r="AV2716" s="21">
        <f>IF(AND($AL2716&lt;&gt;"",COUNTIF($AL$11:$AL2716,$AL2716)=1),1,0)</f>
        <v>0</v>
      </c>
      <c r="AW2716" s="21">
        <f t="shared" si="171"/>
        <v>0</v>
      </c>
      <c r="AX2716" s="21" t="str">
        <f t="shared" si="170"/>
        <v/>
      </c>
      <c r="AY2716" s="21" t="str">
        <f>IF(AND($AM2716&lt;&gt;"",$AS2716&lt;&gt;"✓"),SUMPRODUCT(($AM$11:$AM2716&lt;&gt;"")*($AS$11:$AS2716&lt;&gt;"✓")),"")</f>
        <v/>
      </c>
      <c r="AZ2716" s="21" t="str">
        <f>IF(AND($AM2716&lt;&gt;"",$AS2716="✓"),SUMPRODUCT(($AM$11:$AM2716&lt;&gt;"")*($AS$11:$AS2716="✓")),"")</f>
        <v/>
      </c>
      <c r="BA2716" s="21" t="str">
        <f>IF($AL2716="","",$AL2716&amp;"|"&amp;COUNTIF($AL$11:$AL2716,$AL2716))</f>
        <v/>
      </c>
    </row>
    <row r="2717" spans="38:53" ht="15" customHeight="1" x14ac:dyDescent="0.25">
      <c r="AL2717" s="17"/>
      <c r="AM2717" s="12"/>
      <c r="AN2717" s="18"/>
      <c r="AO2717" s="18"/>
      <c r="AP2717" s="10"/>
      <c r="AQ2717" s="10"/>
      <c r="AR2717" s="19"/>
      <c r="AS2717" s="20"/>
      <c r="AT2717" s="19"/>
      <c r="AV2717" s="21">
        <f>IF(AND($AL2717&lt;&gt;"",COUNTIF($AL$11:$AL2717,$AL2717)=1),1,0)</f>
        <v>0</v>
      </c>
      <c r="AW2717" s="21">
        <f t="shared" si="171"/>
        <v>0</v>
      </c>
      <c r="AX2717" s="21" t="str">
        <f t="shared" si="170"/>
        <v/>
      </c>
      <c r="AY2717" s="21" t="str">
        <f>IF(AND($AM2717&lt;&gt;"",$AS2717&lt;&gt;"✓"),SUMPRODUCT(($AM$11:$AM2717&lt;&gt;"")*($AS$11:$AS2717&lt;&gt;"✓")),"")</f>
        <v/>
      </c>
      <c r="AZ2717" s="21" t="str">
        <f>IF(AND($AM2717&lt;&gt;"",$AS2717="✓"),SUMPRODUCT(($AM$11:$AM2717&lt;&gt;"")*($AS$11:$AS2717="✓")),"")</f>
        <v/>
      </c>
      <c r="BA2717" s="21" t="str">
        <f>IF($AL2717="","",$AL2717&amp;"|"&amp;COUNTIF($AL$11:$AL2717,$AL2717))</f>
        <v/>
      </c>
    </row>
    <row r="2718" spans="38:53" ht="15" customHeight="1" x14ac:dyDescent="0.25">
      <c r="AL2718" s="31"/>
      <c r="AM2718" s="26"/>
      <c r="AN2718" s="32"/>
      <c r="AO2718" s="32"/>
      <c r="AP2718" s="24"/>
      <c r="AQ2718" s="24"/>
      <c r="AR2718" s="33"/>
      <c r="AS2718" s="34"/>
      <c r="AT2718" s="33"/>
      <c r="AV2718" s="21">
        <f>IF(AND($AL2718&lt;&gt;"",COUNTIF($AL$11:$AL2718,$AL2718)=1),1,0)</f>
        <v>0</v>
      </c>
      <c r="AW2718" s="21">
        <f t="shared" si="171"/>
        <v>0</v>
      </c>
      <c r="AX2718" s="21" t="str">
        <f t="shared" si="170"/>
        <v/>
      </c>
      <c r="AY2718" s="21" t="str">
        <f>IF(AND($AM2718&lt;&gt;"",$AS2718&lt;&gt;"✓"),SUMPRODUCT(($AM$11:$AM2718&lt;&gt;"")*($AS$11:$AS2718&lt;&gt;"✓")),"")</f>
        <v/>
      </c>
      <c r="AZ2718" s="21" t="str">
        <f>IF(AND($AM2718&lt;&gt;"",$AS2718="✓"),SUMPRODUCT(($AM$11:$AM2718&lt;&gt;"")*($AS$11:$AS2718="✓")),"")</f>
        <v/>
      </c>
      <c r="BA2718" s="21" t="str">
        <f>IF($AL2718="","",$AL2718&amp;"|"&amp;COUNTIF($AL$11:$AL2718,$AL2718))</f>
        <v/>
      </c>
    </row>
    <row r="2719" spans="38:53" ht="15" customHeight="1" x14ac:dyDescent="0.25">
      <c r="AL2719" s="17"/>
      <c r="AM2719" s="12"/>
      <c r="AN2719" s="18"/>
      <c r="AO2719" s="18"/>
      <c r="AP2719" s="10"/>
      <c r="AQ2719" s="10"/>
      <c r="AR2719" s="19"/>
      <c r="AS2719" s="20"/>
      <c r="AT2719" s="19"/>
      <c r="AV2719" s="21">
        <f>IF(AND($AL2719&lt;&gt;"",COUNTIF($AL$11:$AL2719,$AL2719)=1),1,0)</f>
        <v>0</v>
      </c>
      <c r="AW2719" s="21">
        <f t="shared" si="171"/>
        <v>0</v>
      </c>
      <c r="AX2719" s="21" t="str">
        <f t="shared" si="170"/>
        <v/>
      </c>
      <c r="AY2719" s="21" t="str">
        <f>IF(AND($AM2719&lt;&gt;"",$AS2719&lt;&gt;"✓"),SUMPRODUCT(($AM$11:$AM2719&lt;&gt;"")*($AS$11:$AS2719&lt;&gt;"✓")),"")</f>
        <v/>
      </c>
      <c r="AZ2719" s="21" t="str">
        <f>IF(AND($AM2719&lt;&gt;"",$AS2719="✓"),SUMPRODUCT(($AM$11:$AM2719&lt;&gt;"")*($AS$11:$AS2719="✓")),"")</f>
        <v/>
      </c>
      <c r="BA2719" s="21" t="str">
        <f>IF($AL2719="","",$AL2719&amp;"|"&amp;COUNTIF($AL$11:$AL2719,$AL2719))</f>
        <v/>
      </c>
    </row>
    <row r="2720" spans="38:53" ht="15" customHeight="1" x14ac:dyDescent="0.25">
      <c r="AL2720" s="31"/>
      <c r="AM2720" s="26"/>
      <c r="AN2720" s="32"/>
      <c r="AO2720" s="32"/>
      <c r="AP2720" s="24"/>
      <c r="AQ2720" s="24"/>
      <c r="AR2720" s="33"/>
      <c r="AS2720" s="34"/>
      <c r="AT2720" s="33"/>
      <c r="AV2720" s="21">
        <f>IF(AND($AL2720&lt;&gt;"",COUNTIF($AL$11:$AL2720,$AL2720)=1),1,0)</f>
        <v>0</v>
      </c>
      <c r="AW2720" s="21">
        <f t="shared" si="171"/>
        <v>0</v>
      </c>
      <c r="AX2720" s="21" t="str">
        <f t="shared" si="170"/>
        <v/>
      </c>
      <c r="AY2720" s="21" t="str">
        <f>IF(AND($AM2720&lt;&gt;"",$AS2720&lt;&gt;"✓"),SUMPRODUCT(($AM$11:$AM2720&lt;&gt;"")*($AS$11:$AS2720&lt;&gt;"✓")),"")</f>
        <v/>
      </c>
      <c r="AZ2720" s="21" t="str">
        <f>IF(AND($AM2720&lt;&gt;"",$AS2720="✓"),SUMPRODUCT(($AM$11:$AM2720&lt;&gt;"")*($AS$11:$AS2720="✓")),"")</f>
        <v/>
      </c>
      <c r="BA2720" s="21" t="str">
        <f>IF($AL2720="","",$AL2720&amp;"|"&amp;COUNTIF($AL$11:$AL2720,$AL2720))</f>
        <v/>
      </c>
    </row>
    <row r="2721" spans="38:53" ht="15" customHeight="1" x14ac:dyDescent="0.25">
      <c r="AL2721" s="17"/>
      <c r="AM2721" s="12"/>
      <c r="AN2721" s="18"/>
      <c r="AO2721" s="18"/>
      <c r="AP2721" s="10"/>
      <c r="AQ2721" s="10"/>
      <c r="AR2721" s="19"/>
      <c r="AS2721" s="20"/>
      <c r="AT2721" s="19"/>
      <c r="AV2721" s="21">
        <f>IF(AND($AL2721&lt;&gt;"",COUNTIF($AL$11:$AL2721,$AL2721)=1),1,0)</f>
        <v>0</v>
      </c>
      <c r="AW2721" s="21">
        <f t="shared" si="171"/>
        <v>0</v>
      </c>
      <c r="AX2721" s="21" t="str">
        <f t="shared" si="170"/>
        <v/>
      </c>
      <c r="AY2721" s="21" t="str">
        <f>IF(AND($AM2721&lt;&gt;"",$AS2721&lt;&gt;"✓"),SUMPRODUCT(($AM$11:$AM2721&lt;&gt;"")*($AS$11:$AS2721&lt;&gt;"✓")),"")</f>
        <v/>
      </c>
      <c r="AZ2721" s="21" t="str">
        <f>IF(AND($AM2721&lt;&gt;"",$AS2721="✓"),SUMPRODUCT(($AM$11:$AM2721&lt;&gt;"")*($AS$11:$AS2721="✓")),"")</f>
        <v/>
      </c>
      <c r="BA2721" s="21" t="str">
        <f>IF($AL2721="","",$AL2721&amp;"|"&amp;COUNTIF($AL$11:$AL2721,$AL2721))</f>
        <v/>
      </c>
    </row>
    <row r="2722" spans="38:53" ht="15" customHeight="1" x14ac:dyDescent="0.25">
      <c r="AL2722" s="31"/>
      <c r="AM2722" s="26"/>
      <c r="AN2722" s="32"/>
      <c r="AO2722" s="32"/>
      <c r="AP2722" s="24"/>
      <c r="AQ2722" s="24"/>
      <c r="AR2722" s="33"/>
      <c r="AS2722" s="34"/>
      <c r="AT2722" s="33"/>
      <c r="AV2722" s="21">
        <f>IF(AND($AL2722&lt;&gt;"",COUNTIF($AL$11:$AL2722,$AL2722)=1),1,0)</f>
        <v>0</v>
      </c>
      <c r="AW2722" s="21">
        <f t="shared" si="171"/>
        <v>0</v>
      </c>
      <c r="AX2722" s="21" t="str">
        <f t="shared" si="170"/>
        <v/>
      </c>
      <c r="AY2722" s="21" t="str">
        <f>IF(AND($AM2722&lt;&gt;"",$AS2722&lt;&gt;"✓"),SUMPRODUCT(($AM$11:$AM2722&lt;&gt;"")*($AS$11:$AS2722&lt;&gt;"✓")),"")</f>
        <v/>
      </c>
      <c r="AZ2722" s="21" t="str">
        <f>IF(AND($AM2722&lt;&gt;"",$AS2722="✓"),SUMPRODUCT(($AM$11:$AM2722&lt;&gt;"")*($AS$11:$AS2722="✓")),"")</f>
        <v/>
      </c>
      <c r="BA2722" s="21" t="str">
        <f>IF($AL2722="","",$AL2722&amp;"|"&amp;COUNTIF($AL$11:$AL2722,$AL2722))</f>
        <v/>
      </c>
    </row>
    <row r="2723" spans="38:53" ht="15" customHeight="1" x14ac:dyDescent="0.25">
      <c r="AL2723" s="17"/>
      <c r="AM2723" s="12"/>
      <c r="AN2723" s="18"/>
      <c r="AO2723" s="18"/>
      <c r="AP2723" s="10"/>
      <c r="AQ2723" s="10"/>
      <c r="AR2723" s="19"/>
      <c r="AS2723" s="20"/>
      <c r="AT2723" s="19"/>
      <c r="AV2723" s="21">
        <f>IF(AND($AL2723&lt;&gt;"",COUNTIF($AL$11:$AL2723,$AL2723)=1),1,0)</f>
        <v>0</v>
      </c>
      <c r="AW2723" s="21">
        <f t="shared" si="171"/>
        <v>0</v>
      </c>
      <c r="AX2723" s="21" t="str">
        <f t="shared" si="170"/>
        <v/>
      </c>
      <c r="AY2723" s="21" t="str">
        <f>IF(AND($AM2723&lt;&gt;"",$AS2723&lt;&gt;"✓"),SUMPRODUCT(($AM$11:$AM2723&lt;&gt;"")*($AS$11:$AS2723&lt;&gt;"✓")),"")</f>
        <v/>
      </c>
      <c r="AZ2723" s="21" t="str">
        <f>IF(AND($AM2723&lt;&gt;"",$AS2723="✓"),SUMPRODUCT(($AM$11:$AM2723&lt;&gt;"")*($AS$11:$AS2723="✓")),"")</f>
        <v/>
      </c>
      <c r="BA2723" s="21" t="str">
        <f>IF($AL2723="","",$AL2723&amp;"|"&amp;COUNTIF($AL$11:$AL2723,$AL2723))</f>
        <v/>
      </c>
    </row>
    <row r="2724" spans="38:53" ht="15" customHeight="1" x14ac:dyDescent="0.25">
      <c r="AL2724" s="31"/>
      <c r="AM2724" s="26"/>
      <c r="AN2724" s="32"/>
      <c r="AO2724" s="32"/>
      <c r="AP2724" s="24"/>
      <c r="AQ2724" s="24"/>
      <c r="AR2724" s="33"/>
      <c r="AS2724" s="34"/>
      <c r="AT2724" s="33"/>
      <c r="AV2724" s="21">
        <f>IF(AND($AL2724&lt;&gt;"",COUNTIF($AL$11:$AL2724,$AL2724)=1),1,0)</f>
        <v>0</v>
      </c>
      <c r="AW2724" s="21">
        <f t="shared" si="171"/>
        <v>0</v>
      </c>
      <c r="AX2724" s="21" t="str">
        <f t="shared" si="170"/>
        <v/>
      </c>
      <c r="AY2724" s="21" t="str">
        <f>IF(AND($AM2724&lt;&gt;"",$AS2724&lt;&gt;"✓"),SUMPRODUCT(($AM$11:$AM2724&lt;&gt;"")*($AS$11:$AS2724&lt;&gt;"✓")),"")</f>
        <v/>
      </c>
      <c r="AZ2724" s="21" t="str">
        <f>IF(AND($AM2724&lt;&gt;"",$AS2724="✓"),SUMPRODUCT(($AM$11:$AM2724&lt;&gt;"")*($AS$11:$AS2724="✓")),"")</f>
        <v/>
      </c>
      <c r="BA2724" s="21" t="str">
        <f>IF($AL2724="","",$AL2724&amp;"|"&amp;COUNTIF($AL$11:$AL2724,$AL2724))</f>
        <v/>
      </c>
    </row>
    <row r="2725" spans="38:53" ht="15" customHeight="1" x14ac:dyDescent="0.25">
      <c r="AL2725" s="17"/>
      <c r="AM2725" s="12"/>
      <c r="AN2725" s="18"/>
      <c r="AO2725" s="18"/>
      <c r="AP2725" s="10"/>
      <c r="AQ2725" s="10"/>
      <c r="AR2725" s="19"/>
      <c r="AS2725" s="20"/>
      <c r="AT2725" s="19"/>
      <c r="AV2725" s="21">
        <f>IF(AND($AL2725&lt;&gt;"",COUNTIF($AL$11:$AL2725,$AL2725)=1),1,0)</f>
        <v>0</v>
      </c>
      <c r="AW2725" s="21">
        <f t="shared" si="171"/>
        <v>0</v>
      </c>
      <c r="AX2725" s="21" t="str">
        <f t="shared" si="170"/>
        <v/>
      </c>
      <c r="AY2725" s="21" t="str">
        <f>IF(AND($AM2725&lt;&gt;"",$AS2725&lt;&gt;"✓"),SUMPRODUCT(($AM$11:$AM2725&lt;&gt;"")*($AS$11:$AS2725&lt;&gt;"✓")),"")</f>
        <v/>
      </c>
      <c r="AZ2725" s="21" t="str">
        <f>IF(AND($AM2725&lt;&gt;"",$AS2725="✓"),SUMPRODUCT(($AM$11:$AM2725&lt;&gt;"")*($AS$11:$AS2725="✓")),"")</f>
        <v/>
      </c>
      <c r="BA2725" s="21" t="str">
        <f>IF($AL2725="","",$AL2725&amp;"|"&amp;COUNTIF($AL$11:$AL2725,$AL2725))</f>
        <v/>
      </c>
    </row>
    <row r="2726" spans="38:53" ht="15" customHeight="1" x14ac:dyDescent="0.25">
      <c r="AL2726" s="31"/>
      <c r="AM2726" s="26"/>
      <c r="AN2726" s="32"/>
      <c r="AO2726" s="32"/>
      <c r="AP2726" s="24"/>
      <c r="AQ2726" s="24"/>
      <c r="AR2726" s="33"/>
      <c r="AS2726" s="34"/>
      <c r="AT2726" s="33"/>
      <c r="AV2726" s="21">
        <f>IF(AND($AL2726&lt;&gt;"",COUNTIF($AL$11:$AL2726,$AL2726)=1),1,0)</f>
        <v>0</v>
      </c>
      <c r="AW2726" s="21">
        <f t="shared" si="171"/>
        <v>0</v>
      </c>
      <c r="AX2726" s="21" t="str">
        <f t="shared" si="170"/>
        <v/>
      </c>
      <c r="AY2726" s="21" t="str">
        <f>IF(AND($AM2726&lt;&gt;"",$AS2726&lt;&gt;"✓"),SUMPRODUCT(($AM$11:$AM2726&lt;&gt;"")*($AS$11:$AS2726&lt;&gt;"✓")),"")</f>
        <v/>
      </c>
      <c r="AZ2726" s="21" t="str">
        <f>IF(AND($AM2726&lt;&gt;"",$AS2726="✓"),SUMPRODUCT(($AM$11:$AM2726&lt;&gt;"")*($AS$11:$AS2726="✓")),"")</f>
        <v/>
      </c>
      <c r="BA2726" s="21" t="str">
        <f>IF($AL2726="","",$AL2726&amp;"|"&amp;COUNTIF($AL$11:$AL2726,$AL2726))</f>
        <v/>
      </c>
    </row>
    <row r="2727" spans="38:53" ht="15" customHeight="1" x14ac:dyDescent="0.25">
      <c r="AL2727" s="17"/>
      <c r="AM2727" s="12"/>
      <c r="AN2727" s="18"/>
      <c r="AO2727" s="18"/>
      <c r="AP2727" s="10"/>
      <c r="AQ2727" s="10"/>
      <c r="AR2727" s="19"/>
      <c r="AS2727" s="20"/>
      <c r="AT2727" s="19"/>
      <c r="AV2727" s="21">
        <f>IF(AND($AL2727&lt;&gt;"",COUNTIF($AL$11:$AL2727,$AL2727)=1),1,0)</f>
        <v>0</v>
      </c>
      <c r="AW2727" s="21">
        <f t="shared" si="171"/>
        <v>0</v>
      </c>
      <c r="AX2727" s="21" t="str">
        <f t="shared" si="170"/>
        <v/>
      </c>
      <c r="AY2727" s="21" t="str">
        <f>IF(AND($AM2727&lt;&gt;"",$AS2727&lt;&gt;"✓"),SUMPRODUCT(($AM$11:$AM2727&lt;&gt;"")*($AS$11:$AS2727&lt;&gt;"✓")),"")</f>
        <v/>
      </c>
      <c r="AZ2727" s="21" t="str">
        <f>IF(AND($AM2727&lt;&gt;"",$AS2727="✓"),SUMPRODUCT(($AM$11:$AM2727&lt;&gt;"")*($AS$11:$AS2727="✓")),"")</f>
        <v/>
      </c>
      <c r="BA2727" s="21" t="str">
        <f>IF($AL2727="","",$AL2727&amp;"|"&amp;COUNTIF($AL$11:$AL2727,$AL2727))</f>
        <v/>
      </c>
    </row>
    <row r="2728" spans="38:53" ht="15" customHeight="1" x14ac:dyDescent="0.25">
      <c r="AL2728" s="31"/>
      <c r="AM2728" s="26"/>
      <c r="AN2728" s="32"/>
      <c r="AO2728" s="32"/>
      <c r="AP2728" s="24"/>
      <c r="AQ2728" s="24"/>
      <c r="AR2728" s="33"/>
      <c r="AS2728" s="34"/>
      <c r="AT2728" s="33"/>
      <c r="AV2728" s="21">
        <f>IF(AND($AL2728&lt;&gt;"",COUNTIF($AL$11:$AL2728,$AL2728)=1),1,0)</f>
        <v>0</v>
      </c>
      <c r="AW2728" s="21">
        <f t="shared" si="171"/>
        <v>0</v>
      </c>
      <c r="AX2728" s="21" t="str">
        <f t="shared" si="170"/>
        <v/>
      </c>
      <c r="AY2728" s="21" t="str">
        <f>IF(AND($AM2728&lt;&gt;"",$AS2728&lt;&gt;"✓"),SUMPRODUCT(($AM$11:$AM2728&lt;&gt;"")*($AS$11:$AS2728&lt;&gt;"✓")),"")</f>
        <v/>
      </c>
      <c r="AZ2728" s="21" t="str">
        <f>IF(AND($AM2728&lt;&gt;"",$AS2728="✓"),SUMPRODUCT(($AM$11:$AM2728&lt;&gt;"")*($AS$11:$AS2728="✓")),"")</f>
        <v/>
      </c>
      <c r="BA2728" s="21" t="str">
        <f>IF($AL2728="","",$AL2728&amp;"|"&amp;COUNTIF($AL$11:$AL2728,$AL2728))</f>
        <v/>
      </c>
    </row>
    <row r="2729" spans="38:53" ht="15" customHeight="1" x14ac:dyDescent="0.25">
      <c r="AL2729" s="17"/>
      <c r="AM2729" s="12"/>
      <c r="AN2729" s="18"/>
      <c r="AO2729" s="18"/>
      <c r="AP2729" s="10"/>
      <c r="AQ2729" s="10"/>
      <c r="AR2729" s="19"/>
      <c r="AS2729" s="20"/>
      <c r="AT2729" s="19"/>
      <c r="AV2729" s="21">
        <f>IF(AND($AL2729&lt;&gt;"",COUNTIF($AL$11:$AL2729,$AL2729)=1),1,0)</f>
        <v>0</v>
      </c>
      <c r="AW2729" s="21">
        <f t="shared" si="171"/>
        <v>0</v>
      </c>
      <c r="AX2729" s="21" t="str">
        <f t="shared" si="170"/>
        <v/>
      </c>
      <c r="AY2729" s="21" t="str">
        <f>IF(AND($AM2729&lt;&gt;"",$AS2729&lt;&gt;"✓"),SUMPRODUCT(($AM$11:$AM2729&lt;&gt;"")*($AS$11:$AS2729&lt;&gt;"✓")),"")</f>
        <v/>
      </c>
      <c r="AZ2729" s="21" t="str">
        <f>IF(AND($AM2729&lt;&gt;"",$AS2729="✓"),SUMPRODUCT(($AM$11:$AM2729&lt;&gt;"")*($AS$11:$AS2729="✓")),"")</f>
        <v/>
      </c>
      <c r="BA2729" s="21" t="str">
        <f>IF($AL2729="","",$AL2729&amp;"|"&amp;COUNTIF($AL$11:$AL2729,$AL2729))</f>
        <v/>
      </c>
    </row>
    <row r="2730" spans="38:53" ht="15" customHeight="1" x14ac:dyDescent="0.25">
      <c r="AL2730" s="31"/>
      <c r="AM2730" s="26"/>
      <c r="AN2730" s="32"/>
      <c r="AO2730" s="32"/>
      <c r="AP2730" s="24"/>
      <c r="AQ2730" s="24"/>
      <c r="AR2730" s="33"/>
      <c r="AS2730" s="34"/>
      <c r="AT2730" s="33"/>
      <c r="AV2730" s="21">
        <f>IF(AND($AL2730&lt;&gt;"",COUNTIF($AL$11:$AL2730,$AL2730)=1),1,0)</f>
        <v>0</v>
      </c>
      <c r="AW2730" s="21">
        <f t="shared" si="171"/>
        <v>0</v>
      </c>
      <c r="AX2730" s="21" t="str">
        <f t="shared" si="170"/>
        <v/>
      </c>
      <c r="AY2730" s="21" t="str">
        <f>IF(AND($AM2730&lt;&gt;"",$AS2730&lt;&gt;"✓"),SUMPRODUCT(($AM$11:$AM2730&lt;&gt;"")*($AS$11:$AS2730&lt;&gt;"✓")),"")</f>
        <v/>
      </c>
      <c r="AZ2730" s="21" t="str">
        <f>IF(AND($AM2730&lt;&gt;"",$AS2730="✓"),SUMPRODUCT(($AM$11:$AM2730&lt;&gt;"")*($AS$11:$AS2730="✓")),"")</f>
        <v/>
      </c>
      <c r="BA2730" s="21" t="str">
        <f>IF($AL2730="","",$AL2730&amp;"|"&amp;COUNTIF($AL$11:$AL2730,$AL2730))</f>
        <v/>
      </c>
    </row>
    <row r="2731" spans="38:53" ht="15" customHeight="1" x14ac:dyDescent="0.25">
      <c r="AL2731" s="17"/>
      <c r="AM2731" s="12"/>
      <c r="AN2731" s="18"/>
      <c r="AO2731" s="18"/>
      <c r="AP2731" s="10"/>
      <c r="AQ2731" s="10"/>
      <c r="AR2731" s="19"/>
      <c r="AS2731" s="20"/>
      <c r="AT2731" s="19"/>
      <c r="AV2731" s="21">
        <f>IF(AND($AL2731&lt;&gt;"",COUNTIF($AL$11:$AL2731,$AL2731)=1),1,0)</f>
        <v>0</v>
      </c>
      <c r="AW2731" s="21">
        <f t="shared" si="171"/>
        <v>0</v>
      </c>
      <c r="AX2731" s="21" t="str">
        <f t="shared" si="170"/>
        <v/>
      </c>
      <c r="AY2731" s="21" t="str">
        <f>IF(AND($AM2731&lt;&gt;"",$AS2731&lt;&gt;"✓"),SUMPRODUCT(($AM$11:$AM2731&lt;&gt;"")*($AS$11:$AS2731&lt;&gt;"✓")),"")</f>
        <v/>
      </c>
      <c r="AZ2731" s="21" t="str">
        <f>IF(AND($AM2731&lt;&gt;"",$AS2731="✓"),SUMPRODUCT(($AM$11:$AM2731&lt;&gt;"")*($AS$11:$AS2731="✓")),"")</f>
        <v/>
      </c>
      <c r="BA2731" s="21" t="str">
        <f>IF($AL2731="","",$AL2731&amp;"|"&amp;COUNTIF($AL$11:$AL2731,$AL2731))</f>
        <v/>
      </c>
    </row>
    <row r="2732" spans="38:53" ht="15" customHeight="1" x14ac:dyDescent="0.25">
      <c r="AL2732" s="31"/>
      <c r="AM2732" s="26"/>
      <c r="AN2732" s="32"/>
      <c r="AO2732" s="32"/>
      <c r="AP2732" s="24"/>
      <c r="AQ2732" s="24"/>
      <c r="AR2732" s="33"/>
      <c r="AS2732" s="34"/>
      <c r="AT2732" s="33"/>
      <c r="AV2732" s="21">
        <f>IF(AND($AL2732&lt;&gt;"",COUNTIF($AL$11:$AL2732,$AL2732)=1),1,0)</f>
        <v>0</v>
      </c>
      <c r="AW2732" s="21">
        <f t="shared" si="171"/>
        <v>0</v>
      </c>
      <c r="AX2732" s="21" t="str">
        <f t="shared" si="170"/>
        <v/>
      </c>
      <c r="AY2732" s="21" t="str">
        <f>IF(AND($AM2732&lt;&gt;"",$AS2732&lt;&gt;"✓"),SUMPRODUCT(($AM$11:$AM2732&lt;&gt;"")*($AS$11:$AS2732&lt;&gt;"✓")),"")</f>
        <v/>
      </c>
      <c r="AZ2732" s="21" t="str">
        <f>IF(AND($AM2732&lt;&gt;"",$AS2732="✓"),SUMPRODUCT(($AM$11:$AM2732&lt;&gt;"")*($AS$11:$AS2732="✓")),"")</f>
        <v/>
      </c>
      <c r="BA2732" s="21" t="str">
        <f>IF($AL2732="","",$AL2732&amp;"|"&amp;COUNTIF($AL$11:$AL2732,$AL2732))</f>
        <v/>
      </c>
    </row>
    <row r="2733" spans="38:53" ht="15" customHeight="1" x14ac:dyDescent="0.25">
      <c r="AL2733" s="17"/>
      <c r="AM2733" s="12"/>
      <c r="AN2733" s="18"/>
      <c r="AO2733" s="18"/>
      <c r="AP2733" s="10"/>
      <c r="AQ2733" s="10"/>
      <c r="AR2733" s="19"/>
      <c r="AS2733" s="20"/>
      <c r="AT2733" s="19"/>
      <c r="AV2733" s="21">
        <f>IF(AND($AL2733&lt;&gt;"",COUNTIF($AL$11:$AL2733,$AL2733)=1),1,0)</f>
        <v>0</v>
      </c>
      <c r="AW2733" s="21">
        <f t="shared" si="171"/>
        <v>0</v>
      </c>
      <c r="AX2733" s="21" t="str">
        <f t="shared" si="170"/>
        <v/>
      </c>
      <c r="AY2733" s="21" t="str">
        <f>IF(AND($AM2733&lt;&gt;"",$AS2733&lt;&gt;"✓"),SUMPRODUCT(($AM$11:$AM2733&lt;&gt;"")*($AS$11:$AS2733&lt;&gt;"✓")),"")</f>
        <v/>
      </c>
      <c r="AZ2733" s="21" t="str">
        <f>IF(AND($AM2733&lt;&gt;"",$AS2733="✓"),SUMPRODUCT(($AM$11:$AM2733&lt;&gt;"")*($AS$11:$AS2733="✓")),"")</f>
        <v/>
      </c>
      <c r="BA2733" s="21" t="str">
        <f>IF($AL2733="","",$AL2733&amp;"|"&amp;COUNTIF($AL$11:$AL2733,$AL2733))</f>
        <v/>
      </c>
    </row>
    <row r="2734" spans="38:53" ht="15" customHeight="1" x14ac:dyDescent="0.25">
      <c r="AL2734" s="31"/>
      <c r="AM2734" s="26"/>
      <c r="AN2734" s="32"/>
      <c r="AO2734" s="32"/>
      <c r="AP2734" s="24"/>
      <c r="AQ2734" s="24"/>
      <c r="AR2734" s="33"/>
      <c r="AS2734" s="34"/>
      <c r="AT2734" s="33"/>
      <c r="AV2734" s="21">
        <f>IF(AND($AL2734&lt;&gt;"",COUNTIF($AL$11:$AL2734,$AL2734)=1),1,0)</f>
        <v>0</v>
      </c>
      <c r="AW2734" s="21">
        <f t="shared" si="171"/>
        <v>0</v>
      </c>
      <c r="AX2734" s="21" t="str">
        <f t="shared" si="170"/>
        <v/>
      </c>
      <c r="AY2734" s="21" t="str">
        <f>IF(AND($AM2734&lt;&gt;"",$AS2734&lt;&gt;"✓"),SUMPRODUCT(($AM$11:$AM2734&lt;&gt;"")*($AS$11:$AS2734&lt;&gt;"✓")),"")</f>
        <v/>
      </c>
      <c r="AZ2734" s="21" t="str">
        <f>IF(AND($AM2734&lt;&gt;"",$AS2734="✓"),SUMPRODUCT(($AM$11:$AM2734&lt;&gt;"")*($AS$11:$AS2734="✓")),"")</f>
        <v/>
      </c>
      <c r="BA2734" s="21" t="str">
        <f>IF($AL2734="","",$AL2734&amp;"|"&amp;COUNTIF($AL$11:$AL2734,$AL2734))</f>
        <v/>
      </c>
    </row>
    <row r="2735" spans="38:53" ht="15" customHeight="1" x14ac:dyDescent="0.25">
      <c r="AL2735" s="17"/>
      <c r="AM2735" s="12"/>
      <c r="AN2735" s="18"/>
      <c r="AO2735" s="18"/>
      <c r="AP2735" s="10"/>
      <c r="AQ2735" s="10"/>
      <c r="AR2735" s="19"/>
      <c r="AS2735" s="20"/>
      <c r="AT2735" s="19"/>
      <c r="AV2735" s="21">
        <f>IF(AND($AL2735&lt;&gt;"",COUNTIF($AL$11:$AL2735,$AL2735)=1),1,0)</f>
        <v>0</v>
      </c>
      <c r="AW2735" s="21">
        <f t="shared" si="171"/>
        <v>0</v>
      </c>
      <c r="AX2735" s="21" t="str">
        <f t="shared" si="170"/>
        <v/>
      </c>
      <c r="AY2735" s="21" t="str">
        <f>IF(AND($AM2735&lt;&gt;"",$AS2735&lt;&gt;"✓"),SUMPRODUCT(($AM$11:$AM2735&lt;&gt;"")*($AS$11:$AS2735&lt;&gt;"✓")),"")</f>
        <v/>
      </c>
      <c r="AZ2735" s="21" t="str">
        <f>IF(AND($AM2735&lt;&gt;"",$AS2735="✓"),SUMPRODUCT(($AM$11:$AM2735&lt;&gt;"")*($AS$11:$AS2735="✓")),"")</f>
        <v/>
      </c>
      <c r="BA2735" s="21" t="str">
        <f>IF($AL2735="","",$AL2735&amp;"|"&amp;COUNTIF($AL$11:$AL2735,$AL2735))</f>
        <v/>
      </c>
    </row>
    <row r="2736" spans="38:53" ht="15" customHeight="1" x14ac:dyDescent="0.25">
      <c r="AL2736" s="31"/>
      <c r="AM2736" s="26"/>
      <c r="AN2736" s="32"/>
      <c r="AO2736" s="32"/>
      <c r="AP2736" s="24"/>
      <c r="AQ2736" s="24"/>
      <c r="AR2736" s="33"/>
      <c r="AS2736" s="34"/>
      <c r="AT2736" s="33"/>
      <c r="AV2736" s="21">
        <f>IF(AND($AL2736&lt;&gt;"",COUNTIF($AL$11:$AL2736,$AL2736)=1),1,0)</f>
        <v>0</v>
      </c>
      <c r="AW2736" s="21">
        <f t="shared" si="171"/>
        <v>0</v>
      </c>
      <c r="AX2736" s="21" t="str">
        <f t="shared" si="170"/>
        <v/>
      </c>
      <c r="AY2736" s="21" t="str">
        <f>IF(AND($AM2736&lt;&gt;"",$AS2736&lt;&gt;"✓"),SUMPRODUCT(($AM$11:$AM2736&lt;&gt;"")*($AS$11:$AS2736&lt;&gt;"✓")),"")</f>
        <v/>
      </c>
      <c r="AZ2736" s="21" t="str">
        <f>IF(AND($AM2736&lt;&gt;"",$AS2736="✓"),SUMPRODUCT(($AM$11:$AM2736&lt;&gt;"")*($AS$11:$AS2736="✓")),"")</f>
        <v/>
      </c>
      <c r="BA2736" s="21" t="str">
        <f>IF($AL2736="","",$AL2736&amp;"|"&amp;COUNTIF($AL$11:$AL2736,$AL2736))</f>
        <v/>
      </c>
    </row>
    <row r="2737" spans="38:53" ht="15" customHeight="1" x14ac:dyDescent="0.25">
      <c r="AL2737" s="17"/>
      <c r="AM2737" s="12"/>
      <c r="AN2737" s="18"/>
      <c r="AO2737" s="18"/>
      <c r="AP2737" s="10"/>
      <c r="AQ2737" s="10"/>
      <c r="AR2737" s="19"/>
      <c r="AS2737" s="20"/>
      <c r="AT2737" s="19"/>
      <c r="AV2737" s="21">
        <f>IF(AND($AL2737&lt;&gt;"",COUNTIF($AL$11:$AL2737,$AL2737)=1),1,0)</f>
        <v>0</v>
      </c>
      <c r="AW2737" s="21">
        <f t="shared" si="171"/>
        <v>0</v>
      </c>
      <c r="AX2737" s="21" t="str">
        <f t="shared" si="170"/>
        <v/>
      </c>
      <c r="AY2737" s="21" t="str">
        <f>IF(AND($AM2737&lt;&gt;"",$AS2737&lt;&gt;"✓"),SUMPRODUCT(($AM$11:$AM2737&lt;&gt;"")*($AS$11:$AS2737&lt;&gt;"✓")),"")</f>
        <v/>
      </c>
      <c r="AZ2737" s="21" t="str">
        <f>IF(AND($AM2737&lt;&gt;"",$AS2737="✓"),SUMPRODUCT(($AM$11:$AM2737&lt;&gt;"")*($AS$11:$AS2737="✓")),"")</f>
        <v/>
      </c>
      <c r="BA2737" s="21" t="str">
        <f>IF($AL2737="","",$AL2737&amp;"|"&amp;COUNTIF($AL$11:$AL2737,$AL2737))</f>
        <v/>
      </c>
    </row>
    <row r="2738" spans="38:53" ht="15" customHeight="1" x14ac:dyDescent="0.25">
      <c r="AL2738" s="31"/>
      <c r="AM2738" s="26"/>
      <c r="AN2738" s="32"/>
      <c r="AO2738" s="32"/>
      <c r="AP2738" s="24"/>
      <c r="AQ2738" s="24"/>
      <c r="AR2738" s="33"/>
      <c r="AS2738" s="34"/>
      <c r="AT2738" s="33"/>
      <c r="AV2738" s="21">
        <f>IF(AND($AL2738&lt;&gt;"",COUNTIF($AL$11:$AL2738,$AL2738)=1),1,0)</f>
        <v>0</v>
      </c>
      <c r="AW2738" s="21">
        <f t="shared" si="171"/>
        <v>0</v>
      </c>
      <c r="AX2738" s="21" t="str">
        <f t="shared" si="170"/>
        <v/>
      </c>
      <c r="AY2738" s="21" t="str">
        <f>IF(AND($AM2738&lt;&gt;"",$AS2738&lt;&gt;"✓"),SUMPRODUCT(($AM$11:$AM2738&lt;&gt;"")*($AS$11:$AS2738&lt;&gt;"✓")),"")</f>
        <v/>
      </c>
      <c r="AZ2738" s="21" t="str">
        <f>IF(AND($AM2738&lt;&gt;"",$AS2738="✓"),SUMPRODUCT(($AM$11:$AM2738&lt;&gt;"")*($AS$11:$AS2738="✓")),"")</f>
        <v/>
      </c>
      <c r="BA2738" s="21" t="str">
        <f>IF($AL2738="","",$AL2738&amp;"|"&amp;COUNTIF($AL$11:$AL2738,$AL2738))</f>
        <v/>
      </c>
    </row>
    <row r="2739" spans="38:53" ht="15" customHeight="1" x14ac:dyDescent="0.25">
      <c r="AL2739" s="17"/>
      <c r="AM2739" s="12"/>
      <c r="AN2739" s="18"/>
      <c r="AO2739" s="18"/>
      <c r="AP2739" s="10"/>
      <c r="AQ2739" s="10"/>
      <c r="AR2739" s="19"/>
      <c r="AS2739" s="20"/>
      <c r="AT2739" s="19"/>
      <c r="AV2739" s="21">
        <f>IF(AND($AL2739&lt;&gt;"",COUNTIF($AL$11:$AL2739,$AL2739)=1),1,0)</f>
        <v>0</v>
      </c>
      <c r="AW2739" s="21">
        <f t="shared" si="171"/>
        <v>0</v>
      </c>
      <c r="AX2739" s="21" t="str">
        <f t="shared" si="170"/>
        <v/>
      </c>
      <c r="AY2739" s="21" t="str">
        <f>IF(AND($AM2739&lt;&gt;"",$AS2739&lt;&gt;"✓"),SUMPRODUCT(($AM$11:$AM2739&lt;&gt;"")*($AS$11:$AS2739&lt;&gt;"✓")),"")</f>
        <v/>
      </c>
      <c r="AZ2739" s="21" t="str">
        <f>IF(AND($AM2739&lt;&gt;"",$AS2739="✓"),SUMPRODUCT(($AM$11:$AM2739&lt;&gt;"")*($AS$11:$AS2739="✓")),"")</f>
        <v/>
      </c>
      <c r="BA2739" s="21" t="str">
        <f>IF($AL2739="","",$AL2739&amp;"|"&amp;COUNTIF($AL$11:$AL2739,$AL2739))</f>
        <v/>
      </c>
    </row>
    <row r="2740" spans="38:53" ht="15" customHeight="1" x14ac:dyDescent="0.25">
      <c r="AL2740" s="31"/>
      <c r="AM2740" s="26"/>
      <c r="AN2740" s="32"/>
      <c r="AO2740" s="32"/>
      <c r="AP2740" s="24"/>
      <c r="AQ2740" s="24"/>
      <c r="AR2740" s="33"/>
      <c r="AS2740" s="34"/>
      <c r="AT2740" s="33"/>
      <c r="AV2740" s="21">
        <f>IF(AND($AL2740&lt;&gt;"",COUNTIF($AL$11:$AL2740,$AL2740)=1),1,0)</f>
        <v>0</v>
      </c>
      <c r="AW2740" s="21">
        <f t="shared" si="171"/>
        <v>0</v>
      </c>
      <c r="AX2740" s="21" t="str">
        <f t="shared" si="170"/>
        <v/>
      </c>
      <c r="AY2740" s="21" t="str">
        <f>IF(AND($AM2740&lt;&gt;"",$AS2740&lt;&gt;"✓"),SUMPRODUCT(($AM$11:$AM2740&lt;&gt;"")*($AS$11:$AS2740&lt;&gt;"✓")),"")</f>
        <v/>
      </c>
      <c r="AZ2740" s="21" t="str">
        <f>IF(AND($AM2740&lt;&gt;"",$AS2740="✓"),SUMPRODUCT(($AM$11:$AM2740&lt;&gt;"")*($AS$11:$AS2740="✓")),"")</f>
        <v/>
      </c>
      <c r="BA2740" s="21" t="str">
        <f>IF($AL2740="","",$AL2740&amp;"|"&amp;COUNTIF($AL$11:$AL2740,$AL2740))</f>
        <v/>
      </c>
    </row>
    <row r="2741" spans="38:53" ht="15" customHeight="1" x14ac:dyDescent="0.25">
      <c r="AL2741" s="17"/>
      <c r="AM2741" s="12"/>
      <c r="AN2741" s="18"/>
      <c r="AO2741" s="18"/>
      <c r="AP2741" s="10"/>
      <c r="AQ2741" s="10"/>
      <c r="AR2741" s="19"/>
      <c r="AS2741" s="20"/>
      <c r="AT2741" s="19"/>
      <c r="AV2741" s="21">
        <f>IF(AND($AL2741&lt;&gt;"",COUNTIF($AL$11:$AL2741,$AL2741)=1),1,0)</f>
        <v>0</v>
      </c>
      <c r="AW2741" s="21">
        <f t="shared" si="171"/>
        <v>0</v>
      </c>
      <c r="AX2741" s="21" t="str">
        <f t="shared" si="170"/>
        <v/>
      </c>
      <c r="AY2741" s="21" t="str">
        <f>IF(AND($AM2741&lt;&gt;"",$AS2741&lt;&gt;"✓"),SUMPRODUCT(($AM$11:$AM2741&lt;&gt;"")*($AS$11:$AS2741&lt;&gt;"✓")),"")</f>
        <v/>
      </c>
      <c r="AZ2741" s="21" t="str">
        <f>IF(AND($AM2741&lt;&gt;"",$AS2741="✓"),SUMPRODUCT(($AM$11:$AM2741&lt;&gt;"")*($AS$11:$AS2741="✓")),"")</f>
        <v/>
      </c>
      <c r="BA2741" s="21" t="str">
        <f>IF($AL2741="","",$AL2741&amp;"|"&amp;COUNTIF($AL$11:$AL2741,$AL2741))</f>
        <v/>
      </c>
    </row>
    <row r="2742" spans="38:53" ht="15" customHeight="1" x14ac:dyDescent="0.25">
      <c r="AL2742" s="31"/>
      <c r="AM2742" s="26"/>
      <c r="AN2742" s="32"/>
      <c r="AO2742" s="32"/>
      <c r="AP2742" s="24"/>
      <c r="AQ2742" s="24"/>
      <c r="AR2742" s="33"/>
      <c r="AS2742" s="34"/>
      <c r="AT2742" s="33"/>
      <c r="AV2742" s="21">
        <f>IF(AND($AL2742&lt;&gt;"",COUNTIF($AL$11:$AL2742,$AL2742)=1),1,0)</f>
        <v>0</v>
      </c>
      <c r="AW2742" s="21">
        <f t="shared" si="171"/>
        <v>0</v>
      </c>
      <c r="AX2742" s="21" t="str">
        <f t="shared" si="170"/>
        <v/>
      </c>
      <c r="AY2742" s="21" t="str">
        <f>IF(AND($AM2742&lt;&gt;"",$AS2742&lt;&gt;"✓"),SUMPRODUCT(($AM$11:$AM2742&lt;&gt;"")*($AS$11:$AS2742&lt;&gt;"✓")),"")</f>
        <v/>
      </c>
      <c r="AZ2742" s="21" t="str">
        <f>IF(AND($AM2742&lt;&gt;"",$AS2742="✓"),SUMPRODUCT(($AM$11:$AM2742&lt;&gt;"")*($AS$11:$AS2742="✓")),"")</f>
        <v/>
      </c>
      <c r="BA2742" s="21" t="str">
        <f>IF($AL2742="","",$AL2742&amp;"|"&amp;COUNTIF($AL$11:$AL2742,$AL2742))</f>
        <v/>
      </c>
    </row>
    <row r="2743" spans="38:53" ht="15" customHeight="1" x14ac:dyDescent="0.25">
      <c r="AL2743" s="17"/>
      <c r="AM2743" s="12"/>
      <c r="AN2743" s="18"/>
      <c r="AO2743" s="18"/>
      <c r="AP2743" s="10"/>
      <c r="AQ2743" s="10"/>
      <c r="AR2743" s="19"/>
      <c r="AS2743" s="20"/>
      <c r="AT2743" s="19"/>
      <c r="AV2743" s="21">
        <f>IF(AND($AL2743&lt;&gt;"",COUNTIF($AL$11:$AL2743,$AL2743)=1),1,0)</f>
        <v>0</v>
      </c>
      <c r="AW2743" s="21">
        <f t="shared" si="171"/>
        <v>0</v>
      </c>
      <c r="AX2743" s="21" t="str">
        <f t="shared" si="170"/>
        <v/>
      </c>
      <c r="AY2743" s="21" t="str">
        <f>IF(AND($AM2743&lt;&gt;"",$AS2743&lt;&gt;"✓"),SUMPRODUCT(($AM$11:$AM2743&lt;&gt;"")*($AS$11:$AS2743&lt;&gt;"✓")),"")</f>
        <v/>
      </c>
      <c r="AZ2743" s="21" t="str">
        <f>IF(AND($AM2743&lt;&gt;"",$AS2743="✓"),SUMPRODUCT(($AM$11:$AM2743&lt;&gt;"")*($AS$11:$AS2743="✓")),"")</f>
        <v/>
      </c>
      <c r="BA2743" s="21" t="str">
        <f>IF($AL2743="","",$AL2743&amp;"|"&amp;COUNTIF($AL$11:$AL2743,$AL2743))</f>
        <v/>
      </c>
    </row>
    <row r="2744" spans="38:53" ht="15" customHeight="1" x14ac:dyDescent="0.25">
      <c r="AL2744" s="31"/>
      <c r="AM2744" s="26"/>
      <c r="AN2744" s="32"/>
      <c r="AO2744" s="32"/>
      <c r="AP2744" s="24"/>
      <c r="AQ2744" s="24"/>
      <c r="AR2744" s="33"/>
      <c r="AS2744" s="34"/>
      <c r="AT2744" s="33"/>
      <c r="AV2744" s="21">
        <f>IF(AND($AL2744&lt;&gt;"",COUNTIF($AL$11:$AL2744,$AL2744)=1),1,0)</f>
        <v>0</v>
      </c>
      <c r="AW2744" s="21">
        <f t="shared" si="171"/>
        <v>0</v>
      </c>
      <c r="AX2744" s="21" t="str">
        <f t="shared" si="170"/>
        <v/>
      </c>
      <c r="AY2744" s="21" t="str">
        <f>IF(AND($AM2744&lt;&gt;"",$AS2744&lt;&gt;"✓"),SUMPRODUCT(($AM$11:$AM2744&lt;&gt;"")*($AS$11:$AS2744&lt;&gt;"✓")),"")</f>
        <v/>
      </c>
      <c r="AZ2744" s="21" t="str">
        <f>IF(AND($AM2744&lt;&gt;"",$AS2744="✓"),SUMPRODUCT(($AM$11:$AM2744&lt;&gt;"")*($AS$11:$AS2744="✓")),"")</f>
        <v/>
      </c>
      <c r="BA2744" s="21" t="str">
        <f>IF($AL2744="","",$AL2744&amp;"|"&amp;COUNTIF($AL$11:$AL2744,$AL2744))</f>
        <v/>
      </c>
    </row>
    <row r="2745" spans="38:53" ht="15" customHeight="1" x14ac:dyDescent="0.25">
      <c r="AL2745" s="17"/>
      <c r="AM2745" s="12"/>
      <c r="AN2745" s="18"/>
      <c r="AO2745" s="18"/>
      <c r="AP2745" s="10"/>
      <c r="AQ2745" s="10"/>
      <c r="AR2745" s="19"/>
      <c r="AS2745" s="20"/>
      <c r="AT2745" s="19"/>
      <c r="AV2745" s="21">
        <f>IF(AND($AL2745&lt;&gt;"",COUNTIF($AL$11:$AL2745,$AL2745)=1),1,0)</f>
        <v>0</v>
      </c>
      <c r="AW2745" s="21">
        <f t="shared" si="171"/>
        <v>0</v>
      </c>
      <c r="AX2745" s="21" t="str">
        <f t="shared" si="170"/>
        <v/>
      </c>
      <c r="AY2745" s="21" t="str">
        <f>IF(AND($AM2745&lt;&gt;"",$AS2745&lt;&gt;"✓"),SUMPRODUCT(($AM$11:$AM2745&lt;&gt;"")*($AS$11:$AS2745&lt;&gt;"✓")),"")</f>
        <v/>
      </c>
      <c r="AZ2745" s="21" t="str">
        <f>IF(AND($AM2745&lt;&gt;"",$AS2745="✓"),SUMPRODUCT(($AM$11:$AM2745&lt;&gt;"")*($AS$11:$AS2745="✓")),"")</f>
        <v/>
      </c>
      <c r="BA2745" s="21" t="str">
        <f>IF($AL2745="","",$AL2745&amp;"|"&amp;COUNTIF($AL$11:$AL2745,$AL2745))</f>
        <v/>
      </c>
    </row>
    <row r="2746" spans="38:53" ht="15" customHeight="1" x14ac:dyDescent="0.25">
      <c r="AL2746" s="31"/>
      <c r="AM2746" s="26"/>
      <c r="AN2746" s="32"/>
      <c r="AO2746" s="32"/>
      <c r="AP2746" s="24"/>
      <c r="AQ2746" s="24"/>
      <c r="AR2746" s="33"/>
      <c r="AS2746" s="34"/>
      <c r="AT2746" s="33"/>
      <c r="AV2746" s="21">
        <f>IF(AND($AL2746&lt;&gt;"",COUNTIF($AL$11:$AL2746,$AL2746)=1),1,0)</f>
        <v>0</v>
      </c>
      <c r="AW2746" s="21">
        <f t="shared" si="171"/>
        <v>0</v>
      </c>
      <c r="AX2746" s="21" t="str">
        <f t="shared" si="170"/>
        <v/>
      </c>
      <c r="AY2746" s="21" t="str">
        <f>IF(AND($AM2746&lt;&gt;"",$AS2746&lt;&gt;"✓"),SUMPRODUCT(($AM$11:$AM2746&lt;&gt;"")*($AS$11:$AS2746&lt;&gt;"✓")),"")</f>
        <v/>
      </c>
      <c r="AZ2746" s="21" t="str">
        <f>IF(AND($AM2746&lt;&gt;"",$AS2746="✓"),SUMPRODUCT(($AM$11:$AM2746&lt;&gt;"")*($AS$11:$AS2746="✓")),"")</f>
        <v/>
      </c>
      <c r="BA2746" s="21" t="str">
        <f>IF($AL2746="","",$AL2746&amp;"|"&amp;COUNTIF($AL$11:$AL2746,$AL2746))</f>
        <v/>
      </c>
    </row>
    <row r="2747" spans="38:53" ht="15" customHeight="1" x14ac:dyDescent="0.25">
      <c r="AL2747" s="17"/>
      <c r="AM2747" s="12"/>
      <c r="AN2747" s="18"/>
      <c r="AO2747" s="18"/>
      <c r="AP2747" s="10"/>
      <c r="AQ2747" s="10"/>
      <c r="AR2747" s="19"/>
      <c r="AS2747" s="20"/>
      <c r="AT2747" s="19"/>
      <c r="AV2747" s="21">
        <f>IF(AND($AL2747&lt;&gt;"",COUNTIF($AL$11:$AL2747,$AL2747)=1),1,0)</f>
        <v>0</v>
      </c>
      <c r="AW2747" s="21">
        <f t="shared" si="171"/>
        <v>0</v>
      </c>
      <c r="AX2747" s="21" t="str">
        <f t="shared" si="170"/>
        <v/>
      </c>
      <c r="AY2747" s="21" t="str">
        <f>IF(AND($AM2747&lt;&gt;"",$AS2747&lt;&gt;"✓"),SUMPRODUCT(($AM$11:$AM2747&lt;&gt;"")*($AS$11:$AS2747&lt;&gt;"✓")),"")</f>
        <v/>
      </c>
      <c r="AZ2747" s="21" t="str">
        <f>IF(AND($AM2747&lt;&gt;"",$AS2747="✓"),SUMPRODUCT(($AM$11:$AM2747&lt;&gt;"")*($AS$11:$AS2747="✓")),"")</f>
        <v/>
      </c>
      <c r="BA2747" s="21" t="str">
        <f>IF($AL2747="","",$AL2747&amp;"|"&amp;COUNTIF($AL$11:$AL2747,$AL2747))</f>
        <v/>
      </c>
    </row>
    <row r="2748" spans="38:53" ht="15" customHeight="1" x14ac:dyDescent="0.25">
      <c r="AL2748" s="31"/>
      <c r="AM2748" s="26"/>
      <c r="AN2748" s="32"/>
      <c r="AO2748" s="32"/>
      <c r="AP2748" s="24"/>
      <c r="AQ2748" s="24"/>
      <c r="AR2748" s="33"/>
      <c r="AS2748" s="34"/>
      <c r="AT2748" s="33"/>
      <c r="AV2748" s="21">
        <f>IF(AND($AL2748&lt;&gt;"",COUNTIF($AL$11:$AL2748,$AL2748)=1),1,0)</f>
        <v>0</v>
      </c>
      <c r="AW2748" s="21">
        <f t="shared" si="171"/>
        <v>0</v>
      </c>
      <c r="AX2748" s="21" t="str">
        <f t="shared" si="170"/>
        <v/>
      </c>
      <c r="AY2748" s="21" t="str">
        <f>IF(AND($AM2748&lt;&gt;"",$AS2748&lt;&gt;"✓"),SUMPRODUCT(($AM$11:$AM2748&lt;&gt;"")*($AS$11:$AS2748&lt;&gt;"✓")),"")</f>
        <v/>
      </c>
      <c r="AZ2748" s="21" t="str">
        <f>IF(AND($AM2748&lt;&gt;"",$AS2748="✓"),SUMPRODUCT(($AM$11:$AM2748&lt;&gt;"")*($AS$11:$AS2748="✓")),"")</f>
        <v/>
      </c>
      <c r="BA2748" s="21" t="str">
        <f>IF($AL2748="","",$AL2748&amp;"|"&amp;COUNTIF($AL$11:$AL2748,$AL2748))</f>
        <v/>
      </c>
    </row>
    <row r="2749" spans="38:53" ht="15" customHeight="1" x14ac:dyDescent="0.25">
      <c r="AL2749" s="17"/>
      <c r="AM2749" s="12"/>
      <c r="AN2749" s="18"/>
      <c r="AO2749" s="18"/>
      <c r="AP2749" s="10"/>
      <c r="AQ2749" s="10"/>
      <c r="AR2749" s="19"/>
      <c r="AS2749" s="20"/>
      <c r="AT2749" s="19"/>
      <c r="AV2749" s="21">
        <f>IF(AND($AL2749&lt;&gt;"",COUNTIF($AL$11:$AL2749,$AL2749)=1),1,0)</f>
        <v>0</v>
      </c>
      <c r="AW2749" s="21">
        <f t="shared" si="171"/>
        <v>0</v>
      </c>
      <c r="AX2749" s="21" t="str">
        <f t="shared" si="170"/>
        <v/>
      </c>
      <c r="AY2749" s="21" t="str">
        <f>IF(AND($AM2749&lt;&gt;"",$AS2749&lt;&gt;"✓"),SUMPRODUCT(($AM$11:$AM2749&lt;&gt;"")*($AS$11:$AS2749&lt;&gt;"✓")),"")</f>
        <v/>
      </c>
      <c r="AZ2749" s="21" t="str">
        <f>IF(AND($AM2749&lt;&gt;"",$AS2749="✓"),SUMPRODUCT(($AM$11:$AM2749&lt;&gt;"")*($AS$11:$AS2749="✓")),"")</f>
        <v/>
      </c>
      <c r="BA2749" s="21" t="str">
        <f>IF($AL2749="","",$AL2749&amp;"|"&amp;COUNTIF($AL$11:$AL2749,$AL2749))</f>
        <v/>
      </c>
    </row>
    <row r="2750" spans="38:53" ht="15" customHeight="1" x14ac:dyDescent="0.25">
      <c r="AL2750" s="31"/>
      <c r="AM2750" s="26"/>
      <c r="AN2750" s="32"/>
      <c r="AO2750" s="32"/>
      <c r="AP2750" s="24"/>
      <c r="AQ2750" s="24"/>
      <c r="AR2750" s="33"/>
      <c r="AS2750" s="34"/>
      <c r="AT2750" s="33"/>
      <c r="AV2750" s="21">
        <f>IF(AND($AL2750&lt;&gt;"",COUNTIF($AL$11:$AL2750,$AL2750)=1),1,0)</f>
        <v>0</v>
      </c>
      <c r="AW2750" s="21">
        <f t="shared" si="171"/>
        <v>0</v>
      </c>
      <c r="AX2750" s="21" t="str">
        <f t="shared" si="170"/>
        <v/>
      </c>
      <c r="AY2750" s="21" t="str">
        <f>IF(AND($AM2750&lt;&gt;"",$AS2750&lt;&gt;"✓"),SUMPRODUCT(($AM$11:$AM2750&lt;&gt;"")*($AS$11:$AS2750&lt;&gt;"✓")),"")</f>
        <v/>
      </c>
      <c r="AZ2750" s="21" t="str">
        <f>IF(AND($AM2750&lt;&gt;"",$AS2750="✓"),SUMPRODUCT(($AM$11:$AM2750&lt;&gt;"")*($AS$11:$AS2750="✓")),"")</f>
        <v/>
      </c>
      <c r="BA2750" s="21" t="str">
        <f>IF($AL2750="","",$AL2750&amp;"|"&amp;COUNTIF($AL$11:$AL2750,$AL2750))</f>
        <v/>
      </c>
    </row>
    <row r="2751" spans="38:53" ht="15" customHeight="1" x14ac:dyDescent="0.25">
      <c r="AL2751" s="17"/>
      <c r="AM2751" s="12"/>
      <c r="AN2751" s="18"/>
      <c r="AO2751" s="18"/>
      <c r="AP2751" s="10"/>
      <c r="AQ2751" s="10"/>
      <c r="AR2751" s="19"/>
      <c r="AS2751" s="20"/>
      <c r="AT2751" s="19"/>
      <c r="AV2751" s="21">
        <f>IF(AND($AL2751&lt;&gt;"",COUNTIF($AL$11:$AL2751,$AL2751)=1),1,0)</f>
        <v>0</v>
      </c>
      <c r="AW2751" s="21">
        <f t="shared" si="171"/>
        <v>0</v>
      </c>
      <c r="AX2751" s="21" t="str">
        <f t="shared" si="170"/>
        <v/>
      </c>
      <c r="AY2751" s="21" t="str">
        <f>IF(AND($AM2751&lt;&gt;"",$AS2751&lt;&gt;"✓"),SUMPRODUCT(($AM$11:$AM2751&lt;&gt;"")*($AS$11:$AS2751&lt;&gt;"✓")),"")</f>
        <v/>
      </c>
      <c r="AZ2751" s="21" t="str">
        <f>IF(AND($AM2751&lt;&gt;"",$AS2751="✓"),SUMPRODUCT(($AM$11:$AM2751&lt;&gt;"")*($AS$11:$AS2751="✓")),"")</f>
        <v/>
      </c>
      <c r="BA2751" s="21" t="str">
        <f>IF($AL2751="","",$AL2751&amp;"|"&amp;COUNTIF($AL$11:$AL2751,$AL2751))</f>
        <v/>
      </c>
    </row>
    <row r="2752" spans="38:53" ht="15" customHeight="1" x14ac:dyDescent="0.25">
      <c r="AL2752" s="31"/>
      <c r="AM2752" s="26"/>
      <c r="AN2752" s="32"/>
      <c r="AO2752" s="32"/>
      <c r="AP2752" s="24"/>
      <c r="AQ2752" s="24"/>
      <c r="AR2752" s="33"/>
      <c r="AS2752" s="34"/>
      <c r="AT2752" s="33"/>
      <c r="AV2752" s="21">
        <f>IF(AND($AL2752&lt;&gt;"",COUNTIF($AL$11:$AL2752,$AL2752)=1),1,0)</f>
        <v>0</v>
      </c>
      <c r="AW2752" s="21">
        <f t="shared" si="171"/>
        <v>0</v>
      </c>
      <c r="AX2752" s="21" t="str">
        <f t="shared" si="170"/>
        <v/>
      </c>
      <c r="AY2752" s="21" t="str">
        <f>IF(AND($AM2752&lt;&gt;"",$AS2752&lt;&gt;"✓"),SUMPRODUCT(($AM$11:$AM2752&lt;&gt;"")*($AS$11:$AS2752&lt;&gt;"✓")),"")</f>
        <v/>
      </c>
      <c r="AZ2752" s="21" t="str">
        <f>IF(AND($AM2752&lt;&gt;"",$AS2752="✓"),SUMPRODUCT(($AM$11:$AM2752&lt;&gt;"")*($AS$11:$AS2752="✓")),"")</f>
        <v/>
      </c>
      <c r="BA2752" s="21" t="str">
        <f>IF($AL2752="","",$AL2752&amp;"|"&amp;COUNTIF($AL$11:$AL2752,$AL2752))</f>
        <v/>
      </c>
    </row>
    <row r="2753" spans="38:53" ht="15" customHeight="1" x14ac:dyDescent="0.25">
      <c r="AL2753" s="17"/>
      <c r="AM2753" s="12"/>
      <c r="AN2753" s="18"/>
      <c r="AO2753" s="18"/>
      <c r="AP2753" s="10"/>
      <c r="AQ2753" s="10"/>
      <c r="AR2753" s="19"/>
      <c r="AS2753" s="20"/>
      <c r="AT2753" s="19"/>
      <c r="AV2753" s="21">
        <f>IF(AND($AL2753&lt;&gt;"",COUNTIF($AL$11:$AL2753,$AL2753)=1),1,0)</f>
        <v>0</v>
      </c>
      <c r="AW2753" s="21">
        <f t="shared" si="171"/>
        <v>0</v>
      </c>
      <c r="AX2753" s="21" t="str">
        <f t="shared" si="170"/>
        <v/>
      </c>
      <c r="AY2753" s="21" t="str">
        <f>IF(AND($AM2753&lt;&gt;"",$AS2753&lt;&gt;"✓"),SUMPRODUCT(($AM$11:$AM2753&lt;&gt;"")*($AS$11:$AS2753&lt;&gt;"✓")),"")</f>
        <v/>
      </c>
      <c r="AZ2753" s="21" t="str">
        <f>IF(AND($AM2753&lt;&gt;"",$AS2753="✓"),SUMPRODUCT(($AM$11:$AM2753&lt;&gt;"")*($AS$11:$AS2753="✓")),"")</f>
        <v/>
      </c>
      <c r="BA2753" s="21" t="str">
        <f>IF($AL2753="","",$AL2753&amp;"|"&amp;COUNTIF($AL$11:$AL2753,$AL2753))</f>
        <v/>
      </c>
    </row>
    <row r="2754" spans="38:53" ht="15" customHeight="1" x14ac:dyDescent="0.25">
      <c r="AL2754" s="31"/>
      <c r="AM2754" s="26"/>
      <c r="AN2754" s="32"/>
      <c r="AO2754" s="32"/>
      <c r="AP2754" s="24"/>
      <c r="AQ2754" s="24"/>
      <c r="AR2754" s="33"/>
      <c r="AS2754" s="34"/>
      <c r="AT2754" s="33"/>
      <c r="AV2754" s="21">
        <f>IF(AND($AL2754&lt;&gt;"",COUNTIF($AL$11:$AL2754,$AL2754)=1),1,0)</f>
        <v>0</v>
      </c>
      <c r="AW2754" s="21">
        <f t="shared" si="171"/>
        <v>0</v>
      </c>
      <c r="AX2754" s="21" t="str">
        <f t="shared" si="170"/>
        <v/>
      </c>
      <c r="AY2754" s="21" t="str">
        <f>IF(AND($AM2754&lt;&gt;"",$AS2754&lt;&gt;"✓"),SUMPRODUCT(($AM$11:$AM2754&lt;&gt;"")*($AS$11:$AS2754&lt;&gt;"✓")),"")</f>
        <v/>
      </c>
      <c r="AZ2754" s="21" t="str">
        <f>IF(AND($AM2754&lt;&gt;"",$AS2754="✓"),SUMPRODUCT(($AM$11:$AM2754&lt;&gt;"")*($AS$11:$AS2754="✓")),"")</f>
        <v/>
      </c>
      <c r="BA2754" s="21" t="str">
        <f>IF($AL2754="","",$AL2754&amp;"|"&amp;COUNTIF($AL$11:$AL2754,$AL2754))</f>
        <v/>
      </c>
    </row>
    <row r="2755" spans="38:53" ht="15" customHeight="1" x14ac:dyDescent="0.25">
      <c r="AL2755" s="17"/>
      <c r="AM2755" s="12"/>
      <c r="AN2755" s="18"/>
      <c r="AO2755" s="18"/>
      <c r="AP2755" s="10"/>
      <c r="AQ2755" s="10"/>
      <c r="AR2755" s="19"/>
      <c r="AS2755" s="20"/>
      <c r="AT2755" s="19"/>
      <c r="AV2755" s="21">
        <f>IF(AND($AL2755&lt;&gt;"",COUNTIF($AL$11:$AL2755,$AL2755)=1),1,0)</f>
        <v>0</v>
      </c>
      <c r="AW2755" s="21">
        <f t="shared" si="171"/>
        <v>0</v>
      </c>
      <c r="AX2755" s="21" t="str">
        <f t="shared" si="170"/>
        <v/>
      </c>
      <c r="AY2755" s="21" t="str">
        <f>IF(AND($AM2755&lt;&gt;"",$AS2755&lt;&gt;"✓"),SUMPRODUCT(($AM$11:$AM2755&lt;&gt;"")*($AS$11:$AS2755&lt;&gt;"✓")),"")</f>
        <v/>
      </c>
      <c r="AZ2755" s="21" t="str">
        <f>IF(AND($AM2755&lt;&gt;"",$AS2755="✓"),SUMPRODUCT(($AM$11:$AM2755&lt;&gt;"")*($AS$11:$AS2755="✓")),"")</f>
        <v/>
      </c>
      <c r="BA2755" s="21" t="str">
        <f>IF($AL2755="","",$AL2755&amp;"|"&amp;COUNTIF($AL$11:$AL2755,$AL2755))</f>
        <v/>
      </c>
    </row>
    <row r="2756" spans="38:53" ht="15" customHeight="1" x14ac:dyDescent="0.25">
      <c r="AL2756" s="31"/>
      <c r="AM2756" s="26"/>
      <c r="AN2756" s="32"/>
      <c r="AO2756" s="32"/>
      <c r="AP2756" s="24"/>
      <c r="AQ2756" s="24"/>
      <c r="AR2756" s="33"/>
      <c r="AS2756" s="34"/>
      <c r="AT2756" s="33"/>
      <c r="AV2756" s="21">
        <f>IF(AND($AL2756&lt;&gt;"",COUNTIF($AL$11:$AL2756,$AL2756)=1),1,0)</f>
        <v>0</v>
      </c>
      <c r="AW2756" s="21">
        <f t="shared" si="171"/>
        <v>0</v>
      </c>
      <c r="AX2756" s="21" t="str">
        <f t="shared" si="170"/>
        <v/>
      </c>
      <c r="AY2756" s="21" t="str">
        <f>IF(AND($AM2756&lt;&gt;"",$AS2756&lt;&gt;"✓"),SUMPRODUCT(($AM$11:$AM2756&lt;&gt;"")*($AS$11:$AS2756&lt;&gt;"✓")),"")</f>
        <v/>
      </c>
      <c r="AZ2756" s="21" t="str">
        <f>IF(AND($AM2756&lt;&gt;"",$AS2756="✓"),SUMPRODUCT(($AM$11:$AM2756&lt;&gt;"")*($AS$11:$AS2756="✓")),"")</f>
        <v/>
      </c>
      <c r="BA2756" s="21" t="str">
        <f>IF($AL2756="","",$AL2756&amp;"|"&amp;COUNTIF($AL$11:$AL2756,$AL2756))</f>
        <v/>
      </c>
    </row>
    <row r="2757" spans="38:53" ht="15" customHeight="1" x14ac:dyDescent="0.25">
      <c r="AL2757" s="17"/>
      <c r="AM2757" s="12"/>
      <c r="AN2757" s="18"/>
      <c r="AO2757" s="18"/>
      <c r="AP2757" s="10"/>
      <c r="AQ2757" s="10"/>
      <c r="AR2757" s="19"/>
      <c r="AS2757" s="20"/>
      <c r="AT2757" s="19"/>
      <c r="AV2757" s="21">
        <f>IF(AND($AL2757&lt;&gt;"",COUNTIF($AL$11:$AL2757,$AL2757)=1),1,0)</f>
        <v>0</v>
      </c>
      <c r="AW2757" s="21">
        <f t="shared" si="171"/>
        <v>0</v>
      </c>
      <c r="AX2757" s="21" t="str">
        <f t="shared" si="170"/>
        <v/>
      </c>
      <c r="AY2757" s="21" t="str">
        <f>IF(AND($AM2757&lt;&gt;"",$AS2757&lt;&gt;"✓"),SUMPRODUCT(($AM$11:$AM2757&lt;&gt;"")*($AS$11:$AS2757&lt;&gt;"✓")),"")</f>
        <v/>
      </c>
      <c r="AZ2757" s="21" t="str">
        <f>IF(AND($AM2757&lt;&gt;"",$AS2757="✓"),SUMPRODUCT(($AM$11:$AM2757&lt;&gt;"")*($AS$11:$AS2757="✓")),"")</f>
        <v/>
      </c>
      <c r="BA2757" s="21" t="str">
        <f>IF($AL2757="","",$AL2757&amp;"|"&amp;COUNTIF($AL$11:$AL2757,$AL2757))</f>
        <v/>
      </c>
    </row>
    <row r="2758" spans="38:53" ht="15" customHeight="1" x14ac:dyDescent="0.25">
      <c r="AL2758" s="31"/>
      <c r="AM2758" s="26"/>
      <c r="AN2758" s="32"/>
      <c r="AO2758" s="32"/>
      <c r="AP2758" s="24"/>
      <c r="AQ2758" s="24"/>
      <c r="AR2758" s="33"/>
      <c r="AS2758" s="34"/>
      <c r="AT2758" s="33"/>
      <c r="AV2758" s="21">
        <f>IF(AND($AL2758&lt;&gt;"",COUNTIF($AL$11:$AL2758,$AL2758)=1),1,0)</f>
        <v>0</v>
      </c>
      <c r="AW2758" s="21">
        <f t="shared" si="171"/>
        <v>0</v>
      </c>
      <c r="AX2758" s="21" t="str">
        <f t="shared" si="170"/>
        <v/>
      </c>
      <c r="AY2758" s="21" t="str">
        <f>IF(AND($AM2758&lt;&gt;"",$AS2758&lt;&gt;"✓"),SUMPRODUCT(($AM$11:$AM2758&lt;&gt;"")*($AS$11:$AS2758&lt;&gt;"✓")),"")</f>
        <v/>
      </c>
      <c r="AZ2758" s="21" t="str">
        <f>IF(AND($AM2758&lt;&gt;"",$AS2758="✓"),SUMPRODUCT(($AM$11:$AM2758&lt;&gt;"")*($AS$11:$AS2758="✓")),"")</f>
        <v/>
      </c>
      <c r="BA2758" s="21" t="str">
        <f>IF($AL2758="","",$AL2758&amp;"|"&amp;COUNTIF($AL$11:$AL2758,$AL2758))</f>
        <v/>
      </c>
    </row>
    <row r="2759" spans="38:53" ht="15" customHeight="1" x14ac:dyDescent="0.25">
      <c r="AL2759" s="17"/>
      <c r="AM2759" s="12"/>
      <c r="AN2759" s="18"/>
      <c r="AO2759" s="18"/>
      <c r="AP2759" s="10"/>
      <c r="AQ2759" s="10"/>
      <c r="AR2759" s="19"/>
      <c r="AS2759" s="20"/>
      <c r="AT2759" s="19"/>
      <c r="AV2759" s="21">
        <f>IF(AND($AL2759&lt;&gt;"",COUNTIF($AL$11:$AL2759,$AL2759)=1),1,0)</f>
        <v>0</v>
      </c>
      <c r="AW2759" s="21">
        <f t="shared" si="171"/>
        <v>0</v>
      </c>
      <c r="AX2759" s="21" t="str">
        <f t="shared" si="170"/>
        <v/>
      </c>
      <c r="AY2759" s="21" t="str">
        <f>IF(AND($AM2759&lt;&gt;"",$AS2759&lt;&gt;"✓"),SUMPRODUCT(($AM$11:$AM2759&lt;&gt;"")*($AS$11:$AS2759&lt;&gt;"✓")),"")</f>
        <v/>
      </c>
      <c r="AZ2759" s="21" t="str">
        <f>IF(AND($AM2759&lt;&gt;"",$AS2759="✓"),SUMPRODUCT(($AM$11:$AM2759&lt;&gt;"")*($AS$11:$AS2759="✓")),"")</f>
        <v/>
      </c>
      <c r="BA2759" s="21" t="str">
        <f>IF($AL2759="","",$AL2759&amp;"|"&amp;COUNTIF($AL$11:$AL2759,$AL2759))</f>
        <v/>
      </c>
    </row>
    <row r="2760" spans="38:53" ht="15" customHeight="1" x14ac:dyDescent="0.25">
      <c r="AL2760" s="31"/>
      <c r="AM2760" s="26"/>
      <c r="AN2760" s="32"/>
      <c r="AO2760" s="32"/>
      <c r="AP2760" s="24"/>
      <c r="AQ2760" s="24"/>
      <c r="AR2760" s="33"/>
      <c r="AS2760" s="34"/>
      <c r="AT2760" s="33"/>
      <c r="AV2760" s="21">
        <f>IF(AND($AL2760&lt;&gt;"",COUNTIF($AL$11:$AL2760,$AL2760)=1),1,0)</f>
        <v>0</v>
      </c>
      <c r="AW2760" s="21">
        <f t="shared" si="171"/>
        <v>0</v>
      </c>
      <c r="AX2760" s="21" t="str">
        <f t="shared" si="170"/>
        <v/>
      </c>
      <c r="AY2760" s="21" t="str">
        <f>IF(AND($AM2760&lt;&gt;"",$AS2760&lt;&gt;"✓"),SUMPRODUCT(($AM$11:$AM2760&lt;&gt;"")*($AS$11:$AS2760&lt;&gt;"✓")),"")</f>
        <v/>
      </c>
      <c r="AZ2760" s="21" t="str">
        <f>IF(AND($AM2760&lt;&gt;"",$AS2760="✓"),SUMPRODUCT(($AM$11:$AM2760&lt;&gt;"")*($AS$11:$AS2760="✓")),"")</f>
        <v/>
      </c>
      <c r="BA2760" s="21" t="str">
        <f>IF($AL2760="","",$AL2760&amp;"|"&amp;COUNTIF($AL$11:$AL2760,$AL2760))</f>
        <v/>
      </c>
    </row>
    <row r="2761" spans="38:53" ht="15" customHeight="1" x14ac:dyDescent="0.25">
      <c r="AL2761" s="17"/>
      <c r="AM2761" s="12"/>
      <c r="AN2761" s="18"/>
      <c r="AO2761" s="18"/>
      <c r="AP2761" s="10"/>
      <c r="AQ2761" s="10"/>
      <c r="AR2761" s="19"/>
      <c r="AS2761" s="20"/>
      <c r="AT2761" s="19"/>
      <c r="AV2761" s="21">
        <f>IF(AND($AL2761&lt;&gt;"",COUNTIF($AL$11:$AL2761,$AL2761)=1),1,0)</f>
        <v>0</v>
      </c>
      <c r="AW2761" s="21">
        <f t="shared" si="171"/>
        <v>0</v>
      </c>
      <c r="AX2761" s="21" t="str">
        <f t="shared" si="170"/>
        <v/>
      </c>
      <c r="AY2761" s="21" t="str">
        <f>IF(AND($AM2761&lt;&gt;"",$AS2761&lt;&gt;"✓"),SUMPRODUCT(($AM$11:$AM2761&lt;&gt;"")*($AS$11:$AS2761&lt;&gt;"✓")),"")</f>
        <v/>
      </c>
      <c r="AZ2761" s="21" t="str">
        <f>IF(AND($AM2761&lt;&gt;"",$AS2761="✓"),SUMPRODUCT(($AM$11:$AM2761&lt;&gt;"")*($AS$11:$AS2761="✓")),"")</f>
        <v/>
      </c>
      <c r="BA2761" s="21" t="str">
        <f>IF($AL2761="","",$AL2761&amp;"|"&amp;COUNTIF($AL$11:$AL2761,$AL2761))</f>
        <v/>
      </c>
    </row>
    <row r="2762" spans="38:53" ht="15" customHeight="1" x14ac:dyDescent="0.25">
      <c r="AL2762" s="31"/>
      <c r="AM2762" s="26"/>
      <c r="AN2762" s="32"/>
      <c r="AO2762" s="32"/>
      <c r="AP2762" s="24"/>
      <c r="AQ2762" s="24"/>
      <c r="AR2762" s="33"/>
      <c r="AS2762" s="34"/>
      <c r="AT2762" s="33"/>
      <c r="AV2762" s="21">
        <f>IF(AND($AL2762&lt;&gt;"",COUNTIF($AL$11:$AL2762,$AL2762)=1),1,0)</f>
        <v>0</v>
      </c>
      <c r="AW2762" s="21">
        <f t="shared" si="171"/>
        <v>0</v>
      </c>
      <c r="AX2762" s="21" t="str">
        <f t="shared" si="170"/>
        <v/>
      </c>
      <c r="AY2762" s="21" t="str">
        <f>IF(AND($AM2762&lt;&gt;"",$AS2762&lt;&gt;"✓"),SUMPRODUCT(($AM$11:$AM2762&lt;&gt;"")*($AS$11:$AS2762&lt;&gt;"✓")),"")</f>
        <v/>
      </c>
      <c r="AZ2762" s="21" t="str">
        <f>IF(AND($AM2762&lt;&gt;"",$AS2762="✓"),SUMPRODUCT(($AM$11:$AM2762&lt;&gt;"")*($AS$11:$AS2762="✓")),"")</f>
        <v/>
      </c>
      <c r="BA2762" s="21" t="str">
        <f>IF($AL2762="","",$AL2762&amp;"|"&amp;COUNTIF($AL$11:$AL2762,$AL2762))</f>
        <v/>
      </c>
    </row>
    <row r="2763" spans="38:53" ht="15" customHeight="1" x14ac:dyDescent="0.25">
      <c r="AL2763" s="17"/>
      <c r="AM2763" s="12"/>
      <c r="AN2763" s="18"/>
      <c r="AO2763" s="18"/>
      <c r="AP2763" s="10"/>
      <c r="AQ2763" s="10"/>
      <c r="AR2763" s="19"/>
      <c r="AS2763" s="20"/>
      <c r="AT2763" s="19"/>
      <c r="AV2763" s="21">
        <f>IF(AND($AL2763&lt;&gt;"",COUNTIF($AL$11:$AL2763,$AL2763)=1),1,0)</f>
        <v>0</v>
      </c>
      <c r="AW2763" s="21">
        <f t="shared" si="171"/>
        <v>0</v>
      </c>
      <c r="AX2763" s="21" t="str">
        <f t="shared" ref="AX2763:AX2826" si="172">IF(AV2763=1,AW2763,"")</f>
        <v/>
      </c>
      <c r="AY2763" s="21" t="str">
        <f>IF(AND($AM2763&lt;&gt;"",$AS2763&lt;&gt;"✓"),SUMPRODUCT(($AM$11:$AM2763&lt;&gt;"")*($AS$11:$AS2763&lt;&gt;"✓")),"")</f>
        <v/>
      </c>
      <c r="AZ2763" s="21" t="str">
        <f>IF(AND($AM2763&lt;&gt;"",$AS2763="✓"),SUMPRODUCT(($AM$11:$AM2763&lt;&gt;"")*($AS$11:$AS2763="✓")),"")</f>
        <v/>
      </c>
      <c r="BA2763" s="21" t="str">
        <f>IF($AL2763="","",$AL2763&amp;"|"&amp;COUNTIF($AL$11:$AL2763,$AL2763))</f>
        <v/>
      </c>
    </row>
    <row r="2764" spans="38:53" ht="15" customHeight="1" x14ac:dyDescent="0.25">
      <c r="AL2764" s="31"/>
      <c r="AM2764" s="26"/>
      <c r="AN2764" s="32"/>
      <c r="AO2764" s="32"/>
      <c r="AP2764" s="24"/>
      <c r="AQ2764" s="24"/>
      <c r="AR2764" s="33"/>
      <c r="AS2764" s="34"/>
      <c r="AT2764" s="33"/>
      <c r="AV2764" s="21">
        <f>IF(AND($AL2764&lt;&gt;"",COUNTIF($AL$11:$AL2764,$AL2764)=1),1,0)</f>
        <v>0</v>
      </c>
      <c r="AW2764" s="21">
        <f t="shared" ref="AW2764:AW2827" si="173">AW2763+AV2764</f>
        <v>0</v>
      </c>
      <c r="AX2764" s="21" t="str">
        <f t="shared" si="172"/>
        <v/>
      </c>
      <c r="AY2764" s="21" t="str">
        <f>IF(AND($AM2764&lt;&gt;"",$AS2764&lt;&gt;"✓"),SUMPRODUCT(($AM$11:$AM2764&lt;&gt;"")*($AS$11:$AS2764&lt;&gt;"✓")),"")</f>
        <v/>
      </c>
      <c r="AZ2764" s="21" t="str">
        <f>IF(AND($AM2764&lt;&gt;"",$AS2764="✓"),SUMPRODUCT(($AM$11:$AM2764&lt;&gt;"")*($AS$11:$AS2764="✓")),"")</f>
        <v/>
      </c>
      <c r="BA2764" s="21" t="str">
        <f>IF($AL2764="","",$AL2764&amp;"|"&amp;COUNTIF($AL$11:$AL2764,$AL2764))</f>
        <v/>
      </c>
    </row>
    <row r="2765" spans="38:53" ht="15" customHeight="1" x14ac:dyDescent="0.25">
      <c r="AL2765" s="17"/>
      <c r="AM2765" s="12"/>
      <c r="AN2765" s="18"/>
      <c r="AO2765" s="18"/>
      <c r="AP2765" s="10"/>
      <c r="AQ2765" s="10"/>
      <c r="AR2765" s="19"/>
      <c r="AS2765" s="20"/>
      <c r="AT2765" s="19"/>
      <c r="AV2765" s="21">
        <f>IF(AND($AL2765&lt;&gt;"",COUNTIF($AL$11:$AL2765,$AL2765)=1),1,0)</f>
        <v>0</v>
      </c>
      <c r="AW2765" s="21">
        <f t="shared" si="173"/>
        <v>0</v>
      </c>
      <c r="AX2765" s="21" t="str">
        <f t="shared" si="172"/>
        <v/>
      </c>
      <c r="AY2765" s="21" t="str">
        <f>IF(AND($AM2765&lt;&gt;"",$AS2765&lt;&gt;"✓"),SUMPRODUCT(($AM$11:$AM2765&lt;&gt;"")*($AS$11:$AS2765&lt;&gt;"✓")),"")</f>
        <v/>
      </c>
      <c r="AZ2765" s="21" t="str">
        <f>IF(AND($AM2765&lt;&gt;"",$AS2765="✓"),SUMPRODUCT(($AM$11:$AM2765&lt;&gt;"")*($AS$11:$AS2765="✓")),"")</f>
        <v/>
      </c>
      <c r="BA2765" s="21" t="str">
        <f>IF($AL2765="","",$AL2765&amp;"|"&amp;COUNTIF($AL$11:$AL2765,$AL2765))</f>
        <v/>
      </c>
    </row>
    <row r="2766" spans="38:53" ht="15" customHeight="1" x14ac:dyDescent="0.25">
      <c r="AL2766" s="31"/>
      <c r="AM2766" s="26"/>
      <c r="AN2766" s="32"/>
      <c r="AO2766" s="32"/>
      <c r="AP2766" s="24"/>
      <c r="AQ2766" s="24"/>
      <c r="AR2766" s="33"/>
      <c r="AS2766" s="34"/>
      <c r="AT2766" s="33"/>
      <c r="AV2766" s="21">
        <f>IF(AND($AL2766&lt;&gt;"",COUNTIF($AL$11:$AL2766,$AL2766)=1),1,0)</f>
        <v>0</v>
      </c>
      <c r="AW2766" s="21">
        <f t="shared" si="173"/>
        <v>0</v>
      </c>
      <c r="AX2766" s="21" t="str">
        <f t="shared" si="172"/>
        <v/>
      </c>
      <c r="AY2766" s="21" t="str">
        <f>IF(AND($AM2766&lt;&gt;"",$AS2766&lt;&gt;"✓"),SUMPRODUCT(($AM$11:$AM2766&lt;&gt;"")*($AS$11:$AS2766&lt;&gt;"✓")),"")</f>
        <v/>
      </c>
      <c r="AZ2766" s="21" t="str">
        <f>IF(AND($AM2766&lt;&gt;"",$AS2766="✓"),SUMPRODUCT(($AM$11:$AM2766&lt;&gt;"")*($AS$11:$AS2766="✓")),"")</f>
        <v/>
      </c>
      <c r="BA2766" s="21" t="str">
        <f>IF($AL2766="","",$AL2766&amp;"|"&amp;COUNTIF($AL$11:$AL2766,$AL2766))</f>
        <v/>
      </c>
    </row>
    <row r="2767" spans="38:53" ht="15" customHeight="1" x14ac:dyDescent="0.25">
      <c r="AL2767" s="17"/>
      <c r="AM2767" s="12"/>
      <c r="AN2767" s="18"/>
      <c r="AO2767" s="18"/>
      <c r="AP2767" s="10"/>
      <c r="AQ2767" s="10"/>
      <c r="AR2767" s="19"/>
      <c r="AS2767" s="20"/>
      <c r="AT2767" s="19"/>
      <c r="AV2767" s="21">
        <f>IF(AND($AL2767&lt;&gt;"",COUNTIF($AL$11:$AL2767,$AL2767)=1),1,0)</f>
        <v>0</v>
      </c>
      <c r="AW2767" s="21">
        <f t="shared" si="173"/>
        <v>0</v>
      </c>
      <c r="AX2767" s="21" t="str">
        <f t="shared" si="172"/>
        <v/>
      </c>
      <c r="AY2767" s="21" t="str">
        <f>IF(AND($AM2767&lt;&gt;"",$AS2767&lt;&gt;"✓"),SUMPRODUCT(($AM$11:$AM2767&lt;&gt;"")*($AS$11:$AS2767&lt;&gt;"✓")),"")</f>
        <v/>
      </c>
      <c r="AZ2767" s="21" t="str">
        <f>IF(AND($AM2767&lt;&gt;"",$AS2767="✓"),SUMPRODUCT(($AM$11:$AM2767&lt;&gt;"")*($AS$11:$AS2767="✓")),"")</f>
        <v/>
      </c>
      <c r="BA2767" s="21" t="str">
        <f>IF($AL2767="","",$AL2767&amp;"|"&amp;COUNTIF($AL$11:$AL2767,$AL2767))</f>
        <v/>
      </c>
    </row>
    <row r="2768" spans="38:53" ht="15" customHeight="1" x14ac:dyDescent="0.25">
      <c r="AL2768" s="31"/>
      <c r="AM2768" s="26"/>
      <c r="AN2768" s="32"/>
      <c r="AO2768" s="32"/>
      <c r="AP2768" s="24"/>
      <c r="AQ2768" s="24"/>
      <c r="AR2768" s="33"/>
      <c r="AS2768" s="34"/>
      <c r="AT2768" s="33"/>
      <c r="AV2768" s="21">
        <f>IF(AND($AL2768&lt;&gt;"",COUNTIF($AL$11:$AL2768,$AL2768)=1),1,0)</f>
        <v>0</v>
      </c>
      <c r="AW2768" s="21">
        <f t="shared" si="173"/>
        <v>0</v>
      </c>
      <c r="AX2768" s="21" t="str">
        <f t="shared" si="172"/>
        <v/>
      </c>
      <c r="AY2768" s="21" t="str">
        <f>IF(AND($AM2768&lt;&gt;"",$AS2768&lt;&gt;"✓"),SUMPRODUCT(($AM$11:$AM2768&lt;&gt;"")*($AS$11:$AS2768&lt;&gt;"✓")),"")</f>
        <v/>
      </c>
      <c r="AZ2768" s="21" t="str">
        <f>IF(AND($AM2768&lt;&gt;"",$AS2768="✓"),SUMPRODUCT(($AM$11:$AM2768&lt;&gt;"")*($AS$11:$AS2768="✓")),"")</f>
        <v/>
      </c>
      <c r="BA2768" s="21" t="str">
        <f>IF($AL2768="","",$AL2768&amp;"|"&amp;COUNTIF($AL$11:$AL2768,$AL2768))</f>
        <v/>
      </c>
    </row>
    <row r="2769" spans="38:53" ht="15" customHeight="1" x14ac:dyDescent="0.25">
      <c r="AL2769" s="17"/>
      <c r="AM2769" s="12"/>
      <c r="AN2769" s="18"/>
      <c r="AO2769" s="18"/>
      <c r="AP2769" s="10"/>
      <c r="AQ2769" s="10"/>
      <c r="AR2769" s="19"/>
      <c r="AS2769" s="20"/>
      <c r="AT2769" s="19"/>
      <c r="AV2769" s="21">
        <f>IF(AND($AL2769&lt;&gt;"",COUNTIF($AL$11:$AL2769,$AL2769)=1),1,0)</f>
        <v>0</v>
      </c>
      <c r="AW2769" s="21">
        <f t="shared" si="173"/>
        <v>0</v>
      </c>
      <c r="AX2769" s="21" t="str">
        <f t="shared" si="172"/>
        <v/>
      </c>
      <c r="AY2769" s="21" t="str">
        <f>IF(AND($AM2769&lt;&gt;"",$AS2769&lt;&gt;"✓"),SUMPRODUCT(($AM$11:$AM2769&lt;&gt;"")*($AS$11:$AS2769&lt;&gt;"✓")),"")</f>
        <v/>
      </c>
      <c r="AZ2769" s="21" t="str">
        <f>IF(AND($AM2769&lt;&gt;"",$AS2769="✓"),SUMPRODUCT(($AM$11:$AM2769&lt;&gt;"")*($AS$11:$AS2769="✓")),"")</f>
        <v/>
      </c>
      <c r="BA2769" s="21" t="str">
        <f>IF($AL2769="","",$AL2769&amp;"|"&amp;COUNTIF($AL$11:$AL2769,$AL2769))</f>
        <v/>
      </c>
    </row>
    <row r="2770" spans="38:53" ht="15" customHeight="1" x14ac:dyDescent="0.25">
      <c r="AL2770" s="31"/>
      <c r="AM2770" s="26"/>
      <c r="AN2770" s="32"/>
      <c r="AO2770" s="32"/>
      <c r="AP2770" s="24"/>
      <c r="AQ2770" s="24"/>
      <c r="AR2770" s="33"/>
      <c r="AS2770" s="34"/>
      <c r="AT2770" s="33"/>
      <c r="AV2770" s="21">
        <f>IF(AND($AL2770&lt;&gt;"",COUNTIF($AL$11:$AL2770,$AL2770)=1),1,0)</f>
        <v>0</v>
      </c>
      <c r="AW2770" s="21">
        <f t="shared" si="173"/>
        <v>0</v>
      </c>
      <c r="AX2770" s="21" t="str">
        <f t="shared" si="172"/>
        <v/>
      </c>
      <c r="AY2770" s="21" t="str">
        <f>IF(AND($AM2770&lt;&gt;"",$AS2770&lt;&gt;"✓"),SUMPRODUCT(($AM$11:$AM2770&lt;&gt;"")*($AS$11:$AS2770&lt;&gt;"✓")),"")</f>
        <v/>
      </c>
      <c r="AZ2770" s="21" t="str">
        <f>IF(AND($AM2770&lt;&gt;"",$AS2770="✓"),SUMPRODUCT(($AM$11:$AM2770&lt;&gt;"")*($AS$11:$AS2770="✓")),"")</f>
        <v/>
      </c>
      <c r="BA2770" s="21" t="str">
        <f>IF($AL2770="","",$AL2770&amp;"|"&amp;COUNTIF($AL$11:$AL2770,$AL2770))</f>
        <v/>
      </c>
    </row>
    <row r="2771" spans="38:53" ht="15" customHeight="1" x14ac:dyDescent="0.25">
      <c r="AL2771" s="17"/>
      <c r="AM2771" s="12"/>
      <c r="AN2771" s="18"/>
      <c r="AO2771" s="18"/>
      <c r="AP2771" s="10"/>
      <c r="AQ2771" s="10"/>
      <c r="AR2771" s="19"/>
      <c r="AS2771" s="20"/>
      <c r="AT2771" s="19"/>
      <c r="AV2771" s="21">
        <f>IF(AND($AL2771&lt;&gt;"",COUNTIF($AL$11:$AL2771,$AL2771)=1),1,0)</f>
        <v>0</v>
      </c>
      <c r="AW2771" s="21">
        <f t="shared" si="173"/>
        <v>0</v>
      </c>
      <c r="AX2771" s="21" t="str">
        <f t="shared" si="172"/>
        <v/>
      </c>
      <c r="AY2771" s="21" t="str">
        <f>IF(AND($AM2771&lt;&gt;"",$AS2771&lt;&gt;"✓"),SUMPRODUCT(($AM$11:$AM2771&lt;&gt;"")*($AS$11:$AS2771&lt;&gt;"✓")),"")</f>
        <v/>
      </c>
      <c r="AZ2771" s="21" t="str">
        <f>IF(AND($AM2771&lt;&gt;"",$AS2771="✓"),SUMPRODUCT(($AM$11:$AM2771&lt;&gt;"")*($AS$11:$AS2771="✓")),"")</f>
        <v/>
      </c>
      <c r="BA2771" s="21" t="str">
        <f>IF($AL2771="","",$AL2771&amp;"|"&amp;COUNTIF($AL$11:$AL2771,$AL2771))</f>
        <v/>
      </c>
    </row>
    <row r="2772" spans="38:53" ht="15" customHeight="1" x14ac:dyDescent="0.25">
      <c r="AL2772" s="31"/>
      <c r="AM2772" s="26"/>
      <c r="AN2772" s="32"/>
      <c r="AO2772" s="32"/>
      <c r="AP2772" s="24"/>
      <c r="AQ2772" s="24"/>
      <c r="AR2772" s="33"/>
      <c r="AS2772" s="34"/>
      <c r="AT2772" s="33"/>
      <c r="AV2772" s="21">
        <f>IF(AND($AL2772&lt;&gt;"",COUNTIF($AL$11:$AL2772,$AL2772)=1),1,0)</f>
        <v>0</v>
      </c>
      <c r="AW2772" s="21">
        <f t="shared" si="173"/>
        <v>0</v>
      </c>
      <c r="AX2772" s="21" t="str">
        <f t="shared" si="172"/>
        <v/>
      </c>
      <c r="AY2772" s="21" t="str">
        <f>IF(AND($AM2772&lt;&gt;"",$AS2772&lt;&gt;"✓"),SUMPRODUCT(($AM$11:$AM2772&lt;&gt;"")*($AS$11:$AS2772&lt;&gt;"✓")),"")</f>
        <v/>
      </c>
      <c r="AZ2772" s="21" t="str">
        <f>IF(AND($AM2772&lt;&gt;"",$AS2772="✓"),SUMPRODUCT(($AM$11:$AM2772&lt;&gt;"")*($AS$11:$AS2772="✓")),"")</f>
        <v/>
      </c>
      <c r="BA2772" s="21" t="str">
        <f>IF($AL2772="","",$AL2772&amp;"|"&amp;COUNTIF($AL$11:$AL2772,$AL2772))</f>
        <v/>
      </c>
    </row>
    <row r="2773" spans="38:53" ht="15" customHeight="1" x14ac:dyDescent="0.25">
      <c r="AL2773" s="17"/>
      <c r="AM2773" s="12"/>
      <c r="AN2773" s="18"/>
      <c r="AO2773" s="18"/>
      <c r="AP2773" s="10"/>
      <c r="AQ2773" s="10"/>
      <c r="AR2773" s="19"/>
      <c r="AS2773" s="20"/>
      <c r="AT2773" s="19"/>
      <c r="AV2773" s="21">
        <f>IF(AND($AL2773&lt;&gt;"",COUNTIF($AL$11:$AL2773,$AL2773)=1),1,0)</f>
        <v>0</v>
      </c>
      <c r="AW2773" s="21">
        <f t="shared" si="173"/>
        <v>0</v>
      </c>
      <c r="AX2773" s="21" t="str">
        <f t="shared" si="172"/>
        <v/>
      </c>
      <c r="AY2773" s="21" t="str">
        <f>IF(AND($AM2773&lt;&gt;"",$AS2773&lt;&gt;"✓"),SUMPRODUCT(($AM$11:$AM2773&lt;&gt;"")*($AS$11:$AS2773&lt;&gt;"✓")),"")</f>
        <v/>
      </c>
      <c r="AZ2773" s="21" t="str">
        <f>IF(AND($AM2773&lt;&gt;"",$AS2773="✓"),SUMPRODUCT(($AM$11:$AM2773&lt;&gt;"")*($AS$11:$AS2773="✓")),"")</f>
        <v/>
      </c>
      <c r="BA2773" s="21" t="str">
        <f>IF($AL2773="","",$AL2773&amp;"|"&amp;COUNTIF($AL$11:$AL2773,$AL2773))</f>
        <v/>
      </c>
    </row>
    <row r="2774" spans="38:53" ht="15" customHeight="1" x14ac:dyDescent="0.25">
      <c r="AL2774" s="31"/>
      <c r="AM2774" s="26"/>
      <c r="AN2774" s="32"/>
      <c r="AO2774" s="32"/>
      <c r="AP2774" s="24"/>
      <c r="AQ2774" s="24"/>
      <c r="AR2774" s="33"/>
      <c r="AS2774" s="34"/>
      <c r="AT2774" s="33"/>
      <c r="AV2774" s="21">
        <f>IF(AND($AL2774&lt;&gt;"",COUNTIF($AL$11:$AL2774,$AL2774)=1),1,0)</f>
        <v>0</v>
      </c>
      <c r="AW2774" s="21">
        <f t="shared" si="173"/>
        <v>0</v>
      </c>
      <c r="AX2774" s="21" t="str">
        <f t="shared" si="172"/>
        <v/>
      </c>
      <c r="AY2774" s="21" t="str">
        <f>IF(AND($AM2774&lt;&gt;"",$AS2774&lt;&gt;"✓"),SUMPRODUCT(($AM$11:$AM2774&lt;&gt;"")*($AS$11:$AS2774&lt;&gt;"✓")),"")</f>
        <v/>
      </c>
      <c r="AZ2774" s="21" t="str">
        <f>IF(AND($AM2774&lt;&gt;"",$AS2774="✓"),SUMPRODUCT(($AM$11:$AM2774&lt;&gt;"")*($AS$11:$AS2774="✓")),"")</f>
        <v/>
      </c>
      <c r="BA2774" s="21" t="str">
        <f>IF($AL2774="","",$AL2774&amp;"|"&amp;COUNTIF($AL$11:$AL2774,$AL2774))</f>
        <v/>
      </c>
    </row>
    <row r="2775" spans="38:53" ht="15" customHeight="1" x14ac:dyDescent="0.25">
      <c r="AL2775" s="17"/>
      <c r="AM2775" s="12"/>
      <c r="AN2775" s="18"/>
      <c r="AO2775" s="18"/>
      <c r="AP2775" s="10"/>
      <c r="AQ2775" s="10"/>
      <c r="AR2775" s="19"/>
      <c r="AS2775" s="20"/>
      <c r="AT2775" s="19"/>
      <c r="AV2775" s="21">
        <f>IF(AND($AL2775&lt;&gt;"",COUNTIF($AL$11:$AL2775,$AL2775)=1),1,0)</f>
        <v>0</v>
      </c>
      <c r="AW2775" s="21">
        <f t="shared" si="173"/>
        <v>0</v>
      </c>
      <c r="AX2775" s="21" t="str">
        <f t="shared" si="172"/>
        <v/>
      </c>
      <c r="AY2775" s="21" t="str">
        <f>IF(AND($AM2775&lt;&gt;"",$AS2775&lt;&gt;"✓"),SUMPRODUCT(($AM$11:$AM2775&lt;&gt;"")*($AS$11:$AS2775&lt;&gt;"✓")),"")</f>
        <v/>
      </c>
      <c r="AZ2775" s="21" t="str">
        <f>IF(AND($AM2775&lt;&gt;"",$AS2775="✓"),SUMPRODUCT(($AM$11:$AM2775&lt;&gt;"")*($AS$11:$AS2775="✓")),"")</f>
        <v/>
      </c>
      <c r="BA2775" s="21" t="str">
        <f>IF($AL2775="","",$AL2775&amp;"|"&amp;COUNTIF($AL$11:$AL2775,$AL2775))</f>
        <v/>
      </c>
    </row>
    <row r="2776" spans="38:53" ht="15" customHeight="1" x14ac:dyDescent="0.25">
      <c r="AL2776" s="31"/>
      <c r="AM2776" s="26"/>
      <c r="AN2776" s="32"/>
      <c r="AO2776" s="32"/>
      <c r="AP2776" s="24"/>
      <c r="AQ2776" s="24"/>
      <c r="AR2776" s="33"/>
      <c r="AS2776" s="34"/>
      <c r="AT2776" s="33"/>
      <c r="AV2776" s="21">
        <f>IF(AND($AL2776&lt;&gt;"",COUNTIF($AL$11:$AL2776,$AL2776)=1),1,0)</f>
        <v>0</v>
      </c>
      <c r="AW2776" s="21">
        <f t="shared" si="173"/>
        <v>0</v>
      </c>
      <c r="AX2776" s="21" t="str">
        <f t="shared" si="172"/>
        <v/>
      </c>
      <c r="AY2776" s="21" t="str">
        <f>IF(AND($AM2776&lt;&gt;"",$AS2776&lt;&gt;"✓"),SUMPRODUCT(($AM$11:$AM2776&lt;&gt;"")*($AS$11:$AS2776&lt;&gt;"✓")),"")</f>
        <v/>
      </c>
      <c r="AZ2776" s="21" t="str">
        <f>IF(AND($AM2776&lt;&gt;"",$AS2776="✓"),SUMPRODUCT(($AM$11:$AM2776&lt;&gt;"")*($AS$11:$AS2776="✓")),"")</f>
        <v/>
      </c>
      <c r="BA2776" s="21" t="str">
        <f>IF($AL2776="","",$AL2776&amp;"|"&amp;COUNTIF($AL$11:$AL2776,$AL2776))</f>
        <v/>
      </c>
    </row>
    <row r="2777" spans="38:53" ht="15" customHeight="1" x14ac:dyDescent="0.25">
      <c r="AL2777" s="17"/>
      <c r="AM2777" s="12"/>
      <c r="AN2777" s="18"/>
      <c r="AO2777" s="18"/>
      <c r="AP2777" s="10"/>
      <c r="AQ2777" s="10"/>
      <c r="AR2777" s="19"/>
      <c r="AS2777" s="20"/>
      <c r="AT2777" s="19"/>
      <c r="AV2777" s="21">
        <f>IF(AND($AL2777&lt;&gt;"",COUNTIF($AL$11:$AL2777,$AL2777)=1),1,0)</f>
        <v>0</v>
      </c>
      <c r="AW2777" s="21">
        <f t="shared" si="173"/>
        <v>0</v>
      </c>
      <c r="AX2777" s="21" t="str">
        <f t="shared" si="172"/>
        <v/>
      </c>
      <c r="AY2777" s="21" t="str">
        <f>IF(AND($AM2777&lt;&gt;"",$AS2777&lt;&gt;"✓"),SUMPRODUCT(($AM$11:$AM2777&lt;&gt;"")*($AS$11:$AS2777&lt;&gt;"✓")),"")</f>
        <v/>
      </c>
      <c r="AZ2777" s="21" t="str">
        <f>IF(AND($AM2777&lt;&gt;"",$AS2777="✓"),SUMPRODUCT(($AM$11:$AM2777&lt;&gt;"")*($AS$11:$AS2777="✓")),"")</f>
        <v/>
      </c>
      <c r="BA2777" s="21" t="str">
        <f>IF($AL2777="","",$AL2777&amp;"|"&amp;COUNTIF($AL$11:$AL2777,$AL2777))</f>
        <v/>
      </c>
    </row>
    <row r="2778" spans="38:53" ht="15" customHeight="1" x14ac:dyDescent="0.25">
      <c r="AL2778" s="31"/>
      <c r="AM2778" s="26"/>
      <c r="AN2778" s="32"/>
      <c r="AO2778" s="32"/>
      <c r="AP2778" s="24"/>
      <c r="AQ2778" s="24"/>
      <c r="AR2778" s="33"/>
      <c r="AS2778" s="34"/>
      <c r="AT2778" s="33"/>
      <c r="AV2778" s="21">
        <f>IF(AND($AL2778&lt;&gt;"",COUNTIF($AL$11:$AL2778,$AL2778)=1),1,0)</f>
        <v>0</v>
      </c>
      <c r="AW2778" s="21">
        <f t="shared" si="173"/>
        <v>0</v>
      </c>
      <c r="AX2778" s="21" t="str">
        <f t="shared" si="172"/>
        <v/>
      </c>
      <c r="AY2778" s="21" t="str">
        <f>IF(AND($AM2778&lt;&gt;"",$AS2778&lt;&gt;"✓"),SUMPRODUCT(($AM$11:$AM2778&lt;&gt;"")*($AS$11:$AS2778&lt;&gt;"✓")),"")</f>
        <v/>
      </c>
      <c r="AZ2778" s="21" t="str">
        <f>IF(AND($AM2778&lt;&gt;"",$AS2778="✓"),SUMPRODUCT(($AM$11:$AM2778&lt;&gt;"")*($AS$11:$AS2778="✓")),"")</f>
        <v/>
      </c>
      <c r="BA2778" s="21" t="str">
        <f>IF($AL2778="","",$AL2778&amp;"|"&amp;COUNTIF($AL$11:$AL2778,$AL2778))</f>
        <v/>
      </c>
    </row>
    <row r="2779" spans="38:53" ht="15" customHeight="1" x14ac:dyDescent="0.25">
      <c r="AL2779" s="17"/>
      <c r="AM2779" s="12"/>
      <c r="AN2779" s="18"/>
      <c r="AO2779" s="18"/>
      <c r="AP2779" s="10"/>
      <c r="AQ2779" s="10"/>
      <c r="AR2779" s="19"/>
      <c r="AS2779" s="20"/>
      <c r="AT2779" s="19"/>
      <c r="AV2779" s="21">
        <f>IF(AND($AL2779&lt;&gt;"",COUNTIF($AL$11:$AL2779,$AL2779)=1),1,0)</f>
        <v>0</v>
      </c>
      <c r="AW2779" s="21">
        <f t="shared" si="173"/>
        <v>0</v>
      </c>
      <c r="AX2779" s="21" t="str">
        <f t="shared" si="172"/>
        <v/>
      </c>
      <c r="AY2779" s="21" t="str">
        <f>IF(AND($AM2779&lt;&gt;"",$AS2779&lt;&gt;"✓"),SUMPRODUCT(($AM$11:$AM2779&lt;&gt;"")*($AS$11:$AS2779&lt;&gt;"✓")),"")</f>
        <v/>
      </c>
      <c r="AZ2779" s="21" t="str">
        <f>IF(AND($AM2779&lt;&gt;"",$AS2779="✓"),SUMPRODUCT(($AM$11:$AM2779&lt;&gt;"")*($AS$11:$AS2779="✓")),"")</f>
        <v/>
      </c>
      <c r="BA2779" s="21" t="str">
        <f>IF($AL2779="","",$AL2779&amp;"|"&amp;COUNTIF($AL$11:$AL2779,$AL2779))</f>
        <v/>
      </c>
    </row>
    <row r="2780" spans="38:53" ht="15" customHeight="1" x14ac:dyDescent="0.25">
      <c r="AL2780" s="31"/>
      <c r="AM2780" s="26"/>
      <c r="AN2780" s="32"/>
      <c r="AO2780" s="32"/>
      <c r="AP2780" s="24"/>
      <c r="AQ2780" s="24"/>
      <c r="AR2780" s="33"/>
      <c r="AS2780" s="34"/>
      <c r="AT2780" s="33"/>
      <c r="AV2780" s="21">
        <f>IF(AND($AL2780&lt;&gt;"",COUNTIF($AL$11:$AL2780,$AL2780)=1),1,0)</f>
        <v>0</v>
      </c>
      <c r="AW2780" s="21">
        <f t="shared" si="173"/>
        <v>0</v>
      </c>
      <c r="AX2780" s="21" t="str">
        <f t="shared" si="172"/>
        <v/>
      </c>
      <c r="AY2780" s="21" t="str">
        <f>IF(AND($AM2780&lt;&gt;"",$AS2780&lt;&gt;"✓"),SUMPRODUCT(($AM$11:$AM2780&lt;&gt;"")*($AS$11:$AS2780&lt;&gt;"✓")),"")</f>
        <v/>
      </c>
      <c r="AZ2780" s="21" t="str">
        <f>IF(AND($AM2780&lt;&gt;"",$AS2780="✓"),SUMPRODUCT(($AM$11:$AM2780&lt;&gt;"")*($AS$11:$AS2780="✓")),"")</f>
        <v/>
      </c>
      <c r="BA2780" s="21" t="str">
        <f>IF($AL2780="","",$AL2780&amp;"|"&amp;COUNTIF($AL$11:$AL2780,$AL2780))</f>
        <v/>
      </c>
    </row>
    <row r="2781" spans="38:53" ht="15" customHeight="1" x14ac:dyDescent="0.25">
      <c r="AL2781" s="17"/>
      <c r="AM2781" s="12"/>
      <c r="AN2781" s="18"/>
      <c r="AO2781" s="18"/>
      <c r="AP2781" s="10"/>
      <c r="AQ2781" s="10"/>
      <c r="AR2781" s="19"/>
      <c r="AS2781" s="20"/>
      <c r="AT2781" s="19"/>
      <c r="AV2781" s="21">
        <f>IF(AND($AL2781&lt;&gt;"",COUNTIF($AL$11:$AL2781,$AL2781)=1),1,0)</f>
        <v>0</v>
      </c>
      <c r="AW2781" s="21">
        <f t="shared" si="173"/>
        <v>0</v>
      </c>
      <c r="AX2781" s="21" t="str">
        <f t="shared" si="172"/>
        <v/>
      </c>
      <c r="AY2781" s="21" t="str">
        <f>IF(AND($AM2781&lt;&gt;"",$AS2781&lt;&gt;"✓"),SUMPRODUCT(($AM$11:$AM2781&lt;&gt;"")*($AS$11:$AS2781&lt;&gt;"✓")),"")</f>
        <v/>
      </c>
      <c r="AZ2781" s="21" t="str">
        <f>IF(AND($AM2781&lt;&gt;"",$AS2781="✓"),SUMPRODUCT(($AM$11:$AM2781&lt;&gt;"")*($AS$11:$AS2781="✓")),"")</f>
        <v/>
      </c>
      <c r="BA2781" s="21" t="str">
        <f>IF($AL2781="","",$AL2781&amp;"|"&amp;COUNTIF($AL$11:$AL2781,$AL2781))</f>
        <v/>
      </c>
    </row>
    <row r="2782" spans="38:53" ht="15" customHeight="1" x14ac:dyDescent="0.25">
      <c r="AL2782" s="31"/>
      <c r="AM2782" s="26"/>
      <c r="AN2782" s="32"/>
      <c r="AO2782" s="32"/>
      <c r="AP2782" s="24"/>
      <c r="AQ2782" s="24"/>
      <c r="AR2782" s="33"/>
      <c r="AS2782" s="34"/>
      <c r="AT2782" s="33"/>
      <c r="AV2782" s="21">
        <f>IF(AND($AL2782&lt;&gt;"",COUNTIF($AL$11:$AL2782,$AL2782)=1),1,0)</f>
        <v>0</v>
      </c>
      <c r="AW2782" s="21">
        <f t="shared" si="173"/>
        <v>0</v>
      </c>
      <c r="AX2782" s="21" t="str">
        <f t="shared" si="172"/>
        <v/>
      </c>
      <c r="AY2782" s="21" t="str">
        <f>IF(AND($AM2782&lt;&gt;"",$AS2782&lt;&gt;"✓"),SUMPRODUCT(($AM$11:$AM2782&lt;&gt;"")*($AS$11:$AS2782&lt;&gt;"✓")),"")</f>
        <v/>
      </c>
      <c r="AZ2782" s="21" t="str">
        <f>IF(AND($AM2782&lt;&gt;"",$AS2782="✓"),SUMPRODUCT(($AM$11:$AM2782&lt;&gt;"")*($AS$11:$AS2782="✓")),"")</f>
        <v/>
      </c>
      <c r="BA2782" s="21" t="str">
        <f>IF($AL2782="","",$AL2782&amp;"|"&amp;COUNTIF($AL$11:$AL2782,$AL2782))</f>
        <v/>
      </c>
    </row>
    <row r="2783" spans="38:53" ht="15" customHeight="1" x14ac:dyDescent="0.25">
      <c r="AL2783" s="17"/>
      <c r="AM2783" s="12"/>
      <c r="AN2783" s="18"/>
      <c r="AO2783" s="18"/>
      <c r="AP2783" s="10"/>
      <c r="AQ2783" s="10"/>
      <c r="AR2783" s="19"/>
      <c r="AS2783" s="20"/>
      <c r="AT2783" s="19"/>
      <c r="AV2783" s="21">
        <f>IF(AND($AL2783&lt;&gt;"",COUNTIF($AL$11:$AL2783,$AL2783)=1),1,0)</f>
        <v>0</v>
      </c>
      <c r="AW2783" s="21">
        <f t="shared" si="173"/>
        <v>0</v>
      </c>
      <c r="AX2783" s="21" t="str">
        <f t="shared" si="172"/>
        <v/>
      </c>
      <c r="AY2783" s="21" t="str">
        <f>IF(AND($AM2783&lt;&gt;"",$AS2783&lt;&gt;"✓"),SUMPRODUCT(($AM$11:$AM2783&lt;&gt;"")*($AS$11:$AS2783&lt;&gt;"✓")),"")</f>
        <v/>
      </c>
      <c r="AZ2783" s="21" t="str">
        <f>IF(AND($AM2783&lt;&gt;"",$AS2783="✓"),SUMPRODUCT(($AM$11:$AM2783&lt;&gt;"")*($AS$11:$AS2783="✓")),"")</f>
        <v/>
      </c>
      <c r="BA2783" s="21" t="str">
        <f>IF($AL2783="","",$AL2783&amp;"|"&amp;COUNTIF($AL$11:$AL2783,$AL2783))</f>
        <v/>
      </c>
    </row>
    <row r="2784" spans="38:53" ht="15" customHeight="1" x14ac:dyDescent="0.25">
      <c r="AL2784" s="31"/>
      <c r="AM2784" s="26"/>
      <c r="AN2784" s="32"/>
      <c r="AO2784" s="32"/>
      <c r="AP2784" s="24"/>
      <c r="AQ2784" s="24"/>
      <c r="AR2784" s="33"/>
      <c r="AS2784" s="34"/>
      <c r="AT2784" s="33"/>
      <c r="AV2784" s="21">
        <f>IF(AND($AL2784&lt;&gt;"",COUNTIF($AL$11:$AL2784,$AL2784)=1),1,0)</f>
        <v>0</v>
      </c>
      <c r="AW2784" s="21">
        <f t="shared" si="173"/>
        <v>0</v>
      </c>
      <c r="AX2784" s="21" t="str">
        <f t="shared" si="172"/>
        <v/>
      </c>
      <c r="AY2784" s="21" t="str">
        <f>IF(AND($AM2784&lt;&gt;"",$AS2784&lt;&gt;"✓"),SUMPRODUCT(($AM$11:$AM2784&lt;&gt;"")*($AS$11:$AS2784&lt;&gt;"✓")),"")</f>
        <v/>
      </c>
      <c r="AZ2784" s="21" t="str">
        <f>IF(AND($AM2784&lt;&gt;"",$AS2784="✓"),SUMPRODUCT(($AM$11:$AM2784&lt;&gt;"")*($AS$11:$AS2784="✓")),"")</f>
        <v/>
      </c>
      <c r="BA2784" s="21" t="str">
        <f>IF($AL2784="","",$AL2784&amp;"|"&amp;COUNTIF($AL$11:$AL2784,$AL2784))</f>
        <v/>
      </c>
    </row>
    <row r="2785" spans="38:53" ht="15" customHeight="1" x14ac:dyDescent="0.25">
      <c r="AL2785" s="17"/>
      <c r="AM2785" s="12"/>
      <c r="AN2785" s="18"/>
      <c r="AO2785" s="18"/>
      <c r="AP2785" s="10"/>
      <c r="AQ2785" s="10"/>
      <c r="AR2785" s="19"/>
      <c r="AS2785" s="20"/>
      <c r="AT2785" s="19"/>
      <c r="AV2785" s="21">
        <f>IF(AND($AL2785&lt;&gt;"",COUNTIF($AL$11:$AL2785,$AL2785)=1),1,0)</f>
        <v>0</v>
      </c>
      <c r="AW2785" s="21">
        <f t="shared" si="173"/>
        <v>0</v>
      </c>
      <c r="AX2785" s="21" t="str">
        <f t="shared" si="172"/>
        <v/>
      </c>
      <c r="AY2785" s="21" t="str">
        <f>IF(AND($AM2785&lt;&gt;"",$AS2785&lt;&gt;"✓"),SUMPRODUCT(($AM$11:$AM2785&lt;&gt;"")*($AS$11:$AS2785&lt;&gt;"✓")),"")</f>
        <v/>
      </c>
      <c r="AZ2785" s="21" t="str">
        <f>IF(AND($AM2785&lt;&gt;"",$AS2785="✓"),SUMPRODUCT(($AM$11:$AM2785&lt;&gt;"")*($AS$11:$AS2785="✓")),"")</f>
        <v/>
      </c>
      <c r="BA2785" s="21" t="str">
        <f>IF($AL2785="","",$AL2785&amp;"|"&amp;COUNTIF($AL$11:$AL2785,$AL2785))</f>
        <v/>
      </c>
    </row>
    <row r="2786" spans="38:53" ht="15" customHeight="1" x14ac:dyDescent="0.25">
      <c r="AL2786" s="31"/>
      <c r="AM2786" s="26"/>
      <c r="AN2786" s="32"/>
      <c r="AO2786" s="32"/>
      <c r="AP2786" s="24"/>
      <c r="AQ2786" s="24"/>
      <c r="AR2786" s="33"/>
      <c r="AS2786" s="34"/>
      <c r="AT2786" s="33"/>
      <c r="AV2786" s="21">
        <f>IF(AND($AL2786&lt;&gt;"",COUNTIF($AL$11:$AL2786,$AL2786)=1),1,0)</f>
        <v>0</v>
      </c>
      <c r="AW2786" s="21">
        <f t="shared" si="173"/>
        <v>0</v>
      </c>
      <c r="AX2786" s="21" t="str">
        <f t="shared" si="172"/>
        <v/>
      </c>
      <c r="AY2786" s="21" t="str">
        <f>IF(AND($AM2786&lt;&gt;"",$AS2786&lt;&gt;"✓"),SUMPRODUCT(($AM$11:$AM2786&lt;&gt;"")*($AS$11:$AS2786&lt;&gt;"✓")),"")</f>
        <v/>
      </c>
      <c r="AZ2786" s="21" t="str">
        <f>IF(AND($AM2786&lt;&gt;"",$AS2786="✓"),SUMPRODUCT(($AM$11:$AM2786&lt;&gt;"")*($AS$11:$AS2786="✓")),"")</f>
        <v/>
      </c>
      <c r="BA2786" s="21" t="str">
        <f>IF($AL2786="","",$AL2786&amp;"|"&amp;COUNTIF($AL$11:$AL2786,$AL2786))</f>
        <v/>
      </c>
    </row>
    <row r="2787" spans="38:53" ht="15" customHeight="1" x14ac:dyDescent="0.25">
      <c r="AL2787" s="17"/>
      <c r="AM2787" s="12"/>
      <c r="AN2787" s="18"/>
      <c r="AO2787" s="18"/>
      <c r="AP2787" s="10"/>
      <c r="AQ2787" s="10"/>
      <c r="AR2787" s="19"/>
      <c r="AS2787" s="20"/>
      <c r="AT2787" s="19"/>
      <c r="AV2787" s="21">
        <f>IF(AND($AL2787&lt;&gt;"",COUNTIF($AL$11:$AL2787,$AL2787)=1),1,0)</f>
        <v>0</v>
      </c>
      <c r="AW2787" s="21">
        <f t="shared" si="173"/>
        <v>0</v>
      </c>
      <c r="AX2787" s="21" t="str">
        <f t="shared" si="172"/>
        <v/>
      </c>
      <c r="AY2787" s="21" t="str">
        <f>IF(AND($AM2787&lt;&gt;"",$AS2787&lt;&gt;"✓"),SUMPRODUCT(($AM$11:$AM2787&lt;&gt;"")*($AS$11:$AS2787&lt;&gt;"✓")),"")</f>
        <v/>
      </c>
      <c r="AZ2787" s="21" t="str">
        <f>IF(AND($AM2787&lt;&gt;"",$AS2787="✓"),SUMPRODUCT(($AM$11:$AM2787&lt;&gt;"")*($AS$11:$AS2787="✓")),"")</f>
        <v/>
      </c>
      <c r="BA2787" s="21" t="str">
        <f>IF($AL2787="","",$AL2787&amp;"|"&amp;COUNTIF($AL$11:$AL2787,$AL2787))</f>
        <v/>
      </c>
    </row>
    <row r="2788" spans="38:53" ht="15" customHeight="1" x14ac:dyDescent="0.25">
      <c r="AL2788" s="31"/>
      <c r="AM2788" s="26"/>
      <c r="AN2788" s="32"/>
      <c r="AO2788" s="32"/>
      <c r="AP2788" s="24"/>
      <c r="AQ2788" s="24"/>
      <c r="AR2788" s="33"/>
      <c r="AS2788" s="34"/>
      <c r="AT2788" s="33"/>
      <c r="AV2788" s="21">
        <f>IF(AND($AL2788&lt;&gt;"",COUNTIF($AL$11:$AL2788,$AL2788)=1),1,0)</f>
        <v>0</v>
      </c>
      <c r="AW2788" s="21">
        <f t="shared" si="173"/>
        <v>0</v>
      </c>
      <c r="AX2788" s="21" t="str">
        <f t="shared" si="172"/>
        <v/>
      </c>
      <c r="AY2788" s="21" t="str">
        <f>IF(AND($AM2788&lt;&gt;"",$AS2788&lt;&gt;"✓"),SUMPRODUCT(($AM$11:$AM2788&lt;&gt;"")*($AS$11:$AS2788&lt;&gt;"✓")),"")</f>
        <v/>
      </c>
      <c r="AZ2788" s="21" t="str">
        <f>IF(AND($AM2788&lt;&gt;"",$AS2788="✓"),SUMPRODUCT(($AM$11:$AM2788&lt;&gt;"")*($AS$11:$AS2788="✓")),"")</f>
        <v/>
      </c>
      <c r="BA2788" s="21" t="str">
        <f>IF($AL2788="","",$AL2788&amp;"|"&amp;COUNTIF($AL$11:$AL2788,$AL2788))</f>
        <v/>
      </c>
    </row>
    <row r="2789" spans="38:53" ht="15" customHeight="1" x14ac:dyDescent="0.25">
      <c r="AL2789" s="17"/>
      <c r="AM2789" s="12"/>
      <c r="AN2789" s="18"/>
      <c r="AO2789" s="18"/>
      <c r="AP2789" s="10"/>
      <c r="AQ2789" s="10"/>
      <c r="AR2789" s="19"/>
      <c r="AS2789" s="20"/>
      <c r="AT2789" s="19"/>
      <c r="AV2789" s="21">
        <f>IF(AND($AL2789&lt;&gt;"",COUNTIF($AL$11:$AL2789,$AL2789)=1),1,0)</f>
        <v>0</v>
      </c>
      <c r="AW2789" s="21">
        <f t="shared" si="173"/>
        <v>0</v>
      </c>
      <c r="AX2789" s="21" t="str">
        <f t="shared" si="172"/>
        <v/>
      </c>
      <c r="AY2789" s="21" t="str">
        <f>IF(AND($AM2789&lt;&gt;"",$AS2789&lt;&gt;"✓"),SUMPRODUCT(($AM$11:$AM2789&lt;&gt;"")*($AS$11:$AS2789&lt;&gt;"✓")),"")</f>
        <v/>
      </c>
      <c r="AZ2789" s="21" t="str">
        <f>IF(AND($AM2789&lt;&gt;"",$AS2789="✓"),SUMPRODUCT(($AM$11:$AM2789&lt;&gt;"")*($AS$11:$AS2789="✓")),"")</f>
        <v/>
      </c>
      <c r="BA2789" s="21" t="str">
        <f>IF($AL2789="","",$AL2789&amp;"|"&amp;COUNTIF($AL$11:$AL2789,$AL2789))</f>
        <v/>
      </c>
    </row>
    <row r="2790" spans="38:53" ht="15" customHeight="1" x14ac:dyDescent="0.25">
      <c r="AL2790" s="31"/>
      <c r="AM2790" s="26"/>
      <c r="AN2790" s="32"/>
      <c r="AO2790" s="32"/>
      <c r="AP2790" s="24"/>
      <c r="AQ2790" s="24"/>
      <c r="AR2790" s="33"/>
      <c r="AS2790" s="34"/>
      <c r="AT2790" s="33"/>
      <c r="AV2790" s="21">
        <f>IF(AND($AL2790&lt;&gt;"",COUNTIF($AL$11:$AL2790,$AL2790)=1),1,0)</f>
        <v>0</v>
      </c>
      <c r="AW2790" s="21">
        <f t="shared" si="173"/>
        <v>0</v>
      </c>
      <c r="AX2790" s="21" t="str">
        <f t="shared" si="172"/>
        <v/>
      </c>
      <c r="AY2790" s="21" t="str">
        <f>IF(AND($AM2790&lt;&gt;"",$AS2790&lt;&gt;"✓"),SUMPRODUCT(($AM$11:$AM2790&lt;&gt;"")*($AS$11:$AS2790&lt;&gt;"✓")),"")</f>
        <v/>
      </c>
      <c r="AZ2790" s="21" t="str">
        <f>IF(AND($AM2790&lt;&gt;"",$AS2790="✓"),SUMPRODUCT(($AM$11:$AM2790&lt;&gt;"")*($AS$11:$AS2790="✓")),"")</f>
        <v/>
      </c>
      <c r="BA2790" s="21" t="str">
        <f>IF($AL2790="","",$AL2790&amp;"|"&amp;COUNTIF($AL$11:$AL2790,$AL2790))</f>
        <v/>
      </c>
    </row>
    <row r="2791" spans="38:53" ht="15" customHeight="1" x14ac:dyDescent="0.25">
      <c r="AL2791" s="17"/>
      <c r="AM2791" s="12"/>
      <c r="AN2791" s="18"/>
      <c r="AO2791" s="18"/>
      <c r="AP2791" s="10"/>
      <c r="AQ2791" s="10"/>
      <c r="AR2791" s="19"/>
      <c r="AS2791" s="20"/>
      <c r="AT2791" s="19"/>
      <c r="AV2791" s="21">
        <f>IF(AND($AL2791&lt;&gt;"",COUNTIF($AL$11:$AL2791,$AL2791)=1),1,0)</f>
        <v>0</v>
      </c>
      <c r="AW2791" s="21">
        <f t="shared" si="173"/>
        <v>0</v>
      </c>
      <c r="AX2791" s="21" t="str">
        <f t="shared" si="172"/>
        <v/>
      </c>
      <c r="AY2791" s="21" t="str">
        <f>IF(AND($AM2791&lt;&gt;"",$AS2791&lt;&gt;"✓"),SUMPRODUCT(($AM$11:$AM2791&lt;&gt;"")*($AS$11:$AS2791&lt;&gt;"✓")),"")</f>
        <v/>
      </c>
      <c r="AZ2791" s="21" t="str">
        <f>IF(AND($AM2791&lt;&gt;"",$AS2791="✓"),SUMPRODUCT(($AM$11:$AM2791&lt;&gt;"")*($AS$11:$AS2791="✓")),"")</f>
        <v/>
      </c>
      <c r="BA2791" s="21" t="str">
        <f>IF($AL2791="","",$AL2791&amp;"|"&amp;COUNTIF($AL$11:$AL2791,$AL2791))</f>
        <v/>
      </c>
    </row>
    <row r="2792" spans="38:53" ht="15" customHeight="1" x14ac:dyDescent="0.25">
      <c r="AL2792" s="31"/>
      <c r="AM2792" s="26"/>
      <c r="AN2792" s="32"/>
      <c r="AO2792" s="32"/>
      <c r="AP2792" s="24"/>
      <c r="AQ2792" s="24"/>
      <c r="AR2792" s="33"/>
      <c r="AS2792" s="34"/>
      <c r="AT2792" s="33"/>
      <c r="AV2792" s="21">
        <f>IF(AND($AL2792&lt;&gt;"",COUNTIF($AL$11:$AL2792,$AL2792)=1),1,0)</f>
        <v>0</v>
      </c>
      <c r="AW2792" s="21">
        <f t="shared" si="173"/>
        <v>0</v>
      </c>
      <c r="AX2792" s="21" t="str">
        <f t="shared" si="172"/>
        <v/>
      </c>
      <c r="AY2792" s="21" t="str">
        <f>IF(AND($AM2792&lt;&gt;"",$AS2792&lt;&gt;"✓"),SUMPRODUCT(($AM$11:$AM2792&lt;&gt;"")*($AS$11:$AS2792&lt;&gt;"✓")),"")</f>
        <v/>
      </c>
      <c r="AZ2792" s="21" t="str">
        <f>IF(AND($AM2792&lt;&gt;"",$AS2792="✓"),SUMPRODUCT(($AM$11:$AM2792&lt;&gt;"")*($AS$11:$AS2792="✓")),"")</f>
        <v/>
      </c>
      <c r="BA2792" s="21" t="str">
        <f>IF($AL2792="","",$AL2792&amp;"|"&amp;COUNTIF($AL$11:$AL2792,$AL2792))</f>
        <v/>
      </c>
    </row>
    <row r="2793" spans="38:53" ht="15" customHeight="1" x14ac:dyDescent="0.25">
      <c r="AL2793" s="17"/>
      <c r="AM2793" s="12"/>
      <c r="AN2793" s="18"/>
      <c r="AO2793" s="18"/>
      <c r="AP2793" s="10"/>
      <c r="AQ2793" s="10"/>
      <c r="AR2793" s="19"/>
      <c r="AS2793" s="20"/>
      <c r="AT2793" s="19"/>
      <c r="AV2793" s="21">
        <f>IF(AND($AL2793&lt;&gt;"",COUNTIF($AL$11:$AL2793,$AL2793)=1),1,0)</f>
        <v>0</v>
      </c>
      <c r="AW2793" s="21">
        <f t="shared" si="173"/>
        <v>0</v>
      </c>
      <c r="AX2793" s="21" t="str">
        <f t="shared" si="172"/>
        <v/>
      </c>
      <c r="AY2793" s="21" t="str">
        <f>IF(AND($AM2793&lt;&gt;"",$AS2793&lt;&gt;"✓"),SUMPRODUCT(($AM$11:$AM2793&lt;&gt;"")*($AS$11:$AS2793&lt;&gt;"✓")),"")</f>
        <v/>
      </c>
      <c r="AZ2793" s="21" t="str">
        <f>IF(AND($AM2793&lt;&gt;"",$AS2793="✓"),SUMPRODUCT(($AM$11:$AM2793&lt;&gt;"")*($AS$11:$AS2793="✓")),"")</f>
        <v/>
      </c>
      <c r="BA2793" s="21" t="str">
        <f>IF($AL2793="","",$AL2793&amp;"|"&amp;COUNTIF($AL$11:$AL2793,$AL2793))</f>
        <v/>
      </c>
    </row>
    <row r="2794" spans="38:53" ht="15" customHeight="1" x14ac:dyDescent="0.25">
      <c r="AL2794" s="31"/>
      <c r="AM2794" s="26"/>
      <c r="AN2794" s="32"/>
      <c r="AO2794" s="32"/>
      <c r="AP2794" s="24"/>
      <c r="AQ2794" s="24"/>
      <c r="AR2794" s="33"/>
      <c r="AS2794" s="34"/>
      <c r="AT2794" s="33"/>
      <c r="AV2794" s="21">
        <f>IF(AND($AL2794&lt;&gt;"",COUNTIF($AL$11:$AL2794,$AL2794)=1),1,0)</f>
        <v>0</v>
      </c>
      <c r="AW2794" s="21">
        <f t="shared" si="173"/>
        <v>0</v>
      </c>
      <c r="AX2794" s="21" t="str">
        <f t="shared" si="172"/>
        <v/>
      </c>
      <c r="AY2794" s="21" t="str">
        <f>IF(AND($AM2794&lt;&gt;"",$AS2794&lt;&gt;"✓"),SUMPRODUCT(($AM$11:$AM2794&lt;&gt;"")*($AS$11:$AS2794&lt;&gt;"✓")),"")</f>
        <v/>
      </c>
      <c r="AZ2794" s="21" t="str">
        <f>IF(AND($AM2794&lt;&gt;"",$AS2794="✓"),SUMPRODUCT(($AM$11:$AM2794&lt;&gt;"")*($AS$11:$AS2794="✓")),"")</f>
        <v/>
      </c>
      <c r="BA2794" s="21" t="str">
        <f>IF($AL2794="","",$AL2794&amp;"|"&amp;COUNTIF($AL$11:$AL2794,$AL2794))</f>
        <v/>
      </c>
    </row>
    <row r="2795" spans="38:53" ht="15" customHeight="1" x14ac:dyDescent="0.25">
      <c r="AL2795" s="17"/>
      <c r="AM2795" s="12"/>
      <c r="AN2795" s="18"/>
      <c r="AO2795" s="18"/>
      <c r="AP2795" s="10"/>
      <c r="AQ2795" s="10"/>
      <c r="AR2795" s="19"/>
      <c r="AS2795" s="20"/>
      <c r="AT2795" s="19"/>
      <c r="AV2795" s="21">
        <f>IF(AND($AL2795&lt;&gt;"",COUNTIF($AL$11:$AL2795,$AL2795)=1),1,0)</f>
        <v>0</v>
      </c>
      <c r="AW2795" s="21">
        <f t="shared" si="173"/>
        <v>0</v>
      </c>
      <c r="AX2795" s="21" t="str">
        <f t="shared" si="172"/>
        <v/>
      </c>
      <c r="AY2795" s="21" t="str">
        <f>IF(AND($AM2795&lt;&gt;"",$AS2795&lt;&gt;"✓"),SUMPRODUCT(($AM$11:$AM2795&lt;&gt;"")*($AS$11:$AS2795&lt;&gt;"✓")),"")</f>
        <v/>
      </c>
      <c r="AZ2795" s="21" t="str">
        <f>IF(AND($AM2795&lt;&gt;"",$AS2795="✓"),SUMPRODUCT(($AM$11:$AM2795&lt;&gt;"")*($AS$11:$AS2795="✓")),"")</f>
        <v/>
      </c>
      <c r="BA2795" s="21" t="str">
        <f>IF($AL2795="","",$AL2795&amp;"|"&amp;COUNTIF($AL$11:$AL2795,$AL2795))</f>
        <v/>
      </c>
    </row>
    <row r="2796" spans="38:53" ht="15" customHeight="1" x14ac:dyDescent="0.25">
      <c r="AL2796" s="31"/>
      <c r="AM2796" s="26"/>
      <c r="AN2796" s="32"/>
      <c r="AO2796" s="32"/>
      <c r="AP2796" s="24"/>
      <c r="AQ2796" s="24"/>
      <c r="AR2796" s="33"/>
      <c r="AS2796" s="34"/>
      <c r="AT2796" s="33"/>
      <c r="AV2796" s="21">
        <f>IF(AND($AL2796&lt;&gt;"",COUNTIF($AL$11:$AL2796,$AL2796)=1),1,0)</f>
        <v>0</v>
      </c>
      <c r="AW2796" s="21">
        <f t="shared" si="173"/>
        <v>0</v>
      </c>
      <c r="AX2796" s="21" t="str">
        <f t="shared" si="172"/>
        <v/>
      </c>
      <c r="AY2796" s="21" t="str">
        <f>IF(AND($AM2796&lt;&gt;"",$AS2796&lt;&gt;"✓"),SUMPRODUCT(($AM$11:$AM2796&lt;&gt;"")*($AS$11:$AS2796&lt;&gt;"✓")),"")</f>
        <v/>
      </c>
      <c r="AZ2796" s="21" t="str">
        <f>IF(AND($AM2796&lt;&gt;"",$AS2796="✓"),SUMPRODUCT(($AM$11:$AM2796&lt;&gt;"")*($AS$11:$AS2796="✓")),"")</f>
        <v/>
      </c>
      <c r="BA2796" s="21" t="str">
        <f>IF($AL2796="","",$AL2796&amp;"|"&amp;COUNTIF($AL$11:$AL2796,$AL2796))</f>
        <v/>
      </c>
    </row>
    <row r="2797" spans="38:53" ht="15" customHeight="1" x14ac:dyDescent="0.25">
      <c r="AL2797" s="17"/>
      <c r="AM2797" s="12"/>
      <c r="AN2797" s="18"/>
      <c r="AO2797" s="18"/>
      <c r="AP2797" s="10"/>
      <c r="AQ2797" s="10"/>
      <c r="AR2797" s="19"/>
      <c r="AS2797" s="20"/>
      <c r="AT2797" s="19"/>
      <c r="AV2797" s="21">
        <f>IF(AND($AL2797&lt;&gt;"",COUNTIF($AL$11:$AL2797,$AL2797)=1),1,0)</f>
        <v>0</v>
      </c>
      <c r="AW2797" s="21">
        <f t="shared" si="173"/>
        <v>0</v>
      </c>
      <c r="AX2797" s="21" t="str">
        <f t="shared" si="172"/>
        <v/>
      </c>
      <c r="AY2797" s="21" t="str">
        <f>IF(AND($AM2797&lt;&gt;"",$AS2797&lt;&gt;"✓"),SUMPRODUCT(($AM$11:$AM2797&lt;&gt;"")*($AS$11:$AS2797&lt;&gt;"✓")),"")</f>
        <v/>
      </c>
      <c r="AZ2797" s="21" t="str">
        <f>IF(AND($AM2797&lt;&gt;"",$AS2797="✓"),SUMPRODUCT(($AM$11:$AM2797&lt;&gt;"")*($AS$11:$AS2797="✓")),"")</f>
        <v/>
      </c>
      <c r="BA2797" s="21" t="str">
        <f>IF($AL2797="","",$AL2797&amp;"|"&amp;COUNTIF($AL$11:$AL2797,$AL2797))</f>
        <v/>
      </c>
    </row>
    <row r="2798" spans="38:53" ht="15" customHeight="1" x14ac:dyDescent="0.25">
      <c r="AL2798" s="31"/>
      <c r="AM2798" s="26"/>
      <c r="AN2798" s="32"/>
      <c r="AO2798" s="32"/>
      <c r="AP2798" s="24"/>
      <c r="AQ2798" s="24"/>
      <c r="AR2798" s="33"/>
      <c r="AS2798" s="34"/>
      <c r="AT2798" s="33"/>
      <c r="AV2798" s="21">
        <f>IF(AND($AL2798&lt;&gt;"",COUNTIF($AL$11:$AL2798,$AL2798)=1),1,0)</f>
        <v>0</v>
      </c>
      <c r="AW2798" s="21">
        <f t="shared" si="173"/>
        <v>0</v>
      </c>
      <c r="AX2798" s="21" t="str">
        <f t="shared" si="172"/>
        <v/>
      </c>
      <c r="AY2798" s="21" t="str">
        <f>IF(AND($AM2798&lt;&gt;"",$AS2798&lt;&gt;"✓"),SUMPRODUCT(($AM$11:$AM2798&lt;&gt;"")*($AS$11:$AS2798&lt;&gt;"✓")),"")</f>
        <v/>
      </c>
      <c r="AZ2798" s="21" t="str">
        <f>IF(AND($AM2798&lt;&gt;"",$AS2798="✓"),SUMPRODUCT(($AM$11:$AM2798&lt;&gt;"")*($AS$11:$AS2798="✓")),"")</f>
        <v/>
      </c>
      <c r="BA2798" s="21" t="str">
        <f>IF($AL2798="","",$AL2798&amp;"|"&amp;COUNTIF($AL$11:$AL2798,$AL2798))</f>
        <v/>
      </c>
    </row>
    <row r="2799" spans="38:53" ht="15" customHeight="1" x14ac:dyDescent="0.25">
      <c r="AL2799" s="17"/>
      <c r="AM2799" s="12"/>
      <c r="AN2799" s="18"/>
      <c r="AO2799" s="18"/>
      <c r="AP2799" s="10"/>
      <c r="AQ2799" s="10"/>
      <c r="AR2799" s="19"/>
      <c r="AS2799" s="20"/>
      <c r="AT2799" s="19"/>
      <c r="AV2799" s="21">
        <f>IF(AND($AL2799&lt;&gt;"",COUNTIF($AL$11:$AL2799,$AL2799)=1),1,0)</f>
        <v>0</v>
      </c>
      <c r="AW2799" s="21">
        <f t="shared" si="173"/>
        <v>0</v>
      </c>
      <c r="AX2799" s="21" t="str">
        <f t="shared" si="172"/>
        <v/>
      </c>
      <c r="AY2799" s="21" t="str">
        <f>IF(AND($AM2799&lt;&gt;"",$AS2799&lt;&gt;"✓"),SUMPRODUCT(($AM$11:$AM2799&lt;&gt;"")*($AS$11:$AS2799&lt;&gt;"✓")),"")</f>
        <v/>
      </c>
      <c r="AZ2799" s="21" t="str">
        <f>IF(AND($AM2799&lt;&gt;"",$AS2799="✓"),SUMPRODUCT(($AM$11:$AM2799&lt;&gt;"")*($AS$11:$AS2799="✓")),"")</f>
        <v/>
      </c>
      <c r="BA2799" s="21" t="str">
        <f>IF($AL2799="","",$AL2799&amp;"|"&amp;COUNTIF($AL$11:$AL2799,$AL2799))</f>
        <v/>
      </c>
    </row>
    <row r="2800" spans="38:53" ht="15" customHeight="1" x14ac:dyDescent="0.25">
      <c r="AL2800" s="31"/>
      <c r="AM2800" s="26"/>
      <c r="AN2800" s="32"/>
      <c r="AO2800" s="32"/>
      <c r="AP2800" s="24"/>
      <c r="AQ2800" s="24"/>
      <c r="AR2800" s="33"/>
      <c r="AS2800" s="34"/>
      <c r="AT2800" s="33"/>
      <c r="AV2800" s="21">
        <f>IF(AND($AL2800&lt;&gt;"",COUNTIF($AL$11:$AL2800,$AL2800)=1),1,0)</f>
        <v>0</v>
      </c>
      <c r="AW2800" s="21">
        <f t="shared" si="173"/>
        <v>0</v>
      </c>
      <c r="AX2800" s="21" t="str">
        <f t="shared" si="172"/>
        <v/>
      </c>
      <c r="AY2800" s="21" t="str">
        <f>IF(AND($AM2800&lt;&gt;"",$AS2800&lt;&gt;"✓"),SUMPRODUCT(($AM$11:$AM2800&lt;&gt;"")*($AS$11:$AS2800&lt;&gt;"✓")),"")</f>
        <v/>
      </c>
      <c r="AZ2800" s="21" t="str">
        <f>IF(AND($AM2800&lt;&gt;"",$AS2800="✓"),SUMPRODUCT(($AM$11:$AM2800&lt;&gt;"")*($AS$11:$AS2800="✓")),"")</f>
        <v/>
      </c>
      <c r="BA2800" s="21" t="str">
        <f>IF($AL2800="","",$AL2800&amp;"|"&amp;COUNTIF($AL$11:$AL2800,$AL2800))</f>
        <v/>
      </c>
    </row>
    <row r="2801" spans="38:53" ht="15" customHeight="1" x14ac:dyDescent="0.25">
      <c r="AL2801" s="17"/>
      <c r="AM2801" s="12"/>
      <c r="AN2801" s="18"/>
      <c r="AO2801" s="18"/>
      <c r="AP2801" s="10"/>
      <c r="AQ2801" s="10"/>
      <c r="AR2801" s="19"/>
      <c r="AS2801" s="20"/>
      <c r="AT2801" s="19"/>
      <c r="AV2801" s="21">
        <f>IF(AND($AL2801&lt;&gt;"",COUNTIF($AL$11:$AL2801,$AL2801)=1),1,0)</f>
        <v>0</v>
      </c>
      <c r="AW2801" s="21">
        <f t="shared" si="173"/>
        <v>0</v>
      </c>
      <c r="AX2801" s="21" t="str">
        <f t="shared" si="172"/>
        <v/>
      </c>
      <c r="AY2801" s="21" t="str">
        <f>IF(AND($AM2801&lt;&gt;"",$AS2801&lt;&gt;"✓"),SUMPRODUCT(($AM$11:$AM2801&lt;&gt;"")*($AS$11:$AS2801&lt;&gt;"✓")),"")</f>
        <v/>
      </c>
      <c r="AZ2801" s="21" t="str">
        <f>IF(AND($AM2801&lt;&gt;"",$AS2801="✓"),SUMPRODUCT(($AM$11:$AM2801&lt;&gt;"")*($AS$11:$AS2801="✓")),"")</f>
        <v/>
      </c>
      <c r="BA2801" s="21" t="str">
        <f>IF($AL2801="","",$AL2801&amp;"|"&amp;COUNTIF($AL$11:$AL2801,$AL2801))</f>
        <v/>
      </c>
    </row>
    <row r="2802" spans="38:53" ht="15" customHeight="1" x14ac:dyDescent="0.25">
      <c r="AL2802" s="31"/>
      <c r="AM2802" s="26"/>
      <c r="AN2802" s="32"/>
      <c r="AO2802" s="32"/>
      <c r="AP2802" s="24"/>
      <c r="AQ2802" s="24"/>
      <c r="AR2802" s="33"/>
      <c r="AS2802" s="34"/>
      <c r="AT2802" s="33"/>
      <c r="AV2802" s="21">
        <f>IF(AND($AL2802&lt;&gt;"",COUNTIF($AL$11:$AL2802,$AL2802)=1),1,0)</f>
        <v>0</v>
      </c>
      <c r="AW2802" s="21">
        <f t="shared" si="173"/>
        <v>0</v>
      </c>
      <c r="AX2802" s="21" t="str">
        <f t="shared" si="172"/>
        <v/>
      </c>
      <c r="AY2802" s="21" t="str">
        <f>IF(AND($AM2802&lt;&gt;"",$AS2802&lt;&gt;"✓"),SUMPRODUCT(($AM$11:$AM2802&lt;&gt;"")*($AS$11:$AS2802&lt;&gt;"✓")),"")</f>
        <v/>
      </c>
      <c r="AZ2802" s="21" t="str">
        <f>IF(AND($AM2802&lt;&gt;"",$AS2802="✓"),SUMPRODUCT(($AM$11:$AM2802&lt;&gt;"")*($AS$11:$AS2802="✓")),"")</f>
        <v/>
      </c>
      <c r="BA2802" s="21" t="str">
        <f>IF($AL2802="","",$AL2802&amp;"|"&amp;COUNTIF($AL$11:$AL2802,$AL2802))</f>
        <v/>
      </c>
    </row>
    <row r="2803" spans="38:53" ht="15" customHeight="1" x14ac:dyDescent="0.25">
      <c r="AL2803" s="17"/>
      <c r="AM2803" s="12"/>
      <c r="AN2803" s="18"/>
      <c r="AO2803" s="18"/>
      <c r="AP2803" s="10"/>
      <c r="AQ2803" s="10"/>
      <c r="AR2803" s="19"/>
      <c r="AS2803" s="20"/>
      <c r="AT2803" s="19"/>
      <c r="AV2803" s="21">
        <f>IF(AND($AL2803&lt;&gt;"",COUNTIF($AL$11:$AL2803,$AL2803)=1),1,0)</f>
        <v>0</v>
      </c>
      <c r="AW2803" s="21">
        <f t="shared" si="173"/>
        <v>0</v>
      </c>
      <c r="AX2803" s="21" t="str">
        <f t="shared" si="172"/>
        <v/>
      </c>
      <c r="AY2803" s="21" t="str">
        <f>IF(AND($AM2803&lt;&gt;"",$AS2803&lt;&gt;"✓"),SUMPRODUCT(($AM$11:$AM2803&lt;&gt;"")*($AS$11:$AS2803&lt;&gt;"✓")),"")</f>
        <v/>
      </c>
      <c r="AZ2803" s="21" t="str">
        <f>IF(AND($AM2803&lt;&gt;"",$AS2803="✓"),SUMPRODUCT(($AM$11:$AM2803&lt;&gt;"")*($AS$11:$AS2803="✓")),"")</f>
        <v/>
      </c>
      <c r="BA2803" s="21" t="str">
        <f>IF($AL2803="","",$AL2803&amp;"|"&amp;COUNTIF($AL$11:$AL2803,$AL2803))</f>
        <v/>
      </c>
    </row>
    <row r="2804" spans="38:53" ht="15" customHeight="1" x14ac:dyDescent="0.25">
      <c r="AL2804" s="31"/>
      <c r="AM2804" s="26"/>
      <c r="AN2804" s="32"/>
      <c r="AO2804" s="32"/>
      <c r="AP2804" s="24"/>
      <c r="AQ2804" s="24"/>
      <c r="AR2804" s="33"/>
      <c r="AS2804" s="34"/>
      <c r="AT2804" s="33"/>
      <c r="AV2804" s="21">
        <f>IF(AND($AL2804&lt;&gt;"",COUNTIF($AL$11:$AL2804,$AL2804)=1),1,0)</f>
        <v>0</v>
      </c>
      <c r="AW2804" s="21">
        <f t="shared" si="173"/>
        <v>0</v>
      </c>
      <c r="AX2804" s="21" t="str">
        <f t="shared" si="172"/>
        <v/>
      </c>
      <c r="AY2804" s="21" t="str">
        <f>IF(AND($AM2804&lt;&gt;"",$AS2804&lt;&gt;"✓"),SUMPRODUCT(($AM$11:$AM2804&lt;&gt;"")*($AS$11:$AS2804&lt;&gt;"✓")),"")</f>
        <v/>
      </c>
      <c r="AZ2804" s="21" t="str">
        <f>IF(AND($AM2804&lt;&gt;"",$AS2804="✓"),SUMPRODUCT(($AM$11:$AM2804&lt;&gt;"")*($AS$11:$AS2804="✓")),"")</f>
        <v/>
      </c>
      <c r="BA2804" s="21" t="str">
        <f>IF($AL2804="","",$AL2804&amp;"|"&amp;COUNTIF($AL$11:$AL2804,$AL2804))</f>
        <v/>
      </c>
    </row>
    <row r="2805" spans="38:53" ht="15" customHeight="1" x14ac:dyDescent="0.25">
      <c r="AL2805" s="17"/>
      <c r="AM2805" s="12"/>
      <c r="AN2805" s="18"/>
      <c r="AO2805" s="18"/>
      <c r="AP2805" s="10"/>
      <c r="AQ2805" s="10"/>
      <c r="AR2805" s="19"/>
      <c r="AS2805" s="20"/>
      <c r="AT2805" s="19"/>
      <c r="AV2805" s="21">
        <f>IF(AND($AL2805&lt;&gt;"",COUNTIF($AL$11:$AL2805,$AL2805)=1),1,0)</f>
        <v>0</v>
      </c>
      <c r="AW2805" s="21">
        <f t="shared" si="173"/>
        <v>0</v>
      </c>
      <c r="AX2805" s="21" t="str">
        <f t="shared" si="172"/>
        <v/>
      </c>
      <c r="AY2805" s="21" t="str">
        <f>IF(AND($AM2805&lt;&gt;"",$AS2805&lt;&gt;"✓"),SUMPRODUCT(($AM$11:$AM2805&lt;&gt;"")*($AS$11:$AS2805&lt;&gt;"✓")),"")</f>
        <v/>
      </c>
      <c r="AZ2805" s="21" t="str">
        <f>IF(AND($AM2805&lt;&gt;"",$AS2805="✓"),SUMPRODUCT(($AM$11:$AM2805&lt;&gt;"")*($AS$11:$AS2805="✓")),"")</f>
        <v/>
      </c>
      <c r="BA2805" s="21" t="str">
        <f>IF($AL2805="","",$AL2805&amp;"|"&amp;COUNTIF($AL$11:$AL2805,$AL2805))</f>
        <v/>
      </c>
    </row>
    <row r="2806" spans="38:53" ht="15" customHeight="1" x14ac:dyDescent="0.25">
      <c r="AL2806" s="31"/>
      <c r="AM2806" s="26"/>
      <c r="AN2806" s="32"/>
      <c r="AO2806" s="32"/>
      <c r="AP2806" s="24"/>
      <c r="AQ2806" s="24"/>
      <c r="AR2806" s="33"/>
      <c r="AS2806" s="34"/>
      <c r="AT2806" s="33"/>
      <c r="AV2806" s="21">
        <f>IF(AND($AL2806&lt;&gt;"",COUNTIF($AL$11:$AL2806,$AL2806)=1),1,0)</f>
        <v>0</v>
      </c>
      <c r="AW2806" s="21">
        <f t="shared" si="173"/>
        <v>0</v>
      </c>
      <c r="AX2806" s="21" t="str">
        <f t="shared" si="172"/>
        <v/>
      </c>
      <c r="AY2806" s="21" t="str">
        <f>IF(AND($AM2806&lt;&gt;"",$AS2806&lt;&gt;"✓"),SUMPRODUCT(($AM$11:$AM2806&lt;&gt;"")*($AS$11:$AS2806&lt;&gt;"✓")),"")</f>
        <v/>
      </c>
      <c r="AZ2806" s="21" t="str">
        <f>IF(AND($AM2806&lt;&gt;"",$AS2806="✓"),SUMPRODUCT(($AM$11:$AM2806&lt;&gt;"")*($AS$11:$AS2806="✓")),"")</f>
        <v/>
      </c>
      <c r="BA2806" s="21" t="str">
        <f>IF($AL2806="","",$AL2806&amp;"|"&amp;COUNTIF($AL$11:$AL2806,$AL2806))</f>
        <v/>
      </c>
    </row>
    <row r="2807" spans="38:53" ht="15" customHeight="1" x14ac:dyDescent="0.25">
      <c r="AL2807" s="17"/>
      <c r="AM2807" s="12"/>
      <c r="AN2807" s="18"/>
      <c r="AO2807" s="18"/>
      <c r="AP2807" s="10"/>
      <c r="AQ2807" s="10"/>
      <c r="AR2807" s="19"/>
      <c r="AS2807" s="20"/>
      <c r="AT2807" s="19"/>
      <c r="AV2807" s="21">
        <f>IF(AND($AL2807&lt;&gt;"",COUNTIF($AL$11:$AL2807,$AL2807)=1),1,0)</f>
        <v>0</v>
      </c>
      <c r="AW2807" s="21">
        <f t="shared" si="173"/>
        <v>0</v>
      </c>
      <c r="AX2807" s="21" t="str">
        <f t="shared" si="172"/>
        <v/>
      </c>
      <c r="AY2807" s="21" t="str">
        <f>IF(AND($AM2807&lt;&gt;"",$AS2807&lt;&gt;"✓"),SUMPRODUCT(($AM$11:$AM2807&lt;&gt;"")*($AS$11:$AS2807&lt;&gt;"✓")),"")</f>
        <v/>
      </c>
      <c r="AZ2807" s="21" t="str">
        <f>IF(AND($AM2807&lt;&gt;"",$AS2807="✓"),SUMPRODUCT(($AM$11:$AM2807&lt;&gt;"")*($AS$11:$AS2807="✓")),"")</f>
        <v/>
      </c>
      <c r="BA2807" s="21" t="str">
        <f>IF($AL2807="","",$AL2807&amp;"|"&amp;COUNTIF($AL$11:$AL2807,$AL2807))</f>
        <v/>
      </c>
    </row>
    <row r="2808" spans="38:53" ht="15" customHeight="1" x14ac:dyDescent="0.25">
      <c r="AL2808" s="31"/>
      <c r="AM2808" s="26"/>
      <c r="AN2808" s="32"/>
      <c r="AO2808" s="32"/>
      <c r="AP2808" s="24"/>
      <c r="AQ2808" s="24"/>
      <c r="AR2808" s="33"/>
      <c r="AS2808" s="34"/>
      <c r="AT2808" s="33"/>
      <c r="AV2808" s="21">
        <f>IF(AND($AL2808&lt;&gt;"",COUNTIF($AL$11:$AL2808,$AL2808)=1),1,0)</f>
        <v>0</v>
      </c>
      <c r="AW2808" s="21">
        <f t="shared" si="173"/>
        <v>0</v>
      </c>
      <c r="AX2808" s="21" t="str">
        <f t="shared" si="172"/>
        <v/>
      </c>
      <c r="AY2808" s="21" t="str">
        <f>IF(AND($AM2808&lt;&gt;"",$AS2808&lt;&gt;"✓"),SUMPRODUCT(($AM$11:$AM2808&lt;&gt;"")*($AS$11:$AS2808&lt;&gt;"✓")),"")</f>
        <v/>
      </c>
      <c r="AZ2808" s="21" t="str">
        <f>IF(AND($AM2808&lt;&gt;"",$AS2808="✓"),SUMPRODUCT(($AM$11:$AM2808&lt;&gt;"")*($AS$11:$AS2808="✓")),"")</f>
        <v/>
      </c>
      <c r="BA2808" s="21" t="str">
        <f>IF($AL2808="","",$AL2808&amp;"|"&amp;COUNTIF($AL$11:$AL2808,$AL2808))</f>
        <v/>
      </c>
    </row>
    <row r="2809" spans="38:53" ht="15" customHeight="1" x14ac:dyDescent="0.25">
      <c r="AL2809" s="17"/>
      <c r="AM2809" s="12"/>
      <c r="AN2809" s="18"/>
      <c r="AO2809" s="18"/>
      <c r="AP2809" s="10"/>
      <c r="AQ2809" s="10"/>
      <c r="AR2809" s="19"/>
      <c r="AS2809" s="20"/>
      <c r="AT2809" s="19"/>
      <c r="AV2809" s="21">
        <f>IF(AND($AL2809&lt;&gt;"",COUNTIF($AL$11:$AL2809,$AL2809)=1),1,0)</f>
        <v>0</v>
      </c>
      <c r="AW2809" s="21">
        <f t="shared" si="173"/>
        <v>0</v>
      </c>
      <c r="AX2809" s="21" t="str">
        <f t="shared" si="172"/>
        <v/>
      </c>
      <c r="AY2809" s="21" t="str">
        <f>IF(AND($AM2809&lt;&gt;"",$AS2809&lt;&gt;"✓"),SUMPRODUCT(($AM$11:$AM2809&lt;&gt;"")*($AS$11:$AS2809&lt;&gt;"✓")),"")</f>
        <v/>
      </c>
      <c r="AZ2809" s="21" t="str">
        <f>IF(AND($AM2809&lt;&gt;"",$AS2809="✓"),SUMPRODUCT(($AM$11:$AM2809&lt;&gt;"")*($AS$11:$AS2809="✓")),"")</f>
        <v/>
      </c>
      <c r="BA2809" s="21" t="str">
        <f>IF($AL2809="","",$AL2809&amp;"|"&amp;COUNTIF($AL$11:$AL2809,$AL2809))</f>
        <v/>
      </c>
    </row>
    <row r="2810" spans="38:53" ht="15" customHeight="1" x14ac:dyDescent="0.25">
      <c r="AL2810" s="31"/>
      <c r="AM2810" s="26"/>
      <c r="AN2810" s="32"/>
      <c r="AO2810" s="32"/>
      <c r="AP2810" s="24"/>
      <c r="AQ2810" s="24"/>
      <c r="AR2810" s="33"/>
      <c r="AS2810" s="34"/>
      <c r="AT2810" s="33"/>
      <c r="AV2810" s="21">
        <f>IF(AND($AL2810&lt;&gt;"",COUNTIF($AL$11:$AL2810,$AL2810)=1),1,0)</f>
        <v>0</v>
      </c>
      <c r="AW2810" s="21">
        <f t="shared" si="173"/>
        <v>0</v>
      </c>
      <c r="AX2810" s="21" t="str">
        <f t="shared" si="172"/>
        <v/>
      </c>
      <c r="AY2810" s="21" t="str">
        <f>IF(AND($AM2810&lt;&gt;"",$AS2810&lt;&gt;"✓"),SUMPRODUCT(($AM$11:$AM2810&lt;&gt;"")*($AS$11:$AS2810&lt;&gt;"✓")),"")</f>
        <v/>
      </c>
      <c r="AZ2810" s="21" t="str">
        <f>IF(AND($AM2810&lt;&gt;"",$AS2810="✓"),SUMPRODUCT(($AM$11:$AM2810&lt;&gt;"")*($AS$11:$AS2810="✓")),"")</f>
        <v/>
      </c>
      <c r="BA2810" s="21" t="str">
        <f>IF($AL2810="","",$AL2810&amp;"|"&amp;COUNTIF($AL$11:$AL2810,$AL2810))</f>
        <v/>
      </c>
    </row>
    <row r="2811" spans="38:53" ht="15" customHeight="1" x14ac:dyDescent="0.25">
      <c r="AL2811" s="17"/>
      <c r="AM2811" s="12"/>
      <c r="AN2811" s="18"/>
      <c r="AO2811" s="18"/>
      <c r="AP2811" s="10"/>
      <c r="AQ2811" s="10"/>
      <c r="AR2811" s="19"/>
      <c r="AS2811" s="20"/>
      <c r="AT2811" s="19"/>
      <c r="AV2811" s="21">
        <f>IF(AND($AL2811&lt;&gt;"",COUNTIF($AL$11:$AL2811,$AL2811)=1),1,0)</f>
        <v>0</v>
      </c>
      <c r="AW2811" s="21">
        <f t="shared" si="173"/>
        <v>0</v>
      </c>
      <c r="AX2811" s="21" t="str">
        <f t="shared" si="172"/>
        <v/>
      </c>
      <c r="AY2811" s="21" t="str">
        <f>IF(AND($AM2811&lt;&gt;"",$AS2811&lt;&gt;"✓"),SUMPRODUCT(($AM$11:$AM2811&lt;&gt;"")*($AS$11:$AS2811&lt;&gt;"✓")),"")</f>
        <v/>
      </c>
      <c r="AZ2811" s="21" t="str">
        <f>IF(AND($AM2811&lt;&gt;"",$AS2811="✓"),SUMPRODUCT(($AM$11:$AM2811&lt;&gt;"")*($AS$11:$AS2811="✓")),"")</f>
        <v/>
      </c>
      <c r="BA2811" s="21" t="str">
        <f>IF($AL2811="","",$AL2811&amp;"|"&amp;COUNTIF($AL$11:$AL2811,$AL2811))</f>
        <v/>
      </c>
    </row>
    <row r="2812" spans="38:53" ht="15" customHeight="1" x14ac:dyDescent="0.25">
      <c r="AL2812" s="31"/>
      <c r="AM2812" s="26"/>
      <c r="AN2812" s="32"/>
      <c r="AO2812" s="32"/>
      <c r="AP2812" s="24"/>
      <c r="AQ2812" s="24"/>
      <c r="AR2812" s="33"/>
      <c r="AS2812" s="34"/>
      <c r="AT2812" s="33"/>
      <c r="AV2812" s="21">
        <f>IF(AND($AL2812&lt;&gt;"",COUNTIF($AL$11:$AL2812,$AL2812)=1),1,0)</f>
        <v>0</v>
      </c>
      <c r="AW2812" s="21">
        <f t="shared" si="173"/>
        <v>0</v>
      </c>
      <c r="AX2812" s="21" t="str">
        <f t="shared" si="172"/>
        <v/>
      </c>
      <c r="AY2812" s="21" t="str">
        <f>IF(AND($AM2812&lt;&gt;"",$AS2812&lt;&gt;"✓"),SUMPRODUCT(($AM$11:$AM2812&lt;&gt;"")*($AS$11:$AS2812&lt;&gt;"✓")),"")</f>
        <v/>
      </c>
      <c r="AZ2812" s="21" t="str">
        <f>IF(AND($AM2812&lt;&gt;"",$AS2812="✓"),SUMPRODUCT(($AM$11:$AM2812&lt;&gt;"")*($AS$11:$AS2812="✓")),"")</f>
        <v/>
      </c>
      <c r="BA2812" s="21" t="str">
        <f>IF($AL2812="","",$AL2812&amp;"|"&amp;COUNTIF($AL$11:$AL2812,$AL2812))</f>
        <v/>
      </c>
    </row>
    <row r="2813" spans="38:53" ht="15" customHeight="1" x14ac:dyDescent="0.25">
      <c r="AL2813" s="17"/>
      <c r="AM2813" s="12"/>
      <c r="AN2813" s="18"/>
      <c r="AO2813" s="18"/>
      <c r="AP2813" s="10"/>
      <c r="AQ2813" s="10"/>
      <c r="AR2813" s="19"/>
      <c r="AS2813" s="20"/>
      <c r="AT2813" s="19"/>
      <c r="AV2813" s="21">
        <f>IF(AND($AL2813&lt;&gt;"",COUNTIF($AL$11:$AL2813,$AL2813)=1),1,0)</f>
        <v>0</v>
      </c>
      <c r="AW2813" s="21">
        <f t="shared" si="173"/>
        <v>0</v>
      </c>
      <c r="AX2813" s="21" t="str">
        <f t="shared" si="172"/>
        <v/>
      </c>
      <c r="AY2813" s="21" t="str">
        <f>IF(AND($AM2813&lt;&gt;"",$AS2813&lt;&gt;"✓"),SUMPRODUCT(($AM$11:$AM2813&lt;&gt;"")*($AS$11:$AS2813&lt;&gt;"✓")),"")</f>
        <v/>
      </c>
      <c r="AZ2813" s="21" t="str">
        <f>IF(AND($AM2813&lt;&gt;"",$AS2813="✓"),SUMPRODUCT(($AM$11:$AM2813&lt;&gt;"")*($AS$11:$AS2813="✓")),"")</f>
        <v/>
      </c>
      <c r="BA2813" s="21" t="str">
        <f>IF($AL2813="","",$AL2813&amp;"|"&amp;COUNTIF($AL$11:$AL2813,$AL2813))</f>
        <v/>
      </c>
    </row>
    <row r="2814" spans="38:53" ht="15" customHeight="1" x14ac:dyDescent="0.25">
      <c r="AL2814" s="31"/>
      <c r="AM2814" s="26"/>
      <c r="AN2814" s="32"/>
      <c r="AO2814" s="32"/>
      <c r="AP2814" s="24"/>
      <c r="AQ2814" s="24"/>
      <c r="AR2814" s="33"/>
      <c r="AS2814" s="34"/>
      <c r="AT2814" s="33"/>
      <c r="AV2814" s="21">
        <f>IF(AND($AL2814&lt;&gt;"",COUNTIF($AL$11:$AL2814,$AL2814)=1),1,0)</f>
        <v>0</v>
      </c>
      <c r="AW2814" s="21">
        <f t="shared" si="173"/>
        <v>0</v>
      </c>
      <c r="AX2814" s="21" t="str">
        <f t="shared" si="172"/>
        <v/>
      </c>
      <c r="AY2814" s="21" t="str">
        <f>IF(AND($AM2814&lt;&gt;"",$AS2814&lt;&gt;"✓"),SUMPRODUCT(($AM$11:$AM2814&lt;&gt;"")*($AS$11:$AS2814&lt;&gt;"✓")),"")</f>
        <v/>
      </c>
      <c r="AZ2814" s="21" t="str">
        <f>IF(AND($AM2814&lt;&gt;"",$AS2814="✓"),SUMPRODUCT(($AM$11:$AM2814&lt;&gt;"")*($AS$11:$AS2814="✓")),"")</f>
        <v/>
      </c>
      <c r="BA2814" s="21" t="str">
        <f>IF($AL2814="","",$AL2814&amp;"|"&amp;COUNTIF($AL$11:$AL2814,$AL2814))</f>
        <v/>
      </c>
    </row>
    <row r="2815" spans="38:53" ht="15" customHeight="1" x14ac:dyDescent="0.25">
      <c r="AL2815" s="17"/>
      <c r="AM2815" s="12"/>
      <c r="AN2815" s="18"/>
      <c r="AO2815" s="18"/>
      <c r="AP2815" s="10"/>
      <c r="AQ2815" s="10"/>
      <c r="AR2815" s="19"/>
      <c r="AS2815" s="20"/>
      <c r="AT2815" s="19"/>
      <c r="AV2815" s="21">
        <f>IF(AND($AL2815&lt;&gt;"",COUNTIF($AL$11:$AL2815,$AL2815)=1),1,0)</f>
        <v>0</v>
      </c>
      <c r="AW2815" s="21">
        <f t="shared" si="173"/>
        <v>0</v>
      </c>
      <c r="AX2815" s="21" t="str">
        <f t="shared" si="172"/>
        <v/>
      </c>
      <c r="AY2815" s="21" t="str">
        <f>IF(AND($AM2815&lt;&gt;"",$AS2815&lt;&gt;"✓"),SUMPRODUCT(($AM$11:$AM2815&lt;&gt;"")*($AS$11:$AS2815&lt;&gt;"✓")),"")</f>
        <v/>
      </c>
      <c r="AZ2815" s="21" t="str">
        <f>IF(AND($AM2815&lt;&gt;"",$AS2815="✓"),SUMPRODUCT(($AM$11:$AM2815&lt;&gt;"")*($AS$11:$AS2815="✓")),"")</f>
        <v/>
      </c>
      <c r="BA2815" s="21" t="str">
        <f>IF($AL2815="","",$AL2815&amp;"|"&amp;COUNTIF($AL$11:$AL2815,$AL2815))</f>
        <v/>
      </c>
    </row>
    <row r="2816" spans="38:53" ht="15" customHeight="1" x14ac:dyDescent="0.25">
      <c r="AL2816" s="31"/>
      <c r="AM2816" s="26"/>
      <c r="AN2816" s="32"/>
      <c r="AO2816" s="32"/>
      <c r="AP2816" s="24"/>
      <c r="AQ2816" s="24"/>
      <c r="AR2816" s="33"/>
      <c r="AS2816" s="34"/>
      <c r="AT2816" s="33"/>
      <c r="AV2816" s="21">
        <f>IF(AND($AL2816&lt;&gt;"",COUNTIF($AL$11:$AL2816,$AL2816)=1),1,0)</f>
        <v>0</v>
      </c>
      <c r="AW2816" s="21">
        <f t="shared" si="173"/>
        <v>0</v>
      </c>
      <c r="AX2816" s="21" t="str">
        <f t="shared" si="172"/>
        <v/>
      </c>
      <c r="AY2816" s="21" t="str">
        <f>IF(AND($AM2816&lt;&gt;"",$AS2816&lt;&gt;"✓"),SUMPRODUCT(($AM$11:$AM2816&lt;&gt;"")*($AS$11:$AS2816&lt;&gt;"✓")),"")</f>
        <v/>
      </c>
      <c r="AZ2816" s="21" t="str">
        <f>IF(AND($AM2816&lt;&gt;"",$AS2816="✓"),SUMPRODUCT(($AM$11:$AM2816&lt;&gt;"")*($AS$11:$AS2816="✓")),"")</f>
        <v/>
      </c>
      <c r="BA2816" s="21" t="str">
        <f>IF($AL2816="","",$AL2816&amp;"|"&amp;COUNTIF($AL$11:$AL2816,$AL2816))</f>
        <v/>
      </c>
    </row>
    <row r="2817" spans="38:53" ht="15" customHeight="1" x14ac:dyDescent="0.25">
      <c r="AL2817" s="17"/>
      <c r="AM2817" s="12"/>
      <c r="AN2817" s="18"/>
      <c r="AO2817" s="18"/>
      <c r="AP2817" s="10"/>
      <c r="AQ2817" s="10"/>
      <c r="AR2817" s="19"/>
      <c r="AS2817" s="20"/>
      <c r="AT2817" s="19"/>
      <c r="AV2817" s="21">
        <f>IF(AND($AL2817&lt;&gt;"",COUNTIF($AL$11:$AL2817,$AL2817)=1),1,0)</f>
        <v>0</v>
      </c>
      <c r="AW2817" s="21">
        <f t="shared" si="173"/>
        <v>0</v>
      </c>
      <c r="AX2817" s="21" t="str">
        <f t="shared" si="172"/>
        <v/>
      </c>
      <c r="AY2817" s="21" t="str">
        <f>IF(AND($AM2817&lt;&gt;"",$AS2817&lt;&gt;"✓"),SUMPRODUCT(($AM$11:$AM2817&lt;&gt;"")*($AS$11:$AS2817&lt;&gt;"✓")),"")</f>
        <v/>
      </c>
      <c r="AZ2817" s="21" t="str">
        <f>IF(AND($AM2817&lt;&gt;"",$AS2817="✓"),SUMPRODUCT(($AM$11:$AM2817&lt;&gt;"")*($AS$11:$AS2817="✓")),"")</f>
        <v/>
      </c>
      <c r="BA2817" s="21" t="str">
        <f>IF($AL2817="","",$AL2817&amp;"|"&amp;COUNTIF($AL$11:$AL2817,$AL2817))</f>
        <v/>
      </c>
    </row>
    <row r="2818" spans="38:53" ht="15" customHeight="1" x14ac:dyDescent="0.25">
      <c r="AL2818" s="31"/>
      <c r="AM2818" s="26"/>
      <c r="AN2818" s="32"/>
      <c r="AO2818" s="32"/>
      <c r="AP2818" s="24"/>
      <c r="AQ2818" s="24"/>
      <c r="AR2818" s="33"/>
      <c r="AS2818" s="34"/>
      <c r="AT2818" s="33"/>
      <c r="AV2818" s="21">
        <f>IF(AND($AL2818&lt;&gt;"",COUNTIF($AL$11:$AL2818,$AL2818)=1),1,0)</f>
        <v>0</v>
      </c>
      <c r="AW2818" s="21">
        <f t="shared" si="173"/>
        <v>0</v>
      </c>
      <c r="AX2818" s="21" t="str">
        <f t="shared" si="172"/>
        <v/>
      </c>
      <c r="AY2818" s="21" t="str">
        <f>IF(AND($AM2818&lt;&gt;"",$AS2818&lt;&gt;"✓"),SUMPRODUCT(($AM$11:$AM2818&lt;&gt;"")*($AS$11:$AS2818&lt;&gt;"✓")),"")</f>
        <v/>
      </c>
      <c r="AZ2818" s="21" t="str">
        <f>IF(AND($AM2818&lt;&gt;"",$AS2818="✓"),SUMPRODUCT(($AM$11:$AM2818&lt;&gt;"")*($AS$11:$AS2818="✓")),"")</f>
        <v/>
      </c>
      <c r="BA2818" s="21" t="str">
        <f>IF($AL2818="","",$AL2818&amp;"|"&amp;COUNTIF($AL$11:$AL2818,$AL2818))</f>
        <v/>
      </c>
    </row>
    <row r="2819" spans="38:53" ht="15" customHeight="1" x14ac:dyDescent="0.25">
      <c r="AL2819" s="17"/>
      <c r="AM2819" s="12"/>
      <c r="AN2819" s="18"/>
      <c r="AO2819" s="18"/>
      <c r="AP2819" s="10"/>
      <c r="AQ2819" s="10"/>
      <c r="AR2819" s="19"/>
      <c r="AS2819" s="20"/>
      <c r="AT2819" s="19"/>
      <c r="AV2819" s="21">
        <f>IF(AND($AL2819&lt;&gt;"",COUNTIF($AL$11:$AL2819,$AL2819)=1),1,0)</f>
        <v>0</v>
      </c>
      <c r="AW2819" s="21">
        <f t="shared" si="173"/>
        <v>0</v>
      </c>
      <c r="AX2819" s="21" t="str">
        <f t="shared" si="172"/>
        <v/>
      </c>
      <c r="AY2819" s="21" t="str">
        <f>IF(AND($AM2819&lt;&gt;"",$AS2819&lt;&gt;"✓"),SUMPRODUCT(($AM$11:$AM2819&lt;&gt;"")*($AS$11:$AS2819&lt;&gt;"✓")),"")</f>
        <v/>
      </c>
      <c r="AZ2819" s="21" t="str">
        <f>IF(AND($AM2819&lt;&gt;"",$AS2819="✓"),SUMPRODUCT(($AM$11:$AM2819&lt;&gt;"")*($AS$11:$AS2819="✓")),"")</f>
        <v/>
      </c>
      <c r="BA2819" s="21" t="str">
        <f>IF($AL2819="","",$AL2819&amp;"|"&amp;COUNTIF($AL$11:$AL2819,$AL2819))</f>
        <v/>
      </c>
    </row>
    <row r="2820" spans="38:53" ht="15" customHeight="1" x14ac:dyDescent="0.25">
      <c r="AL2820" s="31"/>
      <c r="AM2820" s="26"/>
      <c r="AN2820" s="32"/>
      <c r="AO2820" s="32"/>
      <c r="AP2820" s="24"/>
      <c r="AQ2820" s="24"/>
      <c r="AR2820" s="33"/>
      <c r="AS2820" s="34"/>
      <c r="AT2820" s="33"/>
      <c r="AV2820" s="21">
        <f>IF(AND($AL2820&lt;&gt;"",COUNTIF($AL$11:$AL2820,$AL2820)=1),1,0)</f>
        <v>0</v>
      </c>
      <c r="AW2820" s="21">
        <f t="shared" si="173"/>
        <v>0</v>
      </c>
      <c r="AX2820" s="21" t="str">
        <f t="shared" si="172"/>
        <v/>
      </c>
      <c r="AY2820" s="21" t="str">
        <f>IF(AND($AM2820&lt;&gt;"",$AS2820&lt;&gt;"✓"),SUMPRODUCT(($AM$11:$AM2820&lt;&gt;"")*($AS$11:$AS2820&lt;&gt;"✓")),"")</f>
        <v/>
      </c>
      <c r="AZ2820" s="21" t="str">
        <f>IF(AND($AM2820&lt;&gt;"",$AS2820="✓"),SUMPRODUCT(($AM$11:$AM2820&lt;&gt;"")*($AS$11:$AS2820="✓")),"")</f>
        <v/>
      </c>
      <c r="BA2820" s="21" t="str">
        <f>IF($AL2820="","",$AL2820&amp;"|"&amp;COUNTIF($AL$11:$AL2820,$AL2820))</f>
        <v/>
      </c>
    </row>
    <row r="2821" spans="38:53" ht="15" customHeight="1" x14ac:dyDescent="0.25">
      <c r="AL2821" s="17"/>
      <c r="AM2821" s="12"/>
      <c r="AN2821" s="18"/>
      <c r="AO2821" s="18"/>
      <c r="AP2821" s="10"/>
      <c r="AQ2821" s="10"/>
      <c r="AR2821" s="19"/>
      <c r="AS2821" s="20"/>
      <c r="AT2821" s="19"/>
      <c r="AV2821" s="21">
        <f>IF(AND($AL2821&lt;&gt;"",COUNTIF($AL$11:$AL2821,$AL2821)=1),1,0)</f>
        <v>0</v>
      </c>
      <c r="AW2821" s="21">
        <f t="shared" si="173"/>
        <v>0</v>
      </c>
      <c r="AX2821" s="21" t="str">
        <f t="shared" si="172"/>
        <v/>
      </c>
      <c r="AY2821" s="21" t="str">
        <f>IF(AND($AM2821&lt;&gt;"",$AS2821&lt;&gt;"✓"),SUMPRODUCT(($AM$11:$AM2821&lt;&gt;"")*($AS$11:$AS2821&lt;&gt;"✓")),"")</f>
        <v/>
      </c>
      <c r="AZ2821" s="21" t="str">
        <f>IF(AND($AM2821&lt;&gt;"",$AS2821="✓"),SUMPRODUCT(($AM$11:$AM2821&lt;&gt;"")*($AS$11:$AS2821="✓")),"")</f>
        <v/>
      </c>
      <c r="BA2821" s="21" t="str">
        <f>IF($AL2821="","",$AL2821&amp;"|"&amp;COUNTIF($AL$11:$AL2821,$AL2821))</f>
        <v/>
      </c>
    </row>
    <row r="2822" spans="38:53" ht="15" customHeight="1" x14ac:dyDescent="0.25">
      <c r="AL2822" s="31"/>
      <c r="AM2822" s="26"/>
      <c r="AN2822" s="32"/>
      <c r="AO2822" s="32"/>
      <c r="AP2822" s="24"/>
      <c r="AQ2822" s="24"/>
      <c r="AR2822" s="33"/>
      <c r="AS2822" s="34"/>
      <c r="AT2822" s="33"/>
      <c r="AV2822" s="21">
        <f>IF(AND($AL2822&lt;&gt;"",COUNTIF($AL$11:$AL2822,$AL2822)=1),1,0)</f>
        <v>0</v>
      </c>
      <c r="AW2822" s="21">
        <f t="shared" si="173"/>
        <v>0</v>
      </c>
      <c r="AX2822" s="21" t="str">
        <f t="shared" si="172"/>
        <v/>
      </c>
      <c r="AY2822" s="21" t="str">
        <f>IF(AND($AM2822&lt;&gt;"",$AS2822&lt;&gt;"✓"),SUMPRODUCT(($AM$11:$AM2822&lt;&gt;"")*($AS$11:$AS2822&lt;&gt;"✓")),"")</f>
        <v/>
      </c>
      <c r="AZ2822" s="21" t="str">
        <f>IF(AND($AM2822&lt;&gt;"",$AS2822="✓"),SUMPRODUCT(($AM$11:$AM2822&lt;&gt;"")*($AS$11:$AS2822="✓")),"")</f>
        <v/>
      </c>
      <c r="BA2822" s="21" t="str">
        <f>IF($AL2822="","",$AL2822&amp;"|"&amp;COUNTIF($AL$11:$AL2822,$AL2822))</f>
        <v/>
      </c>
    </row>
    <row r="2823" spans="38:53" ht="15" customHeight="1" x14ac:dyDescent="0.25">
      <c r="AL2823" s="17"/>
      <c r="AM2823" s="12"/>
      <c r="AN2823" s="18"/>
      <c r="AO2823" s="18"/>
      <c r="AP2823" s="10"/>
      <c r="AQ2823" s="10"/>
      <c r="AR2823" s="19"/>
      <c r="AS2823" s="20"/>
      <c r="AT2823" s="19"/>
      <c r="AV2823" s="21">
        <f>IF(AND($AL2823&lt;&gt;"",COUNTIF($AL$11:$AL2823,$AL2823)=1),1,0)</f>
        <v>0</v>
      </c>
      <c r="AW2823" s="21">
        <f t="shared" si="173"/>
        <v>0</v>
      </c>
      <c r="AX2823" s="21" t="str">
        <f t="shared" si="172"/>
        <v/>
      </c>
      <c r="AY2823" s="21" t="str">
        <f>IF(AND($AM2823&lt;&gt;"",$AS2823&lt;&gt;"✓"),SUMPRODUCT(($AM$11:$AM2823&lt;&gt;"")*($AS$11:$AS2823&lt;&gt;"✓")),"")</f>
        <v/>
      </c>
      <c r="AZ2823" s="21" t="str">
        <f>IF(AND($AM2823&lt;&gt;"",$AS2823="✓"),SUMPRODUCT(($AM$11:$AM2823&lt;&gt;"")*($AS$11:$AS2823="✓")),"")</f>
        <v/>
      </c>
      <c r="BA2823" s="21" t="str">
        <f>IF($AL2823="","",$AL2823&amp;"|"&amp;COUNTIF($AL$11:$AL2823,$AL2823))</f>
        <v/>
      </c>
    </row>
    <row r="2824" spans="38:53" ht="15" customHeight="1" x14ac:dyDescent="0.25">
      <c r="AL2824" s="31"/>
      <c r="AM2824" s="26"/>
      <c r="AN2824" s="32"/>
      <c r="AO2824" s="32"/>
      <c r="AP2824" s="24"/>
      <c r="AQ2824" s="24"/>
      <c r="AR2824" s="33"/>
      <c r="AS2824" s="34"/>
      <c r="AT2824" s="33"/>
      <c r="AV2824" s="21">
        <f>IF(AND($AL2824&lt;&gt;"",COUNTIF($AL$11:$AL2824,$AL2824)=1),1,0)</f>
        <v>0</v>
      </c>
      <c r="AW2824" s="21">
        <f t="shared" si="173"/>
        <v>0</v>
      </c>
      <c r="AX2824" s="21" t="str">
        <f t="shared" si="172"/>
        <v/>
      </c>
      <c r="AY2824" s="21" t="str">
        <f>IF(AND($AM2824&lt;&gt;"",$AS2824&lt;&gt;"✓"),SUMPRODUCT(($AM$11:$AM2824&lt;&gt;"")*($AS$11:$AS2824&lt;&gt;"✓")),"")</f>
        <v/>
      </c>
      <c r="AZ2824" s="21" t="str">
        <f>IF(AND($AM2824&lt;&gt;"",$AS2824="✓"),SUMPRODUCT(($AM$11:$AM2824&lt;&gt;"")*($AS$11:$AS2824="✓")),"")</f>
        <v/>
      </c>
      <c r="BA2824" s="21" t="str">
        <f>IF($AL2824="","",$AL2824&amp;"|"&amp;COUNTIF($AL$11:$AL2824,$AL2824))</f>
        <v/>
      </c>
    </row>
    <row r="2825" spans="38:53" ht="15" customHeight="1" x14ac:dyDescent="0.25">
      <c r="AL2825" s="17"/>
      <c r="AM2825" s="12"/>
      <c r="AN2825" s="18"/>
      <c r="AO2825" s="18"/>
      <c r="AP2825" s="10"/>
      <c r="AQ2825" s="10"/>
      <c r="AR2825" s="19"/>
      <c r="AS2825" s="20"/>
      <c r="AT2825" s="19"/>
      <c r="AV2825" s="21">
        <f>IF(AND($AL2825&lt;&gt;"",COUNTIF($AL$11:$AL2825,$AL2825)=1),1,0)</f>
        <v>0</v>
      </c>
      <c r="AW2825" s="21">
        <f t="shared" si="173"/>
        <v>0</v>
      </c>
      <c r="AX2825" s="21" t="str">
        <f t="shared" si="172"/>
        <v/>
      </c>
      <c r="AY2825" s="21" t="str">
        <f>IF(AND($AM2825&lt;&gt;"",$AS2825&lt;&gt;"✓"),SUMPRODUCT(($AM$11:$AM2825&lt;&gt;"")*($AS$11:$AS2825&lt;&gt;"✓")),"")</f>
        <v/>
      </c>
      <c r="AZ2825" s="21" t="str">
        <f>IF(AND($AM2825&lt;&gt;"",$AS2825="✓"),SUMPRODUCT(($AM$11:$AM2825&lt;&gt;"")*($AS$11:$AS2825="✓")),"")</f>
        <v/>
      </c>
      <c r="BA2825" s="21" t="str">
        <f>IF($AL2825="","",$AL2825&amp;"|"&amp;COUNTIF($AL$11:$AL2825,$AL2825))</f>
        <v/>
      </c>
    </row>
    <row r="2826" spans="38:53" ht="15" customHeight="1" x14ac:dyDescent="0.25">
      <c r="AL2826" s="31"/>
      <c r="AM2826" s="26"/>
      <c r="AN2826" s="32"/>
      <c r="AO2826" s="32"/>
      <c r="AP2826" s="24"/>
      <c r="AQ2826" s="24"/>
      <c r="AR2826" s="33"/>
      <c r="AS2826" s="34"/>
      <c r="AT2826" s="33"/>
      <c r="AV2826" s="21">
        <f>IF(AND($AL2826&lt;&gt;"",COUNTIF($AL$11:$AL2826,$AL2826)=1),1,0)</f>
        <v>0</v>
      </c>
      <c r="AW2826" s="21">
        <f t="shared" si="173"/>
        <v>0</v>
      </c>
      <c r="AX2826" s="21" t="str">
        <f t="shared" si="172"/>
        <v/>
      </c>
      <c r="AY2826" s="21" t="str">
        <f>IF(AND($AM2826&lt;&gt;"",$AS2826&lt;&gt;"✓"),SUMPRODUCT(($AM$11:$AM2826&lt;&gt;"")*($AS$11:$AS2826&lt;&gt;"✓")),"")</f>
        <v/>
      </c>
      <c r="AZ2826" s="21" t="str">
        <f>IF(AND($AM2826&lt;&gt;"",$AS2826="✓"),SUMPRODUCT(($AM$11:$AM2826&lt;&gt;"")*($AS$11:$AS2826="✓")),"")</f>
        <v/>
      </c>
      <c r="BA2826" s="21" t="str">
        <f>IF($AL2826="","",$AL2826&amp;"|"&amp;COUNTIF($AL$11:$AL2826,$AL2826))</f>
        <v/>
      </c>
    </row>
    <row r="2827" spans="38:53" ht="15" customHeight="1" x14ac:dyDescent="0.25">
      <c r="AL2827" s="17"/>
      <c r="AM2827" s="12"/>
      <c r="AN2827" s="18"/>
      <c r="AO2827" s="18"/>
      <c r="AP2827" s="10"/>
      <c r="AQ2827" s="10"/>
      <c r="AR2827" s="19"/>
      <c r="AS2827" s="20"/>
      <c r="AT2827" s="19"/>
      <c r="AV2827" s="21">
        <f>IF(AND($AL2827&lt;&gt;"",COUNTIF($AL$11:$AL2827,$AL2827)=1),1,0)</f>
        <v>0</v>
      </c>
      <c r="AW2827" s="21">
        <f t="shared" si="173"/>
        <v>0</v>
      </c>
      <c r="AX2827" s="21" t="str">
        <f t="shared" ref="AX2827:AX2890" si="174">IF(AV2827=1,AW2827,"")</f>
        <v/>
      </c>
      <c r="AY2827" s="21" t="str">
        <f>IF(AND($AM2827&lt;&gt;"",$AS2827&lt;&gt;"✓"),SUMPRODUCT(($AM$11:$AM2827&lt;&gt;"")*($AS$11:$AS2827&lt;&gt;"✓")),"")</f>
        <v/>
      </c>
      <c r="AZ2827" s="21" t="str">
        <f>IF(AND($AM2827&lt;&gt;"",$AS2827="✓"),SUMPRODUCT(($AM$11:$AM2827&lt;&gt;"")*($AS$11:$AS2827="✓")),"")</f>
        <v/>
      </c>
      <c r="BA2827" s="21" t="str">
        <f>IF($AL2827="","",$AL2827&amp;"|"&amp;COUNTIF($AL$11:$AL2827,$AL2827))</f>
        <v/>
      </c>
    </row>
    <row r="2828" spans="38:53" ht="15" customHeight="1" x14ac:dyDescent="0.25">
      <c r="AL2828" s="31"/>
      <c r="AM2828" s="26"/>
      <c r="AN2828" s="32"/>
      <c r="AO2828" s="32"/>
      <c r="AP2828" s="24"/>
      <c r="AQ2828" s="24"/>
      <c r="AR2828" s="33"/>
      <c r="AS2828" s="34"/>
      <c r="AT2828" s="33"/>
      <c r="AV2828" s="21">
        <f>IF(AND($AL2828&lt;&gt;"",COUNTIF($AL$11:$AL2828,$AL2828)=1),1,0)</f>
        <v>0</v>
      </c>
      <c r="AW2828" s="21">
        <f t="shared" ref="AW2828:AW2891" si="175">AW2827+AV2828</f>
        <v>0</v>
      </c>
      <c r="AX2828" s="21" t="str">
        <f t="shared" si="174"/>
        <v/>
      </c>
      <c r="AY2828" s="21" t="str">
        <f>IF(AND($AM2828&lt;&gt;"",$AS2828&lt;&gt;"✓"),SUMPRODUCT(($AM$11:$AM2828&lt;&gt;"")*($AS$11:$AS2828&lt;&gt;"✓")),"")</f>
        <v/>
      </c>
      <c r="AZ2828" s="21" t="str">
        <f>IF(AND($AM2828&lt;&gt;"",$AS2828="✓"),SUMPRODUCT(($AM$11:$AM2828&lt;&gt;"")*($AS$11:$AS2828="✓")),"")</f>
        <v/>
      </c>
      <c r="BA2828" s="21" t="str">
        <f>IF($AL2828="","",$AL2828&amp;"|"&amp;COUNTIF($AL$11:$AL2828,$AL2828))</f>
        <v/>
      </c>
    </row>
    <row r="2829" spans="38:53" ht="15" customHeight="1" x14ac:dyDescent="0.25">
      <c r="AL2829" s="17"/>
      <c r="AM2829" s="12"/>
      <c r="AN2829" s="18"/>
      <c r="AO2829" s="18"/>
      <c r="AP2829" s="10"/>
      <c r="AQ2829" s="10"/>
      <c r="AR2829" s="19"/>
      <c r="AS2829" s="20"/>
      <c r="AT2829" s="19"/>
      <c r="AV2829" s="21">
        <f>IF(AND($AL2829&lt;&gt;"",COUNTIF($AL$11:$AL2829,$AL2829)=1),1,0)</f>
        <v>0</v>
      </c>
      <c r="AW2829" s="21">
        <f t="shared" si="175"/>
        <v>0</v>
      </c>
      <c r="AX2829" s="21" t="str">
        <f t="shared" si="174"/>
        <v/>
      </c>
      <c r="AY2829" s="21" t="str">
        <f>IF(AND($AM2829&lt;&gt;"",$AS2829&lt;&gt;"✓"),SUMPRODUCT(($AM$11:$AM2829&lt;&gt;"")*($AS$11:$AS2829&lt;&gt;"✓")),"")</f>
        <v/>
      </c>
      <c r="AZ2829" s="21" t="str">
        <f>IF(AND($AM2829&lt;&gt;"",$AS2829="✓"),SUMPRODUCT(($AM$11:$AM2829&lt;&gt;"")*($AS$11:$AS2829="✓")),"")</f>
        <v/>
      </c>
      <c r="BA2829" s="21" t="str">
        <f>IF($AL2829="","",$AL2829&amp;"|"&amp;COUNTIF($AL$11:$AL2829,$AL2829))</f>
        <v/>
      </c>
    </row>
    <row r="2830" spans="38:53" ht="15" customHeight="1" x14ac:dyDescent="0.25">
      <c r="AL2830" s="31"/>
      <c r="AM2830" s="26"/>
      <c r="AN2830" s="32"/>
      <c r="AO2830" s="32"/>
      <c r="AP2830" s="24"/>
      <c r="AQ2830" s="24"/>
      <c r="AR2830" s="33"/>
      <c r="AS2830" s="34"/>
      <c r="AT2830" s="33"/>
      <c r="AV2830" s="21">
        <f>IF(AND($AL2830&lt;&gt;"",COUNTIF($AL$11:$AL2830,$AL2830)=1),1,0)</f>
        <v>0</v>
      </c>
      <c r="AW2830" s="21">
        <f t="shared" si="175"/>
        <v>0</v>
      </c>
      <c r="AX2830" s="21" t="str">
        <f t="shared" si="174"/>
        <v/>
      </c>
      <c r="AY2830" s="21" t="str">
        <f>IF(AND($AM2830&lt;&gt;"",$AS2830&lt;&gt;"✓"),SUMPRODUCT(($AM$11:$AM2830&lt;&gt;"")*($AS$11:$AS2830&lt;&gt;"✓")),"")</f>
        <v/>
      </c>
      <c r="AZ2830" s="21" t="str">
        <f>IF(AND($AM2830&lt;&gt;"",$AS2830="✓"),SUMPRODUCT(($AM$11:$AM2830&lt;&gt;"")*($AS$11:$AS2830="✓")),"")</f>
        <v/>
      </c>
      <c r="BA2830" s="21" t="str">
        <f>IF($AL2830="","",$AL2830&amp;"|"&amp;COUNTIF($AL$11:$AL2830,$AL2830))</f>
        <v/>
      </c>
    </row>
    <row r="2831" spans="38:53" ht="15" customHeight="1" x14ac:dyDescent="0.25">
      <c r="AL2831" s="17"/>
      <c r="AM2831" s="12"/>
      <c r="AN2831" s="18"/>
      <c r="AO2831" s="18"/>
      <c r="AP2831" s="10"/>
      <c r="AQ2831" s="10"/>
      <c r="AR2831" s="19"/>
      <c r="AS2831" s="20"/>
      <c r="AT2831" s="19"/>
      <c r="AV2831" s="21">
        <f>IF(AND($AL2831&lt;&gt;"",COUNTIF($AL$11:$AL2831,$AL2831)=1),1,0)</f>
        <v>0</v>
      </c>
      <c r="AW2831" s="21">
        <f t="shared" si="175"/>
        <v>0</v>
      </c>
      <c r="AX2831" s="21" t="str">
        <f t="shared" si="174"/>
        <v/>
      </c>
      <c r="AY2831" s="21" t="str">
        <f>IF(AND($AM2831&lt;&gt;"",$AS2831&lt;&gt;"✓"),SUMPRODUCT(($AM$11:$AM2831&lt;&gt;"")*($AS$11:$AS2831&lt;&gt;"✓")),"")</f>
        <v/>
      </c>
      <c r="AZ2831" s="21" t="str">
        <f>IF(AND($AM2831&lt;&gt;"",$AS2831="✓"),SUMPRODUCT(($AM$11:$AM2831&lt;&gt;"")*($AS$11:$AS2831="✓")),"")</f>
        <v/>
      </c>
      <c r="BA2831" s="21" t="str">
        <f>IF($AL2831="","",$AL2831&amp;"|"&amp;COUNTIF($AL$11:$AL2831,$AL2831))</f>
        <v/>
      </c>
    </row>
    <row r="2832" spans="38:53" ht="15" customHeight="1" x14ac:dyDescent="0.25">
      <c r="AL2832" s="31"/>
      <c r="AM2832" s="26"/>
      <c r="AN2832" s="32"/>
      <c r="AO2832" s="32"/>
      <c r="AP2832" s="24"/>
      <c r="AQ2832" s="24"/>
      <c r="AR2832" s="33"/>
      <c r="AS2832" s="34"/>
      <c r="AT2832" s="33"/>
      <c r="AV2832" s="21">
        <f>IF(AND($AL2832&lt;&gt;"",COUNTIF($AL$11:$AL2832,$AL2832)=1),1,0)</f>
        <v>0</v>
      </c>
      <c r="AW2832" s="21">
        <f t="shared" si="175"/>
        <v>0</v>
      </c>
      <c r="AX2832" s="21" t="str">
        <f t="shared" si="174"/>
        <v/>
      </c>
      <c r="AY2832" s="21" t="str">
        <f>IF(AND($AM2832&lt;&gt;"",$AS2832&lt;&gt;"✓"),SUMPRODUCT(($AM$11:$AM2832&lt;&gt;"")*($AS$11:$AS2832&lt;&gt;"✓")),"")</f>
        <v/>
      </c>
      <c r="AZ2832" s="21" t="str">
        <f>IF(AND($AM2832&lt;&gt;"",$AS2832="✓"),SUMPRODUCT(($AM$11:$AM2832&lt;&gt;"")*($AS$11:$AS2832="✓")),"")</f>
        <v/>
      </c>
      <c r="BA2832" s="21" t="str">
        <f>IF($AL2832="","",$AL2832&amp;"|"&amp;COUNTIF($AL$11:$AL2832,$AL2832))</f>
        <v/>
      </c>
    </row>
    <row r="2833" spans="38:53" ht="15" customHeight="1" x14ac:dyDescent="0.25">
      <c r="AL2833" s="17"/>
      <c r="AM2833" s="12"/>
      <c r="AN2833" s="18"/>
      <c r="AO2833" s="18"/>
      <c r="AP2833" s="10"/>
      <c r="AQ2833" s="10"/>
      <c r="AR2833" s="19"/>
      <c r="AS2833" s="20"/>
      <c r="AT2833" s="19"/>
      <c r="AV2833" s="21">
        <f>IF(AND($AL2833&lt;&gt;"",COUNTIF($AL$11:$AL2833,$AL2833)=1),1,0)</f>
        <v>0</v>
      </c>
      <c r="AW2833" s="21">
        <f t="shared" si="175"/>
        <v>0</v>
      </c>
      <c r="AX2833" s="21" t="str">
        <f t="shared" si="174"/>
        <v/>
      </c>
      <c r="AY2833" s="21" t="str">
        <f>IF(AND($AM2833&lt;&gt;"",$AS2833&lt;&gt;"✓"),SUMPRODUCT(($AM$11:$AM2833&lt;&gt;"")*($AS$11:$AS2833&lt;&gt;"✓")),"")</f>
        <v/>
      </c>
      <c r="AZ2833" s="21" t="str">
        <f>IF(AND($AM2833&lt;&gt;"",$AS2833="✓"),SUMPRODUCT(($AM$11:$AM2833&lt;&gt;"")*($AS$11:$AS2833="✓")),"")</f>
        <v/>
      </c>
      <c r="BA2833" s="21" t="str">
        <f>IF($AL2833="","",$AL2833&amp;"|"&amp;COUNTIF($AL$11:$AL2833,$AL2833))</f>
        <v/>
      </c>
    </row>
    <row r="2834" spans="38:53" ht="15" customHeight="1" x14ac:dyDescent="0.25">
      <c r="AL2834" s="31"/>
      <c r="AM2834" s="26"/>
      <c r="AN2834" s="32"/>
      <c r="AO2834" s="32"/>
      <c r="AP2834" s="24"/>
      <c r="AQ2834" s="24"/>
      <c r="AR2834" s="33"/>
      <c r="AS2834" s="34"/>
      <c r="AT2834" s="33"/>
      <c r="AV2834" s="21">
        <f>IF(AND($AL2834&lt;&gt;"",COUNTIF($AL$11:$AL2834,$AL2834)=1),1,0)</f>
        <v>0</v>
      </c>
      <c r="AW2834" s="21">
        <f t="shared" si="175"/>
        <v>0</v>
      </c>
      <c r="AX2834" s="21" t="str">
        <f t="shared" si="174"/>
        <v/>
      </c>
      <c r="AY2834" s="21" t="str">
        <f>IF(AND($AM2834&lt;&gt;"",$AS2834&lt;&gt;"✓"),SUMPRODUCT(($AM$11:$AM2834&lt;&gt;"")*($AS$11:$AS2834&lt;&gt;"✓")),"")</f>
        <v/>
      </c>
      <c r="AZ2834" s="21" t="str">
        <f>IF(AND($AM2834&lt;&gt;"",$AS2834="✓"),SUMPRODUCT(($AM$11:$AM2834&lt;&gt;"")*($AS$11:$AS2834="✓")),"")</f>
        <v/>
      </c>
      <c r="BA2834" s="21" t="str">
        <f>IF($AL2834="","",$AL2834&amp;"|"&amp;COUNTIF($AL$11:$AL2834,$AL2834))</f>
        <v/>
      </c>
    </row>
    <row r="2835" spans="38:53" ht="15" customHeight="1" x14ac:dyDescent="0.25">
      <c r="AL2835" s="17"/>
      <c r="AM2835" s="12"/>
      <c r="AN2835" s="18"/>
      <c r="AO2835" s="18"/>
      <c r="AP2835" s="10"/>
      <c r="AQ2835" s="10"/>
      <c r="AR2835" s="19"/>
      <c r="AS2835" s="20"/>
      <c r="AT2835" s="19"/>
      <c r="AV2835" s="21">
        <f>IF(AND($AL2835&lt;&gt;"",COUNTIF($AL$11:$AL2835,$AL2835)=1),1,0)</f>
        <v>0</v>
      </c>
      <c r="AW2835" s="21">
        <f t="shared" si="175"/>
        <v>0</v>
      </c>
      <c r="AX2835" s="21" t="str">
        <f t="shared" si="174"/>
        <v/>
      </c>
      <c r="AY2835" s="21" t="str">
        <f>IF(AND($AM2835&lt;&gt;"",$AS2835&lt;&gt;"✓"),SUMPRODUCT(($AM$11:$AM2835&lt;&gt;"")*($AS$11:$AS2835&lt;&gt;"✓")),"")</f>
        <v/>
      </c>
      <c r="AZ2835" s="21" t="str">
        <f>IF(AND($AM2835&lt;&gt;"",$AS2835="✓"),SUMPRODUCT(($AM$11:$AM2835&lt;&gt;"")*($AS$11:$AS2835="✓")),"")</f>
        <v/>
      </c>
      <c r="BA2835" s="21" t="str">
        <f>IF($AL2835="","",$AL2835&amp;"|"&amp;COUNTIF($AL$11:$AL2835,$AL2835))</f>
        <v/>
      </c>
    </row>
    <row r="2836" spans="38:53" ht="15" customHeight="1" x14ac:dyDescent="0.25">
      <c r="AL2836" s="31"/>
      <c r="AM2836" s="26"/>
      <c r="AN2836" s="32"/>
      <c r="AO2836" s="32"/>
      <c r="AP2836" s="24"/>
      <c r="AQ2836" s="24"/>
      <c r="AR2836" s="33"/>
      <c r="AS2836" s="34"/>
      <c r="AT2836" s="33"/>
      <c r="AV2836" s="21">
        <f>IF(AND($AL2836&lt;&gt;"",COUNTIF($AL$11:$AL2836,$AL2836)=1),1,0)</f>
        <v>0</v>
      </c>
      <c r="AW2836" s="21">
        <f t="shared" si="175"/>
        <v>0</v>
      </c>
      <c r="AX2836" s="21" t="str">
        <f t="shared" si="174"/>
        <v/>
      </c>
      <c r="AY2836" s="21" t="str">
        <f>IF(AND($AM2836&lt;&gt;"",$AS2836&lt;&gt;"✓"),SUMPRODUCT(($AM$11:$AM2836&lt;&gt;"")*($AS$11:$AS2836&lt;&gt;"✓")),"")</f>
        <v/>
      </c>
      <c r="AZ2836" s="21" t="str">
        <f>IF(AND($AM2836&lt;&gt;"",$AS2836="✓"),SUMPRODUCT(($AM$11:$AM2836&lt;&gt;"")*($AS$11:$AS2836="✓")),"")</f>
        <v/>
      </c>
      <c r="BA2836" s="21" t="str">
        <f>IF($AL2836="","",$AL2836&amp;"|"&amp;COUNTIF($AL$11:$AL2836,$AL2836))</f>
        <v/>
      </c>
    </row>
    <row r="2837" spans="38:53" ht="15" customHeight="1" x14ac:dyDescent="0.25">
      <c r="AL2837" s="17"/>
      <c r="AM2837" s="12"/>
      <c r="AN2837" s="18"/>
      <c r="AO2837" s="18"/>
      <c r="AP2837" s="10"/>
      <c r="AQ2837" s="10"/>
      <c r="AR2837" s="19"/>
      <c r="AS2837" s="20"/>
      <c r="AT2837" s="19"/>
      <c r="AV2837" s="21">
        <f>IF(AND($AL2837&lt;&gt;"",COUNTIF($AL$11:$AL2837,$AL2837)=1),1,0)</f>
        <v>0</v>
      </c>
      <c r="AW2837" s="21">
        <f t="shared" si="175"/>
        <v>0</v>
      </c>
      <c r="AX2837" s="21" t="str">
        <f t="shared" si="174"/>
        <v/>
      </c>
      <c r="AY2837" s="21" t="str">
        <f>IF(AND($AM2837&lt;&gt;"",$AS2837&lt;&gt;"✓"),SUMPRODUCT(($AM$11:$AM2837&lt;&gt;"")*($AS$11:$AS2837&lt;&gt;"✓")),"")</f>
        <v/>
      </c>
      <c r="AZ2837" s="21" t="str">
        <f>IF(AND($AM2837&lt;&gt;"",$AS2837="✓"),SUMPRODUCT(($AM$11:$AM2837&lt;&gt;"")*($AS$11:$AS2837="✓")),"")</f>
        <v/>
      </c>
      <c r="BA2837" s="21" t="str">
        <f>IF($AL2837="","",$AL2837&amp;"|"&amp;COUNTIF($AL$11:$AL2837,$AL2837))</f>
        <v/>
      </c>
    </row>
    <row r="2838" spans="38:53" ht="15" customHeight="1" x14ac:dyDescent="0.25">
      <c r="AL2838" s="31"/>
      <c r="AM2838" s="26"/>
      <c r="AN2838" s="32"/>
      <c r="AO2838" s="32"/>
      <c r="AP2838" s="24"/>
      <c r="AQ2838" s="24"/>
      <c r="AR2838" s="33"/>
      <c r="AS2838" s="34"/>
      <c r="AT2838" s="33"/>
      <c r="AV2838" s="21">
        <f>IF(AND($AL2838&lt;&gt;"",COUNTIF($AL$11:$AL2838,$AL2838)=1),1,0)</f>
        <v>0</v>
      </c>
      <c r="AW2838" s="21">
        <f t="shared" si="175"/>
        <v>0</v>
      </c>
      <c r="AX2838" s="21" t="str">
        <f t="shared" si="174"/>
        <v/>
      </c>
      <c r="AY2838" s="21" t="str">
        <f>IF(AND($AM2838&lt;&gt;"",$AS2838&lt;&gt;"✓"),SUMPRODUCT(($AM$11:$AM2838&lt;&gt;"")*($AS$11:$AS2838&lt;&gt;"✓")),"")</f>
        <v/>
      </c>
      <c r="AZ2838" s="21" t="str">
        <f>IF(AND($AM2838&lt;&gt;"",$AS2838="✓"),SUMPRODUCT(($AM$11:$AM2838&lt;&gt;"")*($AS$11:$AS2838="✓")),"")</f>
        <v/>
      </c>
      <c r="BA2838" s="21" t="str">
        <f>IF($AL2838="","",$AL2838&amp;"|"&amp;COUNTIF($AL$11:$AL2838,$AL2838))</f>
        <v/>
      </c>
    </row>
    <row r="2839" spans="38:53" ht="15" customHeight="1" x14ac:dyDescent="0.25">
      <c r="AL2839" s="17"/>
      <c r="AM2839" s="12"/>
      <c r="AN2839" s="18"/>
      <c r="AO2839" s="18"/>
      <c r="AP2839" s="10"/>
      <c r="AQ2839" s="10"/>
      <c r="AR2839" s="19"/>
      <c r="AS2839" s="20"/>
      <c r="AT2839" s="19"/>
      <c r="AV2839" s="21">
        <f>IF(AND($AL2839&lt;&gt;"",COUNTIF($AL$11:$AL2839,$AL2839)=1),1,0)</f>
        <v>0</v>
      </c>
      <c r="AW2839" s="21">
        <f t="shared" si="175"/>
        <v>0</v>
      </c>
      <c r="AX2839" s="21" t="str">
        <f t="shared" si="174"/>
        <v/>
      </c>
      <c r="AY2839" s="21" t="str">
        <f>IF(AND($AM2839&lt;&gt;"",$AS2839&lt;&gt;"✓"),SUMPRODUCT(($AM$11:$AM2839&lt;&gt;"")*($AS$11:$AS2839&lt;&gt;"✓")),"")</f>
        <v/>
      </c>
      <c r="AZ2839" s="21" t="str">
        <f>IF(AND($AM2839&lt;&gt;"",$AS2839="✓"),SUMPRODUCT(($AM$11:$AM2839&lt;&gt;"")*($AS$11:$AS2839="✓")),"")</f>
        <v/>
      </c>
      <c r="BA2839" s="21" t="str">
        <f>IF($AL2839="","",$AL2839&amp;"|"&amp;COUNTIF($AL$11:$AL2839,$AL2839))</f>
        <v/>
      </c>
    </row>
    <row r="2840" spans="38:53" ht="15" customHeight="1" x14ac:dyDescent="0.25">
      <c r="AL2840" s="31"/>
      <c r="AM2840" s="26"/>
      <c r="AN2840" s="32"/>
      <c r="AO2840" s="32"/>
      <c r="AP2840" s="24"/>
      <c r="AQ2840" s="24"/>
      <c r="AR2840" s="33"/>
      <c r="AS2840" s="34"/>
      <c r="AT2840" s="33"/>
      <c r="AV2840" s="21">
        <f>IF(AND($AL2840&lt;&gt;"",COUNTIF($AL$11:$AL2840,$AL2840)=1),1,0)</f>
        <v>0</v>
      </c>
      <c r="AW2840" s="21">
        <f t="shared" si="175"/>
        <v>0</v>
      </c>
      <c r="AX2840" s="21" t="str">
        <f t="shared" si="174"/>
        <v/>
      </c>
      <c r="AY2840" s="21" t="str">
        <f>IF(AND($AM2840&lt;&gt;"",$AS2840&lt;&gt;"✓"),SUMPRODUCT(($AM$11:$AM2840&lt;&gt;"")*($AS$11:$AS2840&lt;&gt;"✓")),"")</f>
        <v/>
      </c>
      <c r="AZ2840" s="21" t="str">
        <f>IF(AND($AM2840&lt;&gt;"",$AS2840="✓"),SUMPRODUCT(($AM$11:$AM2840&lt;&gt;"")*($AS$11:$AS2840="✓")),"")</f>
        <v/>
      </c>
      <c r="BA2840" s="21" t="str">
        <f>IF($AL2840="","",$AL2840&amp;"|"&amp;COUNTIF($AL$11:$AL2840,$AL2840))</f>
        <v/>
      </c>
    </row>
    <row r="2841" spans="38:53" ht="15" customHeight="1" x14ac:dyDescent="0.25">
      <c r="AL2841" s="17"/>
      <c r="AM2841" s="12"/>
      <c r="AN2841" s="18"/>
      <c r="AO2841" s="18"/>
      <c r="AP2841" s="10"/>
      <c r="AQ2841" s="10"/>
      <c r="AR2841" s="19"/>
      <c r="AS2841" s="20"/>
      <c r="AT2841" s="19"/>
      <c r="AV2841" s="21">
        <f>IF(AND($AL2841&lt;&gt;"",COUNTIF($AL$11:$AL2841,$AL2841)=1),1,0)</f>
        <v>0</v>
      </c>
      <c r="AW2841" s="21">
        <f t="shared" si="175"/>
        <v>0</v>
      </c>
      <c r="AX2841" s="21" t="str">
        <f t="shared" si="174"/>
        <v/>
      </c>
      <c r="AY2841" s="21" t="str">
        <f>IF(AND($AM2841&lt;&gt;"",$AS2841&lt;&gt;"✓"),SUMPRODUCT(($AM$11:$AM2841&lt;&gt;"")*($AS$11:$AS2841&lt;&gt;"✓")),"")</f>
        <v/>
      </c>
      <c r="AZ2841" s="21" t="str">
        <f>IF(AND($AM2841&lt;&gt;"",$AS2841="✓"),SUMPRODUCT(($AM$11:$AM2841&lt;&gt;"")*($AS$11:$AS2841="✓")),"")</f>
        <v/>
      </c>
      <c r="BA2841" s="21" t="str">
        <f>IF($AL2841="","",$AL2841&amp;"|"&amp;COUNTIF($AL$11:$AL2841,$AL2841))</f>
        <v/>
      </c>
    </row>
    <row r="2842" spans="38:53" ht="15" customHeight="1" x14ac:dyDescent="0.25">
      <c r="AL2842" s="31"/>
      <c r="AM2842" s="26"/>
      <c r="AN2842" s="32"/>
      <c r="AO2842" s="32"/>
      <c r="AP2842" s="24"/>
      <c r="AQ2842" s="24"/>
      <c r="AR2842" s="33"/>
      <c r="AS2842" s="34"/>
      <c r="AT2842" s="33"/>
      <c r="AV2842" s="21">
        <f>IF(AND($AL2842&lt;&gt;"",COUNTIF($AL$11:$AL2842,$AL2842)=1),1,0)</f>
        <v>0</v>
      </c>
      <c r="AW2842" s="21">
        <f t="shared" si="175"/>
        <v>0</v>
      </c>
      <c r="AX2842" s="21" t="str">
        <f t="shared" si="174"/>
        <v/>
      </c>
      <c r="AY2842" s="21" t="str">
        <f>IF(AND($AM2842&lt;&gt;"",$AS2842&lt;&gt;"✓"),SUMPRODUCT(($AM$11:$AM2842&lt;&gt;"")*($AS$11:$AS2842&lt;&gt;"✓")),"")</f>
        <v/>
      </c>
      <c r="AZ2842" s="21" t="str">
        <f>IF(AND($AM2842&lt;&gt;"",$AS2842="✓"),SUMPRODUCT(($AM$11:$AM2842&lt;&gt;"")*($AS$11:$AS2842="✓")),"")</f>
        <v/>
      </c>
      <c r="BA2842" s="21" t="str">
        <f>IF($AL2842="","",$AL2842&amp;"|"&amp;COUNTIF($AL$11:$AL2842,$AL2842))</f>
        <v/>
      </c>
    </row>
    <row r="2843" spans="38:53" ht="15" customHeight="1" x14ac:dyDescent="0.25">
      <c r="AL2843" s="17"/>
      <c r="AM2843" s="12"/>
      <c r="AN2843" s="18"/>
      <c r="AO2843" s="18"/>
      <c r="AP2843" s="10"/>
      <c r="AQ2843" s="10"/>
      <c r="AR2843" s="19"/>
      <c r="AS2843" s="20"/>
      <c r="AT2843" s="19"/>
      <c r="AV2843" s="21">
        <f>IF(AND($AL2843&lt;&gt;"",COUNTIF($AL$11:$AL2843,$AL2843)=1),1,0)</f>
        <v>0</v>
      </c>
      <c r="AW2843" s="21">
        <f t="shared" si="175"/>
        <v>0</v>
      </c>
      <c r="AX2843" s="21" t="str">
        <f t="shared" si="174"/>
        <v/>
      </c>
      <c r="AY2843" s="21" t="str">
        <f>IF(AND($AM2843&lt;&gt;"",$AS2843&lt;&gt;"✓"),SUMPRODUCT(($AM$11:$AM2843&lt;&gt;"")*($AS$11:$AS2843&lt;&gt;"✓")),"")</f>
        <v/>
      </c>
      <c r="AZ2843" s="21" t="str">
        <f>IF(AND($AM2843&lt;&gt;"",$AS2843="✓"),SUMPRODUCT(($AM$11:$AM2843&lt;&gt;"")*($AS$11:$AS2843="✓")),"")</f>
        <v/>
      </c>
      <c r="BA2843" s="21" t="str">
        <f>IF($AL2843="","",$AL2843&amp;"|"&amp;COUNTIF($AL$11:$AL2843,$AL2843))</f>
        <v/>
      </c>
    </row>
    <row r="2844" spans="38:53" ht="15" customHeight="1" x14ac:dyDescent="0.25">
      <c r="AL2844" s="31"/>
      <c r="AM2844" s="26"/>
      <c r="AN2844" s="32"/>
      <c r="AO2844" s="32"/>
      <c r="AP2844" s="24"/>
      <c r="AQ2844" s="24"/>
      <c r="AR2844" s="33"/>
      <c r="AS2844" s="34"/>
      <c r="AT2844" s="33"/>
      <c r="AV2844" s="21">
        <f>IF(AND($AL2844&lt;&gt;"",COUNTIF($AL$11:$AL2844,$AL2844)=1),1,0)</f>
        <v>0</v>
      </c>
      <c r="AW2844" s="21">
        <f t="shared" si="175"/>
        <v>0</v>
      </c>
      <c r="AX2844" s="21" t="str">
        <f t="shared" si="174"/>
        <v/>
      </c>
      <c r="AY2844" s="21" t="str">
        <f>IF(AND($AM2844&lt;&gt;"",$AS2844&lt;&gt;"✓"),SUMPRODUCT(($AM$11:$AM2844&lt;&gt;"")*($AS$11:$AS2844&lt;&gt;"✓")),"")</f>
        <v/>
      </c>
      <c r="AZ2844" s="21" t="str">
        <f>IF(AND($AM2844&lt;&gt;"",$AS2844="✓"),SUMPRODUCT(($AM$11:$AM2844&lt;&gt;"")*($AS$11:$AS2844="✓")),"")</f>
        <v/>
      </c>
      <c r="BA2844" s="21" t="str">
        <f>IF($AL2844="","",$AL2844&amp;"|"&amp;COUNTIF($AL$11:$AL2844,$AL2844))</f>
        <v/>
      </c>
    </row>
    <row r="2845" spans="38:53" ht="15" customHeight="1" x14ac:dyDescent="0.25">
      <c r="AL2845" s="17"/>
      <c r="AM2845" s="12"/>
      <c r="AN2845" s="18"/>
      <c r="AO2845" s="18"/>
      <c r="AP2845" s="10"/>
      <c r="AQ2845" s="10"/>
      <c r="AR2845" s="19"/>
      <c r="AS2845" s="20"/>
      <c r="AT2845" s="19"/>
      <c r="AV2845" s="21">
        <f>IF(AND($AL2845&lt;&gt;"",COUNTIF($AL$11:$AL2845,$AL2845)=1),1,0)</f>
        <v>0</v>
      </c>
      <c r="AW2845" s="21">
        <f t="shared" si="175"/>
        <v>0</v>
      </c>
      <c r="AX2845" s="21" t="str">
        <f t="shared" si="174"/>
        <v/>
      </c>
      <c r="AY2845" s="21" t="str">
        <f>IF(AND($AM2845&lt;&gt;"",$AS2845&lt;&gt;"✓"),SUMPRODUCT(($AM$11:$AM2845&lt;&gt;"")*($AS$11:$AS2845&lt;&gt;"✓")),"")</f>
        <v/>
      </c>
      <c r="AZ2845" s="21" t="str">
        <f>IF(AND($AM2845&lt;&gt;"",$AS2845="✓"),SUMPRODUCT(($AM$11:$AM2845&lt;&gt;"")*($AS$11:$AS2845="✓")),"")</f>
        <v/>
      </c>
      <c r="BA2845" s="21" t="str">
        <f>IF($AL2845="","",$AL2845&amp;"|"&amp;COUNTIF($AL$11:$AL2845,$AL2845))</f>
        <v/>
      </c>
    </row>
    <row r="2846" spans="38:53" ht="15" customHeight="1" x14ac:dyDescent="0.25">
      <c r="AL2846" s="31"/>
      <c r="AM2846" s="26"/>
      <c r="AN2846" s="32"/>
      <c r="AO2846" s="32"/>
      <c r="AP2846" s="24"/>
      <c r="AQ2846" s="24"/>
      <c r="AR2846" s="33"/>
      <c r="AS2846" s="34"/>
      <c r="AT2846" s="33"/>
      <c r="AV2846" s="21">
        <f>IF(AND($AL2846&lt;&gt;"",COUNTIF($AL$11:$AL2846,$AL2846)=1),1,0)</f>
        <v>0</v>
      </c>
      <c r="AW2846" s="21">
        <f t="shared" si="175"/>
        <v>0</v>
      </c>
      <c r="AX2846" s="21" t="str">
        <f t="shared" si="174"/>
        <v/>
      </c>
      <c r="AY2846" s="21" t="str">
        <f>IF(AND($AM2846&lt;&gt;"",$AS2846&lt;&gt;"✓"),SUMPRODUCT(($AM$11:$AM2846&lt;&gt;"")*($AS$11:$AS2846&lt;&gt;"✓")),"")</f>
        <v/>
      </c>
      <c r="AZ2846" s="21" t="str">
        <f>IF(AND($AM2846&lt;&gt;"",$AS2846="✓"),SUMPRODUCT(($AM$11:$AM2846&lt;&gt;"")*($AS$11:$AS2846="✓")),"")</f>
        <v/>
      </c>
      <c r="BA2846" s="21" t="str">
        <f>IF($AL2846="","",$AL2846&amp;"|"&amp;COUNTIF($AL$11:$AL2846,$AL2846))</f>
        <v/>
      </c>
    </row>
    <row r="2847" spans="38:53" ht="15" customHeight="1" x14ac:dyDescent="0.25">
      <c r="AL2847" s="17"/>
      <c r="AM2847" s="12"/>
      <c r="AN2847" s="18"/>
      <c r="AO2847" s="18"/>
      <c r="AP2847" s="10"/>
      <c r="AQ2847" s="10"/>
      <c r="AR2847" s="19"/>
      <c r="AS2847" s="20"/>
      <c r="AT2847" s="19"/>
      <c r="AV2847" s="21">
        <f>IF(AND($AL2847&lt;&gt;"",COUNTIF($AL$11:$AL2847,$AL2847)=1),1,0)</f>
        <v>0</v>
      </c>
      <c r="AW2847" s="21">
        <f t="shared" si="175"/>
        <v>0</v>
      </c>
      <c r="AX2847" s="21" t="str">
        <f t="shared" si="174"/>
        <v/>
      </c>
      <c r="AY2847" s="21" t="str">
        <f>IF(AND($AM2847&lt;&gt;"",$AS2847&lt;&gt;"✓"),SUMPRODUCT(($AM$11:$AM2847&lt;&gt;"")*($AS$11:$AS2847&lt;&gt;"✓")),"")</f>
        <v/>
      </c>
      <c r="AZ2847" s="21" t="str">
        <f>IF(AND($AM2847&lt;&gt;"",$AS2847="✓"),SUMPRODUCT(($AM$11:$AM2847&lt;&gt;"")*($AS$11:$AS2847="✓")),"")</f>
        <v/>
      </c>
      <c r="BA2847" s="21" t="str">
        <f>IF($AL2847="","",$AL2847&amp;"|"&amp;COUNTIF($AL$11:$AL2847,$AL2847))</f>
        <v/>
      </c>
    </row>
    <row r="2848" spans="38:53" ht="15" customHeight="1" x14ac:dyDescent="0.25">
      <c r="AL2848" s="31"/>
      <c r="AM2848" s="26"/>
      <c r="AN2848" s="32"/>
      <c r="AO2848" s="32"/>
      <c r="AP2848" s="24"/>
      <c r="AQ2848" s="24"/>
      <c r="AR2848" s="33"/>
      <c r="AS2848" s="34"/>
      <c r="AT2848" s="33"/>
      <c r="AV2848" s="21">
        <f>IF(AND($AL2848&lt;&gt;"",COUNTIF($AL$11:$AL2848,$AL2848)=1),1,0)</f>
        <v>0</v>
      </c>
      <c r="AW2848" s="21">
        <f t="shared" si="175"/>
        <v>0</v>
      </c>
      <c r="AX2848" s="21" t="str">
        <f t="shared" si="174"/>
        <v/>
      </c>
      <c r="AY2848" s="21" t="str">
        <f>IF(AND($AM2848&lt;&gt;"",$AS2848&lt;&gt;"✓"),SUMPRODUCT(($AM$11:$AM2848&lt;&gt;"")*($AS$11:$AS2848&lt;&gt;"✓")),"")</f>
        <v/>
      </c>
      <c r="AZ2848" s="21" t="str">
        <f>IF(AND($AM2848&lt;&gt;"",$AS2848="✓"),SUMPRODUCT(($AM$11:$AM2848&lt;&gt;"")*($AS$11:$AS2848="✓")),"")</f>
        <v/>
      </c>
      <c r="BA2848" s="21" t="str">
        <f>IF($AL2848="","",$AL2848&amp;"|"&amp;COUNTIF($AL$11:$AL2848,$AL2848))</f>
        <v/>
      </c>
    </row>
    <row r="2849" spans="38:53" ht="15" customHeight="1" x14ac:dyDescent="0.25">
      <c r="AL2849" s="17"/>
      <c r="AM2849" s="12"/>
      <c r="AN2849" s="18"/>
      <c r="AO2849" s="18"/>
      <c r="AP2849" s="10"/>
      <c r="AQ2849" s="10"/>
      <c r="AR2849" s="19"/>
      <c r="AS2849" s="20"/>
      <c r="AT2849" s="19"/>
      <c r="AV2849" s="21">
        <f>IF(AND($AL2849&lt;&gt;"",COUNTIF($AL$11:$AL2849,$AL2849)=1),1,0)</f>
        <v>0</v>
      </c>
      <c r="AW2849" s="21">
        <f t="shared" si="175"/>
        <v>0</v>
      </c>
      <c r="AX2849" s="21" t="str">
        <f t="shared" si="174"/>
        <v/>
      </c>
      <c r="AY2849" s="21" t="str">
        <f>IF(AND($AM2849&lt;&gt;"",$AS2849&lt;&gt;"✓"),SUMPRODUCT(($AM$11:$AM2849&lt;&gt;"")*($AS$11:$AS2849&lt;&gt;"✓")),"")</f>
        <v/>
      </c>
      <c r="AZ2849" s="21" t="str">
        <f>IF(AND($AM2849&lt;&gt;"",$AS2849="✓"),SUMPRODUCT(($AM$11:$AM2849&lt;&gt;"")*($AS$11:$AS2849="✓")),"")</f>
        <v/>
      </c>
      <c r="BA2849" s="21" t="str">
        <f>IF($AL2849="","",$AL2849&amp;"|"&amp;COUNTIF($AL$11:$AL2849,$AL2849))</f>
        <v/>
      </c>
    </row>
    <row r="2850" spans="38:53" ht="15" customHeight="1" x14ac:dyDescent="0.25">
      <c r="AL2850" s="31"/>
      <c r="AM2850" s="26"/>
      <c r="AN2850" s="32"/>
      <c r="AO2850" s="32"/>
      <c r="AP2850" s="24"/>
      <c r="AQ2850" s="24"/>
      <c r="AR2850" s="33"/>
      <c r="AS2850" s="34"/>
      <c r="AT2850" s="33"/>
      <c r="AV2850" s="21">
        <f>IF(AND($AL2850&lt;&gt;"",COUNTIF($AL$11:$AL2850,$AL2850)=1),1,0)</f>
        <v>0</v>
      </c>
      <c r="AW2850" s="21">
        <f t="shared" si="175"/>
        <v>0</v>
      </c>
      <c r="AX2850" s="21" t="str">
        <f t="shared" si="174"/>
        <v/>
      </c>
      <c r="AY2850" s="21" t="str">
        <f>IF(AND($AM2850&lt;&gt;"",$AS2850&lt;&gt;"✓"),SUMPRODUCT(($AM$11:$AM2850&lt;&gt;"")*($AS$11:$AS2850&lt;&gt;"✓")),"")</f>
        <v/>
      </c>
      <c r="AZ2850" s="21" t="str">
        <f>IF(AND($AM2850&lt;&gt;"",$AS2850="✓"),SUMPRODUCT(($AM$11:$AM2850&lt;&gt;"")*($AS$11:$AS2850="✓")),"")</f>
        <v/>
      </c>
      <c r="BA2850" s="21" t="str">
        <f>IF($AL2850="","",$AL2850&amp;"|"&amp;COUNTIF($AL$11:$AL2850,$AL2850))</f>
        <v/>
      </c>
    </row>
    <row r="2851" spans="38:53" ht="15" customHeight="1" x14ac:dyDescent="0.25">
      <c r="AL2851" s="17"/>
      <c r="AM2851" s="12"/>
      <c r="AN2851" s="18"/>
      <c r="AO2851" s="18"/>
      <c r="AP2851" s="10"/>
      <c r="AQ2851" s="10"/>
      <c r="AR2851" s="19"/>
      <c r="AS2851" s="20"/>
      <c r="AT2851" s="19"/>
      <c r="AV2851" s="21">
        <f>IF(AND($AL2851&lt;&gt;"",COUNTIF($AL$11:$AL2851,$AL2851)=1),1,0)</f>
        <v>0</v>
      </c>
      <c r="AW2851" s="21">
        <f t="shared" si="175"/>
        <v>0</v>
      </c>
      <c r="AX2851" s="21" t="str">
        <f t="shared" si="174"/>
        <v/>
      </c>
      <c r="AY2851" s="21" t="str">
        <f>IF(AND($AM2851&lt;&gt;"",$AS2851&lt;&gt;"✓"),SUMPRODUCT(($AM$11:$AM2851&lt;&gt;"")*($AS$11:$AS2851&lt;&gt;"✓")),"")</f>
        <v/>
      </c>
      <c r="AZ2851" s="21" t="str">
        <f>IF(AND($AM2851&lt;&gt;"",$AS2851="✓"),SUMPRODUCT(($AM$11:$AM2851&lt;&gt;"")*($AS$11:$AS2851="✓")),"")</f>
        <v/>
      </c>
      <c r="BA2851" s="21" t="str">
        <f>IF($AL2851="","",$AL2851&amp;"|"&amp;COUNTIF($AL$11:$AL2851,$AL2851))</f>
        <v/>
      </c>
    </row>
    <row r="2852" spans="38:53" ht="15" customHeight="1" x14ac:dyDescent="0.25">
      <c r="AL2852" s="31"/>
      <c r="AM2852" s="26"/>
      <c r="AN2852" s="32"/>
      <c r="AO2852" s="32"/>
      <c r="AP2852" s="24"/>
      <c r="AQ2852" s="24"/>
      <c r="AR2852" s="33"/>
      <c r="AS2852" s="34"/>
      <c r="AT2852" s="33"/>
      <c r="AV2852" s="21">
        <f>IF(AND($AL2852&lt;&gt;"",COUNTIF($AL$11:$AL2852,$AL2852)=1),1,0)</f>
        <v>0</v>
      </c>
      <c r="AW2852" s="21">
        <f t="shared" si="175"/>
        <v>0</v>
      </c>
      <c r="AX2852" s="21" t="str">
        <f t="shared" si="174"/>
        <v/>
      </c>
      <c r="AY2852" s="21" t="str">
        <f>IF(AND($AM2852&lt;&gt;"",$AS2852&lt;&gt;"✓"),SUMPRODUCT(($AM$11:$AM2852&lt;&gt;"")*($AS$11:$AS2852&lt;&gt;"✓")),"")</f>
        <v/>
      </c>
      <c r="AZ2852" s="21" t="str">
        <f>IF(AND($AM2852&lt;&gt;"",$AS2852="✓"),SUMPRODUCT(($AM$11:$AM2852&lt;&gt;"")*($AS$11:$AS2852="✓")),"")</f>
        <v/>
      </c>
      <c r="BA2852" s="21" t="str">
        <f>IF($AL2852="","",$AL2852&amp;"|"&amp;COUNTIF($AL$11:$AL2852,$AL2852))</f>
        <v/>
      </c>
    </row>
    <row r="2853" spans="38:53" ht="15" customHeight="1" x14ac:dyDescent="0.25">
      <c r="AL2853" s="17"/>
      <c r="AM2853" s="12"/>
      <c r="AN2853" s="18"/>
      <c r="AO2853" s="18"/>
      <c r="AP2853" s="10"/>
      <c r="AQ2853" s="10"/>
      <c r="AR2853" s="19"/>
      <c r="AS2853" s="20"/>
      <c r="AT2853" s="19"/>
      <c r="AV2853" s="21">
        <f>IF(AND($AL2853&lt;&gt;"",COUNTIF($AL$11:$AL2853,$AL2853)=1),1,0)</f>
        <v>0</v>
      </c>
      <c r="AW2853" s="21">
        <f t="shared" si="175"/>
        <v>0</v>
      </c>
      <c r="AX2853" s="21" t="str">
        <f t="shared" si="174"/>
        <v/>
      </c>
      <c r="AY2853" s="21" t="str">
        <f>IF(AND($AM2853&lt;&gt;"",$AS2853&lt;&gt;"✓"),SUMPRODUCT(($AM$11:$AM2853&lt;&gt;"")*($AS$11:$AS2853&lt;&gt;"✓")),"")</f>
        <v/>
      </c>
      <c r="AZ2853" s="21" t="str">
        <f>IF(AND($AM2853&lt;&gt;"",$AS2853="✓"),SUMPRODUCT(($AM$11:$AM2853&lt;&gt;"")*($AS$11:$AS2853="✓")),"")</f>
        <v/>
      </c>
      <c r="BA2853" s="21" t="str">
        <f>IF($AL2853="","",$AL2853&amp;"|"&amp;COUNTIF($AL$11:$AL2853,$AL2853))</f>
        <v/>
      </c>
    </row>
    <row r="2854" spans="38:53" ht="15" customHeight="1" x14ac:dyDescent="0.25">
      <c r="AL2854" s="31"/>
      <c r="AM2854" s="26"/>
      <c r="AN2854" s="32"/>
      <c r="AO2854" s="32"/>
      <c r="AP2854" s="24"/>
      <c r="AQ2854" s="24"/>
      <c r="AR2854" s="33"/>
      <c r="AS2854" s="34"/>
      <c r="AT2854" s="33"/>
      <c r="AV2854" s="21">
        <f>IF(AND($AL2854&lt;&gt;"",COUNTIF($AL$11:$AL2854,$AL2854)=1),1,0)</f>
        <v>0</v>
      </c>
      <c r="AW2854" s="21">
        <f t="shared" si="175"/>
        <v>0</v>
      </c>
      <c r="AX2854" s="21" t="str">
        <f t="shared" si="174"/>
        <v/>
      </c>
      <c r="AY2854" s="21" t="str">
        <f>IF(AND($AM2854&lt;&gt;"",$AS2854&lt;&gt;"✓"),SUMPRODUCT(($AM$11:$AM2854&lt;&gt;"")*($AS$11:$AS2854&lt;&gt;"✓")),"")</f>
        <v/>
      </c>
      <c r="AZ2854" s="21" t="str">
        <f>IF(AND($AM2854&lt;&gt;"",$AS2854="✓"),SUMPRODUCT(($AM$11:$AM2854&lt;&gt;"")*($AS$11:$AS2854="✓")),"")</f>
        <v/>
      </c>
      <c r="BA2854" s="21" t="str">
        <f>IF($AL2854="","",$AL2854&amp;"|"&amp;COUNTIF($AL$11:$AL2854,$AL2854))</f>
        <v/>
      </c>
    </row>
    <row r="2855" spans="38:53" ht="15" customHeight="1" x14ac:dyDescent="0.25">
      <c r="AL2855" s="17"/>
      <c r="AM2855" s="12"/>
      <c r="AN2855" s="18"/>
      <c r="AO2855" s="18"/>
      <c r="AP2855" s="10"/>
      <c r="AQ2855" s="10"/>
      <c r="AR2855" s="19"/>
      <c r="AS2855" s="20"/>
      <c r="AT2855" s="19"/>
      <c r="AV2855" s="21">
        <f>IF(AND($AL2855&lt;&gt;"",COUNTIF($AL$11:$AL2855,$AL2855)=1),1,0)</f>
        <v>0</v>
      </c>
      <c r="AW2855" s="21">
        <f t="shared" si="175"/>
        <v>0</v>
      </c>
      <c r="AX2855" s="21" t="str">
        <f t="shared" si="174"/>
        <v/>
      </c>
      <c r="AY2855" s="21" t="str">
        <f>IF(AND($AM2855&lt;&gt;"",$AS2855&lt;&gt;"✓"),SUMPRODUCT(($AM$11:$AM2855&lt;&gt;"")*($AS$11:$AS2855&lt;&gt;"✓")),"")</f>
        <v/>
      </c>
      <c r="AZ2855" s="21" t="str">
        <f>IF(AND($AM2855&lt;&gt;"",$AS2855="✓"),SUMPRODUCT(($AM$11:$AM2855&lt;&gt;"")*($AS$11:$AS2855="✓")),"")</f>
        <v/>
      </c>
      <c r="BA2855" s="21" t="str">
        <f>IF($AL2855="","",$AL2855&amp;"|"&amp;COUNTIF($AL$11:$AL2855,$AL2855))</f>
        <v/>
      </c>
    </row>
    <row r="2856" spans="38:53" ht="15" customHeight="1" x14ac:dyDescent="0.25">
      <c r="AL2856" s="31"/>
      <c r="AM2856" s="26"/>
      <c r="AN2856" s="32"/>
      <c r="AO2856" s="32"/>
      <c r="AP2856" s="24"/>
      <c r="AQ2856" s="24"/>
      <c r="AR2856" s="33"/>
      <c r="AS2856" s="34"/>
      <c r="AT2856" s="33"/>
      <c r="AV2856" s="21">
        <f>IF(AND($AL2856&lt;&gt;"",COUNTIF($AL$11:$AL2856,$AL2856)=1),1,0)</f>
        <v>0</v>
      </c>
      <c r="AW2856" s="21">
        <f t="shared" si="175"/>
        <v>0</v>
      </c>
      <c r="AX2856" s="21" t="str">
        <f t="shared" si="174"/>
        <v/>
      </c>
      <c r="AY2856" s="21" t="str">
        <f>IF(AND($AM2856&lt;&gt;"",$AS2856&lt;&gt;"✓"),SUMPRODUCT(($AM$11:$AM2856&lt;&gt;"")*($AS$11:$AS2856&lt;&gt;"✓")),"")</f>
        <v/>
      </c>
      <c r="AZ2856" s="21" t="str">
        <f>IF(AND($AM2856&lt;&gt;"",$AS2856="✓"),SUMPRODUCT(($AM$11:$AM2856&lt;&gt;"")*($AS$11:$AS2856="✓")),"")</f>
        <v/>
      </c>
      <c r="BA2856" s="21" t="str">
        <f>IF($AL2856="","",$AL2856&amp;"|"&amp;COUNTIF($AL$11:$AL2856,$AL2856))</f>
        <v/>
      </c>
    </row>
    <row r="2857" spans="38:53" ht="15" customHeight="1" x14ac:dyDescent="0.25">
      <c r="AL2857" s="17"/>
      <c r="AM2857" s="12"/>
      <c r="AN2857" s="18"/>
      <c r="AO2857" s="18"/>
      <c r="AP2857" s="10"/>
      <c r="AQ2857" s="10"/>
      <c r="AR2857" s="19"/>
      <c r="AS2857" s="20"/>
      <c r="AT2857" s="19"/>
      <c r="AV2857" s="21">
        <f>IF(AND($AL2857&lt;&gt;"",COUNTIF($AL$11:$AL2857,$AL2857)=1),1,0)</f>
        <v>0</v>
      </c>
      <c r="AW2857" s="21">
        <f t="shared" si="175"/>
        <v>0</v>
      </c>
      <c r="AX2857" s="21" t="str">
        <f t="shared" si="174"/>
        <v/>
      </c>
      <c r="AY2857" s="21" t="str">
        <f>IF(AND($AM2857&lt;&gt;"",$AS2857&lt;&gt;"✓"),SUMPRODUCT(($AM$11:$AM2857&lt;&gt;"")*($AS$11:$AS2857&lt;&gt;"✓")),"")</f>
        <v/>
      </c>
      <c r="AZ2857" s="21" t="str">
        <f>IF(AND($AM2857&lt;&gt;"",$AS2857="✓"),SUMPRODUCT(($AM$11:$AM2857&lt;&gt;"")*($AS$11:$AS2857="✓")),"")</f>
        <v/>
      </c>
      <c r="BA2857" s="21" t="str">
        <f>IF($AL2857="","",$AL2857&amp;"|"&amp;COUNTIF($AL$11:$AL2857,$AL2857))</f>
        <v/>
      </c>
    </row>
    <row r="2858" spans="38:53" ht="15" customHeight="1" x14ac:dyDescent="0.25">
      <c r="AL2858" s="31"/>
      <c r="AM2858" s="26"/>
      <c r="AN2858" s="32"/>
      <c r="AO2858" s="32"/>
      <c r="AP2858" s="24"/>
      <c r="AQ2858" s="24"/>
      <c r="AR2858" s="33"/>
      <c r="AS2858" s="34"/>
      <c r="AT2858" s="33"/>
      <c r="AV2858" s="21">
        <f>IF(AND($AL2858&lt;&gt;"",COUNTIF($AL$11:$AL2858,$AL2858)=1),1,0)</f>
        <v>0</v>
      </c>
      <c r="AW2858" s="21">
        <f t="shared" si="175"/>
        <v>0</v>
      </c>
      <c r="AX2858" s="21" t="str">
        <f t="shared" si="174"/>
        <v/>
      </c>
      <c r="AY2858" s="21" t="str">
        <f>IF(AND($AM2858&lt;&gt;"",$AS2858&lt;&gt;"✓"),SUMPRODUCT(($AM$11:$AM2858&lt;&gt;"")*($AS$11:$AS2858&lt;&gt;"✓")),"")</f>
        <v/>
      </c>
      <c r="AZ2858" s="21" t="str">
        <f>IF(AND($AM2858&lt;&gt;"",$AS2858="✓"),SUMPRODUCT(($AM$11:$AM2858&lt;&gt;"")*($AS$11:$AS2858="✓")),"")</f>
        <v/>
      </c>
      <c r="BA2858" s="21" t="str">
        <f>IF($AL2858="","",$AL2858&amp;"|"&amp;COUNTIF($AL$11:$AL2858,$AL2858))</f>
        <v/>
      </c>
    </row>
    <row r="2859" spans="38:53" ht="15" customHeight="1" x14ac:dyDescent="0.25">
      <c r="AL2859" s="17"/>
      <c r="AM2859" s="12"/>
      <c r="AN2859" s="18"/>
      <c r="AO2859" s="18"/>
      <c r="AP2859" s="10"/>
      <c r="AQ2859" s="10"/>
      <c r="AR2859" s="19"/>
      <c r="AS2859" s="20"/>
      <c r="AT2859" s="19"/>
      <c r="AV2859" s="21">
        <f>IF(AND($AL2859&lt;&gt;"",COUNTIF($AL$11:$AL2859,$AL2859)=1),1,0)</f>
        <v>0</v>
      </c>
      <c r="AW2859" s="21">
        <f t="shared" si="175"/>
        <v>0</v>
      </c>
      <c r="AX2859" s="21" t="str">
        <f t="shared" si="174"/>
        <v/>
      </c>
      <c r="AY2859" s="21" t="str">
        <f>IF(AND($AM2859&lt;&gt;"",$AS2859&lt;&gt;"✓"),SUMPRODUCT(($AM$11:$AM2859&lt;&gt;"")*($AS$11:$AS2859&lt;&gt;"✓")),"")</f>
        <v/>
      </c>
      <c r="AZ2859" s="21" t="str">
        <f>IF(AND($AM2859&lt;&gt;"",$AS2859="✓"),SUMPRODUCT(($AM$11:$AM2859&lt;&gt;"")*($AS$11:$AS2859="✓")),"")</f>
        <v/>
      </c>
      <c r="BA2859" s="21" t="str">
        <f>IF($AL2859="","",$AL2859&amp;"|"&amp;COUNTIF($AL$11:$AL2859,$AL2859))</f>
        <v/>
      </c>
    </row>
    <row r="2860" spans="38:53" ht="15" customHeight="1" x14ac:dyDescent="0.25">
      <c r="AL2860" s="31"/>
      <c r="AM2860" s="26"/>
      <c r="AN2860" s="32"/>
      <c r="AO2860" s="32"/>
      <c r="AP2860" s="24"/>
      <c r="AQ2860" s="24"/>
      <c r="AR2860" s="33"/>
      <c r="AS2860" s="34"/>
      <c r="AT2860" s="33"/>
      <c r="AV2860" s="21">
        <f>IF(AND($AL2860&lt;&gt;"",COUNTIF($AL$11:$AL2860,$AL2860)=1),1,0)</f>
        <v>0</v>
      </c>
      <c r="AW2860" s="21">
        <f t="shared" si="175"/>
        <v>0</v>
      </c>
      <c r="AX2860" s="21" t="str">
        <f t="shared" si="174"/>
        <v/>
      </c>
      <c r="AY2860" s="21" t="str">
        <f>IF(AND($AM2860&lt;&gt;"",$AS2860&lt;&gt;"✓"),SUMPRODUCT(($AM$11:$AM2860&lt;&gt;"")*($AS$11:$AS2860&lt;&gt;"✓")),"")</f>
        <v/>
      </c>
      <c r="AZ2860" s="21" t="str">
        <f>IF(AND($AM2860&lt;&gt;"",$AS2860="✓"),SUMPRODUCT(($AM$11:$AM2860&lt;&gt;"")*($AS$11:$AS2860="✓")),"")</f>
        <v/>
      </c>
      <c r="BA2860" s="21" t="str">
        <f>IF($AL2860="","",$AL2860&amp;"|"&amp;COUNTIF($AL$11:$AL2860,$AL2860))</f>
        <v/>
      </c>
    </row>
    <row r="2861" spans="38:53" ht="15" customHeight="1" x14ac:dyDescent="0.25">
      <c r="AL2861" s="17"/>
      <c r="AM2861" s="12"/>
      <c r="AN2861" s="18"/>
      <c r="AO2861" s="18"/>
      <c r="AP2861" s="10"/>
      <c r="AQ2861" s="10"/>
      <c r="AR2861" s="19"/>
      <c r="AS2861" s="20"/>
      <c r="AT2861" s="19"/>
      <c r="AV2861" s="21">
        <f>IF(AND($AL2861&lt;&gt;"",COUNTIF($AL$11:$AL2861,$AL2861)=1),1,0)</f>
        <v>0</v>
      </c>
      <c r="AW2861" s="21">
        <f t="shared" si="175"/>
        <v>0</v>
      </c>
      <c r="AX2861" s="21" t="str">
        <f t="shared" si="174"/>
        <v/>
      </c>
      <c r="AY2861" s="21" t="str">
        <f>IF(AND($AM2861&lt;&gt;"",$AS2861&lt;&gt;"✓"),SUMPRODUCT(($AM$11:$AM2861&lt;&gt;"")*($AS$11:$AS2861&lt;&gt;"✓")),"")</f>
        <v/>
      </c>
      <c r="AZ2861" s="21" t="str">
        <f>IF(AND($AM2861&lt;&gt;"",$AS2861="✓"),SUMPRODUCT(($AM$11:$AM2861&lt;&gt;"")*($AS$11:$AS2861="✓")),"")</f>
        <v/>
      </c>
      <c r="BA2861" s="21" t="str">
        <f>IF($AL2861="","",$AL2861&amp;"|"&amp;COUNTIF($AL$11:$AL2861,$AL2861))</f>
        <v/>
      </c>
    </row>
    <row r="2862" spans="38:53" ht="15" customHeight="1" x14ac:dyDescent="0.25">
      <c r="AL2862" s="31"/>
      <c r="AM2862" s="26"/>
      <c r="AN2862" s="32"/>
      <c r="AO2862" s="32"/>
      <c r="AP2862" s="24"/>
      <c r="AQ2862" s="24"/>
      <c r="AR2862" s="33"/>
      <c r="AS2862" s="34"/>
      <c r="AT2862" s="33"/>
      <c r="AV2862" s="21">
        <f>IF(AND($AL2862&lt;&gt;"",COUNTIF($AL$11:$AL2862,$AL2862)=1),1,0)</f>
        <v>0</v>
      </c>
      <c r="AW2862" s="21">
        <f t="shared" si="175"/>
        <v>0</v>
      </c>
      <c r="AX2862" s="21" t="str">
        <f t="shared" si="174"/>
        <v/>
      </c>
      <c r="AY2862" s="21" t="str">
        <f>IF(AND($AM2862&lt;&gt;"",$AS2862&lt;&gt;"✓"),SUMPRODUCT(($AM$11:$AM2862&lt;&gt;"")*($AS$11:$AS2862&lt;&gt;"✓")),"")</f>
        <v/>
      </c>
      <c r="AZ2862" s="21" t="str">
        <f>IF(AND($AM2862&lt;&gt;"",$AS2862="✓"),SUMPRODUCT(($AM$11:$AM2862&lt;&gt;"")*($AS$11:$AS2862="✓")),"")</f>
        <v/>
      </c>
      <c r="BA2862" s="21" t="str">
        <f>IF($AL2862="","",$AL2862&amp;"|"&amp;COUNTIF($AL$11:$AL2862,$AL2862))</f>
        <v/>
      </c>
    </row>
    <row r="2863" spans="38:53" ht="15" customHeight="1" x14ac:dyDescent="0.25">
      <c r="AL2863" s="17"/>
      <c r="AM2863" s="12"/>
      <c r="AN2863" s="18"/>
      <c r="AO2863" s="18"/>
      <c r="AP2863" s="10"/>
      <c r="AQ2863" s="10"/>
      <c r="AR2863" s="19"/>
      <c r="AS2863" s="20"/>
      <c r="AT2863" s="19"/>
      <c r="AV2863" s="21">
        <f>IF(AND($AL2863&lt;&gt;"",COUNTIF($AL$11:$AL2863,$AL2863)=1),1,0)</f>
        <v>0</v>
      </c>
      <c r="AW2863" s="21">
        <f t="shared" si="175"/>
        <v>0</v>
      </c>
      <c r="AX2863" s="21" t="str">
        <f t="shared" si="174"/>
        <v/>
      </c>
      <c r="AY2863" s="21" t="str">
        <f>IF(AND($AM2863&lt;&gt;"",$AS2863&lt;&gt;"✓"),SUMPRODUCT(($AM$11:$AM2863&lt;&gt;"")*($AS$11:$AS2863&lt;&gt;"✓")),"")</f>
        <v/>
      </c>
      <c r="AZ2863" s="21" t="str">
        <f>IF(AND($AM2863&lt;&gt;"",$AS2863="✓"),SUMPRODUCT(($AM$11:$AM2863&lt;&gt;"")*($AS$11:$AS2863="✓")),"")</f>
        <v/>
      </c>
      <c r="BA2863" s="21" t="str">
        <f>IF($AL2863="","",$AL2863&amp;"|"&amp;COUNTIF($AL$11:$AL2863,$AL2863))</f>
        <v/>
      </c>
    </row>
    <row r="2864" spans="38:53" ht="15" customHeight="1" x14ac:dyDescent="0.25">
      <c r="AL2864" s="31"/>
      <c r="AM2864" s="26"/>
      <c r="AN2864" s="32"/>
      <c r="AO2864" s="32"/>
      <c r="AP2864" s="24"/>
      <c r="AQ2864" s="24"/>
      <c r="AR2864" s="33"/>
      <c r="AS2864" s="34"/>
      <c r="AT2864" s="33"/>
      <c r="AV2864" s="21">
        <f>IF(AND($AL2864&lt;&gt;"",COUNTIF($AL$11:$AL2864,$AL2864)=1),1,0)</f>
        <v>0</v>
      </c>
      <c r="AW2864" s="21">
        <f t="shared" si="175"/>
        <v>0</v>
      </c>
      <c r="AX2864" s="21" t="str">
        <f t="shared" si="174"/>
        <v/>
      </c>
      <c r="AY2864" s="21" t="str">
        <f>IF(AND($AM2864&lt;&gt;"",$AS2864&lt;&gt;"✓"),SUMPRODUCT(($AM$11:$AM2864&lt;&gt;"")*($AS$11:$AS2864&lt;&gt;"✓")),"")</f>
        <v/>
      </c>
      <c r="AZ2864" s="21" t="str">
        <f>IF(AND($AM2864&lt;&gt;"",$AS2864="✓"),SUMPRODUCT(($AM$11:$AM2864&lt;&gt;"")*($AS$11:$AS2864="✓")),"")</f>
        <v/>
      </c>
      <c r="BA2864" s="21" t="str">
        <f>IF($AL2864="","",$AL2864&amp;"|"&amp;COUNTIF($AL$11:$AL2864,$AL2864))</f>
        <v/>
      </c>
    </row>
    <row r="2865" spans="38:53" ht="15" customHeight="1" x14ac:dyDescent="0.25">
      <c r="AL2865" s="17"/>
      <c r="AM2865" s="12"/>
      <c r="AN2865" s="18"/>
      <c r="AO2865" s="18"/>
      <c r="AP2865" s="10"/>
      <c r="AQ2865" s="10"/>
      <c r="AR2865" s="19"/>
      <c r="AS2865" s="20"/>
      <c r="AT2865" s="19"/>
      <c r="AV2865" s="21">
        <f>IF(AND($AL2865&lt;&gt;"",COUNTIF($AL$11:$AL2865,$AL2865)=1),1,0)</f>
        <v>0</v>
      </c>
      <c r="AW2865" s="21">
        <f t="shared" si="175"/>
        <v>0</v>
      </c>
      <c r="AX2865" s="21" t="str">
        <f t="shared" si="174"/>
        <v/>
      </c>
      <c r="AY2865" s="21" t="str">
        <f>IF(AND($AM2865&lt;&gt;"",$AS2865&lt;&gt;"✓"),SUMPRODUCT(($AM$11:$AM2865&lt;&gt;"")*($AS$11:$AS2865&lt;&gt;"✓")),"")</f>
        <v/>
      </c>
      <c r="AZ2865" s="21" t="str">
        <f>IF(AND($AM2865&lt;&gt;"",$AS2865="✓"),SUMPRODUCT(($AM$11:$AM2865&lt;&gt;"")*($AS$11:$AS2865="✓")),"")</f>
        <v/>
      </c>
      <c r="BA2865" s="21" t="str">
        <f>IF($AL2865="","",$AL2865&amp;"|"&amp;COUNTIF($AL$11:$AL2865,$AL2865))</f>
        <v/>
      </c>
    </row>
    <row r="2866" spans="38:53" ht="15" customHeight="1" x14ac:dyDescent="0.25">
      <c r="AL2866" s="31"/>
      <c r="AM2866" s="26"/>
      <c r="AN2866" s="32"/>
      <c r="AO2866" s="32"/>
      <c r="AP2866" s="24"/>
      <c r="AQ2866" s="24"/>
      <c r="AR2866" s="33"/>
      <c r="AS2866" s="34"/>
      <c r="AT2866" s="33"/>
      <c r="AV2866" s="21">
        <f>IF(AND($AL2866&lt;&gt;"",COUNTIF($AL$11:$AL2866,$AL2866)=1),1,0)</f>
        <v>0</v>
      </c>
      <c r="AW2866" s="21">
        <f t="shared" si="175"/>
        <v>0</v>
      </c>
      <c r="AX2866" s="21" t="str">
        <f t="shared" si="174"/>
        <v/>
      </c>
      <c r="AY2866" s="21" t="str">
        <f>IF(AND($AM2866&lt;&gt;"",$AS2866&lt;&gt;"✓"),SUMPRODUCT(($AM$11:$AM2866&lt;&gt;"")*($AS$11:$AS2866&lt;&gt;"✓")),"")</f>
        <v/>
      </c>
      <c r="AZ2866" s="21" t="str">
        <f>IF(AND($AM2866&lt;&gt;"",$AS2866="✓"),SUMPRODUCT(($AM$11:$AM2866&lt;&gt;"")*($AS$11:$AS2866="✓")),"")</f>
        <v/>
      </c>
      <c r="BA2866" s="21" t="str">
        <f>IF($AL2866="","",$AL2866&amp;"|"&amp;COUNTIF($AL$11:$AL2866,$AL2866))</f>
        <v/>
      </c>
    </row>
    <row r="2867" spans="38:53" ht="15" customHeight="1" x14ac:dyDescent="0.25">
      <c r="AL2867" s="17"/>
      <c r="AM2867" s="12"/>
      <c r="AN2867" s="18"/>
      <c r="AO2867" s="18"/>
      <c r="AP2867" s="10"/>
      <c r="AQ2867" s="10"/>
      <c r="AR2867" s="19"/>
      <c r="AS2867" s="20"/>
      <c r="AT2867" s="19"/>
      <c r="AV2867" s="21">
        <f>IF(AND($AL2867&lt;&gt;"",COUNTIF($AL$11:$AL2867,$AL2867)=1),1,0)</f>
        <v>0</v>
      </c>
      <c r="AW2867" s="21">
        <f t="shared" si="175"/>
        <v>0</v>
      </c>
      <c r="AX2867" s="21" t="str">
        <f t="shared" si="174"/>
        <v/>
      </c>
      <c r="AY2867" s="21" t="str">
        <f>IF(AND($AM2867&lt;&gt;"",$AS2867&lt;&gt;"✓"),SUMPRODUCT(($AM$11:$AM2867&lt;&gt;"")*($AS$11:$AS2867&lt;&gt;"✓")),"")</f>
        <v/>
      </c>
      <c r="AZ2867" s="21" t="str">
        <f>IF(AND($AM2867&lt;&gt;"",$AS2867="✓"),SUMPRODUCT(($AM$11:$AM2867&lt;&gt;"")*($AS$11:$AS2867="✓")),"")</f>
        <v/>
      </c>
      <c r="BA2867" s="21" t="str">
        <f>IF($AL2867="","",$AL2867&amp;"|"&amp;COUNTIF($AL$11:$AL2867,$AL2867))</f>
        <v/>
      </c>
    </row>
    <row r="2868" spans="38:53" ht="15" customHeight="1" x14ac:dyDescent="0.25">
      <c r="AL2868" s="31"/>
      <c r="AM2868" s="26"/>
      <c r="AN2868" s="32"/>
      <c r="AO2868" s="32"/>
      <c r="AP2868" s="24"/>
      <c r="AQ2868" s="24"/>
      <c r="AR2868" s="33"/>
      <c r="AS2868" s="34"/>
      <c r="AT2868" s="33"/>
      <c r="AV2868" s="21">
        <f>IF(AND($AL2868&lt;&gt;"",COUNTIF($AL$11:$AL2868,$AL2868)=1),1,0)</f>
        <v>0</v>
      </c>
      <c r="AW2868" s="21">
        <f t="shared" si="175"/>
        <v>0</v>
      </c>
      <c r="AX2868" s="21" t="str">
        <f t="shared" si="174"/>
        <v/>
      </c>
      <c r="AY2868" s="21" t="str">
        <f>IF(AND($AM2868&lt;&gt;"",$AS2868&lt;&gt;"✓"),SUMPRODUCT(($AM$11:$AM2868&lt;&gt;"")*($AS$11:$AS2868&lt;&gt;"✓")),"")</f>
        <v/>
      </c>
      <c r="AZ2868" s="21" t="str">
        <f>IF(AND($AM2868&lt;&gt;"",$AS2868="✓"),SUMPRODUCT(($AM$11:$AM2868&lt;&gt;"")*($AS$11:$AS2868="✓")),"")</f>
        <v/>
      </c>
      <c r="BA2868" s="21" t="str">
        <f>IF($AL2868="","",$AL2868&amp;"|"&amp;COUNTIF($AL$11:$AL2868,$AL2868))</f>
        <v/>
      </c>
    </row>
    <row r="2869" spans="38:53" ht="15" customHeight="1" x14ac:dyDescent="0.25">
      <c r="AL2869" s="17"/>
      <c r="AM2869" s="12"/>
      <c r="AN2869" s="18"/>
      <c r="AO2869" s="18"/>
      <c r="AP2869" s="10"/>
      <c r="AQ2869" s="10"/>
      <c r="AR2869" s="19"/>
      <c r="AS2869" s="20"/>
      <c r="AT2869" s="19"/>
      <c r="AV2869" s="21">
        <f>IF(AND($AL2869&lt;&gt;"",COUNTIF($AL$11:$AL2869,$AL2869)=1),1,0)</f>
        <v>0</v>
      </c>
      <c r="AW2869" s="21">
        <f t="shared" si="175"/>
        <v>0</v>
      </c>
      <c r="AX2869" s="21" t="str">
        <f t="shared" si="174"/>
        <v/>
      </c>
      <c r="AY2869" s="21" t="str">
        <f>IF(AND($AM2869&lt;&gt;"",$AS2869&lt;&gt;"✓"),SUMPRODUCT(($AM$11:$AM2869&lt;&gt;"")*($AS$11:$AS2869&lt;&gt;"✓")),"")</f>
        <v/>
      </c>
      <c r="AZ2869" s="21" t="str">
        <f>IF(AND($AM2869&lt;&gt;"",$AS2869="✓"),SUMPRODUCT(($AM$11:$AM2869&lt;&gt;"")*($AS$11:$AS2869="✓")),"")</f>
        <v/>
      </c>
      <c r="BA2869" s="21" t="str">
        <f>IF($AL2869="","",$AL2869&amp;"|"&amp;COUNTIF($AL$11:$AL2869,$AL2869))</f>
        <v/>
      </c>
    </row>
    <row r="2870" spans="38:53" ht="15" customHeight="1" x14ac:dyDescent="0.25">
      <c r="AL2870" s="31"/>
      <c r="AM2870" s="26"/>
      <c r="AN2870" s="32"/>
      <c r="AO2870" s="32"/>
      <c r="AP2870" s="24"/>
      <c r="AQ2870" s="24"/>
      <c r="AR2870" s="33"/>
      <c r="AS2870" s="34"/>
      <c r="AT2870" s="33"/>
      <c r="AV2870" s="21">
        <f>IF(AND($AL2870&lt;&gt;"",COUNTIF($AL$11:$AL2870,$AL2870)=1),1,0)</f>
        <v>0</v>
      </c>
      <c r="AW2870" s="21">
        <f t="shared" si="175"/>
        <v>0</v>
      </c>
      <c r="AX2870" s="21" t="str">
        <f t="shared" si="174"/>
        <v/>
      </c>
      <c r="AY2870" s="21" t="str">
        <f>IF(AND($AM2870&lt;&gt;"",$AS2870&lt;&gt;"✓"),SUMPRODUCT(($AM$11:$AM2870&lt;&gt;"")*($AS$11:$AS2870&lt;&gt;"✓")),"")</f>
        <v/>
      </c>
      <c r="AZ2870" s="21" t="str">
        <f>IF(AND($AM2870&lt;&gt;"",$AS2870="✓"),SUMPRODUCT(($AM$11:$AM2870&lt;&gt;"")*($AS$11:$AS2870="✓")),"")</f>
        <v/>
      </c>
      <c r="BA2870" s="21" t="str">
        <f>IF($AL2870="","",$AL2870&amp;"|"&amp;COUNTIF($AL$11:$AL2870,$AL2870))</f>
        <v/>
      </c>
    </row>
    <row r="2871" spans="38:53" ht="15" customHeight="1" x14ac:dyDescent="0.25">
      <c r="AL2871" s="17"/>
      <c r="AM2871" s="12"/>
      <c r="AN2871" s="18"/>
      <c r="AO2871" s="18"/>
      <c r="AP2871" s="10"/>
      <c r="AQ2871" s="10"/>
      <c r="AR2871" s="19"/>
      <c r="AS2871" s="20"/>
      <c r="AT2871" s="19"/>
      <c r="AV2871" s="21">
        <f>IF(AND($AL2871&lt;&gt;"",COUNTIF($AL$11:$AL2871,$AL2871)=1),1,0)</f>
        <v>0</v>
      </c>
      <c r="AW2871" s="21">
        <f t="shared" si="175"/>
        <v>0</v>
      </c>
      <c r="AX2871" s="21" t="str">
        <f t="shared" si="174"/>
        <v/>
      </c>
      <c r="AY2871" s="21" t="str">
        <f>IF(AND($AM2871&lt;&gt;"",$AS2871&lt;&gt;"✓"),SUMPRODUCT(($AM$11:$AM2871&lt;&gt;"")*($AS$11:$AS2871&lt;&gt;"✓")),"")</f>
        <v/>
      </c>
      <c r="AZ2871" s="21" t="str">
        <f>IF(AND($AM2871&lt;&gt;"",$AS2871="✓"),SUMPRODUCT(($AM$11:$AM2871&lt;&gt;"")*($AS$11:$AS2871="✓")),"")</f>
        <v/>
      </c>
      <c r="BA2871" s="21" t="str">
        <f>IF($AL2871="","",$AL2871&amp;"|"&amp;COUNTIF($AL$11:$AL2871,$AL2871))</f>
        <v/>
      </c>
    </row>
    <row r="2872" spans="38:53" ht="15" customHeight="1" x14ac:dyDescent="0.25">
      <c r="AL2872" s="31"/>
      <c r="AM2872" s="26"/>
      <c r="AN2872" s="32"/>
      <c r="AO2872" s="32"/>
      <c r="AP2872" s="24"/>
      <c r="AQ2872" s="24"/>
      <c r="AR2872" s="33"/>
      <c r="AS2872" s="34"/>
      <c r="AT2872" s="33"/>
      <c r="AV2872" s="21">
        <f>IF(AND($AL2872&lt;&gt;"",COUNTIF($AL$11:$AL2872,$AL2872)=1),1,0)</f>
        <v>0</v>
      </c>
      <c r="AW2872" s="21">
        <f t="shared" si="175"/>
        <v>0</v>
      </c>
      <c r="AX2872" s="21" t="str">
        <f t="shared" si="174"/>
        <v/>
      </c>
      <c r="AY2872" s="21" t="str">
        <f>IF(AND($AM2872&lt;&gt;"",$AS2872&lt;&gt;"✓"),SUMPRODUCT(($AM$11:$AM2872&lt;&gt;"")*($AS$11:$AS2872&lt;&gt;"✓")),"")</f>
        <v/>
      </c>
      <c r="AZ2872" s="21" t="str">
        <f>IF(AND($AM2872&lt;&gt;"",$AS2872="✓"),SUMPRODUCT(($AM$11:$AM2872&lt;&gt;"")*($AS$11:$AS2872="✓")),"")</f>
        <v/>
      </c>
      <c r="BA2872" s="21" t="str">
        <f>IF($AL2872="","",$AL2872&amp;"|"&amp;COUNTIF($AL$11:$AL2872,$AL2872))</f>
        <v/>
      </c>
    </row>
    <row r="2873" spans="38:53" ht="15" customHeight="1" x14ac:dyDescent="0.25">
      <c r="AL2873" s="17"/>
      <c r="AM2873" s="12"/>
      <c r="AN2873" s="18"/>
      <c r="AO2873" s="18"/>
      <c r="AP2873" s="10"/>
      <c r="AQ2873" s="10"/>
      <c r="AR2873" s="19"/>
      <c r="AS2873" s="20"/>
      <c r="AT2873" s="19"/>
      <c r="AV2873" s="21">
        <f>IF(AND($AL2873&lt;&gt;"",COUNTIF($AL$11:$AL2873,$AL2873)=1),1,0)</f>
        <v>0</v>
      </c>
      <c r="AW2873" s="21">
        <f t="shared" si="175"/>
        <v>0</v>
      </c>
      <c r="AX2873" s="21" t="str">
        <f t="shared" si="174"/>
        <v/>
      </c>
      <c r="AY2873" s="21" t="str">
        <f>IF(AND($AM2873&lt;&gt;"",$AS2873&lt;&gt;"✓"),SUMPRODUCT(($AM$11:$AM2873&lt;&gt;"")*($AS$11:$AS2873&lt;&gt;"✓")),"")</f>
        <v/>
      </c>
      <c r="AZ2873" s="21" t="str">
        <f>IF(AND($AM2873&lt;&gt;"",$AS2873="✓"),SUMPRODUCT(($AM$11:$AM2873&lt;&gt;"")*($AS$11:$AS2873="✓")),"")</f>
        <v/>
      </c>
      <c r="BA2873" s="21" t="str">
        <f>IF($AL2873="","",$AL2873&amp;"|"&amp;COUNTIF($AL$11:$AL2873,$AL2873))</f>
        <v/>
      </c>
    </row>
    <row r="2874" spans="38:53" ht="15" customHeight="1" x14ac:dyDescent="0.25">
      <c r="AL2874" s="31"/>
      <c r="AM2874" s="26"/>
      <c r="AN2874" s="32"/>
      <c r="AO2874" s="32"/>
      <c r="AP2874" s="24"/>
      <c r="AQ2874" s="24"/>
      <c r="AR2874" s="33"/>
      <c r="AS2874" s="34"/>
      <c r="AT2874" s="33"/>
      <c r="AV2874" s="21">
        <f>IF(AND($AL2874&lt;&gt;"",COUNTIF($AL$11:$AL2874,$AL2874)=1),1,0)</f>
        <v>0</v>
      </c>
      <c r="AW2874" s="21">
        <f t="shared" si="175"/>
        <v>0</v>
      </c>
      <c r="AX2874" s="21" t="str">
        <f t="shared" si="174"/>
        <v/>
      </c>
      <c r="AY2874" s="21" t="str">
        <f>IF(AND($AM2874&lt;&gt;"",$AS2874&lt;&gt;"✓"),SUMPRODUCT(($AM$11:$AM2874&lt;&gt;"")*($AS$11:$AS2874&lt;&gt;"✓")),"")</f>
        <v/>
      </c>
      <c r="AZ2874" s="21" t="str">
        <f>IF(AND($AM2874&lt;&gt;"",$AS2874="✓"),SUMPRODUCT(($AM$11:$AM2874&lt;&gt;"")*($AS$11:$AS2874="✓")),"")</f>
        <v/>
      </c>
      <c r="BA2874" s="21" t="str">
        <f>IF($AL2874="","",$AL2874&amp;"|"&amp;COUNTIF($AL$11:$AL2874,$AL2874))</f>
        <v/>
      </c>
    </row>
    <row r="2875" spans="38:53" ht="15" customHeight="1" x14ac:dyDescent="0.25">
      <c r="AL2875" s="17"/>
      <c r="AM2875" s="12"/>
      <c r="AN2875" s="18"/>
      <c r="AO2875" s="18"/>
      <c r="AP2875" s="10"/>
      <c r="AQ2875" s="10"/>
      <c r="AR2875" s="19"/>
      <c r="AS2875" s="20"/>
      <c r="AT2875" s="19"/>
      <c r="AV2875" s="21">
        <f>IF(AND($AL2875&lt;&gt;"",COUNTIF($AL$11:$AL2875,$AL2875)=1),1,0)</f>
        <v>0</v>
      </c>
      <c r="AW2875" s="21">
        <f t="shared" si="175"/>
        <v>0</v>
      </c>
      <c r="AX2875" s="21" t="str">
        <f t="shared" si="174"/>
        <v/>
      </c>
      <c r="AY2875" s="21" t="str">
        <f>IF(AND($AM2875&lt;&gt;"",$AS2875&lt;&gt;"✓"),SUMPRODUCT(($AM$11:$AM2875&lt;&gt;"")*($AS$11:$AS2875&lt;&gt;"✓")),"")</f>
        <v/>
      </c>
      <c r="AZ2875" s="21" t="str">
        <f>IF(AND($AM2875&lt;&gt;"",$AS2875="✓"),SUMPRODUCT(($AM$11:$AM2875&lt;&gt;"")*($AS$11:$AS2875="✓")),"")</f>
        <v/>
      </c>
      <c r="BA2875" s="21" t="str">
        <f>IF($AL2875="","",$AL2875&amp;"|"&amp;COUNTIF($AL$11:$AL2875,$AL2875))</f>
        <v/>
      </c>
    </row>
    <row r="2876" spans="38:53" ht="15" customHeight="1" x14ac:dyDescent="0.25">
      <c r="AL2876" s="31"/>
      <c r="AM2876" s="26"/>
      <c r="AN2876" s="32"/>
      <c r="AO2876" s="32"/>
      <c r="AP2876" s="24"/>
      <c r="AQ2876" s="24"/>
      <c r="AR2876" s="33"/>
      <c r="AS2876" s="34"/>
      <c r="AT2876" s="33"/>
      <c r="AV2876" s="21">
        <f>IF(AND($AL2876&lt;&gt;"",COUNTIF($AL$11:$AL2876,$AL2876)=1),1,0)</f>
        <v>0</v>
      </c>
      <c r="AW2876" s="21">
        <f t="shared" si="175"/>
        <v>0</v>
      </c>
      <c r="AX2876" s="21" t="str">
        <f t="shared" si="174"/>
        <v/>
      </c>
      <c r="AY2876" s="21" t="str">
        <f>IF(AND($AM2876&lt;&gt;"",$AS2876&lt;&gt;"✓"),SUMPRODUCT(($AM$11:$AM2876&lt;&gt;"")*($AS$11:$AS2876&lt;&gt;"✓")),"")</f>
        <v/>
      </c>
      <c r="AZ2876" s="21" t="str">
        <f>IF(AND($AM2876&lt;&gt;"",$AS2876="✓"),SUMPRODUCT(($AM$11:$AM2876&lt;&gt;"")*($AS$11:$AS2876="✓")),"")</f>
        <v/>
      </c>
      <c r="BA2876" s="21" t="str">
        <f>IF($AL2876="","",$AL2876&amp;"|"&amp;COUNTIF($AL$11:$AL2876,$AL2876))</f>
        <v/>
      </c>
    </row>
    <row r="2877" spans="38:53" ht="15" customHeight="1" x14ac:dyDescent="0.25">
      <c r="AL2877" s="17"/>
      <c r="AM2877" s="12"/>
      <c r="AN2877" s="18"/>
      <c r="AO2877" s="18"/>
      <c r="AP2877" s="10"/>
      <c r="AQ2877" s="10"/>
      <c r="AR2877" s="19"/>
      <c r="AS2877" s="20"/>
      <c r="AT2877" s="19"/>
      <c r="AV2877" s="21">
        <f>IF(AND($AL2877&lt;&gt;"",COUNTIF($AL$11:$AL2877,$AL2877)=1),1,0)</f>
        <v>0</v>
      </c>
      <c r="AW2877" s="21">
        <f t="shared" si="175"/>
        <v>0</v>
      </c>
      <c r="AX2877" s="21" t="str">
        <f t="shared" si="174"/>
        <v/>
      </c>
      <c r="AY2877" s="21" t="str">
        <f>IF(AND($AM2877&lt;&gt;"",$AS2877&lt;&gt;"✓"),SUMPRODUCT(($AM$11:$AM2877&lt;&gt;"")*($AS$11:$AS2877&lt;&gt;"✓")),"")</f>
        <v/>
      </c>
      <c r="AZ2877" s="21" t="str">
        <f>IF(AND($AM2877&lt;&gt;"",$AS2877="✓"),SUMPRODUCT(($AM$11:$AM2877&lt;&gt;"")*($AS$11:$AS2877="✓")),"")</f>
        <v/>
      </c>
      <c r="BA2877" s="21" t="str">
        <f>IF($AL2877="","",$AL2877&amp;"|"&amp;COUNTIF($AL$11:$AL2877,$AL2877))</f>
        <v/>
      </c>
    </row>
    <row r="2878" spans="38:53" ht="15" customHeight="1" x14ac:dyDescent="0.25">
      <c r="AL2878" s="31"/>
      <c r="AM2878" s="26"/>
      <c r="AN2878" s="32"/>
      <c r="AO2878" s="32"/>
      <c r="AP2878" s="24"/>
      <c r="AQ2878" s="24"/>
      <c r="AR2878" s="33"/>
      <c r="AS2878" s="34"/>
      <c r="AT2878" s="33"/>
      <c r="AV2878" s="21">
        <f>IF(AND($AL2878&lt;&gt;"",COUNTIF($AL$11:$AL2878,$AL2878)=1),1,0)</f>
        <v>0</v>
      </c>
      <c r="AW2878" s="21">
        <f t="shared" si="175"/>
        <v>0</v>
      </c>
      <c r="AX2878" s="21" t="str">
        <f t="shared" si="174"/>
        <v/>
      </c>
      <c r="AY2878" s="21" t="str">
        <f>IF(AND($AM2878&lt;&gt;"",$AS2878&lt;&gt;"✓"),SUMPRODUCT(($AM$11:$AM2878&lt;&gt;"")*($AS$11:$AS2878&lt;&gt;"✓")),"")</f>
        <v/>
      </c>
      <c r="AZ2878" s="21" t="str">
        <f>IF(AND($AM2878&lt;&gt;"",$AS2878="✓"),SUMPRODUCT(($AM$11:$AM2878&lt;&gt;"")*($AS$11:$AS2878="✓")),"")</f>
        <v/>
      </c>
      <c r="BA2878" s="21" t="str">
        <f>IF($AL2878="","",$AL2878&amp;"|"&amp;COUNTIF($AL$11:$AL2878,$AL2878))</f>
        <v/>
      </c>
    </row>
    <row r="2879" spans="38:53" ht="15" customHeight="1" x14ac:dyDescent="0.25">
      <c r="AL2879" s="17"/>
      <c r="AM2879" s="12"/>
      <c r="AN2879" s="18"/>
      <c r="AO2879" s="18"/>
      <c r="AP2879" s="10"/>
      <c r="AQ2879" s="10"/>
      <c r="AR2879" s="19"/>
      <c r="AS2879" s="20"/>
      <c r="AT2879" s="19"/>
      <c r="AV2879" s="21">
        <f>IF(AND($AL2879&lt;&gt;"",COUNTIF($AL$11:$AL2879,$AL2879)=1),1,0)</f>
        <v>0</v>
      </c>
      <c r="AW2879" s="21">
        <f t="shared" si="175"/>
        <v>0</v>
      </c>
      <c r="AX2879" s="21" t="str">
        <f t="shared" si="174"/>
        <v/>
      </c>
      <c r="AY2879" s="21" t="str">
        <f>IF(AND($AM2879&lt;&gt;"",$AS2879&lt;&gt;"✓"),SUMPRODUCT(($AM$11:$AM2879&lt;&gt;"")*($AS$11:$AS2879&lt;&gt;"✓")),"")</f>
        <v/>
      </c>
      <c r="AZ2879" s="21" t="str">
        <f>IF(AND($AM2879&lt;&gt;"",$AS2879="✓"),SUMPRODUCT(($AM$11:$AM2879&lt;&gt;"")*($AS$11:$AS2879="✓")),"")</f>
        <v/>
      </c>
      <c r="BA2879" s="21" t="str">
        <f>IF($AL2879="","",$AL2879&amp;"|"&amp;COUNTIF($AL$11:$AL2879,$AL2879))</f>
        <v/>
      </c>
    </row>
    <row r="2880" spans="38:53" ht="15" customHeight="1" x14ac:dyDescent="0.25">
      <c r="AL2880" s="31"/>
      <c r="AM2880" s="26"/>
      <c r="AN2880" s="32"/>
      <c r="AO2880" s="32"/>
      <c r="AP2880" s="24"/>
      <c r="AQ2880" s="24"/>
      <c r="AR2880" s="33"/>
      <c r="AS2880" s="34"/>
      <c r="AT2880" s="33"/>
      <c r="AV2880" s="21">
        <f>IF(AND($AL2880&lt;&gt;"",COUNTIF($AL$11:$AL2880,$AL2880)=1),1,0)</f>
        <v>0</v>
      </c>
      <c r="AW2880" s="21">
        <f t="shared" si="175"/>
        <v>0</v>
      </c>
      <c r="AX2880" s="21" t="str">
        <f t="shared" si="174"/>
        <v/>
      </c>
      <c r="AY2880" s="21" t="str">
        <f>IF(AND($AM2880&lt;&gt;"",$AS2880&lt;&gt;"✓"),SUMPRODUCT(($AM$11:$AM2880&lt;&gt;"")*($AS$11:$AS2880&lt;&gt;"✓")),"")</f>
        <v/>
      </c>
      <c r="AZ2880" s="21" t="str">
        <f>IF(AND($AM2880&lt;&gt;"",$AS2880="✓"),SUMPRODUCT(($AM$11:$AM2880&lt;&gt;"")*($AS$11:$AS2880="✓")),"")</f>
        <v/>
      </c>
      <c r="BA2880" s="21" t="str">
        <f>IF($AL2880="","",$AL2880&amp;"|"&amp;COUNTIF($AL$11:$AL2880,$AL2880))</f>
        <v/>
      </c>
    </row>
    <row r="2881" spans="38:53" ht="15" customHeight="1" x14ac:dyDescent="0.25">
      <c r="AL2881" s="17"/>
      <c r="AM2881" s="12"/>
      <c r="AN2881" s="18"/>
      <c r="AO2881" s="18"/>
      <c r="AP2881" s="10"/>
      <c r="AQ2881" s="10"/>
      <c r="AR2881" s="19"/>
      <c r="AS2881" s="20"/>
      <c r="AT2881" s="19"/>
      <c r="AV2881" s="21">
        <f>IF(AND($AL2881&lt;&gt;"",COUNTIF($AL$11:$AL2881,$AL2881)=1),1,0)</f>
        <v>0</v>
      </c>
      <c r="AW2881" s="21">
        <f t="shared" si="175"/>
        <v>0</v>
      </c>
      <c r="AX2881" s="21" t="str">
        <f t="shared" si="174"/>
        <v/>
      </c>
      <c r="AY2881" s="21" t="str">
        <f>IF(AND($AM2881&lt;&gt;"",$AS2881&lt;&gt;"✓"),SUMPRODUCT(($AM$11:$AM2881&lt;&gt;"")*($AS$11:$AS2881&lt;&gt;"✓")),"")</f>
        <v/>
      </c>
      <c r="AZ2881" s="21" t="str">
        <f>IF(AND($AM2881&lt;&gt;"",$AS2881="✓"),SUMPRODUCT(($AM$11:$AM2881&lt;&gt;"")*($AS$11:$AS2881="✓")),"")</f>
        <v/>
      </c>
      <c r="BA2881" s="21" t="str">
        <f>IF($AL2881="","",$AL2881&amp;"|"&amp;COUNTIF($AL$11:$AL2881,$AL2881))</f>
        <v/>
      </c>
    </row>
    <row r="2882" spans="38:53" ht="15" customHeight="1" x14ac:dyDescent="0.25">
      <c r="AL2882" s="31"/>
      <c r="AM2882" s="26"/>
      <c r="AN2882" s="32"/>
      <c r="AO2882" s="32"/>
      <c r="AP2882" s="24"/>
      <c r="AQ2882" s="24"/>
      <c r="AR2882" s="33"/>
      <c r="AS2882" s="34"/>
      <c r="AT2882" s="33"/>
      <c r="AV2882" s="21">
        <f>IF(AND($AL2882&lt;&gt;"",COUNTIF($AL$11:$AL2882,$AL2882)=1),1,0)</f>
        <v>0</v>
      </c>
      <c r="AW2882" s="21">
        <f t="shared" si="175"/>
        <v>0</v>
      </c>
      <c r="AX2882" s="21" t="str">
        <f t="shared" si="174"/>
        <v/>
      </c>
      <c r="AY2882" s="21" t="str">
        <f>IF(AND($AM2882&lt;&gt;"",$AS2882&lt;&gt;"✓"),SUMPRODUCT(($AM$11:$AM2882&lt;&gt;"")*($AS$11:$AS2882&lt;&gt;"✓")),"")</f>
        <v/>
      </c>
      <c r="AZ2882" s="21" t="str">
        <f>IF(AND($AM2882&lt;&gt;"",$AS2882="✓"),SUMPRODUCT(($AM$11:$AM2882&lt;&gt;"")*($AS$11:$AS2882="✓")),"")</f>
        <v/>
      </c>
      <c r="BA2882" s="21" t="str">
        <f>IF($AL2882="","",$AL2882&amp;"|"&amp;COUNTIF($AL$11:$AL2882,$AL2882))</f>
        <v/>
      </c>
    </row>
    <row r="2883" spans="38:53" ht="15" customHeight="1" x14ac:dyDescent="0.25">
      <c r="AL2883" s="17"/>
      <c r="AM2883" s="12"/>
      <c r="AN2883" s="18"/>
      <c r="AO2883" s="18"/>
      <c r="AP2883" s="10"/>
      <c r="AQ2883" s="10"/>
      <c r="AR2883" s="19"/>
      <c r="AS2883" s="20"/>
      <c r="AT2883" s="19"/>
      <c r="AV2883" s="21">
        <f>IF(AND($AL2883&lt;&gt;"",COUNTIF($AL$11:$AL2883,$AL2883)=1),1,0)</f>
        <v>0</v>
      </c>
      <c r="AW2883" s="21">
        <f t="shared" si="175"/>
        <v>0</v>
      </c>
      <c r="AX2883" s="21" t="str">
        <f t="shared" si="174"/>
        <v/>
      </c>
      <c r="AY2883" s="21" t="str">
        <f>IF(AND($AM2883&lt;&gt;"",$AS2883&lt;&gt;"✓"),SUMPRODUCT(($AM$11:$AM2883&lt;&gt;"")*($AS$11:$AS2883&lt;&gt;"✓")),"")</f>
        <v/>
      </c>
      <c r="AZ2883" s="21" t="str">
        <f>IF(AND($AM2883&lt;&gt;"",$AS2883="✓"),SUMPRODUCT(($AM$11:$AM2883&lt;&gt;"")*($AS$11:$AS2883="✓")),"")</f>
        <v/>
      </c>
      <c r="BA2883" s="21" t="str">
        <f>IF($AL2883="","",$AL2883&amp;"|"&amp;COUNTIF($AL$11:$AL2883,$AL2883))</f>
        <v/>
      </c>
    </row>
    <row r="2884" spans="38:53" ht="15" customHeight="1" x14ac:dyDescent="0.25">
      <c r="AL2884" s="31"/>
      <c r="AM2884" s="26"/>
      <c r="AN2884" s="32"/>
      <c r="AO2884" s="32"/>
      <c r="AP2884" s="24"/>
      <c r="AQ2884" s="24"/>
      <c r="AR2884" s="33"/>
      <c r="AS2884" s="34"/>
      <c r="AT2884" s="33"/>
      <c r="AV2884" s="21">
        <f>IF(AND($AL2884&lt;&gt;"",COUNTIF($AL$11:$AL2884,$AL2884)=1),1,0)</f>
        <v>0</v>
      </c>
      <c r="AW2884" s="21">
        <f t="shared" si="175"/>
        <v>0</v>
      </c>
      <c r="AX2884" s="21" t="str">
        <f t="shared" si="174"/>
        <v/>
      </c>
      <c r="AY2884" s="21" t="str">
        <f>IF(AND($AM2884&lt;&gt;"",$AS2884&lt;&gt;"✓"),SUMPRODUCT(($AM$11:$AM2884&lt;&gt;"")*($AS$11:$AS2884&lt;&gt;"✓")),"")</f>
        <v/>
      </c>
      <c r="AZ2884" s="21" t="str">
        <f>IF(AND($AM2884&lt;&gt;"",$AS2884="✓"),SUMPRODUCT(($AM$11:$AM2884&lt;&gt;"")*($AS$11:$AS2884="✓")),"")</f>
        <v/>
      </c>
      <c r="BA2884" s="21" t="str">
        <f>IF($AL2884="","",$AL2884&amp;"|"&amp;COUNTIF($AL$11:$AL2884,$AL2884))</f>
        <v/>
      </c>
    </row>
    <row r="2885" spans="38:53" ht="15" customHeight="1" x14ac:dyDescent="0.25">
      <c r="AL2885" s="17"/>
      <c r="AM2885" s="12"/>
      <c r="AN2885" s="18"/>
      <c r="AO2885" s="18"/>
      <c r="AP2885" s="10"/>
      <c r="AQ2885" s="10"/>
      <c r="AR2885" s="19"/>
      <c r="AS2885" s="20"/>
      <c r="AT2885" s="19"/>
      <c r="AV2885" s="21">
        <f>IF(AND($AL2885&lt;&gt;"",COUNTIF($AL$11:$AL2885,$AL2885)=1),1,0)</f>
        <v>0</v>
      </c>
      <c r="AW2885" s="21">
        <f t="shared" si="175"/>
        <v>0</v>
      </c>
      <c r="AX2885" s="21" t="str">
        <f t="shared" si="174"/>
        <v/>
      </c>
      <c r="AY2885" s="21" t="str">
        <f>IF(AND($AM2885&lt;&gt;"",$AS2885&lt;&gt;"✓"),SUMPRODUCT(($AM$11:$AM2885&lt;&gt;"")*($AS$11:$AS2885&lt;&gt;"✓")),"")</f>
        <v/>
      </c>
      <c r="AZ2885" s="21" t="str">
        <f>IF(AND($AM2885&lt;&gt;"",$AS2885="✓"),SUMPRODUCT(($AM$11:$AM2885&lt;&gt;"")*($AS$11:$AS2885="✓")),"")</f>
        <v/>
      </c>
      <c r="BA2885" s="21" t="str">
        <f>IF($AL2885="","",$AL2885&amp;"|"&amp;COUNTIF($AL$11:$AL2885,$AL2885))</f>
        <v/>
      </c>
    </row>
    <row r="2886" spans="38:53" ht="15" customHeight="1" x14ac:dyDescent="0.25">
      <c r="AL2886" s="31"/>
      <c r="AM2886" s="26"/>
      <c r="AN2886" s="32"/>
      <c r="AO2886" s="32"/>
      <c r="AP2886" s="24"/>
      <c r="AQ2886" s="24"/>
      <c r="AR2886" s="33"/>
      <c r="AS2886" s="34"/>
      <c r="AT2886" s="33"/>
      <c r="AV2886" s="21">
        <f>IF(AND($AL2886&lt;&gt;"",COUNTIF($AL$11:$AL2886,$AL2886)=1),1,0)</f>
        <v>0</v>
      </c>
      <c r="AW2886" s="21">
        <f t="shared" si="175"/>
        <v>0</v>
      </c>
      <c r="AX2886" s="21" t="str">
        <f t="shared" si="174"/>
        <v/>
      </c>
      <c r="AY2886" s="21" t="str">
        <f>IF(AND($AM2886&lt;&gt;"",$AS2886&lt;&gt;"✓"),SUMPRODUCT(($AM$11:$AM2886&lt;&gt;"")*($AS$11:$AS2886&lt;&gt;"✓")),"")</f>
        <v/>
      </c>
      <c r="AZ2886" s="21" t="str">
        <f>IF(AND($AM2886&lt;&gt;"",$AS2886="✓"),SUMPRODUCT(($AM$11:$AM2886&lt;&gt;"")*($AS$11:$AS2886="✓")),"")</f>
        <v/>
      </c>
      <c r="BA2886" s="21" t="str">
        <f>IF($AL2886="","",$AL2886&amp;"|"&amp;COUNTIF($AL$11:$AL2886,$AL2886))</f>
        <v/>
      </c>
    </row>
    <row r="2887" spans="38:53" ht="15" customHeight="1" x14ac:dyDescent="0.25">
      <c r="AL2887" s="17"/>
      <c r="AM2887" s="12"/>
      <c r="AN2887" s="18"/>
      <c r="AO2887" s="18"/>
      <c r="AP2887" s="10"/>
      <c r="AQ2887" s="10"/>
      <c r="AR2887" s="19"/>
      <c r="AS2887" s="20"/>
      <c r="AT2887" s="19"/>
      <c r="AV2887" s="21">
        <f>IF(AND($AL2887&lt;&gt;"",COUNTIF($AL$11:$AL2887,$AL2887)=1),1,0)</f>
        <v>0</v>
      </c>
      <c r="AW2887" s="21">
        <f t="shared" si="175"/>
        <v>0</v>
      </c>
      <c r="AX2887" s="21" t="str">
        <f t="shared" si="174"/>
        <v/>
      </c>
      <c r="AY2887" s="21" t="str">
        <f>IF(AND($AM2887&lt;&gt;"",$AS2887&lt;&gt;"✓"),SUMPRODUCT(($AM$11:$AM2887&lt;&gt;"")*($AS$11:$AS2887&lt;&gt;"✓")),"")</f>
        <v/>
      </c>
      <c r="AZ2887" s="21" t="str">
        <f>IF(AND($AM2887&lt;&gt;"",$AS2887="✓"),SUMPRODUCT(($AM$11:$AM2887&lt;&gt;"")*($AS$11:$AS2887="✓")),"")</f>
        <v/>
      </c>
      <c r="BA2887" s="21" t="str">
        <f>IF($AL2887="","",$AL2887&amp;"|"&amp;COUNTIF($AL$11:$AL2887,$AL2887))</f>
        <v/>
      </c>
    </row>
    <row r="2888" spans="38:53" ht="15" customHeight="1" x14ac:dyDescent="0.25">
      <c r="AL2888" s="31"/>
      <c r="AM2888" s="26"/>
      <c r="AN2888" s="32"/>
      <c r="AO2888" s="32"/>
      <c r="AP2888" s="24"/>
      <c r="AQ2888" s="24"/>
      <c r="AR2888" s="33"/>
      <c r="AS2888" s="34"/>
      <c r="AT2888" s="33"/>
      <c r="AV2888" s="21">
        <f>IF(AND($AL2888&lt;&gt;"",COUNTIF($AL$11:$AL2888,$AL2888)=1),1,0)</f>
        <v>0</v>
      </c>
      <c r="AW2888" s="21">
        <f t="shared" si="175"/>
        <v>0</v>
      </c>
      <c r="AX2888" s="21" t="str">
        <f t="shared" si="174"/>
        <v/>
      </c>
      <c r="AY2888" s="21" t="str">
        <f>IF(AND($AM2888&lt;&gt;"",$AS2888&lt;&gt;"✓"),SUMPRODUCT(($AM$11:$AM2888&lt;&gt;"")*($AS$11:$AS2888&lt;&gt;"✓")),"")</f>
        <v/>
      </c>
      <c r="AZ2888" s="21" t="str">
        <f>IF(AND($AM2888&lt;&gt;"",$AS2888="✓"),SUMPRODUCT(($AM$11:$AM2888&lt;&gt;"")*($AS$11:$AS2888="✓")),"")</f>
        <v/>
      </c>
      <c r="BA2888" s="21" t="str">
        <f>IF($AL2888="","",$AL2888&amp;"|"&amp;COUNTIF($AL$11:$AL2888,$AL2888))</f>
        <v/>
      </c>
    </row>
    <row r="2889" spans="38:53" ht="15" customHeight="1" x14ac:dyDescent="0.25">
      <c r="AL2889" s="17"/>
      <c r="AM2889" s="12"/>
      <c r="AN2889" s="18"/>
      <c r="AO2889" s="18"/>
      <c r="AP2889" s="10"/>
      <c r="AQ2889" s="10"/>
      <c r="AR2889" s="19"/>
      <c r="AS2889" s="20"/>
      <c r="AT2889" s="19"/>
      <c r="AV2889" s="21">
        <f>IF(AND($AL2889&lt;&gt;"",COUNTIF($AL$11:$AL2889,$AL2889)=1),1,0)</f>
        <v>0</v>
      </c>
      <c r="AW2889" s="21">
        <f t="shared" si="175"/>
        <v>0</v>
      </c>
      <c r="AX2889" s="21" t="str">
        <f t="shared" si="174"/>
        <v/>
      </c>
      <c r="AY2889" s="21" t="str">
        <f>IF(AND($AM2889&lt;&gt;"",$AS2889&lt;&gt;"✓"),SUMPRODUCT(($AM$11:$AM2889&lt;&gt;"")*($AS$11:$AS2889&lt;&gt;"✓")),"")</f>
        <v/>
      </c>
      <c r="AZ2889" s="21" t="str">
        <f>IF(AND($AM2889&lt;&gt;"",$AS2889="✓"),SUMPRODUCT(($AM$11:$AM2889&lt;&gt;"")*($AS$11:$AS2889="✓")),"")</f>
        <v/>
      </c>
      <c r="BA2889" s="21" t="str">
        <f>IF($AL2889="","",$AL2889&amp;"|"&amp;COUNTIF($AL$11:$AL2889,$AL2889))</f>
        <v/>
      </c>
    </row>
    <row r="2890" spans="38:53" ht="15" customHeight="1" x14ac:dyDescent="0.25">
      <c r="AL2890" s="31"/>
      <c r="AM2890" s="26"/>
      <c r="AN2890" s="32"/>
      <c r="AO2890" s="32"/>
      <c r="AP2890" s="24"/>
      <c r="AQ2890" s="24"/>
      <c r="AR2890" s="33"/>
      <c r="AS2890" s="34"/>
      <c r="AT2890" s="33"/>
      <c r="AV2890" s="21">
        <f>IF(AND($AL2890&lt;&gt;"",COUNTIF($AL$11:$AL2890,$AL2890)=1),1,0)</f>
        <v>0</v>
      </c>
      <c r="AW2890" s="21">
        <f t="shared" si="175"/>
        <v>0</v>
      </c>
      <c r="AX2890" s="21" t="str">
        <f t="shared" si="174"/>
        <v/>
      </c>
      <c r="AY2890" s="21" t="str">
        <f>IF(AND($AM2890&lt;&gt;"",$AS2890&lt;&gt;"✓"),SUMPRODUCT(($AM$11:$AM2890&lt;&gt;"")*($AS$11:$AS2890&lt;&gt;"✓")),"")</f>
        <v/>
      </c>
      <c r="AZ2890" s="21" t="str">
        <f>IF(AND($AM2890&lt;&gt;"",$AS2890="✓"),SUMPRODUCT(($AM$11:$AM2890&lt;&gt;"")*($AS$11:$AS2890="✓")),"")</f>
        <v/>
      </c>
      <c r="BA2890" s="21" t="str">
        <f>IF($AL2890="","",$AL2890&amp;"|"&amp;COUNTIF($AL$11:$AL2890,$AL2890))</f>
        <v/>
      </c>
    </row>
    <row r="2891" spans="38:53" ht="15" customHeight="1" x14ac:dyDescent="0.25">
      <c r="AL2891" s="17"/>
      <c r="AM2891" s="12"/>
      <c r="AN2891" s="18"/>
      <c r="AO2891" s="18"/>
      <c r="AP2891" s="10"/>
      <c r="AQ2891" s="10"/>
      <c r="AR2891" s="19"/>
      <c r="AS2891" s="20"/>
      <c r="AT2891" s="19"/>
      <c r="AV2891" s="21">
        <f>IF(AND($AL2891&lt;&gt;"",COUNTIF($AL$11:$AL2891,$AL2891)=1),1,0)</f>
        <v>0</v>
      </c>
      <c r="AW2891" s="21">
        <f t="shared" si="175"/>
        <v>0</v>
      </c>
      <c r="AX2891" s="21" t="str">
        <f t="shared" ref="AX2891:AX2954" si="176">IF(AV2891=1,AW2891,"")</f>
        <v/>
      </c>
      <c r="AY2891" s="21" t="str">
        <f>IF(AND($AM2891&lt;&gt;"",$AS2891&lt;&gt;"✓"),SUMPRODUCT(($AM$11:$AM2891&lt;&gt;"")*($AS$11:$AS2891&lt;&gt;"✓")),"")</f>
        <v/>
      </c>
      <c r="AZ2891" s="21" t="str">
        <f>IF(AND($AM2891&lt;&gt;"",$AS2891="✓"),SUMPRODUCT(($AM$11:$AM2891&lt;&gt;"")*($AS$11:$AS2891="✓")),"")</f>
        <v/>
      </c>
      <c r="BA2891" s="21" t="str">
        <f>IF($AL2891="","",$AL2891&amp;"|"&amp;COUNTIF($AL$11:$AL2891,$AL2891))</f>
        <v/>
      </c>
    </row>
    <row r="2892" spans="38:53" ht="15" customHeight="1" x14ac:dyDescent="0.25">
      <c r="AL2892" s="31"/>
      <c r="AM2892" s="26"/>
      <c r="AN2892" s="32"/>
      <c r="AO2892" s="32"/>
      <c r="AP2892" s="24"/>
      <c r="AQ2892" s="24"/>
      <c r="AR2892" s="33"/>
      <c r="AS2892" s="34"/>
      <c r="AT2892" s="33"/>
      <c r="AV2892" s="21">
        <f>IF(AND($AL2892&lt;&gt;"",COUNTIF($AL$11:$AL2892,$AL2892)=1),1,0)</f>
        <v>0</v>
      </c>
      <c r="AW2892" s="21">
        <f t="shared" ref="AW2892:AW2955" si="177">AW2891+AV2892</f>
        <v>0</v>
      </c>
      <c r="AX2892" s="21" t="str">
        <f t="shared" si="176"/>
        <v/>
      </c>
      <c r="AY2892" s="21" t="str">
        <f>IF(AND($AM2892&lt;&gt;"",$AS2892&lt;&gt;"✓"),SUMPRODUCT(($AM$11:$AM2892&lt;&gt;"")*($AS$11:$AS2892&lt;&gt;"✓")),"")</f>
        <v/>
      </c>
      <c r="AZ2892" s="21" t="str">
        <f>IF(AND($AM2892&lt;&gt;"",$AS2892="✓"),SUMPRODUCT(($AM$11:$AM2892&lt;&gt;"")*($AS$11:$AS2892="✓")),"")</f>
        <v/>
      </c>
      <c r="BA2892" s="21" t="str">
        <f>IF($AL2892="","",$AL2892&amp;"|"&amp;COUNTIF($AL$11:$AL2892,$AL2892))</f>
        <v/>
      </c>
    </row>
    <row r="2893" spans="38:53" ht="15" customHeight="1" x14ac:dyDescent="0.25">
      <c r="AL2893" s="17"/>
      <c r="AM2893" s="12"/>
      <c r="AN2893" s="18"/>
      <c r="AO2893" s="18"/>
      <c r="AP2893" s="10"/>
      <c r="AQ2893" s="10"/>
      <c r="AR2893" s="19"/>
      <c r="AS2893" s="20"/>
      <c r="AT2893" s="19"/>
      <c r="AV2893" s="21">
        <f>IF(AND($AL2893&lt;&gt;"",COUNTIF($AL$11:$AL2893,$AL2893)=1),1,0)</f>
        <v>0</v>
      </c>
      <c r="AW2893" s="21">
        <f t="shared" si="177"/>
        <v>0</v>
      </c>
      <c r="AX2893" s="21" t="str">
        <f t="shared" si="176"/>
        <v/>
      </c>
      <c r="AY2893" s="21" t="str">
        <f>IF(AND($AM2893&lt;&gt;"",$AS2893&lt;&gt;"✓"),SUMPRODUCT(($AM$11:$AM2893&lt;&gt;"")*($AS$11:$AS2893&lt;&gt;"✓")),"")</f>
        <v/>
      </c>
      <c r="AZ2893" s="21" t="str">
        <f>IF(AND($AM2893&lt;&gt;"",$AS2893="✓"),SUMPRODUCT(($AM$11:$AM2893&lt;&gt;"")*($AS$11:$AS2893="✓")),"")</f>
        <v/>
      </c>
      <c r="BA2893" s="21" t="str">
        <f>IF($AL2893="","",$AL2893&amp;"|"&amp;COUNTIF($AL$11:$AL2893,$AL2893))</f>
        <v/>
      </c>
    </row>
    <row r="2894" spans="38:53" ht="15" customHeight="1" x14ac:dyDescent="0.25">
      <c r="AL2894" s="31"/>
      <c r="AM2894" s="26"/>
      <c r="AN2894" s="32"/>
      <c r="AO2894" s="32"/>
      <c r="AP2894" s="24"/>
      <c r="AQ2894" s="24"/>
      <c r="AR2894" s="33"/>
      <c r="AS2894" s="34"/>
      <c r="AT2894" s="33"/>
      <c r="AV2894" s="21">
        <f>IF(AND($AL2894&lt;&gt;"",COUNTIF($AL$11:$AL2894,$AL2894)=1),1,0)</f>
        <v>0</v>
      </c>
      <c r="AW2894" s="21">
        <f t="shared" si="177"/>
        <v>0</v>
      </c>
      <c r="AX2894" s="21" t="str">
        <f t="shared" si="176"/>
        <v/>
      </c>
      <c r="AY2894" s="21" t="str">
        <f>IF(AND($AM2894&lt;&gt;"",$AS2894&lt;&gt;"✓"),SUMPRODUCT(($AM$11:$AM2894&lt;&gt;"")*($AS$11:$AS2894&lt;&gt;"✓")),"")</f>
        <v/>
      </c>
      <c r="AZ2894" s="21" t="str">
        <f>IF(AND($AM2894&lt;&gt;"",$AS2894="✓"),SUMPRODUCT(($AM$11:$AM2894&lt;&gt;"")*($AS$11:$AS2894="✓")),"")</f>
        <v/>
      </c>
      <c r="BA2894" s="21" t="str">
        <f>IF($AL2894="","",$AL2894&amp;"|"&amp;COUNTIF($AL$11:$AL2894,$AL2894))</f>
        <v/>
      </c>
    </row>
    <row r="2895" spans="38:53" ht="15" customHeight="1" x14ac:dyDescent="0.25">
      <c r="AL2895" s="17"/>
      <c r="AM2895" s="12"/>
      <c r="AN2895" s="18"/>
      <c r="AO2895" s="18"/>
      <c r="AP2895" s="10"/>
      <c r="AQ2895" s="10"/>
      <c r="AR2895" s="19"/>
      <c r="AS2895" s="20"/>
      <c r="AT2895" s="19"/>
      <c r="AV2895" s="21">
        <f>IF(AND($AL2895&lt;&gt;"",COUNTIF($AL$11:$AL2895,$AL2895)=1),1,0)</f>
        <v>0</v>
      </c>
      <c r="AW2895" s="21">
        <f t="shared" si="177"/>
        <v>0</v>
      </c>
      <c r="AX2895" s="21" t="str">
        <f t="shared" si="176"/>
        <v/>
      </c>
      <c r="AY2895" s="21" t="str">
        <f>IF(AND($AM2895&lt;&gt;"",$AS2895&lt;&gt;"✓"),SUMPRODUCT(($AM$11:$AM2895&lt;&gt;"")*($AS$11:$AS2895&lt;&gt;"✓")),"")</f>
        <v/>
      </c>
      <c r="AZ2895" s="21" t="str">
        <f>IF(AND($AM2895&lt;&gt;"",$AS2895="✓"),SUMPRODUCT(($AM$11:$AM2895&lt;&gt;"")*($AS$11:$AS2895="✓")),"")</f>
        <v/>
      </c>
      <c r="BA2895" s="21" t="str">
        <f>IF($AL2895="","",$AL2895&amp;"|"&amp;COUNTIF($AL$11:$AL2895,$AL2895))</f>
        <v/>
      </c>
    </row>
    <row r="2896" spans="38:53" ht="15" customHeight="1" x14ac:dyDescent="0.25">
      <c r="AL2896" s="31"/>
      <c r="AM2896" s="26"/>
      <c r="AN2896" s="32"/>
      <c r="AO2896" s="32"/>
      <c r="AP2896" s="24"/>
      <c r="AQ2896" s="24"/>
      <c r="AR2896" s="33"/>
      <c r="AS2896" s="34"/>
      <c r="AT2896" s="33"/>
      <c r="AV2896" s="21">
        <f>IF(AND($AL2896&lt;&gt;"",COUNTIF($AL$11:$AL2896,$AL2896)=1),1,0)</f>
        <v>0</v>
      </c>
      <c r="AW2896" s="21">
        <f t="shared" si="177"/>
        <v>0</v>
      </c>
      <c r="AX2896" s="21" t="str">
        <f t="shared" si="176"/>
        <v/>
      </c>
      <c r="AY2896" s="21" t="str">
        <f>IF(AND($AM2896&lt;&gt;"",$AS2896&lt;&gt;"✓"),SUMPRODUCT(($AM$11:$AM2896&lt;&gt;"")*($AS$11:$AS2896&lt;&gt;"✓")),"")</f>
        <v/>
      </c>
      <c r="AZ2896" s="21" t="str">
        <f>IF(AND($AM2896&lt;&gt;"",$AS2896="✓"),SUMPRODUCT(($AM$11:$AM2896&lt;&gt;"")*($AS$11:$AS2896="✓")),"")</f>
        <v/>
      </c>
      <c r="BA2896" s="21" t="str">
        <f>IF($AL2896="","",$AL2896&amp;"|"&amp;COUNTIF($AL$11:$AL2896,$AL2896))</f>
        <v/>
      </c>
    </row>
    <row r="2897" spans="38:53" ht="15" customHeight="1" x14ac:dyDescent="0.25">
      <c r="AL2897" s="17"/>
      <c r="AM2897" s="12"/>
      <c r="AN2897" s="18"/>
      <c r="AO2897" s="18"/>
      <c r="AP2897" s="10"/>
      <c r="AQ2897" s="10"/>
      <c r="AR2897" s="19"/>
      <c r="AS2897" s="20"/>
      <c r="AT2897" s="19"/>
      <c r="AV2897" s="21">
        <f>IF(AND($AL2897&lt;&gt;"",COUNTIF($AL$11:$AL2897,$AL2897)=1),1,0)</f>
        <v>0</v>
      </c>
      <c r="AW2897" s="21">
        <f t="shared" si="177"/>
        <v>0</v>
      </c>
      <c r="AX2897" s="21" t="str">
        <f t="shared" si="176"/>
        <v/>
      </c>
      <c r="AY2897" s="21" t="str">
        <f>IF(AND($AM2897&lt;&gt;"",$AS2897&lt;&gt;"✓"),SUMPRODUCT(($AM$11:$AM2897&lt;&gt;"")*($AS$11:$AS2897&lt;&gt;"✓")),"")</f>
        <v/>
      </c>
      <c r="AZ2897" s="21" t="str">
        <f>IF(AND($AM2897&lt;&gt;"",$AS2897="✓"),SUMPRODUCT(($AM$11:$AM2897&lt;&gt;"")*($AS$11:$AS2897="✓")),"")</f>
        <v/>
      </c>
      <c r="BA2897" s="21" t="str">
        <f>IF($AL2897="","",$AL2897&amp;"|"&amp;COUNTIF($AL$11:$AL2897,$AL2897))</f>
        <v/>
      </c>
    </row>
    <row r="2898" spans="38:53" ht="15" customHeight="1" x14ac:dyDescent="0.25">
      <c r="AL2898" s="31"/>
      <c r="AM2898" s="26"/>
      <c r="AN2898" s="32"/>
      <c r="AO2898" s="32"/>
      <c r="AP2898" s="24"/>
      <c r="AQ2898" s="24"/>
      <c r="AR2898" s="33"/>
      <c r="AS2898" s="34"/>
      <c r="AT2898" s="33"/>
      <c r="AV2898" s="21">
        <f>IF(AND($AL2898&lt;&gt;"",COUNTIF($AL$11:$AL2898,$AL2898)=1),1,0)</f>
        <v>0</v>
      </c>
      <c r="AW2898" s="21">
        <f t="shared" si="177"/>
        <v>0</v>
      </c>
      <c r="AX2898" s="21" t="str">
        <f t="shared" si="176"/>
        <v/>
      </c>
      <c r="AY2898" s="21" t="str">
        <f>IF(AND($AM2898&lt;&gt;"",$AS2898&lt;&gt;"✓"),SUMPRODUCT(($AM$11:$AM2898&lt;&gt;"")*($AS$11:$AS2898&lt;&gt;"✓")),"")</f>
        <v/>
      </c>
      <c r="AZ2898" s="21" t="str">
        <f>IF(AND($AM2898&lt;&gt;"",$AS2898="✓"),SUMPRODUCT(($AM$11:$AM2898&lt;&gt;"")*($AS$11:$AS2898="✓")),"")</f>
        <v/>
      </c>
      <c r="BA2898" s="21" t="str">
        <f>IF($AL2898="","",$AL2898&amp;"|"&amp;COUNTIF($AL$11:$AL2898,$AL2898))</f>
        <v/>
      </c>
    </row>
    <row r="2899" spans="38:53" ht="15" customHeight="1" x14ac:dyDescent="0.25">
      <c r="AL2899" s="17"/>
      <c r="AM2899" s="12"/>
      <c r="AN2899" s="18"/>
      <c r="AO2899" s="18"/>
      <c r="AP2899" s="10"/>
      <c r="AQ2899" s="10"/>
      <c r="AR2899" s="19"/>
      <c r="AS2899" s="20"/>
      <c r="AT2899" s="19"/>
      <c r="AV2899" s="21">
        <f>IF(AND($AL2899&lt;&gt;"",COUNTIF($AL$11:$AL2899,$AL2899)=1),1,0)</f>
        <v>0</v>
      </c>
      <c r="AW2899" s="21">
        <f t="shared" si="177"/>
        <v>0</v>
      </c>
      <c r="AX2899" s="21" t="str">
        <f t="shared" si="176"/>
        <v/>
      </c>
      <c r="AY2899" s="21" t="str">
        <f>IF(AND($AM2899&lt;&gt;"",$AS2899&lt;&gt;"✓"),SUMPRODUCT(($AM$11:$AM2899&lt;&gt;"")*($AS$11:$AS2899&lt;&gt;"✓")),"")</f>
        <v/>
      </c>
      <c r="AZ2899" s="21" t="str">
        <f>IF(AND($AM2899&lt;&gt;"",$AS2899="✓"),SUMPRODUCT(($AM$11:$AM2899&lt;&gt;"")*($AS$11:$AS2899="✓")),"")</f>
        <v/>
      </c>
      <c r="BA2899" s="21" t="str">
        <f>IF($AL2899="","",$AL2899&amp;"|"&amp;COUNTIF($AL$11:$AL2899,$AL2899))</f>
        <v/>
      </c>
    </row>
    <row r="2900" spans="38:53" ht="15" customHeight="1" x14ac:dyDescent="0.25">
      <c r="AL2900" s="31"/>
      <c r="AM2900" s="26"/>
      <c r="AN2900" s="32"/>
      <c r="AO2900" s="32"/>
      <c r="AP2900" s="24"/>
      <c r="AQ2900" s="24"/>
      <c r="AR2900" s="33"/>
      <c r="AS2900" s="34"/>
      <c r="AT2900" s="33"/>
      <c r="AV2900" s="21">
        <f>IF(AND($AL2900&lt;&gt;"",COUNTIF($AL$11:$AL2900,$AL2900)=1),1,0)</f>
        <v>0</v>
      </c>
      <c r="AW2900" s="21">
        <f t="shared" si="177"/>
        <v>0</v>
      </c>
      <c r="AX2900" s="21" t="str">
        <f t="shared" si="176"/>
        <v/>
      </c>
      <c r="AY2900" s="21" t="str">
        <f>IF(AND($AM2900&lt;&gt;"",$AS2900&lt;&gt;"✓"),SUMPRODUCT(($AM$11:$AM2900&lt;&gt;"")*($AS$11:$AS2900&lt;&gt;"✓")),"")</f>
        <v/>
      </c>
      <c r="AZ2900" s="21" t="str">
        <f>IF(AND($AM2900&lt;&gt;"",$AS2900="✓"),SUMPRODUCT(($AM$11:$AM2900&lt;&gt;"")*($AS$11:$AS2900="✓")),"")</f>
        <v/>
      </c>
      <c r="BA2900" s="21" t="str">
        <f>IF($AL2900="","",$AL2900&amp;"|"&amp;COUNTIF($AL$11:$AL2900,$AL2900))</f>
        <v/>
      </c>
    </row>
    <row r="2901" spans="38:53" ht="15" customHeight="1" x14ac:dyDescent="0.25">
      <c r="AL2901" s="17"/>
      <c r="AM2901" s="12"/>
      <c r="AN2901" s="18"/>
      <c r="AO2901" s="18"/>
      <c r="AP2901" s="10"/>
      <c r="AQ2901" s="10"/>
      <c r="AR2901" s="19"/>
      <c r="AS2901" s="20"/>
      <c r="AT2901" s="19"/>
      <c r="AV2901" s="21">
        <f>IF(AND($AL2901&lt;&gt;"",COUNTIF($AL$11:$AL2901,$AL2901)=1),1,0)</f>
        <v>0</v>
      </c>
      <c r="AW2901" s="21">
        <f t="shared" si="177"/>
        <v>0</v>
      </c>
      <c r="AX2901" s="21" t="str">
        <f t="shared" si="176"/>
        <v/>
      </c>
      <c r="AY2901" s="21" t="str">
        <f>IF(AND($AM2901&lt;&gt;"",$AS2901&lt;&gt;"✓"),SUMPRODUCT(($AM$11:$AM2901&lt;&gt;"")*($AS$11:$AS2901&lt;&gt;"✓")),"")</f>
        <v/>
      </c>
      <c r="AZ2901" s="21" t="str">
        <f>IF(AND($AM2901&lt;&gt;"",$AS2901="✓"),SUMPRODUCT(($AM$11:$AM2901&lt;&gt;"")*($AS$11:$AS2901="✓")),"")</f>
        <v/>
      </c>
      <c r="BA2901" s="21" t="str">
        <f>IF($AL2901="","",$AL2901&amp;"|"&amp;COUNTIF($AL$11:$AL2901,$AL2901))</f>
        <v/>
      </c>
    </row>
    <row r="2902" spans="38:53" ht="15" customHeight="1" x14ac:dyDescent="0.25">
      <c r="AL2902" s="31"/>
      <c r="AM2902" s="26"/>
      <c r="AN2902" s="32"/>
      <c r="AO2902" s="32"/>
      <c r="AP2902" s="24"/>
      <c r="AQ2902" s="24"/>
      <c r="AR2902" s="33"/>
      <c r="AS2902" s="34"/>
      <c r="AT2902" s="33"/>
      <c r="AV2902" s="21">
        <f>IF(AND($AL2902&lt;&gt;"",COUNTIF($AL$11:$AL2902,$AL2902)=1),1,0)</f>
        <v>0</v>
      </c>
      <c r="AW2902" s="21">
        <f t="shared" si="177"/>
        <v>0</v>
      </c>
      <c r="AX2902" s="21" t="str">
        <f t="shared" si="176"/>
        <v/>
      </c>
      <c r="AY2902" s="21" t="str">
        <f>IF(AND($AM2902&lt;&gt;"",$AS2902&lt;&gt;"✓"),SUMPRODUCT(($AM$11:$AM2902&lt;&gt;"")*($AS$11:$AS2902&lt;&gt;"✓")),"")</f>
        <v/>
      </c>
      <c r="AZ2902" s="21" t="str">
        <f>IF(AND($AM2902&lt;&gt;"",$AS2902="✓"),SUMPRODUCT(($AM$11:$AM2902&lt;&gt;"")*($AS$11:$AS2902="✓")),"")</f>
        <v/>
      </c>
      <c r="BA2902" s="21" t="str">
        <f>IF($AL2902="","",$AL2902&amp;"|"&amp;COUNTIF($AL$11:$AL2902,$AL2902))</f>
        <v/>
      </c>
    </row>
    <row r="2903" spans="38:53" ht="15" customHeight="1" x14ac:dyDescent="0.25">
      <c r="AL2903" s="17"/>
      <c r="AM2903" s="12"/>
      <c r="AN2903" s="18"/>
      <c r="AO2903" s="18"/>
      <c r="AP2903" s="10"/>
      <c r="AQ2903" s="10"/>
      <c r="AR2903" s="19"/>
      <c r="AS2903" s="20"/>
      <c r="AT2903" s="19"/>
      <c r="AV2903" s="21">
        <f>IF(AND($AL2903&lt;&gt;"",COUNTIF($AL$11:$AL2903,$AL2903)=1),1,0)</f>
        <v>0</v>
      </c>
      <c r="AW2903" s="21">
        <f t="shared" si="177"/>
        <v>0</v>
      </c>
      <c r="AX2903" s="21" t="str">
        <f t="shared" si="176"/>
        <v/>
      </c>
      <c r="AY2903" s="21" t="str">
        <f>IF(AND($AM2903&lt;&gt;"",$AS2903&lt;&gt;"✓"),SUMPRODUCT(($AM$11:$AM2903&lt;&gt;"")*($AS$11:$AS2903&lt;&gt;"✓")),"")</f>
        <v/>
      </c>
      <c r="AZ2903" s="21" t="str">
        <f>IF(AND($AM2903&lt;&gt;"",$AS2903="✓"),SUMPRODUCT(($AM$11:$AM2903&lt;&gt;"")*($AS$11:$AS2903="✓")),"")</f>
        <v/>
      </c>
      <c r="BA2903" s="21" t="str">
        <f>IF($AL2903="","",$AL2903&amp;"|"&amp;COUNTIF($AL$11:$AL2903,$AL2903))</f>
        <v/>
      </c>
    </row>
    <row r="2904" spans="38:53" ht="15" customHeight="1" x14ac:dyDescent="0.25">
      <c r="AL2904" s="31"/>
      <c r="AM2904" s="26"/>
      <c r="AN2904" s="32"/>
      <c r="AO2904" s="32"/>
      <c r="AP2904" s="24"/>
      <c r="AQ2904" s="24"/>
      <c r="AR2904" s="33"/>
      <c r="AS2904" s="34"/>
      <c r="AT2904" s="33"/>
      <c r="AV2904" s="21">
        <f>IF(AND($AL2904&lt;&gt;"",COUNTIF($AL$11:$AL2904,$AL2904)=1),1,0)</f>
        <v>0</v>
      </c>
      <c r="AW2904" s="21">
        <f t="shared" si="177"/>
        <v>0</v>
      </c>
      <c r="AX2904" s="21" t="str">
        <f t="shared" si="176"/>
        <v/>
      </c>
      <c r="AY2904" s="21" t="str">
        <f>IF(AND($AM2904&lt;&gt;"",$AS2904&lt;&gt;"✓"),SUMPRODUCT(($AM$11:$AM2904&lt;&gt;"")*($AS$11:$AS2904&lt;&gt;"✓")),"")</f>
        <v/>
      </c>
      <c r="AZ2904" s="21" t="str">
        <f>IF(AND($AM2904&lt;&gt;"",$AS2904="✓"),SUMPRODUCT(($AM$11:$AM2904&lt;&gt;"")*($AS$11:$AS2904="✓")),"")</f>
        <v/>
      </c>
      <c r="BA2904" s="21" t="str">
        <f>IF($AL2904="","",$AL2904&amp;"|"&amp;COUNTIF($AL$11:$AL2904,$AL2904))</f>
        <v/>
      </c>
    </row>
    <row r="2905" spans="38:53" ht="15" customHeight="1" x14ac:dyDescent="0.25">
      <c r="AL2905" s="17"/>
      <c r="AM2905" s="12"/>
      <c r="AN2905" s="18"/>
      <c r="AO2905" s="18"/>
      <c r="AP2905" s="10"/>
      <c r="AQ2905" s="10"/>
      <c r="AR2905" s="19"/>
      <c r="AS2905" s="20"/>
      <c r="AT2905" s="19"/>
      <c r="AV2905" s="21">
        <f>IF(AND($AL2905&lt;&gt;"",COUNTIF($AL$11:$AL2905,$AL2905)=1),1,0)</f>
        <v>0</v>
      </c>
      <c r="AW2905" s="21">
        <f t="shared" si="177"/>
        <v>0</v>
      </c>
      <c r="AX2905" s="21" t="str">
        <f t="shared" si="176"/>
        <v/>
      </c>
      <c r="AY2905" s="21" t="str">
        <f>IF(AND($AM2905&lt;&gt;"",$AS2905&lt;&gt;"✓"),SUMPRODUCT(($AM$11:$AM2905&lt;&gt;"")*($AS$11:$AS2905&lt;&gt;"✓")),"")</f>
        <v/>
      </c>
      <c r="AZ2905" s="21" t="str">
        <f>IF(AND($AM2905&lt;&gt;"",$AS2905="✓"),SUMPRODUCT(($AM$11:$AM2905&lt;&gt;"")*($AS$11:$AS2905="✓")),"")</f>
        <v/>
      </c>
      <c r="BA2905" s="21" t="str">
        <f>IF($AL2905="","",$AL2905&amp;"|"&amp;COUNTIF($AL$11:$AL2905,$AL2905))</f>
        <v/>
      </c>
    </row>
    <row r="2906" spans="38:53" ht="15" customHeight="1" x14ac:dyDescent="0.25">
      <c r="AL2906" s="31"/>
      <c r="AM2906" s="26"/>
      <c r="AN2906" s="32"/>
      <c r="AO2906" s="32"/>
      <c r="AP2906" s="24"/>
      <c r="AQ2906" s="24"/>
      <c r="AR2906" s="33"/>
      <c r="AS2906" s="34"/>
      <c r="AT2906" s="33"/>
      <c r="AV2906" s="21">
        <f>IF(AND($AL2906&lt;&gt;"",COUNTIF($AL$11:$AL2906,$AL2906)=1),1,0)</f>
        <v>0</v>
      </c>
      <c r="AW2906" s="21">
        <f t="shared" si="177"/>
        <v>0</v>
      </c>
      <c r="AX2906" s="21" t="str">
        <f t="shared" si="176"/>
        <v/>
      </c>
      <c r="AY2906" s="21" t="str">
        <f>IF(AND($AM2906&lt;&gt;"",$AS2906&lt;&gt;"✓"),SUMPRODUCT(($AM$11:$AM2906&lt;&gt;"")*($AS$11:$AS2906&lt;&gt;"✓")),"")</f>
        <v/>
      </c>
      <c r="AZ2906" s="21" t="str">
        <f>IF(AND($AM2906&lt;&gt;"",$AS2906="✓"),SUMPRODUCT(($AM$11:$AM2906&lt;&gt;"")*($AS$11:$AS2906="✓")),"")</f>
        <v/>
      </c>
      <c r="BA2906" s="21" t="str">
        <f>IF($AL2906="","",$AL2906&amp;"|"&amp;COUNTIF($AL$11:$AL2906,$AL2906))</f>
        <v/>
      </c>
    </row>
    <row r="2907" spans="38:53" ht="15" customHeight="1" x14ac:dyDescent="0.25">
      <c r="AL2907" s="17"/>
      <c r="AM2907" s="12"/>
      <c r="AN2907" s="18"/>
      <c r="AO2907" s="18"/>
      <c r="AP2907" s="10"/>
      <c r="AQ2907" s="10"/>
      <c r="AR2907" s="19"/>
      <c r="AS2907" s="20"/>
      <c r="AT2907" s="19"/>
      <c r="AV2907" s="21">
        <f>IF(AND($AL2907&lt;&gt;"",COUNTIF($AL$11:$AL2907,$AL2907)=1),1,0)</f>
        <v>0</v>
      </c>
      <c r="AW2907" s="21">
        <f t="shared" si="177"/>
        <v>0</v>
      </c>
      <c r="AX2907" s="21" t="str">
        <f t="shared" si="176"/>
        <v/>
      </c>
      <c r="AY2907" s="21" t="str">
        <f>IF(AND($AM2907&lt;&gt;"",$AS2907&lt;&gt;"✓"),SUMPRODUCT(($AM$11:$AM2907&lt;&gt;"")*($AS$11:$AS2907&lt;&gt;"✓")),"")</f>
        <v/>
      </c>
      <c r="AZ2907" s="21" t="str">
        <f>IF(AND($AM2907&lt;&gt;"",$AS2907="✓"),SUMPRODUCT(($AM$11:$AM2907&lt;&gt;"")*($AS$11:$AS2907="✓")),"")</f>
        <v/>
      </c>
      <c r="BA2907" s="21" t="str">
        <f>IF($AL2907="","",$AL2907&amp;"|"&amp;COUNTIF($AL$11:$AL2907,$AL2907))</f>
        <v/>
      </c>
    </row>
    <row r="2908" spans="38:53" ht="15" customHeight="1" x14ac:dyDescent="0.25">
      <c r="AL2908" s="31"/>
      <c r="AM2908" s="26"/>
      <c r="AN2908" s="32"/>
      <c r="AO2908" s="32"/>
      <c r="AP2908" s="24"/>
      <c r="AQ2908" s="24"/>
      <c r="AR2908" s="33"/>
      <c r="AS2908" s="34"/>
      <c r="AT2908" s="33"/>
      <c r="AV2908" s="21">
        <f>IF(AND($AL2908&lt;&gt;"",COUNTIF($AL$11:$AL2908,$AL2908)=1),1,0)</f>
        <v>0</v>
      </c>
      <c r="AW2908" s="21">
        <f t="shared" si="177"/>
        <v>0</v>
      </c>
      <c r="AX2908" s="21" t="str">
        <f t="shared" si="176"/>
        <v/>
      </c>
      <c r="AY2908" s="21" t="str">
        <f>IF(AND($AM2908&lt;&gt;"",$AS2908&lt;&gt;"✓"),SUMPRODUCT(($AM$11:$AM2908&lt;&gt;"")*($AS$11:$AS2908&lt;&gt;"✓")),"")</f>
        <v/>
      </c>
      <c r="AZ2908" s="21" t="str">
        <f>IF(AND($AM2908&lt;&gt;"",$AS2908="✓"),SUMPRODUCT(($AM$11:$AM2908&lt;&gt;"")*($AS$11:$AS2908="✓")),"")</f>
        <v/>
      </c>
      <c r="BA2908" s="21" t="str">
        <f>IF($AL2908="","",$AL2908&amp;"|"&amp;COUNTIF($AL$11:$AL2908,$AL2908))</f>
        <v/>
      </c>
    </row>
    <row r="2909" spans="38:53" ht="15" customHeight="1" x14ac:dyDescent="0.25">
      <c r="AL2909" s="17"/>
      <c r="AM2909" s="12"/>
      <c r="AN2909" s="18"/>
      <c r="AO2909" s="18"/>
      <c r="AP2909" s="10"/>
      <c r="AQ2909" s="10"/>
      <c r="AR2909" s="19"/>
      <c r="AS2909" s="20"/>
      <c r="AT2909" s="19"/>
      <c r="AV2909" s="21">
        <f>IF(AND($AL2909&lt;&gt;"",COUNTIF($AL$11:$AL2909,$AL2909)=1),1,0)</f>
        <v>0</v>
      </c>
      <c r="AW2909" s="21">
        <f t="shared" si="177"/>
        <v>0</v>
      </c>
      <c r="AX2909" s="21" t="str">
        <f t="shared" si="176"/>
        <v/>
      </c>
      <c r="AY2909" s="21" t="str">
        <f>IF(AND($AM2909&lt;&gt;"",$AS2909&lt;&gt;"✓"),SUMPRODUCT(($AM$11:$AM2909&lt;&gt;"")*($AS$11:$AS2909&lt;&gt;"✓")),"")</f>
        <v/>
      </c>
      <c r="AZ2909" s="21" t="str">
        <f>IF(AND($AM2909&lt;&gt;"",$AS2909="✓"),SUMPRODUCT(($AM$11:$AM2909&lt;&gt;"")*($AS$11:$AS2909="✓")),"")</f>
        <v/>
      </c>
      <c r="BA2909" s="21" t="str">
        <f>IF($AL2909="","",$AL2909&amp;"|"&amp;COUNTIF($AL$11:$AL2909,$AL2909))</f>
        <v/>
      </c>
    </row>
    <row r="2910" spans="38:53" ht="15" customHeight="1" x14ac:dyDescent="0.25">
      <c r="AL2910" s="31"/>
      <c r="AM2910" s="26"/>
      <c r="AN2910" s="32"/>
      <c r="AO2910" s="32"/>
      <c r="AP2910" s="24"/>
      <c r="AQ2910" s="24"/>
      <c r="AR2910" s="33"/>
      <c r="AS2910" s="34"/>
      <c r="AT2910" s="33"/>
      <c r="AV2910" s="21">
        <f>IF(AND($AL2910&lt;&gt;"",COUNTIF($AL$11:$AL2910,$AL2910)=1),1,0)</f>
        <v>0</v>
      </c>
      <c r="AW2910" s="21">
        <f t="shared" si="177"/>
        <v>0</v>
      </c>
      <c r="AX2910" s="21" t="str">
        <f t="shared" si="176"/>
        <v/>
      </c>
      <c r="AY2910" s="21" t="str">
        <f>IF(AND($AM2910&lt;&gt;"",$AS2910&lt;&gt;"✓"),SUMPRODUCT(($AM$11:$AM2910&lt;&gt;"")*($AS$11:$AS2910&lt;&gt;"✓")),"")</f>
        <v/>
      </c>
      <c r="AZ2910" s="21" t="str">
        <f>IF(AND($AM2910&lt;&gt;"",$AS2910="✓"),SUMPRODUCT(($AM$11:$AM2910&lt;&gt;"")*($AS$11:$AS2910="✓")),"")</f>
        <v/>
      </c>
      <c r="BA2910" s="21" t="str">
        <f>IF($AL2910="","",$AL2910&amp;"|"&amp;COUNTIF($AL$11:$AL2910,$AL2910))</f>
        <v/>
      </c>
    </row>
    <row r="2911" spans="38:53" ht="15" customHeight="1" x14ac:dyDescent="0.25">
      <c r="AL2911" s="17"/>
      <c r="AM2911" s="12"/>
      <c r="AN2911" s="18"/>
      <c r="AO2911" s="18"/>
      <c r="AP2911" s="10"/>
      <c r="AQ2911" s="10"/>
      <c r="AR2911" s="19"/>
      <c r="AS2911" s="20"/>
      <c r="AT2911" s="19"/>
      <c r="AV2911" s="21">
        <f>IF(AND($AL2911&lt;&gt;"",COUNTIF($AL$11:$AL2911,$AL2911)=1),1,0)</f>
        <v>0</v>
      </c>
      <c r="AW2911" s="21">
        <f t="shared" si="177"/>
        <v>0</v>
      </c>
      <c r="AX2911" s="21" t="str">
        <f t="shared" si="176"/>
        <v/>
      </c>
      <c r="AY2911" s="21" t="str">
        <f>IF(AND($AM2911&lt;&gt;"",$AS2911&lt;&gt;"✓"),SUMPRODUCT(($AM$11:$AM2911&lt;&gt;"")*($AS$11:$AS2911&lt;&gt;"✓")),"")</f>
        <v/>
      </c>
      <c r="AZ2911" s="21" t="str">
        <f>IF(AND($AM2911&lt;&gt;"",$AS2911="✓"),SUMPRODUCT(($AM$11:$AM2911&lt;&gt;"")*($AS$11:$AS2911="✓")),"")</f>
        <v/>
      </c>
      <c r="BA2911" s="21" t="str">
        <f>IF($AL2911="","",$AL2911&amp;"|"&amp;COUNTIF($AL$11:$AL2911,$AL2911))</f>
        <v/>
      </c>
    </row>
    <row r="2912" spans="38:53" ht="15" customHeight="1" x14ac:dyDescent="0.25">
      <c r="AL2912" s="31"/>
      <c r="AM2912" s="26"/>
      <c r="AN2912" s="32"/>
      <c r="AO2912" s="32"/>
      <c r="AP2912" s="24"/>
      <c r="AQ2912" s="24"/>
      <c r="AR2912" s="33"/>
      <c r="AS2912" s="34"/>
      <c r="AT2912" s="33"/>
      <c r="AV2912" s="21">
        <f>IF(AND($AL2912&lt;&gt;"",COUNTIF($AL$11:$AL2912,$AL2912)=1),1,0)</f>
        <v>0</v>
      </c>
      <c r="AW2912" s="21">
        <f t="shared" si="177"/>
        <v>0</v>
      </c>
      <c r="AX2912" s="21" t="str">
        <f t="shared" si="176"/>
        <v/>
      </c>
      <c r="AY2912" s="21" t="str">
        <f>IF(AND($AM2912&lt;&gt;"",$AS2912&lt;&gt;"✓"),SUMPRODUCT(($AM$11:$AM2912&lt;&gt;"")*($AS$11:$AS2912&lt;&gt;"✓")),"")</f>
        <v/>
      </c>
      <c r="AZ2912" s="21" t="str">
        <f>IF(AND($AM2912&lt;&gt;"",$AS2912="✓"),SUMPRODUCT(($AM$11:$AM2912&lt;&gt;"")*($AS$11:$AS2912="✓")),"")</f>
        <v/>
      </c>
      <c r="BA2912" s="21" t="str">
        <f>IF($AL2912="","",$AL2912&amp;"|"&amp;COUNTIF($AL$11:$AL2912,$AL2912))</f>
        <v/>
      </c>
    </row>
    <row r="2913" spans="38:53" ht="15" customHeight="1" x14ac:dyDescent="0.25">
      <c r="AL2913" s="17"/>
      <c r="AM2913" s="12"/>
      <c r="AN2913" s="18"/>
      <c r="AO2913" s="18"/>
      <c r="AP2913" s="10"/>
      <c r="AQ2913" s="10"/>
      <c r="AR2913" s="19"/>
      <c r="AS2913" s="20"/>
      <c r="AT2913" s="19"/>
      <c r="AV2913" s="21">
        <f>IF(AND($AL2913&lt;&gt;"",COUNTIF($AL$11:$AL2913,$AL2913)=1),1,0)</f>
        <v>0</v>
      </c>
      <c r="AW2913" s="21">
        <f t="shared" si="177"/>
        <v>0</v>
      </c>
      <c r="AX2913" s="21" t="str">
        <f t="shared" si="176"/>
        <v/>
      </c>
      <c r="AY2913" s="21" t="str">
        <f>IF(AND($AM2913&lt;&gt;"",$AS2913&lt;&gt;"✓"),SUMPRODUCT(($AM$11:$AM2913&lt;&gt;"")*($AS$11:$AS2913&lt;&gt;"✓")),"")</f>
        <v/>
      </c>
      <c r="AZ2913" s="21" t="str">
        <f>IF(AND($AM2913&lt;&gt;"",$AS2913="✓"),SUMPRODUCT(($AM$11:$AM2913&lt;&gt;"")*($AS$11:$AS2913="✓")),"")</f>
        <v/>
      </c>
      <c r="BA2913" s="21" t="str">
        <f>IF($AL2913="","",$AL2913&amp;"|"&amp;COUNTIF($AL$11:$AL2913,$AL2913))</f>
        <v/>
      </c>
    </row>
    <row r="2914" spans="38:53" ht="15" customHeight="1" x14ac:dyDescent="0.25">
      <c r="AL2914" s="31"/>
      <c r="AM2914" s="26"/>
      <c r="AN2914" s="32"/>
      <c r="AO2914" s="32"/>
      <c r="AP2914" s="24"/>
      <c r="AQ2914" s="24"/>
      <c r="AR2914" s="33"/>
      <c r="AS2914" s="34"/>
      <c r="AT2914" s="33"/>
      <c r="AV2914" s="21">
        <f>IF(AND($AL2914&lt;&gt;"",COUNTIF($AL$11:$AL2914,$AL2914)=1),1,0)</f>
        <v>0</v>
      </c>
      <c r="AW2914" s="21">
        <f t="shared" si="177"/>
        <v>0</v>
      </c>
      <c r="AX2914" s="21" t="str">
        <f t="shared" si="176"/>
        <v/>
      </c>
      <c r="AY2914" s="21" t="str">
        <f>IF(AND($AM2914&lt;&gt;"",$AS2914&lt;&gt;"✓"),SUMPRODUCT(($AM$11:$AM2914&lt;&gt;"")*($AS$11:$AS2914&lt;&gt;"✓")),"")</f>
        <v/>
      </c>
      <c r="AZ2914" s="21" t="str">
        <f>IF(AND($AM2914&lt;&gt;"",$AS2914="✓"),SUMPRODUCT(($AM$11:$AM2914&lt;&gt;"")*($AS$11:$AS2914="✓")),"")</f>
        <v/>
      </c>
      <c r="BA2914" s="21" t="str">
        <f>IF($AL2914="","",$AL2914&amp;"|"&amp;COUNTIF($AL$11:$AL2914,$AL2914))</f>
        <v/>
      </c>
    </row>
    <row r="2915" spans="38:53" ht="15" customHeight="1" x14ac:dyDescent="0.25">
      <c r="AL2915" s="17"/>
      <c r="AM2915" s="12"/>
      <c r="AN2915" s="18"/>
      <c r="AO2915" s="18"/>
      <c r="AP2915" s="10"/>
      <c r="AQ2915" s="10"/>
      <c r="AR2915" s="19"/>
      <c r="AS2915" s="20"/>
      <c r="AT2915" s="19"/>
      <c r="AV2915" s="21">
        <f>IF(AND($AL2915&lt;&gt;"",COUNTIF($AL$11:$AL2915,$AL2915)=1),1,0)</f>
        <v>0</v>
      </c>
      <c r="AW2915" s="21">
        <f t="shared" si="177"/>
        <v>0</v>
      </c>
      <c r="AX2915" s="21" t="str">
        <f t="shared" si="176"/>
        <v/>
      </c>
      <c r="AY2915" s="21" t="str">
        <f>IF(AND($AM2915&lt;&gt;"",$AS2915&lt;&gt;"✓"),SUMPRODUCT(($AM$11:$AM2915&lt;&gt;"")*($AS$11:$AS2915&lt;&gt;"✓")),"")</f>
        <v/>
      </c>
      <c r="AZ2915" s="21" t="str">
        <f>IF(AND($AM2915&lt;&gt;"",$AS2915="✓"),SUMPRODUCT(($AM$11:$AM2915&lt;&gt;"")*($AS$11:$AS2915="✓")),"")</f>
        <v/>
      </c>
      <c r="BA2915" s="21" t="str">
        <f>IF($AL2915="","",$AL2915&amp;"|"&amp;COUNTIF($AL$11:$AL2915,$AL2915))</f>
        <v/>
      </c>
    </row>
    <row r="2916" spans="38:53" ht="15" customHeight="1" x14ac:dyDescent="0.25">
      <c r="AL2916" s="31"/>
      <c r="AM2916" s="26"/>
      <c r="AN2916" s="32"/>
      <c r="AO2916" s="32"/>
      <c r="AP2916" s="24"/>
      <c r="AQ2916" s="24"/>
      <c r="AR2916" s="33"/>
      <c r="AS2916" s="34"/>
      <c r="AT2916" s="33"/>
      <c r="AV2916" s="21">
        <f>IF(AND($AL2916&lt;&gt;"",COUNTIF($AL$11:$AL2916,$AL2916)=1),1,0)</f>
        <v>0</v>
      </c>
      <c r="AW2916" s="21">
        <f t="shared" si="177"/>
        <v>0</v>
      </c>
      <c r="AX2916" s="21" t="str">
        <f t="shared" si="176"/>
        <v/>
      </c>
      <c r="AY2916" s="21" t="str">
        <f>IF(AND($AM2916&lt;&gt;"",$AS2916&lt;&gt;"✓"),SUMPRODUCT(($AM$11:$AM2916&lt;&gt;"")*($AS$11:$AS2916&lt;&gt;"✓")),"")</f>
        <v/>
      </c>
      <c r="AZ2916" s="21" t="str">
        <f>IF(AND($AM2916&lt;&gt;"",$AS2916="✓"),SUMPRODUCT(($AM$11:$AM2916&lt;&gt;"")*($AS$11:$AS2916="✓")),"")</f>
        <v/>
      </c>
      <c r="BA2916" s="21" t="str">
        <f>IF($AL2916="","",$AL2916&amp;"|"&amp;COUNTIF($AL$11:$AL2916,$AL2916))</f>
        <v/>
      </c>
    </row>
    <row r="2917" spans="38:53" ht="15" customHeight="1" x14ac:dyDescent="0.25">
      <c r="AL2917" s="17"/>
      <c r="AM2917" s="12"/>
      <c r="AN2917" s="18"/>
      <c r="AO2917" s="18"/>
      <c r="AP2917" s="10"/>
      <c r="AQ2917" s="10"/>
      <c r="AR2917" s="19"/>
      <c r="AS2917" s="20"/>
      <c r="AT2917" s="19"/>
      <c r="AV2917" s="21">
        <f>IF(AND($AL2917&lt;&gt;"",COUNTIF($AL$11:$AL2917,$AL2917)=1),1,0)</f>
        <v>0</v>
      </c>
      <c r="AW2917" s="21">
        <f t="shared" si="177"/>
        <v>0</v>
      </c>
      <c r="AX2917" s="21" t="str">
        <f t="shared" si="176"/>
        <v/>
      </c>
      <c r="AY2917" s="21" t="str">
        <f>IF(AND($AM2917&lt;&gt;"",$AS2917&lt;&gt;"✓"),SUMPRODUCT(($AM$11:$AM2917&lt;&gt;"")*($AS$11:$AS2917&lt;&gt;"✓")),"")</f>
        <v/>
      </c>
      <c r="AZ2917" s="21" t="str">
        <f>IF(AND($AM2917&lt;&gt;"",$AS2917="✓"),SUMPRODUCT(($AM$11:$AM2917&lt;&gt;"")*($AS$11:$AS2917="✓")),"")</f>
        <v/>
      </c>
      <c r="BA2917" s="21" t="str">
        <f>IF($AL2917="","",$AL2917&amp;"|"&amp;COUNTIF($AL$11:$AL2917,$AL2917))</f>
        <v/>
      </c>
    </row>
    <row r="2918" spans="38:53" ht="15" customHeight="1" x14ac:dyDescent="0.25">
      <c r="AL2918" s="31"/>
      <c r="AM2918" s="26"/>
      <c r="AN2918" s="32"/>
      <c r="AO2918" s="32"/>
      <c r="AP2918" s="24"/>
      <c r="AQ2918" s="24"/>
      <c r="AR2918" s="33"/>
      <c r="AS2918" s="34"/>
      <c r="AT2918" s="33"/>
      <c r="AV2918" s="21">
        <f>IF(AND($AL2918&lt;&gt;"",COUNTIF($AL$11:$AL2918,$AL2918)=1),1,0)</f>
        <v>0</v>
      </c>
      <c r="AW2918" s="21">
        <f t="shared" si="177"/>
        <v>0</v>
      </c>
      <c r="AX2918" s="21" t="str">
        <f t="shared" si="176"/>
        <v/>
      </c>
      <c r="AY2918" s="21" t="str">
        <f>IF(AND($AM2918&lt;&gt;"",$AS2918&lt;&gt;"✓"),SUMPRODUCT(($AM$11:$AM2918&lt;&gt;"")*($AS$11:$AS2918&lt;&gt;"✓")),"")</f>
        <v/>
      </c>
      <c r="AZ2918" s="21" t="str">
        <f>IF(AND($AM2918&lt;&gt;"",$AS2918="✓"),SUMPRODUCT(($AM$11:$AM2918&lt;&gt;"")*($AS$11:$AS2918="✓")),"")</f>
        <v/>
      </c>
      <c r="BA2918" s="21" t="str">
        <f>IF($AL2918="","",$AL2918&amp;"|"&amp;COUNTIF($AL$11:$AL2918,$AL2918))</f>
        <v/>
      </c>
    </row>
    <row r="2919" spans="38:53" ht="15" customHeight="1" x14ac:dyDescent="0.25">
      <c r="AL2919" s="17"/>
      <c r="AM2919" s="12"/>
      <c r="AN2919" s="18"/>
      <c r="AO2919" s="18"/>
      <c r="AP2919" s="10"/>
      <c r="AQ2919" s="10"/>
      <c r="AR2919" s="19"/>
      <c r="AS2919" s="20"/>
      <c r="AT2919" s="19"/>
      <c r="AV2919" s="21">
        <f>IF(AND($AL2919&lt;&gt;"",COUNTIF($AL$11:$AL2919,$AL2919)=1),1,0)</f>
        <v>0</v>
      </c>
      <c r="AW2919" s="21">
        <f t="shared" si="177"/>
        <v>0</v>
      </c>
      <c r="AX2919" s="21" t="str">
        <f t="shared" si="176"/>
        <v/>
      </c>
      <c r="AY2919" s="21" t="str">
        <f>IF(AND($AM2919&lt;&gt;"",$AS2919&lt;&gt;"✓"),SUMPRODUCT(($AM$11:$AM2919&lt;&gt;"")*($AS$11:$AS2919&lt;&gt;"✓")),"")</f>
        <v/>
      </c>
      <c r="AZ2919" s="21" t="str">
        <f>IF(AND($AM2919&lt;&gt;"",$AS2919="✓"),SUMPRODUCT(($AM$11:$AM2919&lt;&gt;"")*($AS$11:$AS2919="✓")),"")</f>
        <v/>
      </c>
      <c r="BA2919" s="21" t="str">
        <f>IF($AL2919="","",$AL2919&amp;"|"&amp;COUNTIF($AL$11:$AL2919,$AL2919))</f>
        <v/>
      </c>
    </row>
    <row r="2920" spans="38:53" ht="15" customHeight="1" x14ac:dyDescent="0.25">
      <c r="AL2920" s="31"/>
      <c r="AM2920" s="26"/>
      <c r="AN2920" s="32"/>
      <c r="AO2920" s="32"/>
      <c r="AP2920" s="24"/>
      <c r="AQ2920" s="24"/>
      <c r="AR2920" s="33"/>
      <c r="AS2920" s="34"/>
      <c r="AT2920" s="33"/>
      <c r="AV2920" s="21">
        <f>IF(AND($AL2920&lt;&gt;"",COUNTIF($AL$11:$AL2920,$AL2920)=1),1,0)</f>
        <v>0</v>
      </c>
      <c r="AW2920" s="21">
        <f t="shared" si="177"/>
        <v>0</v>
      </c>
      <c r="AX2920" s="21" t="str">
        <f t="shared" si="176"/>
        <v/>
      </c>
      <c r="AY2920" s="21" t="str">
        <f>IF(AND($AM2920&lt;&gt;"",$AS2920&lt;&gt;"✓"),SUMPRODUCT(($AM$11:$AM2920&lt;&gt;"")*($AS$11:$AS2920&lt;&gt;"✓")),"")</f>
        <v/>
      </c>
      <c r="AZ2920" s="21" t="str">
        <f>IF(AND($AM2920&lt;&gt;"",$AS2920="✓"),SUMPRODUCT(($AM$11:$AM2920&lt;&gt;"")*($AS$11:$AS2920="✓")),"")</f>
        <v/>
      </c>
      <c r="BA2920" s="21" t="str">
        <f>IF($AL2920="","",$AL2920&amp;"|"&amp;COUNTIF($AL$11:$AL2920,$AL2920))</f>
        <v/>
      </c>
    </row>
    <row r="2921" spans="38:53" ht="15" customHeight="1" x14ac:dyDescent="0.25">
      <c r="AL2921" s="17"/>
      <c r="AM2921" s="12"/>
      <c r="AN2921" s="18"/>
      <c r="AO2921" s="18"/>
      <c r="AP2921" s="10"/>
      <c r="AQ2921" s="10"/>
      <c r="AR2921" s="19"/>
      <c r="AS2921" s="20"/>
      <c r="AT2921" s="19"/>
      <c r="AV2921" s="21">
        <f>IF(AND($AL2921&lt;&gt;"",COUNTIF($AL$11:$AL2921,$AL2921)=1),1,0)</f>
        <v>0</v>
      </c>
      <c r="AW2921" s="21">
        <f t="shared" si="177"/>
        <v>0</v>
      </c>
      <c r="AX2921" s="21" t="str">
        <f t="shared" si="176"/>
        <v/>
      </c>
      <c r="AY2921" s="21" t="str">
        <f>IF(AND($AM2921&lt;&gt;"",$AS2921&lt;&gt;"✓"),SUMPRODUCT(($AM$11:$AM2921&lt;&gt;"")*($AS$11:$AS2921&lt;&gt;"✓")),"")</f>
        <v/>
      </c>
      <c r="AZ2921" s="21" t="str">
        <f>IF(AND($AM2921&lt;&gt;"",$AS2921="✓"),SUMPRODUCT(($AM$11:$AM2921&lt;&gt;"")*($AS$11:$AS2921="✓")),"")</f>
        <v/>
      </c>
      <c r="BA2921" s="21" t="str">
        <f>IF($AL2921="","",$AL2921&amp;"|"&amp;COUNTIF($AL$11:$AL2921,$AL2921))</f>
        <v/>
      </c>
    </row>
    <row r="2922" spans="38:53" ht="15" customHeight="1" x14ac:dyDescent="0.25">
      <c r="AL2922" s="31"/>
      <c r="AM2922" s="26"/>
      <c r="AN2922" s="32"/>
      <c r="AO2922" s="32"/>
      <c r="AP2922" s="24"/>
      <c r="AQ2922" s="24"/>
      <c r="AR2922" s="33"/>
      <c r="AS2922" s="34"/>
      <c r="AT2922" s="33"/>
      <c r="AV2922" s="21">
        <f>IF(AND($AL2922&lt;&gt;"",COUNTIF($AL$11:$AL2922,$AL2922)=1),1,0)</f>
        <v>0</v>
      </c>
      <c r="AW2922" s="21">
        <f t="shared" si="177"/>
        <v>0</v>
      </c>
      <c r="AX2922" s="21" t="str">
        <f t="shared" si="176"/>
        <v/>
      </c>
      <c r="AY2922" s="21" t="str">
        <f>IF(AND($AM2922&lt;&gt;"",$AS2922&lt;&gt;"✓"),SUMPRODUCT(($AM$11:$AM2922&lt;&gt;"")*($AS$11:$AS2922&lt;&gt;"✓")),"")</f>
        <v/>
      </c>
      <c r="AZ2922" s="21" t="str">
        <f>IF(AND($AM2922&lt;&gt;"",$AS2922="✓"),SUMPRODUCT(($AM$11:$AM2922&lt;&gt;"")*($AS$11:$AS2922="✓")),"")</f>
        <v/>
      </c>
      <c r="BA2922" s="21" t="str">
        <f>IF($AL2922="","",$AL2922&amp;"|"&amp;COUNTIF($AL$11:$AL2922,$AL2922))</f>
        <v/>
      </c>
    </row>
    <row r="2923" spans="38:53" ht="15" customHeight="1" x14ac:dyDescent="0.25">
      <c r="AL2923" s="17"/>
      <c r="AM2923" s="12"/>
      <c r="AN2923" s="18"/>
      <c r="AO2923" s="18"/>
      <c r="AP2923" s="10"/>
      <c r="AQ2923" s="10"/>
      <c r="AR2923" s="19"/>
      <c r="AS2923" s="20"/>
      <c r="AT2923" s="19"/>
      <c r="AV2923" s="21">
        <f>IF(AND($AL2923&lt;&gt;"",COUNTIF($AL$11:$AL2923,$AL2923)=1),1,0)</f>
        <v>0</v>
      </c>
      <c r="AW2923" s="21">
        <f t="shared" si="177"/>
        <v>0</v>
      </c>
      <c r="AX2923" s="21" t="str">
        <f t="shared" si="176"/>
        <v/>
      </c>
      <c r="AY2923" s="21" t="str">
        <f>IF(AND($AM2923&lt;&gt;"",$AS2923&lt;&gt;"✓"),SUMPRODUCT(($AM$11:$AM2923&lt;&gt;"")*($AS$11:$AS2923&lt;&gt;"✓")),"")</f>
        <v/>
      </c>
      <c r="AZ2923" s="21" t="str">
        <f>IF(AND($AM2923&lt;&gt;"",$AS2923="✓"),SUMPRODUCT(($AM$11:$AM2923&lt;&gt;"")*($AS$11:$AS2923="✓")),"")</f>
        <v/>
      </c>
      <c r="BA2923" s="21" t="str">
        <f>IF($AL2923="","",$AL2923&amp;"|"&amp;COUNTIF($AL$11:$AL2923,$AL2923))</f>
        <v/>
      </c>
    </row>
    <row r="2924" spans="38:53" ht="15" customHeight="1" x14ac:dyDescent="0.25">
      <c r="AL2924" s="31"/>
      <c r="AM2924" s="26"/>
      <c r="AN2924" s="32"/>
      <c r="AO2924" s="32"/>
      <c r="AP2924" s="24"/>
      <c r="AQ2924" s="24"/>
      <c r="AR2924" s="33"/>
      <c r="AS2924" s="34"/>
      <c r="AT2924" s="33"/>
      <c r="AV2924" s="21">
        <f>IF(AND($AL2924&lt;&gt;"",COUNTIF($AL$11:$AL2924,$AL2924)=1),1,0)</f>
        <v>0</v>
      </c>
      <c r="AW2924" s="21">
        <f t="shared" si="177"/>
        <v>0</v>
      </c>
      <c r="AX2924" s="21" t="str">
        <f t="shared" si="176"/>
        <v/>
      </c>
      <c r="AY2924" s="21" t="str">
        <f>IF(AND($AM2924&lt;&gt;"",$AS2924&lt;&gt;"✓"),SUMPRODUCT(($AM$11:$AM2924&lt;&gt;"")*($AS$11:$AS2924&lt;&gt;"✓")),"")</f>
        <v/>
      </c>
      <c r="AZ2924" s="21" t="str">
        <f>IF(AND($AM2924&lt;&gt;"",$AS2924="✓"),SUMPRODUCT(($AM$11:$AM2924&lt;&gt;"")*($AS$11:$AS2924="✓")),"")</f>
        <v/>
      </c>
      <c r="BA2924" s="21" t="str">
        <f>IF($AL2924="","",$AL2924&amp;"|"&amp;COUNTIF($AL$11:$AL2924,$AL2924))</f>
        <v/>
      </c>
    </row>
    <row r="2925" spans="38:53" ht="15" customHeight="1" x14ac:dyDescent="0.25">
      <c r="AL2925" s="17"/>
      <c r="AM2925" s="12"/>
      <c r="AN2925" s="18"/>
      <c r="AO2925" s="18"/>
      <c r="AP2925" s="10"/>
      <c r="AQ2925" s="10"/>
      <c r="AR2925" s="19"/>
      <c r="AS2925" s="20"/>
      <c r="AT2925" s="19"/>
      <c r="AV2925" s="21">
        <f>IF(AND($AL2925&lt;&gt;"",COUNTIF($AL$11:$AL2925,$AL2925)=1),1,0)</f>
        <v>0</v>
      </c>
      <c r="AW2925" s="21">
        <f t="shared" si="177"/>
        <v>0</v>
      </c>
      <c r="AX2925" s="21" t="str">
        <f t="shared" si="176"/>
        <v/>
      </c>
      <c r="AY2925" s="21" t="str">
        <f>IF(AND($AM2925&lt;&gt;"",$AS2925&lt;&gt;"✓"),SUMPRODUCT(($AM$11:$AM2925&lt;&gt;"")*($AS$11:$AS2925&lt;&gt;"✓")),"")</f>
        <v/>
      </c>
      <c r="AZ2925" s="21" t="str">
        <f>IF(AND($AM2925&lt;&gt;"",$AS2925="✓"),SUMPRODUCT(($AM$11:$AM2925&lt;&gt;"")*($AS$11:$AS2925="✓")),"")</f>
        <v/>
      </c>
      <c r="BA2925" s="21" t="str">
        <f>IF($AL2925="","",$AL2925&amp;"|"&amp;COUNTIF($AL$11:$AL2925,$AL2925))</f>
        <v/>
      </c>
    </row>
    <row r="2926" spans="38:53" ht="15" customHeight="1" x14ac:dyDescent="0.25">
      <c r="AL2926" s="31"/>
      <c r="AM2926" s="26"/>
      <c r="AN2926" s="32"/>
      <c r="AO2926" s="32"/>
      <c r="AP2926" s="24"/>
      <c r="AQ2926" s="24"/>
      <c r="AR2926" s="33"/>
      <c r="AS2926" s="34"/>
      <c r="AT2926" s="33"/>
      <c r="AV2926" s="21">
        <f>IF(AND($AL2926&lt;&gt;"",COUNTIF($AL$11:$AL2926,$AL2926)=1),1,0)</f>
        <v>0</v>
      </c>
      <c r="AW2926" s="21">
        <f t="shared" si="177"/>
        <v>0</v>
      </c>
      <c r="AX2926" s="21" t="str">
        <f t="shared" si="176"/>
        <v/>
      </c>
      <c r="AY2926" s="21" t="str">
        <f>IF(AND($AM2926&lt;&gt;"",$AS2926&lt;&gt;"✓"),SUMPRODUCT(($AM$11:$AM2926&lt;&gt;"")*($AS$11:$AS2926&lt;&gt;"✓")),"")</f>
        <v/>
      </c>
      <c r="AZ2926" s="21" t="str">
        <f>IF(AND($AM2926&lt;&gt;"",$AS2926="✓"),SUMPRODUCT(($AM$11:$AM2926&lt;&gt;"")*($AS$11:$AS2926="✓")),"")</f>
        <v/>
      </c>
      <c r="BA2926" s="21" t="str">
        <f>IF($AL2926="","",$AL2926&amp;"|"&amp;COUNTIF($AL$11:$AL2926,$AL2926))</f>
        <v/>
      </c>
    </row>
    <row r="2927" spans="38:53" ht="15" customHeight="1" x14ac:dyDescent="0.25">
      <c r="AL2927" s="17"/>
      <c r="AM2927" s="12"/>
      <c r="AN2927" s="18"/>
      <c r="AO2927" s="18"/>
      <c r="AP2927" s="10"/>
      <c r="AQ2927" s="10"/>
      <c r="AR2927" s="19"/>
      <c r="AS2927" s="20"/>
      <c r="AT2927" s="19"/>
      <c r="AV2927" s="21">
        <f>IF(AND($AL2927&lt;&gt;"",COUNTIF($AL$11:$AL2927,$AL2927)=1),1,0)</f>
        <v>0</v>
      </c>
      <c r="AW2927" s="21">
        <f t="shared" si="177"/>
        <v>0</v>
      </c>
      <c r="AX2927" s="21" t="str">
        <f t="shared" si="176"/>
        <v/>
      </c>
      <c r="AY2927" s="21" t="str">
        <f>IF(AND($AM2927&lt;&gt;"",$AS2927&lt;&gt;"✓"),SUMPRODUCT(($AM$11:$AM2927&lt;&gt;"")*($AS$11:$AS2927&lt;&gt;"✓")),"")</f>
        <v/>
      </c>
      <c r="AZ2927" s="21" t="str">
        <f>IF(AND($AM2927&lt;&gt;"",$AS2927="✓"),SUMPRODUCT(($AM$11:$AM2927&lt;&gt;"")*($AS$11:$AS2927="✓")),"")</f>
        <v/>
      </c>
      <c r="BA2927" s="21" t="str">
        <f>IF($AL2927="","",$AL2927&amp;"|"&amp;COUNTIF($AL$11:$AL2927,$AL2927))</f>
        <v/>
      </c>
    </row>
    <row r="2928" spans="38:53" ht="15" customHeight="1" x14ac:dyDescent="0.25">
      <c r="AL2928" s="31"/>
      <c r="AM2928" s="26"/>
      <c r="AN2928" s="32"/>
      <c r="AO2928" s="32"/>
      <c r="AP2928" s="24"/>
      <c r="AQ2928" s="24"/>
      <c r="AR2928" s="33"/>
      <c r="AS2928" s="34"/>
      <c r="AT2928" s="33"/>
      <c r="AV2928" s="21">
        <f>IF(AND($AL2928&lt;&gt;"",COUNTIF($AL$11:$AL2928,$AL2928)=1),1,0)</f>
        <v>0</v>
      </c>
      <c r="AW2928" s="21">
        <f t="shared" si="177"/>
        <v>0</v>
      </c>
      <c r="AX2928" s="21" t="str">
        <f t="shared" si="176"/>
        <v/>
      </c>
      <c r="AY2928" s="21" t="str">
        <f>IF(AND($AM2928&lt;&gt;"",$AS2928&lt;&gt;"✓"),SUMPRODUCT(($AM$11:$AM2928&lt;&gt;"")*($AS$11:$AS2928&lt;&gt;"✓")),"")</f>
        <v/>
      </c>
      <c r="AZ2928" s="21" t="str">
        <f>IF(AND($AM2928&lt;&gt;"",$AS2928="✓"),SUMPRODUCT(($AM$11:$AM2928&lt;&gt;"")*($AS$11:$AS2928="✓")),"")</f>
        <v/>
      </c>
      <c r="BA2928" s="21" t="str">
        <f>IF($AL2928="","",$AL2928&amp;"|"&amp;COUNTIF($AL$11:$AL2928,$AL2928))</f>
        <v/>
      </c>
    </row>
    <row r="2929" spans="38:53" ht="15" customHeight="1" x14ac:dyDescent="0.25">
      <c r="AL2929" s="17"/>
      <c r="AM2929" s="12"/>
      <c r="AN2929" s="18"/>
      <c r="AO2929" s="18"/>
      <c r="AP2929" s="10"/>
      <c r="AQ2929" s="10"/>
      <c r="AR2929" s="19"/>
      <c r="AS2929" s="20"/>
      <c r="AT2929" s="19"/>
      <c r="AV2929" s="21">
        <f>IF(AND($AL2929&lt;&gt;"",COUNTIF($AL$11:$AL2929,$AL2929)=1),1,0)</f>
        <v>0</v>
      </c>
      <c r="AW2929" s="21">
        <f t="shared" si="177"/>
        <v>0</v>
      </c>
      <c r="AX2929" s="21" t="str">
        <f t="shared" si="176"/>
        <v/>
      </c>
      <c r="AY2929" s="21" t="str">
        <f>IF(AND($AM2929&lt;&gt;"",$AS2929&lt;&gt;"✓"),SUMPRODUCT(($AM$11:$AM2929&lt;&gt;"")*($AS$11:$AS2929&lt;&gt;"✓")),"")</f>
        <v/>
      </c>
      <c r="AZ2929" s="21" t="str">
        <f>IF(AND($AM2929&lt;&gt;"",$AS2929="✓"),SUMPRODUCT(($AM$11:$AM2929&lt;&gt;"")*($AS$11:$AS2929="✓")),"")</f>
        <v/>
      </c>
      <c r="BA2929" s="21" t="str">
        <f>IF($AL2929="","",$AL2929&amp;"|"&amp;COUNTIF($AL$11:$AL2929,$AL2929))</f>
        <v/>
      </c>
    </row>
    <row r="2930" spans="38:53" ht="15" customHeight="1" x14ac:dyDescent="0.25">
      <c r="AL2930" s="31"/>
      <c r="AM2930" s="26"/>
      <c r="AN2930" s="32"/>
      <c r="AO2930" s="32"/>
      <c r="AP2930" s="24"/>
      <c r="AQ2930" s="24"/>
      <c r="AR2930" s="33"/>
      <c r="AS2930" s="34"/>
      <c r="AT2930" s="33"/>
      <c r="AV2930" s="21">
        <f>IF(AND($AL2930&lt;&gt;"",COUNTIF($AL$11:$AL2930,$AL2930)=1),1,0)</f>
        <v>0</v>
      </c>
      <c r="AW2930" s="21">
        <f t="shared" si="177"/>
        <v>0</v>
      </c>
      <c r="AX2930" s="21" t="str">
        <f t="shared" si="176"/>
        <v/>
      </c>
      <c r="AY2930" s="21" t="str">
        <f>IF(AND($AM2930&lt;&gt;"",$AS2930&lt;&gt;"✓"),SUMPRODUCT(($AM$11:$AM2930&lt;&gt;"")*($AS$11:$AS2930&lt;&gt;"✓")),"")</f>
        <v/>
      </c>
      <c r="AZ2930" s="21" t="str">
        <f>IF(AND($AM2930&lt;&gt;"",$AS2930="✓"),SUMPRODUCT(($AM$11:$AM2930&lt;&gt;"")*($AS$11:$AS2930="✓")),"")</f>
        <v/>
      </c>
      <c r="BA2930" s="21" t="str">
        <f>IF($AL2930="","",$AL2930&amp;"|"&amp;COUNTIF($AL$11:$AL2930,$AL2930))</f>
        <v/>
      </c>
    </row>
    <row r="2931" spans="38:53" ht="15" customHeight="1" x14ac:dyDescent="0.25">
      <c r="AL2931" s="17"/>
      <c r="AM2931" s="12"/>
      <c r="AN2931" s="18"/>
      <c r="AO2931" s="18"/>
      <c r="AP2931" s="10"/>
      <c r="AQ2931" s="10"/>
      <c r="AR2931" s="19"/>
      <c r="AS2931" s="20"/>
      <c r="AT2931" s="19"/>
      <c r="AV2931" s="21">
        <f>IF(AND($AL2931&lt;&gt;"",COUNTIF($AL$11:$AL2931,$AL2931)=1),1,0)</f>
        <v>0</v>
      </c>
      <c r="AW2931" s="21">
        <f t="shared" si="177"/>
        <v>0</v>
      </c>
      <c r="AX2931" s="21" t="str">
        <f t="shared" si="176"/>
        <v/>
      </c>
      <c r="AY2931" s="21" t="str">
        <f>IF(AND($AM2931&lt;&gt;"",$AS2931&lt;&gt;"✓"),SUMPRODUCT(($AM$11:$AM2931&lt;&gt;"")*($AS$11:$AS2931&lt;&gt;"✓")),"")</f>
        <v/>
      </c>
      <c r="AZ2931" s="21" t="str">
        <f>IF(AND($AM2931&lt;&gt;"",$AS2931="✓"),SUMPRODUCT(($AM$11:$AM2931&lt;&gt;"")*($AS$11:$AS2931="✓")),"")</f>
        <v/>
      </c>
      <c r="BA2931" s="21" t="str">
        <f>IF($AL2931="","",$AL2931&amp;"|"&amp;COUNTIF($AL$11:$AL2931,$AL2931))</f>
        <v/>
      </c>
    </row>
    <row r="2932" spans="38:53" ht="15" customHeight="1" x14ac:dyDescent="0.25">
      <c r="AL2932" s="31"/>
      <c r="AM2932" s="26"/>
      <c r="AN2932" s="32"/>
      <c r="AO2932" s="32"/>
      <c r="AP2932" s="24"/>
      <c r="AQ2932" s="24"/>
      <c r="AR2932" s="33"/>
      <c r="AS2932" s="34"/>
      <c r="AT2932" s="33"/>
      <c r="AV2932" s="21">
        <f>IF(AND($AL2932&lt;&gt;"",COUNTIF($AL$11:$AL2932,$AL2932)=1),1,0)</f>
        <v>0</v>
      </c>
      <c r="AW2932" s="21">
        <f t="shared" si="177"/>
        <v>0</v>
      </c>
      <c r="AX2932" s="21" t="str">
        <f t="shared" si="176"/>
        <v/>
      </c>
      <c r="AY2932" s="21" t="str">
        <f>IF(AND($AM2932&lt;&gt;"",$AS2932&lt;&gt;"✓"),SUMPRODUCT(($AM$11:$AM2932&lt;&gt;"")*($AS$11:$AS2932&lt;&gt;"✓")),"")</f>
        <v/>
      </c>
      <c r="AZ2932" s="21" t="str">
        <f>IF(AND($AM2932&lt;&gt;"",$AS2932="✓"),SUMPRODUCT(($AM$11:$AM2932&lt;&gt;"")*($AS$11:$AS2932="✓")),"")</f>
        <v/>
      </c>
      <c r="BA2932" s="21" t="str">
        <f>IF($AL2932="","",$AL2932&amp;"|"&amp;COUNTIF($AL$11:$AL2932,$AL2932))</f>
        <v/>
      </c>
    </row>
    <row r="2933" spans="38:53" ht="15" customHeight="1" x14ac:dyDescent="0.25">
      <c r="AL2933" s="17"/>
      <c r="AM2933" s="12"/>
      <c r="AN2933" s="18"/>
      <c r="AO2933" s="18"/>
      <c r="AP2933" s="10"/>
      <c r="AQ2933" s="10"/>
      <c r="AR2933" s="19"/>
      <c r="AS2933" s="20"/>
      <c r="AT2933" s="19"/>
      <c r="AV2933" s="21">
        <f>IF(AND($AL2933&lt;&gt;"",COUNTIF($AL$11:$AL2933,$AL2933)=1),1,0)</f>
        <v>0</v>
      </c>
      <c r="AW2933" s="21">
        <f t="shared" si="177"/>
        <v>0</v>
      </c>
      <c r="AX2933" s="21" t="str">
        <f t="shared" si="176"/>
        <v/>
      </c>
      <c r="AY2933" s="21" t="str">
        <f>IF(AND($AM2933&lt;&gt;"",$AS2933&lt;&gt;"✓"),SUMPRODUCT(($AM$11:$AM2933&lt;&gt;"")*($AS$11:$AS2933&lt;&gt;"✓")),"")</f>
        <v/>
      </c>
      <c r="AZ2933" s="21" t="str">
        <f>IF(AND($AM2933&lt;&gt;"",$AS2933="✓"),SUMPRODUCT(($AM$11:$AM2933&lt;&gt;"")*($AS$11:$AS2933="✓")),"")</f>
        <v/>
      </c>
      <c r="BA2933" s="21" t="str">
        <f>IF($AL2933="","",$AL2933&amp;"|"&amp;COUNTIF($AL$11:$AL2933,$AL2933))</f>
        <v/>
      </c>
    </row>
    <row r="2934" spans="38:53" ht="15" customHeight="1" x14ac:dyDescent="0.25">
      <c r="AL2934" s="31"/>
      <c r="AM2934" s="26"/>
      <c r="AN2934" s="32"/>
      <c r="AO2934" s="32"/>
      <c r="AP2934" s="24"/>
      <c r="AQ2934" s="24"/>
      <c r="AR2934" s="33"/>
      <c r="AS2934" s="34"/>
      <c r="AT2934" s="33"/>
      <c r="AV2934" s="21">
        <f>IF(AND($AL2934&lt;&gt;"",COUNTIF($AL$11:$AL2934,$AL2934)=1),1,0)</f>
        <v>0</v>
      </c>
      <c r="AW2934" s="21">
        <f t="shared" si="177"/>
        <v>0</v>
      </c>
      <c r="AX2934" s="21" t="str">
        <f t="shared" si="176"/>
        <v/>
      </c>
      <c r="AY2934" s="21" t="str">
        <f>IF(AND($AM2934&lt;&gt;"",$AS2934&lt;&gt;"✓"),SUMPRODUCT(($AM$11:$AM2934&lt;&gt;"")*($AS$11:$AS2934&lt;&gt;"✓")),"")</f>
        <v/>
      </c>
      <c r="AZ2934" s="21" t="str">
        <f>IF(AND($AM2934&lt;&gt;"",$AS2934="✓"),SUMPRODUCT(($AM$11:$AM2934&lt;&gt;"")*($AS$11:$AS2934="✓")),"")</f>
        <v/>
      </c>
      <c r="BA2934" s="21" t="str">
        <f>IF($AL2934="","",$AL2934&amp;"|"&amp;COUNTIF($AL$11:$AL2934,$AL2934))</f>
        <v/>
      </c>
    </row>
    <row r="2935" spans="38:53" ht="15" customHeight="1" x14ac:dyDescent="0.25">
      <c r="AL2935" s="17"/>
      <c r="AM2935" s="12"/>
      <c r="AN2935" s="18"/>
      <c r="AO2935" s="18"/>
      <c r="AP2935" s="10"/>
      <c r="AQ2935" s="10"/>
      <c r="AR2935" s="19"/>
      <c r="AS2935" s="20"/>
      <c r="AT2935" s="19"/>
      <c r="AV2935" s="21">
        <f>IF(AND($AL2935&lt;&gt;"",COUNTIF($AL$11:$AL2935,$AL2935)=1),1,0)</f>
        <v>0</v>
      </c>
      <c r="AW2935" s="21">
        <f t="shared" si="177"/>
        <v>0</v>
      </c>
      <c r="AX2935" s="21" t="str">
        <f t="shared" si="176"/>
        <v/>
      </c>
      <c r="AY2935" s="21" t="str">
        <f>IF(AND($AM2935&lt;&gt;"",$AS2935&lt;&gt;"✓"),SUMPRODUCT(($AM$11:$AM2935&lt;&gt;"")*($AS$11:$AS2935&lt;&gt;"✓")),"")</f>
        <v/>
      </c>
      <c r="AZ2935" s="21" t="str">
        <f>IF(AND($AM2935&lt;&gt;"",$AS2935="✓"),SUMPRODUCT(($AM$11:$AM2935&lt;&gt;"")*($AS$11:$AS2935="✓")),"")</f>
        <v/>
      </c>
      <c r="BA2935" s="21" t="str">
        <f>IF($AL2935="","",$AL2935&amp;"|"&amp;COUNTIF($AL$11:$AL2935,$AL2935))</f>
        <v/>
      </c>
    </row>
    <row r="2936" spans="38:53" ht="15" customHeight="1" x14ac:dyDescent="0.25">
      <c r="AL2936" s="31"/>
      <c r="AM2936" s="26"/>
      <c r="AN2936" s="32"/>
      <c r="AO2936" s="32"/>
      <c r="AP2936" s="24"/>
      <c r="AQ2936" s="24"/>
      <c r="AR2936" s="33"/>
      <c r="AS2936" s="34"/>
      <c r="AT2936" s="33"/>
      <c r="AV2936" s="21">
        <f>IF(AND($AL2936&lt;&gt;"",COUNTIF($AL$11:$AL2936,$AL2936)=1),1,0)</f>
        <v>0</v>
      </c>
      <c r="AW2936" s="21">
        <f t="shared" si="177"/>
        <v>0</v>
      </c>
      <c r="AX2936" s="21" t="str">
        <f t="shared" si="176"/>
        <v/>
      </c>
      <c r="AY2936" s="21" t="str">
        <f>IF(AND($AM2936&lt;&gt;"",$AS2936&lt;&gt;"✓"),SUMPRODUCT(($AM$11:$AM2936&lt;&gt;"")*($AS$11:$AS2936&lt;&gt;"✓")),"")</f>
        <v/>
      </c>
      <c r="AZ2936" s="21" t="str">
        <f>IF(AND($AM2936&lt;&gt;"",$AS2936="✓"),SUMPRODUCT(($AM$11:$AM2936&lt;&gt;"")*($AS$11:$AS2936="✓")),"")</f>
        <v/>
      </c>
      <c r="BA2936" s="21" t="str">
        <f>IF($AL2936="","",$AL2936&amp;"|"&amp;COUNTIF($AL$11:$AL2936,$AL2936))</f>
        <v/>
      </c>
    </row>
    <row r="2937" spans="38:53" ht="15" customHeight="1" x14ac:dyDescent="0.25">
      <c r="AL2937" s="17"/>
      <c r="AM2937" s="12"/>
      <c r="AN2937" s="18"/>
      <c r="AO2937" s="18"/>
      <c r="AP2937" s="10"/>
      <c r="AQ2937" s="10"/>
      <c r="AR2937" s="19"/>
      <c r="AS2937" s="20"/>
      <c r="AT2937" s="19"/>
      <c r="AV2937" s="21">
        <f>IF(AND($AL2937&lt;&gt;"",COUNTIF($AL$11:$AL2937,$AL2937)=1),1,0)</f>
        <v>0</v>
      </c>
      <c r="AW2937" s="21">
        <f t="shared" si="177"/>
        <v>0</v>
      </c>
      <c r="AX2937" s="21" t="str">
        <f t="shared" si="176"/>
        <v/>
      </c>
      <c r="AY2937" s="21" t="str">
        <f>IF(AND($AM2937&lt;&gt;"",$AS2937&lt;&gt;"✓"),SUMPRODUCT(($AM$11:$AM2937&lt;&gt;"")*($AS$11:$AS2937&lt;&gt;"✓")),"")</f>
        <v/>
      </c>
      <c r="AZ2937" s="21" t="str">
        <f>IF(AND($AM2937&lt;&gt;"",$AS2937="✓"),SUMPRODUCT(($AM$11:$AM2937&lt;&gt;"")*($AS$11:$AS2937="✓")),"")</f>
        <v/>
      </c>
      <c r="BA2937" s="21" t="str">
        <f>IF($AL2937="","",$AL2937&amp;"|"&amp;COUNTIF($AL$11:$AL2937,$AL2937))</f>
        <v/>
      </c>
    </row>
    <row r="2938" spans="38:53" ht="15" customHeight="1" x14ac:dyDescent="0.25">
      <c r="AL2938" s="31"/>
      <c r="AM2938" s="26"/>
      <c r="AN2938" s="32"/>
      <c r="AO2938" s="32"/>
      <c r="AP2938" s="24"/>
      <c r="AQ2938" s="24"/>
      <c r="AR2938" s="33"/>
      <c r="AS2938" s="34"/>
      <c r="AT2938" s="33"/>
      <c r="AV2938" s="21">
        <f>IF(AND($AL2938&lt;&gt;"",COUNTIF($AL$11:$AL2938,$AL2938)=1),1,0)</f>
        <v>0</v>
      </c>
      <c r="AW2938" s="21">
        <f t="shared" si="177"/>
        <v>0</v>
      </c>
      <c r="AX2938" s="21" t="str">
        <f t="shared" si="176"/>
        <v/>
      </c>
      <c r="AY2938" s="21" t="str">
        <f>IF(AND($AM2938&lt;&gt;"",$AS2938&lt;&gt;"✓"),SUMPRODUCT(($AM$11:$AM2938&lt;&gt;"")*($AS$11:$AS2938&lt;&gt;"✓")),"")</f>
        <v/>
      </c>
      <c r="AZ2938" s="21" t="str">
        <f>IF(AND($AM2938&lt;&gt;"",$AS2938="✓"),SUMPRODUCT(($AM$11:$AM2938&lt;&gt;"")*($AS$11:$AS2938="✓")),"")</f>
        <v/>
      </c>
      <c r="BA2938" s="21" t="str">
        <f>IF($AL2938="","",$AL2938&amp;"|"&amp;COUNTIF($AL$11:$AL2938,$AL2938))</f>
        <v/>
      </c>
    </row>
    <row r="2939" spans="38:53" ht="15" customHeight="1" x14ac:dyDescent="0.25">
      <c r="AL2939" s="17"/>
      <c r="AM2939" s="12"/>
      <c r="AN2939" s="18"/>
      <c r="AO2939" s="18"/>
      <c r="AP2939" s="10"/>
      <c r="AQ2939" s="10"/>
      <c r="AR2939" s="19"/>
      <c r="AS2939" s="20"/>
      <c r="AT2939" s="19"/>
      <c r="AV2939" s="21">
        <f>IF(AND($AL2939&lt;&gt;"",COUNTIF($AL$11:$AL2939,$AL2939)=1),1,0)</f>
        <v>0</v>
      </c>
      <c r="AW2939" s="21">
        <f t="shared" si="177"/>
        <v>0</v>
      </c>
      <c r="AX2939" s="21" t="str">
        <f t="shared" si="176"/>
        <v/>
      </c>
      <c r="AY2939" s="21" t="str">
        <f>IF(AND($AM2939&lt;&gt;"",$AS2939&lt;&gt;"✓"),SUMPRODUCT(($AM$11:$AM2939&lt;&gt;"")*($AS$11:$AS2939&lt;&gt;"✓")),"")</f>
        <v/>
      </c>
      <c r="AZ2939" s="21" t="str">
        <f>IF(AND($AM2939&lt;&gt;"",$AS2939="✓"),SUMPRODUCT(($AM$11:$AM2939&lt;&gt;"")*($AS$11:$AS2939="✓")),"")</f>
        <v/>
      </c>
      <c r="BA2939" s="21" t="str">
        <f>IF($AL2939="","",$AL2939&amp;"|"&amp;COUNTIF($AL$11:$AL2939,$AL2939))</f>
        <v/>
      </c>
    </row>
    <row r="2940" spans="38:53" ht="15" customHeight="1" x14ac:dyDescent="0.25">
      <c r="AL2940" s="31"/>
      <c r="AM2940" s="26"/>
      <c r="AN2940" s="32"/>
      <c r="AO2940" s="32"/>
      <c r="AP2940" s="24"/>
      <c r="AQ2940" s="24"/>
      <c r="AR2940" s="33"/>
      <c r="AS2940" s="34"/>
      <c r="AT2940" s="33"/>
      <c r="AV2940" s="21">
        <f>IF(AND($AL2940&lt;&gt;"",COUNTIF($AL$11:$AL2940,$AL2940)=1),1,0)</f>
        <v>0</v>
      </c>
      <c r="AW2940" s="21">
        <f t="shared" si="177"/>
        <v>0</v>
      </c>
      <c r="AX2940" s="21" t="str">
        <f t="shared" si="176"/>
        <v/>
      </c>
      <c r="AY2940" s="21" t="str">
        <f>IF(AND($AM2940&lt;&gt;"",$AS2940&lt;&gt;"✓"),SUMPRODUCT(($AM$11:$AM2940&lt;&gt;"")*($AS$11:$AS2940&lt;&gt;"✓")),"")</f>
        <v/>
      </c>
      <c r="AZ2940" s="21" t="str">
        <f>IF(AND($AM2940&lt;&gt;"",$AS2940="✓"),SUMPRODUCT(($AM$11:$AM2940&lt;&gt;"")*($AS$11:$AS2940="✓")),"")</f>
        <v/>
      </c>
      <c r="BA2940" s="21" t="str">
        <f>IF($AL2940="","",$AL2940&amp;"|"&amp;COUNTIF($AL$11:$AL2940,$AL2940))</f>
        <v/>
      </c>
    </row>
    <row r="2941" spans="38:53" ht="15" customHeight="1" x14ac:dyDescent="0.25">
      <c r="AL2941" s="17"/>
      <c r="AM2941" s="12"/>
      <c r="AN2941" s="18"/>
      <c r="AO2941" s="18"/>
      <c r="AP2941" s="10"/>
      <c r="AQ2941" s="10"/>
      <c r="AR2941" s="19"/>
      <c r="AS2941" s="20"/>
      <c r="AT2941" s="19"/>
      <c r="AV2941" s="21">
        <f>IF(AND($AL2941&lt;&gt;"",COUNTIF($AL$11:$AL2941,$AL2941)=1),1,0)</f>
        <v>0</v>
      </c>
      <c r="AW2941" s="21">
        <f t="shared" si="177"/>
        <v>0</v>
      </c>
      <c r="AX2941" s="21" t="str">
        <f t="shared" si="176"/>
        <v/>
      </c>
      <c r="AY2941" s="21" t="str">
        <f>IF(AND($AM2941&lt;&gt;"",$AS2941&lt;&gt;"✓"),SUMPRODUCT(($AM$11:$AM2941&lt;&gt;"")*($AS$11:$AS2941&lt;&gt;"✓")),"")</f>
        <v/>
      </c>
      <c r="AZ2941" s="21" t="str">
        <f>IF(AND($AM2941&lt;&gt;"",$AS2941="✓"),SUMPRODUCT(($AM$11:$AM2941&lt;&gt;"")*($AS$11:$AS2941="✓")),"")</f>
        <v/>
      </c>
      <c r="BA2941" s="21" t="str">
        <f>IF($AL2941="","",$AL2941&amp;"|"&amp;COUNTIF($AL$11:$AL2941,$AL2941))</f>
        <v/>
      </c>
    </row>
    <row r="2942" spans="38:53" ht="15" customHeight="1" x14ac:dyDescent="0.25">
      <c r="AL2942" s="31"/>
      <c r="AM2942" s="26"/>
      <c r="AN2942" s="32"/>
      <c r="AO2942" s="32"/>
      <c r="AP2942" s="24"/>
      <c r="AQ2942" s="24"/>
      <c r="AR2942" s="33"/>
      <c r="AS2942" s="34"/>
      <c r="AT2942" s="33"/>
      <c r="AV2942" s="21">
        <f>IF(AND($AL2942&lt;&gt;"",COUNTIF($AL$11:$AL2942,$AL2942)=1),1,0)</f>
        <v>0</v>
      </c>
      <c r="AW2942" s="21">
        <f t="shared" si="177"/>
        <v>0</v>
      </c>
      <c r="AX2942" s="21" t="str">
        <f t="shared" si="176"/>
        <v/>
      </c>
      <c r="AY2942" s="21" t="str">
        <f>IF(AND($AM2942&lt;&gt;"",$AS2942&lt;&gt;"✓"),SUMPRODUCT(($AM$11:$AM2942&lt;&gt;"")*($AS$11:$AS2942&lt;&gt;"✓")),"")</f>
        <v/>
      </c>
      <c r="AZ2942" s="21" t="str">
        <f>IF(AND($AM2942&lt;&gt;"",$AS2942="✓"),SUMPRODUCT(($AM$11:$AM2942&lt;&gt;"")*($AS$11:$AS2942="✓")),"")</f>
        <v/>
      </c>
      <c r="BA2942" s="21" t="str">
        <f>IF($AL2942="","",$AL2942&amp;"|"&amp;COUNTIF($AL$11:$AL2942,$AL2942))</f>
        <v/>
      </c>
    </row>
    <row r="2943" spans="38:53" ht="15" customHeight="1" x14ac:dyDescent="0.25">
      <c r="AL2943" s="17"/>
      <c r="AM2943" s="12"/>
      <c r="AN2943" s="18"/>
      <c r="AO2943" s="18"/>
      <c r="AP2943" s="10"/>
      <c r="AQ2943" s="10"/>
      <c r="AR2943" s="19"/>
      <c r="AS2943" s="20"/>
      <c r="AT2943" s="19"/>
      <c r="AV2943" s="21">
        <f>IF(AND($AL2943&lt;&gt;"",COUNTIF($AL$11:$AL2943,$AL2943)=1),1,0)</f>
        <v>0</v>
      </c>
      <c r="AW2943" s="21">
        <f t="shared" si="177"/>
        <v>0</v>
      </c>
      <c r="AX2943" s="21" t="str">
        <f t="shared" si="176"/>
        <v/>
      </c>
      <c r="AY2943" s="21" t="str">
        <f>IF(AND($AM2943&lt;&gt;"",$AS2943&lt;&gt;"✓"),SUMPRODUCT(($AM$11:$AM2943&lt;&gt;"")*($AS$11:$AS2943&lt;&gt;"✓")),"")</f>
        <v/>
      </c>
      <c r="AZ2943" s="21" t="str">
        <f>IF(AND($AM2943&lt;&gt;"",$AS2943="✓"),SUMPRODUCT(($AM$11:$AM2943&lt;&gt;"")*($AS$11:$AS2943="✓")),"")</f>
        <v/>
      </c>
      <c r="BA2943" s="21" t="str">
        <f>IF($AL2943="","",$AL2943&amp;"|"&amp;COUNTIF($AL$11:$AL2943,$AL2943))</f>
        <v/>
      </c>
    </row>
    <row r="2944" spans="38:53" ht="15" customHeight="1" x14ac:dyDescent="0.25">
      <c r="AL2944" s="31"/>
      <c r="AM2944" s="26"/>
      <c r="AN2944" s="32"/>
      <c r="AO2944" s="32"/>
      <c r="AP2944" s="24"/>
      <c r="AQ2944" s="24"/>
      <c r="AR2944" s="33"/>
      <c r="AS2944" s="34"/>
      <c r="AT2944" s="33"/>
      <c r="AV2944" s="21">
        <f>IF(AND($AL2944&lt;&gt;"",COUNTIF($AL$11:$AL2944,$AL2944)=1),1,0)</f>
        <v>0</v>
      </c>
      <c r="AW2944" s="21">
        <f t="shared" si="177"/>
        <v>0</v>
      </c>
      <c r="AX2944" s="21" t="str">
        <f t="shared" si="176"/>
        <v/>
      </c>
      <c r="AY2944" s="21" t="str">
        <f>IF(AND($AM2944&lt;&gt;"",$AS2944&lt;&gt;"✓"),SUMPRODUCT(($AM$11:$AM2944&lt;&gt;"")*($AS$11:$AS2944&lt;&gt;"✓")),"")</f>
        <v/>
      </c>
      <c r="AZ2944" s="21" t="str">
        <f>IF(AND($AM2944&lt;&gt;"",$AS2944="✓"),SUMPRODUCT(($AM$11:$AM2944&lt;&gt;"")*($AS$11:$AS2944="✓")),"")</f>
        <v/>
      </c>
      <c r="BA2944" s="21" t="str">
        <f>IF($AL2944="","",$AL2944&amp;"|"&amp;COUNTIF($AL$11:$AL2944,$AL2944))</f>
        <v/>
      </c>
    </row>
    <row r="2945" spans="38:53" ht="15" customHeight="1" x14ac:dyDescent="0.25">
      <c r="AL2945" s="17"/>
      <c r="AM2945" s="12"/>
      <c r="AN2945" s="18"/>
      <c r="AO2945" s="18"/>
      <c r="AP2945" s="10"/>
      <c r="AQ2945" s="10"/>
      <c r="AR2945" s="19"/>
      <c r="AS2945" s="20"/>
      <c r="AT2945" s="19"/>
      <c r="AV2945" s="21">
        <f>IF(AND($AL2945&lt;&gt;"",COUNTIF($AL$11:$AL2945,$AL2945)=1),1,0)</f>
        <v>0</v>
      </c>
      <c r="AW2945" s="21">
        <f t="shared" si="177"/>
        <v>0</v>
      </c>
      <c r="AX2945" s="21" t="str">
        <f t="shared" si="176"/>
        <v/>
      </c>
      <c r="AY2945" s="21" t="str">
        <f>IF(AND($AM2945&lt;&gt;"",$AS2945&lt;&gt;"✓"),SUMPRODUCT(($AM$11:$AM2945&lt;&gt;"")*($AS$11:$AS2945&lt;&gt;"✓")),"")</f>
        <v/>
      </c>
      <c r="AZ2945" s="21" t="str">
        <f>IF(AND($AM2945&lt;&gt;"",$AS2945="✓"),SUMPRODUCT(($AM$11:$AM2945&lt;&gt;"")*($AS$11:$AS2945="✓")),"")</f>
        <v/>
      </c>
      <c r="BA2945" s="21" t="str">
        <f>IF($AL2945="","",$AL2945&amp;"|"&amp;COUNTIF($AL$11:$AL2945,$AL2945))</f>
        <v/>
      </c>
    </row>
    <row r="2946" spans="38:53" ht="15" customHeight="1" x14ac:dyDescent="0.25">
      <c r="AL2946" s="31"/>
      <c r="AM2946" s="26"/>
      <c r="AN2946" s="32"/>
      <c r="AO2946" s="32"/>
      <c r="AP2946" s="24"/>
      <c r="AQ2946" s="24"/>
      <c r="AR2946" s="33"/>
      <c r="AS2946" s="34"/>
      <c r="AT2946" s="33"/>
      <c r="AV2946" s="21">
        <f>IF(AND($AL2946&lt;&gt;"",COUNTIF($AL$11:$AL2946,$AL2946)=1),1,0)</f>
        <v>0</v>
      </c>
      <c r="AW2946" s="21">
        <f t="shared" si="177"/>
        <v>0</v>
      </c>
      <c r="AX2946" s="21" t="str">
        <f t="shared" si="176"/>
        <v/>
      </c>
      <c r="AY2946" s="21" t="str">
        <f>IF(AND($AM2946&lt;&gt;"",$AS2946&lt;&gt;"✓"),SUMPRODUCT(($AM$11:$AM2946&lt;&gt;"")*($AS$11:$AS2946&lt;&gt;"✓")),"")</f>
        <v/>
      </c>
      <c r="AZ2946" s="21" t="str">
        <f>IF(AND($AM2946&lt;&gt;"",$AS2946="✓"),SUMPRODUCT(($AM$11:$AM2946&lt;&gt;"")*($AS$11:$AS2946="✓")),"")</f>
        <v/>
      </c>
      <c r="BA2946" s="21" t="str">
        <f>IF($AL2946="","",$AL2946&amp;"|"&amp;COUNTIF($AL$11:$AL2946,$AL2946))</f>
        <v/>
      </c>
    </row>
    <row r="2947" spans="38:53" ht="15" customHeight="1" x14ac:dyDescent="0.25">
      <c r="AL2947" s="17"/>
      <c r="AM2947" s="12"/>
      <c r="AN2947" s="18"/>
      <c r="AO2947" s="18"/>
      <c r="AP2947" s="10"/>
      <c r="AQ2947" s="10"/>
      <c r="AR2947" s="19"/>
      <c r="AS2947" s="20"/>
      <c r="AT2947" s="19"/>
      <c r="AV2947" s="21">
        <f>IF(AND($AL2947&lt;&gt;"",COUNTIF($AL$11:$AL2947,$AL2947)=1),1,0)</f>
        <v>0</v>
      </c>
      <c r="AW2947" s="21">
        <f t="shared" si="177"/>
        <v>0</v>
      </c>
      <c r="AX2947" s="21" t="str">
        <f t="shared" si="176"/>
        <v/>
      </c>
      <c r="AY2947" s="21" t="str">
        <f>IF(AND($AM2947&lt;&gt;"",$AS2947&lt;&gt;"✓"),SUMPRODUCT(($AM$11:$AM2947&lt;&gt;"")*($AS$11:$AS2947&lt;&gt;"✓")),"")</f>
        <v/>
      </c>
      <c r="AZ2947" s="21" t="str">
        <f>IF(AND($AM2947&lt;&gt;"",$AS2947="✓"),SUMPRODUCT(($AM$11:$AM2947&lt;&gt;"")*($AS$11:$AS2947="✓")),"")</f>
        <v/>
      </c>
      <c r="BA2947" s="21" t="str">
        <f>IF($AL2947="","",$AL2947&amp;"|"&amp;COUNTIF($AL$11:$AL2947,$AL2947))</f>
        <v/>
      </c>
    </row>
    <row r="2948" spans="38:53" ht="15" customHeight="1" x14ac:dyDescent="0.25">
      <c r="AL2948" s="31"/>
      <c r="AM2948" s="26"/>
      <c r="AN2948" s="32"/>
      <c r="AO2948" s="32"/>
      <c r="AP2948" s="24"/>
      <c r="AQ2948" s="24"/>
      <c r="AR2948" s="33"/>
      <c r="AS2948" s="34"/>
      <c r="AT2948" s="33"/>
      <c r="AV2948" s="21">
        <f>IF(AND($AL2948&lt;&gt;"",COUNTIF($AL$11:$AL2948,$AL2948)=1),1,0)</f>
        <v>0</v>
      </c>
      <c r="AW2948" s="21">
        <f t="shared" si="177"/>
        <v>0</v>
      </c>
      <c r="AX2948" s="21" t="str">
        <f t="shared" si="176"/>
        <v/>
      </c>
      <c r="AY2948" s="21" t="str">
        <f>IF(AND($AM2948&lt;&gt;"",$AS2948&lt;&gt;"✓"),SUMPRODUCT(($AM$11:$AM2948&lt;&gt;"")*($AS$11:$AS2948&lt;&gt;"✓")),"")</f>
        <v/>
      </c>
      <c r="AZ2948" s="21" t="str">
        <f>IF(AND($AM2948&lt;&gt;"",$AS2948="✓"),SUMPRODUCT(($AM$11:$AM2948&lt;&gt;"")*($AS$11:$AS2948="✓")),"")</f>
        <v/>
      </c>
      <c r="BA2948" s="21" t="str">
        <f>IF($AL2948="","",$AL2948&amp;"|"&amp;COUNTIF($AL$11:$AL2948,$AL2948))</f>
        <v/>
      </c>
    </row>
    <row r="2949" spans="38:53" ht="15" customHeight="1" x14ac:dyDescent="0.25">
      <c r="AL2949" s="17"/>
      <c r="AM2949" s="12"/>
      <c r="AN2949" s="18"/>
      <c r="AO2949" s="18"/>
      <c r="AP2949" s="10"/>
      <c r="AQ2949" s="10"/>
      <c r="AR2949" s="19"/>
      <c r="AS2949" s="20"/>
      <c r="AT2949" s="19"/>
      <c r="AV2949" s="21">
        <f>IF(AND($AL2949&lt;&gt;"",COUNTIF($AL$11:$AL2949,$AL2949)=1),1,0)</f>
        <v>0</v>
      </c>
      <c r="AW2949" s="21">
        <f t="shared" si="177"/>
        <v>0</v>
      </c>
      <c r="AX2949" s="21" t="str">
        <f t="shared" si="176"/>
        <v/>
      </c>
      <c r="AY2949" s="21" t="str">
        <f>IF(AND($AM2949&lt;&gt;"",$AS2949&lt;&gt;"✓"),SUMPRODUCT(($AM$11:$AM2949&lt;&gt;"")*($AS$11:$AS2949&lt;&gt;"✓")),"")</f>
        <v/>
      </c>
      <c r="AZ2949" s="21" t="str">
        <f>IF(AND($AM2949&lt;&gt;"",$AS2949="✓"),SUMPRODUCT(($AM$11:$AM2949&lt;&gt;"")*($AS$11:$AS2949="✓")),"")</f>
        <v/>
      </c>
      <c r="BA2949" s="21" t="str">
        <f>IF($AL2949="","",$AL2949&amp;"|"&amp;COUNTIF($AL$11:$AL2949,$AL2949))</f>
        <v/>
      </c>
    </row>
    <row r="2950" spans="38:53" ht="15" customHeight="1" x14ac:dyDescent="0.25">
      <c r="AL2950" s="31"/>
      <c r="AM2950" s="26"/>
      <c r="AN2950" s="32"/>
      <c r="AO2950" s="32"/>
      <c r="AP2950" s="24"/>
      <c r="AQ2950" s="24"/>
      <c r="AR2950" s="33"/>
      <c r="AS2950" s="34"/>
      <c r="AT2950" s="33"/>
      <c r="AV2950" s="21">
        <f>IF(AND($AL2950&lt;&gt;"",COUNTIF($AL$11:$AL2950,$AL2950)=1),1,0)</f>
        <v>0</v>
      </c>
      <c r="AW2950" s="21">
        <f t="shared" si="177"/>
        <v>0</v>
      </c>
      <c r="AX2950" s="21" t="str">
        <f t="shared" si="176"/>
        <v/>
      </c>
      <c r="AY2950" s="21" t="str">
        <f>IF(AND($AM2950&lt;&gt;"",$AS2950&lt;&gt;"✓"),SUMPRODUCT(($AM$11:$AM2950&lt;&gt;"")*($AS$11:$AS2950&lt;&gt;"✓")),"")</f>
        <v/>
      </c>
      <c r="AZ2950" s="21" t="str">
        <f>IF(AND($AM2950&lt;&gt;"",$AS2950="✓"),SUMPRODUCT(($AM$11:$AM2950&lt;&gt;"")*($AS$11:$AS2950="✓")),"")</f>
        <v/>
      </c>
      <c r="BA2950" s="21" t="str">
        <f>IF($AL2950="","",$AL2950&amp;"|"&amp;COUNTIF($AL$11:$AL2950,$AL2950))</f>
        <v/>
      </c>
    </row>
    <row r="2951" spans="38:53" ht="15" customHeight="1" x14ac:dyDescent="0.25">
      <c r="AL2951" s="17"/>
      <c r="AM2951" s="12"/>
      <c r="AN2951" s="18"/>
      <c r="AO2951" s="18"/>
      <c r="AP2951" s="10"/>
      <c r="AQ2951" s="10"/>
      <c r="AR2951" s="19"/>
      <c r="AS2951" s="20"/>
      <c r="AT2951" s="19"/>
      <c r="AV2951" s="21">
        <f>IF(AND($AL2951&lt;&gt;"",COUNTIF($AL$11:$AL2951,$AL2951)=1),1,0)</f>
        <v>0</v>
      </c>
      <c r="AW2951" s="21">
        <f t="shared" si="177"/>
        <v>0</v>
      </c>
      <c r="AX2951" s="21" t="str">
        <f t="shared" si="176"/>
        <v/>
      </c>
      <c r="AY2951" s="21" t="str">
        <f>IF(AND($AM2951&lt;&gt;"",$AS2951&lt;&gt;"✓"),SUMPRODUCT(($AM$11:$AM2951&lt;&gt;"")*($AS$11:$AS2951&lt;&gt;"✓")),"")</f>
        <v/>
      </c>
      <c r="AZ2951" s="21" t="str">
        <f>IF(AND($AM2951&lt;&gt;"",$AS2951="✓"),SUMPRODUCT(($AM$11:$AM2951&lt;&gt;"")*($AS$11:$AS2951="✓")),"")</f>
        <v/>
      </c>
      <c r="BA2951" s="21" t="str">
        <f>IF($AL2951="","",$AL2951&amp;"|"&amp;COUNTIF($AL$11:$AL2951,$AL2951))</f>
        <v/>
      </c>
    </row>
    <row r="2952" spans="38:53" ht="15" customHeight="1" x14ac:dyDescent="0.25">
      <c r="AL2952" s="31"/>
      <c r="AM2952" s="26"/>
      <c r="AN2952" s="32"/>
      <c r="AO2952" s="32"/>
      <c r="AP2952" s="24"/>
      <c r="AQ2952" s="24"/>
      <c r="AR2952" s="33"/>
      <c r="AS2952" s="34"/>
      <c r="AT2952" s="33"/>
      <c r="AV2952" s="21">
        <f>IF(AND($AL2952&lt;&gt;"",COUNTIF($AL$11:$AL2952,$AL2952)=1),1,0)</f>
        <v>0</v>
      </c>
      <c r="AW2952" s="21">
        <f t="shared" si="177"/>
        <v>0</v>
      </c>
      <c r="AX2952" s="21" t="str">
        <f t="shared" si="176"/>
        <v/>
      </c>
      <c r="AY2952" s="21" t="str">
        <f>IF(AND($AM2952&lt;&gt;"",$AS2952&lt;&gt;"✓"),SUMPRODUCT(($AM$11:$AM2952&lt;&gt;"")*($AS$11:$AS2952&lt;&gt;"✓")),"")</f>
        <v/>
      </c>
      <c r="AZ2952" s="21" t="str">
        <f>IF(AND($AM2952&lt;&gt;"",$AS2952="✓"),SUMPRODUCT(($AM$11:$AM2952&lt;&gt;"")*($AS$11:$AS2952="✓")),"")</f>
        <v/>
      </c>
      <c r="BA2952" s="21" t="str">
        <f>IF($AL2952="","",$AL2952&amp;"|"&amp;COUNTIF($AL$11:$AL2952,$AL2952))</f>
        <v/>
      </c>
    </row>
    <row r="2953" spans="38:53" ht="15" customHeight="1" x14ac:dyDescent="0.25">
      <c r="AL2953" s="17"/>
      <c r="AM2953" s="12"/>
      <c r="AN2953" s="18"/>
      <c r="AO2953" s="18"/>
      <c r="AP2953" s="10"/>
      <c r="AQ2953" s="10"/>
      <c r="AR2953" s="19"/>
      <c r="AS2953" s="20"/>
      <c r="AT2953" s="19"/>
      <c r="AV2953" s="21">
        <f>IF(AND($AL2953&lt;&gt;"",COUNTIF($AL$11:$AL2953,$AL2953)=1),1,0)</f>
        <v>0</v>
      </c>
      <c r="AW2953" s="21">
        <f t="shared" si="177"/>
        <v>0</v>
      </c>
      <c r="AX2953" s="21" t="str">
        <f t="shared" si="176"/>
        <v/>
      </c>
      <c r="AY2953" s="21" t="str">
        <f>IF(AND($AM2953&lt;&gt;"",$AS2953&lt;&gt;"✓"),SUMPRODUCT(($AM$11:$AM2953&lt;&gt;"")*($AS$11:$AS2953&lt;&gt;"✓")),"")</f>
        <v/>
      </c>
      <c r="AZ2953" s="21" t="str">
        <f>IF(AND($AM2953&lt;&gt;"",$AS2953="✓"),SUMPRODUCT(($AM$11:$AM2953&lt;&gt;"")*($AS$11:$AS2953="✓")),"")</f>
        <v/>
      </c>
      <c r="BA2953" s="21" t="str">
        <f>IF($AL2953="","",$AL2953&amp;"|"&amp;COUNTIF($AL$11:$AL2953,$AL2953))</f>
        <v/>
      </c>
    </row>
    <row r="2954" spans="38:53" ht="15" customHeight="1" x14ac:dyDescent="0.25">
      <c r="AL2954" s="31"/>
      <c r="AM2954" s="26"/>
      <c r="AN2954" s="32"/>
      <c r="AO2954" s="32"/>
      <c r="AP2954" s="24"/>
      <c r="AQ2954" s="24"/>
      <c r="AR2954" s="33"/>
      <c r="AS2954" s="34"/>
      <c r="AT2954" s="33"/>
      <c r="AV2954" s="21">
        <f>IF(AND($AL2954&lt;&gt;"",COUNTIF($AL$11:$AL2954,$AL2954)=1),1,0)</f>
        <v>0</v>
      </c>
      <c r="AW2954" s="21">
        <f t="shared" si="177"/>
        <v>0</v>
      </c>
      <c r="AX2954" s="21" t="str">
        <f t="shared" si="176"/>
        <v/>
      </c>
      <c r="AY2954" s="21" t="str">
        <f>IF(AND($AM2954&lt;&gt;"",$AS2954&lt;&gt;"✓"),SUMPRODUCT(($AM$11:$AM2954&lt;&gt;"")*($AS$11:$AS2954&lt;&gt;"✓")),"")</f>
        <v/>
      </c>
      <c r="AZ2954" s="21" t="str">
        <f>IF(AND($AM2954&lt;&gt;"",$AS2954="✓"),SUMPRODUCT(($AM$11:$AM2954&lt;&gt;"")*($AS$11:$AS2954="✓")),"")</f>
        <v/>
      </c>
      <c r="BA2954" s="21" t="str">
        <f>IF($AL2954="","",$AL2954&amp;"|"&amp;COUNTIF($AL$11:$AL2954,$AL2954))</f>
        <v/>
      </c>
    </row>
    <row r="2955" spans="38:53" ht="15" customHeight="1" x14ac:dyDescent="0.25">
      <c r="AL2955" s="17"/>
      <c r="AM2955" s="12"/>
      <c r="AN2955" s="18"/>
      <c r="AO2955" s="18"/>
      <c r="AP2955" s="10"/>
      <c r="AQ2955" s="10"/>
      <c r="AR2955" s="19"/>
      <c r="AS2955" s="20"/>
      <c r="AT2955" s="19"/>
      <c r="AV2955" s="21">
        <f>IF(AND($AL2955&lt;&gt;"",COUNTIF($AL$11:$AL2955,$AL2955)=1),1,0)</f>
        <v>0</v>
      </c>
      <c r="AW2955" s="21">
        <f t="shared" si="177"/>
        <v>0</v>
      </c>
      <c r="AX2955" s="21" t="str">
        <f t="shared" ref="AX2955:AX3018" si="178">IF(AV2955=1,AW2955,"")</f>
        <v/>
      </c>
      <c r="AY2955" s="21" t="str">
        <f>IF(AND($AM2955&lt;&gt;"",$AS2955&lt;&gt;"✓"),SUMPRODUCT(($AM$11:$AM2955&lt;&gt;"")*($AS$11:$AS2955&lt;&gt;"✓")),"")</f>
        <v/>
      </c>
      <c r="AZ2955" s="21" t="str">
        <f>IF(AND($AM2955&lt;&gt;"",$AS2955="✓"),SUMPRODUCT(($AM$11:$AM2955&lt;&gt;"")*($AS$11:$AS2955="✓")),"")</f>
        <v/>
      </c>
      <c r="BA2955" s="21" t="str">
        <f>IF($AL2955="","",$AL2955&amp;"|"&amp;COUNTIF($AL$11:$AL2955,$AL2955))</f>
        <v/>
      </c>
    </row>
    <row r="2956" spans="38:53" ht="15" customHeight="1" x14ac:dyDescent="0.25">
      <c r="AL2956" s="31"/>
      <c r="AM2956" s="26"/>
      <c r="AN2956" s="32"/>
      <c r="AO2956" s="32"/>
      <c r="AP2956" s="24"/>
      <c r="AQ2956" s="24"/>
      <c r="AR2956" s="33"/>
      <c r="AS2956" s="34"/>
      <c r="AT2956" s="33"/>
      <c r="AV2956" s="21">
        <f>IF(AND($AL2956&lt;&gt;"",COUNTIF($AL$11:$AL2956,$AL2956)=1),1,0)</f>
        <v>0</v>
      </c>
      <c r="AW2956" s="21">
        <f t="shared" ref="AW2956:AW3019" si="179">AW2955+AV2956</f>
        <v>0</v>
      </c>
      <c r="AX2956" s="21" t="str">
        <f t="shared" si="178"/>
        <v/>
      </c>
      <c r="AY2956" s="21" t="str">
        <f>IF(AND($AM2956&lt;&gt;"",$AS2956&lt;&gt;"✓"),SUMPRODUCT(($AM$11:$AM2956&lt;&gt;"")*($AS$11:$AS2956&lt;&gt;"✓")),"")</f>
        <v/>
      </c>
      <c r="AZ2956" s="21" t="str">
        <f>IF(AND($AM2956&lt;&gt;"",$AS2956="✓"),SUMPRODUCT(($AM$11:$AM2956&lt;&gt;"")*($AS$11:$AS2956="✓")),"")</f>
        <v/>
      </c>
      <c r="BA2956" s="21" t="str">
        <f>IF($AL2956="","",$AL2956&amp;"|"&amp;COUNTIF($AL$11:$AL2956,$AL2956))</f>
        <v/>
      </c>
    </row>
    <row r="2957" spans="38:53" ht="15" customHeight="1" x14ac:dyDescent="0.25">
      <c r="AL2957" s="17"/>
      <c r="AM2957" s="12"/>
      <c r="AN2957" s="18"/>
      <c r="AO2957" s="18"/>
      <c r="AP2957" s="10"/>
      <c r="AQ2957" s="10"/>
      <c r="AR2957" s="19"/>
      <c r="AS2957" s="20"/>
      <c r="AT2957" s="19"/>
      <c r="AV2957" s="21">
        <f>IF(AND($AL2957&lt;&gt;"",COUNTIF($AL$11:$AL2957,$AL2957)=1),1,0)</f>
        <v>0</v>
      </c>
      <c r="AW2957" s="21">
        <f t="shared" si="179"/>
        <v>0</v>
      </c>
      <c r="AX2957" s="21" t="str">
        <f t="shared" si="178"/>
        <v/>
      </c>
      <c r="AY2957" s="21" t="str">
        <f>IF(AND($AM2957&lt;&gt;"",$AS2957&lt;&gt;"✓"),SUMPRODUCT(($AM$11:$AM2957&lt;&gt;"")*($AS$11:$AS2957&lt;&gt;"✓")),"")</f>
        <v/>
      </c>
      <c r="AZ2957" s="21" t="str">
        <f>IF(AND($AM2957&lt;&gt;"",$AS2957="✓"),SUMPRODUCT(($AM$11:$AM2957&lt;&gt;"")*($AS$11:$AS2957="✓")),"")</f>
        <v/>
      </c>
      <c r="BA2957" s="21" t="str">
        <f>IF($AL2957="","",$AL2957&amp;"|"&amp;COUNTIF($AL$11:$AL2957,$AL2957))</f>
        <v/>
      </c>
    </row>
    <row r="2958" spans="38:53" ht="15" customHeight="1" x14ac:dyDescent="0.25">
      <c r="AL2958" s="31"/>
      <c r="AM2958" s="26"/>
      <c r="AN2958" s="32"/>
      <c r="AO2958" s="32"/>
      <c r="AP2958" s="24"/>
      <c r="AQ2958" s="24"/>
      <c r="AR2958" s="33"/>
      <c r="AS2958" s="34"/>
      <c r="AT2958" s="33"/>
      <c r="AV2958" s="21">
        <f>IF(AND($AL2958&lt;&gt;"",COUNTIF($AL$11:$AL2958,$AL2958)=1),1,0)</f>
        <v>0</v>
      </c>
      <c r="AW2958" s="21">
        <f t="shared" si="179"/>
        <v>0</v>
      </c>
      <c r="AX2958" s="21" t="str">
        <f t="shared" si="178"/>
        <v/>
      </c>
      <c r="AY2958" s="21" t="str">
        <f>IF(AND($AM2958&lt;&gt;"",$AS2958&lt;&gt;"✓"),SUMPRODUCT(($AM$11:$AM2958&lt;&gt;"")*($AS$11:$AS2958&lt;&gt;"✓")),"")</f>
        <v/>
      </c>
      <c r="AZ2958" s="21" t="str">
        <f>IF(AND($AM2958&lt;&gt;"",$AS2958="✓"),SUMPRODUCT(($AM$11:$AM2958&lt;&gt;"")*($AS$11:$AS2958="✓")),"")</f>
        <v/>
      </c>
      <c r="BA2958" s="21" t="str">
        <f>IF($AL2958="","",$AL2958&amp;"|"&amp;COUNTIF($AL$11:$AL2958,$AL2958))</f>
        <v/>
      </c>
    </row>
    <row r="2959" spans="38:53" ht="15" customHeight="1" x14ac:dyDescent="0.25">
      <c r="AL2959" s="17"/>
      <c r="AM2959" s="12"/>
      <c r="AN2959" s="18"/>
      <c r="AO2959" s="18"/>
      <c r="AP2959" s="10"/>
      <c r="AQ2959" s="10"/>
      <c r="AR2959" s="19"/>
      <c r="AS2959" s="20"/>
      <c r="AT2959" s="19"/>
      <c r="AV2959" s="21">
        <f>IF(AND($AL2959&lt;&gt;"",COUNTIF($AL$11:$AL2959,$AL2959)=1),1,0)</f>
        <v>0</v>
      </c>
      <c r="AW2959" s="21">
        <f t="shared" si="179"/>
        <v>0</v>
      </c>
      <c r="AX2959" s="21" t="str">
        <f t="shared" si="178"/>
        <v/>
      </c>
      <c r="AY2959" s="21" t="str">
        <f>IF(AND($AM2959&lt;&gt;"",$AS2959&lt;&gt;"✓"),SUMPRODUCT(($AM$11:$AM2959&lt;&gt;"")*($AS$11:$AS2959&lt;&gt;"✓")),"")</f>
        <v/>
      </c>
      <c r="AZ2959" s="21" t="str">
        <f>IF(AND($AM2959&lt;&gt;"",$AS2959="✓"),SUMPRODUCT(($AM$11:$AM2959&lt;&gt;"")*($AS$11:$AS2959="✓")),"")</f>
        <v/>
      </c>
      <c r="BA2959" s="21" t="str">
        <f>IF($AL2959="","",$AL2959&amp;"|"&amp;COUNTIF($AL$11:$AL2959,$AL2959))</f>
        <v/>
      </c>
    </row>
    <row r="2960" spans="38:53" ht="15" customHeight="1" x14ac:dyDescent="0.25">
      <c r="AL2960" s="31"/>
      <c r="AM2960" s="26"/>
      <c r="AN2960" s="32"/>
      <c r="AO2960" s="32"/>
      <c r="AP2960" s="24"/>
      <c r="AQ2960" s="24"/>
      <c r="AR2960" s="33"/>
      <c r="AS2960" s="34"/>
      <c r="AT2960" s="33"/>
      <c r="AV2960" s="21">
        <f>IF(AND($AL2960&lt;&gt;"",COUNTIF($AL$11:$AL2960,$AL2960)=1),1,0)</f>
        <v>0</v>
      </c>
      <c r="AW2960" s="21">
        <f t="shared" si="179"/>
        <v>0</v>
      </c>
      <c r="AX2960" s="21" t="str">
        <f t="shared" si="178"/>
        <v/>
      </c>
      <c r="AY2960" s="21" t="str">
        <f>IF(AND($AM2960&lt;&gt;"",$AS2960&lt;&gt;"✓"),SUMPRODUCT(($AM$11:$AM2960&lt;&gt;"")*($AS$11:$AS2960&lt;&gt;"✓")),"")</f>
        <v/>
      </c>
      <c r="AZ2960" s="21" t="str">
        <f>IF(AND($AM2960&lt;&gt;"",$AS2960="✓"),SUMPRODUCT(($AM$11:$AM2960&lt;&gt;"")*($AS$11:$AS2960="✓")),"")</f>
        <v/>
      </c>
      <c r="BA2960" s="21" t="str">
        <f>IF($AL2960="","",$AL2960&amp;"|"&amp;COUNTIF($AL$11:$AL2960,$AL2960))</f>
        <v/>
      </c>
    </row>
    <row r="2961" spans="38:53" ht="15" customHeight="1" x14ac:dyDescent="0.25">
      <c r="AL2961" s="17"/>
      <c r="AM2961" s="12"/>
      <c r="AN2961" s="18"/>
      <c r="AO2961" s="18"/>
      <c r="AP2961" s="10"/>
      <c r="AQ2961" s="10"/>
      <c r="AR2961" s="19"/>
      <c r="AS2961" s="20"/>
      <c r="AT2961" s="19"/>
      <c r="AV2961" s="21">
        <f>IF(AND($AL2961&lt;&gt;"",COUNTIF($AL$11:$AL2961,$AL2961)=1),1,0)</f>
        <v>0</v>
      </c>
      <c r="AW2961" s="21">
        <f t="shared" si="179"/>
        <v>0</v>
      </c>
      <c r="AX2961" s="21" t="str">
        <f t="shared" si="178"/>
        <v/>
      </c>
      <c r="AY2961" s="21" t="str">
        <f>IF(AND($AM2961&lt;&gt;"",$AS2961&lt;&gt;"✓"),SUMPRODUCT(($AM$11:$AM2961&lt;&gt;"")*($AS$11:$AS2961&lt;&gt;"✓")),"")</f>
        <v/>
      </c>
      <c r="AZ2961" s="21" t="str">
        <f>IF(AND($AM2961&lt;&gt;"",$AS2961="✓"),SUMPRODUCT(($AM$11:$AM2961&lt;&gt;"")*($AS$11:$AS2961="✓")),"")</f>
        <v/>
      </c>
      <c r="BA2961" s="21" t="str">
        <f>IF($AL2961="","",$AL2961&amp;"|"&amp;COUNTIF($AL$11:$AL2961,$AL2961))</f>
        <v/>
      </c>
    </row>
    <row r="2962" spans="38:53" ht="15" customHeight="1" x14ac:dyDescent="0.25">
      <c r="AL2962" s="31"/>
      <c r="AM2962" s="26"/>
      <c r="AN2962" s="32"/>
      <c r="AO2962" s="32"/>
      <c r="AP2962" s="24"/>
      <c r="AQ2962" s="24"/>
      <c r="AR2962" s="33"/>
      <c r="AS2962" s="34"/>
      <c r="AT2962" s="33"/>
      <c r="AV2962" s="21">
        <f>IF(AND($AL2962&lt;&gt;"",COUNTIF($AL$11:$AL2962,$AL2962)=1),1,0)</f>
        <v>0</v>
      </c>
      <c r="AW2962" s="21">
        <f t="shared" si="179"/>
        <v>0</v>
      </c>
      <c r="AX2962" s="21" t="str">
        <f t="shared" si="178"/>
        <v/>
      </c>
      <c r="AY2962" s="21" t="str">
        <f>IF(AND($AM2962&lt;&gt;"",$AS2962&lt;&gt;"✓"),SUMPRODUCT(($AM$11:$AM2962&lt;&gt;"")*($AS$11:$AS2962&lt;&gt;"✓")),"")</f>
        <v/>
      </c>
      <c r="AZ2962" s="21" t="str">
        <f>IF(AND($AM2962&lt;&gt;"",$AS2962="✓"),SUMPRODUCT(($AM$11:$AM2962&lt;&gt;"")*($AS$11:$AS2962="✓")),"")</f>
        <v/>
      </c>
      <c r="BA2962" s="21" t="str">
        <f>IF($AL2962="","",$AL2962&amp;"|"&amp;COUNTIF($AL$11:$AL2962,$AL2962))</f>
        <v/>
      </c>
    </row>
    <row r="2963" spans="38:53" ht="15" customHeight="1" x14ac:dyDescent="0.25">
      <c r="AL2963" s="17"/>
      <c r="AM2963" s="12"/>
      <c r="AN2963" s="18"/>
      <c r="AO2963" s="18"/>
      <c r="AP2963" s="10"/>
      <c r="AQ2963" s="10"/>
      <c r="AR2963" s="19"/>
      <c r="AS2963" s="20"/>
      <c r="AT2963" s="19"/>
      <c r="AV2963" s="21">
        <f>IF(AND($AL2963&lt;&gt;"",COUNTIF($AL$11:$AL2963,$AL2963)=1),1,0)</f>
        <v>0</v>
      </c>
      <c r="AW2963" s="21">
        <f t="shared" si="179"/>
        <v>0</v>
      </c>
      <c r="AX2963" s="21" t="str">
        <f t="shared" si="178"/>
        <v/>
      </c>
      <c r="AY2963" s="21" t="str">
        <f>IF(AND($AM2963&lt;&gt;"",$AS2963&lt;&gt;"✓"),SUMPRODUCT(($AM$11:$AM2963&lt;&gt;"")*($AS$11:$AS2963&lt;&gt;"✓")),"")</f>
        <v/>
      </c>
      <c r="AZ2963" s="21" t="str">
        <f>IF(AND($AM2963&lt;&gt;"",$AS2963="✓"),SUMPRODUCT(($AM$11:$AM2963&lt;&gt;"")*($AS$11:$AS2963="✓")),"")</f>
        <v/>
      </c>
      <c r="BA2963" s="21" t="str">
        <f>IF($AL2963="","",$AL2963&amp;"|"&amp;COUNTIF($AL$11:$AL2963,$AL2963))</f>
        <v/>
      </c>
    </row>
    <row r="2964" spans="38:53" ht="15" customHeight="1" x14ac:dyDescent="0.25">
      <c r="AL2964" s="31"/>
      <c r="AM2964" s="26"/>
      <c r="AN2964" s="32"/>
      <c r="AO2964" s="32"/>
      <c r="AP2964" s="24"/>
      <c r="AQ2964" s="24"/>
      <c r="AR2964" s="33"/>
      <c r="AS2964" s="34"/>
      <c r="AT2964" s="33"/>
      <c r="AV2964" s="21">
        <f>IF(AND($AL2964&lt;&gt;"",COUNTIF($AL$11:$AL2964,$AL2964)=1),1,0)</f>
        <v>0</v>
      </c>
      <c r="AW2964" s="21">
        <f t="shared" si="179"/>
        <v>0</v>
      </c>
      <c r="AX2964" s="21" t="str">
        <f t="shared" si="178"/>
        <v/>
      </c>
      <c r="AY2964" s="21" t="str">
        <f>IF(AND($AM2964&lt;&gt;"",$AS2964&lt;&gt;"✓"),SUMPRODUCT(($AM$11:$AM2964&lt;&gt;"")*($AS$11:$AS2964&lt;&gt;"✓")),"")</f>
        <v/>
      </c>
      <c r="AZ2964" s="21" t="str">
        <f>IF(AND($AM2964&lt;&gt;"",$AS2964="✓"),SUMPRODUCT(($AM$11:$AM2964&lt;&gt;"")*($AS$11:$AS2964="✓")),"")</f>
        <v/>
      </c>
      <c r="BA2964" s="21" t="str">
        <f>IF($AL2964="","",$AL2964&amp;"|"&amp;COUNTIF($AL$11:$AL2964,$AL2964))</f>
        <v/>
      </c>
    </row>
    <row r="2965" spans="38:53" ht="15" customHeight="1" x14ac:dyDescent="0.25">
      <c r="AL2965" s="17"/>
      <c r="AM2965" s="12"/>
      <c r="AN2965" s="18"/>
      <c r="AO2965" s="18"/>
      <c r="AP2965" s="10"/>
      <c r="AQ2965" s="10"/>
      <c r="AR2965" s="19"/>
      <c r="AS2965" s="20"/>
      <c r="AT2965" s="19"/>
      <c r="AV2965" s="21">
        <f>IF(AND($AL2965&lt;&gt;"",COUNTIF($AL$11:$AL2965,$AL2965)=1),1,0)</f>
        <v>0</v>
      </c>
      <c r="AW2965" s="21">
        <f t="shared" si="179"/>
        <v>0</v>
      </c>
      <c r="AX2965" s="21" t="str">
        <f t="shared" si="178"/>
        <v/>
      </c>
      <c r="AY2965" s="21" t="str">
        <f>IF(AND($AM2965&lt;&gt;"",$AS2965&lt;&gt;"✓"),SUMPRODUCT(($AM$11:$AM2965&lt;&gt;"")*($AS$11:$AS2965&lt;&gt;"✓")),"")</f>
        <v/>
      </c>
      <c r="AZ2965" s="21" t="str">
        <f>IF(AND($AM2965&lt;&gt;"",$AS2965="✓"),SUMPRODUCT(($AM$11:$AM2965&lt;&gt;"")*($AS$11:$AS2965="✓")),"")</f>
        <v/>
      </c>
      <c r="BA2965" s="21" t="str">
        <f>IF($AL2965="","",$AL2965&amp;"|"&amp;COUNTIF($AL$11:$AL2965,$AL2965))</f>
        <v/>
      </c>
    </row>
    <row r="2966" spans="38:53" ht="15" customHeight="1" x14ac:dyDescent="0.25">
      <c r="AL2966" s="31"/>
      <c r="AM2966" s="26"/>
      <c r="AN2966" s="32"/>
      <c r="AO2966" s="32"/>
      <c r="AP2966" s="24"/>
      <c r="AQ2966" s="24"/>
      <c r="AR2966" s="33"/>
      <c r="AS2966" s="34"/>
      <c r="AT2966" s="33"/>
      <c r="AV2966" s="21">
        <f>IF(AND($AL2966&lt;&gt;"",COUNTIF($AL$11:$AL2966,$AL2966)=1),1,0)</f>
        <v>0</v>
      </c>
      <c r="AW2966" s="21">
        <f t="shared" si="179"/>
        <v>0</v>
      </c>
      <c r="AX2966" s="21" t="str">
        <f t="shared" si="178"/>
        <v/>
      </c>
      <c r="AY2966" s="21" t="str">
        <f>IF(AND($AM2966&lt;&gt;"",$AS2966&lt;&gt;"✓"),SUMPRODUCT(($AM$11:$AM2966&lt;&gt;"")*($AS$11:$AS2966&lt;&gt;"✓")),"")</f>
        <v/>
      </c>
      <c r="AZ2966" s="21" t="str">
        <f>IF(AND($AM2966&lt;&gt;"",$AS2966="✓"),SUMPRODUCT(($AM$11:$AM2966&lt;&gt;"")*($AS$11:$AS2966="✓")),"")</f>
        <v/>
      </c>
      <c r="BA2966" s="21" t="str">
        <f>IF($AL2966="","",$AL2966&amp;"|"&amp;COUNTIF($AL$11:$AL2966,$AL2966))</f>
        <v/>
      </c>
    </row>
    <row r="2967" spans="38:53" ht="15" customHeight="1" x14ac:dyDescent="0.25">
      <c r="AL2967" s="17"/>
      <c r="AM2967" s="12"/>
      <c r="AN2967" s="18"/>
      <c r="AO2967" s="18"/>
      <c r="AP2967" s="10"/>
      <c r="AQ2967" s="10"/>
      <c r="AR2967" s="19"/>
      <c r="AS2967" s="20"/>
      <c r="AT2967" s="19"/>
      <c r="AV2967" s="21">
        <f>IF(AND($AL2967&lt;&gt;"",COUNTIF($AL$11:$AL2967,$AL2967)=1),1,0)</f>
        <v>0</v>
      </c>
      <c r="AW2967" s="21">
        <f t="shared" si="179"/>
        <v>0</v>
      </c>
      <c r="AX2967" s="21" t="str">
        <f t="shared" si="178"/>
        <v/>
      </c>
      <c r="AY2967" s="21" t="str">
        <f>IF(AND($AM2967&lt;&gt;"",$AS2967&lt;&gt;"✓"),SUMPRODUCT(($AM$11:$AM2967&lt;&gt;"")*($AS$11:$AS2967&lt;&gt;"✓")),"")</f>
        <v/>
      </c>
      <c r="AZ2967" s="21" t="str">
        <f>IF(AND($AM2967&lt;&gt;"",$AS2967="✓"),SUMPRODUCT(($AM$11:$AM2967&lt;&gt;"")*($AS$11:$AS2967="✓")),"")</f>
        <v/>
      </c>
      <c r="BA2967" s="21" t="str">
        <f>IF($AL2967="","",$AL2967&amp;"|"&amp;COUNTIF($AL$11:$AL2967,$AL2967))</f>
        <v/>
      </c>
    </row>
    <row r="2968" spans="38:53" ht="15" customHeight="1" x14ac:dyDescent="0.25">
      <c r="AL2968" s="31"/>
      <c r="AM2968" s="26"/>
      <c r="AN2968" s="32"/>
      <c r="AO2968" s="32"/>
      <c r="AP2968" s="24"/>
      <c r="AQ2968" s="24"/>
      <c r="AR2968" s="33"/>
      <c r="AS2968" s="34"/>
      <c r="AT2968" s="33"/>
      <c r="AV2968" s="21">
        <f>IF(AND($AL2968&lt;&gt;"",COUNTIF($AL$11:$AL2968,$AL2968)=1),1,0)</f>
        <v>0</v>
      </c>
      <c r="AW2968" s="21">
        <f t="shared" si="179"/>
        <v>0</v>
      </c>
      <c r="AX2968" s="21" t="str">
        <f t="shared" si="178"/>
        <v/>
      </c>
      <c r="AY2968" s="21" t="str">
        <f>IF(AND($AM2968&lt;&gt;"",$AS2968&lt;&gt;"✓"),SUMPRODUCT(($AM$11:$AM2968&lt;&gt;"")*($AS$11:$AS2968&lt;&gt;"✓")),"")</f>
        <v/>
      </c>
      <c r="AZ2968" s="21" t="str">
        <f>IF(AND($AM2968&lt;&gt;"",$AS2968="✓"),SUMPRODUCT(($AM$11:$AM2968&lt;&gt;"")*($AS$11:$AS2968="✓")),"")</f>
        <v/>
      </c>
      <c r="BA2968" s="21" t="str">
        <f>IF($AL2968="","",$AL2968&amp;"|"&amp;COUNTIF($AL$11:$AL2968,$AL2968))</f>
        <v/>
      </c>
    </row>
    <row r="2969" spans="38:53" ht="15" customHeight="1" x14ac:dyDescent="0.25">
      <c r="AL2969" s="17"/>
      <c r="AM2969" s="12"/>
      <c r="AN2969" s="18"/>
      <c r="AO2969" s="18"/>
      <c r="AP2969" s="10"/>
      <c r="AQ2969" s="10"/>
      <c r="AR2969" s="19"/>
      <c r="AS2969" s="20"/>
      <c r="AT2969" s="19"/>
      <c r="AV2969" s="21">
        <f>IF(AND($AL2969&lt;&gt;"",COUNTIF($AL$11:$AL2969,$AL2969)=1),1,0)</f>
        <v>0</v>
      </c>
      <c r="AW2969" s="21">
        <f t="shared" si="179"/>
        <v>0</v>
      </c>
      <c r="AX2969" s="21" t="str">
        <f t="shared" si="178"/>
        <v/>
      </c>
      <c r="AY2969" s="21" t="str">
        <f>IF(AND($AM2969&lt;&gt;"",$AS2969&lt;&gt;"✓"),SUMPRODUCT(($AM$11:$AM2969&lt;&gt;"")*($AS$11:$AS2969&lt;&gt;"✓")),"")</f>
        <v/>
      </c>
      <c r="AZ2969" s="21" t="str">
        <f>IF(AND($AM2969&lt;&gt;"",$AS2969="✓"),SUMPRODUCT(($AM$11:$AM2969&lt;&gt;"")*($AS$11:$AS2969="✓")),"")</f>
        <v/>
      </c>
      <c r="BA2969" s="21" t="str">
        <f>IF($AL2969="","",$AL2969&amp;"|"&amp;COUNTIF($AL$11:$AL2969,$AL2969))</f>
        <v/>
      </c>
    </row>
    <row r="2970" spans="38:53" ht="15" customHeight="1" x14ac:dyDescent="0.25">
      <c r="AL2970" s="31"/>
      <c r="AM2970" s="26"/>
      <c r="AN2970" s="32"/>
      <c r="AO2970" s="32"/>
      <c r="AP2970" s="24"/>
      <c r="AQ2970" s="24"/>
      <c r="AR2970" s="33"/>
      <c r="AS2970" s="34"/>
      <c r="AT2970" s="33"/>
      <c r="AV2970" s="21">
        <f>IF(AND($AL2970&lt;&gt;"",COUNTIF($AL$11:$AL2970,$AL2970)=1),1,0)</f>
        <v>0</v>
      </c>
      <c r="AW2970" s="21">
        <f t="shared" si="179"/>
        <v>0</v>
      </c>
      <c r="AX2970" s="21" t="str">
        <f t="shared" si="178"/>
        <v/>
      </c>
      <c r="AY2970" s="21" t="str">
        <f>IF(AND($AM2970&lt;&gt;"",$AS2970&lt;&gt;"✓"),SUMPRODUCT(($AM$11:$AM2970&lt;&gt;"")*($AS$11:$AS2970&lt;&gt;"✓")),"")</f>
        <v/>
      </c>
      <c r="AZ2970" s="21" t="str">
        <f>IF(AND($AM2970&lt;&gt;"",$AS2970="✓"),SUMPRODUCT(($AM$11:$AM2970&lt;&gt;"")*($AS$11:$AS2970="✓")),"")</f>
        <v/>
      </c>
      <c r="BA2970" s="21" t="str">
        <f>IF($AL2970="","",$AL2970&amp;"|"&amp;COUNTIF($AL$11:$AL2970,$AL2970))</f>
        <v/>
      </c>
    </row>
    <row r="2971" spans="38:53" ht="15" customHeight="1" x14ac:dyDescent="0.25">
      <c r="AL2971" s="17"/>
      <c r="AM2971" s="12"/>
      <c r="AN2971" s="18"/>
      <c r="AO2971" s="18"/>
      <c r="AP2971" s="10"/>
      <c r="AQ2971" s="10"/>
      <c r="AR2971" s="19"/>
      <c r="AS2971" s="20"/>
      <c r="AT2971" s="19"/>
      <c r="AV2971" s="21">
        <f>IF(AND($AL2971&lt;&gt;"",COUNTIF($AL$11:$AL2971,$AL2971)=1),1,0)</f>
        <v>0</v>
      </c>
      <c r="AW2971" s="21">
        <f t="shared" si="179"/>
        <v>0</v>
      </c>
      <c r="AX2971" s="21" t="str">
        <f t="shared" si="178"/>
        <v/>
      </c>
      <c r="AY2971" s="21" t="str">
        <f>IF(AND($AM2971&lt;&gt;"",$AS2971&lt;&gt;"✓"),SUMPRODUCT(($AM$11:$AM2971&lt;&gt;"")*($AS$11:$AS2971&lt;&gt;"✓")),"")</f>
        <v/>
      </c>
      <c r="AZ2971" s="21" t="str">
        <f>IF(AND($AM2971&lt;&gt;"",$AS2971="✓"),SUMPRODUCT(($AM$11:$AM2971&lt;&gt;"")*($AS$11:$AS2971="✓")),"")</f>
        <v/>
      </c>
      <c r="BA2971" s="21" t="str">
        <f>IF($AL2971="","",$AL2971&amp;"|"&amp;COUNTIF($AL$11:$AL2971,$AL2971))</f>
        <v/>
      </c>
    </row>
    <row r="2972" spans="38:53" ht="15" customHeight="1" x14ac:dyDescent="0.25">
      <c r="AL2972" s="31"/>
      <c r="AM2972" s="26"/>
      <c r="AN2972" s="32"/>
      <c r="AO2972" s="32"/>
      <c r="AP2972" s="24"/>
      <c r="AQ2972" s="24"/>
      <c r="AR2972" s="33"/>
      <c r="AS2972" s="34"/>
      <c r="AT2972" s="33"/>
      <c r="AV2972" s="21">
        <f>IF(AND($AL2972&lt;&gt;"",COUNTIF($AL$11:$AL2972,$AL2972)=1),1,0)</f>
        <v>0</v>
      </c>
      <c r="AW2972" s="21">
        <f t="shared" si="179"/>
        <v>0</v>
      </c>
      <c r="AX2972" s="21" t="str">
        <f t="shared" si="178"/>
        <v/>
      </c>
      <c r="AY2972" s="21" t="str">
        <f>IF(AND($AM2972&lt;&gt;"",$AS2972&lt;&gt;"✓"),SUMPRODUCT(($AM$11:$AM2972&lt;&gt;"")*($AS$11:$AS2972&lt;&gt;"✓")),"")</f>
        <v/>
      </c>
      <c r="AZ2972" s="21" t="str">
        <f>IF(AND($AM2972&lt;&gt;"",$AS2972="✓"),SUMPRODUCT(($AM$11:$AM2972&lt;&gt;"")*($AS$11:$AS2972="✓")),"")</f>
        <v/>
      </c>
      <c r="BA2972" s="21" t="str">
        <f>IF($AL2972="","",$AL2972&amp;"|"&amp;COUNTIF($AL$11:$AL2972,$AL2972))</f>
        <v/>
      </c>
    </row>
    <row r="2973" spans="38:53" ht="15" customHeight="1" x14ac:dyDescent="0.25">
      <c r="AL2973" s="17"/>
      <c r="AM2973" s="12"/>
      <c r="AN2973" s="18"/>
      <c r="AO2973" s="18"/>
      <c r="AP2973" s="10"/>
      <c r="AQ2973" s="10"/>
      <c r="AR2973" s="19"/>
      <c r="AS2973" s="20"/>
      <c r="AT2973" s="19"/>
      <c r="AV2973" s="21">
        <f>IF(AND($AL2973&lt;&gt;"",COUNTIF($AL$11:$AL2973,$AL2973)=1),1,0)</f>
        <v>0</v>
      </c>
      <c r="AW2973" s="21">
        <f t="shared" si="179"/>
        <v>0</v>
      </c>
      <c r="AX2973" s="21" t="str">
        <f t="shared" si="178"/>
        <v/>
      </c>
      <c r="AY2973" s="21" t="str">
        <f>IF(AND($AM2973&lt;&gt;"",$AS2973&lt;&gt;"✓"),SUMPRODUCT(($AM$11:$AM2973&lt;&gt;"")*($AS$11:$AS2973&lt;&gt;"✓")),"")</f>
        <v/>
      </c>
      <c r="AZ2973" s="21" t="str">
        <f>IF(AND($AM2973&lt;&gt;"",$AS2973="✓"),SUMPRODUCT(($AM$11:$AM2973&lt;&gt;"")*($AS$11:$AS2973="✓")),"")</f>
        <v/>
      </c>
      <c r="BA2973" s="21" t="str">
        <f>IF($AL2973="","",$AL2973&amp;"|"&amp;COUNTIF($AL$11:$AL2973,$AL2973))</f>
        <v/>
      </c>
    </row>
    <row r="2974" spans="38:53" ht="15" customHeight="1" x14ac:dyDescent="0.25">
      <c r="AL2974" s="31"/>
      <c r="AM2974" s="26"/>
      <c r="AN2974" s="32"/>
      <c r="AO2974" s="32"/>
      <c r="AP2974" s="24"/>
      <c r="AQ2974" s="24"/>
      <c r="AR2974" s="33"/>
      <c r="AS2974" s="34"/>
      <c r="AT2974" s="33"/>
      <c r="AV2974" s="21">
        <f>IF(AND($AL2974&lt;&gt;"",COUNTIF($AL$11:$AL2974,$AL2974)=1),1,0)</f>
        <v>0</v>
      </c>
      <c r="AW2974" s="21">
        <f t="shared" si="179"/>
        <v>0</v>
      </c>
      <c r="AX2974" s="21" t="str">
        <f t="shared" si="178"/>
        <v/>
      </c>
      <c r="AY2974" s="21" t="str">
        <f>IF(AND($AM2974&lt;&gt;"",$AS2974&lt;&gt;"✓"),SUMPRODUCT(($AM$11:$AM2974&lt;&gt;"")*($AS$11:$AS2974&lt;&gt;"✓")),"")</f>
        <v/>
      </c>
      <c r="AZ2974" s="21" t="str">
        <f>IF(AND($AM2974&lt;&gt;"",$AS2974="✓"),SUMPRODUCT(($AM$11:$AM2974&lt;&gt;"")*($AS$11:$AS2974="✓")),"")</f>
        <v/>
      </c>
      <c r="BA2974" s="21" t="str">
        <f>IF($AL2974="","",$AL2974&amp;"|"&amp;COUNTIF($AL$11:$AL2974,$AL2974))</f>
        <v/>
      </c>
    </row>
    <row r="2975" spans="38:53" ht="15" customHeight="1" x14ac:dyDescent="0.25">
      <c r="AL2975" s="17"/>
      <c r="AM2975" s="12"/>
      <c r="AN2975" s="18"/>
      <c r="AO2975" s="18"/>
      <c r="AP2975" s="10"/>
      <c r="AQ2975" s="10"/>
      <c r="AR2975" s="19"/>
      <c r="AS2975" s="20"/>
      <c r="AT2975" s="19"/>
      <c r="AV2975" s="21">
        <f>IF(AND($AL2975&lt;&gt;"",COUNTIF($AL$11:$AL2975,$AL2975)=1),1,0)</f>
        <v>0</v>
      </c>
      <c r="AW2975" s="21">
        <f t="shared" si="179"/>
        <v>0</v>
      </c>
      <c r="AX2975" s="21" t="str">
        <f t="shared" si="178"/>
        <v/>
      </c>
      <c r="AY2975" s="21" t="str">
        <f>IF(AND($AM2975&lt;&gt;"",$AS2975&lt;&gt;"✓"),SUMPRODUCT(($AM$11:$AM2975&lt;&gt;"")*($AS$11:$AS2975&lt;&gt;"✓")),"")</f>
        <v/>
      </c>
      <c r="AZ2975" s="21" t="str">
        <f>IF(AND($AM2975&lt;&gt;"",$AS2975="✓"),SUMPRODUCT(($AM$11:$AM2975&lt;&gt;"")*($AS$11:$AS2975="✓")),"")</f>
        <v/>
      </c>
      <c r="BA2975" s="21" t="str">
        <f>IF($AL2975="","",$AL2975&amp;"|"&amp;COUNTIF($AL$11:$AL2975,$AL2975))</f>
        <v/>
      </c>
    </row>
    <row r="2976" spans="38:53" ht="15" customHeight="1" x14ac:dyDescent="0.25">
      <c r="AL2976" s="31"/>
      <c r="AM2976" s="26"/>
      <c r="AN2976" s="32"/>
      <c r="AO2976" s="32"/>
      <c r="AP2976" s="24"/>
      <c r="AQ2976" s="24"/>
      <c r="AR2976" s="33"/>
      <c r="AS2976" s="34"/>
      <c r="AT2976" s="33"/>
      <c r="AV2976" s="21">
        <f>IF(AND($AL2976&lt;&gt;"",COUNTIF($AL$11:$AL2976,$AL2976)=1),1,0)</f>
        <v>0</v>
      </c>
      <c r="AW2976" s="21">
        <f t="shared" si="179"/>
        <v>0</v>
      </c>
      <c r="AX2976" s="21" t="str">
        <f t="shared" si="178"/>
        <v/>
      </c>
      <c r="AY2976" s="21" t="str">
        <f>IF(AND($AM2976&lt;&gt;"",$AS2976&lt;&gt;"✓"),SUMPRODUCT(($AM$11:$AM2976&lt;&gt;"")*($AS$11:$AS2976&lt;&gt;"✓")),"")</f>
        <v/>
      </c>
      <c r="AZ2976" s="21" t="str">
        <f>IF(AND($AM2976&lt;&gt;"",$AS2976="✓"),SUMPRODUCT(($AM$11:$AM2976&lt;&gt;"")*($AS$11:$AS2976="✓")),"")</f>
        <v/>
      </c>
      <c r="BA2976" s="21" t="str">
        <f>IF($AL2976="","",$AL2976&amp;"|"&amp;COUNTIF($AL$11:$AL2976,$AL2976))</f>
        <v/>
      </c>
    </row>
    <row r="2977" spans="38:53" ht="15" customHeight="1" x14ac:dyDescent="0.25">
      <c r="AL2977" s="17"/>
      <c r="AM2977" s="12"/>
      <c r="AN2977" s="18"/>
      <c r="AO2977" s="18"/>
      <c r="AP2977" s="10"/>
      <c r="AQ2977" s="10"/>
      <c r="AR2977" s="19"/>
      <c r="AS2977" s="20"/>
      <c r="AT2977" s="19"/>
      <c r="AV2977" s="21">
        <f>IF(AND($AL2977&lt;&gt;"",COUNTIF($AL$11:$AL2977,$AL2977)=1),1,0)</f>
        <v>0</v>
      </c>
      <c r="AW2977" s="21">
        <f t="shared" si="179"/>
        <v>0</v>
      </c>
      <c r="AX2977" s="21" t="str">
        <f t="shared" si="178"/>
        <v/>
      </c>
      <c r="AY2977" s="21" t="str">
        <f>IF(AND($AM2977&lt;&gt;"",$AS2977&lt;&gt;"✓"),SUMPRODUCT(($AM$11:$AM2977&lt;&gt;"")*($AS$11:$AS2977&lt;&gt;"✓")),"")</f>
        <v/>
      </c>
      <c r="AZ2977" s="21" t="str">
        <f>IF(AND($AM2977&lt;&gt;"",$AS2977="✓"),SUMPRODUCT(($AM$11:$AM2977&lt;&gt;"")*($AS$11:$AS2977="✓")),"")</f>
        <v/>
      </c>
      <c r="BA2977" s="21" t="str">
        <f>IF($AL2977="","",$AL2977&amp;"|"&amp;COUNTIF($AL$11:$AL2977,$AL2977))</f>
        <v/>
      </c>
    </row>
    <row r="2978" spans="38:53" ht="15" customHeight="1" x14ac:dyDescent="0.25">
      <c r="AL2978" s="31"/>
      <c r="AM2978" s="26"/>
      <c r="AN2978" s="32"/>
      <c r="AO2978" s="32"/>
      <c r="AP2978" s="24"/>
      <c r="AQ2978" s="24"/>
      <c r="AR2978" s="33"/>
      <c r="AS2978" s="34"/>
      <c r="AT2978" s="33"/>
      <c r="AV2978" s="21">
        <f>IF(AND($AL2978&lt;&gt;"",COUNTIF($AL$11:$AL2978,$AL2978)=1),1,0)</f>
        <v>0</v>
      </c>
      <c r="AW2978" s="21">
        <f t="shared" si="179"/>
        <v>0</v>
      </c>
      <c r="AX2978" s="21" t="str">
        <f t="shared" si="178"/>
        <v/>
      </c>
      <c r="AY2978" s="21" t="str">
        <f>IF(AND($AM2978&lt;&gt;"",$AS2978&lt;&gt;"✓"),SUMPRODUCT(($AM$11:$AM2978&lt;&gt;"")*($AS$11:$AS2978&lt;&gt;"✓")),"")</f>
        <v/>
      </c>
      <c r="AZ2978" s="21" t="str">
        <f>IF(AND($AM2978&lt;&gt;"",$AS2978="✓"),SUMPRODUCT(($AM$11:$AM2978&lt;&gt;"")*($AS$11:$AS2978="✓")),"")</f>
        <v/>
      </c>
      <c r="BA2978" s="21" t="str">
        <f>IF($AL2978="","",$AL2978&amp;"|"&amp;COUNTIF($AL$11:$AL2978,$AL2978))</f>
        <v/>
      </c>
    </row>
    <row r="2979" spans="38:53" ht="15" customHeight="1" x14ac:dyDescent="0.25">
      <c r="AL2979" s="17"/>
      <c r="AM2979" s="12"/>
      <c r="AN2979" s="18"/>
      <c r="AO2979" s="18"/>
      <c r="AP2979" s="10"/>
      <c r="AQ2979" s="10"/>
      <c r="AR2979" s="19"/>
      <c r="AS2979" s="20"/>
      <c r="AT2979" s="19"/>
      <c r="AV2979" s="21">
        <f>IF(AND($AL2979&lt;&gt;"",COUNTIF($AL$11:$AL2979,$AL2979)=1),1,0)</f>
        <v>0</v>
      </c>
      <c r="AW2979" s="21">
        <f t="shared" si="179"/>
        <v>0</v>
      </c>
      <c r="AX2979" s="21" t="str">
        <f t="shared" si="178"/>
        <v/>
      </c>
      <c r="AY2979" s="21" t="str">
        <f>IF(AND($AM2979&lt;&gt;"",$AS2979&lt;&gt;"✓"),SUMPRODUCT(($AM$11:$AM2979&lt;&gt;"")*($AS$11:$AS2979&lt;&gt;"✓")),"")</f>
        <v/>
      </c>
      <c r="AZ2979" s="21" t="str">
        <f>IF(AND($AM2979&lt;&gt;"",$AS2979="✓"),SUMPRODUCT(($AM$11:$AM2979&lt;&gt;"")*($AS$11:$AS2979="✓")),"")</f>
        <v/>
      </c>
      <c r="BA2979" s="21" t="str">
        <f>IF($AL2979="","",$AL2979&amp;"|"&amp;COUNTIF($AL$11:$AL2979,$AL2979))</f>
        <v/>
      </c>
    </row>
    <row r="2980" spans="38:53" ht="15" customHeight="1" x14ac:dyDescent="0.25">
      <c r="AL2980" s="31"/>
      <c r="AM2980" s="26"/>
      <c r="AN2980" s="32"/>
      <c r="AO2980" s="32"/>
      <c r="AP2980" s="24"/>
      <c r="AQ2980" s="24"/>
      <c r="AR2980" s="33"/>
      <c r="AS2980" s="34"/>
      <c r="AT2980" s="33"/>
      <c r="AV2980" s="21">
        <f>IF(AND($AL2980&lt;&gt;"",COUNTIF($AL$11:$AL2980,$AL2980)=1),1,0)</f>
        <v>0</v>
      </c>
      <c r="AW2980" s="21">
        <f t="shared" si="179"/>
        <v>0</v>
      </c>
      <c r="AX2980" s="21" t="str">
        <f t="shared" si="178"/>
        <v/>
      </c>
      <c r="AY2980" s="21" t="str">
        <f>IF(AND($AM2980&lt;&gt;"",$AS2980&lt;&gt;"✓"),SUMPRODUCT(($AM$11:$AM2980&lt;&gt;"")*($AS$11:$AS2980&lt;&gt;"✓")),"")</f>
        <v/>
      </c>
      <c r="AZ2980" s="21" t="str">
        <f>IF(AND($AM2980&lt;&gt;"",$AS2980="✓"),SUMPRODUCT(($AM$11:$AM2980&lt;&gt;"")*($AS$11:$AS2980="✓")),"")</f>
        <v/>
      </c>
      <c r="BA2980" s="21" t="str">
        <f>IF($AL2980="","",$AL2980&amp;"|"&amp;COUNTIF($AL$11:$AL2980,$AL2980))</f>
        <v/>
      </c>
    </row>
    <row r="2981" spans="38:53" ht="15" customHeight="1" x14ac:dyDescent="0.25">
      <c r="AL2981" s="17"/>
      <c r="AM2981" s="12"/>
      <c r="AN2981" s="18"/>
      <c r="AO2981" s="18"/>
      <c r="AP2981" s="10"/>
      <c r="AQ2981" s="10"/>
      <c r="AR2981" s="19"/>
      <c r="AS2981" s="20"/>
      <c r="AT2981" s="19"/>
      <c r="AV2981" s="21">
        <f>IF(AND($AL2981&lt;&gt;"",COUNTIF($AL$11:$AL2981,$AL2981)=1),1,0)</f>
        <v>0</v>
      </c>
      <c r="AW2981" s="21">
        <f t="shared" si="179"/>
        <v>0</v>
      </c>
      <c r="AX2981" s="21" t="str">
        <f t="shared" si="178"/>
        <v/>
      </c>
      <c r="AY2981" s="21" t="str">
        <f>IF(AND($AM2981&lt;&gt;"",$AS2981&lt;&gt;"✓"),SUMPRODUCT(($AM$11:$AM2981&lt;&gt;"")*($AS$11:$AS2981&lt;&gt;"✓")),"")</f>
        <v/>
      </c>
      <c r="AZ2981" s="21" t="str">
        <f>IF(AND($AM2981&lt;&gt;"",$AS2981="✓"),SUMPRODUCT(($AM$11:$AM2981&lt;&gt;"")*($AS$11:$AS2981="✓")),"")</f>
        <v/>
      </c>
      <c r="BA2981" s="21" t="str">
        <f>IF($AL2981="","",$AL2981&amp;"|"&amp;COUNTIF($AL$11:$AL2981,$AL2981))</f>
        <v/>
      </c>
    </row>
    <row r="2982" spans="38:53" ht="15" customHeight="1" x14ac:dyDescent="0.25">
      <c r="AL2982" s="31"/>
      <c r="AM2982" s="26"/>
      <c r="AN2982" s="32"/>
      <c r="AO2982" s="32"/>
      <c r="AP2982" s="24"/>
      <c r="AQ2982" s="24"/>
      <c r="AR2982" s="33"/>
      <c r="AS2982" s="34"/>
      <c r="AT2982" s="33"/>
      <c r="AV2982" s="21">
        <f>IF(AND($AL2982&lt;&gt;"",COUNTIF($AL$11:$AL2982,$AL2982)=1),1,0)</f>
        <v>0</v>
      </c>
      <c r="AW2982" s="21">
        <f t="shared" si="179"/>
        <v>0</v>
      </c>
      <c r="AX2982" s="21" t="str">
        <f t="shared" si="178"/>
        <v/>
      </c>
      <c r="AY2982" s="21" t="str">
        <f>IF(AND($AM2982&lt;&gt;"",$AS2982&lt;&gt;"✓"),SUMPRODUCT(($AM$11:$AM2982&lt;&gt;"")*($AS$11:$AS2982&lt;&gt;"✓")),"")</f>
        <v/>
      </c>
      <c r="AZ2982" s="21" t="str">
        <f>IF(AND($AM2982&lt;&gt;"",$AS2982="✓"),SUMPRODUCT(($AM$11:$AM2982&lt;&gt;"")*($AS$11:$AS2982="✓")),"")</f>
        <v/>
      </c>
      <c r="BA2982" s="21" t="str">
        <f>IF($AL2982="","",$AL2982&amp;"|"&amp;COUNTIF($AL$11:$AL2982,$AL2982))</f>
        <v/>
      </c>
    </row>
    <row r="2983" spans="38:53" ht="15" customHeight="1" x14ac:dyDescent="0.25">
      <c r="AL2983" s="17"/>
      <c r="AM2983" s="12"/>
      <c r="AN2983" s="18"/>
      <c r="AO2983" s="18"/>
      <c r="AP2983" s="10"/>
      <c r="AQ2983" s="10"/>
      <c r="AR2983" s="19"/>
      <c r="AS2983" s="20"/>
      <c r="AT2983" s="19"/>
      <c r="AV2983" s="21">
        <f>IF(AND($AL2983&lt;&gt;"",COUNTIF($AL$11:$AL2983,$AL2983)=1),1,0)</f>
        <v>0</v>
      </c>
      <c r="AW2983" s="21">
        <f t="shared" si="179"/>
        <v>0</v>
      </c>
      <c r="AX2983" s="21" t="str">
        <f t="shared" si="178"/>
        <v/>
      </c>
      <c r="AY2983" s="21" t="str">
        <f>IF(AND($AM2983&lt;&gt;"",$AS2983&lt;&gt;"✓"),SUMPRODUCT(($AM$11:$AM2983&lt;&gt;"")*($AS$11:$AS2983&lt;&gt;"✓")),"")</f>
        <v/>
      </c>
      <c r="AZ2983" s="21" t="str">
        <f>IF(AND($AM2983&lt;&gt;"",$AS2983="✓"),SUMPRODUCT(($AM$11:$AM2983&lt;&gt;"")*($AS$11:$AS2983="✓")),"")</f>
        <v/>
      </c>
      <c r="BA2983" s="21" t="str">
        <f>IF($AL2983="","",$AL2983&amp;"|"&amp;COUNTIF($AL$11:$AL2983,$AL2983))</f>
        <v/>
      </c>
    </row>
    <row r="2984" spans="38:53" ht="15" customHeight="1" x14ac:dyDescent="0.25">
      <c r="AL2984" s="31"/>
      <c r="AM2984" s="26"/>
      <c r="AN2984" s="32"/>
      <c r="AO2984" s="32"/>
      <c r="AP2984" s="24"/>
      <c r="AQ2984" s="24"/>
      <c r="AR2984" s="33"/>
      <c r="AS2984" s="34"/>
      <c r="AT2984" s="33"/>
      <c r="AV2984" s="21">
        <f>IF(AND($AL2984&lt;&gt;"",COUNTIF($AL$11:$AL2984,$AL2984)=1),1,0)</f>
        <v>0</v>
      </c>
      <c r="AW2984" s="21">
        <f t="shared" si="179"/>
        <v>0</v>
      </c>
      <c r="AX2984" s="21" t="str">
        <f t="shared" si="178"/>
        <v/>
      </c>
      <c r="AY2984" s="21" t="str">
        <f>IF(AND($AM2984&lt;&gt;"",$AS2984&lt;&gt;"✓"),SUMPRODUCT(($AM$11:$AM2984&lt;&gt;"")*($AS$11:$AS2984&lt;&gt;"✓")),"")</f>
        <v/>
      </c>
      <c r="AZ2984" s="21" t="str">
        <f>IF(AND($AM2984&lt;&gt;"",$AS2984="✓"),SUMPRODUCT(($AM$11:$AM2984&lt;&gt;"")*($AS$11:$AS2984="✓")),"")</f>
        <v/>
      </c>
      <c r="BA2984" s="21" t="str">
        <f>IF($AL2984="","",$AL2984&amp;"|"&amp;COUNTIF($AL$11:$AL2984,$AL2984))</f>
        <v/>
      </c>
    </row>
    <row r="2985" spans="38:53" ht="15" customHeight="1" x14ac:dyDescent="0.25">
      <c r="AL2985" s="17"/>
      <c r="AM2985" s="12"/>
      <c r="AN2985" s="18"/>
      <c r="AO2985" s="18"/>
      <c r="AP2985" s="10"/>
      <c r="AQ2985" s="10"/>
      <c r="AR2985" s="19"/>
      <c r="AS2985" s="20"/>
      <c r="AT2985" s="19"/>
      <c r="AV2985" s="21">
        <f>IF(AND($AL2985&lt;&gt;"",COUNTIF($AL$11:$AL2985,$AL2985)=1),1,0)</f>
        <v>0</v>
      </c>
      <c r="AW2985" s="21">
        <f t="shared" si="179"/>
        <v>0</v>
      </c>
      <c r="AX2985" s="21" t="str">
        <f t="shared" si="178"/>
        <v/>
      </c>
      <c r="AY2985" s="21" t="str">
        <f>IF(AND($AM2985&lt;&gt;"",$AS2985&lt;&gt;"✓"),SUMPRODUCT(($AM$11:$AM2985&lt;&gt;"")*($AS$11:$AS2985&lt;&gt;"✓")),"")</f>
        <v/>
      </c>
      <c r="AZ2985" s="21" t="str">
        <f>IF(AND($AM2985&lt;&gt;"",$AS2985="✓"),SUMPRODUCT(($AM$11:$AM2985&lt;&gt;"")*($AS$11:$AS2985="✓")),"")</f>
        <v/>
      </c>
      <c r="BA2985" s="21" t="str">
        <f>IF($AL2985="","",$AL2985&amp;"|"&amp;COUNTIF($AL$11:$AL2985,$AL2985))</f>
        <v/>
      </c>
    </row>
    <row r="2986" spans="38:53" ht="15" customHeight="1" x14ac:dyDescent="0.25">
      <c r="AL2986" s="31"/>
      <c r="AM2986" s="26"/>
      <c r="AN2986" s="32"/>
      <c r="AO2986" s="32"/>
      <c r="AP2986" s="24"/>
      <c r="AQ2986" s="24"/>
      <c r="AR2986" s="33"/>
      <c r="AS2986" s="34"/>
      <c r="AT2986" s="33"/>
      <c r="AV2986" s="21">
        <f>IF(AND($AL2986&lt;&gt;"",COUNTIF($AL$11:$AL2986,$AL2986)=1),1,0)</f>
        <v>0</v>
      </c>
      <c r="AW2986" s="21">
        <f t="shared" si="179"/>
        <v>0</v>
      </c>
      <c r="AX2986" s="21" t="str">
        <f t="shared" si="178"/>
        <v/>
      </c>
      <c r="AY2986" s="21" t="str">
        <f>IF(AND($AM2986&lt;&gt;"",$AS2986&lt;&gt;"✓"),SUMPRODUCT(($AM$11:$AM2986&lt;&gt;"")*($AS$11:$AS2986&lt;&gt;"✓")),"")</f>
        <v/>
      </c>
      <c r="AZ2986" s="21" t="str">
        <f>IF(AND($AM2986&lt;&gt;"",$AS2986="✓"),SUMPRODUCT(($AM$11:$AM2986&lt;&gt;"")*($AS$11:$AS2986="✓")),"")</f>
        <v/>
      </c>
      <c r="BA2986" s="21" t="str">
        <f>IF($AL2986="","",$AL2986&amp;"|"&amp;COUNTIF($AL$11:$AL2986,$AL2986))</f>
        <v/>
      </c>
    </row>
    <row r="2987" spans="38:53" ht="15" customHeight="1" x14ac:dyDescent="0.25">
      <c r="AL2987" s="17"/>
      <c r="AM2987" s="12"/>
      <c r="AN2987" s="18"/>
      <c r="AO2987" s="18"/>
      <c r="AP2987" s="10"/>
      <c r="AQ2987" s="10"/>
      <c r="AR2987" s="19"/>
      <c r="AS2987" s="20"/>
      <c r="AT2987" s="19"/>
      <c r="AV2987" s="21">
        <f>IF(AND($AL2987&lt;&gt;"",COUNTIF($AL$11:$AL2987,$AL2987)=1),1,0)</f>
        <v>0</v>
      </c>
      <c r="AW2987" s="21">
        <f t="shared" si="179"/>
        <v>0</v>
      </c>
      <c r="AX2987" s="21" t="str">
        <f t="shared" si="178"/>
        <v/>
      </c>
      <c r="AY2987" s="21" t="str">
        <f>IF(AND($AM2987&lt;&gt;"",$AS2987&lt;&gt;"✓"),SUMPRODUCT(($AM$11:$AM2987&lt;&gt;"")*($AS$11:$AS2987&lt;&gt;"✓")),"")</f>
        <v/>
      </c>
      <c r="AZ2987" s="21" t="str">
        <f>IF(AND($AM2987&lt;&gt;"",$AS2987="✓"),SUMPRODUCT(($AM$11:$AM2987&lt;&gt;"")*($AS$11:$AS2987="✓")),"")</f>
        <v/>
      </c>
      <c r="BA2987" s="21" t="str">
        <f>IF($AL2987="","",$AL2987&amp;"|"&amp;COUNTIF($AL$11:$AL2987,$AL2987))</f>
        <v/>
      </c>
    </row>
    <row r="2988" spans="38:53" ht="15" customHeight="1" x14ac:dyDescent="0.25">
      <c r="AL2988" s="31"/>
      <c r="AM2988" s="26"/>
      <c r="AN2988" s="32"/>
      <c r="AO2988" s="32"/>
      <c r="AP2988" s="24"/>
      <c r="AQ2988" s="24"/>
      <c r="AR2988" s="33"/>
      <c r="AS2988" s="34"/>
      <c r="AT2988" s="33"/>
      <c r="AV2988" s="21">
        <f>IF(AND($AL2988&lt;&gt;"",COUNTIF($AL$11:$AL2988,$AL2988)=1),1,0)</f>
        <v>0</v>
      </c>
      <c r="AW2988" s="21">
        <f t="shared" si="179"/>
        <v>0</v>
      </c>
      <c r="AX2988" s="21" t="str">
        <f t="shared" si="178"/>
        <v/>
      </c>
      <c r="AY2988" s="21" t="str">
        <f>IF(AND($AM2988&lt;&gt;"",$AS2988&lt;&gt;"✓"),SUMPRODUCT(($AM$11:$AM2988&lt;&gt;"")*($AS$11:$AS2988&lt;&gt;"✓")),"")</f>
        <v/>
      </c>
      <c r="AZ2988" s="21" t="str">
        <f>IF(AND($AM2988&lt;&gt;"",$AS2988="✓"),SUMPRODUCT(($AM$11:$AM2988&lt;&gt;"")*($AS$11:$AS2988="✓")),"")</f>
        <v/>
      </c>
      <c r="BA2988" s="21" t="str">
        <f>IF($AL2988="","",$AL2988&amp;"|"&amp;COUNTIF($AL$11:$AL2988,$AL2988))</f>
        <v/>
      </c>
    </row>
    <row r="2989" spans="38:53" ht="15" customHeight="1" x14ac:dyDescent="0.25">
      <c r="AL2989" s="17"/>
      <c r="AM2989" s="12"/>
      <c r="AN2989" s="18"/>
      <c r="AO2989" s="18"/>
      <c r="AP2989" s="10"/>
      <c r="AQ2989" s="10"/>
      <c r="AR2989" s="19"/>
      <c r="AS2989" s="20"/>
      <c r="AT2989" s="19"/>
      <c r="AV2989" s="21">
        <f>IF(AND($AL2989&lt;&gt;"",COUNTIF($AL$11:$AL2989,$AL2989)=1),1,0)</f>
        <v>0</v>
      </c>
      <c r="AW2989" s="21">
        <f t="shared" si="179"/>
        <v>0</v>
      </c>
      <c r="AX2989" s="21" t="str">
        <f t="shared" si="178"/>
        <v/>
      </c>
      <c r="AY2989" s="21" t="str">
        <f>IF(AND($AM2989&lt;&gt;"",$AS2989&lt;&gt;"✓"),SUMPRODUCT(($AM$11:$AM2989&lt;&gt;"")*($AS$11:$AS2989&lt;&gt;"✓")),"")</f>
        <v/>
      </c>
      <c r="AZ2989" s="21" t="str">
        <f>IF(AND($AM2989&lt;&gt;"",$AS2989="✓"),SUMPRODUCT(($AM$11:$AM2989&lt;&gt;"")*($AS$11:$AS2989="✓")),"")</f>
        <v/>
      </c>
      <c r="BA2989" s="21" t="str">
        <f>IF($AL2989="","",$AL2989&amp;"|"&amp;COUNTIF($AL$11:$AL2989,$AL2989))</f>
        <v/>
      </c>
    </row>
    <row r="2990" spans="38:53" ht="15" customHeight="1" x14ac:dyDescent="0.25">
      <c r="AL2990" s="31"/>
      <c r="AM2990" s="26"/>
      <c r="AN2990" s="32"/>
      <c r="AO2990" s="32"/>
      <c r="AP2990" s="24"/>
      <c r="AQ2990" s="24"/>
      <c r="AR2990" s="33"/>
      <c r="AS2990" s="34"/>
      <c r="AT2990" s="33"/>
      <c r="AV2990" s="21">
        <f>IF(AND($AL2990&lt;&gt;"",COUNTIF($AL$11:$AL2990,$AL2990)=1),1,0)</f>
        <v>0</v>
      </c>
      <c r="AW2990" s="21">
        <f t="shared" si="179"/>
        <v>0</v>
      </c>
      <c r="AX2990" s="21" t="str">
        <f t="shared" si="178"/>
        <v/>
      </c>
      <c r="AY2990" s="21" t="str">
        <f>IF(AND($AM2990&lt;&gt;"",$AS2990&lt;&gt;"✓"),SUMPRODUCT(($AM$11:$AM2990&lt;&gt;"")*($AS$11:$AS2990&lt;&gt;"✓")),"")</f>
        <v/>
      </c>
      <c r="AZ2990" s="21" t="str">
        <f>IF(AND($AM2990&lt;&gt;"",$AS2990="✓"),SUMPRODUCT(($AM$11:$AM2990&lt;&gt;"")*($AS$11:$AS2990="✓")),"")</f>
        <v/>
      </c>
      <c r="BA2990" s="21" t="str">
        <f>IF($AL2990="","",$AL2990&amp;"|"&amp;COUNTIF($AL$11:$AL2990,$AL2990))</f>
        <v/>
      </c>
    </row>
    <row r="2991" spans="38:53" ht="15" customHeight="1" x14ac:dyDescent="0.25">
      <c r="AL2991" s="17"/>
      <c r="AM2991" s="12"/>
      <c r="AN2991" s="18"/>
      <c r="AO2991" s="18"/>
      <c r="AP2991" s="10"/>
      <c r="AQ2991" s="10"/>
      <c r="AR2991" s="19"/>
      <c r="AS2991" s="20"/>
      <c r="AT2991" s="19"/>
      <c r="AV2991" s="21">
        <f>IF(AND($AL2991&lt;&gt;"",COUNTIF($AL$11:$AL2991,$AL2991)=1),1,0)</f>
        <v>0</v>
      </c>
      <c r="AW2991" s="21">
        <f t="shared" si="179"/>
        <v>0</v>
      </c>
      <c r="AX2991" s="21" t="str">
        <f t="shared" si="178"/>
        <v/>
      </c>
      <c r="AY2991" s="21" t="str">
        <f>IF(AND($AM2991&lt;&gt;"",$AS2991&lt;&gt;"✓"),SUMPRODUCT(($AM$11:$AM2991&lt;&gt;"")*($AS$11:$AS2991&lt;&gt;"✓")),"")</f>
        <v/>
      </c>
      <c r="AZ2991" s="21" t="str">
        <f>IF(AND($AM2991&lt;&gt;"",$AS2991="✓"),SUMPRODUCT(($AM$11:$AM2991&lt;&gt;"")*($AS$11:$AS2991="✓")),"")</f>
        <v/>
      </c>
      <c r="BA2991" s="21" t="str">
        <f>IF($AL2991="","",$AL2991&amp;"|"&amp;COUNTIF($AL$11:$AL2991,$AL2991))</f>
        <v/>
      </c>
    </row>
    <row r="2992" spans="38:53" ht="15" customHeight="1" x14ac:dyDescent="0.25">
      <c r="AL2992" s="31"/>
      <c r="AM2992" s="26"/>
      <c r="AN2992" s="32"/>
      <c r="AO2992" s="32"/>
      <c r="AP2992" s="24"/>
      <c r="AQ2992" s="24"/>
      <c r="AR2992" s="33"/>
      <c r="AS2992" s="34"/>
      <c r="AT2992" s="33"/>
      <c r="AV2992" s="21">
        <f>IF(AND($AL2992&lt;&gt;"",COUNTIF($AL$11:$AL2992,$AL2992)=1),1,0)</f>
        <v>0</v>
      </c>
      <c r="AW2992" s="21">
        <f t="shared" si="179"/>
        <v>0</v>
      </c>
      <c r="AX2992" s="21" t="str">
        <f t="shared" si="178"/>
        <v/>
      </c>
      <c r="AY2992" s="21" t="str">
        <f>IF(AND($AM2992&lt;&gt;"",$AS2992&lt;&gt;"✓"),SUMPRODUCT(($AM$11:$AM2992&lt;&gt;"")*($AS$11:$AS2992&lt;&gt;"✓")),"")</f>
        <v/>
      </c>
      <c r="AZ2992" s="21" t="str">
        <f>IF(AND($AM2992&lt;&gt;"",$AS2992="✓"),SUMPRODUCT(($AM$11:$AM2992&lt;&gt;"")*($AS$11:$AS2992="✓")),"")</f>
        <v/>
      </c>
      <c r="BA2992" s="21" t="str">
        <f>IF($AL2992="","",$AL2992&amp;"|"&amp;COUNTIF($AL$11:$AL2992,$AL2992))</f>
        <v/>
      </c>
    </row>
    <row r="2993" spans="38:53" ht="15" customHeight="1" x14ac:dyDescent="0.25">
      <c r="AL2993" s="17"/>
      <c r="AM2993" s="12"/>
      <c r="AN2993" s="18"/>
      <c r="AO2993" s="18"/>
      <c r="AP2993" s="10"/>
      <c r="AQ2993" s="10"/>
      <c r="AR2993" s="19"/>
      <c r="AS2993" s="20"/>
      <c r="AT2993" s="19"/>
      <c r="AV2993" s="21">
        <f>IF(AND($AL2993&lt;&gt;"",COUNTIF($AL$11:$AL2993,$AL2993)=1),1,0)</f>
        <v>0</v>
      </c>
      <c r="AW2993" s="21">
        <f t="shared" si="179"/>
        <v>0</v>
      </c>
      <c r="AX2993" s="21" t="str">
        <f t="shared" si="178"/>
        <v/>
      </c>
      <c r="AY2993" s="21" t="str">
        <f>IF(AND($AM2993&lt;&gt;"",$AS2993&lt;&gt;"✓"),SUMPRODUCT(($AM$11:$AM2993&lt;&gt;"")*($AS$11:$AS2993&lt;&gt;"✓")),"")</f>
        <v/>
      </c>
      <c r="AZ2993" s="21" t="str">
        <f>IF(AND($AM2993&lt;&gt;"",$AS2993="✓"),SUMPRODUCT(($AM$11:$AM2993&lt;&gt;"")*($AS$11:$AS2993="✓")),"")</f>
        <v/>
      </c>
      <c r="BA2993" s="21" t="str">
        <f>IF($AL2993="","",$AL2993&amp;"|"&amp;COUNTIF($AL$11:$AL2993,$AL2993))</f>
        <v/>
      </c>
    </row>
    <row r="2994" spans="38:53" ht="15" customHeight="1" x14ac:dyDescent="0.25">
      <c r="AL2994" s="31"/>
      <c r="AM2994" s="26"/>
      <c r="AN2994" s="32"/>
      <c r="AO2994" s="32"/>
      <c r="AP2994" s="24"/>
      <c r="AQ2994" s="24"/>
      <c r="AR2994" s="33"/>
      <c r="AS2994" s="34"/>
      <c r="AT2994" s="33"/>
      <c r="AV2994" s="21">
        <f>IF(AND($AL2994&lt;&gt;"",COUNTIF($AL$11:$AL2994,$AL2994)=1),1,0)</f>
        <v>0</v>
      </c>
      <c r="AW2994" s="21">
        <f t="shared" si="179"/>
        <v>0</v>
      </c>
      <c r="AX2994" s="21" t="str">
        <f t="shared" si="178"/>
        <v/>
      </c>
      <c r="AY2994" s="21" t="str">
        <f>IF(AND($AM2994&lt;&gt;"",$AS2994&lt;&gt;"✓"),SUMPRODUCT(($AM$11:$AM2994&lt;&gt;"")*($AS$11:$AS2994&lt;&gt;"✓")),"")</f>
        <v/>
      </c>
      <c r="AZ2994" s="21" t="str">
        <f>IF(AND($AM2994&lt;&gt;"",$AS2994="✓"),SUMPRODUCT(($AM$11:$AM2994&lt;&gt;"")*($AS$11:$AS2994="✓")),"")</f>
        <v/>
      </c>
      <c r="BA2994" s="21" t="str">
        <f>IF($AL2994="","",$AL2994&amp;"|"&amp;COUNTIF($AL$11:$AL2994,$AL2994))</f>
        <v/>
      </c>
    </row>
    <row r="2995" spans="38:53" ht="15" customHeight="1" x14ac:dyDescent="0.25">
      <c r="AL2995" s="17"/>
      <c r="AM2995" s="12"/>
      <c r="AN2995" s="18"/>
      <c r="AO2995" s="18"/>
      <c r="AP2995" s="10"/>
      <c r="AQ2995" s="10"/>
      <c r="AR2995" s="19"/>
      <c r="AS2995" s="20"/>
      <c r="AT2995" s="19"/>
      <c r="AV2995" s="21">
        <f>IF(AND($AL2995&lt;&gt;"",COUNTIF($AL$11:$AL2995,$AL2995)=1),1,0)</f>
        <v>0</v>
      </c>
      <c r="AW2995" s="21">
        <f t="shared" si="179"/>
        <v>0</v>
      </c>
      <c r="AX2995" s="21" t="str">
        <f t="shared" si="178"/>
        <v/>
      </c>
      <c r="AY2995" s="21" t="str">
        <f>IF(AND($AM2995&lt;&gt;"",$AS2995&lt;&gt;"✓"),SUMPRODUCT(($AM$11:$AM2995&lt;&gt;"")*($AS$11:$AS2995&lt;&gt;"✓")),"")</f>
        <v/>
      </c>
      <c r="AZ2995" s="21" t="str">
        <f>IF(AND($AM2995&lt;&gt;"",$AS2995="✓"),SUMPRODUCT(($AM$11:$AM2995&lt;&gt;"")*($AS$11:$AS2995="✓")),"")</f>
        <v/>
      </c>
      <c r="BA2995" s="21" t="str">
        <f>IF($AL2995="","",$AL2995&amp;"|"&amp;COUNTIF($AL$11:$AL2995,$AL2995))</f>
        <v/>
      </c>
    </row>
    <row r="2996" spans="38:53" ht="15" customHeight="1" x14ac:dyDescent="0.25">
      <c r="AL2996" s="31"/>
      <c r="AM2996" s="26"/>
      <c r="AN2996" s="32"/>
      <c r="AO2996" s="32"/>
      <c r="AP2996" s="24"/>
      <c r="AQ2996" s="24"/>
      <c r="AR2996" s="33"/>
      <c r="AS2996" s="34"/>
      <c r="AT2996" s="33"/>
      <c r="AV2996" s="21">
        <f>IF(AND($AL2996&lt;&gt;"",COUNTIF($AL$11:$AL2996,$AL2996)=1),1,0)</f>
        <v>0</v>
      </c>
      <c r="AW2996" s="21">
        <f t="shared" si="179"/>
        <v>0</v>
      </c>
      <c r="AX2996" s="21" t="str">
        <f t="shared" si="178"/>
        <v/>
      </c>
      <c r="AY2996" s="21" t="str">
        <f>IF(AND($AM2996&lt;&gt;"",$AS2996&lt;&gt;"✓"),SUMPRODUCT(($AM$11:$AM2996&lt;&gt;"")*($AS$11:$AS2996&lt;&gt;"✓")),"")</f>
        <v/>
      </c>
      <c r="AZ2996" s="21" t="str">
        <f>IF(AND($AM2996&lt;&gt;"",$AS2996="✓"),SUMPRODUCT(($AM$11:$AM2996&lt;&gt;"")*($AS$11:$AS2996="✓")),"")</f>
        <v/>
      </c>
      <c r="BA2996" s="21" t="str">
        <f>IF($AL2996="","",$AL2996&amp;"|"&amp;COUNTIF($AL$11:$AL2996,$AL2996))</f>
        <v/>
      </c>
    </row>
    <row r="2997" spans="38:53" ht="15" customHeight="1" x14ac:dyDescent="0.25">
      <c r="AL2997" s="17"/>
      <c r="AM2997" s="12"/>
      <c r="AN2997" s="18"/>
      <c r="AO2997" s="18"/>
      <c r="AP2997" s="10"/>
      <c r="AQ2997" s="10"/>
      <c r="AR2997" s="19"/>
      <c r="AS2997" s="20"/>
      <c r="AT2997" s="19"/>
      <c r="AV2997" s="21">
        <f>IF(AND($AL2997&lt;&gt;"",COUNTIF($AL$11:$AL2997,$AL2997)=1),1,0)</f>
        <v>0</v>
      </c>
      <c r="AW2997" s="21">
        <f t="shared" si="179"/>
        <v>0</v>
      </c>
      <c r="AX2997" s="21" t="str">
        <f t="shared" si="178"/>
        <v/>
      </c>
      <c r="AY2997" s="21" t="str">
        <f>IF(AND($AM2997&lt;&gt;"",$AS2997&lt;&gt;"✓"),SUMPRODUCT(($AM$11:$AM2997&lt;&gt;"")*($AS$11:$AS2997&lt;&gt;"✓")),"")</f>
        <v/>
      </c>
      <c r="AZ2997" s="21" t="str">
        <f>IF(AND($AM2997&lt;&gt;"",$AS2997="✓"),SUMPRODUCT(($AM$11:$AM2997&lt;&gt;"")*($AS$11:$AS2997="✓")),"")</f>
        <v/>
      </c>
      <c r="BA2997" s="21" t="str">
        <f>IF($AL2997="","",$AL2997&amp;"|"&amp;COUNTIF($AL$11:$AL2997,$AL2997))</f>
        <v/>
      </c>
    </row>
    <row r="2998" spans="38:53" ht="15" customHeight="1" x14ac:dyDescent="0.25">
      <c r="AL2998" s="31"/>
      <c r="AM2998" s="26"/>
      <c r="AN2998" s="32"/>
      <c r="AO2998" s="32"/>
      <c r="AP2998" s="24"/>
      <c r="AQ2998" s="24"/>
      <c r="AR2998" s="33"/>
      <c r="AS2998" s="34"/>
      <c r="AT2998" s="33"/>
      <c r="AV2998" s="21">
        <f>IF(AND($AL2998&lt;&gt;"",COUNTIF($AL$11:$AL2998,$AL2998)=1),1,0)</f>
        <v>0</v>
      </c>
      <c r="AW2998" s="21">
        <f t="shared" si="179"/>
        <v>0</v>
      </c>
      <c r="AX2998" s="21" t="str">
        <f t="shared" si="178"/>
        <v/>
      </c>
      <c r="AY2998" s="21" t="str">
        <f>IF(AND($AM2998&lt;&gt;"",$AS2998&lt;&gt;"✓"),SUMPRODUCT(($AM$11:$AM2998&lt;&gt;"")*($AS$11:$AS2998&lt;&gt;"✓")),"")</f>
        <v/>
      </c>
      <c r="AZ2998" s="21" t="str">
        <f>IF(AND($AM2998&lt;&gt;"",$AS2998="✓"),SUMPRODUCT(($AM$11:$AM2998&lt;&gt;"")*($AS$11:$AS2998="✓")),"")</f>
        <v/>
      </c>
      <c r="BA2998" s="21" t="str">
        <f>IF($AL2998="","",$AL2998&amp;"|"&amp;COUNTIF($AL$11:$AL2998,$AL2998))</f>
        <v/>
      </c>
    </row>
    <row r="2999" spans="38:53" ht="15" customHeight="1" x14ac:dyDescent="0.25">
      <c r="AL2999" s="17"/>
      <c r="AM2999" s="12"/>
      <c r="AN2999" s="18"/>
      <c r="AO2999" s="18"/>
      <c r="AP2999" s="10"/>
      <c r="AQ2999" s="10"/>
      <c r="AR2999" s="19"/>
      <c r="AS2999" s="20"/>
      <c r="AT2999" s="19"/>
      <c r="AV2999" s="21">
        <f>IF(AND($AL2999&lt;&gt;"",COUNTIF($AL$11:$AL2999,$AL2999)=1),1,0)</f>
        <v>0</v>
      </c>
      <c r="AW2999" s="21">
        <f t="shared" si="179"/>
        <v>0</v>
      </c>
      <c r="AX2999" s="21" t="str">
        <f t="shared" si="178"/>
        <v/>
      </c>
      <c r="AY2999" s="21" t="str">
        <f>IF(AND($AM2999&lt;&gt;"",$AS2999&lt;&gt;"✓"),SUMPRODUCT(($AM$11:$AM2999&lt;&gt;"")*($AS$11:$AS2999&lt;&gt;"✓")),"")</f>
        <v/>
      </c>
      <c r="AZ2999" s="21" t="str">
        <f>IF(AND($AM2999&lt;&gt;"",$AS2999="✓"),SUMPRODUCT(($AM$11:$AM2999&lt;&gt;"")*($AS$11:$AS2999="✓")),"")</f>
        <v/>
      </c>
      <c r="BA2999" s="21" t="str">
        <f>IF($AL2999="","",$AL2999&amp;"|"&amp;COUNTIF($AL$11:$AL2999,$AL2999))</f>
        <v/>
      </c>
    </row>
    <row r="3000" spans="38:53" ht="15" customHeight="1" x14ac:dyDescent="0.25">
      <c r="AL3000" s="31"/>
      <c r="AM3000" s="26"/>
      <c r="AN3000" s="32"/>
      <c r="AO3000" s="32"/>
      <c r="AP3000" s="24"/>
      <c r="AQ3000" s="24"/>
      <c r="AR3000" s="33"/>
      <c r="AS3000" s="34"/>
      <c r="AT3000" s="33"/>
      <c r="AV3000" s="21">
        <f>IF(AND($AL3000&lt;&gt;"",COUNTIF($AL$11:$AL3000,$AL3000)=1),1,0)</f>
        <v>0</v>
      </c>
      <c r="AW3000" s="21">
        <f t="shared" si="179"/>
        <v>0</v>
      </c>
      <c r="AX3000" s="21" t="str">
        <f t="shared" si="178"/>
        <v/>
      </c>
      <c r="AY3000" s="21" t="str">
        <f>IF(AND($AM3000&lt;&gt;"",$AS3000&lt;&gt;"✓"),SUMPRODUCT(($AM$11:$AM3000&lt;&gt;"")*($AS$11:$AS3000&lt;&gt;"✓")),"")</f>
        <v/>
      </c>
      <c r="AZ3000" s="21" t="str">
        <f>IF(AND($AM3000&lt;&gt;"",$AS3000="✓"),SUMPRODUCT(($AM$11:$AM3000&lt;&gt;"")*($AS$11:$AS3000="✓")),"")</f>
        <v/>
      </c>
      <c r="BA3000" s="21" t="str">
        <f>IF($AL3000="","",$AL3000&amp;"|"&amp;COUNTIF($AL$11:$AL3000,$AL3000))</f>
        <v/>
      </c>
    </row>
    <row r="3001" spans="38:53" ht="15" customHeight="1" x14ac:dyDescent="0.25">
      <c r="AL3001" s="17"/>
      <c r="AM3001" s="12"/>
      <c r="AN3001" s="18"/>
      <c r="AO3001" s="18"/>
      <c r="AP3001" s="10"/>
      <c r="AQ3001" s="10"/>
      <c r="AR3001" s="19"/>
      <c r="AS3001" s="20"/>
      <c r="AT3001" s="19"/>
      <c r="AV3001" s="21">
        <f>IF(AND($AL3001&lt;&gt;"",COUNTIF($AL$11:$AL3001,$AL3001)=1),1,0)</f>
        <v>0</v>
      </c>
      <c r="AW3001" s="21">
        <f t="shared" si="179"/>
        <v>0</v>
      </c>
      <c r="AX3001" s="21" t="str">
        <f t="shared" si="178"/>
        <v/>
      </c>
      <c r="AY3001" s="21" t="str">
        <f>IF(AND($AM3001&lt;&gt;"",$AS3001&lt;&gt;"✓"),SUMPRODUCT(($AM$11:$AM3001&lt;&gt;"")*($AS$11:$AS3001&lt;&gt;"✓")),"")</f>
        <v/>
      </c>
      <c r="AZ3001" s="21" t="str">
        <f>IF(AND($AM3001&lt;&gt;"",$AS3001="✓"),SUMPRODUCT(($AM$11:$AM3001&lt;&gt;"")*($AS$11:$AS3001="✓")),"")</f>
        <v/>
      </c>
      <c r="BA3001" s="21" t="str">
        <f>IF($AL3001="","",$AL3001&amp;"|"&amp;COUNTIF($AL$11:$AL3001,$AL3001))</f>
        <v/>
      </c>
    </row>
    <row r="3002" spans="38:53" ht="15" customHeight="1" x14ac:dyDescent="0.25">
      <c r="AL3002" s="31"/>
      <c r="AM3002" s="26"/>
      <c r="AN3002" s="32"/>
      <c r="AO3002" s="32"/>
      <c r="AP3002" s="24"/>
      <c r="AQ3002" s="24"/>
      <c r="AR3002" s="33"/>
      <c r="AS3002" s="34"/>
      <c r="AT3002" s="33"/>
      <c r="AV3002" s="21">
        <f>IF(AND($AL3002&lt;&gt;"",COUNTIF($AL$11:$AL3002,$AL3002)=1),1,0)</f>
        <v>0</v>
      </c>
      <c r="AW3002" s="21">
        <f t="shared" si="179"/>
        <v>0</v>
      </c>
      <c r="AX3002" s="21" t="str">
        <f t="shared" si="178"/>
        <v/>
      </c>
      <c r="AY3002" s="21" t="str">
        <f>IF(AND($AM3002&lt;&gt;"",$AS3002&lt;&gt;"✓"),SUMPRODUCT(($AM$11:$AM3002&lt;&gt;"")*($AS$11:$AS3002&lt;&gt;"✓")),"")</f>
        <v/>
      </c>
      <c r="AZ3002" s="21" t="str">
        <f>IF(AND($AM3002&lt;&gt;"",$AS3002="✓"),SUMPRODUCT(($AM$11:$AM3002&lt;&gt;"")*($AS$11:$AS3002="✓")),"")</f>
        <v/>
      </c>
      <c r="BA3002" s="21" t="str">
        <f>IF($AL3002="","",$AL3002&amp;"|"&amp;COUNTIF($AL$11:$AL3002,$AL3002))</f>
        <v/>
      </c>
    </row>
    <row r="3003" spans="38:53" ht="15" customHeight="1" x14ac:dyDescent="0.25">
      <c r="AL3003" s="17"/>
      <c r="AM3003" s="12"/>
      <c r="AN3003" s="18"/>
      <c r="AO3003" s="18"/>
      <c r="AP3003" s="10"/>
      <c r="AQ3003" s="10"/>
      <c r="AR3003" s="19"/>
      <c r="AS3003" s="20"/>
      <c r="AT3003" s="19"/>
      <c r="AV3003" s="21">
        <f>IF(AND($AL3003&lt;&gt;"",COUNTIF($AL$11:$AL3003,$AL3003)=1),1,0)</f>
        <v>0</v>
      </c>
      <c r="AW3003" s="21">
        <f t="shared" si="179"/>
        <v>0</v>
      </c>
      <c r="AX3003" s="21" t="str">
        <f t="shared" si="178"/>
        <v/>
      </c>
      <c r="AY3003" s="21" t="str">
        <f>IF(AND($AM3003&lt;&gt;"",$AS3003&lt;&gt;"✓"),SUMPRODUCT(($AM$11:$AM3003&lt;&gt;"")*($AS$11:$AS3003&lt;&gt;"✓")),"")</f>
        <v/>
      </c>
      <c r="AZ3003" s="21" t="str">
        <f>IF(AND($AM3003&lt;&gt;"",$AS3003="✓"),SUMPRODUCT(($AM$11:$AM3003&lt;&gt;"")*($AS$11:$AS3003="✓")),"")</f>
        <v/>
      </c>
      <c r="BA3003" s="21" t="str">
        <f>IF($AL3003="","",$AL3003&amp;"|"&amp;COUNTIF($AL$11:$AL3003,$AL3003))</f>
        <v/>
      </c>
    </row>
    <row r="3004" spans="38:53" ht="15" customHeight="1" x14ac:dyDescent="0.25">
      <c r="AL3004" s="31"/>
      <c r="AM3004" s="26"/>
      <c r="AN3004" s="32"/>
      <c r="AO3004" s="32"/>
      <c r="AP3004" s="24"/>
      <c r="AQ3004" s="24"/>
      <c r="AR3004" s="33"/>
      <c r="AS3004" s="34"/>
      <c r="AT3004" s="33"/>
      <c r="AV3004" s="21">
        <f>IF(AND($AL3004&lt;&gt;"",COUNTIF($AL$11:$AL3004,$AL3004)=1),1,0)</f>
        <v>0</v>
      </c>
      <c r="AW3004" s="21">
        <f t="shared" si="179"/>
        <v>0</v>
      </c>
      <c r="AX3004" s="21" t="str">
        <f t="shared" si="178"/>
        <v/>
      </c>
      <c r="AY3004" s="21" t="str">
        <f>IF(AND($AM3004&lt;&gt;"",$AS3004&lt;&gt;"✓"),SUMPRODUCT(($AM$11:$AM3004&lt;&gt;"")*($AS$11:$AS3004&lt;&gt;"✓")),"")</f>
        <v/>
      </c>
      <c r="AZ3004" s="21" t="str">
        <f>IF(AND($AM3004&lt;&gt;"",$AS3004="✓"),SUMPRODUCT(($AM$11:$AM3004&lt;&gt;"")*($AS$11:$AS3004="✓")),"")</f>
        <v/>
      </c>
      <c r="BA3004" s="21" t="str">
        <f>IF($AL3004="","",$AL3004&amp;"|"&amp;COUNTIF($AL$11:$AL3004,$AL3004))</f>
        <v/>
      </c>
    </row>
    <row r="3005" spans="38:53" ht="15" customHeight="1" x14ac:dyDescent="0.25">
      <c r="AL3005" s="17"/>
      <c r="AM3005" s="12"/>
      <c r="AN3005" s="18"/>
      <c r="AO3005" s="18"/>
      <c r="AP3005" s="10"/>
      <c r="AQ3005" s="10"/>
      <c r="AR3005" s="19"/>
      <c r="AS3005" s="20"/>
      <c r="AT3005" s="19"/>
      <c r="AV3005" s="21">
        <f>IF(AND($AL3005&lt;&gt;"",COUNTIF($AL$11:$AL3005,$AL3005)=1),1,0)</f>
        <v>0</v>
      </c>
      <c r="AW3005" s="21">
        <f t="shared" si="179"/>
        <v>0</v>
      </c>
      <c r="AX3005" s="21" t="str">
        <f t="shared" si="178"/>
        <v/>
      </c>
      <c r="AY3005" s="21" t="str">
        <f>IF(AND($AM3005&lt;&gt;"",$AS3005&lt;&gt;"✓"),SUMPRODUCT(($AM$11:$AM3005&lt;&gt;"")*($AS$11:$AS3005&lt;&gt;"✓")),"")</f>
        <v/>
      </c>
      <c r="AZ3005" s="21" t="str">
        <f>IF(AND($AM3005&lt;&gt;"",$AS3005="✓"),SUMPRODUCT(($AM$11:$AM3005&lt;&gt;"")*($AS$11:$AS3005="✓")),"")</f>
        <v/>
      </c>
      <c r="BA3005" s="21" t="str">
        <f>IF($AL3005="","",$AL3005&amp;"|"&amp;COUNTIF($AL$11:$AL3005,$AL3005))</f>
        <v/>
      </c>
    </row>
    <row r="3006" spans="38:53" ht="15" customHeight="1" x14ac:dyDescent="0.25">
      <c r="AL3006" s="31"/>
      <c r="AM3006" s="26"/>
      <c r="AN3006" s="32"/>
      <c r="AO3006" s="32"/>
      <c r="AP3006" s="24"/>
      <c r="AQ3006" s="24"/>
      <c r="AR3006" s="33"/>
      <c r="AS3006" s="34"/>
      <c r="AT3006" s="33"/>
      <c r="AV3006" s="21">
        <f>IF(AND($AL3006&lt;&gt;"",COUNTIF($AL$11:$AL3006,$AL3006)=1),1,0)</f>
        <v>0</v>
      </c>
      <c r="AW3006" s="21">
        <f t="shared" si="179"/>
        <v>0</v>
      </c>
      <c r="AX3006" s="21" t="str">
        <f t="shared" si="178"/>
        <v/>
      </c>
      <c r="AY3006" s="21" t="str">
        <f>IF(AND($AM3006&lt;&gt;"",$AS3006&lt;&gt;"✓"),SUMPRODUCT(($AM$11:$AM3006&lt;&gt;"")*($AS$11:$AS3006&lt;&gt;"✓")),"")</f>
        <v/>
      </c>
      <c r="AZ3006" s="21" t="str">
        <f>IF(AND($AM3006&lt;&gt;"",$AS3006="✓"),SUMPRODUCT(($AM$11:$AM3006&lt;&gt;"")*($AS$11:$AS3006="✓")),"")</f>
        <v/>
      </c>
      <c r="BA3006" s="21" t="str">
        <f>IF($AL3006="","",$AL3006&amp;"|"&amp;COUNTIF($AL$11:$AL3006,$AL3006))</f>
        <v/>
      </c>
    </row>
    <row r="3007" spans="38:53" ht="15" customHeight="1" x14ac:dyDescent="0.25">
      <c r="AL3007" s="17"/>
      <c r="AM3007" s="12"/>
      <c r="AN3007" s="18"/>
      <c r="AO3007" s="18"/>
      <c r="AP3007" s="10"/>
      <c r="AQ3007" s="10"/>
      <c r="AR3007" s="19"/>
      <c r="AS3007" s="20"/>
      <c r="AT3007" s="19"/>
      <c r="AV3007" s="21">
        <f>IF(AND($AL3007&lt;&gt;"",COUNTIF($AL$11:$AL3007,$AL3007)=1),1,0)</f>
        <v>0</v>
      </c>
      <c r="AW3007" s="21">
        <f t="shared" si="179"/>
        <v>0</v>
      </c>
      <c r="AX3007" s="21" t="str">
        <f t="shared" si="178"/>
        <v/>
      </c>
      <c r="AY3007" s="21" t="str">
        <f>IF(AND($AM3007&lt;&gt;"",$AS3007&lt;&gt;"✓"),SUMPRODUCT(($AM$11:$AM3007&lt;&gt;"")*($AS$11:$AS3007&lt;&gt;"✓")),"")</f>
        <v/>
      </c>
      <c r="AZ3007" s="21" t="str">
        <f>IF(AND($AM3007&lt;&gt;"",$AS3007="✓"),SUMPRODUCT(($AM$11:$AM3007&lt;&gt;"")*($AS$11:$AS3007="✓")),"")</f>
        <v/>
      </c>
      <c r="BA3007" s="21" t="str">
        <f>IF($AL3007="","",$AL3007&amp;"|"&amp;COUNTIF($AL$11:$AL3007,$AL3007))</f>
        <v/>
      </c>
    </row>
    <row r="3008" spans="38:53" ht="15" customHeight="1" x14ac:dyDescent="0.25">
      <c r="AL3008" s="31"/>
      <c r="AM3008" s="26"/>
      <c r="AN3008" s="32"/>
      <c r="AO3008" s="32"/>
      <c r="AP3008" s="24"/>
      <c r="AQ3008" s="24"/>
      <c r="AR3008" s="33"/>
      <c r="AS3008" s="34"/>
      <c r="AT3008" s="33"/>
      <c r="AV3008" s="21">
        <f>IF(AND($AL3008&lt;&gt;"",COUNTIF($AL$11:$AL3008,$AL3008)=1),1,0)</f>
        <v>0</v>
      </c>
      <c r="AW3008" s="21">
        <f t="shared" si="179"/>
        <v>0</v>
      </c>
      <c r="AX3008" s="21" t="str">
        <f t="shared" si="178"/>
        <v/>
      </c>
      <c r="AY3008" s="21" t="str">
        <f>IF(AND($AM3008&lt;&gt;"",$AS3008&lt;&gt;"✓"),SUMPRODUCT(($AM$11:$AM3008&lt;&gt;"")*($AS$11:$AS3008&lt;&gt;"✓")),"")</f>
        <v/>
      </c>
      <c r="AZ3008" s="21" t="str">
        <f>IF(AND($AM3008&lt;&gt;"",$AS3008="✓"),SUMPRODUCT(($AM$11:$AM3008&lt;&gt;"")*($AS$11:$AS3008="✓")),"")</f>
        <v/>
      </c>
      <c r="BA3008" s="21" t="str">
        <f>IF($AL3008="","",$AL3008&amp;"|"&amp;COUNTIF($AL$11:$AL3008,$AL3008))</f>
        <v/>
      </c>
    </row>
    <row r="3009" spans="38:53" ht="15" customHeight="1" x14ac:dyDescent="0.25">
      <c r="AL3009" s="17"/>
      <c r="AM3009" s="12"/>
      <c r="AN3009" s="18"/>
      <c r="AO3009" s="18"/>
      <c r="AP3009" s="10"/>
      <c r="AQ3009" s="10"/>
      <c r="AR3009" s="19"/>
      <c r="AS3009" s="20"/>
      <c r="AT3009" s="19"/>
      <c r="AV3009" s="21">
        <f>IF(AND($AL3009&lt;&gt;"",COUNTIF($AL$11:$AL3009,$AL3009)=1),1,0)</f>
        <v>0</v>
      </c>
      <c r="AW3009" s="21">
        <f t="shared" si="179"/>
        <v>0</v>
      </c>
      <c r="AX3009" s="21" t="str">
        <f t="shared" si="178"/>
        <v/>
      </c>
      <c r="AY3009" s="21" t="str">
        <f>IF(AND($AM3009&lt;&gt;"",$AS3009&lt;&gt;"✓"),SUMPRODUCT(($AM$11:$AM3009&lt;&gt;"")*($AS$11:$AS3009&lt;&gt;"✓")),"")</f>
        <v/>
      </c>
      <c r="AZ3009" s="21" t="str">
        <f>IF(AND($AM3009&lt;&gt;"",$AS3009="✓"),SUMPRODUCT(($AM$11:$AM3009&lt;&gt;"")*($AS$11:$AS3009="✓")),"")</f>
        <v/>
      </c>
      <c r="BA3009" s="21" t="str">
        <f>IF($AL3009="","",$AL3009&amp;"|"&amp;COUNTIF($AL$11:$AL3009,$AL3009))</f>
        <v/>
      </c>
    </row>
    <row r="3010" spans="38:53" ht="15" customHeight="1" x14ac:dyDescent="0.25">
      <c r="AL3010" s="31"/>
      <c r="AM3010" s="26"/>
      <c r="AN3010" s="32"/>
      <c r="AO3010" s="32"/>
      <c r="AP3010" s="24"/>
      <c r="AQ3010" s="24"/>
      <c r="AR3010" s="33"/>
      <c r="AS3010" s="34"/>
      <c r="AT3010" s="33"/>
      <c r="AV3010" s="21">
        <f>IF(AND($AL3010&lt;&gt;"",COUNTIF($AL$11:$AL3010,$AL3010)=1),1,0)</f>
        <v>0</v>
      </c>
      <c r="AW3010" s="21">
        <f t="shared" si="179"/>
        <v>0</v>
      </c>
      <c r="AX3010" s="21" t="str">
        <f t="shared" si="178"/>
        <v/>
      </c>
      <c r="AY3010" s="21" t="str">
        <f>IF(AND($AM3010&lt;&gt;"",$AS3010&lt;&gt;"✓"),SUMPRODUCT(($AM$11:$AM3010&lt;&gt;"")*($AS$11:$AS3010&lt;&gt;"✓")),"")</f>
        <v/>
      </c>
      <c r="AZ3010" s="21" t="str">
        <f>IF(AND($AM3010&lt;&gt;"",$AS3010="✓"),SUMPRODUCT(($AM$11:$AM3010&lt;&gt;"")*($AS$11:$AS3010="✓")),"")</f>
        <v/>
      </c>
      <c r="BA3010" s="21" t="str">
        <f>IF($AL3010="","",$AL3010&amp;"|"&amp;COUNTIF($AL$11:$AL3010,$AL3010))</f>
        <v/>
      </c>
    </row>
    <row r="3011" spans="38:53" ht="15" customHeight="1" x14ac:dyDescent="0.25">
      <c r="AL3011" s="17"/>
      <c r="AM3011" s="12"/>
      <c r="AN3011" s="18"/>
      <c r="AO3011" s="18"/>
      <c r="AP3011" s="10"/>
      <c r="AQ3011" s="10"/>
      <c r="AR3011" s="19"/>
      <c r="AS3011" s="20"/>
      <c r="AT3011" s="19"/>
      <c r="AV3011" s="21">
        <f>IF(AND($AL3011&lt;&gt;"",COUNTIF($AL$11:$AL3011,$AL3011)=1),1,0)</f>
        <v>0</v>
      </c>
      <c r="AW3011" s="21">
        <f t="shared" si="179"/>
        <v>0</v>
      </c>
      <c r="AX3011" s="21" t="str">
        <f t="shared" si="178"/>
        <v/>
      </c>
      <c r="AY3011" s="21" t="str">
        <f>IF(AND($AM3011&lt;&gt;"",$AS3011&lt;&gt;"✓"),SUMPRODUCT(($AM$11:$AM3011&lt;&gt;"")*($AS$11:$AS3011&lt;&gt;"✓")),"")</f>
        <v/>
      </c>
      <c r="AZ3011" s="21" t="str">
        <f>IF(AND($AM3011&lt;&gt;"",$AS3011="✓"),SUMPRODUCT(($AM$11:$AM3011&lt;&gt;"")*($AS$11:$AS3011="✓")),"")</f>
        <v/>
      </c>
      <c r="BA3011" s="21" t="str">
        <f>IF($AL3011="","",$AL3011&amp;"|"&amp;COUNTIF($AL$11:$AL3011,$AL3011))</f>
        <v/>
      </c>
    </row>
    <row r="3012" spans="38:53" ht="15" customHeight="1" x14ac:dyDescent="0.25">
      <c r="AL3012" s="31"/>
      <c r="AM3012" s="26"/>
      <c r="AN3012" s="32"/>
      <c r="AO3012" s="32"/>
      <c r="AP3012" s="24"/>
      <c r="AQ3012" s="24"/>
      <c r="AR3012" s="33"/>
      <c r="AS3012" s="34"/>
      <c r="AT3012" s="33"/>
      <c r="AV3012" s="21">
        <f>IF(AND($AL3012&lt;&gt;"",COUNTIF($AL$11:$AL3012,$AL3012)=1),1,0)</f>
        <v>0</v>
      </c>
      <c r="AW3012" s="21">
        <f t="shared" si="179"/>
        <v>0</v>
      </c>
      <c r="AX3012" s="21" t="str">
        <f t="shared" si="178"/>
        <v/>
      </c>
      <c r="AY3012" s="21" t="str">
        <f>IF(AND($AM3012&lt;&gt;"",$AS3012&lt;&gt;"✓"),SUMPRODUCT(($AM$11:$AM3012&lt;&gt;"")*($AS$11:$AS3012&lt;&gt;"✓")),"")</f>
        <v/>
      </c>
      <c r="AZ3012" s="21" t="str">
        <f>IF(AND($AM3012&lt;&gt;"",$AS3012="✓"),SUMPRODUCT(($AM$11:$AM3012&lt;&gt;"")*($AS$11:$AS3012="✓")),"")</f>
        <v/>
      </c>
      <c r="BA3012" s="21" t="str">
        <f>IF($AL3012="","",$AL3012&amp;"|"&amp;COUNTIF($AL$11:$AL3012,$AL3012))</f>
        <v/>
      </c>
    </row>
    <row r="3013" spans="38:53" ht="15" customHeight="1" x14ac:dyDescent="0.25">
      <c r="AL3013" s="17"/>
      <c r="AM3013" s="12"/>
      <c r="AN3013" s="18"/>
      <c r="AO3013" s="18"/>
      <c r="AP3013" s="10"/>
      <c r="AQ3013" s="10"/>
      <c r="AR3013" s="19"/>
      <c r="AS3013" s="20"/>
      <c r="AT3013" s="19"/>
      <c r="AV3013" s="21">
        <f>IF(AND($AL3013&lt;&gt;"",COUNTIF($AL$11:$AL3013,$AL3013)=1),1,0)</f>
        <v>0</v>
      </c>
      <c r="AW3013" s="21">
        <f t="shared" si="179"/>
        <v>0</v>
      </c>
      <c r="AX3013" s="21" t="str">
        <f t="shared" si="178"/>
        <v/>
      </c>
      <c r="AY3013" s="21" t="str">
        <f>IF(AND($AM3013&lt;&gt;"",$AS3013&lt;&gt;"✓"),SUMPRODUCT(($AM$11:$AM3013&lt;&gt;"")*($AS$11:$AS3013&lt;&gt;"✓")),"")</f>
        <v/>
      </c>
      <c r="AZ3013" s="21" t="str">
        <f>IF(AND($AM3013&lt;&gt;"",$AS3013="✓"),SUMPRODUCT(($AM$11:$AM3013&lt;&gt;"")*($AS$11:$AS3013="✓")),"")</f>
        <v/>
      </c>
      <c r="BA3013" s="21" t="str">
        <f>IF($AL3013="","",$AL3013&amp;"|"&amp;COUNTIF($AL$11:$AL3013,$AL3013))</f>
        <v/>
      </c>
    </row>
    <row r="3014" spans="38:53" ht="15" customHeight="1" x14ac:dyDescent="0.25">
      <c r="AL3014" s="31"/>
      <c r="AM3014" s="26"/>
      <c r="AN3014" s="32"/>
      <c r="AO3014" s="32"/>
      <c r="AP3014" s="24"/>
      <c r="AQ3014" s="24"/>
      <c r="AR3014" s="33"/>
      <c r="AS3014" s="34"/>
      <c r="AT3014" s="33"/>
      <c r="AV3014" s="21">
        <f>IF(AND($AL3014&lt;&gt;"",COUNTIF($AL$11:$AL3014,$AL3014)=1),1,0)</f>
        <v>0</v>
      </c>
      <c r="AW3014" s="21">
        <f t="shared" si="179"/>
        <v>0</v>
      </c>
      <c r="AX3014" s="21" t="str">
        <f t="shared" si="178"/>
        <v/>
      </c>
      <c r="AY3014" s="21" t="str">
        <f>IF(AND($AM3014&lt;&gt;"",$AS3014&lt;&gt;"✓"),SUMPRODUCT(($AM$11:$AM3014&lt;&gt;"")*($AS$11:$AS3014&lt;&gt;"✓")),"")</f>
        <v/>
      </c>
      <c r="AZ3014" s="21" t="str">
        <f>IF(AND($AM3014&lt;&gt;"",$AS3014="✓"),SUMPRODUCT(($AM$11:$AM3014&lt;&gt;"")*($AS$11:$AS3014="✓")),"")</f>
        <v/>
      </c>
      <c r="BA3014" s="21" t="str">
        <f>IF($AL3014="","",$AL3014&amp;"|"&amp;COUNTIF($AL$11:$AL3014,$AL3014))</f>
        <v/>
      </c>
    </row>
    <row r="3015" spans="38:53" ht="15" customHeight="1" x14ac:dyDescent="0.25">
      <c r="AL3015" s="17"/>
      <c r="AM3015" s="12"/>
      <c r="AN3015" s="18"/>
      <c r="AO3015" s="18"/>
      <c r="AP3015" s="10"/>
      <c r="AQ3015" s="10"/>
      <c r="AR3015" s="19"/>
      <c r="AS3015" s="20"/>
      <c r="AT3015" s="19"/>
      <c r="AV3015" s="21">
        <f>IF(AND($AL3015&lt;&gt;"",COUNTIF($AL$11:$AL3015,$AL3015)=1),1,0)</f>
        <v>0</v>
      </c>
      <c r="AW3015" s="21">
        <f t="shared" si="179"/>
        <v>0</v>
      </c>
      <c r="AX3015" s="21" t="str">
        <f t="shared" si="178"/>
        <v/>
      </c>
      <c r="AY3015" s="21" t="str">
        <f>IF(AND($AM3015&lt;&gt;"",$AS3015&lt;&gt;"✓"),SUMPRODUCT(($AM$11:$AM3015&lt;&gt;"")*($AS$11:$AS3015&lt;&gt;"✓")),"")</f>
        <v/>
      </c>
      <c r="AZ3015" s="21" t="str">
        <f>IF(AND($AM3015&lt;&gt;"",$AS3015="✓"),SUMPRODUCT(($AM$11:$AM3015&lt;&gt;"")*($AS$11:$AS3015="✓")),"")</f>
        <v/>
      </c>
      <c r="BA3015" s="21" t="str">
        <f>IF($AL3015="","",$AL3015&amp;"|"&amp;COUNTIF($AL$11:$AL3015,$AL3015))</f>
        <v/>
      </c>
    </row>
    <row r="3016" spans="38:53" ht="15" customHeight="1" x14ac:dyDescent="0.25">
      <c r="AL3016" s="31"/>
      <c r="AM3016" s="26"/>
      <c r="AN3016" s="32"/>
      <c r="AO3016" s="32"/>
      <c r="AP3016" s="24"/>
      <c r="AQ3016" s="24"/>
      <c r="AR3016" s="33"/>
      <c r="AS3016" s="34"/>
      <c r="AT3016" s="33"/>
      <c r="AV3016" s="21">
        <f>IF(AND($AL3016&lt;&gt;"",COUNTIF($AL$11:$AL3016,$AL3016)=1),1,0)</f>
        <v>0</v>
      </c>
      <c r="AW3016" s="21">
        <f t="shared" si="179"/>
        <v>0</v>
      </c>
      <c r="AX3016" s="21" t="str">
        <f t="shared" si="178"/>
        <v/>
      </c>
      <c r="AY3016" s="21" t="str">
        <f>IF(AND($AM3016&lt;&gt;"",$AS3016&lt;&gt;"✓"),SUMPRODUCT(($AM$11:$AM3016&lt;&gt;"")*($AS$11:$AS3016&lt;&gt;"✓")),"")</f>
        <v/>
      </c>
      <c r="AZ3016" s="21" t="str">
        <f>IF(AND($AM3016&lt;&gt;"",$AS3016="✓"),SUMPRODUCT(($AM$11:$AM3016&lt;&gt;"")*($AS$11:$AS3016="✓")),"")</f>
        <v/>
      </c>
      <c r="BA3016" s="21" t="str">
        <f>IF($AL3016="","",$AL3016&amp;"|"&amp;COUNTIF($AL$11:$AL3016,$AL3016))</f>
        <v/>
      </c>
    </row>
    <row r="3017" spans="38:53" ht="15" customHeight="1" x14ac:dyDescent="0.25">
      <c r="AL3017" s="17"/>
      <c r="AM3017" s="12"/>
      <c r="AN3017" s="18"/>
      <c r="AO3017" s="18"/>
      <c r="AP3017" s="10"/>
      <c r="AQ3017" s="10"/>
      <c r="AR3017" s="19"/>
      <c r="AS3017" s="20"/>
      <c r="AT3017" s="19"/>
      <c r="AV3017" s="21">
        <f>IF(AND($AL3017&lt;&gt;"",COUNTIF($AL$11:$AL3017,$AL3017)=1),1,0)</f>
        <v>0</v>
      </c>
      <c r="AW3017" s="21">
        <f t="shared" si="179"/>
        <v>0</v>
      </c>
      <c r="AX3017" s="21" t="str">
        <f t="shared" si="178"/>
        <v/>
      </c>
      <c r="AY3017" s="21" t="str">
        <f>IF(AND($AM3017&lt;&gt;"",$AS3017&lt;&gt;"✓"),SUMPRODUCT(($AM$11:$AM3017&lt;&gt;"")*($AS$11:$AS3017&lt;&gt;"✓")),"")</f>
        <v/>
      </c>
      <c r="AZ3017" s="21" t="str">
        <f>IF(AND($AM3017&lt;&gt;"",$AS3017="✓"),SUMPRODUCT(($AM$11:$AM3017&lt;&gt;"")*($AS$11:$AS3017="✓")),"")</f>
        <v/>
      </c>
      <c r="BA3017" s="21" t="str">
        <f>IF($AL3017="","",$AL3017&amp;"|"&amp;COUNTIF($AL$11:$AL3017,$AL3017))</f>
        <v/>
      </c>
    </row>
    <row r="3018" spans="38:53" ht="15" customHeight="1" x14ac:dyDescent="0.25">
      <c r="AL3018" s="31"/>
      <c r="AM3018" s="26"/>
      <c r="AN3018" s="32"/>
      <c r="AO3018" s="32"/>
      <c r="AP3018" s="24"/>
      <c r="AQ3018" s="24"/>
      <c r="AR3018" s="33"/>
      <c r="AS3018" s="34"/>
      <c r="AT3018" s="33"/>
      <c r="AV3018" s="21">
        <f>IF(AND($AL3018&lt;&gt;"",COUNTIF($AL$11:$AL3018,$AL3018)=1),1,0)</f>
        <v>0</v>
      </c>
      <c r="AW3018" s="21">
        <f t="shared" si="179"/>
        <v>0</v>
      </c>
      <c r="AX3018" s="21" t="str">
        <f t="shared" si="178"/>
        <v/>
      </c>
      <c r="AY3018" s="21" t="str">
        <f>IF(AND($AM3018&lt;&gt;"",$AS3018&lt;&gt;"✓"),SUMPRODUCT(($AM$11:$AM3018&lt;&gt;"")*($AS$11:$AS3018&lt;&gt;"✓")),"")</f>
        <v/>
      </c>
      <c r="AZ3018" s="21" t="str">
        <f>IF(AND($AM3018&lt;&gt;"",$AS3018="✓"),SUMPRODUCT(($AM$11:$AM3018&lt;&gt;"")*($AS$11:$AS3018="✓")),"")</f>
        <v/>
      </c>
      <c r="BA3018" s="21" t="str">
        <f>IF($AL3018="","",$AL3018&amp;"|"&amp;COUNTIF($AL$11:$AL3018,$AL3018))</f>
        <v/>
      </c>
    </row>
    <row r="3019" spans="38:53" ht="15" customHeight="1" x14ac:dyDescent="0.25">
      <c r="AL3019" s="17"/>
      <c r="AM3019" s="12"/>
      <c r="AN3019" s="18"/>
      <c r="AO3019" s="18"/>
      <c r="AP3019" s="10"/>
      <c r="AQ3019" s="10"/>
      <c r="AR3019" s="19"/>
      <c r="AS3019" s="20"/>
      <c r="AT3019" s="19"/>
      <c r="AV3019" s="21">
        <f>IF(AND($AL3019&lt;&gt;"",COUNTIF($AL$11:$AL3019,$AL3019)=1),1,0)</f>
        <v>0</v>
      </c>
      <c r="AW3019" s="21">
        <f t="shared" si="179"/>
        <v>0</v>
      </c>
      <c r="AX3019" s="21" t="str">
        <f t="shared" ref="AX3019:AX3082" si="180">IF(AV3019=1,AW3019,"")</f>
        <v/>
      </c>
      <c r="AY3019" s="21" t="str">
        <f>IF(AND($AM3019&lt;&gt;"",$AS3019&lt;&gt;"✓"),SUMPRODUCT(($AM$11:$AM3019&lt;&gt;"")*($AS$11:$AS3019&lt;&gt;"✓")),"")</f>
        <v/>
      </c>
      <c r="AZ3019" s="21" t="str">
        <f>IF(AND($AM3019&lt;&gt;"",$AS3019="✓"),SUMPRODUCT(($AM$11:$AM3019&lt;&gt;"")*($AS$11:$AS3019="✓")),"")</f>
        <v/>
      </c>
      <c r="BA3019" s="21" t="str">
        <f>IF($AL3019="","",$AL3019&amp;"|"&amp;COUNTIF($AL$11:$AL3019,$AL3019))</f>
        <v/>
      </c>
    </row>
    <row r="3020" spans="38:53" ht="15" customHeight="1" x14ac:dyDescent="0.25">
      <c r="AL3020" s="31"/>
      <c r="AM3020" s="26"/>
      <c r="AN3020" s="32"/>
      <c r="AO3020" s="32"/>
      <c r="AP3020" s="24"/>
      <c r="AQ3020" s="24"/>
      <c r="AR3020" s="33"/>
      <c r="AS3020" s="34"/>
      <c r="AT3020" s="33"/>
      <c r="AV3020" s="21">
        <f>IF(AND($AL3020&lt;&gt;"",COUNTIF($AL$11:$AL3020,$AL3020)=1),1,0)</f>
        <v>0</v>
      </c>
      <c r="AW3020" s="21">
        <f t="shared" ref="AW3020:AW3083" si="181">AW3019+AV3020</f>
        <v>0</v>
      </c>
      <c r="AX3020" s="21" t="str">
        <f t="shared" si="180"/>
        <v/>
      </c>
      <c r="AY3020" s="21" t="str">
        <f>IF(AND($AM3020&lt;&gt;"",$AS3020&lt;&gt;"✓"),SUMPRODUCT(($AM$11:$AM3020&lt;&gt;"")*($AS$11:$AS3020&lt;&gt;"✓")),"")</f>
        <v/>
      </c>
      <c r="AZ3020" s="21" t="str">
        <f>IF(AND($AM3020&lt;&gt;"",$AS3020="✓"),SUMPRODUCT(($AM$11:$AM3020&lt;&gt;"")*($AS$11:$AS3020="✓")),"")</f>
        <v/>
      </c>
      <c r="BA3020" s="21" t="str">
        <f>IF($AL3020="","",$AL3020&amp;"|"&amp;COUNTIF($AL$11:$AL3020,$AL3020))</f>
        <v/>
      </c>
    </row>
    <row r="3021" spans="38:53" ht="15" customHeight="1" x14ac:dyDescent="0.25">
      <c r="AL3021" s="17"/>
      <c r="AM3021" s="12"/>
      <c r="AN3021" s="18"/>
      <c r="AO3021" s="18"/>
      <c r="AP3021" s="10"/>
      <c r="AQ3021" s="10"/>
      <c r="AR3021" s="19"/>
      <c r="AS3021" s="20"/>
      <c r="AT3021" s="19"/>
      <c r="AV3021" s="21">
        <f>IF(AND($AL3021&lt;&gt;"",COUNTIF($AL$11:$AL3021,$AL3021)=1),1,0)</f>
        <v>0</v>
      </c>
      <c r="AW3021" s="21">
        <f t="shared" si="181"/>
        <v>0</v>
      </c>
      <c r="AX3021" s="21" t="str">
        <f t="shared" si="180"/>
        <v/>
      </c>
      <c r="AY3021" s="21" t="str">
        <f>IF(AND($AM3021&lt;&gt;"",$AS3021&lt;&gt;"✓"),SUMPRODUCT(($AM$11:$AM3021&lt;&gt;"")*($AS$11:$AS3021&lt;&gt;"✓")),"")</f>
        <v/>
      </c>
      <c r="AZ3021" s="21" t="str">
        <f>IF(AND($AM3021&lt;&gt;"",$AS3021="✓"),SUMPRODUCT(($AM$11:$AM3021&lt;&gt;"")*($AS$11:$AS3021="✓")),"")</f>
        <v/>
      </c>
      <c r="BA3021" s="21" t="str">
        <f>IF($AL3021="","",$AL3021&amp;"|"&amp;COUNTIF($AL$11:$AL3021,$AL3021))</f>
        <v/>
      </c>
    </row>
    <row r="3022" spans="38:53" ht="15" customHeight="1" x14ac:dyDescent="0.25">
      <c r="AL3022" s="31"/>
      <c r="AM3022" s="26"/>
      <c r="AN3022" s="32"/>
      <c r="AO3022" s="32"/>
      <c r="AP3022" s="24"/>
      <c r="AQ3022" s="24"/>
      <c r="AR3022" s="33"/>
      <c r="AS3022" s="34"/>
      <c r="AT3022" s="33"/>
      <c r="AV3022" s="21">
        <f>IF(AND($AL3022&lt;&gt;"",COUNTIF($AL$11:$AL3022,$AL3022)=1),1,0)</f>
        <v>0</v>
      </c>
      <c r="AW3022" s="21">
        <f t="shared" si="181"/>
        <v>0</v>
      </c>
      <c r="AX3022" s="21" t="str">
        <f t="shared" si="180"/>
        <v/>
      </c>
      <c r="AY3022" s="21" t="str">
        <f>IF(AND($AM3022&lt;&gt;"",$AS3022&lt;&gt;"✓"),SUMPRODUCT(($AM$11:$AM3022&lt;&gt;"")*($AS$11:$AS3022&lt;&gt;"✓")),"")</f>
        <v/>
      </c>
      <c r="AZ3022" s="21" t="str">
        <f>IF(AND($AM3022&lt;&gt;"",$AS3022="✓"),SUMPRODUCT(($AM$11:$AM3022&lt;&gt;"")*($AS$11:$AS3022="✓")),"")</f>
        <v/>
      </c>
      <c r="BA3022" s="21" t="str">
        <f>IF($AL3022="","",$AL3022&amp;"|"&amp;COUNTIF($AL$11:$AL3022,$AL3022))</f>
        <v/>
      </c>
    </row>
    <row r="3023" spans="38:53" ht="15" customHeight="1" x14ac:dyDescent="0.25">
      <c r="AL3023" s="17"/>
      <c r="AM3023" s="12"/>
      <c r="AN3023" s="18"/>
      <c r="AO3023" s="18"/>
      <c r="AP3023" s="10"/>
      <c r="AQ3023" s="10"/>
      <c r="AR3023" s="19"/>
      <c r="AS3023" s="20"/>
      <c r="AT3023" s="19"/>
      <c r="AV3023" s="21">
        <f>IF(AND($AL3023&lt;&gt;"",COUNTIF($AL$11:$AL3023,$AL3023)=1),1,0)</f>
        <v>0</v>
      </c>
      <c r="AW3023" s="21">
        <f t="shared" si="181"/>
        <v>0</v>
      </c>
      <c r="AX3023" s="21" t="str">
        <f t="shared" si="180"/>
        <v/>
      </c>
      <c r="AY3023" s="21" t="str">
        <f>IF(AND($AM3023&lt;&gt;"",$AS3023&lt;&gt;"✓"),SUMPRODUCT(($AM$11:$AM3023&lt;&gt;"")*($AS$11:$AS3023&lt;&gt;"✓")),"")</f>
        <v/>
      </c>
      <c r="AZ3023" s="21" t="str">
        <f>IF(AND($AM3023&lt;&gt;"",$AS3023="✓"),SUMPRODUCT(($AM$11:$AM3023&lt;&gt;"")*($AS$11:$AS3023="✓")),"")</f>
        <v/>
      </c>
      <c r="BA3023" s="21" t="str">
        <f>IF($AL3023="","",$AL3023&amp;"|"&amp;COUNTIF($AL$11:$AL3023,$AL3023))</f>
        <v/>
      </c>
    </row>
    <row r="3024" spans="38:53" ht="15" customHeight="1" x14ac:dyDescent="0.25">
      <c r="AL3024" s="31"/>
      <c r="AM3024" s="26"/>
      <c r="AN3024" s="32"/>
      <c r="AO3024" s="32"/>
      <c r="AP3024" s="24"/>
      <c r="AQ3024" s="24"/>
      <c r="AR3024" s="33"/>
      <c r="AS3024" s="34"/>
      <c r="AT3024" s="33"/>
      <c r="AV3024" s="21">
        <f>IF(AND($AL3024&lt;&gt;"",COUNTIF($AL$11:$AL3024,$AL3024)=1),1,0)</f>
        <v>0</v>
      </c>
      <c r="AW3024" s="21">
        <f t="shared" si="181"/>
        <v>0</v>
      </c>
      <c r="AX3024" s="21" t="str">
        <f t="shared" si="180"/>
        <v/>
      </c>
      <c r="AY3024" s="21" t="str">
        <f>IF(AND($AM3024&lt;&gt;"",$AS3024&lt;&gt;"✓"),SUMPRODUCT(($AM$11:$AM3024&lt;&gt;"")*($AS$11:$AS3024&lt;&gt;"✓")),"")</f>
        <v/>
      </c>
      <c r="AZ3024" s="21" t="str">
        <f>IF(AND($AM3024&lt;&gt;"",$AS3024="✓"),SUMPRODUCT(($AM$11:$AM3024&lt;&gt;"")*($AS$11:$AS3024="✓")),"")</f>
        <v/>
      </c>
      <c r="BA3024" s="21" t="str">
        <f>IF($AL3024="","",$AL3024&amp;"|"&amp;COUNTIF($AL$11:$AL3024,$AL3024))</f>
        <v/>
      </c>
    </row>
    <row r="3025" spans="38:53" ht="15" customHeight="1" x14ac:dyDescent="0.25">
      <c r="AL3025" s="17"/>
      <c r="AM3025" s="12"/>
      <c r="AN3025" s="18"/>
      <c r="AO3025" s="18"/>
      <c r="AP3025" s="10"/>
      <c r="AQ3025" s="10"/>
      <c r="AR3025" s="19"/>
      <c r="AS3025" s="20"/>
      <c r="AT3025" s="19"/>
      <c r="AV3025" s="21">
        <f>IF(AND($AL3025&lt;&gt;"",COUNTIF($AL$11:$AL3025,$AL3025)=1),1,0)</f>
        <v>0</v>
      </c>
      <c r="AW3025" s="21">
        <f t="shared" si="181"/>
        <v>0</v>
      </c>
      <c r="AX3025" s="21" t="str">
        <f t="shared" si="180"/>
        <v/>
      </c>
      <c r="AY3025" s="21" t="str">
        <f>IF(AND($AM3025&lt;&gt;"",$AS3025&lt;&gt;"✓"),SUMPRODUCT(($AM$11:$AM3025&lt;&gt;"")*($AS$11:$AS3025&lt;&gt;"✓")),"")</f>
        <v/>
      </c>
      <c r="AZ3025" s="21" t="str">
        <f>IF(AND($AM3025&lt;&gt;"",$AS3025="✓"),SUMPRODUCT(($AM$11:$AM3025&lt;&gt;"")*($AS$11:$AS3025="✓")),"")</f>
        <v/>
      </c>
      <c r="BA3025" s="21" t="str">
        <f>IF($AL3025="","",$AL3025&amp;"|"&amp;COUNTIF($AL$11:$AL3025,$AL3025))</f>
        <v/>
      </c>
    </row>
    <row r="3026" spans="38:53" ht="15" customHeight="1" x14ac:dyDescent="0.25">
      <c r="AL3026" s="31"/>
      <c r="AM3026" s="26"/>
      <c r="AN3026" s="32"/>
      <c r="AO3026" s="32"/>
      <c r="AP3026" s="24"/>
      <c r="AQ3026" s="24"/>
      <c r="AR3026" s="33"/>
      <c r="AS3026" s="34"/>
      <c r="AT3026" s="33"/>
      <c r="AV3026" s="21">
        <f>IF(AND($AL3026&lt;&gt;"",COUNTIF($AL$11:$AL3026,$AL3026)=1),1,0)</f>
        <v>0</v>
      </c>
      <c r="AW3026" s="21">
        <f t="shared" si="181"/>
        <v>0</v>
      </c>
      <c r="AX3026" s="21" t="str">
        <f t="shared" si="180"/>
        <v/>
      </c>
      <c r="AY3026" s="21" t="str">
        <f>IF(AND($AM3026&lt;&gt;"",$AS3026&lt;&gt;"✓"),SUMPRODUCT(($AM$11:$AM3026&lt;&gt;"")*($AS$11:$AS3026&lt;&gt;"✓")),"")</f>
        <v/>
      </c>
      <c r="AZ3026" s="21" t="str">
        <f>IF(AND($AM3026&lt;&gt;"",$AS3026="✓"),SUMPRODUCT(($AM$11:$AM3026&lt;&gt;"")*($AS$11:$AS3026="✓")),"")</f>
        <v/>
      </c>
      <c r="BA3026" s="21" t="str">
        <f>IF($AL3026="","",$AL3026&amp;"|"&amp;COUNTIF($AL$11:$AL3026,$AL3026))</f>
        <v/>
      </c>
    </row>
    <row r="3027" spans="38:53" ht="15" customHeight="1" x14ac:dyDescent="0.25">
      <c r="AL3027" s="17"/>
      <c r="AM3027" s="12"/>
      <c r="AN3027" s="18"/>
      <c r="AO3027" s="18"/>
      <c r="AP3027" s="10"/>
      <c r="AQ3027" s="10"/>
      <c r="AR3027" s="19"/>
      <c r="AS3027" s="20"/>
      <c r="AT3027" s="19"/>
      <c r="AV3027" s="21">
        <f>IF(AND($AL3027&lt;&gt;"",COUNTIF($AL$11:$AL3027,$AL3027)=1),1,0)</f>
        <v>0</v>
      </c>
      <c r="AW3027" s="21">
        <f t="shared" si="181"/>
        <v>0</v>
      </c>
      <c r="AX3027" s="21" t="str">
        <f t="shared" si="180"/>
        <v/>
      </c>
      <c r="AY3027" s="21" t="str">
        <f>IF(AND($AM3027&lt;&gt;"",$AS3027&lt;&gt;"✓"),SUMPRODUCT(($AM$11:$AM3027&lt;&gt;"")*($AS$11:$AS3027&lt;&gt;"✓")),"")</f>
        <v/>
      </c>
      <c r="AZ3027" s="21" t="str">
        <f>IF(AND($AM3027&lt;&gt;"",$AS3027="✓"),SUMPRODUCT(($AM$11:$AM3027&lt;&gt;"")*($AS$11:$AS3027="✓")),"")</f>
        <v/>
      </c>
      <c r="BA3027" s="21" t="str">
        <f>IF($AL3027="","",$AL3027&amp;"|"&amp;COUNTIF($AL$11:$AL3027,$AL3027))</f>
        <v/>
      </c>
    </row>
    <row r="3028" spans="38:53" ht="15" customHeight="1" x14ac:dyDescent="0.25">
      <c r="AL3028" s="31"/>
      <c r="AM3028" s="26"/>
      <c r="AN3028" s="32"/>
      <c r="AO3028" s="32"/>
      <c r="AP3028" s="24"/>
      <c r="AQ3028" s="24"/>
      <c r="AR3028" s="33"/>
      <c r="AS3028" s="34"/>
      <c r="AT3028" s="33"/>
      <c r="AV3028" s="21">
        <f>IF(AND($AL3028&lt;&gt;"",COUNTIF($AL$11:$AL3028,$AL3028)=1),1,0)</f>
        <v>0</v>
      </c>
      <c r="AW3028" s="21">
        <f t="shared" si="181"/>
        <v>0</v>
      </c>
      <c r="AX3028" s="21" t="str">
        <f t="shared" si="180"/>
        <v/>
      </c>
      <c r="AY3028" s="21" t="str">
        <f>IF(AND($AM3028&lt;&gt;"",$AS3028&lt;&gt;"✓"),SUMPRODUCT(($AM$11:$AM3028&lt;&gt;"")*($AS$11:$AS3028&lt;&gt;"✓")),"")</f>
        <v/>
      </c>
      <c r="AZ3028" s="21" t="str">
        <f>IF(AND($AM3028&lt;&gt;"",$AS3028="✓"),SUMPRODUCT(($AM$11:$AM3028&lt;&gt;"")*($AS$11:$AS3028="✓")),"")</f>
        <v/>
      </c>
      <c r="BA3028" s="21" t="str">
        <f>IF($AL3028="","",$AL3028&amp;"|"&amp;COUNTIF($AL$11:$AL3028,$AL3028))</f>
        <v/>
      </c>
    </row>
    <row r="3029" spans="38:53" ht="15" customHeight="1" x14ac:dyDescent="0.25">
      <c r="AL3029" s="17"/>
      <c r="AM3029" s="12"/>
      <c r="AN3029" s="18"/>
      <c r="AO3029" s="18"/>
      <c r="AP3029" s="10"/>
      <c r="AQ3029" s="10"/>
      <c r="AR3029" s="19"/>
      <c r="AS3029" s="20"/>
      <c r="AT3029" s="19"/>
      <c r="AV3029" s="21">
        <f>IF(AND($AL3029&lt;&gt;"",COUNTIF($AL$11:$AL3029,$AL3029)=1),1,0)</f>
        <v>0</v>
      </c>
      <c r="AW3029" s="21">
        <f t="shared" si="181"/>
        <v>0</v>
      </c>
      <c r="AX3029" s="21" t="str">
        <f t="shared" si="180"/>
        <v/>
      </c>
      <c r="AY3029" s="21" t="str">
        <f>IF(AND($AM3029&lt;&gt;"",$AS3029&lt;&gt;"✓"),SUMPRODUCT(($AM$11:$AM3029&lt;&gt;"")*($AS$11:$AS3029&lt;&gt;"✓")),"")</f>
        <v/>
      </c>
      <c r="AZ3029" s="21" t="str">
        <f>IF(AND($AM3029&lt;&gt;"",$AS3029="✓"),SUMPRODUCT(($AM$11:$AM3029&lt;&gt;"")*($AS$11:$AS3029="✓")),"")</f>
        <v/>
      </c>
      <c r="BA3029" s="21" t="str">
        <f>IF($AL3029="","",$AL3029&amp;"|"&amp;COUNTIF($AL$11:$AL3029,$AL3029))</f>
        <v/>
      </c>
    </row>
    <row r="3030" spans="38:53" ht="15" customHeight="1" x14ac:dyDescent="0.25">
      <c r="AL3030" s="31"/>
      <c r="AM3030" s="26"/>
      <c r="AN3030" s="32"/>
      <c r="AO3030" s="32"/>
      <c r="AP3030" s="24"/>
      <c r="AQ3030" s="24"/>
      <c r="AR3030" s="33"/>
      <c r="AS3030" s="34"/>
      <c r="AT3030" s="33"/>
      <c r="AV3030" s="21">
        <f>IF(AND($AL3030&lt;&gt;"",COUNTIF($AL$11:$AL3030,$AL3030)=1),1,0)</f>
        <v>0</v>
      </c>
      <c r="AW3030" s="21">
        <f t="shared" si="181"/>
        <v>0</v>
      </c>
      <c r="AX3030" s="21" t="str">
        <f t="shared" si="180"/>
        <v/>
      </c>
      <c r="AY3030" s="21" t="str">
        <f>IF(AND($AM3030&lt;&gt;"",$AS3030&lt;&gt;"✓"),SUMPRODUCT(($AM$11:$AM3030&lt;&gt;"")*($AS$11:$AS3030&lt;&gt;"✓")),"")</f>
        <v/>
      </c>
      <c r="AZ3030" s="21" t="str">
        <f>IF(AND($AM3030&lt;&gt;"",$AS3030="✓"),SUMPRODUCT(($AM$11:$AM3030&lt;&gt;"")*($AS$11:$AS3030="✓")),"")</f>
        <v/>
      </c>
      <c r="BA3030" s="21" t="str">
        <f>IF($AL3030="","",$AL3030&amp;"|"&amp;COUNTIF($AL$11:$AL3030,$AL3030))</f>
        <v/>
      </c>
    </row>
    <row r="3031" spans="38:53" ht="15" customHeight="1" x14ac:dyDescent="0.25">
      <c r="AL3031" s="17"/>
      <c r="AM3031" s="12"/>
      <c r="AN3031" s="18"/>
      <c r="AO3031" s="18"/>
      <c r="AP3031" s="10"/>
      <c r="AQ3031" s="10"/>
      <c r="AR3031" s="19"/>
      <c r="AS3031" s="20"/>
      <c r="AT3031" s="19"/>
      <c r="AV3031" s="21">
        <f>IF(AND($AL3031&lt;&gt;"",COUNTIF($AL$11:$AL3031,$AL3031)=1),1,0)</f>
        <v>0</v>
      </c>
      <c r="AW3031" s="21">
        <f t="shared" si="181"/>
        <v>0</v>
      </c>
      <c r="AX3031" s="21" t="str">
        <f t="shared" si="180"/>
        <v/>
      </c>
      <c r="AY3031" s="21" t="str">
        <f>IF(AND($AM3031&lt;&gt;"",$AS3031&lt;&gt;"✓"),SUMPRODUCT(($AM$11:$AM3031&lt;&gt;"")*($AS$11:$AS3031&lt;&gt;"✓")),"")</f>
        <v/>
      </c>
      <c r="AZ3031" s="21" t="str">
        <f>IF(AND($AM3031&lt;&gt;"",$AS3031="✓"),SUMPRODUCT(($AM$11:$AM3031&lt;&gt;"")*($AS$11:$AS3031="✓")),"")</f>
        <v/>
      </c>
      <c r="BA3031" s="21" t="str">
        <f>IF($AL3031="","",$AL3031&amp;"|"&amp;COUNTIF($AL$11:$AL3031,$AL3031))</f>
        <v/>
      </c>
    </row>
    <row r="3032" spans="38:53" ht="15" customHeight="1" x14ac:dyDescent="0.25">
      <c r="AL3032" s="31"/>
      <c r="AM3032" s="26"/>
      <c r="AN3032" s="32"/>
      <c r="AO3032" s="32"/>
      <c r="AP3032" s="24"/>
      <c r="AQ3032" s="24"/>
      <c r="AR3032" s="33"/>
      <c r="AS3032" s="34"/>
      <c r="AT3032" s="33"/>
      <c r="AV3032" s="21">
        <f>IF(AND($AL3032&lt;&gt;"",COUNTIF($AL$11:$AL3032,$AL3032)=1),1,0)</f>
        <v>0</v>
      </c>
      <c r="AW3032" s="21">
        <f t="shared" si="181"/>
        <v>0</v>
      </c>
      <c r="AX3032" s="21" t="str">
        <f t="shared" si="180"/>
        <v/>
      </c>
      <c r="AY3032" s="21" t="str">
        <f>IF(AND($AM3032&lt;&gt;"",$AS3032&lt;&gt;"✓"),SUMPRODUCT(($AM$11:$AM3032&lt;&gt;"")*($AS$11:$AS3032&lt;&gt;"✓")),"")</f>
        <v/>
      </c>
      <c r="AZ3032" s="21" t="str">
        <f>IF(AND($AM3032&lt;&gt;"",$AS3032="✓"),SUMPRODUCT(($AM$11:$AM3032&lt;&gt;"")*($AS$11:$AS3032="✓")),"")</f>
        <v/>
      </c>
      <c r="BA3032" s="21" t="str">
        <f>IF($AL3032="","",$AL3032&amp;"|"&amp;COUNTIF($AL$11:$AL3032,$AL3032))</f>
        <v/>
      </c>
    </row>
    <row r="3033" spans="38:53" ht="15" customHeight="1" x14ac:dyDescent="0.25">
      <c r="AL3033" s="17"/>
      <c r="AM3033" s="12"/>
      <c r="AN3033" s="18"/>
      <c r="AO3033" s="18"/>
      <c r="AP3033" s="10"/>
      <c r="AQ3033" s="10"/>
      <c r="AR3033" s="19"/>
      <c r="AS3033" s="20"/>
      <c r="AT3033" s="19"/>
      <c r="AV3033" s="21">
        <f>IF(AND($AL3033&lt;&gt;"",COUNTIF($AL$11:$AL3033,$AL3033)=1),1,0)</f>
        <v>0</v>
      </c>
      <c r="AW3033" s="21">
        <f t="shared" si="181"/>
        <v>0</v>
      </c>
      <c r="AX3033" s="21" t="str">
        <f t="shared" si="180"/>
        <v/>
      </c>
      <c r="AY3033" s="21" t="str">
        <f>IF(AND($AM3033&lt;&gt;"",$AS3033&lt;&gt;"✓"),SUMPRODUCT(($AM$11:$AM3033&lt;&gt;"")*($AS$11:$AS3033&lt;&gt;"✓")),"")</f>
        <v/>
      </c>
      <c r="AZ3033" s="21" t="str">
        <f>IF(AND($AM3033&lt;&gt;"",$AS3033="✓"),SUMPRODUCT(($AM$11:$AM3033&lt;&gt;"")*($AS$11:$AS3033="✓")),"")</f>
        <v/>
      </c>
      <c r="BA3033" s="21" t="str">
        <f>IF($AL3033="","",$AL3033&amp;"|"&amp;COUNTIF($AL$11:$AL3033,$AL3033))</f>
        <v/>
      </c>
    </row>
    <row r="3034" spans="38:53" ht="15" customHeight="1" x14ac:dyDescent="0.25">
      <c r="AL3034" s="31"/>
      <c r="AM3034" s="26"/>
      <c r="AN3034" s="32"/>
      <c r="AO3034" s="32"/>
      <c r="AP3034" s="24"/>
      <c r="AQ3034" s="24"/>
      <c r="AR3034" s="33"/>
      <c r="AS3034" s="34"/>
      <c r="AT3034" s="33"/>
      <c r="AV3034" s="21">
        <f>IF(AND($AL3034&lt;&gt;"",COUNTIF($AL$11:$AL3034,$AL3034)=1),1,0)</f>
        <v>0</v>
      </c>
      <c r="AW3034" s="21">
        <f t="shared" si="181"/>
        <v>0</v>
      </c>
      <c r="AX3034" s="21" t="str">
        <f t="shared" si="180"/>
        <v/>
      </c>
      <c r="AY3034" s="21" t="str">
        <f>IF(AND($AM3034&lt;&gt;"",$AS3034&lt;&gt;"✓"),SUMPRODUCT(($AM$11:$AM3034&lt;&gt;"")*($AS$11:$AS3034&lt;&gt;"✓")),"")</f>
        <v/>
      </c>
      <c r="AZ3034" s="21" t="str">
        <f>IF(AND($AM3034&lt;&gt;"",$AS3034="✓"),SUMPRODUCT(($AM$11:$AM3034&lt;&gt;"")*($AS$11:$AS3034="✓")),"")</f>
        <v/>
      </c>
      <c r="BA3034" s="21" t="str">
        <f>IF($AL3034="","",$AL3034&amp;"|"&amp;COUNTIF($AL$11:$AL3034,$AL3034))</f>
        <v/>
      </c>
    </row>
    <row r="3035" spans="38:53" ht="15" customHeight="1" x14ac:dyDescent="0.25">
      <c r="AL3035" s="17"/>
      <c r="AM3035" s="12"/>
      <c r="AN3035" s="18"/>
      <c r="AO3035" s="18"/>
      <c r="AP3035" s="10"/>
      <c r="AQ3035" s="10"/>
      <c r="AR3035" s="19"/>
      <c r="AS3035" s="20"/>
      <c r="AT3035" s="19"/>
      <c r="AV3035" s="21">
        <f>IF(AND($AL3035&lt;&gt;"",COUNTIF($AL$11:$AL3035,$AL3035)=1),1,0)</f>
        <v>0</v>
      </c>
      <c r="AW3035" s="21">
        <f t="shared" si="181"/>
        <v>0</v>
      </c>
      <c r="AX3035" s="21" t="str">
        <f t="shared" si="180"/>
        <v/>
      </c>
      <c r="AY3035" s="21" t="str">
        <f>IF(AND($AM3035&lt;&gt;"",$AS3035&lt;&gt;"✓"),SUMPRODUCT(($AM$11:$AM3035&lt;&gt;"")*($AS$11:$AS3035&lt;&gt;"✓")),"")</f>
        <v/>
      </c>
      <c r="AZ3035" s="21" t="str">
        <f>IF(AND($AM3035&lt;&gt;"",$AS3035="✓"),SUMPRODUCT(($AM$11:$AM3035&lt;&gt;"")*($AS$11:$AS3035="✓")),"")</f>
        <v/>
      </c>
      <c r="BA3035" s="21" t="str">
        <f>IF($AL3035="","",$AL3035&amp;"|"&amp;COUNTIF($AL$11:$AL3035,$AL3035))</f>
        <v/>
      </c>
    </row>
    <row r="3036" spans="38:53" ht="15" customHeight="1" x14ac:dyDescent="0.25">
      <c r="AL3036" s="31"/>
      <c r="AM3036" s="26"/>
      <c r="AN3036" s="32"/>
      <c r="AO3036" s="32"/>
      <c r="AP3036" s="24"/>
      <c r="AQ3036" s="24"/>
      <c r="AR3036" s="33"/>
      <c r="AS3036" s="34"/>
      <c r="AT3036" s="33"/>
      <c r="AV3036" s="21">
        <f>IF(AND($AL3036&lt;&gt;"",COUNTIF($AL$11:$AL3036,$AL3036)=1),1,0)</f>
        <v>0</v>
      </c>
      <c r="AW3036" s="21">
        <f t="shared" si="181"/>
        <v>0</v>
      </c>
      <c r="AX3036" s="21" t="str">
        <f t="shared" si="180"/>
        <v/>
      </c>
      <c r="AY3036" s="21" t="str">
        <f>IF(AND($AM3036&lt;&gt;"",$AS3036&lt;&gt;"✓"),SUMPRODUCT(($AM$11:$AM3036&lt;&gt;"")*($AS$11:$AS3036&lt;&gt;"✓")),"")</f>
        <v/>
      </c>
      <c r="AZ3036" s="21" t="str">
        <f>IF(AND($AM3036&lt;&gt;"",$AS3036="✓"),SUMPRODUCT(($AM$11:$AM3036&lt;&gt;"")*($AS$11:$AS3036="✓")),"")</f>
        <v/>
      </c>
      <c r="BA3036" s="21" t="str">
        <f>IF($AL3036="","",$AL3036&amp;"|"&amp;COUNTIF($AL$11:$AL3036,$AL3036))</f>
        <v/>
      </c>
    </row>
    <row r="3037" spans="38:53" ht="15" customHeight="1" x14ac:dyDescent="0.25">
      <c r="AL3037" s="17"/>
      <c r="AM3037" s="12"/>
      <c r="AN3037" s="18"/>
      <c r="AO3037" s="18"/>
      <c r="AP3037" s="10"/>
      <c r="AQ3037" s="10"/>
      <c r="AR3037" s="19"/>
      <c r="AS3037" s="20"/>
      <c r="AT3037" s="19"/>
      <c r="AV3037" s="21">
        <f>IF(AND($AL3037&lt;&gt;"",COUNTIF($AL$11:$AL3037,$AL3037)=1),1,0)</f>
        <v>0</v>
      </c>
      <c r="AW3037" s="21">
        <f t="shared" si="181"/>
        <v>0</v>
      </c>
      <c r="AX3037" s="21" t="str">
        <f t="shared" si="180"/>
        <v/>
      </c>
      <c r="AY3037" s="21" t="str">
        <f>IF(AND($AM3037&lt;&gt;"",$AS3037&lt;&gt;"✓"),SUMPRODUCT(($AM$11:$AM3037&lt;&gt;"")*($AS$11:$AS3037&lt;&gt;"✓")),"")</f>
        <v/>
      </c>
      <c r="AZ3037" s="21" t="str">
        <f>IF(AND($AM3037&lt;&gt;"",$AS3037="✓"),SUMPRODUCT(($AM$11:$AM3037&lt;&gt;"")*($AS$11:$AS3037="✓")),"")</f>
        <v/>
      </c>
      <c r="BA3037" s="21" t="str">
        <f>IF($AL3037="","",$AL3037&amp;"|"&amp;COUNTIF($AL$11:$AL3037,$AL3037))</f>
        <v/>
      </c>
    </row>
    <row r="3038" spans="38:53" ht="15" customHeight="1" x14ac:dyDescent="0.25">
      <c r="AL3038" s="31"/>
      <c r="AM3038" s="26"/>
      <c r="AN3038" s="32"/>
      <c r="AO3038" s="32"/>
      <c r="AP3038" s="24"/>
      <c r="AQ3038" s="24"/>
      <c r="AR3038" s="33"/>
      <c r="AS3038" s="34"/>
      <c r="AT3038" s="33"/>
      <c r="AV3038" s="21">
        <f>IF(AND($AL3038&lt;&gt;"",COUNTIF($AL$11:$AL3038,$AL3038)=1),1,0)</f>
        <v>0</v>
      </c>
      <c r="AW3038" s="21">
        <f t="shared" si="181"/>
        <v>0</v>
      </c>
      <c r="AX3038" s="21" t="str">
        <f t="shared" si="180"/>
        <v/>
      </c>
      <c r="AY3038" s="21" t="str">
        <f>IF(AND($AM3038&lt;&gt;"",$AS3038&lt;&gt;"✓"),SUMPRODUCT(($AM$11:$AM3038&lt;&gt;"")*($AS$11:$AS3038&lt;&gt;"✓")),"")</f>
        <v/>
      </c>
      <c r="AZ3038" s="21" t="str">
        <f>IF(AND($AM3038&lt;&gt;"",$AS3038="✓"),SUMPRODUCT(($AM$11:$AM3038&lt;&gt;"")*($AS$11:$AS3038="✓")),"")</f>
        <v/>
      </c>
      <c r="BA3038" s="21" t="str">
        <f>IF($AL3038="","",$AL3038&amp;"|"&amp;COUNTIF($AL$11:$AL3038,$AL3038))</f>
        <v/>
      </c>
    </row>
    <row r="3039" spans="38:53" ht="15" customHeight="1" x14ac:dyDescent="0.25">
      <c r="AL3039" s="17"/>
      <c r="AM3039" s="12"/>
      <c r="AN3039" s="18"/>
      <c r="AO3039" s="18"/>
      <c r="AP3039" s="10"/>
      <c r="AQ3039" s="10"/>
      <c r="AR3039" s="19"/>
      <c r="AS3039" s="20"/>
      <c r="AT3039" s="19"/>
      <c r="AV3039" s="21">
        <f>IF(AND($AL3039&lt;&gt;"",COUNTIF($AL$11:$AL3039,$AL3039)=1),1,0)</f>
        <v>0</v>
      </c>
      <c r="AW3039" s="21">
        <f t="shared" si="181"/>
        <v>0</v>
      </c>
      <c r="AX3039" s="21" t="str">
        <f t="shared" si="180"/>
        <v/>
      </c>
      <c r="AY3039" s="21" t="str">
        <f>IF(AND($AM3039&lt;&gt;"",$AS3039&lt;&gt;"✓"),SUMPRODUCT(($AM$11:$AM3039&lt;&gt;"")*($AS$11:$AS3039&lt;&gt;"✓")),"")</f>
        <v/>
      </c>
      <c r="AZ3039" s="21" t="str">
        <f>IF(AND($AM3039&lt;&gt;"",$AS3039="✓"),SUMPRODUCT(($AM$11:$AM3039&lt;&gt;"")*($AS$11:$AS3039="✓")),"")</f>
        <v/>
      </c>
      <c r="BA3039" s="21" t="str">
        <f>IF($AL3039="","",$AL3039&amp;"|"&amp;COUNTIF($AL$11:$AL3039,$AL3039))</f>
        <v/>
      </c>
    </row>
    <row r="3040" spans="38:53" ht="15" customHeight="1" x14ac:dyDescent="0.25">
      <c r="AL3040" s="31"/>
      <c r="AM3040" s="26"/>
      <c r="AN3040" s="32"/>
      <c r="AO3040" s="32"/>
      <c r="AP3040" s="24"/>
      <c r="AQ3040" s="24"/>
      <c r="AR3040" s="33"/>
      <c r="AS3040" s="34"/>
      <c r="AT3040" s="33"/>
      <c r="AV3040" s="21">
        <f>IF(AND($AL3040&lt;&gt;"",COUNTIF($AL$11:$AL3040,$AL3040)=1),1,0)</f>
        <v>0</v>
      </c>
      <c r="AW3040" s="21">
        <f t="shared" si="181"/>
        <v>0</v>
      </c>
      <c r="AX3040" s="21" t="str">
        <f t="shared" si="180"/>
        <v/>
      </c>
      <c r="AY3040" s="21" t="str">
        <f>IF(AND($AM3040&lt;&gt;"",$AS3040&lt;&gt;"✓"),SUMPRODUCT(($AM$11:$AM3040&lt;&gt;"")*($AS$11:$AS3040&lt;&gt;"✓")),"")</f>
        <v/>
      </c>
      <c r="AZ3040" s="21" t="str">
        <f>IF(AND($AM3040&lt;&gt;"",$AS3040="✓"),SUMPRODUCT(($AM$11:$AM3040&lt;&gt;"")*($AS$11:$AS3040="✓")),"")</f>
        <v/>
      </c>
      <c r="BA3040" s="21" t="str">
        <f>IF($AL3040="","",$AL3040&amp;"|"&amp;COUNTIF($AL$11:$AL3040,$AL3040))</f>
        <v/>
      </c>
    </row>
    <row r="3041" spans="38:53" ht="15" customHeight="1" x14ac:dyDescent="0.25">
      <c r="AL3041" s="17"/>
      <c r="AM3041" s="12"/>
      <c r="AN3041" s="18"/>
      <c r="AO3041" s="18"/>
      <c r="AP3041" s="10"/>
      <c r="AQ3041" s="10"/>
      <c r="AR3041" s="19"/>
      <c r="AS3041" s="20"/>
      <c r="AT3041" s="19"/>
      <c r="AV3041" s="21">
        <f>IF(AND($AL3041&lt;&gt;"",COUNTIF($AL$11:$AL3041,$AL3041)=1),1,0)</f>
        <v>0</v>
      </c>
      <c r="AW3041" s="21">
        <f t="shared" si="181"/>
        <v>0</v>
      </c>
      <c r="AX3041" s="21" t="str">
        <f t="shared" si="180"/>
        <v/>
      </c>
      <c r="AY3041" s="21" t="str">
        <f>IF(AND($AM3041&lt;&gt;"",$AS3041&lt;&gt;"✓"),SUMPRODUCT(($AM$11:$AM3041&lt;&gt;"")*($AS$11:$AS3041&lt;&gt;"✓")),"")</f>
        <v/>
      </c>
      <c r="AZ3041" s="21" t="str">
        <f>IF(AND($AM3041&lt;&gt;"",$AS3041="✓"),SUMPRODUCT(($AM$11:$AM3041&lt;&gt;"")*($AS$11:$AS3041="✓")),"")</f>
        <v/>
      </c>
      <c r="BA3041" s="21" t="str">
        <f>IF($AL3041="","",$AL3041&amp;"|"&amp;COUNTIF($AL$11:$AL3041,$AL3041))</f>
        <v/>
      </c>
    </row>
    <row r="3042" spans="38:53" ht="15" customHeight="1" x14ac:dyDescent="0.25">
      <c r="AL3042" s="31"/>
      <c r="AM3042" s="26"/>
      <c r="AN3042" s="32"/>
      <c r="AO3042" s="32"/>
      <c r="AP3042" s="24"/>
      <c r="AQ3042" s="24"/>
      <c r="AR3042" s="33"/>
      <c r="AS3042" s="34"/>
      <c r="AT3042" s="33"/>
      <c r="AV3042" s="21">
        <f>IF(AND($AL3042&lt;&gt;"",COUNTIF($AL$11:$AL3042,$AL3042)=1),1,0)</f>
        <v>0</v>
      </c>
      <c r="AW3042" s="21">
        <f t="shared" si="181"/>
        <v>0</v>
      </c>
      <c r="AX3042" s="21" t="str">
        <f t="shared" si="180"/>
        <v/>
      </c>
      <c r="AY3042" s="21" t="str">
        <f>IF(AND($AM3042&lt;&gt;"",$AS3042&lt;&gt;"✓"),SUMPRODUCT(($AM$11:$AM3042&lt;&gt;"")*($AS$11:$AS3042&lt;&gt;"✓")),"")</f>
        <v/>
      </c>
      <c r="AZ3042" s="21" t="str">
        <f>IF(AND($AM3042&lt;&gt;"",$AS3042="✓"),SUMPRODUCT(($AM$11:$AM3042&lt;&gt;"")*($AS$11:$AS3042="✓")),"")</f>
        <v/>
      </c>
      <c r="BA3042" s="21" t="str">
        <f>IF($AL3042="","",$AL3042&amp;"|"&amp;COUNTIF($AL$11:$AL3042,$AL3042))</f>
        <v/>
      </c>
    </row>
    <row r="3043" spans="38:53" ht="15" customHeight="1" x14ac:dyDescent="0.25">
      <c r="AL3043" s="17"/>
      <c r="AM3043" s="12"/>
      <c r="AN3043" s="18"/>
      <c r="AO3043" s="18"/>
      <c r="AP3043" s="10"/>
      <c r="AQ3043" s="10"/>
      <c r="AR3043" s="19"/>
      <c r="AS3043" s="20"/>
      <c r="AT3043" s="19"/>
      <c r="AV3043" s="21">
        <f>IF(AND($AL3043&lt;&gt;"",COUNTIF($AL$11:$AL3043,$AL3043)=1),1,0)</f>
        <v>0</v>
      </c>
      <c r="AW3043" s="21">
        <f t="shared" si="181"/>
        <v>0</v>
      </c>
      <c r="AX3043" s="21" t="str">
        <f t="shared" si="180"/>
        <v/>
      </c>
      <c r="AY3043" s="21" t="str">
        <f>IF(AND($AM3043&lt;&gt;"",$AS3043&lt;&gt;"✓"),SUMPRODUCT(($AM$11:$AM3043&lt;&gt;"")*($AS$11:$AS3043&lt;&gt;"✓")),"")</f>
        <v/>
      </c>
      <c r="AZ3043" s="21" t="str">
        <f>IF(AND($AM3043&lt;&gt;"",$AS3043="✓"),SUMPRODUCT(($AM$11:$AM3043&lt;&gt;"")*($AS$11:$AS3043="✓")),"")</f>
        <v/>
      </c>
      <c r="BA3043" s="21" t="str">
        <f>IF($AL3043="","",$AL3043&amp;"|"&amp;COUNTIF($AL$11:$AL3043,$AL3043))</f>
        <v/>
      </c>
    </row>
    <row r="3044" spans="38:53" ht="15" customHeight="1" x14ac:dyDescent="0.25">
      <c r="AL3044" s="31"/>
      <c r="AM3044" s="26"/>
      <c r="AN3044" s="32"/>
      <c r="AO3044" s="32"/>
      <c r="AP3044" s="24"/>
      <c r="AQ3044" s="24"/>
      <c r="AR3044" s="33"/>
      <c r="AS3044" s="34"/>
      <c r="AT3044" s="33"/>
      <c r="AV3044" s="21">
        <f>IF(AND($AL3044&lt;&gt;"",COUNTIF($AL$11:$AL3044,$AL3044)=1),1,0)</f>
        <v>0</v>
      </c>
      <c r="AW3044" s="21">
        <f t="shared" si="181"/>
        <v>0</v>
      </c>
      <c r="AX3044" s="21" t="str">
        <f t="shared" si="180"/>
        <v/>
      </c>
      <c r="AY3044" s="21" t="str">
        <f>IF(AND($AM3044&lt;&gt;"",$AS3044&lt;&gt;"✓"),SUMPRODUCT(($AM$11:$AM3044&lt;&gt;"")*($AS$11:$AS3044&lt;&gt;"✓")),"")</f>
        <v/>
      </c>
      <c r="AZ3044" s="21" t="str">
        <f>IF(AND($AM3044&lt;&gt;"",$AS3044="✓"),SUMPRODUCT(($AM$11:$AM3044&lt;&gt;"")*($AS$11:$AS3044="✓")),"")</f>
        <v/>
      </c>
      <c r="BA3044" s="21" t="str">
        <f>IF($AL3044="","",$AL3044&amp;"|"&amp;COUNTIF($AL$11:$AL3044,$AL3044))</f>
        <v/>
      </c>
    </row>
    <row r="3045" spans="38:53" ht="15" customHeight="1" x14ac:dyDescent="0.25">
      <c r="AL3045" s="17"/>
      <c r="AM3045" s="12"/>
      <c r="AN3045" s="18"/>
      <c r="AO3045" s="18"/>
      <c r="AP3045" s="10"/>
      <c r="AQ3045" s="10"/>
      <c r="AR3045" s="19"/>
      <c r="AS3045" s="20"/>
      <c r="AT3045" s="19"/>
      <c r="AV3045" s="21">
        <f>IF(AND($AL3045&lt;&gt;"",COUNTIF($AL$11:$AL3045,$AL3045)=1),1,0)</f>
        <v>0</v>
      </c>
      <c r="AW3045" s="21">
        <f t="shared" si="181"/>
        <v>0</v>
      </c>
      <c r="AX3045" s="21" t="str">
        <f t="shared" si="180"/>
        <v/>
      </c>
      <c r="AY3045" s="21" t="str">
        <f>IF(AND($AM3045&lt;&gt;"",$AS3045&lt;&gt;"✓"),SUMPRODUCT(($AM$11:$AM3045&lt;&gt;"")*($AS$11:$AS3045&lt;&gt;"✓")),"")</f>
        <v/>
      </c>
      <c r="AZ3045" s="21" t="str">
        <f>IF(AND($AM3045&lt;&gt;"",$AS3045="✓"),SUMPRODUCT(($AM$11:$AM3045&lt;&gt;"")*($AS$11:$AS3045="✓")),"")</f>
        <v/>
      </c>
      <c r="BA3045" s="21" t="str">
        <f>IF($AL3045="","",$AL3045&amp;"|"&amp;COUNTIF($AL$11:$AL3045,$AL3045))</f>
        <v/>
      </c>
    </row>
    <row r="3046" spans="38:53" ht="15" customHeight="1" x14ac:dyDescent="0.25">
      <c r="AL3046" s="31"/>
      <c r="AM3046" s="26"/>
      <c r="AN3046" s="32"/>
      <c r="AO3046" s="32"/>
      <c r="AP3046" s="24"/>
      <c r="AQ3046" s="24"/>
      <c r="AR3046" s="33"/>
      <c r="AS3046" s="34"/>
      <c r="AT3046" s="33"/>
      <c r="AV3046" s="21">
        <f>IF(AND($AL3046&lt;&gt;"",COUNTIF($AL$11:$AL3046,$AL3046)=1),1,0)</f>
        <v>0</v>
      </c>
      <c r="AW3046" s="21">
        <f t="shared" si="181"/>
        <v>0</v>
      </c>
      <c r="AX3046" s="21" t="str">
        <f t="shared" si="180"/>
        <v/>
      </c>
      <c r="AY3046" s="21" t="str">
        <f>IF(AND($AM3046&lt;&gt;"",$AS3046&lt;&gt;"✓"),SUMPRODUCT(($AM$11:$AM3046&lt;&gt;"")*($AS$11:$AS3046&lt;&gt;"✓")),"")</f>
        <v/>
      </c>
      <c r="AZ3046" s="21" t="str">
        <f>IF(AND($AM3046&lt;&gt;"",$AS3046="✓"),SUMPRODUCT(($AM$11:$AM3046&lt;&gt;"")*($AS$11:$AS3046="✓")),"")</f>
        <v/>
      </c>
      <c r="BA3046" s="21" t="str">
        <f>IF($AL3046="","",$AL3046&amp;"|"&amp;COUNTIF($AL$11:$AL3046,$AL3046))</f>
        <v/>
      </c>
    </row>
    <row r="3047" spans="38:53" ht="15" customHeight="1" x14ac:dyDescent="0.25">
      <c r="AL3047" s="17"/>
      <c r="AM3047" s="12"/>
      <c r="AN3047" s="18"/>
      <c r="AO3047" s="18"/>
      <c r="AP3047" s="10"/>
      <c r="AQ3047" s="10"/>
      <c r="AR3047" s="19"/>
      <c r="AS3047" s="20"/>
      <c r="AT3047" s="19"/>
      <c r="AV3047" s="21">
        <f>IF(AND($AL3047&lt;&gt;"",COUNTIF($AL$11:$AL3047,$AL3047)=1),1,0)</f>
        <v>0</v>
      </c>
      <c r="AW3047" s="21">
        <f t="shared" si="181"/>
        <v>0</v>
      </c>
      <c r="AX3047" s="21" t="str">
        <f t="shared" si="180"/>
        <v/>
      </c>
      <c r="AY3047" s="21" t="str">
        <f>IF(AND($AM3047&lt;&gt;"",$AS3047&lt;&gt;"✓"),SUMPRODUCT(($AM$11:$AM3047&lt;&gt;"")*($AS$11:$AS3047&lt;&gt;"✓")),"")</f>
        <v/>
      </c>
      <c r="AZ3047" s="21" t="str">
        <f>IF(AND($AM3047&lt;&gt;"",$AS3047="✓"),SUMPRODUCT(($AM$11:$AM3047&lt;&gt;"")*($AS$11:$AS3047="✓")),"")</f>
        <v/>
      </c>
      <c r="BA3047" s="21" t="str">
        <f>IF($AL3047="","",$AL3047&amp;"|"&amp;COUNTIF($AL$11:$AL3047,$AL3047))</f>
        <v/>
      </c>
    </row>
    <row r="3048" spans="38:53" ht="15" customHeight="1" x14ac:dyDescent="0.25">
      <c r="AL3048" s="31"/>
      <c r="AM3048" s="26"/>
      <c r="AN3048" s="32"/>
      <c r="AO3048" s="32"/>
      <c r="AP3048" s="24"/>
      <c r="AQ3048" s="24"/>
      <c r="AR3048" s="33"/>
      <c r="AS3048" s="34"/>
      <c r="AT3048" s="33"/>
      <c r="AV3048" s="21">
        <f>IF(AND($AL3048&lt;&gt;"",COUNTIF($AL$11:$AL3048,$AL3048)=1),1,0)</f>
        <v>0</v>
      </c>
      <c r="AW3048" s="21">
        <f t="shared" si="181"/>
        <v>0</v>
      </c>
      <c r="AX3048" s="21" t="str">
        <f t="shared" si="180"/>
        <v/>
      </c>
      <c r="AY3048" s="21" t="str">
        <f>IF(AND($AM3048&lt;&gt;"",$AS3048&lt;&gt;"✓"),SUMPRODUCT(($AM$11:$AM3048&lt;&gt;"")*($AS$11:$AS3048&lt;&gt;"✓")),"")</f>
        <v/>
      </c>
      <c r="AZ3048" s="21" t="str">
        <f>IF(AND($AM3048&lt;&gt;"",$AS3048="✓"),SUMPRODUCT(($AM$11:$AM3048&lt;&gt;"")*($AS$11:$AS3048="✓")),"")</f>
        <v/>
      </c>
      <c r="BA3048" s="21" t="str">
        <f>IF($AL3048="","",$AL3048&amp;"|"&amp;COUNTIF($AL$11:$AL3048,$AL3048))</f>
        <v/>
      </c>
    </row>
    <row r="3049" spans="38:53" ht="15" customHeight="1" x14ac:dyDescent="0.25">
      <c r="AL3049" s="17"/>
      <c r="AM3049" s="12"/>
      <c r="AN3049" s="18"/>
      <c r="AO3049" s="18"/>
      <c r="AP3049" s="10"/>
      <c r="AQ3049" s="10"/>
      <c r="AR3049" s="19"/>
      <c r="AS3049" s="20"/>
      <c r="AT3049" s="19"/>
      <c r="AV3049" s="21">
        <f>IF(AND($AL3049&lt;&gt;"",COUNTIF($AL$11:$AL3049,$AL3049)=1),1,0)</f>
        <v>0</v>
      </c>
      <c r="AW3049" s="21">
        <f t="shared" si="181"/>
        <v>0</v>
      </c>
      <c r="AX3049" s="21" t="str">
        <f t="shared" si="180"/>
        <v/>
      </c>
      <c r="AY3049" s="21" t="str">
        <f>IF(AND($AM3049&lt;&gt;"",$AS3049&lt;&gt;"✓"),SUMPRODUCT(($AM$11:$AM3049&lt;&gt;"")*($AS$11:$AS3049&lt;&gt;"✓")),"")</f>
        <v/>
      </c>
      <c r="AZ3049" s="21" t="str">
        <f>IF(AND($AM3049&lt;&gt;"",$AS3049="✓"),SUMPRODUCT(($AM$11:$AM3049&lt;&gt;"")*($AS$11:$AS3049="✓")),"")</f>
        <v/>
      </c>
      <c r="BA3049" s="21" t="str">
        <f>IF($AL3049="","",$AL3049&amp;"|"&amp;COUNTIF($AL$11:$AL3049,$AL3049))</f>
        <v/>
      </c>
    </row>
    <row r="3050" spans="38:53" ht="15" customHeight="1" x14ac:dyDescent="0.25">
      <c r="AL3050" s="31"/>
      <c r="AM3050" s="26"/>
      <c r="AN3050" s="32"/>
      <c r="AO3050" s="32"/>
      <c r="AP3050" s="24"/>
      <c r="AQ3050" s="24"/>
      <c r="AR3050" s="33"/>
      <c r="AS3050" s="34"/>
      <c r="AT3050" s="33"/>
      <c r="AV3050" s="21">
        <f>IF(AND($AL3050&lt;&gt;"",COUNTIF($AL$11:$AL3050,$AL3050)=1),1,0)</f>
        <v>0</v>
      </c>
      <c r="AW3050" s="21">
        <f t="shared" si="181"/>
        <v>0</v>
      </c>
      <c r="AX3050" s="21" t="str">
        <f t="shared" si="180"/>
        <v/>
      </c>
      <c r="AY3050" s="21" t="str">
        <f>IF(AND($AM3050&lt;&gt;"",$AS3050&lt;&gt;"✓"),SUMPRODUCT(($AM$11:$AM3050&lt;&gt;"")*($AS$11:$AS3050&lt;&gt;"✓")),"")</f>
        <v/>
      </c>
      <c r="AZ3050" s="21" t="str">
        <f>IF(AND($AM3050&lt;&gt;"",$AS3050="✓"),SUMPRODUCT(($AM$11:$AM3050&lt;&gt;"")*($AS$11:$AS3050="✓")),"")</f>
        <v/>
      </c>
      <c r="BA3050" s="21" t="str">
        <f>IF($AL3050="","",$AL3050&amp;"|"&amp;COUNTIF($AL$11:$AL3050,$AL3050))</f>
        <v/>
      </c>
    </row>
    <row r="3051" spans="38:53" ht="15" customHeight="1" x14ac:dyDescent="0.25">
      <c r="AL3051" s="17"/>
      <c r="AM3051" s="12"/>
      <c r="AN3051" s="18"/>
      <c r="AO3051" s="18"/>
      <c r="AP3051" s="10"/>
      <c r="AQ3051" s="10"/>
      <c r="AR3051" s="19"/>
      <c r="AS3051" s="20"/>
      <c r="AT3051" s="19"/>
      <c r="AV3051" s="21">
        <f>IF(AND($AL3051&lt;&gt;"",COUNTIF($AL$11:$AL3051,$AL3051)=1),1,0)</f>
        <v>0</v>
      </c>
      <c r="AW3051" s="21">
        <f t="shared" si="181"/>
        <v>0</v>
      </c>
      <c r="AX3051" s="21" t="str">
        <f t="shared" si="180"/>
        <v/>
      </c>
      <c r="AY3051" s="21" t="str">
        <f>IF(AND($AM3051&lt;&gt;"",$AS3051&lt;&gt;"✓"),SUMPRODUCT(($AM$11:$AM3051&lt;&gt;"")*($AS$11:$AS3051&lt;&gt;"✓")),"")</f>
        <v/>
      </c>
      <c r="AZ3051" s="21" t="str">
        <f>IF(AND($AM3051&lt;&gt;"",$AS3051="✓"),SUMPRODUCT(($AM$11:$AM3051&lt;&gt;"")*($AS$11:$AS3051="✓")),"")</f>
        <v/>
      </c>
      <c r="BA3051" s="21" t="str">
        <f>IF($AL3051="","",$AL3051&amp;"|"&amp;COUNTIF($AL$11:$AL3051,$AL3051))</f>
        <v/>
      </c>
    </row>
    <row r="3052" spans="38:53" ht="15" customHeight="1" x14ac:dyDescent="0.25">
      <c r="AL3052" s="31"/>
      <c r="AM3052" s="26"/>
      <c r="AN3052" s="32"/>
      <c r="AO3052" s="32"/>
      <c r="AP3052" s="24"/>
      <c r="AQ3052" s="24"/>
      <c r="AR3052" s="33"/>
      <c r="AS3052" s="34"/>
      <c r="AT3052" s="33"/>
      <c r="AV3052" s="21">
        <f>IF(AND($AL3052&lt;&gt;"",COUNTIF($AL$11:$AL3052,$AL3052)=1),1,0)</f>
        <v>0</v>
      </c>
      <c r="AW3052" s="21">
        <f t="shared" si="181"/>
        <v>0</v>
      </c>
      <c r="AX3052" s="21" t="str">
        <f t="shared" si="180"/>
        <v/>
      </c>
      <c r="AY3052" s="21" t="str">
        <f>IF(AND($AM3052&lt;&gt;"",$AS3052&lt;&gt;"✓"),SUMPRODUCT(($AM$11:$AM3052&lt;&gt;"")*($AS$11:$AS3052&lt;&gt;"✓")),"")</f>
        <v/>
      </c>
      <c r="AZ3052" s="21" t="str">
        <f>IF(AND($AM3052&lt;&gt;"",$AS3052="✓"),SUMPRODUCT(($AM$11:$AM3052&lt;&gt;"")*($AS$11:$AS3052="✓")),"")</f>
        <v/>
      </c>
      <c r="BA3052" s="21" t="str">
        <f>IF($AL3052="","",$AL3052&amp;"|"&amp;COUNTIF($AL$11:$AL3052,$AL3052))</f>
        <v/>
      </c>
    </row>
    <row r="3053" spans="38:53" ht="15" customHeight="1" x14ac:dyDescent="0.25">
      <c r="AL3053" s="17"/>
      <c r="AM3053" s="12"/>
      <c r="AN3053" s="18"/>
      <c r="AO3053" s="18"/>
      <c r="AP3053" s="10"/>
      <c r="AQ3053" s="10"/>
      <c r="AR3053" s="19"/>
      <c r="AS3053" s="20"/>
      <c r="AT3053" s="19"/>
      <c r="AV3053" s="21">
        <f>IF(AND($AL3053&lt;&gt;"",COUNTIF($AL$11:$AL3053,$AL3053)=1),1,0)</f>
        <v>0</v>
      </c>
      <c r="AW3053" s="21">
        <f t="shared" si="181"/>
        <v>0</v>
      </c>
      <c r="AX3053" s="21" t="str">
        <f t="shared" si="180"/>
        <v/>
      </c>
      <c r="AY3053" s="21" t="str">
        <f>IF(AND($AM3053&lt;&gt;"",$AS3053&lt;&gt;"✓"),SUMPRODUCT(($AM$11:$AM3053&lt;&gt;"")*($AS$11:$AS3053&lt;&gt;"✓")),"")</f>
        <v/>
      </c>
      <c r="AZ3053" s="21" t="str">
        <f>IF(AND($AM3053&lt;&gt;"",$AS3053="✓"),SUMPRODUCT(($AM$11:$AM3053&lt;&gt;"")*($AS$11:$AS3053="✓")),"")</f>
        <v/>
      </c>
      <c r="BA3053" s="21" t="str">
        <f>IF($AL3053="","",$AL3053&amp;"|"&amp;COUNTIF($AL$11:$AL3053,$AL3053))</f>
        <v/>
      </c>
    </row>
    <row r="3054" spans="38:53" ht="15" customHeight="1" x14ac:dyDescent="0.25">
      <c r="AL3054" s="31"/>
      <c r="AM3054" s="26"/>
      <c r="AN3054" s="32"/>
      <c r="AO3054" s="32"/>
      <c r="AP3054" s="24"/>
      <c r="AQ3054" s="24"/>
      <c r="AR3054" s="33"/>
      <c r="AS3054" s="34"/>
      <c r="AT3054" s="33"/>
      <c r="AV3054" s="21">
        <f>IF(AND($AL3054&lt;&gt;"",COUNTIF($AL$11:$AL3054,$AL3054)=1),1,0)</f>
        <v>0</v>
      </c>
      <c r="AW3054" s="21">
        <f t="shared" si="181"/>
        <v>0</v>
      </c>
      <c r="AX3054" s="21" t="str">
        <f t="shared" si="180"/>
        <v/>
      </c>
      <c r="AY3054" s="21" t="str">
        <f>IF(AND($AM3054&lt;&gt;"",$AS3054&lt;&gt;"✓"),SUMPRODUCT(($AM$11:$AM3054&lt;&gt;"")*($AS$11:$AS3054&lt;&gt;"✓")),"")</f>
        <v/>
      </c>
      <c r="AZ3054" s="21" t="str">
        <f>IF(AND($AM3054&lt;&gt;"",$AS3054="✓"),SUMPRODUCT(($AM$11:$AM3054&lt;&gt;"")*($AS$11:$AS3054="✓")),"")</f>
        <v/>
      </c>
      <c r="BA3054" s="21" t="str">
        <f>IF($AL3054="","",$AL3054&amp;"|"&amp;COUNTIF($AL$11:$AL3054,$AL3054))</f>
        <v/>
      </c>
    </row>
    <row r="3055" spans="38:53" ht="15" customHeight="1" x14ac:dyDescent="0.25">
      <c r="AL3055" s="17"/>
      <c r="AM3055" s="12"/>
      <c r="AN3055" s="18"/>
      <c r="AO3055" s="18"/>
      <c r="AP3055" s="10"/>
      <c r="AQ3055" s="10"/>
      <c r="AR3055" s="19"/>
      <c r="AS3055" s="20"/>
      <c r="AT3055" s="19"/>
      <c r="AV3055" s="21">
        <f>IF(AND($AL3055&lt;&gt;"",COUNTIF($AL$11:$AL3055,$AL3055)=1),1,0)</f>
        <v>0</v>
      </c>
      <c r="AW3055" s="21">
        <f t="shared" si="181"/>
        <v>0</v>
      </c>
      <c r="AX3055" s="21" t="str">
        <f t="shared" si="180"/>
        <v/>
      </c>
      <c r="AY3055" s="21" t="str">
        <f>IF(AND($AM3055&lt;&gt;"",$AS3055&lt;&gt;"✓"),SUMPRODUCT(($AM$11:$AM3055&lt;&gt;"")*($AS$11:$AS3055&lt;&gt;"✓")),"")</f>
        <v/>
      </c>
      <c r="AZ3055" s="21" t="str">
        <f>IF(AND($AM3055&lt;&gt;"",$AS3055="✓"),SUMPRODUCT(($AM$11:$AM3055&lt;&gt;"")*($AS$11:$AS3055="✓")),"")</f>
        <v/>
      </c>
      <c r="BA3055" s="21" t="str">
        <f>IF($AL3055="","",$AL3055&amp;"|"&amp;COUNTIF($AL$11:$AL3055,$AL3055))</f>
        <v/>
      </c>
    </row>
    <row r="3056" spans="38:53" ht="15" customHeight="1" x14ac:dyDescent="0.25">
      <c r="AL3056" s="31"/>
      <c r="AM3056" s="26"/>
      <c r="AN3056" s="32"/>
      <c r="AO3056" s="32"/>
      <c r="AP3056" s="24"/>
      <c r="AQ3056" s="24"/>
      <c r="AR3056" s="33"/>
      <c r="AS3056" s="34"/>
      <c r="AT3056" s="33"/>
      <c r="AV3056" s="21">
        <f>IF(AND($AL3056&lt;&gt;"",COUNTIF($AL$11:$AL3056,$AL3056)=1),1,0)</f>
        <v>0</v>
      </c>
      <c r="AW3056" s="21">
        <f t="shared" si="181"/>
        <v>0</v>
      </c>
      <c r="AX3056" s="21" t="str">
        <f t="shared" si="180"/>
        <v/>
      </c>
      <c r="AY3056" s="21" t="str">
        <f>IF(AND($AM3056&lt;&gt;"",$AS3056&lt;&gt;"✓"),SUMPRODUCT(($AM$11:$AM3056&lt;&gt;"")*($AS$11:$AS3056&lt;&gt;"✓")),"")</f>
        <v/>
      </c>
      <c r="AZ3056" s="21" t="str">
        <f>IF(AND($AM3056&lt;&gt;"",$AS3056="✓"),SUMPRODUCT(($AM$11:$AM3056&lt;&gt;"")*($AS$11:$AS3056="✓")),"")</f>
        <v/>
      </c>
      <c r="BA3056" s="21" t="str">
        <f>IF($AL3056="","",$AL3056&amp;"|"&amp;COUNTIF($AL$11:$AL3056,$AL3056))</f>
        <v/>
      </c>
    </row>
    <row r="3057" spans="38:53" ht="15" customHeight="1" x14ac:dyDescent="0.25">
      <c r="AL3057" s="17"/>
      <c r="AM3057" s="12"/>
      <c r="AN3057" s="18"/>
      <c r="AO3057" s="18"/>
      <c r="AP3057" s="10"/>
      <c r="AQ3057" s="10"/>
      <c r="AR3057" s="19"/>
      <c r="AS3057" s="20"/>
      <c r="AT3057" s="19"/>
      <c r="AV3057" s="21">
        <f>IF(AND($AL3057&lt;&gt;"",COUNTIF($AL$11:$AL3057,$AL3057)=1),1,0)</f>
        <v>0</v>
      </c>
      <c r="AW3057" s="21">
        <f t="shared" si="181"/>
        <v>0</v>
      </c>
      <c r="AX3057" s="21" t="str">
        <f t="shared" si="180"/>
        <v/>
      </c>
      <c r="AY3057" s="21" t="str">
        <f>IF(AND($AM3057&lt;&gt;"",$AS3057&lt;&gt;"✓"),SUMPRODUCT(($AM$11:$AM3057&lt;&gt;"")*($AS$11:$AS3057&lt;&gt;"✓")),"")</f>
        <v/>
      </c>
      <c r="AZ3057" s="21" t="str">
        <f>IF(AND($AM3057&lt;&gt;"",$AS3057="✓"),SUMPRODUCT(($AM$11:$AM3057&lt;&gt;"")*($AS$11:$AS3057="✓")),"")</f>
        <v/>
      </c>
      <c r="BA3057" s="21" t="str">
        <f>IF($AL3057="","",$AL3057&amp;"|"&amp;COUNTIF($AL$11:$AL3057,$AL3057))</f>
        <v/>
      </c>
    </row>
    <row r="3058" spans="38:53" ht="15" customHeight="1" x14ac:dyDescent="0.25">
      <c r="AL3058" s="31"/>
      <c r="AM3058" s="26"/>
      <c r="AN3058" s="32"/>
      <c r="AO3058" s="32"/>
      <c r="AP3058" s="24"/>
      <c r="AQ3058" s="24"/>
      <c r="AR3058" s="33"/>
      <c r="AS3058" s="34"/>
      <c r="AT3058" s="33"/>
      <c r="AV3058" s="21">
        <f>IF(AND($AL3058&lt;&gt;"",COUNTIF($AL$11:$AL3058,$AL3058)=1),1,0)</f>
        <v>0</v>
      </c>
      <c r="AW3058" s="21">
        <f t="shared" si="181"/>
        <v>0</v>
      </c>
      <c r="AX3058" s="21" t="str">
        <f t="shared" si="180"/>
        <v/>
      </c>
      <c r="AY3058" s="21" t="str">
        <f>IF(AND($AM3058&lt;&gt;"",$AS3058&lt;&gt;"✓"),SUMPRODUCT(($AM$11:$AM3058&lt;&gt;"")*($AS$11:$AS3058&lt;&gt;"✓")),"")</f>
        <v/>
      </c>
      <c r="AZ3058" s="21" t="str">
        <f>IF(AND($AM3058&lt;&gt;"",$AS3058="✓"),SUMPRODUCT(($AM$11:$AM3058&lt;&gt;"")*($AS$11:$AS3058="✓")),"")</f>
        <v/>
      </c>
      <c r="BA3058" s="21" t="str">
        <f>IF($AL3058="","",$AL3058&amp;"|"&amp;COUNTIF($AL$11:$AL3058,$AL3058))</f>
        <v/>
      </c>
    </row>
    <row r="3059" spans="38:53" ht="15" customHeight="1" x14ac:dyDescent="0.25">
      <c r="AL3059" s="17"/>
      <c r="AM3059" s="12"/>
      <c r="AN3059" s="18"/>
      <c r="AO3059" s="18"/>
      <c r="AP3059" s="10"/>
      <c r="AQ3059" s="10"/>
      <c r="AR3059" s="19"/>
      <c r="AS3059" s="20"/>
      <c r="AT3059" s="19"/>
      <c r="AV3059" s="21">
        <f>IF(AND($AL3059&lt;&gt;"",COUNTIF($AL$11:$AL3059,$AL3059)=1),1,0)</f>
        <v>0</v>
      </c>
      <c r="AW3059" s="21">
        <f t="shared" si="181"/>
        <v>0</v>
      </c>
      <c r="AX3059" s="21" t="str">
        <f t="shared" si="180"/>
        <v/>
      </c>
      <c r="AY3059" s="21" t="str">
        <f>IF(AND($AM3059&lt;&gt;"",$AS3059&lt;&gt;"✓"),SUMPRODUCT(($AM$11:$AM3059&lt;&gt;"")*($AS$11:$AS3059&lt;&gt;"✓")),"")</f>
        <v/>
      </c>
      <c r="AZ3059" s="21" t="str">
        <f>IF(AND($AM3059&lt;&gt;"",$AS3059="✓"),SUMPRODUCT(($AM$11:$AM3059&lt;&gt;"")*($AS$11:$AS3059="✓")),"")</f>
        <v/>
      </c>
      <c r="BA3059" s="21" t="str">
        <f>IF($AL3059="","",$AL3059&amp;"|"&amp;COUNTIF($AL$11:$AL3059,$AL3059))</f>
        <v/>
      </c>
    </row>
    <row r="3060" spans="38:53" ht="15" customHeight="1" x14ac:dyDescent="0.25">
      <c r="AL3060" s="31"/>
      <c r="AM3060" s="26"/>
      <c r="AN3060" s="32"/>
      <c r="AO3060" s="32"/>
      <c r="AP3060" s="24"/>
      <c r="AQ3060" s="24"/>
      <c r="AR3060" s="33"/>
      <c r="AS3060" s="34"/>
      <c r="AT3060" s="33"/>
      <c r="AV3060" s="21">
        <f>IF(AND($AL3060&lt;&gt;"",COUNTIF($AL$11:$AL3060,$AL3060)=1),1,0)</f>
        <v>0</v>
      </c>
      <c r="AW3060" s="21">
        <f t="shared" si="181"/>
        <v>0</v>
      </c>
      <c r="AX3060" s="21" t="str">
        <f t="shared" si="180"/>
        <v/>
      </c>
      <c r="AY3060" s="21" t="str">
        <f>IF(AND($AM3060&lt;&gt;"",$AS3060&lt;&gt;"✓"),SUMPRODUCT(($AM$11:$AM3060&lt;&gt;"")*($AS$11:$AS3060&lt;&gt;"✓")),"")</f>
        <v/>
      </c>
      <c r="AZ3060" s="21" t="str">
        <f>IF(AND($AM3060&lt;&gt;"",$AS3060="✓"),SUMPRODUCT(($AM$11:$AM3060&lt;&gt;"")*($AS$11:$AS3060="✓")),"")</f>
        <v/>
      </c>
      <c r="BA3060" s="21" t="str">
        <f>IF($AL3060="","",$AL3060&amp;"|"&amp;COUNTIF($AL$11:$AL3060,$AL3060))</f>
        <v/>
      </c>
    </row>
    <row r="3061" spans="38:53" ht="15" customHeight="1" x14ac:dyDescent="0.25">
      <c r="AL3061" s="17"/>
      <c r="AM3061" s="12"/>
      <c r="AN3061" s="18"/>
      <c r="AO3061" s="18"/>
      <c r="AP3061" s="10"/>
      <c r="AQ3061" s="10"/>
      <c r="AR3061" s="19"/>
      <c r="AS3061" s="20"/>
      <c r="AT3061" s="19"/>
      <c r="AV3061" s="21">
        <f>IF(AND($AL3061&lt;&gt;"",COUNTIF($AL$11:$AL3061,$AL3061)=1),1,0)</f>
        <v>0</v>
      </c>
      <c r="AW3061" s="21">
        <f t="shared" si="181"/>
        <v>0</v>
      </c>
      <c r="AX3061" s="21" t="str">
        <f t="shared" si="180"/>
        <v/>
      </c>
      <c r="AY3061" s="21" t="str">
        <f>IF(AND($AM3061&lt;&gt;"",$AS3061&lt;&gt;"✓"),SUMPRODUCT(($AM$11:$AM3061&lt;&gt;"")*($AS$11:$AS3061&lt;&gt;"✓")),"")</f>
        <v/>
      </c>
      <c r="AZ3061" s="21" t="str">
        <f>IF(AND($AM3061&lt;&gt;"",$AS3061="✓"),SUMPRODUCT(($AM$11:$AM3061&lt;&gt;"")*($AS$11:$AS3061="✓")),"")</f>
        <v/>
      </c>
      <c r="BA3061" s="21" t="str">
        <f>IF($AL3061="","",$AL3061&amp;"|"&amp;COUNTIF($AL$11:$AL3061,$AL3061))</f>
        <v/>
      </c>
    </row>
    <row r="3062" spans="38:53" ht="15" customHeight="1" x14ac:dyDescent="0.25">
      <c r="AL3062" s="31"/>
      <c r="AM3062" s="26"/>
      <c r="AN3062" s="32"/>
      <c r="AO3062" s="32"/>
      <c r="AP3062" s="24"/>
      <c r="AQ3062" s="24"/>
      <c r="AR3062" s="33"/>
      <c r="AS3062" s="34"/>
      <c r="AT3062" s="33"/>
      <c r="AV3062" s="21">
        <f>IF(AND($AL3062&lt;&gt;"",COUNTIF($AL$11:$AL3062,$AL3062)=1),1,0)</f>
        <v>0</v>
      </c>
      <c r="AW3062" s="21">
        <f t="shared" si="181"/>
        <v>0</v>
      </c>
      <c r="AX3062" s="21" t="str">
        <f t="shared" si="180"/>
        <v/>
      </c>
      <c r="AY3062" s="21" t="str">
        <f>IF(AND($AM3062&lt;&gt;"",$AS3062&lt;&gt;"✓"),SUMPRODUCT(($AM$11:$AM3062&lt;&gt;"")*($AS$11:$AS3062&lt;&gt;"✓")),"")</f>
        <v/>
      </c>
      <c r="AZ3062" s="21" t="str">
        <f>IF(AND($AM3062&lt;&gt;"",$AS3062="✓"),SUMPRODUCT(($AM$11:$AM3062&lt;&gt;"")*($AS$11:$AS3062="✓")),"")</f>
        <v/>
      </c>
      <c r="BA3062" s="21" t="str">
        <f>IF($AL3062="","",$AL3062&amp;"|"&amp;COUNTIF($AL$11:$AL3062,$AL3062))</f>
        <v/>
      </c>
    </row>
    <row r="3063" spans="38:53" ht="15" customHeight="1" x14ac:dyDescent="0.25">
      <c r="AL3063" s="17"/>
      <c r="AM3063" s="12"/>
      <c r="AN3063" s="18"/>
      <c r="AO3063" s="18"/>
      <c r="AP3063" s="10"/>
      <c r="AQ3063" s="10"/>
      <c r="AR3063" s="19"/>
      <c r="AS3063" s="20"/>
      <c r="AT3063" s="19"/>
      <c r="AV3063" s="21">
        <f>IF(AND($AL3063&lt;&gt;"",COUNTIF($AL$11:$AL3063,$AL3063)=1),1,0)</f>
        <v>0</v>
      </c>
      <c r="AW3063" s="21">
        <f t="shared" si="181"/>
        <v>0</v>
      </c>
      <c r="AX3063" s="21" t="str">
        <f t="shared" si="180"/>
        <v/>
      </c>
      <c r="AY3063" s="21" t="str">
        <f>IF(AND($AM3063&lt;&gt;"",$AS3063&lt;&gt;"✓"),SUMPRODUCT(($AM$11:$AM3063&lt;&gt;"")*($AS$11:$AS3063&lt;&gt;"✓")),"")</f>
        <v/>
      </c>
      <c r="AZ3063" s="21" t="str">
        <f>IF(AND($AM3063&lt;&gt;"",$AS3063="✓"),SUMPRODUCT(($AM$11:$AM3063&lt;&gt;"")*($AS$11:$AS3063="✓")),"")</f>
        <v/>
      </c>
      <c r="BA3063" s="21" t="str">
        <f>IF($AL3063="","",$AL3063&amp;"|"&amp;COUNTIF($AL$11:$AL3063,$AL3063))</f>
        <v/>
      </c>
    </row>
    <row r="3064" spans="38:53" ht="15" customHeight="1" x14ac:dyDescent="0.25">
      <c r="AL3064" s="31"/>
      <c r="AM3064" s="26"/>
      <c r="AN3064" s="32"/>
      <c r="AO3064" s="32"/>
      <c r="AP3064" s="24"/>
      <c r="AQ3064" s="24"/>
      <c r="AR3064" s="33"/>
      <c r="AS3064" s="34"/>
      <c r="AT3064" s="33"/>
      <c r="AV3064" s="21">
        <f>IF(AND($AL3064&lt;&gt;"",COUNTIF($AL$11:$AL3064,$AL3064)=1),1,0)</f>
        <v>0</v>
      </c>
      <c r="AW3064" s="21">
        <f t="shared" si="181"/>
        <v>0</v>
      </c>
      <c r="AX3064" s="21" t="str">
        <f t="shared" si="180"/>
        <v/>
      </c>
      <c r="AY3064" s="21" t="str">
        <f>IF(AND($AM3064&lt;&gt;"",$AS3064&lt;&gt;"✓"),SUMPRODUCT(($AM$11:$AM3064&lt;&gt;"")*($AS$11:$AS3064&lt;&gt;"✓")),"")</f>
        <v/>
      </c>
      <c r="AZ3064" s="21" t="str">
        <f>IF(AND($AM3064&lt;&gt;"",$AS3064="✓"),SUMPRODUCT(($AM$11:$AM3064&lt;&gt;"")*($AS$11:$AS3064="✓")),"")</f>
        <v/>
      </c>
      <c r="BA3064" s="21" t="str">
        <f>IF($AL3064="","",$AL3064&amp;"|"&amp;COUNTIF($AL$11:$AL3064,$AL3064))</f>
        <v/>
      </c>
    </row>
    <row r="3065" spans="38:53" ht="15" customHeight="1" x14ac:dyDescent="0.25">
      <c r="AL3065" s="17"/>
      <c r="AM3065" s="12"/>
      <c r="AN3065" s="18"/>
      <c r="AO3065" s="18"/>
      <c r="AP3065" s="10"/>
      <c r="AQ3065" s="10"/>
      <c r="AR3065" s="19"/>
      <c r="AS3065" s="20"/>
      <c r="AT3065" s="19"/>
      <c r="AV3065" s="21">
        <f>IF(AND($AL3065&lt;&gt;"",COUNTIF($AL$11:$AL3065,$AL3065)=1),1,0)</f>
        <v>0</v>
      </c>
      <c r="AW3065" s="21">
        <f t="shared" si="181"/>
        <v>0</v>
      </c>
      <c r="AX3065" s="21" t="str">
        <f t="shared" si="180"/>
        <v/>
      </c>
      <c r="AY3065" s="21" t="str">
        <f>IF(AND($AM3065&lt;&gt;"",$AS3065&lt;&gt;"✓"),SUMPRODUCT(($AM$11:$AM3065&lt;&gt;"")*($AS$11:$AS3065&lt;&gt;"✓")),"")</f>
        <v/>
      </c>
      <c r="AZ3065" s="21" t="str">
        <f>IF(AND($AM3065&lt;&gt;"",$AS3065="✓"),SUMPRODUCT(($AM$11:$AM3065&lt;&gt;"")*($AS$11:$AS3065="✓")),"")</f>
        <v/>
      </c>
      <c r="BA3065" s="21" t="str">
        <f>IF($AL3065="","",$AL3065&amp;"|"&amp;COUNTIF($AL$11:$AL3065,$AL3065))</f>
        <v/>
      </c>
    </row>
    <row r="3066" spans="38:53" ht="15" customHeight="1" x14ac:dyDescent="0.25">
      <c r="AL3066" s="31"/>
      <c r="AM3066" s="26"/>
      <c r="AN3066" s="32"/>
      <c r="AO3066" s="32"/>
      <c r="AP3066" s="24"/>
      <c r="AQ3066" s="24"/>
      <c r="AR3066" s="33"/>
      <c r="AS3066" s="34"/>
      <c r="AT3066" s="33"/>
      <c r="AV3066" s="21">
        <f>IF(AND($AL3066&lt;&gt;"",COUNTIF($AL$11:$AL3066,$AL3066)=1),1,0)</f>
        <v>0</v>
      </c>
      <c r="AW3066" s="21">
        <f t="shared" si="181"/>
        <v>0</v>
      </c>
      <c r="AX3066" s="21" t="str">
        <f t="shared" si="180"/>
        <v/>
      </c>
      <c r="AY3066" s="21" t="str">
        <f>IF(AND($AM3066&lt;&gt;"",$AS3066&lt;&gt;"✓"),SUMPRODUCT(($AM$11:$AM3066&lt;&gt;"")*($AS$11:$AS3066&lt;&gt;"✓")),"")</f>
        <v/>
      </c>
      <c r="AZ3066" s="21" t="str">
        <f>IF(AND($AM3066&lt;&gt;"",$AS3066="✓"),SUMPRODUCT(($AM$11:$AM3066&lt;&gt;"")*($AS$11:$AS3066="✓")),"")</f>
        <v/>
      </c>
      <c r="BA3066" s="21" t="str">
        <f>IF($AL3066="","",$AL3066&amp;"|"&amp;COUNTIF($AL$11:$AL3066,$AL3066))</f>
        <v/>
      </c>
    </row>
    <row r="3067" spans="38:53" ht="15" customHeight="1" x14ac:dyDescent="0.25">
      <c r="AL3067" s="17"/>
      <c r="AM3067" s="12"/>
      <c r="AN3067" s="18"/>
      <c r="AO3067" s="18"/>
      <c r="AP3067" s="10"/>
      <c r="AQ3067" s="10"/>
      <c r="AR3067" s="19"/>
      <c r="AS3067" s="20"/>
      <c r="AT3067" s="19"/>
      <c r="AV3067" s="21">
        <f>IF(AND($AL3067&lt;&gt;"",COUNTIF($AL$11:$AL3067,$AL3067)=1),1,0)</f>
        <v>0</v>
      </c>
      <c r="AW3067" s="21">
        <f t="shared" si="181"/>
        <v>0</v>
      </c>
      <c r="AX3067" s="21" t="str">
        <f t="shared" si="180"/>
        <v/>
      </c>
      <c r="AY3067" s="21" t="str">
        <f>IF(AND($AM3067&lt;&gt;"",$AS3067&lt;&gt;"✓"),SUMPRODUCT(($AM$11:$AM3067&lt;&gt;"")*($AS$11:$AS3067&lt;&gt;"✓")),"")</f>
        <v/>
      </c>
      <c r="AZ3067" s="21" t="str">
        <f>IF(AND($AM3067&lt;&gt;"",$AS3067="✓"),SUMPRODUCT(($AM$11:$AM3067&lt;&gt;"")*($AS$11:$AS3067="✓")),"")</f>
        <v/>
      </c>
      <c r="BA3067" s="21" t="str">
        <f>IF($AL3067="","",$AL3067&amp;"|"&amp;COUNTIF($AL$11:$AL3067,$AL3067))</f>
        <v/>
      </c>
    </row>
    <row r="3068" spans="38:53" ht="15" customHeight="1" x14ac:dyDescent="0.25">
      <c r="AL3068" s="31"/>
      <c r="AM3068" s="26"/>
      <c r="AN3068" s="32"/>
      <c r="AO3068" s="32"/>
      <c r="AP3068" s="24"/>
      <c r="AQ3068" s="24"/>
      <c r="AR3068" s="33"/>
      <c r="AS3068" s="34"/>
      <c r="AT3068" s="33"/>
      <c r="AV3068" s="21">
        <f>IF(AND($AL3068&lt;&gt;"",COUNTIF($AL$11:$AL3068,$AL3068)=1),1,0)</f>
        <v>0</v>
      </c>
      <c r="AW3068" s="21">
        <f t="shared" si="181"/>
        <v>0</v>
      </c>
      <c r="AX3068" s="21" t="str">
        <f t="shared" si="180"/>
        <v/>
      </c>
      <c r="AY3068" s="21" t="str">
        <f>IF(AND($AM3068&lt;&gt;"",$AS3068&lt;&gt;"✓"),SUMPRODUCT(($AM$11:$AM3068&lt;&gt;"")*($AS$11:$AS3068&lt;&gt;"✓")),"")</f>
        <v/>
      </c>
      <c r="AZ3068" s="21" t="str">
        <f>IF(AND($AM3068&lt;&gt;"",$AS3068="✓"),SUMPRODUCT(($AM$11:$AM3068&lt;&gt;"")*($AS$11:$AS3068="✓")),"")</f>
        <v/>
      </c>
      <c r="BA3068" s="21" t="str">
        <f>IF($AL3068="","",$AL3068&amp;"|"&amp;COUNTIF($AL$11:$AL3068,$AL3068))</f>
        <v/>
      </c>
    </row>
    <row r="3069" spans="38:53" ht="15" customHeight="1" x14ac:dyDescent="0.25">
      <c r="AL3069" s="17"/>
      <c r="AM3069" s="12"/>
      <c r="AN3069" s="18"/>
      <c r="AO3069" s="18"/>
      <c r="AP3069" s="10"/>
      <c r="AQ3069" s="10"/>
      <c r="AR3069" s="19"/>
      <c r="AS3069" s="20"/>
      <c r="AT3069" s="19"/>
      <c r="AV3069" s="21">
        <f>IF(AND($AL3069&lt;&gt;"",COUNTIF($AL$11:$AL3069,$AL3069)=1),1,0)</f>
        <v>0</v>
      </c>
      <c r="AW3069" s="21">
        <f t="shared" si="181"/>
        <v>0</v>
      </c>
      <c r="AX3069" s="21" t="str">
        <f t="shared" si="180"/>
        <v/>
      </c>
      <c r="AY3069" s="21" t="str">
        <f>IF(AND($AM3069&lt;&gt;"",$AS3069&lt;&gt;"✓"),SUMPRODUCT(($AM$11:$AM3069&lt;&gt;"")*($AS$11:$AS3069&lt;&gt;"✓")),"")</f>
        <v/>
      </c>
      <c r="AZ3069" s="21" t="str">
        <f>IF(AND($AM3069&lt;&gt;"",$AS3069="✓"),SUMPRODUCT(($AM$11:$AM3069&lt;&gt;"")*($AS$11:$AS3069="✓")),"")</f>
        <v/>
      </c>
      <c r="BA3069" s="21" t="str">
        <f>IF($AL3069="","",$AL3069&amp;"|"&amp;COUNTIF($AL$11:$AL3069,$AL3069))</f>
        <v/>
      </c>
    </row>
    <row r="3070" spans="38:53" ht="15" customHeight="1" x14ac:dyDescent="0.25">
      <c r="AL3070" s="31"/>
      <c r="AM3070" s="26"/>
      <c r="AN3070" s="32"/>
      <c r="AO3070" s="32"/>
      <c r="AP3070" s="24"/>
      <c r="AQ3070" s="24"/>
      <c r="AR3070" s="33"/>
      <c r="AS3070" s="34"/>
      <c r="AT3070" s="33"/>
      <c r="AV3070" s="21">
        <f>IF(AND($AL3070&lt;&gt;"",COUNTIF($AL$11:$AL3070,$AL3070)=1),1,0)</f>
        <v>0</v>
      </c>
      <c r="AW3070" s="21">
        <f t="shared" si="181"/>
        <v>0</v>
      </c>
      <c r="AX3070" s="21" t="str">
        <f t="shared" si="180"/>
        <v/>
      </c>
      <c r="AY3070" s="21" t="str">
        <f>IF(AND($AM3070&lt;&gt;"",$AS3070&lt;&gt;"✓"),SUMPRODUCT(($AM$11:$AM3070&lt;&gt;"")*($AS$11:$AS3070&lt;&gt;"✓")),"")</f>
        <v/>
      </c>
      <c r="AZ3070" s="21" t="str">
        <f>IF(AND($AM3070&lt;&gt;"",$AS3070="✓"),SUMPRODUCT(($AM$11:$AM3070&lt;&gt;"")*($AS$11:$AS3070="✓")),"")</f>
        <v/>
      </c>
      <c r="BA3070" s="21" t="str">
        <f>IF($AL3070="","",$AL3070&amp;"|"&amp;COUNTIF($AL$11:$AL3070,$AL3070))</f>
        <v/>
      </c>
    </row>
    <row r="3071" spans="38:53" ht="15" customHeight="1" x14ac:dyDescent="0.25">
      <c r="AL3071" s="17"/>
      <c r="AM3071" s="12"/>
      <c r="AN3071" s="18"/>
      <c r="AO3071" s="18"/>
      <c r="AP3071" s="10"/>
      <c r="AQ3071" s="10"/>
      <c r="AR3071" s="19"/>
      <c r="AS3071" s="20"/>
      <c r="AT3071" s="19"/>
      <c r="AV3071" s="21">
        <f>IF(AND($AL3071&lt;&gt;"",COUNTIF($AL$11:$AL3071,$AL3071)=1),1,0)</f>
        <v>0</v>
      </c>
      <c r="AW3071" s="21">
        <f t="shared" si="181"/>
        <v>0</v>
      </c>
      <c r="AX3071" s="21" t="str">
        <f t="shared" si="180"/>
        <v/>
      </c>
      <c r="AY3071" s="21" t="str">
        <f>IF(AND($AM3071&lt;&gt;"",$AS3071&lt;&gt;"✓"),SUMPRODUCT(($AM$11:$AM3071&lt;&gt;"")*($AS$11:$AS3071&lt;&gt;"✓")),"")</f>
        <v/>
      </c>
      <c r="AZ3071" s="21" t="str">
        <f>IF(AND($AM3071&lt;&gt;"",$AS3071="✓"),SUMPRODUCT(($AM$11:$AM3071&lt;&gt;"")*($AS$11:$AS3071="✓")),"")</f>
        <v/>
      </c>
      <c r="BA3071" s="21" t="str">
        <f>IF($AL3071="","",$AL3071&amp;"|"&amp;COUNTIF($AL$11:$AL3071,$AL3071))</f>
        <v/>
      </c>
    </row>
    <row r="3072" spans="38:53" ht="15" customHeight="1" x14ac:dyDescent="0.25">
      <c r="AL3072" s="31"/>
      <c r="AM3072" s="26"/>
      <c r="AN3072" s="32"/>
      <c r="AO3072" s="32"/>
      <c r="AP3072" s="24"/>
      <c r="AQ3072" s="24"/>
      <c r="AR3072" s="33"/>
      <c r="AS3072" s="34"/>
      <c r="AT3072" s="33"/>
      <c r="AV3072" s="21">
        <f>IF(AND($AL3072&lt;&gt;"",COUNTIF($AL$11:$AL3072,$AL3072)=1),1,0)</f>
        <v>0</v>
      </c>
      <c r="AW3072" s="21">
        <f t="shared" si="181"/>
        <v>0</v>
      </c>
      <c r="AX3072" s="21" t="str">
        <f t="shared" si="180"/>
        <v/>
      </c>
      <c r="AY3072" s="21" t="str">
        <f>IF(AND($AM3072&lt;&gt;"",$AS3072&lt;&gt;"✓"),SUMPRODUCT(($AM$11:$AM3072&lt;&gt;"")*($AS$11:$AS3072&lt;&gt;"✓")),"")</f>
        <v/>
      </c>
      <c r="AZ3072" s="21" t="str">
        <f>IF(AND($AM3072&lt;&gt;"",$AS3072="✓"),SUMPRODUCT(($AM$11:$AM3072&lt;&gt;"")*($AS$11:$AS3072="✓")),"")</f>
        <v/>
      </c>
      <c r="BA3072" s="21" t="str">
        <f>IF($AL3072="","",$AL3072&amp;"|"&amp;COUNTIF($AL$11:$AL3072,$AL3072))</f>
        <v/>
      </c>
    </row>
    <row r="3073" spans="38:53" ht="15" customHeight="1" x14ac:dyDescent="0.25">
      <c r="AL3073" s="17"/>
      <c r="AM3073" s="12"/>
      <c r="AN3073" s="18"/>
      <c r="AO3073" s="18"/>
      <c r="AP3073" s="10"/>
      <c r="AQ3073" s="10"/>
      <c r="AR3073" s="19"/>
      <c r="AS3073" s="20"/>
      <c r="AT3073" s="19"/>
      <c r="AV3073" s="21">
        <f>IF(AND($AL3073&lt;&gt;"",COUNTIF($AL$11:$AL3073,$AL3073)=1),1,0)</f>
        <v>0</v>
      </c>
      <c r="AW3073" s="21">
        <f t="shared" si="181"/>
        <v>0</v>
      </c>
      <c r="AX3073" s="21" t="str">
        <f t="shared" si="180"/>
        <v/>
      </c>
      <c r="AY3073" s="21" t="str">
        <f>IF(AND($AM3073&lt;&gt;"",$AS3073&lt;&gt;"✓"),SUMPRODUCT(($AM$11:$AM3073&lt;&gt;"")*($AS$11:$AS3073&lt;&gt;"✓")),"")</f>
        <v/>
      </c>
      <c r="AZ3073" s="21" t="str">
        <f>IF(AND($AM3073&lt;&gt;"",$AS3073="✓"),SUMPRODUCT(($AM$11:$AM3073&lt;&gt;"")*($AS$11:$AS3073="✓")),"")</f>
        <v/>
      </c>
      <c r="BA3073" s="21" t="str">
        <f>IF($AL3073="","",$AL3073&amp;"|"&amp;COUNTIF($AL$11:$AL3073,$AL3073))</f>
        <v/>
      </c>
    </row>
    <row r="3074" spans="38:53" ht="15" customHeight="1" x14ac:dyDescent="0.25">
      <c r="AL3074" s="31"/>
      <c r="AM3074" s="26"/>
      <c r="AN3074" s="32"/>
      <c r="AO3074" s="32"/>
      <c r="AP3074" s="24"/>
      <c r="AQ3074" s="24"/>
      <c r="AR3074" s="33"/>
      <c r="AS3074" s="34"/>
      <c r="AT3074" s="33"/>
      <c r="AV3074" s="21">
        <f>IF(AND($AL3074&lt;&gt;"",COUNTIF($AL$11:$AL3074,$AL3074)=1),1,0)</f>
        <v>0</v>
      </c>
      <c r="AW3074" s="21">
        <f t="shared" si="181"/>
        <v>0</v>
      </c>
      <c r="AX3074" s="21" t="str">
        <f t="shared" si="180"/>
        <v/>
      </c>
      <c r="AY3074" s="21" t="str">
        <f>IF(AND($AM3074&lt;&gt;"",$AS3074&lt;&gt;"✓"),SUMPRODUCT(($AM$11:$AM3074&lt;&gt;"")*($AS$11:$AS3074&lt;&gt;"✓")),"")</f>
        <v/>
      </c>
      <c r="AZ3074" s="21" t="str">
        <f>IF(AND($AM3074&lt;&gt;"",$AS3074="✓"),SUMPRODUCT(($AM$11:$AM3074&lt;&gt;"")*($AS$11:$AS3074="✓")),"")</f>
        <v/>
      </c>
      <c r="BA3074" s="21" t="str">
        <f>IF($AL3074="","",$AL3074&amp;"|"&amp;COUNTIF($AL$11:$AL3074,$AL3074))</f>
        <v/>
      </c>
    </row>
    <row r="3075" spans="38:53" ht="15" customHeight="1" x14ac:dyDescent="0.25">
      <c r="AL3075" s="17"/>
      <c r="AM3075" s="12"/>
      <c r="AN3075" s="18"/>
      <c r="AO3075" s="18"/>
      <c r="AP3075" s="10"/>
      <c r="AQ3075" s="10"/>
      <c r="AR3075" s="19"/>
      <c r="AS3075" s="20"/>
      <c r="AT3075" s="19"/>
      <c r="AV3075" s="21">
        <f>IF(AND($AL3075&lt;&gt;"",COUNTIF($AL$11:$AL3075,$AL3075)=1),1,0)</f>
        <v>0</v>
      </c>
      <c r="AW3075" s="21">
        <f t="shared" si="181"/>
        <v>0</v>
      </c>
      <c r="AX3075" s="21" t="str">
        <f t="shared" si="180"/>
        <v/>
      </c>
      <c r="AY3075" s="21" t="str">
        <f>IF(AND($AM3075&lt;&gt;"",$AS3075&lt;&gt;"✓"),SUMPRODUCT(($AM$11:$AM3075&lt;&gt;"")*($AS$11:$AS3075&lt;&gt;"✓")),"")</f>
        <v/>
      </c>
      <c r="AZ3075" s="21" t="str">
        <f>IF(AND($AM3075&lt;&gt;"",$AS3075="✓"),SUMPRODUCT(($AM$11:$AM3075&lt;&gt;"")*($AS$11:$AS3075="✓")),"")</f>
        <v/>
      </c>
      <c r="BA3075" s="21" t="str">
        <f>IF($AL3075="","",$AL3075&amp;"|"&amp;COUNTIF($AL$11:$AL3075,$AL3075))</f>
        <v/>
      </c>
    </row>
    <row r="3076" spans="38:53" ht="15" customHeight="1" x14ac:dyDescent="0.25">
      <c r="AL3076" s="31"/>
      <c r="AM3076" s="26"/>
      <c r="AN3076" s="32"/>
      <c r="AO3076" s="32"/>
      <c r="AP3076" s="24"/>
      <c r="AQ3076" s="24"/>
      <c r="AR3076" s="33"/>
      <c r="AS3076" s="34"/>
      <c r="AT3076" s="33"/>
      <c r="AV3076" s="21">
        <f>IF(AND($AL3076&lt;&gt;"",COUNTIF($AL$11:$AL3076,$AL3076)=1),1,0)</f>
        <v>0</v>
      </c>
      <c r="AW3076" s="21">
        <f t="shared" si="181"/>
        <v>0</v>
      </c>
      <c r="AX3076" s="21" t="str">
        <f t="shared" si="180"/>
        <v/>
      </c>
      <c r="AY3076" s="21" t="str">
        <f>IF(AND($AM3076&lt;&gt;"",$AS3076&lt;&gt;"✓"),SUMPRODUCT(($AM$11:$AM3076&lt;&gt;"")*($AS$11:$AS3076&lt;&gt;"✓")),"")</f>
        <v/>
      </c>
      <c r="AZ3076" s="21" t="str">
        <f>IF(AND($AM3076&lt;&gt;"",$AS3076="✓"),SUMPRODUCT(($AM$11:$AM3076&lt;&gt;"")*($AS$11:$AS3076="✓")),"")</f>
        <v/>
      </c>
      <c r="BA3076" s="21" t="str">
        <f>IF($AL3076="","",$AL3076&amp;"|"&amp;COUNTIF($AL$11:$AL3076,$AL3076))</f>
        <v/>
      </c>
    </row>
    <row r="3077" spans="38:53" ht="15" customHeight="1" x14ac:dyDescent="0.25">
      <c r="AL3077" s="17"/>
      <c r="AM3077" s="12"/>
      <c r="AN3077" s="18"/>
      <c r="AO3077" s="18"/>
      <c r="AP3077" s="10"/>
      <c r="AQ3077" s="10"/>
      <c r="AR3077" s="19"/>
      <c r="AS3077" s="20"/>
      <c r="AT3077" s="19"/>
      <c r="AV3077" s="21">
        <f>IF(AND($AL3077&lt;&gt;"",COUNTIF($AL$11:$AL3077,$AL3077)=1),1,0)</f>
        <v>0</v>
      </c>
      <c r="AW3077" s="21">
        <f t="shared" si="181"/>
        <v>0</v>
      </c>
      <c r="AX3077" s="21" t="str">
        <f t="shared" si="180"/>
        <v/>
      </c>
      <c r="AY3077" s="21" t="str">
        <f>IF(AND($AM3077&lt;&gt;"",$AS3077&lt;&gt;"✓"),SUMPRODUCT(($AM$11:$AM3077&lt;&gt;"")*($AS$11:$AS3077&lt;&gt;"✓")),"")</f>
        <v/>
      </c>
      <c r="AZ3077" s="21" t="str">
        <f>IF(AND($AM3077&lt;&gt;"",$AS3077="✓"),SUMPRODUCT(($AM$11:$AM3077&lt;&gt;"")*($AS$11:$AS3077="✓")),"")</f>
        <v/>
      </c>
      <c r="BA3077" s="21" t="str">
        <f>IF($AL3077="","",$AL3077&amp;"|"&amp;COUNTIF($AL$11:$AL3077,$AL3077))</f>
        <v/>
      </c>
    </row>
    <row r="3078" spans="38:53" ht="15" customHeight="1" x14ac:dyDescent="0.25">
      <c r="AL3078" s="31"/>
      <c r="AM3078" s="26"/>
      <c r="AN3078" s="32"/>
      <c r="AO3078" s="32"/>
      <c r="AP3078" s="24"/>
      <c r="AQ3078" s="24"/>
      <c r="AR3078" s="33"/>
      <c r="AS3078" s="34"/>
      <c r="AT3078" s="33"/>
      <c r="AV3078" s="21">
        <f>IF(AND($AL3078&lt;&gt;"",COUNTIF($AL$11:$AL3078,$AL3078)=1),1,0)</f>
        <v>0</v>
      </c>
      <c r="AW3078" s="21">
        <f t="shared" si="181"/>
        <v>0</v>
      </c>
      <c r="AX3078" s="21" t="str">
        <f t="shared" si="180"/>
        <v/>
      </c>
      <c r="AY3078" s="21" t="str">
        <f>IF(AND($AM3078&lt;&gt;"",$AS3078&lt;&gt;"✓"),SUMPRODUCT(($AM$11:$AM3078&lt;&gt;"")*($AS$11:$AS3078&lt;&gt;"✓")),"")</f>
        <v/>
      </c>
      <c r="AZ3078" s="21" t="str">
        <f>IF(AND($AM3078&lt;&gt;"",$AS3078="✓"),SUMPRODUCT(($AM$11:$AM3078&lt;&gt;"")*($AS$11:$AS3078="✓")),"")</f>
        <v/>
      </c>
      <c r="BA3078" s="21" t="str">
        <f>IF($AL3078="","",$AL3078&amp;"|"&amp;COUNTIF($AL$11:$AL3078,$AL3078))</f>
        <v/>
      </c>
    </row>
    <row r="3079" spans="38:53" ht="15" customHeight="1" x14ac:dyDescent="0.25">
      <c r="AL3079" s="17"/>
      <c r="AM3079" s="12"/>
      <c r="AN3079" s="18"/>
      <c r="AO3079" s="18"/>
      <c r="AP3079" s="10"/>
      <c r="AQ3079" s="10"/>
      <c r="AR3079" s="19"/>
      <c r="AS3079" s="20"/>
      <c r="AT3079" s="19"/>
      <c r="AV3079" s="21">
        <f>IF(AND($AL3079&lt;&gt;"",COUNTIF($AL$11:$AL3079,$AL3079)=1),1,0)</f>
        <v>0</v>
      </c>
      <c r="AW3079" s="21">
        <f t="shared" si="181"/>
        <v>0</v>
      </c>
      <c r="AX3079" s="21" t="str">
        <f t="shared" si="180"/>
        <v/>
      </c>
      <c r="AY3079" s="21" t="str">
        <f>IF(AND($AM3079&lt;&gt;"",$AS3079&lt;&gt;"✓"),SUMPRODUCT(($AM$11:$AM3079&lt;&gt;"")*($AS$11:$AS3079&lt;&gt;"✓")),"")</f>
        <v/>
      </c>
      <c r="AZ3079" s="21" t="str">
        <f>IF(AND($AM3079&lt;&gt;"",$AS3079="✓"),SUMPRODUCT(($AM$11:$AM3079&lt;&gt;"")*($AS$11:$AS3079="✓")),"")</f>
        <v/>
      </c>
      <c r="BA3079" s="21" t="str">
        <f>IF($AL3079="","",$AL3079&amp;"|"&amp;COUNTIF($AL$11:$AL3079,$AL3079))</f>
        <v/>
      </c>
    </row>
    <row r="3080" spans="38:53" ht="15" customHeight="1" x14ac:dyDescent="0.25">
      <c r="AL3080" s="31"/>
      <c r="AM3080" s="26"/>
      <c r="AN3080" s="32"/>
      <c r="AO3080" s="32"/>
      <c r="AP3080" s="24"/>
      <c r="AQ3080" s="24"/>
      <c r="AR3080" s="33"/>
      <c r="AS3080" s="34"/>
      <c r="AT3080" s="33"/>
      <c r="AV3080" s="21">
        <f>IF(AND($AL3080&lt;&gt;"",COUNTIF($AL$11:$AL3080,$AL3080)=1),1,0)</f>
        <v>0</v>
      </c>
      <c r="AW3080" s="21">
        <f t="shared" si="181"/>
        <v>0</v>
      </c>
      <c r="AX3080" s="21" t="str">
        <f t="shared" si="180"/>
        <v/>
      </c>
      <c r="AY3080" s="21" t="str">
        <f>IF(AND($AM3080&lt;&gt;"",$AS3080&lt;&gt;"✓"),SUMPRODUCT(($AM$11:$AM3080&lt;&gt;"")*($AS$11:$AS3080&lt;&gt;"✓")),"")</f>
        <v/>
      </c>
      <c r="AZ3080" s="21" t="str">
        <f>IF(AND($AM3080&lt;&gt;"",$AS3080="✓"),SUMPRODUCT(($AM$11:$AM3080&lt;&gt;"")*($AS$11:$AS3080="✓")),"")</f>
        <v/>
      </c>
      <c r="BA3080" s="21" t="str">
        <f>IF($AL3080="","",$AL3080&amp;"|"&amp;COUNTIF($AL$11:$AL3080,$AL3080))</f>
        <v/>
      </c>
    </row>
    <row r="3081" spans="38:53" ht="15" customHeight="1" x14ac:dyDescent="0.25">
      <c r="AL3081" s="17"/>
      <c r="AM3081" s="12"/>
      <c r="AN3081" s="18"/>
      <c r="AO3081" s="18"/>
      <c r="AP3081" s="10"/>
      <c r="AQ3081" s="10"/>
      <c r="AR3081" s="19"/>
      <c r="AS3081" s="20"/>
      <c r="AT3081" s="19"/>
      <c r="AV3081" s="21">
        <f>IF(AND($AL3081&lt;&gt;"",COUNTIF($AL$11:$AL3081,$AL3081)=1),1,0)</f>
        <v>0</v>
      </c>
      <c r="AW3081" s="21">
        <f t="shared" si="181"/>
        <v>0</v>
      </c>
      <c r="AX3081" s="21" t="str">
        <f t="shared" si="180"/>
        <v/>
      </c>
      <c r="AY3081" s="21" t="str">
        <f>IF(AND($AM3081&lt;&gt;"",$AS3081&lt;&gt;"✓"),SUMPRODUCT(($AM$11:$AM3081&lt;&gt;"")*($AS$11:$AS3081&lt;&gt;"✓")),"")</f>
        <v/>
      </c>
      <c r="AZ3081" s="21" t="str">
        <f>IF(AND($AM3081&lt;&gt;"",$AS3081="✓"),SUMPRODUCT(($AM$11:$AM3081&lt;&gt;"")*($AS$11:$AS3081="✓")),"")</f>
        <v/>
      </c>
      <c r="BA3081" s="21" t="str">
        <f>IF($AL3081="","",$AL3081&amp;"|"&amp;COUNTIF($AL$11:$AL3081,$AL3081))</f>
        <v/>
      </c>
    </row>
    <row r="3082" spans="38:53" ht="15" customHeight="1" x14ac:dyDescent="0.25">
      <c r="AL3082" s="31"/>
      <c r="AM3082" s="26"/>
      <c r="AN3082" s="32"/>
      <c r="AO3082" s="32"/>
      <c r="AP3082" s="24"/>
      <c r="AQ3082" s="24"/>
      <c r="AR3082" s="33"/>
      <c r="AS3082" s="34"/>
      <c r="AT3082" s="33"/>
      <c r="AV3082" s="21">
        <f>IF(AND($AL3082&lt;&gt;"",COUNTIF($AL$11:$AL3082,$AL3082)=1),1,0)</f>
        <v>0</v>
      </c>
      <c r="AW3082" s="21">
        <f t="shared" si="181"/>
        <v>0</v>
      </c>
      <c r="AX3082" s="21" t="str">
        <f t="shared" si="180"/>
        <v/>
      </c>
      <c r="AY3082" s="21" t="str">
        <f>IF(AND($AM3082&lt;&gt;"",$AS3082&lt;&gt;"✓"),SUMPRODUCT(($AM$11:$AM3082&lt;&gt;"")*($AS$11:$AS3082&lt;&gt;"✓")),"")</f>
        <v/>
      </c>
      <c r="AZ3082" s="21" t="str">
        <f>IF(AND($AM3082&lt;&gt;"",$AS3082="✓"),SUMPRODUCT(($AM$11:$AM3082&lt;&gt;"")*($AS$11:$AS3082="✓")),"")</f>
        <v/>
      </c>
      <c r="BA3082" s="21" t="str">
        <f>IF($AL3082="","",$AL3082&amp;"|"&amp;COUNTIF($AL$11:$AL3082,$AL3082))</f>
        <v/>
      </c>
    </row>
    <row r="3083" spans="38:53" ht="15" customHeight="1" x14ac:dyDescent="0.25">
      <c r="AL3083" s="17"/>
      <c r="AM3083" s="12"/>
      <c r="AN3083" s="18"/>
      <c r="AO3083" s="18"/>
      <c r="AP3083" s="10"/>
      <c r="AQ3083" s="10"/>
      <c r="AR3083" s="19"/>
      <c r="AS3083" s="20"/>
      <c r="AT3083" s="19"/>
      <c r="AV3083" s="21">
        <f>IF(AND($AL3083&lt;&gt;"",COUNTIF($AL$11:$AL3083,$AL3083)=1),1,0)</f>
        <v>0</v>
      </c>
      <c r="AW3083" s="21">
        <f t="shared" si="181"/>
        <v>0</v>
      </c>
      <c r="AX3083" s="21" t="str">
        <f t="shared" ref="AX3083:AX3146" si="182">IF(AV3083=1,AW3083,"")</f>
        <v/>
      </c>
      <c r="AY3083" s="21" t="str">
        <f>IF(AND($AM3083&lt;&gt;"",$AS3083&lt;&gt;"✓"),SUMPRODUCT(($AM$11:$AM3083&lt;&gt;"")*($AS$11:$AS3083&lt;&gt;"✓")),"")</f>
        <v/>
      </c>
      <c r="AZ3083" s="21" t="str">
        <f>IF(AND($AM3083&lt;&gt;"",$AS3083="✓"),SUMPRODUCT(($AM$11:$AM3083&lt;&gt;"")*($AS$11:$AS3083="✓")),"")</f>
        <v/>
      </c>
      <c r="BA3083" s="21" t="str">
        <f>IF($AL3083="","",$AL3083&amp;"|"&amp;COUNTIF($AL$11:$AL3083,$AL3083))</f>
        <v/>
      </c>
    </row>
    <row r="3084" spans="38:53" ht="15" customHeight="1" x14ac:dyDescent="0.25">
      <c r="AL3084" s="31"/>
      <c r="AM3084" s="26"/>
      <c r="AN3084" s="32"/>
      <c r="AO3084" s="32"/>
      <c r="AP3084" s="24"/>
      <c r="AQ3084" s="24"/>
      <c r="AR3084" s="33"/>
      <c r="AS3084" s="34"/>
      <c r="AT3084" s="33"/>
      <c r="AV3084" s="21">
        <f>IF(AND($AL3084&lt;&gt;"",COUNTIF($AL$11:$AL3084,$AL3084)=1),1,0)</f>
        <v>0</v>
      </c>
      <c r="AW3084" s="21">
        <f t="shared" ref="AW3084:AW3147" si="183">AW3083+AV3084</f>
        <v>0</v>
      </c>
      <c r="AX3084" s="21" t="str">
        <f t="shared" si="182"/>
        <v/>
      </c>
      <c r="AY3084" s="21" t="str">
        <f>IF(AND($AM3084&lt;&gt;"",$AS3084&lt;&gt;"✓"),SUMPRODUCT(($AM$11:$AM3084&lt;&gt;"")*($AS$11:$AS3084&lt;&gt;"✓")),"")</f>
        <v/>
      </c>
      <c r="AZ3084" s="21" t="str">
        <f>IF(AND($AM3084&lt;&gt;"",$AS3084="✓"),SUMPRODUCT(($AM$11:$AM3084&lt;&gt;"")*($AS$11:$AS3084="✓")),"")</f>
        <v/>
      </c>
      <c r="BA3084" s="21" t="str">
        <f>IF($AL3084="","",$AL3084&amp;"|"&amp;COUNTIF($AL$11:$AL3084,$AL3084))</f>
        <v/>
      </c>
    </row>
    <row r="3085" spans="38:53" ht="15" customHeight="1" x14ac:dyDescent="0.25">
      <c r="AL3085" s="17"/>
      <c r="AM3085" s="12"/>
      <c r="AN3085" s="18"/>
      <c r="AO3085" s="18"/>
      <c r="AP3085" s="10"/>
      <c r="AQ3085" s="10"/>
      <c r="AR3085" s="19"/>
      <c r="AS3085" s="20"/>
      <c r="AT3085" s="19"/>
      <c r="AV3085" s="21">
        <f>IF(AND($AL3085&lt;&gt;"",COUNTIF($AL$11:$AL3085,$AL3085)=1),1,0)</f>
        <v>0</v>
      </c>
      <c r="AW3085" s="21">
        <f t="shared" si="183"/>
        <v>0</v>
      </c>
      <c r="AX3085" s="21" t="str">
        <f t="shared" si="182"/>
        <v/>
      </c>
      <c r="AY3085" s="21" t="str">
        <f>IF(AND($AM3085&lt;&gt;"",$AS3085&lt;&gt;"✓"),SUMPRODUCT(($AM$11:$AM3085&lt;&gt;"")*($AS$11:$AS3085&lt;&gt;"✓")),"")</f>
        <v/>
      </c>
      <c r="AZ3085" s="21" t="str">
        <f>IF(AND($AM3085&lt;&gt;"",$AS3085="✓"),SUMPRODUCT(($AM$11:$AM3085&lt;&gt;"")*($AS$11:$AS3085="✓")),"")</f>
        <v/>
      </c>
      <c r="BA3085" s="21" t="str">
        <f>IF($AL3085="","",$AL3085&amp;"|"&amp;COUNTIF($AL$11:$AL3085,$AL3085))</f>
        <v/>
      </c>
    </row>
    <row r="3086" spans="38:53" ht="15" customHeight="1" x14ac:dyDescent="0.25">
      <c r="AL3086" s="31"/>
      <c r="AM3086" s="26"/>
      <c r="AN3086" s="32"/>
      <c r="AO3086" s="32"/>
      <c r="AP3086" s="24"/>
      <c r="AQ3086" s="24"/>
      <c r="AR3086" s="33"/>
      <c r="AS3086" s="34"/>
      <c r="AT3086" s="33"/>
      <c r="AV3086" s="21">
        <f>IF(AND($AL3086&lt;&gt;"",COUNTIF($AL$11:$AL3086,$AL3086)=1),1,0)</f>
        <v>0</v>
      </c>
      <c r="AW3086" s="21">
        <f t="shared" si="183"/>
        <v>0</v>
      </c>
      <c r="AX3086" s="21" t="str">
        <f t="shared" si="182"/>
        <v/>
      </c>
      <c r="AY3086" s="21" t="str">
        <f>IF(AND($AM3086&lt;&gt;"",$AS3086&lt;&gt;"✓"),SUMPRODUCT(($AM$11:$AM3086&lt;&gt;"")*($AS$11:$AS3086&lt;&gt;"✓")),"")</f>
        <v/>
      </c>
      <c r="AZ3086" s="21" t="str">
        <f>IF(AND($AM3086&lt;&gt;"",$AS3086="✓"),SUMPRODUCT(($AM$11:$AM3086&lt;&gt;"")*($AS$11:$AS3086="✓")),"")</f>
        <v/>
      </c>
      <c r="BA3086" s="21" t="str">
        <f>IF($AL3086="","",$AL3086&amp;"|"&amp;COUNTIF($AL$11:$AL3086,$AL3086))</f>
        <v/>
      </c>
    </row>
    <row r="3087" spans="38:53" ht="15" customHeight="1" x14ac:dyDescent="0.25">
      <c r="AL3087" s="17"/>
      <c r="AM3087" s="12"/>
      <c r="AN3087" s="18"/>
      <c r="AO3087" s="18"/>
      <c r="AP3087" s="10"/>
      <c r="AQ3087" s="10"/>
      <c r="AR3087" s="19"/>
      <c r="AS3087" s="20"/>
      <c r="AT3087" s="19"/>
      <c r="AV3087" s="21">
        <f>IF(AND($AL3087&lt;&gt;"",COUNTIF($AL$11:$AL3087,$AL3087)=1),1,0)</f>
        <v>0</v>
      </c>
      <c r="AW3087" s="21">
        <f t="shared" si="183"/>
        <v>0</v>
      </c>
      <c r="AX3087" s="21" t="str">
        <f t="shared" si="182"/>
        <v/>
      </c>
      <c r="AY3087" s="21" t="str">
        <f>IF(AND($AM3087&lt;&gt;"",$AS3087&lt;&gt;"✓"),SUMPRODUCT(($AM$11:$AM3087&lt;&gt;"")*($AS$11:$AS3087&lt;&gt;"✓")),"")</f>
        <v/>
      </c>
      <c r="AZ3087" s="21" t="str">
        <f>IF(AND($AM3087&lt;&gt;"",$AS3087="✓"),SUMPRODUCT(($AM$11:$AM3087&lt;&gt;"")*($AS$11:$AS3087="✓")),"")</f>
        <v/>
      </c>
      <c r="BA3087" s="21" t="str">
        <f>IF($AL3087="","",$AL3087&amp;"|"&amp;COUNTIF($AL$11:$AL3087,$AL3087))</f>
        <v/>
      </c>
    </row>
    <row r="3088" spans="38:53" ht="15" customHeight="1" x14ac:dyDescent="0.25">
      <c r="AL3088" s="31"/>
      <c r="AM3088" s="26"/>
      <c r="AN3088" s="32"/>
      <c r="AO3088" s="32"/>
      <c r="AP3088" s="24"/>
      <c r="AQ3088" s="24"/>
      <c r="AR3088" s="33"/>
      <c r="AS3088" s="34"/>
      <c r="AT3088" s="33"/>
      <c r="AV3088" s="21">
        <f>IF(AND($AL3088&lt;&gt;"",COUNTIF($AL$11:$AL3088,$AL3088)=1),1,0)</f>
        <v>0</v>
      </c>
      <c r="AW3088" s="21">
        <f t="shared" si="183"/>
        <v>0</v>
      </c>
      <c r="AX3088" s="21" t="str">
        <f t="shared" si="182"/>
        <v/>
      </c>
      <c r="AY3088" s="21" t="str">
        <f>IF(AND($AM3088&lt;&gt;"",$AS3088&lt;&gt;"✓"),SUMPRODUCT(($AM$11:$AM3088&lt;&gt;"")*($AS$11:$AS3088&lt;&gt;"✓")),"")</f>
        <v/>
      </c>
      <c r="AZ3088" s="21" t="str">
        <f>IF(AND($AM3088&lt;&gt;"",$AS3088="✓"),SUMPRODUCT(($AM$11:$AM3088&lt;&gt;"")*($AS$11:$AS3088="✓")),"")</f>
        <v/>
      </c>
      <c r="BA3088" s="21" t="str">
        <f>IF($AL3088="","",$AL3088&amp;"|"&amp;COUNTIF($AL$11:$AL3088,$AL3088))</f>
        <v/>
      </c>
    </row>
    <row r="3089" spans="38:53" ht="15" customHeight="1" x14ac:dyDescent="0.25">
      <c r="AL3089" s="17"/>
      <c r="AM3089" s="12"/>
      <c r="AN3089" s="18"/>
      <c r="AO3089" s="18"/>
      <c r="AP3089" s="10"/>
      <c r="AQ3089" s="10"/>
      <c r="AR3089" s="19"/>
      <c r="AS3089" s="20"/>
      <c r="AT3089" s="19"/>
      <c r="AV3089" s="21">
        <f>IF(AND($AL3089&lt;&gt;"",COUNTIF($AL$11:$AL3089,$AL3089)=1),1,0)</f>
        <v>0</v>
      </c>
      <c r="AW3089" s="21">
        <f t="shared" si="183"/>
        <v>0</v>
      </c>
      <c r="AX3089" s="21" t="str">
        <f t="shared" si="182"/>
        <v/>
      </c>
      <c r="AY3089" s="21" t="str">
        <f>IF(AND($AM3089&lt;&gt;"",$AS3089&lt;&gt;"✓"),SUMPRODUCT(($AM$11:$AM3089&lt;&gt;"")*($AS$11:$AS3089&lt;&gt;"✓")),"")</f>
        <v/>
      </c>
      <c r="AZ3089" s="21" t="str">
        <f>IF(AND($AM3089&lt;&gt;"",$AS3089="✓"),SUMPRODUCT(($AM$11:$AM3089&lt;&gt;"")*($AS$11:$AS3089="✓")),"")</f>
        <v/>
      </c>
      <c r="BA3089" s="21" t="str">
        <f>IF($AL3089="","",$AL3089&amp;"|"&amp;COUNTIF($AL$11:$AL3089,$AL3089))</f>
        <v/>
      </c>
    </row>
    <row r="3090" spans="38:53" ht="15" customHeight="1" x14ac:dyDescent="0.25">
      <c r="AL3090" s="31"/>
      <c r="AM3090" s="26"/>
      <c r="AN3090" s="32"/>
      <c r="AO3090" s="32"/>
      <c r="AP3090" s="24"/>
      <c r="AQ3090" s="24"/>
      <c r="AR3090" s="33"/>
      <c r="AS3090" s="34"/>
      <c r="AT3090" s="33"/>
      <c r="AV3090" s="21">
        <f>IF(AND($AL3090&lt;&gt;"",COUNTIF($AL$11:$AL3090,$AL3090)=1),1,0)</f>
        <v>0</v>
      </c>
      <c r="AW3090" s="21">
        <f t="shared" si="183"/>
        <v>0</v>
      </c>
      <c r="AX3090" s="21" t="str">
        <f t="shared" si="182"/>
        <v/>
      </c>
      <c r="AY3090" s="21" t="str">
        <f>IF(AND($AM3090&lt;&gt;"",$AS3090&lt;&gt;"✓"),SUMPRODUCT(($AM$11:$AM3090&lt;&gt;"")*($AS$11:$AS3090&lt;&gt;"✓")),"")</f>
        <v/>
      </c>
      <c r="AZ3090" s="21" t="str">
        <f>IF(AND($AM3090&lt;&gt;"",$AS3090="✓"),SUMPRODUCT(($AM$11:$AM3090&lt;&gt;"")*($AS$11:$AS3090="✓")),"")</f>
        <v/>
      </c>
      <c r="BA3090" s="21" t="str">
        <f>IF($AL3090="","",$AL3090&amp;"|"&amp;COUNTIF($AL$11:$AL3090,$AL3090))</f>
        <v/>
      </c>
    </row>
    <row r="3091" spans="38:53" ht="15" customHeight="1" x14ac:dyDescent="0.25">
      <c r="AL3091" s="17"/>
      <c r="AM3091" s="12"/>
      <c r="AN3091" s="18"/>
      <c r="AO3091" s="18"/>
      <c r="AP3091" s="10"/>
      <c r="AQ3091" s="10"/>
      <c r="AR3091" s="19"/>
      <c r="AS3091" s="20"/>
      <c r="AT3091" s="19"/>
      <c r="AV3091" s="21">
        <f>IF(AND($AL3091&lt;&gt;"",COUNTIF($AL$11:$AL3091,$AL3091)=1),1,0)</f>
        <v>0</v>
      </c>
      <c r="AW3091" s="21">
        <f t="shared" si="183"/>
        <v>0</v>
      </c>
      <c r="AX3091" s="21" t="str">
        <f t="shared" si="182"/>
        <v/>
      </c>
      <c r="AY3091" s="21" t="str">
        <f>IF(AND($AM3091&lt;&gt;"",$AS3091&lt;&gt;"✓"),SUMPRODUCT(($AM$11:$AM3091&lt;&gt;"")*($AS$11:$AS3091&lt;&gt;"✓")),"")</f>
        <v/>
      </c>
      <c r="AZ3091" s="21" t="str">
        <f>IF(AND($AM3091&lt;&gt;"",$AS3091="✓"),SUMPRODUCT(($AM$11:$AM3091&lt;&gt;"")*($AS$11:$AS3091="✓")),"")</f>
        <v/>
      </c>
      <c r="BA3091" s="21" t="str">
        <f>IF($AL3091="","",$AL3091&amp;"|"&amp;COUNTIF($AL$11:$AL3091,$AL3091))</f>
        <v/>
      </c>
    </row>
    <row r="3092" spans="38:53" ht="15" customHeight="1" x14ac:dyDescent="0.25">
      <c r="AL3092" s="31"/>
      <c r="AM3092" s="26"/>
      <c r="AN3092" s="32"/>
      <c r="AO3092" s="32"/>
      <c r="AP3092" s="24"/>
      <c r="AQ3092" s="24"/>
      <c r="AR3092" s="33"/>
      <c r="AS3092" s="34"/>
      <c r="AT3092" s="33"/>
      <c r="AV3092" s="21">
        <f>IF(AND($AL3092&lt;&gt;"",COUNTIF($AL$11:$AL3092,$AL3092)=1),1,0)</f>
        <v>0</v>
      </c>
      <c r="AW3092" s="21">
        <f t="shared" si="183"/>
        <v>0</v>
      </c>
      <c r="AX3092" s="21" t="str">
        <f t="shared" si="182"/>
        <v/>
      </c>
      <c r="AY3092" s="21" t="str">
        <f>IF(AND($AM3092&lt;&gt;"",$AS3092&lt;&gt;"✓"),SUMPRODUCT(($AM$11:$AM3092&lt;&gt;"")*($AS$11:$AS3092&lt;&gt;"✓")),"")</f>
        <v/>
      </c>
      <c r="AZ3092" s="21" t="str">
        <f>IF(AND($AM3092&lt;&gt;"",$AS3092="✓"),SUMPRODUCT(($AM$11:$AM3092&lt;&gt;"")*($AS$11:$AS3092="✓")),"")</f>
        <v/>
      </c>
      <c r="BA3092" s="21" t="str">
        <f>IF($AL3092="","",$AL3092&amp;"|"&amp;COUNTIF($AL$11:$AL3092,$AL3092))</f>
        <v/>
      </c>
    </row>
    <row r="3093" spans="38:53" ht="15" customHeight="1" x14ac:dyDescent="0.25">
      <c r="AL3093" s="17"/>
      <c r="AM3093" s="12"/>
      <c r="AN3093" s="18"/>
      <c r="AO3093" s="18"/>
      <c r="AP3093" s="10"/>
      <c r="AQ3093" s="10"/>
      <c r="AR3093" s="19"/>
      <c r="AS3093" s="20"/>
      <c r="AT3093" s="19"/>
      <c r="AV3093" s="21">
        <f>IF(AND($AL3093&lt;&gt;"",COUNTIF($AL$11:$AL3093,$AL3093)=1),1,0)</f>
        <v>0</v>
      </c>
      <c r="AW3093" s="21">
        <f t="shared" si="183"/>
        <v>0</v>
      </c>
      <c r="AX3093" s="21" t="str">
        <f t="shared" si="182"/>
        <v/>
      </c>
      <c r="AY3093" s="21" t="str">
        <f>IF(AND($AM3093&lt;&gt;"",$AS3093&lt;&gt;"✓"),SUMPRODUCT(($AM$11:$AM3093&lt;&gt;"")*($AS$11:$AS3093&lt;&gt;"✓")),"")</f>
        <v/>
      </c>
      <c r="AZ3093" s="21" t="str">
        <f>IF(AND($AM3093&lt;&gt;"",$AS3093="✓"),SUMPRODUCT(($AM$11:$AM3093&lt;&gt;"")*($AS$11:$AS3093="✓")),"")</f>
        <v/>
      </c>
      <c r="BA3093" s="21" t="str">
        <f>IF($AL3093="","",$AL3093&amp;"|"&amp;COUNTIF($AL$11:$AL3093,$AL3093))</f>
        <v/>
      </c>
    </row>
    <row r="3094" spans="38:53" ht="15" customHeight="1" x14ac:dyDescent="0.25">
      <c r="AL3094" s="31"/>
      <c r="AM3094" s="26"/>
      <c r="AN3094" s="32"/>
      <c r="AO3094" s="32"/>
      <c r="AP3094" s="24"/>
      <c r="AQ3094" s="24"/>
      <c r="AR3094" s="33"/>
      <c r="AS3094" s="34"/>
      <c r="AT3094" s="33"/>
      <c r="AV3094" s="21">
        <f>IF(AND($AL3094&lt;&gt;"",COUNTIF($AL$11:$AL3094,$AL3094)=1),1,0)</f>
        <v>0</v>
      </c>
      <c r="AW3094" s="21">
        <f t="shared" si="183"/>
        <v>0</v>
      </c>
      <c r="AX3094" s="21" t="str">
        <f t="shared" si="182"/>
        <v/>
      </c>
      <c r="AY3094" s="21" t="str">
        <f>IF(AND($AM3094&lt;&gt;"",$AS3094&lt;&gt;"✓"),SUMPRODUCT(($AM$11:$AM3094&lt;&gt;"")*($AS$11:$AS3094&lt;&gt;"✓")),"")</f>
        <v/>
      </c>
      <c r="AZ3094" s="21" t="str">
        <f>IF(AND($AM3094&lt;&gt;"",$AS3094="✓"),SUMPRODUCT(($AM$11:$AM3094&lt;&gt;"")*($AS$11:$AS3094="✓")),"")</f>
        <v/>
      </c>
      <c r="BA3094" s="21" t="str">
        <f>IF($AL3094="","",$AL3094&amp;"|"&amp;COUNTIF($AL$11:$AL3094,$AL3094))</f>
        <v/>
      </c>
    </row>
    <row r="3095" spans="38:53" ht="15" customHeight="1" x14ac:dyDescent="0.25">
      <c r="AL3095" s="17"/>
      <c r="AM3095" s="12"/>
      <c r="AN3095" s="18"/>
      <c r="AO3095" s="18"/>
      <c r="AP3095" s="10"/>
      <c r="AQ3095" s="10"/>
      <c r="AR3095" s="19"/>
      <c r="AS3095" s="20"/>
      <c r="AT3095" s="19"/>
      <c r="AV3095" s="21">
        <f>IF(AND($AL3095&lt;&gt;"",COUNTIF($AL$11:$AL3095,$AL3095)=1),1,0)</f>
        <v>0</v>
      </c>
      <c r="AW3095" s="21">
        <f t="shared" si="183"/>
        <v>0</v>
      </c>
      <c r="AX3095" s="21" t="str">
        <f t="shared" si="182"/>
        <v/>
      </c>
      <c r="AY3095" s="21" t="str">
        <f>IF(AND($AM3095&lt;&gt;"",$AS3095&lt;&gt;"✓"),SUMPRODUCT(($AM$11:$AM3095&lt;&gt;"")*($AS$11:$AS3095&lt;&gt;"✓")),"")</f>
        <v/>
      </c>
      <c r="AZ3095" s="21" t="str">
        <f>IF(AND($AM3095&lt;&gt;"",$AS3095="✓"),SUMPRODUCT(($AM$11:$AM3095&lt;&gt;"")*($AS$11:$AS3095="✓")),"")</f>
        <v/>
      </c>
      <c r="BA3095" s="21" t="str">
        <f>IF($AL3095="","",$AL3095&amp;"|"&amp;COUNTIF($AL$11:$AL3095,$AL3095))</f>
        <v/>
      </c>
    </row>
    <row r="3096" spans="38:53" ht="15" customHeight="1" x14ac:dyDescent="0.25">
      <c r="AL3096" s="31"/>
      <c r="AM3096" s="26"/>
      <c r="AN3096" s="32"/>
      <c r="AO3096" s="32"/>
      <c r="AP3096" s="24"/>
      <c r="AQ3096" s="24"/>
      <c r="AR3096" s="33"/>
      <c r="AS3096" s="34"/>
      <c r="AT3096" s="33"/>
      <c r="AV3096" s="21">
        <f>IF(AND($AL3096&lt;&gt;"",COUNTIF($AL$11:$AL3096,$AL3096)=1),1,0)</f>
        <v>0</v>
      </c>
      <c r="AW3096" s="21">
        <f t="shared" si="183"/>
        <v>0</v>
      </c>
      <c r="AX3096" s="21" t="str">
        <f t="shared" si="182"/>
        <v/>
      </c>
      <c r="AY3096" s="21" t="str">
        <f>IF(AND($AM3096&lt;&gt;"",$AS3096&lt;&gt;"✓"),SUMPRODUCT(($AM$11:$AM3096&lt;&gt;"")*($AS$11:$AS3096&lt;&gt;"✓")),"")</f>
        <v/>
      </c>
      <c r="AZ3096" s="21" t="str">
        <f>IF(AND($AM3096&lt;&gt;"",$AS3096="✓"),SUMPRODUCT(($AM$11:$AM3096&lt;&gt;"")*($AS$11:$AS3096="✓")),"")</f>
        <v/>
      </c>
      <c r="BA3096" s="21" t="str">
        <f>IF($AL3096="","",$AL3096&amp;"|"&amp;COUNTIF($AL$11:$AL3096,$AL3096))</f>
        <v/>
      </c>
    </row>
    <row r="3097" spans="38:53" ht="15" customHeight="1" x14ac:dyDescent="0.25">
      <c r="AL3097" s="17"/>
      <c r="AM3097" s="12"/>
      <c r="AN3097" s="18"/>
      <c r="AO3097" s="18"/>
      <c r="AP3097" s="10"/>
      <c r="AQ3097" s="10"/>
      <c r="AR3097" s="19"/>
      <c r="AS3097" s="20"/>
      <c r="AT3097" s="19"/>
      <c r="AV3097" s="21">
        <f>IF(AND($AL3097&lt;&gt;"",COUNTIF($AL$11:$AL3097,$AL3097)=1),1,0)</f>
        <v>0</v>
      </c>
      <c r="AW3097" s="21">
        <f t="shared" si="183"/>
        <v>0</v>
      </c>
      <c r="AX3097" s="21" t="str">
        <f t="shared" si="182"/>
        <v/>
      </c>
      <c r="AY3097" s="21" t="str">
        <f>IF(AND($AM3097&lt;&gt;"",$AS3097&lt;&gt;"✓"),SUMPRODUCT(($AM$11:$AM3097&lt;&gt;"")*($AS$11:$AS3097&lt;&gt;"✓")),"")</f>
        <v/>
      </c>
      <c r="AZ3097" s="21" t="str">
        <f>IF(AND($AM3097&lt;&gt;"",$AS3097="✓"),SUMPRODUCT(($AM$11:$AM3097&lt;&gt;"")*($AS$11:$AS3097="✓")),"")</f>
        <v/>
      </c>
      <c r="BA3097" s="21" t="str">
        <f>IF($AL3097="","",$AL3097&amp;"|"&amp;COUNTIF($AL$11:$AL3097,$AL3097))</f>
        <v/>
      </c>
    </row>
    <row r="3098" spans="38:53" ht="15" customHeight="1" x14ac:dyDescent="0.25">
      <c r="AL3098" s="31"/>
      <c r="AM3098" s="26"/>
      <c r="AN3098" s="32"/>
      <c r="AO3098" s="32"/>
      <c r="AP3098" s="24"/>
      <c r="AQ3098" s="24"/>
      <c r="AR3098" s="33"/>
      <c r="AS3098" s="34"/>
      <c r="AT3098" s="33"/>
      <c r="AV3098" s="21">
        <f>IF(AND($AL3098&lt;&gt;"",COUNTIF($AL$11:$AL3098,$AL3098)=1),1,0)</f>
        <v>0</v>
      </c>
      <c r="AW3098" s="21">
        <f t="shared" si="183"/>
        <v>0</v>
      </c>
      <c r="AX3098" s="21" t="str">
        <f t="shared" si="182"/>
        <v/>
      </c>
      <c r="AY3098" s="21" t="str">
        <f>IF(AND($AM3098&lt;&gt;"",$AS3098&lt;&gt;"✓"),SUMPRODUCT(($AM$11:$AM3098&lt;&gt;"")*($AS$11:$AS3098&lt;&gt;"✓")),"")</f>
        <v/>
      </c>
      <c r="AZ3098" s="21" t="str">
        <f>IF(AND($AM3098&lt;&gt;"",$AS3098="✓"),SUMPRODUCT(($AM$11:$AM3098&lt;&gt;"")*($AS$11:$AS3098="✓")),"")</f>
        <v/>
      </c>
      <c r="BA3098" s="21" t="str">
        <f>IF($AL3098="","",$AL3098&amp;"|"&amp;COUNTIF($AL$11:$AL3098,$AL3098))</f>
        <v/>
      </c>
    </row>
    <row r="3099" spans="38:53" ht="15" customHeight="1" x14ac:dyDescent="0.25">
      <c r="AL3099" s="17"/>
      <c r="AM3099" s="12"/>
      <c r="AN3099" s="18"/>
      <c r="AO3099" s="18"/>
      <c r="AP3099" s="10"/>
      <c r="AQ3099" s="10"/>
      <c r="AR3099" s="19"/>
      <c r="AS3099" s="20"/>
      <c r="AT3099" s="19"/>
      <c r="AV3099" s="21">
        <f>IF(AND($AL3099&lt;&gt;"",COUNTIF($AL$11:$AL3099,$AL3099)=1),1,0)</f>
        <v>0</v>
      </c>
      <c r="AW3099" s="21">
        <f t="shared" si="183"/>
        <v>0</v>
      </c>
      <c r="AX3099" s="21" t="str">
        <f t="shared" si="182"/>
        <v/>
      </c>
      <c r="AY3099" s="21" t="str">
        <f>IF(AND($AM3099&lt;&gt;"",$AS3099&lt;&gt;"✓"),SUMPRODUCT(($AM$11:$AM3099&lt;&gt;"")*($AS$11:$AS3099&lt;&gt;"✓")),"")</f>
        <v/>
      </c>
      <c r="AZ3099" s="21" t="str">
        <f>IF(AND($AM3099&lt;&gt;"",$AS3099="✓"),SUMPRODUCT(($AM$11:$AM3099&lt;&gt;"")*($AS$11:$AS3099="✓")),"")</f>
        <v/>
      </c>
      <c r="BA3099" s="21" t="str">
        <f>IF($AL3099="","",$AL3099&amp;"|"&amp;COUNTIF($AL$11:$AL3099,$AL3099))</f>
        <v/>
      </c>
    </row>
    <row r="3100" spans="38:53" ht="15" customHeight="1" x14ac:dyDescent="0.25">
      <c r="AL3100" s="31"/>
      <c r="AM3100" s="26"/>
      <c r="AN3100" s="32"/>
      <c r="AO3100" s="32"/>
      <c r="AP3100" s="24"/>
      <c r="AQ3100" s="24"/>
      <c r="AR3100" s="33"/>
      <c r="AS3100" s="34"/>
      <c r="AT3100" s="33"/>
      <c r="AV3100" s="21">
        <f>IF(AND($AL3100&lt;&gt;"",COUNTIF($AL$11:$AL3100,$AL3100)=1),1,0)</f>
        <v>0</v>
      </c>
      <c r="AW3100" s="21">
        <f t="shared" si="183"/>
        <v>0</v>
      </c>
      <c r="AX3100" s="21" t="str">
        <f t="shared" si="182"/>
        <v/>
      </c>
      <c r="AY3100" s="21" t="str">
        <f>IF(AND($AM3100&lt;&gt;"",$AS3100&lt;&gt;"✓"),SUMPRODUCT(($AM$11:$AM3100&lt;&gt;"")*($AS$11:$AS3100&lt;&gt;"✓")),"")</f>
        <v/>
      </c>
      <c r="AZ3100" s="21" t="str">
        <f>IF(AND($AM3100&lt;&gt;"",$AS3100="✓"),SUMPRODUCT(($AM$11:$AM3100&lt;&gt;"")*($AS$11:$AS3100="✓")),"")</f>
        <v/>
      </c>
      <c r="BA3100" s="21" t="str">
        <f>IF($AL3100="","",$AL3100&amp;"|"&amp;COUNTIF($AL$11:$AL3100,$AL3100))</f>
        <v/>
      </c>
    </row>
    <row r="3101" spans="38:53" ht="15" customHeight="1" x14ac:dyDescent="0.25">
      <c r="AL3101" s="17"/>
      <c r="AM3101" s="12"/>
      <c r="AN3101" s="18"/>
      <c r="AO3101" s="18"/>
      <c r="AP3101" s="10"/>
      <c r="AQ3101" s="10"/>
      <c r="AR3101" s="19"/>
      <c r="AS3101" s="20"/>
      <c r="AT3101" s="19"/>
      <c r="AV3101" s="21">
        <f>IF(AND($AL3101&lt;&gt;"",COUNTIF($AL$11:$AL3101,$AL3101)=1),1,0)</f>
        <v>0</v>
      </c>
      <c r="AW3101" s="21">
        <f t="shared" si="183"/>
        <v>0</v>
      </c>
      <c r="AX3101" s="21" t="str">
        <f t="shared" si="182"/>
        <v/>
      </c>
      <c r="AY3101" s="21" t="str">
        <f>IF(AND($AM3101&lt;&gt;"",$AS3101&lt;&gt;"✓"),SUMPRODUCT(($AM$11:$AM3101&lt;&gt;"")*($AS$11:$AS3101&lt;&gt;"✓")),"")</f>
        <v/>
      </c>
      <c r="AZ3101" s="21" t="str">
        <f>IF(AND($AM3101&lt;&gt;"",$AS3101="✓"),SUMPRODUCT(($AM$11:$AM3101&lt;&gt;"")*($AS$11:$AS3101="✓")),"")</f>
        <v/>
      </c>
      <c r="BA3101" s="21" t="str">
        <f>IF($AL3101="","",$AL3101&amp;"|"&amp;COUNTIF($AL$11:$AL3101,$AL3101))</f>
        <v/>
      </c>
    </row>
    <row r="3102" spans="38:53" ht="15" customHeight="1" x14ac:dyDescent="0.25">
      <c r="AL3102" s="31"/>
      <c r="AM3102" s="26"/>
      <c r="AN3102" s="32"/>
      <c r="AO3102" s="32"/>
      <c r="AP3102" s="24"/>
      <c r="AQ3102" s="24"/>
      <c r="AR3102" s="33"/>
      <c r="AS3102" s="34"/>
      <c r="AT3102" s="33"/>
      <c r="AV3102" s="21">
        <f>IF(AND($AL3102&lt;&gt;"",COUNTIF($AL$11:$AL3102,$AL3102)=1),1,0)</f>
        <v>0</v>
      </c>
      <c r="AW3102" s="21">
        <f t="shared" si="183"/>
        <v>0</v>
      </c>
      <c r="AX3102" s="21" t="str">
        <f t="shared" si="182"/>
        <v/>
      </c>
      <c r="AY3102" s="21" t="str">
        <f>IF(AND($AM3102&lt;&gt;"",$AS3102&lt;&gt;"✓"),SUMPRODUCT(($AM$11:$AM3102&lt;&gt;"")*($AS$11:$AS3102&lt;&gt;"✓")),"")</f>
        <v/>
      </c>
      <c r="AZ3102" s="21" t="str">
        <f>IF(AND($AM3102&lt;&gt;"",$AS3102="✓"),SUMPRODUCT(($AM$11:$AM3102&lt;&gt;"")*($AS$11:$AS3102="✓")),"")</f>
        <v/>
      </c>
      <c r="BA3102" s="21" t="str">
        <f>IF($AL3102="","",$AL3102&amp;"|"&amp;COUNTIF($AL$11:$AL3102,$AL3102))</f>
        <v/>
      </c>
    </row>
    <row r="3103" spans="38:53" ht="15" customHeight="1" x14ac:dyDescent="0.25">
      <c r="AL3103" s="17"/>
      <c r="AM3103" s="12"/>
      <c r="AN3103" s="18"/>
      <c r="AO3103" s="18"/>
      <c r="AP3103" s="10"/>
      <c r="AQ3103" s="10"/>
      <c r="AR3103" s="19"/>
      <c r="AS3103" s="20"/>
      <c r="AT3103" s="19"/>
      <c r="AV3103" s="21">
        <f>IF(AND($AL3103&lt;&gt;"",COUNTIF($AL$11:$AL3103,$AL3103)=1),1,0)</f>
        <v>0</v>
      </c>
      <c r="AW3103" s="21">
        <f t="shared" si="183"/>
        <v>0</v>
      </c>
      <c r="AX3103" s="21" t="str">
        <f t="shared" si="182"/>
        <v/>
      </c>
      <c r="AY3103" s="21" t="str">
        <f>IF(AND($AM3103&lt;&gt;"",$AS3103&lt;&gt;"✓"),SUMPRODUCT(($AM$11:$AM3103&lt;&gt;"")*($AS$11:$AS3103&lt;&gt;"✓")),"")</f>
        <v/>
      </c>
      <c r="AZ3103" s="21" t="str">
        <f>IF(AND($AM3103&lt;&gt;"",$AS3103="✓"),SUMPRODUCT(($AM$11:$AM3103&lt;&gt;"")*($AS$11:$AS3103="✓")),"")</f>
        <v/>
      </c>
      <c r="BA3103" s="21" t="str">
        <f>IF($AL3103="","",$AL3103&amp;"|"&amp;COUNTIF($AL$11:$AL3103,$AL3103))</f>
        <v/>
      </c>
    </row>
    <row r="3104" spans="38:53" ht="15" customHeight="1" x14ac:dyDescent="0.25">
      <c r="AL3104" s="31"/>
      <c r="AM3104" s="26"/>
      <c r="AN3104" s="32"/>
      <c r="AO3104" s="32"/>
      <c r="AP3104" s="24"/>
      <c r="AQ3104" s="24"/>
      <c r="AR3104" s="33"/>
      <c r="AS3104" s="34"/>
      <c r="AT3104" s="33"/>
      <c r="AV3104" s="21">
        <f>IF(AND($AL3104&lt;&gt;"",COUNTIF($AL$11:$AL3104,$AL3104)=1),1,0)</f>
        <v>0</v>
      </c>
      <c r="AW3104" s="21">
        <f t="shared" si="183"/>
        <v>0</v>
      </c>
      <c r="AX3104" s="21" t="str">
        <f t="shared" si="182"/>
        <v/>
      </c>
      <c r="AY3104" s="21" t="str">
        <f>IF(AND($AM3104&lt;&gt;"",$AS3104&lt;&gt;"✓"),SUMPRODUCT(($AM$11:$AM3104&lt;&gt;"")*($AS$11:$AS3104&lt;&gt;"✓")),"")</f>
        <v/>
      </c>
      <c r="AZ3104" s="21" t="str">
        <f>IF(AND($AM3104&lt;&gt;"",$AS3104="✓"),SUMPRODUCT(($AM$11:$AM3104&lt;&gt;"")*($AS$11:$AS3104="✓")),"")</f>
        <v/>
      </c>
      <c r="BA3104" s="21" t="str">
        <f>IF($AL3104="","",$AL3104&amp;"|"&amp;COUNTIF($AL$11:$AL3104,$AL3104))</f>
        <v/>
      </c>
    </row>
    <row r="3105" spans="38:53" ht="15" customHeight="1" x14ac:dyDescent="0.25">
      <c r="AL3105" s="17"/>
      <c r="AM3105" s="12"/>
      <c r="AN3105" s="18"/>
      <c r="AO3105" s="18"/>
      <c r="AP3105" s="10"/>
      <c r="AQ3105" s="10"/>
      <c r="AR3105" s="19"/>
      <c r="AS3105" s="20"/>
      <c r="AT3105" s="19"/>
      <c r="AV3105" s="21">
        <f>IF(AND($AL3105&lt;&gt;"",COUNTIF($AL$11:$AL3105,$AL3105)=1),1,0)</f>
        <v>0</v>
      </c>
      <c r="AW3105" s="21">
        <f t="shared" si="183"/>
        <v>0</v>
      </c>
      <c r="AX3105" s="21" t="str">
        <f t="shared" si="182"/>
        <v/>
      </c>
      <c r="AY3105" s="21" t="str">
        <f>IF(AND($AM3105&lt;&gt;"",$AS3105&lt;&gt;"✓"),SUMPRODUCT(($AM$11:$AM3105&lt;&gt;"")*($AS$11:$AS3105&lt;&gt;"✓")),"")</f>
        <v/>
      </c>
      <c r="AZ3105" s="21" t="str">
        <f>IF(AND($AM3105&lt;&gt;"",$AS3105="✓"),SUMPRODUCT(($AM$11:$AM3105&lt;&gt;"")*($AS$11:$AS3105="✓")),"")</f>
        <v/>
      </c>
      <c r="BA3105" s="21" t="str">
        <f>IF($AL3105="","",$AL3105&amp;"|"&amp;COUNTIF($AL$11:$AL3105,$AL3105))</f>
        <v/>
      </c>
    </row>
    <row r="3106" spans="38:53" ht="15" customHeight="1" x14ac:dyDescent="0.25">
      <c r="AL3106" s="31"/>
      <c r="AM3106" s="26"/>
      <c r="AN3106" s="32"/>
      <c r="AO3106" s="32"/>
      <c r="AP3106" s="24"/>
      <c r="AQ3106" s="24"/>
      <c r="AR3106" s="33"/>
      <c r="AS3106" s="34"/>
      <c r="AT3106" s="33"/>
      <c r="AV3106" s="21">
        <f>IF(AND($AL3106&lt;&gt;"",COUNTIF($AL$11:$AL3106,$AL3106)=1),1,0)</f>
        <v>0</v>
      </c>
      <c r="AW3106" s="21">
        <f t="shared" si="183"/>
        <v>0</v>
      </c>
      <c r="AX3106" s="21" t="str">
        <f t="shared" si="182"/>
        <v/>
      </c>
      <c r="AY3106" s="21" t="str">
        <f>IF(AND($AM3106&lt;&gt;"",$AS3106&lt;&gt;"✓"),SUMPRODUCT(($AM$11:$AM3106&lt;&gt;"")*($AS$11:$AS3106&lt;&gt;"✓")),"")</f>
        <v/>
      </c>
      <c r="AZ3106" s="21" t="str">
        <f>IF(AND($AM3106&lt;&gt;"",$AS3106="✓"),SUMPRODUCT(($AM$11:$AM3106&lt;&gt;"")*($AS$11:$AS3106="✓")),"")</f>
        <v/>
      </c>
      <c r="BA3106" s="21" t="str">
        <f>IF($AL3106="","",$AL3106&amp;"|"&amp;COUNTIF($AL$11:$AL3106,$AL3106))</f>
        <v/>
      </c>
    </row>
    <row r="3107" spans="38:53" ht="15" customHeight="1" x14ac:dyDescent="0.25">
      <c r="AL3107" s="17"/>
      <c r="AM3107" s="12"/>
      <c r="AN3107" s="18"/>
      <c r="AO3107" s="18"/>
      <c r="AP3107" s="10"/>
      <c r="AQ3107" s="10"/>
      <c r="AR3107" s="19"/>
      <c r="AS3107" s="20"/>
      <c r="AT3107" s="19"/>
      <c r="AV3107" s="21">
        <f>IF(AND($AL3107&lt;&gt;"",COUNTIF($AL$11:$AL3107,$AL3107)=1),1,0)</f>
        <v>0</v>
      </c>
      <c r="AW3107" s="21">
        <f t="shared" si="183"/>
        <v>0</v>
      </c>
      <c r="AX3107" s="21" t="str">
        <f t="shared" si="182"/>
        <v/>
      </c>
      <c r="AY3107" s="21" t="str">
        <f>IF(AND($AM3107&lt;&gt;"",$AS3107&lt;&gt;"✓"),SUMPRODUCT(($AM$11:$AM3107&lt;&gt;"")*($AS$11:$AS3107&lt;&gt;"✓")),"")</f>
        <v/>
      </c>
      <c r="AZ3107" s="21" t="str">
        <f>IF(AND($AM3107&lt;&gt;"",$AS3107="✓"),SUMPRODUCT(($AM$11:$AM3107&lt;&gt;"")*($AS$11:$AS3107="✓")),"")</f>
        <v/>
      </c>
      <c r="BA3107" s="21" t="str">
        <f>IF($AL3107="","",$AL3107&amp;"|"&amp;COUNTIF($AL$11:$AL3107,$AL3107))</f>
        <v/>
      </c>
    </row>
    <row r="3108" spans="38:53" ht="15" customHeight="1" x14ac:dyDescent="0.25">
      <c r="AL3108" s="31"/>
      <c r="AM3108" s="26"/>
      <c r="AN3108" s="32"/>
      <c r="AO3108" s="32"/>
      <c r="AP3108" s="24"/>
      <c r="AQ3108" s="24"/>
      <c r="AR3108" s="33"/>
      <c r="AS3108" s="34"/>
      <c r="AT3108" s="33"/>
      <c r="AV3108" s="21">
        <f>IF(AND($AL3108&lt;&gt;"",COUNTIF($AL$11:$AL3108,$AL3108)=1),1,0)</f>
        <v>0</v>
      </c>
      <c r="AW3108" s="21">
        <f t="shared" si="183"/>
        <v>0</v>
      </c>
      <c r="AX3108" s="21" t="str">
        <f t="shared" si="182"/>
        <v/>
      </c>
      <c r="AY3108" s="21" t="str">
        <f>IF(AND($AM3108&lt;&gt;"",$AS3108&lt;&gt;"✓"),SUMPRODUCT(($AM$11:$AM3108&lt;&gt;"")*($AS$11:$AS3108&lt;&gt;"✓")),"")</f>
        <v/>
      </c>
      <c r="AZ3108" s="21" t="str">
        <f>IF(AND($AM3108&lt;&gt;"",$AS3108="✓"),SUMPRODUCT(($AM$11:$AM3108&lt;&gt;"")*($AS$11:$AS3108="✓")),"")</f>
        <v/>
      </c>
      <c r="BA3108" s="21" t="str">
        <f>IF($AL3108="","",$AL3108&amp;"|"&amp;COUNTIF($AL$11:$AL3108,$AL3108))</f>
        <v/>
      </c>
    </row>
    <row r="3109" spans="38:53" ht="15" customHeight="1" x14ac:dyDescent="0.25">
      <c r="AL3109" s="17"/>
      <c r="AM3109" s="12"/>
      <c r="AN3109" s="18"/>
      <c r="AO3109" s="18"/>
      <c r="AP3109" s="10"/>
      <c r="AQ3109" s="10"/>
      <c r="AR3109" s="19"/>
      <c r="AS3109" s="20"/>
      <c r="AT3109" s="19"/>
      <c r="AV3109" s="21">
        <f>IF(AND($AL3109&lt;&gt;"",COUNTIF($AL$11:$AL3109,$AL3109)=1),1,0)</f>
        <v>0</v>
      </c>
      <c r="AW3109" s="21">
        <f t="shared" si="183"/>
        <v>0</v>
      </c>
      <c r="AX3109" s="21" t="str">
        <f t="shared" si="182"/>
        <v/>
      </c>
      <c r="AY3109" s="21" t="str">
        <f>IF(AND($AM3109&lt;&gt;"",$AS3109&lt;&gt;"✓"),SUMPRODUCT(($AM$11:$AM3109&lt;&gt;"")*($AS$11:$AS3109&lt;&gt;"✓")),"")</f>
        <v/>
      </c>
      <c r="AZ3109" s="21" t="str">
        <f>IF(AND($AM3109&lt;&gt;"",$AS3109="✓"),SUMPRODUCT(($AM$11:$AM3109&lt;&gt;"")*($AS$11:$AS3109="✓")),"")</f>
        <v/>
      </c>
      <c r="BA3109" s="21" t="str">
        <f>IF($AL3109="","",$AL3109&amp;"|"&amp;COUNTIF($AL$11:$AL3109,$AL3109))</f>
        <v/>
      </c>
    </row>
    <row r="3110" spans="38:53" ht="15" customHeight="1" x14ac:dyDescent="0.25">
      <c r="AL3110" s="31"/>
      <c r="AM3110" s="26"/>
      <c r="AN3110" s="32"/>
      <c r="AO3110" s="32"/>
      <c r="AP3110" s="24"/>
      <c r="AQ3110" s="24"/>
      <c r="AR3110" s="33"/>
      <c r="AS3110" s="34"/>
      <c r="AT3110" s="33"/>
      <c r="AV3110" s="21">
        <f>IF(AND($AL3110&lt;&gt;"",COUNTIF($AL$11:$AL3110,$AL3110)=1),1,0)</f>
        <v>0</v>
      </c>
      <c r="AW3110" s="21">
        <f t="shared" si="183"/>
        <v>0</v>
      </c>
      <c r="AX3110" s="21" t="str">
        <f t="shared" si="182"/>
        <v/>
      </c>
      <c r="AY3110" s="21" t="str">
        <f>IF(AND($AM3110&lt;&gt;"",$AS3110&lt;&gt;"✓"),SUMPRODUCT(($AM$11:$AM3110&lt;&gt;"")*($AS$11:$AS3110&lt;&gt;"✓")),"")</f>
        <v/>
      </c>
      <c r="AZ3110" s="21" t="str">
        <f>IF(AND($AM3110&lt;&gt;"",$AS3110="✓"),SUMPRODUCT(($AM$11:$AM3110&lt;&gt;"")*($AS$11:$AS3110="✓")),"")</f>
        <v/>
      </c>
      <c r="BA3110" s="21" t="str">
        <f>IF($AL3110="","",$AL3110&amp;"|"&amp;COUNTIF($AL$11:$AL3110,$AL3110))</f>
        <v/>
      </c>
    </row>
    <row r="3111" spans="38:53" ht="15" customHeight="1" x14ac:dyDescent="0.25">
      <c r="AL3111" s="17"/>
      <c r="AM3111" s="12"/>
      <c r="AN3111" s="18"/>
      <c r="AO3111" s="18"/>
      <c r="AP3111" s="10"/>
      <c r="AQ3111" s="10"/>
      <c r="AR3111" s="19"/>
      <c r="AS3111" s="20"/>
      <c r="AT3111" s="19"/>
      <c r="AV3111" s="21">
        <f>IF(AND($AL3111&lt;&gt;"",COUNTIF($AL$11:$AL3111,$AL3111)=1),1,0)</f>
        <v>0</v>
      </c>
      <c r="AW3111" s="21">
        <f t="shared" si="183"/>
        <v>0</v>
      </c>
      <c r="AX3111" s="21" t="str">
        <f t="shared" si="182"/>
        <v/>
      </c>
      <c r="AY3111" s="21" t="str">
        <f>IF(AND($AM3111&lt;&gt;"",$AS3111&lt;&gt;"✓"),SUMPRODUCT(($AM$11:$AM3111&lt;&gt;"")*($AS$11:$AS3111&lt;&gt;"✓")),"")</f>
        <v/>
      </c>
      <c r="AZ3111" s="21" t="str">
        <f>IF(AND($AM3111&lt;&gt;"",$AS3111="✓"),SUMPRODUCT(($AM$11:$AM3111&lt;&gt;"")*($AS$11:$AS3111="✓")),"")</f>
        <v/>
      </c>
      <c r="BA3111" s="21" t="str">
        <f>IF($AL3111="","",$AL3111&amp;"|"&amp;COUNTIF($AL$11:$AL3111,$AL3111))</f>
        <v/>
      </c>
    </row>
    <row r="3112" spans="38:53" ht="15" customHeight="1" x14ac:dyDescent="0.25">
      <c r="AL3112" s="31"/>
      <c r="AM3112" s="26"/>
      <c r="AN3112" s="32"/>
      <c r="AO3112" s="32"/>
      <c r="AP3112" s="24"/>
      <c r="AQ3112" s="24"/>
      <c r="AR3112" s="33"/>
      <c r="AS3112" s="34"/>
      <c r="AT3112" s="33"/>
      <c r="AV3112" s="21">
        <f>IF(AND($AL3112&lt;&gt;"",COUNTIF($AL$11:$AL3112,$AL3112)=1),1,0)</f>
        <v>0</v>
      </c>
      <c r="AW3112" s="21">
        <f t="shared" si="183"/>
        <v>0</v>
      </c>
      <c r="AX3112" s="21" t="str">
        <f t="shared" si="182"/>
        <v/>
      </c>
      <c r="AY3112" s="21" t="str">
        <f>IF(AND($AM3112&lt;&gt;"",$AS3112&lt;&gt;"✓"),SUMPRODUCT(($AM$11:$AM3112&lt;&gt;"")*($AS$11:$AS3112&lt;&gt;"✓")),"")</f>
        <v/>
      </c>
      <c r="AZ3112" s="21" t="str">
        <f>IF(AND($AM3112&lt;&gt;"",$AS3112="✓"),SUMPRODUCT(($AM$11:$AM3112&lt;&gt;"")*($AS$11:$AS3112="✓")),"")</f>
        <v/>
      </c>
      <c r="BA3112" s="21" t="str">
        <f>IF($AL3112="","",$AL3112&amp;"|"&amp;COUNTIF($AL$11:$AL3112,$AL3112))</f>
        <v/>
      </c>
    </row>
    <row r="3113" spans="38:53" ht="15" customHeight="1" x14ac:dyDescent="0.25">
      <c r="AL3113" s="17"/>
      <c r="AM3113" s="12"/>
      <c r="AN3113" s="18"/>
      <c r="AO3113" s="18"/>
      <c r="AP3113" s="10"/>
      <c r="AQ3113" s="10"/>
      <c r="AR3113" s="19"/>
      <c r="AS3113" s="20"/>
      <c r="AT3113" s="19"/>
      <c r="AV3113" s="21">
        <f>IF(AND($AL3113&lt;&gt;"",COUNTIF($AL$11:$AL3113,$AL3113)=1),1,0)</f>
        <v>0</v>
      </c>
      <c r="AW3113" s="21">
        <f t="shared" si="183"/>
        <v>0</v>
      </c>
      <c r="AX3113" s="21" t="str">
        <f t="shared" si="182"/>
        <v/>
      </c>
      <c r="AY3113" s="21" t="str">
        <f>IF(AND($AM3113&lt;&gt;"",$AS3113&lt;&gt;"✓"),SUMPRODUCT(($AM$11:$AM3113&lt;&gt;"")*($AS$11:$AS3113&lt;&gt;"✓")),"")</f>
        <v/>
      </c>
      <c r="AZ3113" s="21" t="str">
        <f>IF(AND($AM3113&lt;&gt;"",$AS3113="✓"),SUMPRODUCT(($AM$11:$AM3113&lt;&gt;"")*($AS$11:$AS3113="✓")),"")</f>
        <v/>
      </c>
      <c r="BA3113" s="21" t="str">
        <f>IF($AL3113="","",$AL3113&amp;"|"&amp;COUNTIF($AL$11:$AL3113,$AL3113))</f>
        <v/>
      </c>
    </row>
    <row r="3114" spans="38:53" ht="15" customHeight="1" x14ac:dyDescent="0.25">
      <c r="AL3114" s="31"/>
      <c r="AM3114" s="26"/>
      <c r="AN3114" s="32"/>
      <c r="AO3114" s="32"/>
      <c r="AP3114" s="24"/>
      <c r="AQ3114" s="24"/>
      <c r="AR3114" s="33"/>
      <c r="AS3114" s="34"/>
      <c r="AT3114" s="33"/>
      <c r="AV3114" s="21">
        <f>IF(AND($AL3114&lt;&gt;"",COUNTIF($AL$11:$AL3114,$AL3114)=1),1,0)</f>
        <v>0</v>
      </c>
      <c r="AW3114" s="21">
        <f t="shared" si="183"/>
        <v>0</v>
      </c>
      <c r="AX3114" s="21" t="str">
        <f t="shared" si="182"/>
        <v/>
      </c>
      <c r="AY3114" s="21" t="str">
        <f>IF(AND($AM3114&lt;&gt;"",$AS3114&lt;&gt;"✓"),SUMPRODUCT(($AM$11:$AM3114&lt;&gt;"")*($AS$11:$AS3114&lt;&gt;"✓")),"")</f>
        <v/>
      </c>
      <c r="AZ3114" s="21" t="str">
        <f>IF(AND($AM3114&lt;&gt;"",$AS3114="✓"),SUMPRODUCT(($AM$11:$AM3114&lt;&gt;"")*($AS$11:$AS3114="✓")),"")</f>
        <v/>
      </c>
      <c r="BA3114" s="21" t="str">
        <f>IF($AL3114="","",$AL3114&amp;"|"&amp;COUNTIF($AL$11:$AL3114,$AL3114))</f>
        <v/>
      </c>
    </row>
    <row r="3115" spans="38:53" ht="15" customHeight="1" x14ac:dyDescent="0.25">
      <c r="AL3115" s="17"/>
      <c r="AM3115" s="12"/>
      <c r="AN3115" s="18"/>
      <c r="AO3115" s="18"/>
      <c r="AP3115" s="10"/>
      <c r="AQ3115" s="10"/>
      <c r="AR3115" s="19"/>
      <c r="AS3115" s="20"/>
      <c r="AT3115" s="19"/>
      <c r="AV3115" s="21">
        <f>IF(AND($AL3115&lt;&gt;"",COUNTIF($AL$11:$AL3115,$AL3115)=1),1,0)</f>
        <v>0</v>
      </c>
      <c r="AW3115" s="21">
        <f t="shared" si="183"/>
        <v>0</v>
      </c>
      <c r="AX3115" s="21" t="str">
        <f t="shared" si="182"/>
        <v/>
      </c>
      <c r="AY3115" s="21" t="str">
        <f>IF(AND($AM3115&lt;&gt;"",$AS3115&lt;&gt;"✓"),SUMPRODUCT(($AM$11:$AM3115&lt;&gt;"")*($AS$11:$AS3115&lt;&gt;"✓")),"")</f>
        <v/>
      </c>
      <c r="AZ3115" s="21" t="str">
        <f>IF(AND($AM3115&lt;&gt;"",$AS3115="✓"),SUMPRODUCT(($AM$11:$AM3115&lt;&gt;"")*($AS$11:$AS3115="✓")),"")</f>
        <v/>
      </c>
      <c r="BA3115" s="21" t="str">
        <f>IF($AL3115="","",$AL3115&amp;"|"&amp;COUNTIF($AL$11:$AL3115,$AL3115))</f>
        <v/>
      </c>
    </row>
    <row r="3116" spans="38:53" ht="15" customHeight="1" x14ac:dyDescent="0.25">
      <c r="AL3116" s="31"/>
      <c r="AM3116" s="26"/>
      <c r="AN3116" s="32"/>
      <c r="AO3116" s="32"/>
      <c r="AP3116" s="24"/>
      <c r="AQ3116" s="24"/>
      <c r="AR3116" s="33"/>
      <c r="AS3116" s="34"/>
      <c r="AT3116" s="33"/>
      <c r="AV3116" s="21">
        <f>IF(AND($AL3116&lt;&gt;"",COUNTIF($AL$11:$AL3116,$AL3116)=1),1,0)</f>
        <v>0</v>
      </c>
      <c r="AW3116" s="21">
        <f t="shared" si="183"/>
        <v>0</v>
      </c>
      <c r="AX3116" s="21" t="str">
        <f t="shared" si="182"/>
        <v/>
      </c>
      <c r="AY3116" s="21" t="str">
        <f>IF(AND($AM3116&lt;&gt;"",$AS3116&lt;&gt;"✓"),SUMPRODUCT(($AM$11:$AM3116&lt;&gt;"")*($AS$11:$AS3116&lt;&gt;"✓")),"")</f>
        <v/>
      </c>
      <c r="AZ3116" s="21" t="str">
        <f>IF(AND($AM3116&lt;&gt;"",$AS3116="✓"),SUMPRODUCT(($AM$11:$AM3116&lt;&gt;"")*($AS$11:$AS3116="✓")),"")</f>
        <v/>
      </c>
      <c r="BA3116" s="21" t="str">
        <f>IF($AL3116="","",$AL3116&amp;"|"&amp;COUNTIF($AL$11:$AL3116,$AL3116))</f>
        <v/>
      </c>
    </row>
    <row r="3117" spans="38:53" ht="15" customHeight="1" x14ac:dyDescent="0.25">
      <c r="AL3117" s="17"/>
      <c r="AM3117" s="12"/>
      <c r="AN3117" s="18"/>
      <c r="AO3117" s="18"/>
      <c r="AP3117" s="10"/>
      <c r="AQ3117" s="10"/>
      <c r="AR3117" s="19"/>
      <c r="AS3117" s="20"/>
      <c r="AT3117" s="19"/>
      <c r="AV3117" s="21">
        <f>IF(AND($AL3117&lt;&gt;"",COUNTIF($AL$11:$AL3117,$AL3117)=1),1,0)</f>
        <v>0</v>
      </c>
      <c r="AW3117" s="21">
        <f t="shared" si="183"/>
        <v>0</v>
      </c>
      <c r="AX3117" s="21" t="str">
        <f t="shared" si="182"/>
        <v/>
      </c>
      <c r="AY3117" s="21" t="str">
        <f>IF(AND($AM3117&lt;&gt;"",$AS3117&lt;&gt;"✓"),SUMPRODUCT(($AM$11:$AM3117&lt;&gt;"")*($AS$11:$AS3117&lt;&gt;"✓")),"")</f>
        <v/>
      </c>
      <c r="AZ3117" s="21" t="str">
        <f>IF(AND($AM3117&lt;&gt;"",$AS3117="✓"),SUMPRODUCT(($AM$11:$AM3117&lt;&gt;"")*($AS$11:$AS3117="✓")),"")</f>
        <v/>
      </c>
      <c r="BA3117" s="21" t="str">
        <f>IF($AL3117="","",$AL3117&amp;"|"&amp;COUNTIF($AL$11:$AL3117,$AL3117))</f>
        <v/>
      </c>
    </row>
    <row r="3118" spans="38:53" ht="15" customHeight="1" x14ac:dyDescent="0.25">
      <c r="AL3118" s="31"/>
      <c r="AM3118" s="26"/>
      <c r="AN3118" s="32"/>
      <c r="AO3118" s="32"/>
      <c r="AP3118" s="24"/>
      <c r="AQ3118" s="24"/>
      <c r="AR3118" s="33"/>
      <c r="AS3118" s="34"/>
      <c r="AT3118" s="33"/>
      <c r="AV3118" s="21">
        <f>IF(AND($AL3118&lt;&gt;"",COUNTIF($AL$11:$AL3118,$AL3118)=1),1,0)</f>
        <v>0</v>
      </c>
      <c r="AW3118" s="21">
        <f t="shared" si="183"/>
        <v>0</v>
      </c>
      <c r="AX3118" s="21" t="str">
        <f t="shared" si="182"/>
        <v/>
      </c>
      <c r="AY3118" s="21" t="str">
        <f>IF(AND($AM3118&lt;&gt;"",$AS3118&lt;&gt;"✓"),SUMPRODUCT(($AM$11:$AM3118&lt;&gt;"")*($AS$11:$AS3118&lt;&gt;"✓")),"")</f>
        <v/>
      </c>
      <c r="AZ3118" s="21" t="str">
        <f>IF(AND($AM3118&lt;&gt;"",$AS3118="✓"),SUMPRODUCT(($AM$11:$AM3118&lt;&gt;"")*($AS$11:$AS3118="✓")),"")</f>
        <v/>
      </c>
      <c r="BA3118" s="21" t="str">
        <f>IF($AL3118="","",$AL3118&amp;"|"&amp;COUNTIF($AL$11:$AL3118,$AL3118))</f>
        <v/>
      </c>
    </row>
    <row r="3119" spans="38:53" ht="15" customHeight="1" x14ac:dyDescent="0.25">
      <c r="AL3119" s="17"/>
      <c r="AM3119" s="12"/>
      <c r="AN3119" s="18"/>
      <c r="AO3119" s="18"/>
      <c r="AP3119" s="10"/>
      <c r="AQ3119" s="10"/>
      <c r="AR3119" s="19"/>
      <c r="AS3119" s="20"/>
      <c r="AT3119" s="19"/>
      <c r="AV3119" s="21">
        <f>IF(AND($AL3119&lt;&gt;"",COUNTIF($AL$11:$AL3119,$AL3119)=1),1,0)</f>
        <v>0</v>
      </c>
      <c r="AW3119" s="21">
        <f t="shared" si="183"/>
        <v>0</v>
      </c>
      <c r="AX3119" s="21" t="str">
        <f t="shared" si="182"/>
        <v/>
      </c>
      <c r="AY3119" s="21" t="str">
        <f>IF(AND($AM3119&lt;&gt;"",$AS3119&lt;&gt;"✓"),SUMPRODUCT(($AM$11:$AM3119&lt;&gt;"")*($AS$11:$AS3119&lt;&gt;"✓")),"")</f>
        <v/>
      </c>
      <c r="AZ3119" s="21" t="str">
        <f>IF(AND($AM3119&lt;&gt;"",$AS3119="✓"),SUMPRODUCT(($AM$11:$AM3119&lt;&gt;"")*($AS$11:$AS3119="✓")),"")</f>
        <v/>
      </c>
      <c r="BA3119" s="21" t="str">
        <f>IF($AL3119="","",$AL3119&amp;"|"&amp;COUNTIF($AL$11:$AL3119,$AL3119))</f>
        <v/>
      </c>
    </row>
    <row r="3120" spans="38:53" ht="15" customHeight="1" x14ac:dyDescent="0.25">
      <c r="AL3120" s="31"/>
      <c r="AM3120" s="26"/>
      <c r="AN3120" s="32"/>
      <c r="AO3120" s="32"/>
      <c r="AP3120" s="24"/>
      <c r="AQ3120" s="24"/>
      <c r="AR3120" s="33"/>
      <c r="AS3120" s="34"/>
      <c r="AT3120" s="33"/>
      <c r="AV3120" s="21">
        <f>IF(AND($AL3120&lt;&gt;"",COUNTIF($AL$11:$AL3120,$AL3120)=1),1,0)</f>
        <v>0</v>
      </c>
      <c r="AW3120" s="21">
        <f t="shared" si="183"/>
        <v>0</v>
      </c>
      <c r="AX3120" s="21" t="str">
        <f t="shared" si="182"/>
        <v/>
      </c>
      <c r="AY3120" s="21" t="str">
        <f>IF(AND($AM3120&lt;&gt;"",$AS3120&lt;&gt;"✓"),SUMPRODUCT(($AM$11:$AM3120&lt;&gt;"")*($AS$11:$AS3120&lt;&gt;"✓")),"")</f>
        <v/>
      </c>
      <c r="AZ3120" s="21" t="str">
        <f>IF(AND($AM3120&lt;&gt;"",$AS3120="✓"),SUMPRODUCT(($AM$11:$AM3120&lt;&gt;"")*($AS$11:$AS3120="✓")),"")</f>
        <v/>
      </c>
      <c r="BA3120" s="21" t="str">
        <f>IF($AL3120="","",$AL3120&amp;"|"&amp;COUNTIF($AL$11:$AL3120,$AL3120))</f>
        <v/>
      </c>
    </row>
    <row r="3121" spans="38:53" ht="15" customHeight="1" x14ac:dyDescent="0.25">
      <c r="AL3121" s="17"/>
      <c r="AM3121" s="12"/>
      <c r="AN3121" s="18"/>
      <c r="AO3121" s="18"/>
      <c r="AP3121" s="10"/>
      <c r="AQ3121" s="10"/>
      <c r="AR3121" s="19"/>
      <c r="AS3121" s="20"/>
      <c r="AT3121" s="19"/>
      <c r="AV3121" s="21">
        <f>IF(AND($AL3121&lt;&gt;"",COUNTIF($AL$11:$AL3121,$AL3121)=1),1,0)</f>
        <v>0</v>
      </c>
      <c r="AW3121" s="21">
        <f t="shared" si="183"/>
        <v>0</v>
      </c>
      <c r="AX3121" s="21" t="str">
        <f t="shared" si="182"/>
        <v/>
      </c>
      <c r="AY3121" s="21" t="str">
        <f>IF(AND($AM3121&lt;&gt;"",$AS3121&lt;&gt;"✓"),SUMPRODUCT(($AM$11:$AM3121&lt;&gt;"")*($AS$11:$AS3121&lt;&gt;"✓")),"")</f>
        <v/>
      </c>
      <c r="AZ3121" s="21" t="str">
        <f>IF(AND($AM3121&lt;&gt;"",$AS3121="✓"),SUMPRODUCT(($AM$11:$AM3121&lt;&gt;"")*($AS$11:$AS3121="✓")),"")</f>
        <v/>
      </c>
      <c r="BA3121" s="21" t="str">
        <f>IF($AL3121="","",$AL3121&amp;"|"&amp;COUNTIF($AL$11:$AL3121,$AL3121))</f>
        <v/>
      </c>
    </row>
    <row r="3122" spans="38:53" ht="15" customHeight="1" x14ac:dyDescent="0.25">
      <c r="AL3122" s="31"/>
      <c r="AM3122" s="26"/>
      <c r="AN3122" s="32"/>
      <c r="AO3122" s="32"/>
      <c r="AP3122" s="24"/>
      <c r="AQ3122" s="24"/>
      <c r="AR3122" s="33"/>
      <c r="AS3122" s="34"/>
      <c r="AT3122" s="33"/>
      <c r="AV3122" s="21">
        <f>IF(AND($AL3122&lt;&gt;"",COUNTIF($AL$11:$AL3122,$AL3122)=1),1,0)</f>
        <v>0</v>
      </c>
      <c r="AW3122" s="21">
        <f t="shared" si="183"/>
        <v>0</v>
      </c>
      <c r="AX3122" s="21" t="str">
        <f t="shared" si="182"/>
        <v/>
      </c>
      <c r="AY3122" s="21" t="str">
        <f>IF(AND($AM3122&lt;&gt;"",$AS3122&lt;&gt;"✓"),SUMPRODUCT(($AM$11:$AM3122&lt;&gt;"")*($AS$11:$AS3122&lt;&gt;"✓")),"")</f>
        <v/>
      </c>
      <c r="AZ3122" s="21" t="str">
        <f>IF(AND($AM3122&lt;&gt;"",$AS3122="✓"),SUMPRODUCT(($AM$11:$AM3122&lt;&gt;"")*($AS$11:$AS3122="✓")),"")</f>
        <v/>
      </c>
      <c r="BA3122" s="21" t="str">
        <f>IF($AL3122="","",$AL3122&amp;"|"&amp;COUNTIF($AL$11:$AL3122,$AL3122))</f>
        <v/>
      </c>
    </row>
    <row r="3123" spans="38:53" ht="15" customHeight="1" x14ac:dyDescent="0.25">
      <c r="AL3123" s="17"/>
      <c r="AM3123" s="12"/>
      <c r="AN3123" s="18"/>
      <c r="AO3123" s="18"/>
      <c r="AP3123" s="10"/>
      <c r="AQ3123" s="10"/>
      <c r="AR3123" s="19"/>
      <c r="AS3123" s="20"/>
      <c r="AT3123" s="19"/>
      <c r="AV3123" s="21">
        <f>IF(AND($AL3123&lt;&gt;"",COUNTIF($AL$11:$AL3123,$AL3123)=1),1,0)</f>
        <v>0</v>
      </c>
      <c r="AW3123" s="21">
        <f t="shared" si="183"/>
        <v>0</v>
      </c>
      <c r="AX3123" s="21" t="str">
        <f t="shared" si="182"/>
        <v/>
      </c>
      <c r="AY3123" s="21" t="str">
        <f>IF(AND($AM3123&lt;&gt;"",$AS3123&lt;&gt;"✓"),SUMPRODUCT(($AM$11:$AM3123&lt;&gt;"")*($AS$11:$AS3123&lt;&gt;"✓")),"")</f>
        <v/>
      </c>
      <c r="AZ3123" s="21" t="str">
        <f>IF(AND($AM3123&lt;&gt;"",$AS3123="✓"),SUMPRODUCT(($AM$11:$AM3123&lt;&gt;"")*($AS$11:$AS3123="✓")),"")</f>
        <v/>
      </c>
      <c r="BA3123" s="21" t="str">
        <f>IF($AL3123="","",$AL3123&amp;"|"&amp;COUNTIF($AL$11:$AL3123,$AL3123))</f>
        <v/>
      </c>
    </row>
    <row r="3124" spans="38:53" ht="15" customHeight="1" x14ac:dyDescent="0.25">
      <c r="AL3124" s="31"/>
      <c r="AM3124" s="26"/>
      <c r="AN3124" s="32"/>
      <c r="AO3124" s="32"/>
      <c r="AP3124" s="24"/>
      <c r="AQ3124" s="24"/>
      <c r="AR3124" s="33"/>
      <c r="AS3124" s="34"/>
      <c r="AT3124" s="33"/>
      <c r="AV3124" s="21">
        <f>IF(AND($AL3124&lt;&gt;"",COUNTIF($AL$11:$AL3124,$AL3124)=1),1,0)</f>
        <v>0</v>
      </c>
      <c r="AW3124" s="21">
        <f t="shared" si="183"/>
        <v>0</v>
      </c>
      <c r="AX3124" s="21" t="str">
        <f t="shared" si="182"/>
        <v/>
      </c>
      <c r="AY3124" s="21" t="str">
        <f>IF(AND($AM3124&lt;&gt;"",$AS3124&lt;&gt;"✓"),SUMPRODUCT(($AM$11:$AM3124&lt;&gt;"")*($AS$11:$AS3124&lt;&gt;"✓")),"")</f>
        <v/>
      </c>
      <c r="AZ3124" s="21" t="str">
        <f>IF(AND($AM3124&lt;&gt;"",$AS3124="✓"),SUMPRODUCT(($AM$11:$AM3124&lt;&gt;"")*($AS$11:$AS3124="✓")),"")</f>
        <v/>
      </c>
      <c r="BA3124" s="21" t="str">
        <f>IF($AL3124="","",$AL3124&amp;"|"&amp;COUNTIF($AL$11:$AL3124,$AL3124))</f>
        <v/>
      </c>
    </row>
    <row r="3125" spans="38:53" ht="15" customHeight="1" x14ac:dyDescent="0.25">
      <c r="AL3125" s="17"/>
      <c r="AM3125" s="12"/>
      <c r="AN3125" s="18"/>
      <c r="AO3125" s="18"/>
      <c r="AP3125" s="10"/>
      <c r="AQ3125" s="10"/>
      <c r="AR3125" s="19"/>
      <c r="AS3125" s="20"/>
      <c r="AT3125" s="19"/>
      <c r="AV3125" s="21">
        <f>IF(AND($AL3125&lt;&gt;"",COUNTIF($AL$11:$AL3125,$AL3125)=1),1,0)</f>
        <v>0</v>
      </c>
      <c r="AW3125" s="21">
        <f t="shared" si="183"/>
        <v>0</v>
      </c>
      <c r="AX3125" s="21" t="str">
        <f t="shared" si="182"/>
        <v/>
      </c>
      <c r="AY3125" s="21" t="str">
        <f>IF(AND($AM3125&lt;&gt;"",$AS3125&lt;&gt;"✓"),SUMPRODUCT(($AM$11:$AM3125&lt;&gt;"")*($AS$11:$AS3125&lt;&gt;"✓")),"")</f>
        <v/>
      </c>
      <c r="AZ3125" s="21" t="str">
        <f>IF(AND($AM3125&lt;&gt;"",$AS3125="✓"),SUMPRODUCT(($AM$11:$AM3125&lt;&gt;"")*($AS$11:$AS3125="✓")),"")</f>
        <v/>
      </c>
      <c r="BA3125" s="21" t="str">
        <f>IF($AL3125="","",$AL3125&amp;"|"&amp;COUNTIF($AL$11:$AL3125,$AL3125))</f>
        <v/>
      </c>
    </row>
    <row r="3126" spans="38:53" ht="15" customHeight="1" x14ac:dyDescent="0.25">
      <c r="AL3126" s="31"/>
      <c r="AM3126" s="26"/>
      <c r="AN3126" s="32"/>
      <c r="AO3126" s="32"/>
      <c r="AP3126" s="24"/>
      <c r="AQ3126" s="24"/>
      <c r="AR3126" s="33"/>
      <c r="AS3126" s="34"/>
      <c r="AT3126" s="33"/>
      <c r="AV3126" s="21">
        <f>IF(AND($AL3126&lt;&gt;"",COUNTIF($AL$11:$AL3126,$AL3126)=1),1,0)</f>
        <v>0</v>
      </c>
      <c r="AW3126" s="21">
        <f t="shared" si="183"/>
        <v>0</v>
      </c>
      <c r="AX3126" s="21" t="str">
        <f t="shared" si="182"/>
        <v/>
      </c>
      <c r="AY3126" s="21" t="str">
        <f>IF(AND($AM3126&lt;&gt;"",$AS3126&lt;&gt;"✓"),SUMPRODUCT(($AM$11:$AM3126&lt;&gt;"")*($AS$11:$AS3126&lt;&gt;"✓")),"")</f>
        <v/>
      </c>
      <c r="AZ3126" s="21" t="str">
        <f>IF(AND($AM3126&lt;&gt;"",$AS3126="✓"),SUMPRODUCT(($AM$11:$AM3126&lt;&gt;"")*($AS$11:$AS3126="✓")),"")</f>
        <v/>
      </c>
      <c r="BA3126" s="21" t="str">
        <f>IF($AL3126="","",$AL3126&amp;"|"&amp;COUNTIF($AL$11:$AL3126,$AL3126))</f>
        <v/>
      </c>
    </row>
    <row r="3127" spans="38:53" ht="15" customHeight="1" x14ac:dyDescent="0.25">
      <c r="AL3127" s="17"/>
      <c r="AM3127" s="12"/>
      <c r="AN3127" s="18"/>
      <c r="AO3127" s="18"/>
      <c r="AP3127" s="10"/>
      <c r="AQ3127" s="10"/>
      <c r="AR3127" s="19"/>
      <c r="AS3127" s="20"/>
      <c r="AT3127" s="19"/>
      <c r="AV3127" s="21">
        <f>IF(AND($AL3127&lt;&gt;"",COUNTIF($AL$11:$AL3127,$AL3127)=1),1,0)</f>
        <v>0</v>
      </c>
      <c r="AW3127" s="21">
        <f t="shared" si="183"/>
        <v>0</v>
      </c>
      <c r="AX3127" s="21" t="str">
        <f t="shared" si="182"/>
        <v/>
      </c>
      <c r="AY3127" s="21" t="str">
        <f>IF(AND($AM3127&lt;&gt;"",$AS3127&lt;&gt;"✓"),SUMPRODUCT(($AM$11:$AM3127&lt;&gt;"")*($AS$11:$AS3127&lt;&gt;"✓")),"")</f>
        <v/>
      </c>
      <c r="AZ3127" s="21" t="str">
        <f>IF(AND($AM3127&lt;&gt;"",$AS3127="✓"),SUMPRODUCT(($AM$11:$AM3127&lt;&gt;"")*($AS$11:$AS3127="✓")),"")</f>
        <v/>
      </c>
      <c r="BA3127" s="21" t="str">
        <f>IF($AL3127="","",$AL3127&amp;"|"&amp;COUNTIF($AL$11:$AL3127,$AL3127))</f>
        <v/>
      </c>
    </row>
    <row r="3128" spans="38:53" ht="15" customHeight="1" x14ac:dyDescent="0.25">
      <c r="AL3128" s="31"/>
      <c r="AM3128" s="26"/>
      <c r="AN3128" s="32"/>
      <c r="AO3128" s="32"/>
      <c r="AP3128" s="24"/>
      <c r="AQ3128" s="24"/>
      <c r="AR3128" s="33"/>
      <c r="AS3128" s="34"/>
      <c r="AT3128" s="33"/>
      <c r="AV3128" s="21">
        <f>IF(AND($AL3128&lt;&gt;"",COUNTIF($AL$11:$AL3128,$AL3128)=1),1,0)</f>
        <v>0</v>
      </c>
      <c r="AW3128" s="21">
        <f t="shared" si="183"/>
        <v>0</v>
      </c>
      <c r="AX3128" s="21" t="str">
        <f t="shared" si="182"/>
        <v/>
      </c>
      <c r="AY3128" s="21" t="str">
        <f>IF(AND($AM3128&lt;&gt;"",$AS3128&lt;&gt;"✓"),SUMPRODUCT(($AM$11:$AM3128&lt;&gt;"")*($AS$11:$AS3128&lt;&gt;"✓")),"")</f>
        <v/>
      </c>
      <c r="AZ3128" s="21" t="str">
        <f>IF(AND($AM3128&lt;&gt;"",$AS3128="✓"),SUMPRODUCT(($AM$11:$AM3128&lt;&gt;"")*($AS$11:$AS3128="✓")),"")</f>
        <v/>
      </c>
      <c r="BA3128" s="21" t="str">
        <f>IF($AL3128="","",$AL3128&amp;"|"&amp;COUNTIF($AL$11:$AL3128,$AL3128))</f>
        <v/>
      </c>
    </row>
    <row r="3129" spans="38:53" ht="15" customHeight="1" x14ac:dyDescent="0.25">
      <c r="AL3129" s="17"/>
      <c r="AM3129" s="12"/>
      <c r="AN3129" s="18"/>
      <c r="AO3129" s="18"/>
      <c r="AP3129" s="10"/>
      <c r="AQ3129" s="10"/>
      <c r="AR3129" s="19"/>
      <c r="AS3129" s="20"/>
      <c r="AT3129" s="19"/>
      <c r="AV3129" s="21">
        <f>IF(AND($AL3129&lt;&gt;"",COUNTIF($AL$11:$AL3129,$AL3129)=1),1,0)</f>
        <v>0</v>
      </c>
      <c r="AW3129" s="21">
        <f t="shared" si="183"/>
        <v>0</v>
      </c>
      <c r="AX3129" s="21" t="str">
        <f t="shared" si="182"/>
        <v/>
      </c>
      <c r="AY3129" s="21" t="str">
        <f>IF(AND($AM3129&lt;&gt;"",$AS3129&lt;&gt;"✓"),SUMPRODUCT(($AM$11:$AM3129&lt;&gt;"")*($AS$11:$AS3129&lt;&gt;"✓")),"")</f>
        <v/>
      </c>
      <c r="AZ3129" s="21" t="str">
        <f>IF(AND($AM3129&lt;&gt;"",$AS3129="✓"),SUMPRODUCT(($AM$11:$AM3129&lt;&gt;"")*($AS$11:$AS3129="✓")),"")</f>
        <v/>
      </c>
      <c r="BA3129" s="21" t="str">
        <f>IF($AL3129="","",$AL3129&amp;"|"&amp;COUNTIF($AL$11:$AL3129,$AL3129))</f>
        <v/>
      </c>
    </row>
    <row r="3130" spans="38:53" ht="15" customHeight="1" x14ac:dyDescent="0.25">
      <c r="AL3130" s="31"/>
      <c r="AM3130" s="26"/>
      <c r="AN3130" s="32"/>
      <c r="AO3130" s="32"/>
      <c r="AP3130" s="24"/>
      <c r="AQ3130" s="24"/>
      <c r="AR3130" s="33"/>
      <c r="AS3130" s="34"/>
      <c r="AT3130" s="33"/>
      <c r="AV3130" s="21">
        <f>IF(AND($AL3130&lt;&gt;"",COUNTIF($AL$11:$AL3130,$AL3130)=1),1,0)</f>
        <v>0</v>
      </c>
      <c r="AW3130" s="21">
        <f t="shared" si="183"/>
        <v>0</v>
      </c>
      <c r="AX3130" s="21" t="str">
        <f t="shared" si="182"/>
        <v/>
      </c>
      <c r="AY3130" s="21" t="str">
        <f>IF(AND($AM3130&lt;&gt;"",$AS3130&lt;&gt;"✓"),SUMPRODUCT(($AM$11:$AM3130&lt;&gt;"")*($AS$11:$AS3130&lt;&gt;"✓")),"")</f>
        <v/>
      </c>
      <c r="AZ3130" s="21" t="str">
        <f>IF(AND($AM3130&lt;&gt;"",$AS3130="✓"),SUMPRODUCT(($AM$11:$AM3130&lt;&gt;"")*($AS$11:$AS3130="✓")),"")</f>
        <v/>
      </c>
      <c r="BA3130" s="21" t="str">
        <f>IF($AL3130="","",$AL3130&amp;"|"&amp;COUNTIF($AL$11:$AL3130,$AL3130))</f>
        <v/>
      </c>
    </row>
    <row r="3131" spans="38:53" ht="15" customHeight="1" x14ac:dyDescent="0.25">
      <c r="AL3131" s="17"/>
      <c r="AM3131" s="12"/>
      <c r="AN3131" s="18"/>
      <c r="AO3131" s="18"/>
      <c r="AP3131" s="10"/>
      <c r="AQ3131" s="10"/>
      <c r="AR3131" s="19"/>
      <c r="AS3131" s="20"/>
      <c r="AT3131" s="19"/>
      <c r="AV3131" s="21">
        <f>IF(AND($AL3131&lt;&gt;"",COUNTIF($AL$11:$AL3131,$AL3131)=1),1,0)</f>
        <v>0</v>
      </c>
      <c r="AW3131" s="21">
        <f t="shared" si="183"/>
        <v>0</v>
      </c>
      <c r="AX3131" s="21" t="str">
        <f t="shared" si="182"/>
        <v/>
      </c>
      <c r="AY3131" s="21" t="str">
        <f>IF(AND($AM3131&lt;&gt;"",$AS3131&lt;&gt;"✓"),SUMPRODUCT(($AM$11:$AM3131&lt;&gt;"")*($AS$11:$AS3131&lt;&gt;"✓")),"")</f>
        <v/>
      </c>
      <c r="AZ3131" s="21" t="str">
        <f>IF(AND($AM3131&lt;&gt;"",$AS3131="✓"),SUMPRODUCT(($AM$11:$AM3131&lt;&gt;"")*($AS$11:$AS3131="✓")),"")</f>
        <v/>
      </c>
      <c r="BA3131" s="21" t="str">
        <f>IF($AL3131="","",$AL3131&amp;"|"&amp;COUNTIF($AL$11:$AL3131,$AL3131))</f>
        <v/>
      </c>
    </row>
    <row r="3132" spans="38:53" ht="15" customHeight="1" x14ac:dyDescent="0.25">
      <c r="AL3132" s="31"/>
      <c r="AM3132" s="26"/>
      <c r="AN3132" s="32"/>
      <c r="AO3132" s="32"/>
      <c r="AP3132" s="24"/>
      <c r="AQ3132" s="24"/>
      <c r="AR3132" s="33"/>
      <c r="AS3132" s="34"/>
      <c r="AT3132" s="33"/>
      <c r="AV3132" s="21">
        <f>IF(AND($AL3132&lt;&gt;"",COUNTIF($AL$11:$AL3132,$AL3132)=1),1,0)</f>
        <v>0</v>
      </c>
      <c r="AW3132" s="21">
        <f t="shared" si="183"/>
        <v>0</v>
      </c>
      <c r="AX3132" s="21" t="str">
        <f t="shared" si="182"/>
        <v/>
      </c>
      <c r="AY3132" s="21" t="str">
        <f>IF(AND($AM3132&lt;&gt;"",$AS3132&lt;&gt;"✓"),SUMPRODUCT(($AM$11:$AM3132&lt;&gt;"")*($AS$11:$AS3132&lt;&gt;"✓")),"")</f>
        <v/>
      </c>
      <c r="AZ3132" s="21" t="str">
        <f>IF(AND($AM3132&lt;&gt;"",$AS3132="✓"),SUMPRODUCT(($AM$11:$AM3132&lt;&gt;"")*($AS$11:$AS3132="✓")),"")</f>
        <v/>
      </c>
      <c r="BA3132" s="21" t="str">
        <f>IF($AL3132="","",$AL3132&amp;"|"&amp;COUNTIF($AL$11:$AL3132,$AL3132))</f>
        <v/>
      </c>
    </row>
    <row r="3133" spans="38:53" ht="15" customHeight="1" x14ac:dyDescent="0.25">
      <c r="AL3133" s="17"/>
      <c r="AM3133" s="12"/>
      <c r="AN3133" s="18"/>
      <c r="AO3133" s="18"/>
      <c r="AP3133" s="10"/>
      <c r="AQ3133" s="10"/>
      <c r="AR3133" s="19"/>
      <c r="AS3133" s="20"/>
      <c r="AT3133" s="19"/>
      <c r="AV3133" s="21">
        <f>IF(AND($AL3133&lt;&gt;"",COUNTIF($AL$11:$AL3133,$AL3133)=1),1,0)</f>
        <v>0</v>
      </c>
      <c r="AW3133" s="21">
        <f t="shared" si="183"/>
        <v>0</v>
      </c>
      <c r="AX3133" s="21" t="str">
        <f t="shared" si="182"/>
        <v/>
      </c>
      <c r="AY3133" s="21" t="str">
        <f>IF(AND($AM3133&lt;&gt;"",$AS3133&lt;&gt;"✓"),SUMPRODUCT(($AM$11:$AM3133&lt;&gt;"")*($AS$11:$AS3133&lt;&gt;"✓")),"")</f>
        <v/>
      </c>
      <c r="AZ3133" s="21" t="str">
        <f>IF(AND($AM3133&lt;&gt;"",$AS3133="✓"),SUMPRODUCT(($AM$11:$AM3133&lt;&gt;"")*($AS$11:$AS3133="✓")),"")</f>
        <v/>
      </c>
      <c r="BA3133" s="21" t="str">
        <f>IF($AL3133="","",$AL3133&amp;"|"&amp;COUNTIF($AL$11:$AL3133,$AL3133))</f>
        <v/>
      </c>
    </row>
    <row r="3134" spans="38:53" ht="15" customHeight="1" x14ac:dyDescent="0.25">
      <c r="AL3134" s="31"/>
      <c r="AM3134" s="26"/>
      <c r="AN3134" s="32"/>
      <c r="AO3134" s="32"/>
      <c r="AP3134" s="24"/>
      <c r="AQ3134" s="24"/>
      <c r="AR3134" s="33"/>
      <c r="AS3134" s="34"/>
      <c r="AT3134" s="33"/>
      <c r="AV3134" s="21">
        <f>IF(AND($AL3134&lt;&gt;"",COUNTIF($AL$11:$AL3134,$AL3134)=1),1,0)</f>
        <v>0</v>
      </c>
      <c r="AW3134" s="21">
        <f t="shared" si="183"/>
        <v>0</v>
      </c>
      <c r="AX3134" s="21" t="str">
        <f t="shared" si="182"/>
        <v/>
      </c>
      <c r="AY3134" s="21" t="str">
        <f>IF(AND($AM3134&lt;&gt;"",$AS3134&lt;&gt;"✓"),SUMPRODUCT(($AM$11:$AM3134&lt;&gt;"")*($AS$11:$AS3134&lt;&gt;"✓")),"")</f>
        <v/>
      </c>
      <c r="AZ3134" s="21" t="str">
        <f>IF(AND($AM3134&lt;&gt;"",$AS3134="✓"),SUMPRODUCT(($AM$11:$AM3134&lt;&gt;"")*($AS$11:$AS3134="✓")),"")</f>
        <v/>
      </c>
      <c r="BA3134" s="21" t="str">
        <f>IF($AL3134="","",$AL3134&amp;"|"&amp;COUNTIF($AL$11:$AL3134,$AL3134))</f>
        <v/>
      </c>
    </row>
    <row r="3135" spans="38:53" ht="15" customHeight="1" x14ac:dyDescent="0.25">
      <c r="AL3135" s="17"/>
      <c r="AM3135" s="12"/>
      <c r="AN3135" s="18"/>
      <c r="AO3135" s="18"/>
      <c r="AP3135" s="10"/>
      <c r="AQ3135" s="10"/>
      <c r="AR3135" s="19"/>
      <c r="AS3135" s="20"/>
      <c r="AT3135" s="19"/>
      <c r="AV3135" s="21">
        <f>IF(AND($AL3135&lt;&gt;"",COUNTIF($AL$11:$AL3135,$AL3135)=1),1,0)</f>
        <v>0</v>
      </c>
      <c r="AW3135" s="21">
        <f t="shared" si="183"/>
        <v>0</v>
      </c>
      <c r="AX3135" s="21" t="str">
        <f t="shared" si="182"/>
        <v/>
      </c>
      <c r="AY3135" s="21" t="str">
        <f>IF(AND($AM3135&lt;&gt;"",$AS3135&lt;&gt;"✓"),SUMPRODUCT(($AM$11:$AM3135&lt;&gt;"")*($AS$11:$AS3135&lt;&gt;"✓")),"")</f>
        <v/>
      </c>
      <c r="AZ3135" s="21" t="str">
        <f>IF(AND($AM3135&lt;&gt;"",$AS3135="✓"),SUMPRODUCT(($AM$11:$AM3135&lt;&gt;"")*($AS$11:$AS3135="✓")),"")</f>
        <v/>
      </c>
      <c r="BA3135" s="21" t="str">
        <f>IF($AL3135="","",$AL3135&amp;"|"&amp;COUNTIF($AL$11:$AL3135,$AL3135))</f>
        <v/>
      </c>
    </row>
    <row r="3136" spans="38:53" ht="15" customHeight="1" x14ac:dyDescent="0.25">
      <c r="AL3136" s="31"/>
      <c r="AM3136" s="26"/>
      <c r="AN3136" s="32"/>
      <c r="AO3136" s="32"/>
      <c r="AP3136" s="24"/>
      <c r="AQ3136" s="24"/>
      <c r="AR3136" s="33"/>
      <c r="AS3136" s="34"/>
      <c r="AT3136" s="33"/>
      <c r="AV3136" s="21">
        <f>IF(AND($AL3136&lt;&gt;"",COUNTIF($AL$11:$AL3136,$AL3136)=1),1,0)</f>
        <v>0</v>
      </c>
      <c r="AW3136" s="21">
        <f t="shared" si="183"/>
        <v>0</v>
      </c>
      <c r="AX3136" s="21" t="str">
        <f t="shared" si="182"/>
        <v/>
      </c>
      <c r="AY3136" s="21" t="str">
        <f>IF(AND($AM3136&lt;&gt;"",$AS3136&lt;&gt;"✓"),SUMPRODUCT(($AM$11:$AM3136&lt;&gt;"")*($AS$11:$AS3136&lt;&gt;"✓")),"")</f>
        <v/>
      </c>
      <c r="AZ3136" s="21" t="str">
        <f>IF(AND($AM3136&lt;&gt;"",$AS3136="✓"),SUMPRODUCT(($AM$11:$AM3136&lt;&gt;"")*($AS$11:$AS3136="✓")),"")</f>
        <v/>
      </c>
      <c r="BA3136" s="21" t="str">
        <f>IF($AL3136="","",$AL3136&amp;"|"&amp;COUNTIF($AL$11:$AL3136,$AL3136))</f>
        <v/>
      </c>
    </row>
    <row r="3137" spans="38:53" ht="15" customHeight="1" x14ac:dyDescent="0.25">
      <c r="AL3137" s="17"/>
      <c r="AM3137" s="12"/>
      <c r="AN3137" s="18"/>
      <c r="AO3137" s="18"/>
      <c r="AP3137" s="10"/>
      <c r="AQ3137" s="10"/>
      <c r="AR3137" s="19"/>
      <c r="AS3137" s="20"/>
      <c r="AT3137" s="19"/>
      <c r="AV3137" s="21">
        <f>IF(AND($AL3137&lt;&gt;"",COUNTIF($AL$11:$AL3137,$AL3137)=1),1,0)</f>
        <v>0</v>
      </c>
      <c r="AW3137" s="21">
        <f t="shared" si="183"/>
        <v>0</v>
      </c>
      <c r="AX3137" s="21" t="str">
        <f t="shared" si="182"/>
        <v/>
      </c>
      <c r="AY3137" s="21" t="str">
        <f>IF(AND($AM3137&lt;&gt;"",$AS3137&lt;&gt;"✓"),SUMPRODUCT(($AM$11:$AM3137&lt;&gt;"")*($AS$11:$AS3137&lt;&gt;"✓")),"")</f>
        <v/>
      </c>
      <c r="AZ3137" s="21" t="str">
        <f>IF(AND($AM3137&lt;&gt;"",$AS3137="✓"),SUMPRODUCT(($AM$11:$AM3137&lt;&gt;"")*($AS$11:$AS3137="✓")),"")</f>
        <v/>
      </c>
      <c r="BA3137" s="21" t="str">
        <f>IF($AL3137="","",$AL3137&amp;"|"&amp;COUNTIF($AL$11:$AL3137,$AL3137))</f>
        <v/>
      </c>
    </row>
    <row r="3138" spans="38:53" ht="15" customHeight="1" x14ac:dyDescent="0.25">
      <c r="AL3138" s="31"/>
      <c r="AM3138" s="26"/>
      <c r="AN3138" s="32"/>
      <c r="AO3138" s="32"/>
      <c r="AP3138" s="24"/>
      <c r="AQ3138" s="24"/>
      <c r="AR3138" s="33"/>
      <c r="AS3138" s="34"/>
      <c r="AT3138" s="33"/>
      <c r="AV3138" s="21">
        <f>IF(AND($AL3138&lt;&gt;"",COUNTIF($AL$11:$AL3138,$AL3138)=1),1,0)</f>
        <v>0</v>
      </c>
      <c r="AW3138" s="21">
        <f t="shared" si="183"/>
        <v>0</v>
      </c>
      <c r="AX3138" s="21" t="str">
        <f t="shared" si="182"/>
        <v/>
      </c>
      <c r="AY3138" s="21" t="str">
        <f>IF(AND($AM3138&lt;&gt;"",$AS3138&lt;&gt;"✓"),SUMPRODUCT(($AM$11:$AM3138&lt;&gt;"")*($AS$11:$AS3138&lt;&gt;"✓")),"")</f>
        <v/>
      </c>
      <c r="AZ3138" s="21" t="str">
        <f>IF(AND($AM3138&lt;&gt;"",$AS3138="✓"),SUMPRODUCT(($AM$11:$AM3138&lt;&gt;"")*($AS$11:$AS3138="✓")),"")</f>
        <v/>
      </c>
      <c r="BA3138" s="21" t="str">
        <f>IF($AL3138="","",$AL3138&amp;"|"&amp;COUNTIF($AL$11:$AL3138,$AL3138))</f>
        <v/>
      </c>
    </row>
    <row r="3139" spans="38:53" ht="15" customHeight="1" x14ac:dyDescent="0.25">
      <c r="AL3139" s="17"/>
      <c r="AM3139" s="12"/>
      <c r="AN3139" s="18"/>
      <c r="AO3139" s="18"/>
      <c r="AP3139" s="10"/>
      <c r="AQ3139" s="10"/>
      <c r="AR3139" s="19"/>
      <c r="AS3139" s="20"/>
      <c r="AT3139" s="19"/>
      <c r="AV3139" s="21">
        <f>IF(AND($AL3139&lt;&gt;"",COUNTIF($AL$11:$AL3139,$AL3139)=1),1,0)</f>
        <v>0</v>
      </c>
      <c r="AW3139" s="21">
        <f t="shared" si="183"/>
        <v>0</v>
      </c>
      <c r="AX3139" s="21" t="str">
        <f t="shared" si="182"/>
        <v/>
      </c>
      <c r="AY3139" s="21" t="str">
        <f>IF(AND($AM3139&lt;&gt;"",$AS3139&lt;&gt;"✓"),SUMPRODUCT(($AM$11:$AM3139&lt;&gt;"")*($AS$11:$AS3139&lt;&gt;"✓")),"")</f>
        <v/>
      </c>
      <c r="AZ3139" s="21" t="str">
        <f>IF(AND($AM3139&lt;&gt;"",$AS3139="✓"),SUMPRODUCT(($AM$11:$AM3139&lt;&gt;"")*($AS$11:$AS3139="✓")),"")</f>
        <v/>
      </c>
      <c r="BA3139" s="21" t="str">
        <f>IF($AL3139="","",$AL3139&amp;"|"&amp;COUNTIF($AL$11:$AL3139,$AL3139))</f>
        <v/>
      </c>
    </row>
    <row r="3140" spans="38:53" ht="15" customHeight="1" x14ac:dyDescent="0.25">
      <c r="AL3140" s="31"/>
      <c r="AM3140" s="26"/>
      <c r="AN3140" s="32"/>
      <c r="AO3140" s="32"/>
      <c r="AP3140" s="24"/>
      <c r="AQ3140" s="24"/>
      <c r="AR3140" s="33"/>
      <c r="AS3140" s="34"/>
      <c r="AT3140" s="33"/>
      <c r="AV3140" s="21">
        <f>IF(AND($AL3140&lt;&gt;"",COUNTIF($AL$11:$AL3140,$AL3140)=1),1,0)</f>
        <v>0</v>
      </c>
      <c r="AW3140" s="21">
        <f t="shared" si="183"/>
        <v>0</v>
      </c>
      <c r="AX3140" s="21" t="str">
        <f t="shared" si="182"/>
        <v/>
      </c>
      <c r="AY3140" s="21" t="str">
        <f>IF(AND($AM3140&lt;&gt;"",$AS3140&lt;&gt;"✓"),SUMPRODUCT(($AM$11:$AM3140&lt;&gt;"")*($AS$11:$AS3140&lt;&gt;"✓")),"")</f>
        <v/>
      </c>
      <c r="AZ3140" s="21" t="str">
        <f>IF(AND($AM3140&lt;&gt;"",$AS3140="✓"),SUMPRODUCT(($AM$11:$AM3140&lt;&gt;"")*($AS$11:$AS3140="✓")),"")</f>
        <v/>
      </c>
      <c r="BA3140" s="21" t="str">
        <f>IF($AL3140="","",$AL3140&amp;"|"&amp;COUNTIF($AL$11:$AL3140,$AL3140))</f>
        <v/>
      </c>
    </row>
    <row r="3141" spans="38:53" ht="15" customHeight="1" x14ac:dyDescent="0.25">
      <c r="AL3141" s="17"/>
      <c r="AM3141" s="12"/>
      <c r="AN3141" s="18"/>
      <c r="AO3141" s="18"/>
      <c r="AP3141" s="10"/>
      <c r="AQ3141" s="10"/>
      <c r="AR3141" s="19"/>
      <c r="AS3141" s="20"/>
      <c r="AT3141" s="19"/>
      <c r="AV3141" s="21">
        <f>IF(AND($AL3141&lt;&gt;"",COUNTIF($AL$11:$AL3141,$AL3141)=1),1,0)</f>
        <v>0</v>
      </c>
      <c r="AW3141" s="21">
        <f t="shared" si="183"/>
        <v>0</v>
      </c>
      <c r="AX3141" s="21" t="str">
        <f t="shared" si="182"/>
        <v/>
      </c>
      <c r="AY3141" s="21" t="str">
        <f>IF(AND($AM3141&lt;&gt;"",$AS3141&lt;&gt;"✓"),SUMPRODUCT(($AM$11:$AM3141&lt;&gt;"")*($AS$11:$AS3141&lt;&gt;"✓")),"")</f>
        <v/>
      </c>
      <c r="AZ3141" s="21" t="str">
        <f>IF(AND($AM3141&lt;&gt;"",$AS3141="✓"),SUMPRODUCT(($AM$11:$AM3141&lt;&gt;"")*($AS$11:$AS3141="✓")),"")</f>
        <v/>
      </c>
      <c r="BA3141" s="21" t="str">
        <f>IF($AL3141="","",$AL3141&amp;"|"&amp;COUNTIF($AL$11:$AL3141,$AL3141))</f>
        <v/>
      </c>
    </row>
    <row r="3142" spans="38:53" ht="15" customHeight="1" x14ac:dyDescent="0.25">
      <c r="AL3142" s="31"/>
      <c r="AM3142" s="26"/>
      <c r="AN3142" s="32"/>
      <c r="AO3142" s="32"/>
      <c r="AP3142" s="24"/>
      <c r="AQ3142" s="24"/>
      <c r="AR3142" s="33"/>
      <c r="AS3142" s="34"/>
      <c r="AT3142" s="33"/>
      <c r="AV3142" s="21">
        <f>IF(AND($AL3142&lt;&gt;"",COUNTIF($AL$11:$AL3142,$AL3142)=1),1,0)</f>
        <v>0</v>
      </c>
      <c r="AW3142" s="21">
        <f t="shared" si="183"/>
        <v>0</v>
      </c>
      <c r="AX3142" s="21" t="str">
        <f t="shared" si="182"/>
        <v/>
      </c>
      <c r="AY3142" s="21" t="str">
        <f>IF(AND($AM3142&lt;&gt;"",$AS3142&lt;&gt;"✓"),SUMPRODUCT(($AM$11:$AM3142&lt;&gt;"")*($AS$11:$AS3142&lt;&gt;"✓")),"")</f>
        <v/>
      </c>
      <c r="AZ3142" s="21" t="str">
        <f>IF(AND($AM3142&lt;&gt;"",$AS3142="✓"),SUMPRODUCT(($AM$11:$AM3142&lt;&gt;"")*($AS$11:$AS3142="✓")),"")</f>
        <v/>
      </c>
      <c r="BA3142" s="21" t="str">
        <f>IF($AL3142="","",$AL3142&amp;"|"&amp;COUNTIF($AL$11:$AL3142,$AL3142))</f>
        <v/>
      </c>
    </row>
    <row r="3143" spans="38:53" ht="15" customHeight="1" x14ac:dyDescent="0.25">
      <c r="AL3143" s="17"/>
      <c r="AM3143" s="12"/>
      <c r="AN3143" s="18"/>
      <c r="AO3143" s="18"/>
      <c r="AP3143" s="10"/>
      <c r="AQ3143" s="10"/>
      <c r="AR3143" s="19"/>
      <c r="AS3143" s="20"/>
      <c r="AT3143" s="19"/>
      <c r="AV3143" s="21">
        <f>IF(AND($AL3143&lt;&gt;"",COUNTIF($AL$11:$AL3143,$AL3143)=1),1,0)</f>
        <v>0</v>
      </c>
      <c r="AW3143" s="21">
        <f t="shared" si="183"/>
        <v>0</v>
      </c>
      <c r="AX3143" s="21" t="str">
        <f t="shared" si="182"/>
        <v/>
      </c>
      <c r="AY3143" s="21" t="str">
        <f>IF(AND($AM3143&lt;&gt;"",$AS3143&lt;&gt;"✓"),SUMPRODUCT(($AM$11:$AM3143&lt;&gt;"")*($AS$11:$AS3143&lt;&gt;"✓")),"")</f>
        <v/>
      </c>
      <c r="AZ3143" s="21" t="str">
        <f>IF(AND($AM3143&lt;&gt;"",$AS3143="✓"),SUMPRODUCT(($AM$11:$AM3143&lt;&gt;"")*($AS$11:$AS3143="✓")),"")</f>
        <v/>
      </c>
      <c r="BA3143" s="21" t="str">
        <f>IF($AL3143="","",$AL3143&amp;"|"&amp;COUNTIF($AL$11:$AL3143,$AL3143))</f>
        <v/>
      </c>
    </row>
    <row r="3144" spans="38:53" ht="15" customHeight="1" x14ac:dyDescent="0.25">
      <c r="AL3144" s="31"/>
      <c r="AM3144" s="26"/>
      <c r="AN3144" s="32"/>
      <c r="AO3144" s="32"/>
      <c r="AP3144" s="24"/>
      <c r="AQ3144" s="24"/>
      <c r="AR3144" s="33"/>
      <c r="AS3144" s="34"/>
      <c r="AT3144" s="33"/>
      <c r="AV3144" s="21">
        <f>IF(AND($AL3144&lt;&gt;"",COUNTIF($AL$11:$AL3144,$AL3144)=1),1,0)</f>
        <v>0</v>
      </c>
      <c r="AW3144" s="21">
        <f t="shared" si="183"/>
        <v>0</v>
      </c>
      <c r="AX3144" s="21" t="str">
        <f t="shared" si="182"/>
        <v/>
      </c>
      <c r="AY3144" s="21" t="str">
        <f>IF(AND($AM3144&lt;&gt;"",$AS3144&lt;&gt;"✓"),SUMPRODUCT(($AM$11:$AM3144&lt;&gt;"")*($AS$11:$AS3144&lt;&gt;"✓")),"")</f>
        <v/>
      </c>
      <c r="AZ3144" s="21" t="str">
        <f>IF(AND($AM3144&lt;&gt;"",$AS3144="✓"),SUMPRODUCT(($AM$11:$AM3144&lt;&gt;"")*($AS$11:$AS3144="✓")),"")</f>
        <v/>
      </c>
      <c r="BA3144" s="21" t="str">
        <f>IF($AL3144="","",$AL3144&amp;"|"&amp;COUNTIF($AL$11:$AL3144,$AL3144))</f>
        <v/>
      </c>
    </row>
    <row r="3145" spans="38:53" ht="15" customHeight="1" x14ac:dyDescent="0.25">
      <c r="AL3145" s="17"/>
      <c r="AM3145" s="12"/>
      <c r="AN3145" s="18"/>
      <c r="AO3145" s="18"/>
      <c r="AP3145" s="10"/>
      <c r="AQ3145" s="10"/>
      <c r="AR3145" s="19"/>
      <c r="AS3145" s="20"/>
      <c r="AT3145" s="19"/>
      <c r="AV3145" s="21">
        <f>IF(AND($AL3145&lt;&gt;"",COUNTIF($AL$11:$AL3145,$AL3145)=1),1,0)</f>
        <v>0</v>
      </c>
      <c r="AW3145" s="21">
        <f t="shared" si="183"/>
        <v>0</v>
      </c>
      <c r="AX3145" s="21" t="str">
        <f t="shared" si="182"/>
        <v/>
      </c>
      <c r="AY3145" s="21" t="str">
        <f>IF(AND($AM3145&lt;&gt;"",$AS3145&lt;&gt;"✓"),SUMPRODUCT(($AM$11:$AM3145&lt;&gt;"")*($AS$11:$AS3145&lt;&gt;"✓")),"")</f>
        <v/>
      </c>
      <c r="AZ3145" s="21" t="str">
        <f>IF(AND($AM3145&lt;&gt;"",$AS3145="✓"),SUMPRODUCT(($AM$11:$AM3145&lt;&gt;"")*($AS$11:$AS3145="✓")),"")</f>
        <v/>
      </c>
      <c r="BA3145" s="21" t="str">
        <f>IF($AL3145="","",$AL3145&amp;"|"&amp;COUNTIF($AL$11:$AL3145,$AL3145))</f>
        <v/>
      </c>
    </row>
    <row r="3146" spans="38:53" ht="15" customHeight="1" x14ac:dyDescent="0.25">
      <c r="AL3146" s="31"/>
      <c r="AM3146" s="26"/>
      <c r="AN3146" s="32"/>
      <c r="AO3146" s="32"/>
      <c r="AP3146" s="24"/>
      <c r="AQ3146" s="24"/>
      <c r="AR3146" s="33"/>
      <c r="AS3146" s="34"/>
      <c r="AT3146" s="33"/>
      <c r="AV3146" s="21">
        <f>IF(AND($AL3146&lt;&gt;"",COUNTIF($AL$11:$AL3146,$AL3146)=1),1,0)</f>
        <v>0</v>
      </c>
      <c r="AW3146" s="21">
        <f t="shared" si="183"/>
        <v>0</v>
      </c>
      <c r="AX3146" s="21" t="str">
        <f t="shared" si="182"/>
        <v/>
      </c>
      <c r="AY3146" s="21" t="str">
        <f>IF(AND($AM3146&lt;&gt;"",$AS3146&lt;&gt;"✓"),SUMPRODUCT(($AM$11:$AM3146&lt;&gt;"")*($AS$11:$AS3146&lt;&gt;"✓")),"")</f>
        <v/>
      </c>
      <c r="AZ3146" s="21" t="str">
        <f>IF(AND($AM3146&lt;&gt;"",$AS3146="✓"),SUMPRODUCT(($AM$11:$AM3146&lt;&gt;"")*($AS$11:$AS3146="✓")),"")</f>
        <v/>
      </c>
      <c r="BA3146" s="21" t="str">
        <f>IF($AL3146="","",$AL3146&amp;"|"&amp;COUNTIF($AL$11:$AL3146,$AL3146))</f>
        <v/>
      </c>
    </row>
    <row r="3147" spans="38:53" ht="15" customHeight="1" x14ac:dyDescent="0.25">
      <c r="AL3147" s="17"/>
      <c r="AM3147" s="12"/>
      <c r="AN3147" s="18"/>
      <c r="AO3147" s="18"/>
      <c r="AP3147" s="10"/>
      <c r="AQ3147" s="10"/>
      <c r="AR3147" s="19"/>
      <c r="AS3147" s="20"/>
      <c r="AT3147" s="19"/>
      <c r="AV3147" s="21">
        <f>IF(AND($AL3147&lt;&gt;"",COUNTIF($AL$11:$AL3147,$AL3147)=1),1,0)</f>
        <v>0</v>
      </c>
      <c r="AW3147" s="21">
        <f t="shared" si="183"/>
        <v>0</v>
      </c>
      <c r="AX3147" s="21" t="str">
        <f t="shared" ref="AX3147:AX3210" si="184">IF(AV3147=1,AW3147,"")</f>
        <v/>
      </c>
      <c r="AY3147" s="21" t="str">
        <f>IF(AND($AM3147&lt;&gt;"",$AS3147&lt;&gt;"✓"),SUMPRODUCT(($AM$11:$AM3147&lt;&gt;"")*($AS$11:$AS3147&lt;&gt;"✓")),"")</f>
        <v/>
      </c>
      <c r="AZ3147" s="21" t="str">
        <f>IF(AND($AM3147&lt;&gt;"",$AS3147="✓"),SUMPRODUCT(($AM$11:$AM3147&lt;&gt;"")*($AS$11:$AS3147="✓")),"")</f>
        <v/>
      </c>
      <c r="BA3147" s="21" t="str">
        <f>IF($AL3147="","",$AL3147&amp;"|"&amp;COUNTIF($AL$11:$AL3147,$AL3147))</f>
        <v/>
      </c>
    </row>
    <row r="3148" spans="38:53" ht="15" customHeight="1" x14ac:dyDescent="0.25">
      <c r="AL3148" s="31"/>
      <c r="AM3148" s="26"/>
      <c r="AN3148" s="32"/>
      <c r="AO3148" s="32"/>
      <c r="AP3148" s="24"/>
      <c r="AQ3148" s="24"/>
      <c r="AR3148" s="33"/>
      <c r="AS3148" s="34"/>
      <c r="AT3148" s="33"/>
      <c r="AV3148" s="21">
        <f>IF(AND($AL3148&lt;&gt;"",COUNTIF($AL$11:$AL3148,$AL3148)=1),1,0)</f>
        <v>0</v>
      </c>
      <c r="AW3148" s="21">
        <f t="shared" ref="AW3148:AW3211" si="185">AW3147+AV3148</f>
        <v>0</v>
      </c>
      <c r="AX3148" s="21" t="str">
        <f t="shared" si="184"/>
        <v/>
      </c>
      <c r="AY3148" s="21" t="str">
        <f>IF(AND($AM3148&lt;&gt;"",$AS3148&lt;&gt;"✓"),SUMPRODUCT(($AM$11:$AM3148&lt;&gt;"")*($AS$11:$AS3148&lt;&gt;"✓")),"")</f>
        <v/>
      </c>
      <c r="AZ3148" s="21" t="str">
        <f>IF(AND($AM3148&lt;&gt;"",$AS3148="✓"),SUMPRODUCT(($AM$11:$AM3148&lt;&gt;"")*($AS$11:$AS3148="✓")),"")</f>
        <v/>
      </c>
      <c r="BA3148" s="21" t="str">
        <f>IF($AL3148="","",$AL3148&amp;"|"&amp;COUNTIF($AL$11:$AL3148,$AL3148))</f>
        <v/>
      </c>
    </row>
    <row r="3149" spans="38:53" ht="15" customHeight="1" x14ac:dyDescent="0.25">
      <c r="AL3149" s="17"/>
      <c r="AM3149" s="12"/>
      <c r="AN3149" s="18"/>
      <c r="AO3149" s="18"/>
      <c r="AP3149" s="10"/>
      <c r="AQ3149" s="10"/>
      <c r="AR3149" s="19"/>
      <c r="AS3149" s="20"/>
      <c r="AT3149" s="19"/>
      <c r="AV3149" s="21">
        <f>IF(AND($AL3149&lt;&gt;"",COUNTIF($AL$11:$AL3149,$AL3149)=1),1,0)</f>
        <v>0</v>
      </c>
      <c r="AW3149" s="21">
        <f t="shared" si="185"/>
        <v>0</v>
      </c>
      <c r="AX3149" s="21" t="str">
        <f t="shared" si="184"/>
        <v/>
      </c>
      <c r="AY3149" s="21" t="str">
        <f>IF(AND($AM3149&lt;&gt;"",$AS3149&lt;&gt;"✓"),SUMPRODUCT(($AM$11:$AM3149&lt;&gt;"")*($AS$11:$AS3149&lt;&gt;"✓")),"")</f>
        <v/>
      </c>
      <c r="AZ3149" s="21" t="str">
        <f>IF(AND($AM3149&lt;&gt;"",$AS3149="✓"),SUMPRODUCT(($AM$11:$AM3149&lt;&gt;"")*($AS$11:$AS3149="✓")),"")</f>
        <v/>
      </c>
      <c r="BA3149" s="21" t="str">
        <f>IF($AL3149="","",$AL3149&amp;"|"&amp;COUNTIF($AL$11:$AL3149,$AL3149))</f>
        <v/>
      </c>
    </row>
    <row r="3150" spans="38:53" ht="15" customHeight="1" x14ac:dyDescent="0.25">
      <c r="AL3150" s="31"/>
      <c r="AM3150" s="26"/>
      <c r="AN3150" s="32"/>
      <c r="AO3150" s="32"/>
      <c r="AP3150" s="24"/>
      <c r="AQ3150" s="24"/>
      <c r="AR3150" s="33"/>
      <c r="AS3150" s="34"/>
      <c r="AT3150" s="33"/>
      <c r="AV3150" s="21">
        <f>IF(AND($AL3150&lt;&gt;"",COUNTIF($AL$11:$AL3150,$AL3150)=1),1,0)</f>
        <v>0</v>
      </c>
      <c r="AW3150" s="21">
        <f t="shared" si="185"/>
        <v>0</v>
      </c>
      <c r="AX3150" s="21" t="str">
        <f t="shared" si="184"/>
        <v/>
      </c>
      <c r="AY3150" s="21" t="str">
        <f>IF(AND($AM3150&lt;&gt;"",$AS3150&lt;&gt;"✓"),SUMPRODUCT(($AM$11:$AM3150&lt;&gt;"")*($AS$11:$AS3150&lt;&gt;"✓")),"")</f>
        <v/>
      </c>
      <c r="AZ3150" s="21" t="str">
        <f>IF(AND($AM3150&lt;&gt;"",$AS3150="✓"),SUMPRODUCT(($AM$11:$AM3150&lt;&gt;"")*($AS$11:$AS3150="✓")),"")</f>
        <v/>
      </c>
      <c r="BA3150" s="21" t="str">
        <f>IF($AL3150="","",$AL3150&amp;"|"&amp;COUNTIF($AL$11:$AL3150,$AL3150))</f>
        <v/>
      </c>
    </row>
    <row r="3151" spans="38:53" ht="15" customHeight="1" x14ac:dyDescent="0.25">
      <c r="AL3151" s="17"/>
      <c r="AM3151" s="12"/>
      <c r="AN3151" s="18"/>
      <c r="AO3151" s="18"/>
      <c r="AP3151" s="10"/>
      <c r="AQ3151" s="10"/>
      <c r="AR3151" s="19"/>
      <c r="AS3151" s="20"/>
      <c r="AT3151" s="19"/>
      <c r="AV3151" s="21">
        <f>IF(AND($AL3151&lt;&gt;"",COUNTIF($AL$11:$AL3151,$AL3151)=1),1,0)</f>
        <v>0</v>
      </c>
      <c r="AW3151" s="21">
        <f t="shared" si="185"/>
        <v>0</v>
      </c>
      <c r="AX3151" s="21" t="str">
        <f t="shared" si="184"/>
        <v/>
      </c>
      <c r="AY3151" s="21" t="str">
        <f>IF(AND($AM3151&lt;&gt;"",$AS3151&lt;&gt;"✓"),SUMPRODUCT(($AM$11:$AM3151&lt;&gt;"")*($AS$11:$AS3151&lt;&gt;"✓")),"")</f>
        <v/>
      </c>
      <c r="AZ3151" s="21" t="str">
        <f>IF(AND($AM3151&lt;&gt;"",$AS3151="✓"),SUMPRODUCT(($AM$11:$AM3151&lt;&gt;"")*($AS$11:$AS3151="✓")),"")</f>
        <v/>
      </c>
      <c r="BA3151" s="21" t="str">
        <f>IF($AL3151="","",$AL3151&amp;"|"&amp;COUNTIF($AL$11:$AL3151,$AL3151))</f>
        <v/>
      </c>
    </row>
    <row r="3152" spans="38:53" ht="15" customHeight="1" x14ac:dyDescent="0.25">
      <c r="AL3152" s="31"/>
      <c r="AM3152" s="26"/>
      <c r="AN3152" s="32"/>
      <c r="AO3152" s="32"/>
      <c r="AP3152" s="24"/>
      <c r="AQ3152" s="24"/>
      <c r="AR3152" s="33"/>
      <c r="AS3152" s="34"/>
      <c r="AT3152" s="33"/>
      <c r="AV3152" s="21">
        <f>IF(AND($AL3152&lt;&gt;"",COUNTIF($AL$11:$AL3152,$AL3152)=1),1,0)</f>
        <v>0</v>
      </c>
      <c r="AW3152" s="21">
        <f t="shared" si="185"/>
        <v>0</v>
      </c>
      <c r="AX3152" s="21" t="str">
        <f t="shared" si="184"/>
        <v/>
      </c>
      <c r="AY3152" s="21" t="str">
        <f>IF(AND($AM3152&lt;&gt;"",$AS3152&lt;&gt;"✓"),SUMPRODUCT(($AM$11:$AM3152&lt;&gt;"")*($AS$11:$AS3152&lt;&gt;"✓")),"")</f>
        <v/>
      </c>
      <c r="AZ3152" s="21" t="str">
        <f>IF(AND($AM3152&lt;&gt;"",$AS3152="✓"),SUMPRODUCT(($AM$11:$AM3152&lt;&gt;"")*($AS$11:$AS3152="✓")),"")</f>
        <v/>
      </c>
      <c r="BA3152" s="21" t="str">
        <f>IF($AL3152="","",$AL3152&amp;"|"&amp;COUNTIF($AL$11:$AL3152,$AL3152))</f>
        <v/>
      </c>
    </row>
    <row r="3153" spans="38:53" ht="15" customHeight="1" x14ac:dyDescent="0.25">
      <c r="AL3153" s="17"/>
      <c r="AM3153" s="12"/>
      <c r="AN3153" s="18"/>
      <c r="AO3153" s="18"/>
      <c r="AP3153" s="10"/>
      <c r="AQ3153" s="10"/>
      <c r="AR3153" s="19"/>
      <c r="AS3153" s="20"/>
      <c r="AT3153" s="19"/>
      <c r="AV3153" s="21">
        <f>IF(AND($AL3153&lt;&gt;"",COUNTIF($AL$11:$AL3153,$AL3153)=1),1,0)</f>
        <v>0</v>
      </c>
      <c r="AW3153" s="21">
        <f t="shared" si="185"/>
        <v>0</v>
      </c>
      <c r="AX3153" s="21" t="str">
        <f t="shared" si="184"/>
        <v/>
      </c>
      <c r="AY3153" s="21" t="str">
        <f>IF(AND($AM3153&lt;&gt;"",$AS3153&lt;&gt;"✓"),SUMPRODUCT(($AM$11:$AM3153&lt;&gt;"")*($AS$11:$AS3153&lt;&gt;"✓")),"")</f>
        <v/>
      </c>
      <c r="AZ3153" s="21" t="str">
        <f>IF(AND($AM3153&lt;&gt;"",$AS3153="✓"),SUMPRODUCT(($AM$11:$AM3153&lt;&gt;"")*($AS$11:$AS3153="✓")),"")</f>
        <v/>
      </c>
      <c r="BA3153" s="21" t="str">
        <f>IF($AL3153="","",$AL3153&amp;"|"&amp;COUNTIF($AL$11:$AL3153,$AL3153))</f>
        <v/>
      </c>
    </row>
    <row r="3154" spans="38:53" ht="15" customHeight="1" x14ac:dyDescent="0.25">
      <c r="AL3154" s="31"/>
      <c r="AM3154" s="26"/>
      <c r="AN3154" s="32"/>
      <c r="AO3154" s="32"/>
      <c r="AP3154" s="24"/>
      <c r="AQ3154" s="24"/>
      <c r="AR3154" s="33"/>
      <c r="AS3154" s="34"/>
      <c r="AT3154" s="33"/>
      <c r="AV3154" s="21">
        <f>IF(AND($AL3154&lt;&gt;"",COUNTIF($AL$11:$AL3154,$AL3154)=1),1,0)</f>
        <v>0</v>
      </c>
      <c r="AW3154" s="21">
        <f t="shared" si="185"/>
        <v>0</v>
      </c>
      <c r="AX3154" s="21" t="str">
        <f t="shared" si="184"/>
        <v/>
      </c>
      <c r="AY3154" s="21" t="str">
        <f>IF(AND($AM3154&lt;&gt;"",$AS3154&lt;&gt;"✓"),SUMPRODUCT(($AM$11:$AM3154&lt;&gt;"")*($AS$11:$AS3154&lt;&gt;"✓")),"")</f>
        <v/>
      </c>
      <c r="AZ3154" s="21" t="str">
        <f>IF(AND($AM3154&lt;&gt;"",$AS3154="✓"),SUMPRODUCT(($AM$11:$AM3154&lt;&gt;"")*($AS$11:$AS3154="✓")),"")</f>
        <v/>
      </c>
      <c r="BA3154" s="21" t="str">
        <f>IF($AL3154="","",$AL3154&amp;"|"&amp;COUNTIF($AL$11:$AL3154,$AL3154))</f>
        <v/>
      </c>
    </row>
    <row r="3155" spans="38:53" ht="15" customHeight="1" x14ac:dyDescent="0.25">
      <c r="AL3155" s="17"/>
      <c r="AM3155" s="12"/>
      <c r="AN3155" s="18"/>
      <c r="AO3155" s="18"/>
      <c r="AP3155" s="10"/>
      <c r="AQ3155" s="10"/>
      <c r="AR3155" s="19"/>
      <c r="AS3155" s="20"/>
      <c r="AT3155" s="19"/>
      <c r="AV3155" s="21">
        <f>IF(AND($AL3155&lt;&gt;"",COUNTIF($AL$11:$AL3155,$AL3155)=1),1,0)</f>
        <v>0</v>
      </c>
      <c r="AW3155" s="21">
        <f t="shared" si="185"/>
        <v>0</v>
      </c>
      <c r="AX3155" s="21" t="str">
        <f t="shared" si="184"/>
        <v/>
      </c>
      <c r="AY3155" s="21" t="str">
        <f>IF(AND($AM3155&lt;&gt;"",$AS3155&lt;&gt;"✓"),SUMPRODUCT(($AM$11:$AM3155&lt;&gt;"")*($AS$11:$AS3155&lt;&gt;"✓")),"")</f>
        <v/>
      </c>
      <c r="AZ3155" s="21" t="str">
        <f>IF(AND($AM3155&lt;&gt;"",$AS3155="✓"),SUMPRODUCT(($AM$11:$AM3155&lt;&gt;"")*($AS$11:$AS3155="✓")),"")</f>
        <v/>
      </c>
      <c r="BA3155" s="21" t="str">
        <f>IF($AL3155="","",$AL3155&amp;"|"&amp;COUNTIF($AL$11:$AL3155,$AL3155))</f>
        <v/>
      </c>
    </row>
    <row r="3156" spans="38:53" ht="15" customHeight="1" x14ac:dyDescent="0.25">
      <c r="AL3156" s="31"/>
      <c r="AM3156" s="26"/>
      <c r="AN3156" s="32"/>
      <c r="AO3156" s="32"/>
      <c r="AP3156" s="24"/>
      <c r="AQ3156" s="24"/>
      <c r="AR3156" s="33"/>
      <c r="AS3156" s="34"/>
      <c r="AT3156" s="33"/>
      <c r="AV3156" s="21">
        <f>IF(AND($AL3156&lt;&gt;"",COUNTIF($AL$11:$AL3156,$AL3156)=1),1,0)</f>
        <v>0</v>
      </c>
      <c r="AW3156" s="21">
        <f t="shared" si="185"/>
        <v>0</v>
      </c>
      <c r="AX3156" s="21" t="str">
        <f t="shared" si="184"/>
        <v/>
      </c>
      <c r="AY3156" s="21" t="str">
        <f>IF(AND($AM3156&lt;&gt;"",$AS3156&lt;&gt;"✓"),SUMPRODUCT(($AM$11:$AM3156&lt;&gt;"")*($AS$11:$AS3156&lt;&gt;"✓")),"")</f>
        <v/>
      </c>
      <c r="AZ3156" s="21" t="str">
        <f>IF(AND($AM3156&lt;&gt;"",$AS3156="✓"),SUMPRODUCT(($AM$11:$AM3156&lt;&gt;"")*($AS$11:$AS3156="✓")),"")</f>
        <v/>
      </c>
      <c r="BA3156" s="21" t="str">
        <f>IF($AL3156="","",$AL3156&amp;"|"&amp;COUNTIF($AL$11:$AL3156,$AL3156))</f>
        <v/>
      </c>
    </row>
    <row r="3157" spans="38:53" ht="15" customHeight="1" x14ac:dyDescent="0.25">
      <c r="AL3157" s="17"/>
      <c r="AM3157" s="12"/>
      <c r="AN3157" s="18"/>
      <c r="AO3157" s="18"/>
      <c r="AP3157" s="10"/>
      <c r="AQ3157" s="10"/>
      <c r="AR3157" s="19"/>
      <c r="AS3157" s="20"/>
      <c r="AT3157" s="19"/>
      <c r="AV3157" s="21">
        <f>IF(AND($AL3157&lt;&gt;"",COUNTIF($AL$11:$AL3157,$AL3157)=1),1,0)</f>
        <v>0</v>
      </c>
      <c r="AW3157" s="21">
        <f t="shared" si="185"/>
        <v>0</v>
      </c>
      <c r="AX3157" s="21" t="str">
        <f t="shared" si="184"/>
        <v/>
      </c>
      <c r="AY3157" s="21" t="str">
        <f>IF(AND($AM3157&lt;&gt;"",$AS3157&lt;&gt;"✓"),SUMPRODUCT(($AM$11:$AM3157&lt;&gt;"")*($AS$11:$AS3157&lt;&gt;"✓")),"")</f>
        <v/>
      </c>
      <c r="AZ3157" s="21" t="str">
        <f>IF(AND($AM3157&lt;&gt;"",$AS3157="✓"),SUMPRODUCT(($AM$11:$AM3157&lt;&gt;"")*($AS$11:$AS3157="✓")),"")</f>
        <v/>
      </c>
      <c r="BA3157" s="21" t="str">
        <f>IF($AL3157="","",$AL3157&amp;"|"&amp;COUNTIF($AL$11:$AL3157,$AL3157))</f>
        <v/>
      </c>
    </row>
    <row r="3158" spans="38:53" ht="15" customHeight="1" x14ac:dyDescent="0.25">
      <c r="AL3158" s="31"/>
      <c r="AM3158" s="26"/>
      <c r="AN3158" s="32"/>
      <c r="AO3158" s="32"/>
      <c r="AP3158" s="24"/>
      <c r="AQ3158" s="24"/>
      <c r="AR3158" s="33"/>
      <c r="AS3158" s="34"/>
      <c r="AT3158" s="33"/>
      <c r="AV3158" s="21">
        <f>IF(AND($AL3158&lt;&gt;"",COUNTIF($AL$11:$AL3158,$AL3158)=1),1,0)</f>
        <v>0</v>
      </c>
      <c r="AW3158" s="21">
        <f t="shared" si="185"/>
        <v>0</v>
      </c>
      <c r="AX3158" s="21" t="str">
        <f t="shared" si="184"/>
        <v/>
      </c>
      <c r="AY3158" s="21" t="str">
        <f>IF(AND($AM3158&lt;&gt;"",$AS3158&lt;&gt;"✓"),SUMPRODUCT(($AM$11:$AM3158&lt;&gt;"")*($AS$11:$AS3158&lt;&gt;"✓")),"")</f>
        <v/>
      </c>
      <c r="AZ3158" s="21" t="str">
        <f>IF(AND($AM3158&lt;&gt;"",$AS3158="✓"),SUMPRODUCT(($AM$11:$AM3158&lt;&gt;"")*($AS$11:$AS3158="✓")),"")</f>
        <v/>
      </c>
      <c r="BA3158" s="21" t="str">
        <f>IF($AL3158="","",$AL3158&amp;"|"&amp;COUNTIF($AL$11:$AL3158,$AL3158))</f>
        <v/>
      </c>
    </row>
    <row r="3159" spans="38:53" ht="15" customHeight="1" x14ac:dyDescent="0.25">
      <c r="AL3159" s="17"/>
      <c r="AM3159" s="12"/>
      <c r="AN3159" s="18"/>
      <c r="AO3159" s="18"/>
      <c r="AP3159" s="10"/>
      <c r="AQ3159" s="10"/>
      <c r="AR3159" s="19"/>
      <c r="AS3159" s="20"/>
      <c r="AT3159" s="19"/>
      <c r="AV3159" s="21">
        <f>IF(AND($AL3159&lt;&gt;"",COUNTIF($AL$11:$AL3159,$AL3159)=1),1,0)</f>
        <v>0</v>
      </c>
      <c r="AW3159" s="21">
        <f t="shared" si="185"/>
        <v>0</v>
      </c>
      <c r="AX3159" s="21" t="str">
        <f t="shared" si="184"/>
        <v/>
      </c>
      <c r="AY3159" s="21" t="str">
        <f>IF(AND($AM3159&lt;&gt;"",$AS3159&lt;&gt;"✓"),SUMPRODUCT(($AM$11:$AM3159&lt;&gt;"")*($AS$11:$AS3159&lt;&gt;"✓")),"")</f>
        <v/>
      </c>
      <c r="AZ3159" s="21" t="str">
        <f>IF(AND($AM3159&lt;&gt;"",$AS3159="✓"),SUMPRODUCT(($AM$11:$AM3159&lt;&gt;"")*($AS$11:$AS3159="✓")),"")</f>
        <v/>
      </c>
      <c r="BA3159" s="21" t="str">
        <f>IF($AL3159="","",$AL3159&amp;"|"&amp;COUNTIF($AL$11:$AL3159,$AL3159))</f>
        <v/>
      </c>
    </row>
    <row r="3160" spans="38:53" ht="15" customHeight="1" x14ac:dyDescent="0.25">
      <c r="AL3160" s="31"/>
      <c r="AM3160" s="26"/>
      <c r="AN3160" s="32"/>
      <c r="AO3160" s="32"/>
      <c r="AP3160" s="24"/>
      <c r="AQ3160" s="24"/>
      <c r="AR3160" s="33"/>
      <c r="AS3160" s="34"/>
      <c r="AT3160" s="33"/>
      <c r="AV3160" s="21">
        <f>IF(AND($AL3160&lt;&gt;"",COUNTIF($AL$11:$AL3160,$AL3160)=1),1,0)</f>
        <v>0</v>
      </c>
      <c r="AW3160" s="21">
        <f t="shared" si="185"/>
        <v>0</v>
      </c>
      <c r="AX3160" s="21" t="str">
        <f t="shared" si="184"/>
        <v/>
      </c>
      <c r="AY3160" s="21" t="str">
        <f>IF(AND($AM3160&lt;&gt;"",$AS3160&lt;&gt;"✓"),SUMPRODUCT(($AM$11:$AM3160&lt;&gt;"")*($AS$11:$AS3160&lt;&gt;"✓")),"")</f>
        <v/>
      </c>
      <c r="AZ3160" s="21" t="str">
        <f>IF(AND($AM3160&lt;&gt;"",$AS3160="✓"),SUMPRODUCT(($AM$11:$AM3160&lt;&gt;"")*($AS$11:$AS3160="✓")),"")</f>
        <v/>
      </c>
      <c r="BA3160" s="21" t="str">
        <f>IF($AL3160="","",$AL3160&amp;"|"&amp;COUNTIF($AL$11:$AL3160,$AL3160))</f>
        <v/>
      </c>
    </row>
    <row r="3161" spans="38:53" ht="15" customHeight="1" x14ac:dyDescent="0.25">
      <c r="AL3161" s="17"/>
      <c r="AM3161" s="12"/>
      <c r="AN3161" s="18"/>
      <c r="AO3161" s="18"/>
      <c r="AP3161" s="10"/>
      <c r="AQ3161" s="10"/>
      <c r="AR3161" s="19"/>
      <c r="AS3161" s="20"/>
      <c r="AT3161" s="19"/>
      <c r="AV3161" s="21">
        <f>IF(AND($AL3161&lt;&gt;"",COUNTIF($AL$11:$AL3161,$AL3161)=1),1,0)</f>
        <v>0</v>
      </c>
      <c r="AW3161" s="21">
        <f t="shared" si="185"/>
        <v>0</v>
      </c>
      <c r="AX3161" s="21" t="str">
        <f t="shared" si="184"/>
        <v/>
      </c>
      <c r="AY3161" s="21" t="str">
        <f>IF(AND($AM3161&lt;&gt;"",$AS3161&lt;&gt;"✓"),SUMPRODUCT(($AM$11:$AM3161&lt;&gt;"")*($AS$11:$AS3161&lt;&gt;"✓")),"")</f>
        <v/>
      </c>
      <c r="AZ3161" s="21" t="str">
        <f>IF(AND($AM3161&lt;&gt;"",$AS3161="✓"),SUMPRODUCT(($AM$11:$AM3161&lt;&gt;"")*($AS$11:$AS3161="✓")),"")</f>
        <v/>
      </c>
      <c r="BA3161" s="21" t="str">
        <f>IF($AL3161="","",$AL3161&amp;"|"&amp;COUNTIF($AL$11:$AL3161,$AL3161))</f>
        <v/>
      </c>
    </row>
    <row r="3162" spans="38:53" ht="15" customHeight="1" x14ac:dyDescent="0.25">
      <c r="AL3162" s="31"/>
      <c r="AM3162" s="26"/>
      <c r="AN3162" s="32"/>
      <c r="AO3162" s="32"/>
      <c r="AP3162" s="24"/>
      <c r="AQ3162" s="24"/>
      <c r="AR3162" s="33"/>
      <c r="AS3162" s="34"/>
      <c r="AT3162" s="33"/>
      <c r="AV3162" s="21">
        <f>IF(AND($AL3162&lt;&gt;"",COUNTIF($AL$11:$AL3162,$AL3162)=1),1,0)</f>
        <v>0</v>
      </c>
      <c r="AW3162" s="21">
        <f t="shared" si="185"/>
        <v>0</v>
      </c>
      <c r="AX3162" s="21" t="str">
        <f t="shared" si="184"/>
        <v/>
      </c>
      <c r="AY3162" s="21" t="str">
        <f>IF(AND($AM3162&lt;&gt;"",$AS3162&lt;&gt;"✓"),SUMPRODUCT(($AM$11:$AM3162&lt;&gt;"")*($AS$11:$AS3162&lt;&gt;"✓")),"")</f>
        <v/>
      </c>
      <c r="AZ3162" s="21" t="str">
        <f>IF(AND($AM3162&lt;&gt;"",$AS3162="✓"),SUMPRODUCT(($AM$11:$AM3162&lt;&gt;"")*($AS$11:$AS3162="✓")),"")</f>
        <v/>
      </c>
      <c r="BA3162" s="21" t="str">
        <f>IF($AL3162="","",$AL3162&amp;"|"&amp;COUNTIF($AL$11:$AL3162,$AL3162))</f>
        <v/>
      </c>
    </row>
    <row r="3163" spans="38:53" ht="15" customHeight="1" x14ac:dyDescent="0.25">
      <c r="AL3163" s="17"/>
      <c r="AM3163" s="12"/>
      <c r="AN3163" s="18"/>
      <c r="AO3163" s="18"/>
      <c r="AP3163" s="10"/>
      <c r="AQ3163" s="10"/>
      <c r="AR3163" s="19"/>
      <c r="AS3163" s="20"/>
      <c r="AT3163" s="19"/>
      <c r="AV3163" s="21">
        <f>IF(AND($AL3163&lt;&gt;"",COUNTIF($AL$11:$AL3163,$AL3163)=1),1,0)</f>
        <v>0</v>
      </c>
      <c r="AW3163" s="21">
        <f t="shared" si="185"/>
        <v>0</v>
      </c>
      <c r="AX3163" s="21" t="str">
        <f t="shared" si="184"/>
        <v/>
      </c>
      <c r="AY3163" s="21" t="str">
        <f>IF(AND($AM3163&lt;&gt;"",$AS3163&lt;&gt;"✓"),SUMPRODUCT(($AM$11:$AM3163&lt;&gt;"")*($AS$11:$AS3163&lt;&gt;"✓")),"")</f>
        <v/>
      </c>
      <c r="AZ3163" s="21" t="str">
        <f>IF(AND($AM3163&lt;&gt;"",$AS3163="✓"),SUMPRODUCT(($AM$11:$AM3163&lt;&gt;"")*($AS$11:$AS3163="✓")),"")</f>
        <v/>
      </c>
      <c r="BA3163" s="21" t="str">
        <f>IF($AL3163="","",$AL3163&amp;"|"&amp;COUNTIF($AL$11:$AL3163,$AL3163))</f>
        <v/>
      </c>
    </row>
    <row r="3164" spans="38:53" ht="15" customHeight="1" x14ac:dyDescent="0.25">
      <c r="AL3164" s="31"/>
      <c r="AM3164" s="26"/>
      <c r="AN3164" s="32"/>
      <c r="AO3164" s="32"/>
      <c r="AP3164" s="24"/>
      <c r="AQ3164" s="24"/>
      <c r="AR3164" s="33"/>
      <c r="AS3164" s="34"/>
      <c r="AT3164" s="33"/>
      <c r="AV3164" s="21">
        <f>IF(AND($AL3164&lt;&gt;"",COUNTIF($AL$11:$AL3164,$AL3164)=1),1,0)</f>
        <v>0</v>
      </c>
      <c r="AW3164" s="21">
        <f t="shared" si="185"/>
        <v>0</v>
      </c>
      <c r="AX3164" s="21" t="str">
        <f t="shared" si="184"/>
        <v/>
      </c>
      <c r="AY3164" s="21" t="str">
        <f>IF(AND($AM3164&lt;&gt;"",$AS3164&lt;&gt;"✓"),SUMPRODUCT(($AM$11:$AM3164&lt;&gt;"")*($AS$11:$AS3164&lt;&gt;"✓")),"")</f>
        <v/>
      </c>
      <c r="AZ3164" s="21" t="str">
        <f>IF(AND($AM3164&lt;&gt;"",$AS3164="✓"),SUMPRODUCT(($AM$11:$AM3164&lt;&gt;"")*($AS$11:$AS3164="✓")),"")</f>
        <v/>
      </c>
      <c r="BA3164" s="21" t="str">
        <f>IF($AL3164="","",$AL3164&amp;"|"&amp;COUNTIF($AL$11:$AL3164,$AL3164))</f>
        <v/>
      </c>
    </row>
    <row r="3165" spans="38:53" ht="15" customHeight="1" x14ac:dyDescent="0.25">
      <c r="AL3165" s="17"/>
      <c r="AM3165" s="12"/>
      <c r="AN3165" s="18"/>
      <c r="AO3165" s="18"/>
      <c r="AP3165" s="10"/>
      <c r="AQ3165" s="10"/>
      <c r="AR3165" s="19"/>
      <c r="AS3165" s="20"/>
      <c r="AT3165" s="19"/>
      <c r="AV3165" s="21">
        <f>IF(AND($AL3165&lt;&gt;"",COUNTIF($AL$11:$AL3165,$AL3165)=1),1,0)</f>
        <v>0</v>
      </c>
      <c r="AW3165" s="21">
        <f t="shared" si="185"/>
        <v>0</v>
      </c>
      <c r="AX3165" s="21" t="str">
        <f t="shared" si="184"/>
        <v/>
      </c>
      <c r="AY3165" s="21" t="str">
        <f>IF(AND($AM3165&lt;&gt;"",$AS3165&lt;&gt;"✓"),SUMPRODUCT(($AM$11:$AM3165&lt;&gt;"")*($AS$11:$AS3165&lt;&gt;"✓")),"")</f>
        <v/>
      </c>
      <c r="AZ3165" s="21" t="str">
        <f>IF(AND($AM3165&lt;&gt;"",$AS3165="✓"),SUMPRODUCT(($AM$11:$AM3165&lt;&gt;"")*($AS$11:$AS3165="✓")),"")</f>
        <v/>
      </c>
      <c r="BA3165" s="21" t="str">
        <f>IF($AL3165="","",$AL3165&amp;"|"&amp;COUNTIF($AL$11:$AL3165,$AL3165))</f>
        <v/>
      </c>
    </row>
    <row r="3166" spans="38:53" ht="15" customHeight="1" x14ac:dyDescent="0.25">
      <c r="AL3166" s="31"/>
      <c r="AM3166" s="26"/>
      <c r="AN3166" s="32"/>
      <c r="AO3166" s="32"/>
      <c r="AP3166" s="24"/>
      <c r="AQ3166" s="24"/>
      <c r="AR3166" s="33"/>
      <c r="AS3166" s="34"/>
      <c r="AT3166" s="33"/>
      <c r="AV3166" s="21">
        <f>IF(AND($AL3166&lt;&gt;"",COUNTIF($AL$11:$AL3166,$AL3166)=1),1,0)</f>
        <v>0</v>
      </c>
      <c r="AW3166" s="21">
        <f t="shared" si="185"/>
        <v>0</v>
      </c>
      <c r="AX3166" s="21" t="str">
        <f t="shared" si="184"/>
        <v/>
      </c>
      <c r="AY3166" s="21" t="str">
        <f>IF(AND($AM3166&lt;&gt;"",$AS3166&lt;&gt;"✓"),SUMPRODUCT(($AM$11:$AM3166&lt;&gt;"")*($AS$11:$AS3166&lt;&gt;"✓")),"")</f>
        <v/>
      </c>
      <c r="AZ3166" s="21" t="str">
        <f>IF(AND($AM3166&lt;&gt;"",$AS3166="✓"),SUMPRODUCT(($AM$11:$AM3166&lt;&gt;"")*($AS$11:$AS3166="✓")),"")</f>
        <v/>
      </c>
      <c r="BA3166" s="21" t="str">
        <f>IF($AL3166="","",$AL3166&amp;"|"&amp;COUNTIF($AL$11:$AL3166,$AL3166))</f>
        <v/>
      </c>
    </row>
    <row r="3167" spans="38:53" ht="15" customHeight="1" x14ac:dyDescent="0.25">
      <c r="AL3167" s="17"/>
      <c r="AM3167" s="12"/>
      <c r="AN3167" s="18"/>
      <c r="AO3167" s="18"/>
      <c r="AP3167" s="10"/>
      <c r="AQ3167" s="10"/>
      <c r="AR3167" s="19"/>
      <c r="AS3167" s="20"/>
      <c r="AT3167" s="19"/>
      <c r="AV3167" s="21">
        <f>IF(AND($AL3167&lt;&gt;"",COUNTIF($AL$11:$AL3167,$AL3167)=1),1,0)</f>
        <v>0</v>
      </c>
      <c r="AW3167" s="21">
        <f t="shared" si="185"/>
        <v>0</v>
      </c>
      <c r="AX3167" s="21" t="str">
        <f t="shared" si="184"/>
        <v/>
      </c>
      <c r="AY3167" s="21" t="str">
        <f>IF(AND($AM3167&lt;&gt;"",$AS3167&lt;&gt;"✓"),SUMPRODUCT(($AM$11:$AM3167&lt;&gt;"")*($AS$11:$AS3167&lt;&gt;"✓")),"")</f>
        <v/>
      </c>
      <c r="AZ3167" s="21" t="str">
        <f>IF(AND($AM3167&lt;&gt;"",$AS3167="✓"),SUMPRODUCT(($AM$11:$AM3167&lt;&gt;"")*($AS$11:$AS3167="✓")),"")</f>
        <v/>
      </c>
      <c r="BA3167" s="21" t="str">
        <f>IF($AL3167="","",$AL3167&amp;"|"&amp;COUNTIF($AL$11:$AL3167,$AL3167))</f>
        <v/>
      </c>
    </row>
    <row r="3168" spans="38:53" ht="15" customHeight="1" x14ac:dyDescent="0.25">
      <c r="AL3168" s="31"/>
      <c r="AM3168" s="26"/>
      <c r="AN3168" s="32"/>
      <c r="AO3168" s="32"/>
      <c r="AP3168" s="24"/>
      <c r="AQ3168" s="24"/>
      <c r="AR3168" s="33"/>
      <c r="AS3168" s="34"/>
      <c r="AT3168" s="33"/>
      <c r="AV3168" s="21">
        <f>IF(AND($AL3168&lt;&gt;"",COUNTIF($AL$11:$AL3168,$AL3168)=1),1,0)</f>
        <v>0</v>
      </c>
      <c r="AW3168" s="21">
        <f t="shared" si="185"/>
        <v>0</v>
      </c>
      <c r="AX3168" s="21" t="str">
        <f t="shared" si="184"/>
        <v/>
      </c>
      <c r="AY3168" s="21" t="str">
        <f>IF(AND($AM3168&lt;&gt;"",$AS3168&lt;&gt;"✓"),SUMPRODUCT(($AM$11:$AM3168&lt;&gt;"")*($AS$11:$AS3168&lt;&gt;"✓")),"")</f>
        <v/>
      </c>
      <c r="AZ3168" s="21" t="str">
        <f>IF(AND($AM3168&lt;&gt;"",$AS3168="✓"),SUMPRODUCT(($AM$11:$AM3168&lt;&gt;"")*($AS$11:$AS3168="✓")),"")</f>
        <v/>
      </c>
      <c r="BA3168" s="21" t="str">
        <f>IF($AL3168="","",$AL3168&amp;"|"&amp;COUNTIF($AL$11:$AL3168,$AL3168))</f>
        <v/>
      </c>
    </row>
    <row r="3169" spans="38:53" ht="15" customHeight="1" x14ac:dyDescent="0.25">
      <c r="AL3169" s="17"/>
      <c r="AM3169" s="12"/>
      <c r="AN3169" s="18"/>
      <c r="AO3169" s="18"/>
      <c r="AP3169" s="10"/>
      <c r="AQ3169" s="10"/>
      <c r="AR3169" s="19"/>
      <c r="AS3169" s="20"/>
      <c r="AT3169" s="19"/>
      <c r="AV3169" s="21">
        <f>IF(AND($AL3169&lt;&gt;"",COUNTIF($AL$11:$AL3169,$AL3169)=1),1,0)</f>
        <v>0</v>
      </c>
      <c r="AW3169" s="21">
        <f t="shared" si="185"/>
        <v>0</v>
      </c>
      <c r="AX3169" s="21" t="str">
        <f t="shared" si="184"/>
        <v/>
      </c>
      <c r="AY3169" s="21" t="str">
        <f>IF(AND($AM3169&lt;&gt;"",$AS3169&lt;&gt;"✓"),SUMPRODUCT(($AM$11:$AM3169&lt;&gt;"")*($AS$11:$AS3169&lt;&gt;"✓")),"")</f>
        <v/>
      </c>
      <c r="AZ3169" s="21" t="str">
        <f>IF(AND($AM3169&lt;&gt;"",$AS3169="✓"),SUMPRODUCT(($AM$11:$AM3169&lt;&gt;"")*($AS$11:$AS3169="✓")),"")</f>
        <v/>
      </c>
      <c r="BA3169" s="21" t="str">
        <f>IF($AL3169="","",$AL3169&amp;"|"&amp;COUNTIF($AL$11:$AL3169,$AL3169))</f>
        <v/>
      </c>
    </row>
    <row r="3170" spans="38:53" ht="15" customHeight="1" x14ac:dyDescent="0.25">
      <c r="AL3170" s="31"/>
      <c r="AM3170" s="26"/>
      <c r="AN3170" s="32"/>
      <c r="AO3170" s="32"/>
      <c r="AP3170" s="24"/>
      <c r="AQ3170" s="24"/>
      <c r="AR3170" s="33"/>
      <c r="AS3170" s="34"/>
      <c r="AT3170" s="33"/>
      <c r="AV3170" s="21">
        <f>IF(AND($AL3170&lt;&gt;"",COUNTIF($AL$11:$AL3170,$AL3170)=1),1,0)</f>
        <v>0</v>
      </c>
      <c r="AW3170" s="21">
        <f t="shared" si="185"/>
        <v>0</v>
      </c>
      <c r="AX3170" s="21" t="str">
        <f t="shared" si="184"/>
        <v/>
      </c>
      <c r="AY3170" s="21" t="str">
        <f>IF(AND($AM3170&lt;&gt;"",$AS3170&lt;&gt;"✓"),SUMPRODUCT(($AM$11:$AM3170&lt;&gt;"")*($AS$11:$AS3170&lt;&gt;"✓")),"")</f>
        <v/>
      </c>
      <c r="AZ3170" s="21" t="str">
        <f>IF(AND($AM3170&lt;&gt;"",$AS3170="✓"),SUMPRODUCT(($AM$11:$AM3170&lt;&gt;"")*($AS$11:$AS3170="✓")),"")</f>
        <v/>
      </c>
      <c r="BA3170" s="21" t="str">
        <f>IF($AL3170="","",$AL3170&amp;"|"&amp;COUNTIF($AL$11:$AL3170,$AL3170))</f>
        <v/>
      </c>
    </row>
    <row r="3171" spans="38:53" ht="15" customHeight="1" x14ac:dyDescent="0.25">
      <c r="AL3171" s="17"/>
      <c r="AM3171" s="12"/>
      <c r="AN3171" s="18"/>
      <c r="AO3171" s="18"/>
      <c r="AP3171" s="10"/>
      <c r="AQ3171" s="10"/>
      <c r="AR3171" s="19"/>
      <c r="AS3171" s="20"/>
      <c r="AT3171" s="19"/>
      <c r="AV3171" s="21">
        <f>IF(AND($AL3171&lt;&gt;"",COUNTIF($AL$11:$AL3171,$AL3171)=1),1,0)</f>
        <v>0</v>
      </c>
      <c r="AW3171" s="21">
        <f t="shared" si="185"/>
        <v>0</v>
      </c>
      <c r="AX3171" s="21" t="str">
        <f t="shared" si="184"/>
        <v/>
      </c>
      <c r="AY3171" s="21" t="str">
        <f>IF(AND($AM3171&lt;&gt;"",$AS3171&lt;&gt;"✓"),SUMPRODUCT(($AM$11:$AM3171&lt;&gt;"")*($AS$11:$AS3171&lt;&gt;"✓")),"")</f>
        <v/>
      </c>
      <c r="AZ3171" s="21" t="str">
        <f>IF(AND($AM3171&lt;&gt;"",$AS3171="✓"),SUMPRODUCT(($AM$11:$AM3171&lt;&gt;"")*($AS$11:$AS3171="✓")),"")</f>
        <v/>
      </c>
      <c r="BA3171" s="21" t="str">
        <f>IF($AL3171="","",$AL3171&amp;"|"&amp;COUNTIF($AL$11:$AL3171,$AL3171))</f>
        <v/>
      </c>
    </row>
    <row r="3172" spans="38:53" ht="15" customHeight="1" x14ac:dyDescent="0.25">
      <c r="AL3172" s="31"/>
      <c r="AM3172" s="26"/>
      <c r="AN3172" s="32"/>
      <c r="AO3172" s="32"/>
      <c r="AP3172" s="24"/>
      <c r="AQ3172" s="24"/>
      <c r="AR3172" s="33"/>
      <c r="AS3172" s="34"/>
      <c r="AT3172" s="33"/>
      <c r="AV3172" s="21">
        <f>IF(AND($AL3172&lt;&gt;"",COUNTIF($AL$11:$AL3172,$AL3172)=1),1,0)</f>
        <v>0</v>
      </c>
      <c r="AW3172" s="21">
        <f t="shared" si="185"/>
        <v>0</v>
      </c>
      <c r="AX3172" s="21" t="str">
        <f t="shared" si="184"/>
        <v/>
      </c>
      <c r="AY3172" s="21" t="str">
        <f>IF(AND($AM3172&lt;&gt;"",$AS3172&lt;&gt;"✓"),SUMPRODUCT(($AM$11:$AM3172&lt;&gt;"")*($AS$11:$AS3172&lt;&gt;"✓")),"")</f>
        <v/>
      </c>
      <c r="AZ3172" s="21" t="str">
        <f>IF(AND($AM3172&lt;&gt;"",$AS3172="✓"),SUMPRODUCT(($AM$11:$AM3172&lt;&gt;"")*($AS$11:$AS3172="✓")),"")</f>
        <v/>
      </c>
      <c r="BA3172" s="21" t="str">
        <f>IF($AL3172="","",$AL3172&amp;"|"&amp;COUNTIF($AL$11:$AL3172,$AL3172))</f>
        <v/>
      </c>
    </row>
    <row r="3173" spans="38:53" ht="15" customHeight="1" x14ac:dyDescent="0.25">
      <c r="AL3173" s="17"/>
      <c r="AM3173" s="12"/>
      <c r="AN3173" s="18"/>
      <c r="AO3173" s="18"/>
      <c r="AP3173" s="10"/>
      <c r="AQ3173" s="10"/>
      <c r="AR3173" s="19"/>
      <c r="AS3173" s="20"/>
      <c r="AT3173" s="19"/>
      <c r="AV3173" s="21">
        <f>IF(AND($AL3173&lt;&gt;"",COUNTIF($AL$11:$AL3173,$AL3173)=1),1,0)</f>
        <v>0</v>
      </c>
      <c r="AW3173" s="21">
        <f t="shared" si="185"/>
        <v>0</v>
      </c>
      <c r="AX3173" s="21" t="str">
        <f t="shared" si="184"/>
        <v/>
      </c>
      <c r="AY3173" s="21" t="str">
        <f>IF(AND($AM3173&lt;&gt;"",$AS3173&lt;&gt;"✓"),SUMPRODUCT(($AM$11:$AM3173&lt;&gt;"")*($AS$11:$AS3173&lt;&gt;"✓")),"")</f>
        <v/>
      </c>
      <c r="AZ3173" s="21" t="str">
        <f>IF(AND($AM3173&lt;&gt;"",$AS3173="✓"),SUMPRODUCT(($AM$11:$AM3173&lt;&gt;"")*($AS$11:$AS3173="✓")),"")</f>
        <v/>
      </c>
      <c r="BA3173" s="21" t="str">
        <f>IF($AL3173="","",$AL3173&amp;"|"&amp;COUNTIF($AL$11:$AL3173,$AL3173))</f>
        <v/>
      </c>
    </row>
    <row r="3174" spans="38:53" ht="15" customHeight="1" x14ac:dyDescent="0.25">
      <c r="AL3174" s="31"/>
      <c r="AM3174" s="26"/>
      <c r="AN3174" s="32"/>
      <c r="AO3174" s="32"/>
      <c r="AP3174" s="24"/>
      <c r="AQ3174" s="24"/>
      <c r="AR3174" s="33"/>
      <c r="AS3174" s="34"/>
      <c r="AT3174" s="33"/>
      <c r="AV3174" s="21">
        <f>IF(AND($AL3174&lt;&gt;"",COUNTIF($AL$11:$AL3174,$AL3174)=1),1,0)</f>
        <v>0</v>
      </c>
      <c r="AW3174" s="21">
        <f t="shared" si="185"/>
        <v>0</v>
      </c>
      <c r="AX3174" s="21" t="str">
        <f t="shared" si="184"/>
        <v/>
      </c>
      <c r="AY3174" s="21" t="str">
        <f>IF(AND($AM3174&lt;&gt;"",$AS3174&lt;&gt;"✓"),SUMPRODUCT(($AM$11:$AM3174&lt;&gt;"")*($AS$11:$AS3174&lt;&gt;"✓")),"")</f>
        <v/>
      </c>
      <c r="AZ3174" s="21" t="str">
        <f>IF(AND($AM3174&lt;&gt;"",$AS3174="✓"),SUMPRODUCT(($AM$11:$AM3174&lt;&gt;"")*($AS$11:$AS3174="✓")),"")</f>
        <v/>
      </c>
      <c r="BA3174" s="21" t="str">
        <f>IF($AL3174="","",$AL3174&amp;"|"&amp;COUNTIF($AL$11:$AL3174,$AL3174))</f>
        <v/>
      </c>
    </row>
    <row r="3175" spans="38:53" ht="15" customHeight="1" x14ac:dyDescent="0.25">
      <c r="AL3175" s="17"/>
      <c r="AM3175" s="12"/>
      <c r="AN3175" s="18"/>
      <c r="AO3175" s="18"/>
      <c r="AP3175" s="10"/>
      <c r="AQ3175" s="10"/>
      <c r="AR3175" s="19"/>
      <c r="AS3175" s="20"/>
      <c r="AT3175" s="19"/>
      <c r="AV3175" s="21">
        <f>IF(AND($AL3175&lt;&gt;"",COUNTIF($AL$11:$AL3175,$AL3175)=1),1,0)</f>
        <v>0</v>
      </c>
      <c r="AW3175" s="21">
        <f t="shared" si="185"/>
        <v>0</v>
      </c>
      <c r="AX3175" s="21" t="str">
        <f t="shared" si="184"/>
        <v/>
      </c>
      <c r="AY3175" s="21" t="str">
        <f>IF(AND($AM3175&lt;&gt;"",$AS3175&lt;&gt;"✓"),SUMPRODUCT(($AM$11:$AM3175&lt;&gt;"")*($AS$11:$AS3175&lt;&gt;"✓")),"")</f>
        <v/>
      </c>
      <c r="AZ3175" s="21" t="str">
        <f>IF(AND($AM3175&lt;&gt;"",$AS3175="✓"),SUMPRODUCT(($AM$11:$AM3175&lt;&gt;"")*($AS$11:$AS3175="✓")),"")</f>
        <v/>
      </c>
      <c r="BA3175" s="21" t="str">
        <f>IF($AL3175="","",$AL3175&amp;"|"&amp;COUNTIF($AL$11:$AL3175,$AL3175))</f>
        <v/>
      </c>
    </row>
    <row r="3176" spans="38:53" ht="15" customHeight="1" x14ac:dyDescent="0.25">
      <c r="AL3176" s="31"/>
      <c r="AM3176" s="26"/>
      <c r="AN3176" s="32"/>
      <c r="AO3176" s="32"/>
      <c r="AP3176" s="24"/>
      <c r="AQ3176" s="24"/>
      <c r="AR3176" s="33"/>
      <c r="AS3176" s="34"/>
      <c r="AT3176" s="33"/>
      <c r="AV3176" s="21">
        <f>IF(AND($AL3176&lt;&gt;"",COUNTIF($AL$11:$AL3176,$AL3176)=1),1,0)</f>
        <v>0</v>
      </c>
      <c r="AW3176" s="21">
        <f t="shared" si="185"/>
        <v>0</v>
      </c>
      <c r="AX3176" s="21" t="str">
        <f t="shared" si="184"/>
        <v/>
      </c>
      <c r="AY3176" s="21" t="str">
        <f>IF(AND($AM3176&lt;&gt;"",$AS3176&lt;&gt;"✓"),SUMPRODUCT(($AM$11:$AM3176&lt;&gt;"")*($AS$11:$AS3176&lt;&gt;"✓")),"")</f>
        <v/>
      </c>
      <c r="AZ3176" s="21" t="str">
        <f>IF(AND($AM3176&lt;&gt;"",$AS3176="✓"),SUMPRODUCT(($AM$11:$AM3176&lt;&gt;"")*($AS$11:$AS3176="✓")),"")</f>
        <v/>
      </c>
      <c r="BA3176" s="21" t="str">
        <f>IF($AL3176="","",$AL3176&amp;"|"&amp;COUNTIF($AL$11:$AL3176,$AL3176))</f>
        <v/>
      </c>
    </row>
    <row r="3177" spans="38:53" ht="15" customHeight="1" x14ac:dyDescent="0.25">
      <c r="AL3177" s="17"/>
      <c r="AM3177" s="12"/>
      <c r="AN3177" s="18"/>
      <c r="AO3177" s="18"/>
      <c r="AP3177" s="10"/>
      <c r="AQ3177" s="10"/>
      <c r="AR3177" s="19"/>
      <c r="AS3177" s="20"/>
      <c r="AT3177" s="19"/>
      <c r="AV3177" s="21">
        <f>IF(AND($AL3177&lt;&gt;"",COUNTIF($AL$11:$AL3177,$AL3177)=1),1,0)</f>
        <v>0</v>
      </c>
      <c r="AW3177" s="21">
        <f t="shared" si="185"/>
        <v>0</v>
      </c>
      <c r="AX3177" s="21" t="str">
        <f t="shared" si="184"/>
        <v/>
      </c>
      <c r="AY3177" s="21" t="str">
        <f>IF(AND($AM3177&lt;&gt;"",$AS3177&lt;&gt;"✓"),SUMPRODUCT(($AM$11:$AM3177&lt;&gt;"")*($AS$11:$AS3177&lt;&gt;"✓")),"")</f>
        <v/>
      </c>
      <c r="AZ3177" s="21" t="str">
        <f>IF(AND($AM3177&lt;&gt;"",$AS3177="✓"),SUMPRODUCT(($AM$11:$AM3177&lt;&gt;"")*($AS$11:$AS3177="✓")),"")</f>
        <v/>
      </c>
      <c r="BA3177" s="21" t="str">
        <f>IF($AL3177="","",$AL3177&amp;"|"&amp;COUNTIF($AL$11:$AL3177,$AL3177))</f>
        <v/>
      </c>
    </row>
    <row r="3178" spans="38:53" ht="15" customHeight="1" x14ac:dyDescent="0.25">
      <c r="AL3178" s="31"/>
      <c r="AM3178" s="26"/>
      <c r="AN3178" s="32"/>
      <c r="AO3178" s="32"/>
      <c r="AP3178" s="24"/>
      <c r="AQ3178" s="24"/>
      <c r="AR3178" s="33"/>
      <c r="AS3178" s="34"/>
      <c r="AT3178" s="33"/>
      <c r="AV3178" s="21">
        <f>IF(AND($AL3178&lt;&gt;"",COUNTIF($AL$11:$AL3178,$AL3178)=1),1,0)</f>
        <v>0</v>
      </c>
      <c r="AW3178" s="21">
        <f t="shared" si="185"/>
        <v>0</v>
      </c>
      <c r="AX3178" s="21" t="str">
        <f t="shared" si="184"/>
        <v/>
      </c>
      <c r="AY3178" s="21" t="str">
        <f>IF(AND($AM3178&lt;&gt;"",$AS3178&lt;&gt;"✓"),SUMPRODUCT(($AM$11:$AM3178&lt;&gt;"")*($AS$11:$AS3178&lt;&gt;"✓")),"")</f>
        <v/>
      </c>
      <c r="AZ3178" s="21" t="str">
        <f>IF(AND($AM3178&lt;&gt;"",$AS3178="✓"),SUMPRODUCT(($AM$11:$AM3178&lt;&gt;"")*($AS$11:$AS3178="✓")),"")</f>
        <v/>
      </c>
      <c r="BA3178" s="21" t="str">
        <f>IF($AL3178="","",$AL3178&amp;"|"&amp;COUNTIF($AL$11:$AL3178,$AL3178))</f>
        <v/>
      </c>
    </row>
    <row r="3179" spans="38:53" ht="15" customHeight="1" x14ac:dyDescent="0.25">
      <c r="AL3179" s="17"/>
      <c r="AM3179" s="12"/>
      <c r="AN3179" s="18"/>
      <c r="AO3179" s="18"/>
      <c r="AP3179" s="10"/>
      <c r="AQ3179" s="10"/>
      <c r="AR3179" s="19"/>
      <c r="AS3179" s="20"/>
      <c r="AT3179" s="19"/>
      <c r="AV3179" s="21">
        <f>IF(AND($AL3179&lt;&gt;"",COUNTIF($AL$11:$AL3179,$AL3179)=1),1,0)</f>
        <v>0</v>
      </c>
      <c r="AW3179" s="21">
        <f t="shared" si="185"/>
        <v>0</v>
      </c>
      <c r="AX3179" s="21" t="str">
        <f t="shared" si="184"/>
        <v/>
      </c>
      <c r="AY3179" s="21" t="str">
        <f>IF(AND($AM3179&lt;&gt;"",$AS3179&lt;&gt;"✓"),SUMPRODUCT(($AM$11:$AM3179&lt;&gt;"")*($AS$11:$AS3179&lt;&gt;"✓")),"")</f>
        <v/>
      </c>
      <c r="AZ3179" s="21" t="str">
        <f>IF(AND($AM3179&lt;&gt;"",$AS3179="✓"),SUMPRODUCT(($AM$11:$AM3179&lt;&gt;"")*($AS$11:$AS3179="✓")),"")</f>
        <v/>
      </c>
      <c r="BA3179" s="21" t="str">
        <f>IF($AL3179="","",$AL3179&amp;"|"&amp;COUNTIF($AL$11:$AL3179,$AL3179))</f>
        <v/>
      </c>
    </row>
    <row r="3180" spans="38:53" ht="15" customHeight="1" x14ac:dyDescent="0.25">
      <c r="AL3180" s="31"/>
      <c r="AM3180" s="26"/>
      <c r="AN3180" s="32"/>
      <c r="AO3180" s="32"/>
      <c r="AP3180" s="24"/>
      <c r="AQ3180" s="24"/>
      <c r="AR3180" s="33"/>
      <c r="AS3180" s="34"/>
      <c r="AT3180" s="33"/>
      <c r="AV3180" s="21">
        <f>IF(AND($AL3180&lt;&gt;"",COUNTIF($AL$11:$AL3180,$AL3180)=1),1,0)</f>
        <v>0</v>
      </c>
      <c r="AW3180" s="21">
        <f t="shared" si="185"/>
        <v>0</v>
      </c>
      <c r="AX3180" s="21" t="str">
        <f t="shared" si="184"/>
        <v/>
      </c>
      <c r="AY3180" s="21" t="str">
        <f>IF(AND($AM3180&lt;&gt;"",$AS3180&lt;&gt;"✓"),SUMPRODUCT(($AM$11:$AM3180&lt;&gt;"")*($AS$11:$AS3180&lt;&gt;"✓")),"")</f>
        <v/>
      </c>
      <c r="AZ3180" s="21" t="str">
        <f>IF(AND($AM3180&lt;&gt;"",$AS3180="✓"),SUMPRODUCT(($AM$11:$AM3180&lt;&gt;"")*($AS$11:$AS3180="✓")),"")</f>
        <v/>
      </c>
      <c r="BA3180" s="21" t="str">
        <f>IF($AL3180="","",$AL3180&amp;"|"&amp;COUNTIF($AL$11:$AL3180,$AL3180))</f>
        <v/>
      </c>
    </row>
    <row r="3181" spans="38:53" ht="15" customHeight="1" x14ac:dyDescent="0.25">
      <c r="AL3181" s="17"/>
      <c r="AM3181" s="12"/>
      <c r="AN3181" s="18"/>
      <c r="AO3181" s="18"/>
      <c r="AP3181" s="10"/>
      <c r="AQ3181" s="10"/>
      <c r="AR3181" s="19"/>
      <c r="AS3181" s="20"/>
      <c r="AT3181" s="19"/>
      <c r="AV3181" s="21">
        <f>IF(AND($AL3181&lt;&gt;"",COUNTIF($AL$11:$AL3181,$AL3181)=1),1,0)</f>
        <v>0</v>
      </c>
      <c r="AW3181" s="21">
        <f t="shared" si="185"/>
        <v>0</v>
      </c>
      <c r="AX3181" s="21" t="str">
        <f t="shared" si="184"/>
        <v/>
      </c>
      <c r="AY3181" s="21" t="str">
        <f>IF(AND($AM3181&lt;&gt;"",$AS3181&lt;&gt;"✓"),SUMPRODUCT(($AM$11:$AM3181&lt;&gt;"")*($AS$11:$AS3181&lt;&gt;"✓")),"")</f>
        <v/>
      </c>
      <c r="AZ3181" s="21" t="str">
        <f>IF(AND($AM3181&lt;&gt;"",$AS3181="✓"),SUMPRODUCT(($AM$11:$AM3181&lt;&gt;"")*($AS$11:$AS3181="✓")),"")</f>
        <v/>
      </c>
      <c r="BA3181" s="21" t="str">
        <f>IF($AL3181="","",$AL3181&amp;"|"&amp;COUNTIF($AL$11:$AL3181,$AL3181))</f>
        <v/>
      </c>
    </row>
    <row r="3182" spans="38:53" ht="15" customHeight="1" x14ac:dyDescent="0.25">
      <c r="AL3182" s="31"/>
      <c r="AM3182" s="26"/>
      <c r="AN3182" s="32"/>
      <c r="AO3182" s="32"/>
      <c r="AP3182" s="24"/>
      <c r="AQ3182" s="24"/>
      <c r="AR3182" s="33"/>
      <c r="AS3182" s="34"/>
      <c r="AT3182" s="33"/>
      <c r="AV3182" s="21">
        <f>IF(AND($AL3182&lt;&gt;"",COUNTIF($AL$11:$AL3182,$AL3182)=1),1,0)</f>
        <v>0</v>
      </c>
      <c r="AW3182" s="21">
        <f t="shared" si="185"/>
        <v>0</v>
      </c>
      <c r="AX3182" s="21" t="str">
        <f t="shared" si="184"/>
        <v/>
      </c>
      <c r="AY3182" s="21" t="str">
        <f>IF(AND($AM3182&lt;&gt;"",$AS3182&lt;&gt;"✓"),SUMPRODUCT(($AM$11:$AM3182&lt;&gt;"")*($AS$11:$AS3182&lt;&gt;"✓")),"")</f>
        <v/>
      </c>
      <c r="AZ3182" s="21" t="str">
        <f>IF(AND($AM3182&lt;&gt;"",$AS3182="✓"),SUMPRODUCT(($AM$11:$AM3182&lt;&gt;"")*($AS$11:$AS3182="✓")),"")</f>
        <v/>
      </c>
      <c r="BA3182" s="21" t="str">
        <f>IF($AL3182="","",$AL3182&amp;"|"&amp;COUNTIF($AL$11:$AL3182,$AL3182))</f>
        <v/>
      </c>
    </row>
    <row r="3183" spans="38:53" ht="15" customHeight="1" x14ac:dyDescent="0.25">
      <c r="AL3183" s="17"/>
      <c r="AM3183" s="12"/>
      <c r="AN3183" s="18"/>
      <c r="AO3183" s="18"/>
      <c r="AP3183" s="10"/>
      <c r="AQ3183" s="10"/>
      <c r="AR3183" s="19"/>
      <c r="AS3183" s="20"/>
      <c r="AT3183" s="19"/>
      <c r="AV3183" s="21">
        <f>IF(AND($AL3183&lt;&gt;"",COUNTIF($AL$11:$AL3183,$AL3183)=1),1,0)</f>
        <v>0</v>
      </c>
      <c r="AW3183" s="21">
        <f t="shared" si="185"/>
        <v>0</v>
      </c>
      <c r="AX3183" s="21" t="str">
        <f t="shared" si="184"/>
        <v/>
      </c>
      <c r="AY3183" s="21" t="str">
        <f>IF(AND($AM3183&lt;&gt;"",$AS3183&lt;&gt;"✓"),SUMPRODUCT(($AM$11:$AM3183&lt;&gt;"")*($AS$11:$AS3183&lt;&gt;"✓")),"")</f>
        <v/>
      </c>
      <c r="AZ3183" s="21" t="str">
        <f>IF(AND($AM3183&lt;&gt;"",$AS3183="✓"),SUMPRODUCT(($AM$11:$AM3183&lt;&gt;"")*($AS$11:$AS3183="✓")),"")</f>
        <v/>
      </c>
      <c r="BA3183" s="21" t="str">
        <f>IF($AL3183="","",$AL3183&amp;"|"&amp;COUNTIF($AL$11:$AL3183,$AL3183))</f>
        <v/>
      </c>
    </row>
    <row r="3184" spans="38:53" ht="15" customHeight="1" x14ac:dyDescent="0.25">
      <c r="AL3184" s="31"/>
      <c r="AM3184" s="26"/>
      <c r="AN3184" s="32"/>
      <c r="AO3184" s="32"/>
      <c r="AP3184" s="24"/>
      <c r="AQ3184" s="24"/>
      <c r="AR3184" s="33"/>
      <c r="AS3184" s="34"/>
      <c r="AT3184" s="33"/>
      <c r="AV3184" s="21">
        <f>IF(AND($AL3184&lt;&gt;"",COUNTIF($AL$11:$AL3184,$AL3184)=1),1,0)</f>
        <v>0</v>
      </c>
      <c r="AW3184" s="21">
        <f t="shared" si="185"/>
        <v>0</v>
      </c>
      <c r="AX3184" s="21" t="str">
        <f t="shared" si="184"/>
        <v/>
      </c>
      <c r="AY3184" s="21" t="str">
        <f>IF(AND($AM3184&lt;&gt;"",$AS3184&lt;&gt;"✓"),SUMPRODUCT(($AM$11:$AM3184&lt;&gt;"")*($AS$11:$AS3184&lt;&gt;"✓")),"")</f>
        <v/>
      </c>
      <c r="AZ3184" s="21" t="str">
        <f>IF(AND($AM3184&lt;&gt;"",$AS3184="✓"),SUMPRODUCT(($AM$11:$AM3184&lt;&gt;"")*($AS$11:$AS3184="✓")),"")</f>
        <v/>
      </c>
      <c r="BA3184" s="21" t="str">
        <f>IF($AL3184="","",$AL3184&amp;"|"&amp;COUNTIF($AL$11:$AL3184,$AL3184))</f>
        <v/>
      </c>
    </row>
    <row r="3185" spans="38:53" ht="15" customHeight="1" x14ac:dyDescent="0.25">
      <c r="AL3185" s="17"/>
      <c r="AM3185" s="12"/>
      <c r="AN3185" s="18"/>
      <c r="AO3185" s="18"/>
      <c r="AP3185" s="10"/>
      <c r="AQ3185" s="10"/>
      <c r="AR3185" s="19"/>
      <c r="AS3185" s="20"/>
      <c r="AT3185" s="19"/>
      <c r="AV3185" s="21">
        <f>IF(AND($AL3185&lt;&gt;"",COUNTIF($AL$11:$AL3185,$AL3185)=1),1,0)</f>
        <v>0</v>
      </c>
      <c r="AW3185" s="21">
        <f t="shared" si="185"/>
        <v>0</v>
      </c>
      <c r="AX3185" s="21" t="str">
        <f t="shared" si="184"/>
        <v/>
      </c>
      <c r="AY3185" s="21" t="str">
        <f>IF(AND($AM3185&lt;&gt;"",$AS3185&lt;&gt;"✓"),SUMPRODUCT(($AM$11:$AM3185&lt;&gt;"")*($AS$11:$AS3185&lt;&gt;"✓")),"")</f>
        <v/>
      </c>
      <c r="AZ3185" s="21" t="str">
        <f>IF(AND($AM3185&lt;&gt;"",$AS3185="✓"),SUMPRODUCT(($AM$11:$AM3185&lt;&gt;"")*($AS$11:$AS3185="✓")),"")</f>
        <v/>
      </c>
      <c r="BA3185" s="21" t="str">
        <f>IF($AL3185="","",$AL3185&amp;"|"&amp;COUNTIF($AL$11:$AL3185,$AL3185))</f>
        <v/>
      </c>
    </row>
    <row r="3186" spans="38:53" ht="15" customHeight="1" x14ac:dyDescent="0.25">
      <c r="AL3186" s="31"/>
      <c r="AM3186" s="26"/>
      <c r="AN3186" s="32"/>
      <c r="AO3186" s="32"/>
      <c r="AP3186" s="24"/>
      <c r="AQ3186" s="24"/>
      <c r="AR3186" s="33"/>
      <c r="AS3186" s="34"/>
      <c r="AT3186" s="33"/>
      <c r="AV3186" s="21">
        <f>IF(AND($AL3186&lt;&gt;"",COUNTIF($AL$11:$AL3186,$AL3186)=1),1,0)</f>
        <v>0</v>
      </c>
      <c r="AW3186" s="21">
        <f t="shared" si="185"/>
        <v>0</v>
      </c>
      <c r="AX3186" s="21" t="str">
        <f t="shared" si="184"/>
        <v/>
      </c>
      <c r="AY3186" s="21" t="str">
        <f>IF(AND($AM3186&lt;&gt;"",$AS3186&lt;&gt;"✓"),SUMPRODUCT(($AM$11:$AM3186&lt;&gt;"")*($AS$11:$AS3186&lt;&gt;"✓")),"")</f>
        <v/>
      </c>
      <c r="AZ3186" s="21" t="str">
        <f>IF(AND($AM3186&lt;&gt;"",$AS3186="✓"),SUMPRODUCT(($AM$11:$AM3186&lt;&gt;"")*($AS$11:$AS3186="✓")),"")</f>
        <v/>
      </c>
      <c r="BA3186" s="21" t="str">
        <f>IF($AL3186="","",$AL3186&amp;"|"&amp;COUNTIF($AL$11:$AL3186,$AL3186))</f>
        <v/>
      </c>
    </row>
    <row r="3187" spans="38:53" ht="15" customHeight="1" x14ac:dyDescent="0.25">
      <c r="AL3187" s="17"/>
      <c r="AM3187" s="12"/>
      <c r="AN3187" s="18"/>
      <c r="AO3187" s="18"/>
      <c r="AP3187" s="10"/>
      <c r="AQ3187" s="10"/>
      <c r="AR3187" s="19"/>
      <c r="AS3187" s="20"/>
      <c r="AT3187" s="19"/>
      <c r="AV3187" s="21">
        <f>IF(AND($AL3187&lt;&gt;"",COUNTIF($AL$11:$AL3187,$AL3187)=1),1,0)</f>
        <v>0</v>
      </c>
      <c r="AW3187" s="21">
        <f t="shared" si="185"/>
        <v>0</v>
      </c>
      <c r="AX3187" s="21" t="str">
        <f t="shared" si="184"/>
        <v/>
      </c>
      <c r="AY3187" s="21" t="str">
        <f>IF(AND($AM3187&lt;&gt;"",$AS3187&lt;&gt;"✓"),SUMPRODUCT(($AM$11:$AM3187&lt;&gt;"")*($AS$11:$AS3187&lt;&gt;"✓")),"")</f>
        <v/>
      </c>
      <c r="AZ3187" s="21" t="str">
        <f>IF(AND($AM3187&lt;&gt;"",$AS3187="✓"),SUMPRODUCT(($AM$11:$AM3187&lt;&gt;"")*($AS$11:$AS3187="✓")),"")</f>
        <v/>
      </c>
      <c r="BA3187" s="21" t="str">
        <f>IF($AL3187="","",$AL3187&amp;"|"&amp;COUNTIF($AL$11:$AL3187,$AL3187))</f>
        <v/>
      </c>
    </row>
    <row r="3188" spans="38:53" ht="15" customHeight="1" x14ac:dyDescent="0.25">
      <c r="AL3188" s="31"/>
      <c r="AM3188" s="26"/>
      <c r="AN3188" s="32"/>
      <c r="AO3188" s="32"/>
      <c r="AP3188" s="24"/>
      <c r="AQ3188" s="24"/>
      <c r="AR3188" s="33"/>
      <c r="AS3188" s="34"/>
      <c r="AT3188" s="33"/>
      <c r="AV3188" s="21">
        <f>IF(AND($AL3188&lt;&gt;"",COUNTIF($AL$11:$AL3188,$AL3188)=1),1,0)</f>
        <v>0</v>
      </c>
      <c r="AW3188" s="21">
        <f t="shared" si="185"/>
        <v>0</v>
      </c>
      <c r="AX3188" s="21" t="str">
        <f t="shared" si="184"/>
        <v/>
      </c>
      <c r="AY3188" s="21" t="str">
        <f>IF(AND($AM3188&lt;&gt;"",$AS3188&lt;&gt;"✓"),SUMPRODUCT(($AM$11:$AM3188&lt;&gt;"")*($AS$11:$AS3188&lt;&gt;"✓")),"")</f>
        <v/>
      </c>
      <c r="AZ3188" s="21" t="str">
        <f>IF(AND($AM3188&lt;&gt;"",$AS3188="✓"),SUMPRODUCT(($AM$11:$AM3188&lt;&gt;"")*($AS$11:$AS3188="✓")),"")</f>
        <v/>
      </c>
      <c r="BA3188" s="21" t="str">
        <f>IF($AL3188="","",$AL3188&amp;"|"&amp;COUNTIF($AL$11:$AL3188,$AL3188))</f>
        <v/>
      </c>
    </row>
    <row r="3189" spans="38:53" ht="15" customHeight="1" x14ac:dyDescent="0.25">
      <c r="AL3189" s="17"/>
      <c r="AM3189" s="12"/>
      <c r="AN3189" s="18"/>
      <c r="AO3189" s="18"/>
      <c r="AP3189" s="10"/>
      <c r="AQ3189" s="10"/>
      <c r="AR3189" s="19"/>
      <c r="AS3189" s="20"/>
      <c r="AT3189" s="19"/>
      <c r="AV3189" s="21">
        <f>IF(AND($AL3189&lt;&gt;"",COUNTIF($AL$11:$AL3189,$AL3189)=1),1,0)</f>
        <v>0</v>
      </c>
      <c r="AW3189" s="21">
        <f t="shared" si="185"/>
        <v>0</v>
      </c>
      <c r="AX3189" s="21" t="str">
        <f t="shared" si="184"/>
        <v/>
      </c>
      <c r="AY3189" s="21" t="str">
        <f>IF(AND($AM3189&lt;&gt;"",$AS3189&lt;&gt;"✓"),SUMPRODUCT(($AM$11:$AM3189&lt;&gt;"")*($AS$11:$AS3189&lt;&gt;"✓")),"")</f>
        <v/>
      </c>
      <c r="AZ3189" s="21" t="str">
        <f>IF(AND($AM3189&lt;&gt;"",$AS3189="✓"),SUMPRODUCT(($AM$11:$AM3189&lt;&gt;"")*($AS$11:$AS3189="✓")),"")</f>
        <v/>
      </c>
      <c r="BA3189" s="21" t="str">
        <f>IF($AL3189="","",$AL3189&amp;"|"&amp;COUNTIF($AL$11:$AL3189,$AL3189))</f>
        <v/>
      </c>
    </row>
    <row r="3190" spans="38:53" ht="15" customHeight="1" x14ac:dyDescent="0.25">
      <c r="AL3190" s="31"/>
      <c r="AM3190" s="26"/>
      <c r="AN3190" s="32"/>
      <c r="AO3190" s="32"/>
      <c r="AP3190" s="24"/>
      <c r="AQ3190" s="24"/>
      <c r="AR3190" s="33"/>
      <c r="AS3190" s="34"/>
      <c r="AT3190" s="33"/>
      <c r="AV3190" s="21">
        <f>IF(AND($AL3190&lt;&gt;"",COUNTIF($AL$11:$AL3190,$AL3190)=1),1,0)</f>
        <v>0</v>
      </c>
      <c r="AW3190" s="21">
        <f t="shared" si="185"/>
        <v>0</v>
      </c>
      <c r="AX3190" s="21" t="str">
        <f t="shared" si="184"/>
        <v/>
      </c>
      <c r="AY3190" s="21" t="str">
        <f>IF(AND($AM3190&lt;&gt;"",$AS3190&lt;&gt;"✓"),SUMPRODUCT(($AM$11:$AM3190&lt;&gt;"")*($AS$11:$AS3190&lt;&gt;"✓")),"")</f>
        <v/>
      </c>
      <c r="AZ3190" s="21" t="str">
        <f>IF(AND($AM3190&lt;&gt;"",$AS3190="✓"),SUMPRODUCT(($AM$11:$AM3190&lt;&gt;"")*($AS$11:$AS3190="✓")),"")</f>
        <v/>
      </c>
      <c r="BA3190" s="21" t="str">
        <f>IF($AL3190="","",$AL3190&amp;"|"&amp;COUNTIF($AL$11:$AL3190,$AL3190))</f>
        <v/>
      </c>
    </row>
    <row r="3191" spans="38:53" ht="15" customHeight="1" x14ac:dyDescent="0.25">
      <c r="AL3191" s="17"/>
      <c r="AM3191" s="12"/>
      <c r="AN3191" s="18"/>
      <c r="AO3191" s="18"/>
      <c r="AP3191" s="10"/>
      <c r="AQ3191" s="10"/>
      <c r="AR3191" s="19"/>
      <c r="AS3191" s="20"/>
      <c r="AT3191" s="19"/>
      <c r="AV3191" s="21">
        <f>IF(AND($AL3191&lt;&gt;"",COUNTIF($AL$11:$AL3191,$AL3191)=1),1,0)</f>
        <v>0</v>
      </c>
      <c r="AW3191" s="21">
        <f t="shared" si="185"/>
        <v>0</v>
      </c>
      <c r="AX3191" s="21" t="str">
        <f t="shared" si="184"/>
        <v/>
      </c>
      <c r="AY3191" s="21" t="str">
        <f>IF(AND($AM3191&lt;&gt;"",$AS3191&lt;&gt;"✓"),SUMPRODUCT(($AM$11:$AM3191&lt;&gt;"")*($AS$11:$AS3191&lt;&gt;"✓")),"")</f>
        <v/>
      </c>
      <c r="AZ3191" s="21" t="str">
        <f>IF(AND($AM3191&lt;&gt;"",$AS3191="✓"),SUMPRODUCT(($AM$11:$AM3191&lt;&gt;"")*($AS$11:$AS3191="✓")),"")</f>
        <v/>
      </c>
      <c r="BA3191" s="21" t="str">
        <f>IF($AL3191="","",$AL3191&amp;"|"&amp;COUNTIF($AL$11:$AL3191,$AL3191))</f>
        <v/>
      </c>
    </row>
    <row r="3192" spans="38:53" ht="15" customHeight="1" x14ac:dyDescent="0.25">
      <c r="AL3192" s="31"/>
      <c r="AM3192" s="26"/>
      <c r="AN3192" s="32"/>
      <c r="AO3192" s="32"/>
      <c r="AP3192" s="24"/>
      <c r="AQ3192" s="24"/>
      <c r="AR3192" s="33"/>
      <c r="AS3192" s="34"/>
      <c r="AT3192" s="33"/>
      <c r="AV3192" s="21">
        <f>IF(AND($AL3192&lt;&gt;"",COUNTIF($AL$11:$AL3192,$AL3192)=1),1,0)</f>
        <v>0</v>
      </c>
      <c r="AW3192" s="21">
        <f t="shared" si="185"/>
        <v>0</v>
      </c>
      <c r="AX3192" s="21" t="str">
        <f t="shared" si="184"/>
        <v/>
      </c>
      <c r="AY3192" s="21" t="str">
        <f>IF(AND($AM3192&lt;&gt;"",$AS3192&lt;&gt;"✓"),SUMPRODUCT(($AM$11:$AM3192&lt;&gt;"")*($AS$11:$AS3192&lt;&gt;"✓")),"")</f>
        <v/>
      </c>
      <c r="AZ3192" s="21" t="str">
        <f>IF(AND($AM3192&lt;&gt;"",$AS3192="✓"),SUMPRODUCT(($AM$11:$AM3192&lt;&gt;"")*($AS$11:$AS3192="✓")),"")</f>
        <v/>
      </c>
      <c r="BA3192" s="21" t="str">
        <f>IF($AL3192="","",$AL3192&amp;"|"&amp;COUNTIF($AL$11:$AL3192,$AL3192))</f>
        <v/>
      </c>
    </row>
    <row r="3193" spans="38:53" ht="15" customHeight="1" x14ac:dyDescent="0.25">
      <c r="AL3193" s="17"/>
      <c r="AM3193" s="12"/>
      <c r="AN3193" s="18"/>
      <c r="AO3193" s="18"/>
      <c r="AP3193" s="10"/>
      <c r="AQ3193" s="10"/>
      <c r="AR3193" s="19"/>
      <c r="AS3193" s="20"/>
      <c r="AT3193" s="19"/>
      <c r="AV3193" s="21">
        <f>IF(AND($AL3193&lt;&gt;"",COUNTIF($AL$11:$AL3193,$AL3193)=1),1,0)</f>
        <v>0</v>
      </c>
      <c r="AW3193" s="21">
        <f t="shared" si="185"/>
        <v>0</v>
      </c>
      <c r="AX3193" s="21" t="str">
        <f t="shared" si="184"/>
        <v/>
      </c>
      <c r="AY3193" s="21" t="str">
        <f>IF(AND($AM3193&lt;&gt;"",$AS3193&lt;&gt;"✓"),SUMPRODUCT(($AM$11:$AM3193&lt;&gt;"")*($AS$11:$AS3193&lt;&gt;"✓")),"")</f>
        <v/>
      </c>
      <c r="AZ3193" s="21" t="str">
        <f>IF(AND($AM3193&lt;&gt;"",$AS3193="✓"),SUMPRODUCT(($AM$11:$AM3193&lt;&gt;"")*($AS$11:$AS3193="✓")),"")</f>
        <v/>
      </c>
      <c r="BA3193" s="21" t="str">
        <f>IF($AL3193="","",$AL3193&amp;"|"&amp;COUNTIF($AL$11:$AL3193,$AL3193))</f>
        <v/>
      </c>
    </row>
    <row r="3194" spans="38:53" ht="15" customHeight="1" x14ac:dyDescent="0.25">
      <c r="AL3194" s="31"/>
      <c r="AM3194" s="26"/>
      <c r="AN3194" s="32"/>
      <c r="AO3194" s="32"/>
      <c r="AP3194" s="24"/>
      <c r="AQ3194" s="24"/>
      <c r="AR3194" s="33"/>
      <c r="AS3194" s="34"/>
      <c r="AT3194" s="33"/>
      <c r="AV3194" s="21">
        <f>IF(AND($AL3194&lt;&gt;"",COUNTIF($AL$11:$AL3194,$AL3194)=1),1,0)</f>
        <v>0</v>
      </c>
      <c r="AW3194" s="21">
        <f t="shared" si="185"/>
        <v>0</v>
      </c>
      <c r="AX3194" s="21" t="str">
        <f t="shared" si="184"/>
        <v/>
      </c>
      <c r="AY3194" s="21" t="str">
        <f>IF(AND($AM3194&lt;&gt;"",$AS3194&lt;&gt;"✓"),SUMPRODUCT(($AM$11:$AM3194&lt;&gt;"")*($AS$11:$AS3194&lt;&gt;"✓")),"")</f>
        <v/>
      </c>
      <c r="AZ3194" s="21" t="str">
        <f>IF(AND($AM3194&lt;&gt;"",$AS3194="✓"),SUMPRODUCT(($AM$11:$AM3194&lt;&gt;"")*($AS$11:$AS3194="✓")),"")</f>
        <v/>
      </c>
      <c r="BA3194" s="21" t="str">
        <f>IF($AL3194="","",$AL3194&amp;"|"&amp;COUNTIF($AL$11:$AL3194,$AL3194))</f>
        <v/>
      </c>
    </row>
    <row r="3195" spans="38:53" ht="15" customHeight="1" x14ac:dyDescent="0.25">
      <c r="AL3195" s="17"/>
      <c r="AM3195" s="12"/>
      <c r="AN3195" s="18"/>
      <c r="AO3195" s="18"/>
      <c r="AP3195" s="10"/>
      <c r="AQ3195" s="10"/>
      <c r="AR3195" s="19"/>
      <c r="AS3195" s="20"/>
      <c r="AT3195" s="19"/>
      <c r="AV3195" s="21">
        <f>IF(AND($AL3195&lt;&gt;"",COUNTIF($AL$11:$AL3195,$AL3195)=1),1,0)</f>
        <v>0</v>
      </c>
      <c r="AW3195" s="21">
        <f t="shared" si="185"/>
        <v>0</v>
      </c>
      <c r="AX3195" s="21" t="str">
        <f t="shared" si="184"/>
        <v/>
      </c>
      <c r="AY3195" s="21" t="str">
        <f>IF(AND($AM3195&lt;&gt;"",$AS3195&lt;&gt;"✓"),SUMPRODUCT(($AM$11:$AM3195&lt;&gt;"")*($AS$11:$AS3195&lt;&gt;"✓")),"")</f>
        <v/>
      </c>
      <c r="AZ3195" s="21" t="str">
        <f>IF(AND($AM3195&lt;&gt;"",$AS3195="✓"),SUMPRODUCT(($AM$11:$AM3195&lt;&gt;"")*($AS$11:$AS3195="✓")),"")</f>
        <v/>
      </c>
      <c r="BA3195" s="21" t="str">
        <f>IF($AL3195="","",$AL3195&amp;"|"&amp;COUNTIF($AL$11:$AL3195,$AL3195))</f>
        <v/>
      </c>
    </row>
    <row r="3196" spans="38:53" ht="15" customHeight="1" x14ac:dyDescent="0.25">
      <c r="AL3196" s="31"/>
      <c r="AM3196" s="26"/>
      <c r="AN3196" s="32"/>
      <c r="AO3196" s="32"/>
      <c r="AP3196" s="24"/>
      <c r="AQ3196" s="24"/>
      <c r="AR3196" s="33"/>
      <c r="AS3196" s="34"/>
      <c r="AT3196" s="33"/>
      <c r="AV3196" s="21">
        <f>IF(AND($AL3196&lt;&gt;"",COUNTIF($AL$11:$AL3196,$AL3196)=1),1,0)</f>
        <v>0</v>
      </c>
      <c r="AW3196" s="21">
        <f t="shared" si="185"/>
        <v>0</v>
      </c>
      <c r="AX3196" s="21" t="str">
        <f t="shared" si="184"/>
        <v/>
      </c>
      <c r="AY3196" s="21" t="str">
        <f>IF(AND($AM3196&lt;&gt;"",$AS3196&lt;&gt;"✓"),SUMPRODUCT(($AM$11:$AM3196&lt;&gt;"")*($AS$11:$AS3196&lt;&gt;"✓")),"")</f>
        <v/>
      </c>
      <c r="AZ3196" s="21" t="str">
        <f>IF(AND($AM3196&lt;&gt;"",$AS3196="✓"),SUMPRODUCT(($AM$11:$AM3196&lt;&gt;"")*($AS$11:$AS3196="✓")),"")</f>
        <v/>
      </c>
      <c r="BA3196" s="21" t="str">
        <f>IF($AL3196="","",$AL3196&amp;"|"&amp;COUNTIF($AL$11:$AL3196,$AL3196))</f>
        <v/>
      </c>
    </row>
    <row r="3197" spans="38:53" ht="15" customHeight="1" x14ac:dyDescent="0.25">
      <c r="AL3197" s="17"/>
      <c r="AM3197" s="12"/>
      <c r="AN3197" s="18"/>
      <c r="AO3197" s="18"/>
      <c r="AP3197" s="10"/>
      <c r="AQ3197" s="10"/>
      <c r="AR3197" s="19"/>
      <c r="AS3197" s="20"/>
      <c r="AT3197" s="19"/>
      <c r="AV3197" s="21">
        <f>IF(AND($AL3197&lt;&gt;"",COUNTIF($AL$11:$AL3197,$AL3197)=1),1,0)</f>
        <v>0</v>
      </c>
      <c r="AW3197" s="21">
        <f t="shared" si="185"/>
        <v>0</v>
      </c>
      <c r="AX3197" s="21" t="str">
        <f t="shared" si="184"/>
        <v/>
      </c>
      <c r="AY3197" s="21" t="str">
        <f>IF(AND($AM3197&lt;&gt;"",$AS3197&lt;&gt;"✓"),SUMPRODUCT(($AM$11:$AM3197&lt;&gt;"")*($AS$11:$AS3197&lt;&gt;"✓")),"")</f>
        <v/>
      </c>
      <c r="AZ3197" s="21" t="str">
        <f>IF(AND($AM3197&lt;&gt;"",$AS3197="✓"),SUMPRODUCT(($AM$11:$AM3197&lt;&gt;"")*($AS$11:$AS3197="✓")),"")</f>
        <v/>
      </c>
      <c r="BA3197" s="21" t="str">
        <f>IF($AL3197="","",$AL3197&amp;"|"&amp;COUNTIF($AL$11:$AL3197,$AL3197))</f>
        <v/>
      </c>
    </row>
    <row r="3198" spans="38:53" ht="15" customHeight="1" x14ac:dyDescent="0.25">
      <c r="AL3198" s="31"/>
      <c r="AM3198" s="26"/>
      <c r="AN3198" s="32"/>
      <c r="AO3198" s="32"/>
      <c r="AP3198" s="24"/>
      <c r="AQ3198" s="24"/>
      <c r="AR3198" s="33"/>
      <c r="AS3198" s="34"/>
      <c r="AT3198" s="33"/>
      <c r="AV3198" s="21">
        <f>IF(AND($AL3198&lt;&gt;"",COUNTIF($AL$11:$AL3198,$AL3198)=1),1,0)</f>
        <v>0</v>
      </c>
      <c r="AW3198" s="21">
        <f t="shared" si="185"/>
        <v>0</v>
      </c>
      <c r="AX3198" s="21" t="str">
        <f t="shared" si="184"/>
        <v/>
      </c>
      <c r="AY3198" s="21" t="str">
        <f>IF(AND($AM3198&lt;&gt;"",$AS3198&lt;&gt;"✓"),SUMPRODUCT(($AM$11:$AM3198&lt;&gt;"")*($AS$11:$AS3198&lt;&gt;"✓")),"")</f>
        <v/>
      </c>
      <c r="AZ3198" s="21" t="str">
        <f>IF(AND($AM3198&lt;&gt;"",$AS3198="✓"),SUMPRODUCT(($AM$11:$AM3198&lt;&gt;"")*($AS$11:$AS3198="✓")),"")</f>
        <v/>
      </c>
      <c r="BA3198" s="21" t="str">
        <f>IF($AL3198="","",$AL3198&amp;"|"&amp;COUNTIF($AL$11:$AL3198,$AL3198))</f>
        <v/>
      </c>
    </row>
    <row r="3199" spans="38:53" ht="15" customHeight="1" x14ac:dyDescent="0.25">
      <c r="AL3199" s="17"/>
      <c r="AM3199" s="12"/>
      <c r="AN3199" s="18"/>
      <c r="AO3199" s="18"/>
      <c r="AP3199" s="10"/>
      <c r="AQ3199" s="10"/>
      <c r="AR3199" s="19"/>
      <c r="AS3199" s="20"/>
      <c r="AT3199" s="19"/>
      <c r="AV3199" s="21">
        <f>IF(AND($AL3199&lt;&gt;"",COUNTIF($AL$11:$AL3199,$AL3199)=1),1,0)</f>
        <v>0</v>
      </c>
      <c r="AW3199" s="21">
        <f t="shared" si="185"/>
        <v>0</v>
      </c>
      <c r="AX3199" s="21" t="str">
        <f t="shared" si="184"/>
        <v/>
      </c>
      <c r="AY3199" s="21" t="str">
        <f>IF(AND($AM3199&lt;&gt;"",$AS3199&lt;&gt;"✓"),SUMPRODUCT(($AM$11:$AM3199&lt;&gt;"")*($AS$11:$AS3199&lt;&gt;"✓")),"")</f>
        <v/>
      </c>
      <c r="AZ3199" s="21" t="str">
        <f>IF(AND($AM3199&lt;&gt;"",$AS3199="✓"),SUMPRODUCT(($AM$11:$AM3199&lt;&gt;"")*($AS$11:$AS3199="✓")),"")</f>
        <v/>
      </c>
      <c r="BA3199" s="21" t="str">
        <f>IF($AL3199="","",$AL3199&amp;"|"&amp;COUNTIF($AL$11:$AL3199,$AL3199))</f>
        <v/>
      </c>
    </row>
    <row r="3200" spans="38:53" ht="15" customHeight="1" x14ac:dyDescent="0.25">
      <c r="AL3200" s="31"/>
      <c r="AM3200" s="26"/>
      <c r="AN3200" s="32"/>
      <c r="AO3200" s="32"/>
      <c r="AP3200" s="24"/>
      <c r="AQ3200" s="24"/>
      <c r="AR3200" s="33"/>
      <c r="AS3200" s="34"/>
      <c r="AT3200" s="33"/>
      <c r="AV3200" s="21">
        <f>IF(AND($AL3200&lt;&gt;"",COUNTIF($AL$11:$AL3200,$AL3200)=1),1,0)</f>
        <v>0</v>
      </c>
      <c r="AW3200" s="21">
        <f t="shared" si="185"/>
        <v>0</v>
      </c>
      <c r="AX3200" s="21" t="str">
        <f t="shared" si="184"/>
        <v/>
      </c>
      <c r="AY3200" s="21" t="str">
        <f>IF(AND($AM3200&lt;&gt;"",$AS3200&lt;&gt;"✓"),SUMPRODUCT(($AM$11:$AM3200&lt;&gt;"")*($AS$11:$AS3200&lt;&gt;"✓")),"")</f>
        <v/>
      </c>
      <c r="AZ3200" s="21" t="str">
        <f>IF(AND($AM3200&lt;&gt;"",$AS3200="✓"),SUMPRODUCT(($AM$11:$AM3200&lt;&gt;"")*($AS$11:$AS3200="✓")),"")</f>
        <v/>
      </c>
      <c r="BA3200" s="21" t="str">
        <f>IF($AL3200="","",$AL3200&amp;"|"&amp;COUNTIF($AL$11:$AL3200,$AL3200))</f>
        <v/>
      </c>
    </row>
    <row r="3201" spans="38:53" ht="15" customHeight="1" x14ac:dyDescent="0.25">
      <c r="AL3201" s="17"/>
      <c r="AM3201" s="12"/>
      <c r="AN3201" s="18"/>
      <c r="AO3201" s="18"/>
      <c r="AP3201" s="10"/>
      <c r="AQ3201" s="10"/>
      <c r="AR3201" s="19"/>
      <c r="AS3201" s="20"/>
      <c r="AT3201" s="19"/>
      <c r="AV3201" s="21">
        <f>IF(AND($AL3201&lt;&gt;"",COUNTIF($AL$11:$AL3201,$AL3201)=1),1,0)</f>
        <v>0</v>
      </c>
      <c r="AW3201" s="21">
        <f t="shared" si="185"/>
        <v>0</v>
      </c>
      <c r="AX3201" s="21" t="str">
        <f t="shared" si="184"/>
        <v/>
      </c>
      <c r="AY3201" s="21" t="str">
        <f>IF(AND($AM3201&lt;&gt;"",$AS3201&lt;&gt;"✓"),SUMPRODUCT(($AM$11:$AM3201&lt;&gt;"")*($AS$11:$AS3201&lt;&gt;"✓")),"")</f>
        <v/>
      </c>
      <c r="AZ3201" s="21" t="str">
        <f>IF(AND($AM3201&lt;&gt;"",$AS3201="✓"),SUMPRODUCT(($AM$11:$AM3201&lt;&gt;"")*($AS$11:$AS3201="✓")),"")</f>
        <v/>
      </c>
      <c r="BA3201" s="21" t="str">
        <f>IF($AL3201="","",$AL3201&amp;"|"&amp;COUNTIF($AL$11:$AL3201,$AL3201))</f>
        <v/>
      </c>
    </row>
    <row r="3202" spans="38:53" ht="15" customHeight="1" x14ac:dyDescent="0.25">
      <c r="AL3202" s="31"/>
      <c r="AM3202" s="26"/>
      <c r="AN3202" s="32"/>
      <c r="AO3202" s="32"/>
      <c r="AP3202" s="24"/>
      <c r="AQ3202" s="24"/>
      <c r="AR3202" s="33"/>
      <c r="AS3202" s="34"/>
      <c r="AT3202" s="33"/>
      <c r="AV3202" s="21">
        <f>IF(AND($AL3202&lt;&gt;"",COUNTIF($AL$11:$AL3202,$AL3202)=1),1,0)</f>
        <v>0</v>
      </c>
      <c r="AW3202" s="21">
        <f t="shared" si="185"/>
        <v>0</v>
      </c>
      <c r="AX3202" s="21" t="str">
        <f t="shared" si="184"/>
        <v/>
      </c>
      <c r="AY3202" s="21" t="str">
        <f>IF(AND($AM3202&lt;&gt;"",$AS3202&lt;&gt;"✓"),SUMPRODUCT(($AM$11:$AM3202&lt;&gt;"")*($AS$11:$AS3202&lt;&gt;"✓")),"")</f>
        <v/>
      </c>
      <c r="AZ3202" s="21" t="str">
        <f>IF(AND($AM3202&lt;&gt;"",$AS3202="✓"),SUMPRODUCT(($AM$11:$AM3202&lt;&gt;"")*($AS$11:$AS3202="✓")),"")</f>
        <v/>
      </c>
      <c r="BA3202" s="21" t="str">
        <f>IF($AL3202="","",$AL3202&amp;"|"&amp;COUNTIF($AL$11:$AL3202,$AL3202))</f>
        <v/>
      </c>
    </row>
    <row r="3203" spans="38:53" ht="15" customHeight="1" x14ac:dyDescent="0.25">
      <c r="AL3203" s="17"/>
      <c r="AM3203" s="12"/>
      <c r="AN3203" s="18"/>
      <c r="AO3203" s="18"/>
      <c r="AP3203" s="10"/>
      <c r="AQ3203" s="10"/>
      <c r="AR3203" s="19"/>
      <c r="AS3203" s="20"/>
      <c r="AT3203" s="19"/>
      <c r="AV3203" s="21">
        <f>IF(AND($AL3203&lt;&gt;"",COUNTIF($AL$11:$AL3203,$AL3203)=1),1,0)</f>
        <v>0</v>
      </c>
      <c r="AW3203" s="21">
        <f t="shared" si="185"/>
        <v>0</v>
      </c>
      <c r="AX3203" s="21" t="str">
        <f t="shared" si="184"/>
        <v/>
      </c>
      <c r="AY3203" s="21" t="str">
        <f>IF(AND($AM3203&lt;&gt;"",$AS3203&lt;&gt;"✓"),SUMPRODUCT(($AM$11:$AM3203&lt;&gt;"")*($AS$11:$AS3203&lt;&gt;"✓")),"")</f>
        <v/>
      </c>
      <c r="AZ3203" s="21" t="str">
        <f>IF(AND($AM3203&lt;&gt;"",$AS3203="✓"),SUMPRODUCT(($AM$11:$AM3203&lt;&gt;"")*($AS$11:$AS3203="✓")),"")</f>
        <v/>
      </c>
      <c r="BA3203" s="21" t="str">
        <f>IF($AL3203="","",$AL3203&amp;"|"&amp;COUNTIF($AL$11:$AL3203,$AL3203))</f>
        <v/>
      </c>
    </row>
    <row r="3204" spans="38:53" ht="15" customHeight="1" x14ac:dyDescent="0.25">
      <c r="AL3204" s="31"/>
      <c r="AM3204" s="26"/>
      <c r="AN3204" s="32"/>
      <c r="AO3204" s="32"/>
      <c r="AP3204" s="24"/>
      <c r="AQ3204" s="24"/>
      <c r="AR3204" s="33"/>
      <c r="AS3204" s="34"/>
      <c r="AT3204" s="33"/>
      <c r="AV3204" s="21">
        <f>IF(AND($AL3204&lt;&gt;"",COUNTIF($AL$11:$AL3204,$AL3204)=1),1,0)</f>
        <v>0</v>
      </c>
      <c r="AW3204" s="21">
        <f t="shared" si="185"/>
        <v>0</v>
      </c>
      <c r="AX3204" s="21" t="str">
        <f t="shared" si="184"/>
        <v/>
      </c>
      <c r="AY3204" s="21" t="str">
        <f>IF(AND($AM3204&lt;&gt;"",$AS3204&lt;&gt;"✓"),SUMPRODUCT(($AM$11:$AM3204&lt;&gt;"")*($AS$11:$AS3204&lt;&gt;"✓")),"")</f>
        <v/>
      </c>
      <c r="AZ3204" s="21" t="str">
        <f>IF(AND($AM3204&lt;&gt;"",$AS3204="✓"),SUMPRODUCT(($AM$11:$AM3204&lt;&gt;"")*($AS$11:$AS3204="✓")),"")</f>
        <v/>
      </c>
      <c r="BA3204" s="21" t="str">
        <f>IF($AL3204="","",$AL3204&amp;"|"&amp;COUNTIF($AL$11:$AL3204,$AL3204))</f>
        <v/>
      </c>
    </row>
    <row r="3205" spans="38:53" ht="15" customHeight="1" x14ac:dyDescent="0.25">
      <c r="AL3205" s="17"/>
      <c r="AM3205" s="12"/>
      <c r="AN3205" s="18"/>
      <c r="AO3205" s="18"/>
      <c r="AP3205" s="10"/>
      <c r="AQ3205" s="10"/>
      <c r="AR3205" s="19"/>
      <c r="AS3205" s="20"/>
      <c r="AT3205" s="19"/>
      <c r="AV3205" s="21">
        <f>IF(AND($AL3205&lt;&gt;"",COUNTIF($AL$11:$AL3205,$AL3205)=1),1,0)</f>
        <v>0</v>
      </c>
      <c r="AW3205" s="21">
        <f t="shared" si="185"/>
        <v>0</v>
      </c>
      <c r="AX3205" s="21" t="str">
        <f t="shared" si="184"/>
        <v/>
      </c>
      <c r="AY3205" s="21" t="str">
        <f>IF(AND($AM3205&lt;&gt;"",$AS3205&lt;&gt;"✓"),SUMPRODUCT(($AM$11:$AM3205&lt;&gt;"")*($AS$11:$AS3205&lt;&gt;"✓")),"")</f>
        <v/>
      </c>
      <c r="AZ3205" s="21" t="str">
        <f>IF(AND($AM3205&lt;&gt;"",$AS3205="✓"),SUMPRODUCT(($AM$11:$AM3205&lt;&gt;"")*($AS$11:$AS3205="✓")),"")</f>
        <v/>
      </c>
      <c r="BA3205" s="21" t="str">
        <f>IF($AL3205="","",$AL3205&amp;"|"&amp;COUNTIF($AL$11:$AL3205,$AL3205))</f>
        <v/>
      </c>
    </row>
    <row r="3206" spans="38:53" ht="15" customHeight="1" x14ac:dyDescent="0.25">
      <c r="AL3206" s="31"/>
      <c r="AM3206" s="26"/>
      <c r="AN3206" s="32"/>
      <c r="AO3206" s="32"/>
      <c r="AP3206" s="24"/>
      <c r="AQ3206" s="24"/>
      <c r="AR3206" s="33"/>
      <c r="AS3206" s="34"/>
      <c r="AT3206" s="33"/>
      <c r="AV3206" s="21">
        <f>IF(AND($AL3206&lt;&gt;"",COUNTIF($AL$11:$AL3206,$AL3206)=1),1,0)</f>
        <v>0</v>
      </c>
      <c r="AW3206" s="21">
        <f t="shared" si="185"/>
        <v>0</v>
      </c>
      <c r="AX3206" s="21" t="str">
        <f t="shared" si="184"/>
        <v/>
      </c>
      <c r="AY3206" s="21" t="str">
        <f>IF(AND($AM3206&lt;&gt;"",$AS3206&lt;&gt;"✓"),SUMPRODUCT(($AM$11:$AM3206&lt;&gt;"")*($AS$11:$AS3206&lt;&gt;"✓")),"")</f>
        <v/>
      </c>
      <c r="AZ3206" s="21" t="str">
        <f>IF(AND($AM3206&lt;&gt;"",$AS3206="✓"),SUMPRODUCT(($AM$11:$AM3206&lt;&gt;"")*($AS$11:$AS3206="✓")),"")</f>
        <v/>
      </c>
      <c r="BA3206" s="21" t="str">
        <f>IF($AL3206="","",$AL3206&amp;"|"&amp;COUNTIF($AL$11:$AL3206,$AL3206))</f>
        <v/>
      </c>
    </row>
    <row r="3207" spans="38:53" ht="15" customHeight="1" x14ac:dyDescent="0.25">
      <c r="AL3207" s="17"/>
      <c r="AM3207" s="12"/>
      <c r="AN3207" s="18"/>
      <c r="AO3207" s="18"/>
      <c r="AP3207" s="10"/>
      <c r="AQ3207" s="10"/>
      <c r="AR3207" s="19"/>
      <c r="AS3207" s="20"/>
      <c r="AT3207" s="19"/>
      <c r="AV3207" s="21">
        <f>IF(AND($AL3207&lt;&gt;"",COUNTIF($AL$11:$AL3207,$AL3207)=1),1,0)</f>
        <v>0</v>
      </c>
      <c r="AW3207" s="21">
        <f t="shared" si="185"/>
        <v>0</v>
      </c>
      <c r="AX3207" s="21" t="str">
        <f t="shared" si="184"/>
        <v/>
      </c>
      <c r="AY3207" s="21" t="str">
        <f>IF(AND($AM3207&lt;&gt;"",$AS3207&lt;&gt;"✓"),SUMPRODUCT(($AM$11:$AM3207&lt;&gt;"")*($AS$11:$AS3207&lt;&gt;"✓")),"")</f>
        <v/>
      </c>
      <c r="AZ3207" s="21" t="str">
        <f>IF(AND($AM3207&lt;&gt;"",$AS3207="✓"),SUMPRODUCT(($AM$11:$AM3207&lt;&gt;"")*($AS$11:$AS3207="✓")),"")</f>
        <v/>
      </c>
      <c r="BA3207" s="21" t="str">
        <f>IF($AL3207="","",$AL3207&amp;"|"&amp;COUNTIF($AL$11:$AL3207,$AL3207))</f>
        <v/>
      </c>
    </row>
    <row r="3208" spans="38:53" ht="15" customHeight="1" x14ac:dyDescent="0.25">
      <c r="AL3208" s="31"/>
      <c r="AM3208" s="26"/>
      <c r="AN3208" s="32"/>
      <c r="AO3208" s="32"/>
      <c r="AP3208" s="24"/>
      <c r="AQ3208" s="24"/>
      <c r="AR3208" s="33"/>
      <c r="AS3208" s="34"/>
      <c r="AT3208" s="33"/>
      <c r="AV3208" s="21">
        <f>IF(AND($AL3208&lt;&gt;"",COUNTIF($AL$11:$AL3208,$AL3208)=1),1,0)</f>
        <v>0</v>
      </c>
      <c r="AW3208" s="21">
        <f t="shared" si="185"/>
        <v>0</v>
      </c>
      <c r="AX3208" s="21" t="str">
        <f t="shared" si="184"/>
        <v/>
      </c>
      <c r="AY3208" s="21" t="str">
        <f>IF(AND($AM3208&lt;&gt;"",$AS3208&lt;&gt;"✓"),SUMPRODUCT(($AM$11:$AM3208&lt;&gt;"")*($AS$11:$AS3208&lt;&gt;"✓")),"")</f>
        <v/>
      </c>
      <c r="AZ3208" s="21" t="str">
        <f>IF(AND($AM3208&lt;&gt;"",$AS3208="✓"),SUMPRODUCT(($AM$11:$AM3208&lt;&gt;"")*($AS$11:$AS3208="✓")),"")</f>
        <v/>
      </c>
      <c r="BA3208" s="21" t="str">
        <f>IF($AL3208="","",$AL3208&amp;"|"&amp;COUNTIF($AL$11:$AL3208,$AL3208))</f>
        <v/>
      </c>
    </row>
    <row r="3209" spans="38:53" ht="15" customHeight="1" x14ac:dyDescent="0.25">
      <c r="AL3209" s="17"/>
      <c r="AM3209" s="12"/>
      <c r="AN3209" s="18"/>
      <c r="AO3209" s="18"/>
      <c r="AP3209" s="10"/>
      <c r="AQ3209" s="10"/>
      <c r="AR3209" s="19"/>
      <c r="AS3209" s="20"/>
      <c r="AT3209" s="19"/>
      <c r="AV3209" s="21">
        <f>IF(AND($AL3209&lt;&gt;"",COUNTIF($AL$11:$AL3209,$AL3209)=1),1,0)</f>
        <v>0</v>
      </c>
      <c r="AW3209" s="21">
        <f t="shared" si="185"/>
        <v>0</v>
      </c>
      <c r="AX3209" s="21" t="str">
        <f t="shared" si="184"/>
        <v/>
      </c>
      <c r="AY3209" s="21" t="str">
        <f>IF(AND($AM3209&lt;&gt;"",$AS3209&lt;&gt;"✓"),SUMPRODUCT(($AM$11:$AM3209&lt;&gt;"")*($AS$11:$AS3209&lt;&gt;"✓")),"")</f>
        <v/>
      </c>
      <c r="AZ3209" s="21" t="str">
        <f>IF(AND($AM3209&lt;&gt;"",$AS3209="✓"),SUMPRODUCT(($AM$11:$AM3209&lt;&gt;"")*($AS$11:$AS3209="✓")),"")</f>
        <v/>
      </c>
      <c r="BA3209" s="21" t="str">
        <f>IF($AL3209="","",$AL3209&amp;"|"&amp;COUNTIF($AL$11:$AL3209,$AL3209))</f>
        <v/>
      </c>
    </row>
    <row r="3210" spans="38:53" ht="15" customHeight="1" x14ac:dyDescent="0.25">
      <c r="AL3210" s="31"/>
      <c r="AM3210" s="26"/>
      <c r="AN3210" s="32"/>
      <c r="AO3210" s="32"/>
      <c r="AP3210" s="24"/>
      <c r="AQ3210" s="24"/>
      <c r="AR3210" s="33"/>
      <c r="AS3210" s="34"/>
      <c r="AT3210" s="33"/>
      <c r="AV3210" s="21">
        <f>IF(AND($AL3210&lt;&gt;"",COUNTIF($AL$11:$AL3210,$AL3210)=1),1,0)</f>
        <v>0</v>
      </c>
      <c r="AW3210" s="21">
        <f t="shared" si="185"/>
        <v>0</v>
      </c>
      <c r="AX3210" s="21" t="str">
        <f t="shared" si="184"/>
        <v/>
      </c>
      <c r="AY3210" s="21" t="str">
        <f>IF(AND($AM3210&lt;&gt;"",$AS3210&lt;&gt;"✓"),SUMPRODUCT(($AM$11:$AM3210&lt;&gt;"")*($AS$11:$AS3210&lt;&gt;"✓")),"")</f>
        <v/>
      </c>
      <c r="AZ3210" s="21" t="str">
        <f>IF(AND($AM3210&lt;&gt;"",$AS3210="✓"),SUMPRODUCT(($AM$11:$AM3210&lt;&gt;"")*($AS$11:$AS3210="✓")),"")</f>
        <v/>
      </c>
      <c r="BA3210" s="21" t="str">
        <f>IF($AL3210="","",$AL3210&amp;"|"&amp;COUNTIF($AL$11:$AL3210,$AL3210))</f>
        <v/>
      </c>
    </row>
    <row r="3211" spans="38:53" ht="15" customHeight="1" x14ac:dyDescent="0.25">
      <c r="AL3211" s="17"/>
      <c r="AM3211" s="12"/>
      <c r="AN3211" s="18"/>
      <c r="AO3211" s="18"/>
      <c r="AP3211" s="10"/>
      <c r="AQ3211" s="10"/>
      <c r="AR3211" s="19"/>
      <c r="AS3211" s="20"/>
      <c r="AT3211" s="19"/>
      <c r="AV3211" s="21">
        <f>IF(AND($AL3211&lt;&gt;"",COUNTIF($AL$11:$AL3211,$AL3211)=1),1,0)</f>
        <v>0</v>
      </c>
      <c r="AW3211" s="21">
        <f t="shared" si="185"/>
        <v>0</v>
      </c>
      <c r="AX3211" s="21" t="str">
        <f t="shared" ref="AX3211:AX3274" si="186">IF(AV3211=1,AW3211,"")</f>
        <v/>
      </c>
      <c r="AY3211" s="21" t="str">
        <f>IF(AND($AM3211&lt;&gt;"",$AS3211&lt;&gt;"✓"),SUMPRODUCT(($AM$11:$AM3211&lt;&gt;"")*($AS$11:$AS3211&lt;&gt;"✓")),"")</f>
        <v/>
      </c>
      <c r="AZ3211" s="21" t="str">
        <f>IF(AND($AM3211&lt;&gt;"",$AS3211="✓"),SUMPRODUCT(($AM$11:$AM3211&lt;&gt;"")*($AS$11:$AS3211="✓")),"")</f>
        <v/>
      </c>
      <c r="BA3211" s="21" t="str">
        <f>IF($AL3211="","",$AL3211&amp;"|"&amp;COUNTIF($AL$11:$AL3211,$AL3211))</f>
        <v/>
      </c>
    </row>
    <row r="3212" spans="38:53" ht="15" customHeight="1" x14ac:dyDescent="0.25">
      <c r="AL3212" s="31"/>
      <c r="AM3212" s="26"/>
      <c r="AN3212" s="32"/>
      <c r="AO3212" s="32"/>
      <c r="AP3212" s="24"/>
      <c r="AQ3212" s="24"/>
      <c r="AR3212" s="33"/>
      <c r="AS3212" s="34"/>
      <c r="AT3212" s="33"/>
      <c r="AV3212" s="21">
        <f>IF(AND($AL3212&lt;&gt;"",COUNTIF($AL$11:$AL3212,$AL3212)=1),1,0)</f>
        <v>0</v>
      </c>
      <c r="AW3212" s="21">
        <f t="shared" ref="AW3212:AW3275" si="187">AW3211+AV3212</f>
        <v>0</v>
      </c>
      <c r="AX3212" s="21" t="str">
        <f t="shared" si="186"/>
        <v/>
      </c>
      <c r="AY3212" s="21" t="str">
        <f>IF(AND($AM3212&lt;&gt;"",$AS3212&lt;&gt;"✓"),SUMPRODUCT(($AM$11:$AM3212&lt;&gt;"")*($AS$11:$AS3212&lt;&gt;"✓")),"")</f>
        <v/>
      </c>
      <c r="AZ3212" s="21" t="str">
        <f>IF(AND($AM3212&lt;&gt;"",$AS3212="✓"),SUMPRODUCT(($AM$11:$AM3212&lt;&gt;"")*($AS$11:$AS3212="✓")),"")</f>
        <v/>
      </c>
      <c r="BA3212" s="21" t="str">
        <f>IF($AL3212="","",$AL3212&amp;"|"&amp;COUNTIF($AL$11:$AL3212,$AL3212))</f>
        <v/>
      </c>
    </row>
    <row r="3213" spans="38:53" ht="15" customHeight="1" x14ac:dyDescent="0.25">
      <c r="AL3213" s="17"/>
      <c r="AM3213" s="12"/>
      <c r="AN3213" s="18"/>
      <c r="AO3213" s="18"/>
      <c r="AP3213" s="10"/>
      <c r="AQ3213" s="10"/>
      <c r="AR3213" s="19"/>
      <c r="AS3213" s="20"/>
      <c r="AT3213" s="19"/>
      <c r="AV3213" s="21">
        <f>IF(AND($AL3213&lt;&gt;"",COUNTIF($AL$11:$AL3213,$AL3213)=1),1,0)</f>
        <v>0</v>
      </c>
      <c r="AW3213" s="21">
        <f t="shared" si="187"/>
        <v>0</v>
      </c>
      <c r="AX3213" s="21" t="str">
        <f t="shared" si="186"/>
        <v/>
      </c>
      <c r="AY3213" s="21" t="str">
        <f>IF(AND($AM3213&lt;&gt;"",$AS3213&lt;&gt;"✓"),SUMPRODUCT(($AM$11:$AM3213&lt;&gt;"")*($AS$11:$AS3213&lt;&gt;"✓")),"")</f>
        <v/>
      </c>
      <c r="AZ3213" s="21" t="str">
        <f>IF(AND($AM3213&lt;&gt;"",$AS3213="✓"),SUMPRODUCT(($AM$11:$AM3213&lt;&gt;"")*($AS$11:$AS3213="✓")),"")</f>
        <v/>
      </c>
      <c r="BA3213" s="21" t="str">
        <f>IF($AL3213="","",$AL3213&amp;"|"&amp;COUNTIF($AL$11:$AL3213,$AL3213))</f>
        <v/>
      </c>
    </row>
    <row r="3214" spans="38:53" ht="15" customHeight="1" x14ac:dyDescent="0.25">
      <c r="AL3214" s="31"/>
      <c r="AM3214" s="26"/>
      <c r="AN3214" s="32"/>
      <c r="AO3214" s="32"/>
      <c r="AP3214" s="24"/>
      <c r="AQ3214" s="24"/>
      <c r="AR3214" s="33"/>
      <c r="AS3214" s="34"/>
      <c r="AT3214" s="33"/>
      <c r="AV3214" s="21">
        <f>IF(AND($AL3214&lt;&gt;"",COUNTIF($AL$11:$AL3214,$AL3214)=1),1,0)</f>
        <v>0</v>
      </c>
      <c r="AW3214" s="21">
        <f t="shared" si="187"/>
        <v>0</v>
      </c>
      <c r="AX3214" s="21" t="str">
        <f t="shared" si="186"/>
        <v/>
      </c>
      <c r="AY3214" s="21" t="str">
        <f>IF(AND($AM3214&lt;&gt;"",$AS3214&lt;&gt;"✓"),SUMPRODUCT(($AM$11:$AM3214&lt;&gt;"")*($AS$11:$AS3214&lt;&gt;"✓")),"")</f>
        <v/>
      </c>
      <c r="AZ3214" s="21" t="str">
        <f>IF(AND($AM3214&lt;&gt;"",$AS3214="✓"),SUMPRODUCT(($AM$11:$AM3214&lt;&gt;"")*($AS$11:$AS3214="✓")),"")</f>
        <v/>
      </c>
      <c r="BA3214" s="21" t="str">
        <f>IF($AL3214="","",$AL3214&amp;"|"&amp;COUNTIF($AL$11:$AL3214,$AL3214))</f>
        <v/>
      </c>
    </row>
    <row r="3215" spans="38:53" ht="15" customHeight="1" x14ac:dyDescent="0.25">
      <c r="AL3215" s="17"/>
      <c r="AM3215" s="12"/>
      <c r="AN3215" s="18"/>
      <c r="AO3215" s="18"/>
      <c r="AP3215" s="10"/>
      <c r="AQ3215" s="10"/>
      <c r="AR3215" s="19"/>
      <c r="AS3215" s="20"/>
      <c r="AT3215" s="19"/>
      <c r="AV3215" s="21">
        <f>IF(AND($AL3215&lt;&gt;"",COUNTIF($AL$11:$AL3215,$AL3215)=1),1,0)</f>
        <v>0</v>
      </c>
      <c r="AW3215" s="21">
        <f t="shared" si="187"/>
        <v>0</v>
      </c>
      <c r="AX3215" s="21" t="str">
        <f t="shared" si="186"/>
        <v/>
      </c>
      <c r="AY3215" s="21" t="str">
        <f>IF(AND($AM3215&lt;&gt;"",$AS3215&lt;&gt;"✓"),SUMPRODUCT(($AM$11:$AM3215&lt;&gt;"")*($AS$11:$AS3215&lt;&gt;"✓")),"")</f>
        <v/>
      </c>
      <c r="AZ3215" s="21" t="str">
        <f>IF(AND($AM3215&lt;&gt;"",$AS3215="✓"),SUMPRODUCT(($AM$11:$AM3215&lt;&gt;"")*($AS$11:$AS3215="✓")),"")</f>
        <v/>
      </c>
      <c r="BA3215" s="21" t="str">
        <f>IF($AL3215="","",$AL3215&amp;"|"&amp;COUNTIF($AL$11:$AL3215,$AL3215))</f>
        <v/>
      </c>
    </row>
    <row r="3216" spans="38:53" ht="15" customHeight="1" x14ac:dyDescent="0.25">
      <c r="AL3216" s="31"/>
      <c r="AM3216" s="26"/>
      <c r="AN3216" s="32"/>
      <c r="AO3216" s="32"/>
      <c r="AP3216" s="24"/>
      <c r="AQ3216" s="24"/>
      <c r="AR3216" s="33"/>
      <c r="AS3216" s="34"/>
      <c r="AT3216" s="33"/>
      <c r="AV3216" s="21">
        <f>IF(AND($AL3216&lt;&gt;"",COUNTIF($AL$11:$AL3216,$AL3216)=1),1,0)</f>
        <v>0</v>
      </c>
      <c r="AW3216" s="21">
        <f t="shared" si="187"/>
        <v>0</v>
      </c>
      <c r="AX3216" s="21" t="str">
        <f t="shared" si="186"/>
        <v/>
      </c>
      <c r="AY3216" s="21" t="str">
        <f>IF(AND($AM3216&lt;&gt;"",$AS3216&lt;&gt;"✓"),SUMPRODUCT(($AM$11:$AM3216&lt;&gt;"")*($AS$11:$AS3216&lt;&gt;"✓")),"")</f>
        <v/>
      </c>
      <c r="AZ3216" s="21" t="str">
        <f>IF(AND($AM3216&lt;&gt;"",$AS3216="✓"),SUMPRODUCT(($AM$11:$AM3216&lt;&gt;"")*($AS$11:$AS3216="✓")),"")</f>
        <v/>
      </c>
      <c r="BA3216" s="21" t="str">
        <f>IF($AL3216="","",$AL3216&amp;"|"&amp;COUNTIF($AL$11:$AL3216,$AL3216))</f>
        <v/>
      </c>
    </row>
    <row r="3217" spans="38:53" ht="15" customHeight="1" x14ac:dyDescent="0.25">
      <c r="AL3217" s="17"/>
      <c r="AM3217" s="12"/>
      <c r="AN3217" s="18"/>
      <c r="AO3217" s="18"/>
      <c r="AP3217" s="10"/>
      <c r="AQ3217" s="10"/>
      <c r="AR3217" s="19"/>
      <c r="AS3217" s="20"/>
      <c r="AT3217" s="19"/>
      <c r="AV3217" s="21">
        <f>IF(AND($AL3217&lt;&gt;"",COUNTIF($AL$11:$AL3217,$AL3217)=1),1,0)</f>
        <v>0</v>
      </c>
      <c r="AW3217" s="21">
        <f t="shared" si="187"/>
        <v>0</v>
      </c>
      <c r="AX3217" s="21" t="str">
        <f t="shared" si="186"/>
        <v/>
      </c>
      <c r="AY3217" s="21" t="str">
        <f>IF(AND($AM3217&lt;&gt;"",$AS3217&lt;&gt;"✓"),SUMPRODUCT(($AM$11:$AM3217&lt;&gt;"")*($AS$11:$AS3217&lt;&gt;"✓")),"")</f>
        <v/>
      </c>
      <c r="AZ3217" s="21" t="str">
        <f>IF(AND($AM3217&lt;&gt;"",$AS3217="✓"),SUMPRODUCT(($AM$11:$AM3217&lt;&gt;"")*($AS$11:$AS3217="✓")),"")</f>
        <v/>
      </c>
      <c r="BA3217" s="21" t="str">
        <f>IF($AL3217="","",$AL3217&amp;"|"&amp;COUNTIF($AL$11:$AL3217,$AL3217))</f>
        <v/>
      </c>
    </row>
    <row r="3218" spans="38:53" ht="15" customHeight="1" x14ac:dyDescent="0.25">
      <c r="AL3218" s="31"/>
      <c r="AM3218" s="26"/>
      <c r="AN3218" s="32"/>
      <c r="AO3218" s="32"/>
      <c r="AP3218" s="24"/>
      <c r="AQ3218" s="24"/>
      <c r="AR3218" s="33"/>
      <c r="AS3218" s="34"/>
      <c r="AT3218" s="33"/>
      <c r="AV3218" s="21">
        <f>IF(AND($AL3218&lt;&gt;"",COUNTIF($AL$11:$AL3218,$AL3218)=1),1,0)</f>
        <v>0</v>
      </c>
      <c r="AW3218" s="21">
        <f t="shared" si="187"/>
        <v>0</v>
      </c>
      <c r="AX3218" s="21" t="str">
        <f t="shared" si="186"/>
        <v/>
      </c>
      <c r="AY3218" s="21" t="str">
        <f>IF(AND($AM3218&lt;&gt;"",$AS3218&lt;&gt;"✓"),SUMPRODUCT(($AM$11:$AM3218&lt;&gt;"")*($AS$11:$AS3218&lt;&gt;"✓")),"")</f>
        <v/>
      </c>
      <c r="AZ3218" s="21" t="str">
        <f>IF(AND($AM3218&lt;&gt;"",$AS3218="✓"),SUMPRODUCT(($AM$11:$AM3218&lt;&gt;"")*($AS$11:$AS3218="✓")),"")</f>
        <v/>
      </c>
      <c r="BA3218" s="21" t="str">
        <f>IF($AL3218="","",$AL3218&amp;"|"&amp;COUNTIF($AL$11:$AL3218,$AL3218))</f>
        <v/>
      </c>
    </row>
    <row r="3219" spans="38:53" ht="15" customHeight="1" x14ac:dyDescent="0.25">
      <c r="AL3219" s="17"/>
      <c r="AM3219" s="12"/>
      <c r="AN3219" s="18"/>
      <c r="AO3219" s="18"/>
      <c r="AP3219" s="10"/>
      <c r="AQ3219" s="10"/>
      <c r="AR3219" s="19"/>
      <c r="AS3219" s="20"/>
      <c r="AT3219" s="19"/>
      <c r="AV3219" s="21">
        <f>IF(AND($AL3219&lt;&gt;"",COUNTIF($AL$11:$AL3219,$AL3219)=1),1,0)</f>
        <v>0</v>
      </c>
      <c r="AW3219" s="21">
        <f t="shared" si="187"/>
        <v>0</v>
      </c>
      <c r="AX3219" s="21" t="str">
        <f t="shared" si="186"/>
        <v/>
      </c>
      <c r="AY3219" s="21" t="str">
        <f>IF(AND($AM3219&lt;&gt;"",$AS3219&lt;&gt;"✓"),SUMPRODUCT(($AM$11:$AM3219&lt;&gt;"")*($AS$11:$AS3219&lt;&gt;"✓")),"")</f>
        <v/>
      </c>
      <c r="AZ3219" s="21" t="str">
        <f>IF(AND($AM3219&lt;&gt;"",$AS3219="✓"),SUMPRODUCT(($AM$11:$AM3219&lt;&gt;"")*($AS$11:$AS3219="✓")),"")</f>
        <v/>
      </c>
      <c r="BA3219" s="21" t="str">
        <f>IF($AL3219="","",$AL3219&amp;"|"&amp;COUNTIF($AL$11:$AL3219,$AL3219))</f>
        <v/>
      </c>
    </row>
    <row r="3220" spans="38:53" ht="15" customHeight="1" x14ac:dyDescent="0.25">
      <c r="AL3220" s="31"/>
      <c r="AM3220" s="26"/>
      <c r="AN3220" s="32"/>
      <c r="AO3220" s="32"/>
      <c r="AP3220" s="24"/>
      <c r="AQ3220" s="24"/>
      <c r="AR3220" s="33"/>
      <c r="AS3220" s="34"/>
      <c r="AT3220" s="33"/>
      <c r="AV3220" s="21">
        <f>IF(AND($AL3220&lt;&gt;"",COUNTIF($AL$11:$AL3220,$AL3220)=1),1,0)</f>
        <v>0</v>
      </c>
      <c r="AW3220" s="21">
        <f t="shared" si="187"/>
        <v>0</v>
      </c>
      <c r="AX3220" s="21" t="str">
        <f t="shared" si="186"/>
        <v/>
      </c>
      <c r="AY3220" s="21" t="str">
        <f>IF(AND($AM3220&lt;&gt;"",$AS3220&lt;&gt;"✓"),SUMPRODUCT(($AM$11:$AM3220&lt;&gt;"")*($AS$11:$AS3220&lt;&gt;"✓")),"")</f>
        <v/>
      </c>
      <c r="AZ3220" s="21" t="str">
        <f>IF(AND($AM3220&lt;&gt;"",$AS3220="✓"),SUMPRODUCT(($AM$11:$AM3220&lt;&gt;"")*($AS$11:$AS3220="✓")),"")</f>
        <v/>
      </c>
      <c r="BA3220" s="21" t="str">
        <f>IF($AL3220="","",$AL3220&amp;"|"&amp;COUNTIF($AL$11:$AL3220,$AL3220))</f>
        <v/>
      </c>
    </row>
    <row r="3221" spans="38:53" ht="15" customHeight="1" x14ac:dyDescent="0.25">
      <c r="AL3221" s="17"/>
      <c r="AM3221" s="12"/>
      <c r="AN3221" s="18"/>
      <c r="AO3221" s="18"/>
      <c r="AP3221" s="10"/>
      <c r="AQ3221" s="10"/>
      <c r="AR3221" s="19"/>
      <c r="AS3221" s="20"/>
      <c r="AT3221" s="19"/>
      <c r="AV3221" s="21">
        <f>IF(AND($AL3221&lt;&gt;"",COUNTIF($AL$11:$AL3221,$AL3221)=1),1,0)</f>
        <v>0</v>
      </c>
      <c r="AW3221" s="21">
        <f t="shared" si="187"/>
        <v>0</v>
      </c>
      <c r="AX3221" s="21" t="str">
        <f t="shared" si="186"/>
        <v/>
      </c>
      <c r="AY3221" s="21" t="str">
        <f>IF(AND($AM3221&lt;&gt;"",$AS3221&lt;&gt;"✓"),SUMPRODUCT(($AM$11:$AM3221&lt;&gt;"")*($AS$11:$AS3221&lt;&gt;"✓")),"")</f>
        <v/>
      </c>
      <c r="AZ3221" s="21" t="str">
        <f>IF(AND($AM3221&lt;&gt;"",$AS3221="✓"),SUMPRODUCT(($AM$11:$AM3221&lt;&gt;"")*($AS$11:$AS3221="✓")),"")</f>
        <v/>
      </c>
      <c r="BA3221" s="21" t="str">
        <f>IF($AL3221="","",$AL3221&amp;"|"&amp;COUNTIF($AL$11:$AL3221,$AL3221))</f>
        <v/>
      </c>
    </row>
    <row r="3222" spans="38:53" ht="15" customHeight="1" x14ac:dyDescent="0.25">
      <c r="AL3222" s="31"/>
      <c r="AM3222" s="26"/>
      <c r="AN3222" s="32"/>
      <c r="AO3222" s="32"/>
      <c r="AP3222" s="24"/>
      <c r="AQ3222" s="24"/>
      <c r="AR3222" s="33"/>
      <c r="AS3222" s="34"/>
      <c r="AT3222" s="33"/>
      <c r="AV3222" s="21">
        <f>IF(AND($AL3222&lt;&gt;"",COUNTIF($AL$11:$AL3222,$AL3222)=1),1,0)</f>
        <v>0</v>
      </c>
      <c r="AW3222" s="21">
        <f t="shared" si="187"/>
        <v>0</v>
      </c>
      <c r="AX3222" s="21" t="str">
        <f t="shared" si="186"/>
        <v/>
      </c>
      <c r="AY3222" s="21" t="str">
        <f>IF(AND($AM3222&lt;&gt;"",$AS3222&lt;&gt;"✓"),SUMPRODUCT(($AM$11:$AM3222&lt;&gt;"")*($AS$11:$AS3222&lt;&gt;"✓")),"")</f>
        <v/>
      </c>
      <c r="AZ3222" s="21" t="str">
        <f>IF(AND($AM3222&lt;&gt;"",$AS3222="✓"),SUMPRODUCT(($AM$11:$AM3222&lt;&gt;"")*($AS$11:$AS3222="✓")),"")</f>
        <v/>
      </c>
      <c r="BA3222" s="21" t="str">
        <f>IF($AL3222="","",$AL3222&amp;"|"&amp;COUNTIF($AL$11:$AL3222,$AL3222))</f>
        <v/>
      </c>
    </row>
    <row r="3223" spans="38:53" ht="15" customHeight="1" x14ac:dyDescent="0.25">
      <c r="AL3223" s="17"/>
      <c r="AM3223" s="12"/>
      <c r="AN3223" s="18"/>
      <c r="AO3223" s="18"/>
      <c r="AP3223" s="10"/>
      <c r="AQ3223" s="10"/>
      <c r="AR3223" s="19"/>
      <c r="AS3223" s="20"/>
      <c r="AT3223" s="19"/>
      <c r="AV3223" s="21">
        <f>IF(AND($AL3223&lt;&gt;"",COUNTIF($AL$11:$AL3223,$AL3223)=1),1,0)</f>
        <v>0</v>
      </c>
      <c r="AW3223" s="21">
        <f t="shared" si="187"/>
        <v>0</v>
      </c>
      <c r="AX3223" s="21" t="str">
        <f t="shared" si="186"/>
        <v/>
      </c>
      <c r="AY3223" s="21" t="str">
        <f>IF(AND($AM3223&lt;&gt;"",$AS3223&lt;&gt;"✓"),SUMPRODUCT(($AM$11:$AM3223&lt;&gt;"")*($AS$11:$AS3223&lt;&gt;"✓")),"")</f>
        <v/>
      </c>
      <c r="AZ3223" s="21" t="str">
        <f>IF(AND($AM3223&lt;&gt;"",$AS3223="✓"),SUMPRODUCT(($AM$11:$AM3223&lt;&gt;"")*($AS$11:$AS3223="✓")),"")</f>
        <v/>
      </c>
      <c r="BA3223" s="21" t="str">
        <f>IF($AL3223="","",$AL3223&amp;"|"&amp;COUNTIF($AL$11:$AL3223,$AL3223))</f>
        <v/>
      </c>
    </row>
    <row r="3224" spans="38:53" ht="15" customHeight="1" x14ac:dyDescent="0.25">
      <c r="AL3224" s="31"/>
      <c r="AM3224" s="26"/>
      <c r="AN3224" s="32"/>
      <c r="AO3224" s="32"/>
      <c r="AP3224" s="24"/>
      <c r="AQ3224" s="24"/>
      <c r="AR3224" s="33"/>
      <c r="AS3224" s="34"/>
      <c r="AT3224" s="33"/>
      <c r="AV3224" s="21">
        <f>IF(AND($AL3224&lt;&gt;"",COUNTIF($AL$11:$AL3224,$AL3224)=1),1,0)</f>
        <v>0</v>
      </c>
      <c r="AW3224" s="21">
        <f t="shared" si="187"/>
        <v>0</v>
      </c>
      <c r="AX3224" s="21" t="str">
        <f t="shared" si="186"/>
        <v/>
      </c>
      <c r="AY3224" s="21" t="str">
        <f>IF(AND($AM3224&lt;&gt;"",$AS3224&lt;&gt;"✓"),SUMPRODUCT(($AM$11:$AM3224&lt;&gt;"")*($AS$11:$AS3224&lt;&gt;"✓")),"")</f>
        <v/>
      </c>
      <c r="AZ3224" s="21" t="str">
        <f>IF(AND($AM3224&lt;&gt;"",$AS3224="✓"),SUMPRODUCT(($AM$11:$AM3224&lt;&gt;"")*($AS$11:$AS3224="✓")),"")</f>
        <v/>
      </c>
      <c r="BA3224" s="21" t="str">
        <f>IF($AL3224="","",$AL3224&amp;"|"&amp;COUNTIF($AL$11:$AL3224,$AL3224))</f>
        <v/>
      </c>
    </row>
    <row r="3225" spans="38:53" ht="15" customHeight="1" x14ac:dyDescent="0.25">
      <c r="AL3225" s="17"/>
      <c r="AM3225" s="12"/>
      <c r="AN3225" s="18"/>
      <c r="AO3225" s="18"/>
      <c r="AP3225" s="10"/>
      <c r="AQ3225" s="10"/>
      <c r="AR3225" s="19"/>
      <c r="AS3225" s="20"/>
      <c r="AT3225" s="19"/>
      <c r="AV3225" s="21">
        <f>IF(AND($AL3225&lt;&gt;"",COUNTIF($AL$11:$AL3225,$AL3225)=1),1,0)</f>
        <v>0</v>
      </c>
      <c r="AW3225" s="21">
        <f t="shared" si="187"/>
        <v>0</v>
      </c>
      <c r="AX3225" s="21" t="str">
        <f t="shared" si="186"/>
        <v/>
      </c>
      <c r="AY3225" s="21" t="str">
        <f>IF(AND($AM3225&lt;&gt;"",$AS3225&lt;&gt;"✓"),SUMPRODUCT(($AM$11:$AM3225&lt;&gt;"")*($AS$11:$AS3225&lt;&gt;"✓")),"")</f>
        <v/>
      </c>
      <c r="AZ3225" s="21" t="str">
        <f>IF(AND($AM3225&lt;&gt;"",$AS3225="✓"),SUMPRODUCT(($AM$11:$AM3225&lt;&gt;"")*($AS$11:$AS3225="✓")),"")</f>
        <v/>
      </c>
      <c r="BA3225" s="21" t="str">
        <f>IF($AL3225="","",$AL3225&amp;"|"&amp;COUNTIF($AL$11:$AL3225,$AL3225))</f>
        <v/>
      </c>
    </row>
    <row r="3226" spans="38:53" ht="15" customHeight="1" x14ac:dyDescent="0.25">
      <c r="AL3226" s="31"/>
      <c r="AM3226" s="26"/>
      <c r="AN3226" s="32"/>
      <c r="AO3226" s="32"/>
      <c r="AP3226" s="24"/>
      <c r="AQ3226" s="24"/>
      <c r="AR3226" s="33"/>
      <c r="AS3226" s="34"/>
      <c r="AT3226" s="33"/>
      <c r="AV3226" s="21">
        <f>IF(AND($AL3226&lt;&gt;"",COUNTIF($AL$11:$AL3226,$AL3226)=1),1,0)</f>
        <v>0</v>
      </c>
      <c r="AW3226" s="21">
        <f t="shared" si="187"/>
        <v>0</v>
      </c>
      <c r="AX3226" s="21" t="str">
        <f t="shared" si="186"/>
        <v/>
      </c>
      <c r="AY3226" s="21" t="str">
        <f>IF(AND($AM3226&lt;&gt;"",$AS3226&lt;&gt;"✓"),SUMPRODUCT(($AM$11:$AM3226&lt;&gt;"")*($AS$11:$AS3226&lt;&gt;"✓")),"")</f>
        <v/>
      </c>
      <c r="AZ3226" s="21" t="str">
        <f>IF(AND($AM3226&lt;&gt;"",$AS3226="✓"),SUMPRODUCT(($AM$11:$AM3226&lt;&gt;"")*($AS$11:$AS3226="✓")),"")</f>
        <v/>
      </c>
      <c r="BA3226" s="21" t="str">
        <f>IF($AL3226="","",$AL3226&amp;"|"&amp;COUNTIF($AL$11:$AL3226,$AL3226))</f>
        <v/>
      </c>
    </row>
    <row r="3227" spans="38:53" ht="15" customHeight="1" x14ac:dyDescent="0.25">
      <c r="AL3227" s="17"/>
      <c r="AM3227" s="12"/>
      <c r="AN3227" s="18"/>
      <c r="AO3227" s="18"/>
      <c r="AP3227" s="10"/>
      <c r="AQ3227" s="10"/>
      <c r="AR3227" s="19"/>
      <c r="AS3227" s="20"/>
      <c r="AT3227" s="19"/>
      <c r="AV3227" s="21">
        <f>IF(AND($AL3227&lt;&gt;"",COUNTIF($AL$11:$AL3227,$AL3227)=1),1,0)</f>
        <v>0</v>
      </c>
      <c r="AW3227" s="21">
        <f t="shared" si="187"/>
        <v>0</v>
      </c>
      <c r="AX3227" s="21" t="str">
        <f t="shared" si="186"/>
        <v/>
      </c>
      <c r="AY3227" s="21" t="str">
        <f>IF(AND($AM3227&lt;&gt;"",$AS3227&lt;&gt;"✓"),SUMPRODUCT(($AM$11:$AM3227&lt;&gt;"")*($AS$11:$AS3227&lt;&gt;"✓")),"")</f>
        <v/>
      </c>
      <c r="AZ3227" s="21" t="str">
        <f>IF(AND($AM3227&lt;&gt;"",$AS3227="✓"),SUMPRODUCT(($AM$11:$AM3227&lt;&gt;"")*($AS$11:$AS3227="✓")),"")</f>
        <v/>
      </c>
      <c r="BA3227" s="21" t="str">
        <f>IF($AL3227="","",$AL3227&amp;"|"&amp;COUNTIF($AL$11:$AL3227,$AL3227))</f>
        <v/>
      </c>
    </row>
    <row r="3228" spans="38:53" ht="15" customHeight="1" x14ac:dyDescent="0.25">
      <c r="AL3228" s="31"/>
      <c r="AM3228" s="26"/>
      <c r="AN3228" s="32"/>
      <c r="AO3228" s="32"/>
      <c r="AP3228" s="24"/>
      <c r="AQ3228" s="24"/>
      <c r="AR3228" s="33"/>
      <c r="AS3228" s="34"/>
      <c r="AT3228" s="33"/>
      <c r="AV3228" s="21">
        <f>IF(AND($AL3228&lt;&gt;"",COUNTIF($AL$11:$AL3228,$AL3228)=1),1,0)</f>
        <v>0</v>
      </c>
      <c r="AW3228" s="21">
        <f t="shared" si="187"/>
        <v>0</v>
      </c>
      <c r="AX3228" s="21" t="str">
        <f t="shared" si="186"/>
        <v/>
      </c>
      <c r="AY3228" s="21" t="str">
        <f>IF(AND($AM3228&lt;&gt;"",$AS3228&lt;&gt;"✓"),SUMPRODUCT(($AM$11:$AM3228&lt;&gt;"")*($AS$11:$AS3228&lt;&gt;"✓")),"")</f>
        <v/>
      </c>
      <c r="AZ3228" s="21" t="str">
        <f>IF(AND($AM3228&lt;&gt;"",$AS3228="✓"),SUMPRODUCT(($AM$11:$AM3228&lt;&gt;"")*($AS$11:$AS3228="✓")),"")</f>
        <v/>
      </c>
      <c r="BA3228" s="21" t="str">
        <f>IF($AL3228="","",$AL3228&amp;"|"&amp;COUNTIF($AL$11:$AL3228,$AL3228))</f>
        <v/>
      </c>
    </row>
    <row r="3229" spans="38:53" ht="15" customHeight="1" x14ac:dyDescent="0.25">
      <c r="AL3229" s="17"/>
      <c r="AM3229" s="12"/>
      <c r="AN3229" s="18"/>
      <c r="AO3229" s="18"/>
      <c r="AP3229" s="10"/>
      <c r="AQ3229" s="10"/>
      <c r="AR3229" s="19"/>
      <c r="AS3229" s="20"/>
      <c r="AT3229" s="19"/>
      <c r="AV3229" s="21">
        <f>IF(AND($AL3229&lt;&gt;"",COUNTIF($AL$11:$AL3229,$AL3229)=1),1,0)</f>
        <v>0</v>
      </c>
      <c r="AW3229" s="21">
        <f t="shared" si="187"/>
        <v>0</v>
      </c>
      <c r="AX3229" s="21" t="str">
        <f t="shared" si="186"/>
        <v/>
      </c>
      <c r="AY3229" s="21" t="str">
        <f>IF(AND($AM3229&lt;&gt;"",$AS3229&lt;&gt;"✓"),SUMPRODUCT(($AM$11:$AM3229&lt;&gt;"")*($AS$11:$AS3229&lt;&gt;"✓")),"")</f>
        <v/>
      </c>
      <c r="AZ3229" s="21" t="str">
        <f>IF(AND($AM3229&lt;&gt;"",$AS3229="✓"),SUMPRODUCT(($AM$11:$AM3229&lt;&gt;"")*($AS$11:$AS3229="✓")),"")</f>
        <v/>
      </c>
      <c r="BA3229" s="21" t="str">
        <f>IF($AL3229="","",$AL3229&amp;"|"&amp;COUNTIF($AL$11:$AL3229,$AL3229))</f>
        <v/>
      </c>
    </row>
    <row r="3230" spans="38:53" ht="15" customHeight="1" x14ac:dyDescent="0.25">
      <c r="AL3230" s="31"/>
      <c r="AM3230" s="26"/>
      <c r="AN3230" s="32"/>
      <c r="AO3230" s="32"/>
      <c r="AP3230" s="24"/>
      <c r="AQ3230" s="24"/>
      <c r="AR3230" s="33"/>
      <c r="AS3230" s="34"/>
      <c r="AT3230" s="33"/>
      <c r="AV3230" s="21">
        <f>IF(AND($AL3230&lt;&gt;"",COUNTIF($AL$11:$AL3230,$AL3230)=1),1,0)</f>
        <v>0</v>
      </c>
      <c r="AW3230" s="21">
        <f t="shared" si="187"/>
        <v>0</v>
      </c>
      <c r="AX3230" s="21" t="str">
        <f t="shared" si="186"/>
        <v/>
      </c>
      <c r="AY3230" s="21" t="str">
        <f>IF(AND($AM3230&lt;&gt;"",$AS3230&lt;&gt;"✓"),SUMPRODUCT(($AM$11:$AM3230&lt;&gt;"")*($AS$11:$AS3230&lt;&gt;"✓")),"")</f>
        <v/>
      </c>
      <c r="AZ3230" s="21" t="str">
        <f>IF(AND($AM3230&lt;&gt;"",$AS3230="✓"),SUMPRODUCT(($AM$11:$AM3230&lt;&gt;"")*($AS$11:$AS3230="✓")),"")</f>
        <v/>
      </c>
      <c r="BA3230" s="21" t="str">
        <f>IF($AL3230="","",$AL3230&amp;"|"&amp;COUNTIF($AL$11:$AL3230,$AL3230))</f>
        <v/>
      </c>
    </row>
    <row r="3231" spans="38:53" ht="15" customHeight="1" x14ac:dyDescent="0.25">
      <c r="AL3231" s="17"/>
      <c r="AM3231" s="12"/>
      <c r="AN3231" s="18"/>
      <c r="AO3231" s="18"/>
      <c r="AP3231" s="10"/>
      <c r="AQ3231" s="10"/>
      <c r="AR3231" s="19"/>
      <c r="AS3231" s="20"/>
      <c r="AT3231" s="19"/>
      <c r="AV3231" s="21">
        <f>IF(AND($AL3231&lt;&gt;"",COUNTIF($AL$11:$AL3231,$AL3231)=1),1,0)</f>
        <v>0</v>
      </c>
      <c r="AW3231" s="21">
        <f t="shared" si="187"/>
        <v>0</v>
      </c>
      <c r="AX3231" s="21" t="str">
        <f t="shared" si="186"/>
        <v/>
      </c>
      <c r="AY3231" s="21" t="str">
        <f>IF(AND($AM3231&lt;&gt;"",$AS3231&lt;&gt;"✓"),SUMPRODUCT(($AM$11:$AM3231&lt;&gt;"")*($AS$11:$AS3231&lt;&gt;"✓")),"")</f>
        <v/>
      </c>
      <c r="AZ3231" s="21" t="str">
        <f>IF(AND($AM3231&lt;&gt;"",$AS3231="✓"),SUMPRODUCT(($AM$11:$AM3231&lt;&gt;"")*($AS$11:$AS3231="✓")),"")</f>
        <v/>
      </c>
      <c r="BA3231" s="21" t="str">
        <f>IF($AL3231="","",$AL3231&amp;"|"&amp;COUNTIF($AL$11:$AL3231,$AL3231))</f>
        <v/>
      </c>
    </row>
    <row r="3232" spans="38:53" ht="15" customHeight="1" x14ac:dyDescent="0.25">
      <c r="AL3232" s="31"/>
      <c r="AM3232" s="26"/>
      <c r="AN3232" s="32"/>
      <c r="AO3232" s="32"/>
      <c r="AP3232" s="24"/>
      <c r="AQ3232" s="24"/>
      <c r="AR3232" s="33"/>
      <c r="AS3232" s="34"/>
      <c r="AT3232" s="33"/>
      <c r="AV3232" s="21">
        <f>IF(AND($AL3232&lt;&gt;"",COUNTIF($AL$11:$AL3232,$AL3232)=1),1,0)</f>
        <v>0</v>
      </c>
      <c r="AW3232" s="21">
        <f t="shared" si="187"/>
        <v>0</v>
      </c>
      <c r="AX3232" s="21" t="str">
        <f t="shared" si="186"/>
        <v/>
      </c>
      <c r="AY3232" s="21" t="str">
        <f>IF(AND($AM3232&lt;&gt;"",$AS3232&lt;&gt;"✓"),SUMPRODUCT(($AM$11:$AM3232&lt;&gt;"")*($AS$11:$AS3232&lt;&gt;"✓")),"")</f>
        <v/>
      </c>
      <c r="AZ3232" s="21" t="str">
        <f>IF(AND($AM3232&lt;&gt;"",$AS3232="✓"),SUMPRODUCT(($AM$11:$AM3232&lt;&gt;"")*($AS$11:$AS3232="✓")),"")</f>
        <v/>
      </c>
      <c r="BA3232" s="21" t="str">
        <f>IF($AL3232="","",$AL3232&amp;"|"&amp;COUNTIF($AL$11:$AL3232,$AL3232))</f>
        <v/>
      </c>
    </row>
    <row r="3233" spans="38:53" ht="15" customHeight="1" x14ac:dyDescent="0.25">
      <c r="AL3233" s="17"/>
      <c r="AM3233" s="12"/>
      <c r="AN3233" s="18"/>
      <c r="AO3233" s="18"/>
      <c r="AP3233" s="10"/>
      <c r="AQ3233" s="10"/>
      <c r="AR3233" s="19"/>
      <c r="AS3233" s="20"/>
      <c r="AT3233" s="19"/>
      <c r="AV3233" s="21">
        <f>IF(AND($AL3233&lt;&gt;"",COUNTIF($AL$11:$AL3233,$AL3233)=1),1,0)</f>
        <v>0</v>
      </c>
      <c r="AW3233" s="21">
        <f t="shared" si="187"/>
        <v>0</v>
      </c>
      <c r="AX3233" s="21" t="str">
        <f t="shared" si="186"/>
        <v/>
      </c>
      <c r="AY3233" s="21" t="str">
        <f>IF(AND($AM3233&lt;&gt;"",$AS3233&lt;&gt;"✓"),SUMPRODUCT(($AM$11:$AM3233&lt;&gt;"")*($AS$11:$AS3233&lt;&gt;"✓")),"")</f>
        <v/>
      </c>
      <c r="AZ3233" s="21" t="str">
        <f>IF(AND($AM3233&lt;&gt;"",$AS3233="✓"),SUMPRODUCT(($AM$11:$AM3233&lt;&gt;"")*($AS$11:$AS3233="✓")),"")</f>
        <v/>
      </c>
      <c r="BA3233" s="21" t="str">
        <f>IF($AL3233="","",$AL3233&amp;"|"&amp;COUNTIF($AL$11:$AL3233,$AL3233))</f>
        <v/>
      </c>
    </row>
    <row r="3234" spans="38:53" ht="15" customHeight="1" x14ac:dyDescent="0.25">
      <c r="AL3234" s="31"/>
      <c r="AM3234" s="26"/>
      <c r="AN3234" s="32"/>
      <c r="AO3234" s="32"/>
      <c r="AP3234" s="24"/>
      <c r="AQ3234" s="24"/>
      <c r="AR3234" s="33"/>
      <c r="AS3234" s="34"/>
      <c r="AT3234" s="33"/>
      <c r="AV3234" s="21">
        <f>IF(AND($AL3234&lt;&gt;"",COUNTIF($AL$11:$AL3234,$AL3234)=1),1,0)</f>
        <v>0</v>
      </c>
      <c r="AW3234" s="21">
        <f t="shared" si="187"/>
        <v>0</v>
      </c>
      <c r="AX3234" s="21" t="str">
        <f t="shared" si="186"/>
        <v/>
      </c>
      <c r="AY3234" s="21" t="str">
        <f>IF(AND($AM3234&lt;&gt;"",$AS3234&lt;&gt;"✓"),SUMPRODUCT(($AM$11:$AM3234&lt;&gt;"")*($AS$11:$AS3234&lt;&gt;"✓")),"")</f>
        <v/>
      </c>
      <c r="AZ3234" s="21" t="str">
        <f>IF(AND($AM3234&lt;&gt;"",$AS3234="✓"),SUMPRODUCT(($AM$11:$AM3234&lt;&gt;"")*($AS$11:$AS3234="✓")),"")</f>
        <v/>
      </c>
      <c r="BA3234" s="21" t="str">
        <f>IF($AL3234="","",$AL3234&amp;"|"&amp;COUNTIF($AL$11:$AL3234,$AL3234))</f>
        <v/>
      </c>
    </row>
    <row r="3235" spans="38:53" ht="15" customHeight="1" x14ac:dyDescent="0.25">
      <c r="AL3235" s="17"/>
      <c r="AM3235" s="12"/>
      <c r="AN3235" s="18"/>
      <c r="AO3235" s="18"/>
      <c r="AP3235" s="10"/>
      <c r="AQ3235" s="10"/>
      <c r="AR3235" s="19"/>
      <c r="AS3235" s="20"/>
      <c r="AT3235" s="19"/>
      <c r="AV3235" s="21">
        <f>IF(AND($AL3235&lt;&gt;"",COUNTIF($AL$11:$AL3235,$AL3235)=1),1,0)</f>
        <v>0</v>
      </c>
      <c r="AW3235" s="21">
        <f t="shared" si="187"/>
        <v>0</v>
      </c>
      <c r="AX3235" s="21" t="str">
        <f t="shared" si="186"/>
        <v/>
      </c>
      <c r="AY3235" s="21" t="str">
        <f>IF(AND($AM3235&lt;&gt;"",$AS3235&lt;&gt;"✓"),SUMPRODUCT(($AM$11:$AM3235&lt;&gt;"")*($AS$11:$AS3235&lt;&gt;"✓")),"")</f>
        <v/>
      </c>
      <c r="AZ3235" s="21" t="str">
        <f>IF(AND($AM3235&lt;&gt;"",$AS3235="✓"),SUMPRODUCT(($AM$11:$AM3235&lt;&gt;"")*($AS$11:$AS3235="✓")),"")</f>
        <v/>
      </c>
      <c r="BA3235" s="21" t="str">
        <f>IF($AL3235="","",$AL3235&amp;"|"&amp;COUNTIF($AL$11:$AL3235,$AL3235))</f>
        <v/>
      </c>
    </row>
    <row r="3236" spans="38:53" ht="15" customHeight="1" x14ac:dyDescent="0.25">
      <c r="AL3236" s="31"/>
      <c r="AM3236" s="26"/>
      <c r="AN3236" s="32"/>
      <c r="AO3236" s="32"/>
      <c r="AP3236" s="24"/>
      <c r="AQ3236" s="24"/>
      <c r="AR3236" s="33"/>
      <c r="AS3236" s="34"/>
      <c r="AT3236" s="33"/>
      <c r="AV3236" s="21">
        <f>IF(AND($AL3236&lt;&gt;"",COUNTIF($AL$11:$AL3236,$AL3236)=1),1,0)</f>
        <v>0</v>
      </c>
      <c r="AW3236" s="21">
        <f t="shared" si="187"/>
        <v>0</v>
      </c>
      <c r="AX3236" s="21" t="str">
        <f t="shared" si="186"/>
        <v/>
      </c>
      <c r="AY3236" s="21" t="str">
        <f>IF(AND($AM3236&lt;&gt;"",$AS3236&lt;&gt;"✓"),SUMPRODUCT(($AM$11:$AM3236&lt;&gt;"")*($AS$11:$AS3236&lt;&gt;"✓")),"")</f>
        <v/>
      </c>
      <c r="AZ3236" s="21" t="str">
        <f>IF(AND($AM3236&lt;&gt;"",$AS3236="✓"),SUMPRODUCT(($AM$11:$AM3236&lt;&gt;"")*($AS$11:$AS3236="✓")),"")</f>
        <v/>
      </c>
      <c r="BA3236" s="21" t="str">
        <f>IF($AL3236="","",$AL3236&amp;"|"&amp;COUNTIF($AL$11:$AL3236,$AL3236))</f>
        <v/>
      </c>
    </row>
    <row r="3237" spans="38:53" ht="15" customHeight="1" x14ac:dyDescent="0.25">
      <c r="AL3237" s="17"/>
      <c r="AM3237" s="12"/>
      <c r="AN3237" s="18"/>
      <c r="AO3237" s="18"/>
      <c r="AP3237" s="10"/>
      <c r="AQ3237" s="10"/>
      <c r="AR3237" s="19"/>
      <c r="AS3237" s="20"/>
      <c r="AT3237" s="19"/>
      <c r="AV3237" s="21">
        <f>IF(AND($AL3237&lt;&gt;"",COUNTIF($AL$11:$AL3237,$AL3237)=1),1,0)</f>
        <v>0</v>
      </c>
      <c r="AW3237" s="21">
        <f t="shared" si="187"/>
        <v>0</v>
      </c>
      <c r="AX3237" s="21" t="str">
        <f t="shared" si="186"/>
        <v/>
      </c>
      <c r="AY3237" s="21" t="str">
        <f>IF(AND($AM3237&lt;&gt;"",$AS3237&lt;&gt;"✓"),SUMPRODUCT(($AM$11:$AM3237&lt;&gt;"")*($AS$11:$AS3237&lt;&gt;"✓")),"")</f>
        <v/>
      </c>
      <c r="AZ3237" s="21" t="str">
        <f>IF(AND($AM3237&lt;&gt;"",$AS3237="✓"),SUMPRODUCT(($AM$11:$AM3237&lt;&gt;"")*($AS$11:$AS3237="✓")),"")</f>
        <v/>
      </c>
      <c r="BA3237" s="21" t="str">
        <f>IF($AL3237="","",$AL3237&amp;"|"&amp;COUNTIF($AL$11:$AL3237,$AL3237))</f>
        <v/>
      </c>
    </row>
    <row r="3238" spans="38:53" ht="15" customHeight="1" x14ac:dyDescent="0.25">
      <c r="AL3238" s="31"/>
      <c r="AM3238" s="26"/>
      <c r="AN3238" s="32"/>
      <c r="AO3238" s="32"/>
      <c r="AP3238" s="24"/>
      <c r="AQ3238" s="24"/>
      <c r="AR3238" s="33"/>
      <c r="AS3238" s="34"/>
      <c r="AT3238" s="33"/>
      <c r="AV3238" s="21">
        <f>IF(AND($AL3238&lt;&gt;"",COUNTIF($AL$11:$AL3238,$AL3238)=1),1,0)</f>
        <v>0</v>
      </c>
      <c r="AW3238" s="21">
        <f t="shared" si="187"/>
        <v>0</v>
      </c>
      <c r="AX3238" s="21" t="str">
        <f t="shared" si="186"/>
        <v/>
      </c>
      <c r="AY3238" s="21" t="str">
        <f>IF(AND($AM3238&lt;&gt;"",$AS3238&lt;&gt;"✓"),SUMPRODUCT(($AM$11:$AM3238&lt;&gt;"")*($AS$11:$AS3238&lt;&gt;"✓")),"")</f>
        <v/>
      </c>
      <c r="AZ3238" s="21" t="str">
        <f>IF(AND($AM3238&lt;&gt;"",$AS3238="✓"),SUMPRODUCT(($AM$11:$AM3238&lt;&gt;"")*($AS$11:$AS3238="✓")),"")</f>
        <v/>
      </c>
      <c r="BA3238" s="21" t="str">
        <f>IF($AL3238="","",$AL3238&amp;"|"&amp;COUNTIF($AL$11:$AL3238,$AL3238))</f>
        <v/>
      </c>
    </row>
    <row r="3239" spans="38:53" ht="15" customHeight="1" x14ac:dyDescent="0.25">
      <c r="AL3239" s="17"/>
      <c r="AM3239" s="12"/>
      <c r="AN3239" s="18"/>
      <c r="AO3239" s="18"/>
      <c r="AP3239" s="10"/>
      <c r="AQ3239" s="10"/>
      <c r="AR3239" s="19"/>
      <c r="AS3239" s="20"/>
      <c r="AT3239" s="19"/>
      <c r="AV3239" s="21">
        <f>IF(AND($AL3239&lt;&gt;"",COUNTIF($AL$11:$AL3239,$AL3239)=1),1,0)</f>
        <v>0</v>
      </c>
      <c r="AW3239" s="21">
        <f t="shared" si="187"/>
        <v>0</v>
      </c>
      <c r="AX3239" s="21" t="str">
        <f t="shared" si="186"/>
        <v/>
      </c>
      <c r="AY3239" s="21" t="str">
        <f>IF(AND($AM3239&lt;&gt;"",$AS3239&lt;&gt;"✓"),SUMPRODUCT(($AM$11:$AM3239&lt;&gt;"")*($AS$11:$AS3239&lt;&gt;"✓")),"")</f>
        <v/>
      </c>
      <c r="AZ3239" s="21" t="str">
        <f>IF(AND($AM3239&lt;&gt;"",$AS3239="✓"),SUMPRODUCT(($AM$11:$AM3239&lt;&gt;"")*($AS$11:$AS3239="✓")),"")</f>
        <v/>
      </c>
      <c r="BA3239" s="21" t="str">
        <f>IF($AL3239="","",$AL3239&amp;"|"&amp;COUNTIF($AL$11:$AL3239,$AL3239))</f>
        <v/>
      </c>
    </row>
    <row r="3240" spans="38:53" ht="15" customHeight="1" x14ac:dyDescent="0.25">
      <c r="AL3240" s="31"/>
      <c r="AM3240" s="26"/>
      <c r="AN3240" s="32"/>
      <c r="AO3240" s="32"/>
      <c r="AP3240" s="24"/>
      <c r="AQ3240" s="24"/>
      <c r="AR3240" s="33"/>
      <c r="AS3240" s="34"/>
      <c r="AT3240" s="33"/>
      <c r="AV3240" s="21">
        <f>IF(AND($AL3240&lt;&gt;"",COUNTIF($AL$11:$AL3240,$AL3240)=1),1,0)</f>
        <v>0</v>
      </c>
      <c r="AW3240" s="21">
        <f t="shared" si="187"/>
        <v>0</v>
      </c>
      <c r="AX3240" s="21" t="str">
        <f t="shared" si="186"/>
        <v/>
      </c>
      <c r="AY3240" s="21" t="str">
        <f>IF(AND($AM3240&lt;&gt;"",$AS3240&lt;&gt;"✓"),SUMPRODUCT(($AM$11:$AM3240&lt;&gt;"")*($AS$11:$AS3240&lt;&gt;"✓")),"")</f>
        <v/>
      </c>
      <c r="AZ3240" s="21" t="str">
        <f>IF(AND($AM3240&lt;&gt;"",$AS3240="✓"),SUMPRODUCT(($AM$11:$AM3240&lt;&gt;"")*($AS$11:$AS3240="✓")),"")</f>
        <v/>
      </c>
      <c r="BA3240" s="21" t="str">
        <f>IF($AL3240="","",$AL3240&amp;"|"&amp;COUNTIF($AL$11:$AL3240,$AL3240))</f>
        <v/>
      </c>
    </row>
    <row r="3241" spans="38:53" ht="15" customHeight="1" x14ac:dyDescent="0.25">
      <c r="AL3241" s="17"/>
      <c r="AM3241" s="12"/>
      <c r="AN3241" s="18"/>
      <c r="AO3241" s="18"/>
      <c r="AP3241" s="10"/>
      <c r="AQ3241" s="10"/>
      <c r="AR3241" s="19"/>
      <c r="AS3241" s="20"/>
      <c r="AT3241" s="19"/>
      <c r="AV3241" s="21">
        <f>IF(AND($AL3241&lt;&gt;"",COUNTIF($AL$11:$AL3241,$AL3241)=1),1,0)</f>
        <v>0</v>
      </c>
      <c r="AW3241" s="21">
        <f t="shared" si="187"/>
        <v>0</v>
      </c>
      <c r="AX3241" s="21" t="str">
        <f t="shared" si="186"/>
        <v/>
      </c>
      <c r="AY3241" s="21" t="str">
        <f>IF(AND($AM3241&lt;&gt;"",$AS3241&lt;&gt;"✓"),SUMPRODUCT(($AM$11:$AM3241&lt;&gt;"")*($AS$11:$AS3241&lt;&gt;"✓")),"")</f>
        <v/>
      </c>
      <c r="AZ3241" s="21" t="str">
        <f>IF(AND($AM3241&lt;&gt;"",$AS3241="✓"),SUMPRODUCT(($AM$11:$AM3241&lt;&gt;"")*($AS$11:$AS3241="✓")),"")</f>
        <v/>
      </c>
      <c r="BA3241" s="21" t="str">
        <f>IF($AL3241="","",$AL3241&amp;"|"&amp;COUNTIF($AL$11:$AL3241,$AL3241))</f>
        <v/>
      </c>
    </row>
    <row r="3242" spans="38:53" ht="15" customHeight="1" x14ac:dyDescent="0.25">
      <c r="AL3242" s="31"/>
      <c r="AM3242" s="26"/>
      <c r="AN3242" s="32"/>
      <c r="AO3242" s="32"/>
      <c r="AP3242" s="24"/>
      <c r="AQ3242" s="24"/>
      <c r="AR3242" s="33"/>
      <c r="AS3242" s="34"/>
      <c r="AT3242" s="33"/>
      <c r="AV3242" s="21">
        <f>IF(AND($AL3242&lt;&gt;"",COUNTIF($AL$11:$AL3242,$AL3242)=1),1,0)</f>
        <v>0</v>
      </c>
      <c r="AW3242" s="21">
        <f t="shared" si="187"/>
        <v>0</v>
      </c>
      <c r="AX3242" s="21" t="str">
        <f t="shared" si="186"/>
        <v/>
      </c>
      <c r="AY3242" s="21" t="str">
        <f>IF(AND($AM3242&lt;&gt;"",$AS3242&lt;&gt;"✓"),SUMPRODUCT(($AM$11:$AM3242&lt;&gt;"")*($AS$11:$AS3242&lt;&gt;"✓")),"")</f>
        <v/>
      </c>
      <c r="AZ3242" s="21" t="str">
        <f>IF(AND($AM3242&lt;&gt;"",$AS3242="✓"),SUMPRODUCT(($AM$11:$AM3242&lt;&gt;"")*($AS$11:$AS3242="✓")),"")</f>
        <v/>
      </c>
      <c r="BA3242" s="21" t="str">
        <f>IF($AL3242="","",$AL3242&amp;"|"&amp;COUNTIF($AL$11:$AL3242,$AL3242))</f>
        <v/>
      </c>
    </row>
    <row r="3243" spans="38:53" ht="15" customHeight="1" x14ac:dyDescent="0.25">
      <c r="AL3243" s="17"/>
      <c r="AM3243" s="12"/>
      <c r="AN3243" s="18"/>
      <c r="AO3243" s="18"/>
      <c r="AP3243" s="10"/>
      <c r="AQ3243" s="10"/>
      <c r="AR3243" s="19"/>
      <c r="AS3243" s="20"/>
      <c r="AT3243" s="19"/>
      <c r="AV3243" s="21">
        <f>IF(AND($AL3243&lt;&gt;"",COUNTIF($AL$11:$AL3243,$AL3243)=1),1,0)</f>
        <v>0</v>
      </c>
      <c r="AW3243" s="21">
        <f t="shared" si="187"/>
        <v>0</v>
      </c>
      <c r="AX3243" s="21" t="str">
        <f t="shared" si="186"/>
        <v/>
      </c>
      <c r="AY3243" s="21" t="str">
        <f>IF(AND($AM3243&lt;&gt;"",$AS3243&lt;&gt;"✓"),SUMPRODUCT(($AM$11:$AM3243&lt;&gt;"")*($AS$11:$AS3243&lt;&gt;"✓")),"")</f>
        <v/>
      </c>
      <c r="AZ3243" s="21" t="str">
        <f>IF(AND($AM3243&lt;&gt;"",$AS3243="✓"),SUMPRODUCT(($AM$11:$AM3243&lt;&gt;"")*($AS$11:$AS3243="✓")),"")</f>
        <v/>
      </c>
      <c r="BA3243" s="21" t="str">
        <f>IF($AL3243="","",$AL3243&amp;"|"&amp;COUNTIF($AL$11:$AL3243,$AL3243))</f>
        <v/>
      </c>
    </row>
    <row r="3244" spans="38:53" ht="15" customHeight="1" x14ac:dyDescent="0.25">
      <c r="AL3244" s="31"/>
      <c r="AM3244" s="26"/>
      <c r="AN3244" s="32"/>
      <c r="AO3244" s="32"/>
      <c r="AP3244" s="24"/>
      <c r="AQ3244" s="24"/>
      <c r="AR3244" s="33"/>
      <c r="AS3244" s="34"/>
      <c r="AT3244" s="33"/>
      <c r="AV3244" s="21">
        <f>IF(AND($AL3244&lt;&gt;"",COUNTIF($AL$11:$AL3244,$AL3244)=1),1,0)</f>
        <v>0</v>
      </c>
      <c r="AW3244" s="21">
        <f t="shared" si="187"/>
        <v>0</v>
      </c>
      <c r="AX3244" s="21" t="str">
        <f t="shared" si="186"/>
        <v/>
      </c>
      <c r="AY3244" s="21" t="str">
        <f>IF(AND($AM3244&lt;&gt;"",$AS3244&lt;&gt;"✓"),SUMPRODUCT(($AM$11:$AM3244&lt;&gt;"")*($AS$11:$AS3244&lt;&gt;"✓")),"")</f>
        <v/>
      </c>
      <c r="AZ3244" s="21" t="str">
        <f>IF(AND($AM3244&lt;&gt;"",$AS3244="✓"),SUMPRODUCT(($AM$11:$AM3244&lt;&gt;"")*($AS$11:$AS3244="✓")),"")</f>
        <v/>
      </c>
      <c r="BA3244" s="21" t="str">
        <f>IF($AL3244="","",$AL3244&amp;"|"&amp;COUNTIF($AL$11:$AL3244,$AL3244))</f>
        <v/>
      </c>
    </row>
    <row r="3245" spans="38:53" ht="15" customHeight="1" x14ac:dyDescent="0.25">
      <c r="AL3245" s="17"/>
      <c r="AM3245" s="12"/>
      <c r="AN3245" s="18"/>
      <c r="AO3245" s="18"/>
      <c r="AP3245" s="10"/>
      <c r="AQ3245" s="10"/>
      <c r="AR3245" s="19"/>
      <c r="AS3245" s="20"/>
      <c r="AT3245" s="19"/>
      <c r="AV3245" s="21">
        <f>IF(AND($AL3245&lt;&gt;"",COUNTIF($AL$11:$AL3245,$AL3245)=1),1,0)</f>
        <v>0</v>
      </c>
      <c r="AW3245" s="21">
        <f t="shared" si="187"/>
        <v>0</v>
      </c>
      <c r="AX3245" s="21" t="str">
        <f t="shared" si="186"/>
        <v/>
      </c>
      <c r="AY3245" s="21" t="str">
        <f>IF(AND($AM3245&lt;&gt;"",$AS3245&lt;&gt;"✓"),SUMPRODUCT(($AM$11:$AM3245&lt;&gt;"")*($AS$11:$AS3245&lt;&gt;"✓")),"")</f>
        <v/>
      </c>
      <c r="AZ3245" s="21" t="str">
        <f>IF(AND($AM3245&lt;&gt;"",$AS3245="✓"),SUMPRODUCT(($AM$11:$AM3245&lt;&gt;"")*($AS$11:$AS3245="✓")),"")</f>
        <v/>
      </c>
      <c r="BA3245" s="21" t="str">
        <f>IF($AL3245="","",$AL3245&amp;"|"&amp;COUNTIF($AL$11:$AL3245,$AL3245))</f>
        <v/>
      </c>
    </row>
    <row r="3246" spans="38:53" ht="15" customHeight="1" x14ac:dyDescent="0.25">
      <c r="AL3246" s="31"/>
      <c r="AM3246" s="26"/>
      <c r="AN3246" s="32"/>
      <c r="AO3246" s="32"/>
      <c r="AP3246" s="24"/>
      <c r="AQ3246" s="24"/>
      <c r="AR3246" s="33"/>
      <c r="AS3246" s="34"/>
      <c r="AT3246" s="33"/>
      <c r="AV3246" s="21">
        <f>IF(AND($AL3246&lt;&gt;"",COUNTIF($AL$11:$AL3246,$AL3246)=1),1,0)</f>
        <v>0</v>
      </c>
      <c r="AW3246" s="21">
        <f t="shared" si="187"/>
        <v>0</v>
      </c>
      <c r="AX3246" s="21" t="str">
        <f t="shared" si="186"/>
        <v/>
      </c>
      <c r="AY3246" s="21" t="str">
        <f>IF(AND($AM3246&lt;&gt;"",$AS3246&lt;&gt;"✓"),SUMPRODUCT(($AM$11:$AM3246&lt;&gt;"")*($AS$11:$AS3246&lt;&gt;"✓")),"")</f>
        <v/>
      </c>
      <c r="AZ3246" s="21" t="str">
        <f>IF(AND($AM3246&lt;&gt;"",$AS3246="✓"),SUMPRODUCT(($AM$11:$AM3246&lt;&gt;"")*($AS$11:$AS3246="✓")),"")</f>
        <v/>
      </c>
      <c r="BA3246" s="21" t="str">
        <f>IF($AL3246="","",$AL3246&amp;"|"&amp;COUNTIF($AL$11:$AL3246,$AL3246))</f>
        <v/>
      </c>
    </row>
    <row r="3247" spans="38:53" ht="15" customHeight="1" x14ac:dyDescent="0.25">
      <c r="AL3247" s="17"/>
      <c r="AM3247" s="12"/>
      <c r="AN3247" s="18"/>
      <c r="AO3247" s="18"/>
      <c r="AP3247" s="10"/>
      <c r="AQ3247" s="10"/>
      <c r="AR3247" s="19"/>
      <c r="AS3247" s="20"/>
      <c r="AT3247" s="19"/>
      <c r="AV3247" s="21">
        <f>IF(AND($AL3247&lt;&gt;"",COUNTIF($AL$11:$AL3247,$AL3247)=1),1,0)</f>
        <v>0</v>
      </c>
      <c r="AW3247" s="21">
        <f t="shared" si="187"/>
        <v>0</v>
      </c>
      <c r="AX3247" s="21" t="str">
        <f t="shared" si="186"/>
        <v/>
      </c>
      <c r="AY3247" s="21" t="str">
        <f>IF(AND($AM3247&lt;&gt;"",$AS3247&lt;&gt;"✓"),SUMPRODUCT(($AM$11:$AM3247&lt;&gt;"")*($AS$11:$AS3247&lt;&gt;"✓")),"")</f>
        <v/>
      </c>
      <c r="AZ3247" s="21" t="str">
        <f>IF(AND($AM3247&lt;&gt;"",$AS3247="✓"),SUMPRODUCT(($AM$11:$AM3247&lt;&gt;"")*($AS$11:$AS3247="✓")),"")</f>
        <v/>
      </c>
      <c r="BA3247" s="21" t="str">
        <f>IF($AL3247="","",$AL3247&amp;"|"&amp;COUNTIF($AL$11:$AL3247,$AL3247))</f>
        <v/>
      </c>
    </row>
    <row r="3248" spans="38:53" ht="15" customHeight="1" x14ac:dyDescent="0.25">
      <c r="AL3248" s="31"/>
      <c r="AM3248" s="26"/>
      <c r="AN3248" s="32"/>
      <c r="AO3248" s="32"/>
      <c r="AP3248" s="24"/>
      <c r="AQ3248" s="24"/>
      <c r="AR3248" s="33"/>
      <c r="AS3248" s="34"/>
      <c r="AT3248" s="33"/>
      <c r="AV3248" s="21">
        <f>IF(AND($AL3248&lt;&gt;"",COUNTIF($AL$11:$AL3248,$AL3248)=1),1,0)</f>
        <v>0</v>
      </c>
      <c r="AW3248" s="21">
        <f t="shared" si="187"/>
        <v>0</v>
      </c>
      <c r="AX3248" s="21" t="str">
        <f t="shared" si="186"/>
        <v/>
      </c>
      <c r="AY3248" s="21" t="str">
        <f>IF(AND($AM3248&lt;&gt;"",$AS3248&lt;&gt;"✓"),SUMPRODUCT(($AM$11:$AM3248&lt;&gt;"")*($AS$11:$AS3248&lt;&gt;"✓")),"")</f>
        <v/>
      </c>
      <c r="AZ3248" s="21" t="str">
        <f>IF(AND($AM3248&lt;&gt;"",$AS3248="✓"),SUMPRODUCT(($AM$11:$AM3248&lt;&gt;"")*($AS$11:$AS3248="✓")),"")</f>
        <v/>
      </c>
      <c r="BA3248" s="21" t="str">
        <f>IF($AL3248="","",$AL3248&amp;"|"&amp;COUNTIF($AL$11:$AL3248,$AL3248))</f>
        <v/>
      </c>
    </row>
    <row r="3249" spans="38:53" ht="15" customHeight="1" x14ac:dyDescent="0.25">
      <c r="AL3249" s="17"/>
      <c r="AM3249" s="12"/>
      <c r="AN3249" s="18"/>
      <c r="AO3249" s="18"/>
      <c r="AP3249" s="10"/>
      <c r="AQ3249" s="10"/>
      <c r="AR3249" s="19"/>
      <c r="AS3249" s="20"/>
      <c r="AT3249" s="19"/>
      <c r="AV3249" s="21">
        <f>IF(AND($AL3249&lt;&gt;"",COUNTIF($AL$11:$AL3249,$AL3249)=1),1,0)</f>
        <v>0</v>
      </c>
      <c r="AW3249" s="21">
        <f t="shared" si="187"/>
        <v>0</v>
      </c>
      <c r="AX3249" s="21" t="str">
        <f t="shared" si="186"/>
        <v/>
      </c>
      <c r="AY3249" s="21" t="str">
        <f>IF(AND($AM3249&lt;&gt;"",$AS3249&lt;&gt;"✓"),SUMPRODUCT(($AM$11:$AM3249&lt;&gt;"")*($AS$11:$AS3249&lt;&gt;"✓")),"")</f>
        <v/>
      </c>
      <c r="AZ3249" s="21" t="str">
        <f>IF(AND($AM3249&lt;&gt;"",$AS3249="✓"),SUMPRODUCT(($AM$11:$AM3249&lt;&gt;"")*($AS$11:$AS3249="✓")),"")</f>
        <v/>
      </c>
      <c r="BA3249" s="21" t="str">
        <f>IF($AL3249="","",$AL3249&amp;"|"&amp;COUNTIF($AL$11:$AL3249,$AL3249))</f>
        <v/>
      </c>
    </row>
    <row r="3250" spans="38:53" ht="15" customHeight="1" x14ac:dyDescent="0.25">
      <c r="AL3250" s="31"/>
      <c r="AM3250" s="26"/>
      <c r="AN3250" s="32"/>
      <c r="AO3250" s="32"/>
      <c r="AP3250" s="24"/>
      <c r="AQ3250" s="24"/>
      <c r="AR3250" s="33"/>
      <c r="AS3250" s="34"/>
      <c r="AT3250" s="33"/>
      <c r="AV3250" s="21">
        <f>IF(AND($AL3250&lt;&gt;"",COUNTIF($AL$11:$AL3250,$AL3250)=1),1,0)</f>
        <v>0</v>
      </c>
      <c r="AW3250" s="21">
        <f t="shared" si="187"/>
        <v>0</v>
      </c>
      <c r="AX3250" s="21" t="str">
        <f t="shared" si="186"/>
        <v/>
      </c>
      <c r="AY3250" s="21" t="str">
        <f>IF(AND($AM3250&lt;&gt;"",$AS3250&lt;&gt;"✓"),SUMPRODUCT(($AM$11:$AM3250&lt;&gt;"")*($AS$11:$AS3250&lt;&gt;"✓")),"")</f>
        <v/>
      </c>
      <c r="AZ3250" s="21" t="str">
        <f>IF(AND($AM3250&lt;&gt;"",$AS3250="✓"),SUMPRODUCT(($AM$11:$AM3250&lt;&gt;"")*($AS$11:$AS3250="✓")),"")</f>
        <v/>
      </c>
      <c r="BA3250" s="21" t="str">
        <f>IF($AL3250="","",$AL3250&amp;"|"&amp;COUNTIF($AL$11:$AL3250,$AL3250))</f>
        <v/>
      </c>
    </row>
    <row r="3251" spans="38:53" ht="15" customHeight="1" x14ac:dyDescent="0.25">
      <c r="AL3251" s="17"/>
      <c r="AM3251" s="12"/>
      <c r="AN3251" s="18"/>
      <c r="AO3251" s="18"/>
      <c r="AP3251" s="10"/>
      <c r="AQ3251" s="10"/>
      <c r="AR3251" s="19"/>
      <c r="AS3251" s="20"/>
      <c r="AT3251" s="19"/>
      <c r="AV3251" s="21">
        <f>IF(AND($AL3251&lt;&gt;"",COUNTIF($AL$11:$AL3251,$AL3251)=1),1,0)</f>
        <v>0</v>
      </c>
      <c r="AW3251" s="21">
        <f t="shared" si="187"/>
        <v>0</v>
      </c>
      <c r="AX3251" s="21" t="str">
        <f t="shared" si="186"/>
        <v/>
      </c>
      <c r="AY3251" s="21" t="str">
        <f>IF(AND($AM3251&lt;&gt;"",$AS3251&lt;&gt;"✓"),SUMPRODUCT(($AM$11:$AM3251&lt;&gt;"")*($AS$11:$AS3251&lt;&gt;"✓")),"")</f>
        <v/>
      </c>
      <c r="AZ3251" s="21" t="str">
        <f>IF(AND($AM3251&lt;&gt;"",$AS3251="✓"),SUMPRODUCT(($AM$11:$AM3251&lt;&gt;"")*($AS$11:$AS3251="✓")),"")</f>
        <v/>
      </c>
      <c r="BA3251" s="21" t="str">
        <f>IF($AL3251="","",$AL3251&amp;"|"&amp;COUNTIF($AL$11:$AL3251,$AL3251))</f>
        <v/>
      </c>
    </row>
    <row r="3252" spans="38:53" ht="15" customHeight="1" x14ac:dyDescent="0.25">
      <c r="AL3252" s="31"/>
      <c r="AM3252" s="26"/>
      <c r="AN3252" s="32"/>
      <c r="AO3252" s="32"/>
      <c r="AP3252" s="24"/>
      <c r="AQ3252" s="24"/>
      <c r="AR3252" s="33"/>
      <c r="AS3252" s="34"/>
      <c r="AT3252" s="33"/>
      <c r="AV3252" s="21">
        <f>IF(AND($AL3252&lt;&gt;"",COUNTIF($AL$11:$AL3252,$AL3252)=1),1,0)</f>
        <v>0</v>
      </c>
      <c r="AW3252" s="21">
        <f t="shared" si="187"/>
        <v>0</v>
      </c>
      <c r="AX3252" s="21" t="str">
        <f t="shared" si="186"/>
        <v/>
      </c>
      <c r="AY3252" s="21" t="str">
        <f>IF(AND($AM3252&lt;&gt;"",$AS3252&lt;&gt;"✓"),SUMPRODUCT(($AM$11:$AM3252&lt;&gt;"")*($AS$11:$AS3252&lt;&gt;"✓")),"")</f>
        <v/>
      </c>
      <c r="AZ3252" s="21" t="str">
        <f>IF(AND($AM3252&lt;&gt;"",$AS3252="✓"),SUMPRODUCT(($AM$11:$AM3252&lt;&gt;"")*($AS$11:$AS3252="✓")),"")</f>
        <v/>
      </c>
      <c r="BA3252" s="21" t="str">
        <f>IF($AL3252="","",$AL3252&amp;"|"&amp;COUNTIF($AL$11:$AL3252,$AL3252))</f>
        <v/>
      </c>
    </row>
    <row r="3253" spans="38:53" ht="15" customHeight="1" x14ac:dyDescent="0.25">
      <c r="AL3253" s="17"/>
      <c r="AM3253" s="12"/>
      <c r="AN3253" s="18"/>
      <c r="AO3253" s="18"/>
      <c r="AP3253" s="10"/>
      <c r="AQ3253" s="10"/>
      <c r="AR3253" s="19"/>
      <c r="AS3253" s="20"/>
      <c r="AT3253" s="19"/>
      <c r="AV3253" s="21">
        <f>IF(AND($AL3253&lt;&gt;"",COUNTIF($AL$11:$AL3253,$AL3253)=1),1,0)</f>
        <v>0</v>
      </c>
      <c r="AW3253" s="21">
        <f t="shared" si="187"/>
        <v>0</v>
      </c>
      <c r="AX3253" s="21" t="str">
        <f t="shared" si="186"/>
        <v/>
      </c>
      <c r="AY3253" s="21" t="str">
        <f>IF(AND($AM3253&lt;&gt;"",$AS3253&lt;&gt;"✓"),SUMPRODUCT(($AM$11:$AM3253&lt;&gt;"")*($AS$11:$AS3253&lt;&gt;"✓")),"")</f>
        <v/>
      </c>
      <c r="AZ3253" s="21" t="str">
        <f>IF(AND($AM3253&lt;&gt;"",$AS3253="✓"),SUMPRODUCT(($AM$11:$AM3253&lt;&gt;"")*($AS$11:$AS3253="✓")),"")</f>
        <v/>
      </c>
      <c r="BA3253" s="21" t="str">
        <f>IF($AL3253="","",$AL3253&amp;"|"&amp;COUNTIF($AL$11:$AL3253,$AL3253))</f>
        <v/>
      </c>
    </row>
    <row r="3254" spans="38:53" ht="15" customHeight="1" x14ac:dyDescent="0.25">
      <c r="AL3254" s="31"/>
      <c r="AM3254" s="26"/>
      <c r="AN3254" s="32"/>
      <c r="AO3254" s="32"/>
      <c r="AP3254" s="24"/>
      <c r="AQ3254" s="24"/>
      <c r="AR3254" s="33"/>
      <c r="AS3254" s="34"/>
      <c r="AT3254" s="33"/>
      <c r="AV3254" s="21">
        <f>IF(AND($AL3254&lt;&gt;"",COUNTIF($AL$11:$AL3254,$AL3254)=1),1,0)</f>
        <v>0</v>
      </c>
      <c r="AW3254" s="21">
        <f t="shared" si="187"/>
        <v>0</v>
      </c>
      <c r="AX3254" s="21" t="str">
        <f t="shared" si="186"/>
        <v/>
      </c>
      <c r="AY3254" s="21" t="str">
        <f>IF(AND($AM3254&lt;&gt;"",$AS3254&lt;&gt;"✓"),SUMPRODUCT(($AM$11:$AM3254&lt;&gt;"")*($AS$11:$AS3254&lt;&gt;"✓")),"")</f>
        <v/>
      </c>
      <c r="AZ3254" s="21" t="str">
        <f>IF(AND($AM3254&lt;&gt;"",$AS3254="✓"),SUMPRODUCT(($AM$11:$AM3254&lt;&gt;"")*($AS$11:$AS3254="✓")),"")</f>
        <v/>
      </c>
      <c r="BA3254" s="21" t="str">
        <f>IF($AL3254="","",$AL3254&amp;"|"&amp;COUNTIF($AL$11:$AL3254,$AL3254))</f>
        <v/>
      </c>
    </row>
    <row r="3255" spans="38:53" ht="15" customHeight="1" x14ac:dyDescent="0.25">
      <c r="AL3255" s="17"/>
      <c r="AM3255" s="12"/>
      <c r="AN3255" s="18"/>
      <c r="AO3255" s="18"/>
      <c r="AP3255" s="10"/>
      <c r="AQ3255" s="10"/>
      <c r="AR3255" s="19"/>
      <c r="AS3255" s="20"/>
      <c r="AT3255" s="19"/>
      <c r="AV3255" s="21">
        <f>IF(AND($AL3255&lt;&gt;"",COUNTIF($AL$11:$AL3255,$AL3255)=1),1,0)</f>
        <v>0</v>
      </c>
      <c r="AW3255" s="21">
        <f t="shared" si="187"/>
        <v>0</v>
      </c>
      <c r="AX3255" s="21" t="str">
        <f t="shared" si="186"/>
        <v/>
      </c>
      <c r="AY3255" s="21" t="str">
        <f>IF(AND($AM3255&lt;&gt;"",$AS3255&lt;&gt;"✓"),SUMPRODUCT(($AM$11:$AM3255&lt;&gt;"")*($AS$11:$AS3255&lt;&gt;"✓")),"")</f>
        <v/>
      </c>
      <c r="AZ3255" s="21" t="str">
        <f>IF(AND($AM3255&lt;&gt;"",$AS3255="✓"),SUMPRODUCT(($AM$11:$AM3255&lt;&gt;"")*($AS$11:$AS3255="✓")),"")</f>
        <v/>
      </c>
      <c r="BA3255" s="21" t="str">
        <f>IF($AL3255="","",$AL3255&amp;"|"&amp;COUNTIF($AL$11:$AL3255,$AL3255))</f>
        <v/>
      </c>
    </row>
    <row r="3256" spans="38:53" ht="15" customHeight="1" x14ac:dyDescent="0.25">
      <c r="AL3256" s="31"/>
      <c r="AM3256" s="26"/>
      <c r="AN3256" s="32"/>
      <c r="AO3256" s="32"/>
      <c r="AP3256" s="24"/>
      <c r="AQ3256" s="24"/>
      <c r="AR3256" s="33"/>
      <c r="AS3256" s="34"/>
      <c r="AT3256" s="33"/>
      <c r="AV3256" s="21">
        <f>IF(AND($AL3256&lt;&gt;"",COUNTIF($AL$11:$AL3256,$AL3256)=1),1,0)</f>
        <v>0</v>
      </c>
      <c r="AW3256" s="21">
        <f t="shared" si="187"/>
        <v>0</v>
      </c>
      <c r="AX3256" s="21" t="str">
        <f t="shared" si="186"/>
        <v/>
      </c>
      <c r="AY3256" s="21" t="str">
        <f>IF(AND($AM3256&lt;&gt;"",$AS3256&lt;&gt;"✓"),SUMPRODUCT(($AM$11:$AM3256&lt;&gt;"")*($AS$11:$AS3256&lt;&gt;"✓")),"")</f>
        <v/>
      </c>
      <c r="AZ3256" s="21" t="str">
        <f>IF(AND($AM3256&lt;&gt;"",$AS3256="✓"),SUMPRODUCT(($AM$11:$AM3256&lt;&gt;"")*($AS$11:$AS3256="✓")),"")</f>
        <v/>
      </c>
      <c r="BA3256" s="21" t="str">
        <f>IF($AL3256="","",$AL3256&amp;"|"&amp;COUNTIF($AL$11:$AL3256,$AL3256))</f>
        <v/>
      </c>
    </row>
    <row r="3257" spans="38:53" ht="15" customHeight="1" x14ac:dyDescent="0.25">
      <c r="AL3257" s="17"/>
      <c r="AM3257" s="12"/>
      <c r="AN3257" s="18"/>
      <c r="AO3257" s="18"/>
      <c r="AP3257" s="10"/>
      <c r="AQ3257" s="10"/>
      <c r="AR3257" s="19"/>
      <c r="AS3257" s="20"/>
      <c r="AT3257" s="19"/>
      <c r="AV3257" s="21">
        <f>IF(AND($AL3257&lt;&gt;"",COUNTIF($AL$11:$AL3257,$AL3257)=1),1,0)</f>
        <v>0</v>
      </c>
      <c r="AW3257" s="21">
        <f t="shared" si="187"/>
        <v>0</v>
      </c>
      <c r="AX3257" s="21" t="str">
        <f t="shared" si="186"/>
        <v/>
      </c>
      <c r="AY3257" s="21" t="str">
        <f>IF(AND($AM3257&lt;&gt;"",$AS3257&lt;&gt;"✓"),SUMPRODUCT(($AM$11:$AM3257&lt;&gt;"")*($AS$11:$AS3257&lt;&gt;"✓")),"")</f>
        <v/>
      </c>
      <c r="AZ3257" s="21" t="str">
        <f>IF(AND($AM3257&lt;&gt;"",$AS3257="✓"),SUMPRODUCT(($AM$11:$AM3257&lt;&gt;"")*($AS$11:$AS3257="✓")),"")</f>
        <v/>
      </c>
      <c r="BA3257" s="21" t="str">
        <f>IF($AL3257="","",$AL3257&amp;"|"&amp;COUNTIF($AL$11:$AL3257,$AL3257))</f>
        <v/>
      </c>
    </row>
    <row r="3258" spans="38:53" ht="15" customHeight="1" x14ac:dyDescent="0.25">
      <c r="AL3258" s="31"/>
      <c r="AM3258" s="26"/>
      <c r="AN3258" s="32"/>
      <c r="AO3258" s="32"/>
      <c r="AP3258" s="24"/>
      <c r="AQ3258" s="24"/>
      <c r="AR3258" s="33"/>
      <c r="AS3258" s="34"/>
      <c r="AT3258" s="33"/>
      <c r="AV3258" s="21">
        <f>IF(AND($AL3258&lt;&gt;"",COUNTIF($AL$11:$AL3258,$AL3258)=1),1,0)</f>
        <v>0</v>
      </c>
      <c r="AW3258" s="21">
        <f t="shared" si="187"/>
        <v>0</v>
      </c>
      <c r="AX3258" s="21" t="str">
        <f t="shared" si="186"/>
        <v/>
      </c>
      <c r="AY3258" s="21" t="str">
        <f>IF(AND($AM3258&lt;&gt;"",$AS3258&lt;&gt;"✓"),SUMPRODUCT(($AM$11:$AM3258&lt;&gt;"")*($AS$11:$AS3258&lt;&gt;"✓")),"")</f>
        <v/>
      </c>
      <c r="AZ3258" s="21" t="str">
        <f>IF(AND($AM3258&lt;&gt;"",$AS3258="✓"),SUMPRODUCT(($AM$11:$AM3258&lt;&gt;"")*($AS$11:$AS3258="✓")),"")</f>
        <v/>
      </c>
      <c r="BA3258" s="21" t="str">
        <f>IF($AL3258="","",$AL3258&amp;"|"&amp;COUNTIF($AL$11:$AL3258,$AL3258))</f>
        <v/>
      </c>
    </row>
    <row r="3259" spans="38:53" ht="15" customHeight="1" x14ac:dyDescent="0.25">
      <c r="AL3259" s="17"/>
      <c r="AM3259" s="12"/>
      <c r="AN3259" s="18"/>
      <c r="AO3259" s="18"/>
      <c r="AP3259" s="10"/>
      <c r="AQ3259" s="10"/>
      <c r="AR3259" s="19"/>
      <c r="AS3259" s="20"/>
      <c r="AT3259" s="19"/>
      <c r="AV3259" s="21">
        <f>IF(AND($AL3259&lt;&gt;"",COUNTIF($AL$11:$AL3259,$AL3259)=1),1,0)</f>
        <v>0</v>
      </c>
      <c r="AW3259" s="21">
        <f t="shared" si="187"/>
        <v>0</v>
      </c>
      <c r="AX3259" s="21" t="str">
        <f t="shared" si="186"/>
        <v/>
      </c>
      <c r="AY3259" s="21" t="str">
        <f>IF(AND($AM3259&lt;&gt;"",$AS3259&lt;&gt;"✓"),SUMPRODUCT(($AM$11:$AM3259&lt;&gt;"")*($AS$11:$AS3259&lt;&gt;"✓")),"")</f>
        <v/>
      </c>
      <c r="AZ3259" s="21" t="str">
        <f>IF(AND($AM3259&lt;&gt;"",$AS3259="✓"),SUMPRODUCT(($AM$11:$AM3259&lt;&gt;"")*($AS$11:$AS3259="✓")),"")</f>
        <v/>
      </c>
      <c r="BA3259" s="21" t="str">
        <f>IF($AL3259="","",$AL3259&amp;"|"&amp;COUNTIF($AL$11:$AL3259,$AL3259))</f>
        <v/>
      </c>
    </row>
    <row r="3260" spans="38:53" ht="15" customHeight="1" x14ac:dyDescent="0.25">
      <c r="AL3260" s="31"/>
      <c r="AM3260" s="26"/>
      <c r="AN3260" s="32"/>
      <c r="AO3260" s="32"/>
      <c r="AP3260" s="24"/>
      <c r="AQ3260" s="24"/>
      <c r="AR3260" s="33"/>
      <c r="AS3260" s="34"/>
      <c r="AT3260" s="33"/>
      <c r="AV3260" s="21">
        <f>IF(AND($AL3260&lt;&gt;"",COUNTIF($AL$11:$AL3260,$AL3260)=1),1,0)</f>
        <v>0</v>
      </c>
      <c r="AW3260" s="21">
        <f t="shared" si="187"/>
        <v>0</v>
      </c>
      <c r="AX3260" s="21" t="str">
        <f t="shared" si="186"/>
        <v/>
      </c>
      <c r="AY3260" s="21" t="str">
        <f>IF(AND($AM3260&lt;&gt;"",$AS3260&lt;&gt;"✓"),SUMPRODUCT(($AM$11:$AM3260&lt;&gt;"")*($AS$11:$AS3260&lt;&gt;"✓")),"")</f>
        <v/>
      </c>
      <c r="AZ3260" s="21" t="str">
        <f>IF(AND($AM3260&lt;&gt;"",$AS3260="✓"),SUMPRODUCT(($AM$11:$AM3260&lt;&gt;"")*($AS$11:$AS3260="✓")),"")</f>
        <v/>
      </c>
      <c r="BA3260" s="21" t="str">
        <f>IF($AL3260="","",$AL3260&amp;"|"&amp;COUNTIF($AL$11:$AL3260,$AL3260))</f>
        <v/>
      </c>
    </row>
    <row r="3261" spans="38:53" ht="15" customHeight="1" x14ac:dyDescent="0.25">
      <c r="AL3261" s="17"/>
      <c r="AM3261" s="12"/>
      <c r="AN3261" s="18"/>
      <c r="AO3261" s="18"/>
      <c r="AP3261" s="10"/>
      <c r="AQ3261" s="10"/>
      <c r="AR3261" s="19"/>
      <c r="AS3261" s="20"/>
      <c r="AT3261" s="19"/>
      <c r="AV3261" s="21">
        <f>IF(AND($AL3261&lt;&gt;"",COUNTIF($AL$11:$AL3261,$AL3261)=1),1,0)</f>
        <v>0</v>
      </c>
      <c r="AW3261" s="21">
        <f t="shared" si="187"/>
        <v>0</v>
      </c>
      <c r="AX3261" s="21" t="str">
        <f t="shared" si="186"/>
        <v/>
      </c>
      <c r="AY3261" s="21" t="str">
        <f>IF(AND($AM3261&lt;&gt;"",$AS3261&lt;&gt;"✓"),SUMPRODUCT(($AM$11:$AM3261&lt;&gt;"")*($AS$11:$AS3261&lt;&gt;"✓")),"")</f>
        <v/>
      </c>
      <c r="AZ3261" s="21" t="str">
        <f>IF(AND($AM3261&lt;&gt;"",$AS3261="✓"),SUMPRODUCT(($AM$11:$AM3261&lt;&gt;"")*($AS$11:$AS3261="✓")),"")</f>
        <v/>
      </c>
      <c r="BA3261" s="21" t="str">
        <f>IF($AL3261="","",$AL3261&amp;"|"&amp;COUNTIF($AL$11:$AL3261,$AL3261))</f>
        <v/>
      </c>
    </row>
    <row r="3262" spans="38:53" ht="15" customHeight="1" x14ac:dyDescent="0.25">
      <c r="AL3262" s="31"/>
      <c r="AM3262" s="26"/>
      <c r="AN3262" s="32"/>
      <c r="AO3262" s="32"/>
      <c r="AP3262" s="24"/>
      <c r="AQ3262" s="24"/>
      <c r="AR3262" s="33"/>
      <c r="AS3262" s="34"/>
      <c r="AT3262" s="33"/>
      <c r="AV3262" s="21">
        <f>IF(AND($AL3262&lt;&gt;"",COUNTIF($AL$11:$AL3262,$AL3262)=1),1,0)</f>
        <v>0</v>
      </c>
      <c r="AW3262" s="21">
        <f t="shared" si="187"/>
        <v>0</v>
      </c>
      <c r="AX3262" s="21" t="str">
        <f t="shared" si="186"/>
        <v/>
      </c>
      <c r="AY3262" s="21" t="str">
        <f>IF(AND($AM3262&lt;&gt;"",$AS3262&lt;&gt;"✓"),SUMPRODUCT(($AM$11:$AM3262&lt;&gt;"")*($AS$11:$AS3262&lt;&gt;"✓")),"")</f>
        <v/>
      </c>
      <c r="AZ3262" s="21" t="str">
        <f>IF(AND($AM3262&lt;&gt;"",$AS3262="✓"),SUMPRODUCT(($AM$11:$AM3262&lt;&gt;"")*($AS$11:$AS3262="✓")),"")</f>
        <v/>
      </c>
      <c r="BA3262" s="21" t="str">
        <f>IF($AL3262="","",$AL3262&amp;"|"&amp;COUNTIF($AL$11:$AL3262,$AL3262))</f>
        <v/>
      </c>
    </row>
    <row r="3263" spans="38:53" ht="15" customHeight="1" x14ac:dyDescent="0.25">
      <c r="AL3263" s="17"/>
      <c r="AM3263" s="12"/>
      <c r="AN3263" s="18"/>
      <c r="AO3263" s="18"/>
      <c r="AP3263" s="10"/>
      <c r="AQ3263" s="10"/>
      <c r="AR3263" s="19"/>
      <c r="AS3263" s="20"/>
      <c r="AT3263" s="19"/>
      <c r="AV3263" s="21">
        <f>IF(AND($AL3263&lt;&gt;"",COUNTIF($AL$11:$AL3263,$AL3263)=1),1,0)</f>
        <v>0</v>
      </c>
      <c r="AW3263" s="21">
        <f t="shared" si="187"/>
        <v>0</v>
      </c>
      <c r="AX3263" s="21" t="str">
        <f t="shared" si="186"/>
        <v/>
      </c>
      <c r="AY3263" s="21" t="str">
        <f>IF(AND($AM3263&lt;&gt;"",$AS3263&lt;&gt;"✓"),SUMPRODUCT(($AM$11:$AM3263&lt;&gt;"")*($AS$11:$AS3263&lt;&gt;"✓")),"")</f>
        <v/>
      </c>
      <c r="AZ3263" s="21" t="str">
        <f>IF(AND($AM3263&lt;&gt;"",$AS3263="✓"),SUMPRODUCT(($AM$11:$AM3263&lt;&gt;"")*($AS$11:$AS3263="✓")),"")</f>
        <v/>
      </c>
      <c r="BA3263" s="21" t="str">
        <f>IF($AL3263="","",$AL3263&amp;"|"&amp;COUNTIF($AL$11:$AL3263,$AL3263))</f>
        <v/>
      </c>
    </row>
    <row r="3264" spans="38:53" ht="15" customHeight="1" x14ac:dyDescent="0.25">
      <c r="AL3264" s="31"/>
      <c r="AM3264" s="26"/>
      <c r="AN3264" s="32"/>
      <c r="AO3264" s="32"/>
      <c r="AP3264" s="24"/>
      <c r="AQ3264" s="24"/>
      <c r="AR3264" s="33"/>
      <c r="AS3264" s="34"/>
      <c r="AT3264" s="33"/>
      <c r="AV3264" s="21">
        <f>IF(AND($AL3264&lt;&gt;"",COUNTIF($AL$11:$AL3264,$AL3264)=1),1,0)</f>
        <v>0</v>
      </c>
      <c r="AW3264" s="21">
        <f t="shared" si="187"/>
        <v>0</v>
      </c>
      <c r="AX3264" s="21" t="str">
        <f t="shared" si="186"/>
        <v/>
      </c>
      <c r="AY3264" s="21" t="str">
        <f>IF(AND($AM3264&lt;&gt;"",$AS3264&lt;&gt;"✓"),SUMPRODUCT(($AM$11:$AM3264&lt;&gt;"")*($AS$11:$AS3264&lt;&gt;"✓")),"")</f>
        <v/>
      </c>
      <c r="AZ3264" s="21" t="str">
        <f>IF(AND($AM3264&lt;&gt;"",$AS3264="✓"),SUMPRODUCT(($AM$11:$AM3264&lt;&gt;"")*($AS$11:$AS3264="✓")),"")</f>
        <v/>
      </c>
      <c r="BA3264" s="21" t="str">
        <f>IF($AL3264="","",$AL3264&amp;"|"&amp;COUNTIF($AL$11:$AL3264,$AL3264))</f>
        <v/>
      </c>
    </row>
    <row r="3265" spans="38:53" ht="15" customHeight="1" x14ac:dyDescent="0.25">
      <c r="AL3265" s="17"/>
      <c r="AM3265" s="12"/>
      <c r="AN3265" s="18"/>
      <c r="AO3265" s="18"/>
      <c r="AP3265" s="10"/>
      <c r="AQ3265" s="10"/>
      <c r="AR3265" s="19"/>
      <c r="AS3265" s="20"/>
      <c r="AT3265" s="19"/>
      <c r="AV3265" s="21">
        <f>IF(AND($AL3265&lt;&gt;"",COUNTIF($AL$11:$AL3265,$AL3265)=1),1,0)</f>
        <v>0</v>
      </c>
      <c r="AW3265" s="21">
        <f t="shared" si="187"/>
        <v>0</v>
      </c>
      <c r="AX3265" s="21" t="str">
        <f t="shared" si="186"/>
        <v/>
      </c>
      <c r="AY3265" s="21" t="str">
        <f>IF(AND($AM3265&lt;&gt;"",$AS3265&lt;&gt;"✓"),SUMPRODUCT(($AM$11:$AM3265&lt;&gt;"")*($AS$11:$AS3265&lt;&gt;"✓")),"")</f>
        <v/>
      </c>
      <c r="AZ3265" s="21" t="str">
        <f>IF(AND($AM3265&lt;&gt;"",$AS3265="✓"),SUMPRODUCT(($AM$11:$AM3265&lt;&gt;"")*($AS$11:$AS3265="✓")),"")</f>
        <v/>
      </c>
      <c r="BA3265" s="21" t="str">
        <f>IF($AL3265="","",$AL3265&amp;"|"&amp;COUNTIF($AL$11:$AL3265,$AL3265))</f>
        <v/>
      </c>
    </row>
    <row r="3266" spans="38:53" ht="15" customHeight="1" x14ac:dyDescent="0.25">
      <c r="AL3266" s="31"/>
      <c r="AM3266" s="26"/>
      <c r="AN3266" s="32"/>
      <c r="AO3266" s="32"/>
      <c r="AP3266" s="24"/>
      <c r="AQ3266" s="24"/>
      <c r="AR3266" s="33"/>
      <c r="AS3266" s="34"/>
      <c r="AT3266" s="33"/>
      <c r="AV3266" s="21">
        <f>IF(AND($AL3266&lt;&gt;"",COUNTIF($AL$11:$AL3266,$AL3266)=1),1,0)</f>
        <v>0</v>
      </c>
      <c r="AW3266" s="21">
        <f t="shared" si="187"/>
        <v>0</v>
      </c>
      <c r="AX3266" s="21" t="str">
        <f t="shared" si="186"/>
        <v/>
      </c>
      <c r="AY3266" s="21" t="str">
        <f>IF(AND($AM3266&lt;&gt;"",$AS3266&lt;&gt;"✓"),SUMPRODUCT(($AM$11:$AM3266&lt;&gt;"")*($AS$11:$AS3266&lt;&gt;"✓")),"")</f>
        <v/>
      </c>
      <c r="AZ3266" s="21" t="str">
        <f>IF(AND($AM3266&lt;&gt;"",$AS3266="✓"),SUMPRODUCT(($AM$11:$AM3266&lt;&gt;"")*($AS$11:$AS3266="✓")),"")</f>
        <v/>
      </c>
      <c r="BA3266" s="21" t="str">
        <f>IF($AL3266="","",$AL3266&amp;"|"&amp;COUNTIF($AL$11:$AL3266,$AL3266))</f>
        <v/>
      </c>
    </row>
    <row r="3267" spans="38:53" ht="15" customHeight="1" x14ac:dyDescent="0.25">
      <c r="AL3267" s="17"/>
      <c r="AM3267" s="12"/>
      <c r="AN3267" s="18"/>
      <c r="AO3267" s="18"/>
      <c r="AP3267" s="10"/>
      <c r="AQ3267" s="10"/>
      <c r="AR3267" s="19"/>
      <c r="AS3267" s="20"/>
      <c r="AT3267" s="19"/>
      <c r="AV3267" s="21">
        <f>IF(AND($AL3267&lt;&gt;"",COUNTIF($AL$11:$AL3267,$AL3267)=1),1,0)</f>
        <v>0</v>
      </c>
      <c r="AW3267" s="21">
        <f t="shared" si="187"/>
        <v>0</v>
      </c>
      <c r="AX3267" s="21" t="str">
        <f t="shared" si="186"/>
        <v/>
      </c>
      <c r="AY3267" s="21" t="str">
        <f>IF(AND($AM3267&lt;&gt;"",$AS3267&lt;&gt;"✓"),SUMPRODUCT(($AM$11:$AM3267&lt;&gt;"")*($AS$11:$AS3267&lt;&gt;"✓")),"")</f>
        <v/>
      </c>
      <c r="AZ3267" s="21" t="str">
        <f>IF(AND($AM3267&lt;&gt;"",$AS3267="✓"),SUMPRODUCT(($AM$11:$AM3267&lt;&gt;"")*($AS$11:$AS3267="✓")),"")</f>
        <v/>
      </c>
      <c r="BA3267" s="21" t="str">
        <f>IF($AL3267="","",$AL3267&amp;"|"&amp;COUNTIF($AL$11:$AL3267,$AL3267))</f>
        <v/>
      </c>
    </row>
    <row r="3268" spans="38:53" ht="15" customHeight="1" x14ac:dyDescent="0.25">
      <c r="AL3268" s="31"/>
      <c r="AM3268" s="26"/>
      <c r="AN3268" s="32"/>
      <c r="AO3268" s="32"/>
      <c r="AP3268" s="24"/>
      <c r="AQ3268" s="24"/>
      <c r="AR3268" s="33"/>
      <c r="AS3268" s="34"/>
      <c r="AT3268" s="33"/>
      <c r="AV3268" s="21">
        <f>IF(AND($AL3268&lt;&gt;"",COUNTIF($AL$11:$AL3268,$AL3268)=1),1,0)</f>
        <v>0</v>
      </c>
      <c r="AW3268" s="21">
        <f t="shared" si="187"/>
        <v>0</v>
      </c>
      <c r="AX3268" s="21" t="str">
        <f t="shared" si="186"/>
        <v/>
      </c>
      <c r="AY3268" s="21" t="str">
        <f>IF(AND($AM3268&lt;&gt;"",$AS3268&lt;&gt;"✓"),SUMPRODUCT(($AM$11:$AM3268&lt;&gt;"")*($AS$11:$AS3268&lt;&gt;"✓")),"")</f>
        <v/>
      </c>
      <c r="AZ3268" s="21" t="str">
        <f>IF(AND($AM3268&lt;&gt;"",$AS3268="✓"),SUMPRODUCT(($AM$11:$AM3268&lt;&gt;"")*($AS$11:$AS3268="✓")),"")</f>
        <v/>
      </c>
      <c r="BA3268" s="21" t="str">
        <f>IF($AL3268="","",$AL3268&amp;"|"&amp;COUNTIF($AL$11:$AL3268,$AL3268))</f>
        <v/>
      </c>
    </row>
    <row r="3269" spans="38:53" ht="15" customHeight="1" x14ac:dyDescent="0.25">
      <c r="AL3269" s="17"/>
      <c r="AM3269" s="12"/>
      <c r="AN3269" s="18"/>
      <c r="AO3269" s="18"/>
      <c r="AP3269" s="10"/>
      <c r="AQ3269" s="10"/>
      <c r="AR3269" s="19"/>
      <c r="AS3269" s="20"/>
      <c r="AT3269" s="19"/>
      <c r="AV3269" s="21">
        <f>IF(AND($AL3269&lt;&gt;"",COUNTIF($AL$11:$AL3269,$AL3269)=1),1,0)</f>
        <v>0</v>
      </c>
      <c r="AW3269" s="21">
        <f t="shared" si="187"/>
        <v>0</v>
      </c>
      <c r="AX3269" s="21" t="str">
        <f t="shared" si="186"/>
        <v/>
      </c>
      <c r="AY3269" s="21" t="str">
        <f>IF(AND($AM3269&lt;&gt;"",$AS3269&lt;&gt;"✓"),SUMPRODUCT(($AM$11:$AM3269&lt;&gt;"")*($AS$11:$AS3269&lt;&gt;"✓")),"")</f>
        <v/>
      </c>
      <c r="AZ3269" s="21" t="str">
        <f>IF(AND($AM3269&lt;&gt;"",$AS3269="✓"),SUMPRODUCT(($AM$11:$AM3269&lt;&gt;"")*($AS$11:$AS3269="✓")),"")</f>
        <v/>
      </c>
      <c r="BA3269" s="21" t="str">
        <f>IF($AL3269="","",$AL3269&amp;"|"&amp;COUNTIF($AL$11:$AL3269,$AL3269))</f>
        <v/>
      </c>
    </row>
    <row r="3270" spans="38:53" ht="15" customHeight="1" x14ac:dyDescent="0.25">
      <c r="AL3270" s="31"/>
      <c r="AM3270" s="26"/>
      <c r="AN3270" s="32"/>
      <c r="AO3270" s="32"/>
      <c r="AP3270" s="24"/>
      <c r="AQ3270" s="24"/>
      <c r="AR3270" s="33"/>
      <c r="AS3270" s="34"/>
      <c r="AT3270" s="33"/>
      <c r="AV3270" s="21">
        <f>IF(AND($AL3270&lt;&gt;"",COUNTIF($AL$11:$AL3270,$AL3270)=1),1,0)</f>
        <v>0</v>
      </c>
      <c r="AW3270" s="21">
        <f t="shared" si="187"/>
        <v>0</v>
      </c>
      <c r="AX3270" s="21" t="str">
        <f t="shared" si="186"/>
        <v/>
      </c>
      <c r="AY3270" s="21" t="str">
        <f>IF(AND($AM3270&lt;&gt;"",$AS3270&lt;&gt;"✓"),SUMPRODUCT(($AM$11:$AM3270&lt;&gt;"")*($AS$11:$AS3270&lt;&gt;"✓")),"")</f>
        <v/>
      </c>
      <c r="AZ3270" s="21" t="str">
        <f>IF(AND($AM3270&lt;&gt;"",$AS3270="✓"),SUMPRODUCT(($AM$11:$AM3270&lt;&gt;"")*($AS$11:$AS3270="✓")),"")</f>
        <v/>
      </c>
      <c r="BA3270" s="21" t="str">
        <f>IF($AL3270="","",$AL3270&amp;"|"&amp;COUNTIF($AL$11:$AL3270,$AL3270))</f>
        <v/>
      </c>
    </row>
    <row r="3271" spans="38:53" ht="15" customHeight="1" x14ac:dyDescent="0.25">
      <c r="AL3271" s="17"/>
      <c r="AM3271" s="12"/>
      <c r="AN3271" s="18"/>
      <c r="AO3271" s="18"/>
      <c r="AP3271" s="10"/>
      <c r="AQ3271" s="10"/>
      <c r="AR3271" s="19"/>
      <c r="AS3271" s="20"/>
      <c r="AT3271" s="19"/>
      <c r="AV3271" s="21">
        <f>IF(AND($AL3271&lt;&gt;"",COUNTIF($AL$11:$AL3271,$AL3271)=1),1,0)</f>
        <v>0</v>
      </c>
      <c r="AW3271" s="21">
        <f t="shared" si="187"/>
        <v>0</v>
      </c>
      <c r="AX3271" s="21" t="str">
        <f t="shared" si="186"/>
        <v/>
      </c>
      <c r="AY3271" s="21" t="str">
        <f>IF(AND($AM3271&lt;&gt;"",$AS3271&lt;&gt;"✓"),SUMPRODUCT(($AM$11:$AM3271&lt;&gt;"")*($AS$11:$AS3271&lt;&gt;"✓")),"")</f>
        <v/>
      </c>
      <c r="AZ3271" s="21" t="str">
        <f>IF(AND($AM3271&lt;&gt;"",$AS3271="✓"),SUMPRODUCT(($AM$11:$AM3271&lt;&gt;"")*($AS$11:$AS3271="✓")),"")</f>
        <v/>
      </c>
      <c r="BA3271" s="21" t="str">
        <f>IF($AL3271="","",$AL3271&amp;"|"&amp;COUNTIF($AL$11:$AL3271,$AL3271))</f>
        <v/>
      </c>
    </row>
    <row r="3272" spans="38:53" ht="15" customHeight="1" x14ac:dyDescent="0.25">
      <c r="AL3272" s="31"/>
      <c r="AM3272" s="26"/>
      <c r="AN3272" s="32"/>
      <c r="AO3272" s="32"/>
      <c r="AP3272" s="24"/>
      <c r="AQ3272" s="24"/>
      <c r="AR3272" s="33"/>
      <c r="AS3272" s="34"/>
      <c r="AT3272" s="33"/>
      <c r="AV3272" s="21">
        <f>IF(AND($AL3272&lt;&gt;"",COUNTIF($AL$11:$AL3272,$AL3272)=1),1,0)</f>
        <v>0</v>
      </c>
      <c r="AW3272" s="21">
        <f t="shared" si="187"/>
        <v>0</v>
      </c>
      <c r="AX3272" s="21" t="str">
        <f t="shared" si="186"/>
        <v/>
      </c>
      <c r="AY3272" s="21" t="str">
        <f>IF(AND($AM3272&lt;&gt;"",$AS3272&lt;&gt;"✓"),SUMPRODUCT(($AM$11:$AM3272&lt;&gt;"")*($AS$11:$AS3272&lt;&gt;"✓")),"")</f>
        <v/>
      </c>
      <c r="AZ3272" s="21" t="str">
        <f>IF(AND($AM3272&lt;&gt;"",$AS3272="✓"),SUMPRODUCT(($AM$11:$AM3272&lt;&gt;"")*($AS$11:$AS3272="✓")),"")</f>
        <v/>
      </c>
      <c r="BA3272" s="21" t="str">
        <f>IF($AL3272="","",$AL3272&amp;"|"&amp;COUNTIF($AL$11:$AL3272,$AL3272))</f>
        <v/>
      </c>
    </row>
    <row r="3273" spans="38:53" ht="15" customHeight="1" x14ac:dyDescent="0.25">
      <c r="AL3273" s="17"/>
      <c r="AM3273" s="12"/>
      <c r="AN3273" s="18"/>
      <c r="AO3273" s="18"/>
      <c r="AP3273" s="10"/>
      <c r="AQ3273" s="10"/>
      <c r="AR3273" s="19"/>
      <c r="AS3273" s="20"/>
      <c r="AT3273" s="19"/>
      <c r="AV3273" s="21">
        <f>IF(AND($AL3273&lt;&gt;"",COUNTIF($AL$11:$AL3273,$AL3273)=1),1,0)</f>
        <v>0</v>
      </c>
      <c r="AW3273" s="21">
        <f t="shared" si="187"/>
        <v>0</v>
      </c>
      <c r="AX3273" s="21" t="str">
        <f t="shared" si="186"/>
        <v/>
      </c>
      <c r="AY3273" s="21" t="str">
        <f>IF(AND($AM3273&lt;&gt;"",$AS3273&lt;&gt;"✓"),SUMPRODUCT(($AM$11:$AM3273&lt;&gt;"")*($AS$11:$AS3273&lt;&gt;"✓")),"")</f>
        <v/>
      </c>
      <c r="AZ3273" s="21" t="str">
        <f>IF(AND($AM3273&lt;&gt;"",$AS3273="✓"),SUMPRODUCT(($AM$11:$AM3273&lt;&gt;"")*($AS$11:$AS3273="✓")),"")</f>
        <v/>
      </c>
      <c r="BA3273" s="21" t="str">
        <f>IF($AL3273="","",$AL3273&amp;"|"&amp;COUNTIF($AL$11:$AL3273,$AL3273))</f>
        <v/>
      </c>
    </row>
    <row r="3274" spans="38:53" ht="15" customHeight="1" x14ac:dyDescent="0.25">
      <c r="AL3274" s="31"/>
      <c r="AM3274" s="26"/>
      <c r="AN3274" s="32"/>
      <c r="AO3274" s="32"/>
      <c r="AP3274" s="24"/>
      <c r="AQ3274" s="24"/>
      <c r="AR3274" s="33"/>
      <c r="AS3274" s="34"/>
      <c r="AT3274" s="33"/>
      <c r="AV3274" s="21">
        <f>IF(AND($AL3274&lt;&gt;"",COUNTIF($AL$11:$AL3274,$AL3274)=1),1,0)</f>
        <v>0</v>
      </c>
      <c r="AW3274" s="21">
        <f t="shared" si="187"/>
        <v>0</v>
      </c>
      <c r="AX3274" s="21" t="str">
        <f t="shared" si="186"/>
        <v/>
      </c>
      <c r="AY3274" s="21" t="str">
        <f>IF(AND($AM3274&lt;&gt;"",$AS3274&lt;&gt;"✓"),SUMPRODUCT(($AM$11:$AM3274&lt;&gt;"")*($AS$11:$AS3274&lt;&gt;"✓")),"")</f>
        <v/>
      </c>
      <c r="AZ3274" s="21" t="str">
        <f>IF(AND($AM3274&lt;&gt;"",$AS3274="✓"),SUMPRODUCT(($AM$11:$AM3274&lt;&gt;"")*($AS$11:$AS3274="✓")),"")</f>
        <v/>
      </c>
      <c r="BA3274" s="21" t="str">
        <f>IF($AL3274="","",$AL3274&amp;"|"&amp;COUNTIF($AL$11:$AL3274,$AL3274))</f>
        <v/>
      </c>
    </row>
    <row r="3275" spans="38:53" ht="15" customHeight="1" x14ac:dyDescent="0.25">
      <c r="AL3275" s="17"/>
      <c r="AM3275" s="12"/>
      <c r="AN3275" s="18"/>
      <c r="AO3275" s="18"/>
      <c r="AP3275" s="10"/>
      <c r="AQ3275" s="10"/>
      <c r="AR3275" s="19"/>
      <c r="AS3275" s="20"/>
      <c r="AT3275" s="19"/>
      <c r="AV3275" s="21">
        <f>IF(AND($AL3275&lt;&gt;"",COUNTIF($AL$11:$AL3275,$AL3275)=1),1,0)</f>
        <v>0</v>
      </c>
      <c r="AW3275" s="21">
        <f t="shared" si="187"/>
        <v>0</v>
      </c>
      <c r="AX3275" s="21" t="str">
        <f t="shared" ref="AX3275:AX3338" si="188">IF(AV3275=1,AW3275,"")</f>
        <v/>
      </c>
      <c r="AY3275" s="21" t="str">
        <f>IF(AND($AM3275&lt;&gt;"",$AS3275&lt;&gt;"✓"),SUMPRODUCT(($AM$11:$AM3275&lt;&gt;"")*($AS$11:$AS3275&lt;&gt;"✓")),"")</f>
        <v/>
      </c>
      <c r="AZ3275" s="21" t="str">
        <f>IF(AND($AM3275&lt;&gt;"",$AS3275="✓"),SUMPRODUCT(($AM$11:$AM3275&lt;&gt;"")*($AS$11:$AS3275="✓")),"")</f>
        <v/>
      </c>
      <c r="BA3275" s="21" t="str">
        <f>IF($AL3275="","",$AL3275&amp;"|"&amp;COUNTIF($AL$11:$AL3275,$AL3275))</f>
        <v/>
      </c>
    </row>
    <row r="3276" spans="38:53" ht="15" customHeight="1" x14ac:dyDescent="0.25">
      <c r="AL3276" s="31"/>
      <c r="AM3276" s="26"/>
      <c r="AN3276" s="32"/>
      <c r="AO3276" s="32"/>
      <c r="AP3276" s="24"/>
      <c r="AQ3276" s="24"/>
      <c r="AR3276" s="33"/>
      <c r="AS3276" s="34"/>
      <c r="AT3276" s="33"/>
      <c r="AV3276" s="21">
        <f>IF(AND($AL3276&lt;&gt;"",COUNTIF($AL$11:$AL3276,$AL3276)=1),1,0)</f>
        <v>0</v>
      </c>
      <c r="AW3276" s="21">
        <f t="shared" ref="AW3276:AW3339" si="189">AW3275+AV3276</f>
        <v>0</v>
      </c>
      <c r="AX3276" s="21" t="str">
        <f t="shared" si="188"/>
        <v/>
      </c>
      <c r="AY3276" s="21" t="str">
        <f>IF(AND($AM3276&lt;&gt;"",$AS3276&lt;&gt;"✓"),SUMPRODUCT(($AM$11:$AM3276&lt;&gt;"")*($AS$11:$AS3276&lt;&gt;"✓")),"")</f>
        <v/>
      </c>
      <c r="AZ3276" s="21" t="str">
        <f>IF(AND($AM3276&lt;&gt;"",$AS3276="✓"),SUMPRODUCT(($AM$11:$AM3276&lt;&gt;"")*($AS$11:$AS3276="✓")),"")</f>
        <v/>
      </c>
      <c r="BA3276" s="21" t="str">
        <f>IF($AL3276="","",$AL3276&amp;"|"&amp;COUNTIF($AL$11:$AL3276,$AL3276))</f>
        <v/>
      </c>
    </row>
    <row r="3277" spans="38:53" ht="15" customHeight="1" x14ac:dyDescent="0.25">
      <c r="AL3277" s="17"/>
      <c r="AM3277" s="12"/>
      <c r="AN3277" s="18"/>
      <c r="AO3277" s="18"/>
      <c r="AP3277" s="10"/>
      <c r="AQ3277" s="10"/>
      <c r="AR3277" s="19"/>
      <c r="AS3277" s="20"/>
      <c r="AT3277" s="19"/>
      <c r="AV3277" s="21">
        <f>IF(AND($AL3277&lt;&gt;"",COUNTIF($AL$11:$AL3277,$AL3277)=1),1,0)</f>
        <v>0</v>
      </c>
      <c r="AW3277" s="21">
        <f t="shared" si="189"/>
        <v>0</v>
      </c>
      <c r="AX3277" s="21" t="str">
        <f t="shared" si="188"/>
        <v/>
      </c>
      <c r="AY3277" s="21" t="str">
        <f>IF(AND($AM3277&lt;&gt;"",$AS3277&lt;&gt;"✓"),SUMPRODUCT(($AM$11:$AM3277&lt;&gt;"")*($AS$11:$AS3277&lt;&gt;"✓")),"")</f>
        <v/>
      </c>
      <c r="AZ3277" s="21" t="str">
        <f>IF(AND($AM3277&lt;&gt;"",$AS3277="✓"),SUMPRODUCT(($AM$11:$AM3277&lt;&gt;"")*($AS$11:$AS3277="✓")),"")</f>
        <v/>
      </c>
      <c r="BA3277" s="21" t="str">
        <f>IF($AL3277="","",$AL3277&amp;"|"&amp;COUNTIF($AL$11:$AL3277,$AL3277))</f>
        <v/>
      </c>
    </row>
    <row r="3278" spans="38:53" ht="15" customHeight="1" x14ac:dyDescent="0.25">
      <c r="AL3278" s="31"/>
      <c r="AM3278" s="26"/>
      <c r="AN3278" s="32"/>
      <c r="AO3278" s="32"/>
      <c r="AP3278" s="24"/>
      <c r="AQ3278" s="24"/>
      <c r="AR3278" s="33"/>
      <c r="AS3278" s="34"/>
      <c r="AT3278" s="33"/>
      <c r="AV3278" s="21">
        <f>IF(AND($AL3278&lt;&gt;"",COUNTIF($AL$11:$AL3278,$AL3278)=1),1,0)</f>
        <v>0</v>
      </c>
      <c r="AW3278" s="21">
        <f t="shared" si="189"/>
        <v>0</v>
      </c>
      <c r="AX3278" s="21" t="str">
        <f t="shared" si="188"/>
        <v/>
      </c>
      <c r="AY3278" s="21" t="str">
        <f>IF(AND($AM3278&lt;&gt;"",$AS3278&lt;&gt;"✓"),SUMPRODUCT(($AM$11:$AM3278&lt;&gt;"")*($AS$11:$AS3278&lt;&gt;"✓")),"")</f>
        <v/>
      </c>
      <c r="AZ3278" s="21" t="str">
        <f>IF(AND($AM3278&lt;&gt;"",$AS3278="✓"),SUMPRODUCT(($AM$11:$AM3278&lt;&gt;"")*($AS$11:$AS3278="✓")),"")</f>
        <v/>
      </c>
      <c r="BA3278" s="21" t="str">
        <f>IF($AL3278="","",$AL3278&amp;"|"&amp;COUNTIF($AL$11:$AL3278,$AL3278))</f>
        <v/>
      </c>
    </row>
    <row r="3279" spans="38:53" ht="15" customHeight="1" x14ac:dyDescent="0.25">
      <c r="AL3279" s="17"/>
      <c r="AM3279" s="12"/>
      <c r="AN3279" s="18"/>
      <c r="AO3279" s="18"/>
      <c r="AP3279" s="10"/>
      <c r="AQ3279" s="10"/>
      <c r="AR3279" s="19"/>
      <c r="AS3279" s="20"/>
      <c r="AT3279" s="19"/>
      <c r="AV3279" s="21">
        <f>IF(AND($AL3279&lt;&gt;"",COUNTIF($AL$11:$AL3279,$AL3279)=1),1,0)</f>
        <v>0</v>
      </c>
      <c r="AW3279" s="21">
        <f t="shared" si="189"/>
        <v>0</v>
      </c>
      <c r="AX3279" s="21" t="str">
        <f t="shared" si="188"/>
        <v/>
      </c>
      <c r="AY3279" s="21" t="str">
        <f>IF(AND($AM3279&lt;&gt;"",$AS3279&lt;&gt;"✓"),SUMPRODUCT(($AM$11:$AM3279&lt;&gt;"")*($AS$11:$AS3279&lt;&gt;"✓")),"")</f>
        <v/>
      </c>
      <c r="AZ3279" s="21" t="str">
        <f>IF(AND($AM3279&lt;&gt;"",$AS3279="✓"),SUMPRODUCT(($AM$11:$AM3279&lt;&gt;"")*($AS$11:$AS3279="✓")),"")</f>
        <v/>
      </c>
      <c r="BA3279" s="21" t="str">
        <f>IF($AL3279="","",$AL3279&amp;"|"&amp;COUNTIF($AL$11:$AL3279,$AL3279))</f>
        <v/>
      </c>
    </row>
    <row r="3280" spans="38:53" ht="15" customHeight="1" x14ac:dyDescent="0.25">
      <c r="AL3280" s="31"/>
      <c r="AM3280" s="26"/>
      <c r="AN3280" s="32"/>
      <c r="AO3280" s="32"/>
      <c r="AP3280" s="24"/>
      <c r="AQ3280" s="24"/>
      <c r="AR3280" s="33"/>
      <c r="AS3280" s="34"/>
      <c r="AT3280" s="33"/>
      <c r="AV3280" s="21">
        <f>IF(AND($AL3280&lt;&gt;"",COUNTIF($AL$11:$AL3280,$AL3280)=1),1,0)</f>
        <v>0</v>
      </c>
      <c r="AW3280" s="21">
        <f t="shared" si="189"/>
        <v>0</v>
      </c>
      <c r="AX3280" s="21" t="str">
        <f t="shared" si="188"/>
        <v/>
      </c>
      <c r="AY3280" s="21" t="str">
        <f>IF(AND($AM3280&lt;&gt;"",$AS3280&lt;&gt;"✓"),SUMPRODUCT(($AM$11:$AM3280&lt;&gt;"")*($AS$11:$AS3280&lt;&gt;"✓")),"")</f>
        <v/>
      </c>
      <c r="AZ3280" s="21" t="str">
        <f>IF(AND($AM3280&lt;&gt;"",$AS3280="✓"),SUMPRODUCT(($AM$11:$AM3280&lt;&gt;"")*($AS$11:$AS3280="✓")),"")</f>
        <v/>
      </c>
      <c r="BA3280" s="21" t="str">
        <f>IF($AL3280="","",$AL3280&amp;"|"&amp;COUNTIF($AL$11:$AL3280,$AL3280))</f>
        <v/>
      </c>
    </row>
    <row r="3281" spans="38:53" ht="15" customHeight="1" x14ac:dyDescent="0.25">
      <c r="AL3281" s="17"/>
      <c r="AM3281" s="12"/>
      <c r="AN3281" s="18"/>
      <c r="AO3281" s="18"/>
      <c r="AP3281" s="10"/>
      <c r="AQ3281" s="10"/>
      <c r="AR3281" s="19"/>
      <c r="AS3281" s="20"/>
      <c r="AT3281" s="19"/>
      <c r="AV3281" s="21">
        <f>IF(AND($AL3281&lt;&gt;"",COUNTIF($AL$11:$AL3281,$AL3281)=1),1,0)</f>
        <v>0</v>
      </c>
      <c r="AW3281" s="21">
        <f t="shared" si="189"/>
        <v>0</v>
      </c>
      <c r="AX3281" s="21" t="str">
        <f t="shared" si="188"/>
        <v/>
      </c>
      <c r="AY3281" s="21" t="str">
        <f>IF(AND($AM3281&lt;&gt;"",$AS3281&lt;&gt;"✓"),SUMPRODUCT(($AM$11:$AM3281&lt;&gt;"")*($AS$11:$AS3281&lt;&gt;"✓")),"")</f>
        <v/>
      </c>
      <c r="AZ3281" s="21" t="str">
        <f>IF(AND($AM3281&lt;&gt;"",$AS3281="✓"),SUMPRODUCT(($AM$11:$AM3281&lt;&gt;"")*($AS$11:$AS3281="✓")),"")</f>
        <v/>
      </c>
      <c r="BA3281" s="21" t="str">
        <f>IF($AL3281="","",$AL3281&amp;"|"&amp;COUNTIF($AL$11:$AL3281,$AL3281))</f>
        <v/>
      </c>
    </row>
    <row r="3282" spans="38:53" ht="15" customHeight="1" x14ac:dyDescent="0.25">
      <c r="AL3282" s="31"/>
      <c r="AM3282" s="26"/>
      <c r="AN3282" s="32"/>
      <c r="AO3282" s="32"/>
      <c r="AP3282" s="24"/>
      <c r="AQ3282" s="24"/>
      <c r="AR3282" s="33"/>
      <c r="AS3282" s="34"/>
      <c r="AT3282" s="33"/>
      <c r="AV3282" s="21">
        <f>IF(AND($AL3282&lt;&gt;"",COUNTIF($AL$11:$AL3282,$AL3282)=1),1,0)</f>
        <v>0</v>
      </c>
      <c r="AW3282" s="21">
        <f t="shared" si="189"/>
        <v>0</v>
      </c>
      <c r="AX3282" s="21" t="str">
        <f t="shared" si="188"/>
        <v/>
      </c>
      <c r="AY3282" s="21" t="str">
        <f>IF(AND($AM3282&lt;&gt;"",$AS3282&lt;&gt;"✓"),SUMPRODUCT(($AM$11:$AM3282&lt;&gt;"")*($AS$11:$AS3282&lt;&gt;"✓")),"")</f>
        <v/>
      </c>
      <c r="AZ3282" s="21" t="str">
        <f>IF(AND($AM3282&lt;&gt;"",$AS3282="✓"),SUMPRODUCT(($AM$11:$AM3282&lt;&gt;"")*($AS$11:$AS3282="✓")),"")</f>
        <v/>
      </c>
      <c r="BA3282" s="21" t="str">
        <f>IF($AL3282="","",$AL3282&amp;"|"&amp;COUNTIF($AL$11:$AL3282,$AL3282))</f>
        <v/>
      </c>
    </row>
    <row r="3283" spans="38:53" ht="15" customHeight="1" x14ac:dyDescent="0.25">
      <c r="AL3283" s="17"/>
      <c r="AM3283" s="12"/>
      <c r="AN3283" s="18"/>
      <c r="AO3283" s="18"/>
      <c r="AP3283" s="10"/>
      <c r="AQ3283" s="10"/>
      <c r="AR3283" s="19"/>
      <c r="AS3283" s="20"/>
      <c r="AT3283" s="19"/>
      <c r="AV3283" s="21">
        <f>IF(AND($AL3283&lt;&gt;"",COUNTIF($AL$11:$AL3283,$AL3283)=1),1,0)</f>
        <v>0</v>
      </c>
      <c r="AW3283" s="21">
        <f t="shared" si="189"/>
        <v>0</v>
      </c>
      <c r="AX3283" s="21" t="str">
        <f t="shared" si="188"/>
        <v/>
      </c>
      <c r="AY3283" s="21" t="str">
        <f>IF(AND($AM3283&lt;&gt;"",$AS3283&lt;&gt;"✓"),SUMPRODUCT(($AM$11:$AM3283&lt;&gt;"")*($AS$11:$AS3283&lt;&gt;"✓")),"")</f>
        <v/>
      </c>
      <c r="AZ3283" s="21" t="str">
        <f>IF(AND($AM3283&lt;&gt;"",$AS3283="✓"),SUMPRODUCT(($AM$11:$AM3283&lt;&gt;"")*($AS$11:$AS3283="✓")),"")</f>
        <v/>
      </c>
      <c r="BA3283" s="21" t="str">
        <f>IF($AL3283="","",$AL3283&amp;"|"&amp;COUNTIF($AL$11:$AL3283,$AL3283))</f>
        <v/>
      </c>
    </row>
    <row r="3284" spans="38:53" ht="15" customHeight="1" x14ac:dyDescent="0.25">
      <c r="AL3284" s="31"/>
      <c r="AM3284" s="26"/>
      <c r="AN3284" s="32"/>
      <c r="AO3284" s="32"/>
      <c r="AP3284" s="24"/>
      <c r="AQ3284" s="24"/>
      <c r="AR3284" s="33"/>
      <c r="AS3284" s="34"/>
      <c r="AT3284" s="33"/>
      <c r="AV3284" s="21">
        <f>IF(AND($AL3284&lt;&gt;"",COUNTIF($AL$11:$AL3284,$AL3284)=1),1,0)</f>
        <v>0</v>
      </c>
      <c r="AW3284" s="21">
        <f t="shared" si="189"/>
        <v>0</v>
      </c>
      <c r="AX3284" s="21" t="str">
        <f t="shared" si="188"/>
        <v/>
      </c>
      <c r="AY3284" s="21" t="str">
        <f>IF(AND($AM3284&lt;&gt;"",$AS3284&lt;&gt;"✓"),SUMPRODUCT(($AM$11:$AM3284&lt;&gt;"")*($AS$11:$AS3284&lt;&gt;"✓")),"")</f>
        <v/>
      </c>
      <c r="AZ3284" s="21" t="str">
        <f>IF(AND($AM3284&lt;&gt;"",$AS3284="✓"),SUMPRODUCT(($AM$11:$AM3284&lt;&gt;"")*($AS$11:$AS3284="✓")),"")</f>
        <v/>
      </c>
      <c r="BA3284" s="21" t="str">
        <f>IF($AL3284="","",$AL3284&amp;"|"&amp;COUNTIF($AL$11:$AL3284,$AL3284))</f>
        <v/>
      </c>
    </row>
    <row r="3285" spans="38:53" ht="15" customHeight="1" x14ac:dyDescent="0.25">
      <c r="AL3285" s="17"/>
      <c r="AM3285" s="12"/>
      <c r="AN3285" s="18"/>
      <c r="AO3285" s="18"/>
      <c r="AP3285" s="10"/>
      <c r="AQ3285" s="10"/>
      <c r="AR3285" s="19"/>
      <c r="AS3285" s="20"/>
      <c r="AT3285" s="19"/>
      <c r="AV3285" s="21">
        <f>IF(AND($AL3285&lt;&gt;"",COUNTIF($AL$11:$AL3285,$AL3285)=1),1,0)</f>
        <v>0</v>
      </c>
      <c r="AW3285" s="21">
        <f t="shared" si="189"/>
        <v>0</v>
      </c>
      <c r="AX3285" s="21" t="str">
        <f t="shared" si="188"/>
        <v/>
      </c>
      <c r="AY3285" s="21" t="str">
        <f>IF(AND($AM3285&lt;&gt;"",$AS3285&lt;&gt;"✓"),SUMPRODUCT(($AM$11:$AM3285&lt;&gt;"")*($AS$11:$AS3285&lt;&gt;"✓")),"")</f>
        <v/>
      </c>
      <c r="AZ3285" s="21" t="str">
        <f>IF(AND($AM3285&lt;&gt;"",$AS3285="✓"),SUMPRODUCT(($AM$11:$AM3285&lt;&gt;"")*($AS$11:$AS3285="✓")),"")</f>
        <v/>
      </c>
      <c r="BA3285" s="21" t="str">
        <f>IF($AL3285="","",$AL3285&amp;"|"&amp;COUNTIF($AL$11:$AL3285,$AL3285))</f>
        <v/>
      </c>
    </row>
    <row r="3286" spans="38:53" ht="15" customHeight="1" x14ac:dyDescent="0.25">
      <c r="AL3286" s="31"/>
      <c r="AM3286" s="26"/>
      <c r="AN3286" s="32"/>
      <c r="AO3286" s="32"/>
      <c r="AP3286" s="24"/>
      <c r="AQ3286" s="24"/>
      <c r="AR3286" s="33"/>
      <c r="AS3286" s="34"/>
      <c r="AT3286" s="33"/>
      <c r="AV3286" s="21">
        <f>IF(AND($AL3286&lt;&gt;"",COUNTIF($AL$11:$AL3286,$AL3286)=1),1,0)</f>
        <v>0</v>
      </c>
      <c r="AW3286" s="21">
        <f t="shared" si="189"/>
        <v>0</v>
      </c>
      <c r="AX3286" s="21" t="str">
        <f t="shared" si="188"/>
        <v/>
      </c>
      <c r="AY3286" s="21" t="str">
        <f>IF(AND($AM3286&lt;&gt;"",$AS3286&lt;&gt;"✓"),SUMPRODUCT(($AM$11:$AM3286&lt;&gt;"")*($AS$11:$AS3286&lt;&gt;"✓")),"")</f>
        <v/>
      </c>
      <c r="AZ3286" s="21" t="str">
        <f>IF(AND($AM3286&lt;&gt;"",$AS3286="✓"),SUMPRODUCT(($AM$11:$AM3286&lt;&gt;"")*($AS$11:$AS3286="✓")),"")</f>
        <v/>
      </c>
      <c r="BA3286" s="21" t="str">
        <f>IF($AL3286="","",$AL3286&amp;"|"&amp;COUNTIF($AL$11:$AL3286,$AL3286))</f>
        <v/>
      </c>
    </row>
    <row r="3287" spans="38:53" ht="15" customHeight="1" x14ac:dyDescent="0.25">
      <c r="AL3287" s="17"/>
      <c r="AM3287" s="12"/>
      <c r="AN3287" s="18"/>
      <c r="AO3287" s="18"/>
      <c r="AP3287" s="10"/>
      <c r="AQ3287" s="10"/>
      <c r="AR3287" s="19"/>
      <c r="AS3287" s="20"/>
      <c r="AT3287" s="19"/>
      <c r="AV3287" s="21">
        <f>IF(AND($AL3287&lt;&gt;"",COUNTIF($AL$11:$AL3287,$AL3287)=1),1,0)</f>
        <v>0</v>
      </c>
      <c r="AW3287" s="21">
        <f t="shared" si="189"/>
        <v>0</v>
      </c>
      <c r="AX3287" s="21" t="str">
        <f t="shared" si="188"/>
        <v/>
      </c>
      <c r="AY3287" s="21" t="str">
        <f>IF(AND($AM3287&lt;&gt;"",$AS3287&lt;&gt;"✓"),SUMPRODUCT(($AM$11:$AM3287&lt;&gt;"")*($AS$11:$AS3287&lt;&gt;"✓")),"")</f>
        <v/>
      </c>
      <c r="AZ3287" s="21" t="str">
        <f>IF(AND($AM3287&lt;&gt;"",$AS3287="✓"),SUMPRODUCT(($AM$11:$AM3287&lt;&gt;"")*($AS$11:$AS3287="✓")),"")</f>
        <v/>
      </c>
      <c r="BA3287" s="21" t="str">
        <f>IF($AL3287="","",$AL3287&amp;"|"&amp;COUNTIF($AL$11:$AL3287,$AL3287))</f>
        <v/>
      </c>
    </row>
    <row r="3288" spans="38:53" ht="15" customHeight="1" x14ac:dyDescent="0.25">
      <c r="AL3288" s="31"/>
      <c r="AM3288" s="26"/>
      <c r="AN3288" s="32"/>
      <c r="AO3288" s="32"/>
      <c r="AP3288" s="24"/>
      <c r="AQ3288" s="24"/>
      <c r="AR3288" s="33"/>
      <c r="AS3288" s="34"/>
      <c r="AT3288" s="33"/>
      <c r="AV3288" s="21">
        <f>IF(AND($AL3288&lt;&gt;"",COUNTIF($AL$11:$AL3288,$AL3288)=1),1,0)</f>
        <v>0</v>
      </c>
      <c r="AW3288" s="21">
        <f t="shared" si="189"/>
        <v>0</v>
      </c>
      <c r="AX3288" s="21" t="str">
        <f t="shared" si="188"/>
        <v/>
      </c>
      <c r="AY3288" s="21" t="str">
        <f>IF(AND($AM3288&lt;&gt;"",$AS3288&lt;&gt;"✓"),SUMPRODUCT(($AM$11:$AM3288&lt;&gt;"")*($AS$11:$AS3288&lt;&gt;"✓")),"")</f>
        <v/>
      </c>
      <c r="AZ3288" s="21" t="str">
        <f>IF(AND($AM3288&lt;&gt;"",$AS3288="✓"),SUMPRODUCT(($AM$11:$AM3288&lt;&gt;"")*($AS$11:$AS3288="✓")),"")</f>
        <v/>
      </c>
      <c r="BA3288" s="21" t="str">
        <f>IF($AL3288="","",$AL3288&amp;"|"&amp;COUNTIF($AL$11:$AL3288,$AL3288))</f>
        <v/>
      </c>
    </row>
    <row r="3289" spans="38:53" ht="15" customHeight="1" x14ac:dyDescent="0.25">
      <c r="AL3289" s="17"/>
      <c r="AM3289" s="12"/>
      <c r="AN3289" s="18"/>
      <c r="AO3289" s="18"/>
      <c r="AP3289" s="10"/>
      <c r="AQ3289" s="10"/>
      <c r="AR3289" s="19"/>
      <c r="AS3289" s="20"/>
      <c r="AT3289" s="19"/>
      <c r="AV3289" s="21">
        <f>IF(AND($AL3289&lt;&gt;"",COUNTIF($AL$11:$AL3289,$AL3289)=1),1,0)</f>
        <v>0</v>
      </c>
      <c r="AW3289" s="21">
        <f t="shared" si="189"/>
        <v>0</v>
      </c>
      <c r="AX3289" s="21" t="str">
        <f t="shared" si="188"/>
        <v/>
      </c>
      <c r="AY3289" s="21" t="str">
        <f>IF(AND($AM3289&lt;&gt;"",$AS3289&lt;&gt;"✓"),SUMPRODUCT(($AM$11:$AM3289&lt;&gt;"")*($AS$11:$AS3289&lt;&gt;"✓")),"")</f>
        <v/>
      </c>
      <c r="AZ3289" s="21" t="str">
        <f>IF(AND($AM3289&lt;&gt;"",$AS3289="✓"),SUMPRODUCT(($AM$11:$AM3289&lt;&gt;"")*($AS$11:$AS3289="✓")),"")</f>
        <v/>
      </c>
      <c r="BA3289" s="21" t="str">
        <f>IF($AL3289="","",$AL3289&amp;"|"&amp;COUNTIF($AL$11:$AL3289,$AL3289))</f>
        <v/>
      </c>
    </row>
    <row r="3290" spans="38:53" ht="15" customHeight="1" x14ac:dyDescent="0.25">
      <c r="AL3290" s="31"/>
      <c r="AM3290" s="26"/>
      <c r="AN3290" s="32"/>
      <c r="AO3290" s="32"/>
      <c r="AP3290" s="24"/>
      <c r="AQ3290" s="24"/>
      <c r="AR3290" s="33"/>
      <c r="AS3290" s="34"/>
      <c r="AT3290" s="33"/>
      <c r="AV3290" s="21">
        <f>IF(AND($AL3290&lt;&gt;"",COUNTIF($AL$11:$AL3290,$AL3290)=1),1,0)</f>
        <v>0</v>
      </c>
      <c r="AW3290" s="21">
        <f t="shared" si="189"/>
        <v>0</v>
      </c>
      <c r="AX3290" s="21" t="str">
        <f t="shared" si="188"/>
        <v/>
      </c>
      <c r="AY3290" s="21" t="str">
        <f>IF(AND($AM3290&lt;&gt;"",$AS3290&lt;&gt;"✓"),SUMPRODUCT(($AM$11:$AM3290&lt;&gt;"")*($AS$11:$AS3290&lt;&gt;"✓")),"")</f>
        <v/>
      </c>
      <c r="AZ3290" s="21" t="str">
        <f>IF(AND($AM3290&lt;&gt;"",$AS3290="✓"),SUMPRODUCT(($AM$11:$AM3290&lt;&gt;"")*($AS$11:$AS3290="✓")),"")</f>
        <v/>
      </c>
      <c r="BA3290" s="21" t="str">
        <f>IF($AL3290="","",$AL3290&amp;"|"&amp;COUNTIF($AL$11:$AL3290,$AL3290))</f>
        <v/>
      </c>
    </row>
    <row r="3291" spans="38:53" ht="15" customHeight="1" x14ac:dyDescent="0.25">
      <c r="AL3291" s="17"/>
      <c r="AM3291" s="12"/>
      <c r="AN3291" s="18"/>
      <c r="AO3291" s="18"/>
      <c r="AP3291" s="10"/>
      <c r="AQ3291" s="10"/>
      <c r="AR3291" s="19"/>
      <c r="AS3291" s="20"/>
      <c r="AT3291" s="19"/>
      <c r="AV3291" s="21">
        <f>IF(AND($AL3291&lt;&gt;"",COUNTIF($AL$11:$AL3291,$AL3291)=1),1,0)</f>
        <v>0</v>
      </c>
      <c r="AW3291" s="21">
        <f t="shared" si="189"/>
        <v>0</v>
      </c>
      <c r="AX3291" s="21" t="str">
        <f t="shared" si="188"/>
        <v/>
      </c>
      <c r="AY3291" s="21" t="str">
        <f>IF(AND($AM3291&lt;&gt;"",$AS3291&lt;&gt;"✓"),SUMPRODUCT(($AM$11:$AM3291&lt;&gt;"")*($AS$11:$AS3291&lt;&gt;"✓")),"")</f>
        <v/>
      </c>
      <c r="AZ3291" s="21" t="str">
        <f>IF(AND($AM3291&lt;&gt;"",$AS3291="✓"),SUMPRODUCT(($AM$11:$AM3291&lt;&gt;"")*($AS$11:$AS3291="✓")),"")</f>
        <v/>
      </c>
      <c r="BA3291" s="21" t="str">
        <f>IF($AL3291="","",$AL3291&amp;"|"&amp;COUNTIF($AL$11:$AL3291,$AL3291))</f>
        <v/>
      </c>
    </row>
    <row r="3292" spans="38:53" ht="15" customHeight="1" x14ac:dyDescent="0.25">
      <c r="AL3292" s="31"/>
      <c r="AM3292" s="26"/>
      <c r="AN3292" s="32"/>
      <c r="AO3292" s="32"/>
      <c r="AP3292" s="24"/>
      <c r="AQ3292" s="24"/>
      <c r="AR3292" s="33"/>
      <c r="AS3292" s="34"/>
      <c r="AT3292" s="33"/>
      <c r="AV3292" s="21">
        <f>IF(AND($AL3292&lt;&gt;"",COUNTIF($AL$11:$AL3292,$AL3292)=1),1,0)</f>
        <v>0</v>
      </c>
      <c r="AW3292" s="21">
        <f t="shared" si="189"/>
        <v>0</v>
      </c>
      <c r="AX3292" s="21" t="str">
        <f t="shared" si="188"/>
        <v/>
      </c>
      <c r="AY3292" s="21" t="str">
        <f>IF(AND($AM3292&lt;&gt;"",$AS3292&lt;&gt;"✓"),SUMPRODUCT(($AM$11:$AM3292&lt;&gt;"")*($AS$11:$AS3292&lt;&gt;"✓")),"")</f>
        <v/>
      </c>
      <c r="AZ3292" s="21" t="str">
        <f>IF(AND($AM3292&lt;&gt;"",$AS3292="✓"),SUMPRODUCT(($AM$11:$AM3292&lt;&gt;"")*($AS$11:$AS3292="✓")),"")</f>
        <v/>
      </c>
      <c r="BA3292" s="21" t="str">
        <f>IF($AL3292="","",$AL3292&amp;"|"&amp;COUNTIF($AL$11:$AL3292,$AL3292))</f>
        <v/>
      </c>
    </row>
    <row r="3293" spans="38:53" ht="15" customHeight="1" x14ac:dyDescent="0.25">
      <c r="AL3293" s="17"/>
      <c r="AM3293" s="12"/>
      <c r="AN3293" s="18"/>
      <c r="AO3293" s="18"/>
      <c r="AP3293" s="10"/>
      <c r="AQ3293" s="10"/>
      <c r="AR3293" s="19"/>
      <c r="AS3293" s="20"/>
      <c r="AT3293" s="19"/>
      <c r="AV3293" s="21">
        <f>IF(AND($AL3293&lt;&gt;"",COUNTIF($AL$11:$AL3293,$AL3293)=1),1,0)</f>
        <v>0</v>
      </c>
      <c r="AW3293" s="21">
        <f t="shared" si="189"/>
        <v>0</v>
      </c>
      <c r="AX3293" s="21" t="str">
        <f t="shared" si="188"/>
        <v/>
      </c>
      <c r="AY3293" s="21" t="str">
        <f>IF(AND($AM3293&lt;&gt;"",$AS3293&lt;&gt;"✓"),SUMPRODUCT(($AM$11:$AM3293&lt;&gt;"")*($AS$11:$AS3293&lt;&gt;"✓")),"")</f>
        <v/>
      </c>
      <c r="AZ3293" s="21" t="str">
        <f>IF(AND($AM3293&lt;&gt;"",$AS3293="✓"),SUMPRODUCT(($AM$11:$AM3293&lt;&gt;"")*($AS$11:$AS3293="✓")),"")</f>
        <v/>
      </c>
      <c r="BA3293" s="21" t="str">
        <f>IF($AL3293="","",$AL3293&amp;"|"&amp;COUNTIF($AL$11:$AL3293,$AL3293))</f>
        <v/>
      </c>
    </row>
    <row r="3294" spans="38:53" ht="15" customHeight="1" x14ac:dyDescent="0.25">
      <c r="AL3294" s="31"/>
      <c r="AM3294" s="26"/>
      <c r="AN3294" s="32"/>
      <c r="AO3294" s="32"/>
      <c r="AP3294" s="24"/>
      <c r="AQ3294" s="24"/>
      <c r="AR3294" s="33"/>
      <c r="AS3294" s="34"/>
      <c r="AT3294" s="33"/>
      <c r="AV3294" s="21">
        <f>IF(AND($AL3294&lt;&gt;"",COUNTIF($AL$11:$AL3294,$AL3294)=1),1,0)</f>
        <v>0</v>
      </c>
      <c r="AW3294" s="21">
        <f t="shared" si="189"/>
        <v>0</v>
      </c>
      <c r="AX3294" s="21" t="str">
        <f t="shared" si="188"/>
        <v/>
      </c>
      <c r="AY3294" s="21" t="str">
        <f>IF(AND($AM3294&lt;&gt;"",$AS3294&lt;&gt;"✓"),SUMPRODUCT(($AM$11:$AM3294&lt;&gt;"")*($AS$11:$AS3294&lt;&gt;"✓")),"")</f>
        <v/>
      </c>
      <c r="AZ3294" s="21" t="str">
        <f>IF(AND($AM3294&lt;&gt;"",$AS3294="✓"),SUMPRODUCT(($AM$11:$AM3294&lt;&gt;"")*($AS$11:$AS3294="✓")),"")</f>
        <v/>
      </c>
      <c r="BA3294" s="21" t="str">
        <f>IF($AL3294="","",$AL3294&amp;"|"&amp;COUNTIF($AL$11:$AL3294,$AL3294))</f>
        <v/>
      </c>
    </row>
    <row r="3295" spans="38:53" ht="15" customHeight="1" x14ac:dyDescent="0.25">
      <c r="AL3295" s="17"/>
      <c r="AM3295" s="12"/>
      <c r="AN3295" s="18"/>
      <c r="AO3295" s="18"/>
      <c r="AP3295" s="10"/>
      <c r="AQ3295" s="10"/>
      <c r="AR3295" s="19"/>
      <c r="AS3295" s="20"/>
      <c r="AT3295" s="19"/>
      <c r="AV3295" s="21">
        <f>IF(AND($AL3295&lt;&gt;"",COUNTIF($AL$11:$AL3295,$AL3295)=1),1,0)</f>
        <v>0</v>
      </c>
      <c r="AW3295" s="21">
        <f t="shared" si="189"/>
        <v>0</v>
      </c>
      <c r="AX3295" s="21" t="str">
        <f t="shared" si="188"/>
        <v/>
      </c>
      <c r="AY3295" s="21" t="str">
        <f>IF(AND($AM3295&lt;&gt;"",$AS3295&lt;&gt;"✓"),SUMPRODUCT(($AM$11:$AM3295&lt;&gt;"")*($AS$11:$AS3295&lt;&gt;"✓")),"")</f>
        <v/>
      </c>
      <c r="AZ3295" s="21" t="str">
        <f>IF(AND($AM3295&lt;&gt;"",$AS3295="✓"),SUMPRODUCT(($AM$11:$AM3295&lt;&gt;"")*($AS$11:$AS3295="✓")),"")</f>
        <v/>
      </c>
      <c r="BA3295" s="21" t="str">
        <f>IF($AL3295="","",$AL3295&amp;"|"&amp;COUNTIF($AL$11:$AL3295,$AL3295))</f>
        <v/>
      </c>
    </row>
    <row r="3296" spans="38:53" ht="15" customHeight="1" x14ac:dyDescent="0.25">
      <c r="AL3296" s="31"/>
      <c r="AM3296" s="26"/>
      <c r="AN3296" s="32"/>
      <c r="AO3296" s="32"/>
      <c r="AP3296" s="24"/>
      <c r="AQ3296" s="24"/>
      <c r="AR3296" s="33"/>
      <c r="AS3296" s="34"/>
      <c r="AT3296" s="33"/>
      <c r="AV3296" s="21">
        <f>IF(AND($AL3296&lt;&gt;"",COUNTIF($AL$11:$AL3296,$AL3296)=1),1,0)</f>
        <v>0</v>
      </c>
      <c r="AW3296" s="21">
        <f t="shared" si="189"/>
        <v>0</v>
      </c>
      <c r="AX3296" s="21" t="str">
        <f t="shared" si="188"/>
        <v/>
      </c>
      <c r="AY3296" s="21" t="str">
        <f>IF(AND($AM3296&lt;&gt;"",$AS3296&lt;&gt;"✓"),SUMPRODUCT(($AM$11:$AM3296&lt;&gt;"")*($AS$11:$AS3296&lt;&gt;"✓")),"")</f>
        <v/>
      </c>
      <c r="AZ3296" s="21" t="str">
        <f>IF(AND($AM3296&lt;&gt;"",$AS3296="✓"),SUMPRODUCT(($AM$11:$AM3296&lt;&gt;"")*($AS$11:$AS3296="✓")),"")</f>
        <v/>
      </c>
      <c r="BA3296" s="21" t="str">
        <f>IF($AL3296="","",$AL3296&amp;"|"&amp;COUNTIF($AL$11:$AL3296,$AL3296))</f>
        <v/>
      </c>
    </row>
    <row r="3297" spans="38:53" ht="15" customHeight="1" x14ac:dyDescent="0.25">
      <c r="AL3297" s="17"/>
      <c r="AM3297" s="12"/>
      <c r="AN3297" s="18"/>
      <c r="AO3297" s="18"/>
      <c r="AP3297" s="10"/>
      <c r="AQ3297" s="10"/>
      <c r="AR3297" s="19"/>
      <c r="AS3297" s="20"/>
      <c r="AT3297" s="19"/>
      <c r="AV3297" s="21">
        <f>IF(AND($AL3297&lt;&gt;"",COUNTIF($AL$11:$AL3297,$AL3297)=1),1,0)</f>
        <v>0</v>
      </c>
      <c r="AW3297" s="21">
        <f t="shared" si="189"/>
        <v>0</v>
      </c>
      <c r="AX3297" s="21" t="str">
        <f t="shared" si="188"/>
        <v/>
      </c>
      <c r="AY3297" s="21" t="str">
        <f>IF(AND($AM3297&lt;&gt;"",$AS3297&lt;&gt;"✓"),SUMPRODUCT(($AM$11:$AM3297&lt;&gt;"")*($AS$11:$AS3297&lt;&gt;"✓")),"")</f>
        <v/>
      </c>
      <c r="AZ3297" s="21" t="str">
        <f>IF(AND($AM3297&lt;&gt;"",$AS3297="✓"),SUMPRODUCT(($AM$11:$AM3297&lt;&gt;"")*($AS$11:$AS3297="✓")),"")</f>
        <v/>
      </c>
      <c r="BA3297" s="21" t="str">
        <f>IF($AL3297="","",$AL3297&amp;"|"&amp;COUNTIF($AL$11:$AL3297,$AL3297))</f>
        <v/>
      </c>
    </row>
    <row r="3298" spans="38:53" ht="15" customHeight="1" x14ac:dyDescent="0.25">
      <c r="AL3298" s="31"/>
      <c r="AM3298" s="26"/>
      <c r="AN3298" s="32"/>
      <c r="AO3298" s="32"/>
      <c r="AP3298" s="24"/>
      <c r="AQ3298" s="24"/>
      <c r="AR3298" s="33"/>
      <c r="AS3298" s="34"/>
      <c r="AT3298" s="33"/>
      <c r="AV3298" s="21">
        <f>IF(AND($AL3298&lt;&gt;"",COUNTIF($AL$11:$AL3298,$AL3298)=1),1,0)</f>
        <v>0</v>
      </c>
      <c r="AW3298" s="21">
        <f t="shared" si="189"/>
        <v>0</v>
      </c>
      <c r="AX3298" s="21" t="str">
        <f t="shared" si="188"/>
        <v/>
      </c>
      <c r="AY3298" s="21" t="str">
        <f>IF(AND($AM3298&lt;&gt;"",$AS3298&lt;&gt;"✓"),SUMPRODUCT(($AM$11:$AM3298&lt;&gt;"")*($AS$11:$AS3298&lt;&gt;"✓")),"")</f>
        <v/>
      </c>
      <c r="AZ3298" s="21" t="str">
        <f>IF(AND($AM3298&lt;&gt;"",$AS3298="✓"),SUMPRODUCT(($AM$11:$AM3298&lt;&gt;"")*($AS$11:$AS3298="✓")),"")</f>
        <v/>
      </c>
      <c r="BA3298" s="21" t="str">
        <f>IF($AL3298="","",$AL3298&amp;"|"&amp;COUNTIF($AL$11:$AL3298,$AL3298))</f>
        <v/>
      </c>
    </row>
    <row r="3299" spans="38:53" ht="15" customHeight="1" x14ac:dyDescent="0.25">
      <c r="AL3299" s="17"/>
      <c r="AM3299" s="12"/>
      <c r="AN3299" s="18"/>
      <c r="AO3299" s="18"/>
      <c r="AP3299" s="10"/>
      <c r="AQ3299" s="10"/>
      <c r="AR3299" s="19"/>
      <c r="AS3299" s="20"/>
      <c r="AT3299" s="19"/>
      <c r="AV3299" s="21">
        <f>IF(AND($AL3299&lt;&gt;"",COUNTIF($AL$11:$AL3299,$AL3299)=1),1,0)</f>
        <v>0</v>
      </c>
      <c r="AW3299" s="21">
        <f t="shared" si="189"/>
        <v>0</v>
      </c>
      <c r="AX3299" s="21" t="str">
        <f t="shared" si="188"/>
        <v/>
      </c>
      <c r="AY3299" s="21" t="str">
        <f>IF(AND($AM3299&lt;&gt;"",$AS3299&lt;&gt;"✓"),SUMPRODUCT(($AM$11:$AM3299&lt;&gt;"")*($AS$11:$AS3299&lt;&gt;"✓")),"")</f>
        <v/>
      </c>
      <c r="AZ3299" s="21" t="str">
        <f>IF(AND($AM3299&lt;&gt;"",$AS3299="✓"),SUMPRODUCT(($AM$11:$AM3299&lt;&gt;"")*($AS$11:$AS3299="✓")),"")</f>
        <v/>
      </c>
      <c r="BA3299" s="21" t="str">
        <f>IF($AL3299="","",$AL3299&amp;"|"&amp;COUNTIF($AL$11:$AL3299,$AL3299))</f>
        <v/>
      </c>
    </row>
    <row r="3300" spans="38:53" ht="15" customHeight="1" x14ac:dyDescent="0.25">
      <c r="AL3300" s="31"/>
      <c r="AM3300" s="26"/>
      <c r="AN3300" s="32"/>
      <c r="AO3300" s="32"/>
      <c r="AP3300" s="24"/>
      <c r="AQ3300" s="24"/>
      <c r="AR3300" s="33"/>
      <c r="AS3300" s="34"/>
      <c r="AT3300" s="33"/>
      <c r="AV3300" s="21">
        <f>IF(AND($AL3300&lt;&gt;"",COUNTIF($AL$11:$AL3300,$AL3300)=1),1,0)</f>
        <v>0</v>
      </c>
      <c r="AW3300" s="21">
        <f t="shared" si="189"/>
        <v>0</v>
      </c>
      <c r="AX3300" s="21" t="str">
        <f t="shared" si="188"/>
        <v/>
      </c>
      <c r="AY3300" s="21" t="str">
        <f>IF(AND($AM3300&lt;&gt;"",$AS3300&lt;&gt;"✓"),SUMPRODUCT(($AM$11:$AM3300&lt;&gt;"")*($AS$11:$AS3300&lt;&gt;"✓")),"")</f>
        <v/>
      </c>
      <c r="AZ3300" s="21" t="str">
        <f>IF(AND($AM3300&lt;&gt;"",$AS3300="✓"),SUMPRODUCT(($AM$11:$AM3300&lt;&gt;"")*($AS$11:$AS3300="✓")),"")</f>
        <v/>
      </c>
      <c r="BA3300" s="21" t="str">
        <f>IF($AL3300="","",$AL3300&amp;"|"&amp;COUNTIF($AL$11:$AL3300,$AL3300))</f>
        <v/>
      </c>
    </row>
    <row r="3301" spans="38:53" ht="15" customHeight="1" x14ac:dyDescent="0.25">
      <c r="AL3301" s="17"/>
      <c r="AM3301" s="12"/>
      <c r="AN3301" s="18"/>
      <c r="AO3301" s="18"/>
      <c r="AP3301" s="10"/>
      <c r="AQ3301" s="10"/>
      <c r="AR3301" s="19"/>
      <c r="AS3301" s="20"/>
      <c r="AT3301" s="19"/>
      <c r="AV3301" s="21">
        <f>IF(AND($AL3301&lt;&gt;"",COUNTIF($AL$11:$AL3301,$AL3301)=1),1,0)</f>
        <v>0</v>
      </c>
      <c r="AW3301" s="21">
        <f t="shared" si="189"/>
        <v>0</v>
      </c>
      <c r="AX3301" s="21" t="str">
        <f t="shared" si="188"/>
        <v/>
      </c>
      <c r="AY3301" s="21" t="str">
        <f>IF(AND($AM3301&lt;&gt;"",$AS3301&lt;&gt;"✓"),SUMPRODUCT(($AM$11:$AM3301&lt;&gt;"")*($AS$11:$AS3301&lt;&gt;"✓")),"")</f>
        <v/>
      </c>
      <c r="AZ3301" s="21" t="str">
        <f>IF(AND($AM3301&lt;&gt;"",$AS3301="✓"),SUMPRODUCT(($AM$11:$AM3301&lt;&gt;"")*($AS$11:$AS3301="✓")),"")</f>
        <v/>
      </c>
      <c r="BA3301" s="21" t="str">
        <f>IF($AL3301="","",$AL3301&amp;"|"&amp;COUNTIF($AL$11:$AL3301,$AL3301))</f>
        <v/>
      </c>
    </row>
    <row r="3302" spans="38:53" ht="15" customHeight="1" x14ac:dyDescent="0.25">
      <c r="AL3302" s="31"/>
      <c r="AM3302" s="26"/>
      <c r="AN3302" s="32"/>
      <c r="AO3302" s="32"/>
      <c r="AP3302" s="24"/>
      <c r="AQ3302" s="24"/>
      <c r="AR3302" s="33"/>
      <c r="AS3302" s="34"/>
      <c r="AT3302" s="33"/>
      <c r="AV3302" s="21">
        <f>IF(AND($AL3302&lt;&gt;"",COUNTIF($AL$11:$AL3302,$AL3302)=1),1,0)</f>
        <v>0</v>
      </c>
      <c r="AW3302" s="21">
        <f t="shared" si="189"/>
        <v>0</v>
      </c>
      <c r="AX3302" s="21" t="str">
        <f t="shared" si="188"/>
        <v/>
      </c>
      <c r="AY3302" s="21" t="str">
        <f>IF(AND($AM3302&lt;&gt;"",$AS3302&lt;&gt;"✓"),SUMPRODUCT(($AM$11:$AM3302&lt;&gt;"")*($AS$11:$AS3302&lt;&gt;"✓")),"")</f>
        <v/>
      </c>
      <c r="AZ3302" s="21" t="str">
        <f>IF(AND($AM3302&lt;&gt;"",$AS3302="✓"),SUMPRODUCT(($AM$11:$AM3302&lt;&gt;"")*($AS$11:$AS3302="✓")),"")</f>
        <v/>
      </c>
      <c r="BA3302" s="21" t="str">
        <f>IF($AL3302="","",$AL3302&amp;"|"&amp;COUNTIF($AL$11:$AL3302,$AL3302))</f>
        <v/>
      </c>
    </row>
    <row r="3303" spans="38:53" ht="15" customHeight="1" x14ac:dyDescent="0.25">
      <c r="AL3303" s="17"/>
      <c r="AM3303" s="12"/>
      <c r="AN3303" s="18"/>
      <c r="AO3303" s="18"/>
      <c r="AP3303" s="10"/>
      <c r="AQ3303" s="10"/>
      <c r="AR3303" s="19"/>
      <c r="AS3303" s="20"/>
      <c r="AT3303" s="19"/>
      <c r="AV3303" s="21">
        <f>IF(AND($AL3303&lt;&gt;"",COUNTIF($AL$11:$AL3303,$AL3303)=1),1,0)</f>
        <v>0</v>
      </c>
      <c r="AW3303" s="21">
        <f t="shared" si="189"/>
        <v>0</v>
      </c>
      <c r="AX3303" s="21" t="str">
        <f t="shared" si="188"/>
        <v/>
      </c>
      <c r="AY3303" s="21" t="str">
        <f>IF(AND($AM3303&lt;&gt;"",$AS3303&lt;&gt;"✓"),SUMPRODUCT(($AM$11:$AM3303&lt;&gt;"")*($AS$11:$AS3303&lt;&gt;"✓")),"")</f>
        <v/>
      </c>
      <c r="AZ3303" s="21" t="str">
        <f>IF(AND($AM3303&lt;&gt;"",$AS3303="✓"),SUMPRODUCT(($AM$11:$AM3303&lt;&gt;"")*($AS$11:$AS3303="✓")),"")</f>
        <v/>
      </c>
      <c r="BA3303" s="21" t="str">
        <f>IF($AL3303="","",$AL3303&amp;"|"&amp;COUNTIF($AL$11:$AL3303,$AL3303))</f>
        <v/>
      </c>
    </row>
    <row r="3304" spans="38:53" ht="15" customHeight="1" x14ac:dyDescent="0.25">
      <c r="AL3304" s="31"/>
      <c r="AM3304" s="26"/>
      <c r="AN3304" s="32"/>
      <c r="AO3304" s="32"/>
      <c r="AP3304" s="24"/>
      <c r="AQ3304" s="24"/>
      <c r="AR3304" s="33"/>
      <c r="AS3304" s="34"/>
      <c r="AT3304" s="33"/>
      <c r="AV3304" s="21">
        <f>IF(AND($AL3304&lt;&gt;"",COUNTIF($AL$11:$AL3304,$AL3304)=1),1,0)</f>
        <v>0</v>
      </c>
      <c r="AW3304" s="21">
        <f t="shared" si="189"/>
        <v>0</v>
      </c>
      <c r="AX3304" s="21" t="str">
        <f t="shared" si="188"/>
        <v/>
      </c>
      <c r="AY3304" s="21" t="str">
        <f>IF(AND($AM3304&lt;&gt;"",$AS3304&lt;&gt;"✓"),SUMPRODUCT(($AM$11:$AM3304&lt;&gt;"")*($AS$11:$AS3304&lt;&gt;"✓")),"")</f>
        <v/>
      </c>
      <c r="AZ3304" s="21" t="str">
        <f>IF(AND($AM3304&lt;&gt;"",$AS3304="✓"),SUMPRODUCT(($AM$11:$AM3304&lt;&gt;"")*($AS$11:$AS3304="✓")),"")</f>
        <v/>
      </c>
      <c r="BA3304" s="21" t="str">
        <f>IF($AL3304="","",$AL3304&amp;"|"&amp;COUNTIF($AL$11:$AL3304,$AL3304))</f>
        <v/>
      </c>
    </row>
    <row r="3305" spans="38:53" ht="15" customHeight="1" x14ac:dyDescent="0.25">
      <c r="AL3305" s="17"/>
      <c r="AM3305" s="12"/>
      <c r="AN3305" s="18"/>
      <c r="AO3305" s="18"/>
      <c r="AP3305" s="10"/>
      <c r="AQ3305" s="10"/>
      <c r="AR3305" s="19"/>
      <c r="AS3305" s="20"/>
      <c r="AT3305" s="19"/>
      <c r="AV3305" s="21">
        <f>IF(AND($AL3305&lt;&gt;"",COUNTIF($AL$11:$AL3305,$AL3305)=1),1,0)</f>
        <v>0</v>
      </c>
      <c r="AW3305" s="21">
        <f t="shared" si="189"/>
        <v>0</v>
      </c>
      <c r="AX3305" s="21" t="str">
        <f t="shared" si="188"/>
        <v/>
      </c>
      <c r="AY3305" s="21" t="str">
        <f>IF(AND($AM3305&lt;&gt;"",$AS3305&lt;&gt;"✓"),SUMPRODUCT(($AM$11:$AM3305&lt;&gt;"")*($AS$11:$AS3305&lt;&gt;"✓")),"")</f>
        <v/>
      </c>
      <c r="AZ3305" s="21" t="str">
        <f>IF(AND($AM3305&lt;&gt;"",$AS3305="✓"),SUMPRODUCT(($AM$11:$AM3305&lt;&gt;"")*($AS$11:$AS3305="✓")),"")</f>
        <v/>
      </c>
      <c r="BA3305" s="21" t="str">
        <f>IF($AL3305="","",$AL3305&amp;"|"&amp;COUNTIF($AL$11:$AL3305,$AL3305))</f>
        <v/>
      </c>
    </row>
    <row r="3306" spans="38:53" ht="15" customHeight="1" x14ac:dyDescent="0.25">
      <c r="AL3306" s="31"/>
      <c r="AM3306" s="26"/>
      <c r="AN3306" s="32"/>
      <c r="AO3306" s="32"/>
      <c r="AP3306" s="24"/>
      <c r="AQ3306" s="24"/>
      <c r="AR3306" s="33"/>
      <c r="AS3306" s="34"/>
      <c r="AT3306" s="33"/>
      <c r="AV3306" s="21">
        <f>IF(AND($AL3306&lt;&gt;"",COUNTIF($AL$11:$AL3306,$AL3306)=1),1,0)</f>
        <v>0</v>
      </c>
      <c r="AW3306" s="21">
        <f t="shared" si="189"/>
        <v>0</v>
      </c>
      <c r="AX3306" s="21" t="str">
        <f t="shared" si="188"/>
        <v/>
      </c>
      <c r="AY3306" s="21" t="str">
        <f>IF(AND($AM3306&lt;&gt;"",$AS3306&lt;&gt;"✓"),SUMPRODUCT(($AM$11:$AM3306&lt;&gt;"")*($AS$11:$AS3306&lt;&gt;"✓")),"")</f>
        <v/>
      </c>
      <c r="AZ3306" s="21" t="str">
        <f>IF(AND($AM3306&lt;&gt;"",$AS3306="✓"),SUMPRODUCT(($AM$11:$AM3306&lt;&gt;"")*($AS$11:$AS3306="✓")),"")</f>
        <v/>
      </c>
      <c r="BA3306" s="21" t="str">
        <f>IF($AL3306="","",$AL3306&amp;"|"&amp;COUNTIF($AL$11:$AL3306,$AL3306))</f>
        <v/>
      </c>
    </row>
    <row r="3307" spans="38:53" ht="15" customHeight="1" x14ac:dyDescent="0.25">
      <c r="AL3307" s="17"/>
      <c r="AM3307" s="12"/>
      <c r="AN3307" s="18"/>
      <c r="AO3307" s="18"/>
      <c r="AP3307" s="10"/>
      <c r="AQ3307" s="10"/>
      <c r="AR3307" s="19"/>
      <c r="AS3307" s="20"/>
      <c r="AT3307" s="19"/>
      <c r="AV3307" s="21">
        <f>IF(AND($AL3307&lt;&gt;"",COUNTIF($AL$11:$AL3307,$AL3307)=1),1,0)</f>
        <v>0</v>
      </c>
      <c r="AW3307" s="21">
        <f t="shared" si="189"/>
        <v>0</v>
      </c>
      <c r="AX3307" s="21" t="str">
        <f t="shared" si="188"/>
        <v/>
      </c>
      <c r="AY3307" s="21" t="str">
        <f>IF(AND($AM3307&lt;&gt;"",$AS3307&lt;&gt;"✓"),SUMPRODUCT(($AM$11:$AM3307&lt;&gt;"")*($AS$11:$AS3307&lt;&gt;"✓")),"")</f>
        <v/>
      </c>
      <c r="AZ3307" s="21" t="str">
        <f>IF(AND($AM3307&lt;&gt;"",$AS3307="✓"),SUMPRODUCT(($AM$11:$AM3307&lt;&gt;"")*($AS$11:$AS3307="✓")),"")</f>
        <v/>
      </c>
      <c r="BA3307" s="21" t="str">
        <f>IF($AL3307="","",$AL3307&amp;"|"&amp;COUNTIF($AL$11:$AL3307,$AL3307))</f>
        <v/>
      </c>
    </row>
    <row r="3308" spans="38:53" ht="15" customHeight="1" x14ac:dyDescent="0.25">
      <c r="AL3308" s="31"/>
      <c r="AM3308" s="26"/>
      <c r="AN3308" s="32"/>
      <c r="AO3308" s="32"/>
      <c r="AP3308" s="24"/>
      <c r="AQ3308" s="24"/>
      <c r="AR3308" s="33"/>
      <c r="AS3308" s="34"/>
      <c r="AT3308" s="33"/>
      <c r="AV3308" s="21">
        <f>IF(AND($AL3308&lt;&gt;"",COUNTIF($AL$11:$AL3308,$AL3308)=1),1,0)</f>
        <v>0</v>
      </c>
      <c r="AW3308" s="21">
        <f t="shared" si="189"/>
        <v>0</v>
      </c>
      <c r="AX3308" s="21" t="str">
        <f t="shared" si="188"/>
        <v/>
      </c>
      <c r="AY3308" s="21" t="str">
        <f>IF(AND($AM3308&lt;&gt;"",$AS3308&lt;&gt;"✓"),SUMPRODUCT(($AM$11:$AM3308&lt;&gt;"")*($AS$11:$AS3308&lt;&gt;"✓")),"")</f>
        <v/>
      </c>
      <c r="AZ3308" s="21" t="str">
        <f>IF(AND($AM3308&lt;&gt;"",$AS3308="✓"),SUMPRODUCT(($AM$11:$AM3308&lt;&gt;"")*($AS$11:$AS3308="✓")),"")</f>
        <v/>
      </c>
      <c r="BA3308" s="21" t="str">
        <f>IF($AL3308="","",$AL3308&amp;"|"&amp;COUNTIF($AL$11:$AL3308,$AL3308))</f>
        <v/>
      </c>
    </row>
    <row r="3309" spans="38:53" ht="15" customHeight="1" x14ac:dyDescent="0.25">
      <c r="AL3309" s="17"/>
      <c r="AM3309" s="12"/>
      <c r="AN3309" s="18"/>
      <c r="AO3309" s="18"/>
      <c r="AP3309" s="10"/>
      <c r="AQ3309" s="10"/>
      <c r="AR3309" s="19"/>
      <c r="AS3309" s="20"/>
      <c r="AT3309" s="19"/>
      <c r="AV3309" s="21">
        <f>IF(AND($AL3309&lt;&gt;"",COUNTIF($AL$11:$AL3309,$AL3309)=1),1,0)</f>
        <v>0</v>
      </c>
      <c r="AW3309" s="21">
        <f t="shared" si="189"/>
        <v>0</v>
      </c>
      <c r="AX3309" s="21" t="str">
        <f t="shared" si="188"/>
        <v/>
      </c>
      <c r="AY3309" s="21" t="str">
        <f>IF(AND($AM3309&lt;&gt;"",$AS3309&lt;&gt;"✓"),SUMPRODUCT(($AM$11:$AM3309&lt;&gt;"")*($AS$11:$AS3309&lt;&gt;"✓")),"")</f>
        <v/>
      </c>
      <c r="AZ3309" s="21" t="str">
        <f>IF(AND($AM3309&lt;&gt;"",$AS3309="✓"),SUMPRODUCT(($AM$11:$AM3309&lt;&gt;"")*($AS$11:$AS3309="✓")),"")</f>
        <v/>
      </c>
      <c r="BA3309" s="21" t="str">
        <f>IF($AL3309="","",$AL3309&amp;"|"&amp;COUNTIF($AL$11:$AL3309,$AL3309))</f>
        <v/>
      </c>
    </row>
    <row r="3310" spans="38:53" ht="15" customHeight="1" x14ac:dyDescent="0.25">
      <c r="AL3310" s="31"/>
      <c r="AM3310" s="26"/>
      <c r="AN3310" s="32"/>
      <c r="AO3310" s="32"/>
      <c r="AP3310" s="24"/>
      <c r="AQ3310" s="24"/>
      <c r="AR3310" s="33"/>
      <c r="AS3310" s="34"/>
      <c r="AT3310" s="33"/>
      <c r="AV3310" s="21">
        <f>IF(AND($AL3310&lt;&gt;"",COUNTIF($AL$11:$AL3310,$AL3310)=1),1,0)</f>
        <v>0</v>
      </c>
      <c r="AW3310" s="21">
        <f t="shared" si="189"/>
        <v>0</v>
      </c>
      <c r="AX3310" s="21" t="str">
        <f t="shared" si="188"/>
        <v/>
      </c>
      <c r="AY3310" s="21" t="str">
        <f>IF(AND($AM3310&lt;&gt;"",$AS3310&lt;&gt;"✓"),SUMPRODUCT(($AM$11:$AM3310&lt;&gt;"")*($AS$11:$AS3310&lt;&gt;"✓")),"")</f>
        <v/>
      </c>
      <c r="AZ3310" s="21" t="str">
        <f>IF(AND($AM3310&lt;&gt;"",$AS3310="✓"),SUMPRODUCT(($AM$11:$AM3310&lt;&gt;"")*($AS$11:$AS3310="✓")),"")</f>
        <v/>
      </c>
      <c r="BA3310" s="21" t="str">
        <f>IF($AL3310="","",$AL3310&amp;"|"&amp;COUNTIF($AL$11:$AL3310,$AL3310))</f>
        <v/>
      </c>
    </row>
    <row r="3311" spans="38:53" ht="15" customHeight="1" x14ac:dyDescent="0.25">
      <c r="AL3311" s="17"/>
      <c r="AM3311" s="12"/>
      <c r="AN3311" s="18"/>
      <c r="AO3311" s="18"/>
      <c r="AP3311" s="10"/>
      <c r="AQ3311" s="10"/>
      <c r="AR3311" s="19"/>
      <c r="AS3311" s="20"/>
      <c r="AT3311" s="19"/>
      <c r="AV3311" s="21">
        <f>IF(AND($AL3311&lt;&gt;"",COUNTIF($AL$11:$AL3311,$AL3311)=1),1,0)</f>
        <v>0</v>
      </c>
      <c r="AW3311" s="21">
        <f t="shared" si="189"/>
        <v>0</v>
      </c>
      <c r="AX3311" s="21" t="str">
        <f t="shared" si="188"/>
        <v/>
      </c>
      <c r="AY3311" s="21" t="str">
        <f>IF(AND($AM3311&lt;&gt;"",$AS3311&lt;&gt;"✓"),SUMPRODUCT(($AM$11:$AM3311&lt;&gt;"")*($AS$11:$AS3311&lt;&gt;"✓")),"")</f>
        <v/>
      </c>
      <c r="AZ3311" s="21" t="str">
        <f>IF(AND($AM3311&lt;&gt;"",$AS3311="✓"),SUMPRODUCT(($AM$11:$AM3311&lt;&gt;"")*($AS$11:$AS3311="✓")),"")</f>
        <v/>
      </c>
      <c r="BA3311" s="21" t="str">
        <f>IF($AL3311="","",$AL3311&amp;"|"&amp;COUNTIF($AL$11:$AL3311,$AL3311))</f>
        <v/>
      </c>
    </row>
    <row r="3312" spans="38:53" ht="15" customHeight="1" x14ac:dyDescent="0.25">
      <c r="AL3312" s="31"/>
      <c r="AM3312" s="26"/>
      <c r="AN3312" s="32"/>
      <c r="AO3312" s="32"/>
      <c r="AP3312" s="24"/>
      <c r="AQ3312" s="24"/>
      <c r="AR3312" s="33"/>
      <c r="AS3312" s="34"/>
      <c r="AT3312" s="33"/>
      <c r="AV3312" s="21">
        <f>IF(AND($AL3312&lt;&gt;"",COUNTIF($AL$11:$AL3312,$AL3312)=1),1,0)</f>
        <v>0</v>
      </c>
      <c r="AW3312" s="21">
        <f t="shared" si="189"/>
        <v>0</v>
      </c>
      <c r="AX3312" s="21" t="str">
        <f t="shared" si="188"/>
        <v/>
      </c>
      <c r="AY3312" s="21" t="str">
        <f>IF(AND($AM3312&lt;&gt;"",$AS3312&lt;&gt;"✓"),SUMPRODUCT(($AM$11:$AM3312&lt;&gt;"")*($AS$11:$AS3312&lt;&gt;"✓")),"")</f>
        <v/>
      </c>
      <c r="AZ3312" s="21" t="str">
        <f>IF(AND($AM3312&lt;&gt;"",$AS3312="✓"),SUMPRODUCT(($AM$11:$AM3312&lt;&gt;"")*($AS$11:$AS3312="✓")),"")</f>
        <v/>
      </c>
      <c r="BA3312" s="21" t="str">
        <f>IF($AL3312="","",$AL3312&amp;"|"&amp;COUNTIF($AL$11:$AL3312,$AL3312))</f>
        <v/>
      </c>
    </row>
    <row r="3313" spans="38:53" ht="15" customHeight="1" x14ac:dyDescent="0.25">
      <c r="AL3313" s="17"/>
      <c r="AM3313" s="12"/>
      <c r="AN3313" s="18"/>
      <c r="AO3313" s="18"/>
      <c r="AP3313" s="10"/>
      <c r="AQ3313" s="10"/>
      <c r="AR3313" s="19"/>
      <c r="AS3313" s="20"/>
      <c r="AT3313" s="19"/>
      <c r="AV3313" s="21">
        <f>IF(AND($AL3313&lt;&gt;"",COUNTIF($AL$11:$AL3313,$AL3313)=1),1,0)</f>
        <v>0</v>
      </c>
      <c r="AW3313" s="21">
        <f t="shared" si="189"/>
        <v>0</v>
      </c>
      <c r="AX3313" s="21" t="str">
        <f t="shared" si="188"/>
        <v/>
      </c>
      <c r="AY3313" s="21" t="str">
        <f>IF(AND($AM3313&lt;&gt;"",$AS3313&lt;&gt;"✓"),SUMPRODUCT(($AM$11:$AM3313&lt;&gt;"")*($AS$11:$AS3313&lt;&gt;"✓")),"")</f>
        <v/>
      </c>
      <c r="AZ3313" s="21" t="str">
        <f>IF(AND($AM3313&lt;&gt;"",$AS3313="✓"),SUMPRODUCT(($AM$11:$AM3313&lt;&gt;"")*($AS$11:$AS3313="✓")),"")</f>
        <v/>
      </c>
      <c r="BA3313" s="21" t="str">
        <f>IF($AL3313="","",$AL3313&amp;"|"&amp;COUNTIF($AL$11:$AL3313,$AL3313))</f>
        <v/>
      </c>
    </row>
    <row r="3314" spans="38:53" ht="15" customHeight="1" x14ac:dyDescent="0.25">
      <c r="AL3314" s="31"/>
      <c r="AM3314" s="26"/>
      <c r="AN3314" s="32"/>
      <c r="AO3314" s="32"/>
      <c r="AP3314" s="24"/>
      <c r="AQ3314" s="24"/>
      <c r="AR3314" s="33"/>
      <c r="AS3314" s="34"/>
      <c r="AT3314" s="33"/>
      <c r="AV3314" s="21">
        <f>IF(AND($AL3314&lt;&gt;"",COUNTIF($AL$11:$AL3314,$AL3314)=1),1,0)</f>
        <v>0</v>
      </c>
      <c r="AW3314" s="21">
        <f t="shared" si="189"/>
        <v>0</v>
      </c>
      <c r="AX3314" s="21" t="str">
        <f t="shared" si="188"/>
        <v/>
      </c>
      <c r="AY3314" s="21" t="str">
        <f>IF(AND($AM3314&lt;&gt;"",$AS3314&lt;&gt;"✓"),SUMPRODUCT(($AM$11:$AM3314&lt;&gt;"")*($AS$11:$AS3314&lt;&gt;"✓")),"")</f>
        <v/>
      </c>
      <c r="AZ3314" s="21" t="str">
        <f>IF(AND($AM3314&lt;&gt;"",$AS3314="✓"),SUMPRODUCT(($AM$11:$AM3314&lt;&gt;"")*($AS$11:$AS3314="✓")),"")</f>
        <v/>
      </c>
      <c r="BA3314" s="21" t="str">
        <f>IF($AL3314="","",$AL3314&amp;"|"&amp;COUNTIF($AL$11:$AL3314,$AL3314))</f>
        <v/>
      </c>
    </row>
    <row r="3315" spans="38:53" ht="15" customHeight="1" x14ac:dyDescent="0.25">
      <c r="AL3315" s="17"/>
      <c r="AM3315" s="12"/>
      <c r="AN3315" s="18"/>
      <c r="AO3315" s="18"/>
      <c r="AP3315" s="10"/>
      <c r="AQ3315" s="10"/>
      <c r="AR3315" s="19"/>
      <c r="AS3315" s="20"/>
      <c r="AT3315" s="19"/>
      <c r="AV3315" s="21">
        <f>IF(AND($AL3315&lt;&gt;"",COUNTIF($AL$11:$AL3315,$AL3315)=1),1,0)</f>
        <v>0</v>
      </c>
      <c r="AW3315" s="21">
        <f t="shared" si="189"/>
        <v>0</v>
      </c>
      <c r="AX3315" s="21" t="str">
        <f t="shared" si="188"/>
        <v/>
      </c>
      <c r="AY3315" s="21" t="str">
        <f>IF(AND($AM3315&lt;&gt;"",$AS3315&lt;&gt;"✓"),SUMPRODUCT(($AM$11:$AM3315&lt;&gt;"")*($AS$11:$AS3315&lt;&gt;"✓")),"")</f>
        <v/>
      </c>
      <c r="AZ3315" s="21" t="str">
        <f>IF(AND($AM3315&lt;&gt;"",$AS3315="✓"),SUMPRODUCT(($AM$11:$AM3315&lt;&gt;"")*($AS$11:$AS3315="✓")),"")</f>
        <v/>
      </c>
      <c r="BA3315" s="21" t="str">
        <f>IF($AL3315="","",$AL3315&amp;"|"&amp;COUNTIF($AL$11:$AL3315,$AL3315))</f>
        <v/>
      </c>
    </row>
    <row r="3316" spans="38:53" ht="15" customHeight="1" x14ac:dyDescent="0.25">
      <c r="AL3316" s="31"/>
      <c r="AM3316" s="26"/>
      <c r="AN3316" s="32"/>
      <c r="AO3316" s="32"/>
      <c r="AP3316" s="24"/>
      <c r="AQ3316" s="24"/>
      <c r="AR3316" s="33"/>
      <c r="AS3316" s="34"/>
      <c r="AT3316" s="33"/>
      <c r="AV3316" s="21">
        <f>IF(AND($AL3316&lt;&gt;"",COUNTIF($AL$11:$AL3316,$AL3316)=1),1,0)</f>
        <v>0</v>
      </c>
      <c r="AW3316" s="21">
        <f t="shared" si="189"/>
        <v>0</v>
      </c>
      <c r="AX3316" s="21" t="str">
        <f t="shared" si="188"/>
        <v/>
      </c>
      <c r="AY3316" s="21" t="str">
        <f>IF(AND($AM3316&lt;&gt;"",$AS3316&lt;&gt;"✓"),SUMPRODUCT(($AM$11:$AM3316&lt;&gt;"")*($AS$11:$AS3316&lt;&gt;"✓")),"")</f>
        <v/>
      </c>
      <c r="AZ3316" s="21" t="str">
        <f>IF(AND($AM3316&lt;&gt;"",$AS3316="✓"),SUMPRODUCT(($AM$11:$AM3316&lt;&gt;"")*($AS$11:$AS3316="✓")),"")</f>
        <v/>
      </c>
      <c r="BA3316" s="21" t="str">
        <f>IF($AL3316="","",$AL3316&amp;"|"&amp;COUNTIF($AL$11:$AL3316,$AL3316))</f>
        <v/>
      </c>
    </row>
    <row r="3317" spans="38:53" ht="15" customHeight="1" x14ac:dyDescent="0.25">
      <c r="AL3317" s="17"/>
      <c r="AM3317" s="12"/>
      <c r="AN3317" s="18"/>
      <c r="AO3317" s="18"/>
      <c r="AP3317" s="10"/>
      <c r="AQ3317" s="10"/>
      <c r="AR3317" s="19"/>
      <c r="AS3317" s="20"/>
      <c r="AT3317" s="19"/>
      <c r="AV3317" s="21">
        <f>IF(AND($AL3317&lt;&gt;"",COUNTIF($AL$11:$AL3317,$AL3317)=1),1,0)</f>
        <v>0</v>
      </c>
      <c r="AW3317" s="21">
        <f t="shared" si="189"/>
        <v>0</v>
      </c>
      <c r="AX3317" s="21" t="str">
        <f t="shared" si="188"/>
        <v/>
      </c>
      <c r="AY3317" s="21" t="str">
        <f>IF(AND($AM3317&lt;&gt;"",$AS3317&lt;&gt;"✓"),SUMPRODUCT(($AM$11:$AM3317&lt;&gt;"")*($AS$11:$AS3317&lt;&gt;"✓")),"")</f>
        <v/>
      </c>
      <c r="AZ3317" s="21" t="str">
        <f>IF(AND($AM3317&lt;&gt;"",$AS3317="✓"),SUMPRODUCT(($AM$11:$AM3317&lt;&gt;"")*($AS$11:$AS3317="✓")),"")</f>
        <v/>
      </c>
      <c r="BA3317" s="21" t="str">
        <f>IF($AL3317="","",$AL3317&amp;"|"&amp;COUNTIF($AL$11:$AL3317,$AL3317))</f>
        <v/>
      </c>
    </row>
    <row r="3318" spans="38:53" ht="15" customHeight="1" x14ac:dyDescent="0.25">
      <c r="AL3318" s="31"/>
      <c r="AM3318" s="26"/>
      <c r="AN3318" s="32"/>
      <c r="AO3318" s="32"/>
      <c r="AP3318" s="24"/>
      <c r="AQ3318" s="24"/>
      <c r="AR3318" s="33"/>
      <c r="AS3318" s="34"/>
      <c r="AT3318" s="33"/>
      <c r="AV3318" s="21">
        <f>IF(AND($AL3318&lt;&gt;"",COUNTIF($AL$11:$AL3318,$AL3318)=1),1,0)</f>
        <v>0</v>
      </c>
      <c r="AW3318" s="21">
        <f t="shared" si="189"/>
        <v>0</v>
      </c>
      <c r="AX3318" s="21" t="str">
        <f t="shared" si="188"/>
        <v/>
      </c>
      <c r="AY3318" s="21" t="str">
        <f>IF(AND($AM3318&lt;&gt;"",$AS3318&lt;&gt;"✓"),SUMPRODUCT(($AM$11:$AM3318&lt;&gt;"")*($AS$11:$AS3318&lt;&gt;"✓")),"")</f>
        <v/>
      </c>
      <c r="AZ3318" s="21" t="str">
        <f>IF(AND($AM3318&lt;&gt;"",$AS3318="✓"),SUMPRODUCT(($AM$11:$AM3318&lt;&gt;"")*($AS$11:$AS3318="✓")),"")</f>
        <v/>
      </c>
      <c r="BA3318" s="21" t="str">
        <f>IF($AL3318="","",$AL3318&amp;"|"&amp;COUNTIF($AL$11:$AL3318,$AL3318))</f>
        <v/>
      </c>
    </row>
    <row r="3319" spans="38:53" ht="15" customHeight="1" x14ac:dyDescent="0.25">
      <c r="AL3319" s="17"/>
      <c r="AM3319" s="12"/>
      <c r="AN3319" s="18"/>
      <c r="AO3319" s="18"/>
      <c r="AP3319" s="10"/>
      <c r="AQ3319" s="10"/>
      <c r="AR3319" s="19"/>
      <c r="AS3319" s="20"/>
      <c r="AT3319" s="19"/>
      <c r="AV3319" s="21">
        <f>IF(AND($AL3319&lt;&gt;"",COUNTIF($AL$11:$AL3319,$AL3319)=1),1,0)</f>
        <v>0</v>
      </c>
      <c r="AW3319" s="21">
        <f t="shared" si="189"/>
        <v>0</v>
      </c>
      <c r="AX3319" s="21" t="str">
        <f t="shared" si="188"/>
        <v/>
      </c>
      <c r="AY3319" s="21" t="str">
        <f>IF(AND($AM3319&lt;&gt;"",$AS3319&lt;&gt;"✓"),SUMPRODUCT(($AM$11:$AM3319&lt;&gt;"")*($AS$11:$AS3319&lt;&gt;"✓")),"")</f>
        <v/>
      </c>
      <c r="AZ3319" s="21" t="str">
        <f>IF(AND($AM3319&lt;&gt;"",$AS3319="✓"),SUMPRODUCT(($AM$11:$AM3319&lt;&gt;"")*($AS$11:$AS3319="✓")),"")</f>
        <v/>
      </c>
      <c r="BA3319" s="21" t="str">
        <f>IF($AL3319="","",$AL3319&amp;"|"&amp;COUNTIF($AL$11:$AL3319,$AL3319))</f>
        <v/>
      </c>
    </row>
    <row r="3320" spans="38:53" ht="15" customHeight="1" x14ac:dyDescent="0.25">
      <c r="AL3320" s="31"/>
      <c r="AM3320" s="26"/>
      <c r="AN3320" s="32"/>
      <c r="AO3320" s="32"/>
      <c r="AP3320" s="24"/>
      <c r="AQ3320" s="24"/>
      <c r="AR3320" s="33"/>
      <c r="AS3320" s="34"/>
      <c r="AT3320" s="33"/>
      <c r="AV3320" s="21">
        <f>IF(AND($AL3320&lt;&gt;"",COUNTIF($AL$11:$AL3320,$AL3320)=1),1,0)</f>
        <v>0</v>
      </c>
      <c r="AW3320" s="21">
        <f t="shared" si="189"/>
        <v>0</v>
      </c>
      <c r="AX3320" s="21" t="str">
        <f t="shared" si="188"/>
        <v/>
      </c>
      <c r="AY3320" s="21" t="str">
        <f>IF(AND($AM3320&lt;&gt;"",$AS3320&lt;&gt;"✓"),SUMPRODUCT(($AM$11:$AM3320&lt;&gt;"")*($AS$11:$AS3320&lt;&gt;"✓")),"")</f>
        <v/>
      </c>
      <c r="AZ3320" s="21" t="str">
        <f>IF(AND($AM3320&lt;&gt;"",$AS3320="✓"),SUMPRODUCT(($AM$11:$AM3320&lt;&gt;"")*($AS$11:$AS3320="✓")),"")</f>
        <v/>
      </c>
      <c r="BA3320" s="21" t="str">
        <f>IF($AL3320="","",$AL3320&amp;"|"&amp;COUNTIF($AL$11:$AL3320,$AL3320))</f>
        <v/>
      </c>
    </row>
    <row r="3321" spans="38:53" ht="15" customHeight="1" x14ac:dyDescent="0.25">
      <c r="AL3321" s="17"/>
      <c r="AM3321" s="12"/>
      <c r="AN3321" s="18"/>
      <c r="AO3321" s="18"/>
      <c r="AP3321" s="10"/>
      <c r="AQ3321" s="10"/>
      <c r="AR3321" s="19"/>
      <c r="AS3321" s="20"/>
      <c r="AT3321" s="19"/>
      <c r="AV3321" s="21">
        <f>IF(AND($AL3321&lt;&gt;"",COUNTIF($AL$11:$AL3321,$AL3321)=1),1,0)</f>
        <v>0</v>
      </c>
      <c r="AW3321" s="21">
        <f t="shared" si="189"/>
        <v>0</v>
      </c>
      <c r="AX3321" s="21" t="str">
        <f t="shared" si="188"/>
        <v/>
      </c>
      <c r="AY3321" s="21" t="str">
        <f>IF(AND($AM3321&lt;&gt;"",$AS3321&lt;&gt;"✓"),SUMPRODUCT(($AM$11:$AM3321&lt;&gt;"")*($AS$11:$AS3321&lt;&gt;"✓")),"")</f>
        <v/>
      </c>
      <c r="AZ3321" s="21" t="str">
        <f>IF(AND($AM3321&lt;&gt;"",$AS3321="✓"),SUMPRODUCT(($AM$11:$AM3321&lt;&gt;"")*($AS$11:$AS3321="✓")),"")</f>
        <v/>
      </c>
      <c r="BA3321" s="21" t="str">
        <f>IF($AL3321="","",$AL3321&amp;"|"&amp;COUNTIF($AL$11:$AL3321,$AL3321))</f>
        <v/>
      </c>
    </row>
    <row r="3322" spans="38:53" ht="15" customHeight="1" x14ac:dyDescent="0.25">
      <c r="AL3322" s="31"/>
      <c r="AM3322" s="26"/>
      <c r="AN3322" s="32"/>
      <c r="AO3322" s="32"/>
      <c r="AP3322" s="24"/>
      <c r="AQ3322" s="24"/>
      <c r="AR3322" s="33"/>
      <c r="AS3322" s="34"/>
      <c r="AT3322" s="33"/>
      <c r="AV3322" s="21">
        <f>IF(AND($AL3322&lt;&gt;"",COUNTIF($AL$11:$AL3322,$AL3322)=1),1,0)</f>
        <v>0</v>
      </c>
      <c r="AW3322" s="21">
        <f t="shared" si="189"/>
        <v>0</v>
      </c>
      <c r="AX3322" s="21" t="str">
        <f t="shared" si="188"/>
        <v/>
      </c>
      <c r="AY3322" s="21" t="str">
        <f>IF(AND($AM3322&lt;&gt;"",$AS3322&lt;&gt;"✓"),SUMPRODUCT(($AM$11:$AM3322&lt;&gt;"")*($AS$11:$AS3322&lt;&gt;"✓")),"")</f>
        <v/>
      </c>
      <c r="AZ3322" s="21" t="str">
        <f>IF(AND($AM3322&lt;&gt;"",$AS3322="✓"),SUMPRODUCT(($AM$11:$AM3322&lt;&gt;"")*($AS$11:$AS3322="✓")),"")</f>
        <v/>
      </c>
      <c r="BA3322" s="21" t="str">
        <f>IF($AL3322="","",$AL3322&amp;"|"&amp;COUNTIF($AL$11:$AL3322,$AL3322))</f>
        <v/>
      </c>
    </row>
    <row r="3323" spans="38:53" ht="15" customHeight="1" x14ac:dyDescent="0.25">
      <c r="AL3323" s="17"/>
      <c r="AM3323" s="12"/>
      <c r="AN3323" s="18"/>
      <c r="AO3323" s="18"/>
      <c r="AP3323" s="10"/>
      <c r="AQ3323" s="10"/>
      <c r="AR3323" s="19"/>
      <c r="AS3323" s="20"/>
      <c r="AT3323" s="19"/>
      <c r="AV3323" s="21">
        <f>IF(AND($AL3323&lt;&gt;"",COUNTIF($AL$11:$AL3323,$AL3323)=1),1,0)</f>
        <v>0</v>
      </c>
      <c r="AW3323" s="21">
        <f t="shared" si="189"/>
        <v>0</v>
      </c>
      <c r="AX3323" s="21" t="str">
        <f t="shared" si="188"/>
        <v/>
      </c>
      <c r="AY3323" s="21" t="str">
        <f>IF(AND($AM3323&lt;&gt;"",$AS3323&lt;&gt;"✓"),SUMPRODUCT(($AM$11:$AM3323&lt;&gt;"")*($AS$11:$AS3323&lt;&gt;"✓")),"")</f>
        <v/>
      </c>
      <c r="AZ3323" s="21" t="str">
        <f>IF(AND($AM3323&lt;&gt;"",$AS3323="✓"),SUMPRODUCT(($AM$11:$AM3323&lt;&gt;"")*($AS$11:$AS3323="✓")),"")</f>
        <v/>
      </c>
      <c r="BA3323" s="21" t="str">
        <f>IF($AL3323="","",$AL3323&amp;"|"&amp;COUNTIF($AL$11:$AL3323,$AL3323))</f>
        <v/>
      </c>
    </row>
    <row r="3324" spans="38:53" ht="15" customHeight="1" x14ac:dyDescent="0.25">
      <c r="AL3324" s="31"/>
      <c r="AM3324" s="26"/>
      <c r="AN3324" s="32"/>
      <c r="AO3324" s="32"/>
      <c r="AP3324" s="24"/>
      <c r="AQ3324" s="24"/>
      <c r="AR3324" s="33"/>
      <c r="AS3324" s="34"/>
      <c r="AT3324" s="33"/>
      <c r="AV3324" s="21">
        <f>IF(AND($AL3324&lt;&gt;"",COUNTIF($AL$11:$AL3324,$AL3324)=1),1,0)</f>
        <v>0</v>
      </c>
      <c r="AW3324" s="21">
        <f t="shared" si="189"/>
        <v>0</v>
      </c>
      <c r="AX3324" s="21" t="str">
        <f t="shared" si="188"/>
        <v/>
      </c>
      <c r="AY3324" s="21" t="str">
        <f>IF(AND($AM3324&lt;&gt;"",$AS3324&lt;&gt;"✓"),SUMPRODUCT(($AM$11:$AM3324&lt;&gt;"")*($AS$11:$AS3324&lt;&gt;"✓")),"")</f>
        <v/>
      </c>
      <c r="AZ3324" s="21" t="str">
        <f>IF(AND($AM3324&lt;&gt;"",$AS3324="✓"),SUMPRODUCT(($AM$11:$AM3324&lt;&gt;"")*($AS$11:$AS3324="✓")),"")</f>
        <v/>
      </c>
      <c r="BA3324" s="21" t="str">
        <f>IF($AL3324="","",$AL3324&amp;"|"&amp;COUNTIF($AL$11:$AL3324,$AL3324))</f>
        <v/>
      </c>
    </row>
    <row r="3325" spans="38:53" ht="15" customHeight="1" x14ac:dyDescent="0.25">
      <c r="AL3325" s="17"/>
      <c r="AM3325" s="12"/>
      <c r="AN3325" s="18"/>
      <c r="AO3325" s="18"/>
      <c r="AP3325" s="10"/>
      <c r="AQ3325" s="10"/>
      <c r="AR3325" s="19"/>
      <c r="AS3325" s="20"/>
      <c r="AT3325" s="19"/>
      <c r="AV3325" s="21">
        <f>IF(AND($AL3325&lt;&gt;"",COUNTIF($AL$11:$AL3325,$AL3325)=1),1,0)</f>
        <v>0</v>
      </c>
      <c r="AW3325" s="21">
        <f t="shared" si="189"/>
        <v>0</v>
      </c>
      <c r="AX3325" s="21" t="str">
        <f t="shared" si="188"/>
        <v/>
      </c>
      <c r="AY3325" s="21" t="str">
        <f>IF(AND($AM3325&lt;&gt;"",$AS3325&lt;&gt;"✓"),SUMPRODUCT(($AM$11:$AM3325&lt;&gt;"")*($AS$11:$AS3325&lt;&gt;"✓")),"")</f>
        <v/>
      </c>
      <c r="AZ3325" s="21" t="str">
        <f>IF(AND($AM3325&lt;&gt;"",$AS3325="✓"),SUMPRODUCT(($AM$11:$AM3325&lt;&gt;"")*($AS$11:$AS3325="✓")),"")</f>
        <v/>
      </c>
      <c r="BA3325" s="21" t="str">
        <f>IF($AL3325="","",$AL3325&amp;"|"&amp;COUNTIF($AL$11:$AL3325,$AL3325))</f>
        <v/>
      </c>
    </row>
    <row r="3326" spans="38:53" ht="15" customHeight="1" x14ac:dyDescent="0.25">
      <c r="AL3326" s="31"/>
      <c r="AM3326" s="26"/>
      <c r="AN3326" s="32"/>
      <c r="AO3326" s="32"/>
      <c r="AP3326" s="24"/>
      <c r="AQ3326" s="24"/>
      <c r="AR3326" s="33"/>
      <c r="AS3326" s="34"/>
      <c r="AT3326" s="33"/>
      <c r="AV3326" s="21">
        <f>IF(AND($AL3326&lt;&gt;"",COUNTIF($AL$11:$AL3326,$AL3326)=1),1,0)</f>
        <v>0</v>
      </c>
      <c r="AW3326" s="21">
        <f t="shared" si="189"/>
        <v>0</v>
      </c>
      <c r="AX3326" s="21" t="str">
        <f t="shared" si="188"/>
        <v/>
      </c>
      <c r="AY3326" s="21" t="str">
        <f>IF(AND($AM3326&lt;&gt;"",$AS3326&lt;&gt;"✓"),SUMPRODUCT(($AM$11:$AM3326&lt;&gt;"")*($AS$11:$AS3326&lt;&gt;"✓")),"")</f>
        <v/>
      </c>
      <c r="AZ3326" s="21" t="str">
        <f>IF(AND($AM3326&lt;&gt;"",$AS3326="✓"),SUMPRODUCT(($AM$11:$AM3326&lt;&gt;"")*($AS$11:$AS3326="✓")),"")</f>
        <v/>
      </c>
      <c r="BA3326" s="21" t="str">
        <f>IF($AL3326="","",$AL3326&amp;"|"&amp;COUNTIF($AL$11:$AL3326,$AL3326))</f>
        <v/>
      </c>
    </row>
    <row r="3327" spans="38:53" ht="15" customHeight="1" x14ac:dyDescent="0.25">
      <c r="AL3327" s="17"/>
      <c r="AM3327" s="12"/>
      <c r="AN3327" s="18"/>
      <c r="AO3327" s="18"/>
      <c r="AP3327" s="10"/>
      <c r="AQ3327" s="10"/>
      <c r="AR3327" s="19"/>
      <c r="AS3327" s="20"/>
      <c r="AT3327" s="19"/>
      <c r="AV3327" s="21">
        <f>IF(AND($AL3327&lt;&gt;"",COUNTIF($AL$11:$AL3327,$AL3327)=1),1,0)</f>
        <v>0</v>
      </c>
      <c r="AW3327" s="21">
        <f t="shared" si="189"/>
        <v>0</v>
      </c>
      <c r="AX3327" s="21" t="str">
        <f t="shared" si="188"/>
        <v/>
      </c>
      <c r="AY3327" s="21" t="str">
        <f>IF(AND($AM3327&lt;&gt;"",$AS3327&lt;&gt;"✓"),SUMPRODUCT(($AM$11:$AM3327&lt;&gt;"")*($AS$11:$AS3327&lt;&gt;"✓")),"")</f>
        <v/>
      </c>
      <c r="AZ3327" s="21" t="str">
        <f>IF(AND($AM3327&lt;&gt;"",$AS3327="✓"),SUMPRODUCT(($AM$11:$AM3327&lt;&gt;"")*($AS$11:$AS3327="✓")),"")</f>
        <v/>
      </c>
      <c r="BA3327" s="21" t="str">
        <f>IF($AL3327="","",$AL3327&amp;"|"&amp;COUNTIF($AL$11:$AL3327,$AL3327))</f>
        <v/>
      </c>
    </row>
    <row r="3328" spans="38:53" ht="15" customHeight="1" x14ac:dyDescent="0.25">
      <c r="AL3328" s="31"/>
      <c r="AM3328" s="26"/>
      <c r="AN3328" s="32"/>
      <c r="AO3328" s="32"/>
      <c r="AP3328" s="24"/>
      <c r="AQ3328" s="24"/>
      <c r="AR3328" s="33"/>
      <c r="AS3328" s="34"/>
      <c r="AT3328" s="33"/>
      <c r="AV3328" s="21">
        <f>IF(AND($AL3328&lt;&gt;"",COUNTIF($AL$11:$AL3328,$AL3328)=1),1,0)</f>
        <v>0</v>
      </c>
      <c r="AW3328" s="21">
        <f t="shared" si="189"/>
        <v>0</v>
      </c>
      <c r="AX3328" s="21" t="str">
        <f t="shared" si="188"/>
        <v/>
      </c>
      <c r="AY3328" s="21" t="str">
        <f>IF(AND($AM3328&lt;&gt;"",$AS3328&lt;&gt;"✓"),SUMPRODUCT(($AM$11:$AM3328&lt;&gt;"")*($AS$11:$AS3328&lt;&gt;"✓")),"")</f>
        <v/>
      </c>
      <c r="AZ3328" s="21" t="str">
        <f>IF(AND($AM3328&lt;&gt;"",$AS3328="✓"),SUMPRODUCT(($AM$11:$AM3328&lt;&gt;"")*($AS$11:$AS3328="✓")),"")</f>
        <v/>
      </c>
      <c r="BA3328" s="21" t="str">
        <f>IF($AL3328="","",$AL3328&amp;"|"&amp;COUNTIF($AL$11:$AL3328,$AL3328))</f>
        <v/>
      </c>
    </row>
    <row r="3329" spans="38:53" ht="15" customHeight="1" x14ac:dyDescent="0.25">
      <c r="AL3329" s="17"/>
      <c r="AM3329" s="12"/>
      <c r="AN3329" s="18"/>
      <c r="AO3329" s="18"/>
      <c r="AP3329" s="10"/>
      <c r="AQ3329" s="10"/>
      <c r="AR3329" s="19"/>
      <c r="AS3329" s="20"/>
      <c r="AT3329" s="19"/>
      <c r="AV3329" s="21">
        <f>IF(AND($AL3329&lt;&gt;"",COUNTIF($AL$11:$AL3329,$AL3329)=1),1,0)</f>
        <v>0</v>
      </c>
      <c r="AW3329" s="21">
        <f t="shared" si="189"/>
        <v>0</v>
      </c>
      <c r="AX3329" s="21" t="str">
        <f t="shared" si="188"/>
        <v/>
      </c>
      <c r="AY3329" s="21" t="str">
        <f>IF(AND($AM3329&lt;&gt;"",$AS3329&lt;&gt;"✓"),SUMPRODUCT(($AM$11:$AM3329&lt;&gt;"")*($AS$11:$AS3329&lt;&gt;"✓")),"")</f>
        <v/>
      </c>
      <c r="AZ3329" s="21" t="str">
        <f>IF(AND($AM3329&lt;&gt;"",$AS3329="✓"),SUMPRODUCT(($AM$11:$AM3329&lt;&gt;"")*($AS$11:$AS3329="✓")),"")</f>
        <v/>
      </c>
      <c r="BA3329" s="21" t="str">
        <f>IF($AL3329="","",$AL3329&amp;"|"&amp;COUNTIF($AL$11:$AL3329,$AL3329))</f>
        <v/>
      </c>
    </row>
    <row r="3330" spans="38:53" ht="15" customHeight="1" x14ac:dyDescent="0.25">
      <c r="AL3330" s="31"/>
      <c r="AM3330" s="26"/>
      <c r="AN3330" s="32"/>
      <c r="AO3330" s="32"/>
      <c r="AP3330" s="24"/>
      <c r="AQ3330" s="24"/>
      <c r="AR3330" s="33"/>
      <c r="AS3330" s="34"/>
      <c r="AT3330" s="33"/>
      <c r="AV3330" s="21">
        <f>IF(AND($AL3330&lt;&gt;"",COUNTIF($AL$11:$AL3330,$AL3330)=1),1,0)</f>
        <v>0</v>
      </c>
      <c r="AW3330" s="21">
        <f t="shared" si="189"/>
        <v>0</v>
      </c>
      <c r="AX3330" s="21" t="str">
        <f t="shared" si="188"/>
        <v/>
      </c>
      <c r="AY3330" s="21" t="str">
        <f>IF(AND($AM3330&lt;&gt;"",$AS3330&lt;&gt;"✓"),SUMPRODUCT(($AM$11:$AM3330&lt;&gt;"")*($AS$11:$AS3330&lt;&gt;"✓")),"")</f>
        <v/>
      </c>
      <c r="AZ3330" s="21" t="str">
        <f>IF(AND($AM3330&lt;&gt;"",$AS3330="✓"),SUMPRODUCT(($AM$11:$AM3330&lt;&gt;"")*($AS$11:$AS3330="✓")),"")</f>
        <v/>
      </c>
      <c r="BA3330" s="21" t="str">
        <f>IF($AL3330="","",$AL3330&amp;"|"&amp;COUNTIF($AL$11:$AL3330,$AL3330))</f>
        <v/>
      </c>
    </row>
    <row r="3331" spans="38:53" ht="15" customHeight="1" x14ac:dyDescent="0.25">
      <c r="AL3331" s="17"/>
      <c r="AM3331" s="12"/>
      <c r="AN3331" s="18"/>
      <c r="AO3331" s="18"/>
      <c r="AP3331" s="10"/>
      <c r="AQ3331" s="10"/>
      <c r="AR3331" s="19"/>
      <c r="AS3331" s="20"/>
      <c r="AT3331" s="19"/>
      <c r="AV3331" s="21">
        <f>IF(AND($AL3331&lt;&gt;"",COUNTIF($AL$11:$AL3331,$AL3331)=1),1,0)</f>
        <v>0</v>
      </c>
      <c r="AW3331" s="21">
        <f t="shared" si="189"/>
        <v>0</v>
      </c>
      <c r="AX3331" s="21" t="str">
        <f t="shared" si="188"/>
        <v/>
      </c>
      <c r="AY3331" s="21" t="str">
        <f>IF(AND($AM3331&lt;&gt;"",$AS3331&lt;&gt;"✓"),SUMPRODUCT(($AM$11:$AM3331&lt;&gt;"")*($AS$11:$AS3331&lt;&gt;"✓")),"")</f>
        <v/>
      </c>
      <c r="AZ3331" s="21" t="str">
        <f>IF(AND($AM3331&lt;&gt;"",$AS3331="✓"),SUMPRODUCT(($AM$11:$AM3331&lt;&gt;"")*($AS$11:$AS3331="✓")),"")</f>
        <v/>
      </c>
      <c r="BA3331" s="21" t="str">
        <f>IF($AL3331="","",$AL3331&amp;"|"&amp;COUNTIF($AL$11:$AL3331,$AL3331))</f>
        <v/>
      </c>
    </row>
    <row r="3332" spans="38:53" ht="15" customHeight="1" x14ac:dyDescent="0.25">
      <c r="AL3332" s="31"/>
      <c r="AM3332" s="26"/>
      <c r="AN3332" s="32"/>
      <c r="AO3332" s="32"/>
      <c r="AP3332" s="24"/>
      <c r="AQ3332" s="24"/>
      <c r="AR3332" s="33"/>
      <c r="AS3332" s="34"/>
      <c r="AT3332" s="33"/>
      <c r="AV3332" s="21">
        <f>IF(AND($AL3332&lt;&gt;"",COUNTIF($AL$11:$AL3332,$AL3332)=1),1,0)</f>
        <v>0</v>
      </c>
      <c r="AW3332" s="21">
        <f t="shared" si="189"/>
        <v>0</v>
      </c>
      <c r="AX3332" s="21" t="str">
        <f t="shared" si="188"/>
        <v/>
      </c>
      <c r="AY3332" s="21" t="str">
        <f>IF(AND($AM3332&lt;&gt;"",$AS3332&lt;&gt;"✓"),SUMPRODUCT(($AM$11:$AM3332&lt;&gt;"")*($AS$11:$AS3332&lt;&gt;"✓")),"")</f>
        <v/>
      </c>
      <c r="AZ3332" s="21" t="str">
        <f>IF(AND($AM3332&lt;&gt;"",$AS3332="✓"),SUMPRODUCT(($AM$11:$AM3332&lt;&gt;"")*($AS$11:$AS3332="✓")),"")</f>
        <v/>
      </c>
      <c r="BA3332" s="21" t="str">
        <f>IF($AL3332="","",$AL3332&amp;"|"&amp;COUNTIF($AL$11:$AL3332,$AL3332))</f>
        <v/>
      </c>
    </row>
    <row r="3333" spans="38:53" ht="15" customHeight="1" x14ac:dyDescent="0.25">
      <c r="AL3333" s="17"/>
      <c r="AM3333" s="12"/>
      <c r="AN3333" s="18"/>
      <c r="AO3333" s="18"/>
      <c r="AP3333" s="10"/>
      <c r="AQ3333" s="10"/>
      <c r="AR3333" s="19"/>
      <c r="AS3333" s="20"/>
      <c r="AT3333" s="19"/>
      <c r="AV3333" s="21">
        <f>IF(AND($AL3333&lt;&gt;"",COUNTIF($AL$11:$AL3333,$AL3333)=1),1,0)</f>
        <v>0</v>
      </c>
      <c r="AW3333" s="21">
        <f t="shared" si="189"/>
        <v>0</v>
      </c>
      <c r="AX3333" s="21" t="str">
        <f t="shared" si="188"/>
        <v/>
      </c>
      <c r="AY3333" s="21" t="str">
        <f>IF(AND($AM3333&lt;&gt;"",$AS3333&lt;&gt;"✓"),SUMPRODUCT(($AM$11:$AM3333&lt;&gt;"")*($AS$11:$AS3333&lt;&gt;"✓")),"")</f>
        <v/>
      </c>
      <c r="AZ3333" s="21" t="str">
        <f>IF(AND($AM3333&lt;&gt;"",$AS3333="✓"),SUMPRODUCT(($AM$11:$AM3333&lt;&gt;"")*($AS$11:$AS3333="✓")),"")</f>
        <v/>
      </c>
      <c r="BA3333" s="21" t="str">
        <f>IF($AL3333="","",$AL3333&amp;"|"&amp;COUNTIF($AL$11:$AL3333,$AL3333))</f>
        <v/>
      </c>
    </row>
    <row r="3334" spans="38:53" ht="15" customHeight="1" x14ac:dyDescent="0.25">
      <c r="AL3334" s="31"/>
      <c r="AM3334" s="26"/>
      <c r="AN3334" s="32"/>
      <c r="AO3334" s="32"/>
      <c r="AP3334" s="24"/>
      <c r="AQ3334" s="24"/>
      <c r="AR3334" s="33"/>
      <c r="AS3334" s="34"/>
      <c r="AT3334" s="33"/>
      <c r="AV3334" s="21">
        <f>IF(AND($AL3334&lt;&gt;"",COUNTIF($AL$11:$AL3334,$AL3334)=1),1,0)</f>
        <v>0</v>
      </c>
      <c r="AW3334" s="21">
        <f t="shared" si="189"/>
        <v>0</v>
      </c>
      <c r="AX3334" s="21" t="str">
        <f t="shared" si="188"/>
        <v/>
      </c>
      <c r="AY3334" s="21" t="str">
        <f>IF(AND($AM3334&lt;&gt;"",$AS3334&lt;&gt;"✓"),SUMPRODUCT(($AM$11:$AM3334&lt;&gt;"")*($AS$11:$AS3334&lt;&gt;"✓")),"")</f>
        <v/>
      </c>
      <c r="AZ3334" s="21" t="str">
        <f>IF(AND($AM3334&lt;&gt;"",$AS3334="✓"),SUMPRODUCT(($AM$11:$AM3334&lt;&gt;"")*($AS$11:$AS3334="✓")),"")</f>
        <v/>
      </c>
      <c r="BA3334" s="21" t="str">
        <f>IF($AL3334="","",$AL3334&amp;"|"&amp;COUNTIF($AL$11:$AL3334,$AL3334))</f>
        <v/>
      </c>
    </row>
    <row r="3335" spans="38:53" ht="15" customHeight="1" x14ac:dyDescent="0.25">
      <c r="AL3335" s="17"/>
      <c r="AM3335" s="12"/>
      <c r="AN3335" s="18"/>
      <c r="AO3335" s="18"/>
      <c r="AP3335" s="10"/>
      <c r="AQ3335" s="10"/>
      <c r="AR3335" s="19"/>
      <c r="AS3335" s="20"/>
      <c r="AT3335" s="19"/>
      <c r="AV3335" s="21">
        <f>IF(AND($AL3335&lt;&gt;"",COUNTIF($AL$11:$AL3335,$AL3335)=1),1,0)</f>
        <v>0</v>
      </c>
      <c r="AW3335" s="21">
        <f t="shared" si="189"/>
        <v>0</v>
      </c>
      <c r="AX3335" s="21" t="str">
        <f t="shared" si="188"/>
        <v/>
      </c>
      <c r="AY3335" s="21" t="str">
        <f>IF(AND($AM3335&lt;&gt;"",$AS3335&lt;&gt;"✓"),SUMPRODUCT(($AM$11:$AM3335&lt;&gt;"")*($AS$11:$AS3335&lt;&gt;"✓")),"")</f>
        <v/>
      </c>
      <c r="AZ3335" s="21" t="str">
        <f>IF(AND($AM3335&lt;&gt;"",$AS3335="✓"),SUMPRODUCT(($AM$11:$AM3335&lt;&gt;"")*($AS$11:$AS3335="✓")),"")</f>
        <v/>
      </c>
      <c r="BA3335" s="21" t="str">
        <f>IF($AL3335="","",$AL3335&amp;"|"&amp;COUNTIF($AL$11:$AL3335,$AL3335))</f>
        <v/>
      </c>
    </row>
    <row r="3336" spans="38:53" ht="15" customHeight="1" x14ac:dyDescent="0.25">
      <c r="AL3336" s="31"/>
      <c r="AM3336" s="26"/>
      <c r="AN3336" s="32"/>
      <c r="AO3336" s="32"/>
      <c r="AP3336" s="24"/>
      <c r="AQ3336" s="24"/>
      <c r="AR3336" s="33"/>
      <c r="AS3336" s="34"/>
      <c r="AT3336" s="33"/>
      <c r="AV3336" s="21">
        <f>IF(AND($AL3336&lt;&gt;"",COUNTIF($AL$11:$AL3336,$AL3336)=1),1,0)</f>
        <v>0</v>
      </c>
      <c r="AW3336" s="21">
        <f t="shared" si="189"/>
        <v>0</v>
      </c>
      <c r="AX3336" s="21" t="str">
        <f t="shared" si="188"/>
        <v/>
      </c>
      <c r="AY3336" s="21" t="str">
        <f>IF(AND($AM3336&lt;&gt;"",$AS3336&lt;&gt;"✓"),SUMPRODUCT(($AM$11:$AM3336&lt;&gt;"")*($AS$11:$AS3336&lt;&gt;"✓")),"")</f>
        <v/>
      </c>
      <c r="AZ3336" s="21" t="str">
        <f>IF(AND($AM3336&lt;&gt;"",$AS3336="✓"),SUMPRODUCT(($AM$11:$AM3336&lt;&gt;"")*($AS$11:$AS3336="✓")),"")</f>
        <v/>
      </c>
      <c r="BA3336" s="21" t="str">
        <f>IF($AL3336="","",$AL3336&amp;"|"&amp;COUNTIF($AL$11:$AL3336,$AL3336))</f>
        <v/>
      </c>
    </row>
    <row r="3337" spans="38:53" ht="15" customHeight="1" x14ac:dyDescent="0.25">
      <c r="AL3337" s="17"/>
      <c r="AM3337" s="12"/>
      <c r="AN3337" s="18"/>
      <c r="AO3337" s="18"/>
      <c r="AP3337" s="10"/>
      <c r="AQ3337" s="10"/>
      <c r="AR3337" s="19"/>
      <c r="AS3337" s="20"/>
      <c r="AT3337" s="19"/>
      <c r="AV3337" s="21">
        <f>IF(AND($AL3337&lt;&gt;"",COUNTIF($AL$11:$AL3337,$AL3337)=1),1,0)</f>
        <v>0</v>
      </c>
      <c r="AW3337" s="21">
        <f t="shared" si="189"/>
        <v>0</v>
      </c>
      <c r="AX3337" s="21" t="str">
        <f t="shared" si="188"/>
        <v/>
      </c>
      <c r="AY3337" s="21" t="str">
        <f>IF(AND($AM3337&lt;&gt;"",$AS3337&lt;&gt;"✓"),SUMPRODUCT(($AM$11:$AM3337&lt;&gt;"")*($AS$11:$AS3337&lt;&gt;"✓")),"")</f>
        <v/>
      </c>
      <c r="AZ3337" s="21" t="str">
        <f>IF(AND($AM3337&lt;&gt;"",$AS3337="✓"),SUMPRODUCT(($AM$11:$AM3337&lt;&gt;"")*($AS$11:$AS3337="✓")),"")</f>
        <v/>
      </c>
      <c r="BA3337" s="21" t="str">
        <f>IF($AL3337="","",$AL3337&amp;"|"&amp;COUNTIF($AL$11:$AL3337,$AL3337))</f>
        <v/>
      </c>
    </row>
    <row r="3338" spans="38:53" ht="15" customHeight="1" x14ac:dyDescent="0.25">
      <c r="AL3338" s="31"/>
      <c r="AM3338" s="26"/>
      <c r="AN3338" s="32"/>
      <c r="AO3338" s="32"/>
      <c r="AP3338" s="24"/>
      <c r="AQ3338" s="24"/>
      <c r="AR3338" s="33"/>
      <c r="AS3338" s="34"/>
      <c r="AT3338" s="33"/>
      <c r="AV3338" s="21">
        <f>IF(AND($AL3338&lt;&gt;"",COUNTIF($AL$11:$AL3338,$AL3338)=1),1,0)</f>
        <v>0</v>
      </c>
      <c r="AW3338" s="21">
        <f t="shared" si="189"/>
        <v>0</v>
      </c>
      <c r="AX3338" s="21" t="str">
        <f t="shared" si="188"/>
        <v/>
      </c>
      <c r="AY3338" s="21" t="str">
        <f>IF(AND($AM3338&lt;&gt;"",$AS3338&lt;&gt;"✓"),SUMPRODUCT(($AM$11:$AM3338&lt;&gt;"")*($AS$11:$AS3338&lt;&gt;"✓")),"")</f>
        <v/>
      </c>
      <c r="AZ3338" s="21" t="str">
        <f>IF(AND($AM3338&lt;&gt;"",$AS3338="✓"),SUMPRODUCT(($AM$11:$AM3338&lt;&gt;"")*($AS$11:$AS3338="✓")),"")</f>
        <v/>
      </c>
      <c r="BA3338" s="21" t="str">
        <f>IF($AL3338="","",$AL3338&amp;"|"&amp;COUNTIF($AL$11:$AL3338,$AL3338))</f>
        <v/>
      </c>
    </row>
    <row r="3339" spans="38:53" ht="15" customHeight="1" x14ac:dyDescent="0.25">
      <c r="AL3339" s="17"/>
      <c r="AM3339" s="12"/>
      <c r="AN3339" s="18"/>
      <c r="AO3339" s="18"/>
      <c r="AP3339" s="10"/>
      <c r="AQ3339" s="10"/>
      <c r="AR3339" s="19"/>
      <c r="AS3339" s="20"/>
      <c r="AT3339" s="19"/>
      <c r="AV3339" s="21">
        <f>IF(AND($AL3339&lt;&gt;"",COUNTIF($AL$11:$AL3339,$AL3339)=1),1,0)</f>
        <v>0</v>
      </c>
      <c r="AW3339" s="21">
        <f t="shared" si="189"/>
        <v>0</v>
      </c>
      <c r="AX3339" s="21" t="str">
        <f t="shared" ref="AX3339:AX3402" si="190">IF(AV3339=1,AW3339,"")</f>
        <v/>
      </c>
      <c r="AY3339" s="21" t="str">
        <f>IF(AND($AM3339&lt;&gt;"",$AS3339&lt;&gt;"✓"),SUMPRODUCT(($AM$11:$AM3339&lt;&gt;"")*($AS$11:$AS3339&lt;&gt;"✓")),"")</f>
        <v/>
      </c>
      <c r="AZ3339" s="21" t="str">
        <f>IF(AND($AM3339&lt;&gt;"",$AS3339="✓"),SUMPRODUCT(($AM$11:$AM3339&lt;&gt;"")*($AS$11:$AS3339="✓")),"")</f>
        <v/>
      </c>
      <c r="BA3339" s="21" t="str">
        <f>IF($AL3339="","",$AL3339&amp;"|"&amp;COUNTIF($AL$11:$AL3339,$AL3339))</f>
        <v/>
      </c>
    </row>
    <row r="3340" spans="38:53" ht="15" customHeight="1" x14ac:dyDescent="0.25">
      <c r="AL3340" s="31"/>
      <c r="AM3340" s="26"/>
      <c r="AN3340" s="32"/>
      <c r="AO3340" s="32"/>
      <c r="AP3340" s="24"/>
      <c r="AQ3340" s="24"/>
      <c r="AR3340" s="33"/>
      <c r="AS3340" s="34"/>
      <c r="AT3340" s="33"/>
      <c r="AV3340" s="21">
        <f>IF(AND($AL3340&lt;&gt;"",COUNTIF($AL$11:$AL3340,$AL3340)=1),1,0)</f>
        <v>0</v>
      </c>
      <c r="AW3340" s="21">
        <f t="shared" ref="AW3340:AW3403" si="191">AW3339+AV3340</f>
        <v>0</v>
      </c>
      <c r="AX3340" s="21" t="str">
        <f t="shared" si="190"/>
        <v/>
      </c>
      <c r="AY3340" s="21" t="str">
        <f>IF(AND($AM3340&lt;&gt;"",$AS3340&lt;&gt;"✓"),SUMPRODUCT(($AM$11:$AM3340&lt;&gt;"")*($AS$11:$AS3340&lt;&gt;"✓")),"")</f>
        <v/>
      </c>
      <c r="AZ3340" s="21" t="str">
        <f>IF(AND($AM3340&lt;&gt;"",$AS3340="✓"),SUMPRODUCT(($AM$11:$AM3340&lt;&gt;"")*($AS$11:$AS3340="✓")),"")</f>
        <v/>
      </c>
      <c r="BA3340" s="21" t="str">
        <f>IF($AL3340="","",$AL3340&amp;"|"&amp;COUNTIF($AL$11:$AL3340,$AL3340))</f>
        <v/>
      </c>
    </row>
    <row r="3341" spans="38:53" ht="15" customHeight="1" x14ac:dyDescent="0.25">
      <c r="AL3341" s="17"/>
      <c r="AM3341" s="12"/>
      <c r="AN3341" s="18"/>
      <c r="AO3341" s="18"/>
      <c r="AP3341" s="10"/>
      <c r="AQ3341" s="10"/>
      <c r="AR3341" s="19"/>
      <c r="AS3341" s="20"/>
      <c r="AT3341" s="19"/>
      <c r="AV3341" s="21">
        <f>IF(AND($AL3341&lt;&gt;"",COUNTIF($AL$11:$AL3341,$AL3341)=1),1,0)</f>
        <v>0</v>
      </c>
      <c r="AW3341" s="21">
        <f t="shared" si="191"/>
        <v>0</v>
      </c>
      <c r="AX3341" s="21" t="str">
        <f t="shared" si="190"/>
        <v/>
      </c>
      <c r="AY3341" s="21" t="str">
        <f>IF(AND($AM3341&lt;&gt;"",$AS3341&lt;&gt;"✓"),SUMPRODUCT(($AM$11:$AM3341&lt;&gt;"")*($AS$11:$AS3341&lt;&gt;"✓")),"")</f>
        <v/>
      </c>
      <c r="AZ3341" s="21" t="str">
        <f>IF(AND($AM3341&lt;&gt;"",$AS3341="✓"),SUMPRODUCT(($AM$11:$AM3341&lt;&gt;"")*($AS$11:$AS3341="✓")),"")</f>
        <v/>
      </c>
      <c r="BA3341" s="21" t="str">
        <f>IF($AL3341="","",$AL3341&amp;"|"&amp;COUNTIF($AL$11:$AL3341,$AL3341))</f>
        <v/>
      </c>
    </row>
    <row r="3342" spans="38:53" ht="15" customHeight="1" x14ac:dyDescent="0.25">
      <c r="AL3342" s="31"/>
      <c r="AM3342" s="26"/>
      <c r="AN3342" s="32"/>
      <c r="AO3342" s="32"/>
      <c r="AP3342" s="24"/>
      <c r="AQ3342" s="24"/>
      <c r="AR3342" s="33"/>
      <c r="AS3342" s="34"/>
      <c r="AT3342" s="33"/>
      <c r="AV3342" s="21">
        <f>IF(AND($AL3342&lt;&gt;"",COUNTIF($AL$11:$AL3342,$AL3342)=1),1,0)</f>
        <v>0</v>
      </c>
      <c r="AW3342" s="21">
        <f t="shared" si="191"/>
        <v>0</v>
      </c>
      <c r="AX3342" s="21" t="str">
        <f t="shared" si="190"/>
        <v/>
      </c>
      <c r="AY3342" s="21" t="str">
        <f>IF(AND($AM3342&lt;&gt;"",$AS3342&lt;&gt;"✓"),SUMPRODUCT(($AM$11:$AM3342&lt;&gt;"")*($AS$11:$AS3342&lt;&gt;"✓")),"")</f>
        <v/>
      </c>
      <c r="AZ3342" s="21" t="str">
        <f>IF(AND($AM3342&lt;&gt;"",$AS3342="✓"),SUMPRODUCT(($AM$11:$AM3342&lt;&gt;"")*($AS$11:$AS3342="✓")),"")</f>
        <v/>
      </c>
      <c r="BA3342" s="21" t="str">
        <f>IF($AL3342="","",$AL3342&amp;"|"&amp;COUNTIF($AL$11:$AL3342,$AL3342))</f>
        <v/>
      </c>
    </row>
    <row r="3343" spans="38:53" ht="15" customHeight="1" x14ac:dyDescent="0.25">
      <c r="AL3343" s="17"/>
      <c r="AM3343" s="12"/>
      <c r="AN3343" s="18"/>
      <c r="AO3343" s="18"/>
      <c r="AP3343" s="10"/>
      <c r="AQ3343" s="10"/>
      <c r="AR3343" s="19"/>
      <c r="AS3343" s="20"/>
      <c r="AT3343" s="19"/>
      <c r="AV3343" s="21">
        <f>IF(AND($AL3343&lt;&gt;"",COUNTIF($AL$11:$AL3343,$AL3343)=1),1,0)</f>
        <v>0</v>
      </c>
      <c r="AW3343" s="21">
        <f t="shared" si="191"/>
        <v>0</v>
      </c>
      <c r="AX3343" s="21" t="str">
        <f t="shared" si="190"/>
        <v/>
      </c>
      <c r="AY3343" s="21" t="str">
        <f>IF(AND($AM3343&lt;&gt;"",$AS3343&lt;&gt;"✓"),SUMPRODUCT(($AM$11:$AM3343&lt;&gt;"")*($AS$11:$AS3343&lt;&gt;"✓")),"")</f>
        <v/>
      </c>
      <c r="AZ3343" s="21" t="str">
        <f>IF(AND($AM3343&lt;&gt;"",$AS3343="✓"),SUMPRODUCT(($AM$11:$AM3343&lt;&gt;"")*($AS$11:$AS3343="✓")),"")</f>
        <v/>
      </c>
      <c r="BA3343" s="21" t="str">
        <f>IF($AL3343="","",$AL3343&amp;"|"&amp;COUNTIF($AL$11:$AL3343,$AL3343))</f>
        <v/>
      </c>
    </row>
    <row r="3344" spans="38:53" ht="15" customHeight="1" x14ac:dyDescent="0.25">
      <c r="AL3344" s="31"/>
      <c r="AM3344" s="26"/>
      <c r="AN3344" s="32"/>
      <c r="AO3344" s="32"/>
      <c r="AP3344" s="24"/>
      <c r="AQ3344" s="24"/>
      <c r="AR3344" s="33"/>
      <c r="AS3344" s="34"/>
      <c r="AT3344" s="33"/>
      <c r="AV3344" s="21">
        <f>IF(AND($AL3344&lt;&gt;"",COUNTIF($AL$11:$AL3344,$AL3344)=1),1,0)</f>
        <v>0</v>
      </c>
      <c r="AW3344" s="21">
        <f t="shared" si="191"/>
        <v>0</v>
      </c>
      <c r="AX3344" s="21" t="str">
        <f t="shared" si="190"/>
        <v/>
      </c>
      <c r="AY3344" s="21" t="str">
        <f>IF(AND($AM3344&lt;&gt;"",$AS3344&lt;&gt;"✓"),SUMPRODUCT(($AM$11:$AM3344&lt;&gt;"")*($AS$11:$AS3344&lt;&gt;"✓")),"")</f>
        <v/>
      </c>
      <c r="AZ3344" s="21" t="str">
        <f>IF(AND($AM3344&lt;&gt;"",$AS3344="✓"),SUMPRODUCT(($AM$11:$AM3344&lt;&gt;"")*($AS$11:$AS3344="✓")),"")</f>
        <v/>
      </c>
      <c r="BA3344" s="21" t="str">
        <f>IF($AL3344="","",$AL3344&amp;"|"&amp;COUNTIF($AL$11:$AL3344,$AL3344))</f>
        <v/>
      </c>
    </row>
    <row r="3345" spans="38:53" ht="15" customHeight="1" x14ac:dyDescent="0.25">
      <c r="AL3345" s="17"/>
      <c r="AM3345" s="12"/>
      <c r="AN3345" s="18"/>
      <c r="AO3345" s="18"/>
      <c r="AP3345" s="10"/>
      <c r="AQ3345" s="10"/>
      <c r="AR3345" s="19"/>
      <c r="AS3345" s="20"/>
      <c r="AT3345" s="19"/>
      <c r="AV3345" s="21">
        <f>IF(AND($AL3345&lt;&gt;"",COUNTIF($AL$11:$AL3345,$AL3345)=1),1,0)</f>
        <v>0</v>
      </c>
      <c r="AW3345" s="21">
        <f t="shared" si="191"/>
        <v>0</v>
      </c>
      <c r="AX3345" s="21" t="str">
        <f t="shared" si="190"/>
        <v/>
      </c>
      <c r="AY3345" s="21" t="str">
        <f>IF(AND($AM3345&lt;&gt;"",$AS3345&lt;&gt;"✓"),SUMPRODUCT(($AM$11:$AM3345&lt;&gt;"")*($AS$11:$AS3345&lt;&gt;"✓")),"")</f>
        <v/>
      </c>
      <c r="AZ3345" s="21" t="str">
        <f>IF(AND($AM3345&lt;&gt;"",$AS3345="✓"),SUMPRODUCT(($AM$11:$AM3345&lt;&gt;"")*($AS$11:$AS3345="✓")),"")</f>
        <v/>
      </c>
      <c r="BA3345" s="21" t="str">
        <f>IF($AL3345="","",$AL3345&amp;"|"&amp;COUNTIF($AL$11:$AL3345,$AL3345))</f>
        <v/>
      </c>
    </row>
    <row r="3346" spans="38:53" ht="15" customHeight="1" x14ac:dyDescent="0.25">
      <c r="AL3346" s="31"/>
      <c r="AM3346" s="26"/>
      <c r="AN3346" s="32"/>
      <c r="AO3346" s="32"/>
      <c r="AP3346" s="24"/>
      <c r="AQ3346" s="24"/>
      <c r="AR3346" s="33"/>
      <c r="AS3346" s="34"/>
      <c r="AT3346" s="33"/>
      <c r="AV3346" s="21">
        <f>IF(AND($AL3346&lt;&gt;"",COUNTIF($AL$11:$AL3346,$AL3346)=1),1,0)</f>
        <v>0</v>
      </c>
      <c r="AW3346" s="21">
        <f t="shared" si="191"/>
        <v>0</v>
      </c>
      <c r="AX3346" s="21" t="str">
        <f t="shared" si="190"/>
        <v/>
      </c>
      <c r="AY3346" s="21" t="str">
        <f>IF(AND($AM3346&lt;&gt;"",$AS3346&lt;&gt;"✓"),SUMPRODUCT(($AM$11:$AM3346&lt;&gt;"")*($AS$11:$AS3346&lt;&gt;"✓")),"")</f>
        <v/>
      </c>
      <c r="AZ3346" s="21" t="str">
        <f>IF(AND($AM3346&lt;&gt;"",$AS3346="✓"),SUMPRODUCT(($AM$11:$AM3346&lt;&gt;"")*($AS$11:$AS3346="✓")),"")</f>
        <v/>
      </c>
      <c r="BA3346" s="21" t="str">
        <f>IF($AL3346="","",$AL3346&amp;"|"&amp;COUNTIF($AL$11:$AL3346,$AL3346))</f>
        <v/>
      </c>
    </row>
    <row r="3347" spans="38:53" ht="15" customHeight="1" x14ac:dyDescent="0.25">
      <c r="AL3347" s="17"/>
      <c r="AM3347" s="12"/>
      <c r="AN3347" s="18"/>
      <c r="AO3347" s="18"/>
      <c r="AP3347" s="10"/>
      <c r="AQ3347" s="10"/>
      <c r="AR3347" s="19"/>
      <c r="AS3347" s="20"/>
      <c r="AT3347" s="19"/>
      <c r="AV3347" s="21">
        <f>IF(AND($AL3347&lt;&gt;"",COUNTIF($AL$11:$AL3347,$AL3347)=1),1,0)</f>
        <v>0</v>
      </c>
      <c r="AW3347" s="21">
        <f t="shared" si="191"/>
        <v>0</v>
      </c>
      <c r="AX3347" s="21" t="str">
        <f t="shared" si="190"/>
        <v/>
      </c>
      <c r="AY3347" s="21" t="str">
        <f>IF(AND($AM3347&lt;&gt;"",$AS3347&lt;&gt;"✓"),SUMPRODUCT(($AM$11:$AM3347&lt;&gt;"")*($AS$11:$AS3347&lt;&gt;"✓")),"")</f>
        <v/>
      </c>
      <c r="AZ3347" s="21" t="str">
        <f>IF(AND($AM3347&lt;&gt;"",$AS3347="✓"),SUMPRODUCT(($AM$11:$AM3347&lt;&gt;"")*($AS$11:$AS3347="✓")),"")</f>
        <v/>
      </c>
      <c r="BA3347" s="21" t="str">
        <f>IF($AL3347="","",$AL3347&amp;"|"&amp;COUNTIF($AL$11:$AL3347,$AL3347))</f>
        <v/>
      </c>
    </row>
    <row r="3348" spans="38:53" ht="15" customHeight="1" x14ac:dyDescent="0.25">
      <c r="AL3348" s="31"/>
      <c r="AM3348" s="26"/>
      <c r="AN3348" s="32"/>
      <c r="AO3348" s="32"/>
      <c r="AP3348" s="24"/>
      <c r="AQ3348" s="24"/>
      <c r="AR3348" s="33"/>
      <c r="AS3348" s="34"/>
      <c r="AT3348" s="33"/>
      <c r="AV3348" s="21">
        <f>IF(AND($AL3348&lt;&gt;"",COUNTIF($AL$11:$AL3348,$AL3348)=1),1,0)</f>
        <v>0</v>
      </c>
      <c r="AW3348" s="21">
        <f t="shared" si="191"/>
        <v>0</v>
      </c>
      <c r="AX3348" s="21" t="str">
        <f t="shared" si="190"/>
        <v/>
      </c>
      <c r="AY3348" s="21" t="str">
        <f>IF(AND($AM3348&lt;&gt;"",$AS3348&lt;&gt;"✓"),SUMPRODUCT(($AM$11:$AM3348&lt;&gt;"")*($AS$11:$AS3348&lt;&gt;"✓")),"")</f>
        <v/>
      </c>
      <c r="AZ3348" s="21" t="str">
        <f>IF(AND($AM3348&lt;&gt;"",$AS3348="✓"),SUMPRODUCT(($AM$11:$AM3348&lt;&gt;"")*($AS$11:$AS3348="✓")),"")</f>
        <v/>
      </c>
      <c r="BA3348" s="21" t="str">
        <f>IF($AL3348="","",$AL3348&amp;"|"&amp;COUNTIF($AL$11:$AL3348,$AL3348))</f>
        <v/>
      </c>
    </row>
    <row r="3349" spans="38:53" ht="15" customHeight="1" x14ac:dyDescent="0.25">
      <c r="AL3349" s="17"/>
      <c r="AM3349" s="12"/>
      <c r="AN3349" s="18"/>
      <c r="AO3349" s="18"/>
      <c r="AP3349" s="10"/>
      <c r="AQ3349" s="10"/>
      <c r="AR3349" s="19"/>
      <c r="AS3349" s="20"/>
      <c r="AT3349" s="19"/>
      <c r="AV3349" s="21">
        <f>IF(AND($AL3349&lt;&gt;"",COUNTIF($AL$11:$AL3349,$AL3349)=1),1,0)</f>
        <v>0</v>
      </c>
      <c r="AW3349" s="21">
        <f t="shared" si="191"/>
        <v>0</v>
      </c>
      <c r="AX3349" s="21" t="str">
        <f t="shared" si="190"/>
        <v/>
      </c>
      <c r="AY3349" s="21" t="str">
        <f>IF(AND($AM3349&lt;&gt;"",$AS3349&lt;&gt;"✓"),SUMPRODUCT(($AM$11:$AM3349&lt;&gt;"")*($AS$11:$AS3349&lt;&gt;"✓")),"")</f>
        <v/>
      </c>
      <c r="AZ3349" s="21" t="str">
        <f>IF(AND($AM3349&lt;&gt;"",$AS3349="✓"),SUMPRODUCT(($AM$11:$AM3349&lt;&gt;"")*($AS$11:$AS3349="✓")),"")</f>
        <v/>
      </c>
      <c r="BA3349" s="21" t="str">
        <f>IF($AL3349="","",$AL3349&amp;"|"&amp;COUNTIF($AL$11:$AL3349,$AL3349))</f>
        <v/>
      </c>
    </row>
    <row r="3350" spans="38:53" ht="15" customHeight="1" x14ac:dyDescent="0.25">
      <c r="AL3350" s="31"/>
      <c r="AM3350" s="26"/>
      <c r="AN3350" s="32"/>
      <c r="AO3350" s="32"/>
      <c r="AP3350" s="24"/>
      <c r="AQ3350" s="24"/>
      <c r="AR3350" s="33"/>
      <c r="AS3350" s="34"/>
      <c r="AT3350" s="33"/>
      <c r="AV3350" s="21">
        <f>IF(AND($AL3350&lt;&gt;"",COUNTIF($AL$11:$AL3350,$AL3350)=1),1,0)</f>
        <v>0</v>
      </c>
      <c r="AW3350" s="21">
        <f t="shared" si="191"/>
        <v>0</v>
      </c>
      <c r="AX3350" s="21" t="str">
        <f t="shared" si="190"/>
        <v/>
      </c>
      <c r="AY3350" s="21" t="str">
        <f>IF(AND($AM3350&lt;&gt;"",$AS3350&lt;&gt;"✓"),SUMPRODUCT(($AM$11:$AM3350&lt;&gt;"")*($AS$11:$AS3350&lt;&gt;"✓")),"")</f>
        <v/>
      </c>
      <c r="AZ3350" s="21" t="str">
        <f>IF(AND($AM3350&lt;&gt;"",$AS3350="✓"),SUMPRODUCT(($AM$11:$AM3350&lt;&gt;"")*($AS$11:$AS3350="✓")),"")</f>
        <v/>
      </c>
      <c r="BA3350" s="21" t="str">
        <f>IF($AL3350="","",$AL3350&amp;"|"&amp;COUNTIF($AL$11:$AL3350,$AL3350))</f>
        <v/>
      </c>
    </row>
    <row r="3351" spans="38:53" ht="15" customHeight="1" x14ac:dyDescent="0.25">
      <c r="AL3351" s="17"/>
      <c r="AM3351" s="12"/>
      <c r="AN3351" s="18"/>
      <c r="AO3351" s="18"/>
      <c r="AP3351" s="10"/>
      <c r="AQ3351" s="10"/>
      <c r="AR3351" s="19"/>
      <c r="AS3351" s="20"/>
      <c r="AT3351" s="19"/>
      <c r="AV3351" s="21">
        <f>IF(AND($AL3351&lt;&gt;"",COUNTIF($AL$11:$AL3351,$AL3351)=1),1,0)</f>
        <v>0</v>
      </c>
      <c r="AW3351" s="21">
        <f t="shared" si="191"/>
        <v>0</v>
      </c>
      <c r="AX3351" s="21" t="str">
        <f t="shared" si="190"/>
        <v/>
      </c>
      <c r="AY3351" s="21" t="str">
        <f>IF(AND($AM3351&lt;&gt;"",$AS3351&lt;&gt;"✓"),SUMPRODUCT(($AM$11:$AM3351&lt;&gt;"")*($AS$11:$AS3351&lt;&gt;"✓")),"")</f>
        <v/>
      </c>
      <c r="AZ3351" s="21" t="str">
        <f>IF(AND($AM3351&lt;&gt;"",$AS3351="✓"),SUMPRODUCT(($AM$11:$AM3351&lt;&gt;"")*($AS$11:$AS3351="✓")),"")</f>
        <v/>
      </c>
      <c r="BA3351" s="21" t="str">
        <f>IF($AL3351="","",$AL3351&amp;"|"&amp;COUNTIF($AL$11:$AL3351,$AL3351))</f>
        <v/>
      </c>
    </row>
    <row r="3352" spans="38:53" ht="15" customHeight="1" x14ac:dyDescent="0.25">
      <c r="AL3352" s="31"/>
      <c r="AM3352" s="26"/>
      <c r="AN3352" s="32"/>
      <c r="AO3352" s="32"/>
      <c r="AP3352" s="24"/>
      <c r="AQ3352" s="24"/>
      <c r="AR3352" s="33"/>
      <c r="AS3352" s="34"/>
      <c r="AT3352" s="33"/>
      <c r="AV3352" s="21">
        <f>IF(AND($AL3352&lt;&gt;"",COUNTIF($AL$11:$AL3352,$AL3352)=1),1,0)</f>
        <v>0</v>
      </c>
      <c r="AW3352" s="21">
        <f t="shared" si="191"/>
        <v>0</v>
      </c>
      <c r="AX3352" s="21" t="str">
        <f t="shared" si="190"/>
        <v/>
      </c>
      <c r="AY3352" s="21" t="str">
        <f>IF(AND($AM3352&lt;&gt;"",$AS3352&lt;&gt;"✓"),SUMPRODUCT(($AM$11:$AM3352&lt;&gt;"")*($AS$11:$AS3352&lt;&gt;"✓")),"")</f>
        <v/>
      </c>
      <c r="AZ3352" s="21" t="str">
        <f>IF(AND($AM3352&lt;&gt;"",$AS3352="✓"),SUMPRODUCT(($AM$11:$AM3352&lt;&gt;"")*($AS$11:$AS3352="✓")),"")</f>
        <v/>
      </c>
      <c r="BA3352" s="21" t="str">
        <f>IF($AL3352="","",$AL3352&amp;"|"&amp;COUNTIF($AL$11:$AL3352,$AL3352))</f>
        <v/>
      </c>
    </row>
    <row r="3353" spans="38:53" ht="15" customHeight="1" x14ac:dyDescent="0.25">
      <c r="AL3353" s="17"/>
      <c r="AM3353" s="12"/>
      <c r="AN3353" s="18"/>
      <c r="AO3353" s="18"/>
      <c r="AP3353" s="10"/>
      <c r="AQ3353" s="10"/>
      <c r="AR3353" s="19"/>
      <c r="AS3353" s="20"/>
      <c r="AT3353" s="19"/>
      <c r="AV3353" s="21">
        <f>IF(AND($AL3353&lt;&gt;"",COUNTIF($AL$11:$AL3353,$AL3353)=1),1,0)</f>
        <v>0</v>
      </c>
      <c r="AW3353" s="21">
        <f t="shared" si="191"/>
        <v>0</v>
      </c>
      <c r="AX3353" s="21" t="str">
        <f t="shared" si="190"/>
        <v/>
      </c>
      <c r="AY3353" s="21" t="str">
        <f>IF(AND($AM3353&lt;&gt;"",$AS3353&lt;&gt;"✓"),SUMPRODUCT(($AM$11:$AM3353&lt;&gt;"")*($AS$11:$AS3353&lt;&gt;"✓")),"")</f>
        <v/>
      </c>
      <c r="AZ3353" s="21" t="str">
        <f>IF(AND($AM3353&lt;&gt;"",$AS3353="✓"),SUMPRODUCT(($AM$11:$AM3353&lt;&gt;"")*($AS$11:$AS3353="✓")),"")</f>
        <v/>
      </c>
      <c r="BA3353" s="21" t="str">
        <f>IF($AL3353="","",$AL3353&amp;"|"&amp;COUNTIF($AL$11:$AL3353,$AL3353))</f>
        <v/>
      </c>
    </row>
    <row r="3354" spans="38:53" ht="15" customHeight="1" x14ac:dyDescent="0.25">
      <c r="AL3354" s="31"/>
      <c r="AM3354" s="26"/>
      <c r="AN3354" s="32"/>
      <c r="AO3354" s="32"/>
      <c r="AP3354" s="24"/>
      <c r="AQ3354" s="24"/>
      <c r="AR3354" s="33"/>
      <c r="AS3354" s="34"/>
      <c r="AT3354" s="33"/>
      <c r="AV3354" s="21">
        <f>IF(AND($AL3354&lt;&gt;"",COUNTIF($AL$11:$AL3354,$AL3354)=1),1,0)</f>
        <v>0</v>
      </c>
      <c r="AW3354" s="21">
        <f t="shared" si="191"/>
        <v>0</v>
      </c>
      <c r="AX3354" s="21" t="str">
        <f t="shared" si="190"/>
        <v/>
      </c>
      <c r="AY3354" s="21" t="str">
        <f>IF(AND($AM3354&lt;&gt;"",$AS3354&lt;&gt;"✓"),SUMPRODUCT(($AM$11:$AM3354&lt;&gt;"")*($AS$11:$AS3354&lt;&gt;"✓")),"")</f>
        <v/>
      </c>
      <c r="AZ3354" s="21" t="str">
        <f>IF(AND($AM3354&lt;&gt;"",$AS3354="✓"),SUMPRODUCT(($AM$11:$AM3354&lt;&gt;"")*($AS$11:$AS3354="✓")),"")</f>
        <v/>
      </c>
      <c r="BA3354" s="21" t="str">
        <f>IF($AL3354="","",$AL3354&amp;"|"&amp;COUNTIF($AL$11:$AL3354,$AL3354))</f>
        <v/>
      </c>
    </row>
    <row r="3355" spans="38:53" ht="15" customHeight="1" x14ac:dyDescent="0.25">
      <c r="AL3355" s="17"/>
      <c r="AM3355" s="12"/>
      <c r="AN3355" s="18"/>
      <c r="AO3355" s="18"/>
      <c r="AP3355" s="10"/>
      <c r="AQ3355" s="10"/>
      <c r="AR3355" s="19"/>
      <c r="AS3355" s="20"/>
      <c r="AT3355" s="19"/>
      <c r="AV3355" s="21">
        <f>IF(AND($AL3355&lt;&gt;"",COUNTIF($AL$11:$AL3355,$AL3355)=1),1,0)</f>
        <v>0</v>
      </c>
      <c r="AW3355" s="21">
        <f t="shared" si="191"/>
        <v>0</v>
      </c>
      <c r="AX3355" s="21" t="str">
        <f t="shared" si="190"/>
        <v/>
      </c>
      <c r="AY3355" s="21" t="str">
        <f>IF(AND($AM3355&lt;&gt;"",$AS3355&lt;&gt;"✓"),SUMPRODUCT(($AM$11:$AM3355&lt;&gt;"")*($AS$11:$AS3355&lt;&gt;"✓")),"")</f>
        <v/>
      </c>
      <c r="AZ3355" s="21" t="str">
        <f>IF(AND($AM3355&lt;&gt;"",$AS3355="✓"),SUMPRODUCT(($AM$11:$AM3355&lt;&gt;"")*($AS$11:$AS3355="✓")),"")</f>
        <v/>
      </c>
      <c r="BA3355" s="21" t="str">
        <f>IF($AL3355="","",$AL3355&amp;"|"&amp;COUNTIF($AL$11:$AL3355,$AL3355))</f>
        <v/>
      </c>
    </row>
    <row r="3356" spans="38:53" ht="15" customHeight="1" x14ac:dyDescent="0.25">
      <c r="AL3356" s="31"/>
      <c r="AM3356" s="26"/>
      <c r="AN3356" s="32"/>
      <c r="AO3356" s="32"/>
      <c r="AP3356" s="24"/>
      <c r="AQ3356" s="24"/>
      <c r="AR3356" s="33"/>
      <c r="AS3356" s="34"/>
      <c r="AT3356" s="33"/>
      <c r="AV3356" s="21">
        <f>IF(AND($AL3356&lt;&gt;"",COUNTIF($AL$11:$AL3356,$AL3356)=1),1,0)</f>
        <v>0</v>
      </c>
      <c r="AW3356" s="21">
        <f t="shared" si="191"/>
        <v>0</v>
      </c>
      <c r="AX3356" s="21" t="str">
        <f t="shared" si="190"/>
        <v/>
      </c>
      <c r="AY3356" s="21" t="str">
        <f>IF(AND($AM3356&lt;&gt;"",$AS3356&lt;&gt;"✓"),SUMPRODUCT(($AM$11:$AM3356&lt;&gt;"")*($AS$11:$AS3356&lt;&gt;"✓")),"")</f>
        <v/>
      </c>
      <c r="AZ3356" s="21" t="str">
        <f>IF(AND($AM3356&lt;&gt;"",$AS3356="✓"),SUMPRODUCT(($AM$11:$AM3356&lt;&gt;"")*($AS$11:$AS3356="✓")),"")</f>
        <v/>
      </c>
      <c r="BA3356" s="21" t="str">
        <f>IF($AL3356="","",$AL3356&amp;"|"&amp;COUNTIF($AL$11:$AL3356,$AL3356))</f>
        <v/>
      </c>
    </row>
    <row r="3357" spans="38:53" ht="15" customHeight="1" x14ac:dyDescent="0.25">
      <c r="AL3357" s="17"/>
      <c r="AM3357" s="12"/>
      <c r="AN3357" s="18"/>
      <c r="AO3357" s="18"/>
      <c r="AP3357" s="10"/>
      <c r="AQ3357" s="10"/>
      <c r="AR3357" s="19"/>
      <c r="AS3357" s="20"/>
      <c r="AT3357" s="19"/>
      <c r="AV3357" s="21">
        <f>IF(AND($AL3357&lt;&gt;"",COUNTIF($AL$11:$AL3357,$AL3357)=1),1,0)</f>
        <v>0</v>
      </c>
      <c r="AW3357" s="21">
        <f t="shared" si="191"/>
        <v>0</v>
      </c>
      <c r="AX3357" s="21" t="str">
        <f t="shared" si="190"/>
        <v/>
      </c>
      <c r="AY3357" s="21" t="str">
        <f>IF(AND($AM3357&lt;&gt;"",$AS3357&lt;&gt;"✓"),SUMPRODUCT(($AM$11:$AM3357&lt;&gt;"")*($AS$11:$AS3357&lt;&gt;"✓")),"")</f>
        <v/>
      </c>
      <c r="AZ3357" s="21" t="str">
        <f>IF(AND($AM3357&lt;&gt;"",$AS3357="✓"),SUMPRODUCT(($AM$11:$AM3357&lt;&gt;"")*($AS$11:$AS3357="✓")),"")</f>
        <v/>
      </c>
      <c r="BA3357" s="21" t="str">
        <f>IF($AL3357="","",$AL3357&amp;"|"&amp;COUNTIF($AL$11:$AL3357,$AL3357))</f>
        <v/>
      </c>
    </row>
    <row r="3358" spans="38:53" ht="15" customHeight="1" x14ac:dyDescent="0.25">
      <c r="AL3358" s="31"/>
      <c r="AM3358" s="26"/>
      <c r="AN3358" s="32"/>
      <c r="AO3358" s="32"/>
      <c r="AP3358" s="24"/>
      <c r="AQ3358" s="24"/>
      <c r="AR3358" s="33"/>
      <c r="AS3358" s="34"/>
      <c r="AT3358" s="33"/>
      <c r="AV3358" s="21">
        <f>IF(AND($AL3358&lt;&gt;"",COUNTIF($AL$11:$AL3358,$AL3358)=1),1,0)</f>
        <v>0</v>
      </c>
      <c r="AW3358" s="21">
        <f t="shared" si="191"/>
        <v>0</v>
      </c>
      <c r="AX3358" s="21" t="str">
        <f t="shared" si="190"/>
        <v/>
      </c>
      <c r="AY3358" s="21" t="str">
        <f>IF(AND($AM3358&lt;&gt;"",$AS3358&lt;&gt;"✓"),SUMPRODUCT(($AM$11:$AM3358&lt;&gt;"")*($AS$11:$AS3358&lt;&gt;"✓")),"")</f>
        <v/>
      </c>
      <c r="AZ3358" s="21" t="str">
        <f>IF(AND($AM3358&lt;&gt;"",$AS3358="✓"),SUMPRODUCT(($AM$11:$AM3358&lt;&gt;"")*($AS$11:$AS3358="✓")),"")</f>
        <v/>
      </c>
      <c r="BA3358" s="21" t="str">
        <f>IF($AL3358="","",$AL3358&amp;"|"&amp;COUNTIF($AL$11:$AL3358,$AL3358))</f>
        <v/>
      </c>
    </row>
    <row r="3359" spans="38:53" ht="15" customHeight="1" x14ac:dyDescent="0.25">
      <c r="AL3359" s="17"/>
      <c r="AM3359" s="12"/>
      <c r="AN3359" s="18"/>
      <c r="AO3359" s="18"/>
      <c r="AP3359" s="10"/>
      <c r="AQ3359" s="10"/>
      <c r="AR3359" s="19"/>
      <c r="AS3359" s="20"/>
      <c r="AT3359" s="19"/>
      <c r="AV3359" s="21">
        <f>IF(AND($AL3359&lt;&gt;"",COUNTIF($AL$11:$AL3359,$AL3359)=1),1,0)</f>
        <v>0</v>
      </c>
      <c r="AW3359" s="21">
        <f t="shared" si="191"/>
        <v>0</v>
      </c>
      <c r="AX3359" s="21" t="str">
        <f t="shared" si="190"/>
        <v/>
      </c>
      <c r="AY3359" s="21" t="str">
        <f>IF(AND($AM3359&lt;&gt;"",$AS3359&lt;&gt;"✓"),SUMPRODUCT(($AM$11:$AM3359&lt;&gt;"")*($AS$11:$AS3359&lt;&gt;"✓")),"")</f>
        <v/>
      </c>
      <c r="AZ3359" s="21" t="str">
        <f>IF(AND($AM3359&lt;&gt;"",$AS3359="✓"),SUMPRODUCT(($AM$11:$AM3359&lt;&gt;"")*($AS$11:$AS3359="✓")),"")</f>
        <v/>
      </c>
      <c r="BA3359" s="21" t="str">
        <f>IF($AL3359="","",$AL3359&amp;"|"&amp;COUNTIF($AL$11:$AL3359,$AL3359))</f>
        <v/>
      </c>
    </row>
    <row r="3360" spans="38:53" ht="15" customHeight="1" x14ac:dyDescent="0.25">
      <c r="AL3360" s="31"/>
      <c r="AM3360" s="26"/>
      <c r="AN3360" s="32"/>
      <c r="AO3360" s="32"/>
      <c r="AP3360" s="24"/>
      <c r="AQ3360" s="24"/>
      <c r="AR3360" s="33"/>
      <c r="AS3360" s="34"/>
      <c r="AT3360" s="33"/>
      <c r="AV3360" s="21">
        <f>IF(AND($AL3360&lt;&gt;"",COUNTIF($AL$11:$AL3360,$AL3360)=1),1,0)</f>
        <v>0</v>
      </c>
      <c r="AW3360" s="21">
        <f t="shared" si="191"/>
        <v>0</v>
      </c>
      <c r="AX3360" s="21" t="str">
        <f t="shared" si="190"/>
        <v/>
      </c>
      <c r="AY3360" s="21" t="str">
        <f>IF(AND($AM3360&lt;&gt;"",$AS3360&lt;&gt;"✓"),SUMPRODUCT(($AM$11:$AM3360&lt;&gt;"")*($AS$11:$AS3360&lt;&gt;"✓")),"")</f>
        <v/>
      </c>
      <c r="AZ3360" s="21" t="str">
        <f>IF(AND($AM3360&lt;&gt;"",$AS3360="✓"),SUMPRODUCT(($AM$11:$AM3360&lt;&gt;"")*($AS$11:$AS3360="✓")),"")</f>
        <v/>
      </c>
      <c r="BA3360" s="21" t="str">
        <f>IF($AL3360="","",$AL3360&amp;"|"&amp;COUNTIF($AL$11:$AL3360,$AL3360))</f>
        <v/>
      </c>
    </row>
    <row r="3361" spans="38:53" ht="15" customHeight="1" x14ac:dyDescent="0.25">
      <c r="AL3361" s="17"/>
      <c r="AM3361" s="12"/>
      <c r="AN3361" s="18"/>
      <c r="AO3361" s="18"/>
      <c r="AP3361" s="10"/>
      <c r="AQ3361" s="10"/>
      <c r="AR3361" s="19"/>
      <c r="AS3361" s="20"/>
      <c r="AT3361" s="19"/>
      <c r="AV3361" s="21">
        <f>IF(AND($AL3361&lt;&gt;"",COUNTIF($AL$11:$AL3361,$AL3361)=1),1,0)</f>
        <v>0</v>
      </c>
      <c r="AW3361" s="21">
        <f t="shared" si="191"/>
        <v>0</v>
      </c>
      <c r="AX3361" s="21" t="str">
        <f t="shared" si="190"/>
        <v/>
      </c>
      <c r="AY3361" s="21" t="str">
        <f>IF(AND($AM3361&lt;&gt;"",$AS3361&lt;&gt;"✓"),SUMPRODUCT(($AM$11:$AM3361&lt;&gt;"")*($AS$11:$AS3361&lt;&gt;"✓")),"")</f>
        <v/>
      </c>
      <c r="AZ3361" s="21" t="str">
        <f>IF(AND($AM3361&lt;&gt;"",$AS3361="✓"),SUMPRODUCT(($AM$11:$AM3361&lt;&gt;"")*($AS$11:$AS3361="✓")),"")</f>
        <v/>
      </c>
      <c r="BA3361" s="21" t="str">
        <f>IF($AL3361="","",$AL3361&amp;"|"&amp;COUNTIF($AL$11:$AL3361,$AL3361))</f>
        <v/>
      </c>
    </row>
    <row r="3362" spans="38:53" ht="15" customHeight="1" x14ac:dyDescent="0.25">
      <c r="AL3362" s="31"/>
      <c r="AM3362" s="26"/>
      <c r="AN3362" s="32"/>
      <c r="AO3362" s="32"/>
      <c r="AP3362" s="24"/>
      <c r="AQ3362" s="24"/>
      <c r="AR3362" s="33"/>
      <c r="AS3362" s="34"/>
      <c r="AT3362" s="33"/>
      <c r="AV3362" s="21">
        <f>IF(AND($AL3362&lt;&gt;"",COUNTIF($AL$11:$AL3362,$AL3362)=1),1,0)</f>
        <v>0</v>
      </c>
      <c r="AW3362" s="21">
        <f t="shared" si="191"/>
        <v>0</v>
      </c>
      <c r="AX3362" s="21" t="str">
        <f t="shared" si="190"/>
        <v/>
      </c>
      <c r="AY3362" s="21" t="str">
        <f>IF(AND($AM3362&lt;&gt;"",$AS3362&lt;&gt;"✓"),SUMPRODUCT(($AM$11:$AM3362&lt;&gt;"")*($AS$11:$AS3362&lt;&gt;"✓")),"")</f>
        <v/>
      </c>
      <c r="AZ3362" s="21" t="str">
        <f>IF(AND($AM3362&lt;&gt;"",$AS3362="✓"),SUMPRODUCT(($AM$11:$AM3362&lt;&gt;"")*($AS$11:$AS3362="✓")),"")</f>
        <v/>
      </c>
      <c r="BA3362" s="21" t="str">
        <f>IF($AL3362="","",$AL3362&amp;"|"&amp;COUNTIF($AL$11:$AL3362,$AL3362))</f>
        <v/>
      </c>
    </row>
    <row r="3363" spans="38:53" ht="15" customHeight="1" x14ac:dyDescent="0.25">
      <c r="AL3363" s="17"/>
      <c r="AM3363" s="12"/>
      <c r="AN3363" s="18"/>
      <c r="AO3363" s="18"/>
      <c r="AP3363" s="10"/>
      <c r="AQ3363" s="10"/>
      <c r="AR3363" s="19"/>
      <c r="AS3363" s="20"/>
      <c r="AT3363" s="19"/>
      <c r="AV3363" s="21">
        <f>IF(AND($AL3363&lt;&gt;"",COUNTIF($AL$11:$AL3363,$AL3363)=1),1,0)</f>
        <v>0</v>
      </c>
      <c r="AW3363" s="21">
        <f t="shared" si="191"/>
        <v>0</v>
      </c>
      <c r="AX3363" s="21" t="str">
        <f t="shared" si="190"/>
        <v/>
      </c>
      <c r="AY3363" s="21" t="str">
        <f>IF(AND($AM3363&lt;&gt;"",$AS3363&lt;&gt;"✓"),SUMPRODUCT(($AM$11:$AM3363&lt;&gt;"")*($AS$11:$AS3363&lt;&gt;"✓")),"")</f>
        <v/>
      </c>
      <c r="AZ3363" s="21" t="str">
        <f>IF(AND($AM3363&lt;&gt;"",$AS3363="✓"),SUMPRODUCT(($AM$11:$AM3363&lt;&gt;"")*($AS$11:$AS3363="✓")),"")</f>
        <v/>
      </c>
      <c r="BA3363" s="21" t="str">
        <f>IF($AL3363="","",$AL3363&amp;"|"&amp;COUNTIF($AL$11:$AL3363,$AL3363))</f>
        <v/>
      </c>
    </row>
    <row r="3364" spans="38:53" ht="15" customHeight="1" x14ac:dyDescent="0.25">
      <c r="AL3364" s="31"/>
      <c r="AM3364" s="26"/>
      <c r="AN3364" s="32"/>
      <c r="AO3364" s="32"/>
      <c r="AP3364" s="24"/>
      <c r="AQ3364" s="24"/>
      <c r="AR3364" s="33"/>
      <c r="AS3364" s="34"/>
      <c r="AT3364" s="33"/>
      <c r="AV3364" s="21">
        <f>IF(AND($AL3364&lt;&gt;"",COUNTIF($AL$11:$AL3364,$AL3364)=1),1,0)</f>
        <v>0</v>
      </c>
      <c r="AW3364" s="21">
        <f t="shared" si="191"/>
        <v>0</v>
      </c>
      <c r="AX3364" s="21" t="str">
        <f t="shared" si="190"/>
        <v/>
      </c>
      <c r="AY3364" s="21" t="str">
        <f>IF(AND($AM3364&lt;&gt;"",$AS3364&lt;&gt;"✓"),SUMPRODUCT(($AM$11:$AM3364&lt;&gt;"")*($AS$11:$AS3364&lt;&gt;"✓")),"")</f>
        <v/>
      </c>
      <c r="AZ3364" s="21" t="str">
        <f>IF(AND($AM3364&lt;&gt;"",$AS3364="✓"),SUMPRODUCT(($AM$11:$AM3364&lt;&gt;"")*($AS$11:$AS3364="✓")),"")</f>
        <v/>
      </c>
      <c r="BA3364" s="21" t="str">
        <f>IF($AL3364="","",$AL3364&amp;"|"&amp;COUNTIF($AL$11:$AL3364,$AL3364))</f>
        <v/>
      </c>
    </row>
    <row r="3365" spans="38:53" ht="15" customHeight="1" x14ac:dyDescent="0.25">
      <c r="AL3365" s="17"/>
      <c r="AM3365" s="12"/>
      <c r="AN3365" s="18"/>
      <c r="AO3365" s="18"/>
      <c r="AP3365" s="10"/>
      <c r="AQ3365" s="10"/>
      <c r="AR3365" s="19"/>
      <c r="AS3365" s="20"/>
      <c r="AT3365" s="19"/>
      <c r="AV3365" s="21">
        <f>IF(AND($AL3365&lt;&gt;"",COUNTIF($AL$11:$AL3365,$AL3365)=1),1,0)</f>
        <v>0</v>
      </c>
      <c r="AW3365" s="21">
        <f t="shared" si="191"/>
        <v>0</v>
      </c>
      <c r="AX3365" s="21" t="str">
        <f t="shared" si="190"/>
        <v/>
      </c>
      <c r="AY3365" s="21" t="str">
        <f>IF(AND($AM3365&lt;&gt;"",$AS3365&lt;&gt;"✓"),SUMPRODUCT(($AM$11:$AM3365&lt;&gt;"")*($AS$11:$AS3365&lt;&gt;"✓")),"")</f>
        <v/>
      </c>
      <c r="AZ3365" s="21" t="str">
        <f>IF(AND($AM3365&lt;&gt;"",$AS3365="✓"),SUMPRODUCT(($AM$11:$AM3365&lt;&gt;"")*($AS$11:$AS3365="✓")),"")</f>
        <v/>
      </c>
      <c r="BA3365" s="21" t="str">
        <f>IF($AL3365="","",$AL3365&amp;"|"&amp;COUNTIF($AL$11:$AL3365,$AL3365))</f>
        <v/>
      </c>
    </row>
    <row r="3366" spans="38:53" ht="15" customHeight="1" x14ac:dyDescent="0.25">
      <c r="AL3366" s="31"/>
      <c r="AM3366" s="26"/>
      <c r="AN3366" s="32"/>
      <c r="AO3366" s="32"/>
      <c r="AP3366" s="24"/>
      <c r="AQ3366" s="24"/>
      <c r="AR3366" s="33"/>
      <c r="AS3366" s="34"/>
      <c r="AT3366" s="33"/>
      <c r="AV3366" s="21">
        <f>IF(AND($AL3366&lt;&gt;"",COUNTIF($AL$11:$AL3366,$AL3366)=1),1,0)</f>
        <v>0</v>
      </c>
      <c r="AW3366" s="21">
        <f t="shared" si="191"/>
        <v>0</v>
      </c>
      <c r="AX3366" s="21" t="str">
        <f t="shared" si="190"/>
        <v/>
      </c>
      <c r="AY3366" s="21" t="str">
        <f>IF(AND($AM3366&lt;&gt;"",$AS3366&lt;&gt;"✓"),SUMPRODUCT(($AM$11:$AM3366&lt;&gt;"")*($AS$11:$AS3366&lt;&gt;"✓")),"")</f>
        <v/>
      </c>
      <c r="AZ3366" s="21" t="str">
        <f>IF(AND($AM3366&lt;&gt;"",$AS3366="✓"),SUMPRODUCT(($AM$11:$AM3366&lt;&gt;"")*($AS$11:$AS3366="✓")),"")</f>
        <v/>
      </c>
      <c r="BA3366" s="21" t="str">
        <f>IF($AL3366="","",$AL3366&amp;"|"&amp;COUNTIF($AL$11:$AL3366,$AL3366))</f>
        <v/>
      </c>
    </row>
    <row r="3367" spans="38:53" ht="15" customHeight="1" x14ac:dyDescent="0.25">
      <c r="AL3367" s="17"/>
      <c r="AM3367" s="12"/>
      <c r="AN3367" s="18"/>
      <c r="AO3367" s="18"/>
      <c r="AP3367" s="10"/>
      <c r="AQ3367" s="10"/>
      <c r="AR3367" s="19"/>
      <c r="AS3367" s="20"/>
      <c r="AT3367" s="19"/>
      <c r="AV3367" s="21">
        <f>IF(AND($AL3367&lt;&gt;"",COUNTIF($AL$11:$AL3367,$AL3367)=1),1,0)</f>
        <v>0</v>
      </c>
      <c r="AW3367" s="21">
        <f t="shared" si="191"/>
        <v>0</v>
      </c>
      <c r="AX3367" s="21" t="str">
        <f t="shared" si="190"/>
        <v/>
      </c>
      <c r="AY3367" s="21" t="str">
        <f>IF(AND($AM3367&lt;&gt;"",$AS3367&lt;&gt;"✓"),SUMPRODUCT(($AM$11:$AM3367&lt;&gt;"")*($AS$11:$AS3367&lt;&gt;"✓")),"")</f>
        <v/>
      </c>
      <c r="AZ3367" s="21" t="str">
        <f>IF(AND($AM3367&lt;&gt;"",$AS3367="✓"),SUMPRODUCT(($AM$11:$AM3367&lt;&gt;"")*($AS$11:$AS3367="✓")),"")</f>
        <v/>
      </c>
      <c r="BA3367" s="21" t="str">
        <f>IF($AL3367="","",$AL3367&amp;"|"&amp;COUNTIF($AL$11:$AL3367,$AL3367))</f>
        <v/>
      </c>
    </row>
    <row r="3368" spans="38:53" ht="15" customHeight="1" x14ac:dyDescent="0.25">
      <c r="AL3368" s="31"/>
      <c r="AM3368" s="26"/>
      <c r="AN3368" s="32"/>
      <c r="AO3368" s="32"/>
      <c r="AP3368" s="24"/>
      <c r="AQ3368" s="24"/>
      <c r="AR3368" s="33"/>
      <c r="AS3368" s="34"/>
      <c r="AT3368" s="33"/>
      <c r="AV3368" s="21">
        <f>IF(AND($AL3368&lt;&gt;"",COUNTIF($AL$11:$AL3368,$AL3368)=1),1,0)</f>
        <v>0</v>
      </c>
      <c r="AW3368" s="21">
        <f t="shared" si="191"/>
        <v>0</v>
      </c>
      <c r="AX3368" s="21" t="str">
        <f t="shared" si="190"/>
        <v/>
      </c>
      <c r="AY3368" s="21" t="str">
        <f>IF(AND($AM3368&lt;&gt;"",$AS3368&lt;&gt;"✓"),SUMPRODUCT(($AM$11:$AM3368&lt;&gt;"")*($AS$11:$AS3368&lt;&gt;"✓")),"")</f>
        <v/>
      </c>
      <c r="AZ3368" s="21" t="str">
        <f>IF(AND($AM3368&lt;&gt;"",$AS3368="✓"),SUMPRODUCT(($AM$11:$AM3368&lt;&gt;"")*($AS$11:$AS3368="✓")),"")</f>
        <v/>
      </c>
      <c r="BA3368" s="21" t="str">
        <f>IF($AL3368="","",$AL3368&amp;"|"&amp;COUNTIF($AL$11:$AL3368,$AL3368))</f>
        <v/>
      </c>
    </row>
    <row r="3369" spans="38:53" ht="15" customHeight="1" x14ac:dyDescent="0.25">
      <c r="AL3369" s="17"/>
      <c r="AM3369" s="12"/>
      <c r="AN3369" s="18"/>
      <c r="AO3369" s="18"/>
      <c r="AP3369" s="10"/>
      <c r="AQ3369" s="10"/>
      <c r="AR3369" s="19"/>
      <c r="AS3369" s="20"/>
      <c r="AT3369" s="19"/>
      <c r="AV3369" s="21">
        <f>IF(AND($AL3369&lt;&gt;"",COUNTIF($AL$11:$AL3369,$AL3369)=1),1,0)</f>
        <v>0</v>
      </c>
      <c r="AW3369" s="21">
        <f t="shared" si="191"/>
        <v>0</v>
      </c>
      <c r="AX3369" s="21" t="str">
        <f t="shared" si="190"/>
        <v/>
      </c>
      <c r="AY3369" s="21" t="str">
        <f>IF(AND($AM3369&lt;&gt;"",$AS3369&lt;&gt;"✓"),SUMPRODUCT(($AM$11:$AM3369&lt;&gt;"")*($AS$11:$AS3369&lt;&gt;"✓")),"")</f>
        <v/>
      </c>
      <c r="AZ3369" s="21" t="str">
        <f>IF(AND($AM3369&lt;&gt;"",$AS3369="✓"),SUMPRODUCT(($AM$11:$AM3369&lt;&gt;"")*($AS$11:$AS3369="✓")),"")</f>
        <v/>
      </c>
      <c r="BA3369" s="21" t="str">
        <f>IF($AL3369="","",$AL3369&amp;"|"&amp;COUNTIF($AL$11:$AL3369,$AL3369))</f>
        <v/>
      </c>
    </row>
    <row r="3370" spans="38:53" ht="15" customHeight="1" x14ac:dyDescent="0.25">
      <c r="AL3370" s="31"/>
      <c r="AM3370" s="26"/>
      <c r="AN3370" s="32"/>
      <c r="AO3370" s="32"/>
      <c r="AP3370" s="24"/>
      <c r="AQ3370" s="24"/>
      <c r="AR3370" s="33"/>
      <c r="AS3370" s="34"/>
      <c r="AT3370" s="33"/>
      <c r="AV3370" s="21">
        <f>IF(AND($AL3370&lt;&gt;"",COUNTIF($AL$11:$AL3370,$AL3370)=1),1,0)</f>
        <v>0</v>
      </c>
      <c r="AW3370" s="21">
        <f t="shared" si="191"/>
        <v>0</v>
      </c>
      <c r="AX3370" s="21" t="str">
        <f t="shared" si="190"/>
        <v/>
      </c>
      <c r="AY3370" s="21" t="str">
        <f>IF(AND($AM3370&lt;&gt;"",$AS3370&lt;&gt;"✓"),SUMPRODUCT(($AM$11:$AM3370&lt;&gt;"")*($AS$11:$AS3370&lt;&gt;"✓")),"")</f>
        <v/>
      </c>
      <c r="AZ3370" s="21" t="str">
        <f>IF(AND($AM3370&lt;&gt;"",$AS3370="✓"),SUMPRODUCT(($AM$11:$AM3370&lt;&gt;"")*($AS$11:$AS3370="✓")),"")</f>
        <v/>
      </c>
      <c r="BA3370" s="21" t="str">
        <f>IF($AL3370="","",$AL3370&amp;"|"&amp;COUNTIF($AL$11:$AL3370,$AL3370))</f>
        <v/>
      </c>
    </row>
    <row r="3371" spans="38:53" ht="15" customHeight="1" x14ac:dyDescent="0.25">
      <c r="AL3371" s="17"/>
      <c r="AM3371" s="12"/>
      <c r="AN3371" s="18"/>
      <c r="AO3371" s="18"/>
      <c r="AP3371" s="10"/>
      <c r="AQ3371" s="10"/>
      <c r="AR3371" s="19"/>
      <c r="AS3371" s="20"/>
      <c r="AT3371" s="19"/>
      <c r="AV3371" s="21">
        <f>IF(AND($AL3371&lt;&gt;"",COUNTIF($AL$11:$AL3371,$AL3371)=1),1,0)</f>
        <v>0</v>
      </c>
      <c r="AW3371" s="21">
        <f t="shared" si="191"/>
        <v>0</v>
      </c>
      <c r="AX3371" s="21" t="str">
        <f t="shared" si="190"/>
        <v/>
      </c>
      <c r="AY3371" s="21" t="str">
        <f>IF(AND($AM3371&lt;&gt;"",$AS3371&lt;&gt;"✓"),SUMPRODUCT(($AM$11:$AM3371&lt;&gt;"")*($AS$11:$AS3371&lt;&gt;"✓")),"")</f>
        <v/>
      </c>
      <c r="AZ3371" s="21" t="str">
        <f>IF(AND($AM3371&lt;&gt;"",$AS3371="✓"),SUMPRODUCT(($AM$11:$AM3371&lt;&gt;"")*($AS$11:$AS3371="✓")),"")</f>
        <v/>
      </c>
      <c r="BA3371" s="21" t="str">
        <f>IF($AL3371="","",$AL3371&amp;"|"&amp;COUNTIF($AL$11:$AL3371,$AL3371))</f>
        <v/>
      </c>
    </row>
    <row r="3372" spans="38:53" ht="15" customHeight="1" x14ac:dyDescent="0.25">
      <c r="AL3372" s="31"/>
      <c r="AM3372" s="26"/>
      <c r="AN3372" s="32"/>
      <c r="AO3372" s="32"/>
      <c r="AP3372" s="24"/>
      <c r="AQ3372" s="24"/>
      <c r="AR3372" s="33"/>
      <c r="AS3372" s="34"/>
      <c r="AT3372" s="33"/>
      <c r="AV3372" s="21">
        <f>IF(AND($AL3372&lt;&gt;"",COUNTIF($AL$11:$AL3372,$AL3372)=1),1,0)</f>
        <v>0</v>
      </c>
      <c r="AW3372" s="21">
        <f t="shared" si="191"/>
        <v>0</v>
      </c>
      <c r="AX3372" s="21" t="str">
        <f t="shared" si="190"/>
        <v/>
      </c>
      <c r="AY3372" s="21" t="str">
        <f>IF(AND($AM3372&lt;&gt;"",$AS3372&lt;&gt;"✓"),SUMPRODUCT(($AM$11:$AM3372&lt;&gt;"")*($AS$11:$AS3372&lt;&gt;"✓")),"")</f>
        <v/>
      </c>
      <c r="AZ3372" s="21" t="str">
        <f>IF(AND($AM3372&lt;&gt;"",$AS3372="✓"),SUMPRODUCT(($AM$11:$AM3372&lt;&gt;"")*($AS$11:$AS3372="✓")),"")</f>
        <v/>
      </c>
      <c r="BA3372" s="21" t="str">
        <f>IF($AL3372="","",$AL3372&amp;"|"&amp;COUNTIF($AL$11:$AL3372,$AL3372))</f>
        <v/>
      </c>
    </row>
    <row r="3373" spans="38:53" ht="15" customHeight="1" x14ac:dyDescent="0.25">
      <c r="AL3373" s="17"/>
      <c r="AM3373" s="12"/>
      <c r="AN3373" s="18"/>
      <c r="AO3373" s="18"/>
      <c r="AP3373" s="10"/>
      <c r="AQ3373" s="10"/>
      <c r="AR3373" s="19"/>
      <c r="AS3373" s="20"/>
      <c r="AT3373" s="19"/>
      <c r="AV3373" s="21">
        <f>IF(AND($AL3373&lt;&gt;"",COUNTIF($AL$11:$AL3373,$AL3373)=1),1,0)</f>
        <v>0</v>
      </c>
      <c r="AW3373" s="21">
        <f t="shared" si="191"/>
        <v>0</v>
      </c>
      <c r="AX3373" s="21" t="str">
        <f t="shared" si="190"/>
        <v/>
      </c>
      <c r="AY3373" s="21" t="str">
        <f>IF(AND($AM3373&lt;&gt;"",$AS3373&lt;&gt;"✓"),SUMPRODUCT(($AM$11:$AM3373&lt;&gt;"")*($AS$11:$AS3373&lt;&gt;"✓")),"")</f>
        <v/>
      </c>
      <c r="AZ3373" s="21" t="str">
        <f>IF(AND($AM3373&lt;&gt;"",$AS3373="✓"),SUMPRODUCT(($AM$11:$AM3373&lt;&gt;"")*($AS$11:$AS3373="✓")),"")</f>
        <v/>
      </c>
      <c r="BA3373" s="21" t="str">
        <f>IF($AL3373="","",$AL3373&amp;"|"&amp;COUNTIF($AL$11:$AL3373,$AL3373))</f>
        <v/>
      </c>
    </row>
    <row r="3374" spans="38:53" ht="15" customHeight="1" x14ac:dyDescent="0.25">
      <c r="AL3374" s="31"/>
      <c r="AM3374" s="26"/>
      <c r="AN3374" s="32"/>
      <c r="AO3374" s="32"/>
      <c r="AP3374" s="24"/>
      <c r="AQ3374" s="24"/>
      <c r="AR3374" s="33"/>
      <c r="AS3374" s="34"/>
      <c r="AT3374" s="33"/>
      <c r="AV3374" s="21">
        <f>IF(AND($AL3374&lt;&gt;"",COUNTIF($AL$11:$AL3374,$AL3374)=1),1,0)</f>
        <v>0</v>
      </c>
      <c r="AW3374" s="21">
        <f t="shared" si="191"/>
        <v>0</v>
      </c>
      <c r="AX3374" s="21" t="str">
        <f t="shared" si="190"/>
        <v/>
      </c>
      <c r="AY3374" s="21" t="str">
        <f>IF(AND($AM3374&lt;&gt;"",$AS3374&lt;&gt;"✓"),SUMPRODUCT(($AM$11:$AM3374&lt;&gt;"")*($AS$11:$AS3374&lt;&gt;"✓")),"")</f>
        <v/>
      </c>
      <c r="AZ3374" s="21" t="str">
        <f>IF(AND($AM3374&lt;&gt;"",$AS3374="✓"),SUMPRODUCT(($AM$11:$AM3374&lt;&gt;"")*($AS$11:$AS3374="✓")),"")</f>
        <v/>
      </c>
      <c r="BA3374" s="21" t="str">
        <f>IF($AL3374="","",$AL3374&amp;"|"&amp;COUNTIF($AL$11:$AL3374,$AL3374))</f>
        <v/>
      </c>
    </row>
    <row r="3375" spans="38:53" ht="15" customHeight="1" x14ac:dyDescent="0.25">
      <c r="AL3375" s="17"/>
      <c r="AM3375" s="12"/>
      <c r="AN3375" s="18"/>
      <c r="AO3375" s="18"/>
      <c r="AP3375" s="10"/>
      <c r="AQ3375" s="10"/>
      <c r="AR3375" s="19"/>
      <c r="AS3375" s="20"/>
      <c r="AT3375" s="19"/>
      <c r="AV3375" s="21">
        <f>IF(AND($AL3375&lt;&gt;"",COUNTIF($AL$11:$AL3375,$AL3375)=1),1,0)</f>
        <v>0</v>
      </c>
      <c r="AW3375" s="21">
        <f t="shared" si="191"/>
        <v>0</v>
      </c>
      <c r="AX3375" s="21" t="str">
        <f t="shared" si="190"/>
        <v/>
      </c>
      <c r="AY3375" s="21" t="str">
        <f>IF(AND($AM3375&lt;&gt;"",$AS3375&lt;&gt;"✓"),SUMPRODUCT(($AM$11:$AM3375&lt;&gt;"")*($AS$11:$AS3375&lt;&gt;"✓")),"")</f>
        <v/>
      </c>
      <c r="AZ3375" s="21" t="str">
        <f>IF(AND($AM3375&lt;&gt;"",$AS3375="✓"),SUMPRODUCT(($AM$11:$AM3375&lt;&gt;"")*($AS$11:$AS3375="✓")),"")</f>
        <v/>
      </c>
      <c r="BA3375" s="21" t="str">
        <f>IF($AL3375="","",$AL3375&amp;"|"&amp;COUNTIF($AL$11:$AL3375,$AL3375))</f>
        <v/>
      </c>
    </row>
    <row r="3376" spans="38:53" ht="15" customHeight="1" x14ac:dyDescent="0.25">
      <c r="AL3376" s="31"/>
      <c r="AM3376" s="26"/>
      <c r="AN3376" s="32"/>
      <c r="AO3376" s="32"/>
      <c r="AP3376" s="24"/>
      <c r="AQ3376" s="24"/>
      <c r="AR3376" s="33"/>
      <c r="AS3376" s="34"/>
      <c r="AT3376" s="33"/>
      <c r="AV3376" s="21">
        <f>IF(AND($AL3376&lt;&gt;"",COUNTIF($AL$11:$AL3376,$AL3376)=1),1,0)</f>
        <v>0</v>
      </c>
      <c r="AW3376" s="21">
        <f t="shared" si="191"/>
        <v>0</v>
      </c>
      <c r="AX3376" s="21" t="str">
        <f t="shared" si="190"/>
        <v/>
      </c>
      <c r="AY3376" s="21" t="str">
        <f>IF(AND($AM3376&lt;&gt;"",$AS3376&lt;&gt;"✓"),SUMPRODUCT(($AM$11:$AM3376&lt;&gt;"")*($AS$11:$AS3376&lt;&gt;"✓")),"")</f>
        <v/>
      </c>
      <c r="AZ3376" s="21" t="str">
        <f>IF(AND($AM3376&lt;&gt;"",$AS3376="✓"),SUMPRODUCT(($AM$11:$AM3376&lt;&gt;"")*($AS$11:$AS3376="✓")),"")</f>
        <v/>
      </c>
      <c r="BA3376" s="21" t="str">
        <f>IF($AL3376="","",$AL3376&amp;"|"&amp;COUNTIF($AL$11:$AL3376,$AL3376))</f>
        <v/>
      </c>
    </row>
    <row r="3377" spans="38:53" ht="15" customHeight="1" x14ac:dyDescent="0.25">
      <c r="AL3377" s="17"/>
      <c r="AM3377" s="12"/>
      <c r="AN3377" s="18"/>
      <c r="AO3377" s="18"/>
      <c r="AP3377" s="10"/>
      <c r="AQ3377" s="10"/>
      <c r="AR3377" s="19"/>
      <c r="AS3377" s="20"/>
      <c r="AT3377" s="19"/>
      <c r="AV3377" s="21">
        <f>IF(AND($AL3377&lt;&gt;"",COUNTIF($AL$11:$AL3377,$AL3377)=1),1,0)</f>
        <v>0</v>
      </c>
      <c r="AW3377" s="21">
        <f t="shared" si="191"/>
        <v>0</v>
      </c>
      <c r="AX3377" s="21" t="str">
        <f t="shared" si="190"/>
        <v/>
      </c>
      <c r="AY3377" s="21" t="str">
        <f>IF(AND($AM3377&lt;&gt;"",$AS3377&lt;&gt;"✓"),SUMPRODUCT(($AM$11:$AM3377&lt;&gt;"")*($AS$11:$AS3377&lt;&gt;"✓")),"")</f>
        <v/>
      </c>
      <c r="AZ3377" s="21" t="str">
        <f>IF(AND($AM3377&lt;&gt;"",$AS3377="✓"),SUMPRODUCT(($AM$11:$AM3377&lt;&gt;"")*($AS$11:$AS3377="✓")),"")</f>
        <v/>
      </c>
      <c r="BA3377" s="21" t="str">
        <f>IF($AL3377="","",$AL3377&amp;"|"&amp;COUNTIF($AL$11:$AL3377,$AL3377))</f>
        <v/>
      </c>
    </row>
    <row r="3378" spans="38:53" ht="15" customHeight="1" x14ac:dyDescent="0.25">
      <c r="AL3378" s="31"/>
      <c r="AM3378" s="26"/>
      <c r="AN3378" s="32"/>
      <c r="AO3378" s="32"/>
      <c r="AP3378" s="24"/>
      <c r="AQ3378" s="24"/>
      <c r="AR3378" s="33"/>
      <c r="AS3378" s="34"/>
      <c r="AT3378" s="33"/>
      <c r="AV3378" s="21">
        <f>IF(AND($AL3378&lt;&gt;"",COUNTIF($AL$11:$AL3378,$AL3378)=1),1,0)</f>
        <v>0</v>
      </c>
      <c r="AW3378" s="21">
        <f t="shared" si="191"/>
        <v>0</v>
      </c>
      <c r="AX3378" s="21" t="str">
        <f t="shared" si="190"/>
        <v/>
      </c>
      <c r="AY3378" s="21" t="str">
        <f>IF(AND($AM3378&lt;&gt;"",$AS3378&lt;&gt;"✓"),SUMPRODUCT(($AM$11:$AM3378&lt;&gt;"")*($AS$11:$AS3378&lt;&gt;"✓")),"")</f>
        <v/>
      </c>
      <c r="AZ3378" s="21" t="str">
        <f>IF(AND($AM3378&lt;&gt;"",$AS3378="✓"),SUMPRODUCT(($AM$11:$AM3378&lt;&gt;"")*($AS$11:$AS3378="✓")),"")</f>
        <v/>
      </c>
      <c r="BA3378" s="21" t="str">
        <f>IF($AL3378="","",$AL3378&amp;"|"&amp;COUNTIF($AL$11:$AL3378,$AL3378))</f>
        <v/>
      </c>
    </row>
    <row r="3379" spans="38:53" ht="15" customHeight="1" x14ac:dyDescent="0.25">
      <c r="AL3379" s="17"/>
      <c r="AM3379" s="12"/>
      <c r="AN3379" s="18"/>
      <c r="AO3379" s="18"/>
      <c r="AP3379" s="10"/>
      <c r="AQ3379" s="10"/>
      <c r="AR3379" s="19"/>
      <c r="AS3379" s="20"/>
      <c r="AT3379" s="19"/>
      <c r="AV3379" s="21">
        <f>IF(AND($AL3379&lt;&gt;"",COUNTIF($AL$11:$AL3379,$AL3379)=1),1,0)</f>
        <v>0</v>
      </c>
      <c r="AW3379" s="21">
        <f t="shared" si="191"/>
        <v>0</v>
      </c>
      <c r="AX3379" s="21" t="str">
        <f t="shared" si="190"/>
        <v/>
      </c>
      <c r="AY3379" s="21" t="str">
        <f>IF(AND($AM3379&lt;&gt;"",$AS3379&lt;&gt;"✓"),SUMPRODUCT(($AM$11:$AM3379&lt;&gt;"")*($AS$11:$AS3379&lt;&gt;"✓")),"")</f>
        <v/>
      </c>
      <c r="AZ3379" s="21" t="str">
        <f>IF(AND($AM3379&lt;&gt;"",$AS3379="✓"),SUMPRODUCT(($AM$11:$AM3379&lt;&gt;"")*($AS$11:$AS3379="✓")),"")</f>
        <v/>
      </c>
      <c r="BA3379" s="21" t="str">
        <f>IF($AL3379="","",$AL3379&amp;"|"&amp;COUNTIF($AL$11:$AL3379,$AL3379))</f>
        <v/>
      </c>
    </row>
    <row r="3380" spans="38:53" ht="15" customHeight="1" x14ac:dyDescent="0.25">
      <c r="AL3380" s="31"/>
      <c r="AM3380" s="26"/>
      <c r="AN3380" s="32"/>
      <c r="AO3380" s="32"/>
      <c r="AP3380" s="24"/>
      <c r="AQ3380" s="24"/>
      <c r="AR3380" s="33"/>
      <c r="AS3380" s="34"/>
      <c r="AT3380" s="33"/>
      <c r="AV3380" s="21">
        <f>IF(AND($AL3380&lt;&gt;"",COUNTIF($AL$11:$AL3380,$AL3380)=1),1,0)</f>
        <v>0</v>
      </c>
      <c r="AW3380" s="21">
        <f t="shared" si="191"/>
        <v>0</v>
      </c>
      <c r="AX3380" s="21" t="str">
        <f t="shared" si="190"/>
        <v/>
      </c>
      <c r="AY3380" s="21" t="str">
        <f>IF(AND($AM3380&lt;&gt;"",$AS3380&lt;&gt;"✓"),SUMPRODUCT(($AM$11:$AM3380&lt;&gt;"")*($AS$11:$AS3380&lt;&gt;"✓")),"")</f>
        <v/>
      </c>
      <c r="AZ3380" s="21" t="str">
        <f>IF(AND($AM3380&lt;&gt;"",$AS3380="✓"),SUMPRODUCT(($AM$11:$AM3380&lt;&gt;"")*($AS$11:$AS3380="✓")),"")</f>
        <v/>
      </c>
      <c r="BA3380" s="21" t="str">
        <f>IF($AL3380="","",$AL3380&amp;"|"&amp;COUNTIF($AL$11:$AL3380,$AL3380))</f>
        <v/>
      </c>
    </row>
    <row r="3381" spans="38:53" ht="15" customHeight="1" x14ac:dyDescent="0.25">
      <c r="AL3381" s="17"/>
      <c r="AM3381" s="12"/>
      <c r="AN3381" s="18"/>
      <c r="AO3381" s="18"/>
      <c r="AP3381" s="10"/>
      <c r="AQ3381" s="10"/>
      <c r="AR3381" s="19"/>
      <c r="AS3381" s="20"/>
      <c r="AT3381" s="19"/>
      <c r="AV3381" s="21">
        <f>IF(AND($AL3381&lt;&gt;"",COUNTIF($AL$11:$AL3381,$AL3381)=1),1,0)</f>
        <v>0</v>
      </c>
      <c r="AW3381" s="21">
        <f t="shared" si="191"/>
        <v>0</v>
      </c>
      <c r="AX3381" s="21" t="str">
        <f t="shared" si="190"/>
        <v/>
      </c>
      <c r="AY3381" s="21" t="str">
        <f>IF(AND($AM3381&lt;&gt;"",$AS3381&lt;&gt;"✓"),SUMPRODUCT(($AM$11:$AM3381&lt;&gt;"")*($AS$11:$AS3381&lt;&gt;"✓")),"")</f>
        <v/>
      </c>
      <c r="AZ3381" s="21" t="str">
        <f>IF(AND($AM3381&lt;&gt;"",$AS3381="✓"),SUMPRODUCT(($AM$11:$AM3381&lt;&gt;"")*($AS$11:$AS3381="✓")),"")</f>
        <v/>
      </c>
      <c r="BA3381" s="21" t="str">
        <f>IF($AL3381="","",$AL3381&amp;"|"&amp;COUNTIF($AL$11:$AL3381,$AL3381))</f>
        <v/>
      </c>
    </row>
    <row r="3382" spans="38:53" ht="15" customHeight="1" x14ac:dyDescent="0.25">
      <c r="AL3382" s="31"/>
      <c r="AM3382" s="26"/>
      <c r="AN3382" s="32"/>
      <c r="AO3382" s="32"/>
      <c r="AP3382" s="24"/>
      <c r="AQ3382" s="24"/>
      <c r="AR3382" s="33"/>
      <c r="AS3382" s="34"/>
      <c r="AT3382" s="33"/>
      <c r="AV3382" s="21">
        <f>IF(AND($AL3382&lt;&gt;"",COUNTIF($AL$11:$AL3382,$AL3382)=1),1,0)</f>
        <v>0</v>
      </c>
      <c r="AW3382" s="21">
        <f t="shared" si="191"/>
        <v>0</v>
      </c>
      <c r="AX3382" s="21" t="str">
        <f t="shared" si="190"/>
        <v/>
      </c>
      <c r="AY3382" s="21" t="str">
        <f>IF(AND($AM3382&lt;&gt;"",$AS3382&lt;&gt;"✓"),SUMPRODUCT(($AM$11:$AM3382&lt;&gt;"")*($AS$11:$AS3382&lt;&gt;"✓")),"")</f>
        <v/>
      </c>
      <c r="AZ3382" s="21" t="str">
        <f>IF(AND($AM3382&lt;&gt;"",$AS3382="✓"),SUMPRODUCT(($AM$11:$AM3382&lt;&gt;"")*($AS$11:$AS3382="✓")),"")</f>
        <v/>
      </c>
      <c r="BA3382" s="21" t="str">
        <f>IF($AL3382="","",$AL3382&amp;"|"&amp;COUNTIF($AL$11:$AL3382,$AL3382))</f>
        <v/>
      </c>
    </row>
    <row r="3383" spans="38:53" ht="15" customHeight="1" x14ac:dyDescent="0.25">
      <c r="AL3383" s="17"/>
      <c r="AM3383" s="12"/>
      <c r="AN3383" s="18"/>
      <c r="AO3383" s="18"/>
      <c r="AP3383" s="10"/>
      <c r="AQ3383" s="10"/>
      <c r="AR3383" s="19"/>
      <c r="AS3383" s="20"/>
      <c r="AT3383" s="19"/>
      <c r="AV3383" s="21">
        <f>IF(AND($AL3383&lt;&gt;"",COUNTIF($AL$11:$AL3383,$AL3383)=1),1,0)</f>
        <v>0</v>
      </c>
      <c r="AW3383" s="21">
        <f t="shared" si="191"/>
        <v>0</v>
      </c>
      <c r="AX3383" s="21" t="str">
        <f t="shared" si="190"/>
        <v/>
      </c>
      <c r="AY3383" s="21" t="str">
        <f>IF(AND($AM3383&lt;&gt;"",$AS3383&lt;&gt;"✓"),SUMPRODUCT(($AM$11:$AM3383&lt;&gt;"")*($AS$11:$AS3383&lt;&gt;"✓")),"")</f>
        <v/>
      </c>
      <c r="AZ3383" s="21" t="str">
        <f>IF(AND($AM3383&lt;&gt;"",$AS3383="✓"),SUMPRODUCT(($AM$11:$AM3383&lt;&gt;"")*($AS$11:$AS3383="✓")),"")</f>
        <v/>
      </c>
      <c r="BA3383" s="21" t="str">
        <f>IF($AL3383="","",$AL3383&amp;"|"&amp;COUNTIF($AL$11:$AL3383,$AL3383))</f>
        <v/>
      </c>
    </row>
    <row r="3384" spans="38:53" ht="15" customHeight="1" x14ac:dyDescent="0.25">
      <c r="AL3384" s="31"/>
      <c r="AM3384" s="26"/>
      <c r="AN3384" s="32"/>
      <c r="AO3384" s="32"/>
      <c r="AP3384" s="24"/>
      <c r="AQ3384" s="24"/>
      <c r="AR3384" s="33"/>
      <c r="AS3384" s="34"/>
      <c r="AT3384" s="33"/>
      <c r="AV3384" s="21">
        <f>IF(AND($AL3384&lt;&gt;"",COUNTIF($AL$11:$AL3384,$AL3384)=1),1,0)</f>
        <v>0</v>
      </c>
      <c r="AW3384" s="21">
        <f t="shared" si="191"/>
        <v>0</v>
      </c>
      <c r="AX3384" s="21" t="str">
        <f t="shared" si="190"/>
        <v/>
      </c>
      <c r="AY3384" s="21" t="str">
        <f>IF(AND($AM3384&lt;&gt;"",$AS3384&lt;&gt;"✓"),SUMPRODUCT(($AM$11:$AM3384&lt;&gt;"")*($AS$11:$AS3384&lt;&gt;"✓")),"")</f>
        <v/>
      </c>
      <c r="AZ3384" s="21" t="str">
        <f>IF(AND($AM3384&lt;&gt;"",$AS3384="✓"),SUMPRODUCT(($AM$11:$AM3384&lt;&gt;"")*($AS$11:$AS3384="✓")),"")</f>
        <v/>
      </c>
      <c r="BA3384" s="21" t="str">
        <f>IF($AL3384="","",$AL3384&amp;"|"&amp;COUNTIF($AL$11:$AL3384,$AL3384))</f>
        <v/>
      </c>
    </row>
    <row r="3385" spans="38:53" ht="15" customHeight="1" x14ac:dyDescent="0.25">
      <c r="AL3385" s="17"/>
      <c r="AM3385" s="12"/>
      <c r="AN3385" s="18"/>
      <c r="AO3385" s="18"/>
      <c r="AP3385" s="10"/>
      <c r="AQ3385" s="10"/>
      <c r="AR3385" s="19"/>
      <c r="AS3385" s="20"/>
      <c r="AT3385" s="19"/>
      <c r="AV3385" s="21">
        <f>IF(AND($AL3385&lt;&gt;"",COUNTIF($AL$11:$AL3385,$AL3385)=1),1,0)</f>
        <v>0</v>
      </c>
      <c r="AW3385" s="21">
        <f t="shared" si="191"/>
        <v>0</v>
      </c>
      <c r="AX3385" s="21" t="str">
        <f t="shared" si="190"/>
        <v/>
      </c>
      <c r="AY3385" s="21" t="str">
        <f>IF(AND($AM3385&lt;&gt;"",$AS3385&lt;&gt;"✓"),SUMPRODUCT(($AM$11:$AM3385&lt;&gt;"")*($AS$11:$AS3385&lt;&gt;"✓")),"")</f>
        <v/>
      </c>
      <c r="AZ3385" s="21" t="str">
        <f>IF(AND($AM3385&lt;&gt;"",$AS3385="✓"),SUMPRODUCT(($AM$11:$AM3385&lt;&gt;"")*($AS$11:$AS3385="✓")),"")</f>
        <v/>
      </c>
      <c r="BA3385" s="21" t="str">
        <f>IF($AL3385="","",$AL3385&amp;"|"&amp;COUNTIF($AL$11:$AL3385,$AL3385))</f>
        <v/>
      </c>
    </row>
    <row r="3386" spans="38:53" ht="15" customHeight="1" x14ac:dyDescent="0.25">
      <c r="AL3386" s="31"/>
      <c r="AM3386" s="26"/>
      <c r="AN3386" s="32"/>
      <c r="AO3386" s="32"/>
      <c r="AP3386" s="24"/>
      <c r="AQ3386" s="24"/>
      <c r="AR3386" s="33"/>
      <c r="AS3386" s="34"/>
      <c r="AT3386" s="33"/>
      <c r="AV3386" s="21">
        <f>IF(AND($AL3386&lt;&gt;"",COUNTIF($AL$11:$AL3386,$AL3386)=1),1,0)</f>
        <v>0</v>
      </c>
      <c r="AW3386" s="21">
        <f t="shared" si="191"/>
        <v>0</v>
      </c>
      <c r="AX3386" s="21" t="str">
        <f t="shared" si="190"/>
        <v/>
      </c>
      <c r="AY3386" s="21" t="str">
        <f>IF(AND($AM3386&lt;&gt;"",$AS3386&lt;&gt;"✓"),SUMPRODUCT(($AM$11:$AM3386&lt;&gt;"")*($AS$11:$AS3386&lt;&gt;"✓")),"")</f>
        <v/>
      </c>
      <c r="AZ3386" s="21" t="str">
        <f>IF(AND($AM3386&lt;&gt;"",$AS3386="✓"),SUMPRODUCT(($AM$11:$AM3386&lt;&gt;"")*($AS$11:$AS3386="✓")),"")</f>
        <v/>
      </c>
      <c r="BA3386" s="21" t="str">
        <f>IF($AL3386="","",$AL3386&amp;"|"&amp;COUNTIF($AL$11:$AL3386,$AL3386))</f>
        <v/>
      </c>
    </row>
    <row r="3387" spans="38:53" ht="15" customHeight="1" x14ac:dyDescent="0.25">
      <c r="AL3387" s="17"/>
      <c r="AM3387" s="12"/>
      <c r="AN3387" s="18"/>
      <c r="AO3387" s="18"/>
      <c r="AP3387" s="10"/>
      <c r="AQ3387" s="10"/>
      <c r="AR3387" s="19"/>
      <c r="AS3387" s="20"/>
      <c r="AT3387" s="19"/>
      <c r="AV3387" s="21">
        <f>IF(AND($AL3387&lt;&gt;"",COUNTIF($AL$11:$AL3387,$AL3387)=1),1,0)</f>
        <v>0</v>
      </c>
      <c r="AW3387" s="21">
        <f t="shared" si="191"/>
        <v>0</v>
      </c>
      <c r="AX3387" s="21" t="str">
        <f t="shared" si="190"/>
        <v/>
      </c>
      <c r="AY3387" s="21" t="str">
        <f>IF(AND($AM3387&lt;&gt;"",$AS3387&lt;&gt;"✓"),SUMPRODUCT(($AM$11:$AM3387&lt;&gt;"")*($AS$11:$AS3387&lt;&gt;"✓")),"")</f>
        <v/>
      </c>
      <c r="AZ3387" s="21" t="str">
        <f>IF(AND($AM3387&lt;&gt;"",$AS3387="✓"),SUMPRODUCT(($AM$11:$AM3387&lt;&gt;"")*($AS$11:$AS3387="✓")),"")</f>
        <v/>
      </c>
      <c r="BA3387" s="21" t="str">
        <f>IF($AL3387="","",$AL3387&amp;"|"&amp;COUNTIF($AL$11:$AL3387,$AL3387))</f>
        <v/>
      </c>
    </row>
    <row r="3388" spans="38:53" ht="15" customHeight="1" x14ac:dyDescent="0.25">
      <c r="AL3388" s="31"/>
      <c r="AM3388" s="26"/>
      <c r="AN3388" s="32"/>
      <c r="AO3388" s="32"/>
      <c r="AP3388" s="24"/>
      <c r="AQ3388" s="24"/>
      <c r="AR3388" s="33"/>
      <c r="AS3388" s="34"/>
      <c r="AT3388" s="33"/>
      <c r="AV3388" s="21">
        <f>IF(AND($AL3388&lt;&gt;"",COUNTIF($AL$11:$AL3388,$AL3388)=1),1,0)</f>
        <v>0</v>
      </c>
      <c r="AW3388" s="21">
        <f t="shared" si="191"/>
        <v>0</v>
      </c>
      <c r="AX3388" s="21" t="str">
        <f t="shared" si="190"/>
        <v/>
      </c>
      <c r="AY3388" s="21" t="str">
        <f>IF(AND($AM3388&lt;&gt;"",$AS3388&lt;&gt;"✓"),SUMPRODUCT(($AM$11:$AM3388&lt;&gt;"")*($AS$11:$AS3388&lt;&gt;"✓")),"")</f>
        <v/>
      </c>
      <c r="AZ3388" s="21" t="str">
        <f>IF(AND($AM3388&lt;&gt;"",$AS3388="✓"),SUMPRODUCT(($AM$11:$AM3388&lt;&gt;"")*($AS$11:$AS3388="✓")),"")</f>
        <v/>
      </c>
      <c r="BA3388" s="21" t="str">
        <f>IF($AL3388="","",$AL3388&amp;"|"&amp;COUNTIF($AL$11:$AL3388,$AL3388))</f>
        <v/>
      </c>
    </row>
    <row r="3389" spans="38:53" ht="15" customHeight="1" x14ac:dyDescent="0.25">
      <c r="AL3389" s="17"/>
      <c r="AM3389" s="12"/>
      <c r="AN3389" s="18"/>
      <c r="AO3389" s="18"/>
      <c r="AP3389" s="10"/>
      <c r="AQ3389" s="10"/>
      <c r="AR3389" s="19"/>
      <c r="AS3389" s="20"/>
      <c r="AT3389" s="19"/>
      <c r="AV3389" s="21">
        <f>IF(AND($AL3389&lt;&gt;"",COUNTIF($AL$11:$AL3389,$AL3389)=1),1,0)</f>
        <v>0</v>
      </c>
      <c r="AW3389" s="21">
        <f t="shared" si="191"/>
        <v>0</v>
      </c>
      <c r="AX3389" s="21" t="str">
        <f t="shared" si="190"/>
        <v/>
      </c>
      <c r="AY3389" s="21" t="str">
        <f>IF(AND($AM3389&lt;&gt;"",$AS3389&lt;&gt;"✓"),SUMPRODUCT(($AM$11:$AM3389&lt;&gt;"")*($AS$11:$AS3389&lt;&gt;"✓")),"")</f>
        <v/>
      </c>
      <c r="AZ3389" s="21" t="str">
        <f>IF(AND($AM3389&lt;&gt;"",$AS3389="✓"),SUMPRODUCT(($AM$11:$AM3389&lt;&gt;"")*($AS$11:$AS3389="✓")),"")</f>
        <v/>
      </c>
      <c r="BA3389" s="21" t="str">
        <f>IF($AL3389="","",$AL3389&amp;"|"&amp;COUNTIF($AL$11:$AL3389,$AL3389))</f>
        <v/>
      </c>
    </row>
    <row r="3390" spans="38:53" ht="15" customHeight="1" x14ac:dyDescent="0.25">
      <c r="AL3390" s="31"/>
      <c r="AM3390" s="26"/>
      <c r="AN3390" s="32"/>
      <c r="AO3390" s="32"/>
      <c r="AP3390" s="24"/>
      <c r="AQ3390" s="24"/>
      <c r="AR3390" s="33"/>
      <c r="AS3390" s="34"/>
      <c r="AT3390" s="33"/>
      <c r="AV3390" s="21">
        <f>IF(AND($AL3390&lt;&gt;"",COUNTIF($AL$11:$AL3390,$AL3390)=1),1,0)</f>
        <v>0</v>
      </c>
      <c r="AW3390" s="21">
        <f t="shared" si="191"/>
        <v>0</v>
      </c>
      <c r="AX3390" s="21" t="str">
        <f t="shared" si="190"/>
        <v/>
      </c>
      <c r="AY3390" s="21" t="str">
        <f>IF(AND($AM3390&lt;&gt;"",$AS3390&lt;&gt;"✓"),SUMPRODUCT(($AM$11:$AM3390&lt;&gt;"")*($AS$11:$AS3390&lt;&gt;"✓")),"")</f>
        <v/>
      </c>
      <c r="AZ3390" s="21" t="str">
        <f>IF(AND($AM3390&lt;&gt;"",$AS3390="✓"),SUMPRODUCT(($AM$11:$AM3390&lt;&gt;"")*($AS$11:$AS3390="✓")),"")</f>
        <v/>
      </c>
      <c r="BA3390" s="21" t="str">
        <f>IF($AL3390="","",$AL3390&amp;"|"&amp;COUNTIF($AL$11:$AL3390,$AL3390))</f>
        <v/>
      </c>
    </row>
    <row r="3391" spans="38:53" ht="15" customHeight="1" x14ac:dyDescent="0.25">
      <c r="AL3391" s="17"/>
      <c r="AM3391" s="12"/>
      <c r="AN3391" s="18"/>
      <c r="AO3391" s="18"/>
      <c r="AP3391" s="10"/>
      <c r="AQ3391" s="10"/>
      <c r="AR3391" s="19"/>
      <c r="AS3391" s="20"/>
      <c r="AT3391" s="19"/>
      <c r="AV3391" s="21">
        <f>IF(AND($AL3391&lt;&gt;"",COUNTIF($AL$11:$AL3391,$AL3391)=1),1,0)</f>
        <v>0</v>
      </c>
      <c r="AW3391" s="21">
        <f t="shared" si="191"/>
        <v>0</v>
      </c>
      <c r="AX3391" s="21" t="str">
        <f t="shared" si="190"/>
        <v/>
      </c>
      <c r="AY3391" s="21" t="str">
        <f>IF(AND($AM3391&lt;&gt;"",$AS3391&lt;&gt;"✓"),SUMPRODUCT(($AM$11:$AM3391&lt;&gt;"")*($AS$11:$AS3391&lt;&gt;"✓")),"")</f>
        <v/>
      </c>
      <c r="AZ3391" s="21" t="str">
        <f>IF(AND($AM3391&lt;&gt;"",$AS3391="✓"),SUMPRODUCT(($AM$11:$AM3391&lt;&gt;"")*($AS$11:$AS3391="✓")),"")</f>
        <v/>
      </c>
      <c r="BA3391" s="21" t="str">
        <f>IF($AL3391="","",$AL3391&amp;"|"&amp;COUNTIF($AL$11:$AL3391,$AL3391))</f>
        <v/>
      </c>
    </row>
    <row r="3392" spans="38:53" ht="15" customHeight="1" x14ac:dyDescent="0.25">
      <c r="AL3392" s="31"/>
      <c r="AM3392" s="26"/>
      <c r="AN3392" s="32"/>
      <c r="AO3392" s="32"/>
      <c r="AP3392" s="24"/>
      <c r="AQ3392" s="24"/>
      <c r="AR3392" s="33"/>
      <c r="AS3392" s="34"/>
      <c r="AT3392" s="33"/>
      <c r="AV3392" s="21">
        <f>IF(AND($AL3392&lt;&gt;"",COUNTIF($AL$11:$AL3392,$AL3392)=1),1,0)</f>
        <v>0</v>
      </c>
      <c r="AW3392" s="21">
        <f t="shared" si="191"/>
        <v>0</v>
      </c>
      <c r="AX3392" s="21" t="str">
        <f t="shared" si="190"/>
        <v/>
      </c>
      <c r="AY3392" s="21" t="str">
        <f>IF(AND($AM3392&lt;&gt;"",$AS3392&lt;&gt;"✓"),SUMPRODUCT(($AM$11:$AM3392&lt;&gt;"")*($AS$11:$AS3392&lt;&gt;"✓")),"")</f>
        <v/>
      </c>
      <c r="AZ3392" s="21" t="str">
        <f>IF(AND($AM3392&lt;&gt;"",$AS3392="✓"),SUMPRODUCT(($AM$11:$AM3392&lt;&gt;"")*($AS$11:$AS3392="✓")),"")</f>
        <v/>
      </c>
      <c r="BA3392" s="21" t="str">
        <f>IF($AL3392="","",$AL3392&amp;"|"&amp;COUNTIF($AL$11:$AL3392,$AL3392))</f>
        <v/>
      </c>
    </row>
    <row r="3393" spans="38:53" ht="15" customHeight="1" x14ac:dyDescent="0.25">
      <c r="AL3393" s="17"/>
      <c r="AM3393" s="12"/>
      <c r="AN3393" s="18"/>
      <c r="AO3393" s="18"/>
      <c r="AP3393" s="10"/>
      <c r="AQ3393" s="10"/>
      <c r="AR3393" s="19"/>
      <c r="AS3393" s="20"/>
      <c r="AT3393" s="19"/>
      <c r="AV3393" s="21">
        <f>IF(AND($AL3393&lt;&gt;"",COUNTIF($AL$11:$AL3393,$AL3393)=1),1,0)</f>
        <v>0</v>
      </c>
      <c r="AW3393" s="21">
        <f t="shared" si="191"/>
        <v>0</v>
      </c>
      <c r="AX3393" s="21" t="str">
        <f t="shared" si="190"/>
        <v/>
      </c>
      <c r="AY3393" s="21" t="str">
        <f>IF(AND($AM3393&lt;&gt;"",$AS3393&lt;&gt;"✓"),SUMPRODUCT(($AM$11:$AM3393&lt;&gt;"")*($AS$11:$AS3393&lt;&gt;"✓")),"")</f>
        <v/>
      </c>
      <c r="AZ3393" s="21" t="str">
        <f>IF(AND($AM3393&lt;&gt;"",$AS3393="✓"),SUMPRODUCT(($AM$11:$AM3393&lt;&gt;"")*($AS$11:$AS3393="✓")),"")</f>
        <v/>
      </c>
      <c r="BA3393" s="21" t="str">
        <f>IF($AL3393="","",$AL3393&amp;"|"&amp;COUNTIF($AL$11:$AL3393,$AL3393))</f>
        <v/>
      </c>
    </row>
    <row r="3394" spans="38:53" ht="15" customHeight="1" x14ac:dyDescent="0.25">
      <c r="AL3394" s="31"/>
      <c r="AM3394" s="26"/>
      <c r="AN3394" s="32"/>
      <c r="AO3394" s="32"/>
      <c r="AP3394" s="24"/>
      <c r="AQ3394" s="24"/>
      <c r="AR3394" s="33"/>
      <c r="AS3394" s="34"/>
      <c r="AT3394" s="33"/>
      <c r="AV3394" s="21">
        <f>IF(AND($AL3394&lt;&gt;"",COUNTIF($AL$11:$AL3394,$AL3394)=1),1,0)</f>
        <v>0</v>
      </c>
      <c r="AW3394" s="21">
        <f t="shared" si="191"/>
        <v>0</v>
      </c>
      <c r="AX3394" s="21" t="str">
        <f t="shared" si="190"/>
        <v/>
      </c>
      <c r="AY3394" s="21" t="str">
        <f>IF(AND($AM3394&lt;&gt;"",$AS3394&lt;&gt;"✓"),SUMPRODUCT(($AM$11:$AM3394&lt;&gt;"")*($AS$11:$AS3394&lt;&gt;"✓")),"")</f>
        <v/>
      </c>
      <c r="AZ3394" s="21" t="str">
        <f>IF(AND($AM3394&lt;&gt;"",$AS3394="✓"),SUMPRODUCT(($AM$11:$AM3394&lt;&gt;"")*($AS$11:$AS3394="✓")),"")</f>
        <v/>
      </c>
      <c r="BA3394" s="21" t="str">
        <f>IF($AL3394="","",$AL3394&amp;"|"&amp;COUNTIF($AL$11:$AL3394,$AL3394))</f>
        <v/>
      </c>
    </row>
    <row r="3395" spans="38:53" ht="15" customHeight="1" x14ac:dyDescent="0.25">
      <c r="AL3395" s="17"/>
      <c r="AM3395" s="12"/>
      <c r="AN3395" s="18"/>
      <c r="AO3395" s="18"/>
      <c r="AP3395" s="10"/>
      <c r="AQ3395" s="10"/>
      <c r="AR3395" s="19"/>
      <c r="AS3395" s="20"/>
      <c r="AT3395" s="19"/>
      <c r="AV3395" s="21">
        <f>IF(AND($AL3395&lt;&gt;"",COUNTIF($AL$11:$AL3395,$AL3395)=1),1,0)</f>
        <v>0</v>
      </c>
      <c r="AW3395" s="21">
        <f t="shared" si="191"/>
        <v>0</v>
      </c>
      <c r="AX3395" s="21" t="str">
        <f t="shared" si="190"/>
        <v/>
      </c>
      <c r="AY3395" s="21" t="str">
        <f>IF(AND($AM3395&lt;&gt;"",$AS3395&lt;&gt;"✓"),SUMPRODUCT(($AM$11:$AM3395&lt;&gt;"")*($AS$11:$AS3395&lt;&gt;"✓")),"")</f>
        <v/>
      </c>
      <c r="AZ3395" s="21" t="str">
        <f>IF(AND($AM3395&lt;&gt;"",$AS3395="✓"),SUMPRODUCT(($AM$11:$AM3395&lt;&gt;"")*($AS$11:$AS3395="✓")),"")</f>
        <v/>
      </c>
      <c r="BA3395" s="21" t="str">
        <f>IF($AL3395="","",$AL3395&amp;"|"&amp;COUNTIF($AL$11:$AL3395,$AL3395))</f>
        <v/>
      </c>
    </row>
    <row r="3396" spans="38:53" ht="15" customHeight="1" x14ac:dyDescent="0.25">
      <c r="AL3396" s="31"/>
      <c r="AM3396" s="26"/>
      <c r="AN3396" s="32"/>
      <c r="AO3396" s="32"/>
      <c r="AP3396" s="24"/>
      <c r="AQ3396" s="24"/>
      <c r="AR3396" s="33"/>
      <c r="AS3396" s="34"/>
      <c r="AT3396" s="33"/>
      <c r="AV3396" s="21">
        <f>IF(AND($AL3396&lt;&gt;"",COUNTIF($AL$11:$AL3396,$AL3396)=1),1,0)</f>
        <v>0</v>
      </c>
      <c r="AW3396" s="21">
        <f t="shared" si="191"/>
        <v>0</v>
      </c>
      <c r="AX3396" s="21" t="str">
        <f t="shared" si="190"/>
        <v/>
      </c>
      <c r="AY3396" s="21" t="str">
        <f>IF(AND($AM3396&lt;&gt;"",$AS3396&lt;&gt;"✓"),SUMPRODUCT(($AM$11:$AM3396&lt;&gt;"")*($AS$11:$AS3396&lt;&gt;"✓")),"")</f>
        <v/>
      </c>
      <c r="AZ3396" s="21" t="str">
        <f>IF(AND($AM3396&lt;&gt;"",$AS3396="✓"),SUMPRODUCT(($AM$11:$AM3396&lt;&gt;"")*($AS$11:$AS3396="✓")),"")</f>
        <v/>
      </c>
      <c r="BA3396" s="21" t="str">
        <f>IF($AL3396="","",$AL3396&amp;"|"&amp;COUNTIF($AL$11:$AL3396,$AL3396))</f>
        <v/>
      </c>
    </row>
    <row r="3397" spans="38:53" ht="15" customHeight="1" x14ac:dyDescent="0.25">
      <c r="AL3397" s="17"/>
      <c r="AM3397" s="12"/>
      <c r="AN3397" s="18"/>
      <c r="AO3397" s="18"/>
      <c r="AP3397" s="10"/>
      <c r="AQ3397" s="10"/>
      <c r="AR3397" s="19"/>
      <c r="AS3397" s="20"/>
      <c r="AT3397" s="19"/>
      <c r="AV3397" s="21">
        <f>IF(AND($AL3397&lt;&gt;"",COUNTIF($AL$11:$AL3397,$AL3397)=1),1,0)</f>
        <v>0</v>
      </c>
      <c r="AW3397" s="21">
        <f t="shared" si="191"/>
        <v>0</v>
      </c>
      <c r="AX3397" s="21" t="str">
        <f t="shared" si="190"/>
        <v/>
      </c>
      <c r="AY3397" s="21" t="str">
        <f>IF(AND($AM3397&lt;&gt;"",$AS3397&lt;&gt;"✓"),SUMPRODUCT(($AM$11:$AM3397&lt;&gt;"")*($AS$11:$AS3397&lt;&gt;"✓")),"")</f>
        <v/>
      </c>
      <c r="AZ3397" s="21" t="str">
        <f>IF(AND($AM3397&lt;&gt;"",$AS3397="✓"),SUMPRODUCT(($AM$11:$AM3397&lt;&gt;"")*($AS$11:$AS3397="✓")),"")</f>
        <v/>
      </c>
      <c r="BA3397" s="21" t="str">
        <f>IF($AL3397="","",$AL3397&amp;"|"&amp;COUNTIF($AL$11:$AL3397,$AL3397))</f>
        <v/>
      </c>
    </row>
    <row r="3398" spans="38:53" ht="15" customHeight="1" x14ac:dyDescent="0.25">
      <c r="AL3398" s="31"/>
      <c r="AM3398" s="26"/>
      <c r="AN3398" s="32"/>
      <c r="AO3398" s="32"/>
      <c r="AP3398" s="24"/>
      <c r="AQ3398" s="24"/>
      <c r="AR3398" s="33"/>
      <c r="AS3398" s="34"/>
      <c r="AT3398" s="33"/>
      <c r="AV3398" s="21">
        <f>IF(AND($AL3398&lt;&gt;"",COUNTIF($AL$11:$AL3398,$AL3398)=1),1,0)</f>
        <v>0</v>
      </c>
      <c r="AW3398" s="21">
        <f t="shared" si="191"/>
        <v>0</v>
      </c>
      <c r="AX3398" s="21" t="str">
        <f t="shared" si="190"/>
        <v/>
      </c>
      <c r="AY3398" s="21" t="str">
        <f>IF(AND($AM3398&lt;&gt;"",$AS3398&lt;&gt;"✓"),SUMPRODUCT(($AM$11:$AM3398&lt;&gt;"")*($AS$11:$AS3398&lt;&gt;"✓")),"")</f>
        <v/>
      </c>
      <c r="AZ3398" s="21" t="str">
        <f>IF(AND($AM3398&lt;&gt;"",$AS3398="✓"),SUMPRODUCT(($AM$11:$AM3398&lt;&gt;"")*($AS$11:$AS3398="✓")),"")</f>
        <v/>
      </c>
      <c r="BA3398" s="21" t="str">
        <f>IF($AL3398="","",$AL3398&amp;"|"&amp;COUNTIF($AL$11:$AL3398,$AL3398))</f>
        <v/>
      </c>
    </row>
    <row r="3399" spans="38:53" ht="15" customHeight="1" x14ac:dyDescent="0.25">
      <c r="AL3399" s="17"/>
      <c r="AM3399" s="12"/>
      <c r="AN3399" s="18"/>
      <c r="AO3399" s="18"/>
      <c r="AP3399" s="10"/>
      <c r="AQ3399" s="10"/>
      <c r="AR3399" s="19"/>
      <c r="AS3399" s="20"/>
      <c r="AT3399" s="19"/>
      <c r="AV3399" s="21">
        <f>IF(AND($AL3399&lt;&gt;"",COUNTIF($AL$11:$AL3399,$AL3399)=1),1,0)</f>
        <v>0</v>
      </c>
      <c r="AW3399" s="21">
        <f t="shared" si="191"/>
        <v>0</v>
      </c>
      <c r="AX3399" s="21" t="str">
        <f t="shared" si="190"/>
        <v/>
      </c>
      <c r="AY3399" s="21" t="str">
        <f>IF(AND($AM3399&lt;&gt;"",$AS3399&lt;&gt;"✓"),SUMPRODUCT(($AM$11:$AM3399&lt;&gt;"")*($AS$11:$AS3399&lt;&gt;"✓")),"")</f>
        <v/>
      </c>
      <c r="AZ3399" s="21" t="str">
        <f>IF(AND($AM3399&lt;&gt;"",$AS3399="✓"),SUMPRODUCT(($AM$11:$AM3399&lt;&gt;"")*($AS$11:$AS3399="✓")),"")</f>
        <v/>
      </c>
      <c r="BA3399" s="21" t="str">
        <f>IF($AL3399="","",$AL3399&amp;"|"&amp;COUNTIF($AL$11:$AL3399,$AL3399))</f>
        <v/>
      </c>
    </row>
    <row r="3400" spans="38:53" ht="15" customHeight="1" x14ac:dyDescent="0.25">
      <c r="AL3400" s="31"/>
      <c r="AM3400" s="26"/>
      <c r="AN3400" s="32"/>
      <c r="AO3400" s="32"/>
      <c r="AP3400" s="24"/>
      <c r="AQ3400" s="24"/>
      <c r="AR3400" s="33"/>
      <c r="AS3400" s="34"/>
      <c r="AT3400" s="33"/>
      <c r="AV3400" s="21">
        <f>IF(AND($AL3400&lt;&gt;"",COUNTIF($AL$11:$AL3400,$AL3400)=1),1,0)</f>
        <v>0</v>
      </c>
      <c r="AW3400" s="21">
        <f t="shared" si="191"/>
        <v>0</v>
      </c>
      <c r="AX3400" s="21" t="str">
        <f t="shared" si="190"/>
        <v/>
      </c>
      <c r="AY3400" s="21" t="str">
        <f>IF(AND($AM3400&lt;&gt;"",$AS3400&lt;&gt;"✓"),SUMPRODUCT(($AM$11:$AM3400&lt;&gt;"")*($AS$11:$AS3400&lt;&gt;"✓")),"")</f>
        <v/>
      </c>
      <c r="AZ3400" s="21" t="str">
        <f>IF(AND($AM3400&lt;&gt;"",$AS3400="✓"),SUMPRODUCT(($AM$11:$AM3400&lt;&gt;"")*($AS$11:$AS3400="✓")),"")</f>
        <v/>
      </c>
      <c r="BA3400" s="21" t="str">
        <f>IF($AL3400="","",$AL3400&amp;"|"&amp;COUNTIF($AL$11:$AL3400,$AL3400))</f>
        <v/>
      </c>
    </row>
    <row r="3401" spans="38:53" ht="15" customHeight="1" x14ac:dyDescent="0.25">
      <c r="AL3401" s="17"/>
      <c r="AM3401" s="12"/>
      <c r="AN3401" s="18"/>
      <c r="AO3401" s="18"/>
      <c r="AP3401" s="10"/>
      <c r="AQ3401" s="10"/>
      <c r="AR3401" s="19"/>
      <c r="AS3401" s="20"/>
      <c r="AT3401" s="19"/>
      <c r="AV3401" s="21">
        <f>IF(AND($AL3401&lt;&gt;"",COUNTIF($AL$11:$AL3401,$AL3401)=1),1,0)</f>
        <v>0</v>
      </c>
      <c r="AW3401" s="21">
        <f t="shared" si="191"/>
        <v>0</v>
      </c>
      <c r="AX3401" s="21" t="str">
        <f t="shared" si="190"/>
        <v/>
      </c>
      <c r="AY3401" s="21" t="str">
        <f>IF(AND($AM3401&lt;&gt;"",$AS3401&lt;&gt;"✓"),SUMPRODUCT(($AM$11:$AM3401&lt;&gt;"")*($AS$11:$AS3401&lt;&gt;"✓")),"")</f>
        <v/>
      </c>
      <c r="AZ3401" s="21" t="str">
        <f>IF(AND($AM3401&lt;&gt;"",$AS3401="✓"),SUMPRODUCT(($AM$11:$AM3401&lt;&gt;"")*($AS$11:$AS3401="✓")),"")</f>
        <v/>
      </c>
      <c r="BA3401" s="21" t="str">
        <f>IF($AL3401="","",$AL3401&amp;"|"&amp;COUNTIF($AL$11:$AL3401,$AL3401))</f>
        <v/>
      </c>
    </row>
    <row r="3402" spans="38:53" ht="15" customHeight="1" x14ac:dyDescent="0.25">
      <c r="AL3402" s="31"/>
      <c r="AM3402" s="26"/>
      <c r="AN3402" s="32"/>
      <c r="AO3402" s="32"/>
      <c r="AP3402" s="24"/>
      <c r="AQ3402" s="24"/>
      <c r="AR3402" s="33"/>
      <c r="AS3402" s="34"/>
      <c r="AT3402" s="33"/>
      <c r="AV3402" s="21">
        <f>IF(AND($AL3402&lt;&gt;"",COUNTIF($AL$11:$AL3402,$AL3402)=1),1,0)</f>
        <v>0</v>
      </c>
      <c r="AW3402" s="21">
        <f t="shared" si="191"/>
        <v>0</v>
      </c>
      <c r="AX3402" s="21" t="str">
        <f t="shared" si="190"/>
        <v/>
      </c>
      <c r="AY3402" s="21" t="str">
        <f>IF(AND($AM3402&lt;&gt;"",$AS3402&lt;&gt;"✓"),SUMPRODUCT(($AM$11:$AM3402&lt;&gt;"")*($AS$11:$AS3402&lt;&gt;"✓")),"")</f>
        <v/>
      </c>
      <c r="AZ3402" s="21" t="str">
        <f>IF(AND($AM3402&lt;&gt;"",$AS3402="✓"),SUMPRODUCT(($AM$11:$AM3402&lt;&gt;"")*($AS$11:$AS3402="✓")),"")</f>
        <v/>
      </c>
      <c r="BA3402" s="21" t="str">
        <f>IF($AL3402="","",$AL3402&amp;"|"&amp;COUNTIF($AL$11:$AL3402,$AL3402))</f>
        <v/>
      </c>
    </row>
    <row r="3403" spans="38:53" ht="15" customHeight="1" x14ac:dyDescent="0.25">
      <c r="AL3403" s="17"/>
      <c r="AM3403" s="12"/>
      <c r="AN3403" s="18"/>
      <c r="AO3403" s="18"/>
      <c r="AP3403" s="10"/>
      <c r="AQ3403" s="10"/>
      <c r="AR3403" s="19"/>
      <c r="AS3403" s="20"/>
      <c r="AT3403" s="19"/>
      <c r="AV3403" s="21">
        <f>IF(AND($AL3403&lt;&gt;"",COUNTIF($AL$11:$AL3403,$AL3403)=1),1,0)</f>
        <v>0</v>
      </c>
      <c r="AW3403" s="21">
        <f t="shared" si="191"/>
        <v>0</v>
      </c>
      <c r="AX3403" s="21" t="str">
        <f t="shared" ref="AX3403:AX3466" si="192">IF(AV3403=1,AW3403,"")</f>
        <v/>
      </c>
      <c r="AY3403" s="21" t="str">
        <f>IF(AND($AM3403&lt;&gt;"",$AS3403&lt;&gt;"✓"),SUMPRODUCT(($AM$11:$AM3403&lt;&gt;"")*($AS$11:$AS3403&lt;&gt;"✓")),"")</f>
        <v/>
      </c>
      <c r="AZ3403" s="21" t="str">
        <f>IF(AND($AM3403&lt;&gt;"",$AS3403="✓"),SUMPRODUCT(($AM$11:$AM3403&lt;&gt;"")*($AS$11:$AS3403="✓")),"")</f>
        <v/>
      </c>
      <c r="BA3403" s="21" t="str">
        <f>IF($AL3403="","",$AL3403&amp;"|"&amp;COUNTIF($AL$11:$AL3403,$AL3403))</f>
        <v/>
      </c>
    </row>
    <row r="3404" spans="38:53" ht="15" customHeight="1" x14ac:dyDescent="0.25">
      <c r="AL3404" s="31"/>
      <c r="AM3404" s="26"/>
      <c r="AN3404" s="32"/>
      <c r="AO3404" s="32"/>
      <c r="AP3404" s="24"/>
      <c r="AQ3404" s="24"/>
      <c r="AR3404" s="33"/>
      <c r="AS3404" s="34"/>
      <c r="AT3404" s="33"/>
      <c r="AV3404" s="21">
        <f>IF(AND($AL3404&lt;&gt;"",COUNTIF($AL$11:$AL3404,$AL3404)=1),1,0)</f>
        <v>0</v>
      </c>
      <c r="AW3404" s="21">
        <f t="shared" ref="AW3404:AW3467" si="193">AW3403+AV3404</f>
        <v>0</v>
      </c>
      <c r="AX3404" s="21" t="str">
        <f t="shared" si="192"/>
        <v/>
      </c>
      <c r="AY3404" s="21" t="str">
        <f>IF(AND($AM3404&lt;&gt;"",$AS3404&lt;&gt;"✓"),SUMPRODUCT(($AM$11:$AM3404&lt;&gt;"")*($AS$11:$AS3404&lt;&gt;"✓")),"")</f>
        <v/>
      </c>
      <c r="AZ3404" s="21" t="str">
        <f>IF(AND($AM3404&lt;&gt;"",$AS3404="✓"),SUMPRODUCT(($AM$11:$AM3404&lt;&gt;"")*($AS$11:$AS3404="✓")),"")</f>
        <v/>
      </c>
      <c r="BA3404" s="21" t="str">
        <f>IF($AL3404="","",$AL3404&amp;"|"&amp;COUNTIF($AL$11:$AL3404,$AL3404))</f>
        <v/>
      </c>
    </row>
    <row r="3405" spans="38:53" ht="15" customHeight="1" x14ac:dyDescent="0.25">
      <c r="AL3405" s="17"/>
      <c r="AM3405" s="12"/>
      <c r="AN3405" s="18"/>
      <c r="AO3405" s="18"/>
      <c r="AP3405" s="10"/>
      <c r="AQ3405" s="10"/>
      <c r="AR3405" s="19"/>
      <c r="AS3405" s="20"/>
      <c r="AT3405" s="19"/>
      <c r="AV3405" s="21">
        <f>IF(AND($AL3405&lt;&gt;"",COUNTIF($AL$11:$AL3405,$AL3405)=1),1,0)</f>
        <v>0</v>
      </c>
      <c r="AW3405" s="21">
        <f t="shared" si="193"/>
        <v>0</v>
      </c>
      <c r="AX3405" s="21" t="str">
        <f t="shared" si="192"/>
        <v/>
      </c>
      <c r="AY3405" s="21" t="str">
        <f>IF(AND($AM3405&lt;&gt;"",$AS3405&lt;&gt;"✓"),SUMPRODUCT(($AM$11:$AM3405&lt;&gt;"")*($AS$11:$AS3405&lt;&gt;"✓")),"")</f>
        <v/>
      </c>
      <c r="AZ3405" s="21" t="str">
        <f>IF(AND($AM3405&lt;&gt;"",$AS3405="✓"),SUMPRODUCT(($AM$11:$AM3405&lt;&gt;"")*($AS$11:$AS3405="✓")),"")</f>
        <v/>
      </c>
      <c r="BA3405" s="21" t="str">
        <f>IF($AL3405="","",$AL3405&amp;"|"&amp;COUNTIF($AL$11:$AL3405,$AL3405))</f>
        <v/>
      </c>
    </row>
    <row r="3406" spans="38:53" ht="15" customHeight="1" x14ac:dyDescent="0.25">
      <c r="AL3406" s="31"/>
      <c r="AM3406" s="26"/>
      <c r="AN3406" s="32"/>
      <c r="AO3406" s="32"/>
      <c r="AP3406" s="24"/>
      <c r="AQ3406" s="24"/>
      <c r="AR3406" s="33"/>
      <c r="AS3406" s="34"/>
      <c r="AT3406" s="33"/>
      <c r="AV3406" s="21">
        <f>IF(AND($AL3406&lt;&gt;"",COUNTIF($AL$11:$AL3406,$AL3406)=1),1,0)</f>
        <v>0</v>
      </c>
      <c r="AW3406" s="21">
        <f t="shared" si="193"/>
        <v>0</v>
      </c>
      <c r="AX3406" s="21" t="str">
        <f t="shared" si="192"/>
        <v/>
      </c>
      <c r="AY3406" s="21" t="str">
        <f>IF(AND($AM3406&lt;&gt;"",$AS3406&lt;&gt;"✓"),SUMPRODUCT(($AM$11:$AM3406&lt;&gt;"")*($AS$11:$AS3406&lt;&gt;"✓")),"")</f>
        <v/>
      </c>
      <c r="AZ3406" s="21" t="str">
        <f>IF(AND($AM3406&lt;&gt;"",$AS3406="✓"),SUMPRODUCT(($AM$11:$AM3406&lt;&gt;"")*($AS$11:$AS3406="✓")),"")</f>
        <v/>
      </c>
      <c r="BA3406" s="21" t="str">
        <f>IF($AL3406="","",$AL3406&amp;"|"&amp;COUNTIF($AL$11:$AL3406,$AL3406))</f>
        <v/>
      </c>
    </row>
    <row r="3407" spans="38:53" ht="15" customHeight="1" x14ac:dyDescent="0.25">
      <c r="AL3407" s="17"/>
      <c r="AM3407" s="12"/>
      <c r="AN3407" s="18"/>
      <c r="AO3407" s="18"/>
      <c r="AP3407" s="10"/>
      <c r="AQ3407" s="10"/>
      <c r="AR3407" s="19"/>
      <c r="AS3407" s="20"/>
      <c r="AT3407" s="19"/>
      <c r="AV3407" s="21">
        <f>IF(AND($AL3407&lt;&gt;"",COUNTIF($AL$11:$AL3407,$AL3407)=1),1,0)</f>
        <v>0</v>
      </c>
      <c r="AW3407" s="21">
        <f t="shared" si="193"/>
        <v>0</v>
      </c>
      <c r="AX3407" s="21" t="str">
        <f t="shared" si="192"/>
        <v/>
      </c>
      <c r="AY3407" s="21" t="str">
        <f>IF(AND($AM3407&lt;&gt;"",$AS3407&lt;&gt;"✓"),SUMPRODUCT(($AM$11:$AM3407&lt;&gt;"")*($AS$11:$AS3407&lt;&gt;"✓")),"")</f>
        <v/>
      </c>
      <c r="AZ3407" s="21" t="str">
        <f>IF(AND($AM3407&lt;&gt;"",$AS3407="✓"),SUMPRODUCT(($AM$11:$AM3407&lt;&gt;"")*($AS$11:$AS3407="✓")),"")</f>
        <v/>
      </c>
      <c r="BA3407" s="21" t="str">
        <f>IF($AL3407="","",$AL3407&amp;"|"&amp;COUNTIF($AL$11:$AL3407,$AL3407))</f>
        <v/>
      </c>
    </row>
    <row r="3408" spans="38:53" ht="15" customHeight="1" x14ac:dyDescent="0.25">
      <c r="AL3408" s="31"/>
      <c r="AM3408" s="26"/>
      <c r="AN3408" s="32"/>
      <c r="AO3408" s="32"/>
      <c r="AP3408" s="24"/>
      <c r="AQ3408" s="24"/>
      <c r="AR3408" s="33"/>
      <c r="AS3408" s="34"/>
      <c r="AT3408" s="33"/>
      <c r="AV3408" s="21">
        <f>IF(AND($AL3408&lt;&gt;"",COUNTIF($AL$11:$AL3408,$AL3408)=1),1,0)</f>
        <v>0</v>
      </c>
      <c r="AW3408" s="21">
        <f t="shared" si="193"/>
        <v>0</v>
      </c>
      <c r="AX3408" s="21" t="str">
        <f t="shared" si="192"/>
        <v/>
      </c>
      <c r="AY3408" s="21" t="str">
        <f>IF(AND($AM3408&lt;&gt;"",$AS3408&lt;&gt;"✓"),SUMPRODUCT(($AM$11:$AM3408&lt;&gt;"")*($AS$11:$AS3408&lt;&gt;"✓")),"")</f>
        <v/>
      </c>
      <c r="AZ3408" s="21" t="str">
        <f>IF(AND($AM3408&lt;&gt;"",$AS3408="✓"),SUMPRODUCT(($AM$11:$AM3408&lt;&gt;"")*($AS$11:$AS3408="✓")),"")</f>
        <v/>
      </c>
      <c r="BA3408" s="21" t="str">
        <f>IF($AL3408="","",$AL3408&amp;"|"&amp;COUNTIF($AL$11:$AL3408,$AL3408))</f>
        <v/>
      </c>
    </row>
    <row r="3409" spans="38:53" ht="15" customHeight="1" x14ac:dyDescent="0.25">
      <c r="AL3409" s="17"/>
      <c r="AM3409" s="12"/>
      <c r="AN3409" s="18"/>
      <c r="AO3409" s="18"/>
      <c r="AP3409" s="10"/>
      <c r="AQ3409" s="10"/>
      <c r="AR3409" s="19"/>
      <c r="AS3409" s="20"/>
      <c r="AT3409" s="19"/>
      <c r="AV3409" s="21">
        <f>IF(AND($AL3409&lt;&gt;"",COUNTIF($AL$11:$AL3409,$AL3409)=1),1,0)</f>
        <v>0</v>
      </c>
      <c r="AW3409" s="21">
        <f t="shared" si="193"/>
        <v>0</v>
      </c>
      <c r="AX3409" s="21" t="str">
        <f t="shared" si="192"/>
        <v/>
      </c>
      <c r="AY3409" s="21" t="str">
        <f>IF(AND($AM3409&lt;&gt;"",$AS3409&lt;&gt;"✓"),SUMPRODUCT(($AM$11:$AM3409&lt;&gt;"")*($AS$11:$AS3409&lt;&gt;"✓")),"")</f>
        <v/>
      </c>
      <c r="AZ3409" s="21" t="str">
        <f>IF(AND($AM3409&lt;&gt;"",$AS3409="✓"),SUMPRODUCT(($AM$11:$AM3409&lt;&gt;"")*($AS$11:$AS3409="✓")),"")</f>
        <v/>
      </c>
      <c r="BA3409" s="21" t="str">
        <f>IF($AL3409="","",$AL3409&amp;"|"&amp;COUNTIF($AL$11:$AL3409,$AL3409))</f>
        <v/>
      </c>
    </row>
    <row r="3410" spans="38:53" ht="15" customHeight="1" x14ac:dyDescent="0.25">
      <c r="AL3410" s="31"/>
      <c r="AM3410" s="26"/>
      <c r="AN3410" s="32"/>
      <c r="AO3410" s="32"/>
      <c r="AP3410" s="24"/>
      <c r="AQ3410" s="24"/>
      <c r="AR3410" s="33"/>
      <c r="AS3410" s="34"/>
      <c r="AT3410" s="33"/>
      <c r="AV3410" s="21">
        <f>IF(AND($AL3410&lt;&gt;"",COUNTIF($AL$11:$AL3410,$AL3410)=1),1,0)</f>
        <v>0</v>
      </c>
      <c r="AW3410" s="21">
        <f t="shared" si="193"/>
        <v>0</v>
      </c>
      <c r="AX3410" s="21" t="str">
        <f t="shared" si="192"/>
        <v/>
      </c>
      <c r="AY3410" s="21" t="str">
        <f>IF(AND($AM3410&lt;&gt;"",$AS3410&lt;&gt;"✓"),SUMPRODUCT(($AM$11:$AM3410&lt;&gt;"")*($AS$11:$AS3410&lt;&gt;"✓")),"")</f>
        <v/>
      </c>
      <c r="AZ3410" s="21" t="str">
        <f>IF(AND($AM3410&lt;&gt;"",$AS3410="✓"),SUMPRODUCT(($AM$11:$AM3410&lt;&gt;"")*($AS$11:$AS3410="✓")),"")</f>
        <v/>
      </c>
      <c r="BA3410" s="21" t="str">
        <f>IF($AL3410="","",$AL3410&amp;"|"&amp;COUNTIF($AL$11:$AL3410,$AL3410))</f>
        <v/>
      </c>
    </row>
    <row r="3411" spans="38:53" ht="15" customHeight="1" x14ac:dyDescent="0.25">
      <c r="AL3411" s="17"/>
      <c r="AM3411" s="12"/>
      <c r="AN3411" s="18"/>
      <c r="AO3411" s="18"/>
      <c r="AP3411" s="10"/>
      <c r="AQ3411" s="10"/>
      <c r="AR3411" s="19"/>
      <c r="AS3411" s="20"/>
      <c r="AT3411" s="19"/>
      <c r="AV3411" s="21">
        <f>IF(AND($AL3411&lt;&gt;"",COUNTIF($AL$11:$AL3411,$AL3411)=1),1,0)</f>
        <v>0</v>
      </c>
      <c r="AW3411" s="21">
        <f t="shared" si="193"/>
        <v>0</v>
      </c>
      <c r="AX3411" s="21" t="str">
        <f t="shared" si="192"/>
        <v/>
      </c>
      <c r="AY3411" s="21" t="str">
        <f>IF(AND($AM3411&lt;&gt;"",$AS3411&lt;&gt;"✓"),SUMPRODUCT(($AM$11:$AM3411&lt;&gt;"")*($AS$11:$AS3411&lt;&gt;"✓")),"")</f>
        <v/>
      </c>
      <c r="AZ3411" s="21" t="str">
        <f>IF(AND($AM3411&lt;&gt;"",$AS3411="✓"),SUMPRODUCT(($AM$11:$AM3411&lt;&gt;"")*($AS$11:$AS3411="✓")),"")</f>
        <v/>
      </c>
      <c r="BA3411" s="21" t="str">
        <f>IF($AL3411="","",$AL3411&amp;"|"&amp;COUNTIF($AL$11:$AL3411,$AL3411))</f>
        <v/>
      </c>
    </row>
    <row r="3412" spans="38:53" ht="15" customHeight="1" x14ac:dyDescent="0.25">
      <c r="AL3412" s="31"/>
      <c r="AM3412" s="26"/>
      <c r="AN3412" s="32"/>
      <c r="AO3412" s="32"/>
      <c r="AP3412" s="24"/>
      <c r="AQ3412" s="24"/>
      <c r="AR3412" s="33"/>
      <c r="AS3412" s="34"/>
      <c r="AT3412" s="33"/>
      <c r="AV3412" s="21">
        <f>IF(AND($AL3412&lt;&gt;"",COUNTIF($AL$11:$AL3412,$AL3412)=1),1,0)</f>
        <v>0</v>
      </c>
      <c r="AW3412" s="21">
        <f t="shared" si="193"/>
        <v>0</v>
      </c>
      <c r="AX3412" s="21" t="str">
        <f t="shared" si="192"/>
        <v/>
      </c>
      <c r="AY3412" s="21" t="str">
        <f>IF(AND($AM3412&lt;&gt;"",$AS3412&lt;&gt;"✓"),SUMPRODUCT(($AM$11:$AM3412&lt;&gt;"")*($AS$11:$AS3412&lt;&gt;"✓")),"")</f>
        <v/>
      </c>
      <c r="AZ3412" s="21" t="str">
        <f>IF(AND($AM3412&lt;&gt;"",$AS3412="✓"),SUMPRODUCT(($AM$11:$AM3412&lt;&gt;"")*($AS$11:$AS3412="✓")),"")</f>
        <v/>
      </c>
      <c r="BA3412" s="21" t="str">
        <f>IF($AL3412="","",$AL3412&amp;"|"&amp;COUNTIF($AL$11:$AL3412,$AL3412))</f>
        <v/>
      </c>
    </row>
    <row r="3413" spans="38:53" ht="15" customHeight="1" x14ac:dyDescent="0.25">
      <c r="AL3413" s="17"/>
      <c r="AM3413" s="12"/>
      <c r="AN3413" s="18"/>
      <c r="AO3413" s="18"/>
      <c r="AP3413" s="10"/>
      <c r="AQ3413" s="10"/>
      <c r="AR3413" s="19"/>
      <c r="AS3413" s="20"/>
      <c r="AT3413" s="19"/>
      <c r="AV3413" s="21">
        <f>IF(AND($AL3413&lt;&gt;"",COUNTIF($AL$11:$AL3413,$AL3413)=1),1,0)</f>
        <v>0</v>
      </c>
      <c r="AW3413" s="21">
        <f t="shared" si="193"/>
        <v>0</v>
      </c>
      <c r="AX3413" s="21" t="str">
        <f t="shared" si="192"/>
        <v/>
      </c>
      <c r="AY3413" s="21" t="str">
        <f>IF(AND($AM3413&lt;&gt;"",$AS3413&lt;&gt;"✓"),SUMPRODUCT(($AM$11:$AM3413&lt;&gt;"")*($AS$11:$AS3413&lt;&gt;"✓")),"")</f>
        <v/>
      </c>
      <c r="AZ3413" s="21" t="str">
        <f>IF(AND($AM3413&lt;&gt;"",$AS3413="✓"),SUMPRODUCT(($AM$11:$AM3413&lt;&gt;"")*($AS$11:$AS3413="✓")),"")</f>
        <v/>
      </c>
      <c r="BA3413" s="21" t="str">
        <f>IF($AL3413="","",$AL3413&amp;"|"&amp;COUNTIF($AL$11:$AL3413,$AL3413))</f>
        <v/>
      </c>
    </row>
    <row r="3414" spans="38:53" ht="15" customHeight="1" x14ac:dyDescent="0.25">
      <c r="AL3414" s="31"/>
      <c r="AM3414" s="26"/>
      <c r="AN3414" s="32"/>
      <c r="AO3414" s="32"/>
      <c r="AP3414" s="24"/>
      <c r="AQ3414" s="24"/>
      <c r="AR3414" s="33"/>
      <c r="AS3414" s="34"/>
      <c r="AT3414" s="33"/>
      <c r="AV3414" s="21">
        <f>IF(AND($AL3414&lt;&gt;"",COUNTIF($AL$11:$AL3414,$AL3414)=1),1,0)</f>
        <v>0</v>
      </c>
      <c r="AW3414" s="21">
        <f t="shared" si="193"/>
        <v>0</v>
      </c>
      <c r="AX3414" s="21" t="str">
        <f t="shared" si="192"/>
        <v/>
      </c>
      <c r="AY3414" s="21" t="str">
        <f>IF(AND($AM3414&lt;&gt;"",$AS3414&lt;&gt;"✓"),SUMPRODUCT(($AM$11:$AM3414&lt;&gt;"")*($AS$11:$AS3414&lt;&gt;"✓")),"")</f>
        <v/>
      </c>
      <c r="AZ3414" s="21" t="str">
        <f>IF(AND($AM3414&lt;&gt;"",$AS3414="✓"),SUMPRODUCT(($AM$11:$AM3414&lt;&gt;"")*($AS$11:$AS3414="✓")),"")</f>
        <v/>
      </c>
      <c r="BA3414" s="21" t="str">
        <f>IF($AL3414="","",$AL3414&amp;"|"&amp;COUNTIF($AL$11:$AL3414,$AL3414))</f>
        <v/>
      </c>
    </row>
    <row r="3415" spans="38:53" ht="15" customHeight="1" x14ac:dyDescent="0.25">
      <c r="AL3415" s="17"/>
      <c r="AM3415" s="12"/>
      <c r="AN3415" s="18"/>
      <c r="AO3415" s="18"/>
      <c r="AP3415" s="10"/>
      <c r="AQ3415" s="10"/>
      <c r="AR3415" s="19"/>
      <c r="AS3415" s="20"/>
      <c r="AT3415" s="19"/>
      <c r="AV3415" s="21">
        <f>IF(AND($AL3415&lt;&gt;"",COUNTIF($AL$11:$AL3415,$AL3415)=1),1,0)</f>
        <v>0</v>
      </c>
      <c r="AW3415" s="21">
        <f t="shared" si="193"/>
        <v>0</v>
      </c>
      <c r="AX3415" s="21" t="str">
        <f t="shared" si="192"/>
        <v/>
      </c>
      <c r="AY3415" s="21" t="str">
        <f>IF(AND($AM3415&lt;&gt;"",$AS3415&lt;&gt;"✓"),SUMPRODUCT(($AM$11:$AM3415&lt;&gt;"")*($AS$11:$AS3415&lt;&gt;"✓")),"")</f>
        <v/>
      </c>
      <c r="AZ3415" s="21" t="str">
        <f>IF(AND($AM3415&lt;&gt;"",$AS3415="✓"),SUMPRODUCT(($AM$11:$AM3415&lt;&gt;"")*($AS$11:$AS3415="✓")),"")</f>
        <v/>
      </c>
      <c r="BA3415" s="21" t="str">
        <f>IF($AL3415="","",$AL3415&amp;"|"&amp;COUNTIF($AL$11:$AL3415,$AL3415))</f>
        <v/>
      </c>
    </row>
    <row r="3416" spans="38:53" ht="15" customHeight="1" x14ac:dyDescent="0.25">
      <c r="AL3416" s="31"/>
      <c r="AM3416" s="26"/>
      <c r="AN3416" s="32"/>
      <c r="AO3416" s="32"/>
      <c r="AP3416" s="24"/>
      <c r="AQ3416" s="24"/>
      <c r="AR3416" s="33"/>
      <c r="AS3416" s="34"/>
      <c r="AT3416" s="33"/>
      <c r="AV3416" s="21">
        <f>IF(AND($AL3416&lt;&gt;"",COUNTIF($AL$11:$AL3416,$AL3416)=1),1,0)</f>
        <v>0</v>
      </c>
      <c r="AW3416" s="21">
        <f t="shared" si="193"/>
        <v>0</v>
      </c>
      <c r="AX3416" s="21" t="str">
        <f t="shared" si="192"/>
        <v/>
      </c>
      <c r="AY3416" s="21" t="str">
        <f>IF(AND($AM3416&lt;&gt;"",$AS3416&lt;&gt;"✓"),SUMPRODUCT(($AM$11:$AM3416&lt;&gt;"")*($AS$11:$AS3416&lt;&gt;"✓")),"")</f>
        <v/>
      </c>
      <c r="AZ3416" s="21" t="str">
        <f>IF(AND($AM3416&lt;&gt;"",$AS3416="✓"),SUMPRODUCT(($AM$11:$AM3416&lt;&gt;"")*($AS$11:$AS3416="✓")),"")</f>
        <v/>
      </c>
      <c r="BA3416" s="21" t="str">
        <f>IF($AL3416="","",$AL3416&amp;"|"&amp;COUNTIF($AL$11:$AL3416,$AL3416))</f>
        <v/>
      </c>
    </row>
    <row r="3417" spans="38:53" ht="15" customHeight="1" x14ac:dyDescent="0.25">
      <c r="AL3417" s="17"/>
      <c r="AM3417" s="12"/>
      <c r="AN3417" s="18"/>
      <c r="AO3417" s="18"/>
      <c r="AP3417" s="10"/>
      <c r="AQ3417" s="10"/>
      <c r="AR3417" s="19"/>
      <c r="AS3417" s="20"/>
      <c r="AT3417" s="19"/>
      <c r="AV3417" s="21">
        <f>IF(AND($AL3417&lt;&gt;"",COUNTIF($AL$11:$AL3417,$AL3417)=1),1,0)</f>
        <v>0</v>
      </c>
      <c r="AW3417" s="21">
        <f t="shared" si="193"/>
        <v>0</v>
      </c>
      <c r="AX3417" s="21" t="str">
        <f t="shared" si="192"/>
        <v/>
      </c>
      <c r="AY3417" s="21" t="str">
        <f>IF(AND($AM3417&lt;&gt;"",$AS3417&lt;&gt;"✓"),SUMPRODUCT(($AM$11:$AM3417&lt;&gt;"")*($AS$11:$AS3417&lt;&gt;"✓")),"")</f>
        <v/>
      </c>
      <c r="AZ3417" s="21" t="str">
        <f>IF(AND($AM3417&lt;&gt;"",$AS3417="✓"),SUMPRODUCT(($AM$11:$AM3417&lt;&gt;"")*($AS$11:$AS3417="✓")),"")</f>
        <v/>
      </c>
      <c r="BA3417" s="21" t="str">
        <f>IF($AL3417="","",$AL3417&amp;"|"&amp;COUNTIF($AL$11:$AL3417,$AL3417))</f>
        <v/>
      </c>
    </row>
    <row r="3418" spans="38:53" ht="15" customHeight="1" x14ac:dyDescent="0.25">
      <c r="AL3418" s="31"/>
      <c r="AM3418" s="26"/>
      <c r="AN3418" s="32"/>
      <c r="AO3418" s="32"/>
      <c r="AP3418" s="24"/>
      <c r="AQ3418" s="24"/>
      <c r="AR3418" s="33"/>
      <c r="AS3418" s="34"/>
      <c r="AT3418" s="33"/>
      <c r="AV3418" s="21">
        <f>IF(AND($AL3418&lt;&gt;"",COUNTIF($AL$11:$AL3418,$AL3418)=1),1,0)</f>
        <v>0</v>
      </c>
      <c r="AW3418" s="21">
        <f t="shared" si="193"/>
        <v>0</v>
      </c>
      <c r="AX3418" s="21" t="str">
        <f t="shared" si="192"/>
        <v/>
      </c>
      <c r="AY3418" s="21" t="str">
        <f>IF(AND($AM3418&lt;&gt;"",$AS3418&lt;&gt;"✓"),SUMPRODUCT(($AM$11:$AM3418&lt;&gt;"")*($AS$11:$AS3418&lt;&gt;"✓")),"")</f>
        <v/>
      </c>
      <c r="AZ3418" s="21" t="str">
        <f>IF(AND($AM3418&lt;&gt;"",$AS3418="✓"),SUMPRODUCT(($AM$11:$AM3418&lt;&gt;"")*($AS$11:$AS3418="✓")),"")</f>
        <v/>
      </c>
      <c r="BA3418" s="21" t="str">
        <f>IF($AL3418="","",$AL3418&amp;"|"&amp;COUNTIF($AL$11:$AL3418,$AL3418))</f>
        <v/>
      </c>
    </row>
    <row r="3419" spans="38:53" ht="15" customHeight="1" x14ac:dyDescent="0.25">
      <c r="AL3419" s="17"/>
      <c r="AM3419" s="12"/>
      <c r="AN3419" s="18"/>
      <c r="AO3419" s="18"/>
      <c r="AP3419" s="10"/>
      <c r="AQ3419" s="10"/>
      <c r="AR3419" s="19"/>
      <c r="AS3419" s="20"/>
      <c r="AT3419" s="19"/>
      <c r="AV3419" s="21">
        <f>IF(AND($AL3419&lt;&gt;"",COUNTIF($AL$11:$AL3419,$AL3419)=1),1,0)</f>
        <v>0</v>
      </c>
      <c r="AW3419" s="21">
        <f t="shared" si="193"/>
        <v>0</v>
      </c>
      <c r="AX3419" s="21" t="str">
        <f t="shared" si="192"/>
        <v/>
      </c>
      <c r="AY3419" s="21" t="str">
        <f>IF(AND($AM3419&lt;&gt;"",$AS3419&lt;&gt;"✓"),SUMPRODUCT(($AM$11:$AM3419&lt;&gt;"")*($AS$11:$AS3419&lt;&gt;"✓")),"")</f>
        <v/>
      </c>
      <c r="AZ3419" s="21" t="str">
        <f>IF(AND($AM3419&lt;&gt;"",$AS3419="✓"),SUMPRODUCT(($AM$11:$AM3419&lt;&gt;"")*($AS$11:$AS3419="✓")),"")</f>
        <v/>
      </c>
      <c r="BA3419" s="21" t="str">
        <f>IF($AL3419="","",$AL3419&amp;"|"&amp;COUNTIF($AL$11:$AL3419,$AL3419))</f>
        <v/>
      </c>
    </row>
    <row r="3420" spans="38:53" ht="15" customHeight="1" x14ac:dyDescent="0.25">
      <c r="AL3420" s="31"/>
      <c r="AM3420" s="26"/>
      <c r="AN3420" s="32"/>
      <c r="AO3420" s="32"/>
      <c r="AP3420" s="24"/>
      <c r="AQ3420" s="24"/>
      <c r="AR3420" s="33"/>
      <c r="AS3420" s="34"/>
      <c r="AT3420" s="33"/>
      <c r="AV3420" s="21">
        <f>IF(AND($AL3420&lt;&gt;"",COUNTIF($AL$11:$AL3420,$AL3420)=1),1,0)</f>
        <v>0</v>
      </c>
      <c r="AW3420" s="21">
        <f t="shared" si="193"/>
        <v>0</v>
      </c>
      <c r="AX3420" s="21" t="str">
        <f t="shared" si="192"/>
        <v/>
      </c>
      <c r="AY3420" s="21" t="str">
        <f>IF(AND($AM3420&lt;&gt;"",$AS3420&lt;&gt;"✓"),SUMPRODUCT(($AM$11:$AM3420&lt;&gt;"")*($AS$11:$AS3420&lt;&gt;"✓")),"")</f>
        <v/>
      </c>
      <c r="AZ3420" s="21" t="str">
        <f>IF(AND($AM3420&lt;&gt;"",$AS3420="✓"),SUMPRODUCT(($AM$11:$AM3420&lt;&gt;"")*($AS$11:$AS3420="✓")),"")</f>
        <v/>
      </c>
      <c r="BA3420" s="21" t="str">
        <f>IF($AL3420="","",$AL3420&amp;"|"&amp;COUNTIF($AL$11:$AL3420,$AL3420))</f>
        <v/>
      </c>
    </row>
    <row r="3421" spans="38:53" ht="15" customHeight="1" x14ac:dyDescent="0.25">
      <c r="AL3421" s="17"/>
      <c r="AM3421" s="12"/>
      <c r="AN3421" s="18"/>
      <c r="AO3421" s="18"/>
      <c r="AP3421" s="10"/>
      <c r="AQ3421" s="10"/>
      <c r="AR3421" s="19"/>
      <c r="AS3421" s="20"/>
      <c r="AT3421" s="19"/>
      <c r="AV3421" s="21">
        <f>IF(AND($AL3421&lt;&gt;"",COUNTIF($AL$11:$AL3421,$AL3421)=1),1,0)</f>
        <v>0</v>
      </c>
      <c r="AW3421" s="21">
        <f t="shared" si="193"/>
        <v>0</v>
      </c>
      <c r="AX3421" s="21" t="str">
        <f t="shared" si="192"/>
        <v/>
      </c>
      <c r="AY3421" s="21" t="str">
        <f>IF(AND($AM3421&lt;&gt;"",$AS3421&lt;&gt;"✓"),SUMPRODUCT(($AM$11:$AM3421&lt;&gt;"")*($AS$11:$AS3421&lt;&gt;"✓")),"")</f>
        <v/>
      </c>
      <c r="AZ3421" s="21" t="str">
        <f>IF(AND($AM3421&lt;&gt;"",$AS3421="✓"),SUMPRODUCT(($AM$11:$AM3421&lt;&gt;"")*($AS$11:$AS3421="✓")),"")</f>
        <v/>
      </c>
      <c r="BA3421" s="21" t="str">
        <f>IF($AL3421="","",$AL3421&amp;"|"&amp;COUNTIF($AL$11:$AL3421,$AL3421))</f>
        <v/>
      </c>
    </row>
    <row r="3422" spans="38:53" ht="15" customHeight="1" x14ac:dyDescent="0.25">
      <c r="AL3422" s="31"/>
      <c r="AM3422" s="26"/>
      <c r="AN3422" s="32"/>
      <c r="AO3422" s="32"/>
      <c r="AP3422" s="24"/>
      <c r="AQ3422" s="24"/>
      <c r="AR3422" s="33"/>
      <c r="AS3422" s="34"/>
      <c r="AT3422" s="33"/>
      <c r="AV3422" s="21">
        <f>IF(AND($AL3422&lt;&gt;"",COUNTIF($AL$11:$AL3422,$AL3422)=1),1,0)</f>
        <v>0</v>
      </c>
      <c r="AW3422" s="21">
        <f t="shared" si="193"/>
        <v>0</v>
      </c>
      <c r="AX3422" s="21" t="str">
        <f t="shared" si="192"/>
        <v/>
      </c>
      <c r="AY3422" s="21" t="str">
        <f>IF(AND($AM3422&lt;&gt;"",$AS3422&lt;&gt;"✓"),SUMPRODUCT(($AM$11:$AM3422&lt;&gt;"")*($AS$11:$AS3422&lt;&gt;"✓")),"")</f>
        <v/>
      </c>
      <c r="AZ3422" s="21" t="str">
        <f>IF(AND($AM3422&lt;&gt;"",$AS3422="✓"),SUMPRODUCT(($AM$11:$AM3422&lt;&gt;"")*($AS$11:$AS3422="✓")),"")</f>
        <v/>
      </c>
      <c r="BA3422" s="21" t="str">
        <f>IF($AL3422="","",$AL3422&amp;"|"&amp;COUNTIF($AL$11:$AL3422,$AL3422))</f>
        <v/>
      </c>
    </row>
    <row r="3423" spans="38:53" ht="15" customHeight="1" x14ac:dyDescent="0.25">
      <c r="AL3423" s="17"/>
      <c r="AM3423" s="12"/>
      <c r="AN3423" s="18"/>
      <c r="AO3423" s="18"/>
      <c r="AP3423" s="10"/>
      <c r="AQ3423" s="10"/>
      <c r="AR3423" s="19"/>
      <c r="AS3423" s="20"/>
      <c r="AT3423" s="19"/>
      <c r="AV3423" s="21">
        <f>IF(AND($AL3423&lt;&gt;"",COUNTIF($AL$11:$AL3423,$AL3423)=1),1,0)</f>
        <v>0</v>
      </c>
      <c r="AW3423" s="21">
        <f t="shared" si="193"/>
        <v>0</v>
      </c>
      <c r="AX3423" s="21" t="str">
        <f t="shared" si="192"/>
        <v/>
      </c>
      <c r="AY3423" s="21" t="str">
        <f>IF(AND($AM3423&lt;&gt;"",$AS3423&lt;&gt;"✓"),SUMPRODUCT(($AM$11:$AM3423&lt;&gt;"")*($AS$11:$AS3423&lt;&gt;"✓")),"")</f>
        <v/>
      </c>
      <c r="AZ3423" s="21" t="str">
        <f>IF(AND($AM3423&lt;&gt;"",$AS3423="✓"),SUMPRODUCT(($AM$11:$AM3423&lt;&gt;"")*($AS$11:$AS3423="✓")),"")</f>
        <v/>
      </c>
      <c r="BA3423" s="21" t="str">
        <f>IF($AL3423="","",$AL3423&amp;"|"&amp;COUNTIF($AL$11:$AL3423,$AL3423))</f>
        <v/>
      </c>
    </row>
    <row r="3424" spans="38:53" ht="15" customHeight="1" x14ac:dyDescent="0.25">
      <c r="AL3424" s="31"/>
      <c r="AM3424" s="26"/>
      <c r="AN3424" s="32"/>
      <c r="AO3424" s="32"/>
      <c r="AP3424" s="24"/>
      <c r="AQ3424" s="24"/>
      <c r="AR3424" s="33"/>
      <c r="AS3424" s="34"/>
      <c r="AT3424" s="33"/>
      <c r="AV3424" s="21">
        <f>IF(AND($AL3424&lt;&gt;"",COUNTIF($AL$11:$AL3424,$AL3424)=1),1,0)</f>
        <v>0</v>
      </c>
      <c r="AW3424" s="21">
        <f t="shared" si="193"/>
        <v>0</v>
      </c>
      <c r="AX3424" s="21" t="str">
        <f t="shared" si="192"/>
        <v/>
      </c>
      <c r="AY3424" s="21" t="str">
        <f>IF(AND($AM3424&lt;&gt;"",$AS3424&lt;&gt;"✓"),SUMPRODUCT(($AM$11:$AM3424&lt;&gt;"")*($AS$11:$AS3424&lt;&gt;"✓")),"")</f>
        <v/>
      </c>
      <c r="AZ3424" s="21" t="str">
        <f>IF(AND($AM3424&lt;&gt;"",$AS3424="✓"),SUMPRODUCT(($AM$11:$AM3424&lt;&gt;"")*($AS$11:$AS3424="✓")),"")</f>
        <v/>
      </c>
      <c r="BA3424" s="21" t="str">
        <f>IF($AL3424="","",$AL3424&amp;"|"&amp;COUNTIF($AL$11:$AL3424,$AL3424))</f>
        <v/>
      </c>
    </row>
    <row r="3425" spans="38:53" ht="15" customHeight="1" x14ac:dyDescent="0.25">
      <c r="AL3425" s="17"/>
      <c r="AM3425" s="12"/>
      <c r="AN3425" s="18"/>
      <c r="AO3425" s="18"/>
      <c r="AP3425" s="10"/>
      <c r="AQ3425" s="10"/>
      <c r="AR3425" s="19"/>
      <c r="AS3425" s="20"/>
      <c r="AT3425" s="19"/>
      <c r="AV3425" s="21">
        <f>IF(AND($AL3425&lt;&gt;"",COUNTIF($AL$11:$AL3425,$AL3425)=1),1,0)</f>
        <v>0</v>
      </c>
      <c r="AW3425" s="21">
        <f t="shared" si="193"/>
        <v>0</v>
      </c>
      <c r="AX3425" s="21" t="str">
        <f t="shared" si="192"/>
        <v/>
      </c>
      <c r="AY3425" s="21" t="str">
        <f>IF(AND($AM3425&lt;&gt;"",$AS3425&lt;&gt;"✓"),SUMPRODUCT(($AM$11:$AM3425&lt;&gt;"")*($AS$11:$AS3425&lt;&gt;"✓")),"")</f>
        <v/>
      </c>
      <c r="AZ3425" s="21" t="str">
        <f>IF(AND($AM3425&lt;&gt;"",$AS3425="✓"),SUMPRODUCT(($AM$11:$AM3425&lt;&gt;"")*($AS$11:$AS3425="✓")),"")</f>
        <v/>
      </c>
      <c r="BA3425" s="21" t="str">
        <f>IF($AL3425="","",$AL3425&amp;"|"&amp;COUNTIF($AL$11:$AL3425,$AL3425))</f>
        <v/>
      </c>
    </row>
    <row r="3426" spans="38:53" ht="15" customHeight="1" x14ac:dyDescent="0.25">
      <c r="AL3426" s="31"/>
      <c r="AM3426" s="26"/>
      <c r="AN3426" s="32"/>
      <c r="AO3426" s="32"/>
      <c r="AP3426" s="24"/>
      <c r="AQ3426" s="24"/>
      <c r="AR3426" s="33"/>
      <c r="AS3426" s="34"/>
      <c r="AT3426" s="33"/>
      <c r="AV3426" s="21">
        <f>IF(AND($AL3426&lt;&gt;"",COUNTIF($AL$11:$AL3426,$AL3426)=1),1,0)</f>
        <v>0</v>
      </c>
      <c r="AW3426" s="21">
        <f t="shared" si="193"/>
        <v>0</v>
      </c>
      <c r="AX3426" s="21" t="str">
        <f t="shared" si="192"/>
        <v/>
      </c>
      <c r="AY3426" s="21" t="str">
        <f>IF(AND($AM3426&lt;&gt;"",$AS3426&lt;&gt;"✓"),SUMPRODUCT(($AM$11:$AM3426&lt;&gt;"")*($AS$11:$AS3426&lt;&gt;"✓")),"")</f>
        <v/>
      </c>
      <c r="AZ3426" s="21" t="str">
        <f>IF(AND($AM3426&lt;&gt;"",$AS3426="✓"),SUMPRODUCT(($AM$11:$AM3426&lt;&gt;"")*($AS$11:$AS3426="✓")),"")</f>
        <v/>
      </c>
      <c r="BA3426" s="21" t="str">
        <f>IF($AL3426="","",$AL3426&amp;"|"&amp;COUNTIF($AL$11:$AL3426,$AL3426))</f>
        <v/>
      </c>
    </row>
    <row r="3427" spans="38:53" ht="15" customHeight="1" x14ac:dyDescent="0.25">
      <c r="AL3427" s="17"/>
      <c r="AM3427" s="12"/>
      <c r="AN3427" s="18"/>
      <c r="AO3427" s="18"/>
      <c r="AP3427" s="10"/>
      <c r="AQ3427" s="10"/>
      <c r="AR3427" s="19"/>
      <c r="AS3427" s="20"/>
      <c r="AT3427" s="19"/>
      <c r="AV3427" s="21">
        <f>IF(AND($AL3427&lt;&gt;"",COUNTIF($AL$11:$AL3427,$AL3427)=1),1,0)</f>
        <v>0</v>
      </c>
      <c r="AW3427" s="21">
        <f t="shared" si="193"/>
        <v>0</v>
      </c>
      <c r="AX3427" s="21" t="str">
        <f t="shared" si="192"/>
        <v/>
      </c>
      <c r="AY3427" s="21" t="str">
        <f>IF(AND($AM3427&lt;&gt;"",$AS3427&lt;&gt;"✓"),SUMPRODUCT(($AM$11:$AM3427&lt;&gt;"")*($AS$11:$AS3427&lt;&gt;"✓")),"")</f>
        <v/>
      </c>
      <c r="AZ3427" s="21" t="str">
        <f>IF(AND($AM3427&lt;&gt;"",$AS3427="✓"),SUMPRODUCT(($AM$11:$AM3427&lt;&gt;"")*($AS$11:$AS3427="✓")),"")</f>
        <v/>
      </c>
      <c r="BA3427" s="21" t="str">
        <f>IF($AL3427="","",$AL3427&amp;"|"&amp;COUNTIF($AL$11:$AL3427,$AL3427))</f>
        <v/>
      </c>
    </row>
    <row r="3428" spans="38:53" ht="15" customHeight="1" x14ac:dyDescent="0.25">
      <c r="AL3428" s="31"/>
      <c r="AM3428" s="26"/>
      <c r="AN3428" s="32"/>
      <c r="AO3428" s="32"/>
      <c r="AP3428" s="24"/>
      <c r="AQ3428" s="24"/>
      <c r="AR3428" s="33"/>
      <c r="AS3428" s="34"/>
      <c r="AT3428" s="33"/>
      <c r="AV3428" s="21">
        <f>IF(AND($AL3428&lt;&gt;"",COUNTIF($AL$11:$AL3428,$AL3428)=1),1,0)</f>
        <v>0</v>
      </c>
      <c r="AW3428" s="21">
        <f t="shared" si="193"/>
        <v>0</v>
      </c>
      <c r="AX3428" s="21" t="str">
        <f t="shared" si="192"/>
        <v/>
      </c>
      <c r="AY3428" s="21" t="str">
        <f>IF(AND($AM3428&lt;&gt;"",$AS3428&lt;&gt;"✓"),SUMPRODUCT(($AM$11:$AM3428&lt;&gt;"")*($AS$11:$AS3428&lt;&gt;"✓")),"")</f>
        <v/>
      </c>
      <c r="AZ3428" s="21" t="str">
        <f>IF(AND($AM3428&lt;&gt;"",$AS3428="✓"),SUMPRODUCT(($AM$11:$AM3428&lt;&gt;"")*($AS$11:$AS3428="✓")),"")</f>
        <v/>
      </c>
      <c r="BA3428" s="21" t="str">
        <f>IF($AL3428="","",$AL3428&amp;"|"&amp;COUNTIF($AL$11:$AL3428,$AL3428))</f>
        <v/>
      </c>
    </row>
    <row r="3429" spans="38:53" ht="15" customHeight="1" x14ac:dyDescent="0.25">
      <c r="AL3429" s="17"/>
      <c r="AM3429" s="12"/>
      <c r="AN3429" s="18"/>
      <c r="AO3429" s="18"/>
      <c r="AP3429" s="10"/>
      <c r="AQ3429" s="10"/>
      <c r="AR3429" s="19"/>
      <c r="AS3429" s="20"/>
      <c r="AT3429" s="19"/>
      <c r="AV3429" s="21">
        <f>IF(AND($AL3429&lt;&gt;"",COUNTIF($AL$11:$AL3429,$AL3429)=1),1,0)</f>
        <v>0</v>
      </c>
      <c r="AW3429" s="21">
        <f t="shared" si="193"/>
        <v>0</v>
      </c>
      <c r="AX3429" s="21" t="str">
        <f t="shared" si="192"/>
        <v/>
      </c>
      <c r="AY3429" s="21" t="str">
        <f>IF(AND($AM3429&lt;&gt;"",$AS3429&lt;&gt;"✓"),SUMPRODUCT(($AM$11:$AM3429&lt;&gt;"")*($AS$11:$AS3429&lt;&gt;"✓")),"")</f>
        <v/>
      </c>
      <c r="AZ3429" s="21" t="str">
        <f>IF(AND($AM3429&lt;&gt;"",$AS3429="✓"),SUMPRODUCT(($AM$11:$AM3429&lt;&gt;"")*($AS$11:$AS3429="✓")),"")</f>
        <v/>
      </c>
      <c r="BA3429" s="21" t="str">
        <f>IF($AL3429="","",$AL3429&amp;"|"&amp;COUNTIF($AL$11:$AL3429,$AL3429))</f>
        <v/>
      </c>
    </row>
    <row r="3430" spans="38:53" ht="15" customHeight="1" x14ac:dyDescent="0.25">
      <c r="AL3430" s="31"/>
      <c r="AM3430" s="26"/>
      <c r="AN3430" s="32"/>
      <c r="AO3430" s="32"/>
      <c r="AP3430" s="24"/>
      <c r="AQ3430" s="24"/>
      <c r="AR3430" s="33"/>
      <c r="AS3430" s="34"/>
      <c r="AT3430" s="33"/>
      <c r="AV3430" s="21">
        <f>IF(AND($AL3430&lt;&gt;"",COUNTIF($AL$11:$AL3430,$AL3430)=1),1,0)</f>
        <v>0</v>
      </c>
      <c r="AW3430" s="21">
        <f t="shared" si="193"/>
        <v>0</v>
      </c>
      <c r="AX3430" s="21" t="str">
        <f t="shared" si="192"/>
        <v/>
      </c>
      <c r="AY3430" s="21" t="str">
        <f>IF(AND($AM3430&lt;&gt;"",$AS3430&lt;&gt;"✓"),SUMPRODUCT(($AM$11:$AM3430&lt;&gt;"")*($AS$11:$AS3430&lt;&gt;"✓")),"")</f>
        <v/>
      </c>
      <c r="AZ3430" s="21" t="str">
        <f>IF(AND($AM3430&lt;&gt;"",$AS3430="✓"),SUMPRODUCT(($AM$11:$AM3430&lt;&gt;"")*($AS$11:$AS3430="✓")),"")</f>
        <v/>
      </c>
      <c r="BA3430" s="21" t="str">
        <f>IF($AL3430="","",$AL3430&amp;"|"&amp;COUNTIF($AL$11:$AL3430,$AL3430))</f>
        <v/>
      </c>
    </row>
    <row r="3431" spans="38:53" ht="15" customHeight="1" x14ac:dyDescent="0.25">
      <c r="AL3431" s="17"/>
      <c r="AM3431" s="12"/>
      <c r="AN3431" s="18"/>
      <c r="AO3431" s="18"/>
      <c r="AP3431" s="10"/>
      <c r="AQ3431" s="10"/>
      <c r="AR3431" s="19"/>
      <c r="AS3431" s="20"/>
      <c r="AT3431" s="19"/>
      <c r="AV3431" s="21">
        <f>IF(AND($AL3431&lt;&gt;"",COUNTIF($AL$11:$AL3431,$AL3431)=1),1,0)</f>
        <v>0</v>
      </c>
      <c r="AW3431" s="21">
        <f t="shared" si="193"/>
        <v>0</v>
      </c>
      <c r="AX3431" s="21" t="str">
        <f t="shared" si="192"/>
        <v/>
      </c>
      <c r="AY3431" s="21" t="str">
        <f>IF(AND($AM3431&lt;&gt;"",$AS3431&lt;&gt;"✓"),SUMPRODUCT(($AM$11:$AM3431&lt;&gt;"")*($AS$11:$AS3431&lt;&gt;"✓")),"")</f>
        <v/>
      </c>
      <c r="AZ3431" s="21" t="str">
        <f>IF(AND($AM3431&lt;&gt;"",$AS3431="✓"),SUMPRODUCT(($AM$11:$AM3431&lt;&gt;"")*($AS$11:$AS3431="✓")),"")</f>
        <v/>
      </c>
      <c r="BA3431" s="21" t="str">
        <f>IF($AL3431="","",$AL3431&amp;"|"&amp;COUNTIF($AL$11:$AL3431,$AL3431))</f>
        <v/>
      </c>
    </row>
    <row r="3432" spans="38:53" ht="15" customHeight="1" x14ac:dyDescent="0.25">
      <c r="AL3432" s="31"/>
      <c r="AM3432" s="26"/>
      <c r="AN3432" s="32"/>
      <c r="AO3432" s="32"/>
      <c r="AP3432" s="24"/>
      <c r="AQ3432" s="24"/>
      <c r="AR3432" s="33"/>
      <c r="AS3432" s="34"/>
      <c r="AT3432" s="33"/>
      <c r="AV3432" s="21">
        <f>IF(AND($AL3432&lt;&gt;"",COUNTIF($AL$11:$AL3432,$AL3432)=1),1,0)</f>
        <v>0</v>
      </c>
      <c r="AW3432" s="21">
        <f t="shared" si="193"/>
        <v>0</v>
      </c>
      <c r="AX3432" s="21" t="str">
        <f t="shared" si="192"/>
        <v/>
      </c>
      <c r="AY3432" s="21" t="str">
        <f>IF(AND($AM3432&lt;&gt;"",$AS3432&lt;&gt;"✓"),SUMPRODUCT(($AM$11:$AM3432&lt;&gt;"")*($AS$11:$AS3432&lt;&gt;"✓")),"")</f>
        <v/>
      </c>
      <c r="AZ3432" s="21" t="str">
        <f>IF(AND($AM3432&lt;&gt;"",$AS3432="✓"),SUMPRODUCT(($AM$11:$AM3432&lt;&gt;"")*($AS$11:$AS3432="✓")),"")</f>
        <v/>
      </c>
      <c r="BA3432" s="21" t="str">
        <f>IF($AL3432="","",$AL3432&amp;"|"&amp;COUNTIF($AL$11:$AL3432,$AL3432))</f>
        <v/>
      </c>
    </row>
    <row r="3433" spans="38:53" ht="15" customHeight="1" x14ac:dyDescent="0.25">
      <c r="AL3433" s="17"/>
      <c r="AM3433" s="12"/>
      <c r="AN3433" s="18"/>
      <c r="AO3433" s="18"/>
      <c r="AP3433" s="10"/>
      <c r="AQ3433" s="10"/>
      <c r="AR3433" s="19"/>
      <c r="AS3433" s="20"/>
      <c r="AT3433" s="19"/>
      <c r="AV3433" s="21">
        <f>IF(AND($AL3433&lt;&gt;"",COUNTIF($AL$11:$AL3433,$AL3433)=1),1,0)</f>
        <v>0</v>
      </c>
      <c r="AW3433" s="21">
        <f t="shared" si="193"/>
        <v>0</v>
      </c>
      <c r="AX3433" s="21" t="str">
        <f t="shared" si="192"/>
        <v/>
      </c>
      <c r="AY3433" s="21" t="str">
        <f>IF(AND($AM3433&lt;&gt;"",$AS3433&lt;&gt;"✓"),SUMPRODUCT(($AM$11:$AM3433&lt;&gt;"")*($AS$11:$AS3433&lt;&gt;"✓")),"")</f>
        <v/>
      </c>
      <c r="AZ3433" s="21" t="str">
        <f>IF(AND($AM3433&lt;&gt;"",$AS3433="✓"),SUMPRODUCT(($AM$11:$AM3433&lt;&gt;"")*($AS$11:$AS3433="✓")),"")</f>
        <v/>
      </c>
      <c r="BA3433" s="21" t="str">
        <f>IF($AL3433="","",$AL3433&amp;"|"&amp;COUNTIF($AL$11:$AL3433,$AL3433))</f>
        <v/>
      </c>
    </row>
    <row r="3434" spans="38:53" ht="15" customHeight="1" x14ac:dyDescent="0.25">
      <c r="AL3434" s="31"/>
      <c r="AM3434" s="26"/>
      <c r="AN3434" s="32"/>
      <c r="AO3434" s="32"/>
      <c r="AP3434" s="24"/>
      <c r="AQ3434" s="24"/>
      <c r="AR3434" s="33"/>
      <c r="AS3434" s="34"/>
      <c r="AT3434" s="33"/>
      <c r="AV3434" s="21">
        <f>IF(AND($AL3434&lt;&gt;"",COUNTIF($AL$11:$AL3434,$AL3434)=1),1,0)</f>
        <v>0</v>
      </c>
      <c r="AW3434" s="21">
        <f t="shared" si="193"/>
        <v>0</v>
      </c>
      <c r="AX3434" s="21" t="str">
        <f t="shared" si="192"/>
        <v/>
      </c>
      <c r="AY3434" s="21" t="str">
        <f>IF(AND($AM3434&lt;&gt;"",$AS3434&lt;&gt;"✓"),SUMPRODUCT(($AM$11:$AM3434&lt;&gt;"")*($AS$11:$AS3434&lt;&gt;"✓")),"")</f>
        <v/>
      </c>
      <c r="AZ3434" s="21" t="str">
        <f>IF(AND($AM3434&lt;&gt;"",$AS3434="✓"),SUMPRODUCT(($AM$11:$AM3434&lt;&gt;"")*($AS$11:$AS3434="✓")),"")</f>
        <v/>
      </c>
      <c r="BA3434" s="21" t="str">
        <f>IF($AL3434="","",$AL3434&amp;"|"&amp;COUNTIF($AL$11:$AL3434,$AL3434))</f>
        <v/>
      </c>
    </row>
    <row r="3435" spans="38:53" ht="15" customHeight="1" x14ac:dyDescent="0.25">
      <c r="AL3435" s="17"/>
      <c r="AM3435" s="12"/>
      <c r="AN3435" s="18"/>
      <c r="AO3435" s="18"/>
      <c r="AP3435" s="10"/>
      <c r="AQ3435" s="10"/>
      <c r="AR3435" s="19"/>
      <c r="AS3435" s="20"/>
      <c r="AT3435" s="19"/>
      <c r="AV3435" s="21">
        <f>IF(AND($AL3435&lt;&gt;"",COUNTIF($AL$11:$AL3435,$AL3435)=1),1,0)</f>
        <v>0</v>
      </c>
      <c r="AW3435" s="21">
        <f t="shared" si="193"/>
        <v>0</v>
      </c>
      <c r="AX3435" s="21" t="str">
        <f t="shared" si="192"/>
        <v/>
      </c>
      <c r="AY3435" s="21" t="str">
        <f>IF(AND($AM3435&lt;&gt;"",$AS3435&lt;&gt;"✓"),SUMPRODUCT(($AM$11:$AM3435&lt;&gt;"")*($AS$11:$AS3435&lt;&gt;"✓")),"")</f>
        <v/>
      </c>
      <c r="AZ3435" s="21" t="str">
        <f>IF(AND($AM3435&lt;&gt;"",$AS3435="✓"),SUMPRODUCT(($AM$11:$AM3435&lt;&gt;"")*($AS$11:$AS3435="✓")),"")</f>
        <v/>
      </c>
      <c r="BA3435" s="21" t="str">
        <f>IF($AL3435="","",$AL3435&amp;"|"&amp;COUNTIF($AL$11:$AL3435,$AL3435))</f>
        <v/>
      </c>
    </row>
    <row r="3436" spans="38:53" ht="15" customHeight="1" x14ac:dyDescent="0.25">
      <c r="AL3436" s="31"/>
      <c r="AM3436" s="26"/>
      <c r="AN3436" s="32"/>
      <c r="AO3436" s="32"/>
      <c r="AP3436" s="24"/>
      <c r="AQ3436" s="24"/>
      <c r="AR3436" s="33"/>
      <c r="AS3436" s="34"/>
      <c r="AT3436" s="33"/>
      <c r="AV3436" s="21">
        <f>IF(AND($AL3436&lt;&gt;"",COUNTIF($AL$11:$AL3436,$AL3436)=1),1,0)</f>
        <v>0</v>
      </c>
      <c r="AW3436" s="21">
        <f t="shared" si="193"/>
        <v>0</v>
      </c>
      <c r="AX3436" s="21" t="str">
        <f t="shared" si="192"/>
        <v/>
      </c>
      <c r="AY3436" s="21" t="str">
        <f>IF(AND($AM3436&lt;&gt;"",$AS3436&lt;&gt;"✓"),SUMPRODUCT(($AM$11:$AM3436&lt;&gt;"")*($AS$11:$AS3436&lt;&gt;"✓")),"")</f>
        <v/>
      </c>
      <c r="AZ3436" s="21" t="str">
        <f>IF(AND($AM3436&lt;&gt;"",$AS3436="✓"),SUMPRODUCT(($AM$11:$AM3436&lt;&gt;"")*($AS$11:$AS3436="✓")),"")</f>
        <v/>
      </c>
      <c r="BA3436" s="21" t="str">
        <f>IF($AL3436="","",$AL3436&amp;"|"&amp;COUNTIF($AL$11:$AL3436,$AL3436))</f>
        <v/>
      </c>
    </row>
    <row r="3437" spans="38:53" ht="15" customHeight="1" x14ac:dyDescent="0.25">
      <c r="AL3437" s="17"/>
      <c r="AM3437" s="12"/>
      <c r="AN3437" s="18"/>
      <c r="AO3437" s="18"/>
      <c r="AP3437" s="10"/>
      <c r="AQ3437" s="10"/>
      <c r="AR3437" s="19"/>
      <c r="AS3437" s="20"/>
      <c r="AT3437" s="19"/>
      <c r="AV3437" s="21">
        <f>IF(AND($AL3437&lt;&gt;"",COUNTIF($AL$11:$AL3437,$AL3437)=1),1,0)</f>
        <v>0</v>
      </c>
      <c r="AW3437" s="21">
        <f t="shared" si="193"/>
        <v>0</v>
      </c>
      <c r="AX3437" s="21" t="str">
        <f t="shared" si="192"/>
        <v/>
      </c>
      <c r="AY3437" s="21" t="str">
        <f>IF(AND($AM3437&lt;&gt;"",$AS3437&lt;&gt;"✓"),SUMPRODUCT(($AM$11:$AM3437&lt;&gt;"")*($AS$11:$AS3437&lt;&gt;"✓")),"")</f>
        <v/>
      </c>
      <c r="AZ3437" s="21" t="str">
        <f>IF(AND($AM3437&lt;&gt;"",$AS3437="✓"),SUMPRODUCT(($AM$11:$AM3437&lt;&gt;"")*($AS$11:$AS3437="✓")),"")</f>
        <v/>
      </c>
      <c r="BA3437" s="21" t="str">
        <f>IF($AL3437="","",$AL3437&amp;"|"&amp;COUNTIF($AL$11:$AL3437,$AL3437))</f>
        <v/>
      </c>
    </row>
    <row r="3438" spans="38:53" ht="15" customHeight="1" x14ac:dyDescent="0.25">
      <c r="AL3438" s="31"/>
      <c r="AM3438" s="26"/>
      <c r="AN3438" s="32"/>
      <c r="AO3438" s="32"/>
      <c r="AP3438" s="24"/>
      <c r="AQ3438" s="24"/>
      <c r="AR3438" s="33"/>
      <c r="AS3438" s="34"/>
      <c r="AT3438" s="33"/>
      <c r="AV3438" s="21">
        <f>IF(AND($AL3438&lt;&gt;"",COUNTIF($AL$11:$AL3438,$AL3438)=1),1,0)</f>
        <v>0</v>
      </c>
      <c r="AW3438" s="21">
        <f t="shared" si="193"/>
        <v>0</v>
      </c>
      <c r="AX3438" s="21" t="str">
        <f t="shared" si="192"/>
        <v/>
      </c>
      <c r="AY3438" s="21" t="str">
        <f>IF(AND($AM3438&lt;&gt;"",$AS3438&lt;&gt;"✓"),SUMPRODUCT(($AM$11:$AM3438&lt;&gt;"")*($AS$11:$AS3438&lt;&gt;"✓")),"")</f>
        <v/>
      </c>
      <c r="AZ3438" s="21" t="str">
        <f>IF(AND($AM3438&lt;&gt;"",$AS3438="✓"),SUMPRODUCT(($AM$11:$AM3438&lt;&gt;"")*($AS$11:$AS3438="✓")),"")</f>
        <v/>
      </c>
      <c r="BA3438" s="21" t="str">
        <f>IF($AL3438="","",$AL3438&amp;"|"&amp;COUNTIF($AL$11:$AL3438,$AL3438))</f>
        <v/>
      </c>
    </row>
    <row r="3439" spans="38:53" ht="15" customHeight="1" x14ac:dyDescent="0.25">
      <c r="AL3439" s="17"/>
      <c r="AM3439" s="12"/>
      <c r="AN3439" s="18"/>
      <c r="AO3439" s="18"/>
      <c r="AP3439" s="10"/>
      <c r="AQ3439" s="10"/>
      <c r="AR3439" s="19"/>
      <c r="AS3439" s="20"/>
      <c r="AT3439" s="19"/>
      <c r="AV3439" s="21">
        <f>IF(AND($AL3439&lt;&gt;"",COUNTIF($AL$11:$AL3439,$AL3439)=1),1,0)</f>
        <v>0</v>
      </c>
      <c r="AW3439" s="21">
        <f t="shared" si="193"/>
        <v>0</v>
      </c>
      <c r="AX3439" s="21" t="str">
        <f t="shared" si="192"/>
        <v/>
      </c>
      <c r="AY3439" s="21" t="str">
        <f>IF(AND($AM3439&lt;&gt;"",$AS3439&lt;&gt;"✓"),SUMPRODUCT(($AM$11:$AM3439&lt;&gt;"")*($AS$11:$AS3439&lt;&gt;"✓")),"")</f>
        <v/>
      </c>
      <c r="AZ3439" s="21" t="str">
        <f>IF(AND($AM3439&lt;&gt;"",$AS3439="✓"),SUMPRODUCT(($AM$11:$AM3439&lt;&gt;"")*($AS$11:$AS3439="✓")),"")</f>
        <v/>
      </c>
      <c r="BA3439" s="21" t="str">
        <f>IF($AL3439="","",$AL3439&amp;"|"&amp;COUNTIF($AL$11:$AL3439,$AL3439))</f>
        <v/>
      </c>
    </row>
    <row r="3440" spans="38:53" ht="15" customHeight="1" x14ac:dyDescent="0.25">
      <c r="AL3440" s="31"/>
      <c r="AM3440" s="26"/>
      <c r="AN3440" s="32"/>
      <c r="AO3440" s="32"/>
      <c r="AP3440" s="24"/>
      <c r="AQ3440" s="24"/>
      <c r="AR3440" s="33"/>
      <c r="AS3440" s="34"/>
      <c r="AT3440" s="33"/>
      <c r="AV3440" s="21">
        <f>IF(AND($AL3440&lt;&gt;"",COUNTIF($AL$11:$AL3440,$AL3440)=1),1,0)</f>
        <v>0</v>
      </c>
      <c r="AW3440" s="21">
        <f t="shared" si="193"/>
        <v>0</v>
      </c>
      <c r="AX3440" s="21" t="str">
        <f t="shared" si="192"/>
        <v/>
      </c>
      <c r="AY3440" s="21" t="str">
        <f>IF(AND($AM3440&lt;&gt;"",$AS3440&lt;&gt;"✓"),SUMPRODUCT(($AM$11:$AM3440&lt;&gt;"")*($AS$11:$AS3440&lt;&gt;"✓")),"")</f>
        <v/>
      </c>
      <c r="AZ3440" s="21" t="str">
        <f>IF(AND($AM3440&lt;&gt;"",$AS3440="✓"),SUMPRODUCT(($AM$11:$AM3440&lt;&gt;"")*($AS$11:$AS3440="✓")),"")</f>
        <v/>
      </c>
      <c r="BA3440" s="21" t="str">
        <f>IF($AL3440="","",$AL3440&amp;"|"&amp;COUNTIF($AL$11:$AL3440,$AL3440))</f>
        <v/>
      </c>
    </row>
    <row r="3441" spans="38:53" ht="15" customHeight="1" x14ac:dyDescent="0.25">
      <c r="AL3441" s="17"/>
      <c r="AM3441" s="12"/>
      <c r="AN3441" s="18"/>
      <c r="AO3441" s="18"/>
      <c r="AP3441" s="10"/>
      <c r="AQ3441" s="10"/>
      <c r="AR3441" s="19"/>
      <c r="AS3441" s="20"/>
      <c r="AT3441" s="19"/>
      <c r="AV3441" s="21">
        <f>IF(AND($AL3441&lt;&gt;"",COUNTIF($AL$11:$AL3441,$AL3441)=1),1,0)</f>
        <v>0</v>
      </c>
      <c r="AW3441" s="21">
        <f t="shared" si="193"/>
        <v>0</v>
      </c>
      <c r="AX3441" s="21" t="str">
        <f t="shared" si="192"/>
        <v/>
      </c>
      <c r="AY3441" s="21" t="str">
        <f>IF(AND($AM3441&lt;&gt;"",$AS3441&lt;&gt;"✓"),SUMPRODUCT(($AM$11:$AM3441&lt;&gt;"")*($AS$11:$AS3441&lt;&gt;"✓")),"")</f>
        <v/>
      </c>
      <c r="AZ3441" s="21" t="str">
        <f>IF(AND($AM3441&lt;&gt;"",$AS3441="✓"),SUMPRODUCT(($AM$11:$AM3441&lt;&gt;"")*($AS$11:$AS3441="✓")),"")</f>
        <v/>
      </c>
      <c r="BA3441" s="21" t="str">
        <f>IF($AL3441="","",$AL3441&amp;"|"&amp;COUNTIF($AL$11:$AL3441,$AL3441))</f>
        <v/>
      </c>
    </row>
    <row r="3442" spans="38:53" ht="15" customHeight="1" x14ac:dyDescent="0.25">
      <c r="AL3442" s="31"/>
      <c r="AM3442" s="26"/>
      <c r="AN3442" s="32"/>
      <c r="AO3442" s="32"/>
      <c r="AP3442" s="24"/>
      <c r="AQ3442" s="24"/>
      <c r="AR3442" s="33"/>
      <c r="AS3442" s="34"/>
      <c r="AT3442" s="33"/>
      <c r="AV3442" s="21">
        <f>IF(AND($AL3442&lt;&gt;"",COUNTIF($AL$11:$AL3442,$AL3442)=1),1,0)</f>
        <v>0</v>
      </c>
      <c r="AW3442" s="21">
        <f t="shared" si="193"/>
        <v>0</v>
      </c>
      <c r="AX3442" s="21" t="str">
        <f t="shared" si="192"/>
        <v/>
      </c>
      <c r="AY3442" s="21" t="str">
        <f>IF(AND($AM3442&lt;&gt;"",$AS3442&lt;&gt;"✓"),SUMPRODUCT(($AM$11:$AM3442&lt;&gt;"")*($AS$11:$AS3442&lt;&gt;"✓")),"")</f>
        <v/>
      </c>
      <c r="AZ3442" s="21" t="str">
        <f>IF(AND($AM3442&lt;&gt;"",$AS3442="✓"),SUMPRODUCT(($AM$11:$AM3442&lt;&gt;"")*($AS$11:$AS3442="✓")),"")</f>
        <v/>
      </c>
      <c r="BA3442" s="21" t="str">
        <f>IF($AL3442="","",$AL3442&amp;"|"&amp;COUNTIF($AL$11:$AL3442,$AL3442))</f>
        <v/>
      </c>
    </row>
    <row r="3443" spans="38:53" ht="15" customHeight="1" x14ac:dyDescent="0.25">
      <c r="AL3443" s="17"/>
      <c r="AM3443" s="12"/>
      <c r="AN3443" s="18"/>
      <c r="AO3443" s="18"/>
      <c r="AP3443" s="10"/>
      <c r="AQ3443" s="10"/>
      <c r="AR3443" s="19"/>
      <c r="AS3443" s="20"/>
      <c r="AT3443" s="19"/>
      <c r="AV3443" s="21">
        <f>IF(AND($AL3443&lt;&gt;"",COUNTIF($AL$11:$AL3443,$AL3443)=1),1,0)</f>
        <v>0</v>
      </c>
      <c r="AW3443" s="21">
        <f t="shared" si="193"/>
        <v>0</v>
      </c>
      <c r="AX3443" s="21" t="str">
        <f t="shared" si="192"/>
        <v/>
      </c>
      <c r="AY3443" s="21" t="str">
        <f>IF(AND($AM3443&lt;&gt;"",$AS3443&lt;&gt;"✓"),SUMPRODUCT(($AM$11:$AM3443&lt;&gt;"")*($AS$11:$AS3443&lt;&gt;"✓")),"")</f>
        <v/>
      </c>
      <c r="AZ3443" s="21" t="str">
        <f>IF(AND($AM3443&lt;&gt;"",$AS3443="✓"),SUMPRODUCT(($AM$11:$AM3443&lt;&gt;"")*($AS$11:$AS3443="✓")),"")</f>
        <v/>
      </c>
      <c r="BA3443" s="21" t="str">
        <f>IF($AL3443="","",$AL3443&amp;"|"&amp;COUNTIF($AL$11:$AL3443,$AL3443))</f>
        <v/>
      </c>
    </row>
    <row r="3444" spans="38:53" ht="15" customHeight="1" x14ac:dyDescent="0.25">
      <c r="AL3444" s="31"/>
      <c r="AM3444" s="26"/>
      <c r="AN3444" s="32"/>
      <c r="AO3444" s="32"/>
      <c r="AP3444" s="24"/>
      <c r="AQ3444" s="24"/>
      <c r="AR3444" s="33"/>
      <c r="AS3444" s="34"/>
      <c r="AT3444" s="33"/>
      <c r="AV3444" s="21">
        <f>IF(AND($AL3444&lt;&gt;"",COUNTIF($AL$11:$AL3444,$AL3444)=1),1,0)</f>
        <v>0</v>
      </c>
      <c r="AW3444" s="21">
        <f t="shared" si="193"/>
        <v>0</v>
      </c>
      <c r="AX3444" s="21" t="str">
        <f t="shared" si="192"/>
        <v/>
      </c>
      <c r="AY3444" s="21" t="str">
        <f>IF(AND($AM3444&lt;&gt;"",$AS3444&lt;&gt;"✓"),SUMPRODUCT(($AM$11:$AM3444&lt;&gt;"")*($AS$11:$AS3444&lt;&gt;"✓")),"")</f>
        <v/>
      </c>
      <c r="AZ3444" s="21" t="str">
        <f>IF(AND($AM3444&lt;&gt;"",$AS3444="✓"),SUMPRODUCT(($AM$11:$AM3444&lt;&gt;"")*($AS$11:$AS3444="✓")),"")</f>
        <v/>
      </c>
      <c r="BA3444" s="21" t="str">
        <f>IF($AL3444="","",$AL3444&amp;"|"&amp;COUNTIF($AL$11:$AL3444,$AL3444))</f>
        <v/>
      </c>
    </row>
    <row r="3445" spans="38:53" ht="15" customHeight="1" x14ac:dyDescent="0.25">
      <c r="AL3445" s="17"/>
      <c r="AM3445" s="12"/>
      <c r="AN3445" s="18"/>
      <c r="AO3445" s="18"/>
      <c r="AP3445" s="10"/>
      <c r="AQ3445" s="10"/>
      <c r="AR3445" s="19"/>
      <c r="AS3445" s="20"/>
      <c r="AT3445" s="19"/>
      <c r="AV3445" s="21">
        <f>IF(AND($AL3445&lt;&gt;"",COUNTIF($AL$11:$AL3445,$AL3445)=1),1,0)</f>
        <v>0</v>
      </c>
      <c r="AW3445" s="21">
        <f t="shared" si="193"/>
        <v>0</v>
      </c>
      <c r="AX3445" s="21" t="str">
        <f t="shared" si="192"/>
        <v/>
      </c>
      <c r="AY3445" s="21" t="str">
        <f>IF(AND($AM3445&lt;&gt;"",$AS3445&lt;&gt;"✓"),SUMPRODUCT(($AM$11:$AM3445&lt;&gt;"")*($AS$11:$AS3445&lt;&gt;"✓")),"")</f>
        <v/>
      </c>
      <c r="AZ3445" s="21" t="str">
        <f>IF(AND($AM3445&lt;&gt;"",$AS3445="✓"),SUMPRODUCT(($AM$11:$AM3445&lt;&gt;"")*($AS$11:$AS3445="✓")),"")</f>
        <v/>
      </c>
      <c r="BA3445" s="21" t="str">
        <f>IF($AL3445="","",$AL3445&amp;"|"&amp;COUNTIF($AL$11:$AL3445,$AL3445))</f>
        <v/>
      </c>
    </row>
    <row r="3446" spans="38:53" ht="15" customHeight="1" x14ac:dyDescent="0.25">
      <c r="AL3446" s="31"/>
      <c r="AM3446" s="26"/>
      <c r="AN3446" s="32"/>
      <c r="AO3446" s="32"/>
      <c r="AP3446" s="24"/>
      <c r="AQ3446" s="24"/>
      <c r="AR3446" s="33"/>
      <c r="AS3446" s="34"/>
      <c r="AT3446" s="33"/>
      <c r="AV3446" s="21">
        <f>IF(AND($AL3446&lt;&gt;"",COUNTIF($AL$11:$AL3446,$AL3446)=1),1,0)</f>
        <v>0</v>
      </c>
      <c r="AW3446" s="21">
        <f t="shared" si="193"/>
        <v>0</v>
      </c>
      <c r="AX3446" s="21" t="str">
        <f t="shared" si="192"/>
        <v/>
      </c>
      <c r="AY3446" s="21" t="str">
        <f>IF(AND($AM3446&lt;&gt;"",$AS3446&lt;&gt;"✓"),SUMPRODUCT(($AM$11:$AM3446&lt;&gt;"")*($AS$11:$AS3446&lt;&gt;"✓")),"")</f>
        <v/>
      </c>
      <c r="AZ3446" s="21" t="str">
        <f>IF(AND($AM3446&lt;&gt;"",$AS3446="✓"),SUMPRODUCT(($AM$11:$AM3446&lt;&gt;"")*($AS$11:$AS3446="✓")),"")</f>
        <v/>
      </c>
      <c r="BA3446" s="21" t="str">
        <f>IF($AL3446="","",$AL3446&amp;"|"&amp;COUNTIF($AL$11:$AL3446,$AL3446))</f>
        <v/>
      </c>
    </row>
    <row r="3447" spans="38:53" ht="15" customHeight="1" x14ac:dyDescent="0.25">
      <c r="AL3447" s="17"/>
      <c r="AM3447" s="12"/>
      <c r="AN3447" s="18"/>
      <c r="AO3447" s="18"/>
      <c r="AP3447" s="10"/>
      <c r="AQ3447" s="10"/>
      <c r="AR3447" s="19"/>
      <c r="AS3447" s="20"/>
      <c r="AT3447" s="19"/>
      <c r="AV3447" s="21">
        <f>IF(AND($AL3447&lt;&gt;"",COUNTIF($AL$11:$AL3447,$AL3447)=1),1,0)</f>
        <v>0</v>
      </c>
      <c r="AW3447" s="21">
        <f t="shared" si="193"/>
        <v>0</v>
      </c>
      <c r="AX3447" s="21" t="str">
        <f t="shared" si="192"/>
        <v/>
      </c>
      <c r="AY3447" s="21" t="str">
        <f>IF(AND($AM3447&lt;&gt;"",$AS3447&lt;&gt;"✓"),SUMPRODUCT(($AM$11:$AM3447&lt;&gt;"")*($AS$11:$AS3447&lt;&gt;"✓")),"")</f>
        <v/>
      </c>
      <c r="AZ3447" s="21" t="str">
        <f>IF(AND($AM3447&lt;&gt;"",$AS3447="✓"),SUMPRODUCT(($AM$11:$AM3447&lt;&gt;"")*($AS$11:$AS3447="✓")),"")</f>
        <v/>
      </c>
      <c r="BA3447" s="21" t="str">
        <f>IF($AL3447="","",$AL3447&amp;"|"&amp;COUNTIF($AL$11:$AL3447,$AL3447))</f>
        <v/>
      </c>
    </row>
    <row r="3448" spans="38:53" ht="15" customHeight="1" x14ac:dyDescent="0.25">
      <c r="AL3448" s="31"/>
      <c r="AM3448" s="26"/>
      <c r="AN3448" s="32"/>
      <c r="AO3448" s="32"/>
      <c r="AP3448" s="24"/>
      <c r="AQ3448" s="24"/>
      <c r="AR3448" s="33"/>
      <c r="AS3448" s="34"/>
      <c r="AT3448" s="33"/>
      <c r="AV3448" s="21">
        <f>IF(AND($AL3448&lt;&gt;"",COUNTIF($AL$11:$AL3448,$AL3448)=1),1,0)</f>
        <v>0</v>
      </c>
      <c r="AW3448" s="21">
        <f t="shared" si="193"/>
        <v>0</v>
      </c>
      <c r="AX3448" s="21" t="str">
        <f t="shared" si="192"/>
        <v/>
      </c>
      <c r="AY3448" s="21" t="str">
        <f>IF(AND($AM3448&lt;&gt;"",$AS3448&lt;&gt;"✓"),SUMPRODUCT(($AM$11:$AM3448&lt;&gt;"")*($AS$11:$AS3448&lt;&gt;"✓")),"")</f>
        <v/>
      </c>
      <c r="AZ3448" s="21" t="str">
        <f>IF(AND($AM3448&lt;&gt;"",$AS3448="✓"),SUMPRODUCT(($AM$11:$AM3448&lt;&gt;"")*($AS$11:$AS3448="✓")),"")</f>
        <v/>
      </c>
      <c r="BA3448" s="21" t="str">
        <f>IF($AL3448="","",$AL3448&amp;"|"&amp;COUNTIF($AL$11:$AL3448,$AL3448))</f>
        <v/>
      </c>
    </row>
    <row r="3449" spans="38:53" ht="15" customHeight="1" x14ac:dyDescent="0.25">
      <c r="AL3449" s="17"/>
      <c r="AM3449" s="12"/>
      <c r="AN3449" s="18"/>
      <c r="AO3449" s="18"/>
      <c r="AP3449" s="10"/>
      <c r="AQ3449" s="10"/>
      <c r="AR3449" s="19"/>
      <c r="AS3449" s="20"/>
      <c r="AT3449" s="19"/>
      <c r="AV3449" s="21">
        <f>IF(AND($AL3449&lt;&gt;"",COUNTIF($AL$11:$AL3449,$AL3449)=1),1,0)</f>
        <v>0</v>
      </c>
      <c r="AW3449" s="21">
        <f t="shared" si="193"/>
        <v>0</v>
      </c>
      <c r="AX3449" s="21" t="str">
        <f t="shared" si="192"/>
        <v/>
      </c>
      <c r="AY3449" s="21" t="str">
        <f>IF(AND($AM3449&lt;&gt;"",$AS3449&lt;&gt;"✓"),SUMPRODUCT(($AM$11:$AM3449&lt;&gt;"")*($AS$11:$AS3449&lt;&gt;"✓")),"")</f>
        <v/>
      </c>
      <c r="AZ3449" s="21" t="str">
        <f>IF(AND($AM3449&lt;&gt;"",$AS3449="✓"),SUMPRODUCT(($AM$11:$AM3449&lt;&gt;"")*($AS$11:$AS3449="✓")),"")</f>
        <v/>
      </c>
      <c r="BA3449" s="21" t="str">
        <f>IF($AL3449="","",$AL3449&amp;"|"&amp;COUNTIF($AL$11:$AL3449,$AL3449))</f>
        <v/>
      </c>
    </row>
    <row r="3450" spans="38:53" ht="15" customHeight="1" x14ac:dyDescent="0.25">
      <c r="AL3450" s="31"/>
      <c r="AM3450" s="26"/>
      <c r="AN3450" s="32"/>
      <c r="AO3450" s="32"/>
      <c r="AP3450" s="24"/>
      <c r="AQ3450" s="24"/>
      <c r="AR3450" s="33"/>
      <c r="AS3450" s="34"/>
      <c r="AT3450" s="33"/>
      <c r="AV3450" s="21">
        <f>IF(AND($AL3450&lt;&gt;"",COUNTIF($AL$11:$AL3450,$AL3450)=1),1,0)</f>
        <v>0</v>
      </c>
      <c r="AW3450" s="21">
        <f t="shared" si="193"/>
        <v>0</v>
      </c>
      <c r="AX3450" s="21" t="str">
        <f t="shared" si="192"/>
        <v/>
      </c>
      <c r="AY3450" s="21" t="str">
        <f>IF(AND($AM3450&lt;&gt;"",$AS3450&lt;&gt;"✓"),SUMPRODUCT(($AM$11:$AM3450&lt;&gt;"")*($AS$11:$AS3450&lt;&gt;"✓")),"")</f>
        <v/>
      </c>
      <c r="AZ3450" s="21" t="str">
        <f>IF(AND($AM3450&lt;&gt;"",$AS3450="✓"),SUMPRODUCT(($AM$11:$AM3450&lt;&gt;"")*($AS$11:$AS3450="✓")),"")</f>
        <v/>
      </c>
      <c r="BA3450" s="21" t="str">
        <f>IF($AL3450="","",$AL3450&amp;"|"&amp;COUNTIF($AL$11:$AL3450,$AL3450))</f>
        <v/>
      </c>
    </row>
    <row r="3451" spans="38:53" ht="15" customHeight="1" x14ac:dyDescent="0.25">
      <c r="AL3451" s="17"/>
      <c r="AM3451" s="12"/>
      <c r="AN3451" s="18"/>
      <c r="AO3451" s="18"/>
      <c r="AP3451" s="10"/>
      <c r="AQ3451" s="10"/>
      <c r="AR3451" s="19"/>
      <c r="AS3451" s="20"/>
      <c r="AT3451" s="19"/>
      <c r="AV3451" s="21">
        <f>IF(AND($AL3451&lt;&gt;"",COUNTIF($AL$11:$AL3451,$AL3451)=1),1,0)</f>
        <v>0</v>
      </c>
      <c r="AW3451" s="21">
        <f t="shared" si="193"/>
        <v>0</v>
      </c>
      <c r="AX3451" s="21" t="str">
        <f t="shared" si="192"/>
        <v/>
      </c>
      <c r="AY3451" s="21" t="str">
        <f>IF(AND($AM3451&lt;&gt;"",$AS3451&lt;&gt;"✓"),SUMPRODUCT(($AM$11:$AM3451&lt;&gt;"")*($AS$11:$AS3451&lt;&gt;"✓")),"")</f>
        <v/>
      </c>
      <c r="AZ3451" s="21" t="str">
        <f>IF(AND($AM3451&lt;&gt;"",$AS3451="✓"),SUMPRODUCT(($AM$11:$AM3451&lt;&gt;"")*($AS$11:$AS3451="✓")),"")</f>
        <v/>
      </c>
      <c r="BA3451" s="21" t="str">
        <f>IF($AL3451="","",$AL3451&amp;"|"&amp;COUNTIF($AL$11:$AL3451,$AL3451))</f>
        <v/>
      </c>
    </row>
    <row r="3452" spans="38:53" ht="15" customHeight="1" x14ac:dyDescent="0.25">
      <c r="AL3452" s="31"/>
      <c r="AM3452" s="26"/>
      <c r="AN3452" s="32"/>
      <c r="AO3452" s="32"/>
      <c r="AP3452" s="24"/>
      <c r="AQ3452" s="24"/>
      <c r="AR3452" s="33"/>
      <c r="AS3452" s="34"/>
      <c r="AT3452" s="33"/>
      <c r="AV3452" s="21">
        <f>IF(AND($AL3452&lt;&gt;"",COUNTIF($AL$11:$AL3452,$AL3452)=1),1,0)</f>
        <v>0</v>
      </c>
      <c r="AW3452" s="21">
        <f t="shared" si="193"/>
        <v>0</v>
      </c>
      <c r="AX3452" s="21" t="str">
        <f t="shared" si="192"/>
        <v/>
      </c>
      <c r="AY3452" s="21" t="str">
        <f>IF(AND($AM3452&lt;&gt;"",$AS3452&lt;&gt;"✓"),SUMPRODUCT(($AM$11:$AM3452&lt;&gt;"")*($AS$11:$AS3452&lt;&gt;"✓")),"")</f>
        <v/>
      </c>
      <c r="AZ3452" s="21" t="str">
        <f>IF(AND($AM3452&lt;&gt;"",$AS3452="✓"),SUMPRODUCT(($AM$11:$AM3452&lt;&gt;"")*($AS$11:$AS3452="✓")),"")</f>
        <v/>
      </c>
      <c r="BA3452" s="21" t="str">
        <f>IF($AL3452="","",$AL3452&amp;"|"&amp;COUNTIF($AL$11:$AL3452,$AL3452))</f>
        <v/>
      </c>
    </row>
    <row r="3453" spans="38:53" ht="15" customHeight="1" x14ac:dyDescent="0.25">
      <c r="AL3453" s="17"/>
      <c r="AM3453" s="12"/>
      <c r="AN3453" s="18"/>
      <c r="AO3453" s="18"/>
      <c r="AP3453" s="10"/>
      <c r="AQ3453" s="10"/>
      <c r="AR3453" s="19"/>
      <c r="AS3453" s="20"/>
      <c r="AT3453" s="19"/>
      <c r="AV3453" s="21">
        <f>IF(AND($AL3453&lt;&gt;"",COUNTIF($AL$11:$AL3453,$AL3453)=1),1,0)</f>
        <v>0</v>
      </c>
      <c r="AW3453" s="21">
        <f t="shared" si="193"/>
        <v>0</v>
      </c>
      <c r="AX3453" s="21" t="str">
        <f t="shared" si="192"/>
        <v/>
      </c>
      <c r="AY3453" s="21" t="str">
        <f>IF(AND($AM3453&lt;&gt;"",$AS3453&lt;&gt;"✓"),SUMPRODUCT(($AM$11:$AM3453&lt;&gt;"")*($AS$11:$AS3453&lt;&gt;"✓")),"")</f>
        <v/>
      </c>
      <c r="AZ3453" s="21" t="str">
        <f>IF(AND($AM3453&lt;&gt;"",$AS3453="✓"),SUMPRODUCT(($AM$11:$AM3453&lt;&gt;"")*($AS$11:$AS3453="✓")),"")</f>
        <v/>
      </c>
      <c r="BA3453" s="21" t="str">
        <f>IF($AL3453="","",$AL3453&amp;"|"&amp;COUNTIF($AL$11:$AL3453,$AL3453))</f>
        <v/>
      </c>
    </row>
    <row r="3454" spans="38:53" ht="15" customHeight="1" x14ac:dyDescent="0.25">
      <c r="AL3454" s="31"/>
      <c r="AM3454" s="26"/>
      <c r="AN3454" s="32"/>
      <c r="AO3454" s="32"/>
      <c r="AP3454" s="24"/>
      <c r="AQ3454" s="24"/>
      <c r="AR3454" s="33"/>
      <c r="AS3454" s="34"/>
      <c r="AT3454" s="33"/>
      <c r="AV3454" s="21">
        <f>IF(AND($AL3454&lt;&gt;"",COUNTIF($AL$11:$AL3454,$AL3454)=1),1,0)</f>
        <v>0</v>
      </c>
      <c r="AW3454" s="21">
        <f t="shared" si="193"/>
        <v>0</v>
      </c>
      <c r="AX3454" s="21" t="str">
        <f t="shared" si="192"/>
        <v/>
      </c>
      <c r="AY3454" s="21" t="str">
        <f>IF(AND($AM3454&lt;&gt;"",$AS3454&lt;&gt;"✓"),SUMPRODUCT(($AM$11:$AM3454&lt;&gt;"")*($AS$11:$AS3454&lt;&gt;"✓")),"")</f>
        <v/>
      </c>
      <c r="AZ3454" s="21" t="str">
        <f>IF(AND($AM3454&lt;&gt;"",$AS3454="✓"),SUMPRODUCT(($AM$11:$AM3454&lt;&gt;"")*($AS$11:$AS3454="✓")),"")</f>
        <v/>
      </c>
      <c r="BA3454" s="21" t="str">
        <f>IF($AL3454="","",$AL3454&amp;"|"&amp;COUNTIF($AL$11:$AL3454,$AL3454))</f>
        <v/>
      </c>
    </row>
    <row r="3455" spans="38:53" ht="15" customHeight="1" x14ac:dyDescent="0.25">
      <c r="AL3455" s="17"/>
      <c r="AM3455" s="12"/>
      <c r="AN3455" s="18"/>
      <c r="AO3455" s="18"/>
      <c r="AP3455" s="10"/>
      <c r="AQ3455" s="10"/>
      <c r="AR3455" s="19"/>
      <c r="AS3455" s="20"/>
      <c r="AT3455" s="19"/>
      <c r="AV3455" s="21">
        <f>IF(AND($AL3455&lt;&gt;"",COUNTIF($AL$11:$AL3455,$AL3455)=1),1,0)</f>
        <v>0</v>
      </c>
      <c r="AW3455" s="21">
        <f t="shared" si="193"/>
        <v>0</v>
      </c>
      <c r="AX3455" s="21" t="str">
        <f t="shared" si="192"/>
        <v/>
      </c>
      <c r="AY3455" s="21" t="str">
        <f>IF(AND($AM3455&lt;&gt;"",$AS3455&lt;&gt;"✓"),SUMPRODUCT(($AM$11:$AM3455&lt;&gt;"")*($AS$11:$AS3455&lt;&gt;"✓")),"")</f>
        <v/>
      </c>
      <c r="AZ3455" s="21" t="str">
        <f>IF(AND($AM3455&lt;&gt;"",$AS3455="✓"),SUMPRODUCT(($AM$11:$AM3455&lt;&gt;"")*($AS$11:$AS3455="✓")),"")</f>
        <v/>
      </c>
      <c r="BA3455" s="21" t="str">
        <f>IF($AL3455="","",$AL3455&amp;"|"&amp;COUNTIF($AL$11:$AL3455,$AL3455))</f>
        <v/>
      </c>
    </row>
    <row r="3456" spans="38:53" ht="15" customHeight="1" x14ac:dyDescent="0.25">
      <c r="AL3456" s="31"/>
      <c r="AM3456" s="26"/>
      <c r="AN3456" s="32"/>
      <c r="AO3456" s="32"/>
      <c r="AP3456" s="24"/>
      <c r="AQ3456" s="24"/>
      <c r="AR3456" s="33"/>
      <c r="AS3456" s="34"/>
      <c r="AT3456" s="33"/>
      <c r="AV3456" s="21">
        <f>IF(AND($AL3456&lt;&gt;"",COUNTIF($AL$11:$AL3456,$AL3456)=1),1,0)</f>
        <v>0</v>
      </c>
      <c r="AW3456" s="21">
        <f t="shared" si="193"/>
        <v>0</v>
      </c>
      <c r="AX3456" s="21" t="str">
        <f t="shared" si="192"/>
        <v/>
      </c>
      <c r="AY3456" s="21" t="str">
        <f>IF(AND($AM3456&lt;&gt;"",$AS3456&lt;&gt;"✓"),SUMPRODUCT(($AM$11:$AM3456&lt;&gt;"")*($AS$11:$AS3456&lt;&gt;"✓")),"")</f>
        <v/>
      </c>
      <c r="AZ3456" s="21" t="str">
        <f>IF(AND($AM3456&lt;&gt;"",$AS3456="✓"),SUMPRODUCT(($AM$11:$AM3456&lt;&gt;"")*($AS$11:$AS3456="✓")),"")</f>
        <v/>
      </c>
      <c r="BA3456" s="21" t="str">
        <f>IF($AL3456="","",$AL3456&amp;"|"&amp;COUNTIF($AL$11:$AL3456,$AL3456))</f>
        <v/>
      </c>
    </row>
    <row r="3457" spans="38:53" ht="15" customHeight="1" x14ac:dyDescent="0.25">
      <c r="AL3457" s="17"/>
      <c r="AM3457" s="12"/>
      <c r="AN3457" s="18"/>
      <c r="AO3457" s="18"/>
      <c r="AP3457" s="10"/>
      <c r="AQ3457" s="10"/>
      <c r="AR3457" s="19"/>
      <c r="AS3457" s="20"/>
      <c r="AT3457" s="19"/>
      <c r="AV3457" s="21">
        <f>IF(AND($AL3457&lt;&gt;"",COUNTIF($AL$11:$AL3457,$AL3457)=1),1,0)</f>
        <v>0</v>
      </c>
      <c r="AW3457" s="21">
        <f t="shared" si="193"/>
        <v>0</v>
      </c>
      <c r="AX3457" s="21" t="str">
        <f t="shared" si="192"/>
        <v/>
      </c>
      <c r="AY3457" s="21" t="str">
        <f>IF(AND($AM3457&lt;&gt;"",$AS3457&lt;&gt;"✓"),SUMPRODUCT(($AM$11:$AM3457&lt;&gt;"")*($AS$11:$AS3457&lt;&gt;"✓")),"")</f>
        <v/>
      </c>
      <c r="AZ3457" s="21" t="str">
        <f>IF(AND($AM3457&lt;&gt;"",$AS3457="✓"),SUMPRODUCT(($AM$11:$AM3457&lt;&gt;"")*($AS$11:$AS3457="✓")),"")</f>
        <v/>
      </c>
      <c r="BA3457" s="21" t="str">
        <f>IF($AL3457="","",$AL3457&amp;"|"&amp;COUNTIF($AL$11:$AL3457,$AL3457))</f>
        <v/>
      </c>
    </row>
    <row r="3458" spans="38:53" ht="15" customHeight="1" x14ac:dyDescent="0.25">
      <c r="AL3458" s="31"/>
      <c r="AM3458" s="26"/>
      <c r="AN3458" s="32"/>
      <c r="AO3458" s="32"/>
      <c r="AP3458" s="24"/>
      <c r="AQ3458" s="24"/>
      <c r="AR3458" s="33"/>
      <c r="AS3458" s="34"/>
      <c r="AT3458" s="33"/>
      <c r="AV3458" s="21">
        <f>IF(AND($AL3458&lt;&gt;"",COUNTIF($AL$11:$AL3458,$AL3458)=1),1,0)</f>
        <v>0</v>
      </c>
      <c r="AW3458" s="21">
        <f t="shared" si="193"/>
        <v>0</v>
      </c>
      <c r="AX3458" s="21" t="str">
        <f t="shared" si="192"/>
        <v/>
      </c>
      <c r="AY3458" s="21" t="str">
        <f>IF(AND($AM3458&lt;&gt;"",$AS3458&lt;&gt;"✓"),SUMPRODUCT(($AM$11:$AM3458&lt;&gt;"")*($AS$11:$AS3458&lt;&gt;"✓")),"")</f>
        <v/>
      </c>
      <c r="AZ3458" s="21" t="str">
        <f>IF(AND($AM3458&lt;&gt;"",$AS3458="✓"),SUMPRODUCT(($AM$11:$AM3458&lt;&gt;"")*($AS$11:$AS3458="✓")),"")</f>
        <v/>
      </c>
      <c r="BA3458" s="21" t="str">
        <f>IF($AL3458="","",$AL3458&amp;"|"&amp;COUNTIF($AL$11:$AL3458,$AL3458))</f>
        <v/>
      </c>
    </row>
    <row r="3459" spans="38:53" ht="15" customHeight="1" x14ac:dyDescent="0.25">
      <c r="AL3459" s="17"/>
      <c r="AM3459" s="12"/>
      <c r="AN3459" s="18"/>
      <c r="AO3459" s="18"/>
      <c r="AP3459" s="10"/>
      <c r="AQ3459" s="10"/>
      <c r="AR3459" s="19"/>
      <c r="AS3459" s="20"/>
      <c r="AT3459" s="19"/>
      <c r="AV3459" s="21">
        <f>IF(AND($AL3459&lt;&gt;"",COUNTIF($AL$11:$AL3459,$AL3459)=1),1,0)</f>
        <v>0</v>
      </c>
      <c r="AW3459" s="21">
        <f t="shared" si="193"/>
        <v>0</v>
      </c>
      <c r="AX3459" s="21" t="str">
        <f t="shared" si="192"/>
        <v/>
      </c>
      <c r="AY3459" s="21" t="str">
        <f>IF(AND($AM3459&lt;&gt;"",$AS3459&lt;&gt;"✓"),SUMPRODUCT(($AM$11:$AM3459&lt;&gt;"")*($AS$11:$AS3459&lt;&gt;"✓")),"")</f>
        <v/>
      </c>
      <c r="AZ3459" s="21" t="str">
        <f>IF(AND($AM3459&lt;&gt;"",$AS3459="✓"),SUMPRODUCT(($AM$11:$AM3459&lt;&gt;"")*($AS$11:$AS3459="✓")),"")</f>
        <v/>
      </c>
      <c r="BA3459" s="21" t="str">
        <f>IF($AL3459="","",$AL3459&amp;"|"&amp;COUNTIF($AL$11:$AL3459,$AL3459))</f>
        <v/>
      </c>
    </row>
    <row r="3460" spans="38:53" ht="15" customHeight="1" x14ac:dyDescent="0.25">
      <c r="AL3460" s="31"/>
      <c r="AM3460" s="26"/>
      <c r="AN3460" s="32"/>
      <c r="AO3460" s="32"/>
      <c r="AP3460" s="24"/>
      <c r="AQ3460" s="24"/>
      <c r="AR3460" s="33"/>
      <c r="AS3460" s="34"/>
      <c r="AT3460" s="33"/>
      <c r="AV3460" s="21">
        <f>IF(AND($AL3460&lt;&gt;"",COUNTIF($AL$11:$AL3460,$AL3460)=1),1,0)</f>
        <v>0</v>
      </c>
      <c r="AW3460" s="21">
        <f t="shared" si="193"/>
        <v>0</v>
      </c>
      <c r="AX3460" s="21" t="str">
        <f t="shared" si="192"/>
        <v/>
      </c>
      <c r="AY3460" s="21" t="str">
        <f>IF(AND($AM3460&lt;&gt;"",$AS3460&lt;&gt;"✓"),SUMPRODUCT(($AM$11:$AM3460&lt;&gt;"")*($AS$11:$AS3460&lt;&gt;"✓")),"")</f>
        <v/>
      </c>
      <c r="AZ3460" s="21" t="str">
        <f>IF(AND($AM3460&lt;&gt;"",$AS3460="✓"),SUMPRODUCT(($AM$11:$AM3460&lt;&gt;"")*($AS$11:$AS3460="✓")),"")</f>
        <v/>
      </c>
      <c r="BA3460" s="21" t="str">
        <f>IF($AL3460="","",$AL3460&amp;"|"&amp;COUNTIF($AL$11:$AL3460,$AL3460))</f>
        <v/>
      </c>
    </row>
    <row r="3461" spans="38:53" ht="15" customHeight="1" x14ac:dyDescent="0.25">
      <c r="AL3461" s="17"/>
      <c r="AM3461" s="12"/>
      <c r="AN3461" s="18"/>
      <c r="AO3461" s="18"/>
      <c r="AP3461" s="10"/>
      <c r="AQ3461" s="10"/>
      <c r="AR3461" s="19"/>
      <c r="AS3461" s="20"/>
      <c r="AT3461" s="19"/>
      <c r="AV3461" s="21">
        <f>IF(AND($AL3461&lt;&gt;"",COUNTIF($AL$11:$AL3461,$AL3461)=1),1,0)</f>
        <v>0</v>
      </c>
      <c r="AW3461" s="21">
        <f t="shared" si="193"/>
        <v>0</v>
      </c>
      <c r="AX3461" s="21" t="str">
        <f t="shared" si="192"/>
        <v/>
      </c>
      <c r="AY3461" s="21" t="str">
        <f>IF(AND($AM3461&lt;&gt;"",$AS3461&lt;&gt;"✓"),SUMPRODUCT(($AM$11:$AM3461&lt;&gt;"")*($AS$11:$AS3461&lt;&gt;"✓")),"")</f>
        <v/>
      </c>
      <c r="AZ3461" s="21" t="str">
        <f>IF(AND($AM3461&lt;&gt;"",$AS3461="✓"),SUMPRODUCT(($AM$11:$AM3461&lt;&gt;"")*($AS$11:$AS3461="✓")),"")</f>
        <v/>
      </c>
      <c r="BA3461" s="21" t="str">
        <f>IF($AL3461="","",$AL3461&amp;"|"&amp;COUNTIF($AL$11:$AL3461,$AL3461))</f>
        <v/>
      </c>
    </row>
    <row r="3462" spans="38:53" ht="15" customHeight="1" x14ac:dyDescent="0.25">
      <c r="AL3462" s="31"/>
      <c r="AM3462" s="26"/>
      <c r="AN3462" s="32"/>
      <c r="AO3462" s="32"/>
      <c r="AP3462" s="24"/>
      <c r="AQ3462" s="24"/>
      <c r="AR3462" s="33"/>
      <c r="AS3462" s="34"/>
      <c r="AT3462" s="33"/>
      <c r="AV3462" s="21">
        <f>IF(AND($AL3462&lt;&gt;"",COUNTIF($AL$11:$AL3462,$AL3462)=1),1,0)</f>
        <v>0</v>
      </c>
      <c r="AW3462" s="21">
        <f t="shared" si="193"/>
        <v>0</v>
      </c>
      <c r="AX3462" s="21" t="str">
        <f t="shared" si="192"/>
        <v/>
      </c>
      <c r="AY3462" s="21" t="str">
        <f>IF(AND($AM3462&lt;&gt;"",$AS3462&lt;&gt;"✓"),SUMPRODUCT(($AM$11:$AM3462&lt;&gt;"")*($AS$11:$AS3462&lt;&gt;"✓")),"")</f>
        <v/>
      </c>
      <c r="AZ3462" s="21" t="str">
        <f>IF(AND($AM3462&lt;&gt;"",$AS3462="✓"),SUMPRODUCT(($AM$11:$AM3462&lt;&gt;"")*($AS$11:$AS3462="✓")),"")</f>
        <v/>
      </c>
      <c r="BA3462" s="21" t="str">
        <f>IF($AL3462="","",$AL3462&amp;"|"&amp;COUNTIF($AL$11:$AL3462,$AL3462))</f>
        <v/>
      </c>
    </row>
    <row r="3463" spans="38:53" ht="15" customHeight="1" x14ac:dyDescent="0.25">
      <c r="AL3463" s="17"/>
      <c r="AM3463" s="12"/>
      <c r="AN3463" s="18"/>
      <c r="AO3463" s="18"/>
      <c r="AP3463" s="10"/>
      <c r="AQ3463" s="10"/>
      <c r="AR3463" s="19"/>
      <c r="AS3463" s="20"/>
      <c r="AT3463" s="19"/>
      <c r="AV3463" s="21">
        <f>IF(AND($AL3463&lt;&gt;"",COUNTIF($AL$11:$AL3463,$AL3463)=1),1,0)</f>
        <v>0</v>
      </c>
      <c r="AW3463" s="21">
        <f t="shared" si="193"/>
        <v>0</v>
      </c>
      <c r="AX3463" s="21" t="str">
        <f t="shared" si="192"/>
        <v/>
      </c>
      <c r="AY3463" s="21" t="str">
        <f>IF(AND($AM3463&lt;&gt;"",$AS3463&lt;&gt;"✓"),SUMPRODUCT(($AM$11:$AM3463&lt;&gt;"")*($AS$11:$AS3463&lt;&gt;"✓")),"")</f>
        <v/>
      </c>
      <c r="AZ3463" s="21" t="str">
        <f>IF(AND($AM3463&lt;&gt;"",$AS3463="✓"),SUMPRODUCT(($AM$11:$AM3463&lt;&gt;"")*($AS$11:$AS3463="✓")),"")</f>
        <v/>
      </c>
      <c r="BA3463" s="21" t="str">
        <f>IF($AL3463="","",$AL3463&amp;"|"&amp;COUNTIF($AL$11:$AL3463,$AL3463))</f>
        <v/>
      </c>
    </row>
    <row r="3464" spans="38:53" ht="15" customHeight="1" x14ac:dyDescent="0.25">
      <c r="AL3464" s="31"/>
      <c r="AM3464" s="26"/>
      <c r="AN3464" s="32"/>
      <c r="AO3464" s="32"/>
      <c r="AP3464" s="24"/>
      <c r="AQ3464" s="24"/>
      <c r="AR3464" s="33"/>
      <c r="AS3464" s="34"/>
      <c r="AT3464" s="33"/>
      <c r="AV3464" s="21">
        <f>IF(AND($AL3464&lt;&gt;"",COUNTIF($AL$11:$AL3464,$AL3464)=1),1,0)</f>
        <v>0</v>
      </c>
      <c r="AW3464" s="21">
        <f t="shared" si="193"/>
        <v>0</v>
      </c>
      <c r="AX3464" s="21" t="str">
        <f t="shared" si="192"/>
        <v/>
      </c>
      <c r="AY3464" s="21" t="str">
        <f>IF(AND($AM3464&lt;&gt;"",$AS3464&lt;&gt;"✓"),SUMPRODUCT(($AM$11:$AM3464&lt;&gt;"")*($AS$11:$AS3464&lt;&gt;"✓")),"")</f>
        <v/>
      </c>
      <c r="AZ3464" s="21" t="str">
        <f>IF(AND($AM3464&lt;&gt;"",$AS3464="✓"),SUMPRODUCT(($AM$11:$AM3464&lt;&gt;"")*($AS$11:$AS3464="✓")),"")</f>
        <v/>
      </c>
      <c r="BA3464" s="21" t="str">
        <f>IF($AL3464="","",$AL3464&amp;"|"&amp;COUNTIF($AL$11:$AL3464,$AL3464))</f>
        <v/>
      </c>
    </row>
    <row r="3465" spans="38:53" ht="15" customHeight="1" x14ac:dyDescent="0.25">
      <c r="AL3465" s="17"/>
      <c r="AM3465" s="12"/>
      <c r="AN3465" s="18"/>
      <c r="AO3465" s="18"/>
      <c r="AP3465" s="10"/>
      <c r="AQ3465" s="10"/>
      <c r="AR3465" s="19"/>
      <c r="AS3465" s="20"/>
      <c r="AT3465" s="19"/>
      <c r="AV3465" s="21">
        <f>IF(AND($AL3465&lt;&gt;"",COUNTIF($AL$11:$AL3465,$AL3465)=1),1,0)</f>
        <v>0</v>
      </c>
      <c r="AW3465" s="21">
        <f t="shared" si="193"/>
        <v>0</v>
      </c>
      <c r="AX3465" s="21" t="str">
        <f t="shared" si="192"/>
        <v/>
      </c>
      <c r="AY3465" s="21" t="str">
        <f>IF(AND($AM3465&lt;&gt;"",$AS3465&lt;&gt;"✓"),SUMPRODUCT(($AM$11:$AM3465&lt;&gt;"")*($AS$11:$AS3465&lt;&gt;"✓")),"")</f>
        <v/>
      </c>
      <c r="AZ3465" s="21" t="str">
        <f>IF(AND($AM3465&lt;&gt;"",$AS3465="✓"),SUMPRODUCT(($AM$11:$AM3465&lt;&gt;"")*($AS$11:$AS3465="✓")),"")</f>
        <v/>
      </c>
      <c r="BA3465" s="21" t="str">
        <f>IF($AL3465="","",$AL3465&amp;"|"&amp;COUNTIF($AL$11:$AL3465,$AL3465))</f>
        <v/>
      </c>
    </row>
    <row r="3466" spans="38:53" ht="15" customHeight="1" x14ac:dyDescent="0.25">
      <c r="AL3466" s="31"/>
      <c r="AM3466" s="26"/>
      <c r="AN3466" s="32"/>
      <c r="AO3466" s="32"/>
      <c r="AP3466" s="24"/>
      <c r="AQ3466" s="24"/>
      <c r="AR3466" s="33"/>
      <c r="AS3466" s="34"/>
      <c r="AT3466" s="33"/>
      <c r="AV3466" s="21">
        <f>IF(AND($AL3466&lt;&gt;"",COUNTIF($AL$11:$AL3466,$AL3466)=1),1,0)</f>
        <v>0</v>
      </c>
      <c r="AW3466" s="21">
        <f t="shared" si="193"/>
        <v>0</v>
      </c>
      <c r="AX3466" s="21" t="str">
        <f t="shared" si="192"/>
        <v/>
      </c>
      <c r="AY3466" s="21" t="str">
        <f>IF(AND($AM3466&lt;&gt;"",$AS3466&lt;&gt;"✓"),SUMPRODUCT(($AM$11:$AM3466&lt;&gt;"")*($AS$11:$AS3466&lt;&gt;"✓")),"")</f>
        <v/>
      </c>
      <c r="AZ3466" s="21" t="str">
        <f>IF(AND($AM3466&lt;&gt;"",$AS3466="✓"),SUMPRODUCT(($AM$11:$AM3466&lt;&gt;"")*($AS$11:$AS3466="✓")),"")</f>
        <v/>
      </c>
      <c r="BA3466" s="21" t="str">
        <f>IF($AL3466="","",$AL3466&amp;"|"&amp;COUNTIF($AL$11:$AL3466,$AL3466))</f>
        <v/>
      </c>
    </row>
    <row r="3467" spans="38:53" ht="15" customHeight="1" x14ac:dyDescent="0.25">
      <c r="AL3467" s="17"/>
      <c r="AM3467" s="12"/>
      <c r="AN3467" s="18"/>
      <c r="AO3467" s="18"/>
      <c r="AP3467" s="10"/>
      <c r="AQ3467" s="10"/>
      <c r="AR3467" s="19"/>
      <c r="AS3467" s="20"/>
      <c r="AT3467" s="19"/>
      <c r="AV3467" s="21">
        <f>IF(AND($AL3467&lt;&gt;"",COUNTIF($AL$11:$AL3467,$AL3467)=1),1,0)</f>
        <v>0</v>
      </c>
      <c r="AW3467" s="21">
        <f t="shared" si="193"/>
        <v>0</v>
      </c>
      <c r="AX3467" s="21" t="str">
        <f t="shared" ref="AX3467:AX3530" si="194">IF(AV3467=1,AW3467,"")</f>
        <v/>
      </c>
      <c r="AY3467" s="21" t="str">
        <f>IF(AND($AM3467&lt;&gt;"",$AS3467&lt;&gt;"✓"),SUMPRODUCT(($AM$11:$AM3467&lt;&gt;"")*($AS$11:$AS3467&lt;&gt;"✓")),"")</f>
        <v/>
      </c>
      <c r="AZ3467" s="21" t="str">
        <f>IF(AND($AM3467&lt;&gt;"",$AS3467="✓"),SUMPRODUCT(($AM$11:$AM3467&lt;&gt;"")*($AS$11:$AS3467="✓")),"")</f>
        <v/>
      </c>
      <c r="BA3467" s="21" t="str">
        <f>IF($AL3467="","",$AL3467&amp;"|"&amp;COUNTIF($AL$11:$AL3467,$AL3467))</f>
        <v/>
      </c>
    </row>
    <row r="3468" spans="38:53" ht="15" customHeight="1" x14ac:dyDescent="0.25">
      <c r="AL3468" s="31"/>
      <c r="AM3468" s="26"/>
      <c r="AN3468" s="32"/>
      <c r="AO3468" s="32"/>
      <c r="AP3468" s="24"/>
      <c r="AQ3468" s="24"/>
      <c r="AR3468" s="33"/>
      <c r="AS3468" s="34"/>
      <c r="AT3468" s="33"/>
      <c r="AV3468" s="21">
        <f>IF(AND($AL3468&lt;&gt;"",COUNTIF($AL$11:$AL3468,$AL3468)=1),1,0)</f>
        <v>0</v>
      </c>
      <c r="AW3468" s="21">
        <f t="shared" ref="AW3468:AW3531" si="195">AW3467+AV3468</f>
        <v>0</v>
      </c>
      <c r="AX3468" s="21" t="str">
        <f t="shared" si="194"/>
        <v/>
      </c>
      <c r="AY3468" s="21" t="str">
        <f>IF(AND($AM3468&lt;&gt;"",$AS3468&lt;&gt;"✓"),SUMPRODUCT(($AM$11:$AM3468&lt;&gt;"")*($AS$11:$AS3468&lt;&gt;"✓")),"")</f>
        <v/>
      </c>
      <c r="AZ3468" s="21" t="str">
        <f>IF(AND($AM3468&lt;&gt;"",$AS3468="✓"),SUMPRODUCT(($AM$11:$AM3468&lt;&gt;"")*($AS$11:$AS3468="✓")),"")</f>
        <v/>
      </c>
      <c r="BA3468" s="21" t="str">
        <f>IF($AL3468="","",$AL3468&amp;"|"&amp;COUNTIF($AL$11:$AL3468,$AL3468))</f>
        <v/>
      </c>
    </row>
    <row r="3469" spans="38:53" ht="15" customHeight="1" x14ac:dyDescent="0.25">
      <c r="AL3469" s="17"/>
      <c r="AM3469" s="12"/>
      <c r="AN3469" s="18"/>
      <c r="AO3469" s="18"/>
      <c r="AP3469" s="10"/>
      <c r="AQ3469" s="10"/>
      <c r="AR3469" s="19"/>
      <c r="AS3469" s="20"/>
      <c r="AT3469" s="19"/>
      <c r="AV3469" s="21">
        <f>IF(AND($AL3469&lt;&gt;"",COUNTIF($AL$11:$AL3469,$AL3469)=1),1,0)</f>
        <v>0</v>
      </c>
      <c r="AW3469" s="21">
        <f t="shared" si="195"/>
        <v>0</v>
      </c>
      <c r="AX3469" s="21" t="str">
        <f t="shared" si="194"/>
        <v/>
      </c>
      <c r="AY3469" s="21" t="str">
        <f>IF(AND($AM3469&lt;&gt;"",$AS3469&lt;&gt;"✓"),SUMPRODUCT(($AM$11:$AM3469&lt;&gt;"")*($AS$11:$AS3469&lt;&gt;"✓")),"")</f>
        <v/>
      </c>
      <c r="AZ3469" s="21" t="str">
        <f>IF(AND($AM3469&lt;&gt;"",$AS3469="✓"),SUMPRODUCT(($AM$11:$AM3469&lt;&gt;"")*($AS$11:$AS3469="✓")),"")</f>
        <v/>
      </c>
      <c r="BA3469" s="21" t="str">
        <f>IF($AL3469="","",$AL3469&amp;"|"&amp;COUNTIF($AL$11:$AL3469,$AL3469))</f>
        <v/>
      </c>
    </row>
    <row r="3470" spans="38:53" ht="15" customHeight="1" x14ac:dyDescent="0.25">
      <c r="AL3470" s="31"/>
      <c r="AM3470" s="26"/>
      <c r="AN3470" s="32"/>
      <c r="AO3470" s="32"/>
      <c r="AP3470" s="24"/>
      <c r="AQ3470" s="24"/>
      <c r="AR3470" s="33"/>
      <c r="AS3470" s="34"/>
      <c r="AT3470" s="33"/>
      <c r="AV3470" s="21">
        <f>IF(AND($AL3470&lt;&gt;"",COUNTIF($AL$11:$AL3470,$AL3470)=1),1,0)</f>
        <v>0</v>
      </c>
      <c r="AW3470" s="21">
        <f t="shared" si="195"/>
        <v>0</v>
      </c>
      <c r="AX3470" s="21" t="str">
        <f t="shared" si="194"/>
        <v/>
      </c>
      <c r="AY3470" s="21" t="str">
        <f>IF(AND($AM3470&lt;&gt;"",$AS3470&lt;&gt;"✓"),SUMPRODUCT(($AM$11:$AM3470&lt;&gt;"")*($AS$11:$AS3470&lt;&gt;"✓")),"")</f>
        <v/>
      </c>
      <c r="AZ3470" s="21" t="str">
        <f>IF(AND($AM3470&lt;&gt;"",$AS3470="✓"),SUMPRODUCT(($AM$11:$AM3470&lt;&gt;"")*($AS$11:$AS3470="✓")),"")</f>
        <v/>
      </c>
      <c r="BA3470" s="21" t="str">
        <f>IF($AL3470="","",$AL3470&amp;"|"&amp;COUNTIF($AL$11:$AL3470,$AL3470))</f>
        <v/>
      </c>
    </row>
    <row r="3471" spans="38:53" ht="15" customHeight="1" x14ac:dyDescent="0.25">
      <c r="AL3471" s="17"/>
      <c r="AM3471" s="12"/>
      <c r="AN3471" s="18"/>
      <c r="AO3471" s="18"/>
      <c r="AP3471" s="10"/>
      <c r="AQ3471" s="10"/>
      <c r="AR3471" s="19"/>
      <c r="AS3471" s="20"/>
      <c r="AT3471" s="19"/>
      <c r="AV3471" s="21">
        <f>IF(AND($AL3471&lt;&gt;"",COUNTIF($AL$11:$AL3471,$AL3471)=1),1,0)</f>
        <v>0</v>
      </c>
      <c r="AW3471" s="21">
        <f t="shared" si="195"/>
        <v>0</v>
      </c>
      <c r="AX3471" s="21" t="str">
        <f t="shared" si="194"/>
        <v/>
      </c>
      <c r="AY3471" s="21" t="str">
        <f>IF(AND($AM3471&lt;&gt;"",$AS3471&lt;&gt;"✓"),SUMPRODUCT(($AM$11:$AM3471&lt;&gt;"")*($AS$11:$AS3471&lt;&gt;"✓")),"")</f>
        <v/>
      </c>
      <c r="AZ3471" s="21" t="str">
        <f>IF(AND($AM3471&lt;&gt;"",$AS3471="✓"),SUMPRODUCT(($AM$11:$AM3471&lt;&gt;"")*($AS$11:$AS3471="✓")),"")</f>
        <v/>
      </c>
      <c r="BA3471" s="21" t="str">
        <f>IF($AL3471="","",$AL3471&amp;"|"&amp;COUNTIF($AL$11:$AL3471,$AL3471))</f>
        <v/>
      </c>
    </row>
    <row r="3472" spans="38:53" ht="15" customHeight="1" x14ac:dyDescent="0.25">
      <c r="AL3472" s="31"/>
      <c r="AM3472" s="26"/>
      <c r="AN3472" s="32"/>
      <c r="AO3472" s="32"/>
      <c r="AP3472" s="24"/>
      <c r="AQ3472" s="24"/>
      <c r="AR3472" s="33"/>
      <c r="AS3472" s="34"/>
      <c r="AT3472" s="33"/>
      <c r="AV3472" s="21">
        <f>IF(AND($AL3472&lt;&gt;"",COUNTIF($AL$11:$AL3472,$AL3472)=1),1,0)</f>
        <v>0</v>
      </c>
      <c r="AW3472" s="21">
        <f t="shared" si="195"/>
        <v>0</v>
      </c>
      <c r="AX3472" s="21" t="str">
        <f t="shared" si="194"/>
        <v/>
      </c>
      <c r="AY3472" s="21" t="str">
        <f>IF(AND($AM3472&lt;&gt;"",$AS3472&lt;&gt;"✓"),SUMPRODUCT(($AM$11:$AM3472&lt;&gt;"")*($AS$11:$AS3472&lt;&gt;"✓")),"")</f>
        <v/>
      </c>
      <c r="AZ3472" s="21" t="str">
        <f>IF(AND($AM3472&lt;&gt;"",$AS3472="✓"),SUMPRODUCT(($AM$11:$AM3472&lt;&gt;"")*($AS$11:$AS3472="✓")),"")</f>
        <v/>
      </c>
      <c r="BA3472" s="21" t="str">
        <f>IF($AL3472="","",$AL3472&amp;"|"&amp;COUNTIF($AL$11:$AL3472,$AL3472))</f>
        <v/>
      </c>
    </row>
    <row r="3473" spans="38:53" ht="15" customHeight="1" x14ac:dyDescent="0.25">
      <c r="AL3473" s="17"/>
      <c r="AM3473" s="12"/>
      <c r="AN3473" s="18"/>
      <c r="AO3473" s="18"/>
      <c r="AP3473" s="10"/>
      <c r="AQ3473" s="10"/>
      <c r="AR3473" s="19"/>
      <c r="AS3473" s="20"/>
      <c r="AT3473" s="19"/>
      <c r="AV3473" s="21">
        <f>IF(AND($AL3473&lt;&gt;"",COUNTIF($AL$11:$AL3473,$AL3473)=1),1,0)</f>
        <v>0</v>
      </c>
      <c r="AW3473" s="21">
        <f t="shared" si="195"/>
        <v>0</v>
      </c>
      <c r="AX3473" s="21" t="str">
        <f t="shared" si="194"/>
        <v/>
      </c>
      <c r="AY3473" s="21" t="str">
        <f>IF(AND($AM3473&lt;&gt;"",$AS3473&lt;&gt;"✓"),SUMPRODUCT(($AM$11:$AM3473&lt;&gt;"")*($AS$11:$AS3473&lt;&gt;"✓")),"")</f>
        <v/>
      </c>
      <c r="AZ3473" s="21" t="str">
        <f>IF(AND($AM3473&lt;&gt;"",$AS3473="✓"),SUMPRODUCT(($AM$11:$AM3473&lt;&gt;"")*($AS$11:$AS3473="✓")),"")</f>
        <v/>
      </c>
      <c r="BA3473" s="21" t="str">
        <f>IF($AL3473="","",$AL3473&amp;"|"&amp;COUNTIF($AL$11:$AL3473,$AL3473))</f>
        <v/>
      </c>
    </row>
    <row r="3474" spans="38:53" ht="15" customHeight="1" x14ac:dyDescent="0.25">
      <c r="AL3474" s="31"/>
      <c r="AM3474" s="26"/>
      <c r="AN3474" s="32"/>
      <c r="AO3474" s="32"/>
      <c r="AP3474" s="24"/>
      <c r="AQ3474" s="24"/>
      <c r="AR3474" s="33"/>
      <c r="AS3474" s="34"/>
      <c r="AT3474" s="33"/>
      <c r="AV3474" s="21">
        <f>IF(AND($AL3474&lt;&gt;"",COUNTIF($AL$11:$AL3474,$AL3474)=1),1,0)</f>
        <v>0</v>
      </c>
      <c r="AW3474" s="21">
        <f t="shared" si="195"/>
        <v>0</v>
      </c>
      <c r="AX3474" s="21" t="str">
        <f t="shared" si="194"/>
        <v/>
      </c>
      <c r="AY3474" s="21" t="str">
        <f>IF(AND($AM3474&lt;&gt;"",$AS3474&lt;&gt;"✓"),SUMPRODUCT(($AM$11:$AM3474&lt;&gt;"")*($AS$11:$AS3474&lt;&gt;"✓")),"")</f>
        <v/>
      </c>
      <c r="AZ3474" s="21" t="str">
        <f>IF(AND($AM3474&lt;&gt;"",$AS3474="✓"),SUMPRODUCT(($AM$11:$AM3474&lt;&gt;"")*($AS$11:$AS3474="✓")),"")</f>
        <v/>
      </c>
      <c r="BA3474" s="21" t="str">
        <f>IF($AL3474="","",$AL3474&amp;"|"&amp;COUNTIF($AL$11:$AL3474,$AL3474))</f>
        <v/>
      </c>
    </row>
    <row r="3475" spans="38:53" ht="15" customHeight="1" x14ac:dyDescent="0.25">
      <c r="AL3475" s="17"/>
      <c r="AM3475" s="12"/>
      <c r="AN3475" s="18"/>
      <c r="AO3475" s="18"/>
      <c r="AP3475" s="10"/>
      <c r="AQ3475" s="10"/>
      <c r="AR3475" s="19"/>
      <c r="AS3475" s="20"/>
      <c r="AT3475" s="19"/>
      <c r="AV3475" s="21">
        <f>IF(AND($AL3475&lt;&gt;"",COUNTIF($AL$11:$AL3475,$AL3475)=1),1,0)</f>
        <v>0</v>
      </c>
      <c r="AW3475" s="21">
        <f t="shared" si="195"/>
        <v>0</v>
      </c>
      <c r="AX3475" s="21" t="str">
        <f t="shared" si="194"/>
        <v/>
      </c>
      <c r="AY3475" s="21" t="str">
        <f>IF(AND($AM3475&lt;&gt;"",$AS3475&lt;&gt;"✓"),SUMPRODUCT(($AM$11:$AM3475&lt;&gt;"")*($AS$11:$AS3475&lt;&gt;"✓")),"")</f>
        <v/>
      </c>
      <c r="AZ3475" s="21" t="str">
        <f>IF(AND($AM3475&lt;&gt;"",$AS3475="✓"),SUMPRODUCT(($AM$11:$AM3475&lt;&gt;"")*($AS$11:$AS3475="✓")),"")</f>
        <v/>
      </c>
      <c r="BA3475" s="21" t="str">
        <f>IF($AL3475="","",$AL3475&amp;"|"&amp;COUNTIF($AL$11:$AL3475,$AL3475))</f>
        <v/>
      </c>
    </row>
    <row r="3476" spans="38:53" ht="15" customHeight="1" x14ac:dyDescent="0.25">
      <c r="AL3476" s="31"/>
      <c r="AM3476" s="26"/>
      <c r="AN3476" s="32"/>
      <c r="AO3476" s="32"/>
      <c r="AP3476" s="24"/>
      <c r="AQ3476" s="24"/>
      <c r="AR3476" s="33"/>
      <c r="AS3476" s="34"/>
      <c r="AT3476" s="33"/>
      <c r="AV3476" s="21">
        <f>IF(AND($AL3476&lt;&gt;"",COUNTIF($AL$11:$AL3476,$AL3476)=1),1,0)</f>
        <v>0</v>
      </c>
      <c r="AW3476" s="21">
        <f t="shared" si="195"/>
        <v>0</v>
      </c>
      <c r="AX3476" s="21" t="str">
        <f t="shared" si="194"/>
        <v/>
      </c>
      <c r="AY3476" s="21" t="str">
        <f>IF(AND($AM3476&lt;&gt;"",$AS3476&lt;&gt;"✓"),SUMPRODUCT(($AM$11:$AM3476&lt;&gt;"")*($AS$11:$AS3476&lt;&gt;"✓")),"")</f>
        <v/>
      </c>
      <c r="AZ3476" s="21" t="str">
        <f>IF(AND($AM3476&lt;&gt;"",$AS3476="✓"),SUMPRODUCT(($AM$11:$AM3476&lt;&gt;"")*($AS$11:$AS3476="✓")),"")</f>
        <v/>
      </c>
      <c r="BA3476" s="21" t="str">
        <f>IF($AL3476="","",$AL3476&amp;"|"&amp;COUNTIF($AL$11:$AL3476,$AL3476))</f>
        <v/>
      </c>
    </row>
    <row r="3477" spans="38:53" ht="15" customHeight="1" x14ac:dyDescent="0.25">
      <c r="AL3477" s="17"/>
      <c r="AM3477" s="12"/>
      <c r="AN3477" s="18"/>
      <c r="AO3477" s="18"/>
      <c r="AP3477" s="10"/>
      <c r="AQ3477" s="10"/>
      <c r="AR3477" s="19"/>
      <c r="AS3477" s="20"/>
      <c r="AT3477" s="19"/>
      <c r="AV3477" s="21">
        <f>IF(AND($AL3477&lt;&gt;"",COUNTIF($AL$11:$AL3477,$AL3477)=1),1,0)</f>
        <v>0</v>
      </c>
      <c r="AW3477" s="21">
        <f t="shared" si="195"/>
        <v>0</v>
      </c>
      <c r="AX3477" s="21" t="str">
        <f t="shared" si="194"/>
        <v/>
      </c>
      <c r="AY3477" s="21" t="str">
        <f>IF(AND($AM3477&lt;&gt;"",$AS3477&lt;&gt;"✓"),SUMPRODUCT(($AM$11:$AM3477&lt;&gt;"")*($AS$11:$AS3477&lt;&gt;"✓")),"")</f>
        <v/>
      </c>
      <c r="AZ3477" s="21" t="str">
        <f>IF(AND($AM3477&lt;&gt;"",$AS3477="✓"),SUMPRODUCT(($AM$11:$AM3477&lt;&gt;"")*($AS$11:$AS3477="✓")),"")</f>
        <v/>
      </c>
      <c r="BA3477" s="21" t="str">
        <f>IF($AL3477="","",$AL3477&amp;"|"&amp;COUNTIF($AL$11:$AL3477,$AL3477))</f>
        <v/>
      </c>
    </row>
    <row r="3478" spans="38:53" ht="15" customHeight="1" x14ac:dyDescent="0.25">
      <c r="AL3478" s="31"/>
      <c r="AM3478" s="26"/>
      <c r="AN3478" s="32"/>
      <c r="AO3478" s="32"/>
      <c r="AP3478" s="24"/>
      <c r="AQ3478" s="24"/>
      <c r="AR3478" s="33"/>
      <c r="AS3478" s="34"/>
      <c r="AT3478" s="33"/>
      <c r="AV3478" s="21">
        <f>IF(AND($AL3478&lt;&gt;"",COUNTIF($AL$11:$AL3478,$AL3478)=1),1,0)</f>
        <v>0</v>
      </c>
      <c r="AW3478" s="21">
        <f t="shared" si="195"/>
        <v>0</v>
      </c>
      <c r="AX3478" s="21" t="str">
        <f t="shared" si="194"/>
        <v/>
      </c>
      <c r="AY3478" s="21" t="str">
        <f>IF(AND($AM3478&lt;&gt;"",$AS3478&lt;&gt;"✓"),SUMPRODUCT(($AM$11:$AM3478&lt;&gt;"")*($AS$11:$AS3478&lt;&gt;"✓")),"")</f>
        <v/>
      </c>
      <c r="AZ3478" s="21" t="str">
        <f>IF(AND($AM3478&lt;&gt;"",$AS3478="✓"),SUMPRODUCT(($AM$11:$AM3478&lt;&gt;"")*($AS$11:$AS3478="✓")),"")</f>
        <v/>
      </c>
      <c r="BA3478" s="21" t="str">
        <f>IF($AL3478="","",$AL3478&amp;"|"&amp;COUNTIF($AL$11:$AL3478,$AL3478))</f>
        <v/>
      </c>
    </row>
    <row r="3479" spans="38:53" ht="15" customHeight="1" x14ac:dyDescent="0.25">
      <c r="AL3479" s="17"/>
      <c r="AM3479" s="12"/>
      <c r="AN3479" s="18"/>
      <c r="AO3479" s="18"/>
      <c r="AP3479" s="10"/>
      <c r="AQ3479" s="10"/>
      <c r="AR3479" s="19"/>
      <c r="AS3479" s="20"/>
      <c r="AT3479" s="19"/>
      <c r="AV3479" s="21">
        <f>IF(AND($AL3479&lt;&gt;"",COUNTIF($AL$11:$AL3479,$AL3479)=1),1,0)</f>
        <v>0</v>
      </c>
      <c r="AW3479" s="21">
        <f t="shared" si="195"/>
        <v>0</v>
      </c>
      <c r="AX3479" s="21" t="str">
        <f t="shared" si="194"/>
        <v/>
      </c>
      <c r="AY3479" s="21" t="str">
        <f>IF(AND($AM3479&lt;&gt;"",$AS3479&lt;&gt;"✓"),SUMPRODUCT(($AM$11:$AM3479&lt;&gt;"")*($AS$11:$AS3479&lt;&gt;"✓")),"")</f>
        <v/>
      </c>
      <c r="AZ3479" s="21" t="str">
        <f>IF(AND($AM3479&lt;&gt;"",$AS3479="✓"),SUMPRODUCT(($AM$11:$AM3479&lt;&gt;"")*($AS$11:$AS3479="✓")),"")</f>
        <v/>
      </c>
      <c r="BA3479" s="21" t="str">
        <f>IF($AL3479="","",$AL3479&amp;"|"&amp;COUNTIF($AL$11:$AL3479,$AL3479))</f>
        <v/>
      </c>
    </row>
    <row r="3480" spans="38:53" ht="15" customHeight="1" x14ac:dyDescent="0.25">
      <c r="AL3480" s="31"/>
      <c r="AM3480" s="26"/>
      <c r="AN3480" s="32"/>
      <c r="AO3480" s="32"/>
      <c r="AP3480" s="24"/>
      <c r="AQ3480" s="24"/>
      <c r="AR3480" s="33"/>
      <c r="AS3480" s="34"/>
      <c r="AT3480" s="33"/>
      <c r="AV3480" s="21">
        <f>IF(AND($AL3480&lt;&gt;"",COUNTIF($AL$11:$AL3480,$AL3480)=1),1,0)</f>
        <v>0</v>
      </c>
      <c r="AW3480" s="21">
        <f t="shared" si="195"/>
        <v>0</v>
      </c>
      <c r="AX3480" s="21" t="str">
        <f t="shared" si="194"/>
        <v/>
      </c>
      <c r="AY3480" s="21" t="str">
        <f>IF(AND($AM3480&lt;&gt;"",$AS3480&lt;&gt;"✓"),SUMPRODUCT(($AM$11:$AM3480&lt;&gt;"")*($AS$11:$AS3480&lt;&gt;"✓")),"")</f>
        <v/>
      </c>
      <c r="AZ3480" s="21" t="str">
        <f>IF(AND($AM3480&lt;&gt;"",$AS3480="✓"),SUMPRODUCT(($AM$11:$AM3480&lt;&gt;"")*($AS$11:$AS3480="✓")),"")</f>
        <v/>
      </c>
      <c r="BA3480" s="21" t="str">
        <f>IF($AL3480="","",$AL3480&amp;"|"&amp;COUNTIF($AL$11:$AL3480,$AL3480))</f>
        <v/>
      </c>
    </row>
    <row r="3481" spans="38:53" ht="15" customHeight="1" x14ac:dyDescent="0.25">
      <c r="AL3481" s="17"/>
      <c r="AM3481" s="12"/>
      <c r="AN3481" s="18"/>
      <c r="AO3481" s="18"/>
      <c r="AP3481" s="10"/>
      <c r="AQ3481" s="10"/>
      <c r="AR3481" s="19"/>
      <c r="AS3481" s="20"/>
      <c r="AT3481" s="19"/>
      <c r="AV3481" s="21">
        <f>IF(AND($AL3481&lt;&gt;"",COUNTIF($AL$11:$AL3481,$AL3481)=1),1,0)</f>
        <v>0</v>
      </c>
      <c r="AW3481" s="21">
        <f t="shared" si="195"/>
        <v>0</v>
      </c>
      <c r="AX3481" s="21" t="str">
        <f t="shared" si="194"/>
        <v/>
      </c>
      <c r="AY3481" s="21" t="str">
        <f>IF(AND($AM3481&lt;&gt;"",$AS3481&lt;&gt;"✓"),SUMPRODUCT(($AM$11:$AM3481&lt;&gt;"")*($AS$11:$AS3481&lt;&gt;"✓")),"")</f>
        <v/>
      </c>
      <c r="AZ3481" s="21" t="str">
        <f>IF(AND($AM3481&lt;&gt;"",$AS3481="✓"),SUMPRODUCT(($AM$11:$AM3481&lt;&gt;"")*($AS$11:$AS3481="✓")),"")</f>
        <v/>
      </c>
      <c r="BA3481" s="21" t="str">
        <f>IF($AL3481="","",$AL3481&amp;"|"&amp;COUNTIF($AL$11:$AL3481,$AL3481))</f>
        <v/>
      </c>
    </row>
    <row r="3482" spans="38:53" ht="15" customHeight="1" x14ac:dyDescent="0.25">
      <c r="AL3482" s="31"/>
      <c r="AM3482" s="26"/>
      <c r="AN3482" s="32"/>
      <c r="AO3482" s="32"/>
      <c r="AP3482" s="24"/>
      <c r="AQ3482" s="24"/>
      <c r="AR3482" s="33"/>
      <c r="AS3482" s="34"/>
      <c r="AT3482" s="33"/>
      <c r="AV3482" s="21">
        <f>IF(AND($AL3482&lt;&gt;"",COUNTIF($AL$11:$AL3482,$AL3482)=1),1,0)</f>
        <v>0</v>
      </c>
      <c r="AW3482" s="21">
        <f t="shared" si="195"/>
        <v>0</v>
      </c>
      <c r="AX3482" s="21" t="str">
        <f t="shared" si="194"/>
        <v/>
      </c>
      <c r="AY3482" s="21" t="str">
        <f>IF(AND($AM3482&lt;&gt;"",$AS3482&lt;&gt;"✓"),SUMPRODUCT(($AM$11:$AM3482&lt;&gt;"")*($AS$11:$AS3482&lt;&gt;"✓")),"")</f>
        <v/>
      </c>
      <c r="AZ3482" s="21" t="str">
        <f>IF(AND($AM3482&lt;&gt;"",$AS3482="✓"),SUMPRODUCT(($AM$11:$AM3482&lt;&gt;"")*($AS$11:$AS3482="✓")),"")</f>
        <v/>
      </c>
      <c r="BA3482" s="21" t="str">
        <f>IF($AL3482="","",$AL3482&amp;"|"&amp;COUNTIF($AL$11:$AL3482,$AL3482))</f>
        <v/>
      </c>
    </row>
    <row r="3483" spans="38:53" ht="15" customHeight="1" x14ac:dyDescent="0.25">
      <c r="AL3483" s="17"/>
      <c r="AM3483" s="12"/>
      <c r="AN3483" s="18"/>
      <c r="AO3483" s="18"/>
      <c r="AP3483" s="10"/>
      <c r="AQ3483" s="10"/>
      <c r="AR3483" s="19"/>
      <c r="AS3483" s="20"/>
      <c r="AT3483" s="19"/>
      <c r="AV3483" s="21">
        <f>IF(AND($AL3483&lt;&gt;"",COUNTIF($AL$11:$AL3483,$AL3483)=1),1,0)</f>
        <v>0</v>
      </c>
      <c r="AW3483" s="21">
        <f t="shared" si="195"/>
        <v>0</v>
      </c>
      <c r="AX3483" s="21" t="str">
        <f t="shared" si="194"/>
        <v/>
      </c>
      <c r="AY3483" s="21" t="str">
        <f>IF(AND($AM3483&lt;&gt;"",$AS3483&lt;&gt;"✓"),SUMPRODUCT(($AM$11:$AM3483&lt;&gt;"")*($AS$11:$AS3483&lt;&gt;"✓")),"")</f>
        <v/>
      </c>
      <c r="AZ3483" s="21" t="str">
        <f>IF(AND($AM3483&lt;&gt;"",$AS3483="✓"),SUMPRODUCT(($AM$11:$AM3483&lt;&gt;"")*($AS$11:$AS3483="✓")),"")</f>
        <v/>
      </c>
      <c r="BA3483" s="21" t="str">
        <f>IF($AL3483="","",$AL3483&amp;"|"&amp;COUNTIF($AL$11:$AL3483,$AL3483))</f>
        <v/>
      </c>
    </row>
    <row r="3484" spans="38:53" ht="15" customHeight="1" x14ac:dyDescent="0.25">
      <c r="AL3484" s="31"/>
      <c r="AM3484" s="26"/>
      <c r="AN3484" s="32"/>
      <c r="AO3484" s="32"/>
      <c r="AP3484" s="24"/>
      <c r="AQ3484" s="24"/>
      <c r="AR3484" s="33"/>
      <c r="AS3484" s="34"/>
      <c r="AT3484" s="33"/>
      <c r="AV3484" s="21">
        <f>IF(AND($AL3484&lt;&gt;"",COUNTIF($AL$11:$AL3484,$AL3484)=1),1,0)</f>
        <v>0</v>
      </c>
      <c r="AW3484" s="21">
        <f t="shared" si="195"/>
        <v>0</v>
      </c>
      <c r="AX3484" s="21" t="str">
        <f t="shared" si="194"/>
        <v/>
      </c>
      <c r="AY3484" s="21" t="str">
        <f>IF(AND($AM3484&lt;&gt;"",$AS3484&lt;&gt;"✓"),SUMPRODUCT(($AM$11:$AM3484&lt;&gt;"")*($AS$11:$AS3484&lt;&gt;"✓")),"")</f>
        <v/>
      </c>
      <c r="AZ3484" s="21" t="str">
        <f>IF(AND($AM3484&lt;&gt;"",$AS3484="✓"),SUMPRODUCT(($AM$11:$AM3484&lt;&gt;"")*($AS$11:$AS3484="✓")),"")</f>
        <v/>
      </c>
      <c r="BA3484" s="21" t="str">
        <f>IF($AL3484="","",$AL3484&amp;"|"&amp;COUNTIF($AL$11:$AL3484,$AL3484))</f>
        <v/>
      </c>
    </row>
    <row r="3485" spans="38:53" ht="15" customHeight="1" x14ac:dyDescent="0.25">
      <c r="AL3485" s="17"/>
      <c r="AM3485" s="12"/>
      <c r="AN3485" s="18"/>
      <c r="AO3485" s="18"/>
      <c r="AP3485" s="10"/>
      <c r="AQ3485" s="10"/>
      <c r="AR3485" s="19"/>
      <c r="AS3485" s="20"/>
      <c r="AT3485" s="19"/>
      <c r="AV3485" s="21">
        <f>IF(AND($AL3485&lt;&gt;"",COUNTIF($AL$11:$AL3485,$AL3485)=1),1,0)</f>
        <v>0</v>
      </c>
      <c r="AW3485" s="21">
        <f t="shared" si="195"/>
        <v>0</v>
      </c>
      <c r="AX3485" s="21" t="str">
        <f t="shared" si="194"/>
        <v/>
      </c>
      <c r="AY3485" s="21" t="str">
        <f>IF(AND($AM3485&lt;&gt;"",$AS3485&lt;&gt;"✓"),SUMPRODUCT(($AM$11:$AM3485&lt;&gt;"")*($AS$11:$AS3485&lt;&gt;"✓")),"")</f>
        <v/>
      </c>
      <c r="AZ3485" s="21" t="str">
        <f>IF(AND($AM3485&lt;&gt;"",$AS3485="✓"),SUMPRODUCT(($AM$11:$AM3485&lt;&gt;"")*($AS$11:$AS3485="✓")),"")</f>
        <v/>
      </c>
      <c r="BA3485" s="21" t="str">
        <f>IF($AL3485="","",$AL3485&amp;"|"&amp;COUNTIF($AL$11:$AL3485,$AL3485))</f>
        <v/>
      </c>
    </row>
    <row r="3486" spans="38:53" ht="15" customHeight="1" x14ac:dyDescent="0.25">
      <c r="AL3486" s="31"/>
      <c r="AM3486" s="26"/>
      <c r="AN3486" s="32"/>
      <c r="AO3486" s="32"/>
      <c r="AP3486" s="24"/>
      <c r="AQ3486" s="24"/>
      <c r="AR3486" s="33"/>
      <c r="AS3486" s="34"/>
      <c r="AT3486" s="33"/>
      <c r="AV3486" s="21">
        <f>IF(AND($AL3486&lt;&gt;"",COUNTIF($AL$11:$AL3486,$AL3486)=1),1,0)</f>
        <v>0</v>
      </c>
      <c r="AW3486" s="21">
        <f t="shared" si="195"/>
        <v>0</v>
      </c>
      <c r="AX3486" s="21" t="str">
        <f t="shared" si="194"/>
        <v/>
      </c>
      <c r="AY3486" s="21" t="str">
        <f>IF(AND($AM3486&lt;&gt;"",$AS3486&lt;&gt;"✓"),SUMPRODUCT(($AM$11:$AM3486&lt;&gt;"")*($AS$11:$AS3486&lt;&gt;"✓")),"")</f>
        <v/>
      </c>
      <c r="AZ3486" s="21" t="str">
        <f>IF(AND($AM3486&lt;&gt;"",$AS3486="✓"),SUMPRODUCT(($AM$11:$AM3486&lt;&gt;"")*($AS$11:$AS3486="✓")),"")</f>
        <v/>
      </c>
      <c r="BA3486" s="21" t="str">
        <f>IF($AL3486="","",$AL3486&amp;"|"&amp;COUNTIF($AL$11:$AL3486,$AL3486))</f>
        <v/>
      </c>
    </row>
    <row r="3487" spans="38:53" ht="15" customHeight="1" x14ac:dyDescent="0.25">
      <c r="AL3487" s="17"/>
      <c r="AM3487" s="12"/>
      <c r="AN3487" s="18"/>
      <c r="AO3487" s="18"/>
      <c r="AP3487" s="10"/>
      <c r="AQ3487" s="10"/>
      <c r="AR3487" s="19"/>
      <c r="AS3487" s="20"/>
      <c r="AT3487" s="19"/>
      <c r="AV3487" s="21">
        <f>IF(AND($AL3487&lt;&gt;"",COUNTIF($AL$11:$AL3487,$AL3487)=1),1,0)</f>
        <v>0</v>
      </c>
      <c r="AW3487" s="21">
        <f t="shared" si="195"/>
        <v>0</v>
      </c>
      <c r="AX3487" s="21" t="str">
        <f t="shared" si="194"/>
        <v/>
      </c>
      <c r="AY3487" s="21" t="str">
        <f>IF(AND($AM3487&lt;&gt;"",$AS3487&lt;&gt;"✓"),SUMPRODUCT(($AM$11:$AM3487&lt;&gt;"")*($AS$11:$AS3487&lt;&gt;"✓")),"")</f>
        <v/>
      </c>
      <c r="AZ3487" s="21" t="str">
        <f>IF(AND($AM3487&lt;&gt;"",$AS3487="✓"),SUMPRODUCT(($AM$11:$AM3487&lt;&gt;"")*($AS$11:$AS3487="✓")),"")</f>
        <v/>
      </c>
      <c r="BA3487" s="21" t="str">
        <f>IF($AL3487="","",$AL3487&amp;"|"&amp;COUNTIF($AL$11:$AL3487,$AL3487))</f>
        <v/>
      </c>
    </row>
    <row r="3488" spans="38:53" ht="15" customHeight="1" x14ac:dyDescent="0.25">
      <c r="AL3488" s="31"/>
      <c r="AM3488" s="26"/>
      <c r="AN3488" s="32"/>
      <c r="AO3488" s="32"/>
      <c r="AP3488" s="24"/>
      <c r="AQ3488" s="24"/>
      <c r="AR3488" s="33"/>
      <c r="AS3488" s="34"/>
      <c r="AT3488" s="33"/>
      <c r="AV3488" s="21">
        <f>IF(AND($AL3488&lt;&gt;"",COUNTIF($AL$11:$AL3488,$AL3488)=1),1,0)</f>
        <v>0</v>
      </c>
      <c r="AW3488" s="21">
        <f t="shared" si="195"/>
        <v>0</v>
      </c>
      <c r="AX3488" s="21" t="str">
        <f t="shared" si="194"/>
        <v/>
      </c>
      <c r="AY3488" s="21" t="str">
        <f>IF(AND($AM3488&lt;&gt;"",$AS3488&lt;&gt;"✓"),SUMPRODUCT(($AM$11:$AM3488&lt;&gt;"")*($AS$11:$AS3488&lt;&gt;"✓")),"")</f>
        <v/>
      </c>
      <c r="AZ3488" s="21" t="str">
        <f>IF(AND($AM3488&lt;&gt;"",$AS3488="✓"),SUMPRODUCT(($AM$11:$AM3488&lt;&gt;"")*($AS$11:$AS3488="✓")),"")</f>
        <v/>
      </c>
      <c r="BA3488" s="21" t="str">
        <f>IF($AL3488="","",$AL3488&amp;"|"&amp;COUNTIF($AL$11:$AL3488,$AL3488))</f>
        <v/>
      </c>
    </row>
    <row r="3489" spans="38:53" ht="15" customHeight="1" x14ac:dyDescent="0.25">
      <c r="AL3489" s="17"/>
      <c r="AM3489" s="12"/>
      <c r="AN3489" s="18"/>
      <c r="AO3489" s="18"/>
      <c r="AP3489" s="10"/>
      <c r="AQ3489" s="10"/>
      <c r="AR3489" s="19"/>
      <c r="AS3489" s="20"/>
      <c r="AT3489" s="19"/>
      <c r="AV3489" s="21">
        <f>IF(AND($AL3489&lt;&gt;"",COUNTIF($AL$11:$AL3489,$AL3489)=1),1,0)</f>
        <v>0</v>
      </c>
      <c r="AW3489" s="21">
        <f t="shared" si="195"/>
        <v>0</v>
      </c>
      <c r="AX3489" s="21" t="str">
        <f t="shared" si="194"/>
        <v/>
      </c>
      <c r="AY3489" s="21" t="str">
        <f>IF(AND($AM3489&lt;&gt;"",$AS3489&lt;&gt;"✓"),SUMPRODUCT(($AM$11:$AM3489&lt;&gt;"")*($AS$11:$AS3489&lt;&gt;"✓")),"")</f>
        <v/>
      </c>
      <c r="AZ3489" s="21" t="str">
        <f>IF(AND($AM3489&lt;&gt;"",$AS3489="✓"),SUMPRODUCT(($AM$11:$AM3489&lt;&gt;"")*($AS$11:$AS3489="✓")),"")</f>
        <v/>
      </c>
      <c r="BA3489" s="21" t="str">
        <f>IF($AL3489="","",$AL3489&amp;"|"&amp;COUNTIF($AL$11:$AL3489,$AL3489))</f>
        <v/>
      </c>
    </row>
    <row r="3490" spans="38:53" ht="15" customHeight="1" x14ac:dyDescent="0.25">
      <c r="AL3490" s="31"/>
      <c r="AM3490" s="26"/>
      <c r="AN3490" s="32"/>
      <c r="AO3490" s="32"/>
      <c r="AP3490" s="24"/>
      <c r="AQ3490" s="24"/>
      <c r="AR3490" s="33"/>
      <c r="AS3490" s="34"/>
      <c r="AT3490" s="33"/>
      <c r="AV3490" s="21">
        <f>IF(AND($AL3490&lt;&gt;"",COUNTIF($AL$11:$AL3490,$AL3490)=1),1,0)</f>
        <v>0</v>
      </c>
      <c r="AW3490" s="21">
        <f t="shared" si="195"/>
        <v>0</v>
      </c>
      <c r="AX3490" s="21" t="str">
        <f t="shared" si="194"/>
        <v/>
      </c>
      <c r="AY3490" s="21" t="str">
        <f>IF(AND($AM3490&lt;&gt;"",$AS3490&lt;&gt;"✓"),SUMPRODUCT(($AM$11:$AM3490&lt;&gt;"")*($AS$11:$AS3490&lt;&gt;"✓")),"")</f>
        <v/>
      </c>
      <c r="AZ3490" s="21" t="str">
        <f>IF(AND($AM3490&lt;&gt;"",$AS3490="✓"),SUMPRODUCT(($AM$11:$AM3490&lt;&gt;"")*($AS$11:$AS3490="✓")),"")</f>
        <v/>
      </c>
      <c r="BA3490" s="21" t="str">
        <f>IF($AL3490="","",$AL3490&amp;"|"&amp;COUNTIF($AL$11:$AL3490,$AL3490))</f>
        <v/>
      </c>
    </row>
    <row r="3491" spans="38:53" ht="15" customHeight="1" x14ac:dyDescent="0.25">
      <c r="AL3491" s="17"/>
      <c r="AM3491" s="12"/>
      <c r="AN3491" s="18"/>
      <c r="AO3491" s="18"/>
      <c r="AP3491" s="10"/>
      <c r="AQ3491" s="10"/>
      <c r="AR3491" s="19"/>
      <c r="AS3491" s="20"/>
      <c r="AT3491" s="19"/>
      <c r="AV3491" s="21">
        <f>IF(AND($AL3491&lt;&gt;"",COUNTIF($AL$11:$AL3491,$AL3491)=1),1,0)</f>
        <v>0</v>
      </c>
      <c r="AW3491" s="21">
        <f t="shared" si="195"/>
        <v>0</v>
      </c>
      <c r="AX3491" s="21" t="str">
        <f t="shared" si="194"/>
        <v/>
      </c>
      <c r="AY3491" s="21" t="str">
        <f>IF(AND($AM3491&lt;&gt;"",$AS3491&lt;&gt;"✓"),SUMPRODUCT(($AM$11:$AM3491&lt;&gt;"")*($AS$11:$AS3491&lt;&gt;"✓")),"")</f>
        <v/>
      </c>
      <c r="AZ3491" s="21" t="str">
        <f>IF(AND($AM3491&lt;&gt;"",$AS3491="✓"),SUMPRODUCT(($AM$11:$AM3491&lt;&gt;"")*($AS$11:$AS3491="✓")),"")</f>
        <v/>
      </c>
      <c r="BA3491" s="21" t="str">
        <f>IF($AL3491="","",$AL3491&amp;"|"&amp;COUNTIF($AL$11:$AL3491,$AL3491))</f>
        <v/>
      </c>
    </row>
    <row r="3492" spans="38:53" ht="15" customHeight="1" x14ac:dyDescent="0.25">
      <c r="AL3492" s="31"/>
      <c r="AM3492" s="26"/>
      <c r="AN3492" s="32"/>
      <c r="AO3492" s="32"/>
      <c r="AP3492" s="24"/>
      <c r="AQ3492" s="24"/>
      <c r="AR3492" s="33"/>
      <c r="AS3492" s="34"/>
      <c r="AT3492" s="33"/>
      <c r="AV3492" s="21">
        <f>IF(AND($AL3492&lt;&gt;"",COUNTIF($AL$11:$AL3492,$AL3492)=1),1,0)</f>
        <v>0</v>
      </c>
      <c r="AW3492" s="21">
        <f t="shared" si="195"/>
        <v>0</v>
      </c>
      <c r="AX3492" s="21" t="str">
        <f t="shared" si="194"/>
        <v/>
      </c>
      <c r="AY3492" s="21" t="str">
        <f>IF(AND($AM3492&lt;&gt;"",$AS3492&lt;&gt;"✓"),SUMPRODUCT(($AM$11:$AM3492&lt;&gt;"")*($AS$11:$AS3492&lt;&gt;"✓")),"")</f>
        <v/>
      </c>
      <c r="AZ3492" s="21" t="str">
        <f>IF(AND($AM3492&lt;&gt;"",$AS3492="✓"),SUMPRODUCT(($AM$11:$AM3492&lt;&gt;"")*($AS$11:$AS3492="✓")),"")</f>
        <v/>
      </c>
      <c r="BA3492" s="21" t="str">
        <f>IF($AL3492="","",$AL3492&amp;"|"&amp;COUNTIF($AL$11:$AL3492,$AL3492))</f>
        <v/>
      </c>
    </row>
    <row r="3493" spans="38:53" ht="15" customHeight="1" x14ac:dyDescent="0.25">
      <c r="AL3493" s="17"/>
      <c r="AM3493" s="12"/>
      <c r="AN3493" s="18"/>
      <c r="AO3493" s="18"/>
      <c r="AP3493" s="10"/>
      <c r="AQ3493" s="10"/>
      <c r="AR3493" s="19"/>
      <c r="AS3493" s="20"/>
      <c r="AT3493" s="19"/>
      <c r="AV3493" s="21">
        <f>IF(AND($AL3493&lt;&gt;"",COUNTIF($AL$11:$AL3493,$AL3493)=1),1,0)</f>
        <v>0</v>
      </c>
      <c r="AW3493" s="21">
        <f t="shared" si="195"/>
        <v>0</v>
      </c>
      <c r="AX3493" s="21" t="str">
        <f t="shared" si="194"/>
        <v/>
      </c>
      <c r="AY3493" s="21" t="str">
        <f>IF(AND($AM3493&lt;&gt;"",$AS3493&lt;&gt;"✓"),SUMPRODUCT(($AM$11:$AM3493&lt;&gt;"")*($AS$11:$AS3493&lt;&gt;"✓")),"")</f>
        <v/>
      </c>
      <c r="AZ3493" s="21" t="str">
        <f>IF(AND($AM3493&lt;&gt;"",$AS3493="✓"),SUMPRODUCT(($AM$11:$AM3493&lt;&gt;"")*($AS$11:$AS3493="✓")),"")</f>
        <v/>
      </c>
      <c r="BA3493" s="21" t="str">
        <f>IF($AL3493="","",$AL3493&amp;"|"&amp;COUNTIF($AL$11:$AL3493,$AL3493))</f>
        <v/>
      </c>
    </row>
    <row r="3494" spans="38:53" ht="15" customHeight="1" x14ac:dyDescent="0.25">
      <c r="AL3494" s="31"/>
      <c r="AM3494" s="26"/>
      <c r="AN3494" s="32"/>
      <c r="AO3494" s="32"/>
      <c r="AP3494" s="24"/>
      <c r="AQ3494" s="24"/>
      <c r="AR3494" s="33"/>
      <c r="AS3494" s="34"/>
      <c r="AT3494" s="33"/>
      <c r="AV3494" s="21">
        <f>IF(AND($AL3494&lt;&gt;"",COUNTIF($AL$11:$AL3494,$AL3494)=1),1,0)</f>
        <v>0</v>
      </c>
      <c r="AW3494" s="21">
        <f t="shared" si="195"/>
        <v>0</v>
      </c>
      <c r="AX3494" s="21" t="str">
        <f t="shared" si="194"/>
        <v/>
      </c>
      <c r="AY3494" s="21" t="str">
        <f>IF(AND($AM3494&lt;&gt;"",$AS3494&lt;&gt;"✓"),SUMPRODUCT(($AM$11:$AM3494&lt;&gt;"")*($AS$11:$AS3494&lt;&gt;"✓")),"")</f>
        <v/>
      </c>
      <c r="AZ3494" s="21" t="str">
        <f>IF(AND($AM3494&lt;&gt;"",$AS3494="✓"),SUMPRODUCT(($AM$11:$AM3494&lt;&gt;"")*($AS$11:$AS3494="✓")),"")</f>
        <v/>
      </c>
      <c r="BA3494" s="21" t="str">
        <f>IF($AL3494="","",$AL3494&amp;"|"&amp;COUNTIF($AL$11:$AL3494,$AL3494))</f>
        <v/>
      </c>
    </row>
    <row r="3495" spans="38:53" ht="15" customHeight="1" x14ac:dyDescent="0.25">
      <c r="AL3495" s="17"/>
      <c r="AM3495" s="12"/>
      <c r="AN3495" s="18"/>
      <c r="AO3495" s="18"/>
      <c r="AP3495" s="10"/>
      <c r="AQ3495" s="10"/>
      <c r="AR3495" s="19"/>
      <c r="AS3495" s="20"/>
      <c r="AT3495" s="19"/>
      <c r="AV3495" s="21">
        <f>IF(AND($AL3495&lt;&gt;"",COUNTIF($AL$11:$AL3495,$AL3495)=1),1,0)</f>
        <v>0</v>
      </c>
      <c r="AW3495" s="21">
        <f t="shared" si="195"/>
        <v>0</v>
      </c>
      <c r="AX3495" s="21" t="str">
        <f t="shared" si="194"/>
        <v/>
      </c>
      <c r="AY3495" s="21" t="str">
        <f>IF(AND($AM3495&lt;&gt;"",$AS3495&lt;&gt;"✓"),SUMPRODUCT(($AM$11:$AM3495&lt;&gt;"")*($AS$11:$AS3495&lt;&gt;"✓")),"")</f>
        <v/>
      </c>
      <c r="AZ3495" s="21" t="str">
        <f>IF(AND($AM3495&lt;&gt;"",$AS3495="✓"),SUMPRODUCT(($AM$11:$AM3495&lt;&gt;"")*($AS$11:$AS3495="✓")),"")</f>
        <v/>
      </c>
      <c r="BA3495" s="21" t="str">
        <f>IF($AL3495="","",$AL3495&amp;"|"&amp;COUNTIF($AL$11:$AL3495,$AL3495))</f>
        <v/>
      </c>
    </row>
    <row r="3496" spans="38:53" ht="15" customHeight="1" x14ac:dyDescent="0.25">
      <c r="AL3496" s="31"/>
      <c r="AM3496" s="26"/>
      <c r="AN3496" s="32"/>
      <c r="AO3496" s="32"/>
      <c r="AP3496" s="24"/>
      <c r="AQ3496" s="24"/>
      <c r="AR3496" s="33"/>
      <c r="AS3496" s="34"/>
      <c r="AT3496" s="33"/>
      <c r="AV3496" s="21">
        <f>IF(AND($AL3496&lt;&gt;"",COUNTIF($AL$11:$AL3496,$AL3496)=1),1,0)</f>
        <v>0</v>
      </c>
      <c r="AW3496" s="21">
        <f t="shared" si="195"/>
        <v>0</v>
      </c>
      <c r="AX3496" s="21" t="str">
        <f t="shared" si="194"/>
        <v/>
      </c>
      <c r="AY3496" s="21" t="str">
        <f>IF(AND($AM3496&lt;&gt;"",$AS3496&lt;&gt;"✓"),SUMPRODUCT(($AM$11:$AM3496&lt;&gt;"")*($AS$11:$AS3496&lt;&gt;"✓")),"")</f>
        <v/>
      </c>
      <c r="AZ3496" s="21" t="str">
        <f>IF(AND($AM3496&lt;&gt;"",$AS3496="✓"),SUMPRODUCT(($AM$11:$AM3496&lt;&gt;"")*($AS$11:$AS3496="✓")),"")</f>
        <v/>
      </c>
      <c r="BA3496" s="21" t="str">
        <f>IF($AL3496="","",$AL3496&amp;"|"&amp;COUNTIF($AL$11:$AL3496,$AL3496))</f>
        <v/>
      </c>
    </row>
    <row r="3497" spans="38:53" ht="15" customHeight="1" x14ac:dyDescent="0.25">
      <c r="AL3497" s="17"/>
      <c r="AM3497" s="12"/>
      <c r="AN3497" s="18"/>
      <c r="AO3497" s="18"/>
      <c r="AP3497" s="10"/>
      <c r="AQ3497" s="10"/>
      <c r="AR3497" s="19"/>
      <c r="AS3497" s="20"/>
      <c r="AT3497" s="19"/>
      <c r="AV3497" s="21">
        <f>IF(AND($AL3497&lt;&gt;"",COUNTIF($AL$11:$AL3497,$AL3497)=1),1,0)</f>
        <v>0</v>
      </c>
      <c r="AW3497" s="21">
        <f t="shared" si="195"/>
        <v>0</v>
      </c>
      <c r="AX3497" s="21" t="str">
        <f t="shared" si="194"/>
        <v/>
      </c>
      <c r="AY3497" s="21" t="str">
        <f>IF(AND($AM3497&lt;&gt;"",$AS3497&lt;&gt;"✓"),SUMPRODUCT(($AM$11:$AM3497&lt;&gt;"")*($AS$11:$AS3497&lt;&gt;"✓")),"")</f>
        <v/>
      </c>
      <c r="AZ3497" s="21" t="str">
        <f>IF(AND($AM3497&lt;&gt;"",$AS3497="✓"),SUMPRODUCT(($AM$11:$AM3497&lt;&gt;"")*($AS$11:$AS3497="✓")),"")</f>
        <v/>
      </c>
      <c r="BA3497" s="21" t="str">
        <f>IF($AL3497="","",$AL3497&amp;"|"&amp;COUNTIF($AL$11:$AL3497,$AL3497))</f>
        <v/>
      </c>
    </row>
    <row r="3498" spans="38:53" ht="15" customHeight="1" x14ac:dyDescent="0.25">
      <c r="AL3498" s="31"/>
      <c r="AM3498" s="26"/>
      <c r="AN3498" s="32"/>
      <c r="AO3498" s="32"/>
      <c r="AP3498" s="24"/>
      <c r="AQ3498" s="24"/>
      <c r="AR3498" s="33"/>
      <c r="AS3498" s="34"/>
      <c r="AT3498" s="33"/>
      <c r="AV3498" s="21">
        <f>IF(AND($AL3498&lt;&gt;"",COUNTIF($AL$11:$AL3498,$AL3498)=1),1,0)</f>
        <v>0</v>
      </c>
      <c r="AW3498" s="21">
        <f t="shared" si="195"/>
        <v>0</v>
      </c>
      <c r="AX3498" s="21" t="str">
        <f t="shared" si="194"/>
        <v/>
      </c>
      <c r="AY3498" s="21" t="str">
        <f>IF(AND($AM3498&lt;&gt;"",$AS3498&lt;&gt;"✓"),SUMPRODUCT(($AM$11:$AM3498&lt;&gt;"")*($AS$11:$AS3498&lt;&gt;"✓")),"")</f>
        <v/>
      </c>
      <c r="AZ3498" s="21" t="str">
        <f>IF(AND($AM3498&lt;&gt;"",$AS3498="✓"),SUMPRODUCT(($AM$11:$AM3498&lt;&gt;"")*($AS$11:$AS3498="✓")),"")</f>
        <v/>
      </c>
      <c r="BA3498" s="21" t="str">
        <f>IF($AL3498="","",$AL3498&amp;"|"&amp;COUNTIF($AL$11:$AL3498,$AL3498))</f>
        <v/>
      </c>
    </row>
    <row r="3499" spans="38:53" ht="15" customHeight="1" x14ac:dyDescent="0.25">
      <c r="AL3499" s="17"/>
      <c r="AM3499" s="12"/>
      <c r="AN3499" s="18"/>
      <c r="AO3499" s="18"/>
      <c r="AP3499" s="10"/>
      <c r="AQ3499" s="10"/>
      <c r="AR3499" s="19"/>
      <c r="AS3499" s="20"/>
      <c r="AT3499" s="19"/>
      <c r="AV3499" s="21">
        <f>IF(AND($AL3499&lt;&gt;"",COUNTIF($AL$11:$AL3499,$AL3499)=1),1,0)</f>
        <v>0</v>
      </c>
      <c r="AW3499" s="21">
        <f t="shared" si="195"/>
        <v>0</v>
      </c>
      <c r="AX3499" s="21" t="str">
        <f t="shared" si="194"/>
        <v/>
      </c>
      <c r="AY3499" s="21" t="str">
        <f>IF(AND($AM3499&lt;&gt;"",$AS3499&lt;&gt;"✓"),SUMPRODUCT(($AM$11:$AM3499&lt;&gt;"")*($AS$11:$AS3499&lt;&gt;"✓")),"")</f>
        <v/>
      </c>
      <c r="AZ3499" s="21" t="str">
        <f>IF(AND($AM3499&lt;&gt;"",$AS3499="✓"),SUMPRODUCT(($AM$11:$AM3499&lt;&gt;"")*($AS$11:$AS3499="✓")),"")</f>
        <v/>
      </c>
      <c r="BA3499" s="21" t="str">
        <f>IF($AL3499="","",$AL3499&amp;"|"&amp;COUNTIF($AL$11:$AL3499,$AL3499))</f>
        <v/>
      </c>
    </row>
    <row r="3500" spans="38:53" ht="15" customHeight="1" x14ac:dyDescent="0.25">
      <c r="AL3500" s="31"/>
      <c r="AM3500" s="26"/>
      <c r="AN3500" s="32"/>
      <c r="AO3500" s="32"/>
      <c r="AP3500" s="24"/>
      <c r="AQ3500" s="24"/>
      <c r="AR3500" s="33"/>
      <c r="AS3500" s="34"/>
      <c r="AT3500" s="33"/>
      <c r="AV3500" s="21">
        <f>IF(AND($AL3500&lt;&gt;"",COUNTIF($AL$11:$AL3500,$AL3500)=1),1,0)</f>
        <v>0</v>
      </c>
      <c r="AW3500" s="21">
        <f t="shared" si="195"/>
        <v>0</v>
      </c>
      <c r="AX3500" s="21" t="str">
        <f t="shared" si="194"/>
        <v/>
      </c>
      <c r="AY3500" s="21" t="str">
        <f>IF(AND($AM3500&lt;&gt;"",$AS3500&lt;&gt;"✓"),SUMPRODUCT(($AM$11:$AM3500&lt;&gt;"")*($AS$11:$AS3500&lt;&gt;"✓")),"")</f>
        <v/>
      </c>
      <c r="AZ3500" s="21" t="str">
        <f>IF(AND($AM3500&lt;&gt;"",$AS3500="✓"),SUMPRODUCT(($AM$11:$AM3500&lt;&gt;"")*($AS$11:$AS3500="✓")),"")</f>
        <v/>
      </c>
      <c r="BA3500" s="21" t="str">
        <f>IF($AL3500="","",$AL3500&amp;"|"&amp;COUNTIF($AL$11:$AL3500,$AL3500))</f>
        <v/>
      </c>
    </row>
    <row r="3501" spans="38:53" ht="15" customHeight="1" x14ac:dyDescent="0.25">
      <c r="AL3501" s="17"/>
      <c r="AM3501" s="12"/>
      <c r="AN3501" s="18"/>
      <c r="AO3501" s="18"/>
      <c r="AP3501" s="10"/>
      <c r="AQ3501" s="10"/>
      <c r="AR3501" s="19"/>
      <c r="AS3501" s="20"/>
      <c r="AT3501" s="19"/>
      <c r="AV3501" s="21">
        <f>IF(AND($AL3501&lt;&gt;"",COUNTIF($AL$11:$AL3501,$AL3501)=1),1,0)</f>
        <v>0</v>
      </c>
      <c r="AW3501" s="21">
        <f t="shared" si="195"/>
        <v>0</v>
      </c>
      <c r="AX3501" s="21" t="str">
        <f t="shared" si="194"/>
        <v/>
      </c>
      <c r="AY3501" s="21" t="str">
        <f>IF(AND($AM3501&lt;&gt;"",$AS3501&lt;&gt;"✓"),SUMPRODUCT(($AM$11:$AM3501&lt;&gt;"")*($AS$11:$AS3501&lt;&gt;"✓")),"")</f>
        <v/>
      </c>
      <c r="AZ3501" s="21" t="str">
        <f>IF(AND($AM3501&lt;&gt;"",$AS3501="✓"),SUMPRODUCT(($AM$11:$AM3501&lt;&gt;"")*($AS$11:$AS3501="✓")),"")</f>
        <v/>
      </c>
      <c r="BA3501" s="21" t="str">
        <f>IF($AL3501="","",$AL3501&amp;"|"&amp;COUNTIF($AL$11:$AL3501,$AL3501))</f>
        <v/>
      </c>
    </row>
    <row r="3502" spans="38:53" ht="15" customHeight="1" x14ac:dyDescent="0.25">
      <c r="AL3502" s="31"/>
      <c r="AM3502" s="26"/>
      <c r="AN3502" s="32"/>
      <c r="AO3502" s="32"/>
      <c r="AP3502" s="24"/>
      <c r="AQ3502" s="24"/>
      <c r="AR3502" s="33"/>
      <c r="AS3502" s="34"/>
      <c r="AT3502" s="33"/>
      <c r="AV3502" s="21">
        <f>IF(AND($AL3502&lt;&gt;"",COUNTIF($AL$11:$AL3502,$AL3502)=1),1,0)</f>
        <v>0</v>
      </c>
      <c r="AW3502" s="21">
        <f t="shared" si="195"/>
        <v>0</v>
      </c>
      <c r="AX3502" s="21" t="str">
        <f t="shared" si="194"/>
        <v/>
      </c>
      <c r="AY3502" s="21" t="str">
        <f>IF(AND($AM3502&lt;&gt;"",$AS3502&lt;&gt;"✓"),SUMPRODUCT(($AM$11:$AM3502&lt;&gt;"")*($AS$11:$AS3502&lt;&gt;"✓")),"")</f>
        <v/>
      </c>
      <c r="AZ3502" s="21" t="str">
        <f>IF(AND($AM3502&lt;&gt;"",$AS3502="✓"),SUMPRODUCT(($AM$11:$AM3502&lt;&gt;"")*($AS$11:$AS3502="✓")),"")</f>
        <v/>
      </c>
      <c r="BA3502" s="21" t="str">
        <f>IF($AL3502="","",$AL3502&amp;"|"&amp;COUNTIF($AL$11:$AL3502,$AL3502))</f>
        <v/>
      </c>
    </row>
    <row r="3503" spans="38:53" ht="15" customHeight="1" x14ac:dyDescent="0.25">
      <c r="AL3503" s="17"/>
      <c r="AM3503" s="12"/>
      <c r="AN3503" s="18"/>
      <c r="AO3503" s="18"/>
      <c r="AP3503" s="10"/>
      <c r="AQ3503" s="10"/>
      <c r="AR3503" s="19"/>
      <c r="AS3503" s="20"/>
      <c r="AT3503" s="19"/>
      <c r="AV3503" s="21">
        <f>IF(AND($AL3503&lt;&gt;"",COUNTIF($AL$11:$AL3503,$AL3503)=1),1,0)</f>
        <v>0</v>
      </c>
      <c r="AW3503" s="21">
        <f t="shared" si="195"/>
        <v>0</v>
      </c>
      <c r="AX3503" s="21" t="str">
        <f t="shared" si="194"/>
        <v/>
      </c>
      <c r="AY3503" s="21" t="str">
        <f>IF(AND($AM3503&lt;&gt;"",$AS3503&lt;&gt;"✓"),SUMPRODUCT(($AM$11:$AM3503&lt;&gt;"")*($AS$11:$AS3503&lt;&gt;"✓")),"")</f>
        <v/>
      </c>
      <c r="AZ3503" s="21" t="str">
        <f>IF(AND($AM3503&lt;&gt;"",$AS3503="✓"),SUMPRODUCT(($AM$11:$AM3503&lt;&gt;"")*($AS$11:$AS3503="✓")),"")</f>
        <v/>
      </c>
      <c r="BA3503" s="21" t="str">
        <f>IF($AL3503="","",$AL3503&amp;"|"&amp;COUNTIF($AL$11:$AL3503,$AL3503))</f>
        <v/>
      </c>
    </row>
    <row r="3504" spans="38:53" ht="15" customHeight="1" x14ac:dyDescent="0.25">
      <c r="AL3504" s="31"/>
      <c r="AM3504" s="26"/>
      <c r="AN3504" s="32"/>
      <c r="AO3504" s="32"/>
      <c r="AP3504" s="24"/>
      <c r="AQ3504" s="24"/>
      <c r="AR3504" s="33"/>
      <c r="AS3504" s="34"/>
      <c r="AT3504" s="33"/>
      <c r="AV3504" s="21">
        <f>IF(AND($AL3504&lt;&gt;"",COUNTIF($AL$11:$AL3504,$AL3504)=1),1,0)</f>
        <v>0</v>
      </c>
      <c r="AW3504" s="21">
        <f t="shared" si="195"/>
        <v>0</v>
      </c>
      <c r="AX3504" s="21" t="str">
        <f t="shared" si="194"/>
        <v/>
      </c>
      <c r="AY3504" s="21" t="str">
        <f>IF(AND($AM3504&lt;&gt;"",$AS3504&lt;&gt;"✓"),SUMPRODUCT(($AM$11:$AM3504&lt;&gt;"")*($AS$11:$AS3504&lt;&gt;"✓")),"")</f>
        <v/>
      </c>
      <c r="AZ3504" s="21" t="str">
        <f>IF(AND($AM3504&lt;&gt;"",$AS3504="✓"),SUMPRODUCT(($AM$11:$AM3504&lt;&gt;"")*($AS$11:$AS3504="✓")),"")</f>
        <v/>
      </c>
      <c r="BA3504" s="21" t="str">
        <f>IF($AL3504="","",$AL3504&amp;"|"&amp;COUNTIF($AL$11:$AL3504,$AL3504))</f>
        <v/>
      </c>
    </row>
    <row r="3505" spans="38:53" ht="15" customHeight="1" x14ac:dyDescent="0.25">
      <c r="AL3505" s="17"/>
      <c r="AM3505" s="12"/>
      <c r="AN3505" s="18"/>
      <c r="AO3505" s="18"/>
      <c r="AP3505" s="10"/>
      <c r="AQ3505" s="10"/>
      <c r="AR3505" s="19"/>
      <c r="AS3505" s="20"/>
      <c r="AT3505" s="19"/>
      <c r="AV3505" s="21">
        <f>IF(AND($AL3505&lt;&gt;"",COUNTIF($AL$11:$AL3505,$AL3505)=1),1,0)</f>
        <v>0</v>
      </c>
      <c r="AW3505" s="21">
        <f t="shared" si="195"/>
        <v>0</v>
      </c>
      <c r="AX3505" s="21" t="str">
        <f t="shared" si="194"/>
        <v/>
      </c>
      <c r="AY3505" s="21" t="str">
        <f>IF(AND($AM3505&lt;&gt;"",$AS3505&lt;&gt;"✓"),SUMPRODUCT(($AM$11:$AM3505&lt;&gt;"")*($AS$11:$AS3505&lt;&gt;"✓")),"")</f>
        <v/>
      </c>
      <c r="AZ3505" s="21" t="str">
        <f>IF(AND($AM3505&lt;&gt;"",$AS3505="✓"),SUMPRODUCT(($AM$11:$AM3505&lt;&gt;"")*($AS$11:$AS3505="✓")),"")</f>
        <v/>
      </c>
      <c r="BA3505" s="21" t="str">
        <f>IF($AL3505="","",$AL3505&amp;"|"&amp;COUNTIF($AL$11:$AL3505,$AL3505))</f>
        <v/>
      </c>
    </row>
    <row r="3506" spans="38:53" ht="15" customHeight="1" x14ac:dyDescent="0.25">
      <c r="AL3506" s="31"/>
      <c r="AM3506" s="26"/>
      <c r="AN3506" s="32"/>
      <c r="AO3506" s="32"/>
      <c r="AP3506" s="24"/>
      <c r="AQ3506" s="24"/>
      <c r="AR3506" s="33"/>
      <c r="AS3506" s="34"/>
      <c r="AT3506" s="33"/>
      <c r="AV3506" s="21">
        <f>IF(AND($AL3506&lt;&gt;"",COUNTIF($AL$11:$AL3506,$AL3506)=1),1,0)</f>
        <v>0</v>
      </c>
      <c r="AW3506" s="21">
        <f t="shared" si="195"/>
        <v>0</v>
      </c>
      <c r="AX3506" s="21" t="str">
        <f t="shared" si="194"/>
        <v/>
      </c>
      <c r="AY3506" s="21" t="str">
        <f>IF(AND($AM3506&lt;&gt;"",$AS3506&lt;&gt;"✓"),SUMPRODUCT(($AM$11:$AM3506&lt;&gt;"")*($AS$11:$AS3506&lt;&gt;"✓")),"")</f>
        <v/>
      </c>
      <c r="AZ3506" s="21" t="str">
        <f>IF(AND($AM3506&lt;&gt;"",$AS3506="✓"),SUMPRODUCT(($AM$11:$AM3506&lt;&gt;"")*($AS$11:$AS3506="✓")),"")</f>
        <v/>
      </c>
      <c r="BA3506" s="21" t="str">
        <f>IF($AL3506="","",$AL3506&amp;"|"&amp;COUNTIF($AL$11:$AL3506,$AL3506))</f>
        <v/>
      </c>
    </row>
    <row r="3507" spans="38:53" ht="15" customHeight="1" x14ac:dyDescent="0.25">
      <c r="AL3507" s="17"/>
      <c r="AM3507" s="12"/>
      <c r="AN3507" s="18"/>
      <c r="AO3507" s="18"/>
      <c r="AP3507" s="10"/>
      <c r="AQ3507" s="10"/>
      <c r="AR3507" s="19"/>
      <c r="AS3507" s="20"/>
      <c r="AT3507" s="19"/>
      <c r="AV3507" s="21">
        <f>IF(AND($AL3507&lt;&gt;"",COUNTIF($AL$11:$AL3507,$AL3507)=1),1,0)</f>
        <v>0</v>
      </c>
      <c r="AW3507" s="21">
        <f t="shared" si="195"/>
        <v>0</v>
      </c>
      <c r="AX3507" s="21" t="str">
        <f t="shared" si="194"/>
        <v/>
      </c>
      <c r="AY3507" s="21" t="str">
        <f>IF(AND($AM3507&lt;&gt;"",$AS3507&lt;&gt;"✓"),SUMPRODUCT(($AM$11:$AM3507&lt;&gt;"")*($AS$11:$AS3507&lt;&gt;"✓")),"")</f>
        <v/>
      </c>
      <c r="AZ3507" s="21" t="str">
        <f>IF(AND($AM3507&lt;&gt;"",$AS3507="✓"),SUMPRODUCT(($AM$11:$AM3507&lt;&gt;"")*($AS$11:$AS3507="✓")),"")</f>
        <v/>
      </c>
      <c r="BA3507" s="21" t="str">
        <f>IF($AL3507="","",$AL3507&amp;"|"&amp;COUNTIF($AL$11:$AL3507,$AL3507))</f>
        <v/>
      </c>
    </row>
    <row r="3508" spans="38:53" ht="15" customHeight="1" x14ac:dyDescent="0.25">
      <c r="AL3508" s="31"/>
      <c r="AM3508" s="26"/>
      <c r="AN3508" s="32"/>
      <c r="AO3508" s="32"/>
      <c r="AP3508" s="24"/>
      <c r="AQ3508" s="24"/>
      <c r="AR3508" s="33"/>
      <c r="AS3508" s="34"/>
      <c r="AT3508" s="33"/>
      <c r="AV3508" s="21">
        <f>IF(AND($AL3508&lt;&gt;"",COUNTIF($AL$11:$AL3508,$AL3508)=1),1,0)</f>
        <v>0</v>
      </c>
      <c r="AW3508" s="21">
        <f t="shared" si="195"/>
        <v>0</v>
      </c>
      <c r="AX3508" s="21" t="str">
        <f t="shared" si="194"/>
        <v/>
      </c>
      <c r="AY3508" s="21" t="str">
        <f>IF(AND($AM3508&lt;&gt;"",$AS3508&lt;&gt;"✓"),SUMPRODUCT(($AM$11:$AM3508&lt;&gt;"")*($AS$11:$AS3508&lt;&gt;"✓")),"")</f>
        <v/>
      </c>
      <c r="AZ3508" s="21" t="str">
        <f>IF(AND($AM3508&lt;&gt;"",$AS3508="✓"),SUMPRODUCT(($AM$11:$AM3508&lt;&gt;"")*($AS$11:$AS3508="✓")),"")</f>
        <v/>
      </c>
      <c r="BA3508" s="21" t="str">
        <f>IF($AL3508="","",$AL3508&amp;"|"&amp;COUNTIF($AL$11:$AL3508,$AL3508))</f>
        <v/>
      </c>
    </row>
    <row r="3509" spans="38:53" ht="15" customHeight="1" x14ac:dyDescent="0.25">
      <c r="AL3509" s="17"/>
      <c r="AM3509" s="12"/>
      <c r="AN3509" s="18"/>
      <c r="AO3509" s="18"/>
      <c r="AP3509" s="10"/>
      <c r="AQ3509" s="10"/>
      <c r="AR3509" s="19"/>
      <c r="AS3509" s="20"/>
      <c r="AT3509" s="19"/>
      <c r="AV3509" s="21">
        <f>IF(AND($AL3509&lt;&gt;"",COUNTIF($AL$11:$AL3509,$AL3509)=1),1,0)</f>
        <v>0</v>
      </c>
      <c r="AW3509" s="21">
        <f t="shared" si="195"/>
        <v>0</v>
      </c>
      <c r="AX3509" s="21" t="str">
        <f t="shared" si="194"/>
        <v/>
      </c>
      <c r="AY3509" s="21" t="str">
        <f>IF(AND($AM3509&lt;&gt;"",$AS3509&lt;&gt;"✓"),SUMPRODUCT(($AM$11:$AM3509&lt;&gt;"")*($AS$11:$AS3509&lt;&gt;"✓")),"")</f>
        <v/>
      </c>
      <c r="AZ3509" s="21" t="str">
        <f>IF(AND($AM3509&lt;&gt;"",$AS3509="✓"),SUMPRODUCT(($AM$11:$AM3509&lt;&gt;"")*($AS$11:$AS3509="✓")),"")</f>
        <v/>
      </c>
      <c r="BA3509" s="21" t="str">
        <f>IF($AL3509="","",$AL3509&amp;"|"&amp;COUNTIF($AL$11:$AL3509,$AL3509))</f>
        <v/>
      </c>
    </row>
    <row r="3510" spans="38:53" ht="15" customHeight="1" x14ac:dyDescent="0.25">
      <c r="AL3510" s="31"/>
      <c r="AM3510" s="26"/>
      <c r="AN3510" s="32"/>
      <c r="AO3510" s="32"/>
      <c r="AP3510" s="24"/>
      <c r="AQ3510" s="24"/>
      <c r="AR3510" s="33"/>
      <c r="AS3510" s="34"/>
      <c r="AT3510" s="33"/>
      <c r="AV3510" s="21">
        <f>IF(AND($AL3510&lt;&gt;"",COUNTIF($AL$11:$AL3510,$AL3510)=1),1,0)</f>
        <v>0</v>
      </c>
      <c r="AW3510" s="21">
        <f t="shared" si="195"/>
        <v>0</v>
      </c>
      <c r="AX3510" s="21" t="str">
        <f t="shared" si="194"/>
        <v/>
      </c>
      <c r="AY3510" s="21" t="str">
        <f>IF(AND($AM3510&lt;&gt;"",$AS3510&lt;&gt;"✓"),SUMPRODUCT(($AM$11:$AM3510&lt;&gt;"")*($AS$11:$AS3510&lt;&gt;"✓")),"")</f>
        <v/>
      </c>
      <c r="AZ3510" s="21" t="str">
        <f>IF(AND($AM3510&lt;&gt;"",$AS3510="✓"),SUMPRODUCT(($AM$11:$AM3510&lt;&gt;"")*($AS$11:$AS3510="✓")),"")</f>
        <v/>
      </c>
      <c r="BA3510" s="21" t="str">
        <f>IF($AL3510="","",$AL3510&amp;"|"&amp;COUNTIF($AL$11:$AL3510,$AL3510))</f>
        <v/>
      </c>
    </row>
    <row r="3511" spans="38:53" ht="15" customHeight="1" x14ac:dyDescent="0.25">
      <c r="AL3511" s="17"/>
      <c r="AM3511" s="12"/>
      <c r="AN3511" s="18"/>
      <c r="AO3511" s="18"/>
      <c r="AP3511" s="10"/>
      <c r="AQ3511" s="10"/>
      <c r="AR3511" s="19"/>
      <c r="AS3511" s="20"/>
      <c r="AT3511" s="19"/>
      <c r="AV3511" s="21">
        <f>IF(AND($AL3511&lt;&gt;"",COUNTIF($AL$11:$AL3511,$AL3511)=1),1,0)</f>
        <v>0</v>
      </c>
      <c r="AW3511" s="21">
        <f t="shared" si="195"/>
        <v>0</v>
      </c>
      <c r="AX3511" s="21" t="str">
        <f t="shared" si="194"/>
        <v/>
      </c>
      <c r="AY3511" s="21" t="str">
        <f>IF(AND($AM3511&lt;&gt;"",$AS3511&lt;&gt;"✓"),SUMPRODUCT(($AM$11:$AM3511&lt;&gt;"")*($AS$11:$AS3511&lt;&gt;"✓")),"")</f>
        <v/>
      </c>
      <c r="AZ3511" s="21" t="str">
        <f>IF(AND($AM3511&lt;&gt;"",$AS3511="✓"),SUMPRODUCT(($AM$11:$AM3511&lt;&gt;"")*($AS$11:$AS3511="✓")),"")</f>
        <v/>
      </c>
      <c r="BA3511" s="21" t="str">
        <f>IF($AL3511="","",$AL3511&amp;"|"&amp;COUNTIF($AL$11:$AL3511,$AL3511))</f>
        <v/>
      </c>
    </row>
    <row r="3512" spans="38:53" ht="15" customHeight="1" x14ac:dyDescent="0.25">
      <c r="AL3512" s="31"/>
      <c r="AM3512" s="26"/>
      <c r="AN3512" s="32"/>
      <c r="AO3512" s="32"/>
      <c r="AP3512" s="24"/>
      <c r="AQ3512" s="24"/>
      <c r="AR3512" s="33"/>
      <c r="AS3512" s="34"/>
      <c r="AT3512" s="33"/>
      <c r="AV3512" s="21">
        <f>IF(AND($AL3512&lt;&gt;"",COUNTIF($AL$11:$AL3512,$AL3512)=1),1,0)</f>
        <v>0</v>
      </c>
      <c r="AW3512" s="21">
        <f t="shared" si="195"/>
        <v>0</v>
      </c>
      <c r="AX3512" s="21" t="str">
        <f t="shared" si="194"/>
        <v/>
      </c>
      <c r="AY3512" s="21" t="str">
        <f>IF(AND($AM3512&lt;&gt;"",$AS3512&lt;&gt;"✓"),SUMPRODUCT(($AM$11:$AM3512&lt;&gt;"")*($AS$11:$AS3512&lt;&gt;"✓")),"")</f>
        <v/>
      </c>
      <c r="AZ3512" s="21" t="str">
        <f>IF(AND($AM3512&lt;&gt;"",$AS3512="✓"),SUMPRODUCT(($AM$11:$AM3512&lt;&gt;"")*($AS$11:$AS3512="✓")),"")</f>
        <v/>
      </c>
      <c r="BA3512" s="21" t="str">
        <f>IF($AL3512="","",$AL3512&amp;"|"&amp;COUNTIF($AL$11:$AL3512,$AL3512))</f>
        <v/>
      </c>
    </row>
    <row r="3513" spans="38:53" ht="15" customHeight="1" x14ac:dyDescent="0.25">
      <c r="AL3513" s="17"/>
      <c r="AM3513" s="12"/>
      <c r="AN3513" s="18"/>
      <c r="AO3513" s="18"/>
      <c r="AP3513" s="10"/>
      <c r="AQ3513" s="10"/>
      <c r="AR3513" s="19"/>
      <c r="AS3513" s="20"/>
      <c r="AT3513" s="19"/>
      <c r="AV3513" s="21">
        <f>IF(AND($AL3513&lt;&gt;"",COUNTIF($AL$11:$AL3513,$AL3513)=1),1,0)</f>
        <v>0</v>
      </c>
      <c r="AW3513" s="21">
        <f t="shared" si="195"/>
        <v>0</v>
      </c>
      <c r="AX3513" s="21" t="str">
        <f t="shared" si="194"/>
        <v/>
      </c>
      <c r="AY3513" s="21" t="str">
        <f>IF(AND($AM3513&lt;&gt;"",$AS3513&lt;&gt;"✓"),SUMPRODUCT(($AM$11:$AM3513&lt;&gt;"")*($AS$11:$AS3513&lt;&gt;"✓")),"")</f>
        <v/>
      </c>
      <c r="AZ3513" s="21" t="str">
        <f>IF(AND($AM3513&lt;&gt;"",$AS3513="✓"),SUMPRODUCT(($AM$11:$AM3513&lt;&gt;"")*($AS$11:$AS3513="✓")),"")</f>
        <v/>
      </c>
      <c r="BA3513" s="21" t="str">
        <f>IF($AL3513="","",$AL3513&amp;"|"&amp;COUNTIF($AL$11:$AL3513,$AL3513))</f>
        <v/>
      </c>
    </row>
    <row r="3514" spans="38:53" ht="15" customHeight="1" x14ac:dyDescent="0.25">
      <c r="AL3514" s="31"/>
      <c r="AM3514" s="26"/>
      <c r="AN3514" s="32"/>
      <c r="AO3514" s="32"/>
      <c r="AP3514" s="24"/>
      <c r="AQ3514" s="24"/>
      <c r="AR3514" s="33"/>
      <c r="AS3514" s="34"/>
      <c r="AT3514" s="33"/>
      <c r="AV3514" s="21">
        <f>IF(AND($AL3514&lt;&gt;"",COUNTIF($AL$11:$AL3514,$AL3514)=1),1,0)</f>
        <v>0</v>
      </c>
      <c r="AW3514" s="21">
        <f t="shared" si="195"/>
        <v>0</v>
      </c>
      <c r="AX3514" s="21" t="str">
        <f t="shared" si="194"/>
        <v/>
      </c>
      <c r="AY3514" s="21" t="str">
        <f>IF(AND($AM3514&lt;&gt;"",$AS3514&lt;&gt;"✓"),SUMPRODUCT(($AM$11:$AM3514&lt;&gt;"")*($AS$11:$AS3514&lt;&gt;"✓")),"")</f>
        <v/>
      </c>
      <c r="AZ3514" s="21" t="str">
        <f>IF(AND($AM3514&lt;&gt;"",$AS3514="✓"),SUMPRODUCT(($AM$11:$AM3514&lt;&gt;"")*($AS$11:$AS3514="✓")),"")</f>
        <v/>
      </c>
      <c r="BA3514" s="21" t="str">
        <f>IF($AL3514="","",$AL3514&amp;"|"&amp;COUNTIF($AL$11:$AL3514,$AL3514))</f>
        <v/>
      </c>
    </row>
    <row r="3515" spans="38:53" ht="15" customHeight="1" x14ac:dyDescent="0.25">
      <c r="AL3515" s="17"/>
      <c r="AM3515" s="12"/>
      <c r="AN3515" s="18"/>
      <c r="AO3515" s="18"/>
      <c r="AP3515" s="10"/>
      <c r="AQ3515" s="10"/>
      <c r="AR3515" s="19"/>
      <c r="AS3515" s="20"/>
      <c r="AT3515" s="19"/>
      <c r="AV3515" s="21">
        <f>IF(AND($AL3515&lt;&gt;"",COUNTIF($AL$11:$AL3515,$AL3515)=1),1,0)</f>
        <v>0</v>
      </c>
      <c r="AW3515" s="21">
        <f t="shared" si="195"/>
        <v>0</v>
      </c>
      <c r="AX3515" s="21" t="str">
        <f t="shared" si="194"/>
        <v/>
      </c>
      <c r="AY3515" s="21" t="str">
        <f>IF(AND($AM3515&lt;&gt;"",$AS3515&lt;&gt;"✓"),SUMPRODUCT(($AM$11:$AM3515&lt;&gt;"")*($AS$11:$AS3515&lt;&gt;"✓")),"")</f>
        <v/>
      </c>
      <c r="AZ3515" s="21" t="str">
        <f>IF(AND($AM3515&lt;&gt;"",$AS3515="✓"),SUMPRODUCT(($AM$11:$AM3515&lt;&gt;"")*($AS$11:$AS3515="✓")),"")</f>
        <v/>
      </c>
      <c r="BA3515" s="21" t="str">
        <f>IF($AL3515="","",$AL3515&amp;"|"&amp;COUNTIF($AL$11:$AL3515,$AL3515))</f>
        <v/>
      </c>
    </row>
    <row r="3516" spans="38:53" ht="15" customHeight="1" x14ac:dyDescent="0.25">
      <c r="AL3516" s="31"/>
      <c r="AM3516" s="26"/>
      <c r="AN3516" s="32"/>
      <c r="AO3516" s="32"/>
      <c r="AP3516" s="24"/>
      <c r="AQ3516" s="24"/>
      <c r="AR3516" s="33"/>
      <c r="AS3516" s="34"/>
      <c r="AT3516" s="33"/>
      <c r="AV3516" s="21">
        <f>IF(AND($AL3516&lt;&gt;"",COUNTIF($AL$11:$AL3516,$AL3516)=1),1,0)</f>
        <v>0</v>
      </c>
      <c r="AW3516" s="21">
        <f t="shared" si="195"/>
        <v>0</v>
      </c>
      <c r="AX3516" s="21" t="str">
        <f t="shared" si="194"/>
        <v/>
      </c>
      <c r="AY3516" s="21" t="str">
        <f>IF(AND($AM3516&lt;&gt;"",$AS3516&lt;&gt;"✓"),SUMPRODUCT(($AM$11:$AM3516&lt;&gt;"")*($AS$11:$AS3516&lt;&gt;"✓")),"")</f>
        <v/>
      </c>
      <c r="AZ3516" s="21" t="str">
        <f>IF(AND($AM3516&lt;&gt;"",$AS3516="✓"),SUMPRODUCT(($AM$11:$AM3516&lt;&gt;"")*($AS$11:$AS3516="✓")),"")</f>
        <v/>
      </c>
      <c r="BA3516" s="21" t="str">
        <f>IF($AL3516="","",$AL3516&amp;"|"&amp;COUNTIF($AL$11:$AL3516,$AL3516))</f>
        <v/>
      </c>
    </row>
    <row r="3517" spans="38:53" ht="15" customHeight="1" x14ac:dyDescent="0.25">
      <c r="AL3517" s="17"/>
      <c r="AM3517" s="12"/>
      <c r="AN3517" s="18"/>
      <c r="AO3517" s="18"/>
      <c r="AP3517" s="10"/>
      <c r="AQ3517" s="10"/>
      <c r="AR3517" s="19"/>
      <c r="AS3517" s="20"/>
      <c r="AT3517" s="19"/>
      <c r="AV3517" s="21">
        <f>IF(AND($AL3517&lt;&gt;"",COUNTIF($AL$11:$AL3517,$AL3517)=1),1,0)</f>
        <v>0</v>
      </c>
      <c r="AW3517" s="21">
        <f t="shared" si="195"/>
        <v>0</v>
      </c>
      <c r="AX3517" s="21" t="str">
        <f t="shared" si="194"/>
        <v/>
      </c>
      <c r="AY3517" s="21" t="str">
        <f>IF(AND($AM3517&lt;&gt;"",$AS3517&lt;&gt;"✓"),SUMPRODUCT(($AM$11:$AM3517&lt;&gt;"")*($AS$11:$AS3517&lt;&gt;"✓")),"")</f>
        <v/>
      </c>
      <c r="AZ3517" s="21" t="str">
        <f>IF(AND($AM3517&lt;&gt;"",$AS3517="✓"),SUMPRODUCT(($AM$11:$AM3517&lt;&gt;"")*($AS$11:$AS3517="✓")),"")</f>
        <v/>
      </c>
      <c r="BA3517" s="21" t="str">
        <f>IF($AL3517="","",$AL3517&amp;"|"&amp;COUNTIF($AL$11:$AL3517,$AL3517))</f>
        <v/>
      </c>
    </row>
    <row r="3518" spans="38:53" ht="15" customHeight="1" x14ac:dyDescent="0.25">
      <c r="AL3518" s="31"/>
      <c r="AM3518" s="26"/>
      <c r="AN3518" s="32"/>
      <c r="AO3518" s="32"/>
      <c r="AP3518" s="24"/>
      <c r="AQ3518" s="24"/>
      <c r="AR3518" s="33"/>
      <c r="AS3518" s="34"/>
      <c r="AT3518" s="33"/>
      <c r="AV3518" s="21">
        <f>IF(AND($AL3518&lt;&gt;"",COUNTIF($AL$11:$AL3518,$AL3518)=1),1,0)</f>
        <v>0</v>
      </c>
      <c r="AW3518" s="21">
        <f t="shared" si="195"/>
        <v>0</v>
      </c>
      <c r="AX3518" s="21" t="str">
        <f t="shared" si="194"/>
        <v/>
      </c>
      <c r="AY3518" s="21" t="str">
        <f>IF(AND($AM3518&lt;&gt;"",$AS3518&lt;&gt;"✓"),SUMPRODUCT(($AM$11:$AM3518&lt;&gt;"")*($AS$11:$AS3518&lt;&gt;"✓")),"")</f>
        <v/>
      </c>
      <c r="AZ3518" s="21" t="str">
        <f>IF(AND($AM3518&lt;&gt;"",$AS3518="✓"),SUMPRODUCT(($AM$11:$AM3518&lt;&gt;"")*($AS$11:$AS3518="✓")),"")</f>
        <v/>
      </c>
      <c r="BA3518" s="21" t="str">
        <f>IF($AL3518="","",$AL3518&amp;"|"&amp;COUNTIF($AL$11:$AL3518,$AL3518))</f>
        <v/>
      </c>
    </row>
    <row r="3519" spans="38:53" ht="15" customHeight="1" x14ac:dyDescent="0.25">
      <c r="AL3519" s="17"/>
      <c r="AM3519" s="12"/>
      <c r="AN3519" s="18"/>
      <c r="AO3519" s="18"/>
      <c r="AP3519" s="10"/>
      <c r="AQ3519" s="10"/>
      <c r="AR3519" s="19"/>
      <c r="AS3519" s="20"/>
      <c r="AT3519" s="19"/>
      <c r="AV3519" s="21">
        <f>IF(AND($AL3519&lt;&gt;"",COUNTIF($AL$11:$AL3519,$AL3519)=1),1,0)</f>
        <v>0</v>
      </c>
      <c r="AW3519" s="21">
        <f t="shared" si="195"/>
        <v>0</v>
      </c>
      <c r="AX3519" s="21" t="str">
        <f t="shared" si="194"/>
        <v/>
      </c>
      <c r="AY3519" s="21" t="str">
        <f>IF(AND($AM3519&lt;&gt;"",$AS3519&lt;&gt;"✓"),SUMPRODUCT(($AM$11:$AM3519&lt;&gt;"")*($AS$11:$AS3519&lt;&gt;"✓")),"")</f>
        <v/>
      </c>
      <c r="AZ3519" s="21" t="str">
        <f>IF(AND($AM3519&lt;&gt;"",$AS3519="✓"),SUMPRODUCT(($AM$11:$AM3519&lt;&gt;"")*($AS$11:$AS3519="✓")),"")</f>
        <v/>
      </c>
      <c r="BA3519" s="21" t="str">
        <f>IF($AL3519="","",$AL3519&amp;"|"&amp;COUNTIF($AL$11:$AL3519,$AL3519))</f>
        <v/>
      </c>
    </row>
    <row r="3520" spans="38:53" ht="15" customHeight="1" x14ac:dyDescent="0.25">
      <c r="AL3520" s="31"/>
      <c r="AM3520" s="26"/>
      <c r="AN3520" s="32"/>
      <c r="AO3520" s="32"/>
      <c r="AP3520" s="24"/>
      <c r="AQ3520" s="24"/>
      <c r="AR3520" s="33"/>
      <c r="AS3520" s="34"/>
      <c r="AT3520" s="33"/>
      <c r="AV3520" s="21">
        <f>IF(AND($AL3520&lt;&gt;"",COUNTIF($AL$11:$AL3520,$AL3520)=1),1,0)</f>
        <v>0</v>
      </c>
      <c r="AW3520" s="21">
        <f t="shared" si="195"/>
        <v>0</v>
      </c>
      <c r="AX3520" s="21" t="str">
        <f t="shared" si="194"/>
        <v/>
      </c>
      <c r="AY3520" s="21" t="str">
        <f>IF(AND($AM3520&lt;&gt;"",$AS3520&lt;&gt;"✓"),SUMPRODUCT(($AM$11:$AM3520&lt;&gt;"")*($AS$11:$AS3520&lt;&gt;"✓")),"")</f>
        <v/>
      </c>
      <c r="AZ3520" s="21" t="str">
        <f>IF(AND($AM3520&lt;&gt;"",$AS3520="✓"),SUMPRODUCT(($AM$11:$AM3520&lt;&gt;"")*($AS$11:$AS3520="✓")),"")</f>
        <v/>
      </c>
      <c r="BA3520" s="21" t="str">
        <f>IF($AL3520="","",$AL3520&amp;"|"&amp;COUNTIF($AL$11:$AL3520,$AL3520))</f>
        <v/>
      </c>
    </row>
    <row r="3521" spans="38:53" ht="15" customHeight="1" x14ac:dyDescent="0.25">
      <c r="AL3521" s="17"/>
      <c r="AM3521" s="12"/>
      <c r="AN3521" s="18"/>
      <c r="AO3521" s="18"/>
      <c r="AP3521" s="10"/>
      <c r="AQ3521" s="10"/>
      <c r="AR3521" s="19"/>
      <c r="AS3521" s="20"/>
      <c r="AT3521" s="19"/>
      <c r="AV3521" s="21">
        <f>IF(AND($AL3521&lt;&gt;"",COUNTIF($AL$11:$AL3521,$AL3521)=1),1,0)</f>
        <v>0</v>
      </c>
      <c r="AW3521" s="21">
        <f t="shared" si="195"/>
        <v>0</v>
      </c>
      <c r="AX3521" s="21" t="str">
        <f t="shared" si="194"/>
        <v/>
      </c>
      <c r="AY3521" s="21" t="str">
        <f>IF(AND($AM3521&lt;&gt;"",$AS3521&lt;&gt;"✓"),SUMPRODUCT(($AM$11:$AM3521&lt;&gt;"")*($AS$11:$AS3521&lt;&gt;"✓")),"")</f>
        <v/>
      </c>
      <c r="AZ3521" s="21" t="str">
        <f>IF(AND($AM3521&lt;&gt;"",$AS3521="✓"),SUMPRODUCT(($AM$11:$AM3521&lt;&gt;"")*($AS$11:$AS3521="✓")),"")</f>
        <v/>
      </c>
      <c r="BA3521" s="21" t="str">
        <f>IF($AL3521="","",$AL3521&amp;"|"&amp;COUNTIF($AL$11:$AL3521,$AL3521))</f>
        <v/>
      </c>
    </row>
    <row r="3522" spans="38:53" ht="15" customHeight="1" x14ac:dyDescent="0.25">
      <c r="AL3522" s="31"/>
      <c r="AM3522" s="26"/>
      <c r="AN3522" s="32"/>
      <c r="AO3522" s="32"/>
      <c r="AP3522" s="24"/>
      <c r="AQ3522" s="24"/>
      <c r="AR3522" s="33"/>
      <c r="AS3522" s="34"/>
      <c r="AT3522" s="33"/>
      <c r="AV3522" s="21">
        <f>IF(AND($AL3522&lt;&gt;"",COUNTIF($AL$11:$AL3522,$AL3522)=1),1,0)</f>
        <v>0</v>
      </c>
      <c r="AW3522" s="21">
        <f t="shared" si="195"/>
        <v>0</v>
      </c>
      <c r="AX3522" s="21" t="str">
        <f t="shared" si="194"/>
        <v/>
      </c>
      <c r="AY3522" s="21" t="str">
        <f>IF(AND($AM3522&lt;&gt;"",$AS3522&lt;&gt;"✓"),SUMPRODUCT(($AM$11:$AM3522&lt;&gt;"")*($AS$11:$AS3522&lt;&gt;"✓")),"")</f>
        <v/>
      </c>
      <c r="AZ3522" s="21" t="str">
        <f>IF(AND($AM3522&lt;&gt;"",$AS3522="✓"),SUMPRODUCT(($AM$11:$AM3522&lt;&gt;"")*($AS$11:$AS3522="✓")),"")</f>
        <v/>
      </c>
      <c r="BA3522" s="21" t="str">
        <f>IF($AL3522="","",$AL3522&amp;"|"&amp;COUNTIF($AL$11:$AL3522,$AL3522))</f>
        <v/>
      </c>
    </row>
    <row r="3523" spans="38:53" ht="15" customHeight="1" x14ac:dyDescent="0.25">
      <c r="AL3523" s="17"/>
      <c r="AM3523" s="12"/>
      <c r="AN3523" s="18"/>
      <c r="AO3523" s="18"/>
      <c r="AP3523" s="10"/>
      <c r="AQ3523" s="10"/>
      <c r="AR3523" s="19"/>
      <c r="AS3523" s="20"/>
      <c r="AT3523" s="19"/>
      <c r="AV3523" s="21">
        <f>IF(AND($AL3523&lt;&gt;"",COUNTIF($AL$11:$AL3523,$AL3523)=1),1,0)</f>
        <v>0</v>
      </c>
      <c r="AW3523" s="21">
        <f t="shared" si="195"/>
        <v>0</v>
      </c>
      <c r="AX3523" s="21" t="str">
        <f t="shared" si="194"/>
        <v/>
      </c>
      <c r="AY3523" s="21" t="str">
        <f>IF(AND($AM3523&lt;&gt;"",$AS3523&lt;&gt;"✓"),SUMPRODUCT(($AM$11:$AM3523&lt;&gt;"")*($AS$11:$AS3523&lt;&gt;"✓")),"")</f>
        <v/>
      </c>
      <c r="AZ3523" s="21" t="str">
        <f>IF(AND($AM3523&lt;&gt;"",$AS3523="✓"),SUMPRODUCT(($AM$11:$AM3523&lt;&gt;"")*($AS$11:$AS3523="✓")),"")</f>
        <v/>
      </c>
      <c r="BA3523" s="21" t="str">
        <f>IF($AL3523="","",$AL3523&amp;"|"&amp;COUNTIF($AL$11:$AL3523,$AL3523))</f>
        <v/>
      </c>
    </row>
    <row r="3524" spans="38:53" ht="15" customHeight="1" x14ac:dyDescent="0.25">
      <c r="AL3524" s="31"/>
      <c r="AM3524" s="26"/>
      <c r="AN3524" s="32"/>
      <c r="AO3524" s="32"/>
      <c r="AP3524" s="24"/>
      <c r="AQ3524" s="24"/>
      <c r="AR3524" s="33"/>
      <c r="AS3524" s="34"/>
      <c r="AT3524" s="33"/>
      <c r="AV3524" s="21">
        <f>IF(AND($AL3524&lt;&gt;"",COUNTIF($AL$11:$AL3524,$AL3524)=1),1,0)</f>
        <v>0</v>
      </c>
      <c r="AW3524" s="21">
        <f t="shared" si="195"/>
        <v>0</v>
      </c>
      <c r="AX3524" s="21" t="str">
        <f t="shared" si="194"/>
        <v/>
      </c>
      <c r="AY3524" s="21" t="str">
        <f>IF(AND($AM3524&lt;&gt;"",$AS3524&lt;&gt;"✓"),SUMPRODUCT(($AM$11:$AM3524&lt;&gt;"")*($AS$11:$AS3524&lt;&gt;"✓")),"")</f>
        <v/>
      </c>
      <c r="AZ3524" s="21" t="str">
        <f>IF(AND($AM3524&lt;&gt;"",$AS3524="✓"),SUMPRODUCT(($AM$11:$AM3524&lt;&gt;"")*($AS$11:$AS3524="✓")),"")</f>
        <v/>
      </c>
      <c r="BA3524" s="21" t="str">
        <f>IF($AL3524="","",$AL3524&amp;"|"&amp;COUNTIF($AL$11:$AL3524,$AL3524))</f>
        <v/>
      </c>
    </row>
    <row r="3525" spans="38:53" ht="15" customHeight="1" x14ac:dyDescent="0.25">
      <c r="AL3525" s="17"/>
      <c r="AM3525" s="12"/>
      <c r="AN3525" s="18"/>
      <c r="AO3525" s="18"/>
      <c r="AP3525" s="10"/>
      <c r="AQ3525" s="10"/>
      <c r="AR3525" s="19"/>
      <c r="AS3525" s="20"/>
      <c r="AT3525" s="19"/>
      <c r="AV3525" s="21">
        <f>IF(AND($AL3525&lt;&gt;"",COUNTIF($AL$11:$AL3525,$AL3525)=1),1,0)</f>
        <v>0</v>
      </c>
      <c r="AW3525" s="21">
        <f t="shared" si="195"/>
        <v>0</v>
      </c>
      <c r="AX3525" s="21" t="str">
        <f t="shared" si="194"/>
        <v/>
      </c>
      <c r="AY3525" s="21" t="str">
        <f>IF(AND($AM3525&lt;&gt;"",$AS3525&lt;&gt;"✓"),SUMPRODUCT(($AM$11:$AM3525&lt;&gt;"")*($AS$11:$AS3525&lt;&gt;"✓")),"")</f>
        <v/>
      </c>
      <c r="AZ3525" s="21" t="str">
        <f>IF(AND($AM3525&lt;&gt;"",$AS3525="✓"),SUMPRODUCT(($AM$11:$AM3525&lt;&gt;"")*($AS$11:$AS3525="✓")),"")</f>
        <v/>
      </c>
      <c r="BA3525" s="21" t="str">
        <f>IF($AL3525="","",$AL3525&amp;"|"&amp;COUNTIF($AL$11:$AL3525,$AL3525))</f>
        <v/>
      </c>
    </row>
    <row r="3526" spans="38:53" ht="15" customHeight="1" x14ac:dyDescent="0.25">
      <c r="AL3526" s="31"/>
      <c r="AM3526" s="26"/>
      <c r="AN3526" s="32"/>
      <c r="AO3526" s="32"/>
      <c r="AP3526" s="24"/>
      <c r="AQ3526" s="24"/>
      <c r="AR3526" s="33"/>
      <c r="AS3526" s="34"/>
      <c r="AT3526" s="33"/>
      <c r="AV3526" s="21">
        <f>IF(AND($AL3526&lt;&gt;"",COUNTIF($AL$11:$AL3526,$AL3526)=1),1,0)</f>
        <v>0</v>
      </c>
      <c r="AW3526" s="21">
        <f t="shared" si="195"/>
        <v>0</v>
      </c>
      <c r="AX3526" s="21" t="str">
        <f t="shared" si="194"/>
        <v/>
      </c>
      <c r="AY3526" s="21" t="str">
        <f>IF(AND($AM3526&lt;&gt;"",$AS3526&lt;&gt;"✓"),SUMPRODUCT(($AM$11:$AM3526&lt;&gt;"")*($AS$11:$AS3526&lt;&gt;"✓")),"")</f>
        <v/>
      </c>
      <c r="AZ3526" s="21" t="str">
        <f>IF(AND($AM3526&lt;&gt;"",$AS3526="✓"),SUMPRODUCT(($AM$11:$AM3526&lt;&gt;"")*($AS$11:$AS3526="✓")),"")</f>
        <v/>
      </c>
      <c r="BA3526" s="21" t="str">
        <f>IF($AL3526="","",$AL3526&amp;"|"&amp;COUNTIF($AL$11:$AL3526,$AL3526))</f>
        <v/>
      </c>
    </row>
    <row r="3527" spans="38:53" ht="15" customHeight="1" x14ac:dyDescent="0.25">
      <c r="AL3527" s="17"/>
      <c r="AM3527" s="12"/>
      <c r="AN3527" s="18"/>
      <c r="AO3527" s="18"/>
      <c r="AP3527" s="10"/>
      <c r="AQ3527" s="10"/>
      <c r="AR3527" s="19"/>
      <c r="AS3527" s="20"/>
      <c r="AT3527" s="19"/>
      <c r="AV3527" s="21">
        <f>IF(AND($AL3527&lt;&gt;"",COUNTIF($AL$11:$AL3527,$AL3527)=1),1,0)</f>
        <v>0</v>
      </c>
      <c r="AW3527" s="21">
        <f t="shared" si="195"/>
        <v>0</v>
      </c>
      <c r="AX3527" s="21" t="str">
        <f t="shared" si="194"/>
        <v/>
      </c>
      <c r="AY3527" s="21" t="str">
        <f>IF(AND($AM3527&lt;&gt;"",$AS3527&lt;&gt;"✓"),SUMPRODUCT(($AM$11:$AM3527&lt;&gt;"")*($AS$11:$AS3527&lt;&gt;"✓")),"")</f>
        <v/>
      </c>
      <c r="AZ3527" s="21" t="str">
        <f>IF(AND($AM3527&lt;&gt;"",$AS3527="✓"),SUMPRODUCT(($AM$11:$AM3527&lt;&gt;"")*($AS$11:$AS3527="✓")),"")</f>
        <v/>
      </c>
      <c r="BA3527" s="21" t="str">
        <f>IF($AL3527="","",$AL3527&amp;"|"&amp;COUNTIF($AL$11:$AL3527,$AL3527))</f>
        <v/>
      </c>
    </row>
    <row r="3528" spans="38:53" ht="15" customHeight="1" x14ac:dyDescent="0.25">
      <c r="AL3528" s="31"/>
      <c r="AM3528" s="26"/>
      <c r="AN3528" s="32"/>
      <c r="AO3528" s="32"/>
      <c r="AP3528" s="24"/>
      <c r="AQ3528" s="24"/>
      <c r="AR3528" s="33"/>
      <c r="AS3528" s="34"/>
      <c r="AT3528" s="33"/>
      <c r="AV3528" s="21">
        <f>IF(AND($AL3528&lt;&gt;"",COUNTIF($AL$11:$AL3528,$AL3528)=1),1,0)</f>
        <v>0</v>
      </c>
      <c r="AW3528" s="21">
        <f t="shared" si="195"/>
        <v>0</v>
      </c>
      <c r="AX3528" s="21" t="str">
        <f t="shared" si="194"/>
        <v/>
      </c>
      <c r="AY3528" s="21" t="str">
        <f>IF(AND($AM3528&lt;&gt;"",$AS3528&lt;&gt;"✓"),SUMPRODUCT(($AM$11:$AM3528&lt;&gt;"")*($AS$11:$AS3528&lt;&gt;"✓")),"")</f>
        <v/>
      </c>
      <c r="AZ3528" s="21" t="str">
        <f>IF(AND($AM3528&lt;&gt;"",$AS3528="✓"),SUMPRODUCT(($AM$11:$AM3528&lt;&gt;"")*($AS$11:$AS3528="✓")),"")</f>
        <v/>
      </c>
      <c r="BA3528" s="21" t="str">
        <f>IF($AL3528="","",$AL3528&amp;"|"&amp;COUNTIF($AL$11:$AL3528,$AL3528))</f>
        <v/>
      </c>
    </row>
    <row r="3529" spans="38:53" ht="15" customHeight="1" x14ac:dyDescent="0.25">
      <c r="AL3529" s="17"/>
      <c r="AM3529" s="12"/>
      <c r="AN3529" s="18"/>
      <c r="AO3529" s="18"/>
      <c r="AP3529" s="10"/>
      <c r="AQ3529" s="10"/>
      <c r="AR3529" s="19"/>
      <c r="AS3529" s="20"/>
      <c r="AT3529" s="19"/>
      <c r="AV3529" s="21">
        <f>IF(AND($AL3529&lt;&gt;"",COUNTIF($AL$11:$AL3529,$AL3529)=1),1,0)</f>
        <v>0</v>
      </c>
      <c r="AW3529" s="21">
        <f t="shared" si="195"/>
        <v>0</v>
      </c>
      <c r="AX3529" s="21" t="str">
        <f t="shared" si="194"/>
        <v/>
      </c>
      <c r="AY3529" s="21" t="str">
        <f>IF(AND($AM3529&lt;&gt;"",$AS3529&lt;&gt;"✓"),SUMPRODUCT(($AM$11:$AM3529&lt;&gt;"")*($AS$11:$AS3529&lt;&gt;"✓")),"")</f>
        <v/>
      </c>
      <c r="AZ3529" s="21" t="str">
        <f>IF(AND($AM3529&lt;&gt;"",$AS3529="✓"),SUMPRODUCT(($AM$11:$AM3529&lt;&gt;"")*($AS$11:$AS3529="✓")),"")</f>
        <v/>
      </c>
      <c r="BA3529" s="21" t="str">
        <f>IF($AL3529="","",$AL3529&amp;"|"&amp;COUNTIF($AL$11:$AL3529,$AL3529))</f>
        <v/>
      </c>
    </row>
    <row r="3530" spans="38:53" ht="15" customHeight="1" x14ac:dyDescent="0.25">
      <c r="AL3530" s="31"/>
      <c r="AM3530" s="26"/>
      <c r="AN3530" s="32"/>
      <c r="AO3530" s="32"/>
      <c r="AP3530" s="24"/>
      <c r="AQ3530" s="24"/>
      <c r="AR3530" s="33"/>
      <c r="AS3530" s="34"/>
      <c r="AT3530" s="33"/>
      <c r="AV3530" s="21">
        <f>IF(AND($AL3530&lt;&gt;"",COUNTIF($AL$11:$AL3530,$AL3530)=1),1,0)</f>
        <v>0</v>
      </c>
      <c r="AW3530" s="21">
        <f t="shared" si="195"/>
        <v>0</v>
      </c>
      <c r="AX3530" s="21" t="str">
        <f t="shared" si="194"/>
        <v/>
      </c>
      <c r="AY3530" s="21" t="str">
        <f>IF(AND($AM3530&lt;&gt;"",$AS3530&lt;&gt;"✓"),SUMPRODUCT(($AM$11:$AM3530&lt;&gt;"")*($AS$11:$AS3530&lt;&gt;"✓")),"")</f>
        <v/>
      </c>
      <c r="AZ3530" s="21" t="str">
        <f>IF(AND($AM3530&lt;&gt;"",$AS3530="✓"),SUMPRODUCT(($AM$11:$AM3530&lt;&gt;"")*($AS$11:$AS3530="✓")),"")</f>
        <v/>
      </c>
      <c r="BA3530" s="21" t="str">
        <f>IF($AL3530="","",$AL3530&amp;"|"&amp;COUNTIF($AL$11:$AL3530,$AL3530))</f>
        <v/>
      </c>
    </row>
    <row r="3531" spans="38:53" ht="15" customHeight="1" x14ac:dyDescent="0.25">
      <c r="AL3531" s="17"/>
      <c r="AM3531" s="12"/>
      <c r="AN3531" s="18"/>
      <c r="AO3531" s="18"/>
      <c r="AP3531" s="10"/>
      <c r="AQ3531" s="10"/>
      <c r="AR3531" s="19"/>
      <c r="AS3531" s="20"/>
      <c r="AT3531" s="19"/>
      <c r="AV3531" s="21">
        <f>IF(AND($AL3531&lt;&gt;"",COUNTIF($AL$11:$AL3531,$AL3531)=1),1,0)</f>
        <v>0</v>
      </c>
      <c r="AW3531" s="21">
        <f t="shared" si="195"/>
        <v>0</v>
      </c>
      <c r="AX3531" s="21" t="str">
        <f t="shared" ref="AX3531:AX3594" si="196">IF(AV3531=1,AW3531,"")</f>
        <v/>
      </c>
      <c r="AY3531" s="21" t="str">
        <f>IF(AND($AM3531&lt;&gt;"",$AS3531&lt;&gt;"✓"),SUMPRODUCT(($AM$11:$AM3531&lt;&gt;"")*($AS$11:$AS3531&lt;&gt;"✓")),"")</f>
        <v/>
      </c>
      <c r="AZ3531" s="21" t="str">
        <f>IF(AND($AM3531&lt;&gt;"",$AS3531="✓"),SUMPRODUCT(($AM$11:$AM3531&lt;&gt;"")*($AS$11:$AS3531="✓")),"")</f>
        <v/>
      </c>
      <c r="BA3531" s="21" t="str">
        <f>IF($AL3531="","",$AL3531&amp;"|"&amp;COUNTIF($AL$11:$AL3531,$AL3531))</f>
        <v/>
      </c>
    </row>
    <row r="3532" spans="38:53" ht="15" customHeight="1" x14ac:dyDescent="0.25">
      <c r="AL3532" s="31"/>
      <c r="AM3532" s="26"/>
      <c r="AN3532" s="32"/>
      <c r="AO3532" s="32"/>
      <c r="AP3532" s="24"/>
      <c r="AQ3532" s="24"/>
      <c r="AR3532" s="33"/>
      <c r="AS3532" s="34"/>
      <c r="AT3532" s="33"/>
      <c r="AV3532" s="21">
        <f>IF(AND($AL3532&lt;&gt;"",COUNTIF($AL$11:$AL3532,$AL3532)=1),1,0)</f>
        <v>0</v>
      </c>
      <c r="AW3532" s="21">
        <f t="shared" ref="AW3532:AW3595" si="197">AW3531+AV3532</f>
        <v>0</v>
      </c>
      <c r="AX3532" s="21" t="str">
        <f t="shared" si="196"/>
        <v/>
      </c>
      <c r="AY3532" s="21" t="str">
        <f>IF(AND($AM3532&lt;&gt;"",$AS3532&lt;&gt;"✓"),SUMPRODUCT(($AM$11:$AM3532&lt;&gt;"")*($AS$11:$AS3532&lt;&gt;"✓")),"")</f>
        <v/>
      </c>
      <c r="AZ3532" s="21" t="str">
        <f>IF(AND($AM3532&lt;&gt;"",$AS3532="✓"),SUMPRODUCT(($AM$11:$AM3532&lt;&gt;"")*($AS$11:$AS3532="✓")),"")</f>
        <v/>
      </c>
      <c r="BA3532" s="21" t="str">
        <f>IF($AL3532="","",$AL3532&amp;"|"&amp;COUNTIF($AL$11:$AL3532,$AL3532))</f>
        <v/>
      </c>
    </row>
    <row r="3533" spans="38:53" ht="15" customHeight="1" x14ac:dyDescent="0.25">
      <c r="AL3533" s="17"/>
      <c r="AM3533" s="12"/>
      <c r="AN3533" s="18"/>
      <c r="AO3533" s="18"/>
      <c r="AP3533" s="10"/>
      <c r="AQ3533" s="10"/>
      <c r="AR3533" s="19"/>
      <c r="AS3533" s="20"/>
      <c r="AT3533" s="19"/>
      <c r="AV3533" s="21">
        <f>IF(AND($AL3533&lt;&gt;"",COUNTIF($AL$11:$AL3533,$AL3533)=1),1,0)</f>
        <v>0</v>
      </c>
      <c r="AW3533" s="21">
        <f t="shared" si="197"/>
        <v>0</v>
      </c>
      <c r="AX3533" s="21" t="str">
        <f t="shared" si="196"/>
        <v/>
      </c>
      <c r="AY3533" s="21" t="str">
        <f>IF(AND($AM3533&lt;&gt;"",$AS3533&lt;&gt;"✓"),SUMPRODUCT(($AM$11:$AM3533&lt;&gt;"")*($AS$11:$AS3533&lt;&gt;"✓")),"")</f>
        <v/>
      </c>
      <c r="AZ3533" s="21" t="str">
        <f>IF(AND($AM3533&lt;&gt;"",$AS3533="✓"),SUMPRODUCT(($AM$11:$AM3533&lt;&gt;"")*($AS$11:$AS3533="✓")),"")</f>
        <v/>
      </c>
      <c r="BA3533" s="21" t="str">
        <f>IF($AL3533="","",$AL3533&amp;"|"&amp;COUNTIF($AL$11:$AL3533,$AL3533))</f>
        <v/>
      </c>
    </row>
    <row r="3534" spans="38:53" ht="15" customHeight="1" x14ac:dyDescent="0.25">
      <c r="AL3534" s="31"/>
      <c r="AM3534" s="26"/>
      <c r="AN3534" s="32"/>
      <c r="AO3534" s="32"/>
      <c r="AP3534" s="24"/>
      <c r="AQ3534" s="24"/>
      <c r="AR3534" s="33"/>
      <c r="AS3534" s="34"/>
      <c r="AT3534" s="33"/>
      <c r="AV3534" s="21">
        <f>IF(AND($AL3534&lt;&gt;"",COUNTIF($AL$11:$AL3534,$AL3534)=1),1,0)</f>
        <v>0</v>
      </c>
      <c r="AW3534" s="21">
        <f t="shared" si="197"/>
        <v>0</v>
      </c>
      <c r="AX3534" s="21" t="str">
        <f t="shared" si="196"/>
        <v/>
      </c>
      <c r="AY3534" s="21" t="str">
        <f>IF(AND($AM3534&lt;&gt;"",$AS3534&lt;&gt;"✓"),SUMPRODUCT(($AM$11:$AM3534&lt;&gt;"")*($AS$11:$AS3534&lt;&gt;"✓")),"")</f>
        <v/>
      </c>
      <c r="AZ3534" s="21" t="str">
        <f>IF(AND($AM3534&lt;&gt;"",$AS3534="✓"),SUMPRODUCT(($AM$11:$AM3534&lt;&gt;"")*($AS$11:$AS3534="✓")),"")</f>
        <v/>
      </c>
      <c r="BA3534" s="21" t="str">
        <f>IF($AL3534="","",$AL3534&amp;"|"&amp;COUNTIF($AL$11:$AL3534,$AL3534))</f>
        <v/>
      </c>
    </row>
    <row r="3535" spans="38:53" ht="15" customHeight="1" x14ac:dyDescent="0.25">
      <c r="AL3535" s="17"/>
      <c r="AM3535" s="12"/>
      <c r="AN3535" s="18"/>
      <c r="AO3535" s="18"/>
      <c r="AP3535" s="10"/>
      <c r="AQ3535" s="10"/>
      <c r="AR3535" s="19"/>
      <c r="AS3535" s="20"/>
      <c r="AT3535" s="19"/>
      <c r="AV3535" s="21">
        <f>IF(AND($AL3535&lt;&gt;"",COUNTIF($AL$11:$AL3535,$AL3535)=1),1,0)</f>
        <v>0</v>
      </c>
      <c r="AW3535" s="21">
        <f t="shared" si="197"/>
        <v>0</v>
      </c>
      <c r="AX3535" s="21" t="str">
        <f t="shared" si="196"/>
        <v/>
      </c>
      <c r="AY3535" s="21" t="str">
        <f>IF(AND($AM3535&lt;&gt;"",$AS3535&lt;&gt;"✓"),SUMPRODUCT(($AM$11:$AM3535&lt;&gt;"")*($AS$11:$AS3535&lt;&gt;"✓")),"")</f>
        <v/>
      </c>
      <c r="AZ3535" s="21" t="str">
        <f>IF(AND($AM3535&lt;&gt;"",$AS3535="✓"),SUMPRODUCT(($AM$11:$AM3535&lt;&gt;"")*($AS$11:$AS3535="✓")),"")</f>
        <v/>
      </c>
      <c r="BA3535" s="21" t="str">
        <f>IF($AL3535="","",$AL3535&amp;"|"&amp;COUNTIF($AL$11:$AL3535,$AL3535))</f>
        <v/>
      </c>
    </row>
    <row r="3536" spans="38:53" ht="15" customHeight="1" x14ac:dyDescent="0.25">
      <c r="AL3536" s="31"/>
      <c r="AM3536" s="26"/>
      <c r="AN3536" s="32"/>
      <c r="AO3536" s="32"/>
      <c r="AP3536" s="24"/>
      <c r="AQ3536" s="24"/>
      <c r="AR3536" s="33"/>
      <c r="AS3536" s="34"/>
      <c r="AT3536" s="33"/>
      <c r="AV3536" s="21">
        <f>IF(AND($AL3536&lt;&gt;"",COUNTIF($AL$11:$AL3536,$AL3536)=1),1,0)</f>
        <v>0</v>
      </c>
      <c r="AW3536" s="21">
        <f t="shared" si="197"/>
        <v>0</v>
      </c>
      <c r="AX3536" s="21" t="str">
        <f t="shared" si="196"/>
        <v/>
      </c>
      <c r="AY3536" s="21" t="str">
        <f>IF(AND($AM3536&lt;&gt;"",$AS3536&lt;&gt;"✓"),SUMPRODUCT(($AM$11:$AM3536&lt;&gt;"")*($AS$11:$AS3536&lt;&gt;"✓")),"")</f>
        <v/>
      </c>
      <c r="AZ3536" s="21" t="str">
        <f>IF(AND($AM3536&lt;&gt;"",$AS3536="✓"),SUMPRODUCT(($AM$11:$AM3536&lt;&gt;"")*($AS$11:$AS3536="✓")),"")</f>
        <v/>
      </c>
      <c r="BA3536" s="21" t="str">
        <f>IF($AL3536="","",$AL3536&amp;"|"&amp;COUNTIF($AL$11:$AL3536,$AL3536))</f>
        <v/>
      </c>
    </row>
    <row r="3537" spans="38:53" ht="15" customHeight="1" x14ac:dyDescent="0.25">
      <c r="AL3537" s="17"/>
      <c r="AM3537" s="12"/>
      <c r="AN3537" s="18"/>
      <c r="AO3537" s="18"/>
      <c r="AP3537" s="10"/>
      <c r="AQ3537" s="10"/>
      <c r="AR3537" s="19"/>
      <c r="AS3537" s="20"/>
      <c r="AT3537" s="19"/>
      <c r="AV3537" s="21">
        <f>IF(AND($AL3537&lt;&gt;"",COUNTIF($AL$11:$AL3537,$AL3537)=1),1,0)</f>
        <v>0</v>
      </c>
      <c r="AW3537" s="21">
        <f t="shared" si="197"/>
        <v>0</v>
      </c>
      <c r="AX3537" s="21" t="str">
        <f t="shared" si="196"/>
        <v/>
      </c>
      <c r="AY3537" s="21" t="str">
        <f>IF(AND($AM3537&lt;&gt;"",$AS3537&lt;&gt;"✓"),SUMPRODUCT(($AM$11:$AM3537&lt;&gt;"")*($AS$11:$AS3537&lt;&gt;"✓")),"")</f>
        <v/>
      </c>
      <c r="AZ3537" s="21" t="str">
        <f>IF(AND($AM3537&lt;&gt;"",$AS3537="✓"),SUMPRODUCT(($AM$11:$AM3537&lt;&gt;"")*($AS$11:$AS3537="✓")),"")</f>
        <v/>
      </c>
      <c r="BA3537" s="21" t="str">
        <f>IF($AL3537="","",$AL3537&amp;"|"&amp;COUNTIF($AL$11:$AL3537,$AL3537))</f>
        <v/>
      </c>
    </row>
    <row r="3538" spans="38:53" ht="15" customHeight="1" x14ac:dyDescent="0.25">
      <c r="AL3538" s="31"/>
      <c r="AM3538" s="26"/>
      <c r="AN3538" s="32"/>
      <c r="AO3538" s="32"/>
      <c r="AP3538" s="24"/>
      <c r="AQ3538" s="24"/>
      <c r="AR3538" s="33"/>
      <c r="AS3538" s="34"/>
      <c r="AT3538" s="33"/>
      <c r="AV3538" s="21">
        <f>IF(AND($AL3538&lt;&gt;"",COUNTIF($AL$11:$AL3538,$AL3538)=1),1,0)</f>
        <v>0</v>
      </c>
      <c r="AW3538" s="21">
        <f t="shared" si="197"/>
        <v>0</v>
      </c>
      <c r="AX3538" s="21" t="str">
        <f t="shared" si="196"/>
        <v/>
      </c>
      <c r="AY3538" s="21" t="str">
        <f>IF(AND($AM3538&lt;&gt;"",$AS3538&lt;&gt;"✓"),SUMPRODUCT(($AM$11:$AM3538&lt;&gt;"")*($AS$11:$AS3538&lt;&gt;"✓")),"")</f>
        <v/>
      </c>
      <c r="AZ3538" s="21" t="str">
        <f>IF(AND($AM3538&lt;&gt;"",$AS3538="✓"),SUMPRODUCT(($AM$11:$AM3538&lt;&gt;"")*($AS$11:$AS3538="✓")),"")</f>
        <v/>
      </c>
      <c r="BA3538" s="21" t="str">
        <f>IF($AL3538="","",$AL3538&amp;"|"&amp;COUNTIF($AL$11:$AL3538,$AL3538))</f>
        <v/>
      </c>
    </row>
    <row r="3539" spans="38:53" ht="15" customHeight="1" x14ac:dyDescent="0.25">
      <c r="AL3539" s="17"/>
      <c r="AM3539" s="12"/>
      <c r="AN3539" s="18"/>
      <c r="AO3539" s="18"/>
      <c r="AP3539" s="10"/>
      <c r="AQ3539" s="10"/>
      <c r="AR3539" s="19"/>
      <c r="AS3539" s="20"/>
      <c r="AT3539" s="19"/>
      <c r="AV3539" s="21">
        <f>IF(AND($AL3539&lt;&gt;"",COUNTIF($AL$11:$AL3539,$AL3539)=1),1,0)</f>
        <v>0</v>
      </c>
      <c r="AW3539" s="21">
        <f t="shared" si="197"/>
        <v>0</v>
      </c>
      <c r="AX3539" s="21" t="str">
        <f t="shared" si="196"/>
        <v/>
      </c>
      <c r="AY3539" s="21" t="str">
        <f>IF(AND($AM3539&lt;&gt;"",$AS3539&lt;&gt;"✓"),SUMPRODUCT(($AM$11:$AM3539&lt;&gt;"")*($AS$11:$AS3539&lt;&gt;"✓")),"")</f>
        <v/>
      </c>
      <c r="AZ3539" s="21" t="str">
        <f>IF(AND($AM3539&lt;&gt;"",$AS3539="✓"),SUMPRODUCT(($AM$11:$AM3539&lt;&gt;"")*($AS$11:$AS3539="✓")),"")</f>
        <v/>
      </c>
      <c r="BA3539" s="21" t="str">
        <f>IF($AL3539="","",$AL3539&amp;"|"&amp;COUNTIF($AL$11:$AL3539,$AL3539))</f>
        <v/>
      </c>
    </row>
    <row r="3540" spans="38:53" ht="15" customHeight="1" x14ac:dyDescent="0.25">
      <c r="AL3540" s="31"/>
      <c r="AM3540" s="26"/>
      <c r="AN3540" s="32"/>
      <c r="AO3540" s="32"/>
      <c r="AP3540" s="24"/>
      <c r="AQ3540" s="24"/>
      <c r="AR3540" s="33"/>
      <c r="AS3540" s="34"/>
      <c r="AT3540" s="33"/>
      <c r="AV3540" s="21">
        <f>IF(AND($AL3540&lt;&gt;"",COUNTIF($AL$11:$AL3540,$AL3540)=1),1,0)</f>
        <v>0</v>
      </c>
      <c r="AW3540" s="21">
        <f t="shared" si="197"/>
        <v>0</v>
      </c>
      <c r="AX3540" s="21" t="str">
        <f t="shared" si="196"/>
        <v/>
      </c>
      <c r="AY3540" s="21" t="str">
        <f>IF(AND($AM3540&lt;&gt;"",$AS3540&lt;&gt;"✓"),SUMPRODUCT(($AM$11:$AM3540&lt;&gt;"")*($AS$11:$AS3540&lt;&gt;"✓")),"")</f>
        <v/>
      </c>
      <c r="AZ3540" s="21" t="str">
        <f>IF(AND($AM3540&lt;&gt;"",$AS3540="✓"),SUMPRODUCT(($AM$11:$AM3540&lt;&gt;"")*($AS$11:$AS3540="✓")),"")</f>
        <v/>
      </c>
      <c r="BA3540" s="21" t="str">
        <f>IF($AL3540="","",$AL3540&amp;"|"&amp;COUNTIF($AL$11:$AL3540,$AL3540))</f>
        <v/>
      </c>
    </row>
    <row r="3541" spans="38:53" ht="15" customHeight="1" x14ac:dyDescent="0.25">
      <c r="AL3541" s="17"/>
      <c r="AM3541" s="12"/>
      <c r="AN3541" s="18"/>
      <c r="AO3541" s="18"/>
      <c r="AP3541" s="10"/>
      <c r="AQ3541" s="10"/>
      <c r="AR3541" s="19"/>
      <c r="AS3541" s="20"/>
      <c r="AT3541" s="19"/>
      <c r="AV3541" s="21">
        <f>IF(AND($AL3541&lt;&gt;"",COUNTIF($AL$11:$AL3541,$AL3541)=1),1,0)</f>
        <v>0</v>
      </c>
      <c r="AW3541" s="21">
        <f t="shared" si="197"/>
        <v>0</v>
      </c>
      <c r="AX3541" s="21" t="str">
        <f t="shared" si="196"/>
        <v/>
      </c>
      <c r="AY3541" s="21" t="str">
        <f>IF(AND($AM3541&lt;&gt;"",$AS3541&lt;&gt;"✓"),SUMPRODUCT(($AM$11:$AM3541&lt;&gt;"")*($AS$11:$AS3541&lt;&gt;"✓")),"")</f>
        <v/>
      </c>
      <c r="AZ3541" s="21" t="str">
        <f>IF(AND($AM3541&lt;&gt;"",$AS3541="✓"),SUMPRODUCT(($AM$11:$AM3541&lt;&gt;"")*($AS$11:$AS3541="✓")),"")</f>
        <v/>
      </c>
      <c r="BA3541" s="21" t="str">
        <f>IF($AL3541="","",$AL3541&amp;"|"&amp;COUNTIF($AL$11:$AL3541,$AL3541))</f>
        <v/>
      </c>
    </row>
    <row r="3542" spans="38:53" ht="15" customHeight="1" x14ac:dyDescent="0.25">
      <c r="AL3542" s="31"/>
      <c r="AM3542" s="26"/>
      <c r="AN3542" s="32"/>
      <c r="AO3542" s="32"/>
      <c r="AP3542" s="24"/>
      <c r="AQ3542" s="24"/>
      <c r="AR3542" s="33"/>
      <c r="AS3542" s="34"/>
      <c r="AT3542" s="33"/>
      <c r="AV3542" s="21">
        <f>IF(AND($AL3542&lt;&gt;"",COUNTIF($AL$11:$AL3542,$AL3542)=1),1,0)</f>
        <v>0</v>
      </c>
      <c r="AW3542" s="21">
        <f t="shared" si="197"/>
        <v>0</v>
      </c>
      <c r="AX3542" s="21" t="str">
        <f t="shared" si="196"/>
        <v/>
      </c>
      <c r="AY3542" s="21" t="str">
        <f>IF(AND($AM3542&lt;&gt;"",$AS3542&lt;&gt;"✓"),SUMPRODUCT(($AM$11:$AM3542&lt;&gt;"")*($AS$11:$AS3542&lt;&gt;"✓")),"")</f>
        <v/>
      </c>
      <c r="AZ3542" s="21" t="str">
        <f>IF(AND($AM3542&lt;&gt;"",$AS3542="✓"),SUMPRODUCT(($AM$11:$AM3542&lt;&gt;"")*($AS$11:$AS3542="✓")),"")</f>
        <v/>
      </c>
      <c r="BA3542" s="21" t="str">
        <f>IF($AL3542="","",$AL3542&amp;"|"&amp;COUNTIF($AL$11:$AL3542,$AL3542))</f>
        <v/>
      </c>
    </row>
    <row r="3543" spans="38:53" ht="15" customHeight="1" x14ac:dyDescent="0.25">
      <c r="AL3543" s="17"/>
      <c r="AM3543" s="12"/>
      <c r="AN3543" s="18"/>
      <c r="AO3543" s="18"/>
      <c r="AP3543" s="10"/>
      <c r="AQ3543" s="10"/>
      <c r="AR3543" s="19"/>
      <c r="AS3543" s="20"/>
      <c r="AT3543" s="19"/>
      <c r="AV3543" s="21">
        <f>IF(AND($AL3543&lt;&gt;"",COUNTIF($AL$11:$AL3543,$AL3543)=1),1,0)</f>
        <v>0</v>
      </c>
      <c r="AW3543" s="21">
        <f t="shared" si="197"/>
        <v>0</v>
      </c>
      <c r="AX3543" s="21" t="str">
        <f t="shared" si="196"/>
        <v/>
      </c>
      <c r="AY3543" s="21" t="str">
        <f>IF(AND($AM3543&lt;&gt;"",$AS3543&lt;&gt;"✓"),SUMPRODUCT(($AM$11:$AM3543&lt;&gt;"")*($AS$11:$AS3543&lt;&gt;"✓")),"")</f>
        <v/>
      </c>
      <c r="AZ3543" s="21" t="str">
        <f>IF(AND($AM3543&lt;&gt;"",$AS3543="✓"),SUMPRODUCT(($AM$11:$AM3543&lt;&gt;"")*($AS$11:$AS3543="✓")),"")</f>
        <v/>
      </c>
      <c r="BA3543" s="21" t="str">
        <f>IF($AL3543="","",$AL3543&amp;"|"&amp;COUNTIF($AL$11:$AL3543,$AL3543))</f>
        <v/>
      </c>
    </row>
    <row r="3544" spans="38:53" ht="15" customHeight="1" x14ac:dyDescent="0.25">
      <c r="AL3544" s="31"/>
      <c r="AM3544" s="26"/>
      <c r="AN3544" s="32"/>
      <c r="AO3544" s="32"/>
      <c r="AP3544" s="24"/>
      <c r="AQ3544" s="24"/>
      <c r="AR3544" s="33"/>
      <c r="AS3544" s="34"/>
      <c r="AT3544" s="33"/>
      <c r="AV3544" s="21">
        <f>IF(AND($AL3544&lt;&gt;"",COUNTIF($AL$11:$AL3544,$AL3544)=1),1,0)</f>
        <v>0</v>
      </c>
      <c r="AW3544" s="21">
        <f t="shared" si="197"/>
        <v>0</v>
      </c>
      <c r="AX3544" s="21" t="str">
        <f t="shared" si="196"/>
        <v/>
      </c>
      <c r="AY3544" s="21" t="str">
        <f>IF(AND($AM3544&lt;&gt;"",$AS3544&lt;&gt;"✓"),SUMPRODUCT(($AM$11:$AM3544&lt;&gt;"")*($AS$11:$AS3544&lt;&gt;"✓")),"")</f>
        <v/>
      </c>
      <c r="AZ3544" s="21" t="str">
        <f>IF(AND($AM3544&lt;&gt;"",$AS3544="✓"),SUMPRODUCT(($AM$11:$AM3544&lt;&gt;"")*($AS$11:$AS3544="✓")),"")</f>
        <v/>
      </c>
      <c r="BA3544" s="21" t="str">
        <f>IF($AL3544="","",$AL3544&amp;"|"&amp;COUNTIF($AL$11:$AL3544,$AL3544))</f>
        <v/>
      </c>
    </row>
    <row r="3545" spans="38:53" ht="15" customHeight="1" x14ac:dyDescent="0.25">
      <c r="AL3545" s="17"/>
      <c r="AM3545" s="12"/>
      <c r="AN3545" s="18"/>
      <c r="AO3545" s="18"/>
      <c r="AP3545" s="10"/>
      <c r="AQ3545" s="10"/>
      <c r="AR3545" s="19"/>
      <c r="AS3545" s="20"/>
      <c r="AT3545" s="19"/>
      <c r="AV3545" s="21">
        <f>IF(AND($AL3545&lt;&gt;"",COUNTIF($AL$11:$AL3545,$AL3545)=1),1,0)</f>
        <v>0</v>
      </c>
      <c r="AW3545" s="21">
        <f t="shared" si="197"/>
        <v>0</v>
      </c>
      <c r="AX3545" s="21" t="str">
        <f t="shared" si="196"/>
        <v/>
      </c>
      <c r="AY3545" s="21" t="str">
        <f>IF(AND($AM3545&lt;&gt;"",$AS3545&lt;&gt;"✓"),SUMPRODUCT(($AM$11:$AM3545&lt;&gt;"")*($AS$11:$AS3545&lt;&gt;"✓")),"")</f>
        <v/>
      </c>
      <c r="AZ3545" s="21" t="str">
        <f>IF(AND($AM3545&lt;&gt;"",$AS3545="✓"),SUMPRODUCT(($AM$11:$AM3545&lt;&gt;"")*($AS$11:$AS3545="✓")),"")</f>
        <v/>
      </c>
      <c r="BA3545" s="21" t="str">
        <f>IF($AL3545="","",$AL3545&amp;"|"&amp;COUNTIF($AL$11:$AL3545,$AL3545))</f>
        <v/>
      </c>
    </row>
    <row r="3546" spans="38:53" ht="15" customHeight="1" x14ac:dyDescent="0.25">
      <c r="AL3546" s="31"/>
      <c r="AM3546" s="26"/>
      <c r="AN3546" s="32"/>
      <c r="AO3546" s="32"/>
      <c r="AP3546" s="24"/>
      <c r="AQ3546" s="24"/>
      <c r="AR3546" s="33"/>
      <c r="AS3546" s="34"/>
      <c r="AT3546" s="33"/>
      <c r="AV3546" s="21">
        <f>IF(AND($AL3546&lt;&gt;"",COUNTIF($AL$11:$AL3546,$AL3546)=1),1,0)</f>
        <v>0</v>
      </c>
      <c r="AW3546" s="21">
        <f t="shared" si="197"/>
        <v>0</v>
      </c>
      <c r="AX3546" s="21" t="str">
        <f t="shared" si="196"/>
        <v/>
      </c>
      <c r="AY3546" s="21" t="str">
        <f>IF(AND($AM3546&lt;&gt;"",$AS3546&lt;&gt;"✓"),SUMPRODUCT(($AM$11:$AM3546&lt;&gt;"")*($AS$11:$AS3546&lt;&gt;"✓")),"")</f>
        <v/>
      </c>
      <c r="AZ3546" s="21" t="str">
        <f>IF(AND($AM3546&lt;&gt;"",$AS3546="✓"),SUMPRODUCT(($AM$11:$AM3546&lt;&gt;"")*($AS$11:$AS3546="✓")),"")</f>
        <v/>
      </c>
      <c r="BA3546" s="21" t="str">
        <f>IF($AL3546="","",$AL3546&amp;"|"&amp;COUNTIF($AL$11:$AL3546,$AL3546))</f>
        <v/>
      </c>
    </row>
    <row r="3547" spans="38:53" ht="15" customHeight="1" x14ac:dyDescent="0.25">
      <c r="AL3547" s="17"/>
      <c r="AM3547" s="12"/>
      <c r="AN3547" s="18"/>
      <c r="AO3547" s="18"/>
      <c r="AP3547" s="10"/>
      <c r="AQ3547" s="10"/>
      <c r="AR3547" s="19"/>
      <c r="AS3547" s="20"/>
      <c r="AT3547" s="19"/>
      <c r="AV3547" s="21">
        <f>IF(AND($AL3547&lt;&gt;"",COUNTIF($AL$11:$AL3547,$AL3547)=1),1,0)</f>
        <v>0</v>
      </c>
      <c r="AW3547" s="21">
        <f t="shared" si="197"/>
        <v>0</v>
      </c>
      <c r="AX3547" s="21" t="str">
        <f t="shared" si="196"/>
        <v/>
      </c>
      <c r="AY3547" s="21" t="str">
        <f>IF(AND($AM3547&lt;&gt;"",$AS3547&lt;&gt;"✓"),SUMPRODUCT(($AM$11:$AM3547&lt;&gt;"")*($AS$11:$AS3547&lt;&gt;"✓")),"")</f>
        <v/>
      </c>
      <c r="AZ3547" s="21" t="str">
        <f>IF(AND($AM3547&lt;&gt;"",$AS3547="✓"),SUMPRODUCT(($AM$11:$AM3547&lt;&gt;"")*($AS$11:$AS3547="✓")),"")</f>
        <v/>
      </c>
      <c r="BA3547" s="21" t="str">
        <f>IF($AL3547="","",$AL3547&amp;"|"&amp;COUNTIF($AL$11:$AL3547,$AL3547))</f>
        <v/>
      </c>
    </row>
    <row r="3548" spans="38:53" ht="15" customHeight="1" x14ac:dyDescent="0.25">
      <c r="AL3548" s="31"/>
      <c r="AM3548" s="26"/>
      <c r="AN3548" s="32"/>
      <c r="AO3548" s="32"/>
      <c r="AP3548" s="24"/>
      <c r="AQ3548" s="24"/>
      <c r="AR3548" s="33"/>
      <c r="AS3548" s="34"/>
      <c r="AT3548" s="33"/>
      <c r="AV3548" s="21">
        <f>IF(AND($AL3548&lt;&gt;"",COUNTIF($AL$11:$AL3548,$AL3548)=1),1,0)</f>
        <v>0</v>
      </c>
      <c r="AW3548" s="21">
        <f t="shared" si="197"/>
        <v>0</v>
      </c>
      <c r="AX3548" s="21" t="str">
        <f t="shared" si="196"/>
        <v/>
      </c>
      <c r="AY3548" s="21" t="str">
        <f>IF(AND($AM3548&lt;&gt;"",$AS3548&lt;&gt;"✓"),SUMPRODUCT(($AM$11:$AM3548&lt;&gt;"")*($AS$11:$AS3548&lt;&gt;"✓")),"")</f>
        <v/>
      </c>
      <c r="AZ3548" s="21" t="str">
        <f>IF(AND($AM3548&lt;&gt;"",$AS3548="✓"),SUMPRODUCT(($AM$11:$AM3548&lt;&gt;"")*($AS$11:$AS3548="✓")),"")</f>
        <v/>
      </c>
      <c r="BA3548" s="21" t="str">
        <f>IF($AL3548="","",$AL3548&amp;"|"&amp;COUNTIF($AL$11:$AL3548,$AL3548))</f>
        <v/>
      </c>
    </row>
    <row r="3549" spans="38:53" ht="15" customHeight="1" x14ac:dyDescent="0.25">
      <c r="AL3549" s="17"/>
      <c r="AM3549" s="12"/>
      <c r="AN3549" s="18"/>
      <c r="AO3549" s="18"/>
      <c r="AP3549" s="10"/>
      <c r="AQ3549" s="10"/>
      <c r="AR3549" s="19"/>
      <c r="AS3549" s="20"/>
      <c r="AT3549" s="19"/>
      <c r="AV3549" s="21">
        <f>IF(AND($AL3549&lt;&gt;"",COUNTIF($AL$11:$AL3549,$AL3549)=1),1,0)</f>
        <v>0</v>
      </c>
      <c r="AW3549" s="21">
        <f t="shared" si="197"/>
        <v>0</v>
      </c>
      <c r="AX3549" s="21" t="str">
        <f t="shared" si="196"/>
        <v/>
      </c>
      <c r="AY3549" s="21" t="str">
        <f>IF(AND($AM3549&lt;&gt;"",$AS3549&lt;&gt;"✓"),SUMPRODUCT(($AM$11:$AM3549&lt;&gt;"")*($AS$11:$AS3549&lt;&gt;"✓")),"")</f>
        <v/>
      </c>
      <c r="AZ3549" s="21" t="str">
        <f>IF(AND($AM3549&lt;&gt;"",$AS3549="✓"),SUMPRODUCT(($AM$11:$AM3549&lt;&gt;"")*($AS$11:$AS3549="✓")),"")</f>
        <v/>
      </c>
      <c r="BA3549" s="21" t="str">
        <f>IF($AL3549="","",$AL3549&amp;"|"&amp;COUNTIF($AL$11:$AL3549,$AL3549))</f>
        <v/>
      </c>
    </row>
    <row r="3550" spans="38:53" ht="15" customHeight="1" x14ac:dyDescent="0.25">
      <c r="AL3550" s="31"/>
      <c r="AM3550" s="26"/>
      <c r="AN3550" s="32"/>
      <c r="AO3550" s="32"/>
      <c r="AP3550" s="24"/>
      <c r="AQ3550" s="24"/>
      <c r="AR3550" s="33"/>
      <c r="AS3550" s="34"/>
      <c r="AT3550" s="33"/>
      <c r="AV3550" s="21">
        <f>IF(AND($AL3550&lt;&gt;"",COUNTIF($AL$11:$AL3550,$AL3550)=1),1,0)</f>
        <v>0</v>
      </c>
      <c r="AW3550" s="21">
        <f t="shared" si="197"/>
        <v>0</v>
      </c>
      <c r="AX3550" s="21" t="str">
        <f t="shared" si="196"/>
        <v/>
      </c>
      <c r="AY3550" s="21" t="str">
        <f>IF(AND($AM3550&lt;&gt;"",$AS3550&lt;&gt;"✓"),SUMPRODUCT(($AM$11:$AM3550&lt;&gt;"")*($AS$11:$AS3550&lt;&gt;"✓")),"")</f>
        <v/>
      </c>
      <c r="AZ3550" s="21" t="str">
        <f>IF(AND($AM3550&lt;&gt;"",$AS3550="✓"),SUMPRODUCT(($AM$11:$AM3550&lt;&gt;"")*($AS$11:$AS3550="✓")),"")</f>
        <v/>
      </c>
      <c r="BA3550" s="21" t="str">
        <f>IF($AL3550="","",$AL3550&amp;"|"&amp;COUNTIF($AL$11:$AL3550,$AL3550))</f>
        <v/>
      </c>
    </row>
    <row r="3551" spans="38:53" ht="15" customHeight="1" x14ac:dyDescent="0.25">
      <c r="AL3551" s="17"/>
      <c r="AM3551" s="12"/>
      <c r="AN3551" s="18"/>
      <c r="AO3551" s="18"/>
      <c r="AP3551" s="10"/>
      <c r="AQ3551" s="10"/>
      <c r="AR3551" s="19"/>
      <c r="AS3551" s="20"/>
      <c r="AT3551" s="19"/>
      <c r="AV3551" s="21">
        <f>IF(AND($AL3551&lt;&gt;"",COUNTIF($AL$11:$AL3551,$AL3551)=1),1,0)</f>
        <v>0</v>
      </c>
      <c r="AW3551" s="21">
        <f t="shared" si="197"/>
        <v>0</v>
      </c>
      <c r="AX3551" s="21" t="str">
        <f t="shared" si="196"/>
        <v/>
      </c>
      <c r="AY3551" s="21" t="str">
        <f>IF(AND($AM3551&lt;&gt;"",$AS3551&lt;&gt;"✓"),SUMPRODUCT(($AM$11:$AM3551&lt;&gt;"")*($AS$11:$AS3551&lt;&gt;"✓")),"")</f>
        <v/>
      </c>
      <c r="AZ3551" s="21" t="str">
        <f>IF(AND($AM3551&lt;&gt;"",$AS3551="✓"),SUMPRODUCT(($AM$11:$AM3551&lt;&gt;"")*($AS$11:$AS3551="✓")),"")</f>
        <v/>
      </c>
      <c r="BA3551" s="21" t="str">
        <f>IF($AL3551="","",$AL3551&amp;"|"&amp;COUNTIF($AL$11:$AL3551,$AL3551))</f>
        <v/>
      </c>
    </row>
    <row r="3552" spans="38:53" ht="15" customHeight="1" x14ac:dyDescent="0.25">
      <c r="AL3552" s="31"/>
      <c r="AM3552" s="26"/>
      <c r="AN3552" s="32"/>
      <c r="AO3552" s="32"/>
      <c r="AP3552" s="24"/>
      <c r="AQ3552" s="24"/>
      <c r="AR3552" s="33"/>
      <c r="AS3552" s="34"/>
      <c r="AT3552" s="33"/>
      <c r="AV3552" s="21">
        <f>IF(AND($AL3552&lt;&gt;"",COUNTIF($AL$11:$AL3552,$AL3552)=1),1,0)</f>
        <v>0</v>
      </c>
      <c r="AW3552" s="21">
        <f t="shared" si="197"/>
        <v>0</v>
      </c>
      <c r="AX3552" s="21" t="str">
        <f t="shared" si="196"/>
        <v/>
      </c>
      <c r="AY3552" s="21" t="str">
        <f>IF(AND($AM3552&lt;&gt;"",$AS3552&lt;&gt;"✓"),SUMPRODUCT(($AM$11:$AM3552&lt;&gt;"")*($AS$11:$AS3552&lt;&gt;"✓")),"")</f>
        <v/>
      </c>
      <c r="AZ3552" s="21" t="str">
        <f>IF(AND($AM3552&lt;&gt;"",$AS3552="✓"),SUMPRODUCT(($AM$11:$AM3552&lt;&gt;"")*($AS$11:$AS3552="✓")),"")</f>
        <v/>
      </c>
      <c r="BA3552" s="21" t="str">
        <f>IF($AL3552="","",$AL3552&amp;"|"&amp;COUNTIF($AL$11:$AL3552,$AL3552))</f>
        <v/>
      </c>
    </row>
    <row r="3553" spans="38:53" ht="15" customHeight="1" x14ac:dyDescent="0.25">
      <c r="AL3553" s="17"/>
      <c r="AM3553" s="12"/>
      <c r="AN3553" s="18"/>
      <c r="AO3553" s="18"/>
      <c r="AP3553" s="10"/>
      <c r="AQ3553" s="10"/>
      <c r="AR3553" s="19"/>
      <c r="AS3553" s="20"/>
      <c r="AT3553" s="19"/>
      <c r="AV3553" s="21">
        <f>IF(AND($AL3553&lt;&gt;"",COUNTIF($AL$11:$AL3553,$AL3553)=1),1,0)</f>
        <v>0</v>
      </c>
      <c r="AW3553" s="21">
        <f t="shared" si="197"/>
        <v>0</v>
      </c>
      <c r="AX3553" s="21" t="str">
        <f t="shared" si="196"/>
        <v/>
      </c>
      <c r="AY3553" s="21" t="str">
        <f>IF(AND($AM3553&lt;&gt;"",$AS3553&lt;&gt;"✓"),SUMPRODUCT(($AM$11:$AM3553&lt;&gt;"")*($AS$11:$AS3553&lt;&gt;"✓")),"")</f>
        <v/>
      </c>
      <c r="AZ3553" s="21" t="str">
        <f>IF(AND($AM3553&lt;&gt;"",$AS3553="✓"),SUMPRODUCT(($AM$11:$AM3553&lt;&gt;"")*($AS$11:$AS3553="✓")),"")</f>
        <v/>
      </c>
      <c r="BA3553" s="21" t="str">
        <f>IF($AL3553="","",$AL3553&amp;"|"&amp;COUNTIF($AL$11:$AL3553,$AL3553))</f>
        <v/>
      </c>
    </row>
    <row r="3554" spans="38:53" ht="15" customHeight="1" x14ac:dyDescent="0.25">
      <c r="AL3554" s="31"/>
      <c r="AM3554" s="26"/>
      <c r="AN3554" s="32"/>
      <c r="AO3554" s="32"/>
      <c r="AP3554" s="24"/>
      <c r="AQ3554" s="24"/>
      <c r="AR3554" s="33"/>
      <c r="AS3554" s="34"/>
      <c r="AT3554" s="33"/>
      <c r="AV3554" s="21">
        <f>IF(AND($AL3554&lt;&gt;"",COUNTIF($AL$11:$AL3554,$AL3554)=1),1,0)</f>
        <v>0</v>
      </c>
      <c r="AW3554" s="21">
        <f t="shared" si="197"/>
        <v>0</v>
      </c>
      <c r="AX3554" s="21" t="str">
        <f t="shared" si="196"/>
        <v/>
      </c>
      <c r="AY3554" s="21" t="str">
        <f>IF(AND($AM3554&lt;&gt;"",$AS3554&lt;&gt;"✓"),SUMPRODUCT(($AM$11:$AM3554&lt;&gt;"")*($AS$11:$AS3554&lt;&gt;"✓")),"")</f>
        <v/>
      </c>
      <c r="AZ3554" s="21" t="str">
        <f>IF(AND($AM3554&lt;&gt;"",$AS3554="✓"),SUMPRODUCT(($AM$11:$AM3554&lt;&gt;"")*($AS$11:$AS3554="✓")),"")</f>
        <v/>
      </c>
      <c r="BA3554" s="21" t="str">
        <f>IF($AL3554="","",$AL3554&amp;"|"&amp;COUNTIF($AL$11:$AL3554,$AL3554))</f>
        <v/>
      </c>
    </row>
    <row r="3555" spans="38:53" ht="15" customHeight="1" x14ac:dyDescent="0.25">
      <c r="AL3555" s="17"/>
      <c r="AM3555" s="12"/>
      <c r="AN3555" s="18"/>
      <c r="AO3555" s="18"/>
      <c r="AP3555" s="10"/>
      <c r="AQ3555" s="10"/>
      <c r="AR3555" s="19"/>
      <c r="AS3555" s="20"/>
      <c r="AT3555" s="19"/>
      <c r="AV3555" s="21">
        <f>IF(AND($AL3555&lt;&gt;"",COUNTIF($AL$11:$AL3555,$AL3555)=1),1,0)</f>
        <v>0</v>
      </c>
      <c r="AW3555" s="21">
        <f t="shared" si="197"/>
        <v>0</v>
      </c>
      <c r="AX3555" s="21" t="str">
        <f t="shared" si="196"/>
        <v/>
      </c>
      <c r="AY3555" s="21" t="str">
        <f>IF(AND($AM3555&lt;&gt;"",$AS3555&lt;&gt;"✓"),SUMPRODUCT(($AM$11:$AM3555&lt;&gt;"")*($AS$11:$AS3555&lt;&gt;"✓")),"")</f>
        <v/>
      </c>
      <c r="AZ3555" s="21" t="str">
        <f>IF(AND($AM3555&lt;&gt;"",$AS3555="✓"),SUMPRODUCT(($AM$11:$AM3555&lt;&gt;"")*($AS$11:$AS3555="✓")),"")</f>
        <v/>
      </c>
      <c r="BA3555" s="21" t="str">
        <f>IF($AL3555="","",$AL3555&amp;"|"&amp;COUNTIF($AL$11:$AL3555,$AL3555))</f>
        <v/>
      </c>
    </row>
    <row r="3556" spans="38:53" ht="15" customHeight="1" x14ac:dyDescent="0.25">
      <c r="AL3556" s="31"/>
      <c r="AM3556" s="26"/>
      <c r="AN3556" s="32"/>
      <c r="AO3556" s="32"/>
      <c r="AP3556" s="24"/>
      <c r="AQ3556" s="24"/>
      <c r="AR3556" s="33"/>
      <c r="AS3556" s="34"/>
      <c r="AT3556" s="33"/>
      <c r="AV3556" s="21">
        <f>IF(AND($AL3556&lt;&gt;"",COUNTIF($AL$11:$AL3556,$AL3556)=1),1,0)</f>
        <v>0</v>
      </c>
      <c r="AW3556" s="21">
        <f t="shared" si="197"/>
        <v>0</v>
      </c>
      <c r="AX3556" s="21" t="str">
        <f t="shared" si="196"/>
        <v/>
      </c>
      <c r="AY3556" s="21" t="str">
        <f>IF(AND($AM3556&lt;&gt;"",$AS3556&lt;&gt;"✓"),SUMPRODUCT(($AM$11:$AM3556&lt;&gt;"")*($AS$11:$AS3556&lt;&gt;"✓")),"")</f>
        <v/>
      </c>
      <c r="AZ3556" s="21" t="str">
        <f>IF(AND($AM3556&lt;&gt;"",$AS3556="✓"),SUMPRODUCT(($AM$11:$AM3556&lt;&gt;"")*($AS$11:$AS3556="✓")),"")</f>
        <v/>
      </c>
      <c r="BA3556" s="21" t="str">
        <f>IF($AL3556="","",$AL3556&amp;"|"&amp;COUNTIF($AL$11:$AL3556,$AL3556))</f>
        <v/>
      </c>
    </row>
    <row r="3557" spans="38:53" ht="15" customHeight="1" x14ac:dyDescent="0.25">
      <c r="AL3557" s="17"/>
      <c r="AM3557" s="12"/>
      <c r="AN3557" s="18"/>
      <c r="AO3557" s="18"/>
      <c r="AP3557" s="10"/>
      <c r="AQ3557" s="10"/>
      <c r="AR3557" s="19"/>
      <c r="AS3557" s="20"/>
      <c r="AT3557" s="19"/>
      <c r="AV3557" s="21">
        <f>IF(AND($AL3557&lt;&gt;"",COUNTIF($AL$11:$AL3557,$AL3557)=1),1,0)</f>
        <v>0</v>
      </c>
      <c r="AW3557" s="21">
        <f t="shared" si="197"/>
        <v>0</v>
      </c>
      <c r="AX3557" s="21" t="str">
        <f t="shared" si="196"/>
        <v/>
      </c>
      <c r="AY3557" s="21" t="str">
        <f>IF(AND($AM3557&lt;&gt;"",$AS3557&lt;&gt;"✓"),SUMPRODUCT(($AM$11:$AM3557&lt;&gt;"")*($AS$11:$AS3557&lt;&gt;"✓")),"")</f>
        <v/>
      </c>
      <c r="AZ3557" s="21" t="str">
        <f>IF(AND($AM3557&lt;&gt;"",$AS3557="✓"),SUMPRODUCT(($AM$11:$AM3557&lt;&gt;"")*($AS$11:$AS3557="✓")),"")</f>
        <v/>
      </c>
      <c r="BA3557" s="21" t="str">
        <f>IF($AL3557="","",$AL3557&amp;"|"&amp;COUNTIF($AL$11:$AL3557,$AL3557))</f>
        <v/>
      </c>
    </row>
    <row r="3558" spans="38:53" ht="15" customHeight="1" x14ac:dyDescent="0.25">
      <c r="AL3558" s="31"/>
      <c r="AM3558" s="26"/>
      <c r="AN3558" s="32"/>
      <c r="AO3558" s="32"/>
      <c r="AP3558" s="24"/>
      <c r="AQ3558" s="24"/>
      <c r="AR3558" s="33"/>
      <c r="AS3558" s="34"/>
      <c r="AT3558" s="33"/>
      <c r="AV3558" s="21">
        <f>IF(AND($AL3558&lt;&gt;"",COUNTIF($AL$11:$AL3558,$AL3558)=1),1,0)</f>
        <v>0</v>
      </c>
      <c r="AW3558" s="21">
        <f t="shared" si="197"/>
        <v>0</v>
      </c>
      <c r="AX3558" s="21" t="str">
        <f t="shared" si="196"/>
        <v/>
      </c>
      <c r="AY3558" s="21" t="str">
        <f>IF(AND($AM3558&lt;&gt;"",$AS3558&lt;&gt;"✓"),SUMPRODUCT(($AM$11:$AM3558&lt;&gt;"")*($AS$11:$AS3558&lt;&gt;"✓")),"")</f>
        <v/>
      </c>
      <c r="AZ3558" s="21" t="str">
        <f>IF(AND($AM3558&lt;&gt;"",$AS3558="✓"),SUMPRODUCT(($AM$11:$AM3558&lt;&gt;"")*($AS$11:$AS3558="✓")),"")</f>
        <v/>
      </c>
      <c r="BA3558" s="21" t="str">
        <f>IF($AL3558="","",$AL3558&amp;"|"&amp;COUNTIF($AL$11:$AL3558,$AL3558))</f>
        <v/>
      </c>
    </row>
    <row r="3559" spans="38:53" ht="15" customHeight="1" x14ac:dyDescent="0.25">
      <c r="AL3559" s="17"/>
      <c r="AM3559" s="12"/>
      <c r="AN3559" s="18"/>
      <c r="AO3559" s="18"/>
      <c r="AP3559" s="10"/>
      <c r="AQ3559" s="10"/>
      <c r="AR3559" s="19"/>
      <c r="AS3559" s="20"/>
      <c r="AT3559" s="19"/>
      <c r="AV3559" s="21">
        <f>IF(AND($AL3559&lt;&gt;"",COUNTIF($AL$11:$AL3559,$AL3559)=1),1,0)</f>
        <v>0</v>
      </c>
      <c r="AW3559" s="21">
        <f t="shared" si="197"/>
        <v>0</v>
      </c>
      <c r="AX3559" s="21" t="str">
        <f t="shared" si="196"/>
        <v/>
      </c>
      <c r="AY3559" s="21" t="str">
        <f>IF(AND($AM3559&lt;&gt;"",$AS3559&lt;&gt;"✓"),SUMPRODUCT(($AM$11:$AM3559&lt;&gt;"")*($AS$11:$AS3559&lt;&gt;"✓")),"")</f>
        <v/>
      </c>
      <c r="AZ3559" s="21" t="str">
        <f>IF(AND($AM3559&lt;&gt;"",$AS3559="✓"),SUMPRODUCT(($AM$11:$AM3559&lt;&gt;"")*($AS$11:$AS3559="✓")),"")</f>
        <v/>
      </c>
      <c r="BA3559" s="21" t="str">
        <f>IF($AL3559="","",$AL3559&amp;"|"&amp;COUNTIF($AL$11:$AL3559,$AL3559))</f>
        <v/>
      </c>
    </row>
    <row r="3560" spans="38:53" ht="15" customHeight="1" x14ac:dyDescent="0.25">
      <c r="AL3560" s="31"/>
      <c r="AM3560" s="26"/>
      <c r="AN3560" s="32"/>
      <c r="AO3560" s="32"/>
      <c r="AP3560" s="24"/>
      <c r="AQ3560" s="24"/>
      <c r="AR3560" s="33"/>
      <c r="AS3560" s="34"/>
      <c r="AT3560" s="33"/>
      <c r="AV3560" s="21">
        <f>IF(AND($AL3560&lt;&gt;"",COUNTIF($AL$11:$AL3560,$AL3560)=1),1,0)</f>
        <v>0</v>
      </c>
      <c r="AW3560" s="21">
        <f t="shared" si="197"/>
        <v>0</v>
      </c>
      <c r="AX3560" s="21" t="str">
        <f t="shared" si="196"/>
        <v/>
      </c>
      <c r="AY3560" s="21" t="str">
        <f>IF(AND($AM3560&lt;&gt;"",$AS3560&lt;&gt;"✓"),SUMPRODUCT(($AM$11:$AM3560&lt;&gt;"")*($AS$11:$AS3560&lt;&gt;"✓")),"")</f>
        <v/>
      </c>
      <c r="AZ3560" s="21" t="str">
        <f>IF(AND($AM3560&lt;&gt;"",$AS3560="✓"),SUMPRODUCT(($AM$11:$AM3560&lt;&gt;"")*($AS$11:$AS3560="✓")),"")</f>
        <v/>
      </c>
      <c r="BA3560" s="21" t="str">
        <f>IF($AL3560="","",$AL3560&amp;"|"&amp;COUNTIF($AL$11:$AL3560,$AL3560))</f>
        <v/>
      </c>
    </row>
    <row r="3561" spans="38:53" ht="15" customHeight="1" x14ac:dyDescent="0.25">
      <c r="AL3561" s="17"/>
      <c r="AM3561" s="12"/>
      <c r="AN3561" s="18"/>
      <c r="AO3561" s="18"/>
      <c r="AP3561" s="10"/>
      <c r="AQ3561" s="10"/>
      <c r="AR3561" s="19"/>
      <c r="AS3561" s="20"/>
      <c r="AT3561" s="19"/>
      <c r="AV3561" s="21">
        <f>IF(AND($AL3561&lt;&gt;"",COUNTIF($AL$11:$AL3561,$AL3561)=1),1,0)</f>
        <v>0</v>
      </c>
      <c r="AW3561" s="21">
        <f t="shared" si="197"/>
        <v>0</v>
      </c>
      <c r="AX3561" s="21" t="str">
        <f t="shared" si="196"/>
        <v/>
      </c>
      <c r="AY3561" s="21" t="str">
        <f>IF(AND($AM3561&lt;&gt;"",$AS3561&lt;&gt;"✓"),SUMPRODUCT(($AM$11:$AM3561&lt;&gt;"")*($AS$11:$AS3561&lt;&gt;"✓")),"")</f>
        <v/>
      </c>
      <c r="AZ3561" s="21" t="str">
        <f>IF(AND($AM3561&lt;&gt;"",$AS3561="✓"),SUMPRODUCT(($AM$11:$AM3561&lt;&gt;"")*($AS$11:$AS3561="✓")),"")</f>
        <v/>
      </c>
      <c r="BA3561" s="21" t="str">
        <f>IF($AL3561="","",$AL3561&amp;"|"&amp;COUNTIF($AL$11:$AL3561,$AL3561))</f>
        <v/>
      </c>
    </row>
    <row r="3562" spans="38:53" ht="15" customHeight="1" x14ac:dyDescent="0.25">
      <c r="AL3562" s="31"/>
      <c r="AM3562" s="26"/>
      <c r="AN3562" s="32"/>
      <c r="AO3562" s="32"/>
      <c r="AP3562" s="24"/>
      <c r="AQ3562" s="24"/>
      <c r="AR3562" s="33"/>
      <c r="AS3562" s="34"/>
      <c r="AT3562" s="33"/>
      <c r="AV3562" s="21">
        <f>IF(AND($AL3562&lt;&gt;"",COUNTIF($AL$11:$AL3562,$AL3562)=1),1,0)</f>
        <v>0</v>
      </c>
      <c r="AW3562" s="21">
        <f t="shared" si="197"/>
        <v>0</v>
      </c>
      <c r="AX3562" s="21" t="str">
        <f t="shared" si="196"/>
        <v/>
      </c>
      <c r="AY3562" s="21" t="str">
        <f>IF(AND($AM3562&lt;&gt;"",$AS3562&lt;&gt;"✓"),SUMPRODUCT(($AM$11:$AM3562&lt;&gt;"")*($AS$11:$AS3562&lt;&gt;"✓")),"")</f>
        <v/>
      </c>
      <c r="AZ3562" s="21" t="str">
        <f>IF(AND($AM3562&lt;&gt;"",$AS3562="✓"),SUMPRODUCT(($AM$11:$AM3562&lt;&gt;"")*($AS$11:$AS3562="✓")),"")</f>
        <v/>
      </c>
      <c r="BA3562" s="21" t="str">
        <f>IF($AL3562="","",$AL3562&amp;"|"&amp;COUNTIF($AL$11:$AL3562,$AL3562))</f>
        <v/>
      </c>
    </row>
    <row r="3563" spans="38:53" ht="15" customHeight="1" x14ac:dyDescent="0.25">
      <c r="AL3563" s="17"/>
      <c r="AM3563" s="12"/>
      <c r="AN3563" s="18"/>
      <c r="AO3563" s="18"/>
      <c r="AP3563" s="10"/>
      <c r="AQ3563" s="10"/>
      <c r="AR3563" s="19"/>
      <c r="AS3563" s="20"/>
      <c r="AT3563" s="19"/>
      <c r="AV3563" s="21">
        <f>IF(AND($AL3563&lt;&gt;"",COUNTIF($AL$11:$AL3563,$AL3563)=1),1,0)</f>
        <v>0</v>
      </c>
      <c r="AW3563" s="21">
        <f t="shared" si="197"/>
        <v>0</v>
      </c>
      <c r="AX3563" s="21" t="str">
        <f t="shared" si="196"/>
        <v/>
      </c>
      <c r="AY3563" s="21" t="str">
        <f>IF(AND($AM3563&lt;&gt;"",$AS3563&lt;&gt;"✓"),SUMPRODUCT(($AM$11:$AM3563&lt;&gt;"")*($AS$11:$AS3563&lt;&gt;"✓")),"")</f>
        <v/>
      </c>
      <c r="AZ3563" s="21" t="str">
        <f>IF(AND($AM3563&lt;&gt;"",$AS3563="✓"),SUMPRODUCT(($AM$11:$AM3563&lt;&gt;"")*($AS$11:$AS3563="✓")),"")</f>
        <v/>
      </c>
      <c r="BA3563" s="21" t="str">
        <f>IF($AL3563="","",$AL3563&amp;"|"&amp;COUNTIF($AL$11:$AL3563,$AL3563))</f>
        <v/>
      </c>
    </row>
    <row r="3564" spans="38:53" ht="15" customHeight="1" x14ac:dyDescent="0.25">
      <c r="AL3564" s="31"/>
      <c r="AM3564" s="26"/>
      <c r="AN3564" s="32"/>
      <c r="AO3564" s="32"/>
      <c r="AP3564" s="24"/>
      <c r="AQ3564" s="24"/>
      <c r="AR3564" s="33"/>
      <c r="AS3564" s="34"/>
      <c r="AT3564" s="33"/>
      <c r="AV3564" s="21">
        <f>IF(AND($AL3564&lt;&gt;"",COUNTIF($AL$11:$AL3564,$AL3564)=1),1,0)</f>
        <v>0</v>
      </c>
      <c r="AW3564" s="21">
        <f t="shared" si="197"/>
        <v>0</v>
      </c>
      <c r="AX3564" s="21" t="str">
        <f t="shared" si="196"/>
        <v/>
      </c>
      <c r="AY3564" s="21" t="str">
        <f>IF(AND($AM3564&lt;&gt;"",$AS3564&lt;&gt;"✓"),SUMPRODUCT(($AM$11:$AM3564&lt;&gt;"")*($AS$11:$AS3564&lt;&gt;"✓")),"")</f>
        <v/>
      </c>
      <c r="AZ3564" s="21" t="str">
        <f>IF(AND($AM3564&lt;&gt;"",$AS3564="✓"),SUMPRODUCT(($AM$11:$AM3564&lt;&gt;"")*($AS$11:$AS3564="✓")),"")</f>
        <v/>
      </c>
      <c r="BA3564" s="21" t="str">
        <f>IF($AL3564="","",$AL3564&amp;"|"&amp;COUNTIF($AL$11:$AL3564,$AL3564))</f>
        <v/>
      </c>
    </row>
    <row r="3565" spans="38:53" ht="15" customHeight="1" x14ac:dyDescent="0.25">
      <c r="AL3565" s="17"/>
      <c r="AM3565" s="12"/>
      <c r="AN3565" s="18"/>
      <c r="AO3565" s="18"/>
      <c r="AP3565" s="10"/>
      <c r="AQ3565" s="10"/>
      <c r="AR3565" s="19"/>
      <c r="AS3565" s="20"/>
      <c r="AT3565" s="19"/>
      <c r="AV3565" s="21">
        <f>IF(AND($AL3565&lt;&gt;"",COUNTIF($AL$11:$AL3565,$AL3565)=1),1,0)</f>
        <v>0</v>
      </c>
      <c r="AW3565" s="21">
        <f t="shared" si="197"/>
        <v>0</v>
      </c>
      <c r="AX3565" s="21" t="str">
        <f t="shared" si="196"/>
        <v/>
      </c>
      <c r="AY3565" s="21" t="str">
        <f>IF(AND($AM3565&lt;&gt;"",$AS3565&lt;&gt;"✓"),SUMPRODUCT(($AM$11:$AM3565&lt;&gt;"")*($AS$11:$AS3565&lt;&gt;"✓")),"")</f>
        <v/>
      </c>
      <c r="AZ3565" s="21" t="str">
        <f>IF(AND($AM3565&lt;&gt;"",$AS3565="✓"),SUMPRODUCT(($AM$11:$AM3565&lt;&gt;"")*($AS$11:$AS3565="✓")),"")</f>
        <v/>
      </c>
      <c r="BA3565" s="21" t="str">
        <f>IF($AL3565="","",$AL3565&amp;"|"&amp;COUNTIF($AL$11:$AL3565,$AL3565))</f>
        <v/>
      </c>
    </row>
    <row r="3566" spans="38:53" ht="15" customHeight="1" x14ac:dyDescent="0.25">
      <c r="AL3566" s="31"/>
      <c r="AM3566" s="26"/>
      <c r="AN3566" s="32"/>
      <c r="AO3566" s="32"/>
      <c r="AP3566" s="24"/>
      <c r="AQ3566" s="24"/>
      <c r="AR3566" s="33"/>
      <c r="AS3566" s="34"/>
      <c r="AT3566" s="33"/>
      <c r="AV3566" s="21">
        <f>IF(AND($AL3566&lt;&gt;"",COUNTIF($AL$11:$AL3566,$AL3566)=1),1,0)</f>
        <v>0</v>
      </c>
      <c r="AW3566" s="21">
        <f t="shared" si="197"/>
        <v>0</v>
      </c>
      <c r="AX3566" s="21" t="str">
        <f t="shared" si="196"/>
        <v/>
      </c>
      <c r="AY3566" s="21" t="str">
        <f>IF(AND($AM3566&lt;&gt;"",$AS3566&lt;&gt;"✓"),SUMPRODUCT(($AM$11:$AM3566&lt;&gt;"")*($AS$11:$AS3566&lt;&gt;"✓")),"")</f>
        <v/>
      </c>
      <c r="AZ3566" s="21" t="str">
        <f>IF(AND($AM3566&lt;&gt;"",$AS3566="✓"),SUMPRODUCT(($AM$11:$AM3566&lt;&gt;"")*($AS$11:$AS3566="✓")),"")</f>
        <v/>
      </c>
      <c r="BA3566" s="21" t="str">
        <f>IF($AL3566="","",$AL3566&amp;"|"&amp;COUNTIF($AL$11:$AL3566,$AL3566))</f>
        <v/>
      </c>
    </row>
    <row r="3567" spans="38:53" ht="15" customHeight="1" x14ac:dyDescent="0.25">
      <c r="AL3567" s="17"/>
      <c r="AM3567" s="12"/>
      <c r="AN3567" s="18"/>
      <c r="AO3567" s="18"/>
      <c r="AP3567" s="10"/>
      <c r="AQ3567" s="10"/>
      <c r="AR3567" s="19"/>
      <c r="AS3567" s="20"/>
      <c r="AT3567" s="19"/>
      <c r="AV3567" s="21">
        <f>IF(AND($AL3567&lt;&gt;"",COUNTIF($AL$11:$AL3567,$AL3567)=1),1,0)</f>
        <v>0</v>
      </c>
      <c r="AW3567" s="21">
        <f t="shared" si="197"/>
        <v>0</v>
      </c>
      <c r="AX3567" s="21" t="str">
        <f t="shared" si="196"/>
        <v/>
      </c>
      <c r="AY3567" s="21" t="str">
        <f>IF(AND($AM3567&lt;&gt;"",$AS3567&lt;&gt;"✓"),SUMPRODUCT(($AM$11:$AM3567&lt;&gt;"")*($AS$11:$AS3567&lt;&gt;"✓")),"")</f>
        <v/>
      </c>
      <c r="AZ3567" s="21" t="str">
        <f>IF(AND($AM3567&lt;&gt;"",$AS3567="✓"),SUMPRODUCT(($AM$11:$AM3567&lt;&gt;"")*($AS$11:$AS3567="✓")),"")</f>
        <v/>
      </c>
      <c r="BA3567" s="21" t="str">
        <f>IF($AL3567="","",$AL3567&amp;"|"&amp;COUNTIF($AL$11:$AL3567,$AL3567))</f>
        <v/>
      </c>
    </row>
    <row r="3568" spans="38:53" ht="15" customHeight="1" x14ac:dyDescent="0.25">
      <c r="AL3568" s="31"/>
      <c r="AM3568" s="26"/>
      <c r="AN3568" s="32"/>
      <c r="AO3568" s="32"/>
      <c r="AP3568" s="24"/>
      <c r="AQ3568" s="24"/>
      <c r="AR3568" s="33"/>
      <c r="AS3568" s="34"/>
      <c r="AT3568" s="33"/>
      <c r="AV3568" s="21">
        <f>IF(AND($AL3568&lt;&gt;"",COUNTIF($AL$11:$AL3568,$AL3568)=1),1,0)</f>
        <v>0</v>
      </c>
      <c r="AW3568" s="21">
        <f t="shared" si="197"/>
        <v>0</v>
      </c>
      <c r="AX3568" s="21" t="str">
        <f t="shared" si="196"/>
        <v/>
      </c>
      <c r="AY3568" s="21" t="str">
        <f>IF(AND($AM3568&lt;&gt;"",$AS3568&lt;&gt;"✓"),SUMPRODUCT(($AM$11:$AM3568&lt;&gt;"")*($AS$11:$AS3568&lt;&gt;"✓")),"")</f>
        <v/>
      </c>
      <c r="AZ3568" s="21" t="str">
        <f>IF(AND($AM3568&lt;&gt;"",$AS3568="✓"),SUMPRODUCT(($AM$11:$AM3568&lt;&gt;"")*($AS$11:$AS3568="✓")),"")</f>
        <v/>
      </c>
      <c r="BA3568" s="21" t="str">
        <f>IF($AL3568="","",$AL3568&amp;"|"&amp;COUNTIF($AL$11:$AL3568,$AL3568))</f>
        <v/>
      </c>
    </row>
    <row r="3569" spans="38:53" ht="15" customHeight="1" x14ac:dyDescent="0.25">
      <c r="AL3569" s="17"/>
      <c r="AM3569" s="12"/>
      <c r="AN3569" s="18"/>
      <c r="AO3569" s="18"/>
      <c r="AP3569" s="10"/>
      <c r="AQ3569" s="10"/>
      <c r="AR3569" s="19"/>
      <c r="AS3569" s="20"/>
      <c r="AT3569" s="19"/>
      <c r="AV3569" s="21">
        <f>IF(AND($AL3569&lt;&gt;"",COUNTIF($AL$11:$AL3569,$AL3569)=1),1,0)</f>
        <v>0</v>
      </c>
      <c r="AW3569" s="21">
        <f t="shared" si="197"/>
        <v>0</v>
      </c>
      <c r="AX3569" s="21" t="str">
        <f t="shared" si="196"/>
        <v/>
      </c>
      <c r="AY3569" s="21" t="str">
        <f>IF(AND($AM3569&lt;&gt;"",$AS3569&lt;&gt;"✓"),SUMPRODUCT(($AM$11:$AM3569&lt;&gt;"")*($AS$11:$AS3569&lt;&gt;"✓")),"")</f>
        <v/>
      </c>
      <c r="AZ3569" s="21" t="str">
        <f>IF(AND($AM3569&lt;&gt;"",$AS3569="✓"),SUMPRODUCT(($AM$11:$AM3569&lt;&gt;"")*($AS$11:$AS3569="✓")),"")</f>
        <v/>
      </c>
      <c r="BA3569" s="21" t="str">
        <f>IF($AL3569="","",$AL3569&amp;"|"&amp;COUNTIF($AL$11:$AL3569,$AL3569))</f>
        <v/>
      </c>
    </row>
    <row r="3570" spans="38:53" ht="15" customHeight="1" x14ac:dyDescent="0.25">
      <c r="AL3570" s="31"/>
      <c r="AM3570" s="26"/>
      <c r="AN3570" s="32"/>
      <c r="AO3570" s="32"/>
      <c r="AP3570" s="24"/>
      <c r="AQ3570" s="24"/>
      <c r="AR3570" s="33"/>
      <c r="AS3570" s="34"/>
      <c r="AT3570" s="33"/>
      <c r="AV3570" s="21">
        <f>IF(AND($AL3570&lt;&gt;"",COUNTIF($AL$11:$AL3570,$AL3570)=1),1,0)</f>
        <v>0</v>
      </c>
      <c r="AW3570" s="21">
        <f t="shared" si="197"/>
        <v>0</v>
      </c>
      <c r="AX3570" s="21" t="str">
        <f t="shared" si="196"/>
        <v/>
      </c>
      <c r="AY3570" s="21" t="str">
        <f>IF(AND($AM3570&lt;&gt;"",$AS3570&lt;&gt;"✓"),SUMPRODUCT(($AM$11:$AM3570&lt;&gt;"")*($AS$11:$AS3570&lt;&gt;"✓")),"")</f>
        <v/>
      </c>
      <c r="AZ3570" s="21" t="str">
        <f>IF(AND($AM3570&lt;&gt;"",$AS3570="✓"),SUMPRODUCT(($AM$11:$AM3570&lt;&gt;"")*($AS$11:$AS3570="✓")),"")</f>
        <v/>
      </c>
      <c r="BA3570" s="21" t="str">
        <f>IF($AL3570="","",$AL3570&amp;"|"&amp;COUNTIF($AL$11:$AL3570,$AL3570))</f>
        <v/>
      </c>
    </row>
    <row r="3571" spans="38:53" ht="15" customHeight="1" x14ac:dyDescent="0.25">
      <c r="AL3571" s="17"/>
      <c r="AM3571" s="12"/>
      <c r="AN3571" s="18"/>
      <c r="AO3571" s="18"/>
      <c r="AP3571" s="10"/>
      <c r="AQ3571" s="10"/>
      <c r="AR3571" s="19"/>
      <c r="AS3571" s="20"/>
      <c r="AT3571" s="19"/>
      <c r="AV3571" s="21">
        <f>IF(AND($AL3571&lt;&gt;"",COUNTIF($AL$11:$AL3571,$AL3571)=1),1,0)</f>
        <v>0</v>
      </c>
      <c r="AW3571" s="21">
        <f t="shared" si="197"/>
        <v>0</v>
      </c>
      <c r="AX3571" s="21" t="str">
        <f t="shared" si="196"/>
        <v/>
      </c>
      <c r="AY3571" s="21" t="str">
        <f>IF(AND($AM3571&lt;&gt;"",$AS3571&lt;&gt;"✓"),SUMPRODUCT(($AM$11:$AM3571&lt;&gt;"")*($AS$11:$AS3571&lt;&gt;"✓")),"")</f>
        <v/>
      </c>
      <c r="AZ3571" s="21" t="str">
        <f>IF(AND($AM3571&lt;&gt;"",$AS3571="✓"),SUMPRODUCT(($AM$11:$AM3571&lt;&gt;"")*($AS$11:$AS3571="✓")),"")</f>
        <v/>
      </c>
      <c r="BA3571" s="21" t="str">
        <f>IF($AL3571="","",$AL3571&amp;"|"&amp;COUNTIF($AL$11:$AL3571,$AL3571))</f>
        <v/>
      </c>
    </row>
    <row r="3572" spans="38:53" ht="15" customHeight="1" x14ac:dyDescent="0.25">
      <c r="AL3572" s="31"/>
      <c r="AM3572" s="26"/>
      <c r="AN3572" s="32"/>
      <c r="AO3572" s="32"/>
      <c r="AP3572" s="24"/>
      <c r="AQ3572" s="24"/>
      <c r="AR3572" s="33"/>
      <c r="AS3572" s="34"/>
      <c r="AT3572" s="33"/>
      <c r="AV3572" s="21">
        <f>IF(AND($AL3572&lt;&gt;"",COUNTIF($AL$11:$AL3572,$AL3572)=1),1,0)</f>
        <v>0</v>
      </c>
      <c r="AW3572" s="21">
        <f t="shared" si="197"/>
        <v>0</v>
      </c>
      <c r="AX3572" s="21" t="str">
        <f t="shared" si="196"/>
        <v/>
      </c>
      <c r="AY3572" s="21" t="str">
        <f>IF(AND($AM3572&lt;&gt;"",$AS3572&lt;&gt;"✓"),SUMPRODUCT(($AM$11:$AM3572&lt;&gt;"")*($AS$11:$AS3572&lt;&gt;"✓")),"")</f>
        <v/>
      </c>
      <c r="AZ3572" s="21" t="str">
        <f>IF(AND($AM3572&lt;&gt;"",$AS3572="✓"),SUMPRODUCT(($AM$11:$AM3572&lt;&gt;"")*($AS$11:$AS3572="✓")),"")</f>
        <v/>
      </c>
      <c r="BA3572" s="21" t="str">
        <f>IF($AL3572="","",$AL3572&amp;"|"&amp;COUNTIF($AL$11:$AL3572,$AL3572))</f>
        <v/>
      </c>
    </row>
    <row r="3573" spans="38:53" ht="15" customHeight="1" x14ac:dyDescent="0.25">
      <c r="AL3573" s="17"/>
      <c r="AM3573" s="12"/>
      <c r="AN3573" s="18"/>
      <c r="AO3573" s="18"/>
      <c r="AP3573" s="10"/>
      <c r="AQ3573" s="10"/>
      <c r="AR3573" s="19"/>
      <c r="AS3573" s="20"/>
      <c r="AT3573" s="19"/>
      <c r="AV3573" s="21">
        <f>IF(AND($AL3573&lt;&gt;"",COUNTIF($AL$11:$AL3573,$AL3573)=1),1,0)</f>
        <v>0</v>
      </c>
      <c r="AW3573" s="21">
        <f t="shared" si="197"/>
        <v>0</v>
      </c>
      <c r="AX3573" s="21" t="str">
        <f t="shared" si="196"/>
        <v/>
      </c>
      <c r="AY3573" s="21" t="str">
        <f>IF(AND($AM3573&lt;&gt;"",$AS3573&lt;&gt;"✓"),SUMPRODUCT(($AM$11:$AM3573&lt;&gt;"")*($AS$11:$AS3573&lt;&gt;"✓")),"")</f>
        <v/>
      </c>
      <c r="AZ3573" s="21" t="str">
        <f>IF(AND($AM3573&lt;&gt;"",$AS3573="✓"),SUMPRODUCT(($AM$11:$AM3573&lt;&gt;"")*($AS$11:$AS3573="✓")),"")</f>
        <v/>
      </c>
      <c r="BA3573" s="21" t="str">
        <f>IF($AL3573="","",$AL3573&amp;"|"&amp;COUNTIF($AL$11:$AL3573,$AL3573))</f>
        <v/>
      </c>
    </row>
    <row r="3574" spans="38:53" ht="15" customHeight="1" x14ac:dyDescent="0.25">
      <c r="AL3574" s="31"/>
      <c r="AM3574" s="26"/>
      <c r="AN3574" s="32"/>
      <c r="AO3574" s="32"/>
      <c r="AP3574" s="24"/>
      <c r="AQ3574" s="24"/>
      <c r="AR3574" s="33"/>
      <c r="AS3574" s="34"/>
      <c r="AT3574" s="33"/>
      <c r="AV3574" s="21">
        <f>IF(AND($AL3574&lt;&gt;"",COUNTIF($AL$11:$AL3574,$AL3574)=1),1,0)</f>
        <v>0</v>
      </c>
      <c r="AW3574" s="21">
        <f t="shared" si="197"/>
        <v>0</v>
      </c>
      <c r="AX3574" s="21" t="str">
        <f t="shared" si="196"/>
        <v/>
      </c>
      <c r="AY3574" s="21" t="str">
        <f>IF(AND($AM3574&lt;&gt;"",$AS3574&lt;&gt;"✓"),SUMPRODUCT(($AM$11:$AM3574&lt;&gt;"")*($AS$11:$AS3574&lt;&gt;"✓")),"")</f>
        <v/>
      </c>
      <c r="AZ3574" s="21" t="str">
        <f>IF(AND($AM3574&lt;&gt;"",$AS3574="✓"),SUMPRODUCT(($AM$11:$AM3574&lt;&gt;"")*($AS$11:$AS3574="✓")),"")</f>
        <v/>
      </c>
      <c r="BA3574" s="21" t="str">
        <f>IF($AL3574="","",$AL3574&amp;"|"&amp;COUNTIF($AL$11:$AL3574,$AL3574))</f>
        <v/>
      </c>
    </row>
    <row r="3575" spans="38:53" ht="15" customHeight="1" x14ac:dyDescent="0.25">
      <c r="AL3575" s="17"/>
      <c r="AM3575" s="12"/>
      <c r="AN3575" s="18"/>
      <c r="AO3575" s="18"/>
      <c r="AP3575" s="10"/>
      <c r="AQ3575" s="10"/>
      <c r="AR3575" s="19"/>
      <c r="AS3575" s="20"/>
      <c r="AT3575" s="19"/>
      <c r="AV3575" s="21">
        <f>IF(AND($AL3575&lt;&gt;"",COUNTIF($AL$11:$AL3575,$AL3575)=1),1,0)</f>
        <v>0</v>
      </c>
      <c r="AW3575" s="21">
        <f t="shared" si="197"/>
        <v>0</v>
      </c>
      <c r="AX3575" s="21" t="str">
        <f t="shared" si="196"/>
        <v/>
      </c>
      <c r="AY3575" s="21" t="str">
        <f>IF(AND($AM3575&lt;&gt;"",$AS3575&lt;&gt;"✓"),SUMPRODUCT(($AM$11:$AM3575&lt;&gt;"")*($AS$11:$AS3575&lt;&gt;"✓")),"")</f>
        <v/>
      </c>
      <c r="AZ3575" s="21" t="str">
        <f>IF(AND($AM3575&lt;&gt;"",$AS3575="✓"),SUMPRODUCT(($AM$11:$AM3575&lt;&gt;"")*($AS$11:$AS3575="✓")),"")</f>
        <v/>
      </c>
      <c r="BA3575" s="21" t="str">
        <f>IF($AL3575="","",$AL3575&amp;"|"&amp;COUNTIF($AL$11:$AL3575,$AL3575))</f>
        <v/>
      </c>
    </row>
    <row r="3576" spans="38:53" ht="15" customHeight="1" x14ac:dyDescent="0.25">
      <c r="AL3576" s="31"/>
      <c r="AM3576" s="26"/>
      <c r="AN3576" s="32"/>
      <c r="AO3576" s="32"/>
      <c r="AP3576" s="24"/>
      <c r="AQ3576" s="24"/>
      <c r="AR3576" s="33"/>
      <c r="AS3576" s="34"/>
      <c r="AT3576" s="33"/>
      <c r="AV3576" s="21">
        <f>IF(AND($AL3576&lt;&gt;"",COUNTIF($AL$11:$AL3576,$AL3576)=1),1,0)</f>
        <v>0</v>
      </c>
      <c r="AW3576" s="21">
        <f t="shared" si="197"/>
        <v>0</v>
      </c>
      <c r="AX3576" s="21" t="str">
        <f t="shared" si="196"/>
        <v/>
      </c>
      <c r="AY3576" s="21" t="str">
        <f>IF(AND($AM3576&lt;&gt;"",$AS3576&lt;&gt;"✓"),SUMPRODUCT(($AM$11:$AM3576&lt;&gt;"")*($AS$11:$AS3576&lt;&gt;"✓")),"")</f>
        <v/>
      </c>
      <c r="AZ3576" s="21" t="str">
        <f>IF(AND($AM3576&lt;&gt;"",$AS3576="✓"),SUMPRODUCT(($AM$11:$AM3576&lt;&gt;"")*($AS$11:$AS3576="✓")),"")</f>
        <v/>
      </c>
      <c r="BA3576" s="21" t="str">
        <f>IF($AL3576="","",$AL3576&amp;"|"&amp;COUNTIF($AL$11:$AL3576,$AL3576))</f>
        <v/>
      </c>
    </row>
    <row r="3577" spans="38:53" ht="15" customHeight="1" x14ac:dyDescent="0.25">
      <c r="AL3577" s="17"/>
      <c r="AM3577" s="12"/>
      <c r="AN3577" s="18"/>
      <c r="AO3577" s="18"/>
      <c r="AP3577" s="10"/>
      <c r="AQ3577" s="10"/>
      <c r="AR3577" s="19"/>
      <c r="AS3577" s="20"/>
      <c r="AT3577" s="19"/>
      <c r="AV3577" s="21">
        <f>IF(AND($AL3577&lt;&gt;"",COUNTIF($AL$11:$AL3577,$AL3577)=1),1,0)</f>
        <v>0</v>
      </c>
      <c r="AW3577" s="21">
        <f t="shared" si="197"/>
        <v>0</v>
      </c>
      <c r="AX3577" s="21" t="str">
        <f t="shared" si="196"/>
        <v/>
      </c>
      <c r="AY3577" s="21" t="str">
        <f>IF(AND($AM3577&lt;&gt;"",$AS3577&lt;&gt;"✓"),SUMPRODUCT(($AM$11:$AM3577&lt;&gt;"")*($AS$11:$AS3577&lt;&gt;"✓")),"")</f>
        <v/>
      </c>
      <c r="AZ3577" s="21" t="str">
        <f>IF(AND($AM3577&lt;&gt;"",$AS3577="✓"),SUMPRODUCT(($AM$11:$AM3577&lt;&gt;"")*($AS$11:$AS3577="✓")),"")</f>
        <v/>
      </c>
      <c r="BA3577" s="21" t="str">
        <f>IF($AL3577="","",$AL3577&amp;"|"&amp;COUNTIF($AL$11:$AL3577,$AL3577))</f>
        <v/>
      </c>
    </row>
    <row r="3578" spans="38:53" ht="15" customHeight="1" x14ac:dyDescent="0.25">
      <c r="AL3578" s="31"/>
      <c r="AM3578" s="26"/>
      <c r="AN3578" s="32"/>
      <c r="AO3578" s="32"/>
      <c r="AP3578" s="24"/>
      <c r="AQ3578" s="24"/>
      <c r="AR3578" s="33"/>
      <c r="AS3578" s="34"/>
      <c r="AT3578" s="33"/>
      <c r="AV3578" s="21">
        <f>IF(AND($AL3578&lt;&gt;"",COUNTIF($AL$11:$AL3578,$AL3578)=1),1,0)</f>
        <v>0</v>
      </c>
      <c r="AW3578" s="21">
        <f t="shared" si="197"/>
        <v>0</v>
      </c>
      <c r="AX3578" s="21" t="str">
        <f t="shared" si="196"/>
        <v/>
      </c>
      <c r="AY3578" s="21" t="str">
        <f>IF(AND($AM3578&lt;&gt;"",$AS3578&lt;&gt;"✓"),SUMPRODUCT(($AM$11:$AM3578&lt;&gt;"")*($AS$11:$AS3578&lt;&gt;"✓")),"")</f>
        <v/>
      </c>
      <c r="AZ3578" s="21" t="str">
        <f>IF(AND($AM3578&lt;&gt;"",$AS3578="✓"),SUMPRODUCT(($AM$11:$AM3578&lt;&gt;"")*($AS$11:$AS3578="✓")),"")</f>
        <v/>
      </c>
      <c r="BA3578" s="21" t="str">
        <f>IF($AL3578="","",$AL3578&amp;"|"&amp;COUNTIF($AL$11:$AL3578,$AL3578))</f>
        <v/>
      </c>
    </row>
    <row r="3579" spans="38:53" ht="15" customHeight="1" x14ac:dyDescent="0.25">
      <c r="AL3579" s="17"/>
      <c r="AM3579" s="12"/>
      <c r="AN3579" s="18"/>
      <c r="AO3579" s="18"/>
      <c r="AP3579" s="10"/>
      <c r="AQ3579" s="10"/>
      <c r="AR3579" s="19"/>
      <c r="AS3579" s="20"/>
      <c r="AT3579" s="19"/>
      <c r="AV3579" s="21">
        <f>IF(AND($AL3579&lt;&gt;"",COUNTIF($AL$11:$AL3579,$AL3579)=1),1,0)</f>
        <v>0</v>
      </c>
      <c r="AW3579" s="21">
        <f t="shared" si="197"/>
        <v>0</v>
      </c>
      <c r="AX3579" s="21" t="str">
        <f t="shared" si="196"/>
        <v/>
      </c>
      <c r="AY3579" s="21" t="str">
        <f>IF(AND($AM3579&lt;&gt;"",$AS3579&lt;&gt;"✓"),SUMPRODUCT(($AM$11:$AM3579&lt;&gt;"")*($AS$11:$AS3579&lt;&gt;"✓")),"")</f>
        <v/>
      </c>
      <c r="AZ3579" s="21" t="str">
        <f>IF(AND($AM3579&lt;&gt;"",$AS3579="✓"),SUMPRODUCT(($AM$11:$AM3579&lt;&gt;"")*($AS$11:$AS3579="✓")),"")</f>
        <v/>
      </c>
      <c r="BA3579" s="21" t="str">
        <f>IF($AL3579="","",$AL3579&amp;"|"&amp;COUNTIF($AL$11:$AL3579,$AL3579))</f>
        <v/>
      </c>
    </row>
    <row r="3580" spans="38:53" ht="15" customHeight="1" x14ac:dyDescent="0.25">
      <c r="AL3580" s="31"/>
      <c r="AM3580" s="26"/>
      <c r="AN3580" s="32"/>
      <c r="AO3580" s="32"/>
      <c r="AP3580" s="24"/>
      <c r="AQ3580" s="24"/>
      <c r="AR3580" s="33"/>
      <c r="AS3580" s="34"/>
      <c r="AT3580" s="33"/>
      <c r="AV3580" s="21">
        <f>IF(AND($AL3580&lt;&gt;"",COUNTIF($AL$11:$AL3580,$AL3580)=1),1,0)</f>
        <v>0</v>
      </c>
      <c r="AW3580" s="21">
        <f t="shared" si="197"/>
        <v>0</v>
      </c>
      <c r="AX3580" s="21" t="str">
        <f t="shared" si="196"/>
        <v/>
      </c>
      <c r="AY3580" s="21" t="str">
        <f>IF(AND($AM3580&lt;&gt;"",$AS3580&lt;&gt;"✓"),SUMPRODUCT(($AM$11:$AM3580&lt;&gt;"")*($AS$11:$AS3580&lt;&gt;"✓")),"")</f>
        <v/>
      </c>
      <c r="AZ3580" s="21" t="str">
        <f>IF(AND($AM3580&lt;&gt;"",$AS3580="✓"),SUMPRODUCT(($AM$11:$AM3580&lt;&gt;"")*($AS$11:$AS3580="✓")),"")</f>
        <v/>
      </c>
      <c r="BA3580" s="21" t="str">
        <f>IF($AL3580="","",$AL3580&amp;"|"&amp;COUNTIF($AL$11:$AL3580,$AL3580))</f>
        <v/>
      </c>
    </row>
    <row r="3581" spans="38:53" ht="15" customHeight="1" x14ac:dyDescent="0.25">
      <c r="AL3581" s="17"/>
      <c r="AM3581" s="12"/>
      <c r="AN3581" s="18"/>
      <c r="AO3581" s="18"/>
      <c r="AP3581" s="10"/>
      <c r="AQ3581" s="10"/>
      <c r="AR3581" s="19"/>
      <c r="AS3581" s="20"/>
      <c r="AT3581" s="19"/>
      <c r="AV3581" s="21">
        <f>IF(AND($AL3581&lt;&gt;"",COUNTIF($AL$11:$AL3581,$AL3581)=1),1,0)</f>
        <v>0</v>
      </c>
      <c r="AW3581" s="21">
        <f t="shared" si="197"/>
        <v>0</v>
      </c>
      <c r="AX3581" s="21" t="str">
        <f t="shared" si="196"/>
        <v/>
      </c>
      <c r="AY3581" s="21" t="str">
        <f>IF(AND($AM3581&lt;&gt;"",$AS3581&lt;&gt;"✓"),SUMPRODUCT(($AM$11:$AM3581&lt;&gt;"")*($AS$11:$AS3581&lt;&gt;"✓")),"")</f>
        <v/>
      </c>
      <c r="AZ3581" s="21" t="str">
        <f>IF(AND($AM3581&lt;&gt;"",$AS3581="✓"),SUMPRODUCT(($AM$11:$AM3581&lt;&gt;"")*($AS$11:$AS3581="✓")),"")</f>
        <v/>
      </c>
      <c r="BA3581" s="21" t="str">
        <f>IF($AL3581="","",$AL3581&amp;"|"&amp;COUNTIF($AL$11:$AL3581,$AL3581))</f>
        <v/>
      </c>
    </row>
    <row r="3582" spans="38:53" ht="15" customHeight="1" x14ac:dyDescent="0.25">
      <c r="AL3582" s="31"/>
      <c r="AM3582" s="26"/>
      <c r="AN3582" s="32"/>
      <c r="AO3582" s="32"/>
      <c r="AP3582" s="24"/>
      <c r="AQ3582" s="24"/>
      <c r="AR3582" s="33"/>
      <c r="AS3582" s="34"/>
      <c r="AT3582" s="33"/>
      <c r="AV3582" s="21">
        <f>IF(AND($AL3582&lt;&gt;"",COUNTIF($AL$11:$AL3582,$AL3582)=1),1,0)</f>
        <v>0</v>
      </c>
      <c r="AW3582" s="21">
        <f t="shared" si="197"/>
        <v>0</v>
      </c>
      <c r="AX3582" s="21" t="str">
        <f t="shared" si="196"/>
        <v/>
      </c>
      <c r="AY3582" s="21" t="str">
        <f>IF(AND($AM3582&lt;&gt;"",$AS3582&lt;&gt;"✓"),SUMPRODUCT(($AM$11:$AM3582&lt;&gt;"")*($AS$11:$AS3582&lt;&gt;"✓")),"")</f>
        <v/>
      </c>
      <c r="AZ3582" s="21" t="str">
        <f>IF(AND($AM3582&lt;&gt;"",$AS3582="✓"),SUMPRODUCT(($AM$11:$AM3582&lt;&gt;"")*($AS$11:$AS3582="✓")),"")</f>
        <v/>
      </c>
      <c r="BA3582" s="21" t="str">
        <f>IF($AL3582="","",$AL3582&amp;"|"&amp;COUNTIF($AL$11:$AL3582,$AL3582))</f>
        <v/>
      </c>
    </row>
    <row r="3583" spans="38:53" ht="15" customHeight="1" x14ac:dyDescent="0.25">
      <c r="AL3583" s="17"/>
      <c r="AM3583" s="12"/>
      <c r="AN3583" s="18"/>
      <c r="AO3583" s="18"/>
      <c r="AP3583" s="10"/>
      <c r="AQ3583" s="10"/>
      <c r="AR3583" s="19"/>
      <c r="AS3583" s="20"/>
      <c r="AT3583" s="19"/>
      <c r="AV3583" s="21">
        <f>IF(AND($AL3583&lt;&gt;"",COUNTIF($AL$11:$AL3583,$AL3583)=1),1,0)</f>
        <v>0</v>
      </c>
      <c r="AW3583" s="21">
        <f t="shared" si="197"/>
        <v>0</v>
      </c>
      <c r="AX3583" s="21" t="str">
        <f t="shared" si="196"/>
        <v/>
      </c>
      <c r="AY3583" s="21" t="str">
        <f>IF(AND($AM3583&lt;&gt;"",$AS3583&lt;&gt;"✓"),SUMPRODUCT(($AM$11:$AM3583&lt;&gt;"")*($AS$11:$AS3583&lt;&gt;"✓")),"")</f>
        <v/>
      </c>
      <c r="AZ3583" s="21" t="str">
        <f>IF(AND($AM3583&lt;&gt;"",$AS3583="✓"),SUMPRODUCT(($AM$11:$AM3583&lt;&gt;"")*($AS$11:$AS3583="✓")),"")</f>
        <v/>
      </c>
      <c r="BA3583" s="21" t="str">
        <f>IF($AL3583="","",$AL3583&amp;"|"&amp;COUNTIF($AL$11:$AL3583,$AL3583))</f>
        <v/>
      </c>
    </row>
    <row r="3584" spans="38:53" ht="15" customHeight="1" x14ac:dyDescent="0.25">
      <c r="AL3584" s="31"/>
      <c r="AM3584" s="26"/>
      <c r="AN3584" s="32"/>
      <c r="AO3584" s="32"/>
      <c r="AP3584" s="24"/>
      <c r="AQ3584" s="24"/>
      <c r="AR3584" s="33"/>
      <c r="AS3584" s="34"/>
      <c r="AT3584" s="33"/>
      <c r="AV3584" s="21">
        <f>IF(AND($AL3584&lt;&gt;"",COUNTIF($AL$11:$AL3584,$AL3584)=1),1,0)</f>
        <v>0</v>
      </c>
      <c r="AW3584" s="21">
        <f t="shared" si="197"/>
        <v>0</v>
      </c>
      <c r="AX3584" s="21" t="str">
        <f t="shared" si="196"/>
        <v/>
      </c>
      <c r="AY3584" s="21" t="str">
        <f>IF(AND($AM3584&lt;&gt;"",$AS3584&lt;&gt;"✓"),SUMPRODUCT(($AM$11:$AM3584&lt;&gt;"")*($AS$11:$AS3584&lt;&gt;"✓")),"")</f>
        <v/>
      </c>
      <c r="AZ3584" s="21" t="str">
        <f>IF(AND($AM3584&lt;&gt;"",$AS3584="✓"),SUMPRODUCT(($AM$11:$AM3584&lt;&gt;"")*($AS$11:$AS3584="✓")),"")</f>
        <v/>
      </c>
      <c r="BA3584" s="21" t="str">
        <f>IF($AL3584="","",$AL3584&amp;"|"&amp;COUNTIF($AL$11:$AL3584,$AL3584))</f>
        <v/>
      </c>
    </row>
    <row r="3585" spans="38:53" ht="15" customHeight="1" x14ac:dyDescent="0.25">
      <c r="AL3585" s="17"/>
      <c r="AM3585" s="12"/>
      <c r="AN3585" s="18"/>
      <c r="AO3585" s="18"/>
      <c r="AP3585" s="10"/>
      <c r="AQ3585" s="10"/>
      <c r="AR3585" s="19"/>
      <c r="AS3585" s="20"/>
      <c r="AT3585" s="19"/>
      <c r="AV3585" s="21">
        <f>IF(AND($AL3585&lt;&gt;"",COUNTIF($AL$11:$AL3585,$AL3585)=1),1,0)</f>
        <v>0</v>
      </c>
      <c r="AW3585" s="21">
        <f t="shared" si="197"/>
        <v>0</v>
      </c>
      <c r="AX3585" s="21" t="str">
        <f t="shared" si="196"/>
        <v/>
      </c>
      <c r="AY3585" s="21" t="str">
        <f>IF(AND($AM3585&lt;&gt;"",$AS3585&lt;&gt;"✓"),SUMPRODUCT(($AM$11:$AM3585&lt;&gt;"")*($AS$11:$AS3585&lt;&gt;"✓")),"")</f>
        <v/>
      </c>
      <c r="AZ3585" s="21" t="str">
        <f>IF(AND($AM3585&lt;&gt;"",$AS3585="✓"),SUMPRODUCT(($AM$11:$AM3585&lt;&gt;"")*($AS$11:$AS3585="✓")),"")</f>
        <v/>
      </c>
      <c r="BA3585" s="21" t="str">
        <f>IF($AL3585="","",$AL3585&amp;"|"&amp;COUNTIF($AL$11:$AL3585,$AL3585))</f>
        <v/>
      </c>
    </row>
    <row r="3586" spans="38:53" ht="15" customHeight="1" x14ac:dyDescent="0.25">
      <c r="AL3586" s="31"/>
      <c r="AM3586" s="26"/>
      <c r="AN3586" s="32"/>
      <c r="AO3586" s="32"/>
      <c r="AP3586" s="24"/>
      <c r="AQ3586" s="24"/>
      <c r="AR3586" s="33"/>
      <c r="AS3586" s="34"/>
      <c r="AT3586" s="33"/>
      <c r="AV3586" s="21">
        <f>IF(AND($AL3586&lt;&gt;"",COUNTIF($AL$11:$AL3586,$AL3586)=1),1,0)</f>
        <v>0</v>
      </c>
      <c r="AW3586" s="21">
        <f t="shared" si="197"/>
        <v>0</v>
      </c>
      <c r="AX3586" s="21" t="str">
        <f t="shared" si="196"/>
        <v/>
      </c>
      <c r="AY3586" s="21" t="str">
        <f>IF(AND($AM3586&lt;&gt;"",$AS3586&lt;&gt;"✓"),SUMPRODUCT(($AM$11:$AM3586&lt;&gt;"")*($AS$11:$AS3586&lt;&gt;"✓")),"")</f>
        <v/>
      </c>
      <c r="AZ3586" s="21" t="str">
        <f>IF(AND($AM3586&lt;&gt;"",$AS3586="✓"),SUMPRODUCT(($AM$11:$AM3586&lt;&gt;"")*($AS$11:$AS3586="✓")),"")</f>
        <v/>
      </c>
      <c r="BA3586" s="21" t="str">
        <f>IF($AL3586="","",$AL3586&amp;"|"&amp;COUNTIF($AL$11:$AL3586,$AL3586))</f>
        <v/>
      </c>
    </row>
    <row r="3587" spans="38:53" ht="15" customHeight="1" x14ac:dyDescent="0.25">
      <c r="AL3587" s="17"/>
      <c r="AM3587" s="12"/>
      <c r="AN3587" s="18"/>
      <c r="AO3587" s="18"/>
      <c r="AP3587" s="10"/>
      <c r="AQ3587" s="10"/>
      <c r="AR3587" s="19"/>
      <c r="AS3587" s="20"/>
      <c r="AT3587" s="19"/>
      <c r="AV3587" s="21">
        <f>IF(AND($AL3587&lt;&gt;"",COUNTIF($AL$11:$AL3587,$AL3587)=1),1,0)</f>
        <v>0</v>
      </c>
      <c r="AW3587" s="21">
        <f t="shared" si="197"/>
        <v>0</v>
      </c>
      <c r="AX3587" s="21" t="str">
        <f t="shared" si="196"/>
        <v/>
      </c>
      <c r="AY3587" s="21" t="str">
        <f>IF(AND($AM3587&lt;&gt;"",$AS3587&lt;&gt;"✓"),SUMPRODUCT(($AM$11:$AM3587&lt;&gt;"")*($AS$11:$AS3587&lt;&gt;"✓")),"")</f>
        <v/>
      </c>
      <c r="AZ3587" s="21" t="str">
        <f>IF(AND($AM3587&lt;&gt;"",$AS3587="✓"),SUMPRODUCT(($AM$11:$AM3587&lt;&gt;"")*($AS$11:$AS3587="✓")),"")</f>
        <v/>
      </c>
      <c r="BA3587" s="21" t="str">
        <f>IF($AL3587="","",$AL3587&amp;"|"&amp;COUNTIF($AL$11:$AL3587,$AL3587))</f>
        <v/>
      </c>
    </row>
    <row r="3588" spans="38:53" ht="15" customHeight="1" x14ac:dyDescent="0.25">
      <c r="AL3588" s="31"/>
      <c r="AM3588" s="26"/>
      <c r="AN3588" s="32"/>
      <c r="AO3588" s="32"/>
      <c r="AP3588" s="24"/>
      <c r="AQ3588" s="24"/>
      <c r="AR3588" s="33"/>
      <c r="AS3588" s="34"/>
      <c r="AT3588" s="33"/>
      <c r="AV3588" s="21">
        <f>IF(AND($AL3588&lt;&gt;"",COUNTIF($AL$11:$AL3588,$AL3588)=1),1,0)</f>
        <v>0</v>
      </c>
      <c r="AW3588" s="21">
        <f t="shared" si="197"/>
        <v>0</v>
      </c>
      <c r="AX3588" s="21" t="str">
        <f t="shared" si="196"/>
        <v/>
      </c>
      <c r="AY3588" s="21" t="str">
        <f>IF(AND($AM3588&lt;&gt;"",$AS3588&lt;&gt;"✓"),SUMPRODUCT(($AM$11:$AM3588&lt;&gt;"")*($AS$11:$AS3588&lt;&gt;"✓")),"")</f>
        <v/>
      </c>
      <c r="AZ3588" s="21" t="str">
        <f>IF(AND($AM3588&lt;&gt;"",$AS3588="✓"),SUMPRODUCT(($AM$11:$AM3588&lt;&gt;"")*($AS$11:$AS3588="✓")),"")</f>
        <v/>
      </c>
      <c r="BA3588" s="21" t="str">
        <f>IF($AL3588="","",$AL3588&amp;"|"&amp;COUNTIF($AL$11:$AL3588,$AL3588))</f>
        <v/>
      </c>
    </row>
    <row r="3589" spans="38:53" ht="15" customHeight="1" x14ac:dyDescent="0.25">
      <c r="AL3589" s="17"/>
      <c r="AM3589" s="12"/>
      <c r="AN3589" s="18"/>
      <c r="AO3589" s="18"/>
      <c r="AP3589" s="10"/>
      <c r="AQ3589" s="10"/>
      <c r="AR3589" s="19"/>
      <c r="AS3589" s="20"/>
      <c r="AT3589" s="19"/>
      <c r="AV3589" s="21">
        <f>IF(AND($AL3589&lt;&gt;"",COUNTIF($AL$11:$AL3589,$AL3589)=1),1,0)</f>
        <v>0</v>
      </c>
      <c r="AW3589" s="21">
        <f t="shared" si="197"/>
        <v>0</v>
      </c>
      <c r="AX3589" s="21" t="str">
        <f t="shared" si="196"/>
        <v/>
      </c>
      <c r="AY3589" s="21" t="str">
        <f>IF(AND($AM3589&lt;&gt;"",$AS3589&lt;&gt;"✓"),SUMPRODUCT(($AM$11:$AM3589&lt;&gt;"")*($AS$11:$AS3589&lt;&gt;"✓")),"")</f>
        <v/>
      </c>
      <c r="AZ3589" s="21" t="str">
        <f>IF(AND($AM3589&lt;&gt;"",$AS3589="✓"),SUMPRODUCT(($AM$11:$AM3589&lt;&gt;"")*($AS$11:$AS3589="✓")),"")</f>
        <v/>
      </c>
      <c r="BA3589" s="21" t="str">
        <f>IF($AL3589="","",$AL3589&amp;"|"&amp;COUNTIF($AL$11:$AL3589,$AL3589))</f>
        <v/>
      </c>
    </row>
    <row r="3590" spans="38:53" ht="15" customHeight="1" x14ac:dyDescent="0.25">
      <c r="AL3590" s="31"/>
      <c r="AM3590" s="26"/>
      <c r="AN3590" s="32"/>
      <c r="AO3590" s="32"/>
      <c r="AP3590" s="24"/>
      <c r="AQ3590" s="24"/>
      <c r="AR3590" s="33"/>
      <c r="AS3590" s="34"/>
      <c r="AT3590" s="33"/>
      <c r="AV3590" s="21">
        <f>IF(AND($AL3590&lt;&gt;"",COUNTIF($AL$11:$AL3590,$AL3590)=1),1,0)</f>
        <v>0</v>
      </c>
      <c r="AW3590" s="21">
        <f t="shared" si="197"/>
        <v>0</v>
      </c>
      <c r="AX3590" s="21" t="str">
        <f t="shared" si="196"/>
        <v/>
      </c>
      <c r="AY3590" s="21" t="str">
        <f>IF(AND($AM3590&lt;&gt;"",$AS3590&lt;&gt;"✓"),SUMPRODUCT(($AM$11:$AM3590&lt;&gt;"")*($AS$11:$AS3590&lt;&gt;"✓")),"")</f>
        <v/>
      </c>
      <c r="AZ3590" s="21" t="str">
        <f>IF(AND($AM3590&lt;&gt;"",$AS3590="✓"),SUMPRODUCT(($AM$11:$AM3590&lt;&gt;"")*($AS$11:$AS3590="✓")),"")</f>
        <v/>
      </c>
      <c r="BA3590" s="21" t="str">
        <f>IF($AL3590="","",$AL3590&amp;"|"&amp;COUNTIF($AL$11:$AL3590,$AL3590))</f>
        <v/>
      </c>
    </row>
    <row r="3591" spans="38:53" ht="15" customHeight="1" x14ac:dyDescent="0.25">
      <c r="AL3591" s="17"/>
      <c r="AM3591" s="12"/>
      <c r="AN3591" s="18"/>
      <c r="AO3591" s="18"/>
      <c r="AP3591" s="10"/>
      <c r="AQ3591" s="10"/>
      <c r="AR3591" s="19"/>
      <c r="AS3591" s="20"/>
      <c r="AT3591" s="19"/>
      <c r="AV3591" s="21">
        <f>IF(AND($AL3591&lt;&gt;"",COUNTIF($AL$11:$AL3591,$AL3591)=1),1,0)</f>
        <v>0</v>
      </c>
      <c r="AW3591" s="21">
        <f t="shared" si="197"/>
        <v>0</v>
      </c>
      <c r="AX3591" s="21" t="str">
        <f t="shared" si="196"/>
        <v/>
      </c>
      <c r="AY3591" s="21" t="str">
        <f>IF(AND($AM3591&lt;&gt;"",$AS3591&lt;&gt;"✓"),SUMPRODUCT(($AM$11:$AM3591&lt;&gt;"")*($AS$11:$AS3591&lt;&gt;"✓")),"")</f>
        <v/>
      </c>
      <c r="AZ3591" s="21" t="str">
        <f>IF(AND($AM3591&lt;&gt;"",$AS3591="✓"),SUMPRODUCT(($AM$11:$AM3591&lt;&gt;"")*($AS$11:$AS3591="✓")),"")</f>
        <v/>
      </c>
      <c r="BA3591" s="21" t="str">
        <f>IF($AL3591="","",$AL3591&amp;"|"&amp;COUNTIF($AL$11:$AL3591,$AL3591))</f>
        <v/>
      </c>
    </row>
    <row r="3592" spans="38:53" ht="15" customHeight="1" x14ac:dyDescent="0.25">
      <c r="AL3592" s="31"/>
      <c r="AM3592" s="26"/>
      <c r="AN3592" s="32"/>
      <c r="AO3592" s="32"/>
      <c r="AP3592" s="24"/>
      <c r="AQ3592" s="24"/>
      <c r="AR3592" s="33"/>
      <c r="AS3592" s="34"/>
      <c r="AT3592" s="33"/>
      <c r="AV3592" s="21">
        <f>IF(AND($AL3592&lt;&gt;"",COUNTIF($AL$11:$AL3592,$AL3592)=1),1,0)</f>
        <v>0</v>
      </c>
      <c r="AW3592" s="21">
        <f t="shared" si="197"/>
        <v>0</v>
      </c>
      <c r="AX3592" s="21" t="str">
        <f t="shared" si="196"/>
        <v/>
      </c>
      <c r="AY3592" s="21" t="str">
        <f>IF(AND($AM3592&lt;&gt;"",$AS3592&lt;&gt;"✓"),SUMPRODUCT(($AM$11:$AM3592&lt;&gt;"")*($AS$11:$AS3592&lt;&gt;"✓")),"")</f>
        <v/>
      </c>
      <c r="AZ3592" s="21" t="str">
        <f>IF(AND($AM3592&lt;&gt;"",$AS3592="✓"),SUMPRODUCT(($AM$11:$AM3592&lt;&gt;"")*($AS$11:$AS3592="✓")),"")</f>
        <v/>
      </c>
      <c r="BA3592" s="21" t="str">
        <f>IF($AL3592="","",$AL3592&amp;"|"&amp;COUNTIF($AL$11:$AL3592,$AL3592))</f>
        <v/>
      </c>
    </row>
    <row r="3593" spans="38:53" ht="15" customHeight="1" x14ac:dyDescent="0.25">
      <c r="AL3593" s="17"/>
      <c r="AM3593" s="12"/>
      <c r="AN3593" s="18"/>
      <c r="AO3593" s="18"/>
      <c r="AP3593" s="10"/>
      <c r="AQ3593" s="10"/>
      <c r="AR3593" s="19"/>
      <c r="AS3593" s="20"/>
      <c r="AT3593" s="19"/>
      <c r="AV3593" s="21">
        <f>IF(AND($AL3593&lt;&gt;"",COUNTIF($AL$11:$AL3593,$AL3593)=1),1,0)</f>
        <v>0</v>
      </c>
      <c r="AW3593" s="21">
        <f t="shared" si="197"/>
        <v>0</v>
      </c>
      <c r="AX3593" s="21" t="str">
        <f t="shared" si="196"/>
        <v/>
      </c>
      <c r="AY3593" s="21" t="str">
        <f>IF(AND($AM3593&lt;&gt;"",$AS3593&lt;&gt;"✓"),SUMPRODUCT(($AM$11:$AM3593&lt;&gt;"")*($AS$11:$AS3593&lt;&gt;"✓")),"")</f>
        <v/>
      </c>
      <c r="AZ3593" s="21" t="str">
        <f>IF(AND($AM3593&lt;&gt;"",$AS3593="✓"),SUMPRODUCT(($AM$11:$AM3593&lt;&gt;"")*($AS$11:$AS3593="✓")),"")</f>
        <v/>
      </c>
      <c r="BA3593" s="21" t="str">
        <f>IF($AL3593="","",$AL3593&amp;"|"&amp;COUNTIF($AL$11:$AL3593,$AL3593))</f>
        <v/>
      </c>
    </row>
    <row r="3594" spans="38:53" ht="15" customHeight="1" x14ac:dyDescent="0.25">
      <c r="AL3594" s="31"/>
      <c r="AM3594" s="26"/>
      <c r="AN3594" s="32"/>
      <c r="AO3594" s="32"/>
      <c r="AP3594" s="24"/>
      <c r="AQ3594" s="24"/>
      <c r="AR3594" s="33"/>
      <c r="AS3594" s="34"/>
      <c r="AT3594" s="33"/>
      <c r="AV3594" s="21">
        <f>IF(AND($AL3594&lt;&gt;"",COUNTIF($AL$11:$AL3594,$AL3594)=1),1,0)</f>
        <v>0</v>
      </c>
      <c r="AW3594" s="21">
        <f t="shared" si="197"/>
        <v>0</v>
      </c>
      <c r="AX3594" s="21" t="str">
        <f t="shared" si="196"/>
        <v/>
      </c>
      <c r="AY3594" s="21" t="str">
        <f>IF(AND($AM3594&lt;&gt;"",$AS3594&lt;&gt;"✓"),SUMPRODUCT(($AM$11:$AM3594&lt;&gt;"")*($AS$11:$AS3594&lt;&gt;"✓")),"")</f>
        <v/>
      </c>
      <c r="AZ3594" s="21" t="str">
        <f>IF(AND($AM3594&lt;&gt;"",$AS3594="✓"),SUMPRODUCT(($AM$11:$AM3594&lt;&gt;"")*($AS$11:$AS3594="✓")),"")</f>
        <v/>
      </c>
      <c r="BA3594" s="21" t="str">
        <f>IF($AL3594="","",$AL3594&amp;"|"&amp;COUNTIF($AL$11:$AL3594,$AL3594))</f>
        <v/>
      </c>
    </row>
    <row r="3595" spans="38:53" ht="15" customHeight="1" x14ac:dyDescent="0.25">
      <c r="AL3595" s="17"/>
      <c r="AM3595" s="12"/>
      <c r="AN3595" s="18"/>
      <c r="AO3595" s="18"/>
      <c r="AP3595" s="10"/>
      <c r="AQ3595" s="10"/>
      <c r="AR3595" s="19"/>
      <c r="AS3595" s="20"/>
      <c r="AT3595" s="19"/>
      <c r="AV3595" s="21">
        <f>IF(AND($AL3595&lt;&gt;"",COUNTIF($AL$11:$AL3595,$AL3595)=1),1,0)</f>
        <v>0</v>
      </c>
      <c r="AW3595" s="21">
        <f t="shared" si="197"/>
        <v>0</v>
      </c>
      <c r="AX3595" s="21" t="str">
        <f t="shared" ref="AX3595:AX3658" si="198">IF(AV3595=1,AW3595,"")</f>
        <v/>
      </c>
      <c r="AY3595" s="21" t="str">
        <f>IF(AND($AM3595&lt;&gt;"",$AS3595&lt;&gt;"✓"),SUMPRODUCT(($AM$11:$AM3595&lt;&gt;"")*($AS$11:$AS3595&lt;&gt;"✓")),"")</f>
        <v/>
      </c>
      <c r="AZ3595" s="21" t="str">
        <f>IF(AND($AM3595&lt;&gt;"",$AS3595="✓"),SUMPRODUCT(($AM$11:$AM3595&lt;&gt;"")*($AS$11:$AS3595="✓")),"")</f>
        <v/>
      </c>
      <c r="BA3595" s="21" t="str">
        <f>IF($AL3595="","",$AL3595&amp;"|"&amp;COUNTIF($AL$11:$AL3595,$AL3595))</f>
        <v/>
      </c>
    </row>
    <row r="3596" spans="38:53" ht="15" customHeight="1" x14ac:dyDescent="0.25">
      <c r="AL3596" s="31"/>
      <c r="AM3596" s="26"/>
      <c r="AN3596" s="32"/>
      <c r="AO3596" s="32"/>
      <c r="AP3596" s="24"/>
      <c r="AQ3596" s="24"/>
      <c r="AR3596" s="33"/>
      <c r="AS3596" s="34"/>
      <c r="AT3596" s="33"/>
      <c r="AV3596" s="21">
        <f>IF(AND($AL3596&lt;&gt;"",COUNTIF($AL$11:$AL3596,$AL3596)=1),1,0)</f>
        <v>0</v>
      </c>
      <c r="AW3596" s="21">
        <f t="shared" ref="AW3596:AW3659" si="199">AW3595+AV3596</f>
        <v>0</v>
      </c>
      <c r="AX3596" s="21" t="str">
        <f t="shared" si="198"/>
        <v/>
      </c>
      <c r="AY3596" s="21" t="str">
        <f>IF(AND($AM3596&lt;&gt;"",$AS3596&lt;&gt;"✓"),SUMPRODUCT(($AM$11:$AM3596&lt;&gt;"")*($AS$11:$AS3596&lt;&gt;"✓")),"")</f>
        <v/>
      </c>
      <c r="AZ3596" s="21" t="str">
        <f>IF(AND($AM3596&lt;&gt;"",$AS3596="✓"),SUMPRODUCT(($AM$11:$AM3596&lt;&gt;"")*($AS$11:$AS3596="✓")),"")</f>
        <v/>
      </c>
      <c r="BA3596" s="21" t="str">
        <f>IF($AL3596="","",$AL3596&amp;"|"&amp;COUNTIF($AL$11:$AL3596,$AL3596))</f>
        <v/>
      </c>
    </row>
    <row r="3597" spans="38:53" ht="15" customHeight="1" x14ac:dyDescent="0.25">
      <c r="AL3597" s="17"/>
      <c r="AM3597" s="12"/>
      <c r="AN3597" s="18"/>
      <c r="AO3597" s="18"/>
      <c r="AP3597" s="10"/>
      <c r="AQ3597" s="10"/>
      <c r="AR3597" s="19"/>
      <c r="AS3597" s="20"/>
      <c r="AT3597" s="19"/>
      <c r="AV3597" s="21">
        <f>IF(AND($AL3597&lt;&gt;"",COUNTIF($AL$11:$AL3597,$AL3597)=1),1,0)</f>
        <v>0</v>
      </c>
      <c r="AW3597" s="21">
        <f t="shared" si="199"/>
        <v>0</v>
      </c>
      <c r="AX3597" s="21" t="str">
        <f t="shared" si="198"/>
        <v/>
      </c>
      <c r="AY3597" s="21" t="str">
        <f>IF(AND($AM3597&lt;&gt;"",$AS3597&lt;&gt;"✓"),SUMPRODUCT(($AM$11:$AM3597&lt;&gt;"")*($AS$11:$AS3597&lt;&gt;"✓")),"")</f>
        <v/>
      </c>
      <c r="AZ3597" s="21" t="str">
        <f>IF(AND($AM3597&lt;&gt;"",$AS3597="✓"),SUMPRODUCT(($AM$11:$AM3597&lt;&gt;"")*($AS$11:$AS3597="✓")),"")</f>
        <v/>
      </c>
      <c r="BA3597" s="21" t="str">
        <f>IF($AL3597="","",$AL3597&amp;"|"&amp;COUNTIF($AL$11:$AL3597,$AL3597))</f>
        <v/>
      </c>
    </row>
    <row r="3598" spans="38:53" ht="15" customHeight="1" x14ac:dyDescent="0.25">
      <c r="AL3598" s="31"/>
      <c r="AM3598" s="26"/>
      <c r="AN3598" s="32"/>
      <c r="AO3598" s="32"/>
      <c r="AP3598" s="24"/>
      <c r="AQ3598" s="24"/>
      <c r="AR3598" s="33"/>
      <c r="AS3598" s="34"/>
      <c r="AT3598" s="33"/>
      <c r="AV3598" s="21">
        <f>IF(AND($AL3598&lt;&gt;"",COUNTIF($AL$11:$AL3598,$AL3598)=1),1,0)</f>
        <v>0</v>
      </c>
      <c r="AW3598" s="21">
        <f t="shared" si="199"/>
        <v>0</v>
      </c>
      <c r="AX3598" s="21" t="str">
        <f t="shared" si="198"/>
        <v/>
      </c>
      <c r="AY3598" s="21" t="str">
        <f>IF(AND($AM3598&lt;&gt;"",$AS3598&lt;&gt;"✓"),SUMPRODUCT(($AM$11:$AM3598&lt;&gt;"")*($AS$11:$AS3598&lt;&gt;"✓")),"")</f>
        <v/>
      </c>
      <c r="AZ3598" s="21" t="str">
        <f>IF(AND($AM3598&lt;&gt;"",$AS3598="✓"),SUMPRODUCT(($AM$11:$AM3598&lt;&gt;"")*($AS$11:$AS3598="✓")),"")</f>
        <v/>
      </c>
      <c r="BA3598" s="21" t="str">
        <f>IF($AL3598="","",$AL3598&amp;"|"&amp;COUNTIF($AL$11:$AL3598,$AL3598))</f>
        <v/>
      </c>
    </row>
    <row r="3599" spans="38:53" ht="15" customHeight="1" x14ac:dyDescent="0.25">
      <c r="AL3599" s="17"/>
      <c r="AM3599" s="12"/>
      <c r="AN3599" s="18"/>
      <c r="AO3599" s="18"/>
      <c r="AP3599" s="10"/>
      <c r="AQ3599" s="10"/>
      <c r="AR3599" s="19"/>
      <c r="AS3599" s="20"/>
      <c r="AT3599" s="19"/>
      <c r="AV3599" s="21">
        <f>IF(AND($AL3599&lt;&gt;"",COUNTIF($AL$11:$AL3599,$AL3599)=1),1,0)</f>
        <v>0</v>
      </c>
      <c r="AW3599" s="21">
        <f t="shared" si="199"/>
        <v>0</v>
      </c>
      <c r="AX3599" s="21" t="str">
        <f t="shared" si="198"/>
        <v/>
      </c>
      <c r="AY3599" s="21" t="str">
        <f>IF(AND($AM3599&lt;&gt;"",$AS3599&lt;&gt;"✓"),SUMPRODUCT(($AM$11:$AM3599&lt;&gt;"")*($AS$11:$AS3599&lt;&gt;"✓")),"")</f>
        <v/>
      </c>
      <c r="AZ3599" s="21" t="str">
        <f>IF(AND($AM3599&lt;&gt;"",$AS3599="✓"),SUMPRODUCT(($AM$11:$AM3599&lt;&gt;"")*($AS$11:$AS3599="✓")),"")</f>
        <v/>
      </c>
      <c r="BA3599" s="21" t="str">
        <f>IF($AL3599="","",$AL3599&amp;"|"&amp;COUNTIF($AL$11:$AL3599,$AL3599))</f>
        <v/>
      </c>
    </row>
    <row r="3600" spans="38:53" ht="15" customHeight="1" x14ac:dyDescent="0.25">
      <c r="AL3600" s="31"/>
      <c r="AM3600" s="26"/>
      <c r="AN3600" s="32"/>
      <c r="AO3600" s="32"/>
      <c r="AP3600" s="24"/>
      <c r="AQ3600" s="24"/>
      <c r="AR3600" s="33"/>
      <c r="AS3600" s="34"/>
      <c r="AT3600" s="33"/>
      <c r="AV3600" s="21">
        <f>IF(AND($AL3600&lt;&gt;"",COUNTIF($AL$11:$AL3600,$AL3600)=1),1,0)</f>
        <v>0</v>
      </c>
      <c r="AW3600" s="21">
        <f t="shared" si="199"/>
        <v>0</v>
      </c>
      <c r="AX3600" s="21" t="str">
        <f t="shared" si="198"/>
        <v/>
      </c>
      <c r="AY3600" s="21" t="str">
        <f>IF(AND($AM3600&lt;&gt;"",$AS3600&lt;&gt;"✓"),SUMPRODUCT(($AM$11:$AM3600&lt;&gt;"")*($AS$11:$AS3600&lt;&gt;"✓")),"")</f>
        <v/>
      </c>
      <c r="AZ3600" s="21" t="str">
        <f>IF(AND($AM3600&lt;&gt;"",$AS3600="✓"),SUMPRODUCT(($AM$11:$AM3600&lt;&gt;"")*($AS$11:$AS3600="✓")),"")</f>
        <v/>
      </c>
      <c r="BA3600" s="21" t="str">
        <f>IF($AL3600="","",$AL3600&amp;"|"&amp;COUNTIF($AL$11:$AL3600,$AL3600))</f>
        <v/>
      </c>
    </row>
    <row r="3601" spans="38:53" ht="15" customHeight="1" x14ac:dyDescent="0.25">
      <c r="AL3601" s="17"/>
      <c r="AM3601" s="12"/>
      <c r="AN3601" s="18"/>
      <c r="AO3601" s="18"/>
      <c r="AP3601" s="10"/>
      <c r="AQ3601" s="10"/>
      <c r="AR3601" s="19"/>
      <c r="AS3601" s="20"/>
      <c r="AT3601" s="19"/>
      <c r="AV3601" s="21">
        <f>IF(AND($AL3601&lt;&gt;"",COUNTIF($AL$11:$AL3601,$AL3601)=1),1,0)</f>
        <v>0</v>
      </c>
      <c r="AW3601" s="21">
        <f t="shared" si="199"/>
        <v>0</v>
      </c>
      <c r="AX3601" s="21" t="str">
        <f t="shared" si="198"/>
        <v/>
      </c>
      <c r="AY3601" s="21" t="str">
        <f>IF(AND($AM3601&lt;&gt;"",$AS3601&lt;&gt;"✓"),SUMPRODUCT(($AM$11:$AM3601&lt;&gt;"")*($AS$11:$AS3601&lt;&gt;"✓")),"")</f>
        <v/>
      </c>
      <c r="AZ3601" s="21" t="str">
        <f>IF(AND($AM3601&lt;&gt;"",$AS3601="✓"),SUMPRODUCT(($AM$11:$AM3601&lt;&gt;"")*($AS$11:$AS3601="✓")),"")</f>
        <v/>
      </c>
      <c r="BA3601" s="21" t="str">
        <f>IF($AL3601="","",$AL3601&amp;"|"&amp;COUNTIF($AL$11:$AL3601,$AL3601))</f>
        <v/>
      </c>
    </row>
    <row r="3602" spans="38:53" ht="15" customHeight="1" x14ac:dyDescent="0.25">
      <c r="AL3602" s="31"/>
      <c r="AM3602" s="26"/>
      <c r="AN3602" s="32"/>
      <c r="AO3602" s="32"/>
      <c r="AP3602" s="24"/>
      <c r="AQ3602" s="24"/>
      <c r="AR3602" s="33"/>
      <c r="AS3602" s="34"/>
      <c r="AT3602" s="33"/>
      <c r="AV3602" s="21">
        <f>IF(AND($AL3602&lt;&gt;"",COUNTIF($AL$11:$AL3602,$AL3602)=1),1,0)</f>
        <v>0</v>
      </c>
      <c r="AW3602" s="21">
        <f t="shared" si="199"/>
        <v>0</v>
      </c>
      <c r="AX3602" s="21" t="str">
        <f t="shared" si="198"/>
        <v/>
      </c>
      <c r="AY3602" s="21" t="str">
        <f>IF(AND($AM3602&lt;&gt;"",$AS3602&lt;&gt;"✓"),SUMPRODUCT(($AM$11:$AM3602&lt;&gt;"")*($AS$11:$AS3602&lt;&gt;"✓")),"")</f>
        <v/>
      </c>
      <c r="AZ3602" s="21" t="str">
        <f>IF(AND($AM3602&lt;&gt;"",$AS3602="✓"),SUMPRODUCT(($AM$11:$AM3602&lt;&gt;"")*($AS$11:$AS3602="✓")),"")</f>
        <v/>
      </c>
      <c r="BA3602" s="21" t="str">
        <f>IF($AL3602="","",$AL3602&amp;"|"&amp;COUNTIF($AL$11:$AL3602,$AL3602))</f>
        <v/>
      </c>
    </row>
    <row r="3603" spans="38:53" ht="15" customHeight="1" x14ac:dyDescent="0.25">
      <c r="AL3603" s="17"/>
      <c r="AM3603" s="12"/>
      <c r="AN3603" s="18"/>
      <c r="AO3603" s="18"/>
      <c r="AP3603" s="10"/>
      <c r="AQ3603" s="10"/>
      <c r="AR3603" s="19"/>
      <c r="AS3603" s="20"/>
      <c r="AT3603" s="19"/>
      <c r="AV3603" s="21">
        <f>IF(AND($AL3603&lt;&gt;"",COUNTIF($AL$11:$AL3603,$AL3603)=1),1,0)</f>
        <v>0</v>
      </c>
      <c r="AW3603" s="21">
        <f t="shared" si="199"/>
        <v>0</v>
      </c>
      <c r="AX3603" s="21" t="str">
        <f t="shared" si="198"/>
        <v/>
      </c>
      <c r="AY3603" s="21" t="str">
        <f>IF(AND($AM3603&lt;&gt;"",$AS3603&lt;&gt;"✓"),SUMPRODUCT(($AM$11:$AM3603&lt;&gt;"")*($AS$11:$AS3603&lt;&gt;"✓")),"")</f>
        <v/>
      </c>
      <c r="AZ3603" s="21" t="str">
        <f>IF(AND($AM3603&lt;&gt;"",$AS3603="✓"),SUMPRODUCT(($AM$11:$AM3603&lt;&gt;"")*($AS$11:$AS3603="✓")),"")</f>
        <v/>
      </c>
      <c r="BA3603" s="21" t="str">
        <f>IF($AL3603="","",$AL3603&amp;"|"&amp;COUNTIF($AL$11:$AL3603,$AL3603))</f>
        <v/>
      </c>
    </row>
    <row r="3604" spans="38:53" ht="15" customHeight="1" x14ac:dyDescent="0.25">
      <c r="AL3604" s="31"/>
      <c r="AM3604" s="26"/>
      <c r="AN3604" s="32"/>
      <c r="AO3604" s="32"/>
      <c r="AP3604" s="24"/>
      <c r="AQ3604" s="24"/>
      <c r="AR3604" s="33"/>
      <c r="AS3604" s="34"/>
      <c r="AT3604" s="33"/>
      <c r="AV3604" s="21">
        <f>IF(AND($AL3604&lt;&gt;"",COUNTIF($AL$11:$AL3604,$AL3604)=1),1,0)</f>
        <v>0</v>
      </c>
      <c r="AW3604" s="21">
        <f t="shared" si="199"/>
        <v>0</v>
      </c>
      <c r="AX3604" s="21" t="str">
        <f t="shared" si="198"/>
        <v/>
      </c>
      <c r="AY3604" s="21" t="str">
        <f>IF(AND($AM3604&lt;&gt;"",$AS3604&lt;&gt;"✓"),SUMPRODUCT(($AM$11:$AM3604&lt;&gt;"")*($AS$11:$AS3604&lt;&gt;"✓")),"")</f>
        <v/>
      </c>
      <c r="AZ3604" s="21" t="str">
        <f>IF(AND($AM3604&lt;&gt;"",$AS3604="✓"),SUMPRODUCT(($AM$11:$AM3604&lt;&gt;"")*($AS$11:$AS3604="✓")),"")</f>
        <v/>
      </c>
      <c r="BA3604" s="21" t="str">
        <f>IF($AL3604="","",$AL3604&amp;"|"&amp;COUNTIF($AL$11:$AL3604,$AL3604))</f>
        <v/>
      </c>
    </row>
    <row r="3605" spans="38:53" ht="15" customHeight="1" x14ac:dyDescent="0.25">
      <c r="AL3605" s="17"/>
      <c r="AM3605" s="12"/>
      <c r="AN3605" s="18"/>
      <c r="AO3605" s="18"/>
      <c r="AP3605" s="10"/>
      <c r="AQ3605" s="10"/>
      <c r="AR3605" s="19"/>
      <c r="AS3605" s="20"/>
      <c r="AT3605" s="19"/>
      <c r="AV3605" s="21">
        <f>IF(AND($AL3605&lt;&gt;"",COUNTIF($AL$11:$AL3605,$AL3605)=1),1,0)</f>
        <v>0</v>
      </c>
      <c r="AW3605" s="21">
        <f t="shared" si="199"/>
        <v>0</v>
      </c>
      <c r="AX3605" s="21" t="str">
        <f t="shared" si="198"/>
        <v/>
      </c>
      <c r="AY3605" s="21" t="str">
        <f>IF(AND($AM3605&lt;&gt;"",$AS3605&lt;&gt;"✓"),SUMPRODUCT(($AM$11:$AM3605&lt;&gt;"")*($AS$11:$AS3605&lt;&gt;"✓")),"")</f>
        <v/>
      </c>
      <c r="AZ3605" s="21" t="str">
        <f>IF(AND($AM3605&lt;&gt;"",$AS3605="✓"),SUMPRODUCT(($AM$11:$AM3605&lt;&gt;"")*($AS$11:$AS3605="✓")),"")</f>
        <v/>
      </c>
      <c r="BA3605" s="21" t="str">
        <f>IF($AL3605="","",$AL3605&amp;"|"&amp;COUNTIF($AL$11:$AL3605,$AL3605))</f>
        <v/>
      </c>
    </row>
    <row r="3606" spans="38:53" ht="15" customHeight="1" x14ac:dyDescent="0.25">
      <c r="AL3606" s="31"/>
      <c r="AM3606" s="26"/>
      <c r="AN3606" s="32"/>
      <c r="AO3606" s="32"/>
      <c r="AP3606" s="24"/>
      <c r="AQ3606" s="24"/>
      <c r="AR3606" s="33"/>
      <c r="AS3606" s="34"/>
      <c r="AT3606" s="33"/>
      <c r="AV3606" s="21">
        <f>IF(AND($AL3606&lt;&gt;"",COUNTIF($AL$11:$AL3606,$AL3606)=1),1,0)</f>
        <v>0</v>
      </c>
      <c r="AW3606" s="21">
        <f t="shared" si="199"/>
        <v>0</v>
      </c>
      <c r="AX3606" s="21" t="str">
        <f t="shared" si="198"/>
        <v/>
      </c>
      <c r="AY3606" s="21" t="str">
        <f>IF(AND($AM3606&lt;&gt;"",$AS3606&lt;&gt;"✓"),SUMPRODUCT(($AM$11:$AM3606&lt;&gt;"")*($AS$11:$AS3606&lt;&gt;"✓")),"")</f>
        <v/>
      </c>
      <c r="AZ3606" s="21" t="str">
        <f>IF(AND($AM3606&lt;&gt;"",$AS3606="✓"),SUMPRODUCT(($AM$11:$AM3606&lt;&gt;"")*($AS$11:$AS3606="✓")),"")</f>
        <v/>
      </c>
      <c r="BA3606" s="21" t="str">
        <f>IF($AL3606="","",$AL3606&amp;"|"&amp;COUNTIF($AL$11:$AL3606,$AL3606))</f>
        <v/>
      </c>
    </row>
    <row r="3607" spans="38:53" ht="15" customHeight="1" x14ac:dyDescent="0.25">
      <c r="AL3607" s="17"/>
      <c r="AM3607" s="12"/>
      <c r="AN3607" s="18"/>
      <c r="AO3607" s="18"/>
      <c r="AP3607" s="10"/>
      <c r="AQ3607" s="10"/>
      <c r="AR3607" s="19"/>
      <c r="AS3607" s="20"/>
      <c r="AT3607" s="19"/>
      <c r="AV3607" s="21">
        <f>IF(AND($AL3607&lt;&gt;"",COUNTIF($AL$11:$AL3607,$AL3607)=1),1,0)</f>
        <v>0</v>
      </c>
      <c r="AW3607" s="21">
        <f t="shared" si="199"/>
        <v>0</v>
      </c>
      <c r="AX3607" s="21" t="str">
        <f t="shared" si="198"/>
        <v/>
      </c>
      <c r="AY3607" s="21" t="str">
        <f>IF(AND($AM3607&lt;&gt;"",$AS3607&lt;&gt;"✓"),SUMPRODUCT(($AM$11:$AM3607&lt;&gt;"")*($AS$11:$AS3607&lt;&gt;"✓")),"")</f>
        <v/>
      </c>
      <c r="AZ3607" s="21" t="str">
        <f>IF(AND($AM3607&lt;&gt;"",$AS3607="✓"),SUMPRODUCT(($AM$11:$AM3607&lt;&gt;"")*($AS$11:$AS3607="✓")),"")</f>
        <v/>
      </c>
      <c r="BA3607" s="21" t="str">
        <f>IF($AL3607="","",$AL3607&amp;"|"&amp;COUNTIF($AL$11:$AL3607,$AL3607))</f>
        <v/>
      </c>
    </row>
    <row r="3608" spans="38:53" ht="15" customHeight="1" x14ac:dyDescent="0.25">
      <c r="AL3608" s="31"/>
      <c r="AM3608" s="26"/>
      <c r="AN3608" s="32"/>
      <c r="AO3608" s="32"/>
      <c r="AP3608" s="24"/>
      <c r="AQ3608" s="24"/>
      <c r="AR3608" s="33"/>
      <c r="AS3608" s="34"/>
      <c r="AT3608" s="33"/>
      <c r="AV3608" s="21">
        <f>IF(AND($AL3608&lt;&gt;"",COUNTIF($AL$11:$AL3608,$AL3608)=1),1,0)</f>
        <v>0</v>
      </c>
      <c r="AW3608" s="21">
        <f t="shared" si="199"/>
        <v>0</v>
      </c>
      <c r="AX3608" s="21" t="str">
        <f t="shared" si="198"/>
        <v/>
      </c>
      <c r="AY3608" s="21" t="str">
        <f>IF(AND($AM3608&lt;&gt;"",$AS3608&lt;&gt;"✓"),SUMPRODUCT(($AM$11:$AM3608&lt;&gt;"")*($AS$11:$AS3608&lt;&gt;"✓")),"")</f>
        <v/>
      </c>
      <c r="AZ3608" s="21" t="str">
        <f>IF(AND($AM3608&lt;&gt;"",$AS3608="✓"),SUMPRODUCT(($AM$11:$AM3608&lt;&gt;"")*($AS$11:$AS3608="✓")),"")</f>
        <v/>
      </c>
      <c r="BA3608" s="21" t="str">
        <f>IF($AL3608="","",$AL3608&amp;"|"&amp;COUNTIF($AL$11:$AL3608,$AL3608))</f>
        <v/>
      </c>
    </row>
    <row r="3609" spans="38:53" ht="15" customHeight="1" x14ac:dyDescent="0.25">
      <c r="AL3609" s="17"/>
      <c r="AM3609" s="12"/>
      <c r="AN3609" s="18"/>
      <c r="AO3609" s="18"/>
      <c r="AP3609" s="10"/>
      <c r="AQ3609" s="10"/>
      <c r="AR3609" s="19"/>
      <c r="AS3609" s="20"/>
      <c r="AT3609" s="19"/>
      <c r="AV3609" s="21">
        <f>IF(AND($AL3609&lt;&gt;"",COUNTIF($AL$11:$AL3609,$AL3609)=1),1,0)</f>
        <v>0</v>
      </c>
      <c r="AW3609" s="21">
        <f t="shared" si="199"/>
        <v>0</v>
      </c>
      <c r="AX3609" s="21" t="str">
        <f t="shared" si="198"/>
        <v/>
      </c>
      <c r="AY3609" s="21" t="str">
        <f>IF(AND($AM3609&lt;&gt;"",$AS3609&lt;&gt;"✓"),SUMPRODUCT(($AM$11:$AM3609&lt;&gt;"")*($AS$11:$AS3609&lt;&gt;"✓")),"")</f>
        <v/>
      </c>
      <c r="AZ3609" s="21" t="str">
        <f>IF(AND($AM3609&lt;&gt;"",$AS3609="✓"),SUMPRODUCT(($AM$11:$AM3609&lt;&gt;"")*($AS$11:$AS3609="✓")),"")</f>
        <v/>
      </c>
      <c r="BA3609" s="21" t="str">
        <f>IF($AL3609="","",$AL3609&amp;"|"&amp;COUNTIF($AL$11:$AL3609,$AL3609))</f>
        <v/>
      </c>
    </row>
    <row r="3610" spans="38:53" ht="15" customHeight="1" x14ac:dyDescent="0.25">
      <c r="AL3610" s="31"/>
      <c r="AM3610" s="26"/>
      <c r="AN3610" s="32"/>
      <c r="AO3610" s="32"/>
      <c r="AP3610" s="24"/>
      <c r="AQ3610" s="24"/>
      <c r="AR3610" s="33"/>
      <c r="AS3610" s="34"/>
      <c r="AT3610" s="33"/>
      <c r="AV3610" s="21">
        <f>IF(AND($AL3610&lt;&gt;"",COUNTIF($AL$11:$AL3610,$AL3610)=1),1,0)</f>
        <v>0</v>
      </c>
      <c r="AW3610" s="21">
        <f t="shared" si="199"/>
        <v>0</v>
      </c>
      <c r="AX3610" s="21" t="str">
        <f t="shared" si="198"/>
        <v/>
      </c>
      <c r="AY3610" s="21" t="str">
        <f>IF(AND($AM3610&lt;&gt;"",$AS3610&lt;&gt;"✓"),SUMPRODUCT(($AM$11:$AM3610&lt;&gt;"")*($AS$11:$AS3610&lt;&gt;"✓")),"")</f>
        <v/>
      </c>
      <c r="AZ3610" s="21" t="str">
        <f>IF(AND($AM3610&lt;&gt;"",$AS3610="✓"),SUMPRODUCT(($AM$11:$AM3610&lt;&gt;"")*($AS$11:$AS3610="✓")),"")</f>
        <v/>
      </c>
      <c r="BA3610" s="21" t="str">
        <f>IF($AL3610="","",$AL3610&amp;"|"&amp;COUNTIF($AL$11:$AL3610,$AL3610))</f>
        <v/>
      </c>
    </row>
    <row r="3611" spans="38:53" ht="15" customHeight="1" x14ac:dyDescent="0.25">
      <c r="AL3611" s="17"/>
      <c r="AM3611" s="12"/>
      <c r="AN3611" s="18"/>
      <c r="AO3611" s="18"/>
      <c r="AP3611" s="10"/>
      <c r="AQ3611" s="10"/>
      <c r="AR3611" s="19"/>
      <c r="AS3611" s="20"/>
      <c r="AT3611" s="19"/>
      <c r="AV3611" s="21">
        <f>IF(AND($AL3611&lt;&gt;"",COUNTIF($AL$11:$AL3611,$AL3611)=1),1,0)</f>
        <v>0</v>
      </c>
      <c r="AW3611" s="21">
        <f t="shared" si="199"/>
        <v>0</v>
      </c>
      <c r="AX3611" s="21" t="str">
        <f t="shared" si="198"/>
        <v/>
      </c>
      <c r="AY3611" s="21" t="str">
        <f>IF(AND($AM3611&lt;&gt;"",$AS3611&lt;&gt;"✓"),SUMPRODUCT(($AM$11:$AM3611&lt;&gt;"")*($AS$11:$AS3611&lt;&gt;"✓")),"")</f>
        <v/>
      </c>
      <c r="AZ3611" s="21" t="str">
        <f>IF(AND($AM3611&lt;&gt;"",$AS3611="✓"),SUMPRODUCT(($AM$11:$AM3611&lt;&gt;"")*($AS$11:$AS3611="✓")),"")</f>
        <v/>
      </c>
      <c r="BA3611" s="21" t="str">
        <f>IF($AL3611="","",$AL3611&amp;"|"&amp;COUNTIF($AL$11:$AL3611,$AL3611))</f>
        <v/>
      </c>
    </row>
    <row r="3612" spans="38:53" ht="15" customHeight="1" x14ac:dyDescent="0.25">
      <c r="AL3612" s="31"/>
      <c r="AM3612" s="26"/>
      <c r="AN3612" s="32"/>
      <c r="AO3612" s="32"/>
      <c r="AP3612" s="24"/>
      <c r="AQ3612" s="24"/>
      <c r="AR3612" s="33"/>
      <c r="AS3612" s="34"/>
      <c r="AT3612" s="33"/>
      <c r="AV3612" s="21">
        <f>IF(AND($AL3612&lt;&gt;"",COUNTIF($AL$11:$AL3612,$AL3612)=1),1,0)</f>
        <v>0</v>
      </c>
      <c r="AW3612" s="21">
        <f t="shared" si="199"/>
        <v>0</v>
      </c>
      <c r="AX3612" s="21" t="str">
        <f t="shared" si="198"/>
        <v/>
      </c>
      <c r="AY3612" s="21" t="str">
        <f>IF(AND($AM3612&lt;&gt;"",$AS3612&lt;&gt;"✓"),SUMPRODUCT(($AM$11:$AM3612&lt;&gt;"")*($AS$11:$AS3612&lt;&gt;"✓")),"")</f>
        <v/>
      </c>
      <c r="AZ3612" s="21" t="str">
        <f>IF(AND($AM3612&lt;&gt;"",$AS3612="✓"),SUMPRODUCT(($AM$11:$AM3612&lt;&gt;"")*($AS$11:$AS3612="✓")),"")</f>
        <v/>
      </c>
      <c r="BA3612" s="21" t="str">
        <f>IF($AL3612="","",$AL3612&amp;"|"&amp;COUNTIF($AL$11:$AL3612,$AL3612))</f>
        <v/>
      </c>
    </row>
    <row r="3613" spans="38:53" ht="15" customHeight="1" x14ac:dyDescent="0.25">
      <c r="AL3613" s="17"/>
      <c r="AM3613" s="12"/>
      <c r="AN3613" s="18"/>
      <c r="AO3613" s="18"/>
      <c r="AP3613" s="10"/>
      <c r="AQ3613" s="10"/>
      <c r="AR3613" s="19"/>
      <c r="AS3613" s="20"/>
      <c r="AT3613" s="19"/>
      <c r="AV3613" s="21">
        <f>IF(AND($AL3613&lt;&gt;"",COUNTIF($AL$11:$AL3613,$AL3613)=1),1,0)</f>
        <v>0</v>
      </c>
      <c r="AW3613" s="21">
        <f t="shared" si="199"/>
        <v>0</v>
      </c>
      <c r="AX3613" s="21" t="str">
        <f t="shared" si="198"/>
        <v/>
      </c>
      <c r="AY3613" s="21" t="str">
        <f>IF(AND($AM3613&lt;&gt;"",$AS3613&lt;&gt;"✓"),SUMPRODUCT(($AM$11:$AM3613&lt;&gt;"")*($AS$11:$AS3613&lt;&gt;"✓")),"")</f>
        <v/>
      </c>
      <c r="AZ3613" s="21" t="str">
        <f>IF(AND($AM3613&lt;&gt;"",$AS3613="✓"),SUMPRODUCT(($AM$11:$AM3613&lt;&gt;"")*($AS$11:$AS3613="✓")),"")</f>
        <v/>
      </c>
      <c r="BA3613" s="21" t="str">
        <f>IF($AL3613="","",$AL3613&amp;"|"&amp;COUNTIF($AL$11:$AL3613,$AL3613))</f>
        <v/>
      </c>
    </row>
    <row r="3614" spans="38:53" ht="15" customHeight="1" x14ac:dyDescent="0.25">
      <c r="AL3614" s="31"/>
      <c r="AM3614" s="26"/>
      <c r="AN3614" s="32"/>
      <c r="AO3614" s="32"/>
      <c r="AP3614" s="24"/>
      <c r="AQ3614" s="24"/>
      <c r="AR3614" s="33"/>
      <c r="AS3614" s="34"/>
      <c r="AT3614" s="33"/>
      <c r="AV3614" s="21">
        <f>IF(AND($AL3614&lt;&gt;"",COUNTIF($AL$11:$AL3614,$AL3614)=1),1,0)</f>
        <v>0</v>
      </c>
      <c r="AW3614" s="21">
        <f t="shared" si="199"/>
        <v>0</v>
      </c>
      <c r="AX3614" s="21" t="str">
        <f t="shared" si="198"/>
        <v/>
      </c>
      <c r="AY3614" s="21" t="str">
        <f>IF(AND($AM3614&lt;&gt;"",$AS3614&lt;&gt;"✓"),SUMPRODUCT(($AM$11:$AM3614&lt;&gt;"")*($AS$11:$AS3614&lt;&gt;"✓")),"")</f>
        <v/>
      </c>
      <c r="AZ3614" s="21" t="str">
        <f>IF(AND($AM3614&lt;&gt;"",$AS3614="✓"),SUMPRODUCT(($AM$11:$AM3614&lt;&gt;"")*($AS$11:$AS3614="✓")),"")</f>
        <v/>
      </c>
      <c r="BA3614" s="21" t="str">
        <f>IF($AL3614="","",$AL3614&amp;"|"&amp;COUNTIF($AL$11:$AL3614,$AL3614))</f>
        <v/>
      </c>
    </row>
    <row r="3615" spans="38:53" ht="15" customHeight="1" x14ac:dyDescent="0.25">
      <c r="AL3615" s="17"/>
      <c r="AM3615" s="12"/>
      <c r="AN3615" s="18"/>
      <c r="AO3615" s="18"/>
      <c r="AP3615" s="10"/>
      <c r="AQ3615" s="10"/>
      <c r="AR3615" s="19"/>
      <c r="AS3615" s="20"/>
      <c r="AT3615" s="19"/>
      <c r="AV3615" s="21">
        <f>IF(AND($AL3615&lt;&gt;"",COUNTIF($AL$11:$AL3615,$AL3615)=1),1,0)</f>
        <v>0</v>
      </c>
      <c r="AW3615" s="21">
        <f t="shared" si="199"/>
        <v>0</v>
      </c>
      <c r="AX3615" s="21" t="str">
        <f t="shared" si="198"/>
        <v/>
      </c>
      <c r="AY3615" s="21" t="str">
        <f>IF(AND($AM3615&lt;&gt;"",$AS3615&lt;&gt;"✓"),SUMPRODUCT(($AM$11:$AM3615&lt;&gt;"")*($AS$11:$AS3615&lt;&gt;"✓")),"")</f>
        <v/>
      </c>
      <c r="AZ3615" s="21" t="str">
        <f>IF(AND($AM3615&lt;&gt;"",$AS3615="✓"),SUMPRODUCT(($AM$11:$AM3615&lt;&gt;"")*($AS$11:$AS3615="✓")),"")</f>
        <v/>
      </c>
      <c r="BA3615" s="21" t="str">
        <f>IF($AL3615="","",$AL3615&amp;"|"&amp;COUNTIF($AL$11:$AL3615,$AL3615))</f>
        <v/>
      </c>
    </row>
    <row r="3616" spans="38:53" ht="15" customHeight="1" x14ac:dyDescent="0.25">
      <c r="AL3616" s="31"/>
      <c r="AM3616" s="26"/>
      <c r="AN3616" s="32"/>
      <c r="AO3616" s="32"/>
      <c r="AP3616" s="24"/>
      <c r="AQ3616" s="24"/>
      <c r="AR3616" s="33"/>
      <c r="AS3616" s="34"/>
      <c r="AT3616" s="33"/>
      <c r="AV3616" s="21">
        <f>IF(AND($AL3616&lt;&gt;"",COUNTIF($AL$11:$AL3616,$AL3616)=1),1,0)</f>
        <v>0</v>
      </c>
      <c r="AW3616" s="21">
        <f t="shared" si="199"/>
        <v>0</v>
      </c>
      <c r="AX3616" s="21" t="str">
        <f t="shared" si="198"/>
        <v/>
      </c>
      <c r="AY3616" s="21" t="str">
        <f>IF(AND($AM3616&lt;&gt;"",$AS3616&lt;&gt;"✓"),SUMPRODUCT(($AM$11:$AM3616&lt;&gt;"")*($AS$11:$AS3616&lt;&gt;"✓")),"")</f>
        <v/>
      </c>
      <c r="AZ3616" s="21" t="str">
        <f>IF(AND($AM3616&lt;&gt;"",$AS3616="✓"),SUMPRODUCT(($AM$11:$AM3616&lt;&gt;"")*($AS$11:$AS3616="✓")),"")</f>
        <v/>
      </c>
      <c r="BA3616" s="21" t="str">
        <f>IF($AL3616="","",$AL3616&amp;"|"&amp;COUNTIF($AL$11:$AL3616,$AL3616))</f>
        <v/>
      </c>
    </row>
    <row r="3617" spans="38:53" ht="15" customHeight="1" x14ac:dyDescent="0.25">
      <c r="AL3617" s="17"/>
      <c r="AM3617" s="12"/>
      <c r="AN3617" s="18"/>
      <c r="AO3617" s="18"/>
      <c r="AP3617" s="10"/>
      <c r="AQ3617" s="10"/>
      <c r="AR3617" s="19"/>
      <c r="AS3617" s="20"/>
      <c r="AT3617" s="19"/>
      <c r="AV3617" s="21">
        <f>IF(AND($AL3617&lt;&gt;"",COUNTIF($AL$11:$AL3617,$AL3617)=1),1,0)</f>
        <v>0</v>
      </c>
      <c r="AW3617" s="21">
        <f t="shared" si="199"/>
        <v>0</v>
      </c>
      <c r="AX3617" s="21" t="str">
        <f t="shared" si="198"/>
        <v/>
      </c>
      <c r="AY3617" s="21" t="str">
        <f>IF(AND($AM3617&lt;&gt;"",$AS3617&lt;&gt;"✓"),SUMPRODUCT(($AM$11:$AM3617&lt;&gt;"")*($AS$11:$AS3617&lt;&gt;"✓")),"")</f>
        <v/>
      </c>
      <c r="AZ3617" s="21" t="str">
        <f>IF(AND($AM3617&lt;&gt;"",$AS3617="✓"),SUMPRODUCT(($AM$11:$AM3617&lt;&gt;"")*($AS$11:$AS3617="✓")),"")</f>
        <v/>
      </c>
      <c r="BA3617" s="21" t="str">
        <f>IF($AL3617="","",$AL3617&amp;"|"&amp;COUNTIF($AL$11:$AL3617,$AL3617))</f>
        <v/>
      </c>
    </row>
    <row r="3618" spans="38:53" ht="15" customHeight="1" x14ac:dyDescent="0.25">
      <c r="AL3618" s="31"/>
      <c r="AM3618" s="26"/>
      <c r="AN3618" s="32"/>
      <c r="AO3618" s="32"/>
      <c r="AP3618" s="24"/>
      <c r="AQ3618" s="24"/>
      <c r="AR3618" s="33"/>
      <c r="AS3618" s="34"/>
      <c r="AT3618" s="33"/>
      <c r="AV3618" s="21">
        <f>IF(AND($AL3618&lt;&gt;"",COUNTIF($AL$11:$AL3618,$AL3618)=1),1,0)</f>
        <v>0</v>
      </c>
      <c r="AW3618" s="21">
        <f t="shared" si="199"/>
        <v>0</v>
      </c>
      <c r="AX3618" s="21" t="str">
        <f t="shared" si="198"/>
        <v/>
      </c>
      <c r="AY3618" s="21" t="str">
        <f>IF(AND($AM3618&lt;&gt;"",$AS3618&lt;&gt;"✓"),SUMPRODUCT(($AM$11:$AM3618&lt;&gt;"")*($AS$11:$AS3618&lt;&gt;"✓")),"")</f>
        <v/>
      </c>
      <c r="AZ3618" s="21" t="str">
        <f>IF(AND($AM3618&lt;&gt;"",$AS3618="✓"),SUMPRODUCT(($AM$11:$AM3618&lt;&gt;"")*($AS$11:$AS3618="✓")),"")</f>
        <v/>
      </c>
      <c r="BA3618" s="21" t="str">
        <f>IF($AL3618="","",$AL3618&amp;"|"&amp;COUNTIF($AL$11:$AL3618,$AL3618))</f>
        <v/>
      </c>
    </row>
    <row r="3619" spans="38:53" ht="15" customHeight="1" x14ac:dyDescent="0.25">
      <c r="AL3619" s="17"/>
      <c r="AM3619" s="12"/>
      <c r="AN3619" s="18"/>
      <c r="AO3619" s="18"/>
      <c r="AP3619" s="10"/>
      <c r="AQ3619" s="10"/>
      <c r="AR3619" s="19"/>
      <c r="AS3619" s="20"/>
      <c r="AT3619" s="19"/>
      <c r="AV3619" s="21">
        <f>IF(AND($AL3619&lt;&gt;"",COUNTIF($AL$11:$AL3619,$AL3619)=1),1,0)</f>
        <v>0</v>
      </c>
      <c r="AW3619" s="21">
        <f t="shared" si="199"/>
        <v>0</v>
      </c>
      <c r="AX3619" s="21" t="str">
        <f t="shared" si="198"/>
        <v/>
      </c>
      <c r="AY3619" s="21" t="str">
        <f>IF(AND($AM3619&lt;&gt;"",$AS3619&lt;&gt;"✓"),SUMPRODUCT(($AM$11:$AM3619&lt;&gt;"")*($AS$11:$AS3619&lt;&gt;"✓")),"")</f>
        <v/>
      </c>
      <c r="AZ3619" s="21" t="str">
        <f>IF(AND($AM3619&lt;&gt;"",$AS3619="✓"),SUMPRODUCT(($AM$11:$AM3619&lt;&gt;"")*($AS$11:$AS3619="✓")),"")</f>
        <v/>
      </c>
      <c r="BA3619" s="21" t="str">
        <f>IF($AL3619="","",$AL3619&amp;"|"&amp;COUNTIF($AL$11:$AL3619,$AL3619))</f>
        <v/>
      </c>
    </row>
    <row r="3620" spans="38:53" ht="15" customHeight="1" x14ac:dyDescent="0.25">
      <c r="AL3620" s="31"/>
      <c r="AM3620" s="26"/>
      <c r="AN3620" s="32"/>
      <c r="AO3620" s="32"/>
      <c r="AP3620" s="24"/>
      <c r="AQ3620" s="24"/>
      <c r="AR3620" s="33"/>
      <c r="AS3620" s="34"/>
      <c r="AT3620" s="33"/>
      <c r="AV3620" s="21">
        <f>IF(AND($AL3620&lt;&gt;"",COUNTIF($AL$11:$AL3620,$AL3620)=1),1,0)</f>
        <v>0</v>
      </c>
      <c r="AW3620" s="21">
        <f t="shared" si="199"/>
        <v>0</v>
      </c>
      <c r="AX3620" s="21" t="str">
        <f t="shared" si="198"/>
        <v/>
      </c>
      <c r="AY3620" s="21" t="str">
        <f>IF(AND($AM3620&lt;&gt;"",$AS3620&lt;&gt;"✓"),SUMPRODUCT(($AM$11:$AM3620&lt;&gt;"")*($AS$11:$AS3620&lt;&gt;"✓")),"")</f>
        <v/>
      </c>
      <c r="AZ3620" s="21" t="str">
        <f>IF(AND($AM3620&lt;&gt;"",$AS3620="✓"),SUMPRODUCT(($AM$11:$AM3620&lt;&gt;"")*($AS$11:$AS3620="✓")),"")</f>
        <v/>
      </c>
      <c r="BA3620" s="21" t="str">
        <f>IF($AL3620="","",$AL3620&amp;"|"&amp;COUNTIF($AL$11:$AL3620,$AL3620))</f>
        <v/>
      </c>
    </row>
    <row r="3621" spans="38:53" ht="15" customHeight="1" x14ac:dyDescent="0.25">
      <c r="AL3621" s="17"/>
      <c r="AM3621" s="12"/>
      <c r="AN3621" s="18"/>
      <c r="AO3621" s="18"/>
      <c r="AP3621" s="10"/>
      <c r="AQ3621" s="10"/>
      <c r="AR3621" s="19"/>
      <c r="AS3621" s="20"/>
      <c r="AT3621" s="19"/>
      <c r="AV3621" s="21">
        <f>IF(AND($AL3621&lt;&gt;"",COUNTIF($AL$11:$AL3621,$AL3621)=1),1,0)</f>
        <v>0</v>
      </c>
      <c r="AW3621" s="21">
        <f t="shared" si="199"/>
        <v>0</v>
      </c>
      <c r="AX3621" s="21" t="str">
        <f t="shared" si="198"/>
        <v/>
      </c>
      <c r="AY3621" s="21" t="str">
        <f>IF(AND($AM3621&lt;&gt;"",$AS3621&lt;&gt;"✓"),SUMPRODUCT(($AM$11:$AM3621&lt;&gt;"")*($AS$11:$AS3621&lt;&gt;"✓")),"")</f>
        <v/>
      </c>
      <c r="AZ3621" s="21" t="str">
        <f>IF(AND($AM3621&lt;&gt;"",$AS3621="✓"),SUMPRODUCT(($AM$11:$AM3621&lt;&gt;"")*($AS$11:$AS3621="✓")),"")</f>
        <v/>
      </c>
      <c r="BA3621" s="21" t="str">
        <f>IF($AL3621="","",$AL3621&amp;"|"&amp;COUNTIF($AL$11:$AL3621,$AL3621))</f>
        <v/>
      </c>
    </row>
    <row r="3622" spans="38:53" ht="15" customHeight="1" x14ac:dyDescent="0.25">
      <c r="AL3622" s="31"/>
      <c r="AM3622" s="26"/>
      <c r="AN3622" s="32"/>
      <c r="AO3622" s="32"/>
      <c r="AP3622" s="24"/>
      <c r="AQ3622" s="24"/>
      <c r="AR3622" s="33"/>
      <c r="AS3622" s="34"/>
      <c r="AT3622" s="33"/>
      <c r="AV3622" s="21">
        <f>IF(AND($AL3622&lt;&gt;"",COUNTIF($AL$11:$AL3622,$AL3622)=1),1,0)</f>
        <v>0</v>
      </c>
      <c r="AW3622" s="21">
        <f t="shared" si="199"/>
        <v>0</v>
      </c>
      <c r="AX3622" s="21" t="str">
        <f t="shared" si="198"/>
        <v/>
      </c>
      <c r="AY3622" s="21" t="str">
        <f>IF(AND($AM3622&lt;&gt;"",$AS3622&lt;&gt;"✓"),SUMPRODUCT(($AM$11:$AM3622&lt;&gt;"")*($AS$11:$AS3622&lt;&gt;"✓")),"")</f>
        <v/>
      </c>
      <c r="AZ3622" s="21" t="str">
        <f>IF(AND($AM3622&lt;&gt;"",$AS3622="✓"),SUMPRODUCT(($AM$11:$AM3622&lt;&gt;"")*($AS$11:$AS3622="✓")),"")</f>
        <v/>
      </c>
      <c r="BA3622" s="21" t="str">
        <f>IF($AL3622="","",$AL3622&amp;"|"&amp;COUNTIF($AL$11:$AL3622,$AL3622))</f>
        <v/>
      </c>
    </row>
    <row r="3623" spans="38:53" ht="15" customHeight="1" x14ac:dyDescent="0.25">
      <c r="AL3623" s="17"/>
      <c r="AM3623" s="12"/>
      <c r="AN3623" s="18"/>
      <c r="AO3623" s="18"/>
      <c r="AP3623" s="10"/>
      <c r="AQ3623" s="10"/>
      <c r="AR3623" s="19"/>
      <c r="AS3623" s="20"/>
      <c r="AT3623" s="19"/>
      <c r="AV3623" s="21">
        <f>IF(AND($AL3623&lt;&gt;"",COUNTIF($AL$11:$AL3623,$AL3623)=1),1,0)</f>
        <v>0</v>
      </c>
      <c r="AW3623" s="21">
        <f t="shared" si="199"/>
        <v>0</v>
      </c>
      <c r="AX3623" s="21" t="str">
        <f t="shared" si="198"/>
        <v/>
      </c>
      <c r="AY3623" s="21" t="str">
        <f>IF(AND($AM3623&lt;&gt;"",$AS3623&lt;&gt;"✓"),SUMPRODUCT(($AM$11:$AM3623&lt;&gt;"")*($AS$11:$AS3623&lt;&gt;"✓")),"")</f>
        <v/>
      </c>
      <c r="AZ3623" s="21" t="str">
        <f>IF(AND($AM3623&lt;&gt;"",$AS3623="✓"),SUMPRODUCT(($AM$11:$AM3623&lt;&gt;"")*($AS$11:$AS3623="✓")),"")</f>
        <v/>
      </c>
      <c r="BA3623" s="21" t="str">
        <f>IF($AL3623="","",$AL3623&amp;"|"&amp;COUNTIF($AL$11:$AL3623,$AL3623))</f>
        <v/>
      </c>
    </row>
    <row r="3624" spans="38:53" ht="15" customHeight="1" x14ac:dyDescent="0.25">
      <c r="AL3624" s="31"/>
      <c r="AM3624" s="26"/>
      <c r="AN3624" s="32"/>
      <c r="AO3624" s="32"/>
      <c r="AP3624" s="24"/>
      <c r="AQ3624" s="24"/>
      <c r="AR3624" s="33"/>
      <c r="AS3624" s="34"/>
      <c r="AT3624" s="33"/>
      <c r="AV3624" s="21">
        <f>IF(AND($AL3624&lt;&gt;"",COUNTIF($AL$11:$AL3624,$AL3624)=1),1,0)</f>
        <v>0</v>
      </c>
      <c r="AW3624" s="21">
        <f t="shared" si="199"/>
        <v>0</v>
      </c>
      <c r="AX3624" s="21" t="str">
        <f t="shared" si="198"/>
        <v/>
      </c>
      <c r="AY3624" s="21" t="str">
        <f>IF(AND($AM3624&lt;&gt;"",$AS3624&lt;&gt;"✓"),SUMPRODUCT(($AM$11:$AM3624&lt;&gt;"")*($AS$11:$AS3624&lt;&gt;"✓")),"")</f>
        <v/>
      </c>
      <c r="AZ3624" s="21" t="str">
        <f>IF(AND($AM3624&lt;&gt;"",$AS3624="✓"),SUMPRODUCT(($AM$11:$AM3624&lt;&gt;"")*($AS$11:$AS3624="✓")),"")</f>
        <v/>
      </c>
      <c r="BA3624" s="21" t="str">
        <f>IF($AL3624="","",$AL3624&amp;"|"&amp;COUNTIF($AL$11:$AL3624,$AL3624))</f>
        <v/>
      </c>
    </row>
    <row r="3625" spans="38:53" ht="15" customHeight="1" x14ac:dyDescent="0.25">
      <c r="AL3625" s="17"/>
      <c r="AM3625" s="12"/>
      <c r="AN3625" s="18"/>
      <c r="AO3625" s="18"/>
      <c r="AP3625" s="10"/>
      <c r="AQ3625" s="10"/>
      <c r="AR3625" s="19"/>
      <c r="AS3625" s="20"/>
      <c r="AT3625" s="19"/>
      <c r="AV3625" s="21">
        <f>IF(AND($AL3625&lt;&gt;"",COUNTIF($AL$11:$AL3625,$AL3625)=1),1,0)</f>
        <v>0</v>
      </c>
      <c r="AW3625" s="21">
        <f t="shared" si="199"/>
        <v>0</v>
      </c>
      <c r="AX3625" s="21" t="str">
        <f t="shared" si="198"/>
        <v/>
      </c>
      <c r="AY3625" s="21" t="str">
        <f>IF(AND($AM3625&lt;&gt;"",$AS3625&lt;&gt;"✓"),SUMPRODUCT(($AM$11:$AM3625&lt;&gt;"")*($AS$11:$AS3625&lt;&gt;"✓")),"")</f>
        <v/>
      </c>
      <c r="AZ3625" s="21" t="str">
        <f>IF(AND($AM3625&lt;&gt;"",$AS3625="✓"),SUMPRODUCT(($AM$11:$AM3625&lt;&gt;"")*($AS$11:$AS3625="✓")),"")</f>
        <v/>
      </c>
      <c r="BA3625" s="21" t="str">
        <f>IF($AL3625="","",$AL3625&amp;"|"&amp;COUNTIF($AL$11:$AL3625,$AL3625))</f>
        <v/>
      </c>
    </row>
    <row r="3626" spans="38:53" ht="15" customHeight="1" x14ac:dyDescent="0.25">
      <c r="AL3626" s="31"/>
      <c r="AM3626" s="26"/>
      <c r="AN3626" s="32"/>
      <c r="AO3626" s="32"/>
      <c r="AP3626" s="24"/>
      <c r="AQ3626" s="24"/>
      <c r="AR3626" s="33"/>
      <c r="AS3626" s="34"/>
      <c r="AT3626" s="33"/>
      <c r="AV3626" s="21">
        <f>IF(AND($AL3626&lt;&gt;"",COUNTIF($AL$11:$AL3626,$AL3626)=1),1,0)</f>
        <v>0</v>
      </c>
      <c r="AW3626" s="21">
        <f t="shared" si="199"/>
        <v>0</v>
      </c>
      <c r="AX3626" s="21" t="str">
        <f t="shared" si="198"/>
        <v/>
      </c>
      <c r="AY3626" s="21" t="str">
        <f>IF(AND($AM3626&lt;&gt;"",$AS3626&lt;&gt;"✓"),SUMPRODUCT(($AM$11:$AM3626&lt;&gt;"")*($AS$11:$AS3626&lt;&gt;"✓")),"")</f>
        <v/>
      </c>
      <c r="AZ3626" s="21" t="str">
        <f>IF(AND($AM3626&lt;&gt;"",$AS3626="✓"),SUMPRODUCT(($AM$11:$AM3626&lt;&gt;"")*($AS$11:$AS3626="✓")),"")</f>
        <v/>
      </c>
      <c r="BA3626" s="21" t="str">
        <f>IF($AL3626="","",$AL3626&amp;"|"&amp;COUNTIF($AL$11:$AL3626,$AL3626))</f>
        <v/>
      </c>
    </row>
    <row r="3627" spans="38:53" ht="15" customHeight="1" x14ac:dyDescent="0.25">
      <c r="AL3627" s="17"/>
      <c r="AM3627" s="12"/>
      <c r="AN3627" s="18"/>
      <c r="AO3627" s="18"/>
      <c r="AP3627" s="10"/>
      <c r="AQ3627" s="10"/>
      <c r="AR3627" s="19"/>
      <c r="AS3627" s="20"/>
      <c r="AT3627" s="19"/>
      <c r="AV3627" s="21">
        <f>IF(AND($AL3627&lt;&gt;"",COUNTIF($AL$11:$AL3627,$AL3627)=1),1,0)</f>
        <v>0</v>
      </c>
      <c r="AW3627" s="21">
        <f t="shared" si="199"/>
        <v>0</v>
      </c>
      <c r="AX3627" s="21" t="str">
        <f t="shared" si="198"/>
        <v/>
      </c>
      <c r="AY3627" s="21" t="str">
        <f>IF(AND($AM3627&lt;&gt;"",$AS3627&lt;&gt;"✓"),SUMPRODUCT(($AM$11:$AM3627&lt;&gt;"")*($AS$11:$AS3627&lt;&gt;"✓")),"")</f>
        <v/>
      </c>
      <c r="AZ3627" s="21" t="str">
        <f>IF(AND($AM3627&lt;&gt;"",$AS3627="✓"),SUMPRODUCT(($AM$11:$AM3627&lt;&gt;"")*($AS$11:$AS3627="✓")),"")</f>
        <v/>
      </c>
      <c r="BA3627" s="21" t="str">
        <f>IF($AL3627="","",$AL3627&amp;"|"&amp;COUNTIF($AL$11:$AL3627,$AL3627))</f>
        <v/>
      </c>
    </row>
    <row r="3628" spans="38:53" ht="15" customHeight="1" x14ac:dyDescent="0.25">
      <c r="AL3628" s="31"/>
      <c r="AM3628" s="26"/>
      <c r="AN3628" s="32"/>
      <c r="AO3628" s="32"/>
      <c r="AP3628" s="24"/>
      <c r="AQ3628" s="24"/>
      <c r="AR3628" s="33"/>
      <c r="AS3628" s="34"/>
      <c r="AT3628" s="33"/>
      <c r="AV3628" s="21">
        <f>IF(AND($AL3628&lt;&gt;"",COUNTIF($AL$11:$AL3628,$AL3628)=1),1,0)</f>
        <v>0</v>
      </c>
      <c r="AW3628" s="21">
        <f t="shared" si="199"/>
        <v>0</v>
      </c>
      <c r="AX3628" s="21" t="str">
        <f t="shared" si="198"/>
        <v/>
      </c>
      <c r="AY3628" s="21" t="str">
        <f>IF(AND($AM3628&lt;&gt;"",$AS3628&lt;&gt;"✓"),SUMPRODUCT(($AM$11:$AM3628&lt;&gt;"")*($AS$11:$AS3628&lt;&gt;"✓")),"")</f>
        <v/>
      </c>
      <c r="AZ3628" s="21" t="str">
        <f>IF(AND($AM3628&lt;&gt;"",$AS3628="✓"),SUMPRODUCT(($AM$11:$AM3628&lt;&gt;"")*($AS$11:$AS3628="✓")),"")</f>
        <v/>
      </c>
      <c r="BA3628" s="21" t="str">
        <f>IF($AL3628="","",$AL3628&amp;"|"&amp;COUNTIF($AL$11:$AL3628,$AL3628))</f>
        <v/>
      </c>
    </row>
    <row r="3629" spans="38:53" ht="15" customHeight="1" x14ac:dyDescent="0.25">
      <c r="AL3629" s="17"/>
      <c r="AM3629" s="12"/>
      <c r="AN3629" s="18"/>
      <c r="AO3629" s="18"/>
      <c r="AP3629" s="10"/>
      <c r="AQ3629" s="10"/>
      <c r="AR3629" s="19"/>
      <c r="AS3629" s="20"/>
      <c r="AT3629" s="19"/>
      <c r="AV3629" s="21">
        <f>IF(AND($AL3629&lt;&gt;"",COUNTIF($AL$11:$AL3629,$AL3629)=1),1,0)</f>
        <v>0</v>
      </c>
      <c r="AW3629" s="21">
        <f t="shared" si="199"/>
        <v>0</v>
      </c>
      <c r="AX3629" s="21" t="str">
        <f t="shared" si="198"/>
        <v/>
      </c>
      <c r="AY3629" s="21" t="str">
        <f>IF(AND($AM3629&lt;&gt;"",$AS3629&lt;&gt;"✓"),SUMPRODUCT(($AM$11:$AM3629&lt;&gt;"")*($AS$11:$AS3629&lt;&gt;"✓")),"")</f>
        <v/>
      </c>
      <c r="AZ3629" s="21" t="str">
        <f>IF(AND($AM3629&lt;&gt;"",$AS3629="✓"),SUMPRODUCT(($AM$11:$AM3629&lt;&gt;"")*($AS$11:$AS3629="✓")),"")</f>
        <v/>
      </c>
      <c r="BA3629" s="21" t="str">
        <f>IF($AL3629="","",$AL3629&amp;"|"&amp;COUNTIF($AL$11:$AL3629,$AL3629))</f>
        <v/>
      </c>
    </row>
    <row r="3630" spans="38:53" ht="15" customHeight="1" x14ac:dyDescent="0.25">
      <c r="AL3630" s="31"/>
      <c r="AM3630" s="26"/>
      <c r="AN3630" s="32"/>
      <c r="AO3630" s="32"/>
      <c r="AP3630" s="24"/>
      <c r="AQ3630" s="24"/>
      <c r="AR3630" s="33"/>
      <c r="AS3630" s="34"/>
      <c r="AT3630" s="33"/>
      <c r="AV3630" s="21">
        <f>IF(AND($AL3630&lt;&gt;"",COUNTIF($AL$11:$AL3630,$AL3630)=1),1,0)</f>
        <v>0</v>
      </c>
      <c r="AW3630" s="21">
        <f t="shared" si="199"/>
        <v>0</v>
      </c>
      <c r="AX3630" s="21" t="str">
        <f t="shared" si="198"/>
        <v/>
      </c>
      <c r="AY3630" s="21" t="str">
        <f>IF(AND($AM3630&lt;&gt;"",$AS3630&lt;&gt;"✓"),SUMPRODUCT(($AM$11:$AM3630&lt;&gt;"")*($AS$11:$AS3630&lt;&gt;"✓")),"")</f>
        <v/>
      </c>
      <c r="AZ3630" s="21" t="str">
        <f>IF(AND($AM3630&lt;&gt;"",$AS3630="✓"),SUMPRODUCT(($AM$11:$AM3630&lt;&gt;"")*($AS$11:$AS3630="✓")),"")</f>
        <v/>
      </c>
      <c r="BA3630" s="21" t="str">
        <f>IF($AL3630="","",$AL3630&amp;"|"&amp;COUNTIF($AL$11:$AL3630,$AL3630))</f>
        <v/>
      </c>
    </row>
    <row r="3631" spans="38:53" ht="15" customHeight="1" x14ac:dyDescent="0.25">
      <c r="AL3631" s="17"/>
      <c r="AM3631" s="12"/>
      <c r="AN3631" s="18"/>
      <c r="AO3631" s="18"/>
      <c r="AP3631" s="10"/>
      <c r="AQ3631" s="10"/>
      <c r="AR3631" s="19"/>
      <c r="AS3631" s="20"/>
      <c r="AT3631" s="19"/>
      <c r="AV3631" s="21">
        <f>IF(AND($AL3631&lt;&gt;"",COUNTIF($AL$11:$AL3631,$AL3631)=1),1,0)</f>
        <v>0</v>
      </c>
      <c r="AW3631" s="21">
        <f t="shared" si="199"/>
        <v>0</v>
      </c>
      <c r="AX3631" s="21" t="str">
        <f t="shared" si="198"/>
        <v/>
      </c>
      <c r="AY3631" s="21" t="str">
        <f>IF(AND($AM3631&lt;&gt;"",$AS3631&lt;&gt;"✓"),SUMPRODUCT(($AM$11:$AM3631&lt;&gt;"")*($AS$11:$AS3631&lt;&gt;"✓")),"")</f>
        <v/>
      </c>
      <c r="AZ3631" s="21" t="str">
        <f>IF(AND($AM3631&lt;&gt;"",$AS3631="✓"),SUMPRODUCT(($AM$11:$AM3631&lt;&gt;"")*($AS$11:$AS3631="✓")),"")</f>
        <v/>
      </c>
      <c r="BA3631" s="21" t="str">
        <f>IF($AL3631="","",$AL3631&amp;"|"&amp;COUNTIF($AL$11:$AL3631,$AL3631))</f>
        <v/>
      </c>
    </row>
    <row r="3632" spans="38:53" ht="15" customHeight="1" x14ac:dyDescent="0.25">
      <c r="AL3632" s="31"/>
      <c r="AM3632" s="26"/>
      <c r="AN3632" s="32"/>
      <c r="AO3632" s="32"/>
      <c r="AP3632" s="24"/>
      <c r="AQ3632" s="24"/>
      <c r="AR3632" s="33"/>
      <c r="AS3632" s="34"/>
      <c r="AT3632" s="33"/>
      <c r="AV3632" s="21">
        <f>IF(AND($AL3632&lt;&gt;"",COUNTIF($AL$11:$AL3632,$AL3632)=1),1,0)</f>
        <v>0</v>
      </c>
      <c r="AW3632" s="21">
        <f t="shared" si="199"/>
        <v>0</v>
      </c>
      <c r="AX3632" s="21" t="str">
        <f t="shared" si="198"/>
        <v/>
      </c>
      <c r="AY3632" s="21" t="str">
        <f>IF(AND($AM3632&lt;&gt;"",$AS3632&lt;&gt;"✓"),SUMPRODUCT(($AM$11:$AM3632&lt;&gt;"")*($AS$11:$AS3632&lt;&gt;"✓")),"")</f>
        <v/>
      </c>
      <c r="AZ3632" s="21" t="str">
        <f>IF(AND($AM3632&lt;&gt;"",$AS3632="✓"),SUMPRODUCT(($AM$11:$AM3632&lt;&gt;"")*($AS$11:$AS3632="✓")),"")</f>
        <v/>
      </c>
      <c r="BA3632" s="21" t="str">
        <f>IF($AL3632="","",$AL3632&amp;"|"&amp;COUNTIF($AL$11:$AL3632,$AL3632))</f>
        <v/>
      </c>
    </row>
    <row r="3633" spans="38:53" ht="15" customHeight="1" x14ac:dyDescent="0.25">
      <c r="AL3633" s="17"/>
      <c r="AM3633" s="12"/>
      <c r="AN3633" s="18"/>
      <c r="AO3633" s="18"/>
      <c r="AP3633" s="10"/>
      <c r="AQ3633" s="10"/>
      <c r="AR3633" s="19"/>
      <c r="AS3633" s="20"/>
      <c r="AT3633" s="19"/>
      <c r="AV3633" s="21">
        <f>IF(AND($AL3633&lt;&gt;"",COUNTIF($AL$11:$AL3633,$AL3633)=1),1,0)</f>
        <v>0</v>
      </c>
      <c r="AW3633" s="21">
        <f t="shared" si="199"/>
        <v>0</v>
      </c>
      <c r="AX3633" s="21" t="str">
        <f t="shared" si="198"/>
        <v/>
      </c>
      <c r="AY3633" s="21" t="str">
        <f>IF(AND($AM3633&lt;&gt;"",$AS3633&lt;&gt;"✓"),SUMPRODUCT(($AM$11:$AM3633&lt;&gt;"")*($AS$11:$AS3633&lt;&gt;"✓")),"")</f>
        <v/>
      </c>
      <c r="AZ3633" s="21" t="str">
        <f>IF(AND($AM3633&lt;&gt;"",$AS3633="✓"),SUMPRODUCT(($AM$11:$AM3633&lt;&gt;"")*($AS$11:$AS3633="✓")),"")</f>
        <v/>
      </c>
      <c r="BA3633" s="21" t="str">
        <f>IF($AL3633="","",$AL3633&amp;"|"&amp;COUNTIF($AL$11:$AL3633,$AL3633))</f>
        <v/>
      </c>
    </row>
    <row r="3634" spans="38:53" ht="15" customHeight="1" x14ac:dyDescent="0.25">
      <c r="AL3634" s="31"/>
      <c r="AM3634" s="26"/>
      <c r="AN3634" s="32"/>
      <c r="AO3634" s="32"/>
      <c r="AP3634" s="24"/>
      <c r="AQ3634" s="24"/>
      <c r="AR3634" s="33"/>
      <c r="AS3634" s="34"/>
      <c r="AT3634" s="33"/>
      <c r="AV3634" s="21">
        <f>IF(AND($AL3634&lt;&gt;"",COUNTIF($AL$11:$AL3634,$AL3634)=1),1,0)</f>
        <v>0</v>
      </c>
      <c r="AW3634" s="21">
        <f t="shared" si="199"/>
        <v>0</v>
      </c>
      <c r="AX3634" s="21" t="str">
        <f t="shared" si="198"/>
        <v/>
      </c>
      <c r="AY3634" s="21" t="str">
        <f>IF(AND($AM3634&lt;&gt;"",$AS3634&lt;&gt;"✓"),SUMPRODUCT(($AM$11:$AM3634&lt;&gt;"")*($AS$11:$AS3634&lt;&gt;"✓")),"")</f>
        <v/>
      </c>
      <c r="AZ3634" s="21" t="str">
        <f>IF(AND($AM3634&lt;&gt;"",$AS3634="✓"),SUMPRODUCT(($AM$11:$AM3634&lt;&gt;"")*($AS$11:$AS3634="✓")),"")</f>
        <v/>
      </c>
      <c r="BA3634" s="21" t="str">
        <f>IF($AL3634="","",$AL3634&amp;"|"&amp;COUNTIF($AL$11:$AL3634,$AL3634))</f>
        <v/>
      </c>
    </row>
    <row r="3635" spans="38:53" ht="15" customHeight="1" x14ac:dyDescent="0.25">
      <c r="AL3635" s="17"/>
      <c r="AM3635" s="12"/>
      <c r="AN3635" s="18"/>
      <c r="AO3635" s="18"/>
      <c r="AP3635" s="10"/>
      <c r="AQ3635" s="10"/>
      <c r="AR3635" s="19"/>
      <c r="AS3635" s="20"/>
      <c r="AT3635" s="19"/>
      <c r="AV3635" s="21">
        <f>IF(AND($AL3635&lt;&gt;"",COUNTIF($AL$11:$AL3635,$AL3635)=1),1,0)</f>
        <v>0</v>
      </c>
      <c r="AW3635" s="21">
        <f t="shared" si="199"/>
        <v>0</v>
      </c>
      <c r="AX3635" s="21" t="str">
        <f t="shared" si="198"/>
        <v/>
      </c>
      <c r="AY3635" s="21" t="str">
        <f>IF(AND($AM3635&lt;&gt;"",$AS3635&lt;&gt;"✓"),SUMPRODUCT(($AM$11:$AM3635&lt;&gt;"")*($AS$11:$AS3635&lt;&gt;"✓")),"")</f>
        <v/>
      </c>
      <c r="AZ3635" s="21" t="str">
        <f>IF(AND($AM3635&lt;&gt;"",$AS3635="✓"),SUMPRODUCT(($AM$11:$AM3635&lt;&gt;"")*($AS$11:$AS3635="✓")),"")</f>
        <v/>
      </c>
      <c r="BA3635" s="21" t="str">
        <f>IF($AL3635="","",$AL3635&amp;"|"&amp;COUNTIF($AL$11:$AL3635,$AL3635))</f>
        <v/>
      </c>
    </row>
    <row r="3636" spans="38:53" ht="15" customHeight="1" x14ac:dyDescent="0.25">
      <c r="AL3636" s="31"/>
      <c r="AM3636" s="26"/>
      <c r="AN3636" s="32"/>
      <c r="AO3636" s="32"/>
      <c r="AP3636" s="24"/>
      <c r="AQ3636" s="24"/>
      <c r="AR3636" s="33"/>
      <c r="AS3636" s="34"/>
      <c r="AT3636" s="33"/>
      <c r="AV3636" s="21">
        <f>IF(AND($AL3636&lt;&gt;"",COUNTIF($AL$11:$AL3636,$AL3636)=1),1,0)</f>
        <v>0</v>
      </c>
      <c r="AW3636" s="21">
        <f t="shared" si="199"/>
        <v>0</v>
      </c>
      <c r="AX3636" s="21" t="str">
        <f t="shared" si="198"/>
        <v/>
      </c>
      <c r="AY3636" s="21" t="str">
        <f>IF(AND($AM3636&lt;&gt;"",$AS3636&lt;&gt;"✓"),SUMPRODUCT(($AM$11:$AM3636&lt;&gt;"")*($AS$11:$AS3636&lt;&gt;"✓")),"")</f>
        <v/>
      </c>
      <c r="AZ3636" s="21" t="str">
        <f>IF(AND($AM3636&lt;&gt;"",$AS3636="✓"),SUMPRODUCT(($AM$11:$AM3636&lt;&gt;"")*($AS$11:$AS3636="✓")),"")</f>
        <v/>
      </c>
      <c r="BA3636" s="21" t="str">
        <f>IF($AL3636="","",$AL3636&amp;"|"&amp;COUNTIF($AL$11:$AL3636,$AL3636))</f>
        <v/>
      </c>
    </row>
    <row r="3637" spans="38:53" ht="15" customHeight="1" x14ac:dyDescent="0.25">
      <c r="AL3637" s="17"/>
      <c r="AM3637" s="12"/>
      <c r="AN3637" s="18"/>
      <c r="AO3637" s="18"/>
      <c r="AP3637" s="10"/>
      <c r="AQ3637" s="10"/>
      <c r="AR3637" s="19"/>
      <c r="AS3637" s="20"/>
      <c r="AT3637" s="19"/>
      <c r="AV3637" s="21">
        <f>IF(AND($AL3637&lt;&gt;"",COUNTIF($AL$11:$AL3637,$AL3637)=1),1,0)</f>
        <v>0</v>
      </c>
      <c r="AW3637" s="21">
        <f t="shared" si="199"/>
        <v>0</v>
      </c>
      <c r="AX3637" s="21" t="str">
        <f t="shared" si="198"/>
        <v/>
      </c>
      <c r="AY3637" s="21" t="str">
        <f>IF(AND($AM3637&lt;&gt;"",$AS3637&lt;&gt;"✓"),SUMPRODUCT(($AM$11:$AM3637&lt;&gt;"")*($AS$11:$AS3637&lt;&gt;"✓")),"")</f>
        <v/>
      </c>
      <c r="AZ3637" s="21" t="str">
        <f>IF(AND($AM3637&lt;&gt;"",$AS3637="✓"),SUMPRODUCT(($AM$11:$AM3637&lt;&gt;"")*($AS$11:$AS3637="✓")),"")</f>
        <v/>
      </c>
      <c r="BA3637" s="21" t="str">
        <f>IF($AL3637="","",$AL3637&amp;"|"&amp;COUNTIF($AL$11:$AL3637,$AL3637))</f>
        <v/>
      </c>
    </row>
    <row r="3638" spans="38:53" ht="15" customHeight="1" x14ac:dyDescent="0.25">
      <c r="AL3638" s="31"/>
      <c r="AM3638" s="26"/>
      <c r="AN3638" s="32"/>
      <c r="AO3638" s="32"/>
      <c r="AP3638" s="24"/>
      <c r="AQ3638" s="24"/>
      <c r="AR3638" s="33"/>
      <c r="AS3638" s="34"/>
      <c r="AT3638" s="33"/>
      <c r="AV3638" s="21">
        <f>IF(AND($AL3638&lt;&gt;"",COUNTIF($AL$11:$AL3638,$AL3638)=1),1,0)</f>
        <v>0</v>
      </c>
      <c r="AW3638" s="21">
        <f t="shared" si="199"/>
        <v>0</v>
      </c>
      <c r="AX3638" s="21" t="str">
        <f t="shared" si="198"/>
        <v/>
      </c>
      <c r="AY3638" s="21" t="str">
        <f>IF(AND($AM3638&lt;&gt;"",$AS3638&lt;&gt;"✓"),SUMPRODUCT(($AM$11:$AM3638&lt;&gt;"")*($AS$11:$AS3638&lt;&gt;"✓")),"")</f>
        <v/>
      </c>
      <c r="AZ3638" s="21" t="str">
        <f>IF(AND($AM3638&lt;&gt;"",$AS3638="✓"),SUMPRODUCT(($AM$11:$AM3638&lt;&gt;"")*($AS$11:$AS3638="✓")),"")</f>
        <v/>
      </c>
      <c r="BA3638" s="21" t="str">
        <f>IF($AL3638="","",$AL3638&amp;"|"&amp;COUNTIF($AL$11:$AL3638,$AL3638))</f>
        <v/>
      </c>
    </row>
    <row r="3639" spans="38:53" ht="15" customHeight="1" x14ac:dyDescent="0.25">
      <c r="AL3639" s="17"/>
      <c r="AM3639" s="12"/>
      <c r="AN3639" s="18"/>
      <c r="AO3639" s="18"/>
      <c r="AP3639" s="10"/>
      <c r="AQ3639" s="10"/>
      <c r="AR3639" s="19"/>
      <c r="AS3639" s="20"/>
      <c r="AT3639" s="19"/>
      <c r="AV3639" s="21">
        <f>IF(AND($AL3639&lt;&gt;"",COUNTIF($AL$11:$AL3639,$AL3639)=1),1,0)</f>
        <v>0</v>
      </c>
      <c r="AW3639" s="21">
        <f t="shared" si="199"/>
        <v>0</v>
      </c>
      <c r="AX3639" s="21" t="str">
        <f t="shared" si="198"/>
        <v/>
      </c>
      <c r="AY3639" s="21" t="str">
        <f>IF(AND($AM3639&lt;&gt;"",$AS3639&lt;&gt;"✓"),SUMPRODUCT(($AM$11:$AM3639&lt;&gt;"")*($AS$11:$AS3639&lt;&gt;"✓")),"")</f>
        <v/>
      </c>
      <c r="AZ3639" s="21" t="str">
        <f>IF(AND($AM3639&lt;&gt;"",$AS3639="✓"),SUMPRODUCT(($AM$11:$AM3639&lt;&gt;"")*($AS$11:$AS3639="✓")),"")</f>
        <v/>
      </c>
      <c r="BA3639" s="21" t="str">
        <f>IF($AL3639="","",$AL3639&amp;"|"&amp;COUNTIF($AL$11:$AL3639,$AL3639))</f>
        <v/>
      </c>
    </row>
    <row r="3640" spans="38:53" ht="15" customHeight="1" x14ac:dyDescent="0.25">
      <c r="AL3640" s="31"/>
      <c r="AM3640" s="26"/>
      <c r="AN3640" s="32"/>
      <c r="AO3640" s="32"/>
      <c r="AP3640" s="24"/>
      <c r="AQ3640" s="24"/>
      <c r="AR3640" s="33"/>
      <c r="AS3640" s="34"/>
      <c r="AT3640" s="33"/>
      <c r="AV3640" s="21">
        <f>IF(AND($AL3640&lt;&gt;"",COUNTIF($AL$11:$AL3640,$AL3640)=1),1,0)</f>
        <v>0</v>
      </c>
      <c r="AW3640" s="21">
        <f t="shared" si="199"/>
        <v>0</v>
      </c>
      <c r="AX3640" s="21" t="str">
        <f t="shared" si="198"/>
        <v/>
      </c>
      <c r="AY3640" s="21" t="str">
        <f>IF(AND($AM3640&lt;&gt;"",$AS3640&lt;&gt;"✓"),SUMPRODUCT(($AM$11:$AM3640&lt;&gt;"")*($AS$11:$AS3640&lt;&gt;"✓")),"")</f>
        <v/>
      </c>
      <c r="AZ3640" s="21" t="str">
        <f>IF(AND($AM3640&lt;&gt;"",$AS3640="✓"),SUMPRODUCT(($AM$11:$AM3640&lt;&gt;"")*($AS$11:$AS3640="✓")),"")</f>
        <v/>
      </c>
      <c r="BA3640" s="21" t="str">
        <f>IF($AL3640="","",$AL3640&amp;"|"&amp;COUNTIF($AL$11:$AL3640,$AL3640))</f>
        <v/>
      </c>
    </row>
    <row r="3641" spans="38:53" ht="15" customHeight="1" x14ac:dyDescent="0.25">
      <c r="AL3641" s="17"/>
      <c r="AM3641" s="12"/>
      <c r="AN3641" s="18"/>
      <c r="AO3641" s="18"/>
      <c r="AP3641" s="10"/>
      <c r="AQ3641" s="10"/>
      <c r="AR3641" s="19"/>
      <c r="AS3641" s="20"/>
      <c r="AT3641" s="19"/>
      <c r="AV3641" s="21">
        <f>IF(AND($AL3641&lt;&gt;"",COUNTIF($AL$11:$AL3641,$AL3641)=1),1,0)</f>
        <v>0</v>
      </c>
      <c r="AW3641" s="21">
        <f t="shared" si="199"/>
        <v>0</v>
      </c>
      <c r="AX3641" s="21" t="str">
        <f t="shared" si="198"/>
        <v/>
      </c>
      <c r="AY3641" s="21" t="str">
        <f>IF(AND($AM3641&lt;&gt;"",$AS3641&lt;&gt;"✓"),SUMPRODUCT(($AM$11:$AM3641&lt;&gt;"")*($AS$11:$AS3641&lt;&gt;"✓")),"")</f>
        <v/>
      </c>
      <c r="AZ3641" s="21" t="str">
        <f>IF(AND($AM3641&lt;&gt;"",$AS3641="✓"),SUMPRODUCT(($AM$11:$AM3641&lt;&gt;"")*($AS$11:$AS3641="✓")),"")</f>
        <v/>
      </c>
      <c r="BA3641" s="21" t="str">
        <f>IF($AL3641="","",$AL3641&amp;"|"&amp;COUNTIF($AL$11:$AL3641,$AL3641))</f>
        <v/>
      </c>
    </row>
    <row r="3642" spans="38:53" ht="15" customHeight="1" x14ac:dyDescent="0.25">
      <c r="AL3642" s="31"/>
      <c r="AM3642" s="26"/>
      <c r="AN3642" s="32"/>
      <c r="AO3642" s="32"/>
      <c r="AP3642" s="24"/>
      <c r="AQ3642" s="24"/>
      <c r="AR3642" s="33"/>
      <c r="AS3642" s="34"/>
      <c r="AT3642" s="33"/>
      <c r="AV3642" s="21">
        <f>IF(AND($AL3642&lt;&gt;"",COUNTIF($AL$11:$AL3642,$AL3642)=1),1,0)</f>
        <v>0</v>
      </c>
      <c r="AW3642" s="21">
        <f t="shared" si="199"/>
        <v>0</v>
      </c>
      <c r="AX3642" s="21" t="str">
        <f t="shared" si="198"/>
        <v/>
      </c>
      <c r="AY3642" s="21" t="str">
        <f>IF(AND($AM3642&lt;&gt;"",$AS3642&lt;&gt;"✓"),SUMPRODUCT(($AM$11:$AM3642&lt;&gt;"")*($AS$11:$AS3642&lt;&gt;"✓")),"")</f>
        <v/>
      </c>
      <c r="AZ3642" s="21" t="str">
        <f>IF(AND($AM3642&lt;&gt;"",$AS3642="✓"),SUMPRODUCT(($AM$11:$AM3642&lt;&gt;"")*($AS$11:$AS3642="✓")),"")</f>
        <v/>
      </c>
      <c r="BA3642" s="21" t="str">
        <f>IF($AL3642="","",$AL3642&amp;"|"&amp;COUNTIF($AL$11:$AL3642,$AL3642))</f>
        <v/>
      </c>
    </row>
    <row r="3643" spans="38:53" ht="15" customHeight="1" x14ac:dyDescent="0.25">
      <c r="AL3643" s="17"/>
      <c r="AM3643" s="12"/>
      <c r="AN3643" s="18"/>
      <c r="AO3643" s="18"/>
      <c r="AP3643" s="10"/>
      <c r="AQ3643" s="10"/>
      <c r="AR3643" s="19"/>
      <c r="AS3643" s="20"/>
      <c r="AT3643" s="19"/>
      <c r="AV3643" s="21">
        <f>IF(AND($AL3643&lt;&gt;"",COUNTIF($AL$11:$AL3643,$AL3643)=1),1,0)</f>
        <v>0</v>
      </c>
      <c r="AW3643" s="21">
        <f t="shared" si="199"/>
        <v>0</v>
      </c>
      <c r="AX3643" s="21" t="str">
        <f t="shared" si="198"/>
        <v/>
      </c>
      <c r="AY3643" s="21" t="str">
        <f>IF(AND($AM3643&lt;&gt;"",$AS3643&lt;&gt;"✓"),SUMPRODUCT(($AM$11:$AM3643&lt;&gt;"")*($AS$11:$AS3643&lt;&gt;"✓")),"")</f>
        <v/>
      </c>
      <c r="AZ3643" s="21" t="str">
        <f>IF(AND($AM3643&lt;&gt;"",$AS3643="✓"),SUMPRODUCT(($AM$11:$AM3643&lt;&gt;"")*($AS$11:$AS3643="✓")),"")</f>
        <v/>
      </c>
      <c r="BA3643" s="21" t="str">
        <f>IF($AL3643="","",$AL3643&amp;"|"&amp;COUNTIF($AL$11:$AL3643,$AL3643))</f>
        <v/>
      </c>
    </row>
    <row r="3644" spans="38:53" ht="15" customHeight="1" x14ac:dyDescent="0.25">
      <c r="AL3644" s="31"/>
      <c r="AM3644" s="26"/>
      <c r="AN3644" s="32"/>
      <c r="AO3644" s="32"/>
      <c r="AP3644" s="24"/>
      <c r="AQ3644" s="24"/>
      <c r="AR3644" s="33"/>
      <c r="AS3644" s="34"/>
      <c r="AT3644" s="33"/>
      <c r="AV3644" s="21">
        <f>IF(AND($AL3644&lt;&gt;"",COUNTIF($AL$11:$AL3644,$AL3644)=1),1,0)</f>
        <v>0</v>
      </c>
      <c r="AW3644" s="21">
        <f t="shared" si="199"/>
        <v>0</v>
      </c>
      <c r="AX3644" s="21" t="str">
        <f t="shared" si="198"/>
        <v/>
      </c>
      <c r="AY3644" s="21" t="str">
        <f>IF(AND($AM3644&lt;&gt;"",$AS3644&lt;&gt;"✓"),SUMPRODUCT(($AM$11:$AM3644&lt;&gt;"")*($AS$11:$AS3644&lt;&gt;"✓")),"")</f>
        <v/>
      </c>
      <c r="AZ3644" s="21" t="str">
        <f>IF(AND($AM3644&lt;&gt;"",$AS3644="✓"),SUMPRODUCT(($AM$11:$AM3644&lt;&gt;"")*($AS$11:$AS3644="✓")),"")</f>
        <v/>
      </c>
      <c r="BA3644" s="21" t="str">
        <f>IF($AL3644="","",$AL3644&amp;"|"&amp;COUNTIF($AL$11:$AL3644,$AL3644))</f>
        <v/>
      </c>
    </row>
    <row r="3645" spans="38:53" ht="15" customHeight="1" x14ac:dyDescent="0.25">
      <c r="AL3645" s="17"/>
      <c r="AM3645" s="12"/>
      <c r="AN3645" s="18"/>
      <c r="AO3645" s="18"/>
      <c r="AP3645" s="10"/>
      <c r="AQ3645" s="10"/>
      <c r="AR3645" s="19"/>
      <c r="AS3645" s="20"/>
      <c r="AT3645" s="19"/>
      <c r="AV3645" s="21">
        <f>IF(AND($AL3645&lt;&gt;"",COUNTIF($AL$11:$AL3645,$AL3645)=1),1,0)</f>
        <v>0</v>
      </c>
      <c r="AW3645" s="21">
        <f t="shared" si="199"/>
        <v>0</v>
      </c>
      <c r="AX3645" s="21" t="str">
        <f t="shared" si="198"/>
        <v/>
      </c>
      <c r="AY3645" s="21" t="str">
        <f>IF(AND($AM3645&lt;&gt;"",$AS3645&lt;&gt;"✓"),SUMPRODUCT(($AM$11:$AM3645&lt;&gt;"")*($AS$11:$AS3645&lt;&gt;"✓")),"")</f>
        <v/>
      </c>
      <c r="AZ3645" s="21" t="str">
        <f>IF(AND($AM3645&lt;&gt;"",$AS3645="✓"),SUMPRODUCT(($AM$11:$AM3645&lt;&gt;"")*($AS$11:$AS3645="✓")),"")</f>
        <v/>
      </c>
      <c r="BA3645" s="21" t="str">
        <f>IF($AL3645="","",$AL3645&amp;"|"&amp;COUNTIF($AL$11:$AL3645,$AL3645))</f>
        <v/>
      </c>
    </row>
    <row r="3646" spans="38:53" ht="15" customHeight="1" x14ac:dyDescent="0.25">
      <c r="AL3646" s="31"/>
      <c r="AM3646" s="26"/>
      <c r="AN3646" s="32"/>
      <c r="AO3646" s="32"/>
      <c r="AP3646" s="24"/>
      <c r="AQ3646" s="24"/>
      <c r="AR3646" s="33"/>
      <c r="AS3646" s="34"/>
      <c r="AT3646" s="33"/>
      <c r="AV3646" s="21">
        <f>IF(AND($AL3646&lt;&gt;"",COUNTIF($AL$11:$AL3646,$AL3646)=1),1,0)</f>
        <v>0</v>
      </c>
      <c r="AW3646" s="21">
        <f t="shared" si="199"/>
        <v>0</v>
      </c>
      <c r="AX3646" s="21" t="str">
        <f t="shared" si="198"/>
        <v/>
      </c>
      <c r="AY3646" s="21" t="str">
        <f>IF(AND($AM3646&lt;&gt;"",$AS3646&lt;&gt;"✓"),SUMPRODUCT(($AM$11:$AM3646&lt;&gt;"")*($AS$11:$AS3646&lt;&gt;"✓")),"")</f>
        <v/>
      </c>
      <c r="AZ3646" s="21" t="str">
        <f>IF(AND($AM3646&lt;&gt;"",$AS3646="✓"),SUMPRODUCT(($AM$11:$AM3646&lt;&gt;"")*($AS$11:$AS3646="✓")),"")</f>
        <v/>
      </c>
      <c r="BA3646" s="21" t="str">
        <f>IF($AL3646="","",$AL3646&amp;"|"&amp;COUNTIF($AL$11:$AL3646,$AL3646))</f>
        <v/>
      </c>
    </row>
    <row r="3647" spans="38:53" ht="15" customHeight="1" x14ac:dyDescent="0.25">
      <c r="AL3647" s="17"/>
      <c r="AM3647" s="12"/>
      <c r="AN3647" s="18"/>
      <c r="AO3647" s="18"/>
      <c r="AP3647" s="10"/>
      <c r="AQ3647" s="10"/>
      <c r="AR3647" s="19"/>
      <c r="AS3647" s="20"/>
      <c r="AT3647" s="19"/>
      <c r="AV3647" s="21">
        <f>IF(AND($AL3647&lt;&gt;"",COUNTIF($AL$11:$AL3647,$AL3647)=1),1,0)</f>
        <v>0</v>
      </c>
      <c r="AW3647" s="21">
        <f t="shared" si="199"/>
        <v>0</v>
      </c>
      <c r="AX3647" s="21" t="str">
        <f t="shared" si="198"/>
        <v/>
      </c>
      <c r="AY3647" s="21" t="str">
        <f>IF(AND($AM3647&lt;&gt;"",$AS3647&lt;&gt;"✓"),SUMPRODUCT(($AM$11:$AM3647&lt;&gt;"")*($AS$11:$AS3647&lt;&gt;"✓")),"")</f>
        <v/>
      </c>
      <c r="AZ3647" s="21" t="str">
        <f>IF(AND($AM3647&lt;&gt;"",$AS3647="✓"),SUMPRODUCT(($AM$11:$AM3647&lt;&gt;"")*($AS$11:$AS3647="✓")),"")</f>
        <v/>
      </c>
      <c r="BA3647" s="21" t="str">
        <f>IF($AL3647="","",$AL3647&amp;"|"&amp;COUNTIF($AL$11:$AL3647,$AL3647))</f>
        <v/>
      </c>
    </row>
    <row r="3648" spans="38:53" ht="15" customHeight="1" x14ac:dyDescent="0.25">
      <c r="AL3648" s="31"/>
      <c r="AM3648" s="26"/>
      <c r="AN3648" s="32"/>
      <c r="AO3648" s="32"/>
      <c r="AP3648" s="24"/>
      <c r="AQ3648" s="24"/>
      <c r="AR3648" s="33"/>
      <c r="AS3648" s="34"/>
      <c r="AT3648" s="33"/>
      <c r="AV3648" s="21">
        <f>IF(AND($AL3648&lt;&gt;"",COUNTIF($AL$11:$AL3648,$AL3648)=1),1,0)</f>
        <v>0</v>
      </c>
      <c r="AW3648" s="21">
        <f t="shared" si="199"/>
        <v>0</v>
      </c>
      <c r="AX3648" s="21" t="str">
        <f t="shared" si="198"/>
        <v/>
      </c>
      <c r="AY3648" s="21" t="str">
        <f>IF(AND($AM3648&lt;&gt;"",$AS3648&lt;&gt;"✓"),SUMPRODUCT(($AM$11:$AM3648&lt;&gt;"")*($AS$11:$AS3648&lt;&gt;"✓")),"")</f>
        <v/>
      </c>
      <c r="AZ3648" s="21" t="str">
        <f>IF(AND($AM3648&lt;&gt;"",$AS3648="✓"),SUMPRODUCT(($AM$11:$AM3648&lt;&gt;"")*($AS$11:$AS3648="✓")),"")</f>
        <v/>
      </c>
      <c r="BA3648" s="21" t="str">
        <f>IF($AL3648="","",$AL3648&amp;"|"&amp;COUNTIF($AL$11:$AL3648,$AL3648))</f>
        <v/>
      </c>
    </row>
    <row r="3649" spans="38:53" ht="15" customHeight="1" x14ac:dyDescent="0.25">
      <c r="AL3649" s="17"/>
      <c r="AM3649" s="12"/>
      <c r="AN3649" s="18"/>
      <c r="AO3649" s="18"/>
      <c r="AP3649" s="10"/>
      <c r="AQ3649" s="10"/>
      <c r="AR3649" s="19"/>
      <c r="AS3649" s="20"/>
      <c r="AT3649" s="19"/>
      <c r="AV3649" s="21">
        <f>IF(AND($AL3649&lt;&gt;"",COUNTIF($AL$11:$AL3649,$AL3649)=1),1,0)</f>
        <v>0</v>
      </c>
      <c r="AW3649" s="21">
        <f t="shared" si="199"/>
        <v>0</v>
      </c>
      <c r="AX3649" s="21" t="str">
        <f t="shared" si="198"/>
        <v/>
      </c>
      <c r="AY3649" s="21" t="str">
        <f>IF(AND($AM3649&lt;&gt;"",$AS3649&lt;&gt;"✓"),SUMPRODUCT(($AM$11:$AM3649&lt;&gt;"")*($AS$11:$AS3649&lt;&gt;"✓")),"")</f>
        <v/>
      </c>
      <c r="AZ3649" s="21" t="str">
        <f>IF(AND($AM3649&lt;&gt;"",$AS3649="✓"),SUMPRODUCT(($AM$11:$AM3649&lt;&gt;"")*($AS$11:$AS3649="✓")),"")</f>
        <v/>
      </c>
      <c r="BA3649" s="21" t="str">
        <f>IF($AL3649="","",$AL3649&amp;"|"&amp;COUNTIF($AL$11:$AL3649,$AL3649))</f>
        <v/>
      </c>
    </row>
    <row r="3650" spans="38:53" ht="15" customHeight="1" x14ac:dyDescent="0.25">
      <c r="AL3650" s="31"/>
      <c r="AM3650" s="26"/>
      <c r="AN3650" s="32"/>
      <c r="AO3650" s="32"/>
      <c r="AP3650" s="24"/>
      <c r="AQ3650" s="24"/>
      <c r="AR3650" s="33"/>
      <c r="AS3650" s="34"/>
      <c r="AT3650" s="33"/>
      <c r="AV3650" s="21">
        <f>IF(AND($AL3650&lt;&gt;"",COUNTIF($AL$11:$AL3650,$AL3650)=1),1,0)</f>
        <v>0</v>
      </c>
      <c r="AW3650" s="21">
        <f t="shared" si="199"/>
        <v>0</v>
      </c>
      <c r="AX3650" s="21" t="str">
        <f t="shared" si="198"/>
        <v/>
      </c>
      <c r="AY3650" s="21" t="str">
        <f>IF(AND($AM3650&lt;&gt;"",$AS3650&lt;&gt;"✓"),SUMPRODUCT(($AM$11:$AM3650&lt;&gt;"")*($AS$11:$AS3650&lt;&gt;"✓")),"")</f>
        <v/>
      </c>
      <c r="AZ3650" s="21" t="str">
        <f>IF(AND($AM3650&lt;&gt;"",$AS3650="✓"),SUMPRODUCT(($AM$11:$AM3650&lt;&gt;"")*($AS$11:$AS3650="✓")),"")</f>
        <v/>
      </c>
      <c r="BA3650" s="21" t="str">
        <f>IF($AL3650="","",$AL3650&amp;"|"&amp;COUNTIF($AL$11:$AL3650,$AL3650))</f>
        <v/>
      </c>
    </row>
    <row r="3651" spans="38:53" ht="15" customHeight="1" x14ac:dyDescent="0.25">
      <c r="AL3651" s="17"/>
      <c r="AM3651" s="12"/>
      <c r="AN3651" s="18"/>
      <c r="AO3651" s="18"/>
      <c r="AP3651" s="10"/>
      <c r="AQ3651" s="10"/>
      <c r="AR3651" s="19"/>
      <c r="AS3651" s="20"/>
      <c r="AT3651" s="19"/>
      <c r="AV3651" s="21">
        <f>IF(AND($AL3651&lt;&gt;"",COUNTIF($AL$11:$AL3651,$AL3651)=1),1,0)</f>
        <v>0</v>
      </c>
      <c r="AW3651" s="21">
        <f t="shared" si="199"/>
        <v>0</v>
      </c>
      <c r="AX3651" s="21" t="str">
        <f t="shared" si="198"/>
        <v/>
      </c>
      <c r="AY3651" s="21" t="str">
        <f>IF(AND($AM3651&lt;&gt;"",$AS3651&lt;&gt;"✓"),SUMPRODUCT(($AM$11:$AM3651&lt;&gt;"")*($AS$11:$AS3651&lt;&gt;"✓")),"")</f>
        <v/>
      </c>
      <c r="AZ3651" s="21" t="str">
        <f>IF(AND($AM3651&lt;&gt;"",$AS3651="✓"),SUMPRODUCT(($AM$11:$AM3651&lt;&gt;"")*($AS$11:$AS3651="✓")),"")</f>
        <v/>
      </c>
      <c r="BA3651" s="21" t="str">
        <f>IF($AL3651="","",$AL3651&amp;"|"&amp;COUNTIF($AL$11:$AL3651,$AL3651))</f>
        <v/>
      </c>
    </row>
    <row r="3652" spans="38:53" ht="15" customHeight="1" x14ac:dyDescent="0.25">
      <c r="AL3652" s="31"/>
      <c r="AM3652" s="26"/>
      <c r="AN3652" s="32"/>
      <c r="AO3652" s="32"/>
      <c r="AP3652" s="24"/>
      <c r="AQ3652" s="24"/>
      <c r="AR3652" s="33"/>
      <c r="AS3652" s="34"/>
      <c r="AT3652" s="33"/>
      <c r="AV3652" s="21">
        <f>IF(AND($AL3652&lt;&gt;"",COUNTIF($AL$11:$AL3652,$AL3652)=1),1,0)</f>
        <v>0</v>
      </c>
      <c r="AW3652" s="21">
        <f t="shared" si="199"/>
        <v>0</v>
      </c>
      <c r="AX3652" s="21" t="str">
        <f t="shared" si="198"/>
        <v/>
      </c>
      <c r="AY3652" s="21" t="str">
        <f>IF(AND($AM3652&lt;&gt;"",$AS3652&lt;&gt;"✓"),SUMPRODUCT(($AM$11:$AM3652&lt;&gt;"")*($AS$11:$AS3652&lt;&gt;"✓")),"")</f>
        <v/>
      </c>
      <c r="AZ3652" s="21" t="str">
        <f>IF(AND($AM3652&lt;&gt;"",$AS3652="✓"),SUMPRODUCT(($AM$11:$AM3652&lt;&gt;"")*($AS$11:$AS3652="✓")),"")</f>
        <v/>
      </c>
      <c r="BA3652" s="21" t="str">
        <f>IF($AL3652="","",$AL3652&amp;"|"&amp;COUNTIF($AL$11:$AL3652,$AL3652))</f>
        <v/>
      </c>
    </row>
    <row r="3653" spans="38:53" ht="15" customHeight="1" x14ac:dyDescent="0.25">
      <c r="AL3653" s="17"/>
      <c r="AM3653" s="12"/>
      <c r="AN3653" s="18"/>
      <c r="AO3653" s="18"/>
      <c r="AP3653" s="10"/>
      <c r="AQ3653" s="10"/>
      <c r="AR3653" s="19"/>
      <c r="AS3653" s="20"/>
      <c r="AT3653" s="19"/>
      <c r="AV3653" s="21">
        <f>IF(AND($AL3653&lt;&gt;"",COUNTIF($AL$11:$AL3653,$AL3653)=1),1,0)</f>
        <v>0</v>
      </c>
      <c r="AW3653" s="21">
        <f t="shared" si="199"/>
        <v>0</v>
      </c>
      <c r="AX3653" s="21" t="str">
        <f t="shared" si="198"/>
        <v/>
      </c>
      <c r="AY3653" s="21" t="str">
        <f>IF(AND($AM3653&lt;&gt;"",$AS3653&lt;&gt;"✓"),SUMPRODUCT(($AM$11:$AM3653&lt;&gt;"")*($AS$11:$AS3653&lt;&gt;"✓")),"")</f>
        <v/>
      </c>
      <c r="AZ3653" s="21" t="str">
        <f>IF(AND($AM3653&lt;&gt;"",$AS3653="✓"),SUMPRODUCT(($AM$11:$AM3653&lt;&gt;"")*($AS$11:$AS3653="✓")),"")</f>
        <v/>
      </c>
      <c r="BA3653" s="21" t="str">
        <f>IF($AL3653="","",$AL3653&amp;"|"&amp;COUNTIF($AL$11:$AL3653,$AL3653))</f>
        <v/>
      </c>
    </row>
    <row r="3654" spans="38:53" ht="15" customHeight="1" x14ac:dyDescent="0.25">
      <c r="AL3654" s="31"/>
      <c r="AM3654" s="26"/>
      <c r="AN3654" s="32"/>
      <c r="AO3654" s="32"/>
      <c r="AP3654" s="24"/>
      <c r="AQ3654" s="24"/>
      <c r="AR3654" s="33"/>
      <c r="AS3654" s="34"/>
      <c r="AT3654" s="33"/>
      <c r="AV3654" s="21">
        <f>IF(AND($AL3654&lt;&gt;"",COUNTIF($AL$11:$AL3654,$AL3654)=1),1,0)</f>
        <v>0</v>
      </c>
      <c r="AW3654" s="21">
        <f t="shared" si="199"/>
        <v>0</v>
      </c>
      <c r="AX3654" s="21" t="str">
        <f t="shared" si="198"/>
        <v/>
      </c>
      <c r="AY3654" s="21" t="str">
        <f>IF(AND($AM3654&lt;&gt;"",$AS3654&lt;&gt;"✓"),SUMPRODUCT(($AM$11:$AM3654&lt;&gt;"")*($AS$11:$AS3654&lt;&gt;"✓")),"")</f>
        <v/>
      </c>
      <c r="AZ3654" s="21" t="str">
        <f>IF(AND($AM3654&lt;&gt;"",$AS3654="✓"),SUMPRODUCT(($AM$11:$AM3654&lt;&gt;"")*($AS$11:$AS3654="✓")),"")</f>
        <v/>
      </c>
      <c r="BA3654" s="21" t="str">
        <f>IF($AL3654="","",$AL3654&amp;"|"&amp;COUNTIF($AL$11:$AL3654,$AL3654))</f>
        <v/>
      </c>
    </row>
    <row r="3655" spans="38:53" ht="15" customHeight="1" x14ac:dyDescent="0.25">
      <c r="AL3655" s="17"/>
      <c r="AM3655" s="12"/>
      <c r="AN3655" s="18"/>
      <c r="AO3655" s="18"/>
      <c r="AP3655" s="10"/>
      <c r="AQ3655" s="10"/>
      <c r="AR3655" s="19"/>
      <c r="AS3655" s="20"/>
      <c r="AT3655" s="19"/>
      <c r="AV3655" s="21">
        <f>IF(AND($AL3655&lt;&gt;"",COUNTIF($AL$11:$AL3655,$AL3655)=1),1,0)</f>
        <v>0</v>
      </c>
      <c r="AW3655" s="21">
        <f t="shared" si="199"/>
        <v>0</v>
      </c>
      <c r="AX3655" s="21" t="str">
        <f t="shared" si="198"/>
        <v/>
      </c>
      <c r="AY3655" s="21" t="str">
        <f>IF(AND($AM3655&lt;&gt;"",$AS3655&lt;&gt;"✓"),SUMPRODUCT(($AM$11:$AM3655&lt;&gt;"")*($AS$11:$AS3655&lt;&gt;"✓")),"")</f>
        <v/>
      </c>
      <c r="AZ3655" s="21" t="str">
        <f>IF(AND($AM3655&lt;&gt;"",$AS3655="✓"),SUMPRODUCT(($AM$11:$AM3655&lt;&gt;"")*($AS$11:$AS3655="✓")),"")</f>
        <v/>
      </c>
      <c r="BA3655" s="21" t="str">
        <f>IF($AL3655="","",$AL3655&amp;"|"&amp;COUNTIF($AL$11:$AL3655,$AL3655))</f>
        <v/>
      </c>
    </row>
    <row r="3656" spans="38:53" ht="15" customHeight="1" x14ac:dyDescent="0.25">
      <c r="AL3656" s="31"/>
      <c r="AM3656" s="26"/>
      <c r="AN3656" s="32"/>
      <c r="AO3656" s="32"/>
      <c r="AP3656" s="24"/>
      <c r="AQ3656" s="24"/>
      <c r="AR3656" s="33"/>
      <c r="AS3656" s="34"/>
      <c r="AT3656" s="33"/>
      <c r="AV3656" s="21">
        <f>IF(AND($AL3656&lt;&gt;"",COUNTIF($AL$11:$AL3656,$AL3656)=1),1,0)</f>
        <v>0</v>
      </c>
      <c r="AW3656" s="21">
        <f t="shared" si="199"/>
        <v>0</v>
      </c>
      <c r="AX3656" s="21" t="str">
        <f t="shared" si="198"/>
        <v/>
      </c>
      <c r="AY3656" s="21" t="str">
        <f>IF(AND($AM3656&lt;&gt;"",$AS3656&lt;&gt;"✓"),SUMPRODUCT(($AM$11:$AM3656&lt;&gt;"")*($AS$11:$AS3656&lt;&gt;"✓")),"")</f>
        <v/>
      </c>
      <c r="AZ3656" s="21" t="str">
        <f>IF(AND($AM3656&lt;&gt;"",$AS3656="✓"),SUMPRODUCT(($AM$11:$AM3656&lt;&gt;"")*($AS$11:$AS3656="✓")),"")</f>
        <v/>
      </c>
      <c r="BA3656" s="21" t="str">
        <f>IF($AL3656="","",$AL3656&amp;"|"&amp;COUNTIF($AL$11:$AL3656,$AL3656))</f>
        <v/>
      </c>
    </row>
    <row r="3657" spans="38:53" ht="15" customHeight="1" x14ac:dyDescent="0.25">
      <c r="AL3657" s="17"/>
      <c r="AM3657" s="12"/>
      <c r="AN3657" s="18"/>
      <c r="AO3657" s="18"/>
      <c r="AP3657" s="10"/>
      <c r="AQ3657" s="10"/>
      <c r="AR3657" s="19"/>
      <c r="AS3657" s="20"/>
      <c r="AT3657" s="19"/>
      <c r="AV3657" s="21">
        <f>IF(AND($AL3657&lt;&gt;"",COUNTIF($AL$11:$AL3657,$AL3657)=1),1,0)</f>
        <v>0</v>
      </c>
      <c r="AW3657" s="21">
        <f t="shared" si="199"/>
        <v>0</v>
      </c>
      <c r="AX3657" s="21" t="str">
        <f t="shared" si="198"/>
        <v/>
      </c>
      <c r="AY3657" s="21" t="str">
        <f>IF(AND($AM3657&lt;&gt;"",$AS3657&lt;&gt;"✓"),SUMPRODUCT(($AM$11:$AM3657&lt;&gt;"")*($AS$11:$AS3657&lt;&gt;"✓")),"")</f>
        <v/>
      </c>
      <c r="AZ3657" s="21" t="str">
        <f>IF(AND($AM3657&lt;&gt;"",$AS3657="✓"),SUMPRODUCT(($AM$11:$AM3657&lt;&gt;"")*($AS$11:$AS3657="✓")),"")</f>
        <v/>
      </c>
      <c r="BA3657" s="21" t="str">
        <f>IF($AL3657="","",$AL3657&amp;"|"&amp;COUNTIF($AL$11:$AL3657,$AL3657))</f>
        <v/>
      </c>
    </row>
    <row r="3658" spans="38:53" ht="15" customHeight="1" x14ac:dyDescent="0.25">
      <c r="AL3658" s="31"/>
      <c r="AM3658" s="26"/>
      <c r="AN3658" s="32"/>
      <c r="AO3658" s="32"/>
      <c r="AP3658" s="24"/>
      <c r="AQ3658" s="24"/>
      <c r="AR3658" s="33"/>
      <c r="AS3658" s="34"/>
      <c r="AT3658" s="33"/>
      <c r="AV3658" s="21">
        <f>IF(AND($AL3658&lt;&gt;"",COUNTIF($AL$11:$AL3658,$AL3658)=1),1,0)</f>
        <v>0</v>
      </c>
      <c r="AW3658" s="21">
        <f t="shared" si="199"/>
        <v>0</v>
      </c>
      <c r="AX3658" s="21" t="str">
        <f t="shared" si="198"/>
        <v/>
      </c>
      <c r="AY3658" s="21" t="str">
        <f>IF(AND($AM3658&lt;&gt;"",$AS3658&lt;&gt;"✓"),SUMPRODUCT(($AM$11:$AM3658&lt;&gt;"")*($AS$11:$AS3658&lt;&gt;"✓")),"")</f>
        <v/>
      </c>
      <c r="AZ3658" s="21" t="str">
        <f>IF(AND($AM3658&lt;&gt;"",$AS3658="✓"),SUMPRODUCT(($AM$11:$AM3658&lt;&gt;"")*($AS$11:$AS3658="✓")),"")</f>
        <v/>
      </c>
      <c r="BA3658" s="21" t="str">
        <f>IF($AL3658="","",$AL3658&amp;"|"&amp;COUNTIF($AL$11:$AL3658,$AL3658))</f>
        <v/>
      </c>
    </row>
    <row r="3659" spans="38:53" ht="15" customHeight="1" x14ac:dyDescent="0.25">
      <c r="AL3659" s="17"/>
      <c r="AM3659" s="12"/>
      <c r="AN3659" s="18"/>
      <c r="AO3659" s="18"/>
      <c r="AP3659" s="10"/>
      <c r="AQ3659" s="10"/>
      <c r="AR3659" s="19"/>
      <c r="AS3659" s="20"/>
      <c r="AT3659" s="19"/>
      <c r="AV3659" s="21">
        <f>IF(AND($AL3659&lt;&gt;"",COUNTIF($AL$11:$AL3659,$AL3659)=1),1,0)</f>
        <v>0</v>
      </c>
      <c r="AW3659" s="21">
        <f t="shared" si="199"/>
        <v>0</v>
      </c>
      <c r="AX3659" s="21" t="str">
        <f t="shared" ref="AX3659:AX3722" si="200">IF(AV3659=1,AW3659,"")</f>
        <v/>
      </c>
      <c r="AY3659" s="21" t="str">
        <f>IF(AND($AM3659&lt;&gt;"",$AS3659&lt;&gt;"✓"),SUMPRODUCT(($AM$11:$AM3659&lt;&gt;"")*($AS$11:$AS3659&lt;&gt;"✓")),"")</f>
        <v/>
      </c>
      <c r="AZ3659" s="21" t="str">
        <f>IF(AND($AM3659&lt;&gt;"",$AS3659="✓"),SUMPRODUCT(($AM$11:$AM3659&lt;&gt;"")*($AS$11:$AS3659="✓")),"")</f>
        <v/>
      </c>
      <c r="BA3659" s="21" t="str">
        <f>IF($AL3659="","",$AL3659&amp;"|"&amp;COUNTIF($AL$11:$AL3659,$AL3659))</f>
        <v/>
      </c>
    </row>
    <row r="3660" spans="38:53" ht="15" customHeight="1" x14ac:dyDescent="0.25">
      <c r="AL3660" s="31"/>
      <c r="AM3660" s="26"/>
      <c r="AN3660" s="32"/>
      <c r="AO3660" s="32"/>
      <c r="AP3660" s="24"/>
      <c r="AQ3660" s="24"/>
      <c r="AR3660" s="33"/>
      <c r="AS3660" s="34"/>
      <c r="AT3660" s="33"/>
      <c r="AV3660" s="21">
        <f>IF(AND($AL3660&lt;&gt;"",COUNTIF($AL$11:$AL3660,$AL3660)=1),1,0)</f>
        <v>0</v>
      </c>
      <c r="AW3660" s="21">
        <f t="shared" ref="AW3660:AW3723" si="201">AW3659+AV3660</f>
        <v>0</v>
      </c>
      <c r="AX3660" s="21" t="str">
        <f t="shared" si="200"/>
        <v/>
      </c>
      <c r="AY3660" s="21" t="str">
        <f>IF(AND($AM3660&lt;&gt;"",$AS3660&lt;&gt;"✓"),SUMPRODUCT(($AM$11:$AM3660&lt;&gt;"")*($AS$11:$AS3660&lt;&gt;"✓")),"")</f>
        <v/>
      </c>
      <c r="AZ3660" s="21" t="str">
        <f>IF(AND($AM3660&lt;&gt;"",$AS3660="✓"),SUMPRODUCT(($AM$11:$AM3660&lt;&gt;"")*($AS$11:$AS3660="✓")),"")</f>
        <v/>
      </c>
      <c r="BA3660" s="21" t="str">
        <f>IF($AL3660="","",$AL3660&amp;"|"&amp;COUNTIF($AL$11:$AL3660,$AL3660))</f>
        <v/>
      </c>
    </row>
    <row r="3661" spans="38:53" ht="15" customHeight="1" x14ac:dyDescent="0.25">
      <c r="AL3661" s="17"/>
      <c r="AM3661" s="12"/>
      <c r="AN3661" s="18"/>
      <c r="AO3661" s="18"/>
      <c r="AP3661" s="10"/>
      <c r="AQ3661" s="10"/>
      <c r="AR3661" s="19"/>
      <c r="AS3661" s="20"/>
      <c r="AT3661" s="19"/>
      <c r="AV3661" s="21">
        <f>IF(AND($AL3661&lt;&gt;"",COUNTIF($AL$11:$AL3661,$AL3661)=1),1,0)</f>
        <v>0</v>
      </c>
      <c r="AW3661" s="21">
        <f t="shared" si="201"/>
        <v>0</v>
      </c>
      <c r="AX3661" s="21" t="str">
        <f t="shared" si="200"/>
        <v/>
      </c>
      <c r="AY3661" s="21" t="str">
        <f>IF(AND($AM3661&lt;&gt;"",$AS3661&lt;&gt;"✓"),SUMPRODUCT(($AM$11:$AM3661&lt;&gt;"")*($AS$11:$AS3661&lt;&gt;"✓")),"")</f>
        <v/>
      </c>
      <c r="AZ3661" s="21" t="str">
        <f>IF(AND($AM3661&lt;&gt;"",$AS3661="✓"),SUMPRODUCT(($AM$11:$AM3661&lt;&gt;"")*($AS$11:$AS3661="✓")),"")</f>
        <v/>
      </c>
      <c r="BA3661" s="21" t="str">
        <f>IF($AL3661="","",$AL3661&amp;"|"&amp;COUNTIF($AL$11:$AL3661,$AL3661))</f>
        <v/>
      </c>
    </row>
    <row r="3662" spans="38:53" ht="15" customHeight="1" x14ac:dyDescent="0.25">
      <c r="AL3662" s="31"/>
      <c r="AM3662" s="26"/>
      <c r="AN3662" s="32"/>
      <c r="AO3662" s="32"/>
      <c r="AP3662" s="24"/>
      <c r="AQ3662" s="24"/>
      <c r="AR3662" s="33"/>
      <c r="AS3662" s="34"/>
      <c r="AT3662" s="33"/>
      <c r="AV3662" s="21">
        <f>IF(AND($AL3662&lt;&gt;"",COUNTIF($AL$11:$AL3662,$AL3662)=1),1,0)</f>
        <v>0</v>
      </c>
      <c r="AW3662" s="21">
        <f t="shared" si="201"/>
        <v>0</v>
      </c>
      <c r="AX3662" s="21" t="str">
        <f t="shared" si="200"/>
        <v/>
      </c>
      <c r="AY3662" s="21" t="str">
        <f>IF(AND($AM3662&lt;&gt;"",$AS3662&lt;&gt;"✓"),SUMPRODUCT(($AM$11:$AM3662&lt;&gt;"")*($AS$11:$AS3662&lt;&gt;"✓")),"")</f>
        <v/>
      </c>
      <c r="AZ3662" s="21" t="str">
        <f>IF(AND($AM3662&lt;&gt;"",$AS3662="✓"),SUMPRODUCT(($AM$11:$AM3662&lt;&gt;"")*($AS$11:$AS3662="✓")),"")</f>
        <v/>
      </c>
      <c r="BA3662" s="21" t="str">
        <f>IF($AL3662="","",$AL3662&amp;"|"&amp;COUNTIF($AL$11:$AL3662,$AL3662))</f>
        <v/>
      </c>
    </row>
    <row r="3663" spans="38:53" ht="15" customHeight="1" x14ac:dyDescent="0.25">
      <c r="AL3663" s="17"/>
      <c r="AM3663" s="12"/>
      <c r="AN3663" s="18"/>
      <c r="AO3663" s="18"/>
      <c r="AP3663" s="10"/>
      <c r="AQ3663" s="10"/>
      <c r="AR3663" s="19"/>
      <c r="AS3663" s="20"/>
      <c r="AT3663" s="19"/>
      <c r="AV3663" s="21">
        <f>IF(AND($AL3663&lt;&gt;"",COUNTIF($AL$11:$AL3663,$AL3663)=1),1,0)</f>
        <v>0</v>
      </c>
      <c r="AW3663" s="21">
        <f t="shared" si="201"/>
        <v>0</v>
      </c>
      <c r="AX3663" s="21" t="str">
        <f t="shared" si="200"/>
        <v/>
      </c>
      <c r="AY3663" s="21" t="str">
        <f>IF(AND($AM3663&lt;&gt;"",$AS3663&lt;&gt;"✓"),SUMPRODUCT(($AM$11:$AM3663&lt;&gt;"")*($AS$11:$AS3663&lt;&gt;"✓")),"")</f>
        <v/>
      </c>
      <c r="AZ3663" s="21" t="str">
        <f>IF(AND($AM3663&lt;&gt;"",$AS3663="✓"),SUMPRODUCT(($AM$11:$AM3663&lt;&gt;"")*($AS$11:$AS3663="✓")),"")</f>
        <v/>
      </c>
      <c r="BA3663" s="21" t="str">
        <f>IF($AL3663="","",$AL3663&amp;"|"&amp;COUNTIF($AL$11:$AL3663,$AL3663))</f>
        <v/>
      </c>
    </row>
    <row r="3664" spans="38:53" ht="15" customHeight="1" x14ac:dyDescent="0.25">
      <c r="AL3664" s="31"/>
      <c r="AM3664" s="26"/>
      <c r="AN3664" s="32"/>
      <c r="AO3664" s="32"/>
      <c r="AP3664" s="24"/>
      <c r="AQ3664" s="24"/>
      <c r="AR3664" s="33"/>
      <c r="AS3664" s="34"/>
      <c r="AT3664" s="33"/>
      <c r="AV3664" s="21">
        <f>IF(AND($AL3664&lt;&gt;"",COUNTIF($AL$11:$AL3664,$AL3664)=1),1,0)</f>
        <v>0</v>
      </c>
      <c r="AW3664" s="21">
        <f t="shared" si="201"/>
        <v>0</v>
      </c>
      <c r="AX3664" s="21" t="str">
        <f t="shared" si="200"/>
        <v/>
      </c>
      <c r="AY3664" s="21" t="str">
        <f>IF(AND($AM3664&lt;&gt;"",$AS3664&lt;&gt;"✓"),SUMPRODUCT(($AM$11:$AM3664&lt;&gt;"")*($AS$11:$AS3664&lt;&gt;"✓")),"")</f>
        <v/>
      </c>
      <c r="AZ3664" s="21" t="str">
        <f>IF(AND($AM3664&lt;&gt;"",$AS3664="✓"),SUMPRODUCT(($AM$11:$AM3664&lt;&gt;"")*($AS$11:$AS3664="✓")),"")</f>
        <v/>
      </c>
      <c r="BA3664" s="21" t="str">
        <f>IF($AL3664="","",$AL3664&amp;"|"&amp;COUNTIF($AL$11:$AL3664,$AL3664))</f>
        <v/>
      </c>
    </row>
    <row r="3665" spans="38:53" ht="15" customHeight="1" x14ac:dyDescent="0.25">
      <c r="AL3665" s="17"/>
      <c r="AM3665" s="12"/>
      <c r="AN3665" s="18"/>
      <c r="AO3665" s="18"/>
      <c r="AP3665" s="10"/>
      <c r="AQ3665" s="10"/>
      <c r="AR3665" s="19"/>
      <c r="AS3665" s="20"/>
      <c r="AT3665" s="19"/>
      <c r="AV3665" s="21">
        <f>IF(AND($AL3665&lt;&gt;"",COUNTIF($AL$11:$AL3665,$AL3665)=1),1,0)</f>
        <v>0</v>
      </c>
      <c r="AW3665" s="21">
        <f t="shared" si="201"/>
        <v>0</v>
      </c>
      <c r="AX3665" s="21" t="str">
        <f t="shared" si="200"/>
        <v/>
      </c>
      <c r="AY3665" s="21" t="str">
        <f>IF(AND($AM3665&lt;&gt;"",$AS3665&lt;&gt;"✓"),SUMPRODUCT(($AM$11:$AM3665&lt;&gt;"")*($AS$11:$AS3665&lt;&gt;"✓")),"")</f>
        <v/>
      </c>
      <c r="AZ3665" s="21" t="str">
        <f>IF(AND($AM3665&lt;&gt;"",$AS3665="✓"),SUMPRODUCT(($AM$11:$AM3665&lt;&gt;"")*($AS$11:$AS3665="✓")),"")</f>
        <v/>
      </c>
      <c r="BA3665" s="21" t="str">
        <f>IF($AL3665="","",$AL3665&amp;"|"&amp;COUNTIF($AL$11:$AL3665,$AL3665))</f>
        <v/>
      </c>
    </row>
    <row r="3666" spans="38:53" ht="15" customHeight="1" x14ac:dyDescent="0.25">
      <c r="AL3666" s="31"/>
      <c r="AM3666" s="26"/>
      <c r="AN3666" s="32"/>
      <c r="AO3666" s="32"/>
      <c r="AP3666" s="24"/>
      <c r="AQ3666" s="24"/>
      <c r="AR3666" s="33"/>
      <c r="AS3666" s="34"/>
      <c r="AT3666" s="33"/>
      <c r="AV3666" s="21">
        <f>IF(AND($AL3666&lt;&gt;"",COUNTIF($AL$11:$AL3666,$AL3666)=1),1,0)</f>
        <v>0</v>
      </c>
      <c r="AW3666" s="21">
        <f t="shared" si="201"/>
        <v>0</v>
      </c>
      <c r="AX3666" s="21" t="str">
        <f t="shared" si="200"/>
        <v/>
      </c>
      <c r="AY3666" s="21" t="str">
        <f>IF(AND($AM3666&lt;&gt;"",$AS3666&lt;&gt;"✓"),SUMPRODUCT(($AM$11:$AM3666&lt;&gt;"")*($AS$11:$AS3666&lt;&gt;"✓")),"")</f>
        <v/>
      </c>
      <c r="AZ3666" s="21" t="str">
        <f>IF(AND($AM3666&lt;&gt;"",$AS3666="✓"),SUMPRODUCT(($AM$11:$AM3666&lt;&gt;"")*($AS$11:$AS3666="✓")),"")</f>
        <v/>
      </c>
      <c r="BA3666" s="21" t="str">
        <f>IF($AL3666="","",$AL3666&amp;"|"&amp;COUNTIF($AL$11:$AL3666,$AL3666))</f>
        <v/>
      </c>
    </row>
    <row r="3667" spans="38:53" ht="15" customHeight="1" x14ac:dyDescent="0.25">
      <c r="AL3667" s="17"/>
      <c r="AM3667" s="12"/>
      <c r="AN3667" s="18"/>
      <c r="AO3667" s="18"/>
      <c r="AP3667" s="10"/>
      <c r="AQ3667" s="10"/>
      <c r="AR3667" s="19"/>
      <c r="AS3667" s="20"/>
      <c r="AT3667" s="19"/>
      <c r="AV3667" s="21">
        <f>IF(AND($AL3667&lt;&gt;"",COUNTIF($AL$11:$AL3667,$AL3667)=1),1,0)</f>
        <v>0</v>
      </c>
      <c r="AW3667" s="21">
        <f t="shared" si="201"/>
        <v>0</v>
      </c>
      <c r="AX3667" s="21" t="str">
        <f t="shared" si="200"/>
        <v/>
      </c>
      <c r="AY3667" s="21" t="str">
        <f>IF(AND($AM3667&lt;&gt;"",$AS3667&lt;&gt;"✓"),SUMPRODUCT(($AM$11:$AM3667&lt;&gt;"")*($AS$11:$AS3667&lt;&gt;"✓")),"")</f>
        <v/>
      </c>
      <c r="AZ3667" s="21" t="str">
        <f>IF(AND($AM3667&lt;&gt;"",$AS3667="✓"),SUMPRODUCT(($AM$11:$AM3667&lt;&gt;"")*($AS$11:$AS3667="✓")),"")</f>
        <v/>
      </c>
      <c r="BA3667" s="21" t="str">
        <f>IF($AL3667="","",$AL3667&amp;"|"&amp;COUNTIF($AL$11:$AL3667,$AL3667))</f>
        <v/>
      </c>
    </row>
    <row r="3668" spans="38:53" ht="15" customHeight="1" x14ac:dyDescent="0.25">
      <c r="AL3668" s="31"/>
      <c r="AM3668" s="26"/>
      <c r="AN3668" s="32"/>
      <c r="AO3668" s="32"/>
      <c r="AP3668" s="24"/>
      <c r="AQ3668" s="24"/>
      <c r="AR3668" s="33"/>
      <c r="AS3668" s="34"/>
      <c r="AT3668" s="33"/>
      <c r="AV3668" s="21">
        <f>IF(AND($AL3668&lt;&gt;"",COUNTIF($AL$11:$AL3668,$AL3668)=1),1,0)</f>
        <v>0</v>
      </c>
      <c r="AW3668" s="21">
        <f t="shared" si="201"/>
        <v>0</v>
      </c>
      <c r="AX3668" s="21" t="str">
        <f t="shared" si="200"/>
        <v/>
      </c>
      <c r="AY3668" s="21" t="str">
        <f>IF(AND($AM3668&lt;&gt;"",$AS3668&lt;&gt;"✓"),SUMPRODUCT(($AM$11:$AM3668&lt;&gt;"")*($AS$11:$AS3668&lt;&gt;"✓")),"")</f>
        <v/>
      </c>
      <c r="AZ3668" s="21" t="str">
        <f>IF(AND($AM3668&lt;&gt;"",$AS3668="✓"),SUMPRODUCT(($AM$11:$AM3668&lt;&gt;"")*($AS$11:$AS3668="✓")),"")</f>
        <v/>
      </c>
      <c r="BA3668" s="21" t="str">
        <f>IF($AL3668="","",$AL3668&amp;"|"&amp;COUNTIF($AL$11:$AL3668,$AL3668))</f>
        <v/>
      </c>
    </row>
    <row r="3669" spans="38:53" ht="15" customHeight="1" x14ac:dyDescent="0.25">
      <c r="AL3669" s="17"/>
      <c r="AM3669" s="12"/>
      <c r="AN3669" s="18"/>
      <c r="AO3669" s="18"/>
      <c r="AP3669" s="10"/>
      <c r="AQ3669" s="10"/>
      <c r="AR3669" s="19"/>
      <c r="AS3669" s="20"/>
      <c r="AT3669" s="19"/>
      <c r="AV3669" s="21">
        <f>IF(AND($AL3669&lt;&gt;"",COUNTIF($AL$11:$AL3669,$AL3669)=1),1,0)</f>
        <v>0</v>
      </c>
      <c r="AW3669" s="21">
        <f t="shared" si="201"/>
        <v>0</v>
      </c>
      <c r="AX3669" s="21" t="str">
        <f t="shared" si="200"/>
        <v/>
      </c>
      <c r="AY3669" s="21" t="str">
        <f>IF(AND($AM3669&lt;&gt;"",$AS3669&lt;&gt;"✓"),SUMPRODUCT(($AM$11:$AM3669&lt;&gt;"")*($AS$11:$AS3669&lt;&gt;"✓")),"")</f>
        <v/>
      </c>
      <c r="AZ3669" s="21" t="str">
        <f>IF(AND($AM3669&lt;&gt;"",$AS3669="✓"),SUMPRODUCT(($AM$11:$AM3669&lt;&gt;"")*($AS$11:$AS3669="✓")),"")</f>
        <v/>
      </c>
      <c r="BA3669" s="21" t="str">
        <f>IF($AL3669="","",$AL3669&amp;"|"&amp;COUNTIF($AL$11:$AL3669,$AL3669))</f>
        <v/>
      </c>
    </row>
    <row r="3670" spans="38:53" ht="15" customHeight="1" x14ac:dyDescent="0.25">
      <c r="AL3670" s="31"/>
      <c r="AM3670" s="26"/>
      <c r="AN3670" s="32"/>
      <c r="AO3670" s="32"/>
      <c r="AP3670" s="24"/>
      <c r="AQ3670" s="24"/>
      <c r="AR3670" s="33"/>
      <c r="AS3670" s="34"/>
      <c r="AT3670" s="33"/>
      <c r="AV3670" s="21">
        <f>IF(AND($AL3670&lt;&gt;"",COUNTIF($AL$11:$AL3670,$AL3670)=1),1,0)</f>
        <v>0</v>
      </c>
      <c r="AW3670" s="21">
        <f t="shared" si="201"/>
        <v>0</v>
      </c>
      <c r="AX3670" s="21" t="str">
        <f t="shared" si="200"/>
        <v/>
      </c>
      <c r="AY3670" s="21" t="str">
        <f>IF(AND($AM3670&lt;&gt;"",$AS3670&lt;&gt;"✓"),SUMPRODUCT(($AM$11:$AM3670&lt;&gt;"")*($AS$11:$AS3670&lt;&gt;"✓")),"")</f>
        <v/>
      </c>
      <c r="AZ3670" s="21" t="str">
        <f>IF(AND($AM3670&lt;&gt;"",$AS3670="✓"),SUMPRODUCT(($AM$11:$AM3670&lt;&gt;"")*($AS$11:$AS3670="✓")),"")</f>
        <v/>
      </c>
      <c r="BA3670" s="21" t="str">
        <f>IF($AL3670="","",$AL3670&amp;"|"&amp;COUNTIF($AL$11:$AL3670,$AL3670))</f>
        <v/>
      </c>
    </row>
    <row r="3671" spans="38:53" ht="15" customHeight="1" x14ac:dyDescent="0.25">
      <c r="AL3671" s="17"/>
      <c r="AM3671" s="12"/>
      <c r="AN3671" s="18"/>
      <c r="AO3671" s="18"/>
      <c r="AP3671" s="10"/>
      <c r="AQ3671" s="10"/>
      <c r="AR3671" s="19"/>
      <c r="AS3671" s="20"/>
      <c r="AT3671" s="19"/>
      <c r="AV3671" s="21">
        <f>IF(AND($AL3671&lt;&gt;"",COUNTIF($AL$11:$AL3671,$AL3671)=1),1,0)</f>
        <v>0</v>
      </c>
      <c r="AW3671" s="21">
        <f t="shared" si="201"/>
        <v>0</v>
      </c>
      <c r="AX3671" s="21" t="str">
        <f t="shared" si="200"/>
        <v/>
      </c>
      <c r="AY3671" s="21" t="str">
        <f>IF(AND($AM3671&lt;&gt;"",$AS3671&lt;&gt;"✓"),SUMPRODUCT(($AM$11:$AM3671&lt;&gt;"")*($AS$11:$AS3671&lt;&gt;"✓")),"")</f>
        <v/>
      </c>
      <c r="AZ3671" s="21" t="str">
        <f>IF(AND($AM3671&lt;&gt;"",$AS3671="✓"),SUMPRODUCT(($AM$11:$AM3671&lt;&gt;"")*($AS$11:$AS3671="✓")),"")</f>
        <v/>
      </c>
      <c r="BA3671" s="21" t="str">
        <f>IF($AL3671="","",$AL3671&amp;"|"&amp;COUNTIF($AL$11:$AL3671,$AL3671))</f>
        <v/>
      </c>
    </row>
    <row r="3672" spans="38:53" ht="15" customHeight="1" x14ac:dyDescent="0.25">
      <c r="AL3672" s="31"/>
      <c r="AM3672" s="26"/>
      <c r="AN3672" s="32"/>
      <c r="AO3672" s="32"/>
      <c r="AP3672" s="24"/>
      <c r="AQ3672" s="24"/>
      <c r="AR3672" s="33"/>
      <c r="AS3672" s="34"/>
      <c r="AT3672" s="33"/>
      <c r="AV3672" s="21">
        <f>IF(AND($AL3672&lt;&gt;"",COUNTIF($AL$11:$AL3672,$AL3672)=1),1,0)</f>
        <v>0</v>
      </c>
      <c r="AW3672" s="21">
        <f t="shared" si="201"/>
        <v>0</v>
      </c>
      <c r="AX3672" s="21" t="str">
        <f t="shared" si="200"/>
        <v/>
      </c>
      <c r="AY3672" s="21" t="str">
        <f>IF(AND($AM3672&lt;&gt;"",$AS3672&lt;&gt;"✓"),SUMPRODUCT(($AM$11:$AM3672&lt;&gt;"")*($AS$11:$AS3672&lt;&gt;"✓")),"")</f>
        <v/>
      </c>
      <c r="AZ3672" s="21" t="str">
        <f>IF(AND($AM3672&lt;&gt;"",$AS3672="✓"),SUMPRODUCT(($AM$11:$AM3672&lt;&gt;"")*($AS$11:$AS3672="✓")),"")</f>
        <v/>
      </c>
      <c r="BA3672" s="21" t="str">
        <f>IF($AL3672="","",$AL3672&amp;"|"&amp;COUNTIF($AL$11:$AL3672,$AL3672))</f>
        <v/>
      </c>
    </row>
    <row r="3673" spans="38:53" ht="15" customHeight="1" x14ac:dyDescent="0.25">
      <c r="AL3673" s="17"/>
      <c r="AM3673" s="12"/>
      <c r="AN3673" s="18"/>
      <c r="AO3673" s="18"/>
      <c r="AP3673" s="10"/>
      <c r="AQ3673" s="10"/>
      <c r="AR3673" s="19"/>
      <c r="AS3673" s="20"/>
      <c r="AT3673" s="19"/>
      <c r="AV3673" s="21">
        <f>IF(AND($AL3673&lt;&gt;"",COUNTIF($AL$11:$AL3673,$AL3673)=1),1,0)</f>
        <v>0</v>
      </c>
      <c r="AW3673" s="21">
        <f t="shared" si="201"/>
        <v>0</v>
      </c>
      <c r="AX3673" s="21" t="str">
        <f t="shared" si="200"/>
        <v/>
      </c>
      <c r="AY3673" s="21" t="str">
        <f>IF(AND($AM3673&lt;&gt;"",$AS3673&lt;&gt;"✓"),SUMPRODUCT(($AM$11:$AM3673&lt;&gt;"")*($AS$11:$AS3673&lt;&gt;"✓")),"")</f>
        <v/>
      </c>
      <c r="AZ3673" s="21" t="str">
        <f>IF(AND($AM3673&lt;&gt;"",$AS3673="✓"),SUMPRODUCT(($AM$11:$AM3673&lt;&gt;"")*($AS$11:$AS3673="✓")),"")</f>
        <v/>
      </c>
      <c r="BA3673" s="21" t="str">
        <f>IF($AL3673="","",$AL3673&amp;"|"&amp;COUNTIF($AL$11:$AL3673,$AL3673))</f>
        <v/>
      </c>
    </row>
    <row r="3674" spans="38:53" ht="15" customHeight="1" x14ac:dyDescent="0.25">
      <c r="AL3674" s="31"/>
      <c r="AM3674" s="26"/>
      <c r="AN3674" s="32"/>
      <c r="AO3674" s="32"/>
      <c r="AP3674" s="24"/>
      <c r="AQ3674" s="24"/>
      <c r="AR3674" s="33"/>
      <c r="AS3674" s="34"/>
      <c r="AT3674" s="33"/>
      <c r="AV3674" s="21">
        <f>IF(AND($AL3674&lt;&gt;"",COUNTIF($AL$11:$AL3674,$AL3674)=1),1,0)</f>
        <v>0</v>
      </c>
      <c r="AW3674" s="21">
        <f t="shared" si="201"/>
        <v>0</v>
      </c>
      <c r="AX3674" s="21" t="str">
        <f t="shared" si="200"/>
        <v/>
      </c>
      <c r="AY3674" s="21" t="str">
        <f>IF(AND($AM3674&lt;&gt;"",$AS3674&lt;&gt;"✓"),SUMPRODUCT(($AM$11:$AM3674&lt;&gt;"")*($AS$11:$AS3674&lt;&gt;"✓")),"")</f>
        <v/>
      </c>
      <c r="AZ3674" s="21" t="str">
        <f>IF(AND($AM3674&lt;&gt;"",$AS3674="✓"),SUMPRODUCT(($AM$11:$AM3674&lt;&gt;"")*($AS$11:$AS3674="✓")),"")</f>
        <v/>
      </c>
      <c r="BA3674" s="21" t="str">
        <f>IF($AL3674="","",$AL3674&amp;"|"&amp;COUNTIF($AL$11:$AL3674,$AL3674))</f>
        <v/>
      </c>
    </row>
    <row r="3675" spans="38:53" ht="15" customHeight="1" x14ac:dyDescent="0.25">
      <c r="AL3675" s="17"/>
      <c r="AM3675" s="12"/>
      <c r="AN3675" s="18"/>
      <c r="AO3675" s="18"/>
      <c r="AP3675" s="10"/>
      <c r="AQ3675" s="10"/>
      <c r="AR3675" s="19"/>
      <c r="AS3675" s="20"/>
      <c r="AT3675" s="19"/>
      <c r="AV3675" s="21">
        <f>IF(AND($AL3675&lt;&gt;"",COUNTIF($AL$11:$AL3675,$AL3675)=1),1,0)</f>
        <v>0</v>
      </c>
      <c r="AW3675" s="21">
        <f t="shared" si="201"/>
        <v>0</v>
      </c>
      <c r="AX3675" s="21" t="str">
        <f t="shared" si="200"/>
        <v/>
      </c>
      <c r="AY3675" s="21" t="str">
        <f>IF(AND($AM3675&lt;&gt;"",$AS3675&lt;&gt;"✓"),SUMPRODUCT(($AM$11:$AM3675&lt;&gt;"")*($AS$11:$AS3675&lt;&gt;"✓")),"")</f>
        <v/>
      </c>
      <c r="AZ3675" s="21" t="str">
        <f>IF(AND($AM3675&lt;&gt;"",$AS3675="✓"),SUMPRODUCT(($AM$11:$AM3675&lt;&gt;"")*($AS$11:$AS3675="✓")),"")</f>
        <v/>
      </c>
      <c r="BA3675" s="21" t="str">
        <f>IF($AL3675="","",$AL3675&amp;"|"&amp;COUNTIF($AL$11:$AL3675,$AL3675))</f>
        <v/>
      </c>
    </row>
    <row r="3676" spans="38:53" ht="15" customHeight="1" x14ac:dyDescent="0.25">
      <c r="AL3676" s="31"/>
      <c r="AM3676" s="26"/>
      <c r="AN3676" s="32"/>
      <c r="AO3676" s="32"/>
      <c r="AP3676" s="24"/>
      <c r="AQ3676" s="24"/>
      <c r="AR3676" s="33"/>
      <c r="AS3676" s="34"/>
      <c r="AT3676" s="33"/>
      <c r="AV3676" s="21">
        <f>IF(AND($AL3676&lt;&gt;"",COUNTIF($AL$11:$AL3676,$AL3676)=1),1,0)</f>
        <v>0</v>
      </c>
      <c r="AW3676" s="21">
        <f t="shared" si="201"/>
        <v>0</v>
      </c>
      <c r="AX3676" s="21" t="str">
        <f t="shared" si="200"/>
        <v/>
      </c>
      <c r="AY3676" s="21" t="str">
        <f>IF(AND($AM3676&lt;&gt;"",$AS3676&lt;&gt;"✓"),SUMPRODUCT(($AM$11:$AM3676&lt;&gt;"")*($AS$11:$AS3676&lt;&gt;"✓")),"")</f>
        <v/>
      </c>
      <c r="AZ3676" s="21" t="str">
        <f>IF(AND($AM3676&lt;&gt;"",$AS3676="✓"),SUMPRODUCT(($AM$11:$AM3676&lt;&gt;"")*($AS$11:$AS3676="✓")),"")</f>
        <v/>
      </c>
      <c r="BA3676" s="21" t="str">
        <f>IF($AL3676="","",$AL3676&amp;"|"&amp;COUNTIF($AL$11:$AL3676,$AL3676))</f>
        <v/>
      </c>
    </row>
    <row r="3677" spans="38:53" ht="15" customHeight="1" x14ac:dyDescent="0.25">
      <c r="AL3677" s="17"/>
      <c r="AM3677" s="12"/>
      <c r="AN3677" s="18"/>
      <c r="AO3677" s="18"/>
      <c r="AP3677" s="10"/>
      <c r="AQ3677" s="10"/>
      <c r="AR3677" s="19"/>
      <c r="AS3677" s="20"/>
      <c r="AT3677" s="19"/>
      <c r="AV3677" s="21">
        <f>IF(AND($AL3677&lt;&gt;"",COUNTIF($AL$11:$AL3677,$AL3677)=1),1,0)</f>
        <v>0</v>
      </c>
      <c r="AW3677" s="21">
        <f t="shared" si="201"/>
        <v>0</v>
      </c>
      <c r="AX3677" s="21" t="str">
        <f t="shared" si="200"/>
        <v/>
      </c>
      <c r="AY3677" s="21" t="str">
        <f>IF(AND($AM3677&lt;&gt;"",$AS3677&lt;&gt;"✓"),SUMPRODUCT(($AM$11:$AM3677&lt;&gt;"")*($AS$11:$AS3677&lt;&gt;"✓")),"")</f>
        <v/>
      </c>
      <c r="AZ3677" s="21" t="str">
        <f>IF(AND($AM3677&lt;&gt;"",$AS3677="✓"),SUMPRODUCT(($AM$11:$AM3677&lt;&gt;"")*($AS$11:$AS3677="✓")),"")</f>
        <v/>
      </c>
      <c r="BA3677" s="21" t="str">
        <f>IF($AL3677="","",$AL3677&amp;"|"&amp;COUNTIF($AL$11:$AL3677,$AL3677))</f>
        <v/>
      </c>
    </row>
    <row r="3678" spans="38:53" ht="15" customHeight="1" x14ac:dyDescent="0.25">
      <c r="AL3678" s="31"/>
      <c r="AM3678" s="26"/>
      <c r="AN3678" s="32"/>
      <c r="AO3678" s="32"/>
      <c r="AP3678" s="24"/>
      <c r="AQ3678" s="24"/>
      <c r="AR3678" s="33"/>
      <c r="AS3678" s="34"/>
      <c r="AT3678" s="33"/>
      <c r="AV3678" s="21">
        <f>IF(AND($AL3678&lt;&gt;"",COUNTIF($AL$11:$AL3678,$AL3678)=1),1,0)</f>
        <v>0</v>
      </c>
      <c r="AW3678" s="21">
        <f t="shared" si="201"/>
        <v>0</v>
      </c>
      <c r="AX3678" s="21" t="str">
        <f t="shared" si="200"/>
        <v/>
      </c>
      <c r="AY3678" s="21" t="str">
        <f>IF(AND($AM3678&lt;&gt;"",$AS3678&lt;&gt;"✓"),SUMPRODUCT(($AM$11:$AM3678&lt;&gt;"")*($AS$11:$AS3678&lt;&gt;"✓")),"")</f>
        <v/>
      </c>
      <c r="AZ3678" s="21" t="str">
        <f>IF(AND($AM3678&lt;&gt;"",$AS3678="✓"),SUMPRODUCT(($AM$11:$AM3678&lt;&gt;"")*($AS$11:$AS3678="✓")),"")</f>
        <v/>
      </c>
      <c r="BA3678" s="21" t="str">
        <f>IF($AL3678="","",$AL3678&amp;"|"&amp;COUNTIF($AL$11:$AL3678,$AL3678))</f>
        <v/>
      </c>
    </row>
    <row r="3679" spans="38:53" ht="15" customHeight="1" x14ac:dyDescent="0.25">
      <c r="AL3679" s="17"/>
      <c r="AM3679" s="12"/>
      <c r="AN3679" s="18"/>
      <c r="AO3679" s="18"/>
      <c r="AP3679" s="10"/>
      <c r="AQ3679" s="10"/>
      <c r="AR3679" s="19"/>
      <c r="AS3679" s="20"/>
      <c r="AT3679" s="19"/>
      <c r="AV3679" s="21">
        <f>IF(AND($AL3679&lt;&gt;"",COUNTIF($AL$11:$AL3679,$AL3679)=1),1,0)</f>
        <v>0</v>
      </c>
      <c r="AW3679" s="21">
        <f t="shared" si="201"/>
        <v>0</v>
      </c>
      <c r="AX3679" s="21" t="str">
        <f t="shared" si="200"/>
        <v/>
      </c>
      <c r="AY3679" s="21" t="str">
        <f>IF(AND($AM3679&lt;&gt;"",$AS3679&lt;&gt;"✓"),SUMPRODUCT(($AM$11:$AM3679&lt;&gt;"")*($AS$11:$AS3679&lt;&gt;"✓")),"")</f>
        <v/>
      </c>
      <c r="AZ3679" s="21" t="str">
        <f>IF(AND($AM3679&lt;&gt;"",$AS3679="✓"),SUMPRODUCT(($AM$11:$AM3679&lt;&gt;"")*($AS$11:$AS3679="✓")),"")</f>
        <v/>
      </c>
      <c r="BA3679" s="21" t="str">
        <f>IF($AL3679="","",$AL3679&amp;"|"&amp;COUNTIF($AL$11:$AL3679,$AL3679))</f>
        <v/>
      </c>
    </row>
    <row r="3680" spans="38:53" ht="15" customHeight="1" x14ac:dyDescent="0.25">
      <c r="AL3680" s="31"/>
      <c r="AM3680" s="26"/>
      <c r="AN3680" s="32"/>
      <c r="AO3680" s="32"/>
      <c r="AP3680" s="24"/>
      <c r="AQ3680" s="24"/>
      <c r="AR3680" s="33"/>
      <c r="AS3680" s="34"/>
      <c r="AT3680" s="33"/>
      <c r="AV3680" s="21">
        <f>IF(AND($AL3680&lt;&gt;"",COUNTIF($AL$11:$AL3680,$AL3680)=1),1,0)</f>
        <v>0</v>
      </c>
      <c r="AW3680" s="21">
        <f t="shared" si="201"/>
        <v>0</v>
      </c>
      <c r="AX3680" s="21" t="str">
        <f t="shared" si="200"/>
        <v/>
      </c>
      <c r="AY3680" s="21" t="str">
        <f>IF(AND($AM3680&lt;&gt;"",$AS3680&lt;&gt;"✓"),SUMPRODUCT(($AM$11:$AM3680&lt;&gt;"")*($AS$11:$AS3680&lt;&gt;"✓")),"")</f>
        <v/>
      </c>
      <c r="AZ3680" s="21" t="str">
        <f>IF(AND($AM3680&lt;&gt;"",$AS3680="✓"),SUMPRODUCT(($AM$11:$AM3680&lt;&gt;"")*($AS$11:$AS3680="✓")),"")</f>
        <v/>
      </c>
      <c r="BA3680" s="21" t="str">
        <f>IF($AL3680="","",$AL3680&amp;"|"&amp;COUNTIF($AL$11:$AL3680,$AL3680))</f>
        <v/>
      </c>
    </row>
    <row r="3681" spans="38:53" ht="15" customHeight="1" x14ac:dyDescent="0.25">
      <c r="AL3681" s="17"/>
      <c r="AM3681" s="12"/>
      <c r="AN3681" s="18"/>
      <c r="AO3681" s="18"/>
      <c r="AP3681" s="10"/>
      <c r="AQ3681" s="10"/>
      <c r="AR3681" s="19"/>
      <c r="AS3681" s="20"/>
      <c r="AT3681" s="19"/>
      <c r="AV3681" s="21">
        <f>IF(AND($AL3681&lt;&gt;"",COUNTIF($AL$11:$AL3681,$AL3681)=1),1,0)</f>
        <v>0</v>
      </c>
      <c r="AW3681" s="21">
        <f t="shared" si="201"/>
        <v>0</v>
      </c>
      <c r="AX3681" s="21" t="str">
        <f t="shared" si="200"/>
        <v/>
      </c>
      <c r="AY3681" s="21" t="str">
        <f>IF(AND($AM3681&lt;&gt;"",$AS3681&lt;&gt;"✓"),SUMPRODUCT(($AM$11:$AM3681&lt;&gt;"")*($AS$11:$AS3681&lt;&gt;"✓")),"")</f>
        <v/>
      </c>
      <c r="AZ3681" s="21" t="str">
        <f>IF(AND($AM3681&lt;&gt;"",$AS3681="✓"),SUMPRODUCT(($AM$11:$AM3681&lt;&gt;"")*($AS$11:$AS3681="✓")),"")</f>
        <v/>
      </c>
      <c r="BA3681" s="21" t="str">
        <f>IF($AL3681="","",$AL3681&amp;"|"&amp;COUNTIF($AL$11:$AL3681,$AL3681))</f>
        <v/>
      </c>
    </row>
    <row r="3682" spans="38:53" ht="15" customHeight="1" x14ac:dyDescent="0.25">
      <c r="AL3682" s="31"/>
      <c r="AM3682" s="26"/>
      <c r="AN3682" s="32"/>
      <c r="AO3682" s="32"/>
      <c r="AP3682" s="24"/>
      <c r="AQ3682" s="24"/>
      <c r="AR3682" s="33"/>
      <c r="AS3682" s="34"/>
      <c r="AT3682" s="33"/>
      <c r="AV3682" s="21">
        <f>IF(AND($AL3682&lt;&gt;"",COUNTIF($AL$11:$AL3682,$AL3682)=1),1,0)</f>
        <v>0</v>
      </c>
      <c r="AW3682" s="21">
        <f t="shared" si="201"/>
        <v>0</v>
      </c>
      <c r="AX3682" s="21" t="str">
        <f t="shared" si="200"/>
        <v/>
      </c>
      <c r="AY3682" s="21" t="str">
        <f>IF(AND($AM3682&lt;&gt;"",$AS3682&lt;&gt;"✓"),SUMPRODUCT(($AM$11:$AM3682&lt;&gt;"")*($AS$11:$AS3682&lt;&gt;"✓")),"")</f>
        <v/>
      </c>
      <c r="AZ3682" s="21" t="str">
        <f>IF(AND($AM3682&lt;&gt;"",$AS3682="✓"),SUMPRODUCT(($AM$11:$AM3682&lt;&gt;"")*($AS$11:$AS3682="✓")),"")</f>
        <v/>
      </c>
      <c r="BA3682" s="21" t="str">
        <f>IF($AL3682="","",$AL3682&amp;"|"&amp;COUNTIF($AL$11:$AL3682,$AL3682))</f>
        <v/>
      </c>
    </row>
    <row r="3683" spans="38:53" ht="15" customHeight="1" x14ac:dyDescent="0.25">
      <c r="AL3683" s="17"/>
      <c r="AM3683" s="12"/>
      <c r="AN3683" s="18"/>
      <c r="AO3683" s="18"/>
      <c r="AP3683" s="10"/>
      <c r="AQ3683" s="10"/>
      <c r="AR3683" s="19"/>
      <c r="AS3683" s="20"/>
      <c r="AT3683" s="19"/>
      <c r="AV3683" s="21">
        <f>IF(AND($AL3683&lt;&gt;"",COUNTIF($AL$11:$AL3683,$AL3683)=1),1,0)</f>
        <v>0</v>
      </c>
      <c r="AW3683" s="21">
        <f t="shared" si="201"/>
        <v>0</v>
      </c>
      <c r="AX3683" s="21" t="str">
        <f t="shared" si="200"/>
        <v/>
      </c>
      <c r="AY3683" s="21" t="str">
        <f>IF(AND($AM3683&lt;&gt;"",$AS3683&lt;&gt;"✓"),SUMPRODUCT(($AM$11:$AM3683&lt;&gt;"")*($AS$11:$AS3683&lt;&gt;"✓")),"")</f>
        <v/>
      </c>
      <c r="AZ3683" s="21" t="str">
        <f>IF(AND($AM3683&lt;&gt;"",$AS3683="✓"),SUMPRODUCT(($AM$11:$AM3683&lt;&gt;"")*($AS$11:$AS3683="✓")),"")</f>
        <v/>
      </c>
      <c r="BA3683" s="21" t="str">
        <f>IF($AL3683="","",$AL3683&amp;"|"&amp;COUNTIF($AL$11:$AL3683,$AL3683))</f>
        <v/>
      </c>
    </row>
    <row r="3684" spans="38:53" ht="15" customHeight="1" x14ac:dyDescent="0.25">
      <c r="AL3684" s="31"/>
      <c r="AM3684" s="26"/>
      <c r="AN3684" s="32"/>
      <c r="AO3684" s="32"/>
      <c r="AP3684" s="24"/>
      <c r="AQ3684" s="24"/>
      <c r="AR3684" s="33"/>
      <c r="AS3684" s="34"/>
      <c r="AT3684" s="33"/>
      <c r="AV3684" s="21">
        <f>IF(AND($AL3684&lt;&gt;"",COUNTIF($AL$11:$AL3684,$AL3684)=1),1,0)</f>
        <v>0</v>
      </c>
      <c r="AW3684" s="21">
        <f t="shared" si="201"/>
        <v>0</v>
      </c>
      <c r="AX3684" s="21" t="str">
        <f t="shared" si="200"/>
        <v/>
      </c>
      <c r="AY3684" s="21" t="str">
        <f>IF(AND($AM3684&lt;&gt;"",$AS3684&lt;&gt;"✓"),SUMPRODUCT(($AM$11:$AM3684&lt;&gt;"")*($AS$11:$AS3684&lt;&gt;"✓")),"")</f>
        <v/>
      </c>
      <c r="AZ3684" s="21" t="str">
        <f>IF(AND($AM3684&lt;&gt;"",$AS3684="✓"),SUMPRODUCT(($AM$11:$AM3684&lt;&gt;"")*($AS$11:$AS3684="✓")),"")</f>
        <v/>
      </c>
      <c r="BA3684" s="21" t="str">
        <f>IF($AL3684="","",$AL3684&amp;"|"&amp;COUNTIF($AL$11:$AL3684,$AL3684))</f>
        <v/>
      </c>
    </row>
    <row r="3685" spans="38:53" ht="15" customHeight="1" x14ac:dyDescent="0.25">
      <c r="AL3685" s="17"/>
      <c r="AM3685" s="12"/>
      <c r="AN3685" s="18"/>
      <c r="AO3685" s="18"/>
      <c r="AP3685" s="10"/>
      <c r="AQ3685" s="10"/>
      <c r="AR3685" s="19"/>
      <c r="AS3685" s="20"/>
      <c r="AT3685" s="19"/>
      <c r="AV3685" s="21">
        <f>IF(AND($AL3685&lt;&gt;"",COUNTIF($AL$11:$AL3685,$AL3685)=1),1,0)</f>
        <v>0</v>
      </c>
      <c r="AW3685" s="21">
        <f t="shared" si="201"/>
        <v>0</v>
      </c>
      <c r="AX3685" s="21" t="str">
        <f t="shared" si="200"/>
        <v/>
      </c>
      <c r="AY3685" s="21" t="str">
        <f>IF(AND($AM3685&lt;&gt;"",$AS3685&lt;&gt;"✓"),SUMPRODUCT(($AM$11:$AM3685&lt;&gt;"")*($AS$11:$AS3685&lt;&gt;"✓")),"")</f>
        <v/>
      </c>
      <c r="AZ3685" s="21" t="str">
        <f>IF(AND($AM3685&lt;&gt;"",$AS3685="✓"),SUMPRODUCT(($AM$11:$AM3685&lt;&gt;"")*($AS$11:$AS3685="✓")),"")</f>
        <v/>
      </c>
      <c r="BA3685" s="21" t="str">
        <f>IF($AL3685="","",$AL3685&amp;"|"&amp;COUNTIF($AL$11:$AL3685,$AL3685))</f>
        <v/>
      </c>
    </row>
    <row r="3686" spans="38:53" ht="15" customHeight="1" x14ac:dyDescent="0.25">
      <c r="AL3686" s="31"/>
      <c r="AM3686" s="26"/>
      <c r="AN3686" s="32"/>
      <c r="AO3686" s="32"/>
      <c r="AP3686" s="24"/>
      <c r="AQ3686" s="24"/>
      <c r="AR3686" s="33"/>
      <c r="AS3686" s="34"/>
      <c r="AT3686" s="33"/>
      <c r="AV3686" s="21">
        <f>IF(AND($AL3686&lt;&gt;"",COUNTIF($AL$11:$AL3686,$AL3686)=1),1,0)</f>
        <v>0</v>
      </c>
      <c r="AW3686" s="21">
        <f t="shared" si="201"/>
        <v>0</v>
      </c>
      <c r="AX3686" s="21" t="str">
        <f t="shared" si="200"/>
        <v/>
      </c>
      <c r="AY3686" s="21" t="str">
        <f>IF(AND($AM3686&lt;&gt;"",$AS3686&lt;&gt;"✓"),SUMPRODUCT(($AM$11:$AM3686&lt;&gt;"")*($AS$11:$AS3686&lt;&gt;"✓")),"")</f>
        <v/>
      </c>
      <c r="AZ3686" s="21" t="str">
        <f>IF(AND($AM3686&lt;&gt;"",$AS3686="✓"),SUMPRODUCT(($AM$11:$AM3686&lt;&gt;"")*($AS$11:$AS3686="✓")),"")</f>
        <v/>
      </c>
      <c r="BA3686" s="21" t="str">
        <f>IF($AL3686="","",$AL3686&amp;"|"&amp;COUNTIF($AL$11:$AL3686,$AL3686))</f>
        <v/>
      </c>
    </row>
    <row r="3687" spans="38:53" ht="15" customHeight="1" x14ac:dyDescent="0.25">
      <c r="AL3687" s="17"/>
      <c r="AM3687" s="12"/>
      <c r="AN3687" s="18"/>
      <c r="AO3687" s="18"/>
      <c r="AP3687" s="10"/>
      <c r="AQ3687" s="10"/>
      <c r="AR3687" s="19"/>
      <c r="AS3687" s="20"/>
      <c r="AT3687" s="19"/>
      <c r="AV3687" s="21">
        <f>IF(AND($AL3687&lt;&gt;"",COUNTIF($AL$11:$AL3687,$AL3687)=1),1,0)</f>
        <v>0</v>
      </c>
      <c r="AW3687" s="21">
        <f t="shared" si="201"/>
        <v>0</v>
      </c>
      <c r="AX3687" s="21" t="str">
        <f t="shared" si="200"/>
        <v/>
      </c>
      <c r="AY3687" s="21" t="str">
        <f>IF(AND($AM3687&lt;&gt;"",$AS3687&lt;&gt;"✓"),SUMPRODUCT(($AM$11:$AM3687&lt;&gt;"")*($AS$11:$AS3687&lt;&gt;"✓")),"")</f>
        <v/>
      </c>
      <c r="AZ3687" s="21" t="str">
        <f>IF(AND($AM3687&lt;&gt;"",$AS3687="✓"),SUMPRODUCT(($AM$11:$AM3687&lt;&gt;"")*($AS$11:$AS3687="✓")),"")</f>
        <v/>
      </c>
      <c r="BA3687" s="21" t="str">
        <f>IF($AL3687="","",$AL3687&amp;"|"&amp;COUNTIF($AL$11:$AL3687,$AL3687))</f>
        <v/>
      </c>
    </row>
    <row r="3688" spans="38:53" ht="15" customHeight="1" x14ac:dyDescent="0.25">
      <c r="AL3688" s="31"/>
      <c r="AM3688" s="26"/>
      <c r="AN3688" s="32"/>
      <c r="AO3688" s="32"/>
      <c r="AP3688" s="24"/>
      <c r="AQ3688" s="24"/>
      <c r="AR3688" s="33"/>
      <c r="AS3688" s="34"/>
      <c r="AT3688" s="33"/>
      <c r="AV3688" s="21">
        <f>IF(AND($AL3688&lt;&gt;"",COUNTIF($AL$11:$AL3688,$AL3688)=1),1,0)</f>
        <v>0</v>
      </c>
      <c r="AW3688" s="21">
        <f t="shared" si="201"/>
        <v>0</v>
      </c>
      <c r="AX3688" s="21" t="str">
        <f t="shared" si="200"/>
        <v/>
      </c>
      <c r="AY3688" s="21" t="str">
        <f>IF(AND($AM3688&lt;&gt;"",$AS3688&lt;&gt;"✓"),SUMPRODUCT(($AM$11:$AM3688&lt;&gt;"")*($AS$11:$AS3688&lt;&gt;"✓")),"")</f>
        <v/>
      </c>
      <c r="AZ3688" s="21" t="str">
        <f>IF(AND($AM3688&lt;&gt;"",$AS3688="✓"),SUMPRODUCT(($AM$11:$AM3688&lt;&gt;"")*($AS$11:$AS3688="✓")),"")</f>
        <v/>
      </c>
      <c r="BA3688" s="21" t="str">
        <f>IF($AL3688="","",$AL3688&amp;"|"&amp;COUNTIF($AL$11:$AL3688,$AL3688))</f>
        <v/>
      </c>
    </row>
    <row r="3689" spans="38:53" ht="15" customHeight="1" x14ac:dyDescent="0.25">
      <c r="AL3689" s="17"/>
      <c r="AM3689" s="12"/>
      <c r="AN3689" s="18"/>
      <c r="AO3689" s="18"/>
      <c r="AP3689" s="10"/>
      <c r="AQ3689" s="10"/>
      <c r="AR3689" s="19"/>
      <c r="AS3689" s="20"/>
      <c r="AT3689" s="19"/>
      <c r="AV3689" s="21">
        <f>IF(AND($AL3689&lt;&gt;"",COUNTIF($AL$11:$AL3689,$AL3689)=1),1,0)</f>
        <v>0</v>
      </c>
      <c r="AW3689" s="21">
        <f t="shared" si="201"/>
        <v>0</v>
      </c>
      <c r="AX3689" s="21" t="str">
        <f t="shared" si="200"/>
        <v/>
      </c>
      <c r="AY3689" s="21" t="str">
        <f>IF(AND($AM3689&lt;&gt;"",$AS3689&lt;&gt;"✓"),SUMPRODUCT(($AM$11:$AM3689&lt;&gt;"")*($AS$11:$AS3689&lt;&gt;"✓")),"")</f>
        <v/>
      </c>
      <c r="AZ3689" s="21" t="str">
        <f>IF(AND($AM3689&lt;&gt;"",$AS3689="✓"),SUMPRODUCT(($AM$11:$AM3689&lt;&gt;"")*($AS$11:$AS3689="✓")),"")</f>
        <v/>
      </c>
      <c r="BA3689" s="21" t="str">
        <f>IF($AL3689="","",$AL3689&amp;"|"&amp;COUNTIF($AL$11:$AL3689,$AL3689))</f>
        <v/>
      </c>
    </row>
    <row r="3690" spans="38:53" ht="15" customHeight="1" x14ac:dyDescent="0.25">
      <c r="AL3690" s="31"/>
      <c r="AM3690" s="26"/>
      <c r="AN3690" s="32"/>
      <c r="AO3690" s="32"/>
      <c r="AP3690" s="24"/>
      <c r="AQ3690" s="24"/>
      <c r="AR3690" s="33"/>
      <c r="AS3690" s="34"/>
      <c r="AT3690" s="33"/>
      <c r="AV3690" s="21">
        <f>IF(AND($AL3690&lt;&gt;"",COUNTIF($AL$11:$AL3690,$AL3690)=1),1,0)</f>
        <v>0</v>
      </c>
      <c r="AW3690" s="21">
        <f t="shared" si="201"/>
        <v>0</v>
      </c>
      <c r="AX3690" s="21" t="str">
        <f t="shared" si="200"/>
        <v/>
      </c>
      <c r="AY3690" s="21" t="str">
        <f>IF(AND($AM3690&lt;&gt;"",$AS3690&lt;&gt;"✓"),SUMPRODUCT(($AM$11:$AM3690&lt;&gt;"")*($AS$11:$AS3690&lt;&gt;"✓")),"")</f>
        <v/>
      </c>
      <c r="AZ3690" s="21" t="str">
        <f>IF(AND($AM3690&lt;&gt;"",$AS3690="✓"),SUMPRODUCT(($AM$11:$AM3690&lt;&gt;"")*($AS$11:$AS3690="✓")),"")</f>
        <v/>
      </c>
      <c r="BA3690" s="21" t="str">
        <f>IF($AL3690="","",$AL3690&amp;"|"&amp;COUNTIF($AL$11:$AL3690,$AL3690))</f>
        <v/>
      </c>
    </row>
    <row r="3691" spans="38:53" ht="15" customHeight="1" x14ac:dyDescent="0.25">
      <c r="AL3691" s="17"/>
      <c r="AM3691" s="12"/>
      <c r="AN3691" s="18"/>
      <c r="AO3691" s="18"/>
      <c r="AP3691" s="10"/>
      <c r="AQ3691" s="10"/>
      <c r="AR3691" s="19"/>
      <c r="AS3691" s="20"/>
      <c r="AT3691" s="19"/>
      <c r="AV3691" s="21">
        <f>IF(AND($AL3691&lt;&gt;"",COUNTIF($AL$11:$AL3691,$AL3691)=1),1,0)</f>
        <v>0</v>
      </c>
      <c r="AW3691" s="21">
        <f t="shared" si="201"/>
        <v>0</v>
      </c>
      <c r="AX3691" s="21" t="str">
        <f t="shared" si="200"/>
        <v/>
      </c>
      <c r="AY3691" s="21" t="str">
        <f>IF(AND($AM3691&lt;&gt;"",$AS3691&lt;&gt;"✓"),SUMPRODUCT(($AM$11:$AM3691&lt;&gt;"")*($AS$11:$AS3691&lt;&gt;"✓")),"")</f>
        <v/>
      </c>
      <c r="AZ3691" s="21" t="str">
        <f>IF(AND($AM3691&lt;&gt;"",$AS3691="✓"),SUMPRODUCT(($AM$11:$AM3691&lt;&gt;"")*($AS$11:$AS3691="✓")),"")</f>
        <v/>
      </c>
      <c r="BA3691" s="21" t="str">
        <f>IF($AL3691="","",$AL3691&amp;"|"&amp;COUNTIF($AL$11:$AL3691,$AL3691))</f>
        <v/>
      </c>
    </row>
    <row r="3692" spans="38:53" ht="15" customHeight="1" x14ac:dyDescent="0.25">
      <c r="AL3692" s="31"/>
      <c r="AM3692" s="26"/>
      <c r="AN3692" s="32"/>
      <c r="AO3692" s="32"/>
      <c r="AP3692" s="24"/>
      <c r="AQ3692" s="24"/>
      <c r="AR3692" s="33"/>
      <c r="AS3692" s="34"/>
      <c r="AT3692" s="33"/>
      <c r="AV3692" s="21">
        <f>IF(AND($AL3692&lt;&gt;"",COUNTIF($AL$11:$AL3692,$AL3692)=1),1,0)</f>
        <v>0</v>
      </c>
      <c r="AW3692" s="21">
        <f t="shared" si="201"/>
        <v>0</v>
      </c>
      <c r="AX3692" s="21" t="str">
        <f t="shared" si="200"/>
        <v/>
      </c>
      <c r="AY3692" s="21" t="str">
        <f>IF(AND($AM3692&lt;&gt;"",$AS3692&lt;&gt;"✓"),SUMPRODUCT(($AM$11:$AM3692&lt;&gt;"")*($AS$11:$AS3692&lt;&gt;"✓")),"")</f>
        <v/>
      </c>
      <c r="AZ3692" s="21" t="str">
        <f>IF(AND($AM3692&lt;&gt;"",$AS3692="✓"),SUMPRODUCT(($AM$11:$AM3692&lt;&gt;"")*($AS$11:$AS3692="✓")),"")</f>
        <v/>
      </c>
      <c r="BA3692" s="21" t="str">
        <f>IF($AL3692="","",$AL3692&amp;"|"&amp;COUNTIF($AL$11:$AL3692,$AL3692))</f>
        <v/>
      </c>
    </row>
    <row r="3693" spans="38:53" ht="15" customHeight="1" x14ac:dyDescent="0.25">
      <c r="AL3693" s="17"/>
      <c r="AM3693" s="12"/>
      <c r="AN3693" s="18"/>
      <c r="AO3693" s="18"/>
      <c r="AP3693" s="10"/>
      <c r="AQ3693" s="10"/>
      <c r="AR3693" s="19"/>
      <c r="AS3693" s="20"/>
      <c r="AT3693" s="19"/>
      <c r="AV3693" s="21">
        <f>IF(AND($AL3693&lt;&gt;"",COUNTIF($AL$11:$AL3693,$AL3693)=1),1,0)</f>
        <v>0</v>
      </c>
      <c r="AW3693" s="21">
        <f t="shared" si="201"/>
        <v>0</v>
      </c>
      <c r="AX3693" s="21" t="str">
        <f t="shared" si="200"/>
        <v/>
      </c>
      <c r="AY3693" s="21" t="str">
        <f>IF(AND($AM3693&lt;&gt;"",$AS3693&lt;&gt;"✓"),SUMPRODUCT(($AM$11:$AM3693&lt;&gt;"")*($AS$11:$AS3693&lt;&gt;"✓")),"")</f>
        <v/>
      </c>
      <c r="AZ3693" s="21" t="str">
        <f>IF(AND($AM3693&lt;&gt;"",$AS3693="✓"),SUMPRODUCT(($AM$11:$AM3693&lt;&gt;"")*($AS$11:$AS3693="✓")),"")</f>
        <v/>
      </c>
      <c r="BA3693" s="21" t="str">
        <f>IF($AL3693="","",$AL3693&amp;"|"&amp;COUNTIF($AL$11:$AL3693,$AL3693))</f>
        <v/>
      </c>
    </row>
    <row r="3694" spans="38:53" ht="15" customHeight="1" x14ac:dyDescent="0.25">
      <c r="AL3694" s="31"/>
      <c r="AM3694" s="26"/>
      <c r="AN3694" s="32"/>
      <c r="AO3694" s="32"/>
      <c r="AP3694" s="24"/>
      <c r="AQ3694" s="24"/>
      <c r="AR3694" s="33"/>
      <c r="AS3694" s="34"/>
      <c r="AT3694" s="33"/>
      <c r="AV3694" s="21">
        <f>IF(AND($AL3694&lt;&gt;"",COUNTIF($AL$11:$AL3694,$AL3694)=1),1,0)</f>
        <v>0</v>
      </c>
      <c r="AW3694" s="21">
        <f t="shared" si="201"/>
        <v>0</v>
      </c>
      <c r="AX3694" s="21" t="str">
        <f t="shared" si="200"/>
        <v/>
      </c>
      <c r="AY3694" s="21" t="str">
        <f>IF(AND($AM3694&lt;&gt;"",$AS3694&lt;&gt;"✓"),SUMPRODUCT(($AM$11:$AM3694&lt;&gt;"")*($AS$11:$AS3694&lt;&gt;"✓")),"")</f>
        <v/>
      </c>
      <c r="AZ3694" s="21" t="str">
        <f>IF(AND($AM3694&lt;&gt;"",$AS3694="✓"),SUMPRODUCT(($AM$11:$AM3694&lt;&gt;"")*($AS$11:$AS3694="✓")),"")</f>
        <v/>
      </c>
      <c r="BA3694" s="21" t="str">
        <f>IF($AL3694="","",$AL3694&amp;"|"&amp;COUNTIF($AL$11:$AL3694,$AL3694))</f>
        <v/>
      </c>
    </row>
    <row r="3695" spans="38:53" ht="15" customHeight="1" x14ac:dyDescent="0.25">
      <c r="AL3695" s="17"/>
      <c r="AM3695" s="12"/>
      <c r="AN3695" s="18"/>
      <c r="AO3695" s="18"/>
      <c r="AP3695" s="10"/>
      <c r="AQ3695" s="10"/>
      <c r="AR3695" s="19"/>
      <c r="AS3695" s="20"/>
      <c r="AT3695" s="19"/>
      <c r="AV3695" s="21">
        <f>IF(AND($AL3695&lt;&gt;"",COUNTIF($AL$11:$AL3695,$AL3695)=1),1,0)</f>
        <v>0</v>
      </c>
      <c r="AW3695" s="21">
        <f t="shared" si="201"/>
        <v>0</v>
      </c>
      <c r="AX3695" s="21" t="str">
        <f t="shared" si="200"/>
        <v/>
      </c>
      <c r="AY3695" s="21" t="str">
        <f>IF(AND($AM3695&lt;&gt;"",$AS3695&lt;&gt;"✓"),SUMPRODUCT(($AM$11:$AM3695&lt;&gt;"")*($AS$11:$AS3695&lt;&gt;"✓")),"")</f>
        <v/>
      </c>
      <c r="AZ3695" s="21" t="str">
        <f>IF(AND($AM3695&lt;&gt;"",$AS3695="✓"),SUMPRODUCT(($AM$11:$AM3695&lt;&gt;"")*($AS$11:$AS3695="✓")),"")</f>
        <v/>
      </c>
      <c r="BA3695" s="21" t="str">
        <f>IF($AL3695="","",$AL3695&amp;"|"&amp;COUNTIF($AL$11:$AL3695,$AL3695))</f>
        <v/>
      </c>
    </row>
    <row r="3696" spans="38:53" ht="15" customHeight="1" x14ac:dyDescent="0.25">
      <c r="AL3696" s="31"/>
      <c r="AM3696" s="26"/>
      <c r="AN3696" s="32"/>
      <c r="AO3696" s="32"/>
      <c r="AP3696" s="24"/>
      <c r="AQ3696" s="24"/>
      <c r="AR3696" s="33"/>
      <c r="AS3696" s="34"/>
      <c r="AT3696" s="33"/>
      <c r="AV3696" s="21">
        <f>IF(AND($AL3696&lt;&gt;"",COUNTIF($AL$11:$AL3696,$AL3696)=1),1,0)</f>
        <v>0</v>
      </c>
      <c r="AW3696" s="21">
        <f t="shared" si="201"/>
        <v>0</v>
      </c>
      <c r="AX3696" s="21" t="str">
        <f t="shared" si="200"/>
        <v/>
      </c>
      <c r="AY3696" s="21" t="str">
        <f>IF(AND($AM3696&lt;&gt;"",$AS3696&lt;&gt;"✓"),SUMPRODUCT(($AM$11:$AM3696&lt;&gt;"")*($AS$11:$AS3696&lt;&gt;"✓")),"")</f>
        <v/>
      </c>
      <c r="AZ3696" s="21" t="str">
        <f>IF(AND($AM3696&lt;&gt;"",$AS3696="✓"),SUMPRODUCT(($AM$11:$AM3696&lt;&gt;"")*($AS$11:$AS3696="✓")),"")</f>
        <v/>
      </c>
      <c r="BA3696" s="21" t="str">
        <f>IF($AL3696="","",$AL3696&amp;"|"&amp;COUNTIF($AL$11:$AL3696,$AL3696))</f>
        <v/>
      </c>
    </row>
    <row r="3697" spans="38:53" ht="15" customHeight="1" x14ac:dyDescent="0.25">
      <c r="AL3697" s="17"/>
      <c r="AM3697" s="12"/>
      <c r="AN3697" s="18"/>
      <c r="AO3697" s="18"/>
      <c r="AP3697" s="10"/>
      <c r="AQ3697" s="10"/>
      <c r="AR3697" s="19"/>
      <c r="AS3697" s="20"/>
      <c r="AT3697" s="19"/>
      <c r="AV3697" s="21">
        <f>IF(AND($AL3697&lt;&gt;"",COUNTIF($AL$11:$AL3697,$AL3697)=1),1,0)</f>
        <v>0</v>
      </c>
      <c r="AW3697" s="21">
        <f t="shared" si="201"/>
        <v>0</v>
      </c>
      <c r="AX3697" s="21" t="str">
        <f t="shared" si="200"/>
        <v/>
      </c>
      <c r="AY3697" s="21" t="str">
        <f>IF(AND($AM3697&lt;&gt;"",$AS3697&lt;&gt;"✓"),SUMPRODUCT(($AM$11:$AM3697&lt;&gt;"")*($AS$11:$AS3697&lt;&gt;"✓")),"")</f>
        <v/>
      </c>
      <c r="AZ3697" s="21" t="str">
        <f>IF(AND($AM3697&lt;&gt;"",$AS3697="✓"),SUMPRODUCT(($AM$11:$AM3697&lt;&gt;"")*($AS$11:$AS3697="✓")),"")</f>
        <v/>
      </c>
      <c r="BA3697" s="21" t="str">
        <f>IF($AL3697="","",$AL3697&amp;"|"&amp;COUNTIF($AL$11:$AL3697,$AL3697))</f>
        <v/>
      </c>
    </row>
    <row r="3698" spans="38:53" ht="15" customHeight="1" x14ac:dyDescent="0.25">
      <c r="AL3698" s="31"/>
      <c r="AM3698" s="26"/>
      <c r="AN3698" s="32"/>
      <c r="AO3698" s="32"/>
      <c r="AP3698" s="24"/>
      <c r="AQ3698" s="24"/>
      <c r="AR3698" s="33"/>
      <c r="AS3698" s="34"/>
      <c r="AT3698" s="33"/>
      <c r="AV3698" s="21">
        <f>IF(AND($AL3698&lt;&gt;"",COUNTIF($AL$11:$AL3698,$AL3698)=1),1,0)</f>
        <v>0</v>
      </c>
      <c r="AW3698" s="21">
        <f t="shared" si="201"/>
        <v>0</v>
      </c>
      <c r="AX3698" s="21" t="str">
        <f t="shared" si="200"/>
        <v/>
      </c>
      <c r="AY3698" s="21" t="str">
        <f>IF(AND($AM3698&lt;&gt;"",$AS3698&lt;&gt;"✓"),SUMPRODUCT(($AM$11:$AM3698&lt;&gt;"")*($AS$11:$AS3698&lt;&gt;"✓")),"")</f>
        <v/>
      </c>
      <c r="AZ3698" s="21" t="str">
        <f>IF(AND($AM3698&lt;&gt;"",$AS3698="✓"),SUMPRODUCT(($AM$11:$AM3698&lt;&gt;"")*($AS$11:$AS3698="✓")),"")</f>
        <v/>
      </c>
      <c r="BA3698" s="21" t="str">
        <f>IF($AL3698="","",$AL3698&amp;"|"&amp;COUNTIF($AL$11:$AL3698,$AL3698))</f>
        <v/>
      </c>
    </row>
    <row r="3699" spans="38:53" ht="15" customHeight="1" x14ac:dyDescent="0.25">
      <c r="AL3699" s="17"/>
      <c r="AM3699" s="12"/>
      <c r="AN3699" s="18"/>
      <c r="AO3699" s="18"/>
      <c r="AP3699" s="10"/>
      <c r="AQ3699" s="10"/>
      <c r="AR3699" s="19"/>
      <c r="AS3699" s="20"/>
      <c r="AT3699" s="19"/>
      <c r="AV3699" s="21">
        <f>IF(AND($AL3699&lt;&gt;"",COUNTIF($AL$11:$AL3699,$AL3699)=1),1,0)</f>
        <v>0</v>
      </c>
      <c r="AW3699" s="21">
        <f t="shared" si="201"/>
        <v>0</v>
      </c>
      <c r="AX3699" s="21" t="str">
        <f t="shared" si="200"/>
        <v/>
      </c>
      <c r="AY3699" s="21" t="str">
        <f>IF(AND($AM3699&lt;&gt;"",$AS3699&lt;&gt;"✓"),SUMPRODUCT(($AM$11:$AM3699&lt;&gt;"")*($AS$11:$AS3699&lt;&gt;"✓")),"")</f>
        <v/>
      </c>
      <c r="AZ3699" s="21" t="str">
        <f>IF(AND($AM3699&lt;&gt;"",$AS3699="✓"),SUMPRODUCT(($AM$11:$AM3699&lt;&gt;"")*($AS$11:$AS3699="✓")),"")</f>
        <v/>
      </c>
      <c r="BA3699" s="21" t="str">
        <f>IF($AL3699="","",$AL3699&amp;"|"&amp;COUNTIF($AL$11:$AL3699,$AL3699))</f>
        <v/>
      </c>
    </row>
    <row r="3700" spans="38:53" ht="15" customHeight="1" x14ac:dyDescent="0.25">
      <c r="AL3700" s="31"/>
      <c r="AM3700" s="26"/>
      <c r="AN3700" s="32"/>
      <c r="AO3700" s="32"/>
      <c r="AP3700" s="24"/>
      <c r="AQ3700" s="24"/>
      <c r="AR3700" s="33"/>
      <c r="AS3700" s="34"/>
      <c r="AT3700" s="33"/>
      <c r="AV3700" s="21">
        <f>IF(AND($AL3700&lt;&gt;"",COUNTIF($AL$11:$AL3700,$AL3700)=1),1,0)</f>
        <v>0</v>
      </c>
      <c r="AW3700" s="21">
        <f t="shared" si="201"/>
        <v>0</v>
      </c>
      <c r="AX3700" s="21" t="str">
        <f t="shared" si="200"/>
        <v/>
      </c>
      <c r="AY3700" s="21" t="str">
        <f>IF(AND($AM3700&lt;&gt;"",$AS3700&lt;&gt;"✓"),SUMPRODUCT(($AM$11:$AM3700&lt;&gt;"")*($AS$11:$AS3700&lt;&gt;"✓")),"")</f>
        <v/>
      </c>
      <c r="AZ3700" s="21" t="str">
        <f>IF(AND($AM3700&lt;&gt;"",$AS3700="✓"),SUMPRODUCT(($AM$11:$AM3700&lt;&gt;"")*($AS$11:$AS3700="✓")),"")</f>
        <v/>
      </c>
      <c r="BA3700" s="21" t="str">
        <f>IF($AL3700="","",$AL3700&amp;"|"&amp;COUNTIF($AL$11:$AL3700,$AL3700))</f>
        <v/>
      </c>
    </row>
    <row r="3701" spans="38:53" ht="15" customHeight="1" x14ac:dyDescent="0.25">
      <c r="AL3701" s="17"/>
      <c r="AM3701" s="12"/>
      <c r="AN3701" s="18"/>
      <c r="AO3701" s="18"/>
      <c r="AP3701" s="10"/>
      <c r="AQ3701" s="10"/>
      <c r="AR3701" s="19"/>
      <c r="AS3701" s="20"/>
      <c r="AT3701" s="19"/>
      <c r="AV3701" s="21">
        <f>IF(AND($AL3701&lt;&gt;"",COUNTIF($AL$11:$AL3701,$AL3701)=1),1,0)</f>
        <v>0</v>
      </c>
      <c r="AW3701" s="21">
        <f t="shared" si="201"/>
        <v>0</v>
      </c>
      <c r="AX3701" s="21" t="str">
        <f t="shared" si="200"/>
        <v/>
      </c>
      <c r="AY3701" s="21" t="str">
        <f>IF(AND($AM3701&lt;&gt;"",$AS3701&lt;&gt;"✓"),SUMPRODUCT(($AM$11:$AM3701&lt;&gt;"")*($AS$11:$AS3701&lt;&gt;"✓")),"")</f>
        <v/>
      </c>
      <c r="AZ3701" s="21" t="str">
        <f>IF(AND($AM3701&lt;&gt;"",$AS3701="✓"),SUMPRODUCT(($AM$11:$AM3701&lt;&gt;"")*($AS$11:$AS3701="✓")),"")</f>
        <v/>
      </c>
      <c r="BA3701" s="21" t="str">
        <f>IF($AL3701="","",$AL3701&amp;"|"&amp;COUNTIF($AL$11:$AL3701,$AL3701))</f>
        <v/>
      </c>
    </row>
    <row r="3702" spans="38:53" ht="15" customHeight="1" x14ac:dyDescent="0.25">
      <c r="AL3702" s="31"/>
      <c r="AM3702" s="26"/>
      <c r="AN3702" s="32"/>
      <c r="AO3702" s="32"/>
      <c r="AP3702" s="24"/>
      <c r="AQ3702" s="24"/>
      <c r="AR3702" s="33"/>
      <c r="AS3702" s="34"/>
      <c r="AT3702" s="33"/>
      <c r="AV3702" s="21">
        <f>IF(AND($AL3702&lt;&gt;"",COUNTIF($AL$11:$AL3702,$AL3702)=1),1,0)</f>
        <v>0</v>
      </c>
      <c r="AW3702" s="21">
        <f t="shared" si="201"/>
        <v>0</v>
      </c>
      <c r="AX3702" s="21" t="str">
        <f t="shared" si="200"/>
        <v/>
      </c>
      <c r="AY3702" s="21" t="str">
        <f>IF(AND($AM3702&lt;&gt;"",$AS3702&lt;&gt;"✓"),SUMPRODUCT(($AM$11:$AM3702&lt;&gt;"")*($AS$11:$AS3702&lt;&gt;"✓")),"")</f>
        <v/>
      </c>
      <c r="AZ3702" s="21" t="str">
        <f>IF(AND($AM3702&lt;&gt;"",$AS3702="✓"),SUMPRODUCT(($AM$11:$AM3702&lt;&gt;"")*($AS$11:$AS3702="✓")),"")</f>
        <v/>
      </c>
      <c r="BA3702" s="21" t="str">
        <f>IF($AL3702="","",$AL3702&amp;"|"&amp;COUNTIF($AL$11:$AL3702,$AL3702))</f>
        <v/>
      </c>
    </row>
    <row r="3703" spans="38:53" ht="15" customHeight="1" x14ac:dyDescent="0.25">
      <c r="AL3703" s="17"/>
      <c r="AM3703" s="12"/>
      <c r="AN3703" s="18"/>
      <c r="AO3703" s="18"/>
      <c r="AP3703" s="10"/>
      <c r="AQ3703" s="10"/>
      <c r="AR3703" s="19"/>
      <c r="AS3703" s="20"/>
      <c r="AT3703" s="19"/>
      <c r="AV3703" s="21">
        <f>IF(AND($AL3703&lt;&gt;"",COUNTIF($AL$11:$AL3703,$AL3703)=1),1,0)</f>
        <v>0</v>
      </c>
      <c r="AW3703" s="21">
        <f t="shared" si="201"/>
        <v>0</v>
      </c>
      <c r="AX3703" s="21" t="str">
        <f t="shared" si="200"/>
        <v/>
      </c>
      <c r="AY3703" s="21" t="str">
        <f>IF(AND($AM3703&lt;&gt;"",$AS3703&lt;&gt;"✓"),SUMPRODUCT(($AM$11:$AM3703&lt;&gt;"")*($AS$11:$AS3703&lt;&gt;"✓")),"")</f>
        <v/>
      </c>
      <c r="AZ3703" s="21" t="str">
        <f>IF(AND($AM3703&lt;&gt;"",$AS3703="✓"),SUMPRODUCT(($AM$11:$AM3703&lt;&gt;"")*($AS$11:$AS3703="✓")),"")</f>
        <v/>
      </c>
      <c r="BA3703" s="21" t="str">
        <f>IF($AL3703="","",$AL3703&amp;"|"&amp;COUNTIF($AL$11:$AL3703,$AL3703))</f>
        <v/>
      </c>
    </row>
    <row r="3704" spans="38:53" ht="15" customHeight="1" x14ac:dyDescent="0.25">
      <c r="AL3704" s="31"/>
      <c r="AM3704" s="26"/>
      <c r="AN3704" s="32"/>
      <c r="AO3704" s="32"/>
      <c r="AP3704" s="24"/>
      <c r="AQ3704" s="24"/>
      <c r="AR3704" s="33"/>
      <c r="AS3704" s="34"/>
      <c r="AT3704" s="33"/>
      <c r="AV3704" s="21">
        <f>IF(AND($AL3704&lt;&gt;"",COUNTIF($AL$11:$AL3704,$AL3704)=1),1,0)</f>
        <v>0</v>
      </c>
      <c r="AW3704" s="21">
        <f t="shared" si="201"/>
        <v>0</v>
      </c>
      <c r="AX3704" s="21" t="str">
        <f t="shared" si="200"/>
        <v/>
      </c>
      <c r="AY3704" s="21" t="str">
        <f>IF(AND($AM3704&lt;&gt;"",$AS3704&lt;&gt;"✓"),SUMPRODUCT(($AM$11:$AM3704&lt;&gt;"")*($AS$11:$AS3704&lt;&gt;"✓")),"")</f>
        <v/>
      </c>
      <c r="AZ3704" s="21" t="str">
        <f>IF(AND($AM3704&lt;&gt;"",$AS3704="✓"),SUMPRODUCT(($AM$11:$AM3704&lt;&gt;"")*($AS$11:$AS3704="✓")),"")</f>
        <v/>
      </c>
      <c r="BA3704" s="21" t="str">
        <f>IF($AL3704="","",$AL3704&amp;"|"&amp;COUNTIF($AL$11:$AL3704,$AL3704))</f>
        <v/>
      </c>
    </row>
    <row r="3705" spans="38:53" ht="15" customHeight="1" x14ac:dyDescent="0.25">
      <c r="AL3705" s="17"/>
      <c r="AM3705" s="12"/>
      <c r="AN3705" s="18"/>
      <c r="AO3705" s="18"/>
      <c r="AP3705" s="10"/>
      <c r="AQ3705" s="10"/>
      <c r="AR3705" s="19"/>
      <c r="AS3705" s="20"/>
      <c r="AT3705" s="19"/>
      <c r="AV3705" s="21">
        <f>IF(AND($AL3705&lt;&gt;"",COUNTIF($AL$11:$AL3705,$AL3705)=1),1,0)</f>
        <v>0</v>
      </c>
      <c r="AW3705" s="21">
        <f t="shared" si="201"/>
        <v>0</v>
      </c>
      <c r="AX3705" s="21" t="str">
        <f t="shared" si="200"/>
        <v/>
      </c>
      <c r="AY3705" s="21" t="str">
        <f>IF(AND($AM3705&lt;&gt;"",$AS3705&lt;&gt;"✓"),SUMPRODUCT(($AM$11:$AM3705&lt;&gt;"")*($AS$11:$AS3705&lt;&gt;"✓")),"")</f>
        <v/>
      </c>
      <c r="AZ3705" s="21" t="str">
        <f>IF(AND($AM3705&lt;&gt;"",$AS3705="✓"),SUMPRODUCT(($AM$11:$AM3705&lt;&gt;"")*($AS$11:$AS3705="✓")),"")</f>
        <v/>
      </c>
      <c r="BA3705" s="21" t="str">
        <f>IF($AL3705="","",$AL3705&amp;"|"&amp;COUNTIF($AL$11:$AL3705,$AL3705))</f>
        <v/>
      </c>
    </row>
    <row r="3706" spans="38:53" ht="15" customHeight="1" x14ac:dyDescent="0.25">
      <c r="AL3706" s="31"/>
      <c r="AM3706" s="26"/>
      <c r="AN3706" s="32"/>
      <c r="AO3706" s="32"/>
      <c r="AP3706" s="24"/>
      <c r="AQ3706" s="24"/>
      <c r="AR3706" s="33"/>
      <c r="AS3706" s="34"/>
      <c r="AT3706" s="33"/>
      <c r="AV3706" s="21">
        <f>IF(AND($AL3706&lt;&gt;"",COUNTIF($AL$11:$AL3706,$AL3706)=1),1,0)</f>
        <v>0</v>
      </c>
      <c r="AW3706" s="21">
        <f t="shared" si="201"/>
        <v>0</v>
      </c>
      <c r="AX3706" s="21" t="str">
        <f t="shared" si="200"/>
        <v/>
      </c>
      <c r="AY3706" s="21" t="str">
        <f>IF(AND($AM3706&lt;&gt;"",$AS3706&lt;&gt;"✓"),SUMPRODUCT(($AM$11:$AM3706&lt;&gt;"")*($AS$11:$AS3706&lt;&gt;"✓")),"")</f>
        <v/>
      </c>
      <c r="AZ3706" s="21" t="str">
        <f>IF(AND($AM3706&lt;&gt;"",$AS3706="✓"),SUMPRODUCT(($AM$11:$AM3706&lt;&gt;"")*($AS$11:$AS3706="✓")),"")</f>
        <v/>
      </c>
      <c r="BA3706" s="21" t="str">
        <f>IF($AL3706="","",$AL3706&amp;"|"&amp;COUNTIF($AL$11:$AL3706,$AL3706))</f>
        <v/>
      </c>
    </row>
    <row r="3707" spans="38:53" ht="15" customHeight="1" x14ac:dyDescent="0.25">
      <c r="AL3707" s="17"/>
      <c r="AM3707" s="12"/>
      <c r="AN3707" s="18"/>
      <c r="AO3707" s="18"/>
      <c r="AP3707" s="10"/>
      <c r="AQ3707" s="10"/>
      <c r="AR3707" s="19"/>
      <c r="AS3707" s="20"/>
      <c r="AT3707" s="19"/>
      <c r="AV3707" s="21">
        <f>IF(AND($AL3707&lt;&gt;"",COUNTIF($AL$11:$AL3707,$AL3707)=1),1,0)</f>
        <v>0</v>
      </c>
      <c r="AW3707" s="21">
        <f t="shared" si="201"/>
        <v>0</v>
      </c>
      <c r="AX3707" s="21" t="str">
        <f t="shared" si="200"/>
        <v/>
      </c>
      <c r="AY3707" s="21" t="str">
        <f>IF(AND($AM3707&lt;&gt;"",$AS3707&lt;&gt;"✓"),SUMPRODUCT(($AM$11:$AM3707&lt;&gt;"")*($AS$11:$AS3707&lt;&gt;"✓")),"")</f>
        <v/>
      </c>
      <c r="AZ3707" s="21" t="str">
        <f>IF(AND($AM3707&lt;&gt;"",$AS3707="✓"),SUMPRODUCT(($AM$11:$AM3707&lt;&gt;"")*($AS$11:$AS3707="✓")),"")</f>
        <v/>
      </c>
      <c r="BA3707" s="21" t="str">
        <f>IF($AL3707="","",$AL3707&amp;"|"&amp;COUNTIF($AL$11:$AL3707,$AL3707))</f>
        <v/>
      </c>
    </row>
    <row r="3708" spans="38:53" ht="15" customHeight="1" x14ac:dyDescent="0.25">
      <c r="AL3708" s="31"/>
      <c r="AM3708" s="26"/>
      <c r="AN3708" s="32"/>
      <c r="AO3708" s="32"/>
      <c r="AP3708" s="24"/>
      <c r="AQ3708" s="24"/>
      <c r="AR3708" s="33"/>
      <c r="AS3708" s="34"/>
      <c r="AT3708" s="33"/>
      <c r="AV3708" s="21">
        <f>IF(AND($AL3708&lt;&gt;"",COUNTIF($AL$11:$AL3708,$AL3708)=1),1,0)</f>
        <v>0</v>
      </c>
      <c r="AW3708" s="21">
        <f t="shared" si="201"/>
        <v>0</v>
      </c>
      <c r="AX3708" s="21" t="str">
        <f t="shared" si="200"/>
        <v/>
      </c>
      <c r="AY3708" s="21" t="str">
        <f>IF(AND($AM3708&lt;&gt;"",$AS3708&lt;&gt;"✓"),SUMPRODUCT(($AM$11:$AM3708&lt;&gt;"")*($AS$11:$AS3708&lt;&gt;"✓")),"")</f>
        <v/>
      </c>
      <c r="AZ3708" s="21" t="str">
        <f>IF(AND($AM3708&lt;&gt;"",$AS3708="✓"),SUMPRODUCT(($AM$11:$AM3708&lt;&gt;"")*($AS$11:$AS3708="✓")),"")</f>
        <v/>
      </c>
      <c r="BA3708" s="21" t="str">
        <f>IF($AL3708="","",$AL3708&amp;"|"&amp;COUNTIF($AL$11:$AL3708,$AL3708))</f>
        <v/>
      </c>
    </row>
    <row r="3709" spans="38:53" ht="15" customHeight="1" x14ac:dyDescent="0.25">
      <c r="AL3709" s="17"/>
      <c r="AM3709" s="12"/>
      <c r="AN3709" s="18"/>
      <c r="AO3709" s="18"/>
      <c r="AP3709" s="10"/>
      <c r="AQ3709" s="10"/>
      <c r="AR3709" s="19"/>
      <c r="AS3709" s="20"/>
      <c r="AT3709" s="19"/>
      <c r="AV3709" s="21">
        <f>IF(AND($AL3709&lt;&gt;"",COUNTIF($AL$11:$AL3709,$AL3709)=1),1,0)</f>
        <v>0</v>
      </c>
      <c r="AW3709" s="21">
        <f t="shared" si="201"/>
        <v>0</v>
      </c>
      <c r="AX3709" s="21" t="str">
        <f t="shared" si="200"/>
        <v/>
      </c>
      <c r="AY3709" s="21" t="str">
        <f>IF(AND($AM3709&lt;&gt;"",$AS3709&lt;&gt;"✓"),SUMPRODUCT(($AM$11:$AM3709&lt;&gt;"")*($AS$11:$AS3709&lt;&gt;"✓")),"")</f>
        <v/>
      </c>
      <c r="AZ3709" s="21" t="str">
        <f>IF(AND($AM3709&lt;&gt;"",$AS3709="✓"),SUMPRODUCT(($AM$11:$AM3709&lt;&gt;"")*($AS$11:$AS3709="✓")),"")</f>
        <v/>
      </c>
      <c r="BA3709" s="21" t="str">
        <f>IF($AL3709="","",$AL3709&amp;"|"&amp;COUNTIF($AL$11:$AL3709,$AL3709))</f>
        <v/>
      </c>
    </row>
    <row r="3710" spans="38:53" ht="15" customHeight="1" x14ac:dyDescent="0.25">
      <c r="AL3710" s="31"/>
      <c r="AM3710" s="26"/>
      <c r="AN3710" s="32"/>
      <c r="AO3710" s="32"/>
      <c r="AP3710" s="24"/>
      <c r="AQ3710" s="24"/>
      <c r="AR3710" s="33"/>
      <c r="AS3710" s="34"/>
      <c r="AT3710" s="33"/>
      <c r="AV3710" s="21">
        <f>IF(AND($AL3710&lt;&gt;"",COUNTIF($AL$11:$AL3710,$AL3710)=1),1,0)</f>
        <v>0</v>
      </c>
      <c r="AW3710" s="21">
        <f t="shared" si="201"/>
        <v>0</v>
      </c>
      <c r="AX3710" s="21" t="str">
        <f t="shared" si="200"/>
        <v/>
      </c>
      <c r="AY3710" s="21" t="str">
        <f>IF(AND($AM3710&lt;&gt;"",$AS3710&lt;&gt;"✓"),SUMPRODUCT(($AM$11:$AM3710&lt;&gt;"")*($AS$11:$AS3710&lt;&gt;"✓")),"")</f>
        <v/>
      </c>
      <c r="AZ3710" s="21" t="str">
        <f>IF(AND($AM3710&lt;&gt;"",$AS3710="✓"),SUMPRODUCT(($AM$11:$AM3710&lt;&gt;"")*($AS$11:$AS3710="✓")),"")</f>
        <v/>
      </c>
      <c r="BA3710" s="21" t="str">
        <f>IF($AL3710="","",$AL3710&amp;"|"&amp;COUNTIF($AL$11:$AL3710,$AL3710))</f>
        <v/>
      </c>
    </row>
    <row r="3711" spans="38:53" ht="15" customHeight="1" x14ac:dyDescent="0.25">
      <c r="AL3711" s="17"/>
      <c r="AM3711" s="12"/>
      <c r="AN3711" s="18"/>
      <c r="AO3711" s="18"/>
      <c r="AP3711" s="10"/>
      <c r="AQ3711" s="10"/>
      <c r="AR3711" s="19"/>
      <c r="AS3711" s="20"/>
      <c r="AT3711" s="19"/>
      <c r="AV3711" s="21">
        <f>IF(AND($AL3711&lt;&gt;"",COUNTIF($AL$11:$AL3711,$AL3711)=1),1,0)</f>
        <v>0</v>
      </c>
      <c r="AW3711" s="21">
        <f t="shared" si="201"/>
        <v>0</v>
      </c>
      <c r="AX3711" s="21" t="str">
        <f t="shared" si="200"/>
        <v/>
      </c>
      <c r="AY3711" s="21" t="str">
        <f>IF(AND($AM3711&lt;&gt;"",$AS3711&lt;&gt;"✓"),SUMPRODUCT(($AM$11:$AM3711&lt;&gt;"")*($AS$11:$AS3711&lt;&gt;"✓")),"")</f>
        <v/>
      </c>
      <c r="AZ3711" s="21" t="str">
        <f>IF(AND($AM3711&lt;&gt;"",$AS3711="✓"),SUMPRODUCT(($AM$11:$AM3711&lt;&gt;"")*($AS$11:$AS3711="✓")),"")</f>
        <v/>
      </c>
      <c r="BA3711" s="21" t="str">
        <f>IF($AL3711="","",$AL3711&amp;"|"&amp;COUNTIF($AL$11:$AL3711,$AL3711))</f>
        <v/>
      </c>
    </row>
    <row r="3712" spans="38:53" ht="15" customHeight="1" x14ac:dyDescent="0.25">
      <c r="AL3712" s="31"/>
      <c r="AM3712" s="26"/>
      <c r="AN3712" s="32"/>
      <c r="AO3712" s="32"/>
      <c r="AP3712" s="24"/>
      <c r="AQ3712" s="24"/>
      <c r="AR3712" s="33"/>
      <c r="AS3712" s="34"/>
      <c r="AT3712" s="33"/>
      <c r="AV3712" s="21">
        <f>IF(AND($AL3712&lt;&gt;"",COUNTIF($AL$11:$AL3712,$AL3712)=1),1,0)</f>
        <v>0</v>
      </c>
      <c r="AW3712" s="21">
        <f t="shared" si="201"/>
        <v>0</v>
      </c>
      <c r="AX3712" s="21" t="str">
        <f t="shared" si="200"/>
        <v/>
      </c>
      <c r="AY3712" s="21" t="str">
        <f>IF(AND($AM3712&lt;&gt;"",$AS3712&lt;&gt;"✓"),SUMPRODUCT(($AM$11:$AM3712&lt;&gt;"")*($AS$11:$AS3712&lt;&gt;"✓")),"")</f>
        <v/>
      </c>
      <c r="AZ3712" s="21" t="str">
        <f>IF(AND($AM3712&lt;&gt;"",$AS3712="✓"),SUMPRODUCT(($AM$11:$AM3712&lt;&gt;"")*($AS$11:$AS3712="✓")),"")</f>
        <v/>
      </c>
      <c r="BA3712" s="21" t="str">
        <f>IF($AL3712="","",$AL3712&amp;"|"&amp;COUNTIF($AL$11:$AL3712,$AL3712))</f>
        <v/>
      </c>
    </row>
    <row r="3713" spans="38:53" ht="15" customHeight="1" x14ac:dyDescent="0.25">
      <c r="AL3713" s="17"/>
      <c r="AM3713" s="12"/>
      <c r="AN3713" s="18"/>
      <c r="AO3713" s="18"/>
      <c r="AP3713" s="10"/>
      <c r="AQ3713" s="10"/>
      <c r="AR3713" s="19"/>
      <c r="AS3713" s="20"/>
      <c r="AT3713" s="19"/>
      <c r="AV3713" s="21">
        <f>IF(AND($AL3713&lt;&gt;"",COUNTIF($AL$11:$AL3713,$AL3713)=1),1,0)</f>
        <v>0</v>
      </c>
      <c r="AW3713" s="21">
        <f t="shared" si="201"/>
        <v>0</v>
      </c>
      <c r="AX3713" s="21" t="str">
        <f t="shared" si="200"/>
        <v/>
      </c>
      <c r="AY3713" s="21" t="str">
        <f>IF(AND($AM3713&lt;&gt;"",$AS3713&lt;&gt;"✓"),SUMPRODUCT(($AM$11:$AM3713&lt;&gt;"")*($AS$11:$AS3713&lt;&gt;"✓")),"")</f>
        <v/>
      </c>
      <c r="AZ3713" s="21" t="str">
        <f>IF(AND($AM3713&lt;&gt;"",$AS3713="✓"),SUMPRODUCT(($AM$11:$AM3713&lt;&gt;"")*($AS$11:$AS3713="✓")),"")</f>
        <v/>
      </c>
      <c r="BA3713" s="21" t="str">
        <f>IF($AL3713="","",$AL3713&amp;"|"&amp;COUNTIF($AL$11:$AL3713,$AL3713))</f>
        <v/>
      </c>
    </row>
    <row r="3714" spans="38:53" ht="15" customHeight="1" x14ac:dyDescent="0.25">
      <c r="AL3714" s="31"/>
      <c r="AM3714" s="26"/>
      <c r="AN3714" s="32"/>
      <c r="AO3714" s="32"/>
      <c r="AP3714" s="24"/>
      <c r="AQ3714" s="24"/>
      <c r="AR3714" s="33"/>
      <c r="AS3714" s="34"/>
      <c r="AT3714" s="33"/>
      <c r="AV3714" s="21">
        <f>IF(AND($AL3714&lt;&gt;"",COUNTIF($AL$11:$AL3714,$AL3714)=1),1,0)</f>
        <v>0</v>
      </c>
      <c r="AW3714" s="21">
        <f t="shared" si="201"/>
        <v>0</v>
      </c>
      <c r="AX3714" s="21" t="str">
        <f t="shared" si="200"/>
        <v/>
      </c>
      <c r="AY3714" s="21" t="str">
        <f>IF(AND($AM3714&lt;&gt;"",$AS3714&lt;&gt;"✓"),SUMPRODUCT(($AM$11:$AM3714&lt;&gt;"")*($AS$11:$AS3714&lt;&gt;"✓")),"")</f>
        <v/>
      </c>
      <c r="AZ3714" s="21" t="str">
        <f>IF(AND($AM3714&lt;&gt;"",$AS3714="✓"),SUMPRODUCT(($AM$11:$AM3714&lt;&gt;"")*($AS$11:$AS3714="✓")),"")</f>
        <v/>
      </c>
      <c r="BA3714" s="21" t="str">
        <f>IF($AL3714="","",$AL3714&amp;"|"&amp;COUNTIF($AL$11:$AL3714,$AL3714))</f>
        <v/>
      </c>
    </row>
    <row r="3715" spans="38:53" ht="15" customHeight="1" x14ac:dyDescent="0.25">
      <c r="AL3715" s="17"/>
      <c r="AM3715" s="12"/>
      <c r="AN3715" s="18"/>
      <c r="AO3715" s="18"/>
      <c r="AP3715" s="10"/>
      <c r="AQ3715" s="10"/>
      <c r="AR3715" s="19"/>
      <c r="AS3715" s="20"/>
      <c r="AT3715" s="19"/>
      <c r="AV3715" s="21">
        <f>IF(AND($AL3715&lt;&gt;"",COUNTIF($AL$11:$AL3715,$AL3715)=1),1,0)</f>
        <v>0</v>
      </c>
      <c r="AW3715" s="21">
        <f t="shared" si="201"/>
        <v>0</v>
      </c>
      <c r="AX3715" s="21" t="str">
        <f t="shared" si="200"/>
        <v/>
      </c>
      <c r="AY3715" s="21" t="str">
        <f>IF(AND($AM3715&lt;&gt;"",$AS3715&lt;&gt;"✓"),SUMPRODUCT(($AM$11:$AM3715&lt;&gt;"")*($AS$11:$AS3715&lt;&gt;"✓")),"")</f>
        <v/>
      </c>
      <c r="AZ3715" s="21" t="str">
        <f>IF(AND($AM3715&lt;&gt;"",$AS3715="✓"),SUMPRODUCT(($AM$11:$AM3715&lt;&gt;"")*($AS$11:$AS3715="✓")),"")</f>
        <v/>
      </c>
      <c r="BA3715" s="21" t="str">
        <f>IF($AL3715="","",$AL3715&amp;"|"&amp;COUNTIF($AL$11:$AL3715,$AL3715))</f>
        <v/>
      </c>
    </row>
    <row r="3716" spans="38:53" ht="15" customHeight="1" x14ac:dyDescent="0.25">
      <c r="AL3716" s="31"/>
      <c r="AM3716" s="26"/>
      <c r="AN3716" s="32"/>
      <c r="AO3716" s="32"/>
      <c r="AP3716" s="24"/>
      <c r="AQ3716" s="24"/>
      <c r="AR3716" s="33"/>
      <c r="AS3716" s="34"/>
      <c r="AT3716" s="33"/>
      <c r="AV3716" s="21">
        <f>IF(AND($AL3716&lt;&gt;"",COUNTIF($AL$11:$AL3716,$AL3716)=1),1,0)</f>
        <v>0</v>
      </c>
      <c r="AW3716" s="21">
        <f t="shared" si="201"/>
        <v>0</v>
      </c>
      <c r="AX3716" s="21" t="str">
        <f t="shared" si="200"/>
        <v/>
      </c>
      <c r="AY3716" s="21" t="str">
        <f>IF(AND($AM3716&lt;&gt;"",$AS3716&lt;&gt;"✓"),SUMPRODUCT(($AM$11:$AM3716&lt;&gt;"")*($AS$11:$AS3716&lt;&gt;"✓")),"")</f>
        <v/>
      </c>
      <c r="AZ3716" s="21" t="str">
        <f>IF(AND($AM3716&lt;&gt;"",$AS3716="✓"),SUMPRODUCT(($AM$11:$AM3716&lt;&gt;"")*($AS$11:$AS3716="✓")),"")</f>
        <v/>
      </c>
      <c r="BA3716" s="21" t="str">
        <f>IF($AL3716="","",$AL3716&amp;"|"&amp;COUNTIF($AL$11:$AL3716,$AL3716))</f>
        <v/>
      </c>
    </row>
    <row r="3717" spans="38:53" ht="15" customHeight="1" x14ac:dyDescent="0.25">
      <c r="AL3717" s="17"/>
      <c r="AM3717" s="12"/>
      <c r="AN3717" s="18"/>
      <c r="AO3717" s="18"/>
      <c r="AP3717" s="10"/>
      <c r="AQ3717" s="10"/>
      <c r="AR3717" s="19"/>
      <c r="AS3717" s="20"/>
      <c r="AT3717" s="19"/>
      <c r="AV3717" s="21">
        <f>IF(AND($AL3717&lt;&gt;"",COUNTIF($AL$11:$AL3717,$AL3717)=1),1,0)</f>
        <v>0</v>
      </c>
      <c r="AW3717" s="21">
        <f t="shared" si="201"/>
        <v>0</v>
      </c>
      <c r="AX3717" s="21" t="str">
        <f t="shared" si="200"/>
        <v/>
      </c>
      <c r="AY3717" s="21" t="str">
        <f>IF(AND($AM3717&lt;&gt;"",$AS3717&lt;&gt;"✓"),SUMPRODUCT(($AM$11:$AM3717&lt;&gt;"")*($AS$11:$AS3717&lt;&gt;"✓")),"")</f>
        <v/>
      </c>
      <c r="AZ3717" s="21" t="str">
        <f>IF(AND($AM3717&lt;&gt;"",$AS3717="✓"),SUMPRODUCT(($AM$11:$AM3717&lt;&gt;"")*($AS$11:$AS3717="✓")),"")</f>
        <v/>
      </c>
      <c r="BA3717" s="21" t="str">
        <f>IF($AL3717="","",$AL3717&amp;"|"&amp;COUNTIF($AL$11:$AL3717,$AL3717))</f>
        <v/>
      </c>
    </row>
    <row r="3718" spans="38:53" ht="15" customHeight="1" x14ac:dyDescent="0.25">
      <c r="AL3718" s="31"/>
      <c r="AM3718" s="26"/>
      <c r="AN3718" s="32"/>
      <c r="AO3718" s="32"/>
      <c r="AP3718" s="24"/>
      <c r="AQ3718" s="24"/>
      <c r="AR3718" s="33"/>
      <c r="AS3718" s="34"/>
      <c r="AT3718" s="33"/>
      <c r="AV3718" s="21">
        <f>IF(AND($AL3718&lt;&gt;"",COUNTIF($AL$11:$AL3718,$AL3718)=1),1,0)</f>
        <v>0</v>
      </c>
      <c r="AW3718" s="21">
        <f t="shared" si="201"/>
        <v>0</v>
      </c>
      <c r="AX3718" s="21" t="str">
        <f t="shared" si="200"/>
        <v/>
      </c>
      <c r="AY3718" s="21" t="str">
        <f>IF(AND($AM3718&lt;&gt;"",$AS3718&lt;&gt;"✓"),SUMPRODUCT(($AM$11:$AM3718&lt;&gt;"")*($AS$11:$AS3718&lt;&gt;"✓")),"")</f>
        <v/>
      </c>
      <c r="AZ3718" s="21" t="str">
        <f>IF(AND($AM3718&lt;&gt;"",$AS3718="✓"),SUMPRODUCT(($AM$11:$AM3718&lt;&gt;"")*($AS$11:$AS3718="✓")),"")</f>
        <v/>
      </c>
      <c r="BA3718" s="21" t="str">
        <f>IF($AL3718="","",$AL3718&amp;"|"&amp;COUNTIF($AL$11:$AL3718,$AL3718))</f>
        <v/>
      </c>
    </row>
    <row r="3719" spans="38:53" ht="15" customHeight="1" x14ac:dyDescent="0.25">
      <c r="AL3719" s="17"/>
      <c r="AM3719" s="12"/>
      <c r="AN3719" s="18"/>
      <c r="AO3719" s="18"/>
      <c r="AP3719" s="10"/>
      <c r="AQ3719" s="10"/>
      <c r="AR3719" s="19"/>
      <c r="AS3719" s="20"/>
      <c r="AT3719" s="19"/>
      <c r="AV3719" s="21">
        <f>IF(AND($AL3719&lt;&gt;"",COUNTIF($AL$11:$AL3719,$AL3719)=1),1,0)</f>
        <v>0</v>
      </c>
      <c r="AW3719" s="21">
        <f t="shared" si="201"/>
        <v>0</v>
      </c>
      <c r="AX3719" s="21" t="str">
        <f t="shared" si="200"/>
        <v/>
      </c>
      <c r="AY3719" s="21" t="str">
        <f>IF(AND($AM3719&lt;&gt;"",$AS3719&lt;&gt;"✓"),SUMPRODUCT(($AM$11:$AM3719&lt;&gt;"")*($AS$11:$AS3719&lt;&gt;"✓")),"")</f>
        <v/>
      </c>
      <c r="AZ3719" s="21" t="str">
        <f>IF(AND($AM3719&lt;&gt;"",$AS3719="✓"),SUMPRODUCT(($AM$11:$AM3719&lt;&gt;"")*($AS$11:$AS3719="✓")),"")</f>
        <v/>
      </c>
      <c r="BA3719" s="21" t="str">
        <f>IF($AL3719="","",$AL3719&amp;"|"&amp;COUNTIF($AL$11:$AL3719,$AL3719))</f>
        <v/>
      </c>
    </row>
    <row r="3720" spans="38:53" ht="15" customHeight="1" x14ac:dyDescent="0.25">
      <c r="AL3720" s="31"/>
      <c r="AM3720" s="26"/>
      <c r="AN3720" s="32"/>
      <c r="AO3720" s="32"/>
      <c r="AP3720" s="24"/>
      <c r="AQ3720" s="24"/>
      <c r="AR3720" s="33"/>
      <c r="AS3720" s="34"/>
      <c r="AT3720" s="33"/>
      <c r="AV3720" s="21">
        <f>IF(AND($AL3720&lt;&gt;"",COUNTIF($AL$11:$AL3720,$AL3720)=1),1,0)</f>
        <v>0</v>
      </c>
      <c r="AW3720" s="21">
        <f t="shared" si="201"/>
        <v>0</v>
      </c>
      <c r="AX3720" s="21" t="str">
        <f t="shared" si="200"/>
        <v/>
      </c>
      <c r="AY3720" s="21" t="str">
        <f>IF(AND($AM3720&lt;&gt;"",$AS3720&lt;&gt;"✓"),SUMPRODUCT(($AM$11:$AM3720&lt;&gt;"")*($AS$11:$AS3720&lt;&gt;"✓")),"")</f>
        <v/>
      </c>
      <c r="AZ3720" s="21" t="str">
        <f>IF(AND($AM3720&lt;&gt;"",$AS3720="✓"),SUMPRODUCT(($AM$11:$AM3720&lt;&gt;"")*($AS$11:$AS3720="✓")),"")</f>
        <v/>
      </c>
      <c r="BA3720" s="21" t="str">
        <f>IF($AL3720="","",$AL3720&amp;"|"&amp;COUNTIF($AL$11:$AL3720,$AL3720))</f>
        <v/>
      </c>
    </row>
    <row r="3721" spans="38:53" ht="15" customHeight="1" x14ac:dyDescent="0.25">
      <c r="AL3721" s="17"/>
      <c r="AM3721" s="12"/>
      <c r="AN3721" s="18"/>
      <c r="AO3721" s="18"/>
      <c r="AP3721" s="10"/>
      <c r="AQ3721" s="10"/>
      <c r="AR3721" s="19"/>
      <c r="AS3721" s="20"/>
      <c r="AT3721" s="19"/>
      <c r="AV3721" s="21">
        <f>IF(AND($AL3721&lt;&gt;"",COUNTIF($AL$11:$AL3721,$AL3721)=1),1,0)</f>
        <v>0</v>
      </c>
      <c r="AW3721" s="21">
        <f t="shared" si="201"/>
        <v>0</v>
      </c>
      <c r="AX3721" s="21" t="str">
        <f t="shared" si="200"/>
        <v/>
      </c>
      <c r="AY3721" s="21" t="str">
        <f>IF(AND($AM3721&lt;&gt;"",$AS3721&lt;&gt;"✓"),SUMPRODUCT(($AM$11:$AM3721&lt;&gt;"")*($AS$11:$AS3721&lt;&gt;"✓")),"")</f>
        <v/>
      </c>
      <c r="AZ3721" s="21" t="str">
        <f>IF(AND($AM3721&lt;&gt;"",$AS3721="✓"),SUMPRODUCT(($AM$11:$AM3721&lt;&gt;"")*($AS$11:$AS3721="✓")),"")</f>
        <v/>
      </c>
      <c r="BA3721" s="21" t="str">
        <f>IF($AL3721="","",$AL3721&amp;"|"&amp;COUNTIF($AL$11:$AL3721,$AL3721))</f>
        <v/>
      </c>
    </row>
    <row r="3722" spans="38:53" ht="15" customHeight="1" x14ac:dyDescent="0.25">
      <c r="AL3722" s="31"/>
      <c r="AM3722" s="26"/>
      <c r="AN3722" s="32"/>
      <c r="AO3722" s="32"/>
      <c r="AP3722" s="24"/>
      <c r="AQ3722" s="24"/>
      <c r="AR3722" s="33"/>
      <c r="AS3722" s="34"/>
      <c r="AT3722" s="33"/>
      <c r="AV3722" s="21">
        <f>IF(AND($AL3722&lt;&gt;"",COUNTIF($AL$11:$AL3722,$AL3722)=1),1,0)</f>
        <v>0</v>
      </c>
      <c r="AW3722" s="21">
        <f t="shared" si="201"/>
        <v>0</v>
      </c>
      <c r="AX3722" s="21" t="str">
        <f t="shared" si="200"/>
        <v/>
      </c>
      <c r="AY3722" s="21" t="str">
        <f>IF(AND($AM3722&lt;&gt;"",$AS3722&lt;&gt;"✓"),SUMPRODUCT(($AM$11:$AM3722&lt;&gt;"")*($AS$11:$AS3722&lt;&gt;"✓")),"")</f>
        <v/>
      </c>
      <c r="AZ3722" s="21" t="str">
        <f>IF(AND($AM3722&lt;&gt;"",$AS3722="✓"),SUMPRODUCT(($AM$11:$AM3722&lt;&gt;"")*($AS$11:$AS3722="✓")),"")</f>
        <v/>
      </c>
      <c r="BA3722" s="21" t="str">
        <f>IF($AL3722="","",$AL3722&amp;"|"&amp;COUNTIF($AL$11:$AL3722,$AL3722))</f>
        <v/>
      </c>
    </row>
    <row r="3723" spans="38:53" ht="15" customHeight="1" x14ac:dyDescent="0.25">
      <c r="AL3723" s="17"/>
      <c r="AM3723" s="12"/>
      <c r="AN3723" s="18"/>
      <c r="AO3723" s="18"/>
      <c r="AP3723" s="10"/>
      <c r="AQ3723" s="10"/>
      <c r="AR3723" s="19"/>
      <c r="AS3723" s="20"/>
      <c r="AT3723" s="19"/>
      <c r="AV3723" s="21">
        <f>IF(AND($AL3723&lt;&gt;"",COUNTIF($AL$11:$AL3723,$AL3723)=1),1,0)</f>
        <v>0</v>
      </c>
      <c r="AW3723" s="21">
        <f t="shared" si="201"/>
        <v>0</v>
      </c>
      <c r="AX3723" s="21" t="str">
        <f t="shared" ref="AX3723:AX3786" si="202">IF(AV3723=1,AW3723,"")</f>
        <v/>
      </c>
      <c r="AY3723" s="21" t="str">
        <f>IF(AND($AM3723&lt;&gt;"",$AS3723&lt;&gt;"✓"),SUMPRODUCT(($AM$11:$AM3723&lt;&gt;"")*($AS$11:$AS3723&lt;&gt;"✓")),"")</f>
        <v/>
      </c>
      <c r="AZ3723" s="21" t="str">
        <f>IF(AND($AM3723&lt;&gt;"",$AS3723="✓"),SUMPRODUCT(($AM$11:$AM3723&lt;&gt;"")*($AS$11:$AS3723="✓")),"")</f>
        <v/>
      </c>
      <c r="BA3723" s="21" t="str">
        <f>IF($AL3723="","",$AL3723&amp;"|"&amp;COUNTIF($AL$11:$AL3723,$AL3723))</f>
        <v/>
      </c>
    </row>
    <row r="3724" spans="38:53" ht="15" customHeight="1" x14ac:dyDescent="0.25">
      <c r="AL3724" s="31"/>
      <c r="AM3724" s="26"/>
      <c r="AN3724" s="32"/>
      <c r="AO3724" s="32"/>
      <c r="AP3724" s="24"/>
      <c r="AQ3724" s="24"/>
      <c r="AR3724" s="33"/>
      <c r="AS3724" s="34"/>
      <c r="AT3724" s="33"/>
      <c r="AV3724" s="21">
        <f>IF(AND($AL3724&lt;&gt;"",COUNTIF($AL$11:$AL3724,$AL3724)=1),1,0)</f>
        <v>0</v>
      </c>
      <c r="AW3724" s="21">
        <f t="shared" ref="AW3724:AW3787" si="203">AW3723+AV3724</f>
        <v>0</v>
      </c>
      <c r="AX3724" s="21" t="str">
        <f t="shared" si="202"/>
        <v/>
      </c>
      <c r="AY3724" s="21" t="str">
        <f>IF(AND($AM3724&lt;&gt;"",$AS3724&lt;&gt;"✓"),SUMPRODUCT(($AM$11:$AM3724&lt;&gt;"")*($AS$11:$AS3724&lt;&gt;"✓")),"")</f>
        <v/>
      </c>
      <c r="AZ3724" s="21" t="str">
        <f>IF(AND($AM3724&lt;&gt;"",$AS3724="✓"),SUMPRODUCT(($AM$11:$AM3724&lt;&gt;"")*($AS$11:$AS3724="✓")),"")</f>
        <v/>
      </c>
      <c r="BA3724" s="21" t="str">
        <f>IF($AL3724="","",$AL3724&amp;"|"&amp;COUNTIF($AL$11:$AL3724,$AL3724))</f>
        <v/>
      </c>
    </row>
    <row r="3725" spans="38:53" ht="15" customHeight="1" x14ac:dyDescent="0.25">
      <c r="AL3725" s="17"/>
      <c r="AM3725" s="12"/>
      <c r="AN3725" s="18"/>
      <c r="AO3725" s="18"/>
      <c r="AP3725" s="10"/>
      <c r="AQ3725" s="10"/>
      <c r="AR3725" s="19"/>
      <c r="AS3725" s="20"/>
      <c r="AT3725" s="19"/>
      <c r="AV3725" s="21">
        <f>IF(AND($AL3725&lt;&gt;"",COUNTIF($AL$11:$AL3725,$AL3725)=1),1,0)</f>
        <v>0</v>
      </c>
      <c r="AW3725" s="21">
        <f t="shared" si="203"/>
        <v>0</v>
      </c>
      <c r="AX3725" s="21" t="str">
        <f t="shared" si="202"/>
        <v/>
      </c>
      <c r="AY3725" s="21" t="str">
        <f>IF(AND($AM3725&lt;&gt;"",$AS3725&lt;&gt;"✓"),SUMPRODUCT(($AM$11:$AM3725&lt;&gt;"")*($AS$11:$AS3725&lt;&gt;"✓")),"")</f>
        <v/>
      </c>
      <c r="AZ3725" s="21" t="str">
        <f>IF(AND($AM3725&lt;&gt;"",$AS3725="✓"),SUMPRODUCT(($AM$11:$AM3725&lt;&gt;"")*($AS$11:$AS3725="✓")),"")</f>
        <v/>
      </c>
      <c r="BA3725" s="21" t="str">
        <f>IF($AL3725="","",$AL3725&amp;"|"&amp;COUNTIF($AL$11:$AL3725,$AL3725))</f>
        <v/>
      </c>
    </row>
    <row r="3726" spans="38:53" ht="15" customHeight="1" x14ac:dyDescent="0.25">
      <c r="AL3726" s="31"/>
      <c r="AM3726" s="26"/>
      <c r="AN3726" s="32"/>
      <c r="AO3726" s="32"/>
      <c r="AP3726" s="24"/>
      <c r="AQ3726" s="24"/>
      <c r="AR3726" s="33"/>
      <c r="AS3726" s="34"/>
      <c r="AT3726" s="33"/>
      <c r="AV3726" s="21">
        <f>IF(AND($AL3726&lt;&gt;"",COUNTIF($AL$11:$AL3726,$AL3726)=1),1,0)</f>
        <v>0</v>
      </c>
      <c r="AW3726" s="21">
        <f t="shared" si="203"/>
        <v>0</v>
      </c>
      <c r="AX3726" s="21" t="str">
        <f t="shared" si="202"/>
        <v/>
      </c>
      <c r="AY3726" s="21" t="str">
        <f>IF(AND($AM3726&lt;&gt;"",$AS3726&lt;&gt;"✓"),SUMPRODUCT(($AM$11:$AM3726&lt;&gt;"")*($AS$11:$AS3726&lt;&gt;"✓")),"")</f>
        <v/>
      </c>
      <c r="AZ3726" s="21" t="str">
        <f>IF(AND($AM3726&lt;&gt;"",$AS3726="✓"),SUMPRODUCT(($AM$11:$AM3726&lt;&gt;"")*($AS$11:$AS3726="✓")),"")</f>
        <v/>
      </c>
      <c r="BA3726" s="21" t="str">
        <f>IF($AL3726="","",$AL3726&amp;"|"&amp;COUNTIF($AL$11:$AL3726,$AL3726))</f>
        <v/>
      </c>
    </row>
    <row r="3727" spans="38:53" ht="15" customHeight="1" x14ac:dyDescent="0.25">
      <c r="AL3727" s="17"/>
      <c r="AM3727" s="12"/>
      <c r="AN3727" s="18"/>
      <c r="AO3727" s="18"/>
      <c r="AP3727" s="10"/>
      <c r="AQ3727" s="10"/>
      <c r="AR3727" s="19"/>
      <c r="AS3727" s="20"/>
      <c r="AT3727" s="19"/>
      <c r="AV3727" s="21">
        <f>IF(AND($AL3727&lt;&gt;"",COUNTIF($AL$11:$AL3727,$AL3727)=1),1,0)</f>
        <v>0</v>
      </c>
      <c r="AW3727" s="21">
        <f t="shared" si="203"/>
        <v>0</v>
      </c>
      <c r="AX3727" s="21" t="str">
        <f t="shared" si="202"/>
        <v/>
      </c>
      <c r="AY3727" s="21" t="str">
        <f>IF(AND($AM3727&lt;&gt;"",$AS3727&lt;&gt;"✓"),SUMPRODUCT(($AM$11:$AM3727&lt;&gt;"")*($AS$11:$AS3727&lt;&gt;"✓")),"")</f>
        <v/>
      </c>
      <c r="AZ3727" s="21" t="str">
        <f>IF(AND($AM3727&lt;&gt;"",$AS3727="✓"),SUMPRODUCT(($AM$11:$AM3727&lt;&gt;"")*($AS$11:$AS3727="✓")),"")</f>
        <v/>
      </c>
      <c r="BA3727" s="21" t="str">
        <f>IF($AL3727="","",$AL3727&amp;"|"&amp;COUNTIF($AL$11:$AL3727,$AL3727))</f>
        <v/>
      </c>
    </row>
    <row r="3728" spans="38:53" ht="15" customHeight="1" x14ac:dyDescent="0.25">
      <c r="AL3728" s="31"/>
      <c r="AM3728" s="26"/>
      <c r="AN3728" s="32"/>
      <c r="AO3728" s="32"/>
      <c r="AP3728" s="24"/>
      <c r="AQ3728" s="24"/>
      <c r="AR3728" s="33"/>
      <c r="AS3728" s="34"/>
      <c r="AT3728" s="33"/>
      <c r="AV3728" s="21">
        <f>IF(AND($AL3728&lt;&gt;"",COUNTIF($AL$11:$AL3728,$AL3728)=1),1,0)</f>
        <v>0</v>
      </c>
      <c r="AW3728" s="21">
        <f t="shared" si="203"/>
        <v>0</v>
      </c>
      <c r="AX3728" s="21" t="str">
        <f t="shared" si="202"/>
        <v/>
      </c>
      <c r="AY3728" s="21" t="str">
        <f>IF(AND($AM3728&lt;&gt;"",$AS3728&lt;&gt;"✓"),SUMPRODUCT(($AM$11:$AM3728&lt;&gt;"")*($AS$11:$AS3728&lt;&gt;"✓")),"")</f>
        <v/>
      </c>
      <c r="AZ3728" s="21" t="str">
        <f>IF(AND($AM3728&lt;&gt;"",$AS3728="✓"),SUMPRODUCT(($AM$11:$AM3728&lt;&gt;"")*($AS$11:$AS3728="✓")),"")</f>
        <v/>
      </c>
      <c r="BA3728" s="21" t="str">
        <f>IF($AL3728="","",$AL3728&amp;"|"&amp;COUNTIF($AL$11:$AL3728,$AL3728))</f>
        <v/>
      </c>
    </row>
    <row r="3729" spans="38:53" ht="15" customHeight="1" x14ac:dyDescent="0.25">
      <c r="AL3729" s="17"/>
      <c r="AM3729" s="12"/>
      <c r="AN3729" s="18"/>
      <c r="AO3729" s="18"/>
      <c r="AP3729" s="10"/>
      <c r="AQ3729" s="10"/>
      <c r="AR3729" s="19"/>
      <c r="AS3729" s="20"/>
      <c r="AT3729" s="19"/>
      <c r="AV3729" s="21">
        <f>IF(AND($AL3729&lt;&gt;"",COUNTIF($AL$11:$AL3729,$AL3729)=1),1,0)</f>
        <v>0</v>
      </c>
      <c r="AW3729" s="21">
        <f t="shared" si="203"/>
        <v>0</v>
      </c>
      <c r="AX3729" s="21" t="str">
        <f t="shared" si="202"/>
        <v/>
      </c>
      <c r="AY3729" s="21" t="str">
        <f>IF(AND($AM3729&lt;&gt;"",$AS3729&lt;&gt;"✓"),SUMPRODUCT(($AM$11:$AM3729&lt;&gt;"")*($AS$11:$AS3729&lt;&gt;"✓")),"")</f>
        <v/>
      </c>
      <c r="AZ3729" s="21" t="str">
        <f>IF(AND($AM3729&lt;&gt;"",$AS3729="✓"),SUMPRODUCT(($AM$11:$AM3729&lt;&gt;"")*($AS$11:$AS3729="✓")),"")</f>
        <v/>
      </c>
      <c r="BA3729" s="21" t="str">
        <f>IF($AL3729="","",$AL3729&amp;"|"&amp;COUNTIF($AL$11:$AL3729,$AL3729))</f>
        <v/>
      </c>
    </row>
    <row r="3730" spans="38:53" ht="15" customHeight="1" x14ac:dyDescent="0.25">
      <c r="AL3730" s="31"/>
      <c r="AM3730" s="26"/>
      <c r="AN3730" s="32"/>
      <c r="AO3730" s="32"/>
      <c r="AP3730" s="24"/>
      <c r="AQ3730" s="24"/>
      <c r="AR3730" s="33"/>
      <c r="AS3730" s="34"/>
      <c r="AT3730" s="33"/>
      <c r="AV3730" s="21">
        <f>IF(AND($AL3730&lt;&gt;"",COUNTIF($AL$11:$AL3730,$AL3730)=1),1,0)</f>
        <v>0</v>
      </c>
      <c r="AW3730" s="21">
        <f t="shared" si="203"/>
        <v>0</v>
      </c>
      <c r="AX3730" s="21" t="str">
        <f t="shared" si="202"/>
        <v/>
      </c>
      <c r="AY3730" s="21" t="str">
        <f>IF(AND($AM3730&lt;&gt;"",$AS3730&lt;&gt;"✓"),SUMPRODUCT(($AM$11:$AM3730&lt;&gt;"")*($AS$11:$AS3730&lt;&gt;"✓")),"")</f>
        <v/>
      </c>
      <c r="AZ3730" s="21" t="str">
        <f>IF(AND($AM3730&lt;&gt;"",$AS3730="✓"),SUMPRODUCT(($AM$11:$AM3730&lt;&gt;"")*($AS$11:$AS3730="✓")),"")</f>
        <v/>
      </c>
      <c r="BA3730" s="21" t="str">
        <f>IF($AL3730="","",$AL3730&amp;"|"&amp;COUNTIF($AL$11:$AL3730,$AL3730))</f>
        <v/>
      </c>
    </row>
    <row r="3731" spans="38:53" ht="15" customHeight="1" x14ac:dyDescent="0.25">
      <c r="AL3731" s="17"/>
      <c r="AM3731" s="12"/>
      <c r="AN3731" s="18"/>
      <c r="AO3731" s="18"/>
      <c r="AP3731" s="10"/>
      <c r="AQ3731" s="10"/>
      <c r="AR3731" s="19"/>
      <c r="AS3731" s="20"/>
      <c r="AT3731" s="19"/>
      <c r="AV3731" s="21">
        <f>IF(AND($AL3731&lt;&gt;"",COUNTIF($AL$11:$AL3731,$AL3731)=1),1,0)</f>
        <v>0</v>
      </c>
      <c r="AW3731" s="21">
        <f t="shared" si="203"/>
        <v>0</v>
      </c>
      <c r="AX3731" s="21" t="str">
        <f t="shared" si="202"/>
        <v/>
      </c>
      <c r="AY3731" s="21" t="str">
        <f>IF(AND($AM3731&lt;&gt;"",$AS3731&lt;&gt;"✓"),SUMPRODUCT(($AM$11:$AM3731&lt;&gt;"")*($AS$11:$AS3731&lt;&gt;"✓")),"")</f>
        <v/>
      </c>
      <c r="AZ3731" s="21" t="str">
        <f>IF(AND($AM3731&lt;&gt;"",$AS3731="✓"),SUMPRODUCT(($AM$11:$AM3731&lt;&gt;"")*($AS$11:$AS3731="✓")),"")</f>
        <v/>
      </c>
      <c r="BA3731" s="21" t="str">
        <f>IF($AL3731="","",$AL3731&amp;"|"&amp;COUNTIF($AL$11:$AL3731,$AL3731))</f>
        <v/>
      </c>
    </row>
    <row r="3732" spans="38:53" ht="15" customHeight="1" x14ac:dyDescent="0.25">
      <c r="AL3732" s="31"/>
      <c r="AM3732" s="26"/>
      <c r="AN3732" s="32"/>
      <c r="AO3732" s="32"/>
      <c r="AP3732" s="24"/>
      <c r="AQ3732" s="24"/>
      <c r="AR3732" s="33"/>
      <c r="AS3732" s="34"/>
      <c r="AT3732" s="33"/>
      <c r="AV3732" s="21">
        <f>IF(AND($AL3732&lt;&gt;"",COUNTIF($AL$11:$AL3732,$AL3732)=1),1,0)</f>
        <v>0</v>
      </c>
      <c r="AW3732" s="21">
        <f t="shared" si="203"/>
        <v>0</v>
      </c>
      <c r="AX3732" s="21" t="str">
        <f t="shared" si="202"/>
        <v/>
      </c>
      <c r="AY3732" s="21" t="str">
        <f>IF(AND($AM3732&lt;&gt;"",$AS3732&lt;&gt;"✓"),SUMPRODUCT(($AM$11:$AM3732&lt;&gt;"")*($AS$11:$AS3732&lt;&gt;"✓")),"")</f>
        <v/>
      </c>
      <c r="AZ3732" s="21" t="str">
        <f>IF(AND($AM3732&lt;&gt;"",$AS3732="✓"),SUMPRODUCT(($AM$11:$AM3732&lt;&gt;"")*($AS$11:$AS3732="✓")),"")</f>
        <v/>
      </c>
      <c r="BA3732" s="21" t="str">
        <f>IF($AL3732="","",$AL3732&amp;"|"&amp;COUNTIF($AL$11:$AL3732,$AL3732))</f>
        <v/>
      </c>
    </row>
    <row r="3733" spans="38:53" ht="15" customHeight="1" x14ac:dyDescent="0.25">
      <c r="AL3733" s="17"/>
      <c r="AM3733" s="12"/>
      <c r="AN3733" s="18"/>
      <c r="AO3733" s="18"/>
      <c r="AP3733" s="10"/>
      <c r="AQ3733" s="10"/>
      <c r="AR3733" s="19"/>
      <c r="AS3733" s="20"/>
      <c r="AT3733" s="19"/>
      <c r="AV3733" s="21">
        <f>IF(AND($AL3733&lt;&gt;"",COUNTIF($AL$11:$AL3733,$AL3733)=1),1,0)</f>
        <v>0</v>
      </c>
      <c r="AW3733" s="21">
        <f t="shared" si="203"/>
        <v>0</v>
      </c>
      <c r="AX3733" s="21" t="str">
        <f t="shared" si="202"/>
        <v/>
      </c>
      <c r="AY3733" s="21" t="str">
        <f>IF(AND($AM3733&lt;&gt;"",$AS3733&lt;&gt;"✓"),SUMPRODUCT(($AM$11:$AM3733&lt;&gt;"")*($AS$11:$AS3733&lt;&gt;"✓")),"")</f>
        <v/>
      </c>
      <c r="AZ3733" s="21" t="str">
        <f>IF(AND($AM3733&lt;&gt;"",$AS3733="✓"),SUMPRODUCT(($AM$11:$AM3733&lt;&gt;"")*($AS$11:$AS3733="✓")),"")</f>
        <v/>
      </c>
      <c r="BA3733" s="21" t="str">
        <f>IF($AL3733="","",$AL3733&amp;"|"&amp;COUNTIF($AL$11:$AL3733,$AL3733))</f>
        <v/>
      </c>
    </row>
    <row r="3734" spans="38:53" ht="15" customHeight="1" x14ac:dyDescent="0.25">
      <c r="AL3734" s="31"/>
      <c r="AM3734" s="26"/>
      <c r="AN3734" s="32"/>
      <c r="AO3734" s="32"/>
      <c r="AP3734" s="24"/>
      <c r="AQ3734" s="24"/>
      <c r="AR3734" s="33"/>
      <c r="AS3734" s="34"/>
      <c r="AT3734" s="33"/>
      <c r="AV3734" s="21">
        <f>IF(AND($AL3734&lt;&gt;"",COUNTIF($AL$11:$AL3734,$AL3734)=1),1,0)</f>
        <v>0</v>
      </c>
      <c r="AW3734" s="21">
        <f t="shared" si="203"/>
        <v>0</v>
      </c>
      <c r="AX3734" s="21" t="str">
        <f t="shared" si="202"/>
        <v/>
      </c>
      <c r="AY3734" s="21" t="str">
        <f>IF(AND($AM3734&lt;&gt;"",$AS3734&lt;&gt;"✓"),SUMPRODUCT(($AM$11:$AM3734&lt;&gt;"")*($AS$11:$AS3734&lt;&gt;"✓")),"")</f>
        <v/>
      </c>
      <c r="AZ3734" s="21" t="str">
        <f>IF(AND($AM3734&lt;&gt;"",$AS3734="✓"),SUMPRODUCT(($AM$11:$AM3734&lt;&gt;"")*($AS$11:$AS3734="✓")),"")</f>
        <v/>
      </c>
      <c r="BA3734" s="21" t="str">
        <f>IF($AL3734="","",$AL3734&amp;"|"&amp;COUNTIF($AL$11:$AL3734,$AL3734))</f>
        <v/>
      </c>
    </row>
    <row r="3735" spans="38:53" ht="15" customHeight="1" x14ac:dyDescent="0.25">
      <c r="AL3735" s="17"/>
      <c r="AM3735" s="12"/>
      <c r="AN3735" s="18"/>
      <c r="AO3735" s="18"/>
      <c r="AP3735" s="10"/>
      <c r="AQ3735" s="10"/>
      <c r="AR3735" s="19"/>
      <c r="AS3735" s="20"/>
      <c r="AT3735" s="19"/>
      <c r="AV3735" s="21">
        <f>IF(AND($AL3735&lt;&gt;"",COUNTIF($AL$11:$AL3735,$AL3735)=1),1,0)</f>
        <v>0</v>
      </c>
      <c r="AW3735" s="21">
        <f t="shared" si="203"/>
        <v>0</v>
      </c>
      <c r="AX3735" s="21" t="str">
        <f t="shared" si="202"/>
        <v/>
      </c>
      <c r="AY3735" s="21" t="str">
        <f>IF(AND($AM3735&lt;&gt;"",$AS3735&lt;&gt;"✓"),SUMPRODUCT(($AM$11:$AM3735&lt;&gt;"")*($AS$11:$AS3735&lt;&gt;"✓")),"")</f>
        <v/>
      </c>
      <c r="AZ3735" s="21" t="str">
        <f>IF(AND($AM3735&lt;&gt;"",$AS3735="✓"),SUMPRODUCT(($AM$11:$AM3735&lt;&gt;"")*($AS$11:$AS3735="✓")),"")</f>
        <v/>
      </c>
      <c r="BA3735" s="21" t="str">
        <f>IF($AL3735="","",$AL3735&amp;"|"&amp;COUNTIF($AL$11:$AL3735,$AL3735))</f>
        <v/>
      </c>
    </row>
    <row r="3736" spans="38:53" ht="15" customHeight="1" x14ac:dyDescent="0.25">
      <c r="AL3736" s="31"/>
      <c r="AM3736" s="26"/>
      <c r="AN3736" s="32"/>
      <c r="AO3736" s="32"/>
      <c r="AP3736" s="24"/>
      <c r="AQ3736" s="24"/>
      <c r="AR3736" s="33"/>
      <c r="AS3736" s="34"/>
      <c r="AT3736" s="33"/>
      <c r="AV3736" s="21">
        <f>IF(AND($AL3736&lt;&gt;"",COUNTIF($AL$11:$AL3736,$AL3736)=1),1,0)</f>
        <v>0</v>
      </c>
      <c r="AW3736" s="21">
        <f t="shared" si="203"/>
        <v>0</v>
      </c>
      <c r="AX3736" s="21" t="str">
        <f t="shared" si="202"/>
        <v/>
      </c>
      <c r="AY3736" s="21" t="str">
        <f>IF(AND($AM3736&lt;&gt;"",$AS3736&lt;&gt;"✓"),SUMPRODUCT(($AM$11:$AM3736&lt;&gt;"")*($AS$11:$AS3736&lt;&gt;"✓")),"")</f>
        <v/>
      </c>
      <c r="AZ3736" s="21" t="str">
        <f>IF(AND($AM3736&lt;&gt;"",$AS3736="✓"),SUMPRODUCT(($AM$11:$AM3736&lt;&gt;"")*($AS$11:$AS3736="✓")),"")</f>
        <v/>
      </c>
      <c r="BA3736" s="21" t="str">
        <f>IF($AL3736="","",$AL3736&amp;"|"&amp;COUNTIF($AL$11:$AL3736,$AL3736))</f>
        <v/>
      </c>
    </row>
    <row r="3737" spans="38:53" ht="15" customHeight="1" x14ac:dyDescent="0.25">
      <c r="AL3737" s="17"/>
      <c r="AM3737" s="12"/>
      <c r="AN3737" s="18"/>
      <c r="AO3737" s="18"/>
      <c r="AP3737" s="10"/>
      <c r="AQ3737" s="10"/>
      <c r="AR3737" s="19"/>
      <c r="AS3737" s="20"/>
      <c r="AT3737" s="19"/>
      <c r="AV3737" s="21">
        <f>IF(AND($AL3737&lt;&gt;"",COUNTIF($AL$11:$AL3737,$AL3737)=1),1,0)</f>
        <v>0</v>
      </c>
      <c r="AW3737" s="21">
        <f t="shared" si="203"/>
        <v>0</v>
      </c>
      <c r="AX3737" s="21" t="str">
        <f t="shared" si="202"/>
        <v/>
      </c>
      <c r="AY3737" s="21" t="str">
        <f>IF(AND($AM3737&lt;&gt;"",$AS3737&lt;&gt;"✓"),SUMPRODUCT(($AM$11:$AM3737&lt;&gt;"")*($AS$11:$AS3737&lt;&gt;"✓")),"")</f>
        <v/>
      </c>
      <c r="AZ3737" s="21" t="str">
        <f>IF(AND($AM3737&lt;&gt;"",$AS3737="✓"),SUMPRODUCT(($AM$11:$AM3737&lt;&gt;"")*($AS$11:$AS3737="✓")),"")</f>
        <v/>
      </c>
      <c r="BA3737" s="21" t="str">
        <f>IF($AL3737="","",$AL3737&amp;"|"&amp;COUNTIF($AL$11:$AL3737,$AL3737))</f>
        <v/>
      </c>
    </row>
    <row r="3738" spans="38:53" ht="15" customHeight="1" x14ac:dyDescent="0.25">
      <c r="AL3738" s="31"/>
      <c r="AM3738" s="26"/>
      <c r="AN3738" s="32"/>
      <c r="AO3738" s="32"/>
      <c r="AP3738" s="24"/>
      <c r="AQ3738" s="24"/>
      <c r="AR3738" s="33"/>
      <c r="AS3738" s="34"/>
      <c r="AT3738" s="33"/>
      <c r="AV3738" s="21">
        <f>IF(AND($AL3738&lt;&gt;"",COUNTIF($AL$11:$AL3738,$AL3738)=1),1,0)</f>
        <v>0</v>
      </c>
      <c r="AW3738" s="21">
        <f t="shared" si="203"/>
        <v>0</v>
      </c>
      <c r="AX3738" s="21" t="str">
        <f t="shared" si="202"/>
        <v/>
      </c>
      <c r="AY3738" s="21" t="str">
        <f>IF(AND($AM3738&lt;&gt;"",$AS3738&lt;&gt;"✓"),SUMPRODUCT(($AM$11:$AM3738&lt;&gt;"")*($AS$11:$AS3738&lt;&gt;"✓")),"")</f>
        <v/>
      </c>
      <c r="AZ3738" s="21" t="str">
        <f>IF(AND($AM3738&lt;&gt;"",$AS3738="✓"),SUMPRODUCT(($AM$11:$AM3738&lt;&gt;"")*($AS$11:$AS3738="✓")),"")</f>
        <v/>
      </c>
      <c r="BA3738" s="21" t="str">
        <f>IF($AL3738="","",$AL3738&amp;"|"&amp;COUNTIF($AL$11:$AL3738,$AL3738))</f>
        <v/>
      </c>
    </row>
    <row r="3739" spans="38:53" ht="15" customHeight="1" x14ac:dyDescent="0.25">
      <c r="AL3739" s="17"/>
      <c r="AM3739" s="12"/>
      <c r="AN3739" s="18"/>
      <c r="AO3739" s="18"/>
      <c r="AP3739" s="10"/>
      <c r="AQ3739" s="10"/>
      <c r="AR3739" s="19"/>
      <c r="AS3739" s="20"/>
      <c r="AT3739" s="19"/>
      <c r="AV3739" s="21">
        <f>IF(AND($AL3739&lt;&gt;"",COUNTIF($AL$11:$AL3739,$AL3739)=1),1,0)</f>
        <v>0</v>
      </c>
      <c r="AW3739" s="21">
        <f t="shared" si="203"/>
        <v>0</v>
      </c>
      <c r="AX3739" s="21" t="str">
        <f t="shared" si="202"/>
        <v/>
      </c>
      <c r="AY3739" s="21" t="str">
        <f>IF(AND($AM3739&lt;&gt;"",$AS3739&lt;&gt;"✓"),SUMPRODUCT(($AM$11:$AM3739&lt;&gt;"")*($AS$11:$AS3739&lt;&gt;"✓")),"")</f>
        <v/>
      </c>
      <c r="AZ3739" s="21" t="str">
        <f>IF(AND($AM3739&lt;&gt;"",$AS3739="✓"),SUMPRODUCT(($AM$11:$AM3739&lt;&gt;"")*($AS$11:$AS3739="✓")),"")</f>
        <v/>
      </c>
      <c r="BA3739" s="21" t="str">
        <f>IF($AL3739="","",$AL3739&amp;"|"&amp;COUNTIF($AL$11:$AL3739,$AL3739))</f>
        <v/>
      </c>
    </row>
    <row r="3740" spans="38:53" ht="15" customHeight="1" x14ac:dyDescent="0.25">
      <c r="AL3740" s="31"/>
      <c r="AM3740" s="26"/>
      <c r="AN3740" s="32"/>
      <c r="AO3740" s="32"/>
      <c r="AP3740" s="24"/>
      <c r="AQ3740" s="24"/>
      <c r="AR3740" s="33"/>
      <c r="AS3740" s="34"/>
      <c r="AT3740" s="33"/>
      <c r="AV3740" s="21">
        <f>IF(AND($AL3740&lt;&gt;"",COUNTIF($AL$11:$AL3740,$AL3740)=1),1,0)</f>
        <v>0</v>
      </c>
      <c r="AW3740" s="21">
        <f t="shared" si="203"/>
        <v>0</v>
      </c>
      <c r="AX3740" s="21" t="str">
        <f t="shared" si="202"/>
        <v/>
      </c>
      <c r="AY3740" s="21" t="str">
        <f>IF(AND($AM3740&lt;&gt;"",$AS3740&lt;&gt;"✓"),SUMPRODUCT(($AM$11:$AM3740&lt;&gt;"")*($AS$11:$AS3740&lt;&gt;"✓")),"")</f>
        <v/>
      </c>
      <c r="AZ3740" s="21" t="str">
        <f>IF(AND($AM3740&lt;&gt;"",$AS3740="✓"),SUMPRODUCT(($AM$11:$AM3740&lt;&gt;"")*($AS$11:$AS3740="✓")),"")</f>
        <v/>
      </c>
      <c r="BA3740" s="21" t="str">
        <f>IF($AL3740="","",$AL3740&amp;"|"&amp;COUNTIF($AL$11:$AL3740,$AL3740))</f>
        <v/>
      </c>
    </row>
    <row r="3741" spans="38:53" ht="15" customHeight="1" x14ac:dyDescent="0.25">
      <c r="AL3741" s="17"/>
      <c r="AM3741" s="12"/>
      <c r="AN3741" s="18"/>
      <c r="AO3741" s="18"/>
      <c r="AP3741" s="10"/>
      <c r="AQ3741" s="10"/>
      <c r="AR3741" s="19"/>
      <c r="AS3741" s="20"/>
      <c r="AT3741" s="19"/>
      <c r="AV3741" s="21">
        <f>IF(AND($AL3741&lt;&gt;"",COUNTIF($AL$11:$AL3741,$AL3741)=1),1,0)</f>
        <v>0</v>
      </c>
      <c r="AW3741" s="21">
        <f t="shared" si="203"/>
        <v>0</v>
      </c>
      <c r="AX3741" s="21" t="str">
        <f t="shared" si="202"/>
        <v/>
      </c>
      <c r="AY3741" s="21" t="str">
        <f>IF(AND($AM3741&lt;&gt;"",$AS3741&lt;&gt;"✓"),SUMPRODUCT(($AM$11:$AM3741&lt;&gt;"")*($AS$11:$AS3741&lt;&gt;"✓")),"")</f>
        <v/>
      </c>
      <c r="AZ3741" s="21" t="str">
        <f>IF(AND($AM3741&lt;&gt;"",$AS3741="✓"),SUMPRODUCT(($AM$11:$AM3741&lt;&gt;"")*($AS$11:$AS3741="✓")),"")</f>
        <v/>
      </c>
      <c r="BA3741" s="21" t="str">
        <f>IF($AL3741="","",$AL3741&amp;"|"&amp;COUNTIF($AL$11:$AL3741,$AL3741))</f>
        <v/>
      </c>
    </row>
    <row r="3742" spans="38:53" ht="15" customHeight="1" x14ac:dyDescent="0.25">
      <c r="AL3742" s="31"/>
      <c r="AM3742" s="26"/>
      <c r="AN3742" s="32"/>
      <c r="AO3742" s="32"/>
      <c r="AP3742" s="24"/>
      <c r="AQ3742" s="24"/>
      <c r="AR3742" s="33"/>
      <c r="AS3742" s="34"/>
      <c r="AT3742" s="33"/>
      <c r="AV3742" s="21">
        <f>IF(AND($AL3742&lt;&gt;"",COUNTIF($AL$11:$AL3742,$AL3742)=1),1,0)</f>
        <v>0</v>
      </c>
      <c r="AW3742" s="21">
        <f t="shared" si="203"/>
        <v>0</v>
      </c>
      <c r="AX3742" s="21" t="str">
        <f t="shared" si="202"/>
        <v/>
      </c>
      <c r="AY3742" s="21" t="str">
        <f>IF(AND($AM3742&lt;&gt;"",$AS3742&lt;&gt;"✓"),SUMPRODUCT(($AM$11:$AM3742&lt;&gt;"")*($AS$11:$AS3742&lt;&gt;"✓")),"")</f>
        <v/>
      </c>
      <c r="AZ3742" s="21" t="str">
        <f>IF(AND($AM3742&lt;&gt;"",$AS3742="✓"),SUMPRODUCT(($AM$11:$AM3742&lt;&gt;"")*($AS$11:$AS3742="✓")),"")</f>
        <v/>
      </c>
      <c r="BA3742" s="21" t="str">
        <f>IF($AL3742="","",$AL3742&amp;"|"&amp;COUNTIF($AL$11:$AL3742,$AL3742))</f>
        <v/>
      </c>
    </row>
    <row r="3743" spans="38:53" ht="15" customHeight="1" x14ac:dyDescent="0.25">
      <c r="AL3743" s="17"/>
      <c r="AM3743" s="12"/>
      <c r="AN3743" s="18"/>
      <c r="AO3743" s="18"/>
      <c r="AP3743" s="10"/>
      <c r="AQ3743" s="10"/>
      <c r="AR3743" s="19"/>
      <c r="AS3743" s="20"/>
      <c r="AT3743" s="19"/>
      <c r="AV3743" s="21">
        <f>IF(AND($AL3743&lt;&gt;"",COUNTIF($AL$11:$AL3743,$AL3743)=1),1,0)</f>
        <v>0</v>
      </c>
      <c r="AW3743" s="21">
        <f t="shared" si="203"/>
        <v>0</v>
      </c>
      <c r="AX3743" s="21" t="str">
        <f t="shared" si="202"/>
        <v/>
      </c>
      <c r="AY3743" s="21" t="str">
        <f>IF(AND($AM3743&lt;&gt;"",$AS3743&lt;&gt;"✓"),SUMPRODUCT(($AM$11:$AM3743&lt;&gt;"")*($AS$11:$AS3743&lt;&gt;"✓")),"")</f>
        <v/>
      </c>
      <c r="AZ3743" s="21" t="str">
        <f>IF(AND($AM3743&lt;&gt;"",$AS3743="✓"),SUMPRODUCT(($AM$11:$AM3743&lt;&gt;"")*($AS$11:$AS3743="✓")),"")</f>
        <v/>
      </c>
      <c r="BA3743" s="21" t="str">
        <f>IF($AL3743="","",$AL3743&amp;"|"&amp;COUNTIF($AL$11:$AL3743,$AL3743))</f>
        <v/>
      </c>
    </row>
    <row r="3744" spans="38:53" ht="15" customHeight="1" x14ac:dyDescent="0.25">
      <c r="AL3744" s="31"/>
      <c r="AM3744" s="26"/>
      <c r="AN3744" s="32"/>
      <c r="AO3744" s="32"/>
      <c r="AP3744" s="24"/>
      <c r="AQ3744" s="24"/>
      <c r="AR3744" s="33"/>
      <c r="AS3744" s="34"/>
      <c r="AT3744" s="33"/>
      <c r="AV3744" s="21">
        <f>IF(AND($AL3744&lt;&gt;"",COUNTIF($AL$11:$AL3744,$AL3744)=1),1,0)</f>
        <v>0</v>
      </c>
      <c r="AW3744" s="21">
        <f t="shared" si="203"/>
        <v>0</v>
      </c>
      <c r="AX3744" s="21" t="str">
        <f t="shared" si="202"/>
        <v/>
      </c>
      <c r="AY3744" s="21" t="str">
        <f>IF(AND($AM3744&lt;&gt;"",$AS3744&lt;&gt;"✓"),SUMPRODUCT(($AM$11:$AM3744&lt;&gt;"")*($AS$11:$AS3744&lt;&gt;"✓")),"")</f>
        <v/>
      </c>
      <c r="AZ3744" s="21" t="str">
        <f>IF(AND($AM3744&lt;&gt;"",$AS3744="✓"),SUMPRODUCT(($AM$11:$AM3744&lt;&gt;"")*($AS$11:$AS3744="✓")),"")</f>
        <v/>
      </c>
      <c r="BA3744" s="21" t="str">
        <f>IF($AL3744="","",$AL3744&amp;"|"&amp;COUNTIF($AL$11:$AL3744,$AL3744))</f>
        <v/>
      </c>
    </row>
    <row r="3745" spans="38:53" ht="15" customHeight="1" x14ac:dyDescent="0.25">
      <c r="AL3745" s="17"/>
      <c r="AM3745" s="12"/>
      <c r="AN3745" s="18"/>
      <c r="AO3745" s="18"/>
      <c r="AP3745" s="10"/>
      <c r="AQ3745" s="10"/>
      <c r="AR3745" s="19"/>
      <c r="AS3745" s="20"/>
      <c r="AT3745" s="19"/>
      <c r="AV3745" s="21">
        <f>IF(AND($AL3745&lt;&gt;"",COUNTIF($AL$11:$AL3745,$AL3745)=1),1,0)</f>
        <v>0</v>
      </c>
      <c r="AW3745" s="21">
        <f t="shared" si="203"/>
        <v>0</v>
      </c>
      <c r="AX3745" s="21" t="str">
        <f t="shared" si="202"/>
        <v/>
      </c>
      <c r="AY3745" s="21" t="str">
        <f>IF(AND($AM3745&lt;&gt;"",$AS3745&lt;&gt;"✓"),SUMPRODUCT(($AM$11:$AM3745&lt;&gt;"")*($AS$11:$AS3745&lt;&gt;"✓")),"")</f>
        <v/>
      </c>
      <c r="AZ3745" s="21" t="str">
        <f>IF(AND($AM3745&lt;&gt;"",$AS3745="✓"),SUMPRODUCT(($AM$11:$AM3745&lt;&gt;"")*($AS$11:$AS3745="✓")),"")</f>
        <v/>
      </c>
      <c r="BA3745" s="21" t="str">
        <f>IF($AL3745="","",$AL3745&amp;"|"&amp;COUNTIF($AL$11:$AL3745,$AL3745))</f>
        <v/>
      </c>
    </row>
    <row r="3746" spans="38:53" ht="15" customHeight="1" x14ac:dyDescent="0.25">
      <c r="AL3746" s="31"/>
      <c r="AM3746" s="26"/>
      <c r="AN3746" s="32"/>
      <c r="AO3746" s="32"/>
      <c r="AP3746" s="24"/>
      <c r="AQ3746" s="24"/>
      <c r="AR3746" s="33"/>
      <c r="AS3746" s="34"/>
      <c r="AT3746" s="33"/>
      <c r="AV3746" s="21">
        <f>IF(AND($AL3746&lt;&gt;"",COUNTIF($AL$11:$AL3746,$AL3746)=1),1,0)</f>
        <v>0</v>
      </c>
      <c r="AW3746" s="21">
        <f t="shared" si="203"/>
        <v>0</v>
      </c>
      <c r="AX3746" s="21" t="str">
        <f t="shared" si="202"/>
        <v/>
      </c>
      <c r="AY3746" s="21" t="str">
        <f>IF(AND($AM3746&lt;&gt;"",$AS3746&lt;&gt;"✓"),SUMPRODUCT(($AM$11:$AM3746&lt;&gt;"")*($AS$11:$AS3746&lt;&gt;"✓")),"")</f>
        <v/>
      </c>
      <c r="AZ3746" s="21" t="str">
        <f>IF(AND($AM3746&lt;&gt;"",$AS3746="✓"),SUMPRODUCT(($AM$11:$AM3746&lt;&gt;"")*($AS$11:$AS3746="✓")),"")</f>
        <v/>
      </c>
      <c r="BA3746" s="21" t="str">
        <f>IF($AL3746="","",$AL3746&amp;"|"&amp;COUNTIF($AL$11:$AL3746,$AL3746))</f>
        <v/>
      </c>
    </row>
    <row r="3747" spans="38:53" ht="15" customHeight="1" x14ac:dyDescent="0.25">
      <c r="AL3747" s="17"/>
      <c r="AM3747" s="12"/>
      <c r="AN3747" s="18"/>
      <c r="AO3747" s="18"/>
      <c r="AP3747" s="10"/>
      <c r="AQ3747" s="10"/>
      <c r="AR3747" s="19"/>
      <c r="AS3747" s="20"/>
      <c r="AT3747" s="19"/>
      <c r="AV3747" s="21">
        <f>IF(AND($AL3747&lt;&gt;"",COUNTIF($AL$11:$AL3747,$AL3747)=1),1,0)</f>
        <v>0</v>
      </c>
      <c r="AW3747" s="21">
        <f t="shared" si="203"/>
        <v>0</v>
      </c>
      <c r="AX3747" s="21" t="str">
        <f t="shared" si="202"/>
        <v/>
      </c>
      <c r="AY3747" s="21" t="str">
        <f>IF(AND($AM3747&lt;&gt;"",$AS3747&lt;&gt;"✓"),SUMPRODUCT(($AM$11:$AM3747&lt;&gt;"")*($AS$11:$AS3747&lt;&gt;"✓")),"")</f>
        <v/>
      </c>
      <c r="AZ3747" s="21" t="str">
        <f>IF(AND($AM3747&lt;&gt;"",$AS3747="✓"),SUMPRODUCT(($AM$11:$AM3747&lt;&gt;"")*($AS$11:$AS3747="✓")),"")</f>
        <v/>
      </c>
      <c r="BA3747" s="21" t="str">
        <f>IF($AL3747="","",$AL3747&amp;"|"&amp;COUNTIF($AL$11:$AL3747,$AL3747))</f>
        <v/>
      </c>
    </row>
    <row r="3748" spans="38:53" ht="15" customHeight="1" x14ac:dyDescent="0.25">
      <c r="AL3748" s="31"/>
      <c r="AM3748" s="26"/>
      <c r="AN3748" s="32"/>
      <c r="AO3748" s="32"/>
      <c r="AP3748" s="24"/>
      <c r="AQ3748" s="24"/>
      <c r="AR3748" s="33"/>
      <c r="AS3748" s="34"/>
      <c r="AT3748" s="33"/>
      <c r="AV3748" s="21">
        <f>IF(AND($AL3748&lt;&gt;"",COUNTIF($AL$11:$AL3748,$AL3748)=1),1,0)</f>
        <v>0</v>
      </c>
      <c r="AW3748" s="21">
        <f t="shared" si="203"/>
        <v>0</v>
      </c>
      <c r="AX3748" s="21" t="str">
        <f t="shared" si="202"/>
        <v/>
      </c>
      <c r="AY3748" s="21" t="str">
        <f>IF(AND($AM3748&lt;&gt;"",$AS3748&lt;&gt;"✓"),SUMPRODUCT(($AM$11:$AM3748&lt;&gt;"")*($AS$11:$AS3748&lt;&gt;"✓")),"")</f>
        <v/>
      </c>
      <c r="AZ3748" s="21" t="str">
        <f>IF(AND($AM3748&lt;&gt;"",$AS3748="✓"),SUMPRODUCT(($AM$11:$AM3748&lt;&gt;"")*($AS$11:$AS3748="✓")),"")</f>
        <v/>
      </c>
      <c r="BA3748" s="21" t="str">
        <f>IF($AL3748="","",$AL3748&amp;"|"&amp;COUNTIF($AL$11:$AL3748,$AL3748))</f>
        <v/>
      </c>
    </row>
    <row r="3749" spans="38:53" ht="15" customHeight="1" x14ac:dyDescent="0.25">
      <c r="AL3749" s="17"/>
      <c r="AM3749" s="12"/>
      <c r="AN3749" s="18"/>
      <c r="AO3749" s="18"/>
      <c r="AP3749" s="10"/>
      <c r="AQ3749" s="10"/>
      <c r="AR3749" s="19"/>
      <c r="AS3749" s="20"/>
      <c r="AT3749" s="19"/>
      <c r="AV3749" s="21">
        <f>IF(AND($AL3749&lt;&gt;"",COUNTIF($AL$11:$AL3749,$AL3749)=1),1,0)</f>
        <v>0</v>
      </c>
      <c r="AW3749" s="21">
        <f t="shared" si="203"/>
        <v>0</v>
      </c>
      <c r="AX3749" s="21" t="str">
        <f t="shared" si="202"/>
        <v/>
      </c>
      <c r="AY3749" s="21" t="str">
        <f>IF(AND($AM3749&lt;&gt;"",$AS3749&lt;&gt;"✓"),SUMPRODUCT(($AM$11:$AM3749&lt;&gt;"")*($AS$11:$AS3749&lt;&gt;"✓")),"")</f>
        <v/>
      </c>
      <c r="AZ3749" s="21" t="str">
        <f>IF(AND($AM3749&lt;&gt;"",$AS3749="✓"),SUMPRODUCT(($AM$11:$AM3749&lt;&gt;"")*($AS$11:$AS3749="✓")),"")</f>
        <v/>
      </c>
      <c r="BA3749" s="21" t="str">
        <f>IF($AL3749="","",$AL3749&amp;"|"&amp;COUNTIF($AL$11:$AL3749,$AL3749))</f>
        <v/>
      </c>
    </row>
    <row r="3750" spans="38:53" ht="15" customHeight="1" x14ac:dyDescent="0.25">
      <c r="AL3750" s="31"/>
      <c r="AM3750" s="26"/>
      <c r="AN3750" s="32"/>
      <c r="AO3750" s="32"/>
      <c r="AP3750" s="24"/>
      <c r="AQ3750" s="24"/>
      <c r="AR3750" s="33"/>
      <c r="AS3750" s="34"/>
      <c r="AT3750" s="33"/>
      <c r="AV3750" s="21">
        <f>IF(AND($AL3750&lt;&gt;"",COUNTIF($AL$11:$AL3750,$AL3750)=1),1,0)</f>
        <v>0</v>
      </c>
      <c r="AW3750" s="21">
        <f t="shared" si="203"/>
        <v>0</v>
      </c>
      <c r="AX3750" s="21" t="str">
        <f t="shared" si="202"/>
        <v/>
      </c>
      <c r="AY3750" s="21" t="str">
        <f>IF(AND($AM3750&lt;&gt;"",$AS3750&lt;&gt;"✓"),SUMPRODUCT(($AM$11:$AM3750&lt;&gt;"")*($AS$11:$AS3750&lt;&gt;"✓")),"")</f>
        <v/>
      </c>
      <c r="AZ3750" s="21" t="str">
        <f>IF(AND($AM3750&lt;&gt;"",$AS3750="✓"),SUMPRODUCT(($AM$11:$AM3750&lt;&gt;"")*($AS$11:$AS3750="✓")),"")</f>
        <v/>
      </c>
      <c r="BA3750" s="21" t="str">
        <f>IF($AL3750="","",$AL3750&amp;"|"&amp;COUNTIF($AL$11:$AL3750,$AL3750))</f>
        <v/>
      </c>
    </row>
    <row r="3751" spans="38:53" ht="15" customHeight="1" x14ac:dyDescent="0.25">
      <c r="AL3751" s="17"/>
      <c r="AM3751" s="12"/>
      <c r="AN3751" s="18"/>
      <c r="AO3751" s="18"/>
      <c r="AP3751" s="10"/>
      <c r="AQ3751" s="10"/>
      <c r="AR3751" s="19"/>
      <c r="AS3751" s="20"/>
      <c r="AT3751" s="19"/>
      <c r="AV3751" s="21">
        <f>IF(AND($AL3751&lt;&gt;"",COUNTIF($AL$11:$AL3751,$AL3751)=1),1,0)</f>
        <v>0</v>
      </c>
      <c r="AW3751" s="21">
        <f t="shared" si="203"/>
        <v>0</v>
      </c>
      <c r="AX3751" s="21" t="str">
        <f t="shared" si="202"/>
        <v/>
      </c>
      <c r="AY3751" s="21" t="str">
        <f>IF(AND($AM3751&lt;&gt;"",$AS3751&lt;&gt;"✓"),SUMPRODUCT(($AM$11:$AM3751&lt;&gt;"")*($AS$11:$AS3751&lt;&gt;"✓")),"")</f>
        <v/>
      </c>
      <c r="AZ3751" s="21" t="str">
        <f>IF(AND($AM3751&lt;&gt;"",$AS3751="✓"),SUMPRODUCT(($AM$11:$AM3751&lt;&gt;"")*($AS$11:$AS3751="✓")),"")</f>
        <v/>
      </c>
      <c r="BA3751" s="21" t="str">
        <f>IF($AL3751="","",$AL3751&amp;"|"&amp;COUNTIF($AL$11:$AL3751,$AL3751))</f>
        <v/>
      </c>
    </row>
    <row r="3752" spans="38:53" ht="15" customHeight="1" x14ac:dyDescent="0.25">
      <c r="AL3752" s="31"/>
      <c r="AM3752" s="26"/>
      <c r="AN3752" s="32"/>
      <c r="AO3752" s="32"/>
      <c r="AP3752" s="24"/>
      <c r="AQ3752" s="24"/>
      <c r="AR3752" s="33"/>
      <c r="AS3752" s="34"/>
      <c r="AT3752" s="33"/>
      <c r="AV3752" s="21">
        <f>IF(AND($AL3752&lt;&gt;"",COUNTIF($AL$11:$AL3752,$AL3752)=1),1,0)</f>
        <v>0</v>
      </c>
      <c r="AW3752" s="21">
        <f t="shared" si="203"/>
        <v>0</v>
      </c>
      <c r="AX3752" s="21" t="str">
        <f t="shared" si="202"/>
        <v/>
      </c>
      <c r="AY3752" s="21" t="str">
        <f>IF(AND($AM3752&lt;&gt;"",$AS3752&lt;&gt;"✓"),SUMPRODUCT(($AM$11:$AM3752&lt;&gt;"")*($AS$11:$AS3752&lt;&gt;"✓")),"")</f>
        <v/>
      </c>
      <c r="AZ3752" s="21" t="str">
        <f>IF(AND($AM3752&lt;&gt;"",$AS3752="✓"),SUMPRODUCT(($AM$11:$AM3752&lt;&gt;"")*($AS$11:$AS3752="✓")),"")</f>
        <v/>
      </c>
      <c r="BA3752" s="21" t="str">
        <f>IF($AL3752="","",$AL3752&amp;"|"&amp;COUNTIF($AL$11:$AL3752,$AL3752))</f>
        <v/>
      </c>
    </row>
    <row r="3753" spans="38:53" ht="15" customHeight="1" x14ac:dyDescent="0.25">
      <c r="AL3753" s="17"/>
      <c r="AM3753" s="12"/>
      <c r="AN3753" s="18"/>
      <c r="AO3753" s="18"/>
      <c r="AP3753" s="10"/>
      <c r="AQ3753" s="10"/>
      <c r="AR3753" s="19"/>
      <c r="AS3753" s="20"/>
      <c r="AT3753" s="19"/>
      <c r="AV3753" s="21">
        <f>IF(AND($AL3753&lt;&gt;"",COUNTIF($AL$11:$AL3753,$AL3753)=1),1,0)</f>
        <v>0</v>
      </c>
      <c r="AW3753" s="21">
        <f t="shared" si="203"/>
        <v>0</v>
      </c>
      <c r="AX3753" s="21" t="str">
        <f t="shared" si="202"/>
        <v/>
      </c>
      <c r="AY3753" s="21" t="str">
        <f>IF(AND($AM3753&lt;&gt;"",$AS3753&lt;&gt;"✓"),SUMPRODUCT(($AM$11:$AM3753&lt;&gt;"")*($AS$11:$AS3753&lt;&gt;"✓")),"")</f>
        <v/>
      </c>
      <c r="AZ3753" s="21" t="str">
        <f>IF(AND($AM3753&lt;&gt;"",$AS3753="✓"),SUMPRODUCT(($AM$11:$AM3753&lt;&gt;"")*($AS$11:$AS3753="✓")),"")</f>
        <v/>
      </c>
      <c r="BA3753" s="21" t="str">
        <f>IF($AL3753="","",$AL3753&amp;"|"&amp;COUNTIF($AL$11:$AL3753,$AL3753))</f>
        <v/>
      </c>
    </row>
    <row r="3754" spans="38:53" ht="15" customHeight="1" x14ac:dyDescent="0.25">
      <c r="AL3754" s="31"/>
      <c r="AM3754" s="26"/>
      <c r="AN3754" s="32"/>
      <c r="AO3754" s="32"/>
      <c r="AP3754" s="24"/>
      <c r="AQ3754" s="24"/>
      <c r="AR3754" s="33"/>
      <c r="AS3754" s="34"/>
      <c r="AT3754" s="33"/>
      <c r="AV3754" s="21">
        <f>IF(AND($AL3754&lt;&gt;"",COUNTIF($AL$11:$AL3754,$AL3754)=1),1,0)</f>
        <v>0</v>
      </c>
      <c r="AW3754" s="21">
        <f t="shared" si="203"/>
        <v>0</v>
      </c>
      <c r="AX3754" s="21" t="str">
        <f t="shared" si="202"/>
        <v/>
      </c>
      <c r="AY3754" s="21" t="str">
        <f>IF(AND($AM3754&lt;&gt;"",$AS3754&lt;&gt;"✓"),SUMPRODUCT(($AM$11:$AM3754&lt;&gt;"")*($AS$11:$AS3754&lt;&gt;"✓")),"")</f>
        <v/>
      </c>
      <c r="AZ3754" s="21" t="str">
        <f>IF(AND($AM3754&lt;&gt;"",$AS3754="✓"),SUMPRODUCT(($AM$11:$AM3754&lt;&gt;"")*($AS$11:$AS3754="✓")),"")</f>
        <v/>
      </c>
      <c r="BA3754" s="21" t="str">
        <f>IF($AL3754="","",$AL3754&amp;"|"&amp;COUNTIF($AL$11:$AL3754,$AL3754))</f>
        <v/>
      </c>
    </row>
    <row r="3755" spans="38:53" ht="15" customHeight="1" x14ac:dyDescent="0.25">
      <c r="AL3755" s="17"/>
      <c r="AM3755" s="12"/>
      <c r="AN3755" s="18"/>
      <c r="AO3755" s="18"/>
      <c r="AP3755" s="10"/>
      <c r="AQ3755" s="10"/>
      <c r="AR3755" s="19"/>
      <c r="AS3755" s="20"/>
      <c r="AT3755" s="19"/>
      <c r="AV3755" s="21">
        <f>IF(AND($AL3755&lt;&gt;"",COUNTIF($AL$11:$AL3755,$AL3755)=1),1,0)</f>
        <v>0</v>
      </c>
      <c r="AW3755" s="21">
        <f t="shared" si="203"/>
        <v>0</v>
      </c>
      <c r="AX3755" s="21" t="str">
        <f t="shared" si="202"/>
        <v/>
      </c>
      <c r="AY3755" s="21" t="str">
        <f>IF(AND($AM3755&lt;&gt;"",$AS3755&lt;&gt;"✓"),SUMPRODUCT(($AM$11:$AM3755&lt;&gt;"")*($AS$11:$AS3755&lt;&gt;"✓")),"")</f>
        <v/>
      </c>
      <c r="AZ3755" s="21" t="str">
        <f>IF(AND($AM3755&lt;&gt;"",$AS3755="✓"),SUMPRODUCT(($AM$11:$AM3755&lt;&gt;"")*($AS$11:$AS3755="✓")),"")</f>
        <v/>
      </c>
      <c r="BA3755" s="21" t="str">
        <f>IF($AL3755="","",$AL3755&amp;"|"&amp;COUNTIF($AL$11:$AL3755,$AL3755))</f>
        <v/>
      </c>
    </row>
    <row r="3756" spans="38:53" ht="15" customHeight="1" x14ac:dyDescent="0.25">
      <c r="AL3756" s="31"/>
      <c r="AM3756" s="26"/>
      <c r="AN3756" s="32"/>
      <c r="AO3756" s="32"/>
      <c r="AP3756" s="24"/>
      <c r="AQ3756" s="24"/>
      <c r="AR3756" s="33"/>
      <c r="AS3756" s="34"/>
      <c r="AT3756" s="33"/>
      <c r="AV3756" s="21">
        <f>IF(AND($AL3756&lt;&gt;"",COUNTIF($AL$11:$AL3756,$AL3756)=1),1,0)</f>
        <v>0</v>
      </c>
      <c r="AW3756" s="21">
        <f t="shared" si="203"/>
        <v>0</v>
      </c>
      <c r="AX3756" s="21" t="str">
        <f t="shared" si="202"/>
        <v/>
      </c>
      <c r="AY3756" s="21" t="str">
        <f>IF(AND($AM3756&lt;&gt;"",$AS3756&lt;&gt;"✓"),SUMPRODUCT(($AM$11:$AM3756&lt;&gt;"")*($AS$11:$AS3756&lt;&gt;"✓")),"")</f>
        <v/>
      </c>
      <c r="AZ3756" s="21" t="str">
        <f>IF(AND($AM3756&lt;&gt;"",$AS3756="✓"),SUMPRODUCT(($AM$11:$AM3756&lt;&gt;"")*($AS$11:$AS3756="✓")),"")</f>
        <v/>
      </c>
      <c r="BA3756" s="21" t="str">
        <f>IF($AL3756="","",$AL3756&amp;"|"&amp;COUNTIF($AL$11:$AL3756,$AL3756))</f>
        <v/>
      </c>
    </row>
    <row r="3757" spans="38:53" ht="15" customHeight="1" x14ac:dyDescent="0.25">
      <c r="AL3757" s="17"/>
      <c r="AM3757" s="12"/>
      <c r="AN3757" s="18"/>
      <c r="AO3757" s="18"/>
      <c r="AP3757" s="10"/>
      <c r="AQ3757" s="10"/>
      <c r="AR3757" s="19"/>
      <c r="AS3757" s="20"/>
      <c r="AT3757" s="19"/>
      <c r="AV3757" s="21">
        <f>IF(AND($AL3757&lt;&gt;"",COUNTIF($AL$11:$AL3757,$AL3757)=1),1,0)</f>
        <v>0</v>
      </c>
      <c r="AW3757" s="21">
        <f t="shared" si="203"/>
        <v>0</v>
      </c>
      <c r="AX3757" s="21" t="str">
        <f t="shared" si="202"/>
        <v/>
      </c>
      <c r="AY3757" s="21" t="str">
        <f>IF(AND($AM3757&lt;&gt;"",$AS3757&lt;&gt;"✓"),SUMPRODUCT(($AM$11:$AM3757&lt;&gt;"")*($AS$11:$AS3757&lt;&gt;"✓")),"")</f>
        <v/>
      </c>
      <c r="AZ3757" s="21" t="str">
        <f>IF(AND($AM3757&lt;&gt;"",$AS3757="✓"),SUMPRODUCT(($AM$11:$AM3757&lt;&gt;"")*($AS$11:$AS3757="✓")),"")</f>
        <v/>
      </c>
      <c r="BA3757" s="21" t="str">
        <f>IF($AL3757="","",$AL3757&amp;"|"&amp;COUNTIF($AL$11:$AL3757,$AL3757))</f>
        <v/>
      </c>
    </row>
    <row r="3758" spans="38:53" ht="15" customHeight="1" x14ac:dyDescent="0.25">
      <c r="AL3758" s="31"/>
      <c r="AM3758" s="26"/>
      <c r="AN3758" s="32"/>
      <c r="AO3758" s="32"/>
      <c r="AP3758" s="24"/>
      <c r="AQ3758" s="24"/>
      <c r="AR3758" s="33"/>
      <c r="AS3758" s="34"/>
      <c r="AT3758" s="33"/>
      <c r="AV3758" s="21">
        <f>IF(AND($AL3758&lt;&gt;"",COUNTIF($AL$11:$AL3758,$AL3758)=1),1,0)</f>
        <v>0</v>
      </c>
      <c r="AW3758" s="21">
        <f t="shared" si="203"/>
        <v>0</v>
      </c>
      <c r="AX3758" s="21" t="str">
        <f t="shared" si="202"/>
        <v/>
      </c>
      <c r="AY3758" s="21" t="str">
        <f>IF(AND($AM3758&lt;&gt;"",$AS3758&lt;&gt;"✓"),SUMPRODUCT(($AM$11:$AM3758&lt;&gt;"")*($AS$11:$AS3758&lt;&gt;"✓")),"")</f>
        <v/>
      </c>
      <c r="AZ3758" s="21" t="str">
        <f>IF(AND($AM3758&lt;&gt;"",$AS3758="✓"),SUMPRODUCT(($AM$11:$AM3758&lt;&gt;"")*($AS$11:$AS3758="✓")),"")</f>
        <v/>
      </c>
      <c r="BA3758" s="21" t="str">
        <f>IF($AL3758="","",$AL3758&amp;"|"&amp;COUNTIF($AL$11:$AL3758,$AL3758))</f>
        <v/>
      </c>
    </row>
    <row r="3759" spans="38:53" ht="15" customHeight="1" x14ac:dyDescent="0.25">
      <c r="AL3759" s="17"/>
      <c r="AM3759" s="12"/>
      <c r="AN3759" s="18"/>
      <c r="AO3759" s="18"/>
      <c r="AP3759" s="10"/>
      <c r="AQ3759" s="10"/>
      <c r="AR3759" s="19"/>
      <c r="AS3759" s="20"/>
      <c r="AT3759" s="19"/>
      <c r="AV3759" s="21">
        <f>IF(AND($AL3759&lt;&gt;"",COUNTIF($AL$11:$AL3759,$AL3759)=1),1,0)</f>
        <v>0</v>
      </c>
      <c r="AW3759" s="21">
        <f t="shared" si="203"/>
        <v>0</v>
      </c>
      <c r="AX3759" s="21" t="str">
        <f t="shared" si="202"/>
        <v/>
      </c>
      <c r="AY3759" s="21" t="str">
        <f>IF(AND($AM3759&lt;&gt;"",$AS3759&lt;&gt;"✓"),SUMPRODUCT(($AM$11:$AM3759&lt;&gt;"")*($AS$11:$AS3759&lt;&gt;"✓")),"")</f>
        <v/>
      </c>
      <c r="AZ3759" s="21" t="str">
        <f>IF(AND($AM3759&lt;&gt;"",$AS3759="✓"),SUMPRODUCT(($AM$11:$AM3759&lt;&gt;"")*($AS$11:$AS3759="✓")),"")</f>
        <v/>
      </c>
      <c r="BA3759" s="21" t="str">
        <f>IF($AL3759="","",$AL3759&amp;"|"&amp;COUNTIF($AL$11:$AL3759,$AL3759))</f>
        <v/>
      </c>
    </row>
    <row r="3760" spans="38:53" ht="15" customHeight="1" x14ac:dyDescent="0.25">
      <c r="AL3760" s="31"/>
      <c r="AM3760" s="26"/>
      <c r="AN3760" s="32"/>
      <c r="AO3760" s="32"/>
      <c r="AP3760" s="24"/>
      <c r="AQ3760" s="24"/>
      <c r="AR3760" s="33"/>
      <c r="AS3760" s="34"/>
      <c r="AT3760" s="33"/>
      <c r="AV3760" s="21">
        <f>IF(AND($AL3760&lt;&gt;"",COUNTIF($AL$11:$AL3760,$AL3760)=1),1,0)</f>
        <v>0</v>
      </c>
      <c r="AW3760" s="21">
        <f t="shared" si="203"/>
        <v>0</v>
      </c>
      <c r="AX3760" s="21" t="str">
        <f t="shared" si="202"/>
        <v/>
      </c>
      <c r="AY3760" s="21" t="str">
        <f>IF(AND($AM3760&lt;&gt;"",$AS3760&lt;&gt;"✓"),SUMPRODUCT(($AM$11:$AM3760&lt;&gt;"")*($AS$11:$AS3760&lt;&gt;"✓")),"")</f>
        <v/>
      </c>
      <c r="AZ3760" s="21" t="str">
        <f>IF(AND($AM3760&lt;&gt;"",$AS3760="✓"),SUMPRODUCT(($AM$11:$AM3760&lt;&gt;"")*($AS$11:$AS3760="✓")),"")</f>
        <v/>
      </c>
      <c r="BA3760" s="21" t="str">
        <f>IF($AL3760="","",$AL3760&amp;"|"&amp;COUNTIF($AL$11:$AL3760,$AL3760))</f>
        <v/>
      </c>
    </row>
    <row r="3761" spans="38:53" ht="15" customHeight="1" x14ac:dyDescent="0.25">
      <c r="AL3761" s="17"/>
      <c r="AM3761" s="12"/>
      <c r="AN3761" s="18"/>
      <c r="AO3761" s="18"/>
      <c r="AP3761" s="10"/>
      <c r="AQ3761" s="10"/>
      <c r="AR3761" s="19"/>
      <c r="AS3761" s="20"/>
      <c r="AT3761" s="19"/>
      <c r="AV3761" s="21">
        <f>IF(AND($AL3761&lt;&gt;"",COUNTIF($AL$11:$AL3761,$AL3761)=1),1,0)</f>
        <v>0</v>
      </c>
      <c r="AW3761" s="21">
        <f t="shared" si="203"/>
        <v>0</v>
      </c>
      <c r="AX3761" s="21" t="str">
        <f t="shared" si="202"/>
        <v/>
      </c>
      <c r="AY3761" s="21" t="str">
        <f>IF(AND($AM3761&lt;&gt;"",$AS3761&lt;&gt;"✓"),SUMPRODUCT(($AM$11:$AM3761&lt;&gt;"")*($AS$11:$AS3761&lt;&gt;"✓")),"")</f>
        <v/>
      </c>
      <c r="AZ3761" s="21" t="str">
        <f>IF(AND($AM3761&lt;&gt;"",$AS3761="✓"),SUMPRODUCT(($AM$11:$AM3761&lt;&gt;"")*($AS$11:$AS3761="✓")),"")</f>
        <v/>
      </c>
      <c r="BA3761" s="21" t="str">
        <f>IF($AL3761="","",$AL3761&amp;"|"&amp;COUNTIF($AL$11:$AL3761,$AL3761))</f>
        <v/>
      </c>
    </row>
    <row r="3762" spans="38:53" ht="15" customHeight="1" x14ac:dyDescent="0.25">
      <c r="AL3762" s="31"/>
      <c r="AM3762" s="26"/>
      <c r="AN3762" s="32"/>
      <c r="AO3762" s="32"/>
      <c r="AP3762" s="24"/>
      <c r="AQ3762" s="24"/>
      <c r="AR3762" s="33"/>
      <c r="AS3762" s="34"/>
      <c r="AT3762" s="33"/>
      <c r="AV3762" s="21">
        <f>IF(AND($AL3762&lt;&gt;"",COUNTIF($AL$11:$AL3762,$AL3762)=1),1,0)</f>
        <v>0</v>
      </c>
      <c r="AW3762" s="21">
        <f t="shared" si="203"/>
        <v>0</v>
      </c>
      <c r="AX3762" s="21" t="str">
        <f t="shared" si="202"/>
        <v/>
      </c>
      <c r="AY3762" s="21" t="str">
        <f>IF(AND($AM3762&lt;&gt;"",$AS3762&lt;&gt;"✓"),SUMPRODUCT(($AM$11:$AM3762&lt;&gt;"")*($AS$11:$AS3762&lt;&gt;"✓")),"")</f>
        <v/>
      </c>
      <c r="AZ3762" s="21" t="str">
        <f>IF(AND($AM3762&lt;&gt;"",$AS3762="✓"),SUMPRODUCT(($AM$11:$AM3762&lt;&gt;"")*($AS$11:$AS3762="✓")),"")</f>
        <v/>
      </c>
      <c r="BA3762" s="21" t="str">
        <f>IF($AL3762="","",$AL3762&amp;"|"&amp;COUNTIF($AL$11:$AL3762,$AL3762))</f>
        <v/>
      </c>
    </row>
    <row r="3763" spans="38:53" ht="15" customHeight="1" x14ac:dyDescent="0.25">
      <c r="AL3763" s="17"/>
      <c r="AM3763" s="12"/>
      <c r="AN3763" s="18"/>
      <c r="AO3763" s="18"/>
      <c r="AP3763" s="10"/>
      <c r="AQ3763" s="10"/>
      <c r="AR3763" s="19"/>
      <c r="AS3763" s="20"/>
      <c r="AT3763" s="19"/>
      <c r="AV3763" s="21">
        <f>IF(AND($AL3763&lt;&gt;"",COUNTIF($AL$11:$AL3763,$AL3763)=1),1,0)</f>
        <v>0</v>
      </c>
      <c r="AW3763" s="21">
        <f t="shared" si="203"/>
        <v>0</v>
      </c>
      <c r="AX3763" s="21" t="str">
        <f t="shared" si="202"/>
        <v/>
      </c>
      <c r="AY3763" s="21" t="str">
        <f>IF(AND($AM3763&lt;&gt;"",$AS3763&lt;&gt;"✓"),SUMPRODUCT(($AM$11:$AM3763&lt;&gt;"")*($AS$11:$AS3763&lt;&gt;"✓")),"")</f>
        <v/>
      </c>
      <c r="AZ3763" s="21" t="str">
        <f>IF(AND($AM3763&lt;&gt;"",$AS3763="✓"),SUMPRODUCT(($AM$11:$AM3763&lt;&gt;"")*($AS$11:$AS3763="✓")),"")</f>
        <v/>
      </c>
      <c r="BA3763" s="21" t="str">
        <f>IF($AL3763="","",$AL3763&amp;"|"&amp;COUNTIF($AL$11:$AL3763,$AL3763))</f>
        <v/>
      </c>
    </row>
    <row r="3764" spans="38:53" ht="15" customHeight="1" x14ac:dyDescent="0.25">
      <c r="AL3764" s="31"/>
      <c r="AM3764" s="26"/>
      <c r="AN3764" s="32"/>
      <c r="AO3764" s="32"/>
      <c r="AP3764" s="24"/>
      <c r="AQ3764" s="24"/>
      <c r="AR3764" s="33"/>
      <c r="AS3764" s="34"/>
      <c r="AT3764" s="33"/>
      <c r="AV3764" s="21">
        <f>IF(AND($AL3764&lt;&gt;"",COUNTIF($AL$11:$AL3764,$AL3764)=1),1,0)</f>
        <v>0</v>
      </c>
      <c r="AW3764" s="21">
        <f t="shared" si="203"/>
        <v>0</v>
      </c>
      <c r="AX3764" s="21" t="str">
        <f t="shared" si="202"/>
        <v/>
      </c>
      <c r="AY3764" s="21" t="str">
        <f>IF(AND($AM3764&lt;&gt;"",$AS3764&lt;&gt;"✓"),SUMPRODUCT(($AM$11:$AM3764&lt;&gt;"")*($AS$11:$AS3764&lt;&gt;"✓")),"")</f>
        <v/>
      </c>
      <c r="AZ3764" s="21" t="str">
        <f>IF(AND($AM3764&lt;&gt;"",$AS3764="✓"),SUMPRODUCT(($AM$11:$AM3764&lt;&gt;"")*($AS$11:$AS3764="✓")),"")</f>
        <v/>
      </c>
      <c r="BA3764" s="21" t="str">
        <f>IF($AL3764="","",$AL3764&amp;"|"&amp;COUNTIF($AL$11:$AL3764,$AL3764))</f>
        <v/>
      </c>
    </row>
    <row r="3765" spans="38:53" ht="15" customHeight="1" x14ac:dyDescent="0.25">
      <c r="AL3765" s="17"/>
      <c r="AM3765" s="12"/>
      <c r="AN3765" s="18"/>
      <c r="AO3765" s="18"/>
      <c r="AP3765" s="10"/>
      <c r="AQ3765" s="10"/>
      <c r="AR3765" s="19"/>
      <c r="AS3765" s="20"/>
      <c r="AT3765" s="19"/>
      <c r="AV3765" s="21">
        <f>IF(AND($AL3765&lt;&gt;"",COUNTIF($AL$11:$AL3765,$AL3765)=1),1,0)</f>
        <v>0</v>
      </c>
      <c r="AW3765" s="21">
        <f t="shared" si="203"/>
        <v>0</v>
      </c>
      <c r="AX3765" s="21" t="str">
        <f t="shared" si="202"/>
        <v/>
      </c>
      <c r="AY3765" s="21" t="str">
        <f>IF(AND($AM3765&lt;&gt;"",$AS3765&lt;&gt;"✓"),SUMPRODUCT(($AM$11:$AM3765&lt;&gt;"")*($AS$11:$AS3765&lt;&gt;"✓")),"")</f>
        <v/>
      </c>
      <c r="AZ3765" s="21" t="str">
        <f>IF(AND($AM3765&lt;&gt;"",$AS3765="✓"),SUMPRODUCT(($AM$11:$AM3765&lt;&gt;"")*($AS$11:$AS3765="✓")),"")</f>
        <v/>
      </c>
      <c r="BA3765" s="21" t="str">
        <f>IF($AL3765="","",$AL3765&amp;"|"&amp;COUNTIF($AL$11:$AL3765,$AL3765))</f>
        <v/>
      </c>
    </row>
    <row r="3766" spans="38:53" ht="15" customHeight="1" x14ac:dyDescent="0.25">
      <c r="AL3766" s="31"/>
      <c r="AM3766" s="26"/>
      <c r="AN3766" s="32"/>
      <c r="AO3766" s="32"/>
      <c r="AP3766" s="24"/>
      <c r="AQ3766" s="24"/>
      <c r="AR3766" s="33"/>
      <c r="AS3766" s="34"/>
      <c r="AT3766" s="33"/>
      <c r="AV3766" s="21">
        <f>IF(AND($AL3766&lt;&gt;"",COUNTIF($AL$11:$AL3766,$AL3766)=1),1,0)</f>
        <v>0</v>
      </c>
      <c r="AW3766" s="21">
        <f t="shared" si="203"/>
        <v>0</v>
      </c>
      <c r="AX3766" s="21" t="str">
        <f t="shared" si="202"/>
        <v/>
      </c>
      <c r="AY3766" s="21" t="str">
        <f>IF(AND($AM3766&lt;&gt;"",$AS3766&lt;&gt;"✓"),SUMPRODUCT(($AM$11:$AM3766&lt;&gt;"")*($AS$11:$AS3766&lt;&gt;"✓")),"")</f>
        <v/>
      </c>
      <c r="AZ3766" s="21" t="str">
        <f>IF(AND($AM3766&lt;&gt;"",$AS3766="✓"),SUMPRODUCT(($AM$11:$AM3766&lt;&gt;"")*($AS$11:$AS3766="✓")),"")</f>
        <v/>
      </c>
      <c r="BA3766" s="21" t="str">
        <f>IF($AL3766="","",$AL3766&amp;"|"&amp;COUNTIF($AL$11:$AL3766,$AL3766))</f>
        <v/>
      </c>
    </row>
    <row r="3767" spans="38:53" ht="15" customHeight="1" x14ac:dyDescent="0.25">
      <c r="AL3767" s="17"/>
      <c r="AM3767" s="12"/>
      <c r="AN3767" s="18"/>
      <c r="AO3767" s="18"/>
      <c r="AP3767" s="10"/>
      <c r="AQ3767" s="10"/>
      <c r="AR3767" s="19"/>
      <c r="AS3767" s="20"/>
      <c r="AT3767" s="19"/>
      <c r="AV3767" s="21">
        <f>IF(AND($AL3767&lt;&gt;"",COUNTIF($AL$11:$AL3767,$AL3767)=1),1,0)</f>
        <v>0</v>
      </c>
      <c r="AW3767" s="21">
        <f t="shared" si="203"/>
        <v>0</v>
      </c>
      <c r="AX3767" s="21" t="str">
        <f t="shared" si="202"/>
        <v/>
      </c>
      <c r="AY3767" s="21" t="str">
        <f>IF(AND($AM3767&lt;&gt;"",$AS3767&lt;&gt;"✓"),SUMPRODUCT(($AM$11:$AM3767&lt;&gt;"")*($AS$11:$AS3767&lt;&gt;"✓")),"")</f>
        <v/>
      </c>
      <c r="AZ3767" s="21" t="str">
        <f>IF(AND($AM3767&lt;&gt;"",$AS3767="✓"),SUMPRODUCT(($AM$11:$AM3767&lt;&gt;"")*($AS$11:$AS3767="✓")),"")</f>
        <v/>
      </c>
      <c r="BA3767" s="21" t="str">
        <f>IF($AL3767="","",$AL3767&amp;"|"&amp;COUNTIF($AL$11:$AL3767,$AL3767))</f>
        <v/>
      </c>
    </row>
    <row r="3768" spans="38:53" ht="15" customHeight="1" x14ac:dyDescent="0.25">
      <c r="AL3768" s="31"/>
      <c r="AM3768" s="26"/>
      <c r="AN3768" s="32"/>
      <c r="AO3768" s="32"/>
      <c r="AP3768" s="24"/>
      <c r="AQ3768" s="24"/>
      <c r="AR3768" s="33"/>
      <c r="AS3768" s="34"/>
      <c r="AT3768" s="33"/>
      <c r="AV3768" s="21">
        <f>IF(AND($AL3768&lt;&gt;"",COUNTIF($AL$11:$AL3768,$AL3768)=1),1,0)</f>
        <v>0</v>
      </c>
      <c r="AW3768" s="21">
        <f t="shared" si="203"/>
        <v>0</v>
      </c>
      <c r="AX3768" s="21" t="str">
        <f t="shared" si="202"/>
        <v/>
      </c>
      <c r="AY3768" s="21" t="str">
        <f>IF(AND($AM3768&lt;&gt;"",$AS3768&lt;&gt;"✓"),SUMPRODUCT(($AM$11:$AM3768&lt;&gt;"")*($AS$11:$AS3768&lt;&gt;"✓")),"")</f>
        <v/>
      </c>
      <c r="AZ3768" s="21" t="str">
        <f>IF(AND($AM3768&lt;&gt;"",$AS3768="✓"),SUMPRODUCT(($AM$11:$AM3768&lt;&gt;"")*($AS$11:$AS3768="✓")),"")</f>
        <v/>
      </c>
      <c r="BA3768" s="21" t="str">
        <f>IF($AL3768="","",$AL3768&amp;"|"&amp;COUNTIF($AL$11:$AL3768,$AL3768))</f>
        <v/>
      </c>
    </row>
    <row r="3769" spans="38:53" ht="15" customHeight="1" x14ac:dyDescent="0.25">
      <c r="AL3769" s="17"/>
      <c r="AM3769" s="12"/>
      <c r="AN3769" s="18"/>
      <c r="AO3769" s="18"/>
      <c r="AP3769" s="10"/>
      <c r="AQ3769" s="10"/>
      <c r="AR3769" s="19"/>
      <c r="AS3769" s="20"/>
      <c r="AT3769" s="19"/>
      <c r="AV3769" s="21">
        <f>IF(AND($AL3769&lt;&gt;"",COUNTIF($AL$11:$AL3769,$AL3769)=1),1,0)</f>
        <v>0</v>
      </c>
      <c r="AW3769" s="21">
        <f t="shared" si="203"/>
        <v>0</v>
      </c>
      <c r="AX3769" s="21" t="str">
        <f t="shared" si="202"/>
        <v/>
      </c>
      <c r="AY3769" s="21" t="str">
        <f>IF(AND($AM3769&lt;&gt;"",$AS3769&lt;&gt;"✓"),SUMPRODUCT(($AM$11:$AM3769&lt;&gt;"")*($AS$11:$AS3769&lt;&gt;"✓")),"")</f>
        <v/>
      </c>
      <c r="AZ3769" s="21" t="str">
        <f>IF(AND($AM3769&lt;&gt;"",$AS3769="✓"),SUMPRODUCT(($AM$11:$AM3769&lt;&gt;"")*($AS$11:$AS3769="✓")),"")</f>
        <v/>
      </c>
      <c r="BA3769" s="21" t="str">
        <f>IF($AL3769="","",$AL3769&amp;"|"&amp;COUNTIF($AL$11:$AL3769,$AL3769))</f>
        <v/>
      </c>
    </row>
    <row r="3770" spans="38:53" ht="15" customHeight="1" x14ac:dyDescent="0.25">
      <c r="AL3770" s="31"/>
      <c r="AM3770" s="26"/>
      <c r="AN3770" s="32"/>
      <c r="AO3770" s="32"/>
      <c r="AP3770" s="24"/>
      <c r="AQ3770" s="24"/>
      <c r="AR3770" s="33"/>
      <c r="AS3770" s="34"/>
      <c r="AT3770" s="33"/>
      <c r="AV3770" s="21">
        <f>IF(AND($AL3770&lt;&gt;"",COUNTIF($AL$11:$AL3770,$AL3770)=1),1,0)</f>
        <v>0</v>
      </c>
      <c r="AW3770" s="21">
        <f t="shared" si="203"/>
        <v>0</v>
      </c>
      <c r="AX3770" s="21" t="str">
        <f t="shared" si="202"/>
        <v/>
      </c>
      <c r="AY3770" s="21" t="str">
        <f>IF(AND($AM3770&lt;&gt;"",$AS3770&lt;&gt;"✓"),SUMPRODUCT(($AM$11:$AM3770&lt;&gt;"")*($AS$11:$AS3770&lt;&gt;"✓")),"")</f>
        <v/>
      </c>
      <c r="AZ3770" s="21" t="str">
        <f>IF(AND($AM3770&lt;&gt;"",$AS3770="✓"),SUMPRODUCT(($AM$11:$AM3770&lt;&gt;"")*($AS$11:$AS3770="✓")),"")</f>
        <v/>
      </c>
      <c r="BA3770" s="21" t="str">
        <f>IF($AL3770="","",$AL3770&amp;"|"&amp;COUNTIF($AL$11:$AL3770,$AL3770))</f>
        <v/>
      </c>
    </row>
    <row r="3771" spans="38:53" ht="15" customHeight="1" x14ac:dyDescent="0.25">
      <c r="AL3771" s="17"/>
      <c r="AM3771" s="12"/>
      <c r="AN3771" s="18"/>
      <c r="AO3771" s="18"/>
      <c r="AP3771" s="10"/>
      <c r="AQ3771" s="10"/>
      <c r="AR3771" s="19"/>
      <c r="AS3771" s="20"/>
      <c r="AT3771" s="19"/>
      <c r="AV3771" s="21">
        <f>IF(AND($AL3771&lt;&gt;"",COUNTIF($AL$11:$AL3771,$AL3771)=1),1,0)</f>
        <v>0</v>
      </c>
      <c r="AW3771" s="21">
        <f t="shared" si="203"/>
        <v>0</v>
      </c>
      <c r="AX3771" s="21" t="str">
        <f t="shared" si="202"/>
        <v/>
      </c>
      <c r="AY3771" s="21" t="str">
        <f>IF(AND($AM3771&lt;&gt;"",$AS3771&lt;&gt;"✓"),SUMPRODUCT(($AM$11:$AM3771&lt;&gt;"")*($AS$11:$AS3771&lt;&gt;"✓")),"")</f>
        <v/>
      </c>
      <c r="AZ3771" s="21" t="str">
        <f>IF(AND($AM3771&lt;&gt;"",$AS3771="✓"),SUMPRODUCT(($AM$11:$AM3771&lt;&gt;"")*($AS$11:$AS3771="✓")),"")</f>
        <v/>
      </c>
      <c r="BA3771" s="21" t="str">
        <f>IF($AL3771="","",$AL3771&amp;"|"&amp;COUNTIF($AL$11:$AL3771,$AL3771))</f>
        <v/>
      </c>
    </row>
    <row r="3772" spans="38:53" ht="15" customHeight="1" x14ac:dyDescent="0.25">
      <c r="AL3772" s="31"/>
      <c r="AM3772" s="26"/>
      <c r="AN3772" s="32"/>
      <c r="AO3772" s="32"/>
      <c r="AP3772" s="24"/>
      <c r="AQ3772" s="24"/>
      <c r="AR3772" s="33"/>
      <c r="AS3772" s="34"/>
      <c r="AT3772" s="33"/>
      <c r="AV3772" s="21">
        <f>IF(AND($AL3772&lt;&gt;"",COUNTIF($AL$11:$AL3772,$AL3772)=1),1,0)</f>
        <v>0</v>
      </c>
      <c r="AW3772" s="21">
        <f t="shared" si="203"/>
        <v>0</v>
      </c>
      <c r="AX3772" s="21" t="str">
        <f t="shared" si="202"/>
        <v/>
      </c>
      <c r="AY3772" s="21" t="str">
        <f>IF(AND($AM3772&lt;&gt;"",$AS3772&lt;&gt;"✓"),SUMPRODUCT(($AM$11:$AM3772&lt;&gt;"")*($AS$11:$AS3772&lt;&gt;"✓")),"")</f>
        <v/>
      </c>
      <c r="AZ3772" s="21" t="str">
        <f>IF(AND($AM3772&lt;&gt;"",$AS3772="✓"),SUMPRODUCT(($AM$11:$AM3772&lt;&gt;"")*($AS$11:$AS3772="✓")),"")</f>
        <v/>
      </c>
      <c r="BA3772" s="21" t="str">
        <f>IF($AL3772="","",$AL3772&amp;"|"&amp;COUNTIF($AL$11:$AL3772,$AL3772))</f>
        <v/>
      </c>
    </row>
    <row r="3773" spans="38:53" ht="15" customHeight="1" x14ac:dyDescent="0.25">
      <c r="AL3773" s="17"/>
      <c r="AM3773" s="12"/>
      <c r="AN3773" s="18"/>
      <c r="AO3773" s="18"/>
      <c r="AP3773" s="10"/>
      <c r="AQ3773" s="10"/>
      <c r="AR3773" s="19"/>
      <c r="AS3773" s="20"/>
      <c r="AT3773" s="19"/>
      <c r="AV3773" s="21">
        <f>IF(AND($AL3773&lt;&gt;"",COUNTIF($AL$11:$AL3773,$AL3773)=1),1,0)</f>
        <v>0</v>
      </c>
      <c r="AW3773" s="21">
        <f t="shared" si="203"/>
        <v>0</v>
      </c>
      <c r="AX3773" s="21" t="str">
        <f t="shared" si="202"/>
        <v/>
      </c>
      <c r="AY3773" s="21" t="str">
        <f>IF(AND($AM3773&lt;&gt;"",$AS3773&lt;&gt;"✓"),SUMPRODUCT(($AM$11:$AM3773&lt;&gt;"")*($AS$11:$AS3773&lt;&gt;"✓")),"")</f>
        <v/>
      </c>
      <c r="AZ3773" s="21" t="str">
        <f>IF(AND($AM3773&lt;&gt;"",$AS3773="✓"),SUMPRODUCT(($AM$11:$AM3773&lt;&gt;"")*($AS$11:$AS3773="✓")),"")</f>
        <v/>
      </c>
      <c r="BA3773" s="21" t="str">
        <f>IF($AL3773="","",$AL3773&amp;"|"&amp;COUNTIF($AL$11:$AL3773,$AL3773))</f>
        <v/>
      </c>
    </row>
    <row r="3774" spans="38:53" ht="15" customHeight="1" x14ac:dyDescent="0.25">
      <c r="AL3774" s="31"/>
      <c r="AM3774" s="26"/>
      <c r="AN3774" s="32"/>
      <c r="AO3774" s="32"/>
      <c r="AP3774" s="24"/>
      <c r="AQ3774" s="24"/>
      <c r="AR3774" s="33"/>
      <c r="AS3774" s="34"/>
      <c r="AT3774" s="33"/>
      <c r="AV3774" s="21">
        <f>IF(AND($AL3774&lt;&gt;"",COUNTIF($AL$11:$AL3774,$AL3774)=1),1,0)</f>
        <v>0</v>
      </c>
      <c r="AW3774" s="21">
        <f t="shared" si="203"/>
        <v>0</v>
      </c>
      <c r="AX3774" s="21" t="str">
        <f t="shared" si="202"/>
        <v/>
      </c>
      <c r="AY3774" s="21" t="str">
        <f>IF(AND($AM3774&lt;&gt;"",$AS3774&lt;&gt;"✓"),SUMPRODUCT(($AM$11:$AM3774&lt;&gt;"")*($AS$11:$AS3774&lt;&gt;"✓")),"")</f>
        <v/>
      </c>
      <c r="AZ3774" s="21" t="str">
        <f>IF(AND($AM3774&lt;&gt;"",$AS3774="✓"),SUMPRODUCT(($AM$11:$AM3774&lt;&gt;"")*($AS$11:$AS3774="✓")),"")</f>
        <v/>
      </c>
      <c r="BA3774" s="21" t="str">
        <f>IF($AL3774="","",$AL3774&amp;"|"&amp;COUNTIF($AL$11:$AL3774,$AL3774))</f>
        <v/>
      </c>
    </row>
    <row r="3775" spans="38:53" ht="15" customHeight="1" x14ac:dyDescent="0.25">
      <c r="AL3775" s="17"/>
      <c r="AM3775" s="12"/>
      <c r="AN3775" s="18"/>
      <c r="AO3775" s="18"/>
      <c r="AP3775" s="10"/>
      <c r="AQ3775" s="10"/>
      <c r="AR3775" s="19"/>
      <c r="AS3775" s="20"/>
      <c r="AT3775" s="19"/>
      <c r="AV3775" s="21">
        <f>IF(AND($AL3775&lt;&gt;"",COUNTIF($AL$11:$AL3775,$AL3775)=1),1,0)</f>
        <v>0</v>
      </c>
      <c r="AW3775" s="21">
        <f t="shared" si="203"/>
        <v>0</v>
      </c>
      <c r="AX3775" s="21" t="str">
        <f t="shared" si="202"/>
        <v/>
      </c>
      <c r="AY3775" s="21" t="str">
        <f>IF(AND($AM3775&lt;&gt;"",$AS3775&lt;&gt;"✓"),SUMPRODUCT(($AM$11:$AM3775&lt;&gt;"")*($AS$11:$AS3775&lt;&gt;"✓")),"")</f>
        <v/>
      </c>
      <c r="AZ3775" s="21" t="str">
        <f>IF(AND($AM3775&lt;&gt;"",$AS3775="✓"),SUMPRODUCT(($AM$11:$AM3775&lt;&gt;"")*($AS$11:$AS3775="✓")),"")</f>
        <v/>
      </c>
      <c r="BA3775" s="21" t="str">
        <f>IF($AL3775="","",$AL3775&amp;"|"&amp;COUNTIF($AL$11:$AL3775,$AL3775))</f>
        <v/>
      </c>
    </row>
    <row r="3776" spans="38:53" ht="15" customHeight="1" x14ac:dyDescent="0.25">
      <c r="AL3776" s="31"/>
      <c r="AM3776" s="26"/>
      <c r="AN3776" s="32"/>
      <c r="AO3776" s="32"/>
      <c r="AP3776" s="24"/>
      <c r="AQ3776" s="24"/>
      <c r="AR3776" s="33"/>
      <c r="AS3776" s="34"/>
      <c r="AT3776" s="33"/>
      <c r="AV3776" s="21">
        <f>IF(AND($AL3776&lt;&gt;"",COUNTIF($AL$11:$AL3776,$AL3776)=1),1,0)</f>
        <v>0</v>
      </c>
      <c r="AW3776" s="21">
        <f t="shared" si="203"/>
        <v>0</v>
      </c>
      <c r="AX3776" s="21" t="str">
        <f t="shared" si="202"/>
        <v/>
      </c>
      <c r="AY3776" s="21" t="str">
        <f>IF(AND($AM3776&lt;&gt;"",$AS3776&lt;&gt;"✓"),SUMPRODUCT(($AM$11:$AM3776&lt;&gt;"")*($AS$11:$AS3776&lt;&gt;"✓")),"")</f>
        <v/>
      </c>
      <c r="AZ3776" s="21" t="str">
        <f>IF(AND($AM3776&lt;&gt;"",$AS3776="✓"),SUMPRODUCT(($AM$11:$AM3776&lt;&gt;"")*($AS$11:$AS3776="✓")),"")</f>
        <v/>
      </c>
      <c r="BA3776" s="21" t="str">
        <f>IF($AL3776="","",$AL3776&amp;"|"&amp;COUNTIF($AL$11:$AL3776,$AL3776))</f>
        <v/>
      </c>
    </row>
    <row r="3777" spans="38:53" ht="15" customHeight="1" x14ac:dyDescent="0.25">
      <c r="AL3777" s="17"/>
      <c r="AM3777" s="12"/>
      <c r="AN3777" s="18"/>
      <c r="AO3777" s="18"/>
      <c r="AP3777" s="10"/>
      <c r="AQ3777" s="10"/>
      <c r="AR3777" s="19"/>
      <c r="AS3777" s="20"/>
      <c r="AT3777" s="19"/>
      <c r="AV3777" s="21">
        <f>IF(AND($AL3777&lt;&gt;"",COUNTIF($AL$11:$AL3777,$AL3777)=1),1,0)</f>
        <v>0</v>
      </c>
      <c r="AW3777" s="21">
        <f t="shared" si="203"/>
        <v>0</v>
      </c>
      <c r="AX3777" s="21" t="str">
        <f t="shared" si="202"/>
        <v/>
      </c>
      <c r="AY3777" s="21" t="str">
        <f>IF(AND($AM3777&lt;&gt;"",$AS3777&lt;&gt;"✓"),SUMPRODUCT(($AM$11:$AM3777&lt;&gt;"")*($AS$11:$AS3777&lt;&gt;"✓")),"")</f>
        <v/>
      </c>
      <c r="AZ3777" s="21" t="str">
        <f>IF(AND($AM3777&lt;&gt;"",$AS3777="✓"),SUMPRODUCT(($AM$11:$AM3777&lt;&gt;"")*($AS$11:$AS3777="✓")),"")</f>
        <v/>
      </c>
      <c r="BA3777" s="21" t="str">
        <f>IF($AL3777="","",$AL3777&amp;"|"&amp;COUNTIF($AL$11:$AL3777,$AL3777))</f>
        <v/>
      </c>
    </row>
    <row r="3778" spans="38:53" ht="15" customHeight="1" x14ac:dyDescent="0.25">
      <c r="AL3778" s="31"/>
      <c r="AM3778" s="26"/>
      <c r="AN3778" s="32"/>
      <c r="AO3778" s="32"/>
      <c r="AP3778" s="24"/>
      <c r="AQ3778" s="24"/>
      <c r="AR3778" s="33"/>
      <c r="AS3778" s="34"/>
      <c r="AT3778" s="33"/>
      <c r="AV3778" s="21">
        <f>IF(AND($AL3778&lt;&gt;"",COUNTIF($AL$11:$AL3778,$AL3778)=1),1,0)</f>
        <v>0</v>
      </c>
      <c r="AW3778" s="21">
        <f t="shared" si="203"/>
        <v>0</v>
      </c>
      <c r="AX3778" s="21" t="str">
        <f t="shared" si="202"/>
        <v/>
      </c>
      <c r="AY3778" s="21" t="str">
        <f>IF(AND($AM3778&lt;&gt;"",$AS3778&lt;&gt;"✓"),SUMPRODUCT(($AM$11:$AM3778&lt;&gt;"")*($AS$11:$AS3778&lt;&gt;"✓")),"")</f>
        <v/>
      </c>
      <c r="AZ3778" s="21" t="str">
        <f>IF(AND($AM3778&lt;&gt;"",$AS3778="✓"),SUMPRODUCT(($AM$11:$AM3778&lt;&gt;"")*($AS$11:$AS3778="✓")),"")</f>
        <v/>
      </c>
      <c r="BA3778" s="21" t="str">
        <f>IF($AL3778="","",$AL3778&amp;"|"&amp;COUNTIF($AL$11:$AL3778,$AL3778))</f>
        <v/>
      </c>
    </row>
    <row r="3779" spans="38:53" ht="15" customHeight="1" x14ac:dyDescent="0.25">
      <c r="AL3779" s="17"/>
      <c r="AM3779" s="12"/>
      <c r="AN3779" s="18"/>
      <c r="AO3779" s="18"/>
      <c r="AP3779" s="10"/>
      <c r="AQ3779" s="10"/>
      <c r="AR3779" s="19"/>
      <c r="AS3779" s="20"/>
      <c r="AT3779" s="19"/>
      <c r="AV3779" s="21">
        <f>IF(AND($AL3779&lt;&gt;"",COUNTIF($AL$11:$AL3779,$AL3779)=1),1,0)</f>
        <v>0</v>
      </c>
      <c r="AW3779" s="21">
        <f t="shared" si="203"/>
        <v>0</v>
      </c>
      <c r="AX3779" s="21" t="str">
        <f t="shared" si="202"/>
        <v/>
      </c>
      <c r="AY3779" s="21" t="str">
        <f>IF(AND($AM3779&lt;&gt;"",$AS3779&lt;&gt;"✓"),SUMPRODUCT(($AM$11:$AM3779&lt;&gt;"")*($AS$11:$AS3779&lt;&gt;"✓")),"")</f>
        <v/>
      </c>
      <c r="AZ3779" s="21" t="str">
        <f>IF(AND($AM3779&lt;&gt;"",$AS3779="✓"),SUMPRODUCT(($AM$11:$AM3779&lt;&gt;"")*($AS$11:$AS3779="✓")),"")</f>
        <v/>
      </c>
      <c r="BA3779" s="21" t="str">
        <f>IF($AL3779="","",$AL3779&amp;"|"&amp;COUNTIF($AL$11:$AL3779,$AL3779))</f>
        <v/>
      </c>
    </row>
    <row r="3780" spans="38:53" ht="15" customHeight="1" x14ac:dyDescent="0.25">
      <c r="AL3780" s="31"/>
      <c r="AM3780" s="26"/>
      <c r="AN3780" s="32"/>
      <c r="AO3780" s="32"/>
      <c r="AP3780" s="24"/>
      <c r="AQ3780" s="24"/>
      <c r="AR3780" s="33"/>
      <c r="AS3780" s="34"/>
      <c r="AT3780" s="33"/>
      <c r="AV3780" s="21">
        <f>IF(AND($AL3780&lt;&gt;"",COUNTIF($AL$11:$AL3780,$AL3780)=1),1,0)</f>
        <v>0</v>
      </c>
      <c r="AW3780" s="21">
        <f t="shared" si="203"/>
        <v>0</v>
      </c>
      <c r="AX3780" s="21" t="str">
        <f t="shared" si="202"/>
        <v/>
      </c>
      <c r="AY3780" s="21" t="str">
        <f>IF(AND($AM3780&lt;&gt;"",$AS3780&lt;&gt;"✓"),SUMPRODUCT(($AM$11:$AM3780&lt;&gt;"")*($AS$11:$AS3780&lt;&gt;"✓")),"")</f>
        <v/>
      </c>
      <c r="AZ3780" s="21" t="str">
        <f>IF(AND($AM3780&lt;&gt;"",$AS3780="✓"),SUMPRODUCT(($AM$11:$AM3780&lt;&gt;"")*($AS$11:$AS3780="✓")),"")</f>
        <v/>
      </c>
      <c r="BA3780" s="21" t="str">
        <f>IF($AL3780="","",$AL3780&amp;"|"&amp;COUNTIF($AL$11:$AL3780,$AL3780))</f>
        <v/>
      </c>
    </row>
    <row r="3781" spans="38:53" ht="15" customHeight="1" x14ac:dyDescent="0.25">
      <c r="AL3781" s="17"/>
      <c r="AM3781" s="12"/>
      <c r="AN3781" s="18"/>
      <c r="AO3781" s="18"/>
      <c r="AP3781" s="10"/>
      <c r="AQ3781" s="10"/>
      <c r="AR3781" s="19"/>
      <c r="AS3781" s="20"/>
      <c r="AT3781" s="19"/>
      <c r="AV3781" s="21">
        <f>IF(AND($AL3781&lt;&gt;"",COUNTIF($AL$11:$AL3781,$AL3781)=1),1,0)</f>
        <v>0</v>
      </c>
      <c r="AW3781" s="21">
        <f t="shared" si="203"/>
        <v>0</v>
      </c>
      <c r="AX3781" s="21" t="str">
        <f t="shared" si="202"/>
        <v/>
      </c>
      <c r="AY3781" s="21" t="str">
        <f>IF(AND($AM3781&lt;&gt;"",$AS3781&lt;&gt;"✓"),SUMPRODUCT(($AM$11:$AM3781&lt;&gt;"")*($AS$11:$AS3781&lt;&gt;"✓")),"")</f>
        <v/>
      </c>
      <c r="AZ3781" s="21" t="str">
        <f>IF(AND($AM3781&lt;&gt;"",$AS3781="✓"),SUMPRODUCT(($AM$11:$AM3781&lt;&gt;"")*($AS$11:$AS3781="✓")),"")</f>
        <v/>
      </c>
      <c r="BA3781" s="21" t="str">
        <f>IF($AL3781="","",$AL3781&amp;"|"&amp;COUNTIF($AL$11:$AL3781,$AL3781))</f>
        <v/>
      </c>
    </row>
    <row r="3782" spans="38:53" ht="15" customHeight="1" x14ac:dyDescent="0.25">
      <c r="AL3782" s="31"/>
      <c r="AM3782" s="26"/>
      <c r="AN3782" s="32"/>
      <c r="AO3782" s="32"/>
      <c r="AP3782" s="24"/>
      <c r="AQ3782" s="24"/>
      <c r="AR3782" s="33"/>
      <c r="AS3782" s="34"/>
      <c r="AT3782" s="33"/>
      <c r="AV3782" s="21">
        <f>IF(AND($AL3782&lt;&gt;"",COUNTIF($AL$11:$AL3782,$AL3782)=1),1,0)</f>
        <v>0</v>
      </c>
      <c r="AW3782" s="21">
        <f t="shared" si="203"/>
        <v>0</v>
      </c>
      <c r="AX3782" s="21" t="str">
        <f t="shared" si="202"/>
        <v/>
      </c>
      <c r="AY3782" s="21" t="str">
        <f>IF(AND($AM3782&lt;&gt;"",$AS3782&lt;&gt;"✓"),SUMPRODUCT(($AM$11:$AM3782&lt;&gt;"")*($AS$11:$AS3782&lt;&gt;"✓")),"")</f>
        <v/>
      </c>
      <c r="AZ3782" s="21" t="str">
        <f>IF(AND($AM3782&lt;&gt;"",$AS3782="✓"),SUMPRODUCT(($AM$11:$AM3782&lt;&gt;"")*($AS$11:$AS3782="✓")),"")</f>
        <v/>
      </c>
      <c r="BA3782" s="21" t="str">
        <f>IF($AL3782="","",$AL3782&amp;"|"&amp;COUNTIF($AL$11:$AL3782,$AL3782))</f>
        <v/>
      </c>
    </row>
    <row r="3783" spans="38:53" ht="15" customHeight="1" x14ac:dyDescent="0.25">
      <c r="AL3783" s="17"/>
      <c r="AM3783" s="12"/>
      <c r="AN3783" s="18"/>
      <c r="AO3783" s="18"/>
      <c r="AP3783" s="10"/>
      <c r="AQ3783" s="10"/>
      <c r="AR3783" s="19"/>
      <c r="AS3783" s="20"/>
      <c r="AT3783" s="19"/>
      <c r="AV3783" s="21">
        <f>IF(AND($AL3783&lt;&gt;"",COUNTIF($AL$11:$AL3783,$AL3783)=1),1,0)</f>
        <v>0</v>
      </c>
      <c r="AW3783" s="21">
        <f t="shared" si="203"/>
        <v>0</v>
      </c>
      <c r="AX3783" s="21" t="str">
        <f t="shared" si="202"/>
        <v/>
      </c>
      <c r="AY3783" s="21" t="str">
        <f>IF(AND($AM3783&lt;&gt;"",$AS3783&lt;&gt;"✓"),SUMPRODUCT(($AM$11:$AM3783&lt;&gt;"")*($AS$11:$AS3783&lt;&gt;"✓")),"")</f>
        <v/>
      </c>
      <c r="AZ3783" s="21" t="str">
        <f>IF(AND($AM3783&lt;&gt;"",$AS3783="✓"),SUMPRODUCT(($AM$11:$AM3783&lt;&gt;"")*($AS$11:$AS3783="✓")),"")</f>
        <v/>
      </c>
      <c r="BA3783" s="21" t="str">
        <f>IF($AL3783="","",$AL3783&amp;"|"&amp;COUNTIF($AL$11:$AL3783,$AL3783))</f>
        <v/>
      </c>
    </row>
    <row r="3784" spans="38:53" ht="15" customHeight="1" x14ac:dyDescent="0.25">
      <c r="AL3784" s="31"/>
      <c r="AM3784" s="26"/>
      <c r="AN3784" s="32"/>
      <c r="AO3784" s="32"/>
      <c r="AP3784" s="24"/>
      <c r="AQ3784" s="24"/>
      <c r="AR3784" s="33"/>
      <c r="AS3784" s="34"/>
      <c r="AT3784" s="33"/>
      <c r="AV3784" s="21">
        <f>IF(AND($AL3784&lt;&gt;"",COUNTIF($AL$11:$AL3784,$AL3784)=1),1,0)</f>
        <v>0</v>
      </c>
      <c r="AW3784" s="21">
        <f t="shared" si="203"/>
        <v>0</v>
      </c>
      <c r="AX3784" s="21" t="str">
        <f t="shared" si="202"/>
        <v/>
      </c>
      <c r="AY3784" s="21" t="str">
        <f>IF(AND($AM3784&lt;&gt;"",$AS3784&lt;&gt;"✓"),SUMPRODUCT(($AM$11:$AM3784&lt;&gt;"")*($AS$11:$AS3784&lt;&gt;"✓")),"")</f>
        <v/>
      </c>
      <c r="AZ3784" s="21" t="str">
        <f>IF(AND($AM3784&lt;&gt;"",$AS3784="✓"),SUMPRODUCT(($AM$11:$AM3784&lt;&gt;"")*($AS$11:$AS3784="✓")),"")</f>
        <v/>
      </c>
      <c r="BA3784" s="21" t="str">
        <f>IF($AL3784="","",$AL3784&amp;"|"&amp;COUNTIF($AL$11:$AL3784,$AL3784))</f>
        <v/>
      </c>
    </row>
    <row r="3785" spans="38:53" ht="15" customHeight="1" x14ac:dyDescent="0.25">
      <c r="AL3785" s="17"/>
      <c r="AM3785" s="12"/>
      <c r="AN3785" s="18"/>
      <c r="AO3785" s="18"/>
      <c r="AP3785" s="10"/>
      <c r="AQ3785" s="10"/>
      <c r="AR3785" s="19"/>
      <c r="AS3785" s="20"/>
      <c r="AT3785" s="19"/>
      <c r="AV3785" s="21">
        <f>IF(AND($AL3785&lt;&gt;"",COUNTIF($AL$11:$AL3785,$AL3785)=1),1,0)</f>
        <v>0</v>
      </c>
      <c r="AW3785" s="21">
        <f t="shared" si="203"/>
        <v>0</v>
      </c>
      <c r="AX3785" s="21" t="str">
        <f t="shared" si="202"/>
        <v/>
      </c>
      <c r="AY3785" s="21" t="str">
        <f>IF(AND($AM3785&lt;&gt;"",$AS3785&lt;&gt;"✓"),SUMPRODUCT(($AM$11:$AM3785&lt;&gt;"")*($AS$11:$AS3785&lt;&gt;"✓")),"")</f>
        <v/>
      </c>
      <c r="AZ3785" s="21" t="str">
        <f>IF(AND($AM3785&lt;&gt;"",$AS3785="✓"),SUMPRODUCT(($AM$11:$AM3785&lt;&gt;"")*($AS$11:$AS3785="✓")),"")</f>
        <v/>
      </c>
      <c r="BA3785" s="21" t="str">
        <f>IF($AL3785="","",$AL3785&amp;"|"&amp;COUNTIF($AL$11:$AL3785,$AL3785))</f>
        <v/>
      </c>
    </row>
    <row r="3786" spans="38:53" ht="15" customHeight="1" x14ac:dyDescent="0.25">
      <c r="AL3786" s="31"/>
      <c r="AM3786" s="26"/>
      <c r="AN3786" s="32"/>
      <c r="AO3786" s="32"/>
      <c r="AP3786" s="24"/>
      <c r="AQ3786" s="24"/>
      <c r="AR3786" s="33"/>
      <c r="AS3786" s="34"/>
      <c r="AT3786" s="33"/>
      <c r="AV3786" s="21">
        <f>IF(AND($AL3786&lt;&gt;"",COUNTIF($AL$11:$AL3786,$AL3786)=1),1,0)</f>
        <v>0</v>
      </c>
      <c r="AW3786" s="21">
        <f t="shared" si="203"/>
        <v>0</v>
      </c>
      <c r="AX3786" s="21" t="str">
        <f t="shared" si="202"/>
        <v/>
      </c>
      <c r="AY3786" s="21" t="str">
        <f>IF(AND($AM3786&lt;&gt;"",$AS3786&lt;&gt;"✓"),SUMPRODUCT(($AM$11:$AM3786&lt;&gt;"")*($AS$11:$AS3786&lt;&gt;"✓")),"")</f>
        <v/>
      </c>
      <c r="AZ3786" s="21" t="str">
        <f>IF(AND($AM3786&lt;&gt;"",$AS3786="✓"),SUMPRODUCT(($AM$11:$AM3786&lt;&gt;"")*($AS$11:$AS3786="✓")),"")</f>
        <v/>
      </c>
      <c r="BA3786" s="21" t="str">
        <f>IF($AL3786="","",$AL3786&amp;"|"&amp;COUNTIF($AL$11:$AL3786,$AL3786))</f>
        <v/>
      </c>
    </row>
    <row r="3787" spans="38:53" ht="15" customHeight="1" x14ac:dyDescent="0.25">
      <c r="AL3787" s="17"/>
      <c r="AM3787" s="12"/>
      <c r="AN3787" s="18"/>
      <c r="AO3787" s="18"/>
      <c r="AP3787" s="10"/>
      <c r="AQ3787" s="10"/>
      <c r="AR3787" s="19"/>
      <c r="AS3787" s="20"/>
      <c r="AT3787" s="19"/>
      <c r="AV3787" s="21">
        <f>IF(AND($AL3787&lt;&gt;"",COUNTIF($AL$11:$AL3787,$AL3787)=1),1,0)</f>
        <v>0</v>
      </c>
      <c r="AW3787" s="21">
        <f t="shared" si="203"/>
        <v>0</v>
      </c>
      <c r="AX3787" s="21" t="str">
        <f t="shared" ref="AX3787:AX3850" si="204">IF(AV3787=1,AW3787,"")</f>
        <v/>
      </c>
      <c r="AY3787" s="21" t="str">
        <f>IF(AND($AM3787&lt;&gt;"",$AS3787&lt;&gt;"✓"),SUMPRODUCT(($AM$11:$AM3787&lt;&gt;"")*($AS$11:$AS3787&lt;&gt;"✓")),"")</f>
        <v/>
      </c>
      <c r="AZ3787" s="21" t="str">
        <f>IF(AND($AM3787&lt;&gt;"",$AS3787="✓"),SUMPRODUCT(($AM$11:$AM3787&lt;&gt;"")*($AS$11:$AS3787="✓")),"")</f>
        <v/>
      </c>
      <c r="BA3787" s="21" t="str">
        <f>IF($AL3787="","",$AL3787&amp;"|"&amp;COUNTIF($AL$11:$AL3787,$AL3787))</f>
        <v/>
      </c>
    </row>
    <row r="3788" spans="38:53" ht="15" customHeight="1" x14ac:dyDescent="0.25">
      <c r="AL3788" s="31"/>
      <c r="AM3788" s="26"/>
      <c r="AN3788" s="32"/>
      <c r="AO3788" s="32"/>
      <c r="AP3788" s="24"/>
      <c r="AQ3788" s="24"/>
      <c r="AR3788" s="33"/>
      <c r="AS3788" s="34"/>
      <c r="AT3788" s="33"/>
      <c r="AV3788" s="21">
        <f>IF(AND($AL3788&lt;&gt;"",COUNTIF($AL$11:$AL3788,$AL3788)=1),1,0)</f>
        <v>0</v>
      </c>
      <c r="AW3788" s="21">
        <f t="shared" ref="AW3788:AW3851" si="205">AW3787+AV3788</f>
        <v>0</v>
      </c>
      <c r="AX3788" s="21" t="str">
        <f t="shared" si="204"/>
        <v/>
      </c>
      <c r="AY3788" s="21" t="str">
        <f>IF(AND($AM3788&lt;&gt;"",$AS3788&lt;&gt;"✓"),SUMPRODUCT(($AM$11:$AM3788&lt;&gt;"")*($AS$11:$AS3788&lt;&gt;"✓")),"")</f>
        <v/>
      </c>
      <c r="AZ3788" s="21" t="str">
        <f>IF(AND($AM3788&lt;&gt;"",$AS3788="✓"),SUMPRODUCT(($AM$11:$AM3788&lt;&gt;"")*($AS$11:$AS3788="✓")),"")</f>
        <v/>
      </c>
      <c r="BA3788" s="21" t="str">
        <f>IF($AL3788="","",$AL3788&amp;"|"&amp;COUNTIF($AL$11:$AL3788,$AL3788))</f>
        <v/>
      </c>
    </row>
    <row r="3789" spans="38:53" ht="15" customHeight="1" x14ac:dyDescent="0.25">
      <c r="AL3789" s="17"/>
      <c r="AM3789" s="12"/>
      <c r="AN3789" s="18"/>
      <c r="AO3789" s="18"/>
      <c r="AP3789" s="10"/>
      <c r="AQ3789" s="10"/>
      <c r="AR3789" s="19"/>
      <c r="AS3789" s="20"/>
      <c r="AT3789" s="19"/>
      <c r="AV3789" s="21">
        <f>IF(AND($AL3789&lt;&gt;"",COUNTIF($AL$11:$AL3789,$AL3789)=1),1,0)</f>
        <v>0</v>
      </c>
      <c r="AW3789" s="21">
        <f t="shared" si="205"/>
        <v>0</v>
      </c>
      <c r="AX3789" s="21" t="str">
        <f t="shared" si="204"/>
        <v/>
      </c>
      <c r="AY3789" s="21" t="str">
        <f>IF(AND($AM3789&lt;&gt;"",$AS3789&lt;&gt;"✓"),SUMPRODUCT(($AM$11:$AM3789&lt;&gt;"")*($AS$11:$AS3789&lt;&gt;"✓")),"")</f>
        <v/>
      </c>
      <c r="AZ3789" s="21" t="str">
        <f>IF(AND($AM3789&lt;&gt;"",$AS3789="✓"),SUMPRODUCT(($AM$11:$AM3789&lt;&gt;"")*($AS$11:$AS3789="✓")),"")</f>
        <v/>
      </c>
      <c r="BA3789" s="21" t="str">
        <f>IF($AL3789="","",$AL3789&amp;"|"&amp;COUNTIF($AL$11:$AL3789,$AL3789))</f>
        <v/>
      </c>
    </row>
    <row r="3790" spans="38:53" ht="15" customHeight="1" x14ac:dyDescent="0.25">
      <c r="AL3790" s="31"/>
      <c r="AM3790" s="26"/>
      <c r="AN3790" s="32"/>
      <c r="AO3790" s="32"/>
      <c r="AP3790" s="24"/>
      <c r="AQ3790" s="24"/>
      <c r="AR3790" s="33"/>
      <c r="AS3790" s="34"/>
      <c r="AT3790" s="33"/>
      <c r="AV3790" s="21">
        <f>IF(AND($AL3790&lt;&gt;"",COUNTIF($AL$11:$AL3790,$AL3790)=1),1,0)</f>
        <v>0</v>
      </c>
      <c r="AW3790" s="21">
        <f t="shared" si="205"/>
        <v>0</v>
      </c>
      <c r="AX3790" s="21" t="str">
        <f t="shared" si="204"/>
        <v/>
      </c>
      <c r="AY3790" s="21" t="str">
        <f>IF(AND($AM3790&lt;&gt;"",$AS3790&lt;&gt;"✓"),SUMPRODUCT(($AM$11:$AM3790&lt;&gt;"")*($AS$11:$AS3790&lt;&gt;"✓")),"")</f>
        <v/>
      </c>
      <c r="AZ3790" s="21" t="str">
        <f>IF(AND($AM3790&lt;&gt;"",$AS3790="✓"),SUMPRODUCT(($AM$11:$AM3790&lt;&gt;"")*($AS$11:$AS3790="✓")),"")</f>
        <v/>
      </c>
      <c r="BA3790" s="21" t="str">
        <f>IF($AL3790="","",$AL3790&amp;"|"&amp;COUNTIF($AL$11:$AL3790,$AL3790))</f>
        <v/>
      </c>
    </row>
    <row r="3791" spans="38:53" ht="15" customHeight="1" x14ac:dyDescent="0.25">
      <c r="AL3791" s="17"/>
      <c r="AM3791" s="12"/>
      <c r="AN3791" s="18"/>
      <c r="AO3791" s="18"/>
      <c r="AP3791" s="10"/>
      <c r="AQ3791" s="10"/>
      <c r="AR3791" s="19"/>
      <c r="AS3791" s="20"/>
      <c r="AT3791" s="19"/>
      <c r="AV3791" s="21">
        <f>IF(AND($AL3791&lt;&gt;"",COUNTIF($AL$11:$AL3791,$AL3791)=1),1,0)</f>
        <v>0</v>
      </c>
      <c r="AW3791" s="21">
        <f t="shared" si="205"/>
        <v>0</v>
      </c>
      <c r="AX3791" s="21" t="str">
        <f t="shared" si="204"/>
        <v/>
      </c>
      <c r="AY3791" s="21" t="str">
        <f>IF(AND($AM3791&lt;&gt;"",$AS3791&lt;&gt;"✓"),SUMPRODUCT(($AM$11:$AM3791&lt;&gt;"")*($AS$11:$AS3791&lt;&gt;"✓")),"")</f>
        <v/>
      </c>
      <c r="AZ3791" s="21" t="str">
        <f>IF(AND($AM3791&lt;&gt;"",$AS3791="✓"),SUMPRODUCT(($AM$11:$AM3791&lt;&gt;"")*($AS$11:$AS3791="✓")),"")</f>
        <v/>
      </c>
      <c r="BA3791" s="21" t="str">
        <f>IF($AL3791="","",$AL3791&amp;"|"&amp;COUNTIF($AL$11:$AL3791,$AL3791))</f>
        <v/>
      </c>
    </row>
    <row r="3792" spans="38:53" ht="15" customHeight="1" x14ac:dyDescent="0.25">
      <c r="AL3792" s="31"/>
      <c r="AM3792" s="26"/>
      <c r="AN3792" s="32"/>
      <c r="AO3792" s="32"/>
      <c r="AP3792" s="24"/>
      <c r="AQ3792" s="24"/>
      <c r="AR3792" s="33"/>
      <c r="AS3792" s="34"/>
      <c r="AT3792" s="33"/>
      <c r="AV3792" s="21">
        <f>IF(AND($AL3792&lt;&gt;"",COUNTIF($AL$11:$AL3792,$AL3792)=1),1,0)</f>
        <v>0</v>
      </c>
      <c r="AW3792" s="21">
        <f t="shared" si="205"/>
        <v>0</v>
      </c>
      <c r="AX3792" s="21" t="str">
        <f t="shared" si="204"/>
        <v/>
      </c>
      <c r="AY3792" s="21" t="str">
        <f>IF(AND($AM3792&lt;&gt;"",$AS3792&lt;&gt;"✓"),SUMPRODUCT(($AM$11:$AM3792&lt;&gt;"")*($AS$11:$AS3792&lt;&gt;"✓")),"")</f>
        <v/>
      </c>
      <c r="AZ3792" s="21" t="str">
        <f>IF(AND($AM3792&lt;&gt;"",$AS3792="✓"),SUMPRODUCT(($AM$11:$AM3792&lt;&gt;"")*($AS$11:$AS3792="✓")),"")</f>
        <v/>
      </c>
      <c r="BA3792" s="21" t="str">
        <f>IF($AL3792="","",$AL3792&amp;"|"&amp;COUNTIF($AL$11:$AL3792,$AL3792))</f>
        <v/>
      </c>
    </row>
    <row r="3793" spans="38:53" ht="15" customHeight="1" x14ac:dyDescent="0.25">
      <c r="AL3793" s="17"/>
      <c r="AM3793" s="12"/>
      <c r="AN3793" s="18"/>
      <c r="AO3793" s="18"/>
      <c r="AP3793" s="10"/>
      <c r="AQ3793" s="10"/>
      <c r="AR3793" s="19"/>
      <c r="AS3793" s="20"/>
      <c r="AT3793" s="19"/>
      <c r="AV3793" s="21">
        <f>IF(AND($AL3793&lt;&gt;"",COUNTIF($AL$11:$AL3793,$AL3793)=1),1,0)</f>
        <v>0</v>
      </c>
      <c r="AW3793" s="21">
        <f t="shared" si="205"/>
        <v>0</v>
      </c>
      <c r="AX3793" s="21" t="str">
        <f t="shared" si="204"/>
        <v/>
      </c>
      <c r="AY3793" s="21" t="str">
        <f>IF(AND($AM3793&lt;&gt;"",$AS3793&lt;&gt;"✓"),SUMPRODUCT(($AM$11:$AM3793&lt;&gt;"")*($AS$11:$AS3793&lt;&gt;"✓")),"")</f>
        <v/>
      </c>
      <c r="AZ3793" s="21" t="str">
        <f>IF(AND($AM3793&lt;&gt;"",$AS3793="✓"),SUMPRODUCT(($AM$11:$AM3793&lt;&gt;"")*($AS$11:$AS3793="✓")),"")</f>
        <v/>
      </c>
      <c r="BA3793" s="21" t="str">
        <f>IF($AL3793="","",$AL3793&amp;"|"&amp;COUNTIF($AL$11:$AL3793,$AL3793))</f>
        <v/>
      </c>
    </row>
    <row r="3794" spans="38:53" ht="15" customHeight="1" x14ac:dyDescent="0.25">
      <c r="AL3794" s="31"/>
      <c r="AM3794" s="26"/>
      <c r="AN3794" s="32"/>
      <c r="AO3794" s="32"/>
      <c r="AP3794" s="24"/>
      <c r="AQ3794" s="24"/>
      <c r="AR3794" s="33"/>
      <c r="AS3794" s="34"/>
      <c r="AT3794" s="33"/>
      <c r="AV3794" s="21">
        <f>IF(AND($AL3794&lt;&gt;"",COUNTIF($AL$11:$AL3794,$AL3794)=1),1,0)</f>
        <v>0</v>
      </c>
      <c r="AW3794" s="21">
        <f t="shared" si="205"/>
        <v>0</v>
      </c>
      <c r="AX3794" s="21" t="str">
        <f t="shared" si="204"/>
        <v/>
      </c>
      <c r="AY3794" s="21" t="str">
        <f>IF(AND($AM3794&lt;&gt;"",$AS3794&lt;&gt;"✓"),SUMPRODUCT(($AM$11:$AM3794&lt;&gt;"")*($AS$11:$AS3794&lt;&gt;"✓")),"")</f>
        <v/>
      </c>
      <c r="AZ3794" s="21" t="str">
        <f>IF(AND($AM3794&lt;&gt;"",$AS3794="✓"),SUMPRODUCT(($AM$11:$AM3794&lt;&gt;"")*($AS$11:$AS3794="✓")),"")</f>
        <v/>
      </c>
      <c r="BA3794" s="21" t="str">
        <f>IF($AL3794="","",$AL3794&amp;"|"&amp;COUNTIF($AL$11:$AL3794,$AL3794))</f>
        <v/>
      </c>
    </row>
    <row r="3795" spans="38:53" ht="15" customHeight="1" x14ac:dyDescent="0.25">
      <c r="AL3795" s="17"/>
      <c r="AM3795" s="12"/>
      <c r="AN3795" s="18"/>
      <c r="AO3795" s="18"/>
      <c r="AP3795" s="10"/>
      <c r="AQ3795" s="10"/>
      <c r="AR3795" s="19"/>
      <c r="AS3795" s="20"/>
      <c r="AT3795" s="19"/>
      <c r="AV3795" s="21">
        <f>IF(AND($AL3795&lt;&gt;"",COUNTIF($AL$11:$AL3795,$AL3795)=1),1,0)</f>
        <v>0</v>
      </c>
      <c r="AW3795" s="21">
        <f t="shared" si="205"/>
        <v>0</v>
      </c>
      <c r="AX3795" s="21" t="str">
        <f t="shared" si="204"/>
        <v/>
      </c>
      <c r="AY3795" s="21" t="str">
        <f>IF(AND($AM3795&lt;&gt;"",$AS3795&lt;&gt;"✓"),SUMPRODUCT(($AM$11:$AM3795&lt;&gt;"")*($AS$11:$AS3795&lt;&gt;"✓")),"")</f>
        <v/>
      </c>
      <c r="AZ3795" s="21" t="str">
        <f>IF(AND($AM3795&lt;&gt;"",$AS3795="✓"),SUMPRODUCT(($AM$11:$AM3795&lt;&gt;"")*($AS$11:$AS3795="✓")),"")</f>
        <v/>
      </c>
      <c r="BA3795" s="21" t="str">
        <f>IF($AL3795="","",$AL3795&amp;"|"&amp;COUNTIF($AL$11:$AL3795,$AL3795))</f>
        <v/>
      </c>
    </row>
    <row r="3796" spans="38:53" ht="15" customHeight="1" x14ac:dyDescent="0.25">
      <c r="AL3796" s="31"/>
      <c r="AM3796" s="26"/>
      <c r="AN3796" s="32"/>
      <c r="AO3796" s="32"/>
      <c r="AP3796" s="24"/>
      <c r="AQ3796" s="24"/>
      <c r="AR3796" s="33"/>
      <c r="AS3796" s="34"/>
      <c r="AT3796" s="33"/>
      <c r="AV3796" s="21">
        <f>IF(AND($AL3796&lt;&gt;"",COUNTIF($AL$11:$AL3796,$AL3796)=1),1,0)</f>
        <v>0</v>
      </c>
      <c r="AW3796" s="21">
        <f t="shared" si="205"/>
        <v>0</v>
      </c>
      <c r="AX3796" s="21" t="str">
        <f t="shared" si="204"/>
        <v/>
      </c>
      <c r="AY3796" s="21" t="str">
        <f>IF(AND($AM3796&lt;&gt;"",$AS3796&lt;&gt;"✓"),SUMPRODUCT(($AM$11:$AM3796&lt;&gt;"")*($AS$11:$AS3796&lt;&gt;"✓")),"")</f>
        <v/>
      </c>
      <c r="AZ3796" s="21" t="str">
        <f>IF(AND($AM3796&lt;&gt;"",$AS3796="✓"),SUMPRODUCT(($AM$11:$AM3796&lt;&gt;"")*($AS$11:$AS3796="✓")),"")</f>
        <v/>
      </c>
      <c r="BA3796" s="21" t="str">
        <f>IF($AL3796="","",$AL3796&amp;"|"&amp;COUNTIF($AL$11:$AL3796,$AL3796))</f>
        <v/>
      </c>
    </row>
    <row r="3797" spans="38:53" ht="15" customHeight="1" x14ac:dyDescent="0.25">
      <c r="AL3797" s="17"/>
      <c r="AM3797" s="12"/>
      <c r="AN3797" s="18"/>
      <c r="AO3797" s="18"/>
      <c r="AP3797" s="10"/>
      <c r="AQ3797" s="10"/>
      <c r="AR3797" s="19"/>
      <c r="AS3797" s="20"/>
      <c r="AT3797" s="19"/>
      <c r="AV3797" s="21">
        <f>IF(AND($AL3797&lt;&gt;"",COUNTIF($AL$11:$AL3797,$AL3797)=1),1,0)</f>
        <v>0</v>
      </c>
      <c r="AW3797" s="21">
        <f t="shared" si="205"/>
        <v>0</v>
      </c>
      <c r="AX3797" s="21" t="str">
        <f t="shared" si="204"/>
        <v/>
      </c>
      <c r="AY3797" s="21" t="str">
        <f>IF(AND($AM3797&lt;&gt;"",$AS3797&lt;&gt;"✓"),SUMPRODUCT(($AM$11:$AM3797&lt;&gt;"")*($AS$11:$AS3797&lt;&gt;"✓")),"")</f>
        <v/>
      </c>
      <c r="AZ3797" s="21" t="str">
        <f>IF(AND($AM3797&lt;&gt;"",$AS3797="✓"),SUMPRODUCT(($AM$11:$AM3797&lt;&gt;"")*($AS$11:$AS3797="✓")),"")</f>
        <v/>
      </c>
      <c r="BA3797" s="21" t="str">
        <f>IF($AL3797="","",$AL3797&amp;"|"&amp;COUNTIF($AL$11:$AL3797,$AL3797))</f>
        <v/>
      </c>
    </row>
    <row r="3798" spans="38:53" ht="15" customHeight="1" x14ac:dyDescent="0.25">
      <c r="AL3798" s="31"/>
      <c r="AM3798" s="26"/>
      <c r="AN3798" s="32"/>
      <c r="AO3798" s="32"/>
      <c r="AP3798" s="24"/>
      <c r="AQ3798" s="24"/>
      <c r="AR3798" s="33"/>
      <c r="AS3798" s="34"/>
      <c r="AT3798" s="33"/>
      <c r="AV3798" s="21">
        <f>IF(AND($AL3798&lt;&gt;"",COUNTIF($AL$11:$AL3798,$AL3798)=1),1,0)</f>
        <v>0</v>
      </c>
      <c r="AW3798" s="21">
        <f t="shared" si="205"/>
        <v>0</v>
      </c>
      <c r="AX3798" s="21" t="str">
        <f t="shared" si="204"/>
        <v/>
      </c>
      <c r="AY3798" s="21" t="str">
        <f>IF(AND($AM3798&lt;&gt;"",$AS3798&lt;&gt;"✓"),SUMPRODUCT(($AM$11:$AM3798&lt;&gt;"")*($AS$11:$AS3798&lt;&gt;"✓")),"")</f>
        <v/>
      </c>
      <c r="AZ3798" s="21" t="str">
        <f>IF(AND($AM3798&lt;&gt;"",$AS3798="✓"),SUMPRODUCT(($AM$11:$AM3798&lt;&gt;"")*($AS$11:$AS3798="✓")),"")</f>
        <v/>
      </c>
      <c r="BA3798" s="21" t="str">
        <f>IF($AL3798="","",$AL3798&amp;"|"&amp;COUNTIF($AL$11:$AL3798,$AL3798))</f>
        <v/>
      </c>
    </row>
    <row r="3799" spans="38:53" ht="15" customHeight="1" x14ac:dyDescent="0.25">
      <c r="AL3799" s="17"/>
      <c r="AM3799" s="12"/>
      <c r="AN3799" s="18"/>
      <c r="AO3799" s="18"/>
      <c r="AP3799" s="10"/>
      <c r="AQ3799" s="10"/>
      <c r="AR3799" s="19"/>
      <c r="AS3799" s="20"/>
      <c r="AT3799" s="19"/>
      <c r="AV3799" s="21">
        <f>IF(AND($AL3799&lt;&gt;"",COUNTIF($AL$11:$AL3799,$AL3799)=1),1,0)</f>
        <v>0</v>
      </c>
      <c r="AW3799" s="21">
        <f t="shared" si="205"/>
        <v>0</v>
      </c>
      <c r="AX3799" s="21" t="str">
        <f t="shared" si="204"/>
        <v/>
      </c>
      <c r="AY3799" s="21" t="str">
        <f>IF(AND($AM3799&lt;&gt;"",$AS3799&lt;&gt;"✓"),SUMPRODUCT(($AM$11:$AM3799&lt;&gt;"")*($AS$11:$AS3799&lt;&gt;"✓")),"")</f>
        <v/>
      </c>
      <c r="AZ3799" s="21" t="str">
        <f>IF(AND($AM3799&lt;&gt;"",$AS3799="✓"),SUMPRODUCT(($AM$11:$AM3799&lt;&gt;"")*($AS$11:$AS3799="✓")),"")</f>
        <v/>
      </c>
      <c r="BA3799" s="21" t="str">
        <f>IF($AL3799="","",$AL3799&amp;"|"&amp;COUNTIF($AL$11:$AL3799,$AL3799))</f>
        <v/>
      </c>
    </row>
    <row r="3800" spans="38:53" ht="15" customHeight="1" x14ac:dyDescent="0.25">
      <c r="AL3800" s="31"/>
      <c r="AM3800" s="26"/>
      <c r="AN3800" s="32"/>
      <c r="AO3800" s="32"/>
      <c r="AP3800" s="24"/>
      <c r="AQ3800" s="24"/>
      <c r="AR3800" s="33"/>
      <c r="AS3800" s="34"/>
      <c r="AT3800" s="33"/>
      <c r="AV3800" s="21">
        <f>IF(AND($AL3800&lt;&gt;"",COUNTIF($AL$11:$AL3800,$AL3800)=1),1,0)</f>
        <v>0</v>
      </c>
      <c r="AW3800" s="21">
        <f t="shared" si="205"/>
        <v>0</v>
      </c>
      <c r="AX3800" s="21" t="str">
        <f t="shared" si="204"/>
        <v/>
      </c>
      <c r="AY3800" s="21" t="str">
        <f>IF(AND($AM3800&lt;&gt;"",$AS3800&lt;&gt;"✓"),SUMPRODUCT(($AM$11:$AM3800&lt;&gt;"")*($AS$11:$AS3800&lt;&gt;"✓")),"")</f>
        <v/>
      </c>
      <c r="AZ3800" s="21" t="str">
        <f>IF(AND($AM3800&lt;&gt;"",$AS3800="✓"),SUMPRODUCT(($AM$11:$AM3800&lt;&gt;"")*($AS$11:$AS3800="✓")),"")</f>
        <v/>
      </c>
      <c r="BA3800" s="21" t="str">
        <f>IF($AL3800="","",$AL3800&amp;"|"&amp;COUNTIF($AL$11:$AL3800,$AL3800))</f>
        <v/>
      </c>
    </row>
    <row r="3801" spans="38:53" ht="15" customHeight="1" x14ac:dyDescent="0.25">
      <c r="AL3801" s="17"/>
      <c r="AM3801" s="12"/>
      <c r="AN3801" s="18"/>
      <c r="AO3801" s="18"/>
      <c r="AP3801" s="10"/>
      <c r="AQ3801" s="10"/>
      <c r="AR3801" s="19"/>
      <c r="AS3801" s="20"/>
      <c r="AT3801" s="19"/>
      <c r="AV3801" s="21">
        <f>IF(AND($AL3801&lt;&gt;"",COUNTIF($AL$11:$AL3801,$AL3801)=1),1,0)</f>
        <v>0</v>
      </c>
      <c r="AW3801" s="21">
        <f t="shared" si="205"/>
        <v>0</v>
      </c>
      <c r="AX3801" s="21" t="str">
        <f t="shared" si="204"/>
        <v/>
      </c>
      <c r="AY3801" s="21" t="str">
        <f>IF(AND($AM3801&lt;&gt;"",$AS3801&lt;&gt;"✓"),SUMPRODUCT(($AM$11:$AM3801&lt;&gt;"")*($AS$11:$AS3801&lt;&gt;"✓")),"")</f>
        <v/>
      </c>
      <c r="AZ3801" s="21" t="str">
        <f>IF(AND($AM3801&lt;&gt;"",$AS3801="✓"),SUMPRODUCT(($AM$11:$AM3801&lt;&gt;"")*($AS$11:$AS3801="✓")),"")</f>
        <v/>
      </c>
      <c r="BA3801" s="21" t="str">
        <f>IF($AL3801="","",$AL3801&amp;"|"&amp;COUNTIF($AL$11:$AL3801,$AL3801))</f>
        <v/>
      </c>
    </row>
    <row r="3802" spans="38:53" ht="15" customHeight="1" x14ac:dyDescent="0.25">
      <c r="AL3802" s="31"/>
      <c r="AM3802" s="26"/>
      <c r="AN3802" s="32"/>
      <c r="AO3802" s="32"/>
      <c r="AP3802" s="24"/>
      <c r="AQ3802" s="24"/>
      <c r="AR3802" s="33"/>
      <c r="AS3802" s="34"/>
      <c r="AT3802" s="33"/>
      <c r="AV3802" s="21">
        <f>IF(AND($AL3802&lt;&gt;"",COUNTIF($AL$11:$AL3802,$AL3802)=1),1,0)</f>
        <v>0</v>
      </c>
      <c r="AW3802" s="21">
        <f t="shared" si="205"/>
        <v>0</v>
      </c>
      <c r="AX3802" s="21" t="str">
        <f t="shared" si="204"/>
        <v/>
      </c>
      <c r="AY3802" s="21" t="str">
        <f>IF(AND($AM3802&lt;&gt;"",$AS3802&lt;&gt;"✓"),SUMPRODUCT(($AM$11:$AM3802&lt;&gt;"")*($AS$11:$AS3802&lt;&gt;"✓")),"")</f>
        <v/>
      </c>
      <c r="AZ3802" s="21" t="str">
        <f>IF(AND($AM3802&lt;&gt;"",$AS3802="✓"),SUMPRODUCT(($AM$11:$AM3802&lt;&gt;"")*($AS$11:$AS3802="✓")),"")</f>
        <v/>
      </c>
      <c r="BA3802" s="21" t="str">
        <f>IF($AL3802="","",$AL3802&amp;"|"&amp;COUNTIF($AL$11:$AL3802,$AL3802))</f>
        <v/>
      </c>
    </row>
    <row r="3803" spans="38:53" ht="15" customHeight="1" x14ac:dyDescent="0.25">
      <c r="AL3803" s="17"/>
      <c r="AM3803" s="12"/>
      <c r="AN3803" s="18"/>
      <c r="AO3803" s="18"/>
      <c r="AP3803" s="10"/>
      <c r="AQ3803" s="10"/>
      <c r="AR3803" s="19"/>
      <c r="AS3803" s="20"/>
      <c r="AT3803" s="19"/>
      <c r="AV3803" s="21">
        <f>IF(AND($AL3803&lt;&gt;"",COUNTIF($AL$11:$AL3803,$AL3803)=1),1,0)</f>
        <v>0</v>
      </c>
      <c r="AW3803" s="21">
        <f t="shared" si="205"/>
        <v>0</v>
      </c>
      <c r="AX3803" s="21" t="str">
        <f t="shared" si="204"/>
        <v/>
      </c>
      <c r="AY3803" s="21" t="str">
        <f>IF(AND($AM3803&lt;&gt;"",$AS3803&lt;&gt;"✓"),SUMPRODUCT(($AM$11:$AM3803&lt;&gt;"")*($AS$11:$AS3803&lt;&gt;"✓")),"")</f>
        <v/>
      </c>
      <c r="AZ3803" s="21" t="str">
        <f>IF(AND($AM3803&lt;&gt;"",$AS3803="✓"),SUMPRODUCT(($AM$11:$AM3803&lt;&gt;"")*($AS$11:$AS3803="✓")),"")</f>
        <v/>
      </c>
      <c r="BA3803" s="21" t="str">
        <f>IF($AL3803="","",$AL3803&amp;"|"&amp;COUNTIF($AL$11:$AL3803,$AL3803))</f>
        <v/>
      </c>
    </row>
    <row r="3804" spans="38:53" ht="15" customHeight="1" x14ac:dyDescent="0.25">
      <c r="AL3804" s="31"/>
      <c r="AM3804" s="26"/>
      <c r="AN3804" s="32"/>
      <c r="AO3804" s="32"/>
      <c r="AP3804" s="24"/>
      <c r="AQ3804" s="24"/>
      <c r="AR3804" s="33"/>
      <c r="AS3804" s="34"/>
      <c r="AT3804" s="33"/>
      <c r="AV3804" s="21">
        <f>IF(AND($AL3804&lt;&gt;"",COUNTIF($AL$11:$AL3804,$AL3804)=1),1,0)</f>
        <v>0</v>
      </c>
      <c r="AW3804" s="21">
        <f t="shared" si="205"/>
        <v>0</v>
      </c>
      <c r="AX3804" s="21" t="str">
        <f t="shared" si="204"/>
        <v/>
      </c>
      <c r="AY3804" s="21" t="str">
        <f>IF(AND($AM3804&lt;&gt;"",$AS3804&lt;&gt;"✓"),SUMPRODUCT(($AM$11:$AM3804&lt;&gt;"")*($AS$11:$AS3804&lt;&gt;"✓")),"")</f>
        <v/>
      </c>
      <c r="AZ3804" s="21" t="str">
        <f>IF(AND($AM3804&lt;&gt;"",$AS3804="✓"),SUMPRODUCT(($AM$11:$AM3804&lt;&gt;"")*($AS$11:$AS3804="✓")),"")</f>
        <v/>
      </c>
      <c r="BA3804" s="21" t="str">
        <f>IF($AL3804="","",$AL3804&amp;"|"&amp;COUNTIF($AL$11:$AL3804,$AL3804))</f>
        <v/>
      </c>
    </row>
    <row r="3805" spans="38:53" ht="15" customHeight="1" x14ac:dyDescent="0.25">
      <c r="AL3805" s="17"/>
      <c r="AM3805" s="12"/>
      <c r="AN3805" s="18"/>
      <c r="AO3805" s="18"/>
      <c r="AP3805" s="10"/>
      <c r="AQ3805" s="10"/>
      <c r="AR3805" s="19"/>
      <c r="AS3805" s="20"/>
      <c r="AT3805" s="19"/>
      <c r="AV3805" s="21">
        <f>IF(AND($AL3805&lt;&gt;"",COUNTIF($AL$11:$AL3805,$AL3805)=1),1,0)</f>
        <v>0</v>
      </c>
      <c r="AW3805" s="21">
        <f t="shared" si="205"/>
        <v>0</v>
      </c>
      <c r="AX3805" s="21" t="str">
        <f t="shared" si="204"/>
        <v/>
      </c>
      <c r="AY3805" s="21" t="str">
        <f>IF(AND($AM3805&lt;&gt;"",$AS3805&lt;&gt;"✓"),SUMPRODUCT(($AM$11:$AM3805&lt;&gt;"")*($AS$11:$AS3805&lt;&gt;"✓")),"")</f>
        <v/>
      </c>
      <c r="AZ3805" s="21" t="str">
        <f>IF(AND($AM3805&lt;&gt;"",$AS3805="✓"),SUMPRODUCT(($AM$11:$AM3805&lt;&gt;"")*($AS$11:$AS3805="✓")),"")</f>
        <v/>
      </c>
      <c r="BA3805" s="21" t="str">
        <f>IF($AL3805="","",$AL3805&amp;"|"&amp;COUNTIF($AL$11:$AL3805,$AL3805))</f>
        <v/>
      </c>
    </row>
    <row r="3806" spans="38:53" ht="15" customHeight="1" x14ac:dyDescent="0.25">
      <c r="AL3806" s="31"/>
      <c r="AM3806" s="26"/>
      <c r="AN3806" s="32"/>
      <c r="AO3806" s="32"/>
      <c r="AP3806" s="24"/>
      <c r="AQ3806" s="24"/>
      <c r="AR3806" s="33"/>
      <c r="AS3806" s="34"/>
      <c r="AT3806" s="33"/>
      <c r="AV3806" s="21">
        <f>IF(AND($AL3806&lt;&gt;"",COUNTIF($AL$11:$AL3806,$AL3806)=1),1,0)</f>
        <v>0</v>
      </c>
      <c r="AW3806" s="21">
        <f t="shared" si="205"/>
        <v>0</v>
      </c>
      <c r="AX3806" s="21" t="str">
        <f t="shared" si="204"/>
        <v/>
      </c>
      <c r="AY3806" s="21" t="str">
        <f>IF(AND($AM3806&lt;&gt;"",$AS3806&lt;&gt;"✓"),SUMPRODUCT(($AM$11:$AM3806&lt;&gt;"")*($AS$11:$AS3806&lt;&gt;"✓")),"")</f>
        <v/>
      </c>
      <c r="AZ3806" s="21" t="str">
        <f>IF(AND($AM3806&lt;&gt;"",$AS3806="✓"),SUMPRODUCT(($AM$11:$AM3806&lt;&gt;"")*($AS$11:$AS3806="✓")),"")</f>
        <v/>
      </c>
      <c r="BA3806" s="21" t="str">
        <f>IF($AL3806="","",$AL3806&amp;"|"&amp;COUNTIF($AL$11:$AL3806,$AL3806))</f>
        <v/>
      </c>
    </row>
    <row r="3807" spans="38:53" ht="15" customHeight="1" x14ac:dyDescent="0.25">
      <c r="AL3807" s="17"/>
      <c r="AM3807" s="12"/>
      <c r="AN3807" s="18"/>
      <c r="AO3807" s="18"/>
      <c r="AP3807" s="10"/>
      <c r="AQ3807" s="10"/>
      <c r="AR3807" s="19"/>
      <c r="AS3807" s="20"/>
      <c r="AT3807" s="19"/>
      <c r="AV3807" s="21">
        <f>IF(AND($AL3807&lt;&gt;"",COUNTIF($AL$11:$AL3807,$AL3807)=1),1,0)</f>
        <v>0</v>
      </c>
      <c r="AW3807" s="21">
        <f t="shared" si="205"/>
        <v>0</v>
      </c>
      <c r="AX3807" s="21" t="str">
        <f t="shared" si="204"/>
        <v/>
      </c>
      <c r="AY3807" s="21" t="str">
        <f>IF(AND($AM3807&lt;&gt;"",$AS3807&lt;&gt;"✓"),SUMPRODUCT(($AM$11:$AM3807&lt;&gt;"")*($AS$11:$AS3807&lt;&gt;"✓")),"")</f>
        <v/>
      </c>
      <c r="AZ3807" s="21" t="str">
        <f>IF(AND($AM3807&lt;&gt;"",$AS3807="✓"),SUMPRODUCT(($AM$11:$AM3807&lt;&gt;"")*($AS$11:$AS3807="✓")),"")</f>
        <v/>
      </c>
      <c r="BA3807" s="21" t="str">
        <f>IF($AL3807="","",$AL3807&amp;"|"&amp;COUNTIF($AL$11:$AL3807,$AL3807))</f>
        <v/>
      </c>
    </row>
    <row r="3808" spans="38:53" ht="15" customHeight="1" x14ac:dyDescent="0.25">
      <c r="AL3808" s="31"/>
      <c r="AM3808" s="26"/>
      <c r="AN3808" s="32"/>
      <c r="AO3808" s="32"/>
      <c r="AP3808" s="24"/>
      <c r="AQ3808" s="24"/>
      <c r="AR3808" s="33"/>
      <c r="AS3808" s="34"/>
      <c r="AT3808" s="33"/>
      <c r="AV3808" s="21">
        <f>IF(AND($AL3808&lt;&gt;"",COUNTIF($AL$11:$AL3808,$AL3808)=1),1,0)</f>
        <v>0</v>
      </c>
      <c r="AW3808" s="21">
        <f t="shared" si="205"/>
        <v>0</v>
      </c>
      <c r="AX3808" s="21" t="str">
        <f t="shared" si="204"/>
        <v/>
      </c>
      <c r="AY3808" s="21" t="str">
        <f>IF(AND($AM3808&lt;&gt;"",$AS3808&lt;&gt;"✓"),SUMPRODUCT(($AM$11:$AM3808&lt;&gt;"")*($AS$11:$AS3808&lt;&gt;"✓")),"")</f>
        <v/>
      </c>
      <c r="AZ3808" s="21" t="str">
        <f>IF(AND($AM3808&lt;&gt;"",$AS3808="✓"),SUMPRODUCT(($AM$11:$AM3808&lt;&gt;"")*($AS$11:$AS3808="✓")),"")</f>
        <v/>
      </c>
      <c r="BA3808" s="21" t="str">
        <f>IF($AL3808="","",$AL3808&amp;"|"&amp;COUNTIF($AL$11:$AL3808,$AL3808))</f>
        <v/>
      </c>
    </row>
    <row r="3809" spans="38:53" ht="15" customHeight="1" x14ac:dyDescent="0.25">
      <c r="AL3809" s="17"/>
      <c r="AM3809" s="12"/>
      <c r="AN3809" s="18"/>
      <c r="AO3809" s="18"/>
      <c r="AP3809" s="10"/>
      <c r="AQ3809" s="10"/>
      <c r="AR3809" s="19"/>
      <c r="AS3809" s="20"/>
      <c r="AT3809" s="19"/>
      <c r="AV3809" s="21">
        <f>IF(AND($AL3809&lt;&gt;"",COUNTIF($AL$11:$AL3809,$AL3809)=1),1,0)</f>
        <v>0</v>
      </c>
      <c r="AW3809" s="21">
        <f t="shared" si="205"/>
        <v>0</v>
      </c>
      <c r="AX3809" s="21" t="str">
        <f t="shared" si="204"/>
        <v/>
      </c>
      <c r="AY3809" s="21" t="str">
        <f>IF(AND($AM3809&lt;&gt;"",$AS3809&lt;&gt;"✓"),SUMPRODUCT(($AM$11:$AM3809&lt;&gt;"")*($AS$11:$AS3809&lt;&gt;"✓")),"")</f>
        <v/>
      </c>
      <c r="AZ3809" s="21" t="str">
        <f>IF(AND($AM3809&lt;&gt;"",$AS3809="✓"),SUMPRODUCT(($AM$11:$AM3809&lt;&gt;"")*($AS$11:$AS3809="✓")),"")</f>
        <v/>
      </c>
      <c r="BA3809" s="21" t="str">
        <f>IF($AL3809="","",$AL3809&amp;"|"&amp;COUNTIF($AL$11:$AL3809,$AL3809))</f>
        <v/>
      </c>
    </row>
    <row r="3810" spans="38:53" ht="15" customHeight="1" x14ac:dyDescent="0.25">
      <c r="AL3810" s="31"/>
      <c r="AM3810" s="26"/>
      <c r="AN3810" s="32"/>
      <c r="AO3810" s="32"/>
      <c r="AP3810" s="24"/>
      <c r="AQ3810" s="24"/>
      <c r="AR3810" s="33"/>
      <c r="AS3810" s="34"/>
      <c r="AT3810" s="33"/>
      <c r="AV3810" s="21">
        <f>IF(AND($AL3810&lt;&gt;"",COUNTIF($AL$11:$AL3810,$AL3810)=1),1,0)</f>
        <v>0</v>
      </c>
      <c r="AW3810" s="21">
        <f t="shared" si="205"/>
        <v>0</v>
      </c>
      <c r="AX3810" s="21" t="str">
        <f t="shared" si="204"/>
        <v/>
      </c>
      <c r="AY3810" s="21" t="str">
        <f>IF(AND($AM3810&lt;&gt;"",$AS3810&lt;&gt;"✓"),SUMPRODUCT(($AM$11:$AM3810&lt;&gt;"")*($AS$11:$AS3810&lt;&gt;"✓")),"")</f>
        <v/>
      </c>
      <c r="AZ3810" s="21" t="str">
        <f>IF(AND($AM3810&lt;&gt;"",$AS3810="✓"),SUMPRODUCT(($AM$11:$AM3810&lt;&gt;"")*($AS$11:$AS3810="✓")),"")</f>
        <v/>
      </c>
      <c r="BA3810" s="21" t="str">
        <f>IF($AL3810="","",$AL3810&amp;"|"&amp;COUNTIF($AL$11:$AL3810,$AL3810))</f>
        <v/>
      </c>
    </row>
    <row r="3811" spans="38:53" ht="15" customHeight="1" x14ac:dyDescent="0.25">
      <c r="AL3811" s="17"/>
      <c r="AM3811" s="12"/>
      <c r="AN3811" s="18"/>
      <c r="AO3811" s="18"/>
      <c r="AP3811" s="10"/>
      <c r="AQ3811" s="10"/>
      <c r="AR3811" s="19"/>
      <c r="AS3811" s="20"/>
      <c r="AT3811" s="19"/>
      <c r="AV3811" s="21">
        <f>IF(AND($AL3811&lt;&gt;"",COUNTIF($AL$11:$AL3811,$AL3811)=1),1,0)</f>
        <v>0</v>
      </c>
      <c r="AW3811" s="21">
        <f t="shared" si="205"/>
        <v>0</v>
      </c>
      <c r="AX3811" s="21" t="str">
        <f t="shared" si="204"/>
        <v/>
      </c>
      <c r="AY3811" s="21" t="str">
        <f>IF(AND($AM3811&lt;&gt;"",$AS3811&lt;&gt;"✓"),SUMPRODUCT(($AM$11:$AM3811&lt;&gt;"")*($AS$11:$AS3811&lt;&gt;"✓")),"")</f>
        <v/>
      </c>
      <c r="AZ3811" s="21" t="str">
        <f>IF(AND($AM3811&lt;&gt;"",$AS3811="✓"),SUMPRODUCT(($AM$11:$AM3811&lt;&gt;"")*($AS$11:$AS3811="✓")),"")</f>
        <v/>
      </c>
      <c r="BA3811" s="21" t="str">
        <f>IF($AL3811="","",$AL3811&amp;"|"&amp;COUNTIF($AL$11:$AL3811,$AL3811))</f>
        <v/>
      </c>
    </row>
    <row r="3812" spans="38:53" ht="15" customHeight="1" x14ac:dyDescent="0.25">
      <c r="AL3812" s="31"/>
      <c r="AM3812" s="26"/>
      <c r="AN3812" s="32"/>
      <c r="AO3812" s="32"/>
      <c r="AP3812" s="24"/>
      <c r="AQ3812" s="24"/>
      <c r="AR3812" s="33"/>
      <c r="AS3812" s="34"/>
      <c r="AT3812" s="33"/>
      <c r="AV3812" s="21">
        <f>IF(AND($AL3812&lt;&gt;"",COUNTIF($AL$11:$AL3812,$AL3812)=1),1,0)</f>
        <v>0</v>
      </c>
      <c r="AW3812" s="21">
        <f t="shared" si="205"/>
        <v>0</v>
      </c>
      <c r="AX3812" s="21" t="str">
        <f t="shared" si="204"/>
        <v/>
      </c>
      <c r="AY3812" s="21" t="str">
        <f>IF(AND($AM3812&lt;&gt;"",$AS3812&lt;&gt;"✓"),SUMPRODUCT(($AM$11:$AM3812&lt;&gt;"")*($AS$11:$AS3812&lt;&gt;"✓")),"")</f>
        <v/>
      </c>
      <c r="AZ3812" s="21" t="str">
        <f>IF(AND($AM3812&lt;&gt;"",$AS3812="✓"),SUMPRODUCT(($AM$11:$AM3812&lt;&gt;"")*($AS$11:$AS3812="✓")),"")</f>
        <v/>
      </c>
      <c r="BA3812" s="21" t="str">
        <f>IF($AL3812="","",$AL3812&amp;"|"&amp;COUNTIF($AL$11:$AL3812,$AL3812))</f>
        <v/>
      </c>
    </row>
    <row r="3813" spans="38:53" ht="15" customHeight="1" x14ac:dyDescent="0.25">
      <c r="AL3813" s="17"/>
      <c r="AM3813" s="12"/>
      <c r="AN3813" s="18"/>
      <c r="AO3813" s="18"/>
      <c r="AP3813" s="10"/>
      <c r="AQ3813" s="10"/>
      <c r="AR3813" s="19"/>
      <c r="AS3813" s="20"/>
      <c r="AT3813" s="19"/>
      <c r="AV3813" s="21">
        <f>IF(AND($AL3813&lt;&gt;"",COUNTIF($AL$11:$AL3813,$AL3813)=1),1,0)</f>
        <v>0</v>
      </c>
      <c r="AW3813" s="21">
        <f t="shared" si="205"/>
        <v>0</v>
      </c>
      <c r="AX3813" s="21" t="str">
        <f t="shared" si="204"/>
        <v/>
      </c>
      <c r="AY3813" s="21" t="str">
        <f>IF(AND($AM3813&lt;&gt;"",$AS3813&lt;&gt;"✓"),SUMPRODUCT(($AM$11:$AM3813&lt;&gt;"")*($AS$11:$AS3813&lt;&gt;"✓")),"")</f>
        <v/>
      </c>
      <c r="AZ3813" s="21" t="str">
        <f>IF(AND($AM3813&lt;&gt;"",$AS3813="✓"),SUMPRODUCT(($AM$11:$AM3813&lt;&gt;"")*($AS$11:$AS3813="✓")),"")</f>
        <v/>
      </c>
      <c r="BA3813" s="21" t="str">
        <f>IF($AL3813="","",$AL3813&amp;"|"&amp;COUNTIF($AL$11:$AL3813,$AL3813))</f>
        <v/>
      </c>
    </row>
    <row r="3814" spans="38:53" ht="15" customHeight="1" x14ac:dyDescent="0.25">
      <c r="AL3814" s="31"/>
      <c r="AM3814" s="26"/>
      <c r="AN3814" s="32"/>
      <c r="AO3814" s="32"/>
      <c r="AP3814" s="24"/>
      <c r="AQ3814" s="24"/>
      <c r="AR3814" s="33"/>
      <c r="AS3814" s="34"/>
      <c r="AT3814" s="33"/>
      <c r="AV3814" s="21">
        <f>IF(AND($AL3814&lt;&gt;"",COUNTIF($AL$11:$AL3814,$AL3814)=1),1,0)</f>
        <v>0</v>
      </c>
      <c r="AW3814" s="21">
        <f t="shared" si="205"/>
        <v>0</v>
      </c>
      <c r="AX3814" s="21" t="str">
        <f t="shared" si="204"/>
        <v/>
      </c>
      <c r="AY3814" s="21" t="str">
        <f>IF(AND($AM3814&lt;&gt;"",$AS3814&lt;&gt;"✓"),SUMPRODUCT(($AM$11:$AM3814&lt;&gt;"")*($AS$11:$AS3814&lt;&gt;"✓")),"")</f>
        <v/>
      </c>
      <c r="AZ3814" s="21" t="str">
        <f>IF(AND($AM3814&lt;&gt;"",$AS3814="✓"),SUMPRODUCT(($AM$11:$AM3814&lt;&gt;"")*($AS$11:$AS3814="✓")),"")</f>
        <v/>
      </c>
      <c r="BA3814" s="21" t="str">
        <f>IF($AL3814="","",$AL3814&amp;"|"&amp;COUNTIF($AL$11:$AL3814,$AL3814))</f>
        <v/>
      </c>
    </row>
    <row r="3815" spans="38:53" ht="15" customHeight="1" x14ac:dyDescent="0.25">
      <c r="AL3815" s="17"/>
      <c r="AM3815" s="12"/>
      <c r="AN3815" s="18"/>
      <c r="AO3815" s="18"/>
      <c r="AP3815" s="10"/>
      <c r="AQ3815" s="10"/>
      <c r="AR3815" s="19"/>
      <c r="AS3815" s="20"/>
      <c r="AT3815" s="19"/>
      <c r="AV3815" s="21">
        <f>IF(AND($AL3815&lt;&gt;"",COUNTIF($AL$11:$AL3815,$AL3815)=1),1,0)</f>
        <v>0</v>
      </c>
      <c r="AW3815" s="21">
        <f t="shared" si="205"/>
        <v>0</v>
      </c>
      <c r="AX3815" s="21" t="str">
        <f t="shared" si="204"/>
        <v/>
      </c>
      <c r="AY3815" s="21" t="str">
        <f>IF(AND($AM3815&lt;&gt;"",$AS3815&lt;&gt;"✓"),SUMPRODUCT(($AM$11:$AM3815&lt;&gt;"")*($AS$11:$AS3815&lt;&gt;"✓")),"")</f>
        <v/>
      </c>
      <c r="AZ3815" s="21" t="str">
        <f>IF(AND($AM3815&lt;&gt;"",$AS3815="✓"),SUMPRODUCT(($AM$11:$AM3815&lt;&gt;"")*($AS$11:$AS3815="✓")),"")</f>
        <v/>
      </c>
      <c r="BA3815" s="21" t="str">
        <f>IF($AL3815="","",$AL3815&amp;"|"&amp;COUNTIF($AL$11:$AL3815,$AL3815))</f>
        <v/>
      </c>
    </row>
    <row r="3816" spans="38:53" ht="15" customHeight="1" x14ac:dyDescent="0.25">
      <c r="AL3816" s="31"/>
      <c r="AM3816" s="26"/>
      <c r="AN3816" s="32"/>
      <c r="AO3816" s="32"/>
      <c r="AP3816" s="24"/>
      <c r="AQ3816" s="24"/>
      <c r="AR3816" s="33"/>
      <c r="AS3816" s="34"/>
      <c r="AT3816" s="33"/>
      <c r="AV3816" s="21">
        <f>IF(AND($AL3816&lt;&gt;"",COUNTIF($AL$11:$AL3816,$AL3816)=1),1,0)</f>
        <v>0</v>
      </c>
      <c r="AW3816" s="21">
        <f t="shared" si="205"/>
        <v>0</v>
      </c>
      <c r="AX3816" s="21" t="str">
        <f t="shared" si="204"/>
        <v/>
      </c>
      <c r="AY3816" s="21" t="str">
        <f>IF(AND($AM3816&lt;&gt;"",$AS3816&lt;&gt;"✓"),SUMPRODUCT(($AM$11:$AM3816&lt;&gt;"")*($AS$11:$AS3816&lt;&gt;"✓")),"")</f>
        <v/>
      </c>
      <c r="AZ3816" s="21" t="str">
        <f>IF(AND($AM3816&lt;&gt;"",$AS3816="✓"),SUMPRODUCT(($AM$11:$AM3816&lt;&gt;"")*($AS$11:$AS3816="✓")),"")</f>
        <v/>
      </c>
      <c r="BA3816" s="21" t="str">
        <f>IF($AL3816="","",$AL3816&amp;"|"&amp;COUNTIF($AL$11:$AL3816,$AL3816))</f>
        <v/>
      </c>
    </row>
    <row r="3817" spans="38:53" ht="15" customHeight="1" x14ac:dyDescent="0.25">
      <c r="AL3817" s="17"/>
      <c r="AM3817" s="12"/>
      <c r="AN3817" s="18"/>
      <c r="AO3817" s="18"/>
      <c r="AP3817" s="10"/>
      <c r="AQ3817" s="10"/>
      <c r="AR3817" s="19"/>
      <c r="AS3817" s="20"/>
      <c r="AT3817" s="19"/>
      <c r="AV3817" s="21">
        <f>IF(AND($AL3817&lt;&gt;"",COUNTIF($AL$11:$AL3817,$AL3817)=1),1,0)</f>
        <v>0</v>
      </c>
      <c r="AW3817" s="21">
        <f t="shared" si="205"/>
        <v>0</v>
      </c>
      <c r="AX3817" s="21" t="str">
        <f t="shared" si="204"/>
        <v/>
      </c>
      <c r="AY3817" s="21" t="str">
        <f>IF(AND($AM3817&lt;&gt;"",$AS3817&lt;&gt;"✓"),SUMPRODUCT(($AM$11:$AM3817&lt;&gt;"")*($AS$11:$AS3817&lt;&gt;"✓")),"")</f>
        <v/>
      </c>
      <c r="AZ3817" s="21" t="str">
        <f>IF(AND($AM3817&lt;&gt;"",$AS3817="✓"),SUMPRODUCT(($AM$11:$AM3817&lt;&gt;"")*($AS$11:$AS3817="✓")),"")</f>
        <v/>
      </c>
      <c r="BA3817" s="21" t="str">
        <f>IF($AL3817="","",$AL3817&amp;"|"&amp;COUNTIF($AL$11:$AL3817,$AL3817))</f>
        <v/>
      </c>
    </row>
    <row r="3818" spans="38:53" ht="15" customHeight="1" x14ac:dyDescent="0.25">
      <c r="AL3818" s="31"/>
      <c r="AM3818" s="26"/>
      <c r="AN3818" s="32"/>
      <c r="AO3818" s="32"/>
      <c r="AP3818" s="24"/>
      <c r="AQ3818" s="24"/>
      <c r="AR3818" s="33"/>
      <c r="AS3818" s="34"/>
      <c r="AT3818" s="33"/>
      <c r="AV3818" s="21">
        <f>IF(AND($AL3818&lt;&gt;"",COUNTIF($AL$11:$AL3818,$AL3818)=1),1,0)</f>
        <v>0</v>
      </c>
      <c r="AW3818" s="21">
        <f t="shared" si="205"/>
        <v>0</v>
      </c>
      <c r="AX3818" s="21" t="str">
        <f t="shared" si="204"/>
        <v/>
      </c>
      <c r="AY3818" s="21" t="str">
        <f>IF(AND($AM3818&lt;&gt;"",$AS3818&lt;&gt;"✓"),SUMPRODUCT(($AM$11:$AM3818&lt;&gt;"")*($AS$11:$AS3818&lt;&gt;"✓")),"")</f>
        <v/>
      </c>
      <c r="AZ3818" s="21" t="str">
        <f>IF(AND($AM3818&lt;&gt;"",$AS3818="✓"),SUMPRODUCT(($AM$11:$AM3818&lt;&gt;"")*($AS$11:$AS3818="✓")),"")</f>
        <v/>
      </c>
      <c r="BA3818" s="21" t="str">
        <f>IF($AL3818="","",$AL3818&amp;"|"&amp;COUNTIF($AL$11:$AL3818,$AL3818))</f>
        <v/>
      </c>
    </row>
    <row r="3819" spans="38:53" ht="15" customHeight="1" x14ac:dyDescent="0.25">
      <c r="AL3819" s="17"/>
      <c r="AM3819" s="12"/>
      <c r="AN3819" s="18"/>
      <c r="AO3819" s="18"/>
      <c r="AP3819" s="10"/>
      <c r="AQ3819" s="10"/>
      <c r="AR3819" s="19"/>
      <c r="AS3819" s="20"/>
      <c r="AT3819" s="19"/>
      <c r="AV3819" s="21">
        <f>IF(AND($AL3819&lt;&gt;"",COUNTIF($AL$11:$AL3819,$AL3819)=1),1,0)</f>
        <v>0</v>
      </c>
      <c r="AW3819" s="21">
        <f t="shared" si="205"/>
        <v>0</v>
      </c>
      <c r="AX3819" s="21" t="str">
        <f t="shared" si="204"/>
        <v/>
      </c>
      <c r="AY3819" s="21" t="str">
        <f>IF(AND($AM3819&lt;&gt;"",$AS3819&lt;&gt;"✓"),SUMPRODUCT(($AM$11:$AM3819&lt;&gt;"")*($AS$11:$AS3819&lt;&gt;"✓")),"")</f>
        <v/>
      </c>
      <c r="AZ3819" s="21" t="str">
        <f>IF(AND($AM3819&lt;&gt;"",$AS3819="✓"),SUMPRODUCT(($AM$11:$AM3819&lt;&gt;"")*($AS$11:$AS3819="✓")),"")</f>
        <v/>
      </c>
      <c r="BA3819" s="21" t="str">
        <f>IF($AL3819="","",$AL3819&amp;"|"&amp;COUNTIF($AL$11:$AL3819,$AL3819))</f>
        <v/>
      </c>
    </row>
    <row r="3820" spans="38:53" ht="15" customHeight="1" x14ac:dyDescent="0.25">
      <c r="AL3820" s="31"/>
      <c r="AM3820" s="26"/>
      <c r="AN3820" s="32"/>
      <c r="AO3820" s="32"/>
      <c r="AP3820" s="24"/>
      <c r="AQ3820" s="24"/>
      <c r="AR3820" s="33"/>
      <c r="AS3820" s="34"/>
      <c r="AT3820" s="33"/>
      <c r="AV3820" s="21">
        <f>IF(AND($AL3820&lt;&gt;"",COUNTIF($AL$11:$AL3820,$AL3820)=1),1,0)</f>
        <v>0</v>
      </c>
      <c r="AW3820" s="21">
        <f t="shared" si="205"/>
        <v>0</v>
      </c>
      <c r="AX3820" s="21" t="str">
        <f t="shared" si="204"/>
        <v/>
      </c>
      <c r="AY3820" s="21" t="str">
        <f>IF(AND($AM3820&lt;&gt;"",$AS3820&lt;&gt;"✓"),SUMPRODUCT(($AM$11:$AM3820&lt;&gt;"")*($AS$11:$AS3820&lt;&gt;"✓")),"")</f>
        <v/>
      </c>
      <c r="AZ3820" s="21" t="str">
        <f>IF(AND($AM3820&lt;&gt;"",$AS3820="✓"),SUMPRODUCT(($AM$11:$AM3820&lt;&gt;"")*($AS$11:$AS3820="✓")),"")</f>
        <v/>
      </c>
      <c r="BA3820" s="21" t="str">
        <f>IF($AL3820="","",$AL3820&amp;"|"&amp;COUNTIF($AL$11:$AL3820,$AL3820))</f>
        <v/>
      </c>
    </row>
    <row r="3821" spans="38:53" ht="15" customHeight="1" x14ac:dyDescent="0.25">
      <c r="AL3821" s="17"/>
      <c r="AM3821" s="12"/>
      <c r="AN3821" s="18"/>
      <c r="AO3821" s="18"/>
      <c r="AP3821" s="10"/>
      <c r="AQ3821" s="10"/>
      <c r="AR3821" s="19"/>
      <c r="AS3821" s="20"/>
      <c r="AT3821" s="19"/>
      <c r="AV3821" s="21">
        <f>IF(AND($AL3821&lt;&gt;"",COUNTIF($AL$11:$AL3821,$AL3821)=1),1,0)</f>
        <v>0</v>
      </c>
      <c r="AW3821" s="21">
        <f t="shared" si="205"/>
        <v>0</v>
      </c>
      <c r="AX3821" s="21" t="str">
        <f t="shared" si="204"/>
        <v/>
      </c>
      <c r="AY3821" s="21" t="str">
        <f>IF(AND($AM3821&lt;&gt;"",$AS3821&lt;&gt;"✓"),SUMPRODUCT(($AM$11:$AM3821&lt;&gt;"")*($AS$11:$AS3821&lt;&gt;"✓")),"")</f>
        <v/>
      </c>
      <c r="AZ3821" s="21" t="str">
        <f>IF(AND($AM3821&lt;&gt;"",$AS3821="✓"),SUMPRODUCT(($AM$11:$AM3821&lt;&gt;"")*($AS$11:$AS3821="✓")),"")</f>
        <v/>
      </c>
      <c r="BA3821" s="21" t="str">
        <f>IF($AL3821="","",$AL3821&amp;"|"&amp;COUNTIF($AL$11:$AL3821,$AL3821))</f>
        <v/>
      </c>
    </row>
    <row r="3822" spans="38:53" ht="15" customHeight="1" x14ac:dyDescent="0.25">
      <c r="AL3822" s="31"/>
      <c r="AM3822" s="26"/>
      <c r="AN3822" s="32"/>
      <c r="AO3822" s="32"/>
      <c r="AP3822" s="24"/>
      <c r="AQ3822" s="24"/>
      <c r="AR3822" s="33"/>
      <c r="AS3822" s="34"/>
      <c r="AT3822" s="33"/>
      <c r="AV3822" s="21">
        <f>IF(AND($AL3822&lt;&gt;"",COUNTIF($AL$11:$AL3822,$AL3822)=1),1,0)</f>
        <v>0</v>
      </c>
      <c r="AW3822" s="21">
        <f t="shared" si="205"/>
        <v>0</v>
      </c>
      <c r="AX3822" s="21" t="str">
        <f t="shared" si="204"/>
        <v/>
      </c>
      <c r="AY3822" s="21" t="str">
        <f>IF(AND($AM3822&lt;&gt;"",$AS3822&lt;&gt;"✓"),SUMPRODUCT(($AM$11:$AM3822&lt;&gt;"")*($AS$11:$AS3822&lt;&gt;"✓")),"")</f>
        <v/>
      </c>
      <c r="AZ3822" s="21" t="str">
        <f>IF(AND($AM3822&lt;&gt;"",$AS3822="✓"),SUMPRODUCT(($AM$11:$AM3822&lt;&gt;"")*($AS$11:$AS3822="✓")),"")</f>
        <v/>
      </c>
      <c r="BA3822" s="21" t="str">
        <f>IF($AL3822="","",$AL3822&amp;"|"&amp;COUNTIF($AL$11:$AL3822,$AL3822))</f>
        <v/>
      </c>
    </row>
    <row r="3823" spans="38:53" ht="15" customHeight="1" x14ac:dyDescent="0.25">
      <c r="AL3823" s="17"/>
      <c r="AM3823" s="12"/>
      <c r="AN3823" s="18"/>
      <c r="AO3823" s="18"/>
      <c r="AP3823" s="10"/>
      <c r="AQ3823" s="10"/>
      <c r="AR3823" s="19"/>
      <c r="AS3823" s="20"/>
      <c r="AT3823" s="19"/>
      <c r="AV3823" s="21">
        <f>IF(AND($AL3823&lt;&gt;"",COUNTIF($AL$11:$AL3823,$AL3823)=1),1,0)</f>
        <v>0</v>
      </c>
      <c r="AW3823" s="21">
        <f t="shared" si="205"/>
        <v>0</v>
      </c>
      <c r="AX3823" s="21" t="str">
        <f t="shared" si="204"/>
        <v/>
      </c>
      <c r="AY3823" s="21" t="str">
        <f>IF(AND($AM3823&lt;&gt;"",$AS3823&lt;&gt;"✓"),SUMPRODUCT(($AM$11:$AM3823&lt;&gt;"")*($AS$11:$AS3823&lt;&gt;"✓")),"")</f>
        <v/>
      </c>
      <c r="AZ3823" s="21" t="str">
        <f>IF(AND($AM3823&lt;&gt;"",$AS3823="✓"),SUMPRODUCT(($AM$11:$AM3823&lt;&gt;"")*($AS$11:$AS3823="✓")),"")</f>
        <v/>
      </c>
      <c r="BA3823" s="21" t="str">
        <f>IF($AL3823="","",$AL3823&amp;"|"&amp;COUNTIF($AL$11:$AL3823,$AL3823))</f>
        <v/>
      </c>
    </row>
    <row r="3824" spans="38:53" ht="15" customHeight="1" x14ac:dyDescent="0.25">
      <c r="AL3824" s="31"/>
      <c r="AM3824" s="26"/>
      <c r="AN3824" s="32"/>
      <c r="AO3824" s="32"/>
      <c r="AP3824" s="24"/>
      <c r="AQ3824" s="24"/>
      <c r="AR3824" s="33"/>
      <c r="AS3824" s="34"/>
      <c r="AT3824" s="33"/>
      <c r="AV3824" s="21">
        <f>IF(AND($AL3824&lt;&gt;"",COUNTIF($AL$11:$AL3824,$AL3824)=1),1,0)</f>
        <v>0</v>
      </c>
      <c r="AW3824" s="21">
        <f t="shared" si="205"/>
        <v>0</v>
      </c>
      <c r="AX3824" s="21" t="str">
        <f t="shared" si="204"/>
        <v/>
      </c>
      <c r="AY3824" s="21" t="str">
        <f>IF(AND($AM3824&lt;&gt;"",$AS3824&lt;&gt;"✓"),SUMPRODUCT(($AM$11:$AM3824&lt;&gt;"")*($AS$11:$AS3824&lt;&gt;"✓")),"")</f>
        <v/>
      </c>
      <c r="AZ3824" s="21" t="str">
        <f>IF(AND($AM3824&lt;&gt;"",$AS3824="✓"),SUMPRODUCT(($AM$11:$AM3824&lt;&gt;"")*($AS$11:$AS3824="✓")),"")</f>
        <v/>
      </c>
      <c r="BA3824" s="21" t="str">
        <f>IF($AL3824="","",$AL3824&amp;"|"&amp;COUNTIF($AL$11:$AL3824,$AL3824))</f>
        <v/>
      </c>
    </row>
    <row r="3825" spans="38:53" ht="15" customHeight="1" x14ac:dyDescent="0.25">
      <c r="AL3825" s="17"/>
      <c r="AM3825" s="12"/>
      <c r="AN3825" s="18"/>
      <c r="AO3825" s="18"/>
      <c r="AP3825" s="10"/>
      <c r="AQ3825" s="10"/>
      <c r="AR3825" s="19"/>
      <c r="AS3825" s="20"/>
      <c r="AT3825" s="19"/>
      <c r="AV3825" s="21">
        <f>IF(AND($AL3825&lt;&gt;"",COUNTIF($AL$11:$AL3825,$AL3825)=1),1,0)</f>
        <v>0</v>
      </c>
      <c r="AW3825" s="21">
        <f t="shared" si="205"/>
        <v>0</v>
      </c>
      <c r="AX3825" s="21" t="str">
        <f t="shared" si="204"/>
        <v/>
      </c>
      <c r="AY3825" s="21" t="str">
        <f>IF(AND($AM3825&lt;&gt;"",$AS3825&lt;&gt;"✓"),SUMPRODUCT(($AM$11:$AM3825&lt;&gt;"")*($AS$11:$AS3825&lt;&gt;"✓")),"")</f>
        <v/>
      </c>
      <c r="AZ3825" s="21" t="str">
        <f>IF(AND($AM3825&lt;&gt;"",$AS3825="✓"),SUMPRODUCT(($AM$11:$AM3825&lt;&gt;"")*($AS$11:$AS3825="✓")),"")</f>
        <v/>
      </c>
      <c r="BA3825" s="21" t="str">
        <f>IF($AL3825="","",$AL3825&amp;"|"&amp;COUNTIF($AL$11:$AL3825,$AL3825))</f>
        <v/>
      </c>
    </row>
    <row r="3826" spans="38:53" ht="15" customHeight="1" x14ac:dyDescent="0.25">
      <c r="AL3826" s="31"/>
      <c r="AM3826" s="26"/>
      <c r="AN3826" s="32"/>
      <c r="AO3826" s="32"/>
      <c r="AP3826" s="24"/>
      <c r="AQ3826" s="24"/>
      <c r="AR3826" s="33"/>
      <c r="AS3826" s="34"/>
      <c r="AT3826" s="33"/>
      <c r="AV3826" s="21">
        <f>IF(AND($AL3826&lt;&gt;"",COUNTIF($AL$11:$AL3826,$AL3826)=1),1,0)</f>
        <v>0</v>
      </c>
      <c r="AW3826" s="21">
        <f t="shared" si="205"/>
        <v>0</v>
      </c>
      <c r="AX3826" s="21" t="str">
        <f t="shared" si="204"/>
        <v/>
      </c>
      <c r="AY3826" s="21" t="str">
        <f>IF(AND($AM3826&lt;&gt;"",$AS3826&lt;&gt;"✓"),SUMPRODUCT(($AM$11:$AM3826&lt;&gt;"")*($AS$11:$AS3826&lt;&gt;"✓")),"")</f>
        <v/>
      </c>
      <c r="AZ3826" s="21" t="str">
        <f>IF(AND($AM3826&lt;&gt;"",$AS3826="✓"),SUMPRODUCT(($AM$11:$AM3826&lt;&gt;"")*($AS$11:$AS3826="✓")),"")</f>
        <v/>
      </c>
      <c r="BA3826" s="21" t="str">
        <f>IF($AL3826="","",$AL3826&amp;"|"&amp;COUNTIF($AL$11:$AL3826,$AL3826))</f>
        <v/>
      </c>
    </row>
    <row r="3827" spans="38:53" ht="15" customHeight="1" x14ac:dyDescent="0.25">
      <c r="AL3827" s="17"/>
      <c r="AM3827" s="12"/>
      <c r="AN3827" s="18"/>
      <c r="AO3827" s="18"/>
      <c r="AP3827" s="10"/>
      <c r="AQ3827" s="10"/>
      <c r="AR3827" s="19"/>
      <c r="AS3827" s="20"/>
      <c r="AT3827" s="19"/>
      <c r="AV3827" s="21">
        <f>IF(AND($AL3827&lt;&gt;"",COUNTIF($AL$11:$AL3827,$AL3827)=1),1,0)</f>
        <v>0</v>
      </c>
      <c r="AW3827" s="21">
        <f t="shared" si="205"/>
        <v>0</v>
      </c>
      <c r="AX3827" s="21" t="str">
        <f t="shared" si="204"/>
        <v/>
      </c>
      <c r="AY3827" s="21" t="str">
        <f>IF(AND($AM3827&lt;&gt;"",$AS3827&lt;&gt;"✓"),SUMPRODUCT(($AM$11:$AM3827&lt;&gt;"")*($AS$11:$AS3827&lt;&gt;"✓")),"")</f>
        <v/>
      </c>
      <c r="AZ3827" s="21" t="str">
        <f>IF(AND($AM3827&lt;&gt;"",$AS3827="✓"),SUMPRODUCT(($AM$11:$AM3827&lt;&gt;"")*($AS$11:$AS3827="✓")),"")</f>
        <v/>
      </c>
      <c r="BA3827" s="21" t="str">
        <f>IF($AL3827="","",$AL3827&amp;"|"&amp;COUNTIF($AL$11:$AL3827,$AL3827))</f>
        <v/>
      </c>
    </row>
    <row r="3828" spans="38:53" ht="15" customHeight="1" x14ac:dyDescent="0.25">
      <c r="AL3828" s="31"/>
      <c r="AM3828" s="26"/>
      <c r="AN3828" s="32"/>
      <c r="AO3828" s="32"/>
      <c r="AP3828" s="24"/>
      <c r="AQ3828" s="24"/>
      <c r="AR3828" s="33"/>
      <c r="AS3828" s="34"/>
      <c r="AT3828" s="33"/>
      <c r="AV3828" s="21">
        <f>IF(AND($AL3828&lt;&gt;"",COUNTIF($AL$11:$AL3828,$AL3828)=1),1,0)</f>
        <v>0</v>
      </c>
      <c r="AW3828" s="21">
        <f t="shared" si="205"/>
        <v>0</v>
      </c>
      <c r="AX3828" s="21" t="str">
        <f t="shared" si="204"/>
        <v/>
      </c>
      <c r="AY3828" s="21" t="str">
        <f>IF(AND($AM3828&lt;&gt;"",$AS3828&lt;&gt;"✓"),SUMPRODUCT(($AM$11:$AM3828&lt;&gt;"")*($AS$11:$AS3828&lt;&gt;"✓")),"")</f>
        <v/>
      </c>
      <c r="AZ3828" s="21" t="str">
        <f>IF(AND($AM3828&lt;&gt;"",$AS3828="✓"),SUMPRODUCT(($AM$11:$AM3828&lt;&gt;"")*($AS$11:$AS3828="✓")),"")</f>
        <v/>
      </c>
      <c r="BA3828" s="21" t="str">
        <f>IF($AL3828="","",$AL3828&amp;"|"&amp;COUNTIF($AL$11:$AL3828,$AL3828))</f>
        <v/>
      </c>
    </row>
    <row r="3829" spans="38:53" ht="15" customHeight="1" x14ac:dyDescent="0.25">
      <c r="AL3829" s="17"/>
      <c r="AM3829" s="12"/>
      <c r="AN3829" s="18"/>
      <c r="AO3829" s="18"/>
      <c r="AP3829" s="10"/>
      <c r="AQ3829" s="10"/>
      <c r="AR3829" s="19"/>
      <c r="AS3829" s="20"/>
      <c r="AT3829" s="19"/>
      <c r="AV3829" s="21">
        <f>IF(AND($AL3829&lt;&gt;"",COUNTIF($AL$11:$AL3829,$AL3829)=1),1,0)</f>
        <v>0</v>
      </c>
      <c r="AW3829" s="21">
        <f t="shared" si="205"/>
        <v>0</v>
      </c>
      <c r="AX3829" s="21" t="str">
        <f t="shared" si="204"/>
        <v/>
      </c>
      <c r="AY3829" s="21" t="str">
        <f>IF(AND($AM3829&lt;&gt;"",$AS3829&lt;&gt;"✓"),SUMPRODUCT(($AM$11:$AM3829&lt;&gt;"")*($AS$11:$AS3829&lt;&gt;"✓")),"")</f>
        <v/>
      </c>
      <c r="AZ3829" s="21" t="str">
        <f>IF(AND($AM3829&lt;&gt;"",$AS3829="✓"),SUMPRODUCT(($AM$11:$AM3829&lt;&gt;"")*($AS$11:$AS3829="✓")),"")</f>
        <v/>
      </c>
      <c r="BA3829" s="21" t="str">
        <f>IF($AL3829="","",$AL3829&amp;"|"&amp;COUNTIF($AL$11:$AL3829,$AL3829))</f>
        <v/>
      </c>
    </row>
    <row r="3830" spans="38:53" ht="15" customHeight="1" x14ac:dyDescent="0.25">
      <c r="AL3830" s="31"/>
      <c r="AM3830" s="26"/>
      <c r="AN3830" s="32"/>
      <c r="AO3830" s="32"/>
      <c r="AP3830" s="24"/>
      <c r="AQ3830" s="24"/>
      <c r="AR3830" s="33"/>
      <c r="AS3830" s="34"/>
      <c r="AT3830" s="33"/>
      <c r="AV3830" s="21">
        <f>IF(AND($AL3830&lt;&gt;"",COUNTIF($AL$11:$AL3830,$AL3830)=1),1,0)</f>
        <v>0</v>
      </c>
      <c r="AW3830" s="21">
        <f t="shared" si="205"/>
        <v>0</v>
      </c>
      <c r="AX3830" s="21" t="str">
        <f t="shared" si="204"/>
        <v/>
      </c>
      <c r="AY3830" s="21" t="str">
        <f>IF(AND($AM3830&lt;&gt;"",$AS3830&lt;&gt;"✓"),SUMPRODUCT(($AM$11:$AM3830&lt;&gt;"")*($AS$11:$AS3830&lt;&gt;"✓")),"")</f>
        <v/>
      </c>
      <c r="AZ3830" s="21" t="str">
        <f>IF(AND($AM3830&lt;&gt;"",$AS3830="✓"),SUMPRODUCT(($AM$11:$AM3830&lt;&gt;"")*($AS$11:$AS3830="✓")),"")</f>
        <v/>
      </c>
      <c r="BA3830" s="21" t="str">
        <f>IF($AL3830="","",$AL3830&amp;"|"&amp;COUNTIF($AL$11:$AL3830,$AL3830))</f>
        <v/>
      </c>
    </row>
    <row r="3831" spans="38:53" ht="15" customHeight="1" x14ac:dyDescent="0.25">
      <c r="AL3831" s="17"/>
      <c r="AM3831" s="12"/>
      <c r="AN3831" s="18"/>
      <c r="AO3831" s="18"/>
      <c r="AP3831" s="10"/>
      <c r="AQ3831" s="10"/>
      <c r="AR3831" s="19"/>
      <c r="AS3831" s="20"/>
      <c r="AT3831" s="19"/>
      <c r="AV3831" s="21">
        <f>IF(AND($AL3831&lt;&gt;"",COUNTIF($AL$11:$AL3831,$AL3831)=1),1,0)</f>
        <v>0</v>
      </c>
      <c r="AW3831" s="21">
        <f t="shared" si="205"/>
        <v>0</v>
      </c>
      <c r="AX3831" s="21" t="str">
        <f t="shared" si="204"/>
        <v/>
      </c>
      <c r="AY3831" s="21" t="str">
        <f>IF(AND($AM3831&lt;&gt;"",$AS3831&lt;&gt;"✓"),SUMPRODUCT(($AM$11:$AM3831&lt;&gt;"")*($AS$11:$AS3831&lt;&gt;"✓")),"")</f>
        <v/>
      </c>
      <c r="AZ3831" s="21" t="str">
        <f>IF(AND($AM3831&lt;&gt;"",$AS3831="✓"),SUMPRODUCT(($AM$11:$AM3831&lt;&gt;"")*($AS$11:$AS3831="✓")),"")</f>
        <v/>
      </c>
      <c r="BA3831" s="21" t="str">
        <f>IF($AL3831="","",$AL3831&amp;"|"&amp;COUNTIF($AL$11:$AL3831,$AL3831))</f>
        <v/>
      </c>
    </row>
    <row r="3832" spans="38:53" ht="15" customHeight="1" x14ac:dyDescent="0.25">
      <c r="AL3832" s="31"/>
      <c r="AM3832" s="26"/>
      <c r="AN3832" s="32"/>
      <c r="AO3832" s="32"/>
      <c r="AP3832" s="24"/>
      <c r="AQ3832" s="24"/>
      <c r="AR3832" s="33"/>
      <c r="AS3832" s="34"/>
      <c r="AT3832" s="33"/>
      <c r="AV3832" s="21">
        <f>IF(AND($AL3832&lt;&gt;"",COUNTIF($AL$11:$AL3832,$AL3832)=1),1,0)</f>
        <v>0</v>
      </c>
      <c r="AW3832" s="21">
        <f t="shared" si="205"/>
        <v>0</v>
      </c>
      <c r="AX3832" s="21" t="str">
        <f t="shared" si="204"/>
        <v/>
      </c>
      <c r="AY3832" s="21" t="str">
        <f>IF(AND($AM3832&lt;&gt;"",$AS3832&lt;&gt;"✓"),SUMPRODUCT(($AM$11:$AM3832&lt;&gt;"")*($AS$11:$AS3832&lt;&gt;"✓")),"")</f>
        <v/>
      </c>
      <c r="AZ3832" s="21" t="str">
        <f>IF(AND($AM3832&lt;&gt;"",$AS3832="✓"),SUMPRODUCT(($AM$11:$AM3832&lt;&gt;"")*($AS$11:$AS3832="✓")),"")</f>
        <v/>
      </c>
      <c r="BA3832" s="21" t="str">
        <f>IF($AL3832="","",$AL3832&amp;"|"&amp;COUNTIF($AL$11:$AL3832,$AL3832))</f>
        <v/>
      </c>
    </row>
    <row r="3833" spans="38:53" ht="15" customHeight="1" x14ac:dyDescent="0.25">
      <c r="AL3833" s="17"/>
      <c r="AM3833" s="12"/>
      <c r="AN3833" s="18"/>
      <c r="AO3833" s="18"/>
      <c r="AP3833" s="10"/>
      <c r="AQ3833" s="10"/>
      <c r="AR3833" s="19"/>
      <c r="AS3833" s="20"/>
      <c r="AT3833" s="19"/>
      <c r="AV3833" s="21">
        <f>IF(AND($AL3833&lt;&gt;"",COUNTIF($AL$11:$AL3833,$AL3833)=1),1,0)</f>
        <v>0</v>
      </c>
      <c r="AW3833" s="21">
        <f t="shared" si="205"/>
        <v>0</v>
      </c>
      <c r="AX3833" s="21" t="str">
        <f t="shared" si="204"/>
        <v/>
      </c>
      <c r="AY3833" s="21" t="str">
        <f>IF(AND($AM3833&lt;&gt;"",$AS3833&lt;&gt;"✓"),SUMPRODUCT(($AM$11:$AM3833&lt;&gt;"")*($AS$11:$AS3833&lt;&gt;"✓")),"")</f>
        <v/>
      </c>
      <c r="AZ3833" s="21" t="str">
        <f>IF(AND($AM3833&lt;&gt;"",$AS3833="✓"),SUMPRODUCT(($AM$11:$AM3833&lt;&gt;"")*($AS$11:$AS3833="✓")),"")</f>
        <v/>
      </c>
      <c r="BA3833" s="21" t="str">
        <f>IF($AL3833="","",$AL3833&amp;"|"&amp;COUNTIF($AL$11:$AL3833,$AL3833))</f>
        <v/>
      </c>
    </row>
    <row r="3834" spans="38:53" ht="15" customHeight="1" x14ac:dyDescent="0.25">
      <c r="AL3834" s="31"/>
      <c r="AM3834" s="26"/>
      <c r="AN3834" s="32"/>
      <c r="AO3834" s="32"/>
      <c r="AP3834" s="24"/>
      <c r="AQ3834" s="24"/>
      <c r="AR3834" s="33"/>
      <c r="AS3834" s="34"/>
      <c r="AT3834" s="33"/>
      <c r="AV3834" s="21">
        <f>IF(AND($AL3834&lt;&gt;"",COUNTIF($AL$11:$AL3834,$AL3834)=1),1,0)</f>
        <v>0</v>
      </c>
      <c r="AW3834" s="21">
        <f t="shared" si="205"/>
        <v>0</v>
      </c>
      <c r="AX3834" s="21" t="str">
        <f t="shared" si="204"/>
        <v/>
      </c>
      <c r="AY3834" s="21" t="str">
        <f>IF(AND($AM3834&lt;&gt;"",$AS3834&lt;&gt;"✓"),SUMPRODUCT(($AM$11:$AM3834&lt;&gt;"")*($AS$11:$AS3834&lt;&gt;"✓")),"")</f>
        <v/>
      </c>
      <c r="AZ3834" s="21" t="str">
        <f>IF(AND($AM3834&lt;&gt;"",$AS3834="✓"),SUMPRODUCT(($AM$11:$AM3834&lt;&gt;"")*($AS$11:$AS3834="✓")),"")</f>
        <v/>
      </c>
      <c r="BA3834" s="21" t="str">
        <f>IF($AL3834="","",$AL3834&amp;"|"&amp;COUNTIF($AL$11:$AL3834,$AL3834))</f>
        <v/>
      </c>
    </row>
    <row r="3835" spans="38:53" ht="15" customHeight="1" x14ac:dyDescent="0.25">
      <c r="AL3835" s="17"/>
      <c r="AM3835" s="12"/>
      <c r="AN3835" s="18"/>
      <c r="AO3835" s="18"/>
      <c r="AP3835" s="10"/>
      <c r="AQ3835" s="10"/>
      <c r="AR3835" s="19"/>
      <c r="AS3835" s="20"/>
      <c r="AT3835" s="19"/>
      <c r="AV3835" s="21">
        <f>IF(AND($AL3835&lt;&gt;"",COUNTIF($AL$11:$AL3835,$AL3835)=1),1,0)</f>
        <v>0</v>
      </c>
      <c r="AW3835" s="21">
        <f t="shared" si="205"/>
        <v>0</v>
      </c>
      <c r="AX3835" s="21" t="str">
        <f t="shared" si="204"/>
        <v/>
      </c>
      <c r="AY3835" s="21" t="str">
        <f>IF(AND($AM3835&lt;&gt;"",$AS3835&lt;&gt;"✓"),SUMPRODUCT(($AM$11:$AM3835&lt;&gt;"")*($AS$11:$AS3835&lt;&gt;"✓")),"")</f>
        <v/>
      </c>
      <c r="AZ3835" s="21" t="str">
        <f>IF(AND($AM3835&lt;&gt;"",$AS3835="✓"),SUMPRODUCT(($AM$11:$AM3835&lt;&gt;"")*($AS$11:$AS3835="✓")),"")</f>
        <v/>
      </c>
      <c r="BA3835" s="21" t="str">
        <f>IF($AL3835="","",$AL3835&amp;"|"&amp;COUNTIF($AL$11:$AL3835,$AL3835))</f>
        <v/>
      </c>
    </row>
    <row r="3836" spans="38:53" ht="15" customHeight="1" x14ac:dyDescent="0.25">
      <c r="AL3836" s="31"/>
      <c r="AM3836" s="26"/>
      <c r="AN3836" s="32"/>
      <c r="AO3836" s="32"/>
      <c r="AP3836" s="24"/>
      <c r="AQ3836" s="24"/>
      <c r="AR3836" s="33"/>
      <c r="AS3836" s="34"/>
      <c r="AT3836" s="33"/>
      <c r="AV3836" s="21">
        <f>IF(AND($AL3836&lt;&gt;"",COUNTIF($AL$11:$AL3836,$AL3836)=1),1,0)</f>
        <v>0</v>
      </c>
      <c r="AW3836" s="21">
        <f t="shared" si="205"/>
        <v>0</v>
      </c>
      <c r="AX3836" s="21" t="str">
        <f t="shared" si="204"/>
        <v/>
      </c>
      <c r="AY3836" s="21" t="str">
        <f>IF(AND($AM3836&lt;&gt;"",$AS3836&lt;&gt;"✓"),SUMPRODUCT(($AM$11:$AM3836&lt;&gt;"")*($AS$11:$AS3836&lt;&gt;"✓")),"")</f>
        <v/>
      </c>
      <c r="AZ3836" s="21" t="str">
        <f>IF(AND($AM3836&lt;&gt;"",$AS3836="✓"),SUMPRODUCT(($AM$11:$AM3836&lt;&gt;"")*($AS$11:$AS3836="✓")),"")</f>
        <v/>
      </c>
      <c r="BA3836" s="21" t="str">
        <f>IF($AL3836="","",$AL3836&amp;"|"&amp;COUNTIF($AL$11:$AL3836,$AL3836))</f>
        <v/>
      </c>
    </row>
    <row r="3837" spans="38:53" ht="15" customHeight="1" x14ac:dyDescent="0.25">
      <c r="AL3837" s="17"/>
      <c r="AM3837" s="12"/>
      <c r="AN3837" s="18"/>
      <c r="AO3837" s="18"/>
      <c r="AP3837" s="10"/>
      <c r="AQ3837" s="10"/>
      <c r="AR3837" s="19"/>
      <c r="AS3837" s="20"/>
      <c r="AT3837" s="19"/>
      <c r="AV3837" s="21">
        <f>IF(AND($AL3837&lt;&gt;"",COUNTIF($AL$11:$AL3837,$AL3837)=1),1,0)</f>
        <v>0</v>
      </c>
      <c r="AW3837" s="21">
        <f t="shared" si="205"/>
        <v>0</v>
      </c>
      <c r="AX3837" s="21" t="str">
        <f t="shared" si="204"/>
        <v/>
      </c>
      <c r="AY3837" s="21" t="str">
        <f>IF(AND($AM3837&lt;&gt;"",$AS3837&lt;&gt;"✓"),SUMPRODUCT(($AM$11:$AM3837&lt;&gt;"")*($AS$11:$AS3837&lt;&gt;"✓")),"")</f>
        <v/>
      </c>
      <c r="AZ3837" s="21" t="str">
        <f>IF(AND($AM3837&lt;&gt;"",$AS3837="✓"),SUMPRODUCT(($AM$11:$AM3837&lt;&gt;"")*($AS$11:$AS3837="✓")),"")</f>
        <v/>
      </c>
      <c r="BA3837" s="21" t="str">
        <f>IF($AL3837="","",$AL3837&amp;"|"&amp;COUNTIF($AL$11:$AL3837,$AL3837))</f>
        <v/>
      </c>
    </row>
    <row r="3838" spans="38:53" ht="15" customHeight="1" x14ac:dyDescent="0.25">
      <c r="AL3838" s="31"/>
      <c r="AM3838" s="26"/>
      <c r="AN3838" s="32"/>
      <c r="AO3838" s="32"/>
      <c r="AP3838" s="24"/>
      <c r="AQ3838" s="24"/>
      <c r="AR3838" s="33"/>
      <c r="AS3838" s="34"/>
      <c r="AT3838" s="33"/>
      <c r="AV3838" s="21">
        <f>IF(AND($AL3838&lt;&gt;"",COUNTIF($AL$11:$AL3838,$AL3838)=1),1,0)</f>
        <v>0</v>
      </c>
      <c r="AW3838" s="21">
        <f t="shared" si="205"/>
        <v>0</v>
      </c>
      <c r="AX3838" s="21" t="str">
        <f t="shared" si="204"/>
        <v/>
      </c>
      <c r="AY3838" s="21" t="str">
        <f>IF(AND($AM3838&lt;&gt;"",$AS3838&lt;&gt;"✓"),SUMPRODUCT(($AM$11:$AM3838&lt;&gt;"")*($AS$11:$AS3838&lt;&gt;"✓")),"")</f>
        <v/>
      </c>
      <c r="AZ3838" s="21" t="str">
        <f>IF(AND($AM3838&lt;&gt;"",$AS3838="✓"),SUMPRODUCT(($AM$11:$AM3838&lt;&gt;"")*($AS$11:$AS3838="✓")),"")</f>
        <v/>
      </c>
      <c r="BA3838" s="21" t="str">
        <f>IF($AL3838="","",$AL3838&amp;"|"&amp;COUNTIF($AL$11:$AL3838,$AL3838))</f>
        <v/>
      </c>
    </row>
    <row r="3839" spans="38:53" ht="15" customHeight="1" x14ac:dyDescent="0.25">
      <c r="AL3839" s="17"/>
      <c r="AM3839" s="12"/>
      <c r="AN3839" s="18"/>
      <c r="AO3839" s="18"/>
      <c r="AP3839" s="10"/>
      <c r="AQ3839" s="10"/>
      <c r="AR3839" s="19"/>
      <c r="AS3839" s="20"/>
      <c r="AT3839" s="19"/>
      <c r="AV3839" s="21">
        <f>IF(AND($AL3839&lt;&gt;"",COUNTIF($AL$11:$AL3839,$AL3839)=1),1,0)</f>
        <v>0</v>
      </c>
      <c r="AW3839" s="21">
        <f t="shared" si="205"/>
        <v>0</v>
      </c>
      <c r="AX3839" s="21" t="str">
        <f t="shared" si="204"/>
        <v/>
      </c>
      <c r="AY3839" s="21" t="str">
        <f>IF(AND($AM3839&lt;&gt;"",$AS3839&lt;&gt;"✓"),SUMPRODUCT(($AM$11:$AM3839&lt;&gt;"")*($AS$11:$AS3839&lt;&gt;"✓")),"")</f>
        <v/>
      </c>
      <c r="AZ3839" s="21" t="str">
        <f>IF(AND($AM3839&lt;&gt;"",$AS3839="✓"),SUMPRODUCT(($AM$11:$AM3839&lt;&gt;"")*($AS$11:$AS3839="✓")),"")</f>
        <v/>
      </c>
      <c r="BA3839" s="21" t="str">
        <f>IF($AL3839="","",$AL3839&amp;"|"&amp;COUNTIF($AL$11:$AL3839,$AL3839))</f>
        <v/>
      </c>
    </row>
    <row r="3840" spans="38:53" ht="15" customHeight="1" x14ac:dyDescent="0.25">
      <c r="AL3840" s="31"/>
      <c r="AM3840" s="26"/>
      <c r="AN3840" s="32"/>
      <c r="AO3840" s="32"/>
      <c r="AP3840" s="24"/>
      <c r="AQ3840" s="24"/>
      <c r="AR3840" s="33"/>
      <c r="AS3840" s="34"/>
      <c r="AT3840" s="33"/>
      <c r="AV3840" s="21">
        <f>IF(AND($AL3840&lt;&gt;"",COUNTIF($AL$11:$AL3840,$AL3840)=1),1,0)</f>
        <v>0</v>
      </c>
      <c r="AW3840" s="21">
        <f t="shared" si="205"/>
        <v>0</v>
      </c>
      <c r="AX3840" s="21" t="str">
        <f t="shared" si="204"/>
        <v/>
      </c>
      <c r="AY3840" s="21" t="str">
        <f>IF(AND($AM3840&lt;&gt;"",$AS3840&lt;&gt;"✓"),SUMPRODUCT(($AM$11:$AM3840&lt;&gt;"")*($AS$11:$AS3840&lt;&gt;"✓")),"")</f>
        <v/>
      </c>
      <c r="AZ3840" s="21" t="str">
        <f>IF(AND($AM3840&lt;&gt;"",$AS3840="✓"),SUMPRODUCT(($AM$11:$AM3840&lt;&gt;"")*($AS$11:$AS3840="✓")),"")</f>
        <v/>
      </c>
      <c r="BA3840" s="21" t="str">
        <f>IF($AL3840="","",$AL3840&amp;"|"&amp;COUNTIF($AL$11:$AL3840,$AL3840))</f>
        <v/>
      </c>
    </row>
    <row r="3841" spans="38:53" ht="15" customHeight="1" x14ac:dyDescent="0.25">
      <c r="AL3841" s="17"/>
      <c r="AM3841" s="12"/>
      <c r="AN3841" s="18"/>
      <c r="AO3841" s="18"/>
      <c r="AP3841" s="10"/>
      <c r="AQ3841" s="10"/>
      <c r="AR3841" s="19"/>
      <c r="AS3841" s="20"/>
      <c r="AT3841" s="19"/>
      <c r="AV3841" s="21">
        <f>IF(AND($AL3841&lt;&gt;"",COUNTIF($AL$11:$AL3841,$AL3841)=1),1,0)</f>
        <v>0</v>
      </c>
      <c r="AW3841" s="21">
        <f t="shared" si="205"/>
        <v>0</v>
      </c>
      <c r="AX3841" s="21" t="str">
        <f t="shared" si="204"/>
        <v/>
      </c>
      <c r="AY3841" s="21" t="str">
        <f>IF(AND($AM3841&lt;&gt;"",$AS3841&lt;&gt;"✓"),SUMPRODUCT(($AM$11:$AM3841&lt;&gt;"")*($AS$11:$AS3841&lt;&gt;"✓")),"")</f>
        <v/>
      </c>
      <c r="AZ3841" s="21" t="str">
        <f>IF(AND($AM3841&lt;&gt;"",$AS3841="✓"),SUMPRODUCT(($AM$11:$AM3841&lt;&gt;"")*($AS$11:$AS3841="✓")),"")</f>
        <v/>
      </c>
      <c r="BA3841" s="21" t="str">
        <f>IF($AL3841="","",$AL3841&amp;"|"&amp;COUNTIF($AL$11:$AL3841,$AL3841))</f>
        <v/>
      </c>
    </row>
    <row r="3842" spans="38:53" ht="15" customHeight="1" x14ac:dyDescent="0.25">
      <c r="AL3842" s="31"/>
      <c r="AM3842" s="26"/>
      <c r="AN3842" s="32"/>
      <c r="AO3842" s="32"/>
      <c r="AP3842" s="24"/>
      <c r="AQ3842" s="24"/>
      <c r="AR3842" s="33"/>
      <c r="AS3842" s="34"/>
      <c r="AT3842" s="33"/>
      <c r="AV3842" s="21">
        <f>IF(AND($AL3842&lt;&gt;"",COUNTIF($AL$11:$AL3842,$AL3842)=1),1,0)</f>
        <v>0</v>
      </c>
      <c r="AW3842" s="21">
        <f t="shared" si="205"/>
        <v>0</v>
      </c>
      <c r="AX3842" s="21" t="str">
        <f t="shared" si="204"/>
        <v/>
      </c>
      <c r="AY3842" s="21" t="str">
        <f>IF(AND($AM3842&lt;&gt;"",$AS3842&lt;&gt;"✓"),SUMPRODUCT(($AM$11:$AM3842&lt;&gt;"")*($AS$11:$AS3842&lt;&gt;"✓")),"")</f>
        <v/>
      </c>
      <c r="AZ3842" s="21" t="str">
        <f>IF(AND($AM3842&lt;&gt;"",$AS3842="✓"),SUMPRODUCT(($AM$11:$AM3842&lt;&gt;"")*($AS$11:$AS3842="✓")),"")</f>
        <v/>
      </c>
      <c r="BA3842" s="21" t="str">
        <f>IF($AL3842="","",$AL3842&amp;"|"&amp;COUNTIF($AL$11:$AL3842,$AL3842))</f>
        <v/>
      </c>
    </row>
    <row r="3843" spans="38:53" ht="15" customHeight="1" x14ac:dyDescent="0.25">
      <c r="AL3843" s="17"/>
      <c r="AM3843" s="12"/>
      <c r="AN3843" s="18"/>
      <c r="AO3843" s="18"/>
      <c r="AP3843" s="10"/>
      <c r="AQ3843" s="10"/>
      <c r="AR3843" s="19"/>
      <c r="AS3843" s="20"/>
      <c r="AT3843" s="19"/>
      <c r="AV3843" s="21">
        <f>IF(AND($AL3843&lt;&gt;"",COUNTIF($AL$11:$AL3843,$AL3843)=1),1,0)</f>
        <v>0</v>
      </c>
      <c r="AW3843" s="21">
        <f t="shared" si="205"/>
        <v>0</v>
      </c>
      <c r="AX3843" s="21" t="str">
        <f t="shared" si="204"/>
        <v/>
      </c>
      <c r="AY3843" s="21" t="str">
        <f>IF(AND($AM3843&lt;&gt;"",$AS3843&lt;&gt;"✓"),SUMPRODUCT(($AM$11:$AM3843&lt;&gt;"")*($AS$11:$AS3843&lt;&gt;"✓")),"")</f>
        <v/>
      </c>
      <c r="AZ3843" s="21" t="str">
        <f>IF(AND($AM3843&lt;&gt;"",$AS3843="✓"),SUMPRODUCT(($AM$11:$AM3843&lt;&gt;"")*($AS$11:$AS3843="✓")),"")</f>
        <v/>
      </c>
      <c r="BA3843" s="21" t="str">
        <f>IF($AL3843="","",$AL3843&amp;"|"&amp;COUNTIF($AL$11:$AL3843,$AL3843))</f>
        <v/>
      </c>
    </row>
    <row r="3844" spans="38:53" ht="15" customHeight="1" x14ac:dyDescent="0.25">
      <c r="AL3844" s="31"/>
      <c r="AM3844" s="26"/>
      <c r="AN3844" s="32"/>
      <c r="AO3844" s="32"/>
      <c r="AP3844" s="24"/>
      <c r="AQ3844" s="24"/>
      <c r="AR3844" s="33"/>
      <c r="AS3844" s="34"/>
      <c r="AT3844" s="33"/>
      <c r="AV3844" s="21">
        <f>IF(AND($AL3844&lt;&gt;"",COUNTIF($AL$11:$AL3844,$AL3844)=1),1,0)</f>
        <v>0</v>
      </c>
      <c r="AW3844" s="21">
        <f t="shared" si="205"/>
        <v>0</v>
      </c>
      <c r="AX3844" s="21" t="str">
        <f t="shared" si="204"/>
        <v/>
      </c>
      <c r="AY3844" s="21" t="str">
        <f>IF(AND($AM3844&lt;&gt;"",$AS3844&lt;&gt;"✓"),SUMPRODUCT(($AM$11:$AM3844&lt;&gt;"")*($AS$11:$AS3844&lt;&gt;"✓")),"")</f>
        <v/>
      </c>
      <c r="AZ3844" s="21" t="str">
        <f>IF(AND($AM3844&lt;&gt;"",$AS3844="✓"),SUMPRODUCT(($AM$11:$AM3844&lt;&gt;"")*($AS$11:$AS3844="✓")),"")</f>
        <v/>
      </c>
      <c r="BA3844" s="21" t="str">
        <f>IF($AL3844="","",$AL3844&amp;"|"&amp;COUNTIF($AL$11:$AL3844,$AL3844))</f>
        <v/>
      </c>
    </row>
    <row r="3845" spans="38:53" ht="15" customHeight="1" x14ac:dyDescent="0.25">
      <c r="AL3845" s="17"/>
      <c r="AM3845" s="12"/>
      <c r="AN3845" s="18"/>
      <c r="AO3845" s="18"/>
      <c r="AP3845" s="10"/>
      <c r="AQ3845" s="10"/>
      <c r="AR3845" s="19"/>
      <c r="AS3845" s="20"/>
      <c r="AT3845" s="19"/>
      <c r="AV3845" s="21">
        <f>IF(AND($AL3845&lt;&gt;"",COUNTIF($AL$11:$AL3845,$AL3845)=1),1,0)</f>
        <v>0</v>
      </c>
      <c r="AW3845" s="21">
        <f t="shared" si="205"/>
        <v>0</v>
      </c>
      <c r="AX3845" s="21" t="str">
        <f t="shared" si="204"/>
        <v/>
      </c>
      <c r="AY3845" s="21" t="str">
        <f>IF(AND($AM3845&lt;&gt;"",$AS3845&lt;&gt;"✓"),SUMPRODUCT(($AM$11:$AM3845&lt;&gt;"")*($AS$11:$AS3845&lt;&gt;"✓")),"")</f>
        <v/>
      </c>
      <c r="AZ3845" s="21" t="str">
        <f>IF(AND($AM3845&lt;&gt;"",$AS3845="✓"),SUMPRODUCT(($AM$11:$AM3845&lt;&gt;"")*($AS$11:$AS3845="✓")),"")</f>
        <v/>
      </c>
      <c r="BA3845" s="21" t="str">
        <f>IF($AL3845="","",$AL3845&amp;"|"&amp;COUNTIF($AL$11:$AL3845,$AL3845))</f>
        <v/>
      </c>
    </row>
    <row r="3846" spans="38:53" ht="15" customHeight="1" x14ac:dyDescent="0.25">
      <c r="AL3846" s="31"/>
      <c r="AM3846" s="26"/>
      <c r="AN3846" s="32"/>
      <c r="AO3846" s="32"/>
      <c r="AP3846" s="24"/>
      <c r="AQ3846" s="24"/>
      <c r="AR3846" s="33"/>
      <c r="AS3846" s="34"/>
      <c r="AT3846" s="33"/>
      <c r="AV3846" s="21">
        <f>IF(AND($AL3846&lt;&gt;"",COUNTIF($AL$11:$AL3846,$AL3846)=1),1,0)</f>
        <v>0</v>
      </c>
      <c r="AW3846" s="21">
        <f t="shared" si="205"/>
        <v>0</v>
      </c>
      <c r="AX3846" s="21" t="str">
        <f t="shared" si="204"/>
        <v/>
      </c>
      <c r="AY3846" s="21" t="str">
        <f>IF(AND($AM3846&lt;&gt;"",$AS3846&lt;&gt;"✓"),SUMPRODUCT(($AM$11:$AM3846&lt;&gt;"")*($AS$11:$AS3846&lt;&gt;"✓")),"")</f>
        <v/>
      </c>
      <c r="AZ3846" s="21" t="str">
        <f>IF(AND($AM3846&lt;&gt;"",$AS3846="✓"),SUMPRODUCT(($AM$11:$AM3846&lt;&gt;"")*($AS$11:$AS3846="✓")),"")</f>
        <v/>
      </c>
      <c r="BA3846" s="21" t="str">
        <f>IF($AL3846="","",$AL3846&amp;"|"&amp;COUNTIF($AL$11:$AL3846,$AL3846))</f>
        <v/>
      </c>
    </row>
    <row r="3847" spans="38:53" ht="15" customHeight="1" x14ac:dyDescent="0.25">
      <c r="AL3847" s="17"/>
      <c r="AM3847" s="12"/>
      <c r="AN3847" s="18"/>
      <c r="AO3847" s="18"/>
      <c r="AP3847" s="10"/>
      <c r="AQ3847" s="10"/>
      <c r="AR3847" s="19"/>
      <c r="AS3847" s="20"/>
      <c r="AT3847" s="19"/>
      <c r="AV3847" s="21">
        <f>IF(AND($AL3847&lt;&gt;"",COUNTIF($AL$11:$AL3847,$AL3847)=1),1,0)</f>
        <v>0</v>
      </c>
      <c r="AW3847" s="21">
        <f t="shared" si="205"/>
        <v>0</v>
      </c>
      <c r="AX3847" s="21" t="str">
        <f t="shared" si="204"/>
        <v/>
      </c>
      <c r="AY3847" s="21" t="str">
        <f>IF(AND($AM3847&lt;&gt;"",$AS3847&lt;&gt;"✓"),SUMPRODUCT(($AM$11:$AM3847&lt;&gt;"")*($AS$11:$AS3847&lt;&gt;"✓")),"")</f>
        <v/>
      </c>
      <c r="AZ3847" s="21" t="str">
        <f>IF(AND($AM3847&lt;&gt;"",$AS3847="✓"),SUMPRODUCT(($AM$11:$AM3847&lt;&gt;"")*($AS$11:$AS3847="✓")),"")</f>
        <v/>
      </c>
      <c r="BA3847" s="21" t="str">
        <f>IF($AL3847="","",$AL3847&amp;"|"&amp;COUNTIF($AL$11:$AL3847,$AL3847))</f>
        <v/>
      </c>
    </row>
    <row r="3848" spans="38:53" ht="15" customHeight="1" x14ac:dyDescent="0.25">
      <c r="AL3848" s="31"/>
      <c r="AM3848" s="26"/>
      <c r="AN3848" s="32"/>
      <c r="AO3848" s="32"/>
      <c r="AP3848" s="24"/>
      <c r="AQ3848" s="24"/>
      <c r="AR3848" s="33"/>
      <c r="AS3848" s="34"/>
      <c r="AT3848" s="33"/>
      <c r="AV3848" s="21">
        <f>IF(AND($AL3848&lt;&gt;"",COUNTIF($AL$11:$AL3848,$AL3848)=1),1,0)</f>
        <v>0</v>
      </c>
      <c r="AW3848" s="21">
        <f t="shared" si="205"/>
        <v>0</v>
      </c>
      <c r="AX3848" s="21" t="str">
        <f t="shared" si="204"/>
        <v/>
      </c>
      <c r="AY3848" s="21" t="str">
        <f>IF(AND($AM3848&lt;&gt;"",$AS3848&lt;&gt;"✓"),SUMPRODUCT(($AM$11:$AM3848&lt;&gt;"")*($AS$11:$AS3848&lt;&gt;"✓")),"")</f>
        <v/>
      </c>
      <c r="AZ3848" s="21" t="str">
        <f>IF(AND($AM3848&lt;&gt;"",$AS3848="✓"),SUMPRODUCT(($AM$11:$AM3848&lt;&gt;"")*($AS$11:$AS3848="✓")),"")</f>
        <v/>
      </c>
      <c r="BA3848" s="21" t="str">
        <f>IF($AL3848="","",$AL3848&amp;"|"&amp;COUNTIF($AL$11:$AL3848,$AL3848))</f>
        <v/>
      </c>
    </row>
    <row r="3849" spans="38:53" ht="15" customHeight="1" x14ac:dyDescent="0.25">
      <c r="AL3849" s="17"/>
      <c r="AM3849" s="12"/>
      <c r="AN3849" s="18"/>
      <c r="AO3849" s="18"/>
      <c r="AP3849" s="10"/>
      <c r="AQ3849" s="10"/>
      <c r="AR3849" s="19"/>
      <c r="AS3849" s="20"/>
      <c r="AT3849" s="19"/>
      <c r="AV3849" s="21">
        <f>IF(AND($AL3849&lt;&gt;"",COUNTIF($AL$11:$AL3849,$AL3849)=1),1,0)</f>
        <v>0</v>
      </c>
      <c r="AW3849" s="21">
        <f t="shared" si="205"/>
        <v>0</v>
      </c>
      <c r="AX3849" s="21" t="str">
        <f t="shared" si="204"/>
        <v/>
      </c>
      <c r="AY3849" s="21" t="str">
        <f>IF(AND($AM3849&lt;&gt;"",$AS3849&lt;&gt;"✓"),SUMPRODUCT(($AM$11:$AM3849&lt;&gt;"")*($AS$11:$AS3849&lt;&gt;"✓")),"")</f>
        <v/>
      </c>
      <c r="AZ3849" s="21" t="str">
        <f>IF(AND($AM3849&lt;&gt;"",$AS3849="✓"),SUMPRODUCT(($AM$11:$AM3849&lt;&gt;"")*($AS$11:$AS3849="✓")),"")</f>
        <v/>
      </c>
      <c r="BA3849" s="21" t="str">
        <f>IF($AL3849="","",$AL3849&amp;"|"&amp;COUNTIF($AL$11:$AL3849,$AL3849))</f>
        <v/>
      </c>
    </row>
    <row r="3850" spans="38:53" ht="15" customHeight="1" x14ac:dyDescent="0.25">
      <c r="AL3850" s="31"/>
      <c r="AM3850" s="26"/>
      <c r="AN3850" s="32"/>
      <c r="AO3850" s="32"/>
      <c r="AP3850" s="24"/>
      <c r="AQ3850" s="24"/>
      <c r="AR3850" s="33"/>
      <c r="AS3850" s="34"/>
      <c r="AT3850" s="33"/>
      <c r="AV3850" s="21">
        <f>IF(AND($AL3850&lt;&gt;"",COUNTIF($AL$11:$AL3850,$AL3850)=1),1,0)</f>
        <v>0</v>
      </c>
      <c r="AW3850" s="21">
        <f t="shared" si="205"/>
        <v>0</v>
      </c>
      <c r="AX3850" s="21" t="str">
        <f t="shared" si="204"/>
        <v/>
      </c>
      <c r="AY3850" s="21" t="str">
        <f>IF(AND($AM3850&lt;&gt;"",$AS3850&lt;&gt;"✓"),SUMPRODUCT(($AM$11:$AM3850&lt;&gt;"")*($AS$11:$AS3850&lt;&gt;"✓")),"")</f>
        <v/>
      </c>
      <c r="AZ3850" s="21" t="str">
        <f>IF(AND($AM3850&lt;&gt;"",$AS3850="✓"),SUMPRODUCT(($AM$11:$AM3850&lt;&gt;"")*($AS$11:$AS3850="✓")),"")</f>
        <v/>
      </c>
      <c r="BA3850" s="21" t="str">
        <f>IF($AL3850="","",$AL3850&amp;"|"&amp;COUNTIF($AL$11:$AL3850,$AL3850))</f>
        <v/>
      </c>
    </row>
    <row r="3851" spans="38:53" ht="15" customHeight="1" x14ac:dyDescent="0.25">
      <c r="AL3851" s="17"/>
      <c r="AM3851" s="12"/>
      <c r="AN3851" s="18"/>
      <c r="AO3851" s="18"/>
      <c r="AP3851" s="10"/>
      <c r="AQ3851" s="10"/>
      <c r="AR3851" s="19"/>
      <c r="AS3851" s="20"/>
      <c r="AT3851" s="19"/>
      <c r="AV3851" s="21">
        <f>IF(AND($AL3851&lt;&gt;"",COUNTIF($AL$11:$AL3851,$AL3851)=1),1,0)</f>
        <v>0</v>
      </c>
      <c r="AW3851" s="21">
        <f t="shared" si="205"/>
        <v>0</v>
      </c>
      <c r="AX3851" s="21" t="str">
        <f t="shared" ref="AX3851:AX3914" si="206">IF(AV3851=1,AW3851,"")</f>
        <v/>
      </c>
      <c r="AY3851" s="21" t="str">
        <f>IF(AND($AM3851&lt;&gt;"",$AS3851&lt;&gt;"✓"),SUMPRODUCT(($AM$11:$AM3851&lt;&gt;"")*($AS$11:$AS3851&lt;&gt;"✓")),"")</f>
        <v/>
      </c>
      <c r="AZ3851" s="21" t="str">
        <f>IF(AND($AM3851&lt;&gt;"",$AS3851="✓"),SUMPRODUCT(($AM$11:$AM3851&lt;&gt;"")*($AS$11:$AS3851="✓")),"")</f>
        <v/>
      </c>
      <c r="BA3851" s="21" t="str">
        <f>IF($AL3851="","",$AL3851&amp;"|"&amp;COUNTIF($AL$11:$AL3851,$AL3851))</f>
        <v/>
      </c>
    </row>
    <row r="3852" spans="38:53" ht="15" customHeight="1" x14ac:dyDescent="0.25">
      <c r="AL3852" s="31"/>
      <c r="AM3852" s="26"/>
      <c r="AN3852" s="32"/>
      <c r="AO3852" s="32"/>
      <c r="AP3852" s="24"/>
      <c r="AQ3852" s="24"/>
      <c r="AR3852" s="33"/>
      <c r="AS3852" s="34"/>
      <c r="AT3852" s="33"/>
      <c r="AV3852" s="21">
        <f>IF(AND($AL3852&lt;&gt;"",COUNTIF($AL$11:$AL3852,$AL3852)=1),1,0)</f>
        <v>0</v>
      </c>
      <c r="AW3852" s="21">
        <f t="shared" ref="AW3852:AW3915" si="207">AW3851+AV3852</f>
        <v>0</v>
      </c>
      <c r="AX3852" s="21" t="str">
        <f t="shared" si="206"/>
        <v/>
      </c>
      <c r="AY3852" s="21" t="str">
        <f>IF(AND($AM3852&lt;&gt;"",$AS3852&lt;&gt;"✓"),SUMPRODUCT(($AM$11:$AM3852&lt;&gt;"")*($AS$11:$AS3852&lt;&gt;"✓")),"")</f>
        <v/>
      </c>
      <c r="AZ3852" s="21" t="str">
        <f>IF(AND($AM3852&lt;&gt;"",$AS3852="✓"),SUMPRODUCT(($AM$11:$AM3852&lt;&gt;"")*($AS$11:$AS3852="✓")),"")</f>
        <v/>
      </c>
      <c r="BA3852" s="21" t="str">
        <f>IF($AL3852="","",$AL3852&amp;"|"&amp;COUNTIF($AL$11:$AL3852,$AL3852))</f>
        <v/>
      </c>
    </row>
    <row r="3853" spans="38:53" ht="15" customHeight="1" x14ac:dyDescent="0.25">
      <c r="AL3853" s="17"/>
      <c r="AM3853" s="12"/>
      <c r="AN3853" s="18"/>
      <c r="AO3853" s="18"/>
      <c r="AP3853" s="10"/>
      <c r="AQ3853" s="10"/>
      <c r="AR3853" s="19"/>
      <c r="AS3853" s="20"/>
      <c r="AT3853" s="19"/>
      <c r="AV3853" s="21">
        <f>IF(AND($AL3853&lt;&gt;"",COUNTIF($AL$11:$AL3853,$AL3853)=1),1,0)</f>
        <v>0</v>
      </c>
      <c r="AW3853" s="21">
        <f t="shared" si="207"/>
        <v>0</v>
      </c>
      <c r="AX3853" s="21" t="str">
        <f t="shared" si="206"/>
        <v/>
      </c>
      <c r="AY3853" s="21" t="str">
        <f>IF(AND($AM3853&lt;&gt;"",$AS3853&lt;&gt;"✓"),SUMPRODUCT(($AM$11:$AM3853&lt;&gt;"")*($AS$11:$AS3853&lt;&gt;"✓")),"")</f>
        <v/>
      </c>
      <c r="AZ3853" s="21" t="str">
        <f>IF(AND($AM3853&lt;&gt;"",$AS3853="✓"),SUMPRODUCT(($AM$11:$AM3853&lt;&gt;"")*($AS$11:$AS3853="✓")),"")</f>
        <v/>
      </c>
      <c r="BA3853" s="21" t="str">
        <f>IF($AL3853="","",$AL3853&amp;"|"&amp;COUNTIF($AL$11:$AL3853,$AL3853))</f>
        <v/>
      </c>
    </row>
    <row r="3854" spans="38:53" ht="15" customHeight="1" x14ac:dyDescent="0.25">
      <c r="AL3854" s="31"/>
      <c r="AM3854" s="26"/>
      <c r="AN3854" s="32"/>
      <c r="AO3854" s="32"/>
      <c r="AP3854" s="24"/>
      <c r="AQ3854" s="24"/>
      <c r="AR3854" s="33"/>
      <c r="AS3854" s="34"/>
      <c r="AT3854" s="33"/>
      <c r="AV3854" s="21">
        <f>IF(AND($AL3854&lt;&gt;"",COUNTIF($AL$11:$AL3854,$AL3854)=1),1,0)</f>
        <v>0</v>
      </c>
      <c r="AW3854" s="21">
        <f t="shared" si="207"/>
        <v>0</v>
      </c>
      <c r="AX3854" s="21" t="str">
        <f t="shared" si="206"/>
        <v/>
      </c>
      <c r="AY3854" s="21" t="str">
        <f>IF(AND($AM3854&lt;&gt;"",$AS3854&lt;&gt;"✓"),SUMPRODUCT(($AM$11:$AM3854&lt;&gt;"")*($AS$11:$AS3854&lt;&gt;"✓")),"")</f>
        <v/>
      </c>
      <c r="AZ3854" s="21" t="str">
        <f>IF(AND($AM3854&lt;&gt;"",$AS3854="✓"),SUMPRODUCT(($AM$11:$AM3854&lt;&gt;"")*($AS$11:$AS3854="✓")),"")</f>
        <v/>
      </c>
      <c r="BA3854" s="21" t="str">
        <f>IF($AL3854="","",$AL3854&amp;"|"&amp;COUNTIF($AL$11:$AL3854,$AL3854))</f>
        <v/>
      </c>
    </row>
    <row r="3855" spans="38:53" ht="15" customHeight="1" x14ac:dyDescent="0.25">
      <c r="AL3855" s="17"/>
      <c r="AM3855" s="12"/>
      <c r="AN3855" s="18"/>
      <c r="AO3855" s="18"/>
      <c r="AP3855" s="10"/>
      <c r="AQ3855" s="10"/>
      <c r="AR3855" s="19"/>
      <c r="AS3855" s="20"/>
      <c r="AT3855" s="19"/>
      <c r="AV3855" s="21">
        <f>IF(AND($AL3855&lt;&gt;"",COUNTIF($AL$11:$AL3855,$AL3855)=1),1,0)</f>
        <v>0</v>
      </c>
      <c r="AW3855" s="21">
        <f t="shared" si="207"/>
        <v>0</v>
      </c>
      <c r="AX3855" s="21" t="str">
        <f t="shared" si="206"/>
        <v/>
      </c>
      <c r="AY3855" s="21" t="str">
        <f>IF(AND($AM3855&lt;&gt;"",$AS3855&lt;&gt;"✓"),SUMPRODUCT(($AM$11:$AM3855&lt;&gt;"")*($AS$11:$AS3855&lt;&gt;"✓")),"")</f>
        <v/>
      </c>
      <c r="AZ3855" s="21" t="str">
        <f>IF(AND($AM3855&lt;&gt;"",$AS3855="✓"),SUMPRODUCT(($AM$11:$AM3855&lt;&gt;"")*($AS$11:$AS3855="✓")),"")</f>
        <v/>
      </c>
      <c r="BA3855" s="21" t="str">
        <f>IF($AL3855="","",$AL3855&amp;"|"&amp;COUNTIF($AL$11:$AL3855,$AL3855))</f>
        <v/>
      </c>
    </row>
    <row r="3856" spans="38:53" ht="15" customHeight="1" x14ac:dyDescent="0.25">
      <c r="AL3856" s="31"/>
      <c r="AM3856" s="26"/>
      <c r="AN3856" s="32"/>
      <c r="AO3856" s="32"/>
      <c r="AP3856" s="24"/>
      <c r="AQ3856" s="24"/>
      <c r="AR3856" s="33"/>
      <c r="AS3856" s="34"/>
      <c r="AT3856" s="33"/>
      <c r="AV3856" s="21">
        <f>IF(AND($AL3856&lt;&gt;"",COUNTIF($AL$11:$AL3856,$AL3856)=1),1,0)</f>
        <v>0</v>
      </c>
      <c r="AW3856" s="21">
        <f t="shared" si="207"/>
        <v>0</v>
      </c>
      <c r="AX3856" s="21" t="str">
        <f t="shared" si="206"/>
        <v/>
      </c>
      <c r="AY3856" s="21" t="str">
        <f>IF(AND($AM3856&lt;&gt;"",$AS3856&lt;&gt;"✓"),SUMPRODUCT(($AM$11:$AM3856&lt;&gt;"")*($AS$11:$AS3856&lt;&gt;"✓")),"")</f>
        <v/>
      </c>
      <c r="AZ3856" s="21" t="str">
        <f>IF(AND($AM3856&lt;&gt;"",$AS3856="✓"),SUMPRODUCT(($AM$11:$AM3856&lt;&gt;"")*($AS$11:$AS3856="✓")),"")</f>
        <v/>
      </c>
      <c r="BA3856" s="21" t="str">
        <f>IF($AL3856="","",$AL3856&amp;"|"&amp;COUNTIF($AL$11:$AL3856,$AL3856))</f>
        <v/>
      </c>
    </row>
    <row r="3857" spans="38:53" ht="15" customHeight="1" x14ac:dyDescent="0.25">
      <c r="AL3857" s="17"/>
      <c r="AM3857" s="12"/>
      <c r="AN3857" s="18"/>
      <c r="AO3857" s="18"/>
      <c r="AP3857" s="10"/>
      <c r="AQ3857" s="10"/>
      <c r="AR3857" s="19"/>
      <c r="AS3857" s="20"/>
      <c r="AT3857" s="19"/>
      <c r="AV3857" s="21">
        <f>IF(AND($AL3857&lt;&gt;"",COUNTIF($AL$11:$AL3857,$AL3857)=1),1,0)</f>
        <v>0</v>
      </c>
      <c r="AW3857" s="21">
        <f t="shared" si="207"/>
        <v>0</v>
      </c>
      <c r="AX3857" s="21" t="str">
        <f t="shared" si="206"/>
        <v/>
      </c>
      <c r="AY3857" s="21" t="str">
        <f>IF(AND($AM3857&lt;&gt;"",$AS3857&lt;&gt;"✓"),SUMPRODUCT(($AM$11:$AM3857&lt;&gt;"")*($AS$11:$AS3857&lt;&gt;"✓")),"")</f>
        <v/>
      </c>
      <c r="AZ3857" s="21" t="str">
        <f>IF(AND($AM3857&lt;&gt;"",$AS3857="✓"),SUMPRODUCT(($AM$11:$AM3857&lt;&gt;"")*($AS$11:$AS3857="✓")),"")</f>
        <v/>
      </c>
      <c r="BA3857" s="21" t="str">
        <f>IF($AL3857="","",$AL3857&amp;"|"&amp;COUNTIF($AL$11:$AL3857,$AL3857))</f>
        <v/>
      </c>
    </row>
    <row r="3858" spans="38:53" ht="15" customHeight="1" x14ac:dyDescent="0.25">
      <c r="AL3858" s="31"/>
      <c r="AM3858" s="26"/>
      <c r="AN3858" s="32"/>
      <c r="AO3858" s="32"/>
      <c r="AP3858" s="24"/>
      <c r="AQ3858" s="24"/>
      <c r="AR3858" s="33"/>
      <c r="AS3858" s="34"/>
      <c r="AT3858" s="33"/>
      <c r="AV3858" s="21">
        <f>IF(AND($AL3858&lt;&gt;"",COUNTIF($AL$11:$AL3858,$AL3858)=1),1,0)</f>
        <v>0</v>
      </c>
      <c r="AW3858" s="21">
        <f t="shared" si="207"/>
        <v>0</v>
      </c>
      <c r="AX3858" s="21" t="str">
        <f t="shared" si="206"/>
        <v/>
      </c>
      <c r="AY3858" s="21" t="str">
        <f>IF(AND($AM3858&lt;&gt;"",$AS3858&lt;&gt;"✓"),SUMPRODUCT(($AM$11:$AM3858&lt;&gt;"")*($AS$11:$AS3858&lt;&gt;"✓")),"")</f>
        <v/>
      </c>
      <c r="AZ3858" s="21" t="str">
        <f>IF(AND($AM3858&lt;&gt;"",$AS3858="✓"),SUMPRODUCT(($AM$11:$AM3858&lt;&gt;"")*($AS$11:$AS3858="✓")),"")</f>
        <v/>
      </c>
      <c r="BA3858" s="21" t="str">
        <f>IF($AL3858="","",$AL3858&amp;"|"&amp;COUNTIF($AL$11:$AL3858,$AL3858))</f>
        <v/>
      </c>
    </row>
    <row r="3859" spans="38:53" ht="15" customHeight="1" x14ac:dyDescent="0.25">
      <c r="AL3859" s="17"/>
      <c r="AM3859" s="12"/>
      <c r="AN3859" s="18"/>
      <c r="AO3859" s="18"/>
      <c r="AP3859" s="10"/>
      <c r="AQ3859" s="10"/>
      <c r="AR3859" s="19"/>
      <c r="AS3859" s="20"/>
      <c r="AT3859" s="19"/>
      <c r="AV3859" s="21">
        <f>IF(AND($AL3859&lt;&gt;"",COUNTIF($AL$11:$AL3859,$AL3859)=1),1,0)</f>
        <v>0</v>
      </c>
      <c r="AW3859" s="21">
        <f t="shared" si="207"/>
        <v>0</v>
      </c>
      <c r="AX3859" s="21" t="str">
        <f t="shared" si="206"/>
        <v/>
      </c>
      <c r="AY3859" s="21" t="str">
        <f>IF(AND($AM3859&lt;&gt;"",$AS3859&lt;&gt;"✓"),SUMPRODUCT(($AM$11:$AM3859&lt;&gt;"")*($AS$11:$AS3859&lt;&gt;"✓")),"")</f>
        <v/>
      </c>
      <c r="AZ3859" s="21" t="str">
        <f>IF(AND($AM3859&lt;&gt;"",$AS3859="✓"),SUMPRODUCT(($AM$11:$AM3859&lt;&gt;"")*($AS$11:$AS3859="✓")),"")</f>
        <v/>
      </c>
      <c r="BA3859" s="21" t="str">
        <f>IF($AL3859="","",$AL3859&amp;"|"&amp;COUNTIF($AL$11:$AL3859,$AL3859))</f>
        <v/>
      </c>
    </row>
    <row r="3860" spans="38:53" ht="15" customHeight="1" x14ac:dyDescent="0.25">
      <c r="AL3860" s="31"/>
      <c r="AM3860" s="26"/>
      <c r="AN3860" s="32"/>
      <c r="AO3860" s="32"/>
      <c r="AP3860" s="24"/>
      <c r="AQ3860" s="24"/>
      <c r="AR3860" s="33"/>
      <c r="AS3860" s="34"/>
      <c r="AT3860" s="33"/>
      <c r="AV3860" s="21">
        <f>IF(AND($AL3860&lt;&gt;"",COUNTIF($AL$11:$AL3860,$AL3860)=1),1,0)</f>
        <v>0</v>
      </c>
      <c r="AW3860" s="21">
        <f t="shared" si="207"/>
        <v>0</v>
      </c>
      <c r="AX3860" s="21" t="str">
        <f t="shared" si="206"/>
        <v/>
      </c>
      <c r="AY3860" s="21" t="str">
        <f>IF(AND($AM3860&lt;&gt;"",$AS3860&lt;&gt;"✓"),SUMPRODUCT(($AM$11:$AM3860&lt;&gt;"")*($AS$11:$AS3860&lt;&gt;"✓")),"")</f>
        <v/>
      </c>
      <c r="AZ3860" s="21" t="str">
        <f>IF(AND($AM3860&lt;&gt;"",$AS3860="✓"),SUMPRODUCT(($AM$11:$AM3860&lt;&gt;"")*($AS$11:$AS3860="✓")),"")</f>
        <v/>
      </c>
      <c r="BA3860" s="21" t="str">
        <f>IF($AL3860="","",$AL3860&amp;"|"&amp;COUNTIF($AL$11:$AL3860,$AL3860))</f>
        <v/>
      </c>
    </row>
    <row r="3861" spans="38:53" ht="15" customHeight="1" x14ac:dyDescent="0.25">
      <c r="AL3861" s="17"/>
      <c r="AM3861" s="12"/>
      <c r="AN3861" s="18"/>
      <c r="AO3861" s="18"/>
      <c r="AP3861" s="10"/>
      <c r="AQ3861" s="10"/>
      <c r="AR3861" s="19"/>
      <c r="AS3861" s="20"/>
      <c r="AT3861" s="19"/>
      <c r="AV3861" s="21">
        <f>IF(AND($AL3861&lt;&gt;"",COUNTIF($AL$11:$AL3861,$AL3861)=1),1,0)</f>
        <v>0</v>
      </c>
      <c r="AW3861" s="21">
        <f t="shared" si="207"/>
        <v>0</v>
      </c>
      <c r="AX3861" s="21" t="str">
        <f t="shared" si="206"/>
        <v/>
      </c>
      <c r="AY3861" s="21" t="str">
        <f>IF(AND($AM3861&lt;&gt;"",$AS3861&lt;&gt;"✓"),SUMPRODUCT(($AM$11:$AM3861&lt;&gt;"")*($AS$11:$AS3861&lt;&gt;"✓")),"")</f>
        <v/>
      </c>
      <c r="AZ3861" s="21" t="str">
        <f>IF(AND($AM3861&lt;&gt;"",$AS3861="✓"),SUMPRODUCT(($AM$11:$AM3861&lt;&gt;"")*($AS$11:$AS3861="✓")),"")</f>
        <v/>
      </c>
      <c r="BA3861" s="21" t="str">
        <f>IF($AL3861="","",$AL3861&amp;"|"&amp;COUNTIF($AL$11:$AL3861,$AL3861))</f>
        <v/>
      </c>
    </row>
    <row r="3862" spans="38:53" ht="15" customHeight="1" x14ac:dyDescent="0.25">
      <c r="AL3862" s="31"/>
      <c r="AM3862" s="26"/>
      <c r="AN3862" s="32"/>
      <c r="AO3862" s="32"/>
      <c r="AP3862" s="24"/>
      <c r="AQ3862" s="24"/>
      <c r="AR3862" s="33"/>
      <c r="AS3862" s="34"/>
      <c r="AT3862" s="33"/>
      <c r="AV3862" s="21">
        <f>IF(AND($AL3862&lt;&gt;"",COUNTIF($AL$11:$AL3862,$AL3862)=1),1,0)</f>
        <v>0</v>
      </c>
      <c r="AW3862" s="21">
        <f t="shared" si="207"/>
        <v>0</v>
      </c>
      <c r="AX3862" s="21" t="str">
        <f t="shared" si="206"/>
        <v/>
      </c>
      <c r="AY3862" s="21" t="str">
        <f>IF(AND($AM3862&lt;&gt;"",$AS3862&lt;&gt;"✓"),SUMPRODUCT(($AM$11:$AM3862&lt;&gt;"")*($AS$11:$AS3862&lt;&gt;"✓")),"")</f>
        <v/>
      </c>
      <c r="AZ3862" s="21" t="str">
        <f>IF(AND($AM3862&lt;&gt;"",$AS3862="✓"),SUMPRODUCT(($AM$11:$AM3862&lt;&gt;"")*($AS$11:$AS3862="✓")),"")</f>
        <v/>
      </c>
      <c r="BA3862" s="21" t="str">
        <f>IF($AL3862="","",$AL3862&amp;"|"&amp;COUNTIF($AL$11:$AL3862,$AL3862))</f>
        <v/>
      </c>
    </row>
    <row r="3863" spans="38:53" ht="15" customHeight="1" x14ac:dyDescent="0.25">
      <c r="AL3863" s="17"/>
      <c r="AM3863" s="12"/>
      <c r="AN3863" s="18"/>
      <c r="AO3863" s="18"/>
      <c r="AP3863" s="10"/>
      <c r="AQ3863" s="10"/>
      <c r="AR3863" s="19"/>
      <c r="AS3863" s="20"/>
      <c r="AT3863" s="19"/>
      <c r="AV3863" s="21">
        <f>IF(AND($AL3863&lt;&gt;"",COUNTIF($AL$11:$AL3863,$AL3863)=1),1,0)</f>
        <v>0</v>
      </c>
      <c r="AW3863" s="21">
        <f t="shared" si="207"/>
        <v>0</v>
      </c>
      <c r="AX3863" s="21" t="str">
        <f t="shared" si="206"/>
        <v/>
      </c>
      <c r="AY3863" s="21" t="str">
        <f>IF(AND($AM3863&lt;&gt;"",$AS3863&lt;&gt;"✓"),SUMPRODUCT(($AM$11:$AM3863&lt;&gt;"")*($AS$11:$AS3863&lt;&gt;"✓")),"")</f>
        <v/>
      </c>
      <c r="AZ3863" s="21" t="str">
        <f>IF(AND($AM3863&lt;&gt;"",$AS3863="✓"),SUMPRODUCT(($AM$11:$AM3863&lt;&gt;"")*($AS$11:$AS3863="✓")),"")</f>
        <v/>
      </c>
      <c r="BA3863" s="21" t="str">
        <f>IF($AL3863="","",$AL3863&amp;"|"&amp;COUNTIF($AL$11:$AL3863,$AL3863))</f>
        <v/>
      </c>
    </row>
    <row r="3864" spans="38:53" ht="15" customHeight="1" x14ac:dyDescent="0.25">
      <c r="AL3864" s="31"/>
      <c r="AM3864" s="26"/>
      <c r="AN3864" s="32"/>
      <c r="AO3864" s="32"/>
      <c r="AP3864" s="24"/>
      <c r="AQ3864" s="24"/>
      <c r="AR3864" s="33"/>
      <c r="AS3864" s="34"/>
      <c r="AT3864" s="33"/>
      <c r="AV3864" s="21">
        <f>IF(AND($AL3864&lt;&gt;"",COUNTIF($AL$11:$AL3864,$AL3864)=1),1,0)</f>
        <v>0</v>
      </c>
      <c r="AW3864" s="21">
        <f t="shared" si="207"/>
        <v>0</v>
      </c>
      <c r="AX3864" s="21" t="str">
        <f t="shared" si="206"/>
        <v/>
      </c>
      <c r="AY3864" s="21" t="str">
        <f>IF(AND($AM3864&lt;&gt;"",$AS3864&lt;&gt;"✓"),SUMPRODUCT(($AM$11:$AM3864&lt;&gt;"")*($AS$11:$AS3864&lt;&gt;"✓")),"")</f>
        <v/>
      </c>
      <c r="AZ3864" s="21" t="str">
        <f>IF(AND($AM3864&lt;&gt;"",$AS3864="✓"),SUMPRODUCT(($AM$11:$AM3864&lt;&gt;"")*($AS$11:$AS3864="✓")),"")</f>
        <v/>
      </c>
      <c r="BA3864" s="21" t="str">
        <f>IF($AL3864="","",$AL3864&amp;"|"&amp;COUNTIF($AL$11:$AL3864,$AL3864))</f>
        <v/>
      </c>
    </row>
    <row r="3865" spans="38:53" ht="15" customHeight="1" x14ac:dyDescent="0.25">
      <c r="AL3865" s="17"/>
      <c r="AM3865" s="12"/>
      <c r="AN3865" s="18"/>
      <c r="AO3865" s="18"/>
      <c r="AP3865" s="10"/>
      <c r="AQ3865" s="10"/>
      <c r="AR3865" s="19"/>
      <c r="AS3865" s="20"/>
      <c r="AT3865" s="19"/>
      <c r="AV3865" s="21">
        <f>IF(AND($AL3865&lt;&gt;"",COUNTIF($AL$11:$AL3865,$AL3865)=1),1,0)</f>
        <v>0</v>
      </c>
      <c r="AW3865" s="21">
        <f t="shared" si="207"/>
        <v>0</v>
      </c>
      <c r="AX3865" s="21" t="str">
        <f t="shared" si="206"/>
        <v/>
      </c>
      <c r="AY3865" s="21" t="str">
        <f>IF(AND($AM3865&lt;&gt;"",$AS3865&lt;&gt;"✓"),SUMPRODUCT(($AM$11:$AM3865&lt;&gt;"")*($AS$11:$AS3865&lt;&gt;"✓")),"")</f>
        <v/>
      </c>
      <c r="AZ3865" s="21" t="str">
        <f>IF(AND($AM3865&lt;&gt;"",$AS3865="✓"),SUMPRODUCT(($AM$11:$AM3865&lt;&gt;"")*($AS$11:$AS3865="✓")),"")</f>
        <v/>
      </c>
      <c r="BA3865" s="21" t="str">
        <f>IF($AL3865="","",$AL3865&amp;"|"&amp;COUNTIF($AL$11:$AL3865,$AL3865))</f>
        <v/>
      </c>
    </row>
    <row r="3866" spans="38:53" ht="15" customHeight="1" x14ac:dyDescent="0.25">
      <c r="AL3866" s="31"/>
      <c r="AM3866" s="26"/>
      <c r="AN3866" s="32"/>
      <c r="AO3866" s="32"/>
      <c r="AP3866" s="24"/>
      <c r="AQ3866" s="24"/>
      <c r="AR3866" s="33"/>
      <c r="AS3866" s="34"/>
      <c r="AT3866" s="33"/>
      <c r="AV3866" s="21">
        <f>IF(AND($AL3866&lt;&gt;"",COUNTIF($AL$11:$AL3866,$AL3866)=1),1,0)</f>
        <v>0</v>
      </c>
      <c r="AW3866" s="21">
        <f t="shared" si="207"/>
        <v>0</v>
      </c>
      <c r="AX3866" s="21" t="str">
        <f t="shared" si="206"/>
        <v/>
      </c>
      <c r="AY3866" s="21" t="str">
        <f>IF(AND($AM3866&lt;&gt;"",$AS3866&lt;&gt;"✓"),SUMPRODUCT(($AM$11:$AM3866&lt;&gt;"")*($AS$11:$AS3866&lt;&gt;"✓")),"")</f>
        <v/>
      </c>
      <c r="AZ3866" s="21" t="str">
        <f>IF(AND($AM3866&lt;&gt;"",$AS3866="✓"),SUMPRODUCT(($AM$11:$AM3866&lt;&gt;"")*($AS$11:$AS3866="✓")),"")</f>
        <v/>
      </c>
      <c r="BA3866" s="21" t="str">
        <f>IF($AL3866="","",$AL3866&amp;"|"&amp;COUNTIF($AL$11:$AL3866,$AL3866))</f>
        <v/>
      </c>
    </row>
    <row r="3867" spans="38:53" ht="15" customHeight="1" x14ac:dyDescent="0.25">
      <c r="AL3867" s="17"/>
      <c r="AM3867" s="12"/>
      <c r="AN3867" s="18"/>
      <c r="AO3867" s="18"/>
      <c r="AP3867" s="10"/>
      <c r="AQ3867" s="10"/>
      <c r="AR3867" s="19"/>
      <c r="AS3867" s="20"/>
      <c r="AT3867" s="19"/>
      <c r="AV3867" s="21">
        <f>IF(AND($AL3867&lt;&gt;"",COUNTIF($AL$11:$AL3867,$AL3867)=1),1,0)</f>
        <v>0</v>
      </c>
      <c r="AW3867" s="21">
        <f t="shared" si="207"/>
        <v>0</v>
      </c>
      <c r="AX3867" s="21" t="str">
        <f t="shared" si="206"/>
        <v/>
      </c>
      <c r="AY3867" s="21" t="str">
        <f>IF(AND($AM3867&lt;&gt;"",$AS3867&lt;&gt;"✓"),SUMPRODUCT(($AM$11:$AM3867&lt;&gt;"")*($AS$11:$AS3867&lt;&gt;"✓")),"")</f>
        <v/>
      </c>
      <c r="AZ3867" s="21" t="str">
        <f>IF(AND($AM3867&lt;&gt;"",$AS3867="✓"),SUMPRODUCT(($AM$11:$AM3867&lt;&gt;"")*($AS$11:$AS3867="✓")),"")</f>
        <v/>
      </c>
      <c r="BA3867" s="21" t="str">
        <f>IF($AL3867="","",$AL3867&amp;"|"&amp;COUNTIF($AL$11:$AL3867,$AL3867))</f>
        <v/>
      </c>
    </row>
    <row r="3868" spans="38:53" ht="15" customHeight="1" x14ac:dyDescent="0.25">
      <c r="AL3868" s="31"/>
      <c r="AM3868" s="26"/>
      <c r="AN3868" s="32"/>
      <c r="AO3868" s="32"/>
      <c r="AP3868" s="24"/>
      <c r="AQ3868" s="24"/>
      <c r="AR3868" s="33"/>
      <c r="AS3868" s="34"/>
      <c r="AT3868" s="33"/>
      <c r="AV3868" s="21">
        <f>IF(AND($AL3868&lt;&gt;"",COUNTIF($AL$11:$AL3868,$AL3868)=1),1,0)</f>
        <v>0</v>
      </c>
      <c r="AW3868" s="21">
        <f t="shared" si="207"/>
        <v>0</v>
      </c>
      <c r="AX3868" s="21" t="str">
        <f t="shared" si="206"/>
        <v/>
      </c>
      <c r="AY3868" s="21" t="str">
        <f>IF(AND($AM3868&lt;&gt;"",$AS3868&lt;&gt;"✓"),SUMPRODUCT(($AM$11:$AM3868&lt;&gt;"")*($AS$11:$AS3868&lt;&gt;"✓")),"")</f>
        <v/>
      </c>
      <c r="AZ3868" s="21" t="str">
        <f>IF(AND($AM3868&lt;&gt;"",$AS3868="✓"),SUMPRODUCT(($AM$11:$AM3868&lt;&gt;"")*($AS$11:$AS3868="✓")),"")</f>
        <v/>
      </c>
      <c r="BA3868" s="21" t="str">
        <f>IF($AL3868="","",$AL3868&amp;"|"&amp;COUNTIF($AL$11:$AL3868,$AL3868))</f>
        <v/>
      </c>
    </row>
    <row r="3869" spans="38:53" ht="15" customHeight="1" x14ac:dyDescent="0.25">
      <c r="AL3869" s="17"/>
      <c r="AM3869" s="12"/>
      <c r="AN3869" s="18"/>
      <c r="AO3869" s="18"/>
      <c r="AP3869" s="10"/>
      <c r="AQ3869" s="10"/>
      <c r="AR3869" s="19"/>
      <c r="AS3869" s="20"/>
      <c r="AT3869" s="19"/>
      <c r="AV3869" s="21">
        <f>IF(AND($AL3869&lt;&gt;"",COUNTIF($AL$11:$AL3869,$AL3869)=1),1,0)</f>
        <v>0</v>
      </c>
      <c r="AW3869" s="21">
        <f t="shared" si="207"/>
        <v>0</v>
      </c>
      <c r="AX3869" s="21" t="str">
        <f t="shared" si="206"/>
        <v/>
      </c>
      <c r="AY3869" s="21" t="str">
        <f>IF(AND($AM3869&lt;&gt;"",$AS3869&lt;&gt;"✓"),SUMPRODUCT(($AM$11:$AM3869&lt;&gt;"")*($AS$11:$AS3869&lt;&gt;"✓")),"")</f>
        <v/>
      </c>
      <c r="AZ3869" s="21" t="str">
        <f>IF(AND($AM3869&lt;&gt;"",$AS3869="✓"),SUMPRODUCT(($AM$11:$AM3869&lt;&gt;"")*($AS$11:$AS3869="✓")),"")</f>
        <v/>
      </c>
      <c r="BA3869" s="21" t="str">
        <f>IF($AL3869="","",$AL3869&amp;"|"&amp;COUNTIF($AL$11:$AL3869,$AL3869))</f>
        <v/>
      </c>
    </row>
    <row r="3870" spans="38:53" ht="15" customHeight="1" x14ac:dyDescent="0.25">
      <c r="AL3870" s="31"/>
      <c r="AM3870" s="26"/>
      <c r="AN3870" s="32"/>
      <c r="AO3870" s="32"/>
      <c r="AP3870" s="24"/>
      <c r="AQ3870" s="24"/>
      <c r="AR3870" s="33"/>
      <c r="AS3870" s="34"/>
      <c r="AT3870" s="33"/>
      <c r="AV3870" s="21">
        <f>IF(AND($AL3870&lt;&gt;"",COUNTIF($AL$11:$AL3870,$AL3870)=1),1,0)</f>
        <v>0</v>
      </c>
      <c r="AW3870" s="21">
        <f t="shared" si="207"/>
        <v>0</v>
      </c>
      <c r="AX3870" s="21" t="str">
        <f t="shared" si="206"/>
        <v/>
      </c>
      <c r="AY3870" s="21" t="str">
        <f>IF(AND($AM3870&lt;&gt;"",$AS3870&lt;&gt;"✓"),SUMPRODUCT(($AM$11:$AM3870&lt;&gt;"")*($AS$11:$AS3870&lt;&gt;"✓")),"")</f>
        <v/>
      </c>
      <c r="AZ3870" s="21" t="str">
        <f>IF(AND($AM3870&lt;&gt;"",$AS3870="✓"),SUMPRODUCT(($AM$11:$AM3870&lt;&gt;"")*($AS$11:$AS3870="✓")),"")</f>
        <v/>
      </c>
      <c r="BA3870" s="21" t="str">
        <f>IF($AL3870="","",$AL3870&amp;"|"&amp;COUNTIF($AL$11:$AL3870,$AL3870))</f>
        <v/>
      </c>
    </row>
    <row r="3871" spans="38:53" ht="15" customHeight="1" x14ac:dyDescent="0.25">
      <c r="AL3871" s="17"/>
      <c r="AM3871" s="12"/>
      <c r="AN3871" s="18"/>
      <c r="AO3871" s="18"/>
      <c r="AP3871" s="10"/>
      <c r="AQ3871" s="10"/>
      <c r="AR3871" s="19"/>
      <c r="AS3871" s="20"/>
      <c r="AT3871" s="19"/>
      <c r="AV3871" s="21">
        <f>IF(AND($AL3871&lt;&gt;"",COUNTIF($AL$11:$AL3871,$AL3871)=1),1,0)</f>
        <v>0</v>
      </c>
      <c r="AW3871" s="21">
        <f t="shared" si="207"/>
        <v>0</v>
      </c>
      <c r="AX3871" s="21" t="str">
        <f t="shared" si="206"/>
        <v/>
      </c>
      <c r="AY3871" s="21" t="str">
        <f>IF(AND($AM3871&lt;&gt;"",$AS3871&lt;&gt;"✓"),SUMPRODUCT(($AM$11:$AM3871&lt;&gt;"")*($AS$11:$AS3871&lt;&gt;"✓")),"")</f>
        <v/>
      </c>
      <c r="AZ3871" s="21" t="str">
        <f>IF(AND($AM3871&lt;&gt;"",$AS3871="✓"),SUMPRODUCT(($AM$11:$AM3871&lt;&gt;"")*($AS$11:$AS3871="✓")),"")</f>
        <v/>
      </c>
      <c r="BA3871" s="21" t="str">
        <f>IF($AL3871="","",$AL3871&amp;"|"&amp;COUNTIF($AL$11:$AL3871,$AL3871))</f>
        <v/>
      </c>
    </row>
    <row r="3872" spans="38:53" ht="15" customHeight="1" x14ac:dyDescent="0.25">
      <c r="AL3872" s="31"/>
      <c r="AM3872" s="26"/>
      <c r="AN3872" s="32"/>
      <c r="AO3872" s="32"/>
      <c r="AP3872" s="24"/>
      <c r="AQ3872" s="24"/>
      <c r="AR3872" s="33"/>
      <c r="AS3872" s="34"/>
      <c r="AT3872" s="33"/>
      <c r="AV3872" s="21">
        <f>IF(AND($AL3872&lt;&gt;"",COUNTIF($AL$11:$AL3872,$AL3872)=1),1,0)</f>
        <v>0</v>
      </c>
      <c r="AW3872" s="21">
        <f t="shared" si="207"/>
        <v>0</v>
      </c>
      <c r="AX3872" s="21" t="str">
        <f t="shared" si="206"/>
        <v/>
      </c>
      <c r="AY3872" s="21" t="str">
        <f>IF(AND($AM3872&lt;&gt;"",$AS3872&lt;&gt;"✓"),SUMPRODUCT(($AM$11:$AM3872&lt;&gt;"")*($AS$11:$AS3872&lt;&gt;"✓")),"")</f>
        <v/>
      </c>
      <c r="AZ3872" s="21" t="str">
        <f>IF(AND($AM3872&lt;&gt;"",$AS3872="✓"),SUMPRODUCT(($AM$11:$AM3872&lt;&gt;"")*($AS$11:$AS3872="✓")),"")</f>
        <v/>
      </c>
      <c r="BA3872" s="21" t="str">
        <f>IF($AL3872="","",$AL3872&amp;"|"&amp;COUNTIF($AL$11:$AL3872,$AL3872))</f>
        <v/>
      </c>
    </row>
    <row r="3873" spans="38:53" ht="15" customHeight="1" x14ac:dyDescent="0.25">
      <c r="AL3873" s="17"/>
      <c r="AM3873" s="12"/>
      <c r="AN3873" s="18"/>
      <c r="AO3873" s="18"/>
      <c r="AP3873" s="10"/>
      <c r="AQ3873" s="10"/>
      <c r="AR3873" s="19"/>
      <c r="AS3873" s="20"/>
      <c r="AT3873" s="19"/>
      <c r="AV3873" s="21">
        <f>IF(AND($AL3873&lt;&gt;"",COUNTIF($AL$11:$AL3873,$AL3873)=1),1,0)</f>
        <v>0</v>
      </c>
      <c r="AW3873" s="21">
        <f t="shared" si="207"/>
        <v>0</v>
      </c>
      <c r="AX3873" s="21" t="str">
        <f t="shared" si="206"/>
        <v/>
      </c>
      <c r="AY3873" s="21" t="str">
        <f>IF(AND($AM3873&lt;&gt;"",$AS3873&lt;&gt;"✓"),SUMPRODUCT(($AM$11:$AM3873&lt;&gt;"")*($AS$11:$AS3873&lt;&gt;"✓")),"")</f>
        <v/>
      </c>
      <c r="AZ3873" s="21" t="str">
        <f>IF(AND($AM3873&lt;&gt;"",$AS3873="✓"),SUMPRODUCT(($AM$11:$AM3873&lt;&gt;"")*($AS$11:$AS3873="✓")),"")</f>
        <v/>
      </c>
      <c r="BA3873" s="21" t="str">
        <f>IF($AL3873="","",$AL3873&amp;"|"&amp;COUNTIF($AL$11:$AL3873,$AL3873))</f>
        <v/>
      </c>
    </row>
    <row r="3874" spans="38:53" ht="15" customHeight="1" x14ac:dyDescent="0.25">
      <c r="AL3874" s="31"/>
      <c r="AM3874" s="26"/>
      <c r="AN3874" s="32"/>
      <c r="AO3874" s="32"/>
      <c r="AP3874" s="24"/>
      <c r="AQ3874" s="24"/>
      <c r="AR3874" s="33"/>
      <c r="AS3874" s="34"/>
      <c r="AT3874" s="33"/>
      <c r="AV3874" s="21">
        <f>IF(AND($AL3874&lt;&gt;"",COUNTIF($AL$11:$AL3874,$AL3874)=1),1,0)</f>
        <v>0</v>
      </c>
      <c r="AW3874" s="21">
        <f t="shared" si="207"/>
        <v>0</v>
      </c>
      <c r="AX3874" s="21" t="str">
        <f t="shared" si="206"/>
        <v/>
      </c>
      <c r="AY3874" s="21" t="str">
        <f>IF(AND($AM3874&lt;&gt;"",$AS3874&lt;&gt;"✓"),SUMPRODUCT(($AM$11:$AM3874&lt;&gt;"")*($AS$11:$AS3874&lt;&gt;"✓")),"")</f>
        <v/>
      </c>
      <c r="AZ3874" s="21" t="str">
        <f>IF(AND($AM3874&lt;&gt;"",$AS3874="✓"),SUMPRODUCT(($AM$11:$AM3874&lt;&gt;"")*($AS$11:$AS3874="✓")),"")</f>
        <v/>
      </c>
      <c r="BA3874" s="21" t="str">
        <f>IF($AL3874="","",$AL3874&amp;"|"&amp;COUNTIF($AL$11:$AL3874,$AL3874))</f>
        <v/>
      </c>
    </row>
    <row r="3875" spans="38:53" ht="15" customHeight="1" x14ac:dyDescent="0.25">
      <c r="AL3875" s="17"/>
      <c r="AM3875" s="12"/>
      <c r="AN3875" s="18"/>
      <c r="AO3875" s="18"/>
      <c r="AP3875" s="10"/>
      <c r="AQ3875" s="10"/>
      <c r="AR3875" s="19"/>
      <c r="AS3875" s="20"/>
      <c r="AT3875" s="19"/>
      <c r="AV3875" s="21">
        <f>IF(AND($AL3875&lt;&gt;"",COUNTIF($AL$11:$AL3875,$AL3875)=1),1,0)</f>
        <v>0</v>
      </c>
      <c r="AW3875" s="21">
        <f t="shared" si="207"/>
        <v>0</v>
      </c>
      <c r="AX3875" s="21" t="str">
        <f t="shared" si="206"/>
        <v/>
      </c>
      <c r="AY3875" s="21" t="str">
        <f>IF(AND($AM3875&lt;&gt;"",$AS3875&lt;&gt;"✓"),SUMPRODUCT(($AM$11:$AM3875&lt;&gt;"")*($AS$11:$AS3875&lt;&gt;"✓")),"")</f>
        <v/>
      </c>
      <c r="AZ3875" s="21" t="str">
        <f>IF(AND($AM3875&lt;&gt;"",$AS3875="✓"),SUMPRODUCT(($AM$11:$AM3875&lt;&gt;"")*($AS$11:$AS3875="✓")),"")</f>
        <v/>
      </c>
      <c r="BA3875" s="21" t="str">
        <f>IF($AL3875="","",$AL3875&amp;"|"&amp;COUNTIF($AL$11:$AL3875,$AL3875))</f>
        <v/>
      </c>
    </row>
    <row r="3876" spans="38:53" ht="15" customHeight="1" x14ac:dyDescent="0.25">
      <c r="AL3876" s="31"/>
      <c r="AM3876" s="26"/>
      <c r="AN3876" s="32"/>
      <c r="AO3876" s="32"/>
      <c r="AP3876" s="24"/>
      <c r="AQ3876" s="24"/>
      <c r="AR3876" s="33"/>
      <c r="AS3876" s="34"/>
      <c r="AT3876" s="33"/>
      <c r="AV3876" s="21">
        <f>IF(AND($AL3876&lt;&gt;"",COUNTIF($AL$11:$AL3876,$AL3876)=1),1,0)</f>
        <v>0</v>
      </c>
      <c r="AW3876" s="21">
        <f t="shared" si="207"/>
        <v>0</v>
      </c>
      <c r="AX3876" s="21" t="str">
        <f t="shared" si="206"/>
        <v/>
      </c>
      <c r="AY3876" s="21" t="str">
        <f>IF(AND($AM3876&lt;&gt;"",$AS3876&lt;&gt;"✓"),SUMPRODUCT(($AM$11:$AM3876&lt;&gt;"")*($AS$11:$AS3876&lt;&gt;"✓")),"")</f>
        <v/>
      </c>
      <c r="AZ3876" s="21" t="str">
        <f>IF(AND($AM3876&lt;&gt;"",$AS3876="✓"),SUMPRODUCT(($AM$11:$AM3876&lt;&gt;"")*($AS$11:$AS3876="✓")),"")</f>
        <v/>
      </c>
      <c r="BA3876" s="21" t="str">
        <f>IF($AL3876="","",$AL3876&amp;"|"&amp;COUNTIF($AL$11:$AL3876,$AL3876))</f>
        <v/>
      </c>
    </row>
    <row r="3877" spans="38:53" ht="15" customHeight="1" x14ac:dyDescent="0.25">
      <c r="AL3877" s="17"/>
      <c r="AM3877" s="12"/>
      <c r="AN3877" s="18"/>
      <c r="AO3877" s="18"/>
      <c r="AP3877" s="10"/>
      <c r="AQ3877" s="10"/>
      <c r="AR3877" s="19"/>
      <c r="AS3877" s="20"/>
      <c r="AT3877" s="19"/>
      <c r="AV3877" s="21">
        <f>IF(AND($AL3877&lt;&gt;"",COUNTIF($AL$11:$AL3877,$AL3877)=1),1,0)</f>
        <v>0</v>
      </c>
      <c r="AW3877" s="21">
        <f t="shared" si="207"/>
        <v>0</v>
      </c>
      <c r="AX3877" s="21" t="str">
        <f t="shared" si="206"/>
        <v/>
      </c>
      <c r="AY3877" s="21" t="str">
        <f>IF(AND($AM3877&lt;&gt;"",$AS3877&lt;&gt;"✓"),SUMPRODUCT(($AM$11:$AM3877&lt;&gt;"")*($AS$11:$AS3877&lt;&gt;"✓")),"")</f>
        <v/>
      </c>
      <c r="AZ3877" s="21" t="str">
        <f>IF(AND($AM3877&lt;&gt;"",$AS3877="✓"),SUMPRODUCT(($AM$11:$AM3877&lt;&gt;"")*($AS$11:$AS3877="✓")),"")</f>
        <v/>
      </c>
      <c r="BA3877" s="21" t="str">
        <f>IF($AL3877="","",$AL3877&amp;"|"&amp;COUNTIF($AL$11:$AL3877,$AL3877))</f>
        <v/>
      </c>
    </row>
    <row r="3878" spans="38:53" ht="15" customHeight="1" x14ac:dyDescent="0.25">
      <c r="AL3878" s="31"/>
      <c r="AM3878" s="26"/>
      <c r="AN3878" s="32"/>
      <c r="AO3878" s="32"/>
      <c r="AP3878" s="24"/>
      <c r="AQ3878" s="24"/>
      <c r="AR3878" s="33"/>
      <c r="AS3878" s="34"/>
      <c r="AT3878" s="33"/>
      <c r="AV3878" s="21">
        <f>IF(AND($AL3878&lt;&gt;"",COUNTIF($AL$11:$AL3878,$AL3878)=1),1,0)</f>
        <v>0</v>
      </c>
      <c r="AW3878" s="21">
        <f t="shared" si="207"/>
        <v>0</v>
      </c>
      <c r="AX3878" s="21" t="str">
        <f t="shared" si="206"/>
        <v/>
      </c>
      <c r="AY3878" s="21" t="str">
        <f>IF(AND($AM3878&lt;&gt;"",$AS3878&lt;&gt;"✓"),SUMPRODUCT(($AM$11:$AM3878&lt;&gt;"")*($AS$11:$AS3878&lt;&gt;"✓")),"")</f>
        <v/>
      </c>
      <c r="AZ3878" s="21" t="str">
        <f>IF(AND($AM3878&lt;&gt;"",$AS3878="✓"),SUMPRODUCT(($AM$11:$AM3878&lt;&gt;"")*($AS$11:$AS3878="✓")),"")</f>
        <v/>
      </c>
      <c r="BA3878" s="21" t="str">
        <f>IF($AL3878="","",$AL3878&amp;"|"&amp;COUNTIF($AL$11:$AL3878,$AL3878))</f>
        <v/>
      </c>
    </row>
    <row r="3879" spans="38:53" ht="15" customHeight="1" x14ac:dyDescent="0.25">
      <c r="AL3879" s="17"/>
      <c r="AM3879" s="12"/>
      <c r="AN3879" s="18"/>
      <c r="AO3879" s="18"/>
      <c r="AP3879" s="10"/>
      <c r="AQ3879" s="10"/>
      <c r="AR3879" s="19"/>
      <c r="AS3879" s="20"/>
      <c r="AT3879" s="19"/>
      <c r="AV3879" s="21">
        <f>IF(AND($AL3879&lt;&gt;"",COUNTIF($AL$11:$AL3879,$AL3879)=1),1,0)</f>
        <v>0</v>
      </c>
      <c r="AW3879" s="21">
        <f t="shared" si="207"/>
        <v>0</v>
      </c>
      <c r="AX3879" s="21" t="str">
        <f t="shared" si="206"/>
        <v/>
      </c>
      <c r="AY3879" s="21" t="str">
        <f>IF(AND($AM3879&lt;&gt;"",$AS3879&lt;&gt;"✓"),SUMPRODUCT(($AM$11:$AM3879&lt;&gt;"")*($AS$11:$AS3879&lt;&gt;"✓")),"")</f>
        <v/>
      </c>
      <c r="AZ3879" s="21" t="str">
        <f>IF(AND($AM3879&lt;&gt;"",$AS3879="✓"),SUMPRODUCT(($AM$11:$AM3879&lt;&gt;"")*($AS$11:$AS3879="✓")),"")</f>
        <v/>
      </c>
      <c r="BA3879" s="21" t="str">
        <f>IF($AL3879="","",$AL3879&amp;"|"&amp;COUNTIF($AL$11:$AL3879,$AL3879))</f>
        <v/>
      </c>
    </row>
    <row r="3880" spans="38:53" ht="15" customHeight="1" x14ac:dyDescent="0.25">
      <c r="AL3880" s="31"/>
      <c r="AM3880" s="26"/>
      <c r="AN3880" s="32"/>
      <c r="AO3880" s="32"/>
      <c r="AP3880" s="24"/>
      <c r="AQ3880" s="24"/>
      <c r="AR3880" s="33"/>
      <c r="AS3880" s="34"/>
      <c r="AT3880" s="33"/>
      <c r="AV3880" s="21">
        <f>IF(AND($AL3880&lt;&gt;"",COUNTIF($AL$11:$AL3880,$AL3880)=1),1,0)</f>
        <v>0</v>
      </c>
      <c r="AW3880" s="21">
        <f t="shared" si="207"/>
        <v>0</v>
      </c>
      <c r="AX3880" s="21" t="str">
        <f t="shared" si="206"/>
        <v/>
      </c>
      <c r="AY3880" s="21" t="str">
        <f>IF(AND($AM3880&lt;&gt;"",$AS3880&lt;&gt;"✓"),SUMPRODUCT(($AM$11:$AM3880&lt;&gt;"")*($AS$11:$AS3880&lt;&gt;"✓")),"")</f>
        <v/>
      </c>
      <c r="AZ3880" s="21" t="str">
        <f>IF(AND($AM3880&lt;&gt;"",$AS3880="✓"),SUMPRODUCT(($AM$11:$AM3880&lt;&gt;"")*($AS$11:$AS3880="✓")),"")</f>
        <v/>
      </c>
      <c r="BA3880" s="21" t="str">
        <f>IF($AL3880="","",$AL3880&amp;"|"&amp;COUNTIF($AL$11:$AL3880,$AL3880))</f>
        <v/>
      </c>
    </row>
    <row r="3881" spans="38:53" ht="15" customHeight="1" x14ac:dyDescent="0.25">
      <c r="AL3881" s="17"/>
      <c r="AM3881" s="12"/>
      <c r="AN3881" s="18"/>
      <c r="AO3881" s="18"/>
      <c r="AP3881" s="10"/>
      <c r="AQ3881" s="10"/>
      <c r="AR3881" s="19"/>
      <c r="AS3881" s="20"/>
      <c r="AT3881" s="19"/>
      <c r="AV3881" s="21">
        <f>IF(AND($AL3881&lt;&gt;"",COUNTIF($AL$11:$AL3881,$AL3881)=1),1,0)</f>
        <v>0</v>
      </c>
      <c r="AW3881" s="21">
        <f t="shared" si="207"/>
        <v>0</v>
      </c>
      <c r="AX3881" s="21" t="str">
        <f t="shared" si="206"/>
        <v/>
      </c>
      <c r="AY3881" s="21" t="str">
        <f>IF(AND($AM3881&lt;&gt;"",$AS3881&lt;&gt;"✓"),SUMPRODUCT(($AM$11:$AM3881&lt;&gt;"")*($AS$11:$AS3881&lt;&gt;"✓")),"")</f>
        <v/>
      </c>
      <c r="AZ3881" s="21" t="str">
        <f>IF(AND($AM3881&lt;&gt;"",$AS3881="✓"),SUMPRODUCT(($AM$11:$AM3881&lt;&gt;"")*($AS$11:$AS3881="✓")),"")</f>
        <v/>
      </c>
      <c r="BA3881" s="21" t="str">
        <f>IF($AL3881="","",$AL3881&amp;"|"&amp;COUNTIF($AL$11:$AL3881,$AL3881))</f>
        <v/>
      </c>
    </row>
    <row r="3882" spans="38:53" ht="15" customHeight="1" x14ac:dyDescent="0.25">
      <c r="AL3882" s="31"/>
      <c r="AM3882" s="26"/>
      <c r="AN3882" s="32"/>
      <c r="AO3882" s="32"/>
      <c r="AP3882" s="24"/>
      <c r="AQ3882" s="24"/>
      <c r="AR3882" s="33"/>
      <c r="AS3882" s="34"/>
      <c r="AT3882" s="33"/>
      <c r="AV3882" s="21">
        <f>IF(AND($AL3882&lt;&gt;"",COUNTIF($AL$11:$AL3882,$AL3882)=1),1,0)</f>
        <v>0</v>
      </c>
      <c r="AW3882" s="21">
        <f t="shared" si="207"/>
        <v>0</v>
      </c>
      <c r="AX3882" s="21" t="str">
        <f t="shared" si="206"/>
        <v/>
      </c>
      <c r="AY3882" s="21" t="str">
        <f>IF(AND($AM3882&lt;&gt;"",$AS3882&lt;&gt;"✓"),SUMPRODUCT(($AM$11:$AM3882&lt;&gt;"")*($AS$11:$AS3882&lt;&gt;"✓")),"")</f>
        <v/>
      </c>
      <c r="AZ3882" s="21" t="str">
        <f>IF(AND($AM3882&lt;&gt;"",$AS3882="✓"),SUMPRODUCT(($AM$11:$AM3882&lt;&gt;"")*($AS$11:$AS3882="✓")),"")</f>
        <v/>
      </c>
      <c r="BA3882" s="21" t="str">
        <f>IF($AL3882="","",$AL3882&amp;"|"&amp;COUNTIF($AL$11:$AL3882,$AL3882))</f>
        <v/>
      </c>
    </row>
    <row r="3883" spans="38:53" ht="15" customHeight="1" x14ac:dyDescent="0.25">
      <c r="AL3883" s="17"/>
      <c r="AM3883" s="12"/>
      <c r="AN3883" s="18"/>
      <c r="AO3883" s="18"/>
      <c r="AP3883" s="10"/>
      <c r="AQ3883" s="10"/>
      <c r="AR3883" s="19"/>
      <c r="AS3883" s="20"/>
      <c r="AT3883" s="19"/>
      <c r="AV3883" s="21">
        <f>IF(AND($AL3883&lt;&gt;"",COUNTIF($AL$11:$AL3883,$AL3883)=1),1,0)</f>
        <v>0</v>
      </c>
      <c r="AW3883" s="21">
        <f t="shared" si="207"/>
        <v>0</v>
      </c>
      <c r="AX3883" s="21" t="str">
        <f t="shared" si="206"/>
        <v/>
      </c>
      <c r="AY3883" s="21" t="str">
        <f>IF(AND($AM3883&lt;&gt;"",$AS3883&lt;&gt;"✓"),SUMPRODUCT(($AM$11:$AM3883&lt;&gt;"")*($AS$11:$AS3883&lt;&gt;"✓")),"")</f>
        <v/>
      </c>
      <c r="AZ3883" s="21" t="str">
        <f>IF(AND($AM3883&lt;&gt;"",$AS3883="✓"),SUMPRODUCT(($AM$11:$AM3883&lt;&gt;"")*($AS$11:$AS3883="✓")),"")</f>
        <v/>
      </c>
      <c r="BA3883" s="21" t="str">
        <f>IF($AL3883="","",$AL3883&amp;"|"&amp;COUNTIF($AL$11:$AL3883,$AL3883))</f>
        <v/>
      </c>
    </row>
    <row r="3884" spans="38:53" ht="15" customHeight="1" x14ac:dyDescent="0.25">
      <c r="AL3884" s="31"/>
      <c r="AM3884" s="26"/>
      <c r="AN3884" s="32"/>
      <c r="AO3884" s="32"/>
      <c r="AP3884" s="24"/>
      <c r="AQ3884" s="24"/>
      <c r="AR3884" s="33"/>
      <c r="AS3884" s="34"/>
      <c r="AT3884" s="33"/>
      <c r="AV3884" s="21">
        <f>IF(AND($AL3884&lt;&gt;"",COUNTIF($AL$11:$AL3884,$AL3884)=1),1,0)</f>
        <v>0</v>
      </c>
      <c r="AW3884" s="21">
        <f t="shared" si="207"/>
        <v>0</v>
      </c>
      <c r="AX3884" s="21" t="str">
        <f t="shared" si="206"/>
        <v/>
      </c>
      <c r="AY3884" s="21" t="str">
        <f>IF(AND($AM3884&lt;&gt;"",$AS3884&lt;&gt;"✓"),SUMPRODUCT(($AM$11:$AM3884&lt;&gt;"")*($AS$11:$AS3884&lt;&gt;"✓")),"")</f>
        <v/>
      </c>
      <c r="AZ3884" s="21" t="str">
        <f>IF(AND($AM3884&lt;&gt;"",$AS3884="✓"),SUMPRODUCT(($AM$11:$AM3884&lt;&gt;"")*($AS$11:$AS3884="✓")),"")</f>
        <v/>
      </c>
      <c r="BA3884" s="21" t="str">
        <f>IF($AL3884="","",$AL3884&amp;"|"&amp;COUNTIF($AL$11:$AL3884,$AL3884))</f>
        <v/>
      </c>
    </row>
    <row r="3885" spans="38:53" ht="15" customHeight="1" x14ac:dyDescent="0.25">
      <c r="AL3885" s="17"/>
      <c r="AM3885" s="12"/>
      <c r="AN3885" s="18"/>
      <c r="AO3885" s="18"/>
      <c r="AP3885" s="10"/>
      <c r="AQ3885" s="10"/>
      <c r="AR3885" s="19"/>
      <c r="AS3885" s="20"/>
      <c r="AT3885" s="19"/>
      <c r="AV3885" s="21">
        <f>IF(AND($AL3885&lt;&gt;"",COUNTIF($AL$11:$AL3885,$AL3885)=1),1,0)</f>
        <v>0</v>
      </c>
      <c r="AW3885" s="21">
        <f t="shared" si="207"/>
        <v>0</v>
      </c>
      <c r="AX3885" s="21" t="str">
        <f t="shared" si="206"/>
        <v/>
      </c>
      <c r="AY3885" s="21" t="str">
        <f>IF(AND($AM3885&lt;&gt;"",$AS3885&lt;&gt;"✓"),SUMPRODUCT(($AM$11:$AM3885&lt;&gt;"")*($AS$11:$AS3885&lt;&gt;"✓")),"")</f>
        <v/>
      </c>
      <c r="AZ3885" s="21" t="str">
        <f>IF(AND($AM3885&lt;&gt;"",$AS3885="✓"),SUMPRODUCT(($AM$11:$AM3885&lt;&gt;"")*($AS$11:$AS3885="✓")),"")</f>
        <v/>
      </c>
      <c r="BA3885" s="21" t="str">
        <f>IF($AL3885="","",$AL3885&amp;"|"&amp;COUNTIF($AL$11:$AL3885,$AL3885))</f>
        <v/>
      </c>
    </row>
    <row r="3886" spans="38:53" ht="15" customHeight="1" x14ac:dyDescent="0.25">
      <c r="AL3886" s="31"/>
      <c r="AM3886" s="26"/>
      <c r="AN3886" s="32"/>
      <c r="AO3886" s="32"/>
      <c r="AP3886" s="24"/>
      <c r="AQ3886" s="24"/>
      <c r="AR3886" s="33"/>
      <c r="AS3886" s="34"/>
      <c r="AT3886" s="33"/>
      <c r="AV3886" s="21">
        <f>IF(AND($AL3886&lt;&gt;"",COUNTIF($AL$11:$AL3886,$AL3886)=1),1,0)</f>
        <v>0</v>
      </c>
      <c r="AW3886" s="21">
        <f t="shared" si="207"/>
        <v>0</v>
      </c>
      <c r="AX3886" s="21" t="str">
        <f t="shared" si="206"/>
        <v/>
      </c>
      <c r="AY3886" s="21" t="str">
        <f>IF(AND($AM3886&lt;&gt;"",$AS3886&lt;&gt;"✓"),SUMPRODUCT(($AM$11:$AM3886&lt;&gt;"")*($AS$11:$AS3886&lt;&gt;"✓")),"")</f>
        <v/>
      </c>
      <c r="AZ3886" s="21" t="str">
        <f>IF(AND($AM3886&lt;&gt;"",$AS3886="✓"),SUMPRODUCT(($AM$11:$AM3886&lt;&gt;"")*($AS$11:$AS3886="✓")),"")</f>
        <v/>
      </c>
      <c r="BA3886" s="21" t="str">
        <f>IF($AL3886="","",$AL3886&amp;"|"&amp;COUNTIF($AL$11:$AL3886,$AL3886))</f>
        <v/>
      </c>
    </row>
    <row r="3887" spans="38:53" ht="15" customHeight="1" x14ac:dyDescent="0.25">
      <c r="AL3887" s="17"/>
      <c r="AM3887" s="12"/>
      <c r="AN3887" s="18"/>
      <c r="AO3887" s="18"/>
      <c r="AP3887" s="10"/>
      <c r="AQ3887" s="10"/>
      <c r="AR3887" s="19"/>
      <c r="AS3887" s="20"/>
      <c r="AT3887" s="19"/>
      <c r="AV3887" s="21">
        <f>IF(AND($AL3887&lt;&gt;"",COUNTIF($AL$11:$AL3887,$AL3887)=1),1,0)</f>
        <v>0</v>
      </c>
      <c r="AW3887" s="21">
        <f t="shared" si="207"/>
        <v>0</v>
      </c>
      <c r="AX3887" s="21" t="str">
        <f t="shared" si="206"/>
        <v/>
      </c>
      <c r="AY3887" s="21" t="str">
        <f>IF(AND($AM3887&lt;&gt;"",$AS3887&lt;&gt;"✓"),SUMPRODUCT(($AM$11:$AM3887&lt;&gt;"")*($AS$11:$AS3887&lt;&gt;"✓")),"")</f>
        <v/>
      </c>
      <c r="AZ3887" s="21" t="str">
        <f>IF(AND($AM3887&lt;&gt;"",$AS3887="✓"),SUMPRODUCT(($AM$11:$AM3887&lt;&gt;"")*($AS$11:$AS3887="✓")),"")</f>
        <v/>
      </c>
      <c r="BA3887" s="21" t="str">
        <f>IF($AL3887="","",$AL3887&amp;"|"&amp;COUNTIF($AL$11:$AL3887,$AL3887))</f>
        <v/>
      </c>
    </row>
    <row r="3888" spans="38:53" ht="15" customHeight="1" x14ac:dyDescent="0.25">
      <c r="AL3888" s="31"/>
      <c r="AM3888" s="26"/>
      <c r="AN3888" s="32"/>
      <c r="AO3888" s="32"/>
      <c r="AP3888" s="24"/>
      <c r="AQ3888" s="24"/>
      <c r="AR3888" s="33"/>
      <c r="AS3888" s="34"/>
      <c r="AT3888" s="33"/>
      <c r="AV3888" s="21">
        <f>IF(AND($AL3888&lt;&gt;"",COUNTIF($AL$11:$AL3888,$AL3888)=1),1,0)</f>
        <v>0</v>
      </c>
      <c r="AW3888" s="21">
        <f t="shared" si="207"/>
        <v>0</v>
      </c>
      <c r="AX3888" s="21" t="str">
        <f t="shared" si="206"/>
        <v/>
      </c>
      <c r="AY3888" s="21" t="str">
        <f>IF(AND($AM3888&lt;&gt;"",$AS3888&lt;&gt;"✓"),SUMPRODUCT(($AM$11:$AM3888&lt;&gt;"")*($AS$11:$AS3888&lt;&gt;"✓")),"")</f>
        <v/>
      </c>
      <c r="AZ3888" s="21" t="str">
        <f>IF(AND($AM3888&lt;&gt;"",$AS3888="✓"),SUMPRODUCT(($AM$11:$AM3888&lt;&gt;"")*($AS$11:$AS3888="✓")),"")</f>
        <v/>
      </c>
      <c r="BA3888" s="21" t="str">
        <f>IF($AL3888="","",$AL3888&amp;"|"&amp;COUNTIF($AL$11:$AL3888,$AL3888))</f>
        <v/>
      </c>
    </row>
    <row r="3889" spans="38:53" ht="15" customHeight="1" x14ac:dyDescent="0.25">
      <c r="AL3889" s="17"/>
      <c r="AM3889" s="12"/>
      <c r="AN3889" s="18"/>
      <c r="AO3889" s="18"/>
      <c r="AP3889" s="10"/>
      <c r="AQ3889" s="10"/>
      <c r="AR3889" s="19"/>
      <c r="AS3889" s="20"/>
      <c r="AT3889" s="19"/>
      <c r="AV3889" s="21">
        <f>IF(AND($AL3889&lt;&gt;"",COUNTIF($AL$11:$AL3889,$AL3889)=1),1,0)</f>
        <v>0</v>
      </c>
      <c r="AW3889" s="21">
        <f t="shared" si="207"/>
        <v>0</v>
      </c>
      <c r="AX3889" s="21" t="str">
        <f t="shared" si="206"/>
        <v/>
      </c>
      <c r="AY3889" s="21" t="str">
        <f>IF(AND($AM3889&lt;&gt;"",$AS3889&lt;&gt;"✓"),SUMPRODUCT(($AM$11:$AM3889&lt;&gt;"")*($AS$11:$AS3889&lt;&gt;"✓")),"")</f>
        <v/>
      </c>
      <c r="AZ3889" s="21" t="str">
        <f>IF(AND($AM3889&lt;&gt;"",$AS3889="✓"),SUMPRODUCT(($AM$11:$AM3889&lt;&gt;"")*($AS$11:$AS3889="✓")),"")</f>
        <v/>
      </c>
      <c r="BA3889" s="21" t="str">
        <f>IF($AL3889="","",$AL3889&amp;"|"&amp;COUNTIF($AL$11:$AL3889,$AL3889))</f>
        <v/>
      </c>
    </row>
    <row r="3890" spans="38:53" ht="15" customHeight="1" x14ac:dyDescent="0.25">
      <c r="AL3890" s="31"/>
      <c r="AM3890" s="26"/>
      <c r="AN3890" s="32"/>
      <c r="AO3890" s="32"/>
      <c r="AP3890" s="24"/>
      <c r="AQ3890" s="24"/>
      <c r="AR3890" s="33"/>
      <c r="AS3890" s="34"/>
      <c r="AT3890" s="33"/>
      <c r="AV3890" s="21">
        <f>IF(AND($AL3890&lt;&gt;"",COUNTIF($AL$11:$AL3890,$AL3890)=1),1,0)</f>
        <v>0</v>
      </c>
      <c r="AW3890" s="21">
        <f t="shared" si="207"/>
        <v>0</v>
      </c>
      <c r="AX3890" s="21" t="str">
        <f t="shared" si="206"/>
        <v/>
      </c>
      <c r="AY3890" s="21" t="str">
        <f>IF(AND($AM3890&lt;&gt;"",$AS3890&lt;&gt;"✓"),SUMPRODUCT(($AM$11:$AM3890&lt;&gt;"")*($AS$11:$AS3890&lt;&gt;"✓")),"")</f>
        <v/>
      </c>
      <c r="AZ3890" s="21" t="str">
        <f>IF(AND($AM3890&lt;&gt;"",$AS3890="✓"),SUMPRODUCT(($AM$11:$AM3890&lt;&gt;"")*($AS$11:$AS3890="✓")),"")</f>
        <v/>
      </c>
      <c r="BA3890" s="21" t="str">
        <f>IF($AL3890="","",$AL3890&amp;"|"&amp;COUNTIF($AL$11:$AL3890,$AL3890))</f>
        <v/>
      </c>
    </row>
    <row r="3891" spans="38:53" ht="15" customHeight="1" x14ac:dyDescent="0.25">
      <c r="AL3891" s="17"/>
      <c r="AM3891" s="12"/>
      <c r="AN3891" s="18"/>
      <c r="AO3891" s="18"/>
      <c r="AP3891" s="10"/>
      <c r="AQ3891" s="10"/>
      <c r="AR3891" s="19"/>
      <c r="AS3891" s="20"/>
      <c r="AT3891" s="19"/>
      <c r="AV3891" s="21">
        <f>IF(AND($AL3891&lt;&gt;"",COUNTIF($AL$11:$AL3891,$AL3891)=1),1,0)</f>
        <v>0</v>
      </c>
      <c r="AW3891" s="21">
        <f t="shared" si="207"/>
        <v>0</v>
      </c>
      <c r="AX3891" s="21" t="str">
        <f t="shared" si="206"/>
        <v/>
      </c>
      <c r="AY3891" s="21" t="str">
        <f>IF(AND($AM3891&lt;&gt;"",$AS3891&lt;&gt;"✓"),SUMPRODUCT(($AM$11:$AM3891&lt;&gt;"")*($AS$11:$AS3891&lt;&gt;"✓")),"")</f>
        <v/>
      </c>
      <c r="AZ3891" s="21" t="str">
        <f>IF(AND($AM3891&lt;&gt;"",$AS3891="✓"),SUMPRODUCT(($AM$11:$AM3891&lt;&gt;"")*($AS$11:$AS3891="✓")),"")</f>
        <v/>
      </c>
      <c r="BA3891" s="21" t="str">
        <f>IF($AL3891="","",$AL3891&amp;"|"&amp;COUNTIF($AL$11:$AL3891,$AL3891))</f>
        <v/>
      </c>
    </row>
    <row r="3892" spans="38:53" ht="15" customHeight="1" x14ac:dyDescent="0.25">
      <c r="AL3892" s="31"/>
      <c r="AM3892" s="26"/>
      <c r="AN3892" s="32"/>
      <c r="AO3892" s="32"/>
      <c r="AP3892" s="24"/>
      <c r="AQ3892" s="24"/>
      <c r="AR3892" s="33"/>
      <c r="AS3892" s="34"/>
      <c r="AT3892" s="33"/>
      <c r="AV3892" s="21">
        <f>IF(AND($AL3892&lt;&gt;"",COUNTIF($AL$11:$AL3892,$AL3892)=1),1,0)</f>
        <v>0</v>
      </c>
      <c r="AW3892" s="21">
        <f t="shared" si="207"/>
        <v>0</v>
      </c>
      <c r="AX3892" s="21" t="str">
        <f t="shared" si="206"/>
        <v/>
      </c>
      <c r="AY3892" s="21" t="str">
        <f>IF(AND($AM3892&lt;&gt;"",$AS3892&lt;&gt;"✓"),SUMPRODUCT(($AM$11:$AM3892&lt;&gt;"")*($AS$11:$AS3892&lt;&gt;"✓")),"")</f>
        <v/>
      </c>
      <c r="AZ3892" s="21" t="str">
        <f>IF(AND($AM3892&lt;&gt;"",$AS3892="✓"),SUMPRODUCT(($AM$11:$AM3892&lt;&gt;"")*($AS$11:$AS3892="✓")),"")</f>
        <v/>
      </c>
      <c r="BA3892" s="21" t="str">
        <f>IF($AL3892="","",$AL3892&amp;"|"&amp;COUNTIF($AL$11:$AL3892,$AL3892))</f>
        <v/>
      </c>
    </row>
    <row r="3893" spans="38:53" ht="15" customHeight="1" x14ac:dyDescent="0.25">
      <c r="AL3893" s="17"/>
      <c r="AM3893" s="12"/>
      <c r="AN3893" s="18"/>
      <c r="AO3893" s="18"/>
      <c r="AP3893" s="10"/>
      <c r="AQ3893" s="10"/>
      <c r="AR3893" s="19"/>
      <c r="AS3893" s="20"/>
      <c r="AT3893" s="19"/>
      <c r="AV3893" s="21">
        <f>IF(AND($AL3893&lt;&gt;"",COUNTIF($AL$11:$AL3893,$AL3893)=1),1,0)</f>
        <v>0</v>
      </c>
      <c r="AW3893" s="21">
        <f t="shared" si="207"/>
        <v>0</v>
      </c>
      <c r="AX3893" s="21" t="str">
        <f t="shared" si="206"/>
        <v/>
      </c>
      <c r="AY3893" s="21" t="str">
        <f>IF(AND($AM3893&lt;&gt;"",$AS3893&lt;&gt;"✓"),SUMPRODUCT(($AM$11:$AM3893&lt;&gt;"")*($AS$11:$AS3893&lt;&gt;"✓")),"")</f>
        <v/>
      </c>
      <c r="AZ3893" s="21" t="str">
        <f>IF(AND($AM3893&lt;&gt;"",$AS3893="✓"),SUMPRODUCT(($AM$11:$AM3893&lt;&gt;"")*($AS$11:$AS3893="✓")),"")</f>
        <v/>
      </c>
      <c r="BA3893" s="21" t="str">
        <f>IF($AL3893="","",$AL3893&amp;"|"&amp;COUNTIF($AL$11:$AL3893,$AL3893))</f>
        <v/>
      </c>
    </row>
    <row r="3894" spans="38:53" ht="15" customHeight="1" x14ac:dyDescent="0.25">
      <c r="AL3894" s="31"/>
      <c r="AM3894" s="26"/>
      <c r="AN3894" s="32"/>
      <c r="AO3894" s="32"/>
      <c r="AP3894" s="24"/>
      <c r="AQ3894" s="24"/>
      <c r="AR3894" s="33"/>
      <c r="AS3894" s="34"/>
      <c r="AT3894" s="33"/>
      <c r="AV3894" s="21">
        <f>IF(AND($AL3894&lt;&gt;"",COUNTIF($AL$11:$AL3894,$AL3894)=1),1,0)</f>
        <v>0</v>
      </c>
      <c r="AW3894" s="21">
        <f t="shared" si="207"/>
        <v>0</v>
      </c>
      <c r="AX3894" s="21" t="str">
        <f t="shared" si="206"/>
        <v/>
      </c>
      <c r="AY3894" s="21" t="str">
        <f>IF(AND($AM3894&lt;&gt;"",$AS3894&lt;&gt;"✓"),SUMPRODUCT(($AM$11:$AM3894&lt;&gt;"")*($AS$11:$AS3894&lt;&gt;"✓")),"")</f>
        <v/>
      </c>
      <c r="AZ3894" s="21" t="str">
        <f>IF(AND($AM3894&lt;&gt;"",$AS3894="✓"),SUMPRODUCT(($AM$11:$AM3894&lt;&gt;"")*($AS$11:$AS3894="✓")),"")</f>
        <v/>
      </c>
      <c r="BA3894" s="21" t="str">
        <f>IF($AL3894="","",$AL3894&amp;"|"&amp;COUNTIF($AL$11:$AL3894,$AL3894))</f>
        <v/>
      </c>
    </row>
    <row r="3895" spans="38:53" ht="15" customHeight="1" x14ac:dyDescent="0.25">
      <c r="AL3895" s="17"/>
      <c r="AM3895" s="12"/>
      <c r="AN3895" s="18"/>
      <c r="AO3895" s="18"/>
      <c r="AP3895" s="10"/>
      <c r="AQ3895" s="10"/>
      <c r="AR3895" s="19"/>
      <c r="AS3895" s="20"/>
      <c r="AT3895" s="19"/>
      <c r="AV3895" s="21">
        <f>IF(AND($AL3895&lt;&gt;"",COUNTIF($AL$11:$AL3895,$AL3895)=1),1,0)</f>
        <v>0</v>
      </c>
      <c r="AW3895" s="21">
        <f t="shared" si="207"/>
        <v>0</v>
      </c>
      <c r="AX3895" s="21" t="str">
        <f t="shared" si="206"/>
        <v/>
      </c>
      <c r="AY3895" s="21" t="str">
        <f>IF(AND($AM3895&lt;&gt;"",$AS3895&lt;&gt;"✓"),SUMPRODUCT(($AM$11:$AM3895&lt;&gt;"")*($AS$11:$AS3895&lt;&gt;"✓")),"")</f>
        <v/>
      </c>
      <c r="AZ3895" s="21" t="str">
        <f>IF(AND($AM3895&lt;&gt;"",$AS3895="✓"),SUMPRODUCT(($AM$11:$AM3895&lt;&gt;"")*($AS$11:$AS3895="✓")),"")</f>
        <v/>
      </c>
      <c r="BA3895" s="21" t="str">
        <f>IF($AL3895="","",$AL3895&amp;"|"&amp;COUNTIF($AL$11:$AL3895,$AL3895))</f>
        <v/>
      </c>
    </row>
    <row r="3896" spans="38:53" ht="15" customHeight="1" x14ac:dyDescent="0.25">
      <c r="AL3896" s="31"/>
      <c r="AM3896" s="26"/>
      <c r="AN3896" s="32"/>
      <c r="AO3896" s="32"/>
      <c r="AP3896" s="24"/>
      <c r="AQ3896" s="24"/>
      <c r="AR3896" s="33"/>
      <c r="AS3896" s="34"/>
      <c r="AT3896" s="33"/>
      <c r="AV3896" s="21">
        <f>IF(AND($AL3896&lt;&gt;"",COUNTIF($AL$11:$AL3896,$AL3896)=1),1,0)</f>
        <v>0</v>
      </c>
      <c r="AW3896" s="21">
        <f t="shared" si="207"/>
        <v>0</v>
      </c>
      <c r="AX3896" s="21" t="str">
        <f t="shared" si="206"/>
        <v/>
      </c>
      <c r="AY3896" s="21" t="str">
        <f>IF(AND($AM3896&lt;&gt;"",$AS3896&lt;&gt;"✓"),SUMPRODUCT(($AM$11:$AM3896&lt;&gt;"")*($AS$11:$AS3896&lt;&gt;"✓")),"")</f>
        <v/>
      </c>
      <c r="AZ3896" s="21" t="str">
        <f>IF(AND($AM3896&lt;&gt;"",$AS3896="✓"),SUMPRODUCT(($AM$11:$AM3896&lt;&gt;"")*($AS$11:$AS3896="✓")),"")</f>
        <v/>
      </c>
      <c r="BA3896" s="21" t="str">
        <f>IF($AL3896="","",$AL3896&amp;"|"&amp;COUNTIF($AL$11:$AL3896,$AL3896))</f>
        <v/>
      </c>
    </row>
    <row r="3897" spans="38:53" ht="15" customHeight="1" x14ac:dyDescent="0.25">
      <c r="AL3897" s="17"/>
      <c r="AM3897" s="12"/>
      <c r="AN3897" s="18"/>
      <c r="AO3897" s="18"/>
      <c r="AP3897" s="10"/>
      <c r="AQ3897" s="10"/>
      <c r="AR3897" s="19"/>
      <c r="AS3897" s="20"/>
      <c r="AT3897" s="19"/>
      <c r="AV3897" s="21">
        <f>IF(AND($AL3897&lt;&gt;"",COUNTIF($AL$11:$AL3897,$AL3897)=1),1,0)</f>
        <v>0</v>
      </c>
      <c r="AW3897" s="21">
        <f t="shared" si="207"/>
        <v>0</v>
      </c>
      <c r="AX3897" s="21" t="str">
        <f t="shared" si="206"/>
        <v/>
      </c>
      <c r="AY3897" s="21" t="str">
        <f>IF(AND($AM3897&lt;&gt;"",$AS3897&lt;&gt;"✓"),SUMPRODUCT(($AM$11:$AM3897&lt;&gt;"")*($AS$11:$AS3897&lt;&gt;"✓")),"")</f>
        <v/>
      </c>
      <c r="AZ3897" s="21" t="str">
        <f>IF(AND($AM3897&lt;&gt;"",$AS3897="✓"),SUMPRODUCT(($AM$11:$AM3897&lt;&gt;"")*($AS$11:$AS3897="✓")),"")</f>
        <v/>
      </c>
      <c r="BA3897" s="21" t="str">
        <f>IF($AL3897="","",$AL3897&amp;"|"&amp;COUNTIF($AL$11:$AL3897,$AL3897))</f>
        <v/>
      </c>
    </row>
    <row r="3898" spans="38:53" ht="15" customHeight="1" x14ac:dyDescent="0.25">
      <c r="AL3898" s="31"/>
      <c r="AM3898" s="26"/>
      <c r="AN3898" s="32"/>
      <c r="AO3898" s="32"/>
      <c r="AP3898" s="24"/>
      <c r="AQ3898" s="24"/>
      <c r="AR3898" s="33"/>
      <c r="AS3898" s="34"/>
      <c r="AT3898" s="33"/>
      <c r="AV3898" s="21">
        <f>IF(AND($AL3898&lt;&gt;"",COUNTIF($AL$11:$AL3898,$AL3898)=1),1,0)</f>
        <v>0</v>
      </c>
      <c r="AW3898" s="21">
        <f t="shared" si="207"/>
        <v>0</v>
      </c>
      <c r="AX3898" s="21" t="str">
        <f t="shared" si="206"/>
        <v/>
      </c>
      <c r="AY3898" s="21" t="str">
        <f>IF(AND($AM3898&lt;&gt;"",$AS3898&lt;&gt;"✓"),SUMPRODUCT(($AM$11:$AM3898&lt;&gt;"")*($AS$11:$AS3898&lt;&gt;"✓")),"")</f>
        <v/>
      </c>
      <c r="AZ3898" s="21" t="str">
        <f>IF(AND($AM3898&lt;&gt;"",$AS3898="✓"),SUMPRODUCT(($AM$11:$AM3898&lt;&gt;"")*($AS$11:$AS3898="✓")),"")</f>
        <v/>
      </c>
      <c r="BA3898" s="21" t="str">
        <f>IF($AL3898="","",$AL3898&amp;"|"&amp;COUNTIF($AL$11:$AL3898,$AL3898))</f>
        <v/>
      </c>
    </row>
    <row r="3899" spans="38:53" ht="15" customHeight="1" x14ac:dyDescent="0.25">
      <c r="AL3899" s="17"/>
      <c r="AM3899" s="12"/>
      <c r="AN3899" s="18"/>
      <c r="AO3899" s="18"/>
      <c r="AP3899" s="10"/>
      <c r="AQ3899" s="10"/>
      <c r="AR3899" s="19"/>
      <c r="AS3899" s="20"/>
      <c r="AT3899" s="19"/>
      <c r="AV3899" s="21">
        <f>IF(AND($AL3899&lt;&gt;"",COUNTIF($AL$11:$AL3899,$AL3899)=1),1,0)</f>
        <v>0</v>
      </c>
      <c r="AW3899" s="21">
        <f t="shared" si="207"/>
        <v>0</v>
      </c>
      <c r="AX3899" s="21" t="str">
        <f t="shared" si="206"/>
        <v/>
      </c>
      <c r="AY3899" s="21" t="str">
        <f>IF(AND($AM3899&lt;&gt;"",$AS3899&lt;&gt;"✓"),SUMPRODUCT(($AM$11:$AM3899&lt;&gt;"")*($AS$11:$AS3899&lt;&gt;"✓")),"")</f>
        <v/>
      </c>
      <c r="AZ3899" s="21" t="str">
        <f>IF(AND($AM3899&lt;&gt;"",$AS3899="✓"),SUMPRODUCT(($AM$11:$AM3899&lt;&gt;"")*($AS$11:$AS3899="✓")),"")</f>
        <v/>
      </c>
      <c r="BA3899" s="21" t="str">
        <f>IF($AL3899="","",$AL3899&amp;"|"&amp;COUNTIF($AL$11:$AL3899,$AL3899))</f>
        <v/>
      </c>
    </row>
    <row r="3900" spans="38:53" ht="15" customHeight="1" x14ac:dyDescent="0.25">
      <c r="AL3900" s="31"/>
      <c r="AM3900" s="26"/>
      <c r="AN3900" s="32"/>
      <c r="AO3900" s="32"/>
      <c r="AP3900" s="24"/>
      <c r="AQ3900" s="24"/>
      <c r="AR3900" s="33"/>
      <c r="AS3900" s="34"/>
      <c r="AT3900" s="33"/>
      <c r="AV3900" s="21">
        <f>IF(AND($AL3900&lt;&gt;"",COUNTIF($AL$11:$AL3900,$AL3900)=1),1,0)</f>
        <v>0</v>
      </c>
      <c r="AW3900" s="21">
        <f t="shared" si="207"/>
        <v>0</v>
      </c>
      <c r="AX3900" s="21" t="str">
        <f t="shared" si="206"/>
        <v/>
      </c>
      <c r="AY3900" s="21" t="str">
        <f>IF(AND($AM3900&lt;&gt;"",$AS3900&lt;&gt;"✓"),SUMPRODUCT(($AM$11:$AM3900&lt;&gt;"")*($AS$11:$AS3900&lt;&gt;"✓")),"")</f>
        <v/>
      </c>
      <c r="AZ3900" s="21" t="str">
        <f>IF(AND($AM3900&lt;&gt;"",$AS3900="✓"),SUMPRODUCT(($AM$11:$AM3900&lt;&gt;"")*($AS$11:$AS3900="✓")),"")</f>
        <v/>
      </c>
      <c r="BA3900" s="21" t="str">
        <f>IF($AL3900="","",$AL3900&amp;"|"&amp;COUNTIF($AL$11:$AL3900,$AL3900))</f>
        <v/>
      </c>
    </row>
    <row r="3901" spans="38:53" ht="15" customHeight="1" x14ac:dyDescent="0.25">
      <c r="AL3901" s="17"/>
      <c r="AM3901" s="12"/>
      <c r="AN3901" s="18"/>
      <c r="AO3901" s="18"/>
      <c r="AP3901" s="10"/>
      <c r="AQ3901" s="10"/>
      <c r="AR3901" s="19"/>
      <c r="AS3901" s="20"/>
      <c r="AT3901" s="19"/>
      <c r="AV3901" s="21">
        <f>IF(AND($AL3901&lt;&gt;"",COUNTIF($AL$11:$AL3901,$AL3901)=1),1,0)</f>
        <v>0</v>
      </c>
      <c r="AW3901" s="21">
        <f t="shared" si="207"/>
        <v>0</v>
      </c>
      <c r="AX3901" s="21" t="str">
        <f t="shared" si="206"/>
        <v/>
      </c>
      <c r="AY3901" s="21" t="str">
        <f>IF(AND($AM3901&lt;&gt;"",$AS3901&lt;&gt;"✓"),SUMPRODUCT(($AM$11:$AM3901&lt;&gt;"")*($AS$11:$AS3901&lt;&gt;"✓")),"")</f>
        <v/>
      </c>
      <c r="AZ3901" s="21" t="str">
        <f>IF(AND($AM3901&lt;&gt;"",$AS3901="✓"),SUMPRODUCT(($AM$11:$AM3901&lt;&gt;"")*($AS$11:$AS3901="✓")),"")</f>
        <v/>
      </c>
      <c r="BA3901" s="21" t="str">
        <f>IF($AL3901="","",$AL3901&amp;"|"&amp;COUNTIF($AL$11:$AL3901,$AL3901))</f>
        <v/>
      </c>
    </row>
    <row r="3902" spans="38:53" ht="15" customHeight="1" x14ac:dyDescent="0.25">
      <c r="AL3902" s="31"/>
      <c r="AM3902" s="26"/>
      <c r="AN3902" s="32"/>
      <c r="AO3902" s="32"/>
      <c r="AP3902" s="24"/>
      <c r="AQ3902" s="24"/>
      <c r="AR3902" s="33"/>
      <c r="AS3902" s="34"/>
      <c r="AT3902" s="33"/>
      <c r="AV3902" s="21">
        <f>IF(AND($AL3902&lt;&gt;"",COUNTIF($AL$11:$AL3902,$AL3902)=1),1,0)</f>
        <v>0</v>
      </c>
      <c r="AW3902" s="21">
        <f t="shared" si="207"/>
        <v>0</v>
      </c>
      <c r="AX3902" s="21" t="str">
        <f t="shared" si="206"/>
        <v/>
      </c>
      <c r="AY3902" s="21" t="str">
        <f>IF(AND($AM3902&lt;&gt;"",$AS3902&lt;&gt;"✓"),SUMPRODUCT(($AM$11:$AM3902&lt;&gt;"")*($AS$11:$AS3902&lt;&gt;"✓")),"")</f>
        <v/>
      </c>
      <c r="AZ3902" s="21" t="str">
        <f>IF(AND($AM3902&lt;&gt;"",$AS3902="✓"),SUMPRODUCT(($AM$11:$AM3902&lt;&gt;"")*($AS$11:$AS3902="✓")),"")</f>
        <v/>
      </c>
      <c r="BA3902" s="21" t="str">
        <f>IF($AL3902="","",$AL3902&amp;"|"&amp;COUNTIF($AL$11:$AL3902,$AL3902))</f>
        <v/>
      </c>
    </row>
    <row r="3903" spans="38:53" ht="15" customHeight="1" x14ac:dyDescent="0.25">
      <c r="AL3903" s="17"/>
      <c r="AM3903" s="12"/>
      <c r="AN3903" s="18"/>
      <c r="AO3903" s="18"/>
      <c r="AP3903" s="10"/>
      <c r="AQ3903" s="10"/>
      <c r="AR3903" s="19"/>
      <c r="AS3903" s="20"/>
      <c r="AT3903" s="19"/>
      <c r="AV3903" s="21">
        <f>IF(AND($AL3903&lt;&gt;"",COUNTIF($AL$11:$AL3903,$AL3903)=1),1,0)</f>
        <v>0</v>
      </c>
      <c r="AW3903" s="21">
        <f t="shared" si="207"/>
        <v>0</v>
      </c>
      <c r="AX3903" s="21" t="str">
        <f t="shared" si="206"/>
        <v/>
      </c>
      <c r="AY3903" s="21" t="str">
        <f>IF(AND($AM3903&lt;&gt;"",$AS3903&lt;&gt;"✓"),SUMPRODUCT(($AM$11:$AM3903&lt;&gt;"")*($AS$11:$AS3903&lt;&gt;"✓")),"")</f>
        <v/>
      </c>
      <c r="AZ3903" s="21" t="str">
        <f>IF(AND($AM3903&lt;&gt;"",$AS3903="✓"),SUMPRODUCT(($AM$11:$AM3903&lt;&gt;"")*($AS$11:$AS3903="✓")),"")</f>
        <v/>
      </c>
      <c r="BA3903" s="21" t="str">
        <f>IF($AL3903="","",$AL3903&amp;"|"&amp;COUNTIF($AL$11:$AL3903,$AL3903))</f>
        <v/>
      </c>
    </row>
    <row r="3904" spans="38:53" ht="15" customHeight="1" x14ac:dyDescent="0.25">
      <c r="AL3904" s="31"/>
      <c r="AM3904" s="26"/>
      <c r="AN3904" s="32"/>
      <c r="AO3904" s="32"/>
      <c r="AP3904" s="24"/>
      <c r="AQ3904" s="24"/>
      <c r="AR3904" s="33"/>
      <c r="AS3904" s="34"/>
      <c r="AT3904" s="33"/>
      <c r="AV3904" s="21">
        <f>IF(AND($AL3904&lt;&gt;"",COUNTIF($AL$11:$AL3904,$AL3904)=1),1,0)</f>
        <v>0</v>
      </c>
      <c r="AW3904" s="21">
        <f t="shared" si="207"/>
        <v>0</v>
      </c>
      <c r="AX3904" s="21" t="str">
        <f t="shared" si="206"/>
        <v/>
      </c>
      <c r="AY3904" s="21" t="str">
        <f>IF(AND($AM3904&lt;&gt;"",$AS3904&lt;&gt;"✓"),SUMPRODUCT(($AM$11:$AM3904&lt;&gt;"")*($AS$11:$AS3904&lt;&gt;"✓")),"")</f>
        <v/>
      </c>
      <c r="AZ3904" s="21" t="str">
        <f>IF(AND($AM3904&lt;&gt;"",$AS3904="✓"),SUMPRODUCT(($AM$11:$AM3904&lt;&gt;"")*($AS$11:$AS3904="✓")),"")</f>
        <v/>
      </c>
      <c r="BA3904" s="21" t="str">
        <f>IF($AL3904="","",$AL3904&amp;"|"&amp;COUNTIF($AL$11:$AL3904,$AL3904))</f>
        <v/>
      </c>
    </row>
    <row r="3905" spans="38:53" ht="15" customHeight="1" x14ac:dyDescent="0.25">
      <c r="AL3905" s="17"/>
      <c r="AM3905" s="12"/>
      <c r="AN3905" s="18"/>
      <c r="AO3905" s="18"/>
      <c r="AP3905" s="10"/>
      <c r="AQ3905" s="10"/>
      <c r="AR3905" s="19"/>
      <c r="AS3905" s="20"/>
      <c r="AT3905" s="19"/>
      <c r="AV3905" s="21">
        <f>IF(AND($AL3905&lt;&gt;"",COUNTIF($AL$11:$AL3905,$AL3905)=1),1,0)</f>
        <v>0</v>
      </c>
      <c r="AW3905" s="21">
        <f t="shared" si="207"/>
        <v>0</v>
      </c>
      <c r="AX3905" s="21" t="str">
        <f t="shared" si="206"/>
        <v/>
      </c>
      <c r="AY3905" s="21" t="str">
        <f>IF(AND($AM3905&lt;&gt;"",$AS3905&lt;&gt;"✓"),SUMPRODUCT(($AM$11:$AM3905&lt;&gt;"")*($AS$11:$AS3905&lt;&gt;"✓")),"")</f>
        <v/>
      </c>
      <c r="AZ3905" s="21" t="str">
        <f>IF(AND($AM3905&lt;&gt;"",$AS3905="✓"),SUMPRODUCT(($AM$11:$AM3905&lt;&gt;"")*($AS$11:$AS3905="✓")),"")</f>
        <v/>
      </c>
      <c r="BA3905" s="21" t="str">
        <f>IF($AL3905="","",$AL3905&amp;"|"&amp;COUNTIF($AL$11:$AL3905,$AL3905))</f>
        <v/>
      </c>
    </row>
    <row r="3906" spans="38:53" ht="15" customHeight="1" x14ac:dyDescent="0.25">
      <c r="AL3906" s="31"/>
      <c r="AM3906" s="26"/>
      <c r="AN3906" s="32"/>
      <c r="AO3906" s="32"/>
      <c r="AP3906" s="24"/>
      <c r="AQ3906" s="24"/>
      <c r="AR3906" s="33"/>
      <c r="AS3906" s="34"/>
      <c r="AT3906" s="33"/>
      <c r="AV3906" s="21">
        <f>IF(AND($AL3906&lt;&gt;"",COUNTIF($AL$11:$AL3906,$AL3906)=1),1,0)</f>
        <v>0</v>
      </c>
      <c r="AW3906" s="21">
        <f t="shared" si="207"/>
        <v>0</v>
      </c>
      <c r="AX3906" s="21" t="str">
        <f t="shared" si="206"/>
        <v/>
      </c>
      <c r="AY3906" s="21" t="str">
        <f>IF(AND($AM3906&lt;&gt;"",$AS3906&lt;&gt;"✓"),SUMPRODUCT(($AM$11:$AM3906&lt;&gt;"")*($AS$11:$AS3906&lt;&gt;"✓")),"")</f>
        <v/>
      </c>
      <c r="AZ3906" s="21" t="str">
        <f>IF(AND($AM3906&lt;&gt;"",$AS3906="✓"),SUMPRODUCT(($AM$11:$AM3906&lt;&gt;"")*($AS$11:$AS3906="✓")),"")</f>
        <v/>
      </c>
      <c r="BA3906" s="21" t="str">
        <f>IF($AL3906="","",$AL3906&amp;"|"&amp;COUNTIF($AL$11:$AL3906,$AL3906))</f>
        <v/>
      </c>
    </row>
    <row r="3907" spans="38:53" ht="15" customHeight="1" x14ac:dyDescent="0.25">
      <c r="AL3907" s="17"/>
      <c r="AM3907" s="12"/>
      <c r="AN3907" s="18"/>
      <c r="AO3907" s="18"/>
      <c r="AP3907" s="10"/>
      <c r="AQ3907" s="10"/>
      <c r="AR3907" s="19"/>
      <c r="AS3907" s="20"/>
      <c r="AT3907" s="19"/>
      <c r="AV3907" s="21">
        <f>IF(AND($AL3907&lt;&gt;"",COUNTIF($AL$11:$AL3907,$AL3907)=1),1,0)</f>
        <v>0</v>
      </c>
      <c r="AW3907" s="21">
        <f t="shared" si="207"/>
        <v>0</v>
      </c>
      <c r="AX3907" s="21" t="str">
        <f t="shared" si="206"/>
        <v/>
      </c>
      <c r="AY3907" s="21" t="str">
        <f>IF(AND($AM3907&lt;&gt;"",$AS3907&lt;&gt;"✓"),SUMPRODUCT(($AM$11:$AM3907&lt;&gt;"")*($AS$11:$AS3907&lt;&gt;"✓")),"")</f>
        <v/>
      </c>
      <c r="AZ3907" s="21" t="str">
        <f>IF(AND($AM3907&lt;&gt;"",$AS3907="✓"),SUMPRODUCT(($AM$11:$AM3907&lt;&gt;"")*($AS$11:$AS3907="✓")),"")</f>
        <v/>
      </c>
      <c r="BA3907" s="21" t="str">
        <f>IF($AL3907="","",$AL3907&amp;"|"&amp;COUNTIF($AL$11:$AL3907,$AL3907))</f>
        <v/>
      </c>
    </row>
    <row r="3908" spans="38:53" ht="15" customHeight="1" x14ac:dyDescent="0.25">
      <c r="AL3908" s="31"/>
      <c r="AM3908" s="26"/>
      <c r="AN3908" s="32"/>
      <c r="AO3908" s="32"/>
      <c r="AP3908" s="24"/>
      <c r="AQ3908" s="24"/>
      <c r="AR3908" s="33"/>
      <c r="AS3908" s="34"/>
      <c r="AT3908" s="33"/>
      <c r="AV3908" s="21">
        <f>IF(AND($AL3908&lt;&gt;"",COUNTIF($AL$11:$AL3908,$AL3908)=1),1,0)</f>
        <v>0</v>
      </c>
      <c r="AW3908" s="21">
        <f t="shared" si="207"/>
        <v>0</v>
      </c>
      <c r="AX3908" s="21" t="str">
        <f t="shared" si="206"/>
        <v/>
      </c>
      <c r="AY3908" s="21" t="str">
        <f>IF(AND($AM3908&lt;&gt;"",$AS3908&lt;&gt;"✓"),SUMPRODUCT(($AM$11:$AM3908&lt;&gt;"")*($AS$11:$AS3908&lt;&gt;"✓")),"")</f>
        <v/>
      </c>
      <c r="AZ3908" s="21" t="str">
        <f>IF(AND($AM3908&lt;&gt;"",$AS3908="✓"),SUMPRODUCT(($AM$11:$AM3908&lt;&gt;"")*($AS$11:$AS3908="✓")),"")</f>
        <v/>
      </c>
      <c r="BA3908" s="21" t="str">
        <f>IF($AL3908="","",$AL3908&amp;"|"&amp;COUNTIF($AL$11:$AL3908,$AL3908))</f>
        <v/>
      </c>
    </row>
    <row r="3909" spans="38:53" ht="15" customHeight="1" x14ac:dyDescent="0.25">
      <c r="AL3909" s="17"/>
      <c r="AM3909" s="12"/>
      <c r="AN3909" s="18"/>
      <c r="AO3909" s="18"/>
      <c r="AP3909" s="10"/>
      <c r="AQ3909" s="10"/>
      <c r="AR3909" s="19"/>
      <c r="AS3909" s="20"/>
      <c r="AT3909" s="19"/>
      <c r="AV3909" s="21">
        <f>IF(AND($AL3909&lt;&gt;"",COUNTIF($AL$11:$AL3909,$AL3909)=1),1,0)</f>
        <v>0</v>
      </c>
      <c r="AW3909" s="21">
        <f t="shared" si="207"/>
        <v>0</v>
      </c>
      <c r="AX3909" s="21" t="str">
        <f t="shared" si="206"/>
        <v/>
      </c>
      <c r="AY3909" s="21" t="str">
        <f>IF(AND($AM3909&lt;&gt;"",$AS3909&lt;&gt;"✓"),SUMPRODUCT(($AM$11:$AM3909&lt;&gt;"")*($AS$11:$AS3909&lt;&gt;"✓")),"")</f>
        <v/>
      </c>
      <c r="AZ3909" s="21" t="str">
        <f>IF(AND($AM3909&lt;&gt;"",$AS3909="✓"),SUMPRODUCT(($AM$11:$AM3909&lt;&gt;"")*($AS$11:$AS3909="✓")),"")</f>
        <v/>
      </c>
      <c r="BA3909" s="21" t="str">
        <f>IF($AL3909="","",$AL3909&amp;"|"&amp;COUNTIF($AL$11:$AL3909,$AL3909))</f>
        <v/>
      </c>
    </row>
    <row r="3910" spans="38:53" ht="15" customHeight="1" x14ac:dyDescent="0.25">
      <c r="AL3910" s="31"/>
      <c r="AM3910" s="26"/>
      <c r="AN3910" s="32"/>
      <c r="AO3910" s="32"/>
      <c r="AP3910" s="24"/>
      <c r="AQ3910" s="24"/>
      <c r="AR3910" s="33"/>
      <c r="AS3910" s="34"/>
      <c r="AT3910" s="33"/>
      <c r="AV3910" s="21">
        <f>IF(AND($AL3910&lt;&gt;"",COUNTIF($AL$11:$AL3910,$AL3910)=1),1,0)</f>
        <v>0</v>
      </c>
      <c r="AW3910" s="21">
        <f t="shared" si="207"/>
        <v>0</v>
      </c>
      <c r="AX3910" s="21" t="str">
        <f t="shared" si="206"/>
        <v/>
      </c>
      <c r="AY3910" s="21" t="str">
        <f>IF(AND($AM3910&lt;&gt;"",$AS3910&lt;&gt;"✓"),SUMPRODUCT(($AM$11:$AM3910&lt;&gt;"")*($AS$11:$AS3910&lt;&gt;"✓")),"")</f>
        <v/>
      </c>
      <c r="AZ3910" s="21" t="str">
        <f>IF(AND($AM3910&lt;&gt;"",$AS3910="✓"),SUMPRODUCT(($AM$11:$AM3910&lt;&gt;"")*($AS$11:$AS3910="✓")),"")</f>
        <v/>
      </c>
      <c r="BA3910" s="21" t="str">
        <f>IF($AL3910="","",$AL3910&amp;"|"&amp;COUNTIF($AL$11:$AL3910,$AL3910))</f>
        <v/>
      </c>
    </row>
    <row r="3911" spans="38:53" ht="15" customHeight="1" x14ac:dyDescent="0.25">
      <c r="AL3911" s="17"/>
      <c r="AM3911" s="12"/>
      <c r="AN3911" s="18"/>
      <c r="AO3911" s="18"/>
      <c r="AP3911" s="10"/>
      <c r="AQ3911" s="10"/>
      <c r="AR3911" s="19"/>
      <c r="AS3911" s="20"/>
      <c r="AT3911" s="19"/>
      <c r="AV3911" s="21">
        <f>IF(AND($AL3911&lt;&gt;"",COUNTIF($AL$11:$AL3911,$AL3911)=1),1,0)</f>
        <v>0</v>
      </c>
      <c r="AW3911" s="21">
        <f t="shared" si="207"/>
        <v>0</v>
      </c>
      <c r="AX3911" s="21" t="str">
        <f t="shared" si="206"/>
        <v/>
      </c>
      <c r="AY3911" s="21" t="str">
        <f>IF(AND($AM3911&lt;&gt;"",$AS3911&lt;&gt;"✓"),SUMPRODUCT(($AM$11:$AM3911&lt;&gt;"")*($AS$11:$AS3911&lt;&gt;"✓")),"")</f>
        <v/>
      </c>
      <c r="AZ3911" s="21" t="str">
        <f>IF(AND($AM3911&lt;&gt;"",$AS3911="✓"),SUMPRODUCT(($AM$11:$AM3911&lt;&gt;"")*($AS$11:$AS3911="✓")),"")</f>
        <v/>
      </c>
      <c r="BA3911" s="21" t="str">
        <f>IF($AL3911="","",$AL3911&amp;"|"&amp;COUNTIF($AL$11:$AL3911,$AL3911))</f>
        <v/>
      </c>
    </row>
    <row r="3912" spans="38:53" ht="15" customHeight="1" x14ac:dyDescent="0.25">
      <c r="AL3912" s="31"/>
      <c r="AM3912" s="26"/>
      <c r="AN3912" s="32"/>
      <c r="AO3912" s="32"/>
      <c r="AP3912" s="24"/>
      <c r="AQ3912" s="24"/>
      <c r="AR3912" s="33"/>
      <c r="AS3912" s="34"/>
      <c r="AT3912" s="33"/>
      <c r="AV3912" s="21">
        <f>IF(AND($AL3912&lt;&gt;"",COUNTIF($AL$11:$AL3912,$AL3912)=1),1,0)</f>
        <v>0</v>
      </c>
      <c r="AW3912" s="21">
        <f t="shared" si="207"/>
        <v>0</v>
      </c>
      <c r="AX3912" s="21" t="str">
        <f t="shared" si="206"/>
        <v/>
      </c>
      <c r="AY3912" s="21" t="str">
        <f>IF(AND($AM3912&lt;&gt;"",$AS3912&lt;&gt;"✓"),SUMPRODUCT(($AM$11:$AM3912&lt;&gt;"")*($AS$11:$AS3912&lt;&gt;"✓")),"")</f>
        <v/>
      </c>
      <c r="AZ3912" s="21" t="str">
        <f>IF(AND($AM3912&lt;&gt;"",$AS3912="✓"),SUMPRODUCT(($AM$11:$AM3912&lt;&gt;"")*($AS$11:$AS3912="✓")),"")</f>
        <v/>
      </c>
      <c r="BA3912" s="21" t="str">
        <f>IF($AL3912="","",$AL3912&amp;"|"&amp;COUNTIF($AL$11:$AL3912,$AL3912))</f>
        <v/>
      </c>
    </row>
    <row r="3913" spans="38:53" ht="15" customHeight="1" x14ac:dyDescent="0.25">
      <c r="AL3913" s="17"/>
      <c r="AM3913" s="12"/>
      <c r="AN3913" s="18"/>
      <c r="AO3913" s="18"/>
      <c r="AP3913" s="10"/>
      <c r="AQ3913" s="10"/>
      <c r="AR3913" s="19"/>
      <c r="AS3913" s="20"/>
      <c r="AT3913" s="19"/>
      <c r="AV3913" s="21">
        <f>IF(AND($AL3913&lt;&gt;"",COUNTIF($AL$11:$AL3913,$AL3913)=1),1,0)</f>
        <v>0</v>
      </c>
      <c r="AW3913" s="21">
        <f t="shared" si="207"/>
        <v>0</v>
      </c>
      <c r="AX3913" s="21" t="str">
        <f t="shared" si="206"/>
        <v/>
      </c>
      <c r="AY3913" s="21" t="str">
        <f>IF(AND($AM3913&lt;&gt;"",$AS3913&lt;&gt;"✓"),SUMPRODUCT(($AM$11:$AM3913&lt;&gt;"")*($AS$11:$AS3913&lt;&gt;"✓")),"")</f>
        <v/>
      </c>
      <c r="AZ3913" s="21" t="str">
        <f>IF(AND($AM3913&lt;&gt;"",$AS3913="✓"),SUMPRODUCT(($AM$11:$AM3913&lt;&gt;"")*($AS$11:$AS3913="✓")),"")</f>
        <v/>
      </c>
      <c r="BA3913" s="21" t="str">
        <f>IF($AL3913="","",$AL3913&amp;"|"&amp;COUNTIF($AL$11:$AL3913,$AL3913))</f>
        <v/>
      </c>
    </row>
    <row r="3914" spans="38:53" ht="15" customHeight="1" x14ac:dyDescent="0.25">
      <c r="AL3914" s="31"/>
      <c r="AM3914" s="26"/>
      <c r="AN3914" s="32"/>
      <c r="AO3914" s="32"/>
      <c r="AP3914" s="24"/>
      <c r="AQ3914" s="24"/>
      <c r="AR3914" s="33"/>
      <c r="AS3914" s="34"/>
      <c r="AT3914" s="33"/>
      <c r="AV3914" s="21">
        <f>IF(AND($AL3914&lt;&gt;"",COUNTIF($AL$11:$AL3914,$AL3914)=1),1,0)</f>
        <v>0</v>
      </c>
      <c r="AW3914" s="21">
        <f t="shared" si="207"/>
        <v>0</v>
      </c>
      <c r="AX3914" s="21" t="str">
        <f t="shared" si="206"/>
        <v/>
      </c>
      <c r="AY3914" s="21" t="str">
        <f>IF(AND($AM3914&lt;&gt;"",$AS3914&lt;&gt;"✓"),SUMPRODUCT(($AM$11:$AM3914&lt;&gt;"")*($AS$11:$AS3914&lt;&gt;"✓")),"")</f>
        <v/>
      </c>
      <c r="AZ3914" s="21" t="str">
        <f>IF(AND($AM3914&lt;&gt;"",$AS3914="✓"),SUMPRODUCT(($AM$11:$AM3914&lt;&gt;"")*($AS$11:$AS3914="✓")),"")</f>
        <v/>
      </c>
      <c r="BA3914" s="21" t="str">
        <f>IF($AL3914="","",$AL3914&amp;"|"&amp;COUNTIF($AL$11:$AL3914,$AL3914))</f>
        <v/>
      </c>
    </row>
    <row r="3915" spans="38:53" ht="15" customHeight="1" x14ac:dyDescent="0.25">
      <c r="AL3915" s="17"/>
      <c r="AM3915" s="12"/>
      <c r="AN3915" s="18"/>
      <c r="AO3915" s="18"/>
      <c r="AP3915" s="10"/>
      <c r="AQ3915" s="10"/>
      <c r="AR3915" s="19"/>
      <c r="AS3915" s="20"/>
      <c r="AT3915" s="19"/>
      <c r="AV3915" s="21">
        <f>IF(AND($AL3915&lt;&gt;"",COUNTIF($AL$11:$AL3915,$AL3915)=1),1,0)</f>
        <v>0</v>
      </c>
      <c r="AW3915" s="21">
        <f t="shared" si="207"/>
        <v>0</v>
      </c>
      <c r="AX3915" s="21" t="str">
        <f t="shared" ref="AX3915:AX3978" si="208">IF(AV3915=1,AW3915,"")</f>
        <v/>
      </c>
      <c r="AY3915" s="21" t="str">
        <f>IF(AND($AM3915&lt;&gt;"",$AS3915&lt;&gt;"✓"),SUMPRODUCT(($AM$11:$AM3915&lt;&gt;"")*($AS$11:$AS3915&lt;&gt;"✓")),"")</f>
        <v/>
      </c>
      <c r="AZ3915" s="21" t="str">
        <f>IF(AND($AM3915&lt;&gt;"",$AS3915="✓"),SUMPRODUCT(($AM$11:$AM3915&lt;&gt;"")*($AS$11:$AS3915="✓")),"")</f>
        <v/>
      </c>
      <c r="BA3915" s="21" t="str">
        <f>IF($AL3915="","",$AL3915&amp;"|"&amp;COUNTIF($AL$11:$AL3915,$AL3915))</f>
        <v/>
      </c>
    </row>
    <row r="3916" spans="38:53" ht="15" customHeight="1" x14ac:dyDescent="0.25">
      <c r="AL3916" s="31"/>
      <c r="AM3916" s="26"/>
      <c r="AN3916" s="32"/>
      <c r="AO3916" s="32"/>
      <c r="AP3916" s="24"/>
      <c r="AQ3916" s="24"/>
      <c r="AR3916" s="33"/>
      <c r="AS3916" s="34"/>
      <c r="AT3916" s="33"/>
      <c r="AV3916" s="21">
        <f>IF(AND($AL3916&lt;&gt;"",COUNTIF($AL$11:$AL3916,$AL3916)=1),1,0)</f>
        <v>0</v>
      </c>
      <c r="AW3916" s="21">
        <f t="shared" ref="AW3916:AW3979" si="209">AW3915+AV3916</f>
        <v>0</v>
      </c>
      <c r="AX3916" s="21" t="str">
        <f t="shared" si="208"/>
        <v/>
      </c>
      <c r="AY3916" s="21" t="str">
        <f>IF(AND($AM3916&lt;&gt;"",$AS3916&lt;&gt;"✓"),SUMPRODUCT(($AM$11:$AM3916&lt;&gt;"")*($AS$11:$AS3916&lt;&gt;"✓")),"")</f>
        <v/>
      </c>
      <c r="AZ3916" s="21" t="str">
        <f>IF(AND($AM3916&lt;&gt;"",$AS3916="✓"),SUMPRODUCT(($AM$11:$AM3916&lt;&gt;"")*($AS$11:$AS3916="✓")),"")</f>
        <v/>
      </c>
      <c r="BA3916" s="21" t="str">
        <f>IF($AL3916="","",$AL3916&amp;"|"&amp;COUNTIF($AL$11:$AL3916,$AL3916))</f>
        <v/>
      </c>
    </row>
    <row r="3917" spans="38:53" ht="15" customHeight="1" x14ac:dyDescent="0.25">
      <c r="AL3917" s="17"/>
      <c r="AM3917" s="12"/>
      <c r="AN3917" s="18"/>
      <c r="AO3917" s="18"/>
      <c r="AP3917" s="10"/>
      <c r="AQ3917" s="10"/>
      <c r="AR3917" s="19"/>
      <c r="AS3917" s="20"/>
      <c r="AT3917" s="19"/>
      <c r="AV3917" s="21">
        <f>IF(AND($AL3917&lt;&gt;"",COUNTIF($AL$11:$AL3917,$AL3917)=1),1,0)</f>
        <v>0</v>
      </c>
      <c r="AW3917" s="21">
        <f t="shared" si="209"/>
        <v>0</v>
      </c>
      <c r="AX3917" s="21" t="str">
        <f t="shared" si="208"/>
        <v/>
      </c>
      <c r="AY3917" s="21" t="str">
        <f>IF(AND($AM3917&lt;&gt;"",$AS3917&lt;&gt;"✓"),SUMPRODUCT(($AM$11:$AM3917&lt;&gt;"")*($AS$11:$AS3917&lt;&gt;"✓")),"")</f>
        <v/>
      </c>
      <c r="AZ3917" s="21" t="str">
        <f>IF(AND($AM3917&lt;&gt;"",$AS3917="✓"),SUMPRODUCT(($AM$11:$AM3917&lt;&gt;"")*($AS$11:$AS3917="✓")),"")</f>
        <v/>
      </c>
      <c r="BA3917" s="21" t="str">
        <f>IF($AL3917="","",$AL3917&amp;"|"&amp;COUNTIF($AL$11:$AL3917,$AL3917))</f>
        <v/>
      </c>
    </row>
    <row r="3918" spans="38:53" ht="15" customHeight="1" x14ac:dyDescent="0.25">
      <c r="AL3918" s="31"/>
      <c r="AM3918" s="26"/>
      <c r="AN3918" s="32"/>
      <c r="AO3918" s="32"/>
      <c r="AP3918" s="24"/>
      <c r="AQ3918" s="24"/>
      <c r="AR3918" s="33"/>
      <c r="AS3918" s="34"/>
      <c r="AT3918" s="33"/>
      <c r="AV3918" s="21">
        <f>IF(AND($AL3918&lt;&gt;"",COUNTIF($AL$11:$AL3918,$AL3918)=1),1,0)</f>
        <v>0</v>
      </c>
      <c r="AW3918" s="21">
        <f t="shared" si="209"/>
        <v>0</v>
      </c>
      <c r="AX3918" s="21" t="str">
        <f t="shared" si="208"/>
        <v/>
      </c>
      <c r="AY3918" s="21" t="str">
        <f>IF(AND($AM3918&lt;&gt;"",$AS3918&lt;&gt;"✓"),SUMPRODUCT(($AM$11:$AM3918&lt;&gt;"")*($AS$11:$AS3918&lt;&gt;"✓")),"")</f>
        <v/>
      </c>
      <c r="AZ3918" s="21" t="str">
        <f>IF(AND($AM3918&lt;&gt;"",$AS3918="✓"),SUMPRODUCT(($AM$11:$AM3918&lt;&gt;"")*($AS$11:$AS3918="✓")),"")</f>
        <v/>
      </c>
      <c r="BA3918" s="21" t="str">
        <f>IF($AL3918="","",$AL3918&amp;"|"&amp;COUNTIF($AL$11:$AL3918,$AL3918))</f>
        <v/>
      </c>
    </row>
    <row r="3919" spans="38:53" ht="15" customHeight="1" x14ac:dyDescent="0.25">
      <c r="AL3919" s="17"/>
      <c r="AM3919" s="12"/>
      <c r="AN3919" s="18"/>
      <c r="AO3919" s="18"/>
      <c r="AP3919" s="10"/>
      <c r="AQ3919" s="10"/>
      <c r="AR3919" s="19"/>
      <c r="AS3919" s="20"/>
      <c r="AT3919" s="19"/>
      <c r="AV3919" s="21">
        <f>IF(AND($AL3919&lt;&gt;"",COUNTIF($AL$11:$AL3919,$AL3919)=1),1,0)</f>
        <v>0</v>
      </c>
      <c r="AW3919" s="21">
        <f t="shared" si="209"/>
        <v>0</v>
      </c>
      <c r="AX3919" s="21" t="str">
        <f t="shared" si="208"/>
        <v/>
      </c>
      <c r="AY3919" s="21" t="str">
        <f>IF(AND($AM3919&lt;&gt;"",$AS3919&lt;&gt;"✓"),SUMPRODUCT(($AM$11:$AM3919&lt;&gt;"")*($AS$11:$AS3919&lt;&gt;"✓")),"")</f>
        <v/>
      </c>
      <c r="AZ3919" s="21" t="str">
        <f>IF(AND($AM3919&lt;&gt;"",$AS3919="✓"),SUMPRODUCT(($AM$11:$AM3919&lt;&gt;"")*($AS$11:$AS3919="✓")),"")</f>
        <v/>
      </c>
      <c r="BA3919" s="21" t="str">
        <f>IF($AL3919="","",$AL3919&amp;"|"&amp;COUNTIF($AL$11:$AL3919,$AL3919))</f>
        <v/>
      </c>
    </row>
    <row r="3920" spans="38:53" ht="15" customHeight="1" x14ac:dyDescent="0.25">
      <c r="AL3920" s="31"/>
      <c r="AM3920" s="26"/>
      <c r="AN3920" s="32"/>
      <c r="AO3920" s="32"/>
      <c r="AP3920" s="24"/>
      <c r="AQ3920" s="24"/>
      <c r="AR3920" s="33"/>
      <c r="AS3920" s="34"/>
      <c r="AT3920" s="33"/>
      <c r="AV3920" s="21">
        <f>IF(AND($AL3920&lt;&gt;"",COUNTIF($AL$11:$AL3920,$AL3920)=1),1,0)</f>
        <v>0</v>
      </c>
      <c r="AW3920" s="21">
        <f t="shared" si="209"/>
        <v>0</v>
      </c>
      <c r="AX3920" s="21" t="str">
        <f t="shared" si="208"/>
        <v/>
      </c>
      <c r="AY3920" s="21" t="str">
        <f>IF(AND($AM3920&lt;&gt;"",$AS3920&lt;&gt;"✓"),SUMPRODUCT(($AM$11:$AM3920&lt;&gt;"")*($AS$11:$AS3920&lt;&gt;"✓")),"")</f>
        <v/>
      </c>
      <c r="AZ3920" s="21" t="str">
        <f>IF(AND($AM3920&lt;&gt;"",$AS3920="✓"),SUMPRODUCT(($AM$11:$AM3920&lt;&gt;"")*($AS$11:$AS3920="✓")),"")</f>
        <v/>
      </c>
      <c r="BA3920" s="21" t="str">
        <f>IF($AL3920="","",$AL3920&amp;"|"&amp;COUNTIF($AL$11:$AL3920,$AL3920))</f>
        <v/>
      </c>
    </row>
    <row r="3921" spans="38:53" ht="15" customHeight="1" x14ac:dyDescent="0.25">
      <c r="AL3921" s="17"/>
      <c r="AM3921" s="12"/>
      <c r="AN3921" s="18"/>
      <c r="AO3921" s="18"/>
      <c r="AP3921" s="10"/>
      <c r="AQ3921" s="10"/>
      <c r="AR3921" s="19"/>
      <c r="AS3921" s="20"/>
      <c r="AT3921" s="19"/>
      <c r="AV3921" s="21">
        <f>IF(AND($AL3921&lt;&gt;"",COUNTIF($AL$11:$AL3921,$AL3921)=1),1,0)</f>
        <v>0</v>
      </c>
      <c r="AW3921" s="21">
        <f t="shared" si="209"/>
        <v>0</v>
      </c>
      <c r="AX3921" s="21" t="str">
        <f t="shared" si="208"/>
        <v/>
      </c>
      <c r="AY3921" s="21" t="str">
        <f>IF(AND($AM3921&lt;&gt;"",$AS3921&lt;&gt;"✓"),SUMPRODUCT(($AM$11:$AM3921&lt;&gt;"")*($AS$11:$AS3921&lt;&gt;"✓")),"")</f>
        <v/>
      </c>
      <c r="AZ3921" s="21" t="str">
        <f>IF(AND($AM3921&lt;&gt;"",$AS3921="✓"),SUMPRODUCT(($AM$11:$AM3921&lt;&gt;"")*($AS$11:$AS3921="✓")),"")</f>
        <v/>
      </c>
      <c r="BA3921" s="21" t="str">
        <f>IF($AL3921="","",$AL3921&amp;"|"&amp;COUNTIF($AL$11:$AL3921,$AL3921))</f>
        <v/>
      </c>
    </row>
    <row r="3922" spans="38:53" ht="15" customHeight="1" x14ac:dyDescent="0.25">
      <c r="AL3922" s="31"/>
      <c r="AM3922" s="26"/>
      <c r="AN3922" s="32"/>
      <c r="AO3922" s="32"/>
      <c r="AP3922" s="24"/>
      <c r="AQ3922" s="24"/>
      <c r="AR3922" s="33"/>
      <c r="AS3922" s="34"/>
      <c r="AT3922" s="33"/>
      <c r="AV3922" s="21">
        <f>IF(AND($AL3922&lt;&gt;"",COUNTIF($AL$11:$AL3922,$AL3922)=1),1,0)</f>
        <v>0</v>
      </c>
      <c r="AW3922" s="21">
        <f t="shared" si="209"/>
        <v>0</v>
      </c>
      <c r="AX3922" s="21" t="str">
        <f t="shared" si="208"/>
        <v/>
      </c>
      <c r="AY3922" s="21" t="str">
        <f>IF(AND($AM3922&lt;&gt;"",$AS3922&lt;&gt;"✓"),SUMPRODUCT(($AM$11:$AM3922&lt;&gt;"")*($AS$11:$AS3922&lt;&gt;"✓")),"")</f>
        <v/>
      </c>
      <c r="AZ3922" s="21" t="str">
        <f>IF(AND($AM3922&lt;&gt;"",$AS3922="✓"),SUMPRODUCT(($AM$11:$AM3922&lt;&gt;"")*($AS$11:$AS3922="✓")),"")</f>
        <v/>
      </c>
      <c r="BA3922" s="21" t="str">
        <f>IF($AL3922="","",$AL3922&amp;"|"&amp;COUNTIF($AL$11:$AL3922,$AL3922))</f>
        <v/>
      </c>
    </row>
    <row r="3923" spans="38:53" ht="15" customHeight="1" x14ac:dyDescent="0.25">
      <c r="AL3923" s="17"/>
      <c r="AM3923" s="12"/>
      <c r="AN3923" s="18"/>
      <c r="AO3923" s="18"/>
      <c r="AP3923" s="10"/>
      <c r="AQ3923" s="10"/>
      <c r="AR3923" s="19"/>
      <c r="AS3923" s="20"/>
      <c r="AT3923" s="19"/>
      <c r="AV3923" s="21">
        <f>IF(AND($AL3923&lt;&gt;"",COUNTIF($AL$11:$AL3923,$AL3923)=1),1,0)</f>
        <v>0</v>
      </c>
      <c r="AW3923" s="21">
        <f t="shared" si="209"/>
        <v>0</v>
      </c>
      <c r="AX3923" s="21" t="str">
        <f t="shared" si="208"/>
        <v/>
      </c>
      <c r="AY3923" s="21" t="str">
        <f>IF(AND($AM3923&lt;&gt;"",$AS3923&lt;&gt;"✓"),SUMPRODUCT(($AM$11:$AM3923&lt;&gt;"")*($AS$11:$AS3923&lt;&gt;"✓")),"")</f>
        <v/>
      </c>
      <c r="AZ3923" s="21" t="str">
        <f>IF(AND($AM3923&lt;&gt;"",$AS3923="✓"),SUMPRODUCT(($AM$11:$AM3923&lt;&gt;"")*($AS$11:$AS3923="✓")),"")</f>
        <v/>
      </c>
      <c r="BA3923" s="21" t="str">
        <f>IF($AL3923="","",$AL3923&amp;"|"&amp;COUNTIF($AL$11:$AL3923,$AL3923))</f>
        <v/>
      </c>
    </row>
    <row r="3924" spans="38:53" ht="15" customHeight="1" x14ac:dyDescent="0.25">
      <c r="AL3924" s="31"/>
      <c r="AM3924" s="26"/>
      <c r="AN3924" s="32"/>
      <c r="AO3924" s="32"/>
      <c r="AP3924" s="24"/>
      <c r="AQ3924" s="24"/>
      <c r="AR3924" s="33"/>
      <c r="AS3924" s="34"/>
      <c r="AT3924" s="33"/>
      <c r="AV3924" s="21">
        <f>IF(AND($AL3924&lt;&gt;"",COUNTIF($AL$11:$AL3924,$AL3924)=1),1,0)</f>
        <v>0</v>
      </c>
      <c r="AW3924" s="21">
        <f t="shared" si="209"/>
        <v>0</v>
      </c>
      <c r="AX3924" s="21" t="str">
        <f t="shared" si="208"/>
        <v/>
      </c>
      <c r="AY3924" s="21" t="str">
        <f>IF(AND($AM3924&lt;&gt;"",$AS3924&lt;&gt;"✓"),SUMPRODUCT(($AM$11:$AM3924&lt;&gt;"")*($AS$11:$AS3924&lt;&gt;"✓")),"")</f>
        <v/>
      </c>
      <c r="AZ3924" s="21" t="str">
        <f>IF(AND($AM3924&lt;&gt;"",$AS3924="✓"),SUMPRODUCT(($AM$11:$AM3924&lt;&gt;"")*($AS$11:$AS3924="✓")),"")</f>
        <v/>
      </c>
      <c r="BA3924" s="21" t="str">
        <f>IF($AL3924="","",$AL3924&amp;"|"&amp;COUNTIF($AL$11:$AL3924,$AL3924))</f>
        <v/>
      </c>
    </row>
    <row r="3925" spans="38:53" ht="15" customHeight="1" x14ac:dyDescent="0.25">
      <c r="AL3925" s="17"/>
      <c r="AM3925" s="12"/>
      <c r="AN3925" s="18"/>
      <c r="AO3925" s="18"/>
      <c r="AP3925" s="10"/>
      <c r="AQ3925" s="10"/>
      <c r="AR3925" s="19"/>
      <c r="AS3925" s="20"/>
      <c r="AT3925" s="19"/>
      <c r="AV3925" s="21">
        <f>IF(AND($AL3925&lt;&gt;"",COUNTIF($AL$11:$AL3925,$AL3925)=1),1,0)</f>
        <v>0</v>
      </c>
      <c r="AW3925" s="21">
        <f t="shared" si="209"/>
        <v>0</v>
      </c>
      <c r="AX3925" s="21" t="str">
        <f t="shared" si="208"/>
        <v/>
      </c>
      <c r="AY3925" s="21" t="str">
        <f>IF(AND($AM3925&lt;&gt;"",$AS3925&lt;&gt;"✓"),SUMPRODUCT(($AM$11:$AM3925&lt;&gt;"")*($AS$11:$AS3925&lt;&gt;"✓")),"")</f>
        <v/>
      </c>
      <c r="AZ3925" s="21" t="str">
        <f>IF(AND($AM3925&lt;&gt;"",$AS3925="✓"),SUMPRODUCT(($AM$11:$AM3925&lt;&gt;"")*($AS$11:$AS3925="✓")),"")</f>
        <v/>
      </c>
      <c r="BA3925" s="21" t="str">
        <f>IF($AL3925="","",$AL3925&amp;"|"&amp;COUNTIF($AL$11:$AL3925,$AL3925))</f>
        <v/>
      </c>
    </row>
    <row r="3926" spans="38:53" ht="15" customHeight="1" x14ac:dyDescent="0.25">
      <c r="AL3926" s="31"/>
      <c r="AM3926" s="26"/>
      <c r="AN3926" s="32"/>
      <c r="AO3926" s="32"/>
      <c r="AP3926" s="24"/>
      <c r="AQ3926" s="24"/>
      <c r="AR3926" s="33"/>
      <c r="AS3926" s="34"/>
      <c r="AT3926" s="33"/>
      <c r="AV3926" s="21">
        <f>IF(AND($AL3926&lt;&gt;"",COUNTIF($AL$11:$AL3926,$AL3926)=1),1,0)</f>
        <v>0</v>
      </c>
      <c r="AW3926" s="21">
        <f t="shared" si="209"/>
        <v>0</v>
      </c>
      <c r="AX3926" s="21" t="str">
        <f t="shared" si="208"/>
        <v/>
      </c>
      <c r="AY3926" s="21" t="str">
        <f>IF(AND($AM3926&lt;&gt;"",$AS3926&lt;&gt;"✓"),SUMPRODUCT(($AM$11:$AM3926&lt;&gt;"")*($AS$11:$AS3926&lt;&gt;"✓")),"")</f>
        <v/>
      </c>
      <c r="AZ3926" s="21" t="str">
        <f>IF(AND($AM3926&lt;&gt;"",$AS3926="✓"),SUMPRODUCT(($AM$11:$AM3926&lt;&gt;"")*($AS$11:$AS3926="✓")),"")</f>
        <v/>
      </c>
      <c r="BA3926" s="21" t="str">
        <f>IF($AL3926="","",$AL3926&amp;"|"&amp;COUNTIF($AL$11:$AL3926,$AL3926))</f>
        <v/>
      </c>
    </row>
    <row r="3927" spans="38:53" ht="15" customHeight="1" x14ac:dyDescent="0.25">
      <c r="AL3927" s="17"/>
      <c r="AM3927" s="12"/>
      <c r="AN3927" s="18"/>
      <c r="AO3927" s="18"/>
      <c r="AP3927" s="10"/>
      <c r="AQ3927" s="10"/>
      <c r="AR3927" s="19"/>
      <c r="AS3927" s="20"/>
      <c r="AT3927" s="19"/>
      <c r="AV3927" s="21">
        <f>IF(AND($AL3927&lt;&gt;"",COUNTIF($AL$11:$AL3927,$AL3927)=1),1,0)</f>
        <v>0</v>
      </c>
      <c r="AW3927" s="21">
        <f t="shared" si="209"/>
        <v>0</v>
      </c>
      <c r="AX3927" s="21" t="str">
        <f t="shared" si="208"/>
        <v/>
      </c>
      <c r="AY3927" s="21" t="str">
        <f>IF(AND($AM3927&lt;&gt;"",$AS3927&lt;&gt;"✓"),SUMPRODUCT(($AM$11:$AM3927&lt;&gt;"")*($AS$11:$AS3927&lt;&gt;"✓")),"")</f>
        <v/>
      </c>
      <c r="AZ3927" s="21" t="str">
        <f>IF(AND($AM3927&lt;&gt;"",$AS3927="✓"),SUMPRODUCT(($AM$11:$AM3927&lt;&gt;"")*($AS$11:$AS3927="✓")),"")</f>
        <v/>
      </c>
      <c r="BA3927" s="21" t="str">
        <f>IF($AL3927="","",$AL3927&amp;"|"&amp;COUNTIF($AL$11:$AL3927,$AL3927))</f>
        <v/>
      </c>
    </row>
    <row r="3928" spans="38:53" ht="15" customHeight="1" x14ac:dyDescent="0.25">
      <c r="AL3928" s="31"/>
      <c r="AM3928" s="26"/>
      <c r="AN3928" s="32"/>
      <c r="AO3928" s="32"/>
      <c r="AP3928" s="24"/>
      <c r="AQ3928" s="24"/>
      <c r="AR3928" s="33"/>
      <c r="AS3928" s="34"/>
      <c r="AT3928" s="33"/>
      <c r="AV3928" s="21">
        <f>IF(AND($AL3928&lt;&gt;"",COUNTIF($AL$11:$AL3928,$AL3928)=1),1,0)</f>
        <v>0</v>
      </c>
      <c r="AW3928" s="21">
        <f t="shared" si="209"/>
        <v>0</v>
      </c>
      <c r="AX3928" s="21" t="str">
        <f t="shared" si="208"/>
        <v/>
      </c>
      <c r="AY3928" s="21" t="str">
        <f>IF(AND($AM3928&lt;&gt;"",$AS3928&lt;&gt;"✓"),SUMPRODUCT(($AM$11:$AM3928&lt;&gt;"")*($AS$11:$AS3928&lt;&gt;"✓")),"")</f>
        <v/>
      </c>
      <c r="AZ3928" s="21" t="str">
        <f>IF(AND($AM3928&lt;&gt;"",$AS3928="✓"),SUMPRODUCT(($AM$11:$AM3928&lt;&gt;"")*($AS$11:$AS3928="✓")),"")</f>
        <v/>
      </c>
      <c r="BA3928" s="21" t="str">
        <f>IF($AL3928="","",$AL3928&amp;"|"&amp;COUNTIF($AL$11:$AL3928,$AL3928))</f>
        <v/>
      </c>
    </row>
    <row r="3929" spans="38:53" ht="15" customHeight="1" x14ac:dyDescent="0.25">
      <c r="AL3929" s="17"/>
      <c r="AM3929" s="12"/>
      <c r="AN3929" s="18"/>
      <c r="AO3929" s="18"/>
      <c r="AP3929" s="10"/>
      <c r="AQ3929" s="10"/>
      <c r="AR3929" s="19"/>
      <c r="AS3929" s="20"/>
      <c r="AT3929" s="19"/>
      <c r="AV3929" s="21">
        <f>IF(AND($AL3929&lt;&gt;"",COUNTIF($AL$11:$AL3929,$AL3929)=1),1,0)</f>
        <v>0</v>
      </c>
      <c r="AW3929" s="21">
        <f t="shared" si="209"/>
        <v>0</v>
      </c>
      <c r="AX3929" s="21" t="str">
        <f t="shared" si="208"/>
        <v/>
      </c>
      <c r="AY3929" s="21" t="str">
        <f>IF(AND($AM3929&lt;&gt;"",$AS3929&lt;&gt;"✓"),SUMPRODUCT(($AM$11:$AM3929&lt;&gt;"")*($AS$11:$AS3929&lt;&gt;"✓")),"")</f>
        <v/>
      </c>
      <c r="AZ3929" s="21" t="str">
        <f>IF(AND($AM3929&lt;&gt;"",$AS3929="✓"),SUMPRODUCT(($AM$11:$AM3929&lt;&gt;"")*($AS$11:$AS3929="✓")),"")</f>
        <v/>
      </c>
      <c r="BA3929" s="21" t="str">
        <f>IF($AL3929="","",$AL3929&amp;"|"&amp;COUNTIF($AL$11:$AL3929,$AL3929))</f>
        <v/>
      </c>
    </row>
    <row r="3930" spans="38:53" ht="15" customHeight="1" x14ac:dyDescent="0.25">
      <c r="AL3930" s="31"/>
      <c r="AM3930" s="26"/>
      <c r="AN3930" s="32"/>
      <c r="AO3930" s="32"/>
      <c r="AP3930" s="24"/>
      <c r="AQ3930" s="24"/>
      <c r="AR3930" s="33"/>
      <c r="AS3930" s="34"/>
      <c r="AT3930" s="33"/>
      <c r="AV3930" s="21">
        <f>IF(AND($AL3930&lt;&gt;"",COUNTIF($AL$11:$AL3930,$AL3930)=1),1,0)</f>
        <v>0</v>
      </c>
      <c r="AW3930" s="21">
        <f t="shared" si="209"/>
        <v>0</v>
      </c>
      <c r="AX3930" s="21" t="str">
        <f t="shared" si="208"/>
        <v/>
      </c>
      <c r="AY3930" s="21" t="str">
        <f>IF(AND($AM3930&lt;&gt;"",$AS3930&lt;&gt;"✓"),SUMPRODUCT(($AM$11:$AM3930&lt;&gt;"")*($AS$11:$AS3930&lt;&gt;"✓")),"")</f>
        <v/>
      </c>
      <c r="AZ3930" s="21" t="str">
        <f>IF(AND($AM3930&lt;&gt;"",$AS3930="✓"),SUMPRODUCT(($AM$11:$AM3930&lt;&gt;"")*($AS$11:$AS3930="✓")),"")</f>
        <v/>
      </c>
      <c r="BA3930" s="21" t="str">
        <f>IF($AL3930="","",$AL3930&amp;"|"&amp;COUNTIF($AL$11:$AL3930,$AL3930))</f>
        <v/>
      </c>
    </row>
    <row r="3931" spans="38:53" ht="15" customHeight="1" x14ac:dyDescent="0.25">
      <c r="AL3931" s="17"/>
      <c r="AM3931" s="12"/>
      <c r="AN3931" s="18"/>
      <c r="AO3931" s="18"/>
      <c r="AP3931" s="10"/>
      <c r="AQ3931" s="10"/>
      <c r="AR3931" s="19"/>
      <c r="AS3931" s="20"/>
      <c r="AT3931" s="19"/>
      <c r="AV3931" s="21">
        <f>IF(AND($AL3931&lt;&gt;"",COUNTIF($AL$11:$AL3931,$AL3931)=1),1,0)</f>
        <v>0</v>
      </c>
      <c r="AW3931" s="21">
        <f t="shared" si="209"/>
        <v>0</v>
      </c>
      <c r="AX3931" s="21" t="str">
        <f t="shared" si="208"/>
        <v/>
      </c>
      <c r="AY3931" s="21" t="str">
        <f>IF(AND($AM3931&lt;&gt;"",$AS3931&lt;&gt;"✓"),SUMPRODUCT(($AM$11:$AM3931&lt;&gt;"")*($AS$11:$AS3931&lt;&gt;"✓")),"")</f>
        <v/>
      </c>
      <c r="AZ3931" s="21" t="str">
        <f>IF(AND($AM3931&lt;&gt;"",$AS3931="✓"),SUMPRODUCT(($AM$11:$AM3931&lt;&gt;"")*($AS$11:$AS3931="✓")),"")</f>
        <v/>
      </c>
      <c r="BA3931" s="21" t="str">
        <f>IF($AL3931="","",$AL3931&amp;"|"&amp;COUNTIF($AL$11:$AL3931,$AL3931))</f>
        <v/>
      </c>
    </row>
    <row r="3932" spans="38:53" ht="15" customHeight="1" x14ac:dyDescent="0.25">
      <c r="AL3932" s="31"/>
      <c r="AM3932" s="26"/>
      <c r="AN3932" s="32"/>
      <c r="AO3932" s="32"/>
      <c r="AP3932" s="24"/>
      <c r="AQ3932" s="24"/>
      <c r="AR3932" s="33"/>
      <c r="AS3932" s="34"/>
      <c r="AT3932" s="33"/>
      <c r="AV3932" s="21">
        <f>IF(AND($AL3932&lt;&gt;"",COUNTIF($AL$11:$AL3932,$AL3932)=1),1,0)</f>
        <v>0</v>
      </c>
      <c r="AW3932" s="21">
        <f t="shared" si="209"/>
        <v>0</v>
      </c>
      <c r="AX3932" s="21" t="str">
        <f t="shared" si="208"/>
        <v/>
      </c>
      <c r="AY3932" s="21" t="str">
        <f>IF(AND($AM3932&lt;&gt;"",$AS3932&lt;&gt;"✓"),SUMPRODUCT(($AM$11:$AM3932&lt;&gt;"")*($AS$11:$AS3932&lt;&gt;"✓")),"")</f>
        <v/>
      </c>
      <c r="AZ3932" s="21" t="str">
        <f>IF(AND($AM3932&lt;&gt;"",$AS3932="✓"),SUMPRODUCT(($AM$11:$AM3932&lt;&gt;"")*($AS$11:$AS3932="✓")),"")</f>
        <v/>
      </c>
      <c r="BA3932" s="21" t="str">
        <f>IF($AL3932="","",$AL3932&amp;"|"&amp;COUNTIF($AL$11:$AL3932,$AL3932))</f>
        <v/>
      </c>
    </row>
    <row r="3933" spans="38:53" ht="15" customHeight="1" x14ac:dyDescent="0.25">
      <c r="AL3933" s="17"/>
      <c r="AM3933" s="12"/>
      <c r="AN3933" s="18"/>
      <c r="AO3933" s="18"/>
      <c r="AP3933" s="10"/>
      <c r="AQ3933" s="10"/>
      <c r="AR3933" s="19"/>
      <c r="AS3933" s="20"/>
      <c r="AT3933" s="19"/>
      <c r="AV3933" s="21">
        <f>IF(AND($AL3933&lt;&gt;"",COUNTIF($AL$11:$AL3933,$AL3933)=1),1,0)</f>
        <v>0</v>
      </c>
      <c r="AW3933" s="21">
        <f t="shared" si="209"/>
        <v>0</v>
      </c>
      <c r="AX3933" s="21" t="str">
        <f t="shared" si="208"/>
        <v/>
      </c>
      <c r="AY3933" s="21" t="str">
        <f>IF(AND($AM3933&lt;&gt;"",$AS3933&lt;&gt;"✓"),SUMPRODUCT(($AM$11:$AM3933&lt;&gt;"")*($AS$11:$AS3933&lt;&gt;"✓")),"")</f>
        <v/>
      </c>
      <c r="AZ3933" s="21" t="str">
        <f>IF(AND($AM3933&lt;&gt;"",$AS3933="✓"),SUMPRODUCT(($AM$11:$AM3933&lt;&gt;"")*($AS$11:$AS3933="✓")),"")</f>
        <v/>
      </c>
      <c r="BA3933" s="21" t="str">
        <f>IF($AL3933="","",$AL3933&amp;"|"&amp;COUNTIF($AL$11:$AL3933,$AL3933))</f>
        <v/>
      </c>
    </row>
    <row r="3934" spans="38:53" ht="15" customHeight="1" x14ac:dyDescent="0.25">
      <c r="AL3934" s="31"/>
      <c r="AM3934" s="26"/>
      <c r="AN3934" s="32"/>
      <c r="AO3934" s="32"/>
      <c r="AP3934" s="24"/>
      <c r="AQ3934" s="24"/>
      <c r="AR3934" s="33"/>
      <c r="AS3934" s="34"/>
      <c r="AT3934" s="33"/>
      <c r="AV3934" s="21">
        <f>IF(AND($AL3934&lt;&gt;"",COUNTIF($AL$11:$AL3934,$AL3934)=1),1,0)</f>
        <v>0</v>
      </c>
      <c r="AW3934" s="21">
        <f t="shared" si="209"/>
        <v>0</v>
      </c>
      <c r="AX3934" s="21" t="str">
        <f t="shared" si="208"/>
        <v/>
      </c>
      <c r="AY3934" s="21" t="str">
        <f>IF(AND($AM3934&lt;&gt;"",$AS3934&lt;&gt;"✓"),SUMPRODUCT(($AM$11:$AM3934&lt;&gt;"")*($AS$11:$AS3934&lt;&gt;"✓")),"")</f>
        <v/>
      </c>
      <c r="AZ3934" s="21" t="str">
        <f>IF(AND($AM3934&lt;&gt;"",$AS3934="✓"),SUMPRODUCT(($AM$11:$AM3934&lt;&gt;"")*($AS$11:$AS3934="✓")),"")</f>
        <v/>
      </c>
      <c r="BA3934" s="21" t="str">
        <f>IF($AL3934="","",$AL3934&amp;"|"&amp;COUNTIF($AL$11:$AL3934,$AL3934))</f>
        <v/>
      </c>
    </row>
    <row r="3935" spans="38:53" ht="15" customHeight="1" x14ac:dyDescent="0.25">
      <c r="AL3935" s="17"/>
      <c r="AM3935" s="12"/>
      <c r="AN3935" s="18"/>
      <c r="AO3935" s="18"/>
      <c r="AP3935" s="10"/>
      <c r="AQ3935" s="10"/>
      <c r="AR3935" s="19"/>
      <c r="AS3935" s="20"/>
      <c r="AT3935" s="19"/>
      <c r="AV3935" s="21">
        <f>IF(AND($AL3935&lt;&gt;"",COUNTIF($AL$11:$AL3935,$AL3935)=1),1,0)</f>
        <v>0</v>
      </c>
      <c r="AW3935" s="21">
        <f t="shared" si="209"/>
        <v>0</v>
      </c>
      <c r="AX3935" s="21" t="str">
        <f t="shared" si="208"/>
        <v/>
      </c>
      <c r="AY3935" s="21" t="str">
        <f>IF(AND($AM3935&lt;&gt;"",$AS3935&lt;&gt;"✓"),SUMPRODUCT(($AM$11:$AM3935&lt;&gt;"")*($AS$11:$AS3935&lt;&gt;"✓")),"")</f>
        <v/>
      </c>
      <c r="AZ3935" s="21" t="str">
        <f>IF(AND($AM3935&lt;&gt;"",$AS3935="✓"),SUMPRODUCT(($AM$11:$AM3935&lt;&gt;"")*($AS$11:$AS3935="✓")),"")</f>
        <v/>
      </c>
      <c r="BA3935" s="21" t="str">
        <f>IF($AL3935="","",$AL3935&amp;"|"&amp;COUNTIF($AL$11:$AL3935,$AL3935))</f>
        <v/>
      </c>
    </row>
    <row r="3936" spans="38:53" ht="15" customHeight="1" x14ac:dyDescent="0.25">
      <c r="AL3936" s="31"/>
      <c r="AM3936" s="26"/>
      <c r="AN3936" s="32"/>
      <c r="AO3936" s="32"/>
      <c r="AP3936" s="24"/>
      <c r="AQ3936" s="24"/>
      <c r="AR3936" s="33"/>
      <c r="AS3936" s="34"/>
      <c r="AT3936" s="33"/>
      <c r="AV3936" s="21">
        <f>IF(AND($AL3936&lt;&gt;"",COUNTIF($AL$11:$AL3936,$AL3936)=1),1,0)</f>
        <v>0</v>
      </c>
      <c r="AW3936" s="21">
        <f t="shared" si="209"/>
        <v>0</v>
      </c>
      <c r="AX3936" s="21" t="str">
        <f t="shared" si="208"/>
        <v/>
      </c>
      <c r="AY3936" s="21" t="str">
        <f>IF(AND($AM3936&lt;&gt;"",$AS3936&lt;&gt;"✓"),SUMPRODUCT(($AM$11:$AM3936&lt;&gt;"")*($AS$11:$AS3936&lt;&gt;"✓")),"")</f>
        <v/>
      </c>
      <c r="AZ3936" s="21" t="str">
        <f>IF(AND($AM3936&lt;&gt;"",$AS3936="✓"),SUMPRODUCT(($AM$11:$AM3936&lt;&gt;"")*($AS$11:$AS3936="✓")),"")</f>
        <v/>
      </c>
      <c r="BA3936" s="21" t="str">
        <f>IF($AL3936="","",$AL3936&amp;"|"&amp;COUNTIF($AL$11:$AL3936,$AL3936))</f>
        <v/>
      </c>
    </row>
    <row r="3937" spans="38:53" ht="15" customHeight="1" x14ac:dyDescent="0.25">
      <c r="AL3937" s="17"/>
      <c r="AM3937" s="12"/>
      <c r="AN3937" s="18"/>
      <c r="AO3937" s="18"/>
      <c r="AP3937" s="10"/>
      <c r="AQ3937" s="10"/>
      <c r="AR3937" s="19"/>
      <c r="AS3937" s="20"/>
      <c r="AT3937" s="19"/>
      <c r="AV3937" s="21">
        <f>IF(AND($AL3937&lt;&gt;"",COUNTIF($AL$11:$AL3937,$AL3937)=1),1,0)</f>
        <v>0</v>
      </c>
      <c r="AW3937" s="21">
        <f t="shared" si="209"/>
        <v>0</v>
      </c>
      <c r="AX3937" s="21" t="str">
        <f t="shared" si="208"/>
        <v/>
      </c>
      <c r="AY3937" s="21" t="str">
        <f>IF(AND($AM3937&lt;&gt;"",$AS3937&lt;&gt;"✓"),SUMPRODUCT(($AM$11:$AM3937&lt;&gt;"")*($AS$11:$AS3937&lt;&gt;"✓")),"")</f>
        <v/>
      </c>
      <c r="AZ3937" s="21" t="str">
        <f>IF(AND($AM3937&lt;&gt;"",$AS3937="✓"),SUMPRODUCT(($AM$11:$AM3937&lt;&gt;"")*($AS$11:$AS3937="✓")),"")</f>
        <v/>
      </c>
      <c r="BA3937" s="21" t="str">
        <f>IF($AL3937="","",$AL3937&amp;"|"&amp;COUNTIF($AL$11:$AL3937,$AL3937))</f>
        <v/>
      </c>
    </row>
    <row r="3938" spans="38:53" ht="15" customHeight="1" x14ac:dyDescent="0.25">
      <c r="AL3938" s="31"/>
      <c r="AM3938" s="26"/>
      <c r="AN3938" s="32"/>
      <c r="AO3938" s="32"/>
      <c r="AP3938" s="24"/>
      <c r="AQ3938" s="24"/>
      <c r="AR3938" s="33"/>
      <c r="AS3938" s="34"/>
      <c r="AT3938" s="33"/>
      <c r="AV3938" s="21">
        <f>IF(AND($AL3938&lt;&gt;"",COUNTIF($AL$11:$AL3938,$AL3938)=1),1,0)</f>
        <v>0</v>
      </c>
      <c r="AW3938" s="21">
        <f t="shared" si="209"/>
        <v>0</v>
      </c>
      <c r="AX3938" s="21" t="str">
        <f t="shared" si="208"/>
        <v/>
      </c>
      <c r="AY3938" s="21" t="str">
        <f>IF(AND($AM3938&lt;&gt;"",$AS3938&lt;&gt;"✓"),SUMPRODUCT(($AM$11:$AM3938&lt;&gt;"")*($AS$11:$AS3938&lt;&gt;"✓")),"")</f>
        <v/>
      </c>
      <c r="AZ3938" s="21" t="str">
        <f>IF(AND($AM3938&lt;&gt;"",$AS3938="✓"),SUMPRODUCT(($AM$11:$AM3938&lt;&gt;"")*($AS$11:$AS3938="✓")),"")</f>
        <v/>
      </c>
      <c r="BA3938" s="21" t="str">
        <f>IF($AL3938="","",$AL3938&amp;"|"&amp;COUNTIF($AL$11:$AL3938,$AL3938))</f>
        <v/>
      </c>
    </row>
    <row r="3939" spans="38:53" ht="15" customHeight="1" x14ac:dyDescent="0.25">
      <c r="AL3939" s="17"/>
      <c r="AM3939" s="12"/>
      <c r="AN3939" s="18"/>
      <c r="AO3939" s="18"/>
      <c r="AP3939" s="10"/>
      <c r="AQ3939" s="10"/>
      <c r="AR3939" s="19"/>
      <c r="AS3939" s="20"/>
      <c r="AT3939" s="19"/>
      <c r="AV3939" s="21">
        <f>IF(AND($AL3939&lt;&gt;"",COUNTIF($AL$11:$AL3939,$AL3939)=1),1,0)</f>
        <v>0</v>
      </c>
      <c r="AW3939" s="21">
        <f t="shared" si="209"/>
        <v>0</v>
      </c>
      <c r="AX3939" s="21" t="str">
        <f t="shared" si="208"/>
        <v/>
      </c>
      <c r="AY3939" s="21" t="str">
        <f>IF(AND($AM3939&lt;&gt;"",$AS3939&lt;&gt;"✓"),SUMPRODUCT(($AM$11:$AM3939&lt;&gt;"")*($AS$11:$AS3939&lt;&gt;"✓")),"")</f>
        <v/>
      </c>
      <c r="AZ3939" s="21" t="str">
        <f>IF(AND($AM3939&lt;&gt;"",$AS3939="✓"),SUMPRODUCT(($AM$11:$AM3939&lt;&gt;"")*($AS$11:$AS3939="✓")),"")</f>
        <v/>
      </c>
      <c r="BA3939" s="21" t="str">
        <f>IF($AL3939="","",$AL3939&amp;"|"&amp;COUNTIF($AL$11:$AL3939,$AL3939))</f>
        <v/>
      </c>
    </row>
    <row r="3940" spans="38:53" ht="15" customHeight="1" x14ac:dyDescent="0.25">
      <c r="AL3940" s="31"/>
      <c r="AM3940" s="26"/>
      <c r="AN3940" s="32"/>
      <c r="AO3940" s="32"/>
      <c r="AP3940" s="24"/>
      <c r="AQ3940" s="24"/>
      <c r="AR3940" s="33"/>
      <c r="AS3940" s="34"/>
      <c r="AT3940" s="33"/>
      <c r="AV3940" s="21">
        <f>IF(AND($AL3940&lt;&gt;"",COUNTIF($AL$11:$AL3940,$AL3940)=1),1,0)</f>
        <v>0</v>
      </c>
      <c r="AW3940" s="21">
        <f t="shared" si="209"/>
        <v>0</v>
      </c>
      <c r="AX3940" s="21" t="str">
        <f t="shared" si="208"/>
        <v/>
      </c>
      <c r="AY3940" s="21" t="str">
        <f>IF(AND($AM3940&lt;&gt;"",$AS3940&lt;&gt;"✓"),SUMPRODUCT(($AM$11:$AM3940&lt;&gt;"")*($AS$11:$AS3940&lt;&gt;"✓")),"")</f>
        <v/>
      </c>
      <c r="AZ3940" s="21" t="str">
        <f>IF(AND($AM3940&lt;&gt;"",$AS3940="✓"),SUMPRODUCT(($AM$11:$AM3940&lt;&gt;"")*($AS$11:$AS3940="✓")),"")</f>
        <v/>
      </c>
      <c r="BA3940" s="21" t="str">
        <f>IF($AL3940="","",$AL3940&amp;"|"&amp;COUNTIF($AL$11:$AL3940,$AL3940))</f>
        <v/>
      </c>
    </row>
    <row r="3941" spans="38:53" ht="15" customHeight="1" x14ac:dyDescent="0.25">
      <c r="AL3941" s="17"/>
      <c r="AM3941" s="12"/>
      <c r="AN3941" s="18"/>
      <c r="AO3941" s="18"/>
      <c r="AP3941" s="10"/>
      <c r="AQ3941" s="10"/>
      <c r="AR3941" s="19"/>
      <c r="AS3941" s="20"/>
      <c r="AT3941" s="19"/>
      <c r="AV3941" s="21">
        <f>IF(AND($AL3941&lt;&gt;"",COUNTIF($AL$11:$AL3941,$AL3941)=1),1,0)</f>
        <v>0</v>
      </c>
      <c r="AW3941" s="21">
        <f t="shared" si="209"/>
        <v>0</v>
      </c>
      <c r="AX3941" s="21" t="str">
        <f t="shared" si="208"/>
        <v/>
      </c>
      <c r="AY3941" s="21" t="str">
        <f>IF(AND($AM3941&lt;&gt;"",$AS3941&lt;&gt;"✓"),SUMPRODUCT(($AM$11:$AM3941&lt;&gt;"")*($AS$11:$AS3941&lt;&gt;"✓")),"")</f>
        <v/>
      </c>
      <c r="AZ3941" s="21" t="str">
        <f>IF(AND($AM3941&lt;&gt;"",$AS3941="✓"),SUMPRODUCT(($AM$11:$AM3941&lt;&gt;"")*($AS$11:$AS3941="✓")),"")</f>
        <v/>
      </c>
      <c r="BA3941" s="21" t="str">
        <f>IF($AL3941="","",$AL3941&amp;"|"&amp;COUNTIF($AL$11:$AL3941,$AL3941))</f>
        <v/>
      </c>
    </row>
    <row r="3942" spans="38:53" ht="15" customHeight="1" x14ac:dyDescent="0.25">
      <c r="AL3942" s="31"/>
      <c r="AM3942" s="26"/>
      <c r="AN3942" s="32"/>
      <c r="AO3942" s="32"/>
      <c r="AP3942" s="24"/>
      <c r="AQ3942" s="24"/>
      <c r="AR3942" s="33"/>
      <c r="AS3942" s="34"/>
      <c r="AT3942" s="33"/>
      <c r="AV3942" s="21">
        <f>IF(AND($AL3942&lt;&gt;"",COUNTIF($AL$11:$AL3942,$AL3942)=1),1,0)</f>
        <v>0</v>
      </c>
      <c r="AW3942" s="21">
        <f t="shared" si="209"/>
        <v>0</v>
      </c>
      <c r="AX3942" s="21" t="str">
        <f t="shared" si="208"/>
        <v/>
      </c>
      <c r="AY3942" s="21" t="str">
        <f>IF(AND($AM3942&lt;&gt;"",$AS3942&lt;&gt;"✓"),SUMPRODUCT(($AM$11:$AM3942&lt;&gt;"")*($AS$11:$AS3942&lt;&gt;"✓")),"")</f>
        <v/>
      </c>
      <c r="AZ3942" s="21" t="str">
        <f>IF(AND($AM3942&lt;&gt;"",$AS3942="✓"),SUMPRODUCT(($AM$11:$AM3942&lt;&gt;"")*($AS$11:$AS3942="✓")),"")</f>
        <v/>
      </c>
      <c r="BA3942" s="21" t="str">
        <f>IF($AL3942="","",$AL3942&amp;"|"&amp;COUNTIF($AL$11:$AL3942,$AL3942))</f>
        <v/>
      </c>
    </row>
    <row r="3943" spans="38:53" ht="15" customHeight="1" x14ac:dyDescent="0.25">
      <c r="AL3943" s="17"/>
      <c r="AM3943" s="12"/>
      <c r="AN3943" s="18"/>
      <c r="AO3943" s="18"/>
      <c r="AP3943" s="10"/>
      <c r="AQ3943" s="10"/>
      <c r="AR3943" s="19"/>
      <c r="AS3943" s="20"/>
      <c r="AT3943" s="19"/>
      <c r="AV3943" s="21">
        <f>IF(AND($AL3943&lt;&gt;"",COUNTIF($AL$11:$AL3943,$AL3943)=1),1,0)</f>
        <v>0</v>
      </c>
      <c r="AW3943" s="21">
        <f t="shared" si="209"/>
        <v>0</v>
      </c>
      <c r="AX3943" s="21" t="str">
        <f t="shared" si="208"/>
        <v/>
      </c>
      <c r="AY3943" s="21" t="str">
        <f>IF(AND($AM3943&lt;&gt;"",$AS3943&lt;&gt;"✓"),SUMPRODUCT(($AM$11:$AM3943&lt;&gt;"")*($AS$11:$AS3943&lt;&gt;"✓")),"")</f>
        <v/>
      </c>
      <c r="AZ3943" s="21" t="str">
        <f>IF(AND($AM3943&lt;&gt;"",$AS3943="✓"),SUMPRODUCT(($AM$11:$AM3943&lt;&gt;"")*($AS$11:$AS3943="✓")),"")</f>
        <v/>
      </c>
      <c r="BA3943" s="21" t="str">
        <f>IF($AL3943="","",$AL3943&amp;"|"&amp;COUNTIF($AL$11:$AL3943,$AL3943))</f>
        <v/>
      </c>
    </row>
    <row r="3944" spans="38:53" ht="15" customHeight="1" x14ac:dyDescent="0.25">
      <c r="AL3944" s="31"/>
      <c r="AM3944" s="26"/>
      <c r="AN3944" s="32"/>
      <c r="AO3944" s="32"/>
      <c r="AP3944" s="24"/>
      <c r="AQ3944" s="24"/>
      <c r="AR3944" s="33"/>
      <c r="AS3944" s="34"/>
      <c r="AT3944" s="33"/>
      <c r="AV3944" s="21">
        <f>IF(AND($AL3944&lt;&gt;"",COUNTIF($AL$11:$AL3944,$AL3944)=1),1,0)</f>
        <v>0</v>
      </c>
      <c r="AW3944" s="21">
        <f t="shared" si="209"/>
        <v>0</v>
      </c>
      <c r="AX3944" s="21" t="str">
        <f t="shared" si="208"/>
        <v/>
      </c>
      <c r="AY3944" s="21" t="str">
        <f>IF(AND($AM3944&lt;&gt;"",$AS3944&lt;&gt;"✓"),SUMPRODUCT(($AM$11:$AM3944&lt;&gt;"")*($AS$11:$AS3944&lt;&gt;"✓")),"")</f>
        <v/>
      </c>
      <c r="AZ3944" s="21" t="str">
        <f>IF(AND($AM3944&lt;&gt;"",$AS3944="✓"),SUMPRODUCT(($AM$11:$AM3944&lt;&gt;"")*($AS$11:$AS3944="✓")),"")</f>
        <v/>
      </c>
      <c r="BA3944" s="21" t="str">
        <f>IF($AL3944="","",$AL3944&amp;"|"&amp;COUNTIF($AL$11:$AL3944,$AL3944))</f>
        <v/>
      </c>
    </row>
    <row r="3945" spans="38:53" ht="15" customHeight="1" x14ac:dyDescent="0.25">
      <c r="AL3945" s="17"/>
      <c r="AM3945" s="12"/>
      <c r="AN3945" s="18"/>
      <c r="AO3945" s="18"/>
      <c r="AP3945" s="10"/>
      <c r="AQ3945" s="10"/>
      <c r="AR3945" s="19"/>
      <c r="AS3945" s="20"/>
      <c r="AT3945" s="19"/>
      <c r="AV3945" s="21">
        <f>IF(AND($AL3945&lt;&gt;"",COUNTIF($AL$11:$AL3945,$AL3945)=1),1,0)</f>
        <v>0</v>
      </c>
      <c r="AW3945" s="21">
        <f t="shared" si="209"/>
        <v>0</v>
      </c>
      <c r="AX3945" s="21" t="str">
        <f t="shared" si="208"/>
        <v/>
      </c>
      <c r="AY3945" s="21" t="str">
        <f>IF(AND($AM3945&lt;&gt;"",$AS3945&lt;&gt;"✓"),SUMPRODUCT(($AM$11:$AM3945&lt;&gt;"")*($AS$11:$AS3945&lt;&gt;"✓")),"")</f>
        <v/>
      </c>
      <c r="AZ3945" s="21" t="str">
        <f>IF(AND($AM3945&lt;&gt;"",$AS3945="✓"),SUMPRODUCT(($AM$11:$AM3945&lt;&gt;"")*($AS$11:$AS3945="✓")),"")</f>
        <v/>
      </c>
      <c r="BA3945" s="21" t="str">
        <f>IF($AL3945="","",$AL3945&amp;"|"&amp;COUNTIF($AL$11:$AL3945,$AL3945))</f>
        <v/>
      </c>
    </row>
    <row r="3946" spans="38:53" ht="15" customHeight="1" x14ac:dyDescent="0.25">
      <c r="AL3946" s="31"/>
      <c r="AM3946" s="26"/>
      <c r="AN3946" s="32"/>
      <c r="AO3946" s="32"/>
      <c r="AP3946" s="24"/>
      <c r="AQ3946" s="24"/>
      <c r="AR3946" s="33"/>
      <c r="AS3946" s="34"/>
      <c r="AT3946" s="33"/>
      <c r="AV3946" s="21">
        <f>IF(AND($AL3946&lt;&gt;"",COUNTIF($AL$11:$AL3946,$AL3946)=1),1,0)</f>
        <v>0</v>
      </c>
      <c r="AW3946" s="21">
        <f t="shared" si="209"/>
        <v>0</v>
      </c>
      <c r="AX3946" s="21" t="str">
        <f t="shared" si="208"/>
        <v/>
      </c>
      <c r="AY3946" s="21" t="str">
        <f>IF(AND($AM3946&lt;&gt;"",$AS3946&lt;&gt;"✓"),SUMPRODUCT(($AM$11:$AM3946&lt;&gt;"")*($AS$11:$AS3946&lt;&gt;"✓")),"")</f>
        <v/>
      </c>
      <c r="AZ3946" s="21" t="str">
        <f>IF(AND($AM3946&lt;&gt;"",$AS3946="✓"),SUMPRODUCT(($AM$11:$AM3946&lt;&gt;"")*($AS$11:$AS3946="✓")),"")</f>
        <v/>
      </c>
      <c r="BA3946" s="21" t="str">
        <f>IF($AL3946="","",$AL3946&amp;"|"&amp;COUNTIF($AL$11:$AL3946,$AL3946))</f>
        <v/>
      </c>
    </row>
    <row r="3947" spans="38:53" ht="15" customHeight="1" x14ac:dyDescent="0.25">
      <c r="AL3947" s="17"/>
      <c r="AM3947" s="12"/>
      <c r="AN3947" s="18"/>
      <c r="AO3947" s="18"/>
      <c r="AP3947" s="10"/>
      <c r="AQ3947" s="10"/>
      <c r="AR3947" s="19"/>
      <c r="AS3947" s="20"/>
      <c r="AT3947" s="19"/>
      <c r="AV3947" s="21">
        <f>IF(AND($AL3947&lt;&gt;"",COUNTIF($AL$11:$AL3947,$AL3947)=1),1,0)</f>
        <v>0</v>
      </c>
      <c r="AW3947" s="21">
        <f t="shared" si="209"/>
        <v>0</v>
      </c>
      <c r="AX3947" s="21" t="str">
        <f t="shared" si="208"/>
        <v/>
      </c>
      <c r="AY3947" s="21" t="str">
        <f>IF(AND($AM3947&lt;&gt;"",$AS3947&lt;&gt;"✓"),SUMPRODUCT(($AM$11:$AM3947&lt;&gt;"")*($AS$11:$AS3947&lt;&gt;"✓")),"")</f>
        <v/>
      </c>
      <c r="AZ3947" s="21" t="str">
        <f>IF(AND($AM3947&lt;&gt;"",$AS3947="✓"),SUMPRODUCT(($AM$11:$AM3947&lt;&gt;"")*($AS$11:$AS3947="✓")),"")</f>
        <v/>
      </c>
      <c r="BA3947" s="21" t="str">
        <f>IF($AL3947="","",$AL3947&amp;"|"&amp;COUNTIF($AL$11:$AL3947,$AL3947))</f>
        <v/>
      </c>
    </row>
    <row r="3948" spans="38:53" ht="15" customHeight="1" x14ac:dyDescent="0.25">
      <c r="AL3948" s="31"/>
      <c r="AM3948" s="26"/>
      <c r="AN3948" s="32"/>
      <c r="AO3948" s="32"/>
      <c r="AP3948" s="24"/>
      <c r="AQ3948" s="24"/>
      <c r="AR3948" s="33"/>
      <c r="AS3948" s="34"/>
      <c r="AT3948" s="33"/>
      <c r="AV3948" s="21">
        <f>IF(AND($AL3948&lt;&gt;"",COUNTIF($AL$11:$AL3948,$AL3948)=1),1,0)</f>
        <v>0</v>
      </c>
      <c r="AW3948" s="21">
        <f t="shared" si="209"/>
        <v>0</v>
      </c>
      <c r="AX3948" s="21" t="str">
        <f t="shared" si="208"/>
        <v/>
      </c>
      <c r="AY3948" s="21" t="str">
        <f>IF(AND($AM3948&lt;&gt;"",$AS3948&lt;&gt;"✓"),SUMPRODUCT(($AM$11:$AM3948&lt;&gt;"")*($AS$11:$AS3948&lt;&gt;"✓")),"")</f>
        <v/>
      </c>
      <c r="AZ3948" s="21" t="str">
        <f>IF(AND($AM3948&lt;&gt;"",$AS3948="✓"),SUMPRODUCT(($AM$11:$AM3948&lt;&gt;"")*($AS$11:$AS3948="✓")),"")</f>
        <v/>
      </c>
      <c r="BA3948" s="21" t="str">
        <f>IF($AL3948="","",$AL3948&amp;"|"&amp;COUNTIF($AL$11:$AL3948,$AL3948))</f>
        <v/>
      </c>
    </row>
    <row r="3949" spans="38:53" ht="15" customHeight="1" x14ac:dyDescent="0.25">
      <c r="AL3949" s="17"/>
      <c r="AM3949" s="12"/>
      <c r="AN3949" s="18"/>
      <c r="AO3949" s="18"/>
      <c r="AP3949" s="10"/>
      <c r="AQ3949" s="10"/>
      <c r="AR3949" s="19"/>
      <c r="AS3949" s="20"/>
      <c r="AT3949" s="19"/>
      <c r="AV3949" s="21">
        <f>IF(AND($AL3949&lt;&gt;"",COUNTIF($AL$11:$AL3949,$AL3949)=1),1,0)</f>
        <v>0</v>
      </c>
      <c r="AW3949" s="21">
        <f t="shared" si="209"/>
        <v>0</v>
      </c>
      <c r="AX3949" s="21" t="str">
        <f t="shared" si="208"/>
        <v/>
      </c>
      <c r="AY3949" s="21" t="str">
        <f>IF(AND($AM3949&lt;&gt;"",$AS3949&lt;&gt;"✓"),SUMPRODUCT(($AM$11:$AM3949&lt;&gt;"")*($AS$11:$AS3949&lt;&gt;"✓")),"")</f>
        <v/>
      </c>
      <c r="AZ3949" s="21" t="str">
        <f>IF(AND($AM3949&lt;&gt;"",$AS3949="✓"),SUMPRODUCT(($AM$11:$AM3949&lt;&gt;"")*($AS$11:$AS3949="✓")),"")</f>
        <v/>
      </c>
      <c r="BA3949" s="21" t="str">
        <f>IF($AL3949="","",$AL3949&amp;"|"&amp;COUNTIF($AL$11:$AL3949,$AL3949))</f>
        <v/>
      </c>
    </row>
    <row r="3950" spans="38:53" ht="15" customHeight="1" x14ac:dyDescent="0.25">
      <c r="AL3950" s="31"/>
      <c r="AM3950" s="26"/>
      <c r="AN3950" s="32"/>
      <c r="AO3950" s="32"/>
      <c r="AP3950" s="24"/>
      <c r="AQ3950" s="24"/>
      <c r="AR3950" s="33"/>
      <c r="AS3950" s="34"/>
      <c r="AT3950" s="33"/>
      <c r="AV3950" s="21">
        <f>IF(AND($AL3950&lt;&gt;"",COUNTIF($AL$11:$AL3950,$AL3950)=1),1,0)</f>
        <v>0</v>
      </c>
      <c r="AW3950" s="21">
        <f t="shared" si="209"/>
        <v>0</v>
      </c>
      <c r="AX3950" s="21" t="str">
        <f t="shared" si="208"/>
        <v/>
      </c>
      <c r="AY3950" s="21" t="str">
        <f>IF(AND($AM3950&lt;&gt;"",$AS3950&lt;&gt;"✓"),SUMPRODUCT(($AM$11:$AM3950&lt;&gt;"")*($AS$11:$AS3950&lt;&gt;"✓")),"")</f>
        <v/>
      </c>
      <c r="AZ3950" s="21" t="str">
        <f>IF(AND($AM3950&lt;&gt;"",$AS3950="✓"),SUMPRODUCT(($AM$11:$AM3950&lt;&gt;"")*($AS$11:$AS3950="✓")),"")</f>
        <v/>
      </c>
      <c r="BA3950" s="21" t="str">
        <f>IF($AL3950="","",$AL3950&amp;"|"&amp;COUNTIF($AL$11:$AL3950,$AL3950))</f>
        <v/>
      </c>
    </row>
    <row r="3951" spans="38:53" ht="15" customHeight="1" x14ac:dyDescent="0.25">
      <c r="AL3951" s="17"/>
      <c r="AM3951" s="12"/>
      <c r="AN3951" s="18"/>
      <c r="AO3951" s="18"/>
      <c r="AP3951" s="10"/>
      <c r="AQ3951" s="10"/>
      <c r="AR3951" s="19"/>
      <c r="AS3951" s="20"/>
      <c r="AT3951" s="19"/>
      <c r="AV3951" s="21">
        <f>IF(AND($AL3951&lt;&gt;"",COUNTIF($AL$11:$AL3951,$AL3951)=1),1,0)</f>
        <v>0</v>
      </c>
      <c r="AW3951" s="21">
        <f t="shared" si="209"/>
        <v>0</v>
      </c>
      <c r="AX3951" s="21" t="str">
        <f t="shared" si="208"/>
        <v/>
      </c>
      <c r="AY3951" s="21" t="str">
        <f>IF(AND($AM3951&lt;&gt;"",$AS3951&lt;&gt;"✓"),SUMPRODUCT(($AM$11:$AM3951&lt;&gt;"")*($AS$11:$AS3951&lt;&gt;"✓")),"")</f>
        <v/>
      </c>
      <c r="AZ3951" s="21" t="str">
        <f>IF(AND($AM3951&lt;&gt;"",$AS3951="✓"),SUMPRODUCT(($AM$11:$AM3951&lt;&gt;"")*($AS$11:$AS3951="✓")),"")</f>
        <v/>
      </c>
      <c r="BA3951" s="21" t="str">
        <f>IF($AL3951="","",$AL3951&amp;"|"&amp;COUNTIF($AL$11:$AL3951,$AL3951))</f>
        <v/>
      </c>
    </row>
    <row r="3952" spans="38:53" ht="15" customHeight="1" x14ac:dyDescent="0.25">
      <c r="AL3952" s="31"/>
      <c r="AM3952" s="26"/>
      <c r="AN3952" s="32"/>
      <c r="AO3952" s="32"/>
      <c r="AP3952" s="24"/>
      <c r="AQ3952" s="24"/>
      <c r="AR3952" s="33"/>
      <c r="AS3952" s="34"/>
      <c r="AT3952" s="33"/>
      <c r="AV3952" s="21">
        <f>IF(AND($AL3952&lt;&gt;"",COUNTIF($AL$11:$AL3952,$AL3952)=1),1,0)</f>
        <v>0</v>
      </c>
      <c r="AW3952" s="21">
        <f t="shared" si="209"/>
        <v>0</v>
      </c>
      <c r="AX3952" s="21" t="str">
        <f t="shared" si="208"/>
        <v/>
      </c>
      <c r="AY3952" s="21" t="str">
        <f>IF(AND($AM3952&lt;&gt;"",$AS3952&lt;&gt;"✓"),SUMPRODUCT(($AM$11:$AM3952&lt;&gt;"")*($AS$11:$AS3952&lt;&gt;"✓")),"")</f>
        <v/>
      </c>
      <c r="AZ3952" s="21" t="str">
        <f>IF(AND($AM3952&lt;&gt;"",$AS3952="✓"),SUMPRODUCT(($AM$11:$AM3952&lt;&gt;"")*($AS$11:$AS3952="✓")),"")</f>
        <v/>
      </c>
      <c r="BA3952" s="21" t="str">
        <f>IF($AL3952="","",$AL3952&amp;"|"&amp;COUNTIF($AL$11:$AL3952,$AL3952))</f>
        <v/>
      </c>
    </row>
    <row r="3953" spans="38:53" ht="15" customHeight="1" x14ac:dyDescent="0.25">
      <c r="AL3953" s="17"/>
      <c r="AM3953" s="12"/>
      <c r="AN3953" s="18"/>
      <c r="AO3953" s="18"/>
      <c r="AP3953" s="10"/>
      <c r="AQ3953" s="10"/>
      <c r="AR3953" s="19"/>
      <c r="AS3953" s="20"/>
      <c r="AT3953" s="19"/>
      <c r="AV3953" s="21">
        <f>IF(AND($AL3953&lt;&gt;"",COUNTIF($AL$11:$AL3953,$AL3953)=1),1,0)</f>
        <v>0</v>
      </c>
      <c r="AW3953" s="21">
        <f t="shared" si="209"/>
        <v>0</v>
      </c>
      <c r="AX3953" s="21" t="str">
        <f t="shared" si="208"/>
        <v/>
      </c>
      <c r="AY3953" s="21" t="str">
        <f>IF(AND($AM3953&lt;&gt;"",$AS3953&lt;&gt;"✓"),SUMPRODUCT(($AM$11:$AM3953&lt;&gt;"")*($AS$11:$AS3953&lt;&gt;"✓")),"")</f>
        <v/>
      </c>
      <c r="AZ3953" s="21" t="str">
        <f>IF(AND($AM3953&lt;&gt;"",$AS3953="✓"),SUMPRODUCT(($AM$11:$AM3953&lt;&gt;"")*($AS$11:$AS3953="✓")),"")</f>
        <v/>
      </c>
      <c r="BA3953" s="21" t="str">
        <f>IF($AL3953="","",$AL3953&amp;"|"&amp;COUNTIF($AL$11:$AL3953,$AL3953))</f>
        <v/>
      </c>
    </row>
    <row r="3954" spans="38:53" ht="15" customHeight="1" x14ac:dyDescent="0.25">
      <c r="AL3954" s="31"/>
      <c r="AM3954" s="26"/>
      <c r="AN3954" s="32"/>
      <c r="AO3954" s="32"/>
      <c r="AP3954" s="24"/>
      <c r="AQ3954" s="24"/>
      <c r="AR3954" s="33"/>
      <c r="AS3954" s="34"/>
      <c r="AT3954" s="33"/>
      <c r="AV3954" s="21">
        <f>IF(AND($AL3954&lt;&gt;"",COUNTIF($AL$11:$AL3954,$AL3954)=1),1,0)</f>
        <v>0</v>
      </c>
      <c r="AW3954" s="21">
        <f t="shared" si="209"/>
        <v>0</v>
      </c>
      <c r="AX3954" s="21" t="str">
        <f t="shared" si="208"/>
        <v/>
      </c>
      <c r="AY3954" s="21" t="str">
        <f>IF(AND($AM3954&lt;&gt;"",$AS3954&lt;&gt;"✓"),SUMPRODUCT(($AM$11:$AM3954&lt;&gt;"")*($AS$11:$AS3954&lt;&gt;"✓")),"")</f>
        <v/>
      </c>
      <c r="AZ3954" s="21" t="str">
        <f>IF(AND($AM3954&lt;&gt;"",$AS3954="✓"),SUMPRODUCT(($AM$11:$AM3954&lt;&gt;"")*($AS$11:$AS3954="✓")),"")</f>
        <v/>
      </c>
      <c r="BA3954" s="21" t="str">
        <f>IF($AL3954="","",$AL3954&amp;"|"&amp;COUNTIF($AL$11:$AL3954,$AL3954))</f>
        <v/>
      </c>
    </row>
    <row r="3955" spans="38:53" ht="15" customHeight="1" x14ac:dyDescent="0.25">
      <c r="AL3955" s="17"/>
      <c r="AM3955" s="12"/>
      <c r="AN3955" s="18"/>
      <c r="AO3955" s="18"/>
      <c r="AP3955" s="10"/>
      <c r="AQ3955" s="10"/>
      <c r="AR3955" s="19"/>
      <c r="AS3955" s="20"/>
      <c r="AT3955" s="19"/>
      <c r="AV3955" s="21">
        <f>IF(AND($AL3955&lt;&gt;"",COUNTIF($AL$11:$AL3955,$AL3955)=1),1,0)</f>
        <v>0</v>
      </c>
      <c r="AW3955" s="21">
        <f t="shared" si="209"/>
        <v>0</v>
      </c>
      <c r="AX3955" s="21" t="str">
        <f t="shared" si="208"/>
        <v/>
      </c>
      <c r="AY3955" s="21" t="str">
        <f>IF(AND($AM3955&lt;&gt;"",$AS3955&lt;&gt;"✓"),SUMPRODUCT(($AM$11:$AM3955&lt;&gt;"")*($AS$11:$AS3955&lt;&gt;"✓")),"")</f>
        <v/>
      </c>
      <c r="AZ3955" s="21" t="str">
        <f>IF(AND($AM3955&lt;&gt;"",$AS3955="✓"),SUMPRODUCT(($AM$11:$AM3955&lt;&gt;"")*($AS$11:$AS3955="✓")),"")</f>
        <v/>
      </c>
      <c r="BA3955" s="21" t="str">
        <f>IF($AL3955="","",$AL3955&amp;"|"&amp;COUNTIF($AL$11:$AL3955,$AL3955))</f>
        <v/>
      </c>
    </row>
    <row r="3956" spans="38:53" ht="15" customHeight="1" x14ac:dyDescent="0.25">
      <c r="AL3956" s="31"/>
      <c r="AM3956" s="26"/>
      <c r="AN3956" s="32"/>
      <c r="AO3956" s="32"/>
      <c r="AP3956" s="24"/>
      <c r="AQ3956" s="24"/>
      <c r="AR3956" s="33"/>
      <c r="AS3956" s="34"/>
      <c r="AT3956" s="33"/>
      <c r="AV3956" s="21">
        <f>IF(AND($AL3956&lt;&gt;"",COUNTIF($AL$11:$AL3956,$AL3956)=1),1,0)</f>
        <v>0</v>
      </c>
      <c r="AW3956" s="21">
        <f t="shared" si="209"/>
        <v>0</v>
      </c>
      <c r="AX3956" s="21" t="str">
        <f t="shared" si="208"/>
        <v/>
      </c>
      <c r="AY3956" s="21" t="str">
        <f>IF(AND($AM3956&lt;&gt;"",$AS3956&lt;&gt;"✓"),SUMPRODUCT(($AM$11:$AM3956&lt;&gt;"")*($AS$11:$AS3956&lt;&gt;"✓")),"")</f>
        <v/>
      </c>
      <c r="AZ3956" s="21" t="str">
        <f>IF(AND($AM3956&lt;&gt;"",$AS3956="✓"),SUMPRODUCT(($AM$11:$AM3956&lt;&gt;"")*($AS$11:$AS3956="✓")),"")</f>
        <v/>
      </c>
      <c r="BA3956" s="21" t="str">
        <f>IF($AL3956="","",$AL3956&amp;"|"&amp;COUNTIF($AL$11:$AL3956,$AL3956))</f>
        <v/>
      </c>
    </row>
    <row r="3957" spans="38:53" ht="15" customHeight="1" x14ac:dyDescent="0.25">
      <c r="AL3957" s="17"/>
      <c r="AM3957" s="12"/>
      <c r="AN3957" s="18"/>
      <c r="AO3957" s="18"/>
      <c r="AP3957" s="10"/>
      <c r="AQ3957" s="10"/>
      <c r="AR3957" s="19"/>
      <c r="AS3957" s="20"/>
      <c r="AT3957" s="19"/>
      <c r="AV3957" s="21">
        <f>IF(AND($AL3957&lt;&gt;"",COUNTIF($AL$11:$AL3957,$AL3957)=1),1,0)</f>
        <v>0</v>
      </c>
      <c r="AW3957" s="21">
        <f t="shared" si="209"/>
        <v>0</v>
      </c>
      <c r="AX3957" s="21" t="str">
        <f t="shared" si="208"/>
        <v/>
      </c>
      <c r="AY3957" s="21" t="str">
        <f>IF(AND($AM3957&lt;&gt;"",$AS3957&lt;&gt;"✓"),SUMPRODUCT(($AM$11:$AM3957&lt;&gt;"")*($AS$11:$AS3957&lt;&gt;"✓")),"")</f>
        <v/>
      </c>
      <c r="AZ3957" s="21" t="str">
        <f>IF(AND($AM3957&lt;&gt;"",$AS3957="✓"),SUMPRODUCT(($AM$11:$AM3957&lt;&gt;"")*($AS$11:$AS3957="✓")),"")</f>
        <v/>
      </c>
      <c r="BA3957" s="21" t="str">
        <f>IF($AL3957="","",$AL3957&amp;"|"&amp;COUNTIF($AL$11:$AL3957,$AL3957))</f>
        <v/>
      </c>
    </row>
    <row r="3958" spans="38:53" ht="15" customHeight="1" x14ac:dyDescent="0.25">
      <c r="AL3958" s="31"/>
      <c r="AM3958" s="26"/>
      <c r="AN3958" s="32"/>
      <c r="AO3958" s="32"/>
      <c r="AP3958" s="24"/>
      <c r="AQ3958" s="24"/>
      <c r="AR3958" s="33"/>
      <c r="AS3958" s="34"/>
      <c r="AT3958" s="33"/>
      <c r="AV3958" s="21">
        <f>IF(AND($AL3958&lt;&gt;"",COUNTIF($AL$11:$AL3958,$AL3958)=1),1,0)</f>
        <v>0</v>
      </c>
      <c r="AW3958" s="21">
        <f t="shared" si="209"/>
        <v>0</v>
      </c>
      <c r="AX3958" s="21" t="str">
        <f t="shared" si="208"/>
        <v/>
      </c>
      <c r="AY3958" s="21" t="str">
        <f>IF(AND($AM3958&lt;&gt;"",$AS3958&lt;&gt;"✓"),SUMPRODUCT(($AM$11:$AM3958&lt;&gt;"")*($AS$11:$AS3958&lt;&gt;"✓")),"")</f>
        <v/>
      </c>
      <c r="AZ3958" s="21" t="str">
        <f>IF(AND($AM3958&lt;&gt;"",$AS3958="✓"),SUMPRODUCT(($AM$11:$AM3958&lt;&gt;"")*($AS$11:$AS3958="✓")),"")</f>
        <v/>
      </c>
      <c r="BA3958" s="21" t="str">
        <f>IF($AL3958="","",$AL3958&amp;"|"&amp;COUNTIF($AL$11:$AL3958,$AL3958))</f>
        <v/>
      </c>
    </row>
    <row r="3959" spans="38:53" ht="15" customHeight="1" x14ac:dyDescent="0.25">
      <c r="AL3959" s="17"/>
      <c r="AM3959" s="12"/>
      <c r="AN3959" s="18"/>
      <c r="AO3959" s="18"/>
      <c r="AP3959" s="10"/>
      <c r="AQ3959" s="10"/>
      <c r="AR3959" s="19"/>
      <c r="AS3959" s="20"/>
      <c r="AT3959" s="19"/>
      <c r="AV3959" s="21">
        <f>IF(AND($AL3959&lt;&gt;"",COUNTIF($AL$11:$AL3959,$AL3959)=1),1,0)</f>
        <v>0</v>
      </c>
      <c r="AW3959" s="21">
        <f t="shared" si="209"/>
        <v>0</v>
      </c>
      <c r="AX3959" s="21" t="str">
        <f t="shared" si="208"/>
        <v/>
      </c>
      <c r="AY3959" s="21" t="str">
        <f>IF(AND($AM3959&lt;&gt;"",$AS3959&lt;&gt;"✓"),SUMPRODUCT(($AM$11:$AM3959&lt;&gt;"")*($AS$11:$AS3959&lt;&gt;"✓")),"")</f>
        <v/>
      </c>
      <c r="AZ3959" s="21" t="str">
        <f>IF(AND($AM3959&lt;&gt;"",$AS3959="✓"),SUMPRODUCT(($AM$11:$AM3959&lt;&gt;"")*($AS$11:$AS3959="✓")),"")</f>
        <v/>
      </c>
      <c r="BA3959" s="21" t="str">
        <f>IF($AL3959="","",$AL3959&amp;"|"&amp;COUNTIF($AL$11:$AL3959,$AL3959))</f>
        <v/>
      </c>
    </row>
    <row r="3960" spans="38:53" ht="15" customHeight="1" x14ac:dyDescent="0.25">
      <c r="AL3960" s="31"/>
      <c r="AM3960" s="26"/>
      <c r="AN3960" s="32"/>
      <c r="AO3960" s="32"/>
      <c r="AP3960" s="24"/>
      <c r="AQ3960" s="24"/>
      <c r="AR3960" s="33"/>
      <c r="AS3960" s="34"/>
      <c r="AT3960" s="33"/>
      <c r="AV3960" s="21">
        <f>IF(AND($AL3960&lt;&gt;"",COUNTIF($AL$11:$AL3960,$AL3960)=1),1,0)</f>
        <v>0</v>
      </c>
      <c r="AW3960" s="21">
        <f t="shared" si="209"/>
        <v>0</v>
      </c>
      <c r="AX3960" s="21" t="str">
        <f t="shared" si="208"/>
        <v/>
      </c>
      <c r="AY3960" s="21" t="str">
        <f>IF(AND($AM3960&lt;&gt;"",$AS3960&lt;&gt;"✓"),SUMPRODUCT(($AM$11:$AM3960&lt;&gt;"")*($AS$11:$AS3960&lt;&gt;"✓")),"")</f>
        <v/>
      </c>
      <c r="AZ3960" s="21" t="str">
        <f>IF(AND($AM3960&lt;&gt;"",$AS3960="✓"),SUMPRODUCT(($AM$11:$AM3960&lt;&gt;"")*($AS$11:$AS3960="✓")),"")</f>
        <v/>
      </c>
      <c r="BA3960" s="21" t="str">
        <f>IF($AL3960="","",$AL3960&amp;"|"&amp;COUNTIF($AL$11:$AL3960,$AL3960))</f>
        <v/>
      </c>
    </row>
    <row r="3961" spans="38:53" ht="15" customHeight="1" x14ac:dyDescent="0.25">
      <c r="AL3961" s="17"/>
      <c r="AM3961" s="12"/>
      <c r="AN3961" s="18"/>
      <c r="AO3961" s="18"/>
      <c r="AP3961" s="10"/>
      <c r="AQ3961" s="10"/>
      <c r="AR3961" s="19"/>
      <c r="AS3961" s="20"/>
      <c r="AT3961" s="19"/>
      <c r="AV3961" s="21">
        <f>IF(AND($AL3961&lt;&gt;"",COUNTIF($AL$11:$AL3961,$AL3961)=1),1,0)</f>
        <v>0</v>
      </c>
      <c r="AW3961" s="21">
        <f t="shared" si="209"/>
        <v>0</v>
      </c>
      <c r="AX3961" s="21" t="str">
        <f t="shared" si="208"/>
        <v/>
      </c>
      <c r="AY3961" s="21" t="str">
        <f>IF(AND($AM3961&lt;&gt;"",$AS3961&lt;&gt;"✓"),SUMPRODUCT(($AM$11:$AM3961&lt;&gt;"")*($AS$11:$AS3961&lt;&gt;"✓")),"")</f>
        <v/>
      </c>
      <c r="AZ3961" s="21" t="str">
        <f>IF(AND($AM3961&lt;&gt;"",$AS3961="✓"),SUMPRODUCT(($AM$11:$AM3961&lt;&gt;"")*($AS$11:$AS3961="✓")),"")</f>
        <v/>
      </c>
      <c r="BA3961" s="21" t="str">
        <f>IF($AL3961="","",$AL3961&amp;"|"&amp;COUNTIF($AL$11:$AL3961,$AL3961))</f>
        <v/>
      </c>
    </row>
    <row r="3962" spans="38:53" ht="15" customHeight="1" x14ac:dyDescent="0.25">
      <c r="AL3962" s="31"/>
      <c r="AM3962" s="26"/>
      <c r="AN3962" s="32"/>
      <c r="AO3962" s="32"/>
      <c r="AP3962" s="24"/>
      <c r="AQ3962" s="24"/>
      <c r="AR3962" s="33"/>
      <c r="AS3962" s="34"/>
      <c r="AT3962" s="33"/>
      <c r="AV3962" s="21">
        <f>IF(AND($AL3962&lt;&gt;"",COUNTIF($AL$11:$AL3962,$AL3962)=1),1,0)</f>
        <v>0</v>
      </c>
      <c r="AW3962" s="21">
        <f t="shared" si="209"/>
        <v>0</v>
      </c>
      <c r="AX3962" s="21" t="str">
        <f t="shared" si="208"/>
        <v/>
      </c>
      <c r="AY3962" s="21" t="str">
        <f>IF(AND($AM3962&lt;&gt;"",$AS3962&lt;&gt;"✓"),SUMPRODUCT(($AM$11:$AM3962&lt;&gt;"")*($AS$11:$AS3962&lt;&gt;"✓")),"")</f>
        <v/>
      </c>
      <c r="AZ3962" s="21" t="str">
        <f>IF(AND($AM3962&lt;&gt;"",$AS3962="✓"),SUMPRODUCT(($AM$11:$AM3962&lt;&gt;"")*($AS$11:$AS3962="✓")),"")</f>
        <v/>
      </c>
      <c r="BA3962" s="21" t="str">
        <f>IF($AL3962="","",$AL3962&amp;"|"&amp;COUNTIF($AL$11:$AL3962,$AL3962))</f>
        <v/>
      </c>
    </row>
    <row r="3963" spans="38:53" ht="15" customHeight="1" x14ac:dyDescent="0.25">
      <c r="AL3963" s="17"/>
      <c r="AM3963" s="12"/>
      <c r="AN3963" s="18"/>
      <c r="AO3963" s="18"/>
      <c r="AP3963" s="10"/>
      <c r="AQ3963" s="10"/>
      <c r="AR3963" s="19"/>
      <c r="AS3963" s="20"/>
      <c r="AT3963" s="19"/>
      <c r="AV3963" s="21">
        <f>IF(AND($AL3963&lt;&gt;"",COUNTIF($AL$11:$AL3963,$AL3963)=1),1,0)</f>
        <v>0</v>
      </c>
      <c r="AW3963" s="21">
        <f t="shared" si="209"/>
        <v>0</v>
      </c>
      <c r="AX3963" s="21" t="str">
        <f t="shared" si="208"/>
        <v/>
      </c>
      <c r="AY3963" s="21" t="str">
        <f>IF(AND($AM3963&lt;&gt;"",$AS3963&lt;&gt;"✓"),SUMPRODUCT(($AM$11:$AM3963&lt;&gt;"")*($AS$11:$AS3963&lt;&gt;"✓")),"")</f>
        <v/>
      </c>
      <c r="AZ3963" s="21" t="str">
        <f>IF(AND($AM3963&lt;&gt;"",$AS3963="✓"),SUMPRODUCT(($AM$11:$AM3963&lt;&gt;"")*($AS$11:$AS3963="✓")),"")</f>
        <v/>
      </c>
      <c r="BA3963" s="21" t="str">
        <f>IF($AL3963="","",$AL3963&amp;"|"&amp;COUNTIF($AL$11:$AL3963,$AL3963))</f>
        <v/>
      </c>
    </row>
    <row r="3964" spans="38:53" ht="15" customHeight="1" x14ac:dyDescent="0.25">
      <c r="AL3964" s="31"/>
      <c r="AM3964" s="26"/>
      <c r="AN3964" s="32"/>
      <c r="AO3964" s="32"/>
      <c r="AP3964" s="24"/>
      <c r="AQ3964" s="24"/>
      <c r="AR3964" s="33"/>
      <c r="AS3964" s="34"/>
      <c r="AT3964" s="33"/>
      <c r="AV3964" s="21">
        <f>IF(AND($AL3964&lt;&gt;"",COUNTIF($AL$11:$AL3964,$AL3964)=1),1,0)</f>
        <v>0</v>
      </c>
      <c r="AW3964" s="21">
        <f t="shared" si="209"/>
        <v>0</v>
      </c>
      <c r="AX3964" s="21" t="str">
        <f t="shared" si="208"/>
        <v/>
      </c>
      <c r="AY3964" s="21" t="str">
        <f>IF(AND($AM3964&lt;&gt;"",$AS3964&lt;&gt;"✓"),SUMPRODUCT(($AM$11:$AM3964&lt;&gt;"")*($AS$11:$AS3964&lt;&gt;"✓")),"")</f>
        <v/>
      </c>
      <c r="AZ3964" s="21" t="str">
        <f>IF(AND($AM3964&lt;&gt;"",$AS3964="✓"),SUMPRODUCT(($AM$11:$AM3964&lt;&gt;"")*($AS$11:$AS3964="✓")),"")</f>
        <v/>
      </c>
      <c r="BA3964" s="21" t="str">
        <f>IF($AL3964="","",$AL3964&amp;"|"&amp;COUNTIF($AL$11:$AL3964,$AL3964))</f>
        <v/>
      </c>
    </row>
    <row r="3965" spans="38:53" ht="15" customHeight="1" x14ac:dyDescent="0.25">
      <c r="AL3965" s="17"/>
      <c r="AM3965" s="12"/>
      <c r="AN3965" s="18"/>
      <c r="AO3965" s="18"/>
      <c r="AP3965" s="10"/>
      <c r="AQ3965" s="10"/>
      <c r="AR3965" s="19"/>
      <c r="AS3965" s="20"/>
      <c r="AT3965" s="19"/>
      <c r="AV3965" s="21">
        <f>IF(AND($AL3965&lt;&gt;"",COUNTIF($AL$11:$AL3965,$AL3965)=1),1,0)</f>
        <v>0</v>
      </c>
      <c r="AW3965" s="21">
        <f t="shared" si="209"/>
        <v>0</v>
      </c>
      <c r="AX3965" s="21" t="str">
        <f t="shared" si="208"/>
        <v/>
      </c>
      <c r="AY3965" s="21" t="str">
        <f>IF(AND($AM3965&lt;&gt;"",$AS3965&lt;&gt;"✓"),SUMPRODUCT(($AM$11:$AM3965&lt;&gt;"")*($AS$11:$AS3965&lt;&gt;"✓")),"")</f>
        <v/>
      </c>
      <c r="AZ3965" s="21" t="str">
        <f>IF(AND($AM3965&lt;&gt;"",$AS3965="✓"),SUMPRODUCT(($AM$11:$AM3965&lt;&gt;"")*($AS$11:$AS3965="✓")),"")</f>
        <v/>
      </c>
      <c r="BA3965" s="21" t="str">
        <f>IF($AL3965="","",$AL3965&amp;"|"&amp;COUNTIF($AL$11:$AL3965,$AL3965))</f>
        <v/>
      </c>
    </row>
    <row r="3966" spans="38:53" ht="15" customHeight="1" x14ac:dyDescent="0.25">
      <c r="AL3966" s="31"/>
      <c r="AM3966" s="26"/>
      <c r="AN3966" s="32"/>
      <c r="AO3966" s="32"/>
      <c r="AP3966" s="24"/>
      <c r="AQ3966" s="24"/>
      <c r="AR3966" s="33"/>
      <c r="AS3966" s="34"/>
      <c r="AT3966" s="33"/>
      <c r="AV3966" s="21">
        <f>IF(AND($AL3966&lt;&gt;"",COUNTIF($AL$11:$AL3966,$AL3966)=1),1,0)</f>
        <v>0</v>
      </c>
      <c r="AW3966" s="21">
        <f t="shared" si="209"/>
        <v>0</v>
      </c>
      <c r="AX3966" s="21" t="str">
        <f t="shared" si="208"/>
        <v/>
      </c>
      <c r="AY3966" s="21" t="str">
        <f>IF(AND($AM3966&lt;&gt;"",$AS3966&lt;&gt;"✓"),SUMPRODUCT(($AM$11:$AM3966&lt;&gt;"")*($AS$11:$AS3966&lt;&gt;"✓")),"")</f>
        <v/>
      </c>
      <c r="AZ3966" s="21" t="str">
        <f>IF(AND($AM3966&lt;&gt;"",$AS3966="✓"),SUMPRODUCT(($AM$11:$AM3966&lt;&gt;"")*($AS$11:$AS3966="✓")),"")</f>
        <v/>
      </c>
      <c r="BA3966" s="21" t="str">
        <f>IF($AL3966="","",$AL3966&amp;"|"&amp;COUNTIF($AL$11:$AL3966,$AL3966))</f>
        <v/>
      </c>
    </row>
    <row r="3967" spans="38:53" ht="15" customHeight="1" x14ac:dyDescent="0.25">
      <c r="AL3967" s="17"/>
      <c r="AM3967" s="12"/>
      <c r="AN3967" s="18"/>
      <c r="AO3967" s="18"/>
      <c r="AP3967" s="10"/>
      <c r="AQ3967" s="10"/>
      <c r="AR3967" s="19"/>
      <c r="AS3967" s="20"/>
      <c r="AT3967" s="19"/>
      <c r="AV3967" s="21">
        <f>IF(AND($AL3967&lt;&gt;"",COUNTIF($AL$11:$AL3967,$AL3967)=1),1,0)</f>
        <v>0</v>
      </c>
      <c r="AW3967" s="21">
        <f t="shared" si="209"/>
        <v>0</v>
      </c>
      <c r="AX3967" s="21" t="str">
        <f t="shared" si="208"/>
        <v/>
      </c>
      <c r="AY3967" s="21" t="str">
        <f>IF(AND($AM3967&lt;&gt;"",$AS3967&lt;&gt;"✓"),SUMPRODUCT(($AM$11:$AM3967&lt;&gt;"")*($AS$11:$AS3967&lt;&gt;"✓")),"")</f>
        <v/>
      </c>
      <c r="AZ3967" s="21" t="str">
        <f>IF(AND($AM3967&lt;&gt;"",$AS3967="✓"),SUMPRODUCT(($AM$11:$AM3967&lt;&gt;"")*($AS$11:$AS3967="✓")),"")</f>
        <v/>
      </c>
      <c r="BA3967" s="21" t="str">
        <f>IF($AL3967="","",$AL3967&amp;"|"&amp;COUNTIF($AL$11:$AL3967,$AL3967))</f>
        <v/>
      </c>
    </row>
    <row r="3968" spans="38:53" ht="15" customHeight="1" x14ac:dyDescent="0.25">
      <c r="AL3968" s="31"/>
      <c r="AM3968" s="26"/>
      <c r="AN3968" s="32"/>
      <c r="AO3968" s="32"/>
      <c r="AP3968" s="24"/>
      <c r="AQ3968" s="24"/>
      <c r="AR3968" s="33"/>
      <c r="AS3968" s="34"/>
      <c r="AT3968" s="33"/>
      <c r="AV3968" s="21">
        <f>IF(AND($AL3968&lt;&gt;"",COUNTIF($AL$11:$AL3968,$AL3968)=1),1,0)</f>
        <v>0</v>
      </c>
      <c r="AW3968" s="21">
        <f t="shared" si="209"/>
        <v>0</v>
      </c>
      <c r="AX3968" s="21" t="str">
        <f t="shared" si="208"/>
        <v/>
      </c>
      <c r="AY3968" s="21" t="str">
        <f>IF(AND($AM3968&lt;&gt;"",$AS3968&lt;&gt;"✓"),SUMPRODUCT(($AM$11:$AM3968&lt;&gt;"")*($AS$11:$AS3968&lt;&gt;"✓")),"")</f>
        <v/>
      </c>
      <c r="AZ3968" s="21" t="str">
        <f>IF(AND($AM3968&lt;&gt;"",$AS3968="✓"),SUMPRODUCT(($AM$11:$AM3968&lt;&gt;"")*($AS$11:$AS3968="✓")),"")</f>
        <v/>
      </c>
      <c r="BA3968" s="21" t="str">
        <f>IF($AL3968="","",$AL3968&amp;"|"&amp;COUNTIF($AL$11:$AL3968,$AL3968))</f>
        <v/>
      </c>
    </row>
    <row r="3969" spans="38:53" ht="15" customHeight="1" x14ac:dyDescent="0.25">
      <c r="AL3969" s="17"/>
      <c r="AM3969" s="12"/>
      <c r="AN3969" s="18"/>
      <c r="AO3969" s="18"/>
      <c r="AP3969" s="10"/>
      <c r="AQ3969" s="10"/>
      <c r="AR3969" s="19"/>
      <c r="AS3969" s="20"/>
      <c r="AT3969" s="19"/>
      <c r="AV3969" s="21">
        <f>IF(AND($AL3969&lt;&gt;"",COUNTIF($AL$11:$AL3969,$AL3969)=1),1,0)</f>
        <v>0</v>
      </c>
      <c r="AW3969" s="21">
        <f t="shared" si="209"/>
        <v>0</v>
      </c>
      <c r="AX3969" s="21" t="str">
        <f t="shared" si="208"/>
        <v/>
      </c>
      <c r="AY3969" s="21" t="str">
        <f>IF(AND($AM3969&lt;&gt;"",$AS3969&lt;&gt;"✓"),SUMPRODUCT(($AM$11:$AM3969&lt;&gt;"")*($AS$11:$AS3969&lt;&gt;"✓")),"")</f>
        <v/>
      </c>
      <c r="AZ3969" s="21" t="str">
        <f>IF(AND($AM3969&lt;&gt;"",$AS3969="✓"),SUMPRODUCT(($AM$11:$AM3969&lt;&gt;"")*($AS$11:$AS3969="✓")),"")</f>
        <v/>
      </c>
      <c r="BA3969" s="21" t="str">
        <f>IF($AL3969="","",$AL3969&amp;"|"&amp;COUNTIF($AL$11:$AL3969,$AL3969))</f>
        <v/>
      </c>
    </row>
    <row r="3970" spans="38:53" ht="15" customHeight="1" x14ac:dyDescent="0.25">
      <c r="AL3970" s="31"/>
      <c r="AM3970" s="26"/>
      <c r="AN3970" s="32"/>
      <c r="AO3970" s="32"/>
      <c r="AP3970" s="24"/>
      <c r="AQ3970" s="24"/>
      <c r="AR3970" s="33"/>
      <c r="AS3970" s="34"/>
      <c r="AT3970" s="33"/>
      <c r="AV3970" s="21">
        <f>IF(AND($AL3970&lt;&gt;"",COUNTIF($AL$11:$AL3970,$AL3970)=1),1,0)</f>
        <v>0</v>
      </c>
      <c r="AW3970" s="21">
        <f t="shared" si="209"/>
        <v>0</v>
      </c>
      <c r="AX3970" s="21" t="str">
        <f t="shared" si="208"/>
        <v/>
      </c>
      <c r="AY3970" s="21" t="str">
        <f>IF(AND($AM3970&lt;&gt;"",$AS3970&lt;&gt;"✓"),SUMPRODUCT(($AM$11:$AM3970&lt;&gt;"")*($AS$11:$AS3970&lt;&gt;"✓")),"")</f>
        <v/>
      </c>
      <c r="AZ3970" s="21" t="str">
        <f>IF(AND($AM3970&lt;&gt;"",$AS3970="✓"),SUMPRODUCT(($AM$11:$AM3970&lt;&gt;"")*($AS$11:$AS3970="✓")),"")</f>
        <v/>
      </c>
      <c r="BA3970" s="21" t="str">
        <f>IF($AL3970="","",$AL3970&amp;"|"&amp;COUNTIF($AL$11:$AL3970,$AL3970))</f>
        <v/>
      </c>
    </row>
    <row r="3971" spans="38:53" ht="15" customHeight="1" x14ac:dyDescent="0.25">
      <c r="AL3971" s="17"/>
      <c r="AM3971" s="12"/>
      <c r="AN3971" s="18"/>
      <c r="AO3971" s="18"/>
      <c r="AP3971" s="10"/>
      <c r="AQ3971" s="10"/>
      <c r="AR3971" s="19"/>
      <c r="AS3971" s="20"/>
      <c r="AT3971" s="19"/>
      <c r="AV3971" s="21">
        <f>IF(AND($AL3971&lt;&gt;"",COUNTIF($AL$11:$AL3971,$AL3971)=1),1,0)</f>
        <v>0</v>
      </c>
      <c r="AW3971" s="21">
        <f t="shared" si="209"/>
        <v>0</v>
      </c>
      <c r="AX3971" s="21" t="str">
        <f t="shared" si="208"/>
        <v/>
      </c>
      <c r="AY3971" s="21" t="str">
        <f>IF(AND($AM3971&lt;&gt;"",$AS3971&lt;&gt;"✓"),SUMPRODUCT(($AM$11:$AM3971&lt;&gt;"")*($AS$11:$AS3971&lt;&gt;"✓")),"")</f>
        <v/>
      </c>
      <c r="AZ3971" s="21" t="str">
        <f>IF(AND($AM3971&lt;&gt;"",$AS3971="✓"),SUMPRODUCT(($AM$11:$AM3971&lt;&gt;"")*($AS$11:$AS3971="✓")),"")</f>
        <v/>
      </c>
      <c r="BA3971" s="21" t="str">
        <f>IF($AL3971="","",$AL3971&amp;"|"&amp;COUNTIF($AL$11:$AL3971,$AL3971))</f>
        <v/>
      </c>
    </row>
    <row r="3972" spans="38:53" ht="15" customHeight="1" x14ac:dyDescent="0.25">
      <c r="AL3972" s="31"/>
      <c r="AM3972" s="26"/>
      <c r="AN3972" s="32"/>
      <c r="AO3972" s="32"/>
      <c r="AP3972" s="24"/>
      <c r="AQ3972" s="24"/>
      <c r="AR3972" s="33"/>
      <c r="AS3972" s="34"/>
      <c r="AT3972" s="33"/>
      <c r="AV3972" s="21">
        <f>IF(AND($AL3972&lt;&gt;"",COUNTIF($AL$11:$AL3972,$AL3972)=1),1,0)</f>
        <v>0</v>
      </c>
      <c r="AW3972" s="21">
        <f t="shared" si="209"/>
        <v>0</v>
      </c>
      <c r="AX3972" s="21" t="str">
        <f t="shared" si="208"/>
        <v/>
      </c>
      <c r="AY3972" s="21" t="str">
        <f>IF(AND($AM3972&lt;&gt;"",$AS3972&lt;&gt;"✓"),SUMPRODUCT(($AM$11:$AM3972&lt;&gt;"")*($AS$11:$AS3972&lt;&gt;"✓")),"")</f>
        <v/>
      </c>
      <c r="AZ3972" s="21" t="str">
        <f>IF(AND($AM3972&lt;&gt;"",$AS3972="✓"),SUMPRODUCT(($AM$11:$AM3972&lt;&gt;"")*($AS$11:$AS3972="✓")),"")</f>
        <v/>
      </c>
      <c r="BA3972" s="21" t="str">
        <f>IF($AL3972="","",$AL3972&amp;"|"&amp;COUNTIF($AL$11:$AL3972,$AL3972))</f>
        <v/>
      </c>
    </row>
    <row r="3973" spans="38:53" ht="15" customHeight="1" x14ac:dyDescent="0.25">
      <c r="AL3973" s="17"/>
      <c r="AM3973" s="12"/>
      <c r="AN3973" s="18"/>
      <c r="AO3973" s="18"/>
      <c r="AP3973" s="10"/>
      <c r="AQ3973" s="10"/>
      <c r="AR3973" s="19"/>
      <c r="AS3973" s="20"/>
      <c r="AT3973" s="19"/>
      <c r="AV3973" s="21">
        <f>IF(AND($AL3973&lt;&gt;"",COUNTIF($AL$11:$AL3973,$AL3973)=1),1,0)</f>
        <v>0</v>
      </c>
      <c r="AW3973" s="21">
        <f t="shared" si="209"/>
        <v>0</v>
      </c>
      <c r="AX3973" s="21" t="str">
        <f t="shared" si="208"/>
        <v/>
      </c>
      <c r="AY3973" s="21" t="str">
        <f>IF(AND($AM3973&lt;&gt;"",$AS3973&lt;&gt;"✓"),SUMPRODUCT(($AM$11:$AM3973&lt;&gt;"")*($AS$11:$AS3973&lt;&gt;"✓")),"")</f>
        <v/>
      </c>
      <c r="AZ3973" s="21" t="str">
        <f>IF(AND($AM3973&lt;&gt;"",$AS3973="✓"),SUMPRODUCT(($AM$11:$AM3973&lt;&gt;"")*($AS$11:$AS3973="✓")),"")</f>
        <v/>
      </c>
      <c r="BA3973" s="21" t="str">
        <f>IF($AL3973="","",$AL3973&amp;"|"&amp;COUNTIF($AL$11:$AL3973,$AL3973))</f>
        <v/>
      </c>
    </row>
    <row r="3974" spans="38:53" ht="15" customHeight="1" x14ac:dyDescent="0.25">
      <c r="AL3974" s="31"/>
      <c r="AM3974" s="26"/>
      <c r="AN3974" s="32"/>
      <c r="AO3974" s="32"/>
      <c r="AP3974" s="24"/>
      <c r="AQ3974" s="24"/>
      <c r="AR3974" s="33"/>
      <c r="AS3974" s="34"/>
      <c r="AT3974" s="33"/>
      <c r="AV3974" s="21">
        <f>IF(AND($AL3974&lt;&gt;"",COUNTIF($AL$11:$AL3974,$AL3974)=1),1,0)</f>
        <v>0</v>
      </c>
      <c r="AW3974" s="21">
        <f t="shared" si="209"/>
        <v>0</v>
      </c>
      <c r="AX3974" s="21" t="str">
        <f t="shared" si="208"/>
        <v/>
      </c>
      <c r="AY3974" s="21" t="str">
        <f>IF(AND($AM3974&lt;&gt;"",$AS3974&lt;&gt;"✓"),SUMPRODUCT(($AM$11:$AM3974&lt;&gt;"")*($AS$11:$AS3974&lt;&gt;"✓")),"")</f>
        <v/>
      </c>
      <c r="AZ3974" s="21" t="str">
        <f>IF(AND($AM3974&lt;&gt;"",$AS3974="✓"),SUMPRODUCT(($AM$11:$AM3974&lt;&gt;"")*($AS$11:$AS3974="✓")),"")</f>
        <v/>
      </c>
      <c r="BA3974" s="21" t="str">
        <f>IF($AL3974="","",$AL3974&amp;"|"&amp;COUNTIF($AL$11:$AL3974,$AL3974))</f>
        <v/>
      </c>
    </row>
    <row r="3975" spans="38:53" ht="15" customHeight="1" x14ac:dyDescent="0.25">
      <c r="AL3975" s="17"/>
      <c r="AM3975" s="12"/>
      <c r="AN3975" s="18"/>
      <c r="AO3975" s="18"/>
      <c r="AP3975" s="10"/>
      <c r="AQ3975" s="10"/>
      <c r="AR3975" s="19"/>
      <c r="AS3975" s="20"/>
      <c r="AT3975" s="19"/>
      <c r="AV3975" s="21">
        <f>IF(AND($AL3975&lt;&gt;"",COUNTIF($AL$11:$AL3975,$AL3975)=1),1,0)</f>
        <v>0</v>
      </c>
      <c r="AW3975" s="21">
        <f t="shared" si="209"/>
        <v>0</v>
      </c>
      <c r="AX3975" s="21" t="str">
        <f t="shared" si="208"/>
        <v/>
      </c>
      <c r="AY3975" s="21" t="str">
        <f>IF(AND($AM3975&lt;&gt;"",$AS3975&lt;&gt;"✓"),SUMPRODUCT(($AM$11:$AM3975&lt;&gt;"")*($AS$11:$AS3975&lt;&gt;"✓")),"")</f>
        <v/>
      </c>
      <c r="AZ3975" s="21" t="str">
        <f>IF(AND($AM3975&lt;&gt;"",$AS3975="✓"),SUMPRODUCT(($AM$11:$AM3975&lt;&gt;"")*($AS$11:$AS3975="✓")),"")</f>
        <v/>
      </c>
      <c r="BA3975" s="21" t="str">
        <f>IF($AL3975="","",$AL3975&amp;"|"&amp;COUNTIF($AL$11:$AL3975,$AL3975))</f>
        <v/>
      </c>
    </row>
    <row r="3976" spans="38:53" ht="15" customHeight="1" x14ac:dyDescent="0.25">
      <c r="AL3976" s="31"/>
      <c r="AM3976" s="26"/>
      <c r="AN3976" s="32"/>
      <c r="AO3976" s="32"/>
      <c r="AP3976" s="24"/>
      <c r="AQ3976" s="24"/>
      <c r="AR3976" s="33"/>
      <c r="AS3976" s="34"/>
      <c r="AT3976" s="33"/>
      <c r="AV3976" s="21">
        <f>IF(AND($AL3976&lt;&gt;"",COUNTIF($AL$11:$AL3976,$AL3976)=1),1,0)</f>
        <v>0</v>
      </c>
      <c r="AW3976" s="21">
        <f t="shared" si="209"/>
        <v>0</v>
      </c>
      <c r="AX3976" s="21" t="str">
        <f t="shared" si="208"/>
        <v/>
      </c>
      <c r="AY3976" s="21" t="str">
        <f>IF(AND($AM3976&lt;&gt;"",$AS3976&lt;&gt;"✓"),SUMPRODUCT(($AM$11:$AM3976&lt;&gt;"")*($AS$11:$AS3976&lt;&gt;"✓")),"")</f>
        <v/>
      </c>
      <c r="AZ3976" s="21" t="str">
        <f>IF(AND($AM3976&lt;&gt;"",$AS3976="✓"),SUMPRODUCT(($AM$11:$AM3976&lt;&gt;"")*($AS$11:$AS3976="✓")),"")</f>
        <v/>
      </c>
      <c r="BA3976" s="21" t="str">
        <f>IF($AL3976="","",$AL3976&amp;"|"&amp;COUNTIF($AL$11:$AL3976,$AL3976))</f>
        <v/>
      </c>
    </row>
    <row r="3977" spans="38:53" ht="15" customHeight="1" x14ac:dyDescent="0.25">
      <c r="AL3977" s="17"/>
      <c r="AM3977" s="12"/>
      <c r="AN3977" s="18"/>
      <c r="AO3977" s="18"/>
      <c r="AP3977" s="10"/>
      <c r="AQ3977" s="10"/>
      <c r="AR3977" s="19"/>
      <c r="AS3977" s="20"/>
      <c r="AT3977" s="19"/>
      <c r="AV3977" s="21">
        <f>IF(AND($AL3977&lt;&gt;"",COUNTIF($AL$11:$AL3977,$AL3977)=1),1,0)</f>
        <v>0</v>
      </c>
      <c r="AW3977" s="21">
        <f t="shared" si="209"/>
        <v>0</v>
      </c>
      <c r="AX3977" s="21" t="str">
        <f t="shared" si="208"/>
        <v/>
      </c>
      <c r="AY3977" s="21" t="str">
        <f>IF(AND($AM3977&lt;&gt;"",$AS3977&lt;&gt;"✓"),SUMPRODUCT(($AM$11:$AM3977&lt;&gt;"")*($AS$11:$AS3977&lt;&gt;"✓")),"")</f>
        <v/>
      </c>
      <c r="AZ3977" s="21" t="str">
        <f>IF(AND($AM3977&lt;&gt;"",$AS3977="✓"),SUMPRODUCT(($AM$11:$AM3977&lt;&gt;"")*($AS$11:$AS3977="✓")),"")</f>
        <v/>
      </c>
      <c r="BA3977" s="21" t="str">
        <f>IF($AL3977="","",$AL3977&amp;"|"&amp;COUNTIF($AL$11:$AL3977,$AL3977))</f>
        <v/>
      </c>
    </row>
    <row r="3978" spans="38:53" ht="15" customHeight="1" x14ac:dyDescent="0.25">
      <c r="AL3978" s="31"/>
      <c r="AM3978" s="26"/>
      <c r="AN3978" s="32"/>
      <c r="AO3978" s="32"/>
      <c r="AP3978" s="24"/>
      <c r="AQ3978" s="24"/>
      <c r="AR3978" s="33"/>
      <c r="AS3978" s="34"/>
      <c r="AT3978" s="33"/>
      <c r="AV3978" s="21">
        <f>IF(AND($AL3978&lt;&gt;"",COUNTIF($AL$11:$AL3978,$AL3978)=1),1,0)</f>
        <v>0</v>
      </c>
      <c r="AW3978" s="21">
        <f t="shared" si="209"/>
        <v>0</v>
      </c>
      <c r="AX3978" s="21" t="str">
        <f t="shared" si="208"/>
        <v/>
      </c>
      <c r="AY3978" s="21" t="str">
        <f>IF(AND($AM3978&lt;&gt;"",$AS3978&lt;&gt;"✓"),SUMPRODUCT(($AM$11:$AM3978&lt;&gt;"")*($AS$11:$AS3978&lt;&gt;"✓")),"")</f>
        <v/>
      </c>
      <c r="AZ3978" s="21" t="str">
        <f>IF(AND($AM3978&lt;&gt;"",$AS3978="✓"),SUMPRODUCT(($AM$11:$AM3978&lt;&gt;"")*($AS$11:$AS3978="✓")),"")</f>
        <v/>
      </c>
      <c r="BA3978" s="21" t="str">
        <f>IF($AL3978="","",$AL3978&amp;"|"&amp;COUNTIF($AL$11:$AL3978,$AL3978))</f>
        <v/>
      </c>
    </row>
    <row r="3979" spans="38:53" ht="15" customHeight="1" x14ac:dyDescent="0.25">
      <c r="AL3979" s="17"/>
      <c r="AM3979" s="12"/>
      <c r="AN3979" s="18"/>
      <c r="AO3979" s="18"/>
      <c r="AP3979" s="10"/>
      <c r="AQ3979" s="10"/>
      <c r="AR3979" s="19"/>
      <c r="AS3979" s="20"/>
      <c r="AT3979" s="19"/>
      <c r="AV3979" s="21">
        <f>IF(AND($AL3979&lt;&gt;"",COUNTIF($AL$11:$AL3979,$AL3979)=1),1,0)</f>
        <v>0</v>
      </c>
      <c r="AW3979" s="21">
        <f t="shared" si="209"/>
        <v>0</v>
      </c>
      <c r="AX3979" s="21" t="str">
        <f t="shared" ref="AX3979:AX4042" si="210">IF(AV3979=1,AW3979,"")</f>
        <v/>
      </c>
      <c r="AY3979" s="21" t="str">
        <f>IF(AND($AM3979&lt;&gt;"",$AS3979&lt;&gt;"✓"),SUMPRODUCT(($AM$11:$AM3979&lt;&gt;"")*($AS$11:$AS3979&lt;&gt;"✓")),"")</f>
        <v/>
      </c>
      <c r="AZ3979" s="21" t="str">
        <f>IF(AND($AM3979&lt;&gt;"",$AS3979="✓"),SUMPRODUCT(($AM$11:$AM3979&lt;&gt;"")*($AS$11:$AS3979="✓")),"")</f>
        <v/>
      </c>
      <c r="BA3979" s="21" t="str">
        <f>IF($AL3979="","",$AL3979&amp;"|"&amp;COUNTIF($AL$11:$AL3979,$AL3979))</f>
        <v/>
      </c>
    </row>
    <row r="3980" spans="38:53" ht="15" customHeight="1" x14ac:dyDescent="0.25">
      <c r="AL3980" s="31"/>
      <c r="AM3980" s="26"/>
      <c r="AN3980" s="32"/>
      <c r="AO3980" s="32"/>
      <c r="AP3980" s="24"/>
      <c r="AQ3980" s="24"/>
      <c r="AR3980" s="33"/>
      <c r="AS3980" s="34"/>
      <c r="AT3980" s="33"/>
      <c r="AV3980" s="21">
        <f>IF(AND($AL3980&lt;&gt;"",COUNTIF($AL$11:$AL3980,$AL3980)=1),1,0)</f>
        <v>0</v>
      </c>
      <c r="AW3980" s="21">
        <f t="shared" ref="AW3980:AW4043" si="211">AW3979+AV3980</f>
        <v>0</v>
      </c>
      <c r="AX3980" s="21" t="str">
        <f t="shared" si="210"/>
        <v/>
      </c>
      <c r="AY3980" s="21" t="str">
        <f>IF(AND($AM3980&lt;&gt;"",$AS3980&lt;&gt;"✓"),SUMPRODUCT(($AM$11:$AM3980&lt;&gt;"")*($AS$11:$AS3980&lt;&gt;"✓")),"")</f>
        <v/>
      </c>
      <c r="AZ3980" s="21" t="str">
        <f>IF(AND($AM3980&lt;&gt;"",$AS3980="✓"),SUMPRODUCT(($AM$11:$AM3980&lt;&gt;"")*($AS$11:$AS3980="✓")),"")</f>
        <v/>
      </c>
      <c r="BA3980" s="21" t="str">
        <f>IF($AL3980="","",$AL3980&amp;"|"&amp;COUNTIF($AL$11:$AL3980,$AL3980))</f>
        <v/>
      </c>
    </row>
    <row r="3981" spans="38:53" ht="15" customHeight="1" x14ac:dyDescent="0.25">
      <c r="AL3981" s="17"/>
      <c r="AM3981" s="12"/>
      <c r="AN3981" s="18"/>
      <c r="AO3981" s="18"/>
      <c r="AP3981" s="10"/>
      <c r="AQ3981" s="10"/>
      <c r="AR3981" s="19"/>
      <c r="AS3981" s="20"/>
      <c r="AT3981" s="19"/>
      <c r="AV3981" s="21">
        <f>IF(AND($AL3981&lt;&gt;"",COUNTIF($AL$11:$AL3981,$AL3981)=1),1,0)</f>
        <v>0</v>
      </c>
      <c r="AW3981" s="21">
        <f t="shared" si="211"/>
        <v>0</v>
      </c>
      <c r="AX3981" s="21" t="str">
        <f t="shared" si="210"/>
        <v/>
      </c>
      <c r="AY3981" s="21" t="str">
        <f>IF(AND($AM3981&lt;&gt;"",$AS3981&lt;&gt;"✓"),SUMPRODUCT(($AM$11:$AM3981&lt;&gt;"")*($AS$11:$AS3981&lt;&gt;"✓")),"")</f>
        <v/>
      </c>
      <c r="AZ3981" s="21" t="str">
        <f>IF(AND($AM3981&lt;&gt;"",$AS3981="✓"),SUMPRODUCT(($AM$11:$AM3981&lt;&gt;"")*($AS$11:$AS3981="✓")),"")</f>
        <v/>
      </c>
      <c r="BA3981" s="21" t="str">
        <f>IF($AL3981="","",$AL3981&amp;"|"&amp;COUNTIF($AL$11:$AL3981,$AL3981))</f>
        <v/>
      </c>
    </row>
    <row r="3982" spans="38:53" ht="15" customHeight="1" x14ac:dyDescent="0.25">
      <c r="AL3982" s="31"/>
      <c r="AM3982" s="26"/>
      <c r="AN3982" s="32"/>
      <c r="AO3982" s="32"/>
      <c r="AP3982" s="24"/>
      <c r="AQ3982" s="24"/>
      <c r="AR3982" s="33"/>
      <c r="AS3982" s="34"/>
      <c r="AT3982" s="33"/>
      <c r="AV3982" s="21">
        <f>IF(AND($AL3982&lt;&gt;"",COUNTIF($AL$11:$AL3982,$AL3982)=1),1,0)</f>
        <v>0</v>
      </c>
      <c r="AW3982" s="21">
        <f t="shared" si="211"/>
        <v>0</v>
      </c>
      <c r="AX3982" s="21" t="str">
        <f t="shared" si="210"/>
        <v/>
      </c>
      <c r="AY3982" s="21" t="str">
        <f>IF(AND($AM3982&lt;&gt;"",$AS3982&lt;&gt;"✓"),SUMPRODUCT(($AM$11:$AM3982&lt;&gt;"")*($AS$11:$AS3982&lt;&gt;"✓")),"")</f>
        <v/>
      </c>
      <c r="AZ3982" s="21" t="str">
        <f>IF(AND($AM3982&lt;&gt;"",$AS3982="✓"),SUMPRODUCT(($AM$11:$AM3982&lt;&gt;"")*($AS$11:$AS3982="✓")),"")</f>
        <v/>
      </c>
      <c r="BA3982" s="21" t="str">
        <f>IF($AL3982="","",$AL3982&amp;"|"&amp;COUNTIF($AL$11:$AL3982,$AL3982))</f>
        <v/>
      </c>
    </row>
    <row r="3983" spans="38:53" ht="15" customHeight="1" x14ac:dyDescent="0.25">
      <c r="AL3983" s="17"/>
      <c r="AM3983" s="12"/>
      <c r="AN3983" s="18"/>
      <c r="AO3983" s="18"/>
      <c r="AP3983" s="10"/>
      <c r="AQ3983" s="10"/>
      <c r="AR3983" s="19"/>
      <c r="AS3983" s="20"/>
      <c r="AT3983" s="19"/>
      <c r="AV3983" s="21">
        <f>IF(AND($AL3983&lt;&gt;"",COUNTIF($AL$11:$AL3983,$AL3983)=1),1,0)</f>
        <v>0</v>
      </c>
      <c r="AW3983" s="21">
        <f t="shared" si="211"/>
        <v>0</v>
      </c>
      <c r="AX3983" s="21" t="str">
        <f t="shared" si="210"/>
        <v/>
      </c>
      <c r="AY3983" s="21" t="str">
        <f>IF(AND($AM3983&lt;&gt;"",$AS3983&lt;&gt;"✓"),SUMPRODUCT(($AM$11:$AM3983&lt;&gt;"")*($AS$11:$AS3983&lt;&gt;"✓")),"")</f>
        <v/>
      </c>
      <c r="AZ3983" s="21" t="str">
        <f>IF(AND($AM3983&lt;&gt;"",$AS3983="✓"),SUMPRODUCT(($AM$11:$AM3983&lt;&gt;"")*($AS$11:$AS3983="✓")),"")</f>
        <v/>
      </c>
      <c r="BA3983" s="21" t="str">
        <f>IF($AL3983="","",$AL3983&amp;"|"&amp;COUNTIF($AL$11:$AL3983,$AL3983))</f>
        <v/>
      </c>
    </row>
    <row r="3984" spans="38:53" ht="15" customHeight="1" x14ac:dyDescent="0.25">
      <c r="AL3984" s="31"/>
      <c r="AM3984" s="26"/>
      <c r="AN3984" s="32"/>
      <c r="AO3984" s="32"/>
      <c r="AP3984" s="24"/>
      <c r="AQ3984" s="24"/>
      <c r="AR3984" s="33"/>
      <c r="AS3984" s="34"/>
      <c r="AT3984" s="33"/>
      <c r="AV3984" s="21">
        <f>IF(AND($AL3984&lt;&gt;"",COUNTIF($AL$11:$AL3984,$AL3984)=1),1,0)</f>
        <v>0</v>
      </c>
      <c r="AW3984" s="21">
        <f t="shared" si="211"/>
        <v>0</v>
      </c>
      <c r="AX3984" s="21" t="str">
        <f t="shared" si="210"/>
        <v/>
      </c>
      <c r="AY3984" s="21" t="str">
        <f>IF(AND($AM3984&lt;&gt;"",$AS3984&lt;&gt;"✓"),SUMPRODUCT(($AM$11:$AM3984&lt;&gt;"")*($AS$11:$AS3984&lt;&gt;"✓")),"")</f>
        <v/>
      </c>
      <c r="AZ3984" s="21" t="str">
        <f>IF(AND($AM3984&lt;&gt;"",$AS3984="✓"),SUMPRODUCT(($AM$11:$AM3984&lt;&gt;"")*($AS$11:$AS3984="✓")),"")</f>
        <v/>
      </c>
      <c r="BA3984" s="21" t="str">
        <f>IF($AL3984="","",$AL3984&amp;"|"&amp;COUNTIF($AL$11:$AL3984,$AL3984))</f>
        <v/>
      </c>
    </row>
    <row r="3985" spans="38:53" ht="15" customHeight="1" x14ac:dyDescent="0.25">
      <c r="AL3985" s="17"/>
      <c r="AM3985" s="12"/>
      <c r="AN3985" s="18"/>
      <c r="AO3985" s="18"/>
      <c r="AP3985" s="10"/>
      <c r="AQ3985" s="10"/>
      <c r="AR3985" s="19"/>
      <c r="AS3985" s="20"/>
      <c r="AT3985" s="19"/>
      <c r="AV3985" s="21">
        <f>IF(AND($AL3985&lt;&gt;"",COUNTIF($AL$11:$AL3985,$AL3985)=1),1,0)</f>
        <v>0</v>
      </c>
      <c r="AW3985" s="21">
        <f t="shared" si="211"/>
        <v>0</v>
      </c>
      <c r="AX3985" s="21" t="str">
        <f t="shared" si="210"/>
        <v/>
      </c>
      <c r="AY3985" s="21" t="str">
        <f>IF(AND($AM3985&lt;&gt;"",$AS3985&lt;&gt;"✓"),SUMPRODUCT(($AM$11:$AM3985&lt;&gt;"")*($AS$11:$AS3985&lt;&gt;"✓")),"")</f>
        <v/>
      </c>
      <c r="AZ3985" s="21" t="str">
        <f>IF(AND($AM3985&lt;&gt;"",$AS3985="✓"),SUMPRODUCT(($AM$11:$AM3985&lt;&gt;"")*($AS$11:$AS3985="✓")),"")</f>
        <v/>
      </c>
      <c r="BA3985" s="21" t="str">
        <f>IF($AL3985="","",$AL3985&amp;"|"&amp;COUNTIF($AL$11:$AL3985,$AL3985))</f>
        <v/>
      </c>
    </row>
    <row r="3986" spans="38:53" ht="15" customHeight="1" x14ac:dyDescent="0.25">
      <c r="AL3986" s="31"/>
      <c r="AM3986" s="26"/>
      <c r="AN3986" s="32"/>
      <c r="AO3986" s="32"/>
      <c r="AP3986" s="24"/>
      <c r="AQ3986" s="24"/>
      <c r="AR3986" s="33"/>
      <c r="AS3986" s="34"/>
      <c r="AT3986" s="33"/>
      <c r="AV3986" s="21">
        <f>IF(AND($AL3986&lt;&gt;"",COUNTIF($AL$11:$AL3986,$AL3986)=1),1,0)</f>
        <v>0</v>
      </c>
      <c r="AW3986" s="21">
        <f t="shared" si="211"/>
        <v>0</v>
      </c>
      <c r="AX3986" s="21" t="str">
        <f t="shared" si="210"/>
        <v/>
      </c>
      <c r="AY3986" s="21" t="str">
        <f>IF(AND($AM3986&lt;&gt;"",$AS3986&lt;&gt;"✓"),SUMPRODUCT(($AM$11:$AM3986&lt;&gt;"")*($AS$11:$AS3986&lt;&gt;"✓")),"")</f>
        <v/>
      </c>
      <c r="AZ3986" s="21" t="str">
        <f>IF(AND($AM3986&lt;&gt;"",$AS3986="✓"),SUMPRODUCT(($AM$11:$AM3986&lt;&gt;"")*($AS$11:$AS3986="✓")),"")</f>
        <v/>
      </c>
      <c r="BA3986" s="21" t="str">
        <f>IF($AL3986="","",$AL3986&amp;"|"&amp;COUNTIF($AL$11:$AL3986,$AL3986))</f>
        <v/>
      </c>
    </row>
    <row r="3987" spans="38:53" ht="15" customHeight="1" x14ac:dyDescent="0.25">
      <c r="AL3987" s="17"/>
      <c r="AM3987" s="12"/>
      <c r="AN3987" s="18"/>
      <c r="AO3987" s="18"/>
      <c r="AP3987" s="10"/>
      <c r="AQ3987" s="10"/>
      <c r="AR3987" s="19"/>
      <c r="AS3987" s="20"/>
      <c r="AT3987" s="19"/>
      <c r="AV3987" s="21">
        <f>IF(AND($AL3987&lt;&gt;"",COUNTIF($AL$11:$AL3987,$AL3987)=1),1,0)</f>
        <v>0</v>
      </c>
      <c r="AW3987" s="21">
        <f t="shared" si="211"/>
        <v>0</v>
      </c>
      <c r="AX3987" s="21" t="str">
        <f t="shared" si="210"/>
        <v/>
      </c>
      <c r="AY3987" s="21" t="str">
        <f>IF(AND($AM3987&lt;&gt;"",$AS3987&lt;&gt;"✓"),SUMPRODUCT(($AM$11:$AM3987&lt;&gt;"")*($AS$11:$AS3987&lt;&gt;"✓")),"")</f>
        <v/>
      </c>
      <c r="AZ3987" s="21" t="str">
        <f>IF(AND($AM3987&lt;&gt;"",$AS3987="✓"),SUMPRODUCT(($AM$11:$AM3987&lt;&gt;"")*($AS$11:$AS3987="✓")),"")</f>
        <v/>
      </c>
      <c r="BA3987" s="21" t="str">
        <f>IF($AL3987="","",$AL3987&amp;"|"&amp;COUNTIF($AL$11:$AL3987,$AL3987))</f>
        <v/>
      </c>
    </row>
    <row r="3988" spans="38:53" ht="15" customHeight="1" x14ac:dyDescent="0.25">
      <c r="AL3988" s="31"/>
      <c r="AM3988" s="26"/>
      <c r="AN3988" s="32"/>
      <c r="AO3988" s="32"/>
      <c r="AP3988" s="24"/>
      <c r="AQ3988" s="24"/>
      <c r="AR3988" s="33"/>
      <c r="AS3988" s="34"/>
      <c r="AT3988" s="33"/>
      <c r="AV3988" s="21">
        <f>IF(AND($AL3988&lt;&gt;"",COUNTIF($AL$11:$AL3988,$AL3988)=1),1,0)</f>
        <v>0</v>
      </c>
      <c r="AW3988" s="21">
        <f t="shared" si="211"/>
        <v>0</v>
      </c>
      <c r="AX3988" s="21" t="str">
        <f t="shared" si="210"/>
        <v/>
      </c>
      <c r="AY3988" s="21" t="str">
        <f>IF(AND($AM3988&lt;&gt;"",$AS3988&lt;&gt;"✓"),SUMPRODUCT(($AM$11:$AM3988&lt;&gt;"")*($AS$11:$AS3988&lt;&gt;"✓")),"")</f>
        <v/>
      </c>
      <c r="AZ3988" s="21" t="str">
        <f>IF(AND($AM3988&lt;&gt;"",$AS3988="✓"),SUMPRODUCT(($AM$11:$AM3988&lt;&gt;"")*($AS$11:$AS3988="✓")),"")</f>
        <v/>
      </c>
      <c r="BA3988" s="21" t="str">
        <f>IF($AL3988="","",$AL3988&amp;"|"&amp;COUNTIF($AL$11:$AL3988,$AL3988))</f>
        <v/>
      </c>
    </row>
    <row r="3989" spans="38:53" ht="15" customHeight="1" x14ac:dyDescent="0.25">
      <c r="AL3989" s="17"/>
      <c r="AM3989" s="12"/>
      <c r="AN3989" s="18"/>
      <c r="AO3989" s="18"/>
      <c r="AP3989" s="10"/>
      <c r="AQ3989" s="10"/>
      <c r="AR3989" s="19"/>
      <c r="AS3989" s="20"/>
      <c r="AT3989" s="19"/>
      <c r="AV3989" s="21">
        <f>IF(AND($AL3989&lt;&gt;"",COUNTIF($AL$11:$AL3989,$AL3989)=1),1,0)</f>
        <v>0</v>
      </c>
      <c r="AW3989" s="21">
        <f t="shared" si="211"/>
        <v>0</v>
      </c>
      <c r="AX3989" s="21" t="str">
        <f t="shared" si="210"/>
        <v/>
      </c>
      <c r="AY3989" s="21" t="str">
        <f>IF(AND($AM3989&lt;&gt;"",$AS3989&lt;&gt;"✓"),SUMPRODUCT(($AM$11:$AM3989&lt;&gt;"")*($AS$11:$AS3989&lt;&gt;"✓")),"")</f>
        <v/>
      </c>
      <c r="AZ3989" s="21" t="str">
        <f>IF(AND($AM3989&lt;&gt;"",$AS3989="✓"),SUMPRODUCT(($AM$11:$AM3989&lt;&gt;"")*($AS$11:$AS3989="✓")),"")</f>
        <v/>
      </c>
      <c r="BA3989" s="21" t="str">
        <f>IF($AL3989="","",$AL3989&amp;"|"&amp;COUNTIF($AL$11:$AL3989,$AL3989))</f>
        <v/>
      </c>
    </row>
    <row r="3990" spans="38:53" ht="15" customHeight="1" x14ac:dyDescent="0.25">
      <c r="AL3990" s="31"/>
      <c r="AM3990" s="26"/>
      <c r="AN3990" s="32"/>
      <c r="AO3990" s="32"/>
      <c r="AP3990" s="24"/>
      <c r="AQ3990" s="24"/>
      <c r="AR3990" s="33"/>
      <c r="AS3990" s="34"/>
      <c r="AT3990" s="33"/>
      <c r="AV3990" s="21">
        <f>IF(AND($AL3990&lt;&gt;"",COUNTIF($AL$11:$AL3990,$AL3990)=1),1,0)</f>
        <v>0</v>
      </c>
      <c r="AW3990" s="21">
        <f t="shared" si="211"/>
        <v>0</v>
      </c>
      <c r="AX3990" s="21" t="str">
        <f t="shared" si="210"/>
        <v/>
      </c>
      <c r="AY3990" s="21" t="str">
        <f>IF(AND($AM3990&lt;&gt;"",$AS3990&lt;&gt;"✓"),SUMPRODUCT(($AM$11:$AM3990&lt;&gt;"")*($AS$11:$AS3990&lt;&gt;"✓")),"")</f>
        <v/>
      </c>
      <c r="AZ3990" s="21" t="str">
        <f>IF(AND($AM3990&lt;&gt;"",$AS3990="✓"),SUMPRODUCT(($AM$11:$AM3990&lt;&gt;"")*($AS$11:$AS3990="✓")),"")</f>
        <v/>
      </c>
      <c r="BA3990" s="21" t="str">
        <f>IF($AL3990="","",$AL3990&amp;"|"&amp;COUNTIF($AL$11:$AL3990,$AL3990))</f>
        <v/>
      </c>
    </row>
    <row r="3991" spans="38:53" ht="15" customHeight="1" x14ac:dyDescent="0.25">
      <c r="AL3991" s="17"/>
      <c r="AM3991" s="12"/>
      <c r="AN3991" s="18"/>
      <c r="AO3991" s="18"/>
      <c r="AP3991" s="10"/>
      <c r="AQ3991" s="10"/>
      <c r="AR3991" s="19"/>
      <c r="AS3991" s="20"/>
      <c r="AT3991" s="19"/>
      <c r="AV3991" s="21">
        <f>IF(AND($AL3991&lt;&gt;"",COUNTIF($AL$11:$AL3991,$AL3991)=1),1,0)</f>
        <v>0</v>
      </c>
      <c r="AW3991" s="21">
        <f t="shared" si="211"/>
        <v>0</v>
      </c>
      <c r="AX3991" s="21" t="str">
        <f t="shared" si="210"/>
        <v/>
      </c>
      <c r="AY3991" s="21" t="str">
        <f>IF(AND($AM3991&lt;&gt;"",$AS3991&lt;&gt;"✓"),SUMPRODUCT(($AM$11:$AM3991&lt;&gt;"")*($AS$11:$AS3991&lt;&gt;"✓")),"")</f>
        <v/>
      </c>
      <c r="AZ3991" s="21" t="str">
        <f>IF(AND($AM3991&lt;&gt;"",$AS3991="✓"),SUMPRODUCT(($AM$11:$AM3991&lt;&gt;"")*($AS$11:$AS3991="✓")),"")</f>
        <v/>
      </c>
      <c r="BA3991" s="21" t="str">
        <f>IF($AL3991="","",$AL3991&amp;"|"&amp;COUNTIF($AL$11:$AL3991,$AL3991))</f>
        <v/>
      </c>
    </row>
    <row r="3992" spans="38:53" ht="15" customHeight="1" x14ac:dyDescent="0.25">
      <c r="AL3992" s="31"/>
      <c r="AM3992" s="26"/>
      <c r="AN3992" s="32"/>
      <c r="AO3992" s="32"/>
      <c r="AP3992" s="24"/>
      <c r="AQ3992" s="24"/>
      <c r="AR3992" s="33"/>
      <c r="AS3992" s="34"/>
      <c r="AT3992" s="33"/>
      <c r="AV3992" s="21">
        <f>IF(AND($AL3992&lt;&gt;"",COUNTIF($AL$11:$AL3992,$AL3992)=1),1,0)</f>
        <v>0</v>
      </c>
      <c r="AW3992" s="21">
        <f t="shared" si="211"/>
        <v>0</v>
      </c>
      <c r="AX3992" s="21" t="str">
        <f t="shared" si="210"/>
        <v/>
      </c>
      <c r="AY3992" s="21" t="str">
        <f>IF(AND($AM3992&lt;&gt;"",$AS3992&lt;&gt;"✓"),SUMPRODUCT(($AM$11:$AM3992&lt;&gt;"")*($AS$11:$AS3992&lt;&gt;"✓")),"")</f>
        <v/>
      </c>
      <c r="AZ3992" s="21" t="str">
        <f>IF(AND($AM3992&lt;&gt;"",$AS3992="✓"),SUMPRODUCT(($AM$11:$AM3992&lt;&gt;"")*($AS$11:$AS3992="✓")),"")</f>
        <v/>
      </c>
      <c r="BA3992" s="21" t="str">
        <f>IF($AL3992="","",$AL3992&amp;"|"&amp;COUNTIF($AL$11:$AL3992,$AL3992))</f>
        <v/>
      </c>
    </row>
    <row r="3993" spans="38:53" ht="15" customHeight="1" x14ac:dyDescent="0.25">
      <c r="AL3993" s="17"/>
      <c r="AM3993" s="12"/>
      <c r="AN3993" s="18"/>
      <c r="AO3993" s="18"/>
      <c r="AP3993" s="10"/>
      <c r="AQ3993" s="10"/>
      <c r="AR3993" s="19"/>
      <c r="AS3993" s="20"/>
      <c r="AT3993" s="19"/>
      <c r="AV3993" s="21">
        <f>IF(AND($AL3993&lt;&gt;"",COUNTIF($AL$11:$AL3993,$AL3993)=1),1,0)</f>
        <v>0</v>
      </c>
      <c r="AW3993" s="21">
        <f t="shared" si="211"/>
        <v>0</v>
      </c>
      <c r="AX3993" s="21" t="str">
        <f t="shared" si="210"/>
        <v/>
      </c>
      <c r="AY3993" s="21" t="str">
        <f>IF(AND($AM3993&lt;&gt;"",$AS3993&lt;&gt;"✓"),SUMPRODUCT(($AM$11:$AM3993&lt;&gt;"")*($AS$11:$AS3993&lt;&gt;"✓")),"")</f>
        <v/>
      </c>
      <c r="AZ3993" s="21" t="str">
        <f>IF(AND($AM3993&lt;&gt;"",$AS3993="✓"),SUMPRODUCT(($AM$11:$AM3993&lt;&gt;"")*($AS$11:$AS3993="✓")),"")</f>
        <v/>
      </c>
      <c r="BA3993" s="21" t="str">
        <f>IF($AL3993="","",$AL3993&amp;"|"&amp;COUNTIF($AL$11:$AL3993,$AL3993))</f>
        <v/>
      </c>
    </row>
    <row r="3994" spans="38:53" ht="15" customHeight="1" x14ac:dyDescent="0.25">
      <c r="AL3994" s="31"/>
      <c r="AM3994" s="26"/>
      <c r="AN3994" s="32"/>
      <c r="AO3994" s="32"/>
      <c r="AP3994" s="24"/>
      <c r="AQ3994" s="24"/>
      <c r="AR3994" s="33"/>
      <c r="AS3994" s="34"/>
      <c r="AT3994" s="33"/>
      <c r="AV3994" s="21">
        <f>IF(AND($AL3994&lt;&gt;"",COUNTIF($AL$11:$AL3994,$AL3994)=1),1,0)</f>
        <v>0</v>
      </c>
      <c r="AW3994" s="21">
        <f t="shared" si="211"/>
        <v>0</v>
      </c>
      <c r="AX3994" s="21" t="str">
        <f t="shared" si="210"/>
        <v/>
      </c>
      <c r="AY3994" s="21" t="str">
        <f>IF(AND($AM3994&lt;&gt;"",$AS3994&lt;&gt;"✓"),SUMPRODUCT(($AM$11:$AM3994&lt;&gt;"")*($AS$11:$AS3994&lt;&gt;"✓")),"")</f>
        <v/>
      </c>
      <c r="AZ3994" s="21" t="str">
        <f>IF(AND($AM3994&lt;&gt;"",$AS3994="✓"),SUMPRODUCT(($AM$11:$AM3994&lt;&gt;"")*($AS$11:$AS3994="✓")),"")</f>
        <v/>
      </c>
      <c r="BA3994" s="21" t="str">
        <f>IF($AL3994="","",$AL3994&amp;"|"&amp;COUNTIF($AL$11:$AL3994,$AL3994))</f>
        <v/>
      </c>
    </row>
    <row r="3995" spans="38:53" ht="15" customHeight="1" x14ac:dyDescent="0.25">
      <c r="AL3995" s="17"/>
      <c r="AM3995" s="12"/>
      <c r="AN3995" s="18"/>
      <c r="AO3995" s="18"/>
      <c r="AP3995" s="10"/>
      <c r="AQ3995" s="10"/>
      <c r="AR3995" s="19"/>
      <c r="AS3995" s="20"/>
      <c r="AT3995" s="19"/>
      <c r="AV3995" s="21">
        <f>IF(AND($AL3995&lt;&gt;"",COUNTIF($AL$11:$AL3995,$AL3995)=1),1,0)</f>
        <v>0</v>
      </c>
      <c r="AW3995" s="21">
        <f t="shared" si="211"/>
        <v>0</v>
      </c>
      <c r="AX3995" s="21" t="str">
        <f t="shared" si="210"/>
        <v/>
      </c>
      <c r="AY3995" s="21" t="str">
        <f>IF(AND($AM3995&lt;&gt;"",$AS3995&lt;&gt;"✓"),SUMPRODUCT(($AM$11:$AM3995&lt;&gt;"")*($AS$11:$AS3995&lt;&gt;"✓")),"")</f>
        <v/>
      </c>
      <c r="AZ3995" s="21" t="str">
        <f>IF(AND($AM3995&lt;&gt;"",$AS3995="✓"),SUMPRODUCT(($AM$11:$AM3995&lt;&gt;"")*($AS$11:$AS3995="✓")),"")</f>
        <v/>
      </c>
      <c r="BA3995" s="21" t="str">
        <f>IF($AL3995="","",$AL3995&amp;"|"&amp;COUNTIF($AL$11:$AL3995,$AL3995))</f>
        <v/>
      </c>
    </row>
    <row r="3996" spans="38:53" ht="15" customHeight="1" x14ac:dyDescent="0.25">
      <c r="AL3996" s="31"/>
      <c r="AM3996" s="26"/>
      <c r="AN3996" s="32"/>
      <c r="AO3996" s="32"/>
      <c r="AP3996" s="24"/>
      <c r="AQ3996" s="24"/>
      <c r="AR3996" s="33"/>
      <c r="AS3996" s="34"/>
      <c r="AT3996" s="33"/>
      <c r="AV3996" s="21">
        <f>IF(AND($AL3996&lt;&gt;"",COUNTIF($AL$11:$AL3996,$AL3996)=1),1,0)</f>
        <v>0</v>
      </c>
      <c r="AW3996" s="21">
        <f t="shared" si="211"/>
        <v>0</v>
      </c>
      <c r="AX3996" s="21" t="str">
        <f t="shared" si="210"/>
        <v/>
      </c>
      <c r="AY3996" s="21" t="str">
        <f>IF(AND($AM3996&lt;&gt;"",$AS3996&lt;&gt;"✓"),SUMPRODUCT(($AM$11:$AM3996&lt;&gt;"")*($AS$11:$AS3996&lt;&gt;"✓")),"")</f>
        <v/>
      </c>
      <c r="AZ3996" s="21" t="str">
        <f>IF(AND($AM3996&lt;&gt;"",$AS3996="✓"),SUMPRODUCT(($AM$11:$AM3996&lt;&gt;"")*($AS$11:$AS3996="✓")),"")</f>
        <v/>
      </c>
      <c r="BA3996" s="21" t="str">
        <f>IF($AL3996="","",$AL3996&amp;"|"&amp;COUNTIF($AL$11:$AL3996,$AL3996))</f>
        <v/>
      </c>
    </row>
    <row r="3997" spans="38:53" ht="15" customHeight="1" x14ac:dyDescent="0.25">
      <c r="AL3997" s="17"/>
      <c r="AM3997" s="12"/>
      <c r="AN3997" s="18"/>
      <c r="AO3997" s="18"/>
      <c r="AP3997" s="10"/>
      <c r="AQ3997" s="10"/>
      <c r="AR3997" s="19"/>
      <c r="AS3997" s="20"/>
      <c r="AT3997" s="19"/>
      <c r="AV3997" s="21">
        <f>IF(AND($AL3997&lt;&gt;"",COUNTIF($AL$11:$AL3997,$AL3997)=1),1,0)</f>
        <v>0</v>
      </c>
      <c r="AW3997" s="21">
        <f t="shared" si="211"/>
        <v>0</v>
      </c>
      <c r="AX3997" s="21" t="str">
        <f t="shared" si="210"/>
        <v/>
      </c>
      <c r="AY3997" s="21" t="str">
        <f>IF(AND($AM3997&lt;&gt;"",$AS3997&lt;&gt;"✓"),SUMPRODUCT(($AM$11:$AM3997&lt;&gt;"")*($AS$11:$AS3997&lt;&gt;"✓")),"")</f>
        <v/>
      </c>
      <c r="AZ3997" s="21" t="str">
        <f>IF(AND($AM3997&lt;&gt;"",$AS3997="✓"),SUMPRODUCT(($AM$11:$AM3997&lt;&gt;"")*($AS$11:$AS3997="✓")),"")</f>
        <v/>
      </c>
      <c r="BA3997" s="21" t="str">
        <f>IF($AL3997="","",$AL3997&amp;"|"&amp;COUNTIF($AL$11:$AL3997,$AL3997))</f>
        <v/>
      </c>
    </row>
    <row r="3998" spans="38:53" ht="15" customHeight="1" x14ac:dyDescent="0.25">
      <c r="AL3998" s="31"/>
      <c r="AM3998" s="26"/>
      <c r="AN3998" s="32"/>
      <c r="AO3998" s="32"/>
      <c r="AP3998" s="24"/>
      <c r="AQ3998" s="24"/>
      <c r="AR3998" s="33"/>
      <c r="AS3998" s="34"/>
      <c r="AT3998" s="33"/>
      <c r="AV3998" s="21">
        <f>IF(AND($AL3998&lt;&gt;"",COUNTIF($AL$11:$AL3998,$AL3998)=1),1,0)</f>
        <v>0</v>
      </c>
      <c r="AW3998" s="21">
        <f t="shared" si="211"/>
        <v>0</v>
      </c>
      <c r="AX3998" s="21" t="str">
        <f t="shared" si="210"/>
        <v/>
      </c>
      <c r="AY3998" s="21" t="str">
        <f>IF(AND($AM3998&lt;&gt;"",$AS3998&lt;&gt;"✓"),SUMPRODUCT(($AM$11:$AM3998&lt;&gt;"")*($AS$11:$AS3998&lt;&gt;"✓")),"")</f>
        <v/>
      </c>
      <c r="AZ3998" s="21" t="str">
        <f>IF(AND($AM3998&lt;&gt;"",$AS3998="✓"),SUMPRODUCT(($AM$11:$AM3998&lt;&gt;"")*($AS$11:$AS3998="✓")),"")</f>
        <v/>
      </c>
      <c r="BA3998" s="21" t="str">
        <f>IF($AL3998="","",$AL3998&amp;"|"&amp;COUNTIF($AL$11:$AL3998,$AL3998))</f>
        <v/>
      </c>
    </row>
    <row r="3999" spans="38:53" ht="15" customHeight="1" x14ac:dyDescent="0.25">
      <c r="AL3999" s="17"/>
      <c r="AM3999" s="12"/>
      <c r="AN3999" s="18"/>
      <c r="AO3999" s="18"/>
      <c r="AP3999" s="10"/>
      <c r="AQ3999" s="10"/>
      <c r="AR3999" s="19"/>
      <c r="AS3999" s="20"/>
      <c r="AT3999" s="19"/>
      <c r="AV3999" s="21">
        <f>IF(AND($AL3999&lt;&gt;"",COUNTIF($AL$11:$AL3999,$AL3999)=1),1,0)</f>
        <v>0</v>
      </c>
      <c r="AW3999" s="21">
        <f t="shared" si="211"/>
        <v>0</v>
      </c>
      <c r="AX3999" s="21" t="str">
        <f t="shared" si="210"/>
        <v/>
      </c>
      <c r="AY3999" s="21" t="str">
        <f>IF(AND($AM3999&lt;&gt;"",$AS3999&lt;&gt;"✓"),SUMPRODUCT(($AM$11:$AM3999&lt;&gt;"")*($AS$11:$AS3999&lt;&gt;"✓")),"")</f>
        <v/>
      </c>
      <c r="AZ3999" s="21" t="str">
        <f>IF(AND($AM3999&lt;&gt;"",$AS3999="✓"),SUMPRODUCT(($AM$11:$AM3999&lt;&gt;"")*($AS$11:$AS3999="✓")),"")</f>
        <v/>
      </c>
      <c r="BA3999" s="21" t="str">
        <f>IF($AL3999="","",$AL3999&amp;"|"&amp;COUNTIF($AL$11:$AL3999,$AL3999))</f>
        <v/>
      </c>
    </row>
    <row r="4000" spans="38:53" ht="15" customHeight="1" x14ac:dyDescent="0.25">
      <c r="AL4000" s="31"/>
      <c r="AM4000" s="26"/>
      <c r="AN4000" s="32"/>
      <c r="AO4000" s="32"/>
      <c r="AP4000" s="24"/>
      <c r="AQ4000" s="24"/>
      <c r="AR4000" s="33"/>
      <c r="AS4000" s="34"/>
      <c r="AT4000" s="33"/>
      <c r="AV4000" s="21">
        <f>IF(AND($AL4000&lt;&gt;"",COUNTIF($AL$11:$AL4000,$AL4000)=1),1,0)</f>
        <v>0</v>
      </c>
      <c r="AW4000" s="21">
        <f t="shared" si="211"/>
        <v>0</v>
      </c>
      <c r="AX4000" s="21" t="str">
        <f t="shared" si="210"/>
        <v/>
      </c>
      <c r="AY4000" s="21" t="str">
        <f>IF(AND($AM4000&lt;&gt;"",$AS4000&lt;&gt;"✓"),SUMPRODUCT(($AM$11:$AM4000&lt;&gt;"")*($AS$11:$AS4000&lt;&gt;"✓")),"")</f>
        <v/>
      </c>
      <c r="AZ4000" s="21" t="str">
        <f>IF(AND($AM4000&lt;&gt;"",$AS4000="✓"),SUMPRODUCT(($AM$11:$AM4000&lt;&gt;"")*($AS$11:$AS4000="✓")),"")</f>
        <v/>
      </c>
      <c r="BA4000" s="21" t="str">
        <f>IF($AL4000="","",$AL4000&amp;"|"&amp;COUNTIF($AL$11:$AL4000,$AL4000))</f>
        <v/>
      </c>
    </row>
    <row r="4001" spans="38:53" ht="15" customHeight="1" x14ac:dyDescent="0.25">
      <c r="AL4001" s="17"/>
      <c r="AM4001" s="12"/>
      <c r="AN4001" s="18"/>
      <c r="AO4001" s="18"/>
      <c r="AP4001" s="10"/>
      <c r="AQ4001" s="10"/>
      <c r="AR4001" s="19"/>
      <c r="AS4001" s="20"/>
      <c r="AT4001" s="19"/>
      <c r="AV4001" s="21">
        <f>IF(AND($AL4001&lt;&gt;"",COUNTIF($AL$11:$AL4001,$AL4001)=1),1,0)</f>
        <v>0</v>
      </c>
      <c r="AW4001" s="21">
        <f t="shared" si="211"/>
        <v>0</v>
      </c>
      <c r="AX4001" s="21" t="str">
        <f t="shared" si="210"/>
        <v/>
      </c>
      <c r="AY4001" s="21" t="str">
        <f>IF(AND($AM4001&lt;&gt;"",$AS4001&lt;&gt;"✓"),SUMPRODUCT(($AM$11:$AM4001&lt;&gt;"")*($AS$11:$AS4001&lt;&gt;"✓")),"")</f>
        <v/>
      </c>
      <c r="AZ4001" s="21" t="str">
        <f>IF(AND($AM4001&lt;&gt;"",$AS4001="✓"),SUMPRODUCT(($AM$11:$AM4001&lt;&gt;"")*($AS$11:$AS4001="✓")),"")</f>
        <v/>
      </c>
      <c r="BA4001" s="21" t="str">
        <f>IF($AL4001="","",$AL4001&amp;"|"&amp;COUNTIF($AL$11:$AL4001,$AL4001))</f>
        <v/>
      </c>
    </row>
    <row r="4002" spans="38:53" ht="15" customHeight="1" x14ac:dyDescent="0.25">
      <c r="AL4002" s="31"/>
      <c r="AM4002" s="26"/>
      <c r="AN4002" s="32"/>
      <c r="AO4002" s="32"/>
      <c r="AP4002" s="24"/>
      <c r="AQ4002" s="24"/>
      <c r="AR4002" s="33"/>
      <c r="AS4002" s="34"/>
      <c r="AT4002" s="33"/>
      <c r="AV4002" s="21">
        <f>IF(AND($AL4002&lt;&gt;"",COUNTIF($AL$11:$AL4002,$AL4002)=1),1,0)</f>
        <v>0</v>
      </c>
      <c r="AW4002" s="21">
        <f t="shared" si="211"/>
        <v>0</v>
      </c>
      <c r="AX4002" s="21" t="str">
        <f t="shared" si="210"/>
        <v/>
      </c>
      <c r="AY4002" s="21" t="str">
        <f>IF(AND($AM4002&lt;&gt;"",$AS4002&lt;&gt;"✓"),SUMPRODUCT(($AM$11:$AM4002&lt;&gt;"")*($AS$11:$AS4002&lt;&gt;"✓")),"")</f>
        <v/>
      </c>
      <c r="AZ4002" s="21" t="str">
        <f>IF(AND($AM4002&lt;&gt;"",$AS4002="✓"),SUMPRODUCT(($AM$11:$AM4002&lt;&gt;"")*($AS$11:$AS4002="✓")),"")</f>
        <v/>
      </c>
      <c r="BA4002" s="21" t="str">
        <f>IF($AL4002="","",$AL4002&amp;"|"&amp;COUNTIF($AL$11:$AL4002,$AL4002))</f>
        <v/>
      </c>
    </row>
    <row r="4003" spans="38:53" ht="15" customHeight="1" x14ac:dyDescent="0.25">
      <c r="AL4003" s="17"/>
      <c r="AM4003" s="12"/>
      <c r="AN4003" s="18"/>
      <c r="AO4003" s="18"/>
      <c r="AP4003" s="10"/>
      <c r="AQ4003" s="10"/>
      <c r="AR4003" s="19"/>
      <c r="AS4003" s="20"/>
      <c r="AT4003" s="19"/>
      <c r="AV4003" s="21">
        <f>IF(AND($AL4003&lt;&gt;"",COUNTIF($AL$11:$AL4003,$AL4003)=1),1,0)</f>
        <v>0</v>
      </c>
      <c r="AW4003" s="21">
        <f t="shared" si="211"/>
        <v>0</v>
      </c>
      <c r="AX4003" s="21" t="str">
        <f t="shared" si="210"/>
        <v/>
      </c>
      <c r="AY4003" s="21" t="str">
        <f>IF(AND($AM4003&lt;&gt;"",$AS4003&lt;&gt;"✓"),SUMPRODUCT(($AM$11:$AM4003&lt;&gt;"")*($AS$11:$AS4003&lt;&gt;"✓")),"")</f>
        <v/>
      </c>
      <c r="AZ4003" s="21" t="str">
        <f>IF(AND($AM4003&lt;&gt;"",$AS4003="✓"),SUMPRODUCT(($AM$11:$AM4003&lt;&gt;"")*($AS$11:$AS4003="✓")),"")</f>
        <v/>
      </c>
      <c r="BA4003" s="21" t="str">
        <f>IF($AL4003="","",$AL4003&amp;"|"&amp;COUNTIF($AL$11:$AL4003,$AL4003))</f>
        <v/>
      </c>
    </row>
    <row r="4004" spans="38:53" ht="15" customHeight="1" x14ac:dyDescent="0.25">
      <c r="AL4004" s="31"/>
      <c r="AM4004" s="26"/>
      <c r="AN4004" s="32"/>
      <c r="AO4004" s="32"/>
      <c r="AP4004" s="24"/>
      <c r="AQ4004" s="24"/>
      <c r="AR4004" s="33"/>
      <c r="AS4004" s="34"/>
      <c r="AT4004" s="33"/>
      <c r="AV4004" s="21">
        <f>IF(AND($AL4004&lt;&gt;"",COUNTIF($AL$11:$AL4004,$AL4004)=1),1,0)</f>
        <v>0</v>
      </c>
      <c r="AW4004" s="21">
        <f t="shared" si="211"/>
        <v>0</v>
      </c>
      <c r="AX4004" s="21" t="str">
        <f t="shared" si="210"/>
        <v/>
      </c>
      <c r="AY4004" s="21" t="str">
        <f>IF(AND($AM4004&lt;&gt;"",$AS4004&lt;&gt;"✓"),SUMPRODUCT(($AM$11:$AM4004&lt;&gt;"")*($AS$11:$AS4004&lt;&gt;"✓")),"")</f>
        <v/>
      </c>
      <c r="AZ4004" s="21" t="str">
        <f>IF(AND($AM4004&lt;&gt;"",$AS4004="✓"),SUMPRODUCT(($AM$11:$AM4004&lt;&gt;"")*($AS$11:$AS4004="✓")),"")</f>
        <v/>
      </c>
      <c r="BA4004" s="21" t="str">
        <f>IF($AL4004="","",$AL4004&amp;"|"&amp;COUNTIF($AL$11:$AL4004,$AL4004))</f>
        <v/>
      </c>
    </row>
    <row r="4005" spans="38:53" ht="15" customHeight="1" x14ac:dyDescent="0.25">
      <c r="AL4005" s="17"/>
      <c r="AM4005" s="12"/>
      <c r="AN4005" s="18"/>
      <c r="AO4005" s="18"/>
      <c r="AP4005" s="10"/>
      <c r="AQ4005" s="10"/>
      <c r="AR4005" s="19"/>
      <c r="AS4005" s="20"/>
      <c r="AT4005" s="19"/>
      <c r="AV4005" s="21">
        <f>IF(AND($AL4005&lt;&gt;"",COUNTIF($AL$11:$AL4005,$AL4005)=1),1,0)</f>
        <v>0</v>
      </c>
      <c r="AW4005" s="21">
        <f t="shared" si="211"/>
        <v>0</v>
      </c>
      <c r="AX4005" s="21" t="str">
        <f t="shared" si="210"/>
        <v/>
      </c>
      <c r="AY4005" s="21" t="str">
        <f>IF(AND($AM4005&lt;&gt;"",$AS4005&lt;&gt;"✓"),SUMPRODUCT(($AM$11:$AM4005&lt;&gt;"")*($AS$11:$AS4005&lt;&gt;"✓")),"")</f>
        <v/>
      </c>
      <c r="AZ4005" s="21" t="str">
        <f>IF(AND($AM4005&lt;&gt;"",$AS4005="✓"),SUMPRODUCT(($AM$11:$AM4005&lt;&gt;"")*($AS$11:$AS4005="✓")),"")</f>
        <v/>
      </c>
      <c r="BA4005" s="21" t="str">
        <f>IF($AL4005="","",$AL4005&amp;"|"&amp;COUNTIF($AL$11:$AL4005,$AL4005))</f>
        <v/>
      </c>
    </row>
    <row r="4006" spans="38:53" ht="15" customHeight="1" x14ac:dyDescent="0.25">
      <c r="AL4006" s="31"/>
      <c r="AM4006" s="26"/>
      <c r="AN4006" s="32"/>
      <c r="AO4006" s="32"/>
      <c r="AP4006" s="24"/>
      <c r="AQ4006" s="24"/>
      <c r="AR4006" s="33"/>
      <c r="AS4006" s="34"/>
      <c r="AT4006" s="33"/>
      <c r="AV4006" s="21">
        <f>IF(AND($AL4006&lt;&gt;"",COUNTIF($AL$11:$AL4006,$AL4006)=1),1,0)</f>
        <v>0</v>
      </c>
      <c r="AW4006" s="21">
        <f t="shared" si="211"/>
        <v>0</v>
      </c>
      <c r="AX4006" s="21" t="str">
        <f t="shared" si="210"/>
        <v/>
      </c>
      <c r="AY4006" s="21" t="str">
        <f>IF(AND($AM4006&lt;&gt;"",$AS4006&lt;&gt;"✓"),SUMPRODUCT(($AM$11:$AM4006&lt;&gt;"")*($AS$11:$AS4006&lt;&gt;"✓")),"")</f>
        <v/>
      </c>
      <c r="AZ4006" s="21" t="str">
        <f>IF(AND($AM4006&lt;&gt;"",$AS4006="✓"),SUMPRODUCT(($AM$11:$AM4006&lt;&gt;"")*($AS$11:$AS4006="✓")),"")</f>
        <v/>
      </c>
      <c r="BA4006" s="21" t="str">
        <f>IF($AL4006="","",$AL4006&amp;"|"&amp;COUNTIF($AL$11:$AL4006,$AL4006))</f>
        <v/>
      </c>
    </row>
    <row r="4007" spans="38:53" ht="15" customHeight="1" x14ac:dyDescent="0.25">
      <c r="AL4007" s="17"/>
      <c r="AM4007" s="12"/>
      <c r="AN4007" s="18"/>
      <c r="AO4007" s="18"/>
      <c r="AP4007" s="10"/>
      <c r="AQ4007" s="10"/>
      <c r="AR4007" s="19"/>
      <c r="AS4007" s="20"/>
      <c r="AT4007" s="19"/>
      <c r="AV4007" s="21">
        <f>IF(AND($AL4007&lt;&gt;"",COUNTIF($AL$11:$AL4007,$AL4007)=1),1,0)</f>
        <v>0</v>
      </c>
      <c r="AW4007" s="21">
        <f t="shared" si="211"/>
        <v>0</v>
      </c>
      <c r="AX4007" s="21" t="str">
        <f t="shared" si="210"/>
        <v/>
      </c>
      <c r="AY4007" s="21" t="str">
        <f>IF(AND($AM4007&lt;&gt;"",$AS4007&lt;&gt;"✓"),SUMPRODUCT(($AM$11:$AM4007&lt;&gt;"")*($AS$11:$AS4007&lt;&gt;"✓")),"")</f>
        <v/>
      </c>
      <c r="AZ4007" s="21" t="str">
        <f>IF(AND($AM4007&lt;&gt;"",$AS4007="✓"),SUMPRODUCT(($AM$11:$AM4007&lt;&gt;"")*($AS$11:$AS4007="✓")),"")</f>
        <v/>
      </c>
      <c r="BA4007" s="21" t="str">
        <f>IF($AL4007="","",$AL4007&amp;"|"&amp;COUNTIF($AL$11:$AL4007,$AL4007))</f>
        <v/>
      </c>
    </row>
    <row r="4008" spans="38:53" ht="15" customHeight="1" x14ac:dyDescent="0.25">
      <c r="AL4008" s="31"/>
      <c r="AM4008" s="26"/>
      <c r="AN4008" s="32"/>
      <c r="AO4008" s="32"/>
      <c r="AP4008" s="24"/>
      <c r="AQ4008" s="24"/>
      <c r="AR4008" s="33"/>
      <c r="AS4008" s="34"/>
      <c r="AT4008" s="33"/>
      <c r="AV4008" s="21">
        <f>IF(AND($AL4008&lt;&gt;"",COUNTIF($AL$11:$AL4008,$AL4008)=1),1,0)</f>
        <v>0</v>
      </c>
      <c r="AW4008" s="21">
        <f t="shared" si="211"/>
        <v>0</v>
      </c>
      <c r="AX4008" s="21" t="str">
        <f t="shared" si="210"/>
        <v/>
      </c>
      <c r="AY4008" s="21" t="str">
        <f>IF(AND($AM4008&lt;&gt;"",$AS4008&lt;&gt;"✓"),SUMPRODUCT(($AM$11:$AM4008&lt;&gt;"")*($AS$11:$AS4008&lt;&gt;"✓")),"")</f>
        <v/>
      </c>
      <c r="AZ4008" s="21" t="str">
        <f>IF(AND($AM4008&lt;&gt;"",$AS4008="✓"),SUMPRODUCT(($AM$11:$AM4008&lt;&gt;"")*($AS$11:$AS4008="✓")),"")</f>
        <v/>
      </c>
      <c r="BA4008" s="21" t="str">
        <f>IF($AL4008="","",$AL4008&amp;"|"&amp;COUNTIF($AL$11:$AL4008,$AL4008))</f>
        <v/>
      </c>
    </row>
    <row r="4009" spans="38:53" ht="15" customHeight="1" x14ac:dyDescent="0.25">
      <c r="AL4009" s="17"/>
      <c r="AM4009" s="12"/>
      <c r="AN4009" s="18"/>
      <c r="AO4009" s="18"/>
      <c r="AP4009" s="10"/>
      <c r="AQ4009" s="10"/>
      <c r="AR4009" s="19"/>
      <c r="AS4009" s="20"/>
      <c r="AT4009" s="19"/>
      <c r="AV4009" s="21">
        <f>IF(AND($AL4009&lt;&gt;"",COUNTIF($AL$11:$AL4009,$AL4009)=1),1,0)</f>
        <v>0</v>
      </c>
      <c r="AW4009" s="21">
        <f t="shared" si="211"/>
        <v>0</v>
      </c>
      <c r="AX4009" s="21" t="str">
        <f t="shared" si="210"/>
        <v/>
      </c>
      <c r="AY4009" s="21" t="str">
        <f>IF(AND($AM4009&lt;&gt;"",$AS4009&lt;&gt;"✓"),SUMPRODUCT(($AM$11:$AM4009&lt;&gt;"")*($AS$11:$AS4009&lt;&gt;"✓")),"")</f>
        <v/>
      </c>
      <c r="AZ4009" s="21" t="str">
        <f>IF(AND($AM4009&lt;&gt;"",$AS4009="✓"),SUMPRODUCT(($AM$11:$AM4009&lt;&gt;"")*($AS$11:$AS4009="✓")),"")</f>
        <v/>
      </c>
      <c r="BA4009" s="21" t="str">
        <f>IF($AL4009="","",$AL4009&amp;"|"&amp;COUNTIF($AL$11:$AL4009,$AL4009))</f>
        <v/>
      </c>
    </row>
    <row r="4010" spans="38:53" ht="15" customHeight="1" x14ac:dyDescent="0.25">
      <c r="AL4010" s="31"/>
      <c r="AM4010" s="26"/>
      <c r="AN4010" s="32"/>
      <c r="AO4010" s="32"/>
      <c r="AP4010" s="24"/>
      <c r="AQ4010" s="24"/>
      <c r="AR4010" s="33"/>
      <c r="AS4010" s="34"/>
      <c r="AT4010" s="33"/>
      <c r="AV4010" s="21">
        <f>IF(AND($AL4010&lt;&gt;"",COUNTIF($AL$11:$AL4010,$AL4010)=1),1,0)</f>
        <v>0</v>
      </c>
      <c r="AW4010" s="21">
        <f t="shared" si="211"/>
        <v>0</v>
      </c>
      <c r="AX4010" s="21" t="str">
        <f t="shared" si="210"/>
        <v/>
      </c>
      <c r="AY4010" s="21" t="str">
        <f>IF(AND($AM4010&lt;&gt;"",$AS4010&lt;&gt;"✓"),SUMPRODUCT(($AM$11:$AM4010&lt;&gt;"")*($AS$11:$AS4010&lt;&gt;"✓")),"")</f>
        <v/>
      </c>
      <c r="AZ4010" s="21" t="str">
        <f>IF(AND($AM4010&lt;&gt;"",$AS4010="✓"),SUMPRODUCT(($AM$11:$AM4010&lt;&gt;"")*($AS$11:$AS4010="✓")),"")</f>
        <v/>
      </c>
      <c r="BA4010" s="21" t="str">
        <f>IF($AL4010="","",$AL4010&amp;"|"&amp;COUNTIF($AL$11:$AL4010,$AL4010))</f>
        <v/>
      </c>
    </row>
  </sheetData>
  <mergeCells count="27">
    <mergeCell ref="S8:U8"/>
    <mergeCell ref="BP11:BQ11"/>
    <mergeCell ref="W8:AB9"/>
    <mergeCell ref="AL8:AT9"/>
    <mergeCell ref="E4:F4"/>
    <mergeCell ref="P7:U7"/>
    <mergeCell ref="G5:I5"/>
    <mergeCell ref="B2:I2"/>
    <mergeCell ref="G4:I4"/>
    <mergeCell ref="B5:D5"/>
    <mergeCell ref="B4:D4"/>
    <mergeCell ref="P8:R8"/>
    <mergeCell ref="B7:I7"/>
    <mergeCell ref="AL7:AT7"/>
    <mergeCell ref="E5:F5"/>
    <mergeCell ref="BL11:BN11"/>
    <mergeCell ref="K7:N7"/>
    <mergeCell ref="AD7:AJ7"/>
    <mergeCell ref="G8:H8"/>
    <mergeCell ref="W7:AB7"/>
    <mergeCell ref="BD11:BF11"/>
    <mergeCell ref="B8:F8"/>
    <mergeCell ref="K8:N9"/>
    <mergeCell ref="B9:I9"/>
    <mergeCell ref="P9:U9"/>
    <mergeCell ref="BH11:BI11"/>
    <mergeCell ref="AD8:AJ9"/>
  </mergeCells>
  <conditionalFormatting sqref="AD11:AJ1010">
    <cfRule type="expression" dxfId="3" priority="3">
      <formula>$AE11&lt;&gt;""</formula>
    </cfRule>
  </conditionalFormatting>
  <conditionalFormatting sqref="AL11:AT4010">
    <cfRule type="expression" dxfId="2" priority="2">
      <formula>$AS11="✓"</formula>
    </cfRule>
  </conditionalFormatting>
  <dataValidations count="6">
    <dataValidation type="decimal" operator="greaterThanOrEqual" allowBlank="1" sqref="F11:G510" xr:uid="{00000000-0002-0000-0200-000000000000}">
      <formula1>0</formula1>
      <formula2>0</formula2>
    </dataValidation>
    <dataValidation type="whole" operator="greaterThanOrEqual" allowBlank="1" sqref="I11:I510" xr:uid="{00000000-0002-0000-0200-000001000000}">
      <formula1>1</formula1>
      <formula2>0</formula2>
    </dataValidation>
    <dataValidation type="list" allowBlank="1" promptTitle="Received" prompt="Tick ✓ to receive (macro stamps date)" sqref="AS11:AS4010" xr:uid="{00000000-0002-0000-0200-000002000000}">
      <formula1>"✓"</formula1>
      <formula2>0</formula2>
    </dataValidation>
    <dataValidation type="list" allowBlank="1" sqref="D11:D510" xr:uid="{00000000-0002-0000-0200-000003000000}">
      <formula1>"D,E,F,G,H,I,J,K,L,M"</formula1>
      <formula2>0</formula2>
    </dataValidation>
    <dataValidation type="list" allowBlank="1" sqref="E11:E510" xr:uid="{00000000-0002-0000-0200-000004000000}">
      <formula1>"FL,IF,VVS1,VVS2,VS1,VS2,SI1,SI2,I1,I2,I3"</formula1>
      <formula2>0</formula2>
    </dataValidation>
    <dataValidation type="date" operator="greaterThanOrEqual" allowBlank="1" sqref="H11:H510" xr:uid="{00000000-0002-0000-0200-000005000000}">
      <formula1>DATE(2000,1,1)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794F"/>
  </sheetPr>
  <dimension ref="B2:BQ4010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5" x14ac:dyDescent="0.25"/>
  <cols>
    <col min="1" max="1" width="2.42578125" customWidth="1"/>
    <col min="2" max="2" width="5" customWidth="1"/>
    <col min="3" max="3" width="12" customWidth="1"/>
    <col min="4" max="5" width="6" customWidth="1"/>
    <col min="6" max="7" width="7" customWidth="1"/>
    <col min="8" max="8" width="11" customWidth="1"/>
    <col min="9" max="9" width="7" customWidth="1"/>
    <col min="10" max="10" width="2.42578125" customWidth="1"/>
    <col min="11" max="11" width="7" customWidth="1"/>
    <col min="12" max="12" width="8" customWidth="1"/>
    <col min="13" max="14" width="9" customWidth="1"/>
    <col min="15" max="15" width="2.42578125" customWidth="1"/>
    <col min="16" max="16" width="12" customWidth="1"/>
    <col min="17" max="18" width="8" customWidth="1"/>
    <col min="19" max="20" width="6" customWidth="1"/>
    <col min="21" max="21" width="7" customWidth="1"/>
    <col min="22" max="22" width="2.42578125" customWidth="1"/>
    <col min="23" max="23" width="7" customWidth="1"/>
    <col min="24" max="24" width="12" customWidth="1"/>
    <col min="25" max="26" width="8" customWidth="1"/>
    <col min="27" max="27" width="6" customWidth="1"/>
    <col min="28" max="28" width="11" customWidth="1"/>
    <col min="29" max="29" width="2.42578125" customWidth="1"/>
    <col min="30" max="30" width="7" customWidth="1"/>
    <col min="31" max="31" width="12" customWidth="1"/>
    <col min="32" max="33" width="8" customWidth="1"/>
    <col min="34" max="34" width="6" customWidth="1"/>
    <col min="35" max="36" width="11" customWidth="1"/>
    <col min="37" max="37" width="2.42578125" customWidth="1"/>
    <col min="38" max="38" width="7" customWidth="1"/>
    <col min="39" max="39" width="12" customWidth="1"/>
    <col min="40" max="41" width="8" customWidth="1"/>
    <col min="42" max="43" width="6" customWidth="1"/>
    <col min="44" max="44" width="11" customWidth="1"/>
    <col min="45" max="45" width="10" customWidth="1"/>
    <col min="46" max="46" width="11" customWidth="1"/>
    <col min="47" max="47" width="2.42578125" customWidth="1"/>
    <col min="48" max="53" width="13" hidden="1" customWidth="1"/>
    <col min="56" max="56" width="5" customWidth="1"/>
    <col min="57" max="57" width="11" customWidth="1"/>
    <col min="58" max="59" width="6" customWidth="1"/>
    <col min="60" max="61" width="7" customWidth="1"/>
    <col min="64" max="64" width="5" customWidth="1"/>
    <col min="65" max="65" width="11" customWidth="1"/>
    <col min="66" max="67" width="6" customWidth="1"/>
    <col min="68" max="69" width="7" customWidth="1"/>
  </cols>
  <sheetData>
    <row r="2" spans="2:69" ht="25.5" customHeight="1" x14ac:dyDescent="0.25">
      <c r="B2" s="81" t="s">
        <v>5</v>
      </c>
      <c r="C2" s="46"/>
      <c r="D2" s="46"/>
      <c r="E2" s="46"/>
      <c r="F2" s="46"/>
      <c r="G2" s="46"/>
      <c r="H2" s="46"/>
      <c r="I2" s="41"/>
    </row>
    <row r="4" spans="2:69" ht="15.75" customHeight="1" x14ac:dyDescent="0.25">
      <c r="B4" s="91" t="s">
        <v>7</v>
      </c>
      <c r="C4" s="48"/>
      <c r="D4" s="49"/>
      <c r="E4" s="79" t="s">
        <v>8</v>
      </c>
      <c r="F4" s="55"/>
      <c r="G4" s="82" t="s">
        <v>9</v>
      </c>
      <c r="H4" s="46"/>
      <c r="I4" s="41"/>
    </row>
    <row r="5" spans="2:69" ht="30" customHeight="1" x14ac:dyDescent="0.25">
      <c r="B5" s="84">
        <f>SUMPRODUCT(($AM$11:$AM$4010&lt;&gt;"")*($AS$11:$AS$4010&lt;&gt;"✓"))</f>
        <v>0</v>
      </c>
      <c r="C5" s="48"/>
      <c r="D5" s="49"/>
      <c r="E5" s="70">
        <f>SUMPRODUCT(($AM$11:$AM$4010&lt;&gt;"")*($AS$11:$AS$4010="✓"))</f>
        <v>0</v>
      </c>
      <c r="F5" s="55"/>
      <c r="G5" s="80">
        <f>IFERROR(MAX($AL$11:$AL$4010),0)</f>
        <v>0</v>
      </c>
      <c r="H5" s="46"/>
      <c r="I5" s="41"/>
    </row>
    <row r="6" spans="2:69" ht="9.75" customHeight="1" x14ac:dyDescent="0.25"/>
    <row r="7" spans="2:69" ht="19.5" customHeight="1" x14ac:dyDescent="0.25">
      <c r="B7" s="64" t="s">
        <v>10</v>
      </c>
      <c r="C7" s="65"/>
      <c r="D7" s="65"/>
      <c r="E7" s="65"/>
      <c r="F7" s="65"/>
      <c r="G7" s="65"/>
      <c r="H7" s="65"/>
      <c r="I7" s="66"/>
      <c r="K7" s="51" t="s">
        <v>11</v>
      </c>
      <c r="L7" s="46"/>
      <c r="M7" s="46"/>
      <c r="N7" s="41"/>
      <c r="P7" s="47" t="s">
        <v>12</v>
      </c>
      <c r="Q7" s="48"/>
      <c r="R7" s="48"/>
      <c r="S7" s="48"/>
      <c r="T7" s="48"/>
      <c r="U7" s="49"/>
      <c r="W7" s="76" t="s">
        <v>13</v>
      </c>
      <c r="X7" s="77"/>
      <c r="Y7" s="77"/>
      <c r="Z7" s="77"/>
      <c r="AA7" s="77"/>
      <c r="AB7" s="78"/>
      <c r="AD7" s="57" t="s">
        <v>14</v>
      </c>
      <c r="AE7" s="54"/>
      <c r="AF7" s="54"/>
      <c r="AG7" s="54"/>
      <c r="AH7" s="54"/>
      <c r="AI7" s="54"/>
      <c r="AJ7" s="55"/>
      <c r="AL7" s="67" t="s">
        <v>15</v>
      </c>
      <c r="AM7" s="68"/>
      <c r="AN7" s="68"/>
      <c r="AO7" s="68"/>
      <c r="AP7" s="68"/>
      <c r="AQ7" s="68"/>
      <c r="AR7" s="68"/>
      <c r="AS7" s="68"/>
      <c r="AT7" s="69"/>
    </row>
    <row r="8" spans="2:69" ht="21.75" customHeight="1" x14ac:dyDescent="0.25">
      <c r="B8" s="83" t="s">
        <v>16</v>
      </c>
      <c r="C8" s="75"/>
      <c r="D8" s="75"/>
      <c r="E8" s="75"/>
      <c r="F8" s="75"/>
      <c r="G8" s="74" t="s">
        <v>17</v>
      </c>
      <c r="H8" s="75"/>
      <c r="I8" s="1">
        <f>IFERROR(MAX($I$11:$I$510),0)+1</f>
        <v>1</v>
      </c>
      <c r="K8" s="85" t="s">
        <v>18</v>
      </c>
      <c r="L8" s="86"/>
      <c r="M8" s="86"/>
      <c r="N8" s="87"/>
      <c r="P8" s="61" t="s">
        <v>19</v>
      </c>
      <c r="Q8" s="62"/>
      <c r="R8" s="63"/>
      <c r="S8" s="95">
        <v>1</v>
      </c>
      <c r="T8" s="48"/>
      <c r="U8" s="49"/>
      <c r="W8" s="85" t="s">
        <v>20</v>
      </c>
      <c r="X8" s="86"/>
      <c r="Y8" s="86"/>
      <c r="Z8" s="86"/>
      <c r="AA8" s="86"/>
      <c r="AB8" s="87"/>
      <c r="AD8" s="85" t="s">
        <v>21</v>
      </c>
      <c r="AE8" s="86"/>
      <c r="AF8" s="86"/>
      <c r="AG8" s="86"/>
      <c r="AH8" s="86"/>
      <c r="AI8" s="86"/>
      <c r="AJ8" s="87"/>
      <c r="AL8" s="85" t="s">
        <v>22</v>
      </c>
      <c r="AM8" s="86"/>
      <c r="AN8" s="86"/>
      <c r="AO8" s="86"/>
      <c r="AP8" s="86"/>
      <c r="AQ8" s="86"/>
      <c r="AR8" s="86"/>
      <c r="AS8" s="86"/>
      <c r="AT8" s="87"/>
    </row>
    <row r="9" spans="2:69" ht="13.5" customHeight="1" x14ac:dyDescent="0.25">
      <c r="B9" s="92" t="s">
        <v>23</v>
      </c>
      <c r="C9" s="75"/>
      <c r="D9" s="75"/>
      <c r="E9" s="75"/>
      <c r="F9" s="75"/>
      <c r="G9" s="75"/>
      <c r="H9" s="75"/>
      <c r="I9" s="75"/>
      <c r="K9" s="88"/>
      <c r="L9" s="89"/>
      <c r="M9" s="89"/>
      <c r="N9" s="90"/>
      <c r="P9" s="93" t="s">
        <v>24</v>
      </c>
      <c r="Q9" s="75"/>
      <c r="R9" s="75"/>
      <c r="S9" s="75"/>
      <c r="T9" s="75"/>
      <c r="U9" s="75"/>
      <c r="W9" s="88"/>
      <c r="X9" s="89"/>
      <c r="Y9" s="89"/>
      <c r="Z9" s="89"/>
      <c r="AA9" s="89"/>
      <c r="AB9" s="90"/>
      <c r="AD9" s="88"/>
      <c r="AE9" s="89"/>
      <c r="AF9" s="89"/>
      <c r="AG9" s="89"/>
      <c r="AH9" s="89"/>
      <c r="AI9" s="89"/>
      <c r="AJ9" s="90"/>
      <c r="AL9" s="88"/>
      <c r="AM9" s="89"/>
      <c r="AN9" s="89"/>
      <c r="AO9" s="89"/>
      <c r="AP9" s="89"/>
      <c r="AQ9" s="89"/>
      <c r="AR9" s="89"/>
      <c r="AS9" s="89"/>
      <c r="AT9" s="90"/>
    </row>
    <row r="10" spans="2:69" ht="19.5" customHeight="1" x14ac:dyDescent="0.25"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  <c r="I10" s="2" t="s">
        <v>32</v>
      </c>
      <c r="K10" s="3" t="s">
        <v>32</v>
      </c>
      <c r="L10" s="3" t="s">
        <v>33</v>
      </c>
      <c r="M10" s="3" t="s">
        <v>29</v>
      </c>
      <c r="N10" s="3" t="s">
        <v>30</v>
      </c>
      <c r="P10" s="3" t="s">
        <v>26</v>
      </c>
      <c r="Q10" s="3" t="s">
        <v>29</v>
      </c>
      <c r="R10" s="3" t="s">
        <v>30</v>
      </c>
      <c r="S10" s="3" t="s">
        <v>27</v>
      </c>
      <c r="T10" s="3" t="s">
        <v>28</v>
      </c>
      <c r="U10" s="3" t="s">
        <v>32</v>
      </c>
      <c r="W10" s="3" t="s">
        <v>32</v>
      </c>
      <c r="X10" s="3" t="s">
        <v>26</v>
      </c>
      <c r="Y10" s="3" t="s">
        <v>29</v>
      </c>
      <c r="Z10" s="3" t="s">
        <v>30</v>
      </c>
      <c r="AA10" s="3" t="s">
        <v>28</v>
      </c>
      <c r="AB10" s="3" t="s">
        <v>31</v>
      </c>
      <c r="AD10" s="3" t="s">
        <v>32</v>
      </c>
      <c r="AE10" s="3" t="s">
        <v>26</v>
      </c>
      <c r="AF10" s="3" t="s">
        <v>29</v>
      </c>
      <c r="AG10" s="3" t="s">
        <v>30</v>
      </c>
      <c r="AH10" s="3" t="s">
        <v>28</v>
      </c>
      <c r="AI10" s="3" t="s">
        <v>31</v>
      </c>
      <c r="AJ10" s="3" t="s">
        <v>34</v>
      </c>
      <c r="AL10" s="3" t="s">
        <v>32</v>
      </c>
      <c r="AM10" s="3" t="s">
        <v>26</v>
      </c>
      <c r="AN10" s="3" t="s">
        <v>29</v>
      </c>
      <c r="AO10" s="3" t="s">
        <v>30</v>
      </c>
      <c r="AP10" s="3" t="s">
        <v>27</v>
      </c>
      <c r="AQ10" s="3" t="s">
        <v>28</v>
      </c>
      <c r="AR10" s="3" t="s">
        <v>31</v>
      </c>
      <c r="AS10" s="3" t="s">
        <v>35</v>
      </c>
      <c r="AT10" s="3" t="s">
        <v>34</v>
      </c>
      <c r="BD10" s="4" t="s">
        <v>36</v>
      </c>
    </row>
    <row r="11" spans="2:69" ht="15" customHeight="1" x14ac:dyDescent="0.25">
      <c r="B11" s="5" t="str">
        <f t="shared" ref="B11:B74" si="0">IF($C11="","",ROW()-10)</f>
        <v/>
      </c>
      <c r="C11" s="5"/>
      <c r="D11" s="5"/>
      <c r="E11" s="5"/>
      <c r="F11" s="6"/>
      <c r="G11" s="6"/>
      <c r="H11" s="7"/>
      <c r="I11" s="8"/>
      <c r="K11" s="9" t="str">
        <f>IFERROR(INDEX($AL$11:$AL$4010,MATCH(1,$AX$11:$AX$4010,0)),"")</f>
        <v/>
      </c>
      <c r="L11" s="10" t="str">
        <f t="shared" ref="L11:L74" si="1">IF(K11="","",COUNTIF($AL$11:$AL$4010,K11))</f>
        <v/>
      </c>
      <c r="M11" s="11" t="str">
        <f t="shared" ref="M11:M74" si="2">IF(K11="","",SUMIF($AL$11:$AL$4010,K11,$AN$11:$AN$4010))</f>
        <v/>
      </c>
      <c r="N11" s="11" t="str">
        <f t="shared" ref="N11:N74" si="3">IF(K11="","",SUMIF($AL$11:$AL$4010,K11,$AO$11:$AO$4010))</f>
        <v/>
      </c>
      <c r="P11" s="12" t="str">
        <f>IFERROR(INDEX($AM$11:$AM$4010,MATCH($S$8&amp;"|"&amp;1,$BA$11:$BA$4010,0)),"")</f>
        <v/>
      </c>
      <c r="Q11" s="11" t="str">
        <f>IF(P11="","",IFERROR(INDEX($AN$11:$AN$4010,MATCH($S$8&amp;"|"&amp;1,$BA$11:$BA$4010,0)),""))</f>
        <v/>
      </c>
      <c r="R11" s="11" t="str">
        <f>IF(P11="","",IFERROR(INDEX($AO$11:$AO$4010,MATCH($S$8&amp;"|"&amp;1,$BA$11:$BA$4010,0)),""))</f>
        <v/>
      </c>
      <c r="S11" s="10" t="str">
        <f>IF(P11="","",IFERROR(INDEX($AP$11:$AP$4010,MATCH($S$8&amp;"|"&amp;1,$BA$11:$BA$4010,0)),""))</f>
        <v/>
      </c>
      <c r="T11" s="10" t="str">
        <f>IF(P11="","",IFERROR(INDEX($AQ$11:$AQ$4010,MATCH($S$8&amp;"|"&amp;1,$BA$11:$BA$4010,0)),""))</f>
        <v/>
      </c>
      <c r="U11" s="39" t="str">
        <f t="shared" ref="U11:U42" si="4">IF(P11="","",$S$8)</f>
        <v/>
      </c>
      <c r="W11" s="14" t="str">
        <f>IF(X11="","",IFERROR(INDEX($AL$11:$AL$4010,MATCH(1,$AY$11:$AY$4010,0)),""))</f>
        <v/>
      </c>
      <c r="X11" s="12" t="str">
        <f>IFERROR(INDEX($AM$11:$AM$4010,MATCH(1,$AY$11:$AY$4010,0)),"")</f>
        <v/>
      </c>
      <c r="Y11" s="11" t="str">
        <f>IF(X11="","",IFERROR(INDEX($AN$11:$AN$4010,MATCH(1,$AY$11:$AY$4010,0)),""))</f>
        <v/>
      </c>
      <c r="Z11" s="11" t="str">
        <f>IF(X11="","",IFERROR(INDEX($AO$11:$AO$4010,MATCH(1,$AY$11:$AY$4010,0)),""))</f>
        <v/>
      </c>
      <c r="AA11" s="10" t="str">
        <f>IF(X11="","",IFERROR(INDEX($AQ$11:$AQ$4010,MATCH(1,$AY$11:$AY$4010,0)),""))</f>
        <v/>
      </c>
      <c r="AB11" s="15" t="str">
        <f>IF(X11="","",IFERROR(INDEX($AR$11:$AR$4010,MATCH(1,$AY$11:$AY$4010,0)),""))</f>
        <v/>
      </c>
      <c r="AD11" s="16" t="str">
        <f>IF(AE11="","",IFERROR(INDEX($AL$11:$AL$4010,MATCH(1,$AZ$11:$AZ$4010,0)),""))</f>
        <v/>
      </c>
      <c r="AE11" s="12" t="str">
        <f>IFERROR(INDEX($AM$11:$AM$4010,MATCH(1,$AZ$11:$AZ$4010,0)),"")</f>
        <v/>
      </c>
      <c r="AF11" s="11" t="str">
        <f>IF(AE11="","",IFERROR(INDEX($AN$11:$AN$4010,MATCH(1,$AZ$11:$AZ$4010,0)),""))</f>
        <v/>
      </c>
      <c r="AG11" s="11" t="str">
        <f>IF(AE11="","",IFERROR(INDEX($AO$11:$AO$4010,MATCH(1,$AZ$11:$AZ$4010,0)),""))</f>
        <v/>
      </c>
      <c r="AH11" s="10" t="str">
        <f>IF(AE11="","",IFERROR(INDEX($AQ$11:$AQ$4010,MATCH(1,$AZ$11:$AZ$4010,0)),""))</f>
        <v/>
      </c>
      <c r="AI11" s="15" t="str">
        <f>IF(AE11="","",IFERROR(INDEX($AR$11:$AR$4010,MATCH(1,$AZ$11:$AZ$4010,0)),""))</f>
        <v/>
      </c>
      <c r="AJ11" s="15" t="str">
        <f>IF(AE11="","",IFERROR(INDEX($AT$11:$AT$4010,MATCH(1,$AZ$11:$AZ$4010,0)),""))</f>
        <v/>
      </c>
      <c r="AL11" s="17" t="str">
        <f t="shared" ref="AL11:AL74" si="5">IF($C11="","",$I11)</f>
        <v/>
      </c>
      <c r="AM11" s="12" t="str">
        <f t="shared" ref="AM11:AM74" si="6">IF($C11="","",$C11)</f>
        <v/>
      </c>
      <c r="AN11" s="18" t="str">
        <f t="shared" ref="AN11:AN74" si="7">IF($C11="","",$F11)</f>
        <v/>
      </c>
      <c r="AO11" s="18" t="str">
        <f t="shared" ref="AO11:AO74" si="8">IF($C11="","",$G11)</f>
        <v/>
      </c>
      <c r="AP11" s="10" t="str">
        <f t="shared" ref="AP11:AP74" si="9">IF($C11="","",$D11)</f>
        <v/>
      </c>
      <c r="AQ11" s="10" t="str">
        <f t="shared" ref="AQ11:AQ74" si="10">IF($C11="","",$E11)</f>
        <v/>
      </c>
      <c r="AR11" s="19" t="str">
        <f t="shared" ref="AR11:AR74" si="11">IF($C11="","",$H11)</f>
        <v/>
      </c>
      <c r="AS11" s="20"/>
      <c r="AT11" s="19"/>
      <c r="AV11" s="21">
        <f>IF(AND($AL11&lt;&gt;"",COUNTIF($AL$11:$AL11,$AL11)=1),1,0)</f>
        <v>0</v>
      </c>
      <c r="AW11" s="21">
        <f>AV11</f>
        <v>0</v>
      </c>
      <c r="AX11" s="21" t="str">
        <f t="shared" ref="AX11:AX74" si="12">IF(AV11=1,AW11,"")</f>
        <v/>
      </c>
      <c r="AY11" s="21" t="str">
        <f>IF(AND($AM11&lt;&gt;"",$AS11&lt;&gt;"✓"),SUMPRODUCT(($AM$11:$AM11&lt;&gt;"")*($AS$11:$AS11&lt;&gt;"✓")),"")</f>
        <v/>
      </c>
      <c r="AZ11" s="21" t="str">
        <f>IF(AND($AM11&lt;&gt;"",$AS11="✓"),SUMPRODUCT(($AM$11:$AM11&lt;&gt;"")*($AS$11:$AS11="✓")),"")</f>
        <v/>
      </c>
      <c r="BA11" s="21" t="str">
        <f>IF($AL11="","",$AL11&amp;"|"&amp;COUNTIF($AL$11:$AL11,$AL11))</f>
        <v/>
      </c>
      <c r="BD11" s="71" t="s">
        <v>40</v>
      </c>
      <c r="BE11" s="72"/>
      <c r="BF11" s="73"/>
      <c r="BG11" s="22" t="s">
        <v>41</v>
      </c>
      <c r="BH11" s="94">
        <f ca="1">TODAY()</f>
        <v>46203</v>
      </c>
      <c r="BI11" s="73"/>
      <c r="BL11" s="71" t="s">
        <v>40</v>
      </c>
      <c r="BM11" s="72"/>
      <c r="BN11" s="73"/>
      <c r="BO11" s="22" t="s">
        <v>41</v>
      </c>
      <c r="BP11" s="94">
        <f ca="1">TODAY()</f>
        <v>46203</v>
      </c>
      <c r="BQ11" s="73"/>
    </row>
    <row r="12" spans="2:69" ht="15" customHeight="1" x14ac:dyDescent="0.25">
      <c r="B12" s="5" t="str">
        <f t="shared" si="0"/>
        <v/>
      </c>
      <c r="C12" s="5"/>
      <c r="D12" s="5"/>
      <c r="E12" s="5"/>
      <c r="F12" s="6"/>
      <c r="G12" s="6"/>
      <c r="H12" s="7"/>
      <c r="I12" s="8"/>
      <c r="K12" s="23" t="str">
        <f>IFERROR(INDEX($AL$11:$AL$4010,MATCH(2,$AX$11:$AX$4010,0)),"")</f>
        <v/>
      </c>
      <c r="L12" s="24" t="str">
        <f t="shared" si="1"/>
        <v/>
      </c>
      <c r="M12" s="25" t="str">
        <f t="shared" si="2"/>
        <v/>
      </c>
      <c r="N12" s="25" t="str">
        <f t="shared" si="3"/>
        <v/>
      </c>
      <c r="P12" s="26" t="str">
        <f>IFERROR(INDEX($AM$11:$AM$4010,MATCH($S$8&amp;"|"&amp;2,$BA$11:$BA$4010,0)),"")</f>
        <v/>
      </c>
      <c r="Q12" s="25" t="str">
        <f>IF(P12="","",IFERROR(INDEX($AN$11:$AN$4010,MATCH($S$8&amp;"|"&amp;2,$BA$11:$BA$4010,0)),""))</f>
        <v/>
      </c>
      <c r="R12" s="25" t="str">
        <f>IF(P12="","",IFERROR(INDEX($AO$11:$AO$4010,MATCH($S$8&amp;"|"&amp;2,$BA$11:$BA$4010,0)),""))</f>
        <v/>
      </c>
      <c r="S12" s="24" t="str">
        <f>IF(P12="","",IFERROR(INDEX($AP$11:$AP$4010,MATCH($S$8&amp;"|"&amp;2,$BA$11:$BA$4010,0)),""))</f>
        <v/>
      </c>
      <c r="T12" s="24" t="str">
        <f>IF(P12="","",IFERROR(INDEX($AQ$11:$AQ$4010,MATCH($S$8&amp;"|"&amp;2,$BA$11:$BA$4010,0)),""))</f>
        <v/>
      </c>
      <c r="U12" s="38" t="str">
        <f t="shared" si="4"/>
        <v/>
      </c>
      <c r="W12" s="28" t="str">
        <f>IF(X12="","",IFERROR(INDEX($AL$11:$AL$4010,MATCH(2,$AY$11:$AY$4010,0)),""))</f>
        <v/>
      </c>
      <c r="X12" s="26" t="str">
        <f>IFERROR(INDEX($AM$11:$AM$4010,MATCH(2,$AY$11:$AY$4010,0)),"")</f>
        <v/>
      </c>
      <c r="Y12" s="25" t="str">
        <f>IF(X12="","",IFERROR(INDEX($AN$11:$AN$4010,MATCH(2,$AY$11:$AY$4010,0)),""))</f>
        <v/>
      </c>
      <c r="Z12" s="25" t="str">
        <f>IF(X12="","",IFERROR(INDEX($AO$11:$AO$4010,MATCH(2,$AY$11:$AY$4010,0)),""))</f>
        <v/>
      </c>
      <c r="AA12" s="24" t="str">
        <f>IF(X12="","",IFERROR(INDEX($AQ$11:$AQ$4010,MATCH(2,$AY$11:$AY$4010,0)),""))</f>
        <v/>
      </c>
      <c r="AB12" s="29" t="str">
        <f>IF(X12="","",IFERROR(INDEX($AR$11:$AR$4010,MATCH(2,$AY$11:$AY$4010,0)),""))</f>
        <v/>
      </c>
      <c r="AD12" s="30" t="str">
        <f>IF(AE12="","",IFERROR(INDEX($AL$11:$AL$4010,MATCH(2,$AZ$11:$AZ$4010,0)),""))</f>
        <v/>
      </c>
      <c r="AE12" s="26" t="str">
        <f>IFERROR(INDEX($AM$11:$AM$4010,MATCH(2,$AZ$11:$AZ$4010,0)),"")</f>
        <v/>
      </c>
      <c r="AF12" s="25" t="str">
        <f>IF(AE12="","",IFERROR(INDEX($AN$11:$AN$4010,MATCH(2,$AZ$11:$AZ$4010,0)),""))</f>
        <v/>
      </c>
      <c r="AG12" s="25" t="str">
        <f>IF(AE12="","",IFERROR(INDEX($AO$11:$AO$4010,MATCH(2,$AZ$11:$AZ$4010,0)),""))</f>
        <v/>
      </c>
      <c r="AH12" s="24" t="str">
        <f>IF(AE12="","",IFERROR(INDEX($AQ$11:$AQ$4010,MATCH(2,$AZ$11:$AZ$4010,0)),""))</f>
        <v/>
      </c>
      <c r="AI12" s="29" t="str">
        <f>IF(AE12="","",IFERROR(INDEX($AR$11:$AR$4010,MATCH(2,$AZ$11:$AZ$4010,0)),""))</f>
        <v/>
      </c>
      <c r="AJ12" s="29" t="str">
        <f>IF(AE12="","",IFERROR(INDEX($AT$11:$AT$4010,MATCH(2,$AZ$11:$AZ$4010,0)),""))</f>
        <v/>
      </c>
      <c r="AL12" s="31" t="str">
        <f t="shared" si="5"/>
        <v/>
      </c>
      <c r="AM12" s="26" t="str">
        <f t="shared" si="6"/>
        <v/>
      </c>
      <c r="AN12" s="32" t="str">
        <f t="shared" si="7"/>
        <v/>
      </c>
      <c r="AO12" s="32" t="str">
        <f t="shared" si="8"/>
        <v/>
      </c>
      <c r="AP12" s="24" t="str">
        <f t="shared" si="9"/>
        <v/>
      </c>
      <c r="AQ12" s="24" t="str">
        <f t="shared" si="10"/>
        <v/>
      </c>
      <c r="AR12" s="33" t="str">
        <f t="shared" si="11"/>
        <v/>
      </c>
      <c r="AS12" s="34"/>
      <c r="AT12" s="33"/>
      <c r="AV12" s="21">
        <f>IF(AND($AL12&lt;&gt;"",COUNTIF($AL$11:$AL12,$AL12)=1),1,0)</f>
        <v>0</v>
      </c>
      <c r="AW12" s="21">
        <f t="shared" ref="AW12:AW75" si="13">AW11+AV12</f>
        <v>0</v>
      </c>
      <c r="AX12" s="21" t="str">
        <f t="shared" si="12"/>
        <v/>
      </c>
      <c r="AY12" s="21" t="str">
        <f>IF(AND($AM12&lt;&gt;"",$AS12&lt;&gt;"✓"),SUMPRODUCT(($AM$11:$AM12&lt;&gt;"")*($AS$11:$AS12&lt;&gt;"✓")),"")</f>
        <v/>
      </c>
      <c r="AZ12" s="21" t="str">
        <f>IF(AND($AM12&lt;&gt;"",$AS12="✓"),SUMPRODUCT(($AM$11:$AM12&lt;&gt;"")*($AS$11:$AS12="✓")),"")</f>
        <v/>
      </c>
      <c r="BA12" s="21" t="str">
        <f>IF($AL12="","",$AL12&amp;"|"&amp;COUNTIF($AL$11:$AL12,$AL12))</f>
        <v/>
      </c>
      <c r="BD12" s="35" t="s">
        <v>25</v>
      </c>
      <c r="BE12" s="35" t="s">
        <v>26</v>
      </c>
      <c r="BF12" s="35" t="s">
        <v>27</v>
      </c>
      <c r="BG12" s="35" t="s">
        <v>28</v>
      </c>
      <c r="BH12" s="35" t="s">
        <v>29</v>
      </c>
      <c r="BI12" s="35" t="s">
        <v>30</v>
      </c>
      <c r="BL12" s="35" t="s">
        <v>25</v>
      </c>
      <c r="BM12" s="35" t="s">
        <v>26</v>
      </c>
      <c r="BN12" s="35" t="s">
        <v>27</v>
      </c>
      <c r="BO12" s="35" t="s">
        <v>28</v>
      </c>
      <c r="BP12" s="35" t="s">
        <v>29</v>
      </c>
      <c r="BQ12" s="35" t="s">
        <v>30</v>
      </c>
    </row>
    <row r="13" spans="2:69" ht="13.5" customHeight="1" x14ac:dyDescent="0.25">
      <c r="B13" s="5" t="str">
        <f t="shared" si="0"/>
        <v/>
      </c>
      <c r="C13" s="5"/>
      <c r="D13" s="5"/>
      <c r="E13" s="5"/>
      <c r="F13" s="6"/>
      <c r="G13" s="6"/>
      <c r="H13" s="7"/>
      <c r="I13" s="8"/>
      <c r="K13" s="9" t="str">
        <f>IFERROR(INDEX($AL$11:$AL$4010,MATCH(3,$AX$11:$AX$4010,0)),"")</f>
        <v/>
      </c>
      <c r="L13" s="10" t="str">
        <f t="shared" si="1"/>
        <v/>
      </c>
      <c r="M13" s="11" t="str">
        <f t="shared" si="2"/>
        <v/>
      </c>
      <c r="N13" s="11" t="str">
        <f t="shared" si="3"/>
        <v/>
      </c>
      <c r="P13" s="12" t="str">
        <f>IFERROR(INDEX($AM$11:$AM$4010,MATCH($S$8&amp;"|"&amp;3,$BA$11:$BA$4010,0)),"")</f>
        <v/>
      </c>
      <c r="Q13" s="11" t="str">
        <f>IF(P13="","",IFERROR(INDEX($AN$11:$AN$4010,MATCH($S$8&amp;"|"&amp;3,$BA$11:$BA$4010,0)),""))</f>
        <v/>
      </c>
      <c r="R13" s="11" t="str">
        <f>IF(P13="","",IFERROR(INDEX($AO$11:$AO$4010,MATCH($S$8&amp;"|"&amp;3,$BA$11:$BA$4010,0)),""))</f>
        <v/>
      </c>
      <c r="S13" s="10" t="str">
        <f>IF(P13="","",IFERROR(INDEX($AP$11:$AP$4010,MATCH($S$8&amp;"|"&amp;3,$BA$11:$BA$4010,0)),""))</f>
        <v/>
      </c>
      <c r="T13" s="10" t="str">
        <f>IF(P13="","",IFERROR(INDEX($AQ$11:$AQ$4010,MATCH($S$8&amp;"|"&amp;3,$BA$11:$BA$4010,0)),""))</f>
        <v/>
      </c>
      <c r="U13" s="39" t="str">
        <f t="shared" si="4"/>
        <v/>
      </c>
      <c r="W13" s="14" t="str">
        <f>IF(X13="","",IFERROR(INDEX($AL$11:$AL$4010,MATCH(3,$AY$11:$AY$4010,0)),""))</f>
        <v/>
      </c>
      <c r="X13" s="12" t="str">
        <f>IFERROR(INDEX($AM$11:$AM$4010,MATCH(3,$AY$11:$AY$4010,0)),"")</f>
        <v/>
      </c>
      <c r="Y13" s="11" t="str">
        <f>IF(X13="","",IFERROR(INDEX($AN$11:$AN$4010,MATCH(3,$AY$11:$AY$4010,0)),""))</f>
        <v/>
      </c>
      <c r="Z13" s="11" t="str">
        <f>IF(X13="","",IFERROR(INDEX($AO$11:$AO$4010,MATCH(3,$AY$11:$AY$4010,0)),""))</f>
        <v/>
      </c>
      <c r="AA13" s="10" t="str">
        <f>IF(X13="","",IFERROR(INDEX($AQ$11:$AQ$4010,MATCH(3,$AY$11:$AY$4010,0)),""))</f>
        <v/>
      </c>
      <c r="AB13" s="15" t="str">
        <f>IF(X13="","",IFERROR(INDEX($AR$11:$AR$4010,MATCH(3,$AY$11:$AY$4010,0)),""))</f>
        <v/>
      </c>
      <c r="AD13" s="16" t="str">
        <f>IF(AE13="","",IFERROR(INDEX($AL$11:$AL$4010,MATCH(3,$AZ$11:$AZ$4010,0)),""))</f>
        <v/>
      </c>
      <c r="AE13" s="12" t="str">
        <f>IFERROR(INDEX($AM$11:$AM$4010,MATCH(3,$AZ$11:$AZ$4010,0)),"")</f>
        <v/>
      </c>
      <c r="AF13" s="11" t="str">
        <f>IF(AE13="","",IFERROR(INDEX($AN$11:$AN$4010,MATCH(3,$AZ$11:$AZ$4010,0)),""))</f>
        <v/>
      </c>
      <c r="AG13" s="11" t="str">
        <f>IF(AE13="","",IFERROR(INDEX($AO$11:$AO$4010,MATCH(3,$AZ$11:$AZ$4010,0)),""))</f>
        <v/>
      </c>
      <c r="AH13" s="10" t="str">
        <f>IF(AE13="","",IFERROR(INDEX($AQ$11:$AQ$4010,MATCH(3,$AZ$11:$AZ$4010,0)),""))</f>
        <v/>
      </c>
      <c r="AI13" s="15" t="str">
        <f>IF(AE13="","",IFERROR(INDEX($AR$11:$AR$4010,MATCH(3,$AZ$11:$AZ$4010,0)),""))</f>
        <v/>
      </c>
      <c r="AJ13" s="15" t="str">
        <f>IF(AE13="","",IFERROR(INDEX($AT$11:$AT$4010,MATCH(3,$AZ$11:$AZ$4010,0)),""))</f>
        <v/>
      </c>
      <c r="AL13" s="17" t="str">
        <f t="shared" si="5"/>
        <v/>
      </c>
      <c r="AM13" s="12" t="str">
        <f t="shared" si="6"/>
        <v/>
      </c>
      <c r="AN13" s="18" t="str">
        <f t="shared" si="7"/>
        <v/>
      </c>
      <c r="AO13" s="18" t="str">
        <f t="shared" si="8"/>
        <v/>
      </c>
      <c r="AP13" s="10" t="str">
        <f t="shared" si="9"/>
        <v/>
      </c>
      <c r="AQ13" s="10" t="str">
        <f t="shared" si="10"/>
        <v/>
      </c>
      <c r="AR13" s="19" t="str">
        <f t="shared" si="11"/>
        <v/>
      </c>
      <c r="AS13" s="20"/>
      <c r="AT13" s="19"/>
      <c r="AV13" s="21">
        <f>IF(AND($AL13&lt;&gt;"",COUNTIF($AL$11:$AL13,$AL13)=1),1,0)</f>
        <v>0</v>
      </c>
      <c r="AW13" s="21">
        <f t="shared" si="13"/>
        <v>0</v>
      </c>
      <c r="AX13" s="21" t="str">
        <f t="shared" si="12"/>
        <v/>
      </c>
      <c r="AY13" s="21" t="str">
        <f>IF(AND($AM13&lt;&gt;"",$AS13&lt;&gt;"✓"),SUMPRODUCT(($AM$11:$AM13&lt;&gt;"")*($AS$11:$AS13&lt;&gt;"✓")),"")</f>
        <v/>
      </c>
      <c r="AZ13" s="21" t="str">
        <f>IF(AND($AM13&lt;&gt;"",$AS13="✓"),SUMPRODUCT(($AM$11:$AM13&lt;&gt;"")*($AS$11:$AS13="✓")),"")</f>
        <v/>
      </c>
      <c r="BA13" s="21" t="str">
        <f>IF($AL13="","",$AL13&amp;"|"&amp;COUNTIF($AL$11:$AL13,$AL13))</f>
        <v/>
      </c>
      <c r="BD13" s="36" t="str">
        <f>IF(IFERROR(INDEX($AM$11:$AM$4010,MATCH($S$8&amp;"|"&amp;1,$BA$11:$BA$4010,0)),"")="","",1)</f>
        <v/>
      </c>
      <c r="BE13" s="36" t="str">
        <f>IFERROR(INDEX($AM$11:$AM$4010,MATCH($S$8&amp;"|"&amp;1,$BA$11:$BA$4010,0)),"")</f>
        <v/>
      </c>
      <c r="BF13" s="36" t="str">
        <f>IFERROR(INDEX($AP$11:$AP$4010,MATCH($S$8&amp;"|"&amp;1,$BA$11:$BA$4010,0)),"")</f>
        <v/>
      </c>
      <c r="BG13" s="36" t="str">
        <f>IFERROR(INDEX($AQ$11:$AQ$4010,MATCH($S$8&amp;"|"&amp;1,$BA$11:$BA$4010,0)),"")</f>
        <v/>
      </c>
      <c r="BH13" s="37" t="str">
        <f>IFERROR(INDEX($AN$11:$AN$4010,MATCH($S$8&amp;"|"&amp;1,$BA$11:$BA$4010,0)),"")</f>
        <v/>
      </c>
      <c r="BI13" s="37" t="str">
        <f>IFERROR(INDEX($AO$11:$AO$4010,MATCH($S$8&amp;"|"&amp;1,$BA$11:$BA$4010,0)),"")</f>
        <v/>
      </c>
      <c r="BL13" s="36" t="str">
        <f>IF(IFERROR(INDEX($AM$11:$AM$4010,MATCH($S$8&amp;"|"&amp;1,$BA$11:$BA$4010,0)),"")="","",1)</f>
        <v/>
      </c>
      <c r="BM13" s="36" t="str">
        <f>IFERROR(INDEX($AM$11:$AM$4010,MATCH($S$8&amp;"|"&amp;1,$BA$11:$BA$4010,0)),"")</f>
        <v/>
      </c>
      <c r="BN13" s="36" t="str">
        <f>IFERROR(INDEX($AP$11:$AP$4010,MATCH($S$8&amp;"|"&amp;1,$BA$11:$BA$4010,0)),"")</f>
        <v/>
      </c>
      <c r="BO13" s="36" t="str">
        <f>IFERROR(INDEX($AQ$11:$AQ$4010,MATCH($S$8&amp;"|"&amp;1,$BA$11:$BA$4010,0)),"")</f>
        <v/>
      </c>
      <c r="BP13" s="37" t="str">
        <f>IFERROR(INDEX($AN$11:$AN$4010,MATCH($S$8&amp;"|"&amp;1,$BA$11:$BA$4010,0)),"")</f>
        <v/>
      </c>
      <c r="BQ13" s="37" t="str">
        <f>IFERROR(INDEX($AO$11:$AO$4010,MATCH($S$8&amp;"|"&amp;1,$BA$11:$BA$4010,0)),"")</f>
        <v/>
      </c>
    </row>
    <row r="14" spans="2:69" ht="13.5" customHeight="1" x14ac:dyDescent="0.25">
      <c r="B14" s="5" t="str">
        <f t="shared" si="0"/>
        <v/>
      </c>
      <c r="C14" s="5"/>
      <c r="D14" s="5"/>
      <c r="E14" s="5"/>
      <c r="F14" s="6"/>
      <c r="G14" s="6"/>
      <c r="H14" s="7"/>
      <c r="I14" s="8"/>
      <c r="K14" s="23" t="str">
        <f>IFERROR(INDEX($AL$11:$AL$4010,MATCH(4,$AX$11:$AX$4010,0)),"")</f>
        <v/>
      </c>
      <c r="L14" s="24" t="str">
        <f t="shared" si="1"/>
        <v/>
      </c>
      <c r="M14" s="25" t="str">
        <f t="shared" si="2"/>
        <v/>
      </c>
      <c r="N14" s="25" t="str">
        <f t="shared" si="3"/>
        <v/>
      </c>
      <c r="P14" s="26" t="str">
        <f>IFERROR(INDEX($AM$11:$AM$4010,MATCH($S$8&amp;"|"&amp;4,$BA$11:$BA$4010,0)),"")</f>
        <v/>
      </c>
      <c r="Q14" s="25" t="str">
        <f>IF(P14="","",IFERROR(INDEX($AN$11:$AN$4010,MATCH($S$8&amp;"|"&amp;4,$BA$11:$BA$4010,0)),""))</f>
        <v/>
      </c>
      <c r="R14" s="25" t="str">
        <f>IF(P14="","",IFERROR(INDEX($AO$11:$AO$4010,MATCH($S$8&amp;"|"&amp;4,$BA$11:$BA$4010,0)),""))</f>
        <v/>
      </c>
      <c r="S14" s="24" t="str">
        <f>IF(P14="","",IFERROR(INDEX($AP$11:$AP$4010,MATCH($S$8&amp;"|"&amp;4,$BA$11:$BA$4010,0)),""))</f>
        <v/>
      </c>
      <c r="T14" s="24" t="str">
        <f>IF(P14="","",IFERROR(INDEX($AQ$11:$AQ$4010,MATCH($S$8&amp;"|"&amp;4,$BA$11:$BA$4010,0)),""))</f>
        <v/>
      </c>
      <c r="U14" s="38" t="str">
        <f t="shared" si="4"/>
        <v/>
      </c>
      <c r="W14" s="28" t="str">
        <f>IF(X14="","",IFERROR(INDEX($AL$11:$AL$4010,MATCH(4,$AY$11:$AY$4010,0)),""))</f>
        <v/>
      </c>
      <c r="X14" s="26" t="str">
        <f>IFERROR(INDEX($AM$11:$AM$4010,MATCH(4,$AY$11:$AY$4010,0)),"")</f>
        <v/>
      </c>
      <c r="Y14" s="25" t="str">
        <f>IF(X14="","",IFERROR(INDEX($AN$11:$AN$4010,MATCH(4,$AY$11:$AY$4010,0)),""))</f>
        <v/>
      </c>
      <c r="Z14" s="25" t="str">
        <f>IF(X14="","",IFERROR(INDEX($AO$11:$AO$4010,MATCH(4,$AY$11:$AY$4010,0)),""))</f>
        <v/>
      </c>
      <c r="AA14" s="24" t="str">
        <f>IF(X14="","",IFERROR(INDEX($AQ$11:$AQ$4010,MATCH(4,$AY$11:$AY$4010,0)),""))</f>
        <v/>
      </c>
      <c r="AB14" s="29" t="str">
        <f>IF(X14="","",IFERROR(INDEX($AR$11:$AR$4010,MATCH(4,$AY$11:$AY$4010,0)),""))</f>
        <v/>
      </c>
      <c r="AD14" s="30" t="str">
        <f>IF(AE14="","",IFERROR(INDEX($AL$11:$AL$4010,MATCH(4,$AZ$11:$AZ$4010,0)),""))</f>
        <v/>
      </c>
      <c r="AE14" s="26" t="str">
        <f>IFERROR(INDEX($AM$11:$AM$4010,MATCH(4,$AZ$11:$AZ$4010,0)),"")</f>
        <v/>
      </c>
      <c r="AF14" s="25" t="str">
        <f>IF(AE14="","",IFERROR(INDEX($AN$11:$AN$4010,MATCH(4,$AZ$11:$AZ$4010,0)),""))</f>
        <v/>
      </c>
      <c r="AG14" s="25" t="str">
        <f>IF(AE14="","",IFERROR(INDEX($AO$11:$AO$4010,MATCH(4,$AZ$11:$AZ$4010,0)),""))</f>
        <v/>
      </c>
      <c r="AH14" s="24" t="str">
        <f>IF(AE14="","",IFERROR(INDEX($AQ$11:$AQ$4010,MATCH(4,$AZ$11:$AZ$4010,0)),""))</f>
        <v/>
      </c>
      <c r="AI14" s="29" t="str">
        <f>IF(AE14="","",IFERROR(INDEX($AR$11:$AR$4010,MATCH(4,$AZ$11:$AZ$4010,0)),""))</f>
        <v/>
      </c>
      <c r="AJ14" s="29" t="str">
        <f>IF(AE14="","",IFERROR(INDEX($AT$11:$AT$4010,MATCH(4,$AZ$11:$AZ$4010,0)),""))</f>
        <v/>
      </c>
      <c r="AL14" s="31" t="str">
        <f t="shared" si="5"/>
        <v/>
      </c>
      <c r="AM14" s="26" t="str">
        <f t="shared" si="6"/>
        <v/>
      </c>
      <c r="AN14" s="32" t="str">
        <f t="shared" si="7"/>
        <v/>
      </c>
      <c r="AO14" s="32" t="str">
        <f t="shared" si="8"/>
        <v/>
      </c>
      <c r="AP14" s="24" t="str">
        <f t="shared" si="9"/>
        <v/>
      </c>
      <c r="AQ14" s="24" t="str">
        <f t="shared" si="10"/>
        <v/>
      </c>
      <c r="AR14" s="33" t="str">
        <f t="shared" si="11"/>
        <v/>
      </c>
      <c r="AS14" s="34"/>
      <c r="AT14" s="33"/>
      <c r="AV14" s="21">
        <f>IF(AND($AL14&lt;&gt;"",COUNTIF($AL$11:$AL14,$AL14)=1),1,0)</f>
        <v>0</v>
      </c>
      <c r="AW14" s="21">
        <f t="shared" si="13"/>
        <v>0</v>
      </c>
      <c r="AX14" s="21" t="str">
        <f t="shared" si="12"/>
        <v/>
      </c>
      <c r="AY14" s="21" t="str">
        <f>IF(AND($AM14&lt;&gt;"",$AS14&lt;&gt;"✓"),SUMPRODUCT(($AM$11:$AM14&lt;&gt;"")*($AS$11:$AS14&lt;&gt;"✓")),"")</f>
        <v/>
      </c>
      <c r="AZ14" s="21" t="str">
        <f>IF(AND($AM14&lt;&gt;"",$AS14="✓"),SUMPRODUCT(($AM$11:$AM14&lt;&gt;"")*($AS$11:$AS14="✓")),"")</f>
        <v/>
      </c>
      <c r="BA14" s="21" t="str">
        <f>IF($AL14="","",$AL14&amp;"|"&amp;COUNTIF($AL$11:$AL14,$AL14))</f>
        <v/>
      </c>
      <c r="BD14" s="36" t="str">
        <f>IF(IFERROR(INDEX($AM$11:$AM$4010,MATCH($S$8&amp;"|"&amp;2,$BA$11:$BA$4010,0)),"")="","",2)</f>
        <v/>
      </c>
      <c r="BE14" s="36" t="str">
        <f>IFERROR(INDEX($AM$11:$AM$4010,MATCH($S$8&amp;"|"&amp;2,$BA$11:$BA$4010,0)),"")</f>
        <v/>
      </c>
      <c r="BF14" s="36" t="str">
        <f>IFERROR(INDEX($AP$11:$AP$4010,MATCH($S$8&amp;"|"&amp;2,$BA$11:$BA$4010,0)),"")</f>
        <v/>
      </c>
      <c r="BG14" s="36" t="str">
        <f>IFERROR(INDEX($AQ$11:$AQ$4010,MATCH($S$8&amp;"|"&amp;2,$BA$11:$BA$4010,0)),"")</f>
        <v/>
      </c>
      <c r="BH14" s="37" t="str">
        <f>IFERROR(INDEX($AN$11:$AN$4010,MATCH($S$8&amp;"|"&amp;2,$BA$11:$BA$4010,0)),"")</f>
        <v/>
      </c>
      <c r="BI14" s="37" t="str">
        <f>IFERROR(INDEX($AO$11:$AO$4010,MATCH($S$8&amp;"|"&amp;2,$BA$11:$BA$4010,0)),"")</f>
        <v/>
      </c>
      <c r="BL14" s="36" t="str">
        <f>IF(IFERROR(INDEX($AM$11:$AM$4010,MATCH($S$8&amp;"|"&amp;2,$BA$11:$BA$4010,0)),"")="","",2)</f>
        <v/>
      </c>
      <c r="BM14" s="36" t="str">
        <f>IFERROR(INDEX($AM$11:$AM$4010,MATCH($S$8&amp;"|"&amp;2,$BA$11:$BA$4010,0)),"")</f>
        <v/>
      </c>
      <c r="BN14" s="36" t="str">
        <f>IFERROR(INDEX($AP$11:$AP$4010,MATCH($S$8&amp;"|"&amp;2,$BA$11:$BA$4010,0)),"")</f>
        <v/>
      </c>
      <c r="BO14" s="36" t="str">
        <f>IFERROR(INDEX($AQ$11:$AQ$4010,MATCH($S$8&amp;"|"&amp;2,$BA$11:$BA$4010,0)),"")</f>
        <v/>
      </c>
      <c r="BP14" s="37" t="str">
        <f>IFERROR(INDEX($AN$11:$AN$4010,MATCH($S$8&amp;"|"&amp;2,$BA$11:$BA$4010,0)),"")</f>
        <v/>
      </c>
      <c r="BQ14" s="37" t="str">
        <f>IFERROR(INDEX($AO$11:$AO$4010,MATCH($S$8&amp;"|"&amp;2,$BA$11:$BA$4010,0)),"")</f>
        <v/>
      </c>
    </row>
    <row r="15" spans="2:69" ht="13.5" customHeight="1" x14ac:dyDescent="0.25">
      <c r="B15" s="5" t="str">
        <f t="shared" si="0"/>
        <v/>
      </c>
      <c r="C15" s="5"/>
      <c r="D15" s="5"/>
      <c r="E15" s="5"/>
      <c r="F15" s="6"/>
      <c r="G15" s="6"/>
      <c r="H15" s="7"/>
      <c r="I15" s="8"/>
      <c r="K15" s="9" t="str">
        <f>IFERROR(INDEX($AL$11:$AL$4010,MATCH(5,$AX$11:$AX$4010,0)),"")</f>
        <v/>
      </c>
      <c r="L15" s="10" t="str">
        <f t="shared" si="1"/>
        <v/>
      </c>
      <c r="M15" s="11" t="str">
        <f t="shared" si="2"/>
        <v/>
      </c>
      <c r="N15" s="11" t="str">
        <f t="shared" si="3"/>
        <v/>
      </c>
      <c r="P15" s="12" t="str">
        <f>IFERROR(INDEX($AM$11:$AM$4010,MATCH($S$8&amp;"|"&amp;5,$BA$11:$BA$4010,0)),"")</f>
        <v/>
      </c>
      <c r="Q15" s="11" t="str">
        <f>IF(P15="","",IFERROR(INDEX($AN$11:$AN$4010,MATCH($S$8&amp;"|"&amp;5,$BA$11:$BA$4010,0)),""))</f>
        <v/>
      </c>
      <c r="R15" s="11" t="str">
        <f>IF(P15="","",IFERROR(INDEX($AO$11:$AO$4010,MATCH($S$8&amp;"|"&amp;5,$BA$11:$BA$4010,0)),""))</f>
        <v/>
      </c>
      <c r="S15" s="10" t="str">
        <f>IF(P15="","",IFERROR(INDEX($AP$11:$AP$4010,MATCH($S$8&amp;"|"&amp;5,$BA$11:$BA$4010,0)),""))</f>
        <v/>
      </c>
      <c r="T15" s="10" t="str">
        <f>IF(P15="","",IFERROR(INDEX($AQ$11:$AQ$4010,MATCH($S$8&amp;"|"&amp;5,$BA$11:$BA$4010,0)),""))</f>
        <v/>
      </c>
      <c r="U15" s="39" t="str">
        <f t="shared" si="4"/>
        <v/>
      </c>
      <c r="W15" s="14" t="str">
        <f>IF(X15="","",IFERROR(INDEX($AL$11:$AL$4010,MATCH(5,$AY$11:$AY$4010,0)),""))</f>
        <v/>
      </c>
      <c r="X15" s="12" t="str">
        <f>IFERROR(INDEX($AM$11:$AM$4010,MATCH(5,$AY$11:$AY$4010,0)),"")</f>
        <v/>
      </c>
      <c r="Y15" s="11" t="str">
        <f>IF(X15="","",IFERROR(INDEX($AN$11:$AN$4010,MATCH(5,$AY$11:$AY$4010,0)),""))</f>
        <v/>
      </c>
      <c r="Z15" s="11" t="str">
        <f>IF(X15="","",IFERROR(INDEX($AO$11:$AO$4010,MATCH(5,$AY$11:$AY$4010,0)),""))</f>
        <v/>
      </c>
      <c r="AA15" s="10" t="str">
        <f>IF(X15="","",IFERROR(INDEX($AQ$11:$AQ$4010,MATCH(5,$AY$11:$AY$4010,0)),""))</f>
        <v/>
      </c>
      <c r="AB15" s="15" t="str">
        <f>IF(X15="","",IFERROR(INDEX($AR$11:$AR$4010,MATCH(5,$AY$11:$AY$4010,0)),""))</f>
        <v/>
      </c>
      <c r="AD15" s="16" t="str">
        <f>IF(AE15="","",IFERROR(INDEX($AL$11:$AL$4010,MATCH(5,$AZ$11:$AZ$4010,0)),""))</f>
        <v/>
      </c>
      <c r="AE15" s="12" t="str">
        <f>IFERROR(INDEX($AM$11:$AM$4010,MATCH(5,$AZ$11:$AZ$4010,0)),"")</f>
        <v/>
      </c>
      <c r="AF15" s="11" t="str">
        <f>IF(AE15="","",IFERROR(INDEX($AN$11:$AN$4010,MATCH(5,$AZ$11:$AZ$4010,0)),""))</f>
        <v/>
      </c>
      <c r="AG15" s="11" t="str">
        <f>IF(AE15="","",IFERROR(INDEX($AO$11:$AO$4010,MATCH(5,$AZ$11:$AZ$4010,0)),""))</f>
        <v/>
      </c>
      <c r="AH15" s="10" t="str">
        <f>IF(AE15="","",IFERROR(INDEX($AQ$11:$AQ$4010,MATCH(5,$AZ$11:$AZ$4010,0)),""))</f>
        <v/>
      </c>
      <c r="AI15" s="15" t="str">
        <f>IF(AE15="","",IFERROR(INDEX($AR$11:$AR$4010,MATCH(5,$AZ$11:$AZ$4010,0)),""))</f>
        <v/>
      </c>
      <c r="AJ15" s="15" t="str">
        <f>IF(AE15="","",IFERROR(INDEX($AT$11:$AT$4010,MATCH(5,$AZ$11:$AZ$4010,0)),""))</f>
        <v/>
      </c>
      <c r="AL15" s="17" t="str">
        <f t="shared" si="5"/>
        <v/>
      </c>
      <c r="AM15" s="12" t="str">
        <f t="shared" si="6"/>
        <v/>
      </c>
      <c r="AN15" s="18" t="str">
        <f t="shared" si="7"/>
        <v/>
      </c>
      <c r="AO15" s="18" t="str">
        <f t="shared" si="8"/>
        <v/>
      </c>
      <c r="AP15" s="10" t="str">
        <f t="shared" si="9"/>
        <v/>
      </c>
      <c r="AQ15" s="10" t="str">
        <f t="shared" si="10"/>
        <v/>
      </c>
      <c r="AR15" s="19" t="str">
        <f t="shared" si="11"/>
        <v/>
      </c>
      <c r="AS15" s="20"/>
      <c r="AT15" s="19"/>
      <c r="AV15" s="21">
        <f>IF(AND($AL15&lt;&gt;"",COUNTIF($AL$11:$AL15,$AL15)=1),1,0)</f>
        <v>0</v>
      </c>
      <c r="AW15" s="21">
        <f t="shared" si="13"/>
        <v>0</v>
      </c>
      <c r="AX15" s="21" t="str">
        <f t="shared" si="12"/>
        <v/>
      </c>
      <c r="AY15" s="21" t="str">
        <f>IF(AND($AM15&lt;&gt;"",$AS15&lt;&gt;"✓"),SUMPRODUCT(($AM$11:$AM15&lt;&gt;"")*($AS$11:$AS15&lt;&gt;"✓")),"")</f>
        <v/>
      </c>
      <c r="AZ15" s="21" t="str">
        <f>IF(AND($AM15&lt;&gt;"",$AS15="✓"),SUMPRODUCT(($AM$11:$AM15&lt;&gt;"")*($AS$11:$AS15="✓")),"")</f>
        <v/>
      </c>
      <c r="BA15" s="21" t="str">
        <f>IF($AL15="","",$AL15&amp;"|"&amp;COUNTIF($AL$11:$AL15,$AL15))</f>
        <v/>
      </c>
      <c r="BD15" s="36" t="str">
        <f>IF(IFERROR(INDEX($AM$11:$AM$4010,MATCH($S$8&amp;"|"&amp;3,$BA$11:$BA$4010,0)),"")="","",3)</f>
        <v/>
      </c>
      <c r="BE15" s="36" t="str">
        <f>IFERROR(INDEX($AM$11:$AM$4010,MATCH($S$8&amp;"|"&amp;3,$BA$11:$BA$4010,0)),"")</f>
        <v/>
      </c>
      <c r="BF15" s="36" t="str">
        <f>IFERROR(INDEX($AP$11:$AP$4010,MATCH($S$8&amp;"|"&amp;3,$BA$11:$BA$4010,0)),"")</f>
        <v/>
      </c>
      <c r="BG15" s="36" t="str">
        <f>IFERROR(INDEX($AQ$11:$AQ$4010,MATCH($S$8&amp;"|"&amp;3,$BA$11:$BA$4010,0)),"")</f>
        <v/>
      </c>
      <c r="BH15" s="37" t="str">
        <f>IFERROR(INDEX($AN$11:$AN$4010,MATCH($S$8&amp;"|"&amp;3,$BA$11:$BA$4010,0)),"")</f>
        <v/>
      </c>
      <c r="BI15" s="37" t="str">
        <f>IFERROR(INDEX($AO$11:$AO$4010,MATCH($S$8&amp;"|"&amp;3,$BA$11:$BA$4010,0)),"")</f>
        <v/>
      </c>
      <c r="BL15" s="36" t="str">
        <f>IF(IFERROR(INDEX($AM$11:$AM$4010,MATCH($S$8&amp;"|"&amp;3,$BA$11:$BA$4010,0)),"")="","",3)</f>
        <v/>
      </c>
      <c r="BM15" s="36" t="str">
        <f>IFERROR(INDEX($AM$11:$AM$4010,MATCH($S$8&amp;"|"&amp;3,$BA$11:$BA$4010,0)),"")</f>
        <v/>
      </c>
      <c r="BN15" s="36" t="str">
        <f>IFERROR(INDEX($AP$11:$AP$4010,MATCH($S$8&amp;"|"&amp;3,$BA$11:$BA$4010,0)),"")</f>
        <v/>
      </c>
      <c r="BO15" s="36" t="str">
        <f>IFERROR(INDEX($AQ$11:$AQ$4010,MATCH($S$8&amp;"|"&amp;3,$BA$11:$BA$4010,0)),"")</f>
        <v/>
      </c>
      <c r="BP15" s="37" t="str">
        <f>IFERROR(INDEX($AN$11:$AN$4010,MATCH($S$8&amp;"|"&amp;3,$BA$11:$BA$4010,0)),"")</f>
        <v/>
      </c>
      <c r="BQ15" s="37" t="str">
        <f>IFERROR(INDEX($AO$11:$AO$4010,MATCH($S$8&amp;"|"&amp;3,$BA$11:$BA$4010,0)),"")</f>
        <v/>
      </c>
    </row>
    <row r="16" spans="2:69" ht="13.5" customHeight="1" x14ac:dyDescent="0.25">
      <c r="B16" s="5" t="str">
        <f t="shared" si="0"/>
        <v/>
      </c>
      <c r="C16" s="5"/>
      <c r="D16" s="5"/>
      <c r="E16" s="5"/>
      <c r="F16" s="6"/>
      <c r="G16" s="6"/>
      <c r="H16" s="7"/>
      <c r="I16" s="8"/>
      <c r="K16" s="23" t="str">
        <f>IFERROR(INDEX($AL$11:$AL$4010,MATCH(6,$AX$11:$AX$4010,0)),"")</f>
        <v/>
      </c>
      <c r="L16" s="24" t="str">
        <f t="shared" si="1"/>
        <v/>
      </c>
      <c r="M16" s="25" t="str">
        <f t="shared" si="2"/>
        <v/>
      </c>
      <c r="N16" s="25" t="str">
        <f t="shared" si="3"/>
        <v/>
      </c>
      <c r="P16" s="26" t="str">
        <f>IFERROR(INDEX($AM$11:$AM$4010,MATCH($S$8&amp;"|"&amp;6,$BA$11:$BA$4010,0)),"")</f>
        <v/>
      </c>
      <c r="Q16" s="25" t="str">
        <f>IF(P16="","",IFERROR(INDEX($AN$11:$AN$4010,MATCH($S$8&amp;"|"&amp;6,$BA$11:$BA$4010,0)),""))</f>
        <v/>
      </c>
      <c r="R16" s="25" t="str">
        <f>IF(P16="","",IFERROR(INDEX($AO$11:$AO$4010,MATCH($S$8&amp;"|"&amp;6,$BA$11:$BA$4010,0)),""))</f>
        <v/>
      </c>
      <c r="S16" s="24" t="str">
        <f>IF(P16="","",IFERROR(INDEX($AP$11:$AP$4010,MATCH($S$8&amp;"|"&amp;6,$BA$11:$BA$4010,0)),""))</f>
        <v/>
      </c>
      <c r="T16" s="24" t="str">
        <f>IF(P16="","",IFERROR(INDEX($AQ$11:$AQ$4010,MATCH($S$8&amp;"|"&amp;6,$BA$11:$BA$4010,0)),""))</f>
        <v/>
      </c>
      <c r="U16" s="38" t="str">
        <f t="shared" si="4"/>
        <v/>
      </c>
      <c r="W16" s="28" t="str">
        <f>IF(X16="","",IFERROR(INDEX($AL$11:$AL$4010,MATCH(6,$AY$11:$AY$4010,0)),""))</f>
        <v/>
      </c>
      <c r="X16" s="26" t="str">
        <f>IFERROR(INDEX($AM$11:$AM$4010,MATCH(6,$AY$11:$AY$4010,0)),"")</f>
        <v/>
      </c>
      <c r="Y16" s="25" t="str">
        <f>IF(X16="","",IFERROR(INDEX($AN$11:$AN$4010,MATCH(6,$AY$11:$AY$4010,0)),""))</f>
        <v/>
      </c>
      <c r="Z16" s="25" t="str">
        <f>IF(X16="","",IFERROR(INDEX($AO$11:$AO$4010,MATCH(6,$AY$11:$AY$4010,0)),""))</f>
        <v/>
      </c>
      <c r="AA16" s="24" t="str">
        <f>IF(X16="","",IFERROR(INDEX($AQ$11:$AQ$4010,MATCH(6,$AY$11:$AY$4010,0)),""))</f>
        <v/>
      </c>
      <c r="AB16" s="29" t="str">
        <f>IF(X16="","",IFERROR(INDEX($AR$11:$AR$4010,MATCH(6,$AY$11:$AY$4010,0)),""))</f>
        <v/>
      </c>
      <c r="AD16" s="30" t="str">
        <f>IF(AE16="","",IFERROR(INDEX($AL$11:$AL$4010,MATCH(6,$AZ$11:$AZ$4010,0)),""))</f>
        <v/>
      </c>
      <c r="AE16" s="26" t="str">
        <f>IFERROR(INDEX($AM$11:$AM$4010,MATCH(6,$AZ$11:$AZ$4010,0)),"")</f>
        <v/>
      </c>
      <c r="AF16" s="25" t="str">
        <f>IF(AE16="","",IFERROR(INDEX($AN$11:$AN$4010,MATCH(6,$AZ$11:$AZ$4010,0)),""))</f>
        <v/>
      </c>
      <c r="AG16" s="25" t="str">
        <f>IF(AE16="","",IFERROR(INDEX($AO$11:$AO$4010,MATCH(6,$AZ$11:$AZ$4010,0)),""))</f>
        <v/>
      </c>
      <c r="AH16" s="24" t="str">
        <f>IF(AE16="","",IFERROR(INDEX($AQ$11:$AQ$4010,MATCH(6,$AZ$11:$AZ$4010,0)),""))</f>
        <v/>
      </c>
      <c r="AI16" s="29" t="str">
        <f>IF(AE16="","",IFERROR(INDEX($AR$11:$AR$4010,MATCH(6,$AZ$11:$AZ$4010,0)),""))</f>
        <v/>
      </c>
      <c r="AJ16" s="29" t="str">
        <f>IF(AE16="","",IFERROR(INDEX($AT$11:$AT$4010,MATCH(6,$AZ$11:$AZ$4010,0)),""))</f>
        <v/>
      </c>
      <c r="AL16" s="31" t="str">
        <f t="shared" si="5"/>
        <v/>
      </c>
      <c r="AM16" s="26" t="str">
        <f t="shared" si="6"/>
        <v/>
      </c>
      <c r="AN16" s="32" t="str">
        <f t="shared" si="7"/>
        <v/>
      </c>
      <c r="AO16" s="32" t="str">
        <f t="shared" si="8"/>
        <v/>
      </c>
      <c r="AP16" s="24" t="str">
        <f t="shared" si="9"/>
        <v/>
      </c>
      <c r="AQ16" s="24" t="str">
        <f t="shared" si="10"/>
        <v/>
      </c>
      <c r="AR16" s="33" t="str">
        <f t="shared" si="11"/>
        <v/>
      </c>
      <c r="AS16" s="34"/>
      <c r="AT16" s="33"/>
      <c r="AV16" s="21">
        <f>IF(AND($AL16&lt;&gt;"",COUNTIF($AL$11:$AL16,$AL16)=1),1,0)</f>
        <v>0</v>
      </c>
      <c r="AW16" s="21">
        <f t="shared" si="13"/>
        <v>0</v>
      </c>
      <c r="AX16" s="21" t="str">
        <f t="shared" si="12"/>
        <v/>
      </c>
      <c r="AY16" s="21" t="str">
        <f>IF(AND($AM16&lt;&gt;"",$AS16&lt;&gt;"✓"),SUMPRODUCT(($AM$11:$AM16&lt;&gt;"")*($AS$11:$AS16&lt;&gt;"✓")),"")</f>
        <v/>
      </c>
      <c r="AZ16" s="21" t="str">
        <f>IF(AND($AM16&lt;&gt;"",$AS16="✓"),SUMPRODUCT(($AM$11:$AM16&lt;&gt;"")*($AS$11:$AS16="✓")),"")</f>
        <v/>
      </c>
      <c r="BA16" s="21" t="str">
        <f>IF($AL16="","",$AL16&amp;"|"&amp;COUNTIF($AL$11:$AL16,$AL16))</f>
        <v/>
      </c>
      <c r="BD16" s="36" t="str">
        <f>IF(IFERROR(INDEX($AM$11:$AM$4010,MATCH($S$8&amp;"|"&amp;4,$BA$11:$BA$4010,0)),"")="","",4)</f>
        <v/>
      </c>
      <c r="BE16" s="36" t="str">
        <f>IFERROR(INDEX($AM$11:$AM$4010,MATCH($S$8&amp;"|"&amp;4,$BA$11:$BA$4010,0)),"")</f>
        <v/>
      </c>
      <c r="BF16" s="36" t="str">
        <f>IFERROR(INDEX($AP$11:$AP$4010,MATCH($S$8&amp;"|"&amp;4,$BA$11:$BA$4010,0)),"")</f>
        <v/>
      </c>
      <c r="BG16" s="36" t="str">
        <f>IFERROR(INDEX($AQ$11:$AQ$4010,MATCH($S$8&amp;"|"&amp;4,$BA$11:$BA$4010,0)),"")</f>
        <v/>
      </c>
      <c r="BH16" s="37" t="str">
        <f>IFERROR(INDEX($AN$11:$AN$4010,MATCH($S$8&amp;"|"&amp;4,$BA$11:$BA$4010,0)),"")</f>
        <v/>
      </c>
      <c r="BI16" s="37" t="str">
        <f>IFERROR(INDEX($AO$11:$AO$4010,MATCH($S$8&amp;"|"&amp;4,$BA$11:$BA$4010,0)),"")</f>
        <v/>
      </c>
      <c r="BL16" s="36" t="str">
        <f>IF(IFERROR(INDEX($AM$11:$AM$4010,MATCH($S$8&amp;"|"&amp;4,$BA$11:$BA$4010,0)),"")="","",4)</f>
        <v/>
      </c>
      <c r="BM16" s="36" t="str">
        <f>IFERROR(INDEX($AM$11:$AM$4010,MATCH($S$8&amp;"|"&amp;4,$BA$11:$BA$4010,0)),"")</f>
        <v/>
      </c>
      <c r="BN16" s="36" t="str">
        <f>IFERROR(INDEX($AP$11:$AP$4010,MATCH($S$8&amp;"|"&amp;4,$BA$11:$BA$4010,0)),"")</f>
        <v/>
      </c>
      <c r="BO16" s="36" t="str">
        <f>IFERROR(INDEX($AQ$11:$AQ$4010,MATCH($S$8&amp;"|"&amp;4,$BA$11:$BA$4010,0)),"")</f>
        <v/>
      </c>
      <c r="BP16" s="37" t="str">
        <f>IFERROR(INDEX($AN$11:$AN$4010,MATCH($S$8&amp;"|"&amp;4,$BA$11:$BA$4010,0)),"")</f>
        <v/>
      </c>
      <c r="BQ16" s="37" t="str">
        <f>IFERROR(INDEX($AO$11:$AO$4010,MATCH($S$8&amp;"|"&amp;4,$BA$11:$BA$4010,0)),"")</f>
        <v/>
      </c>
    </row>
    <row r="17" spans="2:69" ht="13.5" customHeight="1" x14ac:dyDescent="0.25">
      <c r="B17" s="5" t="str">
        <f t="shared" si="0"/>
        <v/>
      </c>
      <c r="C17" s="5"/>
      <c r="D17" s="5"/>
      <c r="E17" s="5"/>
      <c r="F17" s="6"/>
      <c r="G17" s="6"/>
      <c r="H17" s="7"/>
      <c r="I17" s="8"/>
      <c r="K17" s="9" t="str">
        <f>IFERROR(INDEX($AL$11:$AL$4010,MATCH(7,$AX$11:$AX$4010,0)),"")</f>
        <v/>
      </c>
      <c r="L17" s="10" t="str">
        <f t="shared" si="1"/>
        <v/>
      </c>
      <c r="M17" s="11" t="str">
        <f t="shared" si="2"/>
        <v/>
      </c>
      <c r="N17" s="11" t="str">
        <f t="shared" si="3"/>
        <v/>
      </c>
      <c r="P17" s="12" t="str">
        <f>IFERROR(INDEX($AM$11:$AM$4010,MATCH($S$8&amp;"|"&amp;7,$BA$11:$BA$4010,0)),"")</f>
        <v/>
      </c>
      <c r="Q17" s="11" t="str">
        <f>IF(P17="","",IFERROR(INDEX($AN$11:$AN$4010,MATCH($S$8&amp;"|"&amp;7,$BA$11:$BA$4010,0)),""))</f>
        <v/>
      </c>
      <c r="R17" s="11" t="str">
        <f>IF(P17="","",IFERROR(INDEX($AO$11:$AO$4010,MATCH($S$8&amp;"|"&amp;7,$BA$11:$BA$4010,0)),""))</f>
        <v/>
      </c>
      <c r="S17" s="10" t="str">
        <f>IF(P17="","",IFERROR(INDEX($AP$11:$AP$4010,MATCH($S$8&amp;"|"&amp;7,$BA$11:$BA$4010,0)),""))</f>
        <v/>
      </c>
      <c r="T17" s="10" t="str">
        <f>IF(P17="","",IFERROR(INDEX($AQ$11:$AQ$4010,MATCH($S$8&amp;"|"&amp;7,$BA$11:$BA$4010,0)),""))</f>
        <v/>
      </c>
      <c r="U17" s="39" t="str">
        <f t="shared" si="4"/>
        <v/>
      </c>
      <c r="W17" s="14" t="str">
        <f>IF(X17="","",IFERROR(INDEX($AL$11:$AL$4010,MATCH(7,$AY$11:$AY$4010,0)),""))</f>
        <v/>
      </c>
      <c r="X17" s="12" t="str">
        <f>IFERROR(INDEX($AM$11:$AM$4010,MATCH(7,$AY$11:$AY$4010,0)),"")</f>
        <v/>
      </c>
      <c r="Y17" s="11" t="str">
        <f>IF(X17="","",IFERROR(INDEX($AN$11:$AN$4010,MATCH(7,$AY$11:$AY$4010,0)),""))</f>
        <v/>
      </c>
      <c r="Z17" s="11" t="str">
        <f>IF(X17="","",IFERROR(INDEX($AO$11:$AO$4010,MATCH(7,$AY$11:$AY$4010,0)),""))</f>
        <v/>
      </c>
      <c r="AA17" s="10" t="str">
        <f>IF(X17="","",IFERROR(INDEX($AQ$11:$AQ$4010,MATCH(7,$AY$11:$AY$4010,0)),""))</f>
        <v/>
      </c>
      <c r="AB17" s="15" t="str">
        <f>IF(X17="","",IFERROR(INDEX($AR$11:$AR$4010,MATCH(7,$AY$11:$AY$4010,0)),""))</f>
        <v/>
      </c>
      <c r="AD17" s="16" t="str">
        <f>IF(AE17="","",IFERROR(INDEX($AL$11:$AL$4010,MATCH(7,$AZ$11:$AZ$4010,0)),""))</f>
        <v/>
      </c>
      <c r="AE17" s="12" t="str">
        <f>IFERROR(INDEX($AM$11:$AM$4010,MATCH(7,$AZ$11:$AZ$4010,0)),"")</f>
        <v/>
      </c>
      <c r="AF17" s="11" t="str">
        <f>IF(AE17="","",IFERROR(INDEX($AN$11:$AN$4010,MATCH(7,$AZ$11:$AZ$4010,0)),""))</f>
        <v/>
      </c>
      <c r="AG17" s="11" t="str">
        <f>IF(AE17="","",IFERROR(INDEX($AO$11:$AO$4010,MATCH(7,$AZ$11:$AZ$4010,0)),""))</f>
        <v/>
      </c>
      <c r="AH17" s="10" t="str">
        <f>IF(AE17="","",IFERROR(INDEX($AQ$11:$AQ$4010,MATCH(7,$AZ$11:$AZ$4010,0)),""))</f>
        <v/>
      </c>
      <c r="AI17" s="15" t="str">
        <f>IF(AE17="","",IFERROR(INDEX($AR$11:$AR$4010,MATCH(7,$AZ$11:$AZ$4010,0)),""))</f>
        <v/>
      </c>
      <c r="AJ17" s="15" t="str">
        <f>IF(AE17="","",IFERROR(INDEX($AT$11:$AT$4010,MATCH(7,$AZ$11:$AZ$4010,0)),""))</f>
        <v/>
      </c>
      <c r="AL17" s="17" t="str">
        <f t="shared" si="5"/>
        <v/>
      </c>
      <c r="AM17" s="12" t="str">
        <f t="shared" si="6"/>
        <v/>
      </c>
      <c r="AN17" s="18" t="str">
        <f t="shared" si="7"/>
        <v/>
      </c>
      <c r="AO17" s="18" t="str">
        <f t="shared" si="8"/>
        <v/>
      </c>
      <c r="AP17" s="10" t="str">
        <f t="shared" si="9"/>
        <v/>
      </c>
      <c r="AQ17" s="10" t="str">
        <f t="shared" si="10"/>
        <v/>
      </c>
      <c r="AR17" s="19" t="str">
        <f t="shared" si="11"/>
        <v/>
      </c>
      <c r="AS17" s="20"/>
      <c r="AT17" s="19"/>
      <c r="AV17" s="21">
        <f>IF(AND($AL17&lt;&gt;"",COUNTIF($AL$11:$AL17,$AL17)=1),1,0)</f>
        <v>0</v>
      </c>
      <c r="AW17" s="21">
        <f t="shared" si="13"/>
        <v>0</v>
      </c>
      <c r="AX17" s="21" t="str">
        <f t="shared" si="12"/>
        <v/>
      </c>
      <c r="AY17" s="21" t="str">
        <f>IF(AND($AM17&lt;&gt;"",$AS17&lt;&gt;"✓"),SUMPRODUCT(($AM$11:$AM17&lt;&gt;"")*($AS$11:$AS17&lt;&gt;"✓")),"")</f>
        <v/>
      </c>
      <c r="AZ17" s="21" t="str">
        <f>IF(AND($AM17&lt;&gt;"",$AS17="✓"),SUMPRODUCT(($AM$11:$AM17&lt;&gt;"")*($AS$11:$AS17="✓")),"")</f>
        <v/>
      </c>
      <c r="BA17" s="21" t="str">
        <f>IF($AL17="","",$AL17&amp;"|"&amp;COUNTIF($AL$11:$AL17,$AL17))</f>
        <v/>
      </c>
      <c r="BD17" s="36" t="str">
        <f>IF(IFERROR(INDEX($AM$11:$AM$4010,MATCH($S$8&amp;"|"&amp;5,$BA$11:$BA$4010,0)),"")="","",5)</f>
        <v/>
      </c>
      <c r="BE17" s="36" t="str">
        <f>IFERROR(INDEX($AM$11:$AM$4010,MATCH($S$8&amp;"|"&amp;5,$BA$11:$BA$4010,0)),"")</f>
        <v/>
      </c>
      <c r="BF17" s="36" t="str">
        <f>IFERROR(INDEX($AP$11:$AP$4010,MATCH($S$8&amp;"|"&amp;5,$BA$11:$BA$4010,0)),"")</f>
        <v/>
      </c>
      <c r="BG17" s="36" t="str">
        <f>IFERROR(INDEX($AQ$11:$AQ$4010,MATCH($S$8&amp;"|"&amp;5,$BA$11:$BA$4010,0)),"")</f>
        <v/>
      </c>
      <c r="BH17" s="37" t="str">
        <f>IFERROR(INDEX($AN$11:$AN$4010,MATCH($S$8&amp;"|"&amp;5,$BA$11:$BA$4010,0)),"")</f>
        <v/>
      </c>
      <c r="BI17" s="37" t="str">
        <f>IFERROR(INDEX($AO$11:$AO$4010,MATCH($S$8&amp;"|"&amp;5,$BA$11:$BA$4010,0)),"")</f>
        <v/>
      </c>
      <c r="BL17" s="36" t="str">
        <f>IF(IFERROR(INDEX($AM$11:$AM$4010,MATCH($S$8&amp;"|"&amp;5,$BA$11:$BA$4010,0)),"")="","",5)</f>
        <v/>
      </c>
      <c r="BM17" s="36" t="str">
        <f>IFERROR(INDEX($AM$11:$AM$4010,MATCH($S$8&amp;"|"&amp;5,$BA$11:$BA$4010,0)),"")</f>
        <v/>
      </c>
      <c r="BN17" s="36" t="str">
        <f>IFERROR(INDEX($AP$11:$AP$4010,MATCH($S$8&amp;"|"&amp;5,$BA$11:$BA$4010,0)),"")</f>
        <v/>
      </c>
      <c r="BO17" s="36" t="str">
        <f>IFERROR(INDEX($AQ$11:$AQ$4010,MATCH($S$8&amp;"|"&amp;5,$BA$11:$BA$4010,0)),"")</f>
        <v/>
      </c>
      <c r="BP17" s="37" t="str">
        <f>IFERROR(INDEX($AN$11:$AN$4010,MATCH($S$8&amp;"|"&amp;5,$BA$11:$BA$4010,0)),"")</f>
        <v/>
      </c>
      <c r="BQ17" s="37" t="str">
        <f>IFERROR(INDEX($AO$11:$AO$4010,MATCH($S$8&amp;"|"&amp;5,$BA$11:$BA$4010,0)),"")</f>
        <v/>
      </c>
    </row>
    <row r="18" spans="2:69" ht="13.5" customHeight="1" x14ac:dyDescent="0.25">
      <c r="B18" s="5" t="str">
        <f t="shared" si="0"/>
        <v/>
      </c>
      <c r="C18" s="5"/>
      <c r="D18" s="5"/>
      <c r="E18" s="5"/>
      <c r="F18" s="6"/>
      <c r="G18" s="6"/>
      <c r="H18" s="7"/>
      <c r="I18" s="8"/>
      <c r="K18" s="23" t="str">
        <f>IFERROR(INDEX($AL$11:$AL$4010,MATCH(8,$AX$11:$AX$4010,0)),"")</f>
        <v/>
      </c>
      <c r="L18" s="24" t="str">
        <f t="shared" si="1"/>
        <v/>
      </c>
      <c r="M18" s="25" t="str">
        <f t="shared" si="2"/>
        <v/>
      </c>
      <c r="N18" s="25" t="str">
        <f t="shared" si="3"/>
        <v/>
      </c>
      <c r="P18" s="26" t="str">
        <f>IFERROR(INDEX($AM$11:$AM$4010,MATCH($S$8&amp;"|"&amp;8,$BA$11:$BA$4010,0)),"")</f>
        <v/>
      </c>
      <c r="Q18" s="25" t="str">
        <f>IF(P18="","",IFERROR(INDEX($AN$11:$AN$4010,MATCH($S$8&amp;"|"&amp;8,$BA$11:$BA$4010,0)),""))</f>
        <v/>
      </c>
      <c r="R18" s="25" t="str">
        <f>IF(P18="","",IFERROR(INDEX($AO$11:$AO$4010,MATCH($S$8&amp;"|"&amp;8,$BA$11:$BA$4010,0)),""))</f>
        <v/>
      </c>
      <c r="S18" s="24" t="str">
        <f>IF(P18="","",IFERROR(INDEX($AP$11:$AP$4010,MATCH($S$8&amp;"|"&amp;8,$BA$11:$BA$4010,0)),""))</f>
        <v/>
      </c>
      <c r="T18" s="24" t="str">
        <f>IF(P18="","",IFERROR(INDEX($AQ$11:$AQ$4010,MATCH($S$8&amp;"|"&amp;8,$BA$11:$BA$4010,0)),""))</f>
        <v/>
      </c>
      <c r="U18" s="38" t="str">
        <f t="shared" si="4"/>
        <v/>
      </c>
      <c r="W18" s="28" t="str">
        <f>IF(X18="","",IFERROR(INDEX($AL$11:$AL$4010,MATCH(8,$AY$11:$AY$4010,0)),""))</f>
        <v/>
      </c>
      <c r="X18" s="26" t="str">
        <f>IFERROR(INDEX($AM$11:$AM$4010,MATCH(8,$AY$11:$AY$4010,0)),"")</f>
        <v/>
      </c>
      <c r="Y18" s="25" t="str">
        <f>IF(X18="","",IFERROR(INDEX($AN$11:$AN$4010,MATCH(8,$AY$11:$AY$4010,0)),""))</f>
        <v/>
      </c>
      <c r="Z18" s="25" t="str">
        <f>IF(X18="","",IFERROR(INDEX($AO$11:$AO$4010,MATCH(8,$AY$11:$AY$4010,0)),""))</f>
        <v/>
      </c>
      <c r="AA18" s="24" t="str">
        <f>IF(X18="","",IFERROR(INDEX($AQ$11:$AQ$4010,MATCH(8,$AY$11:$AY$4010,0)),""))</f>
        <v/>
      </c>
      <c r="AB18" s="29" t="str">
        <f>IF(X18="","",IFERROR(INDEX($AR$11:$AR$4010,MATCH(8,$AY$11:$AY$4010,0)),""))</f>
        <v/>
      </c>
      <c r="AD18" s="30" t="str">
        <f>IF(AE18="","",IFERROR(INDEX($AL$11:$AL$4010,MATCH(8,$AZ$11:$AZ$4010,0)),""))</f>
        <v/>
      </c>
      <c r="AE18" s="26" t="str">
        <f>IFERROR(INDEX($AM$11:$AM$4010,MATCH(8,$AZ$11:$AZ$4010,0)),"")</f>
        <v/>
      </c>
      <c r="AF18" s="25" t="str">
        <f>IF(AE18="","",IFERROR(INDEX($AN$11:$AN$4010,MATCH(8,$AZ$11:$AZ$4010,0)),""))</f>
        <v/>
      </c>
      <c r="AG18" s="25" t="str">
        <f>IF(AE18="","",IFERROR(INDEX($AO$11:$AO$4010,MATCH(8,$AZ$11:$AZ$4010,0)),""))</f>
        <v/>
      </c>
      <c r="AH18" s="24" t="str">
        <f>IF(AE18="","",IFERROR(INDEX($AQ$11:$AQ$4010,MATCH(8,$AZ$11:$AZ$4010,0)),""))</f>
        <v/>
      </c>
      <c r="AI18" s="29" t="str">
        <f>IF(AE18="","",IFERROR(INDEX($AR$11:$AR$4010,MATCH(8,$AZ$11:$AZ$4010,0)),""))</f>
        <v/>
      </c>
      <c r="AJ18" s="29" t="str">
        <f>IF(AE18="","",IFERROR(INDEX($AT$11:$AT$4010,MATCH(8,$AZ$11:$AZ$4010,0)),""))</f>
        <v/>
      </c>
      <c r="AL18" s="31" t="str">
        <f t="shared" si="5"/>
        <v/>
      </c>
      <c r="AM18" s="26" t="str">
        <f t="shared" si="6"/>
        <v/>
      </c>
      <c r="AN18" s="32" t="str">
        <f t="shared" si="7"/>
        <v/>
      </c>
      <c r="AO18" s="32" t="str">
        <f t="shared" si="8"/>
        <v/>
      </c>
      <c r="AP18" s="24" t="str">
        <f t="shared" si="9"/>
        <v/>
      </c>
      <c r="AQ18" s="24" t="str">
        <f t="shared" si="10"/>
        <v/>
      </c>
      <c r="AR18" s="33" t="str">
        <f t="shared" si="11"/>
        <v/>
      </c>
      <c r="AS18" s="34"/>
      <c r="AT18" s="33"/>
      <c r="AV18" s="21">
        <f>IF(AND($AL18&lt;&gt;"",COUNTIF($AL$11:$AL18,$AL18)=1),1,0)</f>
        <v>0</v>
      </c>
      <c r="AW18" s="21">
        <f t="shared" si="13"/>
        <v>0</v>
      </c>
      <c r="AX18" s="21" t="str">
        <f t="shared" si="12"/>
        <v/>
      </c>
      <c r="AY18" s="21" t="str">
        <f>IF(AND($AM18&lt;&gt;"",$AS18&lt;&gt;"✓"),SUMPRODUCT(($AM$11:$AM18&lt;&gt;"")*($AS$11:$AS18&lt;&gt;"✓")),"")</f>
        <v/>
      </c>
      <c r="AZ18" s="21" t="str">
        <f>IF(AND($AM18&lt;&gt;"",$AS18="✓"),SUMPRODUCT(($AM$11:$AM18&lt;&gt;"")*($AS$11:$AS18="✓")),"")</f>
        <v/>
      </c>
      <c r="BA18" s="21" t="str">
        <f>IF($AL18="","",$AL18&amp;"|"&amp;COUNTIF($AL$11:$AL18,$AL18))</f>
        <v/>
      </c>
      <c r="BD18" s="36" t="str">
        <f>IF(IFERROR(INDEX($AM$11:$AM$4010,MATCH($S$8&amp;"|"&amp;6,$BA$11:$BA$4010,0)),"")="","",6)</f>
        <v/>
      </c>
      <c r="BE18" s="36" t="str">
        <f>IFERROR(INDEX($AM$11:$AM$4010,MATCH($S$8&amp;"|"&amp;6,$BA$11:$BA$4010,0)),"")</f>
        <v/>
      </c>
      <c r="BF18" s="36" t="str">
        <f>IFERROR(INDEX($AP$11:$AP$4010,MATCH($S$8&amp;"|"&amp;6,$BA$11:$BA$4010,0)),"")</f>
        <v/>
      </c>
      <c r="BG18" s="36" t="str">
        <f>IFERROR(INDEX($AQ$11:$AQ$4010,MATCH($S$8&amp;"|"&amp;6,$BA$11:$BA$4010,0)),"")</f>
        <v/>
      </c>
      <c r="BH18" s="37" t="str">
        <f>IFERROR(INDEX($AN$11:$AN$4010,MATCH($S$8&amp;"|"&amp;6,$BA$11:$BA$4010,0)),"")</f>
        <v/>
      </c>
      <c r="BI18" s="37" t="str">
        <f>IFERROR(INDEX($AO$11:$AO$4010,MATCH($S$8&amp;"|"&amp;6,$BA$11:$BA$4010,0)),"")</f>
        <v/>
      </c>
      <c r="BL18" s="36" t="str">
        <f>IF(IFERROR(INDEX($AM$11:$AM$4010,MATCH($S$8&amp;"|"&amp;6,$BA$11:$BA$4010,0)),"")="","",6)</f>
        <v/>
      </c>
      <c r="BM18" s="36" t="str">
        <f>IFERROR(INDEX($AM$11:$AM$4010,MATCH($S$8&amp;"|"&amp;6,$BA$11:$BA$4010,0)),"")</f>
        <v/>
      </c>
      <c r="BN18" s="36" t="str">
        <f>IFERROR(INDEX($AP$11:$AP$4010,MATCH($S$8&amp;"|"&amp;6,$BA$11:$BA$4010,0)),"")</f>
        <v/>
      </c>
      <c r="BO18" s="36" t="str">
        <f>IFERROR(INDEX($AQ$11:$AQ$4010,MATCH($S$8&amp;"|"&amp;6,$BA$11:$BA$4010,0)),"")</f>
        <v/>
      </c>
      <c r="BP18" s="37" t="str">
        <f>IFERROR(INDEX($AN$11:$AN$4010,MATCH($S$8&amp;"|"&amp;6,$BA$11:$BA$4010,0)),"")</f>
        <v/>
      </c>
      <c r="BQ18" s="37" t="str">
        <f>IFERROR(INDEX($AO$11:$AO$4010,MATCH($S$8&amp;"|"&amp;6,$BA$11:$BA$4010,0)),"")</f>
        <v/>
      </c>
    </row>
    <row r="19" spans="2:69" ht="13.5" customHeight="1" x14ac:dyDescent="0.25">
      <c r="B19" s="5" t="str">
        <f t="shared" si="0"/>
        <v/>
      </c>
      <c r="C19" s="5"/>
      <c r="D19" s="5"/>
      <c r="E19" s="5"/>
      <c r="F19" s="6"/>
      <c r="G19" s="6"/>
      <c r="H19" s="7"/>
      <c r="I19" s="8"/>
      <c r="K19" s="9" t="str">
        <f>IFERROR(INDEX($AL$11:$AL$4010,MATCH(9,$AX$11:$AX$4010,0)),"")</f>
        <v/>
      </c>
      <c r="L19" s="10" t="str">
        <f t="shared" si="1"/>
        <v/>
      </c>
      <c r="M19" s="11" t="str">
        <f t="shared" si="2"/>
        <v/>
      </c>
      <c r="N19" s="11" t="str">
        <f t="shared" si="3"/>
        <v/>
      </c>
      <c r="P19" s="12" t="str">
        <f>IFERROR(INDEX($AM$11:$AM$4010,MATCH($S$8&amp;"|"&amp;9,$BA$11:$BA$4010,0)),"")</f>
        <v/>
      </c>
      <c r="Q19" s="11" t="str">
        <f>IF(P19="","",IFERROR(INDEX($AN$11:$AN$4010,MATCH($S$8&amp;"|"&amp;9,$BA$11:$BA$4010,0)),""))</f>
        <v/>
      </c>
      <c r="R19" s="11" t="str">
        <f>IF(P19="","",IFERROR(INDEX($AO$11:$AO$4010,MATCH($S$8&amp;"|"&amp;9,$BA$11:$BA$4010,0)),""))</f>
        <v/>
      </c>
      <c r="S19" s="10" t="str">
        <f>IF(P19="","",IFERROR(INDEX($AP$11:$AP$4010,MATCH($S$8&amp;"|"&amp;9,$BA$11:$BA$4010,0)),""))</f>
        <v/>
      </c>
      <c r="T19" s="10" t="str">
        <f>IF(P19="","",IFERROR(INDEX($AQ$11:$AQ$4010,MATCH($S$8&amp;"|"&amp;9,$BA$11:$BA$4010,0)),""))</f>
        <v/>
      </c>
      <c r="U19" s="39" t="str">
        <f t="shared" si="4"/>
        <v/>
      </c>
      <c r="W19" s="14" t="str">
        <f>IF(X19="","",IFERROR(INDEX($AL$11:$AL$4010,MATCH(9,$AY$11:$AY$4010,0)),""))</f>
        <v/>
      </c>
      <c r="X19" s="12" t="str">
        <f>IFERROR(INDEX($AM$11:$AM$4010,MATCH(9,$AY$11:$AY$4010,0)),"")</f>
        <v/>
      </c>
      <c r="Y19" s="11" t="str">
        <f>IF(X19="","",IFERROR(INDEX($AN$11:$AN$4010,MATCH(9,$AY$11:$AY$4010,0)),""))</f>
        <v/>
      </c>
      <c r="Z19" s="11" t="str">
        <f>IF(X19="","",IFERROR(INDEX($AO$11:$AO$4010,MATCH(9,$AY$11:$AY$4010,0)),""))</f>
        <v/>
      </c>
      <c r="AA19" s="10" t="str">
        <f>IF(X19="","",IFERROR(INDEX($AQ$11:$AQ$4010,MATCH(9,$AY$11:$AY$4010,0)),""))</f>
        <v/>
      </c>
      <c r="AB19" s="15" t="str">
        <f>IF(X19="","",IFERROR(INDEX($AR$11:$AR$4010,MATCH(9,$AY$11:$AY$4010,0)),""))</f>
        <v/>
      </c>
      <c r="AD19" s="16" t="str">
        <f>IF(AE19="","",IFERROR(INDEX($AL$11:$AL$4010,MATCH(9,$AZ$11:$AZ$4010,0)),""))</f>
        <v/>
      </c>
      <c r="AE19" s="12" t="str">
        <f>IFERROR(INDEX($AM$11:$AM$4010,MATCH(9,$AZ$11:$AZ$4010,0)),"")</f>
        <v/>
      </c>
      <c r="AF19" s="11" t="str">
        <f>IF(AE19="","",IFERROR(INDEX($AN$11:$AN$4010,MATCH(9,$AZ$11:$AZ$4010,0)),""))</f>
        <v/>
      </c>
      <c r="AG19" s="11" t="str">
        <f>IF(AE19="","",IFERROR(INDEX($AO$11:$AO$4010,MATCH(9,$AZ$11:$AZ$4010,0)),""))</f>
        <v/>
      </c>
      <c r="AH19" s="10" t="str">
        <f>IF(AE19="","",IFERROR(INDEX($AQ$11:$AQ$4010,MATCH(9,$AZ$11:$AZ$4010,0)),""))</f>
        <v/>
      </c>
      <c r="AI19" s="15" t="str">
        <f>IF(AE19="","",IFERROR(INDEX($AR$11:$AR$4010,MATCH(9,$AZ$11:$AZ$4010,0)),""))</f>
        <v/>
      </c>
      <c r="AJ19" s="15" t="str">
        <f>IF(AE19="","",IFERROR(INDEX($AT$11:$AT$4010,MATCH(9,$AZ$11:$AZ$4010,0)),""))</f>
        <v/>
      </c>
      <c r="AL19" s="17" t="str">
        <f t="shared" si="5"/>
        <v/>
      </c>
      <c r="AM19" s="12" t="str">
        <f t="shared" si="6"/>
        <v/>
      </c>
      <c r="AN19" s="18" t="str">
        <f t="shared" si="7"/>
        <v/>
      </c>
      <c r="AO19" s="18" t="str">
        <f t="shared" si="8"/>
        <v/>
      </c>
      <c r="AP19" s="10" t="str">
        <f t="shared" si="9"/>
        <v/>
      </c>
      <c r="AQ19" s="10" t="str">
        <f t="shared" si="10"/>
        <v/>
      </c>
      <c r="AR19" s="19" t="str">
        <f t="shared" si="11"/>
        <v/>
      </c>
      <c r="AS19" s="20"/>
      <c r="AT19" s="19"/>
      <c r="AV19" s="21">
        <f>IF(AND($AL19&lt;&gt;"",COUNTIF($AL$11:$AL19,$AL19)=1),1,0)</f>
        <v>0</v>
      </c>
      <c r="AW19" s="21">
        <f t="shared" si="13"/>
        <v>0</v>
      </c>
      <c r="AX19" s="21" t="str">
        <f t="shared" si="12"/>
        <v/>
      </c>
      <c r="AY19" s="21" t="str">
        <f>IF(AND($AM19&lt;&gt;"",$AS19&lt;&gt;"✓"),SUMPRODUCT(($AM$11:$AM19&lt;&gt;"")*($AS$11:$AS19&lt;&gt;"✓")),"")</f>
        <v/>
      </c>
      <c r="AZ19" s="21" t="str">
        <f>IF(AND($AM19&lt;&gt;"",$AS19="✓"),SUMPRODUCT(($AM$11:$AM19&lt;&gt;"")*($AS$11:$AS19="✓")),"")</f>
        <v/>
      </c>
      <c r="BA19" s="21" t="str">
        <f>IF($AL19="","",$AL19&amp;"|"&amp;COUNTIF($AL$11:$AL19,$AL19))</f>
        <v/>
      </c>
      <c r="BD19" s="36" t="str">
        <f>IF(IFERROR(INDEX($AM$11:$AM$4010,MATCH($S$8&amp;"|"&amp;7,$BA$11:$BA$4010,0)),"")="","",7)</f>
        <v/>
      </c>
      <c r="BE19" s="36" t="str">
        <f>IFERROR(INDEX($AM$11:$AM$4010,MATCH($S$8&amp;"|"&amp;7,$BA$11:$BA$4010,0)),"")</f>
        <v/>
      </c>
      <c r="BF19" s="36" t="str">
        <f>IFERROR(INDEX($AP$11:$AP$4010,MATCH($S$8&amp;"|"&amp;7,$BA$11:$BA$4010,0)),"")</f>
        <v/>
      </c>
      <c r="BG19" s="36" t="str">
        <f>IFERROR(INDEX($AQ$11:$AQ$4010,MATCH($S$8&amp;"|"&amp;7,$BA$11:$BA$4010,0)),"")</f>
        <v/>
      </c>
      <c r="BH19" s="37" t="str">
        <f>IFERROR(INDEX($AN$11:$AN$4010,MATCH($S$8&amp;"|"&amp;7,$BA$11:$BA$4010,0)),"")</f>
        <v/>
      </c>
      <c r="BI19" s="37" t="str">
        <f>IFERROR(INDEX($AO$11:$AO$4010,MATCH($S$8&amp;"|"&amp;7,$BA$11:$BA$4010,0)),"")</f>
        <v/>
      </c>
      <c r="BL19" s="36" t="str">
        <f>IF(IFERROR(INDEX($AM$11:$AM$4010,MATCH($S$8&amp;"|"&amp;7,$BA$11:$BA$4010,0)),"")="","",7)</f>
        <v/>
      </c>
      <c r="BM19" s="36" t="str">
        <f>IFERROR(INDEX($AM$11:$AM$4010,MATCH($S$8&amp;"|"&amp;7,$BA$11:$BA$4010,0)),"")</f>
        <v/>
      </c>
      <c r="BN19" s="36" t="str">
        <f>IFERROR(INDEX($AP$11:$AP$4010,MATCH($S$8&amp;"|"&amp;7,$BA$11:$BA$4010,0)),"")</f>
        <v/>
      </c>
      <c r="BO19" s="36" t="str">
        <f>IFERROR(INDEX($AQ$11:$AQ$4010,MATCH($S$8&amp;"|"&amp;7,$BA$11:$BA$4010,0)),"")</f>
        <v/>
      </c>
      <c r="BP19" s="37" t="str">
        <f>IFERROR(INDEX($AN$11:$AN$4010,MATCH($S$8&amp;"|"&amp;7,$BA$11:$BA$4010,0)),"")</f>
        <v/>
      </c>
      <c r="BQ19" s="37" t="str">
        <f>IFERROR(INDEX($AO$11:$AO$4010,MATCH($S$8&amp;"|"&amp;7,$BA$11:$BA$4010,0)),"")</f>
        <v/>
      </c>
    </row>
    <row r="20" spans="2:69" ht="13.5" customHeight="1" x14ac:dyDescent="0.25">
      <c r="B20" s="5" t="str">
        <f t="shared" si="0"/>
        <v/>
      </c>
      <c r="C20" s="5"/>
      <c r="D20" s="5"/>
      <c r="E20" s="5"/>
      <c r="F20" s="6"/>
      <c r="G20" s="6"/>
      <c r="H20" s="7"/>
      <c r="I20" s="8"/>
      <c r="K20" s="23" t="str">
        <f>IFERROR(INDEX($AL$11:$AL$4010,MATCH(10,$AX$11:$AX$4010,0)),"")</f>
        <v/>
      </c>
      <c r="L20" s="24" t="str">
        <f t="shared" si="1"/>
        <v/>
      </c>
      <c r="M20" s="25" t="str">
        <f t="shared" si="2"/>
        <v/>
      </c>
      <c r="N20" s="25" t="str">
        <f t="shared" si="3"/>
        <v/>
      </c>
      <c r="P20" s="26" t="str">
        <f>IFERROR(INDEX($AM$11:$AM$4010,MATCH($S$8&amp;"|"&amp;10,$BA$11:$BA$4010,0)),"")</f>
        <v/>
      </c>
      <c r="Q20" s="25" t="str">
        <f>IF(P20="","",IFERROR(INDEX($AN$11:$AN$4010,MATCH($S$8&amp;"|"&amp;10,$BA$11:$BA$4010,0)),""))</f>
        <v/>
      </c>
      <c r="R20" s="25" t="str">
        <f>IF(P20="","",IFERROR(INDEX($AO$11:$AO$4010,MATCH($S$8&amp;"|"&amp;10,$BA$11:$BA$4010,0)),""))</f>
        <v/>
      </c>
      <c r="S20" s="24" t="str">
        <f>IF(P20="","",IFERROR(INDEX($AP$11:$AP$4010,MATCH($S$8&amp;"|"&amp;10,$BA$11:$BA$4010,0)),""))</f>
        <v/>
      </c>
      <c r="T20" s="24" t="str">
        <f>IF(P20="","",IFERROR(INDEX($AQ$11:$AQ$4010,MATCH($S$8&amp;"|"&amp;10,$BA$11:$BA$4010,0)),""))</f>
        <v/>
      </c>
      <c r="U20" s="38" t="str">
        <f t="shared" si="4"/>
        <v/>
      </c>
      <c r="W20" s="28" t="str">
        <f>IF(X20="","",IFERROR(INDEX($AL$11:$AL$4010,MATCH(10,$AY$11:$AY$4010,0)),""))</f>
        <v/>
      </c>
      <c r="X20" s="26" t="str">
        <f>IFERROR(INDEX($AM$11:$AM$4010,MATCH(10,$AY$11:$AY$4010,0)),"")</f>
        <v/>
      </c>
      <c r="Y20" s="25" t="str">
        <f>IF(X20="","",IFERROR(INDEX($AN$11:$AN$4010,MATCH(10,$AY$11:$AY$4010,0)),""))</f>
        <v/>
      </c>
      <c r="Z20" s="25" t="str">
        <f>IF(X20="","",IFERROR(INDEX($AO$11:$AO$4010,MATCH(10,$AY$11:$AY$4010,0)),""))</f>
        <v/>
      </c>
      <c r="AA20" s="24" t="str">
        <f>IF(X20="","",IFERROR(INDEX($AQ$11:$AQ$4010,MATCH(10,$AY$11:$AY$4010,0)),""))</f>
        <v/>
      </c>
      <c r="AB20" s="29" t="str">
        <f>IF(X20="","",IFERROR(INDEX($AR$11:$AR$4010,MATCH(10,$AY$11:$AY$4010,0)),""))</f>
        <v/>
      </c>
      <c r="AD20" s="30" t="str">
        <f>IF(AE20="","",IFERROR(INDEX($AL$11:$AL$4010,MATCH(10,$AZ$11:$AZ$4010,0)),""))</f>
        <v/>
      </c>
      <c r="AE20" s="26" t="str">
        <f>IFERROR(INDEX($AM$11:$AM$4010,MATCH(10,$AZ$11:$AZ$4010,0)),"")</f>
        <v/>
      </c>
      <c r="AF20" s="25" t="str">
        <f>IF(AE20="","",IFERROR(INDEX($AN$11:$AN$4010,MATCH(10,$AZ$11:$AZ$4010,0)),""))</f>
        <v/>
      </c>
      <c r="AG20" s="25" t="str">
        <f>IF(AE20="","",IFERROR(INDEX($AO$11:$AO$4010,MATCH(10,$AZ$11:$AZ$4010,0)),""))</f>
        <v/>
      </c>
      <c r="AH20" s="24" t="str">
        <f>IF(AE20="","",IFERROR(INDEX($AQ$11:$AQ$4010,MATCH(10,$AZ$11:$AZ$4010,0)),""))</f>
        <v/>
      </c>
      <c r="AI20" s="29" t="str">
        <f>IF(AE20="","",IFERROR(INDEX($AR$11:$AR$4010,MATCH(10,$AZ$11:$AZ$4010,0)),""))</f>
        <v/>
      </c>
      <c r="AJ20" s="29" t="str">
        <f>IF(AE20="","",IFERROR(INDEX($AT$11:$AT$4010,MATCH(10,$AZ$11:$AZ$4010,0)),""))</f>
        <v/>
      </c>
      <c r="AL20" s="31" t="str">
        <f t="shared" si="5"/>
        <v/>
      </c>
      <c r="AM20" s="26" t="str">
        <f t="shared" si="6"/>
        <v/>
      </c>
      <c r="AN20" s="32" t="str">
        <f t="shared" si="7"/>
        <v/>
      </c>
      <c r="AO20" s="32" t="str">
        <f t="shared" si="8"/>
        <v/>
      </c>
      <c r="AP20" s="24" t="str">
        <f t="shared" si="9"/>
        <v/>
      </c>
      <c r="AQ20" s="24" t="str">
        <f t="shared" si="10"/>
        <v/>
      </c>
      <c r="AR20" s="33" t="str">
        <f t="shared" si="11"/>
        <v/>
      </c>
      <c r="AS20" s="34"/>
      <c r="AT20" s="33"/>
      <c r="AV20" s="21">
        <f>IF(AND($AL20&lt;&gt;"",COUNTIF($AL$11:$AL20,$AL20)=1),1,0)</f>
        <v>0</v>
      </c>
      <c r="AW20" s="21">
        <f t="shared" si="13"/>
        <v>0</v>
      </c>
      <c r="AX20" s="21" t="str">
        <f t="shared" si="12"/>
        <v/>
      </c>
      <c r="AY20" s="21" t="str">
        <f>IF(AND($AM20&lt;&gt;"",$AS20&lt;&gt;"✓"),SUMPRODUCT(($AM$11:$AM20&lt;&gt;"")*($AS$11:$AS20&lt;&gt;"✓")),"")</f>
        <v/>
      </c>
      <c r="AZ20" s="21" t="str">
        <f>IF(AND($AM20&lt;&gt;"",$AS20="✓"),SUMPRODUCT(($AM$11:$AM20&lt;&gt;"")*($AS$11:$AS20="✓")),"")</f>
        <v/>
      </c>
      <c r="BA20" s="21" t="str">
        <f>IF($AL20="","",$AL20&amp;"|"&amp;COUNTIF($AL$11:$AL20,$AL20))</f>
        <v/>
      </c>
      <c r="BD20" s="36" t="str">
        <f>IF(IFERROR(INDEX($AM$11:$AM$4010,MATCH($S$8&amp;"|"&amp;8,$BA$11:$BA$4010,0)),"")="","",8)</f>
        <v/>
      </c>
      <c r="BE20" s="36" t="str">
        <f>IFERROR(INDEX($AM$11:$AM$4010,MATCH($S$8&amp;"|"&amp;8,$BA$11:$BA$4010,0)),"")</f>
        <v/>
      </c>
      <c r="BF20" s="36" t="str">
        <f>IFERROR(INDEX($AP$11:$AP$4010,MATCH($S$8&amp;"|"&amp;8,$BA$11:$BA$4010,0)),"")</f>
        <v/>
      </c>
      <c r="BG20" s="36" t="str">
        <f>IFERROR(INDEX($AQ$11:$AQ$4010,MATCH($S$8&amp;"|"&amp;8,$BA$11:$BA$4010,0)),"")</f>
        <v/>
      </c>
      <c r="BH20" s="37" t="str">
        <f>IFERROR(INDEX($AN$11:$AN$4010,MATCH($S$8&amp;"|"&amp;8,$BA$11:$BA$4010,0)),"")</f>
        <v/>
      </c>
      <c r="BI20" s="37" t="str">
        <f>IFERROR(INDEX($AO$11:$AO$4010,MATCH($S$8&amp;"|"&amp;8,$BA$11:$BA$4010,0)),"")</f>
        <v/>
      </c>
      <c r="BL20" s="36" t="str">
        <f>IF(IFERROR(INDEX($AM$11:$AM$4010,MATCH($S$8&amp;"|"&amp;8,$BA$11:$BA$4010,0)),"")="","",8)</f>
        <v/>
      </c>
      <c r="BM20" s="36" t="str">
        <f>IFERROR(INDEX($AM$11:$AM$4010,MATCH($S$8&amp;"|"&amp;8,$BA$11:$BA$4010,0)),"")</f>
        <v/>
      </c>
      <c r="BN20" s="36" t="str">
        <f>IFERROR(INDEX($AP$11:$AP$4010,MATCH($S$8&amp;"|"&amp;8,$BA$11:$BA$4010,0)),"")</f>
        <v/>
      </c>
      <c r="BO20" s="36" t="str">
        <f>IFERROR(INDEX($AQ$11:$AQ$4010,MATCH($S$8&amp;"|"&amp;8,$BA$11:$BA$4010,0)),"")</f>
        <v/>
      </c>
      <c r="BP20" s="37" t="str">
        <f>IFERROR(INDEX($AN$11:$AN$4010,MATCH($S$8&amp;"|"&amp;8,$BA$11:$BA$4010,0)),"")</f>
        <v/>
      </c>
      <c r="BQ20" s="37" t="str">
        <f>IFERROR(INDEX($AO$11:$AO$4010,MATCH($S$8&amp;"|"&amp;8,$BA$11:$BA$4010,0)),"")</f>
        <v/>
      </c>
    </row>
    <row r="21" spans="2:69" ht="13.5" customHeight="1" x14ac:dyDescent="0.25">
      <c r="B21" s="5" t="str">
        <f t="shared" si="0"/>
        <v/>
      </c>
      <c r="C21" s="5"/>
      <c r="D21" s="5"/>
      <c r="E21" s="5"/>
      <c r="F21" s="6"/>
      <c r="G21" s="6"/>
      <c r="H21" s="7"/>
      <c r="I21" s="8"/>
      <c r="K21" s="9" t="str">
        <f>IFERROR(INDEX($AL$11:$AL$4010,MATCH(11,$AX$11:$AX$4010,0)),"")</f>
        <v/>
      </c>
      <c r="L21" s="10" t="str">
        <f t="shared" si="1"/>
        <v/>
      </c>
      <c r="M21" s="11" t="str">
        <f t="shared" si="2"/>
        <v/>
      </c>
      <c r="N21" s="11" t="str">
        <f t="shared" si="3"/>
        <v/>
      </c>
      <c r="P21" s="12" t="str">
        <f>IFERROR(INDEX($AM$11:$AM$4010,MATCH($S$8&amp;"|"&amp;11,$BA$11:$BA$4010,0)),"")</f>
        <v/>
      </c>
      <c r="Q21" s="11" t="str">
        <f>IF(P21="","",IFERROR(INDEX($AN$11:$AN$4010,MATCH($S$8&amp;"|"&amp;11,$BA$11:$BA$4010,0)),""))</f>
        <v/>
      </c>
      <c r="R21" s="11" t="str">
        <f>IF(P21="","",IFERROR(INDEX($AO$11:$AO$4010,MATCH($S$8&amp;"|"&amp;11,$BA$11:$BA$4010,0)),""))</f>
        <v/>
      </c>
      <c r="S21" s="10" t="str">
        <f>IF(P21="","",IFERROR(INDEX($AP$11:$AP$4010,MATCH($S$8&amp;"|"&amp;11,$BA$11:$BA$4010,0)),""))</f>
        <v/>
      </c>
      <c r="T21" s="10" t="str">
        <f>IF(P21="","",IFERROR(INDEX($AQ$11:$AQ$4010,MATCH($S$8&amp;"|"&amp;11,$BA$11:$BA$4010,0)),""))</f>
        <v/>
      </c>
      <c r="U21" s="39" t="str">
        <f t="shared" si="4"/>
        <v/>
      </c>
      <c r="W21" s="14" t="str">
        <f>IF(X21="","",IFERROR(INDEX($AL$11:$AL$4010,MATCH(11,$AY$11:$AY$4010,0)),""))</f>
        <v/>
      </c>
      <c r="X21" s="12" t="str">
        <f>IFERROR(INDEX($AM$11:$AM$4010,MATCH(11,$AY$11:$AY$4010,0)),"")</f>
        <v/>
      </c>
      <c r="Y21" s="11" t="str">
        <f>IF(X21="","",IFERROR(INDEX($AN$11:$AN$4010,MATCH(11,$AY$11:$AY$4010,0)),""))</f>
        <v/>
      </c>
      <c r="Z21" s="11" t="str">
        <f>IF(X21="","",IFERROR(INDEX($AO$11:$AO$4010,MATCH(11,$AY$11:$AY$4010,0)),""))</f>
        <v/>
      </c>
      <c r="AA21" s="10" t="str">
        <f>IF(X21="","",IFERROR(INDEX($AQ$11:$AQ$4010,MATCH(11,$AY$11:$AY$4010,0)),""))</f>
        <v/>
      </c>
      <c r="AB21" s="15" t="str">
        <f>IF(X21="","",IFERROR(INDEX($AR$11:$AR$4010,MATCH(11,$AY$11:$AY$4010,0)),""))</f>
        <v/>
      </c>
      <c r="AD21" s="16" t="str">
        <f>IF(AE21="","",IFERROR(INDEX($AL$11:$AL$4010,MATCH(11,$AZ$11:$AZ$4010,0)),""))</f>
        <v/>
      </c>
      <c r="AE21" s="12" t="str">
        <f>IFERROR(INDEX($AM$11:$AM$4010,MATCH(11,$AZ$11:$AZ$4010,0)),"")</f>
        <v/>
      </c>
      <c r="AF21" s="11" t="str">
        <f>IF(AE21="","",IFERROR(INDEX($AN$11:$AN$4010,MATCH(11,$AZ$11:$AZ$4010,0)),""))</f>
        <v/>
      </c>
      <c r="AG21" s="11" t="str">
        <f>IF(AE21="","",IFERROR(INDEX($AO$11:$AO$4010,MATCH(11,$AZ$11:$AZ$4010,0)),""))</f>
        <v/>
      </c>
      <c r="AH21" s="10" t="str">
        <f>IF(AE21="","",IFERROR(INDEX($AQ$11:$AQ$4010,MATCH(11,$AZ$11:$AZ$4010,0)),""))</f>
        <v/>
      </c>
      <c r="AI21" s="15" t="str">
        <f>IF(AE21="","",IFERROR(INDEX($AR$11:$AR$4010,MATCH(11,$AZ$11:$AZ$4010,0)),""))</f>
        <v/>
      </c>
      <c r="AJ21" s="15" t="str">
        <f>IF(AE21="","",IFERROR(INDEX($AT$11:$AT$4010,MATCH(11,$AZ$11:$AZ$4010,0)),""))</f>
        <v/>
      </c>
      <c r="AL21" s="17" t="str">
        <f t="shared" si="5"/>
        <v/>
      </c>
      <c r="AM21" s="12" t="str">
        <f t="shared" si="6"/>
        <v/>
      </c>
      <c r="AN21" s="18" t="str">
        <f t="shared" si="7"/>
        <v/>
      </c>
      <c r="AO21" s="18" t="str">
        <f t="shared" si="8"/>
        <v/>
      </c>
      <c r="AP21" s="10" t="str">
        <f t="shared" si="9"/>
        <v/>
      </c>
      <c r="AQ21" s="10" t="str">
        <f t="shared" si="10"/>
        <v/>
      </c>
      <c r="AR21" s="19" t="str">
        <f t="shared" si="11"/>
        <v/>
      </c>
      <c r="AS21" s="20"/>
      <c r="AT21" s="19"/>
      <c r="AV21" s="21">
        <f>IF(AND($AL21&lt;&gt;"",COUNTIF($AL$11:$AL21,$AL21)=1),1,0)</f>
        <v>0</v>
      </c>
      <c r="AW21" s="21">
        <f t="shared" si="13"/>
        <v>0</v>
      </c>
      <c r="AX21" s="21" t="str">
        <f t="shared" si="12"/>
        <v/>
      </c>
      <c r="AY21" s="21" t="str">
        <f>IF(AND($AM21&lt;&gt;"",$AS21&lt;&gt;"✓"),SUMPRODUCT(($AM$11:$AM21&lt;&gt;"")*($AS$11:$AS21&lt;&gt;"✓")),"")</f>
        <v/>
      </c>
      <c r="AZ21" s="21" t="str">
        <f>IF(AND($AM21&lt;&gt;"",$AS21="✓"),SUMPRODUCT(($AM$11:$AM21&lt;&gt;"")*($AS$11:$AS21="✓")),"")</f>
        <v/>
      </c>
      <c r="BA21" s="21" t="str">
        <f>IF($AL21="","",$AL21&amp;"|"&amp;COUNTIF($AL$11:$AL21,$AL21))</f>
        <v/>
      </c>
      <c r="BD21" s="36" t="str">
        <f>IF(IFERROR(INDEX($AM$11:$AM$4010,MATCH($S$8&amp;"|"&amp;9,$BA$11:$BA$4010,0)),"")="","",9)</f>
        <v/>
      </c>
      <c r="BE21" s="36" t="str">
        <f>IFERROR(INDEX($AM$11:$AM$4010,MATCH($S$8&amp;"|"&amp;9,$BA$11:$BA$4010,0)),"")</f>
        <v/>
      </c>
      <c r="BF21" s="36" t="str">
        <f>IFERROR(INDEX($AP$11:$AP$4010,MATCH($S$8&amp;"|"&amp;9,$BA$11:$BA$4010,0)),"")</f>
        <v/>
      </c>
      <c r="BG21" s="36" t="str">
        <f>IFERROR(INDEX($AQ$11:$AQ$4010,MATCH($S$8&amp;"|"&amp;9,$BA$11:$BA$4010,0)),"")</f>
        <v/>
      </c>
      <c r="BH21" s="37" t="str">
        <f>IFERROR(INDEX($AN$11:$AN$4010,MATCH($S$8&amp;"|"&amp;9,$BA$11:$BA$4010,0)),"")</f>
        <v/>
      </c>
      <c r="BI21" s="37" t="str">
        <f>IFERROR(INDEX($AO$11:$AO$4010,MATCH($S$8&amp;"|"&amp;9,$BA$11:$BA$4010,0)),"")</f>
        <v/>
      </c>
      <c r="BL21" s="36" t="str">
        <f>IF(IFERROR(INDEX($AM$11:$AM$4010,MATCH($S$8&amp;"|"&amp;9,$BA$11:$BA$4010,0)),"")="","",9)</f>
        <v/>
      </c>
      <c r="BM21" s="36" t="str">
        <f>IFERROR(INDEX($AM$11:$AM$4010,MATCH($S$8&amp;"|"&amp;9,$BA$11:$BA$4010,0)),"")</f>
        <v/>
      </c>
      <c r="BN21" s="36" t="str">
        <f>IFERROR(INDEX($AP$11:$AP$4010,MATCH($S$8&amp;"|"&amp;9,$BA$11:$BA$4010,0)),"")</f>
        <v/>
      </c>
      <c r="BO21" s="36" t="str">
        <f>IFERROR(INDEX($AQ$11:$AQ$4010,MATCH($S$8&amp;"|"&amp;9,$BA$11:$BA$4010,0)),"")</f>
        <v/>
      </c>
      <c r="BP21" s="37" t="str">
        <f>IFERROR(INDEX($AN$11:$AN$4010,MATCH($S$8&amp;"|"&amp;9,$BA$11:$BA$4010,0)),"")</f>
        <v/>
      </c>
      <c r="BQ21" s="37" t="str">
        <f>IFERROR(INDEX($AO$11:$AO$4010,MATCH($S$8&amp;"|"&amp;9,$BA$11:$BA$4010,0)),"")</f>
        <v/>
      </c>
    </row>
    <row r="22" spans="2:69" ht="13.5" customHeight="1" x14ac:dyDescent="0.25">
      <c r="B22" s="5" t="str">
        <f t="shared" si="0"/>
        <v/>
      </c>
      <c r="C22" s="5"/>
      <c r="D22" s="5"/>
      <c r="E22" s="5"/>
      <c r="F22" s="6"/>
      <c r="G22" s="6"/>
      <c r="H22" s="7"/>
      <c r="I22" s="8"/>
      <c r="K22" s="23" t="str">
        <f>IFERROR(INDEX($AL$11:$AL$4010,MATCH(12,$AX$11:$AX$4010,0)),"")</f>
        <v/>
      </c>
      <c r="L22" s="24" t="str">
        <f t="shared" si="1"/>
        <v/>
      </c>
      <c r="M22" s="25" t="str">
        <f t="shared" si="2"/>
        <v/>
      </c>
      <c r="N22" s="25" t="str">
        <f t="shared" si="3"/>
        <v/>
      </c>
      <c r="P22" s="26" t="str">
        <f>IFERROR(INDEX($AM$11:$AM$4010,MATCH($S$8&amp;"|"&amp;12,$BA$11:$BA$4010,0)),"")</f>
        <v/>
      </c>
      <c r="Q22" s="25" t="str">
        <f>IF(P22="","",IFERROR(INDEX($AN$11:$AN$4010,MATCH($S$8&amp;"|"&amp;12,$BA$11:$BA$4010,0)),""))</f>
        <v/>
      </c>
      <c r="R22" s="25" t="str">
        <f>IF(P22="","",IFERROR(INDEX($AO$11:$AO$4010,MATCH($S$8&amp;"|"&amp;12,$BA$11:$BA$4010,0)),""))</f>
        <v/>
      </c>
      <c r="S22" s="24" t="str">
        <f>IF(P22="","",IFERROR(INDEX($AP$11:$AP$4010,MATCH($S$8&amp;"|"&amp;12,$BA$11:$BA$4010,0)),""))</f>
        <v/>
      </c>
      <c r="T22" s="24" t="str">
        <f>IF(P22="","",IFERROR(INDEX($AQ$11:$AQ$4010,MATCH($S$8&amp;"|"&amp;12,$BA$11:$BA$4010,0)),""))</f>
        <v/>
      </c>
      <c r="U22" s="38" t="str">
        <f t="shared" si="4"/>
        <v/>
      </c>
      <c r="W22" s="28" t="str">
        <f>IF(X22="","",IFERROR(INDEX($AL$11:$AL$4010,MATCH(12,$AY$11:$AY$4010,0)),""))</f>
        <v/>
      </c>
      <c r="X22" s="26" t="str">
        <f>IFERROR(INDEX($AM$11:$AM$4010,MATCH(12,$AY$11:$AY$4010,0)),"")</f>
        <v/>
      </c>
      <c r="Y22" s="25" t="str">
        <f>IF(X22="","",IFERROR(INDEX($AN$11:$AN$4010,MATCH(12,$AY$11:$AY$4010,0)),""))</f>
        <v/>
      </c>
      <c r="Z22" s="25" t="str">
        <f>IF(X22="","",IFERROR(INDEX($AO$11:$AO$4010,MATCH(12,$AY$11:$AY$4010,0)),""))</f>
        <v/>
      </c>
      <c r="AA22" s="24" t="str">
        <f>IF(X22="","",IFERROR(INDEX($AQ$11:$AQ$4010,MATCH(12,$AY$11:$AY$4010,0)),""))</f>
        <v/>
      </c>
      <c r="AB22" s="29" t="str">
        <f>IF(X22="","",IFERROR(INDEX($AR$11:$AR$4010,MATCH(12,$AY$11:$AY$4010,0)),""))</f>
        <v/>
      </c>
      <c r="AD22" s="30" t="str">
        <f>IF(AE22="","",IFERROR(INDEX($AL$11:$AL$4010,MATCH(12,$AZ$11:$AZ$4010,0)),""))</f>
        <v/>
      </c>
      <c r="AE22" s="26" t="str">
        <f>IFERROR(INDEX($AM$11:$AM$4010,MATCH(12,$AZ$11:$AZ$4010,0)),"")</f>
        <v/>
      </c>
      <c r="AF22" s="25" t="str">
        <f>IF(AE22="","",IFERROR(INDEX($AN$11:$AN$4010,MATCH(12,$AZ$11:$AZ$4010,0)),""))</f>
        <v/>
      </c>
      <c r="AG22" s="25" t="str">
        <f>IF(AE22="","",IFERROR(INDEX($AO$11:$AO$4010,MATCH(12,$AZ$11:$AZ$4010,0)),""))</f>
        <v/>
      </c>
      <c r="AH22" s="24" t="str">
        <f>IF(AE22="","",IFERROR(INDEX($AQ$11:$AQ$4010,MATCH(12,$AZ$11:$AZ$4010,0)),""))</f>
        <v/>
      </c>
      <c r="AI22" s="29" t="str">
        <f>IF(AE22="","",IFERROR(INDEX($AR$11:$AR$4010,MATCH(12,$AZ$11:$AZ$4010,0)),""))</f>
        <v/>
      </c>
      <c r="AJ22" s="29" t="str">
        <f>IF(AE22="","",IFERROR(INDEX($AT$11:$AT$4010,MATCH(12,$AZ$11:$AZ$4010,0)),""))</f>
        <v/>
      </c>
      <c r="AL22" s="31" t="str">
        <f t="shared" si="5"/>
        <v/>
      </c>
      <c r="AM22" s="26" t="str">
        <f t="shared" si="6"/>
        <v/>
      </c>
      <c r="AN22" s="32" t="str">
        <f t="shared" si="7"/>
        <v/>
      </c>
      <c r="AO22" s="32" t="str">
        <f t="shared" si="8"/>
        <v/>
      </c>
      <c r="AP22" s="24" t="str">
        <f t="shared" si="9"/>
        <v/>
      </c>
      <c r="AQ22" s="24" t="str">
        <f t="shared" si="10"/>
        <v/>
      </c>
      <c r="AR22" s="33" t="str">
        <f t="shared" si="11"/>
        <v/>
      </c>
      <c r="AS22" s="34"/>
      <c r="AT22" s="33"/>
      <c r="AV22" s="21">
        <f>IF(AND($AL22&lt;&gt;"",COUNTIF($AL$11:$AL22,$AL22)=1),1,0)</f>
        <v>0</v>
      </c>
      <c r="AW22" s="21">
        <f t="shared" si="13"/>
        <v>0</v>
      </c>
      <c r="AX22" s="21" t="str">
        <f t="shared" si="12"/>
        <v/>
      </c>
      <c r="AY22" s="21" t="str">
        <f>IF(AND($AM22&lt;&gt;"",$AS22&lt;&gt;"✓"),SUMPRODUCT(($AM$11:$AM22&lt;&gt;"")*($AS$11:$AS22&lt;&gt;"✓")),"")</f>
        <v/>
      </c>
      <c r="AZ22" s="21" t="str">
        <f>IF(AND($AM22&lt;&gt;"",$AS22="✓"),SUMPRODUCT(($AM$11:$AM22&lt;&gt;"")*($AS$11:$AS22="✓")),"")</f>
        <v/>
      </c>
      <c r="BA22" s="21" t="str">
        <f>IF($AL22="","",$AL22&amp;"|"&amp;COUNTIF($AL$11:$AL22,$AL22))</f>
        <v/>
      </c>
      <c r="BD22" s="36" t="str">
        <f>IF(IFERROR(INDEX($AM$11:$AM$4010,MATCH($S$8&amp;"|"&amp;10,$BA$11:$BA$4010,0)),"")="","",10)</f>
        <v/>
      </c>
      <c r="BE22" s="36" t="str">
        <f>IFERROR(INDEX($AM$11:$AM$4010,MATCH($S$8&amp;"|"&amp;10,$BA$11:$BA$4010,0)),"")</f>
        <v/>
      </c>
      <c r="BF22" s="36" t="str">
        <f>IFERROR(INDEX($AP$11:$AP$4010,MATCH($S$8&amp;"|"&amp;10,$BA$11:$BA$4010,0)),"")</f>
        <v/>
      </c>
      <c r="BG22" s="36" t="str">
        <f>IFERROR(INDEX($AQ$11:$AQ$4010,MATCH($S$8&amp;"|"&amp;10,$BA$11:$BA$4010,0)),"")</f>
        <v/>
      </c>
      <c r="BH22" s="37" t="str">
        <f>IFERROR(INDEX($AN$11:$AN$4010,MATCH($S$8&amp;"|"&amp;10,$BA$11:$BA$4010,0)),"")</f>
        <v/>
      </c>
      <c r="BI22" s="37" t="str">
        <f>IFERROR(INDEX($AO$11:$AO$4010,MATCH($S$8&amp;"|"&amp;10,$BA$11:$BA$4010,0)),"")</f>
        <v/>
      </c>
      <c r="BL22" s="36" t="str">
        <f>IF(IFERROR(INDEX($AM$11:$AM$4010,MATCH($S$8&amp;"|"&amp;10,$BA$11:$BA$4010,0)),"")="","",10)</f>
        <v/>
      </c>
      <c r="BM22" s="36" t="str">
        <f>IFERROR(INDEX($AM$11:$AM$4010,MATCH($S$8&amp;"|"&amp;10,$BA$11:$BA$4010,0)),"")</f>
        <v/>
      </c>
      <c r="BN22" s="36" t="str">
        <f>IFERROR(INDEX($AP$11:$AP$4010,MATCH($S$8&amp;"|"&amp;10,$BA$11:$BA$4010,0)),"")</f>
        <v/>
      </c>
      <c r="BO22" s="36" t="str">
        <f>IFERROR(INDEX($AQ$11:$AQ$4010,MATCH($S$8&amp;"|"&amp;10,$BA$11:$BA$4010,0)),"")</f>
        <v/>
      </c>
      <c r="BP22" s="37" t="str">
        <f>IFERROR(INDEX($AN$11:$AN$4010,MATCH($S$8&amp;"|"&amp;10,$BA$11:$BA$4010,0)),"")</f>
        <v/>
      </c>
      <c r="BQ22" s="37" t="str">
        <f>IFERROR(INDEX($AO$11:$AO$4010,MATCH($S$8&amp;"|"&amp;10,$BA$11:$BA$4010,0)),"")</f>
        <v/>
      </c>
    </row>
    <row r="23" spans="2:69" ht="13.5" customHeight="1" x14ac:dyDescent="0.25">
      <c r="B23" s="5" t="str">
        <f t="shared" si="0"/>
        <v/>
      </c>
      <c r="C23" s="5"/>
      <c r="D23" s="5"/>
      <c r="E23" s="5"/>
      <c r="F23" s="6"/>
      <c r="G23" s="6"/>
      <c r="H23" s="7"/>
      <c r="I23" s="8"/>
      <c r="K23" s="9" t="str">
        <f>IFERROR(INDEX($AL$11:$AL$4010,MATCH(13,$AX$11:$AX$4010,0)),"")</f>
        <v/>
      </c>
      <c r="L23" s="10" t="str">
        <f t="shared" si="1"/>
        <v/>
      </c>
      <c r="M23" s="11" t="str">
        <f t="shared" si="2"/>
        <v/>
      </c>
      <c r="N23" s="11" t="str">
        <f t="shared" si="3"/>
        <v/>
      </c>
      <c r="P23" s="12" t="str">
        <f>IFERROR(INDEX($AM$11:$AM$4010,MATCH($S$8&amp;"|"&amp;13,$BA$11:$BA$4010,0)),"")</f>
        <v/>
      </c>
      <c r="Q23" s="11" t="str">
        <f>IF(P23="","",IFERROR(INDEX($AN$11:$AN$4010,MATCH($S$8&amp;"|"&amp;13,$BA$11:$BA$4010,0)),""))</f>
        <v/>
      </c>
      <c r="R23" s="11" t="str">
        <f>IF(P23="","",IFERROR(INDEX($AO$11:$AO$4010,MATCH($S$8&amp;"|"&amp;13,$BA$11:$BA$4010,0)),""))</f>
        <v/>
      </c>
      <c r="S23" s="10" t="str">
        <f>IF(P23="","",IFERROR(INDEX($AP$11:$AP$4010,MATCH($S$8&amp;"|"&amp;13,$BA$11:$BA$4010,0)),""))</f>
        <v/>
      </c>
      <c r="T23" s="10" t="str">
        <f>IF(P23="","",IFERROR(INDEX($AQ$11:$AQ$4010,MATCH($S$8&amp;"|"&amp;13,$BA$11:$BA$4010,0)),""))</f>
        <v/>
      </c>
      <c r="U23" s="39" t="str">
        <f t="shared" si="4"/>
        <v/>
      </c>
      <c r="W23" s="14" t="str">
        <f>IF(X23="","",IFERROR(INDEX($AL$11:$AL$4010,MATCH(13,$AY$11:$AY$4010,0)),""))</f>
        <v/>
      </c>
      <c r="X23" s="12" t="str">
        <f>IFERROR(INDEX($AM$11:$AM$4010,MATCH(13,$AY$11:$AY$4010,0)),"")</f>
        <v/>
      </c>
      <c r="Y23" s="11" t="str">
        <f>IF(X23="","",IFERROR(INDEX($AN$11:$AN$4010,MATCH(13,$AY$11:$AY$4010,0)),""))</f>
        <v/>
      </c>
      <c r="Z23" s="11" t="str">
        <f>IF(X23="","",IFERROR(INDEX($AO$11:$AO$4010,MATCH(13,$AY$11:$AY$4010,0)),""))</f>
        <v/>
      </c>
      <c r="AA23" s="10" t="str">
        <f>IF(X23="","",IFERROR(INDEX($AQ$11:$AQ$4010,MATCH(13,$AY$11:$AY$4010,0)),""))</f>
        <v/>
      </c>
      <c r="AB23" s="15" t="str">
        <f>IF(X23="","",IFERROR(INDEX($AR$11:$AR$4010,MATCH(13,$AY$11:$AY$4010,0)),""))</f>
        <v/>
      </c>
      <c r="AD23" s="16" t="str">
        <f>IF(AE23="","",IFERROR(INDEX($AL$11:$AL$4010,MATCH(13,$AZ$11:$AZ$4010,0)),""))</f>
        <v/>
      </c>
      <c r="AE23" s="12" t="str">
        <f>IFERROR(INDEX($AM$11:$AM$4010,MATCH(13,$AZ$11:$AZ$4010,0)),"")</f>
        <v/>
      </c>
      <c r="AF23" s="11" t="str">
        <f>IF(AE23="","",IFERROR(INDEX($AN$11:$AN$4010,MATCH(13,$AZ$11:$AZ$4010,0)),""))</f>
        <v/>
      </c>
      <c r="AG23" s="11" t="str">
        <f>IF(AE23="","",IFERROR(INDEX($AO$11:$AO$4010,MATCH(13,$AZ$11:$AZ$4010,0)),""))</f>
        <v/>
      </c>
      <c r="AH23" s="10" t="str">
        <f>IF(AE23="","",IFERROR(INDEX($AQ$11:$AQ$4010,MATCH(13,$AZ$11:$AZ$4010,0)),""))</f>
        <v/>
      </c>
      <c r="AI23" s="15" t="str">
        <f>IF(AE23="","",IFERROR(INDEX($AR$11:$AR$4010,MATCH(13,$AZ$11:$AZ$4010,0)),""))</f>
        <v/>
      </c>
      <c r="AJ23" s="15" t="str">
        <f>IF(AE23="","",IFERROR(INDEX($AT$11:$AT$4010,MATCH(13,$AZ$11:$AZ$4010,0)),""))</f>
        <v/>
      </c>
      <c r="AL23" s="17" t="str">
        <f t="shared" si="5"/>
        <v/>
      </c>
      <c r="AM23" s="12" t="str">
        <f t="shared" si="6"/>
        <v/>
      </c>
      <c r="AN23" s="18" t="str">
        <f t="shared" si="7"/>
        <v/>
      </c>
      <c r="AO23" s="18" t="str">
        <f t="shared" si="8"/>
        <v/>
      </c>
      <c r="AP23" s="10" t="str">
        <f t="shared" si="9"/>
        <v/>
      </c>
      <c r="AQ23" s="10" t="str">
        <f t="shared" si="10"/>
        <v/>
      </c>
      <c r="AR23" s="19" t="str">
        <f t="shared" si="11"/>
        <v/>
      </c>
      <c r="AS23" s="20"/>
      <c r="AT23" s="19"/>
      <c r="AV23" s="21">
        <f>IF(AND($AL23&lt;&gt;"",COUNTIF($AL$11:$AL23,$AL23)=1),1,0)</f>
        <v>0</v>
      </c>
      <c r="AW23" s="21">
        <f t="shared" si="13"/>
        <v>0</v>
      </c>
      <c r="AX23" s="21" t="str">
        <f t="shared" si="12"/>
        <v/>
      </c>
      <c r="AY23" s="21" t="str">
        <f>IF(AND($AM23&lt;&gt;"",$AS23&lt;&gt;"✓"),SUMPRODUCT(($AM$11:$AM23&lt;&gt;"")*($AS$11:$AS23&lt;&gt;"✓")),"")</f>
        <v/>
      </c>
      <c r="AZ23" s="21" t="str">
        <f>IF(AND($AM23&lt;&gt;"",$AS23="✓"),SUMPRODUCT(($AM$11:$AM23&lt;&gt;"")*($AS$11:$AS23="✓")),"")</f>
        <v/>
      </c>
      <c r="BA23" s="21" t="str">
        <f>IF($AL23="","",$AL23&amp;"|"&amp;COUNTIF($AL$11:$AL23,$AL23))</f>
        <v/>
      </c>
      <c r="BD23" s="36" t="str">
        <f>IF(IFERROR(INDEX($AM$11:$AM$4010,MATCH($S$8&amp;"|"&amp;11,$BA$11:$BA$4010,0)),"")="","",11)</f>
        <v/>
      </c>
      <c r="BE23" s="36" t="str">
        <f>IFERROR(INDEX($AM$11:$AM$4010,MATCH($S$8&amp;"|"&amp;11,$BA$11:$BA$4010,0)),"")</f>
        <v/>
      </c>
      <c r="BF23" s="36" t="str">
        <f>IFERROR(INDEX($AP$11:$AP$4010,MATCH($S$8&amp;"|"&amp;11,$BA$11:$BA$4010,0)),"")</f>
        <v/>
      </c>
      <c r="BG23" s="36" t="str">
        <f>IFERROR(INDEX($AQ$11:$AQ$4010,MATCH($S$8&amp;"|"&amp;11,$BA$11:$BA$4010,0)),"")</f>
        <v/>
      </c>
      <c r="BH23" s="37" t="str">
        <f>IFERROR(INDEX($AN$11:$AN$4010,MATCH($S$8&amp;"|"&amp;11,$BA$11:$BA$4010,0)),"")</f>
        <v/>
      </c>
      <c r="BI23" s="37" t="str">
        <f>IFERROR(INDEX($AO$11:$AO$4010,MATCH($S$8&amp;"|"&amp;11,$BA$11:$BA$4010,0)),"")</f>
        <v/>
      </c>
      <c r="BL23" s="36" t="str">
        <f>IF(IFERROR(INDEX($AM$11:$AM$4010,MATCH($S$8&amp;"|"&amp;11,$BA$11:$BA$4010,0)),"")="","",11)</f>
        <v/>
      </c>
      <c r="BM23" s="36" t="str">
        <f>IFERROR(INDEX($AM$11:$AM$4010,MATCH($S$8&amp;"|"&amp;11,$BA$11:$BA$4010,0)),"")</f>
        <v/>
      </c>
      <c r="BN23" s="36" t="str">
        <f>IFERROR(INDEX($AP$11:$AP$4010,MATCH($S$8&amp;"|"&amp;11,$BA$11:$BA$4010,0)),"")</f>
        <v/>
      </c>
      <c r="BO23" s="36" t="str">
        <f>IFERROR(INDEX($AQ$11:$AQ$4010,MATCH($S$8&amp;"|"&amp;11,$BA$11:$BA$4010,0)),"")</f>
        <v/>
      </c>
      <c r="BP23" s="37" t="str">
        <f>IFERROR(INDEX($AN$11:$AN$4010,MATCH($S$8&amp;"|"&amp;11,$BA$11:$BA$4010,0)),"")</f>
        <v/>
      </c>
      <c r="BQ23" s="37" t="str">
        <f>IFERROR(INDEX($AO$11:$AO$4010,MATCH($S$8&amp;"|"&amp;11,$BA$11:$BA$4010,0)),"")</f>
        <v/>
      </c>
    </row>
    <row r="24" spans="2:69" ht="13.5" customHeight="1" x14ac:dyDescent="0.25">
      <c r="B24" s="5" t="str">
        <f t="shared" si="0"/>
        <v/>
      </c>
      <c r="C24" s="5"/>
      <c r="D24" s="5"/>
      <c r="E24" s="5"/>
      <c r="F24" s="6"/>
      <c r="G24" s="6"/>
      <c r="H24" s="7"/>
      <c r="I24" s="8"/>
      <c r="K24" s="23" t="str">
        <f>IFERROR(INDEX($AL$11:$AL$4010,MATCH(14,$AX$11:$AX$4010,0)),"")</f>
        <v/>
      </c>
      <c r="L24" s="24" t="str">
        <f t="shared" si="1"/>
        <v/>
      </c>
      <c r="M24" s="25" t="str">
        <f t="shared" si="2"/>
        <v/>
      </c>
      <c r="N24" s="25" t="str">
        <f t="shared" si="3"/>
        <v/>
      </c>
      <c r="P24" s="26" t="str">
        <f>IFERROR(INDEX($AM$11:$AM$4010,MATCH($S$8&amp;"|"&amp;14,$BA$11:$BA$4010,0)),"")</f>
        <v/>
      </c>
      <c r="Q24" s="25" t="str">
        <f>IF(P24="","",IFERROR(INDEX($AN$11:$AN$4010,MATCH($S$8&amp;"|"&amp;14,$BA$11:$BA$4010,0)),""))</f>
        <v/>
      </c>
      <c r="R24" s="25" t="str">
        <f>IF(P24="","",IFERROR(INDEX($AO$11:$AO$4010,MATCH($S$8&amp;"|"&amp;14,$BA$11:$BA$4010,0)),""))</f>
        <v/>
      </c>
      <c r="S24" s="24" t="str">
        <f>IF(P24="","",IFERROR(INDEX($AP$11:$AP$4010,MATCH($S$8&amp;"|"&amp;14,$BA$11:$BA$4010,0)),""))</f>
        <v/>
      </c>
      <c r="T24" s="24" t="str">
        <f>IF(P24="","",IFERROR(INDEX($AQ$11:$AQ$4010,MATCH($S$8&amp;"|"&amp;14,$BA$11:$BA$4010,0)),""))</f>
        <v/>
      </c>
      <c r="U24" s="38" t="str">
        <f t="shared" si="4"/>
        <v/>
      </c>
      <c r="W24" s="28" t="str">
        <f>IF(X24="","",IFERROR(INDEX($AL$11:$AL$4010,MATCH(14,$AY$11:$AY$4010,0)),""))</f>
        <v/>
      </c>
      <c r="X24" s="26" t="str">
        <f>IFERROR(INDEX($AM$11:$AM$4010,MATCH(14,$AY$11:$AY$4010,0)),"")</f>
        <v/>
      </c>
      <c r="Y24" s="25" t="str">
        <f>IF(X24="","",IFERROR(INDEX($AN$11:$AN$4010,MATCH(14,$AY$11:$AY$4010,0)),""))</f>
        <v/>
      </c>
      <c r="Z24" s="25" t="str">
        <f>IF(X24="","",IFERROR(INDEX($AO$11:$AO$4010,MATCH(14,$AY$11:$AY$4010,0)),""))</f>
        <v/>
      </c>
      <c r="AA24" s="24" t="str">
        <f>IF(X24="","",IFERROR(INDEX($AQ$11:$AQ$4010,MATCH(14,$AY$11:$AY$4010,0)),""))</f>
        <v/>
      </c>
      <c r="AB24" s="29" t="str">
        <f>IF(X24="","",IFERROR(INDEX($AR$11:$AR$4010,MATCH(14,$AY$11:$AY$4010,0)),""))</f>
        <v/>
      </c>
      <c r="AD24" s="30" t="str">
        <f>IF(AE24="","",IFERROR(INDEX($AL$11:$AL$4010,MATCH(14,$AZ$11:$AZ$4010,0)),""))</f>
        <v/>
      </c>
      <c r="AE24" s="26" t="str">
        <f>IFERROR(INDEX($AM$11:$AM$4010,MATCH(14,$AZ$11:$AZ$4010,0)),"")</f>
        <v/>
      </c>
      <c r="AF24" s="25" t="str">
        <f>IF(AE24="","",IFERROR(INDEX($AN$11:$AN$4010,MATCH(14,$AZ$11:$AZ$4010,0)),""))</f>
        <v/>
      </c>
      <c r="AG24" s="25" t="str">
        <f>IF(AE24="","",IFERROR(INDEX($AO$11:$AO$4010,MATCH(14,$AZ$11:$AZ$4010,0)),""))</f>
        <v/>
      </c>
      <c r="AH24" s="24" t="str">
        <f>IF(AE24="","",IFERROR(INDEX($AQ$11:$AQ$4010,MATCH(14,$AZ$11:$AZ$4010,0)),""))</f>
        <v/>
      </c>
      <c r="AI24" s="29" t="str">
        <f>IF(AE24="","",IFERROR(INDEX($AR$11:$AR$4010,MATCH(14,$AZ$11:$AZ$4010,0)),""))</f>
        <v/>
      </c>
      <c r="AJ24" s="29" t="str">
        <f>IF(AE24="","",IFERROR(INDEX($AT$11:$AT$4010,MATCH(14,$AZ$11:$AZ$4010,0)),""))</f>
        <v/>
      </c>
      <c r="AL24" s="31" t="str">
        <f t="shared" si="5"/>
        <v/>
      </c>
      <c r="AM24" s="26" t="str">
        <f t="shared" si="6"/>
        <v/>
      </c>
      <c r="AN24" s="32" t="str">
        <f t="shared" si="7"/>
        <v/>
      </c>
      <c r="AO24" s="32" t="str">
        <f t="shared" si="8"/>
        <v/>
      </c>
      <c r="AP24" s="24" t="str">
        <f t="shared" si="9"/>
        <v/>
      </c>
      <c r="AQ24" s="24" t="str">
        <f t="shared" si="10"/>
        <v/>
      </c>
      <c r="AR24" s="33" t="str">
        <f t="shared" si="11"/>
        <v/>
      </c>
      <c r="AS24" s="34"/>
      <c r="AT24" s="33"/>
      <c r="AV24" s="21">
        <f>IF(AND($AL24&lt;&gt;"",COUNTIF($AL$11:$AL24,$AL24)=1),1,0)</f>
        <v>0</v>
      </c>
      <c r="AW24" s="21">
        <f t="shared" si="13"/>
        <v>0</v>
      </c>
      <c r="AX24" s="21" t="str">
        <f t="shared" si="12"/>
        <v/>
      </c>
      <c r="AY24" s="21" t="str">
        <f>IF(AND($AM24&lt;&gt;"",$AS24&lt;&gt;"✓"),SUMPRODUCT(($AM$11:$AM24&lt;&gt;"")*($AS$11:$AS24&lt;&gt;"✓")),"")</f>
        <v/>
      </c>
      <c r="AZ24" s="21" t="str">
        <f>IF(AND($AM24&lt;&gt;"",$AS24="✓"),SUMPRODUCT(($AM$11:$AM24&lt;&gt;"")*($AS$11:$AS24="✓")),"")</f>
        <v/>
      </c>
      <c r="BA24" s="21" t="str">
        <f>IF($AL24="","",$AL24&amp;"|"&amp;COUNTIF($AL$11:$AL24,$AL24))</f>
        <v/>
      </c>
      <c r="BD24" s="36" t="str">
        <f>IF(IFERROR(INDEX($AM$11:$AM$4010,MATCH($S$8&amp;"|"&amp;12,$BA$11:$BA$4010,0)),"")="","",12)</f>
        <v/>
      </c>
      <c r="BE24" s="36" t="str">
        <f>IFERROR(INDEX($AM$11:$AM$4010,MATCH($S$8&amp;"|"&amp;12,$BA$11:$BA$4010,0)),"")</f>
        <v/>
      </c>
      <c r="BF24" s="36" t="str">
        <f>IFERROR(INDEX($AP$11:$AP$4010,MATCH($S$8&amp;"|"&amp;12,$BA$11:$BA$4010,0)),"")</f>
        <v/>
      </c>
      <c r="BG24" s="36" t="str">
        <f>IFERROR(INDEX($AQ$11:$AQ$4010,MATCH($S$8&amp;"|"&amp;12,$BA$11:$BA$4010,0)),"")</f>
        <v/>
      </c>
      <c r="BH24" s="37" t="str">
        <f>IFERROR(INDEX($AN$11:$AN$4010,MATCH($S$8&amp;"|"&amp;12,$BA$11:$BA$4010,0)),"")</f>
        <v/>
      </c>
      <c r="BI24" s="37" t="str">
        <f>IFERROR(INDEX($AO$11:$AO$4010,MATCH($S$8&amp;"|"&amp;12,$BA$11:$BA$4010,0)),"")</f>
        <v/>
      </c>
      <c r="BL24" s="36" t="str">
        <f>IF(IFERROR(INDEX($AM$11:$AM$4010,MATCH($S$8&amp;"|"&amp;12,$BA$11:$BA$4010,0)),"")="","",12)</f>
        <v/>
      </c>
      <c r="BM24" s="36" t="str">
        <f>IFERROR(INDEX($AM$11:$AM$4010,MATCH($S$8&amp;"|"&amp;12,$BA$11:$BA$4010,0)),"")</f>
        <v/>
      </c>
      <c r="BN24" s="36" t="str">
        <f>IFERROR(INDEX($AP$11:$AP$4010,MATCH($S$8&amp;"|"&amp;12,$BA$11:$BA$4010,0)),"")</f>
        <v/>
      </c>
      <c r="BO24" s="36" t="str">
        <f>IFERROR(INDEX($AQ$11:$AQ$4010,MATCH($S$8&amp;"|"&amp;12,$BA$11:$BA$4010,0)),"")</f>
        <v/>
      </c>
      <c r="BP24" s="37" t="str">
        <f>IFERROR(INDEX($AN$11:$AN$4010,MATCH($S$8&amp;"|"&amp;12,$BA$11:$BA$4010,0)),"")</f>
        <v/>
      </c>
      <c r="BQ24" s="37" t="str">
        <f>IFERROR(INDEX($AO$11:$AO$4010,MATCH($S$8&amp;"|"&amp;12,$BA$11:$BA$4010,0)),"")</f>
        <v/>
      </c>
    </row>
    <row r="25" spans="2:69" ht="13.5" customHeight="1" x14ac:dyDescent="0.25">
      <c r="B25" s="5" t="str">
        <f t="shared" si="0"/>
        <v/>
      </c>
      <c r="C25" s="5"/>
      <c r="D25" s="5"/>
      <c r="E25" s="5"/>
      <c r="F25" s="6"/>
      <c r="G25" s="6"/>
      <c r="H25" s="7"/>
      <c r="I25" s="8"/>
      <c r="K25" s="9" t="str">
        <f>IFERROR(INDEX($AL$11:$AL$4010,MATCH(15,$AX$11:$AX$4010,0)),"")</f>
        <v/>
      </c>
      <c r="L25" s="10" t="str">
        <f t="shared" si="1"/>
        <v/>
      </c>
      <c r="M25" s="11" t="str">
        <f t="shared" si="2"/>
        <v/>
      </c>
      <c r="N25" s="11" t="str">
        <f t="shared" si="3"/>
        <v/>
      </c>
      <c r="P25" s="12" t="str">
        <f>IFERROR(INDEX($AM$11:$AM$4010,MATCH($S$8&amp;"|"&amp;15,$BA$11:$BA$4010,0)),"")</f>
        <v/>
      </c>
      <c r="Q25" s="11" t="str">
        <f>IF(P25="","",IFERROR(INDEX($AN$11:$AN$4010,MATCH($S$8&amp;"|"&amp;15,$BA$11:$BA$4010,0)),""))</f>
        <v/>
      </c>
      <c r="R25" s="11" t="str">
        <f>IF(P25="","",IFERROR(INDEX($AO$11:$AO$4010,MATCH($S$8&amp;"|"&amp;15,$BA$11:$BA$4010,0)),""))</f>
        <v/>
      </c>
      <c r="S25" s="10" t="str">
        <f>IF(P25="","",IFERROR(INDEX($AP$11:$AP$4010,MATCH($S$8&amp;"|"&amp;15,$BA$11:$BA$4010,0)),""))</f>
        <v/>
      </c>
      <c r="T25" s="10" t="str">
        <f>IF(P25="","",IFERROR(INDEX($AQ$11:$AQ$4010,MATCH($S$8&amp;"|"&amp;15,$BA$11:$BA$4010,0)),""))</f>
        <v/>
      </c>
      <c r="U25" s="39" t="str">
        <f t="shared" si="4"/>
        <v/>
      </c>
      <c r="W25" s="14" t="str">
        <f>IF(X25="","",IFERROR(INDEX($AL$11:$AL$4010,MATCH(15,$AY$11:$AY$4010,0)),""))</f>
        <v/>
      </c>
      <c r="X25" s="12" t="str">
        <f>IFERROR(INDEX($AM$11:$AM$4010,MATCH(15,$AY$11:$AY$4010,0)),"")</f>
        <v/>
      </c>
      <c r="Y25" s="11" t="str">
        <f>IF(X25="","",IFERROR(INDEX($AN$11:$AN$4010,MATCH(15,$AY$11:$AY$4010,0)),""))</f>
        <v/>
      </c>
      <c r="Z25" s="11" t="str">
        <f>IF(X25="","",IFERROR(INDEX($AO$11:$AO$4010,MATCH(15,$AY$11:$AY$4010,0)),""))</f>
        <v/>
      </c>
      <c r="AA25" s="10" t="str">
        <f>IF(X25="","",IFERROR(INDEX($AQ$11:$AQ$4010,MATCH(15,$AY$11:$AY$4010,0)),""))</f>
        <v/>
      </c>
      <c r="AB25" s="15" t="str">
        <f>IF(X25="","",IFERROR(INDEX($AR$11:$AR$4010,MATCH(15,$AY$11:$AY$4010,0)),""))</f>
        <v/>
      </c>
      <c r="AD25" s="16" t="str">
        <f>IF(AE25="","",IFERROR(INDEX($AL$11:$AL$4010,MATCH(15,$AZ$11:$AZ$4010,0)),""))</f>
        <v/>
      </c>
      <c r="AE25" s="12" t="str">
        <f>IFERROR(INDEX($AM$11:$AM$4010,MATCH(15,$AZ$11:$AZ$4010,0)),"")</f>
        <v/>
      </c>
      <c r="AF25" s="11" t="str">
        <f>IF(AE25="","",IFERROR(INDEX($AN$11:$AN$4010,MATCH(15,$AZ$11:$AZ$4010,0)),""))</f>
        <v/>
      </c>
      <c r="AG25" s="11" t="str">
        <f>IF(AE25="","",IFERROR(INDEX($AO$11:$AO$4010,MATCH(15,$AZ$11:$AZ$4010,0)),""))</f>
        <v/>
      </c>
      <c r="AH25" s="10" t="str">
        <f>IF(AE25="","",IFERROR(INDEX($AQ$11:$AQ$4010,MATCH(15,$AZ$11:$AZ$4010,0)),""))</f>
        <v/>
      </c>
      <c r="AI25" s="15" t="str">
        <f>IF(AE25="","",IFERROR(INDEX($AR$11:$AR$4010,MATCH(15,$AZ$11:$AZ$4010,0)),""))</f>
        <v/>
      </c>
      <c r="AJ25" s="15" t="str">
        <f>IF(AE25="","",IFERROR(INDEX($AT$11:$AT$4010,MATCH(15,$AZ$11:$AZ$4010,0)),""))</f>
        <v/>
      </c>
      <c r="AL25" s="17" t="str">
        <f t="shared" si="5"/>
        <v/>
      </c>
      <c r="AM25" s="12" t="str">
        <f t="shared" si="6"/>
        <v/>
      </c>
      <c r="AN25" s="18" t="str">
        <f t="shared" si="7"/>
        <v/>
      </c>
      <c r="AO25" s="18" t="str">
        <f t="shared" si="8"/>
        <v/>
      </c>
      <c r="AP25" s="10" t="str">
        <f t="shared" si="9"/>
        <v/>
      </c>
      <c r="AQ25" s="10" t="str">
        <f t="shared" si="10"/>
        <v/>
      </c>
      <c r="AR25" s="19" t="str">
        <f t="shared" si="11"/>
        <v/>
      </c>
      <c r="AS25" s="20"/>
      <c r="AT25" s="19"/>
      <c r="AV25" s="21">
        <f>IF(AND($AL25&lt;&gt;"",COUNTIF($AL$11:$AL25,$AL25)=1),1,0)</f>
        <v>0</v>
      </c>
      <c r="AW25" s="21">
        <f t="shared" si="13"/>
        <v>0</v>
      </c>
      <c r="AX25" s="21" t="str">
        <f t="shared" si="12"/>
        <v/>
      </c>
      <c r="AY25" s="21" t="str">
        <f>IF(AND($AM25&lt;&gt;"",$AS25&lt;&gt;"✓"),SUMPRODUCT(($AM$11:$AM25&lt;&gt;"")*($AS$11:$AS25&lt;&gt;"✓")),"")</f>
        <v/>
      </c>
      <c r="AZ25" s="21" t="str">
        <f>IF(AND($AM25&lt;&gt;"",$AS25="✓"),SUMPRODUCT(($AM$11:$AM25&lt;&gt;"")*($AS$11:$AS25="✓")),"")</f>
        <v/>
      </c>
      <c r="BA25" s="21" t="str">
        <f>IF($AL25="","",$AL25&amp;"|"&amp;COUNTIF($AL$11:$AL25,$AL25))</f>
        <v/>
      </c>
      <c r="BD25" s="36" t="str">
        <f>IF(IFERROR(INDEX($AM$11:$AM$4010,MATCH($S$8&amp;"|"&amp;13,$BA$11:$BA$4010,0)),"")="","",13)</f>
        <v/>
      </c>
      <c r="BE25" s="36" t="str">
        <f>IFERROR(INDEX($AM$11:$AM$4010,MATCH($S$8&amp;"|"&amp;13,$BA$11:$BA$4010,0)),"")</f>
        <v/>
      </c>
      <c r="BF25" s="36" t="str">
        <f>IFERROR(INDEX($AP$11:$AP$4010,MATCH($S$8&amp;"|"&amp;13,$BA$11:$BA$4010,0)),"")</f>
        <v/>
      </c>
      <c r="BG25" s="36" t="str">
        <f>IFERROR(INDEX($AQ$11:$AQ$4010,MATCH($S$8&amp;"|"&amp;13,$BA$11:$BA$4010,0)),"")</f>
        <v/>
      </c>
      <c r="BH25" s="37" t="str">
        <f>IFERROR(INDEX($AN$11:$AN$4010,MATCH($S$8&amp;"|"&amp;13,$BA$11:$BA$4010,0)),"")</f>
        <v/>
      </c>
      <c r="BI25" s="37" t="str">
        <f>IFERROR(INDEX($AO$11:$AO$4010,MATCH($S$8&amp;"|"&amp;13,$BA$11:$BA$4010,0)),"")</f>
        <v/>
      </c>
      <c r="BL25" s="36" t="str">
        <f>IF(IFERROR(INDEX($AM$11:$AM$4010,MATCH($S$8&amp;"|"&amp;13,$BA$11:$BA$4010,0)),"")="","",13)</f>
        <v/>
      </c>
      <c r="BM25" s="36" t="str">
        <f>IFERROR(INDEX($AM$11:$AM$4010,MATCH($S$8&amp;"|"&amp;13,$BA$11:$BA$4010,0)),"")</f>
        <v/>
      </c>
      <c r="BN25" s="36" t="str">
        <f>IFERROR(INDEX($AP$11:$AP$4010,MATCH($S$8&amp;"|"&amp;13,$BA$11:$BA$4010,0)),"")</f>
        <v/>
      </c>
      <c r="BO25" s="36" t="str">
        <f>IFERROR(INDEX($AQ$11:$AQ$4010,MATCH($S$8&amp;"|"&amp;13,$BA$11:$BA$4010,0)),"")</f>
        <v/>
      </c>
      <c r="BP25" s="37" t="str">
        <f>IFERROR(INDEX($AN$11:$AN$4010,MATCH($S$8&amp;"|"&amp;13,$BA$11:$BA$4010,0)),"")</f>
        <v/>
      </c>
      <c r="BQ25" s="37" t="str">
        <f>IFERROR(INDEX($AO$11:$AO$4010,MATCH($S$8&amp;"|"&amp;13,$BA$11:$BA$4010,0)),"")</f>
        <v/>
      </c>
    </row>
    <row r="26" spans="2:69" ht="13.5" customHeight="1" x14ac:dyDescent="0.25">
      <c r="B26" s="5" t="str">
        <f t="shared" si="0"/>
        <v/>
      </c>
      <c r="C26" s="5"/>
      <c r="D26" s="5"/>
      <c r="E26" s="5"/>
      <c r="F26" s="6"/>
      <c r="G26" s="6"/>
      <c r="H26" s="7"/>
      <c r="I26" s="8"/>
      <c r="K26" s="23" t="str">
        <f>IFERROR(INDEX($AL$11:$AL$4010,MATCH(16,$AX$11:$AX$4010,0)),"")</f>
        <v/>
      </c>
      <c r="L26" s="24" t="str">
        <f t="shared" si="1"/>
        <v/>
      </c>
      <c r="M26" s="25" t="str">
        <f t="shared" si="2"/>
        <v/>
      </c>
      <c r="N26" s="25" t="str">
        <f t="shared" si="3"/>
        <v/>
      </c>
      <c r="P26" s="26" t="str">
        <f>IFERROR(INDEX($AM$11:$AM$4010,MATCH($S$8&amp;"|"&amp;16,$BA$11:$BA$4010,0)),"")</f>
        <v/>
      </c>
      <c r="Q26" s="25" t="str">
        <f>IF(P26="","",IFERROR(INDEX($AN$11:$AN$4010,MATCH($S$8&amp;"|"&amp;16,$BA$11:$BA$4010,0)),""))</f>
        <v/>
      </c>
      <c r="R26" s="25" t="str">
        <f>IF(P26="","",IFERROR(INDEX($AO$11:$AO$4010,MATCH($S$8&amp;"|"&amp;16,$BA$11:$BA$4010,0)),""))</f>
        <v/>
      </c>
      <c r="S26" s="24" t="str">
        <f>IF(P26="","",IFERROR(INDEX($AP$11:$AP$4010,MATCH($S$8&amp;"|"&amp;16,$BA$11:$BA$4010,0)),""))</f>
        <v/>
      </c>
      <c r="T26" s="24" t="str">
        <f>IF(P26="","",IFERROR(INDEX($AQ$11:$AQ$4010,MATCH($S$8&amp;"|"&amp;16,$BA$11:$BA$4010,0)),""))</f>
        <v/>
      </c>
      <c r="U26" s="38" t="str">
        <f t="shared" si="4"/>
        <v/>
      </c>
      <c r="W26" s="28" t="str">
        <f>IF(X26="","",IFERROR(INDEX($AL$11:$AL$4010,MATCH(16,$AY$11:$AY$4010,0)),""))</f>
        <v/>
      </c>
      <c r="X26" s="26" t="str">
        <f>IFERROR(INDEX($AM$11:$AM$4010,MATCH(16,$AY$11:$AY$4010,0)),"")</f>
        <v/>
      </c>
      <c r="Y26" s="25" t="str">
        <f>IF(X26="","",IFERROR(INDEX($AN$11:$AN$4010,MATCH(16,$AY$11:$AY$4010,0)),""))</f>
        <v/>
      </c>
      <c r="Z26" s="25" t="str">
        <f>IF(X26="","",IFERROR(INDEX($AO$11:$AO$4010,MATCH(16,$AY$11:$AY$4010,0)),""))</f>
        <v/>
      </c>
      <c r="AA26" s="24" t="str">
        <f>IF(X26="","",IFERROR(INDEX($AQ$11:$AQ$4010,MATCH(16,$AY$11:$AY$4010,0)),""))</f>
        <v/>
      </c>
      <c r="AB26" s="29" t="str">
        <f>IF(X26="","",IFERROR(INDEX($AR$11:$AR$4010,MATCH(16,$AY$11:$AY$4010,0)),""))</f>
        <v/>
      </c>
      <c r="AD26" s="30" t="str">
        <f>IF(AE26="","",IFERROR(INDEX($AL$11:$AL$4010,MATCH(16,$AZ$11:$AZ$4010,0)),""))</f>
        <v/>
      </c>
      <c r="AE26" s="26" t="str">
        <f>IFERROR(INDEX($AM$11:$AM$4010,MATCH(16,$AZ$11:$AZ$4010,0)),"")</f>
        <v/>
      </c>
      <c r="AF26" s="25" t="str">
        <f>IF(AE26="","",IFERROR(INDEX($AN$11:$AN$4010,MATCH(16,$AZ$11:$AZ$4010,0)),""))</f>
        <v/>
      </c>
      <c r="AG26" s="25" t="str">
        <f>IF(AE26="","",IFERROR(INDEX($AO$11:$AO$4010,MATCH(16,$AZ$11:$AZ$4010,0)),""))</f>
        <v/>
      </c>
      <c r="AH26" s="24" t="str">
        <f>IF(AE26="","",IFERROR(INDEX($AQ$11:$AQ$4010,MATCH(16,$AZ$11:$AZ$4010,0)),""))</f>
        <v/>
      </c>
      <c r="AI26" s="29" t="str">
        <f>IF(AE26="","",IFERROR(INDEX($AR$11:$AR$4010,MATCH(16,$AZ$11:$AZ$4010,0)),""))</f>
        <v/>
      </c>
      <c r="AJ26" s="29" t="str">
        <f>IF(AE26="","",IFERROR(INDEX($AT$11:$AT$4010,MATCH(16,$AZ$11:$AZ$4010,0)),""))</f>
        <v/>
      </c>
      <c r="AL26" s="31" t="str">
        <f t="shared" si="5"/>
        <v/>
      </c>
      <c r="AM26" s="26" t="str">
        <f t="shared" si="6"/>
        <v/>
      </c>
      <c r="AN26" s="32" t="str">
        <f t="shared" si="7"/>
        <v/>
      </c>
      <c r="AO26" s="32" t="str">
        <f t="shared" si="8"/>
        <v/>
      </c>
      <c r="AP26" s="24" t="str">
        <f t="shared" si="9"/>
        <v/>
      </c>
      <c r="AQ26" s="24" t="str">
        <f t="shared" si="10"/>
        <v/>
      </c>
      <c r="AR26" s="33" t="str">
        <f t="shared" si="11"/>
        <v/>
      </c>
      <c r="AS26" s="34"/>
      <c r="AT26" s="33"/>
      <c r="AV26" s="21">
        <f>IF(AND($AL26&lt;&gt;"",COUNTIF($AL$11:$AL26,$AL26)=1),1,0)</f>
        <v>0</v>
      </c>
      <c r="AW26" s="21">
        <f t="shared" si="13"/>
        <v>0</v>
      </c>
      <c r="AX26" s="21" t="str">
        <f t="shared" si="12"/>
        <v/>
      </c>
      <c r="AY26" s="21" t="str">
        <f>IF(AND($AM26&lt;&gt;"",$AS26&lt;&gt;"✓"),SUMPRODUCT(($AM$11:$AM26&lt;&gt;"")*($AS$11:$AS26&lt;&gt;"✓")),"")</f>
        <v/>
      </c>
      <c r="AZ26" s="21" t="str">
        <f>IF(AND($AM26&lt;&gt;"",$AS26="✓"),SUMPRODUCT(($AM$11:$AM26&lt;&gt;"")*($AS$11:$AS26="✓")),"")</f>
        <v/>
      </c>
      <c r="BA26" s="21" t="str">
        <f>IF($AL26="","",$AL26&amp;"|"&amp;COUNTIF($AL$11:$AL26,$AL26))</f>
        <v/>
      </c>
      <c r="BD26" s="36" t="str">
        <f>IF(IFERROR(INDEX($AM$11:$AM$4010,MATCH($S$8&amp;"|"&amp;14,$BA$11:$BA$4010,0)),"")="","",14)</f>
        <v/>
      </c>
      <c r="BE26" s="36" t="str">
        <f>IFERROR(INDEX($AM$11:$AM$4010,MATCH($S$8&amp;"|"&amp;14,$BA$11:$BA$4010,0)),"")</f>
        <v/>
      </c>
      <c r="BF26" s="36" t="str">
        <f>IFERROR(INDEX($AP$11:$AP$4010,MATCH($S$8&amp;"|"&amp;14,$BA$11:$BA$4010,0)),"")</f>
        <v/>
      </c>
      <c r="BG26" s="36" t="str">
        <f>IFERROR(INDEX($AQ$11:$AQ$4010,MATCH($S$8&amp;"|"&amp;14,$BA$11:$BA$4010,0)),"")</f>
        <v/>
      </c>
      <c r="BH26" s="37" t="str">
        <f>IFERROR(INDEX($AN$11:$AN$4010,MATCH($S$8&amp;"|"&amp;14,$BA$11:$BA$4010,0)),"")</f>
        <v/>
      </c>
      <c r="BI26" s="37" t="str">
        <f>IFERROR(INDEX($AO$11:$AO$4010,MATCH($S$8&amp;"|"&amp;14,$BA$11:$BA$4010,0)),"")</f>
        <v/>
      </c>
      <c r="BL26" s="36" t="str">
        <f>IF(IFERROR(INDEX($AM$11:$AM$4010,MATCH($S$8&amp;"|"&amp;14,$BA$11:$BA$4010,0)),"")="","",14)</f>
        <v/>
      </c>
      <c r="BM26" s="36" t="str">
        <f>IFERROR(INDEX($AM$11:$AM$4010,MATCH($S$8&amp;"|"&amp;14,$BA$11:$BA$4010,0)),"")</f>
        <v/>
      </c>
      <c r="BN26" s="36" t="str">
        <f>IFERROR(INDEX($AP$11:$AP$4010,MATCH($S$8&amp;"|"&amp;14,$BA$11:$BA$4010,0)),"")</f>
        <v/>
      </c>
      <c r="BO26" s="36" t="str">
        <f>IFERROR(INDEX($AQ$11:$AQ$4010,MATCH($S$8&amp;"|"&amp;14,$BA$11:$BA$4010,0)),"")</f>
        <v/>
      </c>
      <c r="BP26" s="37" t="str">
        <f>IFERROR(INDEX($AN$11:$AN$4010,MATCH($S$8&amp;"|"&amp;14,$BA$11:$BA$4010,0)),"")</f>
        <v/>
      </c>
      <c r="BQ26" s="37" t="str">
        <f>IFERROR(INDEX($AO$11:$AO$4010,MATCH($S$8&amp;"|"&amp;14,$BA$11:$BA$4010,0)),"")</f>
        <v/>
      </c>
    </row>
    <row r="27" spans="2:69" ht="13.5" customHeight="1" x14ac:dyDescent="0.25">
      <c r="B27" s="5" t="str">
        <f t="shared" si="0"/>
        <v/>
      </c>
      <c r="C27" s="5"/>
      <c r="D27" s="5"/>
      <c r="E27" s="5"/>
      <c r="F27" s="6"/>
      <c r="G27" s="6"/>
      <c r="H27" s="7"/>
      <c r="I27" s="8"/>
      <c r="K27" s="9" t="str">
        <f>IFERROR(INDEX($AL$11:$AL$4010,MATCH(17,$AX$11:$AX$4010,0)),"")</f>
        <v/>
      </c>
      <c r="L27" s="10" t="str">
        <f t="shared" si="1"/>
        <v/>
      </c>
      <c r="M27" s="11" t="str">
        <f t="shared" si="2"/>
        <v/>
      </c>
      <c r="N27" s="11" t="str">
        <f t="shared" si="3"/>
        <v/>
      </c>
      <c r="P27" s="12" t="str">
        <f>IFERROR(INDEX($AM$11:$AM$4010,MATCH($S$8&amp;"|"&amp;17,$BA$11:$BA$4010,0)),"")</f>
        <v/>
      </c>
      <c r="Q27" s="11" t="str">
        <f>IF(P27="","",IFERROR(INDEX($AN$11:$AN$4010,MATCH($S$8&amp;"|"&amp;17,$BA$11:$BA$4010,0)),""))</f>
        <v/>
      </c>
      <c r="R27" s="11" t="str">
        <f>IF(P27="","",IFERROR(INDEX($AO$11:$AO$4010,MATCH($S$8&amp;"|"&amp;17,$BA$11:$BA$4010,0)),""))</f>
        <v/>
      </c>
      <c r="S27" s="10" t="str">
        <f>IF(P27="","",IFERROR(INDEX($AP$11:$AP$4010,MATCH($S$8&amp;"|"&amp;17,$BA$11:$BA$4010,0)),""))</f>
        <v/>
      </c>
      <c r="T27" s="10" t="str">
        <f>IF(P27="","",IFERROR(INDEX($AQ$11:$AQ$4010,MATCH($S$8&amp;"|"&amp;17,$BA$11:$BA$4010,0)),""))</f>
        <v/>
      </c>
      <c r="U27" s="39" t="str">
        <f t="shared" si="4"/>
        <v/>
      </c>
      <c r="W27" s="14" t="str">
        <f>IF(X27="","",IFERROR(INDEX($AL$11:$AL$4010,MATCH(17,$AY$11:$AY$4010,0)),""))</f>
        <v/>
      </c>
      <c r="X27" s="12" t="str">
        <f>IFERROR(INDEX($AM$11:$AM$4010,MATCH(17,$AY$11:$AY$4010,0)),"")</f>
        <v/>
      </c>
      <c r="Y27" s="11" t="str">
        <f>IF(X27="","",IFERROR(INDEX($AN$11:$AN$4010,MATCH(17,$AY$11:$AY$4010,0)),""))</f>
        <v/>
      </c>
      <c r="Z27" s="11" t="str">
        <f>IF(X27="","",IFERROR(INDEX($AO$11:$AO$4010,MATCH(17,$AY$11:$AY$4010,0)),""))</f>
        <v/>
      </c>
      <c r="AA27" s="10" t="str">
        <f>IF(X27="","",IFERROR(INDEX($AQ$11:$AQ$4010,MATCH(17,$AY$11:$AY$4010,0)),""))</f>
        <v/>
      </c>
      <c r="AB27" s="15" t="str">
        <f>IF(X27="","",IFERROR(INDEX($AR$11:$AR$4010,MATCH(17,$AY$11:$AY$4010,0)),""))</f>
        <v/>
      </c>
      <c r="AD27" s="16" t="str">
        <f>IF(AE27="","",IFERROR(INDEX($AL$11:$AL$4010,MATCH(17,$AZ$11:$AZ$4010,0)),""))</f>
        <v/>
      </c>
      <c r="AE27" s="12" t="str">
        <f>IFERROR(INDEX($AM$11:$AM$4010,MATCH(17,$AZ$11:$AZ$4010,0)),"")</f>
        <v/>
      </c>
      <c r="AF27" s="11" t="str">
        <f>IF(AE27="","",IFERROR(INDEX($AN$11:$AN$4010,MATCH(17,$AZ$11:$AZ$4010,0)),""))</f>
        <v/>
      </c>
      <c r="AG27" s="11" t="str">
        <f>IF(AE27="","",IFERROR(INDEX($AO$11:$AO$4010,MATCH(17,$AZ$11:$AZ$4010,0)),""))</f>
        <v/>
      </c>
      <c r="AH27" s="10" t="str">
        <f>IF(AE27="","",IFERROR(INDEX($AQ$11:$AQ$4010,MATCH(17,$AZ$11:$AZ$4010,0)),""))</f>
        <v/>
      </c>
      <c r="AI27" s="15" t="str">
        <f>IF(AE27="","",IFERROR(INDEX($AR$11:$AR$4010,MATCH(17,$AZ$11:$AZ$4010,0)),""))</f>
        <v/>
      </c>
      <c r="AJ27" s="15" t="str">
        <f>IF(AE27="","",IFERROR(INDEX($AT$11:$AT$4010,MATCH(17,$AZ$11:$AZ$4010,0)),""))</f>
        <v/>
      </c>
      <c r="AL27" s="17" t="str">
        <f t="shared" si="5"/>
        <v/>
      </c>
      <c r="AM27" s="12" t="str">
        <f t="shared" si="6"/>
        <v/>
      </c>
      <c r="AN27" s="18" t="str">
        <f t="shared" si="7"/>
        <v/>
      </c>
      <c r="AO27" s="18" t="str">
        <f t="shared" si="8"/>
        <v/>
      </c>
      <c r="AP27" s="10" t="str">
        <f t="shared" si="9"/>
        <v/>
      </c>
      <c r="AQ27" s="10" t="str">
        <f t="shared" si="10"/>
        <v/>
      </c>
      <c r="AR27" s="19" t="str">
        <f t="shared" si="11"/>
        <v/>
      </c>
      <c r="AS27" s="20"/>
      <c r="AT27" s="19"/>
      <c r="AV27" s="21">
        <f>IF(AND($AL27&lt;&gt;"",COUNTIF($AL$11:$AL27,$AL27)=1),1,0)</f>
        <v>0</v>
      </c>
      <c r="AW27" s="21">
        <f t="shared" si="13"/>
        <v>0</v>
      </c>
      <c r="AX27" s="21" t="str">
        <f t="shared" si="12"/>
        <v/>
      </c>
      <c r="AY27" s="21" t="str">
        <f>IF(AND($AM27&lt;&gt;"",$AS27&lt;&gt;"✓"),SUMPRODUCT(($AM$11:$AM27&lt;&gt;"")*($AS$11:$AS27&lt;&gt;"✓")),"")</f>
        <v/>
      </c>
      <c r="AZ27" s="21" t="str">
        <f>IF(AND($AM27&lt;&gt;"",$AS27="✓"),SUMPRODUCT(($AM$11:$AM27&lt;&gt;"")*($AS$11:$AS27="✓")),"")</f>
        <v/>
      </c>
      <c r="BA27" s="21" t="str">
        <f>IF($AL27="","",$AL27&amp;"|"&amp;COUNTIF($AL$11:$AL27,$AL27))</f>
        <v/>
      </c>
      <c r="BD27" s="36" t="str">
        <f>IF(IFERROR(INDEX($AM$11:$AM$4010,MATCH($S$8&amp;"|"&amp;15,$BA$11:$BA$4010,0)),"")="","",15)</f>
        <v/>
      </c>
      <c r="BE27" s="36" t="str">
        <f>IFERROR(INDEX($AM$11:$AM$4010,MATCH($S$8&amp;"|"&amp;15,$BA$11:$BA$4010,0)),"")</f>
        <v/>
      </c>
      <c r="BF27" s="36" t="str">
        <f>IFERROR(INDEX($AP$11:$AP$4010,MATCH($S$8&amp;"|"&amp;15,$BA$11:$BA$4010,0)),"")</f>
        <v/>
      </c>
      <c r="BG27" s="36" t="str">
        <f>IFERROR(INDEX($AQ$11:$AQ$4010,MATCH($S$8&amp;"|"&amp;15,$BA$11:$BA$4010,0)),"")</f>
        <v/>
      </c>
      <c r="BH27" s="37" t="str">
        <f>IFERROR(INDEX($AN$11:$AN$4010,MATCH($S$8&amp;"|"&amp;15,$BA$11:$BA$4010,0)),"")</f>
        <v/>
      </c>
      <c r="BI27" s="37" t="str">
        <f>IFERROR(INDEX($AO$11:$AO$4010,MATCH($S$8&amp;"|"&amp;15,$BA$11:$BA$4010,0)),"")</f>
        <v/>
      </c>
      <c r="BL27" s="36" t="str">
        <f>IF(IFERROR(INDEX($AM$11:$AM$4010,MATCH($S$8&amp;"|"&amp;15,$BA$11:$BA$4010,0)),"")="","",15)</f>
        <v/>
      </c>
      <c r="BM27" s="36" t="str">
        <f>IFERROR(INDEX($AM$11:$AM$4010,MATCH($S$8&amp;"|"&amp;15,$BA$11:$BA$4010,0)),"")</f>
        <v/>
      </c>
      <c r="BN27" s="36" t="str">
        <f>IFERROR(INDEX($AP$11:$AP$4010,MATCH($S$8&amp;"|"&amp;15,$BA$11:$BA$4010,0)),"")</f>
        <v/>
      </c>
      <c r="BO27" s="36" t="str">
        <f>IFERROR(INDEX($AQ$11:$AQ$4010,MATCH($S$8&amp;"|"&amp;15,$BA$11:$BA$4010,0)),"")</f>
        <v/>
      </c>
      <c r="BP27" s="37" t="str">
        <f>IFERROR(INDEX($AN$11:$AN$4010,MATCH($S$8&amp;"|"&amp;15,$BA$11:$BA$4010,0)),"")</f>
        <v/>
      </c>
      <c r="BQ27" s="37" t="str">
        <f>IFERROR(INDEX($AO$11:$AO$4010,MATCH($S$8&amp;"|"&amp;15,$BA$11:$BA$4010,0)),"")</f>
        <v/>
      </c>
    </row>
    <row r="28" spans="2:69" ht="13.5" customHeight="1" x14ac:dyDescent="0.25">
      <c r="B28" s="5" t="str">
        <f t="shared" si="0"/>
        <v/>
      </c>
      <c r="C28" s="5"/>
      <c r="D28" s="5"/>
      <c r="E28" s="5"/>
      <c r="F28" s="6"/>
      <c r="G28" s="6"/>
      <c r="H28" s="7"/>
      <c r="I28" s="8"/>
      <c r="K28" s="23" t="str">
        <f>IFERROR(INDEX($AL$11:$AL$4010,MATCH(18,$AX$11:$AX$4010,0)),"")</f>
        <v/>
      </c>
      <c r="L28" s="24" t="str">
        <f t="shared" si="1"/>
        <v/>
      </c>
      <c r="M28" s="25" t="str">
        <f t="shared" si="2"/>
        <v/>
      </c>
      <c r="N28" s="25" t="str">
        <f t="shared" si="3"/>
        <v/>
      </c>
      <c r="P28" s="26" t="str">
        <f>IFERROR(INDEX($AM$11:$AM$4010,MATCH($S$8&amp;"|"&amp;18,$BA$11:$BA$4010,0)),"")</f>
        <v/>
      </c>
      <c r="Q28" s="25" t="str">
        <f>IF(P28="","",IFERROR(INDEX($AN$11:$AN$4010,MATCH($S$8&amp;"|"&amp;18,$BA$11:$BA$4010,0)),""))</f>
        <v/>
      </c>
      <c r="R28" s="25" t="str">
        <f>IF(P28="","",IFERROR(INDEX($AO$11:$AO$4010,MATCH($S$8&amp;"|"&amp;18,$BA$11:$BA$4010,0)),""))</f>
        <v/>
      </c>
      <c r="S28" s="24" t="str">
        <f>IF(P28="","",IFERROR(INDEX($AP$11:$AP$4010,MATCH($S$8&amp;"|"&amp;18,$BA$11:$BA$4010,0)),""))</f>
        <v/>
      </c>
      <c r="T28" s="24" t="str">
        <f>IF(P28="","",IFERROR(INDEX($AQ$11:$AQ$4010,MATCH($S$8&amp;"|"&amp;18,$BA$11:$BA$4010,0)),""))</f>
        <v/>
      </c>
      <c r="U28" s="38" t="str">
        <f t="shared" si="4"/>
        <v/>
      </c>
      <c r="W28" s="28" t="str">
        <f>IF(X28="","",IFERROR(INDEX($AL$11:$AL$4010,MATCH(18,$AY$11:$AY$4010,0)),""))</f>
        <v/>
      </c>
      <c r="X28" s="26" t="str">
        <f>IFERROR(INDEX($AM$11:$AM$4010,MATCH(18,$AY$11:$AY$4010,0)),"")</f>
        <v/>
      </c>
      <c r="Y28" s="25" t="str">
        <f>IF(X28="","",IFERROR(INDEX($AN$11:$AN$4010,MATCH(18,$AY$11:$AY$4010,0)),""))</f>
        <v/>
      </c>
      <c r="Z28" s="25" t="str">
        <f>IF(X28="","",IFERROR(INDEX($AO$11:$AO$4010,MATCH(18,$AY$11:$AY$4010,0)),""))</f>
        <v/>
      </c>
      <c r="AA28" s="24" t="str">
        <f>IF(X28="","",IFERROR(INDEX($AQ$11:$AQ$4010,MATCH(18,$AY$11:$AY$4010,0)),""))</f>
        <v/>
      </c>
      <c r="AB28" s="29" t="str">
        <f>IF(X28="","",IFERROR(INDEX($AR$11:$AR$4010,MATCH(18,$AY$11:$AY$4010,0)),""))</f>
        <v/>
      </c>
      <c r="AD28" s="30" t="str">
        <f>IF(AE28="","",IFERROR(INDEX($AL$11:$AL$4010,MATCH(18,$AZ$11:$AZ$4010,0)),""))</f>
        <v/>
      </c>
      <c r="AE28" s="26" t="str">
        <f>IFERROR(INDEX($AM$11:$AM$4010,MATCH(18,$AZ$11:$AZ$4010,0)),"")</f>
        <v/>
      </c>
      <c r="AF28" s="25" t="str">
        <f>IF(AE28="","",IFERROR(INDEX($AN$11:$AN$4010,MATCH(18,$AZ$11:$AZ$4010,0)),""))</f>
        <v/>
      </c>
      <c r="AG28" s="25" t="str">
        <f>IF(AE28="","",IFERROR(INDEX($AO$11:$AO$4010,MATCH(18,$AZ$11:$AZ$4010,0)),""))</f>
        <v/>
      </c>
      <c r="AH28" s="24" t="str">
        <f>IF(AE28="","",IFERROR(INDEX($AQ$11:$AQ$4010,MATCH(18,$AZ$11:$AZ$4010,0)),""))</f>
        <v/>
      </c>
      <c r="AI28" s="29" t="str">
        <f>IF(AE28="","",IFERROR(INDEX($AR$11:$AR$4010,MATCH(18,$AZ$11:$AZ$4010,0)),""))</f>
        <v/>
      </c>
      <c r="AJ28" s="29" t="str">
        <f>IF(AE28="","",IFERROR(INDEX($AT$11:$AT$4010,MATCH(18,$AZ$11:$AZ$4010,0)),""))</f>
        <v/>
      </c>
      <c r="AL28" s="31" t="str">
        <f t="shared" si="5"/>
        <v/>
      </c>
      <c r="AM28" s="26" t="str">
        <f t="shared" si="6"/>
        <v/>
      </c>
      <c r="AN28" s="32" t="str">
        <f t="shared" si="7"/>
        <v/>
      </c>
      <c r="AO28" s="32" t="str">
        <f t="shared" si="8"/>
        <v/>
      </c>
      <c r="AP28" s="24" t="str">
        <f t="shared" si="9"/>
        <v/>
      </c>
      <c r="AQ28" s="24" t="str">
        <f t="shared" si="10"/>
        <v/>
      </c>
      <c r="AR28" s="33" t="str">
        <f t="shared" si="11"/>
        <v/>
      </c>
      <c r="AS28" s="34"/>
      <c r="AT28" s="33"/>
      <c r="AV28" s="21">
        <f>IF(AND($AL28&lt;&gt;"",COUNTIF($AL$11:$AL28,$AL28)=1),1,0)</f>
        <v>0</v>
      </c>
      <c r="AW28" s="21">
        <f t="shared" si="13"/>
        <v>0</v>
      </c>
      <c r="AX28" s="21" t="str">
        <f t="shared" si="12"/>
        <v/>
      </c>
      <c r="AY28" s="21" t="str">
        <f>IF(AND($AM28&lt;&gt;"",$AS28&lt;&gt;"✓"),SUMPRODUCT(($AM$11:$AM28&lt;&gt;"")*($AS$11:$AS28&lt;&gt;"✓")),"")</f>
        <v/>
      </c>
      <c r="AZ28" s="21" t="str">
        <f>IF(AND($AM28&lt;&gt;"",$AS28="✓"),SUMPRODUCT(($AM$11:$AM28&lt;&gt;"")*($AS$11:$AS28="✓")),"")</f>
        <v/>
      </c>
      <c r="BA28" s="21" t="str">
        <f>IF($AL28="","",$AL28&amp;"|"&amp;COUNTIF($AL$11:$AL28,$AL28))</f>
        <v/>
      </c>
      <c r="BD28" s="36" t="str">
        <f>IF(IFERROR(INDEX($AM$11:$AM$4010,MATCH($S$8&amp;"|"&amp;16,$BA$11:$BA$4010,0)),"")="","",16)</f>
        <v/>
      </c>
      <c r="BE28" s="36" t="str">
        <f>IFERROR(INDEX($AM$11:$AM$4010,MATCH($S$8&amp;"|"&amp;16,$BA$11:$BA$4010,0)),"")</f>
        <v/>
      </c>
      <c r="BF28" s="36" t="str">
        <f>IFERROR(INDEX($AP$11:$AP$4010,MATCH($S$8&amp;"|"&amp;16,$BA$11:$BA$4010,0)),"")</f>
        <v/>
      </c>
      <c r="BG28" s="36" t="str">
        <f>IFERROR(INDEX($AQ$11:$AQ$4010,MATCH($S$8&amp;"|"&amp;16,$BA$11:$BA$4010,0)),"")</f>
        <v/>
      </c>
      <c r="BH28" s="37" t="str">
        <f>IFERROR(INDEX($AN$11:$AN$4010,MATCH($S$8&amp;"|"&amp;16,$BA$11:$BA$4010,0)),"")</f>
        <v/>
      </c>
      <c r="BI28" s="37" t="str">
        <f>IFERROR(INDEX($AO$11:$AO$4010,MATCH($S$8&amp;"|"&amp;16,$BA$11:$BA$4010,0)),"")</f>
        <v/>
      </c>
      <c r="BL28" s="36" t="str">
        <f>IF(IFERROR(INDEX($AM$11:$AM$4010,MATCH($S$8&amp;"|"&amp;16,$BA$11:$BA$4010,0)),"")="","",16)</f>
        <v/>
      </c>
      <c r="BM28" s="36" t="str">
        <f>IFERROR(INDEX($AM$11:$AM$4010,MATCH($S$8&amp;"|"&amp;16,$BA$11:$BA$4010,0)),"")</f>
        <v/>
      </c>
      <c r="BN28" s="36" t="str">
        <f>IFERROR(INDEX($AP$11:$AP$4010,MATCH($S$8&amp;"|"&amp;16,$BA$11:$BA$4010,0)),"")</f>
        <v/>
      </c>
      <c r="BO28" s="36" t="str">
        <f>IFERROR(INDEX($AQ$11:$AQ$4010,MATCH($S$8&amp;"|"&amp;16,$BA$11:$BA$4010,0)),"")</f>
        <v/>
      </c>
      <c r="BP28" s="37" t="str">
        <f>IFERROR(INDEX($AN$11:$AN$4010,MATCH($S$8&amp;"|"&amp;16,$BA$11:$BA$4010,0)),"")</f>
        <v/>
      </c>
      <c r="BQ28" s="37" t="str">
        <f>IFERROR(INDEX($AO$11:$AO$4010,MATCH($S$8&amp;"|"&amp;16,$BA$11:$BA$4010,0)),"")</f>
        <v/>
      </c>
    </row>
    <row r="29" spans="2:69" ht="13.5" customHeight="1" x14ac:dyDescent="0.25">
      <c r="B29" s="5" t="str">
        <f t="shared" si="0"/>
        <v/>
      </c>
      <c r="C29" s="5"/>
      <c r="D29" s="5"/>
      <c r="E29" s="5"/>
      <c r="F29" s="6"/>
      <c r="G29" s="6"/>
      <c r="H29" s="7"/>
      <c r="I29" s="8"/>
      <c r="K29" s="9" t="str">
        <f>IFERROR(INDEX($AL$11:$AL$4010,MATCH(19,$AX$11:$AX$4010,0)),"")</f>
        <v/>
      </c>
      <c r="L29" s="10" t="str">
        <f t="shared" si="1"/>
        <v/>
      </c>
      <c r="M29" s="11" t="str">
        <f t="shared" si="2"/>
        <v/>
      </c>
      <c r="N29" s="11" t="str">
        <f t="shared" si="3"/>
        <v/>
      </c>
      <c r="P29" s="12" t="str">
        <f>IFERROR(INDEX($AM$11:$AM$4010,MATCH($S$8&amp;"|"&amp;19,$BA$11:$BA$4010,0)),"")</f>
        <v/>
      </c>
      <c r="Q29" s="11" t="str">
        <f>IF(P29="","",IFERROR(INDEX($AN$11:$AN$4010,MATCH($S$8&amp;"|"&amp;19,$BA$11:$BA$4010,0)),""))</f>
        <v/>
      </c>
      <c r="R29" s="11" t="str">
        <f>IF(P29="","",IFERROR(INDEX($AO$11:$AO$4010,MATCH($S$8&amp;"|"&amp;19,$BA$11:$BA$4010,0)),""))</f>
        <v/>
      </c>
      <c r="S29" s="10" t="str">
        <f>IF(P29="","",IFERROR(INDEX($AP$11:$AP$4010,MATCH($S$8&amp;"|"&amp;19,$BA$11:$BA$4010,0)),""))</f>
        <v/>
      </c>
      <c r="T29" s="10" t="str">
        <f>IF(P29="","",IFERROR(INDEX($AQ$11:$AQ$4010,MATCH($S$8&amp;"|"&amp;19,$BA$11:$BA$4010,0)),""))</f>
        <v/>
      </c>
      <c r="U29" s="39" t="str">
        <f t="shared" si="4"/>
        <v/>
      </c>
      <c r="W29" s="14" t="str">
        <f>IF(X29="","",IFERROR(INDEX($AL$11:$AL$4010,MATCH(19,$AY$11:$AY$4010,0)),""))</f>
        <v/>
      </c>
      <c r="X29" s="12" t="str">
        <f>IFERROR(INDEX($AM$11:$AM$4010,MATCH(19,$AY$11:$AY$4010,0)),"")</f>
        <v/>
      </c>
      <c r="Y29" s="11" t="str">
        <f>IF(X29="","",IFERROR(INDEX($AN$11:$AN$4010,MATCH(19,$AY$11:$AY$4010,0)),""))</f>
        <v/>
      </c>
      <c r="Z29" s="11" t="str">
        <f>IF(X29="","",IFERROR(INDEX($AO$11:$AO$4010,MATCH(19,$AY$11:$AY$4010,0)),""))</f>
        <v/>
      </c>
      <c r="AA29" s="10" t="str">
        <f>IF(X29="","",IFERROR(INDEX($AQ$11:$AQ$4010,MATCH(19,$AY$11:$AY$4010,0)),""))</f>
        <v/>
      </c>
      <c r="AB29" s="15" t="str">
        <f>IF(X29="","",IFERROR(INDEX($AR$11:$AR$4010,MATCH(19,$AY$11:$AY$4010,0)),""))</f>
        <v/>
      </c>
      <c r="AD29" s="16" t="str">
        <f>IF(AE29="","",IFERROR(INDEX($AL$11:$AL$4010,MATCH(19,$AZ$11:$AZ$4010,0)),""))</f>
        <v/>
      </c>
      <c r="AE29" s="12" t="str">
        <f>IFERROR(INDEX($AM$11:$AM$4010,MATCH(19,$AZ$11:$AZ$4010,0)),"")</f>
        <v/>
      </c>
      <c r="AF29" s="11" t="str">
        <f>IF(AE29="","",IFERROR(INDEX($AN$11:$AN$4010,MATCH(19,$AZ$11:$AZ$4010,0)),""))</f>
        <v/>
      </c>
      <c r="AG29" s="11" t="str">
        <f>IF(AE29="","",IFERROR(INDEX($AO$11:$AO$4010,MATCH(19,$AZ$11:$AZ$4010,0)),""))</f>
        <v/>
      </c>
      <c r="AH29" s="10" t="str">
        <f>IF(AE29="","",IFERROR(INDEX($AQ$11:$AQ$4010,MATCH(19,$AZ$11:$AZ$4010,0)),""))</f>
        <v/>
      </c>
      <c r="AI29" s="15" t="str">
        <f>IF(AE29="","",IFERROR(INDEX($AR$11:$AR$4010,MATCH(19,$AZ$11:$AZ$4010,0)),""))</f>
        <v/>
      </c>
      <c r="AJ29" s="15" t="str">
        <f>IF(AE29="","",IFERROR(INDEX($AT$11:$AT$4010,MATCH(19,$AZ$11:$AZ$4010,0)),""))</f>
        <v/>
      </c>
      <c r="AL29" s="17" t="str">
        <f t="shared" si="5"/>
        <v/>
      </c>
      <c r="AM29" s="12" t="str">
        <f t="shared" si="6"/>
        <v/>
      </c>
      <c r="AN29" s="18" t="str">
        <f t="shared" si="7"/>
        <v/>
      </c>
      <c r="AO29" s="18" t="str">
        <f t="shared" si="8"/>
        <v/>
      </c>
      <c r="AP29" s="10" t="str">
        <f t="shared" si="9"/>
        <v/>
      </c>
      <c r="AQ29" s="10" t="str">
        <f t="shared" si="10"/>
        <v/>
      </c>
      <c r="AR29" s="19" t="str">
        <f t="shared" si="11"/>
        <v/>
      </c>
      <c r="AS29" s="20"/>
      <c r="AT29" s="19"/>
      <c r="AV29" s="21">
        <f>IF(AND($AL29&lt;&gt;"",COUNTIF($AL$11:$AL29,$AL29)=1),1,0)</f>
        <v>0</v>
      </c>
      <c r="AW29" s="21">
        <f t="shared" si="13"/>
        <v>0</v>
      </c>
      <c r="AX29" s="21" t="str">
        <f t="shared" si="12"/>
        <v/>
      </c>
      <c r="AY29" s="21" t="str">
        <f>IF(AND($AM29&lt;&gt;"",$AS29&lt;&gt;"✓"),SUMPRODUCT(($AM$11:$AM29&lt;&gt;"")*($AS$11:$AS29&lt;&gt;"✓")),"")</f>
        <v/>
      </c>
      <c r="AZ29" s="21" t="str">
        <f>IF(AND($AM29&lt;&gt;"",$AS29="✓"),SUMPRODUCT(($AM$11:$AM29&lt;&gt;"")*($AS$11:$AS29="✓")),"")</f>
        <v/>
      </c>
      <c r="BA29" s="21" t="str">
        <f>IF($AL29="","",$AL29&amp;"|"&amp;COUNTIF($AL$11:$AL29,$AL29))</f>
        <v/>
      </c>
      <c r="BD29" s="36" t="str">
        <f>IF(IFERROR(INDEX($AM$11:$AM$4010,MATCH($S$8&amp;"|"&amp;17,$BA$11:$BA$4010,0)),"")="","",17)</f>
        <v/>
      </c>
      <c r="BE29" s="36" t="str">
        <f>IFERROR(INDEX($AM$11:$AM$4010,MATCH($S$8&amp;"|"&amp;17,$BA$11:$BA$4010,0)),"")</f>
        <v/>
      </c>
      <c r="BF29" s="36" t="str">
        <f>IFERROR(INDEX($AP$11:$AP$4010,MATCH($S$8&amp;"|"&amp;17,$BA$11:$BA$4010,0)),"")</f>
        <v/>
      </c>
      <c r="BG29" s="36" t="str">
        <f>IFERROR(INDEX($AQ$11:$AQ$4010,MATCH($S$8&amp;"|"&amp;17,$BA$11:$BA$4010,0)),"")</f>
        <v/>
      </c>
      <c r="BH29" s="37" t="str">
        <f>IFERROR(INDEX($AN$11:$AN$4010,MATCH($S$8&amp;"|"&amp;17,$BA$11:$BA$4010,0)),"")</f>
        <v/>
      </c>
      <c r="BI29" s="37" t="str">
        <f>IFERROR(INDEX($AO$11:$AO$4010,MATCH($S$8&amp;"|"&amp;17,$BA$11:$BA$4010,0)),"")</f>
        <v/>
      </c>
      <c r="BL29" s="36" t="str">
        <f>IF(IFERROR(INDEX($AM$11:$AM$4010,MATCH($S$8&amp;"|"&amp;17,$BA$11:$BA$4010,0)),"")="","",17)</f>
        <v/>
      </c>
      <c r="BM29" s="36" t="str">
        <f>IFERROR(INDEX($AM$11:$AM$4010,MATCH($S$8&amp;"|"&amp;17,$BA$11:$BA$4010,0)),"")</f>
        <v/>
      </c>
      <c r="BN29" s="36" t="str">
        <f>IFERROR(INDEX($AP$11:$AP$4010,MATCH($S$8&amp;"|"&amp;17,$BA$11:$BA$4010,0)),"")</f>
        <v/>
      </c>
      <c r="BO29" s="36" t="str">
        <f>IFERROR(INDEX($AQ$11:$AQ$4010,MATCH($S$8&amp;"|"&amp;17,$BA$11:$BA$4010,0)),"")</f>
        <v/>
      </c>
      <c r="BP29" s="37" t="str">
        <f>IFERROR(INDEX($AN$11:$AN$4010,MATCH($S$8&amp;"|"&amp;17,$BA$11:$BA$4010,0)),"")</f>
        <v/>
      </c>
      <c r="BQ29" s="37" t="str">
        <f>IFERROR(INDEX($AO$11:$AO$4010,MATCH($S$8&amp;"|"&amp;17,$BA$11:$BA$4010,0)),"")</f>
        <v/>
      </c>
    </row>
    <row r="30" spans="2:69" ht="13.5" customHeight="1" x14ac:dyDescent="0.25">
      <c r="B30" s="5" t="str">
        <f t="shared" si="0"/>
        <v/>
      </c>
      <c r="C30" s="5"/>
      <c r="D30" s="5"/>
      <c r="E30" s="5"/>
      <c r="F30" s="6"/>
      <c r="G30" s="6"/>
      <c r="H30" s="7"/>
      <c r="I30" s="8"/>
      <c r="K30" s="23" t="str">
        <f>IFERROR(INDEX($AL$11:$AL$4010,MATCH(20,$AX$11:$AX$4010,0)),"")</f>
        <v/>
      </c>
      <c r="L30" s="24" t="str">
        <f t="shared" si="1"/>
        <v/>
      </c>
      <c r="M30" s="25" t="str">
        <f t="shared" si="2"/>
        <v/>
      </c>
      <c r="N30" s="25" t="str">
        <f t="shared" si="3"/>
        <v/>
      </c>
      <c r="P30" s="26" t="str">
        <f>IFERROR(INDEX($AM$11:$AM$4010,MATCH($S$8&amp;"|"&amp;20,$BA$11:$BA$4010,0)),"")</f>
        <v/>
      </c>
      <c r="Q30" s="25" t="str">
        <f>IF(P30="","",IFERROR(INDEX($AN$11:$AN$4010,MATCH($S$8&amp;"|"&amp;20,$BA$11:$BA$4010,0)),""))</f>
        <v/>
      </c>
      <c r="R30" s="25" t="str">
        <f>IF(P30="","",IFERROR(INDEX($AO$11:$AO$4010,MATCH($S$8&amp;"|"&amp;20,$BA$11:$BA$4010,0)),""))</f>
        <v/>
      </c>
      <c r="S30" s="24" t="str">
        <f>IF(P30="","",IFERROR(INDEX($AP$11:$AP$4010,MATCH($S$8&amp;"|"&amp;20,$BA$11:$BA$4010,0)),""))</f>
        <v/>
      </c>
      <c r="T30" s="24" t="str">
        <f>IF(P30="","",IFERROR(INDEX($AQ$11:$AQ$4010,MATCH($S$8&amp;"|"&amp;20,$BA$11:$BA$4010,0)),""))</f>
        <v/>
      </c>
      <c r="U30" s="38" t="str">
        <f t="shared" si="4"/>
        <v/>
      </c>
      <c r="W30" s="28" t="str">
        <f>IF(X30="","",IFERROR(INDEX($AL$11:$AL$4010,MATCH(20,$AY$11:$AY$4010,0)),""))</f>
        <v/>
      </c>
      <c r="X30" s="26" t="str">
        <f>IFERROR(INDEX($AM$11:$AM$4010,MATCH(20,$AY$11:$AY$4010,0)),"")</f>
        <v/>
      </c>
      <c r="Y30" s="25" t="str">
        <f>IF(X30="","",IFERROR(INDEX($AN$11:$AN$4010,MATCH(20,$AY$11:$AY$4010,0)),""))</f>
        <v/>
      </c>
      <c r="Z30" s="25" t="str">
        <f>IF(X30="","",IFERROR(INDEX($AO$11:$AO$4010,MATCH(20,$AY$11:$AY$4010,0)),""))</f>
        <v/>
      </c>
      <c r="AA30" s="24" t="str">
        <f>IF(X30="","",IFERROR(INDEX($AQ$11:$AQ$4010,MATCH(20,$AY$11:$AY$4010,0)),""))</f>
        <v/>
      </c>
      <c r="AB30" s="29" t="str">
        <f>IF(X30="","",IFERROR(INDEX($AR$11:$AR$4010,MATCH(20,$AY$11:$AY$4010,0)),""))</f>
        <v/>
      </c>
      <c r="AD30" s="30" t="str">
        <f>IF(AE30="","",IFERROR(INDEX($AL$11:$AL$4010,MATCH(20,$AZ$11:$AZ$4010,0)),""))</f>
        <v/>
      </c>
      <c r="AE30" s="26" t="str">
        <f>IFERROR(INDEX($AM$11:$AM$4010,MATCH(20,$AZ$11:$AZ$4010,0)),"")</f>
        <v/>
      </c>
      <c r="AF30" s="25" t="str">
        <f>IF(AE30="","",IFERROR(INDEX($AN$11:$AN$4010,MATCH(20,$AZ$11:$AZ$4010,0)),""))</f>
        <v/>
      </c>
      <c r="AG30" s="25" t="str">
        <f>IF(AE30="","",IFERROR(INDEX($AO$11:$AO$4010,MATCH(20,$AZ$11:$AZ$4010,0)),""))</f>
        <v/>
      </c>
      <c r="AH30" s="24" t="str">
        <f>IF(AE30="","",IFERROR(INDEX($AQ$11:$AQ$4010,MATCH(20,$AZ$11:$AZ$4010,0)),""))</f>
        <v/>
      </c>
      <c r="AI30" s="29" t="str">
        <f>IF(AE30="","",IFERROR(INDEX($AR$11:$AR$4010,MATCH(20,$AZ$11:$AZ$4010,0)),""))</f>
        <v/>
      </c>
      <c r="AJ30" s="29" t="str">
        <f>IF(AE30="","",IFERROR(INDEX($AT$11:$AT$4010,MATCH(20,$AZ$11:$AZ$4010,0)),""))</f>
        <v/>
      </c>
      <c r="AL30" s="31" t="str">
        <f t="shared" si="5"/>
        <v/>
      </c>
      <c r="AM30" s="26" t="str">
        <f t="shared" si="6"/>
        <v/>
      </c>
      <c r="AN30" s="32" t="str">
        <f t="shared" si="7"/>
        <v/>
      </c>
      <c r="AO30" s="32" t="str">
        <f t="shared" si="8"/>
        <v/>
      </c>
      <c r="AP30" s="24" t="str">
        <f t="shared" si="9"/>
        <v/>
      </c>
      <c r="AQ30" s="24" t="str">
        <f t="shared" si="10"/>
        <v/>
      </c>
      <c r="AR30" s="33" t="str">
        <f t="shared" si="11"/>
        <v/>
      </c>
      <c r="AS30" s="34"/>
      <c r="AT30" s="33"/>
      <c r="AV30" s="21">
        <f>IF(AND($AL30&lt;&gt;"",COUNTIF($AL$11:$AL30,$AL30)=1),1,0)</f>
        <v>0</v>
      </c>
      <c r="AW30" s="21">
        <f t="shared" si="13"/>
        <v>0</v>
      </c>
      <c r="AX30" s="21" t="str">
        <f t="shared" si="12"/>
        <v/>
      </c>
      <c r="AY30" s="21" t="str">
        <f>IF(AND($AM30&lt;&gt;"",$AS30&lt;&gt;"✓"),SUMPRODUCT(($AM$11:$AM30&lt;&gt;"")*($AS$11:$AS30&lt;&gt;"✓")),"")</f>
        <v/>
      </c>
      <c r="AZ30" s="21" t="str">
        <f>IF(AND($AM30&lt;&gt;"",$AS30="✓"),SUMPRODUCT(($AM$11:$AM30&lt;&gt;"")*($AS$11:$AS30="✓")),"")</f>
        <v/>
      </c>
      <c r="BA30" s="21" t="str">
        <f>IF($AL30="","",$AL30&amp;"|"&amp;COUNTIF($AL$11:$AL30,$AL30))</f>
        <v/>
      </c>
      <c r="BD30" s="36" t="str">
        <f>IF(IFERROR(INDEX($AM$11:$AM$4010,MATCH($S$8&amp;"|"&amp;18,$BA$11:$BA$4010,0)),"")="","",18)</f>
        <v/>
      </c>
      <c r="BE30" s="36" t="str">
        <f>IFERROR(INDEX($AM$11:$AM$4010,MATCH($S$8&amp;"|"&amp;18,$BA$11:$BA$4010,0)),"")</f>
        <v/>
      </c>
      <c r="BF30" s="36" t="str">
        <f>IFERROR(INDEX($AP$11:$AP$4010,MATCH($S$8&amp;"|"&amp;18,$BA$11:$BA$4010,0)),"")</f>
        <v/>
      </c>
      <c r="BG30" s="36" t="str">
        <f>IFERROR(INDEX($AQ$11:$AQ$4010,MATCH($S$8&amp;"|"&amp;18,$BA$11:$BA$4010,0)),"")</f>
        <v/>
      </c>
      <c r="BH30" s="37" t="str">
        <f>IFERROR(INDEX($AN$11:$AN$4010,MATCH($S$8&amp;"|"&amp;18,$BA$11:$BA$4010,0)),"")</f>
        <v/>
      </c>
      <c r="BI30" s="37" t="str">
        <f>IFERROR(INDEX($AO$11:$AO$4010,MATCH($S$8&amp;"|"&amp;18,$BA$11:$BA$4010,0)),"")</f>
        <v/>
      </c>
      <c r="BL30" s="36" t="str">
        <f>IF(IFERROR(INDEX($AM$11:$AM$4010,MATCH($S$8&amp;"|"&amp;18,$BA$11:$BA$4010,0)),"")="","",18)</f>
        <v/>
      </c>
      <c r="BM30" s="36" t="str">
        <f>IFERROR(INDEX($AM$11:$AM$4010,MATCH($S$8&amp;"|"&amp;18,$BA$11:$BA$4010,0)),"")</f>
        <v/>
      </c>
      <c r="BN30" s="36" t="str">
        <f>IFERROR(INDEX($AP$11:$AP$4010,MATCH($S$8&amp;"|"&amp;18,$BA$11:$BA$4010,0)),"")</f>
        <v/>
      </c>
      <c r="BO30" s="36" t="str">
        <f>IFERROR(INDEX($AQ$11:$AQ$4010,MATCH($S$8&amp;"|"&amp;18,$BA$11:$BA$4010,0)),"")</f>
        <v/>
      </c>
      <c r="BP30" s="37" t="str">
        <f>IFERROR(INDEX($AN$11:$AN$4010,MATCH($S$8&amp;"|"&amp;18,$BA$11:$BA$4010,0)),"")</f>
        <v/>
      </c>
      <c r="BQ30" s="37" t="str">
        <f>IFERROR(INDEX($AO$11:$AO$4010,MATCH($S$8&amp;"|"&amp;18,$BA$11:$BA$4010,0)),"")</f>
        <v/>
      </c>
    </row>
    <row r="31" spans="2:69" ht="13.5" customHeight="1" x14ac:dyDescent="0.25">
      <c r="B31" s="5" t="str">
        <f t="shared" si="0"/>
        <v/>
      </c>
      <c r="C31" s="5"/>
      <c r="D31" s="5"/>
      <c r="E31" s="5"/>
      <c r="F31" s="6"/>
      <c r="G31" s="6"/>
      <c r="H31" s="7"/>
      <c r="I31" s="8"/>
      <c r="K31" s="9" t="str">
        <f>IFERROR(INDEX($AL$11:$AL$4010,MATCH(21,$AX$11:$AX$4010,0)),"")</f>
        <v/>
      </c>
      <c r="L31" s="10" t="str">
        <f t="shared" si="1"/>
        <v/>
      </c>
      <c r="M31" s="11" t="str">
        <f t="shared" si="2"/>
        <v/>
      </c>
      <c r="N31" s="11" t="str">
        <f t="shared" si="3"/>
        <v/>
      </c>
      <c r="P31" s="12" t="str">
        <f>IFERROR(INDEX($AM$11:$AM$4010,MATCH($S$8&amp;"|"&amp;21,$BA$11:$BA$4010,0)),"")</f>
        <v/>
      </c>
      <c r="Q31" s="11" t="str">
        <f>IF(P31="","",IFERROR(INDEX($AN$11:$AN$4010,MATCH($S$8&amp;"|"&amp;21,$BA$11:$BA$4010,0)),""))</f>
        <v/>
      </c>
      <c r="R31" s="11" t="str">
        <f>IF(P31="","",IFERROR(INDEX($AO$11:$AO$4010,MATCH($S$8&amp;"|"&amp;21,$BA$11:$BA$4010,0)),""))</f>
        <v/>
      </c>
      <c r="S31" s="10" t="str">
        <f>IF(P31="","",IFERROR(INDEX($AP$11:$AP$4010,MATCH($S$8&amp;"|"&amp;21,$BA$11:$BA$4010,0)),""))</f>
        <v/>
      </c>
      <c r="T31" s="10" t="str">
        <f>IF(P31="","",IFERROR(INDEX($AQ$11:$AQ$4010,MATCH($S$8&amp;"|"&amp;21,$BA$11:$BA$4010,0)),""))</f>
        <v/>
      </c>
      <c r="U31" s="39" t="str">
        <f t="shared" si="4"/>
        <v/>
      </c>
      <c r="W31" s="14" t="str">
        <f>IF(X31="","",IFERROR(INDEX($AL$11:$AL$4010,MATCH(21,$AY$11:$AY$4010,0)),""))</f>
        <v/>
      </c>
      <c r="X31" s="12" t="str">
        <f>IFERROR(INDEX($AM$11:$AM$4010,MATCH(21,$AY$11:$AY$4010,0)),"")</f>
        <v/>
      </c>
      <c r="Y31" s="11" t="str">
        <f>IF(X31="","",IFERROR(INDEX($AN$11:$AN$4010,MATCH(21,$AY$11:$AY$4010,0)),""))</f>
        <v/>
      </c>
      <c r="Z31" s="11" t="str">
        <f>IF(X31="","",IFERROR(INDEX($AO$11:$AO$4010,MATCH(21,$AY$11:$AY$4010,0)),""))</f>
        <v/>
      </c>
      <c r="AA31" s="10" t="str">
        <f>IF(X31="","",IFERROR(INDEX($AQ$11:$AQ$4010,MATCH(21,$AY$11:$AY$4010,0)),""))</f>
        <v/>
      </c>
      <c r="AB31" s="15" t="str">
        <f>IF(X31="","",IFERROR(INDEX($AR$11:$AR$4010,MATCH(21,$AY$11:$AY$4010,0)),""))</f>
        <v/>
      </c>
      <c r="AD31" s="16" t="str">
        <f>IF(AE31="","",IFERROR(INDEX($AL$11:$AL$4010,MATCH(21,$AZ$11:$AZ$4010,0)),""))</f>
        <v/>
      </c>
      <c r="AE31" s="12" t="str">
        <f>IFERROR(INDEX($AM$11:$AM$4010,MATCH(21,$AZ$11:$AZ$4010,0)),"")</f>
        <v/>
      </c>
      <c r="AF31" s="11" t="str">
        <f>IF(AE31="","",IFERROR(INDEX($AN$11:$AN$4010,MATCH(21,$AZ$11:$AZ$4010,0)),""))</f>
        <v/>
      </c>
      <c r="AG31" s="11" t="str">
        <f>IF(AE31="","",IFERROR(INDEX($AO$11:$AO$4010,MATCH(21,$AZ$11:$AZ$4010,0)),""))</f>
        <v/>
      </c>
      <c r="AH31" s="10" t="str">
        <f>IF(AE31="","",IFERROR(INDEX($AQ$11:$AQ$4010,MATCH(21,$AZ$11:$AZ$4010,0)),""))</f>
        <v/>
      </c>
      <c r="AI31" s="15" t="str">
        <f>IF(AE31="","",IFERROR(INDEX($AR$11:$AR$4010,MATCH(21,$AZ$11:$AZ$4010,0)),""))</f>
        <v/>
      </c>
      <c r="AJ31" s="15" t="str">
        <f>IF(AE31="","",IFERROR(INDEX($AT$11:$AT$4010,MATCH(21,$AZ$11:$AZ$4010,0)),""))</f>
        <v/>
      </c>
      <c r="AL31" s="17" t="str">
        <f t="shared" si="5"/>
        <v/>
      </c>
      <c r="AM31" s="12" t="str">
        <f t="shared" si="6"/>
        <v/>
      </c>
      <c r="AN31" s="18" t="str">
        <f t="shared" si="7"/>
        <v/>
      </c>
      <c r="AO31" s="18" t="str">
        <f t="shared" si="8"/>
        <v/>
      </c>
      <c r="AP31" s="10" t="str">
        <f t="shared" si="9"/>
        <v/>
      </c>
      <c r="AQ31" s="10" t="str">
        <f t="shared" si="10"/>
        <v/>
      </c>
      <c r="AR31" s="19" t="str">
        <f t="shared" si="11"/>
        <v/>
      </c>
      <c r="AS31" s="20"/>
      <c r="AT31" s="19"/>
      <c r="AV31" s="21">
        <f>IF(AND($AL31&lt;&gt;"",COUNTIF($AL$11:$AL31,$AL31)=1),1,0)</f>
        <v>0</v>
      </c>
      <c r="AW31" s="21">
        <f t="shared" si="13"/>
        <v>0</v>
      </c>
      <c r="AX31" s="21" t="str">
        <f t="shared" si="12"/>
        <v/>
      </c>
      <c r="AY31" s="21" t="str">
        <f>IF(AND($AM31&lt;&gt;"",$AS31&lt;&gt;"✓"),SUMPRODUCT(($AM$11:$AM31&lt;&gt;"")*($AS$11:$AS31&lt;&gt;"✓")),"")</f>
        <v/>
      </c>
      <c r="AZ31" s="21" t="str">
        <f>IF(AND($AM31&lt;&gt;"",$AS31="✓"),SUMPRODUCT(($AM$11:$AM31&lt;&gt;"")*($AS$11:$AS31="✓")),"")</f>
        <v/>
      </c>
      <c r="BA31" s="21" t="str">
        <f>IF($AL31="","",$AL31&amp;"|"&amp;COUNTIF($AL$11:$AL31,$AL31))</f>
        <v/>
      </c>
      <c r="BD31" s="36" t="str">
        <f>IF(IFERROR(INDEX($AM$11:$AM$4010,MATCH($S$8&amp;"|"&amp;19,$BA$11:$BA$4010,0)),"")="","",19)</f>
        <v/>
      </c>
      <c r="BE31" s="36" t="str">
        <f>IFERROR(INDEX($AM$11:$AM$4010,MATCH($S$8&amp;"|"&amp;19,$BA$11:$BA$4010,0)),"")</f>
        <v/>
      </c>
      <c r="BF31" s="36" t="str">
        <f>IFERROR(INDEX($AP$11:$AP$4010,MATCH($S$8&amp;"|"&amp;19,$BA$11:$BA$4010,0)),"")</f>
        <v/>
      </c>
      <c r="BG31" s="36" t="str">
        <f>IFERROR(INDEX($AQ$11:$AQ$4010,MATCH($S$8&amp;"|"&amp;19,$BA$11:$BA$4010,0)),"")</f>
        <v/>
      </c>
      <c r="BH31" s="37" t="str">
        <f>IFERROR(INDEX($AN$11:$AN$4010,MATCH($S$8&amp;"|"&amp;19,$BA$11:$BA$4010,0)),"")</f>
        <v/>
      </c>
      <c r="BI31" s="37" t="str">
        <f>IFERROR(INDEX($AO$11:$AO$4010,MATCH($S$8&amp;"|"&amp;19,$BA$11:$BA$4010,0)),"")</f>
        <v/>
      </c>
      <c r="BL31" s="36" t="str">
        <f>IF(IFERROR(INDEX($AM$11:$AM$4010,MATCH($S$8&amp;"|"&amp;19,$BA$11:$BA$4010,0)),"")="","",19)</f>
        <v/>
      </c>
      <c r="BM31" s="36" t="str">
        <f>IFERROR(INDEX($AM$11:$AM$4010,MATCH($S$8&amp;"|"&amp;19,$BA$11:$BA$4010,0)),"")</f>
        <v/>
      </c>
      <c r="BN31" s="36" t="str">
        <f>IFERROR(INDEX($AP$11:$AP$4010,MATCH($S$8&amp;"|"&amp;19,$BA$11:$BA$4010,0)),"")</f>
        <v/>
      </c>
      <c r="BO31" s="36" t="str">
        <f>IFERROR(INDEX($AQ$11:$AQ$4010,MATCH($S$8&amp;"|"&amp;19,$BA$11:$BA$4010,0)),"")</f>
        <v/>
      </c>
      <c r="BP31" s="37" t="str">
        <f>IFERROR(INDEX($AN$11:$AN$4010,MATCH($S$8&amp;"|"&amp;19,$BA$11:$BA$4010,0)),"")</f>
        <v/>
      </c>
      <c r="BQ31" s="37" t="str">
        <f>IFERROR(INDEX($AO$11:$AO$4010,MATCH($S$8&amp;"|"&amp;19,$BA$11:$BA$4010,0)),"")</f>
        <v/>
      </c>
    </row>
    <row r="32" spans="2:69" ht="13.5" customHeight="1" x14ac:dyDescent="0.25">
      <c r="B32" s="5" t="str">
        <f t="shared" si="0"/>
        <v/>
      </c>
      <c r="C32" s="5"/>
      <c r="D32" s="5"/>
      <c r="E32" s="5"/>
      <c r="F32" s="6"/>
      <c r="G32" s="6"/>
      <c r="H32" s="7"/>
      <c r="I32" s="8"/>
      <c r="K32" s="23" t="str">
        <f>IFERROR(INDEX($AL$11:$AL$4010,MATCH(22,$AX$11:$AX$4010,0)),"")</f>
        <v/>
      </c>
      <c r="L32" s="24" t="str">
        <f t="shared" si="1"/>
        <v/>
      </c>
      <c r="M32" s="25" t="str">
        <f t="shared" si="2"/>
        <v/>
      </c>
      <c r="N32" s="25" t="str">
        <f t="shared" si="3"/>
        <v/>
      </c>
      <c r="P32" s="26" t="str">
        <f>IFERROR(INDEX($AM$11:$AM$4010,MATCH($S$8&amp;"|"&amp;22,$BA$11:$BA$4010,0)),"")</f>
        <v/>
      </c>
      <c r="Q32" s="25" t="str">
        <f>IF(P32="","",IFERROR(INDEX($AN$11:$AN$4010,MATCH($S$8&amp;"|"&amp;22,$BA$11:$BA$4010,0)),""))</f>
        <v/>
      </c>
      <c r="R32" s="25" t="str">
        <f>IF(P32="","",IFERROR(INDEX($AO$11:$AO$4010,MATCH($S$8&amp;"|"&amp;22,$BA$11:$BA$4010,0)),""))</f>
        <v/>
      </c>
      <c r="S32" s="24" t="str">
        <f>IF(P32="","",IFERROR(INDEX($AP$11:$AP$4010,MATCH($S$8&amp;"|"&amp;22,$BA$11:$BA$4010,0)),""))</f>
        <v/>
      </c>
      <c r="T32" s="24" t="str">
        <f>IF(P32="","",IFERROR(INDEX($AQ$11:$AQ$4010,MATCH($S$8&amp;"|"&amp;22,$BA$11:$BA$4010,0)),""))</f>
        <v/>
      </c>
      <c r="U32" s="38" t="str">
        <f t="shared" si="4"/>
        <v/>
      </c>
      <c r="W32" s="28" t="str">
        <f>IF(X32="","",IFERROR(INDEX($AL$11:$AL$4010,MATCH(22,$AY$11:$AY$4010,0)),""))</f>
        <v/>
      </c>
      <c r="X32" s="26" t="str">
        <f>IFERROR(INDEX($AM$11:$AM$4010,MATCH(22,$AY$11:$AY$4010,0)),"")</f>
        <v/>
      </c>
      <c r="Y32" s="25" t="str">
        <f>IF(X32="","",IFERROR(INDEX($AN$11:$AN$4010,MATCH(22,$AY$11:$AY$4010,0)),""))</f>
        <v/>
      </c>
      <c r="Z32" s="25" t="str">
        <f>IF(X32="","",IFERROR(INDEX($AO$11:$AO$4010,MATCH(22,$AY$11:$AY$4010,0)),""))</f>
        <v/>
      </c>
      <c r="AA32" s="24" t="str">
        <f>IF(X32="","",IFERROR(INDEX($AQ$11:$AQ$4010,MATCH(22,$AY$11:$AY$4010,0)),""))</f>
        <v/>
      </c>
      <c r="AB32" s="29" t="str">
        <f>IF(X32="","",IFERROR(INDEX($AR$11:$AR$4010,MATCH(22,$AY$11:$AY$4010,0)),""))</f>
        <v/>
      </c>
      <c r="AD32" s="30" t="str">
        <f>IF(AE32="","",IFERROR(INDEX($AL$11:$AL$4010,MATCH(22,$AZ$11:$AZ$4010,0)),""))</f>
        <v/>
      </c>
      <c r="AE32" s="26" t="str">
        <f>IFERROR(INDEX($AM$11:$AM$4010,MATCH(22,$AZ$11:$AZ$4010,0)),"")</f>
        <v/>
      </c>
      <c r="AF32" s="25" t="str">
        <f>IF(AE32="","",IFERROR(INDEX($AN$11:$AN$4010,MATCH(22,$AZ$11:$AZ$4010,0)),""))</f>
        <v/>
      </c>
      <c r="AG32" s="25" t="str">
        <f>IF(AE32="","",IFERROR(INDEX($AO$11:$AO$4010,MATCH(22,$AZ$11:$AZ$4010,0)),""))</f>
        <v/>
      </c>
      <c r="AH32" s="24" t="str">
        <f>IF(AE32="","",IFERROR(INDEX($AQ$11:$AQ$4010,MATCH(22,$AZ$11:$AZ$4010,0)),""))</f>
        <v/>
      </c>
      <c r="AI32" s="29" t="str">
        <f>IF(AE32="","",IFERROR(INDEX($AR$11:$AR$4010,MATCH(22,$AZ$11:$AZ$4010,0)),""))</f>
        <v/>
      </c>
      <c r="AJ32" s="29" t="str">
        <f>IF(AE32="","",IFERROR(INDEX($AT$11:$AT$4010,MATCH(22,$AZ$11:$AZ$4010,0)),""))</f>
        <v/>
      </c>
      <c r="AL32" s="31" t="str">
        <f t="shared" si="5"/>
        <v/>
      </c>
      <c r="AM32" s="26" t="str">
        <f t="shared" si="6"/>
        <v/>
      </c>
      <c r="AN32" s="32" t="str">
        <f t="shared" si="7"/>
        <v/>
      </c>
      <c r="AO32" s="32" t="str">
        <f t="shared" si="8"/>
        <v/>
      </c>
      <c r="AP32" s="24" t="str">
        <f t="shared" si="9"/>
        <v/>
      </c>
      <c r="AQ32" s="24" t="str">
        <f t="shared" si="10"/>
        <v/>
      </c>
      <c r="AR32" s="33" t="str">
        <f t="shared" si="11"/>
        <v/>
      </c>
      <c r="AS32" s="34"/>
      <c r="AT32" s="33"/>
      <c r="AV32" s="21">
        <f>IF(AND($AL32&lt;&gt;"",COUNTIF($AL$11:$AL32,$AL32)=1),1,0)</f>
        <v>0</v>
      </c>
      <c r="AW32" s="21">
        <f t="shared" si="13"/>
        <v>0</v>
      </c>
      <c r="AX32" s="21" t="str">
        <f t="shared" si="12"/>
        <v/>
      </c>
      <c r="AY32" s="21" t="str">
        <f>IF(AND($AM32&lt;&gt;"",$AS32&lt;&gt;"✓"),SUMPRODUCT(($AM$11:$AM32&lt;&gt;"")*($AS$11:$AS32&lt;&gt;"✓")),"")</f>
        <v/>
      </c>
      <c r="AZ32" s="21" t="str">
        <f>IF(AND($AM32&lt;&gt;"",$AS32="✓"),SUMPRODUCT(($AM$11:$AM32&lt;&gt;"")*($AS$11:$AS32="✓")),"")</f>
        <v/>
      </c>
      <c r="BA32" s="21" t="str">
        <f>IF($AL32="","",$AL32&amp;"|"&amp;COUNTIF($AL$11:$AL32,$AL32))</f>
        <v/>
      </c>
      <c r="BD32" s="36" t="str">
        <f>IF(IFERROR(INDEX($AM$11:$AM$4010,MATCH($S$8&amp;"|"&amp;20,$BA$11:$BA$4010,0)),"")="","",20)</f>
        <v/>
      </c>
      <c r="BE32" s="36" t="str">
        <f>IFERROR(INDEX($AM$11:$AM$4010,MATCH($S$8&amp;"|"&amp;20,$BA$11:$BA$4010,0)),"")</f>
        <v/>
      </c>
      <c r="BF32" s="36" t="str">
        <f>IFERROR(INDEX($AP$11:$AP$4010,MATCH($S$8&amp;"|"&amp;20,$BA$11:$BA$4010,0)),"")</f>
        <v/>
      </c>
      <c r="BG32" s="36" t="str">
        <f>IFERROR(INDEX($AQ$11:$AQ$4010,MATCH($S$8&amp;"|"&amp;20,$BA$11:$BA$4010,0)),"")</f>
        <v/>
      </c>
      <c r="BH32" s="37" t="str">
        <f>IFERROR(INDEX($AN$11:$AN$4010,MATCH($S$8&amp;"|"&amp;20,$BA$11:$BA$4010,0)),"")</f>
        <v/>
      </c>
      <c r="BI32" s="37" t="str">
        <f>IFERROR(INDEX($AO$11:$AO$4010,MATCH($S$8&amp;"|"&amp;20,$BA$11:$BA$4010,0)),"")</f>
        <v/>
      </c>
      <c r="BL32" s="36" t="str">
        <f>IF(IFERROR(INDEX($AM$11:$AM$4010,MATCH($S$8&amp;"|"&amp;20,$BA$11:$BA$4010,0)),"")="","",20)</f>
        <v/>
      </c>
      <c r="BM32" s="36" t="str">
        <f>IFERROR(INDEX($AM$11:$AM$4010,MATCH($S$8&amp;"|"&amp;20,$BA$11:$BA$4010,0)),"")</f>
        <v/>
      </c>
      <c r="BN32" s="36" t="str">
        <f>IFERROR(INDEX($AP$11:$AP$4010,MATCH($S$8&amp;"|"&amp;20,$BA$11:$BA$4010,0)),"")</f>
        <v/>
      </c>
      <c r="BO32" s="36" t="str">
        <f>IFERROR(INDEX($AQ$11:$AQ$4010,MATCH($S$8&amp;"|"&amp;20,$BA$11:$BA$4010,0)),"")</f>
        <v/>
      </c>
      <c r="BP32" s="37" t="str">
        <f>IFERROR(INDEX($AN$11:$AN$4010,MATCH($S$8&amp;"|"&amp;20,$BA$11:$BA$4010,0)),"")</f>
        <v/>
      </c>
      <c r="BQ32" s="37" t="str">
        <f>IFERROR(INDEX($AO$11:$AO$4010,MATCH($S$8&amp;"|"&amp;20,$BA$11:$BA$4010,0)),"")</f>
        <v/>
      </c>
    </row>
    <row r="33" spans="2:69" ht="13.5" customHeight="1" x14ac:dyDescent="0.25">
      <c r="B33" s="5" t="str">
        <f t="shared" si="0"/>
        <v/>
      </c>
      <c r="C33" s="5"/>
      <c r="D33" s="5"/>
      <c r="E33" s="5"/>
      <c r="F33" s="6"/>
      <c r="G33" s="6"/>
      <c r="H33" s="7"/>
      <c r="I33" s="8"/>
      <c r="K33" s="9" t="str">
        <f>IFERROR(INDEX($AL$11:$AL$4010,MATCH(23,$AX$11:$AX$4010,0)),"")</f>
        <v/>
      </c>
      <c r="L33" s="10" t="str">
        <f t="shared" si="1"/>
        <v/>
      </c>
      <c r="M33" s="11" t="str">
        <f t="shared" si="2"/>
        <v/>
      </c>
      <c r="N33" s="11" t="str">
        <f t="shared" si="3"/>
        <v/>
      </c>
      <c r="P33" s="12" t="str">
        <f>IFERROR(INDEX($AM$11:$AM$4010,MATCH($S$8&amp;"|"&amp;23,$BA$11:$BA$4010,0)),"")</f>
        <v/>
      </c>
      <c r="Q33" s="11" t="str">
        <f>IF(P33="","",IFERROR(INDEX($AN$11:$AN$4010,MATCH($S$8&amp;"|"&amp;23,$BA$11:$BA$4010,0)),""))</f>
        <v/>
      </c>
      <c r="R33" s="11" t="str">
        <f>IF(P33="","",IFERROR(INDEX($AO$11:$AO$4010,MATCH($S$8&amp;"|"&amp;23,$BA$11:$BA$4010,0)),""))</f>
        <v/>
      </c>
      <c r="S33" s="10" t="str">
        <f>IF(P33="","",IFERROR(INDEX($AP$11:$AP$4010,MATCH($S$8&amp;"|"&amp;23,$BA$11:$BA$4010,0)),""))</f>
        <v/>
      </c>
      <c r="T33" s="10" t="str">
        <f>IF(P33="","",IFERROR(INDEX($AQ$11:$AQ$4010,MATCH($S$8&amp;"|"&amp;23,$BA$11:$BA$4010,0)),""))</f>
        <v/>
      </c>
      <c r="U33" s="39" t="str">
        <f t="shared" si="4"/>
        <v/>
      </c>
      <c r="W33" s="14" t="str">
        <f>IF(X33="","",IFERROR(INDEX($AL$11:$AL$4010,MATCH(23,$AY$11:$AY$4010,0)),""))</f>
        <v/>
      </c>
      <c r="X33" s="12" t="str">
        <f>IFERROR(INDEX($AM$11:$AM$4010,MATCH(23,$AY$11:$AY$4010,0)),"")</f>
        <v/>
      </c>
      <c r="Y33" s="11" t="str">
        <f>IF(X33="","",IFERROR(INDEX($AN$11:$AN$4010,MATCH(23,$AY$11:$AY$4010,0)),""))</f>
        <v/>
      </c>
      <c r="Z33" s="11" t="str">
        <f>IF(X33="","",IFERROR(INDEX($AO$11:$AO$4010,MATCH(23,$AY$11:$AY$4010,0)),""))</f>
        <v/>
      </c>
      <c r="AA33" s="10" t="str">
        <f>IF(X33="","",IFERROR(INDEX($AQ$11:$AQ$4010,MATCH(23,$AY$11:$AY$4010,0)),""))</f>
        <v/>
      </c>
      <c r="AB33" s="15" t="str">
        <f>IF(X33="","",IFERROR(INDEX($AR$11:$AR$4010,MATCH(23,$AY$11:$AY$4010,0)),""))</f>
        <v/>
      </c>
      <c r="AD33" s="16" t="str">
        <f>IF(AE33="","",IFERROR(INDEX($AL$11:$AL$4010,MATCH(23,$AZ$11:$AZ$4010,0)),""))</f>
        <v/>
      </c>
      <c r="AE33" s="12" t="str">
        <f>IFERROR(INDEX($AM$11:$AM$4010,MATCH(23,$AZ$11:$AZ$4010,0)),"")</f>
        <v/>
      </c>
      <c r="AF33" s="11" t="str">
        <f>IF(AE33="","",IFERROR(INDEX($AN$11:$AN$4010,MATCH(23,$AZ$11:$AZ$4010,0)),""))</f>
        <v/>
      </c>
      <c r="AG33" s="11" t="str">
        <f>IF(AE33="","",IFERROR(INDEX($AO$11:$AO$4010,MATCH(23,$AZ$11:$AZ$4010,0)),""))</f>
        <v/>
      </c>
      <c r="AH33" s="10" t="str">
        <f>IF(AE33="","",IFERROR(INDEX($AQ$11:$AQ$4010,MATCH(23,$AZ$11:$AZ$4010,0)),""))</f>
        <v/>
      </c>
      <c r="AI33" s="15" t="str">
        <f>IF(AE33="","",IFERROR(INDEX($AR$11:$AR$4010,MATCH(23,$AZ$11:$AZ$4010,0)),""))</f>
        <v/>
      </c>
      <c r="AJ33" s="15" t="str">
        <f>IF(AE33="","",IFERROR(INDEX($AT$11:$AT$4010,MATCH(23,$AZ$11:$AZ$4010,0)),""))</f>
        <v/>
      </c>
      <c r="AL33" s="17" t="str">
        <f t="shared" si="5"/>
        <v/>
      </c>
      <c r="AM33" s="12" t="str">
        <f t="shared" si="6"/>
        <v/>
      </c>
      <c r="AN33" s="18" t="str">
        <f t="shared" si="7"/>
        <v/>
      </c>
      <c r="AO33" s="18" t="str">
        <f t="shared" si="8"/>
        <v/>
      </c>
      <c r="AP33" s="10" t="str">
        <f t="shared" si="9"/>
        <v/>
      </c>
      <c r="AQ33" s="10" t="str">
        <f t="shared" si="10"/>
        <v/>
      </c>
      <c r="AR33" s="19" t="str">
        <f t="shared" si="11"/>
        <v/>
      </c>
      <c r="AS33" s="20"/>
      <c r="AT33" s="19"/>
      <c r="AV33" s="21">
        <f>IF(AND($AL33&lt;&gt;"",COUNTIF($AL$11:$AL33,$AL33)=1),1,0)</f>
        <v>0</v>
      </c>
      <c r="AW33" s="21">
        <f t="shared" si="13"/>
        <v>0</v>
      </c>
      <c r="AX33" s="21" t="str">
        <f t="shared" si="12"/>
        <v/>
      </c>
      <c r="AY33" s="21" t="str">
        <f>IF(AND($AM33&lt;&gt;"",$AS33&lt;&gt;"✓"),SUMPRODUCT(($AM$11:$AM33&lt;&gt;"")*($AS$11:$AS33&lt;&gt;"✓")),"")</f>
        <v/>
      </c>
      <c r="AZ33" s="21" t="str">
        <f>IF(AND($AM33&lt;&gt;"",$AS33="✓"),SUMPRODUCT(($AM$11:$AM33&lt;&gt;"")*($AS$11:$AS33="✓")),"")</f>
        <v/>
      </c>
      <c r="BA33" s="21" t="str">
        <f>IF($AL33="","",$AL33&amp;"|"&amp;COUNTIF($AL$11:$AL33,$AL33))</f>
        <v/>
      </c>
      <c r="BD33" s="36" t="str">
        <f>IF(IFERROR(INDEX($AM$11:$AM$4010,MATCH($S$8&amp;"|"&amp;21,$BA$11:$BA$4010,0)),"")="","",21)</f>
        <v/>
      </c>
      <c r="BE33" s="36" t="str">
        <f>IFERROR(INDEX($AM$11:$AM$4010,MATCH($S$8&amp;"|"&amp;21,$BA$11:$BA$4010,0)),"")</f>
        <v/>
      </c>
      <c r="BF33" s="36" t="str">
        <f>IFERROR(INDEX($AP$11:$AP$4010,MATCH($S$8&amp;"|"&amp;21,$BA$11:$BA$4010,0)),"")</f>
        <v/>
      </c>
      <c r="BG33" s="36" t="str">
        <f>IFERROR(INDEX($AQ$11:$AQ$4010,MATCH($S$8&amp;"|"&amp;21,$BA$11:$BA$4010,0)),"")</f>
        <v/>
      </c>
      <c r="BH33" s="37" t="str">
        <f>IFERROR(INDEX($AN$11:$AN$4010,MATCH($S$8&amp;"|"&amp;21,$BA$11:$BA$4010,0)),"")</f>
        <v/>
      </c>
      <c r="BI33" s="37" t="str">
        <f>IFERROR(INDEX($AO$11:$AO$4010,MATCH($S$8&amp;"|"&amp;21,$BA$11:$BA$4010,0)),"")</f>
        <v/>
      </c>
      <c r="BL33" s="36" t="str">
        <f>IF(IFERROR(INDEX($AM$11:$AM$4010,MATCH($S$8&amp;"|"&amp;21,$BA$11:$BA$4010,0)),"")="","",21)</f>
        <v/>
      </c>
      <c r="BM33" s="36" t="str">
        <f>IFERROR(INDEX($AM$11:$AM$4010,MATCH($S$8&amp;"|"&amp;21,$BA$11:$BA$4010,0)),"")</f>
        <v/>
      </c>
      <c r="BN33" s="36" t="str">
        <f>IFERROR(INDEX($AP$11:$AP$4010,MATCH($S$8&amp;"|"&amp;21,$BA$11:$BA$4010,0)),"")</f>
        <v/>
      </c>
      <c r="BO33" s="36" t="str">
        <f>IFERROR(INDEX($AQ$11:$AQ$4010,MATCH($S$8&amp;"|"&amp;21,$BA$11:$BA$4010,0)),"")</f>
        <v/>
      </c>
      <c r="BP33" s="37" t="str">
        <f>IFERROR(INDEX($AN$11:$AN$4010,MATCH($S$8&amp;"|"&amp;21,$BA$11:$BA$4010,0)),"")</f>
        <v/>
      </c>
      <c r="BQ33" s="37" t="str">
        <f>IFERROR(INDEX($AO$11:$AO$4010,MATCH($S$8&amp;"|"&amp;21,$BA$11:$BA$4010,0)),"")</f>
        <v/>
      </c>
    </row>
    <row r="34" spans="2:69" ht="13.5" customHeight="1" x14ac:dyDescent="0.25">
      <c r="B34" s="5" t="str">
        <f t="shared" si="0"/>
        <v/>
      </c>
      <c r="C34" s="5"/>
      <c r="D34" s="5"/>
      <c r="E34" s="5"/>
      <c r="F34" s="6"/>
      <c r="G34" s="6"/>
      <c r="H34" s="7"/>
      <c r="I34" s="8"/>
      <c r="K34" s="23" t="str">
        <f>IFERROR(INDEX($AL$11:$AL$4010,MATCH(24,$AX$11:$AX$4010,0)),"")</f>
        <v/>
      </c>
      <c r="L34" s="24" t="str">
        <f t="shared" si="1"/>
        <v/>
      </c>
      <c r="M34" s="25" t="str">
        <f t="shared" si="2"/>
        <v/>
      </c>
      <c r="N34" s="25" t="str">
        <f t="shared" si="3"/>
        <v/>
      </c>
      <c r="P34" s="26" t="str">
        <f>IFERROR(INDEX($AM$11:$AM$4010,MATCH($S$8&amp;"|"&amp;24,$BA$11:$BA$4010,0)),"")</f>
        <v/>
      </c>
      <c r="Q34" s="25" t="str">
        <f>IF(P34="","",IFERROR(INDEX($AN$11:$AN$4010,MATCH($S$8&amp;"|"&amp;24,$BA$11:$BA$4010,0)),""))</f>
        <v/>
      </c>
      <c r="R34" s="25" t="str">
        <f>IF(P34="","",IFERROR(INDEX($AO$11:$AO$4010,MATCH($S$8&amp;"|"&amp;24,$BA$11:$BA$4010,0)),""))</f>
        <v/>
      </c>
      <c r="S34" s="24" t="str">
        <f>IF(P34="","",IFERROR(INDEX($AP$11:$AP$4010,MATCH($S$8&amp;"|"&amp;24,$BA$11:$BA$4010,0)),""))</f>
        <v/>
      </c>
      <c r="T34" s="24" t="str">
        <f>IF(P34="","",IFERROR(INDEX($AQ$11:$AQ$4010,MATCH($S$8&amp;"|"&amp;24,$BA$11:$BA$4010,0)),""))</f>
        <v/>
      </c>
      <c r="U34" s="38" t="str">
        <f t="shared" si="4"/>
        <v/>
      </c>
      <c r="W34" s="28" t="str">
        <f>IF(X34="","",IFERROR(INDEX($AL$11:$AL$4010,MATCH(24,$AY$11:$AY$4010,0)),""))</f>
        <v/>
      </c>
      <c r="X34" s="26" t="str">
        <f>IFERROR(INDEX($AM$11:$AM$4010,MATCH(24,$AY$11:$AY$4010,0)),"")</f>
        <v/>
      </c>
      <c r="Y34" s="25" t="str">
        <f>IF(X34="","",IFERROR(INDEX($AN$11:$AN$4010,MATCH(24,$AY$11:$AY$4010,0)),""))</f>
        <v/>
      </c>
      <c r="Z34" s="25" t="str">
        <f>IF(X34="","",IFERROR(INDEX($AO$11:$AO$4010,MATCH(24,$AY$11:$AY$4010,0)),""))</f>
        <v/>
      </c>
      <c r="AA34" s="24" t="str">
        <f>IF(X34="","",IFERROR(INDEX($AQ$11:$AQ$4010,MATCH(24,$AY$11:$AY$4010,0)),""))</f>
        <v/>
      </c>
      <c r="AB34" s="29" t="str">
        <f>IF(X34="","",IFERROR(INDEX($AR$11:$AR$4010,MATCH(24,$AY$11:$AY$4010,0)),""))</f>
        <v/>
      </c>
      <c r="AD34" s="30" t="str">
        <f>IF(AE34="","",IFERROR(INDEX($AL$11:$AL$4010,MATCH(24,$AZ$11:$AZ$4010,0)),""))</f>
        <v/>
      </c>
      <c r="AE34" s="26" t="str">
        <f>IFERROR(INDEX($AM$11:$AM$4010,MATCH(24,$AZ$11:$AZ$4010,0)),"")</f>
        <v/>
      </c>
      <c r="AF34" s="25" t="str">
        <f>IF(AE34="","",IFERROR(INDEX($AN$11:$AN$4010,MATCH(24,$AZ$11:$AZ$4010,0)),""))</f>
        <v/>
      </c>
      <c r="AG34" s="25" t="str">
        <f>IF(AE34="","",IFERROR(INDEX($AO$11:$AO$4010,MATCH(24,$AZ$11:$AZ$4010,0)),""))</f>
        <v/>
      </c>
      <c r="AH34" s="24" t="str">
        <f>IF(AE34="","",IFERROR(INDEX($AQ$11:$AQ$4010,MATCH(24,$AZ$11:$AZ$4010,0)),""))</f>
        <v/>
      </c>
      <c r="AI34" s="29" t="str">
        <f>IF(AE34="","",IFERROR(INDEX($AR$11:$AR$4010,MATCH(24,$AZ$11:$AZ$4010,0)),""))</f>
        <v/>
      </c>
      <c r="AJ34" s="29" t="str">
        <f>IF(AE34="","",IFERROR(INDEX($AT$11:$AT$4010,MATCH(24,$AZ$11:$AZ$4010,0)),""))</f>
        <v/>
      </c>
      <c r="AL34" s="31" t="str">
        <f t="shared" si="5"/>
        <v/>
      </c>
      <c r="AM34" s="26" t="str">
        <f t="shared" si="6"/>
        <v/>
      </c>
      <c r="AN34" s="32" t="str">
        <f t="shared" si="7"/>
        <v/>
      </c>
      <c r="AO34" s="32" t="str">
        <f t="shared" si="8"/>
        <v/>
      </c>
      <c r="AP34" s="24" t="str">
        <f t="shared" si="9"/>
        <v/>
      </c>
      <c r="AQ34" s="24" t="str">
        <f t="shared" si="10"/>
        <v/>
      </c>
      <c r="AR34" s="33" t="str">
        <f t="shared" si="11"/>
        <v/>
      </c>
      <c r="AS34" s="34"/>
      <c r="AT34" s="33"/>
      <c r="AV34" s="21">
        <f>IF(AND($AL34&lt;&gt;"",COUNTIF($AL$11:$AL34,$AL34)=1),1,0)</f>
        <v>0</v>
      </c>
      <c r="AW34" s="21">
        <f t="shared" si="13"/>
        <v>0</v>
      </c>
      <c r="AX34" s="21" t="str">
        <f t="shared" si="12"/>
        <v/>
      </c>
      <c r="AY34" s="21" t="str">
        <f>IF(AND($AM34&lt;&gt;"",$AS34&lt;&gt;"✓"),SUMPRODUCT(($AM$11:$AM34&lt;&gt;"")*($AS$11:$AS34&lt;&gt;"✓")),"")</f>
        <v/>
      </c>
      <c r="AZ34" s="21" t="str">
        <f>IF(AND($AM34&lt;&gt;"",$AS34="✓"),SUMPRODUCT(($AM$11:$AM34&lt;&gt;"")*($AS$11:$AS34="✓")),"")</f>
        <v/>
      </c>
      <c r="BA34" s="21" t="str">
        <f>IF($AL34="","",$AL34&amp;"|"&amp;COUNTIF($AL$11:$AL34,$AL34))</f>
        <v/>
      </c>
      <c r="BD34" s="36" t="str">
        <f>IF(IFERROR(INDEX($AM$11:$AM$4010,MATCH($S$8&amp;"|"&amp;22,$BA$11:$BA$4010,0)),"")="","",22)</f>
        <v/>
      </c>
      <c r="BE34" s="36" t="str">
        <f>IFERROR(INDEX($AM$11:$AM$4010,MATCH($S$8&amp;"|"&amp;22,$BA$11:$BA$4010,0)),"")</f>
        <v/>
      </c>
      <c r="BF34" s="36" t="str">
        <f>IFERROR(INDEX($AP$11:$AP$4010,MATCH($S$8&amp;"|"&amp;22,$BA$11:$BA$4010,0)),"")</f>
        <v/>
      </c>
      <c r="BG34" s="36" t="str">
        <f>IFERROR(INDEX($AQ$11:$AQ$4010,MATCH($S$8&amp;"|"&amp;22,$BA$11:$BA$4010,0)),"")</f>
        <v/>
      </c>
      <c r="BH34" s="37" t="str">
        <f>IFERROR(INDEX($AN$11:$AN$4010,MATCH($S$8&amp;"|"&amp;22,$BA$11:$BA$4010,0)),"")</f>
        <v/>
      </c>
      <c r="BI34" s="37" t="str">
        <f>IFERROR(INDEX($AO$11:$AO$4010,MATCH($S$8&amp;"|"&amp;22,$BA$11:$BA$4010,0)),"")</f>
        <v/>
      </c>
      <c r="BL34" s="36" t="str">
        <f>IF(IFERROR(INDEX($AM$11:$AM$4010,MATCH($S$8&amp;"|"&amp;22,$BA$11:$BA$4010,0)),"")="","",22)</f>
        <v/>
      </c>
      <c r="BM34" s="36" t="str">
        <f>IFERROR(INDEX($AM$11:$AM$4010,MATCH($S$8&amp;"|"&amp;22,$BA$11:$BA$4010,0)),"")</f>
        <v/>
      </c>
      <c r="BN34" s="36" t="str">
        <f>IFERROR(INDEX($AP$11:$AP$4010,MATCH($S$8&amp;"|"&amp;22,$BA$11:$BA$4010,0)),"")</f>
        <v/>
      </c>
      <c r="BO34" s="36" t="str">
        <f>IFERROR(INDEX($AQ$11:$AQ$4010,MATCH($S$8&amp;"|"&amp;22,$BA$11:$BA$4010,0)),"")</f>
        <v/>
      </c>
      <c r="BP34" s="37" t="str">
        <f>IFERROR(INDEX($AN$11:$AN$4010,MATCH($S$8&amp;"|"&amp;22,$BA$11:$BA$4010,0)),"")</f>
        <v/>
      </c>
      <c r="BQ34" s="37" t="str">
        <f>IFERROR(INDEX($AO$11:$AO$4010,MATCH($S$8&amp;"|"&amp;22,$BA$11:$BA$4010,0)),"")</f>
        <v/>
      </c>
    </row>
    <row r="35" spans="2:69" ht="13.5" customHeight="1" x14ac:dyDescent="0.25">
      <c r="B35" s="5" t="str">
        <f t="shared" si="0"/>
        <v/>
      </c>
      <c r="C35" s="5"/>
      <c r="D35" s="5"/>
      <c r="E35" s="5"/>
      <c r="F35" s="6"/>
      <c r="G35" s="6"/>
      <c r="H35" s="7"/>
      <c r="I35" s="8"/>
      <c r="K35" s="9" t="str">
        <f>IFERROR(INDEX($AL$11:$AL$4010,MATCH(25,$AX$11:$AX$4010,0)),"")</f>
        <v/>
      </c>
      <c r="L35" s="10" t="str">
        <f t="shared" si="1"/>
        <v/>
      </c>
      <c r="M35" s="11" t="str">
        <f t="shared" si="2"/>
        <v/>
      </c>
      <c r="N35" s="11" t="str">
        <f t="shared" si="3"/>
        <v/>
      </c>
      <c r="P35" s="12" t="str">
        <f>IFERROR(INDEX($AM$11:$AM$4010,MATCH($S$8&amp;"|"&amp;25,$BA$11:$BA$4010,0)),"")</f>
        <v/>
      </c>
      <c r="Q35" s="11" t="str">
        <f>IF(P35="","",IFERROR(INDEX($AN$11:$AN$4010,MATCH($S$8&amp;"|"&amp;25,$BA$11:$BA$4010,0)),""))</f>
        <v/>
      </c>
      <c r="R35" s="11" t="str">
        <f>IF(P35="","",IFERROR(INDEX($AO$11:$AO$4010,MATCH($S$8&amp;"|"&amp;25,$BA$11:$BA$4010,0)),""))</f>
        <v/>
      </c>
      <c r="S35" s="10" t="str">
        <f>IF(P35="","",IFERROR(INDEX($AP$11:$AP$4010,MATCH($S$8&amp;"|"&amp;25,$BA$11:$BA$4010,0)),""))</f>
        <v/>
      </c>
      <c r="T35" s="10" t="str">
        <f>IF(P35="","",IFERROR(INDEX($AQ$11:$AQ$4010,MATCH($S$8&amp;"|"&amp;25,$BA$11:$BA$4010,0)),""))</f>
        <v/>
      </c>
      <c r="U35" s="39" t="str">
        <f t="shared" si="4"/>
        <v/>
      </c>
      <c r="W35" s="14" t="str">
        <f>IF(X35="","",IFERROR(INDEX($AL$11:$AL$4010,MATCH(25,$AY$11:$AY$4010,0)),""))</f>
        <v/>
      </c>
      <c r="X35" s="12" t="str">
        <f>IFERROR(INDEX($AM$11:$AM$4010,MATCH(25,$AY$11:$AY$4010,0)),"")</f>
        <v/>
      </c>
      <c r="Y35" s="11" t="str">
        <f>IF(X35="","",IFERROR(INDEX($AN$11:$AN$4010,MATCH(25,$AY$11:$AY$4010,0)),""))</f>
        <v/>
      </c>
      <c r="Z35" s="11" t="str">
        <f>IF(X35="","",IFERROR(INDEX($AO$11:$AO$4010,MATCH(25,$AY$11:$AY$4010,0)),""))</f>
        <v/>
      </c>
      <c r="AA35" s="10" t="str">
        <f>IF(X35="","",IFERROR(INDEX($AQ$11:$AQ$4010,MATCH(25,$AY$11:$AY$4010,0)),""))</f>
        <v/>
      </c>
      <c r="AB35" s="15" t="str">
        <f>IF(X35="","",IFERROR(INDEX($AR$11:$AR$4010,MATCH(25,$AY$11:$AY$4010,0)),""))</f>
        <v/>
      </c>
      <c r="AD35" s="16" t="str">
        <f>IF(AE35="","",IFERROR(INDEX($AL$11:$AL$4010,MATCH(25,$AZ$11:$AZ$4010,0)),""))</f>
        <v/>
      </c>
      <c r="AE35" s="12" t="str">
        <f>IFERROR(INDEX($AM$11:$AM$4010,MATCH(25,$AZ$11:$AZ$4010,0)),"")</f>
        <v/>
      </c>
      <c r="AF35" s="11" t="str">
        <f>IF(AE35="","",IFERROR(INDEX($AN$11:$AN$4010,MATCH(25,$AZ$11:$AZ$4010,0)),""))</f>
        <v/>
      </c>
      <c r="AG35" s="11" t="str">
        <f>IF(AE35="","",IFERROR(INDEX($AO$11:$AO$4010,MATCH(25,$AZ$11:$AZ$4010,0)),""))</f>
        <v/>
      </c>
      <c r="AH35" s="10" t="str">
        <f>IF(AE35="","",IFERROR(INDEX($AQ$11:$AQ$4010,MATCH(25,$AZ$11:$AZ$4010,0)),""))</f>
        <v/>
      </c>
      <c r="AI35" s="15" t="str">
        <f>IF(AE35="","",IFERROR(INDEX($AR$11:$AR$4010,MATCH(25,$AZ$11:$AZ$4010,0)),""))</f>
        <v/>
      </c>
      <c r="AJ35" s="15" t="str">
        <f>IF(AE35="","",IFERROR(INDEX($AT$11:$AT$4010,MATCH(25,$AZ$11:$AZ$4010,0)),""))</f>
        <v/>
      </c>
      <c r="AL35" s="17" t="str">
        <f t="shared" si="5"/>
        <v/>
      </c>
      <c r="AM35" s="12" t="str">
        <f t="shared" si="6"/>
        <v/>
      </c>
      <c r="AN35" s="18" t="str">
        <f t="shared" si="7"/>
        <v/>
      </c>
      <c r="AO35" s="18" t="str">
        <f t="shared" si="8"/>
        <v/>
      </c>
      <c r="AP35" s="10" t="str">
        <f t="shared" si="9"/>
        <v/>
      </c>
      <c r="AQ35" s="10" t="str">
        <f t="shared" si="10"/>
        <v/>
      </c>
      <c r="AR35" s="19" t="str">
        <f t="shared" si="11"/>
        <v/>
      </c>
      <c r="AS35" s="20"/>
      <c r="AT35" s="19"/>
      <c r="AV35" s="21">
        <f>IF(AND($AL35&lt;&gt;"",COUNTIF($AL$11:$AL35,$AL35)=1),1,0)</f>
        <v>0</v>
      </c>
      <c r="AW35" s="21">
        <f t="shared" si="13"/>
        <v>0</v>
      </c>
      <c r="AX35" s="21" t="str">
        <f t="shared" si="12"/>
        <v/>
      </c>
      <c r="AY35" s="21" t="str">
        <f>IF(AND($AM35&lt;&gt;"",$AS35&lt;&gt;"✓"),SUMPRODUCT(($AM$11:$AM35&lt;&gt;"")*($AS$11:$AS35&lt;&gt;"✓")),"")</f>
        <v/>
      </c>
      <c r="AZ35" s="21" t="str">
        <f>IF(AND($AM35&lt;&gt;"",$AS35="✓"),SUMPRODUCT(($AM$11:$AM35&lt;&gt;"")*($AS$11:$AS35="✓")),"")</f>
        <v/>
      </c>
      <c r="BA35" s="21" t="str">
        <f>IF($AL35="","",$AL35&amp;"|"&amp;COUNTIF($AL$11:$AL35,$AL35))</f>
        <v/>
      </c>
      <c r="BD35" s="36" t="str">
        <f>IF(IFERROR(INDEX($AM$11:$AM$4010,MATCH($S$8&amp;"|"&amp;23,$BA$11:$BA$4010,0)),"")="","",23)</f>
        <v/>
      </c>
      <c r="BE35" s="36" t="str">
        <f>IFERROR(INDEX($AM$11:$AM$4010,MATCH($S$8&amp;"|"&amp;23,$BA$11:$BA$4010,0)),"")</f>
        <v/>
      </c>
      <c r="BF35" s="36" t="str">
        <f>IFERROR(INDEX($AP$11:$AP$4010,MATCH($S$8&amp;"|"&amp;23,$BA$11:$BA$4010,0)),"")</f>
        <v/>
      </c>
      <c r="BG35" s="36" t="str">
        <f>IFERROR(INDEX($AQ$11:$AQ$4010,MATCH($S$8&amp;"|"&amp;23,$BA$11:$BA$4010,0)),"")</f>
        <v/>
      </c>
      <c r="BH35" s="37" t="str">
        <f>IFERROR(INDEX($AN$11:$AN$4010,MATCH($S$8&amp;"|"&amp;23,$BA$11:$BA$4010,0)),"")</f>
        <v/>
      </c>
      <c r="BI35" s="37" t="str">
        <f>IFERROR(INDEX($AO$11:$AO$4010,MATCH($S$8&amp;"|"&amp;23,$BA$11:$BA$4010,0)),"")</f>
        <v/>
      </c>
      <c r="BL35" s="36" t="str">
        <f>IF(IFERROR(INDEX($AM$11:$AM$4010,MATCH($S$8&amp;"|"&amp;23,$BA$11:$BA$4010,0)),"")="","",23)</f>
        <v/>
      </c>
      <c r="BM35" s="36" t="str">
        <f>IFERROR(INDEX($AM$11:$AM$4010,MATCH($S$8&amp;"|"&amp;23,$BA$11:$BA$4010,0)),"")</f>
        <v/>
      </c>
      <c r="BN35" s="36" t="str">
        <f>IFERROR(INDEX($AP$11:$AP$4010,MATCH($S$8&amp;"|"&amp;23,$BA$11:$BA$4010,0)),"")</f>
        <v/>
      </c>
      <c r="BO35" s="36" t="str">
        <f>IFERROR(INDEX($AQ$11:$AQ$4010,MATCH($S$8&amp;"|"&amp;23,$BA$11:$BA$4010,0)),"")</f>
        <v/>
      </c>
      <c r="BP35" s="37" t="str">
        <f>IFERROR(INDEX($AN$11:$AN$4010,MATCH($S$8&amp;"|"&amp;23,$BA$11:$BA$4010,0)),"")</f>
        <v/>
      </c>
      <c r="BQ35" s="37" t="str">
        <f>IFERROR(INDEX($AO$11:$AO$4010,MATCH($S$8&amp;"|"&amp;23,$BA$11:$BA$4010,0)),"")</f>
        <v/>
      </c>
    </row>
    <row r="36" spans="2:69" ht="13.5" customHeight="1" x14ac:dyDescent="0.25">
      <c r="B36" s="5" t="str">
        <f t="shared" si="0"/>
        <v/>
      </c>
      <c r="C36" s="5"/>
      <c r="D36" s="5"/>
      <c r="E36" s="5"/>
      <c r="F36" s="6"/>
      <c r="G36" s="6"/>
      <c r="H36" s="7"/>
      <c r="I36" s="8"/>
      <c r="K36" s="23" t="str">
        <f>IFERROR(INDEX($AL$11:$AL$4010,MATCH(26,$AX$11:$AX$4010,0)),"")</f>
        <v/>
      </c>
      <c r="L36" s="24" t="str">
        <f t="shared" si="1"/>
        <v/>
      </c>
      <c r="M36" s="25" t="str">
        <f t="shared" si="2"/>
        <v/>
      </c>
      <c r="N36" s="25" t="str">
        <f t="shared" si="3"/>
        <v/>
      </c>
      <c r="P36" s="26" t="str">
        <f>IFERROR(INDEX($AM$11:$AM$4010,MATCH($S$8&amp;"|"&amp;26,$BA$11:$BA$4010,0)),"")</f>
        <v/>
      </c>
      <c r="Q36" s="25" t="str">
        <f>IF(P36="","",IFERROR(INDEX($AN$11:$AN$4010,MATCH($S$8&amp;"|"&amp;26,$BA$11:$BA$4010,0)),""))</f>
        <v/>
      </c>
      <c r="R36" s="25" t="str">
        <f>IF(P36="","",IFERROR(INDEX($AO$11:$AO$4010,MATCH($S$8&amp;"|"&amp;26,$BA$11:$BA$4010,0)),""))</f>
        <v/>
      </c>
      <c r="S36" s="24" t="str">
        <f>IF(P36="","",IFERROR(INDEX($AP$11:$AP$4010,MATCH($S$8&amp;"|"&amp;26,$BA$11:$BA$4010,0)),""))</f>
        <v/>
      </c>
      <c r="T36" s="24" t="str">
        <f>IF(P36="","",IFERROR(INDEX($AQ$11:$AQ$4010,MATCH($S$8&amp;"|"&amp;26,$BA$11:$BA$4010,0)),""))</f>
        <v/>
      </c>
      <c r="U36" s="38" t="str">
        <f t="shared" si="4"/>
        <v/>
      </c>
      <c r="W36" s="28" t="str">
        <f>IF(X36="","",IFERROR(INDEX($AL$11:$AL$4010,MATCH(26,$AY$11:$AY$4010,0)),""))</f>
        <v/>
      </c>
      <c r="X36" s="26" t="str">
        <f>IFERROR(INDEX($AM$11:$AM$4010,MATCH(26,$AY$11:$AY$4010,0)),"")</f>
        <v/>
      </c>
      <c r="Y36" s="25" t="str">
        <f>IF(X36="","",IFERROR(INDEX($AN$11:$AN$4010,MATCH(26,$AY$11:$AY$4010,0)),""))</f>
        <v/>
      </c>
      <c r="Z36" s="25" t="str">
        <f>IF(X36="","",IFERROR(INDEX($AO$11:$AO$4010,MATCH(26,$AY$11:$AY$4010,0)),""))</f>
        <v/>
      </c>
      <c r="AA36" s="24" t="str">
        <f>IF(X36="","",IFERROR(INDEX($AQ$11:$AQ$4010,MATCH(26,$AY$11:$AY$4010,0)),""))</f>
        <v/>
      </c>
      <c r="AB36" s="29" t="str">
        <f>IF(X36="","",IFERROR(INDEX($AR$11:$AR$4010,MATCH(26,$AY$11:$AY$4010,0)),""))</f>
        <v/>
      </c>
      <c r="AD36" s="30" t="str">
        <f>IF(AE36="","",IFERROR(INDEX($AL$11:$AL$4010,MATCH(26,$AZ$11:$AZ$4010,0)),""))</f>
        <v/>
      </c>
      <c r="AE36" s="26" t="str">
        <f>IFERROR(INDEX($AM$11:$AM$4010,MATCH(26,$AZ$11:$AZ$4010,0)),"")</f>
        <v/>
      </c>
      <c r="AF36" s="25" t="str">
        <f>IF(AE36="","",IFERROR(INDEX($AN$11:$AN$4010,MATCH(26,$AZ$11:$AZ$4010,0)),""))</f>
        <v/>
      </c>
      <c r="AG36" s="25" t="str">
        <f>IF(AE36="","",IFERROR(INDEX($AO$11:$AO$4010,MATCH(26,$AZ$11:$AZ$4010,0)),""))</f>
        <v/>
      </c>
      <c r="AH36" s="24" t="str">
        <f>IF(AE36="","",IFERROR(INDEX($AQ$11:$AQ$4010,MATCH(26,$AZ$11:$AZ$4010,0)),""))</f>
        <v/>
      </c>
      <c r="AI36" s="29" t="str">
        <f>IF(AE36="","",IFERROR(INDEX($AR$11:$AR$4010,MATCH(26,$AZ$11:$AZ$4010,0)),""))</f>
        <v/>
      </c>
      <c r="AJ36" s="29" t="str">
        <f>IF(AE36="","",IFERROR(INDEX($AT$11:$AT$4010,MATCH(26,$AZ$11:$AZ$4010,0)),""))</f>
        <v/>
      </c>
      <c r="AL36" s="31" t="str">
        <f t="shared" si="5"/>
        <v/>
      </c>
      <c r="AM36" s="26" t="str">
        <f t="shared" si="6"/>
        <v/>
      </c>
      <c r="AN36" s="32" t="str">
        <f t="shared" si="7"/>
        <v/>
      </c>
      <c r="AO36" s="32" t="str">
        <f t="shared" si="8"/>
        <v/>
      </c>
      <c r="AP36" s="24" t="str">
        <f t="shared" si="9"/>
        <v/>
      </c>
      <c r="AQ36" s="24" t="str">
        <f t="shared" si="10"/>
        <v/>
      </c>
      <c r="AR36" s="33" t="str">
        <f t="shared" si="11"/>
        <v/>
      </c>
      <c r="AS36" s="34"/>
      <c r="AT36" s="33"/>
      <c r="AV36" s="21">
        <f>IF(AND($AL36&lt;&gt;"",COUNTIF($AL$11:$AL36,$AL36)=1),1,0)</f>
        <v>0</v>
      </c>
      <c r="AW36" s="21">
        <f t="shared" si="13"/>
        <v>0</v>
      </c>
      <c r="AX36" s="21" t="str">
        <f t="shared" si="12"/>
        <v/>
      </c>
      <c r="AY36" s="21" t="str">
        <f>IF(AND($AM36&lt;&gt;"",$AS36&lt;&gt;"✓"),SUMPRODUCT(($AM$11:$AM36&lt;&gt;"")*($AS$11:$AS36&lt;&gt;"✓")),"")</f>
        <v/>
      </c>
      <c r="AZ36" s="21" t="str">
        <f>IF(AND($AM36&lt;&gt;"",$AS36="✓"),SUMPRODUCT(($AM$11:$AM36&lt;&gt;"")*($AS$11:$AS36="✓")),"")</f>
        <v/>
      </c>
      <c r="BA36" s="21" t="str">
        <f>IF($AL36="","",$AL36&amp;"|"&amp;COUNTIF($AL$11:$AL36,$AL36))</f>
        <v/>
      </c>
      <c r="BD36" s="36" t="str">
        <f>IF(IFERROR(INDEX($AM$11:$AM$4010,MATCH($S$8&amp;"|"&amp;24,$BA$11:$BA$4010,0)),"")="","",24)</f>
        <v/>
      </c>
      <c r="BE36" s="36" t="str">
        <f>IFERROR(INDEX($AM$11:$AM$4010,MATCH($S$8&amp;"|"&amp;24,$BA$11:$BA$4010,0)),"")</f>
        <v/>
      </c>
      <c r="BF36" s="36" t="str">
        <f>IFERROR(INDEX($AP$11:$AP$4010,MATCH($S$8&amp;"|"&amp;24,$BA$11:$BA$4010,0)),"")</f>
        <v/>
      </c>
      <c r="BG36" s="36" t="str">
        <f>IFERROR(INDEX($AQ$11:$AQ$4010,MATCH($S$8&amp;"|"&amp;24,$BA$11:$BA$4010,0)),"")</f>
        <v/>
      </c>
      <c r="BH36" s="37" t="str">
        <f>IFERROR(INDEX($AN$11:$AN$4010,MATCH($S$8&amp;"|"&amp;24,$BA$11:$BA$4010,0)),"")</f>
        <v/>
      </c>
      <c r="BI36" s="37" t="str">
        <f>IFERROR(INDEX($AO$11:$AO$4010,MATCH($S$8&amp;"|"&amp;24,$BA$11:$BA$4010,0)),"")</f>
        <v/>
      </c>
      <c r="BL36" s="36" t="str">
        <f>IF(IFERROR(INDEX($AM$11:$AM$4010,MATCH($S$8&amp;"|"&amp;24,$BA$11:$BA$4010,0)),"")="","",24)</f>
        <v/>
      </c>
      <c r="BM36" s="36" t="str">
        <f>IFERROR(INDEX($AM$11:$AM$4010,MATCH($S$8&amp;"|"&amp;24,$BA$11:$BA$4010,0)),"")</f>
        <v/>
      </c>
      <c r="BN36" s="36" t="str">
        <f>IFERROR(INDEX($AP$11:$AP$4010,MATCH($S$8&amp;"|"&amp;24,$BA$11:$BA$4010,0)),"")</f>
        <v/>
      </c>
      <c r="BO36" s="36" t="str">
        <f>IFERROR(INDEX($AQ$11:$AQ$4010,MATCH($S$8&amp;"|"&amp;24,$BA$11:$BA$4010,0)),"")</f>
        <v/>
      </c>
      <c r="BP36" s="37" t="str">
        <f>IFERROR(INDEX($AN$11:$AN$4010,MATCH($S$8&amp;"|"&amp;24,$BA$11:$BA$4010,0)),"")</f>
        <v/>
      </c>
      <c r="BQ36" s="37" t="str">
        <f>IFERROR(INDEX($AO$11:$AO$4010,MATCH($S$8&amp;"|"&amp;24,$BA$11:$BA$4010,0)),"")</f>
        <v/>
      </c>
    </row>
    <row r="37" spans="2:69" ht="13.5" customHeight="1" x14ac:dyDescent="0.25">
      <c r="B37" s="5" t="str">
        <f t="shared" si="0"/>
        <v/>
      </c>
      <c r="C37" s="5"/>
      <c r="D37" s="5"/>
      <c r="E37" s="5"/>
      <c r="F37" s="6"/>
      <c r="G37" s="6"/>
      <c r="H37" s="7"/>
      <c r="I37" s="8"/>
      <c r="K37" s="9" t="str">
        <f>IFERROR(INDEX($AL$11:$AL$4010,MATCH(27,$AX$11:$AX$4010,0)),"")</f>
        <v/>
      </c>
      <c r="L37" s="10" t="str">
        <f t="shared" si="1"/>
        <v/>
      </c>
      <c r="M37" s="11" t="str">
        <f t="shared" si="2"/>
        <v/>
      </c>
      <c r="N37" s="11" t="str">
        <f t="shared" si="3"/>
        <v/>
      </c>
      <c r="P37" s="12" t="str">
        <f>IFERROR(INDEX($AM$11:$AM$4010,MATCH($S$8&amp;"|"&amp;27,$BA$11:$BA$4010,0)),"")</f>
        <v/>
      </c>
      <c r="Q37" s="11" t="str">
        <f>IF(P37="","",IFERROR(INDEX($AN$11:$AN$4010,MATCH($S$8&amp;"|"&amp;27,$BA$11:$BA$4010,0)),""))</f>
        <v/>
      </c>
      <c r="R37" s="11" t="str">
        <f>IF(P37="","",IFERROR(INDEX($AO$11:$AO$4010,MATCH($S$8&amp;"|"&amp;27,$BA$11:$BA$4010,0)),""))</f>
        <v/>
      </c>
      <c r="S37" s="10" t="str">
        <f>IF(P37="","",IFERROR(INDEX($AP$11:$AP$4010,MATCH($S$8&amp;"|"&amp;27,$BA$11:$BA$4010,0)),""))</f>
        <v/>
      </c>
      <c r="T37" s="10" t="str">
        <f>IF(P37="","",IFERROR(INDEX($AQ$11:$AQ$4010,MATCH($S$8&amp;"|"&amp;27,$BA$11:$BA$4010,0)),""))</f>
        <v/>
      </c>
      <c r="U37" s="39" t="str">
        <f t="shared" si="4"/>
        <v/>
      </c>
      <c r="W37" s="14" t="str">
        <f>IF(X37="","",IFERROR(INDEX($AL$11:$AL$4010,MATCH(27,$AY$11:$AY$4010,0)),""))</f>
        <v/>
      </c>
      <c r="X37" s="12" t="str">
        <f>IFERROR(INDEX($AM$11:$AM$4010,MATCH(27,$AY$11:$AY$4010,0)),"")</f>
        <v/>
      </c>
      <c r="Y37" s="11" t="str">
        <f>IF(X37="","",IFERROR(INDEX($AN$11:$AN$4010,MATCH(27,$AY$11:$AY$4010,0)),""))</f>
        <v/>
      </c>
      <c r="Z37" s="11" t="str">
        <f>IF(X37="","",IFERROR(INDEX($AO$11:$AO$4010,MATCH(27,$AY$11:$AY$4010,0)),""))</f>
        <v/>
      </c>
      <c r="AA37" s="10" t="str">
        <f>IF(X37="","",IFERROR(INDEX($AQ$11:$AQ$4010,MATCH(27,$AY$11:$AY$4010,0)),""))</f>
        <v/>
      </c>
      <c r="AB37" s="15" t="str">
        <f>IF(X37="","",IFERROR(INDEX($AR$11:$AR$4010,MATCH(27,$AY$11:$AY$4010,0)),""))</f>
        <v/>
      </c>
      <c r="AD37" s="16" t="str">
        <f>IF(AE37="","",IFERROR(INDEX($AL$11:$AL$4010,MATCH(27,$AZ$11:$AZ$4010,0)),""))</f>
        <v/>
      </c>
      <c r="AE37" s="12" t="str">
        <f>IFERROR(INDEX($AM$11:$AM$4010,MATCH(27,$AZ$11:$AZ$4010,0)),"")</f>
        <v/>
      </c>
      <c r="AF37" s="11" t="str">
        <f>IF(AE37="","",IFERROR(INDEX($AN$11:$AN$4010,MATCH(27,$AZ$11:$AZ$4010,0)),""))</f>
        <v/>
      </c>
      <c r="AG37" s="11" t="str">
        <f>IF(AE37="","",IFERROR(INDEX($AO$11:$AO$4010,MATCH(27,$AZ$11:$AZ$4010,0)),""))</f>
        <v/>
      </c>
      <c r="AH37" s="10" t="str">
        <f>IF(AE37="","",IFERROR(INDEX($AQ$11:$AQ$4010,MATCH(27,$AZ$11:$AZ$4010,0)),""))</f>
        <v/>
      </c>
      <c r="AI37" s="15" t="str">
        <f>IF(AE37="","",IFERROR(INDEX($AR$11:$AR$4010,MATCH(27,$AZ$11:$AZ$4010,0)),""))</f>
        <v/>
      </c>
      <c r="AJ37" s="15" t="str">
        <f>IF(AE37="","",IFERROR(INDEX($AT$11:$AT$4010,MATCH(27,$AZ$11:$AZ$4010,0)),""))</f>
        <v/>
      </c>
      <c r="AL37" s="17" t="str">
        <f t="shared" si="5"/>
        <v/>
      </c>
      <c r="AM37" s="12" t="str">
        <f t="shared" si="6"/>
        <v/>
      </c>
      <c r="AN37" s="18" t="str">
        <f t="shared" si="7"/>
        <v/>
      </c>
      <c r="AO37" s="18" t="str">
        <f t="shared" si="8"/>
        <v/>
      </c>
      <c r="AP37" s="10" t="str">
        <f t="shared" si="9"/>
        <v/>
      </c>
      <c r="AQ37" s="10" t="str">
        <f t="shared" si="10"/>
        <v/>
      </c>
      <c r="AR37" s="19" t="str">
        <f t="shared" si="11"/>
        <v/>
      </c>
      <c r="AS37" s="20"/>
      <c r="AT37" s="19"/>
      <c r="AV37" s="21">
        <f>IF(AND($AL37&lt;&gt;"",COUNTIF($AL$11:$AL37,$AL37)=1),1,0)</f>
        <v>0</v>
      </c>
      <c r="AW37" s="21">
        <f t="shared" si="13"/>
        <v>0</v>
      </c>
      <c r="AX37" s="21" t="str">
        <f t="shared" si="12"/>
        <v/>
      </c>
      <c r="AY37" s="21" t="str">
        <f>IF(AND($AM37&lt;&gt;"",$AS37&lt;&gt;"✓"),SUMPRODUCT(($AM$11:$AM37&lt;&gt;"")*($AS$11:$AS37&lt;&gt;"✓")),"")</f>
        <v/>
      </c>
      <c r="AZ37" s="21" t="str">
        <f>IF(AND($AM37&lt;&gt;"",$AS37="✓"),SUMPRODUCT(($AM$11:$AM37&lt;&gt;"")*($AS$11:$AS37="✓")),"")</f>
        <v/>
      </c>
      <c r="BA37" s="21" t="str">
        <f>IF($AL37="","",$AL37&amp;"|"&amp;COUNTIF($AL$11:$AL37,$AL37))</f>
        <v/>
      </c>
      <c r="BD37" s="36" t="str">
        <f>IF(IFERROR(INDEX($AM$11:$AM$4010,MATCH($S$8&amp;"|"&amp;25,$BA$11:$BA$4010,0)),"")="","",25)</f>
        <v/>
      </c>
      <c r="BE37" s="36" t="str">
        <f>IFERROR(INDEX($AM$11:$AM$4010,MATCH($S$8&amp;"|"&amp;25,$BA$11:$BA$4010,0)),"")</f>
        <v/>
      </c>
      <c r="BF37" s="36" t="str">
        <f>IFERROR(INDEX($AP$11:$AP$4010,MATCH($S$8&amp;"|"&amp;25,$BA$11:$BA$4010,0)),"")</f>
        <v/>
      </c>
      <c r="BG37" s="36" t="str">
        <f>IFERROR(INDEX($AQ$11:$AQ$4010,MATCH($S$8&amp;"|"&amp;25,$BA$11:$BA$4010,0)),"")</f>
        <v/>
      </c>
      <c r="BH37" s="37" t="str">
        <f>IFERROR(INDEX($AN$11:$AN$4010,MATCH($S$8&amp;"|"&amp;25,$BA$11:$BA$4010,0)),"")</f>
        <v/>
      </c>
      <c r="BI37" s="37" t="str">
        <f>IFERROR(INDEX($AO$11:$AO$4010,MATCH($S$8&amp;"|"&amp;25,$BA$11:$BA$4010,0)),"")</f>
        <v/>
      </c>
      <c r="BL37" s="36" t="str">
        <f>IF(IFERROR(INDEX($AM$11:$AM$4010,MATCH($S$8&amp;"|"&amp;25,$BA$11:$BA$4010,0)),"")="","",25)</f>
        <v/>
      </c>
      <c r="BM37" s="36" t="str">
        <f>IFERROR(INDEX($AM$11:$AM$4010,MATCH($S$8&amp;"|"&amp;25,$BA$11:$BA$4010,0)),"")</f>
        <v/>
      </c>
      <c r="BN37" s="36" t="str">
        <f>IFERROR(INDEX($AP$11:$AP$4010,MATCH($S$8&amp;"|"&amp;25,$BA$11:$BA$4010,0)),"")</f>
        <v/>
      </c>
      <c r="BO37" s="36" t="str">
        <f>IFERROR(INDEX($AQ$11:$AQ$4010,MATCH($S$8&amp;"|"&amp;25,$BA$11:$BA$4010,0)),"")</f>
        <v/>
      </c>
      <c r="BP37" s="37" t="str">
        <f>IFERROR(INDEX($AN$11:$AN$4010,MATCH($S$8&amp;"|"&amp;25,$BA$11:$BA$4010,0)),"")</f>
        <v/>
      </c>
      <c r="BQ37" s="37" t="str">
        <f>IFERROR(INDEX($AO$11:$AO$4010,MATCH($S$8&amp;"|"&amp;25,$BA$11:$BA$4010,0)),"")</f>
        <v/>
      </c>
    </row>
    <row r="38" spans="2:69" ht="13.5" customHeight="1" x14ac:dyDescent="0.25">
      <c r="B38" s="5" t="str">
        <f t="shared" si="0"/>
        <v/>
      </c>
      <c r="C38" s="5"/>
      <c r="D38" s="5"/>
      <c r="E38" s="5"/>
      <c r="F38" s="6"/>
      <c r="G38" s="6"/>
      <c r="H38" s="7"/>
      <c r="I38" s="8"/>
      <c r="K38" s="23" t="str">
        <f>IFERROR(INDEX($AL$11:$AL$4010,MATCH(28,$AX$11:$AX$4010,0)),"")</f>
        <v/>
      </c>
      <c r="L38" s="24" t="str">
        <f t="shared" si="1"/>
        <v/>
      </c>
      <c r="M38" s="25" t="str">
        <f t="shared" si="2"/>
        <v/>
      </c>
      <c r="N38" s="25" t="str">
        <f t="shared" si="3"/>
        <v/>
      </c>
      <c r="P38" s="26" t="str">
        <f>IFERROR(INDEX($AM$11:$AM$4010,MATCH($S$8&amp;"|"&amp;28,$BA$11:$BA$4010,0)),"")</f>
        <v/>
      </c>
      <c r="Q38" s="25" t="str">
        <f>IF(P38="","",IFERROR(INDEX($AN$11:$AN$4010,MATCH($S$8&amp;"|"&amp;28,$BA$11:$BA$4010,0)),""))</f>
        <v/>
      </c>
      <c r="R38" s="25" t="str">
        <f>IF(P38="","",IFERROR(INDEX($AO$11:$AO$4010,MATCH($S$8&amp;"|"&amp;28,$BA$11:$BA$4010,0)),""))</f>
        <v/>
      </c>
      <c r="S38" s="24" t="str">
        <f>IF(P38="","",IFERROR(INDEX($AP$11:$AP$4010,MATCH($S$8&amp;"|"&amp;28,$BA$11:$BA$4010,0)),""))</f>
        <v/>
      </c>
      <c r="T38" s="24" t="str">
        <f>IF(P38="","",IFERROR(INDEX($AQ$11:$AQ$4010,MATCH($S$8&amp;"|"&amp;28,$BA$11:$BA$4010,0)),""))</f>
        <v/>
      </c>
      <c r="U38" s="38" t="str">
        <f t="shared" si="4"/>
        <v/>
      </c>
      <c r="W38" s="28" t="str">
        <f>IF(X38="","",IFERROR(INDEX($AL$11:$AL$4010,MATCH(28,$AY$11:$AY$4010,0)),""))</f>
        <v/>
      </c>
      <c r="X38" s="26" t="str">
        <f>IFERROR(INDEX($AM$11:$AM$4010,MATCH(28,$AY$11:$AY$4010,0)),"")</f>
        <v/>
      </c>
      <c r="Y38" s="25" t="str">
        <f>IF(X38="","",IFERROR(INDEX($AN$11:$AN$4010,MATCH(28,$AY$11:$AY$4010,0)),""))</f>
        <v/>
      </c>
      <c r="Z38" s="25" t="str">
        <f>IF(X38="","",IFERROR(INDEX($AO$11:$AO$4010,MATCH(28,$AY$11:$AY$4010,0)),""))</f>
        <v/>
      </c>
      <c r="AA38" s="24" t="str">
        <f>IF(X38="","",IFERROR(INDEX($AQ$11:$AQ$4010,MATCH(28,$AY$11:$AY$4010,0)),""))</f>
        <v/>
      </c>
      <c r="AB38" s="29" t="str">
        <f>IF(X38="","",IFERROR(INDEX($AR$11:$AR$4010,MATCH(28,$AY$11:$AY$4010,0)),""))</f>
        <v/>
      </c>
      <c r="AD38" s="30" t="str">
        <f>IF(AE38="","",IFERROR(INDEX($AL$11:$AL$4010,MATCH(28,$AZ$11:$AZ$4010,0)),""))</f>
        <v/>
      </c>
      <c r="AE38" s="26" t="str">
        <f>IFERROR(INDEX($AM$11:$AM$4010,MATCH(28,$AZ$11:$AZ$4010,0)),"")</f>
        <v/>
      </c>
      <c r="AF38" s="25" t="str">
        <f>IF(AE38="","",IFERROR(INDEX($AN$11:$AN$4010,MATCH(28,$AZ$11:$AZ$4010,0)),""))</f>
        <v/>
      </c>
      <c r="AG38" s="25" t="str">
        <f>IF(AE38="","",IFERROR(INDEX($AO$11:$AO$4010,MATCH(28,$AZ$11:$AZ$4010,0)),""))</f>
        <v/>
      </c>
      <c r="AH38" s="24" t="str">
        <f>IF(AE38="","",IFERROR(INDEX($AQ$11:$AQ$4010,MATCH(28,$AZ$11:$AZ$4010,0)),""))</f>
        <v/>
      </c>
      <c r="AI38" s="29" t="str">
        <f>IF(AE38="","",IFERROR(INDEX($AR$11:$AR$4010,MATCH(28,$AZ$11:$AZ$4010,0)),""))</f>
        <v/>
      </c>
      <c r="AJ38" s="29" t="str">
        <f>IF(AE38="","",IFERROR(INDEX($AT$11:$AT$4010,MATCH(28,$AZ$11:$AZ$4010,0)),""))</f>
        <v/>
      </c>
      <c r="AL38" s="31" t="str">
        <f t="shared" si="5"/>
        <v/>
      </c>
      <c r="AM38" s="26" t="str">
        <f t="shared" si="6"/>
        <v/>
      </c>
      <c r="AN38" s="32" t="str">
        <f t="shared" si="7"/>
        <v/>
      </c>
      <c r="AO38" s="32" t="str">
        <f t="shared" si="8"/>
        <v/>
      </c>
      <c r="AP38" s="24" t="str">
        <f t="shared" si="9"/>
        <v/>
      </c>
      <c r="AQ38" s="24" t="str">
        <f t="shared" si="10"/>
        <v/>
      </c>
      <c r="AR38" s="33" t="str">
        <f t="shared" si="11"/>
        <v/>
      </c>
      <c r="AS38" s="34"/>
      <c r="AT38" s="33"/>
      <c r="AV38" s="21">
        <f>IF(AND($AL38&lt;&gt;"",COUNTIF($AL$11:$AL38,$AL38)=1),1,0)</f>
        <v>0</v>
      </c>
      <c r="AW38" s="21">
        <f t="shared" si="13"/>
        <v>0</v>
      </c>
      <c r="AX38" s="21" t="str">
        <f t="shared" si="12"/>
        <v/>
      </c>
      <c r="AY38" s="21" t="str">
        <f>IF(AND($AM38&lt;&gt;"",$AS38&lt;&gt;"✓"),SUMPRODUCT(($AM$11:$AM38&lt;&gt;"")*($AS$11:$AS38&lt;&gt;"✓")),"")</f>
        <v/>
      </c>
      <c r="AZ38" s="21" t="str">
        <f>IF(AND($AM38&lt;&gt;"",$AS38="✓"),SUMPRODUCT(($AM$11:$AM38&lt;&gt;"")*($AS$11:$AS38="✓")),"")</f>
        <v/>
      </c>
      <c r="BA38" s="21" t="str">
        <f>IF($AL38="","",$AL38&amp;"|"&amp;COUNTIF($AL$11:$AL38,$AL38))</f>
        <v/>
      </c>
      <c r="BD38" s="36" t="str">
        <f>IF(IFERROR(INDEX($AM$11:$AM$4010,MATCH($S$8&amp;"|"&amp;26,$BA$11:$BA$4010,0)),"")="","",26)</f>
        <v/>
      </c>
      <c r="BE38" s="36" t="str">
        <f>IFERROR(INDEX($AM$11:$AM$4010,MATCH($S$8&amp;"|"&amp;26,$BA$11:$BA$4010,0)),"")</f>
        <v/>
      </c>
      <c r="BF38" s="36" t="str">
        <f>IFERROR(INDEX($AP$11:$AP$4010,MATCH($S$8&amp;"|"&amp;26,$BA$11:$BA$4010,0)),"")</f>
        <v/>
      </c>
      <c r="BG38" s="36" t="str">
        <f>IFERROR(INDEX($AQ$11:$AQ$4010,MATCH($S$8&amp;"|"&amp;26,$BA$11:$BA$4010,0)),"")</f>
        <v/>
      </c>
      <c r="BH38" s="37" t="str">
        <f>IFERROR(INDEX($AN$11:$AN$4010,MATCH($S$8&amp;"|"&amp;26,$BA$11:$BA$4010,0)),"")</f>
        <v/>
      </c>
      <c r="BI38" s="37" t="str">
        <f>IFERROR(INDEX($AO$11:$AO$4010,MATCH($S$8&amp;"|"&amp;26,$BA$11:$BA$4010,0)),"")</f>
        <v/>
      </c>
      <c r="BL38" s="36" t="str">
        <f>IF(IFERROR(INDEX($AM$11:$AM$4010,MATCH($S$8&amp;"|"&amp;26,$BA$11:$BA$4010,0)),"")="","",26)</f>
        <v/>
      </c>
      <c r="BM38" s="36" t="str">
        <f>IFERROR(INDEX($AM$11:$AM$4010,MATCH($S$8&amp;"|"&amp;26,$BA$11:$BA$4010,0)),"")</f>
        <v/>
      </c>
      <c r="BN38" s="36" t="str">
        <f>IFERROR(INDEX($AP$11:$AP$4010,MATCH($S$8&amp;"|"&amp;26,$BA$11:$BA$4010,0)),"")</f>
        <v/>
      </c>
      <c r="BO38" s="36" t="str">
        <f>IFERROR(INDEX($AQ$11:$AQ$4010,MATCH($S$8&amp;"|"&amp;26,$BA$11:$BA$4010,0)),"")</f>
        <v/>
      </c>
      <c r="BP38" s="37" t="str">
        <f>IFERROR(INDEX($AN$11:$AN$4010,MATCH($S$8&amp;"|"&amp;26,$BA$11:$BA$4010,0)),"")</f>
        <v/>
      </c>
      <c r="BQ38" s="37" t="str">
        <f>IFERROR(INDEX($AO$11:$AO$4010,MATCH($S$8&amp;"|"&amp;26,$BA$11:$BA$4010,0)),"")</f>
        <v/>
      </c>
    </row>
    <row r="39" spans="2:69" ht="13.5" customHeight="1" x14ac:dyDescent="0.25">
      <c r="B39" s="5" t="str">
        <f t="shared" si="0"/>
        <v/>
      </c>
      <c r="C39" s="5"/>
      <c r="D39" s="5"/>
      <c r="E39" s="5"/>
      <c r="F39" s="6"/>
      <c r="G39" s="6"/>
      <c r="H39" s="7"/>
      <c r="I39" s="8"/>
      <c r="K39" s="9" t="str">
        <f>IFERROR(INDEX($AL$11:$AL$4010,MATCH(29,$AX$11:$AX$4010,0)),"")</f>
        <v/>
      </c>
      <c r="L39" s="10" t="str">
        <f t="shared" si="1"/>
        <v/>
      </c>
      <c r="M39" s="11" t="str">
        <f t="shared" si="2"/>
        <v/>
      </c>
      <c r="N39" s="11" t="str">
        <f t="shared" si="3"/>
        <v/>
      </c>
      <c r="P39" s="12" t="str">
        <f>IFERROR(INDEX($AM$11:$AM$4010,MATCH($S$8&amp;"|"&amp;29,$BA$11:$BA$4010,0)),"")</f>
        <v/>
      </c>
      <c r="Q39" s="11" t="str">
        <f>IF(P39="","",IFERROR(INDEX($AN$11:$AN$4010,MATCH($S$8&amp;"|"&amp;29,$BA$11:$BA$4010,0)),""))</f>
        <v/>
      </c>
      <c r="R39" s="11" t="str">
        <f>IF(P39="","",IFERROR(INDEX($AO$11:$AO$4010,MATCH($S$8&amp;"|"&amp;29,$BA$11:$BA$4010,0)),""))</f>
        <v/>
      </c>
      <c r="S39" s="10" t="str">
        <f>IF(P39="","",IFERROR(INDEX($AP$11:$AP$4010,MATCH($S$8&amp;"|"&amp;29,$BA$11:$BA$4010,0)),""))</f>
        <v/>
      </c>
      <c r="T39" s="10" t="str">
        <f>IF(P39="","",IFERROR(INDEX($AQ$11:$AQ$4010,MATCH($S$8&amp;"|"&amp;29,$BA$11:$BA$4010,0)),""))</f>
        <v/>
      </c>
      <c r="U39" s="39" t="str">
        <f t="shared" si="4"/>
        <v/>
      </c>
      <c r="W39" s="14" t="str">
        <f>IF(X39="","",IFERROR(INDEX($AL$11:$AL$4010,MATCH(29,$AY$11:$AY$4010,0)),""))</f>
        <v/>
      </c>
      <c r="X39" s="12" t="str">
        <f>IFERROR(INDEX($AM$11:$AM$4010,MATCH(29,$AY$11:$AY$4010,0)),"")</f>
        <v/>
      </c>
      <c r="Y39" s="11" t="str">
        <f>IF(X39="","",IFERROR(INDEX($AN$11:$AN$4010,MATCH(29,$AY$11:$AY$4010,0)),""))</f>
        <v/>
      </c>
      <c r="Z39" s="11" t="str">
        <f>IF(X39="","",IFERROR(INDEX($AO$11:$AO$4010,MATCH(29,$AY$11:$AY$4010,0)),""))</f>
        <v/>
      </c>
      <c r="AA39" s="10" t="str">
        <f>IF(X39="","",IFERROR(INDEX($AQ$11:$AQ$4010,MATCH(29,$AY$11:$AY$4010,0)),""))</f>
        <v/>
      </c>
      <c r="AB39" s="15" t="str">
        <f>IF(X39="","",IFERROR(INDEX($AR$11:$AR$4010,MATCH(29,$AY$11:$AY$4010,0)),""))</f>
        <v/>
      </c>
      <c r="AD39" s="16" t="str">
        <f>IF(AE39="","",IFERROR(INDEX($AL$11:$AL$4010,MATCH(29,$AZ$11:$AZ$4010,0)),""))</f>
        <v/>
      </c>
      <c r="AE39" s="12" t="str">
        <f>IFERROR(INDEX($AM$11:$AM$4010,MATCH(29,$AZ$11:$AZ$4010,0)),"")</f>
        <v/>
      </c>
      <c r="AF39" s="11" t="str">
        <f>IF(AE39="","",IFERROR(INDEX($AN$11:$AN$4010,MATCH(29,$AZ$11:$AZ$4010,0)),""))</f>
        <v/>
      </c>
      <c r="AG39" s="11" t="str">
        <f>IF(AE39="","",IFERROR(INDEX($AO$11:$AO$4010,MATCH(29,$AZ$11:$AZ$4010,0)),""))</f>
        <v/>
      </c>
      <c r="AH39" s="10" t="str">
        <f>IF(AE39="","",IFERROR(INDEX($AQ$11:$AQ$4010,MATCH(29,$AZ$11:$AZ$4010,0)),""))</f>
        <v/>
      </c>
      <c r="AI39" s="15" t="str">
        <f>IF(AE39="","",IFERROR(INDEX($AR$11:$AR$4010,MATCH(29,$AZ$11:$AZ$4010,0)),""))</f>
        <v/>
      </c>
      <c r="AJ39" s="15" t="str">
        <f>IF(AE39="","",IFERROR(INDEX($AT$11:$AT$4010,MATCH(29,$AZ$11:$AZ$4010,0)),""))</f>
        <v/>
      </c>
      <c r="AL39" s="17" t="str">
        <f t="shared" si="5"/>
        <v/>
      </c>
      <c r="AM39" s="12" t="str">
        <f t="shared" si="6"/>
        <v/>
      </c>
      <c r="AN39" s="18" t="str">
        <f t="shared" si="7"/>
        <v/>
      </c>
      <c r="AO39" s="18" t="str">
        <f t="shared" si="8"/>
        <v/>
      </c>
      <c r="AP39" s="10" t="str">
        <f t="shared" si="9"/>
        <v/>
      </c>
      <c r="AQ39" s="10" t="str">
        <f t="shared" si="10"/>
        <v/>
      </c>
      <c r="AR39" s="19" t="str">
        <f t="shared" si="11"/>
        <v/>
      </c>
      <c r="AS39" s="20"/>
      <c r="AT39" s="19"/>
      <c r="AV39" s="21">
        <f>IF(AND($AL39&lt;&gt;"",COUNTIF($AL$11:$AL39,$AL39)=1),1,0)</f>
        <v>0</v>
      </c>
      <c r="AW39" s="21">
        <f t="shared" si="13"/>
        <v>0</v>
      </c>
      <c r="AX39" s="21" t="str">
        <f t="shared" si="12"/>
        <v/>
      </c>
      <c r="AY39" s="21" t="str">
        <f>IF(AND($AM39&lt;&gt;"",$AS39&lt;&gt;"✓"),SUMPRODUCT(($AM$11:$AM39&lt;&gt;"")*($AS$11:$AS39&lt;&gt;"✓")),"")</f>
        <v/>
      </c>
      <c r="AZ39" s="21" t="str">
        <f>IF(AND($AM39&lt;&gt;"",$AS39="✓"),SUMPRODUCT(($AM$11:$AM39&lt;&gt;"")*($AS$11:$AS39="✓")),"")</f>
        <v/>
      </c>
      <c r="BA39" s="21" t="str">
        <f>IF($AL39="","",$AL39&amp;"|"&amp;COUNTIF($AL$11:$AL39,$AL39))</f>
        <v/>
      </c>
      <c r="BD39" s="36" t="str">
        <f>IF(IFERROR(INDEX($AM$11:$AM$4010,MATCH($S$8&amp;"|"&amp;27,$BA$11:$BA$4010,0)),"")="","",27)</f>
        <v/>
      </c>
      <c r="BE39" s="36" t="str">
        <f>IFERROR(INDEX($AM$11:$AM$4010,MATCH($S$8&amp;"|"&amp;27,$BA$11:$BA$4010,0)),"")</f>
        <v/>
      </c>
      <c r="BF39" s="36" t="str">
        <f>IFERROR(INDEX($AP$11:$AP$4010,MATCH($S$8&amp;"|"&amp;27,$BA$11:$BA$4010,0)),"")</f>
        <v/>
      </c>
      <c r="BG39" s="36" t="str">
        <f>IFERROR(INDEX($AQ$11:$AQ$4010,MATCH($S$8&amp;"|"&amp;27,$BA$11:$BA$4010,0)),"")</f>
        <v/>
      </c>
      <c r="BH39" s="37" t="str">
        <f>IFERROR(INDEX($AN$11:$AN$4010,MATCH($S$8&amp;"|"&amp;27,$BA$11:$BA$4010,0)),"")</f>
        <v/>
      </c>
      <c r="BI39" s="37" t="str">
        <f>IFERROR(INDEX($AO$11:$AO$4010,MATCH($S$8&amp;"|"&amp;27,$BA$11:$BA$4010,0)),"")</f>
        <v/>
      </c>
      <c r="BL39" s="36" t="str">
        <f>IF(IFERROR(INDEX($AM$11:$AM$4010,MATCH($S$8&amp;"|"&amp;27,$BA$11:$BA$4010,0)),"")="","",27)</f>
        <v/>
      </c>
      <c r="BM39" s="36" t="str">
        <f>IFERROR(INDEX($AM$11:$AM$4010,MATCH($S$8&amp;"|"&amp;27,$BA$11:$BA$4010,0)),"")</f>
        <v/>
      </c>
      <c r="BN39" s="36" t="str">
        <f>IFERROR(INDEX($AP$11:$AP$4010,MATCH($S$8&amp;"|"&amp;27,$BA$11:$BA$4010,0)),"")</f>
        <v/>
      </c>
      <c r="BO39" s="36" t="str">
        <f>IFERROR(INDEX($AQ$11:$AQ$4010,MATCH($S$8&amp;"|"&amp;27,$BA$11:$BA$4010,0)),"")</f>
        <v/>
      </c>
      <c r="BP39" s="37" t="str">
        <f>IFERROR(INDEX($AN$11:$AN$4010,MATCH($S$8&amp;"|"&amp;27,$BA$11:$BA$4010,0)),"")</f>
        <v/>
      </c>
      <c r="BQ39" s="37" t="str">
        <f>IFERROR(INDEX($AO$11:$AO$4010,MATCH($S$8&amp;"|"&amp;27,$BA$11:$BA$4010,0)),"")</f>
        <v/>
      </c>
    </row>
    <row r="40" spans="2:69" ht="13.5" customHeight="1" x14ac:dyDescent="0.25">
      <c r="B40" s="5" t="str">
        <f t="shared" si="0"/>
        <v/>
      </c>
      <c r="C40" s="5"/>
      <c r="D40" s="5"/>
      <c r="E40" s="5"/>
      <c r="F40" s="6"/>
      <c r="G40" s="6"/>
      <c r="H40" s="7"/>
      <c r="I40" s="8"/>
      <c r="K40" s="23" t="str">
        <f>IFERROR(INDEX($AL$11:$AL$4010,MATCH(30,$AX$11:$AX$4010,0)),"")</f>
        <v/>
      </c>
      <c r="L40" s="24" t="str">
        <f t="shared" si="1"/>
        <v/>
      </c>
      <c r="M40" s="25" t="str">
        <f t="shared" si="2"/>
        <v/>
      </c>
      <c r="N40" s="25" t="str">
        <f t="shared" si="3"/>
        <v/>
      </c>
      <c r="P40" s="26" t="str">
        <f>IFERROR(INDEX($AM$11:$AM$4010,MATCH($S$8&amp;"|"&amp;30,$BA$11:$BA$4010,0)),"")</f>
        <v/>
      </c>
      <c r="Q40" s="25" t="str">
        <f>IF(P40="","",IFERROR(INDEX($AN$11:$AN$4010,MATCH($S$8&amp;"|"&amp;30,$BA$11:$BA$4010,0)),""))</f>
        <v/>
      </c>
      <c r="R40" s="25" t="str">
        <f>IF(P40="","",IFERROR(INDEX($AO$11:$AO$4010,MATCH($S$8&amp;"|"&amp;30,$BA$11:$BA$4010,0)),""))</f>
        <v/>
      </c>
      <c r="S40" s="24" t="str">
        <f>IF(P40="","",IFERROR(INDEX($AP$11:$AP$4010,MATCH($S$8&amp;"|"&amp;30,$BA$11:$BA$4010,0)),""))</f>
        <v/>
      </c>
      <c r="T40" s="24" t="str">
        <f>IF(P40="","",IFERROR(INDEX($AQ$11:$AQ$4010,MATCH($S$8&amp;"|"&amp;30,$BA$11:$BA$4010,0)),""))</f>
        <v/>
      </c>
      <c r="U40" s="38" t="str">
        <f t="shared" si="4"/>
        <v/>
      </c>
      <c r="W40" s="28" t="str">
        <f>IF(X40="","",IFERROR(INDEX($AL$11:$AL$4010,MATCH(30,$AY$11:$AY$4010,0)),""))</f>
        <v/>
      </c>
      <c r="X40" s="26" t="str">
        <f>IFERROR(INDEX($AM$11:$AM$4010,MATCH(30,$AY$11:$AY$4010,0)),"")</f>
        <v/>
      </c>
      <c r="Y40" s="25" t="str">
        <f>IF(X40="","",IFERROR(INDEX($AN$11:$AN$4010,MATCH(30,$AY$11:$AY$4010,0)),""))</f>
        <v/>
      </c>
      <c r="Z40" s="25" t="str">
        <f>IF(X40="","",IFERROR(INDEX($AO$11:$AO$4010,MATCH(30,$AY$11:$AY$4010,0)),""))</f>
        <v/>
      </c>
      <c r="AA40" s="24" t="str">
        <f>IF(X40="","",IFERROR(INDEX($AQ$11:$AQ$4010,MATCH(30,$AY$11:$AY$4010,0)),""))</f>
        <v/>
      </c>
      <c r="AB40" s="29" t="str">
        <f>IF(X40="","",IFERROR(INDEX($AR$11:$AR$4010,MATCH(30,$AY$11:$AY$4010,0)),""))</f>
        <v/>
      </c>
      <c r="AD40" s="30" t="str">
        <f>IF(AE40="","",IFERROR(INDEX($AL$11:$AL$4010,MATCH(30,$AZ$11:$AZ$4010,0)),""))</f>
        <v/>
      </c>
      <c r="AE40" s="26" t="str">
        <f>IFERROR(INDEX($AM$11:$AM$4010,MATCH(30,$AZ$11:$AZ$4010,0)),"")</f>
        <v/>
      </c>
      <c r="AF40" s="25" t="str">
        <f>IF(AE40="","",IFERROR(INDEX($AN$11:$AN$4010,MATCH(30,$AZ$11:$AZ$4010,0)),""))</f>
        <v/>
      </c>
      <c r="AG40" s="25" t="str">
        <f>IF(AE40="","",IFERROR(INDEX($AO$11:$AO$4010,MATCH(30,$AZ$11:$AZ$4010,0)),""))</f>
        <v/>
      </c>
      <c r="AH40" s="24" t="str">
        <f>IF(AE40="","",IFERROR(INDEX($AQ$11:$AQ$4010,MATCH(30,$AZ$11:$AZ$4010,0)),""))</f>
        <v/>
      </c>
      <c r="AI40" s="29" t="str">
        <f>IF(AE40="","",IFERROR(INDEX($AR$11:$AR$4010,MATCH(30,$AZ$11:$AZ$4010,0)),""))</f>
        <v/>
      </c>
      <c r="AJ40" s="29" t="str">
        <f>IF(AE40="","",IFERROR(INDEX($AT$11:$AT$4010,MATCH(30,$AZ$11:$AZ$4010,0)),""))</f>
        <v/>
      </c>
      <c r="AL40" s="31" t="str">
        <f t="shared" si="5"/>
        <v/>
      </c>
      <c r="AM40" s="26" t="str">
        <f t="shared" si="6"/>
        <v/>
      </c>
      <c r="AN40" s="32" t="str">
        <f t="shared" si="7"/>
        <v/>
      </c>
      <c r="AO40" s="32" t="str">
        <f t="shared" si="8"/>
        <v/>
      </c>
      <c r="AP40" s="24" t="str">
        <f t="shared" si="9"/>
        <v/>
      </c>
      <c r="AQ40" s="24" t="str">
        <f t="shared" si="10"/>
        <v/>
      </c>
      <c r="AR40" s="33" t="str">
        <f t="shared" si="11"/>
        <v/>
      </c>
      <c r="AS40" s="34"/>
      <c r="AT40" s="33"/>
      <c r="AV40" s="21">
        <f>IF(AND($AL40&lt;&gt;"",COUNTIF($AL$11:$AL40,$AL40)=1),1,0)</f>
        <v>0</v>
      </c>
      <c r="AW40" s="21">
        <f t="shared" si="13"/>
        <v>0</v>
      </c>
      <c r="AX40" s="21" t="str">
        <f t="shared" si="12"/>
        <v/>
      </c>
      <c r="AY40" s="21" t="str">
        <f>IF(AND($AM40&lt;&gt;"",$AS40&lt;&gt;"✓"),SUMPRODUCT(($AM$11:$AM40&lt;&gt;"")*($AS$11:$AS40&lt;&gt;"✓")),"")</f>
        <v/>
      </c>
      <c r="AZ40" s="21" t="str">
        <f>IF(AND($AM40&lt;&gt;"",$AS40="✓"),SUMPRODUCT(($AM$11:$AM40&lt;&gt;"")*($AS$11:$AS40="✓")),"")</f>
        <v/>
      </c>
      <c r="BA40" s="21" t="str">
        <f>IF($AL40="","",$AL40&amp;"|"&amp;COUNTIF($AL$11:$AL40,$AL40))</f>
        <v/>
      </c>
      <c r="BD40" s="36" t="str">
        <f>IF(IFERROR(INDEX($AM$11:$AM$4010,MATCH($S$8&amp;"|"&amp;28,$BA$11:$BA$4010,0)),"")="","",28)</f>
        <v/>
      </c>
      <c r="BE40" s="36" t="str">
        <f>IFERROR(INDEX($AM$11:$AM$4010,MATCH($S$8&amp;"|"&amp;28,$BA$11:$BA$4010,0)),"")</f>
        <v/>
      </c>
      <c r="BF40" s="36" t="str">
        <f>IFERROR(INDEX($AP$11:$AP$4010,MATCH($S$8&amp;"|"&amp;28,$BA$11:$BA$4010,0)),"")</f>
        <v/>
      </c>
      <c r="BG40" s="36" t="str">
        <f>IFERROR(INDEX($AQ$11:$AQ$4010,MATCH($S$8&amp;"|"&amp;28,$BA$11:$BA$4010,0)),"")</f>
        <v/>
      </c>
      <c r="BH40" s="37" t="str">
        <f>IFERROR(INDEX($AN$11:$AN$4010,MATCH($S$8&amp;"|"&amp;28,$BA$11:$BA$4010,0)),"")</f>
        <v/>
      </c>
      <c r="BI40" s="37" t="str">
        <f>IFERROR(INDEX($AO$11:$AO$4010,MATCH($S$8&amp;"|"&amp;28,$BA$11:$BA$4010,0)),"")</f>
        <v/>
      </c>
      <c r="BL40" s="36" t="str">
        <f>IF(IFERROR(INDEX($AM$11:$AM$4010,MATCH($S$8&amp;"|"&amp;28,$BA$11:$BA$4010,0)),"")="","",28)</f>
        <v/>
      </c>
      <c r="BM40" s="36" t="str">
        <f>IFERROR(INDEX($AM$11:$AM$4010,MATCH($S$8&amp;"|"&amp;28,$BA$11:$BA$4010,0)),"")</f>
        <v/>
      </c>
      <c r="BN40" s="36" t="str">
        <f>IFERROR(INDEX($AP$11:$AP$4010,MATCH($S$8&amp;"|"&amp;28,$BA$11:$BA$4010,0)),"")</f>
        <v/>
      </c>
      <c r="BO40" s="36" t="str">
        <f>IFERROR(INDEX($AQ$11:$AQ$4010,MATCH($S$8&amp;"|"&amp;28,$BA$11:$BA$4010,0)),"")</f>
        <v/>
      </c>
      <c r="BP40" s="37" t="str">
        <f>IFERROR(INDEX($AN$11:$AN$4010,MATCH($S$8&amp;"|"&amp;28,$BA$11:$BA$4010,0)),"")</f>
        <v/>
      </c>
      <c r="BQ40" s="37" t="str">
        <f>IFERROR(INDEX($AO$11:$AO$4010,MATCH($S$8&amp;"|"&amp;28,$BA$11:$BA$4010,0)),"")</f>
        <v/>
      </c>
    </row>
    <row r="41" spans="2:69" ht="13.5" customHeight="1" x14ac:dyDescent="0.25">
      <c r="B41" s="5" t="str">
        <f t="shared" si="0"/>
        <v/>
      </c>
      <c r="C41" s="5"/>
      <c r="D41" s="5"/>
      <c r="E41" s="5"/>
      <c r="F41" s="6"/>
      <c r="G41" s="6"/>
      <c r="H41" s="7"/>
      <c r="I41" s="8"/>
      <c r="K41" s="9" t="str">
        <f>IFERROR(INDEX($AL$11:$AL$4010,MATCH(31,$AX$11:$AX$4010,0)),"")</f>
        <v/>
      </c>
      <c r="L41" s="10" t="str">
        <f t="shared" si="1"/>
        <v/>
      </c>
      <c r="M41" s="11" t="str">
        <f t="shared" si="2"/>
        <v/>
      </c>
      <c r="N41" s="11" t="str">
        <f t="shared" si="3"/>
        <v/>
      </c>
      <c r="P41" s="12" t="str">
        <f>IFERROR(INDEX($AM$11:$AM$4010,MATCH($S$8&amp;"|"&amp;31,$BA$11:$BA$4010,0)),"")</f>
        <v/>
      </c>
      <c r="Q41" s="11" t="str">
        <f>IF(P41="","",IFERROR(INDEX($AN$11:$AN$4010,MATCH($S$8&amp;"|"&amp;31,$BA$11:$BA$4010,0)),""))</f>
        <v/>
      </c>
      <c r="R41" s="11" t="str">
        <f>IF(P41="","",IFERROR(INDEX($AO$11:$AO$4010,MATCH($S$8&amp;"|"&amp;31,$BA$11:$BA$4010,0)),""))</f>
        <v/>
      </c>
      <c r="S41" s="10" t="str">
        <f>IF(P41="","",IFERROR(INDEX($AP$11:$AP$4010,MATCH($S$8&amp;"|"&amp;31,$BA$11:$BA$4010,0)),""))</f>
        <v/>
      </c>
      <c r="T41" s="10" t="str">
        <f>IF(P41="","",IFERROR(INDEX($AQ$11:$AQ$4010,MATCH($S$8&amp;"|"&amp;31,$BA$11:$BA$4010,0)),""))</f>
        <v/>
      </c>
      <c r="U41" s="39" t="str">
        <f t="shared" si="4"/>
        <v/>
      </c>
      <c r="W41" s="14" t="str">
        <f>IF(X41="","",IFERROR(INDEX($AL$11:$AL$4010,MATCH(31,$AY$11:$AY$4010,0)),""))</f>
        <v/>
      </c>
      <c r="X41" s="12" t="str">
        <f>IFERROR(INDEX($AM$11:$AM$4010,MATCH(31,$AY$11:$AY$4010,0)),"")</f>
        <v/>
      </c>
      <c r="Y41" s="11" t="str">
        <f>IF(X41="","",IFERROR(INDEX($AN$11:$AN$4010,MATCH(31,$AY$11:$AY$4010,0)),""))</f>
        <v/>
      </c>
      <c r="Z41" s="11" t="str">
        <f>IF(X41="","",IFERROR(INDEX($AO$11:$AO$4010,MATCH(31,$AY$11:$AY$4010,0)),""))</f>
        <v/>
      </c>
      <c r="AA41" s="10" t="str">
        <f>IF(X41="","",IFERROR(INDEX($AQ$11:$AQ$4010,MATCH(31,$AY$11:$AY$4010,0)),""))</f>
        <v/>
      </c>
      <c r="AB41" s="15" t="str">
        <f>IF(X41="","",IFERROR(INDEX($AR$11:$AR$4010,MATCH(31,$AY$11:$AY$4010,0)),""))</f>
        <v/>
      </c>
      <c r="AD41" s="16" t="str">
        <f>IF(AE41="","",IFERROR(INDEX($AL$11:$AL$4010,MATCH(31,$AZ$11:$AZ$4010,0)),""))</f>
        <v/>
      </c>
      <c r="AE41" s="12" t="str">
        <f>IFERROR(INDEX($AM$11:$AM$4010,MATCH(31,$AZ$11:$AZ$4010,0)),"")</f>
        <v/>
      </c>
      <c r="AF41" s="11" t="str">
        <f>IF(AE41="","",IFERROR(INDEX($AN$11:$AN$4010,MATCH(31,$AZ$11:$AZ$4010,0)),""))</f>
        <v/>
      </c>
      <c r="AG41" s="11" t="str">
        <f>IF(AE41="","",IFERROR(INDEX($AO$11:$AO$4010,MATCH(31,$AZ$11:$AZ$4010,0)),""))</f>
        <v/>
      </c>
      <c r="AH41" s="10" t="str">
        <f>IF(AE41="","",IFERROR(INDEX($AQ$11:$AQ$4010,MATCH(31,$AZ$11:$AZ$4010,0)),""))</f>
        <v/>
      </c>
      <c r="AI41" s="15" t="str">
        <f>IF(AE41="","",IFERROR(INDEX($AR$11:$AR$4010,MATCH(31,$AZ$11:$AZ$4010,0)),""))</f>
        <v/>
      </c>
      <c r="AJ41" s="15" t="str">
        <f>IF(AE41="","",IFERROR(INDEX($AT$11:$AT$4010,MATCH(31,$AZ$11:$AZ$4010,0)),""))</f>
        <v/>
      </c>
      <c r="AL41" s="17" t="str">
        <f t="shared" si="5"/>
        <v/>
      </c>
      <c r="AM41" s="12" t="str">
        <f t="shared" si="6"/>
        <v/>
      </c>
      <c r="AN41" s="18" t="str">
        <f t="shared" si="7"/>
        <v/>
      </c>
      <c r="AO41" s="18" t="str">
        <f t="shared" si="8"/>
        <v/>
      </c>
      <c r="AP41" s="10" t="str">
        <f t="shared" si="9"/>
        <v/>
      </c>
      <c r="AQ41" s="10" t="str">
        <f t="shared" si="10"/>
        <v/>
      </c>
      <c r="AR41" s="19" t="str">
        <f t="shared" si="11"/>
        <v/>
      </c>
      <c r="AS41" s="20"/>
      <c r="AT41" s="19"/>
      <c r="AV41" s="21">
        <f>IF(AND($AL41&lt;&gt;"",COUNTIF($AL$11:$AL41,$AL41)=1),1,0)</f>
        <v>0</v>
      </c>
      <c r="AW41" s="21">
        <f t="shared" si="13"/>
        <v>0</v>
      </c>
      <c r="AX41" s="21" t="str">
        <f t="shared" si="12"/>
        <v/>
      </c>
      <c r="AY41" s="21" t="str">
        <f>IF(AND($AM41&lt;&gt;"",$AS41&lt;&gt;"✓"),SUMPRODUCT(($AM$11:$AM41&lt;&gt;"")*($AS$11:$AS41&lt;&gt;"✓")),"")</f>
        <v/>
      </c>
      <c r="AZ41" s="21" t="str">
        <f>IF(AND($AM41&lt;&gt;"",$AS41="✓"),SUMPRODUCT(($AM$11:$AM41&lt;&gt;"")*($AS$11:$AS41="✓")),"")</f>
        <v/>
      </c>
      <c r="BA41" s="21" t="str">
        <f>IF($AL41="","",$AL41&amp;"|"&amp;COUNTIF($AL$11:$AL41,$AL41))</f>
        <v/>
      </c>
      <c r="BD41" s="36" t="str">
        <f>IF(IFERROR(INDEX($AM$11:$AM$4010,MATCH($S$8&amp;"|"&amp;29,$BA$11:$BA$4010,0)),"")="","",29)</f>
        <v/>
      </c>
      <c r="BE41" s="36" t="str">
        <f>IFERROR(INDEX($AM$11:$AM$4010,MATCH($S$8&amp;"|"&amp;29,$BA$11:$BA$4010,0)),"")</f>
        <v/>
      </c>
      <c r="BF41" s="36" t="str">
        <f>IFERROR(INDEX($AP$11:$AP$4010,MATCH($S$8&amp;"|"&amp;29,$BA$11:$BA$4010,0)),"")</f>
        <v/>
      </c>
      <c r="BG41" s="36" t="str">
        <f>IFERROR(INDEX($AQ$11:$AQ$4010,MATCH($S$8&amp;"|"&amp;29,$BA$11:$BA$4010,0)),"")</f>
        <v/>
      </c>
      <c r="BH41" s="37" t="str">
        <f>IFERROR(INDEX($AN$11:$AN$4010,MATCH($S$8&amp;"|"&amp;29,$BA$11:$BA$4010,0)),"")</f>
        <v/>
      </c>
      <c r="BI41" s="37" t="str">
        <f>IFERROR(INDEX($AO$11:$AO$4010,MATCH($S$8&amp;"|"&amp;29,$BA$11:$BA$4010,0)),"")</f>
        <v/>
      </c>
      <c r="BL41" s="36" t="str">
        <f>IF(IFERROR(INDEX($AM$11:$AM$4010,MATCH($S$8&amp;"|"&amp;29,$BA$11:$BA$4010,0)),"")="","",29)</f>
        <v/>
      </c>
      <c r="BM41" s="36" t="str">
        <f>IFERROR(INDEX($AM$11:$AM$4010,MATCH($S$8&amp;"|"&amp;29,$BA$11:$BA$4010,0)),"")</f>
        <v/>
      </c>
      <c r="BN41" s="36" t="str">
        <f>IFERROR(INDEX($AP$11:$AP$4010,MATCH($S$8&amp;"|"&amp;29,$BA$11:$BA$4010,0)),"")</f>
        <v/>
      </c>
      <c r="BO41" s="36" t="str">
        <f>IFERROR(INDEX($AQ$11:$AQ$4010,MATCH($S$8&amp;"|"&amp;29,$BA$11:$BA$4010,0)),"")</f>
        <v/>
      </c>
      <c r="BP41" s="37" t="str">
        <f>IFERROR(INDEX($AN$11:$AN$4010,MATCH($S$8&amp;"|"&amp;29,$BA$11:$BA$4010,0)),"")</f>
        <v/>
      </c>
      <c r="BQ41" s="37" t="str">
        <f>IFERROR(INDEX($AO$11:$AO$4010,MATCH($S$8&amp;"|"&amp;29,$BA$11:$BA$4010,0)),"")</f>
        <v/>
      </c>
    </row>
    <row r="42" spans="2:69" ht="13.5" customHeight="1" x14ac:dyDescent="0.25">
      <c r="B42" s="5" t="str">
        <f t="shared" si="0"/>
        <v/>
      </c>
      <c r="C42" s="5"/>
      <c r="D42" s="5"/>
      <c r="E42" s="5"/>
      <c r="F42" s="6"/>
      <c r="G42" s="6"/>
      <c r="H42" s="7"/>
      <c r="I42" s="8"/>
      <c r="K42" s="23" t="str">
        <f>IFERROR(INDEX($AL$11:$AL$4010,MATCH(32,$AX$11:$AX$4010,0)),"")</f>
        <v/>
      </c>
      <c r="L42" s="24" t="str">
        <f t="shared" si="1"/>
        <v/>
      </c>
      <c r="M42" s="25" t="str">
        <f t="shared" si="2"/>
        <v/>
      </c>
      <c r="N42" s="25" t="str">
        <f t="shared" si="3"/>
        <v/>
      </c>
      <c r="P42" s="26" t="str">
        <f>IFERROR(INDEX($AM$11:$AM$4010,MATCH($S$8&amp;"|"&amp;32,$BA$11:$BA$4010,0)),"")</f>
        <v/>
      </c>
      <c r="Q42" s="25" t="str">
        <f>IF(P42="","",IFERROR(INDEX($AN$11:$AN$4010,MATCH($S$8&amp;"|"&amp;32,$BA$11:$BA$4010,0)),""))</f>
        <v/>
      </c>
      <c r="R42" s="25" t="str">
        <f>IF(P42="","",IFERROR(INDEX($AO$11:$AO$4010,MATCH($S$8&amp;"|"&amp;32,$BA$11:$BA$4010,0)),""))</f>
        <v/>
      </c>
      <c r="S42" s="24" t="str">
        <f>IF(P42="","",IFERROR(INDEX($AP$11:$AP$4010,MATCH($S$8&amp;"|"&amp;32,$BA$11:$BA$4010,0)),""))</f>
        <v/>
      </c>
      <c r="T42" s="24" t="str">
        <f>IF(P42="","",IFERROR(INDEX($AQ$11:$AQ$4010,MATCH($S$8&amp;"|"&amp;32,$BA$11:$BA$4010,0)),""))</f>
        <v/>
      </c>
      <c r="U42" s="38" t="str">
        <f t="shared" si="4"/>
        <v/>
      </c>
      <c r="W42" s="28" t="str">
        <f>IF(X42="","",IFERROR(INDEX($AL$11:$AL$4010,MATCH(32,$AY$11:$AY$4010,0)),""))</f>
        <v/>
      </c>
      <c r="X42" s="26" t="str">
        <f>IFERROR(INDEX($AM$11:$AM$4010,MATCH(32,$AY$11:$AY$4010,0)),"")</f>
        <v/>
      </c>
      <c r="Y42" s="25" t="str">
        <f>IF(X42="","",IFERROR(INDEX($AN$11:$AN$4010,MATCH(32,$AY$11:$AY$4010,0)),""))</f>
        <v/>
      </c>
      <c r="Z42" s="25" t="str">
        <f>IF(X42="","",IFERROR(INDEX($AO$11:$AO$4010,MATCH(32,$AY$11:$AY$4010,0)),""))</f>
        <v/>
      </c>
      <c r="AA42" s="24" t="str">
        <f>IF(X42="","",IFERROR(INDEX($AQ$11:$AQ$4010,MATCH(32,$AY$11:$AY$4010,0)),""))</f>
        <v/>
      </c>
      <c r="AB42" s="29" t="str">
        <f>IF(X42="","",IFERROR(INDEX($AR$11:$AR$4010,MATCH(32,$AY$11:$AY$4010,0)),""))</f>
        <v/>
      </c>
      <c r="AD42" s="30" t="str">
        <f>IF(AE42="","",IFERROR(INDEX($AL$11:$AL$4010,MATCH(32,$AZ$11:$AZ$4010,0)),""))</f>
        <v/>
      </c>
      <c r="AE42" s="26" t="str">
        <f>IFERROR(INDEX($AM$11:$AM$4010,MATCH(32,$AZ$11:$AZ$4010,0)),"")</f>
        <v/>
      </c>
      <c r="AF42" s="25" t="str">
        <f>IF(AE42="","",IFERROR(INDEX($AN$11:$AN$4010,MATCH(32,$AZ$11:$AZ$4010,0)),""))</f>
        <v/>
      </c>
      <c r="AG42" s="25" t="str">
        <f>IF(AE42="","",IFERROR(INDEX($AO$11:$AO$4010,MATCH(32,$AZ$11:$AZ$4010,0)),""))</f>
        <v/>
      </c>
      <c r="AH42" s="24" t="str">
        <f>IF(AE42="","",IFERROR(INDEX($AQ$11:$AQ$4010,MATCH(32,$AZ$11:$AZ$4010,0)),""))</f>
        <v/>
      </c>
      <c r="AI42" s="29" t="str">
        <f>IF(AE42="","",IFERROR(INDEX($AR$11:$AR$4010,MATCH(32,$AZ$11:$AZ$4010,0)),""))</f>
        <v/>
      </c>
      <c r="AJ42" s="29" t="str">
        <f>IF(AE42="","",IFERROR(INDEX($AT$11:$AT$4010,MATCH(32,$AZ$11:$AZ$4010,0)),""))</f>
        <v/>
      </c>
      <c r="AL42" s="31" t="str">
        <f t="shared" si="5"/>
        <v/>
      </c>
      <c r="AM42" s="26" t="str">
        <f t="shared" si="6"/>
        <v/>
      </c>
      <c r="AN42" s="32" t="str">
        <f t="shared" si="7"/>
        <v/>
      </c>
      <c r="AO42" s="32" t="str">
        <f t="shared" si="8"/>
        <v/>
      </c>
      <c r="AP42" s="24" t="str">
        <f t="shared" si="9"/>
        <v/>
      </c>
      <c r="AQ42" s="24" t="str">
        <f t="shared" si="10"/>
        <v/>
      </c>
      <c r="AR42" s="33" t="str">
        <f t="shared" si="11"/>
        <v/>
      </c>
      <c r="AS42" s="34"/>
      <c r="AT42" s="33"/>
      <c r="AV42" s="21">
        <f>IF(AND($AL42&lt;&gt;"",COUNTIF($AL$11:$AL42,$AL42)=1),1,0)</f>
        <v>0</v>
      </c>
      <c r="AW42" s="21">
        <f t="shared" si="13"/>
        <v>0</v>
      </c>
      <c r="AX42" s="21" t="str">
        <f t="shared" si="12"/>
        <v/>
      </c>
      <c r="AY42" s="21" t="str">
        <f>IF(AND($AM42&lt;&gt;"",$AS42&lt;&gt;"✓"),SUMPRODUCT(($AM$11:$AM42&lt;&gt;"")*($AS$11:$AS42&lt;&gt;"✓")),"")</f>
        <v/>
      </c>
      <c r="AZ42" s="21" t="str">
        <f>IF(AND($AM42&lt;&gt;"",$AS42="✓"),SUMPRODUCT(($AM$11:$AM42&lt;&gt;"")*($AS$11:$AS42="✓")),"")</f>
        <v/>
      </c>
      <c r="BA42" s="21" t="str">
        <f>IF($AL42="","",$AL42&amp;"|"&amp;COUNTIF($AL$11:$AL42,$AL42))</f>
        <v/>
      </c>
      <c r="BD42" s="36" t="str">
        <f>IF(IFERROR(INDEX($AM$11:$AM$4010,MATCH($S$8&amp;"|"&amp;30,$BA$11:$BA$4010,0)),"")="","",30)</f>
        <v/>
      </c>
      <c r="BE42" s="36" t="str">
        <f>IFERROR(INDEX($AM$11:$AM$4010,MATCH($S$8&amp;"|"&amp;30,$BA$11:$BA$4010,0)),"")</f>
        <v/>
      </c>
      <c r="BF42" s="36" t="str">
        <f>IFERROR(INDEX($AP$11:$AP$4010,MATCH($S$8&amp;"|"&amp;30,$BA$11:$BA$4010,0)),"")</f>
        <v/>
      </c>
      <c r="BG42" s="36" t="str">
        <f>IFERROR(INDEX($AQ$11:$AQ$4010,MATCH($S$8&amp;"|"&amp;30,$BA$11:$BA$4010,0)),"")</f>
        <v/>
      </c>
      <c r="BH42" s="37" t="str">
        <f>IFERROR(INDEX($AN$11:$AN$4010,MATCH($S$8&amp;"|"&amp;30,$BA$11:$BA$4010,0)),"")</f>
        <v/>
      </c>
      <c r="BI42" s="37" t="str">
        <f>IFERROR(INDEX($AO$11:$AO$4010,MATCH($S$8&amp;"|"&amp;30,$BA$11:$BA$4010,0)),"")</f>
        <v/>
      </c>
      <c r="BL42" s="36" t="str">
        <f>IF(IFERROR(INDEX($AM$11:$AM$4010,MATCH($S$8&amp;"|"&amp;30,$BA$11:$BA$4010,0)),"")="","",30)</f>
        <v/>
      </c>
      <c r="BM42" s="36" t="str">
        <f>IFERROR(INDEX($AM$11:$AM$4010,MATCH($S$8&amp;"|"&amp;30,$BA$11:$BA$4010,0)),"")</f>
        <v/>
      </c>
      <c r="BN42" s="36" t="str">
        <f>IFERROR(INDEX($AP$11:$AP$4010,MATCH($S$8&amp;"|"&amp;30,$BA$11:$BA$4010,0)),"")</f>
        <v/>
      </c>
      <c r="BO42" s="36" t="str">
        <f>IFERROR(INDEX($AQ$11:$AQ$4010,MATCH($S$8&amp;"|"&amp;30,$BA$11:$BA$4010,0)),"")</f>
        <v/>
      </c>
      <c r="BP42" s="37" t="str">
        <f>IFERROR(INDEX($AN$11:$AN$4010,MATCH($S$8&amp;"|"&amp;30,$BA$11:$BA$4010,0)),"")</f>
        <v/>
      </c>
      <c r="BQ42" s="37" t="str">
        <f>IFERROR(INDEX($AO$11:$AO$4010,MATCH($S$8&amp;"|"&amp;30,$BA$11:$BA$4010,0)),"")</f>
        <v/>
      </c>
    </row>
    <row r="43" spans="2:69" ht="13.5" customHeight="1" x14ac:dyDescent="0.25">
      <c r="B43" s="5" t="str">
        <f t="shared" si="0"/>
        <v/>
      </c>
      <c r="C43" s="5"/>
      <c r="D43" s="5"/>
      <c r="E43" s="5"/>
      <c r="F43" s="6"/>
      <c r="G43" s="6"/>
      <c r="H43" s="7"/>
      <c r="I43" s="8"/>
      <c r="K43" s="9" t="str">
        <f>IFERROR(INDEX($AL$11:$AL$4010,MATCH(33,$AX$11:$AX$4010,0)),"")</f>
        <v/>
      </c>
      <c r="L43" s="10" t="str">
        <f t="shared" si="1"/>
        <v/>
      </c>
      <c r="M43" s="11" t="str">
        <f t="shared" si="2"/>
        <v/>
      </c>
      <c r="N43" s="11" t="str">
        <f t="shared" si="3"/>
        <v/>
      </c>
      <c r="P43" s="12" t="str">
        <f>IFERROR(INDEX($AM$11:$AM$4010,MATCH($S$8&amp;"|"&amp;33,$BA$11:$BA$4010,0)),"")</f>
        <v/>
      </c>
      <c r="Q43" s="11" t="str">
        <f>IF(P43="","",IFERROR(INDEX($AN$11:$AN$4010,MATCH($S$8&amp;"|"&amp;33,$BA$11:$BA$4010,0)),""))</f>
        <v/>
      </c>
      <c r="R43" s="11" t="str">
        <f>IF(P43="","",IFERROR(INDEX($AO$11:$AO$4010,MATCH($S$8&amp;"|"&amp;33,$BA$11:$BA$4010,0)),""))</f>
        <v/>
      </c>
      <c r="S43" s="10" t="str">
        <f>IF(P43="","",IFERROR(INDEX($AP$11:$AP$4010,MATCH($S$8&amp;"|"&amp;33,$BA$11:$BA$4010,0)),""))</f>
        <v/>
      </c>
      <c r="T43" s="10" t="str">
        <f>IF(P43="","",IFERROR(INDEX($AQ$11:$AQ$4010,MATCH($S$8&amp;"|"&amp;33,$BA$11:$BA$4010,0)),""))</f>
        <v/>
      </c>
      <c r="U43" s="39" t="str">
        <f t="shared" ref="U43:U74" si="14">IF(P43="","",$S$8)</f>
        <v/>
      </c>
      <c r="W43" s="14" t="str">
        <f>IF(X43="","",IFERROR(INDEX($AL$11:$AL$4010,MATCH(33,$AY$11:$AY$4010,0)),""))</f>
        <v/>
      </c>
      <c r="X43" s="12" t="str">
        <f>IFERROR(INDEX($AM$11:$AM$4010,MATCH(33,$AY$11:$AY$4010,0)),"")</f>
        <v/>
      </c>
      <c r="Y43" s="11" t="str">
        <f>IF(X43="","",IFERROR(INDEX($AN$11:$AN$4010,MATCH(33,$AY$11:$AY$4010,0)),""))</f>
        <v/>
      </c>
      <c r="Z43" s="11" t="str">
        <f>IF(X43="","",IFERROR(INDEX($AO$11:$AO$4010,MATCH(33,$AY$11:$AY$4010,0)),""))</f>
        <v/>
      </c>
      <c r="AA43" s="10" t="str">
        <f>IF(X43="","",IFERROR(INDEX($AQ$11:$AQ$4010,MATCH(33,$AY$11:$AY$4010,0)),""))</f>
        <v/>
      </c>
      <c r="AB43" s="15" t="str">
        <f>IF(X43="","",IFERROR(INDEX($AR$11:$AR$4010,MATCH(33,$AY$11:$AY$4010,0)),""))</f>
        <v/>
      </c>
      <c r="AD43" s="16" t="str">
        <f>IF(AE43="","",IFERROR(INDEX($AL$11:$AL$4010,MATCH(33,$AZ$11:$AZ$4010,0)),""))</f>
        <v/>
      </c>
      <c r="AE43" s="12" t="str">
        <f>IFERROR(INDEX($AM$11:$AM$4010,MATCH(33,$AZ$11:$AZ$4010,0)),"")</f>
        <v/>
      </c>
      <c r="AF43" s="11" t="str">
        <f>IF(AE43="","",IFERROR(INDEX($AN$11:$AN$4010,MATCH(33,$AZ$11:$AZ$4010,0)),""))</f>
        <v/>
      </c>
      <c r="AG43" s="11" t="str">
        <f>IF(AE43="","",IFERROR(INDEX($AO$11:$AO$4010,MATCH(33,$AZ$11:$AZ$4010,0)),""))</f>
        <v/>
      </c>
      <c r="AH43" s="10" t="str">
        <f>IF(AE43="","",IFERROR(INDEX($AQ$11:$AQ$4010,MATCH(33,$AZ$11:$AZ$4010,0)),""))</f>
        <v/>
      </c>
      <c r="AI43" s="15" t="str">
        <f>IF(AE43="","",IFERROR(INDEX($AR$11:$AR$4010,MATCH(33,$AZ$11:$AZ$4010,0)),""))</f>
        <v/>
      </c>
      <c r="AJ43" s="15" t="str">
        <f>IF(AE43="","",IFERROR(INDEX($AT$11:$AT$4010,MATCH(33,$AZ$11:$AZ$4010,0)),""))</f>
        <v/>
      </c>
      <c r="AL43" s="17" t="str">
        <f t="shared" si="5"/>
        <v/>
      </c>
      <c r="AM43" s="12" t="str">
        <f t="shared" si="6"/>
        <v/>
      </c>
      <c r="AN43" s="18" t="str">
        <f t="shared" si="7"/>
        <v/>
      </c>
      <c r="AO43" s="18" t="str">
        <f t="shared" si="8"/>
        <v/>
      </c>
      <c r="AP43" s="10" t="str">
        <f t="shared" si="9"/>
        <v/>
      </c>
      <c r="AQ43" s="10" t="str">
        <f t="shared" si="10"/>
        <v/>
      </c>
      <c r="AR43" s="19" t="str">
        <f t="shared" si="11"/>
        <v/>
      </c>
      <c r="AS43" s="20"/>
      <c r="AT43" s="19"/>
      <c r="AV43" s="21">
        <f>IF(AND($AL43&lt;&gt;"",COUNTIF($AL$11:$AL43,$AL43)=1),1,0)</f>
        <v>0</v>
      </c>
      <c r="AW43" s="21">
        <f t="shared" si="13"/>
        <v>0</v>
      </c>
      <c r="AX43" s="21" t="str">
        <f t="shared" si="12"/>
        <v/>
      </c>
      <c r="AY43" s="21" t="str">
        <f>IF(AND($AM43&lt;&gt;"",$AS43&lt;&gt;"✓"),SUMPRODUCT(($AM$11:$AM43&lt;&gt;"")*($AS$11:$AS43&lt;&gt;"✓")),"")</f>
        <v/>
      </c>
      <c r="AZ43" s="21" t="str">
        <f>IF(AND($AM43&lt;&gt;"",$AS43="✓"),SUMPRODUCT(($AM$11:$AM43&lt;&gt;"")*($AS$11:$AS43="✓")),"")</f>
        <v/>
      </c>
      <c r="BA43" s="21" t="str">
        <f>IF($AL43="","",$AL43&amp;"|"&amp;COUNTIF($AL$11:$AL43,$AL43))</f>
        <v/>
      </c>
      <c r="BD43" s="36" t="str">
        <f>IF(IFERROR(INDEX($AM$11:$AM$4010,MATCH($S$8&amp;"|"&amp;31,$BA$11:$BA$4010,0)),"")="","",31)</f>
        <v/>
      </c>
      <c r="BE43" s="36" t="str">
        <f>IFERROR(INDEX($AM$11:$AM$4010,MATCH($S$8&amp;"|"&amp;31,$BA$11:$BA$4010,0)),"")</f>
        <v/>
      </c>
      <c r="BF43" s="36" t="str">
        <f>IFERROR(INDEX($AP$11:$AP$4010,MATCH($S$8&amp;"|"&amp;31,$BA$11:$BA$4010,0)),"")</f>
        <v/>
      </c>
      <c r="BG43" s="36" t="str">
        <f>IFERROR(INDEX($AQ$11:$AQ$4010,MATCH($S$8&amp;"|"&amp;31,$BA$11:$BA$4010,0)),"")</f>
        <v/>
      </c>
      <c r="BH43" s="37" t="str">
        <f>IFERROR(INDEX($AN$11:$AN$4010,MATCH($S$8&amp;"|"&amp;31,$BA$11:$BA$4010,0)),"")</f>
        <v/>
      </c>
      <c r="BI43" s="37" t="str">
        <f>IFERROR(INDEX($AO$11:$AO$4010,MATCH($S$8&amp;"|"&amp;31,$BA$11:$BA$4010,0)),"")</f>
        <v/>
      </c>
      <c r="BL43" s="36" t="str">
        <f>IF(IFERROR(INDEX($AM$11:$AM$4010,MATCH($S$8&amp;"|"&amp;31,$BA$11:$BA$4010,0)),"")="","",31)</f>
        <v/>
      </c>
      <c r="BM43" s="36" t="str">
        <f>IFERROR(INDEX($AM$11:$AM$4010,MATCH($S$8&amp;"|"&amp;31,$BA$11:$BA$4010,0)),"")</f>
        <v/>
      </c>
      <c r="BN43" s="36" t="str">
        <f>IFERROR(INDEX($AP$11:$AP$4010,MATCH($S$8&amp;"|"&amp;31,$BA$11:$BA$4010,0)),"")</f>
        <v/>
      </c>
      <c r="BO43" s="36" t="str">
        <f>IFERROR(INDEX($AQ$11:$AQ$4010,MATCH($S$8&amp;"|"&amp;31,$BA$11:$BA$4010,0)),"")</f>
        <v/>
      </c>
      <c r="BP43" s="37" t="str">
        <f>IFERROR(INDEX($AN$11:$AN$4010,MATCH($S$8&amp;"|"&amp;31,$BA$11:$BA$4010,0)),"")</f>
        <v/>
      </c>
      <c r="BQ43" s="37" t="str">
        <f>IFERROR(INDEX($AO$11:$AO$4010,MATCH($S$8&amp;"|"&amp;31,$BA$11:$BA$4010,0)),"")</f>
        <v/>
      </c>
    </row>
    <row r="44" spans="2:69" ht="13.5" customHeight="1" x14ac:dyDescent="0.25">
      <c r="B44" s="5" t="str">
        <f t="shared" si="0"/>
        <v/>
      </c>
      <c r="C44" s="5"/>
      <c r="D44" s="5"/>
      <c r="E44" s="5"/>
      <c r="F44" s="6"/>
      <c r="G44" s="6"/>
      <c r="H44" s="7"/>
      <c r="I44" s="8"/>
      <c r="K44" s="23" t="str">
        <f>IFERROR(INDEX($AL$11:$AL$4010,MATCH(34,$AX$11:$AX$4010,0)),"")</f>
        <v/>
      </c>
      <c r="L44" s="24" t="str">
        <f t="shared" si="1"/>
        <v/>
      </c>
      <c r="M44" s="25" t="str">
        <f t="shared" si="2"/>
        <v/>
      </c>
      <c r="N44" s="25" t="str">
        <f t="shared" si="3"/>
        <v/>
      </c>
      <c r="P44" s="26" t="str">
        <f>IFERROR(INDEX($AM$11:$AM$4010,MATCH($S$8&amp;"|"&amp;34,$BA$11:$BA$4010,0)),"")</f>
        <v/>
      </c>
      <c r="Q44" s="25" t="str">
        <f>IF(P44="","",IFERROR(INDEX($AN$11:$AN$4010,MATCH($S$8&amp;"|"&amp;34,$BA$11:$BA$4010,0)),""))</f>
        <v/>
      </c>
      <c r="R44" s="25" t="str">
        <f>IF(P44="","",IFERROR(INDEX($AO$11:$AO$4010,MATCH($S$8&amp;"|"&amp;34,$BA$11:$BA$4010,0)),""))</f>
        <v/>
      </c>
      <c r="S44" s="24" t="str">
        <f>IF(P44="","",IFERROR(INDEX($AP$11:$AP$4010,MATCH($S$8&amp;"|"&amp;34,$BA$11:$BA$4010,0)),""))</f>
        <v/>
      </c>
      <c r="T44" s="24" t="str">
        <f>IF(P44="","",IFERROR(INDEX($AQ$11:$AQ$4010,MATCH($S$8&amp;"|"&amp;34,$BA$11:$BA$4010,0)),""))</f>
        <v/>
      </c>
      <c r="U44" s="38" t="str">
        <f t="shared" si="14"/>
        <v/>
      </c>
      <c r="W44" s="28" t="str">
        <f>IF(X44="","",IFERROR(INDEX($AL$11:$AL$4010,MATCH(34,$AY$11:$AY$4010,0)),""))</f>
        <v/>
      </c>
      <c r="X44" s="26" t="str">
        <f>IFERROR(INDEX($AM$11:$AM$4010,MATCH(34,$AY$11:$AY$4010,0)),"")</f>
        <v/>
      </c>
      <c r="Y44" s="25" t="str">
        <f>IF(X44="","",IFERROR(INDEX($AN$11:$AN$4010,MATCH(34,$AY$11:$AY$4010,0)),""))</f>
        <v/>
      </c>
      <c r="Z44" s="25" t="str">
        <f>IF(X44="","",IFERROR(INDEX($AO$11:$AO$4010,MATCH(34,$AY$11:$AY$4010,0)),""))</f>
        <v/>
      </c>
      <c r="AA44" s="24" t="str">
        <f>IF(X44="","",IFERROR(INDEX($AQ$11:$AQ$4010,MATCH(34,$AY$11:$AY$4010,0)),""))</f>
        <v/>
      </c>
      <c r="AB44" s="29" t="str">
        <f>IF(X44="","",IFERROR(INDEX($AR$11:$AR$4010,MATCH(34,$AY$11:$AY$4010,0)),""))</f>
        <v/>
      </c>
      <c r="AD44" s="30" t="str">
        <f>IF(AE44="","",IFERROR(INDEX($AL$11:$AL$4010,MATCH(34,$AZ$11:$AZ$4010,0)),""))</f>
        <v/>
      </c>
      <c r="AE44" s="26" t="str">
        <f>IFERROR(INDEX($AM$11:$AM$4010,MATCH(34,$AZ$11:$AZ$4010,0)),"")</f>
        <v/>
      </c>
      <c r="AF44" s="25" t="str">
        <f>IF(AE44="","",IFERROR(INDEX($AN$11:$AN$4010,MATCH(34,$AZ$11:$AZ$4010,0)),""))</f>
        <v/>
      </c>
      <c r="AG44" s="25" t="str">
        <f>IF(AE44="","",IFERROR(INDEX($AO$11:$AO$4010,MATCH(34,$AZ$11:$AZ$4010,0)),""))</f>
        <v/>
      </c>
      <c r="AH44" s="24" t="str">
        <f>IF(AE44="","",IFERROR(INDEX($AQ$11:$AQ$4010,MATCH(34,$AZ$11:$AZ$4010,0)),""))</f>
        <v/>
      </c>
      <c r="AI44" s="29" t="str">
        <f>IF(AE44="","",IFERROR(INDEX($AR$11:$AR$4010,MATCH(34,$AZ$11:$AZ$4010,0)),""))</f>
        <v/>
      </c>
      <c r="AJ44" s="29" t="str">
        <f>IF(AE44="","",IFERROR(INDEX($AT$11:$AT$4010,MATCH(34,$AZ$11:$AZ$4010,0)),""))</f>
        <v/>
      </c>
      <c r="AL44" s="31" t="str">
        <f t="shared" si="5"/>
        <v/>
      </c>
      <c r="AM44" s="26" t="str">
        <f t="shared" si="6"/>
        <v/>
      </c>
      <c r="AN44" s="32" t="str">
        <f t="shared" si="7"/>
        <v/>
      </c>
      <c r="AO44" s="32" t="str">
        <f t="shared" si="8"/>
        <v/>
      </c>
      <c r="AP44" s="24" t="str">
        <f t="shared" si="9"/>
        <v/>
      </c>
      <c r="AQ44" s="24" t="str">
        <f t="shared" si="10"/>
        <v/>
      </c>
      <c r="AR44" s="33" t="str">
        <f t="shared" si="11"/>
        <v/>
      </c>
      <c r="AS44" s="34"/>
      <c r="AT44" s="33"/>
      <c r="AV44" s="21">
        <f>IF(AND($AL44&lt;&gt;"",COUNTIF($AL$11:$AL44,$AL44)=1),1,0)</f>
        <v>0</v>
      </c>
      <c r="AW44" s="21">
        <f t="shared" si="13"/>
        <v>0</v>
      </c>
      <c r="AX44" s="21" t="str">
        <f t="shared" si="12"/>
        <v/>
      </c>
      <c r="AY44" s="21" t="str">
        <f>IF(AND($AM44&lt;&gt;"",$AS44&lt;&gt;"✓"),SUMPRODUCT(($AM$11:$AM44&lt;&gt;"")*($AS$11:$AS44&lt;&gt;"✓")),"")</f>
        <v/>
      </c>
      <c r="AZ44" s="21" t="str">
        <f>IF(AND($AM44&lt;&gt;"",$AS44="✓"),SUMPRODUCT(($AM$11:$AM44&lt;&gt;"")*($AS$11:$AS44="✓")),"")</f>
        <v/>
      </c>
      <c r="BA44" s="21" t="str">
        <f>IF($AL44="","",$AL44&amp;"|"&amp;COUNTIF($AL$11:$AL44,$AL44))</f>
        <v/>
      </c>
      <c r="BD44" s="36" t="str">
        <f>IF(IFERROR(INDEX($AM$11:$AM$4010,MATCH($S$8&amp;"|"&amp;32,$BA$11:$BA$4010,0)),"")="","",32)</f>
        <v/>
      </c>
      <c r="BE44" s="36" t="str">
        <f>IFERROR(INDEX($AM$11:$AM$4010,MATCH($S$8&amp;"|"&amp;32,$BA$11:$BA$4010,0)),"")</f>
        <v/>
      </c>
      <c r="BF44" s="36" t="str">
        <f>IFERROR(INDEX($AP$11:$AP$4010,MATCH($S$8&amp;"|"&amp;32,$BA$11:$BA$4010,0)),"")</f>
        <v/>
      </c>
      <c r="BG44" s="36" t="str">
        <f>IFERROR(INDEX($AQ$11:$AQ$4010,MATCH($S$8&amp;"|"&amp;32,$BA$11:$BA$4010,0)),"")</f>
        <v/>
      </c>
      <c r="BH44" s="37" t="str">
        <f>IFERROR(INDEX($AN$11:$AN$4010,MATCH($S$8&amp;"|"&amp;32,$BA$11:$BA$4010,0)),"")</f>
        <v/>
      </c>
      <c r="BI44" s="37" t="str">
        <f>IFERROR(INDEX($AO$11:$AO$4010,MATCH($S$8&amp;"|"&amp;32,$BA$11:$BA$4010,0)),"")</f>
        <v/>
      </c>
      <c r="BL44" s="36" t="str">
        <f>IF(IFERROR(INDEX($AM$11:$AM$4010,MATCH($S$8&amp;"|"&amp;32,$BA$11:$BA$4010,0)),"")="","",32)</f>
        <v/>
      </c>
      <c r="BM44" s="36" t="str">
        <f>IFERROR(INDEX($AM$11:$AM$4010,MATCH($S$8&amp;"|"&amp;32,$BA$11:$BA$4010,0)),"")</f>
        <v/>
      </c>
      <c r="BN44" s="36" t="str">
        <f>IFERROR(INDEX($AP$11:$AP$4010,MATCH($S$8&amp;"|"&amp;32,$BA$11:$BA$4010,0)),"")</f>
        <v/>
      </c>
      <c r="BO44" s="36" t="str">
        <f>IFERROR(INDEX($AQ$11:$AQ$4010,MATCH($S$8&amp;"|"&amp;32,$BA$11:$BA$4010,0)),"")</f>
        <v/>
      </c>
      <c r="BP44" s="37" t="str">
        <f>IFERROR(INDEX($AN$11:$AN$4010,MATCH($S$8&amp;"|"&amp;32,$BA$11:$BA$4010,0)),"")</f>
        <v/>
      </c>
      <c r="BQ44" s="37" t="str">
        <f>IFERROR(INDEX($AO$11:$AO$4010,MATCH($S$8&amp;"|"&amp;32,$BA$11:$BA$4010,0)),"")</f>
        <v/>
      </c>
    </row>
    <row r="45" spans="2:69" ht="13.5" customHeight="1" x14ac:dyDescent="0.25">
      <c r="B45" s="5" t="str">
        <f t="shared" si="0"/>
        <v/>
      </c>
      <c r="C45" s="5"/>
      <c r="D45" s="5"/>
      <c r="E45" s="5"/>
      <c r="F45" s="6"/>
      <c r="G45" s="6"/>
      <c r="H45" s="7"/>
      <c r="I45" s="8"/>
      <c r="K45" s="9" t="str">
        <f>IFERROR(INDEX($AL$11:$AL$4010,MATCH(35,$AX$11:$AX$4010,0)),"")</f>
        <v/>
      </c>
      <c r="L45" s="10" t="str">
        <f t="shared" si="1"/>
        <v/>
      </c>
      <c r="M45" s="11" t="str">
        <f t="shared" si="2"/>
        <v/>
      </c>
      <c r="N45" s="11" t="str">
        <f t="shared" si="3"/>
        <v/>
      </c>
      <c r="P45" s="12" t="str">
        <f>IFERROR(INDEX($AM$11:$AM$4010,MATCH($S$8&amp;"|"&amp;35,$BA$11:$BA$4010,0)),"")</f>
        <v/>
      </c>
      <c r="Q45" s="11" t="str">
        <f>IF(P45="","",IFERROR(INDEX($AN$11:$AN$4010,MATCH($S$8&amp;"|"&amp;35,$BA$11:$BA$4010,0)),""))</f>
        <v/>
      </c>
      <c r="R45" s="11" t="str">
        <f>IF(P45="","",IFERROR(INDEX($AO$11:$AO$4010,MATCH($S$8&amp;"|"&amp;35,$BA$11:$BA$4010,0)),""))</f>
        <v/>
      </c>
      <c r="S45" s="10" t="str">
        <f>IF(P45="","",IFERROR(INDEX($AP$11:$AP$4010,MATCH($S$8&amp;"|"&amp;35,$BA$11:$BA$4010,0)),""))</f>
        <v/>
      </c>
      <c r="T45" s="10" t="str">
        <f>IF(P45="","",IFERROR(INDEX($AQ$11:$AQ$4010,MATCH($S$8&amp;"|"&amp;35,$BA$11:$BA$4010,0)),""))</f>
        <v/>
      </c>
      <c r="U45" s="39" t="str">
        <f t="shared" si="14"/>
        <v/>
      </c>
      <c r="W45" s="14" t="str">
        <f>IF(X45="","",IFERROR(INDEX($AL$11:$AL$4010,MATCH(35,$AY$11:$AY$4010,0)),""))</f>
        <v/>
      </c>
      <c r="X45" s="12" t="str">
        <f>IFERROR(INDEX($AM$11:$AM$4010,MATCH(35,$AY$11:$AY$4010,0)),"")</f>
        <v/>
      </c>
      <c r="Y45" s="11" t="str">
        <f>IF(X45="","",IFERROR(INDEX($AN$11:$AN$4010,MATCH(35,$AY$11:$AY$4010,0)),""))</f>
        <v/>
      </c>
      <c r="Z45" s="11" t="str">
        <f>IF(X45="","",IFERROR(INDEX($AO$11:$AO$4010,MATCH(35,$AY$11:$AY$4010,0)),""))</f>
        <v/>
      </c>
      <c r="AA45" s="10" t="str">
        <f>IF(X45="","",IFERROR(INDEX($AQ$11:$AQ$4010,MATCH(35,$AY$11:$AY$4010,0)),""))</f>
        <v/>
      </c>
      <c r="AB45" s="15" t="str">
        <f>IF(X45="","",IFERROR(INDEX($AR$11:$AR$4010,MATCH(35,$AY$11:$AY$4010,0)),""))</f>
        <v/>
      </c>
      <c r="AD45" s="16" t="str">
        <f>IF(AE45="","",IFERROR(INDEX($AL$11:$AL$4010,MATCH(35,$AZ$11:$AZ$4010,0)),""))</f>
        <v/>
      </c>
      <c r="AE45" s="12" t="str">
        <f>IFERROR(INDEX($AM$11:$AM$4010,MATCH(35,$AZ$11:$AZ$4010,0)),"")</f>
        <v/>
      </c>
      <c r="AF45" s="11" t="str">
        <f>IF(AE45="","",IFERROR(INDEX($AN$11:$AN$4010,MATCH(35,$AZ$11:$AZ$4010,0)),""))</f>
        <v/>
      </c>
      <c r="AG45" s="11" t="str">
        <f>IF(AE45="","",IFERROR(INDEX($AO$11:$AO$4010,MATCH(35,$AZ$11:$AZ$4010,0)),""))</f>
        <v/>
      </c>
      <c r="AH45" s="10" t="str">
        <f>IF(AE45="","",IFERROR(INDEX($AQ$11:$AQ$4010,MATCH(35,$AZ$11:$AZ$4010,0)),""))</f>
        <v/>
      </c>
      <c r="AI45" s="15" t="str">
        <f>IF(AE45="","",IFERROR(INDEX($AR$11:$AR$4010,MATCH(35,$AZ$11:$AZ$4010,0)),""))</f>
        <v/>
      </c>
      <c r="AJ45" s="15" t="str">
        <f>IF(AE45="","",IFERROR(INDEX($AT$11:$AT$4010,MATCH(35,$AZ$11:$AZ$4010,0)),""))</f>
        <v/>
      </c>
      <c r="AL45" s="17" t="str">
        <f t="shared" si="5"/>
        <v/>
      </c>
      <c r="AM45" s="12" t="str">
        <f t="shared" si="6"/>
        <v/>
      </c>
      <c r="AN45" s="18" t="str">
        <f t="shared" si="7"/>
        <v/>
      </c>
      <c r="AO45" s="18" t="str">
        <f t="shared" si="8"/>
        <v/>
      </c>
      <c r="AP45" s="10" t="str">
        <f t="shared" si="9"/>
        <v/>
      </c>
      <c r="AQ45" s="10" t="str">
        <f t="shared" si="10"/>
        <v/>
      </c>
      <c r="AR45" s="19" t="str">
        <f t="shared" si="11"/>
        <v/>
      </c>
      <c r="AS45" s="20"/>
      <c r="AT45" s="19"/>
      <c r="AV45" s="21">
        <f>IF(AND($AL45&lt;&gt;"",COUNTIF($AL$11:$AL45,$AL45)=1),1,0)</f>
        <v>0</v>
      </c>
      <c r="AW45" s="21">
        <f t="shared" si="13"/>
        <v>0</v>
      </c>
      <c r="AX45" s="21" t="str">
        <f t="shared" si="12"/>
        <v/>
      </c>
      <c r="AY45" s="21" t="str">
        <f>IF(AND($AM45&lt;&gt;"",$AS45&lt;&gt;"✓"),SUMPRODUCT(($AM$11:$AM45&lt;&gt;"")*($AS$11:$AS45&lt;&gt;"✓")),"")</f>
        <v/>
      </c>
      <c r="AZ45" s="21" t="str">
        <f>IF(AND($AM45&lt;&gt;"",$AS45="✓"),SUMPRODUCT(($AM$11:$AM45&lt;&gt;"")*($AS$11:$AS45="✓")),"")</f>
        <v/>
      </c>
      <c r="BA45" s="21" t="str">
        <f>IF($AL45="","",$AL45&amp;"|"&amp;COUNTIF($AL$11:$AL45,$AL45))</f>
        <v/>
      </c>
      <c r="BD45" s="36" t="str">
        <f>IF(IFERROR(INDEX($AM$11:$AM$4010,MATCH($S$8&amp;"|"&amp;33,$BA$11:$BA$4010,0)),"")="","",33)</f>
        <v/>
      </c>
      <c r="BE45" s="36" t="str">
        <f>IFERROR(INDEX($AM$11:$AM$4010,MATCH($S$8&amp;"|"&amp;33,$BA$11:$BA$4010,0)),"")</f>
        <v/>
      </c>
      <c r="BF45" s="36" t="str">
        <f>IFERROR(INDEX($AP$11:$AP$4010,MATCH($S$8&amp;"|"&amp;33,$BA$11:$BA$4010,0)),"")</f>
        <v/>
      </c>
      <c r="BG45" s="36" t="str">
        <f>IFERROR(INDEX($AQ$11:$AQ$4010,MATCH($S$8&amp;"|"&amp;33,$BA$11:$BA$4010,0)),"")</f>
        <v/>
      </c>
      <c r="BH45" s="37" t="str">
        <f>IFERROR(INDEX($AN$11:$AN$4010,MATCH($S$8&amp;"|"&amp;33,$BA$11:$BA$4010,0)),"")</f>
        <v/>
      </c>
      <c r="BI45" s="37" t="str">
        <f>IFERROR(INDEX($AO$11:$AO$4010,MATCH($S$8&amp;"|"&amp;33,$BA$11:$BA$4010,0)),"")</f>
        <v/>
      </c>
      <c r="BL45" s="36" t="str">
        <f>IF(IFERROR(INDEX($AM$11:$AM$4010,MATCH($S$8&amp;"|"&amp;33,$BA$11:$BA$4010,0)),"")="","",33)</f>
        <v/>
      </c>
      <c r="BM45" s="36" t="str">
        <f>IFERROR(INDEX($AM$11:$AM$4010,MATCH($S$8&amp;"|"&amp;33,$BA$11:$BA$4010,0)),"")</f>
        <v/>
      </c>
      <c r="BN45" s="36" t="str">
        <f>IFERROR(INDEX($AP$11:$AP$4010,MATCH($S$8&amp;"|"&amp;33,$BA$11:$BA$4010,0)),"")</f>
        <v/>
      </c>
      <c r="BO45" s="36" t="str">
        <f>IFERROR(INDEX($AQ$11:$AQ$4010,MATCH($S$8&amp;"|"&amp;33,$BA$11:$BA$4010,0)),"")</f>
        <v/>
      </c>
      <c r="BP45" s="37" t="str">
        <f>IFERROR(INDEX($AN$11:$AN$4010,MATCH($S$8&amp;"|"&amp;33,$BA$11:$BA$4010,0)),"")</f>
        <v/>
      </c>
      <c r="BQ45" s="37" t="str">
        <f>IFERROR(INDEX($AO$11:$AO$4010,MATCH($S$8&amp;"|"&amp;33,$BA$11:$BA$4010,0)),"")</f>
        <v/>
      </c>
    </row>
    <row r="46" spans="2:69" ht="13.5" customHeight="1" x14ac:dyDescent="0.25">
      <c r="B46" s="5" t="str">
        <f t="shared" si="0"/>
        <v/>
      </c>
      <c r="C46" s="5"/>
      <c r="D46" s="5"/>
      <c r="E46" s="5"/>
      <c r="F46" s="6"/>
      <c r="G46" s="6"/>
      <c r="H46" s="7"/>
      <c r="I46" s="8"/>
      <c r="K46" s="23" t="str">
        <f>IFERROR(INDEX($AL$11:$AL$4010,MATCH(36,$AX$11:$AX$4010,0)),"")</f>
        <v/>
      </c>
      <c r="L46" s="24" t="str">
        <f t="shared" si="1"/>
        <v/>
      </c>
      <c r="M46" s="25" t="str">
        <f t="shared" si="2"/>
        <v/>
      </c>
      <c r="N46" s="25" t="str">
        <f t="shared" si="3"/>
        <v/>
      </c>
      <c r="P46" s="26" t="str">
        <f>IFERROR(INDEX($AM$11:$AM$4010,MATCH($S$8&amp;"|"&amp;36,$BA$11:$BA$4010,0)),"")</f>
        <v/>
      </c>
      <c r="Q46" s="25" t="str">
        <f>IF(P46="","",IFERROR(INDEX($AN$11:$AN$4010,MATCH($S$8&amp;"|"&amp;36,$BA$11:$BA$4010,0)),""))</f>
        <v/>
      </c>
      <c r="R46" s="25" t="str">
        <f>IF(P46="","",IFERROR(INDEX($AO$11:$AO$4010,MATCH($S$8&amp;"|"&amp;36,$BA$11:$BA$4010,0)),""))</f>
        <v/>
      </c>
      <c r="S46" s="24" t="str">
        <f>IF(P46="","",IFERROR(INDEX($AP$11:$AP$4010,MATCH($S$8&amp;"|"&amp;36,$BA$11:$BA$4010,0)),""))</f>
        <v/>
      </c>
      <c r="T46" s="24" t="str">
        <f>IF(P46="","",IFERROR(INDEX($AQ$11:$AQ$4010,MATCH($S$8&amp;"|"&amp;36,$BA$11:$BA$4010,0)),""))</f>
        <v/>
      </c>
      <c r="U46" s="38" t="str">
        <f t="shared" si="14"/>
        <v/>
      </c>
      <c r="W46" s="28" t="str">
        <f>IF(X46="","",IFERROR(INDEX($AL$11:$AL$4010,MATCH(36,$AY$11:$AY$4010,0)),""))</f>
        <v/>
      </c>
      <c r="X46" s="26" t="str">
        <f>IFERROR(INDEX($AM$11:$AM$4010,MATCH(36,$AY$11:$AY$4010,0)),"")</f>
        <v/>
      </c>
      <c r="Y46" s="25" t="str">
        <f>IF(X46="","",IFERROR(INDEX($AN$11:$AN$4010,MATCH(36,$AY$11:$AY$4010,0)),""))</f>
        <v/>
      </c>
      <c r="Z46" s="25" t="str">
        <f>IF(X46="","",IFERROR(INDEX($AO$11:$AO$4010,MATCH(36,$AY$11:$AY$4010,0)),""))</f>
        <v/>
      </c>
      <c r="AA46" s="24" t="str">
        <f>IF(X46="","",IFERROR(INDEX($AQ$11:$AQ$4010,MATCH(36,$AY$11:$AY$4010,0)),""))</f>
        <v/>
      </c>
      <c r="AB46" s="29" t="str">
        <f>IF(X46="","",IFERROR(INDEX($AR$11:$AR$4010,MATCH(36,$AY$11:$AY$4010,0)),""))</f>
        <v/>
      </c>
      <c r="AD46" s="30" t="str">
        <f>IF(AE46="","",IFERROR(INDEX($AL$11:$AL$4010,MATCH(36,$AZ$11:$AZ$4010,0)),""))</f>
        <v/>
      </c>
      <c r="AE46" s="26" t="str">
        <f>IFERROR(INDEX($AM$11:$AM$4010,MATCH(36,$AZ$11:$AZ$4010,0)),"")</f>
        <v/>
      </c>
      <c r="AF46" s="25" t="str">
        <f>IF(AE46="","",IFERROR(INDEX($AN$11:$AN$4010,MATCH(36,$AZ$11:$AZ$4010,0)),""))</f>
        <v/>
      </c>
      <c r="AG46" s="25" t="str">
        <f>IF(AE46="","",IFERROR(INDEX($AO$11:$AO$4010,MATCH(36,$AZ$11:$AZ$4010,0)),""))</f>
        <v/>
      </c>
      <c r="AH46" s="24" t="str">
        <f>IF(AE46="","",IFERROR(INDEX($AQ$11:$AQ$4010,MATCH(36,$AZ$11:$AZ$4010,0)),""))</f>
        <v/>
      </c>
      <c r="AI46" s="29" t="str">
        <f>IF(AE46="","",IFERROR(INDEX($AR$11:$AR$4010,MATCH(36,$AZ$11:$AZ$4010,0)),""))</f>
        <v/>
      </c>
      <c r="AJ46" s="29" t="str">
        <f>IF(AE46="","",IFERROR(INDEX($AT$11:$AT$4010,MATCH(36,$AZ$11:$AZ$4010,0)),""))</f>
        <v/>
      </c>
      <c r="AL46" s="31" t="str">
        <f t="shared" si="5"/>
        <v/>
      </c>
      <c r="AM46" s="26" t="str">
        <f t="shared" si="6"/>
        <v/>
      </c>
      <c r="AN46" s="32" t="str">
        <f t="shared" si="7"/>
        <v/>
      </c>
      <c r="AO46" s="32" t="str">
        <f t="shared" si="8"/>
        <v/>
      </c>
      <c r="AP46" s="24" t="str">
        <f t="shared" si="9"/>
        <v/>
      </c>
      <c r="AQ46" s="24" t="str">
        <f t="shared" si="10"/>
        <v/>
      </c>
      <c r="AR46" s="33" t="str">
        <f t="shared" si="11"/>
        <v/>
      </c>
      <c r="AS46" s="34"/>
      <c r="AT46" s="33"/>
      <c r="AV46" s="21">
        <f>IF(AND($AL46&lt;&gt;"",COUNTIF($AL$11:$AL46,$AL46)=1),1,0)</f>
        <v>0</v>
      </c>
      <c r="AW46" s="21">
        <f t="shared" si="13"/>
        <v>0</v>
      </c>
      <c r="AX46" s="21" t="str">
        <f t="shared" si="12"/>
        <v/>
      </c>
      <c r="AY46" s="21" t="str">
        <f>IF(AND($AM46&lt;&gt;"",$AS46&lt;&gt;"✓"),SUMPRODUCT(($AM$11:$AM46&lt;&gt;"")*($AS$11:$AS46&lt;&gt;"✓")),"")</f>
        <v/>
      </c>
      <c r="AZ46" s="21" t="str">
        <f>IF(AND($AM46&lt;&gt;"",$AS46="✓"),SUMPRODUCT(($AM$11:$AM46&lt;&gt;"")*($AS$11:$AS46="✓")),"")</f>
        <v/>
      </c>
      <c r="BA46" s="21" t="str">
        <f>IF($AL46="","",$AL46&amp;"|"&amp;COUNTIF($AL$11:$AL46,$AL46))</f>
        <v/>
      </c>
      <c r="BD46" s="36" t="str">
        <f>IF(IFERROR(INDEX($AM$11:$AM$4010,MATCH($S$8&amp;"|"&amp;34,$BA$11:$BA$4010,0)),"")="","",34)</f>
        <v/>
      </c>
      <c r="BE46" s="36" t="str">
        <f>IFERROR(INDEX($AM$11:$AM$4010,MATCH($S$8&amp;"|"&amp;34,$BA$11:$BA$4010,0)),"")</f>
        <v/>
      </c>
      <c r="BF46" s="36" t="str">
        <f>IFERROR(INDEX($AP$11:$AP$4010,MATCH($S$8&amp;"|"&amp;34,$BA$11:$BA$4010,0)),"")</f>
        <v/>
      </c>
      <c r="BG46" s="36" t="str">
        <f>IFERROR(INDEX($AQ$11:$AQ$4010,MATCH($S$8&amp;"|"&amp;34,$BA$11:$BA$4010,0)),"")</f>
        <v/>
      </c>
      <c r="BH46" s="37" t="str">
        <f>IFERROR(INDEX($AN$11:$AN$4010,MATCH($S$8&amp;"|"&amp;34,$BA$11:$BA$4010,0)),"")</f>
        <v/>
      </c>
      <c r="BI46" s="37" t="str">
        <f>IFERROR(INDEX($AO$11:$AO$4010,MATCH($S$8&amp;"|"&amp;34,$BA$11:$BA$4010,0)),"")</f>
        <v/>
      </c>
      <c r="BL46" s="36" t="str">
        <f>IF(IFERROR(INDEX($AM$11:$AM$4010,MATCH($S$8&amp;"|"&amp;34,$BA$11:$BA$4010,0)),"")="","",34)</f>
        <v/>
      </c>
      <c r="BM46" s="36" t="str">
        <f>IFERROR(INDEX($AM$11:$AM$4010,MATCH($S$8&amp;"|"&amp;34,$BA$11:$BA$4010,0)),"")</f>
        <v/>
      </c>
      <c r="BN46" s="36" t="str">
        <f>IFERROR(INDEX($AP$11:$AP$4010,MATCH($S$8&amp;"|"&amp;34,$BA$11:$BA$4010,0)),"")</f>
        <v/>
      </c>
      <c r="BO46" s="36" t="str">
        <f>IFERROR(INDEX($AQ$11:$AQ$4010,MATCH($S$8&amp;"|"&amp;34,$BA$11:$BA$4010,0)),"")</f>
        <v/>
      </c>
      <c r="BP46" s="37" t="str">
        <f>IFERROR(INDEX($AN$11:$AN$4010,MATCH($S$8&amp;"|"&amp;34,$BA$11:$BA$4010,0)),"")</f>
        <v/>
      </c>
      <c r="BQ46" s="37" t="str">
        <f>IFERROR(INDEX($AO$11:$AO$4010,MATCH($S$8&amp;"|"&amp;34,$BA$11:$BA$4010,0)),"")</f>
        <v/>
      </c>
    </row>
    <row r="47" spans="2:69" ht="13.5" customHeight="1" x14ac:dyDescent="0.25">
      <c r="B47" s="5" t="str">
        <f t="shared" si="0"/>
        <v/>
      </c>
      <c r="C47" s="5"/>
      <c r="D47" s="5"/>
      <c r="E47" s="5"/>
      <c r="F47" s="6"/>
      <c r="G47" s="6"/>
      <c r="H47" s="7"/>
      <c r="I47" s="8"/>
      <c r="K47" s="9" t="str">
        <f>IFERROR(INDEX($AL$11:$AL$4010,MATCH(37,$AX$11:$AX$4010,0)),"")</f>
        <v/>
      </c>
      <c r="L47" s="10" t="str">
        <f t="shared" si="1"/>
        <v/>
      </c>
      <c r="M47" s="11" t="str">
        <f t="shared" si="2"/>
        <v/>
      </c>
      <c r="N47" s="11" t="str">
        <f t="shared" si="3"/>
        <v/>
      </c>
      <c r="P47" s="12" t="str">
        <f>IFERROR(INDEX($AM$11:$AM$4010,MATCH($S$8&amp;"|"&amp;37,$BA$11:$BA$4010,0)),"")</f>
        <v/>
      </c>
      <c r="Q47" s="11" t="str">
        <f>IF(P47="","",IFERROR(INDEX($AN$11:$AN$4010,MATCH($S$8&amp;"|"&amp;37,$BA$11:$BA$4010,0)),""))</f>
        <v/>
      </c>
      <c r="R47" s="11" t="str">
        <f>IF(P47="","",IFERROR(INDEX($AO$11:$AO$4010,MATCH($S$8&amp;"|"&amp;37,$BA$11:$BA$4010,0)),""))</f>
        <v/>
      </c>
      <c r="S47" s="10" t="str">
        <f>IF(P47="","",IFERROR(INDEX($AP$11:$AP$4010,MATCH($S$8&amp;"|"&amp;37,$BA$11:$BA$4010,0)),""))</f>
        <v/>
      </c>
      <c r="T47" s="10" t="str">
        <f>IF(P47="","",IFERROR(INDEX($AQ$11:$AQ$4010,MATCH($S$8&amp;"|"&amp;37,$BA$11:$BA$4010,0)),""))</f>
        <v/>
      </c>
      <c r="U47" s="39" t="str">
        <f t="shared" si="14"/>
        <v/>
      </c>
      <c r="W47" s="14" t="str">
        <f>IF(X47="","",IFERROR(INDEX($AL$11:$AL$4010,MATCH(37,$AY$11:$AY$4010,0)),""))</f>
        <v/>
      </c>
      <c r="X47" s="12" t="str">
        <f>IFERROR(INDEX($AM$11:$AM$4010,MATCH(37,$AY$11:$AY$4010,0)),"")</f>
        <v/>
      </c>
      <c r="Y47" s="11" t="str">
        <f>IF(X47="","",IFERROR(INDEX($AN$11:$AN$4010,MATCH(37,$AY$11:$AY$4010,0)),""))</f>
        <v/>
      </c>
      <c r="Z47" s="11" t="str">
        <f>IF(X47="","",IFERROR(INDEX($AO$11:$AO$4010,MATCH(37,$AY$11:$AY$4010,0)),""))</f>
        <v/>
      </c>
      <c r="AA47" s="10" t="str">
        <f>IF(X47="","",IFERROR(INDEX($AQ$11:$AQ$4010,MATCH(37,$AY$11:$AY$4010,0)),""))</f>
        <v/>
      </c>
      <c r="AB47" s="15" t="str">
        <f>IF(X47="","",IFERROR(INDEX($AR$11:$AR$4010,MATCH(37,$AY$11:$AY$4010,0)),""))</f>
        <v/>
      </c>
      <c r="AD47" s="16" t="str">
        <f>IF(AE47="","",IFERROR(INDEX($AL$11:$AL$4010,MATCH(37,$AZ$11:$AZ$4010,0)),""))</f>
        <v/>
      </c>
      <c r="AE47" s="12" t="str">
        <f>IFERROR(INDEX($AM$11:$AM$4010,MATCH(37,$AZ$11:$AZ$4010,0)),"")</f>
        <v/>
      </c>
      <c r="AF47" s="11" t="str">
        <f>IF(AE47="","",IFERROR(INDEX($AN$11:$AN$4010,MATCH(37,$AZ$11:$AZ$4010,0)),""))</f>
        <v/>
      </c>
      <c r="AG47" s="11" t="str">
        <f>IF(AE47="","",IFERROR(INDEX($AO$11:$AO$4010,MATCH(37,$AZ$11:$AZ$4010,0)),""))</f>
        <v/>
      </c>
      <c r="AH47" s="10" t="str">
        <f>IF(AE47="","",IFERROR(INDEX($AQ$11:$AQ$4010,MATCH(37,$AZ$11:$AZ$4010,0)),""))</f>
        <v/>
      </c>
      <c r="AI47" s="15" t="str">
        <f>IF(AE47="","",IFERROR(INDEX($AR$11:$AR$4010,MATCH(37,$AZ$11:$AZ$4010,0)),""))</f>
        <v/>
      </c>
      <c r="AJ47" s="15" t="str">
        <f>IF(AE47="","",IFERROR(INDEX($AT$11:$AT$4010,MATCH(37,$AZ$11:$AZ$4010,0)),""))</f>
        <v/>
      </c>
      <c r="AL47" s="17" t="str">
        <f t="shared" si="5"/>
        <v/>
      </c>
      <c r="AM47" s="12" t="str">
        <f t="shared" si="6"/>
        <v/>
      </c>
      <c r="AN47" s="18" t="str">
        <f t="shared" si="7"/>
        <v/>
      </c>
      <c r="AO47" s="18" t="str">
        <f t="shared" si="8"/>
        <v/>
      </c>
      <c r="AP47" s="10" t="str">
        <f t="shared" si="9"/>
        <v/>
      </c>
      <c r="AQ47" s="10" t="str">
        <f t="shared" si="10"/>
        <v/>
      </c>
      <c r="AR47" s="19" t="str">
        <f t="shared" si="11"/>
        <v/>
      </c>
      <c r="AS47" s="20"/>
      <c r="AT47" s="19"/>
      <c r="AV47" s="21">
        <f>IF(AND($AL47&lt;&gt;"",COUNTIF($AL$11:$AL47,$AL47)=1),1,0)</f>
        <v>0</v>
      </c>
      <c r="AW47" s="21">
        <f t="shared" si="13"/>
        <v>0</v>
      </c>
      <c r="AX47" s="21" t="str">
        <f t="shared" si="12"/>
        <v/>
      </c>
      <c r="AY47" s="21" t="str">
        <f>IF(AND($AM47&lt;&gt;"",$AS47&lt;&gt;"✓"),SUMPRODUCT(($AM$11:$AM47&lt;&gt;"")*($AS$11:$AS47&lt;&gt;"✓")),"")</f>
        <v/>
      </c>
      <c r="AZ47" s="21" t="str">
        <f>IF(AND($AM47&lt;&gt;"",$AS47="✓"),SUMPRODUCT(($AM$11:$AM47&lt;&gt;"")*($AS$11:$AS47="✓")),"")</f>
        <v/>
      </c>
      <c r="BA47" s="21" t="str">
        <f>IF($AL47="","",$AL47&amp;"|"&amp;COUNTIF($AL$11:$AL47,$AL47))</f>
        <v/>
      </c>
      <c r="BD47" s="36" t="str">
        <f>IF(IFERROR(INDEX($AM$11:$AM$4010,MATCH($S$8&amp;"|"&amp;35,$BA$11:$BA$4010,0)),"")="","",35)</f>
        <v/>
      </c>
      <c r="BE47" s="36" t="str">
        <f>IFERROR(INDEX($AM$11:$AM$4010,MATCH($S$8&amp;"|"&amp;35,$BA$11:$BA$4010,0)),"")</f>
        <v/>
      </c>
      <c r="BF47" s="36" t="str">
        <f>IFERROR(INDEX($AP$11:$AP$4010,MATCH($S$8&amp;"|"&amp;35,$BA$11:$BA$4010,0)),"")</f>
        <v/>
      </c>
      <c r="BG47" s="36" t="str">
        <f>IFERROR(INDEX($AQ$11:$AQ$4010,MATCH($S$8&amp;"|"&amp;35,$BA$11:$BA$4010,0)),"")</f>
        <v/>
      </c>
      <c r="BH47" s="37" t="str">
        <f>IFERROR(INDEX($AN$11:$AN$4010,MATCH($S$8&amp;"|"&amp;35,$BA$11:$BA$4010,0)),"")</f>
        <v/>
      </c>
      <c r="BI47" s="37" t="str">
        <f>IFERROR(INDEX($AO$11:$AO$4010,MATCH($S$8&amp;"|"&amp;35,$BA$11:$BA$4010,0)),"")</f>
        <v/>
      </c>
      <c r="BL47" s="36" t="str">
        <f>IF(IFERROR(INDEX($AM$11:$AM$4010,MATCH($S$8&amp;"|"&amp;35,$BA$11:$BA$4010,0)),"")="","",35)</f>
        <v/>
      </c>
      <c r="BM47" s="36" t="str">
        <f>IFERROR(INDEX($AM$11:$AM$4010,MATCH($S$8&amp;"|"&amp;35,$BA$11:$BA$4010,0)),"")</f>
        <v/>
      </c>
      <c r="BN47" s="36" t="str">
        <f>IFERROR(INDEX($AP$11:$AP$4010,MATCH($S$8&amp;"|"&amp;35,$BA$11:$BA$4010,0)),"")</f>
        <v/>
      </c>
      <c r="BO47" s="36" t="str">
        <f>IFERROR(INDEX($AQ$11:$AQ$4010,MATCH($S$8&amp;"|"&amp;35,$BA$11:$BA$4010,0)),"")</f>
        <v/>
      </c>
      <c r="BP47" s="37" t="str">
        <f>IFERROR(INDEX($AN$11:$AN$4010,MATCH($S$8&amp;"|"&amp;35,$BA$11:$BA$4010,0)),"")</f>
        <v/>
      </c>
      <c r="BQ47" s="37" t="str">
        <f>IFERROR(INDEX($AO$11:$AO$4010,MATCH($S$8&amp;"|"&amp;35,$BA$11:$BA$4010,0)),"")</f>
        <v/>
      </c>
    </row>
    <row r="48" spans="2:69" ht="13.5" customHeight="1" x14ac:dyDescent="0.25">
      <c r="B48" s="5" t="str">
        <f t="shared" si="0"/>
        <v/>
      </c>
      <c r="C48" s="5"/>
      <c r="D48" s="5"/>
      <c r="E48" s="5"/>
      <c r="F48" s="6"/>
      <c r="G48" s="6"/>
      <c r="H48" s="7"/>
      <c r="I48" s="8"/>
      <c r="K48" s="23" t="str">
        <f>IFERROR(INDEX($AL$11:$AL$4010,MATCH(38,$AX$11:$AX$4010,0)),"")</f>
        <v/>
      </c>
      <c r="L48" s="24" t="str">
        <f t="shared" si="1"/>
        <v/>
      </c>
      <c r="M48" s="25" t="str">
        <f t="shared" si="2"/>
        <v/>
      </c>
      <c r="N48" s="25" t="str">
        <f t="shared" si="3"/>
        <v/>
      </c>
      <c r="P48" s="26" t="str">
        <f>IFERROR(INDEX($AM$11:$AM$4010,MATCH($S$8&amp;"|"&amp;38,$BA$11:$BA$4010,0)),"")</f>
        <v/>
      </c>
      <c r="Q48" s="25" t="str">
        <f>IF(P48="","",IFERROR(INDEX($AN$11:$AN$4010,MATCH($S$8&amp;"|"&amp;38,$BA$11:$BA$4010,0)),""))</f>
        <v/>
      </c>
      <c r="R48" s="25" t="str">
        <f>IF(P48="","",IFERROR(INDEX($AO$11:$AO$4010,MATCH($S$8&amp;"|"&amp;38,$BA$11:$BA$4010,0)),""))</f>
        <v/>
      </c>
      <c r="S48" s="24" t="str">
        <f>IF(P48="","",IFERROR(INDEX($AP$11:$AP$4010,MATCH($S$8&amp;"|"&amp;38,$BA$11:$BA$4010,0)),""))</f>
        <v/>
      </c>
      <c r="T48" s="24" t="str">
        <f>IF(P48="","",IFERROR(INDEX($AQ$11:$AQ$4010,MATCH($S$8&amp;"|"&amp;38,$BA$11:$BA$4010,0)),""))</f>
        <v/>
      </c>
      <c r="U48" s="38" t="str">
        <f t="shared" si="14"/>
        <v/>
      </c>
      <c r="W48" s="28" t="str">
        <f>IF(X48="","",IFERROR(INDEX($AL$11:$AL$4010,MATCH(38,$AY$11:$AY$4010,0)),""))</f>
        <v/>
      </c>
      <c r="X48" s="26" t="str">
        <f>IFERROR(INDEX($AM$11:$AM$4010,MATCH(38,$AY$11:$AY$4010,0)),"")</f>
        <v/>
      </c>
      <c r="Y48" s="25" t="str">
        <f>IF(X48="","",IFERROR(INDEX($AN$11:$AN$4010,MATCH(38,$AY$11:$AY$4010,0)),""))</f>
        <v/>
      </c>
      <c r="Z48" s="25" t="str">
        <f>IF(X48="","",IFERROR(INDEX($AO$11:$AO$4010,MATCH(38,$AY$11:$AY$4010,0)),""))</f>
        <v/>
      </c>
      <c r="AA48" s="24" t="str">
        <f>IF(X48="","",IFERROR(INDEX($AQ$11:$AQ$4010,MATCH(38,$AY$11:$AY$4010,0)),""))</f>
        <v/>
      </c>
      <c r="AB48" s="29" t="str">
        <f>IF(X48="","",IFERROR(INDEX($AR$11:$AR$4010,MATCH(38,$AY$11:$AY$4010,0)),""))</f>
        <v/>
      </c>
      <c r="AD48" s="30" t="str">
        <f>IF(AE48="","",IFERROR(INDEX($AL$11:$AL$4010,MATCH(38,$AZ$11:$AZ$4010,0)),""))</f>
        <v/>
      </c>
      <c r="AE48" s="26" t="str">
        <f>IFERROR(INDEX($AM$11:$AM$4010,MATCH(38,$AZ$11:$AZ$4010,0)),"")</f>
        <v/>
      </c>
      <c r="AF48" s="25" t="str">
        <f>IF(AE48="","",IFERROR(INDEX($AN$11:$AN$4010,MATCH(38,$AZ$11:$AZ$4010,0)),""))</f>
        <v/>
      </c>
      <c r="AG48" s="25" t="str">
        <f>IF(AE48="","",IFERROR(INDEX($AO$11:$AO$4010,MATCH(38,$AZ$11:$AZ$4010,0)),""))</f>
        <v/>
      </c>
      <c r="AH48" s="24" t="str">
        <f>IF(AE48="","",IFERROR(INDEX($AQ$11:$AQ$4010,MATCH(38,$AZ$11:$AZ$4010,0)),""))</f>
        <v/>
      </c>
      <c r="AI48" s="29" t="str">
        <f>IF(AE48="","",IFERROR(INDEX($AR$11:$AR$4010,MATCH(38,$AZ$11:$AZ$4010,0)),""))</f>
        <v/>
      </c>
      <c r="AJ48" s="29" t="str">
        <f>IF(AE48="","",IFERROR(INDEX($AT$11:$AT$4010,MATCH(38,$AZ$11:$AZ$4010,0)),""))</f>
        <v/>
      </c>
      <c r="AL48" s="31" t="str">
        <f t="shared" si="5"/>
        <v/>
      </c>
      <c r="AM48" s="26" t="str">
        <f t="shared" si="6"/>
        <v/>
      </c>
      <c r="AN48" s="32" t="str">
        <f t="shared" si="7"/>
        <v/>
      </c>
      <c r="AO48" s="32" t="str">
        <f t="shared" si="8"/>
        <v/>
      </c>
      <c r="AP48" s="24" t="str">
        <f t="shared" si="9"/>
        <v/>
      </c>
      <c r="AQ48" s="24" t="str">
        <f t="shared" si="10"/>
        <v/>
      </c>
      <c r="AR48" s="33" t="str">
        <f t="shared" si="11"/>
        <v/>
      </c>
      <c r="AS48" s="34"/>
      <c r="AT48" s="33"/>
      <c r="AV48" s="21">
        <f>IF(AND($AL48&lt;&gt;"",COUNTIF($AL$11:$AL48,$AL48)=1),1,0)</f>
        <v>0</v>
      </c>
      <c r="AW48" s="21">
        <f t="shared" si="13"/>
        <v>0</v>
      </c>
      <c r="AX48" s="21" t="str">
        <f t="shared" si="12"/>
        <v/>
      </c>
      <c r="AY48" s="21" t="str">
        <f>IF(AND($AM48&lt;&gt;"",$AS48&lt;&gt;"✓"),SUMPRODUCT(($AM$11:$AM48&lt;&gt;"")*($AS$11:$AS48&lt;&gt;"✓")),"")</f>
        <v/>
      </c>
      <c r="AZ48" s="21" t="str">
        <f>IF(AND($AM48&lt;&gt;"",$AS48="✓"),SUMPRODUCT(($AM$11:$AM48&lt;&gt;"")*($AS$11:$AS48="✓")),"")</f>
        <v/>
      </c>
      <c r="BA48" s="21" t="str">
        <f>IF($AL48="","",$AL48&amp;"|"&amp;COUNTIF($AL$11:$AL48,$AL48))</f>
        <v/>
      </c>
      <c r="BD48" s="36" t="str">
        <f>IF(IFERROR(INDEX($AM$11:$AM$4010,MATCH($S$8&amp;"|"&amp;36,$BA$11:$BA$4010,0)),"")="","",36)</f>
        <v/>
      </c>
      <c r="BE48" s="36" t="str">
        <f>IFERROR(INDEX($AM$11:$AM$4010,MATCH($S$8&amp;"|"&amp;36,$BA$11:$BA$4010,0)),"")</f>
        <v/>
      </c>
      <c r="BF48" s="36" t="str">
        <f>IFERROR(INDEX($AP$11:$AP$4010,MATCH($S$8&amp;"|"&amp;36,$BA$11:$BA$4010,0)),"")</f>
        <v/>
      </c>
      <c r="BG48" s="36" t="str">
        <f>IFERROR(INDEX($AQ$11:$AQ$4010,MATCH($S$8&amp;"|"&amp;36,$BA$11:$BA$4010,0)),"")</f>
        <v/>
      </c>
      <c r="BH48" s="37" t="str">
        <f>IFERROR(INDEX($AN$11:$AN$4010,MATCH($S$8&amp;"|"&amp;36,$BA$11:$BA$4010,0)),"")</f>
        <v/>
      </c>
      <c r="BI48" s="37" t="str">
        <f>IFERROR(INDEX($AO$11:$AO$4010,MATCH($S$8&amp;"|"&amp;36,$BA$11:$BA$4010,0)),"")</f>
        <v/>
      </c>
      <c r="BL48" s="36" t="str">
        <f>IF(IFERROR(INDEX($AM$11:$AM$4010,MATCH($S$8&amp;"|"&amp;36,$BA$11:$BA$4010,0)),"")="","",36)</f>
        <v/>
      </c>
      <c r="BM48" s="36" t="str">
        <f>IFERROR(INDEX($AM$11:$AM$4010,MATCH($S$8&amp;"|"&amp;36,$BA$11:$BA$4010,0)),"")</f>
        <v/>
      </c>
      <c r="BN48" s="36" t="str">
        <f>IFERROR(INDEX($AP$11:$AP$4010,MATCH($S$8&amp;"|"&amp;36,$BA$11:$BA$4010,0)),"")</f>
        <v/>
      </c>
      <c r="BO48" s="36" t="str">
        <f>IFERROR(INDEX($AQ$11:$AQ$4010,MATCH($S$8&amp;"|"&amp;36,$BA$11:$BA$4010,0)),"")</f>
        <v/>
      </c>
      <c r="BP48" s="37" t="str">
        <f>IFERROR(INDEX($AN$11:$AN$4010,MATCH($S$8&amp;"|"&amp;36,$BA$11:$BA$4010,0)),"")</f>
        <v/>
      </c>
      <c r="BQ48" s="37" t="str">
        <f>IFERROR(INDEX($AO$11:$AO$4010,MATCH($S$8&amp;"|"&amp;36,$BA$11:$BA$4010,0)),"")</f>
        <v/>
      </c>
    </row>
    <row r="49" spans="2:69" ht="13.5" customHeight="1" x14ac:dyDescent="0.25">
      <c r="B49" s="5" t="str">
        <f t="shared" si="0"/>
        <v/>
      </c>
      <c r="C49" s="5"/>
      <c r="D49" s="5"/>
      <c r="E49" s="5"/>
      <c r="F49" s="6"/>
      <c r="G49" s="6"/>
      <c r="H49" s="7"/>
      <c r="I49" s="8"/>
      <c r="K49" s="9" t="str">
        <f>IFERROR(INDEX($AL$11:$AL$4010,MATCH(39,$AX$11:$AX$4010,0)),"")</f>
        <v/>
      </c>
      <c r="L49" s="10" t="str">
        <f t="shared" si="1"/>
        <v/>
      </c>
      <c r="M49" s="11" t="str">
        <f t="shared" si="2"/>
        <v/>
      </c>
      <c r="N49" s="11" t="str">
        <f t="shared" si="3"/>
        <v/>
      </c>
      <c r="P49" s="12" t="str">
        <f>IFERROR(INDEX($AM$11:$AM$4010,MATCH($S$8&amp;"|"&amp;39,$BA$11:$BA$4010,0)),"")</f>
        <v/>
      </c>
      <c r="Q49" s="11" t="str">
        <f>IF(P49="","",IFERROR(INDEX($AN$11:$AN$4010,MATCH($S$8&amp;"|"&amp;39,$BA$11:$BA$4010,0)),""))</f>
        <v/>
      </c>
      <c r="R49" s="11" t="str">
        <f>IF(P49="","",IFERROR(INDEX($AO$11:$AO$4010,MATCH($S$8&amp;"|"&amp;39,$BA$11:$BA$4010,0)),""))</f>
        <v/>
      </c>
      <c r="S49" s="10" t="str">
        <f>IF(P49="","",IFERROR(INDEX($AP$11:$AP$4010,MATCH($S$8&amp;"|"&amp;39,$BA$11:$BA$4010,0)),""))</f>
        <v/>
      </c>
      <c r="T49" s="10" t="str">
        <f>IF(P49="","",IFERROR(INDEX($AQ$11:$AQ$4010,MATCH($S$8&amp;"|"&amp;39,$BA$11:$BA$4010,0)),""))</f>
        <v/>
      </c>
      <c r="U49" s="39" t="str">
        <f t="shared" si="14"/>
        <v/>
      </c>
      <c r="W49" s="14" t="str">
        <f>IF(X49="","",IFERROR(INDEX($AL$11:$AL$4010,MATCH(39,$AY$11:$AY$4010,0)),""))</f>
        <v/>
      </c>
      <c r="X49" s="12" t="str">
        <f>IFERROR(INDEX($AM$11:$AM$4010,MATCH(39,$AY$11:$AY$4010,0)),"")</f>
        <v/>
      </c>
      <c r="Y49" s="11" t="str">
        <f>IF(X49="","",IFERROR(INDEX($AN$11:$AN$4010,MATCH(39,$AY$11:$AY$4010,0)),""))</f>
        <v/>
      </c>
      <c r="Z49" s="11" t="str">
        <f>IF(X49="","",IFERROR(INDEX($AO$11:$AO$4010,MATCH(39,$AY$11:$AY$4010,0)),""))</f>
        <v/>
      </c>
      <c r="AA49" s="10" t="str">
        <f>IF(X49="","",IFERROR(INDEX($AQ$11:$AQ$4010,MATCH(39,$AY$11:$AY$4010,0)),""))</f>
        <v/>
      </c>
      <c r="AB49" s="15" t="str">
        <f>IF(X49="","",IFERROR(INDEX($AR$11:$AR$4010,MATCH(39,$AY$11:$AY$4010,0)),""))</f>
        <v/>
      </c>
      <c r="AD49" s="16" t="str">
        <f>IF(AE49="","",IFERROR(INDEX($AL$11:$AL$4010,MATCH(39,$AZ$11:$AZ$4010,0)),""))</f>
        <v/>
      </c>
      <c r="AE49" s="12" t="str">
        <f>IFERROR(INDEX($AM$11:$AM$4010,MATCH(39,$AZ$11:$AZ$4010,0)),"")</f>
        <v/>
      </c>
      <c r="AF49" s="11" t="str">
        <f>IF(AE49="","",IFERROR(INDEX($AN$11:$AN$4010,MATCH(39,$AZ$11:$AZ$4010,0)),""))</f>
        <v/>
      </c>
      <c r="AG49" s="11" t="str">
        <f>IF(AE49="","",IFERROR(INDEX($AO$11:$AO$4010,MATCH(39,$AZ$11:$AZ$4010,0)),""))</f>
        <v/>
      </c>
      <c r="AH49" s="10" t="str">
        <f>IF(AE49="","",IFERROR(INDEX($AQ$11:$AQ$4010,MATCH(39,$AZ$11:$AZ$4010,0)),""))</f>
        <v/>
      </c>
      <c r="AI49" s="15" t="str">
        <f>IF(AE49="","",IFERROR(INDEX($AR$11:$AR$4010,MATCH(39,$AZ$11:$AZ$4010,0)),""))</f>
        <v/>
      </c>
      <c r="AJ49" s="15" t="str">
        <f>IF(AE49="","",IFERROR(INDEX($AT$11:$AT$4010,MATCH(39,$AZ$11:$AZ$4010,0)),""))</f>
        <v/>
      </c>
      <c r="AL49" s="17" t="str">
        <f t="shared" si="5"/>
        <v/>
      </c>
      <c r="AM49" s="12" t="str">
        <f t="shared" si="6"/>
        <v/>
      </c>
      <c r="AN49" s="18" t="str">
        <f t="shared" si="7"/>
        <v/>
      </c>
      <c r="AO49" s="18" t="str">
        <f t="shared" si="8"/>
        <v/>
      </c>
      <c r="AP49" s="10" t="str">
        <f t="shared" si="9"/>
        <v/>
      </c>
      <c r="AQ49" s="10" t="str">
        <f t="shared" si="10"/>
        <v/>
      </c>
      <c r="AR49" s="19" t="str">
        <f t="shared" si="11"/>
        <v/>
      </c>
      <c r="AS49" s="20"/>
      <c r="AT49" s="19"/>
      <c r="AV49" s="21">
        <f>IF(AND($AL49&lt;&gt;"",COUNTIF($AL$11:$AL49,$AL49)=1),1,0)</f>
        <v>0</v>
      </c>
      <c r="AW49" s="21">
        <f t="shared" si="13"/>
        <v>0</v>
      </c>
      <c r="AX49" s="21" t="str">
        <f t="shared" si="12"/>
        <v/>
      </c>
      <c r="AY49" s="21" t="str">
        <f>IF(AND($AM49&lt;&gt;"",$AS49&lt;&gt;"✓"),SUMPRODUCT(($AM$11:$AM49&lt;&gt;"")*($AS$11:$AS49&lt;&gt;"✓")),"")</f>
        <v/>
      </c>
      <c r="AZ49" s="21" t="str">
        <f>IF(AND($AM49&lt;&gt;"",$AS49="✓"),SUMPRODUCT(($AM$11:$AM49&lt;&gt;"")*($AS$11:$AS49="✓")),"")</f>
        <v/>
      </c>
      <c r="BA49" s="21" t="str">
        <f>IF($AL49="","",$AL49&amp;"|"&amp;COUNTIF($AL$11:$AL49,$AL49))</f>
        <v/>
      </c>
      <c r="BD49" s="36" t="str">
        <f>IF(IFERROR(INDEX($AM$11:$AM$4010,MATCH($S$8&amp;"|"&amp;37,$BA$11:$BA$4010,0)),"")="","",37)</f>
        <v/>
      </c>
      <c r="BE49" s="36" t="str">
        <f>IFERROR(INDEX($AM$11:$AM$4010,MATCH($S$8&amp;"|"&amp;37,$BA$11:$BA$4010,0)),"")</f>
        <v/>
      </c>
      <c r="BF49" s="36" t="str">
        <f>IFERROR(INDEX($AP$11:$AP$4010,MATCH($S$8&amp;"|"&amp;37,$BA$11:$BA$4010,0)),"")</f>
        <v/>
      </c>
      <c r="BG49" s="36" t="str">
        <f>IFERROR(INDEX($AQ$11:$AQ$4010,MATCH($S$8&amp;"|"&amp;37,$BA$11:$BA$4010,0)),"")</f>
        <v/>
      </c>
      <c r="BH49" s="37" t="str">
        <f>IFERROR(INDEX($AN$11:$AN$4010,MATCH($S$8&amp;"|"&amp;37,$BA$11:$BA$4010,0)),"")</f>
        <v/>
      </c>
      <c r="BI49" s="37" t="str">
        <f>IFERROR(INDEX($AO$11:$AO$4010,MATCH($S$8&amp;"|"&amp;37,$BA$11:$BA$4010,0)),"")</f>
        <v/>
      </c>
      <c r="BL49" s="36" t="str">
        <f>IF(IFERROR(INDEX($AM$11:$AM$4010,MATCH($S$8&amp;"|"&amp;37,$BA$11:$BA$4010,0)),"")="","",37)</f>
        <v/>
      </c>
      <c r="BM49" s="36" t="str">
        <f>IFERROR(INDEX($AM$11:$AM$4010,MATCH($S$8&amp;"|"&amp;37,$BA$11:$BA$4010,0)),"")</f>
        <v/>
      </c>
      <c r="BN49" s="36" t="str">
        <f>IFERROR(INDEX($AP$11:$AP$4010,MATCH($S$8&amp;"|"&amp;37,$BA$11:$BA$4010,0)),"")</f>
        <v/>
      </c>
      <c r="BO49" s="36" t="str">
        <f>IFERROR(INDEX($AQ$11:$AQ$4010,MATCH($S$8&amp;"|"&amp;37,$BA$11:$BA$4010,0)),"")</f>
        <v/>
      </c>
      <c r="BP49" s="37" t="str">
        <f>IFERROR(INDEX($AN$11:$AN$4010,MATCH($S$8&amp;"|"&amp;37,$BA$11:$BA$4010,0)),"")</f>
        <v/>
      </c>
      <c r="BQ49" s="37" t="str">
        <f>IFERROR(INDEX($AO$11:$AO$4010,MATCH($S$8&amp;"|"&amp;37,$BA$11:$BA$4010,0)),"")</f>
        <v/>
      </c>
    </row>
    <row r="50" spans="2:69" ht="13.5" customHeight="1" x14ac:dyDescent="0.25">
      <c r="B50" s="5" t="str">
        <f t="shared" si="0"/>
        <v/>
      </c>
      <c r="C50" s="5"/>
      <c r="D50" s="5"/>
      <c r="E50" s="5"/>
      <c r="F50" s="6"/>
      <c r="G50" s="6"/>
      <c r="H50" s="7"/>
      <c r="I50" s="8"/>
      <c r="K50" s="23" t="str">
        <f>IFERROR(INDEX($AL$11:$AL$4010,MATCH(40,$AX$11:$AX$4010,0)),"")</f>
        <v/>
      </c>
      <c r="L50" s="24" t="str">
        <f t="shared" si="1"/>
        <v/>
      </c>
      <c r="M50" s="25" t="str">
        <f t="shared" si="2"/>
        <v/>
      </c>
      <c r="N50" s="25" t="str">
        <f t="shared" si="3"/>
        <v/>
      </c>
      <c r="P50" s="26" t="str">
        <f>IFERROR(INDEX($AM$11:$AM$4010,MATCH($S$8&amp;"|"&amp;40,$BA$11:$BA$4010,0)),"")</f>
        <v/>
      </c>
      <c r="Q50" s="25" t="str">
        <f>IF(P50="","",IFERROR(INDEX($AN$11:$AN$4010,MATCH($S$8&amp;"|"&amp;40,$BA$11:$BA$4010,0)),""))</f>
        <v/>
      </c>
      <c r="R50" s="25" t="str">
        <f>IF(P50="","",IFERROR(INDEX($AO$11:$AO$4010,MATCH($S$8&amp;"|"&amp;40,$BA$11:$BA$4010,0)),""))</f>
        <v/>
      </c>
      <c r="S50" s="24" t="str">
        <f>IF(P50="","",IFERROR(INDEX($AP$11:$AP$4010,MATCH($S$8&amp;"|"&amp;40,$BA$11:$BA$4010,0)),""))</f>
        <v/>
      </c>
      <c r="T50" s="24" t="str">
        <f>IF(P50="","",IFERROR(INDEX($AQ$11:$AQ$4010,MATCH($S$8&amp;"|"&amp;40,$BA$11:$BA$4010,0)),""))</f>
        <v/>
      </c>
      <c r="U50" s="38" t="str">
        <f t="shared" si="14"/>
        <v/>
      </c>
      <c r="W50" s="28" t="str">
        <f>IF(X50="","",IFERROR(INDEX($AL$11:$AL$4010,MATCH(40,$AY$11:$AY$4010,0)),""))</f>
        <v/>
      </c>
      <c r="X50" s="26" t="str">
        <f>IFERROR(INDEX($AM$11:$AM$4010,MATCH(40,$AY$11:$AY$4010,0)),"")</f>
        <v/>
      </c>
      <c r="Y50" s="25" t="str">
        <f>IF(X50="","",IFERROR(INDEX($AN$11:$AN$4010,MATCH(40,$AY$11:$AY$4010,0)),""))</f>
        <v/>
      </c>
      <c r="Z50" s="25" t="str">
        <f>IF(X50="","",IFERROR(INDEX($AO$11:$AO$4010,MATCH(40,$AY$11:$AY$4010,0)),""))</f>
        <v/>
      </c>
      <c r="AA50" s="24" t="str">
        <f>IF(X50="","",IFERROR(INDEX($AQ$11:$AQ$4010,MATCH(40,$AY$11:$AY$4010,0)),""))</f>
        <v/>
      </c>
      <c r="AB50" s="29" t="str">
        <f>IF(X50="","",IFERROR(INDEX($AR$11:$AR$4010,MATCH(40,$AY$11:$AY$4010,0)),""))</f>
        <v/>
      </c>
      <c r="AD50" s="30" t="str">
        <f>IF(AE50="","",IFERROR(INDEX($AL$11:$AL$4010,MATCH(40,$AZ$11:$AZ$4010,0)),""))</f>
        <v/>
      </c>
      <c r="AE50" s="26" t="str">
        <f>IFERROR(INDEX($AM$11:$AM$4010,MATCH(40,$AZ$11:$AZ$4010,0)),"")</f>
        <v/>
      </c>
      <c r="AF50" s="25" t="str">
        <f>IF(AE50="","",IFERROR(INDEX($AN$11:$AN$4010,MATCH(40,$AZ$11:$AZ$4010,0)),""))</f>
        <v/>
      </c>
      <c r="AG50" s="25" t="str">
        <f>IF(AE50="","",IFERROR(INDEX($AO$11:$AO$4010,MATCH(40,$AZ$11:$AZ$4010,0)),""))</f>
        <v/>
      </c>
      <c r="AH50" s="24" t="str">
        <f>IF(AE50="","",IFERROR(INDEX($AQ$11:$AQ$4010,MATCH(40,$AZ$11:$AZ$4010,0)),""))</f>
        <v/>
      </c>
      <c r="AI50" s="29" t="str">
        <f>IF(AE50="","",IFERROR(INDEX($AR$11:$AR$4010,MATCH(40,$AZ$11:$AZ$4010,0)),""))</f>
        <v/>
      </c>
      <c r="AJ50" s="29" t="str">
        <f>IF(AE50="","",IFERROR(INDEX($AT$11:$AT$4010,MATCH(40,$AZ$11:$AZ$4010,0)),""))</f>
        <v/>
      </c>
      <c r="AL50" s="31" t="str">
        <f t="shared" si="5"/>
        <v/>
      </c>
      <c r="AM50" s="26" t="str">
        <f t="shared" si="6"/>
        <v/>
      </c>
      <c r="AN50" s="32" t="str">
        <f t="shared" si="7"/>
        <v/>
      </c>
      <c r="AO50" s="32" t="str">
        <f t="shared" si="8"/>
        <v/>
      </c>
      <c r="AP50" s="24" t="str">
        <f t="shared" si="9"/>
        <v/>
      </c>
      <c r="AQ50" s="24" t="str">
        <f t="shared" si="10"/>
        <v/>
      </c>
      <c r="AR50" s="33" t="str">
        <f t="shared" si="11"/>
        <v/>
      </c>
      <c r="AS50" s="34"/>
      <c r="AT50" s="33"/>
      <c r="AV50" s="21">
        <f>IF(AND($AL50&lt;&gt;"",COUNTIF($AL$11:$AL50,$AL50)=1),1,0)</f>
        <v>0</v>
      </c>
      <c r="AW50" s="21">
        <f t="shared" si="13"/>
        <v>0</v>
      </c>
      <c r="AX50" s="21" t="str">
        <f t="shared" si="12"/>
        <v/>
      </c>
      <c r="AY50" s="21" t="str">
        <f>IF(AND($AM50&lt;&gt;"",$AS50&lt;&gt;"✓"),SUMPRODUCT(($AM$11:$AM50&lt;&gt;"")*($AS$11:$AS50&lt;&gt;"✓")),"")</f>
        <v/>
      </c>
      <c r="AZ50" s="21" t="str">
        <f>IF(AND($AM50&lt;&gt;"",$AS50="✓"),SUMPRODUCT(($AM$11:$AM50&lt;&gt;"")*($AS$11:$AS50="✓")),"")</f>
        <v/>
      </c>
      <c r="BA50" s="21" t="str">
        <f>IF($AL50="","",$AL50&amp;"|"&amp;COUNTIF($AL$11:$AL50,$AL50))</f>
        <v/>
      </c>
      <c r="BD50" s="36" t="str">
        <f>IF(IFERROR(INDEX($AM$11:$AM$4010,MATCH($S$8&amp;"|"&amp;38,$BA$11:$BA$4010,0)),"")="","",38)</f>
        <v/>
      </c>
      <c r="BE50" s="36" t="str">
        <f>IFERROR(INDEX($AM$11:$AM$4010,MATCH($S$8&amp;"|"&amp;38,$BA$11:$BA$4010,0)),"")</f>
        <v/>
      </c>
      <c r="BF50" s="36" t="str">
        <f>IFERROR(INDEX($AP$11:$AP$4010,MATCH($S$8&amp;"|"&amp;38,$BA$11:$BA$4010,0)),"")</f>
        <v/>
      </c>
      <c r="BG50" s="36" t="str">
        <f>IFERROR(INDEX($AQ$11:$AQ$4010,MATCH($S$8&amp;"|"&amp;38,$BA$11:$BA$4010,0)),"")</f>
        <v/>
      </c>
      <c r="BH50" s="37" t="str">
        <f>IFERROR(INDEX($AN$11:$AN$4010,MATCH($S$8&amp;"|"&amp;38,$BA$11:$BA$4010,0)),"")</f>
        <v/>
      </c>
      <c r="BI50" s="37" t="str">
        <f>IFERROR(INDEX($AO$11:$AO$4010,MATCH($S$8&amp;"|"&amp;38,$BA$11:$BA$4010,0)),"")</f>
        <v/>
      </c>
      <c r="BL50" s="36" t="str">
        <f>IF(IFERROR(INDEX($AM$11:$AM$4010,MATCH($S$8&amp;"|"&amp;38,$BA$11:$BA$4010,0)),"")="","",38)</f>
        <v/>
      </c>
      <c r="BM50" s="36" t="str">
        <f>IFERROR(INDEX($AM$11:$AM$4010,MATCH($S$8&amp;"|"&amp;38,$BA$11:$BA$4010,0)),"")</f>
        <v/>
      </c>
      <c r="BN50" s="36" t="str">
        <f>IFERROR(INDEX($AP$11:$AP$4010,MATCH($S$8&amp;"|"&amp;38,$BA$11:$BA$4010,0)),"")</f>
        <v/>
      </c>
      <c r="BO50" s="36" t="str">
        <f>IFERROR(INDEX($AQ$11:$AQ$4010,MATCH($S$8&amp;"|"&amp;38,$BA$11:$BA$4010,0)),"")</f>
        <v/>
      </c>
      <c r="BP50" s="37" t="str">
        <f>IFERROR(INDEX($AN$11:$AN$4010,MATCH($S$8&amp;"|"&amp;38,$BA$11:$BA$4010,0)),"")</f>
        <v/>
      </c>
      <c r="BQ50" s="37" t="str">
        <f>IFERROR(INDEX($AO$11:$AO$4010,MATCH($S$8&amp;"|"&amp;38,$BA$11:$BA$4010,0)),"")</f>
        <v/>
      </c>
    </row>
    <row r="51" spans="2:69" ht="13.5" customHeight="1" x14ac:dyDescent="0.25">
      <c r="B51" s="5" t="str">
        <f t="shared" si="0"/>
        <v/>
      </c>
      <c r="C51" s="5"/>
      <c r="D51" s="5"/>
      <c r="E51" s="5"/>
      <c r="F51" s="6"/>
      <c r="G51" s="6"/>
      <c r="H51" s="7"/>
      <c r="I51" s="8"/>
      <c r="K51" s="9" t="str">
        <f>IFERROR(INDEX($AL$11:$AL$4010,MATCH(41,$AX$11:$AX$4010,0)),"")</f>
        <v/>
      </c>
      <c r="L51" s="10" t="str">
        <f t="shared" si="1"/>
        <v/>
      </c>
      <c r="M51" s="11" t="str">
        <f t="shared" si="2"/>
        <v/>
      </c>
      <c r="N51" s="11" t="str">
        <f t="shared" si="3"/>
        <v/>
      </c>
      <c r="P51" s="12" t="str">
        <f>IFERROR(INDEX($AM$11:$AM$4010,MATCH($S$8&amp;"|"&amp;41,$BA$11:$BA$4010,0)),"")</f>
        <v/>
      </c>
      <c r="Q51" s="11" t="str">
        <f>IF(P51="","",IFERROR(INDEX($AN$11:$AN$4010,MATCH($S$8&amp;"|"&amp;41,$BA$11:$BA$4010,0)),""))</f>
        <v/>
      </c>
      <c r="R51" s="11" t="str">
        <f>IF(P51="","",IFERROR(INDEX($AO$11:$AO$4010,MATCH($S$8&amp;"|"&amp;41,$BA$11:$BA$4010,0)),""))</f>
        <v/>
      </c>
      <c r="S51" s="10" t="str">
        <f>IF(P51="","",IFERROR(INDEX($AP$11:$AP$4010,MATCH($S$8&amp;"|"&amp;41,$BA$11:$BA$4010,0)),""))</f>
        <v/>
      </c>
      <c r="T51" s="10" t="str">
        <f>IF(P51="","",IFERROR(INDEX($AQ$11:$AQ$4010,MATCH($S$8&amp;"|"&amp;41,$BA$11:$BA$4010,0)),""))</f>
        <v/>
      </c>
      <c r="U51" s="39" t="str">
        <f t="shared" si="14"/>
        <v/>
      </c>
      <c r="W51" s="14" t="str">
        <f>IF(X51="","",IFERROR(INDEX($AL$11:$AL$4010,MATCH(41,$AY$11:$AY$4010,0)),""))</f>
        <v/>
      </c>
      <c r="X51" s="12" t="str">
        <f>IFERROR(INDEX($AM$11:$AM$4010,MATCH(41,$AY$11:$AY$4010,0)),"")</f>
        <v/>
      </c>
      <c r="Y51" s="11" t="str">
        <f>IF(X51="","",IFERROR(INDEX($AN$11:$AN$4010,MATCH(41,$AY$11:$AY$4010,0)),""))</f>
        <v/>
      </c>
      <c r="Z51" s="11" t="str">
        <f>IF(X51="","",IFERROR(INDEX($AO$11:$AO$4010,MATCH(41,$AY$11:$AY$4010,0)),""))</f>
        <v/>
      </c>
      <c r="AA51" s="10" t="str">
        <f>IF(X51="","",IFERROR(INDEX($AQ$11:$AQ$4010,MATCH(41,$AY$11:$AY$4010,0)),""))</f>
        <v/>
      </c>
      <c r="AB51" s="15" t="str">
        <f>IF(X51="","",IFERROR(INDEX($AR$11:$AR$4010,MATCH(41,$AY$11:$AY$4010,0)),""))</f>
        <v/>
      </c>
      <c r="AD51" s="16" t="str">
        <f>IF(AE51="","",IFERROR(INDEX($AL$11:$AL$4010,MATCH(41,$AZ$11:$AZ$4010,0)),""))</f>
        <v/>
      </c>
      <c r="AE51" s="12" t="str">
        <f>IFERROR(INDEX($AM$11:$AM$4010,MATCH(41,$AZ$11:$AZ$4010,0)),"")</f>
        <v/>
      </c>
      <c r="AF51" s="11" t="str">
        <f>IF(AE51="","",IFERROR(INDEX($AN$11:$AN$4010,MATCH(41,$AZ$11:$AZ$4010,0)),""))</f>
        <v/>
      </c>
      <c r="AG51" s="11" t="str">
        <f>IF(AE51="","",IFERROR(INDEX($AO$11:$AO$4010,MATCH(41,$AZ$11:$AZ$4010,0)),""))</f>
        <v/>
      </c>
      <c r="AH51" s="10" t="str">
        <f>IF(AE51="","",IFERROR(INDEX($AQ$11:$AQ$4010,MATCH(41,$AZ$11:$AZ$4010,0)),""))</f>
        <v/>
      </c>
      <c r="AI51" s="15" t="str">
        <f>IF(AE51="","",IFERROR(INDEX($AR$11:$AR$4010,MATCH(41,$AZ$11:$AZ$4010,0)),""))</f>
        <v/>
      </c>
      <c r="AJ51" s="15" t="str">
        <f>IF(AE51="","",IFERROR(INDEX($AT$11:$AT$4010,MATCH(41,$AZ$11:$AZ$4010,0)),""))</f>
        <v/>
      </c>
      <c r="AL51" s="17" t="str">
        <f t="shared" si="5"/>
        <v/>
      </c>
      <c r="AM51" s="12" t="str">
        <f t="shared" si="6"/>
        <v/>
      </c>
      <c r="AN51" s="18" t="str">
        <f t="shared" si="7"/>
        <v/>
      </c>
      <c r="AO51" s="18" t="str">
        <f t="shared" si="8"/>
        <v/>
      </c>
      <c r="AP51" s="10" t="str">
        <f t="shared" si="9"/>
        <v/>
      </c>
      <c r="AQ51" s="10" t="str">
        <f t="shared" si="10"/>
        <v/>
      </c>
      <c r="AR51" s="19" t="str">
        <f t="shared" si="11"/>
        <v/>
      </c>
      <c r="AS51" s="20"/>
      <c r="AT51" s="19"/>
      <c r="AV51" s="21">
        <f>IF(AND($AL51&lt;&gt;"",COUNTIF($AL$11:$AL51,$AL51)=1),1,0)</f>
        <v>0</v>
      </c>
      <c r="AW51" s="21">
        <f t="shared" si="13"/>
        <v>0</v>
      </c>
      <c r="AX51" s="21" t="str">
        <f t="shared" si="12"/>
        <v/>
      </c>
      <c r="AY51" s="21" t="str">
        <f>IF(AND($AM51&lt;&gt;"",$AS51&lt;&gt;"✓"),SUMPRODUCT(($AM$11:$AM51&lt;&gt;"")*($AS$11:$AS51&lt;&gt;"✓")),"")</f>
        <v/>
      </c>
      <c r="AZ51" s="21" t="str">
        <f>IF(AND($AM51&lt;&gt;"",$AS51="✓"),SUMPRODUCT(($AM$11:$AM51&lt;&gt;"")*($AS$11:$AS51="✓")),"")</f>
        <v/>
      </c>
      <c r="BA51" s="21" t="str">
        <f>IF($AL51="","",$AL51&amp;"|"&amp;COUNTIF($AL$11:$AL51,$AL51))</f>
        <v/>
      </c>
      <c r="BD51" s="36" t="str">
        <f>IF(IFERROR(INDEX($AM$11:$AM$4010,MATCH($S$8&amp;"|"&amp;39,$BA$11:$BA$4010,0)),"")="","",39)</f>
        <v/>
      </c>
      <c r="BE51" s="36" t="str">
        <f>IFERROR(INDEX($AM$11:$AM$4010,MATCH($S$8&amp;"|"&amp;39,$BA$11:$BA$4010,0)),"")</f>
        <v/>
      </c>
      <c r="BF51" s="36" t="str">
        <f>IFERROR(INDEX($AP$11:$AP$4010,MATCH($S$8&amp;"|"&amp;39,$BA$11:$BA$4010,0)),"")</f>
        <v/>
      </c>
      <c r="BG51" s="36" t="str">
        <f>IFERROR(INDEX($AQ$11:$AQ$4010,MATCH($S$8&amp;"|"&amp;39,$BA$11:$BA$4010,0)),"")</f>
        <v/>
      </c>
      <c r="BH51" s="37" t="str">
        <f>IFERROR(INDEX($AN$11:$AN$4010,MATCH($S$8&amp;"|"&amp;39,$BA$11:$BA$4010,0)),"")</f>
        <v/>
      </c>
      <c r="BI51" s="37" t="str">
        <f>IFERROR(INDEX($AO$11:$AO$4010,MATCH($S$8&amp;"|"&amp;39,$BA$11:$BA$4010,0)),"")</f>
        <v/>
      </c>
      <c r="BL51" s="36" t="str">
        <f>IF(IFERROR(INDEX($AM$11:$AM$4010,MATCH($S$8&amp;"|"&amp;39,$BA$11:$BA$4010,0)),"")="","",39)</f>
        <v/>
      </c>
      <c r="BM51" s="36" t="str">
        <f>IFERROR(INDEX($AM$11:$AM$4010,MATCH($S$8&amp;"|"&amp;39,$BA$11:$BA$4010,0)),"")</f>
        <v/>
      </c>
      <c r="BN51" s="36" t="str">
        <f>IFERROR(INDEX($AP$11:$AP$4010,MATCH($S$8&amp;"|"&amp;39,$BA$11:$BA$4010,0)),"")</f>
        <v/>
      </c>
      <c r="BO51" s="36" t="str">
        <f>IFERROR(INDEX($AQ$11:$AQ$4010,MATCH($S$8&amp;"|"&amp;39,$BA$11:$BA$4010,0)),"")</f>
        <v/>
      </c>
      <c r="BP51" s="37" t="str">
        <f>IFERROR(INDEX($AN$11:$AN$4010,MATCH($S$8&amp;"|"&amp;39,$BA$11:$BA$4010,0)),"")</f>
        <v/>
      </c>
      <c r="BQ51" s="37" t="str">
        <f>IFERROR(INDEX($AO$11:$AO$4010,MATCH($S$8&amp;"|"&amp;39,$BA$11:$BA$4010,0)),"")</f>
        <v/>
      </c>
    </row>
    <row r="52" spans="2:69" ht="13.5" customHeight="1" x14ac:dyDescent="0.25">
      <c r="B52" s="5" t="str">
        <f t="shared" si="0"/>
        <v/>
      </c>
      <c r="C52" s="5"/>
      <c r="D52" s="5"/>
      <c r="E52" s="5"/>
      <c r="F52" s="6"/>
      <c r="G52" s="6"/>
      <c r="H52" s="7"/>
      <c r="I52" s="8"/>
      <c r="K52" s="23" t="str">
        <f>IFERROR(INDEX($AL$11:$AL$4010,MATCH(42,$AX$11:$AX$4010,0)),"")</f>
        <v/>
      </c>
      <c r="L52" s="24" t="str">
        <f t="shared" si="1"/>
        <v/>
      </c>
      <c r="M52" s="25" t="str">
        <f t="shared" si="2"/>
        <v/>
      </c>
      <c r="N52" s="25" t="str">
        <f t="shared" si="3"/>
        <v/>
      </c>
      <c r="P52" s="26" t="str">
        <f>IFERROR(INDEX($AM$11:$AM$4010,MATCH($S$8&amp;"|"&amp;42,$BA$11:$BA$4010,0)),"")</f>
        <v/>
      </c>
      <c r="Q52" s="25" t="str">
        <f>IF(P52="","",IFERROR(INDEX($AN$11:$AN$4010,MATCH($S$8&amp;"|"&amp;42,$BA$11:$BA$4010,0)),""))</f>
        <v/>
      </c>
      <c r="R52" s="25" t="str">
        <f>IF(P52="","",IFERROR(INDEX($AO$11:$AO$4010,MATCH($S$8&amp;"|"&amp;42,$BA$11:$BA$4010,0)),""))</f>
        <v/>
      </c>
      <c r="S52" s="24" t="str">
        <f>IF(P52="","",IFERROR(INDEX($AP$11:$AP$4010,MATCH($S$8&amp;"|"&amp;42,$BA$11:$BA$4010,0)),""))</f>
        <v/>
      </c>
      <c r="T52" s="24" t="str">
        <f>IF(P52="","",IFERROR(INDEX($AQ$11:$AQ$4010,MATCH($S$8&amp;"|"&amp;42,$BA$11:$BA$4010,0)),""))</f>
        <v/>
      </c>
      <c r="U52" s="38" t="str">
        <f t="shared" si="14"/>
        <v/>
      </c>
      <c r="W52" s="28" t="str">
        <f>IF(X52="","",IFERROR(INDEX($AL$11:$AL$4010,MATCH(42,$AY$11:$AY$4010,0)),""))</f>
        <v/>
      </c>
      <c r="X52" s="26" t="str">
        <f>IFERROR(INDEX($AM$11:$AM$4010,MATCH(42,$AY$11:$AY$4010,0)),"")</f>
        <v/>
      </c>
      <c r="Y52" s="25" t="str">
        <f>IF(X52="","",IFERROR(INDEX($AN$11:$AN$4010,MATCH(42,$AY$11:$AY$4010,0)),""))</f>
        <v/>
      </c>
      <c r="Z52" s="25" t="str">
        <f>IF(X52="","",IFERROR(INDEX($AO$11:$AO$4010,MATCH(42,$AY$11:$AY$4010,0)),""))</f>
        <v/>
      </c>
      <c r="AA52" s="24" t="str">
        <f>IF(X52="","",IFERROR(INDEX($AQ$11:$AQ$4010,MATCH(42,$AY$11:$AY$4010,0)),""))</f>
        <v/>
      </c>
      <c r="AB52" s="29" t="str">
        <f>IF(X52="","",IFERROR(INDEX($AR$11:$AR$4010,MATCH(42,$AY$11:$AY$4010,0)),""))</f>
        <v/>
      </c>
      <c r="AD52" s="30" t="str">
        <f>IF(AE52="","",IFERROR(INDEX($AL$11:$AL$4010,MATCH(42,$AZ$11:$AZ$4010,0)),""))</f>
        <v/>
      </c>
      <c r="AE52" s="26" t="str">
        <f>IFERROR(INDEX($AM$11:$AM$4010,MATCH(42,$AZ$11:$AZ$4010,0)),"")</f>
        <v/>
      </c>
      <c r="AF52" s="25" t="str">
        <f>IF(AE52="","",IFERROR(INDEX($AN$11:$AN$4010,MATCH(42,$AZ$11:$AZ$4010,0)),""))</f>
        <v/>
      </c>
      <c r="AG52" s="25" t="str">
        <f>IF(AE52="","",IFERROR(INDEX($AO$11:$AO$4010,MATCH(42,$AZ$11:$AZ$4010,0)),""))</f>
        <v/>
      </c>
      <c r="AH52" s="24" t="str">
        <f>IF(AE52="","",IFERROR(INDEX($AQ$11:$AQ$4010,MATCH(42,$AZ$11:$AZ$4010,0)),""))</f>
        <v/>
      </c>
      <c r="AI52" s="29" t="str">
        <f>IF(AE52="","",IFERROR(INDEX($AR$11:$AR$4010,MATCH(42,$AZ$11:$AZ$4010,0)),""))</f>
        <v/>
      </c>
      <c r="AJ52" s="29" t="str">
        <f>IF(AE52="","",IFERROR(INDEX($AT$11:$AT$4010,MATCH(42,$AZ$11:$AZ$4010,0)),""))</f>
        <v/>
      </c>
      <c r="AL52" s="31" t="str">
        <f t="shared" si="5"/>
        <v/>
      </c>
      <c r="AM52" s="26" t="str">
        <f t="shared" si="6"/>
        <v/>
      </c>
      <c r="AN52" s="32" t="str">
        <f t="shared" si="7"/>
        <v/>
      </c>
      <c r="AO52" s="32" t="str">
        <f t="shared" si="8"/>
        <v/>
      </c>
      <c r="AP52" s="24" t="str">
        <f t="shared" si="9"/>
        <v/>
      </c>
      <c r="AQ52" s="24" t="str">
        <f t="shared" si="10"/>
        <v/>
      </c>
      <c r="AR52" s="33" t="str">
        <f t="shared" si="11"/>
        <v/>
      </c>
      <c r="AS52" s="34"/>
      <c r="AT52" s="33"/>
      <c r="AV52" s="21">
        <f>IF(AND($AL52&lt;&gt;"",COUNTIF($AL$11:$AL52,$AL52)=1),1,0)</f>
        <v>0</v>
      </c>
      <c r="AW52" s="21">
        <f t="shared" si="13"/>
        <v>0</v>
      </c>
      <c r="AX52" s="21" t="str">
        <f t="shared" si="12"/>
        <v/>
      </c>
      <c r="AY52" s="21" t="str">
        <f>IF(AND($AM52&lt;&gt;"",$AS52&lt;&gt;"✓"),SUMPRODUCT(($AM$11:$AM52&lt;&gt;"")*($AS$11:$AS52&lt;&gt;"✓")),"")</f>
        <v/>
      </c>
      <c r="AZ52" s="21" t="str">
        <f>IF(AND($AM52&lt;&gt;"",$AS52="✓"),SUMPRODUCT(($AM$11:$AM52&lt;&gt;"")*($AS$11:$AS52="✓")),"")</f>
        <v/>
      </c>
      <c r="BA52" s="21" t="str">
        <f>IF($AL52="","",$AL52&amp;"|"&amp;COUNTIF($AL$11:$AL52,$AL52))</f>
        <v/>
      </c>
      <c r="BD52" s="36" t="str">
        <f>IF(IFERROR(INDEX($AM$11:$AM$4010,MATCH($S$8&amp;"|"&amp;40,$BA$11:$BA$4010,0)),"")="","",40)</f>
        <v/>
      </c>
      <c r="BE52" s="36" t="str">
        <f>IFERROR(INDEX($AM$11:$AM$4010,MATCH($S$8&amp;"|"&amp;40,$BA$11:$BA$4010,0)),"")</f>
        <v/>
      </c>
      <c r="BF52" s="36" t="str">
        <f>IFERROR(INDEX($AP$11:$AP$4010,MATCH($S$8&amp;"|"&amp;40,$BA$11:$BA$4010,0)),"")</f>
        <v/>
      </c>
      <c r="BG52" s="36" t="str">
        <f>IFERROR(INDEX($AQ$11:$AQ$4010,MATCH($S$8&amp;"|"&amp;40,$BA$11:$BA$4010,0)),"")</f>
        <v/>
      </c>
      <c r="BH52" s="37" t="str">
        <f>IFERROR(INDEX($AN$11:$AN$4010,MATCH($S$8&amp;"|"&amp;40,$BA$11:$BA$4010,0)),"")</f>
        <v/>
      </c>
      <c r="BI52" s="37" t="str">
        <f>IFERROR(INDEX($AO$11:$AO$4010,MATCH($S$8&amp;"|"&amp;40,$BA$11:$BA$4010,0)),"")</f>
        <v/>
      </c>
      <c r="BL52" s="36" t="str">
        <f>IF(IFERROR(INDEX($AM$11:$AM$4010,MATCH($S$8&amp;"|"&amp;40,$BA$11:$BA$4010,0)),"")="","",40)</f>
        <v/>
      </c>
      <c r="BM52" s="36" t="str">
        <f>IFERROR(INDEX($AM$11:$AM$4010,MATCH($S$8&amp;"|"&amp;40,$BA$11:$BA$4010,0)),"")</f>
        <v/>
      </c>
      <c r="BN52" s="36" t="str">
        <f>IFERROR(INDEX($AP$11:$AP$4010,MATCH($S$8&amp;"|"&amp;40,$BA$11:$BA$4010,0)),"")</f>
        <v/>
      </c>
      <c r="BO52" s="36" t="str">
        <f>IFERROR(INDEX($AQ$11:$AQ$4010,MATCH($S$8&amp;"|"&amp;40,$BA$11:$BA$4010,0)),"")</f>
        <v/>
      </c>
      <c r="BP52" s="37" t="str">
        <f>IFERROR(INDEX($AN$11:$AN$4010,MATCH($S$8&amp;"|"&amp;40,$BA$11:$BA$4010,0)),"")</f>
        <v/>
      </c>
      <c r="BQ52" s="37" t="str">
        <f>IFERROR(INDEX($AO$11:$AO$4010,MATCH($S$8&amp;"|"&amp;40,$BA$11:$BA$4010,0)),"")</f>
        <v/>
      </c>
    </row>
    <row r="53" spans="2:69" ht="13.5" customHeight="1" x14ac:dyDescent="0.25">
      <c r="B53" s="5" t="str">
        <f t="shared" si="0"/>
        <v/>
      </c>
      <c r="C53" s="5"/>
      <c r="D53" s="5"/>
      <c r="E53" s="5"/>
      <c r="F53" s="6"/>
      <c r="G53" s="6"/>
      <c r="H53" s="7"/>
      <c r="I53" s="8"/>
      <c r="K53" s="9" t="str">
        <f>IFERROR(INDEX($AL$11:$AL$4010,MATCH(43,$AX$11:$AX$4010,0)),"")</f>
        <v/>
      </c>
      <c r="L53" s="10" t="str">
        <f t="shared" si="1"/>
        <v/>
      </c>
      <c r="M53" s="11" t="str">
        <f t="shared" si="2"/>
        <v/>
      </c>
      <c r="N53" s="11" t="str">
        <f t="shared" si="3"/>
        <v/>
      </c>
      <c r="P53" s="12" t="str">
        <f>IFERROR(INDEX($AM$11:$AM$4010,MATCH($S$8&amp;"|"&amp;43,$BA$11:$BA$4010,0)),"")</f>
        <v/>
      </c>
      <c r="Q53" s="11" t="str">
        <f>IF(P53="","",IFERROR(INDEX($AN$11:$AN$4010,MATCH($S$8&amp;"|"&amp;43,$BA$11:$BA$4010,0)),""))</f>
        <v/>
      </c>
      <c r="R53" s="11" t="str">
        <f>IF(P53="","",IFERROR(INDEX($AO$11:$AO$4010,MATCH($S$8&amp;"|"&amp;43,$BA$11:$BA$4010,0)),""))</f>
        <v/>
      </c>
      <c r="S53" s="10" t="str">
        <f>IF(P53="","",IFERROR(INDEX($AP$11:$AP$4010,MATCH($S$8&amp;"|"&amp;43,$BA$11:$BA$4010,0)),""))</f>
        <v/>
      </c>
      <c r="T53" s="10" t="str">
        <f>IF(P53="","",IFERROR(INDEX($AQ$11:$AQ$4010,MATCH($S$8&amp;"|"&amp;43,$BA$11:$BA$4010,0)),""))</f>
        <v/>
      </c>
      <c r="U53" s="39" t="str">
        <f t="shared" si="14"/>
        <v/>
      </c>
      <c r="W53" s="14" t="str">
        <f>IF(X53="","",IFERROR(INDEX($AL$11:$AL$4010,MATCH(43,$AY$11:$AY$4010,0)),""))</f>
        <v/>
      </c>
      <c r="X53" s="12" t="str">
        <f>IFERROR(INDEX($AM$11:$AM$4010,MATCH(43,$AY$11:$AY$4010,0)),"")</f>
        <v/>
      </c>
      <c r="Y53" s="11" t="str">
        <f>IF(X53="","",IFERROR(INDEX($AN$11:$AN$4010,MATCH(43,$AY$11:$AY$4010,0)),""))</f>
        <v/>
      </c>
      <c r="Z53" s="11" t="str">
        <f>IF(X53="","",IFERROR(INDEX($AO$11:$AO$4010,MATCH(43,$AY$11:$AY$4010,0)),""))</f>
        <v/>
      </c>
      <c r="AA53" s="10" t="str">
        <f>IF(X53="","",IFERROR(INDEX($AQ$11:$AQ$4010,MATCH(43,$AY$11:$AY$4010,0)),""))</f>
        <v/>
      </c>
      <c r="AB53" s="15" t="str">
        <f>IF(X53="","",IFERROR(INDEX($AR$11:$AR$4010,MATCH(43,$AY$11:$AY$4010,0)),""))</f>
        <v/>
      </c>
      <c r="AD53" s="16" t="str">
        <f>IF(AE53="","",IFERROR(INDEX($AL$11:$AL$4010,MATCH(43,$AZ$11:$AZ$4010,0)),""))</f>
        <v/>
      </c>
      <c r="AE53" s="12" t="str">
        <f>IFERROR(INDEX($AM$11:$AM$4010,MATCH(43,$AZ$11:$AZ$4010,0)),"")</f>
        <v/>
      </c>
      <c r="AF53" s="11" t="str">
        <f>IF(AE53="","",IFERROR(INDEX($AN$11:$AN$4010,MATCH(43,$AZ$11:$AZ$4010,0)),""))</f>
        <v/>
      </c>
      <c r="AG53" s="11" t="str">
        <f>IF(AE53="","",IFERROR(INDEX($AO$11:$AO$4010,MATCH(43,$AZ$11:$AZ$4010,0)),""))</f>
        <v/>
      </c>
      <c r="AH53" s="10" t="str">
        <f>IF(AE53="","",IFERROR(INDEX($AQ$11:$AQ$4010,MATCH(43,$AZ$11:$AZ$4010,0)),""))</f>
        <v/>
      </c>
      <c r="AI53" s="15" t="str">
        <f>IF(AE53="","",IFERROR(INDEX($AR$11:$AR$4010,MATCH(43,$AZ$11:$AZ$4010,0)),""))</f>
        <v/>
      </c>
      <c r="AJ53" s="15" t="str">
        <f>IF(AE53="","",IFERROR(INDEX($AT$11:$AT$4010,MATCH(43,$AZ$11:$AZ$4010,0)),""))</f>
        <v/>
      </c>
      <c r="AL53" s="17" t="str">
        <f t="shared" si="5"/>
        <v/>
      </c>
      <c r="AM53" s="12" t="str">
        <f t="shared" si="6"/>
        <v/>
      </c>
      <c r="AN53" s="18" t="str">
        <f t="shared" si="7"/>
        <v/>
      </c>
      <c r="AO53" s="18" t="str">
        <f t="shared" si="8"/>
        <v/>
      </c>
      <c r="AP53" s="10" t="str">
        <f t="shared" si="9"/>
        <v/>
      </c>
      <c r="AQ53" s="10" t="str">
        <f t="shared" si="10"/>
        <v/>
      </c>
      <c r="AR53" s="19" t="str">
        <f t="shared" si="11"/>
        <v/>
      </c>
      <c r="AS53" s="20"/>
      <c r="AT53" s="19"/>
      <c r="AV53" s="21">
        <f>IF(AND($AL53&lt;&gt;"",COUNTIF($AL$11:$AL53,$AL53)=1),1,0)</f>
        <v>0</v>
      </c>
      <c r="AW53" s="21">
        <f t="shared" si="13"/>
        <v>0</v>
      </c>
      <c r="AX53" s="21" t="str">
        <f t="shared" si="12"/>
        <v/>
      </c>
      <c r="AY53" s="21" t="str">
        <f>IF(AND($AM53&lt;&gt;"",$AS53&lt;&gt;"✓"),SUMPRODUCT(($AM$11:$AM53&lt;&gt;"")*($AS$11:$AS53&lt;&gt;"✓")),"")</f>
        <v/>
      </c>
      <c r="AZ53" s="21" t="str">
        <f>IF(AND($AM53&lt;&gt;"",$AS53="✓"),SUMPRODUCT(($AM$11:$AM53&lt;&gt;"")*($AS$11:$AS53="✓")),"")</f>
        <v/>
      </c>
      <c r="BA53" s="21" t="str">
        <f>IF($AL53="","",$AL53&amp;"|"&amp;COUNTIF($AL$11:$AL53,$AL53))</f>
        <v/>
      </c>
      <c r="BD53" s="36" t="str">
        <f>IF(IFERROR(INDEX($AM$11:$AM$4010,MATCH($S$8&amp;"|"&amp;41,$BA$11:$BA$4010,0)),"")="","",41)</f>
        <v/>
      </c>
      <c r="BE53" s="36" t="str">
        <f>IFERROR(INDEX($AM$11:$AM$4010,MATCH($S$8&amp;"|"&amp;41,$BA$11:$BA$4010,0)),"")</f>
        <v/>
      </c>
      <c r="BF53" s="36" t="str">
        <f>IFERROR(INDEX($AP$11:$AP$4010,MATCH($S$8&amp;"|"&amp;41,$BA$11:$BA$4010,0)),"")</f>
        <v/>
      </c>
      <c r="BG53" s="36" t="str">
        <f>IFERROR(INDEX($AQ$11:$AQ$4010,MATCH($S$8&amp;"|"&amp;41,$BA$11:$BA$4010,0)),"")</f>
        <v/>
      </c>
      <c r="BH53" s="37" t="str">
        <f>IFERROR(INDEX($AN$11:$AN$4010,MATCH($S$8&amp;"|"&amp;41,$BA$11:$BA$4010,0)),"")</f>
        <v/>
      </c>
      <c r="BI53" s="37" t="str">
        <f>IFERROR(INDEX($AO$11:$AO$4010,MATCH($S$8&amp;"|"&amp;41,$BA$11:$BA$4010,0)),"")</f>
        <v/>
      </c>
      <c r="BL53" s="36" t="str">
        <f>IF(IFERROR(INDEX($AM$11:$AM$4010,MATCH($S$8&amp;"|"&amp;41,$BA$11:$BA$4010,0)),"")="","",41)</f>
        <v/>
      </c>
      <c r="BM53" s="36" t="str">
        <f>IFERROR(INDEX($AM$11:$AM$4010,MATCH($S$8&amp;"|"&amp;41,$BA$11:$BA$4010,0)),"")</f>
        <v/>
      </c>
      <c r="BN53" s="36" t="str">
        <f>IFERROR(INDEX($AP$11:$AP$4010,MATCH($S$8&amp;"|"&amp;41,$BA$11:$BA$4010,0)),"")</f>
        <v/>
      </c>
      <c r="BO53" s="36" t="str">
        <f>IFERROR(INDEX($AQ$11:$AQ$4010,MATCH($S$8&amp;"|"&amp;41,$BA$11:$BA$4010,0)),"")</f>
        <v/>
      </c>
      <c r="BP53" s="37" t="str">
        <f>IFERROR(INDEX($AN$11:$AN$4010,MATCH($S$8&amp;"|"&amp;41,$BA$11:$BA$4010,0)),"")</f>
        <v/>
      </c>
      <c r="BQ53" s="37" t="str">
        <f>IFERROR(INDEX($AO$11:$AO$4010,MATCH($S$8&amp;"|"&amp;41,$BA$11:$BA$4010,0)),"")</f>
        <v/>
      </c>
    </row>
    <row r="54" spans="2:69" ht="13.5" customHeight="1" x14ac:dyDescent="0.25">
      <c r="B54" s="5" t="str">
        <f t="shared" si="0"/>
        <v/>
      </c>
      <c r="C54" s="5"/>
      <c r="D54" s="5"/>
      <c r="E54" s="5"/>
      <c r="F54" s="6"/>
      <c r="G54" s="6"/>
      <c r="H54" s="7"/>
      <c r="I54" s="8"/>
      <c r="K54" s="23" t="str">
        <f>IFERROR(INDEX($AL$11:$AL$4010,MATCH(44,$AX$11:$AX$4010,0)),"")</f>
        <v/>
      </c>
      <c r="L54" s="24" t="str">
        <f t="shared" si="1"/>
        <v/>
      </c>
      <c r="M54" s="25" t="str">
        <f t="shared" si="2"/>
        <v/>
      </c>
      <c r="N54" s="25" t="str">
        <f t="shared" si="3"/>
        <v/>
      </c>
      <c r="P54" s="26" t="str">
        <f>IFERROR(INDEX($AM$11:$AM$4010,MATCH($S$8&amp;"|"&amp;44,$BA$11:$BA$4010,0)),"")</f>
        <v/>
      </c>
      <c r="Q54" s="25" t="str">
        <f>IF(P54="","",IFERROR(INDEX($AN$11:$AN$4010,MATCH($S$8&amp;"|"&amp;44,$BA$11:$BA$4010,0)),""))</f>
        <v/>
      </c>
      <c r="R54" s="25" t="str">
        <f>IF(P54="","",IFERROR(INDEX($AO$11:$AO$4010,MATCH($S$8&amp;"|"&amp;44,$BA$11:$BA$4010,0)),""))</f>
        <v/>
      </c>
      <c r="S54" s="24" t="str">
        <f>IF(P54="","",IFERROR(INDEX($AP$11:$AP$4010,MATCH($S$8&amp;"|"&amp;44,$BA$11:$BA$4010,0)),""))</f>
        <v/>
      </c>
      <c r="T54" s="24" t="str">
        <f>IF(P54="","",IFERROR(INDEX($AQ$11:$AQ$4010,MATCH($S$8&amp;"|"&amp;44,$BA$11:$BA$4010,0)),""))</f>
        <v/>
      </c>
      <c r="U54" s="38" t="str">
        <f t="shared" si="14"/>
        <v/>
      </c>
      <c r="W54" s="28" t="str">
        <f>IF(X54="","",IFERROR(INDEX($AL$11:$AL$4010,MATCH(44,$AY$11:$AY$4010,0)),""))</f>
        <v/>
      </c>
      <c r="X54" s="26" t="str">
        <f>IFERROR(INDEX($AM$11:$AM$4010,MATCH(44,$AY$11:$AY$4010,0)),"")</f>
        <v/>
      </c>
      <c r="Y54" s="25" t="str">
        <f>IF(X54="","",IFERROR(INDEX($AN$11:$AN$4010,MATCH(44,$AY$11:$AY$4010,0)),""))</f>
        <v/>
      </c>
      <c r="Z54" s="25" t="str">
        <f>IF(X54="","",IFERROR(INDEX($AO$11:$AO$4010,MATCH(44,$AY$11:$AY$4010,0)),""))</f>
        <v/>
      </c>
      <c r="AA54" s="24" t="str">
        <f>IF(X54="","",IFERROR(INDEX($AQ$11:$AQ$4010,MATCH(44,$AY$11:$AY$4010,0)),""))</f>
        <v/>
      </c>
      <c r="AB54" s="29" t="str">
        <f>IF(X54="","",IFERROR(INDEX($AR$11:$AR$4010,MATCH(44,$AY$11:$AY$4010,0)),""))</f>
        <v/>
      </c>
      <c r="AD54" s="30" t="str">
        <f>IF(AE54="","",IFERROR(INDEX($AL$11:$AL$4010,MATCH(44,$AZ$11:$AZ$4010,0)),""))</f>
        <v/>
      </c>
      <c r="AE54" s="26" t="str">
        <f>IFERROR(INDEX($AM$11:$AM$4010,MATCH(44,$AZ$11:$AZ$4010,0)),"")</f>
        <v/>
      </c>
      <c r="AF54" s="25" t="str">
        <f>IF(AE54="","",IFERROR(INDEX($AN$11:$AN$4010,MATCH(44,$AZ$11:$AZ$4010,0)),""))</f>
        <v/>
      </c>
      <c r="AG54" s="25" t="str">
        <f>IF(AE54="","",IFERROR(INDEX($AO$11:$AO$4010,MATCH(44,$AZ$11:$AZ$4010,0)),""))</f>
        <v/>
      </c>
      <c r="AH54" s="24" t="str">
        <f>IF(AE54="","",IFERROR(INDEX($AQ$11:$AQ$4010,MATCH(44,$AZ$11:$AZ$4010,0)),""))</f>
        <v/>
      </c>
      <c r="AI54" s="29" t="str">
        <f>IF(AE54="","",IFERROR(INDEX($AR$11:$AR$4010,MATCH(44,$AZ$11:$AZ$4010,0)),""))</f>
        <v/>
      </c>
      <c r="AJ54" s="29" t="str">
        <f>IF(AE54="","",IFERROR(INDEX($AT$11:$AT$4010,MATCH(44,$AZ$11:$AZ$4010,0)),""))</f>
        <v/>
      </c>
      <c r="AL54" s="31" t="str">
        <f t="shared" si="5"/>
        <v/>
      </c>
      <c r="AM54" s="26" t="str">
        <f t="shared" si="6"/>
        <v/>
      </c>
      <c r="AN54" s="32" t="str">
        <f t="shared" si="7"/>
        <v/>
      </c>
      <c r="AO54" s="32" t="str">
        <f t="shared" si="8"/>
        <v/>
      </c>
      <c r="AP54" s="24" t="str">
        <f t="shared" si="9"/>
        <v/>
      </c>
      <c r="AQ54" s="24" t="str">
        <f t="shared" si="10"/>
        <v/>
      </c>
      <c r="AR54" s="33" t="str">
        <f t="shared" si="11"/>
        <v/>
      </c>
      <c r="AS54" s="34"/>
      <c r="AT54" s="33"/>
      <c r="AV54" s="21">
        <f>IF(AND($AL54&lt;&gt;"",COUNTIF($AL$11:$AL54,$AL54)=1),1,0)</f>
        <v>0</v>
      </c>
      <c r="AW54" s="21">
        <f t="shared" si="13"/>
        <v>0</v>
      </c>
      <c r="AX54" s="21" t="str">
        <f t="shared" si="12"/>
        <v/>
      </c>
      <c r="AY54" s="21" t="str">
        <f>IF(AND($AM54&lt;&gt;"",$AS54&lt;&gt;"✓"),SUMPRODUCT(($AM$11:$AM54&lt;&gt;"")*($AS$11:$AS54&lt;&gt;"✓")),"")</f>
        <v/>
      </c>
      <c r="AZ54" s="21" t="str">
        <f>IF(AND($AM54&lt;&gt;"",$AS54="✓"),SUMPRODUCT(($AM$11:$AM54&lt;&gt;"")*($AS$11:$AS54="✓")),"")</f>
        <v/>
      </c>
      <c r="BA54" s="21" t="str">
        <f>IF($AL54="","",$AL54&amp;"|"&amp;COUNTIF($AL$11:$AL54,$AL54))</f>
        <v/>
      </c>
      <c r="BD54" s="36" t="str">
        <f>IF(IFERROR(INDEX($AM$11:$AM$4010,MATCH($S$8&amp;"|"&amp;42,$BA$11:$BA$4010,0)),"")="","",42)</f>
        <v/>
      </c>
      <c r="BE54" s="36" t="str">
        <f>IFERROR(INDEX($AM$11:$AM$4010,MATCH($S$8&amp;"|"&amp;42,$BA$11:$BA$4010,0)),"")</f>
        <v/>
      </c>
      <c r="BF54" s="36" t="str">
        <f>IFERROR(INDEX($AP$11:$AP$4010,MATCH($S$8&amp;"|"&amp;42,$BA$11:$BA$4010,0)),"")</f>
        <v/>
      </c>
      <c r="BG54" s="36" t="str">
        <f>IFERROR(INDEX($AQ$11:$AQ$4010,MATCH($S$8&amp;"|"&amp;42,$BA$11:$BA$4010,0)),"")</f>
        <v/>
      </c>
      <c r="BH54" s="37" t="str">
        <f>IFERROR(INDEX($AN$11:$AN$4010,MATCH($S$8&amp;"|"&amp;42,$BA$11:$BA$4010,0)),"")</f>
        <v/>
      </c>
      <c r="BI54" s="37" t="str">
        <f>IFERROR(INDEX($AO$11:$AO$4010,MATCH($S$8&amp;"|"&amp;42,$BA$11:$BA$4010,0)),"")</f>
        <v/>
      </c>
      <c r="BL54" s="36" t="str">
        <f>IF(IFERROR(INDEX($AM$11:$AM$4010,MATCH($S$8&amp;"|"&amp;42,$BA$11:$BA$4010,0)),"")="","",42)</f>
        <v/>
      </c>
      <c r="BM54" s="36" t="str">
        <f>IFERROR(INDEX($AM$11:$AM$4010,MATCH($S$8&amp;"|"&amp;42,$BA$11:$BA$4010,0)),"")</f>
        <v/>
      </c>
      <c r="BN54" s="36" t="str">
        <f>IFERROR(INDEX($AP$11:$AP$4010,MATCH($S$8&amp;"|"&amp;42,$BA$11:$BA$4010,0)),"")</f>
        <v/>
      </c>
      <c r="BO54" s="36" t="str">
        <f>IFERROR(INDEX($AQ$11:$AQ$4010,MATCH($S$8&amp;"|"&amp;42,$BA$11:$BA$4010,0)),"")</f>
        <v/>
      </c>
      <c r="BP54" s="37" t="str">
        <f>IFERROR(INDEX($AN$11:$AN$4010,MATCH($S$8&amp;"|"&amp;42,$BA$11:$BA$4010,0)),"")</f>
        <v/>
      </c>
      <c r="BQ54" s="37" t="str">
        <f>IFERROR(INDEX($AO$11:$AO$4010,MATCH($S$8&amp;"|"&amp;42,$BA$11:$BA$4010,0)),"")</f>
        <v/>
      </c>
    </row>
    <row r="55" spans="2:69" ht="13.5" customHeight="1" x14ac:dyDescent="0.25">
      <c r="B55" s="5" t="str">
        <f t="shared" si="0"/>
        <v/>
      </c>
      <c r="C55" s="5"/>
      <c r="D55" s="5"/>
      <c r="E55" s="5"/>
      <c r="F55" s="6"/>
      <c r="G55" s="6"/>
      <c r="H55" s="7"/>
      <c r="I55" s="8"/>
      <c r="K55" s="9" t="str">
        <f>IFERROR(INDEX($AL$11:$AL$4010,MATCH(45,$AX$11:$AX$4010,0)),"")</f>
        <v/>
      </c>
      <c r="L55" s="10" t="str">
        <f t="shared" si="1"/>
        <v/>
      </c>
      <c r="M55" s="11" t="str">
        <f t="shared" si="2"/>
        <v/>
      </c>
      <c r="N55" s="11" t="str">
        <f t="shared" si="3"/>
        <v/>
      </c>
      <c r="P55" s="12" t="str">
        <f>IFERROR(INDEX($AM$11:$AM$4010,MATCH($S$8&amp;"|"&amp;45,$BA$11:$BA$4010,0)),"")</f>
        <v/>
      </c>
      <c r="Q55" s="11" t="str">
        <f>IF(P55="","",IFERROR(INDEX($AN$11:$AN$4010,MATCH($S$8&amp;"|"&amp;45,$BA$11:$BA$4010,0)),""))</f>
        <v/>
      </c>
      <c r="R55" s="11" t="str">
        <f>IF(P55="","",IFERROR(INDEX($AO$11:$AO$4010,MATCH($S$8&amp;"|"&amp;45,$BA$11:$BA$4010,0)),""))</f>
        <v/>
      </c>
      <c r="S55" s="10" t="str">
        <f>IF(P55="","",IFERROR(INDEX($AP$11:$AP$4010,MATCH($S$8&amp;"|"&amp;45,$BA$11:$BA$4010,0)),""))</f>
        <v/>
      </c>
      <c r="T55" s="10" t="str">
        <f>IF(P55="","",IFERROR(INDEX($AQ$11:$AQ$4010,MATCH($S$8&amp;"|"&amp;45,$BA$11:$BA$4010,0)),""))</f>
        <v/>
      </c>
      <c r="U55" s="39" t="str">
        <f t="shared" si="14"/>
        <v/>
      </c>
      <c r="W55" s="14" t="str">
        <f>IF(X55="","",IFERROR(INDEX($AL$11:$AL$4010,MATCH(45,$AY$11:$AY$4010,0)),""))</f>
        <v/>
      </c>
      <c r="X55" s="12" t="str">
        <f>IFERROR(INDEX($AM$11:$AM$4010,MATCH(45,$AY$11:$AY$4010,0)),"")</f>
        <v/>
      </c>
      <c r="Y55" s="11" t="str">
        <f>IF(X55="","",IFERROR(INDEX($AN$11:$AN$4010,MATCH(45,$AY$11:$AY$4010,0)),""))</f>
        <v/>
      </c>
      <c r="Z55" s="11" t="str">
        <f>IF(X55="","",IFERROR(INDEX($AO$11:$AO$4010,MATCH(45,$AY$11:$AY$4010,0)),""))</f>
        <v/>
      </c>
      <c r="AA55" s="10" t="str">
        <f>IF(X55="","",IFERROR(INDEX($AQ$11:$AQ$4010,MATCH(45,$AY$11:$AY$4010,0)),""))</f>
        <v/>
      </c>
      <c r="AB55" s="15" t="str">
        <f>IF(X55="","",IFERROR(INDEX($AR$11:$AR$4010,MATCH(45,$AY$11:$AY$4010,0)),""))</f>
        <v/>
      </c>
      <c r="AD55" s="16" t="str">
        <f>IF(AE55="","",IFERROR(INDEX($AL$11:$AL$4010,MATCH(45,$AZ$11:$AZ$4010,0)),""))</f>
        <v/>
      </c>
      <c r="AE55" s="12" t="str">
        <f>IFERROR(INDEX($AM$11:$AM$4010,MATCH(45,$AZ$11:$AZ$4010,0)),"")</f>
        <v/>
      </c>
      <c r="AF55" s="11" t="str">
        <f>IF(AE55="","",IFERROR(INDEX($AN$11:$AN$4010,MATCH(45,$AZ$11:$AZ$4010,0)),""))</f>
        <v/>
      </c>
      <c r="AG55" s="11" t="str">
        <f>IF(AE55="","",IFERROR(INDEX($AO$11:$AO$4010,MATCH(45,$AZ$11:$AZ$4010,0)),""))</f>
        <v/>
      </c>
      <c r="AH55" s="10" t="str">
        <f>IF(AE55="","",IFERROR(INDEX($AQ$11:$AQ$4010,MATCH(45,$AZ$11:$AZ$4010,0)),""))</f>
        <v/>
      </c>
      <c r="AI55" s="15" t="str">
        <f>IF(AE55="","",IFERROR(INDEX($AR$11:$AR$4010,MATCH(45,$AZ$11:$AZ$4010,0)),""))</f>
        <v/>
      </c>
      <c r="AJ55" s="15" t="str">
        <f>IF(AE55="","",IFERROR(INDEX($AT$11:$AT$4010,MATCH(45,$AZ$11:$AZ$4010,0)),""))</f>
        <v/>
      </c>
      <c r="AL55" s="17" t="str">
        <f t="shared" si="5"/>
        <v/>
      </c>
      <c r="AM55" s="12" t="str">
        <f t="shared" si="6"/>
        <v/>
      </c>
      <c r="AN55" s="18" t="str">
        <f t="shared" si="7"/>
        <v/>
      </c>
      <c r="AO55" s="18" t="str">
        <f t="shared" si="8"/>
        <v/>
      </c>
      <c r="AP55" s="10" t="str">
        <f t="shared" si="9"/>
        <v/>
      </c>
      <c r="AQ55" s="10" t="str">
        <f t="shared" si="10"/>
        <v/>
      </c>
      <c r="AR55" s="19" t="str">
        <f t="shared" si="11"/>
        <v/>
      </c>
      <c r="AS55" s="20"/>
      <c r="AT55" s="19"/>
      <c r="AV55" s="21">
        <f>IF(AND($AL55&lt;&gt;"",COUNTIF($AL$11:$AL55,$AL55)=1),1,0)</f>
        <v>0</v>
      </c>
      <c r="AW55" s="21">
        <f t="shared" si="13"/>
        <v>0</v>
      </c>
      <c r="AX55" s="21" t="str">
        <f t="shared" si="12"/>
        <v/>
      </c>
      <c r="AY55" s="21" t="str">
        <f>IF(AND($AM55&lt;&gt;"",$AS55&lt;&gt;"✓"),SUMPRODUCT(($AM$11:$AM55&lt;&gt;"")*($AS$11:$AS55&lt;&gt;"✓")),"")</f>
        <v/>
      </c>
      <c r="AZ55" s="21" t="str">
        <f>IF(AND($AM55&lt;&gt;"",$AS55="✓"),SUMPRODUCT(($AM$11:$AM55&lt;&gt;"")*($AS$11:$AS55="✓")),"")</f>
        <v/>
      </c>
      <c r="BA55" s="21" t="str">
        <f>IF($AL55="","",$AL55&amp;"|"&amp;COUNTIF($AL$11:$AL55,$AL55))</f>
        <v/>
      </c>
      <c r="BD55" s="36" t="str">
        <f>IF(IFERROR(INDEX($AM$11:$AM$4010,MATCH($S$8&amp;"|"&amp;43,$BA$11:$BA$4010,0)),"")="","",43)</f>
        <v/>
      </c>
      <c r="BE55" s="36" t="str">
        <f>IFERROR(INDEX($AM$11:$AM$4010,MATCH($S$8&amp;"|"&amp;43,$BA$11:$BA$4010,0)),"")</f>
        <v/>
      </c>
      <c r="BF55" s="36" t="str">
        <f>IFERROR(INDEX($AP$11:$AP$4010,MATCH($S$8&amp;"|"&amp;43,$BA$11:$BA$4010,0)),"")</f>
        <v/>
      </c>
      <c r="BG55" s="36" t="str">
        <f>IFERROR(INDEX($AQ$11:$AQ$4010,MATCH($S$8&amp;"|"&amp;43,$BA$11:$BA$4010,0)),"")</f>
        <v/>
      </c>
      <c r="BH55" s="37" t="str">
        <f>IFERROR(INDEX($AN$11:$AN$4010,MATCH($S$8&amp;"|"&amp;43,$BA$11:$BA$4010,0)),"")</f>
        <v/>
      </c>
      <c r="BI55" s="37" t="str">
        <f>IFERROR(INDEX($AO$11:$AO$4010,MATCH($S$8&amp;"|"&amp;43,$BA$11:$BA$4010,0)),"")</f>
        <v/>
      </c>
      <c r="BL55" s="36" t="str">
        <f>IF(IFERROR(INDEX($AM$11:$AM$4010,MATCH($S$8&amp;"|"&amp;43,$BA$11:$BA$4010,0)),"")="","",43)</f>
        <v/>
      </c>
      <c r="BM55" s="36" t="str">
        <f>IFERROR(INDEX($AM$11:$AM$4010,MATCH($S$8&amp;"|"&amp;43,$BA$11:$BA$4010,0)),"")</f>
        <v/>
      </c>
      <c r="BN55" s="36" t="str">
        <f>IFERROR(INDEX($AP$11:$AP$4010,MATCH($S$8&amp;"|"&amp;43,$BA$11:$BA$4010,0)),"")</f>
        <v/>
      </c>
      <c r="BO55" s="36" t="str">
        <f>IFERROR(INDEX($AQ$11:$AQ$4010,MATCH($S$8&amp;"|"&amp;43,$BA$11:$BA$4010,0)),"")</f>
        <v/>
      </c>
      <c r="BP55" s="37" t="str">
        <f>IFERROR(INDEX($AN$11:$AN$4010,MATCH($S$8&amp;"|"&amp;43,$BA$11:$BA$4010,0)),"")</f>
        <v/>
      </c>
      <c r="BQ55" s="37" t="str">
        <f>IFERROR(INDEX($AO$11:$AO$4010,MATCH($S$8&amp;"|"&amp;43,$BA$11:$BA$4010,0)),"")</f>
        <v/>
      </c>
    </row>
    <row r="56" spans="2:69" ht="13.5" customHeight="1" x14ac:dyDescent="0.25">
      <c r="B56" s="5" t="str">
        <f t="shared" si="0"/>
        <v/>
      </c>
      <c r="C56" s="5"/>
      <c r="D56" s="5"/>
      <c r="E56" s="5"/>
      <c r="F56" s="6"/>
      <c r="G56" s="6"/>
      <c r="H56" s="7"/>
      <c r="I56" s="8"/>
      <c r="K56" s="23" t="str">
        <f>IFERROR(INDEX($AL$11:$AL$4010,MATCH(46,$AX$11:$AX$4010,0)),"")</f>
        <v/>
      </c>
      <c r="L56" s="24" t="str">
        <f t="shared" si="1"/>
        <v/>
      </c>
      <c r="M56" s="25" t="str">
        <f t="shared" si="2"/>
        <v/>
      </c>
      <c r="N56" s="25" t="str">
        <f t="shared" si="3"/>
        <v/>
      </c>
      <c r="P56" s="26" t="str">
        <f>IFERROR(INDEX($AM$11:$AM$4010,MATCH($S$8&amp;"|"&amp;46,$BA$11:$BA$4010,0)),"")</f>
        <v/>
      </c>
      <c r="Q56" s="25" t="str">
        <f>IF(P56="","",IFERROR(INDEX($AN$11:$AN$4010,MATCH($S$8&amp;"|"&amp;46,$BA$11:$BA$4010,0)),""))</f>
        <v/>
      </c>
      <c r="R56" s="25" t="str">
        <f>IF(P56="","",IFERROR(INDEX($AO$11:$AO$4010,MATCH($S$8&amp;"|"&amp;46,$BA$11:$BA$4010,0)),""))</f>
        <v/>
      </c>
      <c r="S56" s="24" t="str">
        <f>IF(P56="","",IFERROR(INDEX($AP$11:$AP$4010,MATCH($S$8&amp;"|"&amp;46,$BA$11:$BA$4010,0)),""))</f>
        <v/>
      </c>
      <c r="T56" s="24" t="str">
        <f>IF(P56="","",IFERROR(INDEX($AQ$11:$AQ$4010,MATCH($S$8&amp;"|"&amp;46,$BA$11:$BA$4010,0)),""))</f>
        <v/>
      </c>
      <c r="U56" s="38" t="str">
        <f t="shared" si="14"/>
        <v/>
      </c>
      <c r="W56" s="28" t="str">
        <f>IF(X56="","",IFERROR(INDEX($AL$11:$AL$4010,MATCH(46,$AY$11:$AY$4010,0)),""))</f>
        <v/>
      </c>
      <c r="X56" s="26" t="str">
        <f>IFERROR(INDEX($AM$11:$AM$4010,MATCH(46,$AY$11:$AY$4010,0)),"")</f>
        <v/>
      </c>
      <c r="Y56" s="25" t="str">
        <f>IF(X56="","",IFERROR(INDEX($AN$11:$AN$4010,MATCH(46,$AY$11:$AY$4010,0)),""))</f>
        <v/>
      </c>
      <c r="Z56" s="25" t="str">
        <f>IF(X56="","",IFERROR(INDEX($AO$11:$AO$4010,MATCH(46,$AY$11:$AY$4010,0)),""))</f>
        <v/>
      </c>
      <c r="AA56" s="24" t="str">
        <f>IF(X56="","",IFERROR(INDEX($AQ$11:$AQ$4010,MATCH(46,$AY$11:$AY$4010,0)),""))</f>
        <v/>
      </c>
      <c r="AB56" s="29" t="str">
        <f>IF(X56="","",IFERROR(INDEX($AR$11:$AR$4010,MATCH(46,$AY$11:$AY$4010,0)),""))</f>
        <v/>
      </c>
      <c r="AD56" s="30" t="str">
        <f>IF(AE56="","",IFERROR(INDEX($AL$11:$AL$4010,MATCH(46,$AZ$11:$AZ$4010,0)),""))</f>
        <v/>
      </c>
      <c r="AE56" s="26" t="str">
        <f>IFERROR(INDEX($AM$11:$AM$4010,MATCH(46,$AZ$11:$AZ$4010,0)),"")</f>
        <v/>
      </c>
      <c r="AF56" s="25" t="str">
        <f>IF(AE56="","",IFERROR(INDEX($AN$11:$AN$4010,MATCH(46,$AZ$11:$AZ$4010,0)),""))</f>
        <v/>
      </c>
      <c r="AG56" s="25" t="str">
        <f>IF(AE56="","",IFERROR(INDEX($AO$11:$AO$4010,MATCH(46,$AZ$11:$AZ$4010,0)),""))</f>
        <v/>
      </c>
      <c r="AH56" s="24" t="str">
        <f>IF(AE56="","",IFERROR(INDEX($AQ$11:$AQ$4010,MATCH(46,$AZ$11:$AZ$4010,0)),""))</f>
        <v/>
      </c>
      <c r="AI56" s="29" t="str">
        <f>IF(AE56="","",IFERROR(INDEX($AR$11:$AR$4010,MATCH(46,$AZ$11:$AZ$4010,0)),""))</f>
        <v/>
      </c>
      <c r="AJ56" s="29" t="str">
        <f>IF(AE56="","",IFERROR(INDEX($AT$11:$AT$4010,MATCH(46,$AZ$11:$AZ$4010,0)),""))</f>
        <v/>
      </c>
      <c r="AL56" s="31" t="str">
        <f t="shared" si="5"/>
        <v/>
      </c>
      <c r="AM56" s="26" t="str">
        <f t="shared" si="6"/>
        <v/>
      </c>
      <c r="AN56" s="32" t="str">
        <f t="shared" si="7"/>
        <v/>
      </c>
      <c r="AO56" s="32" t="str">
        <f t="shared" si="8"/>
        <v/>
      </c>
      <c r="AP56" s="24" t="str">
        <f t="shared" si="9"/>
        <v/>
      </c>
      <c r="AQ56" s="24" t="str">
        <f t="shared" si="10"/>
        <v/>
      </c>
      <c r="AR56" s="33" t="str">
        <f t="shared" si="11"/>
        <v/>
      </c>
      <c r="AS56" s="34"/>
      <c r="AT56" s="33"/>
      <c r="AV56" s="21">
        <f>IF(AND($AL56&lt;&gt;"",COUNTIF($AL$11:$AL56,$AL56)=1),1,0)</f>
        <v>0</v>
      </c>
      <c r="AW56" s="21">
        <f t="shared" si="13"/>
        <v>0</v>
      </c>
      <c r="AX56" s="21" t="str">
        <f t="shared" si="12"/>
        <v/>
      </c>
      <c r="AY56" s="21" t="str">
        <f>IF(AND($AM56&lt;&gt;"",$AS56&lt;&gt;"✓"),SUMPRODUCT(($AM$11:$AM56&lt;&gt;"")*($AS$11:$AS56&lt;&gt;"✓")),"")</f>
        <v/>
      </c>
      <c r="AZ56" s="21" t="str">
        <f>IF(AND($AM56&lt;&gt;"",$AS56="✓"),SUMPRODUCT(($AM$11:$AM56&lt;&gt;"")*($AS$11:$AS56="✓")),"")</f>
        <v/>
      </c>
      <c r="BA56" s="21" t="str">
        <f>IF($AL56="","",$AL56&amp;"|"&amp;COUNTIF($AL$11:$AL56,$AL56))</f>
        <v/>
      </c>
      <c r="BD56" s="36" t="str">
        <f>IF(IFERROR(INDEX($AM$11:$AM$4010,MATCH($S$8&amp;"|"&amp;44,$BA$11:$BA$4010,0)),"")="","",44)</f>
        <v/>
      </c>
      <c r="BE56" s="36" t="str">
        <f>IFERROR(INDEX($AM$11:$AM$4010,MATCH($S$8&amp;"|"&amp;44,$BA$11:$BA$4010,0)),"")</f>
        <v/>
      </c>
      <c r="BF56" s="36" t="str">
        <f>IFERROR(INDEX($AP$11:$AP$4010,MATCH($S$8&amp;"|"&amp;44,$BA$11:$BA$4010,0)),"")</f>
        <v/>
      </c>
      <c r="BG56" s="36" t="str">
        <f>IFERROR(INDEX($AQ$11:$AQ$4010,MATCH($S$8&amp;"|"&amp;44,$BA$11:$BA$4010,0)),"")</f>
        <v/>
      </c>
      <c r="BH56" s="37" t="str">
        <f>IFERROR(INDEX($AN$11:$AN$4010,MATCH($S$8&amp;"|"&amp;44,$BA$11:$BA$4010,0)),"")</f>
        <v/>
      </c>
      <c r="BI56" s="37" t="str">
        <f>IFERROR(INDEX($AO$11:$AO$4010,MATCH($S$8&amp;"|"&amp;44,$BA$11:$BA$4010,0)),"")</f>
        <v/>
      </c>
      <c r="BL56" s="36" t="str">
        <f>IF(IFERROR(INDEX($AM$11:$AM$4010,MATCH($S$8&amp;"|"&amp;44,$BA$11:$BA$4010,0)),"")="","",44)</f>
        <v/>
      </c>
      <c r="BM56" s="36" t="str">
        <f>IFERROR(INDEX($AM$11:$AM$4010,MATCH($S$8&amp;"|"&amp;44,$BA$11:$BA$4010,0)),"")</f>
        <v/>
      </c>
      <c r="BN56" s="36" t="str">
        <f>IFERROR(INDEX($AP$11:$AP$4010,MATCH($S$8&amp;"|"&amp;44,$BA$11:$BA$4010,0)),"")</f>
        <v/>
      </c>
      <c r="BO56" s="36" t="str">
        <f>IFERROR(INDEX($AQ$11:$AQ$4010,MATCH($S$8&amp;"|"&amp;44,$BA$11:$BA$4010,0)),"")</f>
        <v/>
      </c>
      <c r="BP56" s="37" t="str">
        <f>IFERROR(INDEX($AN$11:$AN$4010,MATCH($S$8&amp;"|"&amp;44,$BA$11:$BA$4010,0)),"")</f>
        <v/>
      </c>
      <c r="BQ56" s="37" t="str">
        <f>IFERROR(INDEX($AO$11:$AO$4010,MATCH($S$8&amp;"|"&amp;44,$BA$11:$BA$4010,0)),"")</f>
        <v/>
      </c>
    </row>
    <row r="57" spans="2:69" ht="13.5" customHeight="1" x14ac:dyDescent="0.25">
      <c r="B57" s="5" t="str">
        <f t="shared" si="0"/>
        <v/>
      </c>
      <c r="C57" s="5"/>
      <c r="D57" s="5"/>
      <c r="E57" s="5"/>
      <c r="F57" s="6"/>
      <c r="G57" s="6"/>
      <c r="H57" s="7"/>
      <c r="I57" s="8"/>
      <c r="K57" s="9" t="str">
        <f>IFERROR(INDEX($AL$11:$AL$4010,MATCH(47,$AX$11:$AX$4010,0)),"")</f>
        <v/>
      </c>
      <c r="L57" s="10" t="str">
        <f t="shared" si="1"/>
        <v/>
      </c>
      <c r="M57" s="11" t="str">
        <f t="shared" si="2"/>
        <v/>
      </c>
      <c r="N57" s="11" t="str">
        <f t="shared" si="3"/>
        <v/>
      </c>
      <c r="P57" s="12" t="str">
        <f>IFERROR(INDEX($AM$11:$AM$4010,MATCH($S$8&amp;"|"&amp;47,$BA$11:$BA$4010,0)),"")</f>
        <v/>
      </c>
      <c r="Q57" s="11" t="str">
        <f>IF(P57="","",IFERROR(INDEX($AN$11:$AN$4010,MATCH($S$8&amp;"|"&amp;47,$BA$11:$BA$4010,0)),""))</f>
        <v/>
      </c>
      <c r="R57" s="11" t="str">
        <f>IF(P57="","",IFERROR(INDEX($AO$11:$AO$4010,MATCH($S$8&amp;"|"&amp;47,$BA$11:$BA$4010,0)),""))</f>
        <v/>
      </c>
      <c r="S57" s="10" t="str">
        <f>IF(P57="","",IFERROR(INDEX($AP$11:$AP$4010,MATCH($S$8&amp;"|"&amp;47,$BA$11:$BA$4010,0)),""))</f>
        <v/>
      </c>
      <c r="T57" s="10" t="str">
        <f>IF(P57="","",IFERROR(INDEX($AQ$11:$AQ$4010,MATCH($S$8&amp;"|"&amp;47,$BA$11:$BA$4010,0)),""))</f>
        <v/>
      </c>
      <c r="U57" s="39" t="str">
        <f t="shared" si="14"/>
        <v/>
      </c>
      <c r="W57" s="14" t="str">
        <f>IF(X57="","",IFERROR(INDEX($AL$11:$AL$4010,MATCH(47,$AY$11:$AY$4010,0)),""))</f>
        <v/>
      </c>
      <c r="X57" s="12" t="str">
        <f>IFERROR(INDEX($AM$11:$AM$4010,MATCH(47,$AY$11:$AY$4010,0)),"")</f>
        <v/>
      </c>
      <c r="Y57" s="11" t="str">
        <f>IF(X57="","",IFERROR(INDEX($AN$11:$AN$4010,MATCH(47,$AY$11:$AY$4010,0)),""))</f>
        <v/>
      </c>
      <c r="Z57" s="11" t="str">
        <f>IF(X57="","",IFERROR(INDEX($AO$11:$AO$4010,MATCH(47,$AY$11:$AY$4010,0)),""))</f>
        <v/>
      </c>
      <c r="AA57" s="10" t="str">
        <f>IF(X57="","",IFERROR(INDEX($AQ$11:$AQ$4010,MATCH(47,$AY$11:$AY$4010,0)),""))</f>
        <v/>
      </c>
      <c r="AB57" s="15" t="str">
        <f>IF(X57="","",IFERROR(INDEX($AR$11:$AR$4010,MATCH(47,$AY$11:$AY$4010,0)),""))</f>
        <v/>
      </c>
      <c r="AD57" s="16" t="str">
        <f>IF(AE57="","",IFERROR(INDEX($AL$11:$AL$4010,MATCH(47,$AZ$11:$AZ$4010,0)),""))</f>
        <v/>
      </c>
      <c r="AE57" s="12" t="str">
        <f>IFERROR(INDEX($AM$11:$AM$4010,MATCH(47,$AZ$11:$AZ$4010,0)),"")</f>
        <v/>
      </c>
      <c r="AF57" s="11" t="str">
        <f>IF(AE57="","",IFERROR(INDEX($AN$11:$AN$4010,MATCH(47,$AZ$11:$AZ$4010,0)),""))</f>
        <v/>
      </c>
      <c r="AG57" s="11" t="str">
        <f>IF(AE57="","",IFERROR(INDEX($AO$11:$AO$4010,MATCH(47,$AZ$11:$AZ$4010,0)),""))</f>
        <v/>
      </c>
      <c r="AH57" s="10" t="str">
        <f>IF(AE57="","",IFERROR(INDEX($AQ$11:$AQ$4010,MATCH(47,$AZ$11:$AZ$4010,0)),""))</f>
        <v/>
      </c>
      <c r="AI57" s="15" t="str">
        <f>IF(AE57="","",IFERROR(INDEX($AR$11:$AR$4010,MATCH(47,$AZ$11:$AZ$4010,0)),""))</f>
        <v/>
      </c>
      <c r="AJ57" s="15" t="str">
        <f>IF(AE57="","",IFERROR(INDEX($AT$11:$AT$4010,MATCH(47,$AZ$11:$AZ$4010,0)),""))</f>
        <v/>
      </c>
      <c r="AL57" s="17" t="str">
        <f t="shared" si="5"/>
        <v/>
      </c>
      <c r="AM57" s="12" t="str">
        <f t="shared" si="6"/>
        <v/>
      </c>
      <c r="AN57" s="18" t="str">
        <f t="shared" si="7"/>
        <v/>
      </c>
      <c r="AO57" s="18" t="str">
        <f t="shared" si="8"/>
        <v/>
      </c>
      <c r="AP57" s="10" t="str">
        <f t="shared" si="9"/>
        <v/>
      </c>
      <c r="AQ57" s="10" t="str">
        <f t="shared" si="10"/>
        <v/>
      </c>
      <c r="AR57" s="19" t="str">
        <f t="shared" si="11"/>
        <v/>
      </c>
      <c r="AS57" s="20"/>
      <c r="AT57" s="19"/>
      <c r="AV57" s="21">
        <f>IF(AND($AL57&lt;&gt;"",COUNTIF($AL$11:$AL57,$AL57)=1),1,0)</f>
        <v>0</v>
      </c>
      <c r="AW57" s="21">
        <f t="shared" si="13"/>
        <v>0</v>
      </c>
      <c r="AX57" s="21" t="str">
        <f t="shared" si="12"/>
        <v/>
      </c>
      <c r="AY57" s="21" t="str">
        <f>IF(AND($AM57&lt;&gt;"",$AS57&lt;&gt;"✓"),SUMPRODUCT(($AM$11:$AM57&lt;&gt;"")*($AS$11:$AS57&lt;&gt;"✓")),"")</f>
        <v/>
      </c>
      <c r="AZ57" s="21" t="str">
        <f>IF(AND($AM57&lt;&gt;"",$AS57="✓"),SUMPRODUCT(($AM$11:$AM57&lt;&gt;"")*($AS$11:$AS57="✓")),"")</f>
        <v/>
      </c>
      <c r="BA57" s="21" t="str">
        <f>IF($AL57="","",$AL57&amp;"|"&amp;COUNTIF($AL$11:$AL57,$AL57))</f>
        <v/>
      </c>
      <c r="BD57" s="36" t="str">
        <f>IF(IFERROR(INDEX($AM$11:$AM$4010,MATCH($S$8&amp;"|"&amp;45,$BA$11:$BA$4010,0)),"")="","",45)</f>
        <v/>
      </c>
      <c r="BE57" s="36" t="str">
        <f>IFERROR(INDEX($AM$11:$AM$4010,MATCH($S$8&amp;"|"&amp;45,$BA$11:$BA$4010,0)),"")</f>
        <v/>
      </c>
      <c r="BF57" s="36" t="str">
        <f>IFERROR(INDEX($AP$11:$AP$4010,MATCH($S$8&amp;"|"&amp;45,$BA$11:$BA$4010,0)),"")</f>
        <v/>
      </c>
      <c r="BG57" s="36" t="str">
        <f>IFERROR(INDEX($AQ$11:$AQ$4010,MATCH($S$8&amp;"|"&amp;45,$BA$11:$BA$4010,0)),"")</f>
        <v/>
      </c>
      <c r="BH57" s="37" t="str">
        <f>IFERROR(INDEX($AN$11:$AN$4010,MATCH($S$8&amp;"|"&amp;45,$BA$11:$BA$4010,0)),"")</f>
        <v/>
      </c>
      <c r="BI57" s="37" t="str">
        <f>IFERROR(INDEX($AO$11:$AO$4010,MATCH($S$8&amp;"|"&amp;45,$BA$11:$BA$4010,0)),"")</f>
        <v/>
      </c>
      <c r="BL57" s="36" t="str">
        <f>IF(IFERROR(INDEX($AM$11:$AM$4010,MATCH($S$8&amp;"|"&amp;45,$BA$11:$BA$4010,0)),"")="","",45)</f>
        <v/>
      </c>
      <c r="BM57" s="36" t="str">
        <f>IFERROR(INDEX($AM$11:$AM$4010,MATCH($S$8&amp;"|"&amp;45,$BA$11:$BA$4010,0)),"")</f>
        <v/>
      </c>
      <c r="BN57" s="36" t="str">
        <f>IFERROR(INDEX($AP$11:$AP$4010,MATCH($S$8&amp;"|"&amp;45,$BA$11:$BA$4010,0)),"")</f>
        <v/>
      </c>
      <c r="BO57" s="36" t="str">
        <f>IFERROR(INDEX($AQ$11:$AQ$4010,MATCH($S$8&amp;"|"&amp;45,$BA$11:$BA$4010,0)),"")</f>
        <v/>
      </c>
      <c r="BP57" s="37" t="str">
        <f>IFERROR(INDEX($AN$11:$AN$4010,MATCH($S$8&amp;"|"&amp;45,$BA$11:$BA$4010,0)),"")</f>
        <v/>
      </c>
      <c r="BQ57" s="37" t="str">
        <f>IFERROR(INDEX($AO$11:$AO$4010,MATCH($S$8&amp;"|"&amp;45,$BA$11:$BA$4010,0)),"")</f>
        <v/>
      </c>
    </row>
    <row r="58" spans="2:69" ht="13.5" customHeight="1" x14ac:dyDescent="0.25">
      <c r="B58" s="5" t="str">
        <f t="shared" si="0"/>
        <v/>
      </c>
      <c r="C58" s="5"/>
      <c r="D58" s="5"/>
      <c r="E58" s="5"/>
      <c r="F58" s="6"/>
      <c r="G58" s="6"/>
      <c r="H58" s="7"/>
      <c r="I58" s="8"/>
      <c r="K58" s="23" t="str">
        <f>IFERROR(INDEX($AL$11:$AL$4010,MATCH(48,$AX$11:$AX$4010,0)),"")</f>
        <v/>
      </c>
      <c r="L58" s="24" t="str">
        <f t="shared" si="1"/>
        <v/>
      </c>
      <c r="M58" s="25" t="str">
        <f t="shared" si="2"/>
        <v/>
      </c>
      <c r="N58" s="25" t="str">
        <f t="shared" si="3"/>
        <v/>
      </c>
      <c r="P58" s="26" t="str">
        <f>IFERROR(INDEX($AM$11:$AM$4010,MATCH($S$8&amp;"|"&amp;48,$BA$11:$BA$4010,0)),"")</f>
        <v/>
      </c>
      <c r="Q58" s="25" t="str">
        <f>IF(P58="","",IFERROR(INDEX($AN$11:$AN$4010,MATCH($S$8&amp;"|"&amp;48,$BA$11:$BA$4010,0)),""))</f>
        <v/>
      </c>
      <c r="R58" s="25" t="str">
        <f>IF(P58="","",IFERROR(INDEX($AO$11:$AO$4010,MATCH($S$8&amp;"|"&amp;48,$BA$11:$BA$4010,0)),""))</f>
        <v/>
      </c>
      <c r="S58" s="24" t="str">
        <f>IF(P58="","",IFERROR(INDEX($AP$11:$AP$4010,MATCH($S$8&amp;"|"&amp;48,$BA$11:$BA$4010,0)),""))</f>
        <v/>
      </c>
      <c r="T58" s="24" t="str">
        <f>IF(P58="","",IFERROR(INDEX($AQ$11:$AQ$4010,MATCH($S$8&amp;"|"&amp;48,$BA$11:$BA$4010,0)),""))</f>
        <v/>
      </c>
      <c r="U58" s="38" t="str">
        <f t="shared" si="14"/>
        <v/>
      </c>
      <c r="W58" s="28" t="str">
        <f>IF(X58="","",IFERROR(INDEX($AL$11:$AL$4010,MATCH(48,$AY$11:$AY$4010,0)),""))</f>
        <v/>
      </c>
      <c r="X58" s="26" t="str">
        <f>IFERROR(INDEX($AM$11:$AM$4010,MATCH(48,$AY$11:$AY$4010,0)),"")</f>
        <v/>
      </c>
      <c r="Y58" s="25" t="str">
        <f>IF(X58="","",IFERROR(INDEX($AN$11:$AN$4010,MATCH(48,$AY$11:$AY$4010,0)),""))</f>
        <v/>
      </c>
      <c r="Z58" s="25" t="str">
        <f>IF(X58="","",IFERROR(INDEX($AO$11:$AO$4010,MATCH(48,$AY$11:$AY$4010,0)),""))</f>
        <v/>
      </c>
      <c r="AA58" s="24" t="str">
        <f>IF(X58="","",IFERROR(INDEX($AQ$11:$AQ$4010,MATCH(48,$AY$11:$AY$4010,0)),""))</f>
        <v/>
      </c>
      <c r="AB58" s="29" t="str">
        <f>IF(X58="","",IFERROR(INDEX($AR$11:$AR$4010,MATCH(48,$AY$11:$AY$4010,0)),""))</f>
        <v/>
      </c>
      <c r="AD58" s="30" t="str">
        <f>IF(AE58="","",IFERROR(INDEX($AL$11:$AL$4010,MATCH(48,$AZ$11:$AZ$4010,0)),""))</f>
        <v/>
      </c>
      <c r="AE58" s="26" t="str">
        <f>IFERROR(INDEX($AM$11:$AM$4010,MATCH(48,$AZ$11:$AZ$4010,0)),"")</f>
        <v/>
      </c>
      <c r="AF58" s="25" t="str">
        <f>IF(AE58="","",IFERROR(INDEX($AN$11:$AN$4010,MATCH(48,$AZ$11:$AZ$4010,0)),""))</f>
        <v/>
      </c>
      <c r="AG58" s="25" t="str">
        <f>IF(AE58="","",IFERROR(INDEX($AO$11:$AO$4010,MATCH(48,$AZ$11:$AZ$4010,0)),""))</f>
        <v/>
      </c>
      <c r="AH58" s="24" t="str">
        <f>IF(AE58="","",IFERROR(INDEX($AQ$11:$AQ$4010,MATCH(48,$AZ$11:$AZ$4010,0)),""))</f>
        <v/>
      </c>
      <c r="AI58" s="29" t="str">
        <f>IF(AE58="","",IFERROR(INDEX($AR$11:$AR$4010,MATCH(48,$AZ$11:$AZ$4010,0)),""))</f>
        <v/>
      </c>
      <c r="AJ58" s="29" t="str">
        <f>IF(AE58="","",IFERROR(INDEX($AT$11:$AT$4010,MATCH(48,$AZ$11:$AZ$4010,0)),""))</f>
        <v/>
      </c>
      <c r="AL58" s="31" t="str">
        <f t="shared" si="5"/>
        <v/>
      </c>
      <c r="AM58" s="26" t="str">
        <f t="shared" si="6"/>
        <v/>
      </c>
      <c r="AN58" s="32" t="str">
        <f t="shared" si="7"/>
        <v/>
      </c>
      <c r="AO58" s="32" t="str">
        <f t="shared" si="8"/>
        <v/>
      </c>
      <c r="AP58" s="24" t="str">
        <f t="shared" si="9"/>
        <v/>
      </c>
      <c r="AQ58" s="24" t="str">
        <f t="shared" si="10"/>
        <v/>
      </c>
      <c r="AR58" s="33" t="str">
        <f t="shared" si="11"/>
        <v/>
      </c>
      <c r="AS58" s="34"/>
      <c r="AT58" s="33"/>
      <c r="AV58" s="21">
        <f>IF(AND($AL58&lt;&gt;"",COUNTIF($AL$11:$AL58,$AL58)=1),1,0)</f>
        <v>0</v>
      </c>
      <c r="AW58" s="21">
        <f t="shared" si="13"/>
        <v>0</v>
      </c>
      <c r="AX58" s="21" t="str">
        <f t="shared" si="12"/>
        <v/>
      </c>
      <c r="AY58" s="21" t="str">
        <f>IF(AND($AM58&lt;&gt;"",$AS58&lt;&gt;"✓"),SUMPRODUCT(($AM$11:$AM58&lt;&gt;"")*($AS$11:$AS58&lt;&gt;"✓")),"")</f>
        <v/>
      </c>
      <c r="AZ58" s="21" t="str">
        <f>IF(AND($AM58&lt;&gt;"",$AS58="✓"),SUMPRODUCT(($AM$11:$AM58&lt;&gt;"")*($AS$11:$AS58="✓")),"")</f>
        <v/>
      </c>
      <c r="BA58" s="21" t="str">
        <f>IF($AL58="","",$AL58&amp;"|"&amp;COUNTIF($AL$11:$AL58,$AL58))</f>
        <v/>
      </c>
      <c r="BD58" s="36" t="str">
        <f>IF(IFERROR(INDEX($AM$11:$AM$4010,MATCH($S$8&amp;"|"&amp;46,$BA$11:$BA$4010,0)),"")="","",46)</f>
        <v/>
      </c>
      <c r="BE58" s="36" t="str">
        <f>IFERROR(INDEX($AM$11:$AM$4010,MATCH($S$8&amp;"|"&amp;46,$BA$11:$BA$4010,0)),"")</f>
        <v/>
      </c>
      <c r="BF58" s="36" t="str">
        <f>IFERROR(INDEX($AP$11:$AP$4010,MATCH($S$8&amp;"|"&amp;46,$BA$11:$BA$4010,0)),"")</f>
        <v/>
      </c>
      <c r="BG58" s="36" t="str">
        <f>IFERROR(INDEX($AQ$11:$AQ$4010,MATCH($S$8&amp;"|"&amp;46,$BA$11:$BA$4010,0)),"")</f>
        <v/>
      </c>
      <c r="BH58" s="37" t="str">
        <f>IFERROR(INDEX($AN$11:$AN$4010,MATCH($S$8&amp;"|"&amp;46,$BA$11:$BA$4010,0)),"")</f>
        <v/>
      </c>
      <c r="BI58" s="37" t="str">
        <f>IFERROR(INDEX($AO$11:$AO$4010,MATCH($S$8&amp;"|"&amp;46,$BA$11:$BA$4010,0)),"")</f>
        <v/>
      </c>
      <c r="BL58" s="36" t="str">
        <f>IF(IFERROR(INDEX($AM$11:$AM$4010,MATCH($S$8&amp;"|"&amp;46,$BA$11:$BA$4010,0)),"")="","",46)</f>
        <v/>
      </c>
      <c r="BM58" s="36" t="str">
        <f>IFERROR(INDEX($AM$11:$AM$4010,MATCH($S$8&amp;"|"&amp;46,$BA$11:$BA$4010,0)),"")</f>
        <v/>
      </c>
      <c r="BN58" s="36" t="str">
        <f>IFERROR(INDEX($AP$11:$AP$4010,MATCH($S$8&amp;"|"&amp;46,$BA$11:$BA$4010,0)),"")</f>
        <v/>
      </c>
      <c r="BO58" s="36" t="str">
        <f>IFERROR(INDEX($AQ$11:$AQ$4010,MATCH($S$8&amp;"|"&amp;46,$BA$11:$BA$4010,0)),"")</f>
        <v/>
      </c>
      <c r="BP58" s="37" t="str">
        <f>IFERROR(INDEX($AN$11:$AN$4010,MATCH($S$8&amp;"|"&amp;46,$BA$11:$BA$4010,0)),"")</f>
        <v/>
      </c>
      <c r="BQ58" s="37" t="str">
        <f>IFERROR(INDEX($AO$11:$AO$4010,MATCH($S$8&amp;"|"&amp;46,$BA$11:$BA$4010,0)),"")</f>
        <v/>
      </c>
    </row>
    <row r="59" spans="2:69" ht="13.5" customHeight="1" x14ac:dyDescent="0.25">
      <c r="B59" s="5" t="str">
        <f t="shared" si="0"/>
        <v/>
      </c>
      <c r="C59" s="5"/>
      <c r="D59" s="5"/>
      <c r="E59" s="5"/>
      <c r="F59" s="6"/>
      <c r="G59" s="6"/>
      <c r="H59" s="7"/>
      <c r="I59" s="8"/>
      <c r="K59" s="9" t="str">
        <f>IFERROR(INDEX($AL$11:$AL$4010,MATCH(49,$AX$11:$AX$4010,0)),"")</f>
        <v/>
      </c>
      <c r="L59" s="10" t="str">
        <f t="shared" si="1"/>
        <v/>
      </c>
      <c r="M59" s="11" t="str">
        <f t="shared" si="2"/>
        <v/>
      </c>
      <c r="N59" s="11" t="str">
        <f t="shared" si="3"/>
        <v/>
      </c>
      <c r="P59" s="12" t="str">
        <f>IFERROR(INDEX($AM$11:$AM$4010,MATCH($S$8&amp;"|"&amp;49,$BA$11:$BA$4010,0)),"")</f>
        <v/>
      </c>
      <c r="Q59" s="11" t="str">
        <f>IF(P59="","",IFERROR(INDEX($AN$11:$AN$4010,MATCH($S$8&amp;"|"&amp;49,$BA$11:$BA$4010,0)),""))</f>
        <v/>
      </c>
      <c r="R59" s="11" t="str">
        <f>IF(P59="","",IFERROR(INDEX($AO$11:$AO$4010,MATCH($S$8&amp;"|"&amp;49,$BA$11:$BA$4010,0)),""))</f>
        <v/>
      </c>
      <c r="S59" s="10" t="str">
        <f>IF(P59="","",IFERROR(INDEX($AP$11:$AP$4010,MATCH($S$8&amp;"|"&amp;49,$BA$11:$BA$4010,0)),""))</f>
        <v/>
      </c>
      <c r="T59" s="10" t="str">
        <f>IF(P59="","",IFERROR(INDEX($AQ$11:$AQ$4010,MATCH($S$8&amp;"|"&amp;49,$BA$11:$BA$4010,0)),""))</f>
        <v/>
      </c>
      <c r="U59" s="39" t="str">
        <f t="shared" si="14"/>
        <v/>
      </c>
      <c r="W59" s="14" t="str">
        <f>IF(X59="","",IFERROR(INDEX($AL$11:$AL$4010,MATCH(49,$AY$11:$AY$4010,0)),""))</f>
        <v/>
      </c>
      <c r="X59" s="12" t="str">
        <f>IFERROR(INDEX($AM$11:$AM$4010,MATCH(49,$AY$11:$AY$4010,0)),"")</f>
        <v/>
      </c>
      <c r="Y59" s="11" t="str">
        <f>IF(X59="","",IFERROR(INDEX($AN$11:$AN$4010,MATCH(49,$AY$11:$AY$4010,0)),""))</f>
        <v/>
      </c>
      <c r="Z59" s="11" t="str">
        <f>IF(X59="","",IFERROR(INDEX($AO$11:$AO$4010,MATCH(49,$AY$11:$AY$4010,0)),""))</f>
        <v/>
      </c>
      <c r="AA59" s="10" t="str">
        <f>IF(X59="","",IFERROR(INDEX($AQ$11:$AQ$4010,MATCH(49,$AY$11:$AY$4010,0)),""))</f>
        <v/>
      </c>
      <c r="AB59" s="15" t="str">
        <f>IF(X59="","",IFERROR(INDEX($AR$11:$AR$4010,MATCH(49,$AY$11:$AY$4010,0)),""))</f>
        <v/>
      </c>
      <c r="AD59" s="16" t="str">
        <f>IF(AE59="","",IFERROR(INDEX($AL$11:$AL$4010,MATCH(49,$AZ$11:$AZ$4010,0)),""))</f>
        <v/>
      </c>
      <c r="AE59" s="12" t="str">
        <f>IFERROR(INDEX($AM$11:$AM$4010,MATCH(49,$AZ$11:$AZ$4010,0)),"")</f>
        <v/>
      </c>
      <c r="AF59" s="11" t="str">
        <f>IF(AE59="","",IFERROR(INDEX($AN$11:$AN$4010,MATCH(49,$AZ$11:$AZ$4010,0)),""))</f>
        <v/>
      </c>
      <c r="AG59" s="11" t="str">
        <f>IF(AE59="","",IFERROR(INDEX($AO$11:$AO$4010,MATCH(49,$AZ$11:$AZ$4010,0)),""))</f>
        <v/>
      </c>
      <c r="AH59" s="10" t="str">
        <f>IF(AE59="","",IFERROR(INDEX($AQ$11:$AQ$4010,MATCH(49,$AZ$11:$AZ$4010,0)),""))</f>
        <v/>
      </c>
      <c r="AI59" s="15" t="str">
        <f>IF(AE59="","",IFERROR(INDEX($AR$11:$AR$4010,MATCH(49,$AZ$11:$AZ$4010,0)),""))</f>
        <v/>
      </c>
      <c r="AJ59" s="15" t="str">
        <f>IF(AE59="","",IFERROR(INDEX($AT$11:$AT$4010,MATCH(49,$AZ$11:$AZ$4010,0)),""))</f>
        <v/>
      </c>
      <c r="AL59" s="17" t="str">
        <f t="shared" si="5"/>
        <v/>
      </c>
      <c r="AM59" s="12" t="str">
        <f t="shared" si="6"/>
        <v/>
      </c>
      <c r="AN59" s="18" t="str">
        <f t="shared" si="7"/>
        <v/>
      </c>
      <c r="AO59" s="18" t="str">
        <f t="shared" si="8"/>
        <v/>
      </c>
      <c r="AP59" s="10" t="str">
        <f t="shared" si="9"/>
        <v/>
      </c>
      <c r="AQ59" s="10" t="str">
        <f t="shared" si="10"/>
        <v/>
      </c>
      <c r="AR59" s="19" t="str">
        <f t="shared" si="11"/>
        <v/>
      </c>
      <c r="AS59" s="20"/>
      <c r="AT59" s="19"/>
      <c r="AV59" s="21">
        <f>IF(AND($AL59&lt;&gt;"",COUNTIF($AL$11:$AL59,$AL59)=1),1,0)</f>
        <v>0</v>
      </c>
      <c r="AW59" s="21">
        <f t="shared" si="13"/>
        <v>0</v>
      </c>
      <c r="AX59" s="21" t="str">
        <f t="shared" si="12"/>
        <v/>
      </c>
      <c r="AY59" s="21" t="str">
        <f>IF(AND($AM59&lt;&gt;"",$AS59&lt;&gt;"✓"),SUMPRODUCT(($AM$11:$AM59&lt;&gt;"")*($AS$11:$AS59&lt;&gt;"✓")),"")</f>
        <v/>
      </c>
      <c r="AZ59" s="21" t="str">
        <f>IF(AND($AM59&lt;&gt;"",$AS59="✓"),SUMPRODUCT(($AM$11:$AM59&lt;&gt;"")*($AS$11:$AS59="✓")),"")</f>
        <v/>
      </c>
      <c r="BA59" s="21" t="str">
        <f>IF($AL59="","",$AL59&amp;"|"&amp;COUNTIF($AL$11:$AL59,$AL59))</f>
        <v/>
      </c>
      <c r="BD59" s="36" t="str">
        <f>IF(IFERROR(INDEX($AM$11:$AM$4010,MATCH($S$8&amp;"|"&amp;47,$BA$11:$BA$4010,0)),"")="","",47)</f>
        <v/>
      </c>
      <c r="BE59" s="36" t="str">
        <f>IFERROR(INDEX($AM$11:$AM$4010,MATCH($S$8&amp;"|"&amp;47,$BA$11:$BA$4010,0)),"")</f>
        <v/>
      </c>
      <c r="BF59" s="36" t="str">
        <f>IFERROR(INDEX($AP$11:$AP$4010,MATCH($S$8&amp;"|"&amp;47,$BA$11:$BA$4010,0)),"")</f>
        <v/>
      </c>
      <c r="BG59" s="36" t="str">
        <f>IFERROR(INDEX($AQ$11:$AQ$4010,MATCH($S$8&amp;"|"&amp;47,$BA$11:$BA$4010,0)),"")</f>
        <v/>
      </c>
      <c r="BH59" s="37" t="str">
        <f>IFERROR(INDEX($AN$11:$AN$4010,MATCH($S$8&amp;"|"&amp;47,$BA$11:$BA$4010,0)),"")</f>
        <v/>
      </c>
      <c r="BI59" s="37" t="str">
        <f>IFERROR(INDEX($AO$11:$AO$4010,MATCH($S$8&amp;"|"&amp;47,$BA$11:$BA$4010,0)),"")</f>
        <v/>
      </c>
      <c r="BL59" s="36" t="str">
        <f>IF(IFERROR(INDEX($AM$11:$AM$4010,MATCH($S$8&amp;"|"&amp;47,$BA$11:$BA$4010,0)),"")="","",47)</f>
        <v/>
      </c>
      <c r="BM59" s="36" t="str">
        <f>IFERROR(INDEX($AM$11:$AM$4010,MATCH($S$8&amp;"|"&amp;47,$BA$11:$BA$4010,0)),"")</f>
        <v/>
      </c>
      <c r="BN59" s="36" t="str">
        <f>IFERROR(INDEX($AP$11:$AP$4010,MATCH($S$8&amp;"|"&amp;47,$BA$11:$BA$4010,0)),"")</f>
        <v/>
      </c>
      <c r="BO59" s="36" t="str">
        <f>IFERROR(INDEX($AQ$11:$AQ$4010,MATCH($S$8&amp;"|"&amp;47,$BA$11:$BA$4010,0)),"")</f>
        <v/>
      </c>
      <c r="BP59" s="37" t="str">
        <f>IFERROR(INDEX($AN$11:$AN$4010,MATCH($S$8&amp;"|"&amp;47,$BA$11:$BA$4010,0)),"")</f>
        <v/>
      </c>
      <c r="BQ59" s="37" t="str">
        <f>IFERROR(INDEX($AO$11:$AO$4010,MATCH($S$8&amp;"|"&amp;47,$BA$11:$BA$4010,0)),"")</f>
        <v/>
      </c>
    </row>
    <row r="60" spans="2:69" ht="13.5" customHeight="1" x14ac:dyDescent="0.25">
      <c r="B60" s="5" t="str">
        <f t="shared" si="0"/>
        <v/>
      </c>
      <c r="C60" s="5"/>
      <c r="D60" s="5"/>
      <c r="E60" s="5"/>
      <c r="F60" s="6"/>
      <c r="G60" s="6"/>
      <c r="H60" s="7"/>
      <c r="I60" s="8"/>
      <c r="K60" s="23" t="str">
        <f>IFERROR(INDEX($AL$11:$AL$4010,MATCH(50,$AX$11:$AX$4010,0)),"")</f>
        <v/>
      </c>
      <c r="L60" s="24" t="str">
        <f t="shared" si="1"/>
        <v/>
      </c>
      <c r="M60" s="25" t="str">
        <f t="shared" si="2"/>
        <v/>
      </c>
      <c r="N60" s="25" t="str">
        <f t="shared" si="3"/>
        <v/>
      </c>
      <c r="P60" s="26" t="str">
        <f>IFERROR(INDEX($AM$11:$AM$4010,MATCH($S$8&amp;"|"&amp;50,$BA$11:$BA$4010,0)),"")</f>
        <v/>
      </c>
      <c r="Q60" s="25" t="str">
        <f>IF(P60="","",IFERROR(INDEX($AN$11:$AN$4010,MATCH($S$8&amp;"|"&amp;50,$BA$11:$BA$4010,0)),""))</f>
        <v/>
      </c>
      <c r="R60" s="25" t="str">
        <f>IF(P60="","",IFERROR(INDEX($AO$11:$AO$4010,MATCH($S$8&amp;"|"&amp;50,$BA$11:$BA$4010,0)),""))</f>
        <v/>
      </c>
      <c r="S60" s="24" t="str">
        <f>IF(P60="","",IFERROR(INDEX($AP$11:$AP$4010,MATCH($S$8&amp;"|"&amp;50,$BA$11:$BA$4010,0)),""))</f>
        <v/>
      </c>
      <c r="T60" s="24" t="str">
        <f>IF(P60="","",IFERROR(INDEX($AQ$11:$AQ$4010,MATCH($S$8&amp;"|"&amp;50,$BA$11:$BA$4010,0)),""))</f>
        <v/>
      </c>
      <c r="U60" s="38" t="str">
        <f t="shared" si="14"/>
        <v/>
      </c>
      <c r="W60" s="28" t="str">
        <f>IF(X60="","",IFERROR(INDEX($AL$11:$AL$4010,MATCH(50,$AY$11:$AY$4010,0)),""))</f>
        <v/>
      </c>
      <c r="X60" s="26" t="str">
        <f>IFERROR(INDEX($AM$11:$AM$4010,MATCH(50,$AY$11:$AY$4010,0)),"")</f>
        <v/>
      </c>
      <c r="Y60" s="25" t="str">
        <f>IF(X60="","",IFERROR(INDEX($AN$11:$AN$4010,MATCH(50,$AY$11:$AY$4010,0)),""))</f>
        <v/>
      </c>
      <c r="Z60" s="25" t="str">
        <f>IF(X60="","",IFERROR(INDEX($AO$11:$AO$4010,MATCH(50,$AY$11:$AY$4010,0)),""))</f>
        <v/>
      </c>
      <c r="AA60" s="24" t="str">
        <f>IF(X60="","",IFERROR(INDEX($AQ$11:$AQ$4010,MATCH(50,$AY$11:$AY$4010,0)),""))</f>
        <v/>
      </c>
      <c r="AB60" s="29" t="str">
        <f>IF(X60="","",IFERROR(INDEX($AR$11:$AR$4010,MATCH(50,$AY$11:$AY$4010,0)),""))</f>
        <v/>
      </c>
      <c r="AD60" s="30" t="str">
        <f>IF(AE60="","",IFERROR(INDEX($AL$11:$AL$4010,MATCH(50,$AZ$11:$AZ$4010,0)),""))</f>
        <v/>
      </c>
      <c r="AE60" s="26" t="str">
        <f>IFERROR(INDEX($AM$11:$AM$4010,MATCH(50,$AZ$11:$AZ$4010,0)),"")</f>
        <v/>
      </c>
      <c r="AF60" s="25" t="str">
        <f>IF(AE60="","",IFERROR(INDEX($AN$11:$AN$4010,MATCH(50,$AZ$11:$AZ$4010,0)),""))</f>
        <v/>
      </c>
      <c r="AG60" s="25" t="str">
        <f>IF(AE60="","",IFERROR(INDEX($AO$11:$AO$4010,MATCH(50,$AZ$11:$AZ$4010,0)),""))</f>
        <v/>
      </c>
      <c r="AH60" s="24" t="str">
        <f>IF(AE60="","",IFERROR(INDEX($AQ$11:$AQ$4010,MATCH(50,$AZ$11:$AZ$4010,0)),""))</f>
        <v/>
      </c>
      <c r="AI60" s="29" t="str">
        <f>IF(AE60="","",IFERROR(INDEX($AR$11:$AR$4010,MATCH(50,$AZ$11:$AZ$4010,0)),""))</f>
        <v/>
      </c>
      <c r="AJ60" s="29" t="str">
        <f>IF(AE60="","",IFERROR(INDEX($AT$11:$AT$4010,MATCH(50,$AZ$11:$AZ$4010,0)),""))</f>
        <v/>
      </c>
      <c r="AL60" s="31" t="str">
        <f t="shared" si="5"/>
        <v/>
      </c>
      <c r="AM60" s="26" t="str">
        <f t="shared" si="6"/>
        <v/>
      </c>
      <c r="AN60" s="32" t="str">
        <f t="shared" si="7"/>
        <v/>
      </c>
      <c r="AO60" s="32" t="str">
        <f t="shared" si="8"/>
        <v/>
      </c>
      <c r="AP60" s="24" t="str">
        <f t="shared" si="9"/>
        <v/>
      </c>
      <c r="AQ60" s="24" t="str">
        <f t="shared" si="10"/>
        <v/>
      </c>
      <c r="AR60" s="33" t="str">
        <f t="shared" si="11"/>
        <v/>
      </c>
      <c r="AS60" s="34"/>
      <c r="AT60" s="33"/>
      <c r="AV60" s="21">
        <f>IF(AND($AL60&lt;&gt;"",COUNTIF($AL$11:$AL60,$AL60)=1),1,0)</f>
        <v>0</v>
      </c>
      <c r="AW60" s="21">
        <f t="shared" si="13"/>
        <v>0</v>
      </c>
      <c r="AX60" s="21" t="str">
        <f t="shared" si="12"/>
        <v/>
      </c>
      <c r="AY60" s="21" t="str">
        <f>IF(AND($AM60&lt;&gt;"",$AS60&lt;&gt;"✓"),SUMPRODUCT(($AM$11:$AM60&lt;&gt;"")*($AS$11:$AS60&lt;&gt;"✓")),"")</f>
        <v/>
      </c>
      <c r="AZ60" s="21" t="str">
        <f>IF(AND($AM60&lt;&gt;"",$AS60="✓"),SUMPRODUCT(($AM$11:$AM60&lt;&gt;"")*($AS$11:$AS60="✓")),"")</f>
        <v/>
      </c>
      <c r="BA60" s="21" t="str">
        <f>IF($AL60="","",$AL60&amp;"|"&amp;COUNTIF($AL$11:$AL60,$AL60))</f>
        <v/>
      </c>
      <c r="BD60" s="36" t="str">
        <f>IF(IFERROR(INDEX($AM$11:$AM$4010,MATCH($S$8&amp;"|"&amp;48,$BA$11:$BA$4010,0)),"")="","",48)</f>
        <v/>
      </c>
      <c r="BE60" s="36" t="str">
        <f>IFERROR(INDEX($AM$11:$AM$4010,MATCH($S$8&amp;"|"&amp;48,$BA$11:$BA$4010,0)),"")</f>
        <v/>
      </c>
      <c r="BF60" s="36" t="str">
        <f>IFERROR(INDEX($AP$11:$AP$4010,MATCH($S$8&amp;"|"&amp;48,$BA$11:$BA$4010,0)),"")</f>
        <v/>
      </c>
      <c r="BG60" s="36" t="str">
        <f>IFERROR(INDEX($AQ$11:$AQ$4010,MATCH($S$8&amp;"|"&amp;48,$BA$11:$BA$4010,0)),"")</f>
        <v/>
      </c>
      <c r="BH60" s="37" t="str">
        <f>IFERROR(INDEX($AN$11:$AN$4010,MATCH($S$8&amp;"|"&amp;48,$BA$11:$BA$4010,0)),"")</f>
        <v/>
      </c>
      <c r="BI60" s="37" t="str">
        <f>IFERROR(INDEX($AO$11:$AO$4010,MATCH($S$8&amp;"|"&amp;48,$BA$11:$BA$4010,0)),"")</f>
        <v/>
      </c>
      <c r="BL60" s="36" t="str">
        <f>IF(IFERROR(INDEX($AM$11:$AM$4010,MATCH($S$8&amp;"|"&amp;48,$BA$11:$BA$4010,0)),"")="","",48)</f>
        <v/>
      </c>
      <c r="BM60" s="36" t="str">
        <f>IFERROR(INDEX($AM$11:$AM$4010,MATCH($S$8&amp;"|"&amp;48,$BA$11:$BA$4010,0)),"")</f>
        <v/>
      </c>
      <c r="BN60" s="36" t="str">
        <f>IFERROR(INDEX($AP$11:$AP$4010,MATCH($S$8&amp;"|"&amp;48,$BA$11:$BA$4010,0)),"")</f>
        <v/>
      </c>
      <c r="BO60" s="36" t="str">
        <f>IFERROR(INDEX($AQ$11:$AQ$4010,MATCH($S$8&amp;"|"&amp;48,$BA$11:$BA$4010,0)),"")</f>
        <v/>
      </c>
      <c r="BP60" s="37" t="str">
        <f>IFERROR(INDEX($AN$11:$AN$4010,MATCH($S$8&amp;"|"&amp;48,$BA$11:$BA$4010,0)),"")</f>
        <v/>
      </c>
      <c r="BQ60" s="37" t="str">
        <f>IFERROR(INDEX($AO$11:$AO$4010,MATCH($S$8&amp;"|"&amp;48,$BA$11:$BA$4010,0)),"")</f>
        <v/>
      </c>
    </row>
    <row r="61" spans="2:69" ht="13.5" customHeight="1" x14ac:dyDescent="0.25">
      <c r="B61" s="5" t="str">
        <f t="shared" si="0"/>
        <v/>
      </c>
      <c r="C61" s="5"/>
      <c r="D61" s="5"/>
      <c r="E61" s="5"/>
      <c r="F61" s="6"/>
      <c r="G61" s="6"/>
      <c r="H61" s="7"/>
      <c r="I61" s="8"/>
      <c r="K61" s="9" t="str">
        <f>IFERROR(INDEX($AL$11:$AL$4010,MATCH(51,$AX$11:$AX$4010,0)),"")</f>
        <v/>
      </c>
      <c r="L61" s="10" t="str">
        <f t="shared" si="1"/>
        <v/>
      </c>
      <c r="M61" s="11" t="str">
        <f t="shared" si="2"/>
        <v/>
      </c>
      <c r="N61" s="11" t="str">
        <f t="shared" si="3"/>
        <v/>
      </c>
      <c r="P61" s="12" t="str">
        <f>IFERROR(INDEX($AM$11:$AM$4010,MATCH($S$8&amp;"|"&amp;51,$BA$11:$BA$4010,0)),"")</f>
        <v/>
      </c>
      <c r="Q61" s="11" t="str">
        <f>IF(P61="","",IFERROR(INDEX($AN$11:$AN$4010,MATCH($S$8&amp;"|"&amp;51,$BA$11:$BA$4010,0)),""))</f>
        <v/>
      </c>
      <c r="R61" s="11" t="str">
        <f>IF(P61="","",IFERROR(INDEX($AO$11:$AO$4010,MATCH($S$8&amp;"|"&amp;51,$BA$11:$BA$4010,0)),""))</f>
        <v/>
      </c>
      <c r="S61" s="10" t="str">
        <f>IF(P61="","",IFERROR(INDEX($AP$11:$AP$4010,MATCH($S$8&amp;"|"&amp;51,$BA$11:$BA$4010,0)),""))</f>
        <v/>
      </c>
      <c r="T61" s="10" t="str">
        <f>IF(P61="","",IFERROR(INDEX($AQ$11:$AQ$4010,MATCH($S$8&amp;"|"&amp;51,$BA$11:$BA$4010,0)),""))</f>
        <v/>
      </c>
      <c r="U61" s="39" t="str">
        <f t="shared" si="14"/>
        <v/>
      </c>
      <c r="W61" s="14" t="str">
        <f>IF(X61="","",IFERROR(INDEX($AL$11:$AL$4010,MATCH(51,$AY$11:$AY$4010,0)),""))</f>
        <v/>
      </c>
      <c r="X61" s="12" t="str">
        <f>IFERROR(INDEX($AM$11:$AM$4010,MATCH(51,$AY$11:$AY$4010,0)),"")</f>
        <v/>
      </c>
      <c r="Y61" s="11" t="str">
        <f>IF(X61="","",IFERROR(INDEX($AN$11:$AN$4010,MATCH(51,$AY$11:$AY$4010,0)),""))</f>
        <v/>
      </c>
      <c r="Z61" s="11" t="str">
        <f>IF(X61="","",IFERROR(INDEX($AO$11:$AO$4010,MATCH(51,$AY$11:$AY$4010,0)),""))</f>
        <v/>
      </c>
      <c r="AA61" s="10" t="str">
        <f>IF(X61="","",IFERROR(INDEX($AQ$11:$AQ$4010,MATCH(51,$AY$11:$AY$4010,0)),""))</f>
        <v/>
      </c>
      <c r="AB61" s="15" t="str">
        <f>IF(X61="","",IFERROR(INDEX($AR$11:$AR$4010,MATCH(51,$AY$11:$AY$4010,0)),""))</f>
        <v/>
      </c>
      <c r="AD61" s="16" t="str">
        <f>IF(AE61="","",IFERROR(INDEX($AL$11:$AL$4010,MATCH(51,$AZ$11:$AZ$4010,0)),""))</f>
        <v/>
      </c>
      <c r="AE61" s="12" t="str">
        <f>IFERROR(INDEX($AM$11:$AM$4010,MATCH(51,$AZ$11:$AZ$4010,0)),"")</f>
        <v/>
      </c>
      <c r="AF61" s="11" t="str">
        <f>IF(AE61="","",IFERROR(INDEX($AN$11:$AN$4010,MATCH(51,$AZ$11:$AZ$4010,0)),""))</f>
        <v/>
      </c>
      <c r="AG61" s="11" t="str">
        <f>IF(AE61="","",IFERROR(INDEX($AO$11:$AO$4010,MATCH(51,$AZ$11:$AZ$4010,0)),""))</f>
        <v/>
      </c>
      <c r="AH61" s="10" t="str">
        <f>IF(AE61="","",IFERROR(INDEX($AQ$11:$AQ$4010,MATCH(51,$AZ$11:$AZ$4010,0)),""))</f>
        <v/>
      </c>
      <c r="AI61" s="15" t="str">
        <f>IF(AE61="","",IFERROR(INDEX($AR$11:$AR$4010,MATCH(51,$AZ$11:$AZ$4010,0)),""))</f>
        <v/>
      </c>
      <c r="AJ61" s="15" t="str">
        <f>IF(AE61="","",IFERROR(INDEX($AT$11:$AT$4010,MATCH(51,$AZ$11:$AZ$4010,0)),""))</f>
        <v/>
      </c>
      <c r="AL61" s="17" t="str">
        <f t="shared" si="5"/>
        <v/>
      </c>
      <c r="AM61" s="12" t="str">
        <f t="shared" si="6"/>
        <v/>
      </c>
      <c r="AN61" s="18" t="str">
        <f t="shared" si="7"/>
        <v/>
      </c>
      <c r="AO61" s="18" t="str">
        <f t="shared" si="8"/>
        <v/>
      </c>
      <c r="AP61" s="10" t="str">
        <f t="shared" si="9"/>
        <v/>
      </c>
      <c r="AQ61" s="10" t="str">
        <f t="shared" si="10"/>
        <v/>
      </c>
      <c r="AR61" s="19" t="str">
        <f t="shared" si="11"/>
        <v/>
      </c>
      <c r="AS61" s="20"/>
      <c r="AT61" s="19"/>
      <c r="AV61" s="21">
        <f>IF(AND($AL61&lt;&gt;"",COUNTIF($AL$11:$AL61,$AL61)=1),1,0)</f>
        <v>0</v>
      </c>
      <c r="AW61" s="21">
        <f t="shared" si="13"/>
        <v>0</v>
      </c>
      <c r="AX61" s="21" t="str">
        <f t="shared" si="12"/>
        <v/>
      </c>
      <c r="AY61" s="21" t="str">
        <f>IF(AND($AM61&lt;&gt;"",$AS61&lt;&gt;"✓"),SUMPRODUCT(($AM$11:$AM61&lt;&gt;"")*($AS$11:$AS61&lt;&gt;"✓")),"")</f>
        <v/>
      </c>
      <c r="AZ61" s="21" t="str">
        <f>IF(AND($AM61&lt;&gt;"",$AS61="✓"),SUMPRODUCT(($AM$11:$AM61&lt;&gt;"")*($AS$11:$AS61="✓")),"")</f>
        <v/>
      </c>
      <c r="BA61" s="21" t="str">
        <f>IF($AL61="","",$AL61&amp;"|"&amp;COUNTIF($AL$11:$AL61,$AL61))</f>
        <v/>
      </c>
      <c r="BD61" s="36" t="str">
        <f>IF(IFERROR(INDEX($AM$11:$AM$4010,MATCH($S$8&amp;"|"&amp;49,$BA$11:$BA$4010,0)),"")="","",49)</f>
        <v/>
      </c>
      <c r="BE61" s="36" t="str">
        <f>IFERROR(INDEX($AM$11:$AM$4010,MATCH($S$8&amp;"|"&amp;49,$BA$11:$BA$4010,0)),"")</f>
        <v/>
      </c>
      <c r="BF61" s="36" t="str">
        <f>IFERROR(INDEX($AP$11:$AP$4010,MATCH($S$8&amp;"|"&amp;49,$BA$11:$BA$4010,0)),"")</f>
        <v/>
      </c>
      <c r="BG61" s="36" t="str">
        <f>IFERROR(INDEX($AQ$11:$AQ$4010,MATCH($S$8&amp;"|"&amp;49,$BA$11:$BA$4010,0)),"")</f>
        <v/>
      </c>
      <c r="BH61" s="37" t="str">
        <f>IFERROR(INDEX($AN$11:$AN$4010,MATCH($S$8&amp;"|"&amp;49,$BA$11:$BA$4010,0)),"")</f>
        <v/>
      </c>
      <c r="BI61" s="37" t="str">
        <f>IFERROR(INDEX($AO$11:$AO$4010,MATCH($S$8&amp;"|"&amp;49,$BA$11:$BA$4010,0)),"")</f>
        <v/>
      </c>
      <c r="BL61" s="36" t="str">
        <f>IF(IFERROR(INDEX($AM$11:$AM$4010,MATCH($S$8&amp;"|"&amp;49,$BA$11:$BA$4010,0)),"")="","",49)</f>
        <v/>
      </c>
      <c r="BM61" s="36" t="str">
        <f>IFERROR(INDEX($AM$11:$AM$4010,MATCH($S$8&amp;"|"&amp;49,$BA$11:$BA$4010,0)),"")</f>
        <v/>
      </c>
      <c r="BN61" s="36" t="str">
        <f>IFERROR(INDEX($AP$11:$AP$4010,MATCH($S$8&amp;"|"&amp;49,$BA$11:$BA$4010,0)),"")</f>
        <v/>
      </c>
      <c r="BO61" s="36" t="str">
        <f>IFERROR(INDEX($AQ$11:$AQ$4010,MATCH($S$8&amp;"|"&amp;49,$BA$11:$BA$4010,0)),"")</f>
        <v/>
      </c>
      <c r="BP61" s="37" t="str">
        <f>IFERROR(INDEX($AN$11:$AN$4010,MATCH($S$8&amp;"|"&amp;49,$BA$11:$BA$4010,0)),"")</f>
        <v/>
      </c>
      <c r="BQ61" s="37" t="str">
        <f>IFERROR(INDEX($AO$11:$AO$4010,MATCH($S$8&amp;"|"&amp;49,$BA$11:$BA$4010,0)),"")</f>
        <v/>
      </c>
    </row>
    <row r="62" spans="2:69" ht="13.5" customHeight="1" x14ac:dyDescent="0.25">
      <c r="B62" s="5" t="str">
        <f t="shared" si="0"/>
        <v/>
      </c>
      <c r="C62" s="5"/>
      <c r="D62" s="5"/>
      <c r="E62" s="5"/>
      <c r="F62" s="6"/>
      <c r="G62" s="6"/>
      <c r="H62" s="7"/>
      <c r="I62" s="8"/>
      <c r="K62" s="23" t="str">
        <f>IFERROR(INDEX($AL$11:$AL$4010,MATCH(52,$AX$11:$AX$4010,0)),"")</f>
        <v/>
      </c>
      <c r="L62" s="24" t="str">
        <f t="shared" si="1"/>
        <v/>
      </c>
      <c r="M62" s="25" t="str">
        <f t="shared" si="2"/>
        <v/>
      </c>
      <c r="N62" s="25" t="str">
        <f t="shared" si="3"/>
        <v/>
      </c>
      <c r="P62" s="26" t="str">
        <f>IFERROR(INDEX($AM$11:$AM$4010,MATCH($S$8&amp;"|"&amp;52,$BA$11:$BA$4010,0)),"")</f>
        <v/>
      </c>
      <c r="Q62" s="25" t="str">
        <f>IF(P62="","",IFERROR(INDEX($AN$11:$AN$4010,MATCH($S$8&amp;"|"&amp;52,$BA$11:$BA$4010,0)),""))</f>
        <v/>
      </c>
      <c r="R62" s="25" t="str">
        <f>IF(P62="","",IFERROR(INDEX($AO$11:$AO$4010,MATCH($S$8&amp;"|"&amp;52,$BA$11:$BA$4010,0)),""))</f>
        <v/>
      </c>
      <c r="S62" s="24" t="str">
        <f>IF(P62="","",IFERROR(INDEX($AP$11:$AP$4010,MATCH($S$8&amp;"|"&amp;52,$BA$11:$BA$4010,0)),""))</f>
        <v/>
      </c>
      <c r="T62" s="24" t="str">
        <f>IF(P62="","",IFERROR(INDEX($AQ$11:$AQ$4010,MATCH($S$8&amp;"|"&amp;52,$BA$11:$BA$4010,0)),""))</f>
        <v/>
      </c>
      <c r="U62" s="38" t="str">
        <f t="shared" si="14"/>
        <v/>
      </c>
      <c r="W62" s="28" t="str">
        <f>IF(X62="","",IFERROR(INDEX($AL$11:$AL$4010,MATCH(52,$AY$11:$AY$4010,0)),""))</f>
        <v/>
      </c>
      <c r="X62" s="26" t="str">
        <f>IFERROR(INDEX($AM$11:$AM$4010,MATCH(52,$AY$11:$AY$4010,0)),"")</f>
        <v/>
      </c>
      <c r="Y62" s="25" t="str">
        <f>IF(X62="","",IFERROR(INDEX($AN$11:$AN$4010,MATCH(52,$AY$11:$AY$4010,0)),""))</f>
        <v/>
      </c>
      <c r="Z62" s="25" t="str">
        <f>IF(X62="","",IFERROR(INDEX($AO$11:$AO$4010,MATCH(52,$AY$11:$AY$4010,0)),""))</f>
        <v/>
      </c>
      <c r="AA62" s="24" t="str">
        <f>IF(X62="","",IFERROR(INDEX($AQ$11:$AQ$4010,MATCH(52,$AY$11:$AY$4010,0)),""))</f>
        <v/>
      </c>
      <c r="AB62" s="29" t="str">
        <f>IF(X62="","",IFERROR(INDEX($AR$11:$AR$4010,MATCH(52,$AY$11:$AY$4010,0)),""))</f>
        <v/>
      </c>
      <c r="AD62" s="30" t="str">
        <f>IF(AE62="","",IFERROR(INDEX($AL$11:$AL$4010,MATCH(52,$AZ$11:$AZ$4010,0)),""))</f>
        <v/>
      </c>
      <c r="AE62" s="26" t="str">
        <f>IFERROR(INDEX($AM$11:$AM$4010,MATCH(52,$AZ$11:$AZ$4010,0)),"")</f>
        <v/>
      </c>
      <c r="AF62" s="25" t="str">
        <f>IF(AE62="","",IFERROR(INDEX($AN$11:$AN$4010,MATCH(52,$AZ$11:$AZ$4010,0)),""))</f>
        <v/>
      </c>
      <c r="AG62" s="25" t="str">
        <f>IF(AE62="","",IFERROR(INDEX($AO$11:$AO$4010,MATCH(52,$AZ$11:$AZ$4010,0)),""))</f>
        <v/>
      </c>
      <c r="AH62" s="24" t="str">
        <f>IF(AE62="","",IFERROR(INDEX($AQ$11:$AQ$4010,MATCH(52,$AZ$11:$AZ$4010,0)),""))</f>
        <v/>
      </c>
      <c r="AI62" s="29" t="str">
        <f>IF(AE62="","",IFERROR(INDEX($AR$11:$AR$4010,MATCH(52,$AZ$11:$AZ$4010,0)),""))</f>
        <v/>
      </c>
      <c r="AJ62" s="29" t="str">
        <f>IF(AE62="","",IFERROR(INDEX($AT$11:$AT$4010,MATCH(52,$AZ$11:$AZ$4010,0)),""))</f>
        <v/>
      </c>
      <c r="AL62" s="31" t="str">
        <f t="shared" si="5"/>
        <v/>
      </c>
      <c r="AM62" s="26" t="str">
        <f t="shared" si="6"/>
        <v/>
      </c>
      <c r="AN62" s="32" t="str">
        <f t="shared" si="7"/>
        <v/>
      </c>
      <c r="AO62" s="32" t="str">
        <f t="shared" si="8"/>
        <v/>
      </c>
      <c r="AP62" s="24" t="str">
        <f t="shared" si="9"/>
        <v/>
      </c>
      <c r="AQ62" s="24" t="str">
        <f t="shared" si="10"/>
        <v/>
      </c>
      <c r="AR62" s="33" t="str">
        <f t="shared" si="11"/>
        <v/>
      </c>
      <c r="AS62" s="34"/>
      <c r="AT62" s="33"/>
      <c r="AV62" s="21">
        <f>IF(AND($AL62&lt;&gt;"",COUNTIF($AL$11:$AL62,$AL62)=1),1,0)</f>
        <v>0</v>
      </c>
      <c r="AW62" s="21">
        <f t="shared" si="13"/>
        <v>0</v>
      </c>
      <c r="AX62" s="21" t="str">
        <f t="shared" si="12"/>
        <v/>
      </c>
      <c r="AY62" s="21" t="str">
        <f>IF(AND($AM62&lt;&gt;"",$AS62&lt;&gt;"✓"),SUMPRODUCT(($AM$11:$AM62&lt;&gt;"")*($AS$11:$AS62&lt;&gt;"✓")),"")</f>
        <v/>
      </c>
      <c r="AZ62" s="21" t="str">
        <f>IF(AND($AM62&lt;&gt;"",$AS62="✓"),SUMPRODUCT(($AM$11:$AM62&lt;&gt;"")*($AS$11:$AS62="✓")),"")</f>
        <v/>
      </c>
      <c r="BA62" s="21" t="str">
        <f>IF($AL62="","",$AL62&amp;"|"&amp;COUNTIF($AL$11:$AL62,$AL62))</f>
        <v/>
      </c>
      <c r="BD62" s="36" t="str">
        <f>IF(IFERROR(INDEX($AM$11:$AM$4010,MATCH($S$8&amp;"|"&amp;50,$BA$11:$BA$4010,0)),"")="","",50)</f>
        <v/>
      </c>
      <c r="BE62" s="36" t="str">
        <f>IFERROR(INDEX($AM$11:$AM$4010,MATCH($S$8&amp;"|"&amp;50,$BA$11:$BA$4010,0)),"")</f>
        <v/>
      </c>
      <c r="BF62" s="36" t="str">
        <f>IFERROR(INDEX($AP$11:$AP$4010,MATCH($S$8&amp;"|"&amp;50,$BA$11:$BA$4010,0)),"")</f>
        <v/>
      </c>
      <c r="BG62" s="36" t="str">
        <f>IFERROR(INDEX($AQ$11:$AQ$4010,MATCH($S$8&amp;"|"&amp;50,$BA$11:$BA$4010,0)),"")</f>
        <v/>
      </c>
      <c r="BH62" s="37" t="str">
        <f>IFERROR(INDEX($AN$11:$AN$4010,MATCH($S$8&amp;"|"&amp;50,$BA$11:$BA$4010,0)),"")</f>
        <v/>
      </c>
      <c r="BI62" s="37" t="str">
        <f>IFERROR(INDEX($AO$11:$AO$4010,MATCH($S$8&amp;"|"&amp;50,$BA$11:$BA$4010,0)),"")</f>
        <v/>
      </c>
      <c r="BL62" s="36" t="str">
        <f>IF(IFERROR(INDEX($AM$11:$AM$4010,MATCH($S$8&amp;"|"&amp;50,$BA$11:$BA$4010,0)),"")="","",50)</f>
        <v/>
      </c>
      <c r="BM62" s="36" t="str">
        <f>IFERROR(INDEX($AM$11:$AM$4010,MATCH($S$8&amp;"|"&amp;50,$BA$11:$BA$4010,0)),"")</f>
        <v/>
      </c>
      <c r="BN62" s="36" t="str">
        <f>IFERROR(INDEX($AP$11:$AP$4010,MATCH($S$8&amp;"|"&amp;50,$BA$11:$BA$4010,0)),"")</f>
        <v/>
      </c>
      <c r="BO62" s="36" t="str">
        <f>IFERROR(INDEX($AQ$11:$AQ$4010,MATCH($S$8&amp;"|"&amp;50,$BA$11:$BA$4010,0)),"")</f>
        <v/>
      </c>
      <c r="BP62" s="37" t="str">
        <f>IFERROR(INDEX($AN$11:$AN$4010,MATCH($S$8&amp;"|"&amp;50,$BA$11:$BA$4010,0)),"")</f>
        <v/>
      </c>
      <c r="BQ62" s="37" t="str">
        <f>IFERROR(INDEX($AO$11:$AO$4010,MATCH($S$8&amp;"|"&amp;50,$BA$11:$BA$4010,0)),"")</f>
        <v/>
      </c>
    </row>
    <row r="63" spans="2:69" ht="13.5" customHeight="1" x14ac:dyDescent="0.25">
      <c r="B63" s="5" t="str">
        <f t="shared" si="0"/>
        <v/>
      </c>
      <c r="C63" s="5"/>
      <c r="D63" s="5"/>
      <c r="E63" s="5"/>
      <c r="F63" s="6"/>
      <c r="G63" s="6"/>
      <c r="H63" s="7"/>
      <c r="I63" s="8"/>
      <c r="K63" s="9" t="str">
        <f>IFERROR(INDEX($AL$11:$AL$4010,MATCH(53,$AX$11:$AX$4010,0)),"")</f>
        <v/>
      </c>
      <c r="L63" s="10" t="str">
        <f t="shared" si="1"/>
        <v/>
      </c>
      <c r="M63" s="11" t="str">
        <f t="shared" si="2"/>
        <v/>
      </c>
      <c r="N63" s="11" t="str">
        <f t="shared" si="3"/>
        <v/>
      </c>
      <c r="P63" s="12" t="str">
        <f>IFERROR(INDEX($AM$11:$AM$4010,MATCH($S$8&amp;"|"&amp;53,$BA$11:$BA$4010,0)),"")</f>
        <v/>
      </c>
      <c r="Q63" s="11" t="str">
        <f>IF(P63="","",IFERROR(INDEX($AN$11:$AN$4010,MATCH($S$8&amp;"|"&amp;53,$BA$11:$BA$4010,0)),""))</f>
        <v/>
      </c>
      <c r="R63" s="11" t="str">
        <f>IF(P63="","",IFERROR(INDEX($AO$11:$AO$4010,MATCH($S$8&amp;"|"&amp;53,$BA$11:$BA$4010,0)),""))</f>
        <v/>
      </c>
      <c r="S63" s="10" t="str">
        <f>IF(P63="","",IFERROR(INDEX($AP$11:$AP$4010,MATCH($S$8&amp;"|"&amp;53,$BA$11:$BA$4010,0)),""))</f>
        <v/>
      </c>
      <c r="T63" s="10" t="str">
        <f>IF(P63="","",IFERROR(INDEX($AQ$11:$AQ$4010,MATCH($S$8&amp;"|"&amp;53,$BA$11:$BA$4010,0)),""))</f>
        <v/>
      </c>
      <c r="U63" s="39" t="str">
        <f t="shared" si="14"/>
        <v/>
      </c>
      <c r="W63" s="14" t="str">
        <f>IF(X63="","",IFERROR(INDEX($AL$11:$AL$4010,MATCH(53,$AY$11:$AY$4010,0)),""))</f>
        <v/>
      </c>
      <c r="X63" s="12" t="str">
        <f>IFERROR(INDEX($AM$11:$AM$4010,MATCH(53,$AY$11:$AY$4010,0)),"")</f>
        <v/>
      </c>
      <c r="Y63" s="11" t="str">
        <f>IF(X63="","",IFERROR(INDEX($AN$11:$AN$4010,MATCH(53,$AY$11:$AY$4010,0)),""))</f>
        <v/>
      </c>
      <c r="Z63" s="11" t="str">
        <f>IF(X63="","",IFERROR(INDEX($AO$11:$AO$4010,MATCH(53,$AY$11:$AY$4010,0)),""))</f>
        <v/>
      </c>
      <c r="AA63" s="10" t="str">
        <f>IF(X63="","",IFERROR(INDEX($AQ$11:$AQ$4010,MATCH(53,$AY$11:$AY$4010,0)),""))</f>
        <v/>
      </c>
      <c r="AB63" s="15" t="str">
        <f>IF(X63="","",IFERROR(INDEX($AR$11:$AR$4010,MATCH(53,$AY$11:$AY$4010,0)),""))</f>
        <v/>
      </c>
      <c r="AD63" s="16" t="str">
        <f>IF(AE63="","",IFERROR(INDEX($AL$11:$AL$4010,MATCH(53,$AZ$11:$AZ$4010,0)),""))</f>
        <v/>
      </c>
      <c r="AE63" s="12" t="str">
        <f>IFERROR(INDEX($AM$11:$AM$4010,MATCH(53,$AZ$11:$AZ$4010,0)),"")</f>
        <v/>
      </c>
      <c r="AF63" s="11" t="str">
        <f>IF(AE63="","",IFERROR(INDEX($AN$11:$AN$4010,MATCH(53,$AZ$11:$AZ$4010,0)),""))</f>
        <v/>
      </c>
      <c r="AG63" s="11" t="str">
        <f>IF(AE63="","",IFERROR(INDEX($AO$11:$AO$4010,MATCH(53,$AZ$11:$AZ$4010,0)),""))</f>
        <v/>
      </c>
      <c r="AH63" s="10" t="str">
        <f>IF(AE63="","",IFERROR(INDEX($AQ$11:$AQ$4010,MATCH(53,$AZ$11:$AZ$4010,0)),""))</f>
        <v/>
      </c>
      <c r="AI63" s="15" t="str">
        <f>IF(AE63="","",IFERROR(INDEX($AR$11:$AR$4010,MATCH(53,$AZ$11:$AZ$4010,0)),""))</f>
        <v/>
      </c>
      <c r="AJ63" s="15" t="str">
        <f>IF(AE63="","",IFERROR(INDEX($AT$11:$AT$4010,MATCH(53,$AZ$11:$AZ$4010,0)),""))</f>
        <v/>
      </c>
      <c r="AL63" s="17" t="str">
        <f t="shared" si="5"/>
        <v/>
      </c>
      <c r="AM63" s="12" t="str">
        <f t="shared" si="6"/>
        <v/>
      </c>
      <c r="AN63" s="18" t="str">
        <f t="shared" si="7"/>
        <v/>
      </c>
      <c r="AO63" s="18" t="str">
        <f t="shared" si="8"/>
        <v/>
      </c>
      <c r="AP63" s="10" t="str">
        <f t="shared" si="9"/>
        <v/>
      </c>
      <c r="AQ63" s="10" t="str">
        <f t="shared" si="10"/>
        <v/>
      </c>
      <c r="AR63" s="19" t="str">
        <f t="shared" si="11"/>
        <v/>
      </c>
      <c r="AS63" s="20"/>
      <c r="AT63" s="19"/>
      <c r="AV63" s="21">
        <f>IF(AND($AL63&lt;&gt;"",COUNTIF($AL$11:$AL63,$AL63)=1),1,0)</f>
        <v>0</v>
      </c>
      <c r="AW63" s="21">
        <f t="shared" si="13"/>
        <v>0</v>
      </c>
      <c r="AX63" s="21" t="str">
        <f t="shared" si="12"/>
        <v/>
      </c>
      <c r="AY63" s="21" t="str">
        <f>IF(AND($AM63&lt;&gt;"",$AS63&lt;&gt;"✓"),SUMPRODUCT(($AM$11:$AM63&lt;&gt;"")*($AS$11:$AS63&lt;&gt;"✓")),"")</f>
        <v/>
      </c>
      <c r="AZ63" s="21" t="str">
        <f>IF(AND($AM63&lt;&gt;"",$AS63="✓"),SUMPRODUCT(($AM$11:$AM63&lt;&gt;"")*($AS$11:$AS63="✓")),"")</f>
        <v/>
      </c>
      <c r="BA63" s="21" t="str">
        <f>IF($AL63="","",$AL63&amp;"|"&amp;COUNTIF($AL$11:$AL63,$AL63))</f>
        <v/>
      </c>
      <c r="BD63" s="36" t="str">
        <f>IF(IFERROR(INDEX($AM$11:$AM$4010,MATCH($S$8&amp;"|"&amp;51,$BA$11:$BA$4010,0)),"")="","",51)</f>
        <v/>
      </c>
      <c r="BE63" s="36" t="str">
        <f>IFERROR(INDEX($AM$11:$AM$4010,MATCH($S$8&amp;"|"&amp;51,$BA$11:$BA$4010,0)),"")</f>
        <v/>
      </c>
      <c r="BF63" s="36" t="str">
        <f>IFERROR(INDEX($AP$11:$AP$4010,MATCH($S$8&amp;"|"&amp;51,$BA$11:$BA$4010,0)),"")</f>
        <v/>
      </c>
      <c r="BG63" s="36" t="str">
        <f>IFERROR(INDEX($AQ$11:$AQ$4010,MATCH($S$8&amp;"|"&amp;51,$BA$11:$BA$4010,0)),"")</f>
        <v/>
      </c>
      <c r="BH63" s="37" t="str">
        <f>IFERROR(INDEX($AN$11:$AN$4010,MATCH($S$8&amp;"|"&amp;51,$BA$11:$BA$4010,0)),"")</f>
        <v/>
      </c>
      <c r="BI63" s="37" t="str">
        <f>IFERROR(INDEX($AO$11:$AO$4010,MATCH($S$8&amp;"|"&amp;51,$BA$11:$BA$4010,0)),"")</f>
        <v/>
      </c>
      <c r="BL63" s="36" t="str">
        <f>IF(IFERROR(INDEX($AM$11:$AM$4010,MATCH($S$8&amp;"|"&amp;51,$BA$11:$BA$4010,0)),"")="","",51)</f>
        <v/>
      </c>
      <c r="BM63" s="36" t="str">
        <f>IFERROR(INDEX($AM$11:$AM$4010,MATCH($S$8&amp;"|"&amp;51,$BA$11:$BA$4010,0)),"")</f>
        <v/>
      </c>
      <c r="BN63" s="36" t="str">
        <f>IFERROR(INDEX($AP$11:$AP$4010,MATCH($S$8&amp;"|"&amp;51,$BA$11:$BA$4010,0)),"")</f>
        <v/>
      </c>
      <c r="BO63" s="36" t="str">
        <f>IFERROR(INDEX($AQ$11:$AQ$4010,MATCH($S$8&amp;"|"&amp;51,$BA$11:$BA$4010,0)),"")</f>
        <v/>
      </c>
      <c r="BP63" s="37" t="str">
        <f>IFERROR(INDEX($AN$11:$AN$4010,MATCH($S$8&amp;"|"&amp;51,$BA$11:$BA$4010,0)),"")</f>
        <v/>
      </c>
      <c r="BQ63" s="37" t="str">
        <f>IFERROR(INDEX($AO$11:$AO$4010,MATCH($S$8&amp;"|"&amp;51,$BA$11:$BA$4010,0)),"")</f>
        <v/>
      </c>
    </row>
    <row r="64" spans="2:69" ht="13.5" customHeight="1" x14ac:dyDescent="0.25">
      <c r="B64" s="5" t="str">
        <f t="shared" si="0"/>
        <v/>
      </c>
      <c r="C64" s="5"/>
      <c r="D64" s="5"/>
      <c r="E64" s="5"/>
      <c r="F64" s="6"/>
      <c r="G64" s="6"/>
      <c r="H64" s="7"/>
      <c r="I64" s="8"/>
      <c r="K64" s="23" t="str">
        <f>IFERROR(INDEX($AL$11:$AL$4010,MATCH(54,$AX$11:$AX$4010,0)),"")</f>
        <v/>
      </c>
      <c r="L64" s="24" t="str">
        <f t="shared" si="1"/>
        <v/>
      </c>
      <c r="M64" s="25" t="str">
        <f t="shared" si="2"/>
        <v/>
      </c>
      <c r="N64" s="25" t="str">
        <f t="shared" si="3"/>
        <v/>
      </c>
      <c r="P64" s="26" t="str">
        <f>IFERROR(INDEX($AM$11:$AM$4010,MATCH($S$8&amp;"|"&amp;54,$BA$11:$BA$4010,0)),"")</f>
        <v/>
      </c>
      <c r="Q64" s="25" t="str">
        <f>IF(P64="","",IFERROR(INDEX($AN$11:$AN$4010,MATCH($S$8&amp;"|"&amp;54,$BA$11:$BA$4010,0)),""))</f>
        <v/>
      </c>
      <c r="R64" s="25" t="str">
        <f>IF(P64="","",IFERROR(INDEX($AO$11:$AO$4010,MATCH($S$8&amp;"|"&amp;54,$BA$11:$BA$4010,0)),""))</f>
        <v/>
      </c>
      <c r="S64" s="24" t="str">
        <f>IF(P64="","",IFERROR(INDEX($AP$11:$AP$4010,MATCH($S$8&amp;"|"&amp;54,$BA$11:$BA$4010,0)),""))</f>
        <v/>
      </c>
      <c r="T64" s="24" t="str">
        <f>IF(P64="","",IFERROR(INDEX($AQ$11:$AQ$4010,MATCH($S$8&amp;"|"&amp;54,$BA$11:$BA$4010,0)),""))</f>
        <v/>
      </c>
      <c r="U64" s="38" t="str">
        <f t="shared" si="14"/>
        <v/>
      </c>
      <c r="W64" s="28" t="str">
        <f>IF(X64="","",IFERROR(INDEX($AL$11:$AL$4010,MATCH(54,$AY$11:$AY$4010,0)),""))</f>
        <v/>
      </c>
      <c r="X64" s="26" t="str">
        <f>IFERROR(INDEX($AM$11:$AM$4010,MATCH(54,$AY$11:$AY$4010,0)),"")</f>
        <v/>
      </c>
      <c r="Y64" s="25" t="str">
        <f>IF(X64="","",IFERROR(INDEX($AN$11:$AN$4010,MATCH(54,$AY$11:$AY$4010,0)),""))</f>
        <v/>
      </c>
      <c r="Z64" s="25" t="str">
        <f>IF(X64="","",IFERROR(INDEX($AO$11:$AO$4010,MATCH(54,$AY$11:$AY$4010,0)),""))</f>
        <v/>
      </c>
      <c r="AA64" s="24" t="str">
        <f>IF(X64="","",IFERROR(INDEX($AQ$11:$AQ$4010,MATCH(54,$AY$11:$AY$4010,0)),""))</f>
        <v/>
      </c>
      <c r="AB64" s="29" t="str">
        <f>IF(X64="","",IFERROR(INDEX($AR$11:$AR$4010,MATCH(54,$AY$11:$AY$4010,0)),""))</f>
        <v/>
      </c>
      <c r="AD64" s="30" t="str">
        <f>IF(AE64="","",IFERROR(INDEX($AL$11:$AL$4010,MATCH(54,$AZ$11:$AZ$4010,0)),""))</f>
        <v/>
      </c>
      <c r="AE64" s="26" t="str">
        <f>IFERROR(INDEX($AM$11:$AM$4010,MATCH(54,$AZ$11:$AZ$4010,0)),"")</f>
        <v/>
      </c>
      <c r="AF64" s="25" t="str">
        <f>IF(AE64="","",IFERROR(INDEX($AN$11:$AN$4010,MATCH(54,$AZ$11:$AZ$4010,0)),""))</f>
        <v/>
      </c>
      <c r="AG64" s="25" t="str">
        <f>IF(AE64="","",IFERROR(INDEX($AO$11:$AO$4010,MATCH(54,$AZ$11:$AZ$4010,0)),""))</f>
        <v/>
      </c>
      <c r="AH64" s="24" t="str">
        <f>IF(AE64="","",IFERROR(INDEX($AQ$11:$AQ$4010,MATCH(54,$AZ$11:$AZ$4010,0)),""))</f>
        <v/>
      </c>
      <c r="AI64" s="29" t="str">
        <f>IF(AE64="","",IFERROR(INDEX($AR$11:$AR$4010,MATCH(54,$AZ$11:$AZ$4010,0)),""))</f>
        <v/>
      </c>
      <c r="AJ64" s="29" t="str">
        <f>IF(AE64="","",IFERROR(INDEX($AT$11:$AT$4010,MATCH(54,$AZ$11:$AZ$4010,0)),""))</f>
        <v/>
      </c>
      <c r="AL64" s="31" t="str">
        <f t="shared" si="5"/>
        <v/>
      </c>
      <c r="AM64" s="26" t="str">
        <f t="shared" si="6"/>
        <v/>
      </c>
      <c r="AN64" s="32" t="str">
        <f t="shared" si="7"/>
        <v/>
      </c>
      <c r="AO64" s="32" t="str">
        <f t="shared" si="8"/>
        <v/>
      </c>
      <c r="AP64" s="24" t="str">
        <f t="shared" si="9"/>
        <v/>
      </c>
      <c r="AQ64" s="24" t="str">
        <f t="shared" si="10"/>
        <v/>
      </c>
      <c r="AR64" s="33" t="str">
        <f t="shared" si="11"/>
        <v/>
      </c>
      <c r="AS64" s="34"/>
      <c r="AT64" s="33"/>
      <c r="AV64" s="21">
        <f>IF(AND($AL64&lt;&gt;"",COUNTIF($AL$11:$AL64,$AL64)=1),1,0)</f>
        <v>0</v>
      </c>
      <c r="AW64" s="21">
        <f t="shared" si="13"/>
        <v>0</v>
      </c>
      <c r="AX64" s="21" t="str">
        <f t="shared" si="12"/>
        <v/>
      </c>
      <c r="AY64" s="21" t="str">
        <f>IF(AND($AM64&lt;&gt;"",$AS64&lt;&gt;"✓"),SUMPRODUCT(($AM$11:$AM64&lt;&gt;"")*($AS$11:$AS64&lt;&gt;"✓")),"")</f>
        <v/>
      </c>
      <c r="AZ64" s="21" t="str">
        <f>IF(AND($AM64&lt;&gt;"",$AS64="✓"),SUMPRODUCT(($AM$11:$AM64&lt;&gt;"")*($AS$11:$AS64="✓")),"")</f>
        <v/>
      </c>
      <c r="BA64" s="21" t="str">
        <f>IF($AL64="","",$AL64&amp;"|"&amp;COUNTIF($AL$11:$AL64,$AL64))</f>
        <v/>
      </c>
      <c r="BD64" s="36" t="str">
        <f>IF(IFERROR(INDEX($AM$11:$AM$4010,MATCH($S$8&amp;"|"&amp;52,$BA$11:$BA$4010,0)),"")="","",52)</f>
        <v/>
      </c>
      <c r="BE64" s="36" t="str">
        <f>IFERROR(INDEX($AM$11:$AM$4010,MATCH($S$8&amp;"|"&amp;52,$BA$11:$BA$4010,0)),"")</f>
        <v/>
      </c>
      <c r="BF64" s="36" t="str">
        <f>IFERROR(INDEX($AP$11:$AP$4010,MATCH($S$8&amp;"|"&amp;52,$BA$11:$BA$4010,0)),"")</f>
        <v/>
      </c>
      <c r="BG64" s="36" t="str">
        <f>IFERROR(INDEX($AQ$11:$AQ$4010,MATCH($S$8&amp;"|"&amp;52,$BA$11:$BA$4010,0)),"")</f>
        <v/>
      </c>
      <c r="BH64" s="37" t="str">
        <f>IFERROR(INDEX($AN$11:$AN$4010,MATCH($S$8&amp;"|"&amp;52,$BA$11:$BA$4010,0)),"")</f>
        <v/>
      </c>
      <c r="BI64" s="37" t="str">
        <f>IFERROR(INDEX($AO$11:$AO$4010,MATCH($S$8&amp;"|"&amp;52,$BA$11:$BA$4010,0)),"")</f>
        <v/>
      </c>
      <c r="BL64" s="36" t="str">
        <f>IF(IFERROR(INDEX($AM$11:$AM$4010,MATCH($S$8&amp;"|"&amp;52,$BA$11:$BA$4010,0)),"")="","",52)</f>
        <v/>
      </c>
      <c r="BM64" s="36" t="str">
        <f>IFERROR(INDEX($AM$11:$AM$4010,MATCH($S$8&amp;"|"&amp;52,$BA$11:$BA$4010,0)),"")</f>
        <v/>
      </c>
      <c r="BN64" s="36" t="str">
        <f>IFERROR(INDEX($AP$11:$AP$4010,MATCH($S$8&amp;"|"&amp;52,$BA$11:$BA$4010,0)),"")</f>
        <v/>
      </c>
      <c r="BO64" s="36" t="str">
        <f>IFERROR(INDEX($AQ$11:$AQ$4010,MATCH($S$8&amp;"|"&amp;52,$BA$11:$BA$4010,0)),"")</f>
        <v/>
      </c>
      <c r="BP64" s="37" t="str">
        <f>IFERROR(INDEX($AN$11:$AN$4010,MATCH($S$8&amp;"|"&amp;52,$BA$11:$BA$4010,0)),"")</f>
        <v/>
      </c>
      <c r="BQ64" s="37" t="str">
        <f>IFERROR(INDEX($AO$11:$AO$4010,MATCH($S$8&amp;"|"&amp;52,$BA$11:$BA$4010,0)),"")</f>
        <v/>
      </c>
    </row>
    <row r="65" spans="2:69" ht="13.5" customHeight="1" x14ac:dyDescent="0.25">
      <c r="B65" s="5" t="str">
        <f t="shared" si="0"/>
        <v/>
      </c>
      <c r="C65" s="5"/>
      <c r="D65" s="5"/>
      <c r="E65" s="5"/>
      <c r="F65" s="6"/>
      <c r="G65" s="6"/>
      <c r="H65" s="7"/>
      <c r="I65" s="8"/>
      <c r="K65" s="9" t="str">
        <f>IFERROR(INDEX($AL$11:$AL$4010,MATCH(55,$AX$11:$AX$4010,0)),"")</f>
        <v/>
      </c>
      <c r="L65" s="10" t="str">
        <f t="shared" si="1"/>
        <v/>
      </c>
      <c r="M65" s="11" t="str">
        <f t="shared" si="2"/>
        <v/>
      </c>
      <c r="N65" s="11" t="str">
        <f t="shared" si="3"/>
        <v/>
      </c>
      <c r="P65" s="12" t="str">
        <f>IFERROR(INDEX($AM$11:$AM$4010,MATCH($S$8&amp;"|"&amp;55,$BA$11:$BA$4010,0)),"")</f>
        <v/>
      </c>
      <c r="Q65" s="11" t="str">
        <f>IF(P65="","",IFERROR(INDEX($AN$11:$AN$4010,MATCH($S$8&amp;"|"&amp;55,$BA$11:$BA$4010,0)),""))</f>
        <v/>
      </c>
      <c r="R65" s="11" t="str">
        <f>IF(P65="","",IFERROR(INDEX($AO$11:$AO$4010,MATCH($S$8&amp;"|"&amp;55,$BA$11:$BA$4010,0)),""))</f>
        <v/>
      </c>
      <c r="S65" s="10" t="str">
        <f>IF(P65="","",IFERROR(INDEX($AP$11:$AP$4010,MATCH($S$8&amp;"|"&amp;55,$BA$11:$BA$4010,0)),""))</f>
        <v/>
      </c>
      <c r="T65" s="10" t="str">
        <f>IF(P65="","",IFERROR(INDEX($AQ$11:$AQ$4010,MATCH($S$8&amp;"|"&amp;55,$BA$11:$BA$4010,0)),""))</f>
        <v/>
      </c>
      <c r="U65" s="39" t="str">
        <f t="shared" si="14"/>
        <v/>
      </c>
      <c r="W65" s="14" t="str">
        <f>IF(X65="","",IFERROR(INDEX($AL$11:$AL$4010,MATCH(55,$AY$11:$AY$4010,0)),""))</f>
        <v/>
      </c>
      <c r="X65" s="12" t="str">
        <f>IFERROR(INDEX($AM$11:$AM$4010,MATCH(55,$AY$11:$AY$4010,0)),"")</f>
        <v/>
      </c>
      <c r="Y65" s="11" t="str">
        <f>IF(X65="","",IFERROR(INDEX($AN$11:$AN$4010,MATCH(55,$AY$11:$AY$4010,0)),""))</f>
        <v/>
      </c>
      <c r="Z65" s="11" t="str">
        <f>IF(X65="","",IFERROR(INDEX($AO$11:$AO$4010,MATCH(55,$AY$11:$AY$4010,0)),""))</f>
        <v/>
      </c>
      <c r="AA65" s="10" t="str">
        <f>IF(X65="","",IFERROR(INDEX($AQ$11:$AQ$4010,MATCH(55,$AY$11:$AY$4010,0)),""))</f>
        <v/>
      </c>
      <c r="AB65" s="15" t="str">
        <f>IF(X65="","",IFERROR(INDEX($AR$11:$AR$4010,MATCH(55,$AY$11:$AY$4010,0)),""))</f>
        <v/>
      </c>
      <c r="AD65" s="16" t="str">
        <f>IF(AE65="","",IFERROR(INDEX($AL$11:$AL$4010,MATCH(55,$AZ$11:$AZ$4010,0)),""))</f>
        <v/>
      </c>
      <c r="AE65" s="12" t="str">
        <f>IFERROR(INDEX($AM$11:$AM$4010,MATCH(55,$AZ$11:$AZ$4010,0)),"")</f>
        <v/>
      </c>
      <c r="AF65" s="11" t="str">
        <f>IF(AE65="","",IFERROR(INDEX($AN$11:$AN$4010,MATCH(55,$AZ$11:$AZ$4010,0)),""))</f>
        <v/>
      </c>
      <c r="AG65" s="11" t="str">
        <f>IF(AE65="","",IFERROR(INDEX($AO$11:$AO$4010,MATCH(55,$AZ$11:$AZ$4010,0)),""))</f>
        <v/>
      </c>
      <c r="AH65" s="10" t="str">
        <f>IF(AE65="","",IFERROR(INDEX($AQ$11:$AQ$4010,MATCH(55,$AZ$11:$AZ$4010,0)),""))</f>
        <v/>
      </c>
      <c r="AI65" s="15" t="str">
        <f>IF(AE65="","",IFERROR(INDEX($AR$11:$AR$4010,MATCH(55,$AZ$11:$AZ$4010,0)),""))</f>
        <v/>
      </c>
      <c r="AJ65" s="15" t="str">
        <f>IF(AE65="","",IFERROR(INDEX($AT$11:$AT$4010,MATCH(55,$AZ$11:$AZ$4010,0)),""))</f>
        <v/>
      </c>
      <c r="AL65" s="17" t="str">
        <f t="shared" si="5"/>
        <v/>
      </c>
      <c r="AM65" s="12" t="str">
        <f t="shared" si="6"/>
        <v/>
      </c>
      <c r="AN65" s="18" t="str">
        <f t="shared" si="7"/>
        <v/>
      </c>
      <c r="AO65" s="18" t="str">
        <f t="shared" si="8"/>
        <v/>
      </c>
      <c r="AP65" s="10" t="str">
        <f t="shared" si="9"/>
        <v/>
      </c>
      <c r="AQ65" s="10" t="str">
        <f t="shared" si="10"/>
        <v/>
      </c>
      <c r="AR65" s="19" t="str">
        <f t="shared" si="11"/>
        <v/>
      </c>
      <c r="AS65" s="20"/>
      <c r="AT65" s="19"/>
      <c r="AV65" s="21">
        <f>IF(AND($AL65&lt;&gt;"",COUNTIF($AL$11:$AL65,$AL65)=1),1,0)</f>
        <v>0</v>
      </c>
      <c r="AW65" s="21">
        <f t="shared" si="13"/>
        <v>0</v>
      </c>
      <c r="AX65" s="21" t="str">
        <f t="shared" si="12"/>
        <v/>
      </c>
      <c r="AY65" s="21" t="str">
        <f>IF(AND($AM65&lt;&gt;"",$AS65&lt;&gt;"✓"),SUMPRODUCT(($AM$11:$AM65&lt;&gt;"")*($AS$11:$AS65&lt;&gt;"✓")),"")</f>
        <v/>
      </c>
      <c r="AZ65" s="21" t="str">
        <f>IF(AND($AM65&lt;&gt;"",$AS65="✓"),SUMPRODUCT(($AM$11:$AM65&lt;&gt;"")*($AS$11:$AS65="✓")),"")</f>
        <v/>
      </c>
      <c r="BA65" s="21" t="str">
        <f>IF($AL65="","",$AL65&amp;"|"&amp;COUNTIF($AL$11:$AL65,$AL65))</f>
        <v/>
      </c>
      <c r="BD65" s="36" t="str">
        <f>IF(IFERROR(INDEX($AM$11:$AM$4010,MATCH($S$8&amp;"|"&amp;53,$BA$11:$BA$4010,0)),"")="","",53)</f>
        <v/>
      </c>
      <c r="BE65" s="36" t="str">
        <f>IFERROR(INDEX($AM$11:$AM$4010,MATCH($S$8&amp;"|"&amp;53,$BA$11:$BA$4010,0)),"")</f>
        <v/>
      </c>
      <c r="BF65" s="36" t="str">
        <f>IFERROR(INDEX($AP$11:$AP$4010,MATCH($S$8&amp;"|"&amp;53,$BA$11:$BA$4010,0)),"")</f>
        <v/>
      </c>
      <c r="BG65" s="36" t="str">
        <f>IFERROR(INDEX($AQ$11:$AQ$4010,MATCH($S$8&amp;"|"&amp;53,$BA$11:$BA$4010,0)),"")</f>
        <v/>
      </c>
      <c r="BH65" s="37" t="str">
        <f>IFERROR(INDEX($AN$11:$AN$4010,MATCH($S$8&amp;"|"&amp;53,$BA$11:$BA$4010,0)),"")</f>
        <v/>
      </c>
      <c r="BI65" s="37" t="str">
        <f>IFERROR(INDEX($AO$11:$AO$4010,MATCH($S$8&amp;"|"&amp;53,$BA$11:$BA$4010,0)),"")</f>
        <v/>
      </c>
      <c r="BL65" s="36" t="str">
        <f>IF(IFERROR(INDEX($AM$11:$AM$4010,MATCH($S$8&amp;"|"&amp;53,$BA$11:$BA$4010,0)),"")="","",53)</f>
        <v/>
      </c>
      <c r="BM65" s="36" t="str">
        <f>IFERROR(INDEX($AM$11:$AM$4010,MATCH($S$8&amp;"|"&amp;53,$BA$11:$BA$4010,0)),"")</f>
        <v/>
      </c>
      <c r="BN65" s="36" t="str">
        <f>IFERROR(INDEX($AP$11:$AP$4010,MATCH($S$8&amp;"|"&amp;53,$BA$11:$BA$4010,0)),"")</f>
        <v/>
      </c>
      <c r="BO65" s="36" t="str">
        <f>IFERROR(INDEX($AQ$11:$AQ$4010,MATCH($S$8&amp;"|"&amp;53,$BA$11:$BA$4010,0)),"")</f>
        <v/>
      </c>
      <c r="BP65" s="37" t="str">
        <f>IFERROR(INDEX($AN$11:$AN$4010,MATCH($S$8&amp;"|"&amp;53,$BA$11:$BA$4010,0)),"")</f>
        <v/>
      </c>
      <c r="BQ65" s="37" t="str">
        <f>IFERROR(INDEX($AO$11:$AO$4010,MATCH($S$8&amp;"|"&amp;53,$BA$11:$BA$4010,0)),"")</f>
        <v/>
      </c>
    </row>
    <row r="66" spans="2:69" ht="13.5" customHeight="1" x14ac:dyDescent="0.25">
      <c r="B66" s="5" t="str">
        <f t="shared" si="0"/>
        <v/>
      </c>
      <c r="C66" s="5"/>
      <c r="D66" s="5"/>
      <c r="E66" s="5"/>
      <c r="F66" s="6"/>
      <c r="G66" s="6"/>
      <c r="H66" s="7"/>
      <c r="I66" s="8"/>
      <c r="K66" s="23" t="str">
        <f>IFERROR(INDEX($AL$11:$AL$4010,MATCH(56,$AX$11:$AX$4010,0)),"")</f>
        <v/>
      </c>
      <c r="L66" s="24" t="str">
        <f t="shared" si="1"/>
        <v/>
      </c>
      <c r="M66" s="25" t="str">
        <f t="shared" si="2"/>
        <v/>
      </c>
      <c r="N66" s="25" t="str">
        <f t="shared" si="3"/>
        <v/>
      </c>
      <c r="P66" s="26" t="str">
        <f>IFERROR(INDEX($AM$11:$AM$4010,MATCH($S$8&amp;"|"&amp;56,$BA$11:$BA$4010,0)),"")</f>
        <v/>
      </c>
      <c r="Q66" s="25" t="str">
        <f>IF(P66="","",IFERROR(INDEX($AN$11:$AN$4010,MATCH($S$8&amp;"|"&amp;56,$BA$11:$BA$4010,0)),""))</f>
        <v/>
      </c>
      <c r="R66" s="25" t="str">
        <f>IF(P66="","",IFERROR(INDEX($AO$11:$AO$4010,MATCH($S$8&amp;"|"&amp;56,$BA$11:$BA$4010,0)),""))</f>
        <v/>
      </c>
      <c r="S66" s="24" t="str">
        <f>IF(P66="","",IFERROR(INDEX($AP$11:$AP$4010,MATCH($S$8&amp;"|"&amp;56,$BA$11:$BA$4010,0)),""))</f>
        <v/>
      </c>
      <c r="T66" s="24" t="str">
        <f>IF(P66="","",IFERROR(INDEX($AQ$11:$AQ$4010,MATCH($S$8&amp;"|"&amp;56,$BA$11:$BA$4010,0)),""))</f>
        <v/>
      </c>
      <c r="U66" s="38" t="str">
        <f t="shared" si="14"/>
        <v/>
      </c>
      <c r="W66" s="28" t="str">
        <f>IF(X66="","",IFERROR(INDEX($AL$11:$AL$4010,MATCH(56,$AY$11:$AY$4010,0)),""))</f>
        <v/>
      </c>
      <c r="X66" s="26" t="str">
        <f>IFERROR(INDEX($AM$11:$AM$4010,MATCH(56,$AY$11:$AY$4010,0)),"")</f>
        <v/>
      </c>
      <c r="Y66" s="25" t="str">
        <f>IF(X66="","",IFERROR(INDEX($AN$11:$AN$4010,MATCH(56,$AY$11:$AY$4010,0)),""))</f>
        <v/>
      </c>
      <c r="Z66" s="25" t="str">
        <f>IF(X66="","",IFERROR(INDEX($AO$11:$AO$4010,MATCH(56,$AY$11:$AY$4010,0)),""))</f>
        <v/>
      </c>
      <c r="AA66" s="24" t="str">
        <f>IF(X66="","",IFERROR(INDEX($AQ$11:$AQ$4010,MATCH(56,$AY$11:$AY$4010,0)),""))</f>
        <v/>
      </c>
      <c r="AB66" s="29" t="str">
        <f>IF(X66="","",IFERROR(INDEX($AR$11:$AR$4010,MATCH(56,$AY$11:$AY$4010,0)),""))</f>
        <v/>
      </c>
      <c r="AD66" s="30" t="str">
        <f>IF(AE66="","",IFERROR(INDEX($AL$11:$AL$4010,MATCH(56,$AZ$11:$AZ$4010,0)),""))</f>
        <v/>
      </c>
      <c r="AE66" s="26" t="str">
        <f>IFERROR(INDEX($AM$11:$AM$4010,MATCH(56,$AZ$11:$AZ$4010,0)),"")</f>
        <v/>
      </c>
      <c r="AF66" s="25" t="str">
        <f>IF(AE66="","",IFERROR(INDEX($AN$11:$AN$4010,MATCH(56,$AZ$11:$AZ$4010,0)),""))</f>
        <v/>
      </c>
      <c r="AG66" s="25" t="str">
        <f>IF(AE66="","",IFERROR(INDEX($AO$11:$AO$4010,MATCH(56,$AZ$11:$AZ$4010,0)),""))</f>
        <v/>
      </c>
      <c r="AH66" s="24" t="str">
        <f>IF(AE66="","",IFERROR(INDEX($AQ$11:$AQ$4010,MATCH(56,$AZ$11:$AZ$4010,0)),""))</f>
        <v/>
      </c>
      <c r="AI66" s="29" t="str">
        <f>IF(AE66="","",IFERROR(INDEX($AR$11:$AR$4010,MATCH(56,$AZ$11:$AZ$4010,0)),""))</f>
        <v/>
      </c>
      <c r="AJ66" s="29" t="str">
        <f>IF(AE66="","",IFERROR(INDEX($AT$11:$AT$4010,MATCH(56,$AZ$11:$AZ$4010,0)),""))</f>
        <v/>
      </c>
      <c r="AL66" s="31" t="str">
        <f t="shared" si="5"/>
        <v/>
      </c>
      <c r="AM66" s="26" t="str">
        <f t="shared" si="6"/>
        <v/>
      </c>
      <c r="AN66" s="32" t="str">
        <f t="shared" si="7"/>
        <v/>
      </c>
      <c r="AO66" s="32" t="str">
        <f t="shared" si="8"/>
        <v/>
      </c>
      <c r="AP66" s="24" t="str">
        <f t="shared" si="9"/>
        <v/>
      </c>
      <c r="AQ66" s="24" t="str">
        <f t="shared" si="10"/>
        <v/>
      </c>
      <c r="AR66" s="33" t="str">
        <f t="shared" si="11"/>
        <v/>
      </c>
      <c r="AS66" s="34"/>
      <c r="AT66" s="33"/>
      <c r="AV66" s="21">
        <f>IF(AND($AL66&lt;&gt;"",COUNTIF($AL$11:$AL66,$AL66)=1),1,0)</f>
        <v>0</v>
      </c>
      <c r="AW66" s="21">
        <f t="shared" si="13"/>
        <v>0</v>
      </c>
      <c r="AX66" s="21" t="str">
        <f t="shared" si="12"/>
        <v/>
      </c>
      <c r="AY66" s="21" t="str">
        <f>IF(AND($AM66&lt;&gt;"",$AS66&lt;&gt;"✓"),SUMPRODUCT(($AM$11:$AM66&lt;&gt;"")*($AS$11:$AS66&lt;&gt;"✓")),"")</f>
        <v/>
      </c>
      <c r="AZ66" s="21" t="str">
        <f>IF(AND($AM66&lt;&gt;"",$AS66="✓"),SUMPRODUCT(($AM$11:$AM66&lt;&gt;"")*($AS$11:$AS66="✓")),"")</f>
        <v/>
      </c>
      <c r="BA66" s="21" t="str">
        <f>IF($AL66="","",$AL66&amp;"|"&amp;COUNTIF($AL$11:$AL66,$AL66))</f>
        <v/>
      </c>
      <c r="BD66" s="36" t="str">
        <f>IF(IFERROR(INDEX($AM$11:$AM$4010,MATCH($S$8&amp;"|"&amp;54,$BA$11:$BA$4010,0)),"")="","",54)</f>
        <v/>
      </c>
      <c r="BE66" s="36" t="str">
        <f>IFERROR(INDEX($AM$11:$AM$4010,MATCH($S$8&amp;"|"&amp;54,$BA$11:$BA$4010,0)),"")</f>
        <v/>
      </c>
      <c r="BF66" s="36" t="str">
        <f>IFERROR(INDEX($AP$11:$AP$4010,MATCH($S$8&amp;"|"&amp;54,$BA$11:$BA$4010,0)),"")</f>
        <v/>
      </c>
      <c r="BG66" s="36" t="str">
        <f>IFERROR(INDEX($AQ$11:$AQ$4010,MATCH($S$8&amp;"|"&amp;54,$BA$11:$BA$4010,0)),"")</f>
        <v/>
      </c>
      <c r="BH66" s="37" t="str">
        <f>IFERROR(INDEX($AN$11:$AN$4010,MATCH($S$8&amp;"|"&amp;54,$BA$11:$BA$4010,0)),"")</f>
        <v/>
      </c>
      <c r="BI66" s="37" t="str">
        <f>IFERROR(INDEX($AO$11:$AO$4010,MATCH($S$8&amp;"|"&amp;54,$BA$11:$BA$4010,0)),"")</f>
        <v/>
      </c>
      <c r="BL66" s="36" t="str">
        <f>IF(IFERROR(INDEX($AM$11:$AM$4010,MATCH($S$8&amp;"|"&amp;54,$BA$11:$BA$4010,0)),"")="","",54)</f>
        <v/>
      </c>
      <c r="BM66" s="36" t="str">
        <f>IFERROR(INDEX($AM$11:$AM$4010,MATCH($S$8&amp;"|"&amp;54,$BA$11:$BA$4010,0)),"")</f>
        <v/>
      </c>
      <c r="BN66" s="36" t="str">
        <f>IFERROR(INDEX($AP$11:$AP$4010,MATCH($S$8&amp;"|"&amp;54,$BA$11:$BA$4010,0)),"")</f>
        <v/>
      </c>
      <c r="BO66" s="36" t="str">
        <f>IFERROR(INDEX($AQ$11:$AQ$4010,MATCH($S$8&amp;"|"&amp;54,$BA$11:$BA$4010,0)),"")</f>
        <v/>
      </c>
      <c r="BP66" s="37" t="str">
        <f>IFERROR(INDEX($AN$11:$AN$4010,MATCH($S$8&amp;"|"&amp;54,$BA$11:$BA$4010,0)),"")</f>
        <v/>
      </c>
      <c r="BQ66" s="37" t="str">
        <f>IFERROR(INDEX($AO$11:$AO$4010,MATCH($S$8&amp;"|"&amp;54,$BA$11:$BA$4010,0)),"")</f>
        <v/>
      </c>
    </row>
    <row r="67" spans="2:69" ht="13.5" customHeight="1" x14ac:dyDescent="0.25">
      <c r="B67" s="5" t="str">
        <f t="shared" si="0"/>
        <v/>
      </c>
      <c r="C67" s="5"/>
      <c r="D67" s="5"/>
      <c r="E67" s="5"/>
      <c r="F67" s="6"/>
      <c r="G67" s="6"/>
      <c r="H67" s="7"/>
      <c r="I67" s="8"/>
      <c r="K67" s="9" t="str">
        <f>IFERROR(INDEX($AL$11:$AL$4010,MATCH(57,$AX$11:$AX$4010,0)),"")</f>
        <v/>
      </c>
      <c r="L67" s="10" t="str">
        <f t="shared" si="1"/>
        <v/>
      </c>
      <c r="M67" s="11" t="str">
        <f t="shared" si="2"/>
        <v/>
      </c>
      <c r="N67" s="11" t="str">
        <f t="shared" si="3"/>
        <v/>
      </c>
      <c r="P67" s="12" t="str">
        <f>IFERROR(INDEX($AM$11:$AM$4010,MATCH($S$8&amp;"|"&amp;57,$BA$11:$BA$4010,0)),"")</f>
        <v/>
      </c>
      <c r="Q67" s="11" t="str">
        <f>IF(P67="","",IFERROR(INDEX($AN$11:$AN$4010,MATCH($S$8&amp;"|"&amp;57,$BA$11:$BA$4010,0)),""))</f>
        <v/>
      </c>
      <c r="R67" s="11" t="str">
        <f>IF(P67="","",IFERROR(INDEX($AO$11:$AO$4010,MATCH($S$8&amp;"|"&amp;57,$BA$11:$BA$4010,0)),""))</f>
        <v/>
      </c>
      <c r="S67" s="10" t="str">
        <f>IF(P67="","",IFERROR(INDEX($AP$11:$AP$4010,MATCH($S$8&amp;"|"&amp;57,$BA$11:$BA$4010,0)),""))</f>
        <v/>
      </c>
      <c r="T67" s="10" t="str">
        <f>IF(P67="","",IFERROR(INDEX($AQ$11:$AQ$4010,MATCH($S$8&amp;"|"&amp;57,$BA$11:$BA$4010,0)),""))</f>
        <v/>
      </c>
      <c r="U67" s="39" t="str">
        <f t="shared" si="14"/>
        <v/>
      </c>
      <c r="W67" s="14" t="str">
        <f>IF(X67="","",IFERROR(INDEX($AL$11:$AL$4010,MATCH(57,$AY$11:$AY$4010,0)),""))</f>
        <v/>
      </c>
      <c r="X67" s="12" t="str">
        <f>IFERROR(INDEX($AM$11:$AM$4010,MATCH(57,$AY$11:$AY$4010,0)),"")</f>
        <v/>
      </c>
      <c r="Y67" s="11" t="str">
        <f>IF(X67="","",IFERROR(INDEX($AN$11:$AN$4010,MATCH(57,$AY$11:$AY$4010,0)),""))</f>
        <v/>
      </c>
      <c r="Z67" s="11" t="str">
        <f>IF(X67="","",IFERROR(INDEX($AO$11:$AO$4010,MATCH(57,$AY$11:$AY$4010,0)),""))</f>
        <v/>
      </c>
      <c r="AA67" s="10" t="str">
        <f>IF(X67="","",IFERROR(INDEX($AQ$11:$AQ$4010,MATCH(57,$AY$11:$AY$4010,0)),""))</f>
        <v/>
      </c>
      <c r="AB67" s="15" t="str">
        <f>IF(X67="","",IFERROR(INDEX($AR$11:$AR$4010,MATCH(57,$AY$11:$AY$4010,0)),""))</f>
        <v/>
      </c>
      <c r="AD67" s="16" t="str">
        <f>IF(AE67="","",IFERROR(INDEX($AL$11:$AL$4010,MATCH(57,$AZ$11:$AZ$4010,0)),""))</f>
        <v/>
      </c>
      <c r="AE67" s="12" t="str">
        <f>IFERROR(INDEX($AM$11:$AM$4010,MATCH(57,$AZ$11:$AZ$4010,0)),"")</f>
        <v/>
      </c>
      <c r="AF67" s="11" t="str">
        <f>IF(AE67="","",IFERROR(INDEX($AN$11:$AN$4010,MATCH(57,$AZ$11:$AZ$4010,0)),""))</f>
        <v/>
      </c>
      <c r="AG67" s="11" t="str">
        <f>IF(AE67="","",IFERROR(INDEX($AO$11:$AO$4010,MATCH(57,$AZ$11:$AZ$4010,0)),""))</f>
        <v/>
      </c>
      <c r="AH67" s="10" t="str">
        <f>IF(AE67="","",IFERROR(INDEX($AQ$11:$AQ$4010,MATCH(57,$AZ$11:$AZ$4010,0)),""))</f>
        <v/>
      </c>
      <c r="AI67" s="15" t="str">
        <f>IF(AE67="","",IFERROR(INDEX($AR$11:$AR$4010,MATCH(57,$AZ$11:$AZ$4010,0)),""))</f>
        <v/>
      </c>
      <c r="AJ67" s="15" t="str">
        <f>IF(AE67="","",IFERROR(INDEX($AT$11:$AT$4010,MATCH(57,$AZ$11:$AZ$4010,0)),""))</f>
        <v/>
      </c>
      <c r="AL67" s="17" t="str">
        <f t="shared" si="5"/>
        <v/>
      </c>
      <c r="AM67" s="12" t="str">
        <f t="shared" si="6"/>
        <v/>
      </c>
      <c r="AN67" s="18" t="str">
        <f t="shared" si="7"/>
        <v/>
      </c>
      <c r="AO67" s="18" t="str">
        <f t="shared" si="8"/>
        <v/>
      </c>
      <c r="AP67" s="10" t="str">
        <f t="shared" si="9"/>
        <v/>
      </c>
      <c r="AQ67" s="10" t="str">
        <f t="shared" si="10"/>
        <v/>
      </c>
      <c r="AR67" s="19" t="str">
        <f t="shared" si="11"/>
        <v/>
      </c>
      <c r="AS67" s="20"/>
      <c r="AT67" s="19"/>
      <c r="AV67" s="21">
        <f>IF(AND($AL67&lt;&gt;"",COUNTIF($AL$11:$AL67,$AL67)=1),1,0)</f>
        <v>0</v>
      </c>
      <c r="AW67" s="21">
        <f t="shared" si="13"/>
        <v>0</v>
      </c>
      <c r="AX67" s="21" t="str">
        <f t="shared" si="12"/>
        <v/>
      </c>
      <c r="AY67" s="21" t="str">
        <f>IF(AND($AM67&lt;&gt;"",$AS67&lt;&gt;"✓"),SUMPRODUCT(($AM$11:$AM67&lt;&gt;"")*($AS$11:$AS67&lt;&gt;"✓")),"")</f>
        <v/>
      </c>
      <c r="AZ67" s="21" t="str">
        <f>IF(AND($AM67&lt;&gt;"",$AS67="✓"),SUMPRODUCT(($AM$11:$AM67&lt;&gt;"")*($AS$11:$AS67="✓")),"")</f>
        <v/>
      </c>
      <c r="BA67" s="21" t="str">
        <f>IF($AL67="","",$AL67&amp;"|"&amp;COUNTIF($AL$11:$AL67,$AL67))</f>
        <v/>
      </c>
      <c r="BD67" s="36" t="str">
        <f>IF(IFERROR(INDEX($AM$11:$AM$4010,MATCH($S$8&amp;"|"&amp;55,$BA$11:$BA$4010,0)),"")="","",55)</f>
        <v/>
      </c>
      <c r="BE67" s="36" t="str">
        <f>IFERROR(INDEX($AM$11:$AM$4010,MATCH($S$8&amp;"|"&amp;55,$BA$11:$BA$4010,0)),"")</f>
        <v/>
      </c>
      <c r="BF67" s="36" t="str">
        <f>IFERROR(INDEX($AP$11:$AP$4010,MATCH($S$8&amp;"|"&amp;55,$BA$11:$BA$4010,0)),"")</f>
        <v/>
      </c>
      <c r="BG67" s="36" t="str">
        <f>IFERROR(INDEX($AQ$11:$AQ$4010,MATCH($S$8&amp;"|"&amp;55,$BA$11:$BA$4010,0)),"")</f>
        <v/>
      </c>
      <c r="BH67" s="37" t="str">
        <f>IFERROR(INDEX($AN$11:$AN$4010,MATCH($S$8&amp;"|"&amp;55,$BA$11:$BA$4010,0)),"")</f>
        <v/>
      </c>
      <c r="BI67" s="37" t="str">
        <f>IFERROR(INDEX($AO$11:$AO$4010,MATCH($S$8&amp;"|"&amp;55,$BA$11:$BA$4010,0)),"")</f>
        <v/>
      </c>
      <c r="BL67" s="36" t="str">
        <f>IF(IFERROR(INDEX($AM$11:$AM$4010,MATCH($S$8&amp;"|"&amp;55,$BA$11:$BA$4010,0)),"")="","",55)</f>
        <v/>
      </c>
      <c r="BM67" s="36" t="str">
        <f>IFERROR(INDEX($AM$11:$AM$4010,MATCH($S$8&amp;"|"&amp;55,$BA$11:$BA$4010,0)),"")</f>
        <v/>
      </c>
      <c r="BN67" s="36" t="str">
        <f>IFERROR(INDEX($AP$11:$AP$4010,MATCH($S$8&amp;"|"&amp;55,$BA$11:$BA$4010,0)),"")</f>
        <v/>
      </c>
      <c r="BO67" s="36" t="str">
        <f>IFERROR(INDEX($AQ$11:$AQ$4010,MATCH($S$8&amp;"|"&amp;55,$BA$11:$BA$4010,0)),"")</f>
        <v/>
      </c>
      <c r="BP67" s="37" t="str">
        <f>IFERROR(INDEX($AN$11:$AN$4010,MATCH($S$8&amp;"|"&amp;55,$BA$11:$BA$4010,0)),"")</f>
        <v/>
      </c>
      <c r="BQ67" s="37" t="str">
        <f>IFERROR(INDEX($AO$11:$AO$4010,MATCH($S$8&amp;"|"&amp;55,$BA$11:$BA$4010,0)),"")</f>
        <v/>
      </c>
    </row>
    <row r="68" spans="2:69" ht="13.5" customHeight="1" x14ac:dyDescent="0.25">
      <c r="B68" s="5" t="str">
        <f t="shared" si="0"/>
        <v/>
      </c>
      <c r="C68" s="5"/>
      <c r="D68" s="5"/>
      <c r="E68" s="5"/>
      <c r="F68" s="6"/>
      <c r="G68" s="6"/>
      <c r="H68" s="7"/>
      <c r="I68" s="8"/>
      <c r="K68" s="23" t="str">
        <f>IFERROR(INDEX($AL$11:$AL$4010,MATCH(58,$AX$11:$AX$4010,0)),"")</f>
        <v/>
      </c>
      <c r="L68" s="24" t="str">
        <f t="shared" si="1"/>
        <v/>
      </c>
      <c r="M68" s="25" t="str">
        <f t="shared" si="2"/>
        <v/>
      </c>
      <c r="N68" s="25" t="str">
        <f t="shared" si="3"/>
        <v/>
      </c>
      <c r="P68" s="26" t="str">
        <f>IFERROR(INDEX($AM$11:$AM$4010,MATCH($S$8&amp;"|"&amp;58,$BA$11:$BA$4010,0)),"")</f>
        <v/>
      </c>
      <c r="Q68" s="25" t="str">
        <f>IF(P68="","",IFERROR(INDEX($AN$11:$AN$4010,MATCH($S$8&amp;"|"&amp;58,$BA$11:$BA$4010,0)),""))</f>
        <v/>
      </c>
      <c r="R68" s="25" t="str">
        <f>IF(P68="","",IFERROR(INDEX($AO$11:$AO$4010,MATCH($S$8&amp;"|"&amp;58,$BA$11:$BA$4010,0)),""))</f>
        <v/>
      </c>
      <c r="S68" s="24" t="str">
        <f>IF(P68="","",IFERROR(INDEX($AP$11:$AP$4010,MATCH($S$8&amp;"|"&amp;58,$BA$11:$BA$4010,0)),""))</f>
        <v/>
      </c>
      <c r="T68" s="24" t="str">
        <f>IF(P68="","",IFERROR(INDEX($AQ$11:$AQ$4010,MATCH($S$8&amp;"|"&amp;58,$BA$11:$BA$4010,0)),""))</f>
        <v/>
      </c>
      <c r="U68" s="38" t="str">
        <f t="shared" si="14"/>
        <v/>
      </c>
      <c r="W68" s="28" t="str">
        <f>IF(X68="","",IFERROR(INDEX($AL$11:$AL$4010,MATCH(58,$AY$11:$AY$4010,0)),""))</f>
        <v/>
      </c>
      <c r="X68" s="26" t="str">
        <f>IFERROR(INDEX($AM$11:$AM$4010,MATCH(58,$AY$11:$AY$4010,0)),"")</f>
        <v/>
      </c>
      <c r="Y68" s="25" t="str">
        <f>IF(X68="","",IFERROR(INDEX($AN$11:$AN$4010,MATCH(58,$AY$11:$AY$4010,0)),""))</f>
        <v/>
      </c>
      <c r="Z68" s="25" t="str">
        <f>IF(X68="","",IFERROR(INDEX($AO$11:$AO$4010,MATCH(58,$AY$11:$AY$4010,0)),""))</f>
        <v/>
      </c>
      <c r="AA68" s="24" t="str">
        <f>IF(X68="","",IFERROR(INDEX($AQ$11:$AQ$4010,MATCH(58,$AY$11:$AY$4010,0)),""))</f>
        <v/>
      </c>
      <c r="AB68" s="29" t="str">
        <f>IF(X68="","",IFERROR(INDEX($AR$11:$AR$4010,MATCH(58,$AY$11:$AY$4010,0)),""))</f>
        <v/>
      </c>
      <c r="AD68" s="30" t="str">
        <f>IF(AE68="","",IFERROR(INDEX($AL$11:$AL$4010,MATCH(58,$AZ$11:$AZ$4010,0)),""))</f>
        <v/>
      </c>
      <c r="AE68" s="26" t="str">
        <f>IFERROR(INDEX($AM$11:$AM$4010,MATCH(58,$AZ$11:$AZ$4010,0)),"")</f>
        <v/>
      </c>
      <c r="AF68" s="25" t="str">
        <f>IF(AE68="","",IFERROR(INDEX($AN$11:$AN$4010,MATCH(58,$AZ$11:$AZ$4010,0)),""))</f>
        <v/>
      </c>
      <c r="AG68" s="25" t="str">
        <f>IF(AE68="","",IFERROR(INDEX($AO$11:$AO$4010,MATCH(58,$AZ$11:$AZ$4010,0)),""))</f>
        <v/>
      </c>
      <c r="AH68" s="24" t="str">
        <f>IF(AE68="","",IFERROR(INDEX($AQ$11:$AQ$4010,MATCH(58,$AZ$11:$AZ$4010,0)),""))</f>
        <v/>
      </c>
      <c r="AI68" s="29" t="str">
        <f>IF(AE68="","",IFERROR(INDEX($AR$11:$AR$4010,MATCH(58,$AZ$11:$AZ$4010,0)),""))</f>
        <v/>
      </c>
      <c r="AJ68" s="29" t="str">
        <f>IF(AE68="","",IFERROR(INDEX($AT$11:$AT$4010,MATCH(58,$AZ$11:$AZ$4010,0)),""))</f>
        <v/>
      </c>
      <c r="AL68" s="31" t="str">
        <f t="shared" si="5"/>
        <v/>
      </c>
      <c r="AM68" s="26" t="str">
        <f t="shared" si="6"/>
        <v/>
      </c>
      <c r="AN68" s="32" t="str">
        <f t="shared" si="7"/>
        <v/>
      </c>
      <c r="AO68" s="32" t="str">
        <f t="shared" si="8"/>
        <v/>
      </c>
      <c r="AP68" s="24" t="str">
        <f t="shared" si="9"/>
        <v/>
      </c>
      <c r="AQ68" s="24" t="str">
        <f t="shared" si="10"/>
        <v/>
      </c>
      <c r="AR68" s="33" t="str">
        <f t="shared" si="11"/>
        <v/>
      </c>
      <c r="AS68" s="34"/>
      <c r="AT68" s="33"/>
      <c r="AV68" s="21">
        <f>IF(AND($AL68&lt;&gt;"",COUNTIF($AL$11:$AL68,$AL68)=1),1,0)</f>
        <v>0</v>
      </c>
      <c r="AW68" s="21">
        <f t="shared" si="13"/>
        <v>0</v>
      </c>
      <c r="AX68" s="21" t="str">
        <f t="shared" si="12"/>
        <v/>
      </c>
      <c r="AY68" s="21" t="str">
        <f>IF(AND($AM68&lt;&gt;"",$AS68&lt;&gt;"✓"),SUMPRODUCT(($AM$11:$AM68&lt;&gt;"")*($AS$11:$AS68&lt;&gt;"✓")),"")</f>
        <v/>
      </c>
      <c r="AZ68" s="21" t="str">
        <f>IF(AND($AM68&lt;&gt;"",$AS68="✓"),SUMPRODUCT(($AM$11:$AM68&lt;&gt;"")*($AS$11:$AS68="✓")),"")</f>
        <v/>
      </c>
      <c r="BA68" s="21" t="str">
        <f>IF($AL68="","",$AL68&amp;"|"&amp;COUNTIF($AL$11:$AL68,$AL68))</f>
        <v/>
      </c>
      <c r="BD68" s="36" t="str">
        <f>IF(IFERROR(INDEX($AM$11:$AM$4010,MATCH($S$8&amp;"|"&amp;56,$BA$11:$BA$4010,0)),"")="","",56)</f>
        <v/>
      </c>
      <c r="BE68" s="36" t="str">
        <f>IFERROR(INDEX($AM$11:$AM$4010,MATCH($S$8&amp;"|"&amp;56,$BA$11:$BA$4010,0)),"")</f>
        <v/>
      </c>
      <c r="BF68" s="36" t="str">
        <f>IFERROR(INDEX($AP$11:$AP$4010,MATCH($S$8&amp;"|"&amp;56,$BA$11:$BA$4010,0)),"")</f>
        <v/>
      </c>
      <c r="BG68" s="36" t="str">
        <f>IFERROR(INDEX($AQ$11:$AQ$4010,MATCH($S$8&amp;"|"&amp;56,$BA$11:$BA$4010,0)),"")</f>
        <v/>
      </c>
      <c r="BH68" s="37" t="str">
        <f>IFERROR(INDEX($AN$11:$AN$4010,MATCH($S$8&amp;"|"&amp;56,$BA$11:$BA$4010,0)),"")</f>
        <v/>
      </c>
      <c r="BI68" s="37" t="str">
        <f>IFERROR(INDEX($AO$11:$AO$4010,MATCH($S$8&amp;"|"&amp;56,$BA$11:$BA$4010,0)),"")</f>
        <v/>
      </c>
      <c r="BL68" s="36" t="str">
        <f>IF(IFERROR(INDEX($AM$11:$AM$4010,MATCH($S$8&amp;"|"&amp;56,$BA$11:$BA$4010,0)),"")="","",56)</f>
        <v/>
      </c>
      <c r="BM68" s="36" t="str">
        <f>IFERROR(INDEX($AM$11:$AM$4010,MATCH($S$8&amp;"|"&amp;56,$BA$11:$BA$4010,0)),"")</f>
        <v/>
      </c>
      <c r="BN68" s="36" t="str">
        <f>IFERROR(INDEX($AP$11:$AP$4010,MATCH($S$8&amp;"|"&amp;56,$BA$11:$BA$4010,0)),"")</f>
        <v/>
      </c>
      <c r="BO68" s="36" t="str">
        <f>IFERROR(INDEX($AQ$11:$AQ$4010,MATCH($S$8&amp;"|"&amp;56,$BA$11:$BA$4010,0)),"")</f>
        <v/>
      </c>
      <c r="BP68" s="37" t="str">
        <f>IFERROR(INDEX($AN$11:$AN$4010,MATCH($S$8&amp;"|"&amp;56,$BA$11:$BA$4010,0)),"")</f>
        <v/>
      </c>
      <c r="BQ68" s="37" t="str">
        <f>IFERROR(INDEX($AO$11:$AO$4010,MATCH($S$8&amp;"|"&amp;56,$BA$11:$BA$4010,0)),"")</f>
        <v/>
      </c>
    </row>
    <row r="69" spans="2:69" ht="13.5" customHeight="1" x14ac:dyDescent="0.25">
      <c r="B69" s="5" t="str">
        <f t="shared" si="0"/>
        <v/>
      </c>
      <c r="C69" s="5"/>
      <c r="D69" s="5"/>
      <c r="E69" s="5"/>
      <c r="F69" s="6"/>
      <c r="G69" s="6"/>
      <c r="H69" s="7"/>
      <c r="I69" s="8"/>
      <c r="K69" s="9" t="str">
        <f>IFERROR(INDEX($AL$11:$AL$4010,MATCH(59,$AX$11:$AX$4010,0)),"")</f>
        <v/>
      </c>
      <c r="L69" s="10" t="str">
        <f t="shared" si="1"/>
        <v/>
      </c>
      <c r="M69" s="11" t="str">
        <f t="shared" si="2"/>
        <v/>
      </c>
      <c r="N69" s="11" t="str">
        <f t="shared" si="3"/>
        <v/>
      </c>
      <c r="P69" s="12" t="str">
        <f>IFERROR(INDEX($AM$11:$AM$4010,MATCH($S$8&amp;"|"&amp;59,$BA$11:$BA$4010,0)),"")</f>
        <v/>
      </c>
      <c r="Q69" s="11" t="str">
        <f>IF(P69="","",IFERROR(INDEX($AN$11:$AN$4010,MATCH($S$8&amp;"|"&amp;59,$BA$11:$BA$4010,0)),""))</f>
        <v/>
      </c>
      <c r="R69" s="11" t="str">
        <f>IF(P69="","",IFERROR(INDEX($AO$11:$AO$4010,MATCH($S$8&amp;"|"&amp;59,$BA$11:$BA$4010,0)),""))</f>
        <v/>
      </c>
      <c r="S69" s="10" t="str">
        <f>IF(P69="","",IFERROR(INDEX($AP$11:$AP$4010,MATCH($S$8&amp;"|"&amp;59,$BA$11:$BA$4010,0)),""))</f>
        <v/>
      </c>
      <c r="T69" s="10" t="str">
        <f>IF(P69="","",IFERROR(INDEX($AQ$11:$AQ$4010,MATCH($S$8&amp;"|"&amp;59,$BA$11:$BA$4010,0)),""))</f>
        <v/>
      </c>
      <c r="U69" s="39" t="str">
        <f t="shared" si="14"/>
        <v/>
      </c>
      <c r="W69" s="14" t="str">
        <f>IF(X69="","",IFERROR(INDEX($AL$11:$AL$4010,MATCH(59,$AY$11:$AY$4010,0)),""))</f>
        <v/>
      </c>
      <c r="X69" s="12" t="str">
        <f>IFERROR(INDEX($AM$11:$AM$4010,MATCH(59,$AY$11:$AY$4010,0)),"")</f>
        <v/>
      </c>
      <c r="Y69" s="11" t="str">
        <f>IF(X69="","",IFERROR(INDEX($AN$11:$AN$4010,MATCH(59,$AY$11:$AY$4010,0)),""))</f>
        <v/>
      </c>
      <c r="Z69" s="11" t="str">
        <f>IF(X69="","",IFERROR(INDEX($AO$11:$AO$4010,MATCH(59,$AY$11:$AY$4010,0)),""))</f>
        <v/>
      </c>
      <c r="AA69" s="10" t="str">
        <f>IF(X69="","",IFERROR(INDEX($AQ$11:$AQ$4010,MATCH(59,$AY$11:$AY$4010,0)),""))</f>
        <v/>
      </c>
      <c r="AB69" s="15" t="str">
        <f>IF(X69="","",IFERROR(INDEX($AR$11:$AR$4010,MATCH(59,$AY$11:$AY$4010,0)),""))</f>
        <v/>
      </c>
      <c r="AD69" s="16" t="str">
        <f>IF(AE69="","",IFERROR(INDEX($AL$11:$AL$4010,MATCH(59,$AZ$11:$AZ$4010,0)),""))</f>
        <v/>
      </c>
      <c r="AE69" s="12" t="str">
        <f>IFERROR(INDEX($AM$11:$AM$4010,MATCH(59,$AZ$11:$AZ$4010,0)),"")</f>
        <v/>
      </c>
      <c r="AF69" s="11" t="str">
        <f>IF(AE69="","",IFERROR(INDEX($AN$11:$AN$4010,MATCH(59,$AZ$11:$AZ$4010,0)),""))</f>
        <v/>
      </c>
      <c r="AG69" s="11" t="str">
        <f>IF(AE69="","",IFERROR(INDEX($AO$11:$AO$4010,MATCH(59,$AZ$11:$AZ$4010,0)),""))</f>
        <v/>
      </c>
      <c r="AH69" s="10" t="str">
        <f>IF(AE69="","",IFERROR(INDEX($AQ$11:$AQ$4010,MATCH(59,$AZ$11:$AZ$4010,0)),""))</f>
        <v/>
      </c>
      <c r="AI69" s="15" t="str">
        <f>IF(AE69="","",IFERROR(INDEX($AR$11:$AR$4010,MATCH(59,$AZ$11:$AZ$4010,0)),""))</f>
        <v/>
      </c>
      <c r="AJ69" s="15" t="str">
        <f>IF(AE69="","",IFERROR(INDEX($AT$11:$AT$4010,MATCH(59,$AZ$11:$AZ$4010,0)),""))</f>
        <v/>
      </c>
      <c r="AL69" s="17" t="str">
        <f t="shared" si="5"/>
        <v/>
      </c>
      <c r="AM69" s="12" t="str">
        <f t="shared" si="6"/>
        <v/>
      </c>
      <c r="AN69" s="18" t="str">
        <f t="shared" si="7"/>
        <v/>
      </c>
      <c r="AO69" s="18" t="str">
        <f t="shared" si="8"/>
        <v/>
      </c>
      <c r="AP69" s="10" t="str">
        <f t="shared" si="9"/>
        <v/>
      </c>
      <c r="AQ69" s="10" t="str">
        <f t="shared" si="10"/>
        <v/>
      </c>
      <c r="AR69" s="19" t="str">
        <f t="shared" si="11"/>
        <v/>
      </c>
      <c r="AS69" s="20"/>
      <c r="AT69" s="19"/>
      <c r="AV69" s="21">
        <f>IF(AND($AL69&lt;&gt;"",COUNTIF($AL$11:$AL69,$AL69)=1),1,0)</f>
        <v>0</v>
      </c>
      <c r="AW69" s="21">
        <f t="shared" si="13"/>
        <v>0</v>
      </c>
      <c r="AX69" s="21" t="str">
        <f t="shared" si="12"/>
        <v/>
      </c>
      <c r="AY69" s="21" t="str">
        <f>IF(AND($AM69&lt;&gt;"",$AS69&lt;&gt;"✓"),SUMPRODUCT(($AM$11:$AM69&lt;&gt;"")*($AS$11:$AS69&lt;&gt;"✓")),"")</f>
        <v/>
      </c>
      <c r="AZ69" s="21" t="str">
        <f>IF(AND($AM69&lt;&gt;"",$AS69="✓"),SUMPRODUCT(($AM$11:$AM69&lt;&gt;"")*($AS$11:$AS69="✓")),"")</f>
        <v/>
      </c>
      <c r="BA69" s="21" t="str">
        <f>IF($AL69="","",$AL69&amp;"|"&amp;COUNTIF($AL$11:$AL69,$AL69))</f>
        <v/>
      </c>
      <c r="BD69" s="36" t="str">
        <f>IF(IFERROR(INDEX($AM$11:$AM$4010,MATCH($S$8&amp;"|"&amp;57,$BA$11:$BA$4010,0)),"")="","",57)</f>
        <v/>
      </c>
      <c r="BE69" s="36" t="str">
        <f>IFERROR(INDEX($AM$11:$AM$4010,MATCH($S$8&amp;"|"&amp;57,$BA$11:$BA$4010,0)),"")</f>
        <v/>
      </c>
      <c r="BF69" s="36" t="str">
        <f>IFERROR(INDEX($AP$11:$AP$4010,MATCH($S$8&amp;"|"&amp;57,$BA$11:$BA$4010,0)),"")</f>
        <v/>
      </c>
      <c r="BG69" s="36" t="str">
        <f>IFERROR(INDEX($AQ$11:$AQ$4010,MATCH($S$8&amp;"|"&amp;57,$BA$11:$BA$4010,0)),"")</f>
        <v/>
      </c>
      <c r="BH69" s="37" t="str">
        <f>IFERROR(INDEX($AN$11:$AN$4010,MATCH($S$8&amp;"|"&amp;57,$BA$11:$BA$4010,0)),"")</f>
        <v/>
      </c>
      <c r="BI69" s="37" t="str">
        <f>IFERROR(INDEX($AO$11:$AO$4010,MATCH($S$8&amp;"|"&amp;57,$BA$11:$BA$4010,0)),"")</f>
        <v/>
      </c>
      <c r="BL69" s="36" t="str">
        <f>IF(IFERROR(INDEX($AM$11:$AM$4010,MATCH($S$8&amp;"|"&amp;57,$BA$11:$BA$4010,0)),"")="","",57)</f>
        <v/>
      </c>
      <c r="BM69" s="36" t="str">
        <f>IFERROR(INDEX($AM$11:$AM$4010,MATCH($S$8&amp;"|"&amp;57,$BA$11:$BA$4010,0)),"")</f>
        <v/>
      </c>
      <c r="BN69" s="36" t="str">
        <f>IFERROR(INDEX($AP$11:$AP$4010,MATCH($S$8&amp;"|"&amp;57,$BA$11:$BA$4010,0)),"")</f>
        <v/>
      </c>
      <c r="BO69" s="36" t="str">
        <f>IFERROR(INDEX($AQ$11:$AQ$4010,MATCH($S$8&amp;"|"&amp;57,$BA$11:$BA$4010,0)),"")</f>
        <v/>
      </c>
      <c r="BP69" s="37" t="str">
        <f>IFERROR(INDEX($AN$11:$AN$4010,MATCH($S$8&amp;"|"&amp;57,$BA$11:$BA$4010,0)),"")</f>
        <v/>
      </c>
      <c r="BQ69" s="37" t="str">
        <f>IFERROR(INDEX($AO$11:$AO$4010,MATCH($S$8&amp;"|"&amp;57,$BA$11:$BA$4010,0)),"")</f>
        <v/>
      </c>
    </row>
    <row r="70" spans="2:69" ht="13.5" customHeight="1" x14ac:dyDescent="0.25">
      <c r="B70" s="5" t="str">
        <f t="shared" si="0"/>
        <v/>
      </c>
      <c r="C70" s="5"/>
      <c r="D70" s="5"/>
      <c r="E70" s="5"/>
      <c r="F70" s="6"/>
      <c r="G70" s="6"/>
      <c r="H70" s="7"/>
      <c r="I70" s="8"/>
      <c r="K70" s="23" t="str">
        <f>IFERROR(INDEX($AL$11:$AL$4010,MATCH(60,$AX$11:$AX$4010,0)),"")</f>
        <v/>
      </c>
      <c r="L70" s="24" t="str">
        <f t="shared" si="1"/>
        <v/>
      </c>
      <c r="M70" s="25" t="str">
        <f t="shared" si="2"/>
        <v/>
      </c>
      <c r="N70" s="25" t="str">
        <f t="shared" si="3"/>
        <v/>
      </c>
      <c r="P70" s="26" t="str">
        <f>IFERROR(INDEX($AM$11:$AM$4010,MATCH($S$8&amp;"|"&amp;60,$BA$11:$BA$4010,0)),"")</f>
        <v/>
      </c>
      <c r="Q70" s="25" t="str">
        <f>IF(P70="","",IFERROR(INDEX($AN$11:$AN$4010,MATCH($S$8&amp;"|"&amp;60,$BA$11:$BA$4010,0)),""))</f>
        <v/>
      </c>
      <c r="R70" s="25" t="str">
        <f>IF(P70="","",IFERROR(INDEX($AO$11:$AO$4010,MATCH($S$8&amp;"|"&amp;60,$BA$11:$BA$4010,0)),""))</f>
        <v/>
      </c>
      <c r="S70" s="24" t="str">
        <f>IF(P70="","",IFERROR(INDEX($AP$11:$AP$4010,MATCH($S$8&amp;"|"&amp;60,$BA$11:$BA$4010,0)),""))</f>
        <v/>
      </c>
      <c r="T70" s="24" t="str">
        <f>IF(P70="","",IFERROR(INDEX($AQ$11:$AQ$4010,MATCH($S$8&amp;"|"&amp;60,$BA$11:$BA$4010,0)),""))</f>
        <v/>
      </c>
      <c r="U70" s="38" t="str">
        <f t="shared" si="14"/>
        <v/>
      </c>
      <c r="W70" s="28" t="str">
        <f>IF(X70="","",IFERROR(INDEX($AL$11:$AL$4010,MATCH(60,$AY$11:$AY$4010,0)),""))</f>
        <v/>
      </c>
      <c r="X70" s="26" t="str">
        <f>IFERROR(INDEX($AM$11:$AM$4010,MATCH(60,$AY$11:$AY$4010,0)),"")</f>
        <v/>
      </c>
      <c r="Y70" s="25" t="str">
        <f>IF(X70="","",IFERROR(INDEX($AN$11:$AN$4010,MATCH(60,$AY$11:$AY$4010,0)),""))</f>
        <v/>
      </c>
      <c r="Z70" s="25" t="str">
        <f>IF(X70="","",IFERROR(INDEX($AO$11:$AO$4010,MATCH(60,$AY$11:$AY$4010,0)),""))</f>
        <v/>
      </c>
      <c r="AA70" s="24" t="str">
        <f>IF(X70="","",IFERROR(INDEX($AQ$11:$AQ$4010,MATCH(60,$AY$11:$AY$4010,0)),""))</f>
        <v/>
      </c>
      <c r="AB70" s="29" t="str">
        <f>IF(X70="","",IFERROR(INDEX($AR$11:$AR$4010,MATCH(60,$AY$11:$AY$4010,0)),""))</f>
        <v/>
      </c>
      <c r="AD70" s="30" t="str">
        <f>IF(AE70="","",IFERROR(INDEX($AL$11:$AL$4010,MATCH(60,$AZ$11:$AZ$4010,0)),""))</f>
        <v/>
      </c>
      <c r="AE70" s="26" t="str">
        <f>IFERROR(INDEX($AM$11:$AM$4010,MATCH(60,$AZ$11:$AZ$4010,0)),"")</f>
        <v/>
      </c>
      <c r="AF70" s="25" t="str">
        <f>IF(AE70="","",IFERROR(INDEX($AN$11:$AN$4010,MATCH(60,$AZ$11:$AZ$4010,0)),""))</f>
        <v/>
      </c>
      <c r="AG70" s="25" t="str">
        <f>IF(AE70="","",IFERROR(INDEX($AO$11:$AO$4010,MATCH(60,$AZ$11:$AZ$4010,0)),""))</f>
        <v/>
      </c>
      <c r="AH70" s="24" t="str">
        <f>IF(AE70="","",IFERROR(INDEX($AQ$11:$AQ$4010,MATCH(60,$AZ$11:$AZ$4010,0)),""))</f>
        <v/>
      </c>
      <c r="AI70" s="29" t="str">
        <f>IF(AE70="","",IFERROR(INDEX($AR$11:$AR$4010,MATCH(60,$AZ$11:$AZ$4010,0)),""))</f>
        <v/>
      </c>
      <c r="AJ70" s="29" t="str">
        <f>IF(AE70="","",IFERROR(INDEX($AT$11:$AT$4010,MATCH(60,$AZ$11:$AZ$4010,0)),""))</f>
        <v/>
      </c>
      <c r="AL70" s="31" t="str">
        <f t="shared" si="5"/>
        <v/>
      </c>
      <c r="AM70" s="26" t="str">
        <f t="shared" si="6"/>
        <v/>
      </c>
      <c r="AN70" s="32" t="str">
        <f t="shared" si="7"/>
        <v/>
      </c>
      <c r="AO70" s="32" t="str">
        <f t="shared" si="8"/>
        <v/>
      </c>
      <c r="AP70" s="24" t="str">
        <f t="shared" si="9"/>
        <v/>
      </c>
      <c r="AQ70" s="24" t="str">
        <f t="shared" si="10"/>
        <v/>
      </c>
      <c r="AR70" s="33" t="str">
        <f t="shared" si="11"/>
        <v/>
      </c>
      <c r="AS70" s="34"/>
      <c r="AT70" s="33"/>
      <c r="AV70" s="21">
        <f>IF(AND($AL70&lt;&gt;"",COUNTIF($AL$11:$AL70,$AL70)=1),1,0)</f>
        <v>0</v>
      </c>
      <c r="AW70" s="21">
        <f t="shared" si="13"/>
        <v>0</v>
      </c>
      <c r="AX70" s="21" t="str">
        <f t="shared" si="12"/>
        <v/>
      </c>
      <c r="AY70" s="21" t="str">
        <f>IF(AND($AM70&lt;&gt;"",$AS70&lt;&gt;"✓"),SUMPRODUCT(($AM$11:$AM70&lt;&gt;"")*($AS$11:$AS70&lt;&gt;"✓")),"")</f>
        <v/>
      </c>
      <c r="AZ70" s="21" t="str">
        <f>IF(AND($AM70&lt;&gt;"",$AS70="✓"),SUMPRODUCT(($AM$11:$AM70&lt;&gt;"")*($AS$11:$AS70="✓")),"")</f>
        <v/>
      </c>
      <c r="BA70" s="21" t="str">
        <f>IF($AL70="","",$AL70&amp;"|"&amp;COUNTIF($AL$11:$AL70,$AL70))</f>
        <v/>
      </c>
      <c r="BD70" s="36" t="str">
        <f>IF(IFERROR(INDEX($AM$11:$AM$4010,MATCH($S$8&amp;"|"&amp;58,$BA$11:$BA$4010,0)),"")="","",58)</f>
        <v/>
      </c>
      <c r="BE70" s="36" t="str">
        <f>IFERROR(INDEX($AM$11:$AM$4010,MATCH($S$8&amp;"|"&amp;58,$BA$11:$BA$4010,0)),"")</f>
        <v/>
      </c>
      <c r="BF70" s="36" t="str">
        <f>IFERROR(INDEX($AP$11:$AP$4010,MATCH($S$8&amp;"|"&amp;58,$BA$11:$BA$4010,0)),"")</f>
        <v/>
      </c>
      <c r="BG70" s="36" t="str">
        <f>IFERROR(INDEX($AQ$11:$AQ$4010,MATCH($S$8&amp;"|"&amp;58,$BA$11:$BA$4010,0)),"")</f>
        <v/>
      </c>
      <c r="BH70" s="37" t="str">
        <f>IFERROR(INDEX($AN$11:$AN$4010,MATCH($S$8&amp;"|"&amp;58,$BA$11:$BA$4010,0)),"")</f>
        <v/>
      </c>
      <c r="BI70" s="37" t="str">
        <f>IFERROR(INDEX($AO$11:$AO$4010,MATCH($S$8&amp;"|"&amp;58,$BA$11:$BA$4010,0)),"")</f>
        <v/>
      </c>
      <c r="BL70" s="36" t="str">
        <f>IF(IFERROR(INDEX($AM$11:$AM$4010,MATCH($S$8&amp;"|"&amp;58,$BA$11:$BA$4010,0)),"")="","",58)</f>
        <v/>
      </c>
      <c r="BM70" s="36" t="str">
        <f>IFERROR(INDEX($AM$11:$AM$4010,MATCH($S$8&amp;"|"&amp;58,$BA$11:$BA$4010,0)),"")</f>
        <v/>
      </c>
      <c r="BN70" s="36" t="str">
        <f>IFERROR(INDEX($AP$11:$AP$4010,MATCH($S$8&amp;"|"&amp;58,$BA$11:$BA$4010,0)),"")</f>
        <v/>
      </c>
      <c r="BO70" s="36" t="str">
        <f>IFERROR(INDEX($AQ$11:$AQ$4010,MATCH($S$8&amp;"|"&amp;58,$BA$11:$BA$4010,0)),"")</f>
        <v/>
      </c>
      <c r="BP70" s="37" t="str">
        <f>IFERROR(INDEX($AN$11:$AN$4010,MATCH($S$8&amp;"|"&amp;58,$BA$11:$BA$4010,0)),"")</f>
        <v/>
      </c>
      <c r="BQ70" s="37" t="str">
        <f>IFERROR(INDEX($AO$11:$AO$4010,MATCH($S$8&amp;"|"&amp;58,$BA$11:$BA$4010,0)),"")</f>
        <v/>
      </c>
    </row>
    <row r="71" spans="2:69" ht="13.5" customHeight="1" x14ac:dyDescent="0.25">
      <c r="B71" s="5" t="str">
        <f t="shared" si="0"/>
        <v/>
      </c>
      <c r="C71" s="5"/>
      <c r="D71" s="5"/>
      <c r="E71" s="5"/>
      <c r="F71" s="6"/>
      <c r="G71" s="6"/>
      <c r="H71" s="7"/>
      <c r="I71" s="8"/>
      <c r="K71" s="9" t="str">
        <f>IFERROR(INDEX($AL$11:$AL$4010,MATCH(61,$AX$11:$AX$4010,0)),"")</f>
        <v/>
      </c>
      <c r="L71" s="10" t="str">
        <f t="shared" si="1"/>
        <v/>
      </c>
      <c r="M71" s="11" t="str">
        <f t="shared" si="2"/>
        <v/>
      </c>
      <c r="N71" s="11" t="str">
        <f t="shared" si="3"/>
        <v/>
      </c>
      <c r="P71" s="12" t="str">
        <f>IFERROR(INDEX($AM$11:$AM$4010,MATCH($S$8&amp;"|"&amp;61,$BA$11:$BA$4010,0)),"")</f>
        <v/>
      </c>
      <c r="Q71" s="11" t="str">
        <f>IF(P71="","",IFERROR(INDEX($AN$11:$AN$4010,MATCH($S$8&amp;"|"&amp;61,$BA$11:$BA$4010,0)),""))</f>
        <v/>
      </c>
      <c r="R71" s="11" t="str">
        <f>IF(P71="","",IFERROR(INDEX($AO$11:$AO$4010,MATCH($S$8&amp;"|"&amp;61,$BA$11:$BA$4010,0)),""))</f>
        <v/>
      </c>
      <c r="S71" s="10" t="str">
        <f>IF(P71="","",IFERROR(INDEX($AP$11:$AP$4010,MATCH($S$8&amp;"|"&amp;61,$BA$11:$BA$4010,0)),""))</f>
        <v/>
      </c>
      <c r="T71" s="10" t="str">
        <f>IF(P71="","",IFERROR(INDEX($AQ$11:$AQ$4010,MATCH($S$8&amp;"|"&amp;61,$BA$11:$BA$4010,0)),""))</f>
        <v/>
      </c>
      <c r="U71" s="39" t="str">
        <f t="shared" si="14"/>
        <v/>
      </c>
      <c r="W71" s="14" t="str">
        <f>IF(X71="","",IFERROR(INDEX($AL$11:$AL$4010,MATCH(61,$AY$11:$AY$4010,0)),""))</f>
        <v/>
      </c>
      <c r="X71" s="12" t="str">
        <f>IFERROR(INDEX($AM$11:$AM$4010,MATCH(61,$AY$11:$AY$4010,0)),"")</f>
        <v/>
      </c>
      <c r="Y71" s="11" t="str">
        <f>IF(X71="","",IFERROR(INDEX($AN$11:$AN$4010,MATCH(61,$AY$11:$AY$4010,0)),""))</f>
        <v/>
      </c>
      <c r="Z71" s="11" t="str">
        <f>IF(X71="","",IFERROR(INDEX($AO$11:$AO$4010,MATCH(61,$AY$11:$AY$4010,0)),""))</f>
        <v/>
      </c>
      <c r="AA71" s="10" t="str">
        <f>IF(X71="","",IFERROR(INDEX($AQ$11:$AQ$4010,MATCH(61,$AY$11:$AY$4010,0)),""))</f>
        <v/>
      </c>
      <c r="AB71" s="15" t="str">
        <f>IF(X71="","",IFERROR(INDEX($AR$11:$AR$4010,MATCH(61,$AY$11:$AY$4010,0)),""))</f>
        <v/>
      </c>
      <c r="AD71" s="16" t="str">
        <f>IF(AE71="","",IFERROR(INDEX($AL$11:$AL$4010,MATCH(61,$AZ$11:$AZ$4010,0)),""))</f>
        <v/>
      </c>
      <c r="AE71" s="12" t="str">
        <f>IFERROR(INDEX($AM$11:$AM$4010,MATCH(61,$AZ$11:$AZ$4010,0)),"")</f>
        <v/>
      </c>
      <c r="AF71" s="11" t="str">
        <f>IF(AE71="","",IFERROR(INDEX($AN$11:$AN$4010,MATCH(61,$AZ$11:$AZ$4010,0)),""))</f>
        <v/>
      </c>
      <c r="AG71" s="11" t="str">
        <f>IF(AE71="","",IFERROR(INDEX($AO$11:$AO$4010,MATCH(61,$AZ$11:$AZ$4010,0)),""))</f>
        <v/>
      </c>
      <c r="AH71" s="10" t="str">
        <f>IF(AE71="","",IFERROR(INDEX($AQ$11:$AQ$4010,MATCH(61,$AZ$11:$AZ$4010,0)),""))</f>
        <v/>
      </c>
      <c r="AI71" s="15" t="str">
        <f>IF(AE71="","",IFERROR(INDEX($AR$11:$AR$4010,MATCH(61,$AZ$11:$AZ$4010,0)),""))</f>
        <v/>
      </c>
      <c r="AJ71" s="15" t="str">
        <f>IF(AE71="","",IFERROR(INDEX($AT$11:$AT$4010,MATCH(61,$AZ$11:$AZ$4010,0)),""))</f>
        <v/>
      </c>
      <c r="AL71" s="17" t="str">
        <f t="shared" si="5"/>
        <v/>
      </c>
      <c r="AM71" s="12" t="str">
        <f t="shared" si="6"/>
        <v/>
      </c>
      <c r="AN71" s="18" t="str">
        <f t="shared" si="7"/>
        <v/>
      </c>
      <c r="AO71" s="18" t="str">
        <f t="shared" si="8"/>
        <v/>
      </c>
      <c r="AP71" s="10" t="str">
        <f t="shared" si="9"/>
        <v/>
      </c>
      <c r="AQ71" s="10" t="str">
        <f t="shared" si="10"/>
        <v/>
      </c>
      <c r="AR71" s="19" t="str">
        <f t="shared" si="11"/>
        <v/>
      </c>
      <c r="AS71" s="20"/>
      <c r="AT71" s="19"/>
      <c r="AV71" s="21">
        <f>IF(AND($AL71&lt;&gt;"",COUNTIF($AL$11:$AL71,$AL71)=1),1,0)</f>
        <v>0</v>
      </c>
      <c r="AW71" s="21">
        <f t="shared" si="13"/>
        <v>0</v>
      </c>
      <c r="AX71" s="21" t="str">
        <f t="shared" si="12"/>
        <v/>
      </c>
      <c r="AY71" s="21" t="str">
        <f>IF(AND($AM71&lt;&gt;"",$AS71&lt;&gt;"✓"),SUMPRODUCT(($AM$11:$AM71&lt;&gt;"")*($AS$11:$AS71&lt;&gt;"✓")),"")</f>
        <v/>
      </c>
      <c r="AZ71" s="21" t="str">
        <f>IF(AND($AM71&lt;&gt;"",$AS71="✓"),SUMPRODUCT(($AM$11:$AM71&lt;&gt;"")*($AS$11:$AS71="✓")),"")</f>
        <v/>
      </c>
      <c r="BA71" s="21" t="str">
        <f>IF($AL71="","",$AL71&amp;"|"&amp;COUNTIF($AL$11:$AL71,$AL71))</f>
        <v/>
      </c>
      <c r="BD71" s="36" t="str">
        <f>IF(IFERROR(INDEX($AM$11:$AM$4010,MATCH($S$8&amp;"|"&amp;59,$BA$11:$BA$4010,0)),"")="","",59)</f>
        <v/>
      </c>
      <c r="BE71" s="36" t="str">
        <f>IFERROR(INDEX($AM$11:$AM$4010,MATCH($S$8&amp;"|"&amp;59,$BA$11:$BA$4010,0)),"")</f>
        <v/>
      </c>
      <c r="BF71" s="36" t="str">
        <f>IFERROR(INDEX($AP$11:$AP$4010,MATCH($S$8&amp;"|"&amp;59,$BA$11:$BA$4010,0)),"")</f>
        <v/>
      </c>
      <c r="BG71" s="36" t="str">
        <f>IFERROR(INDEX($AQ$11:$AQ$4010,MATCH($S$8&amp;"|"&amp;59,$BA$11:$BA$4010,0)),"")</f>
        <v/>
      </c>
      <c r="BH71" s="37" t="str">
        <f>IFERROR(INDEX($AN$11:$AN$4010,MATCH($S$8&amp;"|"&amp;59,$BA$11:$BA$4010,0)),"")</f>
        <v/>
      </c>
      <c r="BI71" s="37" t="str">
        <f>IFERROR(INDEX($AO$11:$AO$4010,MATCH($S$8&amp;"|"&amp;59,$BA$11:$BA$4010,0)),"")</f>
        <v/>
      </c>
      <c r="BL71" s="36" t="str">
        <f>IF(IFERROR(INDEX($AM$11:$AM$4010,MATCH($S$8&amp;"|"&amp;59,$BA$11:$BA$4010,0)),"")="","",59)</f>
        <v/>
      </c>
      <c r="BM71" s="36" t="str">
        <f>IFERROR(INDEX($AM$11:$AM$4010,MATCH($S$8&amp;"|"&amp;59,$BA$11:$BA$4010,0)),"")</f>
        <v/>
      </c>
      <c r="BN71" s="36" t="str">
        <f>IFERROR(INDEX($AP$11:$AP$4010,MATCH($S$8&amp;"|"&amp;59,$BA$11:$BA$4010,0)),"")</f>
        <v/>
      </c>
      <c r="BO71" s="36" t="str">
        <f>IFERROR(INDEX($AQ$11:$AQ$4010,MATCH($S$8&amp;"|"&amp;59,$BA$11:$BA$4010,0)),"")</f>
        <v/>
      </c>
      <c r="BP71" s="37" t="str">
        <f>IFERROR(INDEX($AN$11:$AN$4010,MATCH($S$8&amp;"|"&amp;59,$BA$11:$BA$4010,0)),"")</f>
        <v/>
      </c>
      <c r="BQ71" s="37" t="str">
        <f>IFERROR(INDEX($AO$11:$AO$4010,MATCH($S$8&amp;"|"&amp;59,$BA$11:$BA$4010,0)),"")</f>
        <v/>
      </c>
    </row>
    <row r="72" spans="2:69" ht="13.5" customHeight="1" x14ac:dyDescent="0.25">
      <c r="B72" s="5" t="str">
        <f t="shared" si="0"/>
        <v/>
      </c>
      <c r="C72" s="5"/>
      <c r="D72" s="5"/>
      <c r="E72" s="5"/>
      <c r="F72" s="6"/>
      <c r="G72" s="6"/>
      <c r="H72" s="7"/>
      <c r="I72" s="8"/>
      <c r="K72" s="23" t="str">
        <f>IFERROR(INDEX($AL$11:$AL$4010,MATCH(62,$AX$11:$AX$4010,0)),"")</f>
        <v/>
      </c>
      <c r="L72" s="24" t="str">
        <f t="shared" si="1"/>
        <v/>
      </c>
      <c r="M72" s="25" t="str">
        <f t="shared" si="2"/>
        <v/>
      </c>
      <c r="N72" s="25" t="str">
        <f t="shared" si="3"/>
        <v/>
      </c>
      <c r="P72" s="26" t="str">
        <f>IFERROR(INDEX($AM$11:$AM$4010,MATCH($S$8&amp;"|"&amp;62,$BA$11:$BA$4010,0)),"")</f>
        <v/>
      </c>
      <c r="Q72" s="25" t="str">
        <f>IF(P72="","",IFERROR(INDEX($AN$11:$AN$4010,MATCH($S$8&amp;"|"&amp;62,$BA$11:$BA$4010,0)),""))</f>
        <v/>
      </c>
      <c r="R72" s="25" t="str">
        <f>IF(P72="","",IFERROR(INDEX($AO$11:$AO$4010,MATCH($S$8&amp;"|"&amp;62,$BA$11:$BA$4010,0)),""))</f>
        <v/>
      </c>
      <c r="S72" s="24" t="str">
        <f>IF(P72="","",IFERROR(INDEX($AP$11:$AP$4010,MATCH($S$8&amp;"|"&amp;62,$BA$11:$BA$4010,0)),""))</f>
        <v/>
      </c>
      <c r="T72" s="24" t="str">
        <f>IF(P72="","",IFERROR(INDEX($AQ$11:$AQ$4010,MATCH($S$8&amp;"|"&amp;62,$BA$11:$BA$4010,0)),""))</f>
        <v/>
      </c>
      <c r="U72" s="38" t="str">
        <f t="shared" si="14"/>
        <v/>
      </c>
      <c r="W72" s="28" t="str">
        <f>IF(X72="","",IFERROR(INDEX($AL$11:$AL$4010,MATCH(62,$AY$11:$AY$4010,0)),""))</f>
        <v/>
      </c>
      <c r="X72" s="26" t="str">
        <f>IFERROR(INDEX($AM$11:$AM$4010,MATCH(62,$AY$11:$AY$4010,0)),"")</f>
        <v/>
      </c>
      <c r="Y72" s="25" t="str">
        <f>IF(X72="","",IFERROR(INDEX($AN$11:$AN$4010,MATCH(62,$AY$11:$AY$4010,0)),""))</f>
        <v/>
      </c>
      <c r="Z72" s="25" t="str">
        <f>IF(X72="","",IFERROR(INDEX($AO$11:$AO$4010,MATCH(62,$AY$11:$AY$4010,0)),""))</f>
        <v/>
      </c>
      <c r="AA72" s="24" t="str">
        <f>IF(X72="","",IFERROR(INDEX($AQ$11:$AQ$4010,MATCH(62,$AY$11:$AY$4010,0)),""))</f>
        <v/>
      </c>
      <c r="AB72" s="29" t="str">
        <f>IF(X72="","",IFERROR(INDEX($AR$11:$AR$4010,MATCH(62,$AY$11:$AY$4010,0)),""))</f>
        <v/>
      </c>
      <c r="AD72" s="30" t="str">
        <f>IF(AE72="","",IFERROR(INDEX($AL$11:$AL$4010,MATCH(62,$AZ$11:$AZ$4010,0)),""))</f>
        <v/>
      </c>
      <c r="AE72" s="26" t="str">
        <f>IFERROR(INDEX($AM$11:$AM$4010,MATCH(62,$AZ$11:$AZ$4010,0)),"")</f>
        <v/>
      </c>
      <c r="AF72" s="25" t="str">
        <f>IF(AE72="","",IFERROR(INDEX($AN$11:$AN$4010,MATCH(62,$AZ$11:$AZ$4010,0)),""))</f>
        <v/>
      </c>
      <c r="AG72" s="25" t="str">
        <f>IF(AE72="","",IFERROR(INDEX($AO$11:$AO$4010,MATCH(62,$AZ$11:$AZ$4010,0)),""))</f>
        <v/>
      </c>
      <c r="AH72" s="24" t="str">
        <f>IF(AE72="","",IFERROR(INDEX($AQ$11:$AQ$4010,MATCH(62,$AZ$11:$AZ$4010,0)),""))</f>
        <v/>
      </c>
      <c r="AI72" s="29" t="str">
        <f>IF(AE72="","",IFERROR(INDEX($AR$11:$AR$4010,MATCH(62,$AZ$11:$AZ$4010,0)),""))</f>
        <v/>
      </c>
      <c r="AJ72" s="29" t="str">
        <f>IF(AE72="","",IFERROR(INDEX($AT$11:$AT$4010,MATCH(62,$AZ$11:$AZ$4010,0)),""))</f>
        <v/>
      </c>
      <c r="AL72" s="31" t="str">
        <f t="shared" si="5"/>
        <v/>
      </c>
      <c r="AM72" s="26" t="str">
        <f t="shared" si="6"/>
        <v/>
      </c>
      <c r="AN72" s="32" t="str">
        <f t="shared" si="7"/>
        <v/>
      </c>
      <c r="AO72" s="32" t="str">
        <f t="shared" si="8"/>
        <v/>
      </c>
      <c r="AP72" s="24" t="str">
        <f t="shared" si="9"/>
        <v/>
      </c>
      <c r="AQ72" s="24" t="str">
        <f t="shared" si="10"/>
        <v/>
      </c>
      <c r="AR72" s="33" t="str">
        <f t="shared" si="11"/>
        <v/>
      </c>
      <c r="AS72" s="34"/>
      <c r="AT72" s="33"/>
      <c r="AV72" s="21">
        <f>IF(AND($AL72&lt;&gt;"",COUNTIF($AL$11:$AL72,$AL72)=1),1,0)</f>
        <v>0</v>
      </c>
      <c r="AW72" s="21">
        <f t="shared" si="13"/>
        <v>0</v>
      </c>
      <c r="AX72" s="21" t="str">
        <f t="shared" si="12"/>
        <v/>
      </c>
      <c r="AY72" s="21" t="str">
        <f>IF(AND($AM72&lt;&gt;"",$AS72&lt;&gt;"✓"),SUMPRODUCT(($AM$11:$AM72&lt;&gt;"")*($AS$11:$AS72&lt;&gt;"✓")),"")</f>
        <v/>
      </c>
      <c r="AZ72" s="21" t="str">
        <f>IF(AND($AM72&lt;&gt;"",$AS72="✓"),SUMPRODUCT(($AM$11:$AM72&lt;&gt;"")*($AS$11:$AS72="✓")),"")</f>
        <v/>
      </c>
      <c r="BA72" s="21" t="str">
        <f>IF($AL72="","",$AL72&amp;"|"&amp;COUNTIF($AL$11:$AL72,$AL72))</f>
        <v/>
      </c>
      <c r="BD72" s="36" t="str">
        <f>IF(IFERROR(INDEX($AM$11:$AM$4010,MATCH($S$8&amp;"|"&amp;60,$BA$11:$BA$4010,0)),"")="","",60)</f>
        <v/>
      </c>
      <c r="BE72" s="36" t="str">
        <f>IFERROR(INDEX($AM$11:$AM$4010,MATCH($S$8&amp;"|"&amp;60,$BA$11:$BA$4010,0)),"")</f>
        <v/>
      </c>
      <c r="BF72" s="36" t="str">
        <f>IFERROR(INDEX($AP$11:$AP$4010,MATCH($S$8&amp;"|"&amp;60,$BA$11:$BA$4010,0)),"")</f>
        <v/>
      </c>
      <c r="BG72" s="36" t="str">
        <f>IFERROR(INDEX($AQ$11:$AQ$4010,MATCH($S$8&amp;"|"&amp;60,$BA$11:$BA$4010,0)),"")</f>
        <v/>
      </c>
      <c r="BH72" s="37" t="str">
        <f>IFERROR(INDEX($AN$11:$AN$4010,MATCH($S$8&amp;"|"&amp;60,$BA$11:$BA$4010,0)),"")</f>
        <v/>
      </c>
      <c r="BI72" s="37" t="str">
        <f>IFERROR(INDEX($AO$11:$AO$4010,MATCH($S$8&amp;"|"&amp;60,$BA$11:$BA$4010,0)),"")</f>
        <v/>
      </c>
      <c r="BL72" s="36" t="str">
        <f>IF(IFERROR(INDEX($AM$11:$AM$4010,MATCH($S$8&amp;"|"&amp;60,$BA$11:$BA$4010,0)),"")="","",60)</f>
        <v/>
      </c>
      <c r="BM72" s="36" t="str">
        <f>IFERROR(INDEX($AM$11:$AM$4010,MATCH($S$8&amp;"|"&amp;60,$BA$11:$BA$4010,0)),"")</f>
        <v/>
      </c>
      <c r="BN72" s="36" t="str">
        <f>IFERROR(INDEX($AP$11:$AP$4010,MATCH($S$8&amp;"|"&amp;60,$BA$11:$BA$4010,0)),"")</f>
        <v/>
      </c>
      <c r="BO72" s="36" t="str">
        <f>IFERROR(INDEX($AQ$11:$AQ$4010,MATCH($S$8&amp;"|"&amp;60,$BA$11:$BA$4010,0)),"")</f>
        <v/>
      </c>
      <c r="BP72" s="37" t="str">
        <f>IFERROR(INDEX($AN$11:$AN$4010,MATCH($S$8&amp;"|"&amp;60,$BA$11:$BA$4010,0)),"")</f>
        <v/>
      </c>
      <c r="BQ72" s="37" t="str">
        <f>IFERROR(INDEX($AO$11:$AO$4010,MATCH($S$8&amp;"|"&amp;60,$BA$11:$BA$4010,0)),"")</f>
        <v/>
      </c>
    </row>
    <row r="73" spans="2:69" ht="15" customHeight="1" x14ac:dyDescent="0.25">
      <c r="B73" s="5" t="str">
        <f t="shared" si="0"/>
        <v/>
      </c>
      <c r="C73" s="5"/>
      <c r="D73" s="5"/>
      <c r="E73" s="5"/>
      <c r="F73" s="6"/>
      <c r="G73" s="6"/>
      <c r="H73" s="7"/>
      <c r="I73" s="8"/>
      <c r="K73" s="9" t="str">
        <f>IFERROR(INDEX($AL$11:$AL$4010,MATCH(63,$AX$11:$AX$4010,0)),"")</f>
        <v/>
      </c>
      <c r="L73" s="10" t="str">
        <f t="shared" si="1"/>
        <v/>
      </c>
      <c r="M73" s="11" t="str">
        <f t="shared" si="2"/>
        <v/>
      </c>
      <c r="N73" s="11" t="str">
        <f t="shared" si="3"/>
        <v/>
      </c>
      <c r="P73" s="12" t="str">
        <f>IFERROR(INDEX($AM$11:$AM$4010,MATCH($S$8&amp;"|"&amp;63,$BA$11:$BA$4010,0)),"")</f>
        <v/>
      </c>
      <c r="Q73" s="11" t="str">
        <f>IF(P73="","",IFERROR(INDEX($AN$11:$AN$4010,MATCH($S$8&amp;"|"&amp;63,$BA$11:$BA$4010,0)),""))</f>
        <v/>
      </c>
      <c r="R73" s="11" t="str">
        <f>IF(P73="","",IFERROR(INDEX($AO$11:$AO$4010,MATCH($S$8&amp;"|"&amp;63,$BA$11:$BA$4010,0)),""))</f>
        <v/>
      </c>
      <c r="S73" s="10" t="str">
        <f>IF(P73="","",IFERROR(INDEX($AP$11:$AP$4010,MATCH($S$8&amp;"|"&amp;63,$BA$11:$BA$4010,0)),""))</f>
        <v/>
      </c>
      <c r="T73" s="10" t="str">
        <f>IF(P73="","",IFERROR(INDEX($AQ$11:$AQ$4010,MATCH($S$8&amp;"|"&amp;63,$BA$11:$BA$4010,0)),""))</f>
        <v/>
      </c>
      <c r="U73" s="39" t="str">
        <f t="shared" si="14"/>
        <v/>
      </c>
      <c r="W73" s="14" t="str">
        <f>IF(X73="","",IFERROR(INDEX($AL$11:$AL$4010,MATCH(63,$AY$11:$AY$4010,0)),""))</f>
        <v/>
      </c>
      <c r="X73" s="12" t="str">
        <f>IFERROR(INDEX($AM$11:$AM$4010,MATCH(63,$AY$11:$AY$4010,0)),"")</f>
        <v/>
      </c>
      <c r="Y73" s="11" t="str">
        <f>IF(X73="","",IFERROR(INDEX($AN$11:$AN$4010,MATCH(63,$AY$11:$AY$4010,0)),""))</f>
        <v/>
      </c>
      <c r="Z73" s="11" t="str">
        <f>IF(X73="","",IFERROR(INDEX($AO$11:$AO$4010,MATCH(63,$AY$11:$AY$4010,0)),""))</f>
        <v/>
      </c>
      <c r="AA73" s="10" t="str">
        <f>IF(X73="","",IFERROR(INDEX($AQ$11:$AQ$4010,MATCH(63,$AY$11:$AY$4010,0)),""))</f>
        <v/>
      </c>
      <c r="AB73" s="15" t="str">
        <f>IF(X73="","",IFERROR(INDEX($AR$11:$AR$4010,MATCH(63,$AY$11:$AY$4010,0)),""))</f>
        <v/>
      </c>
      <c r="AD73" s="16" t="str">
        <f>IF(AE73="","",IFERROR(INDEX($AL$11:$AL$4010,MATCH(63,$AZ$11:$AZ$4010,0)),""))</f>
        <v/>
      </c>
      <c r="AE73" s="12" t="str">
        <f>IFERROR(INDEX($AM$11:$AM$4010,MATCH(63,$AZ$11:$AZ$4010,0)),"")</f>
        <v/>
      </c>
      <c r="AF73" s="11" t="str">
        <f>IF(AE73="","",IFERROR(INDEX($AN$11:$AN$4010,MATCH(63,$AZ$11:$AZ$4010,0)),""))</f>
        <v/>
      </c>
      <c r="AG73" s="11" t="str">
        <f>IF(AE73="","",IFERROR(INDEX($AO$11:$AO$4010,MATCH(63,$AZ$11:$AZ$4010,0)),""))</f>
        <v/>
      </c>
      <c r="AH73" s="10" t="str">
        <f>IF(AE73="","",IFERROR(INDEX($AQ$11:$AQ$4010,MATCH(63,$AZ$11:$AZ$4010,0)),""))</f>
        <v/>
      </c>
      <c r="AI73" s="15" t="str">
        <f>IF(AE73="","",IFERROR(INDEX($AR$11:$AR$4010,MATCH(63,$AZ$11:$AZ$4010,0)),""))</f>
        <v/>
      </c>
      <c r="AJ73" s="15" t="str">
        <f>IF(AE73="","",IFERROR(INDEX($AT$11:$AT$4010,MATCH(63,$AZ$11:$AZ$4010,0)),""))</f>
        <v/>
      </c>
      <c r="AL73" s="17" t="str">
        <f t="shared" si="5"/>
        <v/>
      </c>
      <c r="AM73" s="12" t="str">
        <f t="shared" si="6"/>
        <v/>
      </c>
      <c r="AN73" s="18" t="str">
        <f t="shared" si="7"/>
        <v/>
      </c>
      <c r="AO73" s="18" t="str">
        <f t="shared" si="8"/>
        <v/>
      </c>
      <c r="AP73" s="10" t="str">
        <f t="shared" si="9"/>
        <v/>
      </c>
      <c r="AQ73" s="10" t="str">
        <f t="shared" si="10"/>
        <v/>
      </c>
      <c r="AR73" s="19" t="str">
        <f t="shared" si="11"/>
        <v/>
      </c>
      <c r="AS73" s="20"/>
      <c r="AT73" s="19"/>
      <c r="AV73" s="21">
        <f>IF(AND($AL73&lt;&gt;"",COUNTIF($AL$11:$AL73,$AL73)=1),1,0)</f>
        <v>0</v>
      </c>
      <c r="AW73" s="21">
        <f t="shared" si="13"/>
        <v>0</v>
      </c>
      <c r="AX73" s="21" t="str">
        <f t="shared" si="12"/>
        <v/>
      </c>
      <c r="AY73" s="21" t="str">
        <f>IF(AND($AM73&lt;&gt;"",$AS73&lt;&gt;"✓"),SUMPRODUCT(($AM$11:$AM73&lt;&gt;"")*($AS$11:$AS73&lt;&gt;"✓")),"")</f>
        <v/>
      </c>
      <c r="AZ73" s="21" t="str">
        <f>IF(AND($AM73&lt;&gt;"",$AS73="✓"),SUMPRODUCT(($AM$11:$AM73&lt;&gt;"")*($AS$11:$AS73="✓")),"")</f>
        <v/>
      </c>
      <c r="BA73" s="21" t="str">
        <f>IF($AL73="","",$AL73&amp;"|"&amp;COUNTIF($AL$11:$AL73,$AL73))</f>
        <v/>
      </c>
    </row>
    <row r="74" spans="2:69" ht="15" customHeight="1" x14ac:dyDescent="0.25">
      <c r="B74" s="5" t="str">
        <f t="shared" si="0"/>
        <v/>
      </c>
      <c r="C74" s="5"/>
      <c r="D74" s="5"/>
      <c r="E74" s="5"/>
      <c r="F74" s="6"/>
      <c r="G74" s="6"/>
      <c r="H74" s="7"/>
      <c r="I74" s="8"/>
      <c r="K74" s="23" t="str">
        <f>IFERROR(INDEX($AL$11:$AL$4010,MATCH(64,$AX$11:$AX$4010,0)),"")</f>
        <v/>
      </c>
      <c r="L74" s="24" t="str">
        <f t="shared" si="1"/>
        <v/>
      </c>
      <c r="M74" s="25" t="str">
        <f t="shared" si="2"/>
        <v/>
      </c>
      <c r="N74" s="25" t="str">
        <f t="shared" si="3"/>
        <v/>
      </c>
      <c r="P74" s="26" t="str">
        <f>IFERROR(INDEX($AM$11:$AM$4010,MATCH($S$8&amp;"|"&amp;64,$BA$11:$BA$4010,0)),"")</f>
        <v/>
      </c>
      <c r="Q74" s="25" t="str">
        <f>IF(P74="","",IFERROR(INDEX($AN$11:$AN$4010,MATCH($S$8&amp;"|"&amp;64,$BA$11:$BA$4010,0)),""))</f>
        <v/>
      </c>
      <c r="R74" s="25" t="str">
        <f>IF(P74="","",IFERROR(INDEX($AO$11:$AO$4010,MATCH($S$8&amp;"|"&amp;64,$BA$11:$BA$4010,0)),""))</f>
        <v/>
      </c>
      <c r="S74" s="24" t="str">
        <f>IF(P74="","",IFERROR(INDEX($AP$11:$AP$4010,MATCH($S$8&amp;"|"&amp;64,$BA$11:$BA$4010,0)),""))</f>
        <v/>
      </c>
      <c r="T74" s="24" t="str">
        <f>IF(P74="","",IFERROR(INDEX($AQ$11:$AQ$4010,MATCH($S$8&amp;"|"&amp;64,$BA$11:$BA$4010,0)),""))</f>
        <v/>
      </c>
      <c r="U74" s="38" t="str">
        <f t="shared" si="14"/>
        <v/>
      </c>
      <c r="W74" s="28" t="str">
        <f>IF(X74="","",IFERROR(INDEX($AL$11:$AL$4010,MATCH(64,$AY$11:$AY$4010,0)),""))</f>
        <v/>
      </c>
      <c r="X74" s="26" t="str">
        <f>IFERROR(INDEX($AM$11:$AM$4010,MATCH(64,$AY$11:$AY$4010,0)),"")</f>
        <v/>
      </c>
      <c r="Y74" s="25" t="str">
        <f>IF(X74="","",IFERROR(INDEX($AN$11:$AN$4010,MATCH(64,$AY$11:$AY$4010,0)),""))</f>
        <v/>
      </c>
      <c r="Z74" s="25" t="str">
        <f>IF(X74="","",IFERROR(INDEX($AO$11:$AO$4010,MATCH(64,$AY$11:$AY$4010,0)),""))</f>
        <v/>
      </c>
      <c r="AA74" s="24" t="str">
        <f>IF(X74="","",IFERROR(INDEX($AQ$11:$AQ$4010,MATCH(64,$AY$11:$AY$4010,0)),""))</f>
        <v/>
      </c>
      <c r="AB74" s="29" t="str">
        <f>IF(X74="","",IFERROR(INDEX($AR$11:$AR$4010,MATCH(64,$AY$11:$AY$4010,0)),""))</f>
        <v/>
      </c>
      <c r="AD74" s="30" t="str">
        <f>IF(AE74="","",IFERROR(INDEX($AL$11:$AL$4010,MATCH(64,$AZ$11:$AZ$4010,0)),""))</f>
        <v/>
      </c>
      <c r="AE74" s="26" t="str">
        <f>IFERROR(INDEX($AM$11:$AM$4010,MATCH(64,$AZ$11:$AZ$4010,0)),"")</f>
        <v/>
      </c>
      <c r="AF74" s="25" t="str">
        <f>IF(AE74="","",IFERROR(INDEX($AN$11:$AN$4010,MATCH(64,$AZ$11:$AZ$4010,0)),""))</f>
        <v/>
      </c>
      <c r="AG74" s="25" t="str">
        <f>IF(AE74="","",IFERROR(INDEX($AO$11:$AO$4010,MATCH(64,$AZ$11:$AZ$4010,0)),""))</f>
        <v/>
      </c>
      <c r="AH74" s="24" t="str">
        <f>IF(AE74="","",IFERROR(INDEX($AQ$11:$AQ$4010,MATCH(64,$AZ$11:$AZ$4010,0)),""))</f>
        <v/>
      </c>
      <c r="AI74" s="29" t="str">
        <f>IF(AE74="","",IFERROR(INDEX($AR$11:$AR$4010,MATCH(64,$AZ$11:$AZ$4010,0)),""))</f>
        <v/>
      </c>
      <c r="AJ74" s="29" t="str">
        <f>IF(AE74="","",IFERROR(INDEX($AT$11:$AT$4010,MATCH(64,$AZ$11:$AZ$4010,0)),""))</f>
        <v/>
      </c>
      <c r="AL74" s="31" t="str">
        <f t="shared" si="5"/>
        <v/>
      </c>
      <c r="AM74" s="26" t="str">
        <f t="shared" si="6"/>
        <v/>
      </c>
      <c r="AN74" s="32" t="str">
        <f t="shared" si="7"/>
        <v/>
      </c>
      <c r="AO74" s="32" t="str">
        <f t="shared" si="8"/>
        <v/>
      </c>
      <c r="AP74" s="24" t="str">
        <f t="shared" si="9"/>
        <v/>
      </c>
      <c r="AQ74" s="24" t="str">
        <f t="shared" si="10"/>
        <v/>
      </c>
      <c r="AR74" s="33" t="str">
        <f t="shared" si="11"/>
        <v/>
      </c>
      <c r="AS74" s="34"/>
      <c r="AT74" s="33"/>
      <c r="AV74" s="21">
        <f>IF(AND($AL74&lt;&gt;"",COUNTIF($AL$11:$AL74,$AL74)=1),1,0)</f>
        <v>0</v>
      </c>
      <c r="AW74" s="21">
        <f t="shared" si="13"/>
        <v>0</v>
      </c>
      <c r="AX74" s="21" t="str">
        <f t="shared" si="12"/>
        <v/>
      </c>
      <c r="AY74" s="21" t="str">
        <f>IF(AND($AM74&lt;&gt;"",$AS74&lt;&gt;"✓"),SUMPRODUCT(($AM$11:$AM74&lt;&gt;"")*($AS$11:$AS74&lt;&gt;"✓")),"")</f>
        <v/>
      </c>
      <c r="AZ74" s="21" t="str">
        <f>IF(AND($AM74&lt;&gt;"",$AS74="✓"),SUMPRODUCT(($AM$11:$AM74&lt;&gt;"")*($AS$11:$AS74="✓")),"")</f>
        <v/>
      </c>
      <c r="BA74" s="21" t="str">
        <f>IF($AL74="","",$AL74&amp;"|"&amp;COUNTIF($AL$11:$AL74,$AL74))</f>
        <v/>
      </c>
    </row>
    <row r="75" spans="2:69" ht="15" customHeight="1" x14ac:dyDescent="0.25">
      <c r="B75" s="5" t="str">
        <f t="shared" ref="B75:B138" si="15">IF($C75="","",ROW()-10)</f>
        <v/>
      </c>
      <c r="C75" s="5"/>
      <c r="D75" s="5"/>
      <c r="E75" s="5"/>
      <c r="F75" s="6"/>
      <c r="G75" s="6"/>
      <c r="H75" s="7"/>
      <c r="I75" s="8"/>
      <c r="K75" s="9" t="str">
        <f>IFERROR(INDEX($AL$11:$AL$4010,MATCH(65,$AX$11:$AX$4010,0)),"")</f>
        <v/>
      </c>
      <c r="L75" s="10" t="str">
        <f t="shared" ref="L75:L138" si="16">IF(K75="","",COUNTIF($AL$11:$AL$4010,K75))</f>
        <v/>
      </c>
      <c r="M75" s="11" t="str">
        <f t="shared" ref="M75:M138" si="17">IF(K75="","",SUMIF($AL$11:$AL$4010,K75,$AN$11:$AN$4010))</f>
        <v/>
      </c>
      <c r="N75" s="11" t="str">
        <f t="shared" ref="N75:N138" si="18">IF(K75="","",SUMIF($AL$11:$AL$4010,K75,$AO$11:$AO$4010))</f>
        <v/>
      </c>
      <c r="P75" s="12" t="str">
        <f>IFERROR(INDEX($AM$11:$AM$4010,MATCH($S$8&amp;"|"&amp;65,$BA$11:$BA$4010,0)),"")</f>
        <v/>
      </c>
      <c r="Q75" s="11" t="str">
        <f>IF(P75="","",IFERROR(INDEX($AN$11:$AN$4010,MATCH($S$8&amp;"|"&amp;65,$BA$11:$BA$4010,0)),""))</f>
        <v/>
      </c>
      <c r="R75" s="11" t="str">
        <f>IF(P75="","",IFERROR(INDEX($AO$11:$AO$4010,MATCH($S$8&amp;"|"&amp;65,$BA$11:$BA$4010,0)),""))</f>
        <v/>
      </c>
      <c r="S75" s="10" t="str">
        <f>IF(P75="","",IFERROR(INDEX($AP$11:$AP$4010,MATCH($S$8&amp;"|"&amp;65,$BA$11:$BA$4010,0)),""))</f>
        <v/>
      </c>
      <c r="T75" s="10" t="str">
        <f>IF(P75="","",IFERROR(INDEX($AQ$11:$AQ$4010,MATCH($S$8&amp;"|"&amp;65,$BA$11:$BA$4010,0)),""))</f>
        <v/>
      </c>
      <c r="U75" s="39" t="str">
        <f t="shared" ref="U75:U106" si="19">IF(P75="","",$S$8)</f>
        <v/>
      </c>
      <c r="W75" s="14" t="str">
        <f>IF(X75="","",IFERROR(INDEX($AL$11:$AL$4010,MATCH(65,$AY$11:$AY$4010,0)),""))</f>
        <v/>
      </c>
      <c r="X75" s="12" t="str">
        <f>IFERROR(INDEX($AM$11:$AM$4010,MATCH(65,$AY$11:$AY$4010,0)),"")</f>
        <v/>
      </c>
      <c r="Y75" s="11" t="str">
        <f>IF(X75="","",IFERROR(INDEX($AN$11:$AN$4010,MATCH(65,$AY$11:$AY$4010,0)),""))</f>
        <v/>
      </c>
      <c r="Z75" s="11" t="str">
        <f>IF(X75="","",IFERROR(INDEX($AO$11:$AO$4010,MATCH(65,$AY$11:$AY$4010,0)),""))</f>
        <v/>
      </c>
      <c r="AA75" s="10" t="str">
        <f>IF(X75="","",IFERROR(INDEX($AQ$11:$AQ$4010,MATCH(65,$AY$11:$AY$4010,0)),""))</f>
        <v/>
      </c>
      <c r="AB75" s="15" t="str">
        <f>IF(X75="","",IFERROR(INDEX($AR$11:$AR$4010,MATCH(65,$AY$11:$AY$4010,0)),""))</f>
        <v/>
      </c>
      <c r="AD75" s="16" t="str">
        <f>IF(AE75="","",IFERROR(INDEX($AL$11:$AL$4010,MATCH(65,$AZ$11:$AZ$4010,0)),""))</f>
        <v/>
      </c>
      <c r="AE75" s="12" t="str">
        <f>IFERROR(INDEX($AM$11:$AM$4010,MATCH(65,$AZ$11:$AZ$4010,0)),"")</f>
        <v/>
      </c>
      <c r="AF75" s="11" t="str">
        <f>IF(AE75="","",IFERROR(INDEX($AN$11:$AN$4010,MATCH(65,$AZ$11:$AZ$4010,0)),""))</f>
        <v/>
      </c>
      <c r="AG75" s="11" t="str">
        <f>IF(AE75="","",IFERROR(INDEX($AO$11:$AO$4010,MATCH(65,$AZ$11:$AZ$4010,0)),""))</f>
        <v/>
      </c>
      <c r="AH75" s="10" t="str">
        <f>IF(AE75="","",IFERROR(INDEX($AQ$11:$AQ$4010,MATCH(65,$AZ$11:$AZ$4010,0)),""))</f>
        <v/>
      </c>
      <c r="AI75" s="15" t="str">
        <f>IF(AE75="","",IFERROR(INDEX($AR$11:$AR$4010,MATCH(65,$AZ$11:$AZ$4010,0)),""))</f>
        <v/>
      </c>
      <c r="AJ75" s="15" t="str">
        <f>IF(AE75="","",IFERROR(INDEX($AT$11:$AT$4010,MATCH(65,$AZ$11:$AZ$4010,0)),""))</f>
        <v/>
      </c>
      <c r="AL75" s="17" t="str">
        <f t="shared" ref="AL75:AL138" si="20">IF($C75="","",$I75)</f>
        <v/>
      </c>
      <c r="AM75" s="12" t="str">
        <f t="shared" ref="AM75:AM138" si="21">IF($C75="","",$C75)</f>
        <v/>
      </c>
      <c r="AN75" s="18" t="str">
        <f t="shared" ref="AN75:AN138" si="22">IF($C75="","",$F75)</f>
        <v/>
      </c>
      <c r="AO75" s="18" t="str">
        <f t="shared" ref="AO75:AO138" si="23">IF($C75="","",$G75)</f>
        <v/>
      </c>
      <c r="AP75" s="10" t="str">
        <f t="shared" ref="AP75:AP138" si="24">IF($C75="","",$D75)</f>
        <v/>
      </c>
      <c r="AQ75" s="10" t="str">
        <f t="shared" ref="AQ75:AQ138" si="25">IF($C75="","",$E75)</f>
        <v/>
      </c>
      <c r="AR75" s="19" t="str">
        <f t="shared" ref="AR75:AR138" si="26">IF($C75="","",$H75)</f>
        <v/>
      </c>
      <c r="AS75" s="20"/>
      <c r="AT75" s="19"/>
      <c r="AV75" s="21">
        <f>IF(AND($AL75&lt;&gt;"",COUNTIF($AL$11:$AL75,$AL75)=1),1,0)</f>
        <v>0</v>
      </c>
      <c r="AW75" s="21">
        <f t="shared" si="13"/>
        <v>0</v>
      </c>
      <c r="AX75" s="21" t="str">
        <f t="shared" ref="AX75:AX138" si="27">IF(AV75=1,AW75,"")</f>
        <v/>
      </c>
      <c r="AY75" s="21" t="str">
        <f>IF(AND($AM75&lt;&gt;"",$AS75&lt;&gt;"✓"),SUMPRODUCT(($AM$11:$AM75&lt;&gt;"")*($AS$11:$AS75&lt;&gt;"✓")),"")</f>
        <v/>
      </c>
      <c r="AZ75" s="21" t="str">
        <f>IF(AND($AM75&lt;&gt;"",$AS75="✓"),SUMPRODUCT(($AM$11:$AM75&lt;&gt;"")*($AS$11:$AS75="✓")),"")</f>
        <v/>
      </c>
      <c r="BA75" s="21" t="str">
        <f>IF($AL75="","",$AL75&amp;"|"&amp;COUNTIF($AL$11:$AL75,$AL75))</f>
        <v/>
      </c>
    </row>
    <row r="76" spans="2:69" ht="15" customHeight="1" x14ac:dyDescent="0.25">
      <c r="B76" s="5" t="str">
        <f t="shared" si="15"/>
        <v/>
      </c>
      <c r="C76" s="5"/>
      <c r="D76" s="5"/>
      <c r="E76" s="5"/>
      <c r="F76" s="6"/>
      <c r="G76" s="6"/>
      <c r="H76" s="7"/>
      <c r="I76" s="8"/>
      <c r="K76" s="23" t="str">
        <f>IFERROR(INDEX($AL$11:$AL$4010,MATCH(66,$AX$11:$AX$4010,0)),"")</f>
        <v/>
      </c>
      <c r="L76" s="24" t="str">
        <f t="shared" si="16"/>
        <v/>
      </c>
      <c r="M76" s="25" t="str">
        <f t="shared" si="17"/>
        <v/>
      </c>
      <c r="N76" s="25" t="str">
        <f t="shared" si="18"/>
        <v/>
      </c>
      <c r="P76" s="26" t="str">
        <f>IFERROR(INDEX($AM$11:$AM$4010,MATCH($S$8&amp;"|"&amp;66,$BA$11:$BA$4010,0)),"")</f>
        <v/>
      </c>
      <c r="Q76" s="25" t="str">
        <f>IF(P76="","",IFERROR(INDEX($AN$11:$AN$4010,MATCH($S$8&amp;"|"&amp;66,$BA$11:$BA$4010,0)),""))</f>
        <v/>
      </c>
      <c r="R76" s="25" t="str">
        <f>IF(P76="","",IFERROR(INDEX($AO$11:$AO$4010,MATCH($S$8&amp;"|"&amp;66,$BA$11:$BA$4010,0)),""))</f>
        <v/>
      </c>
      <c r="S76" s="24" t="str">
        <f>IF(P76="","",IFERROR(INDEX($AP$11:$AP$4010,MATCH($S$8&amp;"|"&amp;66,$BA$11:$BA$4010,0)),""))</f>
        <v/>
      </c>
      <c r="T76" s="24" t="str">
        <f>IF(P76="","",IFERROR(INDEX($AQ$11:$AQ$4010,MATCH($S$8&amp;"|"&amp;66,$BA$11:$BA$4010,0)),""))</f>
        <v/>
      </c>
      <c r="U76" s="38" t="str">
        <f t="shared" si="19"/>
        <v/>
      </c>
      <c r="W76" s="28" t="str">
        <f>IF(X76="","",IFERROR(INDEX($AL$11:$AL$4010,MATCH(66,$AY$11:$AY$4010,0)),""))</f>
        <v/>
      </c>
      <c r="X76" s="26" t="str">
        <f>IFERROR(INDEX($AM$11:$AM$4010,MATCH(66,$AY$11:$AY$4010,0)),"")</f>
        <v/>
      </c>
      <c r="Y76" s="25" t="str">
        <f>IF(X76="","",IFERROR(INDEX($AN$11:$AN$4010,MATCH(66,$AY$11:$AY$4010,0)),""))</f>
        <v/>
      </c>
      <c r="Z76" s="25" t="str">
        <f>IF(X76="","",IFERROR(INDEX($AO$11:$AO$4010,MATCH(66,$AY$11:$AY$4010,0)),""))</f>
        <v/>
      </c>
      <c r="AA76" s="24" t="str">
        <f>IF(X76="","",IFERROR(INDEX($AQ$11:$AQ$4010,MATCH(66,$AY$11:$AY$4010,0)),""))</f>
        <v/>
      </c>
      <c r="AB76" s="29" t="str">
        <f>IF(X76="","",IFERROR(INDEX($AR$11:$AR$4010,MATCH(66,$AY$11:$AY$4010,0)),""))</f>
        <v/>
      </c>
      <c r="AD76" s="30" t="str">
        <f>IF(AE76="","",IFERROR(INDEX($AL$11:$AL$4010,MATCH(66,$AZ$11:$AZ$4010,0)),""))</f>
        <v/>
      </c>
      <c r="AE76" s="26" t="str">
        <f>IFERROR(INDEX($AM$11:$AM$4010,MATCH(66,$AZ$11:$AZ$4010,0)),"")</f>
        <v/>
      </c>
      <c r="AF76" s="25" t="str">
        <f>IF(AE76="","",IFERROR(INDEX($AN$11:$AN$4010,MATCH(66,$AZ$11:$AZ$4010,0)),""))</f>
        <v/>
      </c>
      <c r="AG76" s="25" t="str">
        <f>IF(AE76="","",IFERROR(INDEX($AO$11:$AO$4010,MATCH(66,$AZ$11:$AZ$4010,0)),""))</f>
        <v/>
      </c>
      <c r="AH76" s="24" t="str">
        <f>IF(AE76="","",IFERROR(INDEX($AQ$11:$AQ$4010,MATCH(66,$AZ$11:$AZ$4010,0)),""))</f>
        <v/>
      </c>
      <c r="AI76" s="29" t="str">
        <f>IF(AE76="","",IFERROR(INDEX($AR$11:$AR$4010,MATCH(66,$AZ$11:$AZ$4010,0)),""))</f>
        <v/>
      </c>
      <c r="AJ76" s="29" t="str">
        <f>IF(AE76="","",IFERROR(INDEX($AT$11:$AT$4010,MATCH(66,$AZ$11:$AZ$4010,0)),""))</f>
        <v/>
      </c>
      <c r="AL76" s="31" t="str">
        <f t="shared" si="20"/>
        <v/>
      </c>
      <c r="AM76" s="26" t="str">
        <f t="shared" si="21"/>
        <v/>
      </c>
      <c r="AN76" s="32" t="str">
        <f t="shared" si="22"/>
        <v/>
      </c>
      <c r="AO76" s="32" t="str">
        <f t="shared" si="23"/>
        <v/>
      </c>
      <c r="AP76" s="24" t="str">
        <f t="shared" si="24"/>
        <v/>
      </c>
      <c r="AQ76" s="24" t="str">
        <f t="shared" si="25"/>
        <v/>
      </c>
      <c r="AR76" s="33" t="str">
        <f t="shared" si="26"/>
        <v/>
      </c>
      <c r="AS76" s="34"/>
      <c r="AT76" s="33"/>
      <c r="AV76" s="21">
        <f>IF(AND($AL76&lt;&gt;"",COUNTIF($AL$11:$AL76,$AL76)=1),1,0)</f>
        <v>0</v>
      </c>
      <c r="AW76" s="21">
        <f t="shared" ref="AW76:AW139" si="28">AW75+AV76</f>
        <v>0</v>
      </c>
      <c r="AX76" s="21" t="str">
        <f t="shared" si="27"/>
        <v/>
      </c>
      <c r="AY76" s="21" t="str">
        <f>IF(AND($AM76&lt;&gt;"",$AS76&lt;&gt;"✓"),SUMPRODUCT(($AM$11:$AM76&lt;&gt;"")*($AS$11:$AS76&lt;&gt;"✓")),"")</f>
        <v/>
      </c>
      <c r="AZ76" s="21" t="str">
        <f>IF(AND($AM76&lt;&gt;"",$AS76="✓"),SUMPRODUCT(($AM$11:$AM76&lt;&gt;"")*($AS$11:$AS76="✓")),"")</f>
        <v/>
      </c>
      <c r="BA76" s="21" t="str">
        <f>IF($AL76="","",$AL76&amp;"|"&amp;COUNTIF($AL$11:$AL76,$AL76))</f>
        <v/>
      </c>
    </row>
    <row r="77" spans="2:69" ht="15" customHeight="1" x14ac:dyDescent="0.25">
      <c r="B77" s="5" t="str">
        <f t="shared" si="15"/>
        <v/>
      </c>
      <c r="C77" s="5"/>
      <c r="D77" s="5"/>
      <c r="E77" s="5"/>
      <c r="F77" s="6"/>
      <c r="G77" s="6"/>
      <c r="H77" s="7"/>
      <c r="I77" s="8"/>
      <c r="K77" s="9" t="str">
        <f>IFERROR(INDEX($AL$11:$AL$4010,MATCH(67,$AX$11:$AX$4010,0)),"")</f>
        <v/>
      </c>
      <c r="L77" s="10" t="str">
        <f t="shared" si="16"/>
        <v/>
      </c>
      <c r="M77" s="11" t="str">
        <f t="shared" si="17"/>
        <v/>
      </c>
      <c r="N77" s="11" t="str">
        <f t="shared" si="18"/>
        <v/>
      </c>
      <c r="P77" s="12" t="str">
        <f>IFERROR(INDEX($AM$11:$AM$4010,MATCH($S$8&amp;"|"&amp;67,$BA$11:$BA$4010,0)),"")</f>
        <v/>
      </c>
      <c r="Q77" s="11" t="str">
        <f>IF(P77="","",IFERROR(INDEX($AN$11:$AN$4010,MATCH($S$8&amp;"|"&amp;67,$BA$11:$BA$4010,0)),""))</f>
        <v/>
      </c>
      <c r="R77" s="11" t="str">
        <f>IF(P77="","",IFERROR(INDEX($AO$11:$AO$4010,MATCH($S$8&amp;"|"&amp;67,$BA$11:$BA$4010,0)),""))</f>
        <v/>
      </c>
      <c r="S77" s="10" t="str">
        <f>IF(P77="","",IFERROR(INDEX($AP$11:$AP$4010,MATCH($S$8&amp;"|"&amp;67,$BA$11:$BA$4010,0)),""))</f>
        <v/>
      </c>
      <c r="T77" s="10" t="str">
        <f>IF(P77="","",IFERROR(INDEX($AQ$11:$AQ$4010,MATCH($S$8&amp;"|"&amp;67,$BA$11:$BA$4010,0)),""))</f>
        <v/>
      </c>
      <c r="U77" s="39" t="str">
        <f t="shared" si="19"/>
        <v/>
      </c>
      <c r="W77" s="14" t="str">
        <f>IF(X77="","",IFERROR(INDEX($AL$11:$AL$4010,MATCH(67,$AY$11:$AY$4010,0)),""))</f>
        <v/>
      </c>
      <c r="X77" s="12" t="str">
        <f>IFERROR(INDEX($AM$11:$AM$4010,MATCH(67,$AY$11:$AY$4010,0)),"")</f>
        <v/>
      </c>
      <c r="Y77" s="11" t="str">
        <f>IF(X77="","",IFERROR(INDEX($AN$11:$AN$4010,MATCH(67,$AY$11:$AY$4010,0)),""))</f>
        <v/>
      </c>
      <c r="Z77" s="11" t="str">
        <f>IF(X77="","",IFERROR(INDEX($AO$11:$AO$4010,MATCH(67,$AY$11:$AY$4010,0)),""))</f>
        <v/>
      </c>
      <c r="AA77" s="10" t="str">
        <f>IF(X77="","",IFERROR(INDEX($AQ$11:$AQ$4010,MATCH(67,$AY$11:$AY$4010,0)),""))</f>
        <v/>
      </c>
      <c r="AB77" s="15" t="str">
        <f>IF(X77="","",IFERROR(INDEX($AR$11:$AR$4010,MATCH(67,$AY$11:$AY$4010,0)),""))</f>
        <v/>
      </c>
      <c r="AD77" s="16" t="str">
        <f>IF(AE77="","",IFERROR(INDEX($AL$11:$AL$4010,MATCH(67,$AZ$11:$AZ$4010,0)),""))</f>
        <v/>
      </c>
      <c r="AE77" s="12" t="str">
        <f>IFERROR(INDEX($AM$11:$AM$4010,MATCH(67,$AZ$11:$AZ$4010,0)),"")</f>
        <v/>
      </c>
      <c r="AF77" s="11" t="str">
        <f>IF(AE77="","",IFERROR(INDEX($AN$11:$AN$4010,MATCH(67,$AZ$11:$AZ$4010,0)),""))</f>
        <v/>
      </c>
      <c r="AG77" s="11" t="str">
        <f>IF(AE77="","",IFERROR(INDEX($AO$11:$AO$4010,MATCH(67,$AZ$11:$AZ$4010,0)),""))</f>
        <v/>
      </c>
      <c r="AH77" s="10" t="str">
        <f>IF(AE77="","",IFERROR(INDEX($AQ$11:$AQ$4010,MATCH(67,$AZ$11:$AZ$4010,0)),""))</f>
        <v/>
      </c>
      <c r="AI77" s="15" t="str">
        <f>IF(AE77="","",IFERROR(INDEX($AR$11:$AR$4010,MATCH(67,$AZ$11:$AZ$4010,0)),""))</f>
        <v/>
      </c>
      <c r="AJ77" s="15" t="str">
        <f>IF(AE77="","",IFERROR(INDEX($AT$11:$AT$4010,MATCH(67,$AZ$11:$AZ$4010,0)),""))</f>
        <v/>
      </c>
      <c r="AL77" s="17" t="str">
        <f t="shared" si="20"/>
        <v/>
      </c>
      <c r="AM77" s="12" t="str">
        <f t="shared" si="21"/>
        <v/>
      </c>
      <c r="AN77" s="18" t="str">
        <f t="shared" si="22"/>
        <v/>
      </c>
      <c r="AO77" s="18" t="str">
        <f t="shared" si="23"/>
        <v/>
      </c>
      <c r="AP77" s="10" t="str">
        <f t="shared" si="24"/>
        <v/>
      </c>
      <c r="AQ77" s="10" t="str">
        <f t="shared" si="25"/>
        <v/>
      </c>
      <c r="AR77" s="19" t="str">
        <f t="shared" si="26"/>
        <v/>
      </c>
      <c r="AS77" s="20"/>
      <c r="AT77" s="19"/>
      <c r="AV77" s="21">
        <f>IF(AND($AL77&lt;&gt;"",COUNTIF($AL$11:$AL77,$AL77)=1),1,0)</f>
        <v>0</v>
      </c>
      <c r="AW77" s="21">
        <f t="shared" si="28"/>
        <v>0</v>
      </c>
      <c r="AX77" s="21" t="str">
        <f t="shared" si="27"/>
        <v/>
      </c>
      <c r="AY77" s="21" t="str">
        <f>IF(AND($AM77&lt;&gt;"",$AS77&lt;&gt;"✓"),SUMPRODUCT(($AM$11:$AM77&lt;&gt;"")*($AS$11:$AS77&lt;&gt;"✓")),"")</f>
        <v/>
      </c>
      <c r="AZ77" s="21" t="str">
        <f>IF(AND($AM77&lt;&gt;"",$AS77="✓"),SUMPRODUCT(($AM$11:$AM77&lt;&gt;"")*($AS$11:$AS77="✓")),"")</f>
        <v/>
      </c>
      <c r="BA77" s="21" t="str">
        <f>IF($AL77="","",$AL77&amp;"|"&amp;COUNTIF($AL$11:$AL77,$AL77))</f>
        <v/>
      </c>
    </row>
    <row r="78" spans="2:69" ht="15" customHeight="1" x14ac:dyDescent="0.25">
      <c r="B78" s="5" t="str">
        <f t="shared" si="15"/>
        <v/>
      </c>
      <c r="C78" s="5"/>
      <c r="D78" s="5"/>
      <c r="E78" s="5"/>
      <c r="F78" s="6"/>
      <c r="G78" s="6"/>
      <c r="H78" s="7"/>
      <c r="I78" s="8"/>
      <c r="K78" s="23" t="str">
        <f>IFERROR(INDEX($AL$11:$AL$4010,MATCH(68,$AX$11:$AX$4010,0)),"")</f>
        <v/>
      </c>
      <c r="L78" s="24" t="str">
        <f t="shared" si="16"/>
        <v/>
      </c>
      <c r="M78" s="25" t="str">
        <f t="shared" si="17"/>
        <v/>
      </c>
      <c r="N78" s="25" t="str">
        <f t="shared" si="18"/>
        <v/>
      </c>
      <c r="P78" s="26" t="str">
        <f>IFERROR(INDEX($AM$11:$AM$4010,MATCH($S$8&amp;"|"&amp;68,$BA$11:$BA$4010,0)),"")</f>
        <v/>
      </c>
      <c r="Q78" s="25" t="str">
        <f>IF(P78="","",IFERROR(INDEX($AN$11:$AN$4010,MATCH($S$8&amp;"|"&amp;68,$BA$11:$BA$4010,0)),""))</f>
        <v/>
      </c>
      <c r="R78" s="25" t="str">
        <f>IF(P78="","",IFERROR(INDEX($AO$11:$AO$4010,MATCH($S$8&amp;"|"&amp;68,$BA$11:$BA$4010,0)),""))</f>
        <v/>
      </c>
      <c r="S78" s="24" t="str">
        <f>IF(P78="","",IFERROR(INDEX($AP$11:$AP$4010,MATCH($S$8&amp;"|"&amp;68,$BA$11:$BA$4010,0)),""))</f>
        <v/>
      </c>
      <c r="T78" s="24" t="str">
        <f>IF(P78="","",IFERROR(INDEX($AQ$11:$AQ$4010,MATCH($S$8&amp;"|"&amp;68,$BA$11:$BA$4010,0)),""))</f>
        <v/>
      </c>
      <c r="U78" s="38" t="str">
        <f t="shared" si="19"/>
        <v/>
      </c>
      <c r="W78" s="28" t="str">
        <f>IF(X78="","",IFERROR(INDEX($AL$11:$AL$4010,MATCH(68,$AY$11:$AY$4010,0)),""))</f>
        <v/>
      </c>
      <c r="X78" s="26" t="str">
        <f>IFERROR(INDEX($AM$11:$AM$4010,MATCH(68,$AY$11:$AY$4010,0)),"")</f>
        <v/>
      </c>
      <c r="Y78" s="25" t="str">
        <f>IF(X78="","",IFERROR(INDEX($AN$11:$AN$4010,MATCH(68,$AY$11:$AY$4010,0)),""))</f>
        <v/>
      </c>
      <c r="Z78" s="25" t="str">
        <f>IF(X78="","",IFERROR(INDEX($AO$11:$AO$4010,MATCH(68,$AY$11:$AY$4010,0)),""))</f>
        <v/>
      </c>
      <c r="AA78" s="24" t="str">
        <f>IF(X78="","",IFERROR(INDEX($AQ$11:$AQ$4010,MATCH(68,$AY$11:$AY$4010,0)),""))</f>
        <v/>
      </c>
      <c r="AB78" s="29" t="str">
        <f>IF(X78="","",IFERROR(INDEX($AR$11:$AR$4010,MATCH(68,$AY$11:$AY$4010,0)),""))</f>
        <v/>
      </c>
      <c r="AD78" s="30" t="str">
        <f>IF(AE78="","",IFERROR(INDEX($AL$11:$AL$4010,MATCH(68,$AZ$11:$AZ$4010,0)),""))</f>
        <v/>
      </c>
      <c r="AE78" s="26" t="str">
        <f>IFERROR(INDEX($AM$11:$AM$4010,MATCH(68,$AZ$11:$AZ$4010,0)),"")</f>
        <v/>
      </c>
      <c r="AF78" s="25" t="str">
        <f>IF(AE78="","",IFERROR(INDEX($AN$11:$AN$4010,MATCH(68,$AZ$11:$AZ$4010,0)),""))</f>
        <v/>
      </c>
      <c r="AG78" s="25" t="str">
        <f>IF(AE78="","",IFERROR(INDEX($AO$11:$AO$4010,MATCH(68,$AZ$11:$AZ$4010,0)),""))</f>
        <v/>
      </c>
      <c r="AH78" s="24" t="str">
        <f>IF(AE78="","",IFERROR(INDEX($AQ$11:$AQ$4010,MATCH(68,$AZ$11:$AZ$4010,0)),""))</f>
        <v/>
      </c>
      <c r="AI78" s="29" t="str">
        <f>IF(AE78="","",IFERROR(INDEX($AR$11:$AR$4010,MATCH(68,$AZ$11:$AZ$4010,0)),""))</f>
        <v/>
      </c>
      <c r="AJ78" s="29" t="str">
        <f>IF(AE78="","",IFERROR(INDEX($AT$11:$AT$4010,MATCH(68,$AZ$11:$AZ$4010,0)),""))</f>
        <v/>
      </c>
      <c r="AL78" s="31" t="str">
        <f t="shared" si="20"/>
        <v/>
      </c>
      <c r="AM78" s="26" t="str">
        <f t="shared" si="21"/>
        <v/>
      </c>
      <c r="AN78" s="32" t="str">
        <f t="shared" si="22"/>
        <v/>
      </c>
      <c r="AO78" s="32" t="str">
        <f t="shared" si="23"/>
        <v/>
      </c>
      <c r="AP78" s="24" t="str">
        <f t="shared" si="24"/>
        <v/>
      </c>
      <c r="AQ78" s="24" t="str">
        <f t="shared" si="25"/>
        <v/>
      </c>
      <c r="AR78" s="33" t="str">
        <f t="shared" si="26"/>
        <v/>
      </c>
      <c r="AS78" s="34"/>
      <c r="AT78" s="33"/>
      <c r="AV78" s="21">
        <f>IF(AND($AL78&lt;&gt;"",COUNTIF($AL$11:$AL78,$AL78)=1),1,0)</f>
        <v>0</v>
      </c>
      <c r="AW78" s="21">
        <f t="shared" si="28"/>
        <v>0</v>
      </c>
      <c r="AX78" s="21" t="str">
        <f t="shared" si="27"/>
        <v/>
      </c>
      <c r="AY78" s="21" t="str">
        <f>IF(AND($AM78&lt;&gt;"",$AS78&lt;&gt;"✓"),SUMPRODUCT(($AM$11:$AM78&lt;&gt;"")*($AS$11:$AS78&lt;&gt;"✓")),"")</f>
        <v/>
      </c>
      <c r="AZ78" s="21" t="str">
        <f>IF(AND($AM78&lt;&gt;"",$AS78="✓"),SUMPRODUCT(($AM$11:$AM78&lt;&gt;"")*($AS$11:$AS78="✓")),"")</f>
        <v/>
      </c>
      <c r="BA78" s="21" t="str">
        <f>IF($AL78="","",$AL78&amp;"|"&amp;COUNTIF($AL$11:$AL78,$AL78))</f>
        <v/>
      </c>
    </row>
    <row r="79" spans="2:69" ht="15" customHeight="1" x14ac:dyDescent="0.25">
      <c r="B79" s="5" t="str">
        <f t="shared" si="15"/>
        <v/>
      </c>
      <c r="C79" s="5"/>
      <c r="D79" s="5"/>
      <c r="E79" s="5"/>
      <c r="F79" s="6"/>
      <c r="G79" s="6"/>
      <c r="H79" s="7"/>
      <c r="I79" s="8"/>
      <c r="K79" s="9" t="str">
        <f>IFERROR(INDEX($AL$11:$AL$4010,MATCH(69,$AX$11:$AX$4010,0)),"")</f>
        <v/>
      </c>
      <c r="L79" s="10" t="str">
        <f t="shared" si="16"/>
        <v/>
      </c>
      <c r="M79" s="11" t="str">
        <f t="shared" si="17"/>
        <v/>
      </c>
      <c r="N79" s="11" t="str">
        <f t="shared" si="18"/>
        <v/>
      </c>
      <c r="P79" s="12" t="str">
        <f>IFERROR(INDEX($AM$11:$AM$4010,MATCH($S$8&amp;"|"&amp;69,$BA$11:$BA$4010,0)),"")</f>
        <v/>
      </c>
      <c r="Q79" s="11" t="str">
        <f>IF(P79="","",IFERROR(INDEX($AN$11:$AN$4010,MATCH($S$8&amp;"|"&amp;69,$BA$11:$BA$4010,0)),""))</f>
        <v/>
      </c>
      <c r="R79" s="11" t="str">
        <f>IF(P79="","",IFERROR(INDEX($AO$11:$AO$4010,MATCH($S$8&amp;"|"&amp;69,$BA$11:$BA$4010,0)),""))</f>
        <v/>
      </c>
      <c r="S79" s="10" t="str">
        <f>IF(P79="","",IFERROR(INDEX($AP$11:$AP$4010,MATCH($S$8&amp;"|"&amp;69,$BA$11:$BA$4010,0)),""))</f>
        <v/>
      </c>
      <c r="T79" s="10" t="str">
        <f>IF(P79="","",IFERROR(INDEX($AQ$11:$AQ$4010,MATCH($S$8&amp;"|"&amp;69,$BA$11:$BA$4010,0)),""))</f>
        <v/>
      </c>
      <c r="U79" s="39" t="str">
        <f t="shared" si="19"/>
        <v/>
      </c>
      <c r="W79" s="14" t="str">
        <f>IF(X79="","",IFERROR(INDEX($AL$11:$AL$4010,MATCH(69,$AY$11:$AY$4010,0)),""))</f>
        <v/>
      </c>
      <c r="X79" s="12" t="str">
        <f>IFERROR(INDEX($AM$11:$AM$4010,MATCH(69,$AY$11:$AY$4010,0)),"")</f>
        <v/>
      </c>
      <c r="Y79" s="11" t="str">
        <f>IF(X79="","",IFERROR(INDEX($AN$11:$AN$4010,MATCH(69,$AY$11:$AY$4010,0)),""))</f>
        <v/>
      </c>
      <c r="Z79" s="11" t="str">
        <f>IF(X79="","",IFERROR(INDEX($AO$11:$AO$4010,MATCH(69,$AY$11:$AY$4010,0)),""))</f>
        <v/>
      </c>
      <c r="AA79" s="10" t="str">
        <f>IF(X79="","",IFERROR(INDEX($AQ$11:$AQ$4010,MATCH(69,$AY$11:$AY$4010,0)),""))</f>
        <v/>
      </c>
      <c r="AB79" s="15" t="str">
        <f>IF(X79="","",IFERROR(INDEX($AR$11:$AR$4010,MATCH(69,$AY$11:$AY$4010,0)),""))</f>
        <v/>
      </c>
      <c r="AD79" s="16" t="str">
        <f>IF(AE79="","",IFERROR(INDEX($AL$11:$AL$4010,MATCH(69,$AZ$11:$AZ$4010,0)),""))</f>
        <v/>
      </c>
      <c r="AE79" s="12" t="str">
        <f>IFERROR(INDEX($AM$11:$AM$4010,MATCH(69,$AZ$11:$AZ$4010,0)),"")</f>
        <v/>
      </c>
      <c r="AF79" s="11" t="str">
        <f>IF(AE79="","",IFERROR(INDEX($AN$11:$AN$4010,MATCH(69,$AZ$11:$AZ$4010,0)),""))</f>
        <v/>
      </c>
      <c r="AG79" s="11" t="str">
        <f>IF(AE79="","",IFERROR(INDEX($AO$11:$AO$4010,MATCH(69,$AZ$11:$AZ$4010,0)),""))</f>
        <v/>
      </c>
      <c r="AH79" s="10" t="str">
        <f>IF(AE79="","",IFERROR(INDEX($AQ$11:$AQ$4010,MATCH(69,$AZ$11:$AZ$4010,0)),""))</f>
        <v/>
      </c>
      <c r="AI79" s="15" t="str">
        <f>IF(AE79="","",IFERROR(INDEX($AR$11:$AR$4010,MATCH(69,$AZ$11:$AZ$4010,0)),""))</f>
        <v/>
      </c>
      <c r="AJ79" s="15" t="str">
        <f>IF(AE79="","",IFERROR(INDEX($AT$11:$AT$4010,MATCH(69,$AZ$11:$AZ$4010,0)),""))</f>
        <v/>
      </c>
      <c r="AL79" s="17" t="str">
        <f t="shared" si="20"/>
        <v/>
      </c>
      <c r="AM79" s="12" t="str">
        <f t="shared" si="21"/>
        <v/>
      </c>
      <c r="AN79" s="18" t="str">
        <f t="shared" si="22"/>
        <v/>
      </c>
      <c r="AO79" s="18" t="str">
        <f t="shared" si="23"/>
        <v/>
      </c>
      <c r="AP79" s="10" t="str">
        <f t="shared" si="24"/>
        <v/>
      </c>
      <c r="AQ79" s="10" t="str">
        <f t="shared" si="25"/>
        <v/>
      </c>
      <c r="AR79" s="19" t="str">
        <f t="shared" si="26"/>
        <v/>
      </c>
      <c r="AS79" s="20"/>
      <c r="AT79" s="19"/>
      <c r="AV79" s="21">
        <f>IF(AND($AL79&lt;&gt;"",COUNTIF($AL$11:$AL79,$AL79)=1),1,0)</f>
        <v>0</v>
      </c>
      <c r="AW79" s="21">
        <f t="shared" si="28"/>
        <v>0</v>
      </c>
      <c r="AX79" s="21" t="str">
        <f t="shared" si="27"/>
        <v/>
      </c>
      <c r="AY79" s="21" t="str">
        <f>IF(AND($AM79&lt;&gt;"",$AS79&lt;&gt;"✓"),SUMPRODUCT(($AM$11:$AM79&lt;&gt;"")*($AS$11:$AS79&lt;&gt;"✓")),"")</f>
        <v/>
      </c>
      <c r="AZ79" s="21" t="str">
        <f>IF(AND($AM79&lt;&gt;"",$AS79="✓"),SUMPRODUCT(($AM$11:$AM79&lt;&gt;"")*($AS$11:$AS79="✓")),"")</f>
        <v/>
      </c>
      <c r="BA79" s="21" t="str">
        <f>IF($AL79="","",$AL79&amp;"|"&amp;COUNTIF($AL$11:$AL79,$AL79))</f>
        <v/>
      </c>
    </row>
    <row r="80" spans="2:69" ht="15" customHeight="1" x14ac:dyDescent="0.25">
      <c r="B80" s="5" t="str">
        <f t="shared" si="15"/>
        <v/>
      </c>
      <c r="C80" s="5"/>
      <c r="D80" s="5"/>
      <c r="E80" s="5"/>
      <c r="F80" s="6"/>
      <c r="G80" s="6"/>
      <c r="H80" s="7"/>
      <c r="I80" s="8"/>
      <c r="K80" s="23" t="str">
        <f>IFERROR(INDEX($AL$11:$AL$4010,MATCH(70,$AX$11:$AX$4010,0)),"")</f>
        <v/>
      </c>
      <c r="L80" s="24" t="str">
        <f t="shared" si="16"/>
        <v/>
      </c>
      <c r="M80" s="25" t="str">
        <f t="shared" si="17"/>
        <v/>
      </c>
      <c r="N80" s="25" t="str">
        <f t="shared" si="18"/>
        <v/>
      </c>
      <c r="P80" s="26" t="str">
        <f>IFERROR(INDEX($AM$11:$AM$4010,MATCH($S$8&amp;"|"&amp;70,$BA$11:$BA$4010,0)),"")</f>
        <v/>
      </c>
      <c r="Q80" s="25" t="str">
        <f>IF(P80="","",IFERROR(INDEX($AN$11:$AN$4010,MATCH($S$8&amp;"|"&amp;70,$BA$11:$BA$4010,0)),""))</f>
        <v/>
      </c>
      <c r="R80" s="25" t="str">
        <f>IF(P80="","",IFERROR(INDEX($AO$11:$AO$4010,MATCH($S$8&amp;"|"&amp;70,$BA$11:$BA$4010,0)),""))</f>
        <v/>
      </c>
      <c r="S80" s="24" t="str">
        <f>IF(P80="","",IFERROR(INDEX($AP$11:$AP$4010,MATCH($S$8&amp;"|"&amp;70,$BA$11:$BA$4010,0)),""))</f>
        <v/>
      </c>
      <c r="T80" s="24" t="str">
        <f>IF(P80="","",IFERROR(INDEX($AQ$11:$AQ$4010,MATCH($S$8&amp;"|"&amp;70,$BA$11:$BA$4010,0)),""))</f>
        <v/>
      </c>
      <c r="U80" s="38" t="str">
        <f t="shared" si="19"/>
        <v/>
      </c>
      <c r="W80" s="28" t="str">
        <f>IF(X80="","",IFERROR(INDEX($AL$11:$AL$4010,MATCH(70,$AY$11:$AY$4010,0)),""))</f>
        <v/>
      </c>
      <c r="X80" s="26" t="str">
        <f>IFERROR(INDEX($AM$11:$AM$4010,MATCH(70,$AY$11:$AY$4010,0)),"")</f>
        <v/>
      </c>
      <c r="Y80" s="25" t="str">
        <f>IF(X80="","",IFERROR(INDEX($AN$11:$AN$4010,MATCH(70,$AY$11:$AY$4010,0)),""))</f>
        <v/>
      </c>
      <c r="Z80" s="25" t="str">
        <f>IF(X80="","",IFERROR(INDEX($AO$11:$AO$4010,MATCH(70,$AY$11:$AY$4010,0)),""))</f>
        <v/>
      </c>
      <c r="AA80" s="24" t="str">
        <f>IF(X80="","",IFERROR(INDEX($AQ$11:$AQ$4010,MATCH(70,$AY$11:$AY$4010,0)),""))</f>
        <v/>
      </c>
      <c r="AB80" s="29" t="str">
        <f>IF(X80="","",IFERROR(INDEX($AR$11:$AR$4010,MATCH(70,$AY$11:$AY$4010,0)),""))</f>
        <v/>
      </c>
      <c r="AD80" s="30" t="str">
        <f>IF(AE80="","",IFERROR(INDEX($AL$11:$AL$4010,MATCH(70,$AZ$11:$AZ$4010,0)),""))</f>
        <v/>
      </c>
      <c r="AE80" s="26" t="str">
        <f>IFERROR(INDEX($AM$11:$AM$4010,MATCH(70,$AZ$11:$AZ$4010,0)),"")</f>
        <v/>
      </c>
      <c r="AF80" s="25" t="str">
        <f>IF(AE80="","",IFERROR(INDEX($AN$11:$AN$4010,MATCH(70,$AZ$11:$AZ$4010,0)),""))</f>
        <v/>
      </c>
      <c r="AG80" s="25" t="str">
        <f>IF(AE80="","",IFERROR(INDEX($AO$11:$AO$4010,MATCH(70,$AZ$11:$AZ$4010,0)),""))</f>
        <v/>
      </c>
      <c r="AH80" s="24" t="str">
        <f>IF(AE80="","",IFERROR(INDEX($AQ$11:$AQ$4010,MATCH(70,$AZ$11:$AZ$4010,0)),""))</f>
        <v/>
      </c>
      <c r="AI80" s="29" t="str">
        <f>IF(AE80="","",IFERROR(INDEX($AR$11:$AR$4010,MATCH(70,$AZ$11:$AZ$4010,0)),""))</f>
        <v/>
      </c>
      <c r="AJ80" s="29" t="str">
        <f>IF(AE80="","",IFERROR(INDEX($AT$11:$AT$4010,MATCH(70,$AZ$11:$AZ$4010,0)),""))</f>
        <v/>
      </c>
      <c r="AL80" s="31" t="str">
        <f t="shared" si="20"/>
        <v/>
      </c>
      <c r="AM80" s="26" t="str">
        <f t="shared" si="21"/>
        <v/>
      </c>
      <c r="AN80" s="32" t="str">
        <f t="shared" si="22"/>
        <v/>
      </c>
      <c r="AO80" s="32" t="str">
        <f t="shared" si="23"/>
        <v/>
      </c>
      <c r="AP80" s="24" t="str">
        <f t="shared" si="24"/>
        <v/>
      </c>
      <c r="AQ80" s="24" t="str">
        <f t="shared" si="25"/>
        <v/>
      </c>
      <c r="AR80" s="33" t="str">
        <f t="shared" si="26"/>
        <v/>
      </c>
      <c r="AS80" s="34"/>
      <c r="AT80" s="33"/>
      <c r="AV80" s="21">
        <f>IF(AND($AL80&lt;&gt;"",COUNTIF($AL$11:$AL80,$AL80)=1),1,0)</f>
        <v>0</v>
      </c>
      <c r="AW80" s="21">
        <f t="shared" si="28"/>
        <v>0</v>
      </c>
      <c r="AX80" s="21" t="str">
        <f t="shared" si="27"/>
        <v/>
      </c>
      <c r="AY80" s="21" t="str">
        <f>IF(AND($AM80&lt;&gt;"",$AS80&lt;&gt;"✓"),SUMPRODUCT(($AM$11:$AM80&lt;&gt;"")*($AS$11:$AS80&lt;&gt;"✓")),"")</f>
        <v/>
      </c>
      <c r="AZ80" s="21" t="str">
        <f>IF(AND($AM80&lt;&gt;"",$AS80="✓"),SUMPRODUCT(($AM$11:$AM80&lt;&gt;"")*($AS$11:$AS80="✓")),"")</f>
        <v/>
      </c>
      <c r="BA80" s="21" t="str">
        <f>IF($AL80="","",$AL80&amp;"|"&amp;COUNTIF($AL$11:$AL80,$AL80))</f>
        <v/>
      </c>
    </row>
    <row r="81" spans="2:53" ht="15" customHeight="1" x14ac:dyDescent="0.25">
      <c r="B81" s="5" t="str">
        <f t="shared" si="15"/>
        <v/>
      </c>
      <c r="C81" s="5"/>
      <c r="D81" s="5"/>
      <c r="E81" s="5"/>
      <c r="F81" s="6"/>
      <c r="G81" s="6"/>
      <c r="H81" s="7"/>
      <c r="I81" s="8"/>
      <c r="K81" s="9" t="str">
        <f>IFERROR(INDEX($AL$11:$AL$4010,MATCH(71,$AX$11:$AX$4010,0)),"")</f>
        <v/>
      </c>
      <c r="L81" s="10" t="str">
        <f t="shared" si="16"/>
        <v/>
      </c>
      <c r="M81" s="11" t="str">
        <f t="shared" si="17"/>
        <v/>
      </c>
      <c r="N81" s="11" t="str">
        <f t="shared" si="18"/>
        <v/>
      </c>
      <c r="P81" s="12" t="str">
        <f>IFERROR(INDEX($AM$11:$AM$4010,MATCH($S$8&amp;"|"&amp;71,$BA$11:$BA$4010,0)),"")</f>
        <v/>
      </c>
      <c r="Q81" s="11" t="str">
        <f>IF(P81="","",IFERROR(INDEX($AN$11:$AN$4010,MATCH($S$8&amp;"|"&amp;71,$BA$11:$BA$4010,0)),""))</f>
        <v/>
      </c>
      <c r="R81" s="11" t="str">
        <f>IF(P81="","",IFERROR(INDEX($AO$11:$AO$4010,MATCH($S$8&amp;"|"&amp;71,$BA$11:$BA$4010,0)),""))</f>
        <v/>
      </c>
      <c r="S81" s="10" t="str">
        <f>IF(P81="","",IFERROR(INDEX($AP$11:$AP$4010,MATCH($S$8&amp;"|"&amp;71,$BA$11:$BA$4010,0)),""))</f>
        <v/>
      </c>
      <c r="T81" s="10" t="str">
        <f>IF(P81="","",IFERROR(INDEX($AQ$11:$AQ$4010,MATCH($S$8&amp;"|"&amp;71,$BA$11:$BA$4010,0)),""))</f>
        <v/>
      </c>
      <c r="U81" s="39" t="str">
        <f t="shared" si="19"/>
        <v/>
      </c>
      <c r="W81" s="14" t="str">
        <f>IF(X81="","",IFERROR(INDEX($AL$11:$AL$4010,MATCH(71,$AY$11:$AY$4010,0)),""))</f>
        <v/>
      </c>
      <c r="X81" s="12" t="str">
        <f>IFERROR(INDEX($AM$11:$AM$4010,MATCH(71,$AY$11:$AY$4010,0)),"")</f>
        <v/>
      </c>
      <c r="Y81" s="11" t="str">
        <f>IF(X81="","",IFERROR(INDEX($AN$11:$AN$4010,MATCH(71,$AY$11:$AY$4010,0)),""))</f>
        <v/>
      </c>
      <c r="Z81" s="11" t="str">
        <f>IF(X81="","",IFERROR(INDEX($AO$11:$AO$4010,MATCH(71,$AY$11:$AY$4010,0)),""))</f>
        <v/>
      </c>
      <c r="AA81" s="10" t="str">
        <f>IF(X81="","",IFERROR(INDEX($AQ$11:$AQ$4010,MATCH(71,$AY$11:$AY$4010,0)),""))</f>
        <v/>
      </c>
      <c r="AB81" s="15" t="str">
        <f>IF(X81="","",IFERROR(INDEX($AR$11:$AR$4010,MATCH(71,$AY$11:$AY$4010,0)),""))</f>
        <v/>
      </c>
      <c r="AD81" s="16" t="str">
        <f>IF(AE81="","",IFERROR(INDEX($AL$11:$AL$4010,MATCH(71,$AZ$11:$AZ$4010,0)),""))</f>
        <v/>
      </c>
      <c r="AE81" s="12" t="str">
        <f>IFERROR(INDEX($AM$11:$AM$4010,MATCH(71,$AZ$11:$AZ$4010,0)),"")</f>
        <v/>
      </c>
      <c r="AF81" s="11" t="str">
        <f>IF(AE81="","",IFERROR(INDEX($AN$11:$AN$4010,MATCH(71,$AZ$11:$AZ$4010,0)),""))</f>
        <v/>
      </c>
      <c r="AG81" s="11" t="str">
        <f>IF(AE81="","",IFERROR(INDEX($AO$11:$AO$4010,MATCH(71,$AZ$11:$AZ$4010,0)),""))</f>
        <v/>
      </c>
      <c r="AH81" s="10" t="str">
        <f>IF(AE81="","",IFERROR(INDEX($AQ$11:$AQ$4010,MATCH(71,$AZ$11:$AZ$4010,0)),""))</f>
        <v/>
      </c>
      <c r="AI81" s="15" t="str">
        <f>IF(AE81="","",IFERROR(INDEX($AR$11:$AR$4010,MATCH(71,$AZ$11:$AZ$4010,0)),""))</f>
        <v/>
      </c>
      <c r="AJ81" s="15" t="str">
        <f>IF(AE81="","",IFERROR(INDEX($AT$11:$AT$4010,MATCH(71,$AZ$11:$AZ$4010,0)),""))</f>
        <v/>
      </c>
      <c r="AL81" s="17" t="str">
        <f t="shared" si="20"/>
        <v/>
      </c>
      <c r="AM81" s="12" t="str">
        <f t="shared" si="21"/>
        <v/>
      </c>
      <c r="AN81" s="18" t="str">
        <f t="shared" si="22"/>
        <v/>
      </c>
      <c r="AO81" s="18" t="str">
        <f t="shared" si="23"/>
        <v/>
      </c>
      <c r="AP81" s="10" t="str">
        <f t="shared" si="24"/>
        <v/>
      </c>
      <c r="AQ81" s="10" t="str">
        <f t="shared" si="25"/>
        <v/>
      </c>
      <c r="AR81" s="19" t="str">
        <f t="shared" si="26"/>
        <v/>
      </c>
      <c r="AS81" s="20"/>
      <c r="AT81" s="19"/>
      <c r="AV81" s="21">
        <f>IF(AND($AL81&lt;&gt;"",COUNTIF($AL$11:$AL81,$AL81)=1),1,0)</f>
        <v>0</v>
      </c>
      <c r="AW81" s="21">
        <f t="shared" si="28"/>
        <v>0</v>
      </c>
      <c r="AX81" s="21" t="str">
        <f t="shared" si="27"/>
        <v/>
      </c>
      <c r="AY81" s="21" t="str">
        <f>IF(AND($AM81&lt;&gt;"",$AS81&lt;&gt;"✓"),SUMPRODUCT(($AM$11:$AM81&lt;&gt;"")*($AS$11:$AS81&lt;&gt;"✓")),"")</f>
        <v/>
      </c>
      <c r="AZ81" s="21" t="str">
        <f>IF(AND($AM81&lt;&gt;"",$AS81="✓"),SUMPRODUCT(($AM$11:$AM81&lt;&gt;"")*($AS$11:$AS81="✓")),"")</f>
        <v/>
      </c>
      <c r="BA81" s="21" t="str">
        <f>IF($AL81="","",$AL81&amp;"|"&amp;COUNTIF($AL$11:$AL81,$AL81))</f>
        <v/>
      </c>
    </row>
    <row r="82" spans="2:53" ht="15" customHeight="1" x14ac:dyDescent="0.25">
      <c r="B82" s="5" t="str">
        <f t="shared" si="15"/>
        <v/>
      </c>
      <c r="C82" s="5"/>
      <c r="D82" s="5"/>
      <c r="E82" s="5"/>
      <c r="F82" s="6"/>
      <c r="G82" s="6"/>
      <c r="H82" s="7"/>
      <c r="I82" s="8"/>
      <c r="K82" s="23" t="str">
        <f>IFERROR(INDEX($AL$11:$AL$4010,MATCH(72,$AX$11:$AX$4010,0)),"")</f>
        <v/>
      </c>
      <c r="L82" s="24" t="str">
        <f t="shared" si="16"/>
        <v/>
      </c>
      <c r="M82" s="25" t="str">
        <f t="shared" si="17"/>
        <v/>
      </c>
      <c r="N82" s="25" t="str">
        <f t="shared" si="18"/>
        <v/>
      </c>
      <c r="P82" s="26" t="str">
        <f>IFERROR(INDEX($AM$11:$AM$4010,MATCH($S$8&amp;"|"&amp;72,$BA$11:$BA$4010,0)),"")</f>
        <v/>
      </c>
      <c r="Q82" s="25" t="str">
        <f>IF(P82="","",IFERROR(INDEX($AN$11:$AN$4010,MATCH($S$8&amp;"|"&amp;72,$BA$11:$BA$4010,0)),""))</f>
        <v/>
      </c>
      <c r="R82" s="25" t="str">
        <f>IF(P82="","",IFERROR(INDEX($AO$11:$AO$4010,MATCH($S$8&amp;"|"&amp;72,$BA$11:$BA$4010,0)),""))</f>
        <v/>
      </c>
      <c r="S82" s="24" t="str">
        <f>IF(P82="","",IFERROR(INDEX($AP$11:$AP$4010,MATCH($S$8&amp;"|"&amp;72,$BA$11:$BA$4010,0)),""))</f>
        <v/>
      </c>
      <c r="T82" s="24" t="str">
        <f>IF(P82="","",IFERROR(INDEX($AQ$11:$AQ$4010,MATCH($S$8&amp;"|"&amp;72,$BA$11:$BA$4010,0)),""))</f>
        <v/>
      </c>
      <c r="U82" s="38" t="str">
        <f t="shared" si="19"/>
        <v/>
      </c>
      <c r="W82" s="28" t="str">
        <f>IF(X82="","",IFERROR(INDEX($AL$11:$AL$4010,MATCH(72,$AY$11:$AY$4010,0)),""))</f>
        <v/>
      </c>
      <c r="X82" s="26" t="str">
        <f>IFERROR(INDEX($AM$11:$AM$4010,MATCH(72,$AY$11:$AY$4010,0)),"")</f>
        <v/>
      </c>
      <c r="Y82" s="25" t="str">
        <f>IF(X82="","",IFERROR(INDEX($AN$11:$AN$4010,MATCH(72,$AY$11:$AY$4010,0)),""))</f>
        <v/>
      </c>
      <c r="Z82" s="25" t="str">
        <f>IF(X82="","",IFERROR(INDEX($AO$11:$AO$4010,MATCH(72,$AY$11:$AY$4010,0)),""))</f>
        <v/>
      </c>
      <c r="AA82" s="24" t="str">
        <f>IF(X82="","",IFERROR(INDEX($AQ$11:$AQ$4010,MATCH(72,$AY$11:$AY$4010,0)),""))</f>
        <v/>
      </c>
      <c r="AB82" s="29" t="str">
        <f>IF(X82="","",IFERROR(INDEX($AR$11:$AR$4010,MATCH(72,$AY$11:$AY$4010,0)),""))</f>
        <v/>
      </c>
      <c r="AD82" s="30" t="str">
        <f>IF(AE82="","",IFERROR(INDEX($AL$11:$AL$4010,MATCH(72,$AZ$11:$AZ$4010,0)),""))</f>
        <v/>
      </c>
      <c r="AE82" s="26" t="str">
        <f>IFERROR(INDEX($AM$11:$AM$4010,MATCH(72,$AZ$11:$AZ$4010,0)),"")</f>
        <v/>
      </c>
      <c r="AF82" s="25" t="str">
        <f>IF(AE82="","",IFERROR(INDEX($AN$11:$AN$4010,MATCH(72,$AZ$11:$AZ$4010,0)),""))</f>
        <v/>
      </c>
      <c r="AG82" s="25" t="str">
        <f>IF(AE82="","",IFERROR(INDEX($AO$11:$AO$4010,MATCH(72,$AZ$11:$AZ$4010,0)),""))</f>
        <v/>
      </c>
      <c r="AH82" s="24" t="str">
        <f>IF(AE82="","",IFERROR(INDEX($AQ$11:$AQ$4010,MATCH(72,$AZ$11:$AZ$4010,0)),""))</f>
        <v/>
      </c>
      <c r="AI82" s="29" t="str">
        <f>IF(AE82="","",IFERROR(INDEX($AR$11:$AR$4010,MATCH(72,$AZ$11:$AZ$4010,0)),""))</f>
        <v/>
      </c>
      <c r="AJ82" s="29" t="str">
        <f>IF(AE82="","",IFERROR(INDEX($AT$11:$AT$4010,MATCH(72,$AZ$11:$AZ$4010,0)),""))</f>
        <v/>
      </c>
      <c r="AL82" s="31" t="str">
        <f t="shared" si="20"/>
        <v/>
      </c>
      <c r="AM82" s="26" t="str">
        <f t="shared" si="21"/>
        <v/>
      </c>
      <c r="AN82" s="32" t="str">
        <f t="shared" si="22"/>
        <v/>
      </c>
      <c r="AO82" s="32" t="str">
        <f t="shared" si="23"/>
        <v/>
      </c>
      <c r="AP82" s="24" t="str">
        <f t="shared" si="24"/>
        <v/>
      </c>
      <c r="AQ82" s="24" t="str">
        <f t="shared" si="25"/>
        <v/>
      </c>
      <c r="AR82" s="33" t="str">
        <f t="shared" si="26"/>
        <v/>
      </c>
      <c r="AS82" s="34"/>
      <c r="AT82" s="33"/>
      <c r="AV82" s="21">
        <f>IF(AND($AL82&lt;&gt;"",COUNTIF($AL$11:$AL82,$AL82)=1),1,0)</f>
        <v>0</v>
      </c>
      <c r="AW82" s="21">
        <f t="shared" si="28"/>
        <v>0</v>
      </c>
      <c r="AX82" s="21" t="str">
        <f t="shared" si="27"/>
        <v/>
      </c>
      <c r="AY82" s="21" t="str">
        <f>IF(AND($AM82&lt;&gt;"",$AS82&lt;&gt;"✓"),SUMPRODUCT(($AM$11:$AM82&lt;&gt;"")*($AS$11:$AS82&lt;&gt;"✓")),"")</f>
        <v/>
      </c>
      <c r="AZ82" s="21" t="str">
        <f>IF(AND($AM82&lt;&gt;"",$AS82="✓"),SUMPRODUCT(($AM$11:$AM82&lt;&gt;"")*($AS$11:$AS82="✓")),"")</f>
        <v/>
      </c>
      <c r="BA82" s="21" t="str">
        <f>IF($AL82="","",$AL82&amp;"|"&amp;COUNTIF($AL$11:$AL82,$AL82))</f>
        <v/>
      </c>
    </row>
    <row r="83" spans="2:53" ht="15" customHeight="1" x14ac:dyDescent="0.25">
      <c r="B83" s="5" t="str">
        <f t="shared" si="15"/>
        <v/>
      </c>
      <c r="C83" s="5"/>
      <c r="D83" s="5"/>
      <c r="E83" s="5"/>
      <c r="F83" s="6"/>
      <c r="G83" s="6"/>
      <c r="H83" s="7"/>
      <c r="I83" s="8"/>
      <c r="K83" s="9" t="str">
        <f>IFERROR(INDEX($AL$11:$AL$4010,MATCH(73,$AX$11:$AX$4010,0)),"")</f>
        <v/>
      </c>
      <c r="L83" s="10" t="str">
        <f t="shared" si="16"/>
        <v/>
      </c>
      <c r="M83" s="11" t="str">
        <f t="shared" si="17"/>
        <v/>
      </c>
      <c r="N83" s="11" t="str">
        <f t="shared" si="18"/>
        <v/>
      </c>
      <c r="P83" s="12" t="str">
        <f>IFERROR(INDEX($AM$11:$AM$4010,MATCH($S$8&amp;"|"&amp;73,$BA$11:$BA$4010,0)),"")</f>
        <v/>
      </c>
      <c r="Q83" s="11" t="str">
        <f>IF(P83="","",IFERROR(INDEX($AN$11:$AN$4010,MATCH($S$8&amp;"|"&amp;73,$BA$11:$BA$4010,0)),""))</f>
        <v/>
      </c>
      <c r="R83" s="11" t="str">
        <f>IF(P83="","",IFERROR(INDEX($AO$11:$AO$4010,MATCH($S$8&amp;"|"&amp;73,$BA$11:$BA$4010,0)),""))</f>
        <v/>
      </c>
      <c r="S83" s="10" t="str">
        <f>IF(P83="","",IFERROR(INDEX($AP$11:$AP$4010,MATCH($S$8&amp;"|"&amp;73,$BA$11:$BA$4010,0)),""))</f>
        <v/>
      </c>
      <c r="T83" s="10" t="str">
        <f>IF(P83="","",IFERROR(INDEX($AQ$11:$AQ$4010,MATCH($S$8&amp;"|"&amp;73,$BA$11:$BA$4010,0)),""))</f>
        <v/>
      </c>
      <c r="U83" s="39" t="str">
        <f t="shared" si="19"/>
        <v/>
      </c>
      <c r="W83" s="14" t="str">
        <f>IF(X83="","",IFERROR(INDEX($AL$11:$AL$4010,MATCH(73,$AY$11:$AY$4010,0)),""))</f>
        <v/>
      </c>
      <c r="X83" s="12" t="str">
        <f>IFERROR(INDEX($AM$11:$AM$4010,MATCH(73,$AY$11:$AY$4010,0)),"")</f>
        <v/>
      </c>
      <c r="Y83" s="11" t="str">
        <f>IF(X83="","",IFERROR(INDEX($AN$11:$AN$4010,MATCH(73,$AY$11:$AY$4010,0)),""))</f>
        <v/>
      </c>
      <c r="Z83" s="11" t="str">
        <f>IF(X83="","",IFERROR(INDEX($AO$11:$AO$4010,MATCH(73,$AY$11:$AY$4010,0)),""))</f>
        <v/>
      </c>
      <c r="AA83" s="10" t="str">
        <f>IF(X83="","",IFERROR(INDEX($AQ$11:$AQ$4010,MATCH(73,$AY$11:$AY$4010,0)),""))</f>
        <v/>
      </c>
      <c r="AB83" s="15" t="str">
        <f>IF(X83="","",IFERROR(INDEX($AR$11:$AR$4010,MATCH(73,$AY$11:$AY$4010,0)),""))</f>
        <v/>
      </c>
      <c r="AD83" s="16" t="str">
        <f>IF(AE83="","",IFERROR(INDEX($AL$11:$AL$4010,MATCH(73,$AZ$11:$AZ$4010,0)),""))</f>
        <v/>
      </c>
      <c r="AE83" s="12" t="str">
        <f>IFERROR(INDEX($AM$11:$AM$4010,MATCH(73,$AZ$11:$AZ$4010,0)),"")</f>
        <v/>
      </c>
      <c r="AF83" s="11" t="str">
        <f>IF(AE83="","",IFERROR(INDEX($AN$11:$AN$4010,MATCH(73,$AZ$11:$AZ$4010,0)),""))</f>
        <v/>
      </c>
      <c r="AG83" s="11" t="str">
        <f>IF(AE83="","",IFERROR(INDEX($AO$11:$AO$4010,MATCH(73,$AZ$11:$AZ$4010,0)),""))</f>
        <v/>
      </c>
      <c r="AH83" s="10" t="str">
        <f>IF(AE83="","",IFERROR(INDEX($AQ$11:$AQ$4010,MATCH(73,$AZ$11:$AZ$4010,0)),""))</f>
        <v/>
      </c>
      <c r="AI83" s="15" t="str">
        <f>IF(AE83="","",IFERROR(INDEX($AR$11:$AR$4010,MATCH(73,$AZ$11:$AZ$4010,0)),""))</f>
        <v/>
      </c>
      <c r="AJ83" s="15" t="str">
        <f>IF(AE83="","",IFERROR(INDEX($AT$11:$AT$4010,MATCH(73,$AZ$11:$AZ$4010,0)),""))</f>
        <v/>
      </c>
      <c r="AL83" s="17" t="str">
        <f t="shared" si="20"/>
        <v/>
      </c>
      <c r="AM83" s="12" t="str">
        <f t="shared" si="21"/>
        <v/>
      </c>
      <c r="AN83" s="18" t="str">
        <f t="shared" si="22"/>
        <v/>
      </c>
      <c r="AO83" s="18" t="str">
        <f t="shared" si="23"/>
        <v/>
      </c>
      <c r="AP83" s="10" t="str">
        <f t="shared" si="24"/>
        <v/>
      </c>
      <c r="AQ83" s="10" t="str">
        <f t="shared" si="25"/>
        <v/>
      </c>
      <c r="AR83" s="19" t="str">
        <f t="shared" si="26"/>
        <v/>
      </c>
      <c r="AS83" s="20"/>
      <c r="AT83" s="19"/>
      <c r="AV83" s="21">
        <f>IF(AND($AL83&lt;&gt;"",COUNTIF($AL$11:$AL83,$AL83)=1),1,0)</f>
        <v>0</v>
      </c>
      <c r="AW83" s="21">
        <f t="shared" si="28"/>
        <v>0</v>
      </c>
      <c r="AX83" s="21" t="str">
        <f t="shared" si="27"/>
        <v/>
      </c>
      <c r="AY83" s="21" t="str">
        <f>IF(AND($AM83&lt;&gt;"",$AS83&lt;&gt;"✓"),SUMPRODUCT(($AM$11:$AM83&lt;&gt;"")*($AS$11:$AS83&lt;&gt;"✓")),"")</f>
        <v/>
      </c>
      <c r="AZ83" s="21" t="str">
        <f>IF(AND($AM83&lt;&gt;"",$AS83="✓"),SUMPRODUCT(($AM$11:$AM83&lt;&gt;"")*($AS$11:$AS83="✓")),"")</f>
        <v/>
      </c>
      <c r="BA83" s="21" t="str">
        <f>IF($AL83="","",$AL83&amp;"|"&amp;COUNTIF($AL$11:$AL83,$AL83))</f>
        <v/>
      </c>
    </row>
    <row r="84" spans="2:53" ht="15" customHeight="1" x14ac:dyDescent="0.25">
      <c r="B84" s="5" t="str">
        <f t="shared" si="15"/>
        <v/>
      </c>
      <c r="C84" s="5"/>
      <c r="D84" s="5"/>
      <c r="E84" s="5"/>
      <c r="F84" s="6"/>
      <c r="G84" s="6"/>
      <c r="H84" s="7"/>
      <c r="I84" s="8"/>
      <c r="K84" s="23" t="str">
        <f>IFERROR(INDEX($AL$11:$AL$4010,MATCH(74,$AX$11:$AX$4010,0)),"")</f>
        <v/>
      </c>
      <c r="L84" s="24" t="str">
        <f t="shared" si="16"/>
        <v/>
      </c>
      <c r="M84" s="25" t="str">
        <f t="shared" si="17"/>
        <v/>
      </c>
      <c r="N84" s="25" t="str">
        <f t="shared" si="18"/>
        <v/>
      </c>
      <c r="P84" s="26" t="str">
        <f>IFERROR(INDEX($AM$11:$AM$4010,MATCH($S$8&amp;"|"&amp;74,$BA$11:$BA$4010,0)),"")</f>
        <v/>
      </c>
      <c r="Q84" s="25" t="str">
        <f>IF(P84="","",IFERROR(INDEX($AN$11:$AN$4010,MATCH($S$8&amp;"|"&amp;74,$BA$11:$BA$4010,0)),""))</f>
        <v/>
      </c>
      <c r="R84" s="25" t="str">
        <f>IF(P84="","",IFERROR(INDEX($AO$11:$AO$4010,MATCH($S$8&amp;"|"&amp;74,$BA$11:$BA$4010,0)),""))</f>
        <v/>
      </c>
      <c r="S84" s="24" t="str">
        <f>IF(P84="","",IFERROR(INDEX($AP$11:$AP$4010,MATCH($S$8&amp;"|"&amp;74,$BA$11:$BA$4010,0)),""))</f>
        <v/>
      </c>
      <c r="T84" s="24" t="str">
        <f>IF(P84="","",IFERROR(INDEX($AQ$11:$AQ$4010,MATCH($S$8&amp;"|"&amp;74,$BA$11:$BA$4010,0)),""))</f>
        <v/>
      </c>
      <c r="U84" s="38" t="str">
        <f t="shared" si="19"/>
        <v/>
      </c>
      <c r="W84" s="28" t="str">
        <f>IF(X84="","",IFERROR(INDEX($AL$11:$AL$4010,MATCH(74,$AY$11:$AY$4010,0)),""))</f>
        <v/>
      </c>
      <c r="X84" s="26" t="str">
        <f>IFERROR(INDEX($AM$11:$AM$4010,MATCH(74,$AY$11:$AY$4010,0)),"")</f>
        <v/>
      </c>
      <c r="Y84" s="25" t="str">
        <f>IF(X84="","",IFERROR(INDEX($AN$11:$AN$4010,MATCH(74,$AY$11:$AY$4010,0)),""))</f>
        <v/>
      </c>
      <c r="Z84" s="25" t="str">
        <f>IF(X84="","",IFERROR(INDEX($AO$11:$AO$4010,MATCH(74,$AY$11:$AY$4010,0)),""))</f>
        <v/>
      </c>
      <c r="AA84" s="24" t="str">
        <f>IF(X84="","",IFERROR(INDEX($AQ$11:$AQ$4010,MATCH(74,$AY$11:$AY$4010,0)),""))</f>
        <v/>
      </c>
      <c r="AB84" s="29" t="str">
        <f>IF(X84="","",IFERROR(INDEX($AR$11:$AR$4010,MATCH(74,$AY$11:$AY$4010,0)),""))</f>
        <v/>
      </c>
      <c r="AD84" s="30" t="str">
        <f>IF(AE84="","",IFERROR(INDEX($AL$11:$AL$4010,MATCH(74,$AZ$11:$AZ$4010,0)),""))</f>
        <v/>
      </c>
      <c r="AE84" s="26" t="str">
        <f>IFERROR(INDEX($AM$11:$AM$4010,MATCH(74,$AZ$11:$AZ$4010,0)),"")</f>
        <v/>
      </c>
      <c r="AF84" s="25" t="str">
        <f>IF(AE84="","",IFERROR(INDEX($AN$11:$AN$4010,MATCH(74,$AZ$11:$AZ$4010,0)),""))</f>
        <v/>
      </c>
      <c r="AG84" s="25" t="str">
        <f>IF(AE84="","",IFERROR(INDEX($AO$11:$AO$4010,MATCH(74,$AZ$11:$AZ$4010,0)),""))</f>
        <v/>
      </c>
      <c r="AH84" s="24" t="str">
        <f>IF(AE84="","",IFERROR(INDEX($AQ$11:$AQ$4010,MATCH(74,$AZ$11:$AZ$4010,0)),""))</f>
        <v/>
      </c>
      <c r="AI84" s="29" t="str">
        <f>IF(AE84="","",IFERROR(INDEX($AR$11:$AR$4010,MATCH(74,$AZ$11:$AZ$4010,0)),""))</f>
        <v/>
      </c>
      <c r="AJ84" s="29" t="str">
        <f>IF(AE84="","",IFERROR(INDEX($AT$11:$AT$4010,MATCH(74,$AZ$11:$AZ$4010,0)),""))</f>
        <v/>
      </c>
      <c r="AL84" s="31" t="str">
        <f t="shared" si="20"/>
        <v/>
      </c>
      <c r="AM84" s="26" t="str">
        <f t="shared" si="21"/>
        <v/>
      </c>
      <c r="AN84" s="32" t="str">
        <f t="shared" si="22"/>
        <v/>
      </c>
      <c r="AO84" s="32" t="str">
        <f t="shared" si="23"/>
        <v/>
      </c>
      <c r="AP84" s="24" t="str">
        <f t="shared" si="24"/>
        <v/>
      </c>
      <c r="AQ84" s="24" t="str">
        <f t="shared" si="25"/>
        <v/>
      </c>
      <c r="AR84" s="33" t="str">
        <f t="shared" si="26"/>
        <v/>
      </c>
      <c r="AS84" s="34"/>
      <c r="AT84" s="33"/>
      <c r="AV84" s="21">
        <f>IF(AND($AL84&lt;&gt;"",COUNTIF($AL$11:$AL84,$AL84)=1),1,0)</f>
        <v>0</v>
      </c>
      <c r="AW84" s="21">
        <f t="shared" si="28"/>
        <v>0</v>
      </c>
      <c r="AX84" s="21" t="str">
        <f t="shared" si="27"/>
        <v/>
      </c>
      <c r="AY84" s="21" t="str">
        <f>IF(AND($AM84&lt;&gt;"",$AS84&lt;&gt;"✓"),SUMPRODUCT(($AM$11:$AM84&lt;&gt;"")*($AS$11:$AS84&lt;&gt;"✓")),"")</f>
        <v/>
      </c>
      <c r="AZ84" s="21" t="str">
        <f>IF(AND($AM84&lt;&gt;"",$AS84="✓"),SUMPRODUCT(($AM$11:$AM84&lt;&gt;"")*($AS$11:$AS84="✓")),"")</f>
        <v/>
      </c>
      <c r="BA84" s="21" t="str">
        <f>IF($AL84="","",$AL84&amp;"|"&amp;COUNTIF($AL$11:$AL84,$AL84))</f>
        <v/>
      </c>
    </row>
    <row r="85" spans="2:53" ht="15" customHeight="1" x14ac:dyDescent="0.25">
      <c r="B85" s="5" t="str">
        <f t="shared" si="15"/>
        <v/>
      </c>
      <c r="C85" s="5"/>
      <c r="D85" s="5"/>
      <c r="E85" s="5"/>
      <c r="F85" s="6"/>
      <c r="G85" s="6"/>
      <c r="H85" s="7"/>
      <c r="I85" s="8"/>
      <c r="K85" s="9" t="str">
        <f>IFERROR(INDEX($AL$11:$AL$4010,MATCH(75,$AX$11:$AX$4010,0)),"")</f>
        <v/>
      </c>
      <c r="L85" s="10" t="str">
        <f t="shared" si="16"/>
        <v/>
      </c>
      <c r="M85" s="11" t="str">
        <f t="shared" si="17"/>
        <v/>
      </c>
      <c r="N85" s="11" t="str">
        <f t="shared" si="18"/>
        <v/>
      </c>
      <c r="P85" s="12" t="str">
        <f>IFERROR(INDEX($AM$11:$AM$4010,MATCH($S$8&amp;"|"&amp;75,$BA$11:$BA$4010,0)),"")</f>
        <v/>
      </c>
      <c r="Q85" s="11" t="str">
        <f>IF(P85="","",IFERROR(INDEX($AN$11:$AN$4010,MATCH($S$8&amp;"|"&amp;75,$BA$11:$BA$4010,0)),""))</f>
        <v/>
      </c>
      <c r="R85" s="11" t="str">
        <f>IF(P85="","",IFERROR(INDEX($AO$11:$AO$4010,MATCH($S$8&amp;"|"&amp;75,$BA$11:$BA$4010,0)),""))</f>
        <v/>
      </c>
      <c r="S85" s="10" t="str">
        <f>IF(P85="","",IFERROR(INDEX($AP$11:$AP$4010,MATCH($S$8&amp;"|"&amp;75,$BA$11:$BA$4010,0)),""))</f>
        <v/>
      </c>
      <c r="T85" s="10" t="str">
        <f>IF(P85="","",IFERROR(INDEX($AQ$11:$AQ$4010,MATCH($S$8&amp;"|"&amp;75,$BA$11:$BA$4010,0)),""))</f>
        <v/>
      </c>
      <c r="U85" s="39" t="str">
        <f t="shared" si="19"/>
        <v/>
      </c>
      <c r="W85" s="14" t="str">
        <f>IF(X85="","",IFERROR(INDEX($AL$11:$AL$4010,MATCH(75,$AY$11:$AY$4010,0)),""))</f>
        <v/>
      </c>
      <c r="X85" s="12" t="str">
        <f>IFERROR(INDEX($AM$11:$AM$4010,MATCH(75,$AY$11:$AY$4010,0)),"")</f>
        <v/>
      </c>
      <c r="Y85" s="11" t="str">
        <f>IF(X85="","",IFERROR(INDEX($AN$11:$AN$4010,MATCH(75,$AY$11:$AY$4010,0)),""))</f>
        <v/>
      </c>
      <c r="Z85" s="11" t="str">
        <f>IF(X85="","",IFERROR(INDEX($AO$11:$AO$4010,MATCH(75,$AY$11:$AY$4010,0)),""))</f>
        <v/>
      </c>
      <c r="AA85" s="10" t="str">
        <f>IF(X85="","",IFERROR(INDEX($AQ$11:$AQ$4010,MATCH(75,$AY$11:$AY$4010,0)),""))</f>
        <v/>
      </c>
      <c r="AB85" s="15" t="str">
        <f>IF(X85="","",IFERROR(INDEX($AR$11:$AR$4010,MATCH(75,$AY$11:$AY$4010,0)),""))</f>
        <v/>
      </c>
      <c r="AD85" s="16" t="str">
        <f>IF(AE85="","",IFERROR(INDEX($AL$11:$AL$4010,MATCH(75,$AZ$11:$AZ$4010,0)),""))</f>
        <v/>
      </c>
      <c r="AE85" s="12" t="str">
        <f>IFERROR(INDEX($AM$11:$AM$4010,MATCH(75,$AZ$11:$AZ$4010,0)),"")</f>
        <v/>
      </c>
      <c r="AF85" s="11" t="str">
        <f>IF(AE85="","",IFERROR(INDEX($AN$11:$AN$4010,MATCH(75,$AZ$11:$AZ$4010,0)),""))</f>
        <v/>
      </c>
      <c r="AG85" s="11" t="str">
        <f>IF(AE85="","",IFERROR(INDEX($AO$11:$AO$4010,MATCH(75,$AZ$11:$AZ$4010,0)),""))</f>
        <v/>
      </c>
      <c r="AH85" s="10" t="str">
        <f>IF(AE85="","",IFERROR(INDEX($AQ$11:$AQ$4010,MATCH(75,$AZ$11:$AZ$4010,0)),""))</f>
        <v/>
      </c>
      <c r="AI85" s="15" t="str">
        <f>IF(AE85="","",IFERROR(INDEX($AR$11:$AR$4010,MATCH(75,$AZ$11:$AZ$4010,0)),""))</f>
        <v/>
      </c>
      <c r="AJ85" s="15" t="str">
        <f>IF(AE85="","",IFERROR(INDEX($AT$11:$AT$4010,MATCH(75,$AZ$11:$AZ$4010,0)),""))</f>
        <v/>
      </c>
      <c r="AL85" s="17" t="str">
        <f t="shared" si="20"/>
        <v/>
      </c>
      <c r="AM85" s="12" t="str">
        <f t="shared" si="21"/>
        <v/>
      </c>
      <c r="AN85" s="18" t="str">
        <f t="shared" si="22"/>
        <v/>
      </c>
      <c r="AO85" s="18" t="str">
        <f t="shared" si="23"/>
        <v/>
      </c>
      <c r="AP85" s="10" t="str">
        <f t="shared" si="24"/>
        <v/>
      </c>
      <c r="AQ85" s="10" t="str">
        <f t="shared" si="25"/>
        <v/>
      </c>
      <c r="AR85" s="19" t="str">
        <f t="shared" si="26"/>
        <v/>
      </c>
      <c r="AS85" s="20"/>
      <c r="AT85" s="19"/>
      <c r="AV85" s="21">
        <f>IF(AND($AL85&lt;&gt;"",COUNTIF($AL$11:$AL85,$AL85)=1),1,0)</f>
        <v>0</v>
      </c>
      <c r="AW85" s="21">
        <f t="shared" si="28"/>
        <v>0</v>
      </c>
      <c r="AX85" s="21" t="str">
        <f t="shared" si="27"/>
        <v/>
      </c>
      <c r="AY85" s="21" t="str">
        <f>IF(AND($AM85&lt;&gt;"",$AS85&lt;&gt;"✓"),SUMPRODUCT(($AM$11:$AM85&lt;&gt;"")*($AS$11:$AS85&lt;&gt;"✓")),"")</f>
        <v/>
      </c>
      <c r="AZ85" s="21" t="str">
        <f>IF(AND($AM85&lt;&gt;"",$AS85="✓"),SUMPRODUCT(($AM$11:$AM85&lt;&gt;"")*($AS$11:$AS85="✓")),"")</f>
        <v/>
      </c>
      <c r="BA85" s="21" t="str">
        <f>IF($AL85="","",$AL85&amp;"|"&amp;COUNTIF($AL$11:$AL85,$AL85))</f>
        <v/>
      </c>
    </row>
    <row r="86" spans="2:53" ht="15" customHeight="1" x14ac:dyDescent="0.25">
      <c r="B86" s="5" t="str">
        <f t="shared" si="15"/>
        <v/>
      </c>
      <c r="C86" s="5"/>
      <c r="D86" s="5"/>
      <c r="E86" s="5"/>
      <c r="F86" s="6"/>
      <c r="G86" s="6"/>
      <c r="H86" s="7"/>
      <c r="I86" s="8"/>
      <c r="K86" s="23" t="str">
        <f>IFERROR(INDEX($AL$11:$AL$4010,MATCH(76,$AX$11:$AX$4010,0)),"")</f>
        <v/>
      </c>
      <c r="L86" s="24" t="str">
        <f t="shared" si="16"/>
        <v/>
      </c>
      <c r="M86" s="25" t="str">
        <f t="shared" si="17"/>
        <v/>
      </c>
      <c r="N86" s="25" t="str">
        <f t="shared" si="18"/>
        <v/>
      </c>
      <c r="P86" s="26" t="str">
        <f>IFERROR(INDEX($AM$11:$AM$4010,MATCH($S$8&amp;"|"&amp;76,$BA$11:$BA$4010,0)),"")</f>
        <v/>
      </c>
      <c r="Q86" s="25" t="str">
        <f>IF(P86="","",IFERROR(INDEX($AN$11:$AN$4010,MATCH($S$8&amp;"|"&amp;76,$BA$11:$BA$4010,0)),""))</f>
        <v/>
      </c>
      <c r="R86" s="25" t="str">
        <f>IF(P86="","",IFERROR(INDEX($AO$11:$AO$4010,MATCH($S$8&amp;"|"&amp;76,$BA$11:$BA$4010,0)),""))</f>
        <v/>
      </c>
      <c r="S86" s="24" t="str">
        <f>IF(P86="","",IFERROR(INDEX($AP$11:$AP$4010,MATCH($S$8&amp;"|"&amp;76,$BA$11:$BA$4010,0)),""))</f>
        <v/>
      </c>
      <c r="T86" s="24" t="str">
        <f>IF(P86="","",IFERROR(INDEX($AQ$11:$AQ$4010,MATCH($S$8&amp;"|"&amp;76,$BA$11:$BA$4010,0)),""))</f>
        <v/>
      </c>
      <c r="U86" s="38" t="str">
        <f t="shared" si="19"/>
        <v/>
      </c>
      <c r="W86" s="28" t="str">
        <f>IF(X86="","",IFERROR(INDEX($AL$11:$AL$4010,MATCH(76,$AY$11:$AY$4010,0)),""))</f>
        <v/>
      </c>
      <c r="X86" s="26" t="str">
        <f>IFERROR(INDEX($AM$11:$AM$4010,MATCH(76,$AY$11:$AY$4010,0)),"")</f>
        <v/>
      </c>
      <c r="Y86" s="25" t="str">
        <f>IF(X86="","",IFERROR(INDEX($AN$11:$AN$4010,MATCH(76,$AY$11:$AY$4010,0)),""))</f>
        <v/>
      </c>
      <c r="Z86" s="25" t="str">
        <f>IF(X86="","",IFERROR(INDEX($AO$11:$AO$4010,MATCH(76,$AY$11:$AY$4010,0)),""))</f>
        <v/>
      </c>
      <c r="AA86" s="24" t="str">
        <f>IF(X86="","",IFERROR(INDEX($AQ$11:$AQ$4010,MATCH(76,$AY$11:$AY$4010,0)),""))</f>
        <v/>
      </c>
      <c r="AB86" s="29" t="str">
        <f>IF(X86="","",IFERROR(INDEX($AR$11:$AR$4010,MATCH(76,$AY$11:$AY$4010,0)),""))</f>
        <v/>
      </c>
      <c r="AD86" s="30" t="str">
        <f>IF(AE86="","",IFERROR(INDEX($AL$11:$AL$4010,MATCH(76,$AZ$11:$AZ$4010,0)),""))</f>
        <v/>
      </c>
      <c r="AE86" s="26" t="str">
        <f>IFERROR(INDEX($AM$11:$AM$4010,MATCH(76,$AZ$11:$AZ$4010,0)),"")</f>
        <v/>
      </c>
      <c r="AF86" s="25" t="str">
        <f>IF(AE86="","",IFERROR(INDEX($AN$11:$AN$4010,MATCH(76,$AZ$11:$AZ$4010,0)),""))</f>
        <v/>
      </c>
      <c r="AG86" s="25" t="str">
        <f>IF(AE86="","",IFERROR(INDEX($AO$11:$AO$4010,MATCH(76,$AZ$11:$AZ$4010,0)),""))</f>
        <v/>
      </c>
      <c r="AH86" s="24" t="str">
        <f>IF(AE86="","",IFERROR(INDEX($AQ$11:$AQ$4010,MATCH(76,$AZ$11:$AZ$4010,0)),""))</f>
        <v/>
      </c>
      <c r="AI86" s="29" t="str">
        <f>IF(AE86="","",IFERROR(INDEX($AR$11:$AR$4010,MATCH(76,$AZ$11:$AZ$4010,0)),""))</f>
        <v/>
      </c>
      <c r="AJ86" s="29" t="str">
        <f>IF(AE86="","",IFERROR(INDEX($AT$11:$AT$4010,MATCH(76,$AZ$11:$AZ$4010,0)),""))</f>
        <v/>
      </c>
      <c r="AL86" s="31" t="str">
        <f t="shared" si="20"/>
        <v/>
      </c>
      <c r="AM86" s="26" t="str">
        <f t="shared" si="21"/>
        <v/>
      </c>
      <c r="AN86" s="32" t="str">
        <f t="shared" si="22"/>
        <v/>
      </c>
      <c r="AO86" s="32" t="str">
        <f t="shared" si="23"/>
        <v/>
      </c>
      <c r="AP86" s="24" t="str">
        <f t="shared" si="24"/>
        <v/>
      </c>
      <c r="AQ86" s="24" t="str">
        <f t="shared" si="25"/>
        <v/>
      </c>
      <c r="AR86" s="33" t="str">
        <f t="shared" si="26"/>
        <v/>
      </c>
      <c r="AS86" s="34"/>
      <c r="AT86" s="33"/>
      <c r="AV86" s="21">
        <f>IF(AND($AL86&lt;&gt;"",COUNTIF($AL$11:$AL86,$AL86)=1),1,0)</f>
        <v>0</v>
      </c>
      <c r="AW86" s="21">
        <f t="shared" si="28"/>
        <v>0</v>
      </c>
      <c r="AX86" s="21" t="str">
        <f t="shared" si="27"/>
        <v/>
      </c>
      <c r="AY86" s="21" t="str">
        <f>IF(AND($AM86&lt;&gt;"",$AS86&lt;&gt;"✓"),SUMPRODUCT(($AM$11:$AM86&lt;&gt;"")*($AS$11:$AS86&lt;&gt;"✓")),"")</f>
        <v/>
      </c>
      <c r="AZ86" s="21" t="str">
        <f>IF(AND($AM86&lt;&gt;"",$AS86="✓"),SUMPRODUCT(($AM$11:$AM86&lt;&gt;"")*($AS$11:$AS86="✓")),"")</f>
        <v/>
      </c>
      <c r="BA86" s="21" t="str">
        <f>IF($AL86="","",$AL86&amp;"|"&amp;COUNTIF($AL$11:$AL86,$AL86))</f>
        <v/>
      </c>
    </row>
    <row r="87" spans="2:53" ht="15" customHeight="1" x14ac:dyDescent="0.25">
      <c r="B87" s="5" t="str">
        <f t="shared" si="15"/>
        <v/>
      </c>
      <c r="C87" s="5"/>
      <c r="D87" s="5"/>
      <c r="E87" s="5"/>
      <c r="F87" s="6"/>
      <c r="G87" s="6"/>
      <c r="H87" s="7"/>
      <c r="I87" s="8"/>
      <c r="K87" s="9" t="str">
        <f>IFERROR(INDEX($AL$11:$AL$4010,MATCH(77,$AX$11:$AX$4010,0)),"")</f>
        <v/>
      </c>
      <c r="L87" s="10" t="str">
        <f t="shared" si="16"/>
        <v/>
      </c>
      <c r="M87" s="11" t="str">
        <f t="shared" si="17"/>
        <v/>
      </c>
      <c r="N87" s="11" t="str">
        <f t="shared" si="18"/>
        <v/>
      </c>
      <c r="P87" s="12" t="str">
        <f>IFERROR(INDEX($AM$11:$AM$4010,MATCH($S$8&amp;"|"&amp;77,$BA$11:$BA$4010,0)),"")</f>
        <v/>
      </c>
      <c r="Q87" s="11" t="str">
        <f>IF(P87="","",IFERROR(INDEX($AN$11:$AN$4010,MATCH($S$8&amp;"|"&amp;77,$BA$11:$BA$4010,0)),""))</f>
        <v/>
      </c>
      <c r="R87" s="11" t="str">
        <f>IF(P87="","",IFERROR(INDEX($AO$11:$AO$4010,MATCH($S$8&amp;"|"&amp;77,$BA$11:$BA$4010,0)),""))</f>
        <v/>
      </c>
      <c r="S87" s="10" t="str">
        <f>IF(P87="","",IFERROR(INDEX($AP$11:$AP$4010,MATCH($S$8&amp;"|"&amp;77,$BA$11:$BA$4010,0)),""))</f>
        <v/>
      </c>
      <c r="T87" s="10" t="str">
        <f>IF(P87="","",IFERROR(INDEX($AQ$11:$AQ$4010,MATCH($S$8&amp;"|"&amp;77,$BA$11:$BA$4010,0)),""))</f>
        <v/>
      </c>
      <c r="U87" s="39" t="str">
        <f t="shared" si="19"/>
        <v/>
      </c>
      <c r="W87" s="14" t="str">
        <f>IF(X87="","",IFERROR(INDEX($AL$11:$AL$4010,MATCH(77,$AY$11:$AY$4010,0)),""))</f>
        <v/>
      </c>
      <c r="X87" s="12" t="str">
        <f>IFERROR(INDEX($AM$11:$AM$4010,MATCH(77,$AY$11:$AY$4010,0)),"")</f>
        <v/>
      </c>
      <c r="Y87" s="11" t="str">
        <f>IF(X87="","",IFERROR(INDEX($AN$11:$AN$4010,MATCH(77,$AY$11:$AY$4010,0)),""))</f>
        <v/>
      </c>
      <c r="Z87" s="11" t="str">
        <f>IF(X87="","",IFERROR(INDEX($AO$11:$AO$4010,MATCH(77,$AY$11:$AY$4010,0)),""))</f>
        <v/>
      </c>
      <c r="AA87" s="10" t="str">
        <f>IF(X87="","",IFERROR(INDEX($AQ$11:$AQ$4010,MATCH(77,$AY$11:$AY$4010,0)),""))</f>
        <v/>
      </c>
      <c r="AB87" s="15" t="str">
        <f>IF(X87="","",IFERROR(INDEX($AR$11:$AR$4010,MATCH(77,$AY$11:$AY$4010,0)),""))</f>
        <v/>
      </c>
      <c r="AD87" s="16" t="str">
        <f>IF(AE87="","",IFERROR(INDEX($AL$11:$AL$4010,MATCH(77,$AZ$11:$AZ$4010,0)),""))</f>
        <v/>
      </c>
      <c r="AE87" s="12" t="str">
        <f>IFERROR(INDEX($AM$11:$AM$4010,MATCH(77,$AZ$11:$AZ$4010,0)),"")</f>
        <v/>
      </c>
      <c r="AF87" s="11" t="str">
        <f>IF(AE87="","",IFERROR(INDEX($AN$11:$AN$4010,MATCH(77,$AZ$11:$AZ$4010,0)),""))</f>
        <v/>
      </c>
      <c r="AG87" s="11" t="str">
        <f>IF(AE87="","",IFERROR(INDEX($AO$11:$AO$4010,MATCH(77,$AZ$11:$AZ$4010,0)),""))</f>
        <v/>
      </c>
      <c r="AH87" s="10" t="str">
        <f>IF(AE87="","",IFERROR(INDEX($AQ$11:$AQ$4010,MATCH(77,$AZ$11:$AZ$4010,0)),""))</f>
        <v/>
      </c>
      <c r="AI87" s="15" t="str">
        <f>IF(AE87="","",IFERROR(INDEX($AR$11:$AR$4010,MATCH(77,$AZ$11:$AZ$4010,0)),""))</f>
        <v/>
      </c>
      <c r="AJ87" s="15" t="str">
        <f>IF(AE87="","",IFERROR(INDEX($AT$11:$AT$4010,MATCH(77,$AZ$11:$AZ$4010,0)),""))</f>
        <v/>
      </c>
      <c r="AL87" s="17" t="str">
        <f t="shared" si="20"/>
        <v/>
      </c>
      <c r="AM87" s="12" t="str">
        <f t="shared" si="21"/>
        <v/>
      </c>
      <c r="AN87" s="18" t="str">
        <f t="shared" si="22"/>
        <v/>
      </c>
      <c r="AO87" s="18" t="str">
        <f t="shared" si="23"/>
        <v/>
      </c>
      <c r="AP87" s="10" t="str">
        <f t="shared" si="24"/>
        <v/>
      </c>
      <c r="AQ87" s="10" t="str">
        <f t="shared" si="25"/>
        <v/>
      </c>
      <c r="AR87" s="19" t="str">
        <f t="shared" si="26"/>
        <v/>
      </c>
      <c r="AS87" s="20"/>
      <c r="AT87" s="19"/>
      <c r="AV87" s="21">
        <f>IF(AND($AL87&lt;&gt;"",COUNTIF($AL$11:$AL87,$AL87)=1),1,0)</f>
        <v>0</v>
      </c>
      <c r="AW87" s="21">
        <f t="shared" si="28"/>
        <v>0</v>
      </c>
      <c r="AX87" s="21" t="str">
        <f t="shared" si="27"/>
        <v/>
      </c>
      <c r="AY87" s="21" t="str">
        <f>IF(AND($AM87&lt;&gt;"",$AS87&lt;&gt;"✓"),SUMPRODUCT(($AM$11:$AM87&lt;&gt;"")*($AS$11:$AS87&lt;&gt;"✓")),"")</f>
        <v/>
      </c>
      <c r="AZ87" s="21" t="str">
        <f>IF(AND($AM87&lt;&gt;"",$AS87="✓"),SUMPRODUCT(($AM$11:$AM87&lt;&gt;"")*($AS$11:$AS87="✓")),"")</f>
        <v/>
      </c>
      <c r="BA87" s="21" t="str">
        <f>IF($AL87="","",$AL87&amp;"|"&amp;COUNTIF($AL$11:$AL87,$AL87))</f>
        <v/>
      </c>
    </row>
    <row r="88" spans="2:53" ht="15" customHeight="1" x14ac:dyDescent="0.25">
      <c r="B88" s="5" t="str">
        <f t="shared" si="15"/>
        <v/>
      </c>
      <c r="C88" s="5"/>
      <c r="D88" s="5"/>
      <c r="E88" s="5"/>
      <c r="F88" s="6"/>
      <c r="G88" s="6"/>
      <c r="H88" s="7"/>
      <c r="I88" s="8"/>
      <c r="K88" s="23" t="str">
        <f>IFERROR(INDEX($AL$11:$AL$4010,MATCH(78,$AX$11:$AX$4010,0)),"")</f>
        <v/>
      </c>
      <c r="L88" s="24" t="str">
        <f t="shared" si="16"/>
        <v/>
      </c>
      <c r="M88" s="25" t="str">
        <f t="shared" si="17"/>
        <v/>
      </c>
      <c r="N88" s="25" t="str">
        <f t="shared" si="18"/>
        <v/>
      </c>
      <c r="P88" s="26" t="str">
        <f>IFERROR(INDEX($AM$11:$AM$4010,MATCH($S$8&amp;"|"&amp;78,$BA$11:$BA$4010,0)),"")</f>
        <v/>
      </c>
      <c r="Q88" s="25" t="str">
        <f>IF(P88="","",IFERROR(INDEX($AN$11:$AN$4010,MATCH($S$8&amp;"|"&amp;78,$BA$11:$BA$4010,0)),""))</f>
        <v/>
      </c>
      <c r="R88" s="25" t="str">
        <f>IF(P88="","",IFERROR(INDEX($AO$11:$AO$4010,MATCH($S$8&amp;"|"&amp;78,$BA$11:$BA$4010,0)),""))</f>
        <v/>
      </c>
      <c r="S88" s="24" t="str">
        <f>IF(P88="","",IFERROR(INDEX($AP$11:$AP$4010,MATCH($S$8&amp;"|"&amp;78,$BA$11:$BA$4010,0)),""))</f>
        <v/>
      </c>
      <c r="T88" s="24" t="str">
        <f>IF(P88="","",IFERROR(INDEX($AQ$11:$AQ$4010,MATCH($S$8&amp;"|"&amp;78,$BA$11:$BA$4010,0)),""))</f>
        <v/>
      </c>
      <c r="U88" s="38" t="str">
        <f t="shared" si="19"/>
        <v/>
      </c>
      <c r="W88" s="28" t="str">
        <f>IF(X88="","",IFERROR(INDEX($AL$11:$AL$4010,MATCH(78,$AY$11:$AY$4010,0)),""))</f>
        <v/>
      </c>
      <c r="X88" s="26" t="str">
        <f>IFERROR(INDEX($AM$11:$AM$4010,MATCH(78,$AY$11:$AY$4010,0)),"")</f>
        <v/>
      </c>
      <c r="Y88" s="25" t="str">
        <f>IF(X88="","",IFERROR(INDEX($AN$11:$AN$4010,MATCH(78,$AY$11:$AY$4010,0)),""))</f>
        <v/>
      </c>
      <c r="Z88" s="25" t="str">
        <f>IF(X88="","",IFERROR(INDEX($AO$11:$AO$4010,MATCH(78,$AY$11:$AY$4010,0)),""))</f>
        <v/>
      </c>
      <c r="AA88" s="24" t="str">
        <f>IF(X88="","",IFERROR(INDEX($AQ$11:$AQ$4010,MATCH(78,$AY$11:$AY$4010,0)),""))</f>
        <v/>
      </c>
      <c r="AB88" s="29" t="str">
        <f>IF(X88="","",IFERROR(INDEX($AR$11:$AR$4010,MATCH(78,$AY$11:$AY$4010,0)),""))</f>
        <v/>
      </c>
      <c r="AD88" s="30" t="str">
        <f>IF(AE88="","",IFERROR(INDEX($AL$11:$AL$4010,MATCH(78,$AZ$11:$AZ$4010,0)),""))</f>
        <v/>
      </c>
      <c r="AE88" s="26" t="str">
        <f>IFERROR(INDEX($AM$11:$AM$4010,MATCH(78,$AZ$11:$AZ$4010,0)),"")</f>
        <v/>
      </c>
      <c r="AF88" s="25" t="str">
        <f>IF(AE88="","",IFERROR(INDEX($AN$11:$AN$4010,MATCH(78,$AZ$11:$AZ$4010,0)),""))</f>
        <v/>
      </c>
      <c r="AG88" s="25" t="str">
        <f>IF(AE88="","",IFERROR(INDEX($AO$11:$AO$4010,MATCH(78,$AZ$11:$AZ$4010,0)),""))</f>
        <v/>
      </c>
      <c r="AH88" s="24" t="str">
        <f>IF(AE88="","",IFERROR(INDEX($AQ$11:$AQ$4010,MATCH(78,$AZ$11:$AZ$4010,0)),""))</f>
        <v/>
      </c>
      <c r="AI88" s="29" t="str">
        <f>IF(AE88="","",IFERROR(INDEX($AR$11:$AR$4010,MATCH(78,$AZ$11:$AZ$4010,0)),""))</f>
        <v/>
      </c>
      <c r="AJ88" s="29" t="str">
        <f>IF(AE88="","",IFERROR(INDEX($AT$11:$AT$4010,MATCH(78,$AZ$11:$AZ$4010,0)),""))</f>
        <v/>
      </c>
      <c r="AL88" s="31" t="str">
        <f t="shared" si="20"/>
        <v/>
      </c>
      <c r="AM88" s="26" t="str">
        <f t="shared" si="21"/>
        <v/>
      </c>
      <c r="AN88" s="32" t="str">
        <f t="shared" si="22"/>
        <v/>
      </c>
      <c r="AO88" s="32" t="str">
        <f t="shared" si="23"/>
        <v/>
      </c>
      <c r="AP88" s="24" t="str">
        <f t="shared" si="24"/>
        <v/>
      </c>
      <c r="AQ88" s="24" t="str">
        <f t="shared" si="25"/>
        <v/>
      </c>
      <c r="AR88" s="33" t="str">
        <f t="shared" si="26"/>
        <v/>
      </c>
      <c r="AS88" s="34"/>
      <c r="AT88" s="33"/>
      <c r="AV88" s="21">
        <f>IF(AND($AL88&lt;&gt;"",COUNTIF($AL$11:$AL88,$AL88)=1),1,0)</f>
        <v>0</v>
      </c>
      <c r="AW88" s="21">
        <f t="shared" si="28"/>
        <v>0</v>
      </c>
      <c r="AX88" s="21" t="str">
        <f t="shared" si="27"/>
        <v/>
      </c>
      <c r="AY88" s="21" t="str">
        <f>IF(AND($AM88&lt;&gt;"",$AS88&lt;&gt;"✓"),SUMPRODUCT(($AM$11:$AM88&lt;&gt;"")*($AS$11:$AS88&lt;&gt;"✓")),"")</f>
        <v/>
      </c>
      <c r="AZ88" s="21" t="str">
        <f>IF(AND($AM88&lt;&gt;"",$AS88="✓"),SUMPRODUCT(($AM$11:$AM88&lt;&gt;"")*($AS$11:$AS88="✓")),"")</f>
        <v/>
      </c>
      <c r="BA88" s="21" t="str">
        <f>IF($AL88="","",$AL88&amp;"|"&amp;COUNTIF($AL$11:$AL88,$AL88))</f>
        <v/>
      </c>
    </row>
    <row r="89" spans="2:53" ht="15" customHeight="1" x14ac:dyDescent="0.25">
      <c r="B89" s="5" t="str">
        <f t="shared" si="15"/>
        <v/>
      </c>
      <c r="C89" s="5"/>
      <c r="D89" s="5"/>
      <c r="E89" s="5"/>
      <c r="F89" s="6"/>
      <c r="G89" s="6"/>
      <c r="H89" s="7"/>
      <c r="I89" s="8"/>
      <c r="K89" s="9" t="str">
        <f>IFERROR(INDEX($AL$11:$AL$4010,MATCH(79,$AX$11:$AX$4010,0)),"")</f>
        <v/>
      </c>
      <c r="L89" s="10" t="str">
        <f t="shared" si="16"/>
        <v/>
      </c>
      <c r="M89" s="11" t="str">
        <f t="shared" si="17"/>
        <v/>
      </c>
      <c r="N89" s="11" t="str">
        <f t="shared" si="18"/>
        <v/>
      </c>
      <c r="P89" s="12" t="str">
        <f>IFERROR(INDEX($AM$11:$AM$4010,MATCH($S$8&amp;"|"&amp;79,$BA$11:$BA$4010,0)),"")</f>
        <v/>
      </c>
      <c r="Q89" s="11" t="str">
        <f>IF(P89="","",IFERROR(INDEX($AN$11:$AN$4010,MATCH($S$8&amp;"|"&amp;79,$BA$11:$BA$4010,0)),""))</f>
        <v/>
      </c>
      <c r="R89" s="11" t="str">
        <f>IF(P89="","",IFERROR(INDEX($AO$11:$AO$4010,MATCH($S$8&amp;"|"&amp;79,$BA$11:$BA$4010,0)),""))</f>
        <v/>
      </c>
      <c r="S89" s="10" t="str">
        <f>IF(P89="","",IFERROR(INDEX($AP$11:$AP$4010,MATCH($S$8&amp;"|"&amp;79,$BA$11:$BA$4010,0)),""))</f>
        <v/>
      </c>
      <c r="T89" s="10" t="str">
        <f>IF(P89="","",IFERROR(INDEX($AQ$11:$AQ$4010,MATCH($S$8&amp;"|"&amp;79,$BA$11:$BA$4010,0)),""))</f>
        <v/>
      </c>
      <c r="U89" s="39" t="str">
        <f t="shared" si="19"/>
        <v/>
      </c>
      <c r="W89" s="14" t="str">
        <f>IF(X89="","",IFERROR(INDEX($AL$11:$AL$4010,MATCH(79,$AY$11:$AY$4010,0)),""))</f>
        <v/>
      </c>
      <c r="X89" s="12" t="str">
        <f>IFERROR(INDEX($AM$11:$AM$4010,MATCH(79,$AY$11:$AY$4010,0)),"")</f>
        <v/>
      </c>
      <c r="Y89" s="11" t="str">
        <f>IF(X89="","",IFERROR(INDEX($AN$11:$AN$4010,MATCH(79,$AY$11:$AY$4010,0)),""))</f>
        <v/>
      </c>
      <c r="Z89" s="11" t="str">
        <f>IF(X89="","",IFERROR(INDEX($AO$11:$AO$4010,MATCH(79,$AY$11:$AY$4010,0)),""))</f>
        <v/>
      </c>
      <c r="AA89" s="10" t="str">
        <f>IF(X89="","",IFERROR(INDEX($AQ$11:$AQ$4010,MATCH(79,$AY$11:$AY$4010,0)),""))</f>
        <v/>
      </c>
      <c r="AB89" s="15" t="str">
        <f>IF(X89="","",IFERROR(INDEX($AR$11:$AR$4010,MATCH(79,$AY$11:$AY$4010,0)),""))</f>
        <v/>
      </c>
      <c r="AD89" s="16" t="str">
        <f>IF(AE89="","",IFERROR(INDEX($AL$11:$AL$4010,MATCH(79,$AZ$11:$AZ$4010,0)),""))</f>
        <v/>
      </c>
      <c r="AE89" s="12" t="str">
        <f>IFERROR(INDEX($AM$11:$AM$4010,MATCH(79,$AZ$11:$AZ$4010,0)),"")</f>
        <v/>
      </c>
      <c r="AF89" s="11" t="str">
        <f>IF(AE89="","",IFERROR(INDEX($AN$11:$AN$4010,MATCH(79,$AZ$11:$AZ$4010,0)),""))</f>
        <v/>
      </c>
      <c r="AG89" s="11" t="str">
        <f>IF(AE89="","",IFERROR(INDEX($AO$11:$AO$4010,MATCH(79,$AZ$11:$AZ$4010,0)),""))</f>
        <v/>
      </c>
      <c r="AH89" s="10" t="str">
        <f>IF(AE89="","",IFERROR(INDEX($AQ$11:$AQ$4010,MATCH(79,$AZ$11:$AZ$4010,0)),""))</f>
        <v/>
      </c>
      <c r="AI89" s="15" t="str">
        <f>IF(AE89="","",IFERROR(INDEX($AR$11:$AR$4010,MATCH(79,$AZ$11:$AZ$4010,0)),""))</f>
        <v/>
      </c>
      <c r="AJ89" s="15" t="str">
        <f>IF(AE89="","",IFERROR(INDEX($AT$11:$AT$4010,MATCH(79,$AZ$11:$AZ$4010,0)),""))</f>
        <v/>
      </c>
      <c r="AL89" s="17" t="str">
        <f t="shared" si="20"/>
        <v/>
      </c>
      <c r="AM89" s="12" t="str">
        <f t="shared" si="21"/>
        <v/>
      </c>
      <c r="AN89" s="18" t="str">
        <f t="shared" si="22"/>
        <v/>
      </c>
      <c r="AO89" s="18" t="str">
        <f t="shared" si="23"/>
        <v/>
      </c>
      <c r="AP89" s="10" t="str">
        <f t="shared" si="24"/>
        <v/>
      </c>
      <c r="AQ89" s="10" t="str">
        <f t="shared" si="25"/>
        <v/>
      </c>
      <c r="AR89" s="19" t="str">
        <f t="shared" si="26"/>
        <v/>
      </c>
      <c r="AS89" s="20"/>
      <c r="AT89" s="19"/>
      <c r="AV89" s="21">
        <f>IF(AND($AL89&lt;&gt;"",COUNTIF($AL$11:$AL89,$AL89)=1),1,0)</f>
        <v>0</v>
      </c>
      <c r="AW89" s="21">
        <f t="shared" si="28"/>
        <v>0</v>
      </c>
      <c r="AX89" s="21" t="str">
        <f t="shared" si="27"/>
        <v/>
      </c>
      <c r="AY89" s="21" t="str">
        <f>IF(AND($AM89&lt;&gt;"",$AS89&lt;&gt;"✓"),SUMPRODUCT(($AM$11:$AM89&lt;&gt;"")*($AS$11:$AS89&lt;&gt;"✓")),"")</f>
        <v/>
      </c>
      <c r="AZ89" s="21" t="str">
        <f>IF(AND($AM89&lt;&gt;"",$AS89="✓"),SUMPRODUCT(($AM$11:$AM89&lt;&gt;"")*($AS$11:$AS89="✓")),"")</f>
        <v/>
      </c>
      <c r="BA89" s="21" t="str">
        <f>IF($AL89="","",$AL89&amp;"|"&amp;COUNTIF($AL$11:$AL89,$AL89))</f>
        <v/>
      </c>
    </row>
    <row r="90" spans="2:53" ht="15" customHeight="1" x14ac:dyDescent="0.25">
      <c r="B90" s="5" t="str">
        <f t="shared" si="15"/>
        <v/>
      </c>
      <c r="C90" s="5"/>
      <c r="D90" s="5"/>
      <c r="E90" s="5"/>
      <c r="F90" s="6"/>
      <c r="G90" s="6"/>
      <c r="H90" s="7"/>
      <c r="I90" s="8"/>
      <c r="K90" s="23" t="str">
        <f>IFERROR(INDEX($AL$11:$AL$4010,MATCH(80,$AX$11:$AX$4010,0)),"")</f>
        <v/>
      </c>
      <c r="L90" s="24" t="str">
        <f t="shared" si="16"/>
        <v/>
      </c>
      <c r="M90" s="25" t="str">
        <f t="shared" si="17"/>
        <v/>
      </c>
      <c r="N90" s="25" t="str">
        <f t="shared" si="18"/>
        <v/>
      </c>
      <c r="P90" s="26" t="str">
        <f>IFERROR(INDEX($AM$11:$AM$4010,MATCH($S$8&amp;"|"&amp;80,$BA$11:$BA$4010,0)),"")</f>
        <v/>
      </c>
      <c r="Q90" s="25" t="str">
        <f>IF(P90="","",IFERROR(INDEX($AN$11:$AN$4010,MATCH($S$8&amp;"|"&amp;80,$BA$11:$BA$4010,0)),""))</f>
        <v/>
      </c>
      <c r="R90" s="25" t="str">
        <f>IF(P90="","",IFERROR(INDEX($AO$11:$AO$4010,MATCH($S$8&amp;"|"&amp;80,$BA$11:$BA$4010,0)),""))</f>
        <v/>
      </c>
      <c r="S90" s="24" t="str">
        <f>IF(P90="","",IFERROR(INDEX($AP$11:$AP$4010,MATCH($S$8&amp;"|"&amp;80,$BA$11:$BA$4010,0)),""))</f>
        <v/>
      </c>
      <c r="T90" s="24" t="str">
        <f>IF(P90="","",IFERROR(INDEX($AQ$11:$AQ$4010,MATCH($S$8&amp;"|"&amp;80,$BA$11:$BA$4010,0)),""))</f>
        <v/>
      </c>
      <c r="U90" s="38" t="str">
        <f t="shared" si="19"/>
        <v/>
      </c>
      <c r="W90" s="28" t="str">
        <f>IF(X90="","",IFERROR(INDEX($AL$11:$AL$4010,MATCH(80,$AY$11:$AY$4010,0)),""))</f>
        <v/>
      </c>
      <c r="X90" s="26" t="str">
        <f>IFERROR(INDEX($AM$11:$AM$4010,MATCH(80,$AY$11:$AY$4010,0)),"")</f>
        <v/>
      </c>
      <c r="Y90" s="25" t="str">
        <f>IF(X90="","",IFERROR(INDEX($AN$11:$AN$4010,MATCH(80,$AY$11:$AY$4010,0)),""))</f>
        <v/>
      </c>
      <c r="Z90" s="25" t="str">
        <f>IF(X90="","",IFERROR(INDEX($AO$11:$AO$4010,MATCH(80,$AY$11:$AY$4010,0)),""))</f>
        <v/>
      </c>
      <c r="AA90" s="24" t="str">
        <f>IF(X90="","",IFERROR(INDEX($AQ$11:$AQ$4010,MATCH(80,$AY$11:$AY$4010,0)),""))</f>
        <v/>
      </c>
      <c r="AB90" s="29" t="str">
        <f>IF(X90="","",IFERROR(INDEX($AR$11:$AR$4010,MATCH(80,$AY$11:$AY$4010,0)),""))</f>
        <v/>
      </c>
      <c r="AD90" s="30" t="str">
        <f>IF(AE90="","",IFERROR(INDEX($AL$11:$AL$4010,MATCH(80,$AZ$11:$AZ$4010,0)),""))</f>
        <v/>
      </c>
      <c r="AE90" s="26" t="str">
        <f>IFERROR(INDEX($AM$11:$AM$4010,MATCH(80,$AZ$11:$AZ$4010,0)),"")</f>
        <v/>
      </c>
      <c r="AF90" s="25" t="str">
        <f>IF(AE90="","",IFERROR(INDEX($AN$11:$AN$4010,MATCH(80,$AZ$11:$AZ$4010,0)),""))</f>
        <v/>
      </c>
      <c r="AG90" s="25" t="str">
        <f>IF(AE90="","",IFERROR(INDEX($AO$11:$AO$4010,MATCH(80,$AZ$11:$AZ$4010,0)),""))</f>
        <v/>
      </c>
      <c r="AH90" s="24" t="str">
        <f>IF(AE90="","",IFERROR(INDEX($AQ$11:$AQ$4010,MATCH(80,$AZ$11:$AZ$4010,0)),""))</f>
        <v/>
      </c>
      <c r="AI90" s="29" t="str">
        <f>IF(AE90="","",IFERROR(INDEX($AR$11:$AR$4010,MATCH(80,$AZ$11:$AZ$4010,0)),""))</f>
        <v/>
      </c>
      <c r="AJ90" s="29" t="str">
        <f>IF(AE90="","",IFERROR(INDEX($AT$11:$AT$4010,MATCH(80,$AZ$11:$AZ$4010,0)),""))</f>
        <v/>
      </c>
      <c r="AL90" s="31" t="str">
        <f t="shared" si="20"/>
        <v/>
      </c>
      <c r="AM90" s="26" t="str">
        <f t="shared" si="21"/>
        <v/>
      </c>
      <c r="AN90" s="32" t="str">
        <f t="shared" si="22"/>
        <v/>
      </c>
      <c r="AO90" s="32" t="str">
        <f t="shared" si="23"/>
        <v/>
      </c>
      <c r="AP90" s="24" t="str">
        <f t="shared" si="24"/>
        <v/>
      </c>
      <c r="AQ90" s="24" t="str">
        <f t="shared" si="25"/>
        <v/>
      </c>
      <c r="AR90" s="33" t="str">
        <f t="shared" si="26"/>
        <v/>
      </c>
      <c r="AS90" s="34"/>
      <c r="AT90" s="33"/>
      <c r="AV90" s="21">
        <f>IF(AND($AL90&lt;&gt;"",COUNTIF($AL$11:$AL90,$AL90)=1),1,0)</f>
        <v>0</v>
      </c>
      <c r="AW90" s="21">
        <f t="shared" si="28"/>
        <v>0</v>
      </c>
      <c r="AX90" s="21" t="str">
        <f t="shared" si="27"/>
        <v/>
      </c>
      <c r="AY90" s="21" t="str">
        <f>IF(AND($AM90&lt;&gt;"",$AS90&lt;&gt;"✓"),SUMPRODUCT(($AM$11:$AM90&lt;&gt;"")*($AS$11:$AS90&lt;&gt;"✓")),"")</f>
        <v/>
      </c>
      <c r="AZ90" s="21" t="str">
        <f>IF(AND($AM90&lt;&gt;"",$AS90="✓"),SUMPRODUCT(($AM$11:$AM90&lt;&gt;"")*($AS$11:$AS90="✓")),"")</f>
        <v/>
      </c>
      <c r="BA90" s="21" t="str">
        <f>IF($AL90="","",$AL90&amp;"|"&amp;COUNTIF($AL$11:$AL90,$AL90))</f>
        <v/>
      </c>
    </row>
    <row r="91" spans="2:53" ht="15" customHeight="1" x14ac:dyDescent="0.25">
      <c r="B91" s="5" t="str">
        <f t="shared" si="15"/>
        <v/>
      </c>
      <c r="C91" s="5"/>
      <c r="D91" s="5"/>
      <c r="E91" s="5"/>
      <c r="F91" s="6"/>
      <c r="G91" s="6"/>
      <c r="H91" s="7"/>
      <c r="I91" s="8"/>
      <c r="K91" s="9" t="str">
        <f>IFERROR(INDEX($AL$11:$AL$4010,MATCH(81,$AX$11:$AX$4010,0)),"")</f>
        <v/>
      </c>
      <c r="L91" s="10" t="str">
        <f t="shared" si="16"/>
        <v/>
      </c>
      <c r="M91" s="11" t="str">
        <f t="shared" si="17"/>
        <v/>
      </c>
      <c r="N91" s="11" t="str">
        <f t="shared" si="18"/>
        <v/>
      </c>
      <c r="P91" s="12" t="str">
        <f>IFERROR(INDEX($AM$11:$AM$4010,MATCH($S$8&amp;"|"&amp;81,$BA$11:$BA$4010,0)),"")</f>
        <v/>
      </c>
      <c r="Q91" s="11" t="str">
        <f>IF(P91="","",IFERROR(INDEX($AN$11:$AN$4010,MATCH($S$8&amp;"|"&amp;81,$BA$11:$BA$4010,0)),""))</f>
        <v/>
      </c>
      <c r="R91" s="11" t="str">
        <f>IF(P91="","",IFERROR(INDEX($AO$11:$AO$4010,MATCH($S$8&amp;"|"&amp;81,$BA$11:$BA$4010,0)),""))</f>
        <v/>
      </c>
      <c r="S91" s="10" t="str">
        <f>IF(P91="","",IFERROR(INDEX($AP$11:$AP$4010,MATCH($S$8&amp;"|"&amp;81,$BA$11:$BA$4010,0)),""))</f>
        <v/>
      </c>
      <c r="T91" s="10" t="str">
        <f>IF(P91="","",IFERROR(INDEX($AQ$11:$AQ$4010,MATCH($S$8&amp;"|"&amp;81,$BA$11:$BA$4010,0)),""))</f>
        <v/>
      </c>
      <c r="U91" s="39" t="str">
        <f t="shared" si="19"/>
        <v/>
      </c>
      <c r="W91" s="14" t="str">
        <f>IF(X91="","",IFERROR(INDEX($AL$11:$AL$4010,MATCH(81,$AY$11:$AY$4010,0)),""))</f>
        <v/>
      </c>
      <c r="X91" s="12" t="str">
        <f>IFERROR(INDEX($AM$11:$AM$4010,MATCH(81,$AY$11:$AY$4010,0)),"")</f>
        <v/>
      </c>
      <c r="Y91" s="11" t="str">
        <f>IF(X91="","",IFERROR(INDEX($AN$11:$AN$4010,MATCH(81,$AY$11:$AY$4010,0)),""))</f>
        <v/>
      </c>
      <c r="Z91" s="11" t="str">
        <f>IF(X91="","",IFERROR(INDEX($AO$11:$AO$4010,MATCH(81,$AY$11:$AY$4010,0)),""))</f>
        <v/>
      </c>
      <c r="AA91" s="10" t="str">
        <f>IF(X91="","",IFERROR(INDEX($AQ$11:$AQ$4010,MATCH(81,$AY$11:$AY$4010,0)),""))</f>
        <v/>
      </c>
      <c r="AB91" s="15" t="str">
        <f>IF(X91="","",IFERROR(INDEX($AR$11:$AR$4010,MATCH(81,$AY$11:$AY$4010,0)),""))</f>
        <v/>
      </c>
      <c r="AD91" s="16" t="str">
        <f>IF(AE91="","",IFERROR(INDEX($AL$11:$AL$4010,MATCH(81,$AZ$11:$AZ$4010,0)),""))</f>
        <v/>
      </c>
      <c r="AE91" s="12" t="str">
        <f>IFERROR(INDEX($AM$11:$AM$4010,MATCH(81,$AZ$11:$AZ$4010,0)),"")</f>
        <v/>
      </c>
      <c r="AF91" s="11" t="str">
        <f>IF(AE91="","",IFERROR(INDEX($AN$11:$AN$4010,MATCH(81,$AZ$11:$AZ$4010,0)),""))</f>
        <v/>
      </c>
      <c r="AG91" s="11" t="str">
        <f>IF(AE91="","",IFERROR(INDEX($AO$11:$AO$4010,MATCH(81,$AZ$11:$AZ$4010,0)),""))</f>
        <v/>
      </c>
      <c r="AH91" s="10" t="str">
        <f>IF(AE91="","",IFERROR(INDEX($AQ$11:$AQ$4010,MATCH(81,$AZ$11:$AZ$4010,0)),""))</f>
        <v/>
      </c>
      <c r="AI91" s="15" t="str">
        <f>IF(AE91="","",IFERROR(INDEX($AR$11:$AR$4010,MATCH(81,$AZ$11:$AZ$4010,0)),""))</f>
        <v/>
      </c>
      <c r="AJ91" s="15" t="str">
        <f>IF(AE91="","",IFERROR(INDEX($AT$11:$AT$4010,MATCH(81,$AZ$11:$AZ$4010,0)),""))</f>
        <v/>
      </c>
      <c r="AL91" s="17" t="str">
        <f t="shared" si="20"/>
        <v/>
      </c>
      <c r="AM91" s="12" t="str">
        <f t="shared" si="21"/>
        <v/>
      </c>
      <c r="AN91" s="18" t="str">
        <f t="shared" si="22"/>
        <v/>
      </c>
      <c r="AO91" s="18" t="str">
        <f t="shared" si="23"/>
        <v/>
      </c>
      <c r="AP91" s="10" t="str">
        <f t="shared" si="24"/>
        <v/>
      </c>
      <c r="AQ91" s="10" t="str">
        <f t="shared" si="25"/>
        <v/>
      </c>
      <c r="AR91" s="19" t="str">
        <f t="shared" si="26"/>
        <v/>
      </c>
      <c r="AS91" s="20"/>
      <c r="AT91" s="19"/>
      <c r="AV91" s="21">
        <f>IF(AND($AL91&lt;&gt;"",COUNTIF($AL$11:$AL91,$AL91)=1),1,0)</f>
        <v>0</v>
      </c>
      <c r="AW91" s="21">
        <f t="shared" si="28"/>
        <v>0</v>
      </c>
      <c r="AX91" s="21" t="str">
        <f t="shared" si="27"/>
        <v/>
      </c>
      <c r="AY91" s="21" t="str">
        <f>IF(AND($AM91&lt;&gt;"",$AS91&lt;&gt;"✓"),SUMPRODUCT(($AM$11:$AM91&lt;&gt;"")*($AS$11:$AS91&lt;&gt;"✓")),"")</f>
        <v/>
      </c>
      <c r="AZ91" s="21" t="str">
        <f>IF(AND($AM91&lt;&gt;"",$AS91="✓"),SUMPRODUCT(($AM$11:$AM91&lt;&gt;"")*($AS$11:$AS91="✓")),"")</f>
        <v/>
      </c>
      <c r="BA91" s="21" t="str">
        <f>IF($AL91="","",$AL91&amp;"|"&amp;COUNTIF($AL$11:$AL91,$AL91))</f>
        <v/>
      </c>
    </row>
    <row r="92" spans="2:53" ht="15" customHeight="1" x14ac:dyDescent="0.25">
      <c r="B92" s="5" t="str">
        <f t="shared" si="15"/>
        <v/>
      </c>
      <c r="C92" s="5"/>
      <c r="D92" s="5"/>
      <c r="E92" s="5"/>
      <c r="F92" s="6"/>
      <c r="G92" s="6"/>
      <c r="H92" s="7"/>
      <c r="I92" s="8"/>
      <c r="K92" s="23" t="str">
        <f>IFERROR(INDEX($AL$11:$AL$4010,MATCH(82,$AX$11:$AX$4010,0)),"")</f>
        <v/>
      </c>
      <c r="L92" s="24" t="str">
        <f t="shared" si="16"/>
        <v/>
      </c>
      <c r="M92" s="25" t="str">
        <f t="shared" si="17"/>
        <v/>
      </c>
      <c r="N92" s="25" t="str">
        <f t="shared" si="18"/>
        <v/>
      </c>
      <c r="P92" s="26" t="str">
        <f>IFERROR(INDEX($AM$11:$AM$4010,MATCH($S$8&amp;"|"&amp;82,$BA$11:$BA$4010,0)),"")</f>
        <v/>
      </c>
      <c r="Q92" s="25" t="str">
        <f>IF(P92="","",IFERROR(INDEX($AN$11:$AN$4010,MATCH($S$8&amp;"|"&amp;82,$BA$11:$BA$4010,0)),""))</f>
        <v/>
      </c>
      <c r="R92" s="25" t="str">
        <f>IF(P92="","",IFERROR(INDEX($AO$11:$AO$4010,MATCH($S$8&amp;"|"&amp;82,$BA$11:$BA$4010,0)),""))</f>
        <v/>
      </c>
      <c r="S92" s="24" t="str">
        <f>IF(P92="","",IFERROR(INDEX($AP$11:$AP$4010,MATCH($S$8&amp;"|"&amp;82,$BA$11:$BA$4010,0)),""))</f>
        <v/>
      </c>
      <c r="T92" s="24" t="str">
        <f>IF(P92="","",IFERROR(INDEX($AQ$11:$AQ$4010,MATCH($S$8&amp;"|"&amp;82,$BA$11:$BA$4010,0)),""))</f>
        <v/>
      </c>
      <c r="U92" s="38" t="str">
        <f t="shared" si="19"/>
        <v/>
      </c>
      <c r="W92" s="28" t="str">
        <f>IF(X92="","",IFERROR(INDEX($AL$11:$AL$4010,MATCH(82,$AY$11:$AY$4010,0)),""))</f>
        <v/>
      </c>
      <c r="X92" s="26" t="str">
        <f>IFERROR(INDEX($AM$11:$AM$4010,MATCH(82,$AY$11:$AY$4010,0)),"")</f>
        <v/>
      </c>
      <c r="Y92" s="25" t="str">
        <f>IF(X92="","",IFERROR(INDEX($AN$11:$AN$4010,MATCH(82,$AY$11:$AY$4010,0)),""))</f>
        <v/>
      </c>
      <c r="Z92" s="25" t="str">
        <f>IF(X92="","",IFERROR(INDEX($AO$11:$AO$4010,MATCH(82,$AY$11:$AY$4010,0)),""))</f>
        <v/>
      </c>
      <c r="AA92" s="24" t="str">
        <f>IF(X92="","",IFERROR(INDEX($AQ$11:$AQ$4010,MATCH(82,$AY$11:$AY$4010,0)),""))</f>
        <v/>
      </c>
      <c r="AB92" s="29" t="str">
        <f>IF(X92="","",IFERROR(INDEX($AR$11:$AR$4010,MATCH(82,$AY$11:$AY$4010,0)),""))</f>
        <v/>
      </c>
      <c r="AD92" s="30" t="str">
        <f>IF(AE92="","",IFERROR(INDEX($AL$11:$AL$4010,MATCH(82,$AZ$11:$AZ$4010,0)),""))</f>
        <v/>
      </c>
      <c r="AE92" s="26" t="str">
        <f>IFERROR(INDEX($AM$11:$AM$4010,MATCH(82,$AZ$11:$AZ$4010,0)),"")</f>
        <v/>
      </c>
      <c r="AF92" s="25" t="str">
        <f>IF(AE92="","",IFERROR(INDEX($AN$11:$AN$4010,MATCH(82,$AZ$11:$AZ$4010,0)),""))</f>
        <v/>
      </c>
      <c r="AG92" s="25" t="str">
        <f>IF(AE92="","",IFERROR(INDEX($AO$11:$AO$4010,MATCH(82,$AZ$11:$AZ$4010,0)),""))</f>
        <v/>
      </c>
      <c r="AH92" s="24" t="str">
        <f>IF(AE92="","",IFERROR(INDEX($AQ$11:$AQ$4010,MATCH(82,$AZ$11:$AZ$4010,0)),""))</f>
        <v/>
      </c>
      <c r="AI92" s="29" t="str">
        <f>IF(AE92="","",IFERROR(INDEX($AR$11:$AR$4010,MATCH(82,$AZ$11:$AZ$4010,0)),""))</f>
        <v/>
      </c>
      <c r="AJ92" s="29" t="str">
        <f>IF(AE92="","",IFERROR(INDEX($AT$11:$AT$4010,MATCH(82,$AZ$11:$AZ$4010,0)),""))</f>
        <v/>
      </c>
      <c r="AL92" s="31" t="str">
        <f t="shared" si="20"/>
        <v/>
      </c>
      <c r="AM92" s="26" t="str">
        <f t="shared" si="21"/>
        <v/>
      </c>
      <c r="AN92" s="32" t="str">
        <f t="shared" si="22"/>
        <v/>
      </c>
      <c r="AO92" s="32" t="str">
        <f t="shared" si="23"/>
        <v/>
      </c>
      <c r="AP92" s="24" t="str">
        <f t="shared" si="24"/>
        <v/>
      </c>
      <c r="AQ92" s="24" t="str">
        <f t="shared" si="25"/>
        <v/>
      </c>
      <c r="AR92" s="33" t="str">
        <f t="shared" si="26"/>
        <v/>
      </c>
      <c r="AS92" s="34"/>
      <c r="AT92" s="33"/>
      <c r="AV92" s="21">
        <f>IF(AND($AL92&lt;&gt;"",COUNTIF($AL$11:$AL92,$AL92)=1),1,0)</f>
        <v>0</v>
      </c>
      <c r="AW92" s="21">
        <f t="shared" si="28"/>
        <v>0</v>
      </c>
      <c r="AX92" s="21" t="str">
        <f t="shared" si="27"/>
        <v/>
      </c>
      <c r="AY92" s="21" t="str">
        <f>IF(AND($AM92&lt;&gt;"",$AS92&lt;&gt;"✓"),SUMPRODUCT(($AM$11:$AM92&lt;&gt;"")*($AS$11:$AS92&lt;&gt;"✓")),"")</f>
        <v/>
      </c>
      <c r="AZ92" s="21" t="str">
        <f>IF(AND($AM92&lt;&gt;"",$AS92="✓"),SUMPRODUCT(($AM$11:$AM92&lt;&gt;"")*($AS$11:$AS92="✓")),"")</f>
        <v/>
      </c>
      <c r="BA92" s="21" t="str">
        <f>IF($AL92="","",$AL92&amp;"|"&amp;COUNTIF($AL$11:$AL92,$AL92))</f>
        <v/>
      </c>
    </row>
    <row r="93" spans="2:53" ht="15" customHeight="1" x14ac:dyDescent="0.25">
      <c r="B93" s="5" t="str">
        <f t="shared" si="15"/>
        <v/>
      </c>
      <c r="C93" s="5"/>
      <c r="D93" s="5"/>
      <c r="E93" s="5"/>
      <c r="F93" s="6"/>
      <c r="G93" s="6"/>
      <c r="H93" s="7"/>
      <c r="I93" s="8"/>
      <c r="K93" s="9" t="str">
        <f>IFERROR(INDEX($AL$11:$AL$4010,MATCH(83,$AX$11:$AX$4010,0)),"")</f>
        <v/>
      </c>
      <c r="L93" s="10" t="str">
        <f t="shared" si="16"/>
        <v/>
      </c>
      <c r="M93" s="11" t="str">
        <f t="shared" si="17"/>
        <v/>
      </c>
      <c r="N93" s="11" t="str">
        <f t="shared" si="18"/>
        <v/>
      </c>
      <c r="P93" s="12" t="str">
        <f>IFERROR(INDEX($AM$11:$AM$4010,MATCH($S$8&amp;"|"&amp;83,$BA$11:$BA$4010,0)),"")</f>
        <v/>
      </c>
      <c r="Q93" s="11" t="str">
        <f>IF(P93="","",IFERROR(INDEX($AN$11:$AN$4010,MATCH($S$8&amp;"|"&amp;83,$BA$11:$BA$4010,0)),""))</f>
        <v/>
      </c>
      <c r="R93" s="11" t="str">
        <f>IF(P93="","",IFERROR(INDEX($AO$11:$AO$4010,MATCH($S$8&amp;"|"&amp;83,$BA$11:$BA$4010,0)),""))</f>
        <v/>
      </c>
      <c r="S93" s="10" t="str">
        <f>IF(P93="","",IFERROR(INDEX($AP$11:$AP$4010,MATCH($S$8&amp;"|"&amp;83,$BA$11:$BA$4010,0)),""))</f>
        <v/>
      </c>
      <c r="T93" s="10" t="str">
        <f>IF(P93="","",IFERROR(INDEX($AQ$11:$AQ$4010,MATCH($S$8&amp;"|"&amp;83,$BA$11:$BA$4010,0)),""))</f>
        <v/>
      </c>
      <c r="U93" s="39" t="str">
        <f t="shared" si="19"/>
        <v/>
      </c>
      <c r="W93" s="14" t="str">
        <f>IF(X93="","",IFERROR(INDEX($AL$11:$AL$4010,MATCH(83,$AY$11:$AY$4010,0)),""))</f>
        <v/>
      </c>
      <c r="X93" s="12" t="str">
        <f>IFERROR(INDEX($AM$11:$AM$4010,MATCH(83,$AY$11:$AY$4010,0)),"")</f>
        <v/>
      </c>
      <c r="Y93" s="11" t="str">
        <f>IF(X93="","",IFERROR(INDEX($AN$11:$AN$4010,MATCH(83,$AY$11:$AY$4010,0)),""))</f>
        <v/>
      </c>
      <c r="Z93" s="11" t="str">
        <f>IF(X93="","",IFERROR(INDEX($AO$11:$AO$4010,MATCH(83,$AY$11:$AY$4010,0)),""))</f>
        <v/>
      </c>
      <c r="AA93" s="10" t="str">
        <f>IF(X93="","",IFERROR(INDEX($AQ$11:$AQ$4010,MATCH(83,$AY$11:$AY$4010,0)),""))</f>
        <v/>
      </c>
      <c r="AB93" s="15" t="str">
        <f>IF(X93="","",IFERROR(INDEX($AR$11:$AR$4010,MATCH(83,$AY$11:$AY$4010,0)),""))</f>
        <v/>
      </c>
      <c r="AD93" s="16" t="str">
        <f>IF(AE93="","",IFERROR(INDEX($AL$11:$AL$4010,MATCH(83,$AZ$11:$AZ$4010,0)),""))</f>
        <v/>
      </c>
      <c r="AE93" s="12" t="str">
        <f>IFERROR(INDEX($AM$11:$AM$4010,MATCH(83,$AZ$11:$AZ$4010,0)),"")</f>
        <v/>
      </c>
      <c r="AF93" s="11" t="str">
        <f>IF(AE93="","",IFERROR(INDEX($AN$11:$AN$4010,MATCH(83,$AZ$11:$AZ$4010,0)),""))</f>
        <v/>
      </c>
      <c r="AG93" s="11" t="str">
        <f>IF(AE93="","",IFERROR(INDEX($AO$11:$AO$4010,MATCH(83,$AZ$11:$AZ$4010,0)),""))</f>
        <v/>
      </c>
      <c r="AH93" s="10" t="str">
        <f>IF(AE93="","",IFERROR(INDEX($AQ$11:$AQ$4010,MATCH(83,$AZ$11:$AZ$4010,0)),""))</f>
        <v/>
      </c>
      <c r="AI93" s="15" t="str">
        <f>IF(AE93="","",IFERROR(INDEX($AR$11:$AR$4010,MATCH(83,$AZ$11:$AZ$4010,0)),""))</f>
        <v/>
      </c>
      <c r="AJ93" s="15" t="str">
        <f>IF(AE93="","",IFERROR(INDEX($AT$11:$AT$4010,MATCH(83,$AZ$11:$AZ$4010,0)),""))</f>
        <v/>
      </c>
      <c r="AL93" s="17" t="str">
        <f t="shared" si="20"/>
        <v/>
      </c>
      <c r="AM93" s="12" t="str">
        <f t="shared" si="21"/>
        <v/>
      </c>
      <c r="AN93" s="18" t="str">
        <f t="shared" si="22"/>
        <v/>
      </c>
      <c r="AO93" s="18" t="str">
        <f t="shared" si="23"/>
        <v/>
      </c>
      <c r="AP93" s="10" t="str">
        <f t="shared" si="24"/>
        <v/>
      </c>
      <c r="AQ93" s="10" t="str">
        <f t="shared" si="25"/>
        <v/>
      </c>
      <c r="AR93" s="19" t="str">
        <f t="shared" si="26"/>
        <v/>
      </c>
      <c r="AS93" s="20"/>
      <c r="AT93" s="19"/>
      <c r="AV93" s="21">
        <f>IF(AND($AL93&lt;&gt;"",COUNTIF($AL$11:$AL93,$AL93)=1),1,0)</f>
        <v>0</v>
      </c>
      <c r="AW93" s="21">
        <f t="shared" si="28"/>
        <v>0</v>
      </c>
      <c r="AX93" s="21" t="str">
        <f t="shared" si="27"/>
        <v/>
      </c>
      <c r="AY93" s="21" t="str">
        <f>IF(AND($AM93&lt;&gt;"",$AS93&lt;&gt;"✓"),SUMPRODUCT(($AM$11:$AM93&lt;&gt;"")*($AS$11:$AS93&lt;&gt;"✓")),"")</f>
        <v/>
      </c>
      <c r="AZ93" s="21" t="str">
        <f>IF(AND($AM93&lt;&gt;"",$AS93="✓"),SUMPRODUCT(($AM$11:$AM93&lt;&gt;"")*($AS$11:$AS93="✓")),"")</f>
        <v/>
      </c>
      <c r="BA93" s="21" t="str">
        <f>IF($AL93="","",$AL93&amp;"|"&amp;COUNTIF($AL$11:$AL93,$AL93))</f>
        <v/>
      </c>
    </row>
    <row r="94" spans="2:53" ht="15" customHeight="1" x14ac:dyDescent="0.25">
      <c r="B94" s="5" t="str">
        <f t="shared" si="15"/>
        <v/>
      </c>
      <c r="C94" s="5"/>
      <c r="D94" s="5"/>
      <c r="E94" s="5"/>
      <c r="F94" s="6"/>
      <c r="G94" s="6"/>
      <c r="H94" s="7"/>
      <c r="I94" s="8"/>
      <c r="K94" s="23" t="str">
        <f>IFERROR(INDEX($AL$11:$AL$4010,MATCH(84,$AX$11:$AX$4010,0)),"")</f>
        <v/>
      </c>
      <c r="L94" s="24" t="str">
        <f t="shared" si="16"/>
        <v/>
      </c>
      <c r="M94" s="25" t="str">
        <f t="shared" si="17"/>
        <v/>
      </c>
      <c r="N94" s="25" t="str">
        <f t="shared" si="18"/>
        <v/>
      </c>
      <c r="P94" s="26" t="str">
        <f>IFERROR(INDEX($AM$11:$AM$4010,MATCH($S$8&amp;"|"&amp;84,$BA$11:$BA$4010,0)),"")</f>
        <v/>
      </c>
      <c r="Q94" s="25" t="str">
        <f>IF(P94="","",IFERROR(INDEX($AN$11:$AN$4010,MATCH($S$8&amp;"|"&amp;84,$BA$11:$BA$4010,0)),""))</f>
        <v/>
      </c>
      <c r="R94" s="25" t="str">
        <f>IF(P94="","",IFERROR(INDEX($AO$11:$AO$4010,MATCH($S$8&amp;"|"&amp;84,$BA$11:$BA$4010,0)),""))</f>
        <v/>
      </c>
      <c r="S94" s="24" t="str">
        <f>IF(P94="","",IFERROR(INDEX($AP$11:$AP$4010,MATCH($S$8&amp;"|"&amp;84,$BA$11:$BA$4010,0)),""))</f>
        <v/>
      </c>
      <c r="T94" s="24" t="str">
        <f>IF(P94="","",IFERROR(INDEX($AQ$11:$AQ$4010,MATCH($S$8&amp;"|"&amp;84,$BA$11:$BA$4010,0)),""))</f>
        <v/>
      </c>
      <c r="U94" s="38" t="str">
        <f t="shared" si="19"/>
        <v/>
      </c>
      <c r="W94" s="28" t="str">
        <f>IF(X94="","",IFERROR(INDEX($AL$11:$AL$4010,MATCH(84,$AY$11:$AY$4010,0)),""))</f>
        <v/>
      </c>
      <c r="X94" s="26" t="str">
        <f>IFERROR(INDEX($AM$11:$AM$4010,MATCH(84,$AY$11:$AY$4010,0)),"")</f>
        <v/>
      </c>
      <c r="Y94" s="25" t="str">
        <f>IF(X94="","",IFERROR(INDEX($AN$11:$AN$4010,MATCH(84,$AY$11:$AY$4010,0)),""))</f>
        <v/>
      </c>
      <c r="Z94" s="25" t="str">
        <f>IF(X94="","",IFERROR(INDEX($AO$11:$AO$4010,MATCH(84,$AY$11:$AY$4010,0)),""))</f>
        <v/>
      </c>
      <c r="AA94" s="24" t="str">
        <f>IF(X94="","",IFERROR(INDEX($AQ$11:$AQ$4010,MATCH(84,$AY$11:$AY$4010,0)),""))</f>
        <v/>
      </c>
      <c r="AB94" s="29" t="str">
        <f>IF(X94="","",IFERROR(INDEX($AR$11:$AR$4010,MATCH(84,$AY$11:$AY$4010,0)),""))</f>
        <v/>
      </c>
      <c r="AD94" s="30" t="str">
        <f>IF(AE94="","",IFERROR(INDEX($AL$11:$AL$4010,MATCH(84,$AZ$11:$AZ$4010,0)),""))</f>
        <v/>
      </c>
      <c r="AE94" s="26" t="str">
        <f>IFERROR(INDEX($AM$11:$AM$4010,MATCH(84,$AZ$11:$AZ$4010,0)),"")</f>
        <v/>
      </c>
      <c r="AF94" s="25" t="str">
        <f>IF(AE94="","",IFERROR(INDEX($AN$11:$AN$4010,MATCH(84,$AZ$11:$AZ$4010,0)),""))</f>
        <v/>
      </c>
      <c r="AG94" s="25" t="str">
        <f>IF(AE94="","",IFERROR(INDEX($AO$11:$AO$4010,MATCH(84,$AZ$11:$AZ$4010,0)),""))</f>
        <v/>
      </c>
      <c r="AH94" s="24" t="str">
        <f>IF(AE94="","",IFERROR(INDEX($AQ$11:$AQ$4010,MATCH(84,$AZ$11:$AZ$4010,0)),""))</f>
        <v/>
      </c>
      <c r="AI94" s="29" t="str">
        <f>IF(AE94="","",IFERROR(INDEX($AR$11:$AR$4010,MATCH(84,$AZ$11:$AZ$4010,0)),""))</f>
        <v/>
      </c>
      <c r="AJ94" s="29" t="str">
        <f>IF(AE94="","",IFERROR(INDEX($AT$11:$AT$4010,MATCH(84,$AZ$11:$AZ$4010,0)),""))</f>
        <v/>
      </c>
      <c r="AL94" s="31" t="str">
        <f t="shared" si="20"/>
        <v/>
      </c>
      <c r="AM94" s="26" t="str">
        <f t="shared" si="21"/>
        <v/>
      </c>
      <c r="AN94" s="32" t="str">
        <f t="shared" si="22"/>
        <v/>
      </c>
      <c r="AO94" s="32" t="str">
        <f t="shared" si="23"/>
        <v/>
      </c>
      <c r="AP94" s="24" t="str">
        <f t="shared" si="24"/>
        <v/>
      </c>
      <c r="AQ94" s="24" t="str">
        <f t="shared" si="25"/>
        <v/>
      </c>
      <c r="AR94" s="33" t="str">
        <f t="shared" si="26"/>
        <v/>
      </c>
      <c r="AS94" s="34"/>
      <c r="AT94" s="33"/>
      <c r="AV94" s="21">
        <f>IF(AND($AL94&lt;&gt;"",COUNTIF($AL$11:$AL94,$AL94)=1),1,0)</f>
        <v>0</v>
      </c>
      <c r="AW94" s="21">
        <f t="shared" si="28"/>
        <v>0</v>
      </c>
      <c r="AX94" s="21" t="str">
        <f t="shared" si="27"/>
        <v/>
      </c>
      <c r="AY94" s="21" t="str">
        <f>IF(AND($AM94&lt;&gt;"",$AS94&lt;&gt;"✓"),SUMPRODUCT(($AM$11:$AM94&lt;&gt;"")*($AS$11:$AS94&lt;&gt;"✓")),"")</f>
        <v/>
      </c>
      <c r="AZ94" s="21" t="str">
        <f>IF(AND($AM94&lt;&gt;"",$AS94="✓"),SUMPRODUCT(($AM$11:$AM94&lt;&gt;"")*($AS$11:$AS94="✓")),"")</f>
        <v/>
      </c>
      <c r="BA94" s="21" t="str">
        <f>IF($AL94="","",$AL94&amp;"|"&amp;COUNTIF($AL$11:$AL94,$AL94))</f>
        <v/>
      </c>
    </row>
    <row r="95" spans="2:53" ht="15" customHeight="1" x14ac:dyDescent="0.25">
      <c r="B95" s="5" t="str">
        <f t="shared" si="15"/>
        <v/>
      </c>
      <c r="C95" s="5"/>
      <c r="D95" s="5"/>
      <c r="E95" s="5"/>
      <c r="F95" s="6"/>
      <c r="G95" s="6"/>
      <c r="H95" s="7"/>
      <c r="I95" s="8"/>
      <c r="K95" s="9" t="str">
        <f>IFERROR(INDEX($AL$11:$AL$4010,MATCH(85,$AX$11:$AX$4010,0)),"")</f>
        <v/>
      </c>
      <c r="L95" s="10" t="str">
        <f t="shared" si="16"/>
        <v/>
      </c>
      <c r="M95" s="11" t="str">
        <f t="shared" si="17"/>
        <v/>
      </c>
      <c r="N95" s="11" t="str">
        <f t="shared" si="18"/>
        <v/>
      </c>
      <c r="P95" s="12" t="str">
        <f>IFERROR(INDEX($AM$11:$AM$4010,MATCH($S$8&amp;"|"&amp;85,$BA$11:$BA$4010,0)),"")</f>
        <v/>
      </c>
      <c r="Q95" s="11" t="str">
        <f>IF(P95="","",IFERROR(INDEX($AN$11:$AN$4010,MATCH($S$8&amp;"|"&amp;85,$BA$11:$BA$4010,0)),""))</f>
        <v/>
      </c>
      <c r="R95" s="11" t="str">
        <f>IF(P95="","",IFERROR(INDEX($AO$11:$AO$4010,MATCH($S$8&amp;"|"&amp;85,$BA$11:$BA$4010,0)),""))</f>
        <v/>
      </c>
      <c r="S95" s="10" t="str">
        <f>IF(P95="","",IFERROR(INDEX($AP$11:$AP$4010,MATCH($S$8&amp;"|"&amp;85,$BA$11:$BA$4010,0)),""))</f>
        <v/>
      </c>
      <c r="T95" s="10" t="str">
        <f>IF(P95="","",IFERROR(INDEX($AQ$11:$AQ$4010,MATCH($S$8&amp;"|"&amp;85,$BA$11:$BA$4010,0)),""))</f>
        <v/>
      </c>
      <c r="U95" s="39" t="str">
        <f t="shared" si="19"/>
        <v/>
      </c>
      <c r="W95" s="14" t="str">
        <f>IF(X95="","",IFERROR(INDEX($AL$11:$AL$4010,MATCH(85,$AY$11:$AY$4010,0)),""))</f>
        <v/>
      </c>
      <c r="X95" s="12" t="str">
        <f>IFERROR(INDEX($AM$11:$AM$4010,MATCH(85,$AY$11:$AY$4010,0)),"")</f>
        <v/>
      </c>
      <c r="Y95" s="11" t="str">
        <f>IF(X95="","",IFERROR(INDEX($AN$11:$AN$4010,MATCH(85,$AY$11:$AY$4010,0)),""))</f>
        <v/>
      </c>
      <c r="Z95" s="11" t="str">
        <f>IF(X95="","",IFERROR(INDEX($AO$11:$AO$4010,MATCH(85,$AY$11:$AY$4010,0)),""))</f>
        <v/>
      </c>
      <c r="AA95" s="10" t="str">
        <f>IF(X95="","",IFERROR(INDEX($AQ$11:$AQ$4010,MATCH(85,$AY$11:$AY$4010,0)),""))</f>
        <v/>
      </c>
      <c r="AB95" s="15" t="str">
        <f>IF(X95="","",IFERROR(INDEX($AR$11:$AR$4010,MATCH(85,$AY$11:$AY$4010,0)),""))</f>
        <v/>
      </c>
      <c r="AD95" s="16" t="str">
        <f>IF(AE95="","",IFERROR(INDEX($AL$11:$AL$4010,MATCH(85,$AZ$11:$AZ$4010,0)),""))</f>
        <v/>
      </c>
      <c r="AE95" s="12" t="str">
        <f>IFERROR(INDEX($AM$11:$AM$4010,MATCH(85,$AZ$11:$AZ$4010,0)),"")</f>
        <v/>
      </c>
      <c r="AF95" s="11" t="str">
        <f>IF(AE95="","",IFERROR(INDEX($AN$11:$AN$4010,MATCH(85,$AZ$11:$AZ$4010,0)),""))</f>
        <v/>
      </c>
      <c r="AG95" s="11" t="str">
        <f>IF(AE95="","",IFERROR(INDEX($AO$11:$AO$4010,MATCH(85,$AZ$11:$AZ$4010,0)),""))</f>
        <v/>
      </c>
      <c r="AH95" s="10" t="str">
        <f>IF(AE95="","",IFERROR(INDEX($AQ$11:$AQ$4010,MATCH(85,$AZ$11:$AZ$4010,0)),""))</f>
        <v/>
      </c>
      <c r="AI95" s="15" t="str">
        <f>IF(AE95="","",IFERROR(INDEX($AR$11:$AR$4010,MATCH(85,$AZ$11:$AZ$4010,0)),""))</f>
        <v/>
      </c>
      <c r="AJ95" s="15" t="str">
        <f>IF(AE95="","",IFERROR(INDEX($AT$11:$AT$4010,MATCH(85,$AZ$11:$AZ$4010,0)),""))</f>
        <v/>
      </c>
      <c r="AL95" s="17" t="str">
        <f t="shared" si="20"/>
        <v/>
      </c>
      <c r="AM95" s="12" t="str">
        <f t="shared" si="21"/>
        <v/>
      </c>
      <c r="AN95" s="18" t="str">
        <f t="shared" si="22"/>
        <v/>
      </c>
      <c r="AO95" s="18" t="str">
        <f t="shared" si="23"/>
        <v/>
      </c>
      <c r="AP95" s="10" t="str">
        <f t="shared" si="24"/>
        <v/>
      </c>
      <c r="AQ95" s="10" t="str">
        <f t="shared" si="25"/>
        <v/>
      </c>
      <c r="AR95" s="19" t="str">
        <f t="shared" si="26"/>
        <v/>
      </c>
      <c r="AS95" s="20"/>
      <c r="AT95" s="19"/>
      <c r="AV95" s="21">
        <f>IF(AND($AL95&lt;&gt;"",COUNTIF($AL$11:$AL95,$AL95)=1),1,0)</f>
        <v>0</v>
      </c>
      <c r="AW95" s="21">
        <f t="shared" si="28"/>
        <v>0</v>
      </c>
      <c r="AX95" s="21" t="str">
        <f t="shared" si="27"/>
        <v/>
      </c>
      <c r="AY95" s="21" t="str">
        <f>IF(AND($AM95&lt;&gt;"",$AS95&lt;&gt;"✓"),SUMPRODUCT(($AM$11:$AM95&lt;&gt;"")*($AS$11:$AS95&lt;&gt;"✓")),"")</f>
        <v/>
      </c>
      <c r="AZ95" s="21" t="str">
        <f>IF(AND($AM95&lt;&gt;"",$AS95="✓"),SUMPRODUCT(($AM$11:$AM95&lt;&gt;"")*($AS$11:$AS95="✓")),"")</f>
        <v/>
      </c>
      <c r="BA95" s="21" t="str">
        <f>IF($AL95="","",$AL95&amp;"|"&amp;COUNTIF($AL$11:$AL95,$AL95))</f>
        <v/>
      </c>
    </row>
    <row r="96" spans="2:53" ht="15" customHeight="1" x14ac:dyDescent="0.25">
      <c r="B96" s="5" t="str">
        <f t="shared" si="15"/>
        <v/>
      </c>
      <c r="C96" s="5"/>
      <c r="D96" s="5"/>
      <c r="E96" s="5"/>
      <c r="F96" s="6"/>
      <c r="G96" s="6"/>
      <c r="H96" s="7"/>
      <c r="I96" s="8"/>
      <c r="K96" s="23" t="str">
        <f>IFERROR(INDEX($AL$11:$AL$4010,MATCH(86,$AX$11:$AX$4010,0)),"")</f>
        <v/>
      </c>
      <c r="L96" s="24" t="str">
        <f t="shared" si="16"/>
        <v/>
      </c>
      <c r="M96" s="25" t="str">
        <f t="shared" si="17"/>
        <v/>
      </c>
      <c r="N96" s="25" t="str">
        <f t="shared" si="18"/>
        <v/>
      </c>
      <c r="P96" s="26" t="str">
        <f>IFERROR(INDEX($AM$11:$AM$4010,MATCH($S$8&amp;"|"&amp;86,$BA$11:$BA$4010,0)),"")</f>
        <v/>
      </c>
      <c r="Q96" s="25" t="str">
        <f>IF(P96="","",IFERROR(INDEX($AN$11:$AN$4010,MATCH($S$8&amp;"|"&amp;86,$BA$11:$BA$4010,0)),""))</f>
        <v/>
      </c>
      <c r="R96" s="25" t="str">
        <f>IF(P96="","",IFERROR(INDEX($AO$11:$AO$4010,MATCH($S$8&amp;"|"&amp;86,$BA$11:$BA$4010,0)),""))</f>
        <v/>
      </c>
      <c r="S96" s="24" t="str">
        <f>IF(P96="","",IFERROR(INDEX($AP$11:$AP$4010,MATCH($S$8&amp;"|"&amp;86,$BA$11:$BA$4010,0)),""))</f>
        <v/>
      </c>
      <c r="T96" s="24" t="str">
        <f>IF(P96="","",IFERROR(INDEX($AQ$11:$AQ$4010,MATCH($S$8&amp;"|"&amp;86,$BA$11:$BA$4010,0)),""))</f>
        <v/>
      </c>
      <c r="U96" s="38" t="str">
        <f t="shared" si="19"/>
        <v/>
      </c>
      <c r="W96" s="28" t="str">
        <f>IF(X96="","",IFERROR(INDEX($AL$11:$AL$4010,MATCH(86,$AY$11:$AY$4010,0)),""))</f>
        <v/>
      </c>
      <c r="X96" s="26" t="str">
        <f>IFERROR(INDEX($AM$11:$AM$4010,MATCH(86,$AY$11:$AY$4010,0)),"")</f>
        <v/>
      </c>
      <c r="Y96" s="25" t="str">
        <f>IF(X96="","",IFERROR(INDEX($AN$11:$AN$4010,MATCH(86,$AY$11:$AY$4010,0)),""))</f>
        <v/>
      </c>
      <c r="Z96" s="25" t="str">
        <f>IF(X96="","",IFERROR(INDEX($AO$11:$AO$4010,MATCH(86,$AY$11:$AY$4010,0)),""))</f>
        <v/>
      </c>
      <c r="AA96" s="24" t="str">
        <f>IF(X96="","",IFERROR(INDEX($AQ$11:$AQ$4010,MATCH(86,$AY$11:$AY$4010,0)),""))</f>
        <v/>
      </c>
      <c r="AB96" s="29" t="str">
        <f>IF(X96="","",IFERROR(INDEX($AR$11:$AR$4010,MATCH(86,$AY$11:$AY$4010,0)),""))</f>
        <v/>
      </c>
      <c r="AD96" s="30" t="str">
        <f>IF(AE96="","",IFERROR(INDEX($AL$11:$AL$4010,MATCH(86,$AZ$11:$AZ$4010,0)),""))</f>
        <v/>
      </c>
      <c r="AE96" s="26" t="str">
        <f>IFERROR(INDEX($AM$11:$AM$4010,MATCH(86,$AZ$11:$AZ$4010,0)),"")</f>
        <v/>
      </c>
      <c r="AF96" s="25" t="str">
        <f>IF(AE96="","",IFERROR(INDEX($AN$11:$AN$4010,MATCH(86,$AZ$11:$AZ$4010,0)),""))</f>
        <v/>
      </c>
      <c r="AG96" s="25" t="str">
        <f>IF(AE96="","",IFERROR(INDEX($AO$11:$AO$4010,MATCH(86,$AZ$11:$AZ$4010,0)),""))</f>
        <v/>
      </c>
      <c r="AH96" s="24" t="str">
        <f>IF(AE96="","",IFERROR(INDEX($AQ$11:$AQ$4010,MATCH(86,$AZ$11:$AZ$4010,0)),""))</f>
        <v/>
      </c>
      <c r="AI96" s="29" t="str">
        <f>IF(AE96="","",IFERROR(INDEX($AR$11:$AR$4010,MATCH(86,$AZ$11:$AZ$4010,0)),""))</f>
        <v/>
      </c>
      <c r="AJ96" s="29" t="str">
        <f>IF(AE96="","",IFERROR(INDEX($AT$11:$AT$4010,MATCH(86,$AZ$11:$AZ$4010,0)),""))</f>
        <v/>
      </c>
      <c r="AL96" s="31" t="str">
        <f t="shared" si="20"/>
        <v/>
      </c>
      <c r="AM96" s="26" t="str">
        <f t="shared" si="21"/>
        <v/>
      </c>
      <c r="AN96" s="32" t="str">
        <f t="shared" si="22"/>
        <v/>
      </c>
      <c r="AO96" s="32" t="str">
        <f t="shared" si="23"/>
        <v/>
      </c>
      <c r="AP96" s="24" t="str">
        <f t="shared" si="24"/>
        <v/>
      </c>
      <c r="AQ96" s="24" t="str">
        <f t="shared" si="25"/>
        <v/>
      </c>
      <c r="AR96" s="33" t="str">
        <f t="shared" si="26"/>
        <v/>
      </c>
      <c r="AS96" s="34"/>
      <c r="AT96" s="33"/>
      <c r="AV96" s="21">
        <f>IF(AND($AL96&lt;&gt;"",COUNTIF($AL$11:$AL96,$AL96)=1),1,0)</f>
        <v>0</v>
      </c>
      <c r="AW96" s="21">
        <f t="shared" si="28"/>
        <v>0</v>
      </c>
      <c r="AX96" s="21" t="str">
        <f t="shared" si="27"/>
        <v/>
      </c>
      <c r="AY96" s="21" t="str">
        <f>IF(AND($AM96&lt;&gt;"",$AS96&lt;&gt;"✓"),SUMPRODUCT(($AM$11:$AM96&lt;&gt;"")*($AS$11:$AS96&lt;&gt;"✓")),"")</f>
        <v/>
      </c>
      <c r="AZ96" s="21" t="str">
        <f>IF(AND($AM96&lt;&gt;"",$AS96="✓"),SUMPRODUCT(($AM$11:$AM96&lt;&gt;"")*($AS$11:$AS96="✓")),"")</f>
        <v/>
      </c>
      <c r="BA96" s="21" t="str">
        <f>IF($AL96="","",$AL96&amp;"|"&amp;COUNTIF($AL$11:$AL96,$AL96))</f>
        <v/>
      </c>
    </row>
    <row r="97" spans="2:53" ht="15" customHeight="1" x14ac:dyDescent="0.25">
      <c r="B97" s="5" t="str">
        <f t="shared" si="15"/>
        <v/>
      </c>
      <c r="C97" s="5"/>
      <c r="D97" s="5"/>
      <c r="E97" s="5"/>
      <c r="F97" s="6"/>
      <c r="G97" s="6"/>
      <c r="H97" s="7"/>
      <c r="I97" s="8"/>
      <c r="K97" s="9" t="str">
        <f>IFERROR(INDEX($AL$11:$AL$4010,MATCH(87,$AX$11:$AX$4010,0)),"")</f>
        <v/>
      </c>
      <c r="L97" s="10" t="str">
        <f t="shared" si="16"/>
        <v/>
      </c>
      <c r="M97" s="11" t="str">
        <f t="shared" si="17"/>
        <v/>
      </c>
      <c r="N97" s="11" t="str">
        <f t="shared" si="18"/>
        <v/>
      </c>
      <c r="P97" s="12" t="str">
        <f>IFERROR(INDEX($AM$11:$AM$4010,MATCH($S$8&amp;"|"&amp;87,$BA$11:$BA$4010,0)),"")</f>
        <v/>
      </c>
      <c r="Q97" s="11" t="str">
        <f>IF(P97="","",IFERROR(INDEX($AN$11:$AN$4010,MATCH($S$8&amp;"|"&amp;87,$BA$11:$BA$4010,0)),""))</f>
        <v/>
      </c>
      <c r="R97" s="11" t="str">
        <f>IF(P97="","",IFERROR(INDEX($AO$11:$AO$4010,MATCH($S$8&amp;"|"&amp;87,$BA$11:$BA$4010,0)),""))</f>
        <v/>
      </c>
      <c r="S97" s="10" t="str">
        <f>IF(P97="","",IFERROR(INDEX($AP$11:$AP$4010,MATCH($S$8&amp;"|"&amp;87,$BA$11:$BA$4010,0)),""))</f>
        <v/>
      </c>
      <c r="T97" s="10" t="str">
        <f>IF(P97="","",IFERROR(INDEX($AQ$11:$AQ$4010,MATCH($S$8&amp;"|"&amp;87,$BA$11:$BA$4010,0)),""))</f>
        <v/>
      </c>
      <c r="U97" s="39" t="str">
        <f t="shared" si="19"/>
        <v/>
      </c>
      <c r="W97" s="14" t="str">
        <f>IF(X97="","",IFERROR(INDEX($AL$11:$AL$4010,MATCH(87,$AY$11:$AY$4010,0)),""))</f>
        <v/>
      </c>
      <c r="X97" s="12" t="str">
        <f>IFERROR(INDEX($AM$11:$AM$4010,MATCH(87,$AY$11:$AY$4010,0)),"")</f>
        <v/>
      </c>
      <c r="Y97" s="11" t="str">
        <f>IF(X97="","",IFERROR(INDEX($AN$11:$AN$4010,MATCH(87,$AY$11:$AY$4010,0)),""))</f>
        <v/>
      </c>
      <c r="Z97" s="11" t="str">
        <f>IF(X97="","",IFERROR(INDEX($AO$11:$AO$4010,MATCH(87,$AY$11:$AY$4010,0)),""))</f>
        <v/>
      </c>
      <c r="AA97" s="10" t="str">
        <f>IF(X97="","",IFERROR(INDEX($AQ$11:$AQ$4010,MATCH(87,$AY$11:$AY$4010,0)),""))</f>
        <v/>
      </c>
      <c r="AB97" s="15" t="str">
        <f>IF(X97="","",IFERROR(INDEX($AR$11:$AR$4010,MATCH(87,$AY$11:$AY$4010,0)),""))</f>
        <v/>
      </c>
      <c r="AD97" s="16" t="str">
        <f>IF(AE97="","",IFERROR(INDEX($AL$11:$AL$4010,MATCH(87,$AZ$11:$AZ$4010,0)),""))</f>
        <v/>
      </c>
      <c r="AE97" s="12" t="str">
        <f>IFERROR(INDEX($AM$11:$AM$4010,MATCH(87,$AZ$11:$AZ$4010,0)),"")</f>
        <v/>
      </c>
      <c r="AF97" s="11" t="str">
        <f>IF(AE97="","",IFERROR(INDEX($AN$11:$AN$4010,MATCH(87,$AZ$11:$AZ$4010,0)),""))</f>
        <v/>
      </c>
      <c r="AG97" s="11" t="str">
        <f>IF(AE97="","",IFERROR(INDEX($AO$11:$AO$4010,MATCH(87,$AZ$11:$AZ$4010,0)),""))</f>
        <v/>
      </c>
      <c r="AH97" s="10" t="str">
        <f>IF(AE97="","",IFERROR(INDEX($AQ$11:$AQ$4010,MATCH(87,$AZ$11:$AZ$4010,0)),""))</f>
        <v/>
      </c>
      <c r="AI97" s="15" t="str">
        <f>IF(AE97="","",IFERROR(INDEX($AR$11:$AR$4010,MATCH(87,$AZ$11:$AZ$4010,0)),""))</f>
        <v/>
      </c>
      <c r="AJ97" s="15" t="str">
        <f>IF(AE97="","",IFERROR(INDEX($AT$11:$AT$4010,MATCH(87,$AZ$11:$AZ$4010,0)),""))</f>
        <v/>
      </c>
      <c r="AL97" s="17" t="str">
        <f t="shared" si="20"/>
        <v/>
      </c>
      <c r="AM97" s="12" t="str">
        <f t="shared" si="21"/>
        <v/>
      </c>
      <c r="AN97" s="18" t="str">
        <f t="shared" si="22"/>
        <v/>
      </c>
      <c r="AO97" s="18" t="str">
        <f t="shared" si="23"/>
        <v/>
      </c>
      <c r="AP97" s="10" t="str">
        <f t="shared" si="24"/>
        <v/>
      </c>
      <c r="AQ97" s="10" t="str">
        <f t="shared" si="25"/>
        <v/>
      </c>
      <c r="AR97" s="19" t="str">
        <f t="shared" si="26"/>
        <v/>
      </c>
      <c r="AS97" s="20"/>
      <c r="AT97" s="19"/>
      <c r="AV97" s="21">
        <f>IF(AND($AL97&lt;&gt;"",COUNTIF($AL$11:$AL97,$AL97)=1),1,0)</f>
        <v>0</v>
      </c>
      <c r="AW97" s="21">
        <f t="shared" si="28"/>
        <v>0</v>
      </c>
      <c r="AX97" s="21" t="str">
        <f t="shared" si="27"/>
        <v/>
      </c>
      <c r="AY97" s="21" t="str">
        <f>IF(AND($AM97&lt;&gt;"",$AS97&lt;&gt;"✓"),SUMPRODUCT(($AM$11:$AM97&lt;&gt;"")*($AS$11:$AS97&lt;&gt;"✓")),"")</f>
        <v/>
      </c>
      <c r="AZ97" s="21" t="str">
        <f>IF(AND($AM97&lt;&gt;"",$AS97="✓"),SUMPRODUCT(($AM$11:$AM97&lt;&gt;"")*($AS$11:$AS97="✓")),"")</f>
        <v/>
      </c>
      <c r="BA97" s="21" t="str">
        <f>IF($AL97="","",$AL97&amp;"|"&amp;COUNTIF($AL$11:$AL97,$AL97))</f>
        <v/>
      </c>
    </row>
    <row r="98" spans="2:53" ht="15" customHeight="1" x14ac:dyDescent="0.25">
      <c r="B98" s="5" t="str">
        <f t="shared" si="15"/>
        <v/>
      </c>
      <c r="C98" s="5"/>
      <c r="D98" s="5"/>
      <c r="E98" s="5"/>
      <c r="F98" s="6"/>
      <c r="G98" s="6"/>
      <c r="H98" s="7"/>
      <c r="I98" s="8"/>
      <c r="K98" s="23" t="str">
        <f>IFERROR(INDEX($AL$11:$AL$4010,MATCH(88,$AX$11:$AX$4010,0)),"")</f>
        <v/>
      </c>
      <c r="L98" s="24" t="str">
        <f t="shared" si="16"/>
        <v/>
      </c>
      <c r="M98" s="25" t="str">
        <f t="shared" si="17"/>
        <v/>
      </c>
      <c r="N98" s="25" t="str">
        <f t="shared" si="18"/>
        <v/>
      </c>
      <c r="P98" s="26" t="str">
        <f>IFERROR(INDEX($AM$11:$AM$4010,MATCH($S$8&amp;"|"&amp;88,$BA$11:$BA$4010,0)),"")</f>
        <v/>
      </c>
      <c r="Q98" s="25" t="str">
        <f>IF(P98="","",IFERROR(INDEX($AN$11:$AN$4010,MATCH($S$8&amp;"|"&amp;88,$BA$11:$BA$4010,0)),""))</f>
        <v/>
      </c>
      <c r="R98" s="25" t="str">
        <f>IF(P98="","",IFERROR(INDEX($AO$11:$AO$4010,MATCH($S$8&amp;"|"&amp;88,$BA$11:$BA$4010,0)),""))</f>
        <v/>
      </c>
      <c r="S98" s="24" t="str">
        <f>IF(P98="","",IFERROR(INDEX($AP$11:$AP$4010,MATCH($S$8&amp;"|"&amp;88,$BA$11:$BA$4010,0)),""))</f>
        <v/>
      </c>
      <c r="T98" s="24" t="str">
        <f>IF(P98="","",IFERROR(INDEX($AQ$11:$AQ$4010,MATCH($S$8&amp;"|"&amp;88,$BA$11:$BA$4010,0)),""))</f>
        <v/>
      </c>
      <c r="U98" s="38" t="str">
        <f t="shared" si="19"/>
        <v/>
      </c>
      <c r="W98" s="28" t="str">
        <f>IF(X98="","",IFERROR(INDEX($AL$11:$AL$4010,MATCH(88,$AY$11:$AY$4010,0)),""))</f>
        <v/>
      </c>
      <c r="X98" s="26" t="str">
        <f>IFERROR(INDEX($AM$11:$AM$4010,MATCH(88,$AY$11:$AY$4010,0)),"")</f>
        <v/>
      </c>
      <c r="Y98" s="25" t="str">
        <f>IF(X98="","",IFERROR(INDEX($AN$11:$AN$4010,MATCH(88,$AY$11:$AY$4010,0)),""))</f>
        <v/>
      </c>
      <c r="Z98" s="25" t="str">
        <f>IF(X98="","",IFERROR(INDEX($AO$11:$AO$4010,MATCH(88,$AY$11:$AY$4010,0)),""))</f>
        <v/>
      </c>
      <c r="AA98" s="24" t="str">
        <f>IF(X98="","",IFERROR(INDEX($AQ$11:$AQ$4010,MATCH(88,$AY$11:$AY$4010,0)),""))</f>
        <v/>
      </c>
      <c r="AB98" s="29" t="str">
        <f>IF(X98="","",IFERROR(INDEX($AR$11:$AR$4010,MATCH(88,$AY$11:$AY$4010,0)),""))</f>
        <v/>
      </c>
      <c r="AD98" s="30" t="str">
        <f>IF(AE98="","",IFERROR(INDEX($AL$11:$AL$4010,MATCH(88,$AZ$11:$AZ$4010,0)),""))</f>
        <v/>
      </c>
      <c r="AE98" s="26" t="str">
        <f>IFERROR(INDEX($AM$11:$AM$4010,MATCH(88,$AZ$11:$AZ$4010,0)),"")</f>
        <v/>
      </c>
      <c r="AF98" s="25" t="str">
        <f>IF(AE98="","",IFERROR(INDEX($AN$11:$AN$4010,MATCH(88,$AZ$11:$AZ$4010,0)),""))</f>
        <v/>
      </c>
      <c r="AG98" s="25" t="str">
        <f>IF(AE98="","",IFERROR(INDEX($AO$11:$AO$4010,MATCH(88,$AZ$11:$AZ$4010,0)),""))</f>
        <v/>
      </c>
      <c r="AH98" s="24" t="str">
        <f>IF(AE98="","",IFERROR(INDEX($AQ$11:$AQ$4010,MATCH(88,$AZ$11:$AZ$4010,0)),""))</f>
        <v/>
      </c>
      <c r="AI98" s="29" t="str">
        <f>IF(AE98="","",IFERROR(INDEX($AR$11:$AR$4010,MATCH(88,$AZ$11:$AZ$4010,0)),""))</f>
        <v/>
      </c>
      <c r="AJ98" s="29" t="str">
        <f>IF(AE98="","",IFERROR(INDEX($AT$11:$AT$4010,MATCH(88,$AZ$11:$AZ$4010,0)),""))</f>
        <v/>
      </c>
      <c r="AL98" s="31" t="str">
        <f t="shared" si="20"/>
        <v/>
      </c>
      <c r="AM98" s="26" t="str">
        <f t="shared" si="21"/>
        <v/>
      </c>
      <c r="AN98" s="32" t="str">
        <f t="shared" si="22"/>
        <v/>
      </c>
      <c r="AO98" s="32" t="str">
        <f t="shared" si="23"/>
        <v/>
      </c>
      <c r="AP98" s="24" t="str">
        <f t="shared" si="24"/>
        <v/>
      </c>
      <c r="AQ98" s="24" t="str">
        <f t="shared" si="25"/>
        <v/>
      </c>
      <c r="AR98" s="33" t="str">
        <f t="shared" si="26"/>
        <v/>
      </c>
      <c r="AS98" s="34"/>
      <c r="AT98" s="33"/>
      <c r="AV98" s="21">
        <f>IF(AND($AL98&lt;&gt;"",COUNTIF($AL$11:$AL98,$AL98)=1),1,0)</f>
        <v>0</v>
      </c>
      <c r="AW98" s="21">
        <f t="shared" si="28"/>
        <v>0</v>
      </c>
      <c r="AX98" s="21" t="str">
        <f t="shared" si="27"/>
        <v/>
      </c>
      <c r="AY98" s="21" t="str">
        <f>IF(AND($AM98&lt;&gt;"",$AS98&lt;&gt;"✓"),SUMPRODUCT(($AM$11:$AM98&lt;&gt;"")*($AS$11:$AS98&lt;&gt;"✓")),"")</f>
        <v/>
      </c>
      <c r="AZ98" s="21" t="str">
        <f>IF(AND($AM98&lt;&gt;"",$AS98="✓"),SUMPRODUCT(($AM$11:$AM98&lt;&gt;"")*($AS$11:$AS98="✓")),"")</f>
        <v/>
      </c>
      <c r="BA98" s="21" t="str">
        <f>IF($AL98="","",$AL98&amp;"|"&amp;COUNTIF($AL$11:$AL98,$AL98))</f>
        <v/>
      </c>
    </row>
    <row r="99" spans="2:53" ht="15" customHeight="1" x14ac:dyDescent="0.25">
      <c r="B99" s="5" t="str">
        <f t="shared" si="15"/>
        <v/>
      </c>
      <c r="C99" s="5"/>
      <c r="D99" s="5"/>
      <c r="E99" s="5"/>
      <c r="F99" s="6"/>
      <c r="G99" s="6"/>
      <c r="H99" s="7"/>
      <c r="I99" s="8"/>
      <c r="K99" s="9" t="str">
        <f>IFERROR(INDEX($AL$11:$AL$4010,MATCH(89,$AX$11:$AX$4010,0)),"")</f>
        <v/>
      </c>
      <c r="L99" s="10" t="str">
        <f t="shared" si="16"/>
        <v/>
      </c>
      <c r="M99" s="11" t="str">
        <f t="shared" si="17"/>
        <v/>
      </c>
      <c r="N99" s="11" t="str">
        <f t="shared" si="18"/>
        <v/>
      </c>
      <c r="P99" s="12" t="str">
        <f>IFERROR(INDEX($AM$11:$AM$4010,MATCH($S$8&amp;"|"&amp;89,$BA$11:$BA$4010,0)),"")</f>
        <v/>
      </c>
      <c r="Q99" s="11" t="str">
        <f>IF(P99="","",IFERROR(INDEX($AN$11:$AN$4010,MATCH($S$8&amp;"|"&amp;89,$BA$11:$BA$4010,0)),""))</f>
        <v/>
      </c>
      <c r="R99" s="11" t="str">
        <f>IF(P99="","",IFERROR(INDEX($AO$11:$AO$4010,MATCH($S$8&amp;"|"&amp;89,$BA$11:$BA$4010,0)),""))</f>
        <v/>
      </c>
      <c r="S99" s="10" t="str">
        <f>IF(P99="","",IFERROR(INDEX($AP$11:$AP$4010,MATCH($S$8&amp;"|"&amp;89,$BA$11:$BA$4010,0)),""))</f>
        <v/>
      </c>
      <c r="T99" s="10" t="str">
        <f>IF(P99="","",IFERROR(INDEX($AQ$11:$AQ$4010,MATCH($S$8&amp;"|"&amp;89,$BA$11:$BA$4010,0)),""))</f>
        <v/>
      </c>
      <c r="U99" s="39" t="str">
        <f t="shared" si="19"/>
        <v/>
      </c>
      <c r="W99" s="14" t="str">
        <f>IF(X99="","",IFERROR(INDEX($AL$11:$AL$4010,MATCH(89,$AY$11:$AY$4010,0)),""))</f>
        <v/>
      </c>
      <c r="X99" s="12" t="str">
        <f>IFERROR(INDEX($AM$11:$AM$4010,MATCH(89,$AY$11:$AY$4010,0)),"")</f>
        <v/>
      </c>
      <c r="Y99" s="11" t="str">
        <f>IF(X99="","",IFERROR(INDEX($AN$11:$AN$4010,MATCH(89,$AY$11:$AY$4010,0)),""))</f>
        <v/>
      </c>
      <c r="Z99" s="11" t="str">
        <f>IF(X99="","",IFERROR(INDEX($AO$11:$AO$4010,MATCH(89,$AY$11:$AY$4010,0)),""))</f>
        <v/>
      </c>
      <c r="AA99" s="10" t="str">
        <f>IF(X99="","",IFERROR(INDEX($AQ$11:$AQ$4010,MATCH(89,$AY$11:$AY$4010,0)),""))</f>
        <v/>
      </c>
      <c r="AB99" s="15" t="str">
        <f>IF(X99="","",IFERROR(INDEX($AR$11:$AR$4010,MATCH(89,$AY$11:$AY$4010,0)),""))</f>
        <v/>
      </c>
      <c r="AD99" s="16" t="str">
        <f>IF(AE99="","",IFERROR(INDEX($AL$11:$AL$4010,MATCH(89,$AZ$11:$AZ$4010,0)),""))</f>
        <v/>
      </c>
      <c r="AE99" s="12" t="str">
        <f>IFERROR(INDEX($AM$11:$AM$4010,MATCH(89,$AZ$11:$AZ$4010,0)),"")</f>
        <v/>
      </c>
      <c r="AF99" s="11" t="str">
        <f>IF(AE99="","",IFERROR(INDEX($AN$11:$AN$4010,MATCH(89,$AZ$11:$AZ$4010,0)),""))</f>
        <v/>
      </c>
      <c r="AG99" s="11" t="str">
        <f>IF(AE99="","",IFERROR(INDEX($AO$11:$AO$4010,MATCH(89,$AZ$11:$AZ$4010,0)),""))</f>
        <v/>
      </c>
      <c r="AH99" s="10" t="str">
        <f>IF(AE99="","",IFERROR(INDEX($AQ$11:$AQ$4010,MATCH(89,$AZ$11:$AZ$4010,0)),""))</f>
        <v/>
      </c>
      <c r="AI99" s="15" t="str">
        <f>IF(AE99="","",IFERROR(INDEX($AR$11:$AR$4010,MATCH(89,$AZ$11:$AZ$4010,0)),""))</f>
        <v/>
      </c>
      <c r="AJ99" s="15" t="str">
        <f>IF(AE99="","",IFERROR(INDEX($AT$11:$AT$4010,MATCH(89,$AZ$11:$AZ$4010,0)),""))</f>
        <v/>
      </c>
      <c r="AL99" s="17" t="str">
        <f t="shared" si="20"/>
        <v/>
      </c>
      <c r="AM99" s="12" t="str">
        <f t="shared" si="21"/>
        <v/>
      </c>
      <c r="AN99" s="18" t="str">
        <f t="shared" si="22"/>
        <v/>
      </c>
      <c r="AO99" s="18" t="str">
        <f t="shared" si="23"/>
        <v/>
      </c>
      <c r="AP99" s="10" t="str">
        <f t="shared" si="24"/>
        <v/>
      </c>
      <c r="AQ99" s="10" t="str">
        <f t="shared" si="25"/>
        <v/>
      </c>
      <c r="AR99" s="19" t="str">
        <f t="shared" si="26"/>
        <v/>
      </c>
      <c r="AS99" s="20"/>
      <c r="AT99" s="19"/>
      <c r="AV99" s="21">
        <f>IF(AND($AL99&lt;&gt;"",COUNTIF($AL$11:$AL99,$AL99)=1),1,0)</f>
        <v>0</v>
      </c>
      <c r="AW99" s="21">
        <f t="shared" si="28"/>
        <v>0</v>
      </c>
      <c r="AX99" s="21" t="str">
        <f t="shared" si="27"/>
        <v/>
      </c>
      <c r="AY99" s="21" t="str">
        <f>IF(AND($AM99&lt;&gt;"",$AS99&lt;&gt;"✓"),SUMPRODUCT(($AM$11:$AM99&lt;&gt;"")*($AS$11:$AS99&lt;&gt;"✓")),"")</f>
        <v/>
      </c>
      <c r="AZ99" s="21" t="str">
        <f>IF(AND($AM99&lt;&gt;"",$AS99="✓"),SUMPRODUCT(($AM$11:$AM99&lt;&gt;"")*($AS$11:$AS99="✓")),"")</f>
        <v/>
      </c>
      <c r="BA99" s="21" t="str">
        <f>IF($AL99="","",$AL99&amp;"|"&amp;COUNTIF($AL$11:$AL99,$AL99))</f>
        <v/>
      </c>
    </row>
    <row r="100" spans="2:53" ht="15" customHeight="1" x14ac:dyDescent="0.25">
      <c r="B100" s="5" t="str">
        <f t="shared" si="15"/>
        <v/>
      </c>
      <c r="C100" s="5"/>
      <c r="D100" s="5"/>
      <c r="E100" s="5"/>
      <c r="F100" s="6"/>
      <c r="G100" s="6"/>
      <c r="H100" s="7"/>
      <c r="I100" s="8"/>
      <c r="K100" s="23" t="str">
        <f>IFERROR(INDEX($AL$11:$AL$4010,MATCH(90,$AX$11:$AX$4010,0)),"")</f>
        <v/>
      </c>
      <c r="L100" s="24" t="str">
        <f t="shared" si="16"/>
        <v/>
      </c>
      <c r="M100" s="25" t="str">
        <f t="shared" si="17"/>
        <v/>
      </c>
      <c r="N100" s="25" t="str">
        <f t="shared" si="18"/>
        <v/>
      </c>
      <c r="P100" s="26" t="str">
        <f>IFERROR(INDEX($AM$11:$AM$4010,MATCH($S$8&amp;"|"&amp;90,$BA$11:$BA$4010,0)),"")</f>
        <v/>
      </c>
      <c r="Q100" s="25" t="str">
        <f>IF(P100="","",IFERROR(INDEX($AN$11:$AN$4010,MATCH($S$8&amp;"|"&amp;90,$BA$11:$BA$4010,0)),""))</f>
        <v/>
      </c>
      <c r="R100" s="25" t="str">
        <f>IF(P100="","",IFERROR(INDEX($AO$11:$AO$4010,MATCH($S$8&amp;"|"&amp;90,$BA$11:$BA$4010,0)),""))</f>
        <v/>
      </c>
      <c r="S100" s="24" t="str">
        <f>IF(P100="","",IFERROR(INDEX($AP$11:$AP$4010,MATCH($S$8&amp;"|"&amp;90,$BA$11:$BA$4010,0)),""))</f>
        <v/>
      </c>
      <c r="T100" s="24" t="str">
        <f>IF(P100="","",IFERROR(INDEX($AQ$11:$AQ$4010,MATCH($S$8&amp;"|"&amp;90,$BA$11:$BA$4010,0)),""))</f>
        <v/>
      </c>
      <c r="U100" s="38" t="str">
        <f t="shared" si="19"/>
        <v/>
      </c>
      <c r="W100" s="28" t="str">
        <f>IF(X100="","",IFERROR(INDEX($AL$11:$AL$4010,MATCH(90,$AY$11:$AY$4010,0)),""))</f>
        <v/>
      </c>
      <c r="X100" s="26" t="str">
        <f>IFERROR(INDEX($AM$11:$AM$4010,MATCH(90,$AY$11:$AY$4010,0)),"")</f>
        <v/>
      </c>
      <c r="Y100" s="25" t="str">
        <f>IF(X100="","",IFERROR(INDEX($AN$11:$AN$4010,MATCH(90,$AY$11:$AY$4010,0)),""))</f>
        <v/>
      </c>
      <c r="Z100" s="25" t="str">
        <f>IF(X100="","",IFERROR(INDEX($AO$11:$AO$4010,MATCH(90,$AY$11:$AY$4010,0)),""))</f>
        <v/>
      </c>
      <c r="AA100" s="24" t="str">
        <f>IF(X100="","",IFERROR(INDEX($AQ$11:$AQ$4010,MATCH(90,$AY$11:$AY$4010,0)),""))</f>
        <v/>
      </c>
      <c r="AB100" s="29" t="str">
        <f>IF(X100="","",IFERROR(INDEX($AR$11:$AR$4010,MATCH(90,$AY$11:$AY$4010,0)),""))</f>
        <v/>
      </c>
      <c r="AD100" s="30" t="str">
        <f>IF(AE100="","",IFERROR(INDEX($AL$11:$AL$4010,MATCH(90,$AZ$11:$AZ$4010,0)),""))</f>
        <v/>
      </c>
      <c r="AE100" s="26" t="str">
        <f>IFERROR(INDEX($AM$11:$AM$4010,MATCH(90,$AZ$11:$AZ$4010,0)),"")</f>
        <v/>
      </c>
      <c r="AF100" s="25" t="str">
        <f>IF(AE100="","",IFERROR(INDEX($AN$11:$AN$4010,MATCH(90,$AZ$11:$AZ$4010,0)),""))</f>
        <v/>
      </c>
      <c r="AG100" s="25" t="str">
        <f>IF(AE100="","",IFERROR(INDEX($AO$11:$AO$4010,MATCH(90,$AZ$11:$AZ$4010,0)),""))</f>
        <v/>
      </c>
      <c r="AH100" s="24" t="str">
        <f>IF(AE100="","",IFERROR(INDEX($AQ$11:$AQ$4010,MATCH(90,$AZ$11:$AZ$4010,0)),""))</f>
        <v/>
      </c>
      <c r="AI100" s="29" t="str">
        <f>IF(AE100="","",IFERROR(INDEX($AR$11:$AR$4010,MATCH(90,$AZ$11:$AZ$4010,0)),""))</f>
        <v/>
      </c>
      <c r="AJ100" s="29" t="str">
        <f>IF(AE100="","",IFERROR(INDEX($AT$11:$AT$4010,MATCH(90,$AZ$11:$AZ$4010,0)),""))</f>
        <v/>
      </c>
      <c r="AL100" s="31" t="str">
        <f t="shared" si="20"/>
        <v/>
      </c>
      <c r="AM100" s="26" t="str">
        <f t="shared" si="21"/>
        <v/>
      </c>
      <c r="AN100" s="32" t="str">
        <f t="shared" si="22"/>
        <v/>
      </c>
      <c r="AO100" s="32" t="str">
        <f t="shared" si="23"/>
        <v/>
      </c>
      <c r="AP100" s="24" t="str">
        <f t="shared" si="24"/>
        <v/>
      </c>
      <c r="AQ100" s="24" t="str">
        <f t="shared" si="25"/>
        <v/>
      </c>
      <c r="AR100" s="33" t="str">
        <f t="shared" si="26"/>
        <v/>
      </c>
      <c r="AS100" s="34"/>
      <c r="AT100" s="33"/>
      <c r="AV100" s="21">
        <f>IF(AND($AL100&lt;&gt;"",COUNTIF($AL$11:$AL100,$AL100)=1),1,0)</f>
        <v>0</v>
      </c>
      <c r="AW100" s="21">
        <f t="shared" si="28"/>
        <v>0</v>
      </c>
      <c r="AX100" s="21" t="str">
        <f t="shared" si="27"/>
        <v/>
      </c>
      <c r="AY100" s="21" t="str">
        <f>IF(AND($AM100&lt;&gt;"",$AS100&lt;&gt;"✓"),SUMPRODUCT(($AM$11:$AM100&lt;&gt;"")*($AS$11:$AS100&lt;&gt;"✓")),"")</f>
        <v/>
      </c>
      <c r="AZ100" s="21" t="str">
        <f>IF(AND($AM100&lt;&gt;"",$AS100="✓"),SUMPRODUCT(($AM$11:$AM100&lt;&gt;"")*($AS$11:$AS100="✓")),"")</f>
        <v/>
      </c>
      <c r="BA100" s="21" t="str">
        <f>IF($AL100="","",$AL100&amp;"|"&amp;COUNTIF($AL$11:$AL100,$AL100))</f>
        <v/>
      </c>
    </row>
    <row r="101" spans="2:53" ht="15" customHeight="1" x14ac:dyDescent="0.25">
      <c r="B101" s="5" t="str">
        <f t="shared" si="15"/>
        <v/>
      </c>
      <c r="C101" s="5"/>
      <c r="D101" s="5"/>
      <c r="E101" s="5"/>
      <c r="F101" s="6"/>
      <c r="G101" s="6"/>
      <c r="H101" s="7"/>
      <c r="I101" s="8"/>
      <c r="K101" s="9" t="str">
        <f>IFERROR(INDEX($AL$11:$AL$4010,MATCH(91,$AX$11:$AX$4010,0)),"")</f>
        <v/>
      </c>
      <c r="L101" s="10" t="str">
        <f t="shared" si="16"/>
        <v/>
      </c>
      <c r="M101" s="11" t="str">
        <f t="shared" si="17"/>
        <v/>
      </c>
      <c r="N101" s="11" t="str">
        <f t="shared" si="18"/>
        <v/>
      </c>
      <c r="P101" s="12" t="str">
        <f>IFERROR(INDEX($AM$11:$AM$4010,MATCH($S$8&amp;"|"&amp;91,$BA$11:$BA$4010,0)),"")</f>
        <v/>
      </c>
      <c r="Q101" s="11" t="str">
        <f>IF(P101="","",IFERROR(INDEX($AN$11:$AN$4010,MATCH($S$8&amp;"|"&amp;91,$BA$11:$BA$4010,0)),""))</f>
        <v/>
      </c>
      <c r="R101" s="11" t="str">
        <f>IF(P101="","",IFERROR(INDEX($AO$11:$AO$4010,MATCH($S$8&amp;"|"&amp;91,$BA$11:$BA$4010,0)),""))</f>
        <v/>
      </c>
      <c r="S101" s="10" t="str">
        <f>IF(P101="","",IFERROR(INDEX($AP$11:$AP$4010,MATCH($S$8&amp;"|"&amp;91,$BA$11:$BA$4010,0)),""))</f>
        <v/>
      </c>
      <c r="T101" s="10" t="str">
        <f>IF(P101="","",IFERROR(INDEX($AQ$11:$AQ$4010,MATCH($S$8&amp;"|"&amp;91,$BA$11:$BA$4010,0)),""))</f>
        <v/>
      </c>
      <c r="U101" s="39" t="str">
        <f t="shared" si="19"/>
        <v/>
      </c>
      <c r="W101" s="14" t="str">
        <f>IF(X101="","",IFERROR(INDEX($AL$11:$AL$4010,MATCH(91,$AY$11:$AY$4010,0)),""))</f>
        <v/>
      </c>
      <c r="X101" s="12" t="str">
        <f>IFERROR(INDEX($AM$11:$AM$4010,MATCH(91,$AY$11:$AY$4010,0)),"")</f>
        <v/>
      </c>
      <c r="Y101" s="11" t="str">
        <f>IF(X101="","",IFERROR(INDEX($AN$11:$AN$4010,MATCH(91,$AY$11:$AY$4010,0)),""))</f>
        <v/>
      </c>
      <c r="Z101" s="11" t="str">
        <f>IF(X101="","",IFERROR(INDEX($AO$11:$AO$4010,MATCH(91,$AY$11:$AY$4010,0)),""))</f>
        <v/>
      </c>
      <c r="AA101" s="10" t="str">
        <f>IF(X101="","",IFERROR(INDEX($AQ$11:$AQ$4010,MATCH(91,$AY$11:$AY$4010,0)),""))</f>
        <v/>
      </c>
      <c r="AB101" s="15" t="str">
        <f>IF(X101="","",IFERROR(INDEX($AR$11:$AR$4010,MATCH(91,$AY$11:$AY$4010,0)),""))</f>
        <v/>
      </c>
      <c r="AD101" s="16" t="str">
        <f>IF(AE101="","",IFERROR(INDEX($AL$11:$AL$4010,MATCH(91,$AZ$11:$AZ$4010,0)),""))</f>
        <v/>
      </c>
      <c r="AE101" s="12" t="str">
        <f>IFERROR(INDEX($AM$11:$AM$4010,MATCH(91,$AZ$11:$AZ$4010,0)),"")</f>
        <v/>
      </c>
      <c r="AF101" s="11" t="str">
        <f>IF(AE101="","",IFERROR(INDEX($AN$11:$AN$4010,MATCH(91,$AZ$11:$AZ$4010,0)),""))</f>
        <v/>
      </c>
      <c r="AG101" s="11" t="str">
        <f>IF(AE101="","",IFERROR(INDEX($AO$11:$AO$4010,MATCH(91,$AZ$11:$AZ$4010,0)),""))</f>
        <v/>
      </c>
      <c r="AH101" s="10" t="str">
        <f>IF(AE101="","",IFERROR(INDEX($AQ$11:$AQ$4010,MATCH(91,$AZ$11:$AZ$4010,0)),""))</f>
        <v/>
      </c>
      <c r="AI101" s="15" t="str">
        <f>IF(AE101="","",IFERROR(INDEX($AR$11:$AR$4010,MATCH(91,$AZ$11:$AZ$4010,0)),""))</f>
        <v/>
      </c>
      <c r="AJ101" s="15" t="str">
        <f>IF(AE101="","",IFERROR(INDEX($AT$11:$AT$4010,MATCH(91,$AZ$11:$AZ$4010,0)),""))</f>
        <v/>
      </c>
      <c r="AL101" s="17" t="str">
        <f t="shared" si="20"/>
        <v/>
      </c>
      <c r="AM101" s="12" t="str">
        <f t="shared" si="21"/>
        <v/>
      </c>
      <c r="AN101" s="18" t="str">
        <f t="shared" si="22"/>
        <v/>
      </c>
      <c r="AO101" s="18" t="str">
        <f t="shared" si="23"/>
        <v/>
      </c>
      <c r="AP101" s="10" t="str">
        <f t="shared" si="24"/>
        <v/>
      </c>
      <c r="AQ101" s="10" t="str">
        <f t="shared" si="25"/>
        <v/>
      </c>
      <c r="AR101" s="19" t="str">
        <f t="shared" si="26"/>
        <v/>
      </c>
      <c r="AS101" s="20"/>
      <c r="AT101" s="19"/>
      <c r="AV101" s="21">
        <f>IF(AND($AL101&lt;&gt;"",COUNTIF($AL$11:$AL101,$AL101)=1),1,0)</f>
        <v>0</v>
      </c>
      <c r="AW101" s="21">
        <f t="shared" si="28"/>
        <v>0</v>
      </c>
      <c r="AX101" s="21" t="str">
        <f t="shared" si="27"/>
        <v/>
      </c>
      <c r="AY101" s="21" t="str">
        <f>IF(AND($AM101&lt;&gt;"",$AS101&lt;&gt;"✓"),SUMPRODUCT(($AM$11:$AM101&lt;&gt;"")*($AS$11:$AS101&lt;&gt;"✓")),"")</f>
        <v/>
      </c>
      <c r="AZ101" s="21" t="str">
        <f>IF(AND($AM101&lt;&gt;"",$AS101="✓"),SUMPRODUCT(($AM$11:$AM101&lt;&gt;"")*($AS$11:$AS101="✓")),"")</f>
        <v/>
      </c>
      <c r="BA101" s="21" t="str">
        <f>IF($AL101="","",$AL101&amp;"|"&amp;COUNTIF($AL$11:$AL101,$AL101))</f>
        <v/>
      </c>
    </row>
    <row r="102" spans="2:53" ht="15" customHeight="1" x14ac:dyDescent="0.25">
      <c r="B102" s="5" t="str">
        <f t="shared" si="15"/>
        <v/>
      </c>
      <c r="C102" s="5"/>
      <c r="D102" s="5"/>
      <c r="E102" s="5"/>
      <c r="F102" s="6"/>
      <c r="G102" s="6"/>
      <c r="H102" s="7"/>
      <c r="I102" s="8"/>
      <c r="K102" s="23" t="str">
        <f>IFERROR(INDEX($AL$11:$AL$4010,MATCH(92,$AX$11:$AX$4010,0)),"")</f>
        <v/>
      </c>
      <c r="L102" s="24" t="str">
        <f t="shared" si="16"/>
        <v/>
      </c>
      <c r="M102" s="25" t="str">
        <f t="shared" si="17"/>
        <v/>
      </c>
      <c r="N102" s="25" t="str">
        <f t="shared" si="18"/>
        <v/>
      </c>
      <c r="P102" s="26" t="str">
        <f>IFERROR(INDEX($AM$11:$AM$4010,MATCH($S$8&amp;"|"&amp;92,$BA$11:$BA$4010,0)),"")</f>
        <v/>
      </c>
      <c r="Q102" s="25" t="str">
        <f>IF(P102="","",IFERROR(INDEX($AN$11:$AN$4010,MATCH($S$8&amp;"|"&amp;92,$BA$11:$BA$4010,0)),""))</f>
        <v/>
      </c>
      <c r="R102" s="25" t="str">
        <f>IF(P102="","",IFERROR(INDEX($AO$11:$AO$4010,MATCH($S$8&amp;"|"&amp;92,$BA$11:$BA$4010,0)),""))</f>
        <v/>
      </c>
      <c r="S102" s="24" t="str">
        <f>IF(P102="","",IFERROR(INDEX($AP$11:$AP$4010,MATCH($S$8&amp;"|"&amp;92,$BA$11:$BA$4010,0)),""))</f>
        <v/>
      </c>
      <c r="T102" s="24" t="str">
        <f>IF(P102="","",IFERROR(INDEX($AQ$11:$AQ$4010,MATCH($S$8&amp;"|"&amp;92,$BA$11:$BA$4010,0)),""))</f>
        <v/>
      </c>
      <c r="U102" s="38" t="str">
        <f t="shared" si="19"/>
        <v/>
      </c>
      <c r="W102" s="28" t="str">
        <f>IF(X102="","",IFERROR(INDEX($AL$11:$AL$4010,MATCH(92,$AY$11:$AY$4010,0)),""))</f>
        <v/>
      </c>
      <c r="X102" s="26" t="str">
        <f>IFERROR(INDEX($AM$11:$AM$4010,MATCH(92,$AY$11:$AY$4010,0)),"")</f>
        <v/>
      </c>
      <c r="Y102" s="25" t="str">
        <f>IF(X102="","",IFERROR(INDEX($AN$11:$AN$4010,MATCH(92,$AY$11:$AY$4010,0)),""))</f>
        <v/>
      </c>
      <c r="Z102" s="25" t="str">
        <f>IF(X102="","",IFERROR(INDEX($AO$11:$AO$4010,MATCH(92,$AY$11:$AY$4010,0)),""))</f>
        <v/>
      </c>
      <c r="AA102" s="24" t="str">
        <f>IF(X102="","",IFERROR(INDEX($AQ$11:$AQ$4010,MATCH(92,$AY$11:$AY$4010,0)),""))</f>
        <v/>
      </c>
      <c r="AB102" s="29" t="str">
        <f>IF(X102="","",IFERROR(INDEX($AR$11:$AR$4010,MATCH(92,$AY$11:$AY$4010,0)),""))</f>
        <v/>
      </c>
      <c r="AD102" s="30" t="str">
        <f>IF(AE102="","",IFERROR(INDEX($AL$11:$AL$4010,MATCH(92,$AZ$11:$AZ$4010,0)),""))</f>
        <v/>
      </c>
      <c r="AE102" s="26" t="str">
        <f>IFERROR(INDEX($AM$11:$AM$4010,MATCH(92,$AZ$11:$AZ$4010,0)),"")</f>
        <v/>
      </c>
      <c r="AF102" s="25" t="str">
        <f>IF(AE102="","",IFERROR(INDEX($AN$11:$AN$4010,MATCH(92,$AZ$11:$AZ$4010,0)),""))</f>
        <v/>
      </c>
      <c r="AG102" s="25" t="str">
        <f>IF(AE102="","",IFERROR(INDEX($AO$11:$AO$4010,MATCH(92,$AZ$11:$AZ$4010,0)),""))</f>
        <v/>
      </c>
      <c r="AH102" s="24" t="str">
        <f>IF(AE102="","",IFERROR(INDEX($AQ$11:$AQ$4010,MATCH(92,$AZ$11:$AZ$4010,0)),""))</f>
        <v/>
      </c>
      <c r="AI102" s="29" t="str">
        <f>IF(AE102="","",IFERROR(INDEX($AR$11:$AR$4010,MATCH(92,$AZ$11:$AZ$4010,0)),""))</f>
        <v/>
      </c>
      <c r="AJ102" s="29" t="str">
        <f>IF(AE102="","",IFERROR(INDEX($AT$11:$AT$4010,MATCH(92,$AZ$11:$AZ$4010,0)),""))</f>
        <v/>
      </c>
      <c r="AL102" s="31" t="str">
        <f t="shared" si="20"/>
        <v/>
      </c>
      <c r="AM102" s="26" t="str">
        <f t="shared" si="21"/>
        <v/>
      </c>
      <c r="AN102" s="32" t="str">
        <f t="shared" si="22"/>
        <v/>
      </c>
      <c r="AO102" s="32" t="str">
        <f t="shared" si="23"/>
        <v/>
      </c>
      <c r="AP102" s="24" t="str">
        <f t="shared" si="24"/>
        <v/>
      </c>
      <c r="AQ102" s="24" t="str">
        <f t="shared" si="25"/>
        <v/>
      </c>
      <c r="AR102" s="33" t="str">
        <f t="shared" si="26"/>
        <v/>
      </c>
      <c r="AS102" s="34"/>
      <c r="AT102" s="33"/>
      <c r="AV102" s="21">
        <f>IF(AND($AL102&lt;&gt;"",COUNTIF($AL$11:$AL102,$AL102)=1),1,0)</f>
        <v>0</v>
      </c>
      <c r="AW102" s="21">
        <f t="shared" si="28"/>
        <v>0</v>
      </c>
      <c r="AX102" s="21" t="str">
        <f t="shared" si="27"/>
        <v/>
      </c>
      <c r="AY102" s="21" t="str">
        <f>IF(AND($AM102&lt;&gt;"",$AS102&lt;&gt;"✓"),SUMPRODUCT(($AM$11:$AM102&lt;&gt;"")*($AS$11:$AS102&lt;&gt;"✓")),"")</f>
        <v/>
      </c>
      <c r="AZ102" s="21" t="str">
        <f>IF(AND($AM102&lt;&gt;"",$AS102="✓"),SUMPRODUCT(($AM$11:$AM102&lt;&gt;"")*($AS$11:$AS102="✓")),"")</f>
        <v/>
      </c>
      <c r="BA102" s="21" t="str">
        <f>IF($AL102="","",$AL102&amp;"|"&amp;COUNTIF($AL$11:$AL102,$AL102))</f>
        <v/>
      </c>
    </row>
    <row r="103" spans="2:53" ht="15" customHeight="1" x14ac:dyDescent="0.25">
      <c r="B103" s="5" t="str">
        <f t="shared" si="15"/>
        <v/>
      </c>
      <c r="C103" s="5"/>
      <c r="D103" s="5"/>
      <c r="E103" s="5"/>
      <c r="F103" s="6"/>
      <c r="G103" s="6"/>
      <c r="H103" s="7"/>
      <c r="I103" s="8"/>
      <c r="K103" s="9" t="str">
        <f>IFERROR(INDEX($AL$11:$AL$4010,MATCH(93,$AX$11:$AX$4010,0)),"")</f>
        <v/>
      </c>
      <c r="L103" s="10" t="str">
        <f t="shared" si="16"/>
        <v/>
      </c>
      <c r="M103" s="11" t="str">
        <f t="shared" si="17"/>
        <v/>
      </c>
      <c r="N103" s="11" t="str">
        <f t="shared" si="18"/>
        <v/>
      </c>
      <c r="P103" s="12" t="str">
        <f>IFERROR(INDEX($AM$11:$AM$4010,MATCH($S$8&amp;"|"&amp;93,$BA$11:$BA$4010,0)),"")</f>
        <v/>
      </c>
      <c r="Q103" s="11" t="str">
        <f>IF(P103="","",IFERROR(INDEX($AN$11:$AN$4010,MATCH($S$8&amp;"|"&amp;93,$BA$11:$BA$4010,0)),""))</f>
        <v/>
      </c>
      <c r="R103" s="11" t="str">
        <f>IF(P103="","",IFERROR(INDEX($AO$11:$AO$4010,MATCH($S$8&amp;"|"&amp;93,$BA$11:$BA$4010,0)),""))</f>
        <v/>
      </c>
      <c r="S103" s="10" t="str">
        <f>IF(P103="","",IFERROR(INDEX($AP$11:$AP$4010,MATCH($S$8&amp;"|"&amp;93,$BA$11:$BA$4010,0)),""))</f>
        <v/>
      </c>
      <c r="T103" s="10" t="str">
        <f>IF(P103="","",IFERROR(INDEX($AQ$11:$AQ$4010,MATCH($S$8&amp;"|"&amp;93,$BA$11:$BA$4010,0)),""))</f>
        <v/>
      </c>
      <c r="U103" s="39" t="str">
        <f t="shared" si="19"/>
        <v/>
      </c>
      <c r="W103" s="14" t="str">
        <f>IF(X103="","",IFERROR(INDEX($AL$11:$AL$4010,MATCH(93,$AY$11:$AY$4010,0)),""))</f>
        <v/>
      </c>
      <c r="X103" s="12" t="str">
        <f>IFERROR(INDEX($AM$11:$AM$4010,MATCH(93,$AY$11:$AY$4010,0)),"")</f>
        <v/>
      </c>
      <c r="Y103" s="11" t="str">
        <f>IF(X103="","",IFERROR(INDEX($AN$11:$AN$4010,MATCH(93,$AY$11:$AY$4010,0)),""))</f>
        <v/>
      </c>
      <c r="Z103" s="11" t="str">
        <f>IF(X103="","",IFERROR(INDEX($AO$11:$AO$4010,MATCH(93,$AY$11:$AY$4010,0)),""))</f>
        <v/>
      </c>
      <c r="AA103" s="10" t="str">
        <f>IF(X103="","",IFERROR(INDEX($AQ$11:$AQ$4010,MATCH(93,$AY$11:$AY$4010,0)),""))</f>
        <v/>
      </c>
      <c r="AB103" s="15" t="str">
        <f>IF(X103="","",IFERROR(INDEX($AR$11:$AR$4010,MATCH(93,$AY$11:$AY$4010,0)),""))</f>
        <v/>
      </c>
      <c r="AD103" s="16" t="str">
        <f>IF(AE103="","",IFERROR(INDEX($AL$11:$AL$4010,MATCH(93,$AZ$11:$AZ$4010,0)),""))</f>
        <v/>
      </c>
      <c r="AE103" s="12" t="str">
        <f>IFERROR(INDEX($AM$11:$AM$4010,MATCH(93,$AZ$11:$AZ$4010,0)),"")</f>
        <v/>
      </c>
      <c r="AF103" s="11" t="str">
        <f>IF(AE103="","",IFERROR(INDEX($AN$11:$AN$4010,MATCH(93,$AZ$11:$AZ$4010,0)),""))</f>
        <v/>
      </c>
      <c r="AG103" s="11" t="str">
        <f>IF(AE103="","",IFERROR(INDEX($AO$11:$AO$4010,MATCH(93,$AZ$11:$AZ$4010,0)),""))</f>
        <v/>
      </c>
      <c r="AH103" s="10" t="str">
        <f>IF(AE103="","",IFERROR(INDEX($AQ$11:$AQ$4010,MATCH(93,$AZ$11:$AZ$4010,0)),""))</f>
        <v/>
      </c>
      <c r="AI103" s="15" t="str">
        <f>IF(AE103="","",IFERROR(INDEX($AR$11:$AR$4010,MATCH(93,$AZ$11:$AZ$4010,0)),""))</f>
        <v/>
      </c>
      <c r="AJ103" s="15" t="str">
        <f>IF(AE103="","",IFERROR(INDEX($AT$11:$AT$4010,MATCH(93,$AZ$11:$AZ$4010,0)),""))</f>
        <v/>
      </c>
      <c r="AL103" s="17" t="str">
        <f t="shared" si="20"/>
        <v/>
      </c>
      <c r="AM103" s="12" t="str">
        <f t="shared" si="21"/>
        <v/>
      </c>
      <c r="AN103" s="18" t="str">
        <f t="shared" si="22"/>
        <v/>
      </c>
      <c r="AO103" s="18" t="str">
        <f t="shared" si="23"/>
        <v/>
      </c>
      <c r="AP103" s="10" t="str">
        <f t="shared" si="24"/>
        <v/>
      </c>
      <c r="AQ103" s="10" t="str">
        <f t="shared" si="25"/>
        <v/>
      </c>
      <c r="AR103" s="19" t="str">
        <f t="shared" si="26"/>
        <v/>
      </c>
      <c r="AS103" s="20"/>
      <c r="AT103" s="19"/>
      <c r="AV103" s="21">
        <f>IF(AND($AL103&lt;&gt;"",COUNTIF($AL$11:$AL103,$AL103)=1),1,0)</f>
        <v>0</v>
      </c>
      <c r="AW103" s="21">
        <f t="shared" si="28"/>
        <v>0</v>
      </c>
      <c r="AX103" s="21" t="str">
        <f t="shared" si="27"/>
        <v/>
      </c>
      <c r="AY103" s="21" t="str">
        <f>IF(AND($AM103&lt;&gt;"",$AS103&lt;&gt;"✓"),SUMPRODUCT(($AM$11:$AM103&lt;&gt;"")*($AS$11:$AS103&lt;&gt;"✓")),"")</f>
        <v/>
      </c>
      <c r="AZ103" s="21" t="str">
        <f>IF(AND($AM103&lt;&gt;"",$AS103="✓"),SUMPRODUCT(($AM$11:$AM103&lt;&gt;"")*($AS$11:$AS103="✓")),"")</f>
        <v/>
      </c>
      <c r="BA103" s="21" t="str">
        <f>IF($AL103="","",$AL103&amp;"|"&amp;COUNTIF($AL$11:$AL103,$AL103))</f>
        <v/>
      </c>
    </row>
    <row r="104" spans="2:53" ht="15" customHeight="1" x14ac:dyDescent="0.25">
      <c r="B104" s="5" t="str">
        <f t="shared" si="15"/>
        <v/>
      </c>
      <c r="C104" s="5"/>
      <c r="D104" s="5"/>
      <c r="E104" s="5"/>
      <c r="F104" s="6"/>
      <c r="G104" s="6"/>
      <c r="H104" s="7"/>
      <c r="I104" s="8"/>
      <c r="K104" s="23" t="str">
        <f>IFERROR(INDEX($AL$11:$AL$4010,MATCH(94,$AX$11:$AX$4010,0)),"")</f>
        <v/>
      </c>
      <c r="L104" s="24" t="str">
        <f t="shared" si="16"/>
        <v/>
      </c>
      <c r="M104" s="25" t="str">
        <f t="shared" si="17"/>
        <v/>
      </c>
      <c r="N104" s="25" t="str">
        <f t="shared" si="18"/>
        <v/>
      </c>
      <c r="P104" s="26" t="str">
        <f>IFERROR(INDEX($AM$11:$AM$4010,MATCH($S$8&amp;"|"&amp;94,$BA$11:$BA$4010,0)),"")</f>
        <v/>
      </c>
      <c r="Q104" s="25" t="str">
        <f>IF(P104="","",IFERROR(INDEX($AN$11:$AN$4010,MATCH($S$8&amp;"|"&amp;94,$BA$11:$BA$4010,0)),""))</f>
        <v/>
      </c>
      <c r="R104" s="25" t="str">
        <f>IF(P104="","",IFERROR(INDEX($AO$11:$AO$4010,MATCH($S$8&amp;"|"&amp;94,$BA$11:$BA$4010,0)),""))</f>
        <v/>
      </c>
      <c r="S104" s="24" t="str">
        <f>IF(P104="","",IFERROR(INDEX($AP$11:$AP$4010,MATCH($S$8&amp;"|"&amp;94,$BA$11:$BA$4010,0)),""))</f>
        <v/>
      </c>
      <c r="T104" s="24" t="str">
        <f>IF(P104="","",IFERROR(INDEX($AQ$11:$AQ$4010,MATCH($S$8&amp;"|"&amp;94,$BA$11:$BA$4010,0)),""))</f>
        <v/>
      </c>
      <c r="U104" s="38" t="str">
        <f t="shared" si="19"/>
        <v/>
      </c>
      <c r="W104" s="28" t="str">
        <f>IF(X104="","",IFERROR(INDEX($AL$11:$AL$4010,MATCH(94,$AY$11:$AY$4010,0)),""))</f>
        <v/>
      </c>
      <c r="X104" s="26" t="str">
        <f>IFERROR(INDEX($AM$11:$AM$4010,MATCH(94,$AY$11:$AY$4010,0)),"")</f>
        <v/>
      </c>
      <c r="Y104" s="25" t="str">
        <f>IF(X104="","",IFERROR(INDEX($AN$11:$AN$4010,MATCH(94,$AY$11:$AY$4010,0)),""))</f>
        <v/>
      </c>
      <c r="Z104" s="25" t="str">
        <f>IF(X104="","",IFERROR(INDEX($AO$11:$AO$4010,MATCH(94,$AY$11:$AY$4010,0)),""))</f>
        <v/>
      </c>
      <c r="AA104" s="24" t="str">
        <f>IF(X104="","",IFERROR(INDEX($AQ$11:$AQ$4010,MATCH(94,$AY$11:$AY$4010,0)),""))</f>
        <v/>
      </c>
      <c r="AB104" s="29" t="str">
        <f>IF(X104="","",IFERROR(INDEX($AR$11:$AR$4010,MATCH(94,$AY$11:$AY$4010,0)),""))</f>
        <v/>
      </c>
      <c r="AD104" s="30" t="str">
        <f>IF(AE104="","",IFERROR(INDEX($AL$11:$AL$4010,MATCH(94,$AZ$11:$AZ$4010,0)),""))</f>
        <v/>
      </c>
      <c r="AE104" s="26" t="str">
        <f>IFERROR(INDEX($AM$11:$AM$4010,MATCH(94,$AZ$11:$AZ$4010,0)),"")</f>
        <v/>
      </c>
      <c r="AF104" s="25" t="str">
        <f>IF(AE104="","",IFERROR(INDEX($AN$11:$AN$4010,MATCH(94,$AZ$11:$AZ$4010,0)),""))</f>
        <v/>
      </c>
      <c r="AG104" s="25" t="str">
        <f>IF(AE104="","",IFERROR(INDEX($AO$11:$AO$4010,MATCH(94,$AZ$11:$AZ$4010,0)),""))</f>
        <v/>
      </c>
      <c r="AH104" s="24" t="str">
        <f>IF(AE104="","",IFERROR(INDEX($AQ$11:$AQ$4010,MATCH(94,$AZ$11:$AZ$4010,0)),""))</f>
        <v/>
      </c>
      <c r="AI104" s="29" t="str">
        <f>IF(AE104="","",IFERROR(INDEX($AR$11:$AR$4010,MATCH(94,$AZ$11:$AZ$4010,0)),""))</f>
        <v/>
      </c>
      <c r="AJ104" s="29" t="str">
        <f>IF(AE104="","",IFERROR(INDEX($AT$11:$AT$4010,MATCH(94,$AZ$11:$AZ$4010,0)),""))</f>
        <v/>
      </c>
      <c r="AL104" s="31" t="str">
        <f t="shared" si="20"/>
        <v/>
      </c>
      <c r="AM104" s="26" t="str">
        <f t="shared" si="21"/>
        <v/>
      </c>
      <c r="AN104" s="32" t="str">
        <f t="shared" si="22"/>
        <v/>
      </c>
      <c r="AO104" s="32" t="str">
        <f t="shared" si="23"/>
        <v/>
      </c>
      <c r="AP104" s="24" t="str">
        <f t="shared" si="24"/>
        <v/>
      </c>
      <c r="AQ104" s="24" t="str">
        <f t="shared" si="25"/>
        <v/>
      </c>
      <c r="AR104" s="33" t="str">
        <f t="shared" si="26"/>
        <v/>
      </c>
      <c r="AS104" s="34"/>
      <c r="AT104" s="33"/>
      <c r="AV104" s="21">
        <f>IF(AND($AL104&lt;&gt;"",COUNTIF($AL$11:$AL104,$AL104)=1),1,0)</f>
        <v>0</v>
      </c>
      <c r="AW104" s="21">
        <f t="shared" si="28"/>
        <v>0</v>
      </c>
      <c r="AX104" s="21" t="str">
        <f t="shared" si="27"/>
        <v/>
      </c>
      <c r="AY104" s="21" t="str">
        <f>IF(AND($AM104&lt;&gt;"",$AS104&lt;&gt;"✓"),SUMPRODUCT(($AM$11:$AM104&lt;&gt;"")*($AS$11:$AS104&lt;&gt;"✓")),"")</f>
        <v/>
      </c>
      <c r="AZ104" s="21" t="str">
        <f>IF(AND($AM104&lt;&gt;"",$AS104="✓"),SUMPRODUCT(($AM$11:$AM104&lt;&gt;"")*($AS$11:$AS104="✓")),"")</f>
        <v/>
      </c>
      <c r="BA104" s="21" t="str">
        <f>IF($AL104="","",$AL104&amp;"|"&amp;COUNTIF($AL$11:$AL104,$AL104))</f>
        <v/>
      </c>
    </row>
    <row r="105" spans="2:53" ht="15" customHeight="1" x14ac:dyDescent="0.25">
      <c r="B105" s="5" t="str">
        <f t="shared" si="15"/>
        <v/>
      </c>
      <c r="C105" s="5"/>
      <c r="D105" s="5"/>
      <c r="E105" s="5"/>
      <c r="F105" s="6"/>
      <c r="G105" s="6"/>
      <c r="H105" s="7"/>
      <c r="I105" s="8"/>
      <c r="K105" s="9" t="str">
        <f>IFERROR(INDEX($AL$11:$AL$4010,MATCH(95,$AX$11:$AX$4010,0)),"")</f>
        <v/>
      </c>
      <c r="L105" s="10" t="str">
        <f t="shared" si="16"/>
        <v/>
      </c>
      <c r="M105" s="11" t="str">
        <f t="shared" si="17"/>
        <v/>
      </c>
      <c r="N105" s="11" t="str">
        <f t="shared" si="18"/>
        <v/>
      </c>
      <c r="P105" s="12" t="str">
        <f>IFERROR(INDEX($AM$11:$AM$4010,MATCH($S$8&amp;"|"&amp;95,$BA$11:$BA$4010,0)),"")</f>
        <v/>
      </c>
      <c r="Q105" s="11" t="str">
        <f>IF(P105="","",IFERROR(INDEX($AN$11:$AN$4010,MATCH($S$8&amp;"|"&amp;95,$BA$11:$BA$4010,0)),""))</f>
        <v/>
      </c>
      <c r="R105" s="11" t="str">
        <f>IF(P105="","",IFERROR(INDEX($AO$11:$AO$4010,MATCH($S$8&amp;"|"&amp;95,$BA$11:$BA$4010,0)),""))</f>
        <v/>
      </c>
      <c r="S105" s="10" t="str">
        <f>IF(P105="","",IFERROR(INDEX($AP$11:$AP$4010,MATCH($S$8&amp;"|"&amp;95,$BA$11:$BA$4010,0)),""))</f>
        <v/>
      </c>
      <c r="T105" s="10" t="str">
        <f>IF(P105="","",IFERROR(INDEX($AQ$11:$AQ$4010,MATCH($S$8&amp;"|"&amp;95,$BA$11:$BA$4010,0)),""))</f>
        <v/>
      </c>
      <c r="U105" s="39" t="str">
        <f t="shared" si="19"/>
        <v/>
      </c>
      <c r="W105" s="14" t="str">
        <f>IF(X105="","",IFERROR(INDEX($AL$11:$AL$4010,MATCH(95,$AY$11:$AY$4010,0)),""))</f>
        <v/>
      </c>
      <c r="X105" s="12" t="str">
        <f>IFERROR(INDEX($AM$11:$AM$4010,MATCH(95,$AY$11:$AY$4010,0)),"")</f>
        <v/>
      </c>
      <c r="Y105" s="11" t="str">
        <f>IF(X105="","",IFERROR(INDEX($AN$11:$AN$4010,MATCH(95,$AY$11:$AY$4010,0)),""))</f>
        <v/>
      </c>
      <c r="Z105" s="11" t="str">
        <f>IF(X105="","",IFERROR(INDEX($AO$11:$AO$4010,MATCH(95,$AY$11:$AY$4010,0)),""))</f>
        <v/>
      </c>
      <c r="AA105" s="10" t="str">
        <f>IF(X105="","",IFERROR(INDEX($AQ$11:$AQ$4010,MATCH(95,$AY$11:$AY$4010,0)),""))</f>
        <v/>
      </c>
      <c r="AB105" s="15" t="str">
        <f>IF(X105="","",IFERROR(INDEX($AR$11:$AR$4010,MATCH(95,$AY$11:$AY$4010,0)),""))</f>
        <v/>
      </c>
      <c r="AD105" s="16" t="str">
        <f>IF(AE105="","",IFERROR(INDEX($AL$11:$AL$4010,MATCH(95,$AZ$11:$AZ$4010,0)),""))</f>
        <v/>
      </c>
      <c r="AE105" s="12" t="str">
        <f>IFERROR(INDEX($AM$11:$AM$4010,MATCH(95,$AZ$11:$AZ$4010,0)),"")</f>
        <v/>
      </c>
      <c r="AF105" s="11" t="str">
        <f>IF(AE105="","",IFERROR(INDEX($AN$11:$AN$4010,MATCH(95,$AZ$11:$AZ$4010,0)),""))</f>
        <v/>
      </c>
      <c r="AG105" s="11" t="str">
        <f>IF(AE105="","",IFERROR(INDEX($AO$11:$AO$4010,MATCH(95,$AZ$11:$AZ$4010,0)),""))</f>
        <v/>
      </c>
      <c r="AH105" s="10" t="str">
        <f>IF(AE105="","",IFERROR(INDEX($AQ$11:$AQ$4010,MATCH(95,$AZ$11:$AZ$4010,0)),""))</f>
        <v/>
      </c>
      <c r="AI105" s="15" t="str">
        <f>IF(AE105="","",IFERROR(INDEX($AR$11:$AR$4010,MATCH(95,$AZ$11:$AZ$4010,0)),""))</f>
        <v/>
      </c>
      <c r="AJ105" s="15" t="str">
        <f>IF(AE105="","",IFERROR(INDEX($AT$11:$AT$4010,MATCH(95,$AZ$11:$AZ$4010,0)),""))</f>
        <v/>
      </c>
      <c r="AL105" s="17" t="str">
        <f t="shared" si="20"/>
        <v/>
      </c>
      <c r="AM105" s="12" t="str">
        <f t="shared" si="21"/>
        <v/>
      </c>
      <c r="AN105" s="18" t="str">
        <f t="shared" si="22"/>
        <v/>
      </c>
      <c r="AO105" s="18" t="str">
        <f t="shared" si="23"/>
        <v/>
      </c>
      <c r="AP105" s="10" t="str">
        <f t="shared" si="24"/>
        <v/>
      </c>
      <c r="AQ105" s="10" t="str">
        <f t="shared" si="25"/>
        <v/>
      </c>
      <c r="AR105" s="19" t="str">
        <f t="shared" si="26"/>
        <v/>
      </c>
      <c r="AS105" s="20"/>
      <c r="AT105" s="19"/>
      <c r="AV105" s="21">
        <f>IF(AND($AL105&lt;&gt;"",COUNTIF($AL$11:$AL105,$AL105)=1),1,0)</f>
        <v>0</v>
      </c>
      <c r="AW105" s="21">
        <f t="shared" si="28"/>
        <v>0</v>
      </c>
      <c r="AX105" s="21" t="str">
        <f t="shared" si="27"/>
        <v/>
      </c>
      <c r="AY105" s="21" t="str">
        <f>IF(AND($AM105&lt;&gt;"",$AS105&lt;&gt;"✓"),SUMPRODUCT(($AM$11:$AM105&lt;&gt;"")*($AS$11:$AS105&lt;&gt;"✓")),"")</f>
        <v/>
      </c>
      <c r="AZ105" s="21" t="str">
        <f>IF(AND($AM105&lt;&gt;"",$AS105="✓"),SUMPRODUCT(($AM$11:$AM105&lt;&gt;"")*($AS$11:$AS105="✓")),"")</f>
        <v/>
      </c>
      <c r="BA105" s="21" t="str">
        <f>IF($AL105="","",$AL105&amp;"|"&amp;COUNTIF($AL$11:$AL105,$AL105))</f>
        <v/>
      </c>
    </row>
    <row r="106" spans="2:53" ht="15" customHeight="1" x14ac:dyDescent="0.25">
      <c r="B106" s="5" t="str">
        <f t="shared" si="15"/>
        <v/>
      </c>
      <c r="C106" s="5"/>
      <c r="D106" s="5"/>
      <c r="E106" s="5"/>
      <c r="F106" s="6"/>
      <c r="G106" s="6"/>
      <c r="H106" s="7"/>
      <c r="I106" s="8"/>
      <c r="K106" s="23" t="str">
        <f>IFERROR(INDEX($AL$11:$AL$4010,MATCH(96,$AX$11:$AX$4010,0)),"")</f>
        <v/>
      </c>
      <c r="L106" s="24" t="str">
        <f t="shared" si="16"/>
        <v/>
      </c>
      <c r="M106" s="25" t="str">
        <f t="shared" si="17"/>
        <v/>
      </c>
      <c r="N106" s="25" t="str">
        <f t="shared" si="18"/>
        <v/>
      </c>
      <c r="P106" s="26" t="str">
        <f>IFERROR(INDEX($AM$11:$AM$4010,MATCH($S$8&amp;"|"&amp;96,$BA$11:$BA$4010,0)),"")</f>
        <v/>
      </c>
      <c r="Q106" s="25" t="str">
        <f>IF(P106="","",IFERROR(INDEX($AN$11:$AN$4010,MATCH($S$8&amp;"|"&amp;96,$BA$11:$BA$4010,0)),""))</f>
        <v/>
      </c>
      <c r="R106" s="25" t="str">
        <f>IF(P106="","",IFERROR(INDEX($AO$11:$AO$4010,MATCH($S$8&amp;"|"&amp;96,$BA$11:$BA$4010,0)),""))</f>
        <v/>
      </c>
      <c r="S106" s="24" t="str">
        <f>IF(P106="","",IFERROR(INDEX($AP$11:$AP$4010,MATCH($S$8&amp;"|"&amp;96,$BA$11:$BA$4010,0)),""))</f>
        <v/>
      </c>
      <c r="T106" s="24" t="str">
        <f>IF(P106="","",IFERROR(INDEX($AQ$11:$AQ$4010,MATCH($S$8&amp;"|"&amp;96,$BA$11:$BA$4010,0)),""))</f>
        <v/>
      </c>
      <c r="U106" s="38" t="str">
        <f t="shared" si="19"/>
        <v/>
      </c>
      <c r="W106" s="28" t="str">
        <f>IF(X106="","",IFERROR(INDEX($AL$11:$AL$4010,MATCH(96,$AY$11:$AY$4010,0)),""))</f>
        <v/>
      </c>
      <c r="X106" s="26" t="str">
        <f>IFERROR(INDEX($AM$11:$AM$4010,MATCH(96,$AY$11:$AY$4010,0)),"")</f>
        <v/>
      </c>
      <c r="Y106" s="25" t="str">
        <f>IF(X106="","",IFERROR(INDEX($AN$11:$AN$4010,MATCH(96,$AY$11:$AY$4010,0)),""))</f>
        <v/>
      </c>
      <c r="Z106" s="25" t="str">
        <f>IF(X106="","",IFERROR(INDEX($AO$11:$AO$4010,MATCH(96,$AY$11:$AY$4010,0)),""))</f>
        <v/>
      </c>
      <c r="AA106" s="24" t="str">
        <f>IF(X106="","",IFERROR(INDEX($AQ$11:$AQ$4010,MATCH(96,$AY$11:$AY$4010,0)),""))</f>
        <v/>
      </c>
      <c r="AB106" s="29" t="str">
        <f>IF(X106="","",IFERROR(INDEX($AR$11:$AR$4010,MATCH(96,$AY$11:$AY$4010,0)),""))</f>
        <v/>
      </c>
      <c r="AD106" s="30" t="str">
        <f>IF(AE106="","",IFERROR(INDEX($AL$11:$AL$4010,MATCH(96,$AZ$11:$AZ$4010,0)),""))</f>
        <v/>
      </c>
      <c r="AE106" s="26" t="str">
        <f>IFERROR(INDEX($AM$11:$AM$4010,MATCH(96,$AZ$11:$AZ$4010,0)),"")</f>
        <v/>
      </c>
      <c r="AF106" s="25" t="str">
        <f>IF(AE106="","",IFERROR(INDEX($AN$11:$AN$4010,MATCH(96,$AZ$11:$AZ$4010,0)),""))</f>
        <v/>
      </c>
      <c r="AG106" s="25" t="str">
        <f>IF(AE106="","",IFERROR(INDEX($AO$11:$AO$4010,MATCH(96,$AZ$11:$AZ$4010,0)),""))</f>
        <v/>
      </c>
      <c r="AH106" s="24" t="str">
        <f>IF(AE106="","",IFERROR(INDEX($AQ$11:$AQ$4010,MATCH(96,$AZ$11:$AZ$4010,0)),""))</f>
        <v/>
      </c>
      <c r="AI106" s="29" t="str">
        <f>IF(AE106="","",IFERROR(INDEX($AR$11:$AR$4010,MATCH(96,$AZ$11:$AZ$4010,0)),""))</f>
        <v/>
      </c>
      <c r="AJ106" s="29" t="str">
        <f>IF(AE106="","",IFERROR(INDEX($AT$11:$AT$4010,MATCH(96,$AZ$11:$AZ$4010,0)),""))</f>
        <v/>
      </c>
      <c r="AL106" s="31" t="str">
        <f t="shared" si="20"/>
        <v/>
      </c>
      <c r="AM106" s="26" t="str">
        <f t="shared" si="21"/>
        <v/>
      </c>
      <c r="AN106" s="32" t="str">
        <f t="shared" si="22"/>
        <v/>
      </c>
      <c r="AO106" s="32" t="str">
        <f t="shared" si="23"/>
        <v/>
      </c>
      <c r="AP106" s="24" t="str">
        <f t="shared" si="24"/>
        <v/>
      </c>
      <c r="AQ106" s="24" t="str">
        <f t="shared" si="25"/>
        <v/>
      </c>
      <c r="AR106" s="33" t="str">
        <f t="shared" si="26"/>
        <v/>
      </c>
      <c r="AS106" s="34"/>
      <c r="AT106" s="33"/>
      <c r="AV106" s="21">
        <f>IF(AND($AL106&lt;&gt;"",COUNTIF($AL$11:$AL106,$AL106)=1),1,0)</f>
        <v>0</v>
      </c>
      <c r="AW106" s="21">
        <f t="shared" si="28"/>
        <v>0</v>
      </c>
      <c r="AX106" s="21" t="str">
        <f t="shared" si="27"/>
        <v/>
      </c>
      <c r="AY106" s="21" t="str">
        <f>IF(AND($AM106&lt;&gt;"",$AS106&lt;&gt;"✓"),SUMPRODUCT(($AM$11:$AM106&lt;&gt;"")*($AS$11:$AS106&lt;&gt;"✓")),"")</f>
        <v/>
      </c>
      <c r="AZ106" s="21" t="str">
        <f>IF(AND($AM106&lt;&gt;"",$AS106="✓"),SUMPRODUCT(($AM$11:$AM106&lt;&gt;"")*($AS$11:$AS106="✓")),"")</f>
        <v/>
      </c>
      <c r="BA106" s="21" t="str">
        <f>IF($AL106="","",$AL106&amp;"|"&amp;COUNTIF($AL$11:$AL106,$AL106))</f>
        <v/>
      </c>
    </row>
    <row r="107" spans="2:53" ht="15" customHeight="1" x14ac:dyDescent="0.25">
      <c r="B107" s="5" t="str">
        <f t="shared" si="15"/>
        <v/>
      </c>
      <c r="C107" s="5"/>
      <c r="D107" s="5"/>
      <c r="E107" s="5"/>
      <c r="F107" s="6"/>
      <c r="G107" s="6"/>
      <c r="H107" s="7"/>
      <c r="I107" s="8"/>
      <c r="K107" s="9" t="str">
        <f>IFERROR(INDEX($AL$11:$AL$4010,MATCH(97,$AX$11:$AX$4010,0)),"")</f>
        <v/>
      </c>
      <c r="L107" s="10" t="str">
        <f t="shared" si="16"/>
        <v/>
      </c>
      <c r="M107" s="11" t="str">
        <f t="shared" si="17"/>
        <v/>
      </c>
      <c r="N107" s="11" t="str">
        <f t="shared" si="18"/>
        <v/>
      </c>
      <c r="P107" s="12" t="str">
        <f>IFERROR(INDEX($AM$11:$AM$4010,MATCH($S$8&amp;"|"&amp;97,$BA$11:$BA$4010,0)),"")</f>
        <v/>
      </c>
      <c r="Q107" s="11" t="str">
        <f>IF(P107="","",IFERROR(INDEX($AN$11:$AN$4010,MATCH($S$8&amp;"|"&amp;97,$BA$11:$BA$4010,0)),""))</f>
        <v/>
      </c>
      <c r="R107" s="11" t="str">
        <f>IF(P107="","",IFERROR(INDEX($AO$11:$AO$4010,MATCH($S$8&amp;"|"&amp;97,$BA$11:$BA$4010,0)),""))</f>
        <v/>
      </c>
      <c r="S107" s="10" t="str">
        <f>IF(P107="","",IFERROR(INDEX($AP$11:$AP$4010,MATCH($S$8&amp;"|"&amp;97,$BA$11:$BA$4010,0)),""))</f>
        <v/>
      </c>
      <c r="T107" s="10" t="str">
        <f>IF(P107="","",IFERROR(INDEX($AQ$11:$AQ$4010,MATCH($S$8&amp;"|"&amp;97,$BA$11:$BA$4010,0)),""))</f>
        <v/>
      </c>
      <c r="U107" s="39" t="str">
        <f t="shared" ref="U107:U138" si="29">IF(P107="","",$S$8)</f>
        <v/>
      </c>
      <c r="W107" s="14" t="str">
        <f>IF(X107="","",IFERROR(INDEX($AL$11:$AL$4010,MATCH(97,$AY$11:$AY$4010,0)),""))</f>
        <v/>
      </c>
      <c r="X107" s="12" t="str">
        <f>IFERROR(INDEX($AM$11:$AM$4010,MATCH(97,$AY$11:$AY$4010,0)),"")</f>
        <v/>
      </c>
      <c r="Y107" s="11" t="str">
        <f>IF(X107="","",IFERROR(INDEX($AN$11:$AN$4010,MATCH(97,$AY$11:$AY$4010,0)),""))</f>
        <v/>
      </c>
      <c r="Z107" s="11" t="str">
        <f>IF(X107="","",IFERROR(INDEX($AO$11:$AO$4010,MATCH(97,$AY$11:$AY$4010,0)),""))</f>
        <v/>
      </c>
      <c r="AA107" s="10" t="str">
        <f>IF(X107="","",IFERROR(INDEX($AQ$11:$AQ$4010,MATCH(97,$AY$11:$AY$4010,0)),""))</f>
        <v/>
      </c>
      <c r="AB107" s="15" t="str">
        <f>IF(X107="","",IFERROR(INDEX($AR$11:$AR$4010,MATCH(97,$AY$11:$AY$4010,0)),""))</f>
        <v/>
      </c>
      <c r="AD107" s="16" t="str">
        <f>IF(AE107="","",IFERROR(INDEX($AL$11:$AL$4010,MATCH(97,$AZ$11:$AZ$4010,0)),""))</f>
        <v/>
      </c>
      <c r="AE107" s="12" t="str">
        <f>IFERROR(INDEX($AM$11:$AM$4010,MATCH(97,$AZ$11:$AZ$4010,0)),"")</f>
        <v/>
      </c>
      <c r="AF107" s="11" t="str">
        <f>IF(AE107="","",IFERROR(INDEX($AN$11:$AN$4010,MATCH(97,$AZ$11:$AZ$4010,0)),""))</f>
        <v/>
      </c>
      <c r="AG107" s="11" t="str">
        <f>IF(AE107="","",IFERROR(INDEX($AO$11:$AO$4010,MATCH(97,$AZ$11:$AZ$4010,0)),""))</f>
        <v/>
      </c>
      <c r="AH107" s="10" t="str">
        <f>IF(AE107="","",IFERROR(INDEX($AQ$11:$AQ$4010,MATCH(97,$AZ$11:$AZ$4010,0)),""))</f>
        <v/>
      </c>
      <c r="AI107" s="15" t="str">
        <f>IF(AE107="","",IFERROR(INDEX($AR$11:$AR$4010,MATCH(97,$AZ$11:$AZ$4010,0)),""))</f>
        <v/>
      </c>
      <c r="AJ107" s="15" t="str">
        <f>IF(AE107="","",IFERROR(INDEX($AT$11:$AT$4010,MATCH(97,$AZ$11:$AZ$4010,0)),""))</f>
        <v/>
      </c>
      <c r="AL107" s="17" t="str">
        <f t="shared" si="20"/>
        <v/>
      </c>
      <c r="AM107" s="12" t="str">
        <f t="shared" si="21"/>
        <v/>
      </c>
      <c r="AN107" s="18" t="str">
        <f t="shared" si="22"/>
        <v/>
      </c>
      <c r="AO107" s="18" t="str">
        <f t="shared" si="23"/>
        <v/>
      </c>
      <c r="AP107" s="10" t="str">
        <f t="shared" si="24"/>
        <v/>
      </c>
      <c r="AQ107" s="10" t="str">
        <f t="shared" si="25"/>
        <v/>
      </c>
      <c r="AR107" s="19" t="str">
        <f t="shared" si="26"/>
        <v/>
      </c>
      <c r="AS107" s="20"/>
      <c r="AT107" s="19"/>
      <c r="AV107" s="21">
        <f>IF(AND($AL107&lt;&gt;"",COUNTIF($AL$11:$AL107,$AL107)=1),1,0)</f>
        <v>0</v>
      </c>
      <c r="AW107" s="21">
        <f t="shared" si="28"/>
        <v>0</v>
      </c>
      <c r="AX107" s="21" t="str">
        <f t="shared" si="27"/>
        <v/>
      </c>
      <c r="AY107" s="21" t="str">
        <f>IF(AND($AM107&lt;&gt;"",$AS107&lt;&gt;"✓"),SUMPRODUCT(($AM$11:$AM107&lt;&gt;"")*($AS$11:$AS107&lt;&gt;"✓")),"")</f>
        <v/>
      </c>
      <c r="AZ107" s="21" t="str">
        <f>IF(AND($AM107&lt;&gt;"",$AS107="✓"),SUMPRODUCT(($AM$11:$AM107&lt;&gt;"")*($AS$11:$AS107="✓")),"")</f>
        <v/>
      </c>
      <c r="BA107" s="21" t="str">
        <f>IF($AL107="","",$AL107&amp;"|"&amp;COUNTIF($AL$11:$AL107,$AL107))</f>
        <v/>
      </c>
    </row>
    <row r="108" spans="2:53" ht="15" customHeight="1" x14ac:dyDescent="0.25">
      <c r="B108" s="5" t="str">
        <f t="shared" si="15"/>
        <v/>
      </c>
      <c r="C108" s="5"/>
      <c r="D108" s="5"/>
      <c r="E108" s="5"/>
      <c r="F108" s="6"/>
      <c r="G108" s="6"/>
      <c r="H108" s="7"/>
      <c r="I108" s="8"/>
      <c r="K108" s="23" t="str">
        <f>IFERROR(INDEX($AL$11:$AL$4010,MATCH(98,$AX$11:$AX$4010,0)),"")</f>
        <v/>
      </c>
      <c r="L108" s="24" t="str">
        <f t="shared" si="16"/>
        <v/>
      </c>
      <c r="M108" s="25" t="str">
        <f t="shared" si="17"/>
        <v/>
      </c>
      <c r="N108" s="25" t="str">
        <f t="shared" si="18"/>
        <v/>
      </c>
      <c r="P108" s="26" t="str">
        <f>IFERROR(INDEX($AM$11:$AM$4010,MATCH($S$8&amp;"|"&amp;98,$BA$11:$BA$4010,0)),"")</f>
        <v/>
      </c>
      <c r="Q108" s="25" t="str">
        <f>IF(P108="","",IFERROR(INDEX($AN$11:$AN$4010,MATCH($S$8&amp;"|"&amp;98,$BA$11:$BA$4010,0)),""))</f>
        <v/>
      </c>
      <c r="R108" s="25" t="str">
        <f>IF(P108="","",IFERROR(INDEX($AO$11:$AO$4010,MATCH($S$8&amp;"|"&amp;98,$BA$11:$BA$4010,0)),""))</f>
        <v/>
      </c>
      <c r="S108" s="24" t="str">
        <f>IF(P108="","",IFERROR(INDEX($AP$11:$AP$4010,MATCH($S$8&amp;"|"&amp;98,$BA$11:$BA$4010,0)),""))</f>
        <v/>
      </c>
      <c r="T108" s="24" t="str">
        <f>IF(P108="","",IFERROR(INDEX($AQ$11:$AQ$4010,MATCH($S$8&amp;"|"&amp;98,$BA$11:$BA$4010,0)),""))</f>
        <v/>
      </c>
      <c r="U108" s="38" t="str">
        <f t="shared" si="29"/>
        <v/>
      </c>
      <c r="W108" s="28" t="str">
        <f>IF(X108="","",IFERROR(INDEX($AL$11:$AL$4010,MATCH(98,$AY$11:$AY$4010,0)),""))</f>
        <v/>
      </c>
      <c r="X108" s="26" t="str">
        <f>IFERROR(INDEX($AM$11:$AM$4010,MATCH(98,$AY$11:$AY$4010,0)),"")</f>
        <v/>
      </c>
      <c r="Y108" s="25" t="str">
        <f>IF(X108="","",IFERROR(INDEX($AN$11:$AN$4010,MATCH(98,$AY$11:$AY$4010,0)),""))</f>
        <v/>
      </c>
      <c r="Z108" s="25" t="str">
        <f>IF(X108="","",IFERROR(INDEX($AO$11:$AO$4010,MATCH(98,$AY$11:$AY$4010,0)),""))</f>
        <v/>
      </c>
      <c r="AA108" s="24" t="str">
        <f>IF(X108="","",IFERROR(INDEX($AQ$11:$AQ$4010,MATCH(98,$AY$11:$AY$4010,0)),""))</f>
        <v/>
      </c>
      <c r="AB108" s="29" t="str">
        <f>IF(X108="","",IFERROR(INDEX($AR$11:$AR$4010,MATCH(98,$AY$11:$AY$4010,0)),""))</f>
        <v/>
      </c>
      <c r="AD108" s="30" t="str">
        <f>IF(AE108="","",IFERROR(INDEX($AL$11:$AL$4010,MATCH(98,$AZ$11:$AZ$4010,0)),""))</f>
        <v/>
      </c>
      <c r="AE108" s="26" t="str">
        <f>IFERROR(INDEX($AM$11:$AM$4010,MATCH(98,$AZ$11:$AZ$4010,0)),"")</f>
        <v/>
      </c>
      <c r="AF108" s="25" t="str">
        <f>IF(AE108="","",IFERROR(INDEX($AN$11:$AN$4010,MATCH(98,$AZ$11:$AZ$4010,0)),""))</f>
        <v/>
      </c>
      <c r="AG108" s="25" t="str">
        <f>IF(AE108="","",IFERROR(INDEX($AO$11:$AO$4010,MATCH(98,$AZ$11:$AZ$4010,0)),""))</f>
        <v/>
      </c>
      <c r="AH108" s="24" t="str">
        <f>IF(AE108="","",IFERROR(INDEX($AQ$11:$AQ$4010,MATCH(98,$AZ$11:$AZ$4010,0)),""))</f>
        <v/>
      </c>
      <c r="AI108" s="29" t="str">
        <f>IF(AE108="","",IFERROR(INDEX($AR$11:$AR$4010,MATCH(98,$AZ$11:$AZ$4010,0)),""))</f>
        <v/>
      </c>
      <c r="AJ108" s="29" t="str">
        <f>IF(AE108="","",IFERROR(INDEX($AT$11:$AT$4010,MATCH(98,$AZ$11:$AZ$4010,0)),""))</f>
        <v/>
      </c>
      <c r="AL108" s="31" t="str">
        <f t="shared" si="20"/>
        <v/>
      </c>
      <c r="AM108" s="26" t="str">
        <f t="shared" si="21"/>
        <v/>
      </c>
      <c r="AN108" s="32" t="str">
        <f t="shared" si="22"/>
        <v/>
      </c>
      <c r="AO108" s="32" t="str">
        <f t="shared" si="23"/>
        <v/>
      </c>
      <c r="AP108" s="24" t="str">
        <f t="shared" si="24"/>
        <v/>
      </c>
      <c r="AQ108" s="24" t="str">
        <f t="shared" si="25"/>
        <v/>
      </c>
      <c r="AR108" s="33" t="str">
        <f t="shared" si="26"/>
        <v/>
      </c>
      <c r="AS108" s="34"/>
      <c r="AT108" s="33"/>
      <c r="AV108" s="21">
        <f>IF(AND($AL108&lt;&gt;"",COUNTIF($AL$11:$AL108,$AL108)=1),1,0)</f>
        <v>0</v>
      </c>
      <c r="AW108" s="21">
        <f t="shared" si="28"/>
        <v>0</v>
      </c>
      <c r="AX108" s="21" t="str">
        <f t="shared" si="27"/>
        <v/>
      </c>
      <c r="AY108" s="21" t="str">
        <f>IF(AND($AM108&lt;&gt;"",$AS108&lt;&gt;"✓"),SUMPRODUCT(($AM$11:$AM108&lt;&gt;"")*($AS$11:$AS108&lt;&gt;"✓")),"")</f>
        <v/>
      </c>
      <c r="AZ108" s="21" t="str">
        <f>IF(AND($AM108&lt;&gt;"",$AS108="✓"),SUMPRODUCT(($AM$11:$AM108&lt;&gt;"")*($AS$11:$AS108="✓")),"")</f>
        <v/>
      </c>
      <c r="BA108" s="21" t="str">
        <f>IF($AL108="","",$AL108&amp;"|"&amp;COUNTIF($AL$11:$AL108,$AL108))</f>
        <v/>
      </c>
    </row>
    <row r="109" spans="2:53" ht="15" customHeight="1" x14ac:dyDescent="0.25">
      <c r="B109" s="5" t="str">
        <f t="shared" si="15"/>
        <v/>
      </c>
      <c r="C109" s="5"/>
      <c r="D109" s="5"/>
      <c r="E109" s="5"/>
      <c r="F109" s="6"/>
      <c r="G109" s="6"/>
      <c r="H109" s="7"/>
      <c r="I109" s="8"/>
      <c r="K109" s="9" t="str">
        <f>IFERROR(INDEX($AL$11:$AL$4010,MATCH(99,$AX$11:$AX$4010,0)),"")</f>
        <v/>
      </c>
      <c r="L109" s="10" t="str">
        <f t="shared" si="16"/>
        <v/>
      </c>
      <c r="M109" s="11" t="str">
        <f t="shared" si="17"/>
        <v/>
      </c>
      <c r="N109" s="11" t="str">
        <f t="shared" si="18"/>
        <v/>
      </c>
      <c r="P109" s="12" t="str">
        <f>IFERROR(INDEX($AM$11:$AM$4010,MATCH($S$8&amp;"|"&amp;99,$BA$11:$BA$4010,0)),"")</f>
        <v/>
      </c>
      <c r="Q109" s="11" t="str">
        <f>IF(P109="","",IFERROR(INDEX($AN$11:$AN$4010,MATCH($S$8&amp;"|"&amp;99,$BA$11:$BA$4010,0)),""))</f>
        <v/>
      </c>
      <c r="R109" s="11" t="str">
        <f>IF(P109="","",IFERROR(INDEX($AO$11:$AO$4010,MATCH($S$8&amp;"|"&amp;99,$BA$11:$BA$4010,0)),""))</f>
        <v/>
      </c>
      <c r="S109" s="10" t="str">
        <f>IF(P109="","",IFERROR(INDEX($AP$11:$AP$4010,MATCH($S$8&amp;"|"&amp;99,$BA$11:$BA$4010,0)),""))</f>
        <v/>
      </c>
      <c r="T109" s="10" t="str">
        <f>IF(P109="","",IFERROR(INDEX($AQ$11:$AQ$4010,MATCH($S$8&amp;"|"&amp;99,$BA$11:$BA$4010,0)),""))</f>
        <v/>
      </c>
      <c r="U109" s="39" t="str">
        <f t="shared" si="29"/>
        <v/>
      </c>
      <c r="W109" s="14" t="str">
        <f>IF(X109="","",IFERROR(INDEX($AL$11:$AL$4010,MATCH(99,$AY$11:$AY$4010,0)),""))</f>
        <v/>
      </c>
      <c r="X109" s="12" t="str">
        <f>IFERROR(INDEX($AM$11:$AM$4010,MATCH(99,$AY$11:$AY$4010,0)),"")</f>
        <v/>
      </c>
      <c r="Y109" s="11" t="str">
        <f>IF(X109="","",IFERROR(INDEX($AN$11:$AN$4010,MATCH(99,$AY$11:$AY$4010,0)),""))</f>
        <v/>
      </c>
      <c r="Z109" s="11" t="str">
        <f>IF(X109="","",IFERROR(INDEX($AO$11:$AO$4010,MATCH(99,$AY$11:$AY$4010,0)),""))</f>
        <v/>
      </c>
      <c r="AA109" s="10" t="str">
        <f>IF(X109="","",IFERROR(INDEX($AQ$11:$AQ$4010,MATCH(99,$AY$11:$AY$4010,0)),""))</f>
        <v/>
      </c>
      <c r="AB109" s="15" t="str">
        <f>IF(X109="","",IFERROR(INDEX($AR$11:$AR$4010,MATCH(99,$AY$11:$AY$4010,0)),""))</f>
        <v/>
      </c>
      <c r="AD109" s="16" t="str">
        <f>IF(AE109="","",IFERROR(INDEX($AL$11:$AL$4010,MATCH(99,$AZ$11:$AZ$4010,0)),""))</f>
        <v/>
      </c>
      <c r="AE109" s="12" t="str">
        <f>IFERROR(INDEX($AM$11:$AM$4010,MATCH(99,$AZ$11:$AZ$4010,0)),"")</f>
        <v/>
      </c>
      <c r="AF109" s="11" t="str">
        <f>IF(AE109="","",IFERROR(INDEX($AN$11:$AN$4010,MATCH(99,$AZ$11:$AZ$4010,0)),""))</f>
        <v/>
      </c>
      <c r="AG109" s="11" t="str">
        <f>IF(AE109="","",IFERROR(INDEX($AO$11:$AO$4010,MATCH(99,$AZ$11:$AZ$4010,0)),""))</f>
        <v/>
      </c>
      <c r="AH109" s="10" t="str">
        <f>IF(AE109="","",IFERROR(INDEX($AQ$11:$AQ$4010,MATCH(99,$AZ$11:$AZ$4010,0)),""))</f>
        <v/>
      </c>
      <c r="AI109" s="15" t="str">
        <f>IF(AE109="","",IFERROR(INDEX($AR$11:$AR$4010,MATCH(99,$AZ$11:$AZ$4010,0)),""))</f>
        <v/>
      </c>
      <c r="AJ109" s="15" t="str">
        <f>IF(AE109="","",IFERROR(INDEX($AT$11:$AT$4010,MATCH(99,$AZ$11:$AZ$4010,0)),""))</f>
        <v/>
      </c>
      <c r="AL109" s="17" t="str">
        <f t="shared" si="20"/>
        <v/>
      </c>
      <c r="AM109" s="12" t="str">
        <f t="shared" si="21"/>
        <v/>
      </c>
      <c r="AN109" s="18" t="str">
        <f t="shared" si="22"/>
        <v/>
      </c>
      <c r="AO109" s="18" t="str">
        <f t="shared" si="23"/>
        <v/>
      </c>
      <c r="AP109" s="10" t="str">
        <f t="shared" si="24"/>
        <v/>
      </c>
      <c r="AQ109" s="10" t="str">
        <f t="shared" si="25"/>
        <v/>
      </c>
      <c r="AR109" s="19" t="str">
        <f t="shared" si="26"/>
        <v/>
      </c>
      <c r="AS109" s="20"/>
      <c r="AT109" s="19"/>
      <c r="AV109" s="21">
        <f>IF(AND($AL109&lt;&gt;"",COUNTIF($AL$11:$AL109,$AL109)=1),1,0)</f>
        <v>0</v>
      </c>
      <c r="AW109" s="21">
        <f t="shared" si="28"/>
        <v>0</v>
      </c>
      <c r="AX109" s="21" t="str">
        <f t="shared" si="27"/>
        <v/>
      </c>
      <c r="AY109" s="21" t="str">
        <f>IF(AND($AM109&lt;&gt;"",$AS109&lt;&gt;"✓"),SUMPRODUCT(($AM$11:$AM109&lt;&gt;"")*($AS$11:$AS109&lt;&gt;"✓")),"")</f>
        <v/>
      </c>
      <c r="AZ109" s="21" t="str">
        <f>IF(AND($AM109&lt;&gt;"",$AS109="✓"),SUMPRODUCT(($AM$11:$AM109&lt;&gt;"")*($AS$11:$AS109="✓")),"")</f>
        <v/>
      </c>
      <c r="BA109" s="21" t="str">
        <f>IF($AL109="","",$AL109&amp;"|"&amp;COUNTIF($AL$11:$AL109,$AL109))</f>
        <v/>
      </c>
    </row>
    <row r="110" spans="2:53" ht="15" customHeight="1" x14ac:dyDescent="0.25">
      <c r="B110" s="5" t="str">
        <f t="shared" si="15"/>
        <v/>
      </c>
      <c r="C110" s="5"/>
      <c r="D110" s="5"/>
      <c r="E110" s="5"/>
      <c r="F110" s="6"/>
      <c r="G110" s="6"/>
      <c r="H110" s="7"/>
      <c r="I110" s="8"/>
      <c r="K110" s="23" t="str">
        <f>IFERROR(INDEX($AL$11:$AL$4010,MATCH(100,$AX$11:$AX$4010,0)),"")</f>
        <v/>
      </c>
      <c r="L110" s="24" t="str">
        <f t="shared" si="16"/>
        <v/>
      </c>
      <c r="M110" s="25" t="str">
        <f t="shared" si="17"/>
        <v/>
      </c>
      <c r="N110" s="25" t="str">
        <f t="shared" si="18"/>
        <v/>
      </c>
      <c r="P110" s="26" t="str">
        <f>IFERROR(INDEX($AM$11:$AM$4010,MATCH($S$8&amp;"|"&amp;100,$BA$11:$BA$4010,0)),"")</f>
        <v/>
      </c>
      <c r="Q110" s="25" t="str">
        <f>IF(P110="","",IFERROR(INDEX($AN$11:$AN$4010,MATCH($S$8&amp;"|"&amp;100,$BA$11:$BA$4010,0)),""))</f>
        <v/>
      </c>
      <c r="R110" s="25" t="str">
        <f>IF(P110="","",IFERROR(INDEX($AO$11:$AO$4010,MATCH($S$8&amp;"|"&amp;100,$BA$11:$BA$4010,0)),""))</f>
        <v/>
      </c>
      <c r="S110" s="24" t="str">
        <f>IF(P110="","",IFERROR(INDEX($AP$11:$AP$4010,MATCH($S$8&amp;"|"&amp;100,$BA$11:$BA$4010,0)),""))</f>
        <v/>
      </c>
      <c r="T110" s="24" t="str">
        <f>IF(P110="","",IFERROR(INDEX($AQ$11:$AQ$4010,MATCH($S$8&amp;"|"&amp;100,$BA$11:$BA$4010,0)),""))</f>
        <v/>
      </c>
      <c r="U110" s="38" t="str">
        <f t="shared" si="29"/>
        <v/>
      </c>
      <c r="W110" s="28" t="str">
        <f>IF(X110="","",IFERROR(INDEX($AL$11:$AL$4010,MATCH(100,$AY$11:$AY$4010,0)),""))</f>
        <v/>
      </c>
      <c r="X110" s="26" t="str">
        <f>IFERROR(INDEX($AM$11:$AM$4010,MATCH(100,$AY$11:$AY$4010,0)),"")</f>
        <v/>
      </c>
      <c r="Y110" s="25" t="str">
        <f>IF(X110="","",IFERROR(INDEX($AN$11:$AN$4010,MATCH(100,$AY$11:$AY$4010,0)),""))</f>
        <v/>
      </c>
      <c r="Z110" s="25" t="str">
        <f>IF(X110="","",IFERROR(INDEX($AO$11:$AO$4010,MATCH(100,$AY$11:$AY$4010,0)),""))</f>
        <v/>
      </c>
      <c r="AA110" s="24" t="str">
        <f>IF(X110="","",IFERROR(INDEX($AQ$11:$AQ$4010,MATCH(100,$AY$11:$AY$4010,0)),""))</f>
        <v/>
      </c>
      <c r="AB110" s="29" t="str">
        <f>IF(X110="","",IFERROR(INDEX($AR$11:$AR$4010,MATCH(100,$AY$11:$AY$4010,0)),""))</f>
        <v/>
      </c>
      <c r="AD110" s="30" t="str">
        <f>IF(AE110="","",IFERROR(INDEX($AL$11:$AL$4010,MATCH(100,$AZ$11:$AZ$4010,0)),""))</f>
        <v/>
      </c>
      <c r="AE110" s="26" t="str">
        <f>IFERROR(INDEX($AM$11:$AM$4010,MATCH(100,$AZ$11:$AZ$4010,0)),"")</f>
        <v/>
      </c>
      <c r="AF110" s="25" t="str">
        <f>IF(AE110="","",IFERROR(INDEX($AN$11:$AN$4010,MATCH(100,$AZ$11:$AZ$4010,0)),""))</f>
        <v/>
      </c>
      <c r="AG110" s="25" t="str">
        <f>IF(AE110="","",IFERROR(INDEX($AO$11:$AO$4010,MATCH(100,$AZ$11:$AZ$4010,0)),""))</f>
        <v/>
      </c>
      <c r="AH110" s="24" t="str">
        <f>IF(AE110="","",IFERROR(INDEX($AQ$11:$AQ$4010,MATCH(100,$AZ$11:$AZ$4010,0)),""))</f>
        <v/>
      </c>
      <c r="AI110" s="29" t="str">
        <f>IF(AE110="","",IFERROR(INDEX($AR$11:$AR$4010,MATCH(100,$AZ$11:$AZ$4010,0)),""))</f>
        <v/>
      </c>
      <c r="AJ110" s="29" t="str">
        <f>IF(AE110="","",IFERROR(INDEX($AT$11:$AT$4010,MATCH(100,$AZ$11:$AZ$4010,0)),""))</f>
        <v/>
      </c>
      <c r="AL110" s="31" t="str">
        <f t="shared" si="20"/>
        <v/>
      </c>
      <c r="AM110" s="26" t="str">
        <f t="shared" si="21"/>
        <v/>
      </c>
      <c r="AN110" s="32" t="str">
        <f t="shared" si="22"/>
        <v/>
      </c>
      <c r="AO110" s="32" t="str">
        <f t="shared" si="23"/>
        <v/>
      </c>
      <c r="AP110" s="24" t="str">
        <f t="shared" si="24"/>
        <v/>
      </c>
      <c r="AQ110" s="24" t="str">
        <f t="shared" si="25"/>
        <v/>
      </c>
      <c r="AR110" s="33" t="str">
        <f t="shared" si="26"/>
        <v/>
      </c>
      <c r="AS110" s="34"/>
      <c r="AT110" s="33"/>
      <c r="AV110" s="21">
        <f>IF(AND($AL110&lt;&gt;"",COUNTIF($AL$11:$AL110,$AL110)=1),1,0)</f>
        <v>0</v>
      </c>
      <c r="AW110" s="21">
        <f t="shared" si="28"/>
        <v>0</v>
      </c>
      <c r="AX110" s="21" t="str">
        <f t="shared" si="27"/>
        <v/>
      </c>
      <c r="AY110" s="21" t="str">
        <f>IF(AND($AM110&lt;&gt;"",$AS110&lt;&gt;"✓"),SUMPRODUCT(($AM$11:$AM110&lt;&gt;"")*($AS$11:$AS110&lt;&gt;"✓")),"")</f>
        <v/>
      </c>
      <c r="AZ110" s="21" t="str">
        <f>IF(AND($AM110&lt;&gt;"",$AS110="✓"),SUMPRODUCT(($AM$11:$AM110&lt;&gt;"")*($AS$11:$AS110="✓")),"")</f>
        <v/>
      </c>
      <c r="BA110" s="21" t="str">
        <f>IF($AL110="","",$AL110&amp;"|"&amp;COUNTIF($AL$11:$AL110,$AL110))</f>
        <v/>
      </c>
    </row>
    <row r="111" spans="2:53" ht="15" customHeight="1" x14ac:dyDescent="0.25">
      <c r="B111" s="5" t="str">
        <f t="shared" si="15"/>
        <v/>
      </c>
      <c r="C111" s="5"/>
      <c r="D111" s="5"/>
      <c r="E111" s="5"/>
      <c r="F111" s="6"/>
      <c r="G111" s="6"/>
      <c r="H111" s="7"/>
      <c r="I111" s="8"/>
      <c r="K111" s="9" t="str">
        <f>IFERROR(INDEX($AL$11:$AL$4010,MATCH(101,$AX$11:$AX$4010,0)),"")</f>
        <v/>
      </c>
      <c r="L111" s="10" t="str">
        <f t="shared" si="16"/>
        <v/>
      </c>
      <c r="M111" s="11" t="str">
        <f t="shared" si="17"/>
        <v/>
      </c>
      <c r="N111" s="11" t="str">
        <f t="shared" si="18"/>
        <v/>
      </c>
      <c r="P111" s="12" t="str">
        <f>IFERROR(INDEX($AM$11:$AM$4010,MATCH($S$8&amp;"|"&amp;101,$BA$11:$BA$4010,0)),"")</f>
        <v/>
      </c>
      <c r="Q111" s="11" t="str">
        <f>IF(P111="","",IFERROR(INDEX($AN$11:$AN$4010,MATCH($S$8&amp;"|"&amp;101,$BA$11:$BA$4010,0)),""))</f>
        <v/>
      </c>
      <c r="R111" s="11" t="str">
        <f>IF(P111="","",IFERROR(INDEX($AO$11:$AO$4010,MATCH($S$8&amp;"|"&amp;101,$BA$11:$BA$4010,0)),""))</f>
        <v/>
      </c>
      <c r="S111" s="10" t="str">
        <f>IF(P111="","",IFERROR(INDEX($AP$11:$AP$4010,MATCH($S$8&amp;"|"&amp;101,$BA$11:$BA$4010,0)),""))</f>
        <v/>
      </c>
      <c r="T111" s="10" t="str">
        <f>IF(P111="","",IFERROR(INDEX($AQ$11:$AQ$4010,MATCH($S$8&amp;"|"&amp;101,$BA$11:$BA$4010,0)),""))</f>
        <v/>
      </c>
      <c r="U111" s="39" t="str">
        <f t="shared" si="29"/>
        <v/>
      </c>
      <c r="W111" s="14" t="str">
        <f>IF(X111="","",IFERROR(INDEX($AL$11:$AL$4010,MATCH(101,$AY$11:$AY$4010,0)),""))</f>
        <v/>
      </c>
      <c r="X111" s="12" t="str">
        <f>IFERROR(INDEX($AM$11:$AM$4010,MATCH(101,$AY$11:$AY$4010,0)),"")</f>
        <v/>
      </c>
      <c r="Y111" s="11" t="str">
        <f>IF(X111="","",IFERROR(INDEX($AN$11:$AN$4010,MATCH(101,$AY$11:$AY$4010,0)),""))</f>
        <v/>
      </c>
      <c r="Z111" s="11" t="str">
        <f>IF(X111="","",IFERROR(INDEX($AO$11:$AO$4010,MATCH(101,$AY$11:$AY$4010,0)),""))</f>
        <v/>
      </c>
      <c r="AA111" s="10" t="str">
        <f>IF(X111="","",IFERROR(INDEX($AQ$11:$AQ$4010,MATCH(101,$AY$11:$AY$4010,0)),""))</f>
        <v/>
      </c>
      <c r="AB111" s="15" t="str">
        <f>IF(X111="","",IFERROR(INDEX($AR$11:$AR$4010,MATCH(101,$AY$11:$AY$4010,0)),""))</f>
        <v/>
      </c>
      <c r="AD111" s="16" t="str">
        <f>IF(AE111="","",IFERROR(INDEX($AL$11:$AL$4010,MATCH(101,$AZ$11:$AZ$4010,0)),""))</f>
        <v/>
      </c>
      <c r="AE111" s="12" t="str">
        <f>IFERROR(INDEX($AM$11:$AM$4010,MATCH(101,$AZ$11:$AZ$4010,0)),"")</f>
        <v/>
      </c>
      <c r="AF111" s="11" t="str">
        <f>IF(AE111="","",IFERROR(INDEX($AN$11:$AN$4010,MATCH(101,$AZ$11:$AZ$4010,0)),""))</f>
        <v/>
      </c>
      <c r="AG111" s="11" t="str">
        <f>IF(AE111="","",IFERROR(INDEX($AO$11:$AO$4010,MATCH(101,$AZ$11:$AZ$4010,0)),""))</f>
        <v/>
      </c>
      <c r="AH111" s="10" t="str">
        <f>IF(AE111="","",IFERROR(INDEX($AQ$11:$AQ$4010,MATCH(101,$AZ$11:$AZ$4010,0)),""))</f>
        <v/>
      </c>
      <c r="AI111" s="15" t="str">
        <f>IF(AE111="","",IFERROR(INDEX($AR$11:$AR$4010,MATCH(101,$AZ$11:$AZ$4010,0)),""))</f>
        <v/>
      </c>
      <c r="AJ111" s="15" t="str">
        <f>IF(AE111="","",IFERROR(INDEX($AT$11:$AT$4010,MATCH(101,$AZ$11:$AZ$4010,0)),""))</f>
        <v/>
      </c>
      <c r="AL111" s="17" t="str">
        <f t="shared" si="20"/>
        <v/>
      </c>
      <c r="AM111" s="12" t="str">
        <f t="shared" si="21"/>
        <v/>
      </c>
      <c r="AN111" s="18" t="str">
        <f t="shared" si="22"/>
        <v/>
      </c>
      <c r="AO111" s="18" t="str">
        <f t="shared" si="23"/>
        <v/>
      </c>
      <c r="AP111" s="10" t="str">
        <f t="shared" si="24"/>
        <v/>
      </c>
      <c r="AQ111" s="10" t="str">
        <f t="shared" si="25"/>
        <v/>
      </c>
      <c r="AR111" s="19" t="str">
        <f t="shared" si="26"/>
        <v/>
      </c>
      <c r="AS111" s="20"/>
      <c r="AT111" s="19"/>
      <c r="AV111" s="21">
        <f>IF(AND($AL111&lt;&gt;"",COUNTIF($AL$11:$AL111,$AL111)=1),1,0)</f>
        <v>0</v>
      </c>
      <c r="AW111" s="21">
        <f t="shared" si="28"/>
        <v>0</v>
      </c>
      <c r="AX111" s="21" t="str">
        <f t="shared" si="27"/>
        <v/>
      </c>
      <c r="AY111" s="21" t="str">
        <f>IF(AND($AM111&lt;&gt;"",$AS111&lt;&gt;"✓"),SUMPRODUCT(($AM$11:$AM111&lt;&gt;"")*($AS$11:$AS111&lt;&gt;"✓")),"")</f>
        <v/>
      </c>
      <c r="AZ111" s="21" t="str">
        <f>IF(AND($AM111&lt;&gt;"",$AS111="✓"),SUMPRODUCT(($AM$11:$AM111&lt;&gt;"")*($AS$11:$AS111="✓")),"")</f>
        <v/>
      </c>
      <c r="BA111" s="21" t="str">
        <f>IF($AL111="","",$AL111&amp;"|"&amp;COUNTIF($AL$11:$AL111,$AL111))</f>
        <v/>
      </c>
    </row>
    <row r="112" spans="2:53" ht="15" customHeight="1" x14ac:dyDescent="0.25">
      <c r="B112" s="5" t="str">
        <f t="shared" si="15"/>
        <v/>
      </c>
      <c r="C112" s="5"/>
      <c r="D112" s="5"/>
      <c r="E112" s="5"/>
      <c r="F112" s="6"/>
      <c r="G112" s="6"/>
      <c r="H112" s="7"/>
      <c r="I112" s="8"/>
      <c r="K112" s="23" t="str">
        <f>IFERROR(INDEX($AL$11:$AL$4010,MATCH(102,$AX$11:$AX$4010,0)),"")</f>
        <v/>
      </c>
      <c r="L112" s="24" t="str">
        <f t="shared" si="16"/>
        <v/>
      </c>
      <c r="M112" s="25" t="str">
        <f t="shared" si="17"/>
        <v/>
      </c>
      <c r="N112" s="25" t="str">
        <f t="shared" si="18"/>
        <v/>
      </c>
      <c r="P112" s="26" t="str">
        <f>IFERROR(INDEX($AM$11:$AM$4010,MATCH($S$8&amp;"|"&amp;102,$BA$11:$BA$4010,0)),"")</f>
        <v/>
      </c>
      <c r="Q112" s="25" t="str">
        <f>IF(P112="","",IFERROR(INDEX($AN$11:$AN$4010,MATCH($S$8&amp;"|"&amp;102,$BA$11:$BA$4010,0)),""))</f>
        <v/>
      </c>
      <c r="R112" s="25" t="str">
        <f>IF(P112="","",IFERROR(INDEX($AO$11:$AO$4010,MATCH($S$8&amp;"|"&amp;102,$BA$11:$BA$4010,0)),""))</f>
        <v/>
      </c>
      <c r="S112" s="24" t="str">
        <f>IF(P112="","",IFERROR(INDEX($AP$11:$AP$4010,MATCH($S$8&amp;"|"&amp;102,$BA$11:$BA$4010,0)),""))</f>
        <v/>
      </c>
      <c r="T112" s="24" t="str">
        <f>IF(P112="","",IFERROR(INDEX($AQ$11:$AQ$4010,MATCH($S$8&amp;"|"&amp;102,$BA$11:$BA$4010,0)),""))</f>
        <v/>
      </c>
      <c r="U112" s="38" t="str">
        <f t="shared" si="29"/>
        <v/>
      </c>
      <c r="W112" s="28" t="str">
        <f>IF(X112="","",IFERROR(INDEX($AL$11:$AL$4010,MATCH(102,$AY$11:$AY$4010,0)),""))</f>
        <v/>
      </c>
      <c r="X112" s="26" t="str">
        <f>IFERROR(INDEX($AM$11:$AM$4010,MATCH(102,$AY$11:$AY$4010,0)),"")</f>
        <v/>
      </c>
      <c r="Y112" s="25" t="str">
        <f>IF(X112="","",IFERROR(INDEX($AN$11:$AN$4010,MATCH(102,$AY$11:$AY$4010,0)),""))</f>
        <v/>
      </c>
      <c r="Z112" s="25" t="str">
        <f>IF(X112="","",IFERROR(INDEX($AO$11:$AO$4010,MATCH(102,$AY$11:$AY$4010,0)),""))</f>
        <v/>
      </c>
      <c r="AA112" s="24" t="str">
        <f>IF(X112="","",IFERROR(INDEX($AQ$11:$AQ$4010,MATCH(102,$AY$11:$AY$4010,0)),""))</f>
        <v/>
      </c>
      <c r="AB112" s="29" t="str">
        <f>IF(X112="","",IFERROR(INDEX($AR$11:$AR$4010,MATCH(102,$AY$11:$AY$4010,0)),""))</f>
        <v/>
      </c>
      <c r="AD112" s="30" t="str">
        <f>IF(AE112="","",IFERROR(INDEX($AL$11:$AL$4010,MATCH(102,$AZ$11:$AZ$4010,0)),""))</f>
        <v/>
      </c>
      <c r="AE112" s="26" t="str">
        <f>IFERROR(INDEX($AM$11:$AM$4010,MATCH(102,$AZ$11:$AZ$4010,0)),"")</f>
        <v/>
      </c>
      <c r="AF112" s="25" t="str">
        <f>IF(AE112="","",IFERROR(INDEX($AN$11:$AN$4010,MATCH(102,$AZ$11:$AZ$4010,0)),""))</f>
        <v/>
      </c>
      <c r="AG112" s="25" t="str">
        <f>IF(AE112="","",IFERROR(INDEX($AO$11:$AO$4010,MATCH(102,$AZ$11:$AZ$4010,0)),""))</f>
        <v/>
      </c>
      <c r="AH112" s="24" t="str">
        <f>IF(AE112="","",IFERROR(INDEX($AQ$11:$AQ$4010,MATCH(102,$AZ$11:$AZ$4010,0)),""))</f>
        <v/>
      </c>
      <c r="AI112" s="29" t="str">
        <f>IF(AE112="","",IFERROR(INDEX($AR$11:$AR$4010,MATCH(102,$AZ$11:$AZ$4010,0)),""))</f>
        <v/>
      </c>
      <c r="AJ112" s="29" t="str">
        <f>IF(AE112="","",IFERROR(INDEX($AT$11:$AT$4010,MATCH(102,$AZ$11:$AZ$4010,0)),""))</f>
        <v/>
      </c>
      <c r="AL112" s="31" t="str">
        <f t="shared" si="20"/>
        <v/>
      </c>
      <c r="AM112" s="26" t="str">
        <f t="shared" si="21"/>
        <v/>
      </c>
      <c r="AN112" s="32" t="str">
        <f t="shared" si="22"/>
        <v/>
      </c>
      <c r="AO112" s="32" t="str">
        <f t="shared" si="23"/>
        <v/>
      </c>
      <c r="AP112" s="24" t="str">
        <f t="shared" si="24"/>
        <v/>
      </c>
      <c r="AQ112" s="24" t="str">
        <f t="shared" si="25"/>
        <v/>
      </c>
      <c r="AR112" s="33" t="str">
        <f t="shared" si="26"/>
        <v/>
      </c>
      <c r="AS112" s="34"/>
      <c r="AT112" s="33"/>
      <c r="AV112" s="21">
        <f>IF(AND($AL112&lt;&gt;"",COUNTIF($AL$11:$AL112,$AL112)=1),1,0)</f>
        <v>0</v>
      </c>
      <c r="AW112" s="21">
        <f t="shared" si="28"/>
        <v>0</v>
      </c>
      <c r="AX112" s="21" t="str">
        <f t="shared" si="27"/>
        <v/>
      </c>
      <c r="AY112" s="21" t="str">
        <f>IF(AND($AM112&lt;&gt;"",$AS112&lt;&gt;"✓"),SUMPRODUCT(($AM$11:$AM112&lt;&gt;"")*($AS$11:$AS112&lt;&gt;"✓")),"")</f>
        <v/>
      </c>
      <c r="AZ112" s="21" t="str">
        <f>IF(AND($AM112&lt;&gt;"",$AS112="✓"),SUMPRODUCT(($AM$11:$AM112&lt;&gt;"")*($AS$11:$AS112="✓")),"")</f>
        <v/>
      </c>
      <c r="BA112" s="21" t="str">
        <f>IF($AL112="","",$AL112&amp;"|"&amp;COUNTIF($AL$11:$AL112,$AL112))</f>
        <v/>
      </c>
    </row>
    <row r="113" spans="2:53" ht="15" customHeight="1" x14ac:dyDescent="0.25">
      <c r="B113" s="5" t="str">
        <f t="shared" si="15"/>
        <v/>
      </c>
      <c r="C113" s="5"/>
      <c r="D113" s="5"/>
      <c r="E113" s="5"/>
      <c r="F113" s="6"/>
      <c r="G113" s="6"/>
      <c r="H113" s="7"/>
      <c r="I113" s="8"/>
      <c r="K113" s="9" t="str">
        <f>IFERROR(INDEX($AL$11:$AL$4010,MATCH(103,$AX$11:$AX$4010,0)),"")</f>
        <v/>
      </c>
      <c r="L113" s="10" t="str">
        <f t="shared" si="16"/>
        <v/>
      </c>
      <c r="M113" s="11" t="str">
        <f t="shared" si="17"/>
        <v/>
      </c>
      <c r="N113" s="11" t="str">
        <f t="shared" si="18"/>
        <v/>
      </c>
      <c r="P113" s="12" t="str">
        <f>IFERROR(INDEX($AM$11:$AM$4010,MATCH($S$8&amp;"|"&amp;103,$BA$11:$BA$4010,0)),"")</f>
        <v/>
      </c>
      <c r="Q113" s="11" t="str">
        <f>IF(P113="","",IFERROR(INDEX($AN$11:$AN$4010,MATCH($S$8&amp;"|"&amp;103,$BA$11:$BA$4010,0)),""))</f>
        <v/>
      </c>
      <c r="R113" s="11" t="str">
        <f>IF(P113="","",IFERROR(INDEX($AO$11:$AO$4010,MATCH($S$8&amp;"|"&amp;103,$BA$11:$BA$4010,0)),""))</f>
        <v/>
      </c>
      <c r="S113" s="10" t="str">
        <f>IF(P113="","",IFERROR(INDEX($AP$11:$AP$4010,MATCH($S$8&amp;"|"&amp;103,$BA$11:$BA$4010,0)),""))</f>
        <v/>
      </c>
      <c r="T113" s="10" t="str">
        <f>IF(P113="","",IFERROR(INDEX($AQ$11:$AQ$4010,MATCH($S$8&amp;"|"&amp;103,$BA$11:$BA$4010,0)),""))</f>
        <v/>
      </c>
      <c r="U113" s="39" t="str">
        <f t="shared" si="29"/>
        <v/>
      </c>
      <c r="W113" s="14" t="str">
        <f>IF(X113="","",IFERROR(INDEX($AL$11:$AL$4010,MATCH(103,$AY$11:$AY$4010,0)),""))</f>
        <v/>
      </c>
      <c r="X113" s="12" t="str">
        <f>IFERROR(INDEX($AM$11:$AM$4010,MATCH(103,$AY$11:$AY$4010,0)),"")</f>
        <v/>
      </c>
      <c r="Y113" s="11" t="str">
        <f>IF(X113="","",IFERROR(INDEX($AN$11:$AN$4010,MATCH(103,$AY$11:$AY$4010,0)),""))</f>
        <v/>
      </c>
      <c r="Z113" s="11" t="str">
        <f>IF(X113="","",IFERROR(INDEX($AO$11:$AO$4010,MATCH(103,$AY$11:$AY$4010,0)),""))</f>
        <v/>
      </c>
      <c r="AA113" s="10" t="str">
        <f>IF(X113="","",IFERROR(INDEX($AQ$11:$AQ$4010,MATCH(103,$AY$11:$AY$4010,0)),""))</f>
        <v/>
      </c>
      <c r="AB113" s="15" t="str">
        <f>IF(X113="","",IFERROR(INDEX($AR$11:$AR$4010,MATCH(103,$AY$11:$AY$4010,0)),""))</f>
        <v/>
      </c>
      <c r="AD113" s="16" t="str">
        <f>IF(AE113="","",IFERROR(INDEX($AL$11:$AL$4010,MATCH(103,$AZ$11:$AZ$4010,0)),""))</f>
        <v/>
      </c>
      <c r="AE113" s="12" t="str">
        <f>IFERROR(INDEX($AM$11:$AM$4010,MATCH(103,$AZ$11:$AZ$4010,0)),"")</f>
        <v/>
      </c>
      <c r="AF113" s="11" t="str">
        <f>IF(AE113="","",IFERROR(INDEX($AN$11:$AN$4010,MATCH(103,$AZ$11:$AZ$4010,0)),""))</f>
        <v/>
      </c>
      <c r="AG113" s="11" t="str">
        <f>IF(AE113="","",IFERROR(INDEX($AO$11:$AO$4010,MATCH(103,$AZ$11:$AZ$4010,0)),""))</f>
        <v/>
      </c>
      <c r="AH113" s="10" t="str">
        <f>IF(AE113="","",IFERROR(INDEX($AQ$11:$AQ$4010,MATCH(103,$AZ$11:$AZ$4010,0)),""))</f>
        <v/>
      </c>
      <c r="AI113" s="15" t="str">
        <f>IF(AE113="","",IFERROR(INDEX($AR$11:$AR$4010,MATCH(103,$AZ$11:$AZ$4010,0)),""))</f>
        <v/>
      </c>
      <c r="AJ113" s="15" t="str">
        <f>IF(AE113="","",IFERROR(INDEX($AT$11:$AT$4010,MATCH(103,$AZ$11:$AZ$4010,0)),""))</f>
        <v/>
      </c>
      <c r="AL113" s="17" t="str">
        <f t="shared" si="20"/>
        <v/>
      </c>
      <c r="AM113" s="12" t="str">
        <f t="shared" si="21"/>
        <v/>
      </c>
      <c r="AN113" s="18" t="str">
        <f t="shared" si="22"/>
        <v/>
      </c>
      <c r="AO113" s="18" t="str">
        <f t="shared" si="23"/>
        <v/>
      </c>
      <c r="AP113" s="10" t="str">
        <f t="shared" si="24"/>
        <v/>
      </c>
      <c r="AQ113" s="10" t="str">
        <f t="shared" si="25"/>
        <v/>
      </c>
      <c r="AR113" s="19" t="str">
        <f t="shared" si="26"/>
        <v/>
      </c>
      <c r="AS113" s="20"/>
      <c r="AT113" s="19"/>
      <c r="AV113" s="21">
        <f>IF(AND($AL113&lt;&gt;"",COUNTIF($AL$11:$AL113,$AL113)=1),1,0)</f>
        <v>0</v>
      </c>
      <c r="AW113" s="21">
        <f t="shared" si="28"/>
        <v>0</v>
      </c>
      <c r="AX113" s="21" t="str">
        <f t="shared" si="27"/>
        <v/>
      </c>
      <c r="AY113" s="21" t="str">
        <f>IF(AND($AM113&lt;&gt;"",$AS113&lt;&gt;"✓"),SUMPRODUCT(($AM$11:$AM113&lt;&gt;"")*($AS$11:$AS113&lt;&gt;"✓")),"")</f>
        <v/>
      </c>
      <c r="AZ113" s="21" t="str">
        <f>IF(AND($AM113&lt;&gt;"",$AS113="✓"),SUMPRODUCT(($AM$11:$AM113&lt;&gt;"")*($AS$11:$AS113="✓")),"")</f>
        <v/>
      </c>
      <c r="BA113" s="21" t="str">
        <f>IF($AL113="","",$AL113&amp;"|"&amp;COUNTIF($AL$11:$AL113,$AL113))</f>
        <v/>
      </c>
    </row>
    <row r="114" spans="2:53" ht="15" customHeight="1" x14ac:dyDescent="0.25">
      <c r="B114" s="5" t="str">
        <f t="shared" si="15"/>
        <v/>
      </c>
      <c r="C114" s="5"/>
      <c r="D114" s="5"/>
      <c r="E114" s="5"/>
      <c r="F114" s="6"/>
      <c r="G114" s="6"/>
      <c r="H114" s="7"/>
      <c r="I114" s="8"/>
      <c r="K114" s="23" t="str">
        <f>IFERROR(INDEX($AL$11:$AL$4010,MATCH(104,$AX$11:$AX$4010,0)),"")</f>
        <v/>
      </c>
      <c r="L114" s="24" t="str">
        <f t="shared" si="16"/>
        <v/>
      </c>
      <c r="M114" s="25" t="str">
        <f t="shared" si="17"/>
        <v/>
      </c>
      <c r="N114" s="25" t="str">
        <f t="shared" si="18"/>
        <v/>
      </c>
      <c r="P114" s="26" t="str">
        <f>IFERROR(INDEX($AM$11:$AM$4010,MATCH($S$8&amp;"|"&amp;104,$BA$11:$BA$4010,0)),"")</f>
        <v/>
      </c>
      <c r="Q114" s="25" t="str">
        <f>IF(P114="","",IFERROR(INDEX($AN$11:$AN$4010,MATCH($S$8&amp;"|"&amp;104,$BA$11:$BA$4010,0)),""))</f>
        <v/>
      </c>
      <c r="R114" s="25" t="str">
        <f>IF(P114="","",IFERROR(INDEX($AO$11:$AO$4010,MATCH($S$8&amp;"|"&amp;104,$BA$11:$BA$4010,0)),""))</f>
        <v/>
      </c>
      <c r="S114" s="24" t="str">
        <f>IF(P114="","",IFERROR(INDEX($AP$11:$AP$4010,MATCH($S$8&amp;"|"&amp;104,$BA$11:$BA$4010,0)),""))</f>
        <v/>
      </c>
      <c r="T114" s="24" t="str">
        <f>IF(P114="","",IFERROR(INDEX($AQ$11:$AQ$4010,MATCH($S$8&amp;"|"&amp;104,$BA$11:$BA$4010,0)),""))</f>
        <v/>
      </c>
      <c r="U114" s="38" t="str">
        <f t="shared" si="29"/>
        <v/>
      </c>
      <c r="W114" s="28" t="str">
        <f>IF(X114="","",IFERROR(INDEX($AL$11:$AL$4010,MATCH(104,$AY$11:$AY$4010,0)),""))</f>
        <v/>
      </c>
      <c r="X114" s="26" t="str">
        <f>IFERROR(INDEX($AM$11:$AM$4010,MATCH(104,$AY$11:$AY$4010,0)),"")</f>
        <v/>
      </c>
      <c r="Y114" s="25" t="str">
        <f>IF(X114="","",IFERROR(INDEX($AN$11:$AN$4010,MATCH(104,$AY$11:$AY$4010,0)),""))</f>
        <v/>
      </c>
      <c r="Z114" s="25" t="str">
        <f>IF(X114="","",IFERROR(INDEX($AO$11:$AO$4010,MATCH(104,$AY$11:$AY$4010,0)),""))</f>
        <v/>
      </c>
      <c r="AA114" s="24" t="str">
        <f>IF(X114="","",IFERROR(INDEX($AQ$11:$AQ$4010,MATCH(104,$AY$11:$AY$4010,0)),""))</f>
        <v/>
      </c>
      <c r="AB114" s="29" t="str">
        <f>IF(X114="","",IFERROR(INDEX($AR$11:$AR$4010,MATCH(104,$AY$11:$AY$4010,0)),""))</f>
        <v/>
      </c>
      <c r="AD114" s="30" t="str">
        <f>IF(AE114="","",IFERROR(INDEX($AL$11:$AL$4010,MATCH(104,$AZ$11:$AZ$4010,0)),""))</f>
        <v/>
      </c>
      <c r="AE114" s="26" t="str">
        <f>IFERROR(INDEX($AM$11:$AM$4010,MATCH(104,$AZ$11:$AZ$4010,0)),"")</f>
        <v/>
      </c>
      <c r="AF114" s="25" t="str">
        <f>IF(AE114="","",IFERROR(INDEX($AN$11:$AN$4010,MATCH(104,$AZ$11:$AZ$4010,0)),""))</f>
        <v/>
      </c>
      <c r="AG114" s="25" t="str">
        <f>IF(AE114="","",IFERROR(INDEX($AO$11:$AO$4010,MATCH(104,$AZ$11:$AZ$4010,0)),""))</f>
        <v/>
      </c>
      <c r="AH114" s="24" t="str">
        <f>IF(AE114="","",IFERROR(INDEX($AQ$11:$AQ$4010,MATCH(104,$AZ$11:$AZ$4010,0)),""))</f>
        <v/>
      </c>
      <c r="AI114" s="29" t="str">
        <f>IF(AE114="","",IFERROR(INDEX($AR$11:$AR$4010,MATCH(104,$AZ$11:$AZ$4010,0)),""))</f>
        <v/>
      </c>
      <c r="AJ114" s="29" t="str">
        <f>IF(AE114="","",IFERROR(INDEX($AT$11:$AT$4010,MATCH(104,$AZ$11:$AZ$4010,0)),""))</f>
        <v/>
      </c>
      <c r="AL114" s="31" t="str">
        <f t="shared" si="20"/>
        <v/>
      </c>
      <c r="AM114" s="26" t="str">
        <f t="shared" si="21"/>
        <v/>
      </c>
      <c r="AN114" s="32" t="str">
        <f t="shared" si="22"/>
        <v/>
      </c>
      <c r="AO114" s="32" t="str">
        <f t="shared" si="23"/>
        <v/>
      </c>
      <c r="AP114" s="24" t="str">
        <f t="shared" si="24"/>
        <v/>
      </c>
      <c r="AQ114" s="24" t="str">
        <f t="shared" si="25"/>
        <v/>
      </c>
      <c r="AR114" s="33" t="str">
        <f t="shared" si="26"/>
        <v/>
      </c>
      <c r="AS114" s="34"/>
      <c r="AT114" s="33"/>
      <c r="AV114" s="21">
        <f>IF(AND($AL114&lt;&gt;"",COUNTIF($AL$11:$AL114,$AL114)=1),1,0)</f>
        <v>0</v>
      </c>
      <c r="AW114" s="21">
        <f t="shared" si="28"/>
        <v>0</v>
      </c>
      <c r="AX114" s="21" t="str">
        <f t="shared" si="27"/>
        <v/>
      </c>
      <c r="AY114" s="21" t="str">
        <f>IF(AND($AM114&lt;&gt;"",$AS114&lt;&gt;"✓"),SUMPRODUCT(($AM$11:$AM114&lt;&gt;"")*($AS$11:$AS114&lt;&gt;"✓")),"")</f>
        <v/>
      </c>
      <c r="AZ114" s="21" t="str">
        <f>IF(AND($AM114&lt;&gt;"",$AS114="✓"),SUMPRODUCT(($AM$11:$AM114&lt;&gt;"")*($AS$11:$AS114="✓")),"")</f>
        <v/>
      </c>
      <c r="BA114" s="21" t="str">
        <f>IF($AL114="","",$AL114&amp;"|"&amp;COUNTIF($AL$11:$AL114,$AL114))</f>
        <v/>
      </c>
    </row>
    <row r="115" spans="2:53" ht="15" customHeight="1" x14ac:dyDescent="0.25">
      <c r="B115" s="5" t="str">
        <f t="shared" si="15"/>
        <v/>
      </c>
      <c r="C115" s="5"/>
      <c r="D115" s="5"/>
      <c r="E115" s="5"/>
      <c r="F115" s="6"/>
      <c r="G115" s="6"/>
      <c r="H115" s="7"/>
      <c r="I115" s="8"/>
      <c r="K115" s="9" t="str">
        <f>IFERROR(INDEX($AL$11:$AL$4010,MATCH(105,$AX$11:$AX$4010,0)),"")</f>
        <v/>
      </c>
      <c r="L115" s="10" t="str">
        <f t="shared" si="16"/>
        <v/>
      </c>
      <c r="M115" s="11" t="str">
        <f t="shared" si="17"/>
        <v/>
      </c>
      <c r="N115" s="11" t="str">
        <f t="shared" si="18"/>
        <v/>
      </c>
      <c r="P115" s="12" t="str">
        <f>IFERROR(INDEX($AM$11:$AM$4010,MATCH($S$8&amp;"|"&amp;105,$BA$11:$BA$4010,0)),"")</f>
        <v/>
      </c>
      <c r="Q115" s="11" t="str">
        <f>IF(P115="","",IFERROR(INDEX($AN$11:$AN$4010,MATCH($S$8&amp;"|"&amp;105,$BA$11:$BA$4010,0)),""))</f>
        <v/>
      </c>
      <c r="R115" s="11" t="str">
        <f>IF(P115="","",IFERROR(INDEX($AO$11:$AO$4010,MATCH($S$8&amp;"|"&amp;105,$BA$11:$BA$4010,0)),""))</f>
        <v/>
      </c>
      <c r="S115" s="10" t="str">
        <f>IF(P115="","",IFERROR(INDEX($AP$11:$AP$4010,MATCH($S$8&amp;"|"&amp;105,$BA$11:$BA$4010,0)),""))</f>
        <v/>
      </c>
      <c r="T115" s="10" t="str">
        <f>IF(P115="","",IFERROR(INDEX($AQ$11:$AQ$4010,MATCH($S$8&amp;"|"&amp;105,$BA$11:$BA$4010,0)),""))</f>
        <v/>
      </c>
      <c r="U115" s="39" t="str">
        <f t="shared" si="29"/>
        <v/>
      </c>
      <c r="W115" s="14" t="str">
        <f>IF(X115="","",IFERROR(INDEX($AL$11:$AL$4010,MATCH(105,$AY$11:$AY$4010,0)),""))</f>
        <v/>
      </c>
      <c r="X115" s="12" t="str">
        <f>IFERROR(INDEX($AM$11:$AM$4010,MATCH(105,$AY$11:$AY$4010,0)),"")</f>
        <v/>
      </c>
      <c r="Y115" s="11" t="str">
        <f>IF(X115="","",IFERROR(INDEX($AN$11:$AN$4010,MATCH(105,$AY$11:$AY$4010,0)),""))</f>
        <v/>
      </c>
      <c r="Z115" s="11" t="str">
        <f>IF(X115="","",IFERROR(INDEX($AO$11:$AO$4010,MATCH(105,$AY$11:$AY$4010,0)),""))</f>
        <v/>
      </c>
      <c r="AA115" s="10" t="str">
        <f>IF(X115="","",IFERROR(INDEX($AQ$11:$AQ$4010,MATCH(105,$AY$11:$AY$4010,0)),""))</f>
        <v/>
      </c>
      <c r="AB115" s="15" t="str">
        <f>IF(X115="","",IFERROR(INDEX($AR$11:$AR$4010,MATCH(105,$AY$11:$AY$4010,0)),""))</f>
        <v/>
      </c>
      <c r="AD115" s="16" t="str">
        <f>IF(AE115="","",IFERROR(INDEX($AL$11:$AL$4010,MATCH(105,$AZ$11:$AZ$4010,0)),""))</f>
        <v/>
      </c>
      <c r="AE115" s="12" t="str">
        <f>IFERROR(INDEX($AM$11:$AM$4010,MATCH(105,$AZ$11:$AZ$4010,0)),"")</f>
        <v/>
      </c>
      <c r="AF115" s="11" t="str">
        <f>IF(AE115="","",IFERROR(INDEX($AN$11:$AN$4010,MATCH(105,$AZ$11:$AZ$4010,0)),""))</f>
        <v/>
      </c>
      <c r="AG115" s="11" t="str">
        <f>IF(AE115="","",IFERROR(INDEX($AO$11:$AO$4010,MATCH(105,$AZ$11:$AZ$4010,0)),""))</f>
        <v/>
      </c>
      <c r="AH115" s="10" t="str">
        <f>IF(AE115="","",IFERROR(INDEX($AQ$11:$AQ$4010,MATCH(105,$AZ$11:$AZ$4010,0)),""))</f>
        <v/>
      </c>
      <c r="AI115" s="15" t="str">
        <f>IF(AE115="","",IFERROR(INDEX($AR$11:$AR$4010,MATCH(105,$AZ$11:$AZ$4010,0)),""))</f>
        <v/>
      </c>
      <c r="AJ115" s="15" t="str">
        <f>IF(AE115="","",IFERROR(INDEX($AT$11:$AT$4010,MATCH(105,$AZ$11:$AZ$4010,0)),""))</f>
        <v/>
      </c>
      <c r="AL115" s="17" t="str">
        <f t="shared" si="20"/>
        <v/>
      </c>
      <c r="AM115" s="12" t="str">
        <f t="shared" si="21"/>
        <v/>
      </c>
      <c r="AN115" s="18" t="str">
        <f t="shared" si="22"/>
        <v/>
      </c>
      <c r="AO115" s="18" t="str">
        <f t="shared" si="23"/>
        <v/>
      </c>
      <c r="AP115" s="10" t="str">
        <f t="shared" si="24"/>
        <v/>
      </c>
      <c r="AQ115" s="10" t="str">
        <f t="shared" si="25"/>
        <v/>
      </c>
      <c r="AR115" s="19" t="str">
        <f t="shared" si="26"/>
        <v/>
      </c>
      <c r="AS115" s="20"/>
      <c r="AT115" s="19"/>
      <c r="AV115" s="21">
        <f>IF(AND($AL115&lt;&gt;"",COUNTIF($AL$11:$AL115,$AL115)=1),1,0)</f>
        <v>0</v>
      </c>
      <c r="AW115" s="21">
        <f t="shared" si="28"/>
        <v>0</v>
      </c>
      <c r="AX115" s="21" t="str">
        <f t="shared" si="27"/>
        <v/>
      </c>
      <c r="AY115" s="21" t="str">
        <f>IF(AND($AM115&lt;&gt;"",$AS115&lt;&gt;"✓"),SUMPRODUCT(($AM$11:$AM115&lt;&gt;"")*($AS$11:$AS115&lt;&gt;"✓")),"")</f>
        <v/>
      </c>
      <c r="AZ115" s="21" t="str">
        <f>IF(AND($AM115&lt;&gt;"",$AS115="✓"),SUMPRODUCT(($AM$11:$AM115&lt;&gt;"")*($AS$11:$AS115="✓")),"")</f>
        <v/>
      </c>
      <c r="BA115" s="21" t="str">
        <f>IF($AL115="","",$AL115&amp;"|"&amp;COUNTIF($AL$11:$AL115,$AL115))</f>
        <v/>
      </c>
    </row>
    <row r="116" spans="2:53" ht="15" customHeight="1" x14ac:dyDescent="0.25">
      <c r="B116" s="5" t="str">
        <f t="shared" si="15"/>
        <v/>
      </c>
      <c r="C116" s="5"/>
      <c r="D116" s="5"/>
      <c r="E116" s="5"/>
      <c r="F116" s="6"/>
      <c r="G116" s="6"/>
      <c r="H116" s="7"/>
      <c r="I116" s="8"/>
      <c r="K116" s="23" t="str">
        <f>IFERROR(INDEX($AL$11:$AL$4010,MATCH(106,$AX$11:$AX$4010,0)),"")</f>
        <v/>
      </c>
      <c r="L116" s="24" t="str">
        <f t="shared" si="16"/>
        <v/>
      </c>
      <c r="M116" s="25" t="str">
        <f t="shared" si="17"/>
        <v/>
      </c>
      <c r="N116" s="25" t="str">
        <f t="shared" si="18"/>
        <v/>
      </c>
      <c r="P116" s="26" t="str">
        <f>IFERROR(INDEX($AM$11:$AM$4010,MATCH($S$8&amp;"|"&amp;106,$BA$11:$BA$4010,0)),"")</f>
        <v/>
      </c>
      <c r="Q116" s="25" t="str">
        <f>IF(P116="","",IFERROR(INDEX($AN$11:$AN$4010,MATCH($S$8&amp;"|"&amp;106,$BA$11:$BA$4010,0)),""))</f>
        <v/>
      </c>
      <c r="R116" s="25" t="str">
        <f>IF(P116="","",IFERROR(INDEX($AO$11:$AO$4010,MATCH($S$8&amp;"|"&amp;106,$BA$11:$BA$4010,0)),""))</f>
        <v/>
      </c>
      <c r="S116" s="24" t="str">
        <f>IF(P116="","",IFERROR(INDEX($AP$11:$AP$4010,MATCH($S$8&amp;"|"&amp;106,$BA$11:$BA$4010,0)),""))</f>
        <v/>
      </c>
      <c r="T116" s="24" t="str">
        <f>IF(P116="","",IFERROR(INDEX($AQ$11:$AQ$4010,MATCH($S$8&amp;"|"&amp;106,$BA$11:$BA$4010,0)),""))</f>
        <v/>
      </c>
      <c r="U116" s="38" t="str">
        <f t="shared" si="29"/>
        <v/>
      </c>
      <c r="W116" s="28" t="str">
        <f>IF(X116="","",IFERROR(INDEX($AL$11:$AL$4010,MATCH(106,$AY$11:$AY$4010,0)),""))</f>
        <v/>
      </c>
      <c r="X116" s="26" t="str">
        <f>IFERROR(INDEX($AM$11:$AM$4010,MATCH(106,$AY$11:$AY$4010,0)),"")</f>
        <v/>
      </c>
      <c r="Y116" s="25" t="str">
        <f>IF(X116="","",IFERROR(INDEX($AN$11:$AN$4010,MATCH(106,$AY$11:$AY$4010,0)),""))</f>
        <v/>
      </c>
      <c r="Z116" s="25" t="str">
        <f>IF(X116="","",IFERROR(INDEX($AO$11:$AO$4010,MATCH(106,$AY$11:$AY$4010,0)),""))</f>
        <v/>
      </c>
      <c r="AA116" s="24" t="str">
        <f>IF(X116="","",IFERROR(INDEX($AQ$11:$AQ$4010,MATCH(106,$AY$11:$AY$4010,0)),""))</f>
        <v/>
      </c>
      <c r="AB116" s="29" t="str">
        <f>IF(X116="","",IFERROR(INDEX($AR$11:$AR$4010,MATCH(106,$AY$11:$AY$4010,0)),""))</f>
        <v/>
      </c>
      <c r="AD116" s="30" t="str">
        <f>IF(AE116="","",IFERROR(INDEX($AL$11:$AL$4010,MATCH(106,$AZ$11:$AZ$4010,0)),""))</f>
        <v/>
      </c>
      <c r="AE116" s="26" t="str">
        <f>IFERROR(INDEX($AM$11:$AM$4010,MATCH(106,$AZ$11:$AZ$4010,0)),"")</f>
        <v/>
      </c>
      <c r="AF116" s="25" t="str">
        <f>IF(AE116="","",IFERROR(INDEX($AN$11:$AN$4010,MATCH(106,$AZ$11:$AZ$4010,0)),""))</f>
        <v/>
      </c>
      <c r="AG116" s="25" t="str">
        <f>IF(AE116="","",IFERROR(INDEX($AO$11:$AO$4010,MATCH(106,$AZ$11:$AZ$4010,0)),""))</f>
        <v/>
      </c>
      <c r="AH116" s="24" t="str">
        <f>IF(AE116="","",IFERROR(INDEX($AQ$11:$AQ$4010,MATCH(106,$AZ$11:$AZ$4010,0)),""))</f>
        <v/>
      </c>
      <c r="AI116" s="29" t="str">
        <f>IF(AE116="","",IFERROR(INDEX($AR$11:$AR$4010,MATCH(106,$AZ$11:$AZ$4010,0)),""))</f>
        <v/>
      </c>
      <c r="AJ116" s="29" t="str">
        <f>IF(AE116="","",IFERROR(INDEX($AT$11:$AT$4010,MATCH(106,$AZ$11:$AZ$4010,0)),""))</f>
        <v/>
      </c>
      <c r="AL116" s="31" t="str">
        <f t="shared" si="20"/>
        <v/>
      </c>
      <c r="AM116" s="26" t="str">
        <f t="shared" si="21"/>
        <v/>
      </c>
      <c r="AN116" s="32" t="str">
        <f t="shared" si="22"/>
        <v/>
      </c>
      <c r="AO116" s="32" t="str">
        <f t="shared" si="23"/>
        <v/>
      </c>
      <c r="AP116" s="24" t="str">
        <f t="shared" si="24"/>
        <v/>
      </c>
      <c r="AQ116" s="24" t="str">
        <f t="shared" si="25"/>
        <v/>
      </c>
      <c r="AR116" s="33" t="str">
        <f t="shared" si="26"/>
        <v/>
      </c>
      <c r="AS116" s="34"/>
      <c r="AT116" s="33"/>
      <c r="AV116" s="21">
        <f>IF(AND($AL116&lt;&gt;"",COUNTIF($AL$11:$AL116,$AL116)=1),1,0)</f>
        <v>0</v>
      </c>
      <c r="AW116" s="21">
        <f t="shared" si="28"/>
        <v>0</v>
      </c>
      <c r="AX116" s="21" t="str">
        <f t="shared" si="27"/>
        <v/>
      </c>
      <c r="AY116" s="21" t="str">
        <f>IF(AND($AM116&lt;&gt;"",$AS116&lt;&gt;"✓"),SUMPRODUCT(($AM$11:$AM116&lt;&gt;"")*($AS$11:$AS116&lt;&gt;"✓")),"")</f>
        <v/>
      </c>
      <c r="AZ116" s="21" t="str">
        <f>IF(AND($AM116&lt;&gt;"",$AS116="✓"),SUMPRODUCT(($AM$11:$AM116&lt;&gt;"")*($AS$11:$AS116="✓")),"")</f>
        <v/>
      </c>
      <c r="BA116" s="21" t="str">
        <f>IF($AL116="","",$AL116&amp;"|"&amp;COUNTIF($AL$11:$AL116,$AL116))</f>
        <v/>
      </c>
    </row>
    <row r="117" spans="2:53" ht="15" customHeight="1" x14ac:dyDescent="0.25">
      <c r="B117" s="5" t="str">
        <f t="shared" si="15"/>
        <v/>
      </c>
      <c r="C117" s="5"/>
      <c r="D117" s="5"/>
      <c r="E117" s="5"/>
      <c r="F117" s="6"/>
      <c r="G117" s="6"/>
      <c r="H117" s="7"/>
      <c r="I117" s="8"/>
      <c r="K117" s="9" t="str">
        <f>IFERROR(INDEX($AL$11:$AL$4010,MATCH(107,$AX$11:$AX$4010,0)),"")</f>
        <v/>
      </c>
      <c r="L117" s="10" t="str">
        <f t="shared" si="16"/>
        <v/>
      </c>
      <c r="M117" s="11" t="str">
        <f t="shared" si="17"/>
        <v/>
      </c>
      <c r="N117" s="11" t="str">
        <f t="shared" si="18"/>
        <v/>
      </c>
      <c r="P117" s="12" t="str">
        <f>IFERROR(INDEX($AM$11:$AM$4010,MATCH($S$8&amp;"|"&amp;107,$BA$11:$BA$4010,0)),"")</f>
        <v/>
      </c>
      <c r="Q117" s="11" t="str">
        <f>IF(P117="","",IFERROR(INDEX($AN$11:$AN$4010,MATCH($S$8&amp;"|"&amp;107,$BA$11:$BA$4010,0)),""))</f>
        <v/>
      </c>
      <c r="R117" s="11" t="str">
        <f>IF(P117="","",IFERROR(INDEX($AO$11:$AO$4010,MATCH($S$8&amp;"|"&amp;107,$BA$11:$BA$4010,0)),""))</f>
        <v/>
      </c>
      <c r="S117" s="10" t="str">
        <f>IF(P117="","",IFERROR(INDEX($AP$11:$AP$4010,MATCH($S$8&amp;"|"&amp;107,$BA$11:$BA$4010,0)),""))</f>
        <v/>
      </c>
      <c r="T117" s="10" t="str">
        <f>IF(P117="","",IFERROR(INDEX($AQ$11:$AQ$4010,MATCH($S$8&amp;"|"&amp;107,$BA$11:$BA$4010,0)),""))</f>
        <v/>
      </c>
      <c r="U117" s="39" t="str">
        <f t="shared" si="29"/>
        <v/>
      </c>
      <c r="W117" s="14" t="str">
        <f>IF(X117="","",IFERROR(INDEX($AL$11:$AL$4010,MATCH(107,$AY$11:$AY$4010,0)),""))</f>
        <v/>
      </c>
      <c r="X117" s="12" t="str">
        <f>IFERROR(INDEX($AM$11:$AM$4010,MATCH(107,$AY$11:$AY$4010,0)),"")</f>
        <v/>
      </c>
      <c r="Y117" s="11" t="str">
        <f>IF(X117="","",IFERROR(INDEX($AN$11:$AN$4010,MATCH(107,$AY$11:$AY$4010,0)),""))</f>
        <v/>
      </c>
      <c r="Z117" s="11" t="str">
        <f>IF(X117="","",IFERROR(INDEX($AO$11:$AO$4010,MATCH(107,$AY$11:$AY$4010,0)),""))</f>
        <v/>
      </c>
      <c r="AA117" s="10" t="str">
        <f>IF(X117="","",IFERROR(INDEX($AQ$11:$AQ$4010,MATCH(107,$AY$11:$AY$4010,0)),""))</f>
        <v/>
      </c>
      <c r="AB117" s="15" t="str">
        <f>IF(X117="","",IFERROR(INDEX($AR$11:$AR$4010,MATCH(107,$AY$11:$AY$4010,0)),""))</f>
        <v/>
      </c>
      <c r="AD117" s="16" t="str">
        <f>IF(AE117="","",IFERROR(INDEX($AL$11:$AL$4010,MATCH(107,$AZ$11:$AZ$4010,0)),""))</f>
        <v/>
      </c>
      <c r="AE117" s="12" t="str">
        <f>IFERROR(INDEX($AM$11:$AM$4010,MATCH(107,$AZ$11:$AZ$4010,0)),"")</f>
        <v/>
      </c>
      <c r="AF117" s="11" t="str">
        <f>IF(AE117="","",IFERROR(INDEX($AN$11:$AN$4010,MATCH(107,$AZ$11:$AZ$4010,0)),""))</f>
        <v/>
      </c>
      <c r="AG117" s="11" t="str">
        <f>IF(AE117="","",IFERROR(INDEX($AO$11:$AO$4010,MATCH(107,$AZ$11:$AZ$4010,0)),""))</f>
        <v/>
      </c>
      <c r="AH117" s="10" t="str">
        <f>IF(AE117="","",IFERROR(INDEX($AQ$11:$AQ$4010,MATCH(107,$AZ$11:$AZ$4010,0)),""))</f>
        <v/>
      </c>
      <c r="AI117" s="15" t="str">
        <f>IF(AE117="","",IFERROR(INDEX($AR$11:$AR$4010,MATCH(107,$AZ$11:$AZ$4010,0)),""))</f>
        <v/>
      </c>
      <c r="AJ117" s="15" t="str">
        <f>IF(AE117="","",IFERROR(INDEX($AT$11:$AT$4010,MATCH(107,$AZ$11:$AZ$4010,0)),""))</f>
        <v/>
      </c>
      <c r="AL117" s="17" t="str">
        <f t="shared" si="20"/>
        <v/>
      </c>
      <c r="AM117" s="12" t="str">
        <f t="shared" si="21"/>
        <v/>
      </c>
      <c r="AN117" s="18" t="str">
        <f t="shared" si="22"/>
        <v/>
      </c>
      <c r="AO117" s="18" t="str">
        <f t="shared" si="23"/>
        <v/>
      </c>
      <c r="AP117" s="10" t="str">
        <f t="shared" si="24"/>
        <v/>
      </c>
      <c r="AQ117" s="10" t="str">
        <f t="shared" si="25"/>
        <v/>
      </c>
      <c r="AR117" s="19" t="str">
        <f t="shared" si="26"/>
        <v/>
      </c>
      <c r="AS117" s="20"/>
      <c r="AT117" s="19"/>
      <c r="AV117" s="21">
        <f>IF(AND($AL117&lt;&gt;"",COUNTIF($AL$11:$AL117,$AL117)=1),1,0)</f>
        <v>0</v>
      </c>
      <c r="AW117" s="21">
        <f t="shared" si="28"/>
        <v>0</v>
      </c>
      <c r="AX117" s="21" t="str">
        <f t="shared" si="27"/>
        <v/>
      </c>
      <c r="AY117" s="21" t="str">
        <f>IF(AND($AM117&lt;&gt;"",$AS117&lt;&gt;"✓"),SUMPRODUCT(($AM$11:$AM117&lt;&gt;"")*($AS$11:$AS117&lt;&gt;"✓")),"")</f>
        <v/>
      </c>
      <c r="AZ117" s="21" t="str">
        <f>IF(AND($AM117&lt;&gt;"",$AS117="✓"),SUMPRODUCT(($AM$11:$AM117&lt;&gt;"")*($AS$11:$AS117="✓")),"")</f>
        <v/>
      </c>
      <c r="BA117" s="21" t="str">
        <f>IF($AL117="","",$AL117&amp;"|"&amp;COUNTIF($AL$11:$AL117,$AL117))</f>
        <v/>
      </c>
    </row>
    <row r="118" spans="2:53" ht="15" customHeight="1" x14ac:dyDescent="0.25">
      <c r="B118" s="5" t="str">
        <f t="shared" si="15"/>
        <v/>
      </c>
      <c r="C118" s="5"/>
      <c r="D118" s="5"/>
      <c r="E118" s="5"/>
      <c r="F118" s="6"/>
      <c r="G118" s="6"/>
      <c r="H118" s="7"/>
      <c r="I118" s="8"/>
      <c r="K118" s="23" t="str">
        <f>IFERROR(INDEX($AL$11:$AL$4010,MATCH(108,$AX$11:$AX$4010,0)),"")</f>
        <v/>
      </c>
      <c r="L118" s="24" t="str">
        <f t="shared" si="16"/>
        <v/>
      </c>
      <c r="M118" s="25" t="str">
        <f t="shared" si="17"/>
        <v/>
      </c>
      <c r="N118" s="25" t="str">
        <f t="shared" si="18"/>
        <v/>
      </c>
      <c r="P118" s="26" t="str">
        <f>IFERROR(INDEX($AM$11:$AM$4010,MATCH($S$8&amp;"|"&amp;108,$BA$11:$BA$4010,0)),"")</f>
        <v/>
      </c>
      <c r="Q118" s="25" t="str">
        <f>IF(P118="","",IFERROR(INDEX($AN$11:$AN$4010,MATCH($S$8&amp;"|"&amp;108,$BA$11:$BA$4010,0)),""))</f>
        <v/>
      </c>
      <c r="R118" s="25" t="str">
        <f>IF(P118="","",IFERROR(INDEX($AO$11:$AO$4010,MATCH($S$8&amp;"|"&amp;108,$BA$11:$BA$4010,0)),""))</f>
        <v/>
      </c>
      <c r="S118" s="24" t="str">
        <f>IF(P118="","",IFERROR(INDEX($AP$11:$AP$4010,MATCH($S$8&amp;"|"&amp;108,$BA$11:$BA$4010,0)),""))</f>
        <v/>
      </c>
      <c r="T118" s="24" t="str">
        <f>IF(P118="","",IFERROR(INDEX($AQ$11:$AQ$4010,MATCH($S$8&amp;"|"&amp;108,$BA$11:$BA$4010,0)),""))</f>
        <v/>
      </c>
      <c r="U118" s="38" t="str">
        <f t="shared" si="29"/>
        <v/>
      </c>
      <c r="W118" s="28" t="str">
        <f>IF(X118="","",IFERROR(INDEX($AL$11:$AL$4010,MATCH(108,$AY$11:$AY$4010,0)),""))</f>
        <v/>
      </c>
      <c r="X118" s="26" t="str">
        <f>IFERROR(INDEX($AM$11:$AM$4010,MATCH(108,$AY$11:$AY$4010,0)),"")</f>
        <v/>
      </c>
      <c r="Y118" s="25" t="str">
        <f>IF(X118="","",IFERROR(INDEX($AN$11:$AN$4010,MATCH(108,$AY$11:$AY$4010,0)),""))</f>
        <v/>
      </c>
      <c r="Z118" s="25" t="str">
        <f>IF(X118="","",IFERROR(INDEX($AO$11:$AO$4010,MATCH(108,$AY$11:$AY$4010,0)),""))</f>
        <v/>
      </c>
      <c r="AA118" s="24" t="str">
        <f>IF(X118="","",IFERROR(INDEX($AQ$11:$AQ$4010,MATCH(108,$AY$11:$AY$4010,0)),""))</f>
        <v/>
      </c>
      <c r="AB118" s="29" t="str">
        <f>IF(X118="","",IFERROR(INDEX($AR$11:$AR$4010,MATCH(108,$AY$11:$AY$4010,0)),""))</f>
        <v/>
      </c>
      <c r="AD118" s="30" t="str">
        <f>IF(AE118="","",IFERROR(INDEX($AL$11:$AL$4010,MATCH(108,$AZ$11:$AZ$4010,0)),""))</f>
        <v/>
      </c>
      <c r="AE118" s="26" t="str">
        <f>IFERROR(INDEX($AM$11:$AM$4010,MATCH(108,$AZ$11:$AZ$4010,0)),"")</f>
        <v/>
      </c>
      <c r="AF118" s="25" t="str">
        <f>IF(AE118="","",IFERROR(INDEX($AN$11:$AN$4010,MATCH(108,$AZ$11:$AZ$4010,0)),""))</f>
        <v/>
      </c>
      <c r="AG118" s="25" t="str">
        <f>IF(AE118="","",IFERROR(INDEX($AO$11:$AO$4010,MATCH(108,$AZ$11:$AZ$4010,0)),""))</f>
        <v/>
      </c>
      <c r="AH118" s="24" t="str">
        <f>IF(AE118="","",IFERROR(INDEX($AQ$11:$AQ$4010,MATCH(108,$AZ$11:$AZ$4010,0)),""))</f>
        <v/>
      </c>
      <c r="AI118" s="29" t="str">
        <f>IF(AE118="","",IFERROR(INDEX($AR$11:$AR$4010,MATCH(108,$AZ$11:$AZ$4010,0)),""))</f>
        <v/>
      </c>
      <c r="AJ118" s="29" t="str">
        <f>IF(AE118="","",IFERROR(INDEX($AT$11:$AT$4010,MATCH(108,$AZ$11:$AZ$4010,0)),""))</f>
        <v/>
      </c>
      <c r="AL118" s="31" t="str">
        <f t="shared" si="20"/>
        <v/>
      </c>
      <c r="AM118" s="26" t="str">
        <f t="shared" si="21"/>
        <v/>
      </c>
      <c r="AN118" s="32" t="str">
        <f t="shared" si="22"/>
        <v/>
      </c>
      <c r="AO118" s="32" t="str">
        <f t="shared" si="23"/>
        <v/>
      </c>
      <c r="AP118" s="24" t="str">
        <f t="shared" si="24"/>
        <v/>
      </c>
      <c r="AQ118" s="24" t="str">
        <f t="shared" si="25"/>
        <v/>
      </c>
      <c r="AR118" s="33" t="str">
        <f t="shared" si="26"/>
        <v/>
      </c>
      <c r="AS118" s="34"/>
      <c r="AT118" s="33"/>
      <c r="AV118" s="21">
        <f>IF(AND($AL118&lt;&gt;"",COUNTIF($AL$11:$AL118,$AL118)=1),1,0)</f>
        <v>0</v>
      </c>
      <c r="AW118" s="21">
        <f t="shared" si="28"/>
        <v>0</v>
      </c>
      <c r="AX118" s="21" t="str">
        <f t="shared" si="27"/>
        <v/>
      </c>
      <c r="AY118" s="21" t="str">
        <f>IF(AND($AM118&lt;&gt;"",$AS118&lt;&gt;"✓"),SUMPRODUCT(($AM$11:$AM118&lt;&gt;"")*($AS$11:$AS118&lt;&gt;"✓")),"")</f>
        <v/>
      </c>
      <c r="AZ118" s="21" t="str">
        <f>IF(AND($AM118&lt;&gt;"",$AS118="✓"),SUMPRODUCT(($AM$11:$AM118&lt;&gt;"")*($AS$11:$AS118="✓")),"")</f>
        <v/>
      </c>
      <c r="BA118" s="21" t="str">
        <f>IF($AL118="","",$AL118&amp;"|"&amp;COUNTIF($AL$11:$AL118,$AL118))</f>
        <v/>
      </c>
    </row>
    <row r="119" spans="2:53" ht="15" customHeight="1" x14ac:dyDescent="0.25">
      <c r="B119" s="5" t="str">
        <f t="shared" si="15"/>
        <v/>
      </c>
      <c r="C119" s="5"/>
      <c r="D119" s="5"/>
      <c r="E119" s="5"/>
      <c r="F119" s="6"/>
      <c r="G119" s="6"/>
      <c r="H119" s="7"/>
      <c r="I119" s="8"/>
      <c r="K119" s="9" t="str">
        <f>IFERROR(INDEX($AL$11:$AL$4010,MATCH(109,$AX$11:$AX$4010,0)),"")</f>
        <v/>
      </c>
      <c r="L119" s="10" t="str">
        <f t="shared" si="16"/>
        <v/>
      </c>
      <c r="M119" s="11" t="str">
        <f t="shared" si="17"/>
        <v/>
      </c>
      <c r="N119" s="11" t="str">
        <f t="shared" si="18"/>
        <v/>
      </c>
      <c r="P119" s="12" t="str">
        <f>IFERROR(INDEX($AM$11:$AM$4010,MATCH($S$8&amp;"|"&amp;109,$BA$11:$BA$4010,0)),"")</f>
        <v/>
      </c>
      <c r="Q119" s="11" t="str">
        <f>IF(P119="","",IFERROR(INDEX($AN$11:$AN$4010,MATCH($S$8&amp;"|"&amp;109,$BA$11:$BA$4010,0)),""))</f>
        <v/>
      </c>
      <c r="R119" s="11" t="str">
        <f>IF(P119="","",IFERROR(INDEX($AO$11:$AO$4010,MATCH($S$8&amp;"|"&amp;109,$BA$11:$BA$4010,0)),""))</f>
        <v/>
      </c>
      <c r="S119" s="10" t="str">
        <f>IF(P119="","",IFERROR(INDEX($AP$11:$AP$4010,MATCH($S$8&amp;"|"&amp;109,$BA$11:$BA$4010,0)),""))</f>
        <v/>
      </c>
      <c r="T119" s="10" t="str">
        <f>IF(P119="","",IFERROR(INDEX($AQ$11:$AQ$4010,MATCH($S$8&amp;"|"&amp;109,$BA$11:$BA$4010,0)),""))</f>
        <v/>
      </c>
      <c r="U119" s="39" t="str">
        <f t="shared" si="29"/>
        <v/>
      </c>
      <c r="W119" s="14" t="str">
        <f>IF(X119="","",IFERROR(INDEX($AL$11:$AL$4010,MATCH(109,$AY$11:$AY$4010,0)),""))</f>
        <v/>
      </c>
      <c r="X119" s="12" t="str">
        <f>IFERROR(INDEX($AM$11:$AM$4010,MATCH(109,$AY$11:$AY$4010,0)),"")</f>
        <v/>
      </c>
      <c r="Y119" s="11" t="str">
        <f>IF(X119="","",IFERROR(INDEX($AN$11:$AN$4010,MATCH(109,$AY$11:$AY$4010,0)),""))</f>
        <v/>
      </c>
      <c r="Z119" s="11" t="str">
        <f>IF(X119="","",IFERROR(INDEX($AO$11:$AO$4010,MATCH(109,$AY$11:$AY$4010,0)),""))</f>
        <v/>
      </c>
      <c r="AA119" s="10" t="str">
        <f>IF(X119="","",IFERROR(INDEX($AQ$11:$AQ$4010,MATCH(109,$AY$11:$AY$4010,0)),""))</f>
        <v/>
      </c>
      <c r="AB119" s="15" t="str">
        <f>IF(X119="","",IFERROR(INDEX($AR$11:$AR$4010,MATCH(109,$AY$11:$AY$4010,0)),""))</f>
        <v/>
      </c>
      <c r="AD119" s="16" t="str">
        <f>IF(AE119="","",IFERROR(INDEX($AL$11:$AL$4010,MATCH(109,$AZ$11:$AZ$4010,0)),""))</f>
        <v/>
      </c>
      <c r="AE119" s="12" t="str">
        <f>IFERROR(INDEX($AM$11:$AM$4010,MATCH(109,$AZ$11:$AZ$4010,0)),"")</f>
        <v/>
      </c>
      <c r="AF119" s="11" t="str">
        <f>IF(AE119="","",IFERROR(INDEX($AN$11:$AN$4010,MATCH(109,$AZ$11:$AZ$4010,0)),""))</f>
        <v/>
      </c>
      <c r="AG119" s="11" t="str">
        <f>IF(AE119="","",IFERROR(INDEX($AO$11:$AO$4010,MATCH(109,$AZ$11:$AZ$4010,0)),""))</f>
        <v/>
      </c>
      <c r="AH119" s="10" t="str">
        <f>IF(AE119="","",IFERROR(INDEX($AQ$11:$AQ$4010,MATCH(109,$AZ$11:$AZ$4010,0)),""))</f>
        <v/>
      </c>
      <c r="AI119" s="15" t="str">
        <f>IF(AE119="","",IFERROR(INDEX($AR$11:$AR$4010,MATCH(109,$AZ$11:$AZ$4010,0)),""))</f>
        <v/>
      </c>
      <c r="AJ119" s="15" t="str">
        <f>IF(AE119="","",IFERROR(INDEX($AT$11:$AT$4010,MATCH(109,$AZ$11:$AZ$4010,0)),""))</f>
        <v/>
      </c>
      <c r="AL119" s="17" t="str">
        <f t="shared" si="20"/>
        <v/>
      </c>
      <c r="AM119" s="12" t="str">
        <f t="shared" si="21"/>
        <v/>
      </c>
      <c r="AN119" s="18" t="str">
        <f t="shared" si="22"/>
        <v/>
      </c>
      <c r="AO119" s="18" t="str">
        <f t="shared" si="23"/>
        <v/>
      </c>
      <c r="AP119" s="10" t="str">
        <f t="shared" si="24"/>
        <v/>
      </c>
      <c r="AQ119" s="10" t="str">
        <f t="shared" si="25"/>
        <v/>
      </c>
      <c r="AR119" s="19" t="str">
        <f t="shared" si="26"/>
        <v/>
      </c>
      <c r="AS119" s="20"/>
      <c r="AT119" s="19"/>
      <c r="AV119" s="21">
        <f>IF(AND($AL119&lt;&gt;"",COUNTIF($AL$11:$AL119,$AL119)=1),1,0)</f>
        <v>0</v>
      </c>
      <c r="AW119" s="21">
        <f t="shared" si="28"/>
        <v>0</v>
      </c>
      <c r="AX119" s="21" t="str">
        <f t="shared" si="27"/>
        <v/>
      </c>
      <c r="AY119" s="21" t="str">
        <f>IF(AND($AM119&lt;&gt;"",$AS119&lt;&gt;"✓"),SUMPRODUCT(($AM$11:$AM119&lt;&gt;"")*($AS$11:$AS119&lt;&gt;"✓")),"")</f>
        <v/>
      </c>
      <c r="AZ119" s="21" t="str">
        <f>IF(AND($AM119&lt;&gt;"",$AS119="✓"),SUMPRODUCT(($AM$11:$AM119&lt;&gt;"")*($AS$11:$AS119="✓")),"")</f>
        <v/>
      </c>
      <c r="BA119" s="21" t="str">
        <f>IF($AL119="","",$AL119&amp;"|"&amp;COUNTIF($AL$11:$AL119,$AL119))</f>
        <v/>
      </c>
    </row>
    <row r="120" spans="2:53" ht="15" customHeight="1" x14ac:dyDescent="0.25">
      <c r="B120" s="5" t="str">
        <f t="shared" si="15"/>
        <v/>
      </c>
      <c r="C120" s="5"/>
      <c r="D120" s="5"/>
      <c r="E120" s="5"/>
      <c r="F120" s="6"/>
      <c r="G120" s="6"/>
      <c r="H120" s="7"/>
      <c r="I120" s="8"/>
      <c r="K120" s="23" t="str">
        <f>IFERROR(INDEX($AL$11:$AL$4010,MATCH(110,$AX$11:$AX$4010,0)),"")</f>
        <v/>
      </c>
      <c r="L120" s="24" t="str">
        <f t="shared" si="16"/>
        <v/>
      </c>
      <c r="M120" s="25" t="str">
        <f t="shared" si="17"/>
        <v/>
      </c>
      <c r="N120" s="25" t="str">
        <f t="shared" si="18"/>
        <v/>
      </c>
      <c r="P120" s="26" t="str">
        <f>IFERROR(INDEX($AM$11:$AM$4010,MATCH($S$8&amp;"|"&amp;110,$BA$11:$BA$4010,0)),"")</f>
        <v/>
      </c>
      <c r="Q120" s="25" t="str">
        <f>IF(P120="","",IFERROR(INDEX($AN$11:$AN$4010,MATCH($S$8&amp;"|"&amp;110,$BA$11:$BA$4010,0)),""))</f>
        <v/>
      </c>
      <c r="R120" s="25" t="str">
        <f>IF(P120="","",IFERROR(INDEX($AO$11:$AO$4010,MATCH($S$8&amp;"|"&amp;110,$BA$11:$BA$4010,0)),""))</f>
        <v/>
      </c>
      <c r="S120" s="24" t="str">
        <f>IF(P120="","",IFERROR(INDEX($AP$11:$AP$4010,MATCH($S$8&amp;"|"&amp;110,$BA$11:$BA$4010,0)),""))</f>
        <v/>
      </c>
      <c r="T120" s="24" t="str">
        <f>IF(P120="","",IFERROR(INDEX($AQ$11:$AQ$4010,MATCH($S$8&amp;"|"&amp;110,$BA$11:$BA$4010,0)),""))</f>
        <v/>
      </c>
      <c r="U120" s="38" t="str">
        <f t="shared" si="29"/>
        <v/>
      </c>
      <c r="W120" s="28" t="str">
        <f>IF(X120="","",IFERROR(INDEX($AL$11:$AL$4010,MATCH(110,$AY$11:$AY$4010,0)),""))</f>
        <v/>
      </c>
      <c r="X120" s="26" t="str">
        <f>IFERROR(INDEX($AM$11:$AM$4010,MATCH(110,$AY$11:$AY$4010,0)),"")</f>
        <v/>
      </c>
      <c r="Y120" s="25" t="str">
        <f>IF(X120="","",IFERROR(INDEX($AN$11:$AN$4010,MATCH(110,$AY$11:$AY$4010,0)),""))</f>
        <v/>
      </c>
      <c r="Z120" s="25" t="str">
        <f>IF(X120="","",IFERROR(INDEX($AO$11:$AO$4010,MATCH(110,$AY$11:$AY$4010,0)),""))</f>
        <v/>
      </c>
      <c r="AA120" s="24" t="str">
        <f>IF(X120="","",IFERROR(INDEX($AQ$11:$AQ$4010,MATCH(110,$AY$11:$AY$4010,0)),""))</f>
        <v/>
      </c>
      <c r="AB120" s="29" t="str">
        <f>IF(X120="","",IFERROR(INDEX($AR$11:$AR$4010,MATCH(110,$AY$11:$AY$4010,0)),""))</f>
        <v/>
      </c>
      <c r="AD120" s="30" t="str">
        <f>IF(AE120="","",IFERROR(INDEX($AL$11:$AL$4010,MATCH(110,$AZ$11:$AZ$4010,0)),""))</f>
        <v/>
      </c>
      <c r="AE120" s="26" t="str">
        <f>IFERROR(INDEX($AM$11:$AM$4010,MATCH(110,$AZ$11:$AZ$4010,0)),"")</f>
        <v/>
      </c>
      <c r="AF120" s="25" t="str">
        <f>IF(AE120="","",IFERROR(INDEX($AN$11:$AN$4010,MATCH(110,$AZ$11:$AZ$4010,0)),""))</f>
        <v/>
      </c>
      <c r="AG120" s="25" t="str">
        <f>IF(AE120="","",IFERROR(INDEX($AO$11:$AO$4010,MATCH(110,$AZ$11:$AZ$4010,0)),""))</f>
        <v/>
      </c>
      <c r="AH120" s="24" t="str">
        <f>IF(AE120="","",IFERROR(INDEX($AQ$11:$AQ$4010,MATCH(110,$AZ$11:$AZ$4010,0)),""))</f>
        <v/>
      </c>
      <c r="AI120" s="29" t="str">
        <f>IF(AE120="","",IFERROR(INDEX($AR$11:$AR$4010,MATCH(110,$AZ$11:$AZ$4010,0)),""))</f>
        <v/>
      </c>
      <c r="AJ120" s="29" t="str">
        <f>IF(AE120="","",IFERROR(INDEX($AT$11:$AT$4010,MATCH(110,$AZ$11:$AZ$4010,0)),""))</f>
        <v/>
      </c>
      <c r="AL120" s="31" t="str">
        <f t="shared" si="20"/>
        <v/>
      </c>
      <c r="AM120" s="26" t="str">
        <f t="shared" si="21"/>
        <v/>
      </c>
      <c r="AN120" s="32" t="str">
        <f t="shared" si="22"/>
        <v/>
      </c>
      <c r="AO120" s="32" t="str">
        <f t="shared" si="23"/>
        <v/>
      </c>
      <c r="AP120" s="24" t="str">
        <f t="shared" si="24"/>
        <v/>
      </c>
      <c r="AQ120" s="24" t="str">
        <f t="shared" si="25"/>
        <v/>
      </c>
      <c r="AR120" s="33" t="str">
        <f t="shared" si="26"/>
        <v/>
      </c>
      <c r="AS120" s="34"/>
      <c r="AT120" s="33"/>
      <c r="AV120" s="21">
        <f>IF(AND($AL120&lt;&gt;"",COUNTIF($AL$11:$AL120,$AL120)=1),1,0)</f>
        <v>0</v>
      </c>
      <c r="AW120" s="21">
        <f t="shared" si="28"/>
        <v>0</v>
      </c>
      <c r="AX120" s="21" t="str">
        <f t="shared" si="27"/>
        <v/>
      </c>
      <c r="AY120" s="21" t="str">
        <f>IF(AND($AM120&lt;&gt;"",$AS120&lt;&gt;"✓"),SUMPRODUCT(($AM$11:$AM120&lt;&gt;"")*($AS$11:$AS120&lt;&gt;"✓")),"")</f>
        <v/>
      </c>
      <c r="AZ120" s="21" t="str">
        <f>IF(AND($AM120&lt;&gt;"",$AS120="✓"),SUMPRODUCT(($AM$11:$AM120&lt;&gt;"")*($AS$11:$AS120="✓")),"")</f>
        <v/>
      </c>
      <c r="BA120" s="21" t="str">
        <f>IF($AL120="","",$AL120&amp;"|"&amp;COUNTIF($AL$11:$AL120,$AL120))</f>
        <v/>
      </c>
    </row>
    <row r="121" spans="2:53" ht="15" customHeight="1" x14ac:dyDescent="0.25">
      <c r="B121" s="5" t="str">
        <f t="shared" si="15"/>
        <v/>
      </c>
      <c r="C121" s="5"/>
      <c r="D121" s="5"/>
      <c r="E121" s="5"/>
      <c r="F121" s="6"/>
      <c r="G121" s="6"/>
      <c r="H121" s="7"/>
      <c r="I121" s="8"/>
      <c r="K121" s="9" t="str">
        <f>IFERROR(INDEX($AL$11:$AL$4010,MATCH(111,$AX$11:$AX$4010,0)),"")</f>
        <v/>
      </c>
      <c r="L121" s="10" t="str">
        <f t="shared" si="16"/>
        <v/>
      </c>
      <c r="M121" s="11" t="str">
        <f t="shared" si="17"/>
        <v/>
      </c>
      <c r="N121" s="11" t="str">
        <f t="shared" si="18"/>
        <v/>
      </c>
      <c r="P121" s="12" t="str">
        <f>IFERROR(INDEX($AM$11:$AM$4010,MATCH($S$8&amp;"|"&amp;111,$BA$11:$BA$4010,0)),"")</f>
        <v/>
      </c>
      <c r="Q121" s="11" t="str">
        <f>IF(P121="","",IFERROR(INDEX($AN$11:$AN$4010,MATCH($S$8&amp;"|"&amp;111,$BA$11:$BA$4010,0)),""))</f>
        <v/>
      </c>
      <c r="R121" s="11" t="str">
        <f>IF(P121="","",IFERROR(INDEX($AO$11:$AO$4010,MATCH($S$8&amp;"|"&amp;111,$BA$11:$BA$4010,0)),""))</f>
        <v/>
      </c>
      <c r="S121" s="10" t="str">
        <f>IF(P121="","",IFERROR(INDEX($AP$11:$AP$4010,MATCH($S$8&amp;"|"&amp;111,$BA$11:$BA$4010,0)),""))</f>
        <v/>
      </c>
      <c r="T121" s="10" t="str">
        <f>IF(P121="","",IFERROR(INDEX($AQ$11:$AQ$4010,MATCH($S$8&amp;"|"&amp;111,$BA$11:$BA$4010,0)),""))</f>
        <v/>
      </c>
      <c r="U121" s="39" t="str">
        <f t="shared" si="29"/>
        <v/>
      </c>
      <c r="W121" s="14" t="str">
        <f>IF(X121="","",IFERROR(INDEX($AL$11:$AL$4010,MATCH(111,$AY$11:$AY$4010,0)),""))</f>
        <v/>
      </c>
      <c r="X121" s="12" t="str">
        <f>IFERROR(INDEX($AM$11:$AM$4010,MATCH(111,$AY$11:$AY$4010,0)),"")</f>
        <v/>
      </c>
      <c r="Y121" s="11" t="str">
        <f>IF(X121="","",IFERROR(INDEX($AN$11:$AN$4010,MATCH(111,$AY$11:$AY$4010,0)),""))</f>
        <v/>
      </c>
      <c r="Z121" s="11" t="str">
        <f>IF(X121="","",IFERROR(INDEX($AO$11:$AO$4010,MATCH(111,$AY$11:$AY$4010,0)),""))</f>
        <v/>
      </c>
      <c r="AA121" s="10" t="str">
        <f>IF(X121="","",IFERROR(INDEX($AQ$11:$AQ$4010,MATCH(111,$AY$11:$AY$4010,0)),""))</f>
        <v/>
      </c>
      <c r="AB121" s="15" t="str">
        <f>IF(X121="","",IFERROR(INDEX($AR$11:$AR$4010,MATCH(111,$AY$11:$AY$4010,0)),""))</f>
        <v/>
      </c>
      <c r="AD121" s="16" t="str">
        <f>IF(AE121="","",IFERROR(INDEX($AL$11:$AL$4010,MATCH(111,$AZ$11:$AZ$4010,0)),""))</f>
        <v/>
      </c>
      <c r="AE121" s="12" t="str">
        <f>IFERROR(INDEX($AM$11:$AM$4010,MATCH(111,$AZ$11:$AZ$4010,0)),"")</f>
        <v/>
      </c>
      <c r="AF121" s="11" t="str">
        <f>IF(AE121="","",IFERROR(INDEX($AN$11:$AN$4010,MATCH(111,$AZ$11:$AZ$4010,0)),""))</f>
        <v/>
      </c>
      <c r="AG121" s="11" t="str">
        <f>IF(AE121="","",IFERROR(INDEX($AO$11:$AO$4010,MATCH(111,$AZ$11:$AZ$4010,0)),""))</f>
        <v/>
      </c>
      <c r="AH121" s="10" t="str">
        <f>IF(AE121="","",IFERROR(INDEX($AQ$11:$AQ$4010,MATCH(111,$AZ$11:$AZ$4010,0)),""))</f>
        <v/>
      </c>
      <c r="AI121" s="15" t="str">
        <f>IF(AE121="","",IFERROR(INDEX($AR$11:$AR$4010,MATCH(111,$AZ$11:$AZ$4010,0)),""))</f>
        <v/>
      </c>
      <c r="AJ121" s="15" t="str">
        <f>IF(AE121="","",IFERROR(INDEX($AT$11:$AT$4010,MATCH(111,$AZ$11:$AZ$4010,0)),""))</f>
        <v/>
      </c>
      <c r="AL121" s="17" t="str">
        <f t="shared" si="20"/>
        <v/>
      </c>
      <c r="AM121" s="12" t="str">
        <f t="shared" si="21"/>
        <v/>
      </c>
      <c r="AN121" s="18" t="str">
        <f t="shared" si="22"/>
        <v/>
      </c>
      <c r="AO121" s="18" t="str">
        <f t="shared" si="23"/>
        <v/>
      </c>
      <c r="AP121" s="10" t="str">
        <f t="shared" si="24"/>
        <v/>
      </c>
      <c r="AQ121" s="10" t="str">
        <f t="shared" si="25"/>
        <v/>
      </c>
      <c r="AR121" s="19" t="str">
        <f t="shared" si="26"/>
        <v/>
      </c>
      <c r="AS121" s="20"/>
      <c r="AT121" s="19"/>
      <c r="AV121" s="21">
        <f>IF(AND($AL121&lt;&gt;"",COUNTIF($AL$11:$AL121,$AL121)=1),1,0)</f>
        <v>0</v>
      </c>
      <c r="AW121" s="21">
        <f t="shared" si="28"/>
        <v>0</v>
      </c>
      <c r="AX121" s="21" t="str">
        <f t="shared" si="27"/>
        <v/>
      </c>
      <c r="AY121" s="21" t="str">
        <f>IF(AND($AM121&lt;&gt;"",$AS121&lt;&gt;"✓"),SUMPRODUCT(($AM$11:$AM121&lt;&gt;"")*($AS$11:$AS121&lt;&gt;"✓")),"")</f>
        <v/>
      </c>
      <c r="AZ121" s="21" t="str">
        <f>IF(AND($AM121&lt;&gt;"",$AS121="✓"),SUMPRODUCT(($AM$11:$AM121&lt;&gt;"")*($AS$11:$AS121="✓")),"")</f>
        <v/>
      </c>
      <c r="BA121" s="21" t="str">
        <f>IF($AL121="","",$AL121&amp;"|"&amp;COUNTIF($AL$11:$AL121,$AL121))</f>
        <v/>
      </c>
    </row>
    <row r="122" spans="2:53" ht="15" customHeight="1" x14ac:dyDescent="0.25">
      <c r="B122" s="5" t="str">
        <f t="shared" si="15"/>
        <v/>
      </c>
      <c r="C122" s="5"/>
      <c r="D122" s="5"/>
      <c r="E122" s="5"/>
      <c r="F122" s="6"/>
      <c r="G122" s="6"/>
      <c r="H122" s="7"/>
      <c r="I122" s="8"/>
      <c r="K122" s="23" t="str">
        <f>IFERROR(INDEX($AL$11:$AL$4010,MATCH(112,$AX$11:$AX$4010,0)),"")</f>
        <v/>
      </c>
      <c r="L122" s="24" t="str">
        <f t="shared" si="16"/>
        <v/>
      </c>
      <c r="M122" s="25" t="str">
        <f t="shared" si="17"/>
        <v/>
      </c>
      <c r="N122" s="25" t="str">
        <f t="shared" si="18"/>
        <v/>
      </c>
      <c r="P122" s="26" t="str">
        <f>IFERROR(INDEX($AM$11:$AM$4010,MATCH($S$8&amp;"|"&amp;112,$BA$11:$BA$4010,0)),"")</f>
        <v/>
      </c>
      <c r="Q122" s="25" t="str">
        <f>IF(P122="","",IFERROR(INDEX($AN$11:$AN$4010,MATCH($S$8&amp;"|"&amp;112,$BA$11:$BA$4010,0)),""))</f>
        <v/>
      </c>
      <c r="R122" s="25" t="str">
        <f>IF(P122="","",IFERROR(INDEX($AO$11:$AO$4010,MATCH($S$8&amp;"|"&amp;112,$BA$11:$BA$4010,0)),""))</f>
        <v/>
      </c>
      <c r="S122" s="24" t="str">
        <f>IF(P122="","",IFERROR(INDEX($AP$11:$AP$4010,MATCH($S$8&amp;"|"&amp;112,$BA$11:$BA$4010,0)),""))</f>
        <v/>
      </c>
      <c r="T122" s="24" t="str">
        <f>IF(P122="","",IFERROR(INDEX($AQ$11:$AQ$4010,MATCH($S$8&amp;"|"&amp;112,$BA$11:$BA$4010,0)),""))</f>
        <v/>
      </c>
      <c r="U122" s="38" t="str">
        <f t="shared" si="29"/>
        <v/>
      </c>
      <c r="W122" s="28" t="str">
        <f>IF(X122="","",IFERROR(INDEX($AL$11:$AL$4010,MATCH(112,$AY$11:$AY$4010,0)),""))</f>
        <v/>
      </c>
      <c r="X122" s="26" t="str">
        <f>IFERROR(INDEX($AM$11:$AM$4010,MATCH(112,$AY$11:$AY$4010,0)),"")</f>
        <v/>
      </c>
      <c r="Y122" s="25" t="str">
        <f>IF(X122="","",IFERROR(INDEX($AN$11:$AN$4010,MATCH(112,$AY$11:$AY$4010,0)),""))</f>
        <v/>
      </c>
      <c r="Z122" s="25" t="str">
        <f>IF(X122="","",IFERROR(INDEX($AO$11:$AO$4010,MATCH(112,$AY$11:$AY$4010,0)),""))</f>
        <v/>
      </c>
      <c r="AA122" s="24" t="str">
        <f>IF(X122="","",IFERROR(INDEX($AQ$11:$AQ$4010,MATCH(112,$AY$11:$AY$4010,0)),""))</f>
        <v/>
      </c>
      <c r="AB122" s="29" t="str">
        <f>IF(X122="","",IFERROR(INDEX($AR$11:$AR$4010,MATCH(112,$AY$11:$AY$4010,0)),""))</f>
        <v/>
      </c>
      <c r="AD122" s="30" t="str">
        <f>IF(AE122="","",IFERROR(INDEX($AL$11:$AL$4010,MATCH(112,$AZ$11:$AZ$4010,0)),""))</f>
        <v/>
      </c>
      <c r="AE122" s="26" t="str">
        <f>IFERROR(INDEX($AM$11:$AM$4010,MATCH(112,$AZ$11:$AZ$4010,0)),"")</f>
        <v/>
      </c>
      <c r="AF122" s="25" t="str">
        <f>IF(AE122="","",IFERROR(INDEX($AN$11:$AN$4010,MATCH(112,$AZ$11:$AZ$4010,0)),""))</f>
        <v/>
      </c>
      <c r="AG122" s="25" t="str">
        <f>IF(AE122="","",IFERROR(INDEX($AO$11:$AO$4010,MATCH(112,$AZ$11:$AZ$4010,0)),""))</f>
        <v/>
      </c>
      <c r="AH122" s="24" t="str">
        <f>IF(AE122="","",IFERROR(INDEX($AQ$11:$AQ$4010,MATCH(112,$AZ$11:$AZ$4010,0)),""))</f>
        <v/>
      </c>
      <c r="AI122" s="29" t="str">
        <f>IF(AE122="","",IFERROR(INDEX($AR$11:$AR$4010,MATCH(112,$AZ$11:$AZ$4010,0)),""))</f>
        <v/>
      </c>
      <c r="AJ122" s="29" t="str">
        <f>IF(AE122="","",IFERROR(INDEX($AT$11:$AT$4010,MATCH(112,$AZ$11:$AZ$4010,0)),""))</f>
        <v/>
      </c>
      <c r="AL122" s="31" t="str">
        <f t="shared" si="20"/>
        <v/>
      </c>
      <c r="AM122" s="26" t="str">
        <f t="shared" si="21"/>
        <v/>
      </c>
      <c r="AN122" s="32" t="str">
        <f t="shared" si="22"/>
        <v/>
      </c>
      <c r="AO122" s="32" t="str">
        <f t="shared" si="23"/>
        <v/>
      </c>
      <c r="AP122" s="24" t="str">
        <f t="shared" si="24"/>
        <v/>
      </c>
      <c r="AQ122" s="24" t="str">
        <f t="shared" si="25"/>
        <v/>
      </c>
      <c r="AR122" s="33" t="str">
        <f t="shared" si="26"/>
        <v/>
      </c>
      <c r="AS122" s="34"/>
      <c r="AT122" s="33"/>
      <c r="AV122" s="21">
        <f>IF(AND($AL122&lt;&gt;"",COUNTIF($AL$11:$AL122,$AL122)=1),1,0)</f>
        <v>0</v>
      </c>
      <c r="AW122" s="21">
        <f t="shared" si="28"/>
        <v>0</v>
      </c>
      <c r="AX122" s="21" t="str">
        <f t="shared" si="27"/>
        <v/>
      </c>
      <c r="AY122" s="21" t="str">
        <f>IF(AND($AM122&lt;&gt;"",$AS122&lt;&gt;"✓"),SUMPRODUCT(($AM$11:$AM122&lt;&gt;"")*($AS$11:$AS122&lt;&gt;"✓")),"")</f>
        <v/>
      </c>
      <c r="AZ122" s="21" t="str">
        <f>IF(AND($AM122&lt;&gt;"",$AS122="✓"),SUMPRODUCT(($AM$11:$AM122&lt;&gt;"")*($AS$11:$AS122="✓")),"")</f>
        <v/>
      </c>
      <c r="BA122" s="21" t="str">
        <f>IF($AL122="","",$AL122&amp;"|"&amp;COUNTIF($AL$11:$AL122,$AL122))</f>
        <v/>
      </c>
    </row>
    <row r="123" spans="2:53" ht="15" customHeight="1" x14ac:dyDescent="0.25">
      <c r="B123" s="5" t="str">
        <f t="shared" si="15"/>
        <v/>
      </c>
      <c r="C123" s="5"/>
      <c r="D123" s="5"/>
      <c r="E123" s="5"/>
      <c r="F123" s="6"/>
      <c r="G123" s="6"/>
      <c r="H123" s="7"/>
      <c r="I123" s="8"/>
      <c r="K123" s="9" t="str">
        <f>IFERROR(INDEX($AL$11:$AL$4010,MATCH(113,$AX$11:$AX$4010,0)),"")</f>
        <v/>
      </c>
      <c r="L123" s="10" t="str">
        <f t="shared" si="16"/>
        <v/>
      </c>
      <c r="M123" s="11" t="str">
        <f t="shared" si="17"/>
        <v/>
      </c>
      <c r="N123" s="11" t="str">
        <f t="shared" si="18"/>
        <v/>
      </c>
      <c r="P123" s="12" t="str">
        <f>IFERROR(INDEX($AM$11:$AM$4010,MATCH($S$8&amp;"|"&amp;113,$BA$11:$BA$4010,0)),"")</f>
        <v/>
      </c>
      <c r="Q123" s="11" t="str">
        <f>IF(P123="","",IFERROR(INDEX($AN$11:$AN$4010,MATCH($S$8&amp;"|"&amp;113,$BA$11:$BA$4010,0)),""))</f>
        <v/>
      </c>
      <c r="R123" s="11" t="str">
        <f>IF(P123="","",IFERROR(INDEX($AO$11:$AO$4010,MATCH($S$8&amp;"|"&amp;113,$BA$11:$BA$4010,0)),""))</f>
        <v/>
      </c>
      <c r="S123" s="10" t="str">
        <f>IF(P123="","",IFERROR(INDEX($AP$11:$AP$4010,MATCH($S$8&amp;"|"&amp;113,$BA$11:$BA$4010,0)),""))</f>
        <v/>
      </c>
      <c r="T123" s="10" t="str">
        <f>IF(P123="","",IFERROR(INDEX($AQ$11:$AQ$4010,MATCH($S$8&amp;"|"&amp;113,$BA$11:$BA$4010,0)),""))</f>
        <v/>
      </c>
      <c r="U123" s="39" t="str">
        <f t="shared" si="29"/>
        <v/>
      </c>
      <c r="W123" s="14" t="str">
        <f>IF(X123="","",IFERROR(INDEX($AL$11:$AL$4010,MATCH(113,$AY$11:$AY$4010,0)),""))</f>
        <v/>
      </c>
      <c r="X123" s="12" t="str">
        <f>IFERROR(INDEX($AM$11:$AM$4010,MATCH(113,$AY$11:$AY$4010,0)),"")</f>
        <v/>
      </c>
      <c r="Y123" s="11" t="str">
        <f>IF(X123="","",IFERROR(INDEX($AN$11:$AN$4010,MATCH(113,$AY$11:$AY$4010,0)),""))</f>
        <v/>
      </c>
      <c r="Z123" s="11" t="str">
        <f>IF(X123="","",IFERROR(INDEX($AO$11:$AO$4010,MATCH(113,$AY$11:$AY$4010,0)),""))</f>
        <v/>
      </c>
      <c r="AA123" s="10" t="str">
        <f>IF(X123="","",IFERROR(INDEX($AQ$11:$AQ$4010,MATCH(113,$AY$11:$AY$4010,0)),""))</f>
        <v/>
      </c>
      <c r="AB123" s="15" t="str">
        <f>IF(X123="","",IFERROR(INDEX($AR$11:$AR$4010,MATCH(113,$AY$11:$AY$4010,0)),""))</f>
        <v/>
      </c>
      <c r="AD123" s="16" t="str">
        <f>IF(AE123="","",IFERROR(INDEX($AL$11:$AL$4010,MATCH(113,$AZ$11:$AZ$4010,0)),""))</f>
        <v/>
      </c>
      <c r="AE123" s="12" t="str">
        <f>IFERROR(INDEX($AM$11:$AM$4010,MATCH(113,$AZ$11:$AZ$4010,0)),"")</f>
        <v/>
      </c>
      <c r="AF123" s="11" t="str">
        <f>IF(AE123="","",IFERROR(INDEX($AN$11:$AN$4010,MATCH(113,$AZ$11:$AZ$4010,0)),""))</f>
        <v/>
      </c>
      <c r="AG123" s="11" t="str">
        <f>IF(AE123="","",IFERROR(INDEX($AO$11:$AO$4010,MATCH(113,$AZ$11:$AZ$4010,0)),""))</f>
        <v/>
      </c>
      <c r="AH123" s="10" t="str">
        <f>IF(AE123="","",IFERROR(INDEX($AQ$11:$AQ$4010,MATCH(113,$AZ$11:$AZ$4010,0)),""))</f>
        <v/>
      </c>
      <c r="AI123" s="15" t="str">
        <f>IF(AE123="","",IFERROR(INDEX($AR$11:$AR$4010,MATCH(113,$AZ$11:$AZ$4010,0)),""))</f>
        <v/>
      </c>
      <c r="AJ123" s="15" t="str">
        <f>IF(AE123="","",IFERROR(INDEX($AT$11:$AT$4010,MATCH(113,$AZ$11:$AZ$4010,0)),""))</f>
        <v/>
      </c>
      <c r="AL123" s="17" t="str">
        <f t="shared" si="20"/>
        <v/>
      </c>
      <c r="AM123" s="12" t="str">
        <f t="shared" si="21"/>
        <v/>
      </c>
      <c r="AN123" s="18" t="str">
        <f t="shared" si="22"/>
        <v/>
      </c>
      <c r="AO123" s="18" t="str">
        <f t="shared" si="23"/>
        <v/>
      </c>
      <c r="AP123" s="10" t="str">
        <f t="shared" si="24"/>
        <v/>
      </c>
      <c r="AQ123" s="10" t="str">
        <f t="shared" si="25"/>
        <v/>
      </c>
      <c r="AR123" s="19" t="str">
        <f t="shared" si="26"/>
        <v/>
      </c>
      <c r="AS123" s="20"/>
      <c r="AT123" s="19"/>
      <c r="AV123" s="21">
        <f>IF(AND($AL123&lt;&gt;"",COUNTIF($AL$11:$AL123,$AL123)=1),1,0)</f>
        <v>0</v>
      </c>
      <c r="AW123" s="21">
        <f t="shared" si="28"/>
        <v>0</v>
      </c>
      <c r="AX123" s="21" t="str">
        <f t="shared" si="27"/>
        <v/>
      </c>
      <c r="AY123" s="21" t="str">
        <f>IF(AND($AM123&lt;&gt;"",$AS123&lt;&gt;"✓"),SUMPRODUCT(($AM$11:$AM123&lt;&gt;"")*($AS$11:$AS123&lt;&gt;"✓")),"")</f>
        <v/>
      </c>
      <c r="AZ123" s="21" t="str">
        <f>IF(AND($AM123&lt;&gt;"",$AS123="✓"),SUMPRODUCT(($AM$11:$AM123&lt;&gt;"")*($AS$11:$AS123="✓")),"")</f>
        <v/>
      </c>
      <c r="BA123" s="21" t="str">
        <f>IF($AL123="","",$AL123&amp;"|"&amp;COUNTIF($AL$11:$AL123,$AL123))</f>
        <v/>
      </c>
    </row>
    <row r="124" spans="2:53" ht="15" customHeight="1" x14ac:dyDescent="0.25">
      <c r="B124" s="5" t="str">
        <f t="shared" si="15"/>
        <v/>
      </c>
      <c r="C124" s="5"/>
      <c r="D124" s="5"/>
      <c r="E124" s="5"/>
      <c r="F124" s="6"/>
      <c r="G124" s="6"/>
      <c r="H124" s="7"/>
      <c r="I124" s="8"/>
      <c r="K124" s="23" t="str">
        <f>IFERROR(INDEX($AL$11:$AL$4010,MATCH(114,$AX$11:$AX$4010,0)),"")</f>
        <v/>
      </c>
      <c r="L124" s="24" t="str">
        <f t="shared" si="16"/>
        <v/>
      </c>
      <c r="M124" s="25" t="str">
        <f t="shared" si="17"/>
        <v/>
      </c>
      <c r="N124" s="25" t="str">
        <f t="shared" si="18"/>
        <v/>
      </c>
      <c r="P124" s="26" t="str">
        <f>IFERROR(INDEX($AM$11:$AM$4010,MATCH($S$8&amp;"|"&amp;114,$BA$11:$BA$4010,0)),"")</f>
        <v/>
      </c>
      <c r="Q124" s="25" t="str">
        <f>IF(P124="","",IFERROR(INDEX($AN$11:$AN$4010,MATCH($S$8&amp;"|"&amp;114,$BA$11:$BA$4010,0)),""))</f>
        <v/>
      </c>
      <c r="R124" s="25" t="str">
        <f>IF(P124="","",IFERROR(INDEX($AO$11:$AO$4010,MATCH($S$8&amp;"|"&amp;114,$BA$11:$BA$4010,0)),""))</f>
        <v/>
      </c>
      <c r="S124" s="24" t="str">
        <f>IF(P124="","",IFERROR(INDEX($AP$11:$AP$4010,MATCH($S$8&amp;"|"&amp;114,$BA$11:$BA$4010,0)),""))</f>
        <v/>
      </c>
      <c r="T124" s="24" t="str">
        <f>IF(P124="","",IFERROR(INDEX($AQ$11:$AQ$4010,MATCH($S$8&amp;"|"&amp;114,$BA$11:$BA$4010,0)),""))</f>
        <v/>
      </c>
      <c r="U124" s="38" t="str">
        <f t="shared" si="29"/>
        <v/>
      </c>
      <c r="W124" s="28" t="str">
        <f>IF(X124="","",IFERROR(INDEX($AL$11:$AL$4010,MATCH(114,$AY$11:$AY$4010,0)),""))</f>
        <v/>
      </c>
      <c r="X124" s="26" t="str">
        <f>IFERROR(INDEX($AM$11:$AM$4010,MATCH(114,$AY$11:$AY$4010,0)),"")</f>
        <v/>
      </c>
      <c r="Y124" s="25" t="str">
        <f>IF(X124="","",IFERROR(INDEX($AN$11:$AN$4010,MATCH(114,$AY$11:$AY$4010,0)),""))</f>
        <v/>
      </c>
      <c r="Z124" s="25" t="str">
        <f>IF(X124="","",IFERROR(INDEX($AO$11:$AO$4010,MATCH(114,$AY$11:$AY$4010,0)),""))</f>
        <v/>
      </c>
      <c r="AA124" s="24" t="str">
        <f>IF(X124="","",IFERROR(INDEX($AQ$11:$AQ$4010,MATCH(114,$AY$11:$AY$4010,0)),""))</f>
        <v/>
      </c>
      <c r="AB124" s="29" t="str">
        <f>IF(X124="","",IFERROR(INDEX($AR$11:$AR$4010,MATCH(114,$AY$11:$AY$4010,0)),""))</f>
        <v/>
      </c>
      <c r="AD124" s="30" t="str">
        <f>IF(AE124="","",IFERROR(INDEX($AL$11:$AL$4010,MATCH(114,$AZ$11:$AZ$4010,0)),""))</f>
        <v/>
      </c>
      <c r="AE124" s="26" t="str">
        <f>IFERROR(INDEX($AM$11:$AM$4010,MATCH(114,$AZ$11:$AZ$4010,0)),"")</f>
        <v/>
      </c>
      <c r="AF124" s="25" t="str">
        <f>IF(AE124="","",IFERROR(INDEX($AN$11:$AN$4010,MATCH(114,$AZ$11:$AZ$4010,0)),""))</f>
        <v/>
      </c>
      <c r="AG124" s="25" t="str">
        <f>IF(AE124="","",IFERROR(INDEX($AO$11:$AO$4010,MATCH(114,$AZ$11:$AZ$4010,0)),""))</f>
        <v/>
      </c>
      <c r="AH124" s="24" t="str">
        <f>IF(AE124="","",IFERROR(INDEX($AQ$11:$AQ$4010,MATCH(114,$AZ$11:$AZ$4010,0)),""))</f>
        <v/>
      </c>
      <c r="AI124" s="29" t="str">
        <f>IF(AE124="","",IFERROR(INDEX($AR$11:$AR$4010,MATCH(114,$AZ$11:$AZ$4010,0)),""))</f>
        <v/>
      </c>
      <c r="AJ124" s="29" t="str">
        <f>IF(AE124="","",IFERROR(INDEX($AT$11:$AT$4010,MATCH(114,$AZ$11:$AZ$4010,0)),""))</f>
        <v/>
      </c>
      <c r="AL124" s="31" t="str">
        <f t="shared" si="20"/>
        <v/>
      </c>
      <c r="AM124" s="26" t="str">
        <f t="shared" si="21"/>
        <v/>
      </c>
      <c r="AN124" s="32" t="str">
        <f t="shared" si="22"/>
        <v/>
      </c>
      <c r="AO124" s="32" t="str">
        <f t="shared" si="23"/>
        <v/>
      </c>
      <c r="AP124" s="24" t="str">
        <f t="shared" si="24"/>
        <v/>
      </c>
      <c r="AQ124" s="24" t="str">
        <f t="shared" si="25"/>
        <v/>
      </c>
      <c r="AR124" s="33" t="str">
        <f t="shared" si="26"/>
        <v/>
      </c>
      <c r="AS124" s="34"/>
      <c r="AT124" s="33"/>
      <c r="AV124" s="21">
        <f>IF(AND($AL124&lt;&gt;"",COUNTIF($AL$11:$AL124,$AL124)=1),1,0)</f>
        <v>0</v>
      </c>
      <c r="AW124" s="21">
        <f t="shared" si="28"/>
        <v>0</v>
      </c>
      <c r="AX124" s="21" t="str">
        <f t="shared" si="27"/>
        <v/>
      </c>
      <c r="AY124" s="21" t="str">
        <f>IF(AND($AM124&lt;&gt;"",$AS124&lt;&gt;"✓"),SUMPRODUCT(($AM$11:$AM124&lt;&gt;"")*($AS$11:$AS124&lt;&gt;"✓")),"")</f>
        <v/>
      </c>
      <c r="AZ124" s="21" t="str">
        <f>IF(AND($AM124&lt;&gt;"",$AS124="✓"),SUMPRODUCT(($AM$11:$AM124&lt;&gt;"")*($AS$11:$AS124="✓")),"")</f>
        <v/>
      </c>
      <c r="BA124" s="21" t="str">
        <f>IF($AL124="","",$AL124&amp;"|"&amp;COUNTIF($AL$11:$AL124,$AL124))</f>
        <v/>
      </c>
    </row>
    <row r="125" spans="2:53" ht="15" customHeight="1" x14ac:dyDescent="0.25">
      <c r="B125" s="5" t="str">
        <f t="shared" si="15"/>
        <v/>
      </c>
      <c r="C125" s="5"/>
      <c r="D125" s="5"/>
      <c r="E125" s="5"/>
      <c r="F125" s="6"/>
      <c r="G125" s="6"/>
      <c r="H125" s="7"/>
      <c r="I125" s="8"/>
      <c r="K125" s="9" t="str">
        <f>IFERROR(INDEX($AL$11:$AL$4010,MATCH(115,$AX$11:$AX$4010,0)),"")</f>
        <v/>
      </c>
      <c r="L125" s="10" t="str">
        <f t="shared" si="16"/>
        <v/>
      </c>
      <c r="M125" s="11" t="str">
        <f t="shared" si="17"/>
        <v/>
      </c>
      <c r="N125" s="11" t="str">
        <f t="shared" si="18"/>
        <v/>
      </c>
      <c r="P125" s="12" t="str">
        <f>IFERROR(INDEX($AM$11:$AM$4010,MATCH($S$8&amp;"|"&amp;115,$BA$11:$BA$4010,0)),"")</f>
        <v/>
      </c>
      <c r="Q125" s="11" t="str">
        <f>IF(P125="","",IFERROR(INDEX($AN$11:$AN$4010,MATCH($S$8&amp;"|"&amp;115,$BA$11:$BA$4010,0)),""))</f>
        <v/>
      </c>
      <c r="R125" s="11" t="str">
        <f>IF(P125="","",IFERROR(INDEX($AO$11:$AO$4010,MATCH($S$8&amp;"|"&amp;115,$BA$11:$BA$4010,0)),""))</f>
        <v/>
      </c>
      <c r="S125" s="10" t="str">
        <f>IF(P125="","",IFERROR(INDEX($AP$11:$AP$4010,MATCH($S$8&amp;"|"&amp;115,$BA$11:$BA$4010,0)),""))</f>
        <v/>
      </c>
      <c r="T125" s="10" t="str">
        <f>IF(P125="","",IFERROR(INDEX($AQ$11:$AQ$4010,MATCH($S$8&amp;"|"&amp;115,$BA$11:$BA$4010,0)),""))</f>
        <v/>
      </c>
      <c r="U125" s="39" t="str">
        <f t="shared" si="29"/>
        <v/>
      </c>
      <c r="W125" s="14" t="str">
        <f>IF(X125="","",IFERROR(INDEX($AL$11:$AL$4010,MATCH(115,$AY$11:$AY$4010,0)),""))</f>
        <v/>
      </c>
      <c r="X125" s="12" t="str">
        <f>IFERROR(INDEX($AM$11:$AM$4010,MATCH(115,$AY$11:$AY$4010,0)),"")</f>
        <v/>
      </c>
      <c r="Y125" s="11" t="str">
        <f>IF(X125="","",IFERROR(INDEX($AN$11:$AN$4010,MATCH(115,$AY$11:$AY$4010,0)),""))</f>
        <v/>
      </c>
      <c r="Z125" s="11" t="str">
        <f>IF(X125="","",IFERROR(INDEX($AO$11:$AO$4010,MATCH(115,$AY$11:$AY$4010,0)),""))</f>
        <v/>
      </c>
      <c r="AA125" s="10" t="str">
        <f>IF(X125="","",IFERROR(INDEX($AQ$11:$AQ$4010,MATCH(115,$AY$11:$AY$4010,0)),""))</f>
        <v/>
      </c>
      <c r="AB125" s="15" t="str">
        <f>IF(X125="","",IFERROR(INDEX($AR$11:$AR$4010,MATCH(115,$AY$11:$AY$4010,0)),""))</f>
        <v/>
      </c>
      <c r="AD125" s="16" t="str">
        <f>IF(AE125="","",IFERROR(INDEX($AL$11:$AL$4010,MATCH(115,$AZ$11:$AZ$4010,0)),""))</f>
        <v/>
      </c>
      <c r="AE125" s="12" t="str">
        <f>IFERROR(INDEX($AM$11:$AM$4010,MATCH(115,$AZ$11:$AZ$4010,0)),"")</f>
        <v/>
      </c>
      <c r="AF125" s="11" t="str">
        <f>IF(AE125="","",IFERROR(INDEX($AN$11:$AN$4010,MATCH(115,$AZ$11:$AZ$4010,0)),""))</f>
        <v/>
      </c>
      <c r="AG125" s="11" t="str">
        <f>IF(AE125="","",IFERROR(INDEX($AO$11:$AO$4010,MATCH(115,$AZ$11:$AZ$4010,0)),""))</f>
        <v/>
      </c>
      <c r="AH125" s="10" t="str">
        <f>IF(AE125="","",IFERROR(INDEX($AQ$11:$AQ$4010,MATCH(115,$AZ$11:$AZ$4010,0)),""))</f>
        <v/>
      </c>
      <c r="AI125" s="15" t="str">
        <f>IF(AE125="","",IFERROR(INDEX($AR$11:$AR$4010,MATCH(115,$AZ$11:$AZ$4010,0)),""))</f>
        <v/>
      </c>
      <c r="AJ125" s="15" t="str">
        <f>IF(AE125="","",IFERROR(INDEX($AT$11:$AT$4010,MATCH(115,$AZ$11:$AZ$4010,0)),""))</f>
        <v/>
      </c>
      <c r="AL125" s="17" t="str">
        <f t="shared" si="20"/>
        <v/>
      </c>
      <c r="AM125" s="12" t="str">
        <f t="shared" si="21"/>
        <v/>
      </c>
      <c r="AN125" s="18" t="str">
        <f t="shared" si="22"/>
        <v/>
      </c>
      <c r="AO125" s="18" t="str">
        <f t="shared" si="23"/>
        <v/>
      </c>
      <c r="AP125" s="10" t="str">
        <f t="shared" si="24"/>
        <v/>
      </c>
      <c r="AQ125" s="10" t="str">
        <f t="shared" si="25"/>
        <v/>
      </c>
      <c r="AR125" s="19" t="str">
        <f t="shared" si="26"/>
        <v/>
      </c>
      <c r="AS125" s="20"/>
      <c r="AT125" s="19"/>
      <c r="AV125" s="21">
        <f>IF(AND($AL125&lt;&gt;"",COUNTIF($AL$11:$AL125,$AL125)=1),1,0)</f>
        <v>0</v>
      </c>
      <c r="AW125" s="21">
        <f t="shared" si="28"/>
        <v>0</v>
      </c>
      <c r="AX125" s="21" t="str">
        <f t="shared" si="27"/>
        <v/>
      </c>
      <c r="AY125" s="21" t="str">
        <f>IF(AND($AM125&lt;&gt;"",$AS125&lt;&gt;"✓"),SUMPRODUCT(($AM$11:$AM125&lt;&gt;"")*($AS$11:$AS125&lt;&gt;"✓")),"")</f>
        <v/>
      </c>
      <c r="AZ125" s="21" t="str">
        <f>IF(AND($AM125&lt;&gt;"",$AS125="✓"),SUMPRODUCT(($AM$11:$AM125&lt;&gt;"")*($AS$11:$AS125="✓")),"")</f>
        <v/>
      </c>
      <c r="BA125" s="21" t="str">
        <f>IF($AL125="","",$AL125&amp;"|"&amp;COUNTIF($AL$11:$AL125,$AL125))</f>
        <v/>
      </c>
    </row>
    <row r="126" spans="2:53" ht="15" customHeight="1" x14ac:dyDescent="0.25">
      <c r="B126" s="5" t="str">
        <f t="shared" si="15"/>
        <v/>
      </c>
      <c r="C126" s="5"/>
      <c r="D126" s="5"/>
      <c r="E126" s="5"/>
      <c r="F126" s="6"/>
      <c r="G126" s="6"/>
      <c r="H126" s="7"/>
      <c r="I126" s="8"/>
      <c r="K126" s="23" t="str">
        <f>IFERROR(INDEX($AL$11:$AL$4010,MATCH(116,$AX$11:$AX$4010,0)),"")</f>
        <v/>
      </c>
      <c r="L126" s="24" t="str">
        <f t="shared" si="16"/>
        <v/>
      </c>
      <c r="M126" s="25" t="str">
        <f t="shared" si="17"/>
        <v/>
      </c>
      <c r="N126" s="25" t="str">
        <f t="shared" si="18"/>
        <v/>
      </c>
      <c r="P126" s="26" t="str">
        <f>IFERROR(INDEX($AM$11:$AM$4010,MATCH($S$8&amp;"|"&amp;116,$BA$11:$BA$4010,0)),"")</f>
        <v/>
      </c>
      <c r="Q126" s="25" t="str">
        <f>IF(P126="","",IFERROR(INDEX($AN$11:$AN$4010,MATCH($S$8&amp;"|"&amp;116,$BA$11:$BA$4010,0)),""))</f>
        <v/>
      </c>
      <c r="R126" s="25" t="str">
        <f>IF(P126="","",IFERROR(INDEX($AO$11:$AO$4010,MATCH($S$8&amp;"|"&amp;116,$BA$11:$BA$4010,0)),""))</f>
        <v/>
      </c>
      <c r="S126" s="24" t="str">
        <f>IF(P126="","",IFERROR(INDEX($AP$11:$AP$4010,MATCH($S$8&amp;"|"&amp;116,$BA$11:$BA$4010,0)),""))</f>
        <v/>
      </c>
      <c r="T126" s="24" t="str">
        <f>IF(P126="","",IFERROR(INDEX($AQ$11:$AQ$4010,MATCH($S$8&amp;"|"&amp;116,$BA$11:$BA$4010,0)),""))</f>
        <v/>
      </c>
      <c r="U126" s="38" t="str">
        <f t="shared" si="29"/>
        <v/>
      </c>
      <c r="W126" s="28" t="str">
        <f>IF(X126="","",IFERROR(INDEX($AL$11:$AL$4010,MATCH(116,$AY$11:$AY$4010,0)),""))</f>
        <v/>
      </c>
      <c r="X126" s="26" t="str">
        <f>IFERROR(INDEX($AM$11:$AM$4010,MATCH(116,$AY$11:$AY$4010,0)),"")</f>
        <v/>
      </c>
      <c r="Y126" s="25" t="str">
        <f>IF(X126="","",IFERROR(INDEX($AN$11:$AN$4010,MATCH(116,$AY$11:$AY$4010,0)),""))</f>
        <v/>
      </c>
      <c r="Z126" s="25" t="str">
        <f>IF(X126="","",IFERROR(INDEX($AO$11:$AO$4010,MATCH(116,$AY$11:$AY$4010,0)),""))</f>
        <v/>
      </c>
      <c r="AA126" s="24" t="str">
        <f>IF(X126="","",IFERROR(INDEX($AQ$11:$AQ$4010,MATCH(116,$AY$11:$AY$4010,0)),""))</f>
        <v/>
      </c>
      <c r="AB126" s="29" t="str">
        <f>IF(X126="","",IFERROR(INDEX($AR$11:$AR$4010,MATCH(116,$AY$11:$AY$4010,0)),""))</f>
        <v/>
      </c>
      <c r="AD126" s="30" t="str">
        <f>IF(AE126="","",IFERROR(INDEX($AL$11:$AL$4010,MATCH(116,$AZ$11:$AZ$4010,0)),""))</f>
        <v/>
      </c>
      <c r="AE126" s="26" t="str">
        <f>IFERROR(INDEX($AM$11:$AM$4010,MATCH(116,$AZ$11:$AZ$4010,0)),"")</f>
        <v/>
      </c>
      <c r="AF126" s="25" t="str">
        <f>IF(AE126="","",IFERROR(INDEX($AN$11:$AN$4010,MATCH(116,$AZ$11:$AZ$4010,0)),""))</f>
        <v/>
      </c>
      <c r="AG126" s="25" t="str">
        <f>IF(AE126="","",IFERROR(INDEX($AO$11:$AO$4010,MATCH(116,$AZ$11:$AZ$4010,0)),""))</f>
        <v/>
      </c>
      <c r="AH126" s="24" t="str">
        <f>IF(AE126="","",IFERROR(INDEX($AQ$11:$AQ$4010,MATCH(116,$AZ$11:$AZ$4010,0)),""))</f>
        <v/>
      </c>
      <c r="AI126" s="29" t="str">
        <f>IF(AE126="","",IFERROR(INDEX($AR$11:$AR$4010,MATCH(116,$AZ$11:$AZ$4010,0)),""))</f>
        <v/>
      </c>
      <c r="AJ126" s="29" t="str">
        <f>IF(AE126="","",IFERROR(INDEX($AT$11:$AT$4010,MATCH(116,$AZ$11:$AZ$4010,0)),""))</f>
        <v/>
      </c>
      <c r="AL126" s="31" t="str">
        <f t="shared" si="20"/>
        <v/>
      </c>
      <c r="AM126" s="26" t="str">
        <f t="shared" si="21"/>
        <v/>
      </c>
      <c r="AN126" s="32" t="str">
        <f t="shared" si="22"/>
        <v/>
      </c>
      <c r="AO126" s="32" t="str">
        <f t="shared" si="23"/>
        <v/>
      </c>
      <c r="AP126" s="24" t="str">
        <f t="shared" si="24"/>
        <v/>
      </c>
      <c r="AQ126" s="24" t="str">
        <f t="shared" si="25"/>
        <v/>
      </c>
      <c r="AR126" s="33" t="str">
        <f t="shared" si="26"/>
        <v/>
      </c>
      <c r="AS126" s="34"/>
      <c r="AT126" s="33"/>
      <c r="AV126" s="21">
        <f>IF(AND($AL126&lt;&gt;"",COUNTIF($AL$11:$AL126,$AL126)=1),1,0)</f>
        <v>0</v>
      </c>
      <c r="AW126" s="21">
        <f t="shared" si="28"/>
        <v>0</v>
      </c>
      <c r="AX126" s="21" t="str">
        <f t="shared" si="27"/>
        <v/>
      </c>
      <c r="AY126" s="21" t="str">
        <f>IF(AND($AM126&lt;&gt;"",$AS126&lt;&gt;"✓"),SUMPRODUCT(($AM$11:$AM126&lt;&gt;"")*($AS$11:$AS126&lt;&gt;"✓")),"")</f>
        <v/>
      </c>
      <c r="AZ126" s="21" t="str">
        <f>IF(AND($AM126&lt;&gt;"",$AS126="✓"),SUMPRODUCT(($AM$11:$AM126&lt;&gt;"")*($AS$11:$AS126="✓")),"")</f>
        <v/>
      </c>
      <c r="BA126" s="21" t="str">
        <f>IF($AL126="","",$AL126&amp;"|"&amp;COUNTIF($AL$11:$AL126,$AL126))</f>
        <v/>
      </c>
    </row>
    <row r="127" spans="2:53" ht="15" customHeight="1" x14ac:dyDescent="0.25">
      <c r="B127" s="5" t="str">
        <f t="shared" si="15"/>
        <v/>
      </c>
      <c r="C127" s="5"/>
      <c r="D127" s="5"/>
      <c r="E127" s="5"/>
      <c r="F127" s="6"/>
      <c r="G127" s="6"/>
      <c r="H127" s="7"/>
      <c r="I127" s="8"/>
      <c r="K127" s="9" t="str">
        <f>IFERROR(INDEX($AL$11:$AL$4010,MATCH(117,$AX$11:$AX$4010,0)),"")</f>
        <v/>
      </c>
      <c r="L127" s="10" t="str">
        <f t="shared" si="16"/>
        <v/>
      </c>
      <c r="M127" s="11" t="str">
        <f t="shared" si="17"/>
        <v/>
      </c>
      <c r="N127" s="11" t="str">
        <f t="shared" si="18"/>
        <v/>
      </c>
      <c r="P127" s="12" t="str">
        <f>IFERROR(INDEX($AM$11:$AM$4010,MATCH($S$8&amp;"|"&amp;117,$BA$11:$BA$4010,0)),"")</f>
        <v/>
      </c>
      <c r="Q127" s="11" t="str">
        <f>IF(P127="","",IFERROR(INDEX($AN$11:$AN$4010,MATCH($S$8&amp;"|"&amp;117,$BA$11:$BA$4010,0)),""))</f>
        <v/>
      </c>
      <c r="R127" s="11" t="str">
        <f>IF(P127="","",IFERROR(INDEX($AO$11:$AO$4010,MATCH($S$8&amp;"|"&amp;117,$BA$11:$BA$4010,0)),""))</f>
        <v/>
      </c>
      <c r="S127" s="10" t="str">
        <f>IF(P127="","",IFERROR(INDEX($AP$11:$AP$4010,MATCH($S$8&amp;"|"&amp;117,$BA$11:$BA$4010,0)),""))</f>
        <v/>
      </c>
      <c r="T127" s="10" t="str">
        <f>IF(P127="","",IFERROR(INDEX($AQ$11:$AQ$4010,MATCH($S$8&amp;"|"&amp;117,$BA$11:$BA$4010,0)),""))</f>
        <v/>
      </c>
      <c r="U127" s="39" t="str">
        <f t="shared" si="29"/>
        <v/>
      </c>
      <c r="W127" s="14" t="str">
        <f>IF(X127="","",IFERROR(INDEX($AL$11:$AL$4010,MATCH(117,$AY$11:$AY$4010,0)),""))</f>
        <v/>
      </c>
      <c r="X127" s="12" t="str">
        <f>IFERROR(INDEX($AM$11:$AM$4010,MATCH(117,$AY$11:$AY$4010,0)),"")</f>
        <v/>
      </c>
      <c r="Y127" s="11" t="str">
        <f>IF(X127="","",IFERROR(INDEX($AN$11:$AN$4010,MATCH(117,$AY$11:$AY$4010,0)),""))</f>
        <v/>
      </c>
      <c r="Z127" s="11" t="str">
        <f>IF(X127="","",IFERROR(INDEX($AO$11:$AO$4010,MATCH(117,$AY$11:$AY$4010,0)),""))</f>
        <v/>
      </c>
      <c r="AA127" s="10" t="str">
        <f>IF(X127="","",IFERROR(INDEX($AQ$11:$AQ$4010,MATCH(117,$AY$11:$AY$4010,0)),""))</f>
        <v/>
      </c>
      <c r="AB127" s="15" t="str">
        <f>IF(X127="","",IFERROR(INDEX($AR$11:$AR$4010,MATCH(117,$AY$11:$AY$4010,0)),""))</f>
        <v/>
      </c>
      <c r="AD127" s="16" t="str">
        <f>IF(AE127="","",IFERROR(INDEX($AL$11:$AL$4010,MATCH(117,$AZ$11:$AZ$4010,0)),""))</f>
        <v/>
      </c>
      <c r="AE127" s="12" t="str">
        <f>IFERROR(INDEX($AM$11:$AM$4010,MATCH(117,$AZ$11:$AZ$4010,0)),"")</f>
        <v/>
      </c>
      <c r="AF127" s="11" t="str">
        <f>IF(AE127="","",IFERROR(INDEX($AN$11:$AN$4010,MATCH(117,$AZ$11:$AZ$4010,0)),""))</f>
        <v/>
      </c>
      <c r="AG127" s="11" t="str">
        <f>IF(AE127="","",IFERROR(INDEX($AO$11:$AO$4010,MATCH(117,$AZ$11:$AZ$4010,0)),""))</f>
        <v/>
      </c>
      <c r="AH127" s="10" t="str">
        <f>IF(AE127="","",IFERROR(INDEX($AQ$11:$AQ$4010,MATCH(117,$AZ$11:$AZ$4010,0)),""))</f>
        <v/>
      </c>
      <c r="AI127" s="15" t="str">
        <f>IF(AE127="","",IFERROR(INDEX($AR$11:$AR$4010,MATCH(117,$AZ$11:$AZ$4010,0)),""))</f>
        <v/>
      </c>
      <c r="AJ127" s="15" t="str">
        <f>IF(AE127="","",IFERROR(INDEX($AT$11:$AT$4010,MATCH(117,$AZ$11:$AZ$4010,0)),""))</f>
        <v/>
      </c>
      <c r="AL127" s="17" t="str">
        <f t="shared" si="20"/>
        <v/>
      </c>
      <c r="AM127" s="12" t="str">
        <f t="shared" si="21"/>
        <v/>
      </c>
      <c r="AN127" s="18" t="str">
        <f t="shared" si="22"/>
        <v/>
      </c>
      <c r="AO127" s="18" t="str">
        <f t="shared" si="23"/>
        <v/>
      </c>
      <c r="AP127" s="10" t="str">
        <f t="shared" si="24"/>
        <v/>
      </c>
      <c r="AQ127" s="10" t="str">
        <f t="shared" si="25"/>
        <v/>
      </c>
      <c r="AR127" s="19" t="str">
        <f t="shared" si="26"/>
        <v/>
      </c>
      <c r="AS127" s="20"/>
      <c r="AT127" s="19"/>
      <c r="AV127" s="21">
        <f>IF(AND($AL127&lt;&gt;"",COUNTIF($AL$11:$AL127,$AL127)=1),1,0)</f>
        <v>0</v>
      </c>
      <c r="AW127" s="21">
        <f t="shared" si="28"/>
        <v>0</v>
      </c>
      <c r="AX127" s="21" t="str">
        <f t="shared" si="27"/>
        <v/>
      </c>
      <c r="AY127" s="21" t="str">
        <f>IF(AND($AM127&lt;&gt;"",$AS127&lt;&gt;"✓"),SUMPRODUCT(($AM$11:$AM127&lt;&gt;"")*($AS$11:$AS127&lt;&gt;"✓")),"")</f>
        <v/>
      </c>
      <c r="AZ127" s="21" t="str">
        <f>IF(AND($AM127&lt;&gt;"",$AS127="✓"),SUMPRODUCT(($AM$11:$AM127&lt;&gt;"")*($AS$11:$AS127="✓")),"")</f>
        <v/>
      </c>
      <c r="BA127" s="21" t="str">
        <f>IF($AL127="","",$AL127&amp;"|"&amp;COUNTIF($AL$11:$AL127,$AL127))</f>
        <v/>
      </c>
    </row>
    <row r="128" spans="2:53" ht="15" customHeight="1" x14ac:dyDescent="0.25">
      <c r="B128" s="5" t="str">
        <f t="shared" si="15"/>
        <v/>
      </c>
      <c r="C128" s="5"/>
      <c r="D128" s="5"/>
      <c r="E128" s="5"/>
      <c r="F128" s="6"/>
      <c r="G128" s="6"/>
      <c r="H128" s="7"/>
      <c r="I128" s="8"/>
      <c r="K128" s="23" t="str">
        <f>IFERROR(INDEX($AL$11:$AL$4010,MATCH(118,$AX$11:$AX$4010,0)),"")</f>
        <v/>
      </c>
      <c r="L128" s="24" t="str">
        <f t="shared" si="16"/>
        <v/>
      </c>
      <c r="M128" s="25" t="str">
        <f t="shared" si="17"/>
        <v/>
      </c>
      <c r="N128" s="25" t="str">
        <f t="shared" si="18"/>
        <v/>
      </c>
      <c r="P128" s="26" t="str">
        <f>IFERROR(INDEX($AM$11:$AM$4010,MATCH($S$8&amp;"|"&amp;118,$BA$11:$BA$4010,0)),"")</f>
        <v/>
      </c>
      <c r="Q128" s="25" t="str">
        <f>IF(P128="","",IFERROR(INDEX($AN$11:$AN$4010,MATCH($S$8&amp;"|"&amp;118,$BA$11:$BA$4010,0)),""))</f>
        <v/>
      </c>
      <c r="R128" s="25" t="str">
        <f>IF(P128="","",IFERROR(INDEX($AO$11:$AO$4010,MATCH($S$8&amp;"|"&amp;118,$BA$11:$BA$4010,0)),""))</f>
        <v/>
      </c>
      <c r="S128" s="24" t="str">
        <f>IF(P128="","",IFERROR(INDEX($AP$11:$AP$4010,MATCH($S$8&amp;"|"&amp;118,$BA$11:$BA$4010,0)),""))</f>
        <v/>
      </c>
      <c r="T128" s="24" t="str">
        <f>IF(P128="","",IFERROR(INDEX($AQ$11:$AQ$4010,MATCH($S$8&amp;"|"&amp;118,$BA$11:$BA$4010,0)),""))</f>
        <v/>
      </c>
      <c r="U128" s="38" t="str">
        <f t="shared" si="29"/>
        <v/>
      </c>
      <c r="W128" s="28" t="str">
        <f>IF(X128="","",IFERROR(INDEX($AL$11:$AL$4010,MATCH(118,$AY$11:$AY$4010,0)),""))</f>
        <v/>
      </c>
      <c r="X128" s="26" t="str">
        <f>IFERROR(INDEX($AM$11:$AM$4010,MATCH(118,$AY$11:$AY$4010,0)),"")</f>
        <v/>
      </c>
      <c r="Y128" s="25" t="str">
        <f>IF(X128="","",IFERROR(INDEX($AN$11:$AN$4010,MATCH(118,$AY$11:$AY$4010,0)),""))</f>
        <v/>
      </c>
      <c r="Z128" s="25" t="str">
        <f>IF(X128="","",IFERROR(INDEX($AO$11:$AO$4010,MATCH(118,$AY$11:$AY$4010,0)),""))</f>
        <v/>
      </c>
      <c r="AA128" s="24" t="str">
        <f>IF(X128="","",IFERROR(INDEX($AQ$11:$AQ$4010,MATCH(118,$AY$11:$AY$4010,0)),""))</f>
        <v/>
      </c>
      <c r="AB128" s="29" t="str">
        <f>IF(X128="","",IFERROR(INDEX($AR$11:$AR$4010,MATCH(118,$AY$11:$AY$4010,0)),""))</f>
        <v/>
      </c>
      <c r="AD128" s="30" t="str">
        <f>IF(AE128="","",IFERROR(INDEX($AL$11:$AL$4010,MATCH(118,$AZ$11:$AZ$4010,0)),""))</f>
        <v/>
      </c>
      <c r="AE128" s="26" t="str">
        <f>IFERROR(INDEX($AM$11:$AM$4010,MATCH(118,$AZ$11:$AZ$4010,0)),"")</f>
        <v/>
      </c>
      <c r="AF128" s="25" t="str">
        <f>IF(AE128="","",IFERROR(INDEX($AN$11:$AN$4010,MATCH(118,$AZ$11:$AZ$4010,0)),""))</f>
        <v/>
      </c>
      <c r="AG128" s="25" t="str">
        <f>IF(AE128="","",IFERROR(INDEX($AO$11:$AO$4010,MATCH(118,$AZ$11:$AZ$4010,0)),""))</f>
        <v/>
      </c>
      <c r="AH128" s="24" t="str">
        <f>IF(AE128="","",IFERROR(INDEX($AQ$11:$AQ$4010,MATCH(118,$AZ$11:$AZ$4010,0)),""))</f>
        <v/>
      </c>
      <c r="AI128" s="29" t="str">
        <f>IF(AE128="","",IFERROR(INDEX($AR$11:$AR$4010,MATCH(118,$AZ$11:$AZ$4010,0)),""))</f>
        <v/>
      </c>
      <c r="AJ128" s="29" t="str">
        <f>IF(AE128="","",IFERROR(INDEX($AT$11:$AT$4010,MATCH(118,$AZ$11:$AZ$4010,0)),""))</f>
        <v/>
      </c>
      <c r="AL128" s="31" t="str">
        <f t="shared" si="20"/>
        <v/>
      </c>
      <c r="AM128" s="26" t="str">
        <f t="shared" si="21"/>
        <v/>
      </c>
      <c r="AN128" s="32" t="str">
        <f t="shared" si="22"/>
        <v/>
      </c>
      <c r="AO128" s="32" t="str">
        <f t="shared" si="23"/>
        <v/>
      </c>
      <c r="AP128" s="24" t="str">
        <f t="shared" si="24"/>
        <v/>
      </c>
      <c r="AQ128" s="24" t="str">
        <f t="shared" si="25"/>
        <v/>
      </c>
      <c r="AR128" s="33" t="str">
        <f t="shared" si="26"/>
        <v/>
      </c>
      <c r="AS128" s="34"/>
      <c r="AT128" s="33"/>
      <c r="AV128" s="21">
        <f>IF(AND($AL128&lt;&gt;"",COUNTIF($AL$11:$AL128,$AL128)=1),1,0)</f>
        <v>0</v>
      </c>
      <c r="AW128" s="21">
        <f t="shared" si="28"/>
        <v>0</v>
      </c>
      <c r="AX128" s="21" t="str">
        <f t="shared" si="27"/>
        <v/>
      </c>
      <c r="AY128" s="21" t="str">
        <f>IF(AND($AM128&lt;&gt;"",$AS128&lt;&gt;"✓"),SUMPRODUCT(($AM$11:$AM128&lt;&gt;"")*($AS$11:$AS128&lt;&gt;"✓")),"")</f>
        <v/>
      </c>
      <c r="AZ128" s="21" t="str">
        <f>IF(AND($AM128&lt;&gt;"",$AS128="✓"),SUMPRODUCT(($AM$11:$AM128&lt;&gt;"")*($AS$11:$AS128="✓")),"")</f>
        <v/>
      </c>
      <c r="BA128" s="21" t="str">
        <f>IF($AL128="","",$AL128&amp;"|"&amp;COUNTIF($AL$11:$AL128,$AL128))</f>
        <v/>
      </c>
    </row>
    <row r="129" spans="2:53" ht="15" customHeight="1" x14ac:dyDescent="0.25">
      <c r="B129" s="5" t="str">
        <f t="shared" si="15"/>
        <v/>
      </c>
      <c r="C129" s="5"/>
      <c r="D129" s="5"/>
      <c r="E129" s="5"/>
      <c r="F129" s="6"/>
      <c r="G129" s="6"/>
      <c r="H129" s="7"/>
      <c r="I129" s="8"/>
      <c r="K129" s="9" t="str">
        <f>IFERROR(INDEX($AL$11:$AL$4010,MATCH(119,$AX$11:$AX$4010,0)),"")</f>
        <v/>
      </c>
      <c r="L129" s="10" t="str">
        <f t="shared" si="16"/>
        <v/>
      </c>
      <c r="M129" s="11" t="str">
        <f t="shared" si="17"/>
        <v/>
      </c>
      <c r="N129" s="11" t="str">
        <f t="shared" si="18"/>
        <v/>
      </c>
      <c r="P129" s="12" t="str">
        <f>IFERROR(INDEX($AM$11:$AM$4010,MATCH($S$8&amp;"|"&amp;119,$BA$11:$BA$4010,0)),"")</f>
        <v/>
      </c>
      <c r="Q129" s="11" t="str">
        <f>IF(P129="","",IFERROR(INDEX($AN$11:$AN$4010,MATCH($S$8&amp;"|"&amp;119,$BA$11:$BA$4010,0)),""))</f>
        <v/>
      </c>
      <c r="R129" s="11" t="str">
        <f>IF(P129="","",IFERROR(INDEX($AO$11:$AO$4010,MATCH($S$8&amp;"|"&amp;119,$BA$11:$BA$4010,0)),""))</f>
        <v/>
      </c>
      <c r="S129" s="10" t="str">
        <f>IF(P129="","",IFERROR(INDEX($AP$11:$AP$4010,MATCH($S$8&amp;"|"&amp;119,$BA$11:$BA$4010,0)),""))</f>
        <v/>
      </c>
      <c r="T129" s="10" t="str">
        <f>IF(P129="","",IFERROR(INDEX($AQ$11:$AQ$4010,MATCH($S$8&amp;"|"&amp;119,$BA$11:$BA$4010,0)),""))</f>
        <v/>
      </c>
      <c r="U129" s="39" t="str">
        <f t="shared" si="29"/>
        <v/>
      </c>
      <c r="W129" s="14" t="str">
        <f>IF(X129="","",IFERROR(INDEX($AL$11:$AL$4010,MATCH(119,$AY$11:$AY$4010,0)),""))</f>
        <v/>
      </c>
      <c r="X129" s="12" t="str">
        <f>IFERROR(INDEX($AM$11:$AM$4010,MATCH(119,$AY$11:$AY$4010,0)),"")</f>
        <v/>
      </c>
      <c r="Y129" s="11" t="str">
        <f>IF(X129="","",IFERROR(INDEX($AN$11:$AN$4010,MATCH(119,$AY$11:$AY$4010,0)),""))</f>
        <v/>
      </c>
      <c r="Z129" s="11" t="str">
        <f>IF(X129="","",IFERROR(INDEX($AO$11:$AO$4010,MATCH(119,$AY$11:$AY$4010,0)),""))</f>
        <v/>
      </c>
      <c r="AA129" s="10" t="str">
        <f>IF(X129="","",IFERROR(INDEX($AQ$11:$AQ$4010,MATCH(119,$AY$11:$AY$4010,0)),""))</f>
        <v/>
      </c>
      <c r="AB129" s="15" t="str">
        <f>IF(X129="","",IFERROR(INDEX($AR$11:$AR$4010,MATCH(119,$AY$11:$AY$4010,0)),""))</f>
        <v/>
      </c>
      <c r="AD129" s="16" t="str">
        <f>IF(AE129="","",IFERROR(INDEX($AL$11:$AL$4010,MATCH(119,$AZ$11:$AZ$4010,0)),""))</f>
        <v/>
      </c>
      <c r="AE129" s="12" t="str">
        <f>IFERROR(INDEX($AM$11:$AM$4010,MATCH(119,$AZ$11:$AZ$4010,0)),"")</f>
        <v/>
      </c>
      <c r="AF129" s="11" t="str">
        <f>IF(AE129="","",IFERROR(INDEX($AN$11:$AN$4010,MATCH(119,$AZ$11:$AZ$4010,0)),""))</f>
        <v/>
      </c>
      <c r="AG129" s="11" t="str">
        <f>IF(AE129="","",IFERROR(INDEX($AO$11:$AO$4010,MATCH(119,$AZ$11:$AZ$4010,0)),""))</f>
        <v/>
      </c>
      <c r="AH129" s="10" t="str">
        <f>IF(AE129="","",IFERROR(INDEX($AQ$11:$AQ$4010,MATCH(119,$AZ$11:$AZ$4010,0)),""))</f>
        <v/>
      </c>
      <c r="AI129" s="15" t="str">
        <f>IF(AE129="","",IFERROR(INDEX($AR$11:$AR$4010,MATCH(119,$AZ$11:$AZ$4010,0)),""))</f>
        <v/>
      </c>
      <c r="AJ129" s="15" t="str">
        <f>IF(AE129="","",IFERROR(INDEX($AT$11:$AT$4010,MATCH(119,$AZ$11:$AZ$4010,0)),""))</f>
        <v/>
      </c>
      <c r="AL129" s="17" t="str">
        <f t="shared" si="20"/>
        <v/>
      </c>
      <c r="AM129" s="12" t="str">
        <f t="shared" si="21"/>
        <v/>
      </c>
      <c r="AN129" s="18" t="str">
        <f t="shared" si="22"/>
        <v/>
      </c>
      <c r="AO129" s="18" t="str">
        <f t="shared" si="23"/>
        <v/>
      </c>
      <c r="AP129" s="10" t="str">
        <f t="shared" si="24"/>
        <v/>
      </c>
      <c r="AQ129" s="10" t="str">
        <f t="shared" si="25"/>
        <v/>
      </c>
      <c r="AR129" s="19" t="str">
        <f t="shared" si="26"/>
        <v/>
      </c>
      <c r="AS129" s="20"/>
      <c r="AT129" s="19"/>
      <c r="AV129" s="21">
        <f>IF(AND($AL129&lt;&gt;"",COUNTIF($AL$11:$AL129,$AL129)=1),1,0)</f>
        <v>0</v>
      </c>
      <c r="AW129" s="21">
        <f t="shared" si="28"/>
        <v>0</v>
      </c>
      <c r="AX129" s="21" t="str">
        <f t="shared" si="27"/>
        <v/>
      </c>
      <c r="AY129" s="21" t="str">
        <f>IF(AND($AM129&lt;&gt;"",$AS129&lt;&gt;"✓"),SUMPRODUCT(($AM$11:$AM129&lt;&gt;"")*($AS$11:$AS129&lt;&gt;"✓")),"")</f>
        <v/>
      </c>
      <c r="AZ129" s="21" t="str">
        <f>IF(AND($AM129&lt;&gt;"",$AS129="✓"),SUMPRODUCT(($AM$11:$AM129&lt;&gt;"")*($AS$11:$AS129="✓")),"")</f>
        <v/>
      </c>
      <c r="BA129" s="21" t="str">
        <f>IF($AL129="","",$AL129&amp;"|"&amp;COUNTIF($AL$11:$AL129,$AL129))</f>
        <v/>
      </c>
    </row>
    <row r="130" spans="2:53" ht="15" customHeight="1" x14ac:dyDescent="0.25">
      <c r="B130" s="5" t="str">
        <f t="shared" si="15"/>
        <v/>
      </c>
      <c r="C130" s="5"/>
      <c r="D130" s="5"/>
      <c r="E130" s="5"/>
      <c r="F130" s="6"/>
      <c r="G130" s="6"/>
      <c r="H130" s="7"/>
      <c r="I130" s="8"/>
      <c r="K130" s="23" t="str">
        <f>IFERROR(INDEX($AL$11:$AL$4010,MATCH(120,$AX$11:$AX$4010,0)),"")</f>
        <v/>
      </c>
      <c r="L130" s="24" t="str">
        <f t="shared" si="16"/>
        <v/>
      </c>
      <c r="M130" s="25" t="str">
        <f t="shared" si="17"/>
        <v/>
      </c>
      <c r="N130" s="25" t="str">
        <f t="shared" si="18"/>
        <v/>
      </c>
      <c r="P130" s="26" t="str">
        <f>IFERROR(INDEX($AM$11:$AM$4010,MATCH($S$8&amp;"|"&amp;120,$BA$11:$BA$4010,0)),"")</f>
        <v/>
      </c>
      <c r="Q130" s="25" t="str">
        <f>IF(P130="","",IFERROR(INDEX($AN$11:$AN$4010,MATCH($S$8&amp;"|"&amp;120,$BA$11:$BA$4010,0)),""))</f>
        <v/>
      </c>
      <c r="R130" s="25" t="str">
        <f>IF(P130="","",IFERROR(INDEX($AO$11:$AO$4010,MATCH($S$8&amp;"|"&amp;120,$BA$11:$BA$4010,0)),""))</f>
        <v/>
      </c>
      <c r="S130" s="24" t="str">
        <f>IF(P130="","",IFERROR(INDEX($AP$11:$AP$4010,MATCH($S$8&amp;"|"&amp;120,$BA$11:$BA$4010,0)),""))</f>
        <v/>
      </c>
      <c r="T130" s="24" t="str">
        <f>IF(P130="","",IFERROR(INDEX($AQ$11:$AQ$4010,MATCH($S$8&amp;"|"&amp;120,$BA$11:$BA$4010,0)),""))</f>
        <v/>
      </c>
      <c r="U130" s="38" t="str">
        <f t="shared" si="29"/>
        <v/>
      </c>
      <c r="W130" s="28" t="str">
        <f>IF(X130="","",IFERROR(INDEX($AL$11:$AL$4010,MATCH(120,$AY$11:$AY$4010,0)),""))</f>
        <v/>
      </c>
      <c r="X130" s="26" t="str">
        <f>IFERROR(INDEX($AM$11:$AM$4010,MATCH(120,$AY$11:$AY$4010,0)),"")</f>
        <v/>
      </c>
      <c r="Y130" s="25" t="str">
        <f>IF(X130="","",IFERROR(INDEX($AN$11:$AN$4010,MATCH(120,$AY$11:$AY$4010,0)),""))</f>
        <v/>
      </c>
      <c r="Z130" s="25" t="str">
        <f>IF(X130="","",IFERROR(INDEX($AO$11:$AO$4010,MATCH(120,$AY$11:$AY$4010,0)),""))</f>
        <v/>
      </c>
      <c r="AA130" s="24" t="str">
        <f>IF(X130="","",IFERROR(INDEX($AQ$11:$AQ$4010,MATCH(120,$AY$11:$AY$4010,0)),""))</f>
        <v/>
      </c>
      <c r="AB130" s="29" t="str">
        <f>IF(X130="","",IFERROR(INDEX($AR$11:$AR$4010,MATCH(120,$AY$11:$AY$4010,0)),""))</f>
        <v/>
      </c>
      <c r="AD130" s="30" t="str">
        <f>IF(AE130="","",IFERROR(INDEX($AL$11:$AL$4010,MATCH(120,$AZ$11:$AZ$4010,0)),""))</f>
        <v/>
      </c>
      <c r="AE130" s="26" t="str">
        <f>IFERROR(INDEX($AM$11:$AM$4010,MATCH(120,$AZ$11:$AZ$4010,0)),"")</f>
        <v/>
      </c>
      <c r="AF130" s="25" t="str">
        <f>IF(AE130="","",IFERROR(INDEX($AN$11:$AN$4010,MATCH(120,$AZ$11:$AZ$4010,0)),""))</f>
        <v/>
      </c>
      <c r="AG130" s="25" t="str">
        <f>IF(AE130="","",IFERROR(INDEX($AO$11:$AO$4010,MATCH(120,$AZ$11:$AZ$4010,0)),""))</f>
        <v/>
      </c>
      <c r="AH130" s="24" t="str">
        <f>IF(AE130="","",IFERROR(INDEX($AQ$11:$AQ$4010,MATCH(120,$AZ$11:$AZ$4010,0)),""))</f>
        <v/>
      </c>
      <c r="AI130" s="29" t="str">
        <f>IF(AE130="","",IFERROR(INDEX($AR$11:$AR$4010,MATCH(120,$AZ$11:$AZ$4010,0)),""))</f>
        <v/>
      </c>
      <c r="AJ130" s="29" t="str">
        <f>IF(AE130="","",IFERROR(INDEX($AT$11:$AT$4010,MATCH(120,$AZ$11:$AZ$4010,0)),""))</f>
        <v/>
      </c>
      <c r="AL130" s="31" t="str">
        <f t="shared" si="20"/>
        <v/>
      </c>
      <c r="AM130" s="26" t="str">
        <f t="shared" si="21"/>
        <v/>
      </c>
      <c r="AN130" s="32" t="str">
        <f t="shared" si="22"/>
        <v/>
      </c>
      <c r="AO130" s="32" t="str">
        <f t="shared" si="23"/>
        <v/>
      </c>
      <c r="AP130" s="24" t="str">
        <f t="shared" si="24"/>
        <v/>
      </c>
      <c r="AQ130" s="24" t="str">
        <f t="shared" si="25"/>
        <v/>
      </c>
      <c r="AR130" s="33" t="str">
        <f t="shared" si="26"/>
        <v/>
      </c>
      <c r="AS130" s="34"/>
      <c r="AT130" s="33"/>
      <c r="AV130" s="21">
        <f>IF(AND($AL130&lt;&gt;"",COUNTIF($AL$11:$AL130,$AL130)=1),1,0)</f>
        <v>0</v>
      </c>
      <c r="AW130" s="21">
        <f t="shared" si="28"/>
        <v>0</v>
      </c>
      <c r="AX130" s="21" t="str">
        <f t="shared" si="27"/>
        <v/>
      </c>
      <c r="AY130" s="21" t="str">
        <f>IF(AND($AM130&lt;&gt;"",$AS130&lt;&gt;"✓"),SUMPRODUCT(($AM$11:$AM130&lt;&gt;"")*($AS$11:$AS130&lt;&gt;"✓")),"")</f>
        <v/>
      </c>
      <c r="AZ130" s="21" t="str">
        <f>IF(AND($AM130&lt;&gt;"",$AS130="✓"),SUMPRODUCT(($AM$11:$AM130&lt;&gt;"")*($AS$11:$AS130="✓")),"")</f>
        <v/>
      </c>
      <c r="BA130" s="21" t="str">
        <f>IF($AL130="","",$AL130&amp;"|"&amp;COUNTIF($AL$11:$AL130,$AL130))</f>
        <v/>
      </c>
    </row>
    <row r="131" spans="2:53" ht="15" customHeight="1" x14ac:dyDescent="0.25">
      <c r="B131" s="5" t="str">
        <f t="shared" si="15"/>
        <v/>
      </c>
      <c r="C131" s="5"/>
      <c r="D131" s="5"/>
      <c r="E131" s="5"/>
      <c r="F131" s="6"/>
      <c r="G131" s="6"/>
      <c r="H131" s="7"/>
      <c r="I131" s="8"/>
      <c r="K131" s="9" t="str">
        <f>IFERROR(INDEX($AL$11:$AL$4010,MATCH(121,$AX$11:$AX$4010,0)),"")</f>
        <v/>
      </c>
      <c r="L131" s="10" t="str">
        <f t="shared" si="16"/>
        <v/>
      </c>
      <c r="M131" s="11" t="str">
        <f t="shared" si="17"/>
        <v/>
      </c>
      <c r="N131" s="11" t="str">
        <f t="shared" si="18"/>
        <v/>
      </c>
      <c r="P131" s="12" t="str">
        <f>IFERROR(INDEX($AM$11:$AM$4010,MATCH($S$8&amp;"|"&amp;121,$BA$11:$BA$4010,0)),"")</f>
        <v/>
      </c>
      <c r="Q131" s="11" t="str">
        <f>IF(P131="","",IFERROR(INDEX($AN$11:$AN$4010,MATCH($S$8&amp;"|"&amp;121,$BA$11:$BA$4010,0)),""))</f>
        <v/>
      </c>
      <c r="R131" s="11" t="str">
        <f>IF(P131="","",IFERROR(INDEX($AO$11:$AO$4010,MATCH($S$8&amp;"|"&amp;121,$BA$11:$BA$4010,0)),""))</f>
        <v/>
      </c>
      <c r="S131" s="10" t="str">
        <f>IF(P131="","",IFERROR(INDEX($AP$11:$AP$4010,MATCH($S$8&amp;"|"&amp;121,$BA$11:$BA$4010,0)),""))</f>
        <v/>
      </c>
      <c r="T131" s="10" t="str">
        <f>IF(P131="","",IFERROR(INDEX($AQ$11:$AQ$4010,MATCH($S$8&amp;"|"&amp;121,$BA$11:$BA$4010,0)),""))</f>
        <v/>
      </c>
      <c r="U131" s="39" t="str">
        <f t="shared" si="29"/>
        <v/>
      </c>
      <c r="W131" s="14" t="str">
        <f>IF(X131="","",IFERROR(INDEX($AL$11:$AL$4010,MATCH(121,$AY$11:$AY$4010,0)),""))</f>
        <v/>
      </c>
      <c r="X131" s="12" t="str">
        <f>IFERROR(INDEX($AM$11:$AM$4010,MATCH(121,$AY$11:$AY$4010,0)),"")</f>
        <v/>
      </c>
      <c r="Y131" s="11" t="str">
        <f>IF(X131="","",IFERROR(INDEX($AN$11:$AN$4010,MATCH(121,$AY$11:$AY$4010,0)),""))</f>
        <v/>
      </c>
      <c r="Z131" s="11" t="str">
        <f>IF(X131="","",IFERROR(INDEX($AO$11:$AO$4010,MATCH(121,$AY$11:$AY$4010,0)),""))</f>
        <v/>
      </c>
      <c r="AA131" s="10" t="str">
        <f>IF(X131="","",IFERROR(INDEX($AQ$11:$AQ$4010,MATCH(121,$AY$11:$AY$4010,0)),""))</f>
        <v/>
      </c>
      <c r="AB131" s="15" t="str">
        <f>IF(X131="","",IFERROR(INDEX($AR$11:$AR$4010,MATCH(121,$AY$11:$AY$4010,0)),""))</f>
        <v/>
      </c>
      <c r="AD131" s="16" t="str">
        <f>IF(AE131="","",IFERROR(INDEX($AL$11:$AL$4010,MATCH(121,$AZ$11:$AZ$4010,0)),""))</f>
        <v/>
      </c>
      <c r="AE131" s="12" t="str">
        <f>IFERROR(INDEX($AM$11:$AM$4010,MATCH(121,$AZ$11:$AZ$4010,0)),"")</f>
        <v/>
      </c>
      <c r="AF131" s="11" t="str">
        <f>IF(AE131="","",IFERROR(INDEX($AN$11:$AN$4010,MATCH(121,$AZ$11:$AZ$4010,0)),""))</f>
        <v/>
      </c>
      <c r="AG131" s="11" t="str">
        <f>IF(AE131="","",IFERROR(INDEX($AO$11:$AO$4010,MATCH(121,$AZ$11:$AZ$4010,0)),""))</f>
        <v/>
      </c>
      <c r="AH131" s="10" t="str">
        <f>IF(AE131="","",IFERROR(INDEX($AQ$11:$AQ$4010,MATCH(121,$AZ$11:$AZ$4010,0)),""))</f>
        <v/>
      </c>
      <c r="AI131" s="15" t="str">
        <f>IF(AE131="","",IFERROR(INDEX($AR$11:$AR$4010,MATCH(121,$AZ$11:$AZ$4010,0)),""))</f>
        <v/>
      </c>
      <c r="AJ131" s="15" t="str">
        <f>IF(AE131="","",IFERROR(INDEX($AT$11:$AT$4010,MATCH(121,$AZ$11:$AZ$4010,0)),""))</f>
        <v/>
      </c>
      <c r="AL131" s="17" t="str">
        <f t="shared" si="20"/>
        <v/>
      </c>
      <c r="AM131" s="12" t="str">
        <f t="shared" si="21"/>
        <v/>
      </c>
      <c r="AN131" s="18" t="str">
        <f t="shared" si="22"/>
        <v/>
      </c>
      <c r="AO131" s="18" t="str">
        <f t="shared" si="23"/>
        <v/>
      </c>
      <c r="AP131" s="10" t="str">
        <f t="shared" si="24"/>
        <v/>
      </c>
      <c r="AQ131" s="10" t="str">
        <f t="shared" si="25"/>
        <v/>
      </c>
      <c r="AR131" s="19" t="str">
        <f t="shared" si="26"/>
        <v/>
      </c>
      <c r="AS131" s="20"/>
      <c r="AT131" s="19"/>
      <c r="AV131" s="21">
        <f>IF(AND($AL131&lt;&gt;"",COUNTIF($AL$11:$AL131,$AL131)=1),1,0)</f>
        <v>0</v>
      </c>
      <c r="AW131" s="21">
        <f t="shared" si="28"/>
        <v>0</v>
      </c>
      <c r="AX131" s="21" t="str">
        <f t="shared" si="27"/>
        <v/>
      </c>
      <c r="AY131" s="21" t="str">
        <f>IF(AND($AM131&lt;&gt;"",$AS131&lt;&gt;"✓"),SUMPRODUCT(($AM$11:$AM131&lt;&gt;"")*($AS$11:$AS131&lt;&gt;"✓")),"")</f>
        <v/>
      </c>
      <c r="AZ131" s="21" t="str">
        <f>IF(AND($AM131&lt;&gt;"",$AS131="✓"),SUMPRODUCT(($AM$11:$AM131&lt;&gt;"")*($AS$11:$AS131="✓")),"")</f>
        <v/>
      </c>
      <c r="BA131" s="21" t="str">
        <f>IF($AL131="","",$AL131&amp;"|"&amp;COUNTIF($AL$11:$AL131,$AL131))</f>
        <v/>
      </c>
    </row>
    <row r="132" spans="2:53" ht="15" customHeight="1" x14ac:dyDescent="0.25">
      <c r="B132" s="5" t="str">
        <f t="shared" si="15"/>
        <v/>
      </c>
      <c r="C132" s="5"/>
      <c r="D132" s="5"/>
      <c r="E132" s="5"/>
      <c r="F132" s="6"/>
      <c r="G132" s="6"/>
      <c r="H132" s="7"/>
      <c r="I132" s="8"/>
      <c r="K132" s="23" t="str">
        <f>IFERROR(INDEX($AL$11:$AL$4010,MATCH(122,$AX$11:$AX$4010,0)),"")</f>
        <v/>
      </c>
      <c r="L132" s="24" t="str">
        <f t="shared" si="16"/>
        <v/>
      </c>
      <c r="M132" s="25" t="str">
        <f t="shared" si="17"/>
        <v/>
      </c>
      <c r="N132" s="25" t="str">
        <f t="shared" si="18"/>
        <v/>
      </c>
      <c r="P132" s="26" t="str">
        <f>IFERROR(INDEX($AM$11:$AM$4010,MATCH($S$8&amp;"|"&amp;122,$BA$11:$BA$4010,0)),"")</f>
        <v/>
      </c>
      <c r="Q132" s="25" t="str">
        <f>IF(P132="","",IFERROR(INDEX($AN$11:$AN$4010,MATCH($S$8&amp;"|"&amp;122,$BA$11:$BA$4010,0)),""))</f>
        <v/>
      </c>
      <c r="R132" s="25" t="str">
        <f>IF(P132="","",IFERROR(INDEX($AO$11:$AO$4010,MATCH($S$8&amp;"|"&amp;122,$BA$11:$BA$4010,0)),""))</f>
        <v/>
      </c>
      <c r="S132" s="24" t="str">
        <f>IF(P132="","",IFERROR(INDEX($AP$11:$AP$4010,MATCH($S$8&amp;"|"&amp;122,$BA$11:$BA$4010,0)),""))</f>
        <v/>
      </c>
      <c r="T132" s="24" t="str">
        <f>IF(P132="","",IFERROR(INDEX($AQ$11:$AQ$4010,MATCH($S$8&amp;"|"&amp;122,$BA$11:$BA$4010,0)),""))</f>
        <v/>
      </c>
      <c r="U132" s="38" t="str">
        <f t="shared" si="29"/>
        <v/>
      </c>
      <c r="W132" s="28" t="str">
        <f>IF(X132="","",IFERROR(INDEX($AL$11:$AL$4010,MATCH(122,$AY$11:$AY$4010,0)),""))</f>
        <v/>
      </c>
      <c r="X132" s="26" t="str">
        <f>IFERROR(INDEX($AM$11:$AM$4010,MATCH(122,$AY$11:$AY$4010,0)),"")</f>
        <v/>
      </c>
      <c r="Y132" s="25" t="str">
        <f>IF(X132="","",IFERROR(INDEX($AN$11:$AN$4010,MATCH(122,$AY$11:$AY$4010,0)),""))</f>
        <v/>
      </c>
      <c r="Z132" s="25" t="str">
        <f>IF(X132="","",IFERROR(INDEX($AO$11:$AO$4010,MATCH(122,$AY$11:$AY$4010,0)),""))</f>
        <v/>
      </c>
      <c r="AA132" s="24" t="str">
        <f>IF(X132="","",IFERROR(INDEX($AQ$11:$AQ$4010,MATCH(122,$AY$11:$AY$4010,0)),""))</f>
        <v/>
      </c>
      <c r="AB132" s="29" t="str">
        <f>IF(X132="","",IFERROR(INDEX($AR$11:$AR$4010,MATCH(122,$AY$11:$AY$4010,0)),""))</f>
        <v/>
      </c>
      <c r="AD132" s="30" t="str">
        <f>IF(AE132="","",IFERROR(INDEX($AL$11:$AL$4010,MATCH(122,$AZ$11:$AZ$4010,0)),""))</f>
        <v/>
      </c>
      <c r="AE132" s="26" t="str">
        <f>IFERROR(INDEX($AM$11:$AM$4010,MATCH(122,$AZ$11:$AZ$4010,0)),"")</f>
        <v/>
      </c>
      <c r="AF132" s="25" t="str">
        <f>IF(AE132="","",IFERROR(INDEX($AN$11:$AN$4010,MATCH(122,$AZ$11:$AZ$4010,0)),""))</f>
        <v/>
      </c>
      <c r="AG132" s="25" t="str">
        <f>IF(AE132="","",IFERROR(INDEX($AO$11:$AO$4010,MATCH(122,$AZ$11:$AZ$4010,0)),""))</f>
        <v/>
      </c>
      <c r="AH132" s="24" t="str">
        <f>IF(AE132="","",IFERROR(INDEX($AQ$11:$AQ$4010,MATCH(122,$AZ$11:$AZ$4010,0)),""))</f>
        <v/>
      </c>
      <c r="AI132" s="29" t="str">
        <f>IF(AE132="","",IFERROR(INDEX($AR$11:$AR$4010,MATCH(122,$AZ$11:$AZ$4010,0)),""))</f>
        <v/>
      </c>
      <c r="AJ132" s="29" t="str">
        <f>IF(AE132="","",IFERROR(INDEX($AT$11:$AT$4010,MATCH(122,$AZ$11:$AZ$4010,0)),""))</f>
        <v/>
      </c>
      <c r="AL132" s="31" t="str">
        <f t="shared" si="20"/>
        <v/>
      </c>
      <c r="AM132" s="26" t="str">
        <f t="shared" si="21"/>
        <v/>
      </c>
      <c r="AN132" s="32" t="str">
        <f t="shared" si="22"/>
        <v/>
      </c>
      <c r="AO132" s="32" t="str">
        <f t="shared" si="23"/>
        <v/>
      </c>
      <c r="AP132" s="24" t="str">
        <f t="shared" si="24"/>
        <v/>
      </c>
      <c r="AQ132" s="24" t="str">
        <f t="shared" si="25"/>
        <v/>
      </c>
      <c r="AR132" s="33" t="str">
        <f t="shared" si="26"/>
        <v/>
      </c>
      <c r="AS132" s="34"/>
      <c r="AT132" s="33"/>
      <c r="AV132" s="21">
        <f>IF(AND($AL132&lt;&gt;"",COUNTIF($AL$11:$AL132,$AL132)=1),1,0)</f>
        <v>0</v>
      </c>
      <c r="AW132" s="21">
        <f t="shared" si="28"/>
        <v>0</v>
      </c>
      <c r="AX132" s="21" t="str">
        <f t="shared" si="27"/>
        <v/>
      </c>
      <c r="AY132" s="21" t="str">
        <f>IF(AND($AM132&lt;&gt;"",$AS132&lt;&gt;"✓"),SUMPRODUCT(($AM$11:$AM132&lt;&gt;"")*($AS$11:$AS132&lt;&gt;"✓")),"")</f>
        <v/>
      </c>
      <c r="AZ132" s="21" t="str">
        <f>IF(AND($AM132&lt;&gt;"",$AS132="✓"),SUMPRODUCT(($AM$11:$AM132&lt;&gt;"")*($AS$11:$AS132="✓")),"")</f>
        <v/>
      </c>
      <c r="BA132" s="21" t="str">
        <f>IF($AL132="","",$AL132&amp;"|"&amp;COUNTIF($AL$11:$AL132,$AL132))</f>
        <v/>
      </c>
    </row>
    <row r="133" spans="2:53" ht="15" customHeight="1" x14ac:dyDescent="0.25">
      <c r="B133" s="5" t="str">
        <f t="shared" si="15"/>
        <v/>
      </c>
      <c r="C133" s="5"/>
      <c r="D133" s="5"/>
      <c r="E133" s="5"/>
      <c r="F133" s="6"/>
      <c r="G133" s="6"/>
      <c r="H133" s="7"/>
      <c r="I133" s="8"/>
      <c r="K133" s="9" t="str">
        <f>IFERROR(INDEX($AL$11:$AL$4010,MATCH(123,$AX$11:$AX$4010,0)),"")</f>
        <v/>
      </c>
      <c r="L133" s="10" t="str">
        <f t="shared" si="16"/>
        <v/>
      </c>
      <c r="M133" s="11" t="str">
        <f t="shared" si="17"/>
        <v/>
      </c>
      <c r="N133" s="11" t="str">
        <f t="shared" si="18"/>
        <v/>
      </c>
      <c r="P133" s="12" t="str">
        <f>IFERROR(INDEX($AM$11:$AM$4010,MATCH($S$8&amp;"|"&amp;123,$BA$11:$BA$4010,0)),"")</f>
        <v/>
      </c>
      <c r="Q133" s="11" t="str">
        <f>IF(P133="","",IFERROR(INDEX($AN$11:$AN$4010,MATCH($S$8&amp;"|"&amp;123,$BA$11:$BA$4010,0)),""))</f>
        <v/>
      </c>
      <c r="R133" s="11" t="str">
        <f>IF(P133="","",IFERROR(INDEX($AO$11:$AO$4010,MATCH($S$8&amp;"|"&amp;123,$BA$11:$BA$4010,0)),""))</f>
        <v/>
      </c>
      <c r="S133" s="10" t="str">
        <f>IF(P133="","",IFERROR(INDEX($AP$11:$AP$4010,MATCH($S$8&amp;"|"&amp;123,$BA$11:$BA$4010,0)),""))</f>
        <v/>
      </c>
      <c r="T133" s="10" t="str">
        <f>IF(P133="","",IFERROR(INDEX($AQ$11:$AQ$4010,MATCH($S$8&amp;"|"&amp;123,$BA$11:$BA$4010,0)),""))</f>
        <v/>
      </c>
      <c r="U133" s="39" t="str">
        <f t="shared" si="29"/>
        <v/>
      </c>
      <c r="W133" s="14" t="str">
        <f>IF(X133="","",IFERROR(INDEX($AL$11:$AL$4010,MATCH(123,$AY$11:$AY$4010,0)),""))</f>
        <v/>
      </c>
      <c r="X133" s="12" t="str">
        <f>IFERROR(INDEX($AM$11:$AM$4010,MATCH(123,$AY$11:$AY$4010,0)),"")</f>
        <v/>
      </c>
      <c r="Y133" s="11" t="str">
        <f>IF(X133="","",IFERROR(INDEX($AN$11:$AN$4010,MATCH(123,$AY$11:$AY$4010,0)),""))</f>
        <v/>
      </c>
      <c r="Z133" s="11" t="str">
        <f>IF(X133="","",IFERROR(INDEX($AO$11:$AO$4010,MATCH(123,$AY$11:$AY$4010,0)),""))</f>
        <v/>
      </c>
      <c r="AA133" s="10" t="str">
        <f>IF(X133="","",IFERROR(INDEX($AQ$11:$AQ$4010,MATCH(123,$AY$11:$AY$4010,0)),""))</f>
        <v/>
      </c>
      <c r="AB133" s="15" t="str">
        <f>IF(X133="","",IFERROR(INDEX($AR$11:$AR$4010,MATCH(123,$AY$11:$AY$4010,0)),""))</f>
        <v/>
      </c>
      <c r="AD133" s="16" t="str">
        <f>IF(AE133="","",IFERROR(INDEX($AL$11:$AL$4010,MATCH(123,$AZ$11:$AZ$4010,0)),""))</f>
        <v/>
      </c>
      <c r="AE133" s="12" t="str">
        <f>IFERROR(INDEX($AM$11:$AM$4010,MATCH(123,$AZ$11:$AZ$4010,0)),"")</f>
        <v/>
      </c>
      <c r="AF133" s="11" t="str">
        <f>IF(AE133="","",IFERROR(INDEX($AN$11:$AN$4010,MATCH(123,$AZ$11:$AZ$4010,0)),""))</f>
        <v/>
      </c>
      <c r="AG133" s="11" t="str">
        <f>IF(AE133="","",IFERROR(INDEX($AO$11:$AO$4010,MATCH(123,$AZ$11:$AZ$4010,0)),""))</f>
        <v/>
      </c>
      <c r="AH133" s="10" t="str">
        <f>IF(AE133="","",IFERROR(INDEX($AQ$11:$AQ$4010,MATCH(123,$AZ$11:$AZ$4010,0)),""))</f>
        <v/>
      </c>
      <c r="AI133" s="15" t="str">
        <f>IF(AE133="","",IFERROR(INDEX($AR$11:$AR$4010,MATCH(123,$AZ$11:$AZ$4010,0)),""))</f>
        <v/>
      </c>
      <c r="AJ133" s="15" t="str">
        <f>IF(AE133="","",IFERROR(INDEX($AT$11:$AT$4010,MATCH(123,$AZ$11:$AZ$4010,0)),""))</f>
        <v/>
      </c>
      <c r="AL133" s="17" t="str">
        <f t="shared" si="20"/>
        <v/>
      </c>
      <c r="AM133" s="12" t="str">
        <f t="shared" si="21"/>
        <v/>
      </c>
      <c r="AN133" s="18" t="str">
        <f t="shared" si="22"/>
        <v/>
      </c>
      <c r="AO133" s="18" t="str">
        <f t="shared" si="23"/>
        <v/>
      </c>
      <c r="AP133" s="10" t="str">
        <f t="shared" si="24"/>
        <v/>
      </c>
      <c r="AQ133" s="10" t="str">
        <f t="shared" si="25"/>
        <v/>
      </c>
      <c r="AR133" s="19" t="str">
        <f t="shared" si="26"/>
        <v/>
      </c>
      <c r="AS133" s="20"/>
      <c r="AT133" s="19"/>
      <c r="AV133" s="21">
        <f>IF(AND($AL133&lt;&gt;"",COUNTIF($AL$11:$AL133,$AL133)=1),1,0)</f>
        <v>0</v>
      </c>
      <c r="AW133" s="21">
        <f t="shared" si="28"/>
        <v>0</v>
      </c>
      <c r="AX133" s="21" t="str">
        <f t="shared" si="27"/>
        <v/>
      </c>
      <c r="AY133" s="21" t="str">
        <f>IF(AND($AM133&lt;&gt;"",$AS133&lt;&gt;"✓"),SUMPRODUCT(($AM$11:$AM133&lt;&gt;"")*($AS$11:$AS133&lt;&gt;"✓")),"")</f>
        <v/>
      </c>
      <c r="AZ133" s="21" t="str">
        <f>IF(AND($AM133&lt;&gt;"",$AS133="✓"),SUMPRODUCT(($AM$11:$AM133&lt;&gt;"")*($AS$11:$AS133="✓")),"")</f>
        <v/>
      </c>
      <c r="BA133" s="21" t="str">
        <f>IF($AL133="","",$AL133&amp;"|"&amp;COUNTIF($AL$11:$AL133,$AL133))</f>
        <v/>
      </c>
    </row>
    <row r="134" spans="2:53" ht="15" customHeight="1" x14ac:dyDescent="0.25">
      <c r="B134" s="5" t="str">
        <f t="shared" si="15"/>
        <v/>
      </c>
      <c r="C134" s="5"/>
      <c r="D134" s="5"/>
      <c r="E134" s="5"/>
      <c r="F134" s="6"/>
      <c r="G134" s="6"/>
      <c r="H134" s="7"/>
      <c r="I134" s="8"/>
      <c r="K134" s="23" t="str">
        <f>IFERROR(INDEX($AL$11:$AL$4010,MATCH(124,$AX$11:$AX$4010,0)),"")</f>
        <v/>
      </c>
      <c r="L134" s="24" t="str">
        <f t="shared" si="16"/>
        <v/>
      </c>
      <c r="M134" s="25" t="str">
        <f t="shared" si="17"/>
        <v/>
      </c>
      <c r="N134" s="25" t="str">
        <f t="shared" si="18"/>
        <v/>
      </c>
      <c r="P134" s="26" t="str">
        <f>IFERROR(INDEX($AM$11:$AM$4010,MATCH($S$8&amp;"|"&amp;124,$BA$11:$BA$4010,0)),"")</f>
        <v/>
      </c>
      <c r="Q134" s="25" t="str">
        <f>IF(P134="","",IFERROR(INDEX($AN$11:$AN$4010,MATCH($S$8&amp;"|"&amp;124,$BA$11:$BA$4010,0)),""))</f>
        <v/>
      </c>
      <c r="R134" s="25" t="str">
        <f>IF(P134="","",IFERROR(INDEX($AO$11:$AO$4010,MATCH($S$8&amp;"|"&amp;124,$BA$11:$BA$4010,0)),""))</f>
        <v/>
      </c>
      <c r="S134" s="24" t="str">
        <f>IF(P134="","",IFERROR(INDEX($AP$11:$AP$4010,MATCH($S$8&amp;"|"&amp;124,$BA$11:$BA$4010,0)),""))</f>
        <v/>
      </c>
      <c r="T134" s="24" t="str">
        <f>IF(P134="","",IFERROR(INDEX($AQ$11:$AQ$4010,MATCH($S$8&amp;"|"&amp;124,$BA$11:$BA$4010,0)),""))</f>
        <v/>
      </c>
      <c r="U134" s="38" t="str">
        <f t="shared" si="29"/>
        <v/>
      </c>
      <c r="W134" s="28" t="str">
        <f>IF(X134="","",IFERROR(INDEX($AL$11:$AL$4010,MATCH(124,$AY$11:$AY$4010,0)),""))</f>
        <v/>
      </c>
      <c r="X134" s="26" t="str">
        <f>IFERROR(INDEX($AM$11:$AM$4010,MATCH(124,$AY$11:$AY$4010,0)),"")</f>
        <v/>
      </c>
      <c r="Y134" s="25" t="str">
        <f>IF(X134="","",IFERROR(INDEX($AN$11:$AN$4010,MATCH(124,$AY$11:$AY$4010,0)),""))</f>
        <v/>
      </c>
      <c r="Z134" s="25" t="str">
        <f>IF(X134="","",IFERROR(INDEX($AO$11:$AO$4010,MATCH(124,$AY$11:$AY$4010,0)),""))</f>
        <v/>
      </c>
      <c r="AA134" s="24" t="str">
        <f>IF(X134="","",IFERROR(INDEX($AQ$11:$AQ$4010,MATCH(124,$AY$11:$AY$4010,0)),""))</f>
        <v/>
      </c>
      <c r="AB134" s="29" t="str">
        <f>IF(X134="","",IFERROR(INDEX($AR$11:$AR$4010,MATCH(124,$AY$11:$AY$4010,0)),""))</f>
        <v/>
      </c>
      <c r="AD134" s="30" t="str">
        <f>IF(AE134="","",IFERROR(INDEX($AL$11:$AL$4010,MATCH(124,$AZ$11:$AZ$4010,0)),""))</f>
        <v/>
      </c>
      <c r="AE134" s="26" t="str">
        <f>IFERROR(INDEX($AM$11:$AM$4010,MATCH(124,$AZ$11:$AZ$4010,0)),"")</f>
        <v/>
      </c>
      <c r="AF134" s="25" t="str">
        <f>IF(AE134="","",IFERROR(INDEX($AN$11:$AN$4010,MATCH(124,$AZ$11:$AZ$4010,0)),""))</f>
        <v/>
      </c>
      <c r="AG134" s="25" t="str">
        <f>IF(AE134="","",IFERROR(INDEX($AO$11:$AO$4010,MATCH(124,$AZ$11:$AZ$4010,0)),""))</f>
        <v/>
      </c>
      <c r="AH134" s="24" t="str">
        <f>IF(AE134="","",IFERROR(INDEX($AQ$11:$AQ$4010,MATCH(124,$AZ$11:$AZ$4010,0)),""))</f>
        <v/>
      </c>
      <c r="AI134" s="29" t="str">
        <f>IF(AE134="","",IFERROR(INDEX($AR$11:$AR$4010,MATCH(124,$AZ$11:$AZ$4010,0)),""))</f>
        <v/>
      </c>
      <c r="AJ134" s="29" t="str">
        <f>IF(AE134="","",IFERROR(INDEX($AT$11:$AT$4010,MATCH(124,$AZ$11:$AZ$4010,0)),""))</f>
        <v/>
      </c>
      <c r="AL134" s="31" t="str">
        <f t="shared" si="20"/>
        <v/>
      </c>
      <c r="AM134" s="26" t="str">
        <f t="shared" si="21"/>
        <v/>
      </c>
      <c r="AN134" s="32" t="str">
        <f t="shared" si="22"/>
        <v/>
      </c>
      <c r="AO134" s="32" t="str">
        <f t="shared" si="23"/>
        <v/>
      </c>
      <c r="AP134" s="24" t="str">
        <f t="shared" si="24"/>
        <v/>
      </c>
      <c r="AQ134" s="24" t="str">
        <f t="shared" si="25"/>
        <v/>
      </c>
      <c r="AR134" s="33" t="str">
        <f t="shared" si="26"/>
        <v/>
      </c>
      <c r="AS134" s="34"/>
      <c r="AT134" s="33"/>
      <c r="AV134" s="21">
        <f>IF(AND($AL134&lt;&gt;"",COUNTIF($AL$11:$AL134,$AL134)=1),1,0)</f>
        <v>0</v>
      </c>
      <c r="AW134" s="21">
        <f t="shared" si="28"/>
        <v>0</v>
      </c>
      <c r="AX134" s="21" t="str">
        <f t="shared" si="27"/>
        <v/>
      </c>
      <c r="AY134" s="21" t="str">
        <f>IF(AND($AM134&lt;&gt;"",$AS134&lt;&gt;"✓"),SUMPRODUCT(($AM$11:$AM134&lt;&gt;"")*($AS$11:$AS134&lt;&gt;"✓")),"")</f>
        <v/>
      </c>
      <c r="AZ134" s="21" t="str">
        <f>IF(AND($AM134&lt;&gt;"",$AS134="✓"),SUMPRODUCT(($AM$11:$AM134&lt;&gt;"")*($AS$11:$AS134="✓")),"")</f>
        <v/>
      </c>
      <c r="BA134" s="21" t="str">
        <f>IF($AL134="","",$AL134&amp;"|"&amp;COUNTIF($AL$11:$AL134,$AL134))</f>
        <v/>
      </c>
    </row>
    <row r="135" spans="2:53" ht="15" customHeight="1" x14ac:dyDescent="0.25">
      <c r="B135" s="5" t="str">
        <f t="shared" si="15"/>
        <v/>
      </c>
      <c r="C135" s="5"/>
      <c r="D135" s="5"/>
      <c r="E135" s="5"/>
      <c r="F135" s="6"/>
      <c r="G135" s="6"/>
      <c r="H135" s="7"/>
      <c r="I135" s="8"/>
      <c r="K135" s="9" t="str">
        <f>IFERROR(INDEX($AL$11:$AL$4010,MATCH(125,$AX$11:$AX$4010,0)),"")</f>
        <v/>
      </c>
      <c r="L135" s="10" t="str">
        <f t="shared" si="16"/>
        <v/>
      </c>
      <c r="M135" s="11" t="str">
        <f t="shared" si="17"/>
        <v/>
      </c>
      <c r="N135" s="11" t="str">
        <f t="shared" si="18"/>
        <v/>
      </c>
      <c r="P135" s="12" t="str">
        <f>IFERROR(INDEX($AM$11:$AM$4010,MATCH($S$8&amp;"|"&amp;125,$BA$11:$BA$4010,0)),"")</f>
        <v/>
      </c>
      <c r="Q135" s="11" t="str">
        <f>IF(P135="","",IFERROR(INDEX($AN$11:$AN$4010,MATCH($S$8&amp;"|"&amp;125,$BA$11:$BA$4010,0)),""))</f>
        <v/>
      </c>
      <c r="R135" s="11" t="str">
        <f>IF(P135="","",IFERROR(INDEX($AO$11:$AO$4010,MATCH($S$8&amp;"|"&amp;125,$BA$11:$BA$4010,0)),""))</f>
        <v/>
      </c>
      <c r="S135" s="10" t="str">
        <f>IF(P135="","",IFERROR(INDEX($AP$11:$AP$4010,MATCH($S$8&amp;"|"&amp;125,$BA$11:$BA$4010,0)),""))</f>
        <v/>
      </c>
      <c r="T135" s="10" t="str">
        <f>IF(P135="","",IFERROR(INDEX($AQ$11:$AQ$4010,MATCH($S$8&amp;"|"&amp;125,$BA$11:$BA$4010,0)),""))</f>
        <v/>
      </c>
      <c r="U135" s="39" t="str">
        <f t="shared" si="29"/>
        <v/>
      </c>
      <c r="W135" s="14" t="str">
        <f>IF(X135="","",IFERROR(INDEX($AL$11:$AL$4010,MATCH(125,$AY$11:$AY$4010,0)),""))</f>
        <v/>
      </c>
      <c r="X135" s="12" t="str">
        <f>IFERROR(INDEX($AM$11:$AM$4010,MATCH(125,$AY$11:$AY$4010,0)),"")</f>
        <v/>
      </c>
      <c r="Y135" s="11" t="str">
        <f>IF(X135="","",IFERROR(INDEX($AN$11:$AN$4010,MATCH(125,$AY$11:$AY$4010,0)),""))</f>
        <v/>
      </c>
      <c r="Z135" s="11" t="str">
        <f>IF(X135="","",IFERROR(INDEX($AO$11:$AO$4010,MATCH(125,$AY$11:$AY$4010,0)),""))</f>
        <v/>
      </c>
      <c r="AA135" s="10" t="str">
        <f>IF(X135="","",IFERROR(INDEX($AQ$11:$AQ$4010,MATCH(125,$AY$11:$AY$4010,0)),""))</f>
        <v/>
      </c>
      <c r="AB135" s="15" t="str">
        <f>IF(X135="","",IFERROR(INDEX($AR$11:$AR$4010,MATCH(125,$AY$11:$AY$4010,0)),""))</f>
        <v/>
      </c>
      <c r="AD135" s="16" t="str">
        <f>IF(AE135="","",IFERROR(INDEX($AL$11:$AL$4010,MATCH(125,$AZ$11:$AZ$4010,0)),""))</f>
        <v/>
      </c>
      <c r="AE135" s="12" t="str">
        <f>IFERROR(INDEX($AM$11:$AM$4010,MATCH(125,$AZ$11:$AZ$4010,0)),"")</f>
        <v/>
      </c>
      <c r="AF135" s="11" t="str">
        <f>IF(AE135="","",IFERROR(INDEX($AN$11:$AN$4010,MATCH(125,$AZ$11:$AZ$4010,0)),""))</f>
        <v/>
      </c>
      <c r="AG135" s="11" t="str">
        <f>IF(AE135="","",IFERROR(INDEX($AO$11:$AO$4010,MATCH(125,$AZ$11:$AZ$4010,0)),""))</f>
        <v/>
      </c>
      <c r="AH135" s="10" t="str">
        <f>IF(AE135="","",IFERROR(INDEX($AQ$11:$AQ$4010,MATCH(125,$AZ$11:$AZ$4010,0)),""))</f>
        <v/>
      </c>
      <c r="AI135" s="15" t="str">
        <f>IF(AE135="","",IFERROR(INDEX($AR$11:$AR$4010,MATCH(125,$AZ$11:$AZ$4010,0)),""))</f>
        <v/>
      </c>
      <c r="AJ135" s="15" t="str">
        <f>IF(AE135="","",IFERROR(INDEX($AT$11:$AT$4010,MATCH(125,$AZ$11:$AZ$4010,0)),""))</f>
        <v/>
      </c>
      <c r="AL135" s="17" t="str">
        <f t="shared" si="20"/>
        <v/>
      </c>
      <c r="AM135" s="12" t="str">
        <f t="shared" si="21"/>
        <v/>
      </c>
      <c r="AN135" s="18" t="str">
        <f t="shared" si="22"/>
        <v/>
      </c>
      <c r="AO135" s="18" t="str">
        <f t="shared" si="23"/>
        <v/>
      </c>
      <c r="AP135" s="10" t="str">
        <f t="shared" si="24"/>
        <v/>
      </c>
      <c r="AQ135" s="10" t="str">
        <f t="shared" si="25"/>
        <v/>
      </c>
      <c r="AR135" s="19" t="str">
        <f t="shared" si="26"/>
        <v/>
      </c>
      <c r="AS135" s="20"/>
      <c r="AT135" s="19"/>
      <c r="AV135" s="21">
        <f>IF(AND($AL135&lt;&gt;"",COUNTIF($AL$11:$AL135,$AL135)=1),1,0)</f>
        <v>0</v>
      </c>
      <c r="AW135" s="21">
        <f t="shared" si="28"/>
        <v>0</v>
      </c>
      <c r="AX135" s="21" t="str">
        <f t="shared" si="27"/>
        <v/>
      </c>
      <c r="AY135" s="21" t="str">
        <f>IF(AND($AM135&lt;&gt;"",$AS135&lt;&gt;"✓"),SUMPRODUCT(($AM$11:$AM135&lt;&gt;"")*($AS$11:$AS135&lt;&gt;"✓")),"")</f>
        <v/>
      </c>
      <c r="AZ135" s="21" t="str">
        <f>IF(AND($AM135&lt;&gt;"",$AS135="✓"),SUMPRODUCT(($AM$11:$AM135&lt;&gt;"")*($AS$11:$AS135="✓")),"")</f>
        <v/>
      </c>
      <c r="BA135" s="21" t="str">
        <f>IF($AL135="","",$AL135&amp;"|"&amp;COUNTIF($AL$11:$AL135,$AL135))</f>
        <v/>
      </c>
    </row>
    <row r="136" spans="2:53" ht="15" customHeight="1" x14ac:dyDescent="0.25">
      <c r="B136" s="5" t="str">
        <f t="shared" si="15"/>
        <v/>
      </c>
      <c r="C136" s="5"/>
      <c r="D136" s="5"/>
      <c r="E136" s="5"/>
      <c r="F136" s="6"/>
      <c r="G136" s="6"/>
      <c r="H136" s="7"/>
      <c r="I136" s="8"/>
      <c r="K136" s="23" t="str">
        <f>IFERROR(INDEX($AL$11:$AL$4010,MATCH(126,$AX$11:$AX$4010,0)),"")</f>
        <v/>
      </c>
      <c r="L136" s="24" t="str">
        <f t="shared" si="16"/>
        <v/>
      </c>
      <c r="M136" s="25" t="str">
        <f t="shared" si="17"/>
        <v/>
      </c>
      <c r="N136" s="25" t="str">
        <f t="shared" si="18"/>
        <v/>
      </c>
      <c r="P136" s="26" t="str">
        <f>IFERROR(INDEX($AM$11:$AM$4010,MATCH($S$8&amp;"|"&amp;126,$BA$11:$BA$4010,0)),"")</f>
        <v/>
      </c>
      <c r="Q136" s="25" t="str">
        <f>IF(P136="","",IFERROR(INDEX($AN$11:$AN$4010,MATCH($S$8&amp;"|"&amp;126,$BA$11:$BA$4010,0)),""))</f>
        <v/>
      </c>
      <c r="R136" s="25" t="str">
        <f>IF(P136="","",IFERROR(INDEX($AO$11:$AO$4010,MATCH($S$8&amp;"|"&amp;126,$BA$11:$BA$4010,0)),""))</f>
        <v/>
      </c>
      <c r="S136" s="24" t="str">
        <f>IF(P136="","",IFERROR(INDEX($AP$11:$AP$4010,MATCH($S$8&amp;"|"&amp;126,$BA$11:$BA$4010,0)),""))</f>
        <v/>
      </c>
      <c r="T136" s="24" t="str">
        <f>IF(P136="","",IFERROR(INDEX($AQ$11:$AQ$4010,MATCH($S$8&amp;"|"&amp;126,$BA$11:$BA$4010,0)),""))</f>
        <v/>
      </c>
      <c r="U136" s="38" t="str">
        <f t="shared" si="29"/>
        <v/>
      </c>
      <c r="W136" s="28" t="str">
        <f>IF(X136="","",IFERROR(INDEX($AL$11:$AL$4010,MATCH(126,$AY$11:$AY$4010,0)),""))</f>
        <v/>
      </c>
      <c r="X136" s="26" t="str">
        <f>IFERROR(INDEX($AM$11:$AM$4010,MATCH(126,$AY$11:$AY$4010,0)),"")</f>
        <v/>
      </c>
      <c r="Y136" s="25" t="str">
        <f>IF(X136="","",IFERROR(INDEX($AN$11:$AN$4010,MATCH(126,$AY$11:$AY$4010,0)),""))</f>
        <v/>
      </c>
      <c r="Z136" s="25" t="str">
        <f>IF(X136="","",IFERROR(INDEX($AO$11:$AO$4010,MATCH(126,$AY$11:$AY$4010,0)),""))</f>
        <v/>
      </c>
      <c r="AA136" s="24" t="str">
        <f>IF(X136="","",IFERROR(INDEX($AQ$11:$AQ$4010,MATCH(126,$AY$11:$AY$4010,0)),""))</f>
        <v/>
      </c>
      <c r="AB136" s="29" t="str">
        <f>IF(X136="","",IFERROR(INDEX($AR$11:$AR$4010,MATCH(126,$AY$11:$AY$4010,0)),""))</f>
        <v/>
      </c>
      <c r="AD136" s="30" t="str">
        <f>IF(AE136="","",IFERROR(INDEX($AL$11:$AL$4010,MATCH(126,$AZ$11:$AZ$4010,0)),""))</f>
        <v/>
      </c>
      <c r="AE136" s="26" t="str">
        <f>IFERROR(INDEX($AM$11:$AM$4010,MATCH(126,$AZ$11:$AZ$4010,0)),"")</f>
        <v/>
      </c>
      <c r="AF136" s="25" t="str">
        <f>IF(AE136="","",IFERROR(INDEX($AN$11:$AN$4010,MATCH(126,$AZ$11:$AZ$4010,0)),""))</f>
        <v/>
      </c>
      <c r="AG136" s="25" t="str">
        <f>IF(AE136="","",IFERROR(INDEX($AO$11:$AO$4010,MATCH(126,$AZ$11:$AZ$4010,0)),""))</f>
        <v/>
      </c>
      <c r="AH136" s="24" t="str">
        <f>IF(AE136="","",IFERROR(INDEX($AQ$11:$AQ$4010,MATCH(126,$AZ$11:$AZ$4010,0)),""))</f>
        <v/>
      </c>
      <c r="AI136" s="29" t="str">
        <f>IF(AE136="","",IFERROR(INDEX($AR$11:$AR$4010,MATCH(126,$AZ$11:$AZ$4010,0)),""))</f>
        <v/>
      </c>
      <c r="AJ136" s="29" t="str">
        <f>IF(AE136="","",IFERROR(INDEX($AT$11:$AT$4010,MATCH(126,$AZ$11:$AZ$4010,0)),""))</f>
        <v/>
      </c>
      <c r="AL136" s="31" t="str">
        <f t="shared" si="20"/>
        <v/>
      </c>
      <c r="AM136" s="26" t="str">
        <f t="shared" si="21"/>
        <v/>
      </c>
      <c r="AN136" s="32" t="str">
        <f t="shared" si="22"/>
        <v/>
      </c>
      <c r="AO136" s="32" t="str">
        <f t="shared" si="23"/>
        <v/>
      </c>
      <c r="AP136" s="24" t="str">
        <f t="shared" si="24"/>
        <v/>
      </c>
      <c r="AQ136" s="24" t="str">
        <f t="shared" si="25"/>
        <v/>
      </c>
      <c r="AR136" s="33" t="str">
        <f t="shared" si="26"/>
        <v/>
      </c>
      <c r="AS136" s="34"/>
      <c r="AT136" s="33"/>
      <c r="AV136" s="21">
        <f>IF(AND($AL136&lt;&gt;"",COUNTIF($AL$11:$AL136,$AL136)=1),1,0)</f>
        <v>0</v>
      </c>
      <c r="AW136" s="21">
        <f t="shared" si="28"/>
        <v>0</v>
      </c>
      <c r="AX136" s="21" t="str">
        <f t="shared" si="27"/>
        <v/>
      </c>
      <c r="AY136" s="21" t="str">
        <f>IF(AND($AM136&lt;&gt;"",$AS136&lt;&gt;"✓"),SUMPRODUCT(($AM$11:$AM136&lt;&gt;"")*($AS$11:$AS136&lt;&gt;"✓")),"")</f>
        <v/>
      </c>
      <c r="AZ136" s="21" t="str">
        <f>IF(AND($AM136&lt;&gt;"",$AS136="✓"),SUMPRODUCT(($AM$11:$AM136&lt;&gt;"")*($AS$11:$AS136="✓")),"")</f>
        <v/>
      </c>
      <c r="BA136" s="21" t="str">
        <f>IF($AL136="","",$AL136&amp;"|"&amp;COUNTIF($AL$11:$AL136,$AL136))</f>
        <v/>
      </c>
    </row>
    <row r="137" spans="2:53" ht="15" customHeight="1" x14ac:dyDescent="0.25">
      <c r="B137" s="5" t="str">
        <f t="shared" si="15"/>
        <v/>
      </c>
      <c r="C137" s="5"/>
      <c r="D137" s="5"/>
      <c r="E137" s="5"/>
      <c r="F137" s="6"/>
      <c r="G137" s="6"/>
      <c r="H137" s="7"/>
      <c r="I137" s="8"/>
      <c r="K137" s="9" t="str">
        <f>IFERROR(INDEX($AL$11:$AL$4010,MATCH(127,$AX$11:$AX$4010,0)),"")</f>
        <v/>
      </c>
      <c r="L137" s="10" t="str">
        <f t="shared" si="16"/>
        <v/>
      </c>
      <c r="M137" s="11" t="str">
        <f t="shared" si="17"/>
        <v/>
      </c>
      <c r="N137" s="11" t="str">
        <f t="shared" si="18"/>
        <v/>
      </c>
      <c r="P137" s="12" t="str">
        <f>IFERROR(INDEX($AM$11:$AM$4010,MATCH($S$8&amp;"|"&amp;127,$BA$11:$BA$4010,0)),"")</f>
        <v/>
      </c>
      <c r="Q137" s="11" t="str">
        <f>IF(P137="","",IFERROR(INDEX($AN$11:$AN$4010,MATCH($S$8&amp;"|"&amp;127,$BA$11:$BA$4010,0)),""))</f>
        <v/>
      </c>
      <c r="R137" s="11" t="str">
        <f>IF(P137="","",IFERROR(INDEX($AO$11:$AO$4010,MATCH($S$8&amp;"|"&amp;127,$BA$11:$BA$4010,0)),""))</f>
        <v/>
      </c>
      <c r="S137" s="10" t="str">
        <f>IF(P137="","",IFERROR(INDEX($AP$11:$AP$4010,MATCH($S$8&amp;"|"&amp;127,$BA$11:$BA$4010,0)),""))</f>
        <v/>
      </c>
      <c r="T137" s="10" t="str">
        <f>IF(P137="","",IFERROR(INDEX($AQ$11:$AQ$4010,MATCH($S$8&amp;"|"&amp;127,$BA$11:$BA$4010,0)),""))</f>
        <v/>
      </c>
      <c r="U137" s="39" t="str">
        <f t="shared" si="29"/>
        <v/>
      </c>
      <c r="W137" s="14" t="str">
        <f>IF(X137="","",IFERROR(INDEX($AL$11:$AL$4010,MATCH(127,$AY$11:$AY$4010,0)),""))</f>
        <v/>
      </c>
      <c r="X137" s="12" t="str">
        <f>IFERROR(INDEX($AM$11:$AM$4010,MATCH(127,$AY$11:$AY$4010,0)),"")</f>
        <v/>
      </c>
      <c r="Y137" s="11" t="str">
        <f>IF(X137="","",IFERROR(INDEX($AN$11:$AN$4010,MATCH(127,$AY$11:$AY$4010,0)),""))</f>
        <v/>
      </c>
      <c r="Z137" s="11" t="str">
        <f>IF(X137="","",IFERROR(INDEX($AO$11:$AO$4010,MATCH(127,$AY$11:$AY$4010,0)),""))</f>
        <v/>
      </c>
      <c r="AA137" s="10" t="str">
        <f>IF(X137="","",IFERROR(INDEX($AQ$11:$AQ$4010,MATCH(127,$AY$11:$AY$4010,0)),""))</f>
        <v/>
      </c>
      <c r="AB137" s="15" t="str">
        <f>IF(X137="","",IFERROR(INDEX($AR$11:$AR$4010,MATCH(127,$AY$11:$AY$4010,0)),""))</f>
        <v/>
      </c>
      <c r="AD137" s="16" t="str">
        <f>IF(AE137="","",IFERROR(INDEX($AL$11:$AL$4010,MATCH(127,$AZ$11:$AZ$4010,0)),""))</f>
        <v/>
      </c>
      <c r="AE137" s="12" t="str">
        <f>IFERROR(INDEX($AM$11:$AM$4010,MATCH(127,$AZ$11:$AZ$4010,0)),"")</f>
        <v/>
      </c>
      <c r="AF137" s="11" t="str">
        <f>IF(AE137="","",IFERROR(INDEX($AN$11:$AN$4010,MATCH(127,$AZ$11:$AZ$4010,0)),""))</f>
        <v/>
      </c>
      <c r="AG137" s="11" t="str">
        <f>IF(AE137="","",IFERROR(INDEX($AO$11:$AO$4010,MATCH(127,$AZ$11:$AZ$4010,0)),""))</f>
        <v/>
      </c>
      <c r="AH137" s="10" t="str">
        <f>IF(AE137="","",IFERROR(INDEX($AQ$11:$AQ$4010,MATCH(127,$AZ$11:$AZ$4010,0)),""))</f>
        <v/>
      </c>
      <c r="AI137" s="15" t="str">
        <f>IF(AE137="","",IFERROR(INDEX($AR$11:$AR$4010,MATCH(127,$AZ$11:$AZ$4010,0)),""))</f>
        <v/>
      </c>
      <c r="AJ137" s="15" t="str">
        <f>IF(AE137="","",IFERROR(INDEX($AT$11:$AT$4010,MATCH(127,$AZ$11:$AZ$4010,0)),""))</f>
        <v/>
      </c>
      <c r="AL137" s="17" t="str">
        <f t="shared" si="20"/>
        <v/>
      </c>
      <c r="AM137" s="12" t="str">
        <f t="shared" si="21"/>
        <v/>
      </c>
      <c r="AN137" s="18" t="str">
        <f t="shared" si="22"/>
        <v/>
      </c>
      <c r="AO137" s="18" t="str">
        <f t="shared" si="23"/>
        <v/>
      </c>
      <c r="AP137" s="10" t="str">
        <f t="shared" si="24"/>
        <v/>
      </c>
      <c r="AQ137" s="10" t="str">
        <f t="shared" si="25"/>
        <v/>
      </c>
      <c r="AR137" s="19" t="str">
        <f t="shared" si="26"/>
        <v/>
      </c>
      <c r="AS137" s="20"/>
      <c r="AT137" s="19"/>
      <c r="AV137" s="21">
        <f>IF(AND($AL137&lt;&gt;"",COUNTIF($AL$11:$AL137,$AL137)=1),1,0)</f>
        <v>0</v>
      </c>
      <c r="AW137" s="21">
        <f t="shared" si="28"/>
        <v>0</v>
      </c>
      <c r="AX137" s="21" t="str">
        <f t="shared" si="27"/>
        <v/>
      </c>
      <c r="AY137" s="21" t="str">
        <f>IF(AND($AM137&lt;&gt;"",$AS137&lt;&gt;"✓"),SUMPRODUCT(($AM$11:$AM137&lt;&gt;"")*($AS$11:$AS137&lt;&gt;"✓")),"")</f>
        <v/>
      </c>
      <c r="AZ137" s="21" t="str">
        <f>IF(AND($AM137&lt;&gt;"",$AS137="✓"),SUMPRODUCT(($AM$11:$AM137&lt;&gt;"")*($AS$11:$AS137="✓")),"")</f>
        <v/>
      </c>
      <c r="BA137" s="21" t="str">
        <f>IF($AL137="","",$AL137&amp;"|"&amp;COUNTIF($AL$11:$AL137,$AL137))</f>
        <v/>
      </c>
    </row>
    <row r="138" spans="2:53" ht="15" customHeight="1" x14ac:dyDescent="0.25">
      <c r="B138" s="5" t="str">
        <f t="shared" si="15"/>
        <v/>
      </c>
      <c r="C138" s="5"/>
      <c r="D138" s="5"/>
      <c r="E138" s="5"/>
      <c r="F138" s="6"/>
      <c r="G138" s="6"/>
      <c r="H138" s="7"/>
      <c r="I138" s="8"/>
      <c r="K138" s="23" t="str">
        <f>IFERROR(INDEX($AL$11:$AL$4010,MATCH(128,$AX$11:$AX$4010,0)),"")</f>
        <v/>
      </c>
      <c r="L138" s="24" t="str">
        <f t="shared" si="16"/>
        <v/>
      </c>
      <c r="M138" s="25" t="str">
        <f t="shared" si="17"/>
        <v/>
      </c>
      <c r="N138" s="25" t="str">
        <f t="shared" si="18"/>
        <v/>
      </c>
      <c r="P138" s="26" t="str">
        <f>IFERROR(INDEX($AM$11:$AM$4010,MATCH($S$8&amp;"|"&amp;128,$BA$11:$BA$4010,0)),"")</f>
        <v/>
      </c>
      <c r="Q138" s="25" t="str">
        <f>IF(P138="","",IFERROR(INDEX($AN$11:$AN$4010,MATCH($S$8&amp;"|"&amp;128,$BA$11:$BA$4010,0)),""))</f>
        <v/>
      </c>
      <c r="R138" s="25" t="str">
        <f>IF(P138="","",IFERROR(INDEX($AO$11:$AO$4010,MATCH($S$8&amp;"|"&amp;128,$BA$11:$BA$4010,0)),""))</f>
        <v/>
      </c>
      <c r="S138" s="24" t="str">
        <f>IF(P138="","",IFERROR(INDEX($AP$11:$AP$4010,MATCH($S$8&amp;"|"&amp;128,$BA$11:$BA$4010,0)),""))</f>
        <v/>
      </c>
      <c r="T138" s="24" t="str">
        <f>IF(P138="","",IFERROR(INDEX($AQ$11:$AQ$4010,MATCH($S$8&amp;"|"&amp;128,$BA$11:$BA$4010,0)),""))</f>
        <v/>
      </c>
      <c r="U138" s="38" t="str">
        <f t="shared" si="29"/>
        <v/>
      </c>
      <c r="W138" s="28" t="str">
        <f>IF(X138="","",IFERROR(INDEX($AL$11:$AL$4010,MATCH(128,$AY$11:$AY$4010,0)),""))</f>
        <v/>
      </c>
      <c r="X138" s="26" t="str">
        <f>IFERROR(INDEX($AM$11:$AM$4010,MATCH(128,$AY$11:$AY$4010,0)),"")</f>
        <v/>
      </c>
      <c r="Y138" s="25" t="str">
        <f>IF(X138="","",IFERROR(INDEX($AN$11:$AN$4010,MATCH(128,$AY$11:$AY$4010,0)),""))</f>
        <v/>
      </c>
      <c r="Z138" s="25" t="str">
        <f>IF(X138="","",IFERROR(INDEX($AO$11:$AO$4010,MATCH(128,$AY$11:$AY$4010,0)),""))</f>
        <v/>
      </c>
      <c r="AA138" s="24" t="str">
        <f>IF(X138="","",IFERROR(INDEX($AQ$11:$AQ$4010,MATCH(128,$AY$11:$AY$4010,0)),""))</f>
        <v/>
      </c>
      <c r="AB138" s="29" t="str">
        <f>IF(X138="","",IFERROR(INDEX($AR$11:$AR$4010,MATCH(128,$AY$11:$AY$4010,0)),""))</f>
        <v/>
      </c>
      <c r="AD138" s="30" t="str">
        <f>IF(AE138="","",IFERROR(INDEX($AL$11:$AL$4010,MATCH(128,$AZ$11:$AZ$4010,0)),""))</f>
        <v/>
      </c>
      <c r="AE138" s="26" t="str">
        <f>IFERROR(INDEX($AM$11:$AM$4010,MATCH(128,$AZ$11:$AZ$4010,0)),"")</f>
        <v/>
      </c>
      <c r="AF138" s="25" t="str">
        <f>IF(AE138="","",IFERROR(INDEX($AN$11:$AN$4010,MATCH(128,$AZ$11:$AZ$4010,0)),""))</f>
        <v/>
      </c>
      <c r="AG138" s="25" t="str">
        <f>IF(AE138="","",IFERROR(INDEX($AO$11:$AO$4010,MATCH(128,$AZ$11:$AZ$4010,0)),""))</f>
        <v/>
      </c>
      <c r="AH138" s="24" t="str">
        <f>IF(AE138="","",IFERROR(INDEX($AQ$11:$AQ$4010,MATCH(128,$AZ$11:$AZ$4010,0)),""))</f>
        <v/>
      </c>
      <c r="AI138" s="29" t="str">
        <f>IF(AE138="","",IFERROR(INDEX($AR$11:$AR$4010,MATCH(128,$AZ$11:$AZ$4010,0)),""))</f>
        <v/>
      </c>
      <c r="AJ138" s="29" t="str">
        <f>IF(AE138="","",IFERROR(INDEX($AT$11:$AT$4010,MATCH(128,$AZ$11:$AZ$4010,0)),""))</f>
        <v/>
      </c>
      <c r="AL138" s="31" t="str">
        <f t="shared" si="20"/>
        <v/>
      </c>
      <c r="AM138" s="26" t="str">
        <f t="shared" si="21"/>
        <v/>
      </c>
      <c r="AN138" s="32" t="str">
        <f t="shared" si="22"/>
        <v/>
      </c>
      <c r="AO138" s="32" t="str">
        <f t="shared" si="23"/>
        <v/>
      </c>
      <c r="AP138" s="24" t="str">
        <f t="shared" si="24"/>
        <v/>
      </c>
      <c r="AQ138" s="24" t="str">
        <f t="shared" si="25"/>
        <v/>
      </c>
      <c r="AR138" s="33" t="str">
        <f t="shared" si="26"/>
        <v/>
      </c>
      <c r="AS138" s="34"/>
      <c r="AT138" s="33"/>
      <c r="AV138" s="21">
        <f>IF(AND($AL138&lt;&gt;"",COUNTIF($AL$11:$AL138,$AL138)=1),1,0)</f>
        <v>0</v>
      </c>
      <c r="AW138" s="21">
        <f t="shared" si="28"/>
        <v>0</v>
      </c>
      <c r="AX138" s="21" t="str">
        <f t="shared" si="27"/>
        <v/>
      </c>
      <c r="AY138" s="21" t="str">
        <f>IF(AND($AM138&lt;&gt;"",$AS138&lt;&gt;"✓"),SUMPRODUCT(($AM$11:$AM138&lt;&gt;"")*($AS$11:$AS138&lt;&gt;"✓")),"")</f>
        <v/>
      </c>
      <c r="AZ138" s="21" t="str">
        <f>IF(AND($AM138&lt;&gt;"",$AS138="✓"),SUMPRODUCT(($AM$11:$AM138&lt;&gt;"")*($AS$11:$AS138="✓")),"")</f>
        <v/>
      </c>
      <c r="BA138" s="21" t="str">
        <f>IF($AL138="","",$AL138&amp;"|"&amp;COUNTIF($AL$11:$AL138,$AL138))</f>
        <v/>
      </c>
    </row>
    <row r="139" spans="2:53" ht="15" customHeight="1" x14ac:dyDescent="0.25">
      <c r="B139" s="5" t="str">
        <f t="shared" ref="B139:B202" si="30">IF($C139="","",ROW()-10)</f>
        <v/>
      </c>
      <c r="C139" s="5"/>
      <c r="D139" s="5"/>
      <c r="E139" s="5"/>
      <c r="F139" s="6"/>
      <c r="G139" s="6"/>
      <c r="H139" s="7"/>
      <c r="I139" s="8"/>
      <c r="K139" s="9" t="str">
        <f>IFERROR(INDEX($AL$11:$AL$4010,MATCH(129,$AX$11:$AX$4010,0)),"")</f>
        <v/>
      </c>
      <c r="L139" s="10" t="str">
        <f t="shared" ref="L139:L202" si="31">IF(K139="","",COUNTIF($AL$11:$AL$4010,K139))</f>
        <v/>
      </c>
      <c r="M139" s="11" t="str">
        <f t="shared" ref="M139:M202" si="32">IF(K139="","",SUMIF($AL$11:$AL$4010,K139,$AN$11:$AN$4010))</f>
        <v/>
      </c>
      <c r="N139" s="11" t="str">
        <f t="shared" ref="N139:N202" si="33">IF(K139="","",SUMIF($AL$11:$AL$4010,K139,$AO$11:$AO$4010))</f>
        <v/>
      </c>
      <c r="P139" s="12" t="str">
        <f>IFERROR(INDEX($AM$11:$AM$4010,MATCH($S$8&amp;"|"&amp;129,$BA$11:$BA$4010,0)),"")</f>
        <v/>
      </c>
      <c r="Q139" s="11" t="str">
        <f>IF(P139="","",IFERROR(INDEX($AN$11:$AN$4010,MATCH($S$8&amp;"|"&amp;129,$BA$11:$BA$4010,0)),""))</f>
        <v/>
      </c>
      <c r="R139" s="11" t="str">
        <f>IF(P139="","",IFERROR(INDEX($AO$11:$AO$4010,MATCH($S$8&amp;"|"&amp;129,$BA$11:$BA$4010,0)),""))</f>
        <v/>
      </c>
      <c r="S139" s="10" t="str">
        <f>IF(P139="","",IFERROR(INDEX($AP$11:$AP$4010,MATCH($S$8&amp;"|"&amp;129,$BA$11:$BA$4010,0)),""))</f>
        <v/>
      </c>
      <c r="T139" s="10" t="str">
        <f>IF(P139="","",IFERROR(INDEX($AQ$11:$AQ$4010,MATCH($S$8&amp;"|"&amp;129,$BA$11:$BA$4010,0)),""))</f>
        <v/>
      </c>
      <c r="U139" s="39" t="str">
        <f t="shared" ref="U139:U170" si="34">IF(P139="","",$S$8)</f>
        <v/>
      </c>
      <c r="W139" s="14" t="str">
        <f>IF(X139="","",IFERROR(INDEX($AL$11:$AL$4010,MATCH(129,$AY$11:$AY$4010,0)),""))</f>
        <v/>
      </c>
      <c r="X139" s="12" t="str">
        <f>IFERROR(INDEX($AM$11:$AM$4010,MATCH(129,$AY$11:$AY$4010,0)),"")</f>
        <v/>
      </c>
      <c r="Y139" s="11" t="str">
        <f>IF(X139="","",IFERROR(INDEX($AN$11:$AN$4010,MATCH(129,$AY$11:$AY$4010,0)),""))</f>
        <v/>
      </c>
      <c r="Z139" s="11" t="str">
        <f>IF(X139="","",IFERROR(INDEX($AO$11:$AO$4010,MATCH(129,$AY$11:$AY$4010,0)),""))</f>
        <v/>
      </c>
      <c r="AA139" s="10" t="str">
        <f>IF(X139="","",IFERROR(INDEX($AQ$11:$AQ$4010,MATCH(129,$AY$11:$AY$4010,0)),""))</f>
        <v/>
      </c>
      <c r="AB139" s="15" t="str">
        <f>IF(X139="","",IFERROR(INDEX($AR$11:$AR$4010,MATCH(129,$AY$11:$AY$4010,0)),""))</f>
        <v/>
      </c>
      <c r="AD139" s="16" t="str">
        <f>IF(AE139="","",IFERROR(INDEX($AL$11:$AL$4010,MATCH(129,$AZ$11:$AZ$4010,0)),""))</f>
        <v/>
      </c>
      <c r="AE139" s="12" t="str">
        <f>IFERROR(INDEX($AM$11:$AM$4010,MATCH(129,$AZ$11:$AZ$4010,0)),"")</f>
        <v/>
      </c>
      <c r="AF139" s="11" t="str">
        <f>IF(AE139="","",IFERROR(INDEX($AN$11:$AN$4010,MATCH(129,$AZ$11:$AZ$4010,0)),""))</f>
        <v/>
      </c>
      <c r="AG139" s="11" t="str">
        <f>IF(AE139="","",IFERROR(INDEX($AO$11:$AO$4010,MATCH(129,$AZ$11:$AZ$4010,0)),""))</f>
        <v/>
      </c>
      <c r="AH139" s="10" t="str">
        <f>IF(AE139="","",IFERROR(INDEX($AQ$11:$AQ$4010,MATCH(129,$AZ$11:$AZ$4010,0)),""))</f>
        <v/>
      </c>
      <c r="AI139" s="15" t="str">
        <f>IF(AE139="","",IFERROR(INDEX($AR$11:$AR$4010,MATCH(129,$AZ$11:$AZ$4010,0)),""))</f>
        <v/>
      </c>
      <c r="AJ139" s="15" t="str">
        <f>IF(AE139="","",IFERROR(INDEX($AT$11:$AT$4010,MATCH(129,$AZ$11:$AZ$4010,0)),""))</f>
        <v/>
      </c>
      <c r="AL139" s="17" t="str">
        <f t="shared" ref="AL139:AL202" si="35">IF($C139="","",$I139)</f>
        <v/>
      </c>
      <c r="AM139" s="12" t="str">
        <f t="shared" ref="AM139:AM202" si="36">IF($C139="","",$C139)</f>
        <v/>
      </c>
      <c r="AN139" s="18" t="str">
        <f t="shared" ref="AN139:AN202" si="37">IF($C139="","",$F139)</f>
        <v/>
      </c>
      <c r="AO139" s="18" t="str">
        <f t="shared" ref="AO139:AO202" si="38">IF($C139="","",$G139)</f>
        <v/>
      </c>
      <c r="AP139" s="10" t="str">
        <f t="shared" ref="AP139:AP202" si="39">IF($C139="","",$D139)</f>
        <v/>
      </c>
      <c r="AQ139" s="10" t="str">
        <f t="shared" ref="AQ139:AQ202" si="40">IF($C139="","",$E139)</f>
        <v/>
      </c>
      <c r="AR139" s="19" t="str">
        <f t="shared" ref="AR139:AR202" si="41">IF($C139="","",$H139)</f>
        <v/>
      </c>
      <c r="AS139" s="20"/>
      <c r="AT139" s="19"/>
      <c r="AV139" s="21">
        <f>IF(AND($AL139&lt;&gt;"",COUNTIF($AL$11:$AL139,$AL139)=1),1,0)</f>
        <v>0</v>
      </c>
      <c r="AW139" s="21">
        <f t="shared" si="28"/>
        <v>0</v>
      </c>
      <c r="AX139" s="21" t="str">
        <f t="shared" ref="AX139:AX202" si="42">IF(AV139=1,AW139,"")</f>
        <v/>
      </c>
      <c r="AY139" s="21" t="str">
        <f>IF(AND($AM139&lt;&gt;"",$AS139&lt;&gt;"✓"),SUMPRODUCT(($AM$11:$AM139&lt;&gt;"")*($AS$11:$AS139&lt;&gt;"✓")),"")</f>
        <v/>
      </c>
      <c r="AZ139" s="21" t="str">
        <f>IF(AND($AM139&lt;&gt;"",$AS139="✓"),SUMPRODUCT(($AM$11:$AM139&lt;&gt;"")*($AS$11:$AS139="✓")),"")</f>
        <v/>
      </c>
      <c r="BA139" s="21" t="str">
        <f>IF($AL139="","",$AL139&amp;"|"&amp;COUNTIF($AL$11:$AL139,$AL139))</f>
        <v/>
      </c>
    </row>
    <row r="140" spans="2:53" ht="15" customHeight="1" x14ac:dyDescent="0.25">
      <c r="B140" s="5" t="str">
        <f t="shared" si="30"/>
        <v/>
      </c>
      <c r="C140" s="5"/>
      <c r="D140" s="5"/>
      <c r="E140" s="5"/>
      <c r="F140" s="6"/>
      <c r="G140" s="6"/>
      <c r="H140" s="7"/>
      <c r="I140" s="8"/>
      <c r="K140" s="23" t="str">
        <f>IFERROR(INDEX($AL$11:$AL$4010,MATCH(130,$AX$11:$AX$4010,0)),"")</f>
        <v/>
      </c>
      <c r="L140" s="24" t="str">
        <f t="shared" si="31"/>
        <v/>
      </c>
      <c r="M140" s="25" t="str">
        <f t="shared" si="32"/>
        <v/>
      </c>
      <c r="N140" s="25" t="str">
        <f t="shared" si="33"/>
        <v/>
      </c>
      <c r="P140" s="26" t="str">
        <f>IFERROR(INDEX($AM$11:$AM$4010,MATCH($S$8&amp;"|"&amp;130,$BA$11:$BA$4010,0)),"")</f>
        <v/>
      </c>
      <c r="Q140" s="25" t="str">
        <f>IF(P140="","",IFERROR(INDEX($AN$11:$AN$4010,MATCH($S$8&amp;"|"&amp;130,$BA$11:$BA$4010,0)),""))</f>
        <v/>
      </c>
      <c r="R140" s="25" t="str">
        <f>IF(P140="","",IFERROR(INDEX($AO$11:$AO$4010,MATCH($S$8&amp;"|"&amp;130,$BA$11:$BA$4010,0)),""))</f>
        <v/>
      </c>
      <c r="S140" s="24" t="str">
        <f>IF(P140="","",IFERROR(INDEX($AP$11:$AP$4010,MATCH($S$8&amp;"|"&amp;130,$BA$11:$BA$4010,0)),""))</f>
        <v/>
      </c>
      <c r="T140" s="24" t="str">
        <f>IF(P140="","",IFERROR(INDEX($AQ$11:$AQ$4010,MATCH($S$8&amp;"|"&amp;130,$BA$11:$BA$4010,0)),""))</f>
        <v/>
      </c>
      <c r="U140" s="38" t="str">
        <f t="shared" si="34"/>
        <v/>
      </c>
      <c r="W140" s="28" t="str">
        <f>IF(X140="","",IFERROR(INDEX($AL$11:$AL$4010,MATCH(130,$AY$11:$AY$4010,0)),""))</f>
        <v/>
      </c>
      <c r="X140" s="26" t="str">
        <f>IFERROR(INDEX($AM$11:$AM$4010,MATCH(130,$AY$11:$AY$4010,0)),"")</f>
        <v/>
      </c>
      <c r="Y140" s="25" t="str">
        <f>IF(X140="","",IFERROR(INDEX($AN$11:$AN$4010,MATCH(130,$AY$11:$AY$4010,0)),""))</f>
        <v/>
      </c>
      <c r="Z140" s="25" t="str">
        <f>IF(X140="","",IFERROR(INDEX($AO$11:$AO$4010,MATCH(130,$AY$11:$AY$4010,0)),""))</f>
        <v/>
      </c>
      <c r="AA140" s="24" t="str">
        <f>IF(X140="","",IFERROR(INDEX($AQ$11:$AQ$4010,MATCH(130,$AY$11:$AY$4010,0)),""))</f>
        <v/>
      </c>
      <c r="AB140" s="29" t="str">
        <f>IF(X140="","",IFERROR(INDEX($AR$11:$AR$4010,MATCH(130,$AY$11:$AY$4010,0)),""))</f>
        <v/>
      </c>
      <c r="AD140" s="30" t="str">
        <f>IF(AE140="","",IFERROR(INDEX($AL$11:$AL$4010,MATCH(130,$AZ$11:$AZ$4010,0)),""))</f>
        <v/>
      </c>
      <c r="AE140" s="26" t="str">
        <f>IFERROR(INDEX($AM$11:$AM$4010,MATCH(130,$AZ$11:$AZ$4010,0)),"")</f>
        <v/>
      </c>
      <c r="AF140" s="25" t="str">
        <f>IF(AE140="","",IFERROR(INDEX($AN$11:$AN$4010,MATCH(130,$AZ$11:$AZ$4010,0)),""))</f>
        <v/>
      </c>
      <c r="AG140" s="25" t="str">
        <f>IF(AE140="","",IFERROR(INDEX($AO$11:$AO$4010,MATCH(130,$AZ$11:$AZ$4010,0)),""))</f>
        <v/>
      </c>
      <c r="AH140" s="24" t="str">
        <f>IF(AE140="","",IFERROR(INDEX($AQ$11:$AQ$4010,MATCH(130,$AZ$11:$AZ$4010,0)),""))</f>
        <v/>
      </c>
      <c r="AI140" s="29" t="str">
        <f>IF(AE140="","",IFERROR(INDEX($AR$11:$AR$4010,MATCH(130,$AZ$11:$AZ$4010,0)),""))</f>
        <v/>
      </c>
      <c r="AJ140" s="29" t="str">
        <f>IF(AE140="","",IFERROR(INDEX($AT$11:$AT$4010,MATCH(130,$AZ$11:$AZ$4010,0)),""))</f>
        <v/>
      </c>
      <c r="AL140" s="31" t="str">
        <f t="shared" si="35"/>
        <v/>
      </c>
      <c r="AM140" s="26" t="str">
        <f t="shared" si="36"/>
        <v/>
      </c>
      <c r="AN140" s="32" t="str">
        <f t="shared" si="37"/>
        <v/>
      </c>
      <c r="AO140" s="32" t="str">
        <f t="shared" si="38"/>
        <v/>
      </c>
      <c r="AP140" s="24" t="str">
        <f t="shared" si="39"/>
        <v/>
      </c>
      <c r="AQ140" s="24" t="str">
        <f t="shared" si="40"/>
        <v/>
      </c>
      <c r="AR140" s="33" t="str">
        <f t="shared" si="41"/>
        <v/>
      </c>
      <c r="AS140" s="34"/>
      <c r="AT140" s="33"/>
      <c r="AV140" s="21">
        <f>IF(AND($AL140&lt;&gt;"",COUNTIF($AL$11:$AL140,$AL140)=1),1,0)</f>
        <v>0</v>
      </c>
      <c r="AW140" s="21">
        <f t="shared" ref="AW140:AW203" si="43">AW139+AV140</f>
        <v>0</v>
      </c>
      <c r="AX140" s="21" t="str">
        <f t="shared" si="42"/>
        <v/>
      </c>
      <c r="AY140" s="21" t="str">
        <f>IF(AND($AM140&lt;&gt;"",$AS140&lt;&gt;"✓"),SUMPRODUCT(($AM$11:$AM140&lt;&gt;"")*($AS$11:$AS140&lt;&gt;"✓")),"")</f>
        <v/>
      </c>
      <c r="AZ140" s="21" t="str">
        <f>IF(AND($AM140&lt;&gt;"",$AS140="✓"),SUMPRODUCT(($AM$11:$AM140&lt;&gt;"")*($AS$11:$AS140="✓")),"")</f>
        <v/>
      </c>
      <c r="BA140" s="21" t="str">
        <f>IF($AL140="","",$AL140&amp;"|"&amp;COUNTIF($AL$11:$AL140,$AL140))</f>
        <v/>
      </c>
    </row>
    <row r="141" spans="2:53" ht="15" customHeight="1" x14ac:dyDescent="0.25">
      <c r="B141" s="5" t="str">
        <f t="shared" si="30"/>
        <v/>
      </c>
      <c r="C141" s="5"/>
      <c r="D141" s="5"/>
      <c r="E141" s="5"/>
      <c r="F141" s="6"/>
      <c r="G141" s="6"/>
      <c r="H141" s="7"/>
      <c r="I141" s="8"/>
      <c r="K141" s="9" t="str">
        <f>IFERROR(INDEX($AL$11:$AL$4010,MATCH(131,$AX$11:$AX$4010,0)),"")</f>
        <v/>
      </c>
      <c r="L141" s="10" t="str">
        <f t="shared" si="31"/>
        <v/>
      </c>
      <c r="M141" s="11" t="str">
        <f t="shared" si="32"/>
        <v/>
      </c>
      <c r="N141" s="11" t="str">
        <f t="shared" si="33"/>
        <v/>
      </c>
      <c r="P141" s="12" t="str">
        <f>IFERROR(INDEX($AM$11:$AM$4010,MATCH($S$8&amp;"|"&amp;131,$BA$11:$BA$4010,0)),"")</f>
        <v/>
      </c>
      <c r="Q141" s="11" t="str">
        <f>IF(P141="","",IFERROR(INDEX($AN$11:$AN$4010,MATCH($S$8&amp;"|"&amp;131,$BA$11:$BA$4010,0)),""))</f>
        <v/>
      </c>
      <c r="R141" s="11" t="str">
        <f>IF(P141="","",IFERROR(INDEX($AO$11:$AO$4010,MATCH($S$8&amp;"|"&amp;131,$BA$11:$BA$4010,0)),""))</f>
        <v/>
      </c>
      <c r="S141" s="10" t="str">
        <f>IF(P141="","",IFERROR(INDEX($AP$11:$AP$4010,MATCH($S$8&amp;"|"&amp;131,$BA$11:$BA$4010,0)),""))</f>
        <v/>
      </c>
      <c r="T141" s="10" t="str">
        <f>IF(P141="","",IFERROR(INDEX($AQ$11:$AQ$4010,MATCH($S$8&amp;"|"&amp;131,$BA$11:$BA$4010,0)),""))</f>
        <v/>
      </c>
      <c r="U141" s="39" t="str">
        <f t="shared" si="34"/>
        <v/>
      </c>
      <c r="W141" s="14" t="str">
        <f>IF(X141="","",IFERROR(INDEX($AL$11:$AL$4010,MATCH(131,$AY$11:$AY$4010,0)),""))</f>
        <v/>
      </c>
      <c r="X141" s="12" t="str">
        <f>IFERROR(INDEX($AM$11:$AM$4010,MATCH(131,$AY$11:$AY$4010,0)),"")</f>
        <v/>
      </c>
      <c r="Y141" s="11" t="str">
        <f>IF(X141="","",IFERROR(INDEX($AN$11:$AN$4010,MATCH(131,$AY$11:$AY$4010,0)),""))</f>
        <v/>
      </c>
      <c r="Z141" s="11" t="str">
        <f>IF(X141="","",IFERROR(INDEX($AO$11:$AO$4010,MATCH(131,$AY$11:$AY$4010,0)),""))</f>
        <v/>
      </c>
      <c r="AA141" s="10" t="str">
        <f>IF(X141="","",IFERROR(INDEX($AQ$11:$AQ$4010,MATCH(131,$AY$11:$AY$4010,0)),""))</f>
        <v/>
      </c>
      <c r="AB141" s="15" t="str">
        <f>IF(X141="","",IFERROR(INDEX($AR$11:$AR$4010,MATCH(131,$AY$11:$AY$4010,0)),""))</f>
        <v/>
      </c>
      <c r="AD141" s="16" t="str">
        <f>IF(AE141="","",IFERROR(INDEX($AL$11:$AL$4010,MATCH(131,$AZ$11:$AZ$4010,0)),""))</f>
        <v/>
      </c>
      <c r="AE141" s="12" t="str">
        <f>IFERROR(INDEX($AM$11:$AM$4010,MATCH(131,$AZ$11:$AZ$4010,0)),"")</f>
        <v/>
      </c>
      <c r="AF141" s="11" t="str">
        <f>IF(AE141="","",IFERROR(INDEX($AN$11:$AN$4010,MATCH(131,$AZ$11:$AZ$4010,0)),""))</f>
        <v/>
      </c>
      <c r="AG141" s="11" t="str">
        <f>IF(AE141="","",IFERROR(INDEX($AO$11:$AO$4010,MATCH(131,$AZ$11:$AZ$4010,0)),""))</f>
        <v/>
      </c>
      <c r="AH141" s="10" t="str">
        <f>IF(AE141="","",IFERROR(INDEX($AQ$11:$AQ$4010,MATCH(131,$AZ$11:$AZ$4010,0)),""))</f>
        <v/>
      </c>
      <c r="AI141" s="15" t="str">
        <f>IF(AE141="","",IFERROR(INDEX($AR$11:$AR$4010,MATCH(131,$AZ$11:$AZ$4010,0)),""))</f>
        <v/>
      </c>
      <c r="AJ141" s="15" t="str">
        <f>IF(AE141="","",IFERROR(INDEX($AT$11:$AT$4010,MATCH(131,$AZ$11:$AZ$4010,0)),""))</f>
        <v/>
      </c>
      <c r="AL141" s="17" t="str">
        <f t="shared" si="35"/>
        <v/>
      </c>
      <c r="AM141" s="12" t="str">
        <f t="shared" si="36"/>
        <v/>
      </c>
      <c r="AN141" s="18" t="str">
        <f t="shared" si="37"/>
        <v/>
      </c>
      <c r="AO141" s="18" t="str">
        <f t="shared" si="38"/>
        <v/>
      </c>
      <c r="AP141" s="10" t="str">
        <f t="shared" si="39"/>
        <v/>
      </c>
      <c r="AQ141" s="10" t="str">
        <f t="shared" si="40"/>
        <v/>
      </c>
      <c r="AR141" s="19" t="str">
        <f t="shared" si="41"/>
        <v/>
      </c>
      <c r="AS141" s="20"/>
      <c r="AT141" s="19"/>
      <c r="AV141" s="21">
        <f>IF(AND($AL141&lt;&gt;"",COUNTIF($AL$11:$AL141,$AL141)=1),1,0)</f>
        <v>0</v>
      </c>
      <c r="AW141" s="21">
        <f t="shared" si="43"/>
        <v>0</v>
      </c>
      <c r="AX141" s="21" t="str">
        <f t="shared" si="42"/>
        <v/>
      </c>
      <c r="AY141" s="21" t="str">
        <f>IF(AND($AM141&lt;&gt;"",$AS141&lt;&gt;"✓"),SUMPRODUCT(($AM$11:$AM141&lt;&gt;"")*($AS$11:$AS141&lt;&gt;"✓")),"")</f>
        <v/>
      </c>
      <c r="AZ141" s="21" t="str">
        <f>IF(AND($AM141&lt;&gt;"",$AS141="✓"),SUMPRODUCT(($AM$11:$AM141&lt;&gt;"")*($AS$11:$AS141="✓")),"")</f>
        <v/>
      </c>
      <c r="BA141" s="21" t="str">
        <f>IF($AL141="","",$AL141&amp;"|"&amp;COUNTIF($AL$11:$AL141,$AL141))</f>
        <v/>
      </c>
    </row>
    <row r="142" spans="2:53" ht="15" customHeight="1" x14ac:dyDescent="0.25">
      <c r="B142" s="5" t="str">
        <f t="shared" si="30"/>
        <v/>
      </c>
      <c r="C142" s="5"/>
      <c r="D142" s="5"/>
      <c r="E142" s="5"/>
      <c r="F142" s="6"/>
      <c r="G142" s="6"/>
      <c r="H142" s="7"/>
      <c r="I142" s="8"/>
      <c r="K142" s="23" t="str">
        <f>IFERROR(INDEX($AL$11:$AL$4010,MATCH(132,$AX$11:$AX$4010,0)),"")</f>
        <v/>
      </c>
      <c r="L142" s="24" t="str">
        <f t="shared" si="31"/>
        <v/>
      </c>
      <c r="M142" s="25" t="str">
        <f t="shared" si="32"/>
        <v/>
      </c>
      <c r="N142" s="25" t="str">
        <f t="shared" si="33"/>
        <v/>
      </c>
      <c r="P142" s="26" t="str">
        <f>IFERROR(INDEX($AM$11:$AM$4010,MATCH($S$8&amp;"|"&amp;132,$BA$11:$BA$4010,0)),"")</f>
        <v/>
      </c>
      <c r="Q142" s="25" t="str">
        <f>IF(P142="","",IFERROR(INDEX($AN$11:$AN$4010,MATCH($S$8&amp;"|"&amp;132,$BA$11:$BA$4010,0)),""))</f>
        <v/>
      </c>
      <c r="R142" s="25" t="str">
        <f>IF(P142="","",IFERROR(INDEX($AO$11:$AO$4010,MATCH($S$8&amp;"|"&amp;132,$BA$11:$BA$4010,0)),""))</f>
        <v/>
      </c>
      <c r="S142" s="24" t="str">
        <f>IF(P142="","",IFERROR(INDEX($AP$11:$AP$4010,MATCH($S$8&amp;"|"&amp;132,$BA$11:$BA$4010,0)),""))</f>
        <v/>
      </c>
      <c r="T142" s="24" t="str">
        <f>IF(P142="","",IFERROR(INDEX($AQ$11:$AQ$4010,MATCH($S$8&amp;"|"&amp;132,$BA$11:$BA$4010,0)),""))</f>
        <v/>
      </c>
      <c r="U142" s="38" t="str">
        <f t="shared" si="34"/>
        <v/>
      </c>
      <c r="W142" s="28" t="str">
        <f>IF(X142="","",IFERROR(INDEX($AL$11:$AL$4010,MATCH(132,$AY$11:$AY$4010,0)),""))</f>
        <v/>
      </c>
      <c r="X142" s="26" t="str">
        <f>IFERROR(INDEX($AM$11:$AM$4010,MATCH(132,$AY$11:$AY$4010,0)),"")</f>
        <v/>
      </c>
      <c r="Y142" s="25" t="str">
        <f>IF(X142="","",IFERROR(INDEX($AN$11:$AN$4010,MATCH(132,$AY$11:$AY$4010,0)),""))</f>
        <v/>
      </c>
      <c r="Z142" s="25" t="str">
        <f>IF(X142="","",IFERROR(INDEX($AO$11:$AO$4010,MATCH(132,$AY$11:$AY$4010,0)),""))</f>
        <v/>
      </c>
      <c r="AA142" s="24" t="str">
        <f>IF(X142="","",IFERROR(INDEX($AQ$11:$AQ$4010,MATCH(132,$AY$11:$AY$4010,0)),""))</f>
        <v/>
      </c>
      <c r="AB142" s="29" t="str">
        <f>IF(X142="","",IFERROR(INDEX($AR$11:$AR$4010,MATCH(132,$AY$11:$AY$4010,0)),""))</f>
        <v/>
      </c>
      <c r="AD142" s="30" t="str">
        <f>IF(AE142="","",IFERROR(INDEX($AL$11:$AL$4010,MATCH(132,$AZ$11:$AZ$4010,0)),""))</f>
        <v/>
      </c>
      <c r="AE142" s="26" t="str">
        <f>IFERROR(INDEX($AM$11:$AM$4010,MATCH(132,$AZ$11:$AZ$4010,0)),"")</f>
        <v/>
      </c>
      <c r="AF142" s="25" t="str">
        <f>IF(AE142="","",IFERROR(INDEX($AN$11:$AN$4010,MATCH(132,$AZ$11:$AZ$4010,0)),""))</f>
        <v/>
      </c>
      <c r="AG142" s="25" t="str">
        <f>IF(AE142="","",IFERROR(INDEX($AO$11:$AO$4010,MATCH(132,$AZ$11:$AZ$4010,0)),""))</f>
        <v/>
      </c>
      <c r="AH142" s="24" t="str">
        <f>IF(AE142="","",IFERROR(INDEX($AQ$11:$AQ$4010,MATCH(132,$AZ$11:$AZ$4010,0)),""))</f>
        <v/>
      </c>
      <c r="AI142" s="29" t="str">
        <f>IF(AE142="","",IFERROR(INDEX($AR$11:$AR$4010,MATCH(132,$AZ$11:$AZ$4010,0)),""))</f>
        <v/>
      </c>
      <c r="AJ142" s="29" t="str">
        <f>IF(AE142="","",IFERROR(INDEX($AT$11:$AT$4010,MATCH(132,$AZ$11:$AZ$4010,0)),""))</f>
        <v/>
      </c>
      <c r="AL142" s="31" t="str">
        <f t="shared" si="35"/>
        <v/>
      </c>
      <c r="AM142" s="26" t="str">
        <f t="shared" si="36"/>
        <v/>
      </c>
      <c r="AN142" s="32" t="str">
        <f t="shared" si="37"/>
        <v/>
      </c>
      <c r="AO142" s="32" t="str">
        <f t="shared" si="38"/>
        <v/>
      </c>
      <c r="AP142" s="24" t="str">
        <f t="shared" si="39"/>
        <v/>
      </c>
      <c r="AQ142" s="24" t="str">
        <f t="shared" si="40"/>
        <v/>
      </c>
      <c r="AR142" s="33" t="str">
        <f t="shared" si="41"/>
        <v/>
      </c>
      <c r="AS142" s="34"/>
      <c r="AT142" s="33"/>
      <c r="AV142" s="21">
        <f>IF(AND($AL142&lt;&gt;"",COUNTIF($AL$11:$AL142,$AL142)=1),1,0)</f>
        <v>0</v>
      </c>
      <c r="AW142" s="21">
        <f t="shared" si="43"/>
        <v>0</v>
      </c>
      <c r="AX142" s="21" t="str">
        <f t="shared" si="42"/>
        <v/>
      </c>
      <c r="AY142" s="21" t="str">
        <f>IF(AND($AM142&lt;&gt;"",$AS142&lt;&gt;"✓"),SUMPRODUCT(($AM$11:$AM142&lt;&gt;"")*($AS$11:$AS142&lt;&gt;"✓")),"")</f>
        <v/>
      </c>
      <c r="AZ142" s="21" t="str">
        <f>IF(AND($AM142&lt;&gt;"",$AS142="✓"),SUMPRODUCT(($AM$11:$AM142&lt;&gt;"")*($AS$11:$AS142="✓")),"")</f>
        <v/>
      </c>
      <c r="BA142" s="21" t="str">
        <f>IF($AL142="","",$AL142&amp;"|"&amp;COUNTIF($AL$11:$AL142,$AL142))</f>
        <v/>
      </c>
    </row>
    <row r="143" spans="2:53" ht="15" customHeight="1" x14ac:dyDescent="0.25">
      <c r="B143" s="5" t="str">
        <f t="shared" si="30"/>
        <v/>
      </c>
      <c r="C143" s="5"/>
      <c r="D143" s="5"/>
      <c r="E143" s="5"/>
      <c r="F143" s="6"/>
      <c r="G143" s="6"/>
      <c r="H143" s="7"/>
      <c r="I143" s="8"/>
      <c r="K143" s="9" t="str">
        <f>IFERROR(INDEX($AL$11:$AL$4010,MATCH(133,$AX$11:$AX$4010,0)),"")</f>
        <v/>
      </c>
      <c r="L143" s="10" t="str">
        <f t="shared" si="31"/>
        <v/>
      </c>
      <c r="M143" s="11" t="str">
        <f t="shared" si="32"/>
        <v/>
      </c>
      <c r="N143" s="11" t="str">
        <f t="shared" si="33"/>
        <v/>
      </c>
      <c r="P143" s="12" t="str">
        <f>IFERROR(INDEX($AM$11:$AM$4010,MATCH($S$8&amp;"|"&amp;133,$BA$11:$BA$4010,0)),"")</f>
        <v/>
      </c>
      <c r="Q143" s="11" t="str">
        <f>IF(P143="","",IFERROR(INDEX($AN$11:$AN$4010,MATCH($S$8&amp;"|"&amp;133,$BA$11:$BA$4010,0)),""))</f>
        <v/>
      </c>
      <c r="R143" s="11" t="str">
        <f>IF(P143="","",IFERROR(INDEX($AO$11:$AO$4010,MATCH($S$8&amp;"|"&amp;133,$BA$11:$BA$4010,0)),""))</f>
        <v/>
      </c>
      <c r="S143" s="10" t="str">
        <f>IF(P143="","",IFERROR(INDEX($AP$11:$AP$4010,MATCH($S$8&amp;"|"&amp;133,$BA$11:$BA$4010,0)),""))</f>
        <v/>
      </c>
      <c r="T143" s="10" t="str">
        <f>IF(P143="","",IFERROR(INDEX($AQ$11:$AQ$4010,MATCH($S$8&amp;"|"&amp;133,$BA$11:$BA$4010,0)),""))</f>
        <v/>
      </c>
      <c r="U143" s="39" t="str">
        <f t="shared" si="34"/>
        <v/>
      </c>
      <c r="W143" s="14" t="str">
        <f>IF(X143="","",IFERROR(INDEX($AL$11:$AL$4010,MATCH(133,$AY$11:$AY$4010,0)),""))</f>
        <v/>
      </c>
      <c r="X143" s="12" t="str">
        <f>IFERROR(INDEX($AM$11:$AM$4010,MATCH(133,$AY$11:$AY$4010,0)),"")</f>
        <v/>
      </c>
      <c r="Y143" s="11" t="str">
        <f>IF(X143="","",IFERROR(INDEX($AN$11:$AN$4010,MATCH(133,$AY$11:$AY$4010,0)),""))</f>
        <v/>
      </c>
      <c r="Z143" s="11" t="str">
        <f>IF(X143="","",IFERROR(INDEX($AO$11:$AO$4010,MATCH(133,$AY$11:$AY$4010,0)),""))</f>
        <v/>
      </c>
      <c r="AA143" s="10" t="str">
        <f>IF(X143="","",IFERROR(INDEX($AQ$11:$AQ$4010,MATCH(133,$AY$11:$AY$4010,0)),""))</f>
        <v/>
      </c>
      <c r="AB143" s="15" t="str">
        <f>IF(X143="","",IFERROR(INDEX($AR$11:$AR$4010,MATCH(133,$AY$11:$AY$4010,0)),""))</f>
        <v/>
      </c>
      <c r="AD143" s="16" t="str">
        <f>IF(AE143="","",IFERROR(INDEX($AL$11:$AL$4010,MATCH(133,$AZ$11:$AZ$4010,0)),""))</f>
        <v/>
      </c>
      <c r="AE143" s="12" t="str">
        <f>IFERROR(INDEX($AM$11:$AM$4010,MATCH(133,$AZ$11:$AZ$4010,0)),"")</f>
        <v/>
      </c>
      <c r="AF143" s="11" t="str">
        <f>IF(AE143="","",IFERROR(INDEX($AN$11:$AN$4010,MATCH(133,$AZ$11:$AZ$4010,0)),""))</f>
        <v/>
      </c>
      <c r="AG143" s="11" t="str">
        <f>IF(AE143="","",IFERROR(INDEX($AO$11:$AO$4010,MATCH(133,$AZ$11:$AZ$4010,0)),""))</f>
        <v/>
      </c>
      <c r="AH143" s="10" t="str">
        <f>IF(AE143="","",IFERROR(INDEX($AQ$11:$AQ$4010,MATCH(133,$AZ$11:$AZ$4010,0)),""))</f>
        <v/>
      </c>
      <c r="AI143" s="15" t="str">
        <f>IF(AE143="","",IFERROR(INDEX($AR$11:$AR$4010,MATCH(133,$AZ$11:$AZ$4010,0)),""))</f>
        <v/>
      </c>
      <c r="AJ143" s="15" t="str">
        <f>IF(AE143="","",IFERROR(INDEX($AT$11:$AT$4010,MATCH(133,$AZ$11:$AZ$4010,0)),""))</f>
        <v/>
      </c>
      <c r="AL143" s="17" t="str">
        <f t="shared" si="35"/>
        <v/>
      </c>
      <c r="AM143" s="12" t="str">
        <f t="shared" si="36"/>
        <v/>
      </c>
      <c r="AN143" s="18" t="str">
        <f t="shared" si="37"/>
        <v/>
      </c>
      <c r="AO143" s="18" t="str">
        <f t="shared" si="38"/>
        <v/>
      </c>
      <c r="AP143" s="10" t="str">
        <f t="shared" si="39"/>
        <v/>
      </c>
      <c r="AQ143" s="10" t="str">
        <f t="shared" si="40"/>
        <v/>
      </c>
      <c r="AR143" s="19" t="str">
        <f t="shared" si="41"/>
        <v/>
      </c>
      <c r="AS143" s="20"/>
      <c r="AT143" s="19"/>
      <c r="AV143" s="21">
        <f>IF(AND($AL143&lt;&gt;"",COUNTIF($AL$11:$AL143,$AL143)=1),1,0)</f>
        <v>0</v>
      </c>
      <c r="AW143" s="21">
        <f t="shared" si="43"/>
        <v>0</v>
      </c>
      <c r="AX143" s="21" t="str">
        <f t="shared" si="42"/>
        <v/>
      </c>
      <c r="AY143" s="21" t="str">
        <f>IF(AND($AM143&lt;&gt;"",$AS143&lt;&gt;"✓"),SUMPRODUCT(($AM$11:$AM143&lt;&gt;"")*($AS$11:$AS143&lt;&gt;"✓")),"")</f>
        <v/>
      </c>
      <c r="AZ143" s="21" t="str">
        <f>IF(AND($AM143&lt;&gt;"",$AS143="✓"),SUMPRODUCT(($AM$11:$AM143&lt;&gt;"")*($AS$11:$AS143="✓")),"")</f>
        <v/>
      </c>
      <c r="BA143" s="21" t="str">
        <f>IF($AL143="","",$AL143&amp;"|"&amp;COUNTIF($AL$11:$AL143,$AL143))</f>
        <v/>
      </c>
    </row>
    <row r="144" spans="2:53" ht="15" customHeight="1" x14ac:dyDescent="0.25">
      <c r="B144" s="5" t="str">
        <f t="shared" si="30"/>
        <v/>
      </c>
      <c r="C144" s="5"/>
      <c r="D144" s="5"/>
      <c r="E144" s="5"/>
      <c r="F144" s="6"/>
      <c r="G144" s="6"/>
      <c r="H144" s="7"/>
      <c r="I144" s="8"/>
      <c r="K144" s="23" t="str">
        <f>IFERROR(INDEX($AL$11:$AL$4010,MATCH(134,$AX$11:$AX$4010,0)),"")</f>
        <v/>
      </c>
      <c r="L144" s="24" t="str">
        <f t="shared" si="31"/>
        <v/>
      </c>
      <c r="M144" s="25" t="str">
        <f t="shared" si="32"/>
        <v/>
      </c>
      <c r="N144" s="25" t="str">
        <f t="shared" si="33"/>
        <v/>
      </c>
      <c r="P144" s="26" t="str">
        <f>IFERROR(INDEX($AM$11:$AM$4010,MATCH($S$8&amp;"|"&amp;134,$BA$11:$BA$4010,0)),"")</f>
        <v/>
      </c>
      <c r="Q144" s="25" t="str">
        <f>IF(P144="","",IFERROR(INDEX($AN$11:$AN$4010,MATCH($S$8&amp;"|"&amp;134,$BA$11:$BA$4010,0)),""))</f>
        <v/>
      </c>
      <c r="R144" s="25" t="str">
        <f>IF(P144="","",IFERROR(INDEX($AO$11:$AO$4010,MATCH($S$8&amp;"|"&amp;134,$BA$11:$BA$4010,0)),""))</f>
        <v/>
      </c>
      <c r="S144" s="24" t="str">
        <f>IF(P144="","",IFERROR(INDEX($AP$11:$AP$4010,MATCH($S$8&amp;"|"&amp;134,$BA$11:$BA$4010,0)),""))</f>
        <v/>
      </c>
      <c r="T144" s="24" t="str">
        <f>IF(P144="","",IFERROR(INDEX($AQ$11:$AQ$4010,MATCH($S$8&amp;"|"&amp;134,$BA$11:$BA$4010,0)),""))</f>
        <v/>
      </c>
      <c r="U144" s="38" t="str">
        <f t="shared" si="34"/>
        <v/>
      </c>
      <c r="W144" s="28" t="str">
        <f>IF(X144="","",IFERROR(INDEX($AL$11:$AL$4010,MATCH(134,$AY$11:$AY$4010,0)),""))</f>
        <v/>
      </c>
      <c r="X144" s="26" t="str">
        <f>IFERROR(INDEX($AM$11:$AM$4010,MATCH(134,$AY$11:$AY$4010,0)),"")</f>
        <v/>
      </c>
      <c r="Y144" s="25" t="str">
        <f>IF(X144="","",IFERROR(INDEX($AN$11:$AN$4010,MATCH(134,$AY$11:$AY$4010,0)),""))</f>
        <v/>
      </c>
      <c r="Z144" s="25" t="str">
        <f>IF(X144="","",IFERROR(INDEX($AO$11:$AO$4010,MATCH(134,$AY$11:$AY$4010,0)),""))</f>
        <v/>
      </c>
      <c r="AA144" s="24" t="str">
        <f>IF(X144="","",IFERROR(INDEX($AQ$11:$AQ$4010,MATCH(134,$AY$11:$AY$4010,0)),""))</f>
        <v/>
      </c>
      <c r="AB144" s="29" t="str">
        <f>IF(X144="","",IFERROR(INDEX($AR$11:$AR$4010,MATCH(134,$AY$11:$AY$4010,0)),""))</f>
        <v/>
      </c>
      <c r="AD144" s="30" t="str">
        <f>IF(AE144="","",IFERROR(INDEX($AL$11:$AL$4010,MATCH(134,$AZ$11:$AZ$4010,0)),""))</f>
        <v/>
      </c>
      <c r="AE144" s="26" t="str">
        <f>IFERROR(INDEX($AM$11:$AM$4010,MATCH(134,$AZ$11:$AZ$4010,0)),"")</f>
        <v/>
      </c>
      <c r="AF144" s="25" t="str">
        <f>IF(AE144="","",IFERROR(INDEX($AN$11:$AN$4010,MATCH(134,$AZ$11:$AZ$4010,0)),""))</f>
        <v/>
      </c>
      <c r="AG144" s="25" t="str">
        <f>IF(AE144="","",IFERROR(INDEX($AO$11:$AO$4010,MATCH(134,$AZ$11:$AZ$4010,0)),""))</f>
        <v/>
      </c>
      <c r="AH144" s="24" t="str">
        <f>IF(AE144="","",IFERROR(INDEX($AQ$11:$AQ$4010,MATCH(134,$AZ$11:$AZ$4010,0)),""))</f>
        <v/>
      </c>
      <c r="AI144" s="29" t="str">
        <f>IF(AE144="","",IFERROR(INDEX($AR$11:$AR$4010,MATCH(134,$AZ$11:$AZ$4010,0)),""))</f>
        <v/>
      </c>
      <c r="AJ144" s="29" t="str">
        <f>IF(AE144="","",IFERROR(INDEX($AT$11:$AT$4010,MATCH(134,$AZ$11:$AZ$4010,0)),""))</f>
        <v/>
      </c>
      <c r="AL144" s="31" t="str">
        <f t="shared" si="35"/>
        <v/>
      </c>
      <c r="AM144" s="26" t="str">
        <f t="shared" si="36"/>
        <v/>
      </c>
      <c r="AN144" s="32" t="str">
        <f t="shared" si="37"/>
        <v/>
      </c>
      <c r="AO144" s="32" t="str">
        <f t="shared" si="38"/>
        <v/>
      </c>
      <c r="AP144" s="24" t="str">
        <f t="shared" si="39"/>
        <v/>
      </c>
      <c r="AQ144" s="24" t="str">
        <f t="shared" si="40"/>
        <v/>
      </c>
      <c r="AR144" s="33" t="str">
        <f t="shared" si="41"/>
        <v/>
      </c>
      <c r="AS144" s="34"/>
      <c r="AT144" s="33"/>
      <c r="AV144" s="21">
        <f>IF(AND($AL144&lt;&gt;"",COUNTIF($AL$11:$AL144,$AL144)=1),1,0)</f>
        <v>0</v>
      </c>
      <c r="AW144" s="21">
        <f t="shared" si="43"/>
        <v>0</v>
      </c>
      <c r="AX144" s="21" t="str">
        <f t="shared" si="42"/>
        <v/>
      </c>
      <c r="AY144" s="21" t="str">
        <f>IF(AND($AM144&lt;&gt;"",$AS144&lt;&gt;"✓"),SUMPRODUCT(($AM$11:$AM144&lt;&gt;"")*($AS$11:$AS144&lt;&gt;"✓")),"")</f>
        <v/>
      </c>
      <c r="AZ144" s="21" t="str">
        <f>IF(AND($AM144&lt;&gt;"",$AS144="✓"),SUMPRODUCT(($AM$11:$AM144&lt;&gt;"")*($AS$11:$AS144="✓")),"")</f>
        <v/>
      </c>
      <c r="BA144" s="21" t="str">
        <f>IF($AL144="","",$AL144&amp;"|"&amp;COUNTIF($AL$11:$AL144,$AL144))</f>
        <v/>
      </c>
    </row>
    <row r="145" spans="2:53" ht="15" customHeight="1" x14ac:dyDescent="0.25">
      <c r="B145" s="5" t="str">
        <f t="shared" si="30"/>
        <v/>
      </c>
      <c r="C145" s="5"/>
      <c r="D145" s="5"/>
      <c r="E145" s="5"/>
      <c r="F145" s="6"/>
      <c r="G145" s="6"/>
      <c r="H145" s="7"/>
      <c r="I145" s="8"/>
      <c r="K145" s="9" t="str">
        <f>IFERROR(INDEX($AL$11:$AL$4010,MATCH(135,$AX$11:$AX$4010,0)),"")</f>
        <v/>
      </c>
      <c r="L145" s="10" t="str">
        <f t="shared" si="31"/>
        <v/>
      </c>
      <c r="M145" s="11" t="str">
        <f t="shared" si="32"/>
        <v/>
      </c>
      <c r="N145" s="11" t="str">
        <f t="shared" si="33"/>
        <v/>
      </c>
      <c r="P145" s="12" t="str">
        <f>IFERROR(INDEX($AM$11:$AM$4010,MATCH($S$8&amp;"|"&amp;135,$BA$11:$BA$4010,0)),"")</f>
        <v/>
      </c>
      <c r="Q145" s="11" t="str">
        <f>IF(P145="","",IFERROR(INDEX($AN$11:$AN$4010,MATCH($S$8&amp;"|"&amp;135,$BA$11:$BA$4010,0)),""))</f>
        <v/>
      </c>
      <c r="R145" s="11" t="str">
        <f>IF(P145="","",IFERROR(INDEX($AO$11:$AO$4010,MATCH($S$8&amp;"|"&amp;135,$BA$11:$BA$4010,0)),""))</f>
        <v/>
      </c>
      <c r="S145" s="10" t="str">
        <f>IF(P145="","",IFERROR(INDEX($AP$11:$AP$4010,MATCH($S$8&amp;"|"&amp;135,$BA$11:$BA$4010,0)),""))</f>
        <v/>
      </c>
      <c r="T145" s="10" t="str">
        <f>IF(P145="","",IFERROR(INDEX($AQ$11:$AQ$4010,MATCH($S$8&amp;"|"&amp;135,$BA$11:$BA$4010,0)),""))</f>
        <v/>
      </c>
      <c r="U145" s="39" t="str">
        <f t="shared" si="34"/>
        <v/>
      </c>
      <c r="W145" s="14" t="str">
        <f>IF(X145="","",IFERROR(INDEX($AL$11:$AL$4010,MATCH(135,$AY$11:$AY$4010,0)),""))</f>
        <v/>
      </c>
      <c r="X145" s="12" t="str">
        <f>IFERROR(INDEX($AM$11:$AM$4010,MATCH(135,$AY$11:$AY$4010,0)),"")</f>
        <v/>
      </c>
      <c r="Y145" s="11" t="str">
        <f>IF(X145="","",IFERROR(INDEX($AN$11:$AN$4010,MATCH(135,$AY$11:$AY$4010,0)),""))</f>
        <v/>
      </c>
      <c r="Z145" s="11" t="str">
        <f>IF(X145="","",IFERROR(INDEX($AO$11:$AO$4010,MATCH(135,$AY$11:$AY$4010,0)),""))</f>
        <v/>
      </c>
      <c r="AA145" s="10" t="str">
        <f>IF(X145="","",IFERROR(INDEX($AQ$11:$AQ$4010,MATCH(135,$AY$11:$AY$4010,0)),""))</f>
        <v/>
      </c>
      <c r="AB145" s="15" t="str">
        <f>IF(X145="","",IFERROR(INDEX($AR$11:$AR$4010,MATCH(135,$AY$11:$AY$4010,0)),""))</f>
        <v/>
      </c>
      <c r="AD145" s="16" t="str">
        <f>IF(AE145="","",IFERROR(INDEX($AL$11:$AL$4010,MATCH(135,$AZ$11:$AZ$4010,0)),""))</f>
        <v/>
      </c>
      <c r="AE145" s="12" t="str">
        <f>IFERROR(INDEX($AM$11:$AM$4010,MATCH(135,$AZ$11:$AZ$4010,0)),"")</f>
        <v/>
      </c>
      <c r="AF145" s="11" t="str">
        <f>IF(AE145="","",IFERROR(INDEX($AN$11:$AN$4010,MATCH(135,$AZ$11:$AZ$4010,0)),""))</f>
        <v/>
      </c>
      <c r="AG145" s="11" t="str">
        <f>IF(AE145="","",IFERROR(INDEX($AO$11:$AO$4010,MATCH(135,$AZ$11:$AZ$4010,0)),""))</f>
        <v/>
      </c>
      <c r="AH145" s="10" t="str">
        <f>IF(AE145="","",IFERROR(INDEX($AQ$11:$AQ$4010,MATCH(135,$AZ$11:$AZ$4010,0)),""))</f>
        <v/>
      </c>
      <c r="AI145" s="15" t="str">
        <f>IF(AE145="","",IFERROR(INDEX($AR$11:$AR$4010,MATCH(135,$AZ$11:$AZ$4010,0)),""))</f>
        <v/>
      </c>
      <c r="AJ145" s="15" t="str">
        <f>IF(AE145="","",IFERROR(INDEX($AT$11:$AT$4010,MATCH(135,$AZ$11:$AZ$4010,0)),""))</f>
        <v/>
      </c>
      <c r="AL145" s="17" t="str">
        <f t="shared" si="35"/>
        <v/>
      </c>
      <c r="AM145" s="12" t="str">
        <f t="shared" si="36"/>
        <v/>
      </c>
      <c r="AN145" s="18" t="str">
        <f t="shared" si="37"/>
        <v/>
      </c>
      <c r="AO145" s="18" t="str">
        <f t="shared" si="38"/>
        <v/>
      </c>
      <c r="AP145" s="10" t="str">
        <f t="shared" si="39"/>
        <v/>
      </c>
      <c r="AQ145" s="10" t="str">
        <f t="shared" si="40"/>
        <v/>
      </c>
      <c r="AR145" s="19" t="str">
        <f t="shared" si="41"/>
        <v/>
      </c>
      <c r="AS145" s="20"/>
      <c r="AT145" s="19"/>
      <c r="AV145" s="21">
        <f>IF(AND($AL145&lt;&gt;"",COUNTIF($AL$11:$AL145,$AL145)=1),1,0)</f>
        <v>0</v>
      </c>
      <c r="AW145" s="21">
        <f t="shared" si="43"/>
        <v>0</v>
      </c>
      <c r="AX145" s="21" t="str">
        <f t="shared" si="42"/>
        <v/>
      </c>
      <c r="AY145" s="21" t="str">
        <f>IF(AND($AM145&lt;&gt;"",$AS145&lt;&gt;"✓"),SUMPRODUCT(($AM$11:$AM145&lt;&gt;"")*($AS$11:$AS145&lt;&gt;"✓")),"")</f>
        <v/>
      </c>
      <c r="AZ145" s="21" t="str">
        <f>IF(AND($AM145&lt;&gt;"",$AS145="✓"),SUMPRODUCT(($AM$11:$AM145&lt;&gt;"")*($AS$11:$AS145="✓")),"")</f>
        <v/>
      </c>
      <c r="BA145" s="21" t="str">
        <f>IF($AL145="","",$AL145&amp;"|"&amp;COUNTIF($AL$11:$AL145,$AL145))</f>
        <v/>
      </c>
    </row>
    <row r="146" spans="2:53" ht="15" customHeight="1" x14ac:dyDescent="0.25">
      <c r="B146" s="5" t="str">
        <f t="shared" si="30"/>
        <v/>
      </c>
      <c r="C146" s="5"/>
      <c r="D146" s="5"/>
      <c r="E146" s="5"/>
      <c r="F146" s="6"/>
      <c r="G146" s="6"/>
      <c r="H146" s="7"/>
      <c r="I146" s="8"/>
      <c r="K146" s="23" t="str">
        <f>IFERROR(INDEX($AL$11:$AL$4010,MATCH(136,$AX$11:$AX$4010,0)),"")</f>
        <v/>
      </c>
      <c r="L146" s="24" t="str">
        <f t="shared" si="31"/>
        <v/>
      </c>
      <c r="M146" s="25" t="str">
        <f t="shared" si="32"/>
        <v/>
      </c>
      <c r="N146" s="25" t="str">
        <f t="shared" si="33"/>
        <v/>
      </c>
      <c r="P146" s="26" t="str">
        <f>IFERROR(INDEX($AM$11:$AM$4010,MATCH($S$8&amp;"|"&amp;136,$BA$11:$BA$4010,0)),"")</f>
        <v/>
      </c>
      <c r="Q146" s="25" t="str">
        <f>IF(P146="","",IFERROR(INDEX($AN$11:$AN$4010,MATCH($S$8&amp;"|"&amp;136,$BA$11:$BA$4010,0)),""))</f>
        <v/>
      </c>
      <c r="R146" s="25" t="str">
        <f>IF(P146="","",IFERROR(INDEX($AO$11:$AO$4010,MATCH($S$8&amp;"|"&amp;136,$BA$11:$BA$4010,0)),""))</f>
        <v/>
      </c>
      <c r="S146" s="24" t="str">
        <f>IF(P146="","",IFERROR(INDEX($AP$11:$AP$4010,MATCH($S$8&amp;"|"&amp;136,$BA$11:$BA$4010,0)),""))</f>
        <v/>
      </c>
      <c r="T146" s="24" t="str">
        <f>IF(P146="","",IFERROR(INDEX($AQ$11:$AQ$4010,MATCH($S$8&amp;"|"&amp;136,$BA$11:$BA$4010,0)),""))</f>
        <v/>
      </c>
      <c r="U146" s="38" t="str">
        <f t="shared" si="34"/>
        <v/>
      </c>
      <c r="W146" s="28" t="str">
        <f>IF(X146="","",IFERROR(INDEX($AL$11:$AL$4010,MATCH(136,$AY$11:$AY$4010,0)),""))</f>
        <v/>
      </c>
      <c r="X146" s="26" t="str">
        <f>IFERROR(INDEX($AM$11:$AM$4010,MATCH(136,$AY$11:$AY$4010,0)),"")</f>
        <v/>
      </c>
      <c r="Y146" s="25" t="str">
        <f>IF(X146="","",IFERROR(INDEX($AN$11:$AN$4010,MATCH(136,$AY$11:$AY$4010,0)),""))</f>
        <v/>
      </c>
      <c r="Z146" s="25" t="str">
        <f>IF(X146="","",IFERROR(INDEX($AO$11:$AO$4010,MATCH(136,$AY$11:$AY$4010,0)),""))</f>
        <v/>
      </c>
      <c r="AA146" s="24" t="str">
        <f>IF(X146="","",IFERROR(INDEX($AQ$11:$AQ$4010,MATCH(136,$AY$11:$AY$4010,0)),""))</f>
        <v/>
      </c>
      <c r="AB146" s="29" t="str">
        <f>IF(X146="","",IFERROR(INDEX($AR$11:$AR$4010,MATCH(136,$AY$11:$AY$4010,0)),""))</f>
        <v/>
      </c>
      <c r="AD146" s="30" t="str">
        <f>IF(AE146="","",IFERROR(INDEX($AL$11:$AL$4010,MATCH(136,$AZ$11:$AZ$4010,0)),""))</f>
        <v/>
      </c>
      <c r="AE146" s="26" t="str">
        <f>IFERROR(INDEX($AM$11:$AM$4010,MATCH(136,$AZ$11:$AZ$4010,0)),"")</f>
        <v/>
      </c>
      <c r="AF146" s="25" t="str">
        <f>IF(AE146="","",IFERROR(INDEX($AN$11:$AN$4010,MATCH(136,$AZ$11:$AZ$4010,0)),""))</f>
        <v/>
      </c>
      <c r="AG146" s="25" t="str">
        <f>IF(AE146="","",IFERROR(INDEX($AO$11:$AO$4010,MATCH(136,$AZ$11:$AZ$4010,0)),""))</f>
        <v/>
      </c>
      <c r="AH146" s="24" t="str">
        <f>IF(AE146="","",IFERROR(INDEX($AQ$11:$AQ$4010,MATCH(136,$AZ$11:$AZ$4010,0)),""))</f>
        <v/>
      </c>
      <c r="AI146" s="29" t="str">
        <f>IF(AE146="","",IFERROR(INDEX($AR$11:$AR$4010,MATCH(136,$AZ$11:$AZ$4010,0)),""))</f>
        <v/>
      </c>
      <c r="AJ146" s="29" t="str">
        <f>IF(AE146="","",IFERROR(INDEX($AT$11:$AT$4010,MATCH(136,$AZ$11:$AZ$4010,0)),""))</f>
        <v/>
      </c>
      <c r="AL146" s="31" t="str">
        <f t="shared" si="35"/>
        <v/>
      </c>
      <c r="AM146" s="26" t="str">
        <f t="shared" si="36"/>
        <v/>
      </c>
      <c r="AN146" s="32" t="str">
        <f t="shared" si="37"/>
        <v/>
      </c>
      <c r="AO146" s="32" t="str">
        <f t="shared" si="38"/>
        <v/>
      </c>
      <c r="AP146" s="24" t="str">
        <f t="shared" si="39"/>
        <v/>
      </c>
      <c r="AQ146" s="24" t="str">
        <f t="shared" si="40"/>
        <v/>
      </c>
      <c r="AR146" s="33" t="str">
        <f t="shared" si="41"/>
        <v/>
      </c>
      <c r="AS146" s="34"/>
      <c r="AT146" s="33"/>
      <c r="AV146" s="21">
        <f>IF(AND($AL146&lt;&gt;"",COUNTIF($AL$11:$AL146,$AL146)=1),1,0)</f>
        <v>0</v>
      </c>
      <c r="AW146" s="21">
        <f t="shared" si="43"/>
        <v>0</v>
      </c>
      <c r="AX146" s="21" t="str">
        <f t="shared" si="42"/>
        <v/>
      </c>
      <c r="AY146" s="21" t="str">
        <f>IF(AND($AM146&lt;&gt;"",$AS146&lt;&gt;"✓"),SUMPRODUCT(($AM$11:$AM146&lt;&gt;"")*($AS$11:$AS146&lt;&gt;"✓")),"")</f>
        <v/>
      </c>
      <c r="AZ146" s="21" t="str">
        <f>IF(AND($AM146&lt;&gt;"",$AS146="✓"),SUMPRODUCT(($AM$11:$AM146&lt;&gt;"")*($AS$11:$AS146="✓")),"")</f>
        <v/>
      </c>
      <c r="BA146" s="21" t="str">
        <f>IF($AL146="","",$AL146&amp;"|"&amp;COUNTIF($AL$11:$AL146,$AL146))</f>
        <v/>
      </c>
    </row>
    <row r="147" spans="2:53" ht="15" customHeight="1" x14ac:dyDescent="0.25">
      <c r="B147" s="5" t="str">
        <f t="shared" si="30"/>
        <v/>
      </c>
      <c r="C147" s="5"/>
      <c r="D147" s="5"/>
      <c r="E147" s="5"/>
      <c r="F147" s="6"/>
      <c r="G147" s="6"/>
      <c r="H147" s="7"/>
      <c r="I147" s="8"/>
      <c r="K147" s="9" t="str">
        <f>IFERROR(INDEX($AL$11:$AL$4010,MATCH(137,$AX$11:$AX$4010,0)),"")</f>
        <v/>
      </c>
      <c r="L147" s="10" t="str">
        <f t="shared" si="31"/>
        <v/>
      </c>
      <c r="M147" s="11" t="str">
        <f t="shared" si="32"/>
        <v/>
      </c>
      <c r="N147" s="11" t="str">
        <f t="shared" si="33"/>
        <v/>
      </c>
      <c r="P147" s="12" t="str">
        <f>IFERROR(INDEX($AM$11:$AM$4010,MATCH($S$8&amp;"|"&amp;137,$BA$11:$BA$4010,0)),"")</f>
        <v/>
      </c>
      <c r="Q147" s="11" t="str">
        <f>IF(P147="","",IFERROR(INDEX($AN$11:$AN$4010,MATCH($S$8&amp;"|"&amp;137,$BA$11:$BA$4010,0)),""))</f>
        <v/>
      </c>
      <c r="R147" s="11" t="str">
        <f>IF(P147="","",IFERROR(INDEX($AO$11:$AO$4010,MATCH($S$8&amp;"|"&amp;137,$BA$11:$BA$4010,0)),""))</f>
        <v/>
      </c>
      <c r="S147" s="10" t="str">
        <f>IF(P147="","",IFERROR(INDEX($AP$11:$AP$4010,MATCH($S$8&amp;"|"&amp;137,$BA$11:$BA$4010,0)),""))</f>
        <v/>
      </c>
      <c r="T147" s="10" t="str">
        <f>IF(P147="","",IFERROR(INDEX($AQ$11:$AQ$4010,MATCH($S$8&amp;"|"&amp;137,$BA$11:$BA$4010,0)),""))</f>
        <v/>
      </c>
      <c r="U147" s="39" t="str">
        <f t="shared" si="34"/>
        <v/>
      </c>
      <c r="W147" s="14" t="str">
        <f>IF(X147="","",IFERROR(INDEX($AL$11:$AL$4010,MATCH(137,$AY$11:$AY$4010,0)),""))</f>
        <v/>
      </c>
      <c r="X147" s="12" t="str">
        <f>IFERROR(INDEX($AM$11:$AM$4010,MATCH(137,$AY$11:$AY$4010,0)),"")</f>
        <v/>
      </c>
      <c r="Y147" s="11" t="str">
        <f>IF(X147="","",IFERROR(INDEX($AN$11:$AN$4010,MATCH(137,$AY$11:$AY$4010,0)),""))</f>
        <v/>
      </c>
      <c r="Z147" s="11" t="str">
        <f>IF(X147="","",IFERROR(INDEX($AO$11:$AO$4010,MATCH(137,$AY$11:$AY$4010,0)),""))</f>
        <v/>
      </c>
      <c r="AA147" s="10" t="str">
        <f>IF(X147="","",IFERROR(INDEX($AQ$11:$AQ$4010,MATCH(137,$AY$11:$AY$4010,0)),""))</f>
        <v/>
      </c>
      <c r="AB147" s="15" t="str">
        <f>IF(X147="","",IFERROR(INDEX($AR$11:$AR$4010,MATCH(137,$AY$11:$AY$4010,0)),""))</f>
        <v/>
      </c>
      <c r="AD147" s="16" t="str">
        <f>IF(AE147="","",IFERROR(INDEX($AL$11:$AL$4010,MATCH(137,$AZ$11:$AZ$4010,0)),""))</f>
        <v/>
      </c>
      <c r="AE147" s="12" t="str">
        <f>IFERROR(INDEX($AM$11:$AM$4010,MATCH(137,$AZ$11:$AZ$4010,0)),"")</f>
        <v/>
      </c>
      <c r="AF147" s="11" t="str">
        <f>IF(AE147="","",IFERROR(INDEX($AN$11:$AN$4010,MATCH(137,$AZ$11:$AZ$4010,0)),""))</f>
        <v/>
      </c>
      <c r="AG147" s="11" t="str">
        <f>IF(AE147="","",IFERROR(INDEX($AO$11:$AO$4010,MATCH(137,$AZ$11:$AZ$4010,0)),""))</f>
        <v/>
      </c>
      <c r="AH147" s="10" t="str">
        <f>IF(AE147="","",IFERROR(INDEX($AQ$11:$AQ$4010,MATCH(137,$AZ$11:$AZ$4010,0)),""))</f>
        <v/>
      </c>
      <c r="AI147" s="15" t="str">
        <f>IF(AE147="","",IFERROR(INDEX($AR$11:$AR$4010,MATCH(137,$AZ$11:$AZ$4010,0)),""))</f>
        <v/>
      </c>
      <c r="AJ147" s="15" t="str">
        <f>IF(AE147="","",IFERROR(INDEX($AT$11:$AT$4010,MATCH(137,$AZ$11:$AZ$4010,0)),""))</f>
        <v/>
      </c>
      <c r="AL147" s="17" t="str">
        <f t="shared" si="35"/>
        <v/>
      </c>
      <c r="AM147" s="12" t="str">
        <f t="shared" si="36"/>
        <v/>
      </c>
      <c r="AN147" s="18" t="str">
        <f t="shared" si="37"/>
        <v/>
      </c>
      <c r="AO147" s="18" t="str">
        <f t="shared" si="38"/>
        <v/>
      </c>
      <c r="AP147" s="10" t="str">
        <f t="shared" si="39"/>
        <v/>
      </c>
      <c r="AQ147" s="10" t="str">
        <f t="shared" si="40"/>
        <v/>
      </c>
      <c r="AR147" s="19" t="str">
        <f t="shared" si="41"/>
        <v/>
      </c>
      <c r="AS147" s="20"/>
      <c r="AT147" s="19"/>
      <c r="AV147" s="21">
        <f>IF(AND($AL147&lt;&gt;"",COUNTIF($AL$11:$AL147,$AL147)=1),1,0)</f>
        <v>0</v>
      </c>
      <c r="AW147" s="21">
        <f t="shared" si="43"/>
        <v>0</v>
      </c>
      <c r="AX147" s="21" t="str">
        <f t="shared" si="42"/>
        <v/>
      </c>
      <c r="AY147" s="21" t="str">
        <f>IF(AND($AM147&lt;&gt;"",$AS147&lt;&gt;"✓"),SUMPRODUCT(($AM$11:$AM147&lt;&gt;"")*($AS$11:$AS147&lt;&gt;"✓")),"")</f>
        <v/>
      </c>
      <c r="AZ147" s="21" t="str">
        <f>IF(AND($AM147&lt;&gt;"",$AS147="✓"),SUMPRODUCT(($AM$11:$AM147&lt;&gt;"")*($AS$11:$AS147="✓")),"")</f>
        <v/>
      </c>
      <c r="BA147" s="21" t="str">
        <f>IF($AL147="","",$AL147&amp;"|"&amp;COUNTIF($AL$11:$AL147,$AL147))</f>
        <v/>
      </c>
    </row>
    <row r="148" spans="2:53" ht="15" customHeight="1" x14ac:dyDescent="0.25">
      <c r="B148" s="5" t="str">
        <f t="shared" si="30"/>
        <v/>
      </c>
      <c r="C148" s="5"/>
      <c r="D148" s="5"/>
      <c r="E148" s="5"/>
      <c r="F148" s="6"/>
      <c r="G148" s="6"/>
      <c r="H148" s="7"/>
      <c r="I148" s="8"/>
      <c r="K148" s="23" t="str">
        <f>IFERROR(INDEX($AL$11:$AL$4010,MATCH(138,$AX$11:$AX$4010,0)),"")</f>
        <v/>
      </c>
      <c r="L148" s="24" t="str">
        <f t="shared" si="31"/>
        <v/>
      </c>
      <c r="M148" s="25" t="str">
        <f t="shared" si="32"/>
        <v/>
      </c>
      <c r="N148" s="25" t="str">
        <f t="shared" si="33"/>
        <v/>
      </c>
      <c r="P148" s="26" t="str">
        <f>IFERROR(INDEX($AM$11:$AM$4010,MATCH($S$8&amp;"|"&amp;138,$BA$11:$BA$4010,0)),"")</f>
        <v/>
      </c>
      <c r="Q148" s="25" t="str">
        <f>IF(P148="","",IFERROR(INDEX($AN$11:$AN$4010,MATCH($S$8&amp;"|"&amp;138,$BA$11:$BA$4010,0)),""))</f>
        <v/>
      </c>
      <c r="R148" s="25" t="str">
        <f>IF(P148="","",IFERROR(INDEX($AO$11:$AO$4010,MATCH($S$8&amp;"|"&amp;138,$BA$11:$BA$4010,0)),""))</f>
        <v/>
      </c>
      <c r="S148" s="24" t="str">
        <f>IF(P148="","",IFERROR(INDEX($AP$11:$AP$4010,MATCH($S$8&amp;"|"&amp;138,$BA$11:$BA$4010,0)),""))</f>
        <v/>
      </c>
      <c r="T148" s="24" t="str">
        <f>IF(P148="","",IFERROR(INDEX($AQ$11:$AQ$4010,MATCH($S$8&amp;"|"&amp;138,$BA$11:$BA$4010,0)),""))</f>
        <v/>
      </c>
      <c r="U148" s="38" t="str">
        <f t="shared" si="34"/>
        <v/>
      </c>
      <c r="W148" s="28" t="str">
        <f>IF(X148="","",IFERROR(INDEX($AL$11:$AL$4010,MATCH(138,$AY$11:$AY$4010,0)),""))</f>
        <v/>
      </c>
      <c r="X148" s="26" t="str">
        <f>IFERROR(INDEX($AM$11:$AM$4010,MATCH(138,$AY$11:$AY$4010,0)),"")</f>
        <v/>
      </c>
      <c r="Y148" s="25" t="str">
        <f>IF(X148="","",IFERROR(INDEX($AN$11:$AN$4010,MATCH(138,$AY$11:$AY$4010,0)),""))</f>
        <v/>
      </c>
      <c r="Z148" s="25" t="str">
        <f>IF(X148="","",IFERROR(INDEX($AO$11:$AO$4010,MATCH(138,$AY$11:$AY$4010,0)),""))</f>
        <v/>
      </c>
      <c r="AA148" s="24" t="str">
        <f>IF(X148="","",IFERROR(INDEX($AQ$11:$AQ$4010,MATCH(138,$AY$11:$AY$4010,0)),""))</f>
        <v/>
      </c>
      <c r="AB148" s="29" t="str">
        <f>IF(X148="","",IFERROR(INDEX($AR$11:$AR$4010,MATCH(138,$AY$11:$AY$4010,0)),""))</f>
        <v/>
      </c>
      <c r="AD148" s="30" t="str">
        <f>IF(AE148="","",IFERROR(INDEX($AL$11:$AL$4010,MATCH(138,$AZ$11:$AZ$4010,0)),""))</f>
        <v/>
      </c>
      <c r="AE148" s="26" t="str">
        <f>IFERROR(INDEX($AM$11:$AM$4010,MATCH(138,$AZ$11:$AZ$4010,0)),"")</f>
        <v/>
      </c>
      <c r="AF148" s="25" t="str">
        <f>IF(AE148="","",IFERROR(INDEX($AN$11:$AN$4010,MATCH(138,$AZ$11:$AZ$4010,0)),""))</f>
        <v/>
      </c>
      <c r="AG148" s="25" t="str">
        <f>IF(AE148="","",IFERROR(INDEX($AO$11:$AO$4010,MATCH(138,$AZ$11:$AZ$4010,0)),""))</f>
        <v/>
      </c>
      <c r="AH148" s="24" t="str">
        <f>IF(AE148="","",IFERROR(INDEX($AQ$11:$AQ$4010,MATCH(138,$AZ$11:$AZ$4010,0)),""))</f>
        <v/>
      </c>
      <c r="AI148" s="29" t="str">
        <f>IF(AE148="","",IFERROR(INDEX($AR$11:$AR$4010,MATCH(138,$AZ$11:$AZ$4010,0)),""))</f>
        <v/>
      </c>
      <c r="AJ148" s="29" t="str">
        <f>IF(AE148="","",IFERROR(INDEX($AT$11:$AT$4010,MATCH(138,$AZ$11:$AZ$4010,0)),""))</f>
        <v/>
      </c>
      <c r="AL148" s="31" t="str">
        <f t="shared" si="35"/>
        <v/>
      </c>
      <c r="AM148" s="26" t="str">
        <f t="shared" si="36"/>
        <v/>
      </c>
      <c r="AN148" s="32" t="str">
        <f t="shared" si="37"/>
        <v/>
      </c>
      <c r="AO148" s="32" t="str">
        <f t="shared" si="38"/>
        <v/>
      </c>
      <c r="AP148" s="24" t="str">
        <f t="shared" si="39"/>
        <v/>
      </c>
      <c r="AQ148" s="24" t="str">
        <f t="shared" si="40"/>
        <v/>
      </c>
      <c r="AR148" s="33" t="str">
        <f t="shared" si="41"/>
        <v/>
      </c>
      <c r="AS148" s="34"/>
      <c r="AT148" s="33"/>
      <c r="AV148" s="21">
        <f>IF(AND($AL148&lt;&gt;"",COUNTIF($AL$11:$AL148,$AL148)=1),1,0)</f>
        <v>0</v>
      </c>
      <c r="AW148" s="21">
        <f t="shared" si="43"/>
        <v>0</v>
      </c>
      <c r="AX148" s="21" t="str">
        <f t="shared" si="42"/>
        <v/>
      </c>
      <c r="AY148" s="21" t="str">
        <f>IF(AND($AM148&lt;&gt;"",$AS148&lt;&gt;"✓"),SUMPRODUCT(($AM$11:$AM148&lt;&gt;"")*($AS$11:$AS148&lt;&gt;"✓")),"")</f>
        <v/>
      </c>
      <c r="AZ148" s="21" t="str">
        <f>IF(AND($AM148&lt;&gt;"",$AS148="✓"),SUMPRODUCT(($AM$11:$AM148&lt;&gt;"")*($AS$11:$AS148="✓")),"")</f>
        <v/>
      </c>
      <c r="BA148" s="21" t="str">
        <f>IF($AL148="","",$AL148&amp;"|"&amp;COUNTIF($AL$11:$AL148,$AL148))</f>
        <v/>
      </c>
    </row>
    <row r="149" spans="2:53" ht="15" customHeight="1" x14ac:dyDescent="0.25">
      <c r="B149" s="5" t="str">
        <f t="shared" si="30"/>
        <v/>
      </c>
      <c r="C149" s="5"/>
      <c r="D149" s="5"/>
      <c r="E149" s="5"/>
      <c r="F149" s="6"/>
      <c r="G149" s="6"/>
      <c r="H149" s="7"/>
      <c r="I149" s="8"/>
      <c r="K149" s="9" t="str">
        <f>IFERROR(INDEX($AL$11:$AL$4010,MATCH(139,$AX$11:$AX$4010,0)),"")</f>
        <v/>
      </c>
      <c r="L149" s="10" t="str">
        <f t="shared" si="31"/>
        <v/>
      </c>
      <c r="M149" s="11" t="str">
        <f t="shared" si="32"/>
        <v/>
      </c>
      <c r="N149" s="11" t="str">
        <f t="shared" si="33"/>
        <v/>
      </c>
      <c r="P149" s="12" t="str">
        <f>IFERROR(INDEX($AM$11:$AM$4010,MATCH($S$8&amp;"|"&amp;139,$BA$11:$BA$4010,0)),"")</f>
        <v/>
      </c>
      <c r="Q149" s="11" t="str">
        <f>IF(P149="","",IFERROR(INDEX($AN$11:$AN$4010,MATCH($S$8&amp;"|"&amp;139,$BA$11:$BA$4010,0)),""))</f>
        <v/>
      </c>
      <c r="R149" s="11" t="str">
        <f>IF(P149="","",IFERROR(INDEX($AO$11:$AO$4010,MATCH($S$8&amp;"|"&amp;139,$BA$11:$BA$4010,0)),""))</f>
        <v/>
      </c>
      <c r="S149" s="10" t="str">
        <f>IF(P149="","",IFERROR(INDEX($AP$11:$AP$4010,MATCH($S$8&amp;"|"&amp;139,$BA$11:$BA$4010,0)),""))</f>
        <v/>
      </c>
      <c r="T149" s="10" t="str">
        <f>IF(P149="","",IFERROR(INDEX($AQ$11:$AQ$4010,MATCH($S$8&amp;"|"&amp;139,$BA$11:$BA$4010,0)),""))</f>
        <v/>
      </c>
      <c r="U149" s="39" t="str">
        <f t="shared" si="34"/>
        <v/>
      </c>
      <c r="W149" s="14" t="str">
        <f>IF(X149="","",IFERROR(INDEX($AL$11:$AL$4010,MATCH(139,$AY$11:$AY$4010,0)),""))</f>
        <v/>
      </c>
      <c r="X149" s="12" t="str">
        <f>IFERROR(INDEX($AM$11:$AM$4010,MATCH(139,$AY$11:$AY$4010,0)),"")</f>
        <v/>
      </c>
      <c r="Y149" s="11" t="str">
        <f>IF(X149="","",IFERROR(INDEX($AN$11:$AN$4010,MATCH(139,$AY$11:$AY$4010,0)),""))</f>
        <v/>
      </c>
      <c r="Z149" s="11" t="str">
        <f>IF(X149="","",IFERROR(INDEX($AO$11:$AO$4010,MATCH(139,$AY$11:$AY$4010,0)),""))</f>
        <v/>
      </c>
      <c r="AA149" s="10" t="str">
        <f>IF(X149="","",IFERROR(INDEX($AQ$11:$AQ$4010,MATCH(139,$AY$11:$AY$4010,0)),""))</f>
        <v/>
      </c>
      <c r="AB149" s="15" t="str">
        <f>IF(X149="","",IFERROR(INDEX($AR$11:$AR$4010,MATCH(139,$AY$11:$AY$4010,0)),""))</f>
        <v/>
      </c>
      <c r="AD149" s="16" t="str">
        <f>IF(AE149="","",IFERROR(INDEX($AL$11:$AL$4010,MATCH(139,$AZ$11:$AZ$4010,0)),""))</f>
        <v/>
      </c>
      <c r="AE149" s="12" t="str">
        <f>IFERROR(INDEX($AM$11:$AM$4010,MATCH(139,$AZ$11:$AZ$4010,0)),"")</f>
        <v/>
      </c>
      <c r="AF149" s="11" t="str">
        <f>IF(AE149="","",IFERROR(INDEX($AN$11:$AN$4010,MATCH(139,$AZ$11:$AZ$4010,0)),""))</f>
        <v/>
      </c>
      <c r="AG149" s="11" t="str">
        <f>IF(AE149="","",IFERROR(INDEX($AO$11:$AO$4010,MATCH(139,$AZ$11:$AZ$4010,0)),""))</f>
        <v/>
      </c>
      <c r="AH149" s="10" t="str">
        <f>IF(AE149="","",IFERROR(INDEX($AQ$11:$AQ$4010,MATCH(139,$AZ$11:$AZ$4010,0)),""))</f>
        <v/>
      </c>
      <c r="AI149" s="15" t="str">
        <f>IF(AE149="","",IFERROR(INDEX($AR$11:$AR$4010,MATCH(139,$AZ$11:$AZ$4010,0)),""))</f>
        <v/>
      </c>
      <c r="AJ149" s="15" t="str">
        <f>IF(AE149="","",IFERROR(INDEX($AT$11:$AT$4010,MATCH(139,$AZ$11:$AZ$4010,0)),""))</f>
        <v/>
      </c>
      <c r="AL149" s="17" t="str">
        <f t="shared" si="35"/>
        <v/>
      </c>
      <c r="AM149" s="12" t="str">
        <f t="shared" si="36"/>
        <v/>
      </c>
      <c r="AN149" s="18" t="str">
        <f t="shared" si="37"/>
        <v/>
      </c>
      <c r="AO149" s="18" t="str">
        <f t="shared" si="38"/>
        <v/>
      </c>
      <c r="AP149" s="10" t="str">
        <f t="shared" si="39"/>
        <v/>
      </c>
      <c r="AQ149" s="10" t="str">
        <f t="shared" si="40"/>
        <v/>
      </c>
      <c r="AR149" s="19" t="str">
        <f t="shared" si="41"/>
        <v/>
      </c>
      <c r="AS149" s="20"/>
      <c r="AT149" s="19"/>
      <c r="AV149" s="21">
        <f>IF(AND($AL149&lt;&gt;"",COUNTIF($AL$11:$AL149,$AL149)=1),1,0)</f>
        <v>0</v>
      </c>
      <c r="AW149" s="21">
        <f t="shared" si="43"/>
        <v>0</v>
      </c>
      <c r="AX149" s="21" t="str">
        <f t="shared" si="42"/>
        <v/>
      </c>
      <c r="AY149" s="21" t="str">
        <f>IF(AND($AM149&lt;&gt;"",$AS149&lt;&gt;"✓"),SUMPRODUCT(($AM$11:$AM149&lt;&gt;"")*($AS$11:$AS149&lt;&gt;"✓")),"")</f>
        <v/>
      </c>
      <c r="AZ149" s="21" t="str">
        <f>IF(AND($AM149&lt;&gt;"",$AS149="✓"),SUMPRODUCT(($AM$11:$AM149&lt;&gt;"")*($AS$11:$AS149="✓")),"")</f>
        <v/>
      </c>
      <c r="BA149" s="21" t="str">
        <f>IF($AL149="","",$AL149&amp;"|"&amp;COUNTIF($AL$11:$AL149,$AL149))</f>
        <v/>
      </c>
    </row>
    <row r="150" spans="2:53" ht="15" customHeight="1" x14ac:dyDescent="0.25">
      <c r="B150" s="5" t="str">
        <f t="shared" si="30"/>
        <v/>
      </c>
      <c r="C150" s="5"/>
      <c r="D150" s="5"/>
      <c r="E150" s="5"/>
      <c r="F150" s="6"/>
      <c r="G150" s="6"/>
      <c r="H150" s="7"/>
      <c r="I150" s="8"/>
      <c r="K150" s="23" t="str">
        <f>IFERROR(INDEX($AL$11:$AL$4010,MATCH(140,$AX$11:$AX$4010,0)),"")</f>
        <v/>
      </c>
      <c r="L150" s="24" t="str">
        <f t="shared" si="31"/>
        <v/>
      </c>
      <c r="M150" s="25" t="str">
        <f t="shared" si="32"/>
        <v/>
      </c>
      <c r="N150" s="25" t="str">
        <f t="shared" si="33"/>
        <v/>
      </c>
      <c r="P150" s="26" t="str">
        <f>IFERROR(INDEX($AM$11:$AM$4010,MATCH($S$8&amp;"|"&amp;140,$BA$11:$BA$4010,0)),"")</f>
        <v/>
      </c>
      <c r="Q150" s="25" t="str">
        <f>IF(P150="","",IFERROR(INDEX($AN$11:$AN$4010,MATCH($S$8&amp;"|"&amp;140,$BA$11:$BA$4010,0)),""))</f>
        <v/>
      </c>
      <c r="R150" s="25" t="str">
        <f>IF(P150="","",IFERROR(INDEX($AO$11:$AO$4010,MATCH($S$8&amp;"|"&amp;140,$BA$11:$BA$4010,0)),""))</f>
        <v/>
      </c>
      <c r="S150" s="24" t="str">
        <f>IF(P150="","",IFERROR(INDEX($AP$11:$AP$4010,MATCH($S$8&amp;"|"&amp;140,$BA$11:$BA$4010,0)),""))</f>
        <v/>
      </c>
      <c r="T150" s="24" t="str">
        <f>IF(P150="","",IFERROR(INDEX($AQ$11:$AQ$4010,MATCH($S$8&amp;"|"&amp;140,$BA$11:$BA$4010,0)),""))</f>
        <v/>
      </c>
      <c r="U150" s="38" t="str">
        <f t="shared" si="34"/>
        <v/>
      </c>
      <c r="W150" s="28" t="str">
        <f>IF(X150="","",IFERROR(INDEX($AL$11:$AL$4010,MATCH(140,$AY$11:$AY$4010,0)),""))</f>
        <v/>
      </c>
      <c r="X150" s="26" t="str">
        <f>IFERROR(INDEX($AM$11:$AM$4010,MATCH(140,$AY$11:$AY$4010,0)),"")</f>
        <v/>
      </c>
      <c r="Y150" s="25" t="str">
        <f>IF(X150="","",IFERROR(INDEX($AN$11:$AN$4010,MATCH(140,$AY$11:$AY$4010,0)),""))</f>
        <v/>
      </c>
      <c r="Z150" s="25" t="str">
        <f>IF(X150="","",IFERROR(INDEX($AO$11:$AO$4010,MATCH(140,$AY$11:$AY$4010,0)),""))</f>
        <v/>
      </c>
      <c r="AA150" s="24" t="str">
        <f>IF(X150="","",IFERROR(INDEX($AQ$11:$AQ$4010,MATCH(140,$AY$11:$AY$4010,0)),""))</f>
        <v/>
      </c>
      <c r="AB150" s="29" t="str">
        <f>IF(X150="","",IFERROR(INDEX($AR$11:$AR$4010,MATCH(140,$AY$11:$AY$4010,0)),""))</f>
        <v/>
      </c>
      <c r="AD150" s="30" t="str">
        <f>IF(AE150="","",IFERROR(INDEX($AL$11:$AL$4010,MATCH(140,$AZ$11:$AZ$4010,0)),""))</f>
        <v/>
      </c>
      <c r="AE150" s="26" t="str">
        <f>IFERROR(INDEX($AM$11:$AM$4010,MATCH(140,$AZ$11:$AZ$4010,0)),"")</f>
        <v/>
      </c>
      <c r="AF150" s="25" t="str">
        <f>IF(AE150="","",IFERROR(INDEX($AN$11:$AN$4010,MATCH(140,$AZ$11:$AZ$4010,0)),""))</f>
        <v/>
      </c>
      <c r="AG150" s="25" t="str">
        <f>IF(AE150="","",IFERROR(INDEX($AO$11:$AO$4010,MATCH(140,$AZ$11:$AZ$4010,0)),""))</f>
        <v/>
      </c>
      <c r="AH150" s="24" t="str">
        <f>IF(AE150="","",IFERROR(INDEX($AQ$11:$AQ$4010,MATCH(140,$AZ$11:$AZ$4010,0)),""))</f>
        <v/>
      </c>
      <c r="AI150" s="29" t="str">
        <f>IF(AE150="","",IFERROR(INDEX($AR$11:$AR$4010,MATCH(140,$AZ$11:$AZ$4010,0)),""))</f>
        <v/>
      </c>
      <c r="AJ150" s="29" t="str">
        <f>IF(AE150="","",IFERROR(INDEX($AT$11:$AT$4010,MATCH(140,$AZ$11:$AZ$4010,0)),""))</f>
        <v/>
      </c>
      <c r="AL150" s="31" t="str">
        <f t="shared" si="35"/>
        <v/>
      </c>
      <c r="AM150" s="26" t="str">
        <f t="shared" si="36"/>
        <v/>
      </c>
      <c r="AN150" s="32" t="str">
        <f t="shared" si="37"/>
        <v/>
      </c>
      <c r="AO150" s="32" t="str">
        <f t="shared" si="38"/>
        <v/>
      </c>
      <c r="AP150" s="24" t="str">
        <f t="shared" si="39"/>
        <v/>
      </c>
      <c r="AQ150" s="24" t="str">
        <f t="shared" si="40"/>
        <v/>
      </c>
      <c r="AR150" s="33" t="str">
        <f t="shared" si="41"/>
        <v/>
      </c>
      <c r="AS150" s="34"/>
      <c r="AT150" s="33"/>
      <c r="AV150" s="21">
        <f>IF(AND($AL150&lt;&gt;"",COUNTIF($AL$11:$AL150,$AL150)=1),1,0)</f>
        <v>0</v>
      </c>
      <c r="AW150" s="21">
        <f t="shared" si="43"/>
        <v>0</v>
      </c>
      <c r="AX150" s="21" t="str">
        <f t="shared" si="42"/>
        <v/>
      </c>
      <c r="AY150" s="21" t="str">
        <f>IF(AND($AM150&lt;&gt;"",$AS150&lt;&gt;"✓"),SUMPRODUCT(($AM$11:$AM150&lt;&gt;"")*($AS$11:$AS150&lt;&gt;"✓")),"")</f>
        <v/>
      </c>
      <c r="AZ150" s="21" t="str">
        <f>IF(AND($AM150&lt;&gt;"",$AS150="✓"),SUMPRODUCT(($AM$11:$AM150&lt;&gt;"")*($AS$11:$AS150="✓")),"")</f>
        <v/>
      </c>
      <c r="BA150" s="21" t="str">
        <f>IF($AL150="","",$AL150&amp;"|"&amp;COUNTIF($AL$11:$AL150,$AL150))</f>
        <v/>
      </c>
    </row>
    <row r="151" spans="2:53" ht="15" customHeight="1" x14ac:dyDescent="0.25">
      <c r="B151" s="5" t="str">
        <f t="shared" si="30"/>
        <v/>
      </c>
      <c r="C151" s="5"/>
      <c r="D151" s="5"/>
      <c r="E151" s="5"/>
      <c r="F151" s="6"/>
      <c r="G151" s="6"/>
      <c r="H151" s="7"/>
      <c r="I151" s="8"/>
      <c r="K151" s="9" t="str">
        <f>IFERROR(INDEX($AL$11:$AL$4010,MATCH(141,$AX$11:$AX$4010,0)),"")</f>
        <v/>
      </c>
      <c r="L151" s="10" t="str">
        <f t="shared" si="31"/>
        <v/>
      </c>
      <c r="M151" s="11" t="str">
        <f t="shared" si="32"/>
        <v/>
      </c>
      <c r="N151" s="11" t="str">
        <f t="shared" si="33"/>
        <v/>
      </c>
      <c r="P151" s="12" t="str">
        <f>IFERROR(INDEX($AM$11:$AM$4010,MATCH($S$8&amp;"|"&amp;141,$BA$11:$BA$4010,0)),"")</f>
        <v/>
      </c>
      <c r="Q151" s="11" t="str">
        <f>IF(P151="","",IFERROR(INDEX($AN$11:$AN$4010,MATCH($S$8&amp;"|"&amp;141,$BA$11:$BA$4010,0)),""))</f>
        <v/>
      </c>
      <c r="R151" s="11" t="str">
        <f>IF(P151="","",IFERROR(INDEX($AO$11:$AO$4010,MATCH($S$8&amp;"|"&amp;141,$BA$11:$BA$4010,0)),""))</f>
        <v/>
      </c>
      <c r="S151" s="10" t="str">
        <f>IF(P151="","",IFERROR(INDEX($AP$11:$AP$4010,MATCH($S$8&amp;"|"&amp;141,$BA$11:$BA$4010,0)),""))</f>
        <v/>
      </c>
      <c r="T151" s="10" t="str">
        <f>IF(P151="","",IFERROR(INDEX($AQ$11:$AQ$4010,MATCH($S$8&amp;"|"&amp;141,$BA$11:$BA$4010,0)),""))</f>
        <v/>
      </c>
      <c r="U151" s="39" t="str">
        <f t="shared" si="34"/>
        <v/>
      </c>
      <c r="W151" s="14" t="str">
        <f>IF(X151="","",IFERROR(INDEX($AL$11:$AL$4010,MATCH(141,$AY$11:$AY$4010,0)),""))</f>
        <v/>
      </c>
      <c r="X151" s="12" t="str">
        <f>IFERROR(INDEX($AM$11:$AM$4010,MATCH(141,$AY$11:$AY$4010,0)),"")</f>
        <v/>
      </c>
      <c r="Y151" s="11" t="str">
        <f>IF(X151="","",IFERROR(INDEX($AN$11:$AN$4010,MATCH(141,$AY$11:$AY$4010,0)),""))</f>
        <v/>
      </c>
      <c r="Z151" s="11" t="str">
        <f>IF(X151="","",IFERROR(INDEX($AO$11:$AO$4010,MATCH(141,$AY$11:$AY$4010,0)),""))</f>
        <v/>
      </c>
      <c r="AA151" s="10" t="str">
        <f>IF(X151="","",IFERROR(INDEX($AQ$11:$AQ$4010,MATCH(141,$AY$11:$AY$4010,0)),""))</f>
        <v/>
      </c>
      <c r="AB151" s="15" t="str">
        <f>IF(X151="","",IFERROR(INDEX($AR$11:$AR$4010,MATCH(141,$AY$11:$AY$4010,0)),""))</f>
        <v/>
      </c>
      <c r="AD151" s="16" t="str">
        <f>IF(AE151="","",IFERROR(INDEX($AL$11:$AL$4010,MATCH(141,$AZ$11:$AZ$4010,0)),""))</f>
        <v/>
      </c>
      <c r="AE151" s="12" t="str">
        <f>IFERROR(INDEX($AM$11:$AM$4010,MATCH(141,$AZ$11:$AZ$4010,0)),"")</f>
        <v/>
      </c>
      <c r="AF151" s="11" t="str">
        <f>IF(AE151="","",IFERROR(INDEX($AN$11:$AN$4010,MATCH(141,$AZ$11:$AZ$4010,0)),""))</f>
        <v/>
      </c>
      <c r="AG151" s="11" t="str">
        <f>IF(AE151="","",IFERROR(INDEX($AO$11:$AO$4010,MATCH(141,$AZ$11:$AZ$4010,0)),""))</f>
        <v/>
      </c>
      <c r="AH151" s="10" t="str">
        <f>IF(AE151="","",IFERROR(INDEX($AQ$11:$AQ$4010,MATCH(141,$AZ$11:$AZ$4010,0)),""))</f>
        <v/>
      </c>
      <c r="AI151" s="15" t="str">
        <f>IF(AE151="","",IFERROR(INDEX($AR$11:$AR$4010,MATCH(141,$AZ$11:$AZ$4010,0)),""))</f>
        <v/>
      </c>
      <c r="AJ151" s="15" t="str">
        <f>IF(AE151="","",IFERROR(INDEX($AT$11:$AT$4010,MATCH(141,$AZ$11:$AZ$4010,0)),""))</f>
        <v/>
      </c>
      <c r="AL151" s="17" t="str">
        <f t="shared" si="35"/>
        <v/>
      </c>
      <c r="AM151" s="12" t="str">
        <f t="shared" si="36"/>
        <v/>
      </c>
      <c r="AN151" s="18" t="str">
        <f t="shared" si="37"/>
        <v/>
      </c>
      <c r="AO151" s="18" t="str">
        <f t="shared" si="38"/>
        <v/>
      </c>
      <c r="AP151" s="10" t="str">
        <f t="shared" si="39"/>
        <v/>
      </c>
      <c r="AQ151" s="10" t="str">
        <f t="shared" si="40"/>
        <v/>
      </c>
      <c r="AR151" s="19" t="str">
        <f t="shared" si="41"/>
        <v/>
      </c>
      <c r="AS151" s="20"/>
      <c r="AT151" s="19"/>
      <c r="AV151" s="21">
        <f>IF(AND($AL151&lt;&gt;"",COUNTIF($AL$11:$AL151,$AL151)=1),1,0)</f>
        <v>0</v>
      </c>
      <c r="AW151" s="21">
        <f t="shared" si="43"/>
        <v>0</v>
      </c>
      <c r="AX151" s="21" t="str">
        <f t="shared" si="42"/>
        <v/>
      </c>
      <c r="AY151" s="21" t="str">
        <f>IF(AND($AM151&lt;&gt;"",$AS151&lt;&gt;"✓"),SUMPRODUCT(($AM$11:$AM151&lt;&gt;"")*($AS$11:$AS151&lt;&gt;"✓")),"")</f>
        <v/>
      </c>
      <c r="AZ151" s="21" t="str">
        <f>IF(AND($AM151&lt;&gt;"",$AS151="✓"),SUMPRODUCT(($AM$11:$AM151&lt;&gt;"")*($AS$11:$AS151="✓")),"")</f>
        <v/>
      </c>
      <c r="BA151" s="21" t="str">
        <f>IF($AL151="","",$AL151&amp;"|"&amp;COUNTIF($AL$11:$AL151,$AL151))</f>
        <v/>
      </c>
    </row>
    <row r="152" spans="2:53" ht="15" customHeight="1" x14ac:dyDescent="0.25">
      <c r="B152" s="5" t="str">
        <f t="shared" si="30"/>
        <v/>
      </c>
      <c r="C152" s="5"/>
      <c r="D152" s="5"/>
      <c r="E152" s="5"/>
      <c r="F152" s="6"/>
      <c r="G152" s="6"/>
      <c r="H152" s="7"/>
      <c r="I152" s="8"/>
      <c r="K152" s="23" t="str">
        <f>IFERROR(INDEX($AL$11:$AL$4010,MATCH(142,$AX$11:$AX$4010,0)),"")</f>
        <v/>
      </c>
      <c r="L152" s="24" t="str">
        <f t="shared" si="31"/>
        <v/>
      </c>
      <c r="M152" s="25" t="str">
        <f t="shared" si="32"/>
        <v/>
      </c>
      <c r="N152" s="25" t="str">
        <f t="shared" si="33"/>
        <v/>
      </c>
      <c r="P152" s="26" t="str">
        <f>IFERROR(INDEX($AM$11:$AM$4010,MATCH($S$8&amp;"|"&amp;142,$BA$11:$BA$4010,0)),"")</f>
        <v/>
      </c>
      <c r="Q152" s="25" t="str">
        <f>IF(P152="","",IFERROR(INDEX($AN$11:$AN$4010,MATCH($S$8&amp;"|"&amp;142,$BA$11:$BA$4010,0)),""))</f>
        <v/>
      </c>
      <c r="R152" s="25" t="str">
        <f>IF(P152="","",IFERROR(INDEX($AO$11:$AO$4010,MATCH($S$8&amp;"|"&amp;142,$BA$11:$BA$4010,0)),""))</f>
        <v/>
      </c>
      <c r="S152" s="24" t="str">
        <f>IF(P152="","",IFERROR(INDEX($AP$11:$AP$4010,MATCH($S$8&amp;"|"&amp;142,$BA$11:$BA$4010,0)),""))</f>
        <v/>
      </c>
      <c r="T152" s="24" t="str">
        <f>IF(P152="","",IFERROR(INDEX($AQ$11:$AQ$4010,MATCH($S$8&amp;"|"&amp;142,$BA$11:$BA$4010,0)),""))</f>
        <v/>
      </c>
      <c r="U152" s="38" t="str">
        <f t="shared" si="34"/>
        <v/>
      </c>
      <c r="W152" s="28" t="str">
        <f>IF(X152="","",IFERROR(INDEX($AL$11:$AL$4010,MATCH(142,$AY$11:$AY$4010,0)),""))</f>
        <v/>
      </c>
      <c r="X152" s="26" t="str">
        <f>IFERROR(INDEX($AM$11:$AM$4010,MATCH(142,$AY$11:$AY$4010,0)),"")</f>
        <v/>
      </c>
      <c r="Y152" s="25" t="str">
        <f>IF(X152="","",IFERROR(INDEX($AN$11:$AN$4010,MATCH(142,$AY$11:$AY$4010,0)),""))</f>
        <v/>
      </c>
      <c r="Z152" s="25" t="str">
        <f>IF(X152="","",IFERROR(INDEX($AO$11:$AO$4010,MATCH(142,$AY$11:$AY$4010,0)),""))</f>
        <v/>
      </c>
      <c r="AA152" s="24" t="str">
        <f>IF(X152="","",IFERROR(INDEX($AQ$11:$AQ$4010,MATCH(142,$AY$11:$AY$4010,0)),""))</f>
        <v/>
      </c>
      <c r="AB152" s="29" t="str">
        <f>IF(X152="","",IFERROR(INDEX($AR$11:$AR$4010,MATCH(142,$AY$11:$AY$4010,0)),""))</f>
        <v/>
      </c>
      <c r="AD152" s="30" t="str">
        <f>IF(AE152="","",IFERROR(INDEX($AL$11:$AL$4010,MATCH(142,$AZ$11:$AZ$4010,0)),""))</f>
        <v/>
      </c>
      <c r="AE152" s="26" t="str">
        <f>IFERROR(INDEX($AM$11:$AM$4010,MATCH(142,$AZ$11:$AZ$4010,0)),"")</f>
        <v/>
      </c>
      <c r="AF152" s="25" t="str">
        <f>IF(AE152="","",IFERROR(INDEX($AN$11:$AN$4010,MATCH(142,$AZ$11:$AZ$4010,0)),""))</f>
        <v/>
      </c>
      <c r="AG152" s="25" t="str">
        <f>IF(AE152="","",IFERROR(INDEX($AO$11:$AO$4010,MATCH(142,$AZ$11:$AZ$4010,0)),""))</f>
        <v/>
      </c>
      <c r="AH152" s="24" t="str">
        <f>IF(AE152="","",IFERROR(INDEX($AQ$11:$AQ$4010,MATCH(142,$AZ$11:$AZ$4010,0)),""))</f>
        <v/>
      </c>
      <c r="AI152" s="29" t="str">
        <f>IF(AE152="","",IFERROR(INDEX($AR$11:$AR$4010,MATCH(142,$AZ$11:$AZ$4010,0)),""))</f>
        <v/>
      </c>
      <c r="AJ152" s="29" t="str">
        <f>IF(AE152="","",IFERROR(INDEX($AT$11:$AT$4010,MATCH(142,$AZ$11:$AZ$4010,0)),""))</f>
        <v/>
      </c>
      <c r="AL152" s="31" t="str">
        <f t="shared" si="35"/>
        <v/>
      </c>
      <c r="AM152" s="26" t="str">
        <f t="shared" si="36"/>
        <v/>
      </c>
      <c r="AN152" s="32" t="str">
        <f t="shared" si="37"/>
        <v/>
      </c>
      <c r="AO152" s="32" t="str">
        <f t="shared" si="38"/>
        <v/>
      </c>
      <c r="AP152" s="24" t="str">
        <f t="shared" si="39"/>
        <v/>
      </c>
      <c r="AQ152" s="24" t="str">
        <f t="shared" si="40"/>
        <v/>
      </c>
      <c r="AR152" s="33" t="str">
        <f t="shared" si="41"/>
        <v/>
      </c>
      <c r="AS152" s="34"/>
      <c r="AT152" s="33"/>
      <c r="AV152" s="21">
        <f>IF(AND($AL152&lt;&gt;"",COUNTIF($AL$11:$AL152,$AL152)=1),1,0)</f>
        <v>0</v>
      </c>
      <c r="AW152" s="21">
        <f t="shared" si="43"/>
        <v>0</v>
      </c>
      <c r="AX152" s="21" t="str">
        <f t="shared" si="42"/>
        <v/>
      </c>
      <c r="AY152" s="21" t="str">
        <f>IF(AND($AM152&lt;&gt;"",$AS152&lt;&gt;"✓"),SUMPRODUCT(($AM$11:$AM152&lt;&gt;"")*($AS$11:$AS152&lt;&gt;"✓")),"")</f>
        <v/>
      </c>
      <c r="AZ152" s="21" t="str">
        <f>IF(AND($AM152&lt;&gt;"",$AS152="✓"),SUMPRODUCT(($AM$11:$AM152&lt;&gt;"")*($AS$11:$AS152="✓")),"")</f>
        <v/>
      </c>
      <c r="BA152" s="21" t="str">
        <f>IF($AL152="","",$AL152&amp;"|"&amp;COUNTIF($AL$11:$AL152,$AL152))</f>
        <v/>
      </c>
    </row>
    <row r="153" spans="2:53" ht="15" customHeight="1" x14ac:dyDescent="0.25">
      <c r="B153" s="5" t="str">
        <f t="shared" si="30"/>
        <v/>
      </c>
      <c r="C153" s="5"/>
      <c r="D153" s="5"/>
      <c r="E153" s="5"/>
      <c r="F153" s="6"/>
      <c r="G153" s="6"/>
      <c r="H153" s="7"/>
      <c r="I153" s="8"/>
      <c r="K153" s="9" t="str">
        <f>IFERROR(INDEX($AL$11:$AL$4010,MATCH(143,$AX$11:$AX$4010,0)),"")</f>
        <v/>
      </c>
      <c r="L153" s="10" t="str">
        <f t="shared" si="31"/>
        <v/>
      </c>
      <c r="M153" s="11" t="str">
        <f t="shared" si="32"/>
        <v/>
      </c>
      <c r="N153" s="11" t="str">
        <f t="shared" si="33"/>
        <v/>
      </c>
      <c r="P153" s="12" t="str">
        <f>IFERROR(INDEX($AM$11:$AM$4010,MATCH($S$8&amp;"|"&amp;143,$BA$11:$BA$4010,0)),"")</f>
        <v/>
      </c>
      <c r="Q153" s="11" t="str">
        <f>IF(P153="","",IFERROR(INDEX($AN$11:$AN$4010,MATCH($S$8&amp;"|"&amp;143,$BA$11:$BA$4010,0)),""))</f>
        <v/>
      </c>
      <c r="R153" s="11" t="str">
        <f>IF(P153="","",IFERROR(INDEX($AO$11:$AO$4010,MATCH($S$8&amp;"|"&amp;143,$BA$11:$BA$4010,0)),""))</f>
        <v/>
      </c>
      <c r="S153" s="10" t="str">
        <f>IF(P153="","",IFERROR(INDEX($AP$11:$AP$4010,MATCH($S$8&amp;"|"&amp;143,$BA$11:$BA$4010,0)),""))</f>
        <v/>
      </c>
      <c r="T153" s="10" t="str">
        <f>IF(P153="","",IFERROR(INDEX($AQ$11:$AQ$4010,MATCH($S$8&amp;"|"&amp;143,$BA$11:$BA$4010,0)),""))</f>
        <v/>
      </c>
      <c r="U153" s="39" t="str">
        <f t="shared" si="34"/>
        <v/>
      </c>
      <c r="W153" s="14" t="str">
        <f>IF(X153="","",IFERROR(INDEX($AL$11:$AL$4010,MATCH(143,$AY$11:$AY$4010,0)),""))</f>
        <v/>
      </c>
      <c r="X153" s="12" t="str">
        <f>IFERROR(INDEX($AM$11:$AM$4010,MATCH(143,$AY$11:$AY$4010,0)),"")</f>
        <v/>
      </c>
      <c r="Y153" s="11" t="str">
        <f>IF(X153="","",IFERROR(INDEX($AN$11:$AN$4010,MATCH(143,$AY$11:$AY$4010,0)),""))</f>
        <v/>
      </c>
      <c r="Z153" s="11" t="str">
        <f>IF(X153="","",IFERROR(INDEX($AO$11:$AO$4010,MATCH(143,$AY$11:$AY$4010,0)),""))</f>
        <v/>
      </c>
      <c r="AA153" s="10" t="str">
        <f>IF(X153="","",IFERROR(INDEX($AQ$11:$AQ$4010,MATCH(143,$AY$11:$AY$4010,0)),""))</f>
        <v/>
      </c>
      <c r="AB153" s="15" t="str">
        <f>IF(X153="","",IFERROR(INDEX($AR$11:$AR$4010,MATCH(143,$AY$11:$AY$4010,0)),""))</f>
        <v/>
      </c>
      <c r="AD153" s="16" t="str">
        <f>IF(AE153="","",IFERROR(INDEX($AL$11:$AL$4010,MATCH(143,$AZ$11:$AZ$4010,0)),""))</f>
        <v/>
      </c>
      <c r="AE153" s="12" t="str">
        <f>IFERROR(INDEX($AM$11:$AM$4010,MATCH(143,$AZ$11:$AZ$4010,0)),"")</f>
        <v/>
      </c>
      <c r="AF153" s="11" t="str">
        <f>IF(AE153="","",IFERROR(INDEX($AN$11:$AN$4010,MATCH(143,$AZ$11:$AZ$4010,0)),""))</f>
        <v/>
      </c>
      <c r="AG153" s="11" t="str">
        <f>IF(AE153="","",IFERROR(INDEX($AO$11:$AO$4010,MATCH(143,$AZ$11:$AZ$4010,0)),""))</f>
        <v/>
      </c>
      <c r="AH153" s="10" t="str">
        <f>IF(AE153="","",IFERROR(INDEX($AQ$11:$AQ$4010,MATCH(143,$AZ$11:$AZ$4010,0)),""))</f>
        <v/>
      </c>
      <c r="AI153" s="15" t="str">
        <f>IF(AE153="","",IFERROR(INDEX($AR$11:$AR$4010,MATCH(143,$AZ$11:$AZ$4010,0)),""))</f>
        <v/>
      </c>
      <c r="AJ153" s="15" t="str">
        <f>IF(AE153="","",IFERROR(INDEX($AT$11:$AT$4010,MATCH(143,$AZ$11:$AZ$4010,0)),""))</f>
        <v/>
      </c>
      <c r="AL153" s="17" t="str">
        <f t="shared" si="35"/>
        <v/>
      </c>
      <c r="AM153" s="12" t="str">
        <f t="shared" si="36"/>
        <v/>
      </c>
      <c r="AN153" s="18" t="str">
        <f t="shared" si="37"/>
        <v/>
      </c>
      <c r="AO153" s="18" t="str">
        <f t="shared" si="38"/>
        <v/>
      </c>
      <c r="AP153" s="10" t="str">
        <f t="shared" si="39"/>
        <v/>
      </c>
      <c r="AQ153" s="10" t="str">
        <f t="shared" si="40"/>
        <v/>
      </c>
      <c r="AR153" s="19" t="str">
        <f t="shared" si="41"/>
        <v/>
      </c>
      <c r="AS153" s="20"/>
      <c r="AT153" s="19"/>
      <c r="AV153" s="21">
        <f>IF(AND($AL153&lt;&gt;"",COUNTIF($AL$11:$AL153,$AL153)=1),1,0)</f>
        <v>0</v>
      </c>
      <c r="AW153" s="21">
        <f t="shared" si="43"/>
        <v>0</v>
      </c>
      <c r="AX153" s="21" t="str">
        <f t="shared" si="42"/>
        <v/>
      </c>
      <c r="AY153" s="21" t="str">
        <f>IF(AND($AM153&lt;&gt;"",$AS153&lt;&gt;"✓"),SUMPRODUCT(($AM$11:$AM153&lt;&gt;"")*($AS$11:$AS153&lt;&gt;"✓")),"")</f>
        <v/>
      </c>
      <c r="AZ153" s="21" t="str">
        <f>IF(AND($AM153&lt;&gt;"",$AS153="✓"),SUMPRODUCT(($AM$11:$AM153&lt;&gt;"")*($AS$11:$AS153="✓")),"")</f>
        <v/>
      </c>
      <c r="BA153" s="21" t="str">
        <f>IF($AL153="","",$AL153&amp;"|"&amp;COUNTIF($AL$11:$AL153,$AL153))</f>
        <v/>
      </c>
    </row>
    <row r="154" spans="2:53" ht="15" customHeight="1" x14ac:dyDescent="0.25">
      <c r="B154" s="5" t="str">
        <f t="shared" si="30"/>
        <v/>
      </c>
      <c r="C154" s="5"/>
      <c r="D154" s="5"/>
      <c r="E154" s="5"/>
      <c r="F154" s="6"/>
      <c r="G154" s="6"/>
      <c r="H154" s="7"/>
      <c r="I154" s="8"/>
      <c r="K154" s="23" t="str">
        <f>IFERROR(INDEX($AL$11:$AL$4010,MATCH(144,$AX$11:$AX$4010,0)),"")</f>
        <v/>
      </c>
      <c r="L154" s="24" t="str">
        <f t="shared" si="31"/>
        <v/>
      </c>
      <c r="M154" s="25" t="str">
        <f t="shared" si="32"/>
        <v/>
      </c>
      <c r="N154" s="25" t="str">
        <f t="shared" si="33"/>
        <v/>
      </c>
      <c r="P154" s="26" t="str">
        <f>IFERROR(INDEX($AM$11:$AM$4010,MATCH($S$8&amp;"|"&amp;144,$BA$11:$BA$4010,0)),"")</f>
        <v/>
      </c>
      <c r="Q154" s="25" t="str">
        <f>IF(P154="","",IFERROR(INDEX($AN$11:$AN$4010,MATCH($S$8&amp;"|"&amp;144,$BA$11:$BA$4010,0)),""))</f>
        <v/>
      </c>
      <c r="R154" s="25" t="str">
        <f>IF(P154="","",IFERROR(INDEX($AO$11:$AO$4010,MATCH($S$8&amp;"|"&amp;144,$BA$11:$BA$4010,0)),""))</f>
        <v/>
      </c>
      <c r="S154" s="24" t="str">
        <f>IF(P154="","",IFERROR(INDEX($AP$11:$AP$4010,MATCH($S$8&amp;"|"&amp;144,$BA$11:$BA$4010,0)),""))</f>
        <v/>
      </c>
      <c r="T154" s="24" t="str">
        <f>IF(P154="","",IFERROR(INDEX($AQ$11:$AQ$4010,MATCH($S$8&amp;"|"&amp;144,$BA$11:$BA$4010,0)),""))</f>
        <v/>
      </c>
      <c r="U154" s="38" t="str">
        <f t="shared" si="34"/>
        <v/>
      </c>
      <c r="W154" s="28" t="str">
        <f>IF(X154="","",IFERROR(INDEX($AL$11:$AL$4010,MATCH(144,$AY$11:$AY$4010,0)),""))</f>
        <v/>
      </c>
      <c r="X154" s="26" t="str">
        <f>IFERROR(INDEX($AM$11:$AM$4010,MATCH(144,$AY$11:$AY$4010,0)),"")</f>
        <v/>
      </c>
      <c r="Y154" s="25" t="str">
        <f>IF(X154="","",IFERROR(INDEX($AN$11:$AN$4010,MATCH(144,$AY$11:$AY$4010,0)),""))</f>
        <v/>
      </c>
      <c r="Z154" s="25" t="str">
        <f>IF(X154="","",IFERROR(INDEX($AO$11:$AO$4010,MATCH(144,$AY$11:$AY$4010,0)),""))</f>
        <v/>
      </c>
      <c r="AA154" s="24" t="str">
        <f>IF(X154="","",IFERROR(INDEX($AQ$11:$AQ$4010,MATCH(144,$AY$11:$AY$4010,0)),""))</f>
        <v/>
      </c>
      <c r="AB154" s="29" t="str">
        <f>IF(X154="","",IFERROR(INDEX($AR$11:$AR$4010,MATCH(144,$AY$11:$AY$4010,0)),""))</f>
        <v/>
      </c>
      <c r="AD154" s="30" t="str">
        <f>IF(AE154="","",IFERROR(INDEX($AL$11:$AL$4010,MATCH(144,$AZ$11:$AZ$4010,0)),""))</f>
        <v/>
      </c>
      <c r="AE154" s="26" t="str">
        <f>IFERROR(INDEX($AM$11:$AM$4010,MATCH(144,$AZ$11:$AZ$4010,0)),"")</f>
        <v/>
      </c>
      <c r="AF154" s="25" t="str">
        <f>IF(AE154="","",IFERROR(INDEX($AN$11:$AN$4010,MATCH(144,$AZ$11:$AZ$4010,0)),""))</f>
        <v/>
      </c>
      <c r="AG154" s="25" t="str">
        <f>IF(AE154="","",IFERROR(INDEX($AO$11:$AO$4010,MATCH(144,$AZ$11:$AZ$4010,0)),""))</f>
        <v/>
      </c>
      <c r="AH154" s="24" t="str">
        <f>IF(AE154="","",IFERROR(INDEX($AQ$11:$AQ$4010,MATCH(144,$AZ$11:$AZ$4010,0)),""))</f>
        <v/>
      </c>
      <c r="AI154" s="29" t="str">
        <f>IF(AE154="","",IFERROR(INDEX($AR$11:$AR$4010,MATCH(144,$AZ$11:$AZ$4010,0)),""))</f>
        <v/>
      </c>
      <c r="AJ154" s="29" t="str">
        <f>IF(AE154="","",IFERROR(INDEX($AT$11:$AT$4010,MATCH(144,$AZ$11:$AZ$4010,0)),""))</f>
        <v/>
      </c>
      <c r="AL154" s="31" t="str">
        <f t="shared" si="35"/>
        <v/>
      </c>
      <c r="AM154" s="26" t="str">
        <f t="shared" si="36"/>
        <v/>
      </c>
      <c r="AN154" s="32" t="str">
        <f t="shared" si="37"/>
        <v/>
      </c>
      <c r="AO154" s="32" t="str">
        <f t="shared" si="38"/>
        <v/>
      </c>
      <c r="AP154" s="24" t="str">
        <f t="shared" si="39"/>
        <v/>
      </c>
      <c r="AQ154" s="24" t="str">
        <f t="shared" si="40"/>
        <v/>
      </c>
      <c r="AR154" s="33" t="str">
        <f t="shared" si="41"/>
        <v/>
      </c>
      <c r="AS154" s="34"/>
      <c r="AT154" s="33"/>
      <c r="AV154" s="21">
        <f>IF(AND($AL154&lt;&gt;"",COUNTIF($AL$11:$AL154,$AL154)=1),1,0)</f>
        <v>0</v>
      </c>
      <c r="AW154" s="21">
        <f t="shared" si="43"/>
        <v>0</v>
      </c>
      <c r="AX154" s="21" t="str">
        <f t="shared" si="42"/>
        <v/>
      </c>
      <c r="AY154" s="21" t="str">
        <f>IF(AND($AM154&lt;&gt;"",$AS154&lt;&gt;"✓"),SUMPRODUCT(($AM$11:$AM154&lt;&gt;"")*($AS$11:$AS154&lt;&gt;"✓")),"")</f>
        <v/>
      </c>
      <c r="AZ154" s="21" t="str">
        <f>IF(AND($AM154&lt;&gt;"",$AS154="✓"),SUMPRODUCT(($AM$11:$AM154&lt;&gt;"")*($AS$11:$AS154="✓")),"")</f>
        <v/>
      </c>
      <c r="BA154" s="21" t="str">
        <f>IF($AL154="","",$AL154&amp;"|"&amp;COUNTIF($AL$11:$AL154,$AL154))</f>
        <v/>
      </c>
    </row>
    <row r="155" spans="2:53" ht="15" customHeight="1" x14ac:dyDescent="0.25">
      <c r="B155" s="5" t="str">
        <f t="shared" si="30"/>
        <v/>
      </c>
      <c r="C155" s="5"/>
      <c r="D155" s="5"/>
      <c r="E155" s="5"/>
      <c r="F155" s="6"/>
      <c r="G155" s="6"/>
      <c r="H155" s="7"/>
      <c r="I155" s="8"/>
      <c r="K155" s="9" t="str">
        <f>IFERROR(INDEX($AL$11:$AL$4010,MATCH(145,$AX$11:$AX$4010,0)),"")</f>
        <v/>
      </c>
      <c r="L155" s="10" t="str">
        <f t="shared" si="31"/>
        <v/>
      </c>
      <c r="M155" s="11" t="str">
        <f t="shared" si="32"/>
        <v/>
      </c>
      <c r="N155" s="11" t="str">
        <f t="shared" si="33"/>
        <v/>
      </c>
      <c r="P155" s="12" t="str">
        <f>IFERROR(INDEX($AM$11:$AM$4010,MATCH($S$8&amp;"|"&amp;145,$BA$11:$BA$4010,0)),"")</f>
        <v/>
      </c>
      <c r="Q155" s="11" t="str">
        <f>IF(P155="","",IFERROR(INDEX($AN$11:$AN$4010,MATCH($S$8&amp;"|"&amp;145,$BA$11:$BA$4010,0)),""))</f>
        <v/>
      </c>
      <c r="R155" s="11" t="str">
        <f>IF(P155="","",IFERROR(INDEX($AO$11:$AO$4010,MATCH($S$8&amp;"|"&amp;145,$BA$11:$BA$4010,0)),""))</f>
        <v/>
      </c>
      <c r="S155" s="10" t="str">
        <f>IF(P155="","",IFERROR(INDEX($AP$11:$AP$4010,MATCH($S$8&amp;"|"&amp;145,$BA$11:$BA$4010,0)),""))</f>
        <v/>
      </c>
      <c r="T155" s="10" t="str">
        <f>IF(P155="","",IFERROR(INDEX($AQ$11:$AQ$4010,MATCH($S$8&amp;"|"&amp;145,$BA$11:$BA$4010,0)),""))</f>
        <v/>
      </c>
      <c r="U155" s="39" t="str">
        <f t="shared" si="34"/>
        <v/>
      </c>
      <c r="W155" s="14" t="str">
        <f>IF(X155="","",IFERROR(INDEX($AL$11:$AL$4010,MATCH(145,$AY$11:$AY$4010,0)),""))</f>
        <v/>
      </c>
      <c r="X155" s="12" t="str">
        <f>IFERROR(INDEX($AM$11:$AM$4010,MATCH(145,$AY$11:$AY$4010,0)),"")</f>
        <v/>
      </c>
      <c r="Y155" s="11" t="str">
        <f>IF(X155="","",IFERROR(INDEX($AN$11:$AN$4010,MATCH(145,$AY$11:$AY$4010,0)),""))</f>
        <v/>
      </c>
      <c r="Z155" s="11" t="str">
        <f>IF(X155="","",IFERROR(INDEX($AO$11:$AO$4010,MATCH(145,$AY$11:$AY$4010,0)),""))</f>
        <v/>
      </c>
      <c r="AA155" s="10" t="str">
        <f>IF(X155="","",IFERROR(INDEX($AQ$11:$AQ$4010,MATCH(145,$AY$11:$AY$4010,0)),""))</f>
        <v/>
      </c>
      <c r="AB155" s="15" t="str">
        <f>IF(X155="","",IFERROR(INDEX($AR$11:$AR$4010,MATCH(145,$AY$11:$AY$4010,0)),""))</f>
        <v/>
      </c>
      <c r="AD155" s="16" t="str">
        <f>IF(AE155="","",IFERROR(INDEX($AL$11:$AL$4010,MATCH(145,$AZ$11:$AZ$4010,0)),""))</f>
        <v/>
      </c>
      <c r="AE155" s="12" t="str">
        <f>IFERROR(INDEX($AM$11:$AM$4010,MATCH(145,$AZ$11:$AZ$4010,0)),"")</f>
        <v/>
      </c>
      <c r="AF155" s="11" t="str">
        <f>IF(AE155="","",IFERROR(INDEX($AN$11:$AN$4010,MATCH(145,$AZ$11:$AZ$4010,0)),""))</f>
        <v/>
      </c>
      <c r="AG155" s="11" t="str">
        <f>IF(AE155="","",IFERROR(INDEX($AO$11:$AO$4010,MATCH(145,$AZ$11:$AZ$4010,0)),""))</f>
        <v/>
      </c>
      <c r="AH155" s="10" t="str">
        <f>IF(AE155="","",IFERROR(INDEX($AQ$11:$AQ$4010,MATCH(145,$AZ$11:$AZ$4010,0)),""))</f>
        <v/>
      </c>
      <c r="AI155" s="15" t="str">
        <f>IF(AE155="","",IFERROR(INDEX($AR$11:$AR$4010,MATCH(145,$AZ$11:$AZ$4010,0)),""))</f>
        <v/>
      </c>
      <c r="AJ155" s="15" t="str">
        <f>IF(AE155="","",IFERROR(INDEX($AT$11:$AT$4010,MATCH(145,$AZ$11:$AZ$4010,0)),""))</f>
        <v/>
      </c>
      <c r="AL155" s="17" t="str">
        <f t="shared" si="35"/>
        <v/>
      </c>
      <c r="AM155" s="12" t="str">
        <f t="shared" si="36"/>
        <v/>
      </c>
      <c r="AN155" s="18" t="str">
        <f t="shared" si="37"/>
        <v/>
      </c>
      <c r="AO155" s="18" t="str">
        <f t="shared" si="38"/>
        <v/>
      </c>
      <c r="AP155" s="10" t="str">
        <f t="shared" si="39"/>
        <v/>
      </c>
      <c r="AQ155" s="10" t="str">
        <f t="shared" si="40"/>
        <v/>
      </c>
      <c r="AR155" s="19" t="str">
        <f t="shared" si="41"/>
        <v/>
      </c>
      <c r="AS155" s="20"/>
      <c r="AT155" s="19"/>
      <c r="AV155" s="21">
        <f>IF(AND($AL155&lt;&gt;"",COUNTIF($AL$11:$AL155,$AL155)=1),1,0)</f>
        <v>0</v>
      </c>
      <c r="AW155" s="21">
        <f t="shared" si="43"/>
        <v>0</v>
      </c>
      <c r="AX155" s="21" t="str">
        <f t="shared" si="42"/>
        <v/>
      </c>
      <c r="AY155" s="21" t="str">
        <f>IF(AND($AM155&lt;&gt;"",$AS155&lt;&gt;"✓"),SUMPRODUCT(($AM$11:$AM155&lt;&gt;"")*($AS$11:$AS155&lt;&gt;"✓")),"")</f>
        <v/>
      </c>
      <c r="AZ155" s="21" t="str">
        <f>IF(AND($AM155&lt;&gt;"",$AS155="✓"),SUMPRODUCT(($AM$11:$AM155&lt;&gt;"")*($AS$11:$AS155="✓")),"")</f>
        <v/>
      </c>
      <c r="BA155" s="21" t="str">
        <f>IF($AL155="","",$AL155&amp;"|"&amp;COUNTIF($AL$11:$AL155,$AL155))</f>
        <v/>
      </c>
    </row>
    <row r="156" spans="2:53" ht="15" customHeight="1" x14ac:dyDescent="0.25">
      <c r="B156" s="5" t="str">
        <f t="shared" si="30"/>
        <v/>
      </c>
      <c r="C156" s="5"/>
      <c r="D156" s="5"/>
      <c r="E156" s="5"/>
      <c r="F156" s="6"/>
      <c r="G156" s="6"/>
      <c r="H156" s="7"/>
      <c r="I156" s="8"/>
      <c r="K156" s="23" t="str">
        <f>IFERROR(INDEX($AL$11:$AL$4010,MATCH(146,$AX$11:$AX$4010,0)),"")</f>
        <v/>
      </c>
      <c r="L156" s="24" t="str">
        <f t="shared" si="31"/>
        <v/>
      </c>
      <c r="M156" s="25" t="str">
        <f t="shared" si="32"/>
        <v/>
      </c>
      <c r="N156" s="25" t="str">
        <f t="shared" si="33"/>
        <v/>
      </c>
      <c r="P156" s="26" t="str">
        <f>IFERROR(INDEX($AM$11:$AM$4010,MATCH($S$8&amp;"|"&amp;146,$BA$11:$BA$4010,0)),"")</f>
        <v/>
      </c>
      <c r="Q156" s="25" t="str">
        <f>IF(P156="","",IFERROR(INDEX($AN$11:$AN$4010,MATCH($S$8&amp;"|"&amp;146,$BA$11:$BA$4010,0)),""))</f>
        <v/>
      </c>
      <c r="R156" s="25" t="str">
        <f>IF(P156="","",IFERROR(INDEX($AO$11:$AO$4010,MATCH($S$8&amp;"|"&amp;146,$BA$11:$BA$4010,0)),""))</f>
        <v/>
      </c>
      <c r="S156" s="24" t="str">
        <f>IF(P156="","",IFERROR(INDEX($AP$11:$AP$4010,MATCH($S$8&amp;"|"&amp;146,$BA$11:$BA$4010,0)),""))</f>
        <v/>
      </c>
      <c r="T156" s="24" t="str">
        <f>IF(P156="","",IFERROR(INDEX($AQ$11:$AQ$4010,MATCH($S$8&amp;"|"&amp;146,$BA$11:$BA$4010,0)),""))</f>
        <v/>
      </c>
      <c r="U156" s="38" t="str">
        <f t="shared" si="34"/>
        <v/>
      </c>
      <c r="W156" s="28" t="str">
        <f>IF(X156="","",IFERROR(INDEX($AL$11:$AL$4010,MATCH(146,$AY$11:$AY$4010,0)),""))</f>
        <v/>
      </c>
      <c r="X156" s="26" t="str">
        <f>IFERROR(INDEX($AM$11:$AM$4010,MATCH(146,$AY$11:$AY$4010,0)),"")</f>
        <v/>
      </c>
      <c r="Y156" s="25" t="str">
        <f>IF(X156="","",IFERROR(INDEX($AN$11:$AN$4010,MATCH(146,$AY$11:$AY$4010,0)),""))</f>
        <v/>
      </c>
      <c r="Z156" s="25" t="str">
        <f>IF(X156="","",IFERROR(INDEX($AO$11:$AO$4010,MATCH(146,$AY$11:$AY$4010,0)),""))</f>
        <v/>
      </c>
      <c r="AA156" s="24" t="str">
        <f>IF(X156="","",IFERROR(INDEX($AQ$11:$AQ$4010,MATCH(146,$AY$11:$AY$4010,0)),""))</f>
        <v/>
      </c>
      <c r="AB156" s="29" t="str">
        <f>IF(X156="","",IFERROR(INDEX($AR$11:$AR$4010,MATCH(146,$AY$11:$AY$4010,0)),""))</f>
        <v/>
      </c>
      <c r="AD156" s="30" t="str">
        <f>IF(AE156="","",IFERROR(INDEX($AL$11:$AL$4010,MATCH(146,$AZ$11:$AZ$4010,0)),""))</f>
        <v/>
      </c>
      <c r="AE156" s="26" t="str">
        <f>IFERROR(INDEX($AM$11:$AM$4010,MATCH(146,$AZ$11:$AZ$4010,0)),"")</f>
        <v/>
      </c>
      <c r="AF156" s="25" t="str">
        <f>IF(AE156="","",IFERROR(INDEX($AN$11:$AN$4010,MATCH(146,$AZ$11:$AZ$4010,0)),""))</f>
        <v/>
      </c>
      <c r="AG156" s="25" t="str">
        <f>IF(AE156="","",IFERROR(INDEX($AO$11:$AO$4010,MATCH(146,$AZ$11:$AZ$4010,0)),""))</f>
        <v/>
      </c>
      <c r="AH156" s="24" t="str">
        <f>IF(AE156="","",IFERROR(INDEX($AQ$11:$AQ$4010,MATCH(146,$AZ$11:$AZ$4010,0)),""))</f>
        <v/>
      </c>
      <c r="AI156" s="29" t="str">
        <f>IF(AE156="","",IFERROR(INDEX($AR$11:$AR$4010,MATCH(146,$AZ$11:$AZ$4010,0)),""))</f>
        <v/>
      </c>
      <c r="AJ156" s="29" t="str">
        <f>IF(AE156="","",IFERROR(INDEX($AT$11:$AT$4010,MATCH(146,$AZ$11:$AZ$4010,0)),""))</f>
        <v/>
      </c>
      <c r="AL156" s="31" t="str">
        <f t="shared" si="35"/>
        <v/>
      </c>
      <c r="AM156" s="26" t="str">
        <f t="shared" si="36"/>
        <v/>
      </c>
      <c r="AN156" s="32" t="str">
        <f t="shared" si="37"/>
        <v/>
      </c>
      <c r="AO156" s="32" t="str">
        <f t="shared" si="38"/>
        <v/>
      </c>
      <c r="AP156" s="24" t="str">
        <f t="shared" si="39"/>
        <v/>
      </c>
      <c r="AQ156" s="24" t="str">
        <f t="shared" si="40"/>
        <v/>
      </c>
      <c r="AR156" s="33" t="str">
        <f t="shared" si="41"/>
        <v/>
      </c>
      <c r="AS156" s="34"/>
      <c r="AT156" s="33"/>
      <c r="AV156" s="21">
        <f>IF(AND($AL156&lt;&gt;"",COUNTIF($AL$11:$AL156,$AL156)=1),1,0)</f>
        <v>0</v>
      </c>
      <c r="AW156" s="21">
        <f t="shared" si="43"/>
        <v>0</v>
      </c>
      <c r="AX156" s="21" t="str">
        <f t="shared" si="42"/>
        <v/>
      </c>
      <c r="AY156" s="21" t="str">
        <f>IF(AND($AM156&lt;&gt;"",$AS156&lt;&gt;"✓"),SUMPRODUCT(($AM$11:$AM156&lt;&gt;"")*($AS$11:$AS156&lt;&gt;"✓")),"")</f>
        <v/>
      </c>
      <c r="AZ156" s="21" t="str">
        <f>IF(AND($AM156&lt;&gt;"",$AS156="✓"),SUMPRODUCT(($AM$11:$AM156&lt;&gt;"")*($AS$11:$AS156="✓")),"")</f>
        <v/>
      </c>
      <c r="BA156" s="21" t="str">
        <f>IF($AL156="","",$AL156&amp;"|"&amp;COUNTIF($AL$11:$AL156,$AL156))</f>
        <v/>
      </c>
    </row>
    <row r="157" spans="2:53" ht="15" customHeight="1" x14ac:dyDescent="0.25">
      <c r="B157" s="5" t="str">
        <f t="shared" si="30"/>
        <v/>
      </c>
      <c r="C157" s="5"/>
      <c r="D157" s="5"/>
      <c r="E157" s="5"/>
      <c r="F157" s="6"/>
      <c r="G157" s="6"/>
      <c r="H157" s="7"/>
      <c r="I157" s="8"/>
      <c r="K157" s="9" t="str">
        <f>IFERROR(INDEX($AL$11:$AL$4010,MATCH(147,$AX$11:$AX$4010,0)),"")</f>
        <v/>
      </c>
      <c r="L157" s="10" t="str">
        <f t="shared" si="31"/>
        <v/>
      </c>
      <c r="M157" s="11" t="str">
        <f t="shared" si="32"/>
        <v/>
      </c>
      <c r="N157" s="11" t="str">
        <f t="shared" si="33"/>
        <v/>
      </c>
      <c r="P157" s="12" t="str">
        <f>IFERROR(INDEX($AM$11:$AM$4010,MATCH($S$8&amp;"|"&amp;147,$BA$11:$BA$4010,0)),"")</f>
        <v/>
      </c>
      <c r="Q157" s="11" t="str">
        <f>IF(P157="","",IFERROR(INDEX($AN$11:$AN$4010,MATCH($S$8&amp;"|"&amp;147,$BA$11:$BA$4010,0)),""))</f>
        <v/>
      </c>
      <c r="R157" s="11" t="str">
        <f>IF(P157="","",IFERROR(INDEX($AO$11:$AO$4010,MATCH($S$8&amp;"|"&amp;147,$BA$11:$BA$4010,0)),""))</f>
        <v/>
      </c>
      <c r="S157" s="10" t="str">
        <f>IF(P157="","",IFERROR(INDEX($AP$11:$AP$4010,MATCH($S$8&amp;"|"&amp;147,$BA$11:$BA$4010,0)),""))</f>
        <v/>
      </c>
      <c r="T157" s="10" t="str">
        <f>IF(P157="","",IFERROR(INDEX($AQ$11:$AQ$4010,MATCH($S$8&amp;"|"&amp;147,$BA$11:$BA$4010,0)),""))</f>
        <v/>
      </c>
      <c r="U157" s="39" t="str">
        <f t="shared" si="34"/>
        <v/>
      </c>
      <c r="W157" s="14" t="str">
        <f>IF(X157="","",IFERROR(INDEX($AL$11:$AL$4010,MATCH(147,$AY$11:$AY$4010,0)),""))</f>
        <v/>
      </c>
      <c r="X157" s="12" t="str">
        <f>IFERROR(INDEX($AM$11:$AM$4010,MATCH(147,$AY$11:$AY$4010,0)),"")</f>
        <v/>
      </c>
      <c r="Y157" s="11" t="str">
        <f>IF(X157="","",IFERROR(INDEX($AN$11:$AN$4010,MATCH(147,$AY$11:$AY$4010,0)),""))</f>
        <v/>
      </c>
      <c r="Z157" s="11" t="str">
        <f>IF(X157="","",IFERROR(INDEX($AO$11:$AO$4010,MATCH(147,$AY$11:$AY$4010,0)),""))</f>
        <v/>
      </c>
      <c r="AA157" s="10" t="str">
        <f>IF(X157="","",IFERROR(INDEX($AQ$11:$AQ$4010,MATCH(147,$AY$11:$AY$4010,0)),""))</f>
        <v/>
      </c>
      <c r="AB157" s="15" t="str">
        <f>IF(X157="","",IFERROR(INDEX($AR$11:$AR$4010,MATCH(147,$AY$11:$AY$4010,0)),""))</f>
        <v/>
      </c>
      <c r="AD157" s="16" t="str">
        <f>IF(AE157="","",IFERROR(INDEX($AL$11:$AL$4010,MATCH(147,$AZ$11:$AZ$4010,0)),""))</f>
        <v/>
      </c>
      <c r="AE157" s="12" t="str">
        <f>IFERROR(INDEX($AM$11:$AM$4010,MATCH(147,$AZ$11:$AZ$4010,0)),"")</f>
        <v/>
      </c>
      <c r="AF157" s="11" t="str">
        <f>IF(AE157="","",IFERROR(INDEX($AN$11:$AN$4010,MATCH(147,$AZ$11:$AZ$4010,0)),""))</f>
        <v/>
      </c>
      <c r="AG157" s="11" t="str">
        <f>IF(AE157="","",IFERROR(INDEX($AO$11:$AO$4010,MATCH(147,$AZ$11:$AZ$4010,0)),""))</f>
        <v/>
      </c>
      <c r="AH157" s="10" t="str">
        <f>IF(AE157="","",IFERROR(INDEX($AQ$11:$AQ$4010,MATCH(147,$AZ$11:$AZ$4010,0)),""))</f>
        <v/>
      </c>
      <c r="AI157" s="15" t="str">
        <f>IF(AE157="","",IFERROR(INDEX($AR$11:$AR$4010,MATCH(147,$AZ$11:$AZ$4010,0)),""))</f>
        <v/>
      </c>
      <c r="AJ157" s="15" t="str">
        <f>IF(AE157="","",IFERROR(INDEX($AT$11:$AT$4010,MATCH(147,$AZ$11:$AZ$4010,0)),""))</f>
        <v/>
      </c>
      <c r="AL157" s="17" t="str">
        <f t="shared" si="35"/>
        <v/>
      </c>
      <c r="AM157" s="12" t="str">
        <f t="shared" si="36"/>
        <v/>
      </c>
      <c r="AN157" s="18" t="str">
        <f t="shared" si="37"/>
        <v/>
      </c>
      <c r="AO157" s="18" t="str">
        <f t="shared" si="38"/>
        <v/>
      </c>
      <c r="AP157" s="10" t="str">
        <f t="shared" si="39"/>
        <v/>
      </c>
      <c r="AQ157" s="10" t="str">
        <f t="shared" si="40"/>
        <v/>
      </c>
      <c r="AR157" s="19" t="str">
        <f t="shared" si="41"/>
        <v/>
      </c>
      <c r="AS157" s="20"/>
      <c r="AT157" s="19"/>
      <c r="AV157" s="21">
        <f>IF(AND($AL157&lt;&gt;"",COUNTIF($AL$11:$AL157,$AL157)=1),1,0)</f>
        <v>0</v>
      </c>
      <c r="AW157" s="21">
        <f t="shared" si="43"/>
        <v>0</v>
      </c>
      <c r="AX157" s="21" t="str">
        <f t="shared" si="42"/>
        <v/>
      </c>
      <c r="AY157" s="21" t="str">
        <f>IF(AND($AM157&lt;&gt;"",$AS157&lt;&gt;"✓"),SUMPRODUCT(($AM$11:$AM157&lt;&gt;"")*($AS$11:$AS157&lt;&gt;"✓")),"")</f>
        <v/>
      </c>
      <c r="AZ157" s="21" t="str">
        <f>IF(AND($AM157&lt;&gt;"",$AS157="✓"),SUMPRODUCT(($AM$11:$AM157&lt;&gt;"")*($AS$11:$AS157="✓")),"")</f>
        <v/>
      </c>
      <c r="BA157" s="21" t="str">
        <f>IF($AL157="","",$AL157&amp;"|"&amp;COUNTIF($AL$11:$AL157,$AL157))</f>
        <v/>
      </c>
    </row>
    <row r="158" spans="2:53" ht="15" customHeight="1" x14ac:dyDescent="0.25">
      <c r="B158" s="5" t="str">
        <f t="shared" si="30"/>
        <v/>
      </c>
      <c r="C158" s="5"/>
      <c r="D158" s="5"/>
      <c r="E158" s="5"/>
      <c r="F158" s="6"/>
      <c r="G158" s="6"/>
      <c r="H158" s="7"/>
      <c r="I158" s="8"/>
      <c r="K158" s="23" t="str">
        <f>IFERROR(INDEX($AL$11:$AL$4010,MATCH(148,$AX$11:$AX$4010,0)),"")</f>
        <v/>
      </c>
      <c r="L158" s="24" t="str">
        <f t="shared" si="31"/>
        <v/>
      </c>
      <c r="M158" s="25" t="str">
        <f t="shared" si="32"/>
        <v/>
      </c>
      <c r="N158" s="25" t="str">
        <f t="shared" si="33"/>
        <v/>
      </c>
      <c r="P158" s="26" t="str">
        <f>IFERROR(INDEX($AM$11:$AM$4010,MATCH($S$8&amp;"|"&amp;148,$BA$11:$BA$4010,0)),"")</f>
        <v/>
      </c>
      <c r="Q158" s="25" t="str">
        <f>IF(P158="","",IFERROR(INDEX($AN$11:$AN$4010,MATCH($S$8&amp;"|"&amp;148,$BA$11:$BA$4010,0)),""))</f>
        <v/>
      </c>
      <c r="R158" s="25" t="str">
        <f>IF(P158="","",IFERROR(INDEX($AO$11:$AO$4010,MATCH($S$8&amp;"|"&amp;148,$BA$11:$BA$4010,0)),""))</f>
        <v/>
      </c>
      <c r="S158" s="24" t="str">
        <f>IF(P158="","",IFERROR(INDEX($AP$11:$AP$4010,MATCH($S$8&amp;"|"&amp;148,$BA$11:$BA$4010,0)),""))</f>
        <v/>
      </c>
      <c r="T158" s="24" t="str">
        <f>IF(P158="","",IFERROR(INDEX($AQ$11:$AQ$4010,MATCH($S$8&amp;"|"&amp;148,$BA$11:$BA$4010,0)),""))</f>
        <v/>
      </c>
      <c r="U158" s="38" t="str">
        <f t="shared" si="34"/>
        <v/>
      </c>
      <c r="W158" s="28" t="str">
        <f>IF(X158="","",IFERROR(INDEX($AL$11:$AL$4010,MATCH(148,$AY$11:$AY$4010,0)),""))</f>
        <v/>
      </c>
      <c r="X158" s="26" t="str">
        <f>IFERROR(INDEX($AM$11:$AM$4010,MATCH(148,$AY$11:$AY$4010,0)),"")</f>
        <v/>
      </c>
      <c r="Y158" s="25" t="str">
        <f>IF(X158="","",IFERROR(INDEX($AN$11:$AN$4010,MATCH(148,$AY$11:$AY$4010,0)),""))</f>
        <v/>
      </c>
      <c r="Z158" s="25" t="str">
        <f>IF(X158="","",IFERROR(INDEX($AO$11:$AO$4010,MATCH(148,$AY$11:$AY$4010,0)),""))</f>
        <v/>
      </c>
      <c r="AA158" s="24" t="str">
        <f>IF(X158="","",IFERROR(INDEX($AQ$11:$AQ$4010,MATCH(148,$AY$11:$AY$4010,0)),""))</f>
        <v/>
      </c>
      <c r="AB158" s="29" t="str">
        <f>IF(X158="","",IFERROR(INDEX($AR$11:$AR$4010,MATCH(148,$AY$11:$AY$4010,0)),""))</f>
        <v/>
      </c>
      <c r="AD158" s="30" t="str">
        <f>IF(AE158="","",IFERROR(INDEX($AL$11:$AL$4010,MATCH(148,$AZ$11:$AZ$4010,0)),""))</f>
        <v/>
      </c>
      <c r="AE158" s="26" t="str">
        <f>IFERROR(INDEX($AM$11:$AM$4010,MATCH(148,$AZ$11:$AZ$4010,0)),"")</f>
        <v/>
      </c>
      <c r="AF158" s="25" t="str">
        <f>IF(AE158="","",IFERROR(INDEX($AN$11:$AN$4010,MATCH(148,$AZ$11:$AZ$4010,0)),""))</f>
        <v/>
      </c>
      <c r="AG158" s="25" t="str">
        <f>IF(AE158="","",IFERROR(INDEX($AO$11:$AO$4010,MATCH(148,$AZ$11:$AZ$4010,0)),""))</f>
        <v/>
      </c>
      <c r="AH158" s="24" t="str">
        <f>IF(AE158="","",IFERROR(INDEX($AQ$11:$AQ$4010,MATCH(148,$AZ$11:$AZ$4010,0)),""))</f>
        <v/>
      </c>
      <c r="AI158" s="29" t="str">
        <f>IF(AE158="","",IFERROR(INDEX($AR$11:$AR$4010,MATCH(148,$AZ$11:$AZ$4010,0)),""))</f>
        <v/>
      </c>
      <c r="AJ158" s="29" t="str">
        <f>IF(AE158="","",IFERROR(INDEX($AT$11:$AT$4010,MATCH(148,$AZ$11:$AZ$4010,0)),""))</f>
        <v/>
      </c>
      <c r="AL158" s="31" t="str">
        <f t="shared" si="35"/>
        <v/>
      </c>
      <c r="AM158" s="26" t="str">
        <f t="shared" si="36"/>
        <v/>
      </c>
      <c r="AN158" s="32" t="str">
        <f t="shared" si="37"/>
        <v/>
      </c>
      <c r="AO158" s="32" t="str">
        <f t="shared" si="38"/>
        <v/>
      </c>
      <c r="AP158" s="24" t="str">
        <f t="shared" si="39"/>
        <v/>
      </c>
      <c r="AQ158" s="24" t="str">
        <f t="shared" si="40"/>
        <v/>
      </c>
      <c r="AR158" s="33" t="str">
        <f t="shared" si="41"/>
        <v/>
      </c>
      <c r="AS158" s="34"/>
      <c r="AT158" s="33"/>
      <c r="AV158" s="21">
        <f>IF(AND($AL158&lt;&gt;"",COUNTIF($AL$11:$AL158,$AL158)=1),1,0)</f>
        <v>0</v>
      </c>
      <c r="AW158" s="21">
        <f t="shared" si="43"/>
        <v>0</v>
      </c>
      <c r="AX158" s="21" t="str">
        <f t="shared" si="42"/>
        <v/>
      </c>
      <c r="AY158" s="21" t="str">
        <f>IF(AND($AM158&lt;&gt;"",$AS158&lt;&gt;"✓"),SUMPRODUCT(($AM$11:$AM158&lt;&gt;"")*($AS$11:$AS158&lt;&gt;"✓")),"")</f>
        <v/>
      </c>
      <c r="AZ158" s="21" t="str">
        <f>IF(AND($AM158&lt;&gt;"",$AS158="✓"),SUMPRODUCT(($AM$11:$AM158&lt;&gt;"")*($AS$11:$AS158="✓")),"")</f>
        <v/>
      </c>
      <c r="BA158" s="21" t="str">
        <f>IF($AL158="","",$AL158&amp;"|"&amp;COUNTIF($AL$11:$AL158,$AL158))</f>
        <v/>
      </c>
    </row>
    <row r="159" spans="2:53" ht="15" customHeight="1" x14ac:dyDescent="0.25">
      <c r="B159" s="5" t="str">
        <f t="shared" si="30"/>
        <v/>
      </c>
      <c r="C159" s="5"/>
      <c r="D159" s="5"/>
      <c r="E159" s="5"/>
      <c r="F159" s="6"/>
      <c r="G159" s="6"/>
      <c r="H159" s="7"/>
      <c r="I159" s="8"/>
      <c r="K159" s="9" t="str">
        <f>IFERROR(INDEX($AL$11:$AL$4010,MATCH(149,$AX$11:$AX$4010,0)),"")</f>
        <v/>
      </c>
      <c r="L159" s="10" t="str">
        <f t="shared" si="31"/>
        <v/>
      </c>
      <c r="M159" s="11" t="str">
        <f t="shared" si="32"/>
        <v/>
      </c>
      <c r="N159" s="11" t="str">
        <f t="shared" si="33"/>
        <v/>
      </c>
      <c r="P159" s="12" t="str">
        <f>IFERROR(INDEX($AM$11:$AM$4010,MATCH($S$8&amp;"|"&amp;149,$BA$11:$BA$4010,0)),"")</f>
        <v/>
      </c>
      <c r="Q159" s="11" t="str">
        <f>IF(P159="","",IFERROR(INDEX($AN$11:$AN$4010,MATCH($S$8&amp;"|"&amp;149,$BA$11:$BA$4010,0)),""))</f>
        <v/>
      </c>
      <c r="R159" s="11" t="str">
        <f>IF(P159="","",IFERROR(INDEX($AO$11:$AO$4010,MATCH($S$8&amp;"|"&amp;149,$BA$11:$BA$4010,0)),""))</f>
        <v/>
      </c>
      <c r="S159" s="10" t="str">
        <f>IF(P159="","",IFERROR(INDEX($AP$11:$AP$4010,MATCH($S$8&amp;"|"&amp;149,$BA$11:$BA$4010,0)),""))</f>
        <v/>
      </c>
      <c r="T159" s="10" t="str">
        <f>IF(P159="","",IFERROR(INDEX($AQ$11:$AQ$4010,MATCH($S$8&amp;"|"&amp;149,$BA$11:$BA$4010,0)),""))</f>
        <v/>
      </c>
      <c r="U159" s="39" t="str">
        <f t="shared" si="34"/>
        <v/>
      </c>
      <c r="W159" s="14" t="str">
        <f>IF(X159="","",IFERROR(INDEX($AL$11:$AL$4010,MATCH(149,$AY$11:$AY$4010,0)),""))</f>
        <v/>
      </c>
      <c r="X159" s="12" t="str">
        <f>IFERROR(INDEX($AM$11:$AM$4010,MATCH(149,$AY$11:$AY$4010,0)),"")</f>
        <v/>
      </c>
      <c r="Y159" s="11" t="str">
        <f>IF(X159="","",IFERROR(INDEX($AN$11:$AN$4010,MATCH(149,$AY$11:$AY$4010,0)),""))</f>
        <v/>
      </c>
      <c r="Z159" s="11" t="str">
        <f>IF(X159="","",IFERROR(INDEX($AO$11:$AO$4010,MATCH(149,$AY$11:$AY$4010,0)),""))</f>
        <v/>
      </c>
      <c r="AA159" s="10" t="str">
        <f>IF(X159="","",IFERROR(INDEX($AQ$11:$AQ$4010,MATCH(149,$AY$11:$AY$4010,0)),""))</f>
        <v/>
      </c>
      <c r="AB159" s="15" t="str">
        <f>IF(X159="","",IFERROR(INDEX($AR$11:$AR$4010,MATCH(149,$AY$11:$AY$4010,0)),""))</f>
        <v/>
      </c>
      <c r="AD159" s="16" t="str">
        <f>IF(AE159="","",IFERROR(INDEX($AL$11:$AL$4010,MATCH(149,$AZ$11:$AZ$4010,0)),""))</f>
        <v/>
      </c>
      <c r="AE159" s="12" t="str">
        <f>IFERROR(INDEX($AM$11:$AM$4010,MATCH(149,$AZ$11:$AZ$4010,0)),"")</f>
        <v/>
      </c>
      <c r="AF159" s="11" t="str">
        <f>IF(AE159="","",IFERROR(INDEX($AN$11:$AN$4010,MATCH(149,$AZ$11:$AZ$4010,0)),""))</f>
        <v/>
      </c>
      <c r="AG159" s="11" t="str">
        <f>IF(AE159="","",IFERROR(INDEX($AO$11:$AO$4010,MATCH(149,$AZ$11:$AZ$4010,0)),""))</f>
        <v/>
      </c>
      <c r="AH159" s="10" t="str">
        <f>IF(AE159="","",IFERROR(INDEX($AQ$11:$AQ$4010,MATCH(149,$AZ$11:$AZ$4010,0)),""))</f>
        <v/>
      </c>
      <c r="AI159" s="15" t="str">
        <f>IF(AE159="","",IFERROR(INDEX($AR$11:$AR$4010,MATCH(149,$AZ$11:$AZ$4010,0)),""))</f>
        <v/>
      </c>
      <c r="AJ159" s="15" t="str">
        <f>IF(AE159="","",IFERROR(INDEX($AT$11:$AT$4010,MATCH(149,$AZ$11:$AZ$4010,0)),""))</f>
        <v/>
      </c>
      <c r="AL159" s="17" t="str">
        <f t="shared" si="35"/>
        <v/>
      </c>
      <c r="AM159" s="12" t="str">
        <f t="shared" si="36"/>
        <v/>
      </c>
      <c r="AN159" s="18" t="str">
        <f t="shared" si="37"/>
        <v/>
      </c>
      <c r="AO159" s="18" t="str">
        <f t="shared" si="38"/>
        <v/>
      </c>
      <c r="AP159" s="10" t="str">
        <f t="shared" si="39"/>
        <v/>
      </c>
      <c r="AQ159" s="10" t="str">
        <f t="shared" si="40"/>
        <v/>
      </c>
      <c r="AR159" s="19" t="str">
        <f t="shared" si="41"/>
        <v/>
      </c>
      <c r="AS159" s="20"/>
      <c r="AT159" s="19"/>
      <c r="AV159" s="21">
        <f>IF(AND($AL159&lt;&gt;"",COUNTIF($AL$11:$AL159,$AL159)=1),1,0)</f>
        <v>0</v>
      </c>
      <c r="AW159" s="21">
        <f t="shared" si="43"/>
        <v>0</v>
      </c>
      <c r="AX159" s="21" t="str">
        <f t="shared" si="42"/>
        <v/>
      </c>
      <c r="AY159" s="21" t="str">
        <f>IF(AND($AM159&lt;&gt;"",$AS159&lt;&gt;"✓"),SUMPRODUCT(($AM$11:$AM159&lt;&gt;"")*($AS$11:$AS159&lt;&gt;"✓")),"")</f>
        <v/>
      </c>
      <c r="AZ159" s="21" t="str">
        <f>IF(AND($AM159&lt;&gt;"",$AS159="✓"),SUMPRODUCT(($AM$11:$AM159&lt;&gt;"")*($AS$11:$AS159="✓")),"")</f>
        <v/>
      </c>
      <c r="BA159" s="21" t="str">
        <f>IF($AL159="","",$AL159&amp;"|"&amp;COUNTIF($AL$11:$AL159,$AL159))</f>
        <v/>
      </c>
    </row>
    <row r="160" spans="2:53" ht="15" customHeight="1" x14ac:dyDescent="0.25">
      <c r="B160" s="5" t="str">
        <f t="shared" si="30"/>
        <v/>
      </c>
      <c r="C160" s="5"/>
      <c r="D160" s="5"/>
      <c r="E160" s="5"/>
      <c r="F160" s="6"/>
      <c r="G160" s="6"/>
      <c r="H160" s="7"/>
      <c r="I160" s="8"/>
      <c r="K160" s="23" t="str">
        <f>IFERROR(INDEX($AL$11:$AL$4010,MATCH(150,$AX$11:$AX$4010,0)),"")</f>
        <v/>
      </c>
      <c r="L160" s="24" t="str">
        <f t="shared" si="31"/>
        <v/>
      </c>
      <c r="M160" s="25" t="str">
        <f t="shared" si="32"/>
        <v/>
      </c>
      <c r="N160" s="25" t="str">
        <f t="shared" si="33"/>
        <v/>
      </c>
      <c r="P160" s="26" t="str">
        <f>IFERROR(INDEX($AM$11:$AM$4010,MATCH($S$8&amp;"|"&amp;150,$BA$11:$BA$4010,0)),"")</f>
        <v/>
      </c>
      <c r="Q160" s="25" t="str">
        <f>IF(P160="","",IFERROR(INDEX($AN$11:$AN$4010,MATCH($S$8&amp;"|"&amp;150,$BA$11:$BA$4010,0)),""))</f>
        <v/>
      </c>
      <c r="R160" s="25" t="str">
        <f>IF(P160="","",IFERROR(INDEX($AO$11:$AO$4010,MATCH($S$8&amp;"|"&amp;150,$BA$11:$BA$4010,0)),""))</f>
        <v/>
      </c>
      <c r="S160" s="24" t="str">
        <f>IF(P160="","",IFERROR(INDEX($AP$11:$AP$4010,MATCH($S$8&amp;"|"&amp;150,$BA$11:$BA$4010,0)),""))</f>
        <v/>
      </c>
      <c r="T160" s="24" t="str">
        <f>IF(P160="","",IFERROR(INDEX($AQ$11:$AQ$4010,MATCH($S$8&amp;"|"&amp;150,$BA$11:$BA$4010,0)),""))</f>
        <v/>
      </c>
      <c r="U160" s="38" t="str">
        <f t="shared" si="34"/>
        <v/>
      </c>
      <c r="W160" s="28" t="str">
        <f>IF(X160="","",IFERROR(INDEX($AL$11:$AL$4010,MATCH(150,$AY$11:$AY$4010,0)),""))</f>
        <v/>
      </c>
      <c r="X160" s="26" t="str">
        <f>IFERROR(INDEX($AM$11:$AM$4010,MATCH(150,$AY$11:$AY$4010,0)),"")</f>
        <v/>
      </c>
      <c r="Y160" s="25" t="str">
        <f>IF(X160="","",IFERROR(INDEX($AN$11:$AN$4010,MATCH(150,$AY$11:$AY$4010,0)),""))</f>
        <v/>
      </c>
      <c r="Z160" s="25" t="str">
        <f>IF(X160="","",IFERROR(INDEX($AO$11:$AO$4010,MATCH(150,$AY$11:$AY$4010,0)),""))</f>
        <v/>
      </c>
      <c r="AA160" s="24" t="str">
        <f>IF(X160="","",IFERROR(INDEX($AQ$11:$AQ$4010,MATCH(150,$AY$11:$AY$4010,0)),""))</f>
        <v/>
      </c>
      <c r="AB160" s="29" t="str">
        <f>IF(X160="","",IFERROR(INDEX($AR$11:$AR$4010,MATCH(150,$AY$11:$AY$4010,0)),""))</f>
        <v/>
      </c>
      <c r="AD160" s="30" t="str">
        <f>IF(AE160="","",IFERROR(INDEX($AL$11:$AL$4010,MATCH(150,$AZ$11:$AZ$4010,0)),""))</f>
        <v/>
      </c>
      <c r="AE160" s="26" t="str">
        <f>IFERROR(INDEX($AM$11:$AM$4010,MATCH(150,$AZ$11:$AZ$4010,0)),"")</f>
        <v/>
      </c>
      <c r="AF160" s="25" t="str">
        <f>IF(AE160="","",IFERROR(INDEX($AN$11:$AN$4010,MATCH(150,$AZ$11:$AZ$4010,0)),""))</f>
        <v/>
      </c>
      <c r="AG160" s="25" t="str">
        <f>IF(AE160="","",IFERROR(INDEX($AO$11:$AO$4010,MATCH(150,$AZ$11:$AZ$4010,0)),""))</f>
        <v/>
      </c>
      <c r="AH160" s="24" t="str">
        <f>IF(AE160="","",IFERROR(INDEX($AQ$11:$AQ$4010,MATCH(150,$AZ$11:$AZ$4010,0)),""))</f>
        <v/>
      </c>
      <c r="AI160" s="29" t="str">
        <f>IF(AE160="","",IFERROR(INDEX($AR$11:$AR$4010,MATCH(150,$AZ$11:$AZ$4010,0)),""))</f>
        <v/>
      </c>
      <c r="AJ160" s="29" t="str">
        <f>IF(AE160="","",IFERROR(INDEX($AT$11:$AT$4010,MATCH(150,$AZ$11:$AZ$4010,0)),""))</f>
        <v/>
      </c>
      <c r="AL160" s="31" t="str">
        <f t="shared" si="35"/>
        <v/>
      </c>
      <c r="AM160" s="26" t="str">
        <f t="shared" si="36"/>
        <v/>
      </c>
      <c r="AN160" s="32" t="str">
        <f t="shared" si="37"/>
        <v/>
      </c>
      <c r="AO160" s="32" t="str">
        <f t="shared" si="38"/>
        <v/>
      </c>
      <c r="AP160" s="24" t="str">
        <f t="shared" si="39"/>
        <v/>
      </c>
      <c r="AQ160" s="24" t="str">
        <f t="shared" si="40"/>
        <v/>
      </c>
      <c r="AR160" s="33" t="str">
        <f t="shared" si="41"/>
        <v/>
      </c>
      <c r="AS160" s="34"/>
      <c r="AT160" s="33"/>
      <c r="AV160" s="21">
        <f>IF(AND($AL160&lt;&gt;"",COUNTIF($AL$11:$AL160,$AL160)=1),1,0)</f>
        <v>0</v>
      </c>
      <c r="AW160" s="21">
        <f t="shared" si="43"/>
        <v>0</v>
      </c>
      <c r="AX160" s="21" t="str">
        <f t="shared" si="42"/>
        <v/>
      </c>
      <c r="AY160" s="21" t="str">
        <f>IF(AND($AM160&lt;&gt;"",$AS160&lt;&gt;"✓"),SUMPRODUCT(($AM$11:$AM160&lt;&gt;"")*($AS$11:$AS160&lt;&gt;"✓")),"")</f>
        <v/>
      </c>
      <c r="AZ160" s="21" t="str">
        <f>IF(AND($AM160&lt;&gt;"",$AS160="✓"),SUMPRODUCT(($AM$11:$AM160&lt;&gt;"")*($AS$11:$AS160="✓")),"")</f>
        <v/>
      </c>
      <c r="BA160" s="21" t="str">
        <f>IF($AL160="","",$AL160&amp;"|"&amp;COUNTIF($AL$11:$AL160,$AL160))</f>
        <v/>
      </c>
    </row>
    <row r="161" spans="2:53" ht="15" customHeight="1" x14ac:dyDescent="0.25">
      <c r="B161" s="5" t="str">
        <f t="shared" si="30"/>
        <v/>
      </c>
      <c r="C161" s="5"/>
      <c r="D161" s="5"/>
      <c r="E161" s="5"/>
      <c r="F161" s="6"/>
      <c r="G161" s="6"/>
      <c r="H161" s="7"/>
      <c r="I161" s="8"/>
      <c r="K161" s="9" t="str">
        <f>IFERROR(INDEX($AL$11:$AL$4010,MATCH(151,$AX$11:$AX$4010,0)),"")</f>
        <v/>
      </c>
      <c r="L161" s="10" t="str">
        <f t="shared" si="31"/>
        <v/>
      </c>
      <c r="M161" s="11" t="str">
        <f t="shared" si="32"/>
        <v/>
      </c>
      <c r="N161" s="11" t="str">
        <f t="shared" si="33"/>
        <v/>
      </c>
      <c r="P161" s="12" t="str">
        <f>IFERROR(INDEX($AM$11:$AM$4010,MATCH($S$8&amp;"|"&amp;151,$BA$11:$BA$4010,0)),"")</f>
        <v/>
      </c>
      <c r="Q161" s="11" t="str">
        <f>IF(P161="","",IFERROR(INDEX($AN$11:$AN$4010,MATCH($S$8&amp;"|"&amp;151,$BA$11:$BA$4010,0)),""))</f>
        <v/>
      </c>
      <c r="R161" s="11" t="str">
        <f>IF(P161="","",IFERROR(INDEX($AO$11:$AO$4010,MATCH($S$8&amp;"|"&amp;151,$BA$11:$BA$4010,0)),""))</f>
        <v/>
      </c>
      <c r="S161" s="10" t="str">
        <f>IF(P161="","",IFERROR(INDEX($AP$11:$AP$4010,MATCH($S$8&amp;"|"&amp;151,$BA$11:$BA$4010,0)),""))</f>
        <v/>
      </c>
      <c r="T161" s="10" t="str">
        <f>IF(P161="","",IFERROR(INDEX($AQ$11:$AQ$4010,MATCH($S$8&amp;"|"&amp;151,$BA$11:$BA$4010,0)),""))</f>
        <v/>
      </c>
      <c r="U161" s="39" t="str">
        <f t="shared" si="34"/>
        <v/>
      </c>
      <c r="W161" s="14" t="str">
        <f>IF(X161="","",IFERROR(INDEX($AL$11:$AL$4010,MATCH(151,$AY$11:$AY$4010,0)),""))</f>
        <v/>
      </c>
      <c r="X161" s="12" t="str">
        <f>IFERROR(INDEX($AM$11:$AM$4010,MATCH(151,$AY$11:$AY$4010,0)),"")</f>
        <v/>
      </c>
      <c r="Y161" s="11" t="str">
        <f>IF(X161="","",IFERROR(INDEX($AN$11:$AN$4010,MATCH(151,$AY$11:$AY$4010,0)),""))</f>
        <v/>
      </c>
      <c r="Z161" s="11" t="str">
        <f>IF(X161="","",IFERROR(INDEX($AO$11:$AO$4010,MATCH(151,$AY$11:$AY$4010,0)),""))</f>
        <v/>
      </c>
      <c r="AA161" s="10" t="str">
        <f>IF(X161="","",IFERROR(INDEX($AQ$11:$AQ$4010,MATCH(151,$AY$11:$AY$4010,0)),""))</f>
        <v/>
      </c>
      <c r="AB161" s="15" t="str">
        <f>IF(X161="","",IFERROR(INDEX($AR$11:$AR$4010,MATCH(151,$AY$11:$AY$4010,0)),""))</f>
        <v/>
      </c>
      <c r="AD161" s="16" t="str">
        <f>IF(AE161="","",IFERROR(INDEX($AL$11:$AL$4010,MATCH(151,$AZ$11:$AZ$4010,0)),""))</f>
        <v/>
      </c>
      <c r="AE161" s="12" t="str">
        <f>IFERROR(INDEX($AM$11:$AM$4010,MATCH(151,$AZ$11:$AZ$4010,0)),"")</f>
        <v/>
      </c>
      <c r="AF161" s="11" t="str">
        <f>IF(AE161="","",IFERROR(INDEX($AN$11:$AN$4010,MATCH(151,$AZ$11:$AZ$4010,0)),""))</f>
        <v/>
      </c>
      <c r="AG161" s="11" t="str">
        <f>IF(AE161="","",IFERROR(INDEX($AO$11:$AO$4010,MATCH(151,$AZ$11:$AZ$4010,0)),""))</f>
        <v/>
      </c>
      <c r="AH161" s="10" t="str">
        <f>IF(AE161="","",IFERROR(INDEX($AQ$11:$AQ$4010,MATCH(151,$AZ$11:$AZ$4010,0)),""))</f>
        <v/>
      </c>
      <c r="AI161" s="15" t="str">
        <f>IF(AE161="","",IFERROR(INDEX($AR$11:$AR$4010,MATCH(151,$AZ$11:$AZ$4010,0)),""))</f>
        <v/>
      </c>
      <c r="AJ161" s="15" t="str">
        <f>IF(AE161="","",IFERROR(INDEX($AT$11:$AT$4010,MATCH(151,$AZ$11:$AZ$4010,0)),""))</f>
        <v/>
      </c>
      <c r="AL161" s="17" t="str">
        <f t="shared" si="35"/>
        <v/>
      </c>
      <c r="AM161" s="12" t="str">
        <f t="shared" si="36"/>
        <v/>
      </c>
      <c r="AN161" s="18" t="str">
        <f t="shared" si="37"/>
        <v/>
      </c>
      <c r="AO161" s="18" t="str">
        <f t="shared" si="38"/>
        <v/>
      </c>
      <c r="AP161" s="10" t="str">
        <f t="shared" si="39"/>
        <v/>
      </c>
      <c r="AQ161" s="10" t="str">
        <f t="shared" si="40"/>
        <v/>
      </c>
      <c r="AR161" s="19" t="str">
        <f t="shared" si="41"/>
        <v/>
      </c>
      <c r="AS161" s="20"/>
      <c r="AT161" s="19"/>
      <c r="AV161" s="21">
        <f>IF(AND($AL161&lt;&gt;"",COUNTIF($AL$11:$AL161,$AL161)=1),1,0)</f>
        <v>0</v>
      </c>
      <c r="AW161" s="21">
        <f t="shared" si="43"/>
        <v>0</v>
      </c>
      <c r="AX161" s="21" t="str">
        <f t="shared" si="42"/>
        <v/>
      </c>
      <c r="AY161" s="21" t="str">
        <f>IF(AND($AM161&lt;&gt;"",$AS161&lt;&gt;"✓"),SUMPRODUCT(($AM$11:$AM161&lt;&gt;"")*($AS$11:$AS161&lt;&gt;"✓")),"")</f>
        <v/>
      </c>
      <c r="AZ161" s="21" t="str">
        <f>IF(AND($AM161&lt;&gt;"",$AS161="✓"),SUMPRODUCT(($AM$11:$AM161&lt;&gt;"")*($AS$11:$AS161="✓")),"")</f>
        <v/>
      </c>
      <c r="BA161" s="21" t="str">
        <f>IF($AL161="","",$AL161&amp;"|"&amp;COUNTIF($AL$11:$AL161,$AL161))</f>
        <v/>
      </c>
    </row>
    <row r="162" spans="2:53" ht="15" customHeight="1" x14ac:dyDescent="0.25">
      <c r="B162" s="5" t="str">
        <f t="shared" si="30"/>
        <v/>
      </c>
      <c r="C162" s="5"/>
      <c r="D162" s="5"/>
      <c r="E162" s="5"/>
      <c r="F162" s="6"/>
      <c r="G162" s="6"/>
      <c r="H162" s="7"/>
      <c r="I162" s="8"/>
      <c r="K162" s="23" t="str">
        <f>IFERROR(INDEX($AL$11:$AL$4010,MATCH(152,$AX$11:$AX$4010,0)),"")</f>
        <v/>
      </c>
      <c r="L162" s="24" t="str">
        <f t="shared" si="31"/>
        <v/>
      </c>
      <c r="M162" s="25" t="str">
        <f t="shared" si="32"/>
        <v/>
      </c>
      <c r="N162" s="25" t="str">
        <f t="shared" si="33"/>
        <v/>
      </c>
      <c r="P162" s="26" t="str">
        <f>IFERROR(INDEX($AM$11:$AM$4010,MATCH($S$8&amp;"|"&amp;152,$BA$11:$BA$4010,0)),"")</f>
        <v/>
      </c>
      <c r="Q162" s="25" t="str">
        <f>IF(P162="","",IFERROR(INDEX($AN$11:$AN$4010,MATCH($S$8&amp;"|"&amp;152,$BA$11:$BA$4010,0)),""))</f>
        <v/>
      </c>
      <c r="R162" s="25" t="str">
        <f>IF(P162="","",IFERROR(INDEX($AO$11:$AO$4010,MATCH($S$8&amp;"|"&amp;152,$BA$11:$BA$4010,0)),""))</f>
        <v/>
      </c>
      <c r="S162" s="24" t="str">
        <f>IF(P162="","",IFERROR(INDEX($AP$11:$AP$4010,MATCH($S$8&amp;"|"&amp;152,$BA$11:$BA$4010,0)),""))</f>
        <v/>
      </c>
      <c r="T162" s="24" t="str">
        <f>IF(P162="","",IFERROR(INDEX($AQ$11:$AQ$4010,MATCH($S$8&amp;"|"&amp;152,$BA$11:$BA$4010,0)),""))</f>
        <v/>
      </c>
      <c r="U162" s="38" t="str">
        <f t="shared" si="34"/>
        <v/>
      </c>
      <c r="W162" s="28" t="str">
        <f>IF(X162="","",IFERROR(INDEX($AL$11:$AL$4010,MATCH(152,$AY$11:$AY$4010,0)),""))</f>
        <v/>
      </c>
      <c r="X162" s="26" t="str">
        <f>IFERROR(INDEX($AM$11:$AM$4010,MATCH(152,$AY$11:$AY$4010,0)),"")</f>
        <v/>
      </c>
      <c r="Y162" s="25" t="str">
        <f>IF(X162="","",IFERROR(INDEX($AN$11:$AN$4010,MATCH(152,$AY$11:$AY$4010,0)),""))</f>
        <v/>
      </c>
      <c r="Z162" s="25" t="str">
        <f>IF(X162="","",IFERROR(INDEX($AO$11:$AO$4010,MATCH(152,$AY$11:$AY$4010,0)),""))</f>
        <v/>
      </c>
      <c r="AA162" s="24" t="str">
        <f>IF(X162="","",IFERROR(INDEX($AQ$11:$AQ$4010,MATCH(152,$AY$11:$AY$4010,0)),""))</f>
        <v/>
      </c>
      <c r="AB162" s="29" t="str">
        <f>IF(X162="","",IFERROR(INDEX($AR$11:$AR$4010,MATCH(152,$AY$11:$AY$4010,0)),""))</f>
        <v/>
      </c>
      <c r="AD162" s="30" t="str">
        <f>IF(AE162="","",IFERROR(INDEX($AL$11:$AL$4010,MATCH(152,$AZ$11:$AZ$4010,0)),""))</f>
        <v/>
      </c>
      <c r="AE162" s="26" t="str">
        <f>IFERROR(INDEX($AM$11:$AM$4010,MATCH(152,$AZ$11:$AZ$4010,0)),"")</f>
        <v/>
      </c>
      <c r="AF162" s="25" t="str">
        <f>IF(AE162="","",IFERROR(INDEX($AN$11:$AN$4010,MATCH(152,$AZ$11:$AZ$4010,0)),""))</f>
        <v/>
      </c>
      <c r="AG162" s="25" t="str">
        <f>IF(AE162="","",IFERROR(INDEX($AO$11:$AO$4010,MATCH(152,$AZ$11:$AZ$4010,0)),""))</f>
        <v/>
      </c>
      <c r="AH162" s="24" t="str">
        <f>IF(AE162="","",IFERROR(INDEX($AQ$11:$AQ$4010,MATCH(152,$AZ$11:$AZ$4010,0)),""))</f>
        <v/>
      </c>
      <c r="AI162" s="29" t="str">
        <f>IF(AE162="","",IFERROR(INDEX($AR$11:$AR$4010,MATCH(152,$AZ$11:$AZ$4010,0)),""))</f>
        <v/>
      </c>
      <c r="AJ162" s="29" t="str">
        <f>IF(AE162="","",IFERROR(INDEX($AT$11:$AT$4010,MATCH(152,$AZ$11:$AZ$4010,0)),""))</f>
        <v/>
      </c>
      <c r="AL162" s="31" t="str">
        <f t="shared" si="35"/>
        <v/>
      </c>
      <c r="AM162" s="26" t="str">
        <f t="shared" si="36"/>
        <v/>
      </c>
      <c r="AN162" s="32" t="str">
        <f t="shared" si="37"/>
        <v/>
      </c>
      <c r="AO162" s="32" t="str">
        <f t="shared" si="38"/>
        <v/>
      </c>
      <c r="AP162" s="24" t="str">
        <f t="shared" si="39"/>
        <v/>
      </c>
      <c r="AQ162" s="24" t="str">
        <f t="shared" si="40"/>
        <v/>
      </c>
      <c r="AR162" s="33" t="str">
        <f t="shared" si="41"/>
        <v/>
      </c>
      <c r="AS162" s="34"/>
      <c r="AT162" s="33"/>
      <c r="AV162" s="21">
        <f>IF(AND($AL162&lt;&gt;"",COUNTIF($AL$11:$AL162,$AL162)=1),1,0)</f>
        <v>0</v>
      </c>
      <c r="AW162" s="21">
        <f t="shared" si="43"/>
        <v>0</v>
      </c>
      <c r="AX162" s="21" t="str">
        <f t="shared" si="42"/>
        <v/>
      </c>
      <c r="AY162" s="21" t="str">
        <f>IF(AND($AM162&lt;&gt;"",$AS162&lt;&gt;"✓"),SUMPRODUCT(($AM$11:$AM162&lt;&gt;"")*($AS$11:$AS162&lt;&gt;"✓")),"")</f>
        <v/>
      </c>
      <c r="AZ162" s="21" t="str">
        <f>IF(AND($AM162&lt;&gt;"",$AS162="✓"),SUMPRODUCT(($AM$11:$AM162&lt;&gt;"")*($AS$11:$AS162="✓")),"")</f>
        <v/>
      </c>
      <c r="BA162" s="21" t="str">
        <f>IF($AL162="","",$AL162&amp;"|"&amp;COUNTIF($AL$11:$AL162,$AL162))</f>
        <v/>
      </c>
    </row>
    <row r="163" spans="2:53" ht="15" customHeight="1" x14ac:dyDescent="0.25">
      <c r="B163" s="5" t="str">
        <f t="shared" si="30"/>
        <v/>
      </c>
      <c r="C163" s="5"/>
      <c r="D163" s="5"/>
      <c r="E163" s="5"/>
      <c r="F163" s="6"/>
      <c r="G163" s="6"/>
      <c r="H163" s="7"/>
      <c r="I163" s="8"/>
      <c r="K163" s="9" t="str">
        <f>IFERROR(INDEX($AL$11:$AL$4010,MATCH(153,$AX$11:$AX$4010,0)),"")</f>
        <v/>
      </c>
      <c r="L163" s="10" t="str">
        <f t="shared" si="31"/>
        <v/>
      </c>
      <c r="M163" s="11" t="str">
        <f t="shared" si="32"/>
        <v/>
      </c>
      <c r="N163" s="11" t="str">
        <f t="shared" si="33"/>
        <v/>
      </c>
      <c r="P163" s="12" t="str">
        <f>IFERROR(INDEX($AM$11:$AM$4010,MATCH($S$8&amp;"|"&amp;153,$BA$11:$BA$4010,0)),"")</f>
        <v/>
      </c>
      <c r="Q163" s="11" t="str">
        <f>IF(P163="","",IFERROR(INDEX($AN$11:$AN$4010,MATCH($S$8&amp;"|"&amp;153,$BA$11:$BA$4010,0)),""))</f>
        <v/>
      </c>
      <c r="R163" s="11" t="str">
        <f>IF(P163="","",IFERROR(INDEX($AO$11:$AO$4010,MATCH($S$8&amp;"|"&amp;153,$BA$11:$BA$4010,0)),""))</f>
        <v/>
      </c>
      <c r="S163" s="10" t="str">
        <f>IF(P163="","",IFERROR(INDEX($AP$11:$AP$4010,MATCH($S$8&amp;"|"&amp;153,$BA$11:$BA$4010,0)),""))</f>
        <v/>
      </c>
      <c r="T163" s="10" t="str">
        <f>IF(P163="","",IFERROR(INDEX($AQ$11:$AQ$4010,MATCH($S$8&amp;"|"&amp;153,$BA$11:$BA$4010,0)),""))</f>
        <v/>
      </c>
      <c r="U163" s="39" t="str">
        <f t="shared" si="34"/>
        <v/>
      </c>
      <c r="W163" s="14" t="str">
        <f>IF(X163="","",IFERROR(INDEX($AL$11:$AL$4010,MATCH(153,$AY$11:$AY$4010,0)),""))</f>
        <v/>
      </c>
      <c r="X163" s="12" t="str">
        <f>IFERROR(INDEX($AM$11:$AM$4010,MATCH(153,$AY$11:$AY$4010,0)),"")</f>
        <v/>
      </c>
      <c r="Y163" s="11" t="str">
        <f>IF(X163="","",IFERROR(INDEX($AN$11:$AN$4010,MATCH(153,$AY$11:$AY$4010,0)),""))</f>
        <v/>
      </c>
      <c r="Z163" s="11" t="str">
        <f>IF(X163="","",IFERROR(INDEX($AO$11:$AO$4010,MATCH(153,$AY$11:$AY$4010,0)),""))</f>
        <v/>
      </c>
      <c r="AA163" s="10" t="str">
        <f>IF(X163="","",IFERROR(INDEX($AQ$11:$AQ$4010,MATCH(153,$AY$11:$AY$4010,0)),""))</f>
        <v/>
      </c>
      <c r="AB163" s="15" t="str">
        <f>IF(X163="","",IFERROR(INDEX($AR$11:$AR$4010,MATCH(153,$AY$11:$AY$4010,0)),""))</f>
        <v/>
      </c>
      <c r="AD163" s="16" t="str">
        <f>IF(AE163="","",IFERROR(INDEX($AL$11:$AL$4010,MATCH(153,$AZ$11:$AZ$4010,0)),""))</f>
        <v/>
      </c>
      <c r="AE163" s="12" t="str">
        <f>IFERROR(INDEX($AM$11:$AM$4010,MATCH(153,$AZ$11:$AZ$4010,0)),"")</f>
        <v/>
      </c>
      <c r="AF163" s="11" t="str">
        <f>IF(AE163="","",IFERROR(INDEX($AN$11:$AN$4010,MATCH(153,$AZ$11:$AZ$4010,0)),""))</f>
        <v/>
      </c>
      <c r="AG163" s="11" t="str">
        <f>IF(AE163="","",IFERROR(INDEX($AO$11:$AO$4010,MATCH(153,$AZ$11:$AZ$4010,0)),""))</f>
        <v/>
      </c>
      <c r="AH163" s="10" t="str">
        <f>IF(AE163="","",IFERROR(INDEX($AQ$11:$AQ$4010,MATCH(153,$AZ$11:$AZ$4010,0)),""))</f>
        <v/>
      </c>
      <c r="AI163" s="15" t="str">
        <f>IF(AE163="","",IFERROR(INDEX($AR$11:$AR$4010,MATCH(153,$AZ$11:$AZ$4010,0)),""))</f>
        <v/>
      </c>
      <c r="AJ163" s="15" t="str">
        <f>IF(AE163="","",IFERROR(INDEX($AT$11:$AT$4010,MATCH(153,$AZ$11:$AZ$4010,0)),""))</f>
        <v/>
      </c>
      <c r="AL163" s="17" t="str">
        <f t="shared" si="35"/>
        <v/>
      </c>
      <c r="AM163" s="12" t="str">
        <f t="shared" si="36"/>
        <v/>
      </c>
      <c r="AN163" s="18" t="str">
        <f t="shared" si="37"/>
        <v/>
      </c>
      <c r="AO163" s="18" t="str">
        <f t="shared" si="38"/>
        <v/>
      </c>
      <c r="AP163" s="10" t="str">
        <f t="shared" si="39"/>
        <v/>
      </c>
      <c r="AQ163" s="10" t="str">
        <f t="shared" si="40"/>
        <v/>
      </c>
      <c r="AR163" s="19" t="str">
        <f t="shared" si="41"/>
        <v/>
      </c>
      <c r="AS163" s="20"/>
      <c r="AT163" s="19"/>
      <c r="AV163" s="21">
        <f>IF(AND($AL163&lt;&gt;"",COUNTIF($AL$11:$AL163,$AL163)=1),1,0)</f>
        <v>0</v>
      </c>
      <c r="AW163" s="21">
        <f t="shared" si="43"/>
        <v>0</v>
      </c>
      <c r="AX163" s="21" t="str">
        <f t="shared" si="42"/>
        <v/>
      </c>
      <c r="AY163" s="21" t="str">
        <f>IF(AND($AM163&lt;&gt;"",$AS163&lt;&gt;"✓"),SUMPRODUCT(($AM$11:$AM163&lt;&gt;"")*($AS$11:$AS163&lt;&gt;"✓")),"")</f>
        <v/>
      </c>
      <c r="AZ163" s="21" t="str">
        <f>IF(AND($AM163&lt;&gt;"",$AS163="✓"),SUMPRODUCT(($AM$11:$AM163&lt;&gt;"")*($AS$11:$AS163="✓")),"")</f>
        <v/>
      </c>
      <c r="BA163" s="21" t="str">
        <f>IF($AL163="","",$AL163&amp;"|"&amp;COUNTIF($AL$11:$AL163,$AL163))</f>
        <v/>
      </c>
    </row>
    <row r="164" spans="2:53" ht="15" customHeight="1" x14ac:dyDescent="0.25">
      <c r="B164" s="5" t="str">
        <f t="shared" si="30"/>
        <v/>
      </c>
      <c r="C164" s="5"/>
      <c r="D164" s="5"/>
      <c r="E164" s="5"/>
      <c r="F164" s="6"/>
      <c r="G164" s="6"/>
      <c r="H164" s="7"/>
      <c r="I164" s="8"/>
      <c r="K164" s="23" t="str">
        <f>IFERROR(INDEX($AL$11:$AL$4010,MATCH(154,$AX$11:$AX$4010,0)),"")</f>
        <v/>
      </c>
      <c r="L164" s="24" t="str">
        <f t="shared" si="31"/>
        <v/>
      </c>
      <c r="M164" s="25" t="str">
        <f t="shared" si="32"/>
        <v/>
      </c>
      <c r="N164" s="25" t="str">
        <f t="shared" si="33"/>
        <v/>
      </c>
      <c r="P164" s="26" t="str">
        <f>IFERROR(INDEX($AM$11:$AM$4010,MATCH($S$8&amp;"|"&amp;154,$BA$11:$BA$4010,0)),"")</f>
        <v/>
      </c>
      <c r="Q164" s="25" t="str">
        <f>IF(P164="","",IFERROR(INDEX($AN$11:$AN$4010,MATCH($S$8&amp;"|"&amp;154,$BA$11:$BA$4010,0)),""))</f>
        <v/>
      </c>
      <c r="R164" s="25" t="str">
        <f>IF(P164="","",IFERROR(INDEX($AO$11:$AO$4010,MATCH($S$8&amp;"|"&amp;154,$BA$11:$BA$4010,0)),""))</f>
        <v/>
      </c>
      <c r="S164" s="24" t="str">
        <f>IF(P164="","",IFERROR(INDEX($AP$11:$AP$4010,MATCH($S$8&amp;"|"&amp;154,$BA$11:$BA$4010,0)),""))</f>
        <v/>
      </c>
      <c r="T164" s="24" t="str">
        <f>IF(P164="","",IFERROR(INDEX($AQ$11:$AQ$4010,MATCH($S$8&amp;"|"&amp;154,$BA$11:$BA$4010,0)),""))</f>
        <v/>
      </c>
      <c r="U164" s="38" t="str">
        <f t="shared" si="34"/>
        <v/>
      </c>
      <c r="W164" s="28" t="str">
        <f>IF(X164="","",IFERROR(INDEX($AL$11:$AL$4010,MATCH(154,$AY$11:$AY$4010,0)),""))</f>
        <v/>
      </c>
      <c r="X164" s="26" t="str">
        <f>IFERROR(INDEX($AM$11:$AM$4010,MATCH(154,$AY$11:$AY$4010,0)),"")</f>
        <v/>
      </c>
      <c r="Y164" s="25" t="str">
        <f>IF(X164="","",IFERROR(INDEX($AN$11:$AN$4010,MATCH(154,$AY$11:$AY$4010,0)),""))</f>
        <v/>
      </c>
      <c r="Z164" s="25" t="str">
        <f>IF(X164="","",IFERROR(INDEX($AO$11:$AO$4010,MATCH(154,$AY$11:$AY$4010,0)),""))</f>
        <v/>
      </c>
      <c r="AA164" s="24" t="str">
        <f>IF(X164="","",IFERROR(INDEX($AQ$11:$AQ$4010,MATCH(154,$AY$11:$AY$4010,0)),""))</f>
        <v/>
      </c>
      <c r="AB164" s="29" t="str">
        <f>IF(X164="","",IFERROR(INDEX($AR$11:$AR$4010,MATCH(154,$AY$11:$AY$4010,0)),""))</f>
        <v/>
      </c>
      <c r="AD164" s="30" t="str">
        <f>IF(AE164="","",IFERROR(INDEX($AL$11:$AL$4010,MATCH(154,$AZ$11:$AZ$4010,0)),""))</f>
        <v/>
      </c>
      <c r="AE164" s="26" t="str">
        <f>IFERROR(INDEX($AM$11:$AM$4010,MATCH(154,$AZ$11:$AZ$4010,0)),"")</f>
        <v/>
      </c>
      <c r="AF164" s="25" t="str">
        <f>IF(AE164="","",IFERROR(INDEX($AN$11:$AN$4010,MATCH(154,$AZ$11:$AZ$4010,0)),""))</f>
        <v/>
      </c>
      <c r="AG164" s="25" t="str">
        <f>IF(AE164="","",IFERROR(INDEX($AO$11:$AO$4010,MATCH(154,$AZ$11:$AZ$4010,0)),""))</f>
        <v/>
      </c>
      <c r="AH164" s="24" t="str">
        <f>IF(AE164="","",IFERROR(INDEX($AQ$11:$AQ$4010,MATCH(154,$AZ$11:$AZ$4010,0)),""))</f>
        <v/>
      </c>
      <c r="AI164" s="29" t="str">
        <f>IF(AE164="","",IFERROR(INDEX($AR$11:$AR$4010,MATCH(154,$AZ$11:$AZ$4010,0)),""))</f>
        <v/>
      </c>
      <c r="AJ164" s="29" t="str">
        <f>IF(AE164="","",IFERROR(INDEX($AT$11:$AT$4010,MATCH(154,$AZ$11:$AZ$4010,0)),""))</f>
        <v/>
      </c>
      <c r="AL164" s="31" t="str">
        <f t="shared" si="35"/>
        <v/>
      </c>
      <c r="AM164" s="26" t="str">
        <f t="shared" si="36"/>
        <v/>
      </c>
      <c r="AN164" s="32" t="str">
        <f t="shared" si="37"/>
        <v/>
      </c>
      <c r="AO164" s="32" t="str">
        <f t="shared" si="38"/>
        <v/>
      </c>
      <c r="AP164" s="24" t="str">
        <f t="shared" si="39"/>
        <v/>
      </c>
      <c r="AQ164" s="24" t="str">
        <f t="shared" si="40"/>
        <v/>
      </c>
      <c r="AR164" s="33" t="str">
        <f t="shared" si="41"/>
        <v/>
      </c>
      <c r="AS164" s="34"/>
      <c r="AT164" s="33"/>
      <c r="AV164" s="21">
        <f>IF(AND($AL164&lt;&gt;"",COUNTIF($AL$11:$AL164,$AL164)=1),1,0)</f>
        <v>0</v>
      </c>
      <c r="AW164" s="21">
        <f t="shared" si="43"/>
        <v>0</v>
      </c>
      <c r="AX164" s="21" t="str">
        <f t="shared" si="42"/>
        <v/>
      </c>
      <c r="AY164" s="21" t="str">
        <f>IF(AND($AM164&lt;&gt;"",$AS164&lt;&gt;"✓"),SUMPRODUCT(($AM$11:$AM164&lt;&gt;"")*($AS$11:$AS164&lt;&gt;"✓")),"")</f>
        <v/>
      </c>
      <c r="AZ164" s="21" t="str">
        <f>IF(AND($AM164&lt;&gt;"",$AS164="✓"),SUMPRODUCT(($AM$11:$AM164&lt;&gt;"")*($AS$11:$AS164="✓")),"")</f>
        <v/>
      </c>
      <c r="BA164" s="21" t="str">
        <f>IF($AL164="","",$AL164&amp;"|"&amp;COUNTIF($AL$11:$AL164,$AL164))</f>
        <v/>
      </c>
    </row>
    <row r="165" spans="2:53" ht="15" customHeight="1" x14ac:dyDescent="0.25">
      <c r="B165" s="5" t="str">
        <f t="shared" si="30"/>
        <v/>
      </c>
      <c r="C165" s="5"/>
      <c r="D165" s="5"/>
      <c r="E165" s="5"/>
      <c r="F165" s="6"/>
      <c r="G165" s="6"/>
      <c r="H165" s="7"/>
      <c r="I165" s="8"/>
      <c r="K165" s="9" t="str">
        <f>IFERROR(INDEX($AL$11:$AL$4010,MATCH(155,$AX$11:$AX$4010,0)),"")</f>
        <v/>
      </c>
      <c r="L165" s="10" t="str">
        <f t="shared" si="31"/>
        <v/>
      </c>
      <c r="M165" s="11" t="str">
        <f t="shared" si="32"/>
        <v/>
      </c>
      <c r="N165" s="11" t="str">
        <f t="shared" si="33"/>
        <v/>
      </c>
      <c r="P165" s="12" t="str">
        <f>IFERROR(INDEX($AM$11:$AM$4010,MATCH($S$8&amp;"|"&amp;155,$BA$11:$BA$4010,0)),"")</f>
        <v/>
      </c>
      <c r="Q165" s="11" t="str">
        <f>IF(P165="","",IFERROR(INDEX($AN$11:$AN$4010,MATCH($S$8&amp;"|"&amp;155,$BA$11:$BA$4010,0)),""))</f>
        <v/>
      </c>
      <c r="R165" s="11" t="str">
        <f>IF(P165="","",IFERROR(INDEX($AO$11:$AO$4010,MATCH($S$8&amp;"|"&amp;155,$BA$11:$BA$4010,0)),""))</f>
        <v/>
      </c>
      <c r="S165" s="10" t="str">
        <f>IF(P165="","",IFERROR(INDEX($AP$11:$AP$4010,MATCH($S$8&amp;"|"&amp;155,$BA$11:$BA$4010,0)),""))</f>
        <v/>
      </c>
      <c r="T165" s="10" t="str">
        <f>IF(P165="","",IFERROR(INDEX($AQ$11:$AQ$4010,MATCH($S$8&amp;"|"&amp;155,$BA$11:$BA$4010,0)),""))</f>
        <v/>
      </c>
      <c r="U165" s="39" t="str">
        <f t="shared" si="34"/>
        <v/>
      </c>
      <c r="W165" s="14" t="str">
        <f>IF(X165="","",IFERROR(INDEX($AL$11:$AL$4010,MATCH(155,$AY$11:$AY$4010,0)),""))</f>
        <v/>
      </c>
      <c r="X165" s="12" t="str">
        <f>IFERROR(INDEX($AM$11:$AM$4010,MATCH(155,$AY$11:$AY$4010,0)),"")</f>
        <v/>
      </c>
      <c r="Y165" s="11" t="str">
        <f>IF(X165="","",IFERROR(INDEX($AN$11:$AN$4010,MATCH(155,$AY$11:$AY$4010,0)),""))</f>
        <v/>
      </c>
      <c r="Z165" s="11" t="str">
        <f>IF(X165="","",IFERROR(INDEX($AO$11:$AO$4010,MATCH(155,$AY$11:$AY$4010,0)),""))</f>
        <v/>
      </c>
      <c r="AA165" s="10" t="str">
        <f>IF(X165="","",IFERROR(INDEX($AQ$11:$AQ$4010,MATCH(155,$AY$11:$AY$4010,0)),""))</f>
        <v/>
      </c>
      <c r="AB165" s="15" t="str">
        <f>IF(X165="","",IFERROR(INDEX($AR$11:$AR$4010,MATCH(155,$AY$11:$AY$4010,0)),""))</f>
        <v/>
      </c>
      <c r="AD165" s="16" t="str">
        <f>IF(AE165="","",IFERROR(INDEX($AL$11:$AL$4010,MATCH(155,$AZ$11:$AZ$4010,0)),""))</f>
        <v/>
      </c>
      <c r="AE165" s="12" t="str">
        <f>IFERROR(INDEX($AM$11:$AM$4010,MATCH(155,$AZ$11:$AZ$4010,0)),"")</f>
        <v/>
      </c>
      <c r="AF165" s="11" t="str">
        <f>IF(AE165="","",IFERROR(INDEX($AN$11:$AN$4010,MATCH(155,$AZ$11:$AZ$4010,0)),""))</f>
        <v/>
      </c>
      <c r="AG165" s="11" t="str">
        <f>IF(AE165="","",IFERROR(INDEX($AO$11:$AO$4010,MATCH(155,$AZ$11:$AZ$4010,0)),""))</f>
        <v/>
      </c>
      <c r="AH165" s="10" t="str">
        <f>IF(AE165="","",IFERROR(INDEX($AQ$11:$AQ$4010,MATCH(155,$AZ$11:$AZ$4010,0)),""))</f>
        <v/>
      </c>
      <c r="AI165" s="15" t="str">
        <f>IF(AE165="","",IFERROR(INDEX($AR$11:$AR$4010,MATCH(155,$AZ$11:$AZ$4010,0)),""))</f>
        <v/>
      </c>
      <c r="AJ165" s="15" t="str">
        <f>IF(AE165="","",IFERROR(INDEX($AT$11:$AT$4010,MATCH(155,$AZ$11:$AZ$4010,0)),""))</f>
        <v/>
      </c>
      <c r="AL165" s="17" t="str">
        <f t="shared" si="35"/>
        <v/>
      </c>
      <c r="AM165" s="12" t="str">
        <f t="shared" si="36"/>
        <v/>
      </c>
      <c r="AN165" s="18" t="str">
        <f t="shared" si="37"/>
        <v/>
      </c>
      <c r="AO165" s="18" t="str">
        <f t="shared" si="38"/>
        <v/>
      </c>
      <c r="AP165" s="10" t="str">
        <f t="shared" si="39"/>
        <v/>
      </c>
      <c r="AQ165" s="10" t="str">
        <f t="shared" si="40"/>
        <v/>
      </c>
      <c r="AR165" s="19" t="str">
        <f t="shared" si="41"/>
        <v/>
      </c>
      <c r="AS165" s="20"/>
      <c r="AT165" s="19"/>
      <c r="AV165" s="21">
        <f>IF(AND($AL165&lt;&gt;"",COUNTIF($AL$11:$AL165,$AL165)=1),1,0)</f>
        <v>0</v>
      </c>
      <c r="AW165" s="21">
        <f t="shared" si="43"/>
        <v>0</v>
      </c>
      <c r="AX165" s="21" t="str">
        <f t="shared" si="42"/>
        <v/>
      </c>
      <c r="AY165" s="21" t="str">
        <f>IF(AND($AM165&lt;&gt;"",$AS165&lt;&gt;"✓"),SUMPRODUCT(($AM$11:$AM165&lt;&gt;"")*($AS$11:$AS165&lt;&gt;"✓")),"")</f>
        <v/>
      </c>
      <c r="AZ165" s="21" t="str">
        <f>IF(AND($AM165&lt;&gt;"",$AS165="✓"),SUMPRODUCT(($AM$11:$AM165&lt;&gt;"")*($AS$11:$AS165="✓")),"")</f>
        <v/>
      </c>
      <c r="BA165" s="21" t="str">
        <f>IF($AL165="","",$AL165&amp;"|"&amp;COUNTIF($AL$11:$AL165,$AL165))</f>
        <v/>
      </c>
    </row>
    <row r="166" spans="2:53" ht="15" customHeight="1" x14ac:dyDescent="0.25">
      <c r="B166" s="5" t="str">
        <f t="shared" si="30"/>
        <v/>
      </c>
      <c r="C166" s="5"/>
      <c r="D166" s="5"/>
      <c r="E166" s="5"/>
      <c r="F166" s="6"/>
      <c r="G166" s="6"/>
      <c r="H166" s="7"/>
      <c r="I166" s="8"/>
      <c r="K166" s="23" t="str">
        <f>IFERROR(INDEX($AL$11:$AL$4010,MATCH(156,$AX$11:$AX$4010,0)),"")</f>
        <v/>
      </c>
      <c r="L166" s="24" t="str">
        <f t="shared" si="31"/>
        <v/>
      </c>
      <c r="M166" s="25" t="str">
        <f t="shared" si="32"/>
        <v/>
      </c>
      <c r="N166" s="25" t="str">
        <f t="shared" si="33"/>
        <v/>
      </c>
      <c r="P166" s="26" t="str">
        <f>IFERROR(INDEX($AM$11:$AM$4010,MATCH($S$8&amp;"|"&amp;156,$BA$11:$BA$4010,0)),"")</f>
        <v/>
      </c>
      <c r="Q166" s="25" t="str">
        <f>IF(P166="","",IFERROR(INDEX($AN$11:$AN$4010,MATCH($S$8&amp;"|"&amp;156,$BA$11:$BA$4010,0)),""))</f>
        <v/>
      </c>
      <c r="R166" s="25" t="str">
        <f>IF(P166="","",IFERROR(INDEX($AO$11:$AO$4010,MATCH($S$8&amp;"|"&amp;156,$BA$11:$BA$4010,0)),""))</f>
        <v/>
      </c>
      <c r="S166" s="24" t="str">
        <f>IF(P166="","",IFERROR(INDEX($AP$11:$AP$4010,MATCH($S$8&amp;"|"&amp;156,$BA$11:$BA$4010,0)),""))</f>
        <v/>
      </c>
      <c r="T166" s="24" t="str">
        <f>IF(P166="","",IFERROR(INDEX($AQ$11:$AQ$4010,MATCH($S$8&amp;"|"&amp;156,$BA$11:$BA$4010,0)),""))</f>
        <v/>
      </c>
      <c r="U166" s="38" t="str">
        <f t="shared" si="34"/>
        <v/>
      </c>
      <c r="W166" s="28" t="str">
        <f>IF(X166="","",IFERROR(INDEX($AL$11:$AL$4010,MATCH(156,$AY$11:$AY$4010,0)),""))</f>
        <v/>
      </c>
      <c r="X166" s="26" t="str">
        <f>IFERROR(INDEX($AM$11:$AM$4010,MATCH(156,$AY$11:$AY$4010,0)),"")</f>
        <v/>
      </c>
      <c r="Y166" s="25" t="str">
        <f>IF(X166="","",IFERROR(INDEX($AN$11:$AN$4010,MATCH(156,$AY$11:$AY$4010,0)),""))</f>
        <v/>
      </c>
      <c r="Z166" s="25" t="str">
        <f>IF(X166="","",IFERROR(INDEX($AO$11:$AO$4010,MATCH(156,$AY$11:$AY$4010,0)),""))</f>
        <v/>
      </c>
      <c r="AA166" s="24" t="str">
        <f>IF(X166="","",IFERROR(INDEX($AQ$11:$AQ$4010,MATCH(156,$AY$11:$AY$4010,0)),""))</f>
        <v/>
      </c>
      <c r="AB166" s="29" t="str">
        <f>IF(X166="","",IFERROR(INDEX($AR$11:$AR$4010,MATCH(156,$AY$11:$AY$4010,0)),""))</f>
        <v/>
      </c>
      <c r="AD166" s="30" t="str">
        <f>IF(AE166="","",IFERROR(INDEX($AL$11:$AL$4010,MATCH(156,$AZ$11:$AZ$4010,0)),""))</f>
        <v/>
      </c>
      <c r="AE166" s="26" t="str">
        <f>IFERROR(INDEX($AM$11:$AM$4010,MATCH(156,$AZ$11:$AZ$4010,0)),"")</f>
        <v/>
      </c>
      <c r="AF166" s="25" t="str">
        <f>IF(AE166="","",IFERROR(INDEX($AN$11:$AN$4010,MATCH(156,$AZ$11:$AZ$4010,0)),""))</f>
        <v/>
      </c>
      <c r="AG166" s="25" t="str">
        <f>IF(AE166="","",IFERROR(INDEX($AO$11:$AO$4010,MATCH(156,$AZ$11:$AZ$4010,0)),""))</f>
        <v/>
      </c>
      <c r="AH166" s="24" t="str">
        <f>IF(AE166="","",IFERROR(INDEX($AQ$11:$AQ$4010,MATCH(156,$AZ$11:$AZ$4010,0)),""))</f>
        <v/>
      </c>
      <c r="AI166" s="29" t="str">
        <f>IF(AE166="","",IFERROR(INDEX($AR$11:$AR$4010,MATCH(156,$AZ$11:$AZ$4010,0)),""))</f>
        <v/>
      </c>
      <c r="AJ166" s="29" t="str">
        <f>IF(AE166="","",IFERROR(INDEX($AT$11:$AT$4010,MATCH(156,$AZ$11:$AZ$4010,0)),""))</f>
        <v/>
      </c>
      <c r="AL166" s="31" t="str">
        <f t="shared" si="35"/>
        <v/>
      </c>
      <c r="AM166" s="26" t="str">
        <f t="shared" si="36"/>
        <v/>
      </c>
      <c r="AN166" s="32" t="str">
        <f t="shared" si="37"/>
        <v/>
      </c>
      <c r="AO166" s="32" t="str">
        <f t="shared" si="38"/>
        <v/>
      </c>
      <c r="AP166" s="24" t="str">
        <f t="shared" si="39"/>
        <v/>
      </c>
      <c r="AQ166" s="24" t="str">
        <f t="shared" si="40"/>
        <v/>
      </c>
      <c r="AR166" s="33" t="str">
        <f t="shared" si="41"/>
        <v/>
      </c>
      <c r="AS166" s="34"/>
      <c r="AT166" s="33"/>
      <c r="AV166" s="21">
        <f>IF(AND($AL166&lt;&gt;"",COUNTIF($AL$11:$AL166,$AL166)=1),1,0)</f>
        <v>0</v>
      </c>
      <c r="AW166" s="21">
        <f t="shared" si="43"/>
        <v>0</v>
      </c>
      <c r="AX166" s="21" t="str">
        <f t="shared" si="42"/>
        <v/>
      </c>
      <c r="AY166" s="21" t="str">
        <f>IF(AND($AM166&lt;&gt;"",$AS166&lt;&gt;"✓"),SUMPRODUCT(($AM$11:$AM166&lt;&gt;"")*($AS$11:$AS166&lt;&gt;"✓")),"")</f>
        <v/>
      </c>
      <c r="AZ166" s="21" t="str">
        <f>IF(AND($AM166&lt;&gt;"",$AS166="✓"),SUMPRODUCT(($AM$11:$AM166&lt;&gt;"")*($AS$11:$AS166="✓")),"")</f>
        <v/>
      </c>
      <c r="BA166" s="21" t="str">
        <f>IF($AL166="","",$AL166&amp;"|"&amp;COUNTIF($AL$11:$AL166,$AL166))</f>
        <v/>
      </c>
    </row>
    <row r="167" spans="2:53" ht="15" customHeight="1" x14ac:dyDescent="0.25">
      <c r="B167" s="5" t="str">
        <f t="shared" si="30"/>
        <v/>
      </c>
      <c r="C167" s="5"/>
      <c r="D167" s="5"/>
      <c r="E167" s="5"/>
      <c r="F167" s="6"/>
      <c r="G167" s="6"/>
      <c r="H167" s="7"/>
      <c r="I167" s="8"/>
      <c r="K167" s="9" t="str">
        <f>IFERROR(INDEX($AL$11:$AL$4010,MATCH(157,$AX$11:$AX$4010,0)),"")</f>
        <v/>
      </c>
      <c r="L167" s="10" t="str">
        <f t="shared" si="31"/>
        <v/>
      </c>
      <c r="M167" s="11" t="str">
        <f t="shared" si="32"/>
        <v/>
      </c>
      <c r="N167" s="11" t="str">
        <f t="shared" si="33"/>
        <v/>
      </c>
      <c r="P167" s="12" t="str">
        <f>IFERROR(INDEX($AM$11:$AM$4010,MATCH($S$8&amp;"|"&amp;157,$BA$11:$BA$4010,0)),"")</f>
        <v/>
      </c>
      <c r="Q167" s="11" t="str">
        <f>IF(P167="","",IFERROR(INDEX($AN$11:$AN$4010,MATCH($S$8&amp;"|"&amp;157,$BA$11:$BA$4010,0)),""))</f>
        <v/>
      </c>
      <c r="R167" s="11" t="str">
        <f>IF(P167="","",IFERROR(INDEX($AO$11:$AO$4010,MATCH($S$8&amp;"|"&amp;157,$BA$11:$BA$4010,0)),""))</f>
        <v/>
      </c>
      <c r="S167" s="10" t="str">
        <f>IF(P167="","",IFERROR(INDEX($AP$11:$AP$4010,MATCH($S$8&amp;"|"&amp;157,$BA$11:$BA$4010,0)),""))</f>
        <v/>
      </c>
      <c r="T167" s="10" t="str">
        <f>IF(P167="","",IFERROR(INDEX($AQ$11:$AQ$4010,MATCH($S$8&amp;"|"&amp;157,$BA$11:$BA$4010,0)),""))</f>
        <v/>
      </c>
      <c r="U167" s="39" t="str">
        <f t="shared" si="34"/>
        <v/>
      </c>
      <c r="W167" s="14" t="str">
        <f>IF(X167="","",IFERROR(INDEX($AL$11:$AL$4010,MATCH(157,$AY$11:$AY$4010,0)),""))</f>
        <v/>
      </c>
      <c r="X167" s="12" t="str">
        <f>IFERROR(INDEX($AM$11:$AM$4010,MATCH(157,$AY$11:$AY$4010,0)),"")</f>
        <v/>
      </c>
      <c r="Y167" s="11" t="str">
        <f>IF(X167="","",IFERROR(INDEX($AN$11:$AN$4010,MATCH(157,$AY$11:$AY$4010,0)),""))</f>
        <v/>
      </c>
      <c r="Z167" s="11" t="str">
        <f>IF(X167="","",IFERROR(INDEX($AO$11:$AO$4010,MATCH(157,$AY$11:$AY$4010,0)),""))</f>
        <v/>
      </c>
      <c r="AA167" s="10" t="str">
        <f>IF(X167="","",IFERROR(INDEX($AQ$11:$AQ$4010,MATCH(157,$AY$11:$AY$4010,0)),""))</f>
        <v/>
      </c>
      <c r="AB167" s="15" t="str">
        <f>IF(X167="","",IFERROR(INDEX($AR$11:$AR$4010,MATCH(157,$AY$11:$AY$4010,0)),""))</f>
        <v/>
      </c>
      <c r="AD167" s="16" t="str">
        <f>IF(AE167="","",IFERROR(INDEX($AL$11:$AL$4010,MATCH(157,$AZ$11:$AZ$4010,0)),""))</f>
        <v/>
      </c>
      <c r="AE167" s="12" t="str">
        <f>IFERROR(INDEX($AM$11:$AM$4010,MATCH(157,$AZ$11:$AZ$4010,0)),"")</f>
        <v/>
      </c>
      <c r="AF167" s="11" t="str">
        <f>IF(AE167="","",IFERROR(INDEX($AN$11:$AN$4010,MATCH(157,$AZ$11:$AZ$4010,0)),""))</f>
        <v/>
      </c>
      <c r="AG167" s="11" t="str">
        <f>IF(AE167="","",IFERROR(INDEX($AO$11:$AO$4010,MATCH(157,$AZ$11:$AZ$4010,0)),""))</f>
        <v/>
      </c>
      <c r="AH167" s="10" t="str">
        <f>IF(AE167="","",IFERROR(INDEX($AQ$11:$AQ$4010,MATCH(157,$AZ$11:$AZ$4010,0)),""))</f>
        <v/>
      </c>
      <c r="AI167" s="15" t="str">
        <f>IF(AE167="","",IFERROR(INDEX($AR$11:$AR$4010,MATCH(157,$AZ$11:$AZ$4010,0)),""))</f>
        <v/>
      </c>
      <c r="AJ167" s="15" t="str">
        <f>IF(AE167="","",IFERROR(INDEX($AT$11:$AT$4010,MATCH(157,$AZ$11:$AZ$4010,0)),""))</f>
        <v/>
      </c>
      <c r="AL167" s="17" t="str">
        <f t="shared" si="35"/>
        <v/>
      </c>
      <c r="AM167" s="12" t="str">
        <f t="shared" si="36"/>
        <v/>
      </c>
      <c r="AN167" s="18" t="str">
        <f t="shared" si="37"/>
        <v/>
      </c>
      <c r="AO167" s="18" t="str">
        <f t="shared" si="38"/>
        <v/>
      </c>
      <c r="AP167" s="10" t="str">
        <f t="shared" si="39"/>
        <v/>
      </c>
      <c r="AQ167" s="10" t="str">
        <f t="shared" si="40"/>
        <v/>
      </c>
      <c r="AR167" s="19" t="str">
        <f t="shared" si="41"/>
        <v/>
      </c>
      <c r="AS167" s="20"/>
      <c r="AT167" s="19"/>
      <c r="AV167" s="21">
        <f>IF(AND($AL167&lt;&gt;"",COUNTIF($AL$11:$AL167,$AL167)=1),1,0)</f>
        <v>0</v>
      </c>
      <c r="AW167" s="21">
        <f t="shared" si="43"/>
        <v>0</v>
      </c>
      <c r="AX167" s="21" t="str">
        <f t="shared" si="42"/>
        <v/>
      </c>
      <c r="AY167" s="21" t="str">
        <f>IF(AND($AM167&lt;&gt;"",$AS167&lt;&gt;"✓"),SUMPRODUCT(($AM$11:$AM167&lt;&gt;"")*($AS$11:$AS167&lt;&gt;"✓")),"")</f>
        <v/>
      </c>
      <c r="AZ167" s="21" t="str">
        <f>IF(AND($AM167&lt;&gt;"",$AS167="✓"),SUMPRODUCT(($AM$11:$AM167&lt;&gt;"")*($AS$11:$AS167="✓")),"")</f>
        <v/>
      </c>
      <c r="BA167" s="21" t="str">
        <f>IF($AL167="","",$AL167&amp;"|"&amp;COUNTIF($AL$11:$AL167,$AL167))</f>
        <v/>
      </c>
    </row>
    <row r="168" spans="2:53" ht="15" customHeight="1" x14ac:dyDescent="0.25">
      <c r="B168" s="5" t="str">
        <f t="shared" si="30"/>
        <v/>
      </c>
      <c r="C168" s="5"/>
      <c r="D168" s="5"/>
      <c r="E168" s="5"/>
      <c r="F168" s="6"/>
      <c r="G168" s="6"/>
      <c r="H168" s="7"/>
      <c r="I168" s="8"/>
      <c r="K168" s="23" t="str">
        <f>IFERROR(INDEX($AL$11:$AL$4010,MATCH(158,$AX$11:$AX$4010,0)),"")</f>
        <v/>
      </c>
      <c r="L168" s="24" t="str">
        <f t="shared" si="31"/>
        <v/>
      </c>
      <c r="M168" s="25" t="str">
        <f t="shared" si="32"/>
        <v/>
      </c>
      <c r="N168" s="25" t="str">
        <f t="shared" si="33"/>
        <v/>
      </c>
      <c r="P168" s="26" t="str">
        <f>IFERROR(INDEX($AM$11:$AM$4010,MATCH($S$8&amp;"|"&amp;158,$BA$11:$BA$4010,0)),"")</f>
        <v/>
      </c>
      <c r="Q168" s="25" t="str">
        <f>IF(P168="","",IFERROR(INDEX($AN$11:$AN$4010,MATCH($S$8&amp;"|"&amp;158,$BA$11:$BA$4010,0)),""))</f>
        <v/>
      </c>
      <c r="R168" s="25" t="str">
        <f>IF(P168="","",IFERROR(INDEX($AO$11:$AO$4010,MATCH($S$8&amp;"|"&amp;158,$BA$11:$BA$4010,0)),""))</f>
        <v/>
      </c>
      <c r="S168" s="24" t="str">
        <f>IF(P168="","",IFERROR(INDEX($AP$11:$AP$4010,MATCH($S$8&amp;"|"&amp;158,$BA$11:$BA$4010,0)),""))</f>
        <v/>
      </c>
      <c r="T168" s="24" t="str">
        <f>IF(P168="","",IFERROR(INDEX($AQ$11:$AQ$4010,MATCH($S$8&amp;"|"&amp;158,$BA$11:$BA$4010,0)),""))</f>
        <v/>
      </c>
      <c r="U168" s="38" t="str">
        <f t="shared" si="34"/>
        <v/>
      </c>
      <c r="W168" s="28" t="str">
        <f>IF(X168="","",IFERROR(INDEX($AL$11:$AL$4010,MATCH(158,$AY$11:$AY$4010,0)),""))</f>
        <v/>
      </c>
      <c r="X168" s="26" t="str">
        <f>IFERROR(INDEX($AM$11:$AM$4010,MATCH(158,$AY$11:$AY$4010,0)),"")</f>
        <v/>
      </c>
      <c r="Y168" s="25" t="str">
        <f>IF(X168="","",IFERROR(INDEX($AN$11:$AN$4010,MATCH(158,$AY$11:$AY$4010,0)),""))</f>
        <v/>
      </c>
      <c r="Z168" s="25" t="str">
        <f>IF(X168="","",IFERROR(INDEX($AO$11:$AO$4010,MATCH(158,$AY$11:$AY$4010,0)),""))</f>
        <v/>
      </c>
      <c r="AA168" s="24" t="str">
        <f>IF(X168="","",IFERROR(INDEX($AQ$11:$AQ$4010,MATCH(158,$AY$11:$AY$4010,0)),""))</f>
        <v/>
      </c>
      <c r="AB168" s="29" t="str">
        <f>IF(X168="","",IFERROR(INDEX($AR$11:$AR$4010,MATCH(158,$AY$11:$AY$4010,0)),""))</f>
        <v/>
      </c>
      <c r="AD168" s="30" t="str">
        <f>IF(AE168="","",IFERROR(INDEX($AL$11:$AL$4010,MATCH(158,$AZ$11:$AZ$4010,0)),""))</f>
        <v/>
      </c>
      <c r="AE168" s="26" t="str">
        <f>IFERROR(INDEX($AM$11:$AM$4010,MATCH(158,$AZ$11:$AZ$4010,0)),"")</f>
        <v/>
      </c>
      <c r="AF168" s="25" t="str">
        <f>IF(AE168="","",IFERROR(INDEX($AN$11:$AN$4010,MATCH(158,$AZ$11:$AZ$4010,0)),""))</f>
        <v/>
      </c>
      <c r="AG168" s="25" t="str">
        <f>IF(AE168="","",IFERROR(INDEX($AO$11:$AO$4010,MATCH(158,$AZ$11:$AZ$4010,0)),""))</f>
        <v/>
      </c>
      <c r="AH168" s="24" t="str">
        <f>IF(AE168="","",IFERROR(INDEX($AQ$11:$AQ$4010,MATCH(158,$AZ$11:$AZ$4010,0)),""))</f>
        <v/>
      </c>
      <c r="AI168" s="29" t="str">
        <f>IF(AE168="","",IFERROR(INDEX($AR$11:$AR$4010,MATCH(158,$AZ$11:$AZ$4010,0)),""))</f>
        <v/>
      </c>
      <c r="AJ168" s="29" t="str">
        <f>IF(AE168="","",IFERROR(INDEX($AT$11:$AT$4010,MATCH(158,$AZ$11:$AZ$4010,0)),""))</f>
        <v/>
      </c>
      <c r="AL168" s="31" t="str">
        <f t="shared" si="35"/>
        <v/>
      </c>
      <c r="AM168" s="26" t="str">
        <f t="shared" si="36"/>
        <v/>
      </c>
      <c r="AN168" s="32" t="str">
        <f t="shared" si="37"/>
        <v/>
      </c>
      <c r="AO168" s="32" t="str">
        <f t="shared" si="38"/>
        <v/>
      </c>
      <c r="AP168" s="24" t="str">
        <f t="shared" si="39"/>
        <v/>
      </c>
      <c r="AQ168" s="24" t="str">
        <f t="shared" si="40"/>
        <v/>
      </c>
      <c r="AR168" s="33" t="str">
        <f t="shared" si="41"/>
        <v/>
      </c>
      <c r="AS168" s="34"/>
      <c r="AT168" s="33"/>
      <c r="AV168" s="21">
        <f>IF(AND($AL168&lt;&gt;"",COUNTIF($AL$11:$AL168,$AL168)=1),1,0)</f>
        <v>0</v>
      </c>
      <c r="AW168" s="21">
        <f t="shared" si="43"/>
        <v>0</v>
      </c>
      <c r="AX168" s="21" t="str">
        <f t="shared" si="42"/>
        <v/>
      </c>
      <c r="AY168" s="21" t="str">
        <f>IF(AND($AM168&lt;&gt;"",$AS168&lt;&gt;"✓"),SUMPRODUCT(($AM$11:$AM168&lt;&gt;"")*($AS$11:$AS168&lt;&gt;"✓")),"")</f>
        <v/>
      </c>
      <c r="AZ168" s="21" t="str">
        <f>IF(AND($AM168&lt;&gt;"",$AS168="✓"),SUMPRODUCT(($AM$11:$AM168&lt;&gt;"")*($AS$11:$AS168="✓")),"")</f>
        <v/>
      </c>
      <c r="BA168" s="21" t="str">
        <f>IF($AL168="","",$AL168&amp;"|"&amp;COUNTIF($AL$11:$AL168,$AL168))</f>
        <v/>
      </c>
    </row>
    <row r="169" spans="2:53" ht="15" customHeight="1" x14ac:dyDescent="0.25">
      <c r="B169" s="5" t="str">
        <f t="shared" si="30"/>
        <v/>
      </c>
      <c r="C169" s="5"/>
      <c r="D169" s="5"/>
      <c r="E169" s="5"/>
      <c r="F169" s="6"/>
      <c r="G169" s="6"/>
      <c r="H169" s="7"/>
      <c r="I169" s="8"/>
      <c r="K169" s="9" t="str">
        <f>IFERROR(INDEX($AL$11:$AL$4010,MATCH(159,$AX$11:$AX$4010,0)),"")</f>
        <v/>
      </c>
      <c r="L169" s="10" t="str">
        <f t="shared" si="31"/>
        <v/>
      </c>
      <c r="M169" s="11" t="str">
        <f t="shared" si="32"/>
        <v/>
      </c>
      <c r="N169" s="11" t="str">
        <f t="shared" si="33"/>
        <v/>
      </c>
      <c r="P169" s="12" t="str">
        <f>IFERROR(INDEX($AM$11:$AM$4010,MATCH($S$8&amp;"|"&amp;159,$BA$11:$BA$4010,0)),"")</f>
        <v/>
      </c>
      <c r="Q169" s="11" t="str">
        <f>IF(P169="","",IFERROR(INDEX($AN$11:$AN$4010,MATCH($S$8&amp;"|"&amp;159,$BA$11:$BA$4010,0)),""))</f>
        <v/>
      </c>
      <c r="R169" s="11" t="str">
        <f>IF(P169="","",IFERROR(INDEX($AO$11:$AO$4010,MATCH($S$8&amp;"|"&amp;159,$BA$11:$BA$4010,0)),""))</f>
        <v/>
      </c>
      <c r="S169" s="10" t="str">
        <f>IF(P169="","",IFERROR(INDEX($AP$11:$AP$4010,MATCH($S$8&amp;"|"&amp;159,$BA$11:$BA$4010,0)),""))</f>
        <v/>
      </c>
      <c r="T169" s="10" t="str">
        <f>IF(P169="","",IFERROR(INDEX($AQ$11:$AQ$4010,MATCH($S$8&amp;"|"&amp;159,$BA$11:$BA$4010,0)),""))</f>
        <v/>
      </c>
      <c r="U169" s="39" t="str">
        <f t="shared" si="34"/>
        <v/>
      </c>
      <c r="W169" s="14" t="str">
        <f>IF(X169="","",IFERROR(INDEX($AL$11:$AL$4010,MATCH(159,$AY$11:$AY$4010,0)),""))</f>
        <v/>
      </c>
      <c r="X169" s="12" t="str">
        <f>IFERROR(INDEX($AM$11:$AM$4010,MATCH(159,$AY$11:$AY$4010,0)),"")</f>
        <v/>
      </c>
      <c r="Y169" s="11" t="str">
        <f>IF(X169="","",IFERROR(INDEX($AN$11:$AN$4010,MATCH(159,$AY$11:$AY$4010,0)),""))</f>
        <v/>
      </c>
      <c r="Z169" s="11" t="str">
        <f>IF(X169="","",IFERROR(INDEX($AO$11:$AO$4010,MATCH(159,$AY$11:$AY$4010,0)),""))</f>
        <v/>
      </c>
      <c r="AA169" s="10" t="str">
        <f>IF(X169="","",IFERROR(INDEX($AQ$11:$AQ$4010,MATCH(159,$AY$11:$AY$4010,0)),""))</f>
        <v/>
      </c>
      <c r="AB169" s="15" t="str">
        <f>IF(X169="","",IFERROR(INDEX($AR$11:$AR$4010,MATCH(159,$AY$11:$AY$4010,0)),""))</f>
        <v/>
      </c>
      <c r="AD169" s="16" t="str">
        <f>IF(AE169="","",IFERROR(INDEX($AL$11:$AL$4010,MATCH(159,$AZ$11:$AZ$4010,0)),""))</f>
        <v/>
      </c>
      <c r="AE169" s="12" t="str">
        <f>IFERROR(INDEX($AM$11:$AM$4010,MATCH(159,$AZ$11:$AZ$4010,0)),"")</f>
        <v/>
      </c>
      <c r="AF169" s="11" t="str">
        <f>IF(AE169="","",IFERROR(INDEX($AN$11:$AN$4010,MATCH(159,$AZ$11:$AZ$4010,0)),""))</f>
        <v/>
      </c>
      <c r="AG169" s="11" t="str">
        <f>IF(AE169="","",IFERROR(INDEX($AO$11:$AO$4010,MATCH(159,$AZ$11:$AZ$4010,0)),""))</f>
        <v/>
      </c>
      <c r="AH169" s="10" t="str">
        <f>IF(AE169="","",IFERROR(INDEX($AQ$11:$AQ$4010,MATCH(159,$AZ$11:$AZ$4010,0)),""))</f>
        <v/>
      </c>
      <c r="AI169" s="15" t="str">
        <f>IF(AE169="","",IFERROR(INDEX($AR$11:$AR$4010,MATCH(159,$AZ$11:$AZ$4010,0)),""))</f>
        <v/>
      </c>
      <c r="AJ169" s="15" t="str">
        <f>IF(AE169="","",IFERROR(INDEX($AT$11:$AT$4010,MATCH(159,$AZ$11:$AZ$4010,0)),""))</f>
        <v/>
      </c>
      <c r="AL169" s="17" t="str">
        <f t="shared" si="35"/>
        <v/>
      </c>
      <c r="AM169" s="12" t="str">
        <f t="shared" si="36"/>
        <v/>
      </c>
      <c r="AN169" s="18" t="str">
        <f t="shared" si="37"/>
        <v/>
      </c>
      <c r="AO169" s="18" t="str">
        <f t="shared" si="38"/>
        <v/>
      </c>
      <c r="AP169" s="10" t="str">
        <f t="shared" si="39"/>
        <v/>
      </c>
      <c r="AQ169" s="10" t="str">
        <f t="shared" si="40"/>
        <v/>
      </c>
      <c r="AR169" s="19" t="str">
        <f t="shared" si="41"/>
        <v/>
      </c>
      <c r="AS169" s="20"/>
      <c r="AT169" s="19"/>
      <c r="AV169" s="21">
        <f>IF(AND($AL169&lt;&gt;"",COUNTIF($AL$11:$AL169,$AL169)=1),1,0)</f>
        <v>0</v>
      </c>
      <c r="AW169" s="21">
        <f t="shared" si="43"/>
        <v>0</v>
      </c>
      <c r="AX169" s="21" t="str">
        <f t="shared" si="42"/>
        <v/>
      </c>
      <c r="AY169" s="21" t="str">
        <f>IF(AND($AM169&lt;&gt;"",$AS169&lt;&gt;"✓"),SUMPRODUCT(($AM$11:$AM169&lt;&gt;"")*($AS$11:$AS169&lt;&gt;"✓")),"")</f>
        <v/>
      </c>
      <c r="AZ169" s="21" t="str">
        <f>IF(AND($AM169&lt;&gt;"",$AS169="✓"),SUMPRODUCT(($AM$11:$AM169&lt;&gt;"")*($AS$11:$AS169="✓")),"")</f>
        <v/>
      </c>
      <c r="BA169" s="21" t="str">
        <f>IF($AL169="","",$AL169&amp;"|"&amp;COUNTIF($AL$11:$AL169,$AL169))</f>
        <v/>
      </c>
    </row>
    <row r="170" spans="2:53" ht="15" customHeight="1" x14ac:dyDescent="0.25">
      <c r="B170" s="5" t="str">
        <f t="shared" si="30"/>
        <v/>
      </c>
      <c r="C170" s="5"/>
      <c r="D170" s="5"/>
      <c r="E170" s="5"/>
      <c r="F170" s="6"/>
      <c r="G170" s="6"/>
      <c r="H170" s="7"/>
      <c r="I170" s="8"/>
      <c r="K170" s="23" t="str">
        <f>IFERROR(INDEX($AL$11:$AL$4010,MATCH(160,$AX$11:$AX$4010,0)),"")</f>
        <v/>
      </c>
      <c r="L170" s="24" t="str">
        <f t="shared" si="31"/>
        <v/>
      </c>
      <c r="M170" s="25" t="str">
        <f t="shared" si="32"/>
        <v/>
      </c>
      <c r="N170" s="25" t="str">
        <f t="shared" si="33"/>
        <v/>
      </c>
      <c r="P170" s="26" t="str">
        <f>IFERROR(INDEX($AM$11:$AM$4010,MATCH($S$8&amp;"|"&amp;160,$BA$11:$BA$4010,0)),"")</f>
        <v/>
      </c>
      <c r="Q170" s="25" t="str">
        <f>IF(P170="","",IFERROR(INDEX($AN$11:$AN$4010,MATCH($S$8&amp;"|"&amp;160,$BA$11:$BA$4010,0)),""))</f>
        <v/>
      </c>
      <c r="R170" s="25" t="str">
        <f>IF(P170="","",IFERROR(INDEX($AO$11:$AO$4010,MATCH($S$8&amp;"|"&amp;160,$BA$11:$BA$4010,0)),""))</f>
        <v/>
      </c>
      <c r="S170" s="24" t="str">
        <f>IF(P170="","",IFERROR(INDEX($AP$11:$AP$4010,MATCH($S$8&amp;"|"&amp;160,$BA$11:$BA$4010,0)),""))</f>
        <v/>
      </c>
      <c r="T170" s="24" t="str">
        <f>IF(P170="","",IFERROR(INDEX($AQ$11:$AQ$4010,MATCH($S$8&amp;"|"&amp;160,$BA$11:$BA$4010,0)),""))</f>
        <v/>
      </c>
      <c r="U170" s="38" t="str">
        <f t="shared" si="34"/>
        <v/>
      </c>
      <c r="W170" s="28" t="str">
        <f>IF(X170="","",IFERROR(INDEX($AL$11:$AL$4010,MATCH(160,$AY$11:$AY$4010,0)),""))</f>
        <v/>
      </c>
      <c r="X170" s="26" t="str">
        <f>IFERROR(INDEX($AM$11:$AM$4010,MATCH(160,$AY$11:$AY$4010,0)),"")</f>
        <v/>
      </c>
      <c r="Y170" s="25" t="str">
        <f>IF(X170="","",IFERROR(INDEX($AN$11:$AN$4010,MATCH(160,$AY$11:$AY$4010,0)),""))</f>
        <v/>
      </c>
      <c r="Z170" s="25" t="str">
        <f>IF(X170="","",IFERROR(INDEX($AO$11:$AO$4010,MATCH(160,$AY$11:$AY$4010,0)),""))</f>
        <v/>
      </c>
      <c r="AA170" s="24" t="str">
        <f>IF(X170="","",IFERROR(INDEX($AQ$11:$AQ$4010,MATCH(160,$AY$11:$AY$4010,0)),""))</f>
        <v/>
      </c>
      <c r="AB170" s="29" t="str">
        <f>IF(X170="","",IFERROR(INDEX($AR$11:$AR$4010,MATCH(160,$AY$11:$AY$4010,0)),""))</f>
        <v/>
      </c>
      <c r="AD170" s="30" t="str">
        <f>IF(AE170="","",IFERROR(INDEX($AL$11:$AL$4010,MATCH(160,$AZ$11:$AZ$4010,0)),""))</f>
        <v/>
      </c>
      <c r="AE170" s="26" t="str">
        <f>IFERROR(INDEX($AM$11:$AM$4010,MATCH(160,$AZ$11:$AZ$4010,0)),"")</f>
        <v/>
      </c>
      <c r="AF170" s="25" t="str">
        <f>IF(AE170="","",IFERROR(INDEX($AN$11:$AN$4010,MATCH(160,$AZ$11:$AZ$4010,0)),""))</f>
        <v/>
      </c>
      <c r="AG170" s="25" t="str">
        <f>IF(AE170="","",IFERROR(INDEX($AO$11:$AO$4010,MATCH(160,$AZ$11:$AZ$4010,0)),""))</f>
        <v/>
      </c>
      <c r="AH170" s="24" t="str">
        <f>IF(AE170="","",IFERROR(INDEX($AQ$11:$AQ$4010,MATCH(160,$AZ$11:$AZ$4010,0)),""))</f>
        <v/>
      </c>
      <c r="AI170" s="29" t="str">
        <f>IF(AE170="","",IFERROR(INDEX($AR$11:$AR$4010,MATCH(160,$AZ$11:$AZ$4010,0)),""))</f>
        <v/>
      </c>
      <c r="AJ170" s="29" t="str">
        <f>IF(AE170="","",IFERROR(INDEX($AT$11:$AT$4010,MATCH(160,$AZ$11:$AZ$4010,0)),""))</f>
        <v/>
      </c>
      <c r="AL170" s="31" t="str">
        <f t="shared" si="35"/>
        <v/>
      </c>
      <c r="AM170" s="26" t="str">
        <f t="shared" si="36"/>
        <v/>
      </c>
      <c r="AN170" s="32" t="str">
        <f t="shared" si="37"/>
        <v/>
      </c>
      <c r="AO170" s="32" t="str">
        <f t="shared" si="38"/>
        <v/>
      </c>
      <c r="AP170" s="24" t="str">
        <f t="shared" si="39"/>
        <v/>
      </c>
      <c r="AQ170" s="24" t="str">
        <f t="shared" si="40"/>
        <v/>
      </c>
      <c r="AR170" s="33" t="str">
        <f t="shared" si="41"/>
        <v/>
      </c>
      <c r="AS170" s="34"/>
      <c r="AT170" s="33"/>
      <c r="AV170" s="21">
        <f>IF(AND($AL170&lt;&gt;"",COUNTIF($AL$11:$AL170,$AL170)=1),1,0)</f>
        <v>0</v>
      </c>
      <c r="AW170" s="21">
        <f t="shared" si="43"/>
        <v>0</v>
      </c>
      <c r="AX170" s="21" t="str">
        <f t="shared" si="42"/>
        <v/>
      </c>
      <c r="AY170" s="21" t="str">
        <f>IF(AND($AM170&lt;&gt;"",$AS170&lt;&gt;"✓"),SUMPRODUCT(($AM$11:$AM170&lt;&gt;"")*($AS$11:$AS170&lt;&gt;"✓")),"")</f>
        <v/>
      </c>
      <c r="AZ170" s="21" t="str">
        <f>IF(AND($AM170&lt;&gt;"",$AS170="✓"),SUMPRODUCT(($AM$11:$AM170&lt;&gt;"")*($AS$11:$AS170="✓")),"")</f>
        <v/>
      </c>
      <c r="BA170" s="21" t="str">
        <f>IF($AL170="","",$AL170&amp;"|"&amp;COUNTIF($AL$11:$AL170,$AL170))</f>
        <v/>
      </c>
    </row>
    <row r="171" spans="2:53" ht="15" customHeight="1" x14ac:dyDescent="0.25">
      <c r="B171" s="5" t="str">
        <f t="shared" si="30"/>
        <v/>
      </c>
      <c r="C171" s="5"/>
      <c r="D171" s="5"/>
      <c r="E171" s="5"/>
      <c r="F171" s="6"/>
      <c r="G171" s="6"/>
      <c r="H171" s="7"/>
      <c r="I171" s="8"/>
      <c r="K171" s="9" t="str">
        <f>IFERROR(INDEX($AL$11:$AL$4010,MATCH(161,$AX$11:$AX$4010,0)),"")</f>
        <v/>
      </c>
      <c r="L171" s="10" t="str">
        <f t="shared" si="31"/>
        <v/>
      </c>
      <c r="M171" s="11" t="str">
        <f t="shared" si="32"/>
        <v/>
      </c>
      <c r="N171" s="11" t="str">
        <f t="shared" si="33"/>
        <v/>
      </c>
      <c r="P171" s="12" t="str">
        <f>IFERROR(INDEX($AM$11:$AM$4010,MATCH($S$8&amp;"|"&amp;161,$BA$11:$BA$4010,0)),"")</f>
        <v/>
      </c>
      <c r="Q171" s="11" t="str">
        <f>IF(P171="","",IFERROR(INDEX($AN$11:$AN$4010,MATCH($S$8&amp;"|"&amp;161,$BA$11:$BA$4010,0)),""))</f>
        <v/>
      </c>
      <c r="R171" s="11" t="str">
        <f>IF(P171="","",IFERROR(INDEX($AO$11:$AO$4010,MATCH($S$8&amp;"|"&amp;161,$BA$11:$BA$4010,0)),""))</f>
        <v/>
      </c>
      <c r="S171" s="10" t="str">
        <f>IF(P171="","",IFERROR(INDEX($AP$11:$AP$4010,MATCH($S$8&amp;"|"&amp;161,$BA$11:$BA$4010,0)),""))</f>
        <v/>
      </c>
      <c r="T171" s="10" t="str">
        <f>IF(P171="","",IFERROR(INDEX($AQ$11:$AQ$4010,MATCH($S$8&amp;"|"&amp;161,$BA$11:$BA$4010,0)),""))</f>
        <v/>
      </c>
      <c r="U171" s="39" t="str">
        <f t="shared" ref="U171:U202" si="44">IF(P171="","",$S$8)</f>
        <v/>
      </c>
      <c r="W171" s="14" t="str">
        <f>IF(X171="","",IFERROR(INDEX($AL$11:$AL$4010,MATCH(161,$AY$11:$AY$4010,0)),""))</f>
        <v/>
      </c>
      <c r="X171" s="12" t="str">
        <f>IFERROR(INDEX($AM$11:$AM$4010,MATCH(161,$AY$11:$AY$4010,0)),"")</f>
        <v/>
      </c>
      <c r="Y171" s="11" t="str">
        <f>IF(X171="","",IFERROR(INDEX($AN$11:$AN$4010,MATCH(161,$AY$11:$AY$4010,0)),""))</f>
        <v/>
      </c>
      <c r="Z171" s="11" t="str">
        <f>IF(X171="","",IFERROR(INDEX($AO$11:$AO$4010,MATCH(161,$AY$11:$AY$4010,0)),""))</f>
        <v/>
      </c>
      <c r="AA171" s="10" t="str">
        <f>IF(X171="","",IFERROR(INDEX($AQ$11:$AQ$4010,MATCH(161,$AY$11:$AY$4010,0)),""))</f>
        <v/>
      </c>
      <c r="AB171" s="15" t="str">
        <f>IF(X171="","",IFERROR(INDEX($AR$11:$AR$4010,MATCH(161,$AY$11:$AY$4010,0)),""))</f>
        <v/>
      </c>
      <c r="AD171" s="16" t="str">
        <f>IF(AE171="","",IFERROR(INDEX($AL$11:$AL$4010,MATCH(161,$AZ$11:$AZ$4010,0)),""))</f>
        <v/>
      </c>
      <c r="AE171" s="12" t="str">
        <f>IFERROR(INDEX($AM$11:$AM$4010,MATCH(161,$AZ$11:$AZ$4010,0)),"")</f>
        <v/>
      </c>
      <c r="AF171" s="11" t="str">
        <f>IF(AE171="","",IFERROR(INDEX($AN$11:$AN$4010,MATCH(161,$AZ$11:$AZ$4010,0)),""))</f>
        <v/>
      </c>
      <c r="AG171" s="11" t="str">
        <f>IF(AE171="","",IFERROR(INDEX($AO$11:$AO$4010,MATCH(161,$AZ$11:$AZ$4010,0)),""))</f>
        <v/>
      </c>
      <c r="AH171" s="10" t="str">
        <f>IF(AE171="","",IFERROR(INDEX($AQ$11:$AQ$4010,MATCH(161,$AZ$11:$AZ$4010,0)),""))</f>
        <v/>
      </c>
      <c r="AI171" s="15" t="str">
        <f>IF(AE171="","",IFERROR(INDEX($AR$11:$AR$4010,MATCH(161,$AZ$11:$AZ$4010,0)),""))</f>
        <v/>
      </c>
      <c r="AJ171" s="15" t="str">
        <f>IF(AE171="","",IFERROR(INDEX($AT$11:$AT$4010,MATCH(161,$AZ$11:$AZ$4010,0)),""))</f>
        <v/>
      </c>
      <c r="AL171" s="17" t="str">
        <f t="shared" si="35"/>
        <v/>
      </c>
      <c r="AM171" s="12" t="str">
        <f t="shared" si="36"/>
        <v/>
      </c>
      <c r="AN171" s="18" t="str">
        <f t="shared" si="37"/>
        <v/>
      </c>
      <c r="AO171" s="18" t="str">
        <f t="shared" si="38"/>
        <v/>
      </c>
      <c r="AP171" s="10" t="str">
        <f t="shared" si="39"/>
        <v/>
      </c>
      <c r="AQ171" s="10" t="str">
        <f t="shared" si="40"/>
        <v/>
      </c>
      <c r="AR171" s="19" t="str">
        <f t="shared" si="41"/>
        <v/>
      </c>
      <c r="AS171" s="20"/>
      <c r="AT171" s="19"/>
      <c r="AV171" s="21">
        <f>IF(AND($AL171&lt;&gt;"",COUNTIF($AL$11:$AL171,$AL171)=1),1,0)</f>
        <v>0</v>
      </c>
      <c r="AW171" s="21">
        <f t="shared" si="43"/>
        <v>0</v>
      </c>
      <c r="AX171" s="21" t="str">
        <f t="shared" si="42"/>
        <v/>
      </c>
      <c r="AY171" s="21" t="str">
        <f>IF(AND($AM171&lt;&gt;"",$AS171&lt;&gt;"✓"),SUMPRODUCT(($AM$11:$AM171&lt;&gt;"")*($AS$11:$AS171&lt;&gt;"✓")),"")</f>
        <v/>
      </c>
      <c r="AZ171" s="21" t="str">
        <f>IF(AND($AM171&lt;&gt;"",$AS171="✓"),SUMPRODUCT(($AM$11:$AM171&lt;&gt;"")*($AS$11:$AS171="✓")),"")</f>
        <v/>
      </c>
      <c r="BA171" s="21" t="str">
        <f>IF($AL171="","",$AL171&amp;"|"&amp;COUNTIF($AL$11:$AL171,$AL171))</f>
        <v/>
      </c>
    </row>
    <row r="172" spans="2:53" ht="15" customHeight="1" x14ac:dyDescent="0.25">
      <c r="B172" s="5" t="str">
        <f t="shared" si="30"/>
        <v/>
      </c>
      <c r="C172" s="5"/>
      <c r="D172" s="5"/>
      <c r="E172" s="5"/>
      <c r="F172" s="6"/>
      <c r="G172" s="6"/>
      <c r="H172" s="7"/>
      <c r="I172" s="8"/>
      <c r="K172" s="23" t="str">
        <f>IFERROR(INDEX($AL$11:$AL$4010,MATCH(162,$AX$11:$AX$4010,0)),"")</f>
        <v/>
      </c>
      <c r="L172" s="24" t="str">
        <f t="shared" si="31"/>
        <v/>
      </c>
      <c r="M172" s="25" t="str">
        <f t="shared" si="32"/>
        <v/>
      </c>
      <c r="N172" s="25" t="str">
        <f t="shared" si="33"/>
        <v/>
      </c>
      <c r="P172" s="26" t="str">
        <f>IFERROR(INDEX($AM$11:$AM$4010,MATCH($S$8&amp;"|"&amp;162,$BA$11:$BA$4010,0)),"")</f>
        <v/>
      </c>
      <c r="Q172" s="25" t="str">
        <f>IF(P172="","",IFERROR(INDEX($AN$11:$AN$4010,MATCH($S$8&amp;"|"&amp;162,$BA$11:$BA$4010,0)),""))</f>
        <v/>
      </c>
      <c r="R172" s="25" t="str">
        <f>IF(P172="","",IFERROR(INDEX($AO$11:$AO$4010,MATCH($S$8&amp;"|"&amp;162,$BA$11:$BA$4010,0)),""))</f>
        <v/>
      </c>
      <c r="S172" s="24" t="str">
        <f>IF(P172="","",IFERROR(INDEX($AP$11:$AP$4010,MATCH($S$8&amp;"|"&amp;162,$BA$11:$BA$4010,0)),""))</f>
        <v/>
      </c>
      <c r="T172" s="24" t="str">
        <f>IF(P172="","",IFERROR(INDEX($AQ$11:$AQ$4010,MATCH($S$8&amp;"|"&amp;162,$BA$11:$BA$4010,0)),""))</f>
        <v/>
      </c>
      <c r="U172" s="38" t="str">
        <f t="shared" si="44"/>
        <v/>
      </c>
      <c r="W172" s="28" t="str">
        <f>IF(X172="","",IFERROR(INDEX($AL$11:$AL$4010,MATCH(162,$AY$11:$AY$4010,0)),""))</f>
        <v/>
      </c>
      <c r="X172" s="26" t="str">
        <f>IFERROR(INDEX($AM$11:$AM$4010,MATCH(162,$AY$11:$AY$4010,0)),"")</f>
        <v/>
      </c>
      <c r="Y172" s="25" t="str">
        <f>IF(X172="","",IFERROR(INDEX($AN$11:$AN$4010,MATCH(162,$AY$11:$AY$4010,0)),""))</f>
        <v/>
      </c>
      <c r="Z172" s="25" t="str">
        <f>IF(X172="","",IFERROR(INDEX($AO$11:$AO$4010,MATCH(162,$AY$11:$AY$4010,0)),""))</f>
        <v/>
      </c>
      <c r="AA172" s="24" t="str">
        <f>IF(X172="","",IFERROR(INDEX($AQ$11:$AQ$4010,MATCH(162,$AY$11:$AY$4010,0)),""))</f>
        <v/>
      </c>
      <c r="AB172" s="29" t="str">
        <f>IF(X172="","",IFERROR(INDEX($AR$11:$AR$4010,MATCH(162,$AY$11:$AY$4010,0)),""))</f>
        <v/>
      </c>
      <c r="AD172" s="30" t="str">
        <f>IF(AE172="","",IFERROR(INDEX($AL$11:$AL$4010,MATCH(162,$AZ$11:$AZ$4010,0)),""))</f>
        <v/>
      </c>
      <c r="AE172" s="26" t="str">
        <f>IFERROR(INDEX($AM$11:$AM$4010,MATCH(162,$AZ$11:$AZ$4010,0)),"")</f>
        <v/>
      </c>
      <c r="AF172" s="25" t="str">
        <f>IF(AE172="","",IFERROR(INDEX($AN$11:$AN$4010,MATCH(162,$AZ$11:$AZ$4010,0)),""))</f>
        <v/>
      </c>
      <c r="AG172" s="25" t="str">
        <f>IF(AE172="","",IFERROR(INDEX($AO$11:$AO$4010,MATCH(162,$AZ$11:$AZ$4010,0)),""))</f>
        <v/>
      </c>
      <c r="AH172" s="24" t="str">
        <f>IF(AE172="","",IFERROR(INDEX($AQ$11:$AQ$4010,MATCH(162,$AZ$11:$AZ$4010,0)),""))</f>
        <v/>
      </c>
      <c r="AI172" s="29" t="str">
        <f>IF(AE172="","",IFERROR(INDEX($AR$11:$AR$4010,MATCH(162,$AZ$11:$AZ$4010,0)),""))</f>
        <v/>
      </c>
      <c r="AJ172" s="29" t="str">
        <f>IF(AE172="","",IFERROR(INDEX($AT$11:$AT$4010,MATCH(162,$AZ$11:$AZ$4010,0)),""))</f>
        <v/>
      </c>
      <c r="AL172" s="31" t="str">
        <f t="shared" si="35"/>
        <v/>
      </c>
      <c r="AM172" s="26" t="str">
        <f t="shared" si="36"/>
        <v/>
      </c>
      <c r="AN172" s="32" t="str">
        <f t="shared" si="37"/>
        <v/>
      </c>
      <c r="AO172" s="32" t="str">
        <f t="shared" si="38"/>
        <v/>
      </c>
      <c r="AP172" s="24" t="str">
        <f t="shared" si="39"/>
        <v/>
      </c>
      <c r="AQ172" s="24" t="str">
        <f t="shared" si="40"/>
        <v/>
      </c>
      <c r="AR172" s="33" t="str">
        <f t="shared" si="41"/>
        <v/>
      </c>
      <c r="AS172" s="34"/>
      <c r="AT172" s="33"/>
      <c r="AV172" s="21">
        <f>IF(AND($AL172&lt;&gt;"",COUNTIF($AL$11:$AL172,$AL172)=1),1,0)</f>
        <v>0</v>
      </c>
      <c r="AW172" s="21">
        <f t="shared" si="43"/>
        <v>0</v>
      </c>
      <c r="AX172" s="21" t="str">
        <f t="shared" si="42"/>
        <v/>
      </c>
      <c r="AY172" s="21" t="str">
        <f>IF(AND($AM172&lt;&gt;"",$AS172&lt;&gt;"✓"),SUMPRODUCT(($AM$11:$AM172&lt;&gt;"")*($AS$11:$AS172&lt;&gt;"✓")),"")</f>
        <v/>
      </c>
      <c r="AZ172" s="21" t="str">
        <f>IF(AND($AM172&lt;&gt;"",$AS172="✓"),SUMPRODUCT(($AM$11:$AM172&lt;&gt;"")*($AS$11:$AS172="✓")),"")</f>
        <v/>
      </c>
      <c r="BA172" s="21" t="str">
        <f>IF($AL172="","",$AL172&amp;"|"&amp;COUNTIF($AL$11:$AL172,$AL172))</f>
        <v/>
      </c>
    </row>
    <row r="173" spans="2:53" ht="15" customHeight="1" x14ac:dyDescent="0.25">
      <c r="B173" s="5" t="str">
        <f t="shared" si="30"/>
        <v/>
      </c>
      <c r="C173" s="5"/>
      <c r="D173" s="5"/>
      <c r="E173" s="5"/>
      <c r="F173" s="6"/>
      <c r="G173" s="6"/>
      <c r="H173" s="7"/>
      <c r="I173" s="8"/>
      <c r="K173" s="9" t="str">
        <f>IFERROR(INDEX($AL$11:$AL$4010,MATCH(163,$AX$11:$AX$4010,0)),"")</f>
        <v/>
      </c>
      <c r="L173" s="10" t="str">
        <f t="shared" si="31"/>
        <v/>
      </c>
      <c r="M173" s="11" t="str">
        <f t="shared" si="32"/>
        <v/>
      </c>
      <c r="N173" s="11" t="str">
        <f t="shared" si="33"/>
        <v/>
      </c>
      <c r="P173" s="12" t="str">
        <f>IFERROR(INDEX($AM$11:$AM$4010,MATCH($S$8&amp;"|"&amp;163,$BA$11:$BA$4010,0)),"")</f>
        <v/>
      </c>
      <c r="Q173" s="11" t="str">
        <f>IF(P173="","",IFERROR(INDEX($AN$11:$AN$4010,MATCH($S$8&amp;"|"&amp;163,$BA$11:$BA$4010,0)),""))</f>
        <v/>
      </c>
      <c r="R173" s="11" t="str">
        <f>IF(P173="","",IFERROR(INDEX($AO$11:$AO$4010,MATCH($S$8&amp;"|"&amp;163,$BA$11:$BA$4010,0)),""))</f>
        <v/>
      </c>
      <c r="S173" s="10" t="str">
        <f>IF(P173="","",IFERROR(INDEX($AP$11:$AP$4010,MATCH($S$8&amp;"|"&amp;163,$BA$11:$BA$4010,0)),""))</f>
        <v/>
      </c>
      <c r="T173" s="10" t="str">
        <f>IF(P173="","",IFERROR(INDEX($AQ$11:$AQ$4010,MATCH($S$8&amp;"|"&amp;163,$BA$11:$BA$4010,0)),""))</f>
        <v/>
      </c>
      <c r="U173" s="39" t="str">
        <f t="shared" si="44"/>
        <v/>
      </c>
      <c r="W173" s="14" t="str">
        <f>IF(X173="","",IFERROR(INDEX($AL$11:$AL$4010,MATCH(163,$AY$11:$AY$4010,0)),""))</f>
        <v/>
      </c>
      <c r="X173" s="12" t="str">
        <f>IFERROR(INDEX($AM$11:$AM$4010,MATCH(163,$AY$11:$AY$4010,0)),"")</f>
        <v/>
      </c>
      <c r="Y173" s="11" t="str">
        <f>IF(X173="","",IFERROR(INDEX($AN$11:$AN$4010,MATCH(163,$AY$11:$AY$4010,0)),""))</f>
        <v/>
      </c>
      <c r="Z173" s="11" t="str">
        <f>IF(X173="","",IFERROR(INDEX($AO$11:$AO$4010,MATCH(163,$AY$11:$AY$4010,0)),""))</f>
        <v/>
      </c>
      <c r="AA173" s="10" t="str">
        <f>IF(X173="","",IFERROR(INDEX($AQ$11:$AQ$4010,MATCH(163,$AY$11:$AY$4010,0)),""))</f>
        <v/>
      </c>
      <c r="AB173" s="15" t="str">
        <f>IF(X173="","",IFERROR(INDEX($AR$11:$AR$4010,MATCH(163,$AY$11:$AY$4010,0)),""))</f>
        <v/>
      </c>
      <c r="AD173" s="16" t="str">
        <f>IF(AE173="","",IFERROR(INDEX($AL$11:$AL$4010,MATCH(163,$AZ$11:$AZ$4010,0)),""))</f>
        <v/>
      </c>
      <c r="AE173" s="12" t="str">
        <f>IFERROR(INDEX($AM$11:$AM$4010,MATCH(163,$AZ$11:$AZ$4010,0)),"")</f>
        <v/>
      </c>
      <c r="AF173" s="11" t="str">
        <f>IF(AE173="","",IFERROR(INDEX($AN$11:$AN$4010,MATCH(163,$AZ$11:$AZ$4010,0)),""))</f>
        <v/>
      </c>
      <c r="AG173" s="11" t="str">
        <f>IF(AE173="","",IFERROR(INDEX($AO$11:$AO$4010,MATCH(163,$AZ$11:$AZ$4010,0)),""))</f>
        <v/>
      </c>
      <c r="AH173" s="10" t="str">
        <f>IF(AE173="","",IFERROR(INDEX($AQ$11:$AQ$4010,MATCH(163,$AZ$11:$AZ$4010,0)),""))</f>
        <v/>
      </c>
      <c r="AI173" s="15" t="str">
        <f>IF(AE173="","",IFERROR(INDEX($AR$11:$AR$4010,MATCH(163,$AZ$11:$AZ$4010,0)),""))</f>
        <v/>
      </c>
      <c r="AJ173" s="15" t="str">
        <f>IF(AE173="","",IFERROR(INDEX($AT$11:$AT$4010,MATCH(163,$AZ$11:$AZ$4010,0)),""))</f>
        <v/>
      </c>
      <c r="AL173" s="17" t="str">
        <f t="shared" si="35"/>
        <v/>
      </c>
      <c r="AM173" s="12" t="str">
        <f t="shared" si="36"/>
        <v/>
      </c>
      <c r="AN173" s="18" t="str">
        <f t="shared" si="37"/>
        <v/>
      </c>
      <c r="AO173" s="18" t="str">
        <f t="shared" si="38"/>
        <v/>
      </c>
      <c r="AP173" s="10" t="str">
        <f t="shared" si="39"/>
        <v/>
      </c>
      <c r="AQ173" s="10" t="str">
        <f t="shared" si="40"/>
        <v/>
      </c>
      <c r="AR173" s="19" t="str">
        <f t="shared" si="41"/>
        <v/>
      </c>
      <c r="AS173" s="20"/>
      <c r="AT173" s="19"/>
      <c r="AV173" s="21">
        <f>IF(AND($AL173&lt;&gt;"",COUNTIF($AL$11:$AL173,$AL173)=1),1,0)</f>
        <v>0</v>
      </c>
      <c r="AW173" s="21">
        <f t="shared" si="43"/>
        <v>0</v>
      </c>
      <c r="AX173" s="21" t="str">
        <f t="shared" si="42"/>
        <v/>
      </c>
      <c r="AY173" s="21" t="str">
        <f>IF(AND($AM173&lt;&gt;"",$AS173&lt;&gt;"✓"),SUMPRODUCT(($AM$11:$AM173&lt;&gt;"")*($AS$11:$AS173&lt;&gt;"✓")),"")</f>
        <v/>
      </c>
      <c r="AZ173" s="21" t="str">
        <f>IF(AND($AM173&lt;&gt;"",$AS173="✓"),SUMPRODUCT(($AM$11:$AM173&lt;&gt;"")*($AS$11:$AS173="✓")),"")</f>
        <v/>
      </c>
      <c r="BA173" s="21" t="str">
        <f>IF($AL173="","",$AL173&amp;"|"&amp;COUNTIF($AL$11:$AL173,$AL173))</f>
        <v/>
      </c>
    </row>
    <row r="174" spans="2:53" ht="15" customHeight="1" x14ac:dyDescent="0.25">
      <c r="B174" s="5" t="str">
        <f t="shared" si="30"/>
        <v/>
      </c>
      <c r="C174" s="5"/>
      <c r="D174" s="5"/>
      <c r="E174" s="5"/>
      <c r="F174" s="6"/>
      <c r="G174" s="6"/>
      <c r="H174" s="7"/>
      <c r="I174" s="8"/>
      <c r="K174" s="23" t="str">
        <f>IFERROR(INDEX($AL$11:$AL$4010,MATCH(164,$AX$11:$AX$4010,0)),"")</f>
        <v/>
      </c>
      <c r="L174" s="24" t="str">
        <f t="shared" si="31"/>
        <v/>
      </c>
      <c r="M174" s="25" t="str">
        <f t="shared" si="32"/>
        <v/>
      </c>
      <c r="N174" s="25" t="str">
        <f t="shared" si="33"/>
        <v/>
      </c>
      <c r="P174" s="26" t="str">
        <f>IFERROR(INDEX($AM$11:$AM$4010,MATCH($S$8&amp;"|"&amp;164,$BA$11:$BA$4010,0)),"")</f>
        <v/>
      </c>
      <c r="Q174" s="25" t="str">
        <f>IF(P174="","",IFERROR(INDEX($AN$11:$AN$4010,MATCH($S$8&amp;"|"&amp;164,$BA$11:$BA$4010,0)),""))</f>
        <v/>
      </c>
      <c r="R174" s="25" t="str">
        <f>IF(P174="","",IFERROR(INDEX($AO$11:$AO$4010,MATCH($S$8&amp;"|"&amp;164,$BA$11:$BA$4010,0)),""))</f>
        <v/>
      </c>
      <c r="S174" s="24" t="str">
        <f>IF(P174="","",IFERROR(INDEX($AP$11:$AP$4010,MATCH($S$8&amp;"|"&amp;164,$BA$11:$BA$4010,0)),""))</f>
        <v/>
      </c>
      <c r="T174" s="24" t="str">
        <f>IF(P174="","",IFERROR(INDEX($AQ$11:$AQ$4010,MATCH($S$8&amp;"|"&amp;164,$BA$11:$BA$4010,0)),""))</f>
        <v/>
      </c>
      <c r="U174" s="38" t="str">
        <f t="shared" si="44"/>
        <v/>
      </c>
      <c r="W174" s="28" t="str">
        <f>IF(X174="","",IFERROR(INDEX($AL$11:$AL$4010,MATCH(164,$AY$11:$AY$4010,0)),""))</f>
        <v/>
      </c>
      <c r="X174" s="26" t="str">
        <f>IFERROR(INDEX($AM$11:$AM$4010,MATCH(164,$AY$11:$AY$4010,0)),"")</f>
        <v/>
      </c>
      <c r="Y174" s="25" t="str">
        <f>IF(X174="","",IFERROR(INDEX($AN$11:$AN$4010,MATCH(164,$AY$11:$AY$4010,0)),""))</f>
        <v/>
      </c>
      <c r="Z174" s="25" t="str">
        <f>IF(X174="","",IFERROR(INDEX($AO$11:$AO$4010,MATCH(164,$AY$11:$AY$4010,0)),""))</f>
        <v/>
      </c>
      <c r="AA174" s="24" t="str">
        <f>IF(X174="","",IFERROR(INDEX($AQ$11:$AQ$4010,MATCH(164,$AY$11:$AY$4010,0)),""))</f>
        <v/>
      </c>
      <c r="AB174" s="29" t="str">
        <f>IF(X174="","",IFERROR(INDEX($AR$11:$AR$4010,MATCH(164,$AY$11:$AY$4010,0)),""))</f>
        <v/>
      </c>
      <c r="AD174" s="30" t="str">
        <f>IF(AE174="","",IFERROR(INDEX($AL$11:$AL$4010,MATCH(164,$AZ$11:$AZ$4010,0)),""))</f>
        <v/>
      </c>
      <c r="AE174" s="26" t="str">
        <f>IFERROR(INDEX($AM$11:$AM$4010,MATCH(164,$AZ$11:$AZ$4010,0)),"")</f>
        <v/>
      </c>
      <c r="AF174" s="25" t="str">
        <f>IF(AE174="","",IFERROR(INDEX($AN$11:$AN$4010,MATCH(164,$AZ$11:$AZ$4010,0)),""))</f>
        <v/>
      </c>
      <c r="AG174" s="25" t="str">
        <f>IF(AE174="","",IFERROR(INDEX($AO$11:$AO$4010,MATCH(164,$AZ$11:$AZ$4010,0)),""))</f>
        <v/>
      </c>
      <c r="AH174" s="24" t="str">
        <f>IF(AE174="","",IFERROR(INDEX($AQ$11:$AQ$4010,MATCH(164,$AZ$11:$AZ$4010,0)),""))</f>
        <v/>
      </c>
      <c r="AI174" s="29" t="str">
        <f>IF(AE174="","",IFERROR(INDEX($AR$11:$AR$4010,MATCH(164,$AZ$11:$AZ$4010,0)),""))</f>
        <v/>
      </c>
      <c r="AJ174" s="29" t="str">
        <f>IF(AE174="","",IFERROR(INDEX($AT$11:$AT$4010,MATCH(164,$AZ$11:$AZ$4010,0)),""))</f>
        <v/>
      </c>
      <c r="AL174" s="31" t="str">
        <f t="shared" si="35"/>
        <v/>
      </c>
      <c r="AM174" s="26" t="str">
        <f t="shared" si="36"/>
        <v/>
      </c>
      <c r="AN174" s="32" t="str">
        <f t="shared" si="37"/>
        <v/>
      </c>
      <c r="AO174" s="32" t="str">
        <f t="shared" si="38"/>
        <v/>
      </c>
      <c r="AP174" s="24" t="str">
        <f t="shared" si="39"/>
        <v/>
      </c>
      <c r="AQ174" s="24" t="str">
        <f t="shared" si="40"/>
        <v/>
      </c>
      <c r="AR174" s="33" t="str">
        <f t="shared" si="41"/>
        <v/>
      </c>
      <c r="AS174" s="34"/>
      <c r="AT174" s="33"/>
      <c r="AV174" s="21">
        <f>IF(AND($AL174&lt;&gt;"",COUNTIF($AL$11:$AL174,$AL174)=1),1,0)</f>
        <v>0</v>
      </c>
      <c r="AW174" s="21">
        <f t="shared" si="43"/>
        <v>0</v>
      </c>
      <c r="AX174" s="21" t="str">
        <f t="shared" si="42"/>
        <v/>
      </c>
      <c r="AY174" s="21" t="str">
        <f>IF(AND($AM174&lt;&gt;"",$AS174&lt;&gt;"✓"),SUMPRODUCT(($AM$11:$AM174&lt;&gt;"")*($AS$11:$AS174&lt;&gt;"✓")),"")</f>
        <v/>
      </c>
      <c r="AZ174" s="21" t="str">
        <f>IF(AND($AM174&lt;&gt;"",$AS174="✓"),SUMPRODUCT(($AM$11:$AM174&lt;&gt;"")*($AS$11:$AS174="✓")),"")</f>
        <v/>
      </c>
      <c r="BA174" s="21" t="str">
        <f>IF($AL174="","",$AL174&amp;"|"&amp;COUNTIF($AL$11:$AL174,$AL174))</f>
        <v/>
      </c>
    </row>
    <row r="175" spans="2:53" ht="15" customHeight="1" x14ac:dyDescent="0.25">
      <c r="B175" s="5" t="str">
        <f t="shared" si="30"/>
        <v/>
      </c>
      <c r="C175" s="5"/>
      <c r="D175" s="5"/>
      <c r="E175" s="5"/>
      <c r="F175" s="6"/>
      <c r="G175" s="6"/>
      <c r="H175" s="7"/>
      <c r="I175" s="8"/>
      <c r="K175" s="9" t="str">
        <f>IFERROR(INDEX($AL$11:$AL$4010,MATCH(165,$AX$11:$AX$4010,0)),"")</f>
        <v/>
      </c>
      <c r="L175" s="10" t="str">
        <f t="shared" si="31"/>
        <v/>
      </c>
      <c r="M175" s="11" t="str">
        <f t="shared" si="32"/>
        <v/>
      </c>
      <c r="N175" s="11" t="str">
        <f t="shared" si="33"/>
        <v/>
      </c>
      <c r="P175" s="12" t="str">
        <f>IFERROR(INDEX($AM$11:$AM$4010,MATCH($S$8&amp;"|"&amp;165,$BA$11:$BA$4010,0)),"")</f>
        <v/>
      </c>
      <c r="Q175" s="11" t="str">
        <f>IF(P175="","",IFERROR(INDEX($AN$11:$AN$4010,MATCH($S$8&amp;"|"&amp;165,$BA$11:$BA$4010,0)),""))</f>
        <v/>
      </c>
      <c r="R175" s="11" t="str">
        <f>IF(P175="","",IFERROR(INDEX($AO$11:$AO$4010,MATCH($S$8&amp;"|"&amp;165,$BA$11:$BA$4010,0)),""))</f>
        <v/>
      </c>
      <c r="S175" s="10" t="str">
        <f>IF(P175="","",IFERROR(INDEX($AP$11:$AP$4010,MATCH($S$8&amp;"|"&amp;165,$BA$11:$BA$4010,0)),""))</f>
        <v/>
      </c>
      <c r="T175" s="10" t="str">
        <f>IF(P175="","",IFERROR(INDEX($AQ$11:$AQ$4010,MATCH($S$8&amp;"|"&amp;165,$BA$11:$BA$4010,0)),""))</f>
        <v/>
      </c>
      <c r="U175" s="39" t="str">
        <f t="shared" si="44"/>
        <v/>
      </c>
      <c r="W175" s="14" t="str">
        <f>IF(X175="","",IFERROR(INDEX($AL$11:$AL$4010,MATCH(165,$AY$11:$AY$4010,0)),""))</f>
        <v/>
      </c>
      <c r="X175" s="12" t="str">
        <f>IFERROR(INDEX($AM$11:$AM$4010,MATCH(165,$AY$11:$AY$4010,0)),"")</f>
        <v/>
      </c>
      <c r="Y175" s="11" t="str">
        <f>IF(X175="","",IFERROR(INDEX($AN$11:$AN$4010,MATCH(165,$AY$11:$AY$4010,0)),""))</f>
        <v/>
      </c>
      <c r="Z175" s="11" t="str">
        <f>IF(X175="","",IFERROR(INDEX($AO$11:$AO$4010,MATCH(165,$AY$11:$AY$4010,0)),""))</f>
        <v/>
      </c>
      <c r="AA175" s="10" t="str">
        <f>IF(X175="","",IFERROR(INDEX($AQ$11:$AQ$4010,MATCH(165,$AY$11:$AY$4010,0)),""))</f>
        <v/>
      </c>
      <c r="AB175" s="15" t="str">
        <f>IF(X175="","",IFERROR(INDEX($AR$11:$AR$4010,MATCH(165,$AY$11:$AY$4010,0)),""))</f>
        <v/>
      </c>
      <c r="AD175" s="16" t="str">
        <f>IF(AE175="","",IFERROR(INDEX($AL$11:$AL$4010,MATCH(165,$AZ$11:$AZ$4010,0)),""))</f>
        <v/>
      </c>
      <c r="AE175" s="12" t="str">
        <f>IFERROR(INDEX($AM$11:$AM$4010,MATCH(165,$AZ$11:$AZ$4010,0)),"")</f>
        <v/>
      </c>
      <c r="AF175" s="11" t="str">
        <f>IF(AE175="","",IFERROR(INDEX($AN$11:$AN$4010,MATCH(165,$AZ$11:$AZ$4010,0)),""))</f>
        <v/>
      </c>
      <c r="AG175" s="11" t="str">
        <f>IF(AE175="","",IFERROR(INDEX($AO$11:$AO$4010,MATCH(165,$AZ$11:$AZ$4010,0)),""))</f>
        <v/>
      </c>
      <c r="AH175" s="10" t="str">
        <f>IF(AE175="","",IFERROR(INDEX($AQ$11:$AQ$4010,MATCH(165,$AZ$11:$AZ$4010,0)),""))</f>
        <v/>
      </c>
      <c r="AI175" s="15" t="str">
        <f>IF(AE175="","",IFERROR(INDEX($AR$11:$AR$4010,MATCH(165,$AZ$11:$AZ$4010,0)),""))</f>
        <v/>
      </c>
      <c r="AJ175" s="15" t="str">
        <f>IF(AE175="","",IFERROR(INDEX($AT$11:$AT$4010,MATCH(165,$AZ$11:$AZ$4010,0)),""))</f>
        <v/>
      </c>
      <c r="AL175" s="17" t="str">
        <f t="shared" si="35"/>
        <v/>
      </c>
      <c r="AM175" s="12" t="str">
        <f t="shared" si="36"/>
        <v/>
      </c>
      <c r="AN175" s="18" t="str">
        <f t="shared" si="37"/>
        <v/>
      </c>
      <c r="AO175" s="18" t="str">
        <f t="shared" si="38"/>
        <v/>
      </c>
      <c r="AP175" s="10" t="str">
        <f t="shared" si="39"/>
        <v/>
      </c>
      <c r="AQ175" s="10" t="str">
        <f t="shared" si="40"/>
        <v/>
      </c>
      <c r="AR175" s="19" t="str">
        <f t="shared" si="41"/>
        <v/>
      </c>
      <c r="AS175" s="20"/>
      <c r="AT175" s="19"/>
      <c r="AV175" s="21">
        <f>IF(AND($AL175&lt;&gt;"",COUNTIF($AL$11:$AL175,$AL175)=1),1,0)</f>
        <v>0</v>
      </c>
      <c r="AW175" s="21">
        <f t="shared" si="43"/>
        <v>0</v>
      </c>
      <c r="AX175" s="21" t="str">
        <f t="shared" si="42"/>
        <v/>
      </c>
      <c r="AY175" s="21" t="str">
        <f>IF(AND($AM175&lt;&gt;"",$AS175&lt;&gt;"✓"),SUMPRODUCT(($AM$11:$AM175&lt;&gt;"")*($AS$11:$AS175&lt;&gt;"✓")),"")</f>
        <v/>
      </c>
      <c r="AZ175" s="21" t="str">
        <f>IF(AND($AM175&lt;&gt;"",$AS175="✓"),SUMPRODUCT(($AM$11:$AM175&lt;&gt;"")*($AS$11:$AS175="✓")),"")</f>
        <v/>
      </c>
      <c r="BA175" s="21" t="str">
        <f>IF($AL175="","",$AL175&amp;"|"&amp;COUNTIF($AL$11:$AL175,$AL175))</f>
        <v/>
      </c>
    </row>
    <row r="176" spans="2:53" ht="15" customHeight="1" x14ac:dyDescent="0.25">
      <c r="B176" s="5" t="str">
        <f t="shared" si="30"/>
        <v/>
      </c>
      <c r="C176" s="5"/>
      <c r="D176" s="5"/>
      <c r="E176" s="5"/>
      <c r="F176" s="6"/>
      <c r="G176" s="6"/>
      <c r="H176" s="7"/>
      <c r="I176" s="8"/>
      <c r="K176" s="23" t="str">
        <f>IFERROR(INDEX($AL$11:$AL$4010,MATCH(166,$AX$11:$AX$4010,0)),"")</f>
        <v/>
      </c>
      <c r="L176" s="24" t="str">
        <f t="shared" si="31"/>
        <v/>
      </c>
      <c r="M176" s="25" t="str">
        <f t="shared" si="32"/>
        <v/>
      </c>
      <c r="N176" s="25" t="str">
        <f t="shared" si="33"/>
        <v/>
      </c>
      <c r="P176" s="26" t="str">
        <f>IFERROR(INDEX($AM$11:$AM$4010,MATCH($S$8&amp;"|"&amp;166,$BA$11:$BA$4010,0)),"")</f>
        <v/>
      </c>
      <c r="Q176" s="25" t="str">
        <f>IF(P176="","",IFERROR(INDEX($AN$11:$AN$4010,MATCH($S$8&amp;"|"&amp;166,$BA$11:$BA$4010,0)),""))</f>
        <v/>
      </c>
      <c r="R176" s="25" t="str">
        <f>IF(P176="","",IFERROR(INDEX($AO$11:$AO$4010,MATCH($S$8&amp;"|"&amp;166,$BA$11:$BA$4010,0)),""))</f>
        <v/>
      </c>
      <c r="S176" s="24" t="str">
        <f>IF(P176="","",IFERROR(INDEX($AP$11:$AP$4010,MATCH($S$8&amp;"|"&amp;166,$BA$11:$BA$4010,0)),""))</f>
        <v/>
      </c>
      <c r="T176" s="24" t="str">
        <f>IF(P176="","",IFERROR(INDEX($AQ$11:$AQ$4010,MATCH($S$8&amp;"|"&amp;166,$BA$11:$BA$4010,0)),""))</f>
        <v/>
      </c>
      <c r="U176" s="38" t="str">
        <f t="shared" si="44"/>
        <v/>
      </c>
      <c r="W176" s="28" t="str">
        <f>IF(X176="","",IFERROR(INDEX($AL$11:$AL$4010,MATCH(166,$AY$11:$AY$4010,0)),""))</f>
        <v/>
      </c>
      <c r="X176" s="26" t="str">
        <f>IFERROR(INDEX($AM$11:$AM$4010,MATCH(166,$AY$11:$AY$4010,0)),"")</f>
        <v/>
      </c>
      <c r="Y176" s="25" t="str">
        <f>IF(X176="","",IFERROR(INDEX($AN$11:$AN$4010,MATCH(166,$AY$11:$AY$4010,0)),""))</f>
        <v/>
      </c>
      <c r="Z176" s="25" t="str">
        <f>IF(X176="","",IFERROR(INDEX($AO$11:$AO$4010,MATCH(166,$AY$11:$AY$4010,0)),""))</f>
        <v/>
      </c>
      <c r="AA176" s="24" t="str">
        <f>IF(X176="","",IFERROR(INDEX($AQ$11:$AQ$4010,MATCH(166,$AY$11:$AY$4010,0)),""))</f>
        <v/>
      </c>
      <c r="AB176" s="29" t="str">
        <f>IF(X176="","",IFERROR(INDEX($AR$11:$AR$4010,MATCH(166,$AY$11:$AY$4010,0)),""))</f>
        <v/>
      </c>
      <c r="AD176" s="30" t="str">
        <f>IF(AE176="","",IFERROR(INDEX($AL$11:$AL$4010,MATCH(166,$AZ$11:$AZ$4010,0)),""))</f>
        <v/>
      </c>
      <c r="AE176" s="26" t="str">
        <f>IFERROR(INDEX($AM$11:$AM$4010,MATCH(166,$AZ$11:$AZ$4010,0)),"")</f>
        <v/>
      </c>
      <c r="AF176" s="25" t="str">
        <f>IF(AE176="","",IFERROR(INDEX($AN$11:$AN$4010,MATCH(166,$AZ$11:$AZ$4010,0)),""))</f>
        <v/>
      </c>
      <c r="AG176" s="25" t="str">
        <f>IF(AE176="","",IFERROR(INDEX($AO$11:$AO$4010,MATCH(166,$AZ$11:$AZ$4010,0)),""))</f>
        <v/>
      </c>
      <c r="AH176" s="24" t="str">
        <f>IF(AE176="","",IFERROR(INDEX($AQ$11:$AQ$4010,MATCH(166,$AZ$11:$AZ$4010,0)),""))</f>
        <v/>
      </c>
      <c r="AI176" s="29" t="str">
        <f>IF(AE176="","",IFERROR(INDEX($AR$11:$AR$4010,MATCH(166,$AZ$11:$AZ$4010,0)),""))</f>
        <v/>
      </c>
      <c r="AJ176" s="29" t="str">
        <f>IF(AE176="","",IFERROR(INDEX($AT$11:$AT$4010,MATCH(166,$AZ$11:$AZ$4010,0)),""))</f>
        <v/>
      </c>
      <c r="AL176" s="31" t="str">
        <f t="shared" si="35"/>
        <v/>
      </c>
      <c r="AM176" s="26" t="str">
        <f t="shared" si="36"/>
        <v/>
      </c>
      <c r="AN176" s="32" t="str">
        <f t="shared" si="37"/>
        <v/>
      </c>
      <c r="AO176" s="32" t="str">
        <f t="shared" si="38"/>
        <v/>
      </c>
      <c r="AP176" s="24" t="str">
        <f t="shared" si="39"/>
        <v/>
      </c>
      <c r="AQ176" s="24" t="str">
        <f t="shared" si="40"/>
        <v/>
      </c>
      <c r="AR176" s="33" t="str">
        <f t="shared" si="41"/>
        <v/>
      </c>
      <c r="AS176" s="34"/>
      <c r="AT176" s="33"/>
      <c r="AV176" s="21">
        <f>IF(AND($AL176&lt;&gt;"",COUNTIF($AL$11:$AL176,$AL176)=1),1,0)</f>
        <v>0</v>
      </c>
      <c r="AW176" s="21">
        <f t="shared" si="43"/>
        <v>0</v>
      </c>
      <c r="AX176" s="21" t="str">
        <f t="shared" si="42"/>
        <v/>
      </c>
      <c r="AY176" s="21" t="str">
        <f>IF(AND($AM176&lt;&gt;"",$AS176&lt;&gt;"✓"),SUMPRODUCT(($AM$11:$AM176&lt;&gt;"")*($AS$11:$AS176&lt;&gt;"✓")),"")</f>
        <v/>
      </c>
      <c r="AZ176" s="21" t="str">
        <f>IF(AND($AM176&lt;&gt;"",$AS176="✓"),SUMPRODUCT(($AM$11:$AM176&lt;&gt;"")*($AS$11:$AS176="✓")),"")</f>
        <v/>
      </c>
      <c r="BA176" s="21" t="str">
        <f>IF($AL176="","",$AL176&amp;"|"&amp;COUNTIF($AL$11:$AL176,$AL176))</f>
        <v/>
      </c>
    </row>
    <row r="177" spans="2:53" ht="15" customHeight="1" x14ac:dyDescent="0.25">
      <c r="B177" s="5" t="str">
        <f t="shared" si="30"/>
        <v/>
      </c>
      <c r="C177" s="5"/>
      <c r="D177" s="5"/>
      <c r="E177" s="5"/>
      <c r="F177" s="6"/>
      <c r="G177" s="6"/>
      <c r="H177" s="7"/>
      <c r="I177" s="8"/>
      <c r="K177" s="9" t="str">
        <f>IFERROR(INDEX($AL$11:$AL$4010,MATCH(167,$AX$11:$AX$4010,0)),"")</f>
        <v/>
      </c>
      <c r="L177" s="10" t="str">
        <f t="shared" si="31"/>
        <v/>
      </c>
      <c r="M177" s="11" t="str">
        <f t="shared" si="32"/>
        <v/>
      </c>
      <c r="N177" s="11" t="str">
        <f t="shared" si="33"/>
        <v/>
      </c>
      <c r="P177" s="12" t="str">
        <f>IFERROR(INDEX($AM$11:$AM$4010,MATCH($S$8&amp;"|"&amp;167,$BA$11:$BA$4010,0)),"")</f>
        <v/>
      </c>
      <c r="Q177" s="11" t="str">
        <f>IF(P177="","",IFERROR(INDEX($AN$11:$AN$4010,MATCH($S$8&amp;"|"&amp;167,$BA$11:$BA$4010,0)),""))</f>
        <v/>
      </c>
      <c r="R177" s="11" t="str">
        <f>IF(P177="","",IFERROR(INDEX($AO$11:$AO$4010,MATCH($S$8&amp;"|"&amp;167,$BA$11:$BA$4010,0)),""))</f>
        <v/>
      </c>
      <c r="S177" s="10" t="str">
        <f>IF(P177="","",IFERROR(INDEX($AP$11:$AP$4010,MATCH($S$8&amp;"|"&amp;167,$BA$11:$BA$4010,0)),""))</f>
        <v/>
      </c>
      <c r="T177" s="10" t="str">
        <f>IF(P177="","",IFERROR(INDEX($AQ$11:$AQ$4010,MATCH($S$8&amp;"|"&amp;167,$BA$11:$BA$4010,0)),""))</f>
        <v/>
      </c>
      <c r="U177" s="39" t="str">
        <f t="shared" si="44"/>
        <v/>
      </c>
      <c r="W177" s="14" t="str">
        <f>IF(X177="","",IFERROR(INDEX($AL$11:$AL$4010,MATCH(167,$AY$11:$AY$4010,0)),""))</f>
        <v/>
      </c>
      <c r="X177" s="12" t="str">
        <f>IFERROR(INDEX($AM$11:$AM$4010,MATCH(167,$AY$11:$AY$4010,0)),"")</f>
        <v/>
      </c>
      <c r="Y177" s="11" t="str">
        <f>IF(X177="","",IFERROR(INDEX($AN$11:$AN$4010,MATCH(167,$AY$11:$AY$4010,0)),""))</f>
        <v/>
      </c>
      <c r="Z177" s="11" t="str">
        <f>IF(X177="","",IFERROR(INDEX($AO$11:$AO$4010,MATCH(167,$AY$11:$AY$4010,0)),""))</f>
        <v/>
      </c>
      <c r="AA177" s="10" t="str">
        <f>IF(X177="","",IFERROR(INDEX($AQ$11:$AQ$4010,MATCH(167,$AY$11:$AY$4010,0)),""))</f>
        <v/>
      </c>
      <c r="AB177" s="15" t="str">
        <f>IF(X177="","",IFERROR(INDEX($AR$11:$AR$4010,MATCH(167,$AY$11:$AY$4010,0)),""))</f>
        <v/>
      </c>
      <c r="AD177" s="16" t="str">
        <f>IF(AE177="","",IFERROR(INDEX($AL$11:$AL$4010,MATCH(167,$AZ$11:$AZ$4010,0)),""))</f>
        <v/>
      </c>
      <c r="AE177" s="12" t="str">
        <f>IFERROR(INDEX($AM$11:$AM$4010,MATCH(167,$AZ$11:$AZ$4010,0)),"")</f>
        <v/>
      </c>
      <c r="AF177" s="11" t="str">
        <f>IF(AE177="","",IFERROR(INDEX($AN$11:$AN$4010,MATCH(167,$AZ$11:$AZ$4010,0)),""))</f>
        <v/>
      </c>
      <c r="AG177" s="11" t="str">
        <f>IF(AE177="","",IFERROR(INDEX($AO$11:$AO$4010,MATCH(167,$AZ$11:$AZ$4010,0)),""))</f>
        <v/>
      </c>
      <c r="AH177" s="10" t="str">
        <f>IF(AE177="","",IFERROR(INDEX($AQ$11:$AQ$4010,MATCH(167,$AZ$11:$AZ$4010,0)),""))</f>
        <v/>
      </c>
      <c r="AI177" s="15" t="str">
        <f>IF(AE177="","",IFERROR(INDEX($AR$11:$AR$4010,MATCH(167,$AZ$11:$AZ$4010,0)),""))</f>
        <v/>
      </c>
      <c r="AJ177" s="15" t="str">
        <f>IF(AE177="","",IFERROR(INDEX($AT$11:$AT$4010,MATCH(167,$AZ$11:$AZ$4010,0)),""))</f>
        <v/>
      </c>
      <c r="AL177" s="17" t="str">
        <f t="shared" si="35"/>
        <v/>
      </c>
      <c r="AM177" s="12" t="str">
        <f t="shared" si="36"/>
        <v/>
      </c>
      <c r="AN177" s="18" t="str">
        <f t="shared" si="37"/>
        <v/>
      </c>
      <c r="AO177" s="18" t="str">
        <f t="shared" si="38"/>
        <v/>
      </c>
      <c r="AP177" s="10" t="str">
        <f t="shared" si="39"/>
        <v/>
      </c>
      <c r="AQ177" s="10" t="str">
        <f t="shared" si="40"/>
        <v/>
      </c>
      <c r="AR177" s="19" t="str">
        <f t="shared" si="41"/>
        <v/>
      </c>
      <c r="AS177" s="20"/>
      <c r="AT177" s="19"/>
      <c r="AV177" s="21">
        <f>IF(AND($AL177&lt;&gt;"",COUNTIF($AL$11:$AL177,$AL177)=1),1,0)</f>
        <v>0</v>
      </c>
      <c r="AW177" s="21">
        <f t="shared" si="43"/>
        <v>0</v>
      </c>
      <c r="AX177" s="21" t="str">
        <f t="shared" si="42"/>
        <v/>
      </c>
      <c r="AY177" s="21" t="str">
        <f>IF(AND($AM177&lt;&gt;"",$AS177&lt;&gt;"✓"),SUMPRODUCT(($AM$11:$AM177&lt;&gt;"")*($AS$11:$AS177&lt;&gt;"✓")),"")</f>
        <v/>
      </c>
      <c r="AZ177" s="21" t="str">
        <f>IF(AND($AM177&lt;&gt;"",$AS177="✓"),SUMPRODUCT(($AM$11:$AM177&lt;&gt;"")*($AS$11:$AS177="✓")),"")</f>
        <v/>
      </c>
      <c r="BA177" s="21" t="str">
        <f>IF($AL177="","",$AL177&amp;"|"&amp;COUNTIF($AL$11:$AL177,$AL177))</f>
        <v/>
      </c>
    </row>
    <row r="178" spans="2:53" ht="15" customHeight="1" x14ac:dyDescent="0.25">
      <c r="B178" s="5" t="str">
        <f t="shared" si="30"/>
        <v/>
      </c>
      <c r="C178" s="5"/>
      <c r="D178" s="5"/>
      <c r="E178" s="5"/>
      <c r="F178" s="6"/>
      <c r="G178" s="6"/>
      <c r="H178" s="7"/>
      <c r="I178" s="8"/>
      <c r="K178" s="23" t="str">
        <f>IFERROR(INDEX($AL$11:$AL$4010,MATCH(168,$AX$11:$AX$4010,0)),"")</f>
        <v/>
      </c>
      <c r="L178" s="24" t="str">
        <f t="shared" si="31"/>
        <v/>
      </c>
      <c r="M178" s="25" t="str">
        <f t="shared" si="32"/>
        <v/>
      </c>
      <c r="N178" s="25" t="str">
        <f t="shared" si="33"/>
        <v/>
      </c>
      <c r="P178" s="26" t="str">
        <f>IFERROR(INDEX($AM$11:$AM$4010,MATCH($S$8&amp;"|"&amp;168,$BA$11:$BA$4010,0)),"")</f>
        <v/>
      </c>
      <c r="Q178" s="25" t="str">
        <f>IF(P178="","",IFERROR(INDEX($AN$11:$AN$4010,MATCH($S$8&amp;"|"&amp;168,$BA$11:$BA$4010,0)),""))</f>
        <v/>
      </c>
      <c r="R178" s="25" t="str">
        <f>IF(P178="","",IFERROR(INDEX($AO$11:$AO$4010,MATCH($S$8&amp;"|"&amp;168,$BA$11:$BA$4010,0)),""))</f>
        <v/>
      </c>
      <c r="S178" s="24" t="str">
        <f>IF(P178="","",IFERROR(INDEX($AP$11:$AP$4010,MATCH($S$8&amp;"|"&amp;168,$BA$11:$BA$4010,0)),""))</f>
        <v/>
      </c>
      <c r="T178" s="24" t="str">
        <f>IF(P178="","",IFERROR(INDEX($AQ$11:$AQ$4010,MATCH($S$8&amp;"|"&amp;168,$BA$11:$BA$4010,0)),""))</f>
        <v/>
      </c>
      <c r="U178" s="38" t="str">
        <f t="shared" si="44"/>
        <v/>
      </c>
      <c r="W178" s="28" t="str">
        <f>IF(X178="","",IFERROR(INDEX($AL$11:$AL$4010,MATCH(168,$AY$11:$AY$4010,0)),""))</f>
        <v/>
      </c>
      <c r="X178" s="26" t="str">
        <f>IFERROR(INDEX($AM$11:$AM$4010,MATCH(168,$AY$11:$AY$4010,0)),"")</f>
        <v/>
      </c>
      <c r="Y178" s="25" t="str">
        <f>IF(X178="","",IFERROR(INDEX($AN$11:$AN$4010,MATCH(168,$AY$11:$AY$4010,0)),""))</f>
        <v/>
      </c>
      <c r="Z178" s="25" t="str">
        <f>IF(X178="","",IFERROR(INDEX($AO$11:$AO$4010,MATCH(168,$AY$11:$AY$4010,0)),""))</f>
        <v/>
      </c>
      <c r="AA178" s="24" t="str">
        <f>IF(X178="","",IFERROR(INDEX($AQ$11:$AQ$4010,MATCH(168,$AY$11:$AY$4010,0)),""))</f>
        <v/>
      </c>
      <c r="AB178" s="29" t="str">
        <f>IF(X178="","",IFERROR(INDEX($AR$11:$AR$4010,MATCH(168,$AY$11:$AY$4010,0)),""))</f>
        <v/>
      </c>
      <c r="AD178" s="30" t="str">
        <f>IF(AE178="","",IFERROR(INDEX($AL$11:$AL$4010,MATCH(168,$AZ$11:$AZ$4010,0)),""))</f>
        <v/>
      </c>
      <c r="AE178" s="26" t="str">
        <f>IFERROR(INDEX($AM$11:$AM$4010,MATCH(168,$AZ$11:$AZ$4010,0)),"")</f>
        <v/>
      </c>
      <c r="AF178" s="25" t="str">
        <f>IF(AE178="","",IFERROR(INDEX($AN$11:$AN$4010,MATCH(168,$AZ$11:$AZ$4010,0)),""))</f>
        <v/>
      </c>
      <c r="AG178" s="25" t="str">
        <f>IF(AE178="","",IFERROR(INDEX($AO$11:$AO$4010,MATCH(168,$AZ$11:$AZ$4010,0)),""))</f>
        <v/>
      </c>
      <c r="AH178" s="24" t="str">
        <f>IF(AE178="","",IFERROR(INDEX($AQ$11:$AQ$4010,MATCH(168,$AZ$11:$AZ$4010,0)),""))</f>
        <v/>
      </c>
      <c r="AI178" s="29" t="str">
        <f>IF(AE178="","",IFERROR(INDEX($AR$11:$AR$4010,MATCH(168,$AZ$11:$AZ$4010,0)),""))</f>
        <v/>
      </c>
      <c r="AJ178" s="29" t="str">
        <f>IF(AE178="","",IFERROR(INDEX($AT$11:$AT$4010,MATCH(168,$AZ$11:$AZ$4010,0)),""))</f>
        <v/>
      </c>
      <c r="AL178" s="31" t="str">
        <f t="shared" si="35"/>
        <v/>
      </c>
      <c r="AM178" s="26" t="str">
        <f t="shared" si="36"/>
        <v/>
      </c>
      <c r="AN178" s="32" t="str">
        <f t="shared" si="37"/>
        <v/>
      </c>
      <c r="AO178" s="32" t="str">
        <f t="shared" si="38"/>
        <v/>
      </c>
      <c r="AP178" s="24" t="str">
        <f t="shared" si="39"/>
        <v/>
      </c>
      <c r="AQ178" s="24" t="str">
        <f t="shared" si="40"/>
        <v/>
      </c>
      <c r="AR178" s="33" t="str">
        <f t="shared" si="41"/>
        <v/>
      </c>
      <c r="AS178" s="34"/>
      <c r="AT178" s="33"/>
      <c r="AV178" s="21">
        <f>IF(AND($AL178&lt;&gt;"",COUNTIF($AL$11:$AL178,$AL178)=1),1,0)</f>
        <v>0</v>
      </c>
      <c r="AW178" s="21">
        <f t="shared" si="43"/>
        <v>0</v>
      </c>
      <c r="AX178" s="21" t="str">
        <f t="shared" si="42"/>
        <v/>
      </c>
      <c r="AY178" s="21" t="str">
        <f>IF(AND($AM178&lt;&gt;"",$AS178&lt;&gt;"✓"),SUMPRODUCT(($AM$11:$AM178&lt;&gt;"")*($AS$11:$AS178&lt;&gt;"✓")),"")</f>
        <v/>
      </c>
      <c r="AZ178" s="21" t="str">
        <f>IF(AND($AM178&lt;&gt;"",$AS178="✓"),SUMPRODUCT(($AM$11:$AM178&lt;&gt;"")*($AS$11:$AS178="✓")),"")</f>
        <v/>
      </c>
      <c r="BA178" s="21" t="str">
        <f>IF($AL178="","",$AL178&amp;"|"&amp;COUNTIF($AL$11:$AL178,$AL178))</f>
        <v/>
      </c>
    </row>
    <row r="179" spans="2:53" ht="15" customHeight="1" x14ac:dyDescent="0.25">
      <c r="B179" s="5" t="str">
        <f t="shared" si="30"/>
        <v/>
      </c>
      <c r="C179" s="5"/>
      <c r="D179" s="5"/>
      <c r="E179" s="5"/>
      <c r="F179" s="6"/>
      <c r="G179" s="6"/>
      <c r="H179" s="7"/>
      <c r="I179" s="8"/>
      <c r="K179" s="9" t="str">
        <f>IFERROR(INDEX($AL$11:$AL$4010,MATCH(169,$AX$11:$AX$4010,0)),"")</f>
        <v/>
      </c>
      <c r="L179" s="10" t="str">
        <f t="shared" si="31"/>
        <v/>
      </c>
      <c r="M179" s="11" t="str">
        <f t="shared" si="32"/>
        <v/>
      </c>
      <c r="N179" s="11" t="str">
        <f t="shared" si="33"/>
        <v/>
      </c>
      <c r="P179" s="12" t="str">
        <f>IFERROR(INDEX($AM$11:$AM$4010,MATCH($S$8&amp;"|"&amp;169,$BA$11:$BA$4010,0)),"")</f>
        <v/>
      </c>
      <c r="Q179" s="11" t="str">
        <f>IF(P179="","",IFERROR(INDEX($AN$11:$AN$4010,MATCH($S$8&amp;"|"&amp;169,$BA$11:$BA$4010,0)),""))</f>
        <v/>
      </c>
      <c r="R179" s="11" t="str">
        <f>IF(P179="","",IFERROR(INDEX($AO$11:$AO$4010,MATCH($S$8&amp;"|"&amp;169,$BA$11:$BA$4010,0)),""))</f>
        <v/>
      </c>
      <c r="S179" s="10" t="str">
        <f>IF(P179="","",IFERROR(INDEX($AP$11:$AP$4010,MATCH($S$8&amp;"|"&amp;169,$BA$11:$BA$4010,0)),""))</f>
        <v/>
      </c>
      <c r="T179" s="10" t="str">
        <f>IF(P179="","",IFERROR(INDEX($AQ$11:$AQ$4010,MATCH($S$8&amp;"|"&amp;169,$BA$11:$BA$4010,0)),""))</f>
        <v/>
      </c>
      <c r="U179" s="39" t="str">
        <f t="shared" si="44"/>
        <v/>
      </c>
      <c r="W179" s="14" t="str">
        <f>IF(X179="","",IFERROR(INDEX($AL$11:$AL$4010,MATCH(169,$AY$11:$AY$4010,0)),""))</f>
        <v/>
      </c>
      <c r="X179" s="12" t="str">
        <f>IFERROR(INDEX($AM$11:$AM$4010,MATCH(169,$AY$11:$AY$4010,0)),"")</f>
        <v/>
      </c>
      <c r="Y179" s="11" t="str">
        <f>IF(X179="","",IFERROR(INDEX($AN$11:$AN$4010,MATCH(169,$AY$11:$AY$4010,0)),""))</f>
        <v/>
      </c>
      <c r="Z179" s="11" t="str">
        <f>IF(X179="","",IFERROR(INDEX($AO$11:$AO$4010,MATCH(169,$AY$11:$AY$4010,0)),""))</f>
        <v/>
      </c>
      <c r="AA179" s="10" t="str">
        <f>IF(X179="","",IFERROR(INDEX($AQ$11:$AQ$4010,MATCH(169,$AY$11:$AY$4010,0)),""))</f>
        <v/>
      </c>
      <c r="AB179" s="15" t="str">
        <f>IF(X179="","",IFERROR(INDEX($AR$11:$AR$4010,MATCH(169,$AY$11:$AY$4010,0)),""))</f>
        <v/>
      </c>
      <c r="AD179" s="16" t="str">
        <f>IF(AE179="","",IFERROR(INDEX($AL$11:$AL$4010,MATCH(169,$AZ$11:$AZ$4010,0)),""))</f>
        <v/>
      </c>
      <c r="AE179" s="12" t="str">
        <f>IFERROR(INDEX($AM$11:$AM$4010,MATCH(169,$AZ$11:$AZ$4010,0)),"")</f>
        <v/>
      </c>
      <c r="AF179" s="11" t="str">
        <f>IF(AE179="","",IFERROR(INDEX($AN$11:$AN$4010,MATCH(169,$AZ$11:$AZ$4010,0)),""))</f>
        <v/>
      </c>
      <c r="AG179" s="11" t="str">
        <f>IF(AE179="","",IFERROR(INDEX($AO$11:$AO$4010,MATCH(169,$AZ$11:$AZ$4010,0)),""))</f>
        <v/>
      </c>
      <c r="AH179" s="10" t="str">
        <f>IF(AE179="","",IFERROR(INDEX($AQ$11:$AQ$4010,MATCH(169,$AZ$11:$AZ$4010,0)),""))</f>
        <v/>
      </c>
      <c r="AI179" s="15" t="str">
        <f>IF(AE179="","",IFERROR(INDEX($AR$11:$AR$4010,MATCH(169,$AZ$11:$AZ$4010,0)),""))</f>
        <v/>
      </c>
      <c r="AJ179" s="15" t="str">
        <f>IF(AE179="","",IFERROR(INDEX($AT$11:$AT$4010,MATCH(169,$AZ$11:$AZ$4010,0)),""))</f>
        <v/>
      </c>
      <c r="AL179" s="17" t="str">
        <f t="shared" si="35"/>
        <v/>
      </c>
      <c r="AM179" s="12" t="str">
        <f t="shared" si="36"/>
        <v/>
      </c>
      <c r="AN179" s="18" t="str">
        <f t="shared" si="37"/>
        <v/>
      </c>
      <c r="AO179" s="18" t="str">
        <f t="shared" si="38"/>
        <v/>
      </c>
      <c r="AP179" s="10" t="str">
        <f t="shared" si="39"/>
        <v/>
      </c>
      <c r="AQ179" s="10" t="str">
        <f t="shared" si="40"/>
        <v/>
      </c>
      <c r="AR179" s="19" t="str">
        <f t="shared" si="41"/>
        <v/>
      </c>
      <c r="AS179" s="20"/>
      <c r="AT179" s="19"/>
      <c r="AV179" s="21">
        <f>IF(AND($AL179&lt;&gt;"",COUNTIF($AL$11:$AL179,$AL179)=1),1,0)</f>
        <v>0</v>
      </c>
      <c r="AW179" s="21">
        <f t="shared" si="43"/>
        <v>0</v>
      </c>
      <c r="AX179" s="21" t="str">
        <f t="shared" si="42"/>
        <v/>
      </c>
      <c r="AY179" s="21" t="str">
        <f>IF(AND($AM179&lt;&gt;"",$AS179&lt;&gt;"✓"),SUMPRODUCT(($AM$11:$AM179&lt;&gt;"")*($AS$11:$AS179&lt;&gt;"✓")),"")</f>
        <v/>
      </c>
      <c r="AZ179" s="21" t="str">
        <f>IF(AND($AM179&lt;&gt;"",$AS179="✓"),SUMPRODUCT(($AM$11:$AM179&lt;&gt;"")*($AS$11:$AS179="✓")),"")</f>
        <v/>
      </c>
      <c r="BA179" s="21" t="str">
        <f>IF($AL179="","",$AL179&amp;"|"&amp;COUNTIF($AL$11:$AL179,$AL179))</f>
        <v/>
      </c>
    </row>
    <row r="180" spans="2:53" ht="15" customHeight="1" x14ac:dyDescent="0.25">
      <c r="B180" s="5" t="str">
        <f t="shared" si="30"/>
        <v/>
      </c>
      <c r="C180" s="5"/>
      <c r="D180" s="5"/>
      <c r="E180" s="5"/>
      <c r="F180" s="6"/>
      <c r="G180" s="6"/>
      <c r="H180" s="7"/>
      <c r="I180" s="8"/>
      <c r="K180" s="23" t="str">
        <f>IFERROR(INDEX($AL$11:$AL$4010,MATCH(170,$AX$11:$AX$4010,0)),"")</f>
        <v/>
      </c>
      <c r="L180" s="24" t="str">
        <f t="shared" si="31"/>
        <v/>
      </c>
      <c r="M180" s="25" t="str">
        <f t="shared" si="32"/>
        <v/>
      </c>
      <c r="N180" s="25" t="str">
        <f t="shared" si="33"/>
        <v/>
      </c>
      <c r="P180" s="26" t="str">
        <f>IFERROR(INDEX($AM$11:$AM$4010,MATCH($S$8&amp;"|"&amp;170,$BA$11:$BA$4010,0)),"")</f>
        <v/>
      </c>
      <c r="Q180" s="25" t="str">
        <f>IF(P180="","",IFERROR(INDEX($AN$11:$AN$4010,MATCH($S$8&amp;"|"&amp;170,$BA$11:$BA$4010,0)),""))</f>
        <v/>
      </c>
      <c r="R180" s="25" t="str">
        <f>IF(P180="","",IFERROR(INDEX($AO$11:$AO$4010,MATCH($S$8&amp;"|"&amp;170,$BA$11:$BA$4010,0)),""))</f>
        <v/>
      </c>
      <c r="S180" s="24" t="str">
        <f>IF(P180="","",IFERROR(INDEX($AP$11:$AP$4010,MATCH($S$8&amp;"|"&amp;170,$BA$11:$BA$4010,0)),""))</f>
        <v/>
      </c>
      <c r="T180" s="24" t="str">
        <f>IF(P180="","",IFERROR(INDEX($AQ$11:$AQ$4010,MATCH($S$8&amp;"|"&amp;170,$BA$11:$BA$4010,0)),""))</f>
        <v/>
      </c>
      <c r="U180" s="38" t="str">
        <f t="shared" si="44"/>
        <v/>
      </c>
      <c r="W180" s="28" t="str">
        <f>IF(X180="","",IFERROR(INDEX($AL$11:$AL$4010,MATCH(170,$AY$11:$AY$4010,0)),""))</f>
        <v/>
      </c>
      <c r="X180" s="26" t="str">
        <f>IFERROR(INDEX($AM$11:$AM$4010,MATCH(170,$AY$11:$AY$4010,0)),"")</f>
        <v/>
      </c>
      <c r="Y180" s="25" t="str">
        <f>IF(X180="","",IFERROR(INDEX($AN$11:$AN$4010,MATCH(170,$AY$11:$AY$4010,0)),""))</f>
        <v/>
      </c>
      <c r="Z180" s="25" t="str">
        <f>IF(X180="","",IFERROR(INDEX($AO$11:$AO$4010,MATCH(170,$AY$11:$AY$4010,0)),""))</f>
        <v/>
      </c>
      <c r="AA180" s="24" t="str">
        <f>IF(X180="","",IFERROR(INDEX($AQ$11:$AQ$4010,MATCH(170,$AY$11:$AY$4010,0)),""))</f>
        <v/>
      </c>
      <c r="AB180" s="29" t="str">
        <f>IF(X180="","",IFERROR(INDEX($AR$11:$AR$4010,MATCH(170,$AY$11:$AY$4010,0)),""))</f>
        <v/>
      </c>
      <c r="AD180" s="30" t="str">
        <f>IF(AE180="","",IFERROR(INDEX($AL$11:$AL$4010,MATCH(170,$AZ$11:$AZ$4010,0)),""))</f>
        <v/>
      </c>
      <c r="AE180" s="26" t="str">
        <f>IFERROR(INDEX($AM$11:$AM$4010,MATCH(170,$AZ$11:$AZ$4010,0)),"")</f>
        <v/>
      </c>
      <c r="AF180" s="25" t="str">
        <f>IF(AE180="","",IFERROR(INDEX($AN$11:$AN$4010,MATCH(170,$AZ$11:$AZ$4010,0)),""))</f>
        <v/>
      </c>
      <c r="AG180" s="25" t="str">
        <f>IF(AE180="","",IFERROR(INDEX($AO$11:$AO$4010,MATCH(170,$AZ$11:$AZ$4010,0)),""))</f>
        <v/>
      </c>
      <c r="AH180" s="24" t="str">
        <f>IF(AE180="","",IFERROR(INDEX($AQ$11:$AQ$4010,MATCH(170,$AZ$11:$AZ$4010,0)),""))</f>
        <v/>
      </c>
      <c r="AI180" s="29" t="str">
        <f>IF(AE180="","",IFERROR(INDEX($AR$11:$AR$4010,MATCH(170,$AZ$11:$AZ$4010,0)),""))</f>
        <v/>
      </c>
      <c r="AJ180" s="29" t="str">
        <f>IF(AE180="","",IFERROR(INDEX($AT$11:$AT$4010,MATCH(170,$AZ$11:$AZ$4010,0)),""))</f>
        <v/>
      </c>
      <c r="AL180" s="31" t="str">
        <f t="shared" si="35"/>
        <v/>
      </c>
      <c r="AM180" s="26" t="str">
        <f t="shared" si="36"/>
        <v/>
      </c>
      <c r="AN180" s="32" t="str">
        <f t="shared" si="37"/>
        <v/>
      </c>
      <c r="AO180" s="32" t="str">
        <f t="shared" si="38"/>
        <v/>
      </c>
      <c r="AP180" s="24" t="str">
        <f t="shared" si="39"/>
        <v/>
      </c>
      <c r="AQ180" s="24" t="str">
        <f t="shared" si="40"/>
        <v/>
      </c>
      <c r="AR180" s="33" t="str">
        <f t="shared" si="41"/>
        <v/>
      </c>
      <c r="AS180" s="34"/>
      <c r="AT180" s="33"/>
      <c r="AV180" s="21">
        <f>IF(AND($AL180&lt;&gt;"",COUNTIF($AL$11:$AL180,$AL180)=1),1,0)</f>
        <v>0</v>
      </c>
      <c r="AW180" s="21">
        <f t="shared" si="43"/>
        <v>0</v>
      </c>
      <c r="AX180" s="21" t="str">
        <f t="shared" si="42"/>
        <v/>
      </c>
      <c r="AY180" s="21" t="str">
        <f>IF(AND($AM180&lt;&gt;"",$AS180&lt;&gt;"✓"),SUMPRODUCT(($AM$11:$AM180&lt;&gt;"")*($AS$11:$AS180&lt;&gt;"✓")),"")</f>
        <v/>
      </c>
      <c r="AZ180" s="21" t="str">
        <f>IF(AND($AM180&lt;&gt;"",$AS180="✓"),SUMPRODUCT(($AM$11:$AM180&lt;&gt;"")*($AS$11:$AS180="✓")),"")</f>
        <v/>
      </c>
      <c r="BA180" s="21" t="str">
        <f>IF($AL180="","",$AL180&amp;"|"&amp;COUNTIF($AL$11:$AL180,$AL180))</f>
        <v/>
      </c>
    </row>
    <row r="181" spans="2:53" ht="15" customHeight="1" x14ac:dyDescent="0.25">
      <c r="B181" s="5" t="str">
        <f t="shared" si="30"/>
        <v/>
      </c>
      <c r="C181" s="5"/>
      <c r="D181" s="5"/>
      <c r="E181" s="5"/>
      <c r="F181" s="6"/>
      <c r="G181" s="6"/>
      <c r="H181" s="7"/>
      <c r="I181" s="8"/>
      <c r="K181" s="9" t="str">
        <f>IFERROR(INDEX($AL$11:$AL$4010,MATCH(171,$AX$11:$AX$4010,0)),"")</f>
        <v/>
      </c>
      <c r="L181" s="10" t="str">
        <f t="shared" si="31"/>
        <v/>
      </c>
      <c r="M181" s="11" t="str">
        <f t="shared" si="32"/>
        <v/>
      </c>
      <c r="N181" s="11" t="str">
        <f t="shared" si="33"/>
        <v/>
      </c>
      <c r="P181" s="12" t="str">
        <f>IFERROR(INDEX($AM$11:$AM$4010,MATCH($S$8&amp;"|"&amp;171,$BA$11:$BA$4010,0)),"")</f>
        <v/>
      </c>
      <c r="Q181" s="11" t="str">
        <f>IF(P181="","",IFERROR(INDEX($AN$11:$AN$4010,MATCH($S$8&amp;"|"&amp;171,$BA$11:$BA$4010,0)),""))</f>
        <v/>
      </c>
      <c r="R181" s="11" t="str">
        <f>IF(P181="","",IFERROR(INDEX($AO$11:$AO$4010,MATCH($S$8&amp;"|"&amp;171,$BA$11:$BA$4010,0)),""))</f>
        <v/>
      </c>
      <c r="S181" s="10" t="str">
        <f>IF(P181="","",IFERROR(INDEX($AP$11:$AP$4010,MATCH($S$8&amp;"|"&amp;171,$BA$11:$BA$4010,0)),""))</f>
        <v/>
      </c>
      <c r="T181" s="10" t="str">
        <f>IF(P181="","",IFERROR(INDEX($AQ$11:$AQ$4010,MATCH($S$8&amp;"|"&amp;171,$BA$11:$BA$4010,0)),""))</f>
        <v/>
      </c>
      <c r="U181" s="39" t="str">
        <f t="shared" si="44"/>
        <v/>
      </c>
      <c r="W181" s="14" t="str">
        <f>IF(X181="","",IFERROR(INDEX($AL$11:$AL$4010,MATCH(171,$AY$11:$AY$4010,0)),""))</f>
        <v/>
      </c>
      <c r="X181" s="12" t="str">
        <f>IFERROR(INDEX($AM$11:$AM$4010,MATCH(171,$AY$11:$AY$4010,0)),"")</f>
        <v/>
      </c>
      <c r="Y181" s="11" t="str">
        <f>IF(X181="","",IFERROR(INDEX($AN$11:$AN$4010,MATCH(171,$AY$11:$AY$4010,0)),""))</f>
        <v/>
      </c>
      <c r="Z181" s="11" t="str">
        <f>IF(X181="","",IFERROR(INDEX($AO$11:$AO$4010,MATCH(171,$AY$11:$AY$4010,0)),""))</f>
        <v/>
      </c>
      <c r="AA181" s="10" t="str">
        <f>IF(X181="","",IFERROR(INDEX($AQ$11:$AQ$4010,MATCH(171,$AY$11:$AY$4010,0)),""))</f>
        <v/>
      </c>
      <c r="AB181" s="15" t="str">
        <f>IF(X181="","",IFERROR(INDEX($AR$11:$AR$4010,MATCH(171,$AY$11:$AY$4010,0)),""))</f>
        <v/>
      </c>
      <c r="AD181" s="16" t="str">
        <f>IF(AE181="","",IFERROR(INDEX($AL$11:$AL$4010,MATCH(171,$AZ$11:$AZ$4010,0)),""))</f>
        <v/>
      </c>
      <c r="AE181" s="12" t="str">
        <f>IFERROR(INDEX($AM$11:$AM$4010,MATCH(171,$AZ$11:$AZ$4010,0)),"")</f>
        <v/>
      </c>
      <c r="AF181" s="11" t="str">
        <f>IF(AE181="","",IFERROR(INDEX($AN$11:$AN$4010,MATCH(171,$AZ$11:$AZ$4010,0)),""))</f>
        <v/>
      </c>
      <c r="AG181" s="11" t="str">
        <f>IF(AE181="","",IFERROR(INDEX($AO$11:$AO$4010,MATCH(171,$AZ$11:$AZ$4010,0)),""))</f>
        <v/>
      </c>
      <c r="AH181" s="10" t="str">
        <f>IF(AE181="","",IFERROR(INDEX($AQ$11:$AQ$4010,MATCH(171,$AZ$11:$AZ$4010,0)),""))</f>
        <v/>
      </c>
      <c r="AI181" s="15" t="str">
        <f>IF(AE181="","",IFERROR(INDEX($AR$11:$AR$4010,MATCH(171,$AZ$11:$AZ$4010,0)),""))</f>
        <v/>
      </c>
      <c r="AJ181" s="15" t="str">
        <f>IF(AE181="","",IFERROR(INDEX($AT$11:$AT$4010,MATCH(171,$AZ$11:$AZ$4010,0)),""))</f>
        <v/>
      </c>
      <c r="AL181" s="17" t="str">
        <f t="shared" si="35"/>
        <v/>
      </c>
      <c r="AM181" s="12" t="str">
        <f t="shared" si="36"/>
        <v/>
      </c>
      <c r="AN181" s="18" t="str">
        <f t="shared" si="37"/>
        <v/>
      </c>
      <c r="AO181" s="18" t="str">
        <f t="shared" si="38"/>
        <v/>
      </c>
      <c r="AP181" s="10" t="str">
        <f t="shared" si="39"/>
        <v/>
      </c>
      <c r="AQ181" s="10" t="str">
        <f t="shared" si="40"/>
        <v/>
      </c>
      <c r="AR181" s="19" t="str">
        <f t="shared" si="41"/>
        <v/>
      </c>
      <c r="AS181" s="20"/>
      <c r="AT181" s="19"/>
      <c r="AV181" s="21">
        <f>IF(AND($AL181&lt;&gt;"",COUNTIF($AL$11:$AL181,$AL181)=1),1,0)</f>
        <v>0</v>
      </c>
      <c r="AW181" s="21">
        <f t="shared" si="43"/>
        <v>0</v>
      </c>
      <c r="AX181" s="21" t="str">
        <f t="shared" si="42"/>
        <v/>
      </c>
      <c r="AY181" s="21" t="str">
        <f>IF(AND($AM181&lt;&gt;"",$AS181&lt;&gt;"✓"),SUMPRODUCT(($AM$11:$AM181&lt;&gt;"")*($AS$11:$AS181&lt;&gt;"✓")),"")</f>
        <v/>
      </c>
      <c r="AZ181" s="21" t="str">
        <f>IF(AND($AM181&lt;&gt;"",$AS181="✓"),SUMPRODUCT(($AM$11:$AM181&lt;&gt;"")*($AS$11:$AS181="✓")),"")</f>
        <v/>
      </c>
      <c r="BA181" s="21" t="str">
        <f>IF($AL181="","",$AL181&amp;"|"&amp;COUNTIF($AL$11:$AL181,$AL181))</f>
        <v/>
      </c>
    </row>
    <row r="182" spans="2:53" ht="15" customHeight="1" x14ac:dyDescent="0.25">
      <c r="B182" s="5" t="str">
        <f t="shared" si="30"/>
        <v/>
      </c>
      <c r="C182" s="5"/>
      <c r="D182" s="5"/>
      <c r="E182" s="5"/>
      <c r="F182" s="6"/>
      <c r="G182" s="6"/>
      <c r="H182" s="7"/>
      <c r="I182" s="8"/>
      <c r="K182" s="23" t="str">
        <f>IFERROR(INDEX($AL$11:$AL$4010,MATCH(172,$AX$11:$AX$4010,0)),"")</f>
        <v/>
      </c>
      <c r="L182" s="24" t="str">
        <f t="shared" si="31"/>
        <v/>
      </c>
      <c r="M182" s="25" t="str">
        <f t="shared" si="32"/>
        <v/>
      </c>
      <c r="N182" s="25" t="str">
        <f t="shared" si="33"/>
        <v/>
      </c>
      <c r="P182" s="26" t="str">
        <f>IFERROR(INDEX($AM$11:$AM$4010,MATCH($S$8&amp;"|"&amp;172,$BA$11:$BA$4010,0)),"")</f>
        <v/>
      </c>
      <c r="Q182" s="25" t="str">
        <f>IF(P182="","",IFERROR(INDEX($AN$11:$AN$4010,MATCH($S$8&amp;"|"&amp;172,$BA$11:$BA$4010,0)),""))</f>
        <v/>
      </c>
      <c r="R182" s="25" t="str">
        <f>IF(P182="","",IFERROR(INDEX($AO$11:$AO$4010,MATCH($S$8&amp;"|"&amp;172,$BA$11:$BA$4010,0)),""))</f>
        <v/>
      </c>
      <c r="S182" s="24" t="str">
        <f>IF(P182="","",IFERROR(INDEX($AP$11:$AP$4010,MATCH($S$8&amp;"|"&amp;172,$BA$11:$BA$4010,0)),""))</f>
        <v/>
      </c>
      <c r="T182" s="24" t="str">
        <f>IF(P182="","",IFERROR(INDEX($AQ$11:$AQ$4010,MATCH($S$8&amp;"|"&amp;172,$BA$11:$BA$4010,0)),""))</f>
        <v/>
      </c>
      <c r="U182" s="38" t="str">
        <f t="shared" si="44"/>
        <v/>
      </c>
      <c r="W182" s="28" t="str">
        <f>IF(X182="","",IFERROR(INDEX($AL$11:$AL$4010,MATCH(172,$AY$11:$AY$4010,0)),""))</f>
        <v/>
      </c>
      <c r="X182" s="26" t="str">
        <f>IFERROR(INDEX($AM$11:$AM$4010,MATCH(172,$AY$11:$AY$4010,0)),"")</f>
        <v/>
      </c>
      <c r="Y182" s="25" t="str">
        <f>IF(X182="","",IFERROR(INDEX($AN$11:$AN$4010,MATCH(172,$AY$11:$AY$4010,0)),""))</f>
        <v/>
      </c>
      <c r="Z182" s="25" t="str">
        <f>IF(X182="","",IFERROR(INDEX($AO$11:$AO$4010,MATCH(172,$AY$11:$AY$4010,0)),""))</f>
        <v/>
      </c>
      <c r="AA182" s="24" t="str">
        <f>IF(X182="","",IFERROR(INDEX($AQ$11:$AQ$4010,MATCH(172,$AY$11:$AY$4010,0)),""))</f>
        <v/>
      </c>
      <c r="AB182" s="29" t="str">
        <f>IF(X182="","",IFERROR(INDEX($AR$11:$AR$4010,MATCH(172,$AY$11:$AY$4010,0)),""))</f>
        <v/>
      </c>
      <c r="AD182" s="30" t="str">
        <f>IF(AE182="","",IFERROR(INDEX($AL$11:$AL$4010,MATCH(172,$AZ$11:$AZ$4010,0)),""))</f>
        <v/>
      </c>
      <c r="AE182" s="26" t="str">
        <f>IFERROR(INDEX($AM$11:$AM$4010,MATCH(172,$AZ$11:$AZ$4010,0)),"")</f>
        <v/>
      </c>
      <c r="AF182" s="25" t="str">
        <f>IF(AE182="","",IFERROR(INDEX($AN$11:$AN$4010,MATCH(172,$AZ$11:$AZ$4010,0)),""))</f>
        <v/>
      </c>
      <c r="AG182" s="25" t="str">
        <f>IF(AE182="","",IFERROR(INDEX($AO$11:$AO$4010,MATCH(172,$AZ$11:$AZ$4010,0)),""))</f>
        <v/>
      </c>
      <c r="AH182" s="24" t="str">
        <f>IF(AE182="","",IFERROR(INDEX($AQ$11:$AQ$4010,MATCH(172,$AZ$11:$AZ$4010,0)),""))</f>
        <v/>
      </c>
      <c r="AI182" s="29" t="str">
        <f>IF(AE182="","",IFERROR(INDEX($AR$11:$AR$4010,MATCH(172,$AZ$11:$AZ$4010,0)),""))</f>
        <v/>
      </c>
      <c r="AJ182" s="29" t="str">
        <f>IF(AE182="","",IFERROR(INDEX($AT$11:$AT$4010,MATCH(172,$AZ$11:$AZ$4010,0)),""))</f>
        <v/>
      </c>
      <c r="AL182" s="31" t="str">
        <f t="shared" si="35"/>
        <v/>
      </c>
      <c r="AM182" s="26" t="str">
        <f t="shared" si="36"/>
        <v/>
      </c>
      <c r="AN182" s="32" t="str">
        <f t="shared" si="37"/>
        <v/>
      </c>
      <c r="AO182" s="32" t="str">
        <f t="shared" si="38"/>
        <v/>
      </c>
      <c r="AP182" s="24" t="str">
        <f t="shared" si="39"/>
        <v/>
      </c>
      <c r="AQ182" s="24" t="str">
        <f t="shared" si="40"/>
        <v/>
      </c>
      <c r="AR182" s="33" t="str">
        <f t="shared" si="41"/>
        <v/>
      </c>
      <c r="AS182" s="34"/>
      <c r="AT182" s="33"/>
      <c r="AV182" s="21">
        <f>IF(AND($AL182&lt;&gt;"",COUNTIF($AL$11:$AL182,$AL182)=1),1,0)</f>
        <v>0</v>
      </c>
      <c r="AW182" s="21">
        <f t="shared" si="43"/>
        <v>0</v>
      </c>
      <c r="AX182" s="21" t="str">
        <f t="shared" si="42"/>
        <v/>
      </c>
      <c r="AY182" s="21" t="str">
        <f>IF(AND($AM182&lt;&gt;"",$AS182&lt;&gt;"✓"),SUMPRODUCT(($AM$11:$AM182&lt;&gt;"")*($AS$11:$AS182&lt;&gt;"✓")),"")</f>
        <v/>
      </c>
      <c r="AZ182" s="21" t="str">
        <f>IF(AND($AM182&lt;&gt;"",$AS182="✓"),SUMPRODUCT(($AM$11:$AM182&lt;&gt;"")*($AS$11:$AS182="✓")),"")</f>
        <v/>
      </c>
      <c r="BA182" s="21" t="str">
        <f>IF($AL182="","",$AL182&amp;"|"&amp;COUNTIF($AL$11:$AL182,$AL182))</f>
        <v/>
      </c>
    </row>
    <row r="183" spans="2:53" ht="15" customHeight="1" x14ac:dyDescent="0.25">
      <c r="B183" s="5" t="str">
        <f t="shared" si="30"/>
        <v/>
      </c>
      <c r="C183" s="5"/>
      <c r="D183" s="5"/>
      <c r="E183" s="5"/>
      <c r="F183" s="6"/>
      <c r="G183" s="6"/>
      <c r="H183" s="7"/>
      <c r="I183" s="8"/>
      <c r="K183" s="9" t="str">
        <f>IFERROR(INDEX($AL$11:$AL$4010,MATCH(173,$AX$11:$AX$4010,0)),"")</f>
        <v/>
      </c>
      <c r="L183" s="10" t="str">
        <f t="shared" si="31"/>
        <v/>
      </c>
      <c r="M183" s="11" t="str">
        <f t="shared" si="32"/>
        <v/>
      </c>
      <c r="N183" s="11" t="str">
        <f t="shared" si="33"/>
        <v/>
      </c>
      <c r="P183" s="12" t="str">
        <f>IFERROR(INDEX($AM$11:$AM$4010,MATCH($S$8&amp;"|"&amp;173,$BA$11:$BA$4010,0)),"")</f>
        <v/>
      </c>
      <c r="Q183" s="11" t="str">
        <f>IF(P183="","",IFERROR(INDEX($AN$11:$AN$4010,MATCH($S$8&amp;"|"&amp;173,$BA$11:$BA$4010,0)),""))</f>
        <v/>
      </c>
      <c r="R183" s="11" t="str">
        <f>IF(P183="","",IFERROR(INDEX($AO$11:$AO$4010,MATCH($S$8&amp;"|"&amp;173,$BA$11:$BA$4010,0)),""))</f>
        <v/>
      </c>
      <c r="S183" s="10" t="str">
        <f>IF(P183="","",IFERROR(INDEX($AP$11:$AP$4010,MATCH($S$8&amp;"|"&amp;173,$BA$11:$BA$4010,0)),""))</f>
        <v/>
      </c>
      <c r="T183" s="10" t="str">
        <f>IF(P183="","",IFERROR(INDEX($AQ$11:$AQ$4010,MATCH($S$8&amp;"|"&amp;173,$BA$11:$BA$4010,0)),""))</f>
        <v/>
      </c>
      <c r="U183" s="39" t="str">
        <f t="shared" si="44"/>
        <v/>
      </c>
      <c r="W183" s="14" t="str">
        <f>IF(X183="","",IFERROR(INDEX($AL$11:$AL$4010,MATCH(173,$AY$11:$AY$4010,0)),""))</f>
        <v/>
      </c>
      <c r="X183" s="12" t="str">
        <f>IFERROR(INDEX($AM$11:$AM$4010,MATCH(173,$AY$11:$AY$4010,0)),"")</f>
        <v/>
      </c>
      <c r="Y183" s="11" t="str">
        <f>IF(X183="","",IFERROR(INDEX($AN$11:$AN$4010,MATCH(173,$AY$11:$AY$4010,0)),""))</f>
        <v/>
      </c>
      <c r="Z183" s="11" t="str">
        <f>IF(X183="","",IFERROR(INDEX($AO$11:$AO$4010,MATCH(173,$AY$11:$AY$4010,0)),""))</f>
        <v/>
      </c>
      <c r="AA183" s="10" t="str">
        <f>IF(X183="","",IFERROR(INDEX($AQ$11:$AQ$4010,MATCH(173,$AY$11:$AY$4010,0)),""))</f>
        <v/>
      </c>
      <c r="AB183" s="15" t="str">
        <f>IF(X183="","",IFERROR(INDEX($AR$11:$AR$4010,MATCH(173,$AY$11:$AY$4010,0)),""))</f>
        <v/>
      </c>
      <c r="AD183" s="16" t="str">
        <f>IF(AE183="","",IFERROR(INDEX($AL$11:$AL$4010,MATCH(173,$AZ$11:$AZ$4010,0)),""))</f>
        <v/>
      </c>
      <c r="AE183" s="12" t="str">
        <f>IFERROR(INDEX($AM$11:$AM$4010,MATCH(173,$AZ$11:$AZ$4010,0)),"")</f>
        <v/>
      </c>
      <c r="AF183" s="11" t="str">
        <f>IF(AE183="","",IFERROR(INDEX($AN$11:$AN$4010,MATCH(173,$AZ$11:$AZ$4010,0)),""))</f>
        <v/>
      </c>
      <c r="AG183" s="11" t="str">
        <f>IF(AE183="","",IFERROR(INDEX($AO$11:$AO$4010,MATCH(173,$AZ$11:$AZ$4010,0)),""))</f>
        <v/>
      </c>
      <c r="AH183" s="10" t="str">
        <f>IF(AE183="","",IFERROR(INDEX($AQ$11:$AQ$4010,MATCH(173,$AZ$11:$AZ$4010,0)),""))</f>
        <v/>
      </c>
      <c r="AI183" s="15" t="str">
        <f>IF(AE183="","",IFERROR(INDEX($AR$11:$AR$4010,MATCH(173,$AZ$11:$AZ$4010,0)),""))</f>
        <v/>
      </c>
      <c r="AJ183" s="15" t="str">
        <f>IF(AE183="","",IFERROR(INDEX($AT$11:$AT$4010,MATCH(173,$AZ$11:$AZ$4010,0)),""))</f>
        <v/>
      </c>
      <c r="AL183" s="17" t="str">
        <f t="shared" si="35"/>
        <v/>
      </c>
      <c r="AM183" s="12" t="str">
        <f t="shared" si="36"/>
        <v/>
      </c>
      <c r="AN183" s="18" t="str">
        <f t="shared" si="37"/>
        <v/>
      </c>
      <c r="AO183" s="18" t="str">
        <f t="shared" si="38"/>
        <v/>
      </c>
      <c r="AP183" s="10" t="str">
        <f t="shared" si="39"/>
        <v/>
      </c>
      <c r="AQ183" s="10" t="str">
        <f t="shared" si="40"/>
        <v/>
      </c>
      <c r="AR183" s="19" t="str">
        <f t="shared" si="41"/>
        <v/>
      </c>
      <c r="AS183" s="20"/>
      <c r="AT183" s="19"/>
      <c r="AV183" s="21">
        <f>IF(AND($AL183&lt;&gt;"",COUNTIF($AL$11:$AL183,$AL183)=1),1,0)</f>
        <v>0</v>
      </c>
      <c r="AW183" s="21">
        <f t="shared" si="43"/>
        <v>0</v>
      </c>
      <c r="AX183" s="21" t="str">
        <f t="shared" si="42"/>
        <v/>
      </c>
      <c r="AY183" s="21" t="str">
        <f>IF(AND($AM183&lt;&gt;"",$AS183&lt;&gt;"✓"),SUMPRODUCT(($AM$11:$AM183&lt;&gt;"")*($AS$11:$AS183&lt;&gt;"✓")),"")</f>
        <v/>
      </c>
      <c r="AZ183" s="21" t="str">
        <f>IF(AND($AM183&lt;&gt;"",$AS183="✓"),SUMPRODUCT(($AM$11:$AM183&lt;&gt;"")*($AS$11:$AS183="✓")),"")</f>
        <v/>
      </c>
      <c r="BA183" s="21" t="str">
        <f>IF($AL183="","",$AL183&amp;"|"&amp;COUNTIF($AL$11:$AL183,$AL183))</f>
        <v/>
      </c>
    </row>
    <row r="184" spans="2:53" ht="15" customHeight="1" x14ac:dyDescent="0.25">
      <c r="B184" s="5" t="str">
        <f t="shared" si="30"/>
        <v/>
      </c>
      <c r="C184" s="5"/>
      <c r="D184" s="5"/>
      <c r="E184" s="5"/>
      <c r="F184" s="6"/>
      <c r="G184" s="6"/>
      <c r="H184" s="7"/>
      <c r="I184" s="8"/>
      <c r="K184" s="23" t="str">
        <f>IFERROR(INDEX($AL$11:$AL$4010,MATCH(174,$AX$11:$AX$4010,0)),"")</f>
        <v/>
      </c>
      <c r="L184" s="24" t="str">
        <f t="shared" si="31"/>
        <v/>
      </c>
      <c r="M184" s="25" t="str">
        <f t="shared" si="32"/>
        <v/>
      </c>
      <c r="N184" s="25" t="str">
        <f t="shared" si="33"/>
        <v/>
      </c>
      <c r="P184" s="26" t="str">
        <f>IFERROR(INDEX($AM$11:$AM$4010,MATCH($S$8&amp;"|"&amp;174,$BA$11:$BA$4010,0)),"")</f>
        <v/>
      </c>
      <c r="Q184" s="25" t="str">
        <f>IF(P184="","",IFERROR(INDEX($AN$11:$AN$4010,MATCH($S$8&amp;"|"&amp;174,$BA$11:$BA$4010,0)),""))</f>
        <v/>
      </c>
      <c r="R184" s="25" t="str">
        <f>IF(P184="","",IFERROR(INDEX($AO$11:$AO$4010,MATCH($S$8&amp;"|"&amp;174,$BA$11:$BA$4010,0)),""))</f>
        <v/>
      </c>
      <c r="S184" s="24" t="str">
        <f>IF(P184="","",IFERROR(INDEX($AP$11:$AP$4010,MATCH($S$8&amp;"|"&amp;174,$BA$11:$BA$4010,0)),""))</f>
        <v/>
      </c>
      <c r="T184" s="24" t="str">
        <f>IF(P184="","",IFERROR(INDEX($AQ$11:$AQ$4010,MATCH($S$8&amp;"|"&amp;174,$BA$11:$BA$4010,0)),""))</f>
        <v/>
      </c>
      <c r="U184" s="38" t="str">
        <f t="shared" si="44"/>
        <v/>
      </c>
      <c r="W184" s="28" t="str">
        <f>IF(X184="","",IFERROR(INDEX($AL$11:$AL$4010,MATCH(174,$AY$11:$AY$4010,0)),""))</f>
        <v/>
      </c>
      <c r="X184" s="26" t="str">
        <f>IFERROR(INDEX($AM$11:$AM$4010,MATCH(174,$AY$11:$AY$4010,0)),"")</f>
        <v/>
      </c>
      <c r="Y184" s="25" t="str">
        <f>IF(X184="","",IFERROR(INDEX($AN$11:$AN$4010,MATCH(174,$AY$11:$AY$4010,0)),""))</f>
        <v/>
      </c>
      <c r="Z184" s="25" t="str">
        <f>IF(X184="","",IFERROR(INDEX($AO$11:$AO$4010,MATCH(174,$AY$11:$AY$4010,0)),""))</f>
        <v/>
      </c>
      <c r="AA184" s="24" t="str">
        <f>IF(X184="","",IFERROR(INDEX($AQ$11:$AQ$4010,MATCH(174,$AY$11:$AY$4010,0)),""))</f>
        <v/>
      </c>
      <c r="AB184" s="29" t="str">
        <f>IF(X184="","",IFERROR(INDEX($AR$11:$AR$4010,MATCH(174,$AY$11:$AY$4010,0)),""))</f>
        <v/>
      </c>
      <c r="AD184" s="30" t="str">
        <f>IF(AE184="","",IFERROR(INDEX($AL$11:$AL$4010,MATCH(174,$AZ$11:$AZ$4010,0)),""))</f>
        <v/>
      </c>
      <c r="AE184" s="26" t="str">
        <f>IFERROR(INDEX($AM$11:$AM$4010,MATCH(174,$AZ$11:$AZ$4010,0)),"")</f>
        <v/>
      </c>
      <c r="AF184" s="25" t="str">
        <f>IF(AE184="","",IFERROR(INDEX($AN$11:$AN$4010,MATCH(174,$AZ$11:$AZ$4010,0)),""))</f>
        <v/>
      </c>
      <c r="AG184" s="25" t="str">
        <f>IF(AE184="","",IFERROR(INDEX($AO$11:$AO$4010,MATCH(174,$AZ$11:$AZ$4010,0)),""))</f>
        <v/>
      </c>
      <c r="AH184" s="24" t="str">
        <f>IF(AE184="","",IFERROR(INDEX($AQ$11:$AQ$4010,MATCH(174,$AZ$11:$AZ$4010,0)),""))</f>
        <v/>
      </c>
      <c r="AI184" s="29" t="str">
        <f>IF(AE184="","",IFERROR(INDEX($AR$11:$AR$4010,MATCH(174,$AZ$11:$AZ$4010,0)),""))</f>
        <v/>
      </c>
      <c r="AJ184" s="29" t="str">
        <f>IF(AE184="","",IFERROR(INDEX($AT$11:$AT$4010,MATCH(174,$AZ$11:$AZ$4010,0)),""))</f>
        <v/>
      </c>
      <c r="AL184" s="31" t="str">
        <f t="shared" si="35"/>
        <v/>
      </c>
      <c r="AM184" s="26" t="str">
        <f t="shared" si="36"/>
        <v/>
      </c>
      <c r="AN184" s="32" t="str">
        <f t="shared" si="37"/>
        <v/>
      </c>
      <c r="AO184" s="32" t="str">
        <f t="shared" si="38"/>
        <v/>
      </c>
      <c r="AP184" s="24" t="str">
        <f t="shared" si="39"/>
        <v/>
      </c>
      <c r="AQ184" s="24" t="str">
        <f t="shared" si="40"/>
        <v/>
      </c>
      <c r="AR184" s="33" t="str">
        <f t="shared" si="41"/>
        <v/>
      </c>
      <c r="AS184" s="34"/>
      <c r="AT184" s="33"/>
      <c r="AV184" s="21">
        <f>IF(AND($AL184&lt;&gt;"",COUNTIF($AL$11:$AL184,$AL184)=1),1,0)</f>
        <v>0</v>
      </c>
      <c r="AW184" s="21">
        <f t="shared" si="43"/>
        <v>0</v>
      </c>
      <c r="AX184" s="21" t="str">
        <f t="shared" si="42"/>
        <v/>
      </c>
      <c r="AY184" s="21" t="str">
        <f>IF(AND($AM184&lt;&gt;"",$AS184&lt;&gt;"✓"),SUMPRODUCT(($AM$11:$AM184&lt;&gt;"")*($AS$11:$AS184&lt;&gt;"✓")),"")</f>
        <v/>
      </c>
      <c r="AZ184" s="21" t="str">
        <f>IF(AND($AM184&lt;&gt;"",$AS184="✓"),SUMPRODUCT(($AM$11:$AM184&lt;&gt;"")*($AS$11:$AS184="✓")),"")</f>
        <v/>
      </c>
      <c r="BA184" s="21" t="str">
        <f>IF($AL184="","",$AL184&amp;"|"&amp;COUNTIF($AL$11:$AL184,$AL184))</f>
        <v/>
      </c>
    </row>
    <row r="185" spans="2:53" ht="15" customHeight="1" x14ac:dyDescent="0.25">
      <c r="B185" s="5" t="str">
        <f t="shared" si="30"/>
        <v/>
      </c>
      <c r="C185" s="5"/>
      <c r="D185" s="5"/>
      <c r="E185" s="5"/>
      <c r="F185" s="6"/>
      <c r="G185" s="6"/>
      <c r="H185" s="7"/>
      <c r="I185" s="8"/>
      <c r="K185" s="9" t="str">
        <f>IFERROR(INDEX($AL$11:$AL$4010,MATCH(175,$AX$11:$AX$4010,0)),"")</f>
        <v/>
      </c>
      <c r="L185" s="10" t="str">
        <f t="shared" si="31"/>
        <v/>
      </c>
      <c r="M185" s="11" t="str">
        <f t="shared" si="32"/>
        <v/>
      </c>
      <c r="N185" s="11" t="str">
        <f t="shared" si="33"/>
        <v/>
      </c>
      <c r="P185" s="12" t="str">
        <f>IFERROR(INDEX($AM$11:$AM$4010,MATCH($S$8&amp;"|"&amp;175,$BA$11:$BA$4010,0)),"")</f>
        <v/>
      </c>
      <c r="Q185" s="11" t="str">
        <f>IF(P185="","",IFERROR(INDEX($AN$11:$AN$4010,MATCH($S$8&amp;"|"&amp;175,$BA$11:$BA$4010,0)),""))</f>
        <v/>
      </c>
      <c r="R185" s="11" t="str">
        <f>IF(P185="","",IFERROR(INDEX($AO$11:$AO$4010,MATCH($S$8&amp;"|"&amp;175,$BA$11:$BA$4010,0)),""))</f>
        <v/>
      </c>
      <c r="S185" s="10" t="str">
        <f>IF(P185="","",IFERROR(INDEX($AP$11:$AP$4010,MATCH($S$8&amp;"|"&amp;175,$BA$11:$BA$4010,0)),""))</f>
        <v/>
      </c>
      <c r="T185" s="10" t="str">
        <f>IF(P185="","",IFERROR(INDEX($AQ$11:$AQ$4010,MATCH($S$8&amp;"|"&amp;175,$BA$11:$BA$4010,0)),""))</f>
        <v/>
      </c>
      <c r="U185" s="39" t="str">
        <f t="shared" si="44"/>
        <v/>
      </c>
      <c r="W185" s="14" t="str">
        <f>IF(X185="","",IFERROR(INDEX($AL$11:$AL$4010,MATCH(175,$AY$11:$AY$4010,0)),""))</f>
        <v/>
      </c>
      <c r="X185" s="12" t="str">
        <f>IFERROR(INDEX($AM$11:$AM$4010,MATCH(175,$AY$11:$AY$4010,0)),"")</f>
        <v/>
      </c>
      <c r="Y185" s="11" t="str">
        <f>IF(X185="","",IFERROR(INDEX($AN$11:$AN$4010,MATCH(175,$AY$11:$AY$4010,0)),""))</f>
        <v/>
      </c>
      <c r="Z185" s="11" t="str">
        <f>IF(X185="","",IFERROR(INDEX($AO$11:$AO$4010,MATCH(175,$AY$11:$AY$4010,0)),""))</f>
        <v/>
      </c>
      <c r="AA185" s="10" t="str">
        <f>IF(X185="","",IFERROR(INDEX($AQ$11:$AQ$4010,MATCH(175,$AY$11:$AY$4010,0)),""))</f>
        <v/>
      </c>
      <c r="AB185" s="15" t="str">
        <f>IF(X185="","",IFERROR(INDEX($AR$11:$AR$4010,MATCH(175,$AY$11:$AY$4010,0)),""))</f>
        <v/>
      </c>
      <c r="AD185" s="16" t="str">
        <f>IF(AE185="","",IFERROR(INDEX($AL$11:$AL$4010,MATCH(175,$AZ$11:$AZ$4010,0)),""))</f>
        <v/>
      </c>
      <c r="AE185" s="12" t="str">
        <f>IFERROR(INDEX($AM$11:$AM$4010,MATCH(175,$AZ$11:$AZ$4010,0)),"")</f>
        <v/>
      </c>
      <c r="AF185" s="11" t="str">
        <f>IF(AE185="","",IFERROR(INDEX($AN$11:$AN$4010,MATCH(175,$AZ$11:$AZ$4010,0)),""))</f>
        <v/>
      </c>
      <c r="AG185" s="11" t="str">
        <f>IF(AE185="","",IFERROR(INDEX($AO$11:$AO$4010,MATCH(175,$AZ$11:$AZ$4010,0)),""))</f>
        <v/>
      </c>
      <c r="AH185" s="10" t="str">
        <f>IF(AE185="","",IFERROR(INDEX($AQ$11:$AQ$4010,MATCH(175,$AZ$11:$AZ$4010,0)),""))</f>
        <v/>
      </c>
      <c r="AI185" s="15" t="str">
        <f>IF(AE185="","",IFERROR(INDEX($AR$11:$AR$4010,MATCH(175,$AZ$11:$AZ$4010,0)),""))</f>
        <v/>
      </c>
      <c r="AJ185" s="15" t="str">
        <f>IF(AE185="","",IFERROR(INDEX($AT$11:$AT$4010,MATCH(175,$AZ$11:$AZ$4010,0)),""))</f>
        <v/>
      </c>
      <c r="AL185" s="17" t="str">
        <f t="shared" si="35"/>
        <v/>
      </c>
      <c r="AM185" s="12" t="str">
        <f t="shared" si="36"/>
        <v/>
      </c>
      <c r="AN185" s="18" t="str">
        <f t="shared" si="37"/>
        <v/>
      </c>
      <c r="AO185" s="18" t="str">
        <f t="shared" si="38"/>
        <v/>
      </c>
      <c r="AP185" s="10" t="str">
        <f t="shared" si="39"/>
        <v/>
      </c>
      <c r="AQ185" s="10" t="str">
        <f t="shared" si="40"/>
        <v/>
      </c>
      <c r="AR185" s="19" t="str">
        <f t="shared" si="41"/>
        <v/>
      </c>
      <c r="AS185" s="20"/>
      <c r="AT185" s="19"/>
      <c r="AV185" s="21">
        <f>IF(AND($AL185&lt;&gt;"",COUNTIF($AL$11:$AL185,$AL185)=1),1,0)</f>
        <v>0</v>
      </c>
      <c r="AW185" s="21">
        <f t="shared" si="43"/>
        <v>0</v>
      </c>
      <c r="AX185" s="21" t="str">
        <f t="shared" si="42"/>
        <v/>
      </c>
      <c r="AY185" s="21" t="str">
        <f>IF(AND($AM185&lt;&gt;"",$AS185&lt;&gt;"✓"),SUMPRODUCT(($AM$11:$AM185&lt;&gt;"")*($AS$11:$AS185&lt;&gt;"✓")),"")</f>
        <v/>
      </c>
      <c r="AZ185" s="21" t="str">
        <f>IF(AND($AM185&lt;&gt;"",$AS185="✓"),SUMPRODUCT(($AM$11:$AM185&lt;&gt;"")*($AS$11:$AS185="✓")),"")</f>
        <v/>
      </c>
      <c r="BA185" s="21" t="str">
        <f>IF($AL185="","",$AL185&amp;"|"&amp;COUNTIF($AL$11:$AL185,$AL185))</f>
        <v/>
      </c>
    </row>
    <row r="186" spans="2:53" ht="15" customHeight="1" x14ac:dyDescent="0.25">
      <c r="B186" s="5" t="str">
        <f t="shared" si="30"/>
        <v/>
      </c>
      <c r="C186" s="5"/>
      <c r="D186" s="5"/>
      <c r="E186" s="5"/>
      <c r="F186" s="6"/>
      <c r="G186" s="6"/>
      <c r="H186" s="7"/>
      <c r="I186" s="8"/>
      <c r="K186" s="23" t="str">
        <f>IFERROR(INDEX($AL$11:$AL$4010,MATCH(176,$AX$11:$AX$4010,0)),"")</f>
        <v/>
      </c>
      <c r="L186" s="24" t="str">
        <f t="shared" si="31"/>
        <v/>
      </c>
      <c r="M186" s="25" t="str">
        <f t="shared" si="32"/>
        <v/>
      </c>
      <c r="N186" s="25" t="str">
        <f t="shared" si="33"/>
        <v/>
      </c>
      <c r="P186" s="26" t="str">
        <f>IFERROR(INDEX($AM$11:$AM$4010,MATCH($S$8&amp;"|"&amp;176,$BA$11:$BA$4010,0)),"")</f>
        <v/>
      </c>
      <c r="Q186" s="25" t="str">
        <f>IF(P186="","",IFERROR(INDEX($AN$11:$AN$4010,MATCH($S$8&amp;"|"&amp;176,$BA$11:$BA$4010,0)),""))</f>
        <v/>
      </c>
      <c r="R186" s="25" t="str">
        <f>IF(P186="","",IFERROR(INDEX($AO$11:$AO$4010,MATCH($S$8&amp;"|"&amp;176,$BA$11:$BA$4010,0)),""))</f>
        <v/>
      </c>
      <c r="S186" s="24" t="str">
        <f>IF(P186="","",IFERROR(INDEX($AP$11:$AP$4010,MATCH($S$8&amp;"|"&amp;176,$BA$11:$BA$4010,0)),""))</f>
        <v/>
      </c>
      <c r="T186" s="24" t="str">
        <f>IF(P186="","",IFERROR(INDEX($AQ$11:$AQ$4010,MATCH($S$8&amp;"|"&amp;176,$BA$11:$BA$4010,0)),""))</f>
        <v/>
      </c>
      <c r="U186" s="38" t="str">
        <f t="shared" si="44"/>
        <v/>
      </c>
      <c r="W186" s="28" t="str">
        <f>IF(X186="","",IFERROR(INDEX($AL$11:$AL$4010,MATCH(176,$AY$11:$AY$4010,0)),""))</f>
        <v/>
      </c>
      <c r="X186" s="26" t="str">
        <f>IFERROR(INDEX($AM$11:$AM$4010,MATCH(176,$AY$11:$AY$4010,0)),"")</f>
        <v/>
      </c>
      <c r="Y186" s="25" t="str">
        <f>IF(X186="","",IFERROR(INDEX($AN$11:$AN$4010,MATCH(176,$AY$11:$AY$4010,0)),""))</f>
        <v/>
      </c>
      <c r="Z186" s="25" t="str">
        <f>IF(X186="","",IFERROR(INDEX($AO$11:$AO$4010,MATCH(176,$AY$11:$AY$4010,0)),""))</f>
        <v/>
      </c>
      <c r="AA186" s="24" t="str">
        <f>IF(X186="","",IFERROR(INDEX($AQ$11:$AQ$4010,MATCH(176,$AY$11:$AY$4010,0)),""))</f>
        <v/>
      </c>
      <c r="AB186" s="29" t="str">
        <f>IF(X186="","",IFERROR(INDEX($AR$11:$AR$4010,MATCH(176,$AY$11:$AY$4010,0)),""))</f>
        <v/>
      </c>
      <c r="AD186" s="30" t="str">
        <f>IF(AE186="","",IFERROR(INDEX($AL$11:$AL$4010,MATCH(176,$AZ$11:$AZ$4010,0)),""))</f>
        <v/>
      </c>
      <c r="AE186" s="26" t="str">
        <f>IFERROR(INDEX($AM$11:$AM$4010,MATCH(176,$AZ$11:$AZ$4010,0)),"")</f>
        <v/>
      </c>
      <c r="AF186" s="25" t="str">
        <f>IF(AE186="","",IFERROR(INDEX($AN$11:$AN$4010,MATCH(176,$AZ$11:$AZ$4010,0)),""))</f>
        <v/>
      </c>
      <c r="AG186" s="25" t="str">
        <f>IF(AE186="","",IFERROR(INDEX($AO$11:$AO$4010,MATCH(176,$AZ$11:$AZ$4010,0)),""))</f>
        <v/>
      </c>
      <c r="AH186" s="24" t="str">
        <f>IF(AE186="","",IFERROR(INDEX($AQ$11:$AQ$4010,MATCH(176,$AZ$11:$AZ$4010,0)),""))</f>
        <v/>
      </c>
      <c r="AI186" s="29" t="str">
        <f>IF(AE186="","",IFERROR(INDEX($AR$11:$AR$4010,MATCH(176,$AZ$11:$AZ$4010,0)),""))</f>
        <v/>
      </c>
      <c r="AJ186" s="29" t="str">
        <f>IF(AE186="","",IFERROR(INDEX($AT$11:$AT$4010,MATCH(176,$AZ$11:$AZ$4010,0)),""))</f>
        <v/>
      </c>
      <c r="AL186" s="31" t="str">
        <f t="shared" si="35"/>
        <v/>
      </c>
      <c r="AM186" s="26" t="str">
        <f t="shared" si="36"/>
        <v/>
      </c>
      <c r="AN186" s="32" t="str">
        <f t="shared" si="37"/>
        <v/>
      </c>
      <c r="AO186" s="32" t="str">
        <f t="shared" si="38"/>
        <v/>
      </c>
      <c r="AP186" s="24" t="str">
        <f t="shared" si="39"/>
        <v/>
      </c>
      <c r="AQ186" s="24" t="str">
        <f t="shared" si="40"/>
        <v/>
      </c>
      <c r="AR186" s="33" t="str">
        <f t="shared" si="41"/>
        <v/>
      </c>
      <c r="AS186" s="34"/>
      <c r="AT186" s="33"/>
      <c r="AV186" s="21">
        <f>IF(AND($AL186&lt;&gt;"",COUNTIF($AL$11:$AL186,$AL186)=1),1,0)</f>
        <v>0</v>
      </c>
      <c r="AW186" s="21">
        <f t="shared" si="43"/>
        <v>0</v>
      </c>
      <c r="AX186" s="21" t="str">
        <f t="shared" si="42"/>
        <v/>
      </c>
      <c r="AY186" s="21" t="str">
        <f>IF(AND($AM186&lt;&gt;"",$AS186&lt;&gt;"✓"),SUMPRODUCT(($AM$11:$AM186&lt;&gt;"")*($AS$11:$AS186&lt;&gt;"✓")),"")</f>
        <v/>
      </c>
      <c r="AZ186" s="21" t="str">
        <f>IF(AND($AM186&lt;&gt;"",$AS186="✓"),SUMPRODUCT(($AM$11:$AM186&lt;&gt;"")*($AS$11:$AS186="✓")),"")</f>
        <v/>
      </c>
      <c r="BA186" s="21" t="str">
        <f>IF($AL186="","",$AL186&amp;"|"&amp;COUNTIF($AL$11:$AL186,$AL186))</f>
        <v/>
      </c>
    </row>
    <row r="187" spans="2:53" ht="15" customHeight="1" x14ac:dyDescent="0.25">
      <c r="B187" s="5" t="str">
        <f t="shared" si="30"/>
        <v/>
      </c>
      <c r="C187" s="5"/>
      <c r="D187" s="5"/>
      <c r="E187" s="5"/>
      <c r="F187" s="6"/>
      <c r="G187" s="6"/>
      <c r="H187" s="7"/>
      <c r="I187" s="8"/>
      <c r="K187" s="9" t="str">
        <f>IFERROR(INDEX($AL$11:$AL$4010,MATCH(177,$AX$11:$AX$4010,0)),"")</f>
        <v/>
      </c>
      <c r="L187" s="10" t="str">
        <f t="shared" si="31"/>
        <v/>
      </c>
      <c r="M187" s="11" t="str">
        <f t="shared" si="32"/>
        <v/>
      </c>
      <c r="N187" s="11" t="str">
        <f t="shared" si="33"/>
        <v/>
      </c>
      <c r="P187" s="12" t="str">
        <f>IFERROR(INDEX($AM$11:$AM$4010,MATCH($S$8&amp;"|"&amp;177,$BA$11:$BA$4010,0)),"")</f>
        <v/>
      </c>
      <c r="Q187" s="11" t="str">
        <f>IF(P187="","",IFERROR(INDEX($AN$11:$AN$4010,MATCH($S$8&amp;"|"&amp;177,$BA$11:$BA$4010,0)),""))</f>
        <v/>
      </c>
      <c r="R187" s="11" t="str">
        <f>IF(P187="","",IFERROR(INDEX($AO$11:$AO$4010,MATCH($S$8&amp;"|"&amp;177,$BA$11:$BA$4010,0)),""))</f>
        <v/>
      </c>
      <c r="S187" s="10" t="str">
        <f>IF(P187="","",IFERROR(INDEX($AP$11:$AP$4010,MATCH($S$8&amp;"|"&amp;177,$BA$11:$BA$4010,0)),""))</f>
        <v/>
      </c>
      <c r="T187" s="10" t="str">
        <f>IF(P187="","",IFERROR(INDEX($AQ$11:$AQ$4010,MATCH($S$8&amp;"|"&amp;177,$BA$11:$BA$4010,0)),""))</f>
        <v/>
      </c>
      <c r="U187" s="39" t="str">
        <f t="shared" si="44"/>
        <v/>
      </c>
      <c r="W187" s="14" t="str">
        <f>IF(X187="","",IFERROR(INDEX($AL$11:$AL$4010,MATCH(177,$AY$11:$AY$4010,0)),""))</f>
        <v/>
      </c>
      <c r="X187" s="12" t="str">
        <f>IFERROR(INDEX($AM$11:$AM$4010,MATCH(177,$AY$11:$AY$4010,0)),"")</f>
        <v/>
      </c>
      <c r="Y187" s="11" t="str">
        <f>IF(X187="","",IFERROR(INDEX($AN$11:$AN$4010,MATCH(177,$AY$11:$AY$4010,0)),""))</f>
        <v/>
      </c>
      <c r="Z187" s="11" t="str">
        <f>IF(X187="","",IFERROR(INDEX($AO$11:$AO$4010,MATCH(177,$AY$11:$AY$4010,0)),""))</f>
        <v/>
      </c>
      <c r="AA187" s="10" t="str">
        <f>IF(X187="","",IFERROR(INDEX($AQ$11:$AQ$4010,MATCH(177,$AY$11:$AY$4010,0)),""))</f>
        <v/>
      </c>
      <c r="AB187" s="15" t="str">
        <f>IF(X187="","",IFERROR(INDEX($AR$11:$AR$4010,MATCH(177,$AY$11:$AY$4010,0)),""))</f>
        <v/>
      </c>
      <c r="AD187" s="16" t="str">
        <f>IF(AE187="","",IFERROR(INDEX($AL$11:$AL$4010,MATCH(177,$AZ$11:$AZ$4010,0)),""))</f>
        <v/>
      </c>
      <c r="AE187" s="12" t="str">
        <f>IFERROR(INDEX($AM$11:$AM$4010,MATCH(177,$AZ$11:$AZ$4010,0)),"")</f>
        <v/>
      </c>
      <c r="AF187" s="11" t="str">
        <f>IF(AE187="","",IFERROR(INDEX($AN$11:$AN$4010,MATCH(177,$AZ$11:$AZ$4010,0)),""))</f>
        <v/>
      </c>
      <c r="AG187" s="11" t="str">
        <f>IF(AE187="","",IFERROR(INDEX($AO$11:$AO$4010,MATCH(177,$AZ$11:$AZ$4010,0)),""))</f>
        <v/>
      </c>
      <c r="AH187" s="10" t="str">
        <f>IF(AE187="","",IFERROR(INDEX($AQ$11:$AQ$4010,MATCH(177,$AZ$11:$AZ$4010,0)),""))</f>
        <v/>
      </c>
      <c r="AI187" s="15" t="str">
        <f>IF(AE187="","",IFERROR(INDEX($AR$11:$AR$4010,MATCH(177,$AZ$11:$AZ$4010,0)),""))</f>
        <v/>
      </c>
      <c r="AJ187" s="15" t="str">
        <f>IF(AE187="","",IFERROR(INDEX($AT$11:$AT$4010,MATCH(177,$AZ$11:$AZ$4010,0)),""))</f>
        <v/>
      </c>
      <c r="AL187" s="17" t="str">
        <f t="shared" si="35"/>
        <v/>
      </c>
      <c r="AM187" s="12" t="str">
        <f t="shared" si="36"/>
        <v/>
      </c>
      <c r="AN187" s="18" t="str">
        <f t="shared" si="37"/>
        <v/>
      </c>
      <c r="AO187" s="18" t="str">
        <f t="shared" si="38"/>
        <v/>
      </c>
      <c r="AP187" s="10" t="str">
        <f t="shared" si="39"/>
        <v/>
      </c>
      <c r="AQ187" s="10" t="str">
        <f t="shared" si="40"/>
        <v/>
      </c>
      <c r="AR187" s="19" t="str">
        <f t="shared" si="41"/>
        <v/>
      </c>
      <c r="AS187" s="20"/>
      <c r="AT187" s="19"/>
      <c r="AV187" s="21">
        <f>IF(AND($AL187&lt;&gt;"",COUNTIF($AL$11:$AL187,$AL187)=1),1,0)</f>
        <v>0</v>
      </c>
      <c r="AW187" s="21">
        <f t="shared" si="43"/>
        <v>0</v>
      </c>
      <c r="AX187" s="21" t="str">
        <f t="shared" si="42"/>
        <v/>
      </c>
      <c r="AY187" s="21" t="str">
        <f>IF(AND($AM187&lt;&gt;"",$AS187&lt;&gt;"✓"),SUMPRODUCT(($AM$11:$AM187&lt;&gt;"")*($AS$11:$AS187&lt;&gt;"✓")),"")</f>
        <v/>
      </c>
      <c r="AZ187" s="21" t="str">
        <f>IF(AND($AM187&lt;&gt;"",$AS187="✓"),SUMPRODUCT(($AM$11:$AM187&lt;&gt;"")*($AS$11:$AS187="✓")),"")</f>
        <v/>
      </c>
      <c r="BA187" s="21" t="str">
        <f>IF($AL187="","",$AL187&amp;"|"&amp;COUNTIF($AL$11:$AL187,$AL187))</f>
        <v/>
      </c>
    </row>
    <row r="188" spans="2:53" ht="15" customHeight="1" x14ac:dyDescent="0.25">
      <c r="B188" s="5" t="str">
        <f t="shared" si="30"/>
        <v/>
      </c>
      <c r="C188" s="5"/>
      <c r="D188" s="5"/>
      <c r="E188" s="5"/>
      <c r="F188" s="6"/>
      <c r="G188" s="6"/>
      <c r="H188" s="7"/>
      <c r="I188" s="8"/>
      <c r="K188" s="23" t="str">
        <f>IFERROR(INDEX($AL$11:$AL$4010,MATCH(178,$AX$11:$AX$4010,0)),"")</f>
        <v/>
      </c>
      <c r="L188" s="24" t="str">
        <f t="shared" si="31"/>
        <v/>
      </c>
      <c r="M188" s="25" t="str">
        <f t="shared" si="32"/>
        <v/>
      </c>
      <c r="N188" s="25" t="str">
        <f t="shared" si="33"/>
        <v/>
      </c>
      <c r="P188" s="26" t="str">
        <f>IFERROR(INDEX($AM$11:$AM$4010,MATCH($S$8&amp;"|"&amp;178,$BA$11:$BA$4010,0)),"")</f>
        <v/>
      </c>
      <c r="Q188" s="25" t="str">
        <f>IF(P188="","",IFERROR(INDEX($AN$11:$AN$4010,MATCH($S$8&amp;"|"&amp;178,$BA$11:$BA$4010,0)),""))</f>
        <v/>
      </c>
      <c r="R188" s="25" t="str">
        <f>IF(P188="","",IFERROR(INDEX($AO$11:$AO$4010,MATCH($S$8&amp;"|"&amp;178,$BA$11:$BA$4010,0)),""))</f>
        <v/>
      </c>
      <c r="S188" s="24" t="str">
        <f>IF(P188="","",IFERROR(INDEX($AP$11:$AP$4010,MATCH($S$8&amp;"|"&amp;178,$BA$11:$BA$4010,0)),""))</f>
        <v/>
      </c>
      <c r="T188" s="24" t="str">
        <f>IF(P188="","",IFERROR(INDEX($AQ$11:$AQ$4010,MATCH($S$8&amp;"|"&amp;178,$BA$11:$BA$4010,0)),""))</f>
        <v/>
      </c>
      <c r="U188" s="38" t="str">
        <f t="shared" si="44"/>
        <v/>
      </c>
      <c r="W188" s="28" t="str">
        <f>IF(X188="","",IFERROR(INDEX($AL$11:$AL$4010,MATCH(178,$AY$11:$AY$4010,0)),""))</f>
        <v/>
      </c>
      <c r="X188" s="26" t="str">
        <f>IFERROR(INDEX($AM$11:$AM$4010,MATCH(178,$AY$11:$AY$4010,0)),"")</f>
        <v/>
      </c>
      <c r="Y188" s="25" t="str">
        <f>IF(X188="","",IFERROR(INDEX($AN$11:$AN$4010,MATCH(178,$AY$11:$AY$4010,0)),""))</f>
        <v/>
      </c>
      <c r="Z188" s="25" t="str">
        <f>IF(X188="","",IFERROR(INDEX($AO$11:$AO$4010,MATCH(178,$AY$11:$AY$4010,0)),""))</f>
        <v/>
      </c>
      <c r="AA188" s="24" t="str">
        <f>IF(X188="","",IFERROR(INDEX($AQ$11:$AQ$4010,MATCH(178,$AY$11:$AY$4010,0)),""))</f>
        <v/>
      </c>
      <c r="AB188" s="29" t="str">
        <f>IF(X188="","",IFERROR(INDEX($AR$11:$AR$4010,MATCH(178,$AY$11:$AY$4010,0)),""))</f>
        <v/>
      </c>
      <c r="AD188" s="30" t="str">
        <f>IF(AE188="","",IFERROR(INDEX($AL$11:$AL$4010,MATCH(178,$AZ$11:$AZ$4010,0)),""))</f>
        <v/>
      </c>
      <c r="AE188" s="26" t="str">
        <f>IFERROR(INDEX($AM$11:$AM$4010,MATCH(178,$AZ$11:$AZ$4010,0)),"")</f>
        <v/>
      </c>
      <c r="AF188" s="25" t="str">
        <f>IF(AE188="","",IFERROR(INDEX($AN$11:$AN$4010,MATCH(178,$AZ$11:$AZ$4010,0)),""))</f>
        <v/>
      </c>
      <c r="AG188" s="25" t="str">
        <f>IF(AE188="","",IFERROR(INDEX($AO$11:$AO$4010,MATCH(178,$AZ$11:$AZ$4010,0)),""))</f>
        <v/>
      </c>
      <c r="AH188" s="24" t="str">
        <f>IF(AE188="","",IFERROR(INDEX($AQ$11:$AQ$4010,MATCH(178,$AZ$11:$AZ$4010,0)),""))</f>
        <v/>
      </c>
      <c r="AI188" s="29" t="str">
        <f>IF(AE188="","",IFERROR(INDEX($AR$11:$AR$4010,MATCH(178,$AZ$11:$AZ$4010,0)),""))</f>
        <v/>
      </c>
      <c r="AJ188" s="29" t="str">
        <f>IF(AE188="","",IFERROR(INDEX($AT$11:$AT$4010,MATCH(178,$AZ$11:$AZ$4010,0)),""))</f>
        <v/>
      </c>
      <c r="AL188" s="31" t="str">
        <f t="shared" si="35"/>
        <v/>
      </c>
      <c r="AM188" s="26" t="str">
        <f t="shared" si="36"/>
        <v/>
      </c>
      <c r="AN188" s="32" t="str">
        <f t="shared" si="37"/>
        <v/>
      </c>
      <c r="AO188" s="32" t="str">
        <f t="shared" si="38"/>
        <v/>
      </c>
      <c r="AP188" s="24" t="str">
        <f t="shared" si="39"/>
        <v/>
      </c>
      <c r="AQ188" s="24" t="str">
        <f t="shared" si="40"/>
        <v/>
      </c>
      <c r="AR188" s="33" t="str">
        <f t="shared" si="41"/>
        <v/>
      </c>
      <c r="AS188" s="34"/>
      <c r="AT188" s="33"/>
      <c r="AV188" s="21">
        <f>IF(AND($AL188&lt;&gt;"",COUNTIF($AL$11:$AL188,$AL188)=1),1,0)</f>
        <v>0</v>
      </c>
      <c r="AW188" s="21">
        <f t="shared" si="43"/>
        <v>0</v>
      </c>
      <c r="AX188" s="21" t="str">
        <f t="shared" si="42"/>
        <v/>
      </c>
      <c r="AY188" s="21" t="str">
        <f>IF(AND($AM188&lt;&gt;"",$AS188&lt;&gt;"✓"),SUMPRODUCT(($AM$11:$AM188&lt;&gt;"")*($AS$11:$AS188&lt;&gt;"✓")),"")</f>
        <v/>
      </c>
      <c r="AZ188" s="21" t="str">
        <f>IF(AND($AM188&lt;&gt;"",$AS188="✓"),SUMPRODUCT(($AM$11:$AM188&lt;&gt;"")*($AS$11:$AS188="✓")),"")</f>
        <v/>
      </c>
      <c r="BA188" s="21" t="str">
        <f>IF($AL188="","",$AL188&amp;"|"&amp;COUNTIF($AL$11:$AL188,$AL188))</f>
        <v/>
      </c>
    </row>
    <row r="189" spans="2:53" ht="15" customHeight="1" x14ac:dyDescent="0.25">
      <c r="B189" s="5" t="str">
        <f t="shared" si="30"/>
        <v/>
      </c>
      <c r="C189" s="5"/>
      <c r="D189" s="5"/>
      <c r="E189" s="5"/>
      <c r="F189" s="6"/>
      <c r="G189" s="6"/>
      <c r="H189" s="7"/>
      <c r="I189" s="8"/>
      <c r="K189" s="9" t="str">
        <f>IFERROR(INDEX($AL$11:$AL$4010,MATCH(179,$AX$11:$AX$4010,0)),"")</f>
        <v/>
      </c>
      <c r="L189" s="10" t="str">
        <f t="shared" si="31"/>
        <v/>
      </c>
      <c r="M189" s="11" t="str">
        <f t="shared" si="32"/>
        <v/>
      </c>
      <c r="N189" s="11" t="str">
        <f t="shared" si="33"/>
        <v/>
      </c>
      <c r="P189" s="12" t="str">
        <f>IFERROR(INDEX($AM$11:$AM$4010,MATCH($S$8&amp;"|"&amp;179,$BA$11:$BA$4010,0)),"")</f>
        <v/>
      </c>
      <c r="Q189" s="11" t="str">
        <f>IF(P189="","",IFERROR(INDEX($AN$11:$AN$4010,MATCH($S$8&amp;"|"&amp;179,$BA$11:$BA$4010,0)),""))</f>
        <v/>
      </c>
      <c r="R189" s="11" t="str">
        <f>IF(P189="","",IFERROR(INDEX($AO$11:$AO$4010,MATCH($S$8&amp;"|"&amp;179,$BA$11:$BA$4010,0)),""))</f>
        <v/>
      </c>
      <c r="S189" s="10" t="str">
        <f>IF(P189="","",IFERROR(INDEX($AP$11:$AP$4010,MATCH($S$8&amp;"|"&amp;179,$BA$11:$BA$4010,0)),""))</f>
        <v/>
      </c>
      <c r="T189" s="10" t="str">
        <f>IF(P189="","",IFERROR(INDEX($AQ$11:$AQ$4010,MATCH($S$8&amp;"|"&amp;179,$BA$11:$BA$4010,0)),""))</f>
        <v/>
      </c>
      <c r="U189" s="39" t="str">
        <f t="shared" si="44"/>
        <v/>
      </c>
      <c r="W189" s="14" t="str">
        <f>IF(X189="","",IFERROR(INDEX($AL$11:$AL$4010,MATCH(179,$AY$11:$AY$4010,0)),""))</f>
        <v/>
      </c>
      <c r="X189" s="12" t="str">
        <f>IFERROR(INDEX($AM$11:$AM$4010,MATCH(179,$AY$11:$AY$4010,0)),"")</f>
        <v/>
      </c>
      <c r="Y189" s="11" t="str">
        <f>IF(X189="","",IFERROR(INDEX($AN$11:$AN$4010,MATCH(179,$AY$11:$AY$4010,0)),""))</f>
        <v/>
      </c>
      <c r="Z189" s="11" t="str">
        <f>IF(X189="","",IFERROR(INDEX($AO$11:$AO$4010,MATCH(179,$AY$11:$AY$4010,0)),""))</f>
        <v/>
      </c>
      <c r="AA189" s="10" t="str">
        <f>IF(X189="","",IFERROR(INDEX($AQ$11:$AQ$4010,MATCH(179,$AY$11:$AY$4010,0)),""))</f>
        <v/>
      </c>
      <c r="AB189" s="15" t="str">
        <f>IF(X189="","",IFERROR(INDEX($AR$11:$AR$4010,MATCH(179,$AY$11:$AY$4010,0)),""))</f>
        <v/>
      </c>
      <c r="AD189" s="16" t="str">
        <f>IF(AE189="","",IFERROR(INDEX($AL$11:$AL$4010,MATCH(179,$AZ$11:$AZ$4010,0)),""))</f>
        <v/>
      </c>
      <c r="AE189" s="12" t="str">
        <f>IFERROR(INDEX($AM$11:$AM$4010,MATCH(179,$AZ$11:$AZ$4010,0)),"")</f>
        <v/>
      </c>
      <c r="AF189" s="11" t="str">
        <f>IF(AE189="","",IFERROR(INDEX($AN$11:$AN$4010,MATCH(179,$AZ$11:$AZ$4010,0)),""))</f>
        <v/>
      </c>
      <c r="AG189" s="11" t="str">
        <f>IF(AE189="","",IFERROR(INDEX($AO$11:$AO$4010,MATCH(179,$AZ$11:$AZ$4010,0)),""))</f>
        <v/>
      </c>
      <c r="AH189" s="10" t="str">
        <f>IF(AE189="","",IFERROR(INDEX($AQ$11:$AQ$4010,MATCH(179,$AZ$11:$AZ$4010,0)),""))</f>
        <v/>
      </c>
      <c r="AI189" s="15" t="str">
        <f>IF(AE189="","",IFERROR(INDEX($AR$11:$AR$4010,MATCH(179,$AZ$11:$AZ$4010,0)),""))</f>
        <v/>
      </c>
      <c r="AJ189" s="15" t="str">
        <f>IF(AE189="","",IFERROR(INDEX($AT$11:$AT$4010,MATCH(179,$AZ$11:$AZ$4010,0)),""))</f>
        <v/>
      </c>
      <c r="AL189" s="17" t="str">
        <f t="shared" si="35"/>
        <v/>
      </c>
      <c r="AM189" s="12" t="str">
        <f t="shared" si="36"/>
        <v/>
      </c>
      <c r="AN189" s="18" t="str">
        <f t="shared" si="37"/>
        <v/>
      </c>
      <c r="AO189" s="18" t="str">
        <f t="shared" si="38"/>
        <v/>
      </c>
      <c r="AP189" s="10" t="str">
        <f t="shared" si="39"/>
        <v/>
      </c>
      <c r="AQ189" s="10" t="str">
        <f t="shared" si="40"/>
        <v/>
      </c>
      <c r="AR189" s="19" t="str">
        <f t="shared" si="41"/>
        <v/>
      </c>
      <c r="AS189" s="20"/>
      <c r="AT189" s="19"/>
      <c r="AV189" s="21">
        <f>IF(AND($AL189&lt;&gt;"",COUNTIF($AL$11:$AL189,$AL189)=1),1,0)</f>
        <v>0</v>
      </c>
      <c r="AW189" s="21">
        <f t="shared" si="43"/>
        <v>0</v>
      </c>
      <c r="AX189" s="21" t="str">
        <f t="shared" si="42"/>
        <v/>
      </c>
      <c r="AY189" s="21" t="str">
        <f>IF(AND($AM189&lt;&gt;"",$AS189&lt;&gt;"✓"),SUMPRODUCT(($AM$11:$AM189&lt;&gt;"")*($AS$11:$AS189&lt;&gt;"✓")),"")</f>
        <v/>
      </c>
      <c r="AZ189" s="21" t="str">
        <f>IF(AND($AM189&lt;&gt;"",$AS189="✓"),SUMPRODUCT(($AM$11:$AM189&lt;&gt;"")*($AS$11:$AS189="✓")),"")</f>
        <v/>
      </c>
      <c r="BA189" s="21" t="str">
        <f>IF($AL189="","",$AL189&amp;"|"&amp;COUNTIF($AL$11:$AL189,$AL189))</f>
        <v/>
      </c>
    </row>
    <row r="190" spans="2:53" ht="15" customHeight="1" x14ac:dyDescent="0.25">
      <c r="B190" s="5" t="str">
        <f t="shared" si="30"/>
        <v/>
      </c>
      <c r="C190" s="5"/>
      <c r="D190" s="5"/>
      <c r="E190" s="5"/>
      <c r="F190" s="6"/>
      <c r="G190" s="6"/>
      <c r="H190" s="7"/>
      <c r="I190" s="8"/>
      <c r="K190" s="23" t="str">
        <f>IFERROR(INDEX($AL$11:$AL$4010,MATCH(180,$AX$11:$AX$4010,0)),"")</f>
        <v/>
      </c>
      <c r="L190" s="24" t="str">
        <f t="shared" si="31"/>
        <v/>
      </c>
      <c r="M190" s="25" t="str">
        <f t="shared" si="32"/>
        <v/>
      </c>
      <c r="N190" s="25" t="str">
        <f t="shared" si="33"/>
        <v/>
      </c>
      <c r="P190" s="26" t="str">
        <f>IFERROR(INDEX($AM$11:$AM$4010,MATCH($S$8&amp;"|"&amp;180,$BA$11:$BA$4010,0)),"")</f>
        <v/>
      </c>
      <c r="Q190" s="25" t="str">
        <f>IF(P190="","",IFERROR(INDEX($AN$11:$AN$4010,MATCH($S$8&amp;"|"&amp;180,$BA$11:$BA$4010,0)),""))</f>
        <v/>
      </c>
      <c r="R190" s="25" t="str">
        <f>IF(P190="","",IFERROR(INDEX($AO$11:$AO$4010,MATCH($S$8&amp;"|"&amp;180,$BA$11:$BA$4010,0)),""))</f>
        <v/>
      </c>
      <c r="S190" s="24" t="str">
        <f>IF(P190="","",IFERROR(INDEX($AP$11:$AP$4010,MATCH($S$8&amp;"|"&amp;180,$BA$11:$BA$4010,0)),""))</f>
        <v/>
      </c>
      <c r="T190" s="24" t="str">
        <f>IF(P190="","",IFERROR(INDEX($AQ$11:$AQ$4010,MATCH($S$8&amp;"|"&amp;180,$BA$11:$BA$4010,0)),""))</f>
        <v/>
      </c>
      <c r="U190" s="38" t="str">
        <f t="shared" si="44"/>
        <v/>
      </c>
      <c r="W190" s="28" t="str">
        <f>IF(X190="","",IFERROR(INDEX($AL$11:$AL$4010,MATCH(180,$AY$11:$AY$4010,0)),""))</f>
        <v/>
      </c>
      <c r="X190" s="26" t="str">
        <f>IFERROR(INDEX($AM$11:$AM$4010,MATCH(180,$AY$11:$AY$4010,0)),"")</f>
        <v/>
      </c>
      <c r="Y190" s="25" t="str">
        <f>IF(X190="","",IFERROR(INDEX($AN$11:$AN$4010,MATCH(180,$AY$11:$AY$4010,0)),""))</f>
        <v/>
      </c>
      <c r="Z190" s="25" t="str">
        <f>IF(X190="","",IFERROR(INDEX($AO$11:$AO$4010,MATCH(180,$AY$11:$AY$4010,0)),""))</f>
        <v/>
      </c>
      <c r="AA190" s="24" t="str">
        <f>IF(X190="","",IFERROR(INDEX($AQ$11:$AQ$4010,MATCH(180,$AY$11:$AY$4010,0)),""))</f>
        <v/>
      </c>
      <c r="AB190" s="29" t="str">
        <f>IF(X190="","",IFERROR(INDEX($AR$11:$AR$4010,MATCH(180,$AY$11:$AY$4010,0)),""))</f>
        <v/>
      </c>
      <c r="AD190" s="30" t="str">
        <f>IF(AE190="","",IFERROR(INDEX($AL$11:$AL$4010,MATCH(180,$AZ$11:$AZ$4010,0)),""))</f>
        <v/>
      </c>
      <c r="AE190" s="26" t="str">
        <f>IFERROR(INDEX($AM$11:$AM$4010,MATCH(180,$AZ$11:$AZ$4010,0)),"")</f>
        <v/>
      </c>
      <c r="AF190" s="25" t="str">
        <f>IF(AE190="","",IFERROR(INDEX($AN$11:$AN$4010,MATCH(180,$AZ$11:$AZ$4010,0)),""))</f>
        <v/>
      </c>
      <c r="AG190" s="25" t="str">
        <f>IF(AE190="","",IFERROR(INDEX($AO$11:$AO$4010,MATCH(180,$AZ$11:$AZ$4010,0)),""))</f>
        <v/>
      </c>
      <c r="AH190" s="24" t="str">
        <f>IF(AE190="","",IFERROR(INDEX($AQ$11:$AQ$4010,MATCH(180,$AZ$11:$AZ$4010,0)),""))</f>
        <v/>
      </c>
      <c r="AI190" s="29" t="str">
        <f>IF(AE190="","",IFERROR(INDEX($AR$11:$AR$4010,MATCH(180,$AZ$11:$AZ$4010,0)),""))</f>
        <v/>
      </c>
      <c r="AJ190" s="29" t="str">
        <f>IF(AE190="","",IFERROR(INDEX($AT$11:$AT$4010,MATCH(180,$AZ$11:$AZ$4010,0)),""))</f>
        <v/>
      </c>
      <c r="AL190" s="31" t="str">
        <f t="shared" si="35"/>
        <v/>
      </c>
      <c r="AM190" s="26" t="str">
        <f t="shared" si="36"/>
        <v/>
      </c>
      <c r="AN190" s="32" t="str">
        <f t="shared" si="37"/>
        <v/>
      </c>
      <c r="AO190" s="32" t="str">
        <f t="shared" si="38"/>
        <v/>
      </c>
      <c r="AP190" s="24" t="str">
        <f t="shared" si="39"/>
        <v/>
      </c>
      <c r="AQ190" s="24" t="str">
        <f t="shared" si="40"/>
        <v/>
      </c>
      <c r="AR190" s="33" t="str">
        <f t="shared" si="41"/>
        <v/>
      </c>
      <c r="AS190" s="34"/>
      <c r="AT190" s="33"/>
      <c r="AV190" s="21">
        <f>IF(AND($AL190&lt;&gt;"",COUNTIF($AL$11:$AL190,$AL190)=1),1,0)</f>
        <v>0</v>
      </c>
      <c r="AW190" s="21">
        <f t="shared" si="43"/>
        <v>0</v>
      </c>
      <c r="AX190" s="21" t="str">
        <f t="shared" si="42"/>
        <v/>
      </c>
      <c r="AY190" s="21" t="str">
        <f>IF(AND($AM190&lt;&gt;"",$AS190&lt;&gt;"✓"),SUMPRODUCT(($AM$11:$AM190&lt;&gt;"")*($AS$11:$AS190&lt;&gt;"✓")),"")</f>
        <v/>
      </c>
      <c r="AZ190" s="21" t="str">
        <f>IF(AND($AM190&lt;&gt;"",$AS190="✓"),SUMPRODUCT(($AM$11:$AM190&lt;&gt;"")*($AS$11:$AS190="✓")),"")</f>
        <v/>
      </c>
      <c r="BA190" s="21" t="str">
        <f>IF($AL190="","",$AL190&amp;"|"&amp;COUNTIF($AL$11:$AL190,$AL190))</f>
        <v/>
      </c>
    </row>
    <row r="191" spans="2:53" ht="15" customHeight="1" x14ac:dyDescent="0.25">
      <c r="B191" s="5" t="str">
        <f t="shared" si="30"/>
        <v/>
      </c>
      <c r="C191" s="5"/>
      <c r="D191" s="5"/>
      <c r="E191" s="5"/>
      <c r="F191" s="6"/>
      <c r="G191" s="6"/>
      <c r="H191" s="7"/>
      <c r="I191" s="8"/>
      <c r="K191" s="9" t="str">
        <f>IFERROR(INDEX($AL$11:$AL$4010,MATCH(181,$AX$11:$AX$4010,0)),"")</f>
        <v/>
      </c>
      <c r="L191" s="10" t="str">
        <f t="shared" si="31"/>
        <v/>
      </c>
      <c r="M191" s="11" t="str">
        <f t="shared" si="32"/>
        <v/>
      </c>
      <c r="N191" s="11" t="str">
        <f t="shared" si="33"/>
        <v/>
      </c>
      <c r="P191" s="12" t="str">
        <f>IFERROR(INDEX($AM$11:$AM$4010,MATCH($S$8&amp;"|"&amp;181,$BA$11:$BA$4010,0)),"")</f>
        <v/>
      </c>
      <c r="Q191" s="11" t="str">
        <f>IF(P191="","",IFERROR(INDEX($AN$11:$AN$4010,MATCH($S$8&amp;"|"&amp;181,$BA$11:$BA$4010,0)),""))</f>
        <v/>
      </c>
      <c r="R191" s="11" t="str">
        <f>IF(P191="","",IFERROR(INDEX($AO$11:$AO$4010,MATCH($S$8&amp;"|"&amp;181,$BA$11:$BA$4010,0)),""))</f>
        <v/>
      </c>
      <c r="S191" s="10" t="str">
        <f>IF(P191="","",IFERROR(INDEX($AP$11:$AP$4010,MATCH($S$8&amp;"|"&amp;181,$BA$11:$BA$4010,0)),""))</f>
        <v/>
      </c>
      <c r="T191" s="10" t="str">
        <f>IF(P191="","",IFERROR(INDEX($AQ$11:$AQ$4010,MATCH($S$8&amp;"|"&amp;181,$BA$11:$BA$4010,0)),""))</f>
        <v/>
      </c>
      <c r="U191" s="39" t="str">
        <f t="shared" si="44"/>
        <v/>
      </c>
      <c r="W191" s="14" t="str">
        <f>IF(X191="","",IFERROR(INDEX($AL$11:$AL$4010,MATCH(181,$AY$11:$AY$4010,0)),""))</f>
        <v/>
      </c>
      <c r="X191" s="12" t="str">
        <f>IFERROR(INDEX($AM$11:$AM$4010,MATCH(181,$AY$11:$AY$4010,0)),"")</f>
        <v/>
      </c>
      <c r="Y191" s="11" t="str">
        <f>IF(X191="","",IFERROR(INDEX($AN$11:$AN$4010,MATCH(181,$AY$11:$AY$4010,0)),""))</f>
        <v/>
      </c>
      <c r="Z191" s="11" t="str">
        <f>IF(X191="","",IFERROR(INDEX($AO$11:$AO$4010,MATCH(181,$AY$11:$AY$4010,0)),""))</f>
        <v/>
      </c>
      <c r="AA191" s="10" t="str">
        <f>IF(X191="","",IFERROR(INDEX($AQ$11:$AQ$4010,MATCH(181,$AY$11:$AY$4010,0)),""))</f>
        <v/>
      </c>
      <c r="AB191" s="15" t="str">
        <f>IF(X191="","",IFERROR(INDEX($AR$11:$AR$4010,MATCH(181,$AY$11:$AY$4010,0)),""))</f>
        <v/>
      </c>
      <c r="AD191" s="16" t="str">
        <f>IF(AE191="","",IFERROR(INDEX($AL$11:$AL$4010,MATCH(181,$AZ$11:$AZ$4010,0)),""))</f>
        <v/>
      </c>
      <c r="AE191" s="12" t="str">
        <f>IFERROR(INDEX($AM$11:$AM$4010,MATCH(181,$AZ$11:$AZ$4010,0)),"")</f>
        <v/>
      </c>
      <c r="AF191" s="11" t="str">
        <f>IF(AE191="","",IFERROR(INDEX($AN$11:$AN$4010,MATCH(181,$AZ$11:$AZ$4010,0)),""))</f>
        <v/>
      </c>
      <c r="AG191" s="11" t="str">
        <f>IF(AE191="","",IFERROR(INDEX($AO$11:$AO$4010,MATCH(181,$AZ$11:$AZ$4010,0)),""))</f>
        <v/>
      </c>
      <c r="AH191" s="10" t="str">
        <f>IF(AE191="","",IFERROR(INDEX($AQ$11:$AQ$4010,MATCH(181,$AZ$11:$AZ$4010,0)),""))</f>
        <v/>
      </c>
      <c r="AI191" s="15" t="str">
        <f>IF(AE191="","",IFERROR(INDEX($AR$11:$AR$4010,MATCH(181,$AZ$11:$AZ$4010,0)),""))</f>
        <v/>
      </c>
      <c r="AJ191" s="15" t="str">
        <f>IF(AE191="","",IFERROR(INDEX($AT$11:$AT$4010,MATCH(181,$AZ$11:$AZ$4010,0)),""))</f>
        <v/>
      </c>
      <c r="AL191" s="17" t="str">
        <f t="shared" si="35"/>
        <v/>
      </c>
      <c r="AM191" s="12" t="str">
        <f t="shared" si="36"/>
        <v/>
      </c>
      <c r="AN191" s="18" t="str">
        <f t="shared" si="37"/>
        <v/>
      </c>
      <c r="AO191" s="18" t="str">
        <f t="shared" si="38"/>
        <v/>
      </c>
      <c r="AP191" s="10" t="str">
        <f t="shared" si="39"/>
        <v/>
      </c>
      <c r="AQ191" s="10" t="str">
        <f t="shared" si="40"/>
        <v/>
      </c>
      <c r="AR191" s="19" t="str">
        <f t="shared" si="41"/>
        <v/>
      </c>
      <c r="AS191" s="20"/>
      <c r="AT191" s="19"/>
      <c r="AV191" s="21">
        <f>IF(AND($AL191&lt;&gt;"",COUNTIF($AL$11:$AL191,$AL191)=1),1,0)</f>
        <v>0</v>
      </c>
      <c r="AW191" s="21">
        <f t="shared" si="43"/>
        <v>0</v>
      </c>
      <c r="AX191" s="21" t="str">
        <f t="shared" si="42"/>
        <v/>
      </c>
      <c r="AY191" s="21" t="str">
        <f>IF(AND($AM191&lt;&gt;"",$AS191&lt;&gt;"✓"),SUMPRODUCT(($AM$11:$AM191&lt;&gt;"")*($AS$11:$AS191&lt;&gt;"✓")),"")</f>
        <v/>
      </c>
      <c r="AZ191" s="21" t="str">
        <f>IF(AND($AM191&lt;&gt;"",$AS191="✓"),SUMPRODUCT(($AM$11:$AM191&lt;&gt;"")*($AS$11:$AS191="✓")),"")</f>
        <v/>
      </c>
      <c r="BA191" s="21" t="str">
        <f>IF($AL191="","",$AL191&amp;"|"&amp;COUNTIF($AL$11:$AL191,$AL191))</f>
        <v/>
      </c>
    </row>
    <row r="192" spans="2:53" ht="15" customHeight="1" x14ac:dyDescent="0.25">
      <c r="B192" s="5" t="str">
        <f t="shared" si="30"/>
        <v/>
      </c>
      <c r="C192" s="5"/>
      <c r="D192" s="5"/>
      <c r="E192" s="5"/>
      <c r="F192" s="6"/>
      <c r="G192" s="6"/>
      <c r="H192" s="7"/>
      <c r="I192" s="8"/>
      <c r="K192" s="23" t="str">
        <f>IFERROR(INDEX($AL$11:$AL$4010,MATCH(182,$AX$11:$AX$4010,0)),"")</f>
        <v/>
      </c>
      <c r="L192" s="24" t="str">
        <f t="shared" si="31"/>
        <v/>
      </c>
      <c r="M192" s="25" t="str">
        <f t="shared" si="32"/>
        <v/>
      </c>
      <c r="N192" s="25" t="str">
        <f t="shared" si="33"/>
        <v/>
      </c>
      <c r="P192" s="26" t="str">
        <f>IFERROR(INDEX($AM$11:$AM$4010,MATCH($S$8&amp;"|"&amp;182,$BA$11:$BA$4010,0)),"")</f>
        <v/>
      </c>
      <c r="Q192" s="25" t="str">
        <f>IF(P192="","",IFERROR(INDEX($AN$11:$AN$4010,MATCH($S$8&amp;"|"&amp;182,$BA$11:$BA$4010,0)),""))</f>
        <v/>
      </c>
      <c r="R192" s="25" t="str">
        <f>IF(P192="","",IFERROR(INDEX($AO$11:$AO$4010,MATCH($S$8&amp;"|"&amp;182,$BA$11:$BA$4010,0)),""))</f>
        <v/>
      </c>
      <c r="S192" s="24" t="str">
        <f>IF(P192="","",IFERROR(INDEX($AP$11:$AP$4010,MATCH($S$8&amp;"|"&amp;182,$BA$11:$BA$4010,0)),""))</f>
        <v/>
      </c>
      <c r="T192" s="24" t="str">
        <f>IF(P192="","",IFERROR(INDEX($AQ$11:$AQ$4010,MATCH($S$8&amp;"|"&amp;182,$BA$11:$BA$4010,0)),""))</f>
        <v/>
      </c>
      <c r="U192" s="38" t="str">
        <f t="shared" si="44"/>
        <v/>
      </c>
      <c r="W192" s="28" t="str">
        <f>IF(X192="","",IFERROR(INDEX($AL$11:$AL$4010,MATCH(182,$AY$11:$AY$4010,0)),""))</f>
        <v/>
      </c>
      <c r="X192" s="26" t="str">
        <f>IFERROR(INDEX($AM$11:$AM$4010,MATCH(182,$AY$11:$AY$4010,0)),"")</f>
        <v/>
      </c>
      <c r="Y192" s="25" t="str">
        <f>IF(X192="","",IFERROR(INDEX($AN$11:$AN$4010,MATCH(182,$AY$11:$AY$4010,0)),""))</f>
        <v/>
      </c>
      <c r="Z192" s="25" t="str">
        <f>IF(X192="","",IFERROR(INDEX($AO$11:$AO$4010,MATCH(182,$AY$11:$AY$4010,0)),""))</f>
        <v/>
      </c>
      <c r="AA192" s="24" t="str">
        <f>IF(X192="","",IFERROR(INDEX($AQ$11:$AQ$4010,MATCH(182,$AY$11:$AY$4010,0)),""))</f>
        <v/>
      </c>
      <c r="AB192" s="29" t="str">
        <f>IF(X192="","",IFERROR(INDEX($AR$11:$AR$4010,MATCH(182,$AY$11:$AY$4010,0)),""))</f>
        <v/>
      </c>
      <c r="AD192" s="30" t="str">
        <f>IF(AE192="","",IFERROR(INDEX($AL$11:$AL$4010,MATCH(182,$AZ$11:$AZ$4010,0)),""))</f>
        <v/>
      </c>
      <c r="AE192" s="26" t="str">
        <f>IFERROR(INDEX($AM$11:$AM$4010,MATCH(182,$AZ$11:$AZ$4010,0)),"")</f>
        <v/>
      </c>
      <c r="AF192" s="25" t="str">
        <f>IF(AE192="","",IFERROR(INDEX($AN$11:$AN$4010,MATCH(182,$AZ$11:$AZ$4010,0)),""))</f>
        <v/>
      </c>
      <c r="AG192" s="25" t="str">
        <f>IF(AE192="","",IFERROR(INDEX($AO$11:$AO$4010,MATCH(182,$AZ$11:$AZ$4010,0)),""))</f>
        <v/>
      </c>
      <c r="AH192" s="24" t="str">
        <f>IF(AE192="","",IFERROR(INDEX($AQ$11:$AQ$4010,MATCH(182,$AZ$11:$AZ$4010,0)),""))</f>
        <v/>
      </c>
      <c r="AI192" s="29" t="str">
        <f>IF(AE192="","",IFERROR(INDEX($AR$11:$AR$4010,MATCH(182,$AZ$11:$AZ$4010,0)),""))</f>
        <v/>
      </c>
      <c r="AJ192" s="29" t="str">
        <f>IF(AE192="","",IFERROR(INDEX($AT$11:$AT$4010,MATCH(182,$AZ$11:$AZ$4010,0)),""))</f>
        <v/>
      </c>
      <c r="AL192" s="31" t="str">
        <f t="shared" si="35"/>
        <v/>
      </c>
      <c r="AM192" s="26" t="str">
        <f t="shared" si="36"/>
        <v/>
      </c>
      <c r="AN192" s="32" t="str">
        <f t="shared" si="37"/>
        <v/>
      </c>
      <c r="AO192" s="32" t="str">
        <f t="shared" si="38"/>
        <v/>
      </c>
      <c r="AP192" s="24" t="str">
        <f t="shared" si="39"/>
        <v/>
      </c>
      <c r="AQ192" s="24" t="str">
        <f t="shared" si="40"/>
        <v/>
      </c>
      <c r="AR192" s="33" t="str">
        <f t="shared" si="41"/>
        <v/>
      </c>
      <c r="AS192" s="34"/>
      <c r="AT192" s="33"/>
      <c r="AV192" s="21">
        <f>IF(AND($AL192&lt;&gt;"",COUNTIF($AL$11:$AL192,$AL192)=1),1,0)</f>
        <v>0</v>
      </c>
      <c r="AW192" s="21">
        <f t="shared" si="43"/>
        <v>0</v>
      </c>
      <c r="AX192" s="21" t="str">
        <f t="shared" si="42"/>
        <v/>
      </c>
      <c r="AY192" s="21" t="str">
        <f>IF(AND($AM192&lt;&gt;"",$AS192&lt;&gt;"✓"),SUMPRODUCT(($AM$11:$AM192&lt;&gt;"")*($AS$11:$AS192&lt;&gt;"✓")),"")</f>
        <v/>
      </c>
      <c r="AZ192" s="21" t="str">
        <f>IF(AND($AM192&lt;&gt;"",$AS192="✓"),SUMPRODUCT(($AM$11:$AM192&lt;&gt;"")*($AS$11:$AS192="✓")),"")</f>
        <v/>
      </c>
      <c r="BA192" s="21" t="str">
        <f>IF($AL192="","",$AL192&amp;"|"&amp;COUNTIF($AL$11:$AL192,$AL192))</f>
        <v/>
      </c>
    </row>
    <row r="193" spans="2:53" ht="15" customHeight="1" x14ac:dyDescent="0.25">
      <c r="B193" s="5" t="str">
        <f t="shared" si="30"/>
        <v/>
      </c>
      <c r="C193" s="5"/>
      <c r="D193" s="5"/>
      <c r="E193" s="5"/>
      <c r="F193" s="6"/>
      <c r="G193" s="6"/>
      <c r="H193" s="7"/>
      <c r="I193" s="8"/>
      <c r="K193" s="9" t="str">
        <f>IFERROR(INDEX($AL$11:$AL$4010,MATCH(183,$AX$11:$AX$4010,0)),"")</f>
        <v/>
      </c>
      <c r="L193" s="10" t="str">
        <f t="shared" si="31"/>
        <v/>
      </c>
      <c r="M193" s="11" t="str">
        <f t="shared" si="32"/>
        <v/>
      </c>
      <c r="N193" s="11" t="str">
        <f t="shared" si="33"/>
        <v/>
      </c>
      <c r="P193" s="12" t="str">
        <f>IFERROR(INDEX($AM$11:$AM$4010,MATCH($S$8&amp;"|"&amp;183,$BA$11:$BA$4010,0)),"")</f>
        <v/>
      </c>
      <c r="Q193" s="11" t="str">
        <f>IF(P193="","",IFERROR(INDEX($AN$11:$AN$4010,MATCH($S$8&amp;"|"&amp;183,$BA$11:$BA$4010,0)),""))</f>
        <v/>
      </c>
      <c r="R193" s="11" t="str">
        <f>IF(P193="","",IFERROR(INDEX($AO$11:$AO$4010,MATCH($S$8&amp;"|"&amp;183,$BA$11:$BA$4010,0)),""))</f>
        <v/>
      </c>
      <c r="S193" s="10" t="str">
        <f>IF(P193="","",IFERROR(INDEX($AP$11:$AP$4010,MATCH($S$8&amp;"|"&amp;183,$BA$11:$BA$4010,0)),""))</f>
        <v/>
      </c>
      <c r="T193" s="10" t="str">
        <f>IF(P193="","",IFERROR(INDEX($AQ$11:$AQ$4010,MATCH($S$8&amp;"|"&amp;183,$BA$11:$BA$4010,0)),""))</f>
        <v/>
      </c>
      <c r="U193" s="39" t="str">
        <f t="shared" si="44"/>
        <v/>
      </c>
      <c r="W193" s="14" t="str">
        <f>IF(X193="","",IFERROR(INDEX($AL$11:$AL$4010,MATCH(183,$AY$11:$AY$4010,0)),""))</f>
        <v/>
      </c>
      <c r="X193" s="12" t="str">
        <f>IFERROR(INDEX($AM$11:$AM$4010,MATCH(183,$AY$11:$AY$4010,0)),"")</f>
        <v/>
      </c>
      <c r="Y193" s="11" t="str">
        <f>IF(X193="","",IFERROR(INDEX($AN$11:$AN$4010,MATCH(183,$AY$11:$AY$4010,0)),""))</f>
        <v/>
      </c>
      <c r="Z193" s="11" t="str">
        <f>IF(X193="","",IFERROR(INDEX($AO$11:$AO$4010,MATCH(183,$AY$11:$AY$4010,0)),""))</f>
        <v/>
      </c>
      <c r="AA193" s="10" t="str">
        <f>IF(X193="","",IFERROR(INDEX($AQ$11:$AQ$4010,MATCH(183,$AY$11:$AY$4010,0)),""))</f>
        <v/>
      </c>
      <c r="AB193" s="15" t="str">
        <f>IF(X193="","",IFERROR(INDEX($AR$11:$AR$4010,MATCH(183,$AY$11:$AY$4010,0)),""))</f>
        <v/>
      </c>
      <c r="AD193" s="16" t="str">
        <f>IF(AE193="","",IFERROR(INDEX($AL$11:$AL$4010,MATCH(183,$AZ$11:$AZ$4010,0)),""))</f>
        <v/>
      </c>
      <c r="AE193" s="12" t="str">
        <f>IFERROR(INDEX($AM$11:$AM$4010,MATCH(183,$AZ$11:$AZ$4010,0)),"")</f>
        <v/>
      </c>
      <c r="AF193" s="11" t="str">
        <f>IF(AE193="","",IFERROR(INDEX($AN$11:$AN$4010,MATCH(183,$AZ$11:$AZ$4010,0)),""))</f>
        <v/>
      </c>
      <c r="AG193" s="11" t="str">
        <f>IF(AE193="","",IFERROR(INDEX($AO$11:$AO$4010,MATCH(183,$AZ$11:$AZ$4010,0)),""))</f>
        <v/>
      </c>
      <c r="AH193" s="10" t="str">
        <f>IF(AE193="","",IFERROR(INDEX($AQ$11:$AQ$4010,MATCH(183,$AZ$11:$AZ$4010,0)),""))</f>
        <v/>
      </c>
      <c r="AI193" s="15" t="str">
        <f>IF(AE193="","",IFERROR(INDEX($AR$11:$AR$4010,MATCH(183,$AZ$11:$AZ$4010,0)),""))</f>
        <v/>
      </c>
      <c r="AJ193" s="15" t="str">
        <f>IF(AE193="","",IFERROR(INDEX($AT$11:$AT$4010,MATCH(183,$AZ$11:$AZ$4010,0)),""))</f>
        <v/>
      </c>
      <c r="AL193" s="17" t="str">
        <f t="shared" si="35"/>
        <v/>
      </c>
      <c r="AM193" s="12" t="str">
        <f t="shared" si="36"/>
        <v/>
      </c>
      <c r="AN193" s="18" t="str">
        <f t="shared" si="37"/>
        <v/>
      </c>
      <c r="AO193" s="18" t="str">
        <f t="shared" si="38"/>
        <v/>
      </c>
      <c r="AP193" s="10" t="str">
        <f t="shared" si="39"/>
        <v/>
      </c>
      <c r="AQ193" s="10" t="str">
        <f t="shared" si="40"/>
        <v/>
      </c>
      <c r="AR193" s="19" t="str">
        <f t="shared" si="41"/>
        <v/>
      </c>
      <c r="AS193" s="20"/>
      <c r="AT193" s="19"/>
      <c r="AV193" s="21">
        <f>IF(AND($AL193&lt;&gt;"",COUNTIF($AL$11:$AL193,$AL193)=1),1,0)</f>
        <v>0</v>
      </c>
      <c r="AW193" s="21">
        <f t="shared" si="43"/>
        <v>0</v>
      </c>
      <c r="AX193" s="21" t="str">
        <f t="shared" si="42"/>
        <v/>
      </c>
      <c r="AY193" s="21" t="str">
        <f>IF(AND($AM193&lt;&gt;"",$AS193&lt;&gt;"✓"),SUMPRODUCT(($AM$11:$AM193&lt;&gt;"")*($AS$11:$AS193&lt;&gt;"✓")),"")</f>
        <v/>
      </c>
      <c r="AZ193" s="21" t="str">
        <f>IF(AND($AM193&lt;&gt;"",$AS193="✓"),SUMPRODUCT(($AM$11:$AM193&lt;&gt;"")*($AS$11:$AS193="✓")),"")</f>
        <v/>
      </c>
      <c r="BA193" s="21" t="str">
        <f>IF($AL193="","",$AL193&amp;"|"&amp;COUNTIF($AL$11:$AL193,$AL193))</f>
        <v/>
      </c>
    </row>
    <row r="194" spans="2:53" ht="15" customHeight="1" x14ac:dyDescent="0.25">
      <c r="B194" s="5" t="str">
        <f t="shared" si="30"/>
        <v/>
      </c>
      <c r="C194" s="5"/>
      <c r="D194" s="5"/>
      <c r="E194" s="5"/>
      <c r="F194" s="6"/>
      <c r="G194" s="6"/>
      <c r="H194" s="7"/>
      <c r="I194" s="8"/>
      <c r="K194" s="23" t="str">
        <f>IFERROR(INDEX($AL$11:$AL$4010,MATCH(184,$AX$11:$AX$4010,0)),"")</f>
        <v/>
      </c>
      <c r="L194" s="24" t="str">
        <f t="shared" si="31"/>
        <v/>
      </c>
      <c r="M194" s="25" t="str">
        <f t="shared" si="32"/>
        <v/>
      </c>
      <c r="N194" s="25" t="str">
        <f t="shared" si="33"/>
        <v/>
      </c>
      <c r="P194" s="26" t="str">
        <f>IFERROR(INDEX($AM$11:$AM$4010,MATCH($S$8&amp;"|"&amp;184,$BA$11:$BA$4010,0)),"")</f>
        <v/>
      </c>
      <c r="Q194" s="25" t="str">
        <f>IF(P194="","",IFERROR(INDEX($AN$11:$AN$4010,MATCH($S$8&amp;"|"&amp;184,$BA$11:$BA$4010,0)),""))</f>
        <v/>
      </c>
      <c r="R194" s="25" t="str">
        <f>IF(P194="","",IFERROR(INDEX($AO$11:$AO$4010,MATCH($S$8&amp;"|"&amp;184,$BA$11:$BA$4010,0)),""))</f>
        <v/>
      </c>
      <c r="S194" s="24" t="str">
        <f>IF(P194="","",IFERROR(INDEX($AP$11:$AP$4010,MATCH($S$8&amp;"|"&amp;184,$BA$11:$BA$4010,0)),""))</f>
        <v/>
      </c>
      <c r="T194" s="24" t="str">
        <f>IF(P194="","",IFERROR(INDEX($AQ$11:$AQ$4010,MATCH($S$8&amp;"|"&amp;184,$BA$11:$BA$4010,0)),""))</f>
        <v/>
      </c>
      <c r="U194" s="38" t="str">
        <f t="shared" si="44"/>
        <v/>
      </c>
      <c r="W194" s="28" t="str">
        <f>IF(X194="","",IFERROR(INDEX($AL$11:$AL$4010,MATCH(184,$AY$11:$AY$4010,0)),""))</f>
        <v/>
      </c>
      <c r="X194" s="26" t="str">
        <f>IFERROR(INDEX($AM$11:$AM$4010,MATCH(184,$AY$11:$AY$4010,0)),"")</f>
        <v/>
      </c>
      <c r="Y194" s="25" t="str">
        <f>IF(X194="","",IFERROR(INDEX($AN$11:$AN$4010,MATCH(184,$AY$11:$AY$4010,0)),""))</f>
        <v/>
      </c>
      <c r="Z194" s="25" t="str">
        <f>IF(X194="","",IFERROR(INDEX($AO$11:$AO$4010,MATCH(184,$AY$11:$AY$4010,0)),""))</f>
        <v/>
      </c>
      <c r="AA194" s="24" t="str">
        <f>IF(X194="","",IFERROR(INDEX($AQ$11:$AQ$4010,MATCH(184,$AY$11:$AY$4010,0)),""))</f>
        <v/>
      </c>
      <c r="AB194" s="29" t="str">
        <f>IF(X194="","",IFERROR(INDEX($AR$11:$AR$4010,MATCH(184,$AY$11:$AY$4010,0)),""))</f>
        <v/>
      </c>
      <c r="AD194" s="30" t="str">
        <f>IF(AE194="","",IFERROR(INDEX($AL$11:$AL$4010,MATCH(184,$AZ$11:$AZ$4010,0)),""))</f>
        <v/>
      </c>
      <c r="AE194" s="26" t="str">
        <f>IFERROR(INDEX($AM$11:$AM$4010,MATCH(184,$AZ$11:$AZ$4010,0)),"")</f>
        <v/>
      </c>
      <c r="AF194" s="25" t="str">
        <f>IF(AE194="","",IFERROR(INDEX($AN$11:$AN$4010,MATCH(184,$AZ$11:$AZ$4010,0)),""))</f>
        <v/>
      </c>
      <c r="AG194" s="25" t="str">
        <f>IF(AE194="","",IFERROR(INDEX($AO$11:$AO$4010,MATCH(184,$AZ$11:$AZ$4010,0)),""))</f>
        <v/>
      </c>
      <c r="AH194" s="24" t="str">
        <f>IF(AE194="","",IFERROR(INDEX($AQ$11:$AQ$4010,MATCH(184,$AZ$11:$AZ$4010,0)),""))</f>
        <v/>
      </c>
      <c r="AI194" s="29" t="str">
        <f>IF(AE194="","",IFERROR(INDEX($AR$11:$AR$4010,MATCH(184,$AZ$11:$AZ$4010,0)),""))</f>
        <v/>
      </c>
      <c r="AJ194" s="29" t="str">
        <f>IF(AE194="","",IFERROR(INDEX($AT$11:$AT$4010,MATCH(184,$AZ$11:$AZ$4010,0)),""))</f>
        <v/>
      </c>
      <c r="AL194" s="31" t="str">
        <f t="shared" si="35"/>
        <v/>
      </c>
      <c r="AM194" s="26" t="str">
        <f t="shared" si="36"/>
        <v/>
      </c>
      <c r="AN194" s="32" t="str">
        <f t="shared" si="37"/>
        <v/>
      </c>
      <c r="AO194" s="32" t="str">
        <f t="shared" si="38"/>
        <v/>
      </c>
      <c r="AP194" s="24" t="str">
        <f t="shared" si="39"/>
        <v/>
      </c>
      <c r="AQ194" s="24" t="str">
        <f t="shared" si="40"/>
        <v/>
      </c>
      <c r="AR194" s="33" t="str">
        <f t="shared" si="41"/>
        <v/>
      </c>
      <c r="AS194" s="34"/>
      <c r="AT194" s="33"/>
      <c r="AV194" s="21">
        <f>IF(AND($AL194&lt;&gt;"",COUNTIF($AL$11:$AL194,$AL194)=1),1,0)</f>
        <v>0</v>
      </c>
      <c r="AW194" s="21">
        <f t="shared" si="43"/>
        <v>0</v>
      </c>
      <c r="AX194" s="21" t="str">
        <f t="shared" si="42"/>
        <v/>
      </c>
      <c r="AY194" s="21" t="str">
        <f>IF(AND($AM194&lt;&gt;"",$AS194&lt;&gt;"✓"),SUMPRODUCT(($AM$11:$AM194&lt;&gt;"")*($AS$11:$AS194&lt;&gt;"✓")),"")</f>
        <v/>
      </c>
      <c r="AZ194" s="21" t="str">
        <f>IF(AND($AM194&lt;&gt;"",$AS194="✓"),SUMPRODUCT(($AM$11:$AM194&lt;&gt;"")*($AS$11:$AS194="✓")),"")</f>
        <v/>
      </c>
      <c r="BA194" s="21" t="str">
        <f>IF($AL194="","",$AL194&amp;"|"&amp;COUNTIF($AL$11:$AL194,$AL194))</f>
        <v/>
      </c>
    </row>
    <row r="195" spans="2:53" ht="15" customHeight="1" x14ac:dyDescent="0.25">
      <c r="B195" s="5" t="str">
        <f t="shared" si="30"/>
        <v/>
      </c>
      <c r="C195" s="5"/>
      <c r="D195" s="5"/>
      <c r="E195" s="5"/>
      <c r="F195" s="6"/>
      <c r="G195" s="6"/>
      <c r="H195" s="7"/>
      <c r="I195" s="8"/>
      <c r="K195" s="9" t="str">
        <f>IFERROR(INDEX($AL$11:$AL$4010,MATCH(185,$AX$11:$AX$4010,0)),"")</f>
        <v/>
      </c>
      <c r="L195" s="10" t="str">
        <f t="shared" si="31"/>
        <v/>
      </c>
      <c r="M195" s="11" t="str">
        <f t="shared" si="32"/>
        <v/>
      </c>
      <c r="N195" s="11" t="str">
        <f t="shared" si="33"/>
        <v/>
      </c>
      <c r="P195" s="12" t="str">
        <f>IFERROR(INDEX($AM$11:$AM$4010,MATCH($S$8&amp;"|"&amp;185,$BA$11:$BA$4010,0)),"")</f>
        <v/>
      </c>
      <c r="Q195" s="11" t="str">
        <f>IF(P195="","",IFERROR(INDEX($AN$11:$AN$4010,MATCH($S$8&amp;"|"&amp;185,$BA$11:$BA$4010,0)),""))</f>
        <v/>
      </c>
      <c r="R195" s="11" t="str">
        <f>IF(P195="","",IFERROR(INDEX($AO$11:$AO$4010,MATCH($S$8&amp;"|"&amp;185,$BA$11:$BA$4010,0)),""))</f>
        <v/>
      </c>
      <c r="S195" s="10" t="str">
        <f>IF(P195="","",IFERROR(INDEX($AP$11:$AP$4010,MATCH($S$8&amp;"|"&amp;185,$BA$11:$BA$4010,0)),""))</f>
        <v/>
      </c>
      <c r="T195" s="10" t="str">
        <f>IF(P195="","",IFERROR(INDEX($AQ$11:$AQ$4010,MATCH($S$8&amp;"|"&amp;185,$BA$11:$BA$4010,0)),""))</f>
        <v/>
      </c>
      <c r="U195" s="39" t="str">
        <f t="shared" si="44"/>
        <v/>
      </c>
      <c r="W195" s="14" t="str">
        <f>IF(X195="","",IFERROR(INDEX($AL$11:$AL$4010,MATCH(185,$AY$11:$AY$4010,0)),""))</f>
        <v/>
      </c>
      <c r="X195" s="12" t="str">
        <f>IFERROR(INDEX($AM$11:$AM$4010,MATCH(185,$AY$11:$AY$4010,0)),"")</f>
        <v/>
      </c>
      <c r="Y195" s="11" t="str">
        <f>IF(X195="","",IFERROR(INDEX($AN$11:$AN$4010,MATCH(185,$AY$11:$AY$4010,0)),""))</f>
        <v/>
      </c>
      <c r="Z195" s="11" t="str">
        <f>IF(X195="","",IFERROR(INDEX($AO$11:$AO$4010,MATCH(185,$AY$11:$AY$4010,0)),""))</f>
        <v/>
      </c>
      <c r="AA195" s="10" t="str">
        <f>IF(X195="","",IFERROR(INDEX($AQ$11:$AQ$4010,MATCH(185,$AY$11:$AY$4010,0)),""))</f>
        <v/>
      </c>
      <c r="AB195" s="15" t="str">
        <f>IF(X195="","",IFERROR(INDEX($AR$11:$AR$4010,MATCH(185,$AY$11:$AY$4010,0)),""))</f>
        <v/>
      </c>
      <c r="AD195" s="16" t="str">
        <f>IF(AE195="","",IFERROR(INDEX($AL$11:$AL$4010,MATCH(185,$AZ$11:$AZ$4010,0)),""))</f>
        <v/>
      </c>
      <c r="AE195" s="12" t="str">
        <f>IFERROR(INDEX($AM$11:$AM$4010,MATCH(185,$AZ$11:$AZ$4010,0)),"")</f>
        <v/>
      </c>
      <c r="AF195" s="11" t="str">
        <f>IF(AE195="","",IFERROR(INDEX($AN$11:$AN$4010,MATCH(185,$AZ$11:$AZ$4010,0)),""))</f>
        <v/>
      </c>
      <c r="AG195" s="11" t="str">
        <f>IF(AE195="","",IFERROR(INDEX($AO$11:$AO$4010,MATCH(185,$AZ$11:$AZ$4010,0)),""))</f>
        <v/>
      </c>
      <c r="AH195" s="10" t="str">
        <f>IF(AE195="","",IFERROR(INDEX($AQ$11:$AQ$4010,MATCH(185,$AZ$11:$AZ$4010,0)),""))</f>
        <v/>
      </c>
      <c r="AI195" s="15" t="str">
        <f>IF(AE195="","",IFERROR(INDEX($AR$11:$AR$4010,MATCH(185,$AZ$11:$AZ$4010,0)),""))</f>
        <v/>
      </c>
      <c r="AJ195" s="15" t="str">
        <f>IF(AE195="","",IFERROR(INDEX($AT$11:$AT$4010,MATCH(185,$AZ$11:$AZ$4010,0)),""))</f>
        <v/>
      </c>
      <c r="AL195" s="17" t="str">
        <f t="shared" si="35"/>
        <v/>
      </c>
      <c r="AM195" s="12" t="str">
        <f t="shared" si="36"/>
        <v/>
      </c>
      <c r="AN195" s="18" t="str">
        <f t="shared" si="37"/>
        <v/>
      </c>
      <c r="AO195" s="18" t="str">
        <f t="shared" si="38"/>
        <v/>
      </c>
      <c r="AP195" s="10" t="str">
        <f t="shared" si="39"/>
        <v/>
      </c>
      <c r="AQ195" s="10" t="str">
        <f t="shared" si="40"/>
        <v/>
      </c>
      <c r="AR195" s="19" t="str">
        <f t="shared" si="41"/>
        <v/>
      </c>
      <c r="AS195" s="20"/>
      <c r="AT195" s="19"/>
      <c r="AV195" s="21">
        <f>IF(AND($AL195&lt;&gt;"",COUNTIF($AL$11:$AL195,$AL195)=1),1,0)</f>
        <v>0</v>
      </c>
      <c r="AW195" s="21">
        <f t="shared" si="43"/>
        <v>0</v>
      </c>
      <c r="AX195" s="21" t="str">
        <f t="shared" si="42"/>
        <v/>
      </c>
      <c r="AY195" s="21" t="str">
        <f>IF(AND($AM195&lt;&gt;"",$AS195&lt;&gt;"✓"),SUMPRODUCT(($AM$11:$AM195&lt;&gt;"")*($AS$11:$AS195&lt;&gt;"✓")),"")</f>
        <v/>
      </c>
      <c r="AZ195" s="21" t="str">
        <f>IF(AND($AM195&lt;&gt;"",$AS195="✓"),SUMPRODUCT(($AM$11:$AM195&lt;&gt;"")*($AS$11:$AS195="✓")),"")</f>
        <v/>
      </c>
      <c r="BA195" s="21" t="str">
        <f>IF($AL195="","",$AL195&amp;"|"&amp;COUNTIF($AL$11:$AL195,$AL195))</f>
        <v/>
      </c>
    </row>
    <row r="196" spans="2:53" ht="15" customHeight="1" x14ac:dyDescent="0.25">
      <c r="B196" s="5" t="str">
        <f t="shared" si="30"/>
        <v/>
      </c>
      <c r="C196" s="5"/>
      <c r="D196" s="5"/>
      <c r="E196" s="5"/>
      <c r="F196" s="6"/>
      <c r="G196" s="6"/>
      <c r="H196" s="7"/>
      <c r="I196" s="8"/>
      <c r="K196" s="23" t="str">
        <f>IFERROR(INDEX($AL$11:$AL$4010,MATCH(186,$AX$11:$AX$4010,0)),"")</f>
        <v/>
      </c>
      <c r="L196" s="24" t="str">
        <f t="shared" si="31"/>
        <v/>
      </c>
      <c r="M196" s="25" t="str">
        <f t="shared" si="32"/>
        <v/>
      </c>
      <c r="N196" s="25" t="str">
        <f t="shared" si="33"/>
        <v/>
      </c>
      <c r="P196" s="26" t="str">
        <f>IFERROR(INDEX($AM$11:$AM$4010,MATCH($S$8&amp;"|"&amp;186,$BA$11:$BA$4010,0)),"")</f>
        <v/>
      </c>
      <c r="Q196" s="25" t="str">
        <f>IF(P196="","",IFERROR(INDEX($AN$11:$AN$4010,MATCH($S$8&amp;"|"&amp;186,$BA$11:$BA$4010,0)),""))</f>
        <v/>
      </c>
      <c r="R196" s="25" t="str">
        <f>IF(P196="","",IFERROR(INDEX($AO$11:$AO$4010,MATCH($S$8&amp;"|"&amp;186,$BA$11:$BA$4010,0)),""))</f>
        <v/>
      </c>
      <c r="S196" s="24" t="str">
        <f>IF(P196="","",IFERROR(INDEX($AP$11:$AP$4010,MATCH($S$8&amp;"|"&amp;186,$BA$11:$BA$4010,0)),""))</f>
        <v/>
      </c>
      <c r="T196" s="24" t="str">
        <f>IF(P196="","",IFERROR(INDEX($AQ$11:$AQ$4010,MATCH($S$8&amp;"|"&amp;186,$BA$11:$BA$4010,0)),""))</f>
        <v/>
      </c>
      <c r="U196" s="38" t="str">
        <f t="shared" si="44"/>
        <v/>
      </c>
      <c r="W196" s="28" t="str">
        <f>IF(X196="","",IFERROR(INDEX($AL$11:$AL$4010,MATCH(186,$AY$11:$AY$4010,0)),""))</f>
        <v/>
      </c>
      <c r="X196" s="26" t="str">
        <f>IFERROR(INDEX($AM$11:$AM$4010,MATCH(186,$AY$11:$AY$4010,0)),"")</f>
        <v/>
      </c>
      <c r="Y196" s="25" t="str">
        <f>IF(X196="","",IFERROR(INDEX($AN$11:$AN$4010,MATCH(186,$AY$11:$AY$4010,0)),""))</f>
        <v/>
      </c>
      <c r="Z196" s="25" t="str">
        <f>IF(X196="","",IFERROR(INDEX($AO$11:$AO$4010,MATCH(186,$AY$11:$AY$4010,0)),""))</f>
        <v/>
      </c>
      <c r="AA196" s="24" t="str">
        <f>IF(X196="","",IFERROR(INDEX($AQ$11:$AQ$4010,MATCH(186,$AY$11:$AY$4010,0)),""))</f>
        <v/>
      </c>
      <c r="AB196" s="29" t="str">
        <f>IF(X196="","",IFERROR(INDEX($AR$11:$AR$4010,MATCH(186,$AY$11:$AY$4010,0)),""))</f>
        <v/>
      </c>
      <c r="AD196" s="30" t="str">
        <f>IF(AE196="","",IFERROR(INDEX($AL$11:$AL$4010,MATCH(186,$AZ$11:$AZ$4010,0)),""))</f>
        <v/>
      </c>
      <c r="AE196" s="26" t="str">
        <f>IFERROR(INDEX($AM$11:$AM$4010,MATCH(186,$AZ$11:$AZ$4010,0)),"")</f>
        <v/>
      </c>
      <c r="AF196" s="25" t="str">
        <f>IF(AE196="","",IFERROR(INDEX($AN$11:$AN$4010,MATCH(186,$AZ$11:$AZ$4010,0)),""))</f>
        <v/>
      </c>
      <c r="AG196" s="25" t="str">
        <f>IF(AE196="","",IFERROR(INDEX($AO$11:$AO$4010,MATCH(186,$AZ$11:$AZ$4010,0)),""))</f>
        <v/>
      </c>
      <c r="AH196" s="24" t="str">
        <f>IF(AE196="","",IFERROR(INDEX($AQ$11:$AQ$4010,MATCH(186,$AZ$11:$AZ$4010,0)),""))</f>
        <v/>
      </c>
      <c r="AI196" s="29" t="str">
        <f>IF(AE196="","",IFERROR(INDEX($AR$11:$AR$4010,MATCH(186,$AZ$11:$AZ$4010,0)),""))</f>
        <v/>
      </c>
      <c r="AJ196" s="29" t="str">
        <f>IF(AE196="","",IFERROR(INDEX($AT$11:$AT$4010,MATCH(186,$AZ$11:$AZ$4010,0)),""))</f>
        <v/>
      </c>
      <c r="AL196" s="31" t="str">
        <f t="shared" si="35"/>
        <v/>
      </c>
      <c r="AM196" s="26" t="str">
        <f t="shared" si="36"/>
        <v/>
      </c>
      <c r="AN196" s="32" t="str">
        <f t="shared" si="37"/>
        <v/>
      </c>
      <c r="AO196" s="32" t="str">
        <f t="shared" si="38"/>
        <v/>
      </c>
      <c r="AP196" s="24" t="str">
        <f t="shared" si="39"/>
        <v/>
      </c>
      <c r="AQ196" s="24" t="str">
        <f t="shared" si="40"/>
        <v/>
      </c>
      <c r="AR196" s="33" t="str">
        <f t="shared" si="41"/>
        <v/>
      </c>
      <c r="AS196" s="34"/>
      <c r="AT196" s="33"/>
      <c r="AV196" s="21">
        <f>IF(AND($AL196&lt;&gt;"",COUNTIF($AL$11:$AL196,$AL196)=1),1,0)</f>
        <v>0</v>
      </c>
      <c r="AW196" s="21">
        <f t="shared" si="43"/>
        <v>0</v>
      </c>
      <c r="AX196" s="21" t="str">
        <f t="shared" si="42"/>
        <v/>
      </c>
      <c r="AY196" s="21" t="str">
        <f>IF(AND($AM196&lt;&gt;"",$AS196&lt;&gt;"✓"),SUMPRODUCT(($AM$11:$AM196&lt;&gt;"")*($AS$11:$AS196&lt;&gt;"✓")),"")</f>
        <v/>
      </c>
      <c r="AZ196" s="21" t="str">
        <f>IF(AND($AM196&lt;&gt;"",$AS196="✓"),SUMPRODUCT(($AM$11:$AM196&lt;&gt;"")*($AS$11:$AS196="✓")),"")</f>
        <v/>
      </c>
      <c r="BA196" s="21" t="str">
        <f>IF($AL196="","",$AL196&amp;"|"&amp;COUNTIF($AL$11:$AL196,$AL196))</f>
        <v/>
      </c>
    </row>
    <row r="197" spans="2:53" ht="15" customHeight="1" x14ac:dyDescent="0.25">
      <c r="B197" s="5" t="str">
        <f t="shared" si="30"/>
        <v/>
      </c>
      <c r="C197" s="5"/>
      <c r="D197" s="5"/>
      <c r="E197" s="5"/>
      <c r="F197" s="6"/>
      <c r="G197" s="6"/>
      <c r="H197" s="7"/>
      <c r="I197" s="8"/>
      <c r="K197" s="9" t="str">
        <f>IFERROR(INDEX($AL$11:$AL$4010,MATCH(187,$AX$11:$AX$4010,0)),"")</f>
        <v/>
      </c>
      <c r="L197" s="10" t="str">
        <f t="shared" si="31"/>
        <v/>
      </c>
      <c r="M197" s="11" t="str">
        <f t="shared" si="32"/>
        <v/>
      </c>
      <c r="N197" s="11" t="str">
        <f t="shared" si="33"/>
        <v/>
      </c>
      <c r="P197" s="12" t="str">
        <f>IFERROR(INDEX($AM$11:$AM$4010,MATCH($S$8&amp;"|"&amp;187,$BA$11:$BA$4010,0)),"")</f>
        <v/>
      </c>
      <c r="Q197" s="11" t="str">
        <f>IF(P197="","",IFERROR(INDEX($AN$11:$AN$4010,MATCH($S$8&amp;"|"&amp;187,$BA$11:$BA$4010,0)),""))</f>
        <v/>
      </c>
      <c r="R197" s="11" t="str">
        <f>IF(P197="","",IFERROR(INDEX($AO$11:$AO$4010,MATCH($S$8&amp;"|"&amp;187,$BA$11:$BA$4010,0)),""))</f>
        <v/>
      </c>
      <c r="S197" s="10" t="str">
        <f>IF(P197="","",IFERROR(INDEX($AP$11:$AP$4010,MATCH($S$8&amp;"|"&amp;187,$BA$11:$BA$4010,0)),""))</f>
        <v/>
      </c>
      <c r="T197" s="10" t="str">
        <f>IF(P197="","",IFERROR(INDEX($AQ$11:$AQ$4010,MATCH($S$8&amp;"|"&amp;187,$BA$11:$BA$4010,0)),""))</f>
        <v/>
      </c>
      <c r="U197" s="39" t="str">
        <f t="shared" si="44"/>
        <v/>
      </c>
      <c r="W197" s="14" t="str">
        <f>IF(X197="","",IFERROR(INDEX($AL$11:$AL$4010,MATCH(187,$AY$11:$AY$4010,0)),""))</f>
        <v/>
      </c>
      <c r="X197" s="12" t="str">
        <f>IFERROR(INDEX($AM$11:$AM$4010,MATCH(187,$AY$11:$AY$4010,0)),"")</f>
        <v/>
      </c>
      <c r="Y197" s="11" t="str">
        <f>IF(X197="","",IFERROR(INDEX($AN$11:$AN$4010,MATCH(187,$AY$11:$AY$4010,0)),""))</f>
        <v/>
      </c>
      <c r="Z197" s="11" t="str">
        <f>IF(X197="","",IFERROR(INDEX($AO$11:$AO$4010,MATCH(187,$AY$11:$AY$4010,0)),""))</f>
        <v/>
      </c>
      <c r="AA197" s="10" t="str">
        <f>IF(X197="","",IFERROR(INDEX($AQ$11:$AQ$4010,MATCH(187,$AY$11:$AY$4010,0)),""))</f>
        <v/>
      </c>
      <c r="AB197" s="15" t="str">
        <f>IF(X197="","",IFERROR(INDEX($AR$11:$AR$4010,MATCH(187,$AY$11:$AY$4010,0)),""))</f>
        <v/>
      </c>
      <c r="AD197" s="16" t="str">
        <f>IF(AE197="","",IFERROR(INDEX($AL$11:$AL$4010,MATCH(187,$AZ$11:$AZ$4010,0)),""))</f>
        <v/>
      </c>
      <c r="AE197" s="12" t="str">
        <f>IFERROR(INDEX($AM$11:$AM$4010,MATCH(187,$AZ$11:$AZ$4010,0)),"")</f>
        <v/>
      </c>
      <c r="AF197" s="11" t="str">
        <f>IF(AE197="","",IFERROR(INDEX($AN$11:$AN$4010,MATCH(187,$AZ$11:$AZ$4010,0)),""))</f>
        <v/>
      </c>
      <c r="AG197" s="11" t="str">
        <f>IF(AE197="","",IFERROR(INDEX($AO$11:$AO$4010,MATCH(187,$AZ$11:$AZ$4010,0)),""))</f>
        <v/>
      </c>
      <c r="AH197" s="10" t="str">
        <f>IF(AE197="","",IFERROR(INDEX($AQ$11:$AQ$4010,MATCH(187,$AZ$11:$AZ$4010,0)),""))</f>
        <v/>
      </c>
      <c r="AI197" s="15" t="str">
        <f>IF(AE197="","",IFERROR(INDEX($AR$11:$AR$4010,MATCH(187,$AZ$11:$AZ$4010,0)),""))</f>
        <v/>
      </c>
      <c r="AJ197" s="15" t="str">
        <f>IF(AE197="","",IFERROR(INDEX($AT$11:$AT$4010,MATCH(187,$AZ$11:$AZ$4010,0)),""))</f>
        <v/>
      </c>
      <c r="AL197" s="17" t="str">
        <f t="shared" si="35"/>
        <v/>
      </c>
      <c r="AM197" s="12" t="str">
        <f t="shared" si="36"/>
        <v/>
      </c>
      <c r="AN197" s="18" t="str">
        <f t="shared" si="37"/>
        <v/>
      </c>
      <c r="AO197" s="18" t="str">
        <f t="shared" si="38"/>
        <v/>
      </c>
      <c r="AP197" s="10" t="str">
        <f t="shared" si="39"/>
        <v/>
      </c>
      <c r="AQ197" s="10" t="str">
        <f t="shared" si="40"/>
        <v/>
      </c>
      <c r="AR197" s="19" t="str">
        <f t="shared" si="41"/>
        <v/>
      </c>
      <c r="AS197" s="20"/>
      <c r="AT197" s="19"/>
      <c r="AV197" s="21">
        <f>IF(AND($AL197&lt;&gt;"",COUNTIF($AL$11:$AL197,$AL197)=1),1,0)</f>
        <v>0</v>
      </c>
      <c r="AW197" s="21">
        <f t="shared" si="43"/>
        <v>0</v>
      </c>
      <c r="AX197" s="21" t="str">
        <f t="shared" si="42"/>
        <v/>
      </c>
      <c r="AY197" s="21" t="str">
        <f>IF(AND($AM197&lt;&gt;"",$AS197&lt;&gt;"✓"),SUMPRODUCT(($AM$11:$AM197&lt;&gt;"")*($AS$11:$AS197&lt;&gt;"✓")),"")</f>
        <v/>
      </c>
      <c r="AZ197" s="21" t="str">
        <f>IF(AND($AM197&lt;&gt;"",$AS197="✓"),SUMPRODUCT(($AM$11:$AM197&lt;&gt;"")*($AS$11:$AS197="✓")),"")</f>
        <v/>
      </c>
      <c r="BA197" s="21" t="str">
        <f>IF($AL197="","",$AL197&amp;"|"&amp;COUNTIF($AL$11:$AL197,$AL197))</f>
        <v/>
      </c>
    </row>
    <row r="198" spans="2:53" ht="15" customHeight="1" x14ac:dyDescent="0.25">
      <c r="B198" s="5" t="str">
        <f t="shared" si="30"/>
        <v/>
      </c>
      <c r="C198" s="5"/>
      <c r="D198" s="5"/>
      <c r="E198" s="5"/>
      <c r="F198" s="6"/>
      <c r="G198" s="6"/>
      <c r="H198" s="7"/>
      <c r="I198" s="8"/>
      <c r="K198" s="23" t="str">
        <f>IFERROR(INDEX($AL$11:$AL$4010,MATCH(188,$AX$11:$AX$4010,0)),"")</f>
        <v/>
      </c>
      <c r="L198" s="24" t="str">
        <f t="shared" si="31"/>
        <v/>
      </c>
      <c r="M198" s="25" t="str">
        <f t="shared" si="32"/>
        <v/>
      </c>
      <c r="N198" s="25" t="str">
        <f t="shared" si="33"/>
        <v/>
      </c>
      <c r="P198" s="26" t="str">
        <f>IFERROR(INDEX($AM$11:$AM$4010,MATCH($S$8&amp;"|"&amp;188,$BA$11:$BA$4010,0)),"")</f>
        <v/>
      </c>
      <c r="Q198" s="25" t="str">
        <f>IF(P198="","",IFERROR(INDEX($AN$11:$AN$4010,MATCH($S$8&amp;"|"&amp;188,$BA$11:$BA$4010,0)),""))</f>
        <v/>
      </c>
      <c r="R198" s="25" t="str">
        <f>IF(P198="","",IFERROR(INDEX($AO$11:$AO$4010,MATCH($S$8&amp;"|"&amp;188,$BA$11:$BA$4010,0)),""))</f>
        <v/>
      </c>
      <c r="S198" s="24" t="str">
        <f>IF(P198="","",IFERROR(INDEX($AP$11:$AP$4010,MATCH($S$8&amp;"|"&amp;188,$BA$11:$BA$4010,0)),""))</f>
        <v/>
      </c>
      <c r="T198" s="24" t="str">
        <f>IF(P198="","",IFERROR(INDEX($AQ$11:$AQ$4010,MATCH($S$8&amp;"|"&amp;188,$BA$11:$BA$4010,0)),""))</f>
        <v/>
      </c>
      <c r="U198" s="38" t="str">
        <f t="shared" si="44"/>
        <v/>
      </c>
      <c r="W198" s="28" t="str">
        <f>IF(X198="","",IFERROR(INDEX($AL$11:$AL$4010,MATCH(188,$AY$11:$AY$4010,0)),""))</f>
        <v/>
      </c>
      <c r="X198" s="26" t="str">
        <f>IFERROR(INDEX($AM$11:$AM$4010,MATCH(188,$AY$11:$AY$4010,0)),"")</f>
        <v/>
      </c>
      <c r="Y198" s="25" t="str">
        <f>IF(X198="","",IFERROR(INDEX($AN$11:$AN$4010,MATCH(188,$AY$11:$AY$4010,0)),""))</f>
        <v/>
      </c>
      <c r="Z198" s="25" t="str">
        <f>IF(X198="","",IFERROR(INDEX($AO$11:$AO$4010,MATCH(188,$AY$11:$AY$4010,0)),""))</f>
        <v/>
      </c>
      <c r="AA198" s="24" t="str">
        <f>IF(X198="","",IFERROR(INDEX($AQ$11:$AQ$4010,MATCH(188,$AY$11:$AY$4010,0)),""))</f>
        <v/>
      </c>
      <c r="AB198" s="29" t="str">
        <f>IF(X198="","",IFERROR(INDEX($AR$11:$AR$4010,MATCH(188,$AY$11:$AY$4010,0)),""))</f>
        <v/>
      </c>
      <c r="AD198" s="30" t="str">
        <f>IF(AE198="","",IFERROR(INDEX($AL$11:$AL$4010,MATCH(188,$AZ$11:$AZ$4010,0)),""))</f>
        <v/>
      </c>
      <c r="AE198" s="26" t="str">
        <f>IFERROR(INDEX($AM$11:$AM$4010,MATCH(188,$AZ$11:$AZ$4010,0)),"")</f>
        <v/>
      </c>
      <c r="AF198" s="25" t="str">
        <f>IF(AE198="","",IFERROR(INDEX($AN$11:$AN$4010,MATCH(188,$AZ$11:$AZ$4010,0)),""))</f>
        <v/>
      </c>
      <c r="AG198" s="25" t="str">
        <f>IF(AE198="","",IFERROR(INDEX($AO$11:$AO$4010,MATCH(188,$AZ$11:$AZ$4010,0)),""))</f>
        <v/>
      </c>
      <c r="AH198" s="24" t="str">
        <f>IF(AE198="","",IFERROR(INDEX($AQ$11:$AQ$4010,MATCH(188,$AZ$11:$AZ$4010,0)),""))</f>
        <v/>
      </c>
      <c r="AI198" s="29" t="str">
        <f>IF(AE198="","",IFERROR(INDEX($AR$11:$AR$4010,MATCH(188,$AZ$11:$AZ$4010,0)),""))</f>
        <v/>
      </c>
      <c r="AJ198" s="29" t="str">
        <f>IF(AE198="","",IFERROR(INDEX($AT$11:$AT$4010,MATCH(188,$AZ$11:$AZ$4010,0)),""))</f>
        <v/>
      </c>
      <c r="AL198" s="31" t="str">
        <f t="shared" si="35"/>
        <v/>
      </c>
      <c r="AM198" s="26" t="str">
        <f t="shared" si="36"/>
        <v/>
      </c>
      <c r="AN198" s="32" t="str">
        <f t="shared" si="37"/>
        <v/>
      </c>
      <c r="AO198" s="32" t="str">
        <f t="shared" si="38"/>
        <v/>
      </c>
      <c r="AP198" s="24" t="str">
        <f t="shared" si="39"/>
        <v/>
      </c>
      <c r="AQ198" s="24" t="str">
        <f t="shared" si="40"/>
        <v/>
      </c>
      <c r="AR198" s="33" t="str">
        <f t="shared" si="41"/>
        <v/>
      </c>
      <c r="AS198" s="34"/>
      <c r="AT198" s="33"/>
      <c r="AV198" s="21">
        <f>IF(AND($AL198&lt;&gt;"",COUNTIF($AL$11:$AL198,$AL198)=1),1,0)</f>
        <v>0</v>
      </c>
      <c r="AW198" s="21">
        <f t="shared" si="43"/>
        <v>0</v>
      </c>
      <c r="AX198" s="21" t="str">
        <f t="shared" si="42"/>
        <v/>
      </c>
      <c r="AY198" s="21" t="str">
        <f>IF(AND($AM198&lt;&gt;"",$AS198&lt;&gt;"✓"),SUMPRODUCT(($AM$11:$AM198&lt;&gt;"")*($AS$11:$AS198&lt;&gt;"✓")),"")</f>
        <v/>
      </c>
      <c r="AZ198" s="21" t="str">
        <f>IF(AND($AM198&lt;&gt;"",$AS198="✓"),SUMPRODUCT(($AM$11:$AM198&lt;&gt;"")*($AS$11:$AS198="✓")),"")</f>
        <v/>
      </c>
      <c r="BA198" s="21" t="str">
        <f>IF($AL198="","",$AL198&amp;"|"&amp;COUNTIF($AL$11:$AL198,$AL198))</f>
        <v/>
      </c>
    </row>
    <row r="199" spans="2:53" ht="15" customHeight="1" x14ac:dyDescent="0.25">
      <c r="B199" s="5" t="str">
        <f t="shared" si="30"/>
        <v/>
      </c>
      <c r="C199" s="5"/>
      <c r="D199" s="5"/>
      <c r="E199" s="5"/>
      <c r="F199" s="6"/>
      <c r="G199" s="6"/>
      <c r="H199" s="7"/>
      <c r="I199" s="8"/>
      <c r="K199" s="9" t="str">
        <f>IFERROR(INDEX($AL$11:$AL$4010,MATCH(189,$AX$11:$AX$4010,0)),"")</f>
        <v/>
      </c>
      <c r="L199" s="10" t="str">
        <f t="shared" si="31"/>
        <v/>
      </c>
      <c r="M199" s="11" t="str">
        <f t="shared" si="32"/>
        <v/>
      </c>
      <c r="N199" s="11" t="str">
        <f t="shared" si="33"/>
        <v/>
      </c>
      <c r="P199" s="12" t="str">
        <f>IFERROR(INDEX($AM$11:$AM$4010,MATCH($S$8&amp;"|"&amp;189,$BA$11:$BA$4010,0)),"")</f>
        <v/>
      </c>
      <c r="Q199" s="11" t="str">
        <f>IF(P199="","",IFERROR(INDEX($AN$11:$AN$4010,MATCH($S$8&amp;"|"&amp;189,$BA$11:$BA$4010,0)),""))</f>
        <v/>
      </c>
      <c r="R199" s="11" t="str">
        <f>IF(P199="","",IFERROR(INDEX($AO$11:$AO$4010,MATCH($S$8&amp;"|"&amp;189,$BA$11:$BA$4010,0)),""))</f>
        <v/>
      </c>
      <c r="S199" s="10" t="str">
        <f>IF(P199="","",IFERROR(INDEX($AP$11:$AP$4010,MATCH($S$8&amp;"|"&amp;189,$BA$11:$BA$4010,0)),""))</f>
        <v/>
      </c>
      <c r="T199" s="10" t="str">
        <f>IF(P199="","",IFERROR(INDEX($AQ$11:$AQ$4010,MATCH($S$8&amp;"|"&amp;189,$BA$11:$BA$4010,0)),""))</f>
        <v/>
      </c>
      <c r="U199" s="39" t="str">
        <f t="shared" si="44"/>
        <v/>
      </c>
      <c r="W199" s="14" t="str">
        <f>IF(X199="","",IFERROR(INDEX($AL$11:$AL$4010,MATCH(189,$AY$11:$AY$4010,0)),""))</f>
        <v/>
      </c>
      <c r="X199" s="12" t="str">
        <f>IFERROR(INDEX($AM$11:$AM$4010,MATCH(189,$AY$11:$AY$4010,0)),"")</f>
        <v/>
      </c>
      <c r="Y199" s="11" t="str">
        <f>IF(X199="","",IFERROR(INDEX($AN$11:$AN$4010,MATCH(189,$AY$11:$AY$4010,0)),""))</f>
        <v/>
      </c>
      <c r="Z199" s="11" t="str">
        <f>IF(X199="","",IFERROR(INDEX($AO$11:$AO$4010,MATCH(189,$AY$11:$AY$4010,0)),""))</f>
        <v/>
      </c>
      <c r="AA199" s="10" t="str">
        <f>IF(X199="","",IFERROR(INDEX($AQ$11:$AQ$4010,MATCH(189,$AY$11:$AY$4010,0)),""))</f>
        <v/>
      </c>
      <c r="AB199" s="15" t="str">
        <f>IF(X199="","",IFERROR(INDEX($AR$11:$AR$4010,MATCH(189,$AY$11:$AY$4010,0)),""))</f>
        <v/>
      </c>
      <c r="AD199" s="16" t="str">
        <f>IF(AE199="","",IFERROR(INDEX($AL$11:$AL$4010,MATCH(189,$AZ$11:$AZ$4010,0)),""))</f>
        <v/>
      </c>
      <c r="AE199" s="12" t="str">
        <f>IFERROR(INDEX($AM$11:$AM$4010,MATCH(189,$AZ$11:$AZ$4010,0)),"")</f>
        <v/>
      </c>
      <c r="AF199" s="11" t="str">
        <f>IF(AE199="","",IFERROR(INDEX($AN$11:$AN$4010,MATCH(189,$AZ$11:$AZ$4010,0)),""))</f>
        <v/>
      </c>
      <c r="AG199" s="11" t="str">
        <f>IF(AE199="","",IFERROR(INDEX($AO$11:$AO$4010,MATCH(189,$AZ$11:$AZ$4010,0)),""))</f>
        <v/>
      </c>
      <c r="AH199" s="10" t="str">
        <f>IF(AE199="","",IFERROR(INDEX($AQ$11:$AQ$4010,MATCH(189,$AZ$11:$AZ$4010,0)),""))</f>
        <v/>
      </c>
      <c r="AI199" s="15" t="str">
        <f>IF(AE199="","",IFERROR(INDEX($AR$11:$AR$4010,MATCH(189,$AZ$11:$AZ$4010,0)),""))</f>
        <v/>
      </c>
      <c r="AJ199" s="15" t="str">
        <f>IF(AE199="","",IFERROR(INDEX($AT$11:$AT$4010,MATCH(189,$AZ$11:$AZ$4010,0)),""))</f>
        <v/>
      </c>
      <c r="AL199" s="17" t="str">
        <f t="shared" si="35"/>
        <v/>
      </c>
      <c r="AM199" s="12" t="str">
        <f t="shared" si="36"/>
        <v/>
      </c>
      <c r="AN199" s="18" t="str">
        <f t="shared" si="37"/>
        <v/>
      </c>
      <c r="AO199" s="18" t="str">
        <f t="shared" si="38"/>
        <v/>
      </c>
      <c r="AP199" s="10" t="str">
        <f t="shared" si="39"/>
        <v/>
      </c>
      <c r="AQ199" s="10" t="str">
        <f t="shared" si="40"/>
        <v/>
      </c>
      <c r="AR199" s="19" t="str">
        <f t="shared" si="41"/>
        <v/>
      </c>
      <c r="AS199" s="20"/>
      <c r="AT199" s="19"/>
      <c r="AV199" s="21">
        <f>IF(AND($AL199&lt;&gt;"",COUNTIF($AL$11:$AL199,$AL199)=1),1,0)</f>
        <v>0</v>
      </c>
      <c r="AW199" s="21">
        <f t="shared" si="43"/>
        <v>0</v>
      </c>
      <c r="AX199" s="21" t="str">
        <f t="shared" si="42"/>
        <v/>
      </c>
      <c r="AY199" s="21" t="str">
        <f>IF(AND($AM199&lt;&gt;"",$AS199&lt;&gt;"✓"),SUMPRODUCT(($AM$11:$AM199&lt;&gt;"")*($AS$11:$AS199&lt;&gt;"✓")),"")</f>
        <v/>
      </c>
      <c r="AZ199" s="21" t="str">
        <f>IF(AND($AM199&lt;&gt;"",$AS199="✓"),SUMPRODUCT(($AM$11:$AM199&lt;&gt;"")*($AS$11:$AS199="✓")),"")</f>
        <v/>
      </c>
      <c r="BA199" s="21" t="str">
        <f>IF($AL199="","",$AL199&amp;"|"&amp;COUNTIF($AL$11:$AL199,$AL199))</f>
        <v/>
      </c>
    </row>
    <row r="200" spans="2:53" ht="15" customHeight="1" x14ac:dyDescent="0.25">
      <c r="B200" s="5" t="str">
        <f t="shared" si="30"/>
        <v/>
      </c>
      <c r="C200" s="5"/>
      <c r="D200" s="5"/>
      <c r="E200" s="5"/>
      <c r="F200" s="6"/>
      <c r="G200" s="6"/>
      <c r="H200" s="7"/>
      <c r="I200" s="8"/>
      <c r="K200" s="23" t="str">
        <f>IFERROR(INDEX($AL$11:$AL$4010,MATCH(190,$AX$11:$AX$4010,0)),"")</f>
        <v/>
      </c>
      <c r="L200" s="24" t="str">
        <f t="shared" si="31"/>
        <v/>
      </c>
      <c r="M200" s="25" t="str">
        <f t="shared" si="32"/>
        <v/>
      </c>
      <c r="N200" s="25" t="str">
        <f t="shared" si="33"/>
        <v/>
      </c>
      <c r="P200" s="26" t="str">
        <f>IFERROR(INDEX($AM$11:$AM$4010,MATCH($S$8&amp;"|"&amp;190,$BA$11:$BA$4010,0)),"")</f>
        <v/>
      </c>
      <c r="Q200" s="25" t="str">
        <f>IF(P200="","",IFERROR(INDEX($AN$11:$AN$4010,MATCH($S$8&amp;"|"&amp;190,$BA$11:$BA$4010,0)),""))</f>
        <v/>
      </c>
      <c r="R200" s="25" t="str">
        <f>IF(P200="","",IFERROR(INDEX($AO$11:$AO$4010,MATCH($S$8&amp;"|"&amp;190,$BA$11:$BA$4010,0)),""))</f>
        <v/>
      </c>
      <c r="S200" s="24" t="str">
        <f>IF(P200="","",IFERROR(INDEX($AP$11:$AP$4010,MATCH($S$8&amp;"|"&amp;190,$BA$11:$BA$4010,0)),""))</f>
        <v/>
      </c>
      <c r="T200" s="24" t="str">
        <f>IF(P200="","",IFERROR(INDEX($AQ$11:$AQ$4010,MATCH($S$8&amp;"|"&amp;190,$BA$11:$BA$4010,0)),""))</f>
        <v/>
      </c>
      <c r="U200" s="38" t="str">
        <f t="shared" si="44"/>
        <v/>
      </c>
      <c r="W200" s="28" t="str">
        <f>IF(X200="","",IFERROR(INDEX($AL$11:$AL$4010,MATCH(190,$AY$11:$AY$4010,0)),""))</f>
        <v/>
      </c>
      <c r="X200" s="26" t="str">
        <f>IFERROR(INDEX($AM$11:$AM$4010,MATCH(190,$AY$11:$AY$4010,0)),"")</f>
        <v/>
      </c>
      <c r="Y200" s="25" t="str">
        <f>IF(X200="","",IFERROR(INDEX($AN$11:$AN$4010,MATCH(190,$AY$11:$AY$4010,0)),""))</f>
        <v/>
      </c>
      <c r="Z200" s="25" t="str">
        <f>IF(X200="","",IFERROR(INDEX($AO$11:$AO$4010,MATCH(190,$AY$11:$AY$4010,0)),""))</f>
        <v/>
      </c>
      <c r="AA200" s="24" t="str">
        <f>IF(X200="","",IFERROR(INDEX($AQ$11:$AQ$4010,MATCH(190,$AY$11:$AY$4010,0)),""))</f>
        <v/>
      </c>
      <c r="AB200" s="29" t="str">
        <f>IF(X200="","",IFERROR(INDEX($AR$11:$AR$4010,MATCH(190,$AY$11:$AY$4010,0)),""))</f>
        <v/>
      </c>
      <c r="AD200" s="30" t="str">
        <f>IF(AE200="","",IFERROR(INDEX($AL$11:$AL$4010,MATCH(190,$AZ$11:$AZ$4010,0)),""))</f>
        <v/>
      </c>
      <c r="AE200" s="26" t="str">
        <f>IFERROR(INDEX($AM$11:$AM$4010,MATCH(190,$AZ$11:$AZ$4010,0)),"")</f>
        <v/>
      </c>
      <c r="AF200" s="25" t="str">
        <f>IF(AE200="","",IFERROR(INDEX($AN$11:$AN$4010,MATCH(190,$AZ$11:$AZ$4010,0)),""))</f>
        <v/>
      </c>
      <c r="AG200" s="25" t="str">
        <f>IF(AE200="","",IFERROR(INDEX($AO$11:$AO$4010,MATCH(190,$AZ$11:$AZ$4010,0)),""))</f>
        <v/>
      </c>
      <c r="AH200" s="24" t="str">
        <f>IF(AE200="","",IFERROR(INDEX($AQ$11:$AQ$4010,MATCH(190,$AZ$11:$AZ$4010,0)),""))</f>
        <v/>
      </c>
      <c r="AI200" s="29" t="str">
        <f>IF(AE200="","",IFERROR(INDEX($AR$11:$AR$4010,MATCH(190,$AZ$11:$AZ$4010,0)),""))</f>
        <v/>
      </c>
      <c r="AJ200" s="29" t="str">
        <f>IF(AE200="","",IFERROR(INDEX($AT$11:$AT$4010,MATCH(190,$AZ$11:$AZ$4010,0)),""))</f>
        <v/>
      </c>
      <c r="AL200" s="31" t="str">
        <f t="shared" si="35"/>
        <v/>
      </c>
      <c r="AM200" s="26" t="str">
        <f t="shared" si="36"/>
        <v/>
      </c>
      <c r="AN200" s="32" t="str">
        <f t="shared" si="37"/>
        <v/>
      </c>
      <c r="AO200" s="32" t="str">
        <f t="shared" si="38"/>
        <v/>
      </c>
      <c r="AP200" s="24" t="str">
        <f t="shared" si="39"/>
        <v/>
      </c>
      <c r="AQ200" s="24" t="str">
        <f t="shared" si="40"/>
        <v/>
      </c>
      <c r="AR200" s="33" t="str">
        <f t="shared" si="41"/>
        <v/>
      </c>
      <c r="AS200" s="34"/>
      <c r="AT200" s="33"/>
      <c r="AV200" s="21">
        <f>IF(AND($AL200&lt;&gt;"",COUNTIF($AL$11:$AL200,$AL200)=1),1,0)</f>
        <v>0</v>
      </c>
      <c r="AW200" s="21">
        <f t="shared" si="43"/>
        <v>0</v>
      </c>
      <c r="AX200" s="21" t="str">
        <f t="shared" si="42"/>
        <v/>
      </c>
      <c r="AY200" s="21" t="str">
        <f>IF(AND($AM200&lt;&gt;"",$AS200&lt;&gt;"✓"),SUMPRODUCT(($AM$11:$AM200&lt;&gt;"")*($AS$11:$AS200&lt;&gt;"✓")),"")</f>
        <v/>
      </c>
      <c r="AZ200" s="21" t="str">
        <f>IF(AND($AM200&lt;&gt;"",$AS200="✓"),SUMPRODUCT(($AM$11:$AM200&lt;&gt;"")*($AS$11:$AS200="✓")),"")</f>
        <v/>
      </c>
      <c r="BA200" s="21" t="str">
        <f>IF($AL200="","",$AL200&amp;"|"&amp;COUNTIF($AL$11:$AL200,$AL200))</f>
        <v/>
      </c>
    </row>
    <row r="201" spans="2:53" ht="15" customHeight="1" x14ac:dyDescent="0.25">
      <c r="B201" s="5" t="str">
        <f t="shared" si="30"/>
        <v/>
      </c>
      <c r="C201" s="5"/>
      <c r="D201" s="5"/>
      <c r="E201" s="5"/>
      <c r="F201" s="6"/>
      <c r="G201" s="6"/>
      <c r="H201" s="7"/>
      <c r="I201" s="8"/>
      <c r="K201" s="9" t="str">
        <f>IFERROR(INDEX($AL$11:$AL$4010,MATCH(191,$AX$11:$AX$4010,0)),"")</f>
        <v/>
      </c>
      <c r="L201" s="10" t="str">
        <f t="shared" si="31"/>
        <v/>
      </c>
      <c r="M201" s="11" t="str">
        <f t="shared" si="32"/>
        <v/>
      </c>
      <c r="N201" s="11" t="str">
        <f t="shared" si="33"/>
        <v/>
      </c>
      <c r="P201" s="12" t="str">
        <f>IFERROR(INDEX($AM$11:$AM$4010,MATCH($S$8&amp;"|"&amp;191,$BA$11:$BA$4010,0)),"")</f>
        <v/>
      </c>
      <c r="Q201" s="11" t="str">
        <f>IF(P201="","",IFERROR(INDEX($AN$11:$AN$4010,MATCH($S$8&amp;"|"&amp;191,$BA$11:$BA$4010,0)),""))</f>
        <v/>
      </c>
      <c r="R201" s="11" t="str">
        <f>IF(P201="","",IFERROR(INDEX($AO$11:$AO$4010,MATCH($S$8&amp;"|"&amp;191,$BA$11:$BA$4010,0)),""))</f>
        <v/>
      </c>
      <c r="S201" s="10" t="str">
        <f>IF(P201="","",IFERROR(INDEX($AP$11:$AP$4010,MATCH($S$8&amp;"|"&amp;191,$BA$11:$BA$4010,0)),""))</f>
        <v/>
      </c>
      <c r="T201" s="10" t="str">
        <f>IF(P201="","",IFERROR(INDEX($AQ$11:$AQ$4010,MATCH($S$8&amp;"|"&amp;191,$BA$11:$BA$4010,0)),""))</f>
        <v/>
      </c>
      <c r="U201" s="39" t="str">
        <f t="shared" si="44"/>
        <v/>
      </c>
      <c r="W201" s="14" t="str">
        <f>IF(X201="","",IFERROR(INDEX($AL$11:$AL$4010,MATCH(191,$AY$11:$AY$4010,0)),""))</f>
        <v/>
      </c>
      <c r="X201" s="12" t="str">
        <f>IFERROR(INDEX($AM$11:$AM$4010,MATCH(191,$AY$11:$AY$4010,0)),"")</f>
        <v/>
      </c>
      <c r="Y201" s="11" t="str">
        <f>IF(X201="","",IFERROR(INDEX($AN$11:$AN$4010,MATCH(191,$AY$11:$AY$4010,0)),""))</f>
        <v/>
      </c>
      <c r="Z201" s="11" t="str">
        <f>IF(X201="","",IFERROR(INDEX($AO$11:$AO$4010,MATCH(191,$AY$11:$AY$4010,0)),""))</f>
        <v/>
      </c>
      <c r="AA201" s="10" t="str">
        <f>IF(X201="","",IFERROR(INDEX($AQ$11:$AQ$4010,MATCH(191,$AY$11:$AY$4010,0)),""))</f>
        <v/>
      </c>
      <c r="AB201" s="15" t="str">
        <f>IF(X201="","",IFERROR(INDEX($AR$11:$AR$4010,MATCH(191,$AY$11:$AY$4010,0)),""))</f>
        <v/>
      </c>
      <c r="AD201" s="16" t="str">
        <f>IF(AE201="","",IFERROR(INDEX($AL$11:$AL$4010,MATCH(191,$AZ$11:$AZ$4010,0)),""))</f>
        <v/>
      </c>
      <c r="AE201" s="12" t="str">
        <f>IFERROR(INDEX($AM$11:$AM$4010,MATCH(191,$AZ$11:$AZ$4010,0)),"")</f>
        <v/>
      </c>
      <c r="AF201" s="11" t="str">
        <f>IF(AE201="","",IFERROR(INDEX($AN$11:$AN$4010,MATCH(191,$AZ$11:$AZ$4010,0)),""))</f>
        <v/>
      </c>
      <c r="AG201" s="11" t="str">
        <f>IF(AE201="","",IFERROR(INDEX($AO$11:$AO$4010,MATCH(191,$AZ$11:$AZ$4010,0)),""))</f>
        <v/>
      </c>
      <c r="AH201" s="10" t="str">
        <f>IF(AE201="","",IFERROR(INDEX($AQ$11:$AQ$4010,MATCH(191,$AZ$11:$AZ$4010,0)),""))</f>
        <v/>
      </c>
      <c r="AI201" s="15" t="str">
        <f>IF(AE201="","",IFERROR(INDEX($AR$11:$AR$4010,MATCH(191,$AZ$11:$AZ$4010,0)),""))</f>
        <v/>
      </c>
      <c r="AJ201" s="15" t="str">
        <f>IF(AE201="","",IFERROR(INDEX($AT$11:$AT$4010,MATCH(191,$AZ$11:$AZ$4010,0)),""))</f>
        <v/>
      </c>
      <c r="AL201" s="17" t="str">
        <f t="shared" si="35"/>
        <v/>
      </c>
      <c r="AM201" s="12" t="str">
        <f t="shared" si="36"/>
        <v/>
      </c>
      <c r="AN201" s="18" t="str">
        <f t="shared" si="37"/>
        <v/>
      </c>
      <c r="AO201" s="18" t="str">
        <f t="shared" si="38"/>
        <v/>
      </c>
      <c r="AP201" s="10" t="str">
        <f t="shared" si="39"/>
        <v/>
      </c>
      <c r="AQ201" s="10" t="str">
        <f t="shared" si="40"/>
        <v/>
      </c>
      <c r="AR201" s="19" t="str">
        <f t="shared" si="41"/>
        <v/>
      </c>
      <c r="AS201" s="20"/>
      <c r="AT201" s="19"/>
      <c r="AV201" s="21">
        <f>IF(AND($AL201&lt;&gt;"",COUNTIF($AL$11:$AL201,$AL201)=1),1,0)</f>
        <v>0</v>
      </c>
      <c r="AW201" s="21">
        <f t="shared" si="43"/>
        <v>0</v>
      </c>
      <c r="AX201" s="21" t="str">
        <f t="shared" si="42"/>
        <v/>
      </c>
      <c r="AY201" s="21" t="str">
        <f>IF(AND($AM201&lt;&gt;"",$AS201&lt;&gt;"✓"),SUMPRODUCT(($AM$11:$AM201&lt;&gt;"")*($AS$11:$AS201&lt;&gt;"✓")),"")</f>
        <v/>
      </c>
      <c r="AZ201" s="21" t="str">
        <f>IF(AND($AM201&lt;&gt;"",$AS201="✓"),SUMPRODUCT(($AM$11:$AM201&lt;&gt;"")*($AS$11:$AS201="✓")),"")</f>
        <v/>
      </c>
      <c r="BA201" s="21" t="str">
        <f>IF($AL201="","",$AL201&amp;"|"&amp;COUNTIF($AL$11:$AL201,$AL201))</f>
        <v/>
      </c>
    </row>
    <row r="202" spans="2:53" ht="15" customHeight="1" x14ac:dyDescent="0.25">
      <c r="B202" s="5" t="str">
        <f t="shared" si="30"/>
        <v/>
      </c>
      <c r="C202" s="5"/>
      <c r="D202" s="5"/>
      <c r="E202" s="5"/>
      <c r="F202" s="6"/>
      <c r="G202" s="6"/>
      <c r="H202" s="7"/>
      <c r="I202" s="8"/>
      <c r="K202" s="23" t="str">
        <f>IFERROR(INDEX($AL$11:$AL$4010,MATCH(192,$AX$11:$AX$4010,0)),"")</f>
        <v/>
      </c>
      <c r="L202" s="24" t="str">
        <f t="shared" si="31"/>
        <v/>
      </c>
      <c r="M202" s="25" t="str">
        <f t="shared" si="32"/>
        <v/>
      </c>
      <c r="N202" s="25" t="str">
        <f t="shared" si="33"/>
        <v/>
      </c>
      <c r="P202" s="26" t="str">
        <f>IFERROR(INDEX($AM$11:$AM$4010,MATCH($S$8&amp;"|"&amp;192,$BA$11:$BA$4010,0)),"")</f>
        <v/>
      </c>
      <c r="Q202" s="25" t="str">
        <f>IF(P202="","",IFERROR(INDEX($AN$11:$AN$4010,MATCH($S$8&amp;"|"&amp;192,$BA$11:$BA$4010,0)),""))</f>
        <v/>
      </c>
      <c r="R202" s="25" t="str">
        <f>IF(P202="","",IFERROR(INDEX($AO$11:$AO$4010,MATCH($S$8&amp;"|"&amp;192,$BA$11:$BA$4010,0)),""))</f>
        <v/>
      </c>
      <c r="S202" s="24" t="str">
        <f>IF(P202="","",IFERROR(INDEX($AP$11:$AP$4010,MATCH($S$8&amp;"|"&amp;192,$BA$11:$BA$4010,0)),""))</f>
        <v/>
      </c>
      <c r="T202" s="24" t="str">
        <f>IF(P202="","",IFERROR(INDEX($AQ$11:$AQ$4010,MATCH($S$8&amp;"|"&amp;192,$BA$11:$BA$4010,0)),""))</f>
        <v/>
      </c>
      <c r="U202" s="38" t="str">
        <f t="shared" si="44"/>
        <v/>
      </c>
      <c r="W202" s="28" t="str">
        <f>IF(X202="","",IFERROR(INDEX($AL$11:$AL$4010,MATCH(192,$AY$11:$AY$4010,0)),""))</f>
        <v/>
      </c>
      <c r="X202" s="26" t="str">
        <f>IFERROR(INDEX($AM$11:$AM$4010,MATCH(192,$AY$11:$AY$4010,0)),"")</f>
        <v/>
      </c>
      <c r="Y202" s="25" t="str">
        <f>IF(X202="","",IFERROR(INDEX($AN$11:$AN$4010,MATCH(192,$AY$11:$AY$4010,0)),""))</f>
        <v/>
      </c>
      <c r="Z202" s="25" t="str">
        <f>IF(X202="","",IFERROR(INDEX($AO$11:$AO$4010,MATCH(192,$AY$11:$AY$4010,0)),""))</f>
        <v/>
      </c>
      <c r="AA202" s="24" t="str">
        <f>IF(X202="","",IFERROR(INDEX($AQ$11:$AQ$4010,MATCH(192,$AY$11:$AY$4010,0)),""))</f>
        <v/>
      </c>
      <c r="AB202" s="29" t="str">
        <f>IF(X202="","",IFERROR(INDEX($AR$11:$AR$4010,MATCH(192,$AY$11:$AY$4010,0)),""))</f>
        <v/>
      </c>
      <c r="AD202" s="30" t="str">
        <f>IF(AE202="","",IFERROR(INDEX($AL$11:$AL$4010,MATCH(192,$AZ$11:$AZ$4010,0)),""))</f>
        <v/>
      </c>
      <c r="AE202" s="26" t="str">
        <f>IFERROR(INDEX($AM$11:$AM$4010,MATCH(192,$AZ$11:$AZ$4010,0)),"")</f>
        <v/>
      </c>
      <c r="AF202" s="25" t="str">
        <f>IF(AE202="","",IFERROR(INDEX($AN$11:$AN$4010,MATCH(192,$AZ$11:$AZ$4010,0)),""))</f>
        <v/>
      </c>
      <c r="AG202" s="25" t="str">
        <f>IF(AE202="","",IFERROR(INDEX($AO$11:$AO$4010,MATCH(192,$AZ$11:$AZ$4010,0)),""))</f>
        <v/>
      </c>
      <c r="AH202" s="24" t="str">
        <f>IF(AE202="","",IFERROR(INDEX($AQ$11:$AQ$4010,MATCH(192,$AZ$11:$AZ$4010,0)),""))</f>
        <v/>
      </c>
      <c r="AI202" s="29" t="str">
        <f>IF(AE202="","",IFERROR(INDEX($AR$11:$AR$4010,MATCH(192,$AZ$11:$AZ$4010,0)),""))</f>
        <v/>
      </c>
      <c r="AJ202" s="29" t="str">
        <f>IF(AE202="","",IFERROR(INDEX($AT$11:$AT$4010,MATCH(192,$AZ$11:$AZ$4010,0)),""))</f>
        <v/>
      </c>
      <c r="AL202" s="31" t="str">
        <f t="shared" si="35"/>
        <v/>
      </c>
      <c r="AM202" s="26" t="str">
        <f t="shared" si="36"/>
        <v/>
      </c>
      <c r="AN202" s="32" t="str">
        <f t="shared" si="37"/>
        <v/>
      </c>
      <c r="AO202" s="32" t="str">
        <f t="shared" si="38"/>
        <v/>
      </c>
      <c r="AP202" s="24" t="str">
        <f t="shared" si="39"/>
        <v/>
      </c>
      <c r="AQ202" s="24" t="str">
        <f t="shared" si="40"/>
        <v/>
      </c>
      <c r="AR202" s="33" t="str">
        <f t="shared" si="41"/>
        <v/>
      </c>
      <c r="AS202" s="34"/>
      <c r="AT202" s="33"/>
      <c r="AV202" s="21">
        <f>IF(AND($AL202&lt;&gt;"",COUNTIF($AL$11:$AL202,$AL202)=1),1,0)</f>
        <v>0</v>
      </c>
      <c r="AW202" s="21">
        <f t="shared" si="43"/>
        <v>0</v>
      </c>
      <c r="AX202" s="21" t="str">
        <f t="shared" si="42"/>
        <v/>
      </c>
      <c r="AY202" s="21" t="str">
        <f>IF(AND($AM202&lt;&gt;"",$AS202&lt;&gt;"✓"),SUMPRODUCT(($AM$11:$AM202&lt;&gt;"")*($AS$11:$AS202&lt;&gt;"✓")),"")</f>
        <v/>
      </c>
      <c r="AZ202" s="21" t="str">
        <f>IF(AND($AM202&lt;&gt;"",$AS202="✓"),SUMPRODUCT(($AM$11:$AM202&lt;&gt;"")*($AS$11:$AS202="✓")),"")</f>
        <v/>
      </c>
      <c r="BA202" s="21" t="str">
        <f>IF($AL202="","",$AL202&amp;"|"&amp;COUNTIF($AL$11:$AL202,$AL202))</f>
        <v/>
      </c>
    </row>
    <row r="203" spans="2:53" ht="15" customHeight="1" x14ac:dyDescent="0.25">
      <c r="B203" s="5" t="str">
        <f t="shared" ref="B203:B266" si="45">IF($C203="","",ROW()-10)</f>
        <v/>
      </c>
      <c r="C203" s="5"/>
      <c r="D203" s="5"/>
      <c r="E203" s="5"/>
      <c r="F203" s="6"/>
      <c r="G203" s="6"/>
      <c r="H203" s="7"/>
      <c r="I203" s="8"/>
      <c r="K203" s="9" t="str">
        <f>IFERROR(INDEX($AL$11:$AL$4010,MATCH(193,$AX$11:$AX$4010,0)),"")</f>
        <v/>
      </c>
      <c r="L203" s="10" t="str">
        <f t="shared" ref="L203:L266" si="46">IF(K203="","",COUNTIF($AL$11:$AL$4010,K203))</f>
        <v/>
      </c>
      <c r="M203" s="11" t="str">
        <f t="shared" ref="M203:M266" si="47">IF(K203="","",SUMIF($AL$11:$AL$4010,K203,$AN$11:$AN$4010))</f>
        <v/>
      </c>
      <c r="N203" s="11" t="str">
        <f t="shared" ref="N203:N266" si="48">IF(K203="","",SUMIF($AL$11:$AL$4010,K203,$AO$11:$AO$4010))</f>
        <v/>
      </c>
      <c r="P203" s="12" t="str">
        <f>IFERROR(INDEX($AM$11:$AM$4010,MATCH($S$8&amp;"|"&amp;193,$BA$11:$BA$4010,0)),"")</f>
        <v/>
      </c>
      <c r="Q203" s="11" t="str">
        <f>IF(P203="","",IFERROR(INDEX($AN$11:$AN$4010,MATCH($S$8&amp;"|"&amp;193,$BA$11:$BA$4010,0)),""))</f>
        <v/>
      </c>
      <c r="R203" s="11" t="str">
        <f>IF(P203="","",IFERROR(INDEX($AO$11:$AO$4010,MATCH($S$8&amp;"|"&amp;193,$BA$11:$BA$4010,0)),""))</f>
        <v/>
      </c>
      <c r="S203" s="10" t="str">
        <f>IF(P203="","",IFERROR(INDEX($AP$11:$AP$4010,MATCH($S$8&amp;"|"&amp;193,$BA$11:$BA$4010,0)),""))</f>
        <v/>
      </c>
      <c r="T203" s="10" t="str">
        <f>IF(P203="","",IFERROR(INDEX($AQ$11:$AQ$4010,MATCH($S$8&amp;"|"&amp;193,$BA$11:$BA$4010,0)),""))</f>
        <v/>
      </c>
      <c r="U203" s="39" t="str">
        <f t="shared" ref="U203:U210" si="49">IF(P203="","",$S$8)</f>
        <v/>
      </c>
      <c r="W203" s="14" t="str">
        <f>IF(X203="","",IFERROR(INDEX($AL$11:$AL$4010,MATCH(193,$AY$11:$AY$4010,0)),""))</f>
        <v/>
      </c>
      <c r="X203" s="12" t="str">
        <f>IFERROR(INDEX($AM$11:$AM$4010,MATCH(193,$AY$11:$AY$4010,0)),"")</f>
        <v/>
      </c>
      <c r="Y203" s="11" t="str">
        <f>IF(X203="","",IFERROR(INDEX($AN$11:$AN$4010,MATCH(193,$AY$11:$AY$4010,0)),""))</f>
        <v/>
      </c>
      <c r="Z203" s="11" t="str">
        <f>IF(X203="","",IFERROR(INDEX($AO$11:$AO$4010,MATCH(193,$AY$11:$AY$4010,0)),""))</f>
        <v/>
      </c>
      <c r="AA203" s="10" t="str">
        <f>IF(X203="","",IFERROR(INDEX($AQ$11:$AQ$4010,MATCH(193,$AY$11:$AY$4010,0)),""))</f>
        <v/>
      </c>
      <c r="AB203" s="15" t="str">
        <f>IF(X203="","",IFERROR(INDEX($AR$11:$AR$4010,MATCH(193,$AY$11:$AY$4010,0)),""))</f>
        <v/>
      </c>
      <c r="AD203" s="16" t="str">
        <f>IF(AE203="","",IFERROR(INDEX($AL$11:$AL$4010,MATCH(193,$AZ$11:$AZ$4010,0)),""))</f>
        <v/>
      </c>
      <c r="AE203" s="12" t="str">
        <f>IFERROR(INDEX($AM$11:$AM$4010,MATCH(193,$AZ$11:$AZ$4010,0)),"")</f>
        <v/>
      </c>
      <c r="AF203" s="11" t="str">
        <f>IF(AE203="","",IFERROR(INDEX($AN$11:$AN$4010,MATCH(193,$AZ$11:$AZ$4010,0)),""))</f>
        <v/>
      </c>
      <c r="AG203" s="11" t="str">
        <f>IF(AE203="","",IFERROR(INDEX($AO$11:$AO$4010,MATCH(193,$AZ$11:$AZ$4010,0)),""))</f>
        <v/>
      </c>
      <c r="AH203" s="10" t="str">
        <f>IF(AE203="","",IFERROR(INDEX($AQ$11:$AQ$4010,MATCH(193,$AZ$11:$AZ$4010,0)),""))</f>
        <v/>
      </c>
      <c r="AI203" s="15" t="str">
        <f>IF(AE203="","",IFERROR(INDEX($AR$11:$AR$4010,MATCH(193,$AZ$11:$AZ$4010,0)),""))</f>
        <v/>
      </c>
      <c r="AJ203" s="15" t="str">
        <f>IF(AE203="","",IFERROR(INDEX($AT$11:$AT$4010,MATCH(193,$AZ$11:$AZ$4010,0)),""))</f>
        <v/>
      </c>
      <c r="AL203" s="17" t="str">
        <f t="shared" ref="AL203:AL266" si="50">IF($C203="","",$I203)</f>
        <v/>
      </c>
      <c r="AM203" s="12" t="str">
        <f t="shared" ref="AM203:AM266" si="51">IF($C203="","",$C203)</f>
        <v/>
      </c>
      <c r="AN203" s="18" t="str">
        <f t="shared" ref="AN203:AN266" si="52">IF($C203="","",$F203)</f>
        <v/>
      </c>
      <c r="AO203" s="18" t="str">
        <f t="shared" ref="AO203:AO266" si="53">IF($C203="","",$G203)</f>
        <v/>
      </c>
      <c r="AP203" s="10" t="str">
        <f t="shared" ref="AP203:AP266" si="54">IF($C203="","",$D203)</f>
        <v/>
      </c>
      <c r="AQ203" s="10" t="str">
        <f t="shared" ref="AQ203:AQ266" si="55">IF($C203="","",$E203)</f>
        <v/>
      </c>
      <c r="AR203" s="19" t="str">
        <f t="shared" ref="AR203:AR266" si="56">IF($C203="","",$H203)</f>
        <v/>
      </c>
      <c r="AS203" s="20"/>
      <c r="AT203" s="19"/>
      <c r="AV203" s="21">
        <f>IF(AND($AL203&lt;&gt;"",COUNTIF($AL$11:$AL203,$AL203)=1),1,0)</f>
        <v>0</v>
      </c>
      <c r="AW203" s="21">
        <f t="shared" si="43"/>
        <v>0</v>
      </c>
      <c r="AX203" s="21" t="str">
        <f t="shared" ref="AX203:AX266" si="57">IF(AV203=1,AW203,"")</f>
        <v/>
      </c>
      <c r="AY203" s="21" t="str">
        <f>IF(AND($AM203&lt;&gt;"",$AS203&lt;&gt;"✓"),SUMPRODUCT(($AM$11:$AM203&lt;&gt;"")*($AS$11:$AS203&lt;&gt;"✓")),"")</f>
        <v/>
      </c>
      <c r="AZ203" s="21" t="str">
        <f>IF(AND($AM203&lt;&gt;"",$AS203="✓"),SUMPRODUCT(($AM$11:$AM203&lt;&gt;"")*($AS$11:$AS203="✓")),"")</f>
        <v/>
      </c>
      <c r="BA203" s="21" t="str">
        <f>IF($AL203="","",$AL203&amp;"|"&amp;COUNTIF($AL$11:$AL203,$AL203))</f>
        <v/>
      </c>
    </row>
    <row r="204" spans="2:53" ht="15" customHeight="1" x14ac:dyDescent="0.25">
      <c r="B204" s="5" t="str">
        <f t="shared" si="45"/>
        <v/>
      </c>
      <c r="C204" s="5"/>
      <c r="D204" s="5"/>
      <c r="E204" s="5"/>
      <c r="F204" s="6"/>
      <c r="G204" s="6"/>
      <c r="H204" s="7"/>
      <c r="I204" s="8"/>
      <c r="K204" s="23" t="str">
        <f>IFERROR(INDEX($AL$11:$AL$4010,MATCH(194,$AX$11:$AX$4010,0)),"")</f>
        <v/>
      </c>
      <c r="L204" s="24" t="str">
        <f t="shared" si="46"/>
        <v/>
      </c>
      <c r="M204" s="25" t="str">
        <f t="shared" si="47"/>
        <v/>
      </c>
      <c r="N204" s="25" t="str">
        <f t="shared" si="48"/>
        <v/>
      </c>
      <c r="P204" s="26" t="str">
        <f>IFERROR(INDEX($AM$11:$AM$4010,MATCH($S$8&amp;"|"&amp;194,$BA$11:$BA$4010,0)),"")</f>
        <v/>
      </c>
      <c r="Q204" s="25" t="str">
        <f>IF(P204="","",IFERROR(INDEX($AN$11:$AN$4010,MATCH($S$8&amp;"|"&amp;194,$BA$11:$BA$4010,0)),""))</f>
        <v/>
      </c>
      <c r="R204" s="25" t="str">
        <f>IF(P204="","",IFERROR(INDEX($AO$11:$AO$4010,MATCH($S$8&amp;"|"&amp;194,$BA$11:$BA$4010,0)),""))</f>
        <v/>
      </c>
      <c r="S204" s="24" t="str">
        <f>IF(P204="","",IFERROR(INDEX($AP$11:$AP$4010,MATCH($S$8&amp;"|"&amp;194,$BA$11:$BA$4010,0)),""))</f>
        <v/>
      </c>
      <c r="T204" s="24" t="str">
        <f>IF(P204="","",IFERROR(INDEX($AQ$11:$AQ$4010,MATCH($S$8&amp;"|"&amp;194,$BA$11:$BA$4010,0)),""))</f>
        <v/>
      </c>
      <c r="U204" s="38" t="str">
        <f t="shared" si="49"/>
        <v/>
      </c>
      <c r="W204" s="28" t="str">
        <f>IF(X204="","",IFERROR(INDEX($AL$11:$AL$4010,MATCH(194,$AY$11:$AY$4010,0)),""))</f>
        <v/>
      </c>
      <c r="X204" s="26" t="str">
        <f>IFERROR(INDEX($AM$11:$AM$4010,MATCH(194,$AY$11:$AY$4010,0)),"")</f>
        <v/>
      </c>
      <c r="Y204" s="25" t="str">
        <f>IF(X204="","",IFERROR(INDEX($AN$11:$AN$4010,MATCH(194,$AY$11:$AY$4010,0)),""))</f>
        <v/>
      </c>
      <c r="Z204" s="25" t="str">
        <f>IF(X204="","",IFERROR(INDEX($AO$11:$AO$4010,MATCH(194,$AY$11:$AY$4010,0)),""))</f>
        <v/>
      </c>
      <c r="AA204" s="24" t="str">
        <f>IF(X204="","",IFERROR(INDEX($AQ$11:$AQ$4010,MATCH(194,$AY$11:$AY$4010,0)),""))</f>
        <v/>
      </c>
      <c r="AB204" s="29" t="str">
        <f>IF(X204="","",IFERROR(INDEX($AR$11:$AR$4010,MATCH(194,$AY$11:$AY$4010,0)),""))</f>
        <v/>
      </c>
      <c r="AD204" s="30" t="str">
        <f>IF(AE204="","",IFERROR(INDEX($AL$11:$AL$4010,MATCH(194,$AZ$11:$AZ$4010,0)),""))</f>
        <v/>
      </c>
      <c r="AE204" s="26" t="str">
        <f>IFERROR(INDEX($AM$11:$AM$4010,MATCH(194,$AZ$11:$AZ$4010,0)),"")</f>
        <v/>
      </c>
      <c r="AF204" s="25" t="str">
        <f>IF(AE204="","",IFERROR(INDEX($AN$11:$AN$4010,MATCH(194,$AZ$11:$AZ$4010,0)),""))</f>
        <v/>
      </c>
      <c r="AG204" s="25" t="str">
        <f>IF(AE204="","",IFERROR(INDEX($AO$11:$AO$4010,MATCH(194,$AZ$11:$AZ$4010,0)),""))</f>
        <v/>
      </c>
      <c r="AH204" s="24" t="str">
        <f>IF(AE204="","",IFERROR(INDEX($AQ$11:$AQ$4010,MATCH(194,$AZ$11:$AZ$4010,0)),""))</f>
        <v/>
      </c>
      <c r="AI204" s="29" t="str">
        <f>IF(AE204="","",IFERROR(INDEX($AR$11:$AR$4010,MATCH(194,$AZ$11:$AZ$4010,0)),""))</f>
        <v/>
      </c>
      <c r="AJ204" s="29" t="str">
        <f>IF(AE204="","",IFERROR(INDEX($AT$11:$AT$4010,MATCH(194,$AZ$11:$AZ$4010,0)),""))</f>
        <v/>
      </c>
      <c r="AL204" s="31" t="str">
        <f t="shared" si="50"/>
        <v/>
      </c>
      <c r="AM204" s="26" t="str">
        <f t="shared" si="51"/>
        <v/>
      </c>
      <c r="AN204" s="32" t="str">
        <f t="shared" si="52"/>
        <v/>
      </c>
      <c r="AO204" s="32" t="str">
        <f t="shared" si="53"/>
        <v/>
      </c>
      <c r="AP204" s="24" t="str">
        <f t="shared" si="54"/>
        <v/>
      </c>
      <c r="AQ204" s="24" t="str">
        <f t="shared" si="55"/>
        <v/>
      </c>
      <c r="AR204" s="33" t="str">
        <f t="shared" si="56"/>
        <v/>
      </c>
      <c r="AS204" s="34"/>
      <c r="AT204" s="33"/>
      <c r="AV204" s="21">
        <f>IF(AND($AL204&lt;&gt;"",COUNTIF($AL$11:$AL204,$AL204)=1),1,0)</f>
        <v>0</v>
      </c>
      <c r="AW204" s="21">
        <f t="shared" ref="AW204:AW267" si="58">AW203+AV204</f>
        <v>0</v>
      </c>
      <c r="AX204" s="21" t="str">
        <f t="shared" si="57"/>
        <v/>
      </c>
      <c r="AY204" s="21" t="str">
        <f>IF(AND($AM204&lt;&gt;"",$AS204&lt;&gt;"✓"),SUMPRODUCT(($AM$11:$AM204&lt;&gt;"")*($AS$11:$AS204&lt;&gt;"✓")),"")</f>
        <v/>
      </c>
      <c r="AZ204" s="21" t="str">
        <f>IF(AND($AM204&lt;&gt;"",$AS204="✓"),SUMPRODUCT(($AM$11:$AM204&lt;&gt;"")*($AS$11:$AS204="✓")),"")</f>
        <v/>
      </c>
      <c r="BA204" s="21" t="str">
        <f>IF($AL204="","",$AL204&amp;"|"&amp;COUNTIF($AL$11:$AL204,$AL204))</f>
        <v/>
      </c>
    </row>
    <row r="205" spans="2:53" ht="15" customHeight="1" x14ac:dyDescent="0.25">
      <c r="B205" s="5" t="str">
        <f t="shared" si="45"/>
        <v/>
      </c>
      <c r="C205" s="5"/>
      <c r="D205" s="5"/>
      <c r="E205" s="5"/>
      <c r="F205" s="6"/>
      <c r="G205" s="6"/>
      <c r="H205" s="7"/>
      <c r="I205" s="8"/>
      <c r="K205" s="9" t="str">
        <f>IFERROR(INDEX($AL$11:$AL$4010,MATCH(195,$AX$11:$AX$4010,0)),"")</f>
        <v/>
      </c>
      <c r="L205" s="10" t="str">
        <f t="shared" si="46"/>
        <v/>
      </c>
      <c r="M205" s="11" t="str">
        <f t="shared" si="47"/>
        <v/>
      </c>
      <c r="N205" s="11" t="str">
        <f t="shared" si="48"/>
        <v/>
      </c>
      <c r="P205" s="12" t="str">
        <f>IFERROR(INDEX($AM$11:$AM$4010,MATCH($S$8&amp;"|"&amp;195,$BA$11:$BA$4010,0)),"")</f>
        <v/>
      </c>
      <c r="Q205" s="11" t="str">
        <f>IF(P205="","",IFERROR(INDEX($AN$11:$AN$4010,MATCH($S$8&amp;"|"&amp;195,$BA$11:$BA$4010,0)),""))</f>
        <v/>
      </c>
      <c r="R205" s="11" t="str">
        <f>IF(P205="","",IFERROR(INDEX($AO$11:$AO$4010,MATCH($S$8&amp;"|"&amp;195,$BA$11:$BA$4010,0)),""))</f>
        <v/>
      </c>
      <c r="S205" s="10" t="str">
        <f>IF(P205="","",IFERROR(INDEX($AP$11:$AP$4010,MATCH($S$8&amp;"|"&amp;195,$BA$11:$BA$4010,0)),""))</f>
        <v/>
      </c>
      <c r="T205" s="10" t="str">
        <f>IF(P205="","",IFERROR(INDEX($AQ$11:$AQ$4010,MATCH($S$8&amp;"|"&amp;195,$BA$11:$BA$4010,0)),""))</f>
        <v/>
      </c>
      <c r="U205" s="39" t="str">
        <f t="shared" si="49"/>
        <v/>
      </c>
      <c r="W205" s="14" t="str">
        <f>IF(X205="","",IFERROR(INDEX($AL$11:$AL$4010,MATCH(195,$AY$11:$AY$4010,0)),""))</f>
        <v/>
      </c>
      <c r="X205" s="12" t="str">
        <f>IFERROR(INDEX($AM$11:$AM$4010,MATCH(195,$AY$11:$AY$4010,0)),"")</f>
        <v/>
      </c>
      <c r="Y205" s="11" t="str">
        <f>IF(X205="","",IFERROR(INDEX($AN$11:$AN$4010,MATCH(195,$AY$11:$AY$4010,0)),""))</f>
        <v/>
      </c>
      <c r="Z205" s="11" t="str">
        <f>IF(X205="","",IFERROR(INDEX($AO$11:$AO$4010,MATCH(195,$AY$11:$AY$4010,0)),""))</f>
        <v/>
      </c>
      <c r="AA205" s="10" t="str">
        <f>IF(X205="","",IFERROR(INDEX($AQ$11:$AQ$4010,MATCH(195,$AY$11:$AY$4010,0)),""))</f>
        <v/>
      </c>
      <c r="AB205" s="15" t="str">
        <f>IF(X205="","",IFERROR(INDEX($AR$11:$AR$4010,MATCH(195,$AY$11:$AY$4010,0)),""))</f>
        <v/>
      </c>
      <c r="AD205" s="16" t="str">
        <f>IF(AE205="","",IFERROR(INDEX($AL$11:$AL$4010,MATCH(195,$AZ$11:$AZ$4010,0)),""))</f>
        <v/>
      </c>
      <c r="AE205" s="12" t="str">
        <f>IFERROR(INDEX($AM$11:$AM$4010,MATCH(195,$AZ$11:$AZ$4010,0)),"")</f>
        <v/>
      </c>
      <c r="AF205" s="11" t="str">
        <f>IF(AE205="","",IFERROR(INDEX($AN$11:$AN$4010,MATCH(195,$AZ$11:$AZ$4010,0)),""))</f>
        <v/>
      </c>
      <c r="AG205" s="11" t="str">
        <f>IF(AE205="","",IFERROR(INDEX($AO$11:$AO$4010,MATCH(195,$AZ$11:$AZ$4010,0)),""))</f>
        <v/>
      </c>
      <c r="AH205" s="10" t="str">
        <f>IF(AE205="","",IFERROR(INDEX($AQ$11:$AQ$4010,MATCH(195,$AZ$11:$AZ$4010,0)),""))</f>
        <v/>
      </c>
      <c r="AI205" s="15" t="str">
        <f>IF(AE205="","",IFERROR(INDEX($AR$11:$AR$4010,MATCH(195,$AZ$11:$AZ$4010,0)),""))</f>
        <v/>
      </c>
      <c r="AJ205" s="15" t="str">
        <f>IF(AE205="","",IFERROR(INDEX($AT$11:$AT$4010,MATCH(195,$AZ$11:$AZ$4010,0)),""))</f>
        <v/>
      </c>
      <c r="AL205" s="17" t="str">
        <f t="shared" si="50"/>
        <v/>
      </c>
      <c r="AM205" s="12" t="str">
        <f t="shared" si="51"/>
        <v/>
      </c>
      <c r="AN205" s="18" t="str">
        <f t="shared" si="52"/>
        <v/>
      </c>
      <c r="AO205" s="18" t="str">
        <f t="shared" si="53"/>
        <v/>
      </c>
      <c r="AP205" s="10" t="str">
        <f t="shared" si="54"/>
        <v/>
      </c>
      <c r="AQ205" s="10" t="str">
        <f t="shared" si="55"/>
        <v/>
      </c>
      <c r="AR205" s="19" t="str">
        <f t="shared" si="56"/>
        <v/>
      </c>
      <c r="AS205" s="20"/>
      <c r="AT205" s="19"/>
      <c r="AV205" s="21">
        <f>IF(AND($AL205&lt;&gt;"",COUNTIF($AL$11:$AL205,$AL205)=1),1,0)</f>
        <v>0</v>
      </c>
      <c r="AW205" s="21">
        <f t="shared" si="58"/>
        <v>0</v>
      </c>
      <c r="AX205" s="21" t="str">
        <f t="shared" si="57"/>
        <v/>
      </c>
      <c r="AY205" s="21" t="str">
        <f>IF(AND($AM205&lt;&gt;"",$AS205&lt;&gt;"✓"),SUMPRODUCT(($AM$11:$AM205&lt;&gt;"")*($AS$11:$AS205&lt;&gt;"✓")),"")</f>
        <v/>
      </c>
      <c r="AZ205" s="21" t="str">
        <f>IF(AND($AM205&lt;&gt;"",$AS205="✓"),SUMPRODUCT(($AM$11:$AM205&lt;&gt;"")*($AS$11:$AS205="✓")),"")</f>
        <v/>
      </c>
      <c r="BA205" s="21" t="str">
        <f>IF($AL205="","",$AL205&amp;"|"&amp;COUNTIF($AL$11:$AL205,$AL205))</f>
        <v/>
      </c>
    </row>
    <row r="206" spans="2:53" ht="15" customHeight="1" x14ac:dyDescent="0.25">
      <c r="B206" s="5" t="str">
        <f t="shared" si="45"/>
        <v/>
      </c>
      <c r="C206" s="5"/>
      <c r="D206" s="5"/>
      <c r="E206" s="5"/>
      <c r="F206" s="6"/>
      <c r="G206" s="6"/>
      <c r="H206" s="7"/>
      <c r="I206" s="8"/>
      <c r="K206" s="23" t="str">
        <f>IFERROR(INDEX($AL$11:$AL$4010,MATCH(196,$AX$11:$AX$4010,0)),"")</f>
        <v/>
      </c>
      <c r="L206" s="24" t="str">
        <f t="shared" si="46"/>
        <v/>
      </c>
      <c r="M206" s="25" t="str">
        <f t="shared" si="47"/>
        <v/>
      </c>
      <c r="N206" s="25" t="str">
        <f t="shared" si="48"/>
        <v/>
      </c>
      <c r="P206" s="26" t="str">
        <f>IFERROR(INDEX($AM$11:$AM$4010,MATCH($S$8&amp;"|"&amp;196,$BA$11:$BA$4010,0)),"")</f>
        <v/>
      </c>
      <c r="Q206" s="25" t="str">
        <f>IF(P206="","",IFERROR(INDEX($AN$11:$AN$4010,MATCH($S$8&amp;"|"&amp;196,$BA$11:$BA$4010,0)),""))</f>
        <v/>
      </c>
      <c r="R206" s="25" t="str">
        <f>IF(P206="","",IFERROR(INDEX($AO$11:$AO$4010,MATCH($S$8&amp;"|"&amp;196,$BA$11:$BA$4010,0)),""))</f>
        <v/>
      </c>
      <c r="S206" s="24" t="str">
        <f>IF(P206="","",IFERROR(INDEX($AP$11:$AP$4010,MATCH($S$8&amp;"|"&amp;196,$BA$11:$BA$4010,0)),""))</f>
        <v/>
      </c>
      <c r="T206" s="24" t="str">
        <f>IF(P206="","",IFERROR(INDEX($AQ$11:$AQ$4010,MATCH($S$8&amp;"|"&amp;196,$BA$11:$BA$4010,0)),""))</f>
        <v/>
      </c>
      <c r="U206" s="38" t="str">
        <f t="shared" si="49"/>
        <v/>
      </c>
      <c r="W206" s="28" t="str">
        <f>IF(X206="","",IFERROR(INDEX($AL$11:$AL$4010,MATCH(196,$AY$11:$AY$4010,0)),""))</f>
        <v/>
      </c>
      <c r="X206" s="26" t="str">
        <f>IFERROR(INDEX($AM$11:$AM$4010,MATCH(196,$AY$11:$AY$4010,0)),"")</f>
        <v/>
      </c>
      <c r="Y206" s="25" t="str">
        <f>IF(X206="","",IFERROR(INDEX($AN$11:$AN$4010,MATCH(196,$AY$11:$AY$4010,0)),""))</f>
        <v/>
      </c>
      <c r="Z206" s="25" t="str">
        <f>IF(X206="","",IFERROR(INDEX($AO$11:$AO$4010,MATCH(196,$AY$11:$AY$4010,0)),""))</f>
        <v/>
      </c>
      <c r="AA206" s="24" t="str">
        <f>IF(X206="","",IFERROR(INDEX($AQ$11:$AQ$4010,MATCH(196,$AY$11:$AY$4010,0)),""))</f>
        <v/>
      </c>
      <c r="AB206" s="29" t="str">
        <f>IF(X206="","",IFERROR(INDEX($AR$11:$AR$4010,MATCH(196,$AY$11:$AY$4010,0)),""))</f>
        <v/>
      </c>
      <c r="AD206" s="30" t="str">
        <f>IF(AE206="","",IFERROR(INDEX($AL$11:$AL$4010,MATCH(196,$AZ$11:$AZ$4010,0)),""))</f>
        <v/>
      </c>
      <c r="AE206" s="26" t="str">
        <f>IFERROR(INDEX($AM$11:$AM$4010,MATCH(196,$AZ$11:$AZ$4010,0)),"")</f>
        <v/>
      </c>
      <c r="AF206" s="25" t="str">
        <f>IF(AE206="","",IFERROR(INDEX($AN$11:$AN$4010,MATCH(196,$AZ$11:$AZ$4010,0)),""))</f>
        <v/>
      </c>
      <c r="AG206" s="25" t="str">
        <f>IF(AE206="","",IFERROR(INDEX($AO$11:$AO$4010,MATCH(196,$AZ$11:$AZ$4010,0)),""))</f>
        <v/>
      </c>
      <c r="AH206" s="24" t="str">
        <f>IF(AE206="","",IFERROR(INDEX($AQ$11:$AQ$4010,MATCH(196,$AZ$11:$AZ$4010,0)),""))</f>
        <v/>
      </c>
      <c r="AI206" s="29" t="str">
        <f>IF(AE206="","",IFERROR(INDEX($AR$11:$AR$4010,MATCH(196,$AZ$11:$AZ$4010,0)),""))</f>
        <v/>
      </c>
      <c r="AJ206" s="29" t="str">
        <f>IF(AE206="","",IFERROR(INDEX($AT$11:$AT$4010,MATCH(196,$AZ$11:$AZ$4010,0)),""))</f>
        <v/>
      </c>
      <c r="AL206" s="31" t="str">
        <f t="shared" si="50"/>
        <v/>
      </c>
      <c r="AM206" s="26" t="str">
        <f t="shared" si="51"/>
        <v/>
      </c>
      <c r="AN206" s="32" t="str">
        <f t="shared" si="52"/>
        <v/>
      </c>
      <c r="AO206" s="32" t="str">
        <f t="shared" si="53"/>
        <v/>
      </c>
      <c r="AP206" s="24" t="str">
        <f t="shared" si="54"/>
        <v/>
      </c>
      <c r="AQ206" s="24" t="str">
        <f t="shared" si="55"/>
        <v/>
      </c>
      <c r="AR206" s="33" t="str">
        <f t="shared" si="56"/>
        <v/>
      </c>
      <c r="AS206" s="34"/>
      <c r="AT206" s="33"/>
      <c r="AV206" s="21">
        <f>IF(AND($AL206&lt;&gt;"",COUNTIF($AL$11:$AL206,$AL206)=1),1,0)</f>
        <v>0</v>
      </c>
      <c r="AW206" s="21">
        <f t="shared" si="58"/>
        <v>0</v>
      </c>
      <c r="AX206" s="21" t="str">
        <f t="shared" si="57"/>
        <v/>
      </c>
      <c r="AY206" s="21" t="str">
        <f>IF(AND($AM206&lt;&gt;"",$AS206&lt;&gt;"✓"),SUMPRODUCT(($AM$11:$AM206&lt;&gt;"")*($AS$11:$AS206&lt;&gt;"✓")),"")</f>
        <v/>
      </c>
      <c r="AZ206" s="21" t="str">
        <f>IF(AND($AM206&lt;&gt;"",$AS206="✓"),SUMPRODUCT(($AM$11:$AM206&lt;&gt;"")*($AS$11:$AS206="✓")),"")</f>
        <v/>
      </c>
      <c r="BA206" s="21" t="str">
        <f>IF($AL206="","",$AL206&amp;"|"&amp;COUNTIF($AL$11:$AL206,$AL206))</f>
        <v/>
      </c>
    </row>
    <row r="207" spans="2:53" ht="15" customHeight="1" x14ac:dyDescent="0.25">
      <c r="B207" s="5" t="str">
        <f t="shared" si="45"/>
        <v/>
      </c>
      <c r="C207" s="5"/>
      <c r="D207" s="5"/>
      <c r="E207" s="5"/>
      <c r="F207" s="6"/>
      <c r="G207" s="6"/>
      <c r="H207" s="7"/>
      <c r="I207" s="8"/>
      <c r="K207" s="9" t="str">
        <f>IFERROR(INDEX($AL$11:$AL$4010,MATCH(197,$AX$11:$AX$4010,0)),"")</f>
        <v/>
      </c>
      <c r="L207" s="10" t="str">
        <f t="shared" si="46"/>
        <v/>
      </c>
      <c r="M207" s="11" t="str">
        <f t="shared" si="47"/>
        <v/>
      </c>
      <c r="N207" s="11" t="str">
        <f t="shared" si="48"/>
        <v/>
      </c>
      <c r="P207" s="12" t="str">
        <f>IFERROR(INDEX($AM$11:$AM$4010,MATCH($S$8&amp;"|"&amp;197,$BA$11:$BA$4010,0)),"")</f>
        <v/>
      </c>
      <c r="Q207" s="11" t="str">
        <f>IF(P207="","",IFERROR(INDEX($AN$11:$AN$4010,MATCH($S$8&amp;"|"&amp;197,$BA$11:$BA$4010,0)),""))</f>
        <v/>
      </c>
      <c r="R207" s="11" t="str">
        <f>IF(P207="","",IFERROR(INDEX($AO$11:$AO$4010,MATCH($S$8&amp;"|"&amp;197,$BA$11:$BA$4010,0)),""))</f>
        <v/>
      </c>
      <c r="S207" s="10" t="str">
        <f>IF(P207="","",IFERROR(INDEX($AP$11:$AP$4010,MATCH($S$8&amp;"|"&amp;197,$BA$11:$BA$4010,0)),""))</f>
        <v/>
      </c>
      <c r="T207" s="10" t="str">
        <f>IF(P207="","",IFERROR(INDEX($AQ$11:$AQ$4010,MATCH($S$8&amp;"|"&amp;197,$BA$11:$BA$4010,0)),""))</f>
        <v/>
      </c>
      <c r="U207" s="39" t="str">
        <f t="shared" si="49"/>
        <v/>
      </c>
      <c r="W207" s="14" t="str">
        <f>IF(X207="","",IFERROR(INDEX($AL$11:$AL$4010,MATCH(197,$AY$11:$AY$4010,0)),""))</f>
        <v/>
      </c>
      <c r="X207" s="12" t="str">
        <f>IFERROR(INDEX($AM$11:$AM$4010,MATCH(197,$AY$11:$AY$4010,0)),"")</f>
        <v/>
      </c>
      <c r="Y207" s="11" t="str">
        <f>IF(X207="","",IFERROR(INDEX($AN$11:$AN$4010,MATCH(197,$AY$11:$AY$4010,0)),""))</f>
        <v/>
      </c>
      <c r="Z207" s="11" t="str">
        <f>IF(X207="","",IFERROR(INDEX($AO$11:$AO$4010,MATCH(197,$AY$11:$AY$4010,0)),""))</f>
        <v/>
      </c>
      <c r="AA207" s="10" t="str">
        <f>IF(X207="","",IFERROR(INDEX($AQ$11:$AQ$4010,MATCH(197,$AY$11:$AY$4010,0)),""))</f>
        <v/>
      </c>
      <c r="AB207" s="15" t="str">
        <f>IF(X207="","",IFERROR(INDEX($AR$11:$AR$4010,MATCH(197,$AY$11:$AY$4010,0)),""))</f>
        <v/>
      </c>
      <c r="AD207" s="16" t="str">
        <f>IF(AE207="","",IFERROR(INDEX($AL$11:$AL$4010,MATCH(197,$AZ$11:$AZ$4010,0)),""))</f>
        <v/>
      </c>
      <c r="AE207" s="12" t="str">
        <f>IFERROR(INDEX($AM$11:$AM$4010,MATCH(197,$AZ$11:$AZ$4010,0)),"")</f>
        <v/>
      </c>
      <c r="AF207" s="11" t="str">
        <f>IF(AE207="","",IFERROR(INDEX($AN$11:$AN$4010,MATCH(197,$AZ$11:$AZ$4010,0)),""))</f>
        <v/>
      </c>
      <c r="AG207" s="11" t="str">
        <f>IF(AE207="","",IFERROR(INDEX($AO$11:$AO$4010,MATCH(197,$AZ$11:$AZ$4010,0)),""))</f>
        <v/>
      </c>
      <c r="AH207" s="10" t="str">
        <f>IF(AE207="","",IFERROR(INDEX($AQ$11:$AQ$4010,MATCH(197,$AZ$11:$AZ$4010,0)),""))</f>
        <v/>
      </c>
      <c r="AI207" s="15" t="str">
        <f>IF(AE207="","",IFERROR(INDEX($AR$11:$AR$4010,MATCH(197,$AZ$11:$AZ$4010,0)),""))</f>
        <v/>
      </c>
      <c r="AJ207" s="15" t="str">
        <f>IF(AE207="","",IFERROR(INDEX($AT$11:$AT$4010,MATCH(197,$AZ$11:$AZ$4010,0)),""))</f>
        <v/>
      </c>
      <c r="AL207" s="17" t="str">
        <f t="shared" si="50"/>
        <v/>
      </c>
      <c r="AM207" s="12" t="str">
        <f t="shared" si="51"/>
        <v/>
      </c>
      <c r="AN207" s="18" t="str">
        <f t="shared" si="52"/>
        <v/>
      </c>
      <c r="AO207" s="18" t="str">
        <f t="shared" si="53"/>
        <v/>
      </c>
      <c r="AP207" s="10" t="str">
        <f t="shared" si="54"/>
        <v/>
      </c>
      <c r="AQ207" s="10" t="str">
        <f t="shared" si="55"/>
        <v/>
      </c>
      <c r="AR207" s="19" t="str">
        <f t="shared" si="56"/>
        <v/>
      </c>
      <c r="AS207" s="20"/>
      <c r="AT207" s="19"/>
      <c r="AV207" s="21">
        <f>IF(AND($AL207&lt;&gt;"",COUNTIF($AL$11:$AL207,$AL207)=1),1,0)</f>
        <v>0</v>
      </c>
      <c r="AW207" s="21">
        <f t="shared" si="58"/>
        <v>0</v>
      </c>
      <c r="AX207" s="21" t="str">
        <f t="shared" si="57"/>
        <v/>
      </c>
      <c r="AY207" s="21" t="str">
        <f>IF(AND($AM207&lt;&gt;"",$AS207&lt;&gt;"✓"),SUMPRODUCT(($AM$11:$AM207&lt;&gt;"")*($AS$11:$AS207&lt;&gt;"✓")),"")</f>
        <v/>
      </c>
      <c r="AZ207" s="21" t="str">
        <f>IF(AND($AM207&lt;&gt;"",$AS207="✓"),SUMPRODUCT(($AM$11:$AM207&lt;&gt;"")*($AS$11:$AS207="✓")),"")</f>
        <v/>
      </c>
      <c r="BA207" s="21" t="str">
        <f>IF($AL207="","",$AL207&amp;"|"&amp;COUNTIF($AL$11:$AL207,$AL207))</f>
        <v/>
      </c>
    </row>
    <row r="208" spans="2:53" ht="15" customHeight="1" x14ac:dyDescent="0.25">
      <c r="B208" s="5" t="str">
        <f t="shared" si="45"/>
        <v/>
      </c>
      <c r="C208" s="5"/>
      <c r="D208" s="5"/>
      <c r="E208" s="5"/>
      <c r="F208" s="6"/>
      <c r="G208" s="6"/>
      <c r="H208" s="7"/>
      <c r="I208" s="8"/>
      <c r="K208" s="23" t="str">
        <f>IFERROR(INDEX($AL$11:$AL$4010,MATCH(198,$AX$11:$AX$4010,0)),"")</f>
        <v/>
      </c>
      <c r="L208" s="24" t="str">
        <f t="shared" si="46"/>
        <v/>
      </c>
      <c r="M208" s="25" t="str">
        <f t="shared" si="47"/>
        <v/>
      </c>
      <c r="N208" s="25" t="str">
        <f t="shared" si="48"/>
        <v/>
      </c>
      <c r="P208" s="26" t="str">
        <f>IFERROR(INDEX($AM$11:$AM$4010,MATCH($S$8&amp;"|"&amp;198,$BA$11:$BA$4010,0)),"")</f>
        <v/>
      </c>
      <c r="Q208" s="25" t="str">
        <f>IF(P208="","",IFERROR(INDEX($AN$11:$AN$4010,MATCH($S$8&amp;"|"&amp;198,$BA$11:$BA$4010,0)),""))</f>
        <v/>
      </c>
      <c r="R208" s="25" t="str">
        <f>IF(P208="","",IFERROR(INDEX($AO$11:$AO$4010,MATCH($S$8&amp;"|"&amp;198,$BA$11:$BA$4010,0)),""))</f>
        <v/>
      </c>
      <c r="S208" s="24" t="str">
        <f>IF(P208="","",IFERROR(INDEX($AP$11:$AP$4010,MATCH($S$8&amp;"|"&amp;198,$BA$11:$BA$4010,0)),""))</f>
        <v/>
      </c>
      <c r="T208" s="24" t="str">
        <f>IF(P208="","",IFERROR(INDEX($AQ$11:$AQ$4010,MATCH($S$8&amp;"|"&amp;198,$BA$11:$BA$4010,0)),""))</f>
        <v/>
      </c>
      <c r="U208" s="38" t="str">
        <f t="shared" si="49"/>
        <v/>
      </c>
      <c r="W208" s="28" t="str">
        <f>IF(X208="","",IFERROR(INDEX($AL$11:$AL$4010,MATCH(198,$AY$11:$AY$4010,0)),""))</f>
        <v/>
      </c>
      <c r="X208" s="26" t="str">
        <f>IFERROR(INDEX($AM$11:$AM$4010,MATCH(198,$AY$11:$AY$4010,0)),"")</f>
        <v/>
      </c>
      <c r="Y208" s="25" t="str">
        <f>IF(X208="","",IFERROR(INDEX($AN$11:$AN$4010,MATCH(198,$AY$11:$AY$4010,0)),""))</f>
        <v/>
      </c>
      <c r="Z208" s="25" t="str">
        <f>IF(X208="","",IFERROR(INDEX($AO$11:$AO$4010,MATCH(198,$AY$11:$AY$4010,0)),""))</f>
        <v/>
      </c>
      <c r="AA208" s="24" t="str">
        <f>IF(X208="","",IFERROR(INDEX($AQ$11:$AQ$4010,MATCH(198,$AY$11:$AY$4010,0)),""))</f>
        <v/>
      </c>
      <c r="AB208" s="29" t="str">
        <f>IF(X208="","",IFERROR(INDEX($AR$11:$AR$4010,MATCH(198,$AY$11:$AY$4010,0)),""))</f>
        <v/>
      </c>
      <c r="AD208" s="30" t="str">
        <f>IF(AE208="","",IFERROR(INDEX($AL$11:$AL$4010,MATCH(198,$AZ$11:$AZ$4010,0)),""))</f>
        <v/>
      </c>
      <c r="AE208" s="26" t="str">
        <f>IFERROR(INDEX($AM$11:$AM$4010,MATCH(198,$AZ$11:$AZ$4010,0)),"")</f>
        <v/>
      </c>
      <c r="AF208" s="25" t="str">
        <f>IF(AE208="","",IFERROR(INDEX($AN$11:$AN$4010,MATCH(198,$AZ$11:$AZ$4010,0)),""))</f>
        <v/>
      </c>
      <c r="AG208" s="25" t="str">
        <f>IF(AE208="","",IFERROR(INDEX($AO$11:$AO$4010,MATCH(198,$AZ$11:$AZ$4010,0)),""))</f>
        <v/>
      </c>
      <c r="AH208" s="24" t="str">
        <f>IF(AE208="","",IFERROR(INDEX($AQ$11:$AQ$4010,MATCH(198,$AZ$11:$AZ$4010,0)),""))</f>
        <v/>
      </c>
      <c r="AI208" s="29" t="str">
        <f>IF(AE208="","",IFERROR(INDEX($AR$11:$AR$4010,MATCH(198,$AZ$11:$AZ$4010,0)),""))</f>
        <v/>
      </c>
      <c r="AJ208" s="29" t="str">
        <f>IF(AE208="","",IFERROR(INDEX($AT$11:$AT$4010,MATCH(198,$AZ$11:$AZ$4010,0)),""))</f>
        <v/>
      </c>
      <c r="AL208" s="31" t="str">
        <f t="shared" si="50"/>
        <v/>
      </c>
      <c r="AM208" s="26" t="str">
        <f t="shared" si="51"/>
        <v/>
      </c>
      <c r="AN208" s="32" t="str">
        <f t="shared" si="52"/>
        <v/>
      </c>
      <c r="AO208" s="32" t="str">
        <f t="shared" si="53"/>
        <v/>
      </c>
      <c r="AP208" s="24" t="str">
        <f t="shared" si="54"/>
        <v/>
      </c>
      <c r="AQ208" s="24" t="str">
        <f t="shared" si="55"/>
        <v/>
      </c>
      <c r="AR208" s="33" t="str">
        <f t="shared" si="56"/>
        <v/>
      </c>
      <c r="AS208" s="34"/>
      <c r="AT208" s="33"/>
      <c r="AV208" s="21">
        <f>IF(AND($AL208&lt;&gt;"",COUNTIF($AL$11:$AL208,$AL208)=1),1,0)</f>
        <v>0</v>
      </c>
      <c r="AW208" s="21">
        <f t="shared" si="58"/>
        <v>0</v>
      </c>
      <c r="AX208" s="21" t="str">
        <f t="shared" si="57"/>
        <v/>
      </c>
      <c r="AY208" s="21" t="str">
        <f>IF(AND($AM208&lt;&gt;"",$AS208&lt;&gt;"✓"),SUMPRODUCT(($AM$11:$AM208&lt;&gt;"")*($AS$11:$AS208&lt;&gt;"✓")),"")</f>
        <v/>
      </c>
      <c r="AZ208" s="21" t="str">
        <f>IF(AND($AM208&lt;&gt;"",$AS208="✓"),SUMPRODUCT(($AM$11:$AM208&lt;&gt;"")*($AS$11:$AS208="✓")),"")</f>
        <v/>
      </c>
      <c r="BA208" s="21" t="str">
        <f>IF($AL208="","",$AL208&amp;"|"&amp;COUNTIF($AL$11:$AL208,$AL208))</f>
        <v/>
      </c>
    </row>
    <row r="209" spans="2:53" ht="15" customHeight="1" x14ac:dyDescent="0.25">
      <c r="B209" s="5" t="str">
        <f t="shared" si="45"/>
        <v/>
      </c>
      <c r="C209" s="5"/>
      <c r="D209" s="5"/>
      <c r="E209" s="5"/>
      <c r="F209" s="6"/>
      <c r="G209" s="6"/>
      <c r="H209" s="7"/>
      <c r="I209" s="8"/>
      <c r="K209" s="9" t="str">
        <f>IFERROR(INDEX($AL$11:$AL$4010,MATCH(199,$AX$11:$AX$4010,0)),"")</f>
        <v/>
      </c>
      <c r="L209" s="10" t="str">
        <f t="shared" si="46"/>
        <v/>
      </c>
      <c r="M209" s="11" t="str">
        <f t="shared" si="47"/>
        <v/>
      </c>
      <c r="N209" s="11" t="str">
        <f t="shared" si="48"/>
        <v/>
      </c>
      <c r="P209" s="12" t="str">
        <f>IFERROR(INDEX($AM$11:$AM$4010,MATCH($S$8&amp;"|"&amp;199,$BA$11:$BA$4010,0)),"")</f>
        <v/>
      </c>
      <c r="Q209" s="11" t="str">
        <f>IF(P209="","",IFERROR(INDEX($AN$11:$AN$4010,MATCH($S$8&amp;"|"&amp;199,$BA$11:$BA$4010,0)),""))</f>
        <v/>
      </c>
      <c r="R209" s="11" t="str">
        <f>IF(P209="","",IFERROR(INDEX($AO$11:$AO$4010,MATCH($S$8&amp;"|"&amp;199,$BA$11:$BA$4010,0)),""))</f>
        <v/>
      </c>
      <c r="S209" s="10" t="str">
        <f>IF(P209="","",IFERROR(INDEX($AP$11:$AP$4010,MATCH($S$8&amp;"|"&amp;199,$BA$11:$BA$4010,0)),""))</f>
        <v/>
      </c>
      <c r="T209" s="10" t="str">
        <f>IF(P209="","",IFERROR(INDEX($AQ$11:$AQ$4010,MATCH($S$8&amp;"|"&amp;199,$BA$11:$BA$4010,0)),""))</f>
        <v/>
      </c>
      <c r="U209" s="39" t="str">
        <f t="shared" si="49"/>
        <v/>
      </c>
      <c r="W209" s="14" t="str">
        <f>IF(X209="","",IFERROR(INDEX($AL$11:$AL$4010,MATCH(199,$AY$11:$AY$4010,0)),""))</f>
        <v/>
      </c>
      <c r="X209" s="12" t="str">
        <f>IFERROR(INDEX($AM$11:$AM$4010,MATCH(199,$AY$11:$AY$4010,0)),"")</f>
        <v/>
      </c>
      <c r="Y209" s="11" t="str">
        <f>IF(X209="","",IFERROR(INDEX($AN$11:$AN$4010,MATCH(199,$AY$11:$AY$4010,0)),""))</f>
        <v/>
      </c>
      <c r="Z209" s="11" t="str">
        <f>IF(X209="","",IFERROR(INDEX($AO$11:$AO$4010,MATCH(199,$AY$11:$AY$4010,0)),""))</f>
        <v/>
      </c>
      <c r="AA209" s="10" t="str">
        <f>IF(X209="","",IFERROR(INDEX($AQ$11:$AQ$4010,MATCH(199,$AY$11:$AY$4010,0)),""))</f>
        <v/>
      </c>
      <c r="AB209" s="15" t="str">
        <f>IF(X209="","",IFERROR(INDEX($AR$11:$AR$4010,MATCH(199,$AY$11:$AY$4010,0)),""))</f>
        <v/>
      </c>
      <c r="AD209" s="16" t="str">
        <f>IF(AE209="","",IFERROR(INDEX($AL$11:$AL$4010,MATCH(199,$AZ$11:$AZ$4010,0)),""))</f>
        <v/>
      </c>
      <c r="AE209" s="12" t="str">
        <f>IFERROR(INDEX($AM$11:$AM$4010,MATCH(199,$AZ$11:$AZ$4010,0)),"")</f>
        <v/>
      </c>
      <c r="AF209" s="11" t="str">
        <f>IF(AE209="","",IFERROR(INDEX($AN$11:$AN$4010,MATCH(199,$AZ$11:$AZ$4010,0)),""))</f>
        <v/>
      </c>
      <c r="AG209" s="11" t="str">
        <f>IF(AE209="","",IFERROR(INDEX($AO$11:$AO$4010,MATCH(199,$AZ$11:$AZ$4010,0)),""))</f>
        <v/>
      </c>
      <c r="AH209" s="10" t="str">
        <f>IF(AE209="","",IFERROR(INDEX($AQ$11:$AQ$4010,MATCH(199,$AZ$11:$AZ$4010,0)),""))</f>
        <v/>
      </c>
      <c r="AI209" s="15" t="str">
        <f>IF(AE209="","",IFERROR(INDEX($AR$11:$AR$4010,MATCH(199,$AZ$11:$AZ$4010,0)),""))</f>
        <v/>
      </c>
      <c r="AJ209" s="15" t="str">
        <f>IF(AE209="","",IFERROR(INDEX($AT$11:$AT$4010,MATCH(199,$AZ$11:$AZ$4010,0)),""))</f>
        <v/>
      </c>
      <c r="AL209" s="17" t="str">
        <f t="shared" si="50"/>
        <v/>
      </c>
      <c r="AM209" s="12" t="str">
        <f t="shared" si="51"/>
        <v/>
      </c>
      <c r="AN209" s="18" t="str">
        <f t="shared" si="52"/>
        <v/>
      </c>
      <c r="AO209" s="18" t="str">
        <f t="shared" si="53"/>
        <v/>
      </c>
      <c r="AP209" s="10" t="str">
        <f t="shared" si="54"/>
        <v/>
      </c>
      <c r="AQ209" s="10" t="str">
        <f t="shared" si="55"/>
        <v/>
      </c>
      <c r="AR209" s="19" t="str">
        <f t="shared" si="56"/>
        <v/>
      </c>
      <c r="AS209" s="20"/>
      <c r="AT209" s="19"/>
      <c r="AV209" s="21">
        <f>IF(AND($AL209&lt;&gt;"",COUNTIF($AL$11:$AL209,$AL209)=1),1,0)</f>
        <v>0</v>
      </c>
      <c r="AW209" s="21">
        <f t="shared" si="58"/>
        <v>0</v>
      </c>
      <c r="AX209" s="21" t="str">
        <f t="shared" si="57"/>
        <v/>
      </c>
      <c r="AY209" s="21" t="str">
        <f>IF(AND($AM209&lt;&gt;"",$AS209&lt;&gt;"✓"),SUMPRODUCT(($AM$11:$AM209&lt;&gt;"")*($AS$11:$AS209&lt;&gt;"✓")),"")</f>
        <v/>
      </c>
      <c r="AZ209" s="21" t="str">
        <f>IF(AND($AM209&lt;&gt;"",$AS209="✓"),SUMPRODUCT(($AM$11:$AM209&lt;&gt;"")*($AS$11:$AS209="✓")),"")</f>
        <v/>
      </c>
      <c r="BA209" s="21" t="str">
        <f>IF($AL209="","",$AL209&amp;"|"&amp;COUNTIF($AL$11:$AL209,$AL209))</f>
        <v/>
      </c>
    </row>
    <row r="210" spans="2:53" ht="15" customHeight="1" x14ac:dyDescent="0.25">
      <c r="B210" s="5" t="str">
        <f t="shared" si="45"/>
        <v/>
      </c>
      <c r="C210" s="5"/>
      <c r="D210" s="5"/>
      <c r="E210" s="5"/>
      <c r="F210" s="6"/>
      <c r="G210" s="6"/>
      <c r="H210" s="7"/>
      <c r="I210" s="8"/>
      <c r="K210" s="23" t="str">
        <f>IFERROR(INDEX($AL$11:$AL$4010,MATCH(200,$AX$11:$AX$4010,0)),"")</f>
        <v/>
      </c>
      <c r="L210" s="24" t="str">
        <f t="shared" si="46"/>
        <v/>
      </c>
      <c r="M210" s="25" t="str">
        <f t="shared" si="47"/>
        <v/>
      </c>
      <c r="N210" s="25" t="str">
        <f t="shared" si="48"/>
        <v/>
      </c>
      <c r="P210" s="26" t="str">
        <f>IFERROR(INDEX($AM$11:$AM$4010,MATCH($S$8&amp;"|"&amp;200,$BA$11:$BA$4010,0)),"")</f>
        <v/>
      </c>
      <c r="Q210" s="25" t="str">
        <f>IF(P210="","",IFERROR(INDEX($AN$11:$AN$4010,MATCH($S$8&amp;"|"&amp;200,$BA$11:$BA$4010,0)),""))</f>
        <v/>
      </c>
      <c r="R210" s="25" t="str">
        <f>IF(P210="","",IFERROR(INDEX($AO$11:$AO$4010,MATCH($S$8&amp;"|"&amp;200,$BA$11:$BA$4010,0)),""))</f>
        <v/>
      </c>
      <c r="S210" s="24" t="str">
        <f>IF(P210="","",IFERROR(INDEX($AP$11:$AP$4010,MATCH($S$8&amp;"|"&amp;200,$BA$11:$BA$4010,0)),""))</f>
        <v/>
      </c>
      <c r="T210" s="24" t="str">
        <f>IF(P210="","",IFERROR(INDEX($AQ$11:$AQ$4010,MATCH($S$8&amp;"|"&amp;200,$BA$11:$BA$4010,0)),""))</f>
        <v/>
      </c>
      <c r="U210" s="38" t="str">
        <f t="shared" si="49"/>
        <v/>
      </c>
      <c r="W210" s="28" t="str">
        <f>IF(X210="","",IFERROR(INDEX($AL$11:$AL$4010,MATCH(200,$AY$11:$AY$4010,0)),""))</f>
        <v/>
      </c>
      <c r="X210" s="26" t="str">
        <f>IFERROR(INDEX($AM$11:$AM$4010,MATCH(200,$AY$11:$AY$4010,0)),"")</f>
        <v/>
      </c>
      <c r="Y210" s="25" t="str">
        <f>IF(X210="","",IFERROR(INDEX($AN$11:$AN$4010,MATCH(200,$AY$11:$AY$4010,0)),""))</f>
        <v/>
      </c>
      <c r="Z210" s="25" t="str">
        <f>IF(X210="","",IFERROR(INDEX($AO$11:$AO$4010,MATCH(200,$AY$11:$AY$4010,0)),""))</f>
        <v/>
      </c>
      <c r="AA210" s="24" t="str">
        <f>IF(X210="","",IFERROR(INDEX($AQ$11:$AQ$4010,MATCH(200,$AY$11:$AY$4010,0)),""))</f>
        <v/>
      </c>
      <c r="AB210" s="29" t="str">
        <f>IF(X210="","",IFERROR(INDEX($AR$11:$AR$4010,MATCH(200,$AY$11:$AY$4010,0)),""))</f>
        <v/>
      </c>
      <c r="AD210" s="30" t="str">
        <f>IF(AE210="","",IFERROR(INDEX($AL$11:$AL$4010,MATCH(200,$AZ$11:$AZ$4010,0)),""))</f>
        <v/>
      </c>
      <c r="AE210" s="26" t="str">
        <f>IFERROR(INDEX($AM$11:$AM$4010,MATCH(200,$AZ$11:$AZ$4010,0)),"")</f>
        <v/>
      </c>
      <c r="AF210" s="25" t="str">
        <f>IF(AE210="","",IFERROR(INDEX($AN$11:$AN$4010,MATCH(200,$AZ$11:$AZ$4010,0)),""))</f>
        <v/>
      </c>
      <c r="AG210" s="25" t="str">
        <f>IF(AE210="","",IFERROR(INDEX($AO$11:$AO$4010,MATCH(200,$AZ$11:$AZ$4010,0)),""))</f>
        <v/>
      </c>
      <c r="AH210" s="24" t="str">
        <f>IF(AE210="","",IFERROR(INDEX($AQ$11:$AQ$4010,MATCH(200,$AZ$11:$AZ$4010,0)),""))</f>
        <v/>
      </c>
      <c r="AI210" s="29" t="str">
        <f>IF(AE210="","",IFERROR(INDEX($AR$11:$AR$4010,MATCH(200,$AZ$11:$AZ$4010,0)),""))</f>
        <v/>
      </c>
      <c r="AJ210" s="29" t="str">
        <f>IF(AE210="","",IFERROR(INDEX($AT$11:$AT$4010,MATCH(200,$AZ$11:$AZ$4010,0)),""))</f>
        <v/>
      </c>
      <c r="AL210" s="31" t="str">
        <f t="shared" si="50"/>
        <v/>
      </c>
      <c r="AM210" s="26" t="str">
        <f t="shared" si="51"/>
        <v/>
      </c>
      <c r="AN210" s="32" t="str">
        <f t="shared" si="52"/>
        <v/>
      </c>
      <c r="AO210" s="32" t="str">
        <f t="shared" si="53"/>
        <v/>
      </c>
      <c r="AP210" s="24" t="str">
        <f t="shared" si="54"/>
        <v/>
      </c>
      <c r="AQ210" s="24" t="str">
        <f t="shared" si="55"/>
        <v/>
      </c>
      <c r="AR210" s="33" t="str">
        <f t="shared" si="56"/>
        <v/>
      </c>
      <c r="AS210" s="34"/>
      <c r="AT210" s="33"/>
      <c r="AV210" s="21">
        <f>IF(AND($AL210&lt;&gt;"",COUNTIF($AL$11:$AL210,$AL210)=1),1,0)</f>
        <v>0</v>
      </c>
      <c r="AW210" s="21">
        <f t="shared" si="58"/>
        <v>0</v>
      </c>
      <c r="AX210" s="21" t="str">
        <f t="shared" si="57"/>
        <v/>
      </c>
      <c r="AY210" s="21" t="str">
        <f>IF(AND($AM210&lt;&gt;"",$AS210&lt;&gt;"✓"),SUMPRODUCT(($AM$11:$AM210&lt;&gt;"")*($AS$11:$AS210&lt;&gt;"✓")),"")</f>
        <v/>
      </c>
      <c r="AZ210" s="21" t="str">
        <f>IF(AND($AM210&lt;&gt;"",$AS210="✓"),SUMPRODUCT(($AM$11:$AM210&lt;&gt;"")*($AS$11:$AS210="✓")),"")</f>
        <v/>
      </c>
      <c r="BA210" s="21" t="str">
        <f>IF($AL210="","",$AL210&amp;"|"&amp;COUNTIF($AL$11:$AL210,$AL210))</f>
        <v/>
      </c>
    </row>
    <row r="211" spans="2:53" ht="15" customHeight="1" x14ac:dyDescent="0.25">
      <c r="B211" s="5" t="str">
        <f t="shared" si="45"/>
        <v/>
      </c>
      <c r="C211" s="5"/>
      <c r="D211" s="5"/>
      <c r="E211" s="5"/>
      <c r="F211" s="6"/>
      <c r="G211" s="6"/>
      <c r="H211" s="7"/>
      <c r="I211" s="8"/>
      <c r="K211" s="9" t="str">
        <f>IFERROR(INDEX($AL$11:$AL$4010,MATCH(201,$AX$11:$AX$4010,0)),"")</f>
        <v/>
      </c>
      <c r="L211" s="10" t="str">
        <f t="shared" si="46"/>
        <v/>
      </c>
      <c r="M211" s="11" t="str">
        <f t="shared" si="47"/>
        <v/>
      </c>
      <c r="N211" s="11" t="str">
        <f t="shared" si="48"/>
        <v/>
      </c>
      <c r="W211" s="14" t="str">
        <f>IF(X211="","",IFERROR(INDEX($AL$11:$AL$4010,MATCH(201,$AY$11:$AY$4010,0)),""))</f>
        <v/>
      </c>
      <c r="X211" s="12" t="str">
        <f>IFERROR(INDEX($AM$11:$AM$4010,MATCH(201,$AY$11:$AY$4010,0)),"")</f>
        <v/>
      </c>
      <c r="Y211" s="11" t="str">
        <f>IF(X211="","",IFERROR(INDEX($AN$11:$AN$4010,MATCH(201,$AY$11:$AY$4010,0)),""))</f>
        <v/>
      </c>
      <c r="Z211" s="11" t="str">
        <f>IF(X211="","",IFERROR(INDEX($AO$11:$AO$4010,MATCH(201,$AY$11:$AY$4010,0)),""))</f>
        <v/>
      </c>
      <c r="AA211" s="10" t="str">
        <f>IF(X211="","",IFERROR(INDEX($AQ$11:$AQ$4010,MATCH(201,$AY$11:$AY$4010,0)),""))</f>
        <v/>
      </c>
      <c r="AB211" s="15" t="str">
        <f>IF(X211="","",IFERROR(INDEX($AR$11:$AR$4010,MATCH(201,$AY$11:$AY$4010,0)),""))</f>
        <v/>
      </c>
      <c r="AD211" s="16" t="str">
        <f>IF(AE211="","",IFERROR(INDEX($AL$11:$AL$4010,MATCH(201,$AZ$11:$AZ$4010,0)),""))</f>
        <v/>
      </c>
      <c r="AE211" s="12" t="str">
        <f>IFERROR(INDEX($AM$11:$AM$4010,MATCH(201,$AZ$11:$AZ$4010,0)),"")</f>
        <v/>
      </c>
      <c r="AF211" s="11" t="str">
        <f>IF(AE211="","",IFERROR(INDEX($AN$11:$AN$4010,MATCH(201,$AZ$11:$AZ$4010,0)),""))</f>
        <v/>
      </c>
      <c r="AG211" s="11" t="str">
        <f>IF(AE211="","",IFERROR(INDEX($AO$11:$AO$4010,MATCH(201,$AZ$11:$AZ$4010,0)),""))</f>
        <v/>
      </c>
      <c r="AH211" s="10" t="str">
        <f>IF(AE211="","",IFERROR(INDEX($AQ$11:$AQ$4010,MATCH(201,$AZ$11:$AZ$4010,0)),""))</f>
        <v/>
      </c>
      <c r="AI211" s="15" t="str">
        <f>IF(AE211="","",IFERROR(INDEX($AR$11:$AR$4010,MATCH(201,$AZ$11:$AZ$4010,0)),""))</f>
        <v/>
      </c>
      <c r="AJ211" s="15" t="str">
        <f>IF(AE211="","",IFERROR(INDEX($AT$11:$AT$4010,MATCH(201,$AZ$11:$AZ$4010,0)),""))</f>
        <v/>
      </c>
      <c r="AL211" s="17" t="str">
        <f t="shared" si="50"/>
        <v/>
      </c>
      <c r="AM211" s="12" t="str">
        <f t="shared" si="51"/>
        <v/>
      </c>
      <c r="AN211" s="18" t="str">
        <f t="shared" si="52"/>
        <v/>
      </c>
      <c r="AO211" s="18" t="str">
        <f t="shared" si="53"/>
        <v/>
      </c>
      <c r="AP211" s="10" t="str">
        <f t="shared" si="54"/>
        <v/>
      </c>
      <c r="AQ211" s="10" t="str">
        <f t="shared" si="55"/>
        <v/>
      </c>
      <c r="AR211" s="19" t="str">
        <f t="shared" si="56"/>
        <v/>
      </c>
      <c r="AS211" s="20"/>
      <c r="AT211" s="19"/>
      <c r="AV211" s="21">
        <f>IF(AND($AL211&lt;&gt;"",COUNTIF($AL$11:$AL211,$AL211)=1),1,0)</f>
        <v>0</v>
      </c>
      <c r="AW211" s="21">
        <f t="shared" si="58"/>
        <v>0</v>
      </c>
      <c r="AX211" s="21" t="str">
        <f t="shared" si="57"/>
        <v/>
      </c>
      <c r="AY211" s="21" t="str">
        <f>IF(AND($AM211&lt;&gt;"",$AS211&lt;&gt;"✓"),SUMPRODUCT(($AM$11:$AM211&lt;&gt;"")*($AS$11:$AS211&lt;&gt;"✓")),"")</f>
        <v/>
      </c>
      <c r="AZ211" s="21" t="str">
        <f>IF(AND($AM211&lt;&gt;"",$AS211="✓"),SUMPRODUCT(($AM$11:$AM211&lt;&gt;"")*($AS$11:$AS211="✓")),"")</f>
        <v/>
      </c>
      <c r="BA211" s="21" t="str">
        <f>IF($AL211="","",$AL211&amp;"|"&amp;COUNTIF($AL$11:$AL211,$AL211))</f>
        <v/>
      </c>
    </row>
    <row r="212" spans="2:53" ht="15" customHeight="1" x14ac:dyDescent="0.25">
      <c r="B212" s="5" t="str">
        <f t="shared" si="45"/>
        <v/>
      </c>
      <c r="C212" s="5"/>
      <c r="D212" s="5"/>
      <c r="E212" s="5"/>
      <c r="F212" s="6"/>
      <c r="G212" s="6"/>
      <c r="H212" s="7"/>
      <c r="I212" s="8"/>
      <c r="K212" s="23" t="str">
        <f>IFERROR(INDEX($AL$11:$AL$4010,MATCH(202,$AX$11:$AX$4010,0)),"")</f>
        <v/>
      </c>
      <c r="L212" s="24" t="str">
        <f t="shared" si="46"/>
        <v/>
      </c>
      <c r="M212" s="25" t="str">
        <f t="shared" si="47"/>
        <v/>
      </c>
      <c r="N212" s="25" t="str">
        <f t="shared" si="48"/>
        <v/>
      </c>
      <c r="W212" s="28" t="str">
        <f>IF(X212="","",IFERROR(INDEX($AL$11:$AL$4010,MATCH(202,$AY$11:$AY$4010,0)),""))</f>
        <v/>
      </c>
      <c r="X212" s="26" t="str">
        <f>IFERROR(INDEX($AM$11:$AM$4010,MATCH(202,$AY$11:$AY$4010,0)),"")</f>
        <v/>
      </c>
      <c r="Y212" s="25" t="str">
        <f>IF(X212="","",IFERROR(INDEX($AN$11:$AN$4010,MATCH(202,$AY$11:$AY$4010,0)),""))</f>
        <v/>
      </c>
      <c r="Z212" s="25" t="str">
        <f>IF(X212="","",IFERROR(INDEX($AO$11:$AO$4010,MATCH(202,$AY$11:$AY$4010,0)),""))</f>
        <v/>
      </c>
      <c r="AA212" s="24" t="str">
        <f>IF(X212="","",IFERROR(INDEX($AQ$11:$AQ$4010,MATCH(202,$AY$11:$AY$4010,0)),""))</f>
        <v/>
      </c>
      <c r="AB212" s="29" t="str">
        <f>IF(X212="","",IFERROR(INDEX($AR$11:$AR$4010,MATCH(202,$AY$11:$AY$4010,0)),""))</f>
        <v/>
      </c>
      <c r="AD212" s="30" t="str">
        <f>IF(AE212="","",IFERROR(INDEX($AL$11:$AL$4010,MATCH(202,$AZ$11:$AZ$4010,0)),""))</f>
        <v/>
      </c>
      <c r="AE212" s="26" t="str">
        <f>IFERROR(INDEX($AM$11:$AM$4010,MATCH(202,$AZ$11:$AZ$4010,0)),"")</f>
        <v/>
      </c>
      <c r="AF212" s="25" t="str">
        <f>IF(AE212="","",IFERROR(INDEX($AN$11:$AN$4010,MATCH(202,$AZ$11:$AZ$4010,0)),""))</f>
        <v/>
      </c>
      <c r="AG212" s="25" t="str">
        <f>IF(AE212="","",IFERROR(INDEX($AO$11:$AO$4010,MATCH(202,$AZ$11:$AZ$4010,0)),""))</f>
        <v/>
      </c>
      <c r="AH212" s="24" t="str">
        <f>IF(AE212="","",IFERROR(INDEX($AQ$11:$AQ$4010,MATCH(202,$AZ$11:$AZ$4010,0)),""))</f>
        <v/>
      </c>
      <c r="AI212" s="29" t="str">
        <f>IF(AE212="","",IFERROR(INDEX($AR$11:$AR$4010,MATCH(202,$AZ$11:$AZ$4010,0)),""))</f>
        <v/>
      </c>
      <c r="AJ212" s="29" t="str">
        <f>IF(AE212="","",IFERROR(INDEX($AT$11:$AT$4010,MATCH(202,$AZ$11:$AZ$4010,0)),""))</f>
        <v/>
      </c>
      <c r="AL212" s="31" t="str">
        <f t="shared" si="50"/>
        <v/>
      </c>
      <c r="AM212" s="26" t="str">
        <f t="shared" si="51"/>
        <v/>
      </c>
      <c r="AN212" s="32" t="str">
        <f t="shared" si="52"/>
        <v/>
      </c>
      <c r="AO212" s="32" t="str">
        <f t="shared" si="53"/>
        <v/>
      </c>
      <c r="AP212" s="24" t="str">
        <f t="shared" si="54"/>
        <v/>
      </c>
      <c r="AQ212" s="24" t="str">
        <f t="shared" si="55"/>
        <v/>
      </c>
      <c r="AR212" s="33" t="str">
        <f t="shared" si="56"/>
        <v/>
      </c>
      <c r="AS212" s="34"/>
      <c r="AT212" s="33"/>
      <c r="AV212" s="21">
        <f>IF(AND($AL212&lt;&gt;"",COUNTIF($AL$11:$AL212,$AL212)=1),1,0)</f>
        <v>0</v>
      </c>
      <c r="AW212" s="21">
        <f t="shared" si="58"/>
        <v>0</v>
      </c>
      <c r="AX212" s="21" t="str">
        <f t="shared" si="57"/>
        <v/>
      </c>
      <c r="AY212" s="21" t="str">
        <f>IF(AND($AM212&lt;&gt;"",$AS212&lt;&gt;"✓"),SUMPRODUCT(($AM$11:$AM212&lt;&gt;"")*($AS$11:$AS212&lt;&gt;"✓")),"")</f>
        <v/>
      </c>
      <c r="AZ212" s="21" t="str">
        <f>IF(AND($AM212&lt;&gt;"",$AS212="✓"),SUMPRODUCT(($AM$11:$AM212&lt;&gt;"")*($AS$11:$AS212="✓")),"")</f>
        <v/>
      </c>
      <c r="BA212" s="21" t="str">
        <f>IF($AL212="","",$AL212&amp;"|"&amp;COUNTIF($AL$11:$AL212,$AL212))</f>
        <v/>
      </c>
    </row>
    <row r="213" spans="2:53" ht="15" customHeight="1" x14ac:dyDescent="0.25">
      <c r="B213" s="5" t="str">
        <f t="shared" si="45"/>
        <v/>
      </c>
      <c r="C213" s="5"/>
      <c r="D213" s="5"/>
      <c r="E213" s="5"/>
      <c r="F213" s="6"/>
      <c r="G213" s="6"/>
      <c r="H213" s="7"/>
      <c r="I213" s="8"/>
      <c r="K213" s="9" t="str">
        <f>IFERROR(INDEX($AL$11:$AL$4010,MATCH(203,$AX$11:$AX$4010,0)),"")</f>
        <v/>
      </c>
      <c r="L213" s="10" t="str">
        <f t="shared" si="46"/>
        <v/>
      </c>
      <c r="M213" s="11" t="str">
        <f t="shared" si="47"/>
        <v/>
      </c>
      <c r="N213" s="11" t="str">
        <f t="shared" si="48"/>
        <v/>
      </c>
      <c r="W213" s="14" t="str">
        <f>IF(X213="","",IFERROR(INDEX($AL$11:$AL$4010,MATCH(203,$AY$11:$AY$4010,0)),""))</f>
        <v/>
      </c>
      <c r="X213" s="12" t="str">
        <f>IFERROR(INDEX($AM$11:$AM$4010,MATCH(203,$AY$11:$AY$4010,0)),"")</f>
        <v/>
      </c>
      <c r="Y213" s="11" t="str">
        <f>IF(X213="","",IFERROR(INDEX($AN$11:$AN$4010,MATCH(203,$AY$11:$AY$4010,0)),""))</f>
        <v/>
      </c>
      <c r="Z213" s="11" t="str">
        <f>IF(X213="","",IFERROR(INDEX($AO$11:$AO$4010,MATCH(203,$AY$11:$AY$4010,0)),""))</f>
        <v/>
      </c>
      <c r="AA213" s="10" t="str">
        <f>IF(X213="","",IFERROR(INDEX($AQ$11:$AQ$4010,MATCH(203,$AY$11:$AY$4010,0)),""))</f>
        <v/>
      </c>
      <c r="AB213" s="15" t="str">
        <f>IF(X213="","",IFERROR(INDEX($AR$11:$AR$4010,MATCH(203,$AY$11:$AY$4010,0)),""))</f>
        <v/>
      </c>
      <c r="AD213" s="16" t="str">
        <f>IF(AE213="","",IFERROR(INDEX($AL$11:$AL$4010,MATCH(203,$AZ$11:$AZ$4010,0)),""))</f>
        <v/>
      </c>
      <c r="AE213" s="12" t="str">
        <f>IFERROR(INDEX($AM$11:$AM$4010,MATCH(203,$AZ$11:$AZ$4010,0)),"")</f>
        <v/>
      </c>
      <c r="AF213" s="11" t="str">
        <f>IF(AE213="","",IFERROR(INDEX($AN$11:$AN$4010,MATCH(203,$AZ$11:$AZ$4010,0)),""))</f>
        <v/>
      </c>
      <c r="AG213" s="11" t="str">
        <f>IF(AE213="","",IFERROR(INDEX($AO$11:$AO$4010,MATCH(203,$AZ$11:$AZ$4010,0)),""))</f>
        <v/>
      </c>
      <c r="AH213" s="10" t="str">
        <f>IF(AE213="","",IFERROR(INDEX($AQ$11:$AQ$4010,MATCH(203,$AZ$11:$AZ$4010,0)),""))</f>
        <v/>
      </c>
      <c r="AI213" s="15" t="str">
        <f>IF(AE213="","",IFERROR(INDEX($AR$11:$AR$4010,MATCH(203,$AZ$11:$AZ$4010,0)),""))</f>
        <v/>
      </c>
      <c r="AJ213" s="15" t="str">
        <f>IF(AE213="","",IFERROR(INDEX($AT$11:$AT$4010,MATCH(203,$AZ$11:$AZ$4010,0)),""))</f>
        <v/>
      </c>
      <c r="AL213" s="17" t="str">
        <f t="shared" si="50"/>
        <v/>
      </c>
      <c r="AM213" s="12" t="str">
        <f t="shared" si="51"/>
        <v/>
      </c>
      <c r="AN213" s="18" t="str">
        <f t="shared" si="52"/>
        <v/>
      </c>
      <c r="AO213" s="18" t="str">
        <f t="shared" si="53"/>
        <v/>
      </c>
      <c r="AP213" s="10" t="str">
        <f t="shared" si="54"/>
        <v/>
      </c>
      <c r="AQ213" s="10" t="str">
        <f t="shared" si="55"/>
        <v/>
      </c>
      <c r="AR213" s="19" t="str">
        <f t="shared" si="56"/>
        <v/>
      </c>
      <c r="AS213" s="20"/>
      <c r="AT213" s="19"/>
      <c r="AV213" s="21">
        <f>IF(AND($AL213&lt;&gt;"",COUNTIF($AL$11:$AL213,$AL213)=1),1,0)</f>
        <v>0</v>
      </c>
      <c r="AW213" s="21">
        <f t="shared" si="58"/>
        <v>0</v>
      </c>
      <c r="AX213" s="21" t="str">
        <f t="shared" si="57"/>
        <v/>
      </c>
      <c r="AY213" s="21" t="str">
        <f>IF(AND($AM213&lt;&gt;"",$AS213&lt;&gt;"✓"),SUMPRODUCT(($AM$11:$AM213&lt;&gt;"")*($AS$11:$AS213&lt;&gt;"✓")),"")</f>
        <v/>
      </c>
      <c r="AZ213" s="21" t="str">
        <f>IF(AND($AM213&lt;&gt;"",$AS213="✓"),SUMPRODUCT(($AM$11:$AM213&lt;&gt;"")*($AS$11:$AS213="✓")),"")</f>
        <v/>
      </c>
      <c r="BA213" s="21" t="str">
        <f>IF($AL213="","",$AL213&amp;"|"&amp;COUNTIF($AL$11:$AL213,$AL213))</f>
        <v/>
      </c>
    </row>
    <row r="214" spans="2:53" ht="15" customHeight="1" x14ac:dyDescent="0.25">
      <c r="B214" s="5" t="str">
        <f t="shared" si="45"/>
        <v/>
      </c>
      <c r="C214" s="5"/>
      <c r="D214" s="5"/>
      <c r="E214" s="5"/>
      <c r="F214" s="6"/>
      <c r="G214" s="6"/>
      <c r="H214" s="7"/>
      <c r="I214" s="8"/>
      <c r="K214" s="23" t="str">
        <f>IFERROR(INDEX($AL$11:$AL$4010,MATCH(204,$AX$11:$AX$4010,0)),"")</f>
        <v/>
      </c>
      <c r="L214" s="24" t="str">
        <f t="shared" si="46"/>
        <v/>
      </c>
      <c r="M214" s="25" t="str">
        <f t="shared" si="47"/>
        <v/>
      </c>
      <c r="N214" s="25" t="str">
        <f t="shared" si="48"/>
        <v/>
      </c>
      <c r="W214" s="28" t="str">
        <f>IF(X214="","",IFERROR(INDEX($AL$11:$AL$4010,MATCH(204,$AY$11:$AY$4010,0)),""))</f>
        <v/>
      </c>
      <c r="X214" s="26" t="str">
        <f>IFERROR(INDEX($AM$11:$AM$4010,MATCH(204,$AY$11:$AY$4010,0)),"")</f>
        <v/>
      </c>
      <c r="Y214" s="25" t="str">
        <f>IF(X214="","",IFERROR(INDEX($AN$11:$AN$4010,MATCH(204,$AY$11:$AY$4010,0)),""))</f>
        <v/>
      </c>
      <c r="Z214" s="25" t="str">
        <f>IF(X214="","",IFERROR(INDEX($AO$11:$AO$4010,MATCH(204,$AY$11:$AY$4010,0)),""))</f>
        <v/>
      </c>
      <c r="AA214" s="24" t="str">
        <f>IF(X214="","",IFERROR(INDEX($AQ$11:$AQ$4010,MATCH(204,$AY$11:$AY$4010,0)),""))</f>
        <v/>
      </c>
      <c r="AB214" s="29" t="str">
        <f>IF(X214="","",IFERROR(INDEX($AR$11:$AR$4010,MATCH(204,$AY$11:$AY$4010,0)),""))</f>
        <v/>
      </c>
      <c r="AD214" s="30" t="str">
        <f>IF(AE214="","",IFERROR(INDEX($AL$11:$AL$4010,MATCH(204,$AZ$11:$AZ$4010,0)),""))</f>
        <v/>
      </c>
      <c r="AE214" s="26" t="str">
        <f>IFERROR(INDEX($AM$11:$AM$4010,MATCH(204,$AZ$11:$AZ$4010,0)),"")</f>
        <v/>
      </c>
      <c r="AF214" s="25" t="str">
        <f>IF(AE214="","",IFERROR(INDEX($AN$11:$AN$4010,MATCH(204,$AZ$11:$AZ$4010,0)),""))</f>
        <v/>
      </c>
      <c r="AG214" s="25" t="str">
        <f>IF(AE214="","",IFERROR(INDEX($AO$11:$AO$4010,MATCH(204,$AZ$11:$AZ$4010,0)),""))</f>
        <v/>
      </c>
      <c r="AH214" s="24" t="str">
        <f>IF(AE214="","",IFERROR(INDEX($AQ$11:$AQ$4010,MATCH(204,$AZ$11:$AZ$4010,0)),""))</f>
        <v/>
      </c>
      <c r="AI214" s="29" t="str">
        <f>IF(AE214="","",IFERROR(INDEX($AR$11:$AR$4010,MATCH(204,$AZ$11:$AZ$4010,0)),""))</f>
        <v/>
      </c>
      <c r="AJ214" s="29" t="str">
        <f>IF(AE214="","",IFERROR(INDEX($AT$11:$AT$4010,MATCH(204,$AZ$11:$AZ$4010,0)),""))</f>
        <v/>
      </c>
      <c r="AL214" s="31" t="str">
        <f t="shared" si="50"/>
        <v/>
      </c>
      <c r="AM214" s="26" t="str">
        <f t="shared" si="51"/>
        <v/>
      </c>
      <c r="AN214" s="32" t="str">
        <f t="shared" si="52"/>
        <v/>
      </c>
      <c r="AO214" s="32" t="str">
        <f t="shared" si="53"/>
        <v/>
      </c>
      <c r="AP214" s="24" t="str">
        <f t="shared" si="54"/>
        <v/>
      </c>
      <c r="AQ214" s="24" t="str">
        <f t="shared" si="55"/>
        <v/>
      </c>
      <c r="AR214" s="33" t="str">
        <f t="shared" si="56"/>
        <v/>
      </c>
      <c r="AS214" s="34"/>
      <c r="AT214" s="33"/>
      <c r="AV214" s="21">
        <f>IF(AND($AL214&lt;&gt;"",COUNTIF($AL$11:$AL214,$AL214)=1),1,0)</f>
        <v>0</v>
      </c>
      <c r="AW214" s="21">
        <f t="shared" si="58"/>
        <v>0</v>
      </c>
      <c r="AX214" s="21" t="str">
        <f t="shared" si="57"/>
        <v/>
      </c>
      <c r="AY214" s="21" t="str">
        <f>IF(AND($AM214&lt;&gt;"",$AS214&lt;&gt;"✓"),SUMPRODUCT(($AM$11:$AM214&lt;&gt;"")*($AS$11:$AS214&lt;&gt;"✓")),"")</f>
        <v/>
      </c>
      <c r="AZ214" s="21" t="str">
        <f>IF(AND($AM214&lt;&gt;"",$AS214="✓"),SUMPRODUCT(($AM$11:$AM214&lt;&gt;"")*($AS$11:$AS214="✓")),"")</f>
        <v/>
      </c>
      <c r="BA214" s="21" t="str">
        <f>IF($AL214="","",$AL214&amp;"|"&amp;COUNTIF($AL$11:$AL214,$AL214))</f>
        <v/>
      </c>
    </row>
    <row r="215" spans="2:53" ht="15" customHeight="1" x14ac:dyDescent="0.25">
      <c r="B215" s="5" t="str">
        <f t="shared" si="45"/>
        <v/>
      </c>
      <c r="C215" s="5"/>
      <c r="D215" s="5"/>
      <c r="E215" s="5"/>
      <c r="F215" s="6"/>
      <c r="G215" s="6"/>
      <c r="H215" s="7"/>
      <c r="I215" s="8"/>
      <c r="K215" s="9" t="str">
        <f>IFERROR(INDEX($AL$11:$AL$4010,MATCH(205,$AX$11:$AX$4010,0)),"")</f>
        <v/>
      </c>
      <c r="L215" s="10" t="str">
        <f t="shared" si="46"/>
        <v/>
      </c>
      <c r="M215" s="11" t="str">
        <f t="shared" si="47"/>
        <v/>
      </c>
      <c r="N215" s="11" t="str">
        <f t="shared" si="48"/>
        <v/>
      </c>
      <c r="W215" s="14" t="str">
        <f>IF(X215="","",IFERROR(INDEX($AL$11:$AL$4010,MATCH(205,$AY$11:$AY$4010,0)),""))</f>
        <v/>
      </c>
      <c r="X215" s="12" t="str">
        <f>IFERROR(INDEX($AM$11:$AM$4010,MATCH(205,$AY$11:$AY$4010,0)),"")</f>
        <v/>
      </c>
      <c r="Y215" s="11" t="str">
        <f>IF(X215="","",IFERROR(INDEX($AN$11:$AN$4010,MATCH(205,$AY$11:$AY$4010,0)),""))</f>
        <v/>
      </c>
      <c r="Z215" s="11" t="str">
        <f>IF(X215="","",IFERROR(INDEX($AO$11:$AO$4010,MATCH(205,$AY$11:$AY$4010,0)),""))</f>
        <v/>
      </c>
      <c r="AA215" s="10" t="str">
        <f>IF(X215="","",IFERROR(INDEX($AQ$11:$AQ$4010,MATCH(205,$AY$11:$AY$4010,0)),""))</f>
        <v/>
      </c>
      <c r="AB215" s="15" t="str">
        <f>IF(X215="","",IFERROR(INDEX($AR$11:$AR$4010,MATCH(205,$AY$11:$AY$4010,0)),""))</f>
        <v/>
      </c>
      <c r="AD215" s="16" t="str">
        <f>IF(AE215="","",IFERROR(INDEX($AL$11:$AL$4010,MATCH(205,$AZ$11:$AZ$4010,0)),""))</f>
        <v/>
      </c>
      <c r="AE215" s="12" t="str">
        <f>IFERROR(INDEX($AM$11:$AM$4010,MATCH(205,$AZ$11:$AZ$4010,0)),"")</f>
        <v/>
      </c>
      <c r="AF215" s="11" t="str">
        <f>IF(AE215="","",IFERROR(INDEX($AN$11:$AN$4010,MATCH(205,$AZ$11:$AZ$4010,0)),""))</f>
        <v/>
      </c>
      <c r="AG215" s="11" t="str">
        <f>IF(AE215="","",IFERROR(INDEX($AO$11:$AO$4010,MATCH(205,$AZ$11:$AZ$4010,0)),""))</f>
        <v/>
      </c>
      <c r="AH215" s="10" t="str">
        <f>IF(AE215="","",IFERROR(INDEX($AQ$11:$AQ$4010,MATCH(205,$AZ$11:$AZ$4010,0)),""))</f>
        <v/>
      </c>
      <c r="AI215" s="15" t="str">
        <f>IF(AE215="","",IFERROR(INDEX($AR$11:$AR$4010,MATCH(205,$AZ$11:$AZ$4010,0)),""))</f>
        <v/>
      </c>
      <c r="AJ215" s="15" t="str">
        <f>IF(AE215="","",IFERROR(INDEX($AT$11:$AT$4010,MATCH(205,$AZ$11:$AZ$4010,0)),""))</f>
        <v/>
      </c>
      <c r="AL215" s="17" t="str">
        <f t="shared" si="50"/>
        <v/>
      </c>
      <c r="AM215" s="12" t="str">
        <f t="shared" si="51"/>
        <v/>
      </c>
      <c r="AN215" s="18" t="str">
        <f t="shared" si="52"/>
        <v/>
      </c>
      <c r="AO215" s="18" t="str">
        <f t="shared" si="53"/>
        <v/>
      </c>
      <c r="AP215" s="10" t="str">
        <f t="shared" si="54"/>
        <v/>
      </c>
      <c r="AQ215" s="10" t="str">
        <f t="shared" si="55"/>
        <v/>
      </c>
      <c r="AR215" s="19" t="str">
        <f t="shared" si="56"/>
        <v/>
      </c>
      <c r="AS215" s="20"/>
      <c r="AT215" s="19"/>
      <c r="AV215" s="21">
        <f>IF(AND($AL215&lt;&gt;"",COUNTIF($AL$11:$AL215,$AL215)=1),1,0)</f>
        <v>0</v>
      </c>
      <c r="AW215" s="21">
        <f t="shared" si="58"/>
        <v>0</v>
      </c>
      <c r="AX215" s="21" t="str">
        <f t="shared" si="57"/>
        <v/>
      </c>
      <c r="AY215" s="21" t="str">
        <f>IF(AND($AM215&lt;&gt;"",$AS215&lt;&gt;"✓"),SUMPRODUCT(($AM$11:$AM215&lt;&gt;"")*($AS$11:$AS215&lt;&gt;"✓")),"")</f>
        <v/>
      </c>
      <c r="AZ215" s="21" t="str">
        <f>IF(AND($AM215&lt;&gt;"",$AS215="✓"),SUMPRODUCT(($AM$11:$AM215&lt;&gt;"")*($AS$11:$AS215="✓")),"")</f>
        <v/>
      </c>
      <c r="BA215" s="21" t="str">
        <f>IF($AL215="","",$AL215&amp;"|"&amp;COUNTIF($AL$11:$AL215,$AL215))</f>
        <v/>
      </c>
    </row>
    <row r="216" spans="2:53" ht="15" customHeight="1" x14ac:dyDescent="0.25">
      <c r="B216" s="5" t="str">
        <f t="shared" si="45"/>
        <v/>
      </c>
      <c r="C216" s="5"/>
      <c r="D216" s="5"/>
      <c r="E216" s="5"/>
      <c r="F216" s="6"/>
      <c r="G216" s="6"/>
      <c r="H216" s="7"/>
      <c r="I216" s="8"/>
      <c r="K216" s="23" t="str">
        <f>IFERROR(INDEX($AL$11:$AL$4010,MATCH(206,$AX$11:$AX$4010,0)),"")</f>
        <v/>
      </c>
      <c r="L216" s="24" t="str">
        <f t="shared" si="46"/>
        <v/>
      </c>
      <c r="M216" s="25" t="str">
        <f t="shared" si="47"/>
        <v/>
      </c>
      <c r="N216" s="25" t="str">
        <f t="shared" si="48"/>
        <v/>
      </c>
      <c r="W216" s="28" t="str">
        <f>IF(X216="","",IFERROR(INDEX($AL$11:$AL$4010,MATCH(206,$AY$11:$AY$4010,0)),""))</f>
        <v/>
      </c>
      <c r="X216" s="26" t="str">
        <f>IFERROR(INDEX($AM$11:$AM$4010,MATCH(206,$AY$11:$AY$4010,0)),"")</f>
        <v/>
      </c>
      <c r="Y216" s="25" t="str">
        <f>IF(X216="","",IFERROR(INDEX($AN$11:$AN$4010,MATCH(206,$AY$11:$AY$4010,0)),""))</f>
        <v/>
      </c>
      <c r="Z216" s="25" t="str">
        <f>IF(X216="","",IFERROR(INDEX($AO$11:$AO$4010,MATCH(206,$AY$11:$AY$4010,0)),""))</f>
        <v/>
      </c>
      <c r="AA216" s="24" t="str">
        <f>IF(X216="","",IFERROR(INDEX($AQ$11:$AQ$4010,MATCH(206,$AY$11:$AY$4010,0)),""))</f>
        <v/>
      </c>
      <c r="AB216" s="29" t="str">
        <f>IF(X216="","",IFERROR(INDEX($AR$11:$AR$4010,MATCH(206,$AY$11:$AY$4010,0)),""))</f>
        <v/>
      </c>
      <c r="AD216" s="30" t="str">
        <f>IF(AE216="","",IFERROR(INDEX($AL$11:$AL$4010,MATCH(206,$AZ$11:$AZ$4010,0)),""))</f>
        <v/>
      </c>
      <c r="AE216" s="26" t="str">
        <f>IFERROR(INDEX($AM$11:$AM$4010,MATCH(206,$AZ$11:$AZ$4010,0)),"")</f>
        <v/>
      </c>
      <c r="AF216" s="25" t="str">
        <f>IF(AE216="","",IFERROR(INDEX($AN$11:$AN$4010,MATCH(206,$AZ$11:$AZ$4010,0)),""))</f>
        <v/>
      </c>
      <c r="AG216" s="25" t="str">
        <f>IF(AE216="","",IFERROR(INDEX($AO$11:$AO$4010,MATCH(206,$AZ$11:$AZ$4010,0)),""))</f>
        <v/>
      </c>
      <c r="AH216" s="24" t="str">
        <f>IF(AE216="","",IFERROR(INDEX($AQ$11:$AQ$4010,MATCH(206,$AZ$11:$AZ$4010,0)),""))</f>
        <v/>
      </c>
      <c r="AI216" s="29" t="str">
        <f>IF(AE216="","",IFERROR(INDEX($AR$11:$AR$4010,MATCH(206,$AZ$11:$AZ$4010,0)),""))</f>
        <v/>
      </c>
      <c r="AJ216" s="29" t="str">
        <f>IF(AE216="","",IFERROR(INDEX($AT$11:$AT$4010,MATCH(206,$AZ$11:$AZ$4010,0)),""))</f>
        <v/>
      </c>
      <c r="AL216" s="31" t="str">
        <f t="shared" si="50"/>
        <v/>
      </c>
      <c r="AM216" s="26" t="str">
        <f t="shared" si="51"/>
        <v/>
      </c>
      <c r="AN216" s="32" t="str">
        <f t="shared" si="52"/>
        <v/>
      </c>
      <c r="AO216" s="32" t="str">
        <f t="shared" si="53"/>
        <v/>
      </c>
      <c r="AP216" s="24" t="str">
        <f t="shared" si="54"/>
        <v/>
      </c>
      <c r="AQ216" s="24" t="str">
        <f t="shared" si="55"/>
        <v/>
      </c>
      <c r="AR216" s="33" t="str">
        <f t="shared" si="56"/>
        <v/>
      </c>
      <c r="AS216" s="34"/>
      <c r="AT216" s="33"/>
      <c r="AV216" s="21">
        <f>IF(AND($AL216&lt;&gt;"",COUNTIF($AL$11:$AL216,$AL216)=1),1,0)</f>
        <v>0</v>
      </c>
      <c r="AW216" s="21">
        <f t="shared" si="58"/>
        <v>0</v>
      </c>
      <c r="AX216" s="21" t="str">
        <f t="shared" si="57"/>
        <v/>
      </c>
      <c r="AY216" s="21" t="str">
        <f>IF(AND($AM216&lt;&gt;"",$AS216&lt;&gt;"✓"),SUMPRODUCT(($AM$11:$AM216&lt;&gt;"")*($AS$11:$AS216&lt;&gt;"✓")),"")</f>
        <v/>
      </c>
      <c r="AZ216" s="21" t="str">
        <f>IF(AND($AM216&lt;&gt;"",$AS216="✓"),SUMPRODUCT(($AM$11:$AM216&lt;&gt;"")*($AS$11:$AS216="✓")),"")</f>
        <v/>
      </c>
      <c r="BA216" s="21" t="str">
        <f>IF($AL216="","",$AL216&amp;"|"&amp;COUNTIF($AL$11:$AL216,$AL216))</f>
        <v/>
      </c>
    </row>
    <row r="217" spans="2:53" ht="15" customHeight="1" x14ac:dyDescent="0.25">
      <c r="B217" s="5" t="str">
        <f t="shared" si="45"/>
        <v/>
      </c>
      <c r="C217" s="5"/>
      <c r="D217" s="5"/>
      <c r="E217" s="5"/>
      <c r="F217" s="6"/>
      <c r="G217" s="6"/>
      <c r="H217" s="7"/>
      <c r="I217" s="8"/>
      <c r="K217" s="9" t="str">
        <f>IFERROR(INDEX($AL$11:$AL$4010,MATCH(207,$AX$11:$AX$4010,0)),"")</f>
        <v/>
      </c>
      <c r="L217" s="10" t="str">
        <f t="shared" si="46"/>
        <v/>
      </c>
      <c r="M217" s="11" t="str">
        <f t="shared" si="47"/>
        <v/>
      </c>
      <c r="N217" s="11" t="str">
        <f t="shared" si="48"/>
        <v/>
      </c>
      <c r="W217" s="14" t="str">
        <f>IF(X217="","",IFERROR(INDEX($AL$11:$AL$4010,MATCH(207,$AY$11:$AY$4010,0)),""))</f>
        <v/>
      </c>
      <c r="X217" s="12" t="str">
        <f>IFERROR(INDEX($AM$11:$AM$4010,MATCH(207,$AY$11:$AY$4010,0)),"")</f>
        <v/>
      </c>
      <c r="Y217" s="11" t="str">
        <f>IF(X217="","",IFERROR(INDEX($AN$11:$AN$4010,MATCH(207,$AY$11:$AY$4010,0)),""))</f>
        <v/>
      </c>
      <c r="Z217" s="11" t="str">
        <f>IF(X217="","",IFERROR(INDEX($AO$11:$AO$4010,MATCH(207,$AY$11:$AY$4010,0)),""))</f>
        <v/>
      </c>
      <c r="AA217" s="10" t="str">
        <f>IF(X217="","",IFERROR(INDEX($AQ$11:$AQ$4010,MATCH(207,$AY$11:$AY$4010,0)),""))</f>
        <v/>
      </c>
      <c r="AB217" s="15" t="str">
        <f>IF(X217="","",IFERROR(INDEX($AR$11:$AR$4010,MATCH(207,$AY$11:$AY$4010,0)),""))</f>
        <v/>
      </c>
      <c r="AD217" s="16" t="str">
        <f>IF(AE217="","",IFERROR(INDEX($AL$11:$AL$4010,MATCH(207,$AZ$11:$AZ$4010,0)),""))</f>
        <v/>
      </c>
      <c r="AE217" s="12" t="str">
        <f>IFERROR(INDEX($AM$11:$AM$4010,MATCH(207,$AZ$11:$AZ$4010,0)),"")</f>
        <v/>
      </c>
      <c r="AF217" s="11" t="str">
        <f>IF(AE217="","",IFERROR(INDEX($AN$11:$AN$4010,MATCH(207,$AZ$11:$AZ$4010,0)),""))</f>
        <v/>
      </c>
      <c r="AG217" s="11" t="str">
        <f>IF(AE217="","",IFERROR(INDEX($AO$11:$AO$4010,MATCH(207,$AZ$11:$AZ$4010,0)),""))</f>
        <v/>
      </c>
      <c r="AH217" s="10" t="str">
        <f>IF(AE217="","",IFERROR(INDEX($AQ$11:$AQ$4010,MATCH(207,$AZ$11:$AZ$4010,0)),""))</f>
        <v/>
      </c>
      <c r="AI217" s="15" t="str">
        <f>IF(AE217="","",IFERROR(INDEX($AR$11:$AR$4010,MATCH(207,$AZ$11:$AZ$4010,0)),""))</f>
        <v/>
      </c>
      <c r="AJ217" s="15" t="str">
        <f>IF(AE217="","",IFERROR(INDEX($AT$11:$AT$4010,MATCH(207,$AZ$11:$AZ$4010,0)),""))</f>
        <v/>
      </c>
      <c r="AL217" s="17" t="str">
        <f t="shared" si="50"/>
        <v/>
      </c>
      <c r="AM217" s="12" t="str">
        <f t="shared" si="51"/>
        <v/>
      </c>
      <c r="AN217" s="18" t="str">
        <f t="shared" si="52"/>
        <v/>
      </c>
      <c r="AO217" s="18" t="str">
        <f t="shared" si="53"/>
        <v/>
      </c>
      <c r="AP217" s="10" t="str">
        <f t="shared" si="54"/>
        <v/>
      </c>
      <c r="AQ217" s="10" t="str">
        <f t="shared" si="55"/>
        <v/>
      </c>
      <c r="AR217" s="19" t="str">
        <f t="shared" si="56"/>
        <v/>
      </c>
      <c r="AS217" s="20"/>
      <c r="AT217" s="19"/>
      <c r="AV217" s="21">
        <f>IF(AND($AL217&lt;&gt;"",COUNTIF($AL$11:$AL217,$AL217)=1),1,0)</f>
        <v>0</v>
      </c>
      <c r="AW217" s="21">
        <f t="shared" si="58"/>
        <v>0</v>
      </c>
      <c r="AX217" s="21" t="str">
        <f t="shared" si="57"/>
        <v/>
      </c>
      <c r="AY217" s="21" t="str">
        <f>IF(AND($AM217&lt;&gt;"",$AS217&lt;&gt;"✓"),SUMPRODUCT(($AM$11:$AM217&lt;&gt;"")*($AS$11:$AS217&lt;&gt;"✓")),"")</f>
        <v/>
      </c>
      <c r="AZ217" s="21" t="str">
        <f>IF(AND($AM217&lt;&gt;"",$AS217="✓"),SUMPRODUCT(($AM$11:$AM217&lt;&gt;"")*($AS$11:$AS217="✓")),"")</f>
        <v/>
      </c>
      <c r="BA217" s="21" t="str">
        <f>IF($AL217="","",$AL217&amp;"|"&amp;COUNTIF($AL$11:$AL217,$AL217))</f>
        <v/>
      </c>
    </row>
    <row r="218" spans="2:53" ht="15" customHeight="1" x14ac:dyDescent="0.25">
      <c r="B218" s="5" t="str">
        <f t="shared" si="45"/>
        <v/>
      </c>
      <c r="C218" s="5"/>
      <c r="D218" s="5"/>
      <c r="E218" s="5"/>
      <c r="F218" s="6"/>
      <c r="G218" s="6"/>
      <c r="H218" s="7"/>
      <c r="I218" s="8"/>
      <c r="K218" s="23" t="str">
        <f>IFERROR(INDEX($AL$11:$AL$4010,MATCH(208,$AX$11:$AX$4010,0)),"")</f>
        <v/>
      </c>
      <c r="L218" s="24" t="str">
        <f t="shared" si="46"/>
        <v/>
      </c>
      <c r="M218" s="25" t="str">
        <f t="shared" si="47"/>
        <v/>
      </c>
      <c r="N218" s="25" t="str">
        <f t="shared" si="48"/>
        <v/>
      </c>
      <c r="W218" s="28" t="str">
        <f>IF(X218="","",IFERROR(INDEX($AL$11:$AL$4010,MATCH(208,$AY$11:$AY$4010,0)),""))</f>
        <v/>
      </c>
      <c r="X218" s="26" t="str">
        <f>IFERROR(INDEX($AM$11:$AM$4010,MATCH(208,$AY$11:$AY$4010,0)),"")</f>
        <v/>
      </c>
      <c r="Y218" s="25" t="str">
        <f>IF(X218="","",IFERROR(INDEX($AN$11:$AN$4010,MATCH(208,$AY$11:$AY$4010,0)),""))</f>
        <v/>
      </c>
      <c r="Z218" s="25" t="str">
        <f>IF(X218="","",IFERROR(INDEX($AO$11:$AO$4010,MATCH(208,$AY$11:$AY$4010,0)),""))</f>
        <v/>
      </c>
      <c r="AA218" s="24" t="str">
        <f>IF(X218="","",IFERROR(INDEX($AQ$11:$AQ$4010,MATCH(208,$AY$11:$AY$4010,0)),""))</f>
        <v/>
      </c>
      <c r="AB218" s="29" t="str">
        <f>IF(X218="","",IFERROR(INDEX($AR$11:$AR$4010,MATCH(208,$AY$11:$AY$4010,0)),""))</f>
        <v/>
      </c>
      <c r="AD218" s="30" t="str">
        <f>IF(AE218="","",IFERROR(INDEX($AL$11:$AL$4010,MATCH(208,$AZ$11:$AZ$4010,0)),""))</f>
        <v/>
      </c>
      <c r="AE218" s="26" t="str">
        <f>IFERROR(INDEX($AM$11:$AM$4010,MATCH(208,$AZ$11:$AZ$4010,0)),"")</f>
        <v/>
      </c>
      <c r="AF218" s="25" t="str">
        <f>IF(AE218="","",IFERROR(INDEX($AN$11:$AN$4010,MATCH(208,$AZ$11:$AZ$4010,0)),""))</f>
        <v/>
      </c>
      <c r="AG218" s="25" t="str">
        <f>IF(AE218="","",IFERROR(INDEX($AO$11:$AO$4010,MATCH(208,$AZ$11:$AZ$4010,0)),""))</f>
        <v/>
      </c>
      <c r="AH218" s="24" t="str">
        <f>IF(AE218="","",IFERROR(INDEX($AQ$11:$AQ$4010,MATCH(208,$AZ$11:$AZ$4010,0)),""))</f>
        <v/>
      </c>
      <c r="AI218" s="29" t="str">
        <f>IF(AE218="","",IFERROR(INDEX($AR$11:$AR$4010,MATCH(208,$AZ$11:$AZ$4010,0)),""))</f>
        <v/>
      </c>
      <c r="AJ218" s="29" t="str">
        <f>IF(AE218="","",IFERROR(INDEX($AT$11:$AT$4010,MATCH(208,$AZ$11:$AZ$4010,0)),""))</f>
        <v/>
      </c>
      <c r="AL218" s="31" t="str">
        <f t="shared" si="50"/>
        <v/>
      </c>
      <c r="AM218" s="26" t="str">
        <f t="shared" si="51"/>
        <v/>
      </c>
      <c r="AN218" s="32" t="str">
        <f t="shared" si="52"/>
        <v/>
      </c>
      <c r="AO218" s="32" t="str">
        <f t="shared" si="53"/>
        <v/>
      </c>
      <c r="AP218" s="24" t="str">
        <f t="shared" si="54"/>
        <v/>
      </c>
      <c r="AQ218" s="24" t="str">
        <f t="shared" si="55"/>
        <v/>
      </c>
      <c r="AR218" s="33" t="str">
        <f t="shared" si="56"/>
        <v/>
      </c>
      <c r="AS218" s="34"/>
      <c r="AT218" s="33"/>
      <c r="AV218" s="21">
        <f>IF(AND($AL218&lt;&gt;"",COUNTIF($AL$11:$AL218,$AL218)=1),1,0)</f>
        <v>0</v>
      </c>
      <c r="AW218" s="21">
        <f t="shared" si="58"/>
        <v>0</v>
      </c>
      <c r="AX218" s="21" t="str">
        <f t="shared" si="57"/>
        <v/>
      </c>
      <c r="AY218" s="21" t="str">
        <f>IF(AND($AM218&lt;&gt;"",$AS218&lt;&gt;"✓"),SUMPRODUCT(($AM$11:$AM218&lt;&gt;"")*($AS$11:$AS218&lt;&gt;"✓")),"")</f>
        <v/>
      </c>
      <c r="AZ218" s="21" t="str">
        <f>IF(AND($AM218&lt;&gt;"",$AS218="✓"),SUMPRODUCT(($AM$11:$AM218&lt;&gt;"")*($AS$11:$AS218="✓")),"")</f>
        <v/>
      </c>
      <c r="BA218" s="21" t="str">
        <f>IF($AL218="","",$AL218&amp;"|"&amp;COUNTIF($AL$11:$AL218,$AL218))</f>
        <v/>
      </c>
    </row>
    <row r="219" spans="2:53" ht="15" customHeight="1" x14ac:dyDescent="0.25">
      <c r="B219" s="5" t="str">
        <f t="shared" si="45"/>
        <v/>
      </c>
      <c r="C219" s="5"/>
      <c r="D219" s="5"/>
      <c r="E219" s="5"/>
      <c r="F219" s="6"/>
      <c r="G219" s="6"/>
      <c r="H219" s="7"/>
      <c r="I219" s="8"/>
      <c r="K219" s="9" t="str">
        <f>IFERROR(INDEX($AL$11:$AL$4010,MATCH(209,$AX$11:$AX$4010,0)),"")</f>
        <v/>
      </c>
      <c r="L219" s="10" t="str">
        <f t="shared" si="46"/>
        <v/>
      </c>
      <c r="M219" s="11" t="str">
        <f t="shared" si="47"/>
        <v/>
      </c>
      <c r="N219" s="11" t="str">
        <f t="shared" si="48"/>
        <v/>
      </c>
      <c r="W219" s="14" t="str">
        <f>IF(X219="","",IFERROR(INDEX($AL$11:$AL$4010,MATCH(209,$AY$11:$AY$4010,0)),""))</f>
        <v/>
      </c>
      <c r="X219" s="12" t="str">
        <f>IFERROR(INDEX($AM$11:$AM$4010,MATCH(209,$AY$11:$AY$4010,0)),"")</f>
        <v/>
      </c>
      <c r="Y219" s="11" t="str">
        <f>IF(X219="","",IFERROR(INDEX($AN$11:$AN$4010,MATCH(209,$AY$11:$AY$4010,0)),""))</f>
        <v/>
      </c>
      <c r="Z219" s="11" t="str">
        <f>IF(X219="","",IFERROR(INDEX($AO$11:$AO$4010,MATCH(209,$AY$11:$AY$4010,0)),""))</f>
        <v/>
      </c>
      <c r="AA219" s="10" t="str">
        <f>IF(X219="","",IFERROR(INDEX($AQ$11:$AQ$4010,MATCH(209,$AY$11:$AY$4010,0)),""))</f>
        <v/>
      </c>
      <c r="AB219" s="15" t="str">
        <f>IF(X219="","",IFERROR(INDEX($AR$11:$AR$4010,MATCH(209,$AY$11:$AY$4010,0)),""))</f>
        <v/>
      </c>
      <c r="AD219" s="16" t="str">
        <f>IF(AE219="","",IFERROR(INDEX($AL$11:$AL$4010,MATCH(209,$AZ$11:$AZ$4010,0)),""))</f>
        <v/>
      </c>
      <c r="AE219" s="12" t="str">
        <f>IFERROR(INDEX($AM$11:$AM$4010,MATCH(209,$AZ$11:$AZ$4010,0)),"")</f>
        <v/>
      </c>
      <c r="AF219" s="11" t="str">
        <f>IF(AE219="","",IFERROR(INDEX($AN$11:$AN$4010,MATCH(209,$AZ$11:$AZ$4010,0)),""))</f>
        <v/>
      </c>
      <c r="AG219" s="11" t="str">
        <f>IF(AE219="","",IFERROR(INDEX($AO$11:$AO$4010,MATCH(209,$AZ$11:$AZ$4010,0)),""))</f>
        <v/>
      </c>
      <c r="AH219" s="10" t="str">
        <f>IF(AE219="","",IFERROR(INDEX($AQ$11:$AQ$4010,MATCH(209,$AZ$11:$AZ$4010,0)),""))</f>
        <v/>
      </c>
      <c r="AI219" s="15" t="str">
        <f>IF(AE219="","",IFERROR(INDEX($AR$11:$AR$4010,MATCH(209,$AZ$11:$AZ$4010,0)),""))</f>
        <v/>
      </c>
      <c r="AJ219" s="15" t="str">
        <f>IF(AE219="","",IFERROR(INDEX($AT$11:$AT$4010,MATCH(209,$AZ$11:$AZ$4010,0)),""))</f>
        <v/>
      </c>
      <c r="AL219" s="17" t="str">
        <f t="shared" si="50"/>
        <v/>
      </c>
      <c r="AM219" s="12" t="str">
        <f t="shared" si="51"/>
        <v/>
      </c>
      <c r="AN219" s="18" t="str">
        <f t="shared" si="52"/>
        <v/>
      </c>
      <c r="AO219" s="18" t="str">
        <f t="shared" si="53"/>
        <v/>
      </c>
      <c r="AP219" s="10" t="str">
        <f t="shared" si="54"/>
        <v/>
      </c>
      <c r="AQ219" s="10" t="str">
        <f t="shared" si="55"/>
        <v/>
      </c>
      <c r="AR219" s="19" t="str">
        <f t="shared" si="56"/>
        <v/>
      </c>
      <c r="AS219" s="20"/>
      <c r="AT219" s="19"/>
      <c r="AV219" s="21">
        <f>IF(AND($AL219&lt;&gt;"",COUNTIF($AL$11:$AL219,$AL219)=1),1,0)</f>
        <v>0</v>
      </c>
      <c r="AW219" s="21">
        <f t="shared" si="58"/>
        <v>0</v>
      </c>
      <c r="AX219" s="21" t="str">
        <f t="shared" si="57"/>
        <v/>
      </c>
      <c r="AY219" s="21" t="str">
        <f>IF(AND($AM219&lt;&gt;"",$AS219&lt;&gt;"✓"),SUMPRODUCT(($AM$11:$AM219&lt;&gt;"")*($AS$11:$AS219&lt;&gt;"✓")),"")</f>
        <v/>
      </c>
      <c r="AZ219" s="21" t="str">
        <f>IF(AND($AM219&lt;&gt;"",$AS219="✓"),SUMPRODUCT(($AM$11:$AM219&lt;&gt;"")*($AS$11:$AS219="✓")),"")</f>
        <v/>
      </c>
      <c r="BA219" s="21" t="str">
        <f>IF($AL219="","",$AL219&amp;"|"&amp;COUNTIF($AL$11:$AL219,$AL219))</f>
        <v/>
      </c>
    </row>
    <row r="220" spans="2:53" ht="15" customHeight="1" x14ac:dyDescent="0.25">
      <c r="B220" s="5" t="str">
        <f t="shared" si="45"/>
        <v/>
      </c>
      <c r="C220" s="5"/>
      <c r="D220" s="5"/>
      <c r="E220" s="5"/>
      <c r="F220" s="6"/>
      <c r="G220" s="6"/>
      <c r="H220" s="7"/>
      <c r="I220" s="8"/>
      <c r="K220" s="23" t="str">
        <f>IFERROR(INDEX($AL$11:$AL$4010,MATCH(210,$AX$11:$AX$4010,0)),"")</f>
        <v/>
      </c>
      <c r="L220" s="24" t="str">
        <f t="shared" si="46"/>
        <v/>
      </c>
      <c r="M220" s="25" t="str">
        <f t="shared" si="47"/>
        <v/>
      </c>
      <c r="N220" s="25" t="str">
        <f t="shared" si="48"/>
        <v/>
      </c>
      <c r="W220" s="28" t="str">
        <f>IF(X220="","",IFERROR(INDEX($AL$11:$AL$4010,MATCH(210,$AY$11:$AY$4010,0)),""))</f>
        <v/>
      </c>
      <c r="X220" s="26" t="str">
        <f>IFERROR(INDEX($AM$11:$AM$4010,MATCH(210,$AY$11:$AY$4010,0)),"")</f>
        <v/>
      </c>
      <c r="Y220" s="25" t="str">
        <f>IF(X220="","",IFERROR(INDEX($AN$11:$AN$4010,MATCH(210,$AY$11:$AY$4010,0)),""))</f>
        <v/>
      </c>
      <c r="Z220" s="25" t="str">
        <f>IF(X220="","",IFERROR(INDEX($AO$11:$AO$4010,MATCH(210,$AY$11:$AY$4010,0)),""))</f>
        <v/>
      </c>
      <c r="AA220" s="24" t="str">
        <f>IF(X220="","",IFERROR(INDEX($AQ$11:$AQ$4010,MATCH(210,$AY$11:$AY$4010,0)),""))</f>
        <v/>
      </c>
      <c r="AB220" s="29" t="str">
        <f>IF(X220="","",IFERROR(INDEX($AR$11:$AR$4010,MATCH(210,$AY$11:$AY$4010,0)),""))</f>
        <v/>
      </c>
      <c r="AD220" s="30" t="str">
        <f>IF(AE220="","",IFERROR(INDEX($AL$11:$AL$4010,MATCH(210,$AZ$11:$AZ$4010,0)),""))</f>
        <v/>
      </c>
      <c r="AE220" s="26" t="str">
        <f>IFERROR(INDEX($AM$11:$AM$4010,MATCH(210,$AZ$11:$AZ$4010,0)),"")</f>
        <v/>
      </c>
      <c r="AF220" s="25" t="str">
        <f>IF(AE220="","",IFERROR(INDEX($AN$11:$AN$4010,MATCH(210,$AZ$11:$AZ$4010,0)),""))</f>
        <v/>
      </c>
      <c r="AG220" s="25" t="str">
        <f>IF(AE220="","",IFERROR(INDEX($AO$11:$AO$4010,MATCH(210,$AZ$11:$AZ$4010,0)),""))</f>
        <v/>
      </c>
      <c r="AH220" s="24" t="str">
        <f>IF(AE220="","",IFERROR(INDEX($AQ$11:$AQ$4010,MATCH(210,$AZ$11:$AZ$4010,0)),""))</f>
        <v/>
      </c>
      <c r="AI220" s="29" t="str">
        <f>IF(AE220="","",IFERROR(INDEX($AR$11:$AR$4010,MATCH(210,$AZ$11:$AZ$4010,0)),""))</f>
        <v/>
      </c>
      <c r="AJ220" s="29" t="str">
        <f>IF(AE220="","",IFERROR(INDEX($AT$11:$AT$4010,MATCH(210,$AZ$11:$AZ$4010,0)),""))</f>
        <v/>
      </c>
      <c r="AL220" s="31" t="str">
        <f t="shared" si="50"/>
        <v/>
      </c>
      <c r="AM220" s="26" t="str">
        <f t="shared" si="51"/>
        <v/>
      </c>
      <c r="AN220" s="32" t="str">
        <f t="shared" si="52"/>
        <v/>
      </c>
      <c r="AO220" s="32" t="str">
        <f t="shared" si="53"/>
        <v/>
      </c>
      <c r="AP220" s="24" t="str">
        <f t="shared" si="54"/>
        <v/>
      </c>
      <c r="AQ220" s="24" t="str">
        <f t="shared" si="55"/>
        <v/>
      </c>
      <c r="AR220" s="33" t="str">
        <f t="shared" si="56"/>
        <v/>
      </c>
      <c r="AS220" s="34"/>
      <c r="AT220" s="33"/>
      <c r="AV220" s="21">
        <f>IF(AND($AL220&lt;&gt;"",COUNTIF($AL$11:$AL220,$AL220)=1),1,0)</f>
        <v>0</v>
      </c>
      <c r="AW220" s="21">
        <f t="shared" si="58"/>
        <v>0</v>
      </c>
      <c r="AX220" s="21" t="str">
        <f t="shared" si="57"/>
        <v/>
      </c>
      <c r="AY220" s="21" t="str">
        <f>IF(AND($AM220&lt;&gt;"",$AS220&lt;&gt;"✓"),SUMPRODUCT(($AM$11:$AM220&lt;&gt;"")*($AS$11:$AS220&lt;&gt;"✓")),"")</f>
        <v/>
      </c>
      <c r="AZ220" s="21" t="str">
        <f>IF(AND($AM220&lt;&gt;"",$AS220="✓"),SUMPRODUCT(($AM$11:$AM220&lt;&gt;"")*($AS$11:$AS220="✓")),"")</f>
        <v/>
      </c>
      <c r="BA220" s="21" t="str">
        <f>IF($AL220="","",$AL220&amp;"|"&amp;COUNTIF($AL$11:$AL220,$AL220))</f>
        <v/>
      </c>
    </row>
    <row r="221" spans="2:53" ht="15" customHeight="1" x14ac:dyDescent="0.25">
      <c r="B221" s="5" t="str">
        <f t="shared" si="45"/>
        <v/>
      </c>
      <c r="C221" s="5"/>
      <c r="D221" s="5"/>
      <c r="E221" s="5"/>
      <c r="F221" s="6"/>
      <c r="G221" s="6"/>
      <c r="H221" s="7"/>
      <c r="I221" s="8"/>
      <c r="K221" s="9" t="str">
        <f>IFERROR(INDEX($AL$11:$AL$4010,MATCH(211,$AX$11:$AX$4010,0)),"")</f>
        <v/>
      </c>
      <c r="L221" s="10" t="str">
        <f t="shared" si="46"/>
        <v/>
      </c>
      <c r="M221" s="11" t="str">
        <f t="shared" si="47"/>
        <v/>
      </c>
      <c r="N221" s="11" t="str">
        <f t="shared" si="48"/>
        <v/>
      </c>
      <c r="W221" s="14" t="str">
        <f>IF(X221="","",IFERROR(INDEX($AL$11:$AL$4010,MATCH(211,$AY$11:$AY$4010,0)),""))</f>
        <v/>
      </c>
      <c r="X221" s="12" t="str">
        <f>IFERROR(INDEX($AM$11:$AM$4010,MATCH(211,$AY$11:$AY$4010,0)),"")</f>
        <v/>
      </c>
      <c r="Y221" s="11" t="str">
        <f>IF(X221="","",IFERROR(INDEX($AN$11:$AN$4010,MATCH(211,$AY$11:$AY$4010,0)),""))</f>
        <v/>
      </c>
      <c r="Z221" s="11" t="str">
        <f>IF(X221="","",IFERROR(INDEX($AO$11:$AO$4010,MATCH(211,$AY$11:$AY$4010,0)),""))</f>
        <v/>
      </c>
      <c r="AA221" s="10" t="str">
        <f>IF(X221="","",IFERROR(INDEX($AQ$11:$AQ$4010,MATCH(211,$AY$11:$AY$4010,0)),""))</f>
        <v/>
      </c>
      <c r="AB221" s="15" t="str">
        <f>IF(X221="","",IFERROR(INDEX($AR$11:$AR$4010,MATCH(211,$AY$11:$AY$4010,0)),""))</f>
        <v/>
      </c>
      <c r="AD221" s="16" t="str">
        <f>IF(AE221="","",IFERROR(INDEX($AL$11:$AL$4010,MATCH(211,$AZ$11:$AZ$4010,0)),""))</f>
        <v/>
      </c>
      <c r="AE221" s="12" t="str">
        <f>IFERROR(INDEX($AM$11:$AM$4010,MATCH(211,$AZ$11:$AZ$4010,0)),"")</f>
        <v/>
      </c>
      <c r="AF221" s="11" t="str">
        <f>IF(AE221="","",IFERROR(INDEX($AN$11:$AN$4010,MATCH(211,$AZ$11:$AZ$4010,0)),""))</f>
        <v/>
      </c>
      <c r="AG221" s="11" t="str">
        <f>IF(AE221="","",IFERROR(INDEX($AO$11:$AO$4010,MATCH(211,$AZ$11:$AZ$4010,0)),""))</f>
        <v/>
      </c>
      <c r="AH221" s="10" t="str">
        <f>IF(AE221="","",IFERROR(INDEX($AQ$11:$AQ$4010,MATCH(211,$AZ$11:$AZ$4010,0)),""))</f>
        <v/>
      </c>
      <c r="AI221" s="15" t="str">
        <f>IF(AE221="","",IFERROR(INDEX($AR$11:$AR$4010,MATCH(211,$AZ$11:$AZ$4010,0)),""))</f>
        <v/>
      </c>
      <c r="AJ221" s="15" t="str">
        <f>IF(AE221="","",IFERROR(INDEX($AT$11:$AT$4010,MATCH(211,$AZ$11:$AZ$4010,0)),""))</f>
        <v/>
      </c>
      <c r="AL221" s="17" t="str">
        <f t="shared" si="50"/>
        <v/>
      </c>
      <c r="AM221" s="12" t="str">
        <f t="shared" si="51"/>
        <v/>
      </c>
      <c r="AN221" s="18" t="str">
        <f t="shared" si="52"/>
        <v/>
      </c>
      <c r="AO221" s="18" t="str">
        <f t="shared" si="53"/>
        <v/>
      </c>
      <c r="AP221" s="10" t="str">
        <f t="shared" si="54"/>
        <v/>
      </c>
      <c r="AQ221" s="10" t="str">
        <f t="shared" si="55"/>
        <v/>
      </c>
      <c r="AR221" s="19" t="str">
        <f t="shared" si="56"/>
        <v/>
      </c>
      <c r="AS221" s="20"/>
      <c r="AT221" s="19"/>
      <c r="AV221" s="21">
        <f>IF(AND($AL221&lt;&gt;"",COUNTIF($AL$11:$AL221,$AL221)=1),1,0)</f>
        <v>0</v>
      </c>
      <c r="AW221" s="21">
        <f t="shared" si="58"/>
        <v>0</v>
      </c>
      <c r="AX221" s="21" t="str">
        <f t="shared" si="57"/>
        <v/>
      </c>
      <c r="AY221" s="21" t="str">
        <f>IF(AND($AM221&lt;&gt;"",$AS221&lt;&gt;"✓"),SUMPRODUCT(($AM$11:$AM221&lt;&gt;"")*($AS$11:$AS221&lt;&gt;"✓")),"")</f>
        <v/>
      </c>
      <c r="AZ221" s="21" t="str">
        <f>IF(AND($AM221&lt;&gt;"",$AS221="✓"),SUMPRODUCT(($AM$11:$AM221&lt;&gt;"")*($AS$11:$AS221="✓")),"")</f>
        <v/>
      </c>
      <c r="BA221" s="21" t="str">
        <f>IF($AL221="","",$AL221&amp;"|"&amp;COUNTIF($AL$11:$AL221,$AL221))</f>
        <v/>
      </c>
    </row>
    <row r="222" spans="2:53" ht="15" customHeight="1" x14ac:dyDescent="0.25">
      <c r="B222" s="5" t="str">
        <f t="shared" si="45"/>
        <v/>
      </c>
      <c r="C222" s="5"/>
      <c r="D222" s="5"/>
      <c r="E222" s="5"/>
      <c r="F222" s="6"/>
      <c r="G222" s="6"/>
      <c r="H222" s="7"/>
      <c r="I222" s="8"/>
      <c r="K222" s="23" t="str">
        <f>IFERROR(INDEX($AL$11:$AL$4010,MATCH(212,$AX$11:$AX$4010,0)),"")</f>
        <v/>
      </c>
      <c r="L222" s="24" t="str">
        <f t="shared" si="46"/>
        <v/>
      </c>
      <c r="M222" s="25" t="str">
        <f t="shared" si="47"/>
        <v/>
      </c>
      <c r="N222" s="25" t="str">
        <f t="shared" si="48"/>
        <v/>
      </c>
      <c r="W222" s="28" t="str">
        <f>IF(X222="","",IFERROR(INDEX($AL$11:$AL$4010,MATCH(212,$AY$11:$AY$4010,0)),""))</f>
        <v/>
      </c>
      <c r="X222" s="26" t="str">
        <f>IFERROR(INDEX($AM$11:$AM$4010,MATCH(212,$AY$11:$AY$4010,0)),"")</f>
        <v/>
      </c>
      <c r="Y222" s="25" t="str">
        <f>IF(X222="","",IFERROR(INDEX($AN$11:$AN$4010,MATCH(212,$AY$11:$AY$4010,0)),""))</f>
        <v/>
      </c>
      <c r="Z222" s="25" t="str">
        <f>IF(X222="","",IFERROR(INDEX($AO$11:$AO$4010,MATCH(212,$AY$11:$AY$4010,0)),""))</f>
        <v/>
      </c>
      <c r="AA222" s="24" t="str">
        <f>IF(X222="","",IFERROR(INDEX($AQ$11:$AQ$4010,MATCH(212,$AY$11:$AY$4010,0)),""))</f>
        <v/>
      </c>
      <c r="AB222" s="29" t="str">
        <f>IF(X222="","",IFERROR(INDEX($AR$11:$AR$4010,MATCH(212,$AY$11:$AY$4010,0)),""))</f>
        <v/>
      </c>
      <c r="AD222" s="30" t="str">
        <f>IF(AE222="","",IFERROR(INDEX($AL$11:$AL$4010,MATCH(212,$AZ$11:$AZ$4010,0)),""))</f>
        <v/>
      </c>
      <c r="AE222" s="26" t="str">
        <f>IFERROR(INDEX($AM$11:$AM$4010,MATCH(212,$AZ$11:$AZ$4010,0)),"")</f>
        <v/>
      </c>
      <c r="AF222" s="25" t="str">
        <f>IF(AE222="","",IFERROR(INDEX($AN$11:$AN$4010,MATCH(212,$AZ$11:$AZ$4010,0)),""))</f>
        <v/>
      </c>
      <c r="AG222" s="25" t="str">
        <f>IF(AE222="","",IFERROR(INDEX($AO$11:$AO$4010,MATCH(212,$AZ$11:$AZ$4010,0)),""))</f>
        <v/>
      </c>
      <c r="AH222" s="24" t="str">
        <f>IF(AE222="","",IFERROR(INDEX($AQ$11:$AQ$4010,MATCH(212,$AZ$11:$AZ$4010,0)),""))</f>
        <v/>
      </c>
      <c r="AI222" s="29" t="str">
        <f>IF(AE222="","",IFERROR(INDEX($AR$11:$AR$4010,MATCH(212,$AZ$11:$AZ$4010,0)),""))</f>
        <v/>
      </c>
      <c r="AJ222" s="29" t="str">
        <f>IF(AE222="","",IFERROR(INDEX($AT$11:$AT$4010,MATCH(212,$AZ$11:$AZ$4010,0)),""))</f>
        <v/>
      </c>
      <c r="AL222" s="31" t="str">
        <f t="shared" si="50"/>
        <v/>
      </c>
      <c r="AM222" s="26" t="str">
        <f t="shared" si="51"/>
        <v/>
      </c>
      <c r="AN222" s="32" t="str">
        <f t="shared" si="52"/>
        <v/>
      </c>
      <c r="AO222" s="32" t="str">
        <f t="shared" si="53"/>
        <v/>
      </c>
      <c r="AP222" s="24" t="str">
        <f t="shared" si="54"/>
        <v/>
      </c>
      <c r="AQ222" s="24" t="str">
        <f t="shared" si="55"/>
        <v/>
      </c>
      <c r="AR222" s="33" t="str">
        <f t="shared" si="56"/>
        <v/>
      </c>
      <c r="AS222" s="34"/>
      <c r="AT222" s="33"/>
      <c r="AV222" s="21">
        <f>IF(AND($AL222&lt;&gt;"",COUNTIF($AL$11:$AL222,$AL222)=1),1,0)</f>
        <v>0</v>
      </c>
      <c r="AW222" s="21">
        <f t="shared" si="58"/>
        <v>0</v>
      </c>
      <c r="AX222" s="21" t="str">
        <f t="shared" si="57"/>
        <v/>
      </c>
      <c r="AY222" s="21" t="str">
        <f>IF(AND($AM222&lt;&gt;"",$AS222&lt;&gt;"✓"),SUMPRODUCT(($AM$11:$AM222&lt;&gt;"")*($AS$11:$AS222&lt;&gt;"✓")),"")</f>
        <v/>
      </c>
      <c r="AZ222" s="21" t="str">
        <f>IF(AND($AM222&lt;&gt;"",$AS222="✓"),SUMPRODUCT(($AM$11:$AM222&lt;&gt;"")*($AS$11:$AS222="✓")),"")</f>
        <v/>
      </c>
      <c r="BA222" s="21" t="str">
        <f>IF($AL222="","",$AL222&amp;"|"&amp;COUNTIF($AL$11:$AL222,$AL222))</f>
        <v/>
      </c>
    </row>
    <row r="223" spans="2:53" ht="15" customHeight="1" x14ac:dyDescent="0.25">
      <c r="B223" s="5" t="str">
        <f t="shared" si="45"/>
        <v/>
      </c>
      <c r="C223" s="5"/>
      <c r="D223" s="5"/>
      <c r="E223" s="5"/>
      <c r="F223" s="6"/>
      <c r="G223" s="6"/>
      <c r="H223" s="7"/>
      <c r="I223" s="8"/>
      <c r="K223" s="9" t="str">
        <f>IFERROR(INDEX($AL$11:$AL$4010,MATCH(213,$AX$11:$AX$4010,0)),"")</f>
        <v/>
      </c>
      <c r="L223" s="10" t="str">
        <f t="shared" si="46"/>
        <v/>
      </c>
      <c r="M223" s="11" t="str">
        <f t="shared" si="47"/>
        <v/>
      </c>
      <c r="N223" s="11" t="str">
        <f t="shared" si="48"/>
        <v/>
      </c>
      <c r="W223" s="14" t="str">
        <f>IF(X223="","",IFERROR(INDEX($AL$11:$AL$4010,MATCH(213,$AY$11:$AY$4010,0)),""))</f>
        <v/>
      </c>
      <c r="X223" s="12" t="str">
        <f>IFERROR(INDEX($AM$11:$AM$4010,MATCH(213,$AY$11:$AY$4010,0)),"")</f>
        <v/>
      </c>
      <c r="Y223" s="11" t="str">
        <f>IF(X223="","",IFERROR(INDEX($AN$11:$AN$4010,MATCH(213,$AY$11:$AY$4010,0)),""))</f>
        <v/>
      </c>
      <c r="Z223" s="11" t="str">
        <f>IF(X223="","",IFERROR(INDEX($AO$11:$AO$4010,MATCH(213,$AY$11:$AY$4010,0)),""))</f>
        <v/>
      </c>
      <c r="AA223" s="10" t="str">
        <f>IF(X223="","",IFERROR(INDEX($AQ$11:$AQ$4010,MATCH(213,$AY$11:$AY$4010,0)),""))</f>
        <v/>
      </c>
      <c r="AB223" s="15" t="str">
        <f>IF(X223="","",IFERROR(INDEX($AR$11:$AR$4010,MATCH(213,$AY$11:$AY$4010,0)),""))</f>
        <v/>
      </c>
      <c r="AD223" s="16" t="str">
        <f>IF(AE223="","",IFERROR(INDEX($AL$11:$AL$4010,MATCH(213,$AZ$11:$AZ$4010,0)),""))</f>
        <v/>
      </c>
      <c r="AE223" s="12" t="str">
        <f>IFERROR(INDEX($AM$11:$AM$4010,MATCH(213,$AZ$11:$AZ$4010,0)),"")</f>
        <v/>
      </c>
      <c r="AF223" s="11" t="str">
        <f>IF(AE223="","",IFERROR(INDEX($AN$11:$AN$4010,MATCH(213,$AZ$11:$AZ$4010,0)),""))</f>
        <v/>
      </c>
      <c r="AG223" s="11" t="str">
        <f>IF(AE223="","",IFERROR(INDEX($AO$11:$AO$4010,MATCH(213,$AZ$11:$AZ$4010,0)),""))</f>
        <v/>
      </c>
      <c r="AH223" s="10" t="str">
        <f>IF(AE223="","",IFERROR(INDEX($AQ$11:$AQ$4010,MATCH(213,$AZ$11:$AZ$4010,0)),""))</f>
        <v/>
      </c>
      <c r="AI223" s="15" t="str">
        <f>IF(AE223="","",IFERROR(INDEX($AR$11:$AR$4010,MATCH(213,$AZ$11:$AZ$4010,0)),""))</f>
        <v/>
      </c>
      <c r="AJ223" s="15" t="str">
        <f>IF(AE223="","",IFERROR(INDEX($AT$11:$AT$4010,MATCH(213,$AZ$11:$AZ$4010,0)),""))</f>
        <v/>
      </c>
      <c r="AL223" s="17" t="str">
        <f t="shared" si="50"/>
        <v/>
      </c>
      <c r="AM223" s="12" t="str">
        <f t="shared" si="51"/>
        <v/>
      </c>
      <c r="AN223" s="18" t="str">
        <f t="shared" si="52"/>
        <v/>
      </c>
      <c r="AO223" s="18" t="str">
        <f t="shared" si="53"/>
        <v/>
      </c>
      <c r="AP223" s="10" t="str">
        <f t="shared" si="54"/>
        <v/>
      </c>
      <c r="AQ223" s="10" t="str">
        <f t="shared" si="55"/>
        <v/>
      </c>
      <c r="AR223" s="19" t="str">
        <f t="shared" si="56"/>
        <v/>
      </c>
      <c r="AS223" s="20"/>
      <c r="AT223" s="19"/>
      <c r="AV223" s="21">
        <f>IF(AND($AL223&lt;&gt;"",COUNTIF($AL$11:$AL223,$AL223)=1),1,0)</f>
        <v>0</v>
      </c>
      <c r="AW223" s="21">
        <f t="shared" si="58"/>
        <v>0</v>
      </c>
      <c r="AX223" s="21" t="str">
        <f t="shared" si="57"/>
        <v/>
      </c>
      <c r="AY223" s="21" t="str">
        <f>IF(AND($AM223&lt;&gt;"",$AS223&lt;&gt;"✓"),SUMPRODUCT(($AM$11:$AM223&lt;&gt;"")*($AS$11:$AS223&lt;&gt;"✓")),"")</f>
        <v/>
      </c>
      <c r="AZ223" s="21" t="str">
        <f>IF(AND($AM223&lt;&gt;"",$AS223="✓"),SUMPRODUCT(($AM$11:$AM223&lt;&gt;"")*($AS$11:$AS223="✓")),"")</f>
        <v/>
      </c>
      <c r="BA223" s="21" t="str">
        <f>IF($AL223="","",$AL223&amp;"|"&amp;COUNTIF($AL$11:$AL223,$AL223))</f>
        <v/>
      </c>
    </row>
    <row r="224" spans="2:53" ht="15" customHeight="1" x14ac:dyDescent="0.25">
      <c r="B224" s="5" t="str">
        <f t="shared" si="45"/>
        <v/>
      </c>
      <c r="C224" s="5"/>
      <c r="D224" s="5"/>
      <c r="E224" s="5"/>
      <c r="F224" s="6"/>
      <c r="G224" s="6"/>
      <c r="H224" s="7"/>
      <c r="I224" s="8"/>
      <c r="K224" s="23" t="str">
        <f>IFERROR(INDEX($AL$11:$AL$4010,MATCH(214,$AX$11:$AX$4010,0)),"")</f>
        <v/>
      </c>
      <c r="L224" s="24" t="str">
        <f t="shared" si="46"/>
        <v/>
      </c>
      <c r="M224" s="25" t="str">
        <f t="shared" si="47"/>
        <v/>
      </c>
      <c r="N224" s="25" t="str">
        <f t="shared" si="48"/>
        <v/>
      </c>
      <c r="W224" s="28" t="str">
        <f>IF(X224="","",IFERROR(INDEX($AL$11:$AL$4010,MATCH(214,$AY$11:$AY$4010,0)),""))</f>
        <v/>
      </c>
      <c r="X224" s="26" t="str">
        <f>IFERROR(INDEX($AM$11:$AM$4010,MATCH(214,$AY$11:$AY$4010,0)),"")</f>
        <v/>
      </c>
      <c r="Y224" s="25" t="str">
        <f>IF(X224="","",IFERROR(INDEX($AN$11:$AN$4010,MATCH(214,$AY$11:$AY$4010,0)),""))</f>
        <v/>
      </c>
      <c r="Z224" s="25" t="str">
        <f>IF(X224="","",IFERROR(INDEX($AO$11:$AO$4010,MATCH(214,$AY$11:$AY$4010,0)),""))</f>
        <v/>
      </c>
      <c r="AA224" s="24" t="str">
        <f>IF(X224="","",IFERROR(INDEX($AQ$11:$AQ$4010,MATCH(214,$AY$11:$AY$4010,0)),""))</f>
        <v/>
      </c>
      <c r="AB224" s="29" t="str">
        <f>IF(X224="","",IFERROR(INDEX($AR$11:$AR$4010,MATCH(214,$AY$11:$AY$4010,0)),""))</f>
        <v/>
      </c>
      <c r="AD224" s="30" t="str">
        <f>IF(AE224="","",IFERROR(INDEX($AL$11:$AL$4010,MATCH(214,$AZ$11:$AZ$4010,0)),""))</f>
        <v/>
      </c>
      <c r="AE224" s="26" t="str">
        <f>IFERROR(INDEX($AM$11:$AM$4010,MATCH(214,$AZ$11:$AZ$4010,0)),"")</f>
        <v/>
      </c>
      <c r="AF224" s="25" t="str">
        <f>IF(AE224="","",IFERROR(INDEX($AN$11:$AN$4010,MATCH(214,$AZ$11:$AZ$4010,0)),""))</f>
        <v/>
      </c>
      <c r="AG224" s="25" t="str">
        <f>IF(AE224="","",IFERROR(INDEX($AO$11:$AO$4010,MATCH(214,$AZ$11:$AZ$4010,0)),""))</f>
        <v/>
      </c>
      <c r="AH224" s="24" t="str">
        <f>IF(AE224="","",IFERROR(INDEX($AQ$11:$AQ$4010,MATCH(214,$AZ$11:$AZ$4010,0)),""))</f>
        <v/>
      </c>
      <c r="AI224" s="29" t="str">
        <f>IF(AE224="","",IFERROR(INDEX($AR$11:$AR$4010,MATCH(214,$AZ$11:$AZ$4010,0)),""))</f>
        <v/>
      </c>
      <c r="AJ224" s="29" t="str">
        <f>IF(AE224="","",IFERROR(INDEX($AT$11:$AT$4010,MATCH(214,$AZ$11:$AZ$4010,0)),""))</f>
        <v/>
      </c>
      <c r="AL224" s="31" t="str">
        <f t="shared" si="50"/>
        <v/>
      </c>
      <c r="AM224" s="26" t="str">
        <f t="shared" si="51"/>
        <v/>
      </c>
      <c r="AN224" s="32" t="str">
        <f t="shared" si="52"/>
        <v/>
      </c>
      <c r="AO224" s="32" t="str">
        <f t="shared" si="53"/>
        <v/>
      </c>
      <c r="AP224" s="24" t="str">
        <f t="shared" si="54"/>
        <v/>
      </c>
      <c r="AQ224" s="24" t="str">
        <f t="shared" si="55"/>
        <v/>
      </c>
      <c r="AR224" s="33" t="str">
        <f t="shared" si="56"/>
        <v/>
      </c>
      <c r="AS224" s="34"/>
      <c r="AT224" s="33"/>
      <c r="AV224" s="21">
        <f>IF(AND($AL224&lt;&gt;"",COUNTIF($AL$11:$AL224,$AL224)=1),1,0)</f>
        <v>0</v>
      </c>
      <c r="AW224" s="21">
        <f t="shared" si="58"/>
        <v>0</v>
      </c>
      <c r="AX224" s="21" t="str">
        <f t="shared" si="57"/>
        <v/>
      </c>
      <c r="AY224" s="21" t="str">
        <f>IF(AND($AM224&lt;&gt;"",$AS224&lt;&gt;"✓"),SUMPRODUCT(($AM$11:$AM224&lt;&gt;"")*($AS$11:$AS224&lt;&gt;"✓")),"")</f>
        <v/>
      </c>
      <c r="AZ224" s="21" t="str">
        <f>IF(AND($AM224&lt;&gt;"",$AS224="✓"),SUMPRODUCT(($AM$11:$AM224&lt;&gt;"")*($AS$11:$AS224="✓")),"")</f>
        <v/>
      </c>
      <c r="BA224" s="21" t="str">
        <f>IF($AL224="","",$AL224&amp;"|"&amp;COUNTIF($AL$11:$AL224,$AL224))</f>
        <v/>
      </c>
    </row>
    <row r="225" spans="2:53" ht="15" customHeight="1" x14ac:dyDescent="0.25">
      <c r="B225" s="5" t="str">
        <f t="shared" si="45"/>
        <v/>
      </c>
      <c r="C225" s="5"/>
      <c r="D225" s="5"/>
      <c r="E225" s="5"/>
      <c r="F225" s="6"/>
      <c r="G225" s="6"/>
      <c r="H225" s="7"/>
      <c r="I225" s="8"/>
      <c r="K225" s="9" t="str">
        <f>IFERROR(INDEX($AL$11:$AL$4010,MATCH(215,$AX$11:$AX$4010,0)),"")</f>
        <v/>
      </c>
      <c r="L225" s="10" t="str">
        <f t="shared" si="46"/>
        <v/>
      </c>
      <c r="M225" s="11" t="str">
        <f t="shared" si="47"/>
        <v/>
      </c>
      <c r="N225" s="11" t="str">
        <f t="shared" si="48"/>
        <v/>
      </c>
      <c r="W225" s="14" t="str">
        <f>IF(X225="","",IFERROR(INDEX($AL$11:$AL$4010,MATCH(215,$AY$11:$AY$4010,0)),""))</f>
        <v/>
      </c>
      <c r="X225" s="12" t="str">
        <f>IFERROR(INDEX($AM$11:$AM$4010,MATCH(215,$AY$11:$AY$4010,0)),"")</f>
        <v/>
      </c>
      <c r="Y225" s="11" t="str">
        <f>IF(X225="","",IFERROR(INDEX($AN$11:$AN$4010,MATCH(215,$AY$11:$AY$4010,0)),""))</f>
        <v/>
      </c>
      <c r="Z225" s="11" t="str">
        <f>IF(X225="","",IFERROR(INDEX($AO$11:$AO$4010,MATCH(215,$AY$11:$AY$4010,0)),""))</f>
        <v/>
      </c>
      <c r="AA225" s="10" t="str">
        <f>IF(X225="","",IFERROR(INDEX($AQ$11:$AQ$4010,MATCH(215,$AY$11:$AY$4010,0)),""))</f>
        <v/>
      </c>
      <c r="AB225" s="15" t="str">
        <f>IF(X225="","",IFERROR(INDEX($AR$11:$AR$4010,MATCH(215,$AY$11:$AY$4010,0)),""))</f>
        <v/>
      </c>
      <c r="AD225" s="16" t="str">
        <f>IF(AE225="","",IFERROR(INDEX($AL$11:$AL$4010,MATCH(215,$AZ$11:$AZ$4010,0)),""))</f>
        <v/>
      </c>
      <c r="AE225" s="12" t="str">
        <f>IFERROR(INDEX($AM$11:$AM$4010,MATCH(215,$AZ$11:$AZ$4010,0)),"")</f>
        <v/>
      </c>
      <c r="AF225" s="11" t="str">
        <f>IF(AE225="","",IFERROR(INDEX($AN$11:$AN$4010,MATCH(215,$AZ$11:$AZ$4010,0)),""))</f>
        <v/>
      </c>
      <c r="AG225" s="11" t="str">
        <f>IF(AE225="","",IFERROR(INDEX($AO$11:$AO$4010,MATCH(215,$AZ$11:$AZ$4010,0)),""))</f>
        <v/>
      </c>
      <c r="AH225" s="10" t="str">
        <f>IF(AE225="","",IFERROR(INDEX($AQ$11:$AQ$4010,MATCH(215,$AZ$11:$AZ$4010,0)),""))</f>
        <v/>
      </c>
      <c r="AI225" s="15" t="str">
        <f>IF(AE225="","",IFERROR(INDEX($AR$11:$AR$4010,MATCH(215,$AZ$11:$AZ$4010,0)),""))</f>
        <v/>
      </c>
      <c r="AJ225" s="15" t="str">
        <f>IF(AE225="","",IFERROR(INDEX($AT$11:$AT$4010,MATCH(215,$AZ$11:$AZ$4010,0)),""))</f>
        <v/>
      </c>
      <c r="AL225" s="17" t="str">
        <f t="shared" si="50"/>
        <v/>
      </c>
      <c r="AM225" s="12" t="str">
        <f t="shared" si="51"/>
        <v/>
      </c>
      <c r="AN225" s="18" t="str">
        <f t="shared" si="52"/>
        <v/>
      </c>
      <c r="AO225" s="18" t="str">
        <f t="shared" si="53"/>
        <v/>
      </c>
      <c r="AP225" s="10" t="str">
        <f t="shared" si="54"/>
        <v/>
      </c>
      <c r="AQ225" s="10" t="str">
        <f t="shared" si="55"/>
        <v/>
      </c>
      <c r="AR225" s="19" t="str">
        <f t="shared" si="56"/>
        <v/>
      </c>
      <c r="AS225" s="20"/>
      <c r="AT225" s="19"/>
      <c r="AV225" s="21">
        <f>IF(AND($AL225&lt;&gt;"",COUNTIF($AL$11:$AL225,$AL225)=1),1,0)</f>
        <v>0</v>
      </c>
      <c r="AW225" s="21">
        <f t="shared" si="58"/>
        <v>0</v>
      </c>
      <c r="AX225" s="21" t="str">
        <f t="shared" si="57"/>
        <v/>
      </c>
      <c r="AY225" s="21" t="str">
        <f>IF(AND($AM225&lt;&gt;"",$AS225&lt;&gt;"✓"),SUMPRODUCT(($AM$11:$AM225&lt;&gt;"")*($AS$11:$AS225&lt;&gt;"✓")),"")</f>
        <v/>
      </c>
      <c r="AZ225" s="21" t="str">
        <f>IF(AND($AM225&lt;&gt;"",$AS225="✓"),SUMPRODUCT(($AM$11:$AM225&lt;&gt;"")*($AS$11:$AS225="✓")),"")</f>
        <v/>
      </c>
      <c r="BA225" s="21" t="str">
        <f>IF($AL225="","",$AL225&amp;"|"&amp;COUNTIF($AL$11:$AL225,$AL225))</f>
        <v/>
      </c>
    </row>
    <row r="226" spans="2:53" ht="15" customHeight="1" x14ac:dyDescent="0.25">
      <c r="B226" s="5" t="str">
        <f t="shared" si="45"/>
        <v/>
      </c>
      <c r="C226" s="5"/>
      <c r="D226" s="5"/>
      <c r="E226" s="5"/>
      <c r="F226" s="6"/>
      <c r="G226" s="6"/>
      <c r="H226" s="7"/>
      <c r="I226" s="8"/>
      <c r="K226" s="23" t="str">
        <f>IFERROR(INDEX($AL$11:$AL$4010,MATCH(216,$AX$11:$AX$4010,0)),"")</f>
        <v/>
      </c>
      <c r="L226" s="24" t="str">
        <f t="shared" si="46"/>
        <v/>
      </c>
      <c r="M226" s="25" t="str">
        <f t="shared" si="47"/>
        <v/>
      </c>
      <c r="N226" s="25" t="str">
        <f t="shared" si="48"/>
        <v/>
      </c>
      <c r="W226" s="28" t="str">
        <f>IF(X226="","",IFERROR(INDEX($AL$11:$AL$4010,MATCH(216,$AY$11:$AY$4010,0)),""))</f>
        <v/>
      </c>
      <c r="X226" s="26" t="str">
        <f>IFERROR(INDEX($AM$11:$AM$4010,MATCH(216,$AY$11:$AY$4010,0)),"")</f>
        <v/>
      </c>
      <c r="Y226" s="25" t="str">
        <f>IF(X226="","",IFERROR(INDEX($AN$11:$AN$4010,MATCH(216,$AY$11:$AY$4010,0)),""))</f>
        <v/>
      </c>
      <c r="Z226" s="25" t="str">
        <f>IF(X226="","",IFERROR(INDEX($AO$11:$AO$4010,MATCH(216,$AY$11:$AY$4010,0)),""))</f>
        <v/>
      </c>
      <c r="AA226" s="24" t="str">
        <f>IF(X226="","",IFERROR(INDEX($AQ$11:$AQ$4010,MATCH(216,$AY$11:$AY$4010,0)),""))</f>
        <v/>
      </c>
      <c r="AB226" s="29" t="str">
        <f>IF(X226="","",IFERROR(INDEX($AR$11:$AR$4010,MATCH(216,$AY$11:$AY$4010,0)),""))</f>
        <v/>
      </c>
      <c r="AD226" s="30" t="str">
        <f>IF(AE226="","",IFERROR(INDEX($AL$11:$AL$4010,MATCH(216,$AZ$11:$AZ$4010,0)),""))</f>
        <v/>
      </c>
      <c r="AE226" s="26" t="str">
        <f>IFERROR(INDEX($AM$11:$AM$4010,MATCH(216,$AZ$11:$AZ$4010,0)),"")</f>
        <v/>
      </c>
      <c r="AF226" s="25" t="str">
        <f>IF(AE226="","",IFERROR(INDEX($AN$11:$AN$4010,MATCH(216,$AZ$11:$AZ$4010,0)),""))</f>
        <v/>
      </c>
      <c r="AG226" s="25" t="str">
        <f>IF(AE226="","",IFERROR(INDEX($AO$11:$AO$4010,MATCH(216,$AZ$11:$AZ$4010,0)),""))</f>
        <v/>
      </c>
      <c r="AH226" s="24" t="str">
        <f>IF(AE226="","",IFERROR(INDEX($AQ$11:$AQ$4010,MATCH(216,$AZ$11:$AZ$4010,0)),""))</f>
        <v/>
      </c>
      <c r="AI226" s="29" t="str">
        <f>IF(AE226="","",IFERROR(INDEX($AR$11:$AR$4010,MATCH(216,$AZ$11:$AZ$4010,0)),""))</f>
        <v/>
      </c>
      <c r="AJ226" s="29" t="str">
        <f>IF(AE226="","",IFERROR(INDEX($AT$11:$AT$4010,MATCH(216,$AZ$11:$AZ$4010,0)),""))</f>
        <v/>
      </c>
      <c r="AL226" s="31" t="str">
        <f t="shared" si="50"/>
        <v/>
      </c>
      <c r="AM226" s="26" t="str">
        <f t="shared" si="51"/>
        <v/>
      </c>
      <c r="AN226" s="32" t="str">
        <f t="shared" si="52"/>
        <v/>
      </c>
      <c r="AO226" s="32" t="str">
        <f t="shared" si="53"/>
        <v/>
      </c>
      <c r="AP226" s="24" t="str">
        <f t="shared" si="54"/>
        <v/>
      </c>
      <c r="AQ226" s="24" t="str">
        <f t="shared" si="55"/>
        <v/>
      </c>
      <c r="AR226" s="33" t="str">
        <f t="shared" si="56"/>
        <v/>
      </c>
      <c r="AS226" s="34"/>
      <c r="AT226" s="33"/>
      <c r="AV226" s="21">
        <f>IF(AND($AL226&lt;&gt;"",COUNTIF($AL$11:$AL226,$AL226)=1),1,0)</f>
        <v>0</v>
      </c>
      <c r="AW226" s="21">
        <f t="shared" si="58"/>
        <v>0</v>
      </c>
      <c r="AX226" s="21" t="str">
        <f t="shared" si="57"/>
        <v/>
      </c>
      <c r="AY226" s="21" t="str">
        <f>IF(AND($AM226&lt;&gt;"",$AS226&lt;&gt;"✓"),SUMPRODUCT(($AM$11:$AM226&lt;&gt;"")*($AS$11:$AS226&lt;&gt;"✓")),"")</f>
        <v/>
      </c>
      <c r="AZ226" s="21" t="str">
        <f>IF(AND($AM226&lt;&gt;"",$AS226="✓"),SUMPRODUCT(($AM$11:$AM226&lt;&gt;"")*($AS$11:$AS226="✓")),"")</f>
        <v/>
      </c>
      <c r="BA226" s="21" t="str">
        <f>IF($AL226="","",$AL226&amp;"|"&amp;COUNTIF($AL$11:$AL226,$AL226))</f>
        <v/>
      </c>
    </row>
    <row r="227" spans="2:53" ht="15" customHeight="1" x14ac:dyDescent="0.25">
      <c r="B227" s="5" t="str">
        <f t="shared" si="45"/>
        <v/>
      </c>
      <c r="C227" s="5"/>
      <c r="D227" s="5"/>
      <c r="E227" s="5"/>
      <c r="F227" s="6"/>
      <c r="G227" s="6"/>
      <c r="H227" s="7"/>
      <c r="I227" s="8"/>
      <c r="K227" s="9" t="str">
        <f>IFERROR(INDEX($AL$11:$AL$4010,MATCH(217,$AX$11:$AX$4010,0)),"")</f>
        <v/>
      </c>
      <c r="L227" s="10" t="str">
        <f t="shared" si="46"/>
        <v/>
      </c>
      <c r="M227" s="11" t="str">
        <f t="shared" si="47"/>
        <v/>
      </c>
      <c r="N227" s="11" t="str">
        <f t="shared" si="48"/>
        <v/>
      </c>
      <c r="W227" s="14" t="str">
        <f>IF(X227="","",IFERROR(INDEX($AL$11:$AL$4010,MATCH(217,$AY$11:$AY$4010,0)),""))</f>
        <v/>
      </c>
      <c r="X227" s="12" t="str">
        <f>IFERROR(INDEX($AM$11:$AM$4010,MATCH(217,$AY$11:$AY$4010,0)),"")</f>
        <v/>
      </c>
      <c r="Y227" s="11" t="str">
        <f>IF(X227="","",IFERROR(INDEX($AN$11:$AN$4010,MATCH(217,$AY$11:$AY$4010,0)),""))</f>
        <v/>
      </c>
      <c r="Z227" s="11" t="str">
        <f>IF(X227="","",IFERROR(INDEX($AO$11:$AO$4010,MATCH(217,$AY$11:$AY$4010,0)),""))</f>
        <v/>
      </c>
      <c r="AA227" s="10" t="str">
        <f>IF(X227="","",IFERROR(INDEX($AQ$11:$AQ$4010,MATCH(217,$AY$11:$AY$4010,0)),""))</f>
        <v/>
      </c>
      <c r="AB227" s="15" t="str">
        <f>IF(X227="","",IFERROR(INDEX($AR$11:$AR$4010,MATCH(217,$AY$11:$AY$4010,0)),""))</f>
        <v/>
      </c>
      <c r="AD227" s="16" t="str">
        <f>IF(AE227="","",IFERROR(INDEX($AL$11:$AL$4010,MATCH(217,$AZ$11:$AZ$4010,0)),""))</f>
        <v/>
      </c>
      <c r="AE227" s="12" t="str">
        <f>IFERROR(INDEX($AM$11:$AM$4010,MATCH(217,$AZ$11:$AZ$4010,0)),"")</f>
        <v/>
      </c>
      <c r="AF227" s="11" t="str">
        <f>IF(AE227="","",IFERROR(INDEX($AN$11:$AN$4010,MATCH(217,$AZ$11:$AZ$4010,0)),""))</f>
        <v/>
      </c>
      <c r="AG227" s="11" t="str">
        <f>IF(AE227="","",IFERROR(INDEX($AO$11:$AO$4010,MATCH(217,$AZ$11:$AZ$4010,0)),""))</f>
        <v/>
      </c>
      <c r="AH227" s="10" t="str">
        <f>IF(AE227="","",IFERROR(INDEX($AQ$11:$AQ$4010,MATCH(217,$AZ$11:$AZ$4010,0)),""))</f>
        <v/>
      </c>
      <c r="AI227" s="15" t="str">
        <f>IF(AE227="","",IFERROR(INDEX($AR$11:$AR$4010,MATCH(217,$AZ$11:$AZ$4010,0)),""))</f>
        <v/>
      </c>
      <c r="AJ227" s="15" t="str">
        <f>IF(AE227="","",IFERROR(INDEX($AT$11:$AT$4010,MATCH(217,$AZ$11:$AZ$4010,0)),""))</f>
        <v/>
      </c>
      <c r="AL227" s="17" t="str">
        <f t="shared" si="50"/>
        <v/>
      </c>
      <c r="AM227" s="12" t="str">
        <f t="shared" si="51"/>
        <v/>
      </c>
      <c r="AN227" s="18" t="str">
        <f t="shared" si="52"/>
        <v/>
      </c>
      <c r="AO227" s="18" t="str">
        <f t="shared" si="53"/>
        <v/>
      </c>
      <c r="AP227" s="10" t="str">
        <f t="shared" si="54"/>
        <v/>
      </c>
      <c r="AQ227" s="10" t="str">
        <f t="shared" si="55"/>
        <v/>
      </c>
      <c r="AR227" s="19" t="str">
        <f t="shared" si="56"/>
        <v/>
      </c>
      <c r="AS227" s="20"/>
      <c r="AT227" s="19"/>
      <c r="AV227" s="21">
        <f>IF(AND($AL227&lt;&gt;"",COUNTIF($AL$11:$AL227,$AL227)=1),1,0)</f>
        <v>0</v>
      </c>
      <c r="AW227" s="21">
        <f t="shared" si="58"/>
        <v>0</v>
      </c>
      <c r="AX227" s="21" t="str">
        <f t="shared" si="57"/>
        <v/>
      </c>
      <c r="AY227" s="21" t="str">
        <f>IF(AND($AM227&lt;&gt;"",$AS227&lt;&gt;"✓"),SUMPRODUCT(($AM$11:$AM227&lt;&gt;"")*($AS$11:$AS227&lt;&gt;"✓")),"")</f>
        <v/>
      </c>
      <c r="AZ227" s="21" t="str">
        <f>IF(AND($AM227&lt;&gt;"",$AS227="✓"),SUMPRODUCT(($AM$11:$AM227&lt;&gt;"")*($AS$11:$AS227="✓")),"")</f>
        <v/>
      </c>
      <c r="BA227" s="21" t="str">
        <f>IF($AL227="","",$AL227&amp;"|"&amp;COUNTIF($AL$11:$AL227,$AL227))</f>
        <v/>
      </c>
    </row>
    <row r="228" spans="2:53" ht="15" customHeight="1" x14ac:dyDescent="0.25">
      <c r="B228" s="5" t="str">
        <f t="shared" si="45"/>
        <v/>
      </c>
      <c r="C228" s="5"/>
      <c r="D228" s="5"/>
      <c r="E228" s="5"/>
      <c r="F228" s="6"/>
      <c r="G228" s="6"/>
      <c r="H228" s="7"/>
      <c r="I228" s="8"/>
      <c r="K228" s="23" t="str">
        <f>IFERROR(INDEX($AL$11:$AL$4010,MATCH(218,$AX$11:$AX$4010,0)),"")</f>
        <v/>
      </c>
      <c r="L228" s="24" t="str">
        <f t="shared" si="46"/>
        <v/>
      </c>
      <c r="M228" s="25" t="str">
        <f t="shared" si="47"/>
        <v/>
      </c>
      <c r="N228" s="25" t="str">
        <f t="shared" si="48"/>
        <v/>
      </c>
      <c r="W228" s="28" t="str">
        <f>IF(X228="","",IFERROR(INDEX($AL$11:$AL$4010,MATCH(218,$AY$11:$AY$4010,0)),""))</f>
        <v/>
      </c>
      <c r="X228" s="26" t="str">
        <f>IFERROR(INDEX($AM$11:$AM$4010,MATCH(218,$AY$11:$AY$4010,0)),"")</f>
        <v/>
      </c>
      <c r="Y228" s="25" t="str">
        <f>IF(X228="","",IFERROR(INDEX($AN$11:$AN$4010,MATCH(218,$AY$11:$AY$4010,0)),""))</f>
        <v/>
      </c>
      <c r="Z228" s="25" t="str">
        <f>IF(X228="","",IFERROR(INDEX($AO$11:$AO$4010,MATCH(218,$AY$11:$AY$4010,0)),""))</f>
        <v/>
      </c>
      <c r="AA228" s="24" t="str">
        <f>IF(X228="","",IFERROR(INDEX($AQ$11:$AQ$4010,MATCH(218,$AY$11:$AY$4010,0)),""))</f>
        <v/>
      </c>
      <c r="AB228" s="29" t="str">
        <f>IF(X228="","",IFERROR(INDEX($AR$11:$AR$4010,MATCH(218,$AY$11:$AY$4010,0)),""))</f>
        <v/>
      </c>
      <c r="AD228" s="30" t="str">
        <f>IF(AE228="","",IFERROR(INDEX($AL$11:$AL$4010,MATCH(218,$AZ$11:$AZ$4010,0)),""))</f>
        <v/>
      </c>
      <c r="AE228" s="26" t="str">
        <f>IFERROR(INDEX($AM$11:$AM$4010,MATCH(218,$AZ$11:$AZ$4010,0)),"")</f>
        <v/>
      </c>
      <c r="AF228" s="25" t="str">
        <f>IF(AE228="","",IFERROR(INDEX($AN$11:$AN$4010,MATCH(218,$AZ$11:$AZ$4010,0)),""))</f>
        <v/>
      </c>
      <c r="AG228" s="25" t="str">
        <f>IF(AE228="","",IFERROR(INDEX($AO$11:$AO$4010,MATCH(218,$AZ$11:$AZ$4010,0)),""))</f>
        <v/>
      </c>
      <c r="AH228" s="24" t="str">
        <f>IF(AE228="","",IFERROR(INDEX($AQ$11:$AQ$4010,MATCH(218,$AZ$11:$AZ$4010,0)),""))</f>
        <v/>
      </c>
      <c r="AI228" s="29" t="str">
        <f>IF(AE228="","",IFERROR(INDEX($AR$11:$AR$4010,MATCH(218,$AZ$11:$AZ$4010,0)),""))</f>
        <v/>
      </c>
      <c r="AJ228" s="29" t="str">
        <f>IF(AE228="","",IFERROR(INDEX($AT$11:$AT$4010,MATCH(218,$AZ$11:$AZ$4010,0)),""))</f>
        <v/>
      </c>
      <c r="AL228" s="31" t="str">
        <f t="shared" si="50"/>
        <v/>
      </c>
      <c r="AM228" s="26" t="str">
        <f t="shared" si="51"/>
        <v/>
      </c>
      <c r="AN228" s="32" t="str">
        <f t="shared" si="52"/>
        <v/>
      </c>
      <c r="AO228" s="32" t="str">
        <f t="shared" si="53"/>
        <v/>
      </c>
      <c r="AP228" s="24" t="str">
        <f t="shared" si="54"/>
        <v/>
      </c>
      <c r="AQ228" s="24" t="str">
        <f t="shared" si="55"/>
        <v/>
      </c>
      <c r="AR228" s="33" t="str">
        <f t="shared" si="56"/>
        <v/>
      </c>
      <c r="AS228" s="34"/>
      <c r="AT228" s="33"/>
      <c r="AV228" s="21">
        <f>IF(AND($AL228&lt;&gt;"",COUNTIF($AL$11:$AL228,$AL228)=1),1,0)</f>
        <v>0</v>
      </c>
      <c r="AW228" s="21">
        <f t="shared" si="58"/>
        <v>0</v>
      </c>
      <c r="AX228" s="21" t="str">
        <f t="shared" si="57"/>
        <v/>
      </c>
      <c r="AY228" s="21" t="str">
        <f>IF(AND($AM228&lt;&gt;"",$AS228&lt;&gt;"✓"),SUMPRODUCT(($AM$11:$AM228&lt;&gt;"")*($AS$11:$AS228&lt;&gt;"✓")),"")</f>
        <v/>
      </c>
      <c r="AZ228" s="21" t="str">
        <f>IF(AND($AM228&lt;&gt;"",$AS228="✓"),SUMPRODUCT(($AM$11:$AM228&lt;&gt;"")*($AS$11:$AS228="✓")),"")</f>
        <v/>
      </c>
      <c r="BA228" s="21" t="str">
        <f>IF($AL228="","",$AL228&amp;"|"&amp;COUNTIF($AL$11:$AL228,$AL228))</f>
        <v/>
      </c>
    </row>
    <row r="229" spans="2:53" ht="15" customHeight="1" x14ac:dyDescent="0.25">
      <c r="B229" s="5" t="str">
        <f t="shared" si="45"/>
        <v/>
      </c>
      <c r="C229" s="5"/>
      <c r="D229" s="5"/>
      <c r="E229" s="5"/>
      <c r="F229" s="6"/>
      <c r="G229" s="6"/>
      <c r="H229" s="7"/>
      <c r="I229" s="8"/>
      <c r="K229" s="9" t="str">
        <f>IFERROR(INDEX($AL$11:$AL$4010,MATCH(219,$AX$11:$AX$4010,0)),"")</f>
        <v/>
      </c>
      <c r="L229" s="10" t="str">
        <f t="shared" si="46"/>
        <v/>
      </c>
      <c r="M229" s="11" t="str">
        <f t="shared" si="47"/>
        <v/>
      </c>
      <c r="N229" s="11" t="str">
        <f t="shared" si="48"/>
        <v/>
      </c>
      <c r="W229" s="14" t="str">
        <f>IF(X229="","",IFERROR(INDEX($AL$11:$AL$4010,MATCH(219,$AY$11:$AY$4010,0)),""))</f>
        <v/>
      </c>
      <c r="X229" s="12" t="str">
        <f>IFERROR(INDEX($AM$11:$AM$4010,MATCH(219,$AY$11:$AY$4010,0)),"")</f>
        <v/>
      </c>
      <c r="Y229" s="11" t="str">
        <f>IF(X229="","",IFERROR(INDEX($AN$11:$AN$4010,MATCH(219,$AY$11:$AY$4010,0)),""))</f>
        <v/>
      </c>
      <c r="Z229" s="11" t="str">
        <f>IF(X229="","",IFERROR(INDEX($AO$11:$AO$4010,MATCH(219,$AY$11:$AY$4010,0)),""))</f>
        <v/>
      </c>
      <c r="AA229" s="10" t="str">
        <f>IF(X229="","",IFERROR(INDEX($AQ$11:$AQ$4010,MATCH(219,$AY$11:$AY$4010,0)),""))</f>
        <v/>
      </c>
      <c r="AB229" s="15" t="str">
        <f>IF(X229="","",IFERROR(INDEX($AR$11:$AR$4010,MATCH(219,$AY$11:$AY$4010,0)),""))</f>
        <v/>
      </c>
      <c r="AD229" s="16" t="str">
        <f>IF(AE229="","",IFERROR(INDEX($AL$11:$AL$4010,MATCH(219,$AZ$11:$AZ$4010,0)),""))</f>
        <v/>
      </c>
      <c r="AE229" s="12" t="str">
        <f>IFERROR(INDEX($AM$11:$AM$4010,MATCH(219,$AZ$11:$AZ$4010,0)),"")</f>
        <v/>
      </c>
      <c r="AF229" s="11" t="str">
        <f>IF(AE229="","",IFERROR(INDEX($AN$11:$AN$4010,MATCH(219,$AZ$11:$AZ$4010,0)),""))</f>
        <v/>
      </c>
      <c r="AG229" s="11" t="str">
        <f>IF(AE229="","",IFERROR(INDEX($AO$11:$AO$4010,MATCH(219,$AZ$11:$AZ$4010,0)),""))</f>
        <v/>
      </c>
      <c r="AH229" s="10" t="str">
        <f>IF(AE229="","",IFERROR(INDEX($AQ$11:$AQ$4010,MATCH(219,$AZ$11:$AZ$4010,0)),""))</f>
        <v/>
      </c>
      <c r="AI229" s="15" t="str">
        <f>IF(AE229="","",IFERROR(INDEX($AR$11:$AR$4010,MATCH(219,$AZ$11:$AZ$4010,0)),""))</f>
        <v/>
      </c>
      <c r="AJ229" s="15" t="str">
        <f>IF(AE229="","",IFERROR(INDEX($AT$11:$AT$4010,MATCH(219,$AZ$11:$AZ$4010,0)),""))</f>
        <v/>
      </c>
      <c r="AL229" s="17" t="str">
        <f t="shared" si="50"/>
        <v/>
      </c>
      <c r="AM229" s="12" t="str">
        <f t="shared" si="51"/>
        <v/>
      </c>
      <c r="AN229" s="18" t="str">
        <f t="shared" si="52"/>
        <v/>
      </c>
      <c r="AO229" s="18" t="str">
        <f t="shared" si="53"/>
        <v/>
      </c>
      <c r="AP229" s="10" t="str">
        <f t="shared" si="54"/>
        <v/>
      </c>
      <c r="AQ229" s="10" t="str">
        <f t="shared" si="55"/>
        <v/>
      </c>
      <c r="AR229" s="19" t="str">
        <f t="shared" si="56"/>
        <v/>
      </c>
      <c r="AS229" s="20"/>
      <c r="AT229" s="19"/>
      <c r="AV229" s="21">
        <f>IF(AND($AL229&lt;&gt;"",COUNTIF($AL$11:$AL229,$AL229)=1),1,0)</f>
        <v>0</v>
      </c>
      <c r="AW229" s="21">
        <f t="shared" si="58"/>
        <v>0</v>
      </c>
      <c r="AX229" s="21" t="str">
        <f t="shared" si="57"/>
        <v/>
      </c>
      <c r="AY229" s="21" t="str">
        <f>IF(AND($AM229&lt;&gt;"",$AS229&lt;&gt;"✓"),SUMPRODUCT(($AM$11:$AM229&lt;&gt;"")*($AS$11:$AS229&lt;&gt;"✓")),"")</f>
        <v/>
      </c>
      <c r="AZ229" s="21" t="str">
        <f>IF(AND($AM229&lt;&gt;"",$AS229="✓"),SUMPRODUCT(($AM$11:$AM229&lt;&gt;"")*($AS$11:$AS229="✓")),"")</f>
        <v/>
      </c>
      <c r="BA229" s="21" t="str">
        <f>IF($AL229="","",$AL229&amp;"|"&amp;COUNTIF($AL$11:$AL229,$AL229))</f>
        <v/>
      </c>
    </row>
    <row r="230" spans="2:53" ht="15" customHeight="1" x14ac:dyDescent="0.25">
      <c r="B230" s="5" t="str">
        <f t="shared" si="45"/>
        <v/>
      </c>
      <c r="C230" s="5"/>
      <c r="D230" s="5"/>
      <c r="E230" s="5"/>
      <c r="F230" s="6"/>
      <c r="G230" s="6"/>
      <c r="H230" s="7"/>
      <c r="I230" s="8"/>
      <c r="K230" s="23" t="str">
        <f>IFERROR(INDEX($AL$11:$AL$4010,MATCH(220,$AX$11:$AX$4010,0)),"")</f>
        <v/>
      </c>
      <c r="L230" s="24" t="str">
        <f t="shared" si="46"/>
        <v/>
      </c>
      <c r="M230" s="25" t="str">
        <f t="shared" si="47"/>
        <v/>
      </c>
      <c r="N230" s="25" t="str">
        <f t="shared" si="48"/>
        <v/>
      </c>
      <c r="W230" s="28" t="str">
        <f>IF(X230="","",IFERROR(INDEX($AL$11:$AL$4010,MATCH(220,$AY$11:$AY$4010,0)),""))</f>
        <v/>
      </c>
      <c r="X230" s="26" t="str">
        <f>IFERROR(INDEX($AM$11:$AM$4010,MATCH(220,$AY$11:$AY$4010,0)),"")</f>
        <v/>
      </c>
      <c r="Y230" s="25" t="str">
        <f>IF(X230="","",IFERROR(INDEX($AN$11:$AN$4010,MATCH(220,$AY$11:$AY$4010,0)),""))</f>
        <v/>
      </c>
      <c r="Z230" s="25" t="str">
        <f>IF(X230="","",IFERROR(INDEX($AO$11:$AO$4010,MATCH(220,$AY$11:$AY$4010,0)),""))</f>
        <v/>
      </c>
      <c r="AA230" s="24" t="str">
        <f>IF(X230="","",IFERROR(INDEX($AQ$11:$AQ$4010,MATCH(220,$AY$11:$AY$4010,0)),""))</f>
        <v/>
      </c>
      <c r="AB230" s="29" t="str">
        <f>IF(X230="","",IFERROR(INDEX($AR$11:$AR$4010,MATCH(220,$AY$11:$AY$4010,0)),""))</f>
        <v/>
      </c>
      <c r="AD230" s="30" t="str">
        <f>IF(AE230="","",IFERROR(INDEX($AL$11:$AL$4010,MATCH(220,$AZ$11:$AZ$4010,0)),""))</f>
        <v/>
      </c>
      <c r="AE230" s="26" t="str">
        <f>IFERROR(INDEX($AM$11:$AM$4010,MATCH(220,$AZ$11:$AZ$4010,0)),"")</f>
        <v/>
      </c>
      <c r="AF230" s="25" t="str">
        <f>IF(AE230="","",IFERROR(INDEX($AN$11:$AN$4010,MATCH(220,$AZ$11:$AZ$4010,0)),""))</f>
        <v/>
      </c>
      <c r="AG230" s="25" t="str">
        <f>IF(AE230="","",IFERROR(INDEX($AO$11:$AO$4010,MATCH(220,$AZ$11:$AZ$4010,0)),""))</f>
        <v/>
      </c>
      <c r="AH230" s="24" t="str">
        <f>IF(AE230="","",IFERROR(INDEX($AQ$11:$AQ$4010,MATCH(220,$AZ$11:$AZ$4010,0)),""))</f>
        <v/>
      </c>
      <c r="AI230" s="29" t="str">
        <f>IF(AE230="","",IFERROR(INDEX($AR$11:$AR$4010,MATCH(220,$AZ$11:$AZ$4010,0)),""))</f>
        <v/>
      </c>
      <c r="AJ230" s="29" t="str">
        <f>IF(AE230="","",IFERROR(INDEX($AT$11:$AT$4010,MATCH(220,$AZ$11:$AZ$4010,0)),""))</f>
        <v/>
      </c>
      <c r="AL230" s="31" t="str">
        <f t="shared" si="50"/>
        <v/>
      </c>
      <c r="AM230" s="26" t="str">
        <f t="shared" si="51"/>
        <v/>
      </c>
      <c r="AN230" s="32" t="str">
        <f t="shared" si="52"/>
        <v/>
      </c>
      <c r="AO230" s="32" t="str">
        <f t="shared" si="53"/>
        <v/>
      </c>
      <c r="AP230" s="24" t="str">
        <f t="shared" si="54"/>
        <v/>
      </c>
      <c r="AQ230" s="24" t="str">
        <f t="shared" si="55"/>
        <v/>
      </c>
      <c r="AR230" s="33" t="str">
        <f t="shared" si="56"/>
        <v/>
      </c>
      <c r="AS230" s="34"/>
      <c r="AT230" s="33"/>
      <c r="AV230" s="21">
        <f>IF(AND($AL230&lt;&gt;"",COUNTIF($AL$11:$AL230,$AL230)=1),1,0)</f>
        <v>0</v>
      </c>
      <c r="AW230" s="21">
        <f t="shared" si="58"/>
        <v>0</v>
      </c>
      <c r="AX230" s="21" t="str">
        <f t="shared" si="57"/>
        <v/>
      </c>
      <c r="AY230" s="21" t="str">
        <f>IF(AND($AM230&lt;&gt;"",$AS230&lt;&gt;"✓"),SUMPRODUCT(($AM$11:$AM230&lt;&gt;"")*($AS$11:$AS230&lt;&gt;"✓")),"")</f>
        <v/>
      </c>
      <c r="AZ230" s="21" t="str">
        <f>IF(AND($AM230&lt;&gt;"",$AS230="✓"),SUMPRODUCT(($AM$11:$AM230&lt;&gt;"")*($AS$11:$AS230="✓")),"")</f>
        <v/>
      </c>
      <c r="BA230" s="21" t="str">
        <f>IF($AL230="","",$AL230&amp;"|"&amp;COUNTIF($AL$11:$AL230,$AL230))</f>
        <v/>
      </c>
    </row>
    <row r="231" spans="2:53" ht="15" customHeight="1" x14ac:dyDescent="0.25">
      <c r="B231" s="5" t="str">
        <f t="shared" si="45"/>
        <v/>
      </c>
      <c r="C231" s="5"/>
      <c r="D231" s="5"/>
      <c r="E231" s="5"/>
      <c r="F231" s="6"/>
      <c r="G231" s="6"/>
      <c r="H231" s="7"/>
      <c r="I231" s="8"/>
      <c r="K231" s="9" t="str">
        <f>IFERROR(INDEX($AL$11:$AL$4010,MATCH(221,$AX$11:$AX$4010,0)),"")</f>
        <v/>
      </c>
      <c r="L231" s="10" t="str">
        <f t="shared" si="46"/>
        <v/>
      </c>
      <c r="M231" s="11" t="str">
        <f t="shared" si="47"/>
        <v/>
      </c>
      <c r="N231" s="11" t="str">
        <f t="shared" si="48"/>
        <v/>
      </c>
      <c r="W231" s="14" t="str">
        <f>IF(X231="","",IFERROR(INDEX($AL$11:$AL$4010,MATCH(221,$AY$11:$AY$4010,0)),""))</f>
        <v/>
      </c>
      <c r="X231" s="12" t="str">
        <f>IFERROR(INDEX($AM$11:$AM$4010,MATCH(221,$AY$11:$AY$4010,0)),"")</f>
        <v/>
      </c>
      <c r="Y231" s="11" t="str">
        <f>IF(X231="","",IFERROR(INDEX($AN$11:$AN$4010,MATCH(221,$AY$11:$AY$4010,0)),""))</f>
        <v/>
      </c>
      <c r="Z231" s="11" t="str">
        <f>IF(X231="","",IFERROR(INDEX($AO$11:$AO$4010,MATCH(221,$AY$11:$AY$4010,0)),""))</f>
        <v/>
      </c>
      <c r="AA231" s="10" t="str">
        <f>IF(X231="","",IFERROR(INDEX($AQ$11:$AQ$4010,MATCH(221,$AY$11:$AY$4010,0)),""))</f>
        <v/>
      </c>
      <c r="AB231" s="15" t="str">
        <f>IF(X231="","",IFERROR(INDEX($AR$11:$AR$4010,MATCH(221,$AY$11:$AY$4010,0)),""))</f>
        <v/>
      </c>
      <c r="AD231" s="16" t="str">
        <f>IF(AE231="","",IFERROR(INDEX($AL$11:$AL$4010,MATCH(221,$AZ$11:$AZ$4010,0)),""))</f>
        <v/>
      </c>
      <c r="AE231" s="12" t="str">
        <f>IFERROR(INDEX($AM$11:$AM$4010,MATCH(221,$AZ$11:$AZ$4010,0)),"")</f>
        <v/>
      </c>
      <c r="AF231" s="11" t="str">
        <f>IF(AE231="","",IFERROR(INDEX($AN$11:$AN$4010,MATCH(221,$AZ$11:$AZ$4010,0)),""))</f>
        <v/>
      </c>
      <c r="AG231" s="11" t="str">
        <f>IF(AE231="","",IFERROR(INDEX($AO$11:$AO$4010,MATCH(221,$AZ$11:$AZ$4010,0)),""))</f>
        <v/>
      </c>
      <c r="AH231" s="10" t="str">
        <f>IF(AE231="","",IFERROR(INDEX($AQ$11:$AQ$4010,MATCH(221,$AZ$11:$AZ$4010,0)),""))</f>
        <v/>
      </c>
      <c r="AI231" s="15" t="str">
        <f>IF(AE231="","",IFERROR(INDEX($AR$11:$AR$4010,MATCH(221,$AZ$11:$AZ$4010,0)),""))</f>
        <v/>
      </c>
      <c r="AJ231" s="15" t="str">
        <f>IF(AE231="","",IFERROR(INDEX($AT$11:$AT$4010,MATCH(221,$AZ$11:$AZ$4010,0)),""))</f>
        <v/>
      </c>
      <c r="AL231" s="17" t="str">
        <f t="shared" si="50"/>
        <v/>
      </c>
      <c r="AM231" s="12" t="str">
        <f t="shared" si="51"/>
        <v/>
      </c>
      <c r="AN231" s="18" t="str">
        <f t="shared" si="52"/>
        <v/>
      </c>
      <c r="AO231" s="18" t="str">
        <f t="shared" si="53"/>
        <v/>
      </c>
      <c r="AP231" s="10" t="str">
        <f t="shared" si="54"/>
        <v/>
      </c>
      <c r="AQ231" s="10" t="str">
        <f t="shared" si="55"/>
        <v/>
      </c>
      <c r="AR231" s="19" t="str">
        <f t="shared" si="56"/>
        <v/>
      </c>
      <c r="AS231" s="20"/>
      <c r="AT231" s="19"/>
      <c r="AV231" s="21">
        <f>IF(AND($AL231&lt;&gt;"",COUNTIF($AL$11:$AL231,$AL231)=1),1,0)</f>
        <v>0</v>
      </c>
      <c r="AW231" s="21">
        <f t="shared" si="58"/>
        <v>0</v>
      </c>
      <c r="AX231" s="21" t="str">
        <f t="shared" si="57"/>
        <v/>
      </c>
      <c r="AY231" s="21" t="str">
        <f>IF(AND($AM231&lt;&gt;"",$AS231&lt;&gt;"✓"),SUMPRODUCT(($AM$11:$AM231&lt;&gt;"")*($AS$11:$AS231&lt;&gt;"✓")),"")</f>
        <v/>
      </c>
      <c r="AZ231" s="21" t="str">
        <f>IF(AND($AM231&lt;&gt;"",$AS231="✓"),SUMPRODUCT(($AM$11:$AM231&lt;&gt;"")*($AS$11:$AS231="✓")),"")</f>
        <v/>
      </c>
      <c r="BA231" s="21" t="str">
        <f>IF($AL231="","",$AL231&amp;"|"&amp;COUNTIF($AL$11:$AL231,$AL231))</f>
        <v/>
      </c>
    </row>
    <row r="232" spans="2:53" ht="15" customHeight="1" x14ac:dyDescent="0.25">
      <c r="B232" s="5" t="str">
        <f t="shared" si="45"/>
        <v/>
      </c>
      <c r="C232" s="5"/>
      <c r="D232" s="5"/>
      <c r="E232" s="5"/>
      <c r="F232" s="6"/>
      <c r="G232" s="6"/>
      <c r="H232" s="7"/>
      <c r="I232" s="8"/>
      <c r="K232" s="23" t="str">
        <f>IFERROR(INDEX($AL$11:$AL$4010,MATCH(222,$AX$11:$AX$4010,0)),"")</f>
        <v/>
      </c>
      <c r="L232" s="24" t="str">
        <f t="shared" si="46"/>
        <v/>
      </c>
      <c r="M232" s="25" t="str">
        <f t="shared" si="47"/>
        <v/>
      </c>
      <c r="N232" s="25" t="str">
        <f t="shared" si="48"/>
        <v/>
      </c>
      <c r="W232" s="28" t="str">
        <f>IF(X232="","",IFERROR(INDEX($AL$11:$AL$4010,MATCH(222,$AY$11:$AY$4010,0)),""))</f>
        <v/>
      </c>
      <c r="X232" s="26" t="str">
        <f>IFERROR(INDEX($AM$11:$AM$4010,MATCH(222,$AY$11:$AY$4010,0)),"")</f>
        <v/>
      </c>
      <c r="Y232" s="25" t="str">
        <f>IF(X232="","",IFERROR(INDEX($AN$11:$AN$4010,MATCH(222,$AY$11:$AY$4010,0)),""))</f>
        <v/>
      </c>
      <c r="Z232" s="25" t="str">
        <f>IF(X232="","",IFERROR(INDEX($AO$11:$AO$4010,MATCH(222,$AY$11:$AY$4010,0)),""))</f>
        <v/>
      </c>
      <c r="AA232" s="24" t="str">
        <f>IF(X232="","",IFERROR(INDEX($AQ$11:$AQ$4010,MATCH(222,$AY$11:$AY$4010,0)),""))</f>
        <v/>
      </c>
      <c r="AB232" s="29" t="str">
        <f>IF(X232="","",IFERROR(INDEX($AR$11:$AR$4010,MATCH(222,$AY$11:$AY$4010,0)),""))</f>
        <v/>
      </c>
      <c r="AD232" s="30" t="str">
        <f>IF(AE232="","",IFERROR(INDEX($AL$11:$AL$4010,MATCH(222,$AZ$11:$AZ$4010,0)),""))</f>
        <v/>
      </c>
      <c r="AE232" s="26" t="str">
        <f>IFERROR(INDEX($AM$11:$AM$4010,MATCH(222,$AZ$11:$AZ$4010,0)),"")</f>
        <v/>
      </c>
      <c r="AF232" s="25" t="str">
        <f>IF(AE232="","",IFERROR(INDEX($AN$11:$AN$4010,MATCH(222,$AZ$11:$AZ$4010,0)),""))</f>
        <v/>
      </c>
      <c r="AG232" s="25" t="str">
        <f>IF(AE232="","",IFERROR(INDEX($AO$11:$AO$4010,MATCH(222,$AZ$11:$AZ$4010,0)),""))</f>
        <v/>
      </c>
      <c r="AH232" s="24" t="str">
        <f>IF(AE232="","",IFERROR(INDEX($AQ$11:$AQ$4010,MATCH(222,$AZ$11:$AZ$4010,0)),""))</f>
        <v/>
      </c>
      <c r="AI232" s="29" t="str">
        <f>IF(AE232="","",IFERROR(INDEX($AR$11:$AR$4010,MATCH(222,$AZ$11:$AZ$4010,0)),""))</f>
        <v/>
      </c>
      <c r="AJ232" s="29" t="str">
        <f>IF(AE232="","",IFERROR(INDEX($AT$11:$AT$4010,MATCH(222,$AZ$11:$AZ$4010,0)),""))</f>
        <v/>
      </c>
      <c r="AL232" s="31" t="str">
        <f t="shared" si="50"/>
        <v/>
      </c>
      <c r="AM232" s="26" t="str">
        <f t="shared" si="51"/>
        <v/>
      </c>
      <c r="AN232" s="32" t="str">
        <f t="shared" si="52"/>
        <v/>
      </c>
      <c r="AO232" s="32" t="str">
        <f t="shared" si="53"/>
        <v/>
      </c>
      <c r="AP232" s="24" t="str">
        <f t="shared" si="54"/>
        <v/>
      </c>
      <c r="AQ232" s="24" t="str">
        <f t="shared" si="55"/>
        <v/>
      </c>
      <c r="AR232" s="33" t="str">
        <f t="shared" si="56"/>
        <v/>
      </c>
      <c r="AS232" s="34"/>
      <c r="AT232" s="33"/>
      <c r="AV232" s="21">
        <f>IF(AND($AL232&lt;&gt;"",COUNTIF($AL$11:$AL232,$AL232)=1),1,0)</f>
        <v>0</v>
      </c>
      <c r="AW232" s="21">
        <f t="shared" si="58"/>
        <v>0</v>
      </c>
      <c r="AX232" s="21" t="str">
        <f t="shared" si="57"/>
        <v/>
      </c>
      <c r="AY232" s="21" t="str">
        <f>IF(AND($AM232&lt;&gt;"",$AS232&lt;&gt;"✓"),SUMPRODUCT(($AM$11:$AM232&lt;&gt;"")*($AS$11:$AS232&lt;&gt;"✓")),"")</f>
        <v/>
      </c>
      <c r="AZ232" s="21" t="str">
        <f>IF(AND($AM232&lt;&gt;"",$AS232="✓"),SUMPRODUCT(($AM$11:$AM232&lt;&gt;"")*($AS$11:$AS232="✓")),"")</f>
        <v/>
      </c>
      <c r="BA232" s="21" t="str">
        <f>IF($AL232="","",$AL232&amp;"|"&amp;COUNTIF($AL$11:$AL232,$AL232))</f>
        <v/>
      </c>
    </row>
    <row r="233" spans="2:53" ht="15" customHeight="1" x14ac:dyDescent="0.25">
      <c r="B233" s="5" t="str">
        <f t="shared" si="45"/>
        <v/>
      </c>
      <c r="C233" s="5"/>
      <c r="D233" s="5"/>
      <c r="E233" s="5"/>
      <c r="F233" s="6"/>
      <c r="G233" s="6"/>
      <c r="H233" s="7"/>
      <c r="I233" s="8"/>
      <c r="K233" s="9" t="str">
        <f>IFERROR(INDEX($AL$11:$AL$4010,MATCH(223,$AX$11:$AX$4010,0)),"")</f>
        <v/>
      </c>
      <c r="L233" s="10" t="str">
        <f t="shared" si="46"/>
        <v/>
      </c>
      <c r="M233" s="11" t="str">
        <f t="shared" si="47"/>
        <v/>
      </c>
      <c r="N233" s="11" t="str">
        <f t="shared" si="48"/>
        <v/>
      </c>
      <c r="W233" s="14" t="str">
        <f>IF(X233="","",IFERROR(INDEX($AL$11:$AL$4010,MATCH(223,$AY$11:$AY$4010,0)),""))</f>
        <v/>
      </c>
      <c r="X233" s="12" t="str">
        <f>IFERROR(INDEX($AM$11:$AM$4010,MATCH(223,$AY$11:$AY$4010,0)),"")</f>
        <v/>
      </c>
      <c r="Y233" s="11" t="str">
        <f>IF(X233="","",IFERROR(INDEX($AN$11:$AN$4010,MATCH(223,$AY$11:$AY$4010,0)),""))</f>
        <v/>
      </c>
      <c r="Z233" s="11" t="str">
        <f>IF(X233="","",IFERROR(INDEX($AO$11:$AO$4010,MATCH(223,$AY$11:$AY$4010,0)),""))</f>
        <v/>
      </c>
      <c r="AA233" s="10" t="str">
        <f>IF(X233="","",IFERROR(INDEX($AQ$11:$AQ$4010,MATCH(223,$AY$11:$AY$4010,0)),""))</f>
        <v/>
      </c>
      <c r="AB233" s="15" t="str">
        <f>IF(X233="","",IFERROR(INDEX($AR$11:$AR$4010,MATCH(223,$AY$11:$AY$4010,0)),""))</f>
        <v/>
      </c>
      <c r="AD233" s="16" t="str">
        <f>IF(AE233="","",IFERROR(INDEX($AL$11:$AL$4010,MATCH(223,$AZ$11:$AZ$4010,0)),""))</f>
        <v/>
      </c>
      <c r="AE233" s="12" t="str">
        <f>IFERROR(INDEX($AM$11:$AM$4010,MATCH(223,$AZ$11:$AZ$4010,0)),"")</f>
        <v/>
      </c>
      <c r="AF233" s="11" t="str">
        <f>IF(AE233="","",IFERROR(INDEX($AN$11:$AN$4010,MATCH(223,$AZ$11:$AZ$4010,0)),""))</f>
        <v/>
      </c>
      <c r="AG233" s="11" t="str">
        <f>IF(AE233="","",IFERROR(INDEX($AO$11:$AO$4010,MATCH(223,$AZ$11:$AZ$4010,0)),""))</f>
        <v/>
      </c>
      <c r="AH233" s="10" t="str">
        <f>IF(AE233="","",IFERROR(INDEX($AQ$11:$AQ$4010,MATCH(223,$AZ$11:$AZ$4010,0)),""))</f>
        <v/>
      </c>
      <c r="AI233" s="15" t="str">
        <f>IF(AE233="","",IFERROR(INDEX($AR$11:$AR$4010,MATCH(223,$AZ$11:$AZ$4010,0)),""))</f>
        <v/>
      </c>
      <c r="AJ233" s="15" t="str">
        <f>IF(AE233="","",IFERROR(INDEX($AT$11:$AT$4010,MATCH(223,$AZ$11:$AZ$4010,0)),""))</f>
        <v/>
      </c>
      <c r="AL233" s="17" t="str">
        <f t="shared" si="50"/>
        <v/>
      </c>
      <c r="AM233" s="12" t="str">
        <f t="shared" si="51"/>
        <v/>
      </c>
      <c r="AN233" s="18" t="str">
        <f t="shared" si="52"/>
        <v/>
      </c>
      <c r="AO233" s="18" t="str">
        <f t="shared" si="53"/>
        <v/>
      </c>
      <c r="AP233" s="10" t="str">
        <f t="shared" si="54"/>
        <v/>
      </c>
      <c r="AQ233" s="10" t="str">
        <f t="shared" si="55"/>
        <v/>
      </c>
      <c r="AR233" s="19" t="str">
        <f t="shared" si="56"/>
        <v/>
      </c>
      <c r="AS233" s="20"/>
      <c r="AT233" s="19"/>
      <c r="AV233" s="21">
        <f>IF(AND($AL233&lt;&gt;"",COUNTIF($AL$11:$AL233,$AL233)=1),1,0)</f>
        <v>0</v>
      </c>
      <c r="AW233" s="21">
        <f t="shared" si="58"/>
        <v>0</v>
      </c>
      <c r="AX233" s="21" t="str">
        <f t="shared" si="57"/>
        <v/>
      </c>
      <c r="AY233" s="21" t="str">
        <f>IF(AND($AM233&lt;&gt;"",$AS233&lt;&gt;"✓"),SUMPRODUCT(($AM$11:$AM233&lt;&gt;"")*($AS$11:$AS233&lt;&gt;"✓")),"")</f>
        <v/>
      </c>
      <c r="AZ233" s="21" t="str">
        <f>IF(AND($AM233&lt;&gt;"",$AS233="✓"),SUMPRODUCT(($AM$11:$AM233&lt;&gt;"")*($AS$11:$AS233="✓")),"")</f>
        <v/>
      </c>
      <c r="BA233" s="21" t="str">
        <f>IF($AL233="","",$AL233&amp;"|"&amp;COUNTIF($AL$11:$AL233,$AL233))</f>
        <v/>
      </c>
    </row>
    <row r="234" spans="2:53" ht="15" customHeight="1" x14ac:dyDescent="0.25">
      <c r="B234" s="5" t="str">
        <f t="shared" si="45"/>
        <v/>
      </c>
      <c r="C234" s="5"/>
      <c r="D234" s="5"/>
      <c r="E234" s="5"/>
      <c r="F234" s="6"/>
      <c r="G234" s="6"/>
      <c r="H234" s="7"/>
      <c r="I234" s="8"/>
      <c r="K234" s="23" t="str">
        <f>IFERROR(INDEX($AL$11:$AL$4010,MATCH(224,$AX$11:$AX$4010,0)),"")</f>
        <v/>
      </c>
      <c r="L234" s="24" t="str">
        <f t="shared" si="46"/>
        <v/>
      </c>
      <c r="M234" s="25" t="str">
        <f t="shared" si="47"/>
        <v/>
      </c>
      <c r="N234" s="25" t="str">
        <f t="shared" si="48"/>
        <v/>
      </c>
      <c r="W234" s="28" t="str">
        <f>IF(X234="","",IFERROR(INDEX($AL$11:$AL$4010,MATCH(224,$AY$11:$AY$4010,0)),""))</f>
        <v/>
      </c>
      <c r="X234" s="26" t="str">
        <f>IFERROR(INDEX($AM$11:$AM$4010,MATCH(224,$AY$11:$AY$4010,0)),"")</f>
        <v/>
      </c>
      <c r="Y234" s="25" t="str">
        <f>IF(X234="","",IFERROR(INDEX($AN$11:$AN$4010,MATCH(224,$AY$11:$AY$4010,0)),""))</f>
        <v/>
      </c>
      <c r="Z234" s="25" t="str">
        <f>IF(X234="","",IFERROR(INDEX($AO$11:$AO$4010,MATCH(224,$AY$11:$AY$4010,0)),""))</f>
        <v/>
      </c>
      <c r="AA234" s="24" t="str">
        <f>IF(X234="","",IFERROR(INDEX($AQ$11:$AQ$4010,MATCH(224,$AY$11:$AY$4010,0)),""))</f>
        <v/>
      </c>
      <c r="AB234" s="29" t="str">
        <f>IF(X234="","",IFERROR(INDEX($AR$11:$AR$4010,MATCH(224,$AY$11:$AY$4010,0)),""))</f>
        <v/>
      </c>
      <c r="AD234" s="30" t="str">
        <f>IF(AE234="","",IFERROR(INDEX($AL$11:$AL$4010,MATCH(224,$AZ$11:$AZ$4010,0)),""))</f>
        <v/>
      </c>
      <c r="AE234" s="26" t="str">
        <f>IFERROR(INDEX($AM$11:$AM$4010,MATCH(224,$AZ$11:$AZ$4010,0)),"")</f>
        <v/>
      </c>
      <c r="AF234" s="25" t="str">
        <f>IF(AE234="","",IFERROR(INDEX($AN$11:$AN$4010,MATCH(224,$AZ$11:$AZ$4010,0)),""))</f>
        <v/>
      </c>
      <c r="AG234" s="25" t="str">
        <f>IF(AE234="","",IFERROR(INDEX($AO$11:$AO$4010,MATCH(224,$AZ$11:$AZ$4010,0)),""))</f>
        <v/>
      </c>
      <c r="AH234" s="24" t="str">
        <f>IF(AE234="","",IFERROR(INDEX($AQ$11:$AQ$4010,MATCH(224,$AZ$11:$AZ$4010,0)),""))</f>
        <v/>
      </c>
      <c r="AI234" s="29" t="str">
        <f>IF(AE234="","",IFERROR(INDEX($AR$11:$AR$4010,MATCH(224,$AZ$11:$AZ$4010,0)),""))</f>
        <v/>
      </c>
      <c r="AJ234" s="29" t="str">
        <f>IF(AE234="","",IFERROR(INDEX($AT$11:$AT$4010,MATCH(224,$AZ$11:$AZ$4010,0)),""))</f>
        <v/>
      </c>
      <c r="AL234" s="31" t="str">
        <f t="shared" si="50"/>
        <v/>
      </c>
      <c r="AM234" s="26" t="str">
        <f t="shared" si="51"/>
        <v/>
      </c>
      <c r="AN234" s="32" t="str">
        <f t="shared" si="52"/>
        <v/>
      </c>
      <c r="AO234" s="32" t="str">
        <f t="shared" si="53"/>
        <v/>
      </c>
      <c r="AP234" s="24" t="str">
        <f t="shared" si="54"/>
        <v/>
      </c>
      <c r="AQ234" s="24" t="str">
        <f t="shared" si="55"/>
        <v/>
      </c>
      <c r="AR234" s="33" t="str">
        <f t="shared" si="56"/>
        <v/>
      </c>
      <c r="AS234" s="34"/>
      <c r="AT234" s="33"/>
      <c r="AV234" s="21">
        <f>IF(AND($AL234&lt;&gt;"",COUNTIF($AL$11:$AL234,$AL234)=1),1,0)</f>
        <v>0</v>
      </c>
      <c r="AW234" s="21">
        <f t="shared" si="58"/>
        <v>0</v>
      </c>
      <c r="AX234" s="21" t="str">
        <f t="shared" si="57"/>
        <v/>
      </c>
      <c r="AY234" s="21" t="str">
        <f>IF(AND($AM234&lt;&gt;"",$AS234&lt;&gt;"✓"),SUMPRODUCT(($AM$11:$AM234&lt;&gt;"")*($AS$11:$AS234&lt;&gt;"✓")),"")</f>
        <v/>
      </c>
      <c r="AZ234" s="21" t="str">
        <f>IF(AND($AM234&lt;&gt;"",$AS234="✓"),SUMPRODUCT(($AM$11:$AM234&lt;&gt;"")*($AS$11:$AS234="✓")),"")</f>
        <v/>
      </c>
      <c r="BA234" s="21" t="str">
        <f>IF($AL234="","",$AL234&amp;"|"&amp;COUNTIF($AL$11:$AL234,$AL234))</f>
        <v/>
      </c>
    </row>
    <row r="235" spans="2:53" ht="15" customHeight="1" x14ac:dyDescent="0.25">
      <c r="B235" s="5" t="str">
        <f t="shared" si="45"/>
        <v/>
      </c>
      <c r="C235" s="5"/>
      <c r="D235" s="5"/>
      <c r="E235" s="5"/>
      <c r="F235" s="6"/>
      <c r="G235" s="6"/>
      <c r="H235" s="7"/>
      <c r="I235" s="8"/>
      <c r="K235" s="9" t="str">
        <f>IFERROR(INDEX($AL$11:$AL$4010,MATCH(225,$AX$11:$AX$4010,0)),"")</f>
        <v/>
      </c>
      <c r="L235" s="10" t="str">
        <f t="shared" si="46"/>
        <v/>
      </c>
      <c r="M235" s="11" t="str">
        <f t="shared" si="47"/>
        <v/>
      </c>
      <c r="N235" s="11" t="str">
        <f t="shared" si="48"/>
        <v/>
      </c>
      <c r="W235" s="14" t="str">
        <f>IF(X235="","",IFERROR(INDEX($AL$11:$AL$4010,MATCH(225,$AY$11:$AY$4010,0)),""))</f>
        <v/>
      </c>
      <c r="X235" s="12" t="str">
        <f>IFERROR(INDEX($AM$11:$AM$4010,MATCH(225,$AY$11:$AY$4010,0)),"")</f>
        <v/>
      </c>
      <c r="Y235" s="11" t="str">
        <f>IF(X235="","",IFERROR(INDEX($AN$11:$AN$4010,MATCH(225,$AY$11:$AY$4010,0)),""))</f>
        <v/>
      </c>
      <c r="Z235" s="11" t="str">
        <f>IF(X235="","",IFERROR(INDEX($AO$11:$AO$4010,MATCH(225,$AY$11:$AY$4010,0)),""))</f>
        <v/>
      </c>
      <c r="AA235" s="10" t="str">
        <f>IF(X235="","",IFERROR(INDEX($AQ$11:$AQ$4010,MATCH(225,$AY$11:$AY$4010,0)),""))</f>
        <v/>
      </c>
      <c r="AB235" s="15" t="str">
        <f>IF(X235="","",IFERROR(INDEX($AR$11:$AR$4010,MATCH(225,$AY$11:$AY$4010,0)),""))</f>
        <v/>
      </c>
      <c r="AD235" s="16" t="str">
        <f>IF(AE235="","",IFERROR(INDEX($AL$11:$AL$4010,MATCH(225,$AZ$11:$AZ$4010,0)),""))</f>
        <v/>
      </c>
      <c r="AE235" s="12" t="str">
        <f>IFERROR(INDEX($AM$11:$AM$4010,MATCH(225,$AZ$11:$AZ$4010,0)),"")</f>
        <v/>
      </c>
      <c r="AF235" s="11" t="str">
        <f>IF(AE235="","",IFERROR(INDEX($AN$11:$AN$4010,MATCH(225,$AZ$11:$AZ$4010,0)),""))</f>
        <v/>
      </c>
      <c r="AG235" s="11" t="str">
        <f>IF(AE235="","",IFERROR(INDEX($AO$11:$AO$4010,MATCH(225,$AZ$11:$AZ$4010,0)),""))</f>
        <v/>
      </c>
      <c r="AH235" s="10" t="str">
        <f>IF(AE235="","",IFERROR(INDEX($AQ$11:$AQ$4010,MATCH(225,$AZ$11:$AZ$4010,0)),""))</f>
        <v/>
      </c>
      <c r="AI235" s="15" t="str">
        <f>IF(AE235="","",IFERROR(INDEX($AR$11:$AR$4010,MATCH(225,$AZ$11:$AZ$4010,0)),""))</f>
        <v/>
      </c>
      <c r="AJ235" s="15" t="str">
        <f>IF(AE235="","",IFERROR(INDEX($AT$11:$AT$4010,MATCH(225,$AZ$11:$AZ$4010,0)),""))</f>
        <v/>
      </c>
      <c r="AL235" s="17" t="str">
        <f t="shared" si="50"/>
        <v/>
      </c>
      <c r="AM235" s="12" t="str">
        <f t="shared" si="51"/>
        <v/>
      </c>
      <c r="AN235" s="18" t="str">
        <f t="shared" si="52"/>
        <v/>
      </c>
      <c r="AO235" s="18" t="str">
        <f t="shared" si="53"/>
        <v/>
      </c>
      <c r="AP235" s="10" t="str">
        <f t="shared" si="54"/>
        <v/>
      </c>
      <c r="AQ235" s="10" t="str">
        <f t="shared" si="55"/>
        <v/>
      </c>
      <c r="AR235" s="19" t="str">
        <f t="shared" si="56"/>
        <v/>
      </c>
      <c r="AS235" s="20"/>
      <c r="AT235" s="19"/>
      <c r="AV235" s="21">
        <f>IF(AND($AL235&lt;&gt;"",COUNTIF($AL$11:$AL235,$AL235)=1),1,0)</f>
        <v>0</v>
      </c>
      <c r="AW235" s="21">
        <f t="shared" si="58"/>
        <v>0</v>
      </c>
      <c r="AX235" s="21" t="str">
        <f t="shared" si="57"/>
        <v/>
      </c>
      <c r="AY235" s="21" t="str">
        <f>IF(AND($AM235&lt;&gt;"",$AS235&lt;&gt;"✓"),SUMPRODUCT(($AM$11:$AM235&lt;&gt;"")*($AS$11:$AS235&lt;&gt;"✓")),"")</f>
        <v/>
      </c>
      <c r="AZ235" s="21" t="str">
        <f>IF(AND($AM235&lt;&gt;"",$AS235="✓"),SUMPRODUCT(($AM$11:$AM235&lt;&gt;"")*($AS$11:$AS235="✓")),"")</f>
        <v/>
      </c>
      <c r="BA235" s="21" t="str">
        <f>IF($AL235="","",$AL235&amp;"|"&amp;COUNTIF($AL$11:$AL235,$AL235))</f>
        <v/>
      </c>
    </row>
    <row r="236" spans="2:53" ht="15" customHeight="1" x14ac:dyDescent="0.25">
      <c r="B236" s="5" t="str">
        <f t="shared" si="45"/>
        <v/>
      </c>
      <c r="C236" s="5"/>
      <c r="D236" s="5"/>
      <c r="E236" s="5"/>
      <c r="F236" s="6"/>
      <c r="G236" s="6"/>
      <c r="H236" s="7"/>
      <c r="I236" s="8"/>
      <c r="K236" s="23" t="str">
        <f>IFERROR(INDEX($AL$11:$AL$4010,MATCH(226,$AX$11:$AX$4010,0)),"")</f>
        <v/>
      </c>
      <c r="L236" s="24" t="str">
        <f t="shared" si="46"/>
        <v/>
      </c>
      <c r="M236" s="25" t="str">
        <f t="shared" si="47"/>
        <v/>
      </c>
      <c r="N236" s="25" t="str">
        <f t="shared" si="48"/>
        <v/>
      </c>
      <c r="W236" s="28" t="str">
        <f>IF(X236="","",IFERROR(INDEX($AL$11:$AL$4010,MATCH(226,$AY$11:$AY$4010,0)),""))</f>
        <v/>
      </c>
      <c r="X236" s="26" t="str">
        <f>IFERROR(INDEX($AM$11:$AM$4010,MATCH(226,$AY$11:$AY$4010,0)),"")</f>
        <v/>
      </c>
      <c r="Y236" s="25" t="str">
        <f>IF(X236="","",IFERROR(INDEX($AN$11:$AN$4010,MATCH(226,$AY$11:$AY$4010,0)),""))</f>
        <v/>
      </c>
      <c r="Z236" s="25" t="str">
        <f>IF(X236="","",IFERROR(INDEX($AO$11:$AO$4010,MATCH(226,$AY$11:$AY$4010,0)),""))</f>
        <v/>
      </c>
      <c r="AA236" s="24" t="str">
        <f>IF(X236="","",IFERROR(INDEX($AQ$11:$AQ$4010,MATCH(226,$AY$11:$AY$4010,0)),""))</f>
        <v/>
      </c>
      <c r="AB236" s="29" t="str">
        <f>IF(X236="","",IFERROR(INDEX($AR$11:$AR$4010,MATCH(226,$AY$11:$AY$4010,0)),""))</f>
        <v/>
      </c>
      <c r="AD236" s="30" t="str">
        <f>IF(AE236="","",IFERROR(INDEX($AL$11:$AL$4010,MATCH(226,$AZ$11:$AZ$4010,0)),""))</f>
        <v/>
      </c>
      <c r="AE236" s="26" t="str">
        <f>IFERROR(INDEX($AM$11:$AM$4010,MATCH(226,$AZ$11:$AZ$4010,0)),"")</f>
        <v/>
      </c>
      <c r="AF236" s="25" t="str">
        <f>IF(AE236="","",IFERROR(INDEX($AN$11:$AN$4010,MATCH(226,$AZ$11:$AZ$4010,0)),""))</f>
        <v/>
      </c>
      <c r="AG236" s="25" t="str">
        <f>IF(AE236="","",IFERROR(INDEX($AO$11:$AO$4010,MATCH(226,$AZ$11:$AZ$4010,0)),""))</f>
        <v/>
      </c>
      <c r="AH236" s="24" t="str">
        <f>IF(AE236="","",IFERROR(INDEX($AQ$11:$AQ$4010,MATCH(226,$AZ$11:$AZ$4010,0)),""))</f>
        <v/>
      </c>
      <c r="AI236" s="29" t="str">
        <f>IF(AE236="","",IFERROR(INDEX($AR$11:$AR$4010,MATCH(226,$AZ$11:$AZ$4010,0)),""))</f>
        <v/>
      </c>
      <c r="AJ236" s="29" t="str">
        <f>IF(AE236="","",IFERROR(INDEX($AT$11:$AT$4010,MATCH(226,$AZ$11:$AZ$4010,0)),""))</f>
        <v/>
      </c>
      <c r="AL236" s="31" t="str">
        <f t="shared" si="50"/>
        <v/>
      </c>
      <c r="AM236" s="26" t="str">
        <f t="shared" si="51"/>
        <v/>
      </c>
      <c r="AN236" s="32" t="str">
        <f t="shared" si="52"/>
        <v/>
      </c>
      <c r="AO236" s="32" t="str">
        <f t="shared" si="53"/>
        <v/>
      </c>
      <c r="AP236" s="24" t="str">
        <f t="shared" si="54"/>
        <v/>
      </c>
      <c r="AQ236" s="24" t="str">
        <f t="shared" si="55"/>
        <v/>
      </c>
      <c r="AR236" s="33" t="str">
        <f t="shared" si="56"/>
        <v/>
      </c>
      <c r="AS236" s="34"/>
      <c r="AT236" s="33"/>
      <c r="AV236" s="21">
        <f>IF(AND($AL236&lt;&gt;"",COUNTIF($AL$11:$AL236,$AL236)=1),1,0)</f>
        <v>0</v>
      </c>
      <c r="AW236" s="21">
        <f t="shared" si="58"/>
        <v>0</v>
      </c>
      <c r="AX236" s="21" t="str">
        <f t="shared" si="57"/>
        <v/>
      </c>
      <c r="AY236" s="21" t="str">
        <f>IF(AND($AM236&lt;&gt;"",$AS236&lt;&gt;"✓"),SUMPRODUCT(($AM$11:$AM236&lt;&gt;"")*($AS$11:$AS236&lt;&gt;"✓")),"")</f>
        <v/>
      </c>
      <c r="AZ236" s="21" t="str">
        <f>IF(AND($AM236&lt;&gt;"",$AS236="✓"),SUMPRODUCT(($AM$11:$AM236&lt;&gt;"")*($AS$11:$AS236="✓")),"")</f>
        <v/>
      </c>
      <c r="BA236" s="21" t="str">
        <f>IF($AL236="","",$AL236&amp;"|"&amp;COUNTIF($AL$11:$AL236,$AL236))</f>
        <v/>
      </c>
    </row>
    <row r="237" spans="2:53" ht="15" customHeight="1" x14ac:dyDescent="0.25">
      <c r="B237" s="5" t="str">
        <f t="shared" si="45"/>
        <v/>
      </c>
      <c r="C237" s="5"/>
      <c r="D237" s="5"/>
      <c r="E237" s="5"/>
      <c r="F237" s="6"/>
      <c r="G237" s="6"/>
      <c r="H237" s="7"/>
      <c r="I237" s="8"/>
      <c r="K237" s="9" t="str">
        <f>IFERROR(INDEX($AL$11:$AL$4010,MATCH(227,$AX$11:$AX$4010,0)),"")</f>
        <v/>
      </c>
      <c r="L237" s="10" t="str">
        <f t="shared" si="46"/>
        <v/>
      </c>
      <c r="M237" s="11" t="str">
        <f t="shared" si="47"/>
        <v/>
      </c>
      <c r="N237" s="11" t="str">
        <f t="shared" si="48"/>
        <v/>
      </c>
      <c r="W237" s="14" t="str">
        <f>IF(X237="","",IFERROR(INDEX($AL$11:$AL$4010,MATCH(227,$AY$11:$AY$4010,0)),""))</f>
        <v/>
      </c>
      <c r="X237" s="12" t="str">
        <f>IFERROR(INDEX($AM$11:$AM$4010,MATCH(227,$AY$11:$AY$4010,0)),"")</f>
        <v/>
      </c>
      <c r="Y237" s="11" t="str">
        <f>IF(X237="","",IFERROR(INDEX($AN$11:$AN$4010,MATCH(227,$AY$11:$AY$4010,0)),""))</f>
        <v/>
      </c>
      <c r="Z237" s="11" t="str">
        <f>IF(X237="","",IFERROR(INDEX($AO$11:$AO$4010,MATCH(227,$AY$11:$AY$4010,0)),""))</f>
        <v/>
      </c>
      <c r="AA237" s="10" t="str">
        <f>IF(X237="","",IFERROR(INDEX($AQ$11:$AQ$4010,MATCH(227,$AY$11:$AY$4010,0)),""))</f>
        <v/>
      </c>
      <c r="AB237" s="15" t="str">
        <f>IF(X237="","",IFERROR(INDEX($AR$11:$AR$4010,MATCH(227,$AY$11:$AY$4010,0)),""))</f>
        <v/>
      </c>
      <c r="AD237" s="16" t="str">
        <f>IF(AE237="","",IFERROR(INDEX($AL$11:$AL$4010,MATCH(227,$AZ$11:$AZ$4010,0)),""))</f>
        <v/>
      </c>
      <c r="AE237" s="12" t="str">
        <f>IFERROR(INDEX($AM$11:$AM$4010,MATCH(227,$AZ$11:$AZ$4010,0)),"")</f>
        <v/>
      </c>
      <c r="AF237" s="11" t="str">
        <f>IF(AE237="","",IFERROR(INDEX($AN$11:$AN$4010,MATCH(227,$AZ$11:$AZ$4010,0)),""))</f>
        <v/>
      </c>
      <c r="AG237" s="11" t="str">
        <f>IF(AE237="","",IFERROR(INDEX($AO$11:$AO$4010,MATCH(227,$AZ$11:$AZ$4010,0)),""))</f>
        <v/>
      </c>
      <c r="AH237" s="10" t="str">
        <f>IF(AE237="","",IFERROR(INDEX($AQ$11:$AQ$4010,MATCH(227,$AZ$11:$AZ$4010,0)),""))</f>
        <v/>
      </c>
      <c r="AI237" s="15" t="str">
        <f>IF(AE237="","",IFERROR(INDEX($AR$11:$AR$4010,MATCH(227,$AZ$11:$AZ$4010,0)),""))</f>
        <v/>
      </c>
      <c r="AJ237" s="15" t="str">
        <f>IF(AE237="","",IFERROR(INDEX($AT$11:$AT$4010,MATCH(227,$AZ$11:$AZ$4010,0)),""))</f>
        <v/>
      </c>
      <c r="AL237" s="17" t="str">
        <f t="shared" si="50"/>
        <v/>
      </c>
      <c r="AM237" s="12" t="str">
        <f t="shared" si="51"/>
        <v/>
      </c>
      <c r="AN237" s="18" t="str">
        <f t="shared" si="52"/>
        <v/>
      </c>
      <c r="AO237" s="18" t="str">
        <f t="shared" si="53"/>
        <v/>
      </c>
      <c r="AP237" s="10" t="str">
        <f t="shared" si="54"/>
        <v/>
      </c>
      <c r="AQ237" s="10" t="str">
        <f t="shared" si="55"/>
        <v/>
      </c>
      <c r="AR237" s="19" t="str">
        <f t="shared" si="56"/>
        <v/>
      </c>
      <c r="AS237" s="20"/>
      <c r="AT237" s="19"/>
      <c r="AV237" s="21">
        <f>IF(AND($AL237&lt;&gt;"",COUNTIF($AL$11:$AL237,$AL237)=1),1,0)</f>
        <v>0</v>
      </c>
      <c r="AW237" s="21">
        <f t="shared" si="58"/>
        <v>0</v>
      </c>
      <c r="AX237" s="21" t="str">
        <f t="shared" si="57"/>
        <v/>
      </c>
      <c r="AY237" s="21" t="str">
        <f>IF(AND($AM237&lt;&gt;"",$AS237&lt;&gt;"✓"),SUMPRODUCT(($AM$11:$AM237&lt;&gt;"")*($AS$11:$AS237&lt;&gt;"✓")),"")</f>
        <v/>
      </c>
      <c r="AZ237" s="21" t="str">
        <f>IF(AND($AM237&lt;&gt;"",$AS237="✓"),SUMPRODUCT(($AM$11:$AM237&lt;&gt;"")*($AS$11:$AS237="✓")),"")</f>
        <v/>
      </c>
      <c r="BA237" s="21" t="str">
        <f>IF($AL237="","",$AL237&amp;"|"&amp;COUNTIF($AL$11:$AL237,$AL237))</f>
        <v/>
      </c>
    </row>
    <row r="238" spans="2:53" ht="15" customHeight="1" x14ac:dyDescent="0.25">
      <c r="B238" s="5" t="str">
        <f t="shared" si="45"/>
        <v/>
      </c>
      <c r="C238" s="5"/>
      <c r="D238" s="5"/>
      <c r="E238" s="5"/>
      <c r="F238" s="6"/>
      <c r="G238" s="6"/>
      <c r="H238" s="7"/>
      <c r="I238" s="8"/>
      <c r="K238" s="23" t="str">
        <f>IFERROR(INDEX($AL$11:$AL$4010,MATCH(228,$AX$11:$AX$4010,0)),"")</f>
        <v/>
      </c>
      <c r="L238" s="24" t="str">
        <f t="shared" si="46"/>
        <v/>
      </c>
      <c r="M238" s="25" t="str">
        <f t="shared" si="47"/>
        <v/>
      </c>
      <c r="N238" s="25" t="str">
        <f t="shared" si="48"/>
        <v/>
      </c>
      <c r="W238" s="28" t="str">
        <f>IF(X238="","",IFERROR(INDEX($AL$11:$AL$4010,MATCH(228,$AY$11:$AY$4010,0)),""))</f>
        <v/>
      </c>
      <c r="X238" s="26" t="str">
        <f>IFERROR(INDEX($AM$11:$AM$4010,MATCH(228,$AY$11:$AY$4010,0)),"")</f>
        <v/>
      </c>
      <c r="Y238" s="25" t="str">
        <f>IF(X238="","",IFERROR(INDEX($AN$11:$AN$4010,MATCH(228,$AY$11:$AY$4010,0)),""))</f>
        <v/>
      </c>
      <c r="Z238" s="25" t="str">
        <f>IF(X238="","",IFERROR(INDEX($AO$11:$AO$4010,MATCH(228,$AY$11:$AY$4010,0)),""))</f>
        <v/>
      </c>
      <c r="AA238" s="24" t="str">
        <f>IF(X238="","",IFERROR(INDEX($AQ$11:$AQ$4010,MATCH(228,$AY$11:$AY$4010,0)),""))</f>
        <v/>
      </c>
      <c r="AB238" s="29" t="str">
        <f>IF(X238="","",IFERROR(INDEX($AR$11:$AR$4010,MATCH(228,$AY$11:$AY$4010,0)),""))</f>
        <v/>
      </c>
      <c r="AD238" s="30" t="str">
        <f>IF(AE238="","",IFERROR(INDEX($AL$11:$AL$4010,MATCH(228,$AZ$11:$AZ$4010,0)),""))</f>
        <v/>
      </c>
      <c r="AE238" s="26" t="str">
        <f>IFERROR(INDEX($AM$11:$AM$4010,MATCH(228,$AZ$11:$AZ$4010,0)),"")</f>
        <v/>
      </c>
      <c r="AF238" s="25" t="str">
        <f>IF(AE238="","",IFERROR(INDEX($AN$11:$AN$4010,MATCH(228,$AZ$11:$AZ$4010,0)),""))</f>
        <v/>
      </c>
      <c r="AG238" s="25" t="str">
        <f>IF(AE238="","",IFERROR(INDEX($AO$11:$AO$4010,MATCH(228,$AZ$11:$AZ$4010,0)),""))</f>
        <v/>
      </c>
      <c r="AH238" s="24" t="str">
        <f>IF(AE238="","",IFERROR(INDEX($AQ$11:$AQ$4010,MATCH(228,$AZ$11:$AZ$4010,0)),""))</f>
        <v/>
      </c>
      <c r="AI238" s="29" t="str">
        <f>IF(AE238="","",IFERROR(INDEX($AR$11:$AR$4010,MATCH(228,$AZ$11:$AZ$4010,0)),""))</f>
        <v/>
      </c>
      <c r="AJ238" s="29" t="str">
        <f>IF(AE238="","",IFERROR(INDEX($AT$11:$AT$4010,MATCH(228,$AZ$11:$AZ$4010,0)),""))</f>
        <v/>
      </c>
      <c r="AL238" s="31" t="str">
        <f t="shared" si="50"/>
        <v/>
      </c>
      <c r="AM238" s="26" t="str">
        <f t="shared" si="51"/>
        <v/>
      </c>
      <c r="AN238" s="32" t="str">
        <f t="shared" si="52"/>
        <v/>
      </c>
      <c r="AO238" s="32" t="str">
        <f t="shared" si="53"/>
        <v/>
      </c>
      <c r="AP238" s="24" t="str">
        <f t="shared" si="54"/>
        <v/>
      </c>
      <c r="AQ238" s="24" t="str">
        <f t="shared" si="55"/>
        <v/>
      </c>
      <c r="AR238" s="33" t="str">
        <f t="shared" si="56"/>
        <v/>
      </c>
      <c r="AS238" s="34"/>
      <c r="AT238" s="33"/>
      <c r="AV238" s="21">
        <f>IF(AND($AL238&lt;&gt;"",COUNTIF($AL$11:$AL238,$AL238)=1),1,0)</f>
        <v>0</v>
      </c>
      <c r="AW238" s="21">
        <f t="shared" si="58"/>
        <v>0</v>
      </c>
      <c r="AX238" s="21" t="str">
        <f t="shared" si="57"/>
        <v/>
      </c>
      <c r="AY238" s="21" t="str">
        <f>IF(AND($AM238&lt;&gt;"",$AS238&lt;&gt;"✓"),SUMPRODUCT(($AM$11:$AM238&lt;&gt;"")*($AS$11:$AS238&lt;&gt;"✓")),"")</f>
        <v/>
      </c>
      <c r="AZ238" s="21" t="str">
        <f>IF(AND($AM238&lt;&gt;"",$AS238="✓"),SUMPRODUCT(($AM$11:$AM238&lt;&gt;"")*($AS$11:$AS238="✓")),"")</f>
        <v/>
      </c>
      <c r="BA238" s="21" t="str">
        <f>IF($AL238="","",$AL238&amp;"|"&amp;COUNTIF($AL$11:$AL238,$AL238))</f>
        <v/>
      </c>
    </row>
    <row r="239" spans="2:53" ht="15" customHeight="1" x14ac:dyDescent="0.25">
      <c r="B239" s="5" t="str">
        <f t="shared" si="45"/>
        <v/>
      </c>
      <c r="C239" s="5"/>
      <c r="D239" s="5"/>
      <c r="E239" s="5"/>
      <c r="F239" s="6"/>
      <c r="G239" s="6"/>
      <c r="H239" s="7"/>
      <c r="I239" s="8"/>
      <c r="K239" s="9" t="str">
        <f>IFERROR(INDEX($AL$11:$AL$4010,MATCH(229,$AX$11:$AX$4010,0)),"")</f>
        <v/>
      </c>
      <c r="L239" s="10" t="str">
        <f t="shared" si="46"/>
        <v/>
      </c>
      <c r="M239" s="11" t="str">
        <f t="shared" si="47"/>
        <v/>
      </c>
      <c r="N239" s="11" t="str">
        <f t="shared" si="48"/>
        <v/>
      </c>
      <c r="W239" s="14" t="str">
        <f>IF(X239="","",IFERROR(INDEX($AL$11:$AL$4010,MATCH(229,$AY$11:$AY$4010,0)),""))</f>
        <v/>
      </c>
      <c r="X239" s="12" t="str">
        <f>IFERROR(INDEX($AM$11:$AM$4010,MATCH(229,$AY$11:$AY$4010,0)),"")</f>
        <v/>
      </c>
      <c r="Y239" s="11" t="str">
        <f>IF(X239="","",IFERROR(INDEX($AN$11:$AN$4010,MATCH(229,$AY$11:$AY$4010,0)),""))</f>
        <v/>
      </c>
      <c r="Z239" s="11" t="str">
        <f>IF(X239="","",IFERROR(INDEX($AO$11:$AO$4010,MATCH(229,$AY$11:$AY$4010,0)),""))</f>
        <v/>
      </c>
      <c r="AA239" s="10" t="str">
        <f>IF(X239="","",IFERROR(INDEX($AQ$11:$AQ$4010,MATCH(229,$AY$11:$AY$4010,0)),""))</f>
        <v/>
      </c>
      <c r="AB239" s="15" t="str">
        <f>IF(X239="","",IFERROR(INDEX($AR$11:$AR$4010,MATCH(229,$AY$11:$AY$4010,0)),""))</f>
        <v/>
      </c>
      <c r="AD239" s="16" t="str">
        <f>IF(AE239="","",IFERROR(INDEX($AL$11:$AL$4010,MATCH(229,$AZ$11:$AZ$4010,0)),""))</f>
        <v/>
      </c>
      <c r="AE239" s="12" t="str">
        <f>IFERROR(INDEX($AM$11:$AM$4010,MATCH(229,$AZ$11:$AZ$4010,0)),"")</f>
        <v/>
      </c>
      <c r="AF239" s="11" t="str">
        <f>IF(AE239="","",IFERROR(INDEX($AN$11:$AN$4010,MATCH(229,$AZ$11:$AZ$4010,0)),""))</f>
        <v/>
      </c>
      <c r="AG239" s="11" t="str">
        <f>IF(AE239="","",IFERROR(INDEX($AO$11:$AO$4010,MATCH(229,$AZ$11:$AZ$4010,0)),""))</f>
        <v/>
      </c>
      <c r="AH239" s="10" t="str">
        <f>IF(AE239="","",IFERROR(INDEX($AQ$11:$AQ$4010,MATCH(229,$AZ$11:$AZ$4010,0)),""))</f>
        <v/>
      </c>
      <c r="AI239" s="15" t="str">
        <f>IF(AE239="","",IFERROR(INDEX($AR$11:$AR$4010,MATCH(229,$AZ$11:$AZ$4010,0)),""))</f>
        <v/>
      </c>
      <c r="AJ239" s="15" t="str">
        <f>IF(AE239="","",IFERROR(INDEX($AT$11:$AT$4010,MATCH(229,$AZ$11:$AZ$4010,0)),""))</f>
        <v/>
      </c>
      <c r="AL239" s="17" t="str">
        <f t="shared" si="50"/>
        <v/>
      </c>
      <c r="AM239" s="12" t="str">
        <f t="shared" si="51"/>
        <v/>
      </c>
      <c r="AN239" s="18" t="str">
        <f t="shared" si="52"/>
        <v/>
      </c>
      <c r="AO239" s="18" t="str">
        <f t="shared" si="53"/>
        <v/>
      </c>
      <c r="AP239" s="10" t="str">
        <f t="shared" si="54"/>
        <v/>
      </c>
      <c r="AQ239" s="10" t="str">
        <f t="shared" si="55"/>
        <v/>
      </c>
      <c r="AR239" s="19" t="str">
        <f t="shared" si="56"/>
        <v/>
      </c>
      <c r="AS239" s="20"/>
      <c r="AT239" s="19"/>
      <c r="AV239" s="21">
        <f>IF(AND($AL239&lt;&gt;"",COUNTIF($AL$11:$AL239,$AL239)=1),1,0)</f>
        <v>0</v>
      </c>
      <c r="AW239" s="21">
        <f t="shared" si="58"/>
        <v>0</v>
      </c>
      <c r="AX239" s="21" t="str">
        <f t="shared" si="57"/>
        <v/>
      </c>
      <c r="AY239" s="21" t="str">
        <f>IF(AND($AM239&lt;&gt;"",$AS239&lt;&gt;"✓"),SUMPRODUCT(($AM$11:$AM239&lt;&gt;"")*($AS$11:$AS239&lt;&gt;"✓")),"")</f>
        <v/>
      </c>
      <c r="AZ239" s="21" t="str">
        <f>IF(AND($AM239&lt;&gt;"",$AS239="✓"),SUMPRODUCT(($AM$11:$AM239&lt;&gt;"")*($AS$11:$AS239="✓")),"")</f>
        <v/>
      </c>
      <c r="BA239" s="21" t="str">
        <f>IF($AL239="","",$AL239&amp;"|"&amp;COUNTIF($AL$11:$AL239,$AL239))</f>
        <v/>
      </c>
    </row>
    <row r="240" spans="2:53" ht="15" customHeight="1" x14ac:dyDescent="0.25">
      <c r="B240" s="5" t="str">
        <f t="shared" si="45"/>
        <v/>
      </c>
      <c r="C240" s="5"/>
      <c r="D240" s="5"/>
      <c r="E240" s="5"/>
      <c r="F240" s="6"/>
      <c r="G240" s="6"/>
      <c r="H240" s="7"/>
      <c r="I240" s="8"/>
      <c r="K240" s="23" t="str">
        <f>IFERROR(INDEX($AL$11:$AL$4010,MATCH(230,$AX$11:$AX$4010,0)),"")</f>
        <v/>
      </c>
      <c r="L240" s="24" t="str">
        <f t="shared" si="46"/>
        <v/>
      </c>
      <c r="M240" s="25" t="str">
        <f t="shared" si="47"/>
        <v/>
      </c>
      <c r="N240" s="25" t="str">
        <f t="shared" si="48"/>
        <v/>
      </c>
      <c r="W240" s="28" t="str">
        <f>IF(X240="","",IFERROR(INDEX($AL$11:$AL$4010,MATCH(230,$AY$11:$AY$4010,0)),""))</f>
        <v/>
      </c>
      <c r="X240" s="26" t="str">
        <f>IFERROR(INDEX($AM$11:$AM$4010,MATCH(230,$AY$11:$AY$4010,0)),"")</f>
        <v/>
      </c>
      <c r="Y240" s="25" t="str">
        <f>IF(X240="","",IFERROR(INDEX($AN$11:$AN$4010,MATCH(230,$AY$11:$AY$4010,0)),""))</f>
        <v/>
      </c>
      <c r="Z240" s="25" t="str">
        <f>IF(X240="","",IFERROR(INDEX($AO$11:$AO$4010,MATCH(230,$AY$11:$AY$4010,0)),""))</f>
        <v/>
      </c>
      <c r="AA240" s="24" t="str">
        <f>IF(X240="","",IFERROR(INDEX($AQ$11:$AQ$4010,MATCH(230,$AY$11:$AY$4010,0)),""))</f>
        <v/>
      </c>
      <c r="AB240" s="29" t="str">
        <f>IF(X240="","",IFERROR(INDEX($AR$11:$AR$4010,MATCH(230,$AY$11:$AY$4010,0)),""))</f>
        <v/>
      </c>
      <c r="AD240" s="30" t="str">
        <f>IF(AE240="","",IFERROR(INDEX($AL$11:$AL$4010,MATCH(230,$AZ$11:$AZ$4010,0)),""))</f>
        <v/>
      </c>
      <c r="AE240" s="26" t="str">
        <f>IFERROR(INDEX($AM$11:$AM$4010,MATCH(230,$AZ$11:$AZ$4010,0)),"")</f>
        <v/>
      </c>
      <c r="AF240" s="25" t="str">
        <f>IF(AE240="","",IFERROR(INDEX($AN$11:$AN$4010,MATCH(230,$AZ$11:$AZ$4010,0)),""))</f>
        <v/>
      </c>
      <c r="AG240" s="25" t="str">
        <f>IF(AE240="","",IFERROR(INDEX($AO$11:$AO$4010,MATCH(230,$AZ$11:$AZ$4010,0)),""))</f>
        <v/>
      </c>
      <c r="AH240" s="24" t="str">
        <f>IF(AE240="","",IFERROR(INDEX($AQ$11:$AQ$4010,MATCH(230,$AZ$11:$AZ$4010,0)),""))</f>
        <v/>
      </c>
      <c r="AI240" s="29" t="str">
        <f>IF(AE240="","",IFERROR(INDEX($AR$11:$AR$4010,MATCH(230,$AZ$11:$AZ$4010,0)),""))</f>
        <v/>
      </c>
      <c r="AJ240" s="29" t="str">
        <f>IF(AE240="","",IFERROR(INDEX($AT$11:$AT$4010,MATCH(230,$AZ$11:$AZ$4010,0)),""))</f>
        <v/>
      </c>
      <c r="AL240" s="31" t="str">
        <f t="shared" si="50"/>
        <v/>
      </c>
      <c r="AM240" s="26" t="str">
        <f t="shared" si="51"/>
        <v/>
      </c>
      <c r="AN240" s="32" t="str">
        <f t="shared" si="52"/>
        <v/>
      </c>
      <c r="AO240" s="32" t="str">
        <f t="shared" si="53"/>
        <v/>
      </c>
      <c r="AP240" s="24" t="str">
        <f t="shared" si="54"/>
        <v/>
      </c>
      <c r="AQ240" s="24" t="str">
        <f t="shared" si="55"/>
        <v/>
      </c>
      <c r="AR240" s="33" t="str">
        <f t="shared" si="56"/>
        <v/>
      </c>
      <c r="AS240" s="34"/>
      <c r="AT240" s="33"/>
      <c r="AV240" s="21">
        <f>IF(AND($AL240&lt;&gt;"",COUNTIF($AL$11:$AL240,$AL240)=1),1,0)</f>
        <v>0</v>
      </c>
      <c r="AW240" s="21">
        <f t="shared" si="58"/>
        <v>0</v>
      </c>
      <c r="AX240" s="21" t="str">
        <f t="shared" si="57"/>
        <v/>
      </c>
      <c r="AY240" s="21" t="str">
        <f>IF(AND($AM240&lt;&gt;"",$AS240&lt;&gt;"✓"),SUMPRODUCT(($AM$11:$AM240&lt;&gt;"")*($AS$11:$AS240&lt;&gt;"✓")),"")</f>
        <v/>
      </c>
      <c r="AZ240" s="21" t="str">
        <f>IF(AND($AM240&lt;&gt;"",$AS240="✓"),SUMPRODUCT(($AM$11:$AM240&lt;&gt;"")*($AS$11:$AS240="✓")),"")</f>
        <v/>
      </c>
      <c r="BA240" s="21" t="str">
        <f>IF($AL240="","",$AL240&amp;"|"&amp;COUNTIF($AL$11:$AL240,$AL240))</f>
        <v/>
      </c>
    </row>
    <row r="241" spans="2:53" ht="15" customHeight="1" x14ac:dyDescent="0.25">
      <c r="B241" s="5" t="str">
        <f t="shared" si="45"/>
        <v/>
      </c>
      <c r="C241" s="5"/>
      <c r="D241" s="5"/>
      <c r="E241" s="5"/>
      <c r="F241" s="6"/>
      <c r="G241" s="6"/>
      <c r="H241" s="7"/>
      <c r="I241" s="8"/>
      <c r="K241" s="9" t="str">
        <f>IFERROR(INDEX($AL$11:$AL$4010,MATCH(231,$AX$11:$AX$4010,0)),"")</f>
        <v/>
      </c>
      <c r="L241" s="10" t="str">
        <f t="shared" si="46"/>
        <v/>
      </c>
      <c r="M241" s="11" t="str">
        <f t="shared" si="47"/>
        <v/>
      </c>
      <c r="N241" s="11" t="str">
        <f t="shared" si="48"/>
        <v/>
      </c>
      <c r="W241" s="14" t="str">
        <f>IF(X241="","",IFERROR(INDEX($AL$11:$AL$4010,MATCH(231,$AY$11:$AY$4010,0)),""))</f>
        <v/>
      </c>
      <c r="X241" s="12" t="str">
        <f>IFERROR(INDEX($AM$11:$AM$4010,MATCH(231,$AY$11:$AY$4010,0)),"")</f>
        <v/>
      </c>
      <c r="Y241" s="11" t="str">
        <f>IF(X241="","",IFERROR(INDEX($AN$11:$AN$4010,MATCH(231,$AY$11:$AY$4010,0)),""))</f>
        <v/>
      </c>
      <c r="Z241" s="11" t="str">
        <f>IF(X241="","",IFERROR(INDEX($AO$11:$AO$4010,MATCH(231,$AY$11:$AY$4010,0)),""))</f>
        <v/>
      </c>
      <c r="AA241" s="10" t="str">
        <f>IF(X241="","",IFERROR(INDEX($AQ$11:$AQ$4010,MATCH(231,$AY$11:$AY$4010,0)),""))</f>
        <v/>
      </c>
      <c r="AB241" s="15" t="str">
        <f>IF(X241="","",IFERROR(INDEX($AR$11:$AR$4010,MATCH(231,$AY$11:$AY$4010,0)),""))</f>
        <v/>
      </c>
      <c r="AD241" s="16" t="str">
        <f>IF(AE241="","",IFERROR(INDEX($AL$11:$AL$4010,MATCH(231,$AZ$11:$AZ$4010,0)),""))</f>
        <v/>
      </c>
      <c r="AE241" s="12" t="str">
        <f>IFERROR(INDEX($AM$11:$AM$4010,MATCH(231,$AZ$11:$AZ$4010,0)),"")</f>
        <v/>
      </c>
      <c r="AF241" s="11" t="str">
        <f>IF(AE241="","",IFERROR(INDEX($AN$11:$AN$4010,MATCH(231,$AZ$11:$AZ$4010,0)),""))</f>
        <v/>
      </c>
      <c r="AG241" s="11" t="str">
        <f>IF(AE241="","",IFERROR(INDEX($AO$11:$AO$4010,MATCH(231,$AZ$11:$AZ$4010,0)),""))</f>
        <v/>
      </c>
      <c r="AH241" s="10" t="str">
        <f>IF(AE241="","",IFERROR(INDEX($AQ$11:$AQ$4010,MATCH(231,$AZ$11:$AZ$4010,0)),""))</f>
        <v/>
      </c>
      <c r="AI241" s="15" t="str">
        <f>IF(AE241="","",IFERROR(INDEX($AR$11:$AR$4010,MATCH(231,$AZ$11:$AZ$4010,0)),""))</f>
        <v/>
      </c>
      <c r="AJ241" s="15" t="str">
        <f>IF(AE241="","",IFERROR(INDEX($AT$11:$AT$4010,MATCH(231,$AZ$11:$AZ$4010,0)),""))</f>
        <v/>
      </c>
      <c r="AL241" s="17" t="str">
        <f t="shared" si="50"/>
        <v/>
      </c>
      <c r="AM241" s="12" t="str">
        <f t="shared" si="51"/>
        <v/>
      </c>
      <c r="AN241" s="18" t="str">
        <f t="shared" si="52"/>
        <v/>
      </c>
      <c r="AO241" s="18" t="str">
        <f t="shared" si="53"/>
        <v/>
      </c>
      <c r="AP241" s="10" t="str">
        <f t="shared" si="54"/>
        <v/>
      </c>
      <c r="AQ241" s="10" t="str">
        <f t="shared" si="55"/>
        <v/>
      </c>
      <c r="AR241" s="19" t="str">
        <f t="shared" si="56"/>
        <v/>
      </c>
      <c r="AS241" s="20"/>
      <c r="AT241" s="19"/>
      <c r="AV241" s="21">
        <f>IF(AND($AL241&lt;&gt;"",COUNTIF($AL$11:$AL241,$AL241)=1),1,0)</f>
        <v>0</v>
      </c>
      <c r="AW241" s="21">
        <f t="shared" si="58"/>
        <v>0</v>
      </c>
      <c r="AX241" s="21" t="str">
        <f t="shared" si="57"/>
        <v/>
      </c>
      <c r="AY241" s="21" t="str">
        <f>IF(AND($AM241&lt;&gt;"",$AS241&lt;&gt;"✓"),SUMPRODUCT(($AM$11:$AM241&lt;&gt;"")*($AS$11:$AS241&lt;&gt;"✓")),"")</f>
        <v/>
      </c>
      <c r="AZ241" s="21" t="str">
        <f>IF(AND($AM241&lt;&gt;"",$AS241="✓"),SUMPRODUCT(($AM$11:$AM241&lt;&gt;"")*($AS$11:$AS241="✓")),"")</f>
        <v/>
      </c>
      <c r="BA241" s="21" t="str">
        <f>IF($AL241="","",$AL241&amp;"|"&amp;COUNTIF($AL$11:$AL241,$AL241))</f>
        <v/>
      </c>
    </row>
    <row r="242" spans="2:53" ht="15" customHeight="1" x14ac:dyDescent="0.25">
      <c r="B242" s="5" t="str">
        <f t="shared" si="45"/>
        <v/>
      </c>
      <c r="C242" s="5"/>
      <c r="D242" s="5"/>
      <c r="E242" s="5"/>
      <c r="F242" s="6"/>
      <c r="G242" s="6"/>
      <c r="H242" s="7"/>
      <c r="I242" s="8"/>
      <c r="K242" s="23" t="str">
        <f>IFERROR(INDEX($AL$11:$AL$4010,MATCH(232,$AX$11:$AX$4010,0)),"")</f>
        <v/>
      </c>
      <c r="L242" s="24" t="str">
        <f t="shared" si="46"/>
        <v/>
      </c>
      <c r="M242" s="25" t="str">
        <f t="shared" si="47"/>
        <v/>
      </c>
      <c r="N242" s="25" t="str">
        <f t="shared" si="48"/>
        <v/>
      </c>
      <c r="W242" s="28" t="str">
        <f>IF(X242="","",IFERROR(INDEX($AL$11:$AL$4010,MATCH(232,$AY$11:$AY$4010,0)),""))</f>
        <v/>
      </c>
      <c r="X242" s="26" t="str">
        <f>IFERROR(INDEX($AM$11:$AM$4010,MATCH(232,$AY$11:$AY$4010,0)),"")</f>
        <v/>
      </c>
      <c r="Y242" s="25" t="str">
        <f>IF(X242="","",IFERROR(INDEX($AN$11:$AN$4010,MATCH(232,$AY$11:$AY$4010,0)),""))</f>
        <v/>
      </c>
      <c r="Z242" s="25" t="str">
        <f>IF(X242="","",IFERROR(INDEX($AO$11:$AO$4010,MATCH(232,$AY$11:$AY$4010,0)),""))</f>
        <v/>
      </c>
      <c r="AA242" s="24" t="str">
        <f>IF(X242="","",IFERROR(INDEX($AQ$11:$AQ$4010,MATCH(232,$AY$11:$AY$4010,0)),""))</f>
        <v/>
      </c>
      <c r="AB242" s="29" t="str">
        <f>IF(X242="","",IFERROR(INDEX($AR$11:$AR$4010,MATCH(232,$AY$11:$AY$4010,0)),""))</f>
        <v/>
      </c>
      <c r="AD242" s="30" t="str">
        <f>IF(AE242="","",IFERROR(INDEX($AL$11:$AL$4010,MATCH(232,$AZ$11:$AZ$4010,0)),""))</f>
        <v/>
      </c>
      <c r="AE242" s="26" t="str">
        <f>IFERROR(INDEX($AM$11:$AM$4010,MATCH(232,$AZ$11:$AZ$4010,0)),"")</f>
        <v/>
      </c>
      <c r="AF242" s="25" t="str">
        <f>IF(AE242="","",IFERROR(INDEX($AN$11:$AN$4010,MATCH(232,$AZ$11:$AZ$4010,0)),""))</f>
        <v/>
      </c>
      <c r="AG242" s="25" t="str">
        <f>IF(AE242="","",IFERROR(INDEX($AO$11:$AO$4010,MATCH(232,$AZ$11:$AZ$4010,0)),""))</f>
        <v/>
      </c>
      <c r="AH242" s="24" t="str">
        <f>IF(AE242="","",IFERROR(INDEX($AQ$11:$AQ$4010,MATCH(232,$AZ$11:$AZ$4010,0)),""))</f>
        <v/>
      </c>
      <c r="AI242" s="29" t="str">
        <f>IF(AE242="","",IFERROR(INDEX($AR$11:$AR$4010,MATCH(232,$AZ$11:$AZ$4010,0)),""))</f>
        <v/>
      </c>
      <c r="AJ242" s="29" t="str">
        <f>IF(AE242="","",IFERROR(INDEX($AT$11:$AT$4010,MATCH(232,$AZ$11:$AZ$4010,0)),""))</f>
        <v/>
      </c>
      <c r="AL242" s="31" t="str">
        <f t="shared" si="50"/>
        <v/>
      </c>
      <c r="AM242" s="26" t="str">
        <f t="shared" si="51"/>
        <v/>
      </c>
      <c r="AN242" s="32" t="str">
        <f t="shared" si="52"/>
        <v/>
      </c>
      <c r="AO242" s="32" t="str">
        <f t="shared" si="53"/>
        <v/>
      </c>
      <c r="AP242" s="24" t="str">
        <f t="shared" si="54"/>
        <v/>
      </c>
      <c r="AQ242" s="24" t="str">
        <f t="shared" si="55"/>
        <v/>
      </c>
      <c r="AR242" s="33" t="str">
        <f t="shared" si="56"/>
        <v/>
      </c>
      <c r="AS242" s="34"/>
      <c r="AT242" s="33"/>
      <c r="AV242" s="21">
        <f>IF(AND($AL242&lt;&gt;"",COUNTIF($AL$11:$AL242,$AL242)=1),1,0)</f>
        <v>0</v>
      </c>
      <c r="AW242" s="21">
        <f t="shared" si="58"/>
        <v>0</v>
      </c>
      <c r="AX242" s="21" t="str">
        <f t="shared" si="57"/>
        <v/>
      </c>
      <c r="AY242" s="21" t="str">
        <f>IF(AND($AM242&lt;&gt;"",$AS242&lt;&gt;"✓"),SUMPRODUCT(($AM$11:$AM242&lt;&gt;"")*($AS$11:$AS242&lt;&gt;"✓")),"")</f>
        <v/>
      </c>
      <c r="AZ242" s="21" t="str">
        <f>IF(AND($AM242&lt;&gt;"",$AS242="✓"),SUMPRODUCT(($AM$11:$AM242&lt;&gt;"")*($AS$11:$AS242="✓")),"")</f>
        <v/>
      </c>
      <c r="BA242" s="21" t="str">
        <f>IF($AL242="","",$AL242&amp;"|"&amp;COUNTIF($AL$11:$AL242,$AL242))</f>
        <v/>
      </c>
    </row>
    <row r="243" spans="2:53" ht="15" customHeight="1" x14ac:dyDescent="0.25">
      <c r="B243" s="5" t="str">
        <f t="shared" si="45"/>
        <v/>
      </c>
      <c r="C243" s="5"/>
      <c r="D243" s="5"/>
      <c r="E243" s="5"/>
      <c r="F243" s="6"/>
      <c r="G243" s="6"/>
      <c r="H243" s="7"/>
      <c r="I243" s="8"/>
      <c r="K243" s="9" t="str">
        <f>IFERROR(INDEX($AL$11:$AL$4010,MATCH(233,$AX$11:$AX$4010,0)),"")</f>
        <v/>
      </c>
      <c r="L243" s="10" t="str">
        <f t="shared" si="46"/>
        <v/>
      </c>
      <c r="M243" s="11" t="str">
        <f t="shared" si="47"/>
        <v/>
      </c>
      <c r="N243" s="11" t="str">
        <f t="shared" si="48"/>
        <v/>
      </c>
      <c r="W243" s="14" t="str">
        <f>IF(X243="","",IFERROR(INDEX($AL$11:$AL$4010,MATCH(233,$AY$11:$AY$4010,0)),""))</f>
        <v/>
      </c>
      <c r="X243" s="12" t="str">
        <f>IFERROR(INDEX($AM$11:$AM$4010,MATCH(233,$AY$11:$AY$4010,0)),"")</f>
        <v/>
      </c>
      <c r="Y243" s="11" t="str">
        <f>IF(X243="","",IFERROR(INDEX($AN$11:$AN$4010,MATCH(233,$AY$11:$AY$4010,0)),""))</f>
        <v/>
      </c>
      <c r="Z243" s="11" t="str">
        <f>IF(X243="","",IFERROR(INDEX($AO$11:$AO$4010,MATCH(233,$AY$11:$AY$4010,0)),""))</f>
        <v/>
      </c>
      <c r="AA243" s="10" t="str">
        <f>IF(X243="","",IFERROR(INDEX($AQ$11:$AQ$4010,MATCH(233,$AY$11:$AY$4010,0)),""))</f>
        <v/>
      </c>
      <c r="AB243" s="15" t="str">
        <f>IF(X243="","",IFERROR(INDEX($AR$11:$AR$4010,MATCH(233,$AY$11:$AY$4010,0)),""))</f>
        <v/>
      </c>
      <c r="AD243" s="16" t="str">
        <f>IF(AE243="","",IFERROR(INDEX($AL$11:$AL$4010,MATCH(233,$AZ$11:$AZ$4010,0)),""))</f>
        <v/>
      </c>
      <c r="AE243" s="12" t="str">
        <f>IFERROR(INDEX($AM$11:$AM$4010,MATCH(233,$AZ$11:$AZ$4010,0)),"")</f>
        <v/>
      </c>
      <c r="AF243" s="11" t="str">
        <f>IF(AE243="","",IFERROR(INDEX($AN$11:$AN$4010,MATCH(233,$AZ$11:$AZ$4010,0)),""))</f>
        <v/>
      </c>
      <c r="AG243" s="11" t="str">
        <f>IF(AE243="","",IFERROR(INDEX($AO$11:$AO$4010,MATCH(233,$AZ$11:$AZ$4010,0)),""))</f>
        <v/>
      </c>
      <c r="AH243" s="10" t="str">
        <f>IF(AE243="","",IFERROR(INDEX($AQ$11:$AQ$4010,MATCH(233,$AZ$11:$AZ$4010,0)),""))</f>
        <v/>
      </c>
      <c r="AI243" s="15" t="str">
        <f>IF(AE243="","",IFERROR(INDEX($AR$11:$AR$4010,MATCH(233,$AZ$11:$AZ$4010,0)),""))</f>
        <v/>
      </c>
      <c r="AJ243" s="15" t="str">
        <f>IF(AE243="","",IFERROR(INDEX($AT$11:$AT$4010,MATCH(233,$AZ$11:$AZ$4010,0)),""))</f>
        <v/>
      </c>
      <c r="AL243" s="17" t="str">
        <f t="shared" si="50"/>
        <v/>
      </c>
      <c r="AM243" s="12" t="str">
        <f t="shared" si="51"/>
        <v/>
      </c>
      <c r="AN243" s="18" t="str">
        <f t="shared" si="52"/>
        <v/>
      </c>
      <c r="AO243" s="18" t="str">
        <f t="shared" si="53"/>
        <v/>
      </c>
      <c r="AP243" s="10" t="str">
        <f t="shared" si="54"/>
        <v/>
      </c>
      <c r="AQ243" s="10" t="str">
        <f t="shared" si="55"/>
        <v/>
      </c>
      <c r="AR243" s="19" t="str">
        <f t="shared" si="56"/>
        <v/>
      </c>
      <c r="AS243" s="20"/>
      <c r="AT243" s="19"/>
      <c r="AV243" s="21">
        <f>IF(AND($AL243&lt;&gt;"",COUNTIF($AL$11:$AL243,$AL243)=1),1,0)</f>
        <v>0</v>
      </c>
      <c r="AW243" s="21">
        <f t="shared" si="58"/>
        <v>0</v>
      </c>
      <c r="AX243" s="21" t="str">
        <f t="shared" si="57"/>
        <v/>
      </c>
      <c r="AY243" s="21" t="str">
        <f>IF(AND($AM243&lt;&gt;"",$AS243&lt;&gt;"✓"),SUMPRODUCT(($AM$11:$AM243&lt;&gt;"")*($AS$11:$AS243&lt;&gt;"✓")),"")</f>
        <v/>
      </c>
      <c r="AZ243" s="21" t="str">
        <f>IF(AND($AM243&lt;&gt;"",$AS243="✓"),SUMPRODUCT(($AM$11:$AM243&lt;&gt;"")*($AS$11:$AS243="✓")),"")</f>
        <v/>
      </c>
      <c r="BA243" s="21" t="str">
        <f>IF($AL243="","",$AL243&amp;"|"&amp;COUNTIF($AL$11:$AL243,$AL243))</f>
        <v/>
      </c>
    </row>
    <row r="244" spans="2:53" ht="15" customHeight="1" x14ac:dyDescent="0.25">
      <c r="B244" s="5" t="str">
        <f t="shared" si="45"/>
        <v/>
      </c>
      <c r="C244" s="5"/>
      <c r="D244" s="5"/>
      <c r="E244" s="5"/>
      <c r="F244" s="6"/>
      <c r="G244" s="6"/>
      <c r="H244" s="7"/>
      <c r="I244" s="8"/>
      <c r="K244" s="23" t="str">
        <f>IFERROR(INDEX($AL$11:$AL$4010,MATCH(234,$AX$11:$AX$4010,0)),"")</f>
        <v/>
      </c>
      <c r="L244" s="24" t="str">
        <f t="shared" si="46"/>
        <v/>
      </c>
      <c r="M244" s="25" t="str">
        <f t="shared" si="47"/>
        <v/>
      </c>
      <c r="N244" s="25" t="str">
        <f t="shared" si="48"/>
        <v/>
      </c>
      <c r="W244" s="28" t="str">
        <f>IF(X244="","",IFERROR(INDEX($AL$11:$AL$4010,MATCH(234,$AY$11:$AY$4010,0)),""))</f>
        <v/>
      </c>
      <c r="X244" s="26" t="str">
        <f>IFERROR(INDEX($AM$11:$AM$4010,MATCH(234,$AY$11:$AY$4010,0)),"")</f>
        <v/>
      </c>
      <c r="Y244" s="25" t="str">
        <f>IF(X244="","",IFERROR(INDEX($AN$11:$AN$4010,MATCH(234,$AY$11:$AY$4010,0)),""))</f>
        <v/>
      </c>
      <c r="Z244" s="25" t="str">
        <f>IF(X244="","",IFERROR(INDEX($AO$11:$AO$4010,MATCH(234,$AY$11:$AY$4010,0)),""))</f>
        <v/>
      </c>
      <c r="AA244" s="24" t="str">
        <f>IF(X244="","",IFERROR(INDEX($AQ$11:$AQ$4010,MATCH(234,$AY$11:$AY$4010,0)),""))</f>
        <v/>
      </c>
      <c r="AB244" s="29" t="str">
        <f>IF(X244="","",IFERROR(INDEX($AR$11:$AR$4010,MATCH(234,$AY$11:$AY$4010,0)),""))</f>
        <v/>
      </c>
      <c r="AD244" s="30" t="str">
        <f>IF(AE244="","",IFERROR(INDEX($AL$11:$AL$4010,MATCH(234,$AZ$11:$AZ$4010,0)),""))</f>
        <v/>
      </c>
      <c r="AE244" s="26" t="str">
        <f>IFERROR(INDEX($AM$11:$AM$4010,MATCH(234,$AZ$11:$AZ$4010,0)),"")</f>
        <v/>
      </c>
      <c r="AF244" s="25" t="str">
        <f>IF(AE244="","",IFERROR(INDEX($AN$11:$AN$4010,MATCH(234,$AZ$11:$AZ$4010,0)),""))</f>
        <v/>
      </c>
      <c r="AG244" s="25" t="str">
        <f>IF(AE244="","",IFERROR(INDEX($AO$11:$AO$4010,MATCH(234,$AZ$11:$AZ$4010,0)),""))</f>
        <v/>
      </c>
      <c r="AH244" s="24" t="str">
        <f>IF(AE244="","",IFERROR(INDEX($AQ$11:$AQ$4010,MATCH(234,$AZ$11:$AZ$4010,0)),""))</f>
        <v/>
      </c>
      <c r="AI244" s="29" t="str">
        <f>IF(AE244="","",IFERROR(INDEX($AR$11:$AR$4010,MATCH(234,$AZ$11:$AZ$4010,0)),""))</f>
        <v/>
      </c>
      <c r="AJ244" s="29" t="str">
        <f>IF(AE244="","",IFERROR(INDEX($AT$11:$AT$4010,MATCH(234,$AZ$11:$AZ$4010,0)),""))</f>
        <v/>
      </c>
      <c r="AL244" s="31" t="str">
        <f t="shared" si="50"/>
        <v/>
      </c>
      <c r="AM244" s="26" t="str">
        <f t="shared" si="51"/>
        <v/>
      </c>
      <c r="AN244" s="32" t="str">
        <f t="shared" si="52"/>
        <v/>
      </c>
      <c r="AO244" s="32" t="str">
        <f t="shared" si="53"/>
        <v/>
      </c>
      <c r="AP244" s="24" t="str">
        <f t="shared" si="54"/>
        <v/>
      </c>
      <c r="AQ244" s="24" t="str">
        <f t="shared" si="55"/>
        <v/>
      </c>
      <c r="AR244" s="33" t="str">
        <f t="shared" si="56"/>
        <v/>
      </c>
      <c r="AS244" s="34"/>
      <c r="AT244" s="33"/>
      <c r="AV244" s="21">
        <f>IF(AND($AL244&lt;&gt;"",COUNTIF($AL$11:$AL244,$AL244)=1),1,0)</f>
        <v>0</v>
      </c>
      <c r="AW244" s="21">
        <f t="shared" si="58"/>
        <v>0</v>
      </c>
      <c r="AX244" s="21" t="str">
        <f t="shared" si="57"/>
        <v/>
      </c>
      <c r="AY244" s="21" t="str">
        <f>IF(AND($AM244&lt;&gt;"",$AS244&lt;&gt;"✓"),SUMPRODUCT(($AM$11:$AM244&lt;&gt;"")*($AS$11:$AS244&lt;&gt;"✓")),"")</f>
        <v/>
      </c>
      <c r="AZ244" s="21" t="str">
        <f>IF(AND($AM244&lt;&gt;"",$AS244="✓"),SUMPRODUCT(($AM$11:$AM244&lt;&gt;"")*($AS$11:$AS244="✓")),"")</f>
        <v/>
      </c>
      <c r="BA244" s="21" t="str">
        <f>IF($AL244="","",$AL244&amp;"|"&amp;COUNTIF($AL$11:$AL244,$AL244))</f>
        <v/>
      </c>
    </row>
    <row r="245" spans="2:53" ht="15" customHeight="1" x14ac:dyDescent="0.25">
      <c r="B245" s="5" t="str">
        <f t="shared" si="45"/>
        <v/>
      </c>
      <c r="C245" s="5"/>
      <c r="D245" s="5"/>
      <c r="E245" s="5"/>
      <c r="F245" s="6"/>
      <c r="G245" s="6"/>
      <c r="H245" s="7"/>
      <c r="I245" s="8"/>
      <c r="K245" s="9" t="str">
        <f>IFERROR(INDEX($AL$11:$AL$4010,MATCH(235,$AX$11:$AX$4010,0)),"")</f>
        <v/>
      </c>
      <c r="L245" s="10" t="str">
        <f t="shared" si="46"/>
        <v/>
      </c>
      <c r="M245" s="11" t="str">
        <f t="shared" si="47"/>
        <v/>
      </c>
      <c r="N245" s="11" t="str">
        <f t="shared" si="48"/>
        <v/>
      </c>
      <c r="W245" s="14" t="str">
        <f>IF(X245="","",IFERROR(INDEX($AL$11:$AL$4010,MATCH(235,$AY$11:$AY$4010,0)),""))</f>
        <v/>
      </c>
      <c r="X245" s="12" t="str">
        <f>IFERROR(INDEX($AM$11:$AM$4010,MATCH(235,$AY$11:$AY$4010,0)),"")</f>
        <v/>
      </c>
      <c r="Y245" s="11" t="str">
        <f>IF(X245="","",IFERROR(INDEX($AN$11:$AN$4010,MATCH(235,$AY$11:$AY$4010,0)),""))</f>
        <v/>
      </c>
      <c r="Z245" s="11" t="str">
        <f>IF(X245="","",IFERROR(INDEX($AO$11:$AO$4010,MATCH(235,$AY$11:$AY$4010,0)),""))</f>
        <v/>
      </c>
      <c r="AA245" s="10" t="str">
        <f>IF(X245="","",IFERROR(INDEX($AQ$11:$AQ$4010,MATCH(235,$AY$11:$AY$4010,0)),""))</f>
        <v/>
      </c>
      <c r="AB245" s="15" t="str">
        <f>IF(X245="","",IFERROR(INDEX($AR$11:$AR$4010,MATCH(235,$AY$11:$AY$4010,0)),""))</f>
        <v/>
      </c>
      <c r="AD245" s="16" t="str">
        <f>IF(AE245="","",IFERROR(INDEX($AL$11:$AL$4010,MATCH(235,$AZ$11:$AZ$4010,0)),""))</f>
        <v/>
      </c>
      <c r="AE245" s="12" t="str">
        <f>IFERROR(INDEX($AM$11:$AM$4010,MATCH(235,$AZ$11:$AZ$4010,0)),"")</f>
        <v/>
      </c>
      <c r="AF245" s="11" t="str">
        <f>IF(AE245="","",IFERROR(INDEX($AN$11:$AN$4010,MATCH(235,$AZ$11:$AZ$4010,0)),""))</f>
        <v/>
      </c>
      <c r="AG245" s="11" t="str">
        <f>IF(AE245="","",IFERROR(INDEX($AO$11:$AO$4010,MATCH(235,$AZ$11:$AZ$4010,0)),""))</f>
        <v/>
      </c>
      <c r="AH245" s="10" t="str">
        <f>IF(AE245="","",IFERROR(INDEX($AQ$11:$AQ$4010,MATCH(235,$AZ$11:$AZ$4010,0)),""))</f>
        <v/>
      </c>
      <c r="AI245" s="15" t="str">
        <f>IF(AE245="","",IFERROR(INDEX($AR$11:$AR$4010,MATCH(235,$AZ$11:$AZ$4010,0)),""))</f>
        <v/>
      </c>
      <c r="AJ245" s="15" t="str">
        <f>IF(AE245="","",IFERROR(INDEX($AT$11:$AT$4010,MATCH(235,$AZ$11:$AZ$4010,0)),""))</f>
        <v/>
      </c>
      <c r="AL245" s="17" t="str">
        <f t="shared" si="50"/>
        <v/>
      </c>
      <c r="AM245" s="12" t="str">
        <f t="shared" si="51"/>
        <v/>
      </c>
      <c r="AN245" s="18" t="str">
        <f t="shared" si="52"/>
        <v/>
      </c>
      <c r="AO245" s="18" t="str">
        <f t="shared" si="53"/>
        <v/>
      </c>
      <c r="AP245" s="10" t="str">
        <f t="shared" si="54"/>
        <v/>
      </c>
      <c r="AQ245" s="10" t="str">
        <f t="shared" si="55"/>
        <v/>
      </c>
      <c r="AR245" s="19" t="str">
        <f t="shared" si="56"/>
        <v/>
      </c>
      <c r="AS245" s="20"/>
      <c r="AT245" s="19"/>
      <c r="AV245" s="21">
        <f>IF(AND($AL245&lt;&gt;"",COUNTIF($AL$11:$AL245,$AL245)=1),1,0)</f>
        <v>0</v>
      </c>
      <c r="AW245" s="21">
        <f t="shared" si="58"/>
        <v>0</v>
      </c>
      <c r="AX245" s="21" t="str">
        <f t="shared" si="57"/>
        <v/>
      </c>
      <c r="AY245" s="21" t="str">
        <f>IF(AND($AM245&lt;&gt;"",$AS245&lt;&gt;"✓"),SUMPRODUCT(($AM$11:$AM245&lt;&gt;"")*($AS$11:$AS245&lt;&gt;"✓")),"")</f>
        <v/>
      </c>
      <c r="AZ245" s="21" t="str">
        <f>IF(AND($AM245&lt;&gt;"",$AS245="✓"),SUMPRODUCT(($AM$11:$AM245&lt;&gt;"")*($AS$11:$AS245="✓")),"")</f>
        <v/>
      </c>
      <c r="BA245" s="21" t="str">
        <f>IF($AL245="","",$AL245&amp;"|"&amp;COUNTIF($AL$11:$AL245,$AL245))</f>
        <v/>
      </c>
    </row>
    <row r="246" spans="2:53" ht="15" customHeight="1" x14ac:dyDescent="0.25">
      <c r="B246" s="5" t="str">
        <f t="shared" si="45"/>
        <v/>
      </c>
      <c r="C246" s="5"/>
      <c r="D246" s="5"/>
      <c r="E246" s="5"/>
      <c r="F246" s="6"/>
      <c r="G246" s="6"/>
      <c r="H246" s="7"/>
      <c r="I246" s="8"/>
      <c r="K246" s="23" t="str">
        <f>IFERROR(INDEX($AL$11:$AL$4010,MATCH(236,$AX$11:$AX$4010,0)),"")</f>
        <v/>
      </c>
      <c r="L246" s="24" t="str">
        <f t="shared" si="46"/>
        <v/>
      </c>
      <c r="M246" s="25" t="str">
        <f t="shared" si="47"/>
        <v/>
      </c>
      <c r="N246" s="25" t="str">
        <f t="shared" si="48"/>
        <v/>
      </c>
      <c r="W246" s="28" t="str">
        <f>IF(X246="","",IFERROR(INDEX($AL$11:$AL$4010,MATCH(236,$AY$11:$AY$4010,0)),""))</f>
        <v/>
      </c>
      <c r="X246" s="26" t="str">
        <f>IFERROR(INDEX($AM$11:$AM$4010,MATCH(236,$AY$11:$AY$4010,0)),"")</f>
        <v/>
      </c>
      <c r="Y246" s="25" t="str">
        <f>IF(X246="","",IFERROR(INDEX($AN$11:$AN$4010,MATCH(236,$AY$11:$AY$4010,0)),""))</f>
        <v/>
      </c>
      <c r="Z246" s="25" t="str">
        <f>IF(X246="","",IFERROR(INDEX($AO$11:$AO$4010,MATCH(236,$AY$11:$AY$4010,0)),""))</f>
        <v/>
      </c>
      <c r="AA246" s="24" t="str">
        <f>IF(X246="","",IFERROR(INDEX($AQ$11:$AQ$4010,MATCH(236,$AY$11:$AY$4010,0)),""))</f>
        <v/>
      </c>
      <c r="AB246" s="29" t="str">
        <f>IF(X246="","",IFERROR(INDEX($AR$11:$AR$4010,MATCH(236,$AY$11:$AY$4010,0)),""))</f>
        <v/>
      </c>
      <c r="AD246" s="30" t="str">
        <f>IF(AE246="","",IFERROR(INDEX($AL$11:$AL$4010,MATCH(236,$AZ$11:$AZ$4010,0)),""))</f>
        <v/>
      </c>
      <c r="AE246" s="26" t="str">
        <f>IFERROR(INDEX($AM$11:$AM$4010,MATCH(236,$AZ$11:$AZ$4010,0)),"")</f>
        <v/>
      </c>
      <c r="AF246" s="25" t="str">
        <f>IF(AE246="","",IFERROR(INDEX($AN$11:$AN$4010,MATCH(236,$AZ$11:$AZ$4010,0)),""))</f>
        <v/>
      </c>
      <c r="AG246" s="25" t="str">
        <f>IF(AE246="","",IFERROR(INDEX($AO$11:$AO$4010,MATCH(236,$AZ$11:$AZ$4010,0)),""))</f>
        <v/>
      </c>
      <c r="AH246" s="24" t="str">
        <f>IF(AE246="","",IFERROR(INDEX($AQ$11:$AQ$4010,MATCH(236,$AZ$11:$AZ$4010,0)),""))</f>
        <v/>
      </c>
      <c r="AI246" s="29" t="str">
        <f>IF(AE246="","",IFERROR(INDEX($AR$11:$AR$4010,MATCH(236,$AZ$11:$AZ$4010,0)),""))</f>
        <v/>
      </c>
      <c r="AJ246" s="29" t="str">
        <f>IF(AE246="","",IFERROR(INDEX($AT$11:$AT$4010,MATCH(236,$AZ$11:$AZ$4010,0)),""))</f>
        <v/>
      </c>
      <c r="AL246" s="31" t="str">
        <f t="shared" si="50"/>
        <v/>
      </c>
      <c r="AM246" s="26" t="str">
        <f t="shared" si="51"/>
        <v/>
      </c>
      <c r="AN246" s="32" t="str">
        <f t="shared" si="52"/>
        <v/>
      </c>
      <c r="AO246" s="32" t="str">
        <f t="shared" si="53"/>
        <v/>
      </c>
      <c r="AP246" s="24" t="str">
        <f t="shared" si="54"/>
        <v/>
      </c>
      <c r="AQ246" s="24" t="str">
        <f t="shared" si="55"/>
        <v/>
      </c>
      <c r="AR246" s="33" t="str">
        <f t="shared" si="56"/>
        <v/>
      </c>
      <c r="AS246" s="34"/>
      <c r="AT246" s="33"/>
      <c r="AV246" s="21">
        <f>IF(AND($AL246&lt;&gt;"",COUNTIF($AL$11:$AL246,$AL246)=1),1,0)</f>
        <v>0</v>
      </c>
      <c r="AW246" s="21">
        <f t="shared" si="58"/>
        <v>0</v>
      </c>
      <c r="AX246" s="21" t="str">
        <f t="shared" si="57"/>
        <v/>
      </c>
      <c r="AY246" s="21" t="str">
        <f>IF(AND($AM246&lt;&gt;"",$AS246&lt;&gt;"✓"),SUMPRODUCT(($AM$11:$AM246&lt;&gt;"")*($AS$11:$AS246&lt;&gt;"✓")),"")</f>
        <v/>
      </c>
      <c r="AZ246" s="21" t="str">
        <f>IF(AND($AM246&lt;&gt;"",$AS246="✓"),SUMPRODUCT(($AM$11:$AM246&lt;&gt;"")*($AS$11:$AS246="✓")),"")</f>
        <v/>
      </c>
      <c r="BA246" s="21" t="str">
        <f>IF($AL246="","",$AL246&amp;"|"&amp;COUNTIF($AL$11:$AL246,$AL246))</f>
        <v/>
      </c>
    </row>
    <row r="247" spans="2:53" ht="15" customHeight="1" x14ac:dyDescent="0.25">
      <c r="B247" s="5" t="str">
        <f t="shared" si="45"/>
        <v/>
      </c>
      <c r="C247" s="5"/>
      <c r="D247" s="5"/>
      <c r="E247" s="5"/>
      <c r="F247" s="6"/>
      <c r="G247" s="6"/>
      <c r="H247" s="7"/>
      <c r="I247" s="8"/>
      <c r="K247" s="9" t="str">
        <f>IFERROR(INDEX($AL$11:$AL$4010,MATCH(237,$AX$11:$AX$4010,0)),"")</f>
        <v/>
      </c>
      <c r="L247" s="10" t="str">
        <f t="shared" si="46"/>
        <v/>
      </c>
      <c r="M247" s="11" t="str">
        <f t="shared" si="47"/>
        <v/>
      </c>
      <c r="N247" s="11" t="str">
        <f t="shared" si="48"/>
        <v/>
      </c>
      <c r="W247" s="14" t="str">
        <f>IF(X247="","",IFERROR(INDEX($AL$11:$AL$4010,MATCH(237,$AY$11:$AY$4010,0)),""))</f>
        <v/>
      </c>
      <c r="X247" s="12" t="str">
        <f>IFERROR(INDEX($AM$11:$AM$4010,MATCH(237,$AY$11:$AY$4010,0)),"")</f>
        <v/>
      </c>
      <c r="Y247" s="11" t="str">
        <f>IF(X247="","",IFERROR(INDEX($AN$11:$AN$4010,MATCH(237,$AY$11:$AY$4010,0)),""))</f>
        <v/>
      </c>
      <c r="Z247" s="11" t="str">
        <f>IF(X247="","",IFERROR(INDEX($AO$11:$AO$4010,MATCH(237,$AY$11:$AY$4010,0)),""))</f>
        <v/>
      </c>
      <c r="AA247" s="10" t="str">
        <f>IF(X247="","",IFERROR(INDEX($AQ$11:$AQ$4010,MATCH(237,$AY$11:$AY$4010,0)),""))</f>
        <v/>
      </c>
      <c r="AB247" s="15" t="str">
        <f>IF(X247="","",IFERROR(INDEX($AR$11:$AR$4010,MATCH(237,$AY$11:$AY$4010,0)),""))</f>
        <v/>
      </c>
      <c r="AD247" s="16" t="str">
        <f>IF(AE247="","",IFERROR(INDEX($AL$11:$AL$4010,MATCH(237,$AZ$11:$AZ$4010,0)),""))</f>
        <v/>
      </c>
      <c r="AE247" s="12" t="str">
        <f>IFERROR(INDEX($AM$11:$AM$4010,MATCH(237,$AZ$11:$AZ$4010,0)),"")</f>
        <v/>
      </c>
      <c r="AF247" s="11" t="str">
        <f>IF(AE247="","",IFERROR(INDEX($AN$11:$AN$4010,MATCH(237,$AZ$11:$AZ$4010,0)),""))</f>
        <v/>
      </c>
      <c r="AG247" s="11" t="str">
        <f>IF(AE247="","",IFERROR(INDEX($AO$11:$AO$4010,MATCH(237,$AZ$11:$AZ$4010,0)),""))</f>
        <v/>
      </c>
      <c r="AH247" s="10" t="str">
        <f>IF(AE247="","",IFERROR(INDEX($AQ$11:$AQ$4010,MATCH(237,$AZ$11:$AZ$4010,0)),""))</f>
        <v/>
      </c>
      <c r="AI247" s="15" t="str">
        <f>IF(AE247="","",IFERROR(INDEX($AR$11:$AR$4010,MATCH(237,$AZ$11:$AZ$4010,0)),""))</f>
        <v/>
      </c>
      <c r="AJ247" s="15" t="str">
        <f>IF(AE247="","",IFERROR(INDEX($AT$11:$AT$4010,MATCH(237,$AZ$11:$AZ$4010,0)),""))</f>
        <v/>
      </c>
      <c r="AL247" s="17" t="str">
        <f t="shared" si="50"/>
        <v/>
      </c>
      <c r="AM247" s="12" t="str">
        <f t="shared" si="51"/>
        <v/>
      </c>
      <c r="AN247" s="18" t="str">
        <f t="shared" si="52"/>
        <v/>
      </c>
      <c r="AO247" s="18" t="str">
        <f t="shared" si="53"/>
        <v/>
      </c>
      <c r="AP247" s="10" t="str">
        <f t="shared" si="54"/>
        <v/>
      </c>
      <c r="AQ247" s="10" t="str">
        <f t="shared" si="55"/>
        <v/>
      </c>
      <c r="AR247" s="19" t="str">
        <f t="shared" si="56"/>
        <v/>
      </c>
      <c r="AS247" s="20"/>
      <c r="AT247" s="19"/>
      <c r="AV247" s="21">
        <f>IF(AND($AL247&lt;&gt;"",COUNTIF($AL$11:$AL247,$AL247)=1),1,0)</f>
        <v>0</v>
      </c>
      <c r="AW247" s="21">
        <f t="shared" si="58"/>
        <v>0</v>
      </c>
      <c r="AX247" s="21" t="str">
        <f t="shared" si="57"/>
        <v/>
      </c>
      <c r="AY247" s="21" t="str">
        <f>IF(AND($AM247&lt;&gt;"",$AS247&lt;&gt;"✓"),SUMPRODUCT(($AM$11:$AM247&lt;&gt;"")*($AS$11:$AS247&lt;&gt;"✓")),"")</f>
        <v/>
      </c>
      <c r="AZ247" s="21" t="str">
        <f>IF(AND($AM247&lt;&gt;"",$AS247="✓"),SUMPRODUCT(($AM$11:$AM247&lt;&gt;"")*($AS$11:$AS247="✓")),"")</f>
        <v/>
      </c>
      <c r="BA247" s="21" t="str">
        <f>IF($AL247="","",$AL247&amp;"|"&amp;COUNTIF($AL$11:$AL247,$AL247))</f>
        <v/>
      </c>
    </row>
    <row r="248" spans="2:53" ht="15" customHeight="1" x14ac:dyDescent="0.25">
      <c r="B248" s="5" t="str">
        <f t="shared" si="45"/>
        <v/>
      </c>
      <c r="C248" s="5"/>
      <c r="D248" s="5"/>
      <c r="E248" s="5"/>
      <c r="F248" s="6"/>
      <c r="G248" s="6"/>
      <c r="H248" s="7"/>
      <c r="I248" s="8"/>
      <c r="K248" s="23" t="str">
        <f>IFERROR(INDEX($AL$11:$AL$4010,MATCH(238,$AX$11:$AX$4010,0)),"")</f>
        <v/>
      </c>
      <c r="L248" s="24" t="str">
        <f t="shared" si="46"/>
        <v/>
      </c>
      <c r="M248" s="25" t="str">
        <f t="shared" si="47"/>
        <v/>
      </c>
      <c r="N248" s="25" t="str">
        <f t="shared" si="48"/>
        <v/>
      </c>
      <c r="W248" s="28" t="str">
        <f>IF(X248="","",IFERROR(INDEX($AL$11:$AL$4010,MATCH(238,$AY$11:$AY$4010,0)),""))</f>
        <v/>
      </c>
      <c r="X248" s="26" t="str">
        <f>IFERROR(INDEX($AM$11:$AM$4010,MATCH(238,$AY$11:$AY$4010,0)),"")</f>
        <v/>
      </c>
      <c r="Y248" s="25" t="str">
        <f>IF(X248="","",IFERROR(INDEX($AN$11:$AN$4010,MATCH(238,$AY$11:$AY$4010,0)),""))</f>
        <v/>
      </c>
      <c r="Z248" s="25" t="str">
        <f>IF(X248="","",IFERROR(INDEX($AO$11:$AO$4010,MATCH(238,$AY$11:$AY$4010,0)),""))</f>
        <v/>
      </c>
      <c r="AA248" s="24" t="str">
        <f>IF(X248="","",IFERROR(INDEX($AQ$11:$AQ$4010,MATCH(238,$AY$11:$AY$4010,0)),""))</f>
        <v/>
      </c>
      <c r="AB248" s="29" t="str">
        <f>IF(X248="","",IFERROR(INDEX($AR$11:$AR$4010,MATCH(238,$AY$11:$AY$4010,0)),""))</f>
        <v/>
      </c>
      <c r="AD248" s="30" t="str">
        <f>IF(AE248="","",IFERROR(INDEX($AL$11:$AL$4010,MATCH(238,$AZ$11:$AZ$4010,0)),""))</f>
        <v/>
      </c>
      <c r="AE248" s="26" t="str">
        <f>IFERROR(INDEX($AM$11:$AM$4010,MATCH(238,$AZ$11:$AZ$4010,0)),"")</f>
        <v/>
      </c>
      <c r="AF248" s="25" t="str">
        <f>IF(AE248="","",IFERROR(INDEX($AN$11:$AN$4010,MATCH(238,$AZ$11:$AZ$4010,0)),""))</f>
        <v/>
      </c>
      <c r="AG248" s="25" t="str">
        <f>IF(AE248="","",IFERROR(INDEX($AO$11:$AO$4010,MATCH(238,$AZ$11:$AZ$4010,0)),""))</f>
        <v/>
      </c>
      <c r="AH248" s="24" t="str">
        <f>IF(AE248="","",IFERROR(INDEX($AQ$11:$AQ$4010,MATCH(238,$AZ$11:$AZ$4010,0)),""))</f>
        <v/>
      </c>
      <c r="AI248" s="29" t="str">
        <f>IF(AE248="","",IFERROR(INDEX($AR$11:$AR$4010,MATCH(238,$AZ$11:$AZ$4010,0)),""))</f>
        <v/>
      </c>
      <c r="AJ248" s="29" t="str">
        <f>IF(AE248="","",IFERROR(INDEX($AT$11:$AT$4010,MATCH(238,$AZ$11:$AZ$4010,0)),""))</f>
        <v/>
      </c>
      <c r="AL248" s="31" t="str">
        <f t="shared" si="50"/>
        <v/>
      </c>
      <c r="AM248" s="26" t="str">
        <f t="shared" si="51"/>
        <v/>
      </c>
      <c r="AN248" s="32" t="str">
        <f t="shared" si="52"/>
        <v/>
      </c>
      <c r="AO248" s="32" t="str">
        <f t="shared" si="53"/>
        <v/>
      </c>
      <c r="AP248" s="24" t="str">
        <f t="shared" si="54"/>
        <v/>
      </c>
      <c r="AQ248" s="24" t="str">
        <f t="shared" si="55"/>
        <v/>
      </c>
      <c r="AR248" s="33" t="str">
        <f t="shared" si="56"/>
        <v/>
      </c>
      <c r="AS248" s="34"/>
      <c r="AT248" s="33"/>
      <c r="AV248" s="21">
        <f>IF(AND($AL248&lt;&gt;"",COUNTIF($AL$11:$AL248,$AL248)=1),1,0)</f>
        <v>0</v>
      </c>
      <c r="AW248" s="21">
        <f t="shared" si="58"/>
        <v>0</v>
      </c>
      <c r="AX248" s="21" t="str">
        <f t="shared" si="57"/>
        <v/>
      </c>
      <c r="AY248" s="21" t="str">
        <f>IF(AND($AM248&lt;&gt;"",$AS248&lt;&gt;"✓"),SUMPRODUCT(($AM$11:$AM248&lt;&gt;"")*($AS$11:$AS248&lt;&gt;"✓")),"")</f>
        <v/>
      </c>
      <c r="AZ248" s="21" t="str">
        <f>IF(AND($AM248&lt;&gt;"",$AS248="✓"),SUMPRODUCT(($AM$11:$AM248&lt;&gt;"")*($AS$11:$AS248="✓")),"")</f>
        <v/>
      </c>
      <c r="BA248" s="21" t="str">
        <f>IF($AL248="","",$AL248&amp;"|"&amp;COUNTIF($AL$11:$AL248,$AL248))</f>
        <v/>
      </c>
    </row>
    <row r="249" spans="2:53" ht="15" customHeight="1" x14ac:dyDescent="0.25">
      <c r="B249" s="5" t="str">
        <f t="shared" si="45"/>
        <v/>
      </c>
      <c r="C249" s="5"/>
      <c r="D249" s="5"/>
      <c r="E249" s="5"/>
      <c r="F249" s="6"/>
      <c r="G249" s="6"/>
      <c r="H249" s="7"/>
      <c r="I249" s="8"/>
      <c r="K249" s="9" t="str">
        <f>IFERROR(INDEX($AL$11:$AL$4010,MATCH(239,$AX$11:$AX$4010,0)),"")</f>
        <v/>
      </c>
      <c r="L249" s="10" t="str">
        <f t="shared" si="46"/>
        <v/>
      </c>
      <c r="M249" s="11" t="str">
        <f t="shared" si="47"/>
        <v/>
      </c>
      <c r="N249" s="11" t="str">
        <f t="shared" si="48"/>
        <v/>
      </c>
      <c r="W249" s="14" t="str">
        <f>IF(X249="","",IFERROR(INDEX($AL$11:$AL$4010,MATCH(239,$AY$11:$AY$4010,0)),""))</f>
        <v/>
      </c>
      <c r="X249" s="12" t="str">
        <f>IFERROR(INDEX($AM$11:$AM$4010,MATCH(239,$AY$11:$AY$4010,0)),"")</f>
        <v/>
      </c>
      <c r="Y249" s="11" t="str">
        <f>IF(X249="","",IFERROR(INDEX($AN$11:$AN$4010,MATCH(239,$AY$11:$AY$4010,0)),""))</f>
        <v/>
      </c>
      <c r="Z249" s="11" t="str">
        <f>IF(X249="","",IFERROR(INDEX($AO$11:$AO$4010,MATCH(239,$AY$11:$AY$4010,0)),""))</f>
        <v/>
      </c>
      <c r="AA249" s="10" t="str">
        <f>IF(X249="","",IFERROR(INDEX($AQ$11:$AQ$4010,MATCH(239,$AY$11:$AY$4010,0)),""))</f>
        <v/>
      </c>
      <c r="AB249" s="15" t="str">
        <f>IF(X249="","",IFERROR(INDEX($AR$11:$AR$4010,MATCH(239,$AY$11:$AY$4010,0)),""))</f>
        <v/>
      </c>
      <c r="AD249" s="16" t="str">
        <f>IF(AE249="","",IFERROR(INDEX($AL$11:$AL$4010,MATCH(239,$AZ$11:$AZ$4010,0)),""))</f>
        <v/>
      </c>
      <c r="AE249" s="12" t="str">
        <f>IFERROR(INDEX($AM$11:$AM$4010,MATCH(239,$AZ$11:$AZ$4010,0)),"")</f>
        <v/>
      </c>
      <c r="AF249" s="11" t="str">
        <f>IF(AE249="","",IFERROR(INDEX($AN$11:$AN$4010,MATCH(239,$AZ$11:$AZ$4010,0)),""))</f>
        <v/>
      </c>
      <c r="AG249" s="11" t="str">
        <f>IF(AE249="","",IFERROR(INDEX($AO$11:$AO$4010,MATCH(239,$AZ$11:$AZ$4010,0)),""))</f>
        <v/>
      </c>
      <c r="AH249" s="10" t="str">
        <f>IF(AE249="","",IFERROR(INDEX($AQ$11:$AQ$4010,MATCH(239,$AZ$11:$AZ$4010,0)),""))</f>
        <v/>
      </c>
      <c r="AI249" s="15" t="str">
        <f>IF(AE249="","",IFERROR(INDEX($AR$11:$AR$4010,MATCH(239,$AZ$11:$AZ$4010,0)),""))</f>
        <v/>
      </c>
      <c r="AJ249" s="15" t="str">
        <f>IF(AE249="","",IFERROR(INDEX($AT$11:$AT$4010,MATCH(239,$AZ$11:$AZ$4010,0)),""))</f>
        <v/>
      </c>
      <c r="AL249" s="17" t="str">
        <f t="shared" si="50"/>
        <v/>
      </c>
      <c r="AM249" s="12" t="str">
        <f t="shared" si="51"/>
        <v/>
      </c>
      <c r="AN249" s="18" t="str">
        <f t="shared" si="52"/>
        <v/>
      </c>
      <c r="AO249" s="18" t="str">
        <f t="shared" si="53"/>
        <v/>
      </c>
      <c r="AP249" s="10" t="str">
        <f t="shared" si="54"/>
        <v/>
      </c>
      <c r="AQ249" s="10" t="str">
        <f t="shared" si="55"/>
        <v/>
      </c>
      <c r="AR249" s="19" t="str">
        <f t="shared" si="56"/>
        <v/>
      </c>
      <c r="AS249" s="20"/>
      <c r="AT249" s="19"/>
      <c r="AV249" s="21">
        <f>IF(AND($AL249&lt;&gt;"",COUNTIF($AL$11:$AL249,$AL249)=1),1,0)</f>
        <v>0</v>
      </c>
      <c r="AW249" s="21">
        <f t="shared" si="58"/>
        <v>0</v>
      </c>
      <c r="AX249" s="21" t="str">
        <f t="shared" si="57"/>
        <v/>
      </c>
      <c r="AY249" s="21" t="str">
        <f>IF(AND($AM249&lt;&gt;"",$AS249&lt;&gt;"✓"),SUMPRODUCT(($AM$11:$AM249&lt;&gt;"")*($AS$11:$AS249&lt;&gt;"✓")),"")</f>
        <v/>
      </c>
      <c r="AZ249" s="21" t="str">
        <f>IF(AND($AM249&lt;&gt;"",$AS249="✓"),SUMPRODUCT(($AM$11:$AM249&lt;&gt;"")*($AS$11:$AS249="✓")),"")</f>
        <v/>
      </c>
      <c r="BA249" s="21" t="str">
        <f>IF($AL249="","",$AL249&amp;"|"&amp;COUNTIF($AL$11:$AL249,$AL249))</f>
        <v/>
      </c>
    </row>
    <row r="250" spans="2:53" ht="15" customHeight="1" x14ac:dyDescent="0.25">
      <c r="B250" s="5" t="str">
        <f t="shared" si="45"/>
        <v/>
      </c>
      <c r="C250" s="5"/>
      <c r="D250" s="5"/>
      <c r="E250" s="5"/>
      <c r="F250" s="6"/>
      <c r="G250" s="6"/>
      <c r="H250" s="7"/>
      <c r="I250" s="8"/>
      <c r="K250" s="23" t="str">
        <f>IFERROR(INDEX($AL$11:$AL$4010,MATCH(240,$AX$11:$AX$4010,0)),"")</f>
        <v/>
      </c>
      <c r="L250" s="24" t="str">
        <f t="shared" si="46"/>
        <v/>
      </c>
      <c r="M250" s="25" t="str">
        <f t="shared" si="47"/>
        <v/>
      </c>
      <c r="N250" s="25" t="str">
        <f t="shared" si="48"/>
        <v/>
      </c>
      <c r="W250" s="28" t="str">
        <f>IF(X250="","",IFERROR(INDEX($AL$11:$AL$4010,MATCH(240,$AY$11:$AY$4010,0)),""))</f>
        <v/>
      </c>
      <c r="X250" s="26" t="str">
        <f>IFERROR(INDEX($AM$11:$AM$4010,MATCH(240,$AY$11:$AY$4010,0)),"")</f>
        <v/>
      </c>
      <c r="Y250" s="25" t="str">
        <f>IF(X250="","",IFERROR(INDEX($AN$11:$AN$4010,MATCH(240,$AY$11:$AY$4010,0)),""))</f>
        <v/>
      </c>
      <c r="Z250" s="25" t="str">
        <f>IF(X250="","",IFERROR(INDEX($AO$11:$AO$4010,MATCH(240,$AY$11:$AY$4010,0)),""))</f>
        <v/>
      </c>
      <c r="AA250" s="24" t="str">
        <f>IF(X250="","",IFERROR(INDEX($AQ$11:$AQ$4010,MATCH(240,$AY$11:$AY$4010,0)),""))</f>
        <v/>
      </c>
      <c r="AB250" s="29" t="str">
        <f>IF(X250="","",IFERROR(INDEX($AR$11:$AR$4010,MATCH(240,$AY$11:$AY$4010,0)),""))</f>
        <v/>
      </c>
      <c r="AD250" s="30" t="str">
        <f>IF(AE250="","",IFERROR(INDEX($AL$11:$AL$4010,MATCH(240,$AZ$11:$AZ$4010,0)),""))</f>
        <v/>
      </c>
      <c r="AE250" s="26" t="str">
        <f>IFERROR(INDEX($AM$11:$AM$4010,MATCH(240,$AZ$11:$AZ$4010,0)),"")</f>
        <v/>
      </c>
      <c r="AF250" s="25" t="str">
        <f>IF(AE250="","",IFERROR(INDEX($AN$11:$AN$4010,MATCH(240,$AZ$11:$AZ$4010,0)),""))</f>
        <v/>
      </c>
      <c r="AG250" s="25" t="str">
        <f>IF(AE250="","",IFERROR(INDEX($AO$11:$AO$4010,MATCH(240,$AZ$11:$AZ$4010,0)),""))</f>
        <v/>
      </c>
      <c r="AH250" s="24" t="str">
        <f>IF(AE250="","",IFERROR(INDEX($AQ$11:$AQ$4010,MATCH(240,$AZ$11:$AZ$4010,0)),""))</f>
        <v/>
      </c>
      <c r="AI250" s="29" t="str">
        <f>IF(AE250="","",IFERROR(INDEX($AR$11:$AR$4010,MATCH(240,$AZ$11:$AZ$4010,0)),""))</f>
        <v/>
      </c>
      <c r="AJ250" s="29" t="str">
        <f>IF(AE250="","",IFERROR(INDEX($AT$11:$AT$4010,MATCH(240,$AZ$11:$AZ$4010,0)),""))</f>
        <v/>
      </c>
      <c r="AL250" s="31" t="str">
        <f t="shared" si="50"/>
        <v/>
      </c>
      <c r="AM250" s="26" t="str">
        <f t="shared" si="51"/>
        <v/>
      </c>
      <c r="AN250" s="32" t="str">
        <f t="shared" si="52"/>
        <v/>
      </c>
      <c r="AO250" s="32" t="str">
        <f t="shared" si="53"/>
        <v/>
      </c>
      <c r="AP250" s="24" t="str">
        <f t="shared" si="54"/>
        <v/>
      </c>
      <c r="AQ250" s="24" t="str">
        <f t="shared" si="55"/>
        <v/>
      </c>
      <c r="AR250" s="33" t="str">
        <f t="shared" si="56"/>
        <v/>
      </c>
      <c r="AS250" s="34"/>
      <c r="AT250" s="33"/>
      <c r="AV250" s="21">
        <f>IF(AND($AL250&lt;&gt;"",COUNTIF($AL$11:$AL250,$AL250)=1),1,0)</f>
        <v>0</v>
      </c>
      <c r="AW250" s="21">
        <f t="shared" si="58"/>
        <v>0</v>
      </c>
      <c r="AX250" s="21" t="str">
        <f t="shared" si="57"/>
        <v/>
      </c>
      <c r="AY250" s="21" t="str">
        <f>IF(AND($AM250&lt;&gt;"",$AS250&lt;&gt;"✓"),SUMPRODUCT(($AM$11:$AM250&lt;&gt;"")*($AS$11:$AS250&lt;&gt;"✓")),"")</f>
        <v/>
      </c>
      <c r="AZ250" s="21" t="str">
        <f>IF(AND($AM250&lt;&gt;"",$AS250="✓"),SUMPRODUCT(($AM$11:$AM250&lt;&gt;"")*($AS$11:$AS250="✓")),"")</f>
        <v/>
      </c>
      <c r="BA250" s="21" t="str">
        <f>IF($AL250="","",$AL250&amp;"|"&amp;COUNTIF($AL$11:$AL250,$AL250))</f>
        <v/>
      </c>
    </row>
    <row r="251" spans="2:53" ht="15" customHeight="1" x14ac:dyDescent="0.25">
      <c r="B251" s="5" t="str">
        <f t="shared" si="45"/>
        <v/>
      </c>
      <c r="C251" s="5"/>
      <c r="D251" s="5"/>
      <c r="E251" s="5"/>
      <c r="F251" s="6"/>
      <c r="G251" s="6"/>
      <c r="H251" s="7"/>
      <c r="I251" s="8"/>
      <c r="K251" s="9" t="str">
        <f>IFERROR(INDEX($AL$11:$AL$4010,MATCH(241,$AX$11:$AX$4010,0)),"")</f>
        <v/>
      </c>
      <c r="L251" s="10" t="str">
        <f t="shared" si="46"/>
        <v/>
      </c>
      <c r="M251" s="11" t="str">
        <f t="shared" si="47"/>
        <v/>
      </c>
      <c r="N251" s="11" t="str">
        <f t="shared" si="48"/>
        <v/>
      </c>
      <c r="W251" s="14" t="str">
        <f>IF(X251="","",IFERROR(INDEX($AL$11:$AL$4010,MATCH(241,$AY$11:$AY$4010,0)),""))</f>
        <v/>
      </c>
      <c r="X251" s="12" t="str">
        <f>IFERROR(INDEX($AM$11:$AM$4010,MATCH(241,$AY$11:$AY$4010,0)),"")</f>
        <v/>
      </c>
      <c r="Y251" s="11" t="str">
        <f>IF(X251="","",IFERROR(INDEX($AN$11:$AN$4010,MATCH(241,$AY$11:$AY$4010,0)),""))</f>
        <v/>
      </c>
      <c r="Z251" s="11" t="str">
        <f>IF(X251="","",IFERROR(INDEX($AO$11:$AO$4010,MATCH(241,$AY$11:$AY$4010,0)),""))</f>
        <v/>
      </c>
      <c r="AA251" s="10" t="str">
        <f>IF(X251="","",IFERROR(INDEX($AQ$11:$AQ$4010,MATCH(241,$AY$11:$AY$4010,0)),""))</f>
        <v/>
      </c>
      <c r="AB251" s="15" t="str">
        <f>IF(X251="","",IFERROR(INDEX($AR$11:$AR$4010,MATCH(241,$AY$11:$AY$4010,0)),""))</f>
        <v/>
      </c>
      <c r="AD251" s="16" t="str">
        <f>IF(AE251="","",IFERROR(INDEX($AL$11:$AL$4010,MATCH(241,$AZ$11:$AZ$4010,0)),""))</f>
        <v/>
      </c>
      <c r="AE251" s="12" t="str">
        <f>IFERROR(INDEX($AM$11:$AM$4010,MATCH(241,$AZ$11:$AZ$4010,0)),"")</f>
        <v/>
      </c>
      <c r="AF251" s="11" t="str">
        <f>IF(AE251="","",IFERROR(INDEX($AN$11:$AN$4010,MATCH(241,$AZ$11:$AZ$4010,0)),""))</f>
        <v/>
      </c>
      <c r="AG251" s="11" t="str">
        <f>IF(AE251="","",IFERROR(INDEX($AO$11:$AO$4010,MATCH(241,$AZ$11:$AZ$4010,0)),""))</f>
        <v/>
      </c>
      <c r="AH251" s="10" t="str">
        <f>IF(AE251="","",IFERROR(INDEX($AQ$11:$AQ$4010,MATCH(241,$AZ$11:$AZ$4010,0)),""))</f>
        <v/>
      </c>
      <c r="AI251" s="15" t="str">
        <f>IF(AE251="","",IFERROR(INDEX($AR$11:$AR$4010,MATCH(241,$AZ$11:$AZ$4010,0)),""))</f>
        <v/>
      </c>
      <c r="AJ251" s="15" t="str">
        <f>IF(AE251="","",IFERROR(INDEX($AT$11:$AT$4010,MATCH(241,$AZ$11:$AZ$4010,0)),""))</f>
        <v/>
      </c>
      <c r="AL251" s="17" t="str">
        <f t="shared" si="50"/>
        <v/>
      </c>
      <c r="AM251" s="12" t="str">
        <f t="shared" si="51"/>
        <v/>
      </c>
      <c r="AN251" s="18" t="str">
        <f t="shared" si="52"/>
        <v/>
      </c>
      <c r="AO251" s="18" t="str">
        <f t="shared" si="53"/>
        <v/>
      </c>
      <c r="AP251" s="10" t="str">
        <f t="shared" si="54"/>
        <v/>
      </c>
      <c r="AQ251" s="10" t="str">
        <f t="shared" si="55"/>
        <v/>
      </c>
      <c r="AR251" s="19" t="str">
        <f t="shared" si="56"/>
        <v/>
      </c>
      <c r="AS251" s="20"/>
      <c r="AT251" s="19"/>
      <c r="AV251" s="21">
        <f>IF(AND($AL251&lt;&gt;"",COUNTIF($AL$11:$AL251,$AL251)=1),1,0)</f>
        <v>0</v>
      </c>
      <c r="AW251" s="21">
        <f t="shared" si="58"/>
        <v>0</v>
      </c>
      <c r="AX251" s="21" t="str">
        <f t="shared" si="57"/>
        <v/>
      </c>
      <c r="AY251" s="21" t="str">
        <f>IF(AND($AM251&lt;&gt;"",$AS251&lt;&gt;"✓"),SUMPRODUCT(($AM$11:$AM251&lt;&gt;"")*($AS$11:$AS251&lt;&gt;"✓")),"")</f>
        <v/>
      </c>
      <c r="AZ251" s="21" t="str">
        <f>IF(AND($AM251&lt;&gt;"",$AS251="✓"),SUMPRODUCT(($AM$11:$AM251&lt;&gt;"")*($AS$11:$AS251="✓")),"")</f>
        <v/>
      </c>
      <c r="BA251" s="21" t="str">
        <f>IF($AL251="","",$AL251&amp;"|"&amp;COUNTIF($AL$11:$AL251,$AL251))</f>
        <v/>
      </c>
    </row>
    <row r="252" spans="2:53" ht="15" customHeight="1" x14ac:dyDescent="0.25">
      <c r="B252" s="5" t="str">
        <f t="shared" si="45"/>
        <v/>
      </c>
      <c r="C252" s="5"/>
      <c r="D252" s="5"/>
      <c r="E252" s="5"/>
      <c r="F252" s="6"/>
      <c r="G252" s="6"/>
      <c r="H252" s="7"/>
      <c r="I252" s="8"/>
      <c r="K252" s="23" t="str">
        <f>IFERROR(INDEX($AL$11:$AL$4010,MATCH(242,$AX$11:$AX$4010,0)),"")</f>
        <v/>
      </c>
      <c r="L252" s="24" t="str">
        <f t="shared" si="46"/>
        <v/>
      </c>
      <c r="M252" s="25" t="str">
        <f t="shared" si="47"/>
        <v/>
      </c>
      <c r="N252" s="25" t="str">
        <f t="shared" si="48"/>
        <v/>
      </c>
      <c r="W252" s="28" t="str">
        <f>IF(X252="","",IFERROR(INDEX($AL$11:$AL$4010,MATCH(242,$AY$11:$AY$4010,0)),""))</f>
        <v/>
      </c>
      <c r="X252" s="26" t="str">
        <f>IFERROR(INDEX($AM$11:$AM$4010,MATCH(242,$AY$11:$AY$4010,0)),"")</f>
        <v/>
      </c>
      <c r="Y252" s="25" t="str">
        <f>IF(X252="","",IFERROR(INDEX($AN$11:$AN$4010,MATCH(242,$AY$11:$AY$4010,0)),""))</f>
        <v/>
      </c>
      <c r="Z252" s="25" t="str">
        <f>IF(X252="","",IFERROR(INDEX($AO$11:$AO$4010,MATCH(242,$AY$11:$AY$4010,0)),""))</f>
        <v/>
      </c>
      <c r="AA252" s="24" t="str">
        <f>IF(X252="","",IFERROR(INDEX($AQ$11:$AQ$4010,MATCH(242,$AY$11:$AY$4010,0)),""))</f>
        <v/>
      </c>
      <c r="AB252" s="29" t="str">
        <f>IF(X252="","",IFERROR(INDEX($AR$11:$AR$4010,MATCH(242,$AY$11:$AY$4010,0)),""))</f>
        <v/>
      </c>
      <c r="AD252" s="30" t="str">
        <f>IF(AE252="","",IFERROR(INDEX($AL$11:$AL$4010,MATCH(242,$AZ$11:$AZ$4010,0)),""))</f>
        <v/>
      </c>
      <c r="AE252" s="26" t="str">
        <f>IFERROR(INDEX($AM$11:$AM$4010,MATCH(242,$AZ$11:$AZ$4010,0)),"")</f>
        <v/>
      </c>
      <c r="AF252" s="25" t="str">
        <f>IF(AE252="","",IFERROR(INDEX($AN$11:$AN$4010,MATCH(242,$AZ$11:$AZ$4010,0)),""))</f>
        <v/>
      </c>
      <c r="AG252" s="25" t="str">
        <f>IF(AE252="","",IFERROR(INDEX($AO$11:$AO$4010,MATCH(242,$AZ$11:$AZ$4010,0)),""))</f>
        <v/>
      </c>
      <c r="AH252" s="24" t="str">
        <f>IF(AE252="","",IFERROR(INDEX($AQ$11:$AQ$4010,MATCH(242,$AZ$11:$AZ$4010,0)),""))</f>
        <v/>
      </c>
      <c r="AI252" s="29" t="str">
        <f>IF(AE252="","",IFERROR(INDEX($AR$11:$AR$4010,MATCH(242,$AZ$11:$AZ$4010,0)),""))</f>
        <v/>
      </c>
      <c r="AJ252" s="29" t="str">
        <f>IF(AE252="","",IFERROR(INDEX($AT$11:$AT$4010,MATCH(242,$AZ$11:$AZ$4010,0)),""))</f>
        <v/>
      </c>
      <c r="AL252" s="31" t="str">
        <f t="shared" si="50"/>
        <v/>
      </c>
      <c r="AM252" s="26" t="str">
        <f t="shared" si="51"/>
        <v/>
      </c>
      <c r="AN252" s="32" t="str">
        <f t="shared" si="52"/>
        <v/>
      </c>
      <c r="AO252" s="32" t="str">
        <f t="shared" si="53"/>
        <v/>
      </c>
      <c r="AP252" s="24" t="str">
        <f t="shared" si="54"/>
        <v/>
      </c>
      <c r="AQ252" s="24" t="str">
        <f t="shared" si="55"/>
        <v/>
      </c>
      <c r="AR252" s="33" t="str">
        <f t="shared" si="56"/>
        <v/>
      </c>
      <c r="AS252" s="34"/>
      <c r="AT252" s="33"/>
      <c r="AV252" s="21">
        <f>IF(AND($AL252&lt;&gt;"",COUNTIF($AL$11:$AL252,$AL252)=1),1,0)</f>
        <v>0</v>
      </c>
      <c r="AW252" s="21">
        <f t="shared" si="58"/>
        <v>0</v>
      </c>
      <c r="AX252" s="21" t="str">
        <f t="shared" si="57"/>
        <v/>
      </c>
      <c r="AY252" s="21" t="str">
        <f>IF(AND($AM252&lt;&gt;"",$AS252&lt;&gt;"✓"),SUMPRODUCT(($AM$11:$AM252&lt;&gt;"")*($AS$11:$AS252&lt;&gt;"✓")),"")</f>
        <v/>
      </c>
      <c r="AZ252" s="21" t="str">
        <f>IF(AND($AM252&lt;&gt;"",$AS252="✓"),SUMPRODUCT(($AM$11:$AM252&lt;&gt;"")*($AS$11:$AS252="✓")),"")</f>
        <v/>
      </c>
      <c r="BA252" s="21" t="str">
        <f>IF($AL252="","",$AL252&amp;"|"&amp;COUNTIF($AL$11:$AL252,$AL252))</f>
        <v/>
      </c>
    </row>
    <row r="253" spans="2:53" ht="15" customHeight="1" x14ac:dyDescent="0.25">
      <c r="B253" s="5" t="str">
        <f t="shared" si="45"/>
        <v/>
      </c>
      <c r="C253" s="5"/>
      <c r="D253" s="5"/>
      <c r="E253" s="5"/>
      <c r="F253" s="6"/>
      <c r="G253" s="6"/>
      <c r="H253" s="7"/>
      <c r="I253" s="8"/>
      <c r="K253" s="9" t="str">
        <f>IFERROR(INDEX($AL$11:$AL$4010,MATCH(243,$AX$11:$AX$4010,0)),"")</f>
        <v/>
      </c>
      <c r="L253" s="10" t="str">
        <f t="shared" si="46"/>
        <v/>
      </c>
      <c r="M253" s="11" t="str">
        <f t="shared" si="47"/>
        <v/>
      </c>
      <c r="N253" s="11" t="str">
        <f t="shared" si="48"/>
        <v/>
      </c>
      <c r="W253" s="14" t="str">
        <f>IF(X253="","",IFERROR(INDEX($AL$11:$AL$4010,MATCH(243,$AY$11:$AY$4010,0)),""))</f>
        <v/>
      </c>
      <c r="X253" s="12" t="str">
        <f>IFERROR(INDEX($AM$11:$AM$4010,MATCH(243,$AY$11:$AY$4010,0)),"")</f>
        <v/>
      </c>
      <c r="Y253" s="11" t="str">
        <f>IF(X253="","",IFERROR(INDEX($AN$11:$AN$4010,MATCH(243,$AY$11:$AY$4010,0)),""))</f>
        <v/>
      </c>
      <c r="Z253" s="11" t="str">
        <f>IF(X253="","",IFERROR(INDEX($AO$11:$AO$4010,MATCH(243,$AY$11:$AY$4010,0)),""))</f>
        <v/>
      </c>
      <c r="AA253" s="10" t="str">
        <f>IF(X253="","",IFERROR(INDEX($AQ$11:$AQ$4010,MATCH(243,$AY$11:$AY$4010,0)),""))</f>
        <v/>
      </c>
      <c r="AB253" s="15" t="str">
        <f>IF(X253="","",IFERROR(INDEX($AR$11:$AR$4010,MATCH(243,$AY$11:$AY$4010,0)),""))</f>
        <v/>
      </c>
      <c r="AD253" s="16" t="str">
        <f>IF(AE253="","",IFERROR(INDEX($AL$11:$AL$4010,MATCH(243,$AZ$11:$AZ$4010,0)),""))</f>
        <v/>
      </c>
      <c r="AE253" s="12" t="str">
        <f>IFERROR(INDEX($AM$11:$AM$4010,MATCH(243,$AZ$11:$AZ$4010,0)),"")</f>
        <v/>
      </c>
      <c r="AF253" s="11" t="str">
        <f>IF(AE253="","",IFERROR(INDEX($AN$11:$AN$4010,MATCH(243,$AZ$11:$AZ$4010,0)),""))</f>
        <v/>
      </c>
      <c r="AG253" s="11" t="str">
        <f>IF(AE253="","",IFERROR(INDEX($AO$11:$AO$4010,MATCH(243,$AZ$11:$AZ$4010,0)),""))</f>
        <v/>
      </c>
      <c r="AH253" s="10" t="str">
        <f>IF(AE253="","",IFERROR(INDEX($AQ$11:$AQ$4010,MATCH(243,$AZ$11:$AZ$4010,0)),""))</f>
        <v/>
      </c>
      <c r="AI253" s="15" t="str">
        <f>IF(AE253="","",IFERROR(INDEX($AR$11:$AR$4010,MATCH(243,$AZ$11:$AZ$4010,0)),""))</f>
        <v/>
      </c>
      <c r="AJ253" s="15" t="str">
        <f>IF(AE253="","",IFERROR(INDEX($AT$11:$AT$4010,MATCH(243,$AZ$11:$AZ$4010,0)),""))</f>
        <v/>
      </c>
      <c r="AL253" s="17" t="str">
        <f t="shared" si="50"/>
        <v/>
      </c>
      <c r="AM253" s="12" t="str">
        <f t="shared" si="51"/>
        <v/>
      </c>
      <c r="AN253" s="18" t="str">
        <f t="shared" si="52"/>
        <v/>
      </c>
      <c r="AO253" s="18" t="str">
        <f t="shared" si="53"/>
        <v/>
      </c>
      <c r="AP253" s="10" t="str">
        <f t="shared" si="54"/>
        <v/>
      </c>
      <c r="AQ253" s="10" t="str">
        <f t="shared" si="55"/>
        <v/>
      </c>
      <c r="AR253" s="19" t="str">
        <f t="shared" si="56"/>
        <v/>
      </c>
      <c r="AS253" s="20"/>
      <c r="AT253" s="19"/>
      <c r="AV253" s="21">
        <f>IF(AND($AL253&lt;&gt;"",COUNTIF($AL$11:$AL253,$AL253)=1),1,0)</f>
        <v>0</v>
      </c>
      <c r="AW253" s="21">
        <f t="shared" si="58"/>
        <v>0</v>
      </c>
      <c r="AX253" s="21" t="str">
        <f t="shared" si="57"/>
        <v/>
      </c>
      <c r="AY253" s="21" t="str">
        <f>IF(AND($AM253&lt;&gt;"",$AS253&lt;&gt;"✓"),SUMPRODUCT(($AM$11:$AM253&lt;&gt;"")*($AS$11:$AS253&lt;&gt;"✓")),"")</f>
        <v/>
      </c>
      <c r="AZ253" s="21" t="str">
        <f>IF(AND($AM253&lt;&gt;"",$AS253="✓"),SUMPRODUCT(($AM$11:$AM253&lt;&gt;"")*($AS$11:$AS253="✓")),"")</f>
        <v/>
      </c>
      <c r="BA253" s="21" t="str">
        <f>IF($AL253="","",$AL253&amp;"|"&amp;COUNTIF($AL$11:$AL253,$AL253))</f>
        <v/>
      </c>
    </row>
    <row r="254" spans="2:53" ht="15" customHeight="1" x14ac:dyDescent="0.25">
      <c r="B254" s="5" t="str">
        <f t="shared" si="45"/>
        <v/>
      </c>
      <c r="C254" s="5"/>
      <c r="D254" s="5"/>
      <c r="E254" s="5"/>
      <c r="F254" s="6"/>
      <c r="G254" s="6"/>
      <c r="H254" s="7"/>
      <c r="I254" s="8"/>
      <c r="K254" s="23" t="str">
        <f>IFERROR(INDEX($AL$11:$AL$4010,MATCH(244,$AX$11:$AX$4010,0)),"")</f>
        <v/>
      </c>
      <c r="L254" s="24" t="str">
        <f t="shared" si="46"/>
        <v/>
      </c>
      <c r="M254" s="25" t="str">
        <f t="shared" si="47"/>
        <v/>
      </c>
      <c r="N254" s="25" t="str">
        <f t="shared" si="48"/>
        <v/>
      </c>
      <c r="W254" s="28" t="str">
        <f>IF(X254="","",IFERROR(INDEX($AL$11:$AL$4010,MATCH(244,$AY$11:$AY$4010,0)),""))</f>
        <v/>
      </c>
      <c r="X254" s="26" t="str">
        <f>IFERROR(INDEX($AM$11:$AM$4010,MATCH(244,$AY$11:$AY$4010,0)),"")</f>
        <v/>
      </c>
      <c r="Y254" s="25" t="str">
        <f>IF(X254="","",IFERROR(INDEX($AN$11:$AN$4010,MATCH(244,$AY$11:$AY$4010,0)),""))</f>
        <v/>
      </c>
      <c r="Z254" s="25" t="str">
        <f>IF(X254="","",IFERROR(INDEX($AO$11:$AO$4010,MATCH(244,$AY$11:$AY$4010,0)),""))</f>
        <v/>
      </c>
      <c r="AA254" s="24" t="str">
        <f>IF(X254="","",IFERROR(INDEX($AQ$11:$AQ$4010,MATCH(244,$AY$11:$AY$4010,0)),""))</f>
        <v/>
      </c>
      <c r="AB254" s="29" t="str">
        <f>IF(X254="","",IFERROR(INDEX($AR$11:$AR$4010,MATCH(244,$AY$11:$AY$4010,0)),""))</f>
        <v/>
      </c>
      <c r="AD254" s="30" t="str">
        <f>IF(AE254="","",IFERROR(INDEX($AL$11:$AL$4010,MATCH(244,$AZ$11:$AZ$4010,0)),""))</f>
        <v/>
      </c>
      <c r="AE254" s="26" t="str">
        <f>IFERROR(INDEX($AM$11:$AM$4010,MATCH(244,$AZ$11:$AZ$4010,0)),"")</f>
        <v/>
      </c>
      <c r="AF254" s="25" t="str">
        <f>IF(AE254="","",IFERROR(INDEX($AN$11:$AN$4010,MATCH(244,$AZ$11:$AZ$4010,0)),""))</f>
        <v/>
      </c>
      <c r="AG254" s="25" t="str">
        <f>IF(AE254="","",IFERROR(INDEX($AO$11:$AO$4010,MATCH(244,$AZ$11:$AZ$4010,0)),""))</f>
        <v/>
      </c>
      <c r="AH254" s="24" t="str">
        <f>IF(AE254="","",IFERROR(INDEX($AQ$11:$AQ$4010,MATCH(244,$AZ$11:$AZ$4010,0)),""))</f>
        <v/>
      </c>
      <c r="AI254" s="29" t="str">
        <f>IF(AE254="","",IFERROR(INDEX($AR$11:$AR$4010,MATCH(244,$AZ$11:$AZ$4010,0)),""))</f>
        <v/>
      </c>
      <c r="AJ254" s="29" t="str">
        <f>IF(AE254="","",IFERROR(INDEX($AT$11:$AT$4010,MATCH(244,$AZ$11:$AZ$4010,0)),""))</f>
        <v/>
      </c>
      <c r="AL254" s="31" t="str">
        <f t="shared" si="50"/>
        <v/>
      </c>
      <c r="AM254" s="26" t="str">
        <f t="shared" si="51"/>
        <v/>
      </c>
      <c r="AN254" s="32" t="str">
        <f t="shared" si="52"/>
        <v/>
      </c>
      <c r="AO254" s="32" t="str">
        <f t="shared" si="53"/>
        <v/>
      </c>
      <c r="AP254" s="24" t="str">
        <f t="shared" si="54"/>
        <v/>
      </c>
      <c r="AQ254" s="24" t="str">
        <f t="shared" si="55"/>
        <v/>
      </c>
      <c r="AR254" s="33" t="str">
        <f t="shared" si="56"/>
        <v/>
      </c>
      <c r="AS254" s="34"/>
      <c r="AT254" s="33"/>
      <c r="AV254" s="21">
        <f>IF(AND($AL254&lt;&gt;"",COUNTIF($AL$11:$AL254,$AL254)=1),1,0)</f>
        <v>0</v>
      </c>
      <c r="AW254" s="21">
        <f t="shared" si="58"/>
        <v>0</v>
      </c>
      <c r="AX254" s="21" t="str">
        <f t="shared" si="57"/>
        <v/>
      </c>
      <c r="AY254" s="21" t="str">
        <f>IF(AND($AM254&lt;&gt;"",$AS254&lt;&gt;"✓"),SUMPRODUCT(($AM$11:$AM254&lt;&gt;"")*($AS$11:$AS254&lt;&gt;"✓")),"")</f>
        <v/>
      </c>
      <c r="AZ254" s="21" t="str">
        <f>IF(AND($AM254&lt;&gt;"",$AS254="✓"),SUMPRODUCT(($AM$11:$AM254&lt;&gt;"")*($AS$11:$AS254="✓")),"")</f>
        <v/>
      </c>
      <c r="BA254" s="21" t="str">
        <f>IF($AL254="","",$AL254&amp;"|"&amp;COUNTIF($AL$11:$AL254,$AL254))</f>
        <v/>
      </c>
    </row>
    <row r="255" spans="2:53" ht="15" customHeight="1" x14ac:dyDescent="0.25">
      <c r="B255" s="5" t="str">
        <f t="shared" si="45"/>
        <v/>
      </c>
      <c r="C255" s="5"/>
      <c r="D255" s="5"/>
      <c r="E255" s="5"/>
      <c r="F255" s="6"/>
      <c r="G255" s="6"/>
      <c r="H255" s="7"/>
      <c r="I255" s="8"/>
      <c r="K255" s="9" t="str">
        <f>IFERROR(INDEX($AL$11:$AL$4010,MATCH(245,$AX$11:$AX$4010,0)),"")</f>
        <v/>
      </c>
      <c r="L255" s="10" t="str">
        <f t="shared" si="46"/>
        <v/>
      </c>
      <c r="M255" s="11" t="str">
        <f t="shared" si="47"/>
        <v/>
      </c>
      <c r="N255" s="11" t="str">
        <f t="shared" si="48"/>
        <v/>
      </c>
      <c r="W255" s="14" t="str">
        <f>IF(X255="","",IFERROR(INDEX($AL$11:$AL$4010,MATCH(245,$AY$11:$AY$4010,0)),""))</f>
        <v/>
      </c>
      <c r="X255" s="12" t="str">
        <f>IFERROR(INDEX($AM$11:$AM$4010,MATCH(245,$AY$11:$AY$4010,0)),"")</f>
        <v/>
      </c>
      <c r="Y255" s="11" t="str">
        <f>IF(X255="","",IFERROR(INDEX($AN$11:$AN$4010,MATCH(245,$AY$11:$AY$4010,0)),""))</f>
        <v/>
      </c>
      <c r="Z255" s="11" t="str">
        <f>IF(X255="","",IFERROR(INDEX($AO$11:$AO$4010,MATCH(245,$AY$11:$AY$4010,0)),""))</f>
        <v/>
      </c>
      <c r="AA255" s="10" t="str">
        <f>IF(X255="","",IFERROR(INDEX($AQ$11:$AQ$4010,MATCH(245,$AY$11:$AY$4010,0)),""))</f>
        <v/>
      </c>
      <c r="AB255" s="15" t="str">
        <f>IF(X255="","",IFERROR(INDEX($AR$11:$AR$4010,MATCH(245,$AY$11:$AY$4010,0)),""))</f>
        <v/>
      </c>
      <c r="AD255" s="16" t="str">
        <f>IF(AE255="","",IFERROR(INDEX($AL$11:$AL$4010,MATCH(245,$AZ$11:$AZ$4010,0)),""))</f>
        <v/>
      </c>
      <c r="AE255" s="12" t="str">
        <f>IFERROR(INDEX($AM$11:$AM$4010,MATCH(245,$AZ$11:$AZ$4010,0)),"")</f>
        <v/>
      </c>
      <c r="AF255" s="11" t="str">
        <f>IF(AE255="","",IFERROR(INDEX($AN$11:$AN$4010,MATCH(245,$AZ$11:$AZ$4010,0)),""))</f>
        <v/>
      </c>
      <c r="AG255" s="11" t="str">
        <f>IF(AE255="","",IFERROR(INDEX($AO$11:$AO$4010,MATCH(245,$AZ$11:$AZ$4010,0)),""))</f>
        <v/>
      </c>
      <c r="AH255" s="10" t="str">
        <f>IF(AE255="","",IFERROR(INDEX($AQ$11:$AQ$4010,MATCH(245,$AZ$11:$AZ$4010,0)),""))</f>
        <v/>
      </c>
      <c r="AI255" s="15" t="str">
        <f>IF(AE255="","",IFERROR(INDEX($AR$11:$AR$4010,MATCH(245,$AZ$11:$AZ$4010,0)),""))</f>
        <v/>
      </c>
      <c r="AJ255" s="15" t="str">
        <f>IF(AE255="","",IFERROR(INDEX($AT$11:$AT$4010,MATCH(245,$AZ$11:$AZ$4010,0)),""))</f>
        <v/>
      </c>
      <c r="AL255" s="17" t="str">
        <f t="shared" si="50"/>
        <v/>
      </c>
      <c r="AM255" s="12" t="str">
        <f t="shared" si="51"/>
        <v/>
      </c>
      <c r="AN255" s="18" t="str">
        <f t="shared" si="52"/>
        <v/>
      </c>
      <c r="AO255" s="18" t="str">
        <f t="shared" si="53"/>
        <v/>
      </c>
      <c r="AP255" s="10" t="str">
        <f t="shared" si="54"/>
        <v/>
      </c>
      <c r="AQ255" s="10" t="str">
        <f t="shared" si="55"/>
        <v/>
      </c>
      <c r="AR255" s="19" t="str">
        <f t="shared" si="56"/>
        <v/>
      </c>
      <c r="AS255" s="20"/>
      <c r="AT255" s="19"/>
      <c r="AV255" s="21">
        <f>IF(AND($AL255&lt;&gt;"",COUNTIF($AL$11:$AL255,$AL255)=1),1,0)</f>
        <v>0</v>
      </c>
      <c r="AW255" s="21">
        <f t="shared" si="58"/>
        <v>0</v>
      </c>
      <c r="AX255" s="21" t="str">
        <f t="shared" si="57"/>
        <v/>
      </c>
      <c r="AY255" s="21" t="str">
        <f>IF(AND($AM255&lt;&gt;"",$AS255&lt;&gt;"✓"),SUMPRODUCT(($AM$11:$AM255&lt;&gt;"")*($AS$11:$AS255&lt;&gt;"✓")),"")</f>
        <v/>
      </c>
      <c r="AZ255" s="21" t="str">
        <f>IF(AND($AM255&lt;&gt;"",$AS255="✓"),SUMPRODUCT(($AM$11:$AM255&lt;&gt;"")*($AS$11:$AS255="✓")),"")</f>
        <v/>
      </c>
      <c r="BA255" s="21" t="str">
        <f>IF($AL255="","",$AL255&amp;"|"&amp;COUNTIF($AL$11:$AL255,$AL255))</f>
        <v/>
      </c>
    </row>
    <row r="256" spans="2:53" ht="15" customHeight="1" x14ac:dyDescent="0.25">
      <c r="B256" s="5" t="str">
        <f t="shared" si="45"/>
        <v/>
      </c>
      <c r="C256" s="5"/>
      <c r="D256" s="5"/>
      <c r="E256" s="5"/>
      <c r="F256" s="6"/>
      <c r="G256" s="6"/>
      <c r="H256" s="7"/>
      <c r="I256" s="8"/>
      <c r="K256" s="23" t="str">
        <f>IFERROR(INDEX($AL$11:$AL$4010,MATCH(246,$AX$11:$AX$4010,0)),"")</f>
        <v/>
      </c>
      <c r="L256" s="24" t="str">
        <f t="shared" si="46"/>
        <v/>
      </c>
      <c r="M256" s="25" t="str">
        <f t="shared" si="47"/>
        <v/>
      </c>
      <c r="N256" s="25" t="str">
        <f t="shared" si="48"/>
        <v/>
      </c>
      <c r="W256" s="28" t="str">
        <f>IF(X256="","",IFERROR(INDEX($AL$11:$AL$4010,MATCH(246,$AY$11:$AY$4010,0)),""))</f>
        <v/>
      </c>
      <c r="X256" s="26" t="str">
        <f>IFERROR(INDEX($AM$11:$AM$4010,MATCH(246,$AY$11:$AY$4010,0)),"")</f>
        <v/>
      </c>
      <c r="Y256" s="25" t="str">
        <f>IF(X256="","",IFERROR(INDEX($AN$11:$AN$4010,MATCH(246,$AY$11:$AY$4010,0)),""))</f>
        <v/>
      </c>
      <c r="Z256" s="25" t="str">
        <f>IF(X256="","",IFERROR(INDEX($AO$11:$AO$4010,MATCH(246,$AY$11:$AY$4010,0)),""))</f>
        <v/>
      </c>
      <c r="AA256" s="24" t="str">
        <f>IF(X256="","",IFERROR(INDEX($AQ$11:$AQ$4010,MATCH(246,$AY$11:$AY$4010,0)),""))</f>
        <v/>
      </c>
      <c r="AB256" s="29" t="str">
        <f>IF(X256="","",IFERROR(INDEX($AR$11:$AR$4010,MATCH(246,$AY$11:$AY$4010,0)),""))</f>
        <v/>
      </c>
      <c r="AD256" s="30" t="str">
        <f>IF(AE256="","",IFERROR(INDEX($AL$11:$AL$4010,MATCH(246,$AZ$11:$AZ$4010,0)),""))</f>
        <v/>
      </c>
      <c r="AE256" s="26" t="str">
        <f>IFERROR(INDEX($AM$11:$AM$4010,MATCH(246,$AZ$11:$AZ$4010,0)),"")</f>
        <v/>
      </c>
      <c r="AF256" s="25" t="str">
        <f>IF(AE256="","",IFERROR(INDEX($AN$11:$AN$4010,MATCH(246,$AZ$11:$AZ$4010,0)),""))</f>
        <v/>
      </c>
      <c r="AG256" s="25" t="str">
        <f>IF(AE256="","",IFERROR(INDEX($AO$11:$AO$4010,MATCH(246,$AZ$11:$AZ$4010,0)),""))</f>
        <v/>
      </c>
      <c r="AH256" s="24" t="str">
        <f>IF(AE256="","",IFERROR(INDEX($AQ$11:$AQ$4010,MATCH(246,$AZ$11:$AZ$4010,0)),""))</f>
        <v/>
      </c>
      <c r="AI256" s="29" t="str">
        <f>IF(AE256="","",IFERROR(INDEX($AR$11:$AR$4010,MATCH(246,$AZ$11:$AZ$4010,0)),""))</f>
        <v/>
      </c>
      <c r="AJ256" s="29" t="str">
        <f>IF(AE256="","",IFERROR(INDEX($AT$11:$AT$4010,MATCH(246,$AZ$11:$AZ$4010,0)),""))</f>
        <v/>
      </c>
      <c r="AL256" s="31" t="str">
        <f t="shared" si="50"/>
        <v/>
      </c>
      <c r="AM256" s="26" t="str">
        <f t="shared" si="51"/>
        <v/>
      </c>
      <c r="AN256" s="32" t="str">
        <f t="shared" si="52"/>
        <v/>
      </c>
      <c r="AO256" s="32" t="str">
        <f t="shared" si="53"/>
        <v/>
      </c>
      <c r="AP256" s="24" t="str">
        <f t="shared" si="54"/>
        <v/>
      </c>
      <c r="AQ256" s="24" t="str">
        <f t="shared" si="55"/>
        <v/>
      </c>
      <c r="AR256" s="33" t="str">
        <f t="shared" si="56"/>
        <v/>
      </c>
      <c r="AS256" s="34"/>
      <c r="AT256" s="33"/>
      <c r="AV256" s="21">
        <f>IF(AND($AL256&lt;&gt;"",COUNTIF($AL$11:$AL256,$AL256)=1),1,0)</f>
        <v>0</v>
      </c>
      <c r="AW256" s="21">
        <f t="shared" si="58"/>
        <v>0</v>
      </c>
      <c r="AX256" s="21" t="str">
        <f t="shared" si="57"/>
        <v/>
      </c>
      <c r="AY256" s="21" t="str">
        <f>IF(AND($AM256&lt;&gt;"",$AS256&lt;&gt;"✓"),SUMPRODUCT(($AM$11:$AM256&lt;&gt;"")*($AS$11:$AS256&lt;&gt;"✓")),"")</f>
        <v/>
      </c>
      <c r="AZ256" s="21" t="str">
        <f>IF(AND($AM256&lt;&gt;"",$AS256="✓"),SUMPRODUCT(($AM$11:$AM256&lt;&gt;"")*($AS$11:$AS256="✓")),"")</f>
        <v/>
      </c>
      <c r="BA256" s="21" t="str">
        <f>IF($AL256="","",$AL256&amp;"|"&amp;COUNTIF($AL$11:$AL256,$AL256))</f>
        <v/>
      </c>
    </row>
    <row r="257" spans="2:53" ht="15" customHeight="1" x14ac:dyDescent="0.25">
      <c r="B257" s="5" t="str">
        <f t="shared" si="45"/>
        <v/>
      </c>
      <c r="C257" s="5"/>
      <c r="D257" s="5"/>
      <c r="E257" s="5"/>
      <c r="F257" s="6"/>
      <c r="G257" s="6"/>
      <c r="H257" s="7"/>
      <c r="I257" s="8"/>
      <c r="K257" s="9" t="str">
        <f>IFERROR(INDEX($AL$11:$AL$4010,MATCH(247,$AX$11:$AX$4010,0)),"")</f>
        <v/>
      </c>
      <c r="L257" s="10" t="str">
        <f t="shared" si="46"/>
        <v/>
      </c>
      <c r="M257" s="11" t="str">
        <f t="shared" si="47"/>
        <v/>
      </c>
      <c r="N257" s="11" t="str">
        <f t="shared" si="48"/>
        <v/>
      </c>
      <c r="W257" s="14" t="str">
        <f>IF(X257="","",IFERROR(INDEX($AL$11:$AL$4010,MATCH(247,$AY$11:$AY$4010,0)),""))</f>
        <v/>
      </c>
      <c r="X257" s="12" t="str">
        <f>IFERROR(INDEX($AM$11:$AM$4010,MATCH(247,$AY$11:$AY$4010,0)),"")</f>
        <v/>
      </c>
      <c r="Y257" s="11" t="str">
        <f>IF(X257="","",IFERROR(INDEX($AN$11:$AN$4010,MATCH(247,$AY$11:$AY$4010,0)),""))</f>
        <v/>
      </c>
      <c r="Z257" s="11" t="str">
        <f>IF(X257="","",IFERROR(INDEX($AO$11:$AO$4010,MATCH(247,$AY$11:$AY$4010,0)),""))</f>
        <v/>
      </c>
      <c r="AA257" s="10" t="str">
        <f>IF(X257="","",IFERROR(INDEX($AQ$11:$AQ$4010,MATCH(247,$AY$11:$AY$4010,0)),""))</f>
        <v/>
      </c>
      <c r="AB257" s="15" t="str">
        <f>IF(X257="","",IFERROR(INDEX($AR$11:$AR$4010,MATCH(247,$AY$11:$AY$4010,0)),""))</f>
        <v/>
      </c>
      <c r="AD257" s="16" t="str">
        <f>IF(AE257="","",IFERROR(INDEX($AL$11:$AL$4010,MATCH(247,$AZ$11:$AZ$4010,0)),""))</f>
        <v/>
      </c>
      <c r="AE257" s="12" t="str">
        <f>IFERROR(INDEX($AM$11:$AM$4010,MATCH(247,$AZ$11:$AZ$4010,0)),"")</f>
        <v/>
      </c>
      <c r="AF257" s="11" t="str">
        <f>IF(AE257="","",IFERROR(INDEX($AN$11:$AN$4010,MATCH(247,$AZ$11:$AZ$4010,0)),""))</f>
        <v/>
      </c>
      <c r="AG257" s="11" t="str">
        <f>IF(AE257="","",IFERROR(INDEX($AO$11:$AO$4010,MATCH(247,$AZ$11:$AZ$4010,0)),""))</f>
        <v/>
      </c>
      <c r="AH257" s="10" t="str">
        <f>IF(AE257="","",IFERROR(INDEX($AQ$11:$AQ$4010,MATCH(247,$AZ$11:$AZ$4010,0)),""))</f>
        <v/>
      </c>
      <c r="AI257" s="15" t="str">
        <f>IF(AE257="","",IFERROR(INDEX($AR$11:$AR$4010,MATCH(247,$AZ$11:$AZ$4010,0)),""))</f>
        <v/>
      </c>
      <c r="AJ257" s="15" t="str">
        <f>IF(AE257="","",IFERROR(INDEX($AT$11:$AT$4010,MATCH(247,$AZ$11:$AZ$4010,0)),""))</f>
        <v/>
      </c>
      <c r="AL257" s="17" t="str">
        <f t="shared" si="50"/>
        <v/>
      </c>
      <c r="AM257" s="12" t="str">
        <f t="shared" si="51"/>
        <v/>
      </c>
      <c r="AN257" s="18" t="str">
        <f t="shared" si="52"/>
        <v/>
      </c>
      <c r="AO257" s="18" t="str">
        <f t="shared" si="53"/>
        <v/>
      </c>
      <c r="AP257" s="10" t="str">
        <f t="shared" si="54"/>
        <v/>
      </c>
      <c r="AQ257" s="10" t="str">
        <f t="shared" si="55"/>
        <v/>
      </c>
      <c r="AR257" s="19" t="str">
        <f t="shared" si="56"/>
        <v/>
      </c>
      <c r="AS257" s="20"/>
      <c r="AT257" s="19"/>
      <c r="AV257" s="21">
        <f>IF(AND($AL257&lt;&gt;"",COUNTIF($AL$11:$AL257,$AL257)=1),1,0)</f>
        <v>0</v>
      </c>
      <c r="AW257" s="21">
        <f t="shared" si="58"/>
        <v>0</v>
      </c>
      <c r="AX257" s="21" t="str">
        <f t="shared" si="57"/>
        <v/>
      </c>
      <c r="AY257" s="21" t="str">
        <f>IF(AND($AM257&lt;&gt;"",$AS257&lt;&gt;"✓"),SUMPRODUCT(($AM$11:$AM257&lt;&gt;"")*($AS$11:$AS257&lt;&gt;"✓")),"")</f>
        <v/>
      </c>
      <c r="AZ257" s="21" t="str">
        <f>IF(AND($AM257&lt;&gt;"",$AS257="✓"),SUMPRODUCT(($AM$11:$AM257&lt;&gt;"")*($AS$11:$AS257="✓")),"")</f>
        <v/>
      </c>
      <c r="BA257" s="21" t="str">
        <f>IF($AL257="","",$AL257&amp;"|"&amp;COUNTIF($AL$11:$AL257,$AL257))</f>
        <v/>
      </c>
    </row>
    <row r="258" spans="2:53" ht="15" customHeight="1" x14ac:dyDescent="0.25">
      <c r="B258" s="5" t="str">
        <f t="shared" si="45"/>
        <v/>
      </c>
      <c r="C258" s="5"/>
      <c r="D258" s="5"/>
      <c r="E258" s="5"/>
      <c r="F258" s="6"/>
      <c r="G258" s="6"/>
      <c r="H258" s="7"/>
      <c r="I258" s="8"/>
      <c r="K258" s="23" t="str">
        <f>IFERROR(INDEX($AL$11:$AL$4010,MATCH(248,$AX$11:$AX$4010,0)),"")</f>
        <v/>
      </c>
      <c r="L258" s="24" t="str">
        <f t="shared" si="46"/>
        <v/>
      </c>
      <c r="M258" s="25" t="str">
        <f t="shared" si="47"/>
        <v/>
      </c>
      <c r="N258" s="25" t="str">
        <f t="shared" si="48"/>
        <v/>
      </c>
      <c r="W258" s="28" t="str">
        <f>IF(X258="","",IFERROR(INDEX($AL$11:$AL$4010,MATCH(248,$AY$11:$AY$4010,0)),""))</f>
        <v/>
      </c>
      <c r="X258" s="26" t="str">
        <f>IFERROR(INDEX($AM$11:$AM$4010,MATCH(248,$AY$11:$AY$4010,0)),"")</f>
        <v/>
      </c>
      <c r="Y258" s="25" t="str">
        <f>IF(X258="","",IFERROR(INDEX($AN$11:$AN$4010,MATCH(248,$AY$11:$AY$4010,0)),""))</f>
        <v/>
      </c>
      <c r="Z258" s="25" t="str">
        <f>IF(X258="","",IFERROR(INDEX($AO$11:$AO$4010,MATCH(248,$AY$11:$AY$4010,0)),""))</f>
        <v/>
      </c>
      <c r="AA258" s="24" t="str">
        <f>IF(X258="","",IFERROR(INDEX($AQ$11:$AQ$4010,MATCH(248,$AY$11:$AY$4010,0)),""))</f>
        <v/>
      </c>
      <c r="AB258" s="29" t="str">
        <f>IF(X258="","",IFERROR(INDEX($AR$11:$AR$4010,MATCH(248,$AY$11:$AY$4010,0)),""))</f>
        <v/>
      </c>
      <c r="AD258" s="30" t="str">
        <f>IF(AE258="","",IFERROR(INDEX($AL$11:$AL$4010,MATCH(248,$AZ$11:$AZ$4010,0)),""))</f>
        <v/>
      </c>
      <c r="AE258" s="26" t="str">
        <f>IFERROR(INDEX($AM$11:$AM$4010,MATCH(248,$AZ$11:$AZ$4010,0)),"")</f>
        <v/>
      </c>
      <c r="AF258" s="25" t="str">
        <f>IF(AE258="","",IFERROR(INDEX($AN$11:$AN$4010,MATCH(248,$AZ$11:$AZ$4010,0)),""))</f>
        <v/>
      </c>
      <c r="AG258" s="25" t="str">
        <f>IF(AE258="","",IFERROR(INDEX($AO$11:$AO$4010,MATCH(248,$AZ$11:$AZ$4010,0)),""))</f>
        <v/>
      </c>
      <c r="AH258" s="24" t="str">
        <f>IF(AE258="","",IFERROR(INDEX($AQ$11:$AQ$4010,MATCH(248,$AZ$11:$AZ$4010,0)),""))</f>
        <v/>
      </c>
      <c r="AI258" s="29" t="str">
        <f>IF(AE258="","",IFERROR(INDEX($AR$11:$AR$4010,MATCH(248,$AZ$11:$AZ$4010,0)),""))</f>
        <v/>
      </c>
      <c r="AJ258" s="29" t="str">
        <f>IF(AE258="","",IFERROR(INDEX($AT$11:$AT$4010,MATCH(248,$AZ$11:$AZ$4010,0)),""))</f>
        <v/>
      </c>
      <c r="AL258" s="31" t="str">
        <f t="shared" si="50"/>
        <v/>
      </c>
      <c r="AM258" s="26" t="str">
        <f t="shared" si="51"/>
        <v/>
      </c>
      <c r="AN258" s="32" t="str">
        <f t="shared" si="52"/>
        <v/>
      </c>
      <c r="AO258" s="32" t="str">
        <f t="shared" si="53"/>
        <v/>
      </c>
      <c r="AP258" s="24" t="str">
        <f t="shared" si="54"/>
        <v/>
      </c>
      <c r="AQ258" s="24" t="str">
        <f t="shared" si="55"/>
        <v/>
      </c>
      <c r="AR258" s="33" t="str">
        <f t="shared" si="56"/>
        <v/>
      </c>
      <c r="AS258" s="34"/>
      <c r="AT258" s="33"/>
      <c r="AV258" s="21">
        <f>IF(AND($AL258&lt;&gt;"",COUNTIF($AL$11:$AL258,$AL258)=1),1,0)</f>
        <v>0</v>
      </c>
      <c r="AW258" s="21">
        <f t="shared" si="58"/>
        <v>0</v>
      </c>
      <c r="AX258" s="21" t="str">
        <f t="shared" si="57"/>
        <v/>
      </c>
      <c r="AY258" s="21" t="str">
        <f>IF(AND($AM258&lt;&gt;"",$AS258&lt;&gt;"✓"),SUMPRODUCT(($AM$11:$AM258&lt;&gt;"")*($AS$11:$AS258&lt;&gt;"✓")),"")</f>
        <v/>
      </c>
      <c r="AZ258" s="21" t="str">
        <f>IF(AND($AM258&lt;&gt;"",$AS258="✓"),SUMPRODUCT(($AM$11:$AM258&lt;&gt;"")*($AS$11:$AS258="✓")),"")</f>
        <v/>
      </c>
      <c r="BA258" s="21" t="str">
        <f>IF($AL258="","",$AL258&amp;"|"&amp;COUNTIF($AL$11:$AL258,$AL258))</f>
        <v/>
      </c>
    </row>
    <row r="259" spans="2:53" ht="15" customHeight="1" x14ac:dyDescent="0.25">
      <c r="B259" s="5" t="str">
        <f t="shared" si="45"/>
        <v/>
      </c>
      <c r="C259" s="5"/>
      <c r="D259" s="5"/>
      <c r="E259" s="5"/>
      <c r="F259" s="6"/>
      <c r="G259" s="6"/>
      <c r="H259" s="7"/>
      <c r="I259" s="8"/>
      <c r="K259" s="9" t="str">
        <f>IFERROR(INDEX($AL$11:$AL$4010,MATCH(249,$AX$11:$AX$4010,0)),"")</f>
        <v/>
      </c>
      <c r="L259" s="10" t="str">
        <f t="shared" si="46"/>
        <v/>
      </c>
      <c r="M259" s="11" t="str">
        <f t="shared" si="47"/>
        <v/>
      </c>
      <c r="N259" s="11" t="str">
        <f t="shared" si="48"/>
        <v/>
      </c>
      <c r="W259" s="14" t="str">
        <f>IF(X259="","",IFERROR(INDEX($AL$11:$AL$4010,MATCH(249,$AY$11:$AY$4010,0)),""))</f>
        <v/>
      </c>
      <c r="X259" s="12" t="str">
        <f>IFERROR(INDEX($AM$11:$AM$4010,MATCH(249,$AY$11:$AY$4010,0)),"")</f>
        <v/>
      </c>
      <c r="Y259" s="11" t="str">
        <f>IF(X259="","",IFERROR(INDEX($AN$11:$AN$4010,MATCH(249,$AY$11:$AY$4010,0)),""))</f>
        <v/>
      </c>
      <c r="Z259" s="11" t="str">
        <f>IF(X259="","",IFERROR(INDEX($AO$11:$AO$4010,MATCH(249,$AY$11:$AY$4010,0)),""))</f>
        <v/>
      </c>
      <c r="AA259" s="10" t="str">
        <f>IF(X259="","",IFERROR(INDEX($AQ$11:$AQ$4010,MATCH(249,$AY$11:$AY$4010,0)),""))</f>
        <v/>
      </c>
      <c r="AB259" s="15" t="str">
        <f>IF(X259="","",IFERROR(INDEX($AR$11:$AR$4010,MATCH(249,$AY$11:$AY$4010,0)),""))</f>
        <v/>
      </c>
      <c r="AD259" s="16" t="str">
        <f>IF(AE259="","",IFERROR(INDEX($AL$11:$AL$4010,MATCH(249,$AZ$11:$AZ$4010,0)),""))</f>
        <v/>
      </c>
      <c r="AE259" s="12" t="str">
        <f>IFERROR(INDEX($AM$11:$AM$4010,MATCH(249,$AZ$11:$AZ$4010,0)),"")</f>
        <v/>
      </c>
      <c r="AF259" s="11" t="str">
        <f>IF(AE259="","",IFERROR(INDEX($AN$11:$AN$4010,MATCH(249,$AZ$11:$AZ$4010,0)),""))</f>
        <v/>
      </c>
      <c r="AG259" s="11" t="str">
        <f>IF(AE259="","",IFERROR(INDEX($AO$11:$AO$4010,MATCH(249,$AZ$11:$AZ$4010,0)),""))</f>
        <v/>
      </c>
      <c r="AH259" s="10" t="str">
        <f>IF(AE259="","",IFERROR(INDEX($AQ$11:$AQ$4010,MATCH(249,$AZ$11:$AZ$4010,0)),""))</f>
        <v/>
      </c>
      <c r="AI259" s="15" t="str">
        <f>IF(AE259="","",IFERROR(INDEX($AR$11:$AR$4010,MATCH(249,$AZ$11:$AZ$4010,0)),""))</f>
        <v/>
      </c>
      <c r="AJ259" s="15" t="str">
        <f>IF(AE259="","",IFERROR(INDEX($AT$11:$AT$4010,MATCH(249,$AZ$11:$AZ$4010,0)),""))</f>
        <v/>
      </c>
      <c r="AL259" s="17" t="str">
        <f t="shared" si="50"/>
        <v/>
      </c>
      <c r="AM259" s="12" t="str">
        <f t="shared" si="51"/>
        <v/>
      </c>
      <c r="AN259" s="18" t="str">
        <f t="shared" si="52"/>
        <v/>
      </c>
      <c r="AO259" s="18" t="str">
        <f t="shared" si="53"/>
        <v/>
      </c>
      <c r="AP259" s="10" t="str">
        <f t="shared" si="54"/>
        <v/>
      </c>
      <c r="AQ259" s="10" t="str">
        <f t="shared" si="55"/>
        <v/>
      </c>
      <c r="AR259" s="19" t="str">
        <f t="shared" si="56"/>
        <v/>
      </c>
      <c r="AS259" s="20"/>
      <c r="AT259" s="19"/>
      <c r="AV259" s="21">
        <f>IF(AND($AL259&lt;&gt;"",COUNTIF($AL$11:$AL259,$AL259)=1),1,0)</f>
        <v>0</v>
      </c>
      <c r="AW259" s="21">
        <f t="shared" si="58"/>
        <v>0</v>
      </c>
      <c r="AX259" s="21" t="str">
        <f t="shared" si="57"/>
        <v/>
      </c>
      <c r="AY259" s="21" t="str">
        <f>IF(AND($AM259&lt;&gt;"",$AS259&lt;&gt;"✓"),SUMPRODUCT(($AM$11:$AM259&lt;&gt;"")*($AS$11:$AS259&lt;&gt;"✓")),"")</f>
        <v/>
      </c>
      <c r="AZ259" s="21" t="str">
        <f>IF(AND($AM259&lt;&gt;"",$AS259="✓"),SUMPRODUCT(($AM$11:$AM259&lt;&gt;"")*($AS$11:$AS259="✓")),"")</f>
        <v/>
      </c>
      <c r="BA259" s="21" t="str">
        <f>IF($AL259="","",$AL259&amp;"|"&amp;COUNTIF($AL$11:$AL259,$AL259))</f>
        <v/>
      </c>
    </row>
    <row r="260" spans="2:53" ht="15" customHeight="1" x14ac:dyDescent="0.25">
      <c r="B260" s="5" t="str">
        <f t="shared" si="45"/>
        <v/>
      </c>
      <c r="C260" s="5"/>
      <c r="D260" s="5"/>
      <c r="E260" s="5"/>
      <c r="F260" s="6"/>
      <c r="G260" s="6"/>
      <c r="H260" s="7"/>
      <c r="I260" s="8"/>
      <c r="K260" s="23" t="str">
        <f>IFERROR(INDEX($AL$11:$AL$4010,MATCH(250,$AX$11:$AX$4010,0)),"")</f>
        <v/>
      </c>
      <c r="L260" s="24" t="str">
        <f t="shared" si="46"/>
        <v/>
      </c>
      <c r="M260" s="25" t="str">
        <f t="shared" si="47"/>
        <v/>
      </c>
      <c r="N260" s="25" t="str">
        <f t="shared" si="48"/>
        <v/>
      </c>
      <c r="W260" s="28" t="str">
        <f>IF(X260="","",IFERROR(INDEX($AL$11:$AL$4010,MATCH(250,$AY$11:$AY$4010,0)),""))</f>
        <v/>
      </c>
      <c r="X260" s="26" t="str">
        <f>IFERROR(INDEX($AM$11:$AM$4010,MATCH(250,$AY$11:$AY$4010,0)),"")</f>
        <v/>
      </c>
      <c r="Y260" s="25" t="str">
        <f>IF(X260="","",IFERROR(INDEX($AN$11:$AN$4010,MATCH(250,$AY$11:$AY$4010,0)),""))</f>
        <v/>
      </c>
      <c r="Z260" s="25" t="str">
        <f>IF(X260="","",IFERROR(INDEX($AO$11:$AO$4010,MATCH(250,$AY$11:$AY$4010,0)),""))</f>
        <v/>
      </c>
      <c r="AA260" s="24" t="str">
        <f>IF(X260="","",IFERROR(INDEX($AQ$11:$AQ$4010,MATCH(250,$AY$11:$AY$4010,0)),""))</f>
        <v/>
      </c>
      <c r="AB260" s="29" t="str">
        <f>IF(X260="","",IFERROR(INDEX($AR$11:$AR$4010,MATCH(250,$AY$11:$AY$4010,0)),""))</f>
        <v/>
      </c>
      <c r="AD260" s="30" t="str">
        <f>IF(AE260="","",IFERROR(INDEX($AL$11:$AL$4010,MATCH(250,$AZ$11:$AZ$4010,0)),""))</f>
        <v/>
      </c>
      <c r="AE260" s="26" t="str">
        <f>IFERROR(INDEX($AM$11:$AM$4010,MATCH(250,$AZ$11:$AZ$4010,0)),"")</f>
        <v/>
      </c>
      <c r="AF260" s="25" t="str">
        <f>IF(AE260="","",IFERROR(INDEX($AN$11:$AN$4010,MATCH(250,$AZ$11:$AZ$4010,0)),""))</f>
        <v/>
      </c>
      <c r="AG260" s="25" t="str">
        <f>IF(AE260="","",IFERROR(INDEX($AO$11:$AO$4010,MATCH(250,$AZ$11:$AZ$4010,0)),""))</f>
        <v/>
      </c>
      <c r="AH260" s="24" t="str">
        <f>IF(AE260="","",IFERROR(INDEX($AQ$11:$AQ$4010,MATCH(250,$AZ$11:$AZ$4010,0)),""))</f>
        <v/>
      </c>
      <c r="AI260" s="29" t="str">
        <f>IF(AE260="","",IFERROR(INDEX($AR$11:$AR$4010,MATCH(250,$AZ$11:$AZ$4010,0)),""))</f>
        <v/>
      </c>
      <c r="AJ260" s="29" t="str">
        <f>IF(AE260="","",IFERROR(INDEX($AT$11:$AT$4010,MATCH(250,$AZ$11:$AZ$4010,0)),""))</f>
        <v/>
      </c>
      <c r="AL260" s="31" t="str">
        <f t="shared" si="50"/>
        <v/>
      </c>
      <c r="AM260" s="26" t="str">
        <f t="shared" si="51"/>
        <v/>
      </c>
      <c r="AN260" s="32" t="str">
        <f t="shared" si="52"/>
        <v/>
      </c>
      <c r="AO260" s="32" t="str">
        <f t="shared" si="53"/>
        <v/>
      </c>
      <c r="AP260" s="24" t="str">
        <f t="shared" si="54"/>
        <v/>
      </c>
      <c r="AQ260" s="24" t="str">
        <f t="shared" si="55"/>
        <v/>
      </c>
      <c r="AR260" s="33" t="str">
        <f t="shared" si="56"/>
        <v/>
      </c>
      <c r="AS260" s="34"/>
      <c r="AT260" s="33"/>
      <c r="AV260" s="21">
        <f>IF(AND($AL260&lt;&gt;"",COUNTIF($AL$11:$AL260,$AL260)=1),1,0)</f>
        <v>0</v>
      </c>
      <c r="AW260" s="21">
        <f t="shared" si="58"/>
        <v>0</v>
      </c>
      <c r="AX260" s="21" t="str">
        <f t="shared" si="57"/>
        <v/>
      </c>
      <c r="AY260" s="21" t="str">
        <f>IF(AND($AM260&lt;&gt;"",$AS260&lt;&gt;"✓"),SUMPRODUCT(($AM$11:$AM260&lt;&gt;"")*($AS$11:$AS260&lt;&gt;"✓")),"")</f>
        <v/>
      </c>
      <c r="AZ260" s="21" t="str">
        <f>IF(AND($AM260&lt;&gt;"",$AS260="✓"),SUMPRODUCT(($AM$11:$AM260&lt;&gt;"")*($AS$11:$AS260="✓")),"")</f>
        <v/>
      </c>
      <c r="BA260" s="21" t="str">
        <f>IF($AL260="","",$AL260&amp;"|"&amp;COUNTIF($AL$11:$AL260,$AL260))</f>
        <v/>
      </c>
    </row>
    <row r="261" spans="2:53" ht="15" customHeight="1" x14ac:dyDescent="0.25">
      <c r="B261" s="5" t="str">
        <f t="shared" si="45"/>
        <v/>
      </c>
      <c r="C261" s="5"/>
      <c r="D261" s="5"/>
      <c r="E261" s="5"/>
      <c r="F261" s="6"/>
      <c r="G261" s="6"/>
      <c r="H261" s="7"/>
      <c r="I261" s="8"/>
      <c r="K261" s="9" t="str">
        <f>IFERROR(INDEX($AL$11:$AL$4010,MATCH(251,$AX$11:$AX$4010,0)),"")</f>
        <v/>
      </c>
      <c r="L261" s="10" t="str">
        <f t="shared" si="46"/>
        <v/>
      </c>
      <c r="M261" s="11" t="str">
        <f t="shared" si="47"/>
        <v/>
      </c>
      <c r="N261" s="11" t="str">
        <f t="shared" si="48"/>
        <v/>
      </c>
      <c r="W261" s="14" t="str">
        <f>IF(X261="","",IFERROR(INDEX($AL$11:$AL$4010,MATCH(251,$AY$11:$AY$4010,0)),""))</f>
        <v/>
      </c>
      <c r="X261" s="12" t="str">
        <f>IFERROR(INDEX($AM$11:$AM$4010,MATCH(251,$AY$11:$AY$4010,0)),"")</f>
        <v/>
      </c>
      <c r="Y261" s="11" t="str">
        <f>IF(X261="","",IFERROR(INDEX($AN$11:$AN$4010,MATCH(251,$AY$11:$AY$4010,0)),""))</f>
        <v/>
      </c>
      <c r="Z261" s="11" t="str">
        <f>IF(X261="","",IFERROR(INDEX($AO$11:$AO$4010,MATCH(251,$AY$11:$AY$4010,0)),""))</f>
        <v/>
      </c>
      <c r="AA261" s="10" t="str">
        <f>IF(X261="","",IFERROR(INDEX($AQ$11:$AQ$4010,MATCH(251,$AY$11:$AY$4010,0)),""))</f>
        <v/>
      </c>
      <c r="AB261" s="15" t="str">
        <f>IF(X261="","",IFERROR(INDEX($AR$11:$AR$4010,MATCH(251,$AY$11:$AY$4010,0)),""))</f>
        <v/>
      </c>
      <c r="AD261" s="16" t="str">
        <f>IF(AE261="","",IFERROR(INDEX($AL$11:$AL$4010,MATCH(251,$AZ$11:$AZ$4010,0)),""))</f>
        <v/>
      </c>
      <c r="AE261" s="12" t="str">
        <f>IFERROR(INDEX($AM$11:$AM$4010,MATCH(251,$AZ$11:$AZ$4010,0)),"")</f>
        <v/>
      </c>
      <c r="AF261" s="11" t="str">
        <f>IF(AE261="","",IFERROR(INDEX($AN$11:$AN$4010,MATCH(251,$AZ$11:$AZ$4010,0)),""))</f>
        <v/>
      </c>
      <c r="AG261" s="11" t="str">
        <f>IF(AE261="","",IFERROR(INDEX($AO$11:$AO$4010,MATCH(251,$AZ$11:$AZ$4010,0)),""))</f>
        <v/>
      </c>
      <c r="AH261" s="10" t="str">
        <f>IF(AE261="","",IFERROR(INDEX($AQ$11:$AQ$4010,MATCH(251,$AZ$11:$AZ$4010,0)),""))</f>
        <v/>
      </c>
      <c r="AI261" s="15" t="str">
        <f>IF(AE261="","",IFERROR(INDEX($AR$11:$AR$4010,MATCH(251,$AZ$11:$AZ$4010,0)),""))</f>
        <v/>
      </c>
      <c r="AJ261" s="15" t="str">
        <f>IF(AE261="","",IFERROR(INDEX($AT$11:$AT$4010,MATCH(251,$AZ$11:$AZ$4010,0)),""))</f>
        <v/>
      </c>
      <c r="AL261" s="17" t="str">
        <f t="shared" si="50"/>
        <v/>
      </c>
      <c r="AM261" s="12" t="str">
        <f t="shared" si="51"/>
        <v/>
      </c>
      <c r="AN261" s="18" t="str">
        <f t="shared" si="52"/>
        <v/>
      </c>
      <c r="AO261" s="18" t="str">
        <f t="shared" si="53"/>
        <v/>
      </c>
      <c r="AP261" s="10" t="str">
        <f t="shared" si="54"/>
        <v/>
      </c>
      <c r="AQ261" s="10" t="str">
        <f t="shared" si="55"/>
        <v/>
      </c>
      <c r="AR261" s="19" t="str">
        <f t="shared" si="56"/>
        <v/>
      </c>
      <c r="AS261" s="20"/>
      <c r="AT261" s="19"/>
      <c r="AV261" s="21">
        <f>IF(AND($AL261&lt;&gt;"",COUNTIF($AL$11:$AL261,$AL261)=1),1,0)</f>
        <v>0</v>
      </c>
      <c r="AW261" s="21">
        <f t="shared" si="58"/>
        <v>0</v>
      </c>
      <c r="AX261" s="21" t="str">
        <f t="shared" si="57"/>
        <v/>
      </c>
      <c r="AY261" s="21" t="str">
        <f>IF(AND($AM261&lt;&gt;"",$AS261&lt;&gt;"✓"),SUMPRODUCT(($AM$11:$AM261&lt;&gt;"")*($AS$11:$AS261&lt;&gt;"✓")),"")</f>
        <v/>
      </c>
      <c r="AZ261" s="21" t="str">
        <f>IF(AND($AM261&lt;&gt;"",$AS261="✓"),SUMPRODUCT(($AM$11:$AM261&lt;&gt;"")*($AS$11:$AS261="✓")),"")</f>
        <v/>
      </c>
      <c r="BA261" s="21" t="str">
        <f>IF($AL261="","",$AL261&amp;"|"&amp;COUNTIF($AL$11:$AL261,$AL261))</f>
        <v/>
      </c>
    </row>
    <row r="262" spans="2:53" ht="15" customHeight="1" x14ac:dyDescent="0.25">
      <c r="B262" s="5" t="str">
        <f t="shared" si="45"/>
        <v/>
      </c>
      <c r="C262" s="5"/>
      <c r="D262" s="5"/>
      <c r="E262" s="5"/>
      <c r="F262" s="6"/>
      <c r="G262" s="6"/>
      <c r="H262" s="7"/>
      <c r="I262" s="8"/>
      <c r="K262" s="23" t="str">
        <f>IFERROR(INDEX($AL$11:$AL$4010,MATCH(252,$AX$11:$AX$4010,0)),"")</f>
        <v/>
      </c>
      <c r="L262" s="24" t="str">
        <f t="shared" si="46"/>
        <v/>
      </c>
      <c r="M262" s="25" t="str">
        <f t="shared" si="47"/>
        <v/>
      </c>
      <c r="N262" s="25" t="str">
        <f t="shared" si="48"/>
        <v/>
      </c>
      <c r="W262" s="28" t="str">
        <f>IF(X262="","",IFERROR(INDEX($AL$11:$AL$4010,MATCH(252,$AY$11:$AY$4010,0)),""))</f>
        <v/>
      </c>
      <c r="X262" s="26" t="str">
        <f>IFERROR(INDEX($AM$11:$AM$4010,MATCH(252,$AY$11:$AY$4010,0)),"")</f>
        <v/>
      </c>
      <c r="Y262" s="25" t="str">
        <f>IF(X262="","",IFERROR(INDEX($AN$11:$AN$4010,MATCH(252,$AY$11:$AY$4010,0)),""))</f>
        <v/>
      </c>
      <c r="Z262" s="25" t="str">
        <f>IF(X262="","",IFERROR(INDEX($AO$11:$AO$4010,MATCH(252,$AY$11:$AY$4010,0)),""))</f>
        <v/>
      </c>
      <c r="AA262" s="24" t="str">
        <f>IF(X262="","",IFERROR(INDEX($AQ$11:$AQ$4010,MATCH(252,$AY$11:$AY$4010,0)),""))</f>
        <v/>
      </c>
      <c r="AB262" s="29" t="str">
        <f>IF(X262="","",IFERROR(INDEX($AR$11:$AR$4010,MATCH(252,$AY$11:$AY$4010,0)),""))</f>
        <v/>
      </c>
      <c r="AD262" s="30" t="str">
        <f>IF(AE262="","",IFERROR(INDEX($AL$11:$AL$4010,MATCH(252,$AZ$11:$AZ$4010,0)),""))</f>
        <v/>
      </c>
      <c r="AE262" s="26" t="str">
        <f>IFERROR(INDEX($AM$11:$AM$4010,MATCH(252,$AZ$11:$AZ$4010,0)),"")</f>
        <v/>
      </c>
      <c r="AF262" s="25" t="str">
        <f>IF(AE262="","",IFERROR(INDEX($AN$11:$AN$4010,MATCH(252,$AZ$11:$AZ$4010,0)),""))</f>
        <v/>
      </c>
      <c r="AG262" s="25" t="str">
        <f>IF(AE262="","",IFERROR(INDEX($AO$11:$AO$4010,MATCH(252,$AZ$11:$AZ$4010,0)),""))</f>
        <v/>
      </c>
      <c r="AH262" s="24" t="str">
        <f>IF(AE262="","",IFERROR(INDEX($AQ$11:$AQ$4010,MATCH(252,$AZ$11:$AZ$4010,0)),""))</f>
        <v/>
      </c>
      <c r="AI262" s="29" t="str">
        <f>IF(AE262="","",IFERROR(INDEX($AR$11:$AR$4010,MATCH(252,$AZ$11:$AZ$4010,0)),""))</f>
        <v/>
      </c>
      <c r="AJ262" s="29" t="str">
        <f>IF(AE262="","",IFERROR(INDEX($AT$11:$AT$4010,MATCH(252,$AZ$11:$AZ$4010,0)),""))</f>
        <v/>
      </c>
      <c r="AL262" s="31" t="str">
        <f t="shared" si="50"/>
        <v/>
      </c>
      <c r="AM262" s="26" t="str">
        <f t="shared" si="51"/>
        <v/>
      </c>
      <c r="AN262" s="32" t="str">
        <f t="shared" si="52"/>
        <v/>
      </c>
      <c r="AO262" s="32" t="str">
        <f t="shared" si="53"/>
        <v/>
      </c>
      <c r="AP262" s="24" t="str">
        <f t="shared" si="54"/>
        <v/>
      </c>
      <c r="AQ262" s="24" t="str">
        <f t="shared" si="55"/>
        <v/>
      </c>
      <c r="AR262" s="33" t="str">
        <f t="shared" si="56"/>
        <v/>
      </c>
      <c r="AS262" s="34"/>
      <c r="AT262" s="33"/>
      <c r="AV262" s="21">
        <f>IF(AND($AL262&lt;&gt;"",COUNTIF($AL$11:$AL262,$AL262)=1),1,0)</f>
        <v>0</v>
      </c>
      <c r="AW262" s="21">
        <f t="shared" si="58"/>
        <v>0</v>
      </c>
      <c r="AX262" s="21" t="str">
        <f t="shared" si="57"/>
        <v/>
      </c>
      <c r="AY262" s="21" t="str">
        <f>IF(AND($AM262&lt;&gt;"",$AS262&lt;&gt;"✓"),SUMPRODUCT(($AM$11:$AM262&lt;&gt;"")*($AS$11:$AS262&lt;&gt;"✓")),"")</f>
        <v/>
      </c>
      <c r="AZ262" s="21" t="str">
        <f>IF(AND($AM262&lt;&gt;"",$AS262="✓"),SUMPRODUCT(($AM$11:$AM262&lt;&gt;"")*($AS$11:$AS262="✓")),"")</f>
        <v/>
      </c>
      <c r="BA262" s="21" t="str">
        <f>IF($AL262="","",$AL262&amp;"|"&amp;COUNTIF($AL$11:$AL262,$AL262))</f>
        <v/>
      </c>
    </row>
    <row r="263" spans="2:53" ht="15" customHeight="1" x14ac:dyDescent="0.25">
      <c r="B263" s="5" t="str">
        <f t="shared" si="45"/>
        <v/>
      </c>
      <c r="C263" s="5"/>
      <c r="D263" s="5"/>
      <c r="E263" s="5"/>
      <c r="F263" s="6"/>
      <c r="G263" s="6"/>
      <c r="H263" s="7"/>
      <c r="I263" s="8"/>
      <c r="K263" s="9" t="str">
        <f>IFERROR(INDEX($AL$11:$AL$4010,MATCH(253,$AX$11:$AX$4010,0)),"")</f>
        <v/>
      </c>
      <c r="L263" s="10" t="str">
        <f t="shared" si="46"/>
        <v/>
      </c>
      <c r="M263" s="11" t="str">
        <f t="shared" si="47"/>
        <v/>
      </c>
      <c r="N263" s="11" t="str">
        <f t="shared" si="48"/>
        <v/>
      </c>
      <c r="W263" s="14" t="str">
        <f>IF(X263="","",IFERROR(INDEX($AL$11:$AL$4010,MATCH(253,$AY$11:$AY$4010,0)),""))</f>
        <v/>
      </c>
      <c r="X263" s="12" t="str">
        <f>IFERROR(INDEX($AM$11:$AM$4010,MATCH(253,$AY$11:$AY$4010,0)),"")</f>
        <v/>
      </c>
      <c r="Y263" s="11" t="str">
        <f>IF(X263="","",IFERROR(INDEX($AN$11:$AN$4010,MATCH(253,$AY$11:$AY$4010,0)),""))</f>
        <v/>
      </c>
      <c r="Z263" s="11" t="str">
        <f>IF(X263="","",IFERROR(INDEX($AO$11:$AO$4010,MATCH(253,$AY$11:$AY$4010,0)),""))</f>
        <v/>
      </c>
      <c r="AA263" s="10" t="str">
        <f>IF(X263="","",IFERROR(INDEX($AQ$11:$AQ$4010,MATCH(253,$AY$11:$AY$4010,0)),""))</f>
        <v/>
      </c>
      <c r="AB263" s="15" t="str">
        <f>IF(X263="","",IFERROR(INDEX($AR$11:$AR$4010,MATCH(253,$AY$11:$AY$4010,0)),""))</f>
        <v/>
      </c>
      <c r="AD263" s="16" t="str">
        <f>IF(AE263="","",IFERROR(INDEX($AL$11:$AL$4010,MATCH(253,$AZ$11:$AZ$4010,0)),""))</f>
        <v/>
      </c>
      <c r="AE263" s="12" t="str">
        <f>IFERROR(INDEX($AM$11:$AM$4010,MATCH(253,$AZ$11:$AZ$4010,0)),"")</f>
        <v/>
      </c>
      <c r="AF263" s="11" t="str">
        <f>IF(AE263="","",IFERROR(INDEX($AN$11:$AN$4010,MATCH(253,$AZ$11:$AZ$4010,0)),""))</f>
        <v/>
      </c>
      <c r="AG263" s="11" t="str">
        <f>IF(AE263="","",IFERROR(INDEX($AO$11:$AO$4010,MATCH(253,$AZ$11:$AZ$4010,0)),""))</f>
        <v/>
      </c>
      <c r="AH263" s="10" t="str">
        <f>IF(AE263="","",IFERROR(INDEX($AQ$11:$AQ$4010,MATCH(253,$AZ$11:$AZ$4010,0)),""))</f>
        <v/>
      </c>
      <c r="AI263" s="15" t="str">
        <f>IF(AE263="","",IFERROR(INDEX($AR$11:$AR$4010,MATCH(253,$AZ$11:$AZ$4010,0)),""))</f>
        <v/>
      </c>
      <c r="AJ263" s="15" t="str">
        <f>IF(AE263="","",IFERROR(INDEX($AT$11:$AT$4010,MATCH(253,$AZ$11:$AZ$4010,0)),""))</f>
        <v/>
      </c>
      <c r="AL263" s="17" t="str">
        <f t="shared" si="50"/>
        <v/>
      </c>
      <c r="AM263" s="12" t="str">
        <f t="shared" si="51"/>
        <v/>
      </c>
      <c r="AN263" s="18" t="str">
        <f t="shared" si="52"/>
        <v/>
      </c>
      <c r="AO263" s="18" t="str">
        <f t="shared" si="53"/>
        <v/>
      </c>
      <c r="AP263" s="10" t="str">
        <f t="shared" si="54"/>
        <v/>
      </c>
      <c r="AQ263" s="10" t="str">
        <f t="shared" si="55"/>
        <v/>
      </c>
      <c r="AR263" s="19" t="str">
        <f t="shared" si="56"/>
        <v/>
      </c>
      <c r="AS263" s="20"/>
      <c r="AT263" s="19"/>
      <c r="AV263" s="21">
        <f>IF(AND($AL263&lt;&gt;"",COUNTIF($AL$11:$AL263,$AL263)=1),1,0)</f>
        <v>0</v>
      </c>
      <c r="AW263" s="21">
        <f t="shared" si="58"/>
        <v>0</v>
      </c>
      <c r="AX263" s="21" t="str">
        <f t="shared" si="57"/>
        <v/>
      </c>
      <c r="AY263" s="21" t="str">
        <f>IF(AND($AM263&lt;&gt;"",$AS263&lt;&gt;"✓"),SUMPRODUCT(($AM$11:$AM263&lt;&gt;"")*($AS$11:$AS263&lt;&gt;"✓")),"")</f>
        <v/>
      </c>
      <c r="AZ263" s="21" t="str">
        <f>IF(AND($AM263&lt;&gt;"",$AS263="✓"),SUMPRODUCT(($AM$11:$AM263&lt;&gt;"")*($AS$11:$AS263="✓")),"")</f>
        <v/>
      </c>
      <c r="BA263" s="21" t="str">
        <f>IF($AL263="","",$AL263&amp;"|"&amp;COUNTIF($AL$11:$AL263,$AL263))</f>
        <v/>
      </c>
    </row>
    <row r="264" spans="2:53" ht="15" customHeight="1" x14ac:dyDescent="0.25">
      <c r="B264" s="5" t="str">
        <f t="shared" si="45"/>
        <v/>
      </c>
      <c r="C264" s="5"/>
      <c r="D264" s="5"/>
      <c r="E264" s="5"/>
      <c r="F264" s="6"/>
      <c r="G264" s="6"/>
      <c r="H264" s="7"/>
      <c r="I264" s="8"/>
      <c r="K264" s="23" t="str">
        <f>IFERROR(INDEX($AL$11:$AL$4010,MATCH(254,$AX$11:$AX$4010,0)),"")</f>
        <v/>
      </c>
      <c r="L264" s="24" t="str">
        <f t="shared" si="46"/>
        <v/>
      </c>
      <c r="M264" s="25" t="str">
        <f t="shared" si="47"/>
        <v/>
      </c>
      <c r="N264" s="25" t="str">
        <f t="shared" si="48"/>
        <v/>
      </c>
      <c r="W264" s="28" t="str">
        <f>IF(X264="","",IFERROR(INDEX($AL$11:$AL$4010,MATCH(254,$AY$11:$AY$4010,0)),""))</f>
        <v/>
      </c>
      <c r="X264" s="26" t="str">
        <f>IFERROR(INDEX($AM$11:$AM$4010,MATCH(254,$AY$11:$AY$4010,0)),"")</f>
        <v/>
      </c>
      <c r="Y264" s="25" t="str">
        <f>IF(X264="","",IFERROR(INDEX($AN$11:$AN$4010,MATCH(254,$AY$11:$AY$4010,0)),""))</f>
        <v/>
      </c>
      <c r="Z264" s="25" t="str">
        <f>IF(X264="","",IFERROR(INDEX($AO$11:$AO$4010,MATCH(254,$AY$11:$AY$4010,0)),""))</f>
        <v/>
      </c>
      <c r="AA264" s="24" t="str">
        <f>IF(X264="","",IFERROR(INDEX($AQ$11:$AQ$4010,MATCH(254,$AY$11:$AY$4010,0)),""))</f>
        <v/>
      </c>
      <c r="AB264" s="29" t="str">
        <f>IF(X264="","",IFERROR(INDEX($AR$11:$AR$4010,MATCH(254,$AY$11:$AY$4010,0)),""))</f>
        <v/>
      </c>
      <c r="AD264" s="30" t="str">
        <f>IF(AE264="","",IFERROR(INDEX($AL$11:$AL$4010,MATCH(254,$AZ$11:$AZ$4010,0)),""))</f>
        <v/>
      </c>
      <c r="AE264" s="26" t="str">
        <f>IFERROR(INDEX($AM$11:$AM$4010,MATCH(254,$AZ$11:$AZ$4010,0)),"")</f>
        <v/>
      </c>
      <c r="AF264" s="25" t="str">
        <f>IF(AE264="","",IFERROR(INDEX($AN$11:$AN$4010,MATCH(254,$AZ$11:$AZ$4010,0)),""))</f>
        <v/>
      </c>
      <c r="AG264" s="25" t="str">
        <f>IF(AE264="","",IFERROR(INDEX($AO$11:$AO$4010,MATCH(254,$AZ$11:$AZ$4010,0)),""))</f>
        <v/>
      </c>
      <c r="AH264" s="24" t="str">
        <f>IF(AE264="","",IFERROR(INDEX($AQ$11:$AQ$4010,MATCH(254,$AZ$11:$AZ$4010,0)),""))</f>
        <v/>
      </c>
      <c r="AI264" s="29" t="str">
        <f>IF(AE264="","",IFERROR(INDEX($AR$11:$AR$4010,MATCH(254,$AZ$11:$AZ$4010,0)),""))</f>
        <v/>
      </c>
      <c r="AJ264" s="29" t="str">
        <f>IF(AE264="","",IFERROR(INDEX($AT$11:$AT$4010,MATCH(254,$AZ$11:$AZ$4010,0)),""))</f>
        <v/>
      </c>
      <c r="AL264" s="31" t="str">
        <f t="shared" si="50"/>
        <v/>
      </c>
      <c r="AM264" s="26" t="str">
        <f t="shared" si="51"/>
        <v/>
      </c>
      <c r="AN264" s="32" t="str">
        <f t="shared" si="52"/>
        <v/>
      </c>
      <c r="AO264" s="32" t="str">
        <f t="shared" si="53"/>
        <v/>
      </c>
      <c r="AP264" s="24" t="str">
        <f t="shared" si="54"/>
        <v/>
      </c>
      <c r="AQ264" s="24" t="str">
        <f t="shared" si="55"/>
        <v/>
      </c>
      <c r="AR264" s="33" t="str">
        <f t="shared" si="56"/>
        <v/>
      </c>
      <c r="AS264" s="34"/>
      <c r="AT264" s="33"/>
      <c r="AV264" s="21">
        <f>IF(AND($AL264&lt;&gt;"",COUNTIF($AL$11:$AL264,$AL264)=1),1,0)</f>
        <v>0</v>
      </c>
      <c r="AW264" s="21">
        <f t="shared" si="58"/>
        <v>0</v>
      </c>
      <c r="AX264" s="21" t="str">
        <f t="shared" si="57"/>
        <v/>
      </c>
      <c r="AY264" s="21" t="str">
        <f>IF(AND($AM264&lt;&gt;"",$AS264&lt;&gt;"✓"),SUMPRODUCT(($AM$11:$AM264&lt;&gt;"")*($AS$11:$AS264&lt;&gt;"✓")),"")</f>
        <v/>
      </c>
      <c r="AZ264" s="21" t="str">
        <f>IF(AND($AM264&lt;&gt;"",$AS264="✓"),SUMPRODUCT(($AM$11:$AM264&lt;&gt;"")*($AS$11:$AS264="✓")),"")</f>
        <v/>
      </c>
      <c r="BA264" s="21" t="str">
        <f>IF($AL264="","",$AL264&amp;"|"&amp;COUNTIF($AL$11:$AL264,$AL264))</f>
        <v/>
      </c>
    </row>
    <row r="265" spans="2:53" ht="15" customHeight="1" x14ac:dyDescent="0.25">
      <c r="B265" s="5" t="str">
        <f t="shared" si="45"/>
        <v/>
      </c>
      <c r="C265" s="5"/>
      <c r="D265" s="5"/>
      <c r="E265" s="5"/>
      <c r="F265" s="6"/>
      <c r="G265" s="6"/>
      <c r="H265" s="7"/>
      <c r="I265" s="8"/>
      <c r="K265" s="9" t="str">
        <f>IFERROR(INDEX($AL$11:$AL$4010,MATCH(255,$AX$11:$AX$4010,0)),"")</f>
        <v/>
      </c>
      <c r="L265" s="10" t="str">
        <f t="shared" si="46"/>
        <v/>
      </c>
      <c r="M265" s="11" t="str">
        <f t="shared" si="47"/>
        <v/>
      </c>
      <c r="N265" s="11" t="str">
        <f t="shared" si="48"/>
        <v/>
      </c>
      <c r="W265" s="14" t="str">
        <f>IF(X265="","",IFERROR(INDEX($AL$11:$AL$4010,MATCH(255,$AY$11:$AY$4010,0)),""))</f>
        <v/>
      </c>
      <c r="X265" s="12" t="str">
        <f>IFERROR(INDEX($AM$11:$AM$4010,MATCH(255,$AY$11:$AY$4010,0)),"")</f>
        <v/>
      </c>
      <c r="Y265" s="11" t="str">
        <f>IF(X265="","",IFERROR(INDEX($AN$11:$AN$4010,MATCH(255,$AY$11:$AY$4010,0)),""))</f>
        <v/>
      </c>
      <c r="Z265" s="11" t="str">
        <f>IF(X265="","",IFERROR(INDEX($AO$11:$AO$4010,MATCH(255,$AY$11:$AY$4010,0)),""))</f>
        <v/>
      </c>
      <c r="AA265" s="10" t="str">
        <f>IF(X265="","",IFERROR(INDEX($AQ$11:$AQ$4010,MATCH(255,$AY$11:$AY$4010,0)),""))</f>
        <v/>
      </c>
      <c r="AB265" s="15" t="str">
        <f>IF(X265="","",IFERROR(INDEX($AR$11:$AR$4010,MATCH(255,$AY$11:$AY$4010,0)),""))</f>
        <v/>
      </c>
      <c r="AD265" s="16" t="str">
        <f>IF(AE265="","",IFERROR(INDEX($AL$11:$AL$4010,MATCH(255,$AZ$11:$AZ$4010,0)),""))</f>
        <v/>
      </c>
      <c r="AE265" s="12" t="str">
        <f>IFERROR(INDEX($AM$11:$AM$4010,MATCH(255,$AZ$11:$AZ$4010,0)),"")</f>
        <v/>
      </c>
      <c r="AF265" s="11" t="str">
        <f>IF(AE265="","",IFERROR(INDEX($AN$11:$AN$4010,MATCH(255,$AZ$11:$AZ$4010,0)),""))</f>
        <v/>
      </c>
      <c r="AG265" s="11" t="str">
        <f>IF(AE265="","",IFERROR(INDEX($AO$11:$AO$4010,MATCH(255,$AZ$11:$AZ$4010,0)),""))</f>
        <v/>
      </c>
      <c r="AH265" s="10" t="str">
        <f>IF(AE265="","",IFERROR(INDEX($AQ$11:$AQ$4010,MATCH(255,$AZ$11:$AZ$4010,0)),""))</f>
        <v/>
      </c>
      <c r="AI265" s="15" t="str">
        <f>IF(AE265="","",IFERROR(INDEX($AR$11:$AR$4010,MATCH(255,$AZ$11:$AZ$4010,0)),""))</f>
        <v/>
      </c>
      <c r="AJ265" s="15" t="str">
        <f>IF(AE265="","",IFERROR(INDEX($AT$11:$AT$4010,MATCH(255,$AZ$11:$AZ$4010,0)),""))</f>
        <v/>
      </c>
      <c r="AL265" s="17" t="str">
        <f t="shared" si="50"/>
        <v/>
      </c>
      <c r="AM265" s="12" t="str">
        <f t="shared" si="51"/>
        <v/>
      </c>
      <c r="AN265" s="18" t="str">
        <f t="shared" si="52"/>
        <v/>
      </c>
      <c r="AO265" s="18" t="str">
        <f t="shared" si="53"/>
        <v/>
      </c>
      <c r="AP265" s="10" t="str">
        <f t="shared" si="54"/>
        <v/>
      </c>
      <c r="AQ265" s="10" t="str">
        <f t="shared" si="55"/>
        <v/>
      </c>
      <c r="AR265" s="19" t="str">
        <f t="shared" si="56"/>
        <v/>
      </c>
      <c r="AS265" s="20"/>
      <c r="AT265" s="19"/>
      <c r="AV265" s="21">
        <f>IF(AND($AL265&lt;&gt;"",COUNTIF($AL$11:$AL265,$AL265)=1),1,0)</f>
        <v>0</v>
      </c>
      <c r="AW265" s="21">
        <f t="shared" si="58"/>
        <v>0</v>
      </c>
      <c r="AX265" s="21" t="str">
        <f t="shared" si="57"/>
        <v/>
      </c>
      <c r="AY265" s="21" t="str">
        <f>IF(AND($AM265&lt;&gt;"",$AS265&lt;&gt;"✓"),SUMPRODUCT(($AM$11:$AM265&lt;&gt;"")*($AS$11:$AS265&lt;&gt;"✓")),"")</f>
        <v/>
      </c>
      <c r="AZ265" s="21" t="str">
        <f>IF(AND($AM265&lt;&gt;"",$AS265="✓"),SUMPRODUCT(($AM$11:$AM265&lt;&gt;"")*($AS$11:$AS265="✓")),"")</f>
        <v/>
      </c>
      <c r="BA265" s="21" t="str">
        <f>IF($AL265="","",$AL265&amp;"|"&amp;COUNTIF($AL$11:$AL265,$AL265))</f>
        <v/>
      </c>
    </row>
    <row r="266" spans="2:53" ht="15" customHeight="1" x14ac:dyDescent="0.25">
      <c r="B266" s="5" t="str">
        <f t="shared" si="45"/>
        <v/>
      </c>
      <c r="C266" s="5"/>
      <c r="D266" s="5"/>
      <c r="E266" s="5"/>
      <c r="F266" s="6"/>
      <c r="G266" s="6"/>
      <c r="H266" s="7"/>
      <c r="I266" s="8"/>
      <c r="K266" s="23" t="str">
        <f>IFERROR(INDEX($AL$11:$AL$4010,MATCH(256,$AX$11:$AX$4010,0)),"")</f>
        <v/>
      </c>
      <c r="L266" s="24" t="str">
        <f t="shared" si="46"/>
        <v/>
      </c>
      <c r="M266" s="25" t="str">
        <f t="shared" si="47"/>
        <v/>
      </c>
      <c r="N266" s="25" t="str">
        <f t="shared" si="48"/>
        <v/>
      </c>
      <c r="W266" s="28" t="str">
        <f>IF(X266="","",IFERROR(INDEX($AL$11:$AL$4010,MATCH(256,$AY$11:$AY$4010,0)),""))</f>
        <v/>
      </c>
      <c r="X266" s="26" t="str">
        <f>IFERROR(INDEX($AM$11:$AM$4010,MATCH(256,$AY$11:$AY$4010,0)),"")</f>
        <v/>
      </c>
      <c r="Y266" s="25" t="str">
        <f>IF(X266="","",IFERROR(INDEX($AN$11:$AN$4010,MATCH(256,$AY$11:$AY$4010,0)),""))</f>
        <v/>
      </c>
      <c r="Z266" s="25" t="str">
        <f>IF(X266="","",IFERROR(INDEX($AO$11:$AO$4010,MATCH(256,$AY$11:$AY$4010,0)),""))</f>
        <v/>
      </c>
      <c r="AA266" s="24" t="str">
        <f>IF(X266="","",IFERROR(INDEX($AQ$11:$AQ$4010,MATCH(256,$AY$11:$AY$4010,0)),""))</f>
        <v/>
      </c>
      <c r="AB266" s="29" t="str">
        <f>IF(X266="","",IFERROR(INDEX($AR$11:$AR$4010,MATCH(256,$AY$11:$AY$4010,0)),""))</f>
        <v/>
      </c>
      <c r="AD266" s="30" t="str">
        <f>IF(AE266="","",IFERROR(INDEX($AL$11:$AL$4010,MATCH(256,$AZ$11:$AZ$4010,0)),""))</f>
        <v/>
      </c>
      <c r="AE266" s="26" t="str">
        <f>IFERROR(INDEX($AM$11:$AM$4010,MATCH(256,$AZ$11:$AZ$4010,0)),"")</f>
        <v/>
      </c>
      <c r="AF266" s="25" t="str">
        <f>IF(AE266="","",IFERROR(INDEX($AN$11:$AN$4010,MATCH(256,$AZ$11:$AZ$4010,0)),""))</f>
        <v/>
      </c>
      <c r="AG266" s="25" t="str">
        <f>IF(AE266="","",IFERROR(INDEX($AO$11:$AO$4010,MATCH(256,$AZ$11:$AZ$4010,0)),""))</f>
        <v/>
      </c>
      <c r="AH266" s="24" t="str">
        <f>IF(AE266="","",IFERROR(INDEX($AQ$11:$AQ$4010,MATCH(256,$AZ$11:$AZ$4010,0)),""))</f>
        <v/>
      </c>
      <c r="AI266" s="29" t="str">
        <f>IF(AE266="","",IFERROR(INDEX($AR$11:$AR$4010,MATCH(256,$AZ$11:$AZ$4010,0)),""))</f>
        <v/>
      </c>
      <c r="AJ266" s="29" t="str">
        <f>IF(AE266="","",IFERROR(INDEX($AT$11:$AT$4010,MATCH(256,$AZ$11:$AZ$4010,0)),""))</f>
        <v/>
      </c>
      <c r="AL266" s="31" t="str">
        <f t="shared" si="50"/>
        <v/>
      </c>
      <c r="AM266" s="26" t="str">
        <f t="shared" si="51"/>
        <v/>
      </c>
      <c r="AN266" s="32" t="str">
        <f t="shared" si="52"/>
        <v/>
      </c>
      <c r="AO266" s="32" t="str">
        <f t="shared" si="53"/>
        <v/>
      </c>
      <c r="AP266" s="24" t="str">
        <f t="shared" si="54"/>
        <v/>
      </c>
      <c r="AQ266" s="24" t="str">
        <f t="shared" si="55"/>
        <v/>
      </c>
      <c r="AR266" s="33" t="str">
        <f t="shared" si="56"/>
        <v/>
      </c>
      <c r="AS266" s="34"/>
      <c r="AT266" s="33"/>
      <c r="AV266" s="21">
        <f>IF(AND($AL266&lt;&gt;"",COUNTIF($AL$11:$AL266,$AL266)=1),1,0)</f>
        <v>0</v>
      </c>
      <c r="AW266" s="21">
        <f t="shared" si="58"/>
        <v>0</v>
      </c>
      <c r="AX266" s="21" t="str">
        <f t="shared" si="57"/>
        <v/>
      </c>
      <c r="AY266" s="21" t="str">
        <f>IF(AND($AM266&lt;&gt;"",$AS266&lt;&gt;"✓"),SUMPRODUCT(($AM$11:$AM266&lt;&gt;"")*($AS$11:$AS266&lt;&gt;"✓")),"")</f>
        <v/>
      </c>
      <c r="AZ266" s="21" t="str">
        <f>IF(AND($AM266&lt;&gt;"",$AS266="✓"),SUMPRODUCT(($AM$11:$AM266&lt;&gt;"")*($AS$11:$AS266="✓")),"")</f>
        <v/>
      </c>
      <c r="BA266" s="21" t="str">
        <f>IF($AL266="","",$AL266&amp;"|"&amp;COUNTIF($AL$11:$AL266,$AL266))</f>
        <v/>
      </c>
    </row>
    <row r="267" spans="2:53" ht="15" customHeight="1" x14ac:dyDescent="0.25">
      <c r="B267" s="5" t="str">
        <f t="shared" ref="B267:B330" si="59">IF($C267="","",ROW()-10)</f>
        <v/>
      </c>
      <c r="C267" s="5"/>
      <c r="D267" s="5"/>
      <c r="E267" s="5"/>
      <c r="F267" s="6"/>
      <c r="G267" s="6"/>
      <c r="H267" s="7"/>
      <c r="I267" s="8"/>
      <c r="K267" s="9" t="str">
        <f>IFERROR(INDEX($AL$11:$AL$4010,MATCH(257,$AX$11:$AX$4010,0)),"")</f>
        <v/>
      </c>
      <c r="L267" s="10" t="str">
        <f t="shared" ref="L267:L330" si="60">IF(K267="","",COUNTIF($AL$11:$AL$4010,K267))</f>
        <v/>
      </c>
      <c r="M267" s="11" t="str">
        <f t="shared" ref="M267:M310" si="61">IF(K267="","",SUMIF($AL$11:$AL$4010,K267,$AN$11:$AN$4010))</f>
        <v/>
      </c>
      <c r="N267" s="11" t="str">
        <f t="shared" ref="N267:N310" si="62">IF(K267="","",SUMIF($AL$11:$AL$4010,K267,$AO$11:$AO$4010))</f>
        <v/>
      </c>
      <c r="W267" s="14" t="str">
        <f>IF(X267="","",IFERROR(INDEX($AL$11:$AL$4010,MATCH(257,$AY$11:$AY$4010,0)),""))</f>
        <v/>
      </c>
      <c r="X267" s="12" t="str">
        <f>IFERROR(INDEX($AM$11:$AM$4010,MATCH(257,$AY$11:$AY$4010,0)),"")</f>
        <v/>
      </c>
      <c r="Y267" s="11" t="str">
        <f>IF(X267="","",IFERROR(INDEX($AN$11:$AN$4010,MATCH(257,$AY$11:$AY$4010,0)),""))</f>
        <v/>
      </c>
      <c r="Z267" s="11" t="str">
        <f>IF(X267="","",IFERROR(INDEX($AO$11:$AO$4010,MATCH(257,$AY$11:$AY$4010,0)),""))</f>
        <v/>
      </c>
      <c r="AA267" s="10" t="str">
        <f>IF(X267="","",IFERROR(INDEX($AQ$11:$AQ$4010,MATCH(257,$AY$11:$AY$4010,0)),""))</f>
        <v/>
      </c>
      <c r="AB267" s="15" t="str">
        <f>IF(X267="","",IFERROR(INDEX($AR$11:$AR$4010,MATCH(257,$AY$11:$AY$4010,0)),""))</f>
        <v/>
      </c>
      <c r="AD267" s="16" t="str">
        <f>IF(AE267="","",IFERROR(INDEX($AL$11:$AL$4010,MATCH(257,$AZ$11:$AZ$4010,0)),""))</f>
        <v/>
      </c>
      <c r="AE267" s="12" t="str">
        <f>IFERROR(INDEX($AM$11:$AM$4010,MATCH(257,$AZ$11:$AZ$4010,0)),"")</f>
        <v/>
      </c>
      <c r="AF267" s="11" t="str">
        <f>IF(AE267="","",IFERROR(INDEX($AN$11:$AN$4010,MATCH(257,$AZ$11:$AZ$4010,0)),""))</f>
        <v/>
      </c>
      <c r="AG267" s="11" t="str">
        <f>IF(AE267="","",IFERROR(INDEX($AO$11:$AO$4010,MATCH(257,$AZ$11:$AZ$4010,0)),""))</f>
        <v/>
      </c>
      <c r="AH267" s="10" t="str">
        <f>IF(AE267="","",IFERROR(INDEX($AQ$11:$AQ$4010,MATCH(257,$AZ$11:$AZ$4010,0)),""))</f>
        <v/>
      </c>
      <c r="AI267" s="15" t="str">
        <f>IF(AE267="","",IFERROR(INDEX($AR$11:$AR$4010,MATCH(257,$AZ$11:$AZ$4010,0)),""))</f>
        <v/>
      </c>
      <c r="AJ267" s="15" t="str">
        <f>IF(AE267="","",IFERROR(INDEX($AT$11:$AT$4010,MATCH(257,$AZ$11:$AZ$4010,0)),""))</f>
        <v/>
      </c>
      <c r="AL267" s="17" t="str">
        <f t="shared" ref="AL267:AL330" si="63">IF($C267="","",$I267)</f>
        <v/>
      </c>
      <c r="AM267" s="12" t="str">
        <f t="shared" ref="AM267:AM330" si="64">IF($C267="","",$C267)</f>
        <v/>
      </c>
      <c r="AN267" s="18" t="str">
        <f t="shared" ref="AN267:AN330" si="65">IF($C267="","",$F267)</f>
        <v/>
      </c>
      <c r="AO267" s="18" t="str">
        <f t="shared" ref="AO267:AO330" si="66">IF($C267="","",$G267)</f>
        <v/>
      </c>
      <c r="AP267" s="10" t="str">
        <f t="shared" ref="AP267:AP330" si="67">IF($C267="","",$D267)</f>
        <v/>
      </c>
      <c r="AQ267" s="10" t="str">
        <f t="shared" ref="AQ267:AQ330" si="68">IF($C267="","",$E267)</f>
        <v/>
      </c>
      <c r="AR267" s="19" t="str">
        <f t="shared" ref="AR267:AR330" si="69">IF($C267="","",$H267)</f>
        <v/>
      </c>
      <c r="AS267" s="20"/>
      <c r="AT267" s="19"/>
      <c r="AV267" s="21">
        <f>IF(AND($AL267&lt;&gt;"",COUNTIF($AL$11:$AL267,$AL267)=1),1,0)</f>
        <v>0</v>
      </c>
      <c r="AW267" s="21">
        <f t="shared" si="58"/>
        <v>0</v>
      </c>
      <c r="AX267" s="21" t="str">
        <f t="shared" ref="AX267:AX330" si="70">IF(AV267=1,AW267,"")</f>
        <v/>
      </c>
      <c r="AY267" s="21" t="str">
        <f>IF(AND($AM267&lt;&gt;"",$AS267&lt;&gt;"✓"),SUMPRODUCT(($AM$11:$AM267&lt;&gt;"")*($AS$11:$AS267&lt;&gt;"✓")),"")</f>
        <v/>
      </c>
      <c r="AZ267" s="21" t="str">
        <f>IF(AND($AM267&lt;&gt;"",$AS267="✓"),SUMPRODUCT(($AM$11:$AM267&lt;&gt;"")*($AS$11:$AS267="✓")),"")</f>
        <v/>
      </c>
      <c r="BA267" s="21" t="str">
        <f>IF($AL267="","",$AL267&amp;"|"&amp;COUNTIF($AL$11:$AL267,$AL267))</f>
        <v/>
      </c>
    </row>
    <row r="268" spans="2:53" ht="15" customHeight="1" x14ac:dyDescent="0.25">
      <c r="B268" s="5" t="str">
        <f t="shared" si="59"/>
        <v/>
      </c>
      <c r="C268" s="5"/>
      <c r="D268" s="5"/>
      <c r="E268" s="5"/>
      <c r="F268" s="6"/>
      <c r="G268" s="6"/>
      <c r="H268" s="7"/>
      <c r="I268" s="8"/>
      <c r="K268" s="23" t="str">
        <f>IFERROR(INDEX($AL$11:$AL$4010,MATCH(258,$AX$11:$AX$4010,0)),"")</f>
        <v/>
      </c>
      <c r="L268" s="24" t="str">
        <f t="shared" si="60"/>
        <v/>
      </c>
      <c r="M268" s="25" t="str">
        <f t="shared" si="61"/>
        <v/>
      </c>
      <c r="N268" s="25" t="str">
        <f t="shared" si="62"/>
        <v/>
      </c>
      <c r="W268" s="28" t="str">
        <f>IF(X268="","",IFERROR(INDEX($AL$11:$AL$4010,MATCH(258,$AY$11:$AY$4010,0)),""))</f>
        <v/>
      </c>
      <c r="X268" s="26" t="str">
        <f>IFERROR(INDEX($AM$11:$AM$4010,MATCH(258,$AY$11:$AY$4010,0)),"")</f>
        <v/>
      </c>
      <c r="Y268" s="25" t="str">
        <f>IF(X268="","",IFERROR(INDEX($AN$11:$AN$4010,MATCH(258,$AY$11:$AY$4010,0)),""))</f>
        <v/>
      </c>
      <c r="Z268" s="25" t="str">
        <f>IF(X268="","",IFERROR(INDEX($AO$11:$AO$4010,MATCH(258,$AY$11:$AY$4010,0)),""))</f>
        <v/>
      </c>
      <c r="AA268" s="24" t="str">
        <f>IF(X268="","",IFERROR(INDEX($AQ$11:$AQ$4010,MATCH(258,$AY$11:$AY$4010,0)),""))</f>
        <v/>
      </c>
      <c r="AB268" s="29" t="str">
        <f>IF(X268="","",IFERROR(INDEX($AR$11:$AR$4010,MATCH(258,$AY$11:$AY$4010,0)),""))</f>
        <v/>
      </c>
      <c r="AD268" s="30" t="str">
        <f>IF(AE268="","",IFERROR(INDEX($AL$11:$AL$4010,MATCH(258,$AZ$11:$AZ$4010,0)),""))</f>
        <v/>
      </c>
      <c r="AE268" s="26" t="str">
        <f>IFERROR(INDEX($AM$11:$AM$4010,MATCH(258,$AZ$11:$AZ$4010,0)),"")</f>
        <v/>
      </c>
      <c r="AF268" s="25" t="str">
        <f>IF(AE268="","",IFERROR(INDEX($AN$11:$AN$4010,MATCH(258,$AZ$11:$AZ$4010,0)),""))</f>
        <v/>
      </c>
      <c r="AG268" s="25" t="str">
        <f>IF(AE268="","",IFERROR(INDEX($AO$11:$AO$4010,MATCH(258,$AZ$11:$AZ$4010,0)),""))</f>
        <v/>
      </c>
      <c r="AH268" s="24" t="str">
        <f>IF(AE268="","",IFERROR(INDEX($AQ$11:$AQ$4010,MATCH(258,$AZ$11:$AZ$4010,0)),""))</f>
        <v/>
      </c>
      <c r="AI268" s="29" t="str">
        <f>IF(AE268="","",IFERROR(INDEX($AR$11:$AR$4010,MATCH(258,$AZ$11:$AZ$4010,0)),""))</f>
        <v/>
      </c>
      <c r="AJ268" s="29" t="str">
        <f>IF(AE268="","",IFERROR(INDEX($AT$11:$AT$4010,MATCH(258,$AZ$11:$AZ$4010,0)),""))</f>
        <v/>
      </c>
      <c r="AL268" s="31" t="str">
        <f t="shared" si="63"/>
        <v/>
      </c>
      <c r="AM268" s="26" t="str">
        <f t="shared" si="64"/>
        <v/>
      </c>
      <c r="AN268" s="32" t="str">
        <f t="shared" si="65"/>
        <v/>
      </c>
      <c r="AO268" s="32" t="str">
        <f t="shared" si="66"/>
        <v/>
      </c>
      <c r="AP268" s="24" t="str">
        <f t="shared" si="67"/>
        <v/>
      </c>
      <c r="AQ268" s="24" t="str">
        <f t="shared" si="68"/>
        <v/>
      </c>
      <c r="AR268" s="33" t="str">
        <f t="shared" si="69"/>
        <v/>
      </c>
      <c r="AS268" s="34"/>
      <c r="AT268" s="33"/>
      <c r="AV268" s="21">
        <f>IF(AND($AL268&lt;&gt;"",COUNTIF($AL$11:$AL268,$AL268)=1),1,0)</f>
        <v>0</v>
      </c>
      <c r="AW268" s="21">
        <f t="shared" ref="AW268:AW331" si="71">AW267+AV268</f>
        <v>0</v>
      </c>
      <c r="AX268" s="21" t="str">
        <f t="shared" si="70"/>
        <v/>
      </c>
      <c r="AY268" s="21" t="str">
        <f>IF(AND($AM268&lt;&gt;"",$AS268&lt;&gt;"✓"),SUMPRODUCT(($AM$11:$AM268&lt;&gt;"")*($AS$11:$AS268&lt;&gt;"✓")),"")</f>
        <v/>
      </c>
      <c r="AZ268" s="21" t="str">
        <f>IF(AND($AM268&lt;&gt;"",$AS268="✓"),SUMPRODUCT(($AM$11:$AM268&lt;&gt;"")*($AS$11:$AS268="✓")),"")</f>
        <v/>
      </c>
      <c r="BA268" s="21" t="str">
        <f>IF($AL268="","",$AL268&amp;"|"&amp;COUNTIF($AL$11:$AL268,$AL268))</f>
        <v/>
      </c>
    </row>
    <row r="269" spans="2:53" ht="15" customHeight="1" x14ac:dyDescent="0.25">
      <c r="B269" s="5" t="str">
        <f t="shared" si="59"/>
        <v/>
      </c>
      <c r="C269" s="5"/>
      <c r="D269" s="5"/>
      <c r="E269" s="5"/>
      <c r="F269" s="6"/>
      <c r="G269" s="6"/>
      <c r="H269" s="7"/>
      <c r="I269" s="8"/>
      <c r="K269" s="9" t="str">
        <f>IFERROR(INDEX($AL$11:$AL$4010,MATCH(259,$AX$11:$AX$4010,0)),"")</f>
        <v/>
      </c>
      <c r="L269" s="10" t="str">
        <f t="shared" si="60"/>
        <v/>
      </c>
      <c r="M269" s="11" t="str">
        <f t="shared" si="61"/>
        <v/>
      </c>
      <c r="N269" s="11" t="str">
        <f t="shared" si="62"/>
        <v/>
      </c>
      <c r="W269" s="14" t="str">
        <f>IF(X269="","",IFERROR(INDEX($AL$11:$AL$4010,MATCH(259,$AY$11:$AY$4010,0)),""))</f>
        <v/>
      </c>
      <c r="X269" s="12" t="str">
        <f>IFERROR(INDEX($AM$11:$AM$4010,MATCH(259,$AY$11:$AY$4010,0)),"")</f>
        <v/>
      </c>
      <c r="Y269" s="11" t="str">
        <f>IF(X269="","",IFERROR(INDEX($AN$11:$AN$4010,MATCH(259,$AY$11:$AY$4010,0)),""))</f>
        <v/>
      </c>
      <c r="Z269" s="11" t="str">
        <f>IF(X269="","",IFERROR(INDEX($AO$11:$AO$4010,MATCH(259,$AY$11:$AY$4010,0)),""))</f>
        <v/>
      </c>
      <c r="AA269" s="10" t="str">
        <f>IF(X269="","",IFERROR(INDEX($AQ$11:$AQ$4010,MATCH(259,$AY$11:$AY$4010,0)),""))</f>
        <v/>
      </c>
      <c r="AB269" s="15" t="str">
        <f>IF(X269="","",IFERROR(INDEX($AR$11:$AR$4010,MATCH(259,$AY$11:$AY$4010,0)),""))</f>
        <v/>
      </c>
      <c r="AD269" s="16" t="str">
        <f>IF(AE269="","",IFERROR(INDEX($AL$11:$AL$4010,MATCH(259,$AZ$11:$AZ$4010,0)),""))</f>
        <v/>
      </c>
      <c r="AE269" s="12" t="str">
        <f>IFERROR(INDEX($AM$11:$AM$4010,MATCH(259,$AZ$11:$AZ$4010,0)),"")</f>
        <v/>
      </c>
      <c r="AF269" s="11" t="str">
        <f>IF(AE269="","",IFERROR(INDEX($AN$11:$AN$4010,MATCH(259,$AZ$11:$AZ$4010,0)),""))</f>
        <v/>
      </c>
      <c r="AG269" s="11" t="str">
        <f>IF(AE269="","",IFERROR(INDEX($AO$11:$AO$4010,MATCH(259,$AZ$11:$AZ$4010,0)),""))</f>
        <v/>
      </c>
      <c r="AH269" s="10" t="str">
        <f>IF(AE269="","",IFERROR(INDEX($AQ$11:$AQ$4010,MATCH(259,$AZ$11:$AZ$4010,0)),""))</f>
        <v/>
      </c>
      <c r="AI269" s="15" t="str">
        <f>IF(AE269="","",IFERROR(INDEX($AR$11:$AR$4010,MATCH(259,$AZ$11:$AZ$4010,0)),""))</f>
        <v/>
      </c>
      <c r="AJ269" s="15" t="str">
        <f>IF(AE269="","",IFERROR(INDEX($AT$11:$AT$4010,MATCH(259,$AZ$11:$AZ$4010,0)),""))</f>
        <v/>
      </c>
      <c r="AL269" s="17" t="str">
        <f t="shared" si="63"/>
        <v/>
      </c>
      <c r="AM269" s="12" t="str">
        <f t="shared" si="64"/>
        <v/>
      </c>
      <c r="AN269" s="18" t="str">
        <f t="shared" si="65"/>
        <v/>
      </c>
      <c r="AO269" s="18" t="str">
        <f t="shared" si="66"/>
        <v/>
      </c>
      <c r="AP269" s="10" t="str">
        <f t="shared" si="67"/>
        <v/>
      </c>
      <c r="AQ269" s="10" t="str">
        <f t="shared" si="68"/>
        <v/>
      </c>
      <c r="AR269" s="19" t="str">
        <f t="shared" si="69"/>
        <v/>
      </c>
      <c r="AS269" s="20"/>
      <c r="AT269" s="19"/>
      <c r="AV269" s="21">
        <f>IF(AND($AL269&lt;&gt;"",COUNTIF($AL$11:$AL269,$AL269)=1),1,0)</f>
        <v>0</v>
      </c>
      <c r="AW269" s="21">
        <f t="shared" si="71"/>
        <v>0</v>
      </c>
      <c r="AX269" s="21" t="str">
        <f t="shared" si="70"/>
        <v/>
      </c>
      <c r="AY269" s="21" t="str">
        <f>IF(AND($AM269&lt;&gt;"",$AS269&lt;&gt;"✓"),SUMPRODUCT(($AM$11:$AM269&lt;&gt;"")*($AS$11:$AS269&lt;&gt;"✓")),"")</f>
        <v/>
      </c>
      <c r="AZ269" s="21" t="str">
        <f>IF(AND($AM269&lt;&gt;"",$AS269="✓"),SUMPRODUCT(($AM$11:$AM269&lt;&gt;"")*($AS$11:$AS269="✓")),"")</f>
        <v/>
      </c>
      <c r="BA269" s="21" t="str">
        <f>IF($AL269="","",$AL269&amp;"|"&amp;COUNTIF($AL$11:$AL269,$AL269))</f>
        <v/>
      </c>
    </row>
    <row r="270" spans="2:53" ht="15" customHeight="1" x14ac:dyDescent="0.25">
      <c r="B270" s="5" t="str">
        <f t="shared" si="59"/>
        <v/>
      </c>
      <c r="C270" s="5"/>
      <c r="D270" s="5"/>
      <c r="E270" s="5"/>
      <c r="F270" s="6"/>
      <c r="G270" s="6"/>
      <c r="H270" s="7"/>
      <c r="I270" s="8"/>
      <c r="K270" s="23" t="str">
        <f>IFERROR(INDEX($AL$11:$AL$4010,MATCH(260,$AX$11:$AX$4010,0)),"")</f>
        <v/>
      </c>
      <c r="L270" s="24" t="str">
        <f t="shared" si="60"/>
        <v/>
      </c>
      <c r="M270" s="25" t="str">
        <f t="shared" si="61"/>
        <v/>
      </c>
      <c r="N270" s="25" t="str">
        <f t="shared" si="62"/>
        <v/>
      </c>
      <c r="W270" s="28" t="str">
        <f>IF(X270="","",IFERROR(INDEX($AL$11:$AL$4010,MATCH(260,$AY$11:$AY$4010,0)),""))</f>
        <v/>
      </c>
      <c r="X270" s="26" t="str">
        <f>IFERROR(INDEX($AM$11:$AM$4010,MATCH(260,$AY$11:$AY$4010,0)),"")</f>
        <v/>
      </c>
      <c r="Y270" s="25" t="str">
        <f>IF(X270="","",IFERROR(INDEX($AN$11:$AN$4010,MATCH(260,$AY$11:$AY$4010,0)),""))</f>
        <v/>
      </c>
      <c r="Z270" s="25" t="str">
        <f>IF(X270="","",IFERROR(INDEX($AO$11:$AO$4010,MATCH(260,$AY$11:$AY$4010,0)),""))</f>
        <v/>
      </c>
      <c r="AA270" s="24" t="str">
        <f>IF(X270="","",IFERROR(INDEX($AQ$11:$AQ$4010,MATCH(260,$AY$11:$AY$4010,0)),""))</f>
        <v/>
      </c>
      <c r="AB270" s="29" t="str">
        <f>IF(X270="","",IFERROR(INDEX($AR$11:$AR$4010,MATCH(260,$AY$11:$AY$4010,0)),""))</f>
        <v/>
      </c>
      <c r="AD270" s="30" t="str">
        <f>IF(AE270="","",IFERROR(INDEX($AL$11:$AL$4010,MATCH(260,$AZ$11:$AZ$4010,0)),""))</f>
        <v/>
      </c>
      <c r="AE270" s="26" t="str">
        <f>IFERROR(INDEX($AM$11:$AM$4010,MATCH(260,$AZ$11:$AZ$4010,0)),"")</f>
        <v/>
      </c>
      <c r="AF270" s="25" t="str">
        <f>IF(AE270="","",IFERROR(INDEX($AN$11:$AN$4010,MATCH(260,$AZ$11:$AZ$4010,0)),""))</f>
        <v/>
      </c>
      <c r="AG270" s="25" t="str">
        <f>IF(AE270="","",IFERROR(INDEX($AO$11:$AO$4010,MATCH(260,$AZ$11:$AZ$4010,0)),""))</f>
        <v/>
      </c>
      <c r="AH270" s="24" t="str">
        <f>IF(AE270="","",IFERROR(INDEX($AQ$11:$AQ$4010,MATCH(260,$AZ$11:$AZ$4010,0)),""))</f>
        <v/>
      </c>
      <c r="AI270" s="29" t="str">
        <f>IF(AE270="","",IFERROR(INDEX($AR$11:$AR$4010,MATCH(260,$AZ$11:$AZ$4010,0)),""))</f>
        <v/>
      </c>
      <c r="AJ270" s="29" t="str">
        <f>IF(AE270="","",IFERROR(INDEX($AT$11:$AT$4010,MATCH(260,$AZ$11:$AZ$4010,0)),""))</f>
        <v/>
      </c>
      <c r="AL270" s="31" t="str">
        <f t="shared" si="63"/>
        <v/>
      </c>
      <c r="AM270" s="26" t="str">
        <f t="shared" si="64"/>
        <v/>
      </c>
      <c r="AN270" s="32" t="str">
        <f t="shared" si="65"/>
        <v/>
      </c>
      <c r="AO270" s="32" t="str">
        <f t="shared" si="66"/>
        <v/>
      </c>
      <c r="AP270" s="24" t="str">
        <f t="shared" si="67"/>
        <v/>
      </c>
      <c r="AQ270" s="24" t="str">
        <f t="shared" si="68"/>
        <v/>
      </c>
      <c r="AR270" s="33" t="str">
        <f t="shared" si="69"/>
        <v/>
      </c>
      <c r="AS270" s="34"/>
      <c r="AT270" s="33"/>
      <c r="AV270" s="21">
        <f>IF(AND($AL270&lt;&gt;"",COUNTIF($AL$11:$AL270,$AL270)=1),1,0)</f>
        <v>0</v>
      </c>
      <c r="AW270" s="21">
        <f t="shared" si="71"/>
        <v>0</v>
      </c>
      <c r="AX270" s="21" t="str">
        <f t="shared" si="70"/>
        <v/>
      </c>
      <c r="AY270" s="21" t="str">
        <f>IF(AND($AM270&lt;&gt;"",$AS270&lt;&gt;"✓"),SUMPRODUCT(($AM$11:$AM270&lt;&gt;"")*($AS$11:$AS270&lt;&gt;"✓")),"")</f>
        <v/>
      </c>
      <c r="AZ270" s="21" t="str">
        <f>IF(AND($AM270&lt;&gt;"",$AS270="✓"),SUMPRODUCT(($AM$11:$AM270&lt;&gt;"")*($AS$11:$AS270="✓")),"")</f>
        <v/>
      </c>
      <c r="BA270" s="21" t="str">
        <f>IF($AL270="","",$AL270&amp;"|"&amp;COUNTIF($AL$11:$AL270,$AL270))</f>
        <v/>
      </c>
    </row>
    <row r="271" spans="2:53" ht="15" customHeight="1" x14ac:dyDescent="0.25">
      <c r="B271" s="5" t="str">
        <f t="shared" si="59"/>
        <v/>
      </c>
      <c r="C271" s="5"/>
      <c r="D271" s="5"/>
      <c r="E271" s="5"/>
      <c r="F271" s="6"/>
      <c r="G271" s="6"/>
      <c r="H271" s="7"/>
      <c r="I271" s="8"/>
      <c r="K271" s="9" t="str">
        <f>IFERROR(INDEX($AL$11:$AL$4010,MATCH(261,$AX$11:$AX$4010,0)),"")</f>
        <v/>
      </c>
      <c r="L271" s="10" t="str">
        <f t="shared" si="60"/>
        <v/>
      </c>
      <c r="M271" s="11" t="str">
        <f t="shared" si="61"/>
        <v/>
      </c>
      <c r="N271" s="11" t="str">
        <f t="shared" si="62"/>
        <v/>
      </c>
      <c r="W271" s="14" t="str">
        <f>IF(X271="","",IFERROR(INDEX($AL$11:$AL$4010,MATCH(261,$AY$11:$AY$4010,0)),""))</f>
        <v/>
      </c>
      <c r="X271" s="12" t="str">
        <f>IFERROR(INDEX($AM$11:$AM$4010,MATCH(261,$AY$11:$AY$4010,0)),"")</f>
        <v/>
      </c>
      <c r="Y271" s="11" t="str">
        <f>IF(X271="","",IFERROR(INDEX($AN$11:$AN$4010,MATCH(261,$AY$11:$AY$4010,0)),""))</f>
        <v/>
      </c>
      <c r="Z271" s="11" t="str">
        <f>IF(X271="","",IFERROR(INDEX($AO$11:$AO$4010,MATCH(261,$AY$11:$AY$4010,0)),""))</f>
        <v/>
      </c>
      <c r="AA271" s="10" t="str">
        <f>IF(X271="","",IFERROR(INDEX($AQ$11:$AQ$4010,MATCH(261,$AY$11:$AY$4010,0)),""))</f>
        <v/>
      </c>
      <c r="AB271" s="15" t="str">
        <f>IF(X271="","",IFERROR(INDEX($AR$11:$AR$4010,MATCH(261,$AY$11:$AY$4010,0)),""))</f>
        <v/>
      </c>
      <c r="AD271" s="16" t="str">
        <f>IF(AE271="","",IFERROR(INDEX($AL$11:$AL$4010,MATCH(261,$AZ$11:$AZ$4010,0)),""))</f>
        <v/>
      </c>
      <c r="AE271" s="12" t="str">
        <f>IFERROR(INDEX($AM$11:$AM$4010,MATCH(261,$AZ$11:$AZ$4010,0)),"")</f>
        <v/>
      </c>
      <c r="AF271" s="11" t="str">
        <f>IF(AE271="","",IFERROR(INDEX($AN$11:$AN$4010,MATCH(261,$AZ$11:$AZ$4010,0)),""))</f>
        <v/>
      </c>
      <c r="AG271" s="11" t="str">
        <f>IF(AE271="","",IFERROR(INDEX($AO$11:$AO$4010,MATCH(261,$AZ$11:$AZ$4010,0)),""))</f>
        <v/>
      </c>
      <c r="AH271" s="10" t="str">
        <f>IF(AE271="","",IFERROR(INDEX($AQ$11:$AQ$4010,MATCH(261,$AZ$11:$AZ$4010,0)),""))</f>
        <v/>
      </c>
      <c r="AI271" s="15" t="str">
        <f>IF(AE271="","",IFERROR(INDEX($AR$11:$AR$4010,MATCH(261,$AZ$11:$AZ$4010,0)),""))</f>
        <v/>
      </c>
      <c r="AJ271" s="15" t="str">
        <f>IF(AE271="","",IFERROR(INDEX($AT$11:$AT$4010,MATCH(261,$AZ$11:$AZ$4010,0)),""))</f>
        <v/>
      </c>
      <c r="AL271" s="17" t="str">
        <f t="shared" si="63"/>
        <v/>
      </c>
      <c r="AM271" s="12" t="str">
        <f t="shared" si="64"/>
        <v/>
      </c>
      <c r="AN271" s="18" t="str">
        <f t="shared" si="65"/>
        <v/>
      </c>
      <c r="AO271" s="18" t="str">
        <f t="shared" si="66"/>
        <v/>
      </c>
      <c r="AP271" s="10" t="str">
        <f t="shared" si="67"/>
        <v/>
      </c>
      <c r="AQ271" s="10" t="str">
        <f t="shared" si="68"/>
        <v/>
      </c>
      <c r="AR271" s="19" t="str">
        <f t="shared" si="69"/>
        <v/>
      </c>
      <c r="AS271" s="20"/>
      <c r="AT271" s="19"/>
      <c r="AV271" s="21">
        <f>IF(AND($AL271&lt;&gt;"",COUNTIF($AL$11:$AL271,$AL271)=1),1,0)</f>
        <v>0</v>
      </c>
      <c r="AW271" s="21">
        <f t="shared" si="71"/>
        <v>0</v>
      </c>
      <c r="AX271" s="21" t="str">
        <f t="shared" si="70"/>
        <v/>
      </c>
      <c r="AY271" s="21" t="str">
        <f>IF(AND($AM271&lt;&gt;"",$AS271&lt;&gt;"✓"),SUMPRODUCT(($AM$11:$AM271&lt;&gt;"")*($AS$11:$AS271&lt;&gt;"✓")),"")</f>
        <v/>
      </c>
      <c r="AZ271" s="21" t="str">
        <f>IF(AND($AM271&lt;&gt;"",$AS271="✓"),SUMPRODUCT(($AM$11:$AM271&lt;&gt;"")*($AS$11:$AS271="✓")),"")</f>
        <v/>
      </c>
      <c r="BA271" s="21" t="str">
        <f>IF($AL271="","",$AL271&amp;"|"&amp;COUNTIF($AL$11:$AL271,$AL271))</f>
        <v/>
      </c>
    </row>
    <row r="272" spans="2:53" ht="15" customHeight="1" x14ac:dyDescent="0.25">
      <c r="B272" s="5" t="str">
        <f t="shared" si="59"/>
        <v/>
      </c>
      <c r="C272" s="5"/>
      <c r="D272" s="5"/>
      <c r="E272" s="5"/>
      <c r="F272" s="6"/>
      <c r="G272" s="6"/>
      <c r="H272" s="7"/>
      <c r="I272" s="8"/>
      <c r="K272" s="23" t="str">
        <f>IFERROR(INDEX($AL$11:$AL$4010,MATCH(262,$AX$11:$AX$4010,0)),"")</f>
        <v/>
      </c>
      <c r="L272" s="24" t="str">
        <f t="shared" si="60"/>
        <v/>
      </c>
      <c r="M272" s="25" t="str">
        <f t="shared" si="61"/>
        <v/>
      </c>
      <c r="N272" s="25" t="str">
        <f t="shared" si="62"/>
        <v/>
      </c>
      <c r="W272" s="28" t="str">
        <f>IF(X272="","",IFERROR(INDEX($AL$11:$AL$4010,MATCH(262,$AY$11:$AY$4010,0)),""))</f>
        <v/>
      </c>
      <c r="X272" s="26" t="str">
        <f>IFERROR(INDEX($AM$11:$AM$4010,MATCH(262,$AY$11:$AY$4010,0)),"")</f>
        <v/>
      </c>
      <c r="Y272" s="25" t="str">
        <f>IF(X272="","",IFERROR(INDEX($AN$11:$AN$4010,MATCH(262,$AY$11:$AY$4010,0)),""))</f>
        <v/>
      </c>
      <c r="Z272" s="25" t="str">
        <f>IF(X272="","",IFERROR(INDEX($AO$11:$AO$4010,MATCH(262,$AY$11:$AY$4010,0)),""))</f>
        <v/>
      </c>
      <c r="AA272" s="24" t="str">
        <f>IF(X272="","",IFERROR(INDEX($AQ$11:$AQ$4010,MATCH(262,$AY$11:$AY$4010,0)),""))</f>
        <v/>
      </c>
      <c r="AB272" s="29" t="str">
        <f>IF(X272="","",IFERROR(INDEX($AR$11:$AR$4010,MATCH(262,$AY$11:$AY$4010,0)),""))</f>
        <v/>
      </c>
      <c r="AD272" s="30" t="str">
        <f>IF(AE272="","",IFERROR(INDEX($AL$11:$AL$4010,MATCH(262,$AZ$11:$AZ$4010,0)),""))</f>
        <v/>
      </c>
      <c r="AE272" s="26" t="str">
        <f>IFERROR(INDEX($AM$11:$AM$4010,MATCH(262,$AZ$11:$AZ$4010,0)),"")</f>
        <v/>
      </c>
      <c r="AF272" s="25" t="str">
        <f>IF(AE272="","",IFERROR(INDEX($AN$11:$AN$4010,MATCH(262,$AZ$11:$AZ$4010,0)),""))</f>
        <v/>
      </c>
      <c r="AG272" s="25" t="str">
        <f>IF(AE272="","",IFERROR(INDEX($AO$11:$AO$4010,MATCH(262,$AZ$11:$AZ$4010,0)),""))</f>
        <v/>
      </c>
      <c r="AH272" s="24" t="str">
        <f>IF(AE272="","",IFERROR(INDEX($AQ$11:$AQ$4010,MATCH(262,$AZ$11:$AZ$4010,0)),""))</f>
        <v/>
      </c>
      <c r="AI272" s="29" t="str">
        <f>IF(AE272="","",IFERROR(INDEX($AR$11:$AR$4010,MATCH(262,$AZ$11:$AZ$4010,0)),""))</f>
        <v/>
      </c>
      <c r="AJ272" s="29" t="str">
        <f>IF(AE272="","",IFERROR(INDEX($AT$11:$AT$4010,MATCH(262,$AZ$11:$AZ$4010,0)),""))</f>
        <v/>
      </c>
      <c r="AL272" s="31" t="str">
        <f t="shared" si="63"/>
        <v/>
      </c>
      <c r="AM272" s="26" t="str">
        <f t="shared" si="64"/>
        <v/>
      </c>
      <c r="AN272" s="32" t="str">
        <f t="shared" si="65"/>
        <v/>
      </c>
      <c r="AO272" s="32" t="str">
        <f t="shared" si="66"/>
        <v/>
      </c>
      <c r="AP272" s="24" t="str">
        <f t="shared" si="67"/>
        <v/>
      </c>
      <c r="AQ272" s="24" t="str">
        <f t="shared" si="68"/>
        <v/>
      </c>
      <c r="AR272" s="33" t="str">
        <f t="shared" si="69"/>
        <v/>
      </c>
      <c r="AS272" s="34"/>
      <c r="AT272" s="33"/>
      <c r="AV272" s="21">
        <f>IF(AND($AL272&lt;&gt;"",COUNTIF($AL$11:$AL272,$AL272)=1),1,0)</f>
        <v>0</v>
      </c>
      <c r="AW272" s="21">
        <f t="shared" si="71"/>
        <v>0</v>
      </c>
      <c r="AX272" s="21" t="str">
        <f t="shared" si="70"/>
        <v/>
      </c>
      <c r="AY272" s="21" t="str">
        <f>IF(AND($AM272&lt;&gt;"",$AS272&lt;&gt;"✓"),SUMPRODUCT(($AM$11:$AM272&lt;&gt;"")*($AS$11:$AS272&lt;&gt;"✓")),"")</f>
        <v/>
      </c>
      <c r="AZ272" s="21" t="str">
        <f>IF(AND($AM272&lt;&gt;"",$AS272="✓"),SUMPRODUCT(($AM$11:$AM272&lt;&gt;"")*($AS$11:$AS272="✓")),"")</f>
        <v/>
      </c>
      <c r="BA272" s="21" t="str">
        <f>IF($AL272="","",$AL272&amp;"|"&amp;COUNTIF($AL$11:$AL272,$AL272))</f>
        <v/>
      </c>
    </row>
    <row r="273" spans="2:53" ht="15" customHeight="1" x14ac:dyDescent="0.25">
      <c r="B273" s="5" t="str">
        <f t="shared" si="59"/>
        <v/>
      </c>
      <c r="C273" s="5"/>
      <c r="D273" s="5"/>
      <c r="E273" s="5"/>
      <c r="F273" s="6"/>
      <c r="G273" s="6"/>
      <c r="H273" s="7"/>
      <c r="I273" s="8"/>
      <c r="K273" s="9" t="str">
        <f>IFERROR(INDEX($AL$11:$AL$4010,MATCH(263,$AX$11:$AX$4010,0)),"")</f>
        <v/>
      </c>
      <c r="L273" s="10" t="str">
        <f t="shared" si="60"/>
        <v/>
      </c>
      <c r="M273" s="11" t="str">
        <f t="shared" si="61"/>
        <v/>
      </c>
      <c r="N273" s="11" t="str">
        <f t="shared" si="62"/>
        <v/>
      </c>
      <c r="W273" s="14" t="str">
        <f>IF(X273="","",IFERROR(INDEX($AL$11:$AL$4010,MATCH(263,$AY$11:$AY$4010,0)),""))</f>
        <v/>
      </c>
      <c r="X273" s="12" t="str">
        <f>IFERROR(INDEX($AM$11:$AM$4010,MATCH(263,$AY$11:$AY$4010,0)),"")</f>
        <v/>
      </c>
      <c r="Y273" s="11" t="str">
        <f>IF(X273="","",IFERROR(INDEX($AN$11:$AN$4010,MATCH(263,$AY$11:$AY$4010,0)),""))</f>
        <v/>
      </c>
      <c r="Z273" s="11" t="str">
        <f>IF(X273="","",IFERROR(INDEX($AO$11:$AO$4010,MATCH(263,$AY$11:$AY$4010,0)),""))</f>
        <v/>
      </c>
      <c r="AA273" s="10" t="str">
        <f>IF(X273="","",IFERROR(INDEX($AQ$11:$AQ$4010,MATCH(263,$AY$11:$AY$4010,0)),""))</f>
        <v/>
      </c>
      <c r="AB273" s="15" t="str">
        <f>IF(X273="","",IFERROR(INDEX($AR$11:$AR$4010,MATCH(263,$AY$11:$AY$4010,0)),""))</f>
        <v/>
      </c>
      <c r="AD273" s="16" t="str">
        <f>IF(AE273="","",IFERROR(INDEX($AL$11:$AL$4010,MATCH(263,$AZ$11:$AZ$4010,0)),""))</f>
        <v/>
      </c>
      <c r="AE273" s="12" t="str">
        <f>IFERROR(INDEX($AM$11:$AM$4010,MATCH(263,$AZ$11:$AZ$4010,0)),"")</f>
        <v/>
      </c>
      <c r="AF273" s="11" t="str">
        <f>IF(AE273="","",IFERROR(INDEX($AN$11:$AN$4010,MATCH(263,$AZ$11:$AZ$4010,0)),""))</f>
        <v/>
      </c>
      <c r="AG273" s="11" t="str">
        <f>IF(AE273="","",IFERROR(INDEX($AO$11:$AO$4010,MATCH(263,$AZ$11:$AZ$4010,0)),""))</f>
        <v/>
      </c>
      <c r="AH273" s="10" t="str">
        <f>IF(AE273="","",IFERROR(INDEX($AQ$11:$AQ$4010,MATCH(263,$AZ$11:$AZ$4010,0)),""))</f>
        <v/>
      </c>
      <c r="AI273" s="15" t="str">
        <f>IF(AE273="","",IFERROR(INDEX($AR$11:$AR$4010,MATCH(263,$AZ$11:$AZ$4010,0)),""))</f>
        <v/>
      </c>
      <c r="AJ273" s="15" t="str">
        <f>IF(AE273="","",IFERROR(INDEX($AT$11:$AT$4010,MATCH(263,$AZ$11:$AZ$4010,0)),""))</f>
        <v/>
      </c>
      <c r="AL273" s="17" t="str">
        <f t="shared" si="63"/>
        <v/>
      </c>
      <c r="AM273" s="12" t="str">
        <f t="shared" si="64"/>
        <v/>
      </c>
      <c r="AN273" s="18" t="str">
        <f t="shared" si="65"/>
        <v/>
      </c>
      <c r="AO273" s="18" t="str">
        <f t="shared" si="66"/>
        <v/>
      </c>
      <c r="AP273" s="10" t="str">
        <f t="shared" si="67"/>
        <v/>
      </c>
      <c r="AQ273" s="10" t="str">
        <f t="shared" si="68"/>
        <v/>
      </c>
      <c r="AR273" s="19" t="str">
        <f t="shared" si="69"/>
        <v/>
      </c>
      <c r="AS273" s="20"/>
      <c r="AT273" s="19"/>
      <c r="AV273" s="21">
        <f>IF(AND($AL273&lt;&gt;"",COUNTIF($AL$11:$AL273,$AL273)=1),1,0)</f>
        <v>0</v>
      </c>
      <c r="AW273" s="21">
        <f t="shared" si="71"/>
        <v>0</v>
      </c>
      <c r="AX273" s="21" t="str">
        <f t="shared" si="70"/>
        <v/>
      </c>
      <c r="AY273" s="21" t="str">
        <f>IF(AND($AM273&lt;&gt;"",$AS273&lt;&gt;"✓"),SUMPRODUCT(($AM$11:$AM273&lt;&gt;"")*($AS$11:$AS273&lt;&gt;"✓")),"")</f>
        <v/>
      </c>
      <c r="AZ273" s="21" t="str">
        <f>IF(AND($AM273&lt;&gt;"",$AS273="✓"),SUMPRODUCT(($AM$11:$AM273&lt;&gt;"")*($AS$11:$AS273="✓")),"")</f>
        <v/>
      </c>
      <c r="BA273" s="21" t="str">
        <f>IF($AL273="","",$AL273&amp;"|"&amp;COUNTIF($AL$11:$AL273,$AL273))</f>
        <v/>
      </c>
    </row>
    <row r="274" spans="2:53" ht="15" customHeight="1" x14ac:dyDescent="0.25">
      <c r="B274" s="5" t="str">
        <f t="shared" si="59"/>
        <v/>
      </c>
      <c r="C274" s="5"/>
      <c r="D274" s="5"/>
      <c r="E274" s="5"/>
      <c r="F274" s="6"/>
      <c r="G274" s="6"/>
      <c r="H274" s="7"/>
      <c r="I274" s="8"/>
      <c r="K274" s="23" t="str">
        <f>IFERROR(INDEX($AL$11:$AL$4010,MATCH(264,$AX$11:$AX$4010,0)),"")</f>
        <v/>
      </c>
      <c r="L274" s="24" t="str">
        <f t="shared" si="60"/>
        <v/>
      </c>
      <c r="M274" s="25" t="str">
        <f t="shared" si="61"/>
        <v/>
      </c>
      <c r="N274" s="25" t="str">
        <f t="shared" si="62"/>
        <v/>
      </c>
      <c r="W274" s="28" t="str">
        <f>IF(X274="","",IFERROR(INDEX($AL$11:$AL$4010,MATCH(264,$AY$11:$AY$4010,0)),""))</f>
        <v/>
      </c>
      <c r="X274" s="26" t="str">
        <f>IFERROR(INDEX($AM$11:$AM$4010,MATCH(264,$AY$11:$AY$4010,0)),"")</f>
        <v/>
      </c>
      <c r="Y274" s="25" t="str">
        <f>IF(X274="","",IFERROR(INDEX($AN$11:$AN$4010,MATCH(264,$AY$11:$AY$4010,0)),""))</f>
        <v/>
      </c>
      <c r="Z274" s="25" t="str">
        <f>IF(X274="","",IFERROR(INDEX($AO$11:$AO$4010,MATCH(264,$AY$11:$AY$4010,0)),""))</f>
        <v/>
      </c>
      <c r="AA274" s="24" t="str">
        <f>IF(X274="","",IFERROR(INDEX($AQ$11:$AQ$4010,MATCH(264,$AY$11:$AY$4010,0)),""))</f>
        <v/>
      </c>
      <c r="AB274" s="29" t="str">
        <f>IF(X274="","",IFERROR(INDEX($AR$11:$AR$4010,MATCH(264,$AY$11:$AY$4010,0)),""))</f>
        <v/>
      </c>
      <c r="AD274" s="30" t="str">
        <f>IF(AE274="","",IFERROR(INDEX($AL$11:$AL$4010,MATCH(264,$AZ$11:$AZ$4010,0)),""))</f>
        <v/>
      </c>
      <c r="AE274" s="26" t="str">
        <f>IFERROR(INDEX($AM$11:$AM$4010,MATCH(264,$AZ$11:$AZ$4010,0)),"")</f>
        <v/>
      </c>
      <c r="AF274" s="25" t="str">
        <f>IF(AE274="","",IFERROR(INDEX($AN$11:$AN$4010,MATCH(264,$AZ$11:$AZ$4010,0)),""))</f>
        <v/>
      </c>
      <c r="AG274" s="25" t="str">
        <f>IF(AE274="","",IFERROR(INDEX($AO$11:$AO$4010,MATCH(264,$AZ$11:$AZ$4010,0)),""))</f>
        <v/>
      </c>
      <c r="AH274" s="24" t="str">
        <f>IF(AE274="","",IFERROR(INDEX($AQ$11:$AQ$4010,MATCH(264,$AZ$11:$AZ$4010,0)),""))</f>
        <v/>
      </c>
      <c r="AI274" s="29" t="str">
        <f>IF(AE274="","",IFERROR(INDEX($AR$11:$AR$4010,MATCH(264,$AZ$11:$AZ$4010,0)),""))</f>
        <v/>
      </c>
      <c r="AJ274" s="29" t="str">
        <f>IF(AE274="","",IFERROR(INDEX($AT$11:$AT$4010,MATCH(264,$AZ$11:$AZ$4010,0)),""))</f>
        <v/>
      </c>
      <c r="AL274" s="31" t="str">
        <f t="shared" si="63"/>
        <v/>
      </c>
      <c r="AM274" s="26" t="str">
        <f t="shared" si="64"/>
        <v/>
      </c>
      <c r="AN274" s="32" t="str">
        <f t="shared" si="65"/>
        <v/>
      </c>
      <c r="AO274" s="32" t="str">
        <f t="shared" si="66"/>
        <v/>
      </c>
      <c r="AP274" s="24" t="str">
        <f t="shared" si="67"/>
        <v/>
      </c>
      <c r="AQ274" s="24" t="str">
        <f t="shared" si="68"/>
        <v/>
      </c>
      <c r="AR274" s="33" t="str">
        <f t="shared" si="69"/>
        <v/>
      </c>
      <c r="AS274" s="34"/>
      <c r="AT274" s="33"/>
      <c r="AV274" s="21">
        <f>IF(AND($AL274&lt;&gt;"",COUNTIF($AL$11:$AL274,$AL274)=1),1,0)</f>
        <v>0</v>
      </c>
      <c r="AW274" s="21">
        <f t="shared" si="71"/>
        <v>0</v>
      </c>
      <c r="AX274" s="21" t="str">
        <f t="shared" si="70"/>
        <v/>
      </c>
      <c r="AY274" s="21" t="str">
        <f>IF(AND($AM274&lt;&gt;"",$AS274&lt;&gt;"✓"),SUMPRODUCT(($AM$11:$AM274&lt;&gt;"")*($AS$11:$AS274&lt;&gt;"✓")),"")</f>
        <v/>
      </c>
      <c r="AZ274" s="21" t="str">
        <f>IF(AND($AM274&lt;&gt;"",$AS274="✓"),SUMPRODUCT(($AM$11:$AM274&lt;&gt;"")*($AS$11:$AS274="✓")),"")</f>
        <v/>
      </c>
      <c r="BA274" s="21" t="str">
        <f>IF($AL274="","",$AL274&amp;"|"&amp;COUNTIF($AL$11:$AL274,$AL274))</f>
        <v/>
      </c>
    </row>
    <row r="275" spans="2:53" ht="15" customHeight="1" x14ac:dyDescent="0.25">
      <c r="B275" s="5" t="str">
        <f t="shared" si="59"/>
        <v/>
      </c>
      <c r="C275" s="5"/>
      <c r="D275" s="5"/>
      <c r="E275" s="5"/>
      <c r="F275" s="6"/>
      <c r="G275" s="6"/>
      <c r="H275" s="7"/>
      <c r="I275" s="8"/>
      <c r="K275" s="9" t="str">
        <f>IFERROR(INDEX($AL$11:$AL$4010,MATCH(265,$AX$11:$AX$4010,0)),"")</f>
        <v/>
      </c>
      <c r="L275" s="10" t="str">
        <f t="shared" si="60"/>
        <v/>
      </c>
      <c r="M275" s="11" t="str">
        <f t="shared" si="61"/>
        <v/>
      </c>
      <c r="N275" s="11" t="str">
        <f t="shared" si="62"/>
        <v/>
      </c>
      <c r="W275" s="14" t="str">
        <f>IF(X275="","",IFERROR(INDEX($AL$11:$AL$4010,MATCH(265,$AY$11:$AY$4010,0)),""))</f>
        <v/>
      </c>
      <c r="X275" s="12" t="str">
        <f>IFERROR(INDEX($AM$11:$AM$4010,MATCH(265,$AY$11:$AY$4010,0)),"")</f>
        <v/>
      </c>
      <c r="Y275" s="11" t="str">
        <f>IF(X275="","",IFERROR(INDEX($AN$11:$AN$4010,MATCH(265,$AY$11:$AY$4010,0)),""))</f>
        <v/>
      </c>
      <c r="Z275" s="11" t="str">
        <f>IF(X275="","",IFERROR(INDEX($AO$11:$AO$4010,MATCH(265,$AY$11:$AY$4010,0)),""))</f>
        <v/>
      </c>
      <c r="AA275" s="10" t="str">
        <f>IF(X275="","",IFERROR(INDEX($AQ$11:$AQ$4010,MATCH(265,$AY$11:$AY$4010,0)),""))</f>
        <v/>
      </c>
      <c r="AB275" s="15" t="str">
        <f>IF(X275="","",IFERROR(INDEX($AR$11:$AR$4010,MATCH(265,$AY$11:$AY$4010,0)),""))</f>
        <v/>
      </c>
      <c r="AD275" s="16" t="str">
        <f>IF(AE275="","",IFERROR(INDEX($AL$11:$AL$4010,MATCH(265,$AZ$11:$AZ$4010,0)),""))</f>
        <v/>
      </c>
      <c r="AE275" s="12" t="str">
        <f>IFERROR(INDEX($AM$11:$AM$4010,MATCH(265,$AZ$11:$AZ$4010,0)),"")</f>
        <v/>
      </c>
      <c r="AF275" s="11" t="str">
        <f>IF(AE275="","",IFERROR(INDEX($AN$11:$AN$4010,MATCH(265,$AZ$11:$AZ$4010,0)),""))</f>
        <v/>
      </c>
      <c r="AG275" s="11" t="str">
        <f>IF(AE275="","",IFERROR(INDEX($AO$11:$AO$4010,MATCH(265,$AZ$11:$AZ$4010,0)),""))</f>
        <v/>
      </c>
      <c r="AH275" s="10" t="str">
        <f>IF(AE275="","",IFERROR(INDEX($AQ$11:$AQ$4010,MATCH(265,$AZ$11:$AZ$4010,0)),""))</f>
        <v/>
      </c>
      <c r="AI275" s="15" t="str">
        <f>IF(AE275="","",IFERROR(INDEX($AR$11:$AR$4010,MATCH(265,$AZ$11:$AZ$4010,0)),""))</f>
        <v/>
      </c>
      <c r="AJ275" s="15" t="str">
        <f>IF(AE275="","",IFERROR(INDEX($AT$11:$AT$4010,MATCH(265,$AZ$11:$AZ$4010,0)),""))</f>
        <v/>
      </c>
      <c r="AL275" s="17" t="str">
        <f t="shared" si="63"/>
        <v/>
      </c>
      <c r="AM275" s="12" t="str">
        <f t="shared" si="64"/>
        <v/>
      </c>
      <c r="AN275" s="18" t="str">
        <f t="shared" si="65"/>
        <v/>
      </c>
      <c r="AO275" s="18" t="str">
        <f t="shared" si="66"/>
        <v/>
      </c>
      <c r="AP275" s="10" t="str">
        <f t="shared" si="67"/>
        <v/>
      </c>
      <c r="AQ275" s="10" t="str">
        <f t="shared" si="68"/>
        <v/>
      </c>
      <c r="AR275" s="19" t="str">
        <f t="shared" si="69"/>
        <v/>
      </c>
      <c r="AS275" s="20"/>
      <c r="AT275" s="19"/>
      <c r="AV275" s="21">
        <f>IF(AND($AL275&lt;&gt;"",COUNTIF($AL$11:$AL275,$AL275)=1),1,0)</f>
        <v>0</v>
      </c>
      <c r="AW275" s="21">
        <f t="shared" si="71"/>
        <v>0</v>
      </c>
      <c r="AX275" s="21" t="str">
        <f t="shared" si="70"/>
        <v/>
      </c>
      <c r="AY275" s="21" t="str">
        <f>IF(AND($AM275&lt;&gt;"",$AS275&lt;&gt;"✓"),SUMPRODUCT(($AM$11:$AM275&lt;&gt;"")*($AS$11:$AS275&lt;&gt;"✓")),"")</f>
        <v/>
      </c>
      <c r="AZ275" s="21" t="str">
        <f>IF(AND($AM275&lt;&gt;"",$AS275="✓"),SUMPRODUCT(($AM$11:$AM275&lt;&gt;"")*($AS$11:$AS275="✓")),"")</f>
        <v/>
      </c>
      <c r="BA275" s="21" t="str">
        <f>IF($AL275="","",$AL275&amp;"|"&amp;COUNTIF($AL$11:$AL275,$AL275))</f>
        <v/>
      </c>
    </row>
    <row r="276" spans="2:53" ht="15" customHeight="1" x14ac:dyDescent="0.25">
      <c r="B276" s="5" t="str">
        <f t="shared" si="59"/>
        <v/>
      </c>
      <c r="C276" s="5"/>
      <c r="D276" s="5"/>
      <c r="E276" s="5"/>
      <c r="F276" s="6"/>
      <c r="G276" s="6"/>
      <c r="H276" s="7"/>
      <c r="I276" s="8"/>
      <c r="K276" s="23" t="str">
        <f>IFERROR(INDEX($AL$11:$AL$4010,MATCH(266,$AX$11:$AX$4010,0)),"")</f>
        <v/>
      </c>
      <c r="L276" s="24" t="str">
        <f t="shared" si="60"/>
        <v/>
      </c>
      <c r="M276" s="25" t="str">
        <f t="shared" si="61"/>
        <v/>
      </c>
      <c r="N276" s="25" t="str">
        <f t="shared" si="62"/>
        <v/>
      </c>
      <c r="W276" s="28" t="str">
        <f>IF(X276="","",IFERROR(INDEX($AL$11:$AL$4010,MATCH(266,$AY$11:$AY$4010,0)),""))</f>
        <v/>
      </c>
      <c r="X276" s="26" t="str">
        <f>IFERROR(INDEX($AM$11:$AM$4010,MATCH(266,$AY$11:$AY$4010,0)),"")</f>
        <v/>
      </c>
      <c r="Y276" s="25" t="str">
        <f>IF(X276="","",IFERROR(INDEX($AN$11:$AN$4010,MATCH(266,$AY$11:$AY$4010,0)),""))</f>
        <v/>
      </c>
      <c r="Z276" s="25" t="str">
        <f>IF(X276="","",IFERROR(INDEX($AO$11:$AO$4010,MATCH(266,$AY$11:$AY$4010,0)),""))</f>
        <v/>
      </c>
      <c r="AA276" s="24" t="str">
        <f>IF(X276="","",IFERROR(INDEX($AQ$11:$AQ$4010,MATCH(266,$AY$11:$AY$4010,0)),""))</f>
        <v/>
      </c>
      <c r="AB276" s="29" t="str">
        <f>IF(X276="","",IFERROR(INDEX($AR$11:$AR$4010,MATCH(266,$AY$11:$AY$4010,0)),""))</f>
        <v/>
      </c>
      <c r="AD276" s="30" t="str">
        <f>IF(AE276="","",IFERROR(INDEX($AL$11:$AL$4010,MATCH(266,$AZ$11:$AZ$4010,0)),""))</f>
        <v/>
      </c>
      <c r="AE276" s="26" t="str">
        <f>IFERROR(INDEX($AM$11:$AM$4010,MATCH(266,$AZ$11:$AZ$4010,0)),"")</f>
        <v/>
      </c>
      <c r="AF276" s="25" t="str">
        <f>IF(AE276="","",IFERROR(INDEX($AN$11:$AN$4010,MATCH(266,$AZ$11:$AZ$4010,0)),""))</f>
        <v/>
      </c>
      <c r="AG276" s="25" t="str">
        <f>IF(AE276="","",IFERROR(INDEX($AO$11:$AO$4010,MATCH(266,$AZ$11:$AZ$4010,0)),""))</f>
        <v/>
      </c>
      <c r="AH276" s="24" t="str">
        <f>IF(AE276="","",IFERROR(INDEX($AQ$11:$AQ$4010,MATCH(266,$AZ$11:$AZ$4010,0)),""))</f>
        <v/>
      </c>
      <c r="AI276" s="29" t="str">
        <f>IF(AE276="","",IFERROR(INDEX($AR$11:$AR$4010,MATCH(266,$AZ$11:$AZ$4010,0)),""))</f>
        <v/>
      </c>
      <c r="AJ276" s="29" t="str">
        <f>IF(AE276="","",IFERROR(INDEX($AT$11:$AT$4010,MATCH(266,$AZ$11:$AZ$4010,0)),""))</f>
        <v/>
      </c>
      <c r="AL276" s="31" t="str">
        <f t="shared" si="63"/>
        <v/>
      </c>
      <c r="AM276" s="26" t="str">
        <f t="shared" si="64"/>
        <v/>
      </c>
      <c r="AN276" s="32" t="str">
        <f t="shared" si="65"/>
        <v/>
      </c>
      <c r="AO276" s="32" t="str">
        <f t="shared" si="66"/>
        <v/>
      </c>
      <c r="AP276" s="24" t="str">
        <f t="shared" si="67"/>
        <v/>
      </c>
      <c r="AQ276" s="24" t="str">
        <f t="shared" si="68"/>
        <v/>
      </c>
      <c r="AR276" s="33" t="str">
        <f t="shared" si="69"/>
        <v/>
      </c>
      <c r="AS276" s="34"/>
      <c r="AT276" s="33"/>
      <c r="AV276" s="21">
        <f>IF(AND($AL276&lt;&gt;"",COUNTIF($AL$11:$AL276,$AL276)=1),1,0)</f>
        <v>0</v>
      </c>
      <c r="AW276" s="21">
        <f t="shared" si="71"/>
        <v>0</v>
      </c>
      <c r="AX276" s="21" t="str">
        <f t="shared" si="70"/>
        <v/>
      </c>
      <c r="AY276" s="21" t="str">
        <f>IF(AND($AM276&lt;&gt;"",$AS276&lt;&gt;"✓"),SUMPRODUCT(($AM$11:$AM276&lt;&gt;"")*($AS$11:$AS276&lt;&gt;"✓")),"")</f>
        <v/>
      </c>
      <c r="AZ276" s="21" t="str">
        <f>IF(AND($AM276&lt;&gt;"",$AS276="✓"),SUMPRODUCT(($AM$11:$AM276&lt;&gt;"")*($AS$11:$AS276="✓")),"")</f>
        <v/>
      </c>
      <c r="BA276" s="21" t="str">
        <f>IF($AL276="","",$AL276&amp;"|"&amp;COUNTIF($AL$11:$AL276,$AL276))</f>
        <v/>
      </c>
    </row>
    <row r="277" spans="2:53" ht="15" customHeight="1" x14ac:dyDescent="0.25">
      <c r="B277" s="5" t="str">
        <f t="shared" si="59"/>
        <v/>
      </c>
      <c r="C277" s="5"/>
      <c r="D277" s="5"/>
      <c r="E277" s="5"/>
      <c r="F277" s="6"/>
      <c r="G277" s="6"/>
      <c r="H277" s="7"/>
      <c r="I277" s="8"/>
      <c r="K277" s="9" t="str">
        <f>IFERROR(INDEX($AL$11:$AL$4010,MATCH(267,$AX$11:$AX$4010,0)),"")</f>
        <v/>
      </c>
      <c r="L277" s="10" t="str">
        <f t="shared" si="60"/>
        <v/>
      </c>
      <c r="M277" s="11" t="str">
        <f t="shared" si="61"/>
        <v/>
      </c>
      <c r="N277" s="11" t="str">
        <f t="shared" si="62"/>
        <v/>
      </c>
      <c r="W277" s="14" t="str">
        <f>IF(X277="","",IFERROR(INDEX($AL$11:$AL$4010,MATCH(267,$AY$11:$AY$4010,0)),""))</f>
        <v/>
      </c>
      <c r="X277" s="12" t="str">
        <f>IFERROR(INDEX($AM$11:$AM$4010,MATCH(267,$AY$11:$AY$4010,0)),"")</f>
        <v/>
      </c>
      <c r="Y277" s="11" t="str">
        <f>IF(X277="","",IFERROR(INDEX($AN$11:$AN$4010,MATCH(267,$AY$11:$AY$4010,0)),""))</f>
        <v/>
      </c>
      <c r="Z277" s="11" t="str">
        <f>IF(X277="","",IFERROR(INDEX($AO$11:$AO$4010,MATCH(267,$AY$11:$AY$4010,0)),""))</f>
        <v/>
      </c>
      <c r="AA277" s="10" t="str">
        <f>IF(X277="","",IFERROR(INDEX($AQ$11:$AQ$4010,MATCH(267,$AY$11:$AY$4010,0)),""))</f>
        <v/>
      </c>
      <c r="AB277" s="15" t="str">
        <f>IF(X277="","",IFERROR(INDEX($AR$11:$AR$4010,MATCH(267,$AY$11:$AY$4010,0)),""))</f>
        <v/>
      </c>
      <c r="AD277" s="16" t="str">
        <f>IF(AE277="","",IFERROR(INDEX($AL$11:$AL$4010,MATCH(267,$AZ$11:$AZ$4010,0)),""))</f>
        <v/>
      </c>
      <c r="AE277" s="12" t="str">
        <f>IFERROR(INDEX($AM$11:$AM$4010,MATCH(267,$AZ$11:$AZ$4010,0)),"")</f>
        <v/>
      </c>
      <c r="AF277" s="11" t="str">
        <f>IF(AE277="","",IFERROR(INDEX($AN$11:$AN$4010,MATCH(267,$AZ$11:$AZ$4010,0)),""))</f>
        <v/>
      </c>
      <c r="AG277" s="11" t="str">
        <f>IF(AE277="","",IFERROR(INDEX($AO$11:$AO$4010,MATCH(267,$AZ$11:$AZ$4010,0)),""))</f>
        <v/>
      </c>
      <c r="AH277" s="10" t="str">
        <f>IF(AE277="","",IFERROR(INDEX($AQ$11:$AQ$4010,MATCH(267,$AZ$11:$AZ$4010,0)),""))</f>
        <v/>
      </c>
      <c r="AI277" s="15" t="str">
        <f>IF(AE277="","",IFERROR(INDEX($AR$11:$AR$4010,MATCH(267,$AZ$11:$AZ$4010,0)),""))</f>
        <v/>
      </c>
      <c r="AJ277" s="15" t="str">
        <f>IF(AE277="","",IFERROR(INDEX($AT$11:$AT$4010,MATCH(267,$AZ$11:$AZ$4010,0)),""))</f>
        <v/>
      </c>
      <c r="AL277" s="17" t="str">
        <f t="shared" si="63"/>
        <v/>
      </c>
      <c r="AM277" s="12" t="str">
        <f t="shared" si="64"/>
        <v/>
      </c>
      <c r="AN277" s="18" t="str">
        <f t="shared" si="65"/>
        <v/>
      </c>
      <c r="AO277" s="18" t="str">
        <f t="shared" si="66"/>
        <v/>
      </c>
      <c r="AP277" s="10" t="str">
        <f t="shared" si="67"/>
        <v/>
      </c>
      <c r="AQ277" s="10" t="str">
        <f t="shared" si="68"/>
        <v/>
      </c>
      <c r="AR277" s="19" t="str">
        <f t="shared" si="69"/>
        <v/>
      </c>
      <c r="AS277" s="20"/>
      <c r="AT277" s="19"/>
      <c r="AV277" s="21">
        <f>IF(AND($AL277&lt;&gt;"",COUNTIF($AL$11:$AL277,$AL277)=1),1,0)</f>
        <v>0</v>
      </c>
      <c r="AW277" s="21">
        <f t="shared" si="71"/>
        <v>0</v>
      </c>
      <c r="AX277" s="21" t="str">
        <f t="shared" si="70"/>
        <v/>
      </c>
      <c r="AY277" s="21" t="str">
        <f>IF(AND($AM277&lt;&gt;"",$AS277&lt;&gt;"✓"),SUMPRODUCT(($AM$11:$AM277&lt;&gt;"")*($AS$11:$AS277&lt;&gt;"✓")),"")</f>
        <v/>
      </c>
      <c r="AZ277" s="21" t="str">
        <f>IF(AND($AM277&lt;&gt;"",$AS277="✓"),SUMPRODUCT(($AM$11:$AM277&lt;&gt;"")*($AS$11:$AS277="✓")),"")</f>
        <v/>
      </c>
      <c r="BA277" s="21" t="str">
        <f>IF($AL277="","",$AL277&amp;"|"&amp;COUNTIF($AL$11:$AL277,$AL277))</f>
        <v/>
      </c>
    </row>
    <row r="278" spans="2:53" ht="15" customHeight="1" x14ac:dyDescent="0.25">
      <c r="B278" s="5" t="str">
        <f t="shared" si="59"/>
        <v/>
      </c>
      <c r="C278" s="5"/>
      <c r="D278" s="5"/>
      <c r="E278" s="5"/>
      <c r="F278" s="6"/>
      <c r="G278" s="6"/>
      <c r="H278" s="7"/>
      <c r="I278" s="8"/>
      <c r="K278" s="23" t="str">
        <f>IFERROR(INDEX($AL$11:$AL$4010,MATCH(268,$AX$11:$AX$4010,0)),"")</f>
        <v/>
      </c>
      <c r="L278" s="24" t="str">
        <f t="shared" si="60"/>
        <v/>
      </c>
      <c r="M278" s="25" t="str">
        <f t="shared" si="61"/>
        <v/>
      </c>
      <c r="N278" s="25" t="str">
        <f t="shared" si="62"/>
        <v/>
      </c>
      <c r="W278" s="28" t="str">
        <f>IF(X278="","",IFERROR(INDEX($AL$11:$AL$4010,MATCH(268,$AY$11:$AY$4010,0)),""))</f>
        <v/>
      </c>
      <c r="X278" s="26" t="str">
        <f>IFERROR(INDEX($AM$11:$AM$4010,MATCH(268,$AY$11:$AY$4010,0)),"")</f>
        <v/>
      </c>
      <c r="Y278" s="25" t="str">
        <f>IF(X278="","",IFERROR(INDEX($AN$11:$AN$4010,MATCH(268,$AY$11:$AY$4010,0)),""))</f>
        <v/>
      </c>
      <c r="Z278" s="25" t="str">
        <f>IF(X278="","",IFERROR(INDEX($AO$11:$AO$4010,MATCH(268,$AY$11:$AY$4010,0)),""))</f>
        <v/>
      </c>
      <c r="AA278" s="24" t="str">
        <f>IF(X278="","",IFERROR(INDEX($AQ$11:$AQ$4010,MATCH(268,$AY$11:$AY$4010,0)),""))</f>
        <v/>
      </c>
      <c r="AB278" s="29" t="str">
        <f>IF(X278="","",IFERROR(INDEX($AR$11:$AR$4010,MATCH(268,$AY$11:$AY$4010,0)),""))</f>
        <v/>
      </c>
      <c r="AD278" s="30" t="str">
        <f>IF(AE278="","",IFERROR(INDEX($AL$11:$AL$4010,MATCH(268,$AZ$11:$AZ$4010,0)),""))</f>
        <v/>
      </c>
      <c r="AE278" s="26" t="str">
        <f>IFERROR(INDEX($AM$11:$AM$4010,MATCH(268,$AZ$11:$AZ$4010,0)),"")</f>
        <v/>
      </c>
      <c r="AF278" s="25" t="str">
        <f>IF(AE278="","",IFERROR(INDEX($AN$11:$AN$4010,MATCH(268,$AZ$11:$AZ$4010,0)),""))</f>
        <v/>
      </c>
      <c r="AG278" s="25" t="str">
        <f>IF(AE278="","",IFERROR(INDEX($AO$11:$AO$4010,MATCH(268,$AZ$11:$AZ$4010,0)),""))</f>
        <v/>
      </c>
      <c r="AH278" s="24" t="str">
        <f>IF(AE278="","",IFERROR(INDEX($AQ$11:$AQ$4010,MATCH(268,$AZ$11:$AZ$4010,0)),""))</f>
        <v/>
      </c>
      <c r="AI278" s="29" t="str">
        <f>IF(AE278="","",IFERROR(INDEX($AR$11:$AR$4010,MATCH(268,$AZ$11:$AZ$4010,0)),""))</f>
        <v/>
      </c>
      <c r="AJ278" s="29" t="str">
        <f>IF(AE278="","",IFERROR(INDEX($AT$11:$AT$4010,MATCH(268,$AZ$11:$AZ$4010,0)),""))</f>
        <v/>
      </c>
      <c r="AL278" s="31" t="str">
        <f t="shared" si="63"/>
        <v/>
      </c>
      <c r="AM278" s="26" t="str">
        <f t="shared" si="64"/>
        <v/>
      </c>
      <c r="AN278" s="32" t="str">
        <f t="shared" si="65"/>
        <v/>
      </c>
      <c r="AO278" s="32" t="str">
        <f t="shared" si="66"/>
        <v/>
      </c>
      <c r="AP278" s="24" t="str">
        <f t="shared" si="67"/>
        <v/>
      </c>
      <c r="AQ278" s="24" t="str">
        <f t="shared" si="68"/>
        <v/>
      </c>
      <c r="AR278" s="33" t="str">
        <f t="shared" si="69"/>
        <v/>
      </c>
      <c r="AS278" s="34"/>
      <c r="AT278" s="33"/>
      <c r="AV278" s="21">
        <f>IF(AND($AL278&lt;&gt;"",COUNTIF($AL$11:$AL278,$AL278)=1),1,0)</f>
        <v>0</v>
      </c>
      <c r="AW278" s="21">
        <f t="shared" si="71"/>
        <v>0</v>
      </c>
      <c r="AX278" s="21" t="str">
        <f t="shared" si="70"/>
        <v/>
      </c>
      <c r="AY278" s="21" t="str">
        <f>IF(AND($AM278&lt;&gt;"",$AS278&lt;&gt;"✓"),SUMPRODUCT(($AM$11:$AM278&lt;&gt;"")*($AS$11:$AS278&lt;&gt;"✓")),"")</f>
        <v/>
      </c>
      <c r="AZ278" s="21" t="str">
        <f>IF(AND($AM278&lt;&gt;"",$AS278="✓"),SUMPRODUCT(($AM$11:$AM278&lt;&gt;"")*($AS$11:$AS278="✓")),"")</f>
        <v/>
      </c>
      <c r="BA278" s="21" t="str">
        <f>IF($AL278="","",$AL278&amp;"|"&amp;COUNTIF($AL$11:$AL278,$AL278))</f>
        <v/>
      </c>
    </row>
    <row r="279" spans="2:53" ht="15" customHeight="1" x14ac:dyDescent="0.25">
      <c r="B279" s="5" t="str">
        <f t="shared" si="59"/>
        <v/>
      </c>
      <c r="C279" s="5"/>
      <c r="D279" s="5"/>
      <c r="E279" s="5"/>
      <c r="F279" s="6"/>
      <c r="G279" s="6"/>
      <c r="H279" s="7"/>
      <c r="I279" s="8"/>
      <c r="K279" s="9" t="str">
        <f>IFERROR(INDEX($AL$11:$AL$4010,MATCH(269,$AX$11:$AX$4010,0)),"")</f>
        <v/>
      </c>
      <c r="L279" s="10" t="str">
        <f t="shared" si="60"/>
        <v/>
      </c>
      <c r="M279" s="11" t="str">
        <f t="shared" si="61"/>
        <v/>
      </c>
      <c r="N279" s="11" t="str">
        <f t="shared" si="62"/>
        <v/>
      </c>
      <c r="W279" s="14" t="str">
        <f>IF(X279="","",IFERROR(INDEX($AL$11:$AL$4010,MATCH(269,$AY$11:$AY$4010,0)),""))</f>
        <v/>
      </c>
      <c r="X279" s="12" t="str">
        <f>IFERROR(INDEX($AM$11:$AM$4010,MATCH(269,$AY$11:$AY$4010,0)),"")</f>
        <v/>
      </c>
      <c r="Y279" s="11" t="str">
        <f>IF(X279="","",IFERROR(INDEX($AN$11:$AN$4010,MATCH(269,$AY$11:$AY$4010,0)),""))</f>
        <v/>
      </c>
      <c r="Z279" s="11" t="str">
        <f>IF(X279="","",IFERROR(INDEX($AO$11:$AO$4010,MATCH(269,$AY$11:$AY$4010,0)),""))</f>
        <v/>
      </c>
      <c r="AA279" s="10" t="str">
        <f>IF(X279="","",IFERROR(INDEX($AQ$11:$AQ$4010,MATCH(269,$AY$11:$AY$4010,0)),""))</f>
        <v/>
      </c>
      <c r="AB279" s="15" t="str">
        <f>IF(X279="","",IFERROR(INDEX($AR$11:$AR$4010,MATCH(269,$AY$11:$AY$4010,0)),""))</f>
        <v/>
      </c>
      <c r="AD279" s="16" t="str">
        <f>IF(AE279="","",IFERROR(INDEX($AL$11:$AL$4010,MATCH(269,$AZ$11:$AZ$4010,0)),""))</f>
        <v/>
      </c>
      <c r="AE279" s="12" t="str">
        <f>IFERROR(INDEX($AM$11:$AM$4010,MATCH(269,$AZ$11:$AZ$4010,0)),"")</f>
        <v/>
      </c>
      <c r="AF279" s="11" t="str">
        <f>IF(AE279="","",IFERROR(INDEX($AN$11:$AN$4010,MATCH(269,$AZ$11:$AZ$4010,0)),""))</f>
        <v/>
      </c>
      <c r="AG279" s="11" t="str">
        <f>IF(AE279="","",IFERROR(INDEX($AO$11:$AO$4010,MATCH(269,$AZ$11:$AZ$4010,0)),""))</f>
        <v/>
      </c>
      <c r="AH279" s="10" t="str">
        <f>IF(AE279="","",IFERROR(INDEX($AQ$11:$AQ$4010,MATCH(269,$AZ$11:$AZ$4010,0)),""))</f>
        <v/>
      </c>
      <c r="AI279" s="15" t="str">
        <f>IF(AE279="","",IFERROR(INDEX($AR$11:$AR$4010,MATCH(269,$AZ$11:$AZ$4010,0)),""))</f>
        <v/>
      </c>
      <c r="AJ279" s="15" t="str">
        <f>IF(AE279="","",IFERROR(INDEX($AT$11:$AT$4010,MATCH(269,$AZ$11:$AZ$4010,0)),""))</f>
        <v/>
      </c>
      <c r="AL279" s="17" t="str">
        <f t="shared" si="63"/>
        <v/>
      </c>
      <c r="AM279" s="12" t="str">
        <f t="shared" si="64"/>
        <v/>
      </c>
      <c r="AN279" s="18" t="str">
        <f t="shared" si="65"/>
        <v/>
      </c>
      <c r="AO279" s="18" t="str">
        <f t="shared" si="66"/>
        <v/>
      </c>
      <c r="AP279" s="10" t="str">
        <f t="shared" si="67"/>
        <v/>
      </c>
      <c r="AQ279" s="10" t="str">
        <f t="shared" si="68"/>
        <v/>
      </c>
      <c r="AR279" s="19" t="str">
        <f t="shared" si="69"/>
        <v/>
      </c>
      <c r="AS279" s="20"/>
      <c r="AT279" s="19"/>
      <c r="AV279" s="21">
        <f>IF(AND($AL279&lt;&gt;"",COUNTIF($AL$11:$AL279,$AL279)=1),1,0)</f>
        <v>0</v>
      </c>
      <c r="AW279" s="21">
        <f t="shared" si="71"/>
        <v>0</v>
      </c>
      <c r="AX279" s="21" t="str">
        <f t="shared" si="70"/>
        <v/>
      </c>
      <c r="AY279" s="21" t="str">
        <f>IF(AND($AM279&lt;&gt;"",$AS279&lt;&gt;"✓"),SUMPRODUCT(($AM$11:$AM279&lt;&gt;"")*($AS$11:$AS279&lt;&gt;"✓")),"")</f>
        <v/>
      </c>
      <c r="AZ279" s="21" t="str">
        <f>IF(AND($AM279&lt;&gt;"",$AS279="✓"),SUMPRODUCT(($AM$11:$AM279&lt;&gt;"")*($AS$11:$AS279="✓")),"")</f>
        <v/>
      </c>
      <c r="BA279" s="21" t="str">
        <f>IF($AL279="","",$AL279&amp;"|"&amp;COUNTIF($AL$11:$AL279,$AL279))</f>
        <v/>
      </c>
    </row>
    <row r="280" spans="2:53" ht="15" customHeight="1" x14ac:dyDescent="0.25">
      <c r="B280" s="5" t="str">
        <f t="shared" si="59"/>
        <v/>
      </c>
      <c r="C280" s="5"/>
      <c r="D280" s="5"/>
      <c r="E280" s="5"/>
      <c r="F280" s="6"/>
      <c r="G280" s="6"/>
      <c r="H280" s="7"/>
      <c r="I280" s="8"/>
      <c r="K280" s="23" t="str">
        <f>IFERROR(INDEX($AL$11:$AL$4010,MATCH(270,$AX$11:$AX$4010,0)),"")</f>
        <v/>
      </c>
      <c r="L280" s="24" t="str">
        <f t="shared" si="60"/>
        <v/>
      </c>
      <c r="M280" s="25" t="str">
        <f t="shared" si="61"/>
        <v/>
      </c>
      <c r="N280" s="25" t="str">
        <f t="shared" si="62"/>
        <v/>
      </c>
      <c r="W280" s="28" t="str">
        <f>IF(X280="","",IFERROR(INDEX($AL$11:$AL$4010,MATCH(270,$AY$11:$AY$4010,0)),""))</f>
        <v/>
      </c>
      <c r="X280" s="26" t="str">
        <f>IFERROR(INDEX($AM$11:$AM$4010,MATCH(270,$AY$11:$AY$4010,0)),"")</f>
        <v/>
      </c>
      <c r="Y280" s="25" t="str">
        <f>IF(X280="","",IFERROR(INDEX($AN$11:$AN$4010,MATCH(270,$AY$11:$AY$4010,0)),""))</f>
        <v/>
      </c>
      <c r="Z280" s="25" t="str">
        <f>IF(X280="","",IFERROR(INDEX($AO$11:$AO$4010,MATCH(270,$AY$11:$AY$4010,0)),""))</f>
        <v/>
      </c>
      <c r="AA280" s="24" t="str">
        <f>IF(X280="","",IFERROR(INDEX($AQ$11:$AQ$4010,MATCH(270,$AY$11:$AY$4010,0)),""))</f>
        <v/>
      </c>
      <c r="AB280" s="29" t="str">
        <f>IF(X280="","",IFERROR(INDEX($AR$11:$AR$4010,MATCH(270,$AY$11:$AY$4010,0)),""))</f>
        <v/>
      </c>
      <c r="AD280" s="30" t="str">
        <f>IF(AE280="","",IFERROR(INDEX($AL$11:$AL$4010,MATCH(270,$AZ$11:$AZ$4010,0)),""))</f>
        <v/>
      </c>
      <c r="AE280" s="26" t="str">
        <f>IFERROR(INDEX($AM$11:$AM$4010,MATCH(270,$AZ$11:$AZ$4010,0)),"")</f>
        <v/>
      </c>
      <c r="AF280" s="25" t="str">
        <f>IF(AE280="","",IFERROR(INDEX($AN$11:$AN$4010,MATCH(270,$AZ$11:$AZ$4010,0)),""))</f>
        <v/>
      </c>
      <c r="AG280" s="25" t="str">
        <f>IF(AE280="","",IFERROR(INDEX($AO$11:$AO$4010,MATCH(270,$AZ$11:$AZ$4010,0)),""))</f>
        <v/>
      </c>
      <c r="AH280" s="24" t="str">
        <f>IF(AE280="","",IFERROR(INDEX($AQ$11:$AQ$4010,MATCH(270,$AZ$11:$AZ$4010,0)),""))</f>
        <v/>
      </c>
      <c r="AI280" s="29" t="str">
        <f>IF(AE280="","",IFERROR(INDEX($AR$11:$AR$4010,MATCH(270,$AZ$11:$AZ$4010,0)),""))</f>
        <v/>
      </c>
      <c r="AJ280" s="29" t="str">
        <f>IF(AE280="","",IFERROR(INDEX($AT$11:$AT$4010,MATCH(270,$AZ$11:$AZ$4010,0)),""))</f>
        <v/>
      </c>
      <c r="AL280" s="31" t="str">
        <f t="shared" si="63"/>
        <v/>
      </c>
      <c r="AM280" s="26" t="str">
        <f t="shared" si="64"/>
        <v/>
      </c>
      <c r="AN280" s="32" t="str">
        <f t="shared" si="65"/>
        <v/>
      </c>
      <c r="AO280" s="32" t="str">
        <f t="shared" si="66"/>
        <v/>
      </c>
      <c r="AP280" s="24" t="str">
        <f t="shared" si="67"/>
        <v/>
      </c>
      <c r="AQ280" s="24" t="str">
        <f t="shared" si="68"/>
        <v/>
      </c>
      <c r="AR280" s="33" t="str">
        <f t="shared" si="69"/>
        <v/>
      </c>
      <c r="AS280" s="34"/>
      <c r="AT280" s="33"/>
      <c r="AV280" s="21">
        <f>IF(AND($AL280&lt;&gt;"",COUNTIF($AL$11:$AL280,$AL280)=1),1,0)</f>
        <v>0</v>
      </c>
      <c r="AW280" s="21">
        <f t="shared" si="71"/>
        <v>0</v>
      </c>
      <c r="AX280" s="21" t="str">
        <f t="shared" si="70"/>
        <v/>
      </c>
      <c r="AY280" s="21" t="str">
        <f>IF(AND($AM280&lt;&gt;"",$AS280&lt;&gt;"✓"),SUMPRODUCT(($AM$11:$AM280&lt;&gt;"")*($AS$11:$AS280&lt;&gt;"✓")),"")</f>
        <v/>
      </c>
      <c r="AZ280" s="21" t="str">
        <f>IF(AND($AM280&lt;&gt;"",$AS280="✓"),SUMPRODUCT(($AM$11:$AM280&lt;&gt;"")*($AS$11:$AS280="✓")),"")</f>
        <v/>
      </c>
      <c r="BA280" s="21" t="str">
        <f>IF($AL280="","",$AL280&amp;"|"&amp;COUNTIF($AL$11:$AL280,$AL280))</f>
        <v/>
      </c>
    </row>
    <row r="281" spans="2:53" ht="15" customHeight="1" x14ac:dyDescent="0.25">
      <c r="B281" s="5" t="str">
        <f t="shared" si="59"/>
        <v/>
      </c>
      <c r="C281" s="5"/>
      <c r="D281" s="5"/>
      <c r="E281" s="5"/>
      <c r="F281" s="6"/>
      <c r="G281" s="6"/>
      <c r="H281" s="7"/>
      <c r="I281" s="8"/>
      <c r="K281" s="9" t="str">
        <f>IFERROR(INDEX($AL$11:$AL$4010,MATCH(271,$AX$11:$AX$4010,0)),"")</f>
        <v/>
      </c>
      <c r="L281" s="10" t="str">
        <f t="shared" si="60"/>
        <v/>
      </c>
      <c r="M281" s="11" t="str">
        <f t="shared" si="61"/>
        <v/>
      </c>
      <c r="N281" s="11" t="str">
        <f t="shared" si="62"/>
        <v/>
      </c>
      <c r="W281" s="14" t="str">
        <f>IF(X281="","",IFERROR(INDEX($AL$11:$AL$4010,MATCH(271,$AY$11:$AY$4010,0)),""))</f>
        <v/>
      </c>
      <c r="X281" s="12" t="str">
        <f>IFERROR(INDEX($AM$11:$AM$4010,MATCH(271,$AY$11:$AY$4010,0)),"")</f>
        <v/>
      </c>
      <c r="Y281" s="11" t="str">
        <f>IF(X281="","",IFERROR(INDEX($AN$11:$AN$4010,MATCH(271,$AY$11:$AY$4010,0)),""))</f>
        <v/>
      </c>
      <c r="Z281" s="11" t="str">
        <f>IF(X281="","",IFERROR(INDEX($AO$11:$AO$4010,MATCH(271,$AY$11:$AY$4010,0)),""))</f>
        <v/>
      </c>
      <c r="AA281" s="10" t="str">
        <f>IF(X281="","",IFERROR(INDEX($AQ$11:$AQ$4010,MATCH(271,$AY$11:$AY$4010,0)),""))</f>
        <v/>
      </c>
      <c r="AB281" s="15" t="str">
        <f>IF(X281="","",IFERROR(INDEX($AR$11:$AR$4010,MATCH(271,$AY$11:$AY$4010,0)),""))</f>
        <v/>
      </c>
      <c r="AD281" s="16" t="str">
        <f>IF(AE281="","",IFERROR(INDEX($AL$11:$AL$4010,MATCH(271,$AZ$11:$AZ$4010,0)),""))</f>
        <v/>
      </c>
      <c r="AE281" s="12" t="str">
        <f>IFERROR(INDEX($AM$11:$AM$4010,MATCH(271,$AZ$11:$AZ$4010,0)),"")</f>
        <v/>
      </c>
      <c r="AF281" s="11" t="str">
        <f>IF(AE281="","",IFERROR(INDEX($AN$11:$AN$4010,MATCH(271,$AZ$11:$AZ$4010,0)),""))</f>
        <v/>
      </c>
      <c r="AG281" s="11" t="str">
        <f>IF(AE281="","",IFERROR(INDEX($AO$11:$AO$4010,MATCH(271,$AZ$11:$AZ$4010,0)),""))</f>
        <v/>
      </c>
      <c r="AH281" s="10" t="str">
        <f>IF(AE281="","",IFERROR(INDEX($AQ$11:$AQ$4010,MATCH(271,$AZ$11:$AZ$4010,0)),""))</f>
        <v/>
      </c>
      <c r="AI281" s="15" t="str">
        <f>IF(AE281="","",IFERROR(INDEX($AR$11:$AR$4010,MATCH(271,$AZ$11:$AZ$4010,0)),""))</f>
        <v/>
      </c>
      <c r="AJ281" s="15" t="str">
        <f>IF(AE281="","",IFERROR(INDEX($AT$11:$AT$4010,MATCH(271,$AZ$11:$AZ$4010,0)),""))</f>
        <v/>
      </c>
      <c r="AL281" s="17" t="str">
        <f t="shared" si="63"/>
        <v/>
      </c>
      <c r="AM281" s="12" t="str">
        <f t="shared" si="64"/>
        <v/>
      </c>
      <c r="AN281" s="18" t="str">
        <f t="shared" si="65"/>
        <v/>
      </c>
      <c r="AO281" s="18" t="str">
        <f t="shared" si="66"/>
        <v/>
      </c>
      <c r="AP281" s="10" t="str">
        <f t="shared" si="67"/>
        <v/>
      </c>
      <c r="AQ281" s="10" t="str">
        <f t="shared" si="68"/>
        <v/>
      </c>
      <c r="AR281" s="19" t="str">
        <f t="shared" si="69"/>
        <v/>
      </c>
      <c r="AS281" s="20"/>
      <c r="AT281" s="19"/>
      <c r="AV281" s="21">
        <f>IF(AND($AL281&lt;&gt;"",COUNTIF($AL$11:$AL281,$AL281)=1),1,0)</f>
        <v>0</v>
      </c>
      <c r="AW281" s="21">
        <f t="shared" si="71"/>
        <v>0</v>
      </c>
      <c r="AX281" s="21" t="str">
        <f t="shared" si="70"/>
        <v/>
      </c>
      <c r="AY281" s="21" t="str">
        <f>IF(AND($AM281&lt;&gt;"",$AS281&lt;&gt;"✓"),SUMPRODUCT(($AM$11:$AM281&lt;&gt;"")*($AS$11:$AS281&lt;&gt;"✓")),"")</f>
        <v/>
      </c>
      <c r="AZ281" s="21" t="str">
        <f>IF(AND($AM281&lt;&gt;"",$AS281="✓"),SUMPRODUCT(($AM$11:$AM281&lt;&gt;"")*($AS$11:$AS281="✓")),"")</f>
        <v/>
      </c>
      <c r="BA281" s="21" t="str">
        <f>IF($AL281="","",$AL281&amp;"|"&amp;COUNTIF($AL$11:$AL281,$AL281))</f>
        <v/>
      </c>
    </row>
    <row r="282" spans="2:53" ht="15" customHeight="1" x14ac:dyDescent="0.25">
      <c r="B282" s="5" t="str">
        <f t="shared" si="59"/>
        <v/>
      </c>
      <c r="C282" s="5"/>
      <c r="D282" s="5"/>
      <c r="E282" s="5"/>
      <c r="F282" s="6"/>
      <c r="G282" s="6"/>
      <c r="H282" s="7"/>
      <c r="I282" s="8"/>
      <c r="K282" s="23" t="str">
        <f>IFERROR(INDEX($AL$11:$AL$4010,MATCH(272,$AX$11:$AX$4010,0)),"")</f>
        <v/>
      </c>
      <c r="L282" s="24" t="str">
        <f t="shared" si="60"/>
        <v/>
      </c>
      <c r="M282" s="25" t="str">
        <f t="shared" si="61"/>
        <v/>
      </c>
      <c r="N282" s="25" t="str">
        <f t="shared" si="62"/>
        <v/>
      </c>
      <c r="W282" s="28" t="str">
        <f>IF(X282="","",IFERROR(INDEX($AL$11:$AL$4010,MATCH(272,$AY$11:$AY$4010,0)),""))</f>
        <v/>
      </c>
      <c r="X282" s="26" t="str">
        <f>IFERROR(INDEX($AM$11:$AM$4010,MATCH(272,$AY$11:$AY$4010,0)),"")</f>
        <v/>
      </c>
      <c r="Y282" s="25" t="str">
        <f>IF(X282="","",IFERROR(INDEX($AN$11:$AN$4010,MATCH(272,$AY$11:$AY$4010,0)),""))</f>
        <v/>
      </c>
      <c r="Z282" s="25" t="str">
        <f>IF(X282="","",IFERROR(INDEX($AO$11:$AO$4010,MATCH(272,$AY$11:$AY$4010,0)),""))</f>
        <v/>
      </c>
      <c r="AA282" s="24" t="str">
        <f>IF(X282="","",IFERROR(INDEX($AQ$11:$AQ$4010,MATCH(272,$AY$11:$AY$4010,0)),""))</f>
        <v/>
      </c>
      <c r="AB282" s="29" t="str">
        <f>IF(X282="","",IFERROR(INDEX($AR$11:$AR$4010,MATCH(272,$AY$11:$AY$4010,0)),""))</f>
        <v/>
      </c>
      <c r="AD282" s="30" t="str">
        <f>IF(AE282="","",IFERROR(INDEX($AL$11:$AL$4010,MATCH(272,$AZ$11:$AZ$4010,0)),""))</f>
        <v/>
      </c>
      <c r="AE282" s="26" t="str">
        <f>IFERROR(INDEX($AM$11:$AM$4010,MATCH(272,$AZ$11:$AZ$4010,0)),"")</f>
        <v/>
      </c>
      <c r="AF282" s="25" t="str">
        <f>IF(AE282="","",IFERROR(INDEX($AN$11:$AN$4010,MATCH(272,$AZ$11:$AZ$4010,0)),""))</f>
        <v/>
      </c>
      <c r="AG282" s="25" t="str">
        <f>IF(AE282="","",IFERROR(INDEX($AO$11:$AO$4010,MATCH(272,$AZ$11:$AZ$4010,0)),""))</f>
        <v/>
      </c>
      <c r="AH282" s="24" t="str">
        <f>IF(AE282="","",IFERROR(INDEX($AQ$11:$AQ$4010,MATCH(272,$AZ$11:$AZ$4010,0)),""))</f>
        <v/>
      </c>
      <c r="AI282" s="29" t="str">
        <f>IF(AE282="","",IFERROR(INDEX($AR$11:$AR$4010,MATCH(272,$AZ$11:$AZ$4010,0)),""))</f>
        <v/>
      </c>
      <c r="AJ282" s="29" t="str">
        <f>IF(AE282="","",IFERROR(INDEX($AT$11:$AT$4010,MATCH(272,$AZ$11:$AZ$4010,0)),""))</f>
        <v/>
      </c>
      <c r="AL282" s="31" t="str">
        <f t="shared" si="63"/>
        <v/>
      </c>
      <c r="AM282" s="26" t="str">
        <f t="shared" si="64"/>
        <v/>
      </c>
      <c r="AN282" s="32" t="str">
        <f t="shared" si="65"/>
        <v/>
      </c>
      <c r="AO282" s="32" t="str">
        <f t="shared" si="66"/>
        <v/>
      </c>
      <c r="AP282" s="24" t="str">
        <f t="shared" si="67"/>
        <v/>
      </c>
      <c r="AQ282" s="24" t="str">
        <f t="shared" si="68"/>
        <v/>
      </c>
      <c r="AR282" s="33" t="str">
        <f t="shared" si="69"/>
        <v/>
      </c>
      <c r="AS282" s="34"/>
      <c r="AT282" s="33"/>
      <c r="AV282" s="21">
        <f>IF(AND($AL282&lt;&gt;"",COUNTIF($AL$11:$AL282,$AL282)=1),1,0)</f>
        <v>0</v>
      </c>
      <c r="AW282" s="21">
        <f t="shared" si="71"/>
        <v>0</v>
      </c>
      <c r="AX282" s="21" t="str">
        <f t="shared" si="70"/>
        <v/>
      </c>
      <c r="AY282" s="21" t="str">
        <f>IF(AND($AM282&lt;&gt;"",$AS282&lt;&gt;"✓"),SUMPRODUCT(($AM$11:$AM282&lt;&gt;"")*($AS$11:$AS282&lt;&gt;"✓")),"")</f>
        <v/>
      </c>
      <c r="AZ282" s="21" t="str">
        <f>IF(AND($AM282&lt;&gt;"",$AS282="✓"),SUMPRODUCT(($AM$11:$AM282&lt;&gt;"")*($AS$11:$AS282="✓")),"")</f>
        <v/>
      </c>
      <c r="BA282" s="21" t="str">
        <f>IF($AL282="","",$AL282&amp;"|"&amp;COUNTIF($AL$11:$AL282,$AL282))</f>
        <v/>
      </c>
    </row>
    <row r="283" spans="2:53" ht="15" customHeight="1" x14ac:dyDescent="0.25">
      <c r="B283" s="5" t="str">
        <f t="shared" si="59"/>
        <v/>
      </c>
      <c r="C283" s="5"/>
      <c r="D283" s="5"/>
      <c r="E283" s="5"/>
      <c r="F283" s="6"/>
      <c r="G283" s="6"/>
      <c r="H283" s="7"/>
      <c r="I283" s="8"/>
      <c r="K283" s="9" t="str">
        <f>IFERROR(INDEX($AL$11:$AL$4010,MATCH(273,$AX$11:$AX$4010,0)),"")</f>
        <v/>
      </c>
      <c r="L283" s="10" t="str">
        <f t="shared" si="60"/>
        <v/>
      </c>
      <c r="M283" s="11" t="str">
        <f t="shared" si="61"/>
        <v/>
      </c>
      <c r="N283" s="11" t="str">
        <f t="shared" si="62"/>
        <v/>
      </c>
      <c r="W283" s="14" t="str">
        <f>IF(X283="","",IFERROR(INDEX($AL$11:$AL$4010,MATCH(273,$AY$11:$AY$4010,0)),""))</f>
        <v/>
      </c>
      <c r="X283" s="12" t="str">
        <f>IFERROR(INDEX($AM$11:$AM$4010,MATCH(273,$AY$11:$AY$4010,0)),"")</f>
        <v/>
      </c>
      <c r="Y283" s="11" t="str">
        <f>IF(X283="","",IFERROR(INDEX($AN$11:$AN$4010,MATCH(273,$AY$11:$AY$4010,0)),""))</f>
        <v/>
      </c>
      <c r="Z283" s="11" t="str">
        <f>IF(X283="","",IFERROR(INDEX($AO$11:$AO$4010,MATCH(273,$AY$11:$AY$4010,0)),""))</f>
        <v/>
      </c>
      <c r="AA283" s="10" t="str">
        <f>IF(X283="","",IFERROR(INDEX($AQ$11:$AQ$4010,MATCH(273,$AY$11:$AY$4010,0)),""))</f>
        <v/>
      </c>
      <c r="AB283" s="15" t="str">
        <f>IF(X283="","",IFERROR(INDEX($AR$11:$AR$4010,MATCH(273,$AY$11:$AY$4010,0)),""))</f>
        <v/>
      </c>
      <c r="AD283" s="16" t="str">
        <f>IF(AE283="","",IFERROR(INDEX($AL$11:$AL$4010,MATCH(273,$AZ$11:$AZ$4010,0)),""))</f>
        <v/>
      </c>
      <c r="AE283" s="12" t="str">
        <f>IFERROR(INDEX($AM$11:$AM$4010,MATCH(273,$AZ$11:$AZ$4010,0)),"")</f>
        <v/>
      </c>
      <c r="AF283" s="11" t="str">
        <f>IF(AE283="","",IFERROR(INDEX($AN$11:$AN$4010,MATCH(273,$AZ$11:$AZ$4010,0)),""))</f>
        <v/>
      </c>
      <c r="AG283" s="11" t="str">
        <f>IF(AE283="","",IFERROR(INDEX($AO$11:$AO$4010,MATCH(273,$AZ$11:$AZ$4010,0)),""))</f>
        <v/>
      </c>
      <c r="AH283" s="10" t="str">
        <f>IF(AE283="","",IFERROR(INDEX($AQ$11:$AQ$4010,MATCH(273,$AZ$11:$AZ$4010,0)),""))</f>
        <v/>
      </c>
      <c r="AI283" s="15" t="str">
        <f>IF(AE283="","",IFERROR(INDEX($AR$11:$AR$4010,MATCH(273,$AZ$11:$AZ$4010,0)),""))</f>
        <v/>
      </c>
      <c r="AJ283" s="15" t="str">
        <f>IF(AE283="","",IFERROR(INDEX($AT$11:$AT$4010,MATCH(273,$AZ$11:$AZ$4010,0)),""))</f>
        <v/>
      </c>
      <c r="AL283" s="17" t="str">
        <f t="shared" si="63"/>
        <v/>
      </c>
      <c r="AM283" s="12" t="str">
        <f t="shared" si="64"/>
        <v/>
      </c>
      <c r="AN283" s="18" t="str">
        <f t="shared" si="65"/>
        <v/>
      </c>
      <c r="AO283" s="18" t="str">
        <f t="shared" si="66"/>
        <v/>
      </c>
      <c r="AP283" s="10" t="str">
        <f t="shared" si="67"/>
        <v/>
      </c>
      <c r="AQ283" s="10" t="str">
        <f t="shared" si="68"/>
        <v/>
      </c>
      <c r="AR283" s="19" t="str">
        <f t="shared" si="69"/>
        <v/>
      </c>
      <c r="AS283" s="20"/>
      <c r="AT283" s="19"/>
      <c r="AV283" s="21">
        <f>IF(AND($AL283&lt;&gt;"",COUNTIF($AL$11:$AL283,$AL283)=1),1,0)</f>
        <v>0</v>
      </c>
      <c r="AW283" s="21">
        <f t="shared" si="71"/>
        <v>0</v>
      </c>
      <c r="AX283" s="21" t="str">
        <f t="shared" si="70"/>
        <v/>
      </c>
      <c r="AY283" s="21" t="str">
        <f>IF(AND($AM283&lt;&gt;"",$AS283&lt;&gt;"✓"),SUMPRODUCT(($AM$11:$AM283&lt;&gt;"")*($AS$11:$AS283&lt;&gt;"✓")),"")</f>
        <v/>
      </c>
      <c r="AZ283" s="21" t="str">
        <f>IF(AND($AM283&lt;&gt;"",$AS283="✓"),SUMPRODUCT(($AM$11:$AM283&lt;&gt;"")*($AS$11:$AS283="✓")),"")</f>
        <v/>
      </c>
      <c r="BA283" s="21" t="str">
        <f>IF($AL283="","",$AL283&amp;"|"&amp;COUNTIF($AL$11:$AL283,$AL283))</f>
        <v/>
      </c>
    </row>
    <row r="284" spans="2:53" ht="15" customHeight="1" x14ac:dyDescent="0.25">
      <c r="B284" s="5" t="str">
        <f t="shared" si="59"/>
        <v/>
      </c>
      <c r="C284" s="5"/>
      <c r="D284" s="5"/>
      <c r="E284" s="5"/>
      <c r="F284" s="6"/>
      <c r="G284" s="6"/>
      <c r="H284" s="7"/>
      <c r="I284" s="8"/>
      <c r="K284" s="23" t="str">
        <f>IFERROR(INDEX($AL$11:$AL$4010,MATCH(274,$AX$11:$AX$4010,0)),"")</f>
        <v/>
      </c>
      <c r="L284" s="24" t="str">
        <f t="shared" si="60"/>
        <v/>
      </c>
      <c r="M284" s="25" t="str">
        <f t="shared" si="61"/>
        <v/>
      </c>
      <c r="N284" s="25" t="str">
        <f t="shared" si="62"/>
        <v/>
      </c>
      <c r="W284" s="28" t="str">
        <f>IF(X284="","",IFERROR(INDEX($AL$11:$AL$4010,MATCH(274,$AY$11:$AY$4010,0)),""))</f>
        <v/>
      </c>
      <c r="X284" s="26" t="str">
        <f>IFERROR(INDEX($AM$11:$AM$4010,MATCH(274,$AY$11:$AY$4010,0)),"")</f>
        <v/>
      </c>
      <c r="Y284" s="25" t="str">
        <f>IF(X284="","",IFERROR(INDEX($AN$11:$AN$4010,MATCH(274,$AY$11:$AY$4010,0)),""))</f>
        <v/>
      </c>
      <c r="Z284" s="25" t="str">
        <f>IF(X284="","",IFERROR(INDEX($AO$11:$AO$4010,MATCH(274,$AY$11:$AY$4010,0)),""))</f>
        <v/>
      </c>
      <c r="AA284" s="24" t="str">
        <f>IF(X284="","",IFERROR(INDEX($AQ$11:$AQ$4010,MATCH(274,$AY$11:$AY$4010,0)),""))</f>
        <v/>
      </c>
      <c r="AB284" s="29" t="str">
        <f>IF(X284="","",IFERROR(INDEX($AR$11:$AR$4010,MATCH(274,$AY$11:$AY$4010,0)),""))</f>
        <v/>
      </c>
      <c r="AD284" s="30" t="str">
        <f>IF(AE284="","",IFERROR(INDEX($AL$11:$AL$4010,MATCH(274,$AZ$11:$AZ$4010,0)),""))</f>
        <v/>
      </c>
      <c r="AE284" s="26" t="str">
        <f>IFERROR(INDEX($AM$11:$AM$4010,MATCH(274,$AZ$11:$AZ$4010,0)),"")</f>
        <v/>
      </c>
      <c r="AF284" s="25" t="str">
        <f>IF(AE284="","",IFERROR(INDEX($AN$11:$AN$4010,MATCH(274,$AZ$11:$AZ$4010,0)),""))</f>
        <v/>
      </c>
      <c r="AG284" s="25" t="str">
        <f>IF(AE284="","",IFERROR(INDEX($AO$11:$AO$4010,MATCH(274,$AZ$11:$AZ$4010,0)),""))</f>
        <v/>
      </c>
      <c r="AH284" s="24" t="str">
        <f>IF(AE284="","",IFERROR(INDEX($AQ$11:$AQ$4010,MATCH(274,$AZ$11:$AZ$4010,0)),""))</f>
        <v/>
      </c>
      <c r="AI284" s="29" t="str">
        <f>IF(AE284="","",IFERROR(INDEX($AR$11:$AR$4010,MATCH(274,$AZ$11:$AZ$4010,0)),""))</f>
        <v/>
      </c>
      <c r="AJ284" s="29" t="str">
        <f>IF(AE284="","",IFERROR(INDEX($AT$11:$AT$4010,MATCH(274,$AZ$11:$AZ$4010,0)),""))</f>
        <v/>
      </c>
      <c r="AL284" s="31" t="str">
        <f t="shared" si="63"/>
        <v/>
      </c>
      <c r="AM284" s="26" t="str">
        <f t="shared" si="64"/>
        <v/>
      </c>
      <c r="AN284" s="32" t="str">
        <f t="shared" si="65"/>
        <v/>
      </c>
      <c r="AO284" s="32" t="str">
        <f t="shared" si="66"/>
        <v/>
      </c>
      <c r="AP284" s="24" t="str">
        <f t="shared" si="67"/>
        <v/>
      </c>
      <c r="AQ284" s="24" t="str">
        <f t="shared" si="68"/>
        <v/>
      </c>
      <c r="AR284" s="33" t="str">
        <f t="shared" si="69"/>
        <v/>
      </c>
      <c r="AS284" s="34"/>
      <c r="AT284" s="33"/>
      <c r="AV284" s="21">
        <f>IF(AND($AL284&lt;&gt;"",COUNTIF($AL$11:$AL284,$AL284)=1),1,0)</f>
        <v>0</v>
      </c>
      <c r="AW284" s="21">
        <f t="shared" si="71"/>
        <v>0</v>
      </c>
      <c r="AX284" s="21" t="str">
        <f t="shared" si="70"/>
        <v/>
      </c>
      <c r="AY284" s="21" t="str">
        <f>IF(AND($AM284&lt;&gt;"",$AS284&lt;&gt;"✓"),SUMPRODUCT(($AM$11:$AM284&lt;&gt;"")*($AS$11:$AS284&lt;&gt;"✓")),"")</f>
        <v/>
      </c>
      <c r="AZ284" s="21" t="str">
        <f>IF(AND($AM284&lt;&gt;"",$AS284="✓"),SUMPRODUCT(($AM$11:$AM284&lt;&gt;"")*($AS$11:$AS284="✓")),"")</f>
        <v/>
      </c>
      <c r="BA284" s="21" t="str">
        <f>IF($AL284="","",$AL284&amp;"|"&amp;COUNTIF($AL$11:$AL284,$AL284))</f>
        <v/>
      </c>
    </row>
    <row r="285" spans="2:53" ht="15" customHeight="1" x14ac:dyDescent="0.25">
      <c r="B285" s="5" t="str">
        <f t="shared" si="59"/>
        <v/>
      </c>
      <c r="C285" s="5"/>
      <c r="D285" s="5"/>
      <c r="E285" s="5"/>
      <c r="F285" s="6"/>
      <c r="G285" s="6"/>
      <c r="H285" s="7"/>
      <c r="I285" s="8"/>
      <c r="K285" s="9" t="str">
        <f>IFERROR(INDEX($AL$11:$AL$4010,MATCH(275,$AX$11:$AX$4010,0)),"")</f>
        <v/>
      </c>
      <c r="L285" s="10" t="str">
        <f t="shared" si="60"/>
        <v/>
      </c>
      <c r="M285" s="11" t="str">
        <f t="shared" si="61"/>
        <v/>
      </c>
      <c r="N285" s="11" t="str">
        <f t="shared" si="62"/>
        <v/>
      </c>
      <c r="W285" s="14" t="str">
        <f>IF(X285="","",IFERROR(INDEX($AL$11:$AL$4010,MATCH(275,$AY$11:$AY$4010,0)),""))</f>
        <v/>
      </c>
      <c r="X285" s="12" t="str">
        <f>IFERROR(INDEX($AM$11:$AM$4010,MATCH(275,$AY$11:$AY$4010,0)),"")</f>
        <v/>
      </c>
      <c r="Y285" s="11" t="str">
        <f>IF(X285="","",IFERROR(INDEX($AN$11:$AN$4010,MATCH(275,$AY$11:$AY$4010,0)),""))</f>
        <v/>
      </c>
      <c r="Z285" s="11" t="str">
        <f>IF(X285="","",IFERROR(INDEX($AO$11:$AO$4010,MATCH(275,$AY$11:$AY$4010,0)),""))</f>
        <v/>
      </c>
      <c r="AA285" s="10" t="str">
        <f>IF(X285="","",IFERROR(INDEX($AQ$11:$AQ$4010,MATCH(275,$AY$11:$AY$4010,0)),""))</f>
        <v/>
      </c>
      <c r="AB285" s="15" t="str">
        <f>IF(X285="","",IFERROR(INDEX($AR$11:$AR$4010,MATCH(275,$AY$11:$AY$4010,0)),""))</f>
        <v/>
      </c>
      <c r="AD285" s="16" t="str">
        <f>IF(AE285="","",IFERROR(INDEX($AL$11:$AL$4010,MATCH(275,$AZ$11:$AZ$4010,0)),""))</f>
        <v/>
      </c>
      <c r="AE285" s="12" t="str">
        <f>IFERROR(INDEX($AM$11:$AM$4010,MATCH(275,$AZ$11:$AZ$4010,0)),"")</f>
        <v/>
      </c>
      <c r="AF285" s="11" t="str">
        <f>IF(AE285="","",IFERROR(INDEX($AN$11:$AN$4010,MATCH(275,$AZ$11:$AZ$4010,0)),""))</f>
        <v/>
      </c>
      <c r="AG285" s="11" t="str">
        <f>IF(AE285="","",IFERROR(INDEX($AO$11:$AO$4010,MATCH(275,$AZ$11:$AZ$4010,0)),""))</f>
        <v/>
      </c>
      <c r="AH285" s="10" t="str">
        <f>IF(AE285="","",IFERROR(INDEX($AQ$11:$AQ$4010,MATCH(275,$AZ$11:$AZ$4010,0)),""))</f>
        <v/>
      </c>
      <c r="AI285" s="15" t="str">
        <f>IF(AE285="","",IFERROR(INDEX($AR$11:$AR$4010,MATCH(275,$AZ$11:$AZ$4010,0)),""))</f>
        <v/>
      </c>
      <c r="AJ285" s="15" t="str">
        <f>IF(AE285="","",IFERROR(INDEX($AT$11:$AT$4010,MATCH(275,$AZ$11:$AZ$4010,0)),""))</f>
        <v/>
      </c>
      <c r="AL285" s="17" t="str">
        <f t="shared" si="63"/>
        <v/>
      </c>
      <c r="AM285" s="12" t="str">
        <f t="shared" si="64"/>
        <v/>
      </c>
      <c r="AN285" s="18" t="str">
        <f t="shared" si="65"/>
        <v/>
      </c>
      <c r="AO285" s="18" t="str">
        <f t="shared" si="66"/>
        <v/>
      </c>
      <c r="AP285" s="10" t="str">
        <f t="shared" si="67"/>
        <v/>
      </c>
      <c r="AQ285" s="10" t="str">
        <f t="shared" si="68"/>
        <v/>
      </c>
      <c r="AR285" s="19" t="str">
        <f t="shared" si="69"/>
        <v/>
      </c>
      <c r="AS285" s="20"/>
      <c r="AT285" s="19"/>
      <c r="AV285" s="21">
        <f>IF(AND($AL285&lt;&gt;"",COUNTIF($AL$11:$AL285,$AL285)=1),1,0)</f>
        <v>0</v>
      </c>
      <c r="AW285" s="21">
        <f t="shared" si="71"/>
        <v>0</v>
      </c>
      <c r="AX285" s="21" t="str">
        <f t="shared" si="70"/>
        <v/>
      </c>
      <c r="AY285" s="21" t="str">
        <f>IF(AND($AM285&lt;&gt;"",$AS285&lt;&gt;"✓"),SUMPRODUCT(($AM$11:$AM285&lt;&gt;"")*($AS$11:$AS285&lt;&gt;"✓")),"")</f>
        <v/>
      </c>
      <c r="AZ285" s="21" t="str">
        <f>IF(AND($AM285&lt;&gt;"",$AS285="✓"),SUMPRODUCT(($AM$11:$AM285&lt;&gt;"")*($AS$11:$AS285="✓")),"")</f>
        <v/>
      </c>
      <c r="BA285" s="21" t="str">
        <f>IF($AL285="","",$AL285&amp;"|"&amp;COUNTIF($AL$11:$AL285,$AL285))</f>
        <v/>
      </c>
    </row>
    <row r="286" spans="2:53" ht="15" customHeight="1" x14ac:dyDescent="0.25">
      <c r="B286" s="5" t="str">
        <f t="shared" si="59"/>
        <v/>
      </c>
      <c r="C286" s="5"/>
      <c r="D286" s="5"/>
      <c r="E286" s="5"/>
      <c r="F286" s="6"/>
      <c r="G286" s="6"/>
      <c r="H286" s="7"/>
      <c r="I286" s="8"/>
      <c r="K286" s="23" t="str">
        <f>IFERROR(INDEX($AL$11:$AL$4010,MATCH(276,$AX$11:$AX$4010,0)),"")</f>
        <v/>
      </c>
      <c r="L286" s="24" t="str">
        <f t="shared" si="60"/>
        <v/>
      </c>
      <c r="M286" s="25" t="str">
        <f t="shared" si="61"/>
        <v/>
      </c>
      <c r="N286" s="25" t="str">
        <f t="shared" si="62"/>
        <v/>
      </c>
      <c r="W286" s="28" t="str">
        <f>IF(X286="","",IFERROR(INDEX($AL$11:$AL$4010,MATCH(276,$AY$11:$AY$4010,0)),""))</f>
        <v/>
      </c>
      <c r="X286" s="26" t="str">
        <f>IFERROR(INDEX($AM$11:$AM$4010,MATCH(276,$AY$11:$AY$4010,0)),"")</f>
        <v/>
      </c>
      <c r="Y286" s="25" t="str">
        <f>IF(X286="","",IFERROR(INDEX($AN$11:$AN$4010,MATCH(276,$AY$11:$AY$4010,0)),""))</f>
        <v/>
      </c>
      <c r="Z286" s="25" t="str">
        <f>IF(X286="","",IFERROR(INDEX($AO$11:$AO$4010,MATCH(276,$AY$11:$AY$4010,0)),""))</f>
        <v/>
      </c>
      <c r="AA286" s="24" t="str">
        <f>IF(X286="","",IFERROR(INDEX($AQ$11:$AQ$4010,MATCH(276,$AY$11:$AY$4010,0)),""))</f>
        <v/>
      </c>
      <c r="AB286" s="29" t="str">
        <f>IF(X286="","",IFERROR(INDEX($AR$11:$AR$4010,MATCH(276,$AY$11:$AY$4010,0)),""))</f>
        <v/>
      </c>
      <c r="AD286" s="30" t="str">
        <f>IF(AE286="","",IFERROR(INDEX($AL$11:$AL$4010,MATCH(276,$AZ$11:$AZ$4010,0)),""))</f>
        <v/>
      </c>
      <c r="AE286" s="26" t="str">
        <f>IFERROR(INDEX($AM$11:$AM$4010,MATCH(276,$AZ$11:$AZ$4010,0)),"")</f>
        <v/>
      </c>
      <c r="AF286" s="25" t="str">
        <f>IF(AE286="","",IFERROR(INDEX($AN$11:$AN$4010,MATCH(276,$AZ$11:$AZ$4010,0)),""))</f>
        <v/>
      </c>
      <c r="AG286" s="25" t="str">
        <f>IF(AE286="","",IFERROR(INDEX($AO$11:$AO$4010,MATCH(276,$AZ$11:$AZ$4010,0)),""))</f>
        <v/>
      </c>
      <c r="AH286" s="24" t="str">
        <f>IF(AE286="","",IFERROR(INDEX($AQ$11:$AQ$4010,MATCH(276,$AZ$11:$AZ$4010,0)),""))</f>
        <v/>
      </c>
      <c r="AI286" s="29" t="str">
        <f>IF(AE286="","",IFERROR(INDEX($AR$11:$AR$4010,MATCH(276,$AZ$11:$AZ$4010,0)),""))</f>
        <v/>
      </c>
      <c r="AJ286" s="29" t="str">
        <f>IF(AE286="","",IFERROR(INDEX($AT$11:$AT$4010,MATCH(276,$AZ$11:$AZ$4010,0)),""))</f>
        <v/>
      </c>
      <c r="AL286" s="31" t="str">
        <f t="shared" si="63"/>
        <v/>
      </c>
      <c r="AM286" s="26" t="str">
        <f t="shared" si="64"/>
        <v/>
      </c>
      <c r="AN286" s="32" t="str">
        <f t="shared" si="65"/>
        <v/>
      </c>
      <c r="AO286" s="32" t="str">
        <f t="shared" si="66"/>
        <v/>
      </c>
      <c r="AP286" s="24" t="str">
        <f t="shared" si="67"/>
        <v/>
      </c>
      <c r="AQ286" s="24" t="str">
        <f t="shared" si="68"/>
        <v/>
      </c>
      <c r="AR286" s="33" t="str">
        <f t="shared" si="69"/>
        <v/>
      </c>
      <c r="AS286" s="34"/>
      <c r="AT286" s="33"/>
      <c r="AV286" s="21">
        <f>IF(AND($AL286&lt;&gt;"",COUNTIF($AL$11:$AL286,$AL286)=1),1,0)</f>
        <v>0</v>
      </c>
      <c r="AW286" s="21">
        <f t="shared" si="71"/>
        <v>0</v>
      </c>
      <c r="AX286" s="21" t="str">
        <f t="shared" si="70"/>
        <v/>
      </c>
      <c r="AY286" s="21" t="str">
        <f>IF(AND($AM286&lt;&gt;"",$AS286&lt;&gt;"✓"),SUMPRODUCT(($AM$11:$AM286&lt;&gt;"")*($AS$11:$AS286&lt;&gt;"✓")),"")</f>
        <v/>
      </c>
      <c r="AZ286" s="21" t="str">
        <f>IF(AND($AM286&lt;&gt;"",$AS286="✓"),SUMPRODUCT(($AM$11:$AM286&lt;&gt;"")*($AS$11:$AS286="✓")),"")</f>
        <v/>
      </c>
      <c r="BA286" s="21" t="str">
        <f>IF($AL286="","",$AL286&amp;"|"&amp;COUNTIF($AL$11:$AL286,$AL286))</f>
        <v/>
      </c>
    </row>
    <row r="287" spans="2:53" ht="15" customHeight="1" x14ac:dyDescent="0.25">
      <c r="B287" s="5" t="str">
        <f t="shared" si="59"/>
        <v/>
      </c>
      <c r="C287" s="5"/>
      <c r="D287" s="5"/>
      <c r="E287" s="5"/>
      <c r="F287" s="6"/>
      <c r="G287" s="6"/>
      <c r="H287" s="7"/>
      <c r="I287" s="8"/>
      <c r="K287" s="9" t="str">
        <f>IFERROR(INDEX($AL$11:$AL$4010,MATCH(277,$AX$11:$AX$4010,0)),"")</f>
        <v/>
      </c>
      <c r="L287" s="10" t="str">
        <f t="shared" si="60"/>
        <v/>
      </c>
      <c r="M287" s="11" t="str">
        <f t="shared" si="61"/>
        <v/>
      </c>
      <c r="N287" s="11" t="str">
        <f t="shared" si="62"/>
        <v/>
      </c>
      <c r="W287" s="14" t="str">
        <f>IF(X287="","",IFERROR(INDEX($AL$11:$AL$4010,MATCH(277,$AY$11:$AY$4010,0)),""))</f>
        <v/>
      </c>
      <c r="X287" s="12" t="str">
        <f>IFERROR(INDEX($AM$11:$AM$4010,MATCH(277,$AY$11:$AY$4010,0)),"")</f>
        <v/>
      </c>
      <c r="Y287" s="11" t="str">
        <f>IF(X287="","",IFERROR(INDEX($AN$11:$AN$4010,MATCH(277,$AY$11:$AY$4010,0)),""))</f>
        <v/>
      </c>
      <c r="Z287" s="11" t="str">
        <f>IF(X287="","",IFERROR(INDEX($AO$11:$AO$4010,MATCH(277,$AY$11:$AY$4010,0)),""))</f>
        <v/>
      </c>
      <c r="AA287" s="10" t="str">
        <f>IF(X287="","",IFERROR(INDEX($AQ$11:$AQ$4010,MATCH(277,$AY$11:$AY$4010,0)),""))</f>
        <v/>
      </c>
      <c r="AB287" s="15" t="str">
        <f>IF(X287="","",IFERROR(INDEX($AR$11:$AR$4010,MATCH(277,$AY$11:$AY$4010,0)),""))</f>
        <v/>
      </c>
      <c r="AD287" s="16" t="str">
        <f>IF(AE287="","",IFERROR(INDEX($AL$11:$AL$4010,MATCH(277,$AZ$11:$AZ$4010,0)),""))</f>
        <v/>
      </c>
      <c r="AE287" s="12" t="str">
        <f>IFERROR(INDEX($AM$11:$AM$4010,MATCH(277,$AZ$11:$AZ$4010,0)),"")</f>
        <v/>
      </c>
      <c r="AF287" s="11" t="str">
        <f>IF(AE287="","",IFERROR(INDEX($AN$11:$AN$4010,MATCH(277,$AZ$11:$AZ$4010,0)),""))</f>
        <v/>
      </c>
      <c r="AG287" s="11" t="str">
        <f>IF(AE287="","",IFERROR(INDEX($AO$11:$AO$4010,MATCH(277,$AZ$11:$AZ$4010,0)),""))</f>
        <v/>
      </c>
      <c r="AH287" s="10" t="str">
        <f>IF(AE287="","",IFERROR(INDEX($AQ$11:$AQ$4010,MATCH(277,$AZ$11:$AZ$4010,0)),""))</f>
        <v/>
      </c>
      <c r="AI287" s="15" t="str">
        <f>IF(AE287="","",IFERROR(INDEX($AR$11:$AR$4010,MATCH(277,$AZ$11:$AZ$4010,0)),""))</f>
        <v/>
      </c>
      <c r="AJ287" s="15" t="str">
        <f>IF(AE287="","",IFERROR(INDEX($AT$11:$AT$4010,MATCH(277,$AZ$11:$AZ$4010,0)),""))</f>
        <v/>
      </c>
      <c r="AL287" s="17" t="str">
        <f t="shared" si="63"/>
        <v/>
      </c>
      <c r="AM287" s="12" t="str">
        <f t="shared" si="64"/>
        <v/>
      </c>
      <c r="AN287" s="18" t="str">
        <f t="shared" si="65"/>
        <v/>
      </c>
      <c r="AO287" s="18" t="str">
        <f t="shared" si="66"/>
        <v/>
      </c>
      <c r="AP287" s="10" t="str">
        <f t="shared" si="67"/>
        <v/>
      </c>
      <c r="AQ287" s="10" t="str">
        <f t="shared" si="68"/>
        <v/>
      </c>
      <c r="AR287" s="19" t="str">
        <f t="shared" si="69"/>
        <v/>
      </c>
      <c r="AS287" s="20"/>
      <c r="AT287" s="19"/>
      <c r="AV287" s="21">
        <f>IF(AND($AL287&lt;&gt;"",COUNTIF($AL$11:$AL287,$AL287)=1),1,0)</f>
        <v>0</v>
      </c>
      <c r="AW287" s="21">
        <f t="shared" si="71"/>
        <v>0</v>
      </c>
      <c r="AX287" s="21" t="str">
        <f t="shared" si="70"/>
        <v/>
      </c>
      <c r="AY287" s="21" t="str">
        <f>IF(AND($AM287&lt;&gt;"",$AS287&lt;&gt;"✓"),SUMPRODUCT(($AM$11:$AM287&lt;&gt;"")*($AS$11:$AS287&lt;&gt;"✓")),"")</f>
        <v/>
      </c>
      <c r="AZ287" s="21" t="str">
        <f>IF(AND($AM287&lt;&gt;"",$AS287="✓"),SUMPRODUCT(($AM$11:$AM287&lt;&gt;"")*($AS$11:$AS287="✓")),"")</f>
        <v/>
      </c>
      <c r="BA287" s="21" t="str">
        <f>IF($AL287="","",$AL287&amp;"|"&amp;COUNTIF($AL$11:$AL287,$AL287))</f>
        <v/>
      </c>
    </row>
    <row r="288" spans="2:53" ht="15" customHeight="1" x14ac:dyDescent="0.25">
      <c r="B288" s="5" t="str">
        <f t="shared" si="59"/>
        <v/>
      </c>
      <c r="C288" s="5"/>
      <c r="D288" s="5"/>
      <c r="E288" s="5"/>
      <c r="F288" s="6"/>
      <c r="G288" s="6"/>
      <c r="H288" s="7"/>
      <c r="I288" s="8"/>
      <c r="K288" s="23" t="str">
        <f>IFERROR(INDEX($AL$11:$AL$4010,MATCH(278,$AX$11:$AX$4010,0)),"")</f>
        <v/>
      </c>
      <c r="L288" s="24" t="str">
        <f t="shared" si="60"/>
        <v/>
      </c>
      <c r="M288" s="25" t="str">
        <f t="shared" si="61"/>
        <v/>
      </c>
      <c r="N288" s="25" t="str">
        <f t="shared" si="62"/>
        <v/>
      </c>
      <c r="W288" s="28" t="str">
        <f>IF(X288="","",IFERROR(INDEX($AL$11:$AL$4010,MATCH(278,$AY$11:$AY$4010,0)),""))</f>
        <v/>
      </c>
      <c r="X288" s="26" t="str">
        <f>IFERROR(INDEX($AM$11:$AM$4010,MATCH(278,$AY$11:$AY$4010,0)),"")</f>
        <v/>
      </c>
      <c r="Y288" s="25" t="str">
        <f>IF(X288="","",IFERROR(INDEX($AN$11:$AN$4010,MATCH(278,$AY$11:$AY$4010,0)),""))</f>
        <v/>
      </c>
      <c r="Z288" s="25" t="str">
        <f>IF(X288="","",IFERROR(INDEX($AO$11:$AO$4010,MATCH(278,$AY$11:$AY$4010,0)),""))</f>
        <v/>
      </c>
      <c r="AA288" s="24" t="str">
        <f>IF(X288="","",IFERROR(INDEX($AQ$11:$AQ$4010,MATCH(278,$AY$11:$AY$4010,0)),""))</f>
        <v/>
      </c>
      <c r="AB288" s="29" t="str">
        <f>IF(X288="","",IFERROR(INDEX($AR$11:$AR$4010,MATCH(278,$AY$11:$AY$4010,0)),""))</f>
        <v/>
      </c>
      <c r="AD288" s="30" t="str">
        <f>IF(AE288="","",IFERROR(INDEX($AL$11:$AL$4010,MATCH(278,$AZ$11:$AZ$4010,0)),""))</f>
        <v/>
      </c>
      <c r="AE288" s="26" t="str">
        <f>IFERROR(INDEX($AM$11:$AM$4010,MATCH(278,$AZ$11:$AZ$4010,0)),"")</f>
        <v/>
      </c>
      <c r="AF288" s="25" t="str">
        <f>IF(AE288="","",IFERROR(INDEX($AN$11:$AN$4010,MATCH(278,$AZ$11:$AZ$4010,0)),""))</f>
        <v/>
      </c>
      <c r="AG288" s="25" t="str">
        <f>IF(AE288="","",IFERROR(INDEX($AO$11:$AO$4010,MATCH(278,$AZ$11:$AZ$4010,0)),""))</f>
        <v/>
      </c>
      <c r="AH288" s="24" t="str">
        <f>IF(AE288="","",IFERROR(INDEX($AQ$11:$AQ$4010,MATCH(278,$AZ$11:$AZ$4010,0)),""))</f>
        <v/>
      </c>
      <c r="AI288" s="29" t="str">
        <f>IF(AE288="","",IFERROR(INDEX($AR$11:$AR$4010,MATCH(278,$AZ$11:$AZ$4010,0)),""))</f>
        <v/>
      </c>
      <c r="AJ288" s="29" t="str">
        <f>IF(AE288="","",IFERROR(INDEX($AT$11:$AT$4010,MATCH(278,$AZ$11:$AZ$4010,0)),""))</f>
        <v/>
      </c>
      <c r="AL288" s="31" t="str">
        <f t="shared" si="63"/>
        <v/>
      </c>
      <c r="AM288" s="26" t="str">
        <f t="shared" si="64"/>
        <v/>
      </c>
      <c r="AN288" s="32" t="str">
        <f t="shared" si="65"/>
        <v/>
      </c>
      <c r="AO288" s="32" t="str">
        <f t="shared" si="66"/>
        <v/>
      </c>
      <c r="AP288" s="24" t="str">
        <f t="shared" si="67"/>
        <v/>
      </c>
      <c r="AQ288" s="24" t="str">
        <f t="shared" si="68"/>
        <v/>
      </c>
      <c r="AR288" s="33" t="str">
        <f t="shared" si="69"/>
        <v/>
      </c>
      <c r="AS288" s="34"/>
      <c r="AT288" s="33"/>
      <c r="AV288" s="21">
        <f>IF(AND($AL288&lt;&gt;"",COUNTIF($AL$11:$AL288,$AL288)=1),1,0)</f>
        <v>0</v>
      </c>
      <c r="AW288" s="21">
        <f t="shared" si="71"/>
        <v>0</v>
      </c>
      <c r="AX288" s="21" t="str">
        <f t="shared" si="70"/>
        <v/>
      </c>
      <c r="AY288" s="21" t="str">
        <f>IF(AND($AM288&lt;&gt;"",$AS288&lt;&gt;"✓"),SUMPRODUCT(($AM$11:$AM288&lt;&gt;"")*($AS$11:$AS288&lt;&gt;"✓")),"")</f>
        <v/>
      </c>
      <c r="AZ288" s="21" t="str">
        <f>IF(AND($AM288&lt;&gt;"",$AS288="✓"),SUMPRODUCT(($AM$11:$AM288&lt;&gt;"")*($AS$11:$AS288="✓")),"")</f>
        <v/>
      </c>
      <c r="BA288" s="21" t="str">
        <f>IF($AL288="","",$AL288&amp;"|"&amp;COUNTIF($AL$11:$AL288,$AL288))</f>
        <v/>
      </c>
    </row>
    <row r="289" spans="2:53" ht="15" customHeight="1" x14ac:dyDescent="0.25">
      <c r="B289" s="5" t="str">
        <f t="shared" si="59"/>
        <v/>
      </c>
      <c r="C289" s="5"/>
      <c r="D289" s="5"/>
      <c r="E289" s="5"/>
      <c r="F289" s="6"/>
      <c r="G289" s="6"/>
      <c r="H289" s="7"/>
      <c r="I289" s="8"/>
      <c r="K289" s="9" t="str">
        <f>IFERROR(INDEX($AL$11:$AL$4010,MATCH(279,$AX$11:$AX$4010,0)),"")</f>
        <v/>
      </c>
      <c r="L289" s="10" t="str">
        <f t="shared" si="60"/>
        <v/>
      </c>
      <c r="M289" s="11" t="str">
        <f t="shared" si="61"/>
        <v/>
      </c>
      <c r="N289" s="11" t="str">
        <f t="shared" si="62"/>
        <v/>
      </c>
      <c r="W289" s="14" t="str">
        <f>IF(X289="","",IFERROR(INDEX($AL$11:$AL$4010,MATCH(279,$AY$11:$AY$4010,0)),""))</f>
        <v/>
      </c>
      <c r="X289" s="12" t="str">
        <f>IFERROR(INDEX($AM$11:$AM$4010,MATCH(279,$AY$11:$AY$4010,0)),"")</f>
        <v/>
      </c>
      <c r="Y289" s="11" t="str">
        <f>IF(X289="","",IFERROR(INDEX($AN$11:$AN$4010,MATCH(279,$AY$11:$AY$4010,0)),""))</f>
        <v/>
      </c>
      <c r="Z289" s="11" t="str">
        <f>IF(X289="","",IFERROR(INDEX($AO$11:$AO$4010,MATCH(279,$AY$11:$AY$4010,0)),""))</f>
        <v/>
      </c>
      <c r="AA289" s="10" t="str">
        <f>IF(X289="","",IFERROR(INDEX($AQ$11:$AQ$4010,MATCH(279,$AY$11:$AY$4010,0)),""))</f>
        <v/>
      </c>
      <c r="AB289" s="15" t="str">
        <f>IF(X289="","",IFERROR(INDEX($AR$11:$AR$4010,MATCH(279,$AY$11:$AY$4010,0)),""))</f>
        <v/>
      </c>
      <c r="AD289" s="16" t="str">
        <f>IF(AE289="","",IFERROR(INDEX($AL$11:$AL$4010,MATCH(279,$AZ$11:$AZ$4010,0)),""))</f>
        <v/>
      </c>
      <c r="AE289" s="12" t="str">
        <f>IFERROR(INDEX($AM$11:$AM$4010,MATCH(279,$AZ$11:$AZ$4010,0)),"")</f>
        <v/>
      </c>
      <c r="AF289" s="11" t="str">
        <f>IF(AE289="","",IFERROR(INDEX($AN$11:$AN$4010,MATCH(279,$AZ$11:$AZ$4010,0)),""))</f>
        <v/>
      </c>
      <c r="AG289" s="11" t="str">
        <f>IF(AE289="","",IFERROR(INDEX($AO$11:$AO$4010,MATCH(279,$AZ$11:$AZ$4010,0)),""))</f>
        <v/>
      </c>
      <c r="AH289" s="10" t="str">
        <f>IF(AE289="","",IFERROR(INDEX($AQ$11:$AQ$4010,MATCH(279,$AZ$11:$AZ$4010,0)),""))</f>
        <v/>
      </c>
      <c r="AI289" s="15" t="str">
        <f>IF(AE289="","",IFERROR(INDEX($AR$11:$AR$4010,MATCH(279,$AZ$11:$AZ$4010,0)),""))</f>
        <v/>
      </c>
      <c r="AJ289" s="15" t="str">
        <f>IF(AE289="","",IFERROR(INDEX($AT$11:$AT$4010,MATCH(279,$AZ$11:$AZ$4010,0)),""))</f>
        <v/>
      </c>
      <c r="AL289" s="17" t="str">
        <f t="shared" si="63"/>
        <v/>
      </c>
      <c r="AM289" s="12" t="str">
        <f t="shared" si="64"/>
        <v/>
      </c>
      <c r="AN289" s="18" t="str">
        <f t="shared" si="65"/>
        <v/>
      </c>
      <c r="AO289" s="18" t="str">
        <f t="shared" si="66"/>
        <v/>
      </c>
      <c r="AP289" s="10" t="str">
        <f t="shared" si="67"/>
        <v/>
      </c>
      <c r="AQ289" s="10" t="str">
        <f t="shared" si="68"/>
        <v/>
      </c>
      <c r="AR289" s="19" t="str">
        <f t="shared" si="69"/>
        <v/>
      </c>
      <c r="AS289" s="20"/>
      <c r="AT289" s="19"/>
      <c r="AV289" s="21">
        <f>IF(AND($AL289&lt;&gt;"",COUNTIF($AL$11:$AL289,$AL289)=1),1,0)</f>
        <v>0</v>
      </c>
      <c r="AW289" s="21">
        <f t="shared" si="71"/>
        <v>0</v>
      </c>
      <c r="AX289" s="21" t="str">
        <f t="shared" si="70"/>
        <v/>
      </c>
      <c r="AY289" s="21" t="str">
        <f>IF(AND($AM289&lt;&gt;"",$AS289&lt;&gt;"✓"),SUMPRODUCT(($AM$11:$AM289&lt;&gt;"")*($AS$11:$AS289&lt;&gt;"✓")),"")</f>
        <v/>
      </c>
      <c r="AZ289" s="21" t="str">
        <f>IF(AND($AM289&lt;&gt;"",$AS289="✓"),SUMPRODUCT(($AM$11:$AM289&lt;&gt;"")*($AS$11:$AS289="✓")),"")</f>
        <v/>
      </c>
      <c r="BA289" s="21" t="str">
        <f>IF($AL289="","",$AL289&amp;"|"&amp;COUNTIF($AL$11:$AL289,$AL289))</f>
        <v/>
      </c>
    </row>
    <row r="290" spans="2:53" ht="15" customHeight="1" x14ac:dyDescent="0.25">
      <c r="B290" s="5" t="str">
        <f t="shared" si="59"/>
        <v/>
      </c>
      <c r="C290" s="5"/>
      <c r="D290" s="5"/>
      <c r="E290" s="5"/>
      <c r="F290" s="6"/>
      <c r="G290" s="6"/>
      <c r="H290" s="7"/>
      <c r="I290" s="8"/>
      <c r="K290" s="23" t="str">
        <f>IFERROR(INDEX($AL$11:$AL$4010,MATCH(280,$AX$11:$AX$4010,0)),"")</f>
        <v/>
      </c>
      <c r="L290" s="24" t="str">
        <f t="shared" si="60"/>
        <v/>
      </c>
      <c r="M290" s="25" t="str">
        <f t="shared" si="61"/>
        <v/>
      </c>
      <c r="N290" s="25" t="str">
        <f t="shared" si="62"/>
        <v/>
      </c>
      <c r="W290" s="28" t="str">
        <f>IF(X290="","",IFERROR(INDEX($AL$11:$AL$4010,MATCH(280,$AY$11:$AY$4010,0)),""))</f>
        <v/>
      </c>
      <c r="X290" s="26" t="str">
        <f>IFERROR(INDEX($AM$11:$AM$4010,MATCH(280,$AY$11:$AY$4010,0)),"")</f>
        <v/>
      </c>
      <c r="Y290" s="25" t="str">
        <f>IF(X290="","",IFERROR(INDEX($AN$11:$AN$4010,MATCH(280,$AY$11:$AY$4010,0)),""))</f>
        <v/>
      </c>
      <c r="Z290" s="25" t="str">
        <f>IF(X290="","",IFERROR(INDEX($AO$11:$AO$4010,MATCH(280,$AY$11:$AY$4010,0)),""))</f>
        <v/>
      </c>
      <c r="AA290" s="24" t="str">
        <f>IF(X290="","",IFERROR(INDEX($AQ$11:$AQ$4010,MATCH(280,$AY$11:$AY$4010,0)),""))</f>
        <v/>
      </c>
      <c r="AB290" s="29" t="str">
        <f>IF(X290="","",IFERROR(INDEX($AR$11:$AR$4010,MATCH(280,$AY$11:$AY$4010,0)),""))</f>
        <v/>
      </c>
      <c r="AD290" s="30" t="str">
        <f>IF(AE290="","",IFERROR(INDEX($AL$11:$AL$4010,MATCH(280,$AZ$11:$AZ$4010,0)),""))</f>
        <v/>
      </c>
      <c r="AE290" s="26" t="str">
        <f>IFERROR(INDEX($AM$11:$AM$4010,MATCH(280,$AZ$11:$AZ$4010,0)),"")</f>
        <v/>
      </c>
      <c r="AF290" s="25" t="str">
        <f>IF(AE290="","",IFERROR(INDEX($AN$11:$AN$4010,MATCH(280,$AZ$11:$AZ$4010,0)),""))</f>
        <v/>
      </c>
      <c r="AG290" s="25" t="str">
        <f>IF(AE290="","",IFERROR(INDEX($AO$11:$AO$4010,MATCH(280,$AZ$11:$AZ$4010,0)),""))</f>
        <v/>
      </c>
      <c r="AH290" s="24" t="str">
        <f>IF(AE290="","",IFERROR(INDEX($AQ$11:$AQ$4010,MATCH(280,$AZ$11:$AZ$4010,0)),""))</f>
        <v/>
      </c>
      <c r="AI290" s="29" t="str">
        <f>IF(AE290="","",IFERROR(INDEX($AR$11:$AR$4010,MATCH(280,$AZ$11:$AZ$4010,0)),""))</f>
        <v/>
      </c>
      <c r="AJ290" s="29" t="str">
        <f>IF(AE290="","",IFERROR(INDEX($AT$11:$AT$4010,MATCH(280,$AZ$11:$AZ$4010,0)),""))</f>
        <v/>
      </c>
      <c r="AL290" s="31" t="str">
        <f t="shared" si="63"/>
        <v/>
      </c>
      <c r="AM290" s="26" t="str">
        <f t="shared" si="64"/>
        <v/>
      </c>
      <c r="AN290" s="32" t="str">
        <f t="shared" si="65"/>
        <v/>
      </c>
      <c r="AO290" s="32" t="str">
        <f t="shared" si="66"/>
        <v/>
      </c>
      <c r="AP290" s="24" t="str">
        <f t="shared" si="67"/>
        <v/>
      </c>
      <c r="AQ290" s="24" t="str">
        <f t="shared" si="68"/>
        <v/>
      </c>
      <c r="AR290" s="33" t="str">
        <f t="shared" si="69"/>
        <v/>
      </c>
      <c r="AS290" s="34"/>
      <c r="AT290" s="33"/>
      <c r="AV290" s="21">
        <f>IF(AND($AL290&lt;&gt;"",COUNTIF($AL$11:$AL290,$AL290)=1),1,0)</f>
        <v>0</v>
      </c>
      <c r="AW290" s="21">
        <f t="shared" si="71"/>
        <v>0</v>
      </c>
      <c r="AX290" s="21" t="str">
        <f t="shared" si="70"/>
        <v/>
      </c>
      <c r="AY290" s="21" t="str">
        <f>IF(AND($AM290&lt;&gt;"",$AS290&lt;&gt;"✓"),SUMPRODUCT(($AM$11:$AM290&lt;&gt;"")*($AS$11:$AS290&lt;&gt;"✓")),"")</f>
        <v/>
      </c>
      <c r="AZ290" s="21" t="str">
        <f>IF(AND($AM290&lt;&gt;"",$AS290="✓"),SUMPRODUCT(($AM$11:$AM290&lt;&gt;"")*($AS$11:$AS290="✓")),"")</f>
        <v/>
      </c>
      <c r="BA290" s="21" t="str">
        <f>IF($AL290="","",$AL290&amp;"|"&amp;COUNTIF($AL$11:$AL290,$AL290))</f>
        <v/>
      </c>
    </row>
    <row r="291" spans="2:53" ht="15" customHeight="1" x14ac:dyDescent="0.25">
      <c r="B291" s="5" t="str">
        <f t="shared" si="59"/>
        <v/>
      </c>
      <c r="C291" s="5"/>
      <c r="D291" s="5"/>
      <c r="E291" s="5"/>
      <c r="F291" s="6"/>
      <c r="G291" s="6"/>
      <c r="H291" s="7"/>
      <c r="I291" s="8"/>
      <c r="K291" s="9" t="str">
        <f>IFERROR(INDEX($AL$11:$AL$4010,MATCH(281,$AX$11:$AX$4010,0)),"")</f>
        <v/>
      </c>
      <c r="L291" s="10" t="str">
        <f t="shared" si="60"/>
        <v/>
      </c>
      <c r="M291" s="11" t="str">
        <f t="shared" si="61"/>
        <v/>
      </c>
      <c r="N291" s="11" t="str">
        <f t="shared" si="62"/>
        <v/>
      </c>
      <c r="W291" s="14" t="str">
        <f>IF(X291="","",IFERROR(INDEX($AL$11:$AL$4010,MATCH(281,$AY$11:$AY$4010,0)),""))</f>
        <v/>
      </c>
      <c r="X291" s="12" t="str">
        <f>IFERROR(INDEX($AM$11:$AM$4010,MATCH(281,$AY$11:$AY$4010,0)),"")</f>
        <v/>
      </c>
      <c r="Y291" s="11" t="str">
        <f>IF(X291="","",IFERROR(INDEX($AN$11:$AN$4010,MATCH(281,$AY$11:$AY$4010,0)),""))</f>
        <v/>
      </c>
      <c r="Z291" s="11" t="str">
        <f>IF(X291="","",IFERROR(INDEX($AO$11:$AO$4010,MATCH(281,$AY$11:$AY$4010,0)),""))</f>
        <v/>
      </c>
      <c r="AA291" s="10" t="str">
        <f>IF(X291="","",IFERROR(INDEX($AQ$11:$AQ$4010,MATCH(281,$AY$11:$AY$4010,0)),""))</f>
        <v/>
      </c>
      <c r="AB291" s="15" t="str">
        <f>IF(X291="","",IFERROR(INDEX($AR$11:$AR$4010,MATCH(281,$AY$11:$AY$4010,0)),""))</f>
        <v/>
      </c>
      <c r="AD291" s="16" t="str">
        <f>IF(AE291="","",IFERROR(INDEX($AL$11:$AL$4010,MATCH(281,$AZ$11:$AZ$4010,0)),""))</f>
        <v/>
      </c>
      <c r="AE291" s="12" t="str">
        <f>IFERROR(INDEX($AM$11:$AM$4010,MATCH(281,$AZ$11:$AZ$4010,0)),"")</f>
        <v/>
      </c>
      <c r="AF291" s="11" t="str">
        <f>IF(AE291="","",IFERROR(INDEX($AN$11:$AN$4010,MATCH(281,$AZ$11:$AZ$4010,0)),""))</f>
        <v/>
      </c>
      <c r="AG291" s="11" t="str">
        <f>IF(AE291="","",IFERROR(INDEX($AO$11:$AO$4010,MATCH(281,$AZ$11:$AZ$4010,0)),""))</f>
        <v/>
      </c>
      <c r="AH291" s="10" t="str">
        <f>IF(AE291="","",IFERROR(INDEX($AQ$11:$AQ$4010,MATCH(281,$AZ$11:$AZ$4010,0)),""))</f>
        <v/>
      </c>
      <c r="AI291" s="15" t="str">
        <f>IF(AE291="","",IFERROR(INDEX($AR$11:$AR$4010,MATCH(281,$AZ$11:$AZ$4010,0)),""))</f>
        <v/>
      </c>
      <c r="AJ291" s="15" t="str">
        <f>IF(AE291="","",IFERROR(INDEX($AT$11:$AT$4010,MATCH(281,$AZ$11:$AZ$4010,0)),""))</f>
        <v/>
      </c>
      <c r="AL291" s="17" t="str">
        <f t="shared" si="63"/>
        <v/>
      </c>
      <c r="AM291" s="12" t="str">
        <f t="shared" si="64"/>
        <v/>
      </c>
      <c r="AN291" s="18" t="str">
        <f t="shared" si="65"/>
        <v/>
      </c>
      <c r="AO291" s="18" t="str">
        <f t="shared" si="66"/>
        <v/>
      </c>
      <c r="AP291" s="10" t="str">
        <f t="shared" si="67"/>
        <v/>
      </c>
      <c r="AQ291" s="10" t="str">
        <f t="shared" si="68"/>
        <v/>
      </c>
      <c r="AR291" s="19" t="str">
        <f t="shared" si="69"/>
        <v/>
      </c>
      <c r="AS291" s="20"/>
      <c r="AT291" s="19"/>
      <c r="AV291" s="21">
        <f>IF(AND($AL291&lt;&gt;"",COUNTIF($AL$11:$AL291,$AL291)=1),1,0)</f>
        <v>0</v>
      </c>
      <c r="AW291" s="21">
        <f t="shared" si="71"/>
        <v>0</v>
      </c>
      <c r="AX291" s="21" t="str">
        <f t="shared" si="70"/>
        <v/>
      </c>
      <c r="AY291" s="21" t="str">
        <f>IF(AND($AM291&lt;&gt;"",$AS291&lt;&gt;"✓"),SUMPRODUCT(($AM$11:$AM291&lt;&gt;"")*($AS$11:$AS291&lt;&gt;"✓")),"")</f>
        <v/>
      </c>
      <c r="AZ291" s="21" t="str">
        <f>IF(AND($AM291&lt;&gt;"",$AS291="✓"),SUMPRODUCT(($AM$11:$AM291&lt;&gt;"")*($AS$11:$AS291="✓")),"")</f>
        <v/>
      </c>
      <c r="BA291" s="21" t="str">
        <f>IF($AL291="","",$AL291&amp;"|"&amp;COUNTIF($AL$11:$AL291,$AL291))</f>
        <v/>
      </c>
    </row>
    <row r="292" spans="2:53" ht="15" customHeight="1" x14ac:dyDescent="0.25">
      <c r="B292" s="5" t="str">
        <f t="shared" si="59"/>
        <v/>
      </c>
      <c r="C292" s="5"/>
      <c r="D292" s="5"/>
      <c r="E292" s="5"/>
      <c r="F292" s="6"/>
      <c r="G292" s="6"/>
      <c r="H292" s="7"/>
      <c r="I292" s="8"/>
      <c r="K292" s="23" t="str">
        <f>IFERROR(INDEX($AL$11:$AL$4010,MATCH(282,$AX$11:$AX$4010,0)),"")</f>
        <v/>
      </c>
      <c r="L292" s="24" t="str">
        <f t="shared" si="60"/>
        <v/>
      </c>
      <c r="M292" s="25" t="str">
        <f t="shared" si="61"/>
        <v/>
      </c>
      <c r="N292" s="25" t="str">
        <f t="shared" si="62"/>
        <v/>
      </c>
      <c r="W292" s="28" t="str">
        <f>IF(X292="","",IFERROR(INDEX($AL$11:$AL$4010,MATCH(282,$AY$11:$AY$4010,0)),""))</f>
        <v/>
      </c>
      <c r="X292" s="26" t="str">
        <f>IFERROR(INDEX($AM$11:$AM$4010,MATCH(282,$AY$11:$AY$4010,0)),"")</f>
        <v/>
      </c>
      <c r="Y292" s="25" t="str">
        <f>IF(X292="","",IFERROR(INDEX($AN$11:$AN$4010,MATCH(282,$AY$11:$AY$4010,0)),""))</f>
        <v/>
      </c>
      <c r="Z292" s="25" t="str">
        <f>IF(X292="","",IFERROR(INDEX($AO$11:$AO$4010,MATCH(282,$AY$11:$AY$4010,0)),""))</f>
        <v/>
      </c>
      <c r="AA292" s="24" t="str">
        <f>IF(X292="","",IFERROR(INDEX($AQ$11:$AQ$4010,MATCH(282,$AY$11:$AY$4010,0)),""))</f>
        <v/>
      </c>
      <c r="AB292" s="29" t="str">
        <f>IF(X292="","",IFERROR(INDEX($AR$11:$AR$4010,MATCH(282,$AY$11:$AY$4010,0)),""))</f>
        <v/>
      </c>
      <c r="AD292" s="30" t="str">
        <f>IF(AE292="","",IFERROR(INDEX($AL$11:$AL$4010,MATCH(282,$AZ$11:$AZ$4010,0)),""))</f>
        <v/>
      </c>
      <c r="AE292" s="26" t="str">
        <f>IFERROR(INDEX($AM$11:$AM$4010,MATCH(282,$AZ$11:$AZ$4010,0)),"")</f>
        <v/>
      </c>
      <c r="AF292" s="25" t="str">
        <f>IF(AE292="","",IFERROR(INDEX($AN$11:$AN$4010,MATCH(282,$AZ$11:$AZ$4010,0)),""))</f>
        <v/>
      </c>
      <c r="AG292" s="25" t="str">
        <f>IF(AE292="","",IFERROR(INDEX($AO$11:$AO$4010,MATCH(282,$AZ$11:$AZ$4010,0)),""))</f>
        <v/>
      </c>
      <c r="AH292" s="24" t="str">
        <f>IF(AE292="","",IFERROR(INDEX($AQ$11:$AQ$4010,MATCH(282,$AZ$11:$AZ$4010,0)),""))</f>
        <v/>
      </c>
      <c r="AI292" s="29" t="str">
        <f>IF(AE292="","",IFERROR(INDEX($AR$11:$AR$4010,MATCH(282,$AZ$11:$AZ$4010,0)),""))</f>
        <v/>
      </c>
      <c r="AJ292" s="29" t="str">
        <f>IF(AE292="","",IFERROR(INDEX($AT$11:$AT$4010,MATCH(282,$AZ$11:$AZ$4010,0)),""))</f>
        <v/>
      </c>
      <c r="AL292" s="31" t="str">
        <f t="shared" si="63"/>
        <v/>
      </c>
      <c r="AM292" s="26" t="str">
        <f t="shared" si="64"/>
        <v/>
      </c>
      <c r="AN292" s="32" t="str">
        <f t="shared" si="65"/>
        <v/>
      </c>
      <c r="AO292" s="32" t="str">
        <f t="shared" si="66"/>
        <v/>
      </c>
      <c r="AP292" s="24" t="str">
        <f t="shared" si="67"/>
        <v/>
      </c>
      <c r="AQ292" s="24" t="str">
        <f t="shared" si="68"/>
        <v/>
      </c>
      <c r="AR292" s="33" t="str">
        <f t="shared" si="69"/>
        <v/>
      </c>
      <c r="AS292" s="34"/>
      <c r="AT292" s="33"/>
      <c r="AV292" s="21">
        <f>IF(AND($AL292&lt;&gt;"",COUNTIF($AL$11:$AL292,$AL292)=1),1,0)</f>
        <v>0</v>
      </c>
      <c r="AW292" s="21">
        <f t="shared" si="71"/>
        <v>0</v>
      </c>
      <c r="AX292" s="21" t="str">
        <f t="shared" si="70"/>
        <v/>
      </c>
      <c r="AY292" s="21" t="str">
        <f>IF(AND($AM292&lt;&gt;"",$AS292&lt;&gt;"✓"),SUMPRODUCT(($AM$11:$AM292&lt;&gt;"")*($AS$11:$AS292&lt;&gt;"✓")),"")</f>
        <v/>
      </c>
      <c r="AZ292" s="21" t="str">
        <f>IF(AND($AM292&lt;&gt;"",$AS292="✓"),SUMPRODUCT(($AM$11:$AM292&lt;&gt;"")*($AS$11:$AS292="✓")),"")</f>
        <v/>
      </c>
      <c r="BA292" s="21" t="str">
        <f>IF($AL292="","",$AL292&amp;"|"&amp;COUNTIF($AL$11:$AL292,$AL292))</f>
        <v/>
      </c>
    </row>
    <row r="293" spans="2:53" ht="15" customHeight="1" x14ac:dyDescent="0.25">
      <c r="B293" s="5" t="str">
        <f t="shared" si="59"/>
        <v/>
      </c>
      <c r="C293" s="5"/>
      <c r="D293" s="5"/>
      <c r="E293" s="5"/>
      <c r="F293" s="6"/>
      <c r="G293" s="6"/>
      <c r="H293" s="7"/>
      <c r="I293" s="8"/>
      <c r="K293" s="9" t="str">
        <f>IFERROR(INDEX($AL$11:$AL$4010,MATCH(283,$AX$11:$AX$4010,0)),"")</f>
        <v/>
      </c>
      <c r="L293" s="10" t="str">
        <f t="shared" si="60"/>
        <v/>
      </c>
      <c r="M293" s="11" t="str">
        <f t="shared" si="61"/>
        <v/>
      </c>
      <c r="N293" s="11" t="str">
        <f t="shared" si="62"/>
        <v/>
      </c>
      <c r="W293" s="14" t="str">
        <f>IF(X293="","",IFERROR(INDEX($AL$11:$AL$4010,MATCH(283,$AY$11:$AY$4010,0)),""))</f>
        <v/>
      </c>
      <c r="X293" s="12" t="str">
        <f>IFERROR(INDEX($AM$11:$AM$4010,MATCH(283,$AY$11:$AY$4010,0)),"")</f>
        <v/>
      </c>
      <c r="Y293" s="11" t="str">
        <f>IF(X293="","",IFERROR(INDEX($AN$11:$AN$4010,MATCH(283,$AY$11:$AY$4010,0)),""))</f>
        <v/>
      </c>
      <c r="Z293" s="11" t="str">
        <f>IF(X293="","",IFERROR(INDEX($AO$11:$AO$4010,MATCH(283,$AY$11:$AY$4010,0)),""))</f>
        <v/>
      </c>
      <c r="AA293" s="10" t="str">
        <f>IF(X293="","",IFERROR(INDEX($AQ$11:$AQ$4010,MATCH(283,$AY$11:$AY$4010,0)),""))</f>
        <v/>
      </c>
      <c r="AB293" s="15" t="str">
        <f>IF(X293="","",IFERROR(INDEX($AR$11:$AR$4010,MATCH(283,$AY$11:$AY$4010,0)),""))</f>
        <v/>
      </c>
      <c r="AD293" s="16" t="str">
        <f>IF(AE293="","",IFERROR(INDEX($AL$11:$AL$4010,MATCH(283,$AZ$11:$AZ$4010,0)),""))</f>
        <v/>
      </c>
      <c r="AE293" s="12" t="str">
        <f>IFERROR(INDEX($AM$11:$AM$4010,MATCH(283,$AZ$11:$AZ$4010,0)),"")</f>
        <v/>
      </c>
      <c r="AF293" s="11" t="str">
        <f>IF(AE293="","",IFERROR(INDEX($AN$11:$AN$4010,MATCH(283,$AZ$11:$AZ$4010,0)),""))</f>
        <v/>
      </c>
      <c r="AG293" s="11" t="str">
        <f>IF(AE293="","",IFERROR(INDEX($AO$11:$AO$4010,MATCH(283,$AZ$11:$AZ$4010,0)),""))</f>
        <v/>
      </c>
      <c r="AH293" s="10" t="str">
        <f>IF(AE293="","",IFERROR(INDEX($AQ$11:$AQ$4010,MATCH(283,$AZ$11:$AZ$4010,0)),""))</f>
        <v/>
      </c>
      <c r="AI293" s="15" t="str">
        <f>IF(AE293="","",IFERROR(INDEX($AR$11:$AR$4010,MATCH(283,$AZ$11:$AZ$4010,0)),""))</f>
        <v/>
      </c>
      <c r="AJ293" s="15" t="str">
        <f>IF(AE293="","",IFERROR(INDEX($AT$11:$AT$4010,MATCH(283,$AZ$11:$AZ$4010,0)),""))</f>
        <v/>
      </c>
      <c r="AL293" s="17" t="str">
        <f t="shared" si="63"/>
        <v/>
      </c>
      <c r="AM293" s="12" t="str">
        <f t="shared" si="64"/>
        <v/>
      </c>
      <c r="AN293" s="18" t="str">
        <f t="shared" si="65"/>
        <v/>
      </c>
      <c r="AO293" s="18" t="str">
        <f t="shared" si="66"/>
        <v/>
      </c>
      <c r="AP293" s="10" t="str">
        <f t="shared" si="67"/>
        <v/>
      </c>
      <c r="AQ293" s="10" t="str">
        <f t="shared" si="68"/>
        <v/>
      </c>
      <c r="AR293" s="19" t="str">
        <f t="shared" si="69"/>
        <v/>
      </c>
      <c r="AS293" s="20"/>
      <c r="AT293" s="19"/>
      <c r="AV293" s="21">
        <f>IF(AND($AL293&lt;&gt;"",COUNTIF($AL$11:$AL293,$AL293)=1),1,0)</f>
        <v>0</v>
      </c>
      <c r="AW293" s="21">
        <f t="shared" si="71"/>
        <v>0</v>
      </c>
      <c r="AX293" s="21" t="str">
        <f t="shared" si="70"/>
        <v/>
      </c>
      <c r="AY293" s="21" t="str">
        <f>IF(AND($AM293&lt;&gt;"",$AS293&lt;&gt;"✓"),SUMPRODUCT(($AM$11:$AM293&lt;&gt;"")*($AS$11:$AS293&lt;&gt;"✓")),"")</f>
        <v/>
      </c>
      <c r="AZ293" s="21" t="str">
        <f>IF(AND($AM293&lt;&gt;"",$AS293="✓"),SUMPRODUCT(($AM$11:$AM293&lt;&gt;"")*($AS$11:$AS293="✓")),"")</f>
        <v/>
      </c>
      <c r="BA293" s="21" t="str">
        <f>IF($AL293="","",$AL293&amp;"|"&amp;COUNTIF($AL$11:$AL293,$AL293))</f>
        <v/>
      </c>
    </row>
    <row r="294" spans="2:53" ht="15" customHeight="1" x14ac:dyDescent="0.25">
      <c r="B294" s="5" t="str">
        <f t="shared" si="59"/>
        <v/>
      </c>
      <c r="C294" s="5"/>
      <c r="D294" s="5"/>
      <c r="E294" s="5"/>
      <c r="F294" s="6"/>
      <c r="G294" s="6"/>
      <c r="H294" s="7"/>
      <c r="I294" s="8"/>
      <c r="K294" s="23" t="str">
        <f>IFERROR(INDEX($AL$11:$AL$4010,MATCH(284,$AX$11:$AX$4010,0)),"")</f>
        <v/>
      </c>
      <c r="L294" s="24" t="str">
        <f t="shared" si="60"/>
        <v/>
      </c>
      <c r="M294" s="25" t="str">
        <f t="shared" si="61"/>
        <v/>
      </c>
      <c r="N294" s="25" t="str">
        <f t="shared" si="62"/>
        <v/>
      </c>
      <c r="W294" s="28" t="str">
        <f>IF(X294="","",IFERROR(INDEX($AL$11:$AL$4010,MATCH(284,$AY$11:$AY$4010,0)),""))</f>
        <v/>
      </c>
      <c r="X294" s="26" t="str">
        <f>IFERROR(INDEX($AM$11:$AM$4010,MATCH(284,$AY$11:$AY$4010,0)),"")</f>
        <v/>
      </c>
      <c r="Y294" s="25" t="str">
        <f>IF(X294="","",IFERROR(INDEX($AN$11:$AN$4010,MATCH(284,$AY$11:$AY$4010,0)),""))</f>
        <v/>
      </c>
      <c r="Z294" s="25" t="str">
        <f>IF(X294="","",IFERROR(INDEX($AO$11:$AO$4010,MATCH(284,$AY$11:$AY$4010,0)),""))</f>
        <v/>
      </c>
      <c r="AA294" s="24" t="str">
        <f>IF(X294="","",IFERROR(INDEX($AQ$11:$AQ$4010,MATCH(284,$AY$11:$AY$4010,0)),""))</f>
        <v/>
      </c>
      <c r="AB294" s="29" t="str">
        <f>IF(X294="","",IFERROR(INDEX($AR$11:$AR$4010,MATCH(284,$AY$11:$AY$4010,0)),""))</f>
        <v/>
      </c>
      <c r="AD294" s="30" t="str">
        <f>IF(AE294="","",IFERROR(INDEX($AL$11:$AL$4010,MATCH(284,$AZ$11:$AZ$4010,0)),""))</f>
        <v/>
      </c>
      <c r="AE294" s="26" t="str">
        <f>IFERROR(INDEX($AM$11:$AM$4010,MATCH(284,$AZ$11:$AZ$4010,0)),"")</f>
        <v/>
      </c>
      <c r="AF294" s="25" t="str">
        <f>IF(AE294="","",IFERROR(INDEX($AN$11:$AN$4010,MATCH(284,$AZ$11:$AZ$4010,0)),""))</f>
        <v/>
      </c>
      <c r="AG294" s="25" t="str">
        <f>IF(AE294="","",IFERROR(INDEX($AO$11:$AO$4010,MATCH(284,$AZ$11:$AZ$4010,0)),""))</f>
        <v/>
      </c>
      <c r="AH294" s="24" t="str">
        <f>IF(AE294="","",IFERROR(INDEX($AQ$11:$AQ$4010,MATCH(284,$AZ$11:$AZ$4010,0)),""))</f>
        <v/>
      </c>
      <c r="AI294" s="29" t="str">
        <f>IF(AE294="","",IFERROR(INDEX($AR$11:$AR$4010,MATCH(284,$AZ$11:$AZ$4010,0)),""))</f>
        <v/>
      </c>
      <c r="AJ294" s="29" t="str">
        <f>IF(AE294="","",IFERROR(INDEX($AT$11:$AT$4010,MATCH(284,$AZ$11:$AZ$4010,0)),""))</f>
        <v/>
      </c>
      <c r="AL294" s="31" t="str">
        <f t="shared" si="63"/>
        <v/>
      </c>
      <c r="AM294" s="26" t="str">
        <f t="shared" si="64"/>
        <v/>
      </c>
      <c r="AN294" s="32" t="str">
        <f t="shared" si="65"/>
        <v/>
      </c>
      <c r="AO294" s="32" t="str">
        <f t="shared" si="66"/>
        <v/>
      </c>
      <c r="AP294" s="24" t="str">
        <f t="shared" si="67"/>
        <v/>
      </c>
      <c r="AQ294" s="24" t="str">
        <f t="shared" si="68"/>
        <v/>
      </c>
      <c r="AR294" s="33" t="str">
        <f t="shared" si="69"/>
        <v/>
      </c>
      <c r="AS294" s="34"/>
      <c r="AT294" s="33"/>
      <c r="AV294" s="21">
        <f>IF(AND($AL294&lt;&gt;"",COUNTIF($AL$11:$AL294,$AL294)=1),1,0)</f>
        <v>0</v>
      </c>
      <c r="AW294" s="21">
        <f t="shared" si="71"/>
        <v>0</v>
      </c>
      <c r="AX294" s="21" t="str">
        <f t="shared" si="70"/>
        <v/>
      </c>
      <c r="AY294" s="21" t="str">
        <f>IF(AND($AM294&lt;&gt;"",$AS294&lt;&gt;"✓"),SUMPRODUCT(($AM$11:$AM294&lt;&gt;"")*($AS$11:$AS294&lt;&gt;"✓")),"")</f>
        <v/>
      </c>
      <c r="AZ294" s="21" t="str">
        <f>IF(AND($AM294&lt;&gt;"",$AS294="✓"),SUMPRODUCT(($AM$11:$AM294&lt;&gt;"")*($AS$11:$AS294="✓")),"")</f>
        <v/>
      </c>
      <c r="BA294" s="21" t="str">
        <f>IF($AL294="","",$AL294&amp;"|"&amp;COUNTIF($AL$11:$AL294,$AL294))</f>
        <v/>
      </c>
    </row>
    <row r="295" spans="2:53" ht="15" customHeight="1" x14ac:dyDescent="0.25">
      <c r="B295" s="5" t="str">
        <f t="shared" si="59"/>
        <v/>
      </c>
      <c r="C295" s="5"/>
      <c r="D295" s="5"/>
      <c r="E295" s="5"/>
      <c r="F295" s="6"/>
      <c r="G295" s="6"/>
      <c r="H295" s="7"/>
      <c r="I295" s="8"/>
      <c r="K295" s="9" t="str">
        <f>IFERROR(INDEX($AL$11:$AL$4010,MATCH(285,$AX$11:$AX$4010,0)),"")</f>
        <v/>
      </c>
      <c r="L295" s="10" t="str">
        <f t="shared" si="60"/>
        <v/>
      </c>
      <c r="M295" s="11" t="str">
        <f t="shared" si="61"/>
        <v/>
      </c>
      <c r="N295" s="11" t="str">
        <f t="shared" si="62"/>
        <v/>
      </c>
      <c r="W295" s="14" t="str">
        <f>IF(X295="","",IFERROR(INDEX($AL$11:$AL$4010,MATCH(285,$AY$11:$AY$4010,0)),""))</f>
        <v/>
      </c>
      <c r="X295" s="12" t="str">
        <f>IFERROR(INDEX($AM$11:$AM$4010,MATCH(285,$AY$11:$AY$4010,0)),"")</f>
        <v/>
      </c>
      <c r="Y295" s="11" t="str">
        <f>IF(X295="","",IFERROR(INDEX($AN$11:$AN$4010,MATCH(285,$AY$11:$AY$4010,0)),""))</f>
        <v/>
      </c>
      <c r="Z295" s="11" t="str">
        <f>IF(X295="","",IFERROR(INDEX($AO$11:$AO$4010,MATCH(285,$AY$11:$AY$4010,0)),""))</f>
        <v/>
      </c>
      <c r="AA295" s="10" t="str">
        <f>IF(X295="","",IFERROR(INDEX($AQ$11:$AQ$4010,MATCH(285,$AY$11:$AY$4010,0)),""))</f>
        <v/>
      </c>
      <c r="AB295" s="15" t="str">
        <f>IF(X295="","",IFERROR(INDEX($AR$11:$AR$4010,MATCH(285,$AY$11:$AY$4010,0)),""))</f>
        <v/>
      </c>
      <c r="AD295" s="16" t="str">
        <f>IF(AE295="","",IFERROR(INDEX($AL$11:$AL$4010,MATCH(285,$AZ$11:$AZ$4010,0)),""))</f>
        <v/>
      </c>
      <c r="AE295" s="12" t="str">
        <f>IFERROR(INDEX($AM$11:$AM$4010,MATCH(285,$AZ$11:$AZ$4010,0)),"")</f>
        <v/>
      </c>
      <c r="AF295" s="11" t="str">
        <f>IF(AE295="","",IFERROR(INDEX($AN$11:$AN$4010,MATCH(285,$AZ$11:$AZ$4010,0)),""))</f>
        <v/>
      </c>
      <c r="AG295" s="11" t="str">
        <f>IF(AE295="","",IFERROR(INDEX($AO$11:$AO$4010,MATCH(285,$AZ$11:$AZ$4010,0)),""))</f>
        <v/>
      </c>
      <c r="AH295" s="10" t="str">
        <f>IF(AE295="","",IFERROR(INDEX($AQ$11:$AQ$4010,MATCH(285,$AZ$11:$AZ$4010,0)),""))</f>
        <v/>
      </c>
      <c r="AI295" s="15" t="str">
        <f>IF(AE295="","",IFERROR(INDEX($AR$11:$AR$4010,MATCH(285,$AZ$11:$AZ$4010,0)),""))</f>
        <v/>
      </c>
      <c r="AJ295" s="15" t="str">
        <f>IF(AE295="","",IFERROR(INDEX($AT$11:$AT$4010,MATCH(285,$AZ$11:$AZ$4010,0)),""))</f>
        <v/>
      </c>
      <c r="AL295" s="17" t="str">
        <f t="shared" si="63"/>
        <v/>
      </c>
      <c r="AM295" s="12" t="str">
        <f t="shared" si="64"/>
        <v/>
      </c>
      <c r="AN295" s="18" t="str">
        <f t="shared" si="65"/>
        <v/>
      </c>
      <c r="AO295" s="18" t="str">
        <f t="shared" si="66"/>
        <v/>
      </c>
      <c r="AP295" s="10" t="str">
        <f t="shared" si="67"/>
        <v/>
      </c>
      <c r="AQ295" s="10" t="str">
        <f t="shared" si="68"/>
        <v/>
      </c>
      <c r="AR295" s="19" t="str">
        <f t="shared" si="69"/>
        <v/>
      </c>
      <c r="AS295" s="20"/>
      <c r="AT295" s="19"/>
      <c r="AV295" s="21">
        <f>IF(AND($AL295&lt;&gt;"",COUNTIF($AL$11:$AL295,$AL295)=1),1,0)</f>
        <v>0</v>
      </c>
      <c r="AW295" s="21">
        <f t="shared" si="71"/>
        <v>0</v>
      </c>
      <c r="AX295" s="21" t="str">
        <f t="shared" si="70"/>
        <v/>
      </c>
      <c r="AY295" s="21" t="str">
        <f>IF(AND($AM295&lt;&gt;"",$AS295&lt;&gt;"✓"),SUMPRODUCT(($AM$11:$AM295&lt;&gt;"")*($AS$11:$AS295&lt;&gt;"✓")),"")</f>
        <v/>
      </c>
      <c r="AZ295" s="21" t="str">
        <f>IF(AND($AM295&lt;&gt;"",$AS295="✓"),SUMPRODUCT(($AM$11:$AM295&lt;&gt;"")*($AS$11:$AS295="✓")),"")</f>
        <v/>
      </c>
      <c r="BA295" s="21" t="str">
        <f>IF($AL295="","",$AL295&amp;"|"&amp;COUNTIF($AL$11:$AL295,$AL295))</f>
        <v/>
      </c>
    </row>
    <row r="296" spans="2:53" ht="15" customHeight="1" x14ac:dyDescent="0.25">
      <c r="B296" s="5" t="str">
        <f t="shared" si="59"/>
        <v/>
      </c>
      <c r="C296" s="5"/>
      <c r="D296" s="5"/>
      <c r="E296" s="5"/>
      <c r="F296" s="6"/>
      <c r="G296" s="6"/>
      <c r="H296" s="7"/>
      <c r="I296" s="8"/>
      <c r="K296" s="23" t="str">
        <f>IFERROR(INDEX($AL$11:$AL$4010,MATCH(286,$AX$11:$AX$4010,0)),"")</f>
        <v/>
      </c>
      <c r="L296" s="24" t="str">
        <f t="shared" si="60"/>
        <v/>
      </c>
      <c r="M296" s="25" t="str">
        <f t="shared" si="61"/>
        <v/>
      </c>
      <c r="N296" s="25" t="str">
        <f t="shared" si="62"/>
        <v/>
      </c>
      <c r="W296" s="28" t="str">
        <f>IF(X296="","",IFERROR(INDEX($AL$11:$AL$4010,MATCH(286,$AY$11:$AY$4010,0)),""))</f>
        <v/>
      </c>
      <c r="X296" s="26" t="str">
        <f>IFERROR(INDEX($AM$11:$AM$4010,MATCH(286,$AY$11:$AY$4010,0)),"")</f>
        <v/>
      </c>
      <c r="Y296" s="25" t="str">
        <f>IF(X296="","",IFERROR(INDEX($AN$11:$AN$4010,MATCH(286,$AY$11:$AY$4010,0)),""))</f>
        <v/>
      </c>
      <c r="Z296" s="25" t="str">
        <f>IF(X296="","",IFERROR(INDEX($AO$11:$AO$4010,MATCH(286,$AY$11:$AY$4010,0)),""))</f>
        <v/>
      </c>
      <c r="AA296" s="24" t="str">
        <f>IF(X296="","",IFERROR(INDEX($AQ$11:$AQ$4010,MATCH(286,$AY$11:$AY$4010,0)),""))</f>
        <v/>
      </c>
      <c r="AB296" s="29" t="str">
        <f>IF(X296="","",IFERROR(INDEX($AR$11:$AR$4010,MATCH(286,$AY$11:$AY$4010,0)),""))</f>
        <v/>
      </c>
      <c r="AD296" s="30" t="str">
        <f>IF(AE296="","",IFERROR(INDEX($AL$11:$AL$4010,MATCH(286,$AZ$11:$AZ$4010,0)),""))</f>
        <v/>
      </c>
      <c r="AE296" s="26" t="str">
        <f>IFERROR(INDEX($AM$11:$AM$4010,MATCH(286,$AZ$11:$AZ$4010,0)),"")</f>
        <v/>
      </c>
      <c r="AF296" s="25" t="str">
        <f>IF(AE296="","",IFERROR(INDEX($AN$11:$AN$4010,MATCH(286,$AZ$11:$AZ$4010,0)),""))</f>
        <v/>
      </c>
      <c r="AG296" s="25" t="str">
        <f>IF(AE296="","",IFERROR(INDEX($AO$11:$AO$4010,MATCH(286,$AZ$11:$AZ$4010,0)),""))</f>
        <v/>
      </c>
      <c r="AH296" s="24" t="str">
        <f>IF(AE296="","",IFERROR(INDEX($AQ$11:$AQ$4010,MATCH(286,$AZ$11:$AZ$4010,0)),""))</f>
        <v/>
      </c>
      <c r="AI296" s="29" t="str">
        <f>IF(AE296="","",IFERROR(INDEX($AR$11:$AR$4010,MATCH(286,$AZ$11:$AZ$4010,0)),""))</f>
        <v/>
      </c>
      <c r="AJ296" s="29" t="str">
        <f>IF(AE296="","",IFERROR(INDEX($AT$11:$AT$4010,MATCH(286,$AZ$11:$AZ$4010,0)),""))</f>
        <v/>
      </c>
      <c r="AL296" s="31" t="str">
        <f t="shared" si="63"/>
        <v/>
      </c>
      <c r="AM296" s="26" t="str">
        <f t="shared" si="64"/>
        <v/>
      </c>
      <c r="AN296" s="32" t="str">
        <f t="shared" si="65"/>
        <v/>
      </c>
      <c r="AO296" s="32" t="str">
        <f t="shared" si="66"/>
        <v/>
      </c>
      <c r="AP296" s="24" t="str">
        <f t="shared" si="67"/>
        <v/>
      </c>
      <c r="AQ296" s="24" t="str">
        <f t="shared" si="68"/>
        <v/>
      </c>
      <c r="AR296" s="33" t="str">
        <f t="shared" si="69"/>
        <v/>
      </c>
      <c r="AS296" s="34"/>
      <c r="AT296" s="33"/>
      <c r="AV296" s="21">
        <f>IF(AND($AL296&lt;&gt;"",COUNTIF($AL$11:$AL296,$AL296)=1),1,0)</f>
        <v>0</v>
      </c>
      <c r="AW296" s="21">
        <f t="shared" si="71"/>
        <v>0</v>
      </c>
      <c r="AX296" s="21" t="str">
        <f t="shared" si="70"/>
        <v/>
      </c>
      <c r="AY296" s="21" t="str">
        <f>IF(AND($AM296&lt;&gt;"",$AS296&lt;&gt;"✓"),SUMPRODUCT(($AM$11:$AM296&lt;&gt;"")*($AS$11:$AS296&lt;&gt;"✓")),"")</f>
        <v/>
      </c>
      <c r="AZ296" s="21" t="str">
        <f>IF(AND($AM296&lt;&gt;"",$AS296="✓"),SUMPRODUCT(($AM$11:$AM296&lt;&gt;"")*($AS$11:$AS296="✓")),"")</f>
        <v/>
      </c>
      <c r="BA296" s="21" t="str">
        <f>IF($AL296="","",$AL296&amp;"|"&amp;COUNTIF($AL$11:$AL296,$AL296))</f>
        <v/>
      </c>
    </row>
    <row r="297" spans="2:53" ht="15" customHeight="1" x14ac:dyDescent="0.25">
      <c r="B297" s="5" t="str">
        <f t="shared" si="59"/>
        <v/>
      </c>
      <c r="C297" s="5"/>
      <c r="D297" s="5"/>
      <c r="E297" s="5"/>
      <c r="F297" s="6"/>
      <c r="G297" s="6"/>
      <c r="H297" s="7"/>
      <c r="I297" s="8"/>
      <c r="K297" s="9" t="str">
        <f>IFERROR(INDEX($AL$11:$AL$4010,MATCH(287,$AX$11:$AX$4010,0)),"")</f>
        <v/>
      </c>
      <c r="L297" s="10" t="str">
        <f t="shared" si="60"/>
        <v/>
      </c>
      <c r="M297" s="11" t="str">
        <f t="shared" si="61"/>
        <v/>
      </c>
      <c r="N297" s="11" t="str">
        <f t="shared" si="62"/>
        <v/>
      </c>
      <c r="W297" s="14" t="str">
        <f>IF(X297="","",IFERROR(INDEX($AL$11:$AL$4010,MATCH(287,$AY$11:$AY$4010,0)),""))</f>
        <v/>
      </c>
      <c r="X297" s="12" t="str">
        <f>IFERROR(INDEX($AM$11:$AM$4010,MATCH(287,$AY$11:$AY$4010,0)),"")</f>
        <v/>
      </c>
      <c r="Y297" s="11" t="str">
        <f>IF(X297="","",IFERROR(INDEX($AN$11:$AN$4010,MATCH(287,$AY$11:$AY$4010,0)),""))</f>
        <v/>
      </c>
      <c r="Z297" s="11" t="str">
        <f>IF(X297="","",IFERROR(INDEX($AO$11:$AO$4010,MATCH(287,$AY$11:$AY$4010,0)),""))</f>
        <v/>
      </c>
      <c r="AA297" s="10" t="str">
        <f>IF(X297="","",IFERROR(INDEX($AQ$11:$AQ$4010,MATCH(287,$AY$11:$AY$4010,0)),""))</f>
        <v/>
      </c>
      <c r="AB297" s="15" t="str">
        <f>IF(X297="","",IFERROR(INDEX($AR$11:$AR$4010,MATCH(287,$AY$11:$AY$4010,0)),""))</f>
        <v/>
      </c>
      <c r="AD297" s="16" t="str">
        <f>IF(AE297="","",IFERROR(INDEX($AL$11:$AL$4010,MATCH(287,$AZ$11:$AZ$4010,0)),""))</f>
        <v/>
      </c>
      <c r="AE297" s="12" t="str">
        <f>IFERROR(INDEX($AM$11:$AM$4010,MATCH(287,$AZ$11:$AZ$4010,0)),"")</f>
        <v/>
      </c>
      <c r="AF297" s="11" t="str">
        <f>IF(AE297="","",IFERROR(INDEX($AN$11:$AN$4010,MATCH(287,$AZ$11:$AZ$4010,0)),""))</f>
        <v/>
      </c>
      <c r="AG297" s="11" t="str">
        <f>IF(AE297="","",IFERROR(INDEX($AO$11:$AO$4010,MATCH(287,$AZ$11:$AZ$4010,0)),""))</f>
        <v/>
      </c>
      <c r="AH297" s="10" t="str">
        <f>IF(AE297="","",IFERROR(INDEX($AQ$11:$AQ$4010,MATCH(287,$AZ$11:$AZ$4010,0)),""))</f>
        <v/>
      </c>
      <c r="AI297" s="15" t="str">
        <f>IF(AE297="","",IFERROR(INDEX($AR$11:$AR$4010,MATCH(287,$AZ$11:$AZ$4010,0)),""))</f>
        <v/>
      </c>
      <c r="AJ297" s="15" t="str">
        <f>IF(AE297="","",IFERROR(INDEX($AT$11:$AT$4010,MATCH(287,$AZ$11:$AZ$4010,0)),""))</f>
        <v/>
      </c>
      <c r="AL297" s="17" t="str">
        <f t="shared" si="63"/>
        <v/>
      </c>
      <c r="AM297" s="12" t="str">
        <f t="shared" si="64"/>
        <v/>
      </c>
      <c r="AN297" s="18" t="str">
        <f t="shared" si="65"/>
        <v/>
      </c>
      <c r="AO297" s="18" t="str">
        <f t="shared" si="66"/>
        <v/>
      </c>
      <c r="AP297" s="10" t="str">
        <f t="shared" si="67"/>
        <v/>
      </c>
      <c r="AQ297" s="10" t="str">
        <f t="shared" si="68"/>
        <v/>
      </c>
      <c r="AR297" s="19" t="str">
        <f t="shared" si="69"/>
        <v/>
      </c>
      <c r="AS297" s="20"/>
      <c r="AT297" s="19"/>
      <c r="AV297" s="21">
        <f>IF(AND($AL297&lt;&gt;"",COUNTIF($AL$11:$AL297,$AL297)=1),1,0)</f>
        <v>0</v>
      </c>
      <c r="AW297" s="21">
        <f t="shared" si="71"/>
        <v>0</v>
      </c>
      <c r="AX297" s="21" t="str">
        <f t="shared" si="70"/>
        <v/>
      </c>
      <c r="AY297" s="21" t="str">
        <f>IF(AND($AM297&lt;&gt;"",$AS297&lt;&gt;"✓"),SUMPRODUCT(($AM$11:$AM297&lt;&gt;"")*($AS$11:$AS297&lt;&gt;"✓")),"")</f>
        <v/>
      </c>
      <c r="AZ297" s="21" t="str">
        <f>IF(AND($AM297&lt;&gt;"",$AS297="✓"),SUMPRODUCT(($AM$11:$AM297&lt;&gt;"")*($AS$11:$AS297="✓")),"")</f>
        <v/>
      </c>
      <c r="BA297" s="21" t="str">
        <f>IF($AL297="","",$AL297&amp;"|"&amp;COUNTIF($AL$11:$AL297,$AL297))</f>
        <v/>
      </c>
    </row>
    <row r="298" spans="2:53" ht="15" customHeight="1" x14ac:dyDescent="0.25">
      <c r="B298" s="5" t="str">
        <f t="shared" si="59"/>
        <v/>
      </c>
      <c r="C298" s="5"/>
      <c r="D298" s="5"/>
      <c r="E298" s="5"/>
      <c r="F298" s="6"/>
      <c r="G298" s="6"/>
      <c r="H298" s="7"/>
      <c r="I298" s="8"/>
      <c r="K298" s="23" t="str">
        <f>IFERROR(INDEX($AL$11:$AL$4010,MATCH(288,$AX$11:$AX$4010,0)),"")</f>
        <v/>
      </c>
      <c r="L298" s="24" t="str">
        <f t="shared" si="60"/>
        <v/>
      </c>
      <c r="M298" s="25" t="str">
        <f t="shared" si="61"/>
        <v/>
      </c>
      <c r="N298" s="25" t="str">
        <f t="shared" si="62"/>
        <v/>
      </c>
      <c r="W298" s="28" t="str">
        <f>IF(X298="","",IFERROR(INDEX($AL$11:$AL$4010,MATCH(288,$AY$11:$AY$4010,0)),""))</f>
        <v/>
      </c>
      <c r="X298" s="26" t="str">
        <f>IFERROR(INDEX($AM$11:$AM$4010,MATCH(288,$AY$11:$AY$4010,0)),"")</f>
        <v/>
      </c>
      <c r="Y298" s="25" t="str">
        <f>IF(X298="","",IFERROR(INDEX($AN$11:$AN$4010,MATCH(288,$AY$11:$AY$4010,0)),""))</f>
        <v/>
      </c>
      <c r="Z298" s="25" t="str">
        <f>IF(X298="","",IFERROR(INDEX($AO$11:$AO$4010,MATCH(288,$AY$11:$AY$4010,0)),""))</f>
        <v/>
      </c>
      <c r="AA298" s="24" t="str">
        <f>IF(X298="","",IFERROR(INDEX($AQ$11:$AQ$4010,MATCH(288,$AY$11:$AY$4010,0)),""))</f>
        <v/>
      </c>
      <c r="AB298" s="29" t="str">
        <f>IF(X298="","",IFERROR(INDEX($AR$11:$AR$4010,MATCH(288,$AY$11:$AY$4010,0)),""))</f>
        <v/>
      </c>
      <c r="AD298" s="30" t="str">
        <f>IF(AE298="","",IFERROR(INDEX($AL$11:$AL$4010,MATCH(288,$AZ$11:$AZ$4010,0)),""))</f>
        <v/>
      </c>
      <c r="AE298" s="26" t="str">
        <f>IFERROR(INDEX($AM$11:$AM$4010,MATCH(288,$AZ$11:$AZ$4010,0)),"")</f>
        <v/>
      </c>
      <c r="AF298" s="25" t="str">
        <f>IF(AE298="","",IFERROR(INDEX($AN$11:$AN$4010,MATCH(288,$AZ$11:$AZ$4010,0)),""))</f>
        <v/>
      </c>
      <c r="AG298" s="25" t="str">
        <f>IF(AE298="","",IFERROR(INDEX($AO$11:$AO$4010,MATCH(288,$AZ$11:$AZ$4010,0)),""))</f>
        <v/>
      </c>
      <c r="AH298" s="24" t="str">
        <f>IF(AE298="","",IFERROR(INDEX($AQ$11:$AQ$4010,MATCH(288,$AZ$11:$AZ$4010,0)),""))</f>
        <v/>
      </c>
      <c r="AI298" s="29" t="str">
        <f>IF(AE298="","",IFERROR(INDEX($AR$11:$AR$4010,MATCH(288,$AZ$11:$AZ$4010,0)),""))</f>
        <v/>
      </c>
      <c r="AJ298" s="29" t="str">
        <f>IF(AE298="","",IFERROR(INDEX($AT$11:$AT$4010,MATCH(288,$AZ$11:$AZ$4010,0)),""))</f>
        <v/>
      </c>
      <c r="AL298" s="31" t="str">
        <f t="shared" si="63"/>
        <v/>
      </c>
      <c r="AM298" s="26" t="str">
        <f t="shared" si="64"/>
        <v/>
      </c>
      <c r="AN298" s="32" t="str">
        <f t="shared" si="65"/>
        <v/>
      </c>
      <c r="AO298" s="32" t="str">
        <f t="shared" si="66"/>
        <v/>
      </c>
      <c r="AP298" s="24" t="str">
        <f t="shared" si="67"/>
        <v/>
      </c>
      <c r="AQ298" s="24" t="str">
        <f t="shared" si="68"/>
        <v/>
      </c>
      <c r="AR298" s="33" t="str">
        <f t="shared" si="69"/>
        <v/>
      </c>
      <c r="AS298" s="34"/>
      <c r="AT298" s="33"/>
      <c r="AV298" s="21">
        <f>IF(AND($AL298&lt;&gt;"",COUNTIF($AL$11:$AL298,$AL298)=1),1,0)</f>
        <v>0</v>
      </c>
      <c r="AW298" s="21">
        <f t="shared" si="71"/>
        <v>0</v>
      </c>
      <c r="AX298" s="21" t="str">
        <f t="shared" si="70"/>
        <v/>
      </c>
      <c r="AY298" s="21" t="str">
        <f>IF(AND($AM298&lt;&gt;"",$AS298&lt;&gt;"✓"),SUMPRODUCT(($AM$11:$AM298&lt;&gt;"")*($AS$11:$AS298&lt;&gt;"✓")),"")</f>
        <v/>
      </c>
      <c r="AZ298" s="21" t="str">
        <f>IF(AND($AM298&lt;&gt;"",$AS298="✓"),SUMPRODUCT(($AM$11:$AM298&lt;&gt;"")*($AS$11:$AS298="✓")),"")</f>
        <v/>
      </c>
      <c r="BA298" s="21" t="str">
        <f>IF($AL298="","",$AL298&amp;"|"&amp;COUNTIF($AL$11:$AL298,$AL298))</f>
        <v/>
      </c>
    </row>
    <row r="299" spans="2:53" ht="15" customHeight="1" x14ac:dyDescent="0.25">
      <c r="B299" s="5" t="str">
        <f t="shared" si="59"/>
        <v/>
      </c>
      <c r="C299" s="5"/>
      <c r="D299" s="5"/>
      <c r="E299" s="5"/>
      <c r="F299" s="6"/>
      <c r="G299" s="6"/>
      <c r="H299" s="7"/>
      <c r="I299" s="8"/>
      <c r="K299" s="9" t="str">
        <f>IFERROR(INDEX($AL$11:$AL$4010,MATCH(289,$AX$11:$AX$4010,0)),"")</f>
        <v/>
      </c>
      <c r="L299" s="10" t="str">
        <f t="shared" si="60"/>
        <v/>
      </c>
      <c r="M299" s="11" t="str">
        <f t="shared" si="61"/>
        <v/>
      </c>
      <c r="N299" s="11" t="str">
        <f t="shared" si="62"/>
        <v/>
      </c>
      <c r="W299" s="14" t="str">
        <f>IF(X299="","",IFERROR(INDEX($AL$11:$AL$4010,MATCH(289,$AY$11:$AY$4010,0)),""))</f>
        <v/>
      </c>
      <c r="X299" s="12" t="str">
        <f>IFERROR(INDEX($AM$11:$AM$4010,MATCH(289,$AY$11:$AY$4010,0)),"")</f>
        <v/>
      </c>
      <c r="Y299" s="11" t="str">
        <f>IF(X299="","",IFERROR(INDEX($AN$11:$AN$4010,MATCH(289,$AY$11:$AY$4010,0)),""))</f>
        <v/>
      </c>
      <c r="Z299" s="11" t="str">
        <f>IF(X299="","",IFERROR(INDEX($AO$11:$AO$4010,MATCH(289,$AY$11:$AY$4010,0)),""))</f>
        <v/>
      </c>
      <c r="AA299" s="10" t="str">
        <f>IF(X299="","",IFERROR(INDEX($AQ$11:$AQ$4010,MATCH(289,$AY$11:$AY$4010,0)),""))</f>
        <v/>
      </c>
      <c r="AB299" s="15" t="str">
        <f>IF(X299="","",IFERROR(INDEX($AR$11:$AR$4010,MATCH(289,$AY$11:$AY$4010,0)),""))</f>
        <v/>
      </c>
      <c r="AD299" s="16" t="str">
        <f>IF(AE299="","",IFERROR(INDEX($AL$11:$AL$4010,MATCH(289,$AZ$11:$AZ$4010,0)),""))</f>
        <v/>
      </c>
      <c r="AE299" s="12" t="str">
        <f>IFERROR(INDEX($AM$11:$AM$4010,MATCH(289,$AZ$11:$AZ$4010,0)),"")</f>
        <v/>
      </c>
      <c r="AF299" s="11" t="str">
        <f>IF(AE299="","",IFERROR(INDEX($AN$11:$AN$4010,MATCH(289,$AZ$11:$AZ$4010,0)),""))</f>
        <v/>
      </c>
      <c r="AG299" s="11" t="str">
        <f>IF(AE299="","",IFERROR(INDEX($AO$11:$AO$4010,MATCH(289,$AZ$11:$AZ$4010,0)),""))</f>
        <v/>
      </c>
      <c r="AH299" s="10" t="str">
        <f>IF(AE299="","",IFERROR(INDEX($AQ$11:$AQ$4010,MATCH(289,$AZ$11:$AZ$4010,0)),""))</f>
        <v/>
      </c>
      <c r="AI299" s="15" t="str">
        <f>IF(AE299="","",IFERROR(INDEX($AR$11:$AR$4010,MATCH(289,$AZ$11:$AZ$4010,0)),""))</f>
        <v/>
      </c>
      <c r="AJ299" s="15" t="str">
        <f>IF(AE299="","",IFERROR(INDEX($AT$11:$AT$4010,MATCH(289,$AZ$11:$AZ$4010,0)),""))</f>
        <v/>
      </c>
      <c r="AL299" s="17" t="str">
        <f t="shared" si="63"/>
        <v/>
      </c>
      <c r="AM299" s="12" t="str">
        <f t="shared" si="64"/>
        <v/>
      </c>
      <c r="AN299" s="18" t="str">
        <f t="shared" si="65"/>
        <v/>
      </c>
      <c r="AO299" s="18" t="str">
        <f t="shared" si="66"/>
        <v/>
      </c>
      <c r="AP299" s="10" t="str">
        <f t="shared" si="67"/>
        <v/>
      </c>
      <c r="AQ299" s="10" t="str">
        <f t="shared" si="68"/>
        <v/>
      </c>
      <c r="AR299" s="19" t="str">
        <f t="shared" si="69"/>
        <v/>
      </c>
      <c r="AS299" s="20"/>
      <c r="AT299" s="19"/>
      <c r="AV299" s="21">
        <f>IF(AND($AL299&lt;&gt;"",COUNTIF($AL$11:$AL299,$AL299)=1),1,0)</f>
        <v>0</v>
      </c>
      <c r="AW299" s="21">
        <f t="shared" si="71"/>
        <v>0</v>
      </c>
      <c r="AX299" s="21" t="str">
        <f t="shared" si="70"/>
        <v/>
      </c>
      <c r="AY299" s="21" t="str">
        <f>IF(AND($AM299&lt;&gt;"",$AS299&lt;&gt;"✓"),SUMPRODUCT(($AM$11:$AM299&lt;&gt;"")*($AS$11:$AS299&lt;&gt;"✓")),"")</f>
        <v/>
      </c>
      <c r="AZ299" s="21" t="str">
        <f>IF(AND($AM299&lt;&gt;"",$AS299="✓"),SUMPRODUCT(($AM$11:$AM299&lt;&gt;"")*($AS$11:$AS299="✓")),"")</f>
        <v/>
      </c>
      <c r="BA299" s="21" t="str">
        <f>IF($AL299="","",$AL299&amp;"|"&amp;COUNTIF($AL$11:$AL299,$AL299))</f>
        <v/>
      </c>
    </row>
    <row r="300" spans="2:53" ht="15" customHeight="1" x14ac:dyDescent="0.25">
      <c r="B300" s="5" t="str">
        <f t="shared" si="59"/>
        <v/>
      </c>
      <c r="C300" s="5"/>
      <c r="D300" s="5"/>
      <c r="E300" s="5"/>
      <c r="F300" s="6"/>
      <c r="G300" s="6"/>
      <c r="H300" s="7"/>
      <c r="I300" s="8"/>
      <c r="K300" s="23" t="str">
        <f>IFERROR(INDEX($AL$11:$AL$4010,MATCH(290,$AX$11:$AX$4010,0)),"")</f>
        <v/>
      </c>
      <c r="L300" s="24" t="str">
        <f t="shared" si="60"/>
        <v/>
      </c>
      <c r="M300" s="25" t="str">
        <f t="shared" si="61"/>
        <v/>
      </c>
      <c r="N300" s="25" t="str">
        <f t="shared" si="62"/>
        <v/>
      </c>
      <c r="W300" s="28" t="str">
        <f>IF(X300="","",IFERROR(INDEX($AL$11:$AL$4010,MATCH(290,$AY$11:$AY$4010,0)),""))</f>
        <v/>
      </c>
      <c r="X300" s="26" t="str">
        <f>IFERROR(INDEX($AM$11:$AM$4010,MATCH(290,$AY$11:$AY$4010,0)),"")</f>
        <v/>
      </c>
      <c r="Y300" s="25" t="str">
        <f>IF(X300="","",IFERROR(INDEX($AN$11:$AN$4010,MATCH(290,$AY$11:$AY$4010,0)),""))</f>
        <v/>
      </c>
      <c r="Z300" s="25" t="str">
        <f>IF(X300="","",IFERROR(INDEX($AO$11:$AO$4010,MATCH(290,$AY$11:$AY$4010,0)),""))</f>
        <v/>
      </c>
      <c r="AA300" s="24" t="str">
        <f>IF(X300="","",IFERROR(INDEX($AQ$11:$AQ$4010,MATCH(290,$AY$11:$AY$4010,0)),""))</f>
        <v/>
      </c>
      <c r="AB300" s="29" t="str">
        <f>IF(X300="","",IFERROR(INDEX($AR$11:$AR$4010,MATCH(290,$AY$11:$AY$4010,0)),""))</f>
        <v/>
      </c>
      <c r="AD300" s="30" t="str">
        <f>IF(AE300="","",IFERROR(INDEX($AL$11:$AL$4010,MATCH(290,$AZ$11:$AZ$4010,0)),""))</f>
        <v/>
      </c>
      <c r="AE300" s="26" t="str">
        <f>IFERROR(INDEX($AM$11:$AM$4010,MATCH(290,$AZ$11:$AZ$4010,0)),"")</f>
        <v/>
      </c>
      <c r="AF300" s="25" t="str">
        <f>IF(AE300="","",IFERROR(INDEX($AN$11:$AN$4010,MATCH(290,$AZ$11:$AZ$4010,0)),""))</f>
        <v/>
      </c>
      <c r="AG300" s="25" t="str">
        <f>IF(AE300="","",IFERROR(INDEX($AO$11:$AO$4010,MATCH(290,$AZ$11:$AZ$4010,0)),""))</f>
        <v/>
      </c>
      <c r="AH300" s="24" t="str">
        <f>IF(AE300="","",IFERROR(INDEX($AQ$11:$AQ$4010,MATCH(290,$AZ$11:$AZ$4010,0)),""))</f>
        <v/>
      </c>
      <c r="AI300" s="29" t="str">
        <f>IF(AE300="","",IFERROR(INDEX($AR$11:$AR$4010,MATCH(290,$AZ$11:$AZ$4010,0)),""))</f>
        <v/>
      </c>
      <c r="AJ300" s="29" t="str">
        <f>IF(AE300="","",IFERROR(INDEX($AT$11:$AT$4010,MATCH(290,$AZ$11:$AZ$4010,0)),""))</f>
        <v/>
      </c>
      <c r="AL300" s="31" t="str">
        <f t="shared" si="63"/>
        <v/>
      </c>
      <c r="AM300" s="26" t="str">
        <f t="shared" si="64"/>
        <v/>
      </c>
      <c r="AN300" s="32" t="str">
        <f t="shared" si="65"/>
        <v/>
      </c>
      <c r="AO300" s="32" t="str">
        <f t="shared" si="66"/>
        <v/>
      </c>
      <c r="AP300" s="24" t="str">
        <f t="shared" si="67"/>
        <v/>
      </c>
      <c r="AQ300" s="24" t="str">
        <f t="shared" si="68"/>
        <v/>
      </c>
      <c r="AR300" s="33" t="str">
        <f t="shared" si="69"/>
        <v/>
      </c>
      <c r="AS300" s="34"/>
      <c r="AT300" s="33"/>
      <c r="AV300" s="21">
        <f>IF(AND($AL300&lt;&gt;"",COUNTIF($AL$11:$AL300,$AL300)=1),1,0)</f>
        <v>0</v>
      </c>
      <c r="AW300" s="21">
        <f t="shared" si="71"/>
        <v>0</v>
      </c>
      <c r="AX300" s="21" t="str">
        <f t="shared" si="70"/>
        <v/>
      </c>
      <c r="AY300" s="21" t="str">
        <f>IF(AND($AM300&lt;&gt;"",$AS300&lt;&gt;"✓"),SUMPRODUCT(($AM$11:$AM300&lt;&gt;"")*($AS$11:$AS300&lt;&gt;"✓")),"")</f>
        <v/>
      </c>
      <c r="AZ300" s="21" t="str">
        <f>IF(AND($AM300&lt;&gt;"",$AS300="✓"),SUMPRODUCT(($AM$11:$AM300&lt;&gt;"")*($AS$11:$AS300="✓")),"")</f>
        <v/>
      </c>
      <c r="BA300" s="21" t="str">
        <f>IF($AL300="","",$AL300&amp;"|"&amp;COUNTIF($AL$11:$AL300,$AL300))</f>
        <v/>
      </c>
    </row>
    <row r="301" spans="2:53" ht="15" customHeight="1" x14ac:dyDescent="0.25">
      <c r="B301" s="5" t="str">
        <f t="shared" si="59"/>
        <v/>
      </c>
      <c r="C301" s="5"/>
      <c r="D301" s="5"/>
      <c r="E301" s="5"/>
      <c r="F301" s="6"/>
      <c r="G301" s="6"/>
      <c r="H301" s="7"/>
      <c r="I301" s="8"/>
      <c r="K301" s="9" t="str">
        <f>IFERROR(INDEX($AL$11:$AL$4010,MATCH(291,$AX$11:$AX$4010,0)),"")</f>
        <v/>
      </c>
      <c r="L301" s="10" t="str">
        <f t="shared" si="60"/>
        <v/>
      </c>
      <c r="M301" s="11" t="str">
        <f t="shared" si="61"/>
        <v/>
      </c>
      <c r="N301" s="11" t="str">
        <f t="shared" si="62"/>
        <v/>
      </c>
      <c r="W301" s="14" t="str">
        <f>IF(X301="","",IFERROR(INDEX($AL$11:$AL$4010,MATCH(291,$AY$11:$AY$4010,0)),""))</f>
        <v/>
      </c>
      <c r="X301" s="12" t="str">
        <f>IFERROR(INDEX($AM$11:$AM$4010,MATCH(291,$AY$11:$AY$4010,0)),"")</f>
        <v/>
      </c>
      <c r="Y301" s="11" t="str">
        <f>IF(X301="","",IFERROR(INDEX($AN$11:$AN$4010,MATCH(291,$AY$11:$AY$4010,0)),""))</f>
        <v/>
      </c>
      <c r="Z301" s="11" t="str">
        <f>IF(X301="","",IFERROR(INDEX($AO$11:$AO$4010,MATCH(291,$AY$11:$AY$4010,0)),""))</f>
        <v/>
      </c>
      <c r="AA301" s="10" t="str">
        <f>IF(X301="","",IFERROR(INDEX($AQ$11:$AQ$4010,MATCH(291,$AY$11:$AY$4010,0)),""))</f>
        <v/>
      </c>
      <c r="AB301" s="15" t="str">
        <f>IF(X301="","",IFERROR(INDEX($AR$11:$AR$4010,MATCH(291,$AY$11:$AY$4010,0)),""))</f>
        <v/>
      </c>
      <c r="AD301" s="16" t="str">
        <f>IF(AE301="","",IFERROR(INDEX($AL$11:$AL$4010,MATCH(291,$AZ$11:$AZ$4010,0)),""))</f>
        <v/>
      </c>
      <c r="AE301" s="12" t="str">
        <f>IFERROR(INDEX($AM$11:$AM$4010,MATCH(291,$AZ$11:$AZ$4010,0)),"")</f>
        <v/>
      </c>
      <c r="AF301" s="11" t="str">
        <f>IF(AE301="","",IFERROR(INDEX($AN$11:$AN$4010,MATCH(291,$AZ$11:$AZ$4010,0)),""))</f>
        <v/>
      </c>
      <c r="AG301" s="11" t="str">
        <f>IF(AE301="","",IFERROR(INDEX($AO$11:$AO$4010,MATCH(291,$AZ$11:$AZ$4010,0)),""))</f>
        <v/>
      </c>
      <c r="AH301" s="10" t="str">
        <f>IF(AE301="","",IFERROR(INDEX($AQ$11:$AQ$4010,MATCH(291,$AZ$11:$AZ$4010,0)),""))</f>
        <v/>
      </c>
      <c r="AI301" s="15" t="str">
        <f>IF(AE301="","",IFERROR(INDEX($AR$11:$AR$4010,MATCH(291,$AZ$11:$AZ$4010,0)),""))</f>
        <v/>
      </c>
      <c r="AJ301" s="15" t="str">
        <f>IF(AE301="","",IFERROR(INDEX($AT$11:$AT$4010,MATCH(291,$AZ$11:$AZ$4010,0)),""))</f>
        <v/>
      </c>
      <c r="AL301" s="17" t="str">
        <f t="shared" si="63"/>
        <v/>
      </c>
      <c r="AM301" s="12" t="str">
        <f t="shared" si="64"/>
        <v/>
      </c>
      <c r="AN301" s="18" t="str">
        <f t="shared" si="65"/>
        <v/>
      </c>
      <c r="AO301" s="18" t="str">
        <f t="shared" si="66"/>
        <v/>
      </c>
      <c r="AP301" s="10" t="str">
        <f t="shared" si="67"/>
        <v/>
      </c>
      <c r="AQ301" s="10" t="str">
        <f t="shared" si="68"/>
        <v/>
      </c>
      <c r="AR301" s="19" t="str">
        <f t="shared" si="69"/>
        <v/>
      </c>
      <c r="AS301" s="20"/>
      <c r="AT301" s="19"/>
      <c r="AV301" s="21">
        <f>IF(AND($AL301&lt;&gt;"",COUNTIF($AL$11:$AL301,$AL301)=1),1,0)</f>
        <v>0</v>
      </c>
      <c r="AW301" s="21">
        <f t="shared" si="71"/>
        <v>0</v>
      </c>
      <c r="AX301" s="21" t="str">
        <f t="shared" si="70"/>
        <v/>
      </c>
      <c r="AY301" s="21" t="str">
        <f>IF(AND($AM301&lt;&gt;"",$AS301&lt;&gt;"✓"),SUMPRODUCT(($AM$11:$AM301&lt;&gt;"")*($AS$11:$AS301&lt;&gt;"✓")),"")</f>
        <v/>
      </c>
      <c r="AZ301" s="21" t="str">
        <f>IF(AND($AM301&lt;&gt;"",$AS301="✓"),SUMPRODUCT(($AM$11:$AM301&lt;&gt;"")*($AS$11:$AS301="✓")),"")</f>
        <v/>
      </c>
      <c r="BA301" s="21" t="str">
        <f>IF($AL301="","",$AL301&amp;"|"&amp;COUNTIF($AL$11:$AL301,$AL301))</f>
        <v/>
      </c>
    </row>
    <row r="302" spans="2:53" ht="15" customHeight="1" x14ac:dyDescent="0.25">
      <c r="B302" s="5" t="str">
        <f t="shared" si="59"/>
        <v/>
      </c>
      <c r="C302" s="5"/>
      <c r="D302" s="5"/>
      <c r="E302" s="5"/>
      <c r="F302" s="6"/>
      <c r="G302" s="6"/>
      <c r="H302" s="7"/>
      <c r="I302" s="8"/>
      <c r="K302" s="23" t="str">
        <f>IFERROR(INDEX($AL$11:$AL$4010,MATCH(292,$AX$11:$AX$4010,0)),"")</f>
        <v/>
      </c>
      <c r="L302" s="24" t="str">
        <f t="shared" si="60"/>
        <v/>
      </c>
      <c r="M302" s="25" t="str">
        <f t="shared" si="61"/>
        <v/>
      </c>
      <c r="N302" s="25" t="str">
        <f t="shared" si="62"/>
        <v/>
      </c>
      <c r="W302" s="28" t="str">
        <f>IF(X302="","",IFERROR(INDEX($AL$11:$AL$4010,MATCH(292,$AY$11:$AY$4010,0)),""))</f>
        <v/>
      </c>
      <c r="X302" s="26" t="str">
        <f>IFERROR(INDEX($AM$11:$AM$4010,MATCH(292,$AY$11:$AY$4010,0)),"")</f>
        <v/>
      </c>
      <c r="Y302" s="25" t="str">
        <f>IF(X302="","",IFERROR(INDEX($AN$11:$AN$4010,MATCH(292,$AY$11:$AY$4010,0)),""))</f>
        <v/>
      </c>
      <c r="Z302" s="25" t="str">
        <f>IF(X302="","",IFERROR(INDEX($AO$11:$AO$4010,MATCH(292,$AY$11:$AY$4010,0)),""))</f>
        <v/>
      </c>
      <c r="AA302" s="24" t="str">
        <f>IF(X302="","",IFERROR(INDEX($AQ$11:$AQ$4010,MATCH(292,$AY$11:$AY$4010,0)),""))</f>
        <v/>
      </c>
      <c r="AB302" s="29" t="str">
        <f>IF(X302="","",IFERROR(INDEX($AR$11:$AR$4010,MATCH(292,$AY$11:$AY$4010,0)),""))</f>
        <v/>
      </c>
      <c r="AD302" s="30" t="str">
        <f>IF(AE302="","",IFERROR(INDEX($AL$11:$AL$4010,MATCH(292,$AZ$11:$AZ$4010,0)),""))</f>
        <v/>
      </c>
      <c r="AE302" s="26" t="str">
        <f>IFERROR(INDEX($AM$11:$AM$4010,MATCH(292,$AZ$11:$AZ$4010,0)),"")</f>
        <v/>
      </c>
      <c r="AF302" s="25" t="str">
        <f>IF(AE302="","",IFERROR(INDEX($AN$11:$AN$4010,MATCH(292,$AZ$11:$AZ$4010,0)),""))</f>
        <v/>
      </c>
      <c r="AG302" s="25" t="str">
        <f>IF(AE302="","",IFERROR(INDEX($AO$11:$AO$4010,MATCH(292,$AZ$11:$AZ$4010,0)),""))</f>
        <v/>
      </c>
      <c r="AH302" s="24" t="str">
        <f>IF(AE302="","",IFERROR(INDEX($AQ$11:$AQ$4010,MATCH(292,$AZ$11:$AZ$4010,0)),""))</f>
        <v/>
      </c>
      <c r="AI302" s="29" t="str">
        <f>IF(AE302="","",IFERROR(INDEX($AR$11:$AR$4010,MATCH(292,$AZ$11:$AZ$4010,0)),""))</f>
        <v/>
      </c>
      <c r="AJ302" s="29" t="str">
        <f>IF(AE302="","",IFERROR(INDEX($AT$11:$AT$4010,MATCH(292,$AZ$11:$AZ$4010,0)),""))</f>
        <v/>
      </c>
      <c r="AL302" s="31" t="str">
        <f t="shared" si="63"/>
        <v/>
      </c>
      <c r="AM302" s="26" t="str">
        <f t="shared" si="64"/>
        <v/>
      </c>
      <c r="AN302" s="32" t="str">
        <f t="shared" si="65"/>
        <v/>
      </c>
      <c r="AO302" s="32" t="str">
        <f t="shared" si="66"/>
        <v/>
      </c>
      <c r="AP302" s="24" t="str">
        <f t="shared" si="67"/>
        <v/>
      </c>
      <c r="AQ302" s="24" t="str">
        <f t="shared" si="68"/>
        <v/>
      </c>
      <c r="AR302" s="33" t="str">
        <f t="shared" si="69"/>
        <v/>
      </c>
      <c r="AS302" s="34"/>
      <c r="AT302" s="33"/>
      <c r="AV302" s="21">
        <f>IF(AND($AL302&lt;&gt;"",COUNTIF($AL$11:$AL302,$AL302)=1),1,0)</f>
        <v>0</v>
      </c>
      <c r="AW302" s="21">
        <f t="shared" si="71"/>
        <v>0</v>
      </c>
      <c r="AX302" s="21" t="str">
        <f t="shared" si="70"/>
        <v/>
      </c>
      <c r="AY302" s="21" t="str">
        <f>IF(AND($AM302&lt;&gt;"",$AS302&lt;&gt;"✓"),SUMPRODUCT(($AM$11:$AM302&lt;&gt;"")*($AS$11:$AS302&lt;&gt;"✓")),"")</f>
        <v/>
      </c>
      <c r="AZ302" s="21" t="str">
        <f>IF(AND($AM302&lt;&gt;"",$AS302="✓"),SUMPRODUCT(($AM$11:$AM302&lt;&gt;"")*($AS$11:$AS302="✓")),"")</f>
        <v/>
      </c>
      <c r="BA302" s="21" t="str">
        <f>IF($AL302="","",$AL302&amp;"|"&amp;COUNTIF($AL$11:$AL302,$AL302))</f>
        <v/>
      </c>
    </row>
    <row r="303" spans="2:53" ht="15" customHeight="1" x14ac:dyDescent="0.25">
      <c r="B303" s="5" t="str">
        <f t="shared" si="59"/>
        <v/>
      </c>
      <c r="C303" s="5"/>
      <c r="D303" s="5"/>
      <c r="E303" s="5"/>
      <c r="F303" s="6"/>
      <c r="G303" s="6"/>
      <c r="H303" s="7"/>
      <c r="I303" s="8"/>
      <c r="K303" s="9" t="str">
        <f>IFERROR(INDEX($AL$11:$AL$4010,MATCH(293,$AX$11:$AX$4010,0)),"")</f>
        <v/>
      </c>
      <c r="L303" s="10" t="str">
        <f t="shared" si="60"/>
        <v/>
      </c>
      <c r="M303" s="11" t="str">
        <f t="shared" si="61"/>
        <v/>
      </c>
      <c r="N303" s="11" t="str">
        <f t="shared" si="62"/>
        <v/>
      </c>
      <c r="W303" s="14" t="str">
        <f>IF(X303="","",IFERROR(INDEX($AL$11:$AL$4010,MATCH(293,$AY$11:$AY$4010,0)),""))</f>
        <v/>
      </c>
      <c r="X303" s="12" t="str">
        <f>IFERROR(INDEX($AM$11:$AM$4010,MATCH(293,$AY$11:$AY$4010,0)),"")</f>
        <v/>
      </c>
      <c r="Y303" s="11" t="str">
        <f>IF(X303="","",IFERROR(INDEX($AN$11:$AN$4010,MATCH(293,$AY$11:$AY$4010,0)),""))</f>
        <v/>
      </c>
      <c r="Z303" s="11" t="str">
        <f>IF(X303="","",IFERROR(INDEX($AO$11:$AO$4010,MATCH(293,$AY$11:$AY$4010,0)),""))</f>
        <v/>
      </c>
      <c r="AA303" s="10" t="str">
        <f>IF(X303="","",IFERROR(INDEX($AQ$11:$AQ$4010,MATCH(293,$AY$11:$AY$4010,0)),""))</f>
        <v/>
      </c>
      <c r="AB303" s="15" t="str">
        <f>IF(X303="","",IFERROR(INDEX($AR$11:$AR$4010,MATCH(293,$AY$11:$AY$4010,0)),""))</f>
        <v/>
      </c>
      <c r="AD303" s="16" t="str">
        <f>IF(AE303="","",IFERROR(INDEX($AL$11:$AL$4010,MATCH(293,$AZ$11:$AZ$4010,0)),""))</f>
        <v/>
      </c>
      <c r="AE303" s="12" t="str">
        <f>IFERROR(INDEX($AM$11:$AM$4010,MATCH(293,$AZ$11:$AZ$4010,0)),"")</f>
        <v/>
      </c>
      <c r="AF303" s="11" t="str">
        <f>IF(AE303="","",IFERROR(INDEX($AN$11:$AN$4010,MATCH(293,$AZ$11:$AZ$4010,0)),""))</f>
        <v/>
      </c>
      <c r="AG303" s="11" t="str">
        <f>IF(AE303="","",IFERROR(INDEX($AO$11:$AO$4010,MATCH(293,$AZ$11:$AZ$4010,0)),""))</f>
        <v/>
      </c>
      <c r="AH303" s="10" t="str">
        <f>IF(AE303="","",IFERROR(INDEX($AQ$11:$AQ$4010,MATCH(293,$AZ$11:$AZ$4010,0)),""))</f>
        <v/>
      </c>
      <c r="AI303" s="15" t="str">
        <f>IF(AE303="","",IFERROR(INDEX($AR$11:$AR$4010,MATCH(293,$AZ$11:$AZ$4010,0)),""))</f>
        <v/>
      </c>
      <c r="AJ303" s="15" t="str">
        <f>IF(AE303="","",IFERROR(INDEX($AT$11:$AT$4010,MATCH(293,$AZ$11:$AZ$4010,0)),""))</f>
        <v/>
      </c>
      <c r="AL303" s="17" t="str">
        <f t="shared" si="63"/>
        <v/>
      </c>
      <c r="AM303" s="12" t="str">
        <f t="shared" si="64"/>
        <v/>
      </c>
      <c r="AN303" s="18" t="str">
        <f t="shared" si="65"/>
        <v/>
      </c>
      <c r="AO303" s="18" t="str">
        <f t="shared" si="66"/>
        <v/>
      </c>
      <c r="AP303" s="10" t="str">
        <f t="shared" si="67"/>
        <v/>
      </c>
      <c r="AQ303" s="10" t="str">
        <f t="shared" si="68"/>
        <v/>
      </c>
      <c r="AR303" s="19" t="str">
        <f t="shared" si="69"/>
        <v/>
      </c>
      <c r="AS303" s="20"/>
      <c r="AT303" s="19"/>
      <c r="AV303" s="21">
        <f>IF(AND($AL303&lt;&gt;"",COUNTIF($AL$11:$AL303,$AL303)=1),1,0)</f>
        <v>0</v>
      </c>
      <c r="AW303" s="21">
        <f t="shared" si="71"/>
        <v>0</v>
      </c>
      <c r="AX303" s="21" t="str">
        <f t="shared" si="70"/>
        <v/>
      </c>
      <c r="AY303" s="21" t="str">
        <f>IF(AND($AM303&lt;&gt;"",$AS303&lt;&gt;"✓"),SUMPRODUCT(($AM$11:$AM303&lt;&gt;"")*($AS$11:$AS303&lt;&gt;"✓")),"")</f>
        <v/>
      </c>
      <c r="AZ303" s="21" t="str">
        <f>IF(AND($AM303&lt;&gt;"",$AS303="✓"),SUMPRODUCT(($AM$11:$AM303&lt;&gt;"")*($AS$11:$AS303="✓")),"")</f>
        <v/>
      </c>
      <c r="BA303" s="21" t="str">
        <f>IF($AL303="","",$AL303&amp;"|"&amp;COUNTIF($AL$11:$AL303,$AL303))</f>
        <v/>
      </c>
    </row>
    <row r="304" spans="2:53" ht="15" customHeight="1" x14ac:dyDescent="0.25">
      <c r="B304" s="5" t="str">
        <f t="shared" si="59"/>
        <v/>
      </c>
      <c r="C304" s="5"/>
      <c r="D304" s="5"/>
      <c r="E304" s="5"/>
      <c r="F304" s="6"/>
      <c r="G304" s="6"/>
      <c r="H304" s="7"/>
      <c r="I304" s="8"/>
      <c r="K304" s="23" t="str">
        <f>IFERROR(INDEX($AL$11:$AL$4010,MATCH(294,$AX$11:$AX$4010,0)),"")</f>
        <v/>
      </c>
      <c r="L304" s="24" t="str">
        <f t="shared" si="60"/>
        <v/>
      </c>
      <c r="M304" s="25" t="str">
        <f t="shared" si="61"/>
        <v/>
      </c>
      <c r="N304" s="25" t="str">
        <f t="shared" si="62"/>
        <v/>
      </c>
      <c r="W304" s="28" t="str">
        <f>IF(X304="","",IFERROR(INDEX($AL$11:$AL$4010,MATCH(294,$AY$11:$AY$4010,0)),""))</f>
        <v/>
      </c>
      <c r="X304" s="26" t="str">
        <f>IFERROR(INDEX($AM$11:$AM$4010,MATCH(294,$AY$11:$AY$4010,0)),"")</f>
        <v/>
      </c>
      <c r="Y304" s="25" t="str">
        <f>IF(X304="","",IFERROR(INDEX($AN$11:$AN$4010,MATCH(294,$AY$11:$AY$4010,0)),""))</f>
        <v/>
      </c>
      <c r="Z304" s="25" t="str">
        <f>IF(X304="","",IFERROR(INDEX($AO$11:$AO$4010,MATCH(294,$AY$11:$AY$4010,0)),""))</f>
        <v/>
      </c>
      <c r="AA304" s="24" t="str">
        <f>IF(X304="","",IFERROR(INDEX($AQ$11:$AQ$4010,MATCH(294,$AY$11:$AY$4010,0)),""))</f>
        <v/>
      </c>
      <c r="AB304" s="29" t="str">
        <f>IF(X304="","",IFERROR(INDEX($AR$11:$AR$4010,MATCH(294,$AY$11:$AY$4010,0)),""))</f>
        <v/>
      </c>
      <c r="AD304" s="30" t="str">
        <f>IF(AE304="","",IFERROR(INDEX($AL$11:$AL$4010,MATCH(294,$AZ$11:$AZ$4010,0)),""))</f>
        <v/>
      </c>
      <c r="AE304" s="26" t="str">
        <f>IFERROR(INDEX($AM$11:$AM$4010,MATCH(294,$AZ$11:$AZ$4010,0)),"")</f>
        <v/>
      </c>
      <c r="AF304" s="25" t="str">
        <f>IF(AE304="","",IFERROR(INDEX($AN$11:$AN$4010,MATCH(294,$AZ$11:$AZ$4010,0)),""))</f>
        <v/>
      </c>
      <c r="AG304" s="25" t="str">
        <f>IF(AE304="","",IFERROR(INDEX($AO$11:$AO$4010,MATCH(294,$AZ$11:$AZ$4010,0)),""))</f>
        <v/>
      </c>
      <c r="AH304" s="24" t="str">
        <f>IF(AE304="","",IFERROR(INDEX($AQ$11:$AQ$4010,MATCH(294,$AZ$11:$AZ$4010,0)),""))</f>
        <v/>
      </c>
      <c r="AI304" s="29" t="str">
        <f>IF(AE304="","",IFERROR(INDEX($AR$11:$AR$4010,MATCH(294,$AZ$11:$AZ$4010,0)),""))</f>
        <v/>
      </c>
      <c r="AJ304" s="29" t="str">
        <f>IF(AE304="","",IFERROR(INDEX($AT$11:$AT$4010,MATCH(294,$AZ$11:$AZ$4010,0)),""))</f>
        <v/>
      </c>
      <c r="AL304" s="31" t="str">
        <f t="shared" si="63"/>
        <v/>
      </c>
      <c r="AM304" s="26" t="str">
        <f t="shared" si="64"/>
        <v/>
      </c>
      <c r="AN304" s="32" t="str">
        <f t="shared" si="65"/>
        <v/>
      </c>
      <c r="AO304" s="32" t="str">
        <f t="shared" si="66"/>
        <v/>
      </c>
      <c r="AP304" s="24" t="str">
        <f t="shared" si="67"/>
        <v/>
      </c>
      <c r="AQ304" s="24" t="str">
        <f t="shared" si="68"/>
        <v/>
      </c>
      <c r="AR304" s="33" t="str">
        <f t="shared" si="69"/>
        <v/>
      </c>
      <c r="AS304" s="34"/>
      <c r="AT304" s="33"/>
      <c r="AV304" s="21">
        <f>IF(AND($AL304&lt;&gt;"",COUNTIF($AL$11:$AL304,$AL304)=1),1,0)</f>
        <v>0</v>
      </c>
      <c r="AW304" s="21">
        <f t="shared" si="71"/>
        <v>0</v>
      </c>
      <c r="AX304" s="21" t="str">
        <f t="shared" si="70"/>
        <v/>
      </c>
      <c r="AY304" s="21" t="str">
        <f>IF(AND($AM304&lt;&gt;"",$AS304&lt;&gt;"✓"),SUMPRODUCT(($AM$11:$AM304&lt;&gt;"")*($AS$11:$AS304&lt;&gt;"✓")),"")</f>
        <v/>
      </c>
      <c r="AZ304" s="21" t="str">
        <f>IF(AND($AM304&lt;&gt;"",$AS304="✓"),SUMPRODUCT(($AM$11:$AM304&lt;&gt;"")*($AS$11:$AS304="✓")),"")</f>
        <v/>
      </c>
      <c r="BA304" s="21" t="str">
        <f>IF($AL304="","",$AL304&amp;"|"&amp;COUNTIF($AL$11:$AL304,$AL304))</f>
        <v/>
      </c>
    </row>
    <row r="305" spans="2:53" ht="15" customHeight="1" x14ac:dyDescent="0.25">
      <c r="B305" s="5" t="str">
        <f t="shared" si="59"/>
        <v/>
      </c>
      <c r="C305" s="5"/>
      <c r="D305" s="5"/>
      <c r="E305" s="5"/>
      <c r="F305" s="6"/>
      <c r="G305" s="6"/>
      <c r="H305" s="7"/>
      <c r="I305" s="8"/>
      <c r="K305" s="9" t="str">
        <f>IFERROR(INDEX($AL$11:$AL$4010,MATCH(295,$AX$11:$AX$4010,0)),"")</f>
        <v/>
      </c>
      <c r="L305" s="10" t="str">
        <f t="shared" si="60"/>
        <v/>
      </c>
      <c r="M305" s="11" t="str">
        <f t="shared" si="61"/>
        <v/>
      </c>
      <c r="N305" s="11" t="str">
        <f t="shared" si="62"/>
        <v/>
      </c>
      <c r="W305" s="14" t="str">
        <f>IF(X305="","",IFERROR(INDEX($AL$11:$AL$4010,MATCH(295,$AY$11:$AY$4010,0)),""))</f>
        <v/>
      </c>
      <c r="X305" s="12" t="str">
        <f>IFERROR(INDEX($AM$11:$AM$4010,MATCH(295,$AY$11:$AY$4010,0)),"")</f>
        <v/>
      </c>
      <c r="Y305" s="11" t="str">
        <f>IF(X305="","",IFERROR(INDEX($AN$11:$AN$4010,MATCH(295,$AY$11:$AY$4010,0)),""))</f>
        <v/>
      </c>
      <c r="Z305" s="11" t="str">
        <f>IF(X305="","",IFERROR(INDEX($AO$11:$AO$4010,MATCH(295,$AY$11:$AY$4010,0)),""))</f>
        <v/>
      </c>
      <c r="AA305" s="10" t="str">
        <f>IF(X305="","",IFERROR(INDEX($AQ$11:$AQ$4010,MATCH(295,$AY$11:$AY$4010,0)),""))</f>
        <v/>
      </c>
      <c r="AB305" s="15" t="str">
        <f>IF(X305="","",IFERROR(INDEX($AR$11:$AR$4010,MATCH(295,$AY$11:$AY$4010,0)),""))</f>
        <v/>
      </c>
      <c r="AD305" s="16" t="str">
        <f>IF(AE305="","",IFERROR(INDEX($AL$11:$AL$4010,MATCH(295,$AZ$11:$AZ$4010,0)),""))</f>
        <v/>
      </c>
      <c r="AE305" s="12" t="str">
        <f>IFERROR(INDEX($AM$11:$AM$4010,MATCH(295,$AZ$11:$AZ$4010,0)),"")</f>
        <v/>
      </c>
      <c r="AF305" s="11" t="str">
        <f>IF(AE305="","",IFERROR(INDEX($AN$11:$AN$4010,MATCH(295,$AZ$11:$AZ$4010,0)),""))</f>
        <v/>
      </c>
      <c r="AG305" s="11" t="str">
        <f>IF(AE305="","",IFERROR(INDEX($AO$11:$AO$4010,MATCH(295,$AZ$11:$AZ$4010,0)),""))</f>
        <v/>
      </c>
      <c r="AH305" s="10" t="str">
        <f>IF(AE305="","",IFERROR(INDEX($AQ$11:$AQ$4010,MATCH(295,$AZ$11:$AZ$4010,0)),""))</f>
        <v/>
      </c>
      <c r="AI305" s="15" t="str">
        <f>IF(AE305="","",IFERROR(INDEX($AR$11:$AR$4010,MATCH(295,$AZ$11:$AZ$4010,0)),""))</f>
        <v/>
      </c>
      <c r="AJ305" s="15" t="str">
        <f>IF(AE305="","",IFERROR(INDEX($AT$11:$AT$4010,MATCH(295,$AZ$11:$AZ$4010,0)),""))</f>
        <v/>
      </c>
      <c r="AL305" s="17" t="str">
        <f t="shared" si="63"/>
        <v/>
      </c>
      <c r="AM305" s="12" t="str">
        <f t="shared" si="64"/>
        <v/>
      </c>
      <c r="AN305" s="18" t="str">
        <f t="shared" si="65"/>
        <v/>
      </c>
      <c r="AO305" s="18" t="str">
        <f t="shared" si="66"/>
        <v/>
      </c>
      <c r="AP305" s="10" t="str">
        <f t="shared" si="67"/>
        <v/>
      </c>
      <c r="AQ305" s="10" t="str">
        <f t="shared" si="68"/>
        <v/>
      </c>
      <c r="AR305" s="19" t="str">
        <f t="shared" si="69"/>
        <v/>
      </c>
      <c r="AS305" s="20"/>
      <c r="AT305" s="19"/>
      <c r="AV305" s="21">
        <f>IF(AND($AL305&lt;&gt;"",COUNTIF($AL$11:$AL305,$AL305)=1),1,0)</f>
        <v>0</v>
      </c>
      <c r="AW305" s="21">
        <f t="shared" si="71"/>
        <v>0</v>
      </c>
      <c r="AX305" s="21" t="str">
        <f t="shared" si="70"/>
        <v/>
      </c>
      <c r="AY305" s="21" t="str">
        <f>IF(AND($AM305&lt;&gt;"",$AS305&lt;&gt;"✓"),SUMPRODUCT(($AM$11:$AM305&lt;&gt;"")*($AS$11:$AS305&lt;&gt;"✓")),"")</f>
        <v/>
      </c>
      <c r="AZ305" s="21" t="str">
        <f>IF(AND($AM305&lt;&gt;"",$AS305="✓"),SUMPRODUCT(($AM$11:$AM305&lt;&gt;"")*($AS$11:$AS305="✓")),"")</f>
        <v/>
      </c>
      <c r="BA305" s="21" t="str">
        <f>IF($AL305="","",$AL305&amp;"|"&amp;COUNTIF($AL$11:$AL305,$AL305))</f>
        <v/>
      </c>
    </row>
    <row r="306" spans="2:53" ht="15" customHeight="1" x14ac:dyDescent="0.25">
      <c r="B306" s="5" t="str">
        <f t="shared" si="59"/>
        <v/>
      </c>
      <c r="C306" s="5"/>
      <c r="D306" s="5"/>
      <c r="E306" s="5"/>
      <c r="F306" s="6"/>
      <c r="G306" s="6"/>
      <c r="H306" s="7"/>
      <c r="I306" s="8"/>
      <c r="K306" s="23" t="str">
        <f>IFERROR(INDEX($AL$11:$AL$4010,MATCH(296,$AX$11:$AX$4010,0)),"")</f>
        <v/>
      </c>
      <c r="L306" s="24" t="str">
        <f t="shared" si="60"/>
        <v/>
      </c>
      <c r="M306" s="25" t="str">
        <f t="shared" si="61"/>
        <v/>
      </c>
      <c r="N306" s="25" t="str">
        <f t="shared" si="62"/>
        <v/>
      </c>
      <c r="W306" s="28" t="str">
        <f>IF(X306="","",IFERROR(INDEX($AL$11:$AL$4010,MATCH(296,$AY$11:$AY$4010,0)),""))</f>
        <v/>
      </c>
      <c r="X306" s="26" t="str">
        <f>IFERROR(INDEX($AM$11:$AM$4010,MATCH(296,$AY$11:$AY$4010,0)),"")</f>
        <v/>
      </c>
      <c r="Y306" s="25" t="str">
        <f>IF(X306="","",IFERROR(INDEX($AN$11:$AN$4010,MATCH(296,$AY$11:$AY$4010,0)),""))</f>
        <v/>
      </c>
      <c r="Z306" s="25" t="str">
        <f>IF(X306="","",IFERROR(INDEX($AO$11:$AO$4010,MATCH(296,$AY$11:$AY$4010,0)),""))</f>
        <v/>
      </c>
      <c r="AA306" s="24" t="str">
        <f>IF(X306="","",IFERROR(INDEX($AQ$11:$AQ$4010,MATCH(296,$AY$11:$AY$4010,0)),""))</f>
        <v/>
      </c>
      <c r="AB306" s="29" t="str">
        <f>IF(X306="","",IFERROR(INDEX($AR$11:$AR$4010,MATCH(296,$AY$11:$AY$4010,0)),""))</f>
        <v/>
      </c>
      <c r="AD306" s="30" t="str">
        <f>IF(AE306="","",IFERROR(INDEX($AL$11:$AL$4010,MATCH(296,$AZ$11:$AZ$4010,0)),""))</f>
        <v/>
      </c>
      <c r="AE306" s="26" t="str">
        <f>IFERROR(INDEX($AM$11:$AM$4010,MATCH(296,$AZ$11:$AZ$4010,0)),"")</f>
        <v/>
      </c>
      <c r="AF306" s="25" t="str">
        <f>IF(AE306="","",IFERROR(INDEX($AN$11:$AN$4010,MATCH(296,$AZ$11:$AZ$4010,0)),""))</f>
        <v/>
      </c>
      <c r="AG306" s="25" t="str">
        <f>IF(AE306="","",IFERROR(INDEX($AO$11:$AO$4010,MATCH(296,$AZ$11:$AZ$4010,0)),""))</f>
        <v/>
      </c>
      <c r="AH306" s="24" t="str">
        <f>IF(AE306="","",IFERROR(INDEX($AQ$11:$AQ$4010,MATCH(296,$AZ$11:$AZ$4010,0)),""))</f>
        <v/>
      </c>
      <c r="AI306" s="29" t="str">
        <f>IF(AE306="","",IFERROR(INDEX($AR$11:$AR$4010,MATCH(296,$AZ$11:$AZ$4010,0)),""))</f>
        <v/>
      </c>
      <c r="AJ306" s="29" t="str">
        <f>IF(AE306="","",IFERROR(INDEX($AT$11:$AT$4010,MATCH(296,$AZ$11:$AZ$4010,0)),""))</f>
        <v/>
      </c>
      <c r="AL306" s="31" t="str">
        <f t="shared" si="63"/>
        <v/>
      </c>
      <c r="AM306" s="26" t="str">
        <f t="shared" si="64"/>
        <v/>
      </c>
      <c r="AN306" s="32" t="str">
        <f t="shared" si="65"/>
        <v/>
      </c>
      <c r="AO306" s="32" t="str">
        <f t="shared" si="66"/>
        <v/>
      </c>
      <c r="AP306" s="24" t="str">
        <f t="shared" si="67"/>
        <v/>
      </c>
      <c r="AQ306" s="24" t="str">
        <f t="shared" si="68"/>
        <v/>
      </c>
      <c r="AR306" s="33" t="str">
        <f t="shared" si="69"/>
        <v/>
      </c>
      <c r="AS306" s="34"/>
      <c r="AT306" s="33"/>
      <c r="AV306" s="21">
        <f>IF(AND($AL306&lt;&gt;"",COUNTIF($AL$11:$AL306,$AL306)=1),1,0)</f>
        <v>0</v>
      </c>
      <c r="AW306" s="21">
        <f t="shared" si="71"/>
        <v>0</v>
      </c>
      <c r="AX306" s="21" t="str">
        <f t="shared" si="70"/>
        <v/>
      </c>
      <c r="AY306" s="21" t="str">
        <f>IF(AND($AM306&lt;&gt;"",$AS306&lt;&gt;"✓"),SUMPRODUCT(($AM$11:$AM306&lt;&gt;"")*($AS$11:$AS306&lt;&gt;"✓")),"")</f>
        <v/>
      </c>
      <c r="AZ306" s="21" t="str">
        <f>IF(AND($AM306&lt;&gt;"",$AS306="✓"),SUMPRODUCT(($AM$11:$AM306&lt;&gt;"")*($AS$11:$AS306="✓")),"")</f>
        <v/>
      </c>
      <c r="BA306" s="21" t="str">
        <f>IF($AL306="","",$AL306&amp;"|"&amp;COUNTIF($AL$11:$AL306,$AL306))</f>
        <v/>
      </c>
    </row>
    <row r="307" spans="2:53" ht="15" customHeight="1" x14ac:dyDescent="0.25">
      <c r="B307" s="5" t="str">
        <f t="shared" si="59"/>
        <v/>
      </c>
      <c r="C307" s="5"/>
      <c r="D307" s="5"/>
      <c r="E307" s="5"/>
      <c r="F307" s="6"/>
      <c r="G307" s="6"/>
      <c r="H307" s="7"/>
      <c r="I307" s="8"/>
      <c r="K307" s="9" t="str">
        <f>IFERROR(INDEX($AL$11:$AL$4010,MATCH(297,$AX$11:$AX$4010,0)),"")</f>
        <v/>
      </c>
      <c r="L307" s="10" t="str">
        <f t="shared" si="60"/>
        <v/>
      </c>
      <c r="M307" s="11" t="str">
        <f t="shared" si="61"/>
        <v/>
      </c>
      <c r="N307" s="11" t="str">
        <f t="shared" si="62"/>
        <v/>
      </c>
      <c r="W307" s="14" t="str">
        <f>IF(X307="","",IFERROR(INDEX($AL$11:$AL$4010,MATCH(297,$AY$11:$AY$4010,0)),""))</f>
        <v/>
      </c>
      <c r="X307" s="12" t="str">
        <f>IFERROR(INDEX($AM$11:$AM$4010,MATCH(297,$AY$11:$AY$4010,0)),"")</f>
        <v/>
      </c>
      <c r="Y307" s="11" t="str">
        <f>IF(X307="","",IFERROR(INDEX($AN$11:$AN$4010,MATCH(297,$AY$11:$AY$4010,0)),""))</f>
        <v/>
      </c>
      <c r="Z307" s="11" t="str">
        <f>IF(X307="","",IFERROR(INDEX($AO$11:$AO$4010,MATCH(297,$AY$11:$AY$4010,0)),""))</f>
        <v/>
      </c>
      <c r="AA307" s="10" t="str">
        <f>IF(X307="","",IFERROR(INDEX($AQ$11:$AQ$4010,MATCH(297,$AY$11:$AY$4010,0)),""))</f>
        <v/>
      </c>
      <c r="AB307" s="15" t="str">
        <f>IF(X307="","",IFERROR(INDEX($AR$11:$AR$4010,MATCH(297,$AY$11:$AY$4010,0)),""))</f>
        <v/>
      </c>
      <c r="AD307" s="16" t="str">
        <f>IF(AE307="","",IFERROR(INDEX($AL$11:$AL$4010,MATCH(297,$AZ$11:$AZ$4010,0)),""))</f>
        <v/>
      </c>
      <c r="AE307" s="12" t="str">
        <f>IFERROR(INDEX($AM$11:$AM$4010,MATCH(297,$AZ$11:$AZ$4010,0)),"")</f>
        <v/>
      </c>
      <c r="AF307" s="11" t="str">
        <f>IF(AE307="","",IFERROR(INDEX($AN$11:$AN$4010,MATCH(297,$AZ$11:$AZ$4010,0)),""))</f>
        <v/>
      </c>
      <c r="AG307" s="11" t="str">
        <f>IF(AE307="","",IFERROR(INDEX($AO$11:$AO$4010,MATCH(297,$AZ$11:$AZ$4010,0)),""))</f>
        <v/>
      </c>
      <c r="AH307" s="10" t="str">
        <f>IF(AE307="","",IFERROR(INDEX($AQ$11:$AQ$4010,MATCH(297,$AZ$11:$AZ$4010,0)),""))</f>
        <v/>
      </c>
      <c r="AI307" s="15" t="str">
        <f>IF(AE307="","",IFERROR(INDEX($AR$11:$AR$4010,MATCH(297,$AZ$11:$AZ$4010,0)),""))</f>
        <v/>
      </c>
      <c r="AJ307" s="15" t="str">
        <f>IF(AE307="","",IFERROR(INDEX($AT$11:$AT$4010,MATCH(297,$AZ$11:$AZ$4010,0)),""))</f>
        <v/>
      </c>
      <c r="AL307" s="17" t="str">
        <f t="shared" si="63"/>
        <v/>
      </c>
      <c r="AM307" s="12" t="str">
        <f t="shared" si="64"/>
        <v/>
      </c>
      <c r="AN307" s="18" t="str">
        <f t="shared" si="65"/>
        <v/>
      </c>
      <c r="AO307" s="18" t="str">
        <f t="shared" si="66"/>
        <v/>
      </c>
      <c r="AP307" s="10" t="str">
        <f t="shared" si="67"/>
        <v/>
      </c>
      <c r="AQ307" s="10" t="str">
        <f t="shared" si="68"/>
        <v/>
      </c>
      <c r="AR307" s="19" t="str">
        <f t="shared" si="69"/>
        <v/>
      </c>
      <c r="AS307" s="20"/>
      <c r="AT307" s="19"/>
      <c r="AV307" s="21">
        <f>IF(AND($AL307&lt;&gt;"",COUNTIF($AL$11:$AL307,$AL307)=1),1,0)</f>
        <v>0</v>
      </c>
      <c r="AW307" s="21">
        <f t="shared" si="71"/>
        <v>0</v>
      </c>
      <c r="AX307" s="21" t="str">
        <f t="shared" si="70"/>
        <v/>
      </c>
      <c r="AY307" s="21" t="str">
        <f>IF(AND($AM307&lt;&gt;"",$AS307&lt;&gt;"✓"),SUMPRODUCT(($AM$11:$AM307&lt;&gt;"")*($AS$11:$AS307&lt;&gt;"✓")),"")</f>
        <v/>
      </c>
      <c r="AZ307" s="21" t="str">
        <f>IF(AND($AM307&lt;&gt;"",$AS307="✓"),SUMPRODUCT(($AM$11:$AM307&lt;&gt;"")*($AS$11:$AS307="✓")),"")</f>
        <v/>
      </c>
      <c r="BA307" s="21" t="str">
        <f>IF($AL307="","",$AL307&amp;"|"&amp;COUNTIF($AL$11:$AL307,$AL307))</f>
        <v/>
      </c>
    </row>
    <row r="308" spans="2:53" ht="15" customHeight="1" x14ac:dyDescent="0.25">
      <c r="B308" s="5" t="str">
        <f t="shared" si="59"/>
        <v/>
      </c>
      <c r="C308" s="5"/>
      <c r="D308" s="5"/>
      <c r="E308" s="5"/>
      <c r="F308" s="6"/>
      <c r="G308" s="6"/>
      <c r="H308" s="7"/>
      <c r="I308" s="8"/>
      <c r="K308" s="23" t="str">
        <f>IFERROR(INDEX($AL$11:$AL$4010,MATCH(298,$AX$11:$AX$4010,0)),"")</f>
        <v/>
      </c>
      <c r="L308" s="24" t="str">
        <f t="shared" si="60"/>
        <v/>
      </c>
      <c r="M308" s="25" t="str">
        <f t="shared" si="61"/>
        <v/>
      </c>
      <c r="N308" s="25" t="str">
        <f t="shared" si="62"/>
        <v/>
      </c>
      <c r="W308" s="28" t="str">
        <f>IF(X308="","",IFERROR(INDEX($AL$11:$AL$4010,MATCH(298,$AY$11:$AY$4010,0)),""))</f>
        <v/>
      </c>
      <c r="X308" s="26" t="str">
        <f>IFERROR(INDEX($AM$11:$AM$4010,MATCH(298,$AY$11:$AY$4010,0)),"")</f>
        <v/>
      </c>
      <c r="Y308" s="25" t="str">
        <f>IF(X308="","",IFERROR(INDEX($AN$11:$AN$4010,MATCH(298,$AY$11:$AY$4010,0)),""))</f>
        <v/>
      </c>
      <c r="Z308" s="25" t="str">
        <f>IF(X308="","",IFERROR(INDEX($AO$11:$AO$4010,MATCH(298,$AY$11:$AY$4010,0)),""))</f>
        <v/>
      </c>
      <c r="AA308" s="24" t="str">
        <f>IF(X308="","",IFERROR(INDEX($AQ$11:$AQ$4010,MATCH(298,$AY$11:$AY$4010,0)),""))</f>
        <v/>
      </c>
      <c r="AB308" s="29" t="str">
        <f>IF(X308="","",IFERROR(INDEX($AR$11:$AR$4010,MATCH(298,$AY$11:$AY$4010,0)),""))</f>
        <v/>
      </c>
      <c r="AD308" s="30" t="str">
        <f>IF(AE308="","",IFERROR(INDEX($AL$11:$AL$4010,MATCH(298,$AZ$11:$AZ$4010,0)),""))</f>
        <v/>
      </c>
      <c r="AE308" s="26" t="str">
        <f>IFERROR(INDEX($AM$11:$AM$4010,MATCH(298,$AZ$11:$AZ$4010,0)),"")</f>
        <v/>
      </c>
      <c r="AF308" s="25" t="str">
        <f>IF(AE308="","",IFERROR(INDEX($AN$11:$AN$4010,MATCH(298,$AZ$11:$AZ$4010,0)),""))</f>
        <v/>
      </c>
      <c r="AG308" s="25" t="str">
        <f>IF(AE308="","",IFERROR(INDEX($AO$11:$AO$4010,MATCH(298,$AZ$11:$AZ$4010,0)),""))</f>
        <v/>
      </c>
      <c r="AH308" s="24" t="str">
        <f>IF(AE308="","",IFERROR(INDEX($AQ$11:$AQ$4010,MATCH(298,$AZ$11:$AZ$4010,0)),""))</f>
        <v/>
      </c>
      <c r="AI308" s="29" t="str">
        <f>IF(AE308="","",IFERROR(INDEX($AR$11:$AR$4010,MATCH(298,$AZ$11:$AZ$4010,0)),""))</f>
        <v/>
      </c>
      <c r="AJ308" s="29" t="str">
        <f>IF(AE308="","",IFERROR(INDEX($AT$11:$AT$4010,MATCH(298,$AZ$11:$AZ$4010,0)),""))</f>
        <v/>
      </c>
      <c r="AL308" s="31" t="str">
        <f t="shared" si="63"/>
        <v/>
      </c>
      <c r="AM308" s="26" t="str">
        <f t="shared" si="64"/>
        <v/>
      </c>
      <c r="AN308" s="32" t="str">
        <f t="shared" si="65"/>
        <v/>
      </c>
      <c r="AO308" s="32" t="str">
        <f t="shared" si="66"/>
        <v/>
      </c>
      <c r="AP308" s="24" t="str">
        <f t="shared" si="67"/>
        <v/>
      </c>
      <c r="AQ308" s="24" t="str">
        <f t="shared" si="68"/>
        <v/>
      </c>
      <c r="AR308" s="33" t="str">
        <f t="shared" si="69"/>
        <v/>
      </c>
      <c r="AS308" s="34"/>
      <c r="AT308" s="33"/>
      <c r="AV308" s="21">
        <f>IF(AND($AL308&lt;&gt;"",COUNTIF($AL$11:$AL308,$AL308)=1),1,0)</f>
        <v>0</v>
      </c>
      <c r="AW308" s="21">
        <f t="shared" si="71"/>
        <v>0</v>
      </c>
      <c r="AX308" s="21" t="str">
        <f t="shared" si="70"/>
        <v/>
      </c>
      <c r="AY308" s="21" t="str">
        <f>IF(AND($AM308&lt;&gt;"",$AS308&lt;&gt;"✓"),SUMPRODUCT(($AM$11:$AM308&lt;&gt;"")*($AS$11:$AS308&lt;&gt;"✓")),"")</f>
        <v/>
      </c>
      <c r="AZ308" s="21" t="str">
        <f>IF(AND($AM308&lt;&gt;"",$AS308="✓"),SUMPRODUCT(($AM$11:$AM308&lt;&gt;"")*($AS$11:$AS308="✓")),"")</f>
        <v/>
      </c>
      <c r="BA308" s="21" t="str">
        <f>IF($AL308="","",$AL308&amp;"|"&amp;COUNTIF($AL$11:$AL308,$AL308))</f>
        <v/>
      </c>
    </row>
    <row r="309" spans="2:53" ht="15" customHeight="1" x14ac:dyDescent="0.25">
      <c r="B309" s="5" t="str">
        <f t="shared" si="59"/>
        <v/>
      </c>
      <c r="C309" s="5"/>
      <c r="D309" s="5"/>
      <c r="E309" s="5"/>
      <c r="F309" s="6"/>
      <c r="G309" s="6"/>
      <c r="H309" s="7"/>
      <c r="I309" s="8"/>
      <c r="K309" s="9" t="str">
        <f>IFERROR(INDEX($AL$11:$AL$4010,MATCH(299,$AX$11:$AX$4010,0)),"")</f>
        <v/>
      </c>
      <c r="L309" s="10" t="str">
        <f t="shared" si="60"/>
        <v/>
      </c>
      <c r="M309" s="11" t="str">
        <f t="shared" si="61"/>
        <v/>
      </c>
      <c r="N309" s="11" t="str">
        <f t="shared" si="62"/>
        <v/>
      </c>
      <c r="W309" s="14" t="str">
        <f>IF(X309="","",IFERROR(INDEX($AL$11:$AL$4010,MATCH(299,$AY$11:$AY$4010,0)),""))</f>
        <v/>
      </c>
      <c r="X309" s="12" t="str">
        <f>IFERROR(INDEX($AM$11:$AM$4010,MATCH(299,$AY$11:$AY$4010,0)),"")</f>
        <v/>
      </c>
      <c r="Y309" s="11" t="str">
        <f>IF(X309="","",IFERROR(INDEX($AN$11:$AN$4010,MATCH(299,$AY$11:$AY$4010,0)),""))</f>
        <v/>
      </c>
      <c r="Z309" s="11" t="str">
        <f>IF(X309="","",IFERROR(INDEX($AO$11:$AO$4010,MATCH(299,$AY$11:$AY$4010,0)),""))</f>
        <v/>
      </c>
      <c r="AA309" s="10" t="str">
        <f>IF(X309="","",IFERROR(INDEX($AQ$11:$AQ$4010,MATCH(299,$AY$11:$AY$4010,0)),""))</f>
        <v/>
      </c>
      <c r="AB309" s="15" t="str">
        <f>IF(X309="","",IFERROR(INDEX($AR$11:$AR$4010,MATCH(299,$AY$11:$AY$4010,0)),""))</f>
        <v/>
      </c>
      <c r="AD309" s="16" t="str">
        <f>IF(AE309="","",IFERROR(INDEX($AL$11:$AL$4010,MATCH(299,$AZ$11:$AZ$4010,0)),""))</f>
        <v/>
      </c>
      <c r="AE309" s="12" t="str">
        <f>IFERROR(INDEX($AM$11:$AM$4010,MATCH(299,$AZ$11:$AZ$4010,0)),"")</f>
        <v/>
      </c>
      <c r="AF309" s="11" t="str">
        <f>IF(AE309="","",IFERROR(INDEX($AN$11:$AN$4010,MATCH(299,$AZ$11:$AZ$4010,0)),""))</f>
        <v/>
      </c>
      <c r="AG309" s="11" t="str">
        <f>IF(AE309="","",IFERROR(INDEX($AO$11:$AO$4010,MATCH(299,$AZ$11:$AZ$4010,0)),""))</f>
        <v/>
      </c>
      <c r="AH309" s="10" t="str">
        <f>IF(AE309="","",IFERROR(INDEX($AQ$11:$AQ$4010,MATCH(299,$AZ$11:$AZ$4010,0)),""))</f>
        <v/>
      </c>
      <c r="AI309" s="15" t="str">
        <f>IF(AE309="","",IFERROR(INDEX($AR$11:$AR$4010,MATCH(299,$AZ$11:$AZ$4010,0)),""))</f>
        <v/>
      </c>
      <c r="AJ309" s="15" t="str">
        <f>IF(AE309="","",IFERROR(INDEX($AT$11:$AT$4010,MATCH(299,$AZ$11:$AZ$4010,0)),""))</f>
        <v/>
      </c>
      <c r="AL309" s="17" t="str">
        <f t="shared" si="63"/>
        <v/>
      </c>
      <c r="AM309" s="12" t="str">
        <f t="shared" si="64"/>
        <v/>
      </c>
      <c r="AN309" s="18" t="str">
        <f t="shared" si="65"/>
        <v/>
      </c>
      <c r="AO309" s="18" t="str">
        <f t="shared" si="66"/>
        <v/>
      </c>
      <c r="AP309" s="10" t="str">
        <f t="shared" si="67"/>
        <v/>
      </c>
      <c r="AQ309" s="10" t="str">
        <f t="shared" si="68"/>
        <v/>
      </c>
      <c r="AR309" s="19" t="str">
        <f t="shared" si="69"/>
        <v/>
      </c>
      <c r="AS309" s="20"/>
      <c r="AT309" s="19"/>
      <c r="AV309" s="21">
        <f>IF(AND($AL309&lt;&gt;"",COUNTIF($AL$11:$AL309,$AL309)=1),1,0)</f>
        <v>0</v>
      </c>
      <c r="AW309" s="21">
        <f t="shared" si="71"/>
        <v>0</v>
      </c>
      <c r="AX309" s="21" t="str">
        <f t="shared" si="70"/>
        <v/>
      </c>
      <c r="AY309" s="21" t="str">
        <f>IF(AND($AM309&lt;&gt;"",$AS309&lt;&gt;"✓"),SUMPRODUCT(($AM$11:$AM309&lt;&gt;"")*($AS$11:$AS309&lt;&gt;"✓")),"")</f>
        <v/>
      </c>
      <c r="AZ309" s="21" t="str">
        <f>IF(AND($AM309&lt;&gt;"",$AS309="✓"),SUMPRODUCT(($AM$11:$AM309&lt;&gt;"")*($AS$11:$AS309="✓")),"")</f>
        <v/>
      </c>
      <c r="BA309" s="21" t="str">
        <f>IF($AL309="","",$AL309&amp;"|"&amp;COUNTIF($AL$11:$AL309,$AL309))</f>
        <v/>
      </c>
    </row>
    <row r="310" spans="2:53" ht="15" customHeight="1" x14ac:dyDescent="0.25">
      <c r="B310" s="5" t="str">
        <f t="shared" si="59"/>
        <v/>
      </c>
      <c r="C310" s="5"/>
      <c r="D310" s="5"/>
      <c r="E310" s="5"/>
      <c r="F310" s="6"/>
      <c r="G310" s="6"/>
      <c r="H310" s="7"/>
      <c r="I310" s="8"/>
      <c r="K310" s="23" t="str">
        <f>IFERROR(INDEX($AL$11:$AL$4010,MATCH(300,$AX$11:$AX$4010,0)),"")</f>
        <v/>
      </c>
      <c r="L310" s="24" t="str">
        <f t="shared" si="60"/>
        <v/>
      </c>
      <c r="M310" s="25" t="str">
        <f t="shared" si="61"/>
        <v/>
      </c>
      <c r="N310" s="25" t="str">
        <f t="shared" si="62"/>
        <v/>
      </c>
      <c r="W310" s="28" t="str">
        <f>IF(X310="","",IFERROR(INDEX($AL$11:$AL$4010,MATCH(300,$AY$11:$AY$4010,0)),""))</f>
        <v/>
      </c>
      <c r="X310" s="26" t="str">
        <f>IFERROR(INDEX($AM$11:$AM$4010,MATCH(300,$AY$11:$AY$4010,0)),"")</f>
        <v/>
      </c>
      <c r="Y310" s="25" t="str">
        <f>IF(X310="","",IFERROR(INDEX($AN$11:$AN$4010,MATCH(300,$AY$11:$AY$4010,0)),""))</f>
        <v/>
      </c>
      <c r="Z310" s="25" t="str">
        <f>IF(X310="","",IFERROR(INDEX($AO$11:$AO$4010,MATCH(300,$AY$11:$AY$4010,0)),""))</f>
        <v/>
      </c>
      <c r="AA310" s="24" t="str">
        <f>IF(X310="","",IFERROR(INDEX($AQ$11:$AQ$4010,MATCH(300,$AY$11:$AY$4010,0)),""))</f>
        <v/>
      </c>
      <c r="AB310" s="29" t="str">
        <f>IF(X310="","",IFERROR(INDEX($AR$11:$AR$4010,MATCH(300,$AY$11:$AY$4010,0)),""))</f>
        <v/>
      </c>
      <c r="AD310" s="30" t="str">
        <f>IF(AE310="","",IFERROR(INDEX($AL$11:$AL$4010,MATCH(300,$AZ$11:$AZ$4010,0)),""))</f>
        <v/>
      </c>
      <c r="AE310" s="26" t="str">
        <f>IFERROR(INDEX($AM$11:$AM$4010,MATCH(300,$AZ$11:$AZ$4010,0)),"")</f>
        <v/>
      </c>
      <c r="AF310" s="25" t="str">
        <f>IF(AE310="","",IFERROR(INDEX($AN$11:$AN$4010,MATCH(300,$AZ$11:$AZ$4010,0)),""))</f>
        <v/>
      </c>
      <c r="AG310" s="25" t="str">
        <f>IF(AE310="","",IFERROR(INDEX($AO$11:$AO$4010,MATCH(300,$AZ$11:$AZ$4010,0)),""))</f>
        <v/>
      </c>
      <c r="AH310" s="24" t="str">
        <f>IF(AE310="","",IFERROR(INDEX($AQ$11:$AQ$4010,MATCH(300,$AZ$11:$AZ$4010,0)),""))</f>
        <v/>
      </c>
      <c r="AI310" s="29" t="str">
        <f>IF(AE310="","",IFERROR(INDEX($AR$11:$AR$4010,MATCH(300,$AZ$11:$AZ$4010,0)),""))</f>
        <v/>
      </c>
      <c r="AJ310" s="29" t="str">
        <f>IF(AE310="","",IFERROR(INDEX($AT$11:$AT$4010,MATCH(300,$AZ$11:$AZ$4010,0)),""))</f>
        <v/>
      </c>
      <c r="AL310" s="31" t="str">
        <f t="shared" si="63"/>
        <v/>
      </c>
      <c r="AM310" s="26" t="str">
        <f t="shared" si="64"/>
        <v/>
      </c>
      <c r="AN310" s="32" t="str">
        <f t="shared" si="65"/>
        <v/>
      </c>
      <c r="AO310" s="32" t="str">
        <f t="shared" si="66"/>
        <v/>
      </c>
      <c r="AP310" s="24" t="str">
        <f t="shared" si="67"/>
        <v/>
      </c>
      <c r="AQ310" s="24" t="str">
        <f t="shared" si="68"/>
        <v/>
      </c>
      <c r="AR310" s="33" t="str">
        <f t="shared" si="69"/>
        <v/>
      </c>
      <c r="AS310" s="34"/>
      <c r="AT310" s="33"/>
      <c r="AV310" s="21">
        <f>IF(AND($AL310&lt;&gt;"",COUNTIF($AL$11:$AL310,$AL310)=1),1,0)</f>
        <v>0</v>
      </c>
      <c r="AW310" s="21">
        <f t="shared" si="71"/>
        <v>0</v>
      </c>
      <c r="AX310" s="21" t="str">
        <f t="shared" si="70"/>
        <v/>
      </c>
      <c r="AY310" s="21" t="str">
        <f>IF(AND($AM310&lt;&gt;"",$AS310&lt;&gt;"✓"),SUMPRODUCT(($AM$11:$AM310&lt;&gt;"")*($AS$11:$AS310&lt;&gt;"✓")),"")</f>
        <v/>
      </c>
      <c r="AZ310" s="21" t="str">
        <f>IF(AND($AM310&lt;&gt;"",$AS310="✓"),SUMPRODUCT(($AM$11:$AM310&lt;&gt;"")*($AS$11:$AS310="✓")),"")</f>
        <v/>
      </c>
      <c r="BA310" s="21" t="str">
        <f>IF($AL310="","",$AL310&amp;"|"&amp;COUNTIF($AL$11:$AL310,$AL310))</f>
        <v/>
      </c>
    </row>
    <row r="311" spans="2:53" ht="15" customHeight="1" x14ac:dyDescent="0.25">
      <c r="B311" s="5" t="str">
        <f t="shared" si="59"/>
        <v/>
      </c>
      <c r="C311" s="5"/>
      <c r="D311" s="5"/>
      <c r="E311" s="5"/>
      <c r="F311" s="6"/>
      <c r="G311" s="6"/>
      <c r="H311" s="7"/>
      <c r="I311" s="8"/>
      <c r="W311" s="14" t="str">
        <f>IF(X311="","",IFERROR(INDEX($AL$11:$AL$4010,MATCH(301,$AY$11:$AY$4010,0)),""))</f>
        <v/>
      </c>
      <c r="X311" s="12" t="str">
        <f>IFERROR(INDEX($AM$11:$AM$4010,MATCH(301,$AY$11:$AY$4010,0)),"")</f>
        <v/>
      </c>
      <c r="Y311" s="11" t="str">
        <f>IF(X311="","",IFERROR(INDEX($AN$11:$AN$4010,MATCH(301,$AY$11:$AY$4010,0)),""))</f>
        <v/>
      </c>
      <c r="Z311" s="11" t="str">
        <f>IF(X311="","",IFERROR(INDEX($AO$11:$AO$4010,MATCH(301,$AY$11:$AY$4010,0)),""))</f>
        <v/>
      </c>
      <c r="AA311" s="10" t="str">
        <f>IF(X311="","",IFERROR(INDEX($AQ$11:$AQ$4010,MATCH(301,$AY$11:$AY$4010,0)),""))</f>
        <v/>
      </c>
      <c r="AB311" s="15" t="str">
        <f>IF(X311="","",IFERROR(INDEX($AR$11:$AR$4010,MATCH(301,$AY$11:$AY$4010,0)),""))</f>
        <v/>
      </c>
      <c r="AD311" s="16" t="str">
        <f>IF(AE311="","",IFERROR(INDEX($AL$11:$AL$4010,MATCH(301,$AZ$11:$AZ$4010,0)),""))</f>
        <v/>
      </c>
      <c r="AE311" s="12" t="str">
        <f>IFERROR(INDEX($AM$11:$AM$4010,MATCH(301,$AZ$11:$AZ$4010,0)),"")</f>
        <v/>
      </c>
      <c r="AF311" s="11" t="str">
        <f>IF(AE311="","",IFERROR(INDEX($AN$11:$AN$4010,MATCH(301,$AZ$11:$AZ$4010,0)),""))</f>
        <v/>
      </c>
      <c r="AG311" s="11" t="str">
        <f>IF(AE311="","",IFERROR(INDEX($AO$11:$AO$4010,MATCH(301,$AZ$11:$AZ$4010,0)),""))</f>
        <v/>
      </c>
      <c r="AH311" s="10" t="str">
        <f>IF(AE311="","",IFERROR(INDEX($AQ$11:$AQ$4010,MATCH(301,$AZ$11:$AZ$4010,0)),""))</f>
        <v/>
      </c>
      <c r="AI311" s="15" t="str">
        <f>IF(AE311="","",IFERROR(INDEX($AR$11:$AR$4010,MATCH(301,$AZ$11:$AZ$4010,0)),""))</f>
        <v/>
      </c>
      <c r="AJ311" s="15" t="str">
        <f>IF(AE311="","",IFERROR(INDEX($AT$11:$AT$4010,MATCH(301,$AZ$11:$AZ$4010,0)),""))</f>
        <v/>
      </c>
      <c r="AL311" s="17" t="str">
        <f t="shared" si="63"/>
        <v/>
      </c>
      <c r="AM311" s="12" t="str">
        <f t="shared" si="64"/>
        <v/>
      </c>
      <c r="AN311" s="18" t="str">
        <f t="shared" si="65"/>
        <v/>
      </c>
      <c r="AO311" s="18" t="str">
        <f t="shared" si="66"/>
        <v/>
      </c>
      <c r="AP311" s="10" t="str">
        <f t="shared" si="67"/>
        <v/>
      </c>
      <c r="AQ311" s="10" t="str">
        <f t="shared" si="68"/>
        <v/>
      </c>
      <c r="AR311" s="19" t="str">
        <f t="shared" si="69"/>
        <v/>
      </c>
      <c r="AS311" s="20"/>
      <c r="AT311" s="19"/>
      <c r="AV311" s="21">
        <f>IF(AND($AL311&lt;&gt;"",COUNTIF($AL$11:$AL311,$AL311)=1),1,0)</f>
        <v>0</v>
      </c>
      <c r="AW311" s="21">
        <f t="shared" si="71"/>
        <v>0</v>
      </c>
      <c r="AX311" s="21" t="str">
        <f t="shared" si="70"/>
        <v/>
      </c>
      <c r="AY311" s="21" t="str">
        <f>IF(AND($AM311&lt;&gt;"",$AS311&lt;&gt;"✓"),SUMPRODUCT(($AM$11:$AM311&lt;&gt;"")*($AS$11:$AS311&lt;&gt;"✓")),"")</f>
        <v/>
      </c>
      <c r="AZ311" s="21" t="str">
        <f>IF(AND($AM311&lt;&gt;"",$AS311="✓"),SUMPRODUCT(($AM$11:$AM311&lt;&gt;"")*($AS$11:$AS311="✓")),"")</f>
        <v/>
      </c>
      <c r="BA311" s="21" t="str">
        <f>IF($AL311="","",$AL311&amp;"|"&amp;COUNTIF($AL$11:$AL311,$AL311))</f>
        <v/>
      </c>
    </row>
    <row r="312" spans="2:53" ht="15" customHeight="1" x14ac:dyDescent="0.25">
      <c r="B312" s="5" t="str">
        <f t="shared" si="59"/>
        <v/>
      </c>
      <c r="C312" s="5"/>
      <c r="D312" s="5"/>
      <c r="E312" s="5"/>
      <c r="F312" s="6"/>
      <c r="G312" s="6"/>
      <c r="H312" s="7"/>
      <c r="I312" s="8"/>
      <c r="W312" s="28" t="str">
        <f>IF(X312="","",IFERROR(INDEX($AL$11:$AL$4010,MATCH(302,$AY$11:$AY$4010,0)),""))</f>
        <v/>
      </c>
      <c r="X312" s="26" t="str">
        <f>IFERROR(INDEX($AM$11:$AM$4010,MATCH(302,$AY$11:$AY$4010,0)),"")</f>
        <v/>
      </c>
      <c r="Y312" s="25" t="str">
        <f>IF(X312="","",IFERROR(INDEX($AN$11:$AN$4010,MATCH(302,$AY$11:$AY$4010,0)),""))</f>
        <v/>
      </c>
      <c r="Z312" s="25" t="str">
        <f>IF(X312="","",IFERROR(INDEX($AO$11:$AO$4010,MATCH(302,$AY$11:$AY$4010,0)),""))</f>
        <v/>
      </c>
      <c r="AA312" s="24" t="str">
        <f>IF(X312="","",IFERROR(INDEX($AQ$11:$AQ$4010,MATCH(302,$AY$11:$AY$4010,0)),""))</f>
        <v/>
      </c>
      <c r="AB312" s="29" t="str">
        <f>IF(X312="","",IFERROR(INDEX($AR$11:$AR$4010,MATCH(302,$AY$11:$AY$4010,0)),""))</f>
        <v/>
      </c>
      <c r="AD312" s="30" t="str">
        <f>IF(AE312="","",IFERROR(INDEX($AL$11:$AL$4010,MATCH(302,$AZ$11:$AZ$4010,0)),""))</f>
        <v/>
      </c>
      <c r="AE312" s="26" t="str">
        <f>IFERROR(INDEX($AM$11:$AM$4010,MATCH(302,$AZ$11:$AZ$4010,0)),"")</f>
        <v/>
      </c>
      <c r="AF312" s="25" t="str">
        <f>IF(AE312="","",IFERROR(INDEX($AN$11:$AN$4010,MATCH(302,$AZ$11:$AZ$4010,0)),""))</f>
        <v/>
      </c>
      <c r="AG312" s="25" t="str">
        <f>IF(AE312="","",IFERROR(INDEX($AO$11:$AO$4010,MATCH(302,$AZ$11:$AZ$4010,0)),""))</f>
        <v/>
      </c>
      <c r="AH312" s="24" t="str">
        <f>IF(AE312="","",IFERROR(INDEX($AQ$11:$AQ$4010,MATCH(302,$AZ$11:$AZ$4010,0)),""))</f>
        <v/>
      </c>
      <c r="AI312" s="29" t="str">
        <f>IF(AE312="","",IFERROR(INDEX($AR$11:$AR$4010,MATCH(302,$AZ$11:$AZ$4010,0)),""))</f>
        <v/>
      </c>
      <c r="AJ312" s="29" t="str">
        <f>IF(AE312="","",IFERROR(INDEX($AT$11:$AT$4010,MATCH(302,$AZ$11:$AZ$4010,0)),""))</f>
        <v/>
      </c>
      <c r="AL312" s="31" t="str">
        <f t="shared" si="63"/>
        <v/>
      </c>
      <c r="AM312" s="26" t="str">
        <f t="shared" si="64"/>
        <v/>
      </c>
      <c r="AN312" s="32" t="str">
        <f t="shared" si="65"/>
        <v/>
      </c>
      <c r="AO312" s="32" t="str">
        <f t="shared" si="66"/>
        <v/>
      </c>
      <c r="AP312" s="24" t="str">
        <f t="shared" si="67"/>
        <v/>
      </c>
      <c r="AQ312" s="24" t="str">
        <f t="shared" si="68"/>
        <v/>
      </c>
      <c r="AR312" s="33" t="str">
        <f t="shared" si="69"/>
        <v/>
      </c>
      <c r="AS312" s="34"/>
      <c r="AT312" s="33"/>
      <c r="AV312" s="21">
        <f>IF(AND($AL312&lt;&gt;"",COUNTIF($AL$11:$AL312,$AL312)=1),1,0)</f>
        <v>0</v>
      </c>
      <c r="AW312" s="21">
        <f t="shared" si="71"/>
        <v>0</v>
      </c>
      <c r="AX312" s="21" t="str">
        <f t="shared" si="70"/>
        <v/>
      </c>
      <c r="AY312" s="21" t="str">
        <f>IF(AND($AM312&lt;&gt;"",$AS312&lt;&gt;"✓"),SUMPRODUCT(($AM$11:$AM312&lt;&gt;"")*($AS$11:$AS312&lt;&gt;"✓")),"")</f>
        <v/>
      </c>
      <c r="AZ312" s="21" t="str">
        <f>IF(AND($AM312&lt;&gt;"",$AS312="✓"),SUMPRODUCT(($AM$11:$AM312&lt;&gt;"")*($AS$11:$AS312="✓")),"")</f>
        <v/>
      </c>
      <c r="BA312" s="21" t="str">
        <f>IF($AL312="","",$AL312&amp;"|"&amp;COUNTIF($AL$11:$AL312,$AL312))</f>
        <v/>
      </c>
    </row>
    <row r="313" spans="2:53" ht="15" customHeight="1" x14ac:dyDescent="0.25">
      <c r="B313" s="5" t="str">
        <f t="shared" si="59"/>
        <v/>
      </c>
      <c r="C313" s="5"/>
      <c r="D313" s="5"/>
      <c r="E313" s="5"/>
      <c r="F313" s="6"/>
      <c r="G313" s="6"/>
      <c r="H313" s="7"/>
      <c r="I313" s="8"/>
      <c r="W313" s="14" t="str">
        <f>IF(X313="","",IFERROR(INDEX($AL$11:$AL$4010,MATCH(303,$AY$11:$AY$4010,0)),""))</f>
        <v/>
      </c>
      <c r="X313" s="12" t="str">
        <f>IFERROR(INDEX($AM$11:$AM$4010,MATCH(303,$AY$11:$AY$4010,0)),"")</f>
        <v/>
      </c>
      <c r="Y313" s="11" t="str">
        <f>IF(X313="","",IFERROR(INDEX($AN$11:$AN$4010,MATCH(303,$AY$11:$AY$4010,0)),""))</f>
        <v/>
      </c>
      <c r="Z313" s="11" t="str">
        <f>IF(X313="","",IFERROR(INDEX($AO$11:$AO$4010,MATCH(303,$AY$11:$AY$4010,0)),""))</f>
        <v/>
      </c>
      <c r="AA313" s="10" t="str">
        <f>IF(X313="","",IFERROR(INDEX($AQ$11:$AQ$4010,MATCH(303,$AY$11:$AY$4010,0)),""))</f>
        <v/>
      </c>
      <c r="AB313" s="15" t="str">
        <f>IF(X313="","",IFERROR(INDEX($AR$11:$AR$4010,MATCH(303,$AY$11:$AY$4010,0)),""))</f>
        <v/>
      </c>
      <c r="AD313" s="16" t="str">
        <f>IF(AE313="","",IFERROR(INDEX($AL$11:$AL$4010,MATCH(303,$AZ$11:$AZ$4010,0)),""))</f>
        <v/>
      </c>
      <c r="AE313" s="12" t="str">
        <f>IFERROR(INDEX($AM$11:$AM$4010,MATCH(303,$AZ$11:$AZ$4010,0)),"")</f>
        <v/>
      </c>
      <c r="AF313" s="11" t="str">
        <f>IF(AE313="","",IFERROR(INDEX($AN$11:$AN$4010,MATCH(303,$AZ$11:$AZ$4010,0)),""))</f>
        <v/>
      </c>
      <c r="AG313" s="11" t="str">
        <f>IF(AE313="","",IFERROR(INDEX($AO$11:$AO$4010,MATCH(303,$AZ$11:$AZ$4010,0)),""))</f>
        <v/>
      </c>
      <c r="AH313" s="10" t="str">
        <f>IF(AE313="","",IFERROR(INDEX($AQ$11:$AQ$4010,MATCH(303,$AZ$11:$AZ$4010,0)),""))</f>
        <v/>
      </c>
      <c r="AI313" s="15" t="str">
        <f>IF(AE313="","",IFERROR(INDEX($AR$11:$AR$4010,MATCH(303,$AZ$11:$AZ$4010,0)),""))</f>
        <v/>
      </c>
      <c r="AJ313" s="15" t="str">
        <f>IF(AE313="","",IFERROR(INDEX($AT$11:$AT$4010,MATCH(303,$AZ$11:$AZ$4010,0)),""))</f>
        <v/>
      </c>
      <c r="AL313" s="17" t="str">
        <f t="shared" si="63"/>
        <v/>
      </c>
      <c r="AM313" s="12" t="str">
        <f t="shared" si="64"/>
        <v/>
      </c>
      <c r="AN313" s="18" t="str">
        <f t="shared" si="65"/>
        <v/>
      </c>
      <c r="AO313" s="18" t="str">
        <f t="shared" si="66"/>
        <v/>
      </c>
      <c r="AP313" s="10" t="str">
        <f t="shared" si="67"/>
        <v/>
      </c>
      <c r="AQ313" s="10" t="str">
        <f t="shared" si="68"/>
        <v/>
      </c>
      <c r="AR313" s="19" t="str">
        <f t="shared" si="69"/>
        <v/>
      </c>
      <c r="AS313" s="20"/>
      <c r="AT313" s="19"/>
      <c r="AV313" s="21">
        <f>IF(AND($AL313&lt;&gt;"",COUNTIF($AL$11:$AL313,$AL313)=1),1,0)</f>
        <v>0</v>
      </c>
      <c r="AW313" s="21">
        <f t="shared" si="71"/>
        <v>0</v>
      </c>
      <c r="AX313" s="21" t="str">
        <f t="shared" si="70"/>
        <v/>
      </c>
      <c r="AY313" s="21" t="str">
        <f>IF(AND($AM313&lt;&gt;"",$AS313&lt;&gt;"✓"),SUMPRODUCT(($AM$11:$AM313&lt;&gt;"")*($AS$11:$AS313&lt;&gt;"✓")),"")</f>
        <v/>
      </c>
      <c r="AZ313" s="21" t="str">
        <f>IF(AND($AM313&lt;&gt;"",$AS313="✓"),SUMPRODUCT(($AM$11:$AM313&lt;&gt;"")*($AS$11:$AS313="✓")),"")</f>
        <v/>
      </c>
      <c r="BA313" s="21" t="str">
        <f>IF($AL313="","",$AL313&amp;"|"&amp;COUNTIF($AL$11:$AL313,$AL313))</f>
        <v/>
      </c>
    </row>
    <row r="314" spans="2:53" ht="15" customHeight="1" x14ac:dyDescent="0.25">
      <c r="B314" s="5" t="str">
        <f t="shared" si="59"/>
        <v/>
      </c>
      <c r="C314" s="5"/>
      <c r="D314" s="5"/>
      <c r="E314" s="5"/>
      <c r="F314" s="6"/>
      <c r="G314" s="6"/>
      <c r="H314" s="7"/>
      <c r="I314" s="8"/>
      <c r="W314" s="28" t="str">
        <f>IF(X314="","",IFERROR(INDEX($AL$11:$AL$4010,MATCH(304,$AY$11:$AY$4010,0)),""))</f>
        <v/>
      </c>
      <c r="X314" s="26" t="str">
        <f>IFERROR(INDEX($AM$11:$AM$4010,MATCH(304,$AY$11:$AY$4010,0)),"")</f>
        <v/>
      </c>
      <c r="Y314" s="25" t="str">
        <f>IF(X314="","",IFERROR(INDEX($AN$11:$AN$4010,MATCH(304,$AY$11:$AY$4010,0)),""))</f>
        <v/>
      </c>
      <c r="Z314" s="25" t="str">
        <f>IF(X314="","",IFERROR(INDEX($AO$11:$AO$4010,MATCH(304,$AY$11:$AY$4010,0)),""))</f>
        <v/>
      </c>
      <c r="AA314" s="24" t="str">
        <f>IF(X314="","",IFERROR(INDEX($AQ$11:$AQ$4010,MATCH(304,$AY$11:$AY$4010,0)),""))</f>
        <v/>
      </c>
      <c r="AB314" s="29" t="str">
        <f>IF(X314="","",IFERROR(INDEX($AR$11:$AR$4010,MATCH(304,$AY$11:$AY$4010,0)),""))</f>
        <v/>
      </c>
      <c r="AD314" s="30" t="str">
        <f>IF(AE314="","",IFERROR(INDEX($AL$11:$AL$4010,MATCH(304,$AZ$11:$AZ$4010,0)),""))</f>
        <v/>
      </c>
      <c r="AE314" s="26" t="str">
        <f>IFERROR(INDEX($AM$11:$AM$4010,MATCH(304,$AZ$11:$AZ$4010,0)),"")</f>
        <v/>
      </c>
      <c r="AF314" s="25" t="str">
        <f>IF(AE314="","",IFERROR(INDEX($AN$11:$AN$4010,MATCH(304,$AZ$11:$AZ$4010,0)),""))</f>
        <v/>
      </c>
      <c r="AG314" s="25" t="str">
        <f>IF(AE314="","",IFERROR(INDEX($AO$11:$AO$4010,MATCH(304,$AZ$11:$AZ$4010,0)),""))</f>
        <v/>
      </c>
      <c r="AH314" s="24" t="str">
        <f>IF(AE314="","",IFERROR(INDEX($AQ$11:$AQ$4010,MATCH(304,$AZ$11:$AZ$4010,0)),""))</f>
        <v/>
      </c>
      <c r="AI314" s="29" t="str">
        <f>IF(AE314="","",IFERROR(INDEX($AR$11:$AR$4010,MATCH(304,$AZ$11:$AZ$4010,0)),""))</f>
        <v/>
      </c>
      <c r="AJ314" s="29" t="str">
        <f>IF(AE314="","",IFERROR(INDEX($AT$11:$AT$4010,MATCH(304,$AZ$11:$AZ$4010,0)),""))</f>
        <v/>
      </c>
      <c r="AL314" s="31" t="str">
        <f t="shared" si="63"/>
        <v/>
      </c>
      <c r="AM314" s="26" t="str">
        <f t="shared" si="64"/>
        <v/>
      </c>
      <c r="AN314" s="32" t="str">
        <f t="shared" si="65"/>
        <v/>
      </c>
      <c r="AO314" s="32" t="str">
        <f t="shared" si="66"/>
        <v/>
      </c>
      <c r="AP314" s="24" t="str">
        <f t="shared" si="67"/>
        <v/>
      </c>
      <c r="AQ314" s="24" t="str">
        <f t="shared" si="68"/>
        <v/>
      </c>
      <c r="AR314" s="33" t="str">
        <f t="shared" si="69"/>
        <v/>
      </c>
      <c r="AS314" s="34"/>
      <c r="AT314" s="33"/>
      <c r="AV314" s="21">
        <f>IF(AND($AL314&lt;&gt;"",COUNTIF($AL$11:$AL314,$AL314)=1),1,0)</f>
        <v>0</v>
      </c>
      <c r="AW314" s="21">
        <f t="shared" si="71"/>
        <v>0</v>
      </c>
      <c r="AX314" s="21" t="str">
        <f t="shared" si="70"/>
        <v/>
      </c>
      <c r="AY314" s="21" t="str">
        <f>IF(AND($AM314&lt;&gt;"",$AS314&lt;&gt;"✓"),SUMPRODUCT(($AM$11:$AM314&lt;&gt;"")*($AS$11:$AS314&lt;&gt;"✓")),"")</f>
        <v/>
      </c>
      <c r="AZ314" s="21" t="str">
        <f>IF(AND($AM314&lt;&gt;"",$AS314="✓"),SUMPRODUCT(($AM$11:$AM314&lt;&gt;"")*($AS$11:$AS314="✓")),"")</f>
        <v/>
      </c>
      <c r="BA314" s="21" t="str">
        <f>IF($AL314="","",$AL314&amp;"|"&amp;COUNTIF($AL$11:$AL314,$AL314))</f>
        <v/>
      </c>
    </row>
    <row r="315" spans="2:53" ht="15" customHeight="1" x14ac:dyDescent="0.25">
      <c r="B315" s="5" t="str">
        <f t="shared" si="59"/>
        <v/>
      </c>
      <c r="C315" s="5"/>
      <c r="D315" s="5"/>
      <c r="E315" s="5"/>
      <c r="F315" s="6"/>
      <c r="G315" s="6"/>
      <c r="H315" s="7"/>
      <c r="I315" s="8"/>
      <c r="W315" s="14" t="str">
        <f>IF(X315="","",IFERROR(INDEX($AL$11:$AL$4010,MATCH(305,$AY$11:$AY$4010,0)),""))</f>
        <v/>
      </c>
      <c r="X315" s="12" t="str">
        <f>IFERROR(INDEX($AM$11:$AM$4010,MATCH(305,$AY$11:$AY$4010,0)),"")</f>
        <v/>
      </c>
      <c r="Y315" s="11" t="str">
        <f>IF(X315="","",IFERROR(INDEX($AN$11:$AN$4010,MATCH(305,$AY$11:$AY$4010,0)),""))</f>
        <v/>
      </c>
      <c r="Z315" s="11" t="str">
        <f>IF(X315="","",IFERROR(INDEX($AO$11:$AO$4010,MATCH(305,$AY$11:$AY$4010,0)),""))</f>
        <v/>
      </c>
      <c r="AA315" s="10" t="str">
        <f>IF(X315="","",IFERROR(INDEX($AQ$11:$AQ$4010,MATCH(305,$AY$11:$AY$4010,0)),""))</f>
        <v/>
      </c>
      <c r="AB315" s="15" t="str">
        <f>IF(X315="","",IFERROR(INDEX($AR$11:$AR$4010,MATCH(305,$AY$11:$AY$4010,0)),""))</f>
        <v/>
      </c>
      <c r="AD315" s="16" t="str">
        <f>IF(AE315="","",IFERROR(INDEX($AL$11:$AL$4010,MATCH(305,$AZ$11:$AZ$4010,0)),""))</f>
        <v/>
      </c>
      <c r="AE315" s="12" t="str">
        <f>IFERROR(INDEX($AM$11:$AM$4010,MATCH(305,$AZ$11:$AZ$4010,0)),"")</f>
        <v/>
      </c>
      <c r="AF315" s="11" t="str">
        <f>IF(AE315="","",IFERROR(INDEX($AN$11:$AN$4010,MATCH(305,$AZ$11:$AZ$4010,0)),""))</f>
        <v/>
      </c>
      <c r="AG315" s="11" t="str">
        <f>IF(AE315="","",IFERROR(INDEX($AO$11:$AO$4010,MATCH(305,$AZ$11:$AZ$4010,0)),""))</f>
        <v/>
      </c>
      <c r="AH315" s="10" t="str">
        <f>IF(AE315="","",IFERROR(INDEX($AQ$11:$AQ$4010,MATCH(305,$AZ$11:$AZ$4010,0)),""))</f>
        <v/>
      </c>
      <c r="AI315" s="15" t="str">
        <f>IF(AE315="","",IFERROR(INDEX($AR$11:$AR$4010,MATCH(305,$AZ$11:$AZ$4010,0)),""))</f>
        <v/>
      </c>
      <c r="AJ315" s="15" t="str">
        <f>IF(AE315="","",IFERROR(INDEX($AT$11:$AT$4010,MATCH(305,$AZ$11:$AZ$4010,0)),""))</f>
        <v/>
      </c>
      <c r="AL315" s="17" t="str">
        <f t="shared" si="63"/>
        <v/>
      </c>
      <c r="AM315" s="12" t="str">
        <f t="shared" si="64"/>
        <v/>
      </c>
      <c r="AN315" s="18" t="str">
        <f t="shared" si="65"/>
        <v/>
      </c>
      <c r="AO315" s="18" t="str">
        <f t="shared" si="66"/>
        <v/>
      </c>
      <c r="AP315" s="10" t="str">
        <f t="shared" si="67"/>
        <v/>
      </c>
      <c r="AQ315" s="10" t="str">
        <f t="shared" si="68"/>
        <v/>
      </c>
      <c r="AR315" s="19" t="str">
        <f t="shared" si="69"/>
        <v/>
      </c>
      <c r="AS315" s="20"/>
      <c r="AT315" s="19"/>
      <c r="AV315" s="21">
        <f>IF(AND($AL315&lt;&gt;"",COUNTIF($AL$11:$AL315,$AL315)=1),1,0)</f>
        <v>0</v>
      </c>
      <c r="AW315" s="21">
        <f t="shared" si="71"/>
        <v>0</v>
      </c>
      <c r="AX315" s="21" t="str">
        <f t="shared" si="70"/>
        <v/>
      </c>
      <c r="AY315" s="21" t="str">
        <f>IF(AND($AM315&lt;&gt;"",$AS315&lt;&gt;"✓"),SUMPRODUCT(($AM$11:$AM315&lt;&gt;"")*($AS$11:$AS315&lt;&gt;"✓")),"")</f>
        <v/>
      </c>
      <c r="AZ315" s="21" t="str">
        <f>IF(AND($AM315&lt;&gt;"",$AS315="✓"),SUMPRODUCT(($AM$11:$AM315&lt;&gt;"")*($AS$11:$AS315="✓")),"")</f>
        <v/>
      </c>
      <c r="BA315" s="21" t="str">
        <f>IF($AL315="","",$AL315&amp;"|"&amp;COUNTIF($AL$11:$AL315,$AL315))</f>
        <v/>
      </c>
    </row>
    <row r="316" spans="2:53" ht="15" customHeight="1" x14ac:dyDescent="0.25">
      <c r="B316" s="5" t="str">
        <f t="shared" si="59"/>
        <v/>
      </c>
      <c r="C316" s="5"/>
      <c r="D316" s="5"/>
      <c r="E316" s="5"/>
      <c r="F316" s="6"/>
      <c r="G316" s="6"/>
      <c r="H316" s="7"/>
      <c r="I316" s="8"/>
      <c r="W316" s="28" t="str">
        <f>IF(X316="","",IFERROR(INDEX($AL$11:$AL$4010,MATCH(306,$AY$11:$AY$4010,0)),""))</f>
        <v/>
      </c>
      <c r="X316" s="26" t="str">
        <f>IFERROR(INDEX($AM$11:$AM$4010,MATCH(306,$AY$11:$AY$4010,0)),"")</f>
        <v/>
      </c>
      <c r="Y316" s="25" t="str">
        <f>IF(X316="","",IFERROR(INDEX($AN$11:$AN$4010,MATCH(306,$AY$11:$AY$4010,0)),""))</f>
        <v/>
      </c>
      <c r="Z316" s="25" t="str">
        <f>IF(X316="","",IFERROR(INDEX($AO$11:$AO$4010,MATCH(306,$AY$11:$AY$4010,0)),""))</f>
        <v/>
      </c>
      <c r="AA316" s="24" t="str">
        <f>IF(X316="","",IFERROR(INDEX($AQ$11:$AQ$4010,MATCH(306,$AY$11:$AY$4010,0)),""))</f>
        <v/>
      </c>
      <c r="AB316" s="29" t="str">
        <f>IF(X316="","",IFERROR(INDEX($AR$11:$AR$4010,MATCH(306,$AY$11:$AY$4010,0)),""))</f>
        <v/>
      </c>
      <c r="AD316" s="30" t="str">
        <f>IF(AE316="","",IFERROR(INDEX($AL$11:$AL$4010,MATCH(306,$AZ$11:$AZ$4010,0)),""))</f>
        <v/>
      </c>
      <c r="AE316" s="26" t="str">
        <f>IFERROR(INDEX($AM$11:$AM$4010,MATCH(306,$AZ$11:$AZ$4010,0)),"")</f>
        <v/>
      </c>
      <c r="AF316" s="25" t="str">
        <f>IF(AE316="","",IFERROR(INDEX($AN$11:$AN$4010,MATCH(306,$AZ$11:$AZ$4010,0)),""))</f>
        <v/>
      </c>
      <c r="AG316" s="25" t="str">
        <f>IF(AE316="","",IFERROR(INDEX($AO$11:$AO$4010,MATCH(306,$AZ$11:$AZ$4010,0)),""))</f>
        <v/>
      </c>
      <c r="AH316" s="24" t="str">
        <f>IF(AE316="","",IFERROR(INDEX($AQ$11:$AQ$4010,MATCH(306,$AZ$11:$AZ$4010,0)),""))</f>
        <v/>
      </c>
      <c r="AI316" s="29" t="str">
        <f>IF(AE316="","",IFERROR(INDEX($AR$11:$AR$4010,MATCH(306,$AZ$11:$AZ$4010,0)),""))</f>
        <v/>
      </c>
      <c r="AJ316" s="29" t="str">
        <f>IF(AE316="","",IFERROR(INDEX($AT$11:$AT$4010,MATCH(306,$AZ$11:$AZ$4010,0)),""))</f>
        <v/>
      </c>
      <c r="AL316" s="31" t="str">
        <f t="shared" si="63"/>
        <v/>
      </c>
      <c r="AM316" s="26" t="str">
        <f t="shared" si="64"/>
        <v/>
      </c>
      <c r="AN316" s="32" t="str">
        <f t="shared" si="65"/>
        <v/>
      </c>
      <c r="AO316" s="32" t="str">
        <f t="shared" si="66"/>
        <v/>
      </c>
      <c r="AP316" s="24" t="str">
        <f t="shared" si="67"/>
        <v/>
      </c>
      <c r="AQ316" s="24" t="str">
        <f t="shared" si="68"/>
        <v/>
      </c>
      <c r="AR316" s="33" t="str">
        <f t="shared" si="69"/>
        <v/>
      </c>
      <c r="AS316" s="34"/>
      <c r="AT316" s="33"/>
      <c r="AV316" s="21">
        <f>IF(AND($AL316&lt;&gt;"",COUNTIF($AL$11:$AL316,$AL316)=1),1,0)</f>
        <v>0</v>
      </c>
      <c r="AW316" s="21">
        <f t="shared" si="71"/>
        <v>0</v>
      </c>
      <c r="AX316" s="21" t="str">
        <f t="shared" si="70"/>
        <v/>
      </c>
      <c r="AY316" s="21" t="str">
        <f>IF(AND($AM316&lt;&gt;"",$AS316&lt;&gt;"✓"),SUMPRODUCT(($AM$11:$AM316&lt;&gt;"")*($AS$11:$AS316&lt;&gt;"✓")),"")</f>
        <v/>
      </c>
      <c r="AZ316" s="21" t="str">
        <f>IF(AND($AM316&lt;&gt;"",$AS316="✓"),SUMPRODUCT(($AM$11:$AM316&lt;&gt;"")*($AS$11:$AS316="✓")),"")</f>
        <v/>
      </c>
      <c r="BA316" s="21" t="str">
        <f>IF($AL316="","",$AL316&amp;"|"&amp;COUNTIF($AL$11:$AL316,$AL316))</f>
        <v/>
      </c>
    </row>
    <row r="317" spans="2:53" ht="15" customHeight="1" x14ac:dyDescent="0.25">
      <c r="B317" s="5" t="str">
        <f t="shared" si="59"/>
        <v/>
      </c>
      <c r="C317" s="5"/>
      <c r="D317" s="5"/>
      <c r="E317" s="5"/>
      <c r="F317" s="6"/>
      <c r="G317" s="6"/>
      <c r="H317" s="7"/>
      <c r="I317" s="8"/>
      <c r="W317" s="14" t="str">
        <f>IF(X317="","",IFERROR(INDEX($AL$11:$AL$4010,MATCH(307,$AY$11:$AY$4010,0)),""))</f>
        <v/>
      </c>
      <c r="X317" s="12" t="str">
        <f>IFERROR(INDEX($AM$11:$AM$4010,MATCH(307,$AY$11:$AY$4010,0)),"")</f>
        <v/>
      </c>
      <c r="Y317" s="11" t="str">
        <f>IF(X317="","",IFERROR(INDEX($AN$11:$AN$4010,MATCH(307,$AY$11:$AY$4010,0)),""))</f>
        <v/>
      </c>
      <c r="Z317" s="11" t="str">
        <f>IF(X317="","",IFERROR(INDEX($AO$11:$AO$4010,MATCH(307,$AY$11:$AY$4010,0)),""))</f>
        <v/>
      </c>
      <c r="AA317" s="10" t="str">
        <f>IF(X317="","",IFERROR(INDEX($AQ$11:$AQ$4010,MATCH(307,$AY$11:$AY$4010,0)),""))</f>
        <v/>
      </c>
      <c r="AB317" s="15" t="str">
        <f>IF(X317="","",IFERROR(INDEX($AR$11:$AR$4010,MATCH(307,$AY$11:$AY$4010,0)),""))</f>
        <v/>
      </c>
      <c r="AD317" s="16" t="str">
        <f>IF(AE317="","",IFERROR(INDEX($AL$11:$AL$4010,MATCH(307,$AZ$11:$AZ$4010,0)),""))</f>
        <v/>
      </c>
      <c r="AE317" s="12" t="str">
        <f>IFERROR(INDEX($AM$11:$AM$4010,MATCH(307,$AZ$11:$AZ$4010,0)),"")</f>
        <v/>
      </c>
      <c r="AF317" s="11" t="str">
        <f>IF(AE317="","",IFERROR(INDEX($AN$11:$AN$4010,MATCH(307,$AZ$11:$AZ$4010,0)),""))</f>
        <v/>
      </c>
      <c r="AG317" s="11" t="str">
        <f>IF(AE317="","",IFERROR(INDEX($AO$11:$AO$4010,MATCH(307,$AZ$11:$AZ$4010,0)),""))</f>
        <v/>
      </c>
      <c r="AH317" s="10" t="str">
        <f>IF(AE317="","",IFERROR(INDEX($AQ$11:$AQ$4010,MATCH(307,$AZ$11:$AZ$4010,0)),""))</f>
        <v/>
      </c>
      <c r="AI317" s="15" t="str">
        <f>IF(AE317="","",IFERROR(INDEX($AR$11:$AR$4010,MATCH(307,$AZ$11:$AZ$4010,0)),""))</f>
        <v/>
      </c>
      <c r="AJ317" s="15" t="str">
        <f>IF(AE317="","",IFERROR(INDEX($AT$11:$AT$4010,MATCH(307,$AZ$11:$AZ$4010,0)),""))</f>
        <v/>
      </c>
      <c r="AL317" s="17" t="str">
        <f t="shared" si="63"/>
        <v/>
      </c>
      <c r="AM317" s="12" t="str">
        <f t="shared" si="64"/>
        <v/>
      </c>
      <c r="AN317" s="18" t="str">
        <f t="shared" si="65"/>
        <v/>
      </c>
      <c r="AO317" s="18" t="str">
        <f t="shared" si="66"/>
        <v/>
      </c>
      <c r="AP317" s="10" t="str">
        <f t="shared" si="67"/>
        <v/>
      </c>
      <c r="AQ317" s="10" t="str">
        <f t="shared" si="68"/>
        <v/>
      </c>
      <c r="AR317" s="19" t="str">
        <f t="shared" si="69"/>
        <v/>
      </c>
      <c r="AS317" s="20"/>
      <c r="AT317" s="19"/>
      <c r="AV317" s="21">
        <f>IF(AND($AL317&lt;&gt;"",COUNTIF($AL$11:$AL317,$AL317)=1),1,0)</f>
        <v>0</v>
      </c>
      <c r="AW317" s="21">
        <f t="shared" si="71"/>
        <v>0</v>
      </c>
      <c r="AX317" s="21" t="str">
        <f t="shared" si="70"/>
        <v/>
      </c>
      <c r="AY317" s="21" t="str">
        <f>IF(AND($AM317&lt;&gt;"",$AS317&lt;&gt;"✓"),SUMPRODUCT(($AM$11:$AM317&lt;&gt;"")*($AS$11:$AS317&lt;&gt;"✓")),"")</f>
        <v/>
      </c>
      <c r="AZ317" s="21" t="str">
        <f>IF(AND($AM317&lt;&gt;"",$AS317="✓"),SUMPRODUCT(($AM$11:$AM317&lt;&gt;"")*($AS$11:$AS317="✓")),"")</f>
        <v/>
      </c>
      <c r="BA317" s="21" t="str">
        <f>IF($AL317="","",$AL317&amp;"|"&amp;COUNTIF($AL$11:$AL317,$AL317))</f>
        <v/>
      </c>
    </row>
    <row r="318" spans="2:53" ht="15" customHeight="1" x14ac:dyDescent="0.25">
      <c r="B318" s="5" t="str">
        <f t="shared" si="59"/>
        <v/>
      </c>
      <c r="C318" s="5"/>
      <c r="D318" s="5"/>
      <c r="E318" s="5"/>
      <c r="F318" s="6"/>
      <c r="G318" s="6"/>
      <c r="H318" s="7"/>
      <c r="I318" s="8"/>
      <c r="W318" s="28" t="str">
        <f>IF(X318="","",IFERROR(INDEX($AL$11:$AL$4010,MATCH(308,$AY$11:$AY$4010,0)),""))</f>
        <v/>
      </c>
      <c r="X318" s="26" t="str">
        <f>IFERROR(INDEX($AM$11:$AM$4010,MATCH(308,$AY$11:$AY$4010,0)),"")</f>
        <v/>
      </c>
      <c r="Y318" s="25" t="str">
        <f>IF(X318="","",IFERROR(INDEX($AN$11:$AN$4010,MATCH(308,$AY$11:$AY$4010,0)),""))</f>
        <v/>
      </c>
      <c r="Z318" s="25" t="str">
        <f>IF(X318="","",IFERROR(INDEX($AO$11:$AO$4010,MATCH(308,$AY$11:$AY$4010,0)),""))</f>
        <v/>
      </c>
      <c r="AA318" s="24" t="str">
        <f>IF(X318="","",IFERROR(INDEX($AQ$11:$AQ$4010,MATCH(308,$AY$11:$AY$4010,0)),""))</f>
        <v/>
      </c>
      <c r="AB318" s="29" t="str">
        <f>IF(X318="","",IFERROR(INDEX($AR$11:$AR$4010,MATCH(308,$AY$11:$AY$4010,0)),""))</f>
        <v/>
      </c>
      <c r="AD318" s="30" t="str">
        <f>IF(AE318="","",IFERROR(INDEX($AL$11:$AL$4010,MATCH(308,$AZ$11:$AZ$4010,0)),""))</f>
        <v/>
      </c>
      <c r="AE318" s="26" t="str">
        <f>IFERROR(INDEX($AM$11:$AM$4010,MATCH(308,$AZ$11:$AZ$4010,0)),"")</f>
        <v/>
      </c>
      <c r="AF318" s="25" t="str">
        <f>IF(AE318="","",IFERROR(INDEX($AN$11:$AN$4010,MATCH(308,$AZ$11:$AZ$4010,0)),""))</f>
        <v/>
      </c>
      <c r="AG318" s="25" t="str">
        <f>IF(AE318="","",IFERROR(INDEX($AO$11:$AO$4010,MATCH(308,$AZ$11:$AZ$4010,0)),""))</f>
        <v/>
      </c>
      <c r="AH318" s="24" t="str">
        <f>IF(AE318="","",IFERROR(INDEX($AQ$11:$AQ$4010,MATCH(308,$AZ$11:$AZ$4010,0)),""))</f>
        <v/>
      </c>
      <c r="AI318" s="29" t="str">
        <f>IF(AE318="","",IFERROR(INDEX($AR$11:$AR$4010,MATCH(308,$AZ$11:$AZ$4010,0)),""))</f>
        <v/>
      </c>
      <c r="AJ318" s="29" t="str">
        <f>IF(AE318="","",IFERROR(INDEX($AT$11:$AT$4010,MATCH(308,$AZ$11:$AZ$4010,0)),""))</f>
        <v/>
      </c>
      <c r="AL318" s="31" t="str">
        <f t="shared" si="63"/>
        <v/>
      </c>
      <c r="AM318" s="26" t="str">
        <f t="shared" si="64"/>
        <v/>
      </c>
      <c r="AN318" s="32" t="str">
        <f t="shared" si="65"/>
        <v/>
      </c>
      <c r="AO318" s="32" t="str">
        <f t="shared" si="66"/>
        <v/>
      </c>
      <c r="AP318" s="24" t="str">
        <f t="shared" si="67"/>
        <v/>
      </c>
      <c r="AQ318" s="24" t="str">
        <f t="shared" si="68"/>
        <v/>
      </c>
      <c r="AR318" s="33" t="str">
        <f t="shared" si="69"/>
        <v/>
      </c>
      <c r="AS318" s="34"/>
      <c r="AT318" s="33"/>
      <c r="AV318" s="21">
        <f>IF(AND($AL318&lt;&gt;"",COUNTIF($AL$11:$AL318,$AL318)=1),1,0)</f>
        <v>0</v>
      </c>
      <c r="AW318" s="21">
        <f t="shared" si="71"/>
        <v>0</v>
      </c>
      <c r="AX318" s="21" t="str">
        <f t="shared" si="70"/>
        <v/>
      </c>
      <c r="AY318" s="21" t="str">
        <f>IF(AND($AM318&lt;&gt;"",$AS318&lt;&gt;"✓"),SUMPRODUCT(($AM$11:$AM318&lt;&gt;"")*($AS$11:$AS318&lt;&gt;"✓")),"")</f>
        <v/>
      </c>
      <c r="AZ318" s="21" t="str">
        <f>IF(AND($AM318&lt;&gt;"",$AS318="✓"),SUMPRODUCT(($AM$11:$AM318&lt;&gt;"")*($AS$11:$AS318="✓")),"")</f>
        <v/>
      </c>
      <c r="BA318" s="21" t="str">
        <f>IF($AL318="","",$AL318&amp;"|"&amp;COUNTIF($AL$11:$AL318,$AL318))</f>
        <v/>
      </c>
    </row>
    <row r="319" spans="2:53" ht="15" customHeight="1" x14ac:dyDescent="0.25">
      <c r="B319" s="5" t="str">
        <f t="shared" si="59"/>
        <v/>
      </c>
      <c r="C319" s="5"/>
      <c r="D319" s="5"/>
      <c r="E319" s="5"/>
      <c r="F319" s="6"/>
      <c r="G319" s="6"/>
      <c r="H319" s="7"/>
      <c r="I319" s="8"/>
      <c r="W319" s="14" t="str">
        <f>IF(X319="","",IFERROR(INDEX($AL$11:$AL$4010,MATCH(309,$AY$11:$AY$4010,0)),""))</f>
        <v/>
      </c>
      <c r="X319" s="12" t="str">
        <f>IFERROR(INDEX($AM$11:$AM$4010,MATCH(309,$AY$11:$AY$4010,0)),"")</f>
        <v/>
      </c>
      <c r="Y319" s="11" t="str">
        <f>IF(X319="","",IFERROR(INDEX($AN$11:$AN$4010,MATCH(309,$AY$11:$AY$4010,0)),""))</f>
        <v/>
      </c>
      <c r="Z319" s="11" t="str">
        <f>IF(X319="","",IFERROR(INDEX($AO$11:$AO$4010,MATCH(309,$AY$11:$AY$4010,0)),""))</f>
        <v/>
      </c>
      <c r="AA319" s="10" t="str">
        <f>IF(X319="","",IFERROR(INDEX($AQ$11:$AQ$4010,MATCH(309,$AY$11:$AY$4010,0)),""))</f>
        <v/>
      </c>
      <c r="AB319" s="15" t="str">
        <f>IF(X319="","",IFERROR(INDEX($AR$11:$AR$4010,MATCH(309,$AY$11:$AY$4010,0)),""))</f>
        <v/>
      </c>
      <c r="AD319" s="16" t="str">
        <f>IF(AE319="","",IFERROR(INDEX($AL$11:$AL$4010,MATCH(309,$AZ$11:$AZ$4010,0)),""))</f>
        <v/>
      </c>
      <c r="AE319" s="12" t="str">
        <f>IFERROR(INDEX($AM$11:$AM$4010,MATCH(309,$AZ$11:$AZ$4010,0)),"")</f>
        <v/>
      </c>
      <c r="AF319" s="11" t="str">
        <f>IF(AE319="","",IFERROR(INDEX($AN$11:$AN$4010,MATCH(309,$AZ$11:$AZ$4010,0)),""))</f>
        <v/>
      </c>
      <c r="AG319" s="11" t="str">
        <f>IF(AE319="","",IFERROR(INDEX($AO$11:$AO$4010,MATCH(309,$AZ$11:$AZ$4010,0)),""))</f>
        <v/>
      </c>
      <c r="AH319" s="10" t="str">
        <f>IF(AE319="","",IFERROR(INDEX($AQ$11:$AQ$4010,MATCH(309,$AZ$11:$AZ$4010,0)),""))</f>
        <v/>
      </c>
      <c r="AI319" s="15" t="str">
        <f>IF(AE319="","",IFERROR(INDEX($AR$11:$AR$4010,MATCH(309,$AZ$11:$AZ$4010,0)),""))</f>
        <v/>
      </c>
      <c r="AJ319" s="15" t="str">
        <f>IF(AE319="","",IFERROR(INDEX($AT$11:$AT$4010,MATCH(309,$AZ$11:$AZ$4010,0)),""))</f>
        <v/>
      </c>
      <c r="AL319" s="17" t="str">
        <f t="shared" si="63"/>
        <v/>
      </c>
      <c r="AM319" s="12" t="str">
        <f t="shared" si="64"/>
        <v/>
      </c>
      <c r="AN319" s="18" t="str">
        <f t="shared" si="65"/>
        <v/>
      </c>
      <c r="AO319" s="18" t="str">
        <f t="shared" si="66"/>
        <v/>
      </c>
      <c r="AP319" s="10" t="str">
        <f t="shared" si="67"/>
        <v/>
      </c>
      <c r="AQ319" s="10" t="str">
        <f t="shared" si="68"/>
        <v/>
      </c>
      <c r="AR319" s="19" t="str">
        <f t="shared" si="69"/>
        <v/>
      </c>
      <c r="AS319" s="20"/>
      <c r="AT319" s="19"/>
      <c r="AV319" s="21">
        <f>IF(AND($AL319&lt;&gt;"",COUNTIF($AL$11:$AL319,$AL319)=1),1,0)</f>
        <v>0</v>
      </c>
      <c r="AW319" s="21">
        <f t="shared" si="71"/>
        <v>0</v>
      </c>
      <c r="AX319" s="21" t="str">
        <f t="shared" si="70"/>
        <v/>
      </c>
      <c r="AY319" s="21" t="str">
        <f>IF(AND($AM319&lt;&gt;"",$AS319&lt;&gt;"✓"),SUMPRODUCT(($AM$11:$AM319&lt;&gt;"")*($AS$11:$AS319&lt;&gt;"✓")),"")</f>
        <v/>
      </c>
      <c r="AZ319" s="21" t="str">
        <f>IF(AND($AM319&lt;&gt;"",$AS319="✓"),SUMPRODUCT(($AM$11:$AM319&lt;&gt;"")*($AS$11:$AS319="✓")),"")</f>
        <v/>
      </c>
      <c r="BA319" s="21" t="str">
        <f>IF($AL319="","",$AL319&amp;"|"&amp;COUNTIF($AL$11:$AL319,$AL319))</f>
        <v/>
      </c>
    </row>
    <row r="320" spans="2:53" ht="15" customHeight="1" x14ac:dyDescent="0.25">
      <c r="B320" s="5" t="str">
        <f t="shared" si="59"/>
        <v/>
      </c>
      <c r="C320" s="5"/>
      <c r="D320" s="5"/>
      <c r="E320" s="5"/>
      <c r="F320" s="6"/>
      <c r="G320" s="6"/>
      <c r="H320" s="7"/>
      <c r="I320" s="8"/>
      <c r="W320" s="28" t="str">
        <f>IF(X320="","",IFERROR(INDEX($AL$11:$AL$4010,MATCH(310,$AY$11:$AY$4010,0)),""))</f>
        <v/>
      </c>
      <c r="X320" s="26" t="str">
        <f>IFERROR(INDEX($AM$11:$AM$4010,MATCH(310,$AY$11:$AY$4010,0)),"")</f>
        <v/>
      </c>
      <c r="Y320" s="25" t="str">
        <f>IF(X320="","",IFERROR(INDEX($AN$11:$AN$4010,MATCH(310,$AY$11:$AY$4010,0)),""))</f>
        <v/>
      </c>
      <c r="Z320" s="25" t="str">
        <f>IF(X320="","",IFERROR(INDEX($AO$11:$AO$4010,MATCH(310,$AY$11:$AY$4010,0)),""))</f>
        <v/>
      </c>
      <c r="AA320" s="24" t="str">
        <f>IF(X320="","",IFERROR(INDEX($AQ$11:$AQ$4010,MATCH(310,$AY$11:$AY$4010,0)),""))</f>
        <v/>
      </c>
      <c r="AB320" s="29" t="str">
        <f>IF(X320="","",IFERROR(INDEX($AR$11:$AR$4010,MATCH(310,$AY$11:$AY$4010,0)),""))</f>
        <v/>
      </c>
      <c r="AD320" s="30" t="str">
        <f>IF(AE320="","",IFERROR(INDEX($AL$11:$AL$4010,MATCH(310,$AZ$11:$AZ$4010,0)),""))</f>
        <v/>
      </c>
      <c r="AE320" s="26" t="str">
        <f>IFERROR(INDEX($AM$11:$AM$4010,MATCH(310,$AZ$11:$AZ$4010,0)),"")</f>
        <v/>
      </c>
      <c r="AF320" s="25" t="str">
        <f>IF(AE320="","",IFERROR(INDEX($AN$11:$AN$4010,MATCH(310,$AZ$11:$AZ$4010,0)),""))</f>
        <v/>
      </c>
      <c r="AG320" s="25" t="str">
        <f>IF(AE320="","",IFERROR(INDEX($AO$11:$AO$4010,MATCH(310,$AZ$11:$AZ$4010,0)),""))</f>
        <v/>
      </c>
      <c r="AH320" s="24" t="str">
        <f>IF(AE320="","",IFERROR(INDEX($AQ$11:$AQ$4010,MATCH(310,$AZ$11:$AZ$4010,0)),""))</f>
        <v/>
      </c>
      <c r="AI320" s="29" t="str">
        <f>IF(AE320="","",IFERROR(INDEX($AR$11:$AR$4010,MATCH(310,$AZ$11:$AZ$4010,0)),""))</f>
        <v/>
      </c>
      <c r="AJ320" s="29" t="str">
        <f>IF(AE320="","",IFERROR(INDEX($AT$11:$AT$4010,MATCH(310,$AZ$11:$AZ$4010,0)),""))</f>
        <v/>
      </c>
      <c r="AL320" s="31" t="str">
        <f t="shared" si="63"/>
        <v/>
      </c>
      <c r="AM320" s="26" t="str">
        <f t="shared" si="64"/>
        <v/>
      </c>
      <c r="AN320" s="32" t="str">
        <f t="shared" si="65"/>
        <v/>
      </c>
      <c r="AO320" s="32" t="str">
        <f t="shared" si="66"/>
        <v/>
      </c>
      <c r="AP320" s="24" t="str">
        <f t="shared" si="67"/>
        <v/>
      </c>
      <c r="AQ320" s="24" t="str">
        <f t="shared" si="68"/>
        <v/>
      </c>
      <c r="AR320" s="33" t="str">
        <f t="shared" si="69"/>
        <v/>
      </c>
      <c r="AS320" s="34"/>
      <c r="AT320" s="33"/>
      <c r="AV320" s="21">
        <f>IF(AND($AL320&lt;&gt;"",COUNTIF($AL$11:$AL320,$AL320)=1),1,0)</f>
        <v>0</v>
      </c>
      <c r="AW320" s="21">
        <f t="shared" si="71"/>
        <v>0</v>
      </c>
      <c r="AX320" s="21" t="str">
        <f t="shared" si="70"/>
        <v/>
      </c>
      <c r="AY320" s="21" t="str">
        <f>IF(AND($AM320&lt;&gt;"",$AS320&lt;&gt;"✓"),SUMPRODUCT(($AM$11:$AM320&lt;&gt;"")*($AS$11:$AS320&lt;&gt;"✓")),"")</f>
        <v/>
      </c>
      <c r="AZ320" s="21" t="str">
        <f>IF(AND($AM320&lt;&gt;"",$AS320="✓"),SUMPRODUCT(($AM$11:$AM320&lt;&gt;"")*($AS$11:$AS320="✓")),"")</f>
        <v/>
      </c>
      <c r="BA320" s="21" t="str">
        <f>IF($AL320="","",$AL320&amp;"|"&amp;COUNTIF($AL$11:$AL320,$AL320))</f>
        <v/>
      </c>
    </row>
    <row r="321" spans="2:53" ht="15" customHeight="1" x14ac:dyDescent="0.25">
      <c r="B321" s="5" t="str">
        <f t="shared" si="59"/>
        <v/>
      </c>
      <c r="C321" s="5"/>
      <c r="D321" s="5"/>
      <c r="E321" s="5"/>
      <c r="F321" s="6"/>
      <c r="G321" s="6"/>
      <c r="H321" s="7"/>
      <c r="I321" s="8"/>
      <c r="W321" s="14" t="str">
        <f>IF(X321="","",IFERROR(INDEX($AL$11:$AL$4010,MATCH(311,$AY$11:$AY$4010,0)),""))</f>
        <v/>
      </c>
      <c r="X321" s="12" t="str">
        <f>IFERROR(INDEX($AM$11:$AM$4010,MATCH(311,$AY$11:$AY$4010,0)),"")</f>
        <v/>
      </c>
      <c r="Y321" s="11" t="str">
        <f>IF(X321="","",IFERROR(INDEX($AN$11:$AN$4010,MATCH(311,$AY$11:$AY$4010,0)),""))</f>
        <v/>
      </c>
      <c r="Z321" s="11" t="str">
        <f>IF(X321="","",IFERROR(INDEX($AO$11:$AO$4010,MATCH(311,$AY$11:$AY$4010,0)),""))</f>
        <v/>
      </c>
      <c r="AA321" s="10" t="str">
        <f>IF(X321="","",IFERROR(INDEX($AQ$11:$AQ$4010,MATCH(311,$AY$11:$AY$4010,0)),""))</f>
        <v/>
      </c>
      <c r="AB321" s="15" t="str">
        <f>IF(X321="","",IFERROR(INDEX($AR$11:$AR$4010,MATCH(311,$AY$11:$AY$4010,0)),""))</f>
        <v/>
      </c>
      <c r="AD321" s="16" t="str">
        <f>IF(AE321="","",IFERROR(INDEX($AL$11:$AL$4010,MATCH(311,$AZ$11:$AZ$4010,0)),""))</f>
        <v/>
      </c>
      <c r="AE321" s="12" t="str">
        <f>IFERROR(INDEX($AM$11:$AM$4010,MATCH(311,$AZ$11:$AZ$4010,0)),"")</f>
        <v/>
      </c>
      <c r="AF321" s="11" t="str">
        <f>IF(AE321="","",IFERROR(INDEX($AN$11:$AN$4010,MATCH(311,$AZ$11:$AZ$4010,0)),""))</f>
        <v/>
      </c>
      <c r="AG321" s="11" t="str">
        <f>IF(AE321="","",IFERROR(INDEX($AO$11:$AO$4010,MATCH(311,$AZ$11:$AZ$4010,0)),""))</f>
        <v/>
      </c>
      <c r="AH321" s="10" t="str">
        <f>IF(AE321="","",IFERROR(INDEX($AQ$11:$AQ$4010,MATCH(311,$AZ$11:$AZ$4010,0)),""))</f>
        <v/>
      </c>
      <c r="AI321" s="15" t="str">
        <f>IF(AE321="","",IFERROR(INDEX($AR$11:$AR$4010,MATCH(311,$AZ$11:$AZ$4010,0)),""))</f>
        <v/>
      </c>
      <c r="AJ321" s="15" t="str">
        <f>IF(AE321="","",IFERROR(INDEX($AT$11:$AT$4010,MATCH(311,$AZ$11:$AZ$4010,0)),""))</f>
        <v/>
      </c>
      <c r="AL321" s="17" t="str">
        <f t="shared" si="63"/>
        <v/>
      </c>
      <c r="AM321" s="12" t="str">
        <f t="shared" si="64"/>
        <v/>
      </c>
      <c r="AN321" s="18" t="str">
        <f t="shared" si="65"/>
        <v/>
      </c>
      <c r="AO321" s="18" t="str">
        <f t="shared" si="66"/>
        <v/>
      </c>
      <c r="AP321" s="10" t="str">
        <f t="shared" si="67"/>
        <v/>
      </c>
      <c r="AQ321" s="10" t="str">
        <f t="shared" si="68"/>
        <v/>
      </c>
      <c r="AR321" s="19" t="str">
        <f t="shared" si="69"/>
        <v/>
      </c>
      <c r="AS321" s="20"/>
      <c r="AT321" s="19"/>
      <c r="AV321" s="21">
        <f>IF(AND($AL321&lt;&gt;"",COUNTIF($AL$11:$AL321,$AL321)=1),1,0)</f>
        <v>0</v>
      </c>
      <c r="AW321" s="21">
        <f t="shared" si="71"/>
        <v>0</v>
      </c>
      <c r="AX321" s="21" t="str">
        <f t="shared" si="70"/>
        <v/>
      </c>
      <c r="AY321" s="21" t="str">
        <f>IF(AND($AM321&lt;&gt;"",$AS321&lt;&gt;"✓"),SUMPRODUCT(($AM$11:$AM321&lt;&gt;"")*($AS$11:$AS321&lt;&gt;"✓")),"")</f>
        <v/>
      </c>
      <c r="AZ321" s="21" t="str">
        <f>IF(AND($AM321&lt;&gt;"",$AS321="✓"),SUMPRODUCT(($AM$11:$AM321&lt;&gt;"")*($AS$11:$AS321="✓")),"")</f>
        <v/>
      </c>
      <c r="BA321" s="21" t="str">
        <f>IF($AL321="","",$AL321&amp;"|"&amp;COUNTIF($AL$11:$AL321,$AL321))</f>
        <v/>
      </c>
    </row>
    <row r="322" spans="2:53" ht="15" customHeight="1" x14ac:dyDescent="0.25">
      <c r="B322" s="5" t="str">
        <f t="shared" si="59"/>
        <v/>
      </c>
      <c r="C322" s="5"/>
      <c r="D322" s="5"/>
      <c r="E322" s="5"/>
      <c r="F322" s="6"/>
      <c r="G322" s="6"/>
      <c r="H322" s="7"/>
      <c r="I322" s="8"/>
      <c r="W322" s="28" t="str">
        <f>IF(X322="","",IFERROR(INDEX($AL$11:$AL$4010,MATCH(312,$AY$11:$AY$4010,0)),""))</f>
        <v/>
      </c>
      <c r="X322" s="26" t="str">
        <f>IFERROR(INDEX($AM$11:$AM$4010,MATCH(312,$AY$11:$AY$4010,0)),"")</f>
        <v/>
      </c>
      <c r="Y322" s="25" t="str">
        <f>IF(X322="","",IFERROR(INDEX($AN$11:$AN$4010,MATCH(312,$AY$11:$AY$4010,0)),""))</f>
        <v/>
      </c>
      <c r="Z322" s="25" t="str">
        <f>IF(X322="","",IFERROR(INDEX($AO$11:$AO$4010,MATCH(312,$AY$11:$AY$4010,0)),""))</f>
        <v/>
      </c>
      <c r="AA322" s="24" t="str">
        <f>IF(X322="","",IFERROR(INDEX($AQ$11:$AQ$4010,MATCH(312,$AY$11:$AY$4010,0)),""))</f>
        <v/>
      </c>
      <c r="AB322" s="29" t="str">
        <f>IF(X322="","",IFERROR(INDEX($AR$11:$AR$4010,MATCH(312,$AY$11:$AY$4010,0)),""))</f>
        <v/>
      </c>
      <c r="AD322" s="30" t="str">
        <f>IF(AE322="","",IFERROR(INDEX($AL$11:$AL$4010,MATCH(312,$AZ$11:$AZ$4010,0)),""))</f>
        <v/>
      </c>
      <c r="AE322" s="26" t="str">
        <f>IFERROR(INDEX($AM$11:$AM$4010,MATCH(312,$AZ$11:$AZ$4010,0)),"")</f>
        <v/>
      </c>
      <c r="AF322" s="25" t="str">
        <f>IF(AE322="","",IFERROR(INDEX($AN$11:$AN$4010,MATCH(312,$AZ$11:$AZ$4010,0)),""))</f>
        <v/>
      </c>
      <c r="AG322" s="25" t="str">
        <f>IF(AE322="","",IFERROR(INDEX($AO$11:$AO$4010,MATCH(312,$AZ$11:$AZ$4010,0)),""))</f>
        <v/>
      </c>
      <c r="AH322" s="24" t="str">
        <f>IF(AE322="","",IFERROR(INDEX($AQ$11:$AQ$4010,MATCH(312,$AZ$11:$AZ$4010,0)),""))</f>
        <v/>
      </c>
      <c r="AI322" s="29" t="str">
        <f>IF(AE322="","",IFERROR(INDEX($AR$11:$AR$4010,MATCH(312,$AZ$11:$AZ$4010,0)),""))</f>
        <v/>
      </c>
      <c r="AJ322" s="29" t="str">
        <f>IF(AE322="","",IFERROR(INDEX($AT$11:$AT$4010,MATCH(312,$AZ$11:$AZ$4010,0)),""))</f>
        <v/>
      </c>
      <c r="AL322" s="31" t="str">
        <f t="shared" si="63"/>
        <v/>
      </c>
      <c r="AM322" s="26" t="str">
        <f t="shared" si="64"/>
        <v/>
      </c>
      <c r="AN322" s="32" t="str">
        <f t="shared" si="65"/>
        <v/>
      </c>
      <c r="AO322" s="32" t="str">
        <f t="shared" si="66"/>
        <v/>
      </c>
      <c r="AP322" s="24" t="str">
        <f t="shared" si="67"/>
        <v/>
      </c>
      <c r="AQ322" s="24" t="str">
        <f t="shared" si="68"/>
        <v/>
      </c>
      <c r="AR322" s="33" t="str">
        <f t="shared" si="69"/>
        <v/>
      </c>
      <c r="AS322" s="34"/>
      <c r="AT322" s="33"/>
      <c r="AV322" s="21">
        <f>IF(AND($AL322&lt;&gt;"",COUNTIF($AL$11:$AL322,$AL322)=1),1,0)</f>
        <v>0</v>
      </c>
      <c r="AW322" s="21">
        <f t="shared" si="71"/>
        <v>0</v>
      </c>
      <c r="AX322" s="21" t="str">
        <f t="shared" si="70"/>
        <v/>
      </c>
      <c r="AY322" s="21" t="str">
        <f>IF(AND($AM322&lt;&gt;"",$AS322&lt;&gt;"✓"),SUMPRODUCT(($AM$11:$AM322&lt;&gt;"")*($AS$11:$AS322&lt;&gt;"✓")),"")</f>
        <v/>
      </c>
      <c r="AZ322" s="21" t="str">
        <f>IF(AND($AM322&lt;&gt;"",$AS322="✓"),SUMPRODUCT(($AM$11:$AM322&lt;&gt;"")*($AS$11:$AS322="✓")),"")</f>
        <v/>
      </c>
      <c r="BA322" s="21" t="str">
        <f>IF($AL322="","",$AL322&amp;"|"&amp;COUNTIF($AL$11:$AL322,$AL322))</f>
        <v/>
      </c>
    </row>
    <row r="323" spans="2:53" ht="15" customHeight="1" x14ac:dyDescent="0.25">
      <c r="B323" s="5" t="str">
        <f t="shared" si="59"/>
        <v/>
      </c>
      <c r="C323" s="5"/>
      <c r="D323" s="5"/>
      <c r="E323" s="5"/>
      <c r="F323" s="6"/>
      <c r="G323" s="6"/>
      <c r="H323" s="7"/>
      <c r="I323" s="8"/>
      <c r="W323" s="14" t="str">
        <f>IF(X323="","",IFERROR(INDEX($AL$11:$AL$4010,MATCH(313,$AY$11:$AY$4010,0)),""))</f>
        <v/>
      </c>
      <c r="X323" s="12" t="str">
        <f>IFERROR(INDEX($AM$11:$AM$4010,MATCH(313,$AY$11:$AY$4010,0)),"")</f>
        <v/>
      </c>
      <c r="Y323" s="11" t="str">
        <f>IF(X323="","",IFERROR(INDEX($AN$11:$AN$4010,MATCH(313,$AY$11:$AY$4010,0)),""))</f>
        <v/>
      </c>
      <c r="Z323" s="11" t="str">
        <f>IF(X323="","",IFERROR(INDEX($AO$11:$AO$4010,MATCH(313,$AY$11:$AY$4010,0)),""))</f>
        <v/>
      </c>
      <c r="AA323" s="10" t="str">
        <f>IF(X323="","",IFERROR(INDEX($AQ$11:$AQ$4010,MATCH(313,$AY$11:$AY$4010,0)),""))</f>
        <v/>
      </c>
      <c r="AB323" s="15" t="str">
        <f>IF(X323="","",IFERROR(INDEX($AR$11:$AR$4010,MATCH(313,$AY$11:$AY$4010,0)),""))</f>
        <v/>
      </c>
      <c r="AD323" s="16" t="str">
        <f>IF(AE323="","",IFERROR(INDEX($AL$11:$AL$4010,MATCH(313,$AZ$11:$AZ$4010,0)),""))</f>
        <v/>
      </c>
      <c r="AE323" s="12" t="str">
        <f>IFERROR(INDEX($AM$11:$AM$4010,MATCH(313,$AZ$11:$AZ$4010,0)),"")</f>
        <v/>
      </c>
      <c r="AF323" s="11" t="str">
        <f>IF(AE323="","",IFERROR(INDEX($AN$11:$AN$4010,MATCH(313,$AZ$11:$AZ$4010,0)),""))</f>
        <v/>
      </c>
      <c r="AG323" s="11" t="str">
        <f>IF(AE323="","",IFERROR(INDEX($AO$11:$AO$4010,MATCH(313,$AZ$11:$AZ$4010,0)),""))</f>
        <v/>
      </c>
      <c r="AH323" s="10" t="str">
        <f>IF(AE323="","",IFERROR(INDEX($AQ$11:$AQ$4010,MATCH(313,$AZ$11:$AZ$4010,0)),""))</f>
        <v/>
      </c>
      <c r="AI323" s="15" t="str">
        <f>IF(AE323="","",IFERROR(INDEX($AR$11:$AR$4010,MATCH(313,$AZ$11:$AZ$4010,0)),""))</f>
        <v/>
      </c>
      <c r="AJ323" s="15" t="str">
        <f>IF(AE323="","",IFERROR(INDEX($AT$11:$AT$4010,MATCH(313,$AZ$11:$AZ$4010,0)),""))</f>
        <v/>
      </c>
      <c r="AL323" s="17" t="str">
        <f t="shared" si="63"/>
        <v/>
      </c>
      <c r="AM323" s="12" t="str">
        <f t="shared" si="64"/>
        <v/>
      </c>
      <c r="AN323" s="18" t="str">
        <f t="shared" si="65"/>
        <v/>
      </c>
      <c r="AO323" s="18" t="str">
        <f t="shared" si="66"/>
        <v/>
      </c>
      <c r="AP323" s="10" t="str">
        <f t="shared" si="67"/>
        <v/>
      </c>
      <c r="AQ323" s="10" t="str">
        <f t="shared" si="68"/>
        <v/>
      </c>
      <c r="AR323" s="19" t="str">
        <f t="shared" si="69"/>
        <v/>
      </c>
      <c r="AS323" s="20"/>
      <c r="AT323" s="19"/>
      <c r="AV323" s="21">
        <f>IF(AND($AL323&lt;&gt;"",COUNTIF($AL$11:$AL323,$AL323)=1),1,0)</f>
        <v>0</v>
      </c>
      <c r="AW323" s="21">
        <f t="shared" si="71"/>
        <v>0</v>
      </c>
      <c r="AX323" s="21" t="str">
        <f t="shared" si="70"/>
        <v/>
      </c>
      <c r="AY323" s="21" t="str">
        <f>IF(AND($AM323&lt;&gt;"",$AS323&lt;&gt;"✓"),SUMPRODUCT(($AM$11:$AM323&lt;&gt;"")*($AS$11:$AS323&lt;&gt;"✓")),"")</f>
        <v/>
      </c>
      <c r="AZ323" s="21" t="str">
        <f>IF(AND($AM323&lt;&gt;"",$AS323="✓"),SUMPRODUCT(($AM$11:$AM323&lt;&gt;"")*($AS$11:$AS323="✓")),"")</f>
        <v/>
      </c>
      <c r="BA323" s="21" t="str">
        <f>IF($AL323="","",$AL323&amp;"|"&amp;COUNTIF($AL$11:$AL323,$AL323))</f>
        <v/>
      </c>
    </row>
    <row r="324" spans="2:53" ht="15" customHeight="1" x14ac:dyDescent="0.25">
      <c r="B324" s="5" t="str">
        <f t="shared" si="59"/>
        <v/>
      </c>
      <c r="C324" s="5"/>
      <c r="D324" s="5"/>
      <c r="E324" s="5"/>
      <c r="F324" s="6"/>
      <c r="G324" s="6"/>
      <c r="H324" s="7"/>
      <c r="I324" s="8"/>
      <c r="W324" s="28" t="str">
        <f>IF(X324="","",IFERROR(INDEX($AL$11:$AL$4010,MATCH(314,$AY$11:$AY$4010,0)),""))</f>
        <v/>
      </c>
      <c r="X324" s="26" t="str">
        <f>IFERROR(INDEX($AM$11:$AM$4010,MATCH(314,$AY$11:$AY$4010,0)),"")</f>
        <v/>
      </c>
      <c r="Y324" s="25" t="str">
        <f>IF(X324="","",IFERROR(INDEX($AN$11:$AN$4010,MATCH(314,$AY$11:$AY$4010,0)),""))</f>
        <v/>
      </c>
      <c r="Z324" s="25" t="str">
        <f>IF(X324="","",IFERROR(INDEX($AO$11:$AO$4010,MATCH(314,$AY$11:$AY$4010,0)),""))</f>
        <v/>
      </c>
      <c r="AA324" s="24" t="str">
        <f>IF(X324="","",IFERROR(INDEX($AQ$11:$AQ$4010,MATCH(314,$AY$11:$AY$4010,0)),""))</f>
        <v/>
      </c>
      <c r="AB324" s="29" t="str">
        <f>IF(X324="","",IFERROR(INDEX($AR$11:$AR$4010,MATCH(314,$AY$11:$AY$4010,0)),""))</f>
        <v/>
      </c>
      <c r="AD324" s="30" t="str">
        <f>IF(AE324="","",IFERROR(INDEX($AL$11:$AL$4010,MATCH(314,$AZ$11:$AZ$4010,0)),""))</f>
        <v/>
      </c>
      <c r="AE324" s="26" t="str">
        <f>IFERROR(INDEX($AM$11:$AM$4010,MATCH(314,$AZ$11:$AZ$4010,0)),"")</f>
        <v/>
      </c>
      <c r="AF324" s="25" t="str">
        <f>IF(AE324="","",IFERROR(INDEX($AN$11:$AN$4010,MATCH(314,$AZ$11:$AZ$4010,0)),""))</f>
        <v/>
      </c>
      <c r="AG324" s="25" t="str">
        <f>IF(AE324="","",IFERROR(INDEX($AO$11:$AO$4010,MATCH(314,$AZ$11:$AZ$4010,0)),""))</f>
        <v/>
      </c>
      <c r="AH324" s="24" t="str">
        <f>IF(AE324="","",IFERROR(INDEX($AQ$11:$AQ$4010,MATCH(314,$AZ$11:$AZ$4010,0)),""))</f>
        <v/>
      </c>
      <c r="AI324" s="29" t="str">
        <f>IF(AE324="","",IFERROR(INDEX($AR$11:$AR$4010,MATCH(314,$AZ$11:$AZ$4010,0)),""))</f>
        <v/>
      </c>
      <c r="AJ324" s="29" t="str">
        <f>IF(AE324="","",IFERROR(INDEX($AT$11:$AT$4010,MATCH(314,$AZ$11:$AZ$4010,0)),""))</f>
        <v/>
      </c>
      <c r="AL324" s="31" t="str">
        <f t="shared" si="63"/>
        <v/>
      </c>
      <c r="AM324" s="26" t="str">
        <f t="shared" si="64"/>
        <v/>
      </c>
      <c r="AN324" s="32" t="str">
        <f t="shared" si="65"/>
        <v/>
      </c>
      <c r="AO324" s="32" t="str">
        <f t="shared" si="66"/>
        <v/>
      </c>
      <c r="AP324" s="24" t="str">
        <f t="shared" si="67"/>
        <v/>
      </c>
      <c r="AQ324" s="24" t="str">
        <f t="shared" si="68"/>
        <v/>
      </c>
      <c r="AR324" s="33" t="str">
        <f t="shared" si="69"/>
        <v/>
      </c>
      <c r="AS324" s="34"/>
      <c r="AT324" s="33"/>
      <c r="AV324" s="21">
        <f>IF(AND($AL324&lt;&gt;"",COUNTIF($AL$11:$AL324,$AL324)=1),1,0)</f>
        <v>0</v>
      </c>
      <c r="AW324" s="21">
        <f t="shared" si="71"/>
        <v>0</v>
      </c>
      <c r="AX324" s="21" t="str">
        <f t="shared" si="70"/>
        <v/>
      </c>
      <c r="AY324" s="21" t="str">
        <f>IF(AND($AM324&lt;&gt;"",$AS324&lt;&gt;"✓"),SUMPRODUCT(($AM$11:$AM324&lt;&gt;"")*($AS$11:$AS324&lt;&gt;"✓")),"")</f>
        <v/>
      </c>
      <c r="AZ324" s="21" t="str">
        <f>IF(AND($AM324&lt;&gt;"",$AS324="✓"),SUMPRODUCT(($AM$11:$AM324&lt;&gt;"")*($AS$11:$AS324="✓")),"")</f>
        <v/>
      </c>
      <c r="BA324" s="21" t="str">
        <f>IF($AL324="","",$AL324&amp;"|"&amp;COUNTIF($AL$11:$AL324,$AL324))</f>
        <v/>
      </c>
    </row>
    <row r="325" spans="2:53" ht="15" customHeight="1" x14ac:dyDescent="0.25">
      <c r="B325" s="5" t="str">
        <f t="shared" si="59"/>
        <v/>
      </c>
      <c r="C325" s="5"/>
      <c r="D325" s="5"/>
      <c r="E325" s="5"/>
      <c r="F325" s="6"/>
      <c r="G325" s="6"/>
      <c r="H325" s="7"/>
      <c r="I325" s="8"/>
      <c r="W325" s="14" t="str">
        <f>IF(X325="","",IFERROR(INDEX($AL$11:$AL$4010,MATCH(315,$AY$11:$AY$4010,0)),""))</f>
        <v/>
      </c>
      <c r="X325" s="12" t="str">
        <f>IFERROR(INDEX($AM$11:$AM$4010,MATCH(315,$AY$11:$AY$4010,0)),"")</f>
        <v/>
      </c>
      <c r="Y325" s="11" t="str">
        <f>IF(X325="","",IFERROR(INDEX($AN$11:$AN$4010,MATCH(315,$AY$11:$AY$4010,0)),""))</f>
        <v/>
      </c>
      <c r="Z325" s="11" t="str">
        <f>IF(X325="","",IFERROR(INDEX($AO$11:$AO$4010,MATCH(315,$AY$11:$AY$4010,0)),""))</f>
        <v/>
      </c>
      <c r="AA325" s="10" t="str">
        <f>IF(X325="","",IFERROR(INDEX($AQ$11:$AQ$4010,MATCH(315,$AY$11:$AY$4010,0)),""))</f>
        <v/>
      </c>
      <c r="AB325" s="15" t="str">
        <f>IF(X325="","",IFERROR(INDEX($AR$11:$AR$4010,MATCH(315,$AY$11:$AY$4010,0)),""))</f>
        <v/>
      </c>
      <c r="AD325" s="16" t="str">
        <f>IF(AE325="","",IFERROR(INDEX($AL$11:$AL$4010,MATCH(315,$AZ$11:$AZ$4010,0)),""))</f>
        <v/>
      </c>
      <c r="AE325" s="12" t="str">
        <f>IFERROR(INDEX($AM$11:$AM$4010,MATCH(315,$AZ$11:$AZ$4010,0)),"")</f>
        <v/>
      </c>
      <c r="AF325" s="11" t="str">
        <f>IF(AE325="","",IFERROR(INDEX($AN$11:$AN$4010,MATCH(315,$AZ$11:$AZ$4010,0)),""))</f>
        <v/>
      </c>
      <c r="AG325" s="11" t="str">
        <f>IF(AE325="","",IFERROR(INDEX($AO$11:$AO$4010,MATCH(315,$AZ$11:$AZ$4010,0)),""))</f>
        <v/>
      </c>
      <c r="AH325" s="10" t="str">
        <f>IF(AE325="","",IFERROR(INDEX($AQ$11:$AQ$4010,MATCH(315,$AZ$11:$AZ$4010,0)),""))</f>
        <v/>
      </c>
      <c r="AI325" s="15" t="str">
        <f>IF(AE325="","",IFERROR(INDEX($AR$11:$AR$4010,MATCH(315,$AZ$11:$AZ$4010,0)),""))</f>
        <v/>
      </c>
      <c r="AJ325" s="15" t="str">
        <f>IF(AE325="","",IFERROR(INDEX($AT$11:$AT$4010,MATCH(315,$AZ$11:$AZ$4010,0)),""))</f>
        <v/>
      </c>
      <c r="AL325" s="17" t="str">
        <f t="shared" si="63"/>
        <v/>
      </c>
      <c r="AM325" s="12" t="str">
        <f t="shared" si="64"/>
        <v/>
      </c>
      <c r="AN325" s="18" t="str">
        <f t="shared" si="65"/>
        <v/>
      </c>
      <c r="AO325" s="18" t="str">
        <f t="shared" si="66"/>
        <v/>
      </c>
      <c r="AP325" s="10" t="str">
        <f t="shared" si="67"/>
        <v/>
      </c>
      <c r="AQ325" s="10" t="str">
        <f t="shared" si="68"/>
        <v/>
      </c>
      <c r="AR325" s="19" t="str">
        <f t="shared" si="69"/>
        <v/>
      </c>
      <c r="AS325" s="20"/>
      <c r="AT325" s="19"/>
      <c r="AV325" s="21">
        <f>IF(AND($AL325&lt;&gt;"",COUNTIF($AL$11:$AL325,$AL325)=1),1,0)</f>
        <v>0</v>
      </c>
      <c r="AW325" s="21">
        <f t="shared" si="71"/>
        <v>0</v>
      </c>
      <c r="AX325" s="21" t="str">
        <f t="shared" si="70"/>
        <v/>
      </c>
      <c r="AY325" s="21" t="str">
        <f>IF(AND($AM325&lt;&gt;"",$AS325&lt;&gt;"✓"),SUMPRODUCT(($AM$11:$AM325&lt;&gt;"")*($AS$11:$AS325&lt;&gt;"✓")),"")</f>
        <v/>
      </c>
      <c r="AZ325" s="21" t="str">
        <f>IF(AND($AM325&lt;&gt;"",$AS325="✓"),SUMPRODUCT(($AM$11:$AM325&lt;&gt;"")*($AS$11:$AS325="✓")),"")</f>
        <v/>
      </c>
      <c r="BA325" s="21" t="str">
        <f>IF($AL325="","",$AL325&amp;"|"&amp;COUNTIF($AL$11:$AL325,$AL325))</f>
        <v/>
      </c>
    </row>
    <row r="326" spans="2:53" ht="15" customHeight="1" x14ac:dyDescent="0.25">
      <c r="B326" s="5" t="str">
        <f t="shared" si="59"/>
        <v/>
      </c>
      <c r="C326" s="5"/>
      <c r="D326" s="5"/>
      <c r="E326" s="5"/>
      <c r="F326" s="6"/>
      <c r="G326" s="6"/>
      <c r="H326" s="7"/>
      <c r="I326" s="8"/>
      <c r="W326" s="28" t="str">
        <f>IF(X326="","",IFERROR(INDEX($AL$11:$AL$4010,MATCH(316,$AY$11:$AY$4010,0)),""))</f>
        <v/>
      </c>
      <c r="X326" s="26" t="str">
        <f>IFERROR(INDEX($AM$11:$AM$4010,MATCH(316,$AY$11:$AY$4010,0)),"")</f>
        <v/>
      </c>
      <c r="Y326" s="25" t="str">
        <f>IF(X326="","",IFERROR(INDEX($AN$11:$AN$4010,MATCH(316,$AY$11:$AY$4010,0)),""))</f>
        <v/>
      </c>
      <c r="Z326" s="25" t="str">
        <f>IF(X326="","",IFERROR(INDEX($AO$11:$AO$4010,MATCH(316,$AY$11:$AY$4010,0)),""))</f>
        <v/>
      </c>
      <c r="AA326" s="24" t="str">
        <f>IF(X326="","",IFERROR(INDEX($AQ$11:$AQ$4010,MATCH(316,$AY$11:$AY$4010,0)),""))</f>
        <v/>
      </c>
      <c r="AB326" s="29" t="str">
        <f>IF(X326="","",IFERROR(INDEX($AR$11:$AR$4010,MATCH(316,$AY$11:$AY$4010,0)),""))</f>
        <v/>
      </c>
      <c r="AD326" s="30" t="str">
        <f>IF(AE326="","",IFERROR(INDEX($AL$11:$AL$4010,MATCH(316,$AZ$11:$AZ$4010,0)),""))</f>
        <v/>
      </c>
      <c r="AE326" s="26" t="str">
        <f>IFERROR(INDEX($AM$11:$AM$4010,MATCH(316,$AZ$11:$AZ$4010,0)),"")</f>
        <v/>
      </c>
      <c r="AF326" s="25" t="str">
        <f>IF(AE326="","",IFERROR(INDEX($AN$11:$AN$4010,MATCH(316,$AZ$11:$AZ$4010,0)),""))</f>
        <v/>
      </c>
      <c r="AG326" s="25" t="str">
        <f>IF(AE326="","",IFERROR(INDEX($AO$11:$AO$4010,MATCH(316,$AZ$11:$AZ$4010,0)),""))</f>
        <v/>
      </c>
      <c r="AH326" s="24" t="str">
        <f>IF(AE326="","",IFERROR(INDEX($AQ$11:$AQ$4010,MATCH(316,$AZ$11:$AZ$4010,0)),""))</f>
        <v/>
      </c>
      <c r="AI326" s="29" t="str">
        <f>IF(AE326="","",IFERROR(INDEX($AR$11:$AR$4010,MATCH(316,$AZ$11:$AZ$4010,0)),""))</f>
        <v/>
      </c>
      <c r="AJ326" s="29" t="str">
        <f>IF(AE326="","",IFERROR(INDEX($AT$11:$AT$4010,MATCH(316,$AZ$11:$AZ$4010,0)),""))</f>
        <v/>
      </c>
      <c r="AL326" s="31" t="str">
        <f t="shared" si="63"/>
        <v/>
      </c>
      <c r="AM326" s="26" t="str">
        <f t="shared" si="64"/>
        <v/>
      </c>
      <c r="AN326" s="32" t="str">
        <f t="shared" si="65"/>
        <v/>
      </c>
      <c r="AO326" s="32" t="str">
        <f t="shared" si="66"/>
        <v/>
      </c>
      <c r="AP326" s="24" t="str">
        <f t="shared" si="67"/>
        <v/>
      </c>
      <c r="AQ326" s="24" t="str">
        <f t="shared" si="68"/>
        <v/>
      </c>
      <c r="AR326" s="33" t="str">
        <f t="shared" si="69"/>
        <v/>
      </c>
      <c r="AS326" s="34"/>
      <c r="AT326" s="33"/>
      <c r="AV326" s="21">
        <f>IF(AND($AL326&lt;&gt;"",COUNTIF($AL$11:$AL326,$AL326)=1),1,0)</f>
        <v>0</v>
      </c>
      <c r="AW326" s="21">
        <f t="shared" si="71"/>
        <v>0</v>
      </c>
      <c r="AX326" s="21" t="str">
        <f t="shared" si="70"/>
        <v/>
      </c>
      <c r="AY326" s="21" t="str">
        <f>IF(AND($AM326&lt;&gt;"",$AS326&lt;&gt;"✓"),SUMPRODUCT(($AM$11:$AM326&lt;&gt;"")*($AS$11:$AS326&lt;&gt;"✓")),"")</f>
        <v/>
      </c>
      <c r="AZ326" s="21" t="str">
        <f>IF(AND($AM326&lt;&gt;"",$AS326="✓"),SUMPRODUCT(($AM$11:$AM326&lt;&gt;"")*($AS$11:$AS326="✓")),"")</f>
        <v/>
      </c>
      <c r="BA326" s="21" t="str">
        <f>IF($AL326="","",$AL326&amp;"|"&amp;COUNTIF($AL$11:$AL326,$AL326))</f>
        <v/>
      </c>
    </row>
    <row r="327" spans="2:53" ht="15" customHeight="1" x14ac:dyDescent="0.25">
      <c r="B327" s="5" t="str">
        <f t="shared" si="59"/>
        <v/>
      </c>
      <c r="C327" s="5"/>
      <c r="D327" s="5"/>
      <c r="E327" s="5"/>
      <c r="F327" s="6"/>
      <c r="G327" s="6"/>
      <c r="H327" s="7"/>
      <c r="I327" s="8"/>
      <c r="W327" s="14" t="str">
        <f>IF(X327="","",IFERROR(INDEX($AL$11:$AL$4010,MATCH(317,$AY$11:$AY$4010,0)),""))</f>
        <v/>
      </c>
      <c r="X327" s="12" t="str">
        <f>IFERROR(INDEX($AM$11:$AM$4010,MATCH(317,$AY$11:$AY$4010,0)),"")</f>
        <v/>
      </c>
      <c r="Y327" s="11" t="str">
        <f>IF(X327="","",IFERROR(INDEX($AN$11:$AN$4010,MATCH(317,$AY$11:$AY$4010,0)),""))</f>
        <v/>
      </c>
      <c r="Z327" s="11" t="str">
        <f>IF(X327="","",IFERROR(INDEX($AO$11:$AO$4010,MATCH(317,$AY$11:$AY$4010,0)),""))</f>
        <v/>
      </c>
      <c r="AA327" s="10" t="str">
        <f>IF(X327="","",IFERROR(INDEX($AQ$11:$AQ$4010,MATCH(317,$AY$11:$AY$4010,0)),""))</f>
        <v/>
      </c>
      <c r="AB327" s="15" t="str">
        <f>IF(X327="","",IFERROR(INDEX($AR$11:$AR$4010,MATCH(317,$AY$11:$AY$4010,0)),""))</f>
        <v/>
      </c>
      <c r="AD327" s="16" t="str">
        <f>IF(AE327="","",IFERROR(INDEX($AL$11:$AL$4010,MATCH(317,$AZ$11:$AZ$4010,0)),""))</f>
        <v/>
      </c>
      <c r="AE327" s="12" t="str">
        <f>IFERROR(INDEX($AM$11:$AM$4010,MATCH(317,$AZ$11:$AZ$4010,0)),"")</f>
        <v/>
      </c>
      <c r="AF327" s="11" t="str">
        <f>IF(AE327="","",IFERROR(INDEX($AN$11:$AN$4010,MATCH(317,$AZ$11:$AZ$4010,0)),""))</f>
        <v/>
      </c>
      <c r="AG327" s="11" t="str">
        <f>IF(AE327="","",IFERROR(INDEX($AO$11:$AO$4010,MATCH(317,$AZ$11:$AZ$4010,0)),""))</f>
        <v/>
      </c>
      <c r="AH327" s="10" t="str">
        <f>IF(AE327="","",IFERROR(INDEX($AQ$11:$AQ$4010,MATCH(317,$AZ$11:$AZ$4010,0)),""))</f>
        <v/>
      </c>
      <c r="AI327" s="15" t="str">
        <f>IF(AE327="","",IFERROR(INDEX($AR$11:$AR$4010,MATCH(317,$AZ$11:$AZ$4010,0)),""))</f>
        <v/>
      </c>
      <c r="AJ327" s="15" t="str">
        <f>IF(AE327="","",IFERROR(INDEX($AT$11:$AT$4010,MATCH(317,$AZ$11:$AZ$4010,0)),""))</f>
        <v/>
      </c>
      <c r="AL327" s="17" t="str">
        <f t="shared" si="63"/>
        <v/>
      </c>
      <c r="AM327" s="12" t="str">
        <f t="shared" si="64"/>
        <v/>
      </c>
      <c r="AN327" s="18" t="str">
        <f t="shared" si="65"/>
        <v/>
      </c>
      <c r="AO327" s="18" t="str">
        <f t="shared" si="66"/>
        <v/>
      </c>
      <c r="AP327" s="10" t="str">
        <f t="shared" si="67"/>
        <v/>
      </c>
      <c r="AQ327" s="10" t="str">
        <f t="shared" si="68"/>
        <v/>
      </c>
      <c r="AR327" s="19" t="str">
        <f t="shared" si="69"/>
        <v/>
      </c>
      <c r="AS327" s="20"/>
      <c r="AT327" s="19"/>
      <c r="AV327" s="21">
        <f>IF(AND($AL327&lt;&gt;"",COUNTIF($AL$11:$AL327,$AL327)=1),1,0)</f>
        <v>0</v>
      </c>
      <c r="AW327" s="21">
        <f t="shared" si="71"/>
        <v>0</v>
      </c>
      <c r="AX327" s="21" t="str">
        <f t="shared" si="70"/>
        <v/>
      </c>
      <c r="AY327" s="21" t="str">
        <f>IF(AND($AM327&lt;&gt;"",$AS327&lt;&gt;"✓"),SUMPRODUCT(($AM$11:$AM327&lt;&gt;"")*($AS$11:$AS327&lt;&gt;"✓")),"")</f>
        <v/>
      </c>
      <c r="AZ327" s="21" t="str">
        <f>IF(AND($AM327&lt;&gt;"",$AS327="✓"),SUMPRODUCT(($AM$11:$AM327&lt;&gt;"")*($AS$11:$AS327="✓")),"")</f>
        <v/>
      </c>
      <c r="BA327" s="21" t="str">
        <f>IF($AL327="","",$AL327&amp;"|"&amp;COUNTIF($AL$11:$AL327,$AL327))</f>
        <v/>
      </c>
    </row>
    <row r="328" spans="2:53" ht="15" customHeight="1" x14ac:dyDescent="0.25">
      <c r="B328" s="5" t="str">
        <f t="shared" si="59"/>
        <v/>
      </c>
      <c r="C328" s="5"/>
      <c r="D328" s="5"/>
      <c r="E328" s="5"/>
      <c r="F328" s="6"/>
      <c r="G328" s="6"/>
      <c r="H328" s="7"/>
      <c r="I328" s="8"/>
      <c r="W328" s="28" t="str">
        <f>IF(X328="","",IFERROR(INDEX($AL$11:$AL$4010,MATCH(318,$AY$11:$AY$4010,0)),""))</f>
        <v/>
      </c>
      <c r="X328" s="26" t="str">
        <f>IFERROR(INDEX($AM$11:$AM$4010,MATCH(318,$AY$11:$AY$4010,0)),"")</f>
        <v/>
      </c>
      <c r="Y328" s="25" t="str">
        <f>IF(X328="","",IFERROR(INDEX($AN$11:$AN$4010,MATCH(318,$AY$11:$AY$4010,0)),""))</f>
        <v/>
      </c>
      <c r="Z328" s="25" t="str">
        <f>IF(X328="","",IFERROR(INDEX($AO$11:$AO$4010,MATCH(318,$AY$11:$AY$4010,0)),""))</f>
        <v/>
      </c>
      <c r="AA328" s="24" t="str">
        <f>IF(X328="","",IFERROR(INDEX($AQ$11:$AQ$4010,MATCH(318,$AY$11:$AY$4010,0)),""))</f>
        <v/>
      </c>
      <c r="AB328" s="29" t="str">
        <f>IF(X328="","",IFERROR(INDEX($AR$11:$AR$4010,MATCH(318,$AY$11:$AY$4010,0)),""))</f>
        <v/>
      </c>
      <c r="AD328" s="30" t="str">
        <f>IF(AE328="","",IFERROR(INDEX($AL$11:$AL$4010,MATCH(318,$AZ$11:$AZ$4010,0)),""))</f>
        <v/>
      </c>
      <c r="AE328" s="26" t="str">
        <f>IFERROR(INDEX($AM$11:$AM$4010,MATCH(318,$AZ$11:$AZ$4010,0)),"")</f>
        <v/>
      </c>
      <c r="AF328" s="25" t="str">
        <f>IF(AE328="","",IFERROR(INDEX($AN$11:$AN$4010,MATCH(318,$AZ$11:$AZ$4010,0)),""))</f>
        <v/>
      </c>
      <c r="AG328" s="25" t="str">
        <f>IF(AE328="","",IFERROR(INDEX($AO$11:$AO$4010,MATCH(318,$AZ$11:$AZ$4010,0)),""))</f>
        <v/>
      </c>
      <c r="AH328" s="24" t="str">
        <f>IF(AE328="","",IFERROR(INDEX($AQ$11:$AQ$4010,MATCH(318,$AZ$11:$AZ$4010,0)),""))</f>
        <v/>
      </c>
      <c r="AI328" s="29" t="str">
        <f>IF(AE328="","",IFERROR(INDEX($AR$11:$AR$4010,MATCH(318,$AZ$11:$AZ$4010,0)),""))</f>
        <v/>
      </c>
      <c r="AJ328" s="29" t="str">
        <f>IF(AE328="","",IFERROR(INDEX($AT$11:$AT$4010,MATCH(318,$AZ$11:$AZ$4010,0)),""))</f>
        <v/>
      </c>
      <c r="AL328" s="31" t="str">
        <f t="shared" si="63"/>
        <v/>
      </c>
      <c r="AM328" s="26" t="str">
        <f t="shared" si="64"/>
        <v/>
      </c>
      <c r="AN328" s="32" t="str">
        <f t="shared" si="65"/>
        <v/>
      </c>
      <c r="AO328" s="32" t="str">
        <f t="shared" si="66"/>
        <v/>
      </c>
      <c r="AP328" s="24" t="str">
        <f t="shared" si="67"/>
        <v/>
      </c>
      <c r="AQ328" s="24" t="str">
        <f t="shared" si="68"/>
        <v/>
      </c>
      <c r="AR328" s="33" t="str">
        <f t="shared" si="69"/>
        <v/>
      </c>
      <c r="AS328" s="34"/>
      <c r="AT328" s="33"/>
      <c r="AV328" s="21">
        <f>IF(AND($AL328&lt;&gt;"",COUNTIF($AL$11:$AL328,$AL328)=1),1,0)</f>
        <v>0</v>
      </c>
      <c r="AW328" s="21">
        <f t="shared" si="71"/>
        <v>0</v>
      </c>
      <c r="AX328" s="21" t="str">
        <f t="shared" si="70"/>
        <v/>
      </c>
      <c r="AY328" s="21" t="str">
        <f>IF(AND($AM328&lt;&gt;"",$AS328&lt;&gt;"✓"),SUMPRODUCT(($AM$11:$AM328&lt;&gt;"")*($AS$11:$AS328&lt;&gt;"✓")),"")</f>
        <v/>
      </c>
      <c r="AZ328" s="21" t="str">
        <f>IF(AND($AM328&lt;&gt;"",$AS328="✓"),SUMPRODUCT(($AM$11:$AM328&lt;&gt;"")*($AS$11:$AS328="✓")),"")</f>
        <v/>
      </c>
      <c r="BA328" s="21" t="str">
        <f>IF($AL328="","",$AL328&amp;"|"&amp;COUNTIF($AL$11:$AL328,$AL328))</f>
        <v/>
      </c>
    </row>
    <row r="329" spans="2:53" ht="15" customHeight="1" x14ac:dyDescent="0.25">
      <c r="B329" s="5" t="str">
        <f t="shared" si="59"/>
        <v/>
      </c>
      <c r="C329" s="5"/>
      <c r="D329" s="5"/>
      <c r="E329" s="5"/>
      <c r="F329" s="6"/>
      <c r="G329" s="6"/>
      <c r="H329" s="7"/>
      <c r="I329" s="8"/>
      <c r="W329" s="14" t="str">
        <f>IF(X329="","",IFERROR(INDEX($AL$11:$AL$4010,MATCH(319,$AY$11:$AY$4010,0)),""))</f>
        <v/>
      </c>
      <c r="X329" s="12" t="str">
        <f>IFERROR(INDEX($AM$11:$AM$4010,MATCH(319,$AY$11:$AY$4010,0)),"")</f>
        <v/>
      </c>
      <c r="Y329" s="11" t="str">
        <f>IF(X329="","",IFERROR(INDEX($AN$11:$AN$4010,MATCH(319,$AY$11:$AY$4010,0)),""))</f>
        <v/>
      </c>
      <c r="Z329" s="11" t="str">
        <f>IF(X329="","",IFERROR(INDEX($AO$11:$AO$4010,MATCH(319,$AY$11:$AY$4010,0)),""))</f>
        <v/>
      </c>
      <c r="AA329" s="10" t="str">
        <f>IF(X329="","",IFERROR(INDEX($AQ$11:$AQ$4010,MATCH(319,$AY$11:$AY$4010,0)),""))</f>
        <v/>
      </c>
      <c r="AB329" s="15" t="str">
        <f>IF(X329="","",IFERROR(INDEX($AR$11:$AR$4010,MATCH(319,$AY$11:$AY$4010,0)),""))</f>
        <v/>
      </c>
      <c r="AD329" s="16" t="str">
        <f>IF(AE329="","",IFERROR(INDEX($AL$11:$AL$4010,MATCH(319,$AZ$11:$AZ$4010,0)),""))</f>
        <v/>
      </c>
      <c r="AE329" s="12" t="str">
        <f>IFERROR(INDEX($AM$11:$AM$4010,MATCH(319,$AZ$11:$AZ$4010,0)),"")</f>
        <v/>
      </c>
      <c r="AF329" s="11" t="str">
        <f>IF(AE329="","",IFERROR(INDEX($AN$11:$AN$4010,MATCH(319,$AZ$11:$AZ$4010,0)),""))</f>
        <v/>
      </c>
      <c r="AG329" s="11" t="str">
        <f>IF(AE329="","",IFERROR(INDEX($AO$11:$AO$4010,MATCH(319,$AZ$11:$AZ$4010,0)),""))</f>
        <v/>
      </c>
      <c r="AH329" s="10" t="str">
        <f>IF(AE329="","",IFERROR(INDEX($AQ$11:$AQ$4010,MATCH(319,$AZ$11:$AZ$4010,0)),""))</f>
        <v/>
      </c>
      <c r="AI329" s="15" t="str">
        <f>IF(AE329="","",IFERROR(INDEX($AR$11:$AR$4010,MATCH(319,$AZ$11:$AZ$4010,0)),""))</f>
        <v/>
      </c>
      <c r="AJ329" s="15" t="str">
        <f>IF(AE329="","",IFERROR(INDEX($AT$11:$AT$4010,MATCH(319,$AZ$11:$AZ$4010,0)),""))</f>
        <v/>
      </c>
      <c r="AL329" s="17" t="str">
        <f t="shared" si="63"/>
        <v/>
      </c>
      <c r="AM329" s="12" t="str">
        <f t="shared" si="64"/>
        <v/>
      </c>
      <c r="AN329" s="18" t="str">
        <f t="shared" si="65"/>
        <v/>
      </c>
      <c r="AO329" s="18" t="str">
        <f t="shared" si="66"/>
        <v/>
      </c>
      <c r="AP329" s="10" t="str">
        <f t="shared" si="67"/>
        <v/>
      </c>
      <c r="AQ329" s="10" t="str">
        <f t="shared" si="68"/>
        <v/>
      </c>
      <c r="AR329" s="19" t="str">
        <f t="shared" si="69"/>
        <v/>
      </c>
      <c r="AS329" s="20"/>
      <c r="AT329" s="19"/>
      <c r="AV329" s="21">
        <f>IF(AND($AL329&lt;&gt;"",COUNTIF($AL$11:$AL329,$AL329)=1),1,0)</f>
        <v>0</v>
      </c>
      <c r="AW329" s="21">
        <f t="shared" si="71"/>
        <v>0</v>
      </c>
      <c r="AX329" s="21" t="str">
        <f t="shared" si="70"/>
        <v/>
      </c>
      <c r="AY329" s="21" t="str">
        <f>IF(AND($AM329&lt;&gt;"",$AS329&lt;&gt;"✓"),SUMPRODUCT(($AM$11:$AM329&lt;&gt;"")*($AS$11:$AS329&lt;&gt;"✓")),"")</f>
        <v/>
      </c>
      <c r="AZ329" s="21" t="str">
        <f>IF(AND($AM329&lt;&gt;"",$AS329="✓"),SUMPRODUCT(($AM$11:$AM329&lt;&gt;"")*($AS$11:$AS329="✓")),"")</f>
        <v/>
      </c>
      <c r="BA329" s="21" t="str">
        <f>IF($AL329="","",$AL329&amp;"|"&amp;COUNTIF($AL$11:$AL329,$AL329))</f>
        <v/>
      </c>
    </row>
    <row r="330" spans="2:53" ht="15" customHeight="1" x14ac:dyDescent="0.25">
      <c r="B330" s="5" t="str">
        <f t="shared" si="59"/>
        <v/>
      </c>
      <c r="C330" s="5"/>
      <c r="D330" s="5"/>
      <c r="E330" s="5"/>
      <c r="F330" s="6"/>
      <c r="G330" s="6"/>
      <c r="H330" s="7"/>
      <c r="I330" s="8"/>
      <c r="W330" s="28" t="str">
        <f>IF(X330="","",IFERROR(INDEX($AL$11:$AL$4010,MATCH(320,$AY$11:$AY$4010,0)),""))</f>
        <v/>
      </c>
      <c r="X330" s="26" t="str">
        <f>IFERROR(INDEX($AM$11:$AM$4010,MATCH(320,$AY$11:$AY$4010,0)),"")</f>
        <v/>
      </c>
      <c r="Y330" s="25" t="str">
        <f>IF(X330="","",IFERROR(INDEX($AN$11:$AN$4010,MATCH(320,$AY$11:$AY$4010,0)),""))</f>
        <v/>
      </c>
      <c r="Z330" s="25" t="str">
        <f>IF(X330="","",IFERROR(INDEX($AO$11:$AO$4010,MATCH(320,$AY$11:$AY$4010,0)),""))</f>
        <v/>
      </c>
      <c r="AA330" s="24" t="str">
        <f>IF(X330="","",IFERROR(INDEX($AQ$11:$AQ$4010,MATCH(320,$AY$11:$AY$4010,0)),""))</f>
        <v/>
      </c>
      <c r="AB330" s="29" t="str">
        <f>IF(X330="","",IFERROR(INDEX($AR$11:$AR$4010,MATCH(320,$AY$11:$AY$4010,0)),""))</f>
        <v/>
      </c>
      <c r="AD330" s="30" t="str">
        <f>IF(AE330="","",IFERROR(INDEX($AL$11:$AL$4010,MATCH(320,$AZ$11:$AZ$4010,0)),""))</f>
        <v/>
      </c>
      <c r="AE330" s="26" t="str">
        <f>IFERROR(INDEX($AM$11:$AM$4010,MATCH(320,$AZ$11:$AZ$4010,0)),"")</f>
        <v/>
      </c>
      <c r="AF330" s="25" t="str">
        <f>IF(AE330="","",IFERROR(INDEX($AN$11:$AN$4010,MATCH(320,$AZ$11:$AZ$4010,0)),""))</f>
        <v/>
      </c>
      <c r="AG330" s="25" t="str">
        <f>IF(AE330="","",IFERROR(INDEX($AO$11:$AO$4010,MATCH(320,$AZ$11:$AZ$4010,0)),""))</f>
        <v/>
      </c>
      <c r="AH330" s="24" t="str">
        <f>IF(AE330="","",IFERROR(INDEX($AQ$11:$AQ$4010,MATCH(320,$AZ$11:$AZ$4010,0)),""))</f>
        <v/>
      </c>
      <c r="AI330" s="29" t="str">
        <f>IF(AE330="","",IFERROR(INDEX($AR$11:$AR$4010,MATCH(320,$AZ$11:$AZ$4010,0)),""))</f>
        <v/>
      </c>
      <c r="AJ330" s="29" t="str">
        <f>IF(AE330="","",IFERROR(INDEX($AT$11:$AT$4010,MATCH(320,$AZ$11:$AZ$4010,0)),""))</f>
        <v/>
      </c>
      <c r="AL330" s="31" t="str">
        <f t="shared" si="63"/>
        <v/>
      </c>
      <c r="AM330" s="26" t="str">
        <f t="shared" si="64"/>
        <v/>
      </c>
      <c r="AN330" s="32" t="str">
        <f t="shared" si="65"/>
        <v/>
      </c>
      <c r="AO330" s="32" t="str">
        <f t="shared" si="66"/>
        <v/>
      </c>
      <c r="AP330" s="24" t="str">
        <f t="shared" si="67"/>
        <v/>
      </c>
      <c r="AQ330" s="24" t="str">
        <f t="shared" si="68"/>
        <v/>
      </c>
      <c r="AR330" s="33" t="str">
        <f t="shared" si="69"/>
        <v/>
      </c>
      <c r="AS330" s="34"/>
      <c r="AT330" s="33"/>
      <c r="AV330" s="21">
        <f>IF(AND($AL330&lt;&gt;"",COUNTIF($AL$11:$AL330,$AL330)=1),1,0)</f>
        <v>0</v>
      </c>
      <c r="AW330" s="21">
        <f t="shared" si="71"/>
        <v>0</v>
      </c>
      <c r="AX330" s="21" t="str">
        <f t="shared" si="70"/>
        <v/>
      </c>
      <c r="AY330" s="21" t="str">
        <f>IF(AND($AM330&lt;&gt;"",$AS330&lt;&gt;"✓"),SUMPRODUCT(($AM$11:$AM330&lt;&gt;"")*($AS$11:$AS330&lt;&gt;"✓")),"")</f>
        <v/>
      </c>
      <c r="AZ330" s="21" t="str">
        <f>IF(AND($AM330&lt;&gt;"",$AS330="✓"),SUMPRODUCT(($AM$11:$AM330&lt;&gt;"")*($AS$11:$AS330="✓")),"")</f>
        <v/>
      </c>
      <c r="BA330" s="21" t="str">
        <f>IF($AL330="","",$AL330&amp;"|"&amp;COUNTIF($AL$11:$AL330,$AL330))</f>
        <v/>
      </c>
    </row>
    <row r="331" spans="2:53" ht="15" customHeight="1" x14ac:dyDescent="0.25">
      <c r="B331" s="5" t="str">
        <f t="shared" ref="B331:B394" si="72">IF($C331="","",ROW()-10)</f>
        <v/>
      </c>
      <c r="C331" s="5"/>
      <c r="D331" s="5"/>
      <c r="E331" s="5"/>
      <c r="F331" s="6"/>
      <c r="G331" s="6"/>
      <c r="H331" s="7"/>
      <c r="I331" s="8"/>
      <c r="W331" s="14" t="str">
        <f>IF(X331="","",IFERROR(INDEX($AL$11:$AL$4010,MATCH(321,$AY$11:$AY$4010,0)),""))</f>
        <v/>
      </c>
      <c r="X331" s="12" t="str">
        <f>IFERROR(INDEX($AM$11:$AM$4010,MATCH(321,$AY$11:$AY$4010,0)),"")</f>
        <v/>
      </c>
      <c r="Y331" s="11" t="str">
        <f>IF(X331="","",IFERROR(INDEX($AN$11:$AN$4010,MATCH(321,$AY$11:$AY$4010,0)),""))</f>
        <v/>
      </c>
      <c r="Z331" s="11" t="str">
        <f>IF(X331="","",IFERROR(INDEX($AO$11:$AO$4010,MATCH(321,$AY$11:$AY$4010,0)),""))</f>
        <v/>
      </c>
      <c r="AA331" s="10" t="str">
        <f>IF(X331="","",IFERROR(INDEX($AQ$11:$AQ$4010,MATCH(321,$AY$11:$AY$4010,0)),""))</f>
        <v/>
      </c>
      <c r="AB331" s="15" t="str">
        <f>IF(X331="","",IFERROR(INDEX($AR$11:$AR$4010,MATCH(321,$AY$11:$AY$4010,0)),""))</f>
        <v/>
      </c>
      <c r="AD331" s="16" t="str">
        <f>IF(AE331="","",IFERROR(INDEX($AL$11:$AL$4010,MATCH(321,$AZ$11:$AZ$4010,0)),""))</f>
        <v/>
      </c>
      <c r="AE331" s="12" t="str">
        <f>IFERROR(INDEX($AM$11:$AM$4010,MATCH(321,$AZ$11:$AZ$4010,0)),"")</f>
        <v/>
      </c>
      <c r="AF331" s="11" t="str">
        <f>IF(AE331="","",IFERROR(INDEX($AN$11:$AN$4010,MATCH(321,$AZ$11:$AZ$4010,0)),""))</f>
        <v/>
      </c>
      <c r="AG331" s="11" t="str">
        <f>IF(AE331="","",IFERROR(INDEX($AO$11:$AO$4010,MATCH(321,$AZ$11:$AZ$4010,0)),""))</f>
        <v/>
      </c>
      <c r="AH331" s="10" t="str">
        <f>IF(AE331="","",IFERROR(INDEX($AQ$11:$AQ$4010,MATCH(321,$AZ$11:$AZ$4010,0)),""))</f>
        <v/>
      </c>
      <c r="AI331" s="15" t="str">
        <f>IF(AE331="","",IFERROR(INDEX($AR$11:$AR$4010,MATCH(321,$AZ$11:$AZ$4010,0)),""))</f>
        <v/>
      </c>
      <c r="AJ331" s="15" t="str">
        <f>IF(AE331="","",IFERROR(INDEX($AT$11:$AT$4010,MATCH(321,$AZ$11:$AZ$4010,0)),""))</f>
        <v/>
      </c>
      <c r="AL331" s="17" t="str">
        <f t="shared" ref="AL331:AL394" si="73">IF($C331="","",$I331)</f>
        <v/>
      </c>
      <c r="AM331" s="12" t="str">
        <f t="shared" ref="AM331:AM394" si="74">IF($C331="","",$C331)</f>
        <v/>
      </c>
      <c r="AN331" s="18" t="str">
        <f t="shared" ref="AN331:AN394" si="75">IF($C331="","",$F331)</f>
        <v/>
      </c>
      <c r="AO331" s="18" t="str">
        <f t="shared" ref="AO331:AO394" si="76">IF($C331="","",$G331)</f>
        <v/>
      </c>
      <c r="AP331" s="10" t="str">
        <f t="shared" ref="AP331:AP394" si="77">IF($C331="","",$D331)</f>
        <v/>
      </c>
      <c r="AQ331" s="10" t="str">
        <f t="shared" ref="AQ331:AQ394" si="78">IF($C331="","",$E331)</f>
        <v/>
      </c>
      <c r="AR331" s="19" t="str">
        <f t="shared" ref="AR331:AR394" si="79">IF($C331="","",$H331)</f>
        <v/>
      </c>
      <c r="AS331" s="20"/>
      <c r="AT331" s="19"/>
      <c r="AV331" s="21">
        <f>IF(AND($AL331&lt;&gt;"",COUNTIF($AL$11:$AL331,$AL331)=1),1,0)</f>
        <v>0</v>
      </c>
      <c r="AW331" s="21">
        <f t="shared" si="71"/>
        <v>0</v>
      </c>
      <c r="AX331" s="21" t="str">
        <f t="shared" ref="AX331:AX394" si="80">IF(AV331=1,AW331,"")</f>
        <v/>
      </c>
      <c r="AY331" s="21" t="str">
        <f>IF(AND($AM331&lt;&gt;"",$AS331&lt;&gt;"✓"),SUMPRODUCT(($AM$11:$AM331&lt;&gt;"")*($AS$11:$AS331&lt;&gt;"✓")),"")</f>
        <v/>
      </c>
      <c r="AZ331" s="21" t="str">
        <f>IF(AND($AM331&lt;&gt;"",$AS331="✓"),SUMPRODUCT(($AM$11:$AM331&lt;&gt;"")*($AS$11:$AS331="✓")),"")</f>
        <v/>
      </c>
      <c r="BA331" s="21" t="str">
        <f>IF($AL331="","",$AL331&amp;"|"&amp;COUNTIF($AL$11:$AL331,$AL331))</f>
        <v/>
      </c>
    </row>
    <row r="332" spans="2:53" ht="15" customHeight="1" x14ac:dyDescent="0.25">
      <c r="B332" s="5" t="str">
        <f t="shared" si="72"/>
        <v/>
      </c>
      <c r="C332" s="5"/>
      <c r="D332" s="5"/>
      <c r="E332" s="5"/>
      <c r="F332" s="6"/>
      <c r="G332" s="6"/>
      <c r="H332" s="7"/>
      <c r="I332" s="8"/>
      <c r="W332" s="28" t="str">
        <f>IF(X332="","",IFERROR(INDEX($AL$11:$AL$4010,MATCH(322,$AY$11:$AY$4010,0)),""))</f>
        <v/>
      </c>
      <c r="X332" s="26" t="str">
        <f>IFERROR(INDEX($AM$11:$AM$4010,MATCH(322,$AY$11:$AY$4010,0)),"")</f>
        <v/>
      </c>
      <c r="Y332" s="25" t="str">
        <f>IF(X332="","",IFERROR(INDEX($AN$11:$AN$4010,MATCH(322,$AY$11:$AY$4010,0)),""))</f>
        <v/>
      </c>
      <c r="Z332" s="25" t="str">
        <f>IF(X332="","",IFERROR(INDEX($AO$11:$AO$4010,MATCH(322,$AY$11:$AY$4010,0)),""))</f>
        <v/>
      </c>
      <c r="AA332" s="24" t="str">
        <f>IF(X332="","",IFERROR(INDEX($AQ$11:$AQ$4010,MATCH(322,$AY$11:$AY$4010,0)),""))</f>
        <v/>
      </c>
      <c r="AB332" s="29" t="str">
        <f>IF(X332="","",IFERROR(INDEX($AR$11:$AR$4010,MATCH(322,$AY$11:$AY$4010,0)),""))</f>
        <v/>
      </c>
      <c r="AD332" s="30" t="str">
        <f>IF(AE332="","",IFERROR(INDEX($AL$11:$AL$4010,MATCH(322,$AZ$11:$AZ$4010,0)),""))</f>
        <v/>
      </c>
      <c r="AE332" s="26" t="str">
        <f>IFERROR(INDEX($AM$11:$AM$4010,MATCH(322,$AZ$11:$AZ$4010,0)),"")</f>
        <v/>
      </c>
      <c r="AF332" s="25" t="str">
        <f>IF(AE332="","",IFERROR(INDEX($AN$11:$AN$4010,MATCH(322,$AZ$11:$AZ$4010,0)),""))</f>
        <v/>
      </c>
      <c r="AG332" s="25" t="str">
        <f>IF(AE332="","",IFERROR(INDEX($AO$11:$AO$4010,MATCH(322,$AZ$11:$AZ$4010,0)),""))</f>
        <v/>
      </c>
      <c r="AH332" s="24" t="str">
        <f>IF(AE332="","",IFERROR(INDEX($AQ$11:$AQ$4010,MATCH(322,$AZ$11:$AZ$4010,0)),""))</f>
        <v/>
      </c>
      <c r="AI332" s="29" t="str">
        <f>IF(AE332="","",IFERROR(INDEX($AR$11:$AR$4010,MATCH(322,$AZ$11:$AZ$4010,0)),""))</f>
        <v/>
      </c>
      <c r="AJ332" s="29" t="str">
        <f>IF(AE332="","",IFERROR(INDEX($AT$11:$AT$4010,MATCH(322,$AZ$11:$AZ$4010,0)),""))</f>
        <v/>
      </c>
      <c r="AL332" s="31" t="str">
        <f t="shared" si="73"/>
        <v/>
      </c>
      <c r="AM332" s="26" t="str">
        <f t="shared" si="74"/>
        <v/>
      </c>
      <c r="AN332" s="32" t="str">
        <f t="shared" si="75"/>
        <v/>
      </c>
      <c r="AO332" s="32" t="str">
        <f t="shared" si="76"/>
        <v/>
      </c>
      <c r="AP332" s="24" t="str">
        <f t="shared" si="77"/>
        <v/>
      </c>
      <c r="AQ332" s="24" t="str">
        <f t="shared" si="78"/>
        <v/>
      </c>
      <c r="AR332" s="33" t="str">
        <f t="shared" si="79"/>
        <v/>
      </c>
      <c r="AS332" s="34"/>
      <c r="AT332" s="33"/>
      <c r="AV332" s="21">
        <f>IF(AND($AL332&lt;&gt;"",COUNTIF($AL$11:$AL332,$AL332)=1),1,0)</f>
        <v>0</v>
      </c>
      <c r="AW332" s="21">
        <f t="shared" ref="AW332:AW395" si="81">AW331+AV332</f>
        <v>0</v>
      </c>
      <c r="AX332" s="21" t="str">
        <f t="shared" si="80"/>
        <v/>
      </c>
      <c r="AY332" s="21" t="str">
        <f>IF(AND($AM332&lt;&gt;"",$AS332&lt;&gt;"✓"),SUMPRODUCT(($AM$11:$AM332&lt;&gt;"")*($AS$11:$AS332&lt;&gt;"✓")),"")</f>
        <v/>
      </c>
      <c r="AZ332" s="21" t="str">
        <f>IF(AND($AM332&lt;&gt;"",$AS332="✓"),SUMPRODUCT(($AM$11:$AM332&lt;&gt;"")*($AS$11:$AS332="✓")),"")</f>
        <v/>
      </c>
      <c r="BA332" s="21" t="str">
        <f>IF($AL332="","",$AL332&amp;"|"&amp;COUNTIF($AL$11:$AL332,$AL332))</f>
        <v/>
      </c>
    </row>
    <row r="333" spans="2:53" ht="15" customHeight="1" x14ac:dyDescent="0.25">
      <c r="B333" s="5" t="str">
        <f t="shared" si="72"/>
        <v/>
      </c>
      <c r="C333" s="5"/>
      <c r="D333" s="5"/>
      <c r="E333" s="5"/>
      <c r="F333" s="6"/>
      <c r="G333" s="6"/>
      <c r="H333" s="7"/>
      <c r="I333" s="8"/>
      <c r="W333" s="14" t="str">
        <f>IF(X333="","",IFERROR(INDEX($AL$11:$AL$4010,MATCH(323,$AY$11:$AY$4010,0)),""))</f>
        <v/>
      </c>
      <c r="X333" s="12" t="str">
        <f>IFERROR(INDEX($AM$11:$AM$4010,MATCH(323,$AY$11:$AY$4010,0)),"")</f>
        <v/>
      </c>
      <c r="Y333" s="11" t="str">
        <f>IF(X333="","",IFERROR(INDEX($AN$11:$AN$4010,MATCH(323,$AY$11:$AY$4010,0)),""))</f>
        <v/>
      </c>
      <c r="Z333" s="11" t="str">
        <f>IF(X333="","",IFERROR(INDEX($AO$11:$AO$4010,MATCH(323,$AY$11:$AY$4010,0)),""))</f>
        <v/>
      </c>
      <c r="AA333" s="10" t="str">
        <f>IF(X333="","",IFERROR(INDEX($AQ$11:$AQ$4010,MATCH(323,$AY$11:$AY$4010,0)),""))</f>
        <v/>
      </c>
      <c r="AB333" s="15" t="str">
        <f>IF(X333="","",IFERROR(INDEX($AR$11:$AR$4010,MATCH(323,$AY$11:$AY$4010,0)),""))</f>
        <v/>
      </c>
      <c r="AD333" s="16" t="str">
        <f>IF(AE333="","",IFERROR(INDEX($AL$11:$AL$4010,MATCH(323,$AZ$11:$AZ$4010,0)),""))</f>
        <v/>
      </c>
      <c r="AE333" s="12" t="str">
        <f>IFERROR(INDEX($AM$11:$AM$4010,MATCH(323,$AZ$11:$AZ$4010,0)),"")</f>
        <v/>
      </c>
      <c r="AF333" s="11" t="str">
        <f>IF(AE333="","",IFERROR(INDEX($AN$11:$AN$4010,MATCH(323,$AZ$11:$AZ$4010,0)),""))</f>
        <v/>
      </c>
      <c r="AG333" s="11" t="str">
        <f>IF(AE333="","",IFERROR(INDEX($AO$11:$AO$4010,MATCH(323,$AZ$11:$AZ$4010,0)),""))</f>
        <v/>
      </c>
      <c r="AH333" s="10" t="str">
        <f>IF(AE333="","",IFERROR(INDEX($AQ$11:$AQ$4010,MATCH(323,$AZ$11:$AZ$4010,0)),""))</f>
        <v/>
      </c>
      <c r="AI333" s="15" t="str">
        <f>IF(AE333="","",IFERROR(INDEX($AR$11:$AR$4010,MATCH(323,$AZ$11:$AZ$4010,0)),""))</f>
        <v/>
      </c>
      <c r="AJ333" s="15" t="str">
        <f>IF(AE333="","",IFERROR(INDEX($AT$11:$AT$4010,MATCH(323,$AZ$11:$AZ$4010,0)),""))</f>
        <v/>
      </c>
      <c r="AL333" s="17" t="str">
        <f t="shared" si="73"/>
        <v/>
      </c>
      <c r="AM333" s="12" t="str">
        <f t="shared" si="74"/>
        <v/>
      </c>
      <c r="AN333" s="18" t="str">
        <f t="shared" si="75"/>
        <v/>
      </c>
      <c r="AO333" s="18" t="str">
        <f t="shared" si="76"/>
        <v/>
      </c>
      <c r="AP333" s="10" t="str">
        <f t="shared" si="77"/>
        <v/>
      </c>
      <c r="AQ333" s="10" t="str">
        <f t="shared" si="78"/>
        <v/>
      </c>
      <c r="AR333" s="19" t="str">
        <f t="shared" si="79"/>
        <v/>
      </c>
      <c r="AS333" s="20"/>
      <c r="AT333" s="19"/>
      <c r="AV333" s="21">
        <f>IF(AND($AL333&lt;&gt;"",COUNTIF($AL$11:$AL333,$AL333)=1),1,0)</f>
        <v>0</v>
      </c>
      <c r="AW333" s="21">
        <f t="shared" si="81"/>
        <v>0</v>
      </c>
      <c r="AX333" s="21" t="str">
        <f t="shared" si="80"/>
        <v/>
      </c>
      <c r="AY333" s="21" t="str">
        <f>IF(AND($AM333&lt;&gt;"",$AS333&lt;&gt;"✓"),SUMPRODUCT(($AM$11:$AM333&lt;&gt;"")*($AS$11:$AS333&lt;&gt;"✓")),"")</f>
        <v/>
      </c>
      <c r="AZ333" s="21" t="str">
        <f>IF(AND($AM333&lt;&gt;"",$AS333="✓"),SUMPRODUCT(($AM$11:$AM333&lt;&gt;"")*($AS$11:$AS333="✓")),"")</f>
        <v/>
      </c>
      <c r="BA333" s="21" t="str">
        <f>IF($AL333="","",$AL333&amp;"|"&amp;COUNTIF($AL$11:$AL333,$AL333))</f>
        <v/>
      </c>
    </row>
    <row r="334" spans="2:53" ht="15" customHeight="1" x14ac:dyDescent="0.25">
      <c r="B334" s="5" t="str">
        <f t="shared" si="72"/>
        <v/>
      </c>
      <c r="C334" s="5"/>
      <c r="D334" s="5"/>
      <c r="E334" s="5"/>
      <c r="F334" s="6"/>
      <c r="G334" s="6"/>
      <c r="H334" s="7"/>
      <c r="I334" s="8"/>
      <c r="W334" s="28" t="str">
        <f>IF(X334="","",IFERROR(INDEX($AL$11:$AL$4010,MATCH(324,$AY$11:$AY$4010,0)),""))</f>
        <v/>
      </c>
      <c r="X334" s="26" t="str">
        <f>IFERROR(INDEX($AM$11:$AM$4010,MATCH(324,$AY$11:$AY$4010,0)),"")</f>
        <v/>
      </c>
      <c r="Y334" s="25" t="str">
        <f>IF(X334="","",IFERROR(INDEX($AN$11:$AN$4010,MATCH(324,$AY$11:$AY$4010,0)),""))</f>
        <v/>
      </c>
      <c r="Z334" s="25" t="str">
        <f>IF(X334="","",IFERROR(INDEX($AO$11:$AO$4010,MATCH(324,$AY$11:$AY$4010,0)),""))</f>
        <v/>
      </c>
      <c r="AA334" s="24" t="str">
        <f>IF(X334="","",IFERROR(INDEX($AQ$11:$AQ$4010,MATCH(324,$AY$11:$AY$4010,0)),""))</f>
        <v/>
      </c>
      <c r="AB334" s="29" t="str">
        <f>IF(X334="","",IFERROR(INDEX($AR$11:$AR$4010,MATCH(324,$AY$11:$AY$4010,0)),""))</f>
        <v/>
      </c>
      <c r="AD334" s="30" t="str">
        <f>IF(AE334="","",IFERROR(INDEX($AL$11:$AL$4010,MATCH(324,$AZ$11:$AZ$4010,0)),""))</f>
        <v/>
      </c>
      <c r="AE334" s="26" t="str">
        <f>IFERROR(INDEX($AM$11:$AM$4010,MATCH(324,$AZ$11:$AZ$4010,0)),"")</f>
        <v/>
      </c>
      <c r="AF334" s="25" t="str">
        <f>IF(AE334="","",IFERROR(INDEX($AN$11:$AN$4010,MATCH(324,$AZ$11:$AZ$4010,0)),""))</f>
        <v/>
      </c>
      <c r="AG334" s="25" t="str">
        <f>IF(AE334="","",IFERROR(INDEX($AO$11:$AO$4010,MATCH(324,$AZ$11:$AZ$4010,0)),""))</f>
        <v/>
      </c>
      <c r="AH334" s="24" t="str">
        <f>IF(AE334="","",IFERROR(INDEX($AQ$11:$AQ$4010,MATCH(324,$AZ$11:$AZ$4010,0)),""))</f>
        <v/>
      </c>
      <c r="AI334" s="29" t="str">
        <f>IF(AE334="","",IFERROR(INDEX($AR$11:$AR$4010,MATCH(324,$AZ$11:$AZ$4010,0)),""))</f>
        <v/>
      </c>
      <c r="AJ334" s="29" t="str">
        <f>IF(AE334="","",IFERROR(INDEX($AT$11:$AT$4010,MATCH(324,$AZ$11:$AZ$4010,0)),""))</f>
        <v/>
      </c>
      <c r="AL334" s="31" t="str">
        <f t="shared" si="73"/>
        <v/>
      </c>
      <c r="AM334" s="26" t="str">
        <f t="shared" si="74"/>
        <v/>
      </c>
      <c r="AN334" s="32" t="str">
        <f t="shared" si="75"/>
        <v/>
      </c>
      <c r="AO334" s="32" t="str">
        <f t="shared" si="76"/>
        <v/>
      </c>
      <c r="AP334" s="24" t="str">
        <f t="shared" si="77"/>
        <v/>
      </c>
      <c r="AQ334" s="24" t="str">
        <f t="shared" si="78"/>
        <v/>
      </c>
      <c r="AR334" s="33" t="str">
        <f t="shared" si="79"/>
        <v/>
      </c>
      <c r="AS334" s="34"/>
      <c r="AT334" s="33"/>
      <c r="AV334" s="21">
        <f>IF(AND($AL334&lt;&gt;"",COUNTIF($AL$11:$AL334,$AL334)=1),1,0)</f>
        <v>0</v>
      </c>
      <c r="AW334" s="21">
        <f t="shared" si="81"/>
        <v>0</v>
      </c>
      <c r="AX334" s="21" t="str">
        <f t="shared" si="80"/>
        <v/>
      </c>
      <c r="AY334" s="21" t="str">
        <f>IF(AND($AM334&lt;&gt;"",$AS334&lt;&gt;"✓"),SUMPRODUCT(($AM$11:$AM334&lt;&gt;"")*($AS$11:$AS334&lt;&gt;"✓")),"")</f>
        <v/>
      </c>
      <c r="AZ334" s="21" t="str">
        <f>IF(AND($AM334&lt;&gt;"",$AS334="✓"),SUMPRODUCT(($AM$11:$AM334&lt;&gt;"")*($AS$11:$AS334="✓")),"")</f>
        <v/>
      </c>
      <c r="BA334" s="21" t="str">
        <f>IF($AL334="","",$AL334&amp;"|"&amp;COUNTIF($AL$11:$AL334,$AL334))</f>
        <v/>
      </c>
    </row>
    <row r="335" spans="2:53" ht="15" customHeight="1" x14ac:dyDescent="0.25">
      <c r="B335" s="5" t="str">
        <f t="shared" si="72"/>
        <v/>
      </c>
      <c r="C335" s="5"/>
      <c r="D335" s="5"/>
      <c r="E335" s="5"/>
      <c r="F335" s="6"/>
      <c r="G335" s="6"/>
      <c r="H335" s="7"/>
      <c r="I335" s="8"/>
      <c r="W335" s="14" t="str">
        <f>IF(X335="","",IFERROR(INDEX($AL$11:$AL$4010,MATCH(325,$AY$11:$AY$4010,0)),""))</f>
        <v/>
      </c>
      <c r="X335" s="12" t="str">
        <f>IFERROR(INDEX($AM$11:$AM$4010,MATCH(325,$AY$11:$AY$4010,0)),"")</f>
        <v/>
      </c>
      <c r="Y335" s="11" t="str">
        <f>IF(X335="","",IFERROR(INDEX($AN$11:$AN$4010,MATCH(325,$AY$11:$AY$4010,0)),""))</f>
        <v/>
      </c>
      <c r="Z335" s="11" t="str">
        <f>IF(X335="","",IFERROR(INDEX($AO$11:$AO$4010,MATCH(325,$AY$11:$AY$4010,0)),""))</f>
        <v/>
      </c>
      <c r="AA335" s="10" t="str">
        <f>IF(X335="","",IFERROR(INDEX($AQ$11:$AQ$4010,MATCH(325,$AY$11:$AY$4010,0)),""))</f>
        <v/>
      </c>
      <c r="AB335" s="15" t="str">
        <f>IF(X335="","",IFERROR(INDEX($AR$11:$AR$4010,MATCH(325,$AY$11:$AY$4010,0)),""))</f>
        <v/>
      </c>
      <c r="AD335" s="16" t="str">
        <f>IF(AE335="","",IFERROR(INDEX($AL$11:$AL$4010,MATCH(325,$AZ$11:$AZ$4010,0)),""))</f>
        <v/>
      </c>
      <c r="AE335" s="12" t="str">
        <f>IFERROR(INDEX($AM$11:$AM$4010,MATCH(325,$AZ$11:$AZ$4010,0)),"")</f>
        <v/>
      </c>
      <c r="AF335" s="11" t="str">
        <f>IF(AE335="","",IFERROR(INDEX($AN$11:$AN$4010,MATCH(325,$AZ$11:$AZ$4010,0)),""))</f>
        <v/>
      </c>
      <c r="AG335" s="11" t="str">
        <f>IF(AE335="","",IFERROR(INDEX($AO$11:$AO$4010,MATCH(325,$AZ$11:$AZ$4010,0)),""))</f>
        <v/>
      </c>
      <c r="AH335" s="10" t="str">
        <f>IF(AE335="","",IFERROR(INDEX($AQ$11:$AQ$4010,MATCH(325,$AZ$11:$AZ$4010,0)),""))</f>
        <v/>
      </c>
      <c r="AI335" s="15" t="str">
        <f>IF(AE335="","",IFERROR(INDEX($AR$11:$AR$4010,MATCH(325,$AZ$11:$AZ$4010,0)),""))</f>
        <v/>
      </c>
      <c r="AJ335" s="15" t="str">
        <f>IF(AE335="","",IFERROR(INDEX($AT$11:$AT$4010,MATCH(325,$AZ$11:$AZ$4010,0)),""))</f>
        <v/>
      </c>
      <c r="AL335" s="17" t="str">
        <f t="shared" si="73"/>
        <v/>
      </c>
      <c r="AM335" s="12" t="str">
        <f t="shared" si="74"/>
        <v/>
      </c>
      <c r="AN335" s="18" t="str">
        <f t="shared" si="75"/>
        <v/>
      </c>
      <c r="AO335" s="18" t="str">
        <f t="shared" si="76"/>
        <v/>
      </c>
      <c r="AP335" s="10" t="str">
        <f t="shared" si="77"/>
        <v/>
      </c>
      <c r="AQ335" s="10" t="str">
        <f t="shared" si="78"/>
        <v/>
      </c>
      <c r="AR335" s="19" t="str">
        <f t="shared" si="79"/>
        <v/>
      </c>
      <c r="AS335" s="20"/>
      <c r="AT335" s="19"/>
      <c r="AV335" s="21">
        <f>IF(AND($AL335&lt;&gt;"",COUNTIF($AL$11:$AL335,$AL335)=1),1,0)</f>
        <v>0</v>
      </c>
      <c r="AW335" s="21">
        <f t="shared" si="81"/>
        <v>0</v>
      </c>
      <c r="AX335" s="21" t="str">
        <f t="shared" si="80"/>
        <v/>
      </c>
      <c r="AY335" s="21" t="str">
        <f>IF(AND($AM335&lt;&gt;"",$AS335&lt;&gt;"✓"),SUMPRODUCT(($AM$11:$AM335&lt;&gt;"")*($AS$11:$AS335&lt;&gt;"✓")),"")</f>
        <v/>
      </c>
      <c r="AZ335" s="21" t="str">
        <f>IF(AND($AM335&lt;&gt;"",$AS335="✓"),SUMPRODUCT(($AM$11:$AM335&lt;&gt;"")*($AS$11:$AS335="✓")),"")</f>
        <v/>
      </c>
      <c r="BA335" s="21" t="str">
        <f>IF($AL335="","",$AL335&amp;"|"&amp;COUNTIF($AL$11:$AL335,$AL335))</f>
        <v/>
      </c>
    </row>
    <row r="336" spans="2:53" ht="15" customHeight="1" x14ac:dyDescent="0.25">
      <c r="B336" s="5" t="str">
        <f t="shared" si="72"/>
        <v/>
      </c>
      <c r="C336" s="5"/>
      <c r="D336" s="5"/>
      <c r="E336" s="5"/>
      <c r="F336" s="6"/>
      <c r="G336" s="6"/>
      <c r="H336" s="7"/>
      <c r="I336" s="8"/>
      <c r="W336" s="28" t="str">
        <f>IF(X336="","",IFERROR(INDEX($AL$11:$AL$4010,MATCH(326,$AY$11:$AY$4010,0)),""))</f>
        <v/>
      </c>
      <c r="X336" s="26" t="str">
        <f>IFERROR(INDEX($AM$11:$AM$4010,MATCH(326,$AY$11:$AY$4010,0)),"")</f>
        <v/>
      </c>
      <c r="Y336" s="25" t="str">
        <f>IF(X336="","",IFERROR(INDEX($AN$11:$AN$4010,MATCH(326,$AY$11:$AY$4010,0)),""))</f>
        <v/>
      </c>
      <c r="Z336" s="25" t="str">
        <f>IF(X336="","",IFERROR(INDEX($AO$11:$AO$4010,MATCH(326,$AY$11:$AY$4010,0)),""))</f>
        <v/>
      </c>
      <c r="AA336" s="24" t="str">
        <f>IF(X336="","",IFERROR(INDEX($AQ$11:$AQ$4010,MATCH(326,$AY$11:$AY$4010,0)),""))</f>
        <v/>
      </c>
      <c r="AB336" s="29" t="str">
        <f>IF(X336="","",IFERROR(INDEX($AR$11:$AR$4010,MATCH(326,$AY$11:$AY$4010,0)),""))</f>
        <v/>
      </c>
      <c r="AD336" s="30" t="str">
        <f>IF(AE336="","",IFERROR(INDEX($AL$11:$AL$4010,MATCH(326,$AZ$11:$AZ$4010,0)),""))</f>
        <v/>
      </c>
      <c r="AE336" s="26" t="str">
        <f>IFERROR(INDEX($AM$11:$AM$4010,MATCH(326,$AZ$11:$AZ$4010,0)),"")</f>
        <v/>
      </c>
      <c r="AF336" s="25" t="str">
        <f>IF(AE336="","",IFERROR(INDEX($AN$11:$AN$4010,MATCH(326,$AZ$11:$AZ$4010,0)),""))</f>
        <v/>
      </c>
      <c r="AG336" s="25" t="str">
        <f>IF(AE336="","",IFERROR(INDEX($AO$11:$AO$4010,MATCH(326,$AZ$11:$AZ$4010,0)),""))</f>
        <v/>
      </c>
      <c r="AH336" s="24" t="str">
        <f>IF(AE336="","",IFERROR(INDEX($AQ$11:$AQ$4010,MATCH(326,$AZ$11:$AZ$4010,0)),""))</f>
        <v/>
      </c>
      <c r="AI336" s="29" t="str">
        <f>IF(AE336="","",IFERROR(INDEX($AR$11:$AR$4010,MATCH(326,$AZ$11:$AZ$4010,0)),""))</f>
        <v/>
      </c>
      <c r="AJ336" s="29" t="str">
        <f>IF(AE336="","",IFERROR(INDEX($AT$11:$AT$4010,MATCH(326,$AZ$11:$AZ$4010,0)),""))</f>
        <v/>
      </c>
      <c r="AL336" s="31" t="str">
        <f t="shared" si="73"/>
        <v/>
      </c>
      <c r="AM336" s="26" t="str">
        <f t="shared" si="74"/>
        <v/>
      </c>
      <c r="AN336" s="32" t="str">
        <f t="shared" si="75"/>
        <v/>
      </c>
      <c r="AO336" s="32" t="str">
        <f t="shared" si="76"/>
        <v/>
      </c>
      <c r="AP336" s="24" t="str">
        <f t="shared" si="77"/>
        <v/>
      </c>
      <c r="AQ336" s="24" t="str">
        <f t="shared" si="78"/>
        <v/>
      </c>
      <c r="AR336" s="33" t="str">
        <f t="shared" si="79"/>
        <v/>
      </c>
      <c r="AS336" s="34"/>
      <c r="AT336" s="33"/>
      <c r="AV336" s="21">
        <f>IF(AND($AL336&lt;&gt;"",COUNTIF($AL$11:$AL336,$AL336)=1),1,0)</f>
        <v>0</v>
      </c>
      <c r="AW336" s="21">
        <f t="shared" si="81"/>
        <v>0</v>
      </c>
      <c r="AX336" s="21" t="str">
        <f t="shared" si="80"/>
        <v/>
      </c>
      <c r="AY336" s="21" t="str">
        <f>IF(AND($AM336&lt;&gt;"",$AS336&lt;&gt;"✓"),SUMPRODUCT(($AM$11:$AM336&lt;&gt;"")*($AS$11:$AS336&lt;&gt;"✓")),"")</f>
        <v/>
      </c>
      <c r="AZ336" s="21" t="str">
        <f>IF(AND($AM336&lt;&gt;"",$AS336="✓"),SUMPRODUCT(($AM$11:$AM336&lt;&gt;"")*($AS$11:$AS336="✓")),"")</f>
        <v/>
      </c>
      <c r="BA336" s="21" t="str">
        <f>IF($AL336="","",$AL336&amp;"|"&amp;COUNTIF($AL$11:$AL336,$AL336))</f>
        <v/>
      </c>
    </row>
    <row r="337" spans="2:53" ht="15" customHeight="1" x14ac:dyDescent="0.25">
      <c r="B337" s="5" t="str">
        <f t="shared" si="72"/>
        <v/>
      </c>
      <c r="C337" s="5"/>
      <c r="D337" s="5"/>
      <c r="E337" s="5"/>
      <c r="F337" s="6"/>
      <c r="G337" s="6"/>
      <c r="H337" s="7"/>
      <c r="I337" s="8"/>
      <c r="W337" s="14" t="str">
        <f>IF(X337="","",IFERROR(INDEX($AL$11:$AL$4010,MATCH(327,$AY$11:$AY$4010,0)),""))</f>
        <v/>
      </c>
      <c r="X337" s="12" t="str">
        <f>IFERROR(INDEX($AM$11:$AM$4010,MATCH(327,$AY$11:$AY$4010,0)),"")</f>
        <v/>
      </c>
      <c r="Y337" s="11" t="str">
        <f>IF(X337="","",IFERROR(INDEX($AN$11:$AN$4010,MATCH(327,$AY$11:$AY$4010,0)),""))</f>
        <v/>
      </c>
      <c r="Z337" s="11" t="str">
        <f>IF(X337="","",IFERROR(INDEX($AO$11:$AO$4010,MATCH(327,$AY$11:$AY$4010,0)),""))</f>
        <v/>
      </c>
      <c r="AA337" s="10" t="str">
        <f>IF(X337="","",IFERROR(INDEX($AQ$11:$AQ$4010,MATCH(327,$AY$11:$AY$4010,0)),""))</f>
        <v/>
      </c>
      <c r="AB337" s="15" t="str">
        <f>IF(X337="","",IFERROR(INDEX($AR$11:$AR$4010,MATCH(327,$AY$11:$AY$4010,0)),""))</f>
        <v/>
      </c>
      <c r="AD337" s="16" t="str">
        <f>IF(AE337="","",IFERROR(INDEX($AL$11:$AL$4010,MATCH(327,$AZ$11:$AZ$4010,0)),""))</f>
        <v/>
      </c>
      <c r="AE337" s="12" t="str">
        <f>IFERROR(INDEX($AM$11:$AM$4010,MATCH(327,$AZ$11:$AZ$4010,0)),"")</f>
        <v/>
      </c>
      <c r="AF337" s="11" t="str">
        <f>IF(AE337="","",IFERROR(INDEX($AN$11:$AN$4010,MATCH(327,$AZ$11:$AZ$4010,0)),""))</f>
        <v/>
      </c>
      <c r="AG337" s="11" t="str">
        <f>IF(AE337="","",IFERROR(INDEX($AO$11:$AO$4010,MATCH(327,$AZ$11:$AZ$4010,0)),""))</f>
        <v/>
      </c>
      <c r="AH337" s="10" t="str">
        <f>IF(AE337="","",IFERROR(INDEX($AQ$11:$AQ$4010,MATCH(327,$AZ$11:$AZ$4010,0)),""))</f>
        <v/>
      </c>
      <c r="AI337" s="15" t="str">
        <f>IF(AE337="","",IFERROR(INDEX($AR$11:$AR$4010,MATCH(327,$AZ$11:$AZ$4010,0)),""))</f>
        <v/>
      </c>
      <c r="AJ337" s="15" t="str">
        <f>IF(AE337="","",IFERROR(INDEX($AT$11:$AT$4010,MATCH(327,$AZ$11:$AZ$4010,0)),""))</f>
        <v/>
      </c>
      <c r="AL337" s="17" t="str">
        <f t="shared" si="73"/>
        <v/>
      </c>
      <c r="AM337" s="12" t="str">
        <f t="shared" si="74"/>
        <v/>
      </c>
      <c r="AN337" s="18" t="str">
        <f t="shared" si="75"/>
        <v/>
      </c>
      <c r="AO337" s="18" t="str">
        <f t="shared" si="76"/>
        <v/>
      </c>
      <c r="AP337" s="10" t="str">
        <f t="shared" si="77"/>
        <v/>
      </c>
      <c r="AQ337" s="10" t="str">
        <f t="shared" si="78"/>
        <v/>
      </c>
      <c r="AR337" s="19" t="str">
        <f t="shared" si="79"/>
        <v/>
      </c>
      <c r="AS337" s="20"/>
      <c r="AT337" s="19"/>
      <c r="AV337" s="21">
        <f>IF(AND($AL337&lt;&gt;"",COUNTIF($AL$11:$AL337,$AL337)=1),1,0)</f>
        <v>0</v>
      </c>
      <c r="AW337" s="21">
        <f t="shared" si="81"/>
        <v>0</v>
      </c>
      <c r="AX337" s="21" t="str">
        <f t="shared" si="80"/>
        <v/>
      </c>
      <c r="AY337" s="21" t="str">
        <f>IF(AND($AM337&lt;&gt;"",$AS337&lt;&gt;"✓"),SUMPRODUCT(($AM$11:$AM337&lt;&gt;"")*($AS$11:$AS337&lt;&gt;"✓")),"")</f>
        <v/>
      </c>
      <c r="AZ337" s="21" t="str">
        <f>IF(AND($AM337&lt;&gt;"",$AS337="✓"),SUMPRODUCT(($AM$11:$AM337&lt;&gt;"")*($AS$11:$AS337="✓")),"")</f>
        <v/>
      </c>
      <c r="BA337" s="21" t="str">
        <f>IF($AL337="","",$AL337&amp;"|"&amp;COUNTIF($AL$11:$AL337,$AL337))</f>
        <v/>
      </c>
    </row>
    <row r="338" spans="2:53" ht="15" customHeight="1" x14ac:dyDescent="0.25">
      <c r="B338" s="5" t="str">
        <f t="shared" si="72"/>
        <v/>
      </c>
      <c r="C338" s="5"/>
      <c r="D338" s="5"/>
      <c r="E338" s="5"/>
      <c r="F338" s="6"/>
      <c r="G338" s="6"/>
      <c r="H338" s="7"/>
      <c r="I338" s="8"/>
      <c r="W338" s="28" t="str">
        <f>IF(X338="","",IFERROR(INDEX($AL$11:$AL$4010,MATCH(328,$AY$11:$AY$4010,0)),""))</f>
        <v/>
      </c>
      <c r="X338" s="26" t="str">
        <f>IFERROR(INDEX($AM$11:$AM$4010,MATCH(328,$AY$11:$AY$4010,0)),"")</f>
        <v/>
      </c>
      <c r="Y338" s="25" t="str">
        <f>IF(X338="","",IFERROR(INDEX($AN$11:$AN$4010,MATCH(328,$AY$11:$AY$4010,0)),""))</f>
        <v/>
      </c>
      <c r="Z338" s="25" t="str">
        <f>IF(X338="","",IFERROR(INDEX($AO$11:$AO$4010,MATCH(328,$AY$11:$AY$4010,0)),""))</f>
        <v/>
      </c>
      <c r="AA338" s="24" t="str">
        <f>IF(X338="","",IFERROR(INDEX($AQ$11:$AQ$4010,MATCH(328,$AY$11:$AY$4010,0)),""))</f>
        <v/>
      </c>
      <c r="AB338" s="29" t="str">
        <f>IF(X338="","",IFERROR(INDEX($AR$11:$AR$4010,MATCH(328,$AY$11:$AY$4010,0)),""))</f>
        <v/>
      </c>
      <c r="AD338" s="30" t="str">
        <f>IF(AE338="","",IFERROR(INDEX($AL$11:$AL$4010,MATCH(328,$AZ$11:$AZ$4010,0)),""))</f>
        <v/>
      </c>
      <c r="AE338" s="26" t="str">
        <f>IFERROR(INDEX($AM$11:$AM$4010,MATCH(328,$AZ$11:$AZ$4010,0)),"")</f>
        <v/>
      </c>
      <c r="AF338" s="25" t="str">
        <f>IF(AE338="","",IFERROR(INDEX($AN$11:$AN$4010,MATCH(328,$AZ$11:$AZ$4010,0)),""))</f>
        <v/>
      </c>
      <c r="AG338" s="25" t="str">
        <f>IF(AE338="","",IFERROR(INDEX($AO$11:$AO$4010,MATCH(328,$AZ$11:$AZ$4010,0)),""))</f>
        <v/>
      </c>
      <c r="AH338" s="24" t="str">
        <f>IF(AE338="","",IFERROR(INDEX($AQ$11:$AQ$4010,MATCH(328,$AZ$11:$AZ$4010,0)),""))</f>
        <v/>
      </c>
      <c r="AI338" s="29" t="str">
        <f>IF(AE338="","",IFERROR(INDEX($AR$11:$AR$4010,MATCH(328,$AZ$11:$AZ$4010,0)),""))</f>
        <v/>
      </c>
      <c r="AJ338" s="29" t="str">
        <f>IF(AE338="","",IFERROR(INDEX($AT$11:$AT$4010,MATCH(328,$AZ$11:$AZ$4010,0)),""))</f>
        <v/>
      </c>
      <c r="AL338" s="31" t="str">
        <f t="shared" si="73"/>
        <v/>
      </c>
      <c r="AM338" s="26" t="str">
        <f t="shared" si="74"/>
        <v/>
      </c>
      <c r="AN338" s="32" t="str">
        <f t="shared" si="75"/>
        <v/>
      </c>
      <c r="AO338" s="32" t="str">
        <f t="shared" si="76"/>
        <v/>
      </c>
      <c r="AP338" s="24" t="str">
        <f t="shared" si="77"/>
        <v/>
      </c>
      <c r="AQ338" s="24" t="str">
        <f t="shared" si="78"/>
        <v/>
      </c>
      <c r="AR338" s="33" t="str">
        <f t="shared" si="79"/>
        <v/>
      </c>
      <c r="AS338" s="34"/>
      <c r="AT338" s="33"/>
      <c r="AV338" s="21">
        <f>IF(AND($AL338&lt;&gt;"",COUNTIF($AL$11:$AL338,$AL338)=1),1,0)</f>
        <v>0</v>
      </c>
      <c r="AW338" s="21">
        <f t="shared" si="81"/>
        <v>0</v>
      </c>
      <c r="AX338" s="21" t="str">
        <f t="shared" si="80"/>
        <v/>
      </c>
      <c r="AY338" s="21" t="str">
        <f>IF(AND($AM338&lt;&gt;"",$AS338&lt;&gt;"✓"),SUMPRODUCT(($AM$11:$AM338&lt;&gt;"")*($AS$11:$AS338&lt;&gt;"✓")),"")</f>
        <v/>
      </c>
      <c r="AZ338" s="21" t="str">
        <f>IF(AND($AM338&lt;&gt;"",$AS338="✓"),SUMPRODUCT(($AM$11:$AM338&lt;&gt;"")*($AS$11:$AS338="✓")),"")</f>
        <v/>
      </c>
      <c r="BA338" s="21" t="str">
        <f>IF($AL338="","",$AL338&amp;"|"&amp;COUNTIF($AL$11:$AL338,$AL338))</f>
        <v/>
      </c>
    </row>
    <row r="339" spans="2:53" ht="15" customHeight="1" x14ac:dyDescent="0.25">
      <c r="B339" s="5" t="str">
        <f t="shared" si="72"/>
        <v/>
      </c>
      <c r="C339" s="5"/>
      <c r="D339" s="5"/>
      <c r="E339" s="5"/>
      <c r="F339" s="6"/>
      <c r="G339" s="6"/>
      <c r="H339" s="7"/>
      <c r="I339" s="8"/>
      <c r="W339" s="14" t="str">
        <f>IF(X339="","",IFERROR(INDEX($AL$11:$AL$4010,MATCH(329,$AY$11:$AY$4010,0)),""))</f>
        <v/>
      </c>
      <c r="X339" s="12" t="str">
        <f>IFERROR(INDEX($AM$11:$AM$4010,MATCH(329,$AY$11:$AY$4010,0)),"")</f>
        <v/>
      </c>
      <c r="Y339" s="11" t="str">
        <f>IF(X339="","",IFERROR(INDEX($AN$11:$AN$4010,MATCH(329,$AY$11:$AY$4010,0)),""))</f>
        <v/>
      </c>
      <c r="Z339" s="11" t="str">
        <f>IF(X339="","",IFERROR(INDEX($AO$11:$AO$4010,MATCH(329,$AY$11:$AY$4010,0)),""))</f>
        <v/>
      </c>
      <c r="AA339" s="10" t="str">
        <f>IF(X339="","",IFERROR(INDEX($AQ$11:$AQ$4010,MATCH(329,$AY$11:$AY$4010,0)),""))</f>
        <v/>
      </c>
      <c r="AB339" s="15" t="str">
        <f>IF(X339="","",IFERROR(INDEX($AR$11:$AR$4010,MATCH(329,$AY$11:$AY$4010,0)),""))</f>
        <v/>
      </c>
      <c r="AD339" s="16" t="str">
        <f>IF(AE339="","",IFERROR(INDEX($AL$11:$AL$4010,MATCH(329,$AZ$11:$AZ$4010,0)),""))</f>
        <v/>
      </c>
      <c r="AE339" s="12" t="str">
        <f>IFERROR(INDEX($AM$11:$AM$4010,MATCH(329,$AZ$11:$AZ$4010,0)),"")</f>
        <v/>
      </c>
      <c r="AF339" s="11" t="str">
        <f>IF(AE339="","",IFERROR(INDEX($AN$11:$AN$4010,MATCH(329,$AZ$11:$AZ$4010,0)),""))</f>
        <v/>
      </c>
      <c r="AG339" s="11" t="str">
        <f>IF(AE339="","",IFERROR(INDEX($AO$11:$AO$4010,MATCH(329,$AZ$11:$AZ$4010,0)),""))</f>
        <v/>
      </c>
      <c r="AH339" s="10" t="str">
        <f>IF(AE339="","",IFERROR(INDEX($AQ$11:$AQ$4010,MATCH(329,$AZ$11:$AZ$4010,0)),""))</f>
        <v/>
      </c>
      <c r="AI339" s="15" t="str">
        <f>IF(AE339="","",IFERROR(INDEX($AR$11:$AR$4010,MATCH(329,$AZ$11:$AZ$4010,0)),""))</f>
        <v/>
      </c>
      <c r="AJ339" s="15" t="str">
        <f>IF(AE339="","",IFERROR(INDEX($AT$11:$AT$4010,MATCH(329,$AZ$11:$AZ$4010,0)),""))</f>
        <v/>
      </c>
      <c r="AL339" s="17" t="str">
        <f t="shared" si="73"/>
        <v/>
      </c>
      <c r="AM339" s="12" t="str">
        <f t="shared" si="74"/>
        <v/>
      </c>
      <c r="AN339" s="18" t="str">
        <f t="shared" si="75"/>
        <v/>
      </c>
      <c r="AO339" s="18" t="str">
        <f t="shared" si="76"/>
        <v/>
      </c>
      <c r="AP339" s="10" t="str">
        <f t="shared" si="77"/>
        <v/>
      </c>
      <c r="AQ339" s="10" t="str">
        <f t="shared" si="78"/>
        <v/>
      </c>
      <c r="AR339" s="19" t="str">
        <f t="shared" si="79"/>
        <v/>
      </c>
      <c r="AS339" s="20"/>
      <c r="AT339" s="19"/>
      <c r="AV339" s="21">
        <f>IF(AND($AL339&lt;&gt;"",COUNTIF($AL$11:$AL339,$AL339)=1),1,0)</f>
        <v>0</v>
      </c>
      <c r="AW339" s="21">
        <f t="shared" si="81"/>
        <v>0</v>
      </c>
      <c r="AX339" s="21" t="str">
        <f t="shared" si="80"/>
        <v/>
      </c>
      <c r="AY339" s="21" t="str">
        <f>IF(AND($AM339&lt;&gt;"",$AS339&lt;&gt;"✓"),SUMPRODUCT(($AM$11:$AM339&lt;&gt;"")*($AS$11:$AS339&lt;&gt;"✓")),"")</f>
        <v/>
      </c>
      <c r="AZ339" s="21" t="str">
        <f>IF(AND($AM339&lt;&gt;"",$AS339="✓"),SUMPRODUCT(($AM$11:$AM339&lt;&gt;"")*($AS$11:$AS339="✓")),"")</f>
        <v/>
      </c>
      <c r="BA339" s="21" t="str">
        <f>IF($AL339="","",$AL339&amp;"|"&amp;COUNTIF($AL$11:$AL339,$AL339))</f>
        <v/>
      </c>
    </row>
    <row r="340" spans="2:53" ht="15" customHeight="1" x14ac:dyDescent="0.25">
      <c r="B340" s="5" t="str">
        <f t="shared" si="72"/>
        <v/>
      </c>
      <c r="C340" s="5"/>
      <c r="D340" s="5"/>
      <c r="E340" s="5"/>
      <c r="F340" s="6"/>
      <c r="G340" s="6"/>
      <c r="H340" s="7"/>
      <c r="I340" s="8"/>
      <c r="W340" s="28" t="str">
        <f>IF(X340="","",IFERROR(INDEX($AL$11:$AL$4010,MATCH(330,$AY$11:$AY$4010,0)),""))</f>
        <v/>
      </c>
      <c r="X340" s="26" t="str">
        <f>IFERROR(INDEX($AM$11:$AM$4010,MATCH(330,$AY$11:$AY$4010,0)),"")</f>
        <v/>
      </c>
      <c r="Y340" s="25" t="str">
        <f>IF(X340="","",IFERROR(INDEX($AN$11:$AN$4010,MATCH(330,$AY$11:$AY$4010,0)),""))</f>
        <v/>
      </c>
      <c r="Z340" s="25" t="str">
        <f>IF(X340="","",IFERROR(INDEX($AO$11:$AO$4010,MATCH(330,$AY$11:$AY$4010,0)),""))</f>
        <v/>
      </c>
      <c r="AA340" s="24" t="str">
        <f>IF(X340="","",IFERROR(INDEX($AQ$11:$AQ$4010,MATCH(330,$AY$11:$AY$4010,0)),""))</f>
        <v/>
      </c>
      <c r="AB340" s="29" t="str">
        <f>IF(X340="","",IFERROR(INDEX($AR$11:$AR$4010,MATCH(330,$AY$11:$AY$4010,0)),""))</f>
        <v/>
      </c>
      <c r="AD340" s="30" t="str">
        <f>IF(AE340="","",IFERROR(INDEX($AL$11:$AL$4010,MATCH(330,$AZ$11:$AZ$4010,0)),""))</f>
        <v/>
      </c>
      <c r="AE340" s="26" t="str">
        <f>IFERROR(INDEX($AM$11:$AM$4010,MATCH(330,$AZ$11:$AZ$4010,0)),"")</f>
        <v/>
      </c>
      <c r="AF340" s="25" t="str">
        <f>IF(AE340="","",IFERROR(INDEX($AN$11:$AN$4010,MATCH(330,$AZ$11:$AZ$4010,0)),""))</f>
        <v/>
      </c>
      <c r="AG340" s="25" t="str">
        <f>IF(AE340="","",IFERROR(INDEX($AO$11:$AO$4010,MATCH(330,$AZ$11:$AZ$4010,0)),""))</f>
        <v/>
      </c>
      <c r="AH340" s="24" t="str">
        <f>IF(AE340="","",IFERROR(INDEX($AQ$11:$AQ$4010,MATCH(330,$AZ$11:$AZ$4010,0)),""))</f>
        <v/>
      </c>
      <c r="AI340" s="29" t="str">
        <f>IF(AE340="","",IFERROR(INDEX($AR$11:$AR$4010,MATCH(330,$AZ$11:$AZ$4010,0)),""))</f>
        <v/>
      </c>
      <c r="AJ340" s="29" t="str">
        <f>IF(AE340="","",IFERROR(INDEX($AT$11:$AT$4010,MATCH(330,$AZ$11:$AZ$4010,0)),""))</f>
        <v/>
      </c>
      <c r="AL340" s="31" t="str">
        <f t="shared" si="73"/>
        <v/>
      </c>
      <c r="AM340" s="26" t="str">
        <f t="shared" si="74"/>
        <v/>
      </c>
      <c r="AN340" s="32" t="str">
        <f t="shared" si="75"/>
        <v/>
      </c>
      <c r="AO340" s="32" t="str">
        <f t="shared" si="76"/>
        <v/>
      </c>
      <c r="AP340" s="24" t="str">
        <f t="shared" si="77"/>
        <v/>
      </c>
      <c r="AQ340" s="24" t="str">
        <f t="shared" si="78"/>
        <v/>
      </c>
      <c r="AR340" s="33" t="str">
        <f t="shared" si="79"/>
        <v/>
      </c>
      <c r="AS340" s="34"/>
      <c r="AT340" s="33"/>
      <c r="AV340" s="21">
        <f>IF(AND($AL340&lt;&gt;"",COUNTIF($AL$11:$AL340,$AL340)=1),1,0)</f>
        <v>0</v>
      </c>
      <c r="AW340" s="21">
        <f t="shared" si="81"/>
        <v>0</v>
      </c>
      <c r="AX340" s="21" t="str">
        <f t="shared" si="80"/>
        <v/>
      </c>
      <c r="AY340" s="21" t="str">
        <f>IF(AND($AM340&lt;&gt;"",$AS340&lt;&gt;"✓"),SUMPRODUCT(($AM$11:$AM340&lt;&gt;"")*($AS$11:$AS340&lt;&gt;"✓")),"")</f>
        <v/>
      </c>
      <c r="AZ340" s="21" t="str">
        <f>IF(AND($AM340&lt;&gt;"",$AS340="✓"),SUMPRODUCT(($AM$11:$AM340&lt;&gt;"")*($AS$11:$AS340="✓")),"")</f>
        <v/>
      </c>
      <c r="BA340" s="21" t="str">
        <f>IF($AL340="","",$AL340&amp;"|"&amp;COUNTIF($AL$11:$AL340,$AL340))</f>
        <v/>
      </c>
    </row>
    <row r="341" spans="2:53" ht="15" customHeight="1" x14ac:dyDescent="0.25">
      <c r="B341" s="5" t="str">
        <f t="shared" si="72"/>
        <v/>
      </c>
      <c r="C341" s="5"/>
      <c r="D341" s="5"/>
      <c r="E341" s="5"/>
      <c r="F341" s="6"/>
      <c r="G341" s="6"/>
      <c r="H341" s="7"/>
      <c r="I341" s="8"/>
      <c r="W341" s="14" t="str">
        <f>IF(X341="","",IFERROR(INDEX($AL$11:$AL$4010,MATCH(331,$AY$11:$AY$4010,0)),""))</f>
        <v/>
      </c>
      <c r="X341" s="12" t="str">
        <f>IFERROR(INDEX($AM$11:$AM$4010,MATCH(331,$AY$11:$AY$4010,0)),"")</f>
        <v/>
      </c>
      <c r="Y341" s="11" t="str">
        <f>IF(X341="","",IFERROR(INDEX($AN$11:$AN$4010,MATCH(331,$AY$11:$AY$4010,0)),""))</f>
        <v/>
      </c>
      <c r="Z341" s="11" t="str">
        <f>IF(X341="","",IFERROR(INDEX($AO$11:$AO$4010,MATCH(331,$AY$11:$AY$4010,0)),""))</f>
        <v/>
      </c>
      <c r="AA341" s="10" t="str">
        <f>IF(X341="","",IFERROR(INDEX($AQ$11:$AQ$4010,MATCH(331,$AY$11:$AY$4010,0)),""))</f>
        <v/>
      </c>
      <c r="AB341" s="15" t="str">
        <f>IF(X341="","",IFERROR(INDEX($AR$11:$AR$4010,MATCH(331,$AY$11:$AY$4010,0)),""))</f>
        <v/>
      </c>
      <c r="AD341" s="16" t="str">
        <f>IF(AE341="","",IFERROR(INDEX($AL$11:$AL$4010,MATCH(331,$AZ$11:$AZ$4010,0)),""))</f>
        <v/>
      </c>
      <c r="AE341" s="12" t="str">
        <f>IFERROR(INDEX($AM$11:$AM$4010,MATCH(331,$AZ$11:$AZ$4010,0)),"")</f>
        <v/>
      </c>
      <c r="AF341" s="11" t="str">
        <f>IF(AE341="","",IFERROR(INDEX($AN$11:$AN$4010,MATCH(331,$AZ$11:$AZ$4010,0)),""))</f>
        <v/>
      </c>
      <c r="AG341" s="11" t="str">
        <f>IF(AE341="","",IFERROR(INDEX($AO$11:$AO$4010,MATCH(331,$AZ$11:$AZ$4010,0)),""))</f>
        <v/>
      </c>
      <c r="AH341" s="10" t="str">
        <f>IF(AE341="","",IFERROR(INDEX($AQ$11:$AQ$4010,MATCH(331,$AZ$11:$AZ$4010,0)),""))</f>
        <v/>
      </c>
      <c r="AI341" s="15" t="str">
        <f>IF(AE341="","",IFERROR(INDEX($AR$11:$AR$4010,MATCH(331,$AZ$11:$AZ$4010,0)),""))</f>
        <v/>
      </c>
      <c r="AJ341" s="15" t="str">
        <f>IF(AE341="","",IFERROR(INDEX($AT$11:$AT$4010,MATCH(331,$AZ$11:$AZ$4010,0)),""))</f>
        <v/>
      </c>
      <c r="AL341" s="17" t="str">
        <f t="shared" si="73"/>
        <v/>
      </c>
      <c r="AM341" s="12" t="str">
        <f t="shared" si="74"/>
        <v/>
      </c>
      <c r="AN341" s="18" t="str">
        <f t="shared" si="75"/>
        <v/>
      </c>
      <c r="AO341" s="18" t="str">
        <f t="shared" si="76"/>
        <v/>
      </c>
      <c r="AP341" s="10" t="str">
        <f t="shared" si="77"/>
        <v/>
      </c>
      <c r="AQ341" s="10" t="str">
        <f t="shared" si="78"/>
        <v/>
      </c>
      <c r="AR341" s="19" t="str">
        <f t="shared" si="79"/>
        <v/>
      </c>
      <c r="AS341" s="20"/>
      <c r="AT341" s="19"/>
      <c r="AV341" s="21">
        <f>IF(AND($AL341&lt;&gt;"",COUNTIF($AL$11:$AL341,$AL341)=1),1,0)</f>
        <v>0</v>
      </c>
      <c r="AW341" s="21">
        <f t="shared" si="81"/>
        <v>0</v>
      </c>
      <c r="AX341" s="21" t="str">
        <f t="shared" si="80"/>
        <v/>
      </c>
      <c r="AY341" s="21" t="str">
        <f>IF(AND($AM341&lt;&gt;"",$AS341&lt;&gt;"✓"),SUMPRODUCT(($AM$11:$AM341&lt;&gt;"")*($AS$11:$AS341&lt;&gt;"✓")),"")</f>
        <v/>
      </c>
      <c r="AZ341" s="21" t="str">
        <f>IF(AND($AM341&lt;&gt;"",$AS341="✓"),SUMPRODUCT(($AM$11:$AM341&lt;&gt;"")*($AS$11:$AS341="✓")),"")</f>
        <v/>
      </c>
      <c r="BA341" s="21" t="str">
        <f>IF($AL341="","",$AL341&amp;"|"&amp;COUNTIF($AL$11:$AL341,$AL341))</f>
        <v/>
      </c>
    </row>
    <row r="342" spans="2:53" ht="15" customHeight="1" x14ac:dyDescent="0.25">
      <c r="B342" s="5" t="str">
        <f t="shared" si="72"/>
        <v/>
      </c>
      <c r="C342" s="5"/>
      <c r="D342" s="5"/>
      <c r="E342" s="5"/>
      <c r="F342" s="6"/>
      <c r="G342" s="6"/>
      <c r="H342" s="7"/>
      <c r="I342" s="8"/>
      <c r="W342" s="28" t="str">
        <f>IF(X342="","",IFERROR(INDEX($AL$11:$AL$4010,MATCH(332,$AY$11:$AY$4010,0)),""))</f>
        <v/>
      </c>
      <c r="X342" s="26" t="str">
        <f>IFERROR(INDEX($AM$11:$AM$4010,MATCH(332,$AY$11:$AY$4010,0)),"")</f>
        <v/>
      </c>
      <c r="Y342" s="25" t="str">
        <f>IF(X342="","",IFERROR(INDEX($AN$11:$AN$4010,MATCH(332,$AY$11:$AY$4010,0)),""))</f>
        <v/>
      </c>
      <c r="Z342" s="25" t="str">
        <f>IF(X342="","",IFERROR(INDEX($AO$11:$AO$4010,MATCH(332,$AY$11:$AY$4010,0)),""))</f>
        <v/>
      </c>
      <c r="AA342" s="24" t="str">
        <f>IF(X342="","",IFERROR(INDEX($AQ$11:$AQ$4010,MATCH(332,$AY$11:$AY$4010,0)),""))</f>
        <v/>
      </c>
      <c r="AB342" s="29" t="str">
        <f>IF(X342="","",IFERROR(INDEX($AR$11:$AR$4010,MATCH(332,$AY$11:$AY$4010,0)),""))</f>
        <v/>
      </c>
      <c r="AD342" s="30" t="str">
        <f>IF(AE342="","",IFERROR(INDEX($AL$11:$AL$4010,MATCH(332,$AZ$11:$AZ$4010,0)),""))</f>
        <v/>
      </c>
      <c r="AE342" s="26" t="str">
        <f>IFERROR(INDEX($AM$11:$AM$4010,MATCH(332,$AZ$11:$AZ$4010,0)),"")</f>
        <v/>
      </c>
      <c r="AF342" s="25" t="str">
        <f>IF(AE342="","",IFERROR(INDEX($AN$11:$AN$4010,MATCH(332,$AZ$11:$AZ$4010,0)),""))</f>
        <v/>
      </c>
      <c r="AG342" s="25" t="str">
        <f>IF(AE342="","",IFERROR(INDEX($AO$11:$AO$4010,MATCH(332,$AZ$11:$AZ$4010,0)),""))</f>
        <v/>
      </c>
      <c r="AH342" s="24" t="str">
        <f>IF(AE342="","",IFERROR(INDEX($AQ$11:$AQ$4010,MATCH(332,$AZ$11:$AZ$4010,0)),""))</f>
        <v/>
      </c>
      <c r="AI342" s="29" t="str">
        <f>IF(AE342="","",IFERROR(INDEX($AR$11:$AR$4010,MATCH(332,$AZ$11:$AZ$4010,0)),""))</f>
        <v/>
      </c>
      <c r="AJ342" s="29" t="str">
        <f>IF(AE342="","",IFERROR(INDEX($AT$11:$AT$4010,MATCH(332,$AZ$11:$AZ$4010,0)),""))</f>
        <v/>
      </c>
      <c r="AL342" s="31" t="str">
        <f t="shared" si="73"/>
        <v/>
      </c>
      <c r="AM342" s="26" t="str">
        <f t="shared" si="74"/>
        <v/>
      </c>
      <c r="AN342" s="32" t="str">
        <f t="shared" si="75"/>
        <v/>
      </c>
      <c r="AO342" s="32" t="str">
        <f t="shared" si="76"/>
        <v/>
      </c>
      <c r="AP342" s="24" t="str">
        <f t="shared" si="77"/>
        <v/>
      </c>
      <c r="AQ342" s="24" t="str">
        <f t="shared" si="78"/>
        <v/>
      </c>
      <c r="AR342" s="33" t="str">
        <f t="shared" si="79"/>
        <v/>
      </c>
      <c r="AS342" s="34"/>
      <c r="AT342" s="33"/>
      <c r="AV342" s="21">
        <f>IF(AND($AL342&lt;&gt;"",COUNTIF($AL$11:$AL342,$AL342)=1),1,0)</f>
        <v>0</v>
      </c>
      <c r="AW342" s="21">
        <f t="shared" si="81"/>
        <v>0</v>
      </c>
      <c r="AX342" s="21" t="str">
        <f t="shared" si="80"/>
        <v/>
      </c>
      <c r="AY342" s="21" t="str">
        <f>IF(AND($AM342&lt;&gt;"",$AS342&lt;&gt;"✓"),SUMPRODUCT(($AM$11:$AM342&lt;&gt;"")*($AS$11:$AS342&lt;&gt;"✓")),"")</f>
        <v/>
      </c>
      <c r="AZ342" s="21" t="str">
        <f>IF(AND($AM342&lt;&gt;"",$AS342="✓"),SUMPRODUCT(($AM$11:$AM342&lt;&gt;"")*($AS$11:$AS342="✓")),"")</f>
        <v/>
      </c>
      <c r="BA342" s="21" t="str">
        <f>IF($AL342="","",$AL342&amp;"|"&amp;COUNTIF($AL$11:$AL342,$AL342))</f>
        <v/>
      </c>
    </row>
    <row r="343" spans="2:53" ht="15" customHeight="1" x14ac:dyDescent="0.25">
      <c r="B343" s="5" t="str">
        <f t="shared" si="72"/>
        <v/>
      </c>
      <c r="C343" s="5"/>
      <c r="D343" s="5"/>
      <c r="E343" s="5"/>
      <c r="F343" s="6"/>
      <c r="G343" s="6"/>
      <c r="H343" s="7"/>
      <c r="I343" s="8"/>
      <c r="W343" s="14" t="str">
        <f>IF(X343="","",IFERROR(INDEX($AL$11:$AL$4010,MATCH(333,$AY$11:$AY$4010,0)),""))</f>
        <v/>
      </c>
      <c r="X343" s="12" t="str">
        <f>IFERROR(INDEX($AM$11:$AM$4010,MATCH(333,$AY$11:$AY$4010,0)),"")</f>
        <v/>
      </c>
      <c r="Y343" s="11" t="str">
        <f>IF(X343="","",IFERROR(INDEX($AN$11:$AN$4010,MATCH(333,$AY$11:$AY$4010,0)),""))</f>
        <v/>
      </c>
      <c r="Z343" s="11" t="str">
        <f>IF(X343="","",IFERROR(INDEX($AO$11:$AO$4010,MATCH(333,$AY$11:$AY$4010,0)),""))</f>
        <v/>
      </c>
      <c r="AA343" s="10" t="str">
        <f>IF(X343="","",IFERROR(INDEX($AQ$11:$AQ$4010,MATCH(333,$AY$11:$AY$4010,0)),""))</f>
        <v/>
      </c>
      <c r="AB343" s="15" t="str">
        <f>IF(X343="","",IFERROR(INDEX($AR$11:$AR$4010,MATCH(333,$AY$11:$AY$4010,0)),""))</f>
        <v/>
      </c>
      <c r="AD343" s="16" t="str">
        <f>IF(AE343="","",IFERROR(INDEX($AL$11:$AL$4010,MATCH(333,$AZ$11:$AZ$4010,0)),""))</f>
        <v/>
      </c>
      <c r="AE343" s="12" t="str">
        <f>IFERROR(INDEX($AM$11:$AM$4010,MATCH(333,$AZ$11:$AZ$4010,0)),"")</f>
        <v/>
      </c>
      <c r="AF343" s="11" t="str">
        <f>IF(AE343="","",IFERROR(INDEX($AN$11:$AN$4010,MATCH(333,$AZ$11:$AZ$4010,0)),""))</f>
        <v/>
      </c>
      <c r="AG343" s="11" t="str">
        <f>IF(AE343="","",IFERROR(INDEX($AO$11:$AO$4010,MATCH(333,$AZ$11:$AZ$4010,0)),""))</f>
        <v/>
      </c>
      <c r="AH343" s="10" t="str">
        <f>IF(AE343="","",IFERROR(INDEX($AQ$11:$AQ$4010,MATCH(333,$AZ$11:$AZ$4010,0)),""))</f>
        <v/>
      </c>
      <c r="AI343" s="15" t="str">
        <f>IF(AE343="","",IFERROR(INDEX($AR$11:$AR$4010,MATCH(333,$AZ$11:$AZ$4010,0)),""))</f>
        <v/>
      </c>
      <c r="AJ343" s="15" t="str">
        <f>IF(AE343="","",IFERROR(INDEX($AT$11:$AT$4010,MATCH(333,$AZ$11:$AZ$4010,0)),""))</f>
        <v/>
      </c>
      <c r="AL343" s="17" t="str">
        <f t="shared" si="73"/>
        <v/>
      </c>
      <c r="AM343" s="12" t="str">
        <f t="shared" si="74"/>
        <v/>
      </c>
      <c r="AN343" s="18" t="str">
        <f t="shared" si="75"/>
        <v/>
      </c>
      <c r="AO343" s="18" t="str">
        <f t="shared" si="76"/>
        <v/>
      </c>
      <c r="AP343" s="10" t="str">
        <f t="shared" si="77"/>
        <v/>
      </c>
      <c r="AQ343" s="10" t="str">
        <f t="shared" si="78"/>
        <v/>
      </c>
      <c r="AR343" s="19" t="str">
        <f t="shared" si="79"/>
        <v/>
      </c>
      <c r="AS343" s="20"/>
      <c r="AT343" s="19"/>
      <c r="AV343" s="21">
        <f>IF(AND($AL343&lt;&gt;"",COUNTIF($AL$11:$AL343,$AL343)=1),1,0)</f>
        <v>0</v>
      </c>
      <c r="AW343" s="21">
        <f t="shared" si="81"/>
        <v>0</v>
      </c>
      <c r="AX343" s="21" t="str">
        <f t="shared" si="80"/>
        <v/>
      </c>
      <c r="AY343" s="21" t="str">
        <f>IF(AND($AM343&lt;&gt;"",$AS343&lt;&gt;"✓"),SUMPRODUCT(($AM$11:$AM343&lt;&gt;"")*($AS$11:$AS343&lt;&gt;"✓")),"")</f>
        <v/>
      </c>
      <c r="AZ343" s="21" t="str">
        <f>IF(AND($AM343&lt;&gt;"",$AS343="✓"),SUMPRODUCT(($AM$11:$AM343&lt;&gt;"")*($AS$11:$AS343="✓")),"")</f>
        <v/>
      </c>
      <c r="BA343" s="21" t="str">
        <f>IF($AL343="","",$AL343&amp;"|"&amp;COUNTIF($AL$11:$AL343,$AL343))</f>
        <v/>
      </c>
    </row>
    <row r="344" spans="2:53" ht="15" customHeight="1" x14ac:dyDescent="0.25">
      <c r="B344" s="5" t="str">
        <f t="shared" si="72"/>
        <v/>
      </c>
      <c r="C344" s="5"/>
      <c r="D344" s="5"/>
      <c r="E344" s="5"/>
      <c r="F344" s="6"/>
      <c r="G344" s="6"/>
      <c r="H344" s="7"/>
      <c r="I344" s="8"/>
      <c r="W344" s="28" t="str">
        <f>IF(X344="","",IFERROR(INDEX($AL$11:$AL$4010,MATCH(334,$AY$11:$AY$4010,0)),""))</f>
        <v/>
      </c>
      <c r="X344" s="26" t="str">
        <f>IFERROR(INDEX($AM$11:$AM$4010,MATCH(334,$AY$11:$AY$4010,0)),"")</f>
        <v/>
      </c>
      <c r="Y344" s="25" t="str">
        <f>IF(X344="","",IFERROR(INDEX($AN$11:$AN$4010,MATCH(334,$AY$11:$AY$4010,0)),""))</f>
        <v/>
      </c>
      <c r="Z344" s="25" t="str">
        <f>IF(X344="","",IFERROR(INDEX($AO$11:$AO$4010,MATCH(334,$AY$11:$AY$4010,0)),""))</f>
        <v/>
      </c>
      <c r="AA344" s="24" t="str">
        <f>IF(X344="","",IFERROR(INDEX($AQ$11:$AQ$4010,MATCH(334,$AY$11:$AY$4010,0)),""))</f>
        <v/>
      </c>
      <c r="AB344" s="29" t="str">
        <f>IF(X344="","",IFERROR(INDEX($AR$11:$AR$4010,MATCH(334,$AY$11:$AY$4010,0)),""))</f>
        <v/>
      </c>
      <c r="AD344" s="30" t="str">
        <f>IF(AE344="","",IFERROR(INDEX($AL$11:$AL$4010,MATCH(334,$AZ$11:$AZ$4010,0)),""))</f>
        <v/>
      </c>
      <c r="AE344" s="26" t="str">
        <f>IFERROR(INDEX($AM$11:$AM$4010,MATCH(334,$AZ$11:$AZ$4010,0)),"")</f>
        <v/>
      </c>
      <c r="AF344" s="25" t="str">
        <f>IF(AE344="","",IFERROR(INDEX($AN$11:$AN$4010,MATCH(334,$AZ$11:$AZ$4010,0)),""))</f>
        <v/>
      </c>
      <c r="AG344" s="25" t="str">
        <f>IF(AE344="","",IFERROR(INDEX($AO$11:$AO$4010,MATCH(334,$AZ$11:$AZ$4010,0)),""))</f>
        <v/>
      </c>
      <c r="AH344" s="24" t="str">
        <f>IF(AE344="","",IFERROR(INDEX($AQ$11:$AQ$4010,MATCH(334,$AZ$11:$AZ$4010,0)),""))</f>
        <v/>
      </c>
      <c r="AI344" s="29" t="str">
        <f>IF(AE344="","",IFERROR(INDEX($AR$11:$AR$4010,MATCH(334,$AZ$11:$AZ$4010,0)),""))</f>
        <v/>
      </c>
      <c r="AJ344" s="29" t="str">
        <f>IF(AE344="","",IFERROR(INDEX($AT$11:$AT$4010,MATCH(334,$AZ$11:$AZ$4010,0)),""))</f>
        <v/>
      </c>
      <c r="AL344" s="31" t="str">
        <f t="shared" si="73"/>
        <v/>
      </c>
      <c r="AM344" s="26" t="str">
        <f t="shared" si="74"/>
        <v/>
      </c>
      <c r="AN344" s="32" t="str">
        <f t="shared" si="75"/>
        <v/>
      </c>
      <c r="AO344" s="32" t="str">
        <f t="shared" si="76"/>
        <v/>
      </c>
      <c r="AP344" s="24" t="str">
        <f t="shared" si="77"/>
        <v/>
      </c>
      <c r="AQ344" s="24" t="str">
        <f t="shared" si="78"/>
        <v/>
      </c>
      <c r="AR344" s="33" t="str">
        <f t="shared" si="79"/>
        <v/>
      </c>
      <c r="AS344" s="34"/>
      <c r="AT344" s="33"/>
      <c r="AV344" s="21">
        <f>IF(AND($AL344&lt;&gt;"",COUNTIF($AL$11:$AL344,$AL344)=1),1,0)</f>
        <v>0</v>
      </c>
      <c r="AW344" s="21">
        <f t="shared" si="81"/>
        <v>0</v>
      </c>
      <c r="AX344" s="21" t="str">
        <f t="shared" si="80"/>
        <v/>
      </c>
      <c r="AY344" s="21" t="str">
        <f>IF(AND($AM344&lt;&gt;"",$AS344&lt;&gt;"✓"),SUMPRODUCT(($AM$11:$AM344&lt;&gt;"")*($AS$11:$AS344&lt;&gt;"✓")),"")</f>
        <v/>
      </c>
      <c r="AZ344" s="21" t="str">
        <f>IF(AND($AM344&lt;&gt;"",$AS344="✓"),SUMPRODUCT(($AM$11:$AM344&lt;&gt;"")*($AS$11:$AS344="✓")),"")</f>
        <v/>
      </c>
      <c r="BA344" s="21" t="str">
        <f>IF($AL344="","",$AL344&amp;"|"&amp;COUNTIF($AL$11:$AL344,$AL344))</f>
        <v/>
      </c>
    </row>
    <row r="345" spans="2:53" ht="15" customHeight="1" x14ac:dyDescent="0.25">
      <c r="B345" s="5" t="str">
        <f t="shared" si="72"/>
        <v/>
      </c>
      <c r="C345" s="5"/>
      <c r="D345" s="5"/>
      <c r="E345" s="5"/>
      <c r="F345" s="6"/>
      <c r="G345" s="6"/>
      <c r="H345" s="7"/>
      <c r="I345" s="8"/>
      <c r="W345" s="14" t="str">
        <f>IF(X345="","",IFERROR(INDEX($AL$11:$AL$4010,MATCH(335,$AY$11:$AY$4010,0)),""))</f>
        <v/>
      </c>
      <c r="X345" s="12" t="str">
        <f>IFERROR(INDEX($AM$11:$AM$4010,MATCH(335,$AY$11:$AY$4010,0)),"")</f>
        <v/>
      </c>
      <c r="Y345" s="11" t="str">
        <f>IF(X345="","",IFERROR(INDEX($AN$11:$AN$4010,MATCH(335,$AY$11:$AY$4010,0)),""))</f>
        <v/>
      </c>
      <c r="Z345" s="11" t="str">
        <f>IF(X345="","",IFERROR(INDEX($AO$11:$AO$4010,MATCH(335,$AY$11:$AY$4010,0)),""))</f>
        <v/>
      </c>
      <c r="AA345" s="10" t="str">
        <f>IF(X345="","",IFERROR(INDEX($AQ$11:$AQ$4010,MATCH(335,$AY$11:$AY$4010,0)),""))</f>
        <v/>
      </c>
      <c r="AB345" s="15" t="str">
        <f>IF(X345="","",IFERROR(INDEX($AR$11:$AR$4010,MATCH(335,$AY$11:$AY$4010,0)),""))</f>
        <v/>
      </c>
      <c r="AD345" s="16" t="str">
        <f>IF(AE345="","",IFERROR(INDEX($AL$11:$AL$4010,MATCH(335,$AZ$11:$AZ$4010,0)),""))</f>
        <v/>
      </c>
      <c r="AE345" s="12" t="str">
        <f>IFERROR(INDEX($AM$11:$AM$4010,MATCH(335,$AZ$11:$AZ$4010,0)),"")</f>
        <v/>
      </c>
      <c r="AF345" s="11" t="str">
        <f>IF(AE345="","",IFERROR(INDEX($AN$11:$AN$4010,MATCH(335,$AZ$11:$AZ$4010,0)),""))</f>
        <v/>
      </c>
      <c r="AG345" s="11" t="str">
        <f>IF(AE345="","",IFERROR(INDEX($AO$11:$AO$4010,MATCH(335,$AZ$11:$AZ$4010,0)),""))</f>
        <v/>
      </c>
      <c r="AH345" s="10" t="str">
        <f>IF(AE345="","",IFERROR(INDEX($AQ$11:$AQ$4010,MATCH(335,$AZ$11:$AZ$4010,0)),""))</f>
        <v/>
      </c>
      <c r="AI345" s="15" t="str">
        <f>IF(AE345="","",IFERROR(INDEX($AR$11:$AR$4010,MATCH(335,$AZ$11:$AZ$4010,0)),""))</f>
        <v/>
      </c>
      <c r="AJ345" s="15" t="str">
        <f>IF(AE345="","",IFERROR(INDEX($AT$11:$AT$4010,MATCH(335,$AZ$11:$AZ$4010,0)),""))</f>
        <v/>
      </c>
      <c r="AL345" s="17" t="str">
        <f t="shared" si="73"/>
        <v/>
      </c>
      <c r="AM345" s="12" t="str">
        <f t="shared" si="74"/>
        <v/>
      </c>
      <c r="AN345" s="18" t="str">
        <f t="shared" si="75"/>
        <v/>
      </c>
      <c r="AO345" s="18" t="str">
        <f t="shared" si="76"/>
        <v/>
      </c>
      <c r="AP345" s="10" t="str">
        <f t="shared" si="77"/>
        <v/>
      </c>
      <c r="AQ345" s="10" t="str">
        <f t="shared" si="78"/>
        <v/>
      </c>
      <c r="AR345" s="19" t="str">
        <f t="shared" si="79"/>
        <v/>
      </c>
      <c r="AS345" s="20"/>
      <c r="AT345" s="19"/>
      <c r="AV345" s="21">
        <f>IF(AND($AL345&lt;&gt;"",COUNTIF($AL$11:$AL345,$AL345)=1),1,0)</f>
        <v>0</v>
      </c>
      <c r="AW345" s="21">
        <f t="shared" si="81"/>
        <v>0</v>
      </c>
      <c r="AX345" s="21" t="str">
        <f t="shared" si="80"/>
        <v/>
      </c>
      <c r="AY345" s="21" t="str">
        <f>IF(AND($AM345&lt;&gt;"",$AS345&lt;&gt;"✓"),SUMPRODUCT(($AM$11:$AM345&lt;&gt;"")*($AS$11:$AS345&lt;&gt;"✓")),"")</f>
        <v/>
      </c>
      <c r="AZ345" s="21" t="str">
        <f>IF(AND($AM345&lt;&gt;"",$AS345="✓"),SUMPRODUCT(($AM$11:$AM345&lt;&gt;"")*($AS$11:$AS345="✓")),"")</f>
        <v/>
      </c>
      <c r="BA345" s="21" t="str">
        <f>IF($AL345="","",$AL345&amp;"|"&amp;COUNTIF($AL$11:$AL345,$AL345))</f>
        <v/>
      </c>
    </row>
    <row r="346" spans="2:53" ht="15" customHeight="1" x14ac:dyDescent="0.25">
      <c r="B346" s="5" t="str">
        <f t="shared" si="72"/>
        <v/>
      </c>
      <c r="C346" s="5"/>
      <c r="D346" s="5"/>
      <c r="E346" s="5"/>
      <c r="F346" s="6"/>
      <c r="G346" s="6"/>
      <c r="H346" s="7"/>
      <c r="I346" s="8"/>
      <c r="W346" s="28" t="str">
        <f>IF(X346="","",IFERROR(INDEX($AL$11:$AL$4010,MATCH(336,$AY$11:$AY$4010,0)),""))</f>
        <v/>
      </c>
      <c r="X346" s="26" t="str">
        <f>IFERROR(INDEX($AM$11:$AM$4010,MATCH(336,$AY$11:$AY$4010,0)),"")</f>
        <v/>
      </c>
      <c r="Y346" s="25" t="str">
        <f>IF(X346="","",IFERROR(INDEX($AN$11:$AN$4010,MATCH(336,$AY$11:$AY$4010,0)),""))</f>
        <v/>
      </c>
      <c r="Z346" s="25" t="str">
        <f>IF(X346="","",IFERROR(INDEX($AO$11:$AO$4010,MATCH(336,$AY$11:$AY$4010,0)),""))</f>
        <v/>
      </c>
      <c r="AA346" s="24" t="str">
        <f>IF(X346="","",IFERROR(INDEX($AQ$11:$AQ$4010,MATCH(336,$AY$11:$AY$4010,0)),""))</f>
        <v/>
      </c>
      <c r="AB346" s="29" t="str">
        <f>IF(X346="","",IFERROR(INDEX($AR$11:$AR$4010,MATCH(336,$AY$11:$AY$4010,0)),""))</f>
        <v/>
      </c>
      <c r="AD346" s="30" t="str">
        <f>IF(AE346="","",IFERROR(INDEX($AL$11:$AL$4010,MATCH(336,$AZ$11:$AZ$4010,0)),""))</f>
        <v/>
      </c>
      <c r="AE346" s="26" t="str">
        <f>IFERROR(INDEX($AM$11:$AM$4010,MATCH(336,$AZ$11:$AZ$4010,0)),"")</f>
        <v/>
      </c>
      <c r="AF346" s="25" t="str">
        <f>IF(AE346="","",IFERROR(INDEX($AN$11:$AN$4010,MATCH(336,$AZ$11:$AZ$4010,0)),""))</f>
        <v/>
      </c>
      <c r="AG346" s="25" t="str">
        <f>IF(AE346="","",IFERROR(INDEX($AO$11:$AO$4010,MATCH(336,$AZ$11:$AZ$4010,0)),""))</f>
        <v/>
      </c>
      <c r="AH346" s="24" t="str">
        <f>IF(AE346="","",IFERROR(INDEX($AQ$11:$AQ$4010,MATCH(336,$AZ$11:$AZ$4010,0)),""))</f>
        <v/>
      </c>
      <c r="AI346" s="29" t="str">
        <f>IF(AE346="","",IFERROR(INDEX($AR$11:$AR$4010,MATCH(336,$AZ$11:$AZ$4010,0)),""))</f>
        <v/>
      </c>
      <c r="AJ346" s="29" t="str">
        <f>IF(AE346="","",IFERROR(INDEX($AT$11:$AT$4010,MATCH(336,$AZ$11:$AZ$4010,0)),""))</f>
        <v/>
      </c>
      <c r="AL346" s="31" t="str">
        <f t="shared" si="73"/>
        <v/>
      </c>
      <c r="AM346" s="26" t="str">
        <f t="shared" si="74"/>
        <v/>
      </c>
      <c r="AN346" s="32" t="str">
        <f t="shared" si="75"/>
        <v/>
      </c>
      <c r="AO346" s="32" t="str">
        <f t="shared" si="76"/>
        <v/>
      </c>
      <c r="AP346" s="24" t="str">
        <f t="shared" si="77"/>
        <v/>
      </c>
      <c r="AQ346" s="24" t="str">
        <f t="shared" si="78"/>
        <v/>
      </c>
      <c r="AR346" s="33" t="str">
        <f t="shared" si="79"/>
        <v/>
      </c>
      <c r="AS346" s="34"/>
      <c r="AT346" s="33"/>
      <c r="AV346" s="21">
        <f>IF(AND($AL346&lt;&gt;"",COUNTIF($AL$11:$AL346,$AL346)=1),1,0)</f>
        <v>0</v>
      </c>
      <c r="AW346" s="21">
        <f t="shared" si="81"/>
        <v>0</v>
      </c>
      <c r="AX346" s="21" t="str">
        <f t="shared" si="80"/>
        <v/>
      </c>
      <c r="AY346" s="21" t="str">
        <f>IF(AND($AM346&lt;&gt;"",$AS346&lt;&gt;"✓"),SUMPRODUCT(($AM$11:$AM346&lt;&gt;"")*($AS$11:$AS346&lt;&gt;"✓")),"")</f>
        <v/>
      </c>
      <c r="AZ346" s="21" t="str">
        <f>IF(AND($AM346&lt;&gt;"",$AS346="✓"),SUMPRODUCT(($AM$11:$AM346&lt;&gt;"")*($AS$11:$AS346="✓")),"")</f>
        <v/>
      </c>
      <c r="BA346" s="21" t="str">
        <f>IF($AL346="","",$AL346&amp;"|"&amp;COUNTIF($AL$11:$AL346,$AL346))</f>
        <v/>
      </c>
    </row>
    <row r="347" spans="2:53" ht="15" customHeight="1" x14ac:dyDescent="0.25">
      <c r="B347" s="5" t="str">
        <f t="shared" si="72"/>
        <v/>
      </c>
      <c r="C347" s="5"/>
      <c r="D347" s="5"/>
      <c r="E347" s="5"/>
      <c r="F347" s="6"/>
      <c r="G347" s="6"/>
      <c r="H347" s="7"/>
      <c r="I347" s="8"/>
      <c r="W347" s="14" t="str">
        <f>IF(X347="","",IFERROR(INDEX($AL$11:$AL$4010,MATCH(337,$AY$11:$AY$4010,0)),""))</f>
        <v/>
      </c>
      <c r="X347" s="12" t="str">
        <f>IFERROR(INDEX($AM$11:$AM$4010,MATCH(337,$AY$11:$AY$4010,0)),"")</f>
        <v/>
      </c>
      <c r="Y347" s="11" t="str">
        <f>IF(X347="","",IFERROR(INDEX($AN$11:$AN$4010,MATCH(337,$AY$11:$AY$4010,0)),""))</f>
        <v/>
      </c>
      <c r="Z347" s="11" t="str">
        <f>IF(X347="","",IFERROR(INDEX($AO$11:$AO$4010,MATCH(337,$AY$11:$AY$4010,0)),""))</f>
        <v/>
      </c>
      <c r="AA347" s="10" t="str">
        <f>IF(X347="","",IFERROR(INDEX($AQ$11:$AQ$4010,MATCH(337,$AY$11:$AY$4010,0)),""))</f>
        <v/>
      </c>
      <c r="AB347" s="15" t="str">
        <f>IF(X347="","",IFERROR(INDEX($AR$11:$AR$4010,MATCH(337,$AY$11:$AY$4010,0)),""))</f>
        <v/>
      </c>
      <c r="AD347" s="16" t="str">
        <f>IF(AE347="","",IFERROR(INDEX($AL$11:$AL$4010,MATCH(337,$AZ$11:$AZ$4010,0)),""))</f>
        <v/>
      </c>
      <c r="AE347" s="12" t="str">
        <f>IFERROR(INDEX($AM$11:$AM$4010,MATCH(337,$AZ$11:$AZ$4010,0)),"")</f>
        <v/>
      </c>
      <c r="AF347" s="11" t="str">
        <f>IF(AE347="","",IFERROR(INDEX($AN$11:$AN$4010,MATCH(337,$AZ$11:$AZ$4010,0)),""))</f>
        <v/>
      </c>
      <c r="AG347" s="11" t="str">
        <f>IF(AE347="","",IFERROR(INDEX($AO$11:$AO$4010,MATCH(337,$AZ$11:$AZ$4010,0)),""))</f>
        <v/>
      </c>
      <c r="AH347" s="10" t="str">
        <f>IF(AE347="","",IFERROR(INDEX($AQ$11:$AQ$4010,MATCH(337,$AZ$11:$AZ$4010,0)),""))</f>
        <v/>
      </c>
      <c r="AI347" s="15" t="str">
        <f>IF(AE347="","",IFERROR(INDEX($AR$11:$AR$4010,MATCH(337,$AZ$11:$AZ$4010,0)),""))</f>
        <v/>
      </c>
      <c r="AJ347" s="15" t="str">
        <f>IF(AE347="","",IFERROR(INDEX($AT$11:$AT$4010,MATCH(337,$AZ$11:$AZ$4010,0)),""))</f>
        <v/>
      </c>
      <c r="AL347" s="17" t="str">
        <f t="shared" si="73"/>
        <v/>
      </c>
      <c r="AM347" s="12" t="str">
        <f t="shared" si="74"/>
        <v/>
      </c>
      <c r="AN347" s="18" t="str">
        <f t="shared" si="75"/>
        <v/>
      </c>
      <c r="AO347" s="18" t="str">
        <f t="shared" si="76"/>
        <v/>
      </c>
      <c r="AP347" s="10" t="str">
        <f t="shared" si="77"/>
        <v/>
      </c>
      <c r="AQ347" s="10" t="str">
        <f t="shared" si="78"/>
        <v/>
      </c>
      <c r="AR347" s="19" t="str">
        <f t="shared" si="79"/>
        <v/>
      </c>
      <c r="AS347" s="20"/>
      <c r="AT347" s="19"/>
      <c r="AV347" s="21">
        <f>IF(AND($AL347&lt;&gt;"",COUNTIF($AL$11:$AL347,$AL347)=1),1,0)</f>
        <v>0</v>
      </c>
      <c r="AW347" s="21">
        <f t="shared" si="81"/>
        <v>0</v>
      </c>
      <c r="AX347" s="21" t="str">
        <f t="shared" si="80"/>
        <v/>
      </c>
      <c r="AY347" s="21" t="str">
        <f>IF(AND($AM347&lt;&gt;"",$AS347&lt;&gt;"✓"),SUMPRODUCT(($AM$11:$AM347&lt;&gt;"")*($AS$11:$AS347&lt;&gt;"✓")),"")</f>
        <v/>
      </c>
      <c r="AZ347" s="21" t="str">
        <f>IF(AND($AM347&lt;&gt;"",$AS347="✓"),SUMPRODUCT(($AM$11:$AM347&lt;&gt;"")*($AS$11:$AS347="✓")),"")</f>
        <v/>
      </c>
      <c r="BA347" s="21" t="str">
        <f>IF($AL347="","",$AL347&amp;"|"&amp;COUNTIF($AL$11:$AL347,$AL347))</f>
        <v/>
      </c>
    </row>
    <row r="348" spans="2:53" ht="15" customHeight="1" x14ac:dyDescent="0.25">
      <c r="B348" s="5" t="str">
        <f t="shared" si="72"/>
        <v/>
      </c>
      <c r="C348" s="5"/>
      <c r="D348" s="5"/>
      <c r="E348" s="5"/>
      <c r="F348" s="6"/>
      <c r="G348" s="6"/>
      <c r="H348" s="7"/>
      <c r="I348" s="8"/>
      <c r="W348" s="28" t="str">
        <f>IF(X348="","",IFERROR(INDEX($AL$11:$AL$4010,MATCH(338,$AY$11:$AY$4010,0)),""))</f>
        <v/>
      </c>
      <c r="X348" s="26" t="str">
        <f>IFERROR(INDEX($AM$11:$AM$4010,MATCH(338,$AY$11:$AY$4010,0)),"")</f>
        <v/>
      </c>
      <c r="Y348" s="25" t="str">
        <f>IF(X348="","",IFERROR(INDEX($AN$11:$AN$4010,MATCH(338,$AY$11:$AY$4010,0)),""))</f>
        <v/>
      </c>
      <c r="Z348" s="25" t="str">
        <f>IF(X348="","",IFERROR(INDEX($AO$11:$AO$4010,MATCH(338,$AY$11:$AY$4010,0)),""))</f>
        <v/>
      </c>
      <c r="AA348" s="24" t="str">
        <f>IF(X348="","",IFERROR(INDEX($AQ$11:$AQ$4010,MATCH(338,$AY$11:$AY$4010,0)),""))</f>
        <v/>
      </c>
      <c r="AB348" s="29" t="str">
        <f>IF(X348="","",IFERROR(INDEX($AR$11:$AR$4010,MATCH(338,$AY$11:$AY$4010,0)),""))</f>
        <v/>
      </c>
      <c r="AD348" s="30" t="str">
        <f>IF(AE348="","",IFERROR(INDEX($AL$11:$AL$4010,MATCH(338,$AZ$11:$AZ$4010,0)),""))</f>
        <v/>
      </c>
      <c r="AE348" s="26" t="str">
        <f>IFERROR(INDEX($AM$11:$AM$4010,MATCH(338,$AZ$11:$AZ$4010,0)),"")</f>
        <v/>
      </c>
      <c r="AF348" s="25" t="str">
        <f>IF(AE348="","",IFERROR(INDEX($AN$11:$AN$4010,MATCH(338,$AZ$11:$AZ$4010,0)),""))</f>
        <v/>
      </c>
      <c r="AG348" s="25" t="str">
        <f>IF(AE348="","",IFERROR(INDEX($AO$11:$AO$4010,MATCH(338,$AZ$11:$AZ$4010,0)),""))</f>
        <v/>
      </c>
      <c r="AH348" s="24" t="str">
        <f>IF(AE348="","",IFERROR(INDEX($AQ$11:$AQ$4010,MATCH(338,$AZ$11:$AZ$4010,0)),""))</f>
        <v/>
      </c>
      <c r="AI348" s="29" t="str">
        <f>IF(AE348="","",IFERROR(INDEX($AR$11:$AR$4010,MATCH(338,$AZ$11:$AZ$4010,0)),""))</f>
        <v/>
      </c>
      <c r="AJ348" s="29" t="str">
        <f>IF(AE348="","",IFERROR(INDEX($AT$11:$AT$4010,MATCH(338,$AZ$11:$AZ$4010,0)),""))</f>
        <v/>
      </c>
      <c r="AL348" s="31" t="str">
        <f t="shared" si="73"/>
        <v/>
      </c>
      <c r="AM348" s="26" t="str">
        <f t="shared" si="74"/>
        <v/>
      </c>
      <c r="AN348" s="32" t="str">
        <f t="shared" si="75"/>
        <v/>
      </c>
      <c r="AO348" s="32" t="str">
        <f t="shared" si="76"/>
        <v/>
      </c>
      <c r="AP348" s="24" t="str">
        <f t="shared" si="77"/>
        <v/>
      </c>
      <c r="AQ348" s="24" t="str">
        <f t="shared" si="78"/>
        <v/>
      </c>
      <c r="AR348" s="33" t="str">
        <f t="shared" si="79"/>
        <v/>
      </c>
      <c r="AS348" s="34"/>
      <c r="AT348" s="33"/>
      <c r="AV348" s="21">
        <f>IF(AND($AL348&lt;&gt;"",COUNTIF($AL$11:$AL348,$AL348)=1),1,0)</f>
        <v>0</v>
      </c>
      <c r="AW348" s="21">
        <f t="shared" si="81"/>
        <v>0</v>
      </c>
      <c r="AX348" s="21" t="str">
        <f t="shared" si="80"/>
        <v/>
      </c>
      <c r="AY348" s="21" t="str">
        <f>IF(AND($AM348&lt;&gt;"",$AS348&lt;&gt;"✓"),SUMPRODUCT(($AM$11:$AM348&lt;&gt;"")*($AS$11:$AS348&lt;&gt;"✓")),"")</f>
        <v/>
      </c>
      <c r="AZ348" s="21" t="str">
        <f>IF(AND($AM348&lt;&gt;"",$AS348="✓"),SUMPRODUCT(($AM$11:$AM348&lt;&gt;"")*($AS$11:$AS348="✓")),"")</f>
        <v/>
      </c>
      <c r="BA348" s="21" t="str">
        <f>IF($AL348="","",$AL348&amp;"|"&amp;COUNTIF($AL$11:$AL348,$AL348))</f>
        <v/>
      </c>
    </row>
    <row r="349" spans="2:53" ht="15" customHeight="1" x14ac:dyDescent="0.25">
      <c r="B349" s="5" t="str">
        <f t="shared" si="72"/>
        <v/>
      </c>
      <c r="C349" s="5"/>
      <c r="D349" s="5"/>
      <c r="E349" s="5"/>
      <c r="F349" s="6"/>
      <c r="G349" s="6"/>
      <c r="H349" s="7"/>
      <c r="I349" s="8"/>
      <c r="W349" s="14" t="str">
        <f>IF(X349="","",IFERROR(INDEX($AL$11:$AL$4010,MATCH(339,$AY$11:$AY$4010,0)),""))</f>
        <v/>
      </c>
      <c r="X349" s="12" t="str">
        <f>IFERROR(INDEX($AM$11:$AM$4010,MATCH(339,$AY$11:$AY$4010,0)),"")</f>
        <v/>
      </c>
      <c r="Y349" s="11" t="str">
        <f>IF(X349="","",IFERROR(INDEX($AN$11:$AN$4010,MATCH(339,$AY$11:$AY$4010,0)),""))</f>
        <v/>
      </c>
      <c r="Z349" s="11" t="str">
        <f>IF(X349="","",IFERROR(INDEX($AO$11:$AO$4010,MATCH(339,$AY$11:$AY$4010,0)),""))</f>
        <v/>
      </c>
      <c r="AA349" s="10" t="str">
        <f>IF(X349="","",IFERROR(INDEX($AQ$11:$AQ$4010,MATCH(339,$AY$11:$AY$4010,0)),""))</f>
        <v/>
      </c>
      <c r="AB349" s="15" t="str">
        <f>IF(X349="","",IFERROR(INDEX($AR$11:$AR$4010,MATCH(339,$AY$11:$AY$4010,0)),""))</f>
        <v/>
      </c>
      <c r="AD349" s="16" t="str">
        <f>IF(AE349="","",IFERROR(INDEX($AL$11:$AL$4010,MATCH(339,$AZ$11:$AZ$4010,0)),""))</f>
        <v/>
      </c>
      <c r="AE349" s="12" t="str">
        <f>IFERROR(INDEX($AM$11:$AM$4010,MATCH(339,$AZ$11:$AZ$4010,0)),"")</f>
        <v/>
      </c>
      <c r="AF349" s="11" t="str">
        <f>IF(AE349="","",IFERROR(INDEX($AN$11:$AN$4010,MATCH(339,$AZ$11:$AZ$4010,0)),""))</f>
        <v/>
      </c>
      <c r="AG349" s="11" t="str">
        <f>IF(AE349="","",IFERROR(INDEX($AO$11:$AO$4010,MATCH(339,$AZ$11:$AZ$4010,0)),""))</f>
        <v/>
      </c>
      <c r="AH349" s="10" t="str">
        <f>IF(AE349="","",IFERROR(INDEX($AQ$11:$AQ$4010,MATCH(339,$AZ$11:$AZ$4010,0)),""))</f>
        <v/>
      </c>
      <c r="AI349" s="15" t="str">
        <f>IF(AE349="","",IFERROR(INDEX($AR$11:$AR$4010,MATCH(339,$AZ$11:$AZ$4010,0)),""))</f>
        <v/>
      </c>
      <c r="AJ349" s="15" t="str">
        <f>IF(AE349="","",IFERROR(INDEX($AT$11:$AT$4010,MATCH(339,$AZ$11:$AZ$4010,0)),""))</f>
        <v/>
      </c>
      <c r="AL349" s="17" t="str">
        <f t="shared" si="73"/>
        <v/>
      </c>
      <c r="AM349" s="12" t="str">
        <f t="shared" si="74"/>
        <v/>
      </c>
      <c r="AN349" s="18" t="str">
        <f t="shared" si="75"/>
        <v/>
      </c>
      <c r="AO349" s="18" t="str">
        <f t="shared" si="76"/>
        <v/>
      </c>
      <c r="AP349" s="10" t="str">
        <f t="shared" si="77"/>
        <v/>
      </c>
      <c r="AQ349" s="10" t="str">
        <f t="shared" si="78"/>
        <v/>
      </c>
      <c r="AR349" s="19" t="str">
        <f t="shared" si="79"/>
        <v/>
      </c>
      <c r="AS349" s="20"/>
      <c r="AT349" s="19"/>
      <c r="AV349" s="21">
        <f>IF(AND($AL349&lt;&gt;"",COUNTIF($AL$11:$AL349,$AL349)=1),1,0)</f>
        <v>0</v>
      </c>
      <c r="AW349" s="21">
        <f t="shared" si="81"/>
        <v>0</v>
      </c>
      <c r="AX349" s="21" t="str">
        <f t="shared" si="80"/>
        <v/>
      </c>
      <c r="AY349" s="21" t="str">
        <f>IF(AND($AM349&lt;&gt;"",$AS349&lt;&gt;"✓"),SUMPRODUCT(($AM$11:$AM349&lt;&gt;"")*($AS$11:$AS349&lt;&gt;"✓")),"")</f>
        <v/>
      </c>
      <c r="AZ349" s="21" t="str">
        <f>IF(AND($AM349&lt;&gt;"",$AS349="✓"),SUMPRODUCT(($AM$11:$AM349&lt;&gt;"")*($AS$11:$AS349="✓")),"")</f>
        <v/>
      </c>
      <c r="BA349" s="21" t="str">
        <f>IF($AL349="","",$AL349&amp;"|"&amp;COUNTIF($AL$11:$AL349,$AL349))</f>
        <v/>
      </c>
    </row>
    <row r="350" spans="2:53" ht="15" customHeight="1" x14ac:dyDescent="0.25">
      <c r="B350" s="5" t="str">
        <f t="shared" si="72"/>
        <v/>
      </c>
      <c r="C350" s="5"/>
      <c r="D350" s="5"/>
      <c r="E350" s="5"/>
      <c r="F350" s="6"/>
      <c r="G350" s="6"/>
      <c r="H350" s="7"/>
      <c r="I350" s="8"/>
      <c r="W350" s="28" t="str">
        <f>IF(X350="","",IFERROR(INDEX($AL$11:$AL$4010,MATCH(340,$AY$11:$AY$4010,0)),""))</f>
        <v/>
      </c>
      <c r="X350" s="26" t="str">
        <f>IFERROR(INDEX($AM$11:$AM$4010,MATCH(340,$AY$11:$AY$4010,0)),"")</f>
        <v/>
      </c>
      <c r="Y350" s="25" t="str">
        <f>IF(X350="","",IFERROR(INDEX($AN$11:$AN$4010,MATCH(340,$AY$11:$AY$4010,0)),""))</f>
        <v/>
      </c>
      <c r="Z350" s="25" t="str">
        <f>IF(X350="","",IFERROR(INDEX($AO$11:$AO$4010,MATCH(340,$AY$11:$AY$4010,0)),""))</f>
        <v/>
      </c>
      <c r="AA350" s="24" t="str">
        <f>IF(X350="","",IFERROR(INDEX($AQ$11:$AQ$4010,MATCH(340,$AY$11:$AY$4010,0)),""))</f>
        <v/>
      </c>
      <c r="AB350" s="29" t="str">
        <f>IF(X350="","",IFERROR(INDEX($AR$11:$AR$4010,MATCH(340,$AY$11:$AY$4010,0)),""))</f>
        <v/>
      </c>
      <c r="AD350" s="30" t="str">
        <f>IF(AE350="","",IFERROR(INDEX($AL$11:$AL$4010,MATCH(340,$AZ$11:$AZ$4010,0)),""))</f>
        <v/>
      </c>
      <c r="AE350" s="26" t="str">
        <f>IFERROR(INDEX($AM$11:$AM$4010,MATCH(340,$AZ$11:$AZ$4010,0)),"")</f>
        <v/>
      </c>
      <c r="AF350" s="25" t="str">
        <f>IF(AE350="","",IFERROR(INDEX($AN$11:$AN$4010,MATCH(340,$AZ$11:$AZ$4010,0)),""))</f>
        <v/>
      </c>
      <c r="AG350" s="25" t="str">
        <f>IF(AE350="","",IFERROR(INDEX($AO$11:$AO$4010,MATCH(340,$AZ$11:$AZ$4010,0)),""))</f>
        <v/>
      </c>
      <c r="AH350" s="24" t="str">
        <f>IF(AE350="","",IFERROR(INDEX($AQ$11:$AQ$4010,MATCH(340,$AZ$11:$AZ$4010,0)),""))</f>
        <v/>
      </c>
      <c r="AI350" s="29" t="str">
        <f>IF(AE350="","",IFERROR(INDEX($AR$11:$AR$4010,MATCH(340,$AZ$11:$AZ$4010,0)),""))</f>
        <v/>
      </c>
      <c r="AJ350" s="29" t="str">
        <f>IF(AE350="","",IFERROR(INDEX($AT$11:$AT$4010,MATCH(340,$AZ$11:$AZ$4010,0)),""))</f>
        <v/>
      </c>
      <c r="AL350" s="31" t="str">
        <f t="shared" si="73"/>
        <v/>
      </c>
      <c r="AM350" s="26" t="str">
        <f t="shared" si="74"/>
        <v/>
      </c>
      <c r="AN350" s="32" t="str">
        <f t="shared" si="75"/>
        <v/>
      </c>
      <c r="AO350" s="32" t="str">
        <f t="shared" si="76"/>
        <v/>
      </c>
      <c r="AP350" s="24" t="str">
        <f t="shared" si="77"/>
        <v/>
      </c>
      <c r="AQ350" s="24" t="str">
        <f t="shared" si="78"/>
        <v/>
      </c>
      <c r="AR350" s="33" t="str">
        <f t="shared" si="79"/>
        <v/>
      </c>
      <c r="AS350" s="34"/>
      <c r="AT350" s="33"/>
      <c r="AV350" s="21">
        <f>IF(AND($AL350&lt;&gt;"",COUNTIF($AL$11:$AL350,$AL350)=1),1,0)</f>
        <v>0</v>
      </c>
      <c r="AW350" s="21">
        <f t="shared" si="81"/>
        <v>0</v>
      </c>
      <c r="AX350" s="21" t="str">
        <f t="shared" si="80"/>
        <v/>
      </c>
      <c r="AY350" s="21" t="str">
        <f>IF(AND($AM350&lt;&gt;"",$AS350&lt;&gt;"✓"),SUMPRODUCT(($AM$11:$AM350&lt;&gt;"")*($AS$11:$AS350&lt;&gt;"✓")),"")</f>
        <v/>
      </c>
      <c r="AZ350" s="21" t="str">
        <f>IF(AND($AM350&lt;&gt;"",$AS350="✓"),SUMPRODUCT(($AM$11:$AM350&lt;&gt;"")*($AS$11:$AS350="✓")),"")</f>
        <v/>
      </c>
      <c r="BA350" s="21" t="str">
        <f>IF($AL350="","",$AL350&amp;"|"&amp;COUNTIF($AL$11:$AL350,$AL350))</f>
        <v/>
      </c>
    </row>
    <row r="351" spans="2:53" ht="15" customHeight="1" x14ac:dyDescent="0.25">
      <c r="B351" s="5" t="str">
        <f t="shared" si="72"/>
        <v/>
      </c>
      <c r="C351" s="5"/>
      <c r="D351" s="5"/>
      <c r="E351" s="5"/>
      <c r="F351" s="6"/>
      <c r="G351" s="6"/>
      <c r="H351" s="7"/>
      <c r="I351" s="8"/>
      <c r="W351" s="14" t="str">
        <f>IF(X351="","",IFERROR(INDEX($AL$11:$AL$4010,MATCH(341,$AY$11:$AY$4010,0)),""))</f>
        <v/>
      </c>
      <c r="X351" s="12" t="str">
        <f>IFERROR(INDEX($AM$11:$AM$4010,MATCH(341,$AY$11:$AY$4010,0)),"")</f>
        <v/>
      </c>
      <c r="Y351" s="11" t="str">
        <f>IF(X351="","",IFERROR(INDEX($AN$11:$AN$4010,MATCH(341,$AY$11:$AY$4010,0)),""))</f>
        <v/>
      </c>
      <c r="Z351" s="11" t="str">
        <f>IF(X351="","",IFERROR(INDEX($AO$11:$AO$4010,MATCH(341,$AY$11:$AY$4010,0)),""))</f>
        <v/>
      </c>
      <c r="AA351" s="10" t="str">
        <f>IF(X351="","",IFERROR(INDEX($AQ$11:$AQ$4010,MATCH(341,$AY$11:$AY$4010,0)),""))</f>
        <v/>
      </c>
      <c r="AB351" s="15" t="str">
        <f>IF(X351="","",IFERROR(INDEX($AR$11:$AR$4010,MATCH(341,$AY$11:$AY$4010,0)),""))</f>
        <v/>
      </c>
      <c r="AD351" s="16" t="str">
        <f>IF(AE351="","",IFERROR(INDEX($AL$11:$AL$4010,MATCH(341,$AZ$11:$AZ$4010,0)),""))</f>
        <v/>
      </c>
      <c r="AE351" s="12" t="str">
        <f>IFERROR(INDEX($AM$11:$AM$4010,MATCH(341,$AZ$11:$AZ$4010,0)),"")</f>
        <v/>
      </c>
      <c r="AF351" s="11" t="str">
        <f>IF(AE351="","",IFERROR(INDEX($AN$11:$AN$4010,MATCH(341,$AZ$11:$AZ$4010,0)),""))</f>
        <v/>
      </c>
      <c r="AG351" s="11" t="str">
        <f>IF(AE351="","",IFERROR(INDEX($AO$11:$AO$4010,MATCH(341,$AZ$11:$AZ$4010,0)),""))</f>
        <v/>
      </c>
      <c r="AH351" s="10" t="str">
        <f>IF(AE351="","",IFERROR(INDEX($AQ$11:$AQ$4010,MATCH(341,$AZ$11:$AZ$4010,0)),""))</f>
        <v/>
      </c>
      <c r="AI351" s="15" t="str">
        <f>IF(AE351="","",IFERROR(INDEX($AR$11:$AR$4010,MATCH(341,$AZ$11:$AZ$4010,0)),""))</f>
        <v/>
      </c>
      <c r="AJ351" s="15" t="str">
        <f>IF(AE351="","",IFERROR(INDEX($AT$11:$AT$4010,MATCH(341,$AZ$11:$AZ$4010,0)),""))</f>
        <v/>
      </c>
      <c r="AL351" s="17" t="str">
        <f t="shared" si="73"/>
        <v/>
      </c>
      <c r="AM351" s="12" t="str">
        <f t="shared" si="74"/>
        <v/>
      </c>
      <c r="AN351" s="18" t="str">
        <f t="shared" si="75"/>
        <v/>
      </c>
      <c r="AO351" s="18" t="str">
        <f t="shared" si="76"/>
        <v/>
      </c>
      <c r="AP351" s="10" t="str">
        <f t="shared" si="77"/>
        <v/>
      </c>
      <c r="AQ351" s="10" t="str">
        <f t="shared" si="78"/>
        <v/>
      </c>
      <c r="AR351" s="19" t="str">
        <f t="shared" si="79"/>
        <v/>
      </c>
      <c r="AS351" s="20"/>
      <c r="AT351" s="19"/>
      <c r="AV351" s="21">
        <f>IF(AND($AL351&lt;&gt;"",COUNTIF($AL$11:$AL351,$AL351)=1),1,0)</f>
        <v>0</v>
      </c>
      <c r="AW351" s="21">
        <f t="shared" si="81"/>
        <v>0</v>
      </c>
      <c r="AX351" s="21" t="str">
        <f t="shared" si="80"/>
        <v/>
      </c>
      <c r="AY351" s="21" t="str">
        <f>IF(AND($AM351&lt;&gt;"",$AS351&lt;&gt;"✓"),SUMPRODUCT(($AM$11:$AM351&lt;&gt;"")*($AS$11:$AS351&lt;&gt;"✓")),"")</f>
        <v/>
      </c>
      <c r="AZ351" s="21" t="str">
        <f>IF(AND($AM351&lt;&gt;"",$AS351="✓"),SUMPRODUCT(($AM$11:$AM351&lt;&gt;"")*($AS$11:$AS351="✓")),"")</f>
        <v/>
      </c>
      <c r="BA351" s="21" t="str">
        <f>IF($AL351="","",$AL351&amp;"|"&amp;COUNTIF($AL$11:$AL351,$AL351))</f>
        <v/>
      </c>
    </row>
    <row r="352" spans="2:53" ht="15" customHeight="1" x14ac:dyDescent="0.25">
      <c r="B352" s="5" t="str">
        <f t="shared" si="72"/>
        <v/>
      </c>
      <c r="C352" s="5"/>
      <c r="D352" s="5"/>
      <c r="E352" s="5"/>
      <c r="F352" s="6"/>
      <c r="G352" s="6"/>
      <c r="H352" s="7"/>
      <c r="I352" s="8"/>
      <c r="W352" s="28" t="str">
        <f>IF(X352="","",IFERROR(INDEX($AL$11:$AL$4010,MATCH(342,$AY$11:$AY$4010,0)),""))</f>
        <v/>
      </c>
      <c r="X352" s="26" t="str">
        <f>IFERROR(INDEX($AM$11:$AM$4010,MATCH(342,$AY$11:$AY$4010,0)),"")</f>
        <v/>
      </c>
      <c r="Y352" s="25" t="str">
        <f>IF(X352="","",IFERROR(INDEX($AN$11:$AN$4010,MATCH(342,$AY$11:$AY$4010,0)),""))</f>
        <v/>
      </c>
      <c r="Z352" s="25" t="str">
        <f>IF(X352="","",IFERROR(INDEX($AO$11:$AO$4010,MATCH(342,$AY$11:$AY$4010,0)),""))</f>
        <v/>
      </c>
      <c r="AA352" s="24" t="str">
        <f>IF(X352="","",IFERROR(INDEX($AQ$11:$AQ$4010,MATCH(342,$AY$11:$AY$4010,0)),""))</f>
        <v/>
      </c>
      <c r="AB352" s="29" t="str">
        <f>IF(X352="","",IFERROR(INDEX($AR$11:$AR$4010,MATCH(342,$AY$11:$AY$4010,0)),""))</f>
        <v/>
      </c>
      <c r="AD352" s="30" t="str">
        <f>IF(AE352="","",IFERROR(INDEX($AL$11:$AL$4010,MATCH(342,$AZ$11:$AZ$4010,0)),""))</f>
        <v/>
      </c>
      <c r="AE352" s="26" t="str">
        <f>IFERROR(INDEX($AM$11:$AM$4010,MATCH(342,$AZ$11:$AZ$4010,0)),"")</f>
        <v/>
      </c>
      <c r="AF352" s="25" t="str">
        <f>IF(AE352="","",IFERROR(INDEX($AN$11:$AN$4010,MATCH(342,$AZ$11:$AZ$4010,0)),""))</f>
        <v/>
      </c>
      <c r="AG352" s="25" t="str">
        <f>IF(AE352="","",IFERROR(INDEX($AO$11:$AO$4010,MATCH(342,$AZ$11:$AZ$4010,0)),""))</f>
        <v/>
      </c>
      <c r="AH352" s="24" t="str">
        <f>IF(AE352="","",IFERROR(INDEX($AQ$11:$AQ$4010,MATCH(342,$AZ$11:$AZ$4010,0)),""))</f>
        <v/>
      </c>
      <c r="AI352" s="29" t="str">
        <f>IF(AE352="","",IFERROR(INDEX($AR$11:$AR$4010,MATCH(342,$AZ$11:$AZ$4010,0)),""))</f>
        <v/>
      </c>
      <c r="AJ352" s="29" t="str">
        <f>IF(AE352="","",IFERROR(INDEX($AT$11:$AT$4010,MATCH(342,$AZ$11:$AZ$4010,0)),""))</f>
        <v/>
      </c>
      <c r="AL352" s="31" t="str">
        <f t="shared" si="73"/>
        <v/>
      </c>
      <c r="AM352" s="26" t="str">
        <f t="shared" si="74"/>
        <v/>
      </c>
      <c r="AN352" s="32" t="str">
        <f t="shared" si="75"/>
        <v/>
      </c>
      <c r="AO352" s="32" t="str">
        <f t="shared" si="76"/>
        <v/>
      </c>
      <c r="AP352" s="24" t="str">
        <f t="shared" si="77"/>
        <v/>
      </c>
      <c r="AQ352" s="24" t="str">
        <f t="shared" si="78"/>
        <v/>
      </c>
      <c r="AR352" s="33" t="str">
        <f t="shared" si="79"/>
        <v/>
      </c>
      <c r="AS352" s="34"/>
      <c r="AT352" s="33"/>
      <c r="AV352" s="21">
        <f>IF(AND($AL352&lt;&gt;"",COUNTIF($AL$11:$AL352,$AL352)=1),1,0)</f>
        <v>0</v>
      </c>
      <c r="AW352" s="21">
        <f t="shared" si="81"/>
        <v>0</v>
      </c>
      <c r="AX352" s="21" t="str">
        <f t="shared" si="80"/>
        <v/>
      </c>
      <c r="AY352" s="21" t="str">
        <f>IF(AND($AM352&lt;&gt;"",$AS352&lt;&gt;"✓"),SUMPRODUCT(($AM$11:$AM352&lt;&gt;"")*($AS$11:$AS352&lt;&gt;"✓")),"")</f>
        <v/>
      </c>
      <c r="AZ352" s="21" t="str">
        <f>IF(AND($AM352&lt;&gt;"",$AS352="✓"),SUMPRODUCT(($AM$11:$AM352&lt;&gt;"")*($AS$11:$AS352="✓")),"")</f>
        <v/>
      </c>
      <c r="BA352" s="21" t="str">
        <f>IF($AL352="","",$AL352&amp;"|"&amp;COUNTIF($AL$11:$AL352,$AL352))</f>
        <v/>
      </c>
    </row>
    <row r="353" spans="2:53" ht="15" customHeight="1" x14ac:dyDescent="0.25">
      <c r="B353" s="5" t="str">
        <f t="shared" si="72"/>
        <v/>
      </c>
      <c r="C353" s="5"/>
      <c r="D353" s="5"/>
      <c r="E353" s="5"/>
      <c r="F353" s="6"/>
      <c r="G353" s="6"/>
      <c r="H353" s="7"/>
      <c r="I353" s="8"/>
      <c r="W353" s="14" t="str">
        <f>IF(X353="","",IFERROR(INDEX($AL$11:$AL$4010,MATCH(343,$AY$11:$AY$4010,0)),""))</f>
        <v/>
      </c>
      <c r="X353" s="12" t="str">
        <f>IFERROR(INDEX($AM$11:$AM$4010,MATCH(343,$AY$11:$AY$4010,0)),"")</f>
        <v/>
      </c>
      <c r="Y353" s="11" t="str">
        <f>IF(X353="","",IFERROR(INDEX($AN$11:$AN$4010,MATCH(343,$AY$11:$AY$4010,0)),""))</f>
        <v/>
      </c>
      <c r="Z353" s="11" t="str">
        <f>IF(X353="","",IFERROR(INDEX($AO$11:$AO$4010,MATCH(343,$AY$11:$AY$4010,0)),""))</f>
        <v/>
      </c>
      <c r="AA353" s="10" t="str">
        <f>IF(X353="","",IFERROR(INDEX($AQ$11:$AQ$4010,MATCH(343,$AY$11:$AY$4010,0)),""))</f>
        <v/>
      </c>
      <c r="AB353" s="15" t="str">
        <f>IF(X353="","",IFERROR(INDEX($AR$11:$AR$4010,MATCH(343,$AY$11:$AY$4010,0)),""))</f>
        <v/>
      </c>
      <c r="AD353" s="16" t="str">
        <f>IF(AE353="","",IFERROR(INDEX($AL$11:$AL$4010,MATCH(343,$AZ$11:$AZ$4010,0)),""))</f>
        <v/>
      </c>
      <c r="AE353" s="12" t="str">
        <f>IFERROR(INDEX($AM$11:$AM$4010,MATCH(343,$AZ$11:$AZ$4010,0)),"")</f>
        <v/>
      </c>
      <c r="AF353" s="11" t="str">
        <f>IF(AE353="","",IFERROR(INDEX($AN$11:$AN$4010,MATCH(343,$AZ$11:$AZ$4010,0)),""))</f>
        <v/>
      </c>
      <c r="AG353" s="11" t="str">
        <f>IF(AE353="","",IFERROR(INDEX($AO$11:$AO$4010,MATCH(343,$AZ$11:$AZ$4010,0)),""))</f>
        <v/>
      </c>
      <c r="AH353" s="10" t="str">
        <f>IF(AE353="","",IFERROR(INDEX($AQ$11:$AQ$4010,MATCH(343,$AZ$11:$AZ$4010,0)),""))</f>
        <v/>
      </c>
      <c r="AI353" s="15" t="str">
        <f>IF(AE353="","",IFERROR(INDEX($AR$11:$AR$4010,MATCH(343,$AZ$11:$AZ$4010,0)),""))</f>
        <v/>
      </c>
      <c r="AJ353" s="15" t="str">
        <f>IF(AE353="","",IFERROR(INDEX($AT$11:$AT$4010,MATCH(343,$AZ$11:$AZ$4010,0)),""))</f>
        <v/>
      </c>
      <c r="AL353" s="17" t="str">
        <f t="shared" si="73"/>
        <v/>
      </c>
      <c r="AM353" s="12" t="str">
        <f t="shared" si="74"/>
        <v/>
      </c>
      <c r="AN353" s="18" t="str">
        <f t="shared" si="75"/>
        <v/>
      </c>
      <c r="AO353" s="18" t="str">
        <f t="shared" si="76"/>
        <v/>
      </c>
      <c r="AP353" s="10" t="str">
        <f t="shared" si="77"/>
        <v/>
      </c>
      <c r="AQ353" s="10" t="str">
        <f t="shared" si="78"/>
        <v/>
      </c>
      <c r="AR353" s="19" t="str">
        <f t="shared" si="79"/>
        <v/>
      </c>
      <c r="AS353" s="20"/>
      <c r="AT353" s="19"/>
      <c r="AV353" s="21">
        <f>IF(AND($AL353&lt;&gt;"",COUNTIF($AL$11:$AL353,$AL353)=1),1,0)</f>
        <v>0</v>
      </c>
      <c r="AW353" s="21">
        <f t="shared" si="81"/>
        <v>0</v>
      </c>
      <c r="AX353" s="21" t="str">
        <f t="shared" si="80"/>
        <v/>
      </c>
      <c r="AY353" s="21" t="str">
        <f>IF(AND($AM353&lt;&gt;"",$AS353&lt;&gt;"✓"),SUMPRODUCT(($AM$11:$AM353&lt;&gt;"")*($AS$11:$AS353&lt;&gt;"✓")),"")</f>
        <v/>
      </c>
      <c r="AZ353" s="21" t="str">
        <f>IF(AND($AM353&lt;&gt;"",$AS353="✓"),SUMPRODUCT(($AM$11:$AM353&lt;&gt;"")*($AS$11:$AS353="✓")),"")</f>
        <v/>
      </c>
      <c r="BA353" s="21" t="str">
        <f>IF($AL353="","",$AL353&amp;"|"&amp;COUNTIF($AL$11:$AL353,$AL353))</f>
        <v/>
      </c>
    </row>
    <row r="354" spans="2:53" ht="15" customHeight="1" x14ac:dyDescent="0.25">
      <c r="B354" s="5" t="str">
        <f t="shared" si="72"/>
        <v/>
      </c>
      <c r="C354" s="5"/>
      <c r="D354" s="5"/>
      <c r="E354" s="5"/>
      <c r="F354" s="6"/>
      <c r="G354" s="6"/>
      <c r="H354" s="7"/>
      <c r="I354" s="8"/>
      <c r="W354" s="28" t="str">
        <f>IF(X354="","",IFERROR(INDEX($AL$11:$AL$4010,MATCH(344,$AY$11:$AY$4010,0)),""))</f>
        <v/>
      </c>
      <c r="X354" s="26" t="str">
        <f>IFERROR(INDEX($AM$11:$AM$4010,MATCH(344,$AY$11:$AY$4010,0)),"")</f>
        <v/>
      </c>
      <c r="Y354" s="25" t="str">
        <f>IF(X354="","",IFERROR(INDEX($AN$11:$AN$4010,MATCH(344,$AY$11:$AY$4010,0)),""))</f>
        <v/>
      </c>
      <c r="Z354" s="25" t="str">
        <f>IF(X354="","",IFERROR(INDEX($AO$11:$AO$4010,MATCH(344,$AY$11:$AY$4010,0)),""))</f>
        <v/>
      </c>
      <c r="AA354" s="24" t="str">
        <f>IF(X354="","",IFERROR(INDEX($AQ$11:$AQ$4010,MATCH(344,$AY$11:$AY$4010,0)),""))</f>
        <v/>
      </c>
      <c r="AB354" s="29" t="str">
        <f>IF(X354="","",IFERROR(INDEX($AR$11:$AR$4010,MATCH(344,$AY$11:$AY$4010,0)),""))</f>
        <v/>
      </c>
      <c r="AD354" s="30" t="str">
        <f>IF(AE354="","",IFERROR(INDEX($AL$11:$AL$4010,MATCH(344,$AZ$11:$AZ$4010,0)),""))</f>
        <v/>
      </c>
      <c r="AE354" s="26" t="str">
        <f>IFERROR(INDEX($AM$11:$AM$4010,MATCH(344,$AZ$11:$AZ$4010,0)),"")</f>
        <v/>
      </c>
      <c r="AF354" s="25" t="str">
        <f>IF(AE354="","",IFERROR(INDEX($AN$11:$AN$4010,MATCH(344,$AZ$11:$AZ$4010,0)),""))</f>
        <v/>
      </c>
      <c r="AG354" s="25" t="str">
        <f>IF(AE354="","",IFERROR(INDEX($AO$11:$AO$4010,MATCH(344,$AZ$11:$AZ$4010,0)),""))</f>
        <v/>
      </c>
      <c r="AH354" s="24" t="str">
        <f>IF(AE354="","",IFERROR(INDEX($AQ$11:$AQ$4010,MATCH(344,$AZ$11:$AZ$4010,0)),""))</f>
        <v/>
      </c>
      <c r="AI354" s="29" t="str">
        <f>IF(AE354="","",IFERROR(INDEX($AR$11:$AR$4010,MATCH(344,$AZ$11:$AZ$4010,0)),""))</f>
        <v/>
      </c>
      <c r="AJ354" s="29" t="str">
        <f>IF(AE354="","",IFERROR(INDEX($AT$11:$AT$4010,MATCH(344,$AZ$11:$AZ$4010,0)),""))</f>
        <v/>
      </c>
      <c r="AL354" s="31" t="str">
        <f t="shared" si="73"/>
        <v/>
      </c>
      <c r="AM354" s="26" t="str">
        <f t="shared" si="74"/>
        <v/>
      </c>
      <c r="AN354" s="32" t="str">
        <f t="shared" si="75"/>
        <v/>
      </c>
      <c r="AO354" s="32" t="str">
        <f t="shared" si="76"/>
        <v/>
      </c>
      <c r="AP354" s="24" t="str">
        <f t="shared" si="77"/>
        <v/>
      </c>
      <c r="AQ354" s="24" t="str">
        <f t="shared" si="78"/>
        <v/>
      </c>
      <c r="AR354" s="33" t="str">
        <f t="shared" si="79"/>
        <v/>
      </c>
      <c r="AS354" s="34"/>
      <c r="AT354" s="33"/>
      <c r="AV354" s="21">
        <f>IF(AND($AL354&lt;&gt;"",COUNTIF($AL$11:$AL354,$AL354)=1),1,0)</f>
        <v>0</v>
      </c>
      <c r="AW354" s="21">
        <f t="shared" si="81"/>
        <v>0</v>
      </c>
      <c r="AX354" s="21" t="str">
        <f t="shared" si="80"/>
        <v/>
      </c>
      <c r="AY354" s="21" t="str">
        <f>IF(AND($AM354&lt;&gt;"",$AS354&lt;&gt;"✓"),SUMPRODUCT(($AM$11:$AM354&lt;&gt;"")*($AS$11:$AS354&lt;&gt;"✓")),"")</f>
        <v/>
      </c>
      <c r="AZ354" s="21" t="str">
        <f>IF(AND($AM354&lt;&gt;"",$AS354="✓"),SUMPRODUCT(($AM$11:$AM354&lt;&gt;"")*($AS$11:$AS354="✓")),"")</f>
        <v/>
      </c>
      <c r="BA354" s="21" t="str">
        <f>IF($AL354="","",$AL354&amp;"|"&amp;COUNTIF($AL$11:$AL354,$AL354))</f>
        <v/>
      </c>
    </row>
    <row r="355" spans="2:53" ht="15" customHeight="1" x14ac:dyDescent="0.25">
      <c r="B355" s="5" t="str">
        <f t="shared" si="72"/>
        <v/>
      </c>
      <c r="C355" s="5"/>
      <c r="D355" s="5"/>
      <c r="E355" s="5"/>
      <c r="F355" s="6"/>
      <c r="G355" s="6"/>
      <c r="H355" s="7"/>
      <c r="I355" s="8"/>
      <c r="W355" s="14" t="str">
        <f>IF(X355="","",IFERROR(INDEX($AL$11:$AL$4010,MATCH(345,$AY$11:$AY$4010,0)),""))</f>
        <v/>
      </c>
      <c r="X355" s="12" t="str">
        <f>IFERROR(INDEX($AM$11:$AM$4010,MATCH(345,$AY$11:$AY$4010,0)),"")</f>
        <v/>
      </c>
      <c r="Y355" s="11" t="str">
        <f>IF(X355="","",IFERROR(INDEX($AN$11:$AN$4010,MATCH(345,$AY$11:$AY$4010,0)),""))</f>
        <v/>
      </c>
      <c r="Z355" s="11" t="str">
        <f>IF(X355="","",IFERROR(INDEX($AO$11:$AO$4010,MATCH(345,$AY$11:$AY$4010,0)),""))</f>
        <v/>
      </c>
      <c r="AA355" s="10" t="str">
        <f>IF(X355="","",IFERROR(INDEX($AQ$11:$AQ$4010,MATCH(345,$AY$11:$AY$4010,0)),""))</f>
        <v/>
      </c>
      <c r="AB355" s="15" t="str">
        <f>IF(X355="","",IFERROR(INDEX($AR$11:$AR$4010,MATCH(345,$AY$11:$AY$4010,0)),""))</f>
        <v/>
      </c>
      <c r="AD355" s="16" t="str">
        <f>IF(AE355="","",IFERROR(INDEX($AL$11:$AL$4010,MATCH(345,$AZ$11:$AZ$4010,0)),""))</f>
        <v/>
      </c>
      <c r="AE355" s="12" t="str">
        <f>IFERROR(INDEX($AM$11:$AM$4010,MATCH(345,$AZ$11:$AZ$4010,0)),"")</f>
        <v/>
      </c>
      <c r="AF355" s="11" t="str">
        <f>IF(AE355="","",IFERROR(INDEX($AN$11:$AN$4010,MATCH(345,$AZ$11:$AZ$4010,0)),""))</f>
        <v/>
      </c>
      <c r="AG355" s="11" t="str">
        <f>IF(AE355="","",IFERROR(INDEX($AO$11:$AO$4010,MATCH(345,$AZ$11:$AZ$4010,0)),""))</f>
        <v/>
      </c>
      <c r="AH355" s="10" t="str">
        <f>IF(AE355="","",IFERROR(INDEX($AQ$11:$AQ$4010,MATCH(345,$AZ$11:$AZ$4010,0)),""))</f>
        <v/>
      </c>
      <c r="AI355" s="15" t="str">
        <f>IF(AE355="","",IFERROR(INDEX($AR$11:$AR$4010,MATCH(345,$AZ$11:$AZ$4010,0)),""))</f>
        <v/>
      </c>
      <c r="AJ355" s="15" t="str">
        <f>IF(AE355="","",IFERROR(INDEX($AT$11:$AT$4010,MATCH(345,$AZ$11:$AZ$4010,0)),""))</f>
        <v/>
      </c>
      <c r="AL355" s="17" t="str">
        <f t="shared" si="73"/>
        <v/>
      </c>
      <c r="AM355" s="12" t="str">
        <f t="shared" si="74"/>
        <v/>
      </c>
      <c r="AN355" s="18" t="str">
        <f t="shared" si="75"/>
        <v/>
      </c>
      <c r="AO355" s="18" t="str">
        <f t="shared" si="76"/>
        <v/>
      </c>
      <c r="AP355" s="10" t="str">
        <f t="shared" si="77"/>
        <v/>
      </c>
      <c r="AQ355" s="10" t="str">
        <f t="shared" si="78"/>
        <v/>
      </c>
      <c r="AR355" s="19" t="str">
        <f t="shared" si="79"/>
        <v/>
      </c>
      <c r="AS355" s="20"/>
      <c r="AT355" s="19"/>
      <c r="AV355" s="21">
        <f>IF(AND($AL355&lt;&gt;"",COUNTIF($AL$11:$AL355,$AL355)=1),1,0)</f>
        <v>0</v>
      </c>
      <c r="AW355" s="21">
        <f t="shared" si="81"/>
        <v>0</v>
      </c>
      <c r="AX355" s="21" t="str">
        <f t="shared" si="80"/>
        <v/>
      </c>
      <c r="AY355" s="21" t="str">
        <f>IF(AND($AM355&lt;&gt;"",$AS355&lt;&gt;"✓"),SUMPRODUCT(($AM$11:$AM355&lt;&gt;"")*($AS$11:$AS355&lt;&gt;"✓")),"")</f>
        <v/>
      </c>
      <c r="AZ355" s="21" t="str">
        <f>IF(AND($AM355&lt;&gt;"",$AS355="✓"),SUMPRODUCT(($AM$11:$AM355&lt;&gt;"")*($AS$11:$AS355="✓")),"")</f>
        <v/>
      </c>
      <c r="BA355" s="21" t="str">
        <f>IF($AL355="","",$AL355&amp;"|"&amp;COUNTIF($AL$11:$AL355,$AL355))</f>
        <v/>
      </c>
    </row>
    <row r="356" spans="2:53" ht="15" customHeight="1" x14ac:dyDescent="0.25">
      <c r="B356" s="5" t="str">
        <f t="shared" si="72"/>
        <v/>
      </c>
      <c r="C356" s="5"/>
      <c r="D356" s="5"/>
      <c r="E356" s="5"/>
      <c r="F356" s="6"/>
      <c r="G356" s="6"/>
      <c r="H356" s="7"/>
      <c r="I356" s="8"/>
      <c r="W356" s="28" t="str">
        <f>IF(X356="","",IFERROR(INDEX($AL$11:$AL$4010,MATCH(346,$AY$11:$AY$4010,0)),""))</f>
        <v/>
      </c>
      <c r="X356" s="26" t="str">
        <f>IFERROR(INDEX($AM$11:$AM$4010,MATCH(346,$AY$11:$AY$4010,0)),"")</f>
        <v/>
      </c>
      <c r="Y356" s="25" t="str">
        <f>IF(X356="","",IFERROR(INDEX($AN$11:$AN$4010,MATCH(346,$AY$11:$AY$4010,0)),""))</f>
        <v/>
      </c>
      <c r="Z356" s="25" t="str">
        <f>IF(X356="","",IFERROR(INDEX($AO$11:$AO$4010,MATCH(346,$AY$11:$AY$4010,0)),""))</f>
        <v/>
      </c>
      <c r="AA356" s="24" t="str">
        <f>IF(X356="","",IFERROR(INDEX($AQ$11:$AQ$4010,MATCH(346,$AY$11:$AY$4010,0)),""))</f>
        <v/>
      </c>
      <c r="AB356" s="29" t="str">
        <f>IF(X356="","",IFERROR(INDEX($AR$11:$AR$4010,MATCH(346,$AY$11:$AY$4010,0)),""))</f>
        <v/>
      </c>
      <c r="AD356" s="30" t="str">
        <f>IF(AE356="","",IFERROR(INDEX($AL$11:$AL$4010,MATCH(346,$AZ$11:$AZ$4010,0)),""))</f>
        <v/>
      </c>
      <c r="AE356" s="26" t="str">
        <f>IFERROR(INDEX($AM$11:$AM$4010,MATCH(346,$AZ$11:$AZ$4010,0)),"")</f>
        <v/>
      </c>
      <c r="AF356" s="25" t="str">
        <f>IF(AE356="","",IFERROR(INDEX($AN$11:$AN$4010,MATCH(346,$AZ$11:$AZ$4010,0)),""))</f>
        <v/>
      </c>
      <c r="AG356" s="25" t="str">
        <f>IF(AE356="","",IFERROR(INDEX($AO$11:$AO$4010,MATCH(346,$AZ$11:$AZ$4010,0)),""))</f>
        <v/>
      </c>
      <c r="AH356" s="24" t="str">
        <f>IF(AE356="","",IFERROR(INDEX($AQ$11:$AQ$4010,MATCH(346,$AZ$11:$AZ$4010,0)),""))</f>
        <v/>
      </c>
      <c r="AI356" s="29" t="str">
        <f>IF(AE356="","",IFERROR(INDEX($AR$11:$AR$4010,MATCH(346,$AZ$11:$AZ$4010,0)),""))</f>
        <v/>
      </c>
      <c r="AJ356" s="29" t="str">
        <f>IF(AE356="","",IFERROR(INDEX($AT$11:$AT$4010,MATCH(346,$AZ$11:$AZ$4010,0)),""))</f>
        <v/>
      </c>
      <c r="AL356" s="31" t="str">
        <f t="shared" si="73"/>
        <v/>
      </c>
      <c r="AM356" s="26" t="str">
        <f t="shared" si="74"/>
        <v/>
      </c>
      <c r="AN356" s="32" t="str">
        <f t="shared" si="75"/>
        <v/>
      </c>
      <c r="AO356" s="32" t="str">
        <f t="shared" si="76"/>
        <v/>
      </c>
      <c r="AP356" s="24" t="str">
        <f t="shared" si="77"/>
        <v/>
      </c>
      <c r="AQ356" s="24" t="str">
        <f t="shared" si="78"/>
        <v/>
      </c>
      <c r="AR356" s="33" t="str">
        <f t="shared" si="79"/>
        <v/>
      </c>
      <c r="AS356" s="34"/>
      <c r="AT356" s="33"/>
      <c r="AV356" s="21">
        <f>IF(AND($AL356&lt;&gt;"",COUNTIF($AL$11:$AL356,$AL356)=1),1,0)</f>
        <v>0</v>
      </c>
      <c r="AW356" s="21">
        <f t="shared" si="81"/>
        <v>0</v>
      </c>
      <c r="AX356" s="21" t="str">
        <f t="shared" si="80"/>
        <v/>
      </c>
      <c r="AY356" s="21" t="str">
        <f>IF(AND($AM356&lt;&gt;"",$AS356&lt;&gt;"✓"),SUMPRODUCT(($AM$11:$AM356&lt;&gt;"")*($AS$11:$AS356&lt;&gt;"✓")),"")</f>
        <v/>
      </c>
      <c r="AZ356" s="21" t="str">
        <f>IF(AND($AM356&lt;&gt;"",$AS356="✓"),SUMPRODUCT(($AM$11:$AM356&lt;&gt;"")*($AS$11:$AS356="✓")),"")</f>
        <v/>
      </c>
      <c r="BA356" s="21" t="str">
        <f>IF($AL356="","",$AL356&amp;"|"&amp;COUNTIF($AL$11:$AL356,$AL356))</f>
        <v/>
      </c>
    </row>
    <row r="357" spans="2:53" ht="15" customHeight="1" x14ac:dyDescent="0.25">
      <c r="B357" s="5" t="str">
        <f t="shared" si="72"/>
        <v/>
      </c>
      <c r="C357" s="5"/>
      <c r="D357" s="5"/>
      <c r="E357" s="5"/>
      <c r="F357" s="6"/>
      <c r="G357" s="6"/>
      <c r="H357" s="7"/>
      <c r="I357" s="8"/>
      <c r="W357" s="14" t="str">
        <f>IF(X357="","",IFERROR(INDEX($AL$11:$AL$4010,MATCH(347,$AY$11:$AY$4010,0)),""))</f>
        <v/>
      </c>
      <c r="X357" s="12" t="str">
        <f>IFERROR(INDEX($AM$11:$AM$4010,MATCH(347,$AY$11:$AY$4010,0)),"")</f>
        <v/>
      </c>
      <c r="Y357" s="11" t="str">
        <f>IF(X357="","",IFERROR(INDEX($AN$11:$AN$4010,MATCH(347,$AY$11:$AY$4010,0)),""))</f>
        <v/>
      </c>
      <c r="Z357" s="11" t="str">
        <f>IF(X357="","",IFERROR(INDEX($AO$11:$AO$4010,MATCH(347,$AY$11:$AY$4010,0)),""))</f>
        <v/>
      </c>
      <c r="AA357" s="10" t="str">
        <f>IF(X357="","",IFERROR(INDEX($AQ$11:$AQ$4010,MATCH(347,$AY$11:$AY$4010,0)),""))</f>
        <v/>
      </c>
      <c r="AB357" s="15" t="str">
        <f>IF(X357="","",IFERROR(INDEX($AR$11:$AR$4010,MATCH(347,$AY$11:$AY$4010,0)),""))</f>
        <v/>
      </c>
      <c r="AD357" s="16" t="str">
        <f>IF(AE357="","",IFERROR(INDEX($AL$11:$AL$4010,MATCH(347,$AZ$11:$AZ$4010,0)),""))</f>
        <v/>
      </c>
      <c r="AE357" s="12" t="str">
        <f>IFERROR(INDEX($AM$11:$AM$4010,MATCH(347,$AZ$11:$AZ$4010,0)),"")</f>
        <v/>
      </c>
      <c r="AF357" s="11" t="str">
        <f>IF(AE357="","",IFERROR(INDEX($AN$11:$AN$4010,MATCH(347,$AZ$11:$AZ$4010,0)),""))</f>
        <v/>
      </c>
      <c r="AG357" s="11" t="str">
        <f>IF(AE357="","",IFERROR(INDEX($AO$11:$AO$4010,MATCH(347,$AZ$11:$AZ$4010,0)),""))</f>
        <v/>
      </c>
      <c r="AH357" s="10" t="str">
        <f>IF(AE357="","",IFERROR(INDEX($AQ$11:$AQ$4010,MATCH(347,$AZ$11:$AZ$4010,0)),""))</f>
        <v/>
      </c>
      <c r="AI357" s="15" t="str">
        <f>IF(AE357="","",IFERROR(INDEX($AR$11:$AR$4010,MATCH(347,$AZ$11:$AZ$4010,0)),""))</f>
        <v/>
      </c>
      <c r="AJ357" s="15" t="str">
        <f>IF(AE357="","",IFERROR(INDEX($AT$11:$AT$4010,MATCH(347,$AZ$11:$AZ$4010,0)),""))</f>
        <v/>
      </c>
      <c r="AL357" s="17" t="str">
        <f t="shared" si="73"/>
        <v/>
      </c>
      <c r="AM357" s="12" t="str">
        <f t="shared" si="74"/>
        <v/>
      </c>
      <c r="AN357" s="18" t="str">
        <f t="shared" si="75"/>
        <v/>
      </c>
      <c r="AO357" s="18" t="str">
        <f t="shared" si="76"/>
        <v/>
      </c>
      <c r="AP357" s="10" t="str">
        <f t="shared" si="77"/>
        <v/>
      </c>
      <c r="AQ357" s="10" t="str">
        <f t="shared" si="78"/>
        <v/>
      </c>
      <c r="AR357" s="19" t="str">
        <f t="shared" si="79"/>
        <v/>
      </c>
      <c r="AS357" s="20"/>
      <c r="AT357" s="19"/>
      <c r="AV357" s="21">
        <f>IF(AND($AL357&lt;&gt;"",COUNTIF($AL$11:$AL357,$AL357)=1),1,0)</f>
        <v>0</v>
      </c>
      <c r="AW357" s="21">
        <f t="shared" si="81"/>
        <v>0</v>
      </c>
      <c r="AX357" s="21" t="str">
        <f t="shared" si="80"/>
        <v/>
      </c>
      <c r="AY357" s="21" t="str">
        <f>IF(AND($AM357&lt;&gt;"",$AS357&lt;&gt;"✓"),SUMPRODUCT(($AM$11:$AM357&lt;&gt;"")*($AS$11:$AS357&lt;&gt;"✓")),"")</f>
        <v/>
      </c>
      <c r="AZ357" s="21" t="str">
        <f>IF(AND($AM357&lt;&gt;"",$AS357="✓"),SUMPRODUCT(($AM$11:$AM357&lt;&gt;"")*($AS$11:$AS357="✓")),"")</f>
        <v/>
      </c>
      <c r="BA357" s="21" t="str">
        <f>IF($AL357="","",$AL357&amp;"|"&amp;COUNTIF($AL$11:$AL357,$AL357))</f>
        <v/>
      </c>
    </row>
    <row r="358" spans="2:53" ht="15" customHeight="1" x14ac:dyDescent="0.25">
      <c r="B358" s="5" t="str">
        <f t="shared" si="72"/>
        <v/>
      </c>
      <c r="C358" s="5"/>
      <c r="D358" s="5"/>
      <c r="E358" s="5"/>
      <c r="F358" s="6"/>
      <c r="G358" s="6"/>
      <c r="H358" s="7"/>
      <c r="I358" s="8"/>
      <c r="W358" s="28" t="str">
        <f>IF(X358="","",IFERROR(INDEX($AL$11:$AL$4010,MATCH(348,$AY$11:$AY$4010,0)),""))</f>
        <v/>
      </c>
      <c r="X358" s="26" t="str">
        <f>IFERROR(INDEX($AM$11:$AM$4010,MATCH(348,$AY$11:$AY$4010,0)),"")</f>
        <v/>
      </c>
      <c r="Y358" s="25" t="str">
        <f>IF(X358="","",IFERROR(INDEX($AN$11:$AN$4010,MATCH(348,$AY$11:$AY$4010,0)),""))</f>
        <v/>
      </c>
      <c r="Z358" s="25" t="str">
        <f>IF(X358="","",IFERROR(INDEX($AO$11:$AO$4010,MATCH(348,$AY$11:$AY$4010,0)),""))</f>
        <v/>
      </c>
      <c r="AA358" s="24" t="str">
        <f>IF(X358="","",IFERROR(INDEX($AQ$11:$AQ$4010,MATCH(348,$AY$11:$AY$4010,0)),""))</f>
        <v/>
      </c>
      <c r="AB358" s="29" t="str">
        <f>IF(X358="","",IFERROR(INDEX($AR$11:$AR$4010,MATCH(348,$AY$11:$AY$4010,0)),""))</f>
        <v/>
      </c>
      <c r="AD358" s="30" t="str">
        <f>IF(AE358="","",IFERROR(INDEX($AL$11:$AL$4010,MATCH(348,$AZ$11:$AZ$4010,0)),""))</f>
        <v/>
      </c>
      <c r="AE358" s="26" t="str">
        <f>IFERROR(INDEX($AM$11:$AM$4010,MATCH(348,$AZ$11:$AZ$4010,0)),"")</f>
        <v/>
      </c>
      <c r="AF358" s="25" t="str">
        <f>IF(AE358="","",IFERROR(INDEX($AN$11:$AN$4010,MATCH(348,$AZ$11:$AZ$4010,0)),""))</f>
        <v/>
      </c>
      <c r="AG358" s="25" t="str">
        <f>IF(AE358="","",IFERROR(INDEX($AO$11:$AO$4010,MATCH(348,$AZ$11:$AZ$4010,0)),""))</f>
        <v/>
      </c>
      <c r="AH358" s="24" t="str">
        <f>IF(AE358="","",IFERROR(INDEX($AQ$11:$AQ$4010,MATCH(348,$AZ$11:$AZ$4010,0)),""))</f>
        <v/>
      </c>
      <c r="AI358" s="29" t="str">
        <f>IF(AE358="","",IFERROR(INDEX($AR$11:$AR$4010,MATCH(348,$AZ$11:$AZ$4010,0)),""))</f>
        <v/>
      </c>
      <c r="AJ358" s="29" t="str">
        <f>IF(AE358="","",IFERROR(INDEX($AT$11:$AT$4010,MATCH(348,$AZ$11:$AZ$4010,0)),""))</f>
        <v/>
      </c>
      <c r="AL358" s="31" t="str">
        <f t="shared" si="73"/>
        <v/>
      </c>
      <c r="AM358" s="26" t="str">
        <f t="shared" si="74"/>
        <v/>
      </c>
      <c r="AN358" s="32" t="str">
        <f t="shared" si="75"/>
        <v/>
      </c>
      <c r="AO358" s="32" t="str">
        <f t="shared" si="76"/>
        <v/>
      </c>
      <c r="AP358" s="24" t="str">
        <f t="shared" si="77"/>
        <v/>
      </c>
      <c r="AQ358" s="24" t="str">
        <f t="shared" si="78"/>
        <v/>
      </c>
      <c r="AR358" s="33" t="str">
        <f t="shared" si="79"/>
        <v/>
      </c>
      <c r="AS358" s="34"/>
      <c r="AT358" s="33"/>
      <c r="AV358" s="21">
        <f>IF(AND($AL358&lt;&gt;"",COUNTIF($AL$11:$AL358,$AL358)=1),1,0)</f>
        <v>0</v>
      </c>
      <c r="AW358" s="21">
        <f t="shared" si="81"/>
        <v>0</v>
      </c>
      <c r="AX358" s="21" t="str">
        <f t="shared" si="80"/>
        <v/>
      </c>
      <c r="AY358" s="21" t="str">
        <f>IF(AND($AM358&lt;&gt;"",$AS358&lt;&gt;"✓"),SUMPRODUCT(($AM$11:$AM358&lt;&gt;"")*($AS$11:$AS358&lt;&gt;"✓")),"")</f>
        <v/>
      </c>
      <c r="AZ358" s="21" t="str">
        <f>IF(AND($AM358&lt;&gt;"",$AS358="✓"),SUMPRODUCT(($AM$11:$AM358&lt;&gt;"")*($AS$11:$AS358="✓")),"")</f>
        <v/>
      </c>
      <c r="BA358" s="21" t="str">
        <f>IF($AL358="","",$AL358&amp;"|"&amp;COUNTIF($AL$11:$AL358,$AL358))</f>
        <v/>
      </c>
    </row>
    <row r="359" spans="2:53" ht="15" customHeight="1" x14ac:dyDescent="0.25">
      <c r="B359" s="5" t="str">
        <f t="shared" si="72"/>
        <v/>
      </c>
      <c r="C359" s="5"/>
      <c r="D359" s="5"/>
      <c r="E359" s="5"/>
      <c r="F359" s="6"/>
      <c r="G359" s="6"/>
      <c r="H359" s="7"/>
      <c r="I359" s="8"/>
      <c r="W359" s="14" t="str">
        <f>IF(X359="","",IFERROR(INDEX($AL$11:$AL$4010,MATCH(349,$AY$11:$AY$4010,0)),""))</f>
        <v/>
      </c>
      <c r="X359" s="12" t="str">
        <f>IFERROR(INDEX($AM$11:$AM$4010,MATCH(349,$AY$11:$AY$4010,0)),"")</f>
        <v/>
      </c>
      <c r="Y359" s="11" t="str">
        <f>IF(X359="","",IFERROR(INDEX($AN$11:$AN$4010,MATCH(349,$AY$11:$AY$4010,0)),""))</f>
        <v/>
      </c>
      <c r="Z359" s="11" t="str">
        <f>IF(X359="","",IFERROR(INDEX($AO$11:$AO$4010,MATCH(349,$AY$11:$AY$4010,0)),""))</f>
        <v/>
      </c>
      <c r="AA359" s="10" t="str">
        <f>IF(X359="","",IFERROR(INDEX($AQ$11:$AQ$4010,MATCH(349,$AY$11:$AY$4010,0)),""))</f>
        <v/>
      </c>
      <c r="AB359" s="15" t="str">
        <f>IF(X359="","",IFERROR(INDEX($AR$11:$AR$4010,MATCH(349,$AY$11:$AY$4010,0)),""))</f>
        <v/>
      </c>
      <c r="AD359" s="16" t="str">
        <f>IF(AE359="","",IFERROR(INDEX($AL$11:$AL$4010,MATCH(349,$AZ$11:$AZ$4010,0)),""))</f>
        <v/>
      </c>
      <c r="AE359" s="12" t="str">
        <f>IFERROR(INDEX($AM$11:$AM$4010,MATCH(349,$AZ$11:$AZ$4010,0)),"")</f>
        <v/>
      </c>
      <c r="AF359" s="11" t="str">
        <f>IF(AE359="","",IFERROR(INDEX($AN$11:$AN$4010,MATCH(349,$AZ$11:$AZ$4010,0)),""))</f>
        <v/>
      </c>
      <c r="AG359" s="11" t="str">
        <f>IF(AE359="","",IFERROR(INDEX($AO$11:$AO$4010,MATCH(349,$AZ$11:$AZ$4010,0)),""))</f>
        <v/>
      </c>
      <c r="AH359" s="10" t="str">
        <f>IF(AE359="","",IFERROR(INDEX($AQ$11:$AQ$4010,MATCH(349,$AZ$11:$AZ$4010,0)),""))</f>
        <v/>
      </c>
      <c r="AI359" s="15" t="str">
        <f>IF(AE359="","",IFERROR(INDEX($AR$11:$AR$4010,MATCH(349,$AZ$11:$AZ$4010,0)),""))</f>
        <v/>
      </c>
      <c r="AJ359" s="15" t="str">
        <f>IF(AE359="","",IFERROR(INDEX($AT$11:$AT$4010,MATCH(349,$AZ$11:$AZ$4010,0)),""))</f>
        <v/>
      </c>
      <c r="AL359" s="17" t="str">
        <f t="shared" si="73"/>
        <v/>
      </c>
      <c r="AM359" s="12" t="str">
        <f t="shared" si="74"/>
        <v/>
      </c>
      <c r="AN359" s="18" t="str">
        <f t="shared" si="75"/>
        <v/>
      </c>
      <c r="AO359" s="18" t="str">
        <f t="shared" si="76"/>
        <v/>
      </c>
      <c r="AP359" s="10" t="str">
        <f t="shared" si="77"/>
        <v/>
      </c>
      <c r="AQ359" s="10" t="str">
        <f t="shared" si="78"/>
        <v/>
      </c>
      <c r="AR359" s="19" t="str">
        <f t="shared" si="79"/>
        <v/>
      </c>
      <c r="AS359" s="20"/>
      <c r="AT359" s="19"/>
      <c r="AV359" s="21">
        <f>IF(AND($AL359&lt;&gt;"",COUNTIF($AL$11:$AL359,$AL359)=1),1,0)</f>
        <v>0</v>
      </c>
      <c r="AW359" s="21">
        <f t="shared" si="81"/>
        <v>0</v>
      </c>
      <c r="AX359" s="21" t="str">
        <f t="shared" si="80"/>
        <v/>
      </c>
      <c r="AY359" s="21" t="str">
        <f>IF(AND($AM359&lt;&gt;"",$AS359&lt;&gt;"✓"),SUMPRODUCT(($AM$11:$AM359&lt;&gt;"")*($AS$11:$AS359&lt;&gt;"✓")),"")</f>
        <v/>
      </c>
      <c r="AZ359" s="21" t="str">
        <f>IF(AND($AM359&lt;&gt;"",$AS359="✓"),SUMPRODUCT(($AM$11:$AM359&lt;&gt;"")*($AS$11:$AS359="✓")),"")</f>
        <v/>
      </c>
      <c r="BA359" s="21" t="str">
        <f>IF($AL359="","",$AL359&amp;"|"&amp;COUNTIF($AL$11:$AL359,$AL359))</f>
        <v/>
      </c>
    </row>
    <row r="360" spans="2:53" ht="15" customHeight="1" x14ac:dyDescent="0.25">
      <c r="B360" s="5" t="str">
        <f t="shared" si="72"/>
        <v/>
      </c>
      <c r="C360" s="5"/>
      <c r="D360" s="5"/>
      <c r="E360" s="5"/>
      <c r="F360" s="6"/>
      <c r="G360" s="6"/>
      <c r="H360" s="7"/>
      <c r="I360" s="8"/>
      <c r="W360" s="28" t="str">
        <f>IF(X360="","",IFERROR(INDEX($AL$11:$AL$4010,MATCH(350,$AY$11:$AY$4010,0)),""))</f>
        <v/>
      </c>
      <c r="X360" s="26" t="str">
        <f>IFERROR(INDEX($AM$11:$AM$4010,MATCH(350,$AY$11:$AY$4010,0)),"")</f>
        <v/>
      </c>
      <c r="Y360" s="25" t="str">
        <f>IF(X360="","",IFERROR(INDEX($AN$11:$AN$4010,MATCH(350,$AY$11:$AY$4010,0)),""))</f>
        <v/>
      </c>
      <c r="Z360" s="25" t="str">
        <f>IF(X360="","",IFERROR(INDEX($AO$11:$AO$4010,MATCH(350,$AY$11:$AY$4010,0)),""))</f>
        <v/>
      </c>
      <c r="AA360" s="24" t="str">
        <f>IF(X360="","",IFERROR(INDEX($AQ$11:$AQ$4010,MATCH(350,$AY$11:$AY$4010,0)),""))</f>
        <v/>
      </c>
      <c r="AB360" s="29" t="str">
        <f>IF(X360="","",IFERROR(INDEX($AR$11:$AR$4010,MATCH(350,$AY$11:$AY$4010,0)),""))</f>
        <v/>
      </c>
      <c r="AD360" s="30" t="str">
        <f>IF(AE360="","",IFERROR(INDEX($AL$11:$AL$4010,MATCH(350,$AZ$11:$AZ$4010,0)),""))</f>
        <v/>
      </c>
      <c r="AE360" s="26" t="str">
        <f>IFERROR(INDEX($AM$11:$AM$4010,MATCH(350,$AZ$11:$AZ$4010,0)),"")</f>
        <v/>
      </c>
      <c r="AF360" s="25" t="str">
        <f>IF(AE360="","",IFERROR(INDEX($AN$11:$AN$4010,MATCH(350,$AZ$11:$AZ$4010,0)),""))</f>
        <v/>
      </c>
      <c r="AG360" s="25" t="str">
        <f>IF(AE360="","",IFERROR(INDEX($AO$11:$AO$4010,MATCH(350,$AZ$11:$AZ$4010,0)),""))</f>
        <v/>
      </c>
      <c r="AH360" s="24" t="str">
        <f>IF(AE360="","",IFERROR(INDEX($AQ$11:$AQ$4010,MATCH(350,$AZ$11:$AZ$4010,0)),""))</f>
        <v/>
      </c>
      <c r="AI360" s="29" t="str">
        <f>IF(AE360="","",IFERROR(INDEX($AR$11:$AR$4010,MATCH(350,$AZ$11:$AZ$4010,0)),""))</f>
        <v/>
      </c>
      <c r="AJ360" s="29" t="str">
        <f>IF(AE360="","",IFERROR(INDEX($AT$11:$AT$4010,MATCH(350,$AZ$11:$AZ$4010,0)),""))</f>
        <v/>
      </c>
      <c r="AL360" s="31" t="str">
        <f t="shared" si="73"/>
        <v/>
      </c>
      <c r="AM360" s="26" t="str">
        <f t="shared" si="74"/>
        <v/>
      </c>
      <c r="AN360" s="32" t="str">
        <f t="shared" si="75"/>
        <v/>
      </c>
      <c r="AO360" s="32" t="str">
        <f t="shared" si="76"/>
        <v/>
      </c>
      <c r="AP360" s="24" t="str">
        <f t="shared" si="77"/>
        <v/>
      </c>
      <c r="AQ360" s="24" t="str">
        <f t="shared" si="78"/>
        <v/>
      </c>
      <c r="AR360" s="33" t="str">
        <f t="shared" si="79"/>
        <v/>
      </c>
      <c r="AS360" s="34"/>
      <c r="AT360" s="33"/>
      <c r="AV360" s="21">
        <f>IF(AND($AL360&lt;&gt;"",COUNTIF($AL$11:$AL360,$AL360)=1),1,0)</f>
        <v>0</v>
      </c>
      <c r="AW360" s="21">
        <f t="shared" si="81"/>
        <v>0</v>
      </c>
      <c r="AX360" s="21" t="str">
        <f t="shared" si="80"/>
        <v/>
      </c>
      <c r="AY360" s="21" t="str">
        <f>IF(AND($AM360&lt;&gt;"",$AS360&lt;&gt;"✓"),SUMPRODUCT(($AM$11:$AM360&lt;&gt;"")*($AS$11:$AS360&lt;&gt;"✓")),"")</f>
        <v/>
      </c>
      <c r="AZ360" s="21" t="str">
        <f>IF(AND($AM360&lt;&gt;"",$AS360="✓"),SUMPRODUCT(($AM$11:$AM360&lt;&gt;"")*($AS$11:$AS360="✓")),"")</f>
        <v/>
      </c>
      <c r="BA360" s="21" t="str">
        <f>IF($AL360="","",$AL360&amp;"|"&amp;COUNTIF($AL$11:$AL360,$AL360))</f>
        <v/>
      </c>
    </row>
    <row r="361" spans="2:53" ht="15" customHeight="1" x14ac:dyDescent="0.25">
      <c r="B361" s="5" t="str">
        <f t="shared" si="72"/>
        <v/>
      </c>
      <c r="C361" s="5"/>
      <c r="D361" s="5"/>
      <c r="E361" s="5"/>
      <c r="F361" s="6"/>
      <c r="G361" s="6"/>
      <c r="H361" s="7"/>
      <c r="I361" s="8"/>
      <c r="W361" s="14" t="str">
        <f>IF(X361="","",IFERROR(INDEX($AL$11:$AL$4010,MATCH(351,$AY$11:$AY$4010,0)),""))</f>
        <v/>
      </c>
      <c r="X361" s="12" t="str">
        <f>IFERROR(INDEX($AM$11:$AM$4010,MATCH(351,$AY$11:$AY$4010,0)),"")</f>
        <v/>
      </c>
      <c r="Y361" s="11" t="str">
        <f>IF(X361="","",IFERROR(INDEX($AN$11:$AN$4010,MATCH(351,$AY$11:$AY$4010,0)),""))</f>
        <v/>
      </c>
      <c r="Z361" s="11" t="str">
        <f>IF(X361="","",IFERROR(INDEX($AO$11:$AO$4010,MATCH(351,$AY$11:$AY$4010,0)),""))</f>
        <v/>
      </c>
      <c r="AA361" s="10" t="str">
        <f>IF(X361="","",IFERROR(INDEX($AQ$11:$AQ$4010,MATCH(351,$AY$11:$AY$4010,0)),""))</f>
        <v/>
      </c>
      <c r="AB361" s="15" t="str">
        <f>IF(X361="","",IFERROR(INDEX($AR$11:$AR$4010,MATCH(351,$AY$11:$AY$4010,0)),""))</f>
        <v/>
      </c>
      <c r="AD361" s="16" t="str">
        <f>IF(AE361="","",IFERROR(INDEX($AL$11:$AL$4010,MATCH(351,$AZ$11:$AZ$4010,0)),""))</f>
        <v/>
      </c>
      <c r="AE361" s="12" t="str">
        <f>IFERROR(INDEX($AM$11:$AM$4010,MATCH(351,$AZ$11:$AZ$4010,0)),"")</f>
        <v/>
      </c>
      <c r="AF361" s="11" t="str">
        <f>IF(AE361="","",IFERROR(INDEX($AN$11:$AN$4010,MATCH(351,$AZ$11:$AZ$4010,0)),""))</f>
        <v/>
      </c>
      <c r="AG361" s="11" t="str">
        <f>IF(AE361="","",IFERROR(INDEX($AO$11:$AO$4010,MATCH(351,$AZ$11:$AZ$4010,0)),""))</f>
        <v/>
      </c>
      <c r="AH361" s="10" t="str">
        <f>IF(AE361="","",IFERROR(INDEX($AQ$11:$AQ$4010,MATCH(351,$AZ$11:$AZ$4010,0)),""))</f>
        <v/>
      </c>
      <c r="AI361" s="15" t="str">
        <f>IF(AE361="","",IFERROR(INDEX($AR$11:$AR$4010,MATCH(351,$AZ$11:$AZ$4010,0)),""))</f>
        <v/>
      </c>
      <c r="AJ361" s="15" t="str">
        <f>IF(AE361="","",IFERROR(INDEX($AT$11:$AT$4010,MATCH(351,$AZ$11:$AZ$4010,0)),""))</f>
        <v/>
      </c>
      <c r="AL361" s="17" t="str">
        <f t="shared" si="73"/>
        <v/>
      </c>
      <c r="AM361" s="12" t="str">
        <f t="shared" si="74"/>
        <v/>
      </c>
      <c r="AN361" s="18" t="str">
        <f t="shared" si="75"/>
        <v/>
      </c>
      <c r="AO361" s="18" t="str">
        <f t="shared" si="76"/>
        <v/>
      </c>
      <c r="AP361" s="10" t="str">
        <f t="shared" si="77"/>
        <v/>
      </c>
      <c r="AQ361" s="10" t="str">
        <f t="shared" si="78"/>
        <v/>
      </c>
      <c r="AR361" s="19" t="str">
        <f t="shared" si="79"/>
        <v/>
      </c>
      <c r="AS361" s="20"/>
      <c r="AT361" s="19"/>
      <c r="AV361" s="21">
        <f>IF(AND($AL361&lt;&gt;"",COUNTIF($AL$11:$AL361,$AL361)=1),1,0)</f>
        <v>0</v>
      </c>
      <c r="AW361" s="21">
        <f t="shared" si="81"/>
        <v>0</v>
      </c>
      <c r="AX361" s="21" t="str">
        <f t="shared" si="80"/>
        <v/>
      </c>
      <c r="AY361" s="21" t="str">
        <f>IF(AND($AM361&lt;&gt;"",$AS361&lt;&gt;"✓"),SUMPRODUCT(($AM$11:$AM361&lt;&gt;"")*($AS$11:$AS361&lt;&gt;"✓")),"")</f>
        <v/>
      </c>
      <c r="AZ361" s="21" t="str">
        <f>IF(AND($AM361&lt;&gt;"",$AS361="✓"),SUMPRODUCT(($AM$11:$AM361&lt;&gt;"")*($AS$11:$AS361="✓")),"")</f>
        <v/>
      </c>
      <c r="BA361" s="21" t="str">
        <f>IF($AL361="","",$AL361&amp;"|"&amp;COUNTIF($AL$11:$AL361,$AL361))</f>
        <v/>
      </c>
    </row>
    <row r="362" spans="2:53" ht="15" customHeight="1" x14ac:dyDescent="0.25">
      <c r="B362" s="5" t="str">
        <f t="shared" si="72"/>
        <v/>
      </c>
      <c r="C362" s="5"/>
      <c r="D362" s="5"/>
      <c r="E362" s="5"/>
      <c r="F362" s="6"/>
      <c r="G362" s="6"/>
      <c r="H362" s="7"/>
      <c r="I362" s="8"/>
      <c r="W362" s="28" t="str">
        <f>IF(X362="","",IFERROR(INDEX($AL$11:$AL$4010,MATCH(352,$AY$11:$AY$4010,0)),""))</f>
        <v/>
      </c>
      <c r="X362" s="26" t="str">
        <f>IFERROR(INDEX($AM$11:$AM$4010,MATCH(352,$AY$11:$AY$4010,0)),"")</f>
        <v/>
      </c>
      <c r="Y362" s="25" t="str">
        <f>IF(X362="","",IFERROR(INDEX($AN$11:$AN$4010,MATCH(352,$AY$11:$AY$4010,0)),""))</f>
        <v/>
      </c>
      <c r="Z362" s="25" t="str">
        <f>IF(X362="","",IFERROR(INDEX($AO$11:$AO$4010,MATCH(352,$AY$11:$AY$4010,0)),""))</f>
        <v/>
      </c>
      <c r="AA362" s="24" t="str">
        <f>IF(X362="","",IFERROR(INDEX($AQ$11:$AQ$4010,MATCH(352,$AY$11:$AY$4010,0)),""))</f>
        <v/>
      </c>
      <c r="AB362" s="29" t="str">
        <f>IF(X362="","",IFERROR(INDEX($AR$11:$AR$4010,MATCH(352,$AY$11:$AY$4010,0)),""))</f>
        <v/>
      </c>
      <c r="AD362" s="30" t="str">
        <f>IF(AE362="","",IFERROR(INDEX($AL$11:$AL$4010,MATCH(352,$AZ$11:$AZ$4010,0)),""))</f>
        <v/>
      </c>
      <c r="AE362" s="26" t="str">
        <f>IFERROR(INDEX($AM$11:$AM$4010,MATCH(352,$AZ$11:$AZ$4010,0)),"")</f>
        <v/>
      </c>
      <c r="AF362" s="25" t="str">
        <f>IF(AE362="","",IFERROR(INDEX($AN$11:$AN$4010,MATCH(352,$AZ$11:$AZ$4010,0)),""))</f>
        <v/>
      </c>
      <c r="AG362" s="25" t="str">
        <f>IF(AE362="","",IFERROR(INDEX($AO$11:$AO$4010,MATCH(352,$AZ$11:$AZ$4010,0)),""))</f>
        <v/>
      </c>
      <c r="AH362" s="24" t="str">
        <f>IF(AE362="","",IFERROR(INDEX($AQ$11:$AQ$4010,MATCH(352,$AZ$11:$AZ$4010,0)),""))</f>
        <v/>
      </c>
      <c r="AI362" s="29" t="str">
        <f>IF(AE362="","",IFERROR(INDEX($AR$11:$AR$4010,MATCH(352,$AZ$11:$AZ$4010,0)),""))</f>
        <v/>
      </c>
      <c r="AJ362" s="29" t="str">
        <f>IF(AE362="","",IFERROR(INDEX($AT$11:$AT$4010,MATCH(352,$AZ$11:$AZ$4010,0)),""))</f>
        <v/>
      </c>
      <c r="AL362" s="31" t="str">
        <f t="shared" si="73"/>
        <v/>
      </c>
      <c r="AM362" s="26" t="str">
        <f t="shared" si="74"/>
        <v/>
      </c>
      <c r="AN362" s="32" t="str">
        <f t="shared" si="75"/>
        <v/>
      </c>
      <c r="AO362" s="32" t="str">
        <f t="shared" si="76"/>
        <v/>
      </c>
      <c r="AP362" s="24" t="str">
        <f t="shared" si="77"/>
        <v/>
      </c>
      <c r="AQ362" s="24" t="str">
        <f t="shared" si="78"/>
        <v/>
      </c>
      <c r="AR362" s="33" t="str">
        <f t="shared" si="79"/>
        <v/>
      </c>
      <c r="AS362" s="34"/>
      <c r="AT362" s="33"/>
      <c r="AV362" s="21">
        <f>IF(AND($AL362&lt;&gt;"",COUNTIF($AL$11:$AL362,$AL362)=1),1,0)</f>
        <v>0</v>
      </c>
      <c r="AW362" s="21">
        <f t="shared" si="81"/>
        <v>0</v>
      </c>
      <c r="AX362" s="21" t="str">
        <f t="shared" si="80"/>
        <v/>
      </c>
      <c r="AY362" s="21" t="str">
        <f>IF(AND($AM362&lt;&gt;"",$AS362&lt;&gt;"✓"),SUMPRODUCT(($AM$11:$AM362&lt;&gt;"")*($AS$11:$AS362&lt;&gt;"✓")),"")</f>
        <v/>
      </c>
      <c r="AZ362" s="21" t="str">
        <f>IF(AND($AM362&lt;&gt;"",$AS362="✓"),SUMPRODUCT(($AM$11:$AM362&lt;&gt;"")*($AS$11:$AS362="✓")),"")</f>
        <v/>
      </c>
      <c r="BA362" s="21" t="str">
        <f>IF($AL362="","",$AL362&amp;"|"&amp;COUNTIF($AL$11:$AL362,$AL362))</f>
        <v/>
      </c>
    </row>
    <row r="363" spans="2:53" ht="15" customHeight="1" x14ac:dyDescent="0.25">
      <c r="B363" s="5" t="str">
        <f t="shared" si="72"/>
        <v/>
      </c>
      <c r="C363" s="5"/>
      <c r="D363" s="5"/>
      <c r="E363" s="5"/>
      <c r="F363" s="6"/>
      <c r="G363" s="6"/>
      <c r="H363" s="7"/>
      <c r="I363" s="8"/>
      <c r="W363" s="14" t="str">
        <f>IF(X363="","",IFERROR(INDEX($AL$11:$AL$4010,MATCH(353,$AY$11:$AY$4010,0)),""))</f>
        <v/>
      </c>
      <c r="X363" s="12" t="str">
        <f>IFERROR(INDEX($AM$11:$AM$4010,MATCH(353,$AY$11:$AY$4010,0)),"")</f>
        <v/>
      </c>
      <c r="Y363" s="11" t="str">
        <f>IF(X363="","",IFERROR(INDEX($AN$11:$AN$4010,MATCH(353,$AY$11:$AY$4010,0)),""))</f>
        <v/>
      </c>
      <c r="Z363" s="11" t="str">
        <f>IF(X363="","",IFERROR(INDEX($AO$11:$AO$4010,MATCH(353,$AY$11:$AY$4010,0)),""))</f>
        <v/>
      </c>
      <c r="AA363" s="10" t="str">
        <f>IF(X363="","",IFERROR(INDEX($AQ$11:$AQ$4010,MATCH(353,$AY$11:$AY$4010,0)),""))</f>
        <v/>
      </c>
      <c r="AB363" s="15" t="str">
        <f>IF(X363="","",IFERROR(INDEX($AR$11:$AR$4010,MATCH(353,$AY$11:$AY$4010,0)),""))</f>
        <v/>
      </c>
      <c r="AD363" s="16" t="str">
        <f>IF(AE363="","",IFERROR(INDEX($AL$11:$AL$4010,MATCH(353,$AZ$11:$AZ$4010,0)),""))</f>
        <v/>
      </c>
      <c r="AE363" s="12" t="str">
        <f>IFERROR(INDEX($AM$11:$AM$4010,MATCH(353,$AZ$11:$AZ$4010,0)),"")</f>
        <v/>
      </c>
      <c r="AF363" s="11" t="str">
        <f>IF(AE363="","",IFERROR(INDEX($AN$11:$AN$4010,MATCH(353,$AZ$11:$AZ$4010,0)),""))</f>
        <v/>
      </c>
      <c r="AG363" s="11" t="str">
        <f>IF(AE363="","",IFERROR(INDEX($AO$11:$AO$4010,MATCH(353,$AZ$11:$AZ$4010,0)),""))</f>
        <v/>
      </c>
      <c r="AH363" s="10" t="str">
        <f>IF(AE363="","",IFERROR(INDEX($AQ$11:$AQ$4010,MATCH(353,$AZ$11:$AZ$4010,0)),""))</f>
        <v/>
      </c>
      <c r="AI363" s="15" t="str">
        <f>IF(AE363="","",IFERROR(INDEX($AR$11:$AR$4010,MATCH(353,$AZ$11:$AZ$4010,0)),""))</f>
        <v/>
      </c>
      <c r="AJ363" s="15" t="str">
        <f>IF(AE363="","",IFERROR(INDEX($AT$11:$AT$4010,MATCH(353,$AZ$11:$AZ$4010,0)),""))</f>
        <v/>
      </c>
      <c r="AL363" s="17" t="str">
        <f t="shared" si="73"/>
        <v/>
      </c>
      <c r="AM363" s="12" t="str">
        <f t="shared" si="74"/>
        <v/>
      </c>
      <c r="AN363" s="18" t="str">
        <f t="shared" si="75"/>
        <v/>
      </c>
      <c r="AO363" s="18" t="str">
        <f t="shared" si="76"/>
        <v/>
      </c>
      <c r="AP363" s="10" t="str">
        <f t="shared" si="77"/>
        <v/>
      </c>
      <c r="AQ363" s="10" t="str">
        <f t="shared" si="78"/>
        <v/>
      </c>
      <c r="AR363" s="19" t="str">
        <f t="shared" si="79"/>
        <v/>
      </c>
      <c r="AS363" s="20"/>
      <c r="AT363" s="19"/>
      <c r="AV363" s="21">
        <f>IF(AND($AL363&lt;&gt;"",COUNTIF($AL$11:$AL363,$AL363)=1),1,0)</f>
        <v>0</v>
      </c>
      <c r="AW363" s="21">
        <f t="shared" si="81"/>
        <v>0</v>
      </c>
      <c r="AX363" s="21" t="str">
        <f t="shared" si="80"/>
        <v/>
      </c>
      <c r="AY363" s="21" t="str">
        <f>IF(AND($AM363&lt;&gt;"",$AS363&lt;&gt;"✓"),SUMPRODUCT(($AM$11:$AM363&lt;&gt;"")*($AS$11:$AS363&lt;&gt;"✓")),"")</f>
        <v/>
      </c>
      <c r="AZ363" s="21" t="str">
        <f>IF(AND($AM363&lt;&gt;"",$AS363="✓"),SUMPRODUCT(($AM$11:$AM363&lt;&gt;"")*($AS$11:$AS363="✓")),"")</f>
        <v/>
      </c>
      <c r="BA363" s="21" t="str">
        <f>IF($AL363="","",$AL363&amp;"|"&amp;COUNTIF($AL$11:$AL363,$AL363))</f>
        <v/>
      </c>
    </row>
    <row r="364" spans="2:53" ht="15" customHeight="1" x14ac:dyDescent="0.25">
      <c r="B364" s="5" t="str">
        <f t="shared" si="72"/>
        <v/>
      </c>
      <c r="C364" s="5"/>
      <c r="D364" s="5"/>
      <c r="E364" s="5"/>
      <c r="F364" s="6"/>
      <c r="G364" s="6"/>
      <c r="H364" s="7"/>
      <c r="I364" s="8"/>
      <c r="W364" s="28" t="str">
        <f>IF(X364="","",IFERROR(INDEX($AL$11:$AL$4010,MATCH(354,$AY$11:$AY$4010,0)),""))</f>
        <v/>
      </c>
      <c r="X364" s="26" t="str">
        <f>IFERROR(INDEX($AM$11:$AM$4010,MATCH(354,$AY$11:$AY$4010,0)),"")</f>
        <v/>
      </c>
      <c r="Y364" s="25" t="str">
        <f>IF(X364="","",IFERROR(INDEX($AN$11:$AN$4010,MATCH(354,$AY$11:$AY$4010,0)),""))</f>
        <v/>
      </c>
      <c r="Z364" s="25" t="str">
        <f>IF(X364="","",IFERROR(INDEX($AO$11:$AO$4010,MATCH(354,$AY$11:$AY$4010,0)),""))</f>
        <v/>
      </c>
      <c r="AA364" s="24" t="str">
        <f>IF(X364="","",IFERROR(INDEX($AQ$11:$AQ$4010,MATCH(354,$AY$11:$AY$4010,0)),""))</f>
        <v/>
      </c>
      <c r="AB364" s="29" t="str">
        <f>IF(X364="","",IFERROR(INDEX($AR$11:$AR$4010,MATCH(354,$AY$11:$AY$4010,0)),""))</f>
        <v/>
      </c>
      <c r="AD364" s="30" t="str">
        <f>IF(AE364="","",IFERROR(INDEX($AL$11:$AL$4010,MATCH(354,$AZ$11:$AZ$4010,0)),""))</f>
        <v/>
      </c>
      <c r="AE364" s="26" t="str">
        <f>IFERROR(INDEX($AM$11:$AM$4010,MATCH(354,$AZ$11:$AZ$4010,0)),"")</f>
        <v/>
      </c>
      <c r="AF364" s="25" t="str">
        <f>IF(AE364="","",IFERROR(INDEX($AN$11:$AN$4010,MATCH(354,$AZ$11:$AZ$4010,0)),""))</f>
        <v/>
      </c>
      <c r="AG364" s="25" t="str">
        <f>IF(AE364="","",IFERROR(INDEX($AO$11:$AO$4010,MATCH(354,$AZ$11:$AZ$4010,0)),""))</f>
        <v/>
      </c>
      <c r="AH364" s="24" t="str">
        <f>IF(AE364="","",IFERROR(INDEX($AQ$11:$AQ$4010,MATCH(354,$AZ$11:$AZ$4010,0)),""))</f>
        <v/>
      </c>
      <c r="AI364" s="29" t="str">
        <f>IF(AE364="","",IFERROR(INDEX($AR$11:$AR$4010,MATCH(354,$AZ$11:$AZ$4010,0)),""))</f>
        <v/>
      </c>
      <c r="AJ364" s="29" t="str">
        <f>IF(AE364="","",IFERROR(INDEX($AT$11:$AT$4010,MATCH(354,$AZ$11:$AZ$4010,0)),""))</f>
        <v/>
      </c>
      <c r="AL364" s="31" t="str">
        <f t="shared" si="73"/>
        <v/>
      </c>
      <c r="AM364" s="26" t="str">
        <f t="shared" si="74"/>
        <v/>
      </c>
      <c r="AN364" s="32" t="str">
        <f t="shared" si="75"/>
        <v/>
      </c>
      <c r="AO364" s="32" t="str">
        <f t="shared" si="76"/>
        <v/>
      </c>
      <c r="AP364" s="24" t="str">
        <f t="shared" si="77"/>
        <v/>
      </c>
      <c r="AQ364" s="24" t="str">
        <f t="shared" si="78"/>
        <v/>
      </c>
      <c r="AR364" s="33" t="str">
        <f t="shared" si="79"/>
        <v/>
      </c>
      <c r="AS364" s="34"/>
      <c r="AT364" s="33"/>
      <c r="AV364" s="21">
        <f>IF(AND($AL364&lt;&gt;"",COUNTIF($AL$11:$AL364,$AL364)=1),1,0)</f>
        <v>0</v>
      </c>
      <c r="AW364" s="21">
        <f t="shared" si="81"/>
        <v>0</v>
      </c>
      <c r="AX364" s="21" t="str">
        <f t="shared" si="80"/>
        <v/>
      </c>
      <c r="AY364" s="21" t="str">
        <f>IF(AND($AM364&lt;&gt;"",$AS364&lt;&gt;"✓"),SUMPRODUCT(($AM$11:$AM364&lt;&gt;"")*($AS$11:$AS364&lt;&gt;"✓")),"")</f>
        <v/>
      </c>
      <c r="AZ364" s="21" t="str">
        <f>IF(AND($AM364&lt;&gt;"",$AS364="✓"),SUMPRODUCT(($AM$11:$AM364&lt;&gt;"")*($AS$11:$AS364="✓")),"")</f>
        <v/>
      </c>
      <c r="BA364" s="21" t="str">
        <f>IF($AL364="","",$AL364&amp;"|"&amp;COUNTIF($AL$11:$AL364,$AL364))</f>
        <v/>
      </c>
    </row>
    <row r="365" spans="2:53" ht="15" customHeight="1" x14ac:dyDescent="0.25">
      <c r="B365" s="5" t="str">
        <f t="shared" si="72"/>
        <v/>
      </c>
      <c r="C365" s="5"/>
      <c r="D365" s="5"/>
      <c r="E365" s="5"/>
      <c r="F365" s="6"/>
      <c r="G365" s="6"/>
      <c r="H365" s="7"/>
      <c r="I365" s="8"/>
      <c r="W365" s="14" t="str">
        <f>IF(X365="","",IFERROR(INDEX($AL$11:$AL$4010,MATCH(355,$AY$11:$AY$4010,0)),""))</f>
        <v/>
      </c>
      <c r="X365" s="12" t="str">
        <f>IFERROR(INDEX($AM$11:$AM$4010,MATCH(355,$AY$11:$AY$4010,0)),"")</f>
        <v/>
      </c>
      <c r="Y365" s="11" t="str">
        <f>IF(X365="","",IFERROR(INDEX($AN$11:$AN$4010,MATCH(355,$AY$11:$AY$4010,0)),""))</f>
        <v/>
      </c>
      <c r="Z365" s="11" t="str">
        <f>IF(X365="","",IFERROR(INDEX($AO$11:$AO$4010,MATCH(355,$AY$11:$AY$4010,0)),""))</f>
        <v/>
      </c>
      <c r="AA365" s="10" t="str">
        <f>IF(X365="","",IFERROR(INDEX($AQ$11:$AQ$4010,MATCH(355,$AY$11:$AY$4010,0)),""))</f>
        <v/>
      </c>
      <c r="AB365" s="15" t="str">
        <f>IF(X365="","",IFERROR(INDEX($AR$11:$AR$4010,MATCH(355,$AY$11:$AY$4010,0)),""))</f>
        <v/>
      </c>
      <c r="AD365" s="16" t="str">
        <f>IF(AE365="","",IFERROR(INDEX($AL$11:$AL$4010,MATCH(355,$AZ$11:$AZ$4010,0)),""))</f>
        <v/>
      </c>
      <c r="AE365" s="12" t="str">
        <f>IFERROR(INDEX($AM$11:$AM$4010,MATCH(355,$AZ$11:$AZ$4010,0)),"")</f>
        <v/>
      </c>
      <c r="AF365" s="11" t="str">
        <f>IF(AE365="","",IFERROR(INDEX($AN$11:$AN$4010,MATCH(355,$AZ$11:$AZ$4010,0)),""))</f>
        <v/>
      </c>
      <c r="AG365" s="11" t="str">
        <f>IF(AE365="","",IFERROR(INDEX($AO$11:$AO$4010,MATCH(355,$AZ$11:$AZ$4010,0)),""))</f>
        <v/>
      </c>
      <c r="AH365" s="10" t="str">
        <f>IF(AE365="","",IFERROR(INDEX($AQ$11:$AQ$4010,MATCH(355,$AZ$11:$AZ$4010,0)),""))</f>
        <v/>
      </c>
      <c r="AI365" s="15" t="str">
        <f>IF(AE365="","",IFERROR(INDEX($AR$11:$AR$4010,MATCH(355,$AZ$11:$AZ$4010,0)),""))</f>
        <v/>
      </c>
      <c r="AJ365" s="15" t="str">
        <f>IF(AE365="","",IFERROR(INDEX($AT$11:$AT$4010,MATCH(355,$AZ$11:$AZ$4010,0)),""))</f>
        <v/>
      </c>
      <c r="AL365" s="17" t="str">
        <f t="shared" si="73"/>
        <v/>
      </c>
      <c r="AM365" s="12" t="str">
        <f t="shared" si="74"/>
        <v/>
      </c>
      <c r="AN365" s="18" t="str">
        <f t="shared" si="75"/>
        <v/>
      </c>
      <c r="AO365" s="18" t="str">
        <f t="shared" si="76"/>
        <v/>
      </c>
      <c r="AP365" s="10" t="str">
        <f t="shared" si="77"/>
        <v/>
      </c>
      <c r="AQ365" s="10" t="str">
        <f t="shared" si="78"/>
        <v/>
      </c>
      <c r="AR365" s="19" t="str">
        <f t="shared" si="79"/>
        <v/>
      </c>
      <c r="AS365" s="20"/>
      <c r="AT365" s="19"/>
      <c r="AV365" s="21">
        <f>IF(AND($AL365&lt;&gt;"",COUNTIF($AL$11:$AL365,$AL365)=1),1,0)</f>
        <v>0</v>
      </c>
      <c r="AW365" s="21">
        <f t="shared" si="81"/>
        <v>0</v>
      </c>
      <c r="AX365" s="21" t="str">
        <f t="shared" si="80"/>
        <v/>
      </c>
      <c r="AY365" s="21" t="str">
        <f>IF(AND($AM365&lt;&gt;"",$AS365&lt;&gt;"✓"),SUMPRODUCT(($AM$11:$AM365&lt;&gt;"")*($AS$11:$AS365&lt;&gt;"✓")),"")</f>
        <v/>
      </c>
      <c r="AZ365" s="21" t="str">
        <f>IF(AND($AM365&lt;&gt;"",$AS365="✓"),SUMPRODUCT(($AM$11:$AM365&lt;&gt;"")*($AS$11:$AS365="✓")),"")</f>
        <v/>
      </c>
      <c r="BA365" s="21" t="str">
        <f>IF($AL365="","",$AL365&amp;"|"&amp;COUNTIF($AL$11:$AL365,$AL365))</f>
        <v/>
      </c>
    </row>
    <row r="366" spans="2:53" ht="15" customHeight="1" x14ac:dyDescent="0.25">
      <c r="B366" s="5" t="str">
        <f t="shared" si="72"/>
        <v/>
      </c>
      <c r="C366" s="5"/>
      <c r="D366" s="5"/>
      <c r="E366" s="5"/>
      <c r="F366" s="6"/>
      <c r="G366" s="6"/>
      <c r="H366" s="7"/>
      <c r="I366" s="8"/>
      <c r="W366" s="28" t="str">
        <f>IF(X366="","",IFERROR(INDEX($AL$11:$AL$4010,MATCH(356,$AY$11:$AY$4010,0)),""))</f>
        <v/>
      </c>
      <c r="X366" s="26" t="str">
        <f>IFERROR(INDEX($AM$11:$AM$4010,MATCH(356,$AY$11:$AY$4010,0)),"")</f>
        <v/>
      </c>
      <c r="Y366" s="25" t="str">
        <f>IF(X366="","",IFERROR(INDEX($AN$11:$AN$4010,MATCH(356,$AY$11:$AY$4010,0)),""))</f>
        <v/>
      </c>
      <c r="Z366" s="25" t="str">
        <f>IF(X366="","",IFERROR(INDEX($AO$11:$AO$4010,MATCH(356,$AY$11:$AY$4010,0)),""))</f>
        <v/>
      </c>
      <c r="AA366" s="24" t="str">
        <f>IF(X366="","",IFERROR(INDEX($AQ$11:$AQ$4010,MATCH(356,$AY$11:$AY$4010,0)),""))</f>
        <v/>
      </c>
      <c r="AB366" s="29" t="str">
        <f>IF(X366="","",IFERROR(INDEX($AR$11:$AR$4010,MATCH(356,$AY$11:$AY$4010,0)),""))</f>
        <v/>
      </c>
      <c r="AD366" s="30" t="str">
        <f>IF(AE366="","",IFERROR(INDEX($AL$11:$AL$4010,MATCH(356,$AZ$11:$AZ$4010,0)),""))</f>
        <v/>
      </c>
      <c r="AE366" s="26" t="str">
        <f>IFERROR(INDEX($AM$11:$AM$4010,MATCH(356,$AZ$11:$AZ$4010,0)),"")</f>
        <v/>
      </c>
      <c r="AF366" s="25" t="str">
        <f>IF(AE366="","",IFERROR(INDEX($AN$11:$AN$4010,MATCH(356,$AZ$11:$AZ$4010,0)),""))</f>
        <v/>
      </c>
      <c r="AG366" s="25" t="str">
        <f>IF(AE366="","",IFERROR(INDEX($AO$11:$AO$4010,MATCH(356,$AZ$11:$AZ$4010,0)),""))</f>
        <v/>
      </c>
      <c r="AH366" s="24" t="str">
        <f>IF(AE366="","",IFERROR(INDEX($AQ$11:$AQ$4010,MATCH(356,$AZ$11:$AZ$4010,0)),""))</f>
        <v/>
      </c>
      <c r="AI366" s="29" t="str">
        <f>IF(AE366="","",IFERROR(INDEX($AR$11:$AR$4010,MATCH(356,$AZ$11:$AZ$4010,0)),""))</f>
        <v/>
      </c>
      <c r="AJ366" s="29" t="str">
        <f>IF(AE366="","",IFERROR(INDEX($AT$11:$AT$4010,MATCH(356,$AZ$11:$AZ$4010,0)),""))</f>
        <v/>
      </c>
      <c r="AL366" s="31" t="str">
        <f t="shared" si="73"/>
        <v/>
      </c>
      <c r="AM366" s="26" t="str">
        <f t="shared" si="74"/>
        <v/>
      </c>
      <c r="AN366" s="32" t="str">
        <f t="shared" si="75"/>
        <v/>
      </c>
      <c r="AO366" s="32" t="str">
        <f t="shared" si="76"/>
        <v/>
      </c>
      <c r="AP366" s="24" t="str">
        <f t="shared" si="77"/>
        <v/>
      </c>
      <c r="AQ366" s="24" t="str">
        <f t="shared" si="78"/>
        <v/>
      </c>
      <c r="AR366" s="33" t="str">
        <f t="shared" si="79"/>
        <v/>
      </c>
      <c r="AS366" s="34"/>
      <c r="AT366" s="33"/>
      <c r="AV366" s="21">
        <f>IF(AND($AL366&lt;&gt;"",COUNTIF($AL$11:$AL366,$AL366)=1),1,0)</f>
        <v>0</v>
      </c>
      <c r="AW366" s="21">
        <f t="shared" si="81"/>
        <v>0</v>
      </c>
      <c r="AX366" s="21" t="str">
        <f t="shared" si="80"/>
        <v/>
      </c>
      <c r="AY366" s="21" t="str">
        <f>IF(AND($AM366&lt;&gt;"",$AS366&lt;&gt;"✓"),SUMPRODUCT(($AM$11:$AM366&lt;&gt;"")*($AS$11:$AS366&lt;&gt;"✓")),"")</f>
        <v/>
      </c>
      <c r="AZ366" s="21" t="str">
        <f>IF(AND($AM366&lt;&gt;"",$AS366="✓"),SUMPRODUCT(($AM$11:$AM366&lt;&gt;"")*($AS$11:$AS366="✓")),"")</f>
        <v/>
      </c>
      <c r="BA366" s="21" t="str">
        <f>IF($AL366="","",$AL366&amp;"|"&amp;COUNTIF($AL$11:$AL366,$AL366))</f>
        <v/>
      </c>
    </row>
    <row r="367" spans="2:53" ht="15" customHeight="1" x14ac:dyDescent="0.25">
      <c r="B367" s="5" t="str">
        <f t="shared" si="72"/>
        <v/>
      </c>
      <c r="C367" s="5"/>
      <c r="D367" s="5"/>
      <c r="E367" s="5"/>
      <c r="F367" s="6"/>
      <c r="G367" s="6"/>
      <c r="H367" s="7"/>
      <c r="I367" s="8"/>
      <c r="W367" s="14" t="str">
        <f>IF(X367="","",IFERROR(INDEX($AL$11:$AL$4010,MATCH(357,$AY$11:$AY$4010,0)),""))</f>
        <v/>
      </c>
      <c r="X367" s="12" t="str">
        <f>IFERROR(INDEX($AM$11:$AM$4010,MATCH(357,$AY$11:$AY$4010,0)),"")</f>
        <v/>
      </c>
      <c r="Y367" s="11" t="str">
        <f>IF(X367="","",IFERROR(INDEX($AN$11:$AN$4010,MATCH(357,$AY$11:$AY$4010,0)),""))</f>
        <v/>
      </c>
      <c r="Z367" s="11" t="str">
        <f>IF(X367="","",IFERROR(INDEX($AO$11:$AO$4010,MATCH(357,$AY$11:$AY$4010,0)),""))</f>
        <v/>
      </c>
      <c r="AA367" s="10" t="str">
        <f>IF(X367="","",IFERROR(INDEX($AQ$11:$AQ$4010,MATCH(357,$AY$11:$AY$4010,0)),""))</f>
        <v/>
      </c>
      <c r="AB367" s="15" t="str">
        <f>IF(X367="","",IFERROR(INDEX($AR$11:$AR$4010,MATCH(357,$AY$11:$AY$4010,0)),""))</f>
        <v/>
      </c>
      <c r="AD367" s="16" t="str">
        <f>IF(AE367="","",IFERROR(INDEX($AL$11:$AL$4010,MATCH(357,$AZ$11:$AZ$4010,0)),""))</f>
        <v/>
      </c>
      <c r="AE367" s="12" t="str">
        <f>IFERROR(INDEX($AM$11:$AM$4010,MATCH(357,$AZ$11:$AZ$4010,0)),"")</f>
        <v/>
      </c>
      <c r="AF367" s="11" t="str">
        <f>IF(AE367="","",IFERROR(INDEX($AN$11:$AN$4010,MATCH(357,$AZ$11:$AZ$4010,0)),""))</f>
        <v/>
      </c>
      <c r="AG367" s="11" t="str">
        <f>IF(AE367="","",IFERROR(INDEX($AO$11:$AO$4010,MATCH(357,$AZ$11:$AZ$4010,0)),""))</f>
        <v/>
      </c>
      <c r="AH367" s="10" t="str">
        <f>IF(AE367="","",IFERROR(INDEX($AQ$11:$AQ$4010,MATCH(357,$AZ$11:$AZ$4010,0)),""))</f>
        <v/>
      </c>
      <c r="AI367" s="15" t="str">
        <f>IF(AE367="","",IFERROR(INDEX($AR$11:$AR$4010,MATCH(357,$AZ$11:$AZ$4010,0)),""))</f>
        <v/>
      </c>
      <c r="AJ367" s="15" t="str">
        <f>IF(AE367="","",IFERROR(INDEX($AT$11:$AT$4010,MATCH(357,$AZ$11:$AZ$4010,0)),""))</f>
        <v/>
      </c>
      <c r="AL367" s="17" t="str">
        <f t="shared" si="73"/>
        <v/>
      </c>
      <c r="AM367" s="12" t="str">
        <f t="shared" si="74"/>
        <v/>
      </c>
      <c r="AN367" s="18" t="str">
        <f t="shared" si="75"/>
        <v/>
      </c>
      <c r="AO367" s="18" t="str">
        <f t="shared" si="76"/>
        <v/>
      </c>
      <c r="AP367" s="10" t="str">
        <f t="shared" si="77"/>
        <v/>
      </c>
      <c r="AQ367" s="10" t="str">
        <f t="shared" si="78"/>
        <v/>
      </c>
      <c r="AR367" s="19" t="str">
        <f t="shared" si="79"/>
        <v/>
      </c>
      <c r="AS367" s="20"/>
      <c r="AT367" s="19"/>
      <c r="AV367" s="21">
        <f>IF(AND($AL367&lt;&gt;"",COUNTIF($AL$11:$AL367,$AL367)=1),1,0)</f>
        <v>0</v>
      </c>
      <c r="AW367" s="21">
        <f t="shared" si="81"/>
        <v>0</v>
      </c>
      <c r="AX367" s="21" t="str">
        <f t="shared" si="80"/>
        <v/>
      </c>
      <c r="AY367" s="21" t="str">
        <f>IF(AND($AM367&lt;&gt;"",$AS367&lt;&gt;"✓"),SUMPRODUCT(($AM$11:$AM367&lt;&gt;"")*($AS$11:$AS367&lt;&gt;"✓")),"")</f>
        <v/>
      </c>
      <c r="AZ367" s="21" t="str">
        <f>IF(AND($AM367&lt;&gt;"",$AS367="✓"),SUMPRODUCT(($AM$11:$AM367&lt;&gt;"")*($AS$11:$AS367="✓")),"")</f>
        <v/>
      </c>
      <c r="BA367" s="21" t="str">
        <f>IF($AL367="","",$AL367&amp;"|"&amp;COUNTIF($AL$11:$AL367,$AL367))</f>
        <v/>
      </c>
    </row>
    <row r="368" spans="2:53" ht="15" customHeight="1" x14ac:dyDescent="0.25">
      <c r="B368" s="5" t="str">
        <f t="shared" si="72"/>
        <v/>
      </c>
      <c r="C368" s="5"/>
      <c r="D368" s="5"/>
      <c r="E368" s="5"/>
      <c r="F368" s="6"/>
      <c r="G368" s="6"/>
      <c r="H368" s="7"/>
      <c r="I368" s="8"/>
      <c r="W368" s="28" t="str">
        <f>IF(X368="","",IFERROR(INDEX($AL$11:$AL$4010,MATCH(358,$AY$11:$AY$4010,0)),""))</f>
        <v/>
      </c>
      <c r="X368" s="26" t="str">
        <f>IFERROR(INDEX($AM$11:$AM$4010,MATCH(358,$AY$11:$AY$4010,0)),"")</f>
        <v/>
      </c>
      <c r="Y368" s="25" t="str">
        <f>IF(X368="","",IFERROR(INDEX($AN$11:$AN$4010,MATCH(358,$AY$11:$AY$4010,0)),""))</f>
        <v/>
      </c>
      <c r="Z368" s="25" t="str">
        <f>IF(X368="","",IFERROR(INDEX($AO$11:$AO$4010,MATCH(358,$AY$11:$AY$4010,0)),""))</f>
        <v/>
      </c>
      <c r="AA368" s="24" t="str">
        <f>IF(X368="","",IFERROR(INDEX($AQ$11:$AQ$4010,MATCH(358,$AY$11:$AY$4010,0)),""))</f>
        <v/>
      </c>
      <c r="AB368" s="29" t="str">
        <f>IF(X368="","",IFERROR(INDEX($AR$11:$AR$4010,MATCH(358,$AY$11:$AY$4010,0)),""))</f>
        <v/>
      </c>
      <c r="AD368" s="30" t="str">
        <f>IF(AE368="","",IFERROR(INDEX($AL$11:$AL$4010,MATCH(358,$AZ$11:$AZ$4010,0)),""))</f>
        <v/>
      </c>
      <c r="AE368" s="26" t="str">
        <f>IFERROR(INDEX($AM$11:$AM$4010,MATCH(358,$AZ$11:$AZ$4010,0)),"")</f>
        <v/>
      </c>
      <c r="AF368" s="25" t="str">
        <f>IF(AE368="","",IFERROR(INDEX($AN$11:$AN$4010,MATCH(358,$AZ$11:$AZ$4010,0)),""))</f>
        <v/>
      </c>
      <c r="AG368" s="25" t="str">
        <f>IF(AE368="","",IFERROR(INDEX($AO$11:$AO$4010,MATCH(358,$AZ$11:$AZ$4010,0)),""))</f>
        <v/>
      </c>
      <c r="AH368" s="24" t="str">
        <f>IF(AE368="","",IFERROR(INDEX($AQ$11:$AQ$4010,MATCH(358,$AZ$11:$AZ$4010,0)),""))</f>
        <v/>
      </c>
      <c r="AI368" s="29" t="str">
        <f>IF(AE368="","",IFERROR(INDEX($AR$11:$AR$4010,MATCH(358,$AZ$11:$AZ$4010,0)),""))</f>
        <v/>
      </c>
      <c r="AJ368" s="29" t="str">
        <f>IF(AE368="","",IFERROR(INDEX($AT$11:$AT$4010,MATCH(358,$AZ$11:$AZ$4010,0)),""))</f>
        <v/>
      </c>
      <c r="AL368" s="31" t="str">
        <f t="shared" si="73"/>
        <v/>
      </c>
      <c r="AM368" s="26" t="str">
        <f t="shared" si="74"/>
        <v/>
      </c>
      <c r="AN368" s="32" t="str">
        <f t="shared" si="75"/>
        <v/>
      </c>
      <c r="AO368" s="32" t="str">
        <f t="shared" si="76"/>
        <v/>
      </c>
      <c r="AP368" s="24" t="str">
        <f t="shared" si="77"/>
        <v/>
      </c>
      <c r="AQ368" s="24" t="str">
        <f t="shared" si="78"/>
        <v/>
      </c>
      <c r="AR368" s="33" t="str">
        <f t="shared" si="79"/>
        <v/>
      </c>
      <c r="AS368" s="34"/>
      <c r="AT368" s="33"/>
      <c r="AV368" s="21">
        <f>IF(AND($AL368&lt;&gt;"",COUNTIF($AL$11:$AL368,$AL368)=1),1,0)</f>
        <v>0</v>
      </c>
      <c r="AW368" s="21">
        <f t="shared" si="81"/>
        <v>0</v>
      </c>
      <c r="AX368" s="21" t="str">
        <f t="shared" si="80"/>
        <v/>
      </c>
      <c r="AY368" s="21" t="str">
        <f>IF(AND($AM368&lt;&gt;"",$AS368&lt;&gt;"✓"),SUMPRODUCT(($AM$11:$AM368&lt;&gt;"")*($AS$11:$AS368&lt;&gt;"✓")),"")</f>
        <v/>
      </c>
      <c r="AZ368" s="21" t="str">
        <f>IF(AND($AM368&lt;&gt;"",$AS368="✓"),SUMPRODUCT(($AM$11:$AM368&lt;&gt;"")*($AS$11:$AS368="✓")),"")</f>
        <v/>
      </c>
      <c r="BA368" s="21" t="str">
        <f>IF($AL368="","",$AL368&amp;"|"&amp;COUNTIF($AL$11:$AL368,$AL368))</f>
        <v/>
      </c>
    </row>
    <row r="369" spans="2:53" ht="15" customHeight="1" x14ac:dyDescent="0.25">
      <c r="B369" s="5" t="str">
        <f t="shared" si="72"/>
        <v/>
      </c>
      <c r="C369" s="5"/>
      <c r="D369" s="5"/>
      <c r="E369" s="5"/>
      <c r="F369" s="6"/>
      <c r="G369" s="6"/>
      <c r="H369" s="7"/>
      <c r="I369" s="8"/>
      <c r="W369" s="14" t="str">
        <f>IF(X369="","",IFERROR(INDEX($AL$11:$AL$4010,MATCH(359,$AY$11:$AY$4010,0)),""))</f>
        <v/>
      </c>
      <c r="X369" s="12" t="str">
        <f>IFERROR(INDEX($AM$11:$AM$4010,MATCH(359,$AY$11:$AY$4010,0)),"")</f>
        <v/>
      </c>
      <c r="Y369" s="11" t="str">
        <f>IF(X369="","",IFERROR(INDEX($AN$11:$AN$4010,MATCH(359,$AY$11:$AY$4010,0)),""))</f>
        <v/>
      </c>
      <c r="Z369" s="11" t="str">
        <f>IF(X369="","",IFERROR(INDEX($AO$11:$AO$4010,MATCH(359,$AY$11:$AY$4010,0)),""))</f>
        <v/>
      </c>
      <c r="AA369" s="10" t="str">
        <f>IF(X369="","",IFERROR(INDEX($AQ$11:$AQ$4010,MATCH(359,$AY$11:$AY$4010,0)),""))</f>
        <v/>
      </c>
      <c r="AB369" s="15" t="str">
        <f>IF(X369="","",IFERROR(INDEX($AR$11:$AR$4010,MATCH(359,$AY$11:$AY$4010,0)),""))</f>
        <v/>
      </c>
      <c r="AD369" s="16" t="str">
        <f>IF(AE369="","",IFERROR(INDEX($AL$11:$AL$4010,MATCH(359,$AZ$11:$AZ$4010,0)),""))</f>
        <v/>
      </c>
      <c r="AE369" s="12" t="str">
        <f>IFERROR(INDEX($AM$11:$AM$4010,MATCH(359,$AZ$11:$AZ$4010,0)),"")</f>
        <v/>
      </c>
      <c r="AF369" s="11" t="str">
        <f>IF(AE369="","",IFERROR(INDEX($AN$11:$AN$4010,MATCH(359,$AZ$11:$AZ$4010,0)),""))</f>
        <v/>
      </c>
      <c r="AG369" s="11" t="str">
        <f>IF(AE369="","",IFERROR(INDEX($AO$11:$AO$4010,MATCH(359,$AZ$11:$AZ$4010,0)),""))</f>
        <v/>
      </c>
      <c r="AH369" s="10" t="str">
        <f>IF(AE369="","",IFERROR(INDEX($AQ$11:$AQ$4010,MATCH(359,$AZ$11:$AZ$4010,0)),""))</f>
        <v/>
      </c>
      <c r="AI369" s="15" t="str">
        <f>IF(AE369="","",IFERROR(INDEX($AR$11:$AR$4010,MATCH(359,$AZ$11:$AZ$4010,0)),""))</f>
        <v/>
      </c>
      <c r="AJ369" s="15" t="str">
        <f>IF(AE369="","",IFERROR(INDEX($AT$11:$AT$4010,MATCH(359,$AZ$11:$AZ$4010,0)),""))</f>
        <v/>
      </c>
      <c r="AL369" s="17" t="str">
        <f t="shared" si="73"/>
        <v/>
      </c>
      <c r="AM369" s="12" t="str">
        <f t="shared" si="74"/>
        <v/>
      </c>
      <c r="AN369" s="18" t="str">
        <f t="shared" si="75"/>
        <v/>
      </c>
      <c r="AO369" s="18" t="str">
        <f t="shared" si="76"/>
        <v/>
      </c>
      <c r="AP369" s="10" t="str">
        <f t="shared" si="77"/>
        <v/>
      </c>
      <c r="AQ369" s="10" t="str">
        <f t="shared" si="78"/>
        <v/>
      </c>
      <c r="AR369" s="19" t="str">
        <f t="shared" si="79"/>
        <v/>
      </c>
      <c r="AS369" s="20"/>
      <c r="AT369" s="19"/>
      <c r="AV369" s="21">
        <f>IF(AND($AL369&lt;&gt;"",COUNTIF($AL$11:$AL369,$AL369)=1),1,0)</f>
        <v>0</v>
      </c>
      <c r="AW369" s="21">
        <f t="shared" si="81"/>
        <v>0</v>
      </c>
      <c r="AX369" s="21" t="str">
        <f t="shared" si="80"/>
        <v/>
      </c>
      <c r="AY369" s="21" t="str">
        <f>IF(AND($AM369&lt;&gt;"",$AS369&lt;&gt;"✓"),SUMPRODUCT(($AM$11:$AM369&lt;&gt;"")*($AS$11:$AS369&lt;&gt;"✓")),"")</f>
        <v/>
      </c>
      <c r="AZ369" s="21" t="str">
        <f>IF(AND($AM369&lt;&gt;"",$AS369="✓"),SUMPRODUCT(($AM$11:$AM369&lt;&gt;"")*($AS$11:$AS369="✓")),"")</f>
        <v/>
      </c>
      <c r="BA369" s="21" t="str">
        <f>IF($AL369="","",$AL369&amp;"|"&amp;COUNTIF($AL$11:$AL369,$AL369))</f>
        <v/>
      </c>
    </row>
    <row r="370" spans="2:53" ht="15" customHeight="1" x14ac:dyDescent="0.25">
      <c r="B370" s="5" t="str">
        <f t="shared" si="72"/>
        <v/>
      </c>
      <c r="C370" s="5"/>
      <c r="D370" s="5"/>
      <c r="E370" s="5"/>
      <c r="F370" s="6"/>
      <c r="G370" s="6"/>
      <c r="H370" s="7"/>
      <c r="I370" s="8"/>
      <c r="W370" s="28" t="str">
        <f>IF(X370="","",IFERROR(INDEX($AL$11:$AL$4010,MATCH(360,$AY$11:$AY$4010,0)),""))</f>
        <v/>
      </c>
      <c r="X370" s="26" t="str">
        <f>IFERROR(INDEX($AM$11:$AM$4010,MATCH(360,$AY$11:$AY$4010,0)),"")</f>
        <v/>
      </c>
      <c r="Y370" s="25" t="str">
        <f>IF(X370="","",IFERROR(INDEX($AN$11:$AN$4010,MATCH(360,$AY$11:$AY$4010,0)),""))</f>
        <v/>
      </c>
      <c r="Z370" s="25" t="str">
        <f>IF(X370="","",IFERROR(INDEX($AO$11:$AO$4010,MATCH(360,$AY$11:$AY$4010,0)),""))</f>
        <v/>
      </c>
      <c r="AA370" s="24" t="str">
        <f>IF(X370="","",IFERROR(INDEX($AQ$11:$AQ$4010,MATCH(360,$AY$11:$AY$4010,0)),""))</f>
        <v/>
      </c>
      <c r="AB370" s="29" t="str">
        <f>IF(X370="","",IFERROR(INDEX($AR$11:$AR$4010,MATCH(360,$AY$11:$AY$4010,0)),""))</f>
        <v/>
      </c>
      <c r="AD370" s="30" t="str">
        <f>IF(AE370="","",IFERROR(INDEX($AL$11:$AL$4010,MATCH(360,$AZ$11:$AZ$4010,0)),""))</f>
        <v/>
      </c>
      <c r="AE370" s="26" t="str">
        <f>IFERROR(INDEX($AM$11:$AM$4010,MATCH(360,$AZ$11:$AZ$4010,0)),"")</f>
        <v/>
      </c>
      <c r="AF370" s="25" t="str">
        <f>IF(AE370="","",IFERROR(INDEX($AN$11:$AN$4010,MATCH(360,$AZ$11:$AZ$4010,0)),""))</f>
        <v/>
      </c>
      <c r="AG370" s="25" t="str">
        <f>IF(AE370="","",IFERROR(INDEX($AO$11:$AO$4010,MATCH(360,$AZ$11:$AZ$4010,0)),""))</f>
        <v/>
      </c>
      <c r="AH370" s="24" t="str">
        <f>IF(AE370="","",IFERROR(INDEX($AQ$11:$AQ$4010,MATCH(360,$AZ$11:$AZ$4010,0)),""))</f>
        <v/>
      </c>
      <c r="AI370" s="29" t="str">
        <f>IF(AE370="","",IFERROR(INDEX($AR$11:$AR$4010,MATCH(360,$AZ$11:$AZ$4010,0)),""))</f>
        <v/>
      </c>
      <c r="AJ370" s="29" t="str">
        <f>IF(AE370="","",IFERROR(INDEX($AT$11:$AT$4010,MATCH(360,$AZ$11:$AZ$4010,0)),""))</f>
        <v/>
      </c>
      <c r="AL370" s="31" t="str">
        <f t="shared" si="73"/>
        <v/>
      </c>
      <c r="AM370" s="26" t="str">
        <f t="shared" si="74"/>
        <v/>
      </c>
      <c r="AN370" s="32" t="str">
        <f t="shared" si="75"/>
        <v/>
      </c>
      <c r="AO370" s="32" t="str">
        <f t="shared" si="76"/>
        <v/>
      </c>
      <c r="AP370" s="24" t="str">
        <f t="shared" si="77"/>
        <v/>
      </c>
      <c r="AQ370" s="24" t="str">
        <f t="shared" si="78"/>
        <v/>
      </c>
      <c r="AR370" s="33" t="str">
        <f t="shared" si="79"/>
        <v/>
      </c>
      <c r="AS370" s="34"/>
      <c r="AT370" s="33"/>
      <c r="AV370" s="21">
        <f>IF(AND($AL370&lt;&gt;"",COUNTIF($AL$11:$AL370,$AL370)=1),1,0)</f>
        <v>0</v>
      </c>
      <c r="AW370" s="21">
        <f t="shared" si="81"/>
        <v>0</v>
      </c>
      <c r="AX370" s="21" t="str">
        <f t="shared" si="80"/>
        <v/>
      </c>
      <c r="AY370" s="21" t="str">
        <f>IF(AND($AM370&lt;&gt;"",$AS370&lt;&gt;"✓"),SUMPRODUCT(($AM$11:$AM370&lt;&gt;"")*($AS$11:$AS370&lt;&gt;"✓")),"")</f>
        <v/>
      </c>
      <c r="AZ370" s="21" t="str">
        <f>IF(AND($AM370&lt;&gt;"",$AS370="✓"),SUMPRODUCT(($AM$11:$AM370&lt;&gt;"")*($AS$11:$AS370="✓")),"")</f>
        <v/>
      </c>
      <c r="BA370" s="21" t="str">
        <f>IF($AL370="","",$AL370&amp;"|"&amp;COUNTIF($AL$11:$AL370,$AL370))</f>
        <v/>
      </c>
    </row>
    <row r="371" spans="2:53" ht="15" customHeight="1" x14ac:dyDescent="0.25">
      <c r="B371" s="5" t="str">
        <f t="shared" si="72"/>
        <v/>
      </c>
      <c r="C371" s="5"/>
      <c r="D371" s="5"/>
      <c r="E371" s="5"/>
      <c r="F371" s="6"/>
      <c r="G371" s="6"/>
      <c r="H371" s="7"/>
      <c r="I371" s="8"/>
      <c r="W371" s="14" t="str">
        <f>IF(X371="","",IFERROR(INDEX($AL$11:$AL$4010,MATCH(361,$AY$11:$AY$4010,0)),""))</f>
        <v/>
      </c>
      <c r="X371" s="12" t="str">
        <f>IFERROR(INDEX($AM$11:$AM$4010,MATCH(361,$AY$11:$AY$4010,0)),"")</f>
        <v/>
      </c>
      <c r="Y371" s="11" t="str">
        <f>IF(X371="","",IFERROR(INDEX($AN$11:$AN$4010,MATCH(361,$AY$11:$AY$4010,0)),""))</f>
        <v/>
      </c>
      <c r="Z371" s="11" t="str">
        <f>IF(X371="","",IFERROR(INDEX($AO$11:$AO$4010,MATCH(361,$AY$11:$AY$4010,0)),""))</f>
        <v/>
      </c>
      <c r="AA371" s="10" t="str">
        <f>IF(X371="","",IFERROR(INDEX($AQ$11:$AQ$4010,MATCH(361,$AY$11:$AY$4010,0)),""))</f>
        <v/>
      </c>
      <c r="AB371" s="15" t="str">
        <f>IF(X371="","",IFERROR(INDEX($AR$11:$AR$4010,MATCH(361,$AY$11:$AY$4010,0)),""))</f>
        <v/>
      </c>
      <c r="AD371" s="16" t="str">
        <f>IF(AE371="","",IFERROR(INDEX($AL$11:$AL$4010,MATCH(361,$AZ$11:$AZ$4010,0)),""))</f>
        <v/>
      </c>
      <c r="AE371" s="12" t="str">
        <f>IFERROR(INDEX($AM$11:$AM$4010,MATCH(361,$AZ$11:$AZ$4010,0)),"")</f>
        <v/>
      </c>
      <c r="AF371" s="11" t="str">
        <f>IF(AE371="","",IFERROR(INDEX($AN$11:$AN$4010,MATCH(361,$AZ$11:$AZ$4010,0)),""))</f>
        <v/>
      </c>
      <c r="AG371" s="11" t="str">
        <f>IF(AE371="","",IFERROR(INDEX($AO$11:$AO$4010,MATCH(361,$AZ$11:$AZ$4010,0)),""))</f>
        <v/>
      </c>
      <c r="AH371" s="10" t="str">
        <f>IF(AE371="","",IFERROR(INDEX($AQ$11:$AQ$4010,MATCH(361,$AZ$11:$AZ$4010,0)),""))</f>
        <v/>
      </c>
      <c r="AI371" s="15" t="str">
        <f>IF(AE371="","",IFERROR(INDEX($AR$11:$AR$4010,MATCH(361,$AZ$11:$AZ$4010,0)),""))</f>
        <v/>
      </c>
      <c r="AJ371" s="15" t="str">
        <f>IF(AE371="","",IFERROR(INDEX($AT$11:$AT$4010,MATCH(361,$AZ$11:$AZ$4010,0)),""))</f>
        <v/>
      </c>
      <c r="AL371" s="17" t="str">
        <f t="shared" si="73"/>
        <v/>
      </c>
      <c r="AM371" s="12" t="str">
        <f t="shared" si="74"/>
        <v/>
      </c>
      <c r="AN371" s="18" t="str">
        <f t="shared" si="75"/>
        <v/>
      </c>
      <c r="AO371" s="18" t="str">
        <f t="shared" si="76"/>
        <v/>
      </c>
      <c r="AP371" s="10" t="str">
        <f t="shared" si="77"/>
        <v/>
      </c>
      <c r="AQ371" s="10" t="str">
        <f t="shared" si="78"/>
        <v/>
      </c>
      <c r="AR371" s="19" t="str">
        <f t="shared" si="79"/>
        <v/>
      </c>
      <c r="AS371" s="20"/>
      <c r="AT371" s="19"/>
      <c r="AV371" s="21">
        <f>IF(AND($AL371&lt;&gt;"",COUNTIF($AL$11:$AL371,$AL371)=1),1,0)</f>
        <v>0</v>
      </c>
      <c r="AW371" s="21">
        <f t="shared" si="81"/>
        <v>0</v>
      </c>
      <c r="AX371" s="21" t="str">
        <f t="shared" si="80"/>
        <v/>
      </c>
      <c r="AY371" s="21" t="str">
        <f>IF(AND($AM371&lt;&gt;"",$AS371&lt;&gt;"✓"),SUMPRODUCT(($AM$11:$AM371&lt;&gt;"")*($AS$11:$AS371&lt;&gt;"✓")),"")</f>
        <v/>
      </c>
      <c r="AZ371" s="21" t="str">
        <f>IF(AND($AM371&lt;&gt;"",$AS371="✓"),SUMPRODUCT(($AM$11:$AM371&lt;&gt;"")*($AS$11:$AS371="✓")),"")</f>
        <v/>
      </c>
      <c r="BA371" s="21" t="str">
        <f>IF($AL371="","",$AL371&amp;"|"&amp;COUNTIF($AL$11:$AL371,$AL371))</f>
        <v/>
      </c>
    </row>
    <row r="372" spans="2:53" ht="15" customHeight="1" x14ac:dyDescent="0.25">
      <c r="B372" s="5" t="str">
        <f t="shared" si="72"/>
        <v/>
      </c>
      <c r="C372" s="5"/>
      <c r="D372" s="5"/>
      <c r="E372" s="5"/>
      <c r="F372" s="6"/>
      <c r="G372" s="6"/>
      <c r="H372" s="7"/>
      <c r="I372" s="8"/>
      <c r="W372" s="28" t="str">
        <f>IF(X372="","",IFERROR(INDEX($AL$11:$AL$4010,MATCH(362,$AY$11:$AY$4010,0)),""))</f>
        <v/>
      </c>
      <c r="X372" s="26" t="str">
        <f>IFERROR(INDEX($AM$11:$AM$4010,MATCH(362,$AY$11:$AY$4010,0)),"")</f>
        <v/>
      </c>
      <c r="Y372" s="25" t="str">
        <f>IF(X372="","",IFERROR(INDEX($AN$11:$AN$4010,MATCH(362,$AY$11:$AY$4010,0)),""))</f>
        <v/>
      </c>
      <c r="Z372" s="25" t="str">
        <f>IF(X372="","",IFERROR(INDEX($AO$11:$AO$4010,MATCH(362,$AY$11:$AY$4010,0)),""))</f>
        <v/>
      </c>
      <c r="AA372" s="24" t="str">
        <f>IF(X372="","",IFERROR(INDEX($AQ$11:$AQ$4010,MATCH(362,$AY$11:$AY$4010,0)),""))</f>
        <v/>
      </c>
      <c r="AB372" s="29" t="str">
        <f>IF(X372="","",IFERROR(INDEX($AR$11:$AR$4010,MATCH(362,$AY$11:$AY$4010,0)),""))</f>
        <v/>
      </c>
      <c r="AD372" s="30" t="str">
        <f>IF(AE372="","",IFERROR(INDEX($AL$11:$AL$4010,MATCH(362,$AZ$11:$AZ$4010,0)),""))</f>
        <v/>
      </c>
      <c r="AE372" s="26" t="str">
        <f>IFERROR(INDEX($AM$11:$AM$4010,MATCH(362,$AZ$11:$AZ$4010,0)),"")</f>
        <v/>
      </c>
      <c r="AF372" s="25" t="str">
        <f>IF(AE372="","",IFERROR(INDEX($AN$11:$AN$4010,MATCH(362,$AZ$11:$AZ$4010,0)),""))</f>
        <v/>
      </c>
      <c r="AG372" s="25" t="str">
        <f>IF(AE372="","",IFERROR(INDEX($AO$11:$AO$4010,MATCH(362,$AZ$11:$AZ$4010,0)),""))</f>
        <v/>
      </c>
      <c r="AH372" s="24" t="str">
        <f>IF(AE372="","",IFERROR(INDEX($AQ$11:$AQ$4010,MATCH(362,$AZ$11:$AZ$4010,0)),""))</f>
        <v/>
      </c>
      <c r="AI372" s="29" t="str">
        <f>IF(AE372="","",IFERROR(INDEX($AR$11:$AR$4010,MATCH(362,$AZ$11:$AZ$4010,0)),""))</f>
        <v/>
      </c>
      <c r="AJ372" s="29" t="str">
        <f>IF(AE372="","",IFERROR(INDEX($AT$11:$AT$4010,MATCH(362,$AZ$11:$AZ$4010,0)),""))</f>
        <v/>
      </c>
      <c r="AL372" s="31" t="str">
        <f t="shared" si="73"/>
        <v/>
      </c>
      <c r="AM372" s="26" t="str">
        <f t="shared" si="74"/>
        <v/>
      </c>
      <c r="AN372" s="32" t="str">
        <f t="shared" si="75"/>
        <v/>
      </c>
      <c r="AO372" s="32" t="str">
        <f t="shared" si="76"/>
        <v/>
      </c>
      <c r="AP372" s="24" t="str">
        <f t="shared" si="77"/>
        <v/>
      </c>
      <c r="AQ372" s="24" t="str">
        <f t="shared" si="78"/>
        <v/>
      </c>
      <c r="AR372" s="33" t="str">
        <f t="shared" si="79"/>
        <v/>
      </c>
      <c r="AS372" s="34"/>
      <c r="AT372" s="33"/>
      <c r="AV372" s="21">
        <f>IF(AND($AL372&lt;&gt;"",COUNTIF($AL$11:$AL372,$AL372)=1),1,0)</f>
        <v>0</v>
      </c>
      <c r="AW372" s="21">
        <f t="shared" si="81"/>
        <v>0</v>
      </c>
      <c r="AX372" s="21" t="str">
        <f t="shared" si="80"/>
        <v/>
      </c>
      <c r="AY372" s="21" t="str">
        <f>IF(AND($AM372&lt;&gt;"",$AS372&lt;&gt;"✓"),SUMPRODUCT(($AM$11:$AM372&lt;&gt;"")*($AS$11:$AS372&lt;&gt;"✓")),"")</f>
        <v/>
      </c>
      <c r="AZ372" s="21" t="str">
        <f>IF(AND($AM372&lt;&gt;"",$AS372="✓"),SUMPRODUCT(($AM$11:$AM372&lt;&gt;"")*($AS$11:$AS372="✓")),"")</f>
        <v/>
      </c>
      <c r="BA372" s="21" t="str">
        <f>IF($AL372="","",$AL372&amp;"|"&amp;COUNTIF($AL$11:$AL372,$AL372))</f>
        <v/>
      </c>
    </row>
    <row r="373" spans="2:53" ht="15" customHeight="1" x14ac:dyDescent="0.25">
      <c r="B373" s="5" t="str">
        <f t="shared" si="72"/>
        <v/>
      </c>
      <c r="C373" s="5"/>
      <c r="D373" s="5"/>
      <c r="E373" s="5"/>
      <c r="F373" s="6"/>
      <c r="G373" s="6"/>
      <c r="H373" s="7"/>
      <c r="I373" s="8"/>
      <c r="W373" s="14" t="str">
        <f>IF(X373="","",IFERROR(INDEX($AL$11:$AL$4010,MATCH(363,$AY$11:$AY$4010,0)),""))</f>
        <v/>
      </c>
      <c r="X373" s="12" t="str">
        <f>IFERROR(INDEX($AM$11:$AM$4010,MATCH(363,$AY$11:$AY$4010,0)),"")</f>
        <v/>
      </c>
      <c r="Y373" s="11" t="str">
        <f>IF(X373="","",IFERROR(INDEX($AN$11:$AN$4010,MATCH(363,$AY$11:$AY$4010,0)),""))</f>
        <v/>
      </c>
      <c r="Z373" s="11" t="str">
        <f>IF(X373="","",IFERROR(INDEX($AO$11:$AO$4010,MATCH(363,$AY$11:$AY$4010,0)),""))</f>
        <v/>
      </c>
      <c r="AA373" s="10" t="str">
        <f>IF(X373="","",IFERROR(INDEX($AQ$11:$AQ$4010,MATCH(363,$AY$11:$AY$4010,0)),""))</f>
        <v/>
      </c>
      <c r="AB373" s="15" t="str">
        <f>IF(X373="","",IFERROR(INDEX($AR$11:$AR$4010,MATCH(363,$AY$11:$AY$4010,0)),""))</f>
        <v/>
      </c>
      <c r="AD373" s="16" t="str">
        <f>IF(AE373="","",IFERROR(INDEX($AL$11:$AL$4010,MATCH(363,$AZ$11:$AZ$4010,0)),""))</f>
        <v/>
      </c>
      <c r="AE373" s="12" t="str">
        <f>IFERROR(INDEX($AM$11:$AM$4010,MATCH(363,$AZ$11:$AZ$4010,0)),"")</f>
        <v/>
      </c>
      <c r="AF373" s="11" t="str">
        <f>IF(AE373="","",IFERROR(INDEX($AN$11:$AN$4010,MATCH(363,$AZ$11:$AZ$4010,0)),""))</f>
        <v/>
      </c>
      <c r="AG373" s="11" t="str">
        <f>IF(AE373="","",IFERROR(INDEX($AO$11:$AO$4010,MATCH(363,$AZ$11:$AZ$4010,0)),""))</f>
        <v/>
      </c>
      <c r="AH373" s="10" t="str">
        <f>IF(AE373="","",IFERROR(INDEX($AQ$11:$AQ$4010,MATCH(363,$AZ$11:$AZ$4010,0)),""))</f>
        <v/>
      </c>
      <c r="AI373" s="15" t="str">
        <f>IF(AE373="","",IFERROR(INDEX($AR$11:$AR$4010,MATCH(363,$AZ$11:$AZ$4010,0)),""))</f>
        <v/>
      </c>
      <c r="AJ373" s="15" t="str">
        <f>IF(AE373="","",IFERROR(INDEX($AT$11:$AT$4010,MATCH(363,$AZ$11:$AZ$4010,0)),""))</f>
        <v/>
      </c>
      <c r="AL373" s="17" t="str">
        <f t="shared" si="73"/>
        <v/>
      </c>
      <c r="AM373" s="12" t="str">
        <f t="shared" si="74"/>
        <v/>
      </c>
      <c r="AN373" s="18" t="str">
        <f t="shared" si="75"/>
        <v/>
      </c>
      <c r="AO373" s="18" t="str">
        <f t="shared" si="76"/>
        <v/>
      </c>
      <c r="AP373" s="10" t="str">
        <f t="shared" si="77"/>
        <v/>
      </c>
      <c r="AQ373" s="10" t="str">
        <f t="shared" si="78"/>
        <v/>
      </c>
      <c r="AR373" s="19" t="str">
        <f t="shared" si="79"/>
        <v/>
      </c>
      <c r="AS373" s="20"/>
      <c r="AT373" s="19"/>
      <c r="AV373" s="21">
        <f>IF(AND($AL373&lt;&gt;"",COUNTIF($AL$11:$AL373,$AL373)=1),1,0)</f>
        <v>0</v>
      </c>
      <c r="AW373" s="21">
        <f t="shared" si="81"/>
        <v>0</v>
      </c>
      <c r="AX373" s="21" t="str">
        <f t="shared" si="80"/>
        <v/>
      </c>
      <c r="AY373" s="21" t="str">
        <f>IF(AND($AM373&lt;&gt;"",$AS373&lt;&gt;"✓"),SUMPRODUCT(($AM$11:$AM373&lt;&gt;"")*($AS$11:$AS373&lt;&gt;"✓")),"")</f>
        <v/>
      </c>
      <c r="AZ373" s="21" t="str">
        <f>IF(AND($AM373&lt;&gt;"",$AS373="✓"),SUMPRODUCT(($AM$11:$AM373&lt;&gt;"")*($AS$11:$AS373="✓")),"")</f>
        <v/>
      </c>
      <c r="BA373" s="21" t="str">
        <f>IF($AL373="","",$AL373&amp;"|"&amp;COUNTIF($AL$11:$AL373,$AL373))</f>
        <v/>
      </c>
    </row>
    <row r="374" spans="2:53" ht="15" customHeight="1" x14ac:dyDescent="0.25">
      <c r="B374" s="5" t="str">
        <f t="shared" si="72"/>
        <v/>
      </c>
      <c r="C374" s="5"/>
      <c r="D374" s="5"/>
      <c r="E374" s="5"/>
      <c r="F374" s="6"/>
      <c r="G374" s="6"/>
      <c r="H374" s="7"/>
      <c r="I374" s="8"/>
      <c r="W374" s="28" t="str">
        <f>IF(X374="","",IFERROR(INDEX($AL$11:$AL$4010,MATCH(364,$AY$11:$AY$4010,0)),""))</f>
        <v/>
      </c>
      <c r="X374" s="26" t="str">
        <f>IFERROR(INDEX($AM$11:$AM$4010,MATCH(364,$AY$11:$AY$4010,0)),"")</f>
        <v/>
      </c>
      <c r="Y374" s="25" t="str">
        <f>IF(X374="","",IFERROR(INDEX($AN$11:$AN$4010,MATCH(364,$AY$11:$AY$4010,0)),""))</f>
        <v/>
      </c>
      <c r="Z374" s="25" t="str">
        <f>IF(X374="","",IFERROR(INDEX($AO$11:$AO$4010,MATCH(364,$AY$11:$AY$4010,0)),""))</f>
        <v/>
      </c>
      <c r="AA374" s="24" t="str">
        <f>IF(X374="","",IFERROR(INDEX($AQ$11:$AQ$4010,MATCH(364,$AY$11:$AY$4010,0)),""))</f>
        <v/>
      </c>
      <c r="AB374" s="29" t="str">
        <f>IF(X374="","",IFERROR(INDEX($AR$11:$AR$4010,MATCH(364,$AY$11:$AY$4010,0)),""))</f>
        <v/>
      </c>
      <c r="AD374" s="30" t="str">
        <f>IF(AE374="","",IFERROR(INDEX($AL$11:$AL$4010,MATCH(364,$AZ$11:$AZ$4010,0)),""))</f>
        <v/>
      </c>
      <c r="AE374" s="26" t="str">
        <f>IFERROR(INDEX($AM$11:$AM$4010,MATCH(364,$AZ$11:$AZ$4010,0)),"")</f>
        <v/>
      </c>
      <c r="AF374" s="25" t="str">
        <f>IF(AE374="","",IFERROR(INDEX($AN$11:$AN$4010,MATCH(364,$AZ$11:$AZ$4010,0)),""))</f>
        <v/>
      </c>
      <c r="AG374" s="25" t="str">
        <f>IF(AE374="","",IFERROR(INDEX($AO$11:$AO$4010,MATCH(364,$AZ$11:$AZ$4010,0)),""))</f>
        <v/>
      </c>
      <c r="AH374" s="24" t="str">
        <f>IF(AE374="","",IFERROR(INDEX($AQ$11:$AQ$4010,MATCH(364,$AZ$11:$AZ$4010,0)),""))</f>
        <v/>
      </c>
      <c r="AI374" s="29" t="str">
        <f>IF(AE374="","",IFERROR(INDEX($AR$11:$AR$4010,MATCH(364,$AZ$11:$AZ$4010,0)),""))</f>
        <v/>
      </c>
      <c r="AJ374" s="29" t="str">
        <f>IF(AE374="","",IFERROR(INDEX($AT$11:$AT$4010,MATCH(364,$AZ$11:$AZ$4010,0)),""))</f>
        <v/>
      </c>
      <c r="AL374" s="31" t="str">
        <f t="shared" si="73"/>
        <v/>
      </c>
      <c r="AM374" s="26" t="str">
        <f t="shared" si="74"/>
        <v/>
      </c>
      <c r="AN374" s="32" t="str">
        <f t="shared" si="75"/>
        <v/>
      </c>
      <c r="AO374" s="32" t="str">
        <f t="shared" si="76"/>
        <v/>
      </c>
      <c r="AP374" s="24" t="str">
        <f t="shared" si="77"/>
        <v/>
      </c>
      <c r="AQ374" s="24" t="str">
        <f t="shared" si="78"/>
        <v/>
      </c>
      <c r="AR374" s="33" t="str">
        <f t="shared" si="79"/>
        <v/>
      </c>
      <c r="AS374" s="34"/>
      <c r="AT374" s="33"/>
      <c r="AV374" s="21">
        <f>IF(AND($AL374&lt;&gt;"",COUNTIF($AL$11:$AL374,$AL374)=1),1,0)</f>
        <v>0</v>
      </c>
      <c r="AW374" s="21">
        <f t="shared" si="81"/>
        <v>0</v>
      </c>
      <c r="AX374" s="21" t="str">
        <f t="shared" si="80"/>
        <v/>
      </c>
      <c r="AY374" s="21" t="str">
        <f>IF(AND($AM374&lt;&gt;"",$AS374&lt;&gt;"✓"),SUMPRODUCT(($AM$11:$AM374&lt;&gt;"")*($AS$11:$AS374&lt;&gt;"✓")),"")</f>
        <v/>
      </c>
      <c r="AZ374" s="21" t="str">
        <f>IF(AND($AM374&lt;&gt;"",$AS374="✓"),SUMPRODUCT(($AM$11:$AM374&lt;&gt;"")*($AS$11:$AS374="✓")),"")</f>
        <v/>
      </c>
      <c r="BA374" s="21" t="str">
        <f>IF($AL374="","",$AL374&amp;"|"&amp;COUNTIF($AL$11:$AL374,$AL374))</f>
        <v/>
      </c>
    </row>
    <row r="375" spans="2:53" ht="15" customHeight="1" x14ac:dyDescent="0.25">
      <c r="B375" s="5" t="str">
        <f t="shared" si="72"/>
        <v/>
      </c>
      <c r="C375" s="5"/>
      <c r="D375" s="5"/>
      <c r="E375" s="5"/>
      <c r="F375" s="6"/>
      <c r="G375" s="6"/>
      <c r="H375" s="7"/>
      <c r="I375" s="8"/>
      <c r="W375" s="14" t="str">
        <f>IF(X375="","",IFERROR(INDEX($AL$11:$AL$4010,MATCH(365,$AY$11:$AY$4010,0)),""))</f>
        <v/>
      </c>
      <c r="X375" s="12" t="str">
        <f>IFERROR(INDEX($AM$11:$AM$4010,MATCH(365,$AY$11:$AY$4010,0)),"")</f>
        <v/>
      </c>
      <c r="Y375" s="11" t="str">
        <f>IF(X375="","",IFERROR(INDEX($AN$11:$AN$4010,MATCH(365,$AY$11:$AY$4010,0)),""))</f>
        <v/>
      </c>
      <c r="Z375" s="11" t="str">
        <f>IF(X375="","",IFERROR(INDEX($AO$11:$AO$4010,MATCH(365,$AY$11:$AY$4010,0)),""))</f>
        <v/>
      </c>
      <c r="AA375" s="10" t="str">
        <f>IF(X375="","",IFERROR(INDEX($AQ$11:$AQ$4010,MATCH(365,$AY$11:$AY$4010,0)),""))</f>
        <v/>
      </c>
      <c r="AB375" s="15" t="str">
        <f>IF(X375="","",IFERROR(INDEX($AR$11:$AR$4010,MATCH(365,$AY$11:$AY$4010,0)),""))</f>
        <v/>
      </c>
      <c r="AD375" s="16" t="str">
        <f>IF(AE375="","",IFERROR(INDEX($AL$11:$AL$4010,MATCH(365,$AZ$11:$AZ$4010,0)),""))</f>
        <v/>
      </c>
      <c r="AE375" s="12" t="str">
        <f>IFERROR(INDEX($AM$11:$AM$4010,MATCH(365,$AZ$11:$AZ$4010,0)),"")</f>
        <v/>
      </c>
      <c r="AF375" s="11" t="str">
        <f>IF(AE375="","",IFERROR(INDEX($AN$11:$AN$4010,MATCH(365,$AZ$11:$AZ$4010,0)),""))</f>
        <v/>
      </c>
      <c r="AG375" s="11" t="str">
        <f>IF(AE375="","",IFERROR(INDEX($AO$11:$AO$4010,MATCH(365,$AZ$11:$AZ$4010,0)),""))</f>
        <v/>
      </c>
      <c r="AH375" s="10" t="str">
        <f>IF(AE375="","",IFERROR(INDEX($AQ$11:$AQ$4010,MATCH(365,$AZ$11:$AZ$4010,0)),""))</f>
        <v/>
      </c>
      <c r="AI375" s="15" t="str">
        <f>IF(AE375="","",IFERROR(INDEX($AR$11:$AR$4010,MATCH(365,$AZ$11:$AZ$4010,0)),""))</f>
        <v/>
      </c>
      <c r="AJ375" s="15" t="str">
        <f>IF(AE375="","",IFERROR(INDEX($AT$11:$AT$4010,MATCH(365,$AZ$11:$AZ$4010,0)),""))</f>
        <v/>
      </c>
      <c r="AL375" s="17" t="str">
        <f t="shared" si="73"/>
        <v/>
      </c>
      <c r="AM375" s="12" t="str">
        <f t="shared" si="74"/>
        <v/>
      </c>
      <c r="AN375" s="18" t="str">
        <f t="shared" si="75"/>
        <v/>
      </c>
      <c r="AO375" s="18" t="str">
        <f t="shared" si="76"/>
        <v/>
      </c>
      <c r="AP375" s="10" t="str">
        <f t="shared" si="77"/>
        <v/>
      </c>
      <c r="AQ375" s="10" t="str">
        <f t="shared" si="78"/>
        <v/>
      </c>
      <c r="AR375" s="19" t="str">
        <f t="shared" si="79"/>
        <v/>
      </c>
      <c r="AS375" s="20"/>
      <c r="AT375" s="19"/>
      <c r="AV375" s="21">
        <f>IF(AND($AL375&lt;&gt;"",COUNTIF($AL$11:$AL375,$AL375)=1),1,0)</f>
        <v>0</v>
      </c>
      <c r="AW375" s="21">
        <f t="shared" si="81"/>
        <v>0</v>
      </c>
      <c r="AX375" s="21" t="str">
        <f t="shared" si="80"/>
        <v/>
      </c>
      <c r="AY375" s="21" t="str">
        <f>IF(AND($AM375&lt;&gt;"",$AS375&lt;&gt;"✓"),SUMPRODUCT(($AM$11:$AM375&lt;&gt;"")*($AS$11:$AS375&lt;&gt;"✓")),"")</f>
        <v/>
      </c>
      <c r="AZ375" s="21" t="str">
        <f>IF(AND($AM375&lt;&gt;"",$AS375="✓"),SUMPRODUCT(($AM$11:$AM375&lt;&gt;"")*($AS$11:$AS375="✓")),"")</f>
        <v/>
      </c>
      <c r="BA375" s="21" t="str">
        <f>IF($AL375="","",$AL375&amp;"|"&amp;COUNTIF($AL$11:$AL375,$AL375))</f>
        <v/>
      </c>
    </row>
    <row r="376" spans="2:53" ht="15" customHeight="1" x14ac:dyDescent="0.25">
      <c r="B376" s="5" t="str">
        <f t="shared" si="72"/>
        <v/>
      </c>
      <c r="C376" s="5"/>
      <c r="D376" s="5"/>
      <c r="E376" s="5"/>
      <c r="F376" s="6"/>
      <c r="G376" s="6"/>
      <c r="H376" s="7"/>
      <c r="I376" s="8"/>
      <c r="W376" s="28" t="str">
        <f>IF(X376="","",IFERROR(INDEX($AL$11:$AL$4010,MATCH(366,$AY$11:$AY$4010,0)),""))</f>
        <v/>
      </c>
      <c r="X376" s="26" t="str">
        <f>IFERROR(INDEX($AM$11:$AM$4010,MATCH(366,$AY$11:$AY$4010,0)),"")</f>
        <v/>
      </c>
      <c r="Y376" s="25" t="str">
        <f>IF(X376="","",IFERROR(INDEX($AN$11:$AN$4010,MATCH(366,$AY$11:$AY$4010,0)),""))</f>
        <v/>
      </c>
      <c r="Z376" s="25" t="str">
        <f>IF(X376="","",IFERROR(INDEX($AO$11:$AO$4010,MATCH(366,$AY$11:$AY$4010,0)),""))</f>
        <v/>
      </c>
      <c r="AA376" s="24" t="str">
        <f>IF(X376="","",IFERROR(INDEX($AQ$11:$AQ$4010,MATCH(366,$AY$11:$AY$4010,0)),""))</f>
        <v/>
      </c>
      <c r="AB376" s="29" t="str">
        <f>IF(X376="","",IFERROR(INDEX($AR$11:$AR$4010,MATCH(366,$AY$11:$AY$4010,0)),""))</f>
        <v/>
      </c>
      <c r="AD376" s="30" t="str">
        <f>IF(AE376="","",IFERROR(INDEX($AL$11:$AL$4010,MATCH(366,$AZ$11:$AZ$4010,0)),""))</f>
        <v/>
      </c>
      <c r="AE376" s="26" t="str">
        <f>IFERROR(INDEX($AM$11:$AM$4010,MATCH(366,$AZ$11:$AZ$4010,0)),"")</f>
        <v/>
      </c>
      <c r="AF376" s="25" t="str">
        <f>IF(AE376="","",IFERROR(INDEX($AN$11:$AN$4010,MATCH(366,$AZ$11:$AZ$4010,0)),""))</f>
        <v/>
      </c>
      <c r="AG376" s="25" t="str">
        <f>IF(AE376="","",IFERROR(INDEX($AO$11:$AO$4010,MATCH(366,$AZ$11:$AZ$4010,0)),""))</f>
        <v/>
      </c>
      <c r="AH376" s="24" t="str">
        <f>IF(AE376="","",IFERROR(INDEX($AQ$11:$AQ$4010,MATCH(366,$AZ$11:$AZ$4010,0)),""))</f>
        <v/>
      </c>
      <c r="AI376" s="29" t="str">
        <f>IF(AE376="","",IFERROR(INDEX($AR$11:$AR$4010,MATCH(366,$AZ$11:$AZ$4010,0)),""))</f>
        <v/>
      </c>
      <c r="AJ376" s="29" t="str">
        <f>IF(AE376="","",IFERROR(INDEX($AT$11:$AT$4010,MATCH(366,$AZ$11:$AZ$4010,0)),""))</f>
        <v/>
      </c>
      <c r="AL376" s="31" t="str">
        <f t="shared" si="73"/>
        <v/>
      </c>
      <c r="AM376" s="26" t="str">
        <f t="shared" si="74"/>
        <v/>
      </c>
      <c r="AN376" s="32" t="str">
        <f t="shared" si="75"/>
        <v/>
      </c>
      <c r="AO376" s="32" t="str">
        <f t="shared" si="76"/>
        <v/>
      </c>
      <c r="AP376" s="24" t="str">
        <f t="shared" si="77"/>
        <v/>
      </c>
      <c r="AQ376" s="24" t="str">
        <f t="shared" si="78"/>
        <v/>
      </c>
      <c r="AR376" s="33" t="str">
        <f t="shared" si="79"/>
        <v/>
      </c>
      <c r="AS376" s="34"/>
      <c r="AT376" s="33"/>
      <c r="AV376" s="21">
        <f>IF(AND($AL376&lt;&gt;"",COUNTIF($AL$11:$AL376,$AL376)=1),1,0)</f>
        <v>0</v>
      </c>
      <c r="AW376" s="21">
        <f t="shared" si="81"/>
        <v>0</v>
      </c>
      <c r="AX376" s="21" t="str">
        <f t="shared" si="80"/>
        <v/>
      </c>
      <c r="AY376" s="21" t="str">
        <f>IF(AND($AM376&lt;&gt;"",$AS376&lt;&gt;"✓"),SUMPRODUCT(($AM$11:$AM376&lt;&gt;"")*($AS$11:$AS376&lt;&gt;"✓")),"")</f>
        <v/>
      </c>
      <c r="AZ376" s="21" t="str">
        <f>IF(AND($AM376&lt;&gt;"",$AS376="✓"),SUMPRODUCT(($AM$11:$AM376&lt;&gt;"")*($AS$11:$AS376="✓")),"")</f>
        <v/>
      </c>
      <c r="BA376" s="21" t="str">
        <f>IF($AL376="","",$AL376&amp;"|"&amp;COUNTIF($AL$11:$AL376,$AL376))</f>
        <v/>
      </c>
    </row>
    <row r="377" spans="2:53" ht="15" customHeight="1" x14ac:dyDescent="0.25">
      <c r="B377" s="5" t="str">
        <f t="shared" si="72"/>
        <v/>
      </c>
      <c r="C377" s="5"/>
      <c r="D377" s="5"/>
      <c r="E377" s="5"/>
      <c r="F377" s="6"/>
      <c r="G377" s="6"/>
      <c r="H377" s="7"/>
      <c r="I377" s="8"/>
      <c r="W377" s="14" t="str">
        <f>IF(X377="","",IFERROR(INDEX($AL$11:$AL$4010,MATCH(367,$AY$11:$AY$4010,0)),""))</f>
        <v/>
      </c>
      <c r="X377" s="12" t="str">
        <f>IFERROR(INDEX($AM$11:$AM$4010,MATCH(367,$AY$11:$AY$4010,0)),"")</f>
        <v/>
      </c>
      <c r="Y377" s="11" t="str">
        <f>IF(X377="","",IFERROR(INDEX($AN$11:$AN$4010,MATCH(367,$AY$11:$AY$4010,0)),""))</f>
        <v/>
      </c>
      <c r="Z377" s="11" t="str">
        <f>IF(X377="","",IFERROR(INDEX($AO$11:$AO$4010,MATCH(367,$AY$11:$AY$4010,0)),""))</f>
        <v/>
      </c>
      <c r="AA377" s="10" t="str">
        <f>IF(X377="","",IFERROR(INDEX($AQ$11:$AQ$4010,MATCH(367,$AY$11:$AY$4010,0)),""))</f>
        <v/>
      </c>
      <c r="AB377" s="15" t="str">
        <f>IF(X377="","",IFERROR(INDEX($AR$11:$AR$4010,MATCH(367,$AY$11:$AY$4010,0)),""))</f>
        <v/>
      </c>
      <c r="AD377" s="16" t="str">
        <f>IF(AE377="","",IFERROR(INDEX($AL$11:$AL$4010,MATCH(367,$AZ$11:$AZ$4010,0)),""))</f>
        <v/>
      </c>
      <c r="AE377" s="12" t="str">
        <f>IFERROR(INDEX($AM$11:$AM$4010,MATCH(367,$AZ$11:$AZ$4010,0)),"")</f>
        <v/>
      </c>
      <c r="AF377" s="11" t="str">
        <f>IF(AE377="","",IFERROR(INDEX($AN$11:$AN$4010,MATCH(367,$AZ$11:$AZ$4010,0)),""))</f>
        <v/>
      </c>
      <c r="AG377" s="11" t="str">
        <f>IF(AE377="","",IFERROR(INDEX($AO$11:$AO$4010,MATCH(367,$AZ$11:$AZ$4010,0)),""))</f>
        <v/>
      </c>
      <c r="AH377" s="10" t="str">
        <f>IF(AE377="","",IFERROR(INDEX($AQ$11:$AQ$4010,MATCH(367,$AZ$11:$AZ$4010,0)),""))</f>
        <v/>
      </c>
      <c r="AI377" s="15" t="str">
        <f>IF(AE377="","",IFERROR(INDEX($AR$11:$AR$4010,MATCH(367,$AZ$11:$AZ$4010,0)),""))</f>
        <v/>
      </c>
      <c r="AJ377" s="15" t="str">
        <f>IF(AE377="","",IFERROR(INDEX($AT$11:$AT$4010,MATCH(367,$AZ$11:$AZ$4010,0)),""))</f>
        <v/>
      </c>
      <c r="AL377" s="17" t="str">
        <f t="shared" si="73"/>
        <v/>
      </c>
      <c r="AM377" s="12" t="str">
        <f t="shared" si="74"/>
        <v/>
      </c>
      <c r="AN377" s="18" t="str">
        <f t="shared" si="75"/>
        <v/>
      </c>
      <c r="AO377" s="18" t="str">
        <f t="shared" si="76"/>
        <v/>
      </c>
      <c r="AP377" s="10" t="str">
        <f t="shared" si="77"/>
        <v/>
      </c>
      <c r="AQ377" s="10" t="str">
        <f t="shared" si="78"/>
        <v/>
      </c>
      <c r="AR377" s="19" t="str">
        <f t="shared" si="79"/>
        <v/>
      </c>
      <c r="AS377" s="20"/>
      <c r="AT377" s="19"/>
      <c r="AV377" s="21">
        <f>IF(AND($AL377&lt;&gt;"",COUNTIF($AL$11:$AL377,$AL377)=1),1,0)</f>
        <v>0</v>
      </c>
      <c r="AW377" s="21">
        <f t="shared" si="81"/>
        <v>0</v>
      </c>
      <c r="AX377" s="21" t="str">
        <f t="shared" si="80"/>
        <v/>
      </c>
      <c r="AY377" s="21" t="str">
        <f>IF(AND($AM377&lt;&gt;"",$AS377&lt;&gt;"✓"),SUMPRODUCT(($AM$11:$AM377&lt;&gt;"")*($AS$11:$AS377&lt;&gt;"✓")),"")</f>
        <v/>
      </c>
      <c r="AZ377" s="21" t="str">
        <f>IF(AND($AM377&lt;&gt;"",$AS377="✓"),SUMPRODUCT(($AM$11:$AM377&lt;&gt;"")*($AS$11:$AS377="✓")),"")</f>
        <v/>
      </c>
      <c r="BA377" s="21" t="str">
        <f>IF($AL377="","",$AL377&amp;"|"&amp;COUNTIF($AL$11:$AL377,$AL377))</f>
        <v/>
      </c>
    </row>
    <row r="378" spans="2:53" ht="15" customHeight="1" x14ac:dyDescent="0.25">
      <c r="B378" s="5" t="str">
        <f t="shared" si="72"/>
        <v/>
      </c>
      <c r="C378" s="5"/>
      <c r="D378" s="5"/>
      <c r="E378" s="5"/>
      <c r="F378" s="6"/>
      <c r="G378" s="6"/>
      <c r="H378" s="7"/>
      <c r="I378" s="8"/>
      <c r="W378" s="28" t="str">
        <f>IF(X378="","",IFERROR(INDEX($AL$11:$AL$4010,MATCH(368,$AY$11:$AY$4010,0)),""))</f>
        <v/>
      </c>
      <c r="X378" s="26" t="str">
        <f>IFERROR(INDEX($AM$11:$AM$4010,MATCH(368,$AY$11:$AY$4010,0)),"")</f>
        <v/>
      </c>
      <c r="Y378" s="25" t="str">
        <f>IF(X378="","",IFERROR(INDEX($AN$11:$AN$4010,MATCH(368,$AY$11:$AY$4010,0)),""))</f>
        <v/>
      </c>
      <c r="Z378" s="25" t="str">
        <f>IF(X378="","",IFERROR(INDEX($AO$11:$AO$4010,MATCH(368,$AY$11:$AY$4010,0)),""))</f>
        <v/>
      </c>
      <c r="AA378" s="24" t="str">
        <f>IF(X378="","",IFERROR(INDEX($AQ$11:$AQ$4010,MATCH(368,$AY$11:$AY$4010,0)),""))</f>
        <v/>
      </c>
      <c r="AB378" s="29" t="str">
        <f>IF(X378="","",IFERROR(INDEX($AR$11:$AR$4010,MATCH(368,$AY$11:$AY$4010,0)),""))</f>
        <v/>
      </c>
      <c r="AD378" s="30" t="str">
        <f>IF(AE378="","",IFERROR(INDEX($AL$11:$AL$4010,MATCH(368,$AZ$11:$AZ$4010,0)),""))</f>
        <v/>
      </c>
      <c r="AE378" s="26" t="str">
        <f>IFERROR(INDEX($AM$11:$AM$4010,MATCH(368,$AZ$11:$AZ$4010,0)),"")</f>
        <v/>
      </c>
      <c r="AF378" s="25" t="str">
        <f>IF(AE378="","",IFERROR(INDEX($AN$11:$AN$4010,MATCH(368,$AZ$11:$AZ$4010,0)),""))</f>
        <v/>
      </c>
      <c r="AG378" s="25" t="str">
        <f>IF(AE378="","",IFERROR(INDEX($AO$11:$AO$4010,MATCH(368,$AZ$11:$AZ$4010,0)),""))</f>
        <v/>
      </c>
      <c r="AH378" s="24" t="str">
        <f>IF(AE378="","",IFERROR(INDEX($AQ$11:$AQ$4010,MATCH(368,$AZ$11:$AZ$4010,0)),""))</f>
        <v/>
      </c>
      <c r="AI378" s="29" t="str">
        <f>IF(AE378="","",IFERROR(INDEX($AR$11:$AR$4010,MATCH(368,$AZ$11:$AZ$4010,0)),""))</f>
        <v/>
      </c>
      <c r="AJ378" s="29" t="str">
        <f>IF(AE378="","",IFERROR(INDEX($AT$11:$AT$4010,MATCH(368,$AZ$11:$AZ$4010,0)),""))</f>
        <v/>
      </c>
      <c r="AL378" s="31" t="str">
        <f t="shared" si="73"/>
        <v/>
      </c>
      <c r="AM378" s="26" t="str">
        <f t="shared" si="74"/>
        <v/>
      </c>
      <c r="AN378" s="32" t="str">
        <f t="shared" si="75"/>
        <v/>
      </c>
      <c r="AO378" s="32" t="str">
        <f t="shared" si="76"/>
        <v/>
      </c>
      <c r="AP378" s="24" t="str">
        <f t="shared" si="77"/>
        <v/>
      </c>
      <c r="AQ378" s="24" t="str">
        <f t="shared" si="78"/>
        <v/>
      </c>
      <c r="AR378" s="33" t="str">
        <f t="shared" si="79"/>
        <v/>
      </c>
      <c r="AS378" s="34"/>
      <c r="AT378" s="33"/>
      <c r="AV378" s="21">
        <f>IF(AND($AL378&lt;&gt;"",COUNTIF($AL$11:$AL378,$AL378)=1),1,0)</f>
        <v>0</v>
      </c>
      <c r="AW378" s="21">
        <f t="shared" si="81"/>
        <v>0</v>
      </c>
      <c r="AX378" s="21" t="str">
        <f t="shared" si="80"/>
        <v/>
      </c>
      <c r="AY378" s="21" t="str">
        <f>IF(AND($AM378&lt;&gt;"",$AS378&lt;&gt;"✓"),SUMPRODUCT(($AM$11:$AM378&lt;&gt;"")*($AS$11:$AS378&lt;&gt;"✓")),"")</f>
        <v/>
      </c>
      <c r="AZ378" s="21" t="str">
        <f>IF(AND($AM378&lt;&gt;"",$AS378="✓"),SUMPRODUCT(($AM$11:$AM378&lt;&gt;"")*($AS$11:$AS378="✓")),"")</f>
        <v/>
      </c>
      <c r="BA378" s="21" t="str">
        <f>IF($AL378="","",$AL378&amp;"|"&amp;COUNTIF($AL$11:$AL378,$AL378))</f>
        <v/>
      </c>
    </row>
    <row r="379" spans="2:53" ht="15" customHeight="1" x14ac:dyDescent="0.25">
      <c r="B379" s="5" t="str">
        <f t="shared" si="72"/>
        <v/>
      </c>
      <c r="C379" s="5"/>
      <c r="D379" s="5"/>
      <c r="E379" s="5"/>
      <c r="F379" s="6"/>
      <c r="G379" s="6"/>
      <c r="H379" s="7"/>
      <c r="I379" s="8"/>
      <c r="W379" s="14" t="str">
        <f>IF(X379="","",IFERROR(INDEX($AL$11:$AL$4010,MATCH(369,$AY$11:$AY$4010,0)),""))</f>
        <v/>
      </c>
      <c r="X379" s="12" t="str">
        <f>IFERROR(INDEX($AM$11:$AM$4010,MATCH(369,$AY$11:$AY$4010,0)),"")</f>
        <v/>
      </c>
      <c r="Y379" s="11" t="str">
        <f>IF(X379="","",IFERROR(INDEX($AN$11:$AN$4010,MATCH(369,$AY$11:$AY$4010,0)),""))</f>
        <v/>
      </c>
      <c r="Z379" s="11" t="str">
        <f>IF(X379="","",IFERROR(INDEX($AO$11:$AO$4010,MATCH(369,$AY$11:$AY$4010,0)),""))</f>
        <v/>
      </c>
      <c r="AA379" s="10" t="str">
        <f>IF(X379="","",IFERROR(INDEX($AQ$11:$AQ$4010,MATCH(369,$AY$11:$AY$4010,0)),""))</f>
        <v/>
      </c>
      <c r="AB379" s="15" t="str">
        <f>IF(X379="","",IFERROR(INDEX($AR$11:$AR$4010,MATCH(369,$AY$11:$AY$4010,0)),""))</f>
        <v/>
      </c>
      <c r="AD379" s="16" t="str">
        <f>IF(AE379="","",IFERROR(INDEX($AL$11:$AL$4010,MATCH(369,$AZ$11:$AZ$4010,0)),""))</f>
        <v/>
      </c>
      <c r="AE379" s="12" t="str">
        <f>IFERROR(INDEX($AM$11:$AM$4010,MATCH(369,$AZ$11:$AZ$4010,0)),"")</f>
        <v/>
      </c>
      <c r="AF379" s="11" t="str">
        <f>IF(AE379="","",IFERROR(INDEX($AN$11:$AN$4010,MATCH(369,$AZ$11:$AZ$4010,0)),""))</f>
        <v/>
      </c>
      <c r="AG379" s="11" t="str">
        <f>IF(AE379="","",IFERROR(INDEX($AO$11:$AO$4010,MATCH(369,$AZ$11:$AZ$4010,0)),""))</f>
        <v/>
      </c>
      <c r="AH379" s="10" t="str">
        <f>IF(AE379="","",IFERROR(INDEX($AQ$11:$AQ$4010,MATCH(369,$AZ$11:$AZ$4010,0)),""))</f>
        <v/>
      </c>
      <c r="AI379" s="15" t="str">
        <f>IF(AE379="","",IFERROR(INDEX($AR$11:$AR$4010,MATCH(369,$AZ$11:$AZ$4010,0)),""))</f>
        <v/>
      </c>
      <c r="AJ379" s="15" t="str">
        <f>IF(AE379="","",IFERROR(INDEX($AT$11:$AT$4010,MATCH(369,$AZ$11:$AZ$4010,0)),""))</f>
        <v/>
      </c>
      <c r="AL379" s="17" t="str">
        <f t="shared" si="73"/>
        <v/>
      </c>
      <c r="AM379" s="12" t="str">
        <f t="shared" si="74"/>
        <v/>
      </c>
      <c r="AN379" s="18" t="str">
        <f t="shared" si="75"/>
        <v/>
      </c>
      <c r="AO379" s="18" t="str">
        <f t="shared" si="76"/>
        <v/>
      </c>
      <c r="AP379" s="10" t="str">
        <f t="shared" si="77"/>
        <v/>
      </c>
      <c r="AQ379" s="10" t="str">
        <f t="shared" si="78"/>
        <v/>
      </c>
      <c r="AR379" s="19" t="str">
        <f t="shared" si="79"/>
        <v/>
      </c>
      <c r="AS379" s="20"/>
      <c r="AT379" s="19"/>
      <c r="AV379" s="21">
        <f>IF(AND($AL379&lt;&gt;"",COUNTIF($AL$11:$AL379,$AL379)=1),1,0)</f>
        <v>0</v>
      </c>
      <c r="AW379" s="21">
        <f t="shared" si="81"/>
        <v>0</v>
      </c>
      <c r="AX379" s="21" t="str">
        <f t="shared" si="80"/>
        <v/>
      </c>
      <c r="AY379" s="21" t="str">
        <f>IF(AND($AM379&lt;&gt;"",$AS379&lt;&gt;"✓"),SUMPRODUCT(($AM$11:$AM379&lt;&gt;"")*($AS$11:$AS379&lt;&gt;"✓")),"")</f>
        <v/>
      </c>
      <c r="AZ379" s="21" t="str">
        <f>IF(AND($AM379&lt;&gt;"",$AS379="✓"),SUMPRODUCT(($AM$11:$AM379&lt;&gt;"")*($AS$11:$AS379="✓")),"")</f>
        <v/>
      </c>
      <c r="BA379" s="21" t="str">
        <f>IF($AL379="","",$AL379&amp;"|"&amp;COUNTIF($AL$11:$AL379,$AL379))</f>
        <v/>
      </c>
    </row>
    <row r="380" spans="2:53" ht="15" customHeight="1" x14ac:dyDescent="0.25">
      <c r="B380" s="5" t="str">
        <f t="shared" si="72"/>
        <v/>
      </c>
      <c r="C380" s="5"/>
      <c r="D380" s="5"/>
      <c r="E380" s="5"/>
      <c r="F380" s="6"/>
      <c r="G380" s="6"/>
      <c r="H380" s="7"/>
      <c r="I380" s="8"/>
      <c r="W380" s="28" t="str">
        <f>IF(X380="","",IFERROR(INDEX($AL$11:$AL$4010,MATCH(370,$AY$11:$AY$4010,0)),""))</f>
        <v/>
      </c>
      <c r="X380" s="26" t="str">
        <f>IFERROR(INDEX($AM$11:$AM$4010,MATCH(370,$AY$11:$AY$4010,0)),"")</f>
        <v/>
      </c>
      <c r="Y380" s="25" t="str">
        <f>IF(X380="","",IFERROR(INDEX($AN$11:$AN$4010,MATCH(370,$AY$11:$AY$4010,0)),""))</f>
        <v/>
      </c>
      <c r="Z380" s="25" t="str">
        <f>IF(X380="","",IFERROR(INDEX($AO$11:$AO$4010,MATCH(370,$AY$11:$AY$4010,0)),""))</f>
        <v/>
      </c>
      <c r="AA380" s="24" t="str">
        <f>IF(X380="","",IFERROR(INDEX($AQ$11:$AQ$4010,MATCH(370,$AY$11:$AY$4010,0)),""))</f>
        <v/>
      </c>
      <c r="AB380" s="29" t="str">
        <f>IF(X380="","",IFERROR(INDEX($AR$11:$AR$4010,MATCH(370,$AY$11:$AY$4010,0)),""))</f>
        <v/>
      </c>
      <c r="AD380" s="30" t="str">
        <f>IF(AE380="","",IFERROR(INDEX($AL$11:$AL$4010,MATCH(370,$AZ$11:$AZ$4010,0)),""))</f>
        <v/>
      </c>
      <c r="AE380" s="26" t="str">
        <f>IFERROR(INDEX($AM$11:$AM$4010,MATCH(370,$AZ$11:$AZ$4010,0)),"")</f>
        <v/>
      </c>
      <c r="AF380" s="25" t="str">
        <f>IF(AE380="","",IFERROR(INDEX($AN$11:$AN$4010,MATCH(370,$AZ$11:$AZ$4010,0)),""))</f>
        <v/>
      </c>
      <c r="AG380" s="25" t="str">
        <f>IF(AE380="","",IFERROR(INDEX($AO$11:$AO$4010,MATCH(370,$AZ$11:$AZ$4010,0)),""))</f>
        <v/>
      </c>
      <c r="AH380" s="24" t="str">
        <f>IF(AE380="","",IFERROR(INDEX($AQ$11:$AQ$4010,MATCH(370,$AZ$11:$AZ$4010,0)),""))</f>
        <v/>
      </c>
      <c r="AI380" s="29" t="str">
        <f>IF(AE380="","",IFERROR(INDEX($AR$11:$AR$4010,MATCH(370,$AZ$11:$AZ$4010,0)),""))</f>
        <v/>
      </c>
      <c r="AJ380" s="29" t="str">
        <f>IF(AE380="","",IFERROR(INDEX($AT$11:$AT$4010,MATCH(370,$AZ$11:$AZ$4010,0)),""))</f>
        <v/>
      </c>
      <c r="AL380" s="31" t="str">
        <f t="shared" si="73"/>
        <v/>
      </c>
      <c r="AM380" s="26" t="str">
        <f t="shared" si="74"/>
        <v/>
      </c>
      <c r="AN380" s="32" t="str">
        <f t="shared" si="75"/>
        <v/>
      </c>
      <c r="AO380" s="32" t="str">
        <f t="shared" si="76"/>
        <v/>
      </c>
      <c r="AP380" s="24" t="str">
        <f t="shared" si="77"/>
        <v/>
      </c>
      <c r="AQ380" s="24" t="str">
        <f t="shared" si="78"/>
        <v/>
      </c>
      <c r="AR380" s="33" t="str">
        <f t="shared" si="79"/>
        <v/>
      </c>
      <c r="AS380" s="34"/>
      <c r="AT380" s="33"/>
      <c r="AV380" s="21">
        <f>IF(AND($AL380&lt;&gt;"",COUNTIF($AL$11:$AL380,$AL380)=1),1,0)</f>
        <v>0</v>
      </c>
      <c r="AW380" s="21">
        <f t="shared" si="81"/>
        <v>0</v>
      </c>
      <c r="AX380" s="21" t="str">
        <f t="shared" si="80"/>
        <v/>
      </c>
      <c r="AY380" s="21" t="str">
        <f>IF(AND($AM380&lt;&gt;"",$AS380&lt;&gt;"✓"),SUMPRODUCT(($AM$11:$AM380&lt;&gt;"")*($AS$11:$AS380&lt;&gt;"✓")),"")</f>
        <v/>
      </c>
      <c r="AZ380" s="21" t="str">
        <f>IF(AND($AM380&lt;&gt;"",$AS380="✓"),SUMPRODUCT(($AM$11:$AM380&lt;&gt;"")*($AS$11:$AS380="✓")),"")</f>
        <v/>
      </c>
      <c r="BA380" s="21" t="str">
        <f>IF($AL380="","",$AL380&amp;"|"&amp;COUNTIF($AL$11:$AL380,$AL380))</f>
        <v/>
      </c>
    </row>
    <row r="381" spans="2:53" ht="15" customHeight="1" x14ac:dyDescent="0.25">
      <c r="B381" s="5" t="str">
        <f t="shared" si="72"/>
        <v/>
      </c>
      <c r="C381" s="5"/>
      <c r="D381" s="5"/>
      <c r="E381" s="5"/>
      <c r="F381" s="6"/>
      <c r="G381" s="6"/>
      <c r="H381" s="7"/>
      <c r="I381" s="8"/>
      <c r="W381" s="14" t="str">
        <f>IF(X381="","",IFERROR(INDEX($AL$11:$AL$4010,MATCH(371,$AY$11:$AY$4010,0)),""))</f>
        <v/>
      </c>
      <c r="X381" s="12" t="str">
        <f>IFERROR(INDEX($AM$11:$AM$4010,MATCH(371,$AY$11:$AY$4010,0)),"")</f>
        <v/>
      </c>
      <c r="Y381" s="11" t="str">
        <f>IF(X381="","",IFERROR(INDEX($AN$11:$AN$4010,MATCH(371,$AY$11:$AY$4010,0)),""))</f>
        <v/>
      </c>
      <c r="Z381" s="11" t="str">
        <f>IF(X381="","",IFERROR(INDEX($AO$11:$AO$4010,MATCH(371,$AY$11:$AY$4010,0)),""))</f>
        <v/>
      </c>
      <c r="AA381" s="10" t="str">
        <f>IF(X381="","",IFERROR(INDEX($AQ$11:$AQ$4010,MATCH(371,$AY$11:$AY$4010,0)),""))</f>
        <v/>
      </c>
      <c r="AB381" s="15" t="str">
        <f>IF(X381="","",IFERROR(INDEX($AR$11:$AR$4010,MATCH(371,$AY$11:$AY$4010,0)),""))</f>
        <v/>
      </c>
      <c r="AD381" s="16" t="str">
        <f>IF(AE381="","",IFERROR(INDEX($AL$11:$AL$4010,MATCH(371,$AZ$11:$AZ$4010,0)),""))</f>
        <v/>
      </c>
      <c r="AE381" s="12" t="str">
        <f>IFERROR(INDEX($AM$11:$AM$4010,MATCH(371,$AZ$11:$AZ$4010,0)),"")</f>
        <v/>
      </c>
      <c r="AF381" s="11" t="str">
        <f>IF(AE381="","",IFERROR(INDEX($AN$11:$AN$4010,MATCH(371,$AZ$11:$AZ$4010,0)),""))</f>
        <v/>
      </c>
      <c r="AG381" s="11" t="str">
        <f>IF(AE381="","",IFERROR(INDEX($AO$11:$AO$4010,MATCH(371,$AZ$11:$AZ$4010,0)),""))</f>
        <v/>
      </c>
      <c r="AH381" s="10" t="str">
        <f>IF(AE381="","",IFERROR(INDEX($AQ$11:$AQ$4010,MATCH(371,$AZ$11:$AZ$4010,0)),""))</f>
        <v/>
      </c>
      <c r="AI381" s="15" t="str">
        <f>IF(AE381="","",IFERROR(INDEX($AR$11:$AR$4010,MATCH(371,$AZ$11:$AZ$4010,0)),""))</f>
        <v/>
      </c>
      <c r="AJ381" s="15" t="str">
        <f>IF(AE381="","",IFERROR(INDEX($AT$11:$AT$4010,MATCH(371,$AZ$11:$AZ$4010,0)),""))</f>
        <v/>
      </c>
      <c r="AL381" s="17" t="str">
        <f t="shared" si="73"/>
        <v/>
      </c>
      <c r="AM381" s="12" t="str">
        <f t="shared" si="74"/>
        <v/>
      </c>
      <c r="AN381" s="18" t="str">
        <f t="shared" si="75"/>
        <v/>
      </c>
      <c r="AO381" s="18" t="str">
        <f t="shared" si="76"/>
        <v/>
      </c>
      <c r="AP381" s="10" t="str">
        <f t="shared" si="77"/>
        <v/>
      </c>
      <c r="AQ381" s="10" t="str">
        <f t="shared" si="78"/>
        <v/>
      </c>
      <c r="AR381" s="19" t="str">
        <f t="shared" si="79"/>
        <v/>
      </c>
      <c r="AS381" s="20"/>
      <c r="AT381" s="19"/>
      <c r="AV381" s="21">
        <f>IF(AND($AL381&lt;&gt;"",COUNTIF($AL$11:$AL381,$AL381)=1),1,0)</f>
        <v>0</v>
      </c>
      <c r="AW381" s="21">
        <f t="shared" si="81"/>
        <v>0</v>
      </c>
      <c r="AX381" s="21" t="str">
        <f t="shared" si="80"/>
        <v/>
      </c>
      <c r="AY381" s="21" t="str">
        <f>IF(AND($AM381&lt;&gt;"",$AS381&lt;&gt;"✓"),SUMPRODUCT(($AM$11:$AM381&lt;&gt;"")*($AS$11:$AS381&lt;&gt;"✓")),"")</f>
        <v/>
      </c>
      <c r="AZ381" s="21" t="str">
        <f>IF(AND($AM381&lt;&gt;"",$AS381="✓"),SUMPRODUCT(($AM$11:$AM381&lt;&gt;"")*($AS$11:$AS381="✓")),"")</f>
        <v/>
      </c>
      <c r="BA381" s="21" t="str">
        <f>IF($AL381="","",$AL381&amp;"|"&amp;COUNTIF($AL$11:$AL381,$AL381))</f>
        <v/>
      </c>
    </row>
    <row r="382" spans="2:53" ht="15" customHeight="1" x14ac:dyDescent="0.25">
      <c r="B382" s="5" t="str">
        <f t="shared" si="72"/>
        <v/>
      </c>
      <c r="C382" s="5"/>
      <c r="D382" s="5"/>
      <c r="E382" s="5"/>
      <c r="F382" s="6"/>
      <c r="G382" s="6"/>
      <c r="H382" s="7"/>
      <c r="I382" s="8"/>
      <c r="W382" s="28" t="str">
        <f>IF(X382="","",IFERROR(INDEX($AL$11:$AL$4010,MATCH(372,$AY$11:$AY$4010,0)),""))</f>
        <v/>
      </c>
      <c r="X382" s="26" t="str">
        <f>IFERROR(INDEX($AM$11:$AM$4010,MATCH(372,$AY$11:$AY$4010,0)),"")</f>
        <v/>
      </c>
      <c r="Y382" s="25" t="str">
        <f>IF(X382="","",IFERROR(INDEX($AN$11:$AN$4010,MATCH(372,$AY$11:$AY$4010,0)),""))</f>
        <v/>
      </c>
      <c r="Z382" s="25" t="str">
        <f>IF(X382="","",IFERROR(INDEX($AO$11:$AO$4010,MATCH(372,$AY$11:$AY$4010,0)),""))</f>
        <v/>
      </c>
      <c r="AA382" s="24" t="str">
        <f>IF(X382="","",IFERROR(INDEX($AQ$11:$AQ$4010,MATCH(372,$AY$11:$AY$4010,0)),""))</f>
        <v/>
      </c>
      <c r="AB382" s="29" t="str">
        <f>IF(X382="","",IFERROR(INDEX($AR$11:$AR$4010,MATCH(372,$AY$11:$AY$4010,0)),""))</f>
        <v/>
      </c>
      <c r="AD382" s="30" t="str">
        <f>IF(AE382="","",IFERROR(INDEX($AL$11:$AL$4010,MATCH(372,$AZ$11:$AZ$4010,0)),""))</f>
        <v/>
      </c>
      <c r="AE382" s="26" t="str">
        <f>IFERROR(INDEX($AM$11:$AM$4010,MATCH(372,$AZ$11:$AZ$4010,0)),"")</f>
        <v/>
      </c>
      <c r="AF382" s="25" t="str">
        <f>IF(AE382="","",IFERROR(INDEX($AN$11:$AN$4010,MATCH(372,$AZ$11:$AZ$4010,0)),""))</f>
        <v/>
      </c>
      <c r="AG382" s="25" t="str">
        <f>IF(AE382="","",IFERROR(INDEX($AO$11:$AO$4010,MATCH(372,$AZ$11:$AZ$4010,0)),""))</f>
        <v/>
      </c>
      <c r="AH382" s="24" t="str">
        <f>IF(AE382="","",IFERROR(INDEX($AQ$11:$AQ$4010,MATCH(372,$AZ$11:$AZ$4010,0)),""))</f>
        <v/>
      </c>
      <c r="AI382" s="29" t="str">
        <f>IF(AE382="","",IFERROR(INDEX($AR$11:$AR$4010,MATCH(372,$AZ$11:$AZ$4010,0)),""))</f>
        <v/>
      </c>
      <c r="AJ382" s="29" t="str">
        <f>IF(AE382="","",IFERROR(INDEX($AT$11:$AT$4010,MATCH(372,$AZ$11:$AZ$4010,0)),""))</f>
        <v/>
      </c>
      <c r="AL382" s="31" t="str">
        <f t="shared" si="73"/>
        <v/>
      </c>
      <c r="AM382" s="26" t="str">
        <f t="shared" si="74"/>
        <v/>
      </c>
      <c r="AN382" s="32" t="str">
        <f t="shared" si="75"/>
        <v/>
      </c>
      <c r="AO382" s="32" t="str">
        <f t="shared" si="76"/>
        <v/>
      </c>
      <c r="AP382" s="24" t="str">
        <f t="shared" si="77"/>
        <v/>
      </c>
      <c r="AQ382" s="24" t="str">
        <f t="shared" si="78"/>
        <v/>
      </c>
      <c r="AR382" s="33" t="str">
        <f t="shared" si="79"/>
        <v/>
      </c>
      <c r="AS382" s="34"/>
      <c r="AT382" s="33"/>
      <c r="AV382" s="21">
        <f>IF(AND($AL382&lt;&gt;"",COUNTIF($AL$11:$AL382,$AL382)=1),1,0)</f>
        <v>0</v>
      </c>
      <c r="AW382" s="21">
        <f t="shared" si="81"/>
        <v>0</v>
      </c>
      <c r="AX382" s="21" t="str">
        <f t="shared" si="80"/>
        <v/>
      </c>
      <c r="AY382" s="21" t="str">
        <f>IF(AND($AM382&lt;&gt;"",$AS382&lt;&gt;"✓"),SUMPRODUCT(($AM$11:$AM382&lt;&gt;"")*($AS$11:$AS382&lt;&gt;"✓")),"")</f>
        <v/>
      </c>
      <c r="AZ382" s="21" t="str">
        <f>IF(AND($AM382&lt;&gt;"",$AS382="✓"),SUMPRODUCT(($AM$11:$AM382&lt;&gt;"")*($AS$11:$AS382="✓")),"")</f>
        <v/>
      </c>
      <c r="BA382" s="21" t="str">
        <f>IF($AL382="","",$AL382&amp;"|"&amp;COUNTIF($AL$11:$AL382,$AL382))</f>
        <v/>
      </c>
    </row>
    <row r="383" spans="2:53" ht="15" customHeight="1" x14ac:dyDescent="0.25">
      <c r="B383" s="5" t="str">
        <f t="shared" si="72"/>
        <v/>
      </c>
      <c r="C383" s="5"/>
      <c r="D383" s="5"/>
      <c r="E383" s="5"/>
      <c r="F383" s="6"/>
      <c r="G383" s="6"/>
      <c r="H383" s="7"/>
      <c r="I383" s="8"/>
      <c r="W383" s="14" t="str">
        <f>IF(X383="","",IFERROR(INDEX($AL$11:$AL$4010,MATCH(373,$AY$11:$AY$4010,0)),""))</f>
        <v/>
      </c>
      <c r="X383" s="12" t="str">
        <f>IFERROR(INDEX($AM$11:$AM$4010,MATCH(373,$AY$11:$AY$4010,0)),"")</f>
        <v/>
      </c>
      <c r="Y383" s="11" t="str">
        <f>IF(X383="","",IFERROR(INDEX($AN$11:$AN$4010,MATCH(373,$AY$11:$AY$4010,0)),""))</f>
        <v/>
      </c>
      <c r="Z383" s="11" t="str">
        <f>IF(X383="","",IFERROR(INDEX($AO$11:$AO$4010,MATCH(373,$AY$11:$AY$4010,0)),""))</f>
        <v/>
      </c>
      <c r="AA383" s="10" t="str">
        <f>IF(X383="","",IFERROR(INDEX($AQ$11:$AQ$4010,MATCH(373,$AY$11:$AY$4010,0)),""))</f>
        <v/>
      </c>
      <c r="AB383" s="15" t="str">
        <f>IF(X383="","",IFERROR(INDEX($AR$11:$AR$4010,MATCH(373,$AY$11:$AY$4010,0)),""))</f>
        <v/>
      </c>
      <c r="AD383" s="16" t="str">
        <f>IF(AE383="","",IFERROR(INDEX($AL$11:$AL$4010,MATCH(373,$AZ$11:$AZ$4010,0)),""))</f>
        <v/>
      </c>
      <c r="AE383" s="12" t="str">
        <f>IFERROR(INDEX($AM$11:$AM$4010,MATCH(373,$AZ$11:$AZ$4010,0)),"")</f>
        <v/>
      </c>
      <c r="AF383" s="11" t="str">
        <f>IF(AE383="","",IFERROR(INDEX($AN$11:$AN$4010,MATCH(373,$AZ$11:$AZ$4010,0)),""))</f>
        <v/>
      </c>
      <c r="AG383" s="11" t="str">
        <f>IF(AE383="","",IFERROR(INDEX($AO$11:$AO$4010,MATCH(373,$AZ$11:$AZ$4010,0)),""))</f>
        <v/>
      </c>
      <c r="AH383" s="10" t="str">
        <f>IF(AE383="","",IFERROR(INDEX($AQ$11:$AQ$4010,MATCH(373,$AZ$11:$AZ$4010,0)),""))</f>
        <v/>
      </c>
      <c r="AI383" s="15" t="str">
        <f>IF(AE383="","",IFERROR(INDEX($AR$11:$AR$4010,MATCH(373,$AZ$11:$AZ$4010,0)),""))</f>
        <v/>
      </c>
      <c r="AJ383" s="15" t="str">
        <f>IF(AE383="","",IFERROR(INDEX($AT$11:$AT$4010,MATCH(373,$AZ$11:$AZ$4010,0)),""))</f>
        <v/>
      </c>
      <c r="AL383" s="17" t="str">
        <f t="shared" si="73"/>
        <v/>
      </c>
      <c r="AM383" s="12" t="str">
        <f t="shared" si="74"/>
        <v/>
      </c>
      <c r="AN383" s="18" t="str">
        <f t="shared" si="75"/>
        <v/>
      </c>
      <c r="AO383" s="18" t="str">
        <f t="shared" si="76"/>
        <v/>
      </c>
      <c r="AP383" s="10" t="str">
        <f t="shared" si="77"/>
        <v/>
      </c>
      <c r="AQ383" s="10" t="str">
        <f t="shared" si="78"/>
        <v/>
      </c>
      <c r="AR383" s="19" t="str">
        <f t="shared" si="79"/>
        <v/>
      </c>
      <c r="AS383" s="20"/>
      <c r="AT383" s="19"/>
      <c r="AV383" s="21">
        <f>IF(AND($AL383&lt;&gt;"",COUNTIF($AL$11:$AL383,$AL383)=1),1,0)</f>
        <v>0</v>
      </c>
      <c r="AW383" s="21">
        <f t="shared" si="81"/>
        <v>0</v>
      </c>
      <c r="AX383" s="21" t="str">
        <f t="shared" si="80"/>
        <v/>
      </c>
      <c r="AY383" s="21" t="str">
        <f>IF(AND($AM383&lt;&gt;"",$AS383&lt;&gt;"✓"),SUMPRODUCT(($AM$11:$AM383&lt;&gt;"")*($AS$11:$AS383&lt;&gt;"✓")),"")</f>
        <v/>
      </c>
      <c r="AZ383" s="21" t="str">
        <f>IF(AND($AM383&lt;&gt;"",$AS383="✓"),SUMPRODUCT(($AM$11:$AM383&lt;&gt;"")*($AS$11:$AS383="✓")),"")</f>
        <v/>
      </c>
      <c r="BA383" s="21" t="str">
        <f>IF($AL383="","",$AL383&amp;"|"&amp;COUNTIF($AL$11:$AL383,$AL383))</f>
        <v/>
      </c>
    </row>
    <row r="384" spans="2:53" ht="15" customHeight="1" x14ac:dyDescent="0.25">
      <c r="B384" s="5" t="str">
        <f t="shared" si="72"/>
        <v/>
      </c>
      <c r="C384" s="5"/>
      <c r="D384" s="5"/>
      <c r="E384" s="5"/>
      <c r="F384" s="6"/>
      <c r="G384" s="6"/>
      <c r="H384" s="7"/>
      <c r="I384" s="8"/>
      <c r="W384" s="28" t="str">
        <f>IF(X384="","",IFERROR(INDEX($AL$11:$AL$4010,MATCH(374,$AY$11:$AY$4010,0)),""))</f>
        <v/>
      </c>
      <c r="X384" s="26" t="str">
        <f>IFERROR(INDEX($AM$11:$AM$4010,MATCH(374,$AY$11:$AY$4010,0)),"")</f>
        <v/>
      </c>
      <c r="Y384" s="25" t="str">
        <f>IF(X384="","",IFERROR(INDEX($AN$11:$AN$4010,MATCH(374,$AY$11:$AY$4010,0)),""))</f>
        <v/>
      </c>
      <c r="Z384" s="25" t="str">
        <f>IF(X384="","",IFERROR(INDEX($AO$11:$AO$4010,MATCH(374,$AY$11:$AY$4010,0)),""))</f>
        <v/>
      </c>
      <c r="AA384" s="24" t="str">
        <f>IF(X384="","",IFERROR(INDEX($AQ$11:$AQ$4010,MATCH(374,$AY$11:$AY$4010,0)),""))</f>
        <v/>
      </c>
      <c r="AB384" s="29" t="str">
        <f>IF(X384="","",IFERROR(INDEX($AR$11:$AR$4010,MATCH(374,$AY$11:$AY$4010,0)),""))</f>
        <v/>
      </c>
      <c r="AD384" s="30" t="str">
        <f>IF(AE384="","",IFERROR(INDEX($AL$11:$AL$4010,MATCH(374,$AZ$11:$AZ$4010,0)),""))</f>
        <v/>
      </c>
      <c r="AE384" s="26" t="str">
        <f>IFERROR(INDEX($AM$11:$AM$4010,MATCH(374,$AZ$11:$AZ$4010,0)),"")</f>
        <v/>
      </c>
      <c r="AF384" s="25" t="str">
        <f>IF(AE384="","",IFERROR(INDEX($AN$11:$AN$4010,MATCH(374,$AZ$11:$AZ$4010,0)),""))</f>
        <v/>
      </c>
      <c r="AG384" s="25" t="str">
        <f>IF(AE384="","",IFERROR(INDEX($AO$11:$AO$4010,MATCH(374,$AZ$11:$AZ$4010,0)),""))</f>
        <v/>
      </c>
      <c r="AH384" s="24" t="str">
        <f>IF(AE384="","",IFERROR(INDEX($AQ$11:$AQ$4010,MATCH(374,$AZ$11:$AZ$4010,0)),""))</f>
        <v/>
      </c>
      <c r="AI384" s="29" t="str">
        <f>IF(AE384="","",IFERROR(INDEX($AR$11:$AR$4010,MATCH(374,$AZ$11:$AZ$4010,0)),""))</f>
        <v/>
      </c>
      <c r="AJ384" s="29" t="str">
        <f>IF(AE384="","",IFERROR(INDEX($AT$11:$AT$4010,MATCH(374,$AZ$11:$AZ$4010,0)),""))</f>
        <v/>
      </c>
      <c r="AL384" s="31" t="str">
        <f t="shared" si="73"/>
        <v/>
      </c>
      <c r="AM384" s="26" t="str">
        <f t="shared" si="74"/>
        <v/>
      </c>
      <c r="AN384" s="32" t="str">
        <f t="shared" si="75"/>
        <v/>
      </c>
      <c r="AO384" s="32" t="str">
        <f t="shared" si="76"/>
        <v/>
      </c>
      <c r="AP384" s="24" t="str">
        <f t="shared" si="77"/>
        <v/>
      </c>
      <c r="AQ384" s="24" t="str">
        <f t="shared" si="78"/>
        <v/>
      </c>
      <c r="AR384" s="33" t="str">
        <f t="shared" si="79"/>
        <v/>
      </c>
      <c r="AS384" s="34"/>
      <c r="AT384" s="33"/>
      <c r="AV384" s="21">
        <f>IF(AND($AL384&lt;&gt;"",COUNTIF($AL$11:$AL384,$AL384)=1),1,0)</f>
        <v>0</v>
      </c>
      <c r="AW384" s="21">
        <f t="shared" si="81"/>
        <v>0</v>
      </c>
      <c r="AX384" s="21" t="str">
        <f t="shared" si="80"/>
        <v/>
      </c>
      <c r="AY384" s="21" t="str">
        <f>IF(AND($AM384&lt;&gt;"",$AS384&lt;&gt;"✓"),SUMPRODUCT(($AM$11:$AM384&lt;&gt;"")*($AS$11:$AS384&lt;&gt;"✓")),"")</f>
        <v/>
      </c>
      <c r="AZ384" s="21" t="str">
        <f>IF(AND($AM384&lt;&gt;"",$AS384="✓"),SUMPRODUCT(($AM$11:$AM384&lt;&gt;"")*($AS$11:$AS384="✓")),"")</f>
        <v/>
      </c>
      <c r="BA384" s="21" t="str">
        <f>IF($AL384="","",$AL384&amp;"|"&amp;COUNTIF($AL$11:$AL384,$AL384))</f>
        <v/>
      </c>
    </row>
    <row r="385" spans="2:53" ht="15" customHeight="1" x14ac:dyDescent="0.25">
      <c r="B385" s="5" t="str">
        <f t="shared" si="72"/>
        <v/>
      </c>
      <c r="C385" s="5"/>
      <c r="D385" s="5"/>
      <c r="E385" s="5"/>
      <c r="F385" s="6"/>
      <c r="G385" s="6"/>
      <c r="H385" s="7"/>
      <c r="I385" s="8"/>
      <c r="W385" s="14" t="str">
        <f>IF(X385="","",IFERROR(INDEX($AL$11:$AL$4010,MATCH(375,$AY$11:$AY$4010,0)),""))</f>
        <v/>
      </c>
      <c r="X385" s="12" t="str">
        <f>IFERROR(INDEX($AM$11:$AM$4010,MATCH(375,$AY$11:$AY$4010,0)),"")</f>
        <v/>
      </c>
      <c r="Y385" s="11" t="str">
        <f>IF(X385="","",IFERROR(INDEX($AN$11:$AN$4010,MATCH(375,$AY$11:$AY$4010,0)),""))</f>
        <v/>
      </c>
      <c r="Z385" s="11" t="str">
        <f>IF(X385="","",IFERROR(INDEX($AO$11:$AO$4010,MATCH(375,$AY$11:$AY$4010,0)),""))</f>
        <v/>
      </c>
      <c r="AA385" s="10" t="str">
        <f>IF(X385="","",IFERROR(INDEX($AQ$11:$AQ$4010,MATCH(375,$AY$11:$AY$4010,0)),""))</f>
        <v/>
      </c>
      <c r="AB385" s="15" t="str">
        <f>IF(X385="","",IFERROR(INDEX($AR$11:$AR$4010,MATCH(375,$AY$11:$AY$4010,0)),""))</f>
        <v/>
      </c>
      <c r="AD385" s="16" t="str">
        <f>IF(AE385="","",IFERROR(INDEX($AL$11:$AL$4010,MATCH(375,$AZ$11:$AZ$4010,0)),""))</f>
        <v/>
      </c>
      <c r="AE385" s="12" t="str">
        <f>IFERROR(INDEX($AM$11:$AM$4010,MATCH(375,$AZ$11:$AZ$4010,0)),"")</f>
        <v/>
      </c>
      <c r="AF385" s="11" t="str">
        <f>IF(AE385="","",IFERROR(INDEX($AN$11:$AN$4010,MATCH(375,$AZ$11:$AZ$4010,0)),""))</f>
        <v/>
      </c>
      <c r="AG385" s="11" t="str">
        <f>IF(AE385="","",IFERROR(INDEX($AO$11:$AO$4010,MATCH(375,$AZ$11:$AZ$4010,0)),""))</f>
        <v/>
      </c>
      <c r="AH385" s="10" t="str">
        <f>IF(AE385="","",IFERROR(INDEX($AQ$11:$AQ$4010,MATCH(375,$AZ$11:$AZ$4010,0)),""))</f>
        <v/>
      </c>
      <c r="AI385" s="15" t="str">
        <f>IF(AE385="","",IFERROR(INDEX($AR$11:$AR$4010,MATCH(375,$AZ$11:$AZ$4010,0)),""))</f>
        <v/>
      </c>
      <c r="AJ385" s="15" t="str">
        <f>IF(AE385="","",IFERROR(INDEX($AT$11:$AT$4010,MATCH(375,$AZ$11:$AZ$4010,0)),""))</f>
        <v/>
      </c>
      <c r="AL385" s="17" t="str">
        <f t="shared" si="73"/>
        <v/>
      </c>
      <c r="AM385" s="12" t="str">
        <f t="shared" si="74"/>
        <v/>
      </c>
      <c r="AN385" s="18" t="str">
        <f t="shared" si="75"/>
        <v/>
      </c>
      <c r="AO385" s="18" t="str">
        <f t="shared" si="76"/>
        <v/>
      </c>
      <c r="AP385" s="10" t="str">
        <f t="shared" si="77"/>
        <v/>
      </c>
      <c r="AQ385" s="10" t="str">
        <f t="shared" si="78"/>
        <v/>
      </c>
      <c r="AR385" s="19" t="str">
        <f t="shared" si="79"/>
        <v/>
      </c>
      <c r="AS385" s="20"/>
      <c r="AT385" s="19"/>
      <c r="AV385" s="21">
        <f>IF(AND($AL385&lt;&gt;"",COUNTIF($AL$11:$AL385,$AL385)=1),1,0)</f>
        <v>0</v>
      </c>
      <c r="AW385" s="21">
        <f t="shared" si="81"/>
        <v>0</v>
      </c>
      <c r="AX385" s="21" t="str">
        <f t="shared" si="80"/>
        <v/>
      </c>
      <c r="AY385" s="21" t="str">
        <f>IF(AND($AM385&lt;&gt;"",$AS385&lt;&gt;"✓"),SUMPRODUCT(($AM$11:$AM385&lt;&gt;"")*($AS$11:$AS385&lt;&gt;"✓")),"")</f>
        <v/>
      </c>
      <c r="AZ385" s="21" t="str">
        <f>IF(AND($AM385&lt;&gt;"",$AS385="✓"),SUMPRODUCT(($AM$11:$AM385&lt;&gt;"")*($AS$11:$AS385="✓")),"")</f>
        <v/>
      </c>
      <c r="BA385" s="21" t="str">
        <f>IF($AL385="","",$AL385&amp;"|"&amp;COUNTIF($AL$11:$AL385,$AL385))</f>
        <v/>
      </c>
    </row>
    <row r="386" spans="2:53" ht="15" customHeight="1" x14ac:dyDescent="0.25">
      <c r="B386" s="5" t="str">
        <f t="shared" si="72"/>
        <v/>
      </c>
      <c r="C386" s="5"/>
      <c r="D386" s="5"/>
      <c r="E386" s="5"/>
      <c r="F386" s="6"/>
      <c r="G386" s="6"/>
      <c r="H386" s="7"/>
      <c r="I386" s="8"/>
      <c r="W386" s="28" t="str">
        <f>IF(X386="","",IFERROR(INDEX($AL$11:$AL$4010,MATCH(376,$AY$11:$AY$4010,0)),""))</f>
        <v/>
      </c>
      <c r="X386" s="26" t="str">
        <f>IFERROR(INDEX($AM$11:$AM$4010,MATCH(376,$AY$11:$AY$4010,0)),"")</f>
        <v/>
      </c>
      <c r="Y386" s="25" t="str">
        <f>IF(X386="","",IFERROR(INDEX($AN$11:$AN$4010,MATCH(376,$AY$11:$AY$4010,0)),""))</f>
        <v/>
      </c>
      <c r="Z386" s="25" t="str">
        <f>IF(X386="","",IFERROR(INDEX($AO$11:$AO$4010,MATCH(376,$AY$11:$AY$4010,0)),""))</f>
        <v/>
      </c>
      <c r="AA386" s="24" t="str">
        <f>IF(X386="","",IFERROR(INDEX($AQ$11:$AQ$4010,MATCH(376,$AY$11:$AY$4010,0)),""))</f>
        <v/>
      </c>
      <c r="AB386" s="29" t="str">
        <f>IF(X386="","",IFERROR(INDEX($AR$11:$AR$4010,MATCH(376,$AY$11:$AY$4010,0)),""))</f>
        <v/>
      </c>
      <c r="AD386" s="30" t="str">
        <f>IF(AE386="","",IFERROR(INDEX($AL$11:$AL$4010,MATCH(376,$AZ$11:$AZ$4010,0)),""))</f>
        <v/>
      </c>
      <c r="AE386" s="26" t="str">
        <f>IFERROR(INDEX($AM$11:$AM$4010,MATCH(376,$AZ$11:$AZ$4010,0)),"")</f>
        <v/>
      </c>
      <c r="AF386" s="25" t="str">
        <f>IF(AE386="","",IFERROR(INDEX($AN$11:$AN$4010,MATCH(376,$AZ$11:$AZ$4010,0)),""))</f>
        <v/>
      </c>
      <c r="AG386" s="25" t="str">
        <f>IF(AE386="","",IFERROR(INDEX($AO$11:$AO$4010,MATCH(376,$AZ$11:$AZ$4010,0)),""))</f>
        <v/>
      </c>
      <c r="AH386" s="24" t="str">
        <f>IF(AE386="","",IFERROR(INDEX($AQ$11:$AQ$4010,MATCH(376,$AZ$11:$AZ$4010,0)),""))</f>
        <v/>
      </c>
      <c r="AI386" s="29" t="str">
        <f>IF(AE386="","",IFERROR(INDEX($AR$11:$AR$4010,MATCH(376,$AZ$11:$AZ$4010,0)),""))</f>
        <v/>
      </c>
      <c r="AJ386" s="29" t="str">
        <f>IF(AE386="","",IFERROR(INDEX($AT$11:$AT$4010,MATCH(376,$AZ$11:$AZ$4010,0)),""))</f>
        <v/>
      </c>
      <c r="AL386" s="31" t="str">
        <f t="shared" si="73"/>
        <v/>
      </c>
      <c r="AM386" s="26" t="str">
        <f t="shared" si="74"/>
        <v/>
      </c>
      <c r="AN386" s="32" t="str">
        <f t="shared" si="75"/>
        <v/>
      </c>
      <c r="AO386" s="32" t="str">
        <f t="shared" si="76"/>
        <v/>
      </c>
      <c r="AP386" s="24" t="str">
        <f t="shared" si="77"/>
        <v/>
      </c>
      <c r="AQ386" s="24" t="str">
        <f t="shared" si="78"/>
        <v/>
      </c>
      <c r="AR386" s="33" t="str">
        <f t="shared" si="79"/>
        <v/>
      </c>
      <c r="AS386" s="34"/>
      <c r="AT386" s="33"/>
      <c r="AV386" s="21">
        <f>IF(AND($AL386&lt;&gt;"",COUNTIF($AL$11:$AL386,$AL386)=1),1,0)</f>
        <v>0</v>
      </c>
      <c r="AW386" s="21">
        <f t="shared" si="81"/>
        <v>0</v>
      </c>
      <c r="AX386" s="21" t="str">
        <f t="shared" si="80"/>
        <v/>
      </c>
      <c r="AY386" s="21" t="str">
        <f>IF(AND($AM386&lt;&gt;"",$AS386&lt;&gt;"✓"),SUMPRODUCT(($AM$11:$AM386&lt;&gt;"")*($AS$11:$AS386&lt;&gt;"✓")),"")</f>
        <v/>
      </c>
      <c r="AZ386" s="21" t="str">
        <f>IF(AND($AM386&lt;&gt;"",$AS386="✓"),SUMPRODUCT(($AM$11:$AM386&lt;&gt;"")*($AS$11:$AS386="✓")),"")</f>
        <v/>
      </c>
      <c r="BA386" s="21" t="str">
        <f>IF($AL386="","",$AL386&amp;"|"&amp;COUNTIF($AL$11:$AL386,$AL386))</f>
        <v/>
      </c>
    </row>
    <row r="387" spans="2:53" ht="15" customHeight="1" x14ac:dyDescent="0.25">
      <c r="B387" s="5" t="str">
        <f t="shared" si="72"/>
        <v/>
      </c>
      <c r="C387" s="5"/>
      <c r="D387" s="5"/>
      <c r="E387" s="5"/>
      <c r="F387" s="6"/>
      <c r="G387" s="6"/>
      <c r="H387" s="7"/>
      <c r="I387" s="8"/>
      <c r="W387" s="14" t="str">
        <f>IF(X387="","",IFERROR(INDEX($AL$11:$AL$4010,MATCH(377,$AY$11:$AY$4010,0)),""))</f>
        <v/>
      </c>
      <c r="X387" s="12" t="str">
        <f>IFERROR(INDEX($AM$11:$AM$4010,MATCH(377,$AY$11:$AY$4010,0)),"")</f>
        <v/>
      </c>
      <c r="Y387" s="11" t="str">
        <f>IF(X387="","",IFERROR(INDEX($AN$11:$AN$4010,MATCH(377,$AY$11:$AY$4010,0)),""))</f>
        <v/>
      </c>
      <c r="Z387" s="11" t="str">
        <f>IF(X387="","",IFERROR(INDEX($AO$11:$AO$4010,MATCH(377,$AY$11:$AY$4010,0)),""))</f>
        <v/>
      </c>
      <c r="AA387" s="10" t="str">
        <f>IF(X387="","",IFERROR(INDEX($AQ$11:$AQ$4010,MATCH(377,$AY$11:$AY$4010,0)),""))</f>
        <v/>
      </c>
      <c r="AB387" s="15" t="str">
        <f>IF(X387="","",IFERROR(INDEX($AR$11:$AR$4010,MATCH(377,$AY$11:$AY$4010,0)),""))</f>
        <v/>
      </c>
      <c r="AD387" s="16" t="str">
        <f>IF(AE387="","",IFERROR(INDEX($AL$11:$AL$4010,MATCH(377,$AZ$11:$AZ$4010,0)),""))</f>
        <v/>
      </c>
      <c r="AE387" s="12" t="str">
        <f>IFERROR(INDEX($AM$11:$AM$4010,MATCH(377,$AZ$11:$AZ$4010,0)),"")</f>
        <v/>
      </c>
      <c r="AF387" s="11" t="str">
        <f>IF(AE387="","",IFERROR(INDEX($AN$11:$AN$4010,MATCH(377,$AZ$11:$AZ$4010,0)),""))</f>
        <v/>
      </c>
      <c r="AG387" s="11" t="str">
        <f>IF(AE387="","",IFERROR(INDEX($AO$11:$AO$4010,MATCH(377,$AZ$11:$AZ$4010,0)),""))</f>
        <v/>
      </c>
      <c r="AH387" s="10" t="str">
        <f>IF(AE387="","",IFERROR(INDEX($AQ$11:$AQ$4010,MATCH(377,$AZ$11:$AZ$4010,0)),""))</f>
        <v/>
      </c>
      <c r="AI387" s="15" t="str">
        <f>IF(AE387="","",IFERROR(INDEX($AR$11:$AR$4010,MATCH(377,$AZ$11:$AZ$4010,0)),""))</f>
        <v/>
      </c>
      <c r="AJ387" s="15" t="str">
        <f>IF(AE387="","",IFERROR(INDEX($AT$11:$AT$4010,MATCH(377,$AZ$11:$AZ$4010,0)),""))</f>
        <v/>
      </c>
      <c r="AL387" s="17" t="str">
        <f t="shared" si="73"/>
        <v/>
      </c>
      <c r="AM387" s="12" t="str">
        <f t="shared" si="74"/>
        <v/>
      </c>
      <c r="AN387" s="18" t="str">
        <f t="shared" si="75"/>
        <v/>
      </c>
      <c r="AO387" s="18" t="str">
        <f t="shared" si="76"/>
        <v/>
      </c>
      <c r="AP387" s="10" t="str">
        <f t="shared" si="77"/>
        <v/>
      </c>
      <c r="AQ387" s="10" t="str">
        <f t="shared" si="78"/>
        <v/>
      </c>
      <c r="AR387" s="19" t="str">
        <f t="shared" si="79"/>
        <v/>
      </c>
      <c r="AS387" s="20"/>
      <c r="AT387" s="19"/>
      <c r="AV387" s="21">
        <f>IF(AND($AL387&lt;&gt;"",COUNTIF($AL$11:$AL387,$AL387)=1),1,0)</f>
        <v>0</v>
      </c>
      <c r="AW387" s="21">
        <f t="shared" si="81"/>
        <v>0</v>
      </c>
      <c r="AX387" s="21" t="str">
        <f t="shared" si="80"/>
        <v/>
      </c>
      <c r="AY387" s="21" t="str">
        <f>IF(AND($AM387&lt;&gt;"",$AS387&lt;&gt;"✓"),SUMPRODUCT(($AM$11:$AM387&lt;&gt;"")*($AS$11:$AS387&lt;&gt;"✓")),"")</f>
        <v/>
      </c>
      <c r="AZ387" s="21" t="str">
        <f>IF(AND($AM387&lt;&gt;"",$AS387="✓"),SUMPRODUCT(($AM$11:$AM387&lt;&gt;"")*($AS$11:$AS387="✓")),"")</f>
        <v/>
      </c>
      <c r="BA387" s="21" t="str">
        <f>IF($AL387="","",$AL387&amp;"|"&amp;COUNTIF($AL$11:$AL387,$AL387))</f>
        <v/>
      </c>
    </row>
    <row r="388" spans="2:53" ht="15" customHeight="1" x14ac:dyDescent="0.25">
      <c r="B388" s="5" t="str">
        <f t="shared" si="72"/>
        <v/>
      </c>
      <c r="C388" s="5"/>
      <c r="D388" s="5"/>
      <c r="E388" s="5"/>
      <c r="F388" s="6"/>
      <c r="G388" s="6"/>
      <c r="H388" s="7"/>
      <c r="I388" s="8"/>
      <c r="W388" s="28" t="str">
        <f>IF(X388="","",IFERROR(INDEX($AL$11:$AL$4010,MATCH(378,$AY$11:$AY$4010,0)),""))</f>
        <v/>
      </c>
      <c r="X388" s="26" t="str">
        <f>IFERROR(INDEX($AM$11:$AM$4010,MATCH(378,$AY$11:$AY$4010,0)),"")</f>
        <v/>
      </c>
      <c r="Y388" s="25" t="str">
        <f>IF(X388="","",IFERROR(INDEX($AN$11:$AN$4010,MATCH(378,$AY$11:$AY$4010,0)),""))</f>
        <v/>
      </c>
      <c r="Z388" s="25" t="str">
        <f>IF(X388="","",IFERROR(INDEX($AO$11:$AO$4010,MATCH(378,$AY$11:$AY$4010,0)),""))</f>
        <v/>
      </c>
      <c r="AA388" s="24" t="str">
        <f>IF(X388="","",IFERROR(INDEX($AQ$11:$AQ$4010,MATCH(378,$AY$11:$AY$4010,0)),""))</f>
        <v/>
      </c>
      <c r="AB388" s="29" t="str">
        <f>IF(X388="","",IFERROR(INDEX($AR$11:$AR$4010,MATCH(378,$AY$11:$AY$4010,0)),""))</f>
        <v/>
      </c>
      <c r="AD388" s="30" t="str">
        <f>IF(AE388="","",IFERROR(INDEX($AL$11:$AL$4010,MATCH(378,$AZ$11:$AZ$4010,0)),""))</f>
        <v/>
      </c>
      <c r="AE388" s="26" t="str">
        <f>IFERROR(INDEX($AM$11:$AM$4010,MATCH(378,$AZ$11:$AZ$4010,0)),"")</f>
        <v/>
      </c>
      <c r="AF388" s="25" t="str">
        <f>IF(AE388="","",IFERROR(INDEX($AN$11:$AN$4010,MATCH(378,$AZ$11:$AZ$4010,0)),""))</f>
        <v/>
      </c>
      <c r="AG388" s="25" t="str">
        <f>IF(AE388="","",IFERROR(INDEX($AO$11:$AO$4010,MATCH(378,$AZ$11:$AZ$4010,0)),""))</f>
        <v/>
      </c>
      <c r="AH388" s="24" t="str">
        <f>IF(AE388="","",IFERROR(INDEX($AQ$11:$AQ$4010,MATCH(378,$AZ$11:$AZ$4010,0)),""))</f>
        <v/>
      </c>
      <c r="AI388" s="29" t="str">
        <f>IF(AE388="","",IFERROR(INDEX($AR$11:$AR$4010,MATCH(378,$AZ$11:$AZ$4010,0)),""))</f>
        <v/>
      </c>
      <c r="AJ388" s="29" t="str">
        <f>IF(AE388="","",IFERROR(INDEX($AT$11:$AT$4010,MATCH(378,$AZ$11:$AZ$4010,0)),""))</f>
        <v/>
      </c>
      <c r="AL388" s="31" t="str">
        <f t="shared" si="73"/>
        <v/>
      </c>
      <c r="AM388" s="26" t="str">
        <f t="shared" si="74"/>
        <v/>
      </c>
      <c r="AN388" s="32" t="str">
        <f t="shared" si="75"/>
        <v/>
      </c>
      <c r="AO388" s="32" t="str">
        <f t="shared" si="76"/>
        <v/>
      </c>
      <c r="AP388" s="24" t="str">
        <f t="shared" si="77"/>
        <v/>
      </c>
      <c r="AQ388" s="24" t="str">
        <f t="shared" si="78"/>
        <v/>
      </c>
      <c r="AR388" s="33" t="str">
        <f t="shared" si="79"/>
        <v/>
      </c>
      <c r="AS388" s="34"/>
      <c r="AT388" s="33"/>
      <c r="AV388" s="21">
        <f>IF(AND($AL388&lt;&gt;"",COUNTIF($AL$11:$AL388,$AL388)=1),1,0)</f>
        <v>0</v>
      </c>
      <c r="AW388" s="21">
        <f t="shared" si="81"/>
        <v>0</v>
      </c>
      <c r="AX388" s="21" t="str">
        <f t="shared" si="80"/>
        <v/>
      </c>
      <c r="AY388" s="21" t="str">
        <f>IF(AND($AM388&lt;&gt;"",$AS388&lt;&gt;"✓"),SUMPRODUCT(($AM$11:$AM388&lt;&gt;"")*($AS$11:$AS388&lt;&gt;"✓")),"")</f>
        <v/>
      </c>
      <c r="AZ388" s="21" t="str">
        <f>IF(AND($AM388&lt;&gt;"",$AS388="✓"),SUMPRODUCT(($AM$11:$AM388&lt;&gt;"")*($AS$11:$AS388="✓")),"")</f>
        <v/>
      </c>
      <c r="BA388" s="21" t="str">
        <f>IF($AL388="","",$AL388&amp;"|"&amp;COUNTIF($AL$11:$AL388,$AL388))</f>
        <v/>
      </c>
    </row>
    <row r="389" spans="2:53" ht="15" customHeight="1" x14ac:dyDescent="0.25">
      <c r="B389" s="5" t="str">
        <f t="shared" si="72"/>
        <v/>
      </c>
      <c r="C389" s="5"/>
      <c r="D389" s="5"/>
      <c r="E389" s="5"/>
      <c r="F389" s="6"/>
      <c r="G389" s="6"/>
      <c r="H389" s="7"/>
      <c r="I389" s="8"/>
      <c r="W389" s="14" t="str">
        <f>IF(X389="","",IFERROR(INDEX($AL$11:$AL$4010,MATCH(379,$AY$11:$AY$4010,0)),""))</f>
        <v/>
      </c>
      <c r="X389" s="12" t="str">
        <f>IFERROR(INDEX($AM$11:$AM$4010,MATCH(379,$AY$11:$AY$4010,0)),"")</f>
        <v/>
      </c>
      <c r="Y389" s="11" t="str">
        <f>IF(X389="","",IFERROR(INDEX($AN$11:$AN$4010,MATCH(379,$AY$11:$AY$4010,0)),""))</f>
        <v/>
      </c>
      <c r="Z389" s="11" t="str">
        <f>IF(X389="","",IFERROR(INDEX($AO$11:$AO$4010,MATCH(379,$AY$11:$AY$4010,0)),""))</f>
        <v/>
      </c>
      <c r="AA389" s="10" t="str">
        <f>IF(X389="","",IFERROR(INDEX($AQ$11:$AQ$4010,MATCH(379,$AY$11:$AY$4010,0)),""))</f>
        <v/>
      </c>
      <c r="AB389" s="15" t="str">
        <f>IF(X389="","",IFERROR(INDEX($AR$11:$AR$4010,MATCH(379,$AY$11:$AY$4010,0)),""))</f>
        <v/>
      </c>
      <c r="AD389" s="16" t="str">
        <f>IF(AE389="","",IFERROR(INDEX($AL$11:$AL$4010,MATCH(379,$AZ$11:$AZ$4010,0)),""))</f>
        <v/>
      </c>
      <c r="AE389" s="12" t="str">
        <f>IFERROR(INDEX($AM$11:$AM$4010,MATCH(379,$AZ$11:$AZ$4010,0)),"")</f>
        <v/>
      </c>
      <c r="AF389" s="11" t="str">
        <f>IF(AE389="","",IFERROR(INDEX($AN$11:$AN$4010,MATCH(379,$AZ$11:$AZ$4010,0)),""))</f>
        <v/>
      </c>
      <c r="AG389" s="11" t="str">
        <f>IF(AE389="","",IFERROR(INDEX($AO$11:$AO$4010,MATCH(379,$AZ$11:$AZ$4010,0)),""))</f>
        <v/>
      </c>
      <c r="AH389" s="10" t="str">
        <f>IF(AE389="","",IFERROR(INDEX($AQ$11:$AQ$4010,MATCH(379,$AZ$11:$AZ$4010,0)),""))</f>
        <v/>
      </c>
      <c r="AI389" s="15" t="str">
        <f>IF(AE389="","",IFERROR(INDEX($AR$11:$AR$4010,MATCH(379,$AZ$11:$AZ$4010,0)),""))</f>
        <v/>
      </c>
      <c r="AJ389" s="15" t="str">
        <f>IF(AE389="","",IFERROR(INDEX($AT$11:$AT$4010,MATCH(379,$AZ$11:$AZ$4010,0)),""))</f>
        <v/>
      </c>
      <c r="AL389" s="17" t="str">
        <f t="shared" si="73"/>
        <v/>
      </c>
      <c r="AM389" s="12" t="str">
        <f t="shared" si="74"/>
        <v/>
      </c>
      <c r="AN389" s="18" t="str">
        <f t="shared" si="75"/>
        <v/>
      </c>
      <c r="AO389" s="18" t="str">
        <f t="shared" si="76"/>
        <v/>
      </c>
      <c r="AP389" s="10" t="str">
        <f t="shared" si="77"/>
        <v/>
      </c>
      <c r="AQ389" s="10" t="str">
        <f t="shared" si="78"/>
        <v/>
      </c>
      <c r="AR389" s="19" t="str">
        <f t="shared" si="79"/>
        <v/>
      </c>
      <c r="AS389" s="20"/>
      <c r="AT389" s="19"/>
      <c r="AV389" s="21">
        <f>IF(AND($AL389&lt;&gt;"",COUNTIF($AL$11:$AL389,$AL389)=1),1,0)</f>
        <v>0</v>
      </c>
      <c r="AW389" s="21">
        <f t="shared" si="81"/>
        <v>0</v>
      </c>
      <c r="AX389" s="21" t="str">
        <f t="shared" si="80"/>
        <v/>
      </c>
      <c r="AY389" s="21" t="str">
        <f>IF(AND($AM389&lt;&gt;"",$AS389&lt;&gt;"✓"),SUMPRODUCT(($AM$11:$AM389&lt;&gt;"")*($AS$11:$AS389&lt;&gt;"✓")),"")</f>
        <v/>
      </c>
      <c r="AZ389" s="21" t="str">
        <f>IF(AND($AM389&lt;&gt;"",$AS389="✓"),SUMPRODUCT(($AM$11:$AM389&lt;&gt;"")*($AS$11:$AS389="✓")),"")</f>
        <v/>
      </c>
      <c r="BA389" s="21" t="str">
        <f>IF($AL389="","",$AL389&amp;"|"&amp;COUNTIF($AL$11:$AL389,$AL389))</f>
        <v/>
      </c>
    </row>
    <row r="390" spans="2:53" ht="15" customHeight="1" x14ac:dyDescent="0.25">
      <c r="B390" s="5" t="str">
        <f t="shared" si="72"/>
        <v/>
      </c>
      <c r="C390" s="5"/>
      <c r="D390" s="5"/>
      <c r="E390" s="5"/>
      <c r="F390" s="6"/>
      <c r="G390" s="6"/>
      <c r="H390" s="7"/>
      <c r="I390" s="8"/>
      <c r="W390" s="28" t="str">
        <f>IF(X390="","",IFERROR(INDEX($AL$11:$AL$4010,MATCH(380,$AY$11:$AY$4010,0)),""))</f>
        <v/>
      </c>
      <c r="X390" s="26" t="str">
        <f>IFERROR(INDEX($AM$11:$AM$4010,MATCH(380,$AY$11:$AY$4010,0)),"")</f>
        <v/>
      </c>
      <c r="Y390" s="25" t="str">
        <f>IF(X390="","",IFERROR(INDEX($AN$11:$AN$4010,MATCH(380,$AY$11:$AY$4010,0)),""))</f>
        <v/>
      </c>
      <c r="Z390" s="25" t="str">
        <f>IF(X390="","",IFERROR(INDEX($AO$11:$AO$4010,MATCH(380,$AY$11:$AY$4010,0)),""))</f>
        <v/>
      </c>
      <c r="AA390" s="24" t="str">
        <f>IF(X390="","",IFERROR(INDEX($AQ$11:$AQ$4010,MATCH(380,$AY$11:$AY$4010,0)),""))</f>
        <v/>
      </c>
      <c r="AB390" s="29" t="str">
        <f>IF(X390="","",IFERROR(INDEX($AR$11:$AR$4010,MATCH(380,$AY$11:$AY$4010,0)),""))</f>
        <v/>
      </c>
      <c r="AD390" s="30" t="str">
        <f>IF(AE390="","",IFERROR(INDEX($AL$11:$AL$4010,MATCH(380,$AZ$11:$AZ$4010,0)),""))</f>
        <v/>
      </c>
      <c r="AE390" s="26" t="str">
        <f>IFERROR(INDEX($AM$11:$AM$4010,MATCH(380,$AZ$11:$AZ$4010,0)),"")</f>
        <v/>
      </c>
      <c r="AF390" s="25" t="str">
        <f>IF(AE390="","",IFERROR(INDEX($AN$11:$AN$4010,MATCH(380,$AZ$11:$AZ$4010,0)),""))</f>
        <v/>
      </c>
      <c r="AG390" s="25" t="str">
        <f>IF(AE390="","",IFERROR(INDEX($AO$11:$AO$4010,MATCH(380,$AZ$11:$AZ$4010,0)),""))</f>
        <v/>
      </c>
      <c r="AH390" s="24" t="str">
        <f>IF(AE390="","",IFERROR(INDEX($AQ$11:$AQ$4010,MATCH(380,$AZ$11:$AZ$4010,0)),""))</f>
        <v/>
      </c>
      <c r="AI390" s="29" t="str">
        <f>IF(AE390="","",IFERROR(INDEX($AR$11:$AR$4010,MATCH(380,$AZ$11:$AZ$4010,0)),""))</f>
        <v/>
      </c>
      <c r="AJ390" s="29" t="str">
        <f>IF(AE390="","",IFERROR(INDEX($AT$11:$AT$4010,MATCH(380,$AZ$11:$AZ$4010,0)),""))</f>
        <v/>
      </c>
      <c r="AL390" s="31" t="str">
        <f t="shared" si="73"/>
        <v/>
      </c>
      <c r="AM390" s="26" t="str">
        <f t="shared" si="74"/>
        <v/>
      </c>
      <c r="AN390" s="32" t="str">
        <f t="shared" si="75"/>
        <v/>
      </c>
      <c r="AO390" s="32" t="str">
        <f t="shared" si="76"/>
        <v/>
      </c>
      <c r="AP390" s="24" t="str">
        <f t="shared" si="77"/>
        <v/>
      </c>
      <c r="AQ390" s="24" t="str">
        <f t="shared" si="78"/>
        <v/>
      </c>
      <c r="AR390" s="33" t="str">
        <f t="shared" si="79"/>
        <v/>
      </c>
      <c r="AS390" s="34"/>
      <c r="AT390" s="33"/>
      <c r="AV390" s="21">
        <f>IF(AND($AL390&lt;&gt;"",COUNTIF($AL$11:$AL390,$AL390)=1),1,0)</f>
        <v>0</v>
      </c>
      <c r="AW390" s="21">
        <f t="shared" si="81"/>
        <v>0</v>
      </c>
      <c r="AX390" s="21" t="str">
        <f t="shared" si="80"/>
        <v/>
      </c>
      <c r="AY390" s="21" t="str">
        <f>IF(AND($AM390&lt;&gt;"",$AS390&lt;&gt;"✓"),SUMPRODUCT(($AM$11:$AM390&lt;&gt;"")*($AS$11:$AS390&lt;&gt;"✓")),"")</f>
        <v/>
      </c>
      <c r="AZ390" s="21" t="str">
        <f>IF(AND($AM390&lt;&gt;"",$AS390="✓"),SUMPRODUCT(($AM$11:$AM390&lt;&gt;"")*($AS$11:$AS390="✓")),"")</f>
        <v/>
      </c>
      <c r="BA390" s="21" t="str">
        <f>IF($AL390="","",$AL390&amp;"|"&amp;COUNTIF($AL$11:$AL390,$AL390))</f>
        <v/>
      </c>
    </row>
    <row r="391" spans="2:53" ht="15" customHeight="1" x14ac:dyDescent="0.25">
      <c r="B391" s="5" t="str">
        <f t="shared" si="72"/>
        <v/>
      </c>
      <c r="C391" s="5"/>
      <c r="D391" s="5"/>
      <c r="E391" s="5"/>
      <c r="F391" s="6"/>
      <c r="G391" s="6"/>
      <c r="H391" s="7"/>
      <c r="I391" s="8"/>
      <c r="W391" s="14" t="str">
        <f>IF(X391="","",IFERROR(INDEX($AL$11:$AL$4010,MATCH(381,$AY$11:$AY$4010,0)),""))</f>
        <v/>
      </c>
      <c r="X391" s="12" t="str">
        <f>IFERROR(INDEX($AM$11:$AM$4010,MATCH(381,$AY$11:$AY$4010,0)),"")</f>
        <v/>
      </c>
      <c r="Y391" s="11" t="str">
        <f>IF(X391="","",IFERROR(INDEX($AN$11:$AN$4010,MATCH(381,$AY$11:$AY$4010,0)),""))</f>
        <v/>
      </c>
      <c r="Z391" s="11" t="str">
        <f>IF(X391="","",IFERROR(INDEX($AO$11:$AO$4010,MATCH(381,$AY$11:$AY$4010,0)),""))</f>
        <v/>
      </c>
      <c r="AA391" s="10" t="str">
        <f>IF(X391="","",IFERROR(INDEX($AQ$11:$AQ$4010,MATCH(381,$AY$11:$AY$4010,0)),""))</f>
        <v/>
      </c>
      <c r="AB391" s="15" t="str">
        <f>IF(X391="","",IFERROR(INDEX($AR$11:$AR$4010,MATCH(381,$AY$11:$AY$4010,0)),""))</f>
        <v/>
      </c>
      <c r="AD391" s="16" t="str">
        <f>IF(AE391="","",IFERROR(INDEX($AL$11:$AL$4010,MATCH(381,$AZ$11:$AZ$4010,0)),""))</f>
        <v/>
      </c>
      <c r="AE391" s="12" t="str">
        <f>IFERROR(INDEX($AM$11:$AM$4010,MATCH(381,$AZ$11:$AZ$4010,0)),"")</f>
        <v/>
      </c>
      <c r="AF391" s="11" t="str">
        <f>IF(AE391="","",IFERROR(INDEX($AN$11:$AN$4010,MATCH(381,$AZ$11:$AZ$4010,0)),""))</f>
        <v/>
      </c>
      <c r="AG391" s="11" t="str">
        <f>IF(AE391="","",IFERROR(INDEX($AO$11:$AO$4010,MATCH(381,$AZ$11:$AZ$4010,0)),""))</f>
        <v/>
      </c>
      <c r="AH391" s="10" t="str">
        <f>IF(AE391="","",IFERROR(INDEX($AQ$11:$AQ$4010,MATCH(381,$AZ$11:$AZ$4010,0)),""))</f>
        <v/>
      </c>
      <c r="AI391" s="15" t="str">
        <f>IF(AE391="","",IFERROR(INDEX($AR$11:$AR$4010,MATCH(381,$AZ$11:$AZ$4010,0)),""))</f>
        <v/>
      </c>
      <c r="AJ391" s="15" t="str">
        <f>IF(AE391="","",IFERROR(INDEX($AT$11:$AT$4010,MATCH(381,$AZ$11:$AZ$4010,0)),""))</f>
        <v/>
      </c>
      <c r="AL391" s="17" t="str">
        <f t="shared" si="73"/>
        <v/>
      </c>
      <c r="AM391" s="12" t="str">
        <f t="shared" si="74"/>
        <v/>
      </c>
      <c r="AN391" s="18" t="str">
        <f t="shared" si="75"/>
        <v/>
      </c>
      <c r="AO391" s="18" t="str">
        <f t="shared" si="76"/>
        <v/>
      </c>
      <c r="AP391" s="10" t="str">
        <f t="shared" si="77"/>
        <v/>
      </c>
      <c r="AQ391" s="10" t="str">
        <f t="shared" si="78"/>
        <v/>
      </c>
      <c r="AR391" s="19" t="str">
        <f t="shared" si="79"/>
        <v/>
      </c>
      <c r="AS391" s="20"/>
      <c r="AT391" s="19"/>
      <c r="AV391" s="21">
        <f>IF(AND($AL391&lt;&gt;"",COUNTIF($AL$11:$AL391,$AL391)=1),1,0)</f>
        <v>0</v>
      </c>
      <c r="AW391" s="21">
        <f t="shared" si="81"/>
        <v>0</v>
      </c>
      <c r="AX391" s="21" t="str">
        <f t="shared" si="80"/>
        <v/>
      </c>
      <c r="AY391" s="21" t="str">
        <f>IF(AND($AM391&lt;&gt;"",$AS391&lt;&gt;"✓"),SUMPRODUCT(($AM$11:$AM391&lt;&gt;"")*($AS$11:$AS391&lt;&gt;"✓")),"")</f>
        <v/>
      </c>
      <c r="AZ391" s="21" t="str">
        <f>IF(AND($AM391&lt;&gt;"",$AS391="✓"),SUMPRODUCT(($AM$11:$AM391&lt;&gt;"")*($AS$11:$AS391="✓")),"")</f>
        <v/>
      </c>
      <c r="BA391" s="21" t="str">
        <f>IF($AL391="","",$AL391&amp;"|"&amp;COUNTIF($AL$11:$AL391,$AL391))</f>
        <v/>
      </c>
    </row>
    <row r="392" spans="2:53" ht="15" customHeight="1" x14ac:dyDescent="0.25">
      <c r="B392" s="5" t="str">
        <f t="shared" si="72"/>
        <v/>
      </c>
      <c r="C392" s="5"/>
      <c r="D392" s="5"/>
      <c r="E392" s="5"/>
      <c r="F392" s="6"/>
      <c r="G392" s="6"/>
      <c r="H392" s="7"/>
      <c r="I392" s="8"/>
      <c r="W392" s="28" t="str">
        <f>IF(X392="","",IFERROR(INDEX($AL$11:$AL$4010,MATCH(382,$AY$11:$AY$4010,0)),""))</f>
        <v/>
      </c>
      <c r="X392" s="26" t="str">
        <f>IFERROR(INDEX($AM$11:$AM$4010,MATCH(382,$AY$11:$AY$4010,0)),"")</f>
        <v/>
      </c>
      <c r="Y392" s="25" t="str">
        <f>IF(X392="","",IFERROR(INDEX($AN$11:$AN$4010,MATCH(382,$AY$11:$AY$4010,0)),""))</f>
        <v/>
      </c>
      <c r="Z392" s="25" t="str">
        <f>IF(X392="","",IFERROR(INDEX($AO$11:$AO$4010,MATCH(382,$AY$11:$AY$4010,0)),""))</f>
        <v/>
      </c>
      <c r="AA392" s="24" t="str">
        <f>IF(X392="","",IFERROR(INDEX($AQ$11:$AQ$4010,MATCH(382,$AY$11:$AY$4010,0)),""))</f>
        <v/>
      </c>
      <c r="AB392" s="29" t="str">
        <f>IF(X392="","",IFERROR(INDEX($AR$11:$AR$4010,MATCH(382,$AY$11:$AY$4010,0)),""))</f>
        <v/>
      </c>
      <c r="AD392" s="30" t="str">
        <f>IF(AE392="","",IFERROR(INDEX($AL$11:$AL$4010,MATCH(382,$AZ$11:$AZ$4010,0)),""))</f>
        <v/>
      </c>
      <c r="AE392" s="26" t="str">
        <f>IFERROR(INDEX($AM$11:$AM$4010,MATCH(382,$AZ$11:$AZ$4010,0)),"")</f>
        <v/>
      </c>
      <c r="AF392" s="25" t="str">
        <f>IF(AE392="","",IFERROR(INDEX($AN$11:$AN$4010,MATCH(382,$AZ$11:$AZ$4010,0)),""))</f>
        <v/>
      </c>
      <c r="AG392" s="25" t="str">
        <f>IF(AE392="","",IFERROR(INDEX($AO$11:$AO$4010,MATCH(382,$AZ$11:$AZ$4010,0)),""))</f>
        <v/>
      </c>
      <c r="AH392" s="24" t="str">
        <f>IF(AE392="","",IFERROR(INDEX($AQ$11:$AQ$4010,MATCH(382,$AZ$11:$AZ$4010,0)),""))</f>
        <v/>
      </c>
      <c r="AI392" s="29" t="str">
        <f>IF(AE392="","",IFERROR(INDEX($AR$11:$AR$4010,MATCH(382,$AZ$11:$AZ$4010,0)),""))</f>
        <v/>
      </c>
      <c r="AJ392" s="29" t="str">
        <f>IF(AE392="","",IFERROR(INDEX($AT$11:$AT$4010,MATCH(382,$AZ$11:$AZ$4010,0)),""))</f>
        <v/>
      </c>
      <c r="AL392" s="31" t="str">
        <f t="shared" si="73"/>
        <v/>
      </c>
      <c r="AM392" s="26" t="str">
        <f t="shared" si="74"/>
        <v/>
      </c>
      <c r="AN392" s="32" t="str">
        <f t="shared" si="75"/>
        <v/>
      </c>
      <c r="AO392" s="32" t="str">
        <f t="shared" si="76"/>
        <v/>
      </c>
      <c r="AP392" s="24" t="str">
        <f t="shared" si="77"/>
        <v/>
      </c>
      <c r="AQ392" s="24" t="str">
        <f t="shared" si="78"/>
        <v/>
      </c>
      <c r="AR392" s="33" t="str">
        <f t="shared" si="79"/>
        <v/>
      </c>
      <c r="AS392" s="34"/>
      <c r="AT392" s="33"/>
      <c r="AV392" s="21">
        <f>IF(AND($AL392&lt;&gt;"",COUNTIF($AL$11:$AL392,$AL392)=1),1,0)</f>
        <v>0</v>
      </c>
      <c r="AW392" s="21">
        <f t="shared" si="81"/>
        <v>0</v>
      </c>
      <c r="AX392" s="21" t="str">
        <f t="shared" si="80"/>
        <v/>
      </c>
      <c r="AY392" s="21" t="str">
        <f>IF(AND($AM392&lt;&gt;"",$AS392&lt;&gt;"✓"),SUMPRODUCT(($AM$11:$AM392&lt;&gt;"")*($AS$11:$AS392&lt;&gt;"✓")),"")</f>
        <v/>
      </c>
      <c r="AZ392" s="21" t="str">
        <f>IF(AND($AM392&lt;&gt;"",$AS392="✓"),SUMPRODUCT(($AM$11:$AM392&lt;&gt;"")*($AS$11:$AS392="✓")),"")</f>
        <v/>
      </c>
      <c r="BA392" s="21" t="str">
        <f>IF($AL392="","",$AL392&amp;"|"&amp;COUNTIF($AL$11:$AL392,$AL392))</f>
        <v/>
      </c>
    </row>
    <row r="393" spans="2:53" ht="15" customHeight="1" x14ac:dyDescent="0.25">
      <c r="B393" s="5" t="str">
        <f t="shared" si="72"/>
        <v/>
      </c>
      <c r="C393" s="5"/>
      <c r="D393" s="5"/>
      <c r="E393" s="5"/>
      <c r="F393" s="6"/>
      <c r="G393" s="6"/>
      <c r="H393" s="7"/>
      <c r="I393" s="8"/>
      <c r="W393" s="14" t="str">
        <f>IF(X393="","",IFERROR(INDEX($AL$11:$AL$4010,MATCH(383,$AY$11:$AY$4010,0)),""))</f>
        <v/>
      </c>
      <c r="X393" s="12" t="str">
        <f>IFERROR(INDEX($AM$11:$AM$4010,MATCH(383,$AY$11:$AY$4010,0)),"")</f>
        <v/>
      </c>
      <c r="Y393" s="11" t="str">
        <f>IF(X393="","",IFERROR(INDEX($AN$11:$AN$4010,MATCH(383,$AY$11:$AY$4010,0)),""))</f>
        <v/>
      </c>
      <c r="Z393" s="11" t="str">
        <f>IF(X393="","",IFERROR(INDEX($AO$11:$AO$4010,MATCH(383,$AY$11:$AY$4010,0)),""))</f>
        <v/>
      </c>
      <c r="AA393" s="10" t="str">
        <f>IF(X393="","",IFERROR(INDEX($AQ$11:$AQ$4010,MATCH(383,$AY$11:$AY$4010,0)),""))</f>
        <v/>
      </c>
      <c r="AB393" s="15" t="str">
        <f>IF(X393="","",IFERROR(INDEX($AR$11:$AR$4010,MATCH(383,$AY$11:$AY$4010,0)),""))</f>
        <v/>
      </c>
      <c r="AD393" s="16" t="str">
        <f>IF(AE393="","",IFERROR(INDEX($AL$11:$AL$4010,MATCH(383,$AZ$11:$AZ$4010,0)),""))</f>
        <v/>
      </c>
      <c r="AE393" s="12" t="str">
        <f>IFERROR(INDEX($AM$11:$AM$4010,MATCH(383,$AZ$11:$AZ$4010,0)),"")</f>
        <v/>
      </c>
      <c r="AF393" s="11" t="str">
        <f>IF(AE393="","",IFERROR(INDEX($AN$11:$AN$4010,MATCH(383,$AZ$11:$AZ$4010,0)),""))</f>
        <v/>
      </c>
      <c r="AG393" s="11" t="str">
        <f>IF(AE393="","",IFERROR(INDEX($AO$11:$AO$4010,MATCH(383,$AZ$11:$AZ$4010,0)),""))</f>
        <v/>
      </c>
      <c r="AH393" s="10" t="str">
        <f>IF(AE393="","",IFERROR(INDEX($AQ$11:$AQ$4010,MATCH(383,$AZ$11:$AZ$4010,0)),""))</f>
        <v/>
      </c>
      <c r="AI393" s="15" t="str">
        <f>IF(AE393="","",IFERROR(INDEX($AR$11:$AR$4010,MATCH(383,$AZ$11:$AZ$4010,0)),""))</f>
        <v/>
      </c>
      <c r="AJ393" s="15" t="str">
        <f>IF(AE393="","",IFERROR(INDEX($AT$11:$AT$4010,MATCH(383,$AZ$11:$AZ$4010,0)),""))</f>
        <v/>
      </c>
      <c r="AL393" s="17" t="str">
        <f t="shared" si="73"/>
        <v/>
      </c>
      <c r="AM393" s="12" t="str">
        <f t="shared" si="74"/>
        <v/>
      </c>
      <c r="AN393" s="18" t="str">
        <f t="shared" si="75"/>
        <v/>
      </c>
      <c r="AO393" s="18" t="str">
        <f t="shared" si="76"/>
        <v/>
      </c>
      <c r="AP393" s="10" t="str">
        <f t="shared" si="77"/>
        <v/>
      </c>
      <c r="AQ393" s="10" t="str">
        <f t="shared" si="78"/>
        <v/>
      </c>
      <c r="AR393" s="19" t="str">
        <f t="shared" si="79"/>
        <v/>
      </c>
      <c r="AS393" s="20"/>
      <c r="AT393" s="19"/>
      <c r="AV393" s="21">
        <f>IF(AND($AL393&lt;&gt;"",COUNTIF($AL$11:$AL393,$AL393)=1),1,0)</f>
        <v>0</v>
      </c>
      <c r="AW393" s="21">
        <f t="shared" si="81"/>
        <v>0</v>
      </c>
      <c r="AX393" s="21" t="str">
        <f t="shared" si="80"/>
        <v/>
      </c>
      <c r="AY393" s="21" t="str">
        <f>IF(AND($AM393&lt;&gt;"",$AS393&lt;&gt;"✓"),SUMPRODUCT(($AM$11:$AM393&lt;&gt;"")*($AS$11:$AS393&lt;&gt;"✓")),"")</f>
        <v/>
      </c>
      <c r="AZ393" s="21" t="str">
        <f>IF(AND($AM393&lt;&gt;"",$AS393="✓"),SUMPRODUCT(($AM$11:$AM393&lt;&gt;"")*($AS$11:$AS393="✓")),"")</f>
        <v/>
      </c>
      <c r="BA393" s="21" t="str">
        <f>IF($AL393="","",$AL393&amp;"|"&amp;COUNTIF($AL$11:$AL393,$AL393))</f>
        <v/>
      </c>
    </row>
    <row r="394" spans="2:53" ht="15" customHeight="1" x14ac:dyDescent="0.25">
      <c r="B394" s="5" t="str">
        <f t="shared" si="72"/>
        <v/>
      </c>
      <c r="C394" s="5"/>
      <c r="D394" s="5"/>
      <c r="E394" s="5"/>
      <c r="F394" s="6"/>
      <c r="G394" s="6"/>
      <c r="H394" s="7"/>
      <c r="I394" s="8"/>
      <c r="W394" s="28" t="str">
        <f>IF(X394="","",IFERROR(INDEX($AL$11:$AL$4010,MATCH(384,$AY$11:$AY$4010,0)),""))</f>
        <v/>
      </c>
      <c r="X394" s="26" t="str">
        <f>IFERROR(INDEX($AM$11:$AM$4010,MATCH(384,$AY$11:$AY$4010,0)),"")</f>
        <v/>
      </c>
      <c r="Y394" s="25" t="str">
        <f>IF(X394="","",IFERROR(INDEX($AN$11:$AN$4010,MATCH(384,$AY$11:$AY$4010,0)),""))</f>
        <v/>
      </c>
      <c r="Z394" s="25" t="str">
        <f>IF(X394="","",IFERROR(INDEX($AO$11:$AO$4010,MATCH(384,$AY$11:$AY$4010,0)),""))</f>
        <v/>
      </c>
      <c r="AA394" s="24" t="str">
        <f>IF(X394="","",IFERROR(INDEX($AQ$11:$AQ$4010,MATCH(384,$AY$11:$AY$4010,0)),""))</f>
        <v/>
      </c>
      <c r="AB394" s="29" t="str">
        <f>IF(X394="","",IFERROR(INDEX($AR$11:$AR$4010,MATCH(384,$AY$11:$AY$4010,0)),""))</f>
        <v/>
      </c>
      <c r="AD394" s="30" t="str">
        <f>IF(AE394="","",IFERROR(INDEX($AL$11:$AL$4010,MATCH(384,$AZ$11:$AZ$4010,0)),""))</f>
        <v/>
      </c>
      <c r="AE394" s="26" t="str">
        <f>IFERROR(INDEX($AM$11:$AM$4010,MATCH(384,$AZ$11:$AZ$4010,0)),"")</f>
        <v/>
      </c>
      <c r="AF394" s="25" t="str">
        <f>IF(AE394="","",IFERROR(INDEX($AN$11:$AN$4010,MATCH(384,$AZ$11:$AZ$4010,0)),""))</f>
        <v/>
      </c>
      <c r="AG394" s="25" t="str">
        <f>IF(AE394="","",IFERROR(INDEX($AO$11:$AO$4010,MATCH(384,$AZ$11:$AZ$4010,0)),""))</f>
        <v/>
      </c>
      <c r="AH394" s="24" t="str">
        <f>IF(AE394="","",IFERROR(INDEX($AQ$11:$AQ$4010,MATCH(384,$AZ$11:$AZ$4010,0)),""))</f>
        <v/>
      </c>
      <c r="AI394" s="29" t="str">
        <f>IF(AE394="","",IFERROR(INDEX($AR$11:$AR$4010,MATCH(384,$AZ$11:$AZ$4010,0)),""))</f>
        <v/>
      </c>
      <c r="AJ394" s="29" t="str">
        <f>IF(AE394="","",IFERROR(INDEX($AT$11:$AT$4010,MATCH(384,$AZ$11:$AZ$4010,0)),""))</f>
        <v/>
      </c>
      <c r="AL394" s="31" t="str">
        <f t="shared" si="73"/>
        <v/>
      </c>
      <c r="AM394" s="26" t="str">
        <f t="shared" si="74"/>
        <v/>
      </c>
      <c r="AN394" s="32" t="str">
        <f t="shared" si="75"/>
        <v/>
      </c>
      <c r="AO394" s="32" t="str">
        <f t="shared" si="76"/>
        <v/>
      </c>
      <c r="AP394" s="24" t="str">
        <f t="shared" si="77"/>
        <v/>
      </c>
      <c r="AQ394" s="24" t="str">
        <f t="shared" si="78"/>
        <v/>
      </c>
      <c r="AR394" s="33" t="str">
        <f t="shared" si="79"/>
        <v/>
      </c>
      <c r="AS394" s="34"/>
      <c r="AT394" s="33"/>
      <c r="AV394" s="21">
        <f>IF(AND($AL394&lt;&gt;"",COUNTIF($AL$11:$AL394,$AL394)=1),1,0)</f>
        <v>0</v>
      </c>
      <c r="AW394" s="21">
        <f t="shared" si="81"/>
        <v>0</v>
      </c>
      <c r="AX394" s="21" t="str">
        <f t="shared" si="80"/>
        <v/>
      </c>
      <c r="AY394" s="21" t="str">
        <f>IF(AND($AM394&lt;&gt;"",$AS394&lt;&gt;"✓"),SUMPRODUCT(($AM$11:$AM394&lt;&gt;"")*($AS$11:$AS394&lt;&gt;"✓")),"")</f>
        <v/>
      </c>
      <c r="AZ394" s="21" t="str">
        <f>IF(AND($AM394&lt;&gt;"",$AS394="✓"),SUMPRODUCT(($AM$11:$AM394&lt;&gt;"")*($AS$11:$AS394="✓")),"")</f>
        <v/>
      </c>
      <c r="BA394" s="21" t="str">
        <f>IF($AL394="","",$AL394&amp;"|"&amp;COUNTIF($AL$11:$AL394,$AL394))</f>
        <v/>
      </c>
    </row>
    <row r="395" spans="2:53" ht="15" customHeight="1" x14ac:dyDescent="0.25">
      <c r="B395" s="5" t="str">
        <f t="shared" ref="B395:B458" si="82">IF($C395="","",ROW()-10)</f>
        <v/>
      </c>
      <c r="C395" s="5"/>
      <c r="D395" s="5"/>
      <c r="E395" s="5"/>
      <c r="F395" s="6"/>
      <c r="G395" s="6"/>
      <c r="H395" s="7"/>
      <c r="I395" s="8"/>
      <c r="W395" s="14" t="str">
        <f>IF(X395="","",IFERROR(INDEX($AL$11:$AL$4010,MATCH(385,$AY$11:$AY$4010,0)),""))</f>
        <v/>
      </c>
      <c r="X395" s="12" t="str">
        <f>IFERROR(INDEX($AM$11:$AM$4010,MATCH(385,$AY$11:$AY$4010,0)),"")</f>
        <v/>
      </c>
      <c r="Y395" s="11" t="str">
        <f>IF(X395="","",IFERROR(INDEX($AN$11:$AN$4010,MATCH(385,$AY$11:$AY$4010,0)),""))</f>
        <v/>
      </c>
      <c r="Z395" s="11" t="str">
        <f>IF(X395="","",IFERROR(INDEX($AO$11:$AO$4010,MATCH(385,$AY$11:$AY$4010,0)),""))</f>
        <v/>
      </c>
      <c r="AA395" s="10" t="str">
        <f>IF(X395="","",IFERROR(INDEX($AQ$11:$AQ$4010,MATCH(385,$AY$11:$AY$4010,0)),""))</f>
        <v/>
      </c>
      <c r="AB395" s="15" t="str">
        <f>IF(X395="","",IFERROR(INDEX($AR$11:$AR$4010,MATCH(385,$AY$11:$AY$4010,0)),""))</f>
        <v/>
      </c>
      <c r="AD395" s="16" t="str">
        <f>IF(AE395="","",IFERROR(INDEX($AL$11:$AL$4010,MATCH(385,$AZ$11:$AZ$4010,0)),""))</f>
        <v/>
      </c>
      <c r="AE395" s="12" t="str">
        <f>IFERROR(INDEX($AM$11:$AM$4010,MATCH(385,$AZ$11:$AZ$4010,0)),"")</f>
        <v/>
      </c>
      <c r="AF395" s="11" t="str">
        <f>IF(AE395="","",IFERROR(INDEX($AN$11:$AN$4010,MATCH(385,$AZ$11:$AZ$4010,0)),""))</f>
        <v/>
      </c>
      <c r="AG395" s="11" t="str">
        <f>IF(AE395="","",IFERROR(INDEX($AO$11:$AO$4010,MATCH(385,$AZ$11:$AZ$4010,0)),""))</f>
        <v/>
      </c>
      <c r="AH395" s="10" t="str">
        <f>IF(AE395="","",IFERROR(INDEX($AQ$11:$AQ$4010,MATCH(385,$AZ$11:$AZ$4010,0)),""))</f>
        <v/>
      </c>
      <c r="AI395" s="15" t="str">
        <f>IF(AE395="","",IFERROR(INDEX($AR$11:$AR$4010,MATCH(385,$AZ$11:$AZ$4010,0)),""))</f>
        <v/>
      </c>
      <c r="AJ395" s="15" t="str">
        <f>IF(AE395="","",IFERROR(INDEX($AT$11:$AT$4010,MATCH(385,$AZ$11:$AZ$4010,0)),""))</f>
        <v/>
      </c>
      <c r="AL395" s="17" t="str">
        <f t="shared" ref="AL395:AL458" si="83">IF($C395="","",$I395)</f>
        <v/>
      </c>
      <c r="AM395" s="12" t="str">
        <f t="shared" ref="AM395:AM458" si="84">IF($C395="","",$C395)</f>
        <v/>
      </c>
      <c r="AN395" s="18" t="str">
        <f t="shared" ref="AN395:AN458" si="85">IF($C395="","",$F395)</f>
        <v/>
      </c>
      <c r="AO395" s="18" t="str">
        <f t="shared" ref="AO395:AO458" si="86">IF($C395="","",$G395)</f>
        <v/>
      </c>
      <c r="AP395" s="10" t="str">
        <f t="shared" ref="AP395:AP458" si="87">IF($C395="","",$D395)</f>
        <v/>
      </c>
      <c r="AQ395" s="10" t="str">
        <f t="shared" ref="AQ395:AQ458" si="88">IF($C395="","",$E395)</f>
        <v/>
      </c>
      <c r="AR395" s="19" t="str">
        <f t="shared" ref="AR395:AR458" si="89">IF($C395="","",$H395)</f>
        <v/>
      </c>
      <c r="AS395" s="20"/>
      <c r="AT395" s="19"/>
      <c r="AV395" s="21">
        <f>IF(AND($AL395&lt;&gt;"",COUNTIF($AL$11:$AL395,$AL395)=1),1,0)</f>
        <v>0</v>
      </c>
      <c r="AW395" s="21">
        <f t="shared" si="81"/>
        <v>0</v>
      </c>
      <c r="AX395" s="21" t="str">
        <f t="shared" ref="AX395:AX458" si="90">IF(AV395=1,AW395,"")</f>
        <v/>
      </c>
      <c r="AY395" s="21" t="str">
        <f>IF(AND($AM395&lt;&gt;"",$AS395&lt;&gt;"✓"),SUMPRODUCT(($AM$11:$AM395&lt;&gt;"")*($AS$11:$AS395&lt;&gt;"✓")),"")</f>
        <v/>
      </c>
      <c r="AZ395" s="21" t="str">
        <f>IF(AND($AM395&lt;&gt;"",$AS395="✓"),SUMPRODUCT(($AM$11:$AM395&lt;&gt;"")*($AS$11:$AS395="✓")),"")</f>
        <v/>
      </c>
      <c r="BA395" s="21" t="str">
        <f>IF($AL395="","",$AL395&amp;"|"&amp;COUNTIF($AL$11:$AL395,$AL395))</f>
        <v/>
      </c>
    </row>
    <row r="396" spans="2:53" ht="15" customHeight="1" x14ac:dyDescent="0.25">
      <c r="B396" s="5" t="str">
        <f t="shared" si="82"/>
        <v/>
      </c>
      <c r="C396" s="5"/>
      <c r="D396" s="5"/>
      <c r="E396" s="5"/>
      <c r="F396" s="6"/>
      <c r="G396" s="6"/>
      <c r="H396" s="7"/>
      <c r="I396" s="8"/>
      <c r="W396" s="28" t="str">
        <f>IF(X396="","",IFERROR(INDEX($AL$11:$AL$4010,MATCH(386,$AY$11:$AY$4010,0)),""))</f>
        <v/>
      </c>
      <c r="X396" s="26" t="str">
        <f>IFERROR(INDEX($AM$11:$AM$4010,MATCH(386,$AY$11:$AY$4010,0)),"")</f>
        <v/>
      </c>
      <c r="Y396" s="25" t="str">
        <f>IF(X396="","",IFERROR(INDEX($AN$11:$AN$4010,MATCH(386,$AY$11:$AY$4010,0)),""))</f>
        <v/>
      </c>
      <c r="Z396" s="25" t="str">
        <f>IF(X396="","",IFERROR(INDEX($AO$11:$AO$4010,MATCH(386,$AY$11:$AY$4010,0)),""))</f>
        <v/>
      </c>
      <c r="AA396" s="24" t="str">
        <f>IF(X396="","",IFERROR(INDEX($AQ$11:$AQ$4010,MATCH(386,$AY$11:$AY$4010,0)),""))</f>
        <v/>
      </c>
      <c r="AB396" s="29" t="str">
        <f>IF(X396="","",IFERROR(INDEX($AR$11:$AR$4010,MATCH(386,$AY$11:$AY$4010,0)),""))</f>
        <v/>
      </c>
      <c r="AD396" s="30" t="str">
        <f>IF(AE396="","",IFERROR(INDEX($AL$11:$AL$4010,MATCH(386,$AZ$11:$AZ$4010,0)),""))</f>
        <v/>
      </c>
      <c r="AE396" s="26" t="str">
        <f>IFERROR(INDEX($AM$11:$AM$4010,MATCH(386,$AZ$11:$AZ$4010,0)),"")</f>
        <v/>
      </c>
      <c r="AF396" s="25" t="str">
        <f>IF(AE396="","",IFERROR(INDEX($AN$11:$AN$4010,MATCH(386,$AZ$11:$AZ$4010,0)),""))</f>
        <v/>
      </c>
      <c r="AG396" s="25" t="str">
        <f>IF(AE396="","",IFERROR(INDEX($AO$11:$AO$4010,MATCH(386,$AZ$11:$AZ$4010,0)),""))</f>
        <v/>
      </c>
      <c r="AH396" s="24" t="str">
        <f>IF(AE396="","",IFERROR(INDEX($AQ$11:$AQ$4010,MATCH(386,$AZ$11:$AZ$4010,0)),""))</f>
        <v/>
      </c>
      <c r="AI396" s="29" t="str">
        <f>IF(AE396="","",IFERROR(INDEX($AR$11:$AR$4010,MATCH(386,$AZ$11:$AZ$4010,0)),""))</f>
        <v/>
      </c>
      <c r="AJ396" s="29" t="str">
        <f>IF(AE396="","",IFERROR(INDEX($AT$11:$AT$4010,MATCH(386,$AZ$11:$AZ$4010,0)),""))</f>
        <v/>
      </c>
      <c r="AL396" s="31" t="str">
        <f t="shared" si="83"/>
        <v/>
      </c>
      <c r="AM396" s="26" t="str">
        <f t="shared" si="84"/>
        <v/>
      </c>
      <c r="AN396" s="32" t="str">
        <f t="shared" si="85"/>
        <v/>
      </c>
      <c r="AO396" s="32" t="str">
        <f t="shared" si="86"/>
        <v/>
      </c>
      <c r="AP396" s="24" t="str">
        <f t="shared" si="87"/>
        <v/>
      </c>
      <c r="AQ396" s="24" t="str">
        <f t="shared" si="88"/>
        <v/>
      </c>
      <c r="AR396" s="33" t="str">
        <f t="shared" si="89"/>
        <v/>
      </c>
      <c r="AS396" s="34"/>
      <c r="AT396" s="33"/>
      <c r="AV396" s="21">
        <f>IF(AND($AL396&lt;&gt;"",COUNTIF($AL$11:$AL396,$AL396)=1),1,0)</f>
        <v>0</v>
      </c>
      <c r="AW396" s="21">
        <f t="shared" ref="AW396:AW459" si="91">AW395+AV396</f>
        <v>0</v>
      </c>
      <c r="AX396" s="21" t="str">
        <f t="shared" si="90"/>
        <v/>
      </c>
      <c r="AY396" s="21" t="str">
        <f>IF(AND($AM396&lt;&gt;"",$AS396&lt;&gt;"✓"),SUMPRODUCT(($AM$11:$AM396&lt;&gt;"")*($AS$11:$AS396&lt;&gt;"✓")),"")</f>
        <v/>
      </c>
      <c r="AZ396" s="21" t="str">
        <f>IF(AND($AM396&lt;&gt;"",$AS396="✓"),SUMPRODUCT(($AM$11:$AM396&lt;&gt;"")*($AS$11:$AS396="✓")),"")</f>
        <v/>
      </c>
      <c r="BA396" s="21" t="str">
        <f>IF($AL396="","",$AL396&amp;"|"&amp;COUNTIF($AL$11:$AL396,$AL396))</f>
        <v/>
      </c>
    </row>
    <row r="397" spans="2:53" ht="15" customHeight="1" x14ac:dyDescent="0.25">
      <c r="B397" s="5" t="str">
        <f t="shared" si="82"/>
        <v/>
      </c>
      <c r="C397" s="5"/>
      <c r="D397" s="5"/>
      <c r="E397" s="5"/>
      <c r="F397" s="6"/>
      <c r="G397" s="6"/>
      <c r="H397" s="7"/>
      <c r="I397" s="8"/>
      <c r="W397" s="14" t="str">
        <f>IF(X397="","",IFERROR(INDEX($AL$11:$AL$4010,MATCH(387,$AY$11:$AY$4010,0)),""))</f>
        <v/>
      </c>
      <c r="X397" s="12" t="str">
        <f>IFERROR(INDEX($AM$11:$AM$4010,MATCH(387,$AY$11:$AY$4010,0)),"")</f>
        <v/>
      </c>
      <c r="Y397" s="11" t="str">
        <f>IF(X397="","",IFERROR(INDEX($AN$11:$AN$4010,MATCH(387,$AY$11:$AY$4010,0)),""))</f>
        <v/>
      </c>
      <c r="Z397" s="11" t="str">
        <f>IF(X397="","",IFERROR(INDEX($AO$11:$AO$4010,MATCH(387,$AY$11:$AY$4010,0)),""))</f>
        <v/>
      </c>
      <c r="AA397" s="10" t="str">
        <f>IF(X397="","",IFERROR(INDEX($AQ$11:$AQ$4010,MATCH(387,$AY$11:$AY$4010,0)),""))</f>
        <v/>
      </c>
      <c r="AB397" s="15" t="str">
        <f>IF(X397="","",IFERROR(INDEX($AR$11:$AR$4010,MATCH(387,$AY$11:$AY$4010,0)),""))</f>
        <v/>
      </c>
      <c r="AD397" s="16" t="str">
        <f>IF(AE397="","",IFERROR(INDEX($AL$11:$AL$4010,MATCH(387,$AZ$11:$AZ$4010,0)),""))</f>
        <v/>
      </c>
      <c r="AE397" s="12" t="str">
        <f>IFERROR(INDEX($AM$11:$AM$4010,MATCH(387,$AZ$11:$AZ$4010,0)),"")</f>
        <v/>
      </c>
      <c r="AF397" s="11" t="str">
        <f>IF(AE397="","",IFERROR(INDEX($AN$11:$AN$4010,MATCH(387,$AZ$11:$AZ$4010,0)),""))</f>
        <v/>
      </c>
      <c r="AG397" s="11" t="str">
        <f>IF(AE397="","",IFERROR(INDEX($AO$11:$AO$4010,MATCH(387,$AZ$11:$AZ$4010,0)),""))</f>
        <v/>
      </c>
      <c r="AH397" s="10" t="str">
        <f>IF(AE397="","",IFERROR(INDEX($AQ$11:$AQ$4010,MATCH(387,$AZ$11:$AZ$4010,0)),""))</f>
        <v/>
      </c>
      <c r="AI397" s="15" t="str">
        <f>IF(AE397="","",IFERROR(INDEX($AR$11:$AR$4010,MATCH(387,$AZ$11:$AZ$4010,0)),""))</f>
        <v/>
      </c>
      <c r="AJ397" s="15" t="str">
        <f>IF(AE397="","",IFERROR(INDEX($AT$11:$AT$4010,MATCH(387,$AZ$11:$AZ$4010,0)),""))</f>
        <v/>
      </c>
      <c r="AL397" s="17" t="str">
        <f t="shared" si="83"/>
        <v/>
      </c>
      <c r="AM397" s="12" t="str">
        <f t="shared" si="84"/>
        <v/>
      </c>
      <c r="AN397" s="18" t="str">
        <f t="shared" si="85"/>
        <v/>
      </c>
      <c r="AO397" s="18" t="str">
        <f t="shared" si="86"/>
        <v/>
      </c>
      <c r="AP397" s="10" t="str">
        <f t="shared" si="87"/>
        <v/>
      </c>
      <c r="AQ397" s="10" t="str">
        <f t="shared" si="88"/>
        <v/>
      </c>
      <c r="AR397" s="19" t="str">
        <f t="shared" si="89"/>
        <v/>
      </c>
      <c r="AS397" s="20"/>
      <c r="AT397" s="19"/>
      <c r="AV397" s="21">
        <f>IF(AND($AL397&lt;&gt;"",COUNTIF($AL$11:$AL397,$AL397)=1),1,0)</f>
        <v>0</v>
      </c>
      <c r="AW397" s="21">
        <f t="shared" si="91"/>
        <v>0</v>
      </c>
      <c r="AX397" s="21" t="str">
        <f t="shared" si="90"/>
        <v/>
      </c>
      <c r="AY397" s="21" t="str">
        <f>IF(AND($AM397&lt;&gt;"",$AS397&lt;&gt;"✓"),SUMPRODUCT(($AM$11:$AM397&lt;&gt;"")*($AS$11:$AS397&lt;&gt;"✓")),"")</f>
        <v/>
      </c>
      <c r="AZ397" s="21" t="str">
        <f>IF(AND($AM397&lt;&gt;"",$AS397="✓"),SUMPRODUCT(($AM$11:$AM397&lt;&gt;"")*($AS$11:$AS397="✓")),"")</f>
        <v/>
      </c>
      <c r="BA397" s="21" t="str">
        <f>IF($AL397="","",$AL397&amp;"|"&amp;COUNTIF($AL$11:$AL397,$AL397))</f>
        <v/>
      </c>
    </row>
    <row r="398" spans="2:53" ht="15" customHeight="1" x14ac:dyDescent="0.25">
      <c r="B398" s="5" t="str">
        <f t="shared" si="82"/>
        <v/>
      </c>
      <c r="C398" s="5"/>
      <c r="D398" s="5"/>
      <c r="E398" s="5"/>
      <c r="F398" s="6"/>
      <c r="G398" s="6"/>
      <c r="H398" s="7"/>
      <c r="I398" s="8"/>
      <c r="W398" s="28" t="str">
        <f>IF(X398="","",IFERROR(INDEX($AL$11:$AL$4010,MATCH(388,$AY$11:$AY$4010,0)),""))</f>
        <v/>
      </c>
      <c r="X398" s="26" t="str">
        <f>IFERROR(INDEX($AM$11:$AM$4010,MATCH(388,$AY$11:$AY$4010,0)),"")</f>
        <v/>
      </c>
      <c r="Y398" s="25" t="str">
        <f>IF(X398="","",IFERROR(INDEX($AN$11:$AN$4010,MATCH(388,$AY$11:$AY$4010,0)),""))</f>
        <v/>
      </c>
      <c r="Z398" s="25" t="str">
        <f>IF(X398="","",IFERROR(INDEX($AO$11:$AO$4010,MATCH(388,$AY$11:$AY$4010,0)),""))</f>
        <v/>
      </c>
      <c r="AA398" s="24" t="str">
        <f>IF(X398="","",IFERROR(INDEX($AQ$11:$AQ$4010,MATCH(388,$AY$11:$AY$4010,0)),""))</f>
        <v/>
      </c>
      <c r="AB398" s="29" t="str">
        <f>IF(X398="","",IFERROR(INDEX($AR$11:$AR$4010,MATCH(388,$AY$11:$AY$4010,0)),""))</f>
        <v/>
      </c>
      <c r="AD398" s="30" t="str">
        <f>IF(AE398="","",IFERROR(INDEX($AL$11:$AL$4010,MATCH(388,$AZ$11:$AZ$4010,0)),""))</f>
        <v/>
      </c>
      <c r="AE398" s="26" t="str">
        <f>IFERROR(INDEX($AM$11:$AM$4010,MATCH(388,$AZ$11:$AZ$4010,0)),"")</f>
        <v/>
      </c>
      <c r="AF398" s="25" t="str">
        <f>IF(AE398="","",IFERROR(INDEX($AN$11:$AN$4010,MATCH(388,$AZ$11:$AZ$4010,0)),""))</f>
        <v/>
      </c>
      <c r="AG398" s="25" t="str">
        <f>IF(AE398="","",IFERROR(INDEX($AO$11:$AO$4010,MATCH(388,$AZ$11:$AZ$4010,0)),""))</f>
        <v/>
      </c>
      <c r="AH398" s="24" t="str">
        <f>IF(AE398="","",IFERROR(INDEX($AQ$11:$AQ$4010,MATCH(388,$AZ$11:$AZ$4010,0)),""))</f>
        <v/>
      </c>
      <c r="AI398" s="29" t="str">
        <f>IF(AE398="","",IFERROR(INDEX($AR$11:$AR$4010,MATCH(388,$AZ$11:$AZ$4010,0)),""))</f>
        <v/>
      </c>
      <c r="AJ398" s="29" t="str">
        <f>IF(AE398="","",IFERROR(INDEX($AT$11:$AT$4010,MATCH(388,$AZ$11:$AZ$4010,0)),""))</f>
        <v/>
      </c>
      <c r="AL398" s="31" t="str">
        <f t="shared" si="83"/>
        <v/>
      </c>
      <c r="AM398" s="26" t="str">
        <f t="shared" si="84"/>
        <v/>
      </c>
      <c r="AN398" s="32" t="str">
        <f t="shared" si="85"/>
        <v/>
      </c>
      <c r="AO398" s="32" t="str">
        <f t="shared" si="86"/>
        <v/>
      </c>
      <c r="AP398" s="24" t="str">
        <f t="shared" si="87"/>
        <v/>
      </c>
      <c r="AQ398" s="24" t="str">
        <f t="shared" si="88"/>
        <v/>
      </c>
      <c r="AR398" s="33" t="str">
        <f t="shared" si="89"/>
        <v/>
      </c>
      <c r="AS398" s="34"/>
      <c r="AT398" s="33"/>
      <c r="AV398" s="21">
        <f>IF(AND($AL398&lt;&gt;"",COUNTIF($AL$11:$AL398,$AL398)=1),1,0)</f>
        <v>0</v>
      </c>
      <c r="AW398" s="21">
        <f t="shared" si="91"/>
        <v>0</v>
      </c>
      <c r="AX398" s="21" t="str">
        <f t="shared" si="90"/>
        <v/>
      </c>
      <c r="AY398" s="21" t="str">
        <f>IF(AND($AM398&lt;&gt;"",$AS398&lt;&gt;"✓"),SUMPRODUCT(($AM$11:$AM398&lt;&gt;"")*($AS$11:$AS398&lt;&gt;"✓")),"")</f>
        <v/>
      </c>
      <c r="AZ398" s="21" t="str">
        <f>IF(AND($AM398&lt;&gt;"",$AS398="✓"),SUMPRODUCT(($AM$11:$AM398&lt;&gt;"")*($AS$11:$AS398="✓")),"")</f>
        <v/>
      </c>
      <c r="BA398" s="21" t="str">
        <f>IF($AL398="","",$AL398&amp;"|"&amp;COUNTIF($AL$11:$AL398,$AL398))</f>
        <v/>
      </c>
    </row>
    <row r="399" spans="2:53" ht="15" customHeight="1" x14ac:dyDescent="0.25">
      <c r="B399" s="5" t="str">
        <f t="shared" si="82"/>
        <v/>
      </c>
      <c r="C399" s="5"/>
      <c r="D399" s="5"/>
      <c r="E399" s="5"/>
      <c r="F399" s="6"/>
      <c r="G399" s="6"/>
      <c r="H399" s="7"/>
      <c r="I399" s="8"/>
      <c r="W399" s="14" t="str">
        <f>IF(X399="","",IFERROR(INDEX($AL$11:$AL$4010,MATCH(389,$AY$11:$AY$4010,0)),""))</f>
        <v/>
      </c>
      <c r="X399" s="12" t="str">
        <f>IFERROR(INDEX($AM$11:$AM$4010,MATCH(389,$AY$11:$AY$4010,0)),"")</f>
        <v/>
      </c>
      <c r="Y399" s="11" t="str">
        <f>IF(X399="","",IFERROR(INDEX($AN$11:$AN$4010,MATCH(389,$AY$11:$AY$4010,0)),""))</f>
        <v/>
      </c>
      <c r="Z399" s="11" t="str">
        <f>IF(X399="","",IFERROR(INDEX($AO$11:$AO$4010,MATCH(389,$AY$11:$AY$4010,0)),""))</f>
        <v/>
      </c>
      <c r="AA399" s="10" t="str">
        <f>IF(X399="","",IFERROR(INDEX($AQ$11:$AQ$4010,MATCH(389,$AY$11:$AY$4010,0)),""))</f>
        <v/>
      </c>
      <c r="AB399" s="15" t="str">
        <f>IF(X399="","",IFERROR(INDEX($AR$11:$AR$4010,MATCH(389,$AY$11:$AY$4010,0)),""))</f>
        <v/>
      </c>
      <c r="AD399" s="16" t="str">
        <f>IF(AE399="","",IFERROR(INDEX($AL$11:$AL$4010,MATCH(389,$AZ$11:$AZ$4010,0)),""))</f>
        <v/>
      </c>
      <c r="AE399" s="12" t="str">
        <f>IFERROR(INDEX($AM$11:$AM$4010,MATCH(389,$AZ$11:$AZ$4010,0)),"")</f>
        <v/>
      </c>
      <c r="AF399" s="11" t="str">
        <f>IF(AE399="","",IFERROR(INDEX($AN$11:$AN$4010,MATCH(389,$AZ$11:$AZ$4010,0)),""))</f>
        <v/>
      </c>
      <c r="AG399" s="11" t="str">
        <f>IF(AE399="","",IFERROR(INDEX($AO$11:$AO$4010,MATCH(389,$AZ$11:$AZ$4010,0)),""))</f>
        <v/>
      </c>
      <c r="AH399" s="10" t="str">
        <f>IF(AE399="","",IFERROR(INDEX($AQ$11:$AQ$4010,MATCH(389,$AZ$11:$AZ$4010,0)),""))</f>
        <v/>
      </c>
      <c r="AI399" s="15" t="str">
        <f>IF(AE399="","",IFERROR(INDEX($AR$11:$AR$4010,MATCH(389,$AZ$11:$AZ$4010,0)),""))</f>
        <v/>
      </c>
      <c r="AJ399" s="15" t="str">
        <f>IF(AE399="","",IFERROR(INDEX($AT$11:$AT$4010,MATCH(389,$AZ$11:$AZ$4010,0)),""))</f>
        <v/>
      </c>
      <c r="AL399" s="17" t="str">
        <f t="shared" si="83"/>
        <v/>
      </c>
      <c r="AM399" s="12" t="str">
        <f t="shared" si="84"/>
        <v/>
      </c>
      <c r="AN399" s="18" t="str">
        <f t="shared" si="85"/>
        <v/>
      </c>
      <c r="AO399" s="18" t="str">
        <f t="shared" si="86"/>
        <v/>
      </c>
      <c r="AP399" s="10" t="str">
        <f t="shared" si="87"/>
        <v/>
      </c>
      <c r="AQ399" s="10" t="str">
        <f t="shared" si="88"/>
        <v/>
      </c>
      <c r="AR399" s="19" t="str">
        <f t="shared" si="89"/>
        <v/>
      </c>
      <c r="AS399" s="20"/>
      <c r="AT399" s="19"/>
      <c r="AV399" s="21">
        <f>IF(AND($AL399&lt;&gt;"",COUNTIF($AL$11:$AL399,$AL399)=1),1,0)</f>
        <v>0</v>
      </c>
      <c r="AW399" s="21">
        <f t="shared" si="91"/>
        <v>0</v>
      </c>
      <c r="AX399" s="21" t="str">
        <f t="shared" si="90"/>
        <v/>
      </c>
      <c r="AY399" s="21" t="str">
        <f>IF(AND($AM399&lt;&gt;"",$AS399&lt;&gt;"✓"),SUMPRODUCT(($AM$11:$AM399&lt;&gt;"")*($AS$11:$AS399&lt;&gt;"✓")),"")</f>
        <v/>
      </c>
      <c r="AZ399" s="21" t="str">
        <f>IF(AND($AM399&lt;&gt;"",$AS399="✓"),SUMPRODUCT(($AM$11:$AM399&lt;&gt;"")*($AS$11:$AS399="✓")),"")</f>
        <v/>
      </c>
      <c r="BA399" s="21" t="str">
        <f>IF($AL399="","",$AL399&amp;"|"&amp;COUNTIF($AL$11:$AL399,$AL399))</f>
        <v/>
      </c>
    </row>
    <row r="400" spans="2:53" ht="15" customHeight="1" x14ac:dyDescent="0.25">
      <c r="B400" s="5" t="str">
        <f t="shared" si="82"/>
        <v/>
      </c>
      <c r="C400" s="5"/>
      <c r="D400" s="5"/>
      <c r="E400" s="5"/>
      <c r="F400" s="6"/>
      <c r="G400" s="6"/>
      <c r="H400" s="7"/>
      <c r="I400" s="8"/>
      <c r="W400" s="28" t="str">
        <f>IF(X400="","",IFERROR(INDEX($AL$11:$AL$4010,MATCH(390,$AY$11:$AY$4010,0)),""))</f>
        <v/>
      </c>
      <c r="X400" s="26" t="str">
        <f>IFERROR(INDEX($AM$11:$AM$4010,MATCH(390,$AY$11:$AY$4010,0)),"")</f>
        <v/>
      </c>
      <c r="Y400" s="25" t="str">
        <f>IF(X400="","",IFERROR(INDEX($AN$11:$AN$4010,MATCH(390,$AY$11:$AY$4010,0)),""))</f>
        <v/>
      </c>
      <c r="Z400" s="25" t="str">
        <f>IF(X400="","",IFERROR(INDEX($AO$11:$AO$4010,MATCH(390,$AY$11:$AY$4010,0)),""))</f>
        <v/>
      </c>
      <c r="AA400" s="24" t="str">
        <f>IF(X400="","",IFERROR(INDEX($AQ$11:$AQ$4010,MATCH(390,$AY$11:$AY$4010,0)),""))</f>
        <v/>
      </c>
      <c r="AB400" s="29" t="str">
        <f>IF(X400="","",IFERROR(INDEX($AR$11:$AR$4010,MATCH(390,$AY$11:$AY$4010,0)),""))</f>
        <v/>
      </c>
      <c r="AD400" s="30" t="str">
        <f>IF(AE400="","",IFERROR(INDEX($AL$11:$AL$4010,MATCH(390,$AZ$11:$AZ$4010,0)),""))</f>
        <v/>
      </c>
      <c r="AE400" s="26" t="str">
        <f>IFERROR(INDEX($AM$11:$AM$4010,MATCH(390,$AZ$11:$AZ$4010,0)),"")</f>
        <v/>
      </c>
      <c r="AF400" s="25" t="str">
        <f>IF(AE400="","",IFERROR(INDEX($AN$11:$AN$4010,MATCH(390,$AZ$11:$AZ$4010,0)),""))</f>
        <v/>
      </c>
      <c r="AG400" s="25" t="str">
        <f>IF(AE400="","",IFERROR(INDEX($AO$11:$AO$4010,MATCH(390,$AZ$11:$AZ$4010,0)),""))</f>
        <v/>
      </c>
      <c r="AH400" s="24" t="str">
        <f>IF(AE400="","",IFERROR(INDEX($AQ$11:$AQ$4010,MATCH(390,$AZ$11:$AZ$4010,0)),""))</f>
        <v/>
      </c>
      <c r="AI400" s="29" t="str">
        <f>IF(AE400="","",IFERROR(INDEX($AR$11:$AR$4010,MATCH(390,$AZ$11:$AZ$4010,0)),""))</f>
        <v/>
      </c>
      <c r="AJ400" s="29" t="str">
        <f>IF(AE400="","",IFERROR(INDEX($AT$11:$AT$4010,MATCH(390,$AZ$11:$AZ$4010,0)),""))</f>
        <v/>
      </c>
      <c r="AL400" s="31" t="str">
        <f t="shared" si="83"/>
        <v/>
      </c>
      <c r="AM400" s="26" t="str">
        <f t="shared" si="84"/>
        <v/>
      </c>
      <c r="AN400" s="32" t="str">
        <f t="shared" si="85"/>
        <v/>
      </c>
      <c r="AO400" s="32" t="str">
        <f t="shared" si="86"/>
        <v/>
      </c>
      <c r="AP400" s="24" t="str">
        <f t="shared" si="87"/>
        <v/>
      </c>
      <c r="AQ400" s="24" t="str">
        <f t="shared" si="88"/>
        <v/>
      </c>
      <c r="AR400" s="33" t="str">
        <f t="shared" si="89"/>
        <v/>
      </c>
      <c r="AS400" s="34"/>
      <c r="AT400" s="33"/>
      <c r="AV400" s="21">
        <f>IF(AND($AL400&lt;&gt;"",COUNTIF($AL$11:$AL400,$AL400)=1),1,0)</f>
        <v>0</v>
      </c>
      <c r="AW400" s="21">
        <f t="shared" si="91"/>
        <v>0</v>
      </c>
      <c r="AX400" s="21" t="str">
        <f t="shared" si="90"/>
        <v/>
      </c>
      <c r="AY400" s="21" t="str">
        <f>IF(AND($AM400&lt;&gt;"",$AS400&lt;&gt;"✓"),SUMPRODUCT(($AM$11:$AM400&lt;&gt;"")*($AS$11:$AS400&lt;&gt;"✓")),"")</f>
        <v/>
      </c>
      <c r="AZ400" s="21" t="str">
        <f>IF(AND($AM400&lt;&gt;"",$AS400="✓"),SUMPRODUCT(($AM$11:$AM400&lt;&gt;"")*($AS$11:$AS400="✓")),"")</f>
        <v/>
      </c>
      <c r="BA400" s="21" t="str">
        <f>IF($AL400="","",$AL400&amp;"|"&amp;COUNTIF($AL$11:$AL400,$AL400))</f>
        <v/>
      </c>
    </row>
    <row r="401" spans="2:53" ht="15" customHeight="1" x14ac:dyDescent="0.25">
      <c r="B401" s="5" t="str">
        <f t="shared" si="82"/>
        <v/>
      </c>
      <c r="C401" s="5"/>
      <c r="D401" s="5"/>
      <c r="E401" s="5"/>
      <c r="F401" s="6"/>
      <c r="G401" s="6"/>
      <c r="H401" s="7"/>
      <c r="I401" s="8"/>
      <c r="W401" s="14" t="str">
        <f>IF(X401="","",IFERROR(INDEX($AL$11:$AL$4010,MATCH(391,$AY$11:$AY$4010,0)),""))</f>
        <v/>
      </c>
      <c r="X401" s="12" t="str">
        <f>IFERROR(INDEX($AM$11:$AM$4010,MATCH(391,$AY$11:$AY$4010,0)),"")</f>
        <v/>
      </c>
      <c r="Y401" s="11" t="str">
        <f>IF(X401="","",IFERROR(INDEX($AN$11:$AN$4010,MATCH(391,$AY$11:$AY$4010,0)),""))</f>
        <v/>
      </c>
      <c r="Z401" s="11" t="str">
        <f>IF(X401="","",IFERROR(INDEX($AO$11:$AO$4010,MATCH(391,$AY$11:$AY$4010,0)),""))</f>
        <v/>
      </c>
      <c r="AA401" s="10" t="str">
        <f>IF(X401="","",IFERROR(INDEX($AQ$11:$AQ$4010,MATCH(391,$AY$11:$AY$4010,0)),""))</f>
        <v/>
      </c>
      <c r="AB401" s="15" t="str">
        <f>IF(X401="","",IFERROR(INDEX($AR$11:$AR$4010,MATCH(391,$AY$11:$AY$4010,0)),""))</f>
        <v/>
      </c>
      <c r="AD401" s="16" t="str">
        <f>IF(AE401="","",IFERROR(INDEX($AL$11:$AL$4010,MATCH(391,$AZ$11:$AZ$4010,0)),""))</f>
        <v/>
      </c>
      <c r="AE401" s="12" t="str">
        <f>IFERROR(INDEX($AM$11:$AM$4010,MATCH(391,$AZ$11:$AZ$4010,0)),"")</f>
        <v/>
      </c>
      <c r="AF401" s="11" t="str">
        <f>IF(AE401="","",IFERROR(INDEX($AN$11:$AN$4010,MATCH(391,$AZ$11:$AZ$4010,0)),""))</f>
        <v/>
      </c>
      <c r="AG401" s="11" t="str">
        <f>IF(AE401="","",IFERROR(INDEX($AO$11:$AO$4010,MATCH(391,$AZ$11:$AZ$4010,0)),""))</f>
        <v/>
      </c>
      <c r="AH401" s="10" t="str">
        <f>IF(AE401="","",IFERROR(INDEX($AQ$11:$AQ$4010,MATCH(391,$AZ$11:$AZ$4010,0)),""))</f>
        <v/>
      </c>
      <c r="AI401" s="15" t="str">
        <f>IF(AE401="","",IFERROR(INDEX($AR$11:$AR$4010,MATCH(391,$AZ$11:$AZ$4010,0)),""))</f>
        <v/>
      </c>
      <c r="AJ401" s="15" t="str">
        <f>IF(AE401="","",IFERROR(INDEX($AT$11:$AT$4010,MATCH(391,$AZ$11:$AZ$4010,0)),""))</f>
        <v/>
      </c>
      <c r="AL401" s="17" t="str">
        <f t="shared" si="83"/>
        <v/>
      </c>
      <c r="AM401" s="12" t="str">
        <f t="shared" si="84"/>
        <v/>
      </c>
      <c r="AN401" s="18" t="str">
        <f t="shared" si="85"/>
        <v/>
      </c>
      <c r="AO401" s="18" t="str">
        <f t="shared" si="86"/>
        <v/>
      </c>
      <c r="AP401" s="10" t="str">
        <f t="shared" si="87"/>
        <v/>
      </c>
      <c r="AQ401" s="10" t="str">
        <f t="shared" si="88"/>
        <v/>
      </c>
      <c r="AR401" s="19" t="str">
        <f t="shared" si="89"/>
        <v/>
      </c>
      <c r="AS401" s="20"/>
      <c r="AT401" s="19"/>
      <c r="AV401" s="21">
        <f>IF(AND($AL401&lt;&gt;"",COUNTIF($AL$11:$AL401,$AL401)=1),1,0)</f>
        <v>0</v>
      </c>
      <c r="AW401" s="21">
        <f t="shared" si="91"/>
        <v>0</v>
      </c>
      <c r="AX401" s="21" t="str">
        <f t="shared" si="90"/>
        <v/>
      </c>
      <c r="AY401" s="21" t="str">
        <f>IF(AND($AM401&lt;&gt;"",$AS401&lt;&gt;"✓"),SUMPRODUCT(($AM$11:$AM401&lt;&gt;"")*($AS$11:$AS401&lt;&gt;"✓")),"")</f>
        <v/>
      </c>
      <c r="AZ401" s="21" t="str">
        <f>IF(AND($AM401&lt;&gt;"",$AS401="✓"),SUMPRODUCT(($AM$11:$AM401&lt;&gt;"")*($AS$11:$AS401="✓")),"")</f>
        <v/>
      </c>
      <c r="BA401" s="21" t="str">
        <f>IF($AL401="","",$AL401&amp;"|"&amp;COUNTIF($AL$11:$AL401,$AL401))</f>
        <v/>
      </c>
    </row>
    <row r="402" spans="2:53" ht="15" customHeight="1" x14ac:dyDescent="0.25">
      <c r="B402" s="5" t="str">
        <f t="shared" si="82"/>
        <v/>
      </c>
      <c r="C402" s="5"/>
      <c r="D402" s="5"/>
      <c r="E402" s="5"/>
      <c r="F402" s="6"/>
      <c r="G402" s="6"/>
      <c r="H402" s="7"/>
      <c r="I402" s="8"/>
      <c r="W402" s="28" t="str">
        <f>IF(X402="","",IFERROR(INDEX($AL$11:$AL$4010,MATCH(392,$AY$11:$AY$4010,0)),""))</f>
        <v/>
      </c>
      <c r="X402" s="26" t="str">
        <f>IFERROR(INDEX($AM$11:$AM$4010,MATCH(392,$AY$11:$AY$4010,0)),"")</f>
        <v/>
      </c>
      <c r="Y402" s="25" t="str">
        <f>IF(X402="","",IFERROR(INDEX($AN$11:$AN$4010,MATCH(392,$AY$11:$AY$4010,0)),""))</f>
        <v/>
      </c>
      <c r="Z402" s="25" t="str">
        <f>IF(X402="","",IFERROR(INDEX($AO$11:$AO$4010,MATCH(392,$AY$11:$AY$4010,0)),""))</f>
        <v/>
      </c>
      <c r="AA402" s="24" t="str">
        <f>IF(X402="","",IFERROR(INDEX($AQ$11:$AQ$4010,MATCH(392,$AY$11:$AY$4010,0)),""))</f>
        <v/>
      </c>
      <c r="AB402" s="29" t="str">
        <f>IF(X402="","",IFERROR(INDEX($AR$11:$AR$4010,MATCH(392,$AY$11:$AY$4010,0)),""))</f>
        <v/>
      </c>
      <c r="AD402" s="30" t="str">
        <f>IF(AE402="","",IFERROR(INDEX($AL$11:$AL$4010,MATCH(392,$AZ$11:$AZ$4010,0)),""))</f>
        <v/>
      </c>
      <c r="AE402" s="26" t="str">
        <f>IFERROR(INDEX($AM$11:$AM$4010,MATCH(392,$AZ$11:$AZ$4010,0)),"")</f>
        <v/>
      </c>
      <c r="AF402" s="25" t="str">
        <f>IF(AE402="","",IFERROR(INDEX($AN$11:$AN$4010,MATCH(392,$AZ$11:$AZ$4010,0)),""))</f>
        <v/>
      </c>
      <c r="AG402" s="25" t="str">
        <f>IF(AE402="","",IFERROR(INDEX($AO$11:$AO$4010,MATCH(392,$AZ$11:$AZ$4010,0)),""))</f>
        <v/>
      </c>
      <c r="AH402" s="24" t="str">
        <f>IF(AE402="","",IFERROR(INDEX($AQ$11:$AQ$4010,MATCH(392,$AZ$11:$AZ$4010,0)),""))</f>
        <v/>
      </c>
      <c r="AI402" s="29" t="str">
        <f>IF(AE402="","",IFERROR(INDEX($AR$11:$AR$4010,MATCH(392,$AZ$11:$AZ$4010,0)),""))</f>
        <v/>
      </c>
      <c r="AJ402" s="29" t="str">
        <f>IF(AE402="","",IFERROR(INDEX($AT$11:$AT$4010,MATCH(392,$AZ$11:$AZ$4010,0)),""))</f>
        <v/>
      </c>
      <c r="AL402" s="31" t="str">
        <f t="shared" si="83"/>
        <v/>
      </c>
      <c r="AM402" s="26" t="str">
        <f t="shared" si="84"/>
        <v/>
      </c>
      <c r="AN402" s="32" t="str">
        <f t="shared" si="85"/>
        <v/>
      </c>
      <c r="AO402" s="32" t="str">
        <f t="shared" si="86"/>
        <v/>
      </c>
      <c r="AP402" s="24" t="str">
        <f t="shared" si="87"/>
        <v/>
      </c>
      <c r="AQ402" s="24" t="str">
        <f t="shared" si="88"/>
        <v/>
      </c>
      <c r="AR402" s="33" t="str">
        <f t="shared" si="89"/>
        <v/>
      </c>
      <c r="AS402" s="34"/>
      <c r="AT402" s="33"/>
      <c r="AV402" s="21">
        <f>IF(AND($AL402&lt;&gt;"",COUNTIF($AL$11:$AL402,$AL402)=1),1,0)</f>
        <v>0</v>
      </c>
      <c r="AW402" s="21">
        <f t="shared" si="91"/>
        <v>0</v>
      </c>
      <c r="AX402" s="21" t="str">
        <f t="shared" si="90"/>
        <v/>
      </c>
      <c r="AY402" s="21" t="str">
        <f>IF(AND($AM402&lt;&gt;"",$AS402&lt;&gt;"✓"),SUMPRODUCT(($AM$11:$AM402&lt;&gt;"")*($AS$11:$AS402&lt;&gt;"✓")),"")</f>
        <v/>
      </c>
      <c r="AZ402" s="21" t="str">
        <f>IF(AND($AM402&lt;&gt;"",$AS402="✓"),SUMPRODUCT(($AM$11:$AM402&lt;&gt;"")*($AS$11:$AS402="✓")),"")</f>
        <v/>
      </c>
      <c r="BA402" s="21" t="str">
        <f>IF($AL402="","",$AL402&amp;"|"&amp;COUNTIF($AL$11:$AL402,$AL402))</f>
        <v/>
      </c>
    </row>
    <row r="403" spans="2:53" ht="15" customHeight="1" x14ac:dyDescent="0.25">
      <c r="B403" s="5" t="str">
        <f t="shared" si="82"/>
        <v/>
      </c>
      <c r="C403" s="5"/>
      <c r="D403" s="5"/>
      <c r="E403" s="5"/>
      <c r="F403" s="6"/>
      <c r="G403" s="6"/>
      <c r="H403" s="7"/>
      <c r="I403" s="8"/>
      <c r="W403" s="14" t="str">
        <f>IF(X403="","",IFERROR(INDEX($AL$11:$AL$4010,MATCH(393,$AY$11:$AY$4010,0)),""))</f>
        <v/>
      </c>
      <c r="X403" s="12" t="str">
        <f>IFERROR(INDEX($AM$11:$AM$4010,MATCH(393,$AY$11:$AY$4010,0)),"")</f>
        <v/>
      </c>
      <c r="Y403" s="11" t="str">
        <f>IF(X403="","",IFERROR(INDEX($AN$11:$AN$4010,MATCH(393,$AY$11:$AY$4010,0)),""))</f>
        <v/>
      </c>
      <c r="Z403" s="11" t="str">
        <f>IF(X403="","",IFERROR(INDEX($AO$11:$AO$4010,MATCH(393,$AY$11:$AY$4010,0)),""))</f>
        <v/>
      </c>
      <c r="AA403" s="10" t="str">
        <f>IF(X403="","",IFERROR(INDEX($AQ$11:$AQ$4010,MATCH(393,$AY$11:$AY$4010,0)),""))</f>
        <v/>
      </c>
      <c r="AB403" s="15" t="str">
        <f>IF(X403="","",IFERROR(INDEX($AR$11:$AR$4010,MATCH(393,$AY$11:$AY$4010,0)),""))</f>
        <v/>
      </c>
      <c r="AD403" s="16" t="str">
        <f>IF(AE403="","",IFERROR(INDEX($AL$11:$AL$4010,MATCH(393,$AZ$11:$AZ$4010,0)),""))</f>
        <v/>
      </c>
      <c r="AE403" s="12" t="str">
        <f>IFERROR(INDEX($AM$11:$AM$4010,MATCH(393,$AZ$11:$AZ$4010,0)),"")</f>
        <v/>
      </c>
      <c r="AF403" s="11" t="str">
        <f>IF(AE403="","",IFERROR(INDEX($AN$11:$AN$4010,MATCH(393,$AZ$11:$AZ$4010,0)),""))</f>
        <v/>
      </c>
      <c r="AG403" s="11" t="str">
        <f>IF(AE403="","",IFERROR(INDEX($AO$11:$AO$4010,MATCH(393,$AZ$11:$AZ$4010,0)),""))</f>
        <v/>
      </c>
      <c r="AH403" s="10" t="str">
        <f>IF(AE403="","",IFERROR(INDEX($AQ$11:$AQ$4010,MATCH(393,$AZ$11:$AZ$4010,0)),""))</f>
        <v/>
      </c>
      <c r="AI403" s="15" t="str">
        <f>IF(AE403="","",IFERROR(INDEX($AR$11:$AR$4010,MATCH(393,$AZ$11:$AZ$4010,0)),""))</f>
        <v/>
      </c>
      <c r="AJ403" s="15" t="str">
        <f>IF(AE403="","",IFERROR(INDEX($AT$11:$AT$4010,MATCH(393,$AZ$11:$AZ$4010,0)),""))</f>
        <v/>
      </c>
      <c r="AL403" s="17" t="str">
        <f t="shared" si="83"/>
        <v/>
      </c>
      <c r="AM403" s="12" t="str">
        <f t="shared" si="84"/>
        <v/>
      </c>
      <c r="AN403" s="18" t="str">
        <f t="shared" si="85"/>
        <v/>
      </c>
      <c r="AO403" s="18" t="str">
        <f t="shared" si="86"/>
        <v/>
      </c>
      <c r="AP403" s="10" t="str">
        <f t="shared" si="87"/>
        <v/>
      </c>
      <c r="AQ403" s="10" t="str">
        <f t="shared" si="88"/>
        <v/>
      </c>
      <c r="AR403" s="19" t="str">
        <f t="shared" si="89"/>
        <v/>
      </c>
      <c r="AS403" s="20"/>
      <c r="AT403" s="19"/>
      <c r="AV403" s="21">
        <f>IF(AND($AL403&lt;&gt;"",COUNTIF($AL$11:$AL403,$AL403)=1),1,0)</f>
        <v>0</v>
      </c>
      <c r="AW403" s="21">
        <f t="shared" si="91"/>
        <v>0</v>
      </c>
      <c r="AX403" s="21" t="str">
        <f t="shared" si="90"/>
        <v/>
      </c>
      <c r="AY403" s="21" t="str">
        <f>IF(AND($AM403&lt;&gt;"",$AS403&lt;&gt;"✓"),SUMPRODUCT(($AM$11:$AM403&lt;&gt;"")*($AS$11:$AS403&lt;&gt;"✓")),"")</f>
        <v/>
      </c>
      <c r="AZ403" s="21" t="str">
        <f>IF(AND($AM403&lt;&gt;"",$AS403="✓"),SUMPRODUCT(($AM$11:$AM403&lt;&gt;"")*($AS$11:$AS403="✓")),"")</f>
        <v/>
      </c>
      <c r="BA403" s="21" t="str">
        <f>IF($AL403="","",$AL403&amp;"|"&amp;COUNTIF($AL$11:$AL403,$AL403))</f>
        <v/>
      </c>
    </row>
    <row r="404" spans="2:53" ht="15" customHeight="1" x14ac:dyDescent="0.25">
      <c r="B404" s="5" t="str">
        <f t="shared" si="82"/>
        <v/>
      </c>
      <c r="C404" s="5"/>
      <c r="D404" s="5"/>
      <c r="E404" s="5"/>
      <c r="F404" s="6"/>
      <c r="G404" s="6"/>
      <c r="H404" s="7"/>
      <c r="I404" s="8"/>
      <c r="W404" s="28" t="str">
        <f>IF(X404="","",IFERROR(INDEX($AL$11:$AL$4010,MATCH(394,$AY$11:$AY$4010,0)),""))</f>
        <v/>
      </c>
      <c r="X404" s="26" t="str">
        <f>IFERROR(INDEX($AM$11:$AM$4010,MATCH(394,$AY$11:$AY$4010,0)),"")</f>
        <v/>
      </c>
      <c r="Y404" s="25" t="str">
        <f>IF(X404="","",IFERROR(INDEX($AN$11:$AN$4010,MATCH(394,$AY$11:$AY$4010,0)),""))</f>
        <v/>
      </c>
      <c r="Z404" s="25" t="str">
        <f>IF(X404="","",IFERROR(INDEX($AO$11:$AO$4010,MATCH(394,$AY$11:$AY$4010,0)),""))</f>
        <v/>
      </c>
      <c r="AA404" s="24" t="str">
        <f>IF(X404="","",IFERROR(INDEX($AQ$11:$AQ$4010,MATCH(394,$AY$11:$AY$4010,0)),""))</f>
        <v/>
      </c>
      <c r="AB404" s="29" t="str">
        <f>IF(X404="","",IFERROR(INDEX($AR$11:$AR$4010,MATCH(394,$AY$11:$AY$4010,0)),""))</f>
        <v/>
      </c>
      <c r="AD404" s="30" t="str">
        <f>IF(AE404="","",IFERROR(INDEX($AL$11:$AL$4010,MATCH(394,$AZ$11:$AZ$4010,0)),""))</f>
        <v/>
      </c>
      <c r="AE404" s="26" t="str">
        <f>IFERROR(INDEX($AM$11:$AM$4010,MATCH(394,$AZ$11:$AZ$4010,0)),"")</f>
        <v/>
      </c>
      <c r="AF404" s="25" t="str">
        <f>IF(AE404="","",IFERROR(INDEX($AN$11:$AN$4010,MATCH(394,$AZ$11:$AZ$4010,0)),""))</f>
        <v/>
      </c>
      <c r="AG404" s="25" t="str">
        <f>IF(AE404="","",IFERROR(INDEX($AO$11:$AO$4010,MATCH(394,$AZ$11:$AZ$4010,0)),""))</f>
        <v/>
      </c>
      <c r="AH404" s="24" t="str">
        <f>IF(AE404="","",IFERROR(INDEX($AQ$11:$AQ$4010,MATCH(394,$AZ$11:$AZ$4010,0)),""))</f>
        <v/>
      </c>
      <c r="AI404" s="29" t="str">
        <f>IF(AE404="","",IFERROR(INDEX($AR$11:$AR$4010,MATCH(394,$AZ$11:$AZ$4010,0)),""))</f>
        <v/>
      </c>
      <c r="AJ404" s="29" t="str">
        <f>IF(AE404="","",IFERROR(INDEX($AT$11:$AT$4010,MATCH(394,$AZ$11:$AZ$4010,0)),""))</f>
        <v/>
      </c>
      <c r="AL404" s="31" t="str">
        <f t="shared" si="83"/>
        <v/>
      </c>
      <c r="AM404" s="26" t="str">
        <f t="shared" si="84"/>
        <v/>
      </c>
      <c r="AN404" s="32" t="str">
        <f t="shared" si="85"/>
        <v/>
      </c>
      <c r="AO404" s="32" t="str">
        <f t="shared" si="86"/>
        <v/>
      </c>
      <c r="AP404" s="24" t="str">
        <f t="shared" si="87"/>
        <v/>
      </c>
      <c r="AQ404" s="24" t="str">
        <f t="shared" si="88"/>
        <v/>
      </c>
      <c r="AR404" s="33" t="str">
        <f t="shared" si="89"/>
        <v/>
      </c>
      <c r="AS404" s="34"/>
      <c r="AT404" s="33"/>
      <c r="AV404" s="21">
        <f>IF(AND($AL404&lt;&gt;"",COUNTIF($AL$11:$AL404,$AL404)=1),1,0)</f>
        <v>0</v>
      </c>
      <c r="AW404" s="21">
        <f t="shared" si="91"/>
        <v>0</v>
      </c>
      <c r="AX404" s="21" t="str">
        <f t="shared" si="90"/>
        <v/>
      </c>
      <c r="AY404" s="21" t="str">
        <f>IF(AND($AM404&lt;&gt;"",$AS404&lt;&gt;"✓"),SUMPRODUCT(($AM$11:$AM404&lt;&gt;"")*($AS$11:$AS404&lt;&gt;"✓")),"")</f>
        <v/>
      </c>
      <c r="AZ404" s="21" t="str">
        <f>IF(AND($AM404&lt;&gt;"",$AS404="✓"),SUMPRODUCT(($AM$11:$AM404&lt;&gt;"")*($AS$11:$AS404="✓")),"")</f>
        <v/>
      </c>
      <c r="BA404" s="21" t="str">
        <f>IF($AL404="","",$AL404&amp;"|"&amp;COUNTIF($AL$11:$AL404,$AL404))</f>
        <v/>
      </c>
    </row>
    <row r="405" spans="2:53" ht="15" customHeight="1" x14ac:dyDescent="0.25">
      <c r="B405" s="5" t="str">
        <f t="shared" si="82"/>
        <v/>
      </c>
      <c r="C405" s="5"/>
      <c r="D405" s="5"/>
      <c r="E405" s="5"/>
      <c r="F405" s="6"/>
      <c r="G405" s="6"/>
      <c r="H405" s="7"/>
      <c r="I405" s="8"/>
      <c r="W405" s="14" t="str">
        <f>IF(X405="","",IFERROR(INDEX($AL$11:$AL$4010,MATCH(395,$AY$11:$AY$4010,0)),""))</f>
        <v/>
      </c>
      <c r="X405" s="12" t="str">
        <f>IFERROR(INDEX($AM$11:$AM$4010,MATCH(395,$AY$11:$AY$4010,0)),"")</f>
        <v/>
      </c>
      <c r="Y405" s="11" t="str">
        <f>IF(X405="","",IFERROR(INDEX($AN$11:$AN$4010,MATCH(395,$AY$11:$AY$4010,0)),""))</f>
        <v/>
      </c>
      <c r="Z405" s="11" t="str">
        <f>IF(X405="","",IFERROR(INDEX($AO$11:$AO$4010,MATCH(395,$AY$11:$AY$4010,0)),""))</f>
        <v/>
      </c>
      <c r="AA405" s="10" t="str">
        <f>IF(X405="","",IFERROR(INDEX($AQ$11:$AQ$4010,MATCH(395,$AY$11:$AY$4010,0)),""))</f>
        <v/>
      </c>
      <c r="AB405" s="15" t="str">
        <f>IF(X405="","",IFERROR(INDEX($AR$11:$AR$4010,MATCH(395,$AY$11:$AY$4010,0)),""))</f>
        <v/>
      </c>
      <c r="AD405" s="16" t="str">
        <f>IF(AE405="","",IFERROR(INDEX($AL$11:$AL$4010,MATCH(395,$AZ$11:$AZ$4010,0)),""))</f>
        <v/>
      </c>
      <c r="AE405" s="12" t="str">
        <f>IFERROR(INDEX($AM$11:$AM$4010,MATCH(395,$AZ$11:$AZ$4010,0)),"")</f>
        <v/>
      </c>
      <c r="AF405" s="11" t="str">
        <f>IF(AE405="","",IFERROR(INDEX($AN$11:$AN$4010,MATCH(395,$AZ$11:$AZ$4010,0)),""))</f>
        <v/>
      </c>
      <c r="AG405" s="11" t="str">
        <f>IF(AE405="","",IFERROR(INDEX($AO$11:$AO$4010,MATCH(395,$AZ$11:$AZ$4010,0)),""))</f>
        <v/>
      </c>
      <c r="AH405" s="10" t="str">
        <f>IF(AE405="","",IFERROR(INDEX($AQ$11:$AQ$4010,MATCH(395,$AZ$11:$AZ$4010,0)),""))</f>
        <v/>
      </c>
      <c r="AI405" s="15" t="str">
        <f>IF(AE405="","",IFERROR(INDEX($AR$11:$AR$4010,MATCH(395,$AZ$11:$AZ$4010,0)),""))</f>
        <v/>
      </c>
      <c r="AJ405" s="15" t="str">
        <f>IF(AE405="","",IFERROR(INDEX($AT$11:$AT$4010,MATCH(395,$AZ$11:$AZ$4010,0)),""))</f>
        <v/>
      </c>
      <c r="AL405" s="17" t="str">
        <f t="shared" si="83"/>
        <v/>
      </c>
      <c r="AM405" s="12" t="str">
        <f t="shared" si="84"/>
        <v/>
      </c>
      <c r="AN405" s="18" t="str">
        <f t="shared" si="85"/>
        <v/>
      </c>
      <c r="AO405" s="18" t="str">
        <f t="shared" si="86"/>
        <v/>
      </c>
      <c r="AP405" s="10" t="str">
        <f t="shared" si="87"/>
        <v/>
      </c>
      <c r="AQ405" s="10" t="str">
        <f t="shared" si="88"/>
        <v/>
      </c>
      <c r="AR405" s="19" t="str">
        <f t="shared" si="89"/>
        <v/>
      </c>
      <c r="AS405" s="20"/>
      <c r="AT405" s="19"/>
      <c r="AV405" s="21">
        <f>IF(AND($AL405&lt;&gt;"",COUNTIF($AL$11:$AL405,$AL405)=1),1,0)</f>
        <v>0</v>
      </c>
      <c r="AW405" s="21">
        <f t="shared" si="91"/>
        <v>0</v>
      </c>
      <c r="AX405" s="21" t="str">
        <f t="shared" si="90"/>
        <v/>
      </c>
      <c r="AY405" s="21" t="str">
        <f>IF(AND($AM405&lt;&gt;"",$AS405&lt;&gt;"✓"),SUMPRODUCT(($AM$11:$AM405&lt;&gt;"")*($AS$11:$AS405&lt;&gt;"✓")),"")</f>
        <v/>
      </c>
      <c r="AZ405" s="21" t="str">
        <f>IF(AND($AM405&lt;&gt;"",$AS405="✓"),SUMPRODUCT(($AM$11:$AM405&lt;&gt;"")*($AS$11:$AS405="✓")),"")</f>
        <v/>
      </c>
      <c r="BA405" s="21" t="str">
        <f>IF($AL405="","",$AL405&amp;"|"&amp;COUNTIF($AL$11:$AL405,$AL405))</f>
        <v/>
      </c>
    </row>
    <row r="406" spans="2:53" ht="15" customHeight="1" x14ac:dyDescent="0.25">
      <c r="B406" s="5" t="str">
        <f t="shared" si="82"/>
        <v/>
      </c>
      <c r="C406" s="5"/>
      <c r="D406" s="5"/>
      <c r="E406" s="5"/>
      <c r="F406" s="6"/>
      <c r="G406" s="6"/>
      <c r="H406" s="7"/>
      <c r="I406" s="8"/>
      <c r="W406" s="28" t="str">
        <f>IF(X406="","",IFERROR(INDEX($AL$11:$AL$4010,MATCH(396,$AY$11:$AY$4010,0)),""))</f>
        <v/>
      </c>
      <c r="X406" s="26" t="str">
        <f>IFERROR(INDEX($AM$11:$AM$4010,MATCH(396,$AY$11:$AY$4010,0)),"")</f>
        <v/>
      </c>
      <c r="Y406" s="25" t="str">
        <f>IF(X406="","",IFERROR(INDEX($AN$11:$AN$4010,MATCH(396,$AY$11:$AY$4010,0)),""))</f>
        <v/>
      </c>
      <c r="Z406" s="25" t="str">
        <f>IF(X406="","",IFERROR(INDEX($AO$11:$AO$4010,MATCH(396,$AY$11:$AY$4010,0)),""))</f>
        <v/>
      </c>
      <c r="AA406" s="24" t="str">
        <f>IF(X406="","",IFERROR(INDEX($AQ$11:$AQ$4010,MATCH(396,$AY$11:$AY$4010,0)),""))</f>
        <v/>
      </c>
      <c r="AB406" s="29" t="str">
        <f>IF(X406="","",IFERROR(INDEX($AR$11:$AR$4010,MATCH(396,$AY$11:$AY$4010,0)),""))</f>
        <v/>
      </c>
      <c r="AD406" s="30" t="str">
        <f>IF(AE406="","",IFERROR(INDEX($AL$11:$AL$4010,MATCH(396,$AZ$11:$AZ$4010,0)),""))</f>
        <v/>
      </c>
      <c r="AE406" s="26" t="str">
        <f>IFERROR(INDEX($AM$11:$AM$4010,MATCH(396,$AZ$11:$AZ$4010,0)),"")</f>
        <v/>
      </c>
      <c r="AF406" s="25" t="str">
        <f>IF(AE406="","",IFERROR(INDEX($AN$11:$AN$4010,MATCH(396,$AZ$11:$AZ$4010,0)),""))</f>
        <v/>
      </c>
      <c r="AG406" s="25" t="str">
        <f>IF(AE406="","",IFERROR(INDEX($AO$11:$AO$4010,MATCH(396,$AZ$11:$AZ$4010,0)),""))</f>
        <v/>
      </c>
      <c r="AH406" s="24" t="str">
        <f>IF(AE406="","",IFERROR(INDEX($AQ$11:$AQ$4010,MATCH(396,$AZ$11:$AZ$4010,0)),""))</f>
        <v/>
      </c>
      <c r="AI406" s="29" t="str">
        <f>IF(AE406="","",IFERROR(INDEX($AR$11:$AR$4010,MATCH(396,$AZ$11:$AZ$4010,0)),""))</f>
        <v/>
      </c>
      <c r="AJ406" s="29" t="str">
        <f>IF(AE406="","",IFERROR(INDEX($AT$11:$AT$4010,MATCH(396,$AZ$11:$AZ$4010,0)),""))</f>
        <v/>
      </c>
      <c r="AL406" s="31" t="str">
        <f t="shared" si="83"/>
        <v/>
      </c>
      <c r="AM406" s="26" t="str">
        <f t="shared" si="84"/>
        <v/>
      </c>
      <c r="AN406" s="32" t="str">
        <f t="shared" si="85"/>
        <v/>
      </c>
      <c r="AO406" s="32" t="str">
        <f t="shared" si="86"/>
        <v/>
      </c>
      <c r="AP406" s="24" t="str">
        <f t="shared" si="87"/>
        <v/>
      </c>
      <c r="AQ406" s="24" t="str">
        <f t="shared" si="88"/>
        <v/>
      </c>
      <c r="AR406" s="33" t="str">
        <f t="shared" si="89"/>
        <v/>
      </c>
      <c r="AS406" s="34"/>
      <c r="AT406" s="33"/>
      <c r="AV406" s="21">
        <f>IF(AND($AL406&lt;&gt;"",COUNTIF($AL$11:$AL406,$AL406)=1),1,0)</f>
        <v>0</v>
      </c>
      <c r="AW406" s="21">
        <f t="shared" si="91"/>
        <v>0</v>
      </c>
      <c r="AX406" s="21" t="str">
        <f t="shared" si="90"/>
        <v/>
      </c>
      <c r="AY406" s="21" t="str">
        <f>IF(AND($AM406&lt;&gt;"",$AS406&lt;&gt;"✓"),SUMPRODUCT(($AM$11:$AM406&lt;&gt;"")*($AS$11:$AS406&lt;&gt;"✓")),"")</f>
        <v/>
      </c>
      <c r="AZ406" s="21" t="str">
        <f>IF(AND($AM406&lt;&gt;"",$AS406="✓"),SUMPRODUCT(($AM$11:$AM406&lt;&gt;"")*($AS$11:$AS406="✓")),"")</f>
        <v/>
      </c>
      <c r="BA406" s="21" t="str">
        <f>IF($AL406="","",$AL406&amp;"|"&amp;COUNTIF($AL$11:$AL406,$AL406))</f>
        <v/>
      </c>
    </row>
    <row r="407" spans="2:53" ht="15" customHeight="1" x14ac:dyDescent="0.25">
      <c r="B407" s="5" t="str">
        <f t="shared" si="82"/>
        <v/>
      </c>
      <c r="C407" s="5"/>
      <c r="D407" s="5"/>
      <c r="E407" s="5"/>
      <c r="F407" s="6"/>
      <c r="G407" s="6"/>
      <c r="H407" s="7"/>
      <c r="I407" s="8"/>
      <c r="W407" s="14" t="str">
        <f>IF(X407="","",IFERROR(INDEX($AL$11:$AL$4010,MATCH(397,$AY$11:$AY$4010,0)),""))</f>
        <v/>
      </c>
      <c r="X407" s="12" t="str">
        <f>IFERROR(INDEX($AM$11:$AM$4010,MATCH(397,$AY$11:$AY$4010,0)),"")</f>
        <v/>
      </c>
      <c r="Y407" s="11" t="str">
        <f>IF(X407="","",IFERROR(INDEX($AN$11:$AN$4010,MATCH(397,$AY$11:$AY$4010,0)),""))</f>
        <v/>
      </c>
      <c r="Z407" s="11" t="str">
        <f>IF(X407="","",IFERROR(INDEX($AO$11:$AO$4010,MATCH(397,$AY$11:$AY$4010,0)),""))</f>
        <v/>
      </c>
      <c r="AA407" s="10" t="str">
        <f>IF(X407="","",IFERROR(INDEX($AQ$11:$AQ$4010,MATCH(397,$AY$11:$AY$4010,0)),""))</f>
        <v/>
      </c>
      <c r="AB407" s="15" t="str">
        <f>IF(X407="","",IFERROR(INDEX($AR$11:$AR$4010,MATCH(397,$AY$11:$AY$4010,0)),""))</f>
        <v/>
      </c>
      <c r="AD407" s="16" t="str">
        <f>IF(AE407="","",IFERROR(INDEX($AL$11:$AL$4010,MATCH(397,$AZ$11:$AZ$4010,0)),""))</f>
        <v/>
      </c>
      <c r="AE407" s="12" t="str">
        <f>IFERROR(INDEX($AM$11:$AM$4010,MATCH(397,$AZ$11:$AZ$4010,0)),"")</f>
        <v/>
      </c>
      <c r="AF407" s="11" t="str">
        <f>IF(AE407="","",IFERROR(INDEX($AN$11:$AN$4010,MATCH(397,$AZ$11:$AZ$4010,0)),""))</f>
        <v/>
      </c>
      <c r="AG407" s="11" t="str">
        <f>IF(AE407="","",IFERROR(INDEX($AO$11:$AO$4010,MATCH(397,$AZ$11:$AZ$4010,0)),""))</f>
        <v/>
      </c>
      <c r="AH407" s="10" t="str">
        <f>IF(AE407="","",IFERROR(INDEX($AQ$11:$AQ$4010,MATCH(397,$AZ$11:$AZ$4010,0)),""))</f>
        <v/>
      </c>
      <c r="AI407" s="15" t="str">
        <f>IF(AE407="","",IFERROR(INDEX($AR$11:$AR$4010,MATCH(397,$AZ$11:$AZ$4010,0)),""))</f>
        <v/>
      </c>
      <c r="AJ407" s="15" t="str">
        <f>IF(AE407="","",IFERROR(INDEX($AT$11:$AT$4010,MATCH(397,$AZ$11:$AZ$4010,0)),""))</f>
        <v/>
      </c>
      <c r="AL407" s="17" t="str">
        <f t="shared" si="83"/>
        <v/>
      </c>
      <c r="AM407" s="12" t="str">
        <f t="shared" si="84"/>
        <v/>
      </c>
      <c r="AN407" s="18" t="str">
        <f t="shared" si="85"/>
        <v/>
      </c>
      <c r="AO407" s="18" t="str">
        <f t="shared" si="86"/>
        <v/>
      </c>
      <c r="AP407" s="10" t="str">
        <f t="shared" si="87"/>
        <v/>
      </c>
      <c r="AQ407" s="10" t="str">
        <f t="shared" si="88"/>
        <v/>
      </c>
      <c r="AR407" s="19" t="str">
        <f t="shared" si="89"/>
        <v/>
      </c>
      <c r="AS407" s="20"/>
      <c r="AT407" s="19"/>
      <c r="AV407" s="21">
        <f>IF(AND($AL407&lt;&gt;"",COUNTIF($AL$11:$AL407,$AL407)=1),1,0)</f>
        <v>0</v>
      </c>
      <c r="AW407" s="21">
        <f t="shared" si="91"/>
        <v>0</v>
      </c>
      <c r="AX407" s="21" t="str">
        <f t="shared" si="90"/>
        <v/>
      </c>
      <c r="AY407" s="21" t="str">
        <f>IF(AND($AM407&lt;&gt;"",$AS407&lt;&gt;"✓"),SUMPRODUCT(($AM$11:$AM407&lt;&gt;"")*($AS$11:$AS407&lt;&gt;"✓")),"")</f>
        <v/>
      </c>
      <c r="AZ407" s="21" t="str">
        <f>IF(AND($AM407&lt;&gt;"",$AS407="✓"),SUMPRODUCT(($AM$11:$AM407&lt;&gt;"")*($AS$11:$AS407="✓")),"")</f>
        <v/>
      </c>
      <c r="BA407" s="21" t="str">
        <f>IF($AL407="","",$AL407&amp;"|"&amp;COUNTIF($AL$11:$AL407,$AL407))</f>
        <v/>
      </c>
    </row>
    <row r="408" spans="2:53" ht="15" customHeight="1" x14ac:dyDescent="0.25">
      <c r="B408" s="5" t="str">
        <f t="shared" si="82"/>
        <v/>
      </c>
      <c r="C408" s="5"/>
      <c r="D408" s="5"/>
      <c r="E408" s="5"/>
      <c r="F408" s="6"/>
      <c r="G408" s="6"/>
      <c r="H408" s="7"/>
      <c r="I408" s="8"/>
      <c r="W408" s="28" t="str">
        <f>IF(X408="","",IFERROR(INDEX($AL$11:$AL$4010,MATCH(398,$AY$11:$AY$4010,0)),""))</f>
        <v/>
      </c>
      <c r="X408" s="26" t="str">
        <f>IFERROR(INDEX($AM$11:$AM$4010,MATCH(398,$AY$11:$AY$4010,0)),"")</f>
        <v/>
      </c>
      <c r="Y408" s="25" t="str">
        <f>IF(X408="","",IFERROR(INDEX($AN$11:$AN$4010,MATCH(398,$AY$11:$AY$4010,0)),""))</f>
        <v/>
      </c>
      <c r="Z408" s="25" t="str">
        <f>IF(X408="","",IFERROR(INDEX($AO$11:$AO$4010,MATCH(398,$AY$11:$AY$4010,0)),""))</f>
        <v/>
      </c>
      <c r="AA408" s="24" t="str">
        <f>IF(X408="","",IFERROR(INDEX($AQ$11:$AQ$4010,MATCH(398,$AY$11:$AY$4010,0)),""))</f>
        <v/>
      </c>
      <c r="AB408" s="29" t="str">
        <f>IF(X408="","",IFERROR(INDEX($AR$11:$AR$4010,MATCH(398,$AY$11:$AY$4010,0)),""))</f>
        <v/>
      </c>
      <c r="AD408" s="30" t="str">
        <f>IF(AE408="","",IFERROR(INDEX($AL$11:$AL$4010,MATCH(398,$AZ$11:$AZ$4010,0)),""))</f>
        <v/>
      </c>
      <c r="AE408" s="26" t="str">
        <f>IFERROR(INDEX($AM$11:$AM$4010,MATCH(398,$AZ$11:$AZ$4010,0)),"")</f>
        <v/>
      </c>
      <c r="AF408" s="25" t="str">
        <f>IF(AE408="","",IFERROR(INDEX($AN$11:$AN$4010,MATCH(398,$AZ$11:$AZ$4010,0)),""))</f>
        <v/>
      </c>
      <c r="AG408" s="25" t="str">
        <f>IF(AE408="","",IFERROR(INDEX($AO$11:$AO$4010,MATCH(398,$AZ$11:$AZ$4010,0)),""))</f>
        <v/>
      </c>
      <c r="AH408" s="24" t="str">
        <f>IF(AE408="","",IFERROR(INDEX($AQ$11:$AQ$4010,MATCH(398,$AZ$11:$AZ$4010,0)),""))</f>
        <v/>
      </c>
      <c r="AI408" s="29" t="str">
        <f>IF(AE408="","",IFERROR(INDEX($AR$11:$AR$4010,MATCH(398,$AZ$11:$AZ$4010,0)),""))</f>
        <v/>
      </c>
      <c r="AJ408" s="29" t="str">
        <f>IF(AE408="","",IFERROR(INDEX($AT$11:$AT$4010,MATCH(398,$AZ$11:$AZ$4010,0)),""))</f>
        <v/>
      </c>
      <c r="AL408" s="31" t="str">
        <f t="shared" si="83"/>
        <v/>
      </c>
      <c r="AM408" s="26" t="str">
        <f t="shared" si="84"/>
        <v/>
      </c>
      <c r="AN408" s="32" t="str">
        <f t="shared" si="85"/>
        <v/>
      </c>
      <c r="AO408" s="32" t="str">
        <f t="shared" si="86"/>
        <v/>
      </c>
      <c r="AP408" s="24" t="str">
        <f t="shared" si="87"/>
        <v/>
      </c>
      <c r="AQ408" s="24" t="str">
        <f t="shared" si="88"/>
        <v/>
      </c>
      <c r="AR408" s="33" t="str">
        <f t="shared" si="89"/>
        <v/>
      </c>
      <c r="AS408" s="34"/>
      <c r="AT408" s="33"/>
      <c r="AV408" s="21">
        <f>IF(AND($AL408&lt;&gt;"",COUNTIF($AL$11:$AL408,$AL408)=1),1,0)</f>
        <v>0</v>
      </c>
      <c r="AW408" s="21">
        <f t="shared" si="91"/>
        <v>0</v>
      </c>
      <c r="AX408" s="21" t="str">
        <f t="shared" si="90"/>
        <v/>
      </c>
      <c r="AY408" s="21" t="str">
        <f>IF(AND($AM408&lt;&gt;"",$AS408&lt;&gt;"✓"),SUMPRODUCT(($AM$11:$AM408&lt;&gt;"")*($AS$11:$AS408&lt;&gt;"✓")),"")</f>
        <v/>
      </c>
      <c r="AZ408" s="21" t="str">
        <f>IF(AND($AM408&lt;&gt;"",$AS408="✓"),SUMPRODUCT(($AM$11:$AM408&lt;&gt;"")*($AS$11:$AS408="✓")),"")</f>
        <v/>
      </c>
      <c r="BA408" s="21" t="str">
        <f>IF($AL408="","",$AL408&amp;"|"&amp;COUNTIF($AL$11:$AL408,$AL408))</f>
        <v/>
      </c>
    </row>
    <row r="409" spans="2:53" ht="15" customHeight="1" x14ac:dyDescent="0.25">
      <c r="B409" s="5" t="str">
        <f t="shared" si="82"/>
        <v/>
      </c>
      <c r="C409" s="5"/>
      <c r="D409" s="5"/>
      <c r="E409" s="5"/>
      <c r="F409" s="6"/>
      <c r="G409" s="6"/>
      <c r="H409" s="7"/>
      <c r="I409" s="8"/>
      <c r="W409" s="14" t="str">
        <f>IF(X409="","",IFERROR(INDEX($AL$11:$AL$4010,MATCH(399,$AY$11:$AY$4010,0)),""))</f>
        <v/>
      </c>
      <c r="X409" s="12" t="str">
        <f>IFERROR(INDEX($AM$11:$AM$4010,MATCH(399,$AY$11:$AY$4010,0)),"")</f>
        <v/>
      </c>
      <c r="Y409" s="11" t="str">
        <f>IF(X409="","",IFERROR(INDEX($AN$11:$AN$4010,MATCH(399,$AY$11:$AY$4010,0)),""))</f>
        <v/>
      </c>
      <c r="Z409" s="11" t="str">
        <f>IF(X409="","",IFERROR(INDEX($AO$11:$AO$4010,MATCH(399,$AY$11:$AY$4010,0)),""))</f>
        <v/>
      </c>
      <c r="AA409" s="10" t="str">
        <f>IF(X409="","",IFERROR(INDEX($AQ$11:$AQ$4010,MATCH(399,$AY$11:$AY$4010,0)),""))</f>
        <v/>
      </c>
      <c r="AB409" s="15" t="str">
        <f>IF(X409="","",IFERROR(INDEX($AR$11:$AR$4010,MATCH(399,$AY$11:$AY$4010,0)),""))</f>
        <v/>
      </c>
      <c r="AD409" s="16" t="str">
        <f>IF(AE409="","",IFERROR(INDEX($AL$11:$AL$4010,MATCH(399,$AZ$11:$AZ$4010,0)),""))</f>
        <v/>
      </c>
      <c r="AE409" s="12" t="str">
        <f>IFERROR(INDEX($AM$11:$AM$4010,MATCH(399,$AZ$11:$AZ$4010,0)),"")</f>
        <v/>
      </c>
      <c r="AF409" s="11" t="str">
        <f>IF(AE409="","",IFERROR(INDEX($AN$11:$AN$4010,MATCH(399,$AZ$11:$AZ$4010,0)),""))</f>
        <v/>
      </c>
      <c r="AG409" s="11" t="str">
        <f>IF(AE409="","",IFERROR(INDEX($AO$11:$AO$4010,MATCH(399,$AZ$11:$AZ$4010,0)),""))</f>
        <v/>
      </c>
      <c r="AH409" s="10" t="str">
        <f>IF(AE409="","",IFERROR(INDEX($AQ$11:$AQ$4010,MATCH(399,$AZ$11:$AZ$4010,0)),""))</f>
        <v/>
      </c>
      <c r="AI409" s="15" t="str">
        <f>IF(AE409="","",IFERROR(INDEX($AR$11:$AR$4010,MATCH(399,$AZ$11:$AZ$4010,0)),""))</f>
        <v/>
      </c>
      <c r="AJ409" s="15" t="str">
        <f>IF(AE409="","",IFERROR(INDEX($AT$11:$AT$4010,MATCH(399,$AZ$11:$AZ$4010,0)),""))</f>
        <v/>
      </c>
      <c r="AL409" s="17" t="str">
        <f t="shared" si="83"/>
        <v/>
      </c>
      <c r="AM409" s="12" t="str">
        <f t="shared" si="84"/>
        <v/>
      </c>
      <c r="AN409" s="18" t="str">
        <f t="shared" si="85"/>
        <v/>
      </c>
      <c r="AO409" s="18" t="str">
        <f t="shared" si="86"/>
        <v/>
      </c>
      <c r="AP409" s="10" t="str">
        <f t="shared" si="87"/>
        <v/>
      </c>
      <c r="AQ409" s="10" t="str">
        <f t="shared" si="88"/>
        <v/>
      </c>
      <c r="AR409" s="19" t="str">
        <f t="shared" si="89"/>
        <v/>
      </c>
      <c r="AS409" s="20"/>
      <c r="AT409" s="19"/>
      <c r="AV409" s="21">
        <f>IF(AND($AL409&lt;&gt;"",COUNTIF($AL$11:$AL409,$AL409)=1),1,0)</f>
        <v>0</v>
      </c>
      <c r="AW409" s="21">
        <f t="shared" si="91"/>
        <v>0</v>
      </c>
      <c r="AX409" s="21" t="str">
        <f t="shared" si="90"/>
        <v/>
      </c>
      <c r="AY409" s="21" t="str">
        <f>IF(AND($AM409&lt;&gt;"",$AS409&lt;&gt;"✓"),SUMPRODUCT(($AM$11:$AM409&lt;&gt;"")*($AS$11:$AS409&lt;&gt;"✓")),"")</f>
        <v/>
      </c>
      <c r="AZ409" s="21" t="str">
        <f>IF(AND($AM409&lt;&gt;"",$AS409="✓"),SUMPRODUCT(($AM$11:$AM409&lt;&gt;"")*($AS$11:$AS409="✓")),"")</f>
        <v/>
      </c>
      <c r="BA409" s="21" t="str">
        <f>IF($AL409="","",$AL409&amp;"|"&amp;COUNTIF($AL$11:$AL409,$AL409))</f>
        <v/>
      </c>
    </row>
    <row r="410" spans="2:53" ht="15" customHeight="1" x14ac:dyDescent="0.25">
      <c r="B410" s="5" t="str">
        <f t="shared" si="82"/>
        <v/>
      </c>
      <c r="C410" s="5"/>
      <c r="D410" s="5"/>
      <c r="E410" s="5"/>
      <c r="F410" s="6"/>
      <c r="G410" s="6"/>
      <c r="H410" s="7"/>
      <c r="I410" s="8"/>
      <c r="W410" s="28" t="str">
        <f>IF(X410="","",IFERROR(INDEX($AL$11:$AL$4010,MATCH(400,$AY$11:$AY$4010,0)),""))</f>
        <v/>
      </c>
      <c r="X410" s="26" t="str">
        <f>IFERROR(INDEX($AM$11:$AM$4010,MATCH(400,$AY$11:$AY$4010,0)),"")</f>
        <v/>
      </c>
      <c r="Y410" s="25" t="str">
        <f>IF(X410="","",IFERROR(INDEX($AN$11:$AN$4010,MATCH(400,$AY$11:$AY$4010,0)),""))</f>
        <v/>
      </c>
      <c r="Z410" s="25" t="str">
        <f>IF(X410="","",IFERROR(INDEX($AO$11:$AO$4010,MATCH(400,$AY$11:$AY$4010,0)),""))</f>
        <v/>
      </c>
      <c r="AA410" s="24" t="str">
        <f>IF(X410="","",IFERROR(INDEX($AQ$11:$AQ$4010,MATCH(400,$AY$11:$AY$4010,0)),""))</f>
        <v/>
      </c>
      <c r="AB410" s="29" t="str">
        <f>IF(X410="","",IFERROR(INDEX($AR$11:$AR$4010,MATCH(400,$AY$11:$AY$4010,0)),""))</f>
        <v/>
      </c>
      <c r="AD410" s="30" t="str">
        <f>IF(AE410="","",IFERROR(INDEX($AL$11:$AL$4010,MATCH(400,$AZ$11:$AZ$4010,0)),""))</f>
        <v/>
      </c>
      <c r="AE410" s="26" t="str">
        <f>IFERROR(INDEX($AM$11:$AM$4010,MATCH(400,$AZ$11:$AZ$4010,0)),"")</f>
        <v/>
      </c>
      <c r="AF410" s="25" t="str">
        <f>IF(AE410="","",IFERROR(INDEX($AN$11:$AN$4010,MATCH(400,$AZ$11:$AZ$4010,0)),""))</f>
        <v/>
      </c>
      <c r="AG410" s="25" t="str">
        <f>IF(AE410="","",IFERROR(INDEX($AO$11:$AO$4010,MATCH(400,$AZ$11:$AZ$4010,0)),""))</f>
        <v/>
      </c>
      <c r="AH410" s="24" t="str">
        <f>IF(AE410="","",IFERROR(INDEX($AQ$11:$AQ$4010,MATCH(400,$AZ$11:$AZ$4010,0)),""))</f>
        <v/>
      </c>
      <c r="AI410" s="29" t="str">
        <f>IF(AE410="","",IFERROR(INDEX($AR$11:$AR$4010,MATCH(400,$AZ$11:$AZ$4010,0)),""))</f>
        <v/>
      </c>
      <c r="AJ410" s="29" t="str">
        <f>IF(AE410="","",IFERROR(INDEX($AT$11:$AT$4010,MATCH(400,$AZ$11:$AZ$4010,0)),""))</f>
        <v/>
      </c>
      <c r="AL410" s="31" t="str">
        <f t="shared" si="83"/>
        <v/>
      </c>
      <c r="AM410" s="26" t="str">
        <f t="shared" si="84"/>
        <v/>
      </c>
      <c r="AN410" s="32" t="str">
        <f t="shared" si="85"/>
        <v/>
      </c>
      <c r="AO410" s="32" t="str">
        <f t="shared" si="86"/>
        <v/>
      </c>
      <c r="AP410" s="24" t="str">
        <f t="shared" si="87"/>
        <v/>
      </c>
      <c r="AQ410" s="24" t="str">
        <f t="shared" si="88"/>
        <v/>
      </c>
      <c r="AR410" s="33" t="str">
        <f t="shared" si="89"/>
        <v/>
      </c>
      <c r="AS410" s="34"/>
      <c r="AT410" s="33"/>
      <c r="AV410" s="21">
        <f>IF(AND($AL410&lt;&gt;"",COUNTIF($AL$11:$AL410,$AL410)=1),1,0)</f>
        <v>0</v>
      </c>
      <c r="AW410" s="21">
        <f t="shared" si="91"/>
        <v>0</v>
      </c>
      <c r="AX410" s="21" t="str">
        <f t="shared" si="90"/>
        <v/>
      </c>
      <c r="AY410" s="21" t="str">
        <f>IF(AND($AM410&lt;&gt;"",$AS410&lt;&gt;"✓"),SUMPRODUCT(($AM$11:$AM410&lt;&gt;"")*($AS$11:$AS410&lt;&gt;"✓")),"")</f>
        <v/>
      </c>
      <c r="AZ410" s="21" t="str">
        <f>IF(AND($AM410&lt;&gt;"",$AS410="✓"),SUMPRODUCT(($AM$11:$AM410&lt;&gt;"")*($AS$11:$AS410="✓")),"")</f>
        <v/>
      </c>
      <c r="BA410" s="21" t="str">
        <f>IF($AL410="","",$AL410&amp;"|"&amp;COUNTIF($AL$11:$AL410,$AL410))</f>
        <v/>
      </c>
    </row>
    <row r="411" spans="2:53" ht="15" customHeight="1" x14ac:dyDescent="0.25">
      <c r="B411" s="5" t="str">
        <f t="shared" si="82"/>
        <v/>
      </c>
      <c r="C411" s="5"/>
      <c r="D411" s="5"/>
      <c r="E411" s="5"/>
      <c r="F411" s="6"/>
      <c r="G411" s="6"/>
      <c r="H411" s="7"/>
      <c r="I411" s="8"/>
      <c r="W411" s="14" t="str">
        <f>IF(X411="","",IFERROR(INDEX($AL$11:$AL$4010,MATCH(401,$AY$11:$AY$4010,0)),""))</f>
        <v/>
      </c>
      <c r="X411" s="12" t="str">
        <f>IFERROR(INDEX($AM$11:$AM$4010,MATCH(401,$AY$11:$AY$4010,0)),"")</f>
        <v/>
      </c>
      <c r="Y411" s="11" t="str">
        <f>IF(X411="","",IFERROR(INDEX($AN$11:$AN$4010,MATCH(401,$AY$11:$AY$4010,0)),""))</f>
        <v/>
      </c>
      <c r="Z411" s="11" t="str">
        <f>IF(X411="","",IFERROR(INDEX($AO$11:$AO$4010,MATCH(401,$AY$11:$AY$4010,0)),""))</f>
        <v/>
      </c>
      <c r="AA411" s="10" t="str">
        <f>IF(X411="","",IFERROR(INDEX($AQ$11:$AQ$4010,MATCH(401,$AY$11:$AY$4010,0)),""))</f>
        <v/>
      </c>
      <c r="AB411" s="15" t="str">
        <f>IF(X411="","",IFERROR(INDEX($AR$11:$AR$4010,MATCH(401,$AY$11:$AY$4010,0)),""))</f>
        <v/>
      </c>
      <c r="AD411" s="16" t="str">
        <f>IF(AE411="","",IFERROR(INDEX($AL$11:$AL$4010,MATCH(401,$AZ$11:$AZ$4010,0)),""))</f>
        <v/>
      </c>
      <c r="AE411" s="12" t="str">
        <f>IFERROR(INDEX($AM$11:$AM$4010,MATCH(401,$AZ$11:$AZ$4010,0)),"")</f>
        <v/>
      </c>
      <c r="AF411" s="11" t="str">
        <f>IF(AE411="","",IFERROR(INDEX($AN$11:$AN$4010,MATCH(401,$AZ$11:$AZ$4010,0)),""))</f>
        <v/>
      </c>
      <c r="AG411" s="11" t="str">
        <f>IF(AE411="","",IFERROR(INDEX($AO$11:$AO$4010,MATCH(401,$AZ$11:$AZ$4010,0)),""))</f>
        <v/>
      </c>
      <c r="AH411" s="10" t="str">
        <f>IF(AE411="","",IFERROR(INDEX($AQ$11:$AQ$4010,MATCH(401,$AZ$11:$AZ$4010,0)),""))</f>
        <v/>
      </c>
      <c r="AI411" s="15" t="str">
        <f>IF(AE411="","",IFERROR(INDEX($AR$11:$AR$4010,MATCH(401,$AZ$11:$AZ$4010,0)),""))</f>
        <v/>
      </c>
      <c r="AJ411" s="15" t="str">
        <f>IF(AE411="","",IFERROR(INDEX($AT$11:$AT$4010,MATCH(401,$AZ$11:$AZ$4010,0)),""))</f>
        <v/>
      </c>
      <c r="AL411" s="17" t="str">
        <f t="shared" si="83"/>
        <v/>
      </c>
      <c r="AM411" s="12" t="str">
        <f t="shared" si="84"/>
        <v/>
      </c>
      <c r="AN411" s="18" t="str">
        <f t="shared" si="85"/>
        <v/>
      </c>
      <c r="AO411" s="18" t="str">
        <f t="shared" si="86"/>
        <v/>
      </c>
      <c r="AP411" s="10" t="str">
        <f t="shared" si="87"/>
        <v/>
      </c>
      <c r="AQ411" s="10" t="str">
        <f t="shared" si="88"/>
        <v/>
      </c>
      <c r="AR411" s="19" t="str">
        <f t="shared" si="89"/>
        <v/>
      </c>
      <c r="AS411" s="20"/>
      <c r="AT411" s="19"/>
      <c r="AV411" s="21">
        <f>IF(AND($AL411&lt;&gt;"",COUNTIF($AL$11:$AL411,$AL411)=1),1,0)</f>
        <v>0</v>
      </c>
      <c r="AW411" s="21">
        <f t="shared" si="91"/>
        <v>0</v>
      </c>
      <c r="AX411" s="21" t="str">
        <f t="shared" si="90"/>
        <v/>
      </c>
      <c r="AY411" s="21" t="str">
        <f>IF(AND($AM411&lt;&gt;"",$AS411&lt;&gt;"✓"),SUMPRODUCT(($AM$11:$AM411&lt;&gt;"")*($AS$11:$AS411&lt;&gt;"✓")),"")</f>
        <v/>
      </c>
      <c r="AZ411" s="21" t="str">
        <f>IF(AND($AM411&lt;&gt;"",$AS411="✓"),SUMPRODUCT(($AM$11:$AM411&lt;&gt;"")*($AS$11:$AS411="✓")),"")</f>
        <v/>
      </c>
      <c r="BA411" s="21" t="str">
        <f>IF($AL411="","",$AL411&amp;"|"&amp;COUNTIF($AL$11:$AL411,$AL411))</f>
        <v/>
      </c>
    </row>
    <row r="412" spans="2:53" ht="15" customHeight="1" x14ac:dyDescent="0.25">
      <c r="B412" s="5" t="str">
        <f t="shared" si="82"/>
        <v/>
      </c>
      <c r="C412" s="5"/>
      <c r="D412" s="5"/>
      <c r="E412" s="5"/>
      <c r="F412" s="6"/>
      <c r="G412" s="6"/>
      <c r="H412" s="7"/>
      <c r="I412" s="8"/>
      <c r="W412" s="28" t="str">
        <f>IF(X412="","",IFERROR(INDEX($AL$11:$AL$4010,MATCH(402,$AY$11:$AY$4010,0)),""))</f>
        <v/>
      </c>
      <c r="X412" s="26" t="str">
        <f>IFERROR(INDEX($AM$11:$AM$4010,MATCH(402,$AY$11:$AY$4010,0)),"")</f>
        <v/>
      </c>
      <c r="Y412" s="25" t="str">
        <f>IF(X412="","",IFERROR(INDEX($AN$11:$AN$4010,MATCH(402,$AY$11:$AY$4010,0)),""))</f>
        <v/>
      </c>
      <c r="Z412" s="25" t="str">
        <f>IF(X412="","",IFERROR(INDEX($AO$11:$AO$4010,MATCH(402,$AY$11:$AY$4010,0)),""))</f>
        <v/>
      </c>
      <c r="AA412" s="24" t="str">
        <f>IF(X412="","",IFERROR(INDEX($AQ$11:$AQ$4010,MATCH(402,$AY$11:$AY$4010,0)),""))</f>
        <v/>
      </c>
      <c r="AB412" s="29" t="str">
        <f>IF(X412="","",IFERROR(INDEX($AR$11:$AR$4010,MATCH(402,$AY$11:$AY$4010,0)),""))</f>
        <v/>
      </c>
      <c r="AD412" s="30" t="str">
        <f>IF(AE412="","",IFERROR(INDEX($AL$11:$AL$4010,MATCH(402,$AZ$11:$AZ$4010,0)),""))</f>
        <v/>
      </c>
      <c r="AE412" s="26" t="str">
        <f>IFERROR(INDEX($AM$11:$AM$4010,MATCH(402,$AZ$11:$AZ$4010,0)),"")</f>
        <v/>
      </c>
      <c r="AF412" s="25" t="str">
        <f>IF(AE412="","",IFERROR(INDEX($AN$11:$AN$4010,MATCH(402,$AZ$11:$AZ$4010,0)),""))</f>
        <v/>
      </c>
      <c r="AG412" s="25" t="str">
        <f>IF(AE412="","",IFERROR(INDEX($AO$11:$AO$4010,MATCH(402,$AZ$11:$AZ$4010,0)),""))</f>
        <v/>
      </c>
      <c r="AH412" s="24" t="str">
        <f>IF(AE412="","",IFERROR(INDEX($AQ$11:$AQ$4010,MATCH(402,$AZ$11:$AZ$4010,0)),""))</f>
        <v/>
      </c>
      <c r="AI412" s="29" t="str">
        <f>IF(AE412="","",IFERROR(INDEX($AR$11:$AR$4010,MATCH(402,$AZ$11:$AZ$4010,0)),""))</f>
        <v/>
      </c>
      <c r="AJ412" s="29" t="str">
        <f>IF(AE412="","",IFERROR(INDEX($AT$11:$AT$4010,MATCH(402,$AZ$11:$AZ$4010,0)),""))</f>
        <v/>
      </c>
      <c r="AL412" s="31" t="str">
        <f t="shared" si="83"/>
        <v/>
      </c>
      <c r="AM412" s="26" t="str">
        <f t="shared" si="84"/>
        <v/>
      </c>
      <c r="AN412" s="32" t="str">
        <f t="shared" si="85"/>
        <v/>
      </c>
      <c r="AO412" s="32" t="str">
        <f t="shared" si="86"/>
        <v/>
      </c>
      <c r="AP412" s="24" t="str">
        <f t="shared" si="87"/>
        <v/>
      </c>
      <c r="AQ412" s="24" t="str">
        <f t="shared" si="88"/>
        <v/>
      </c>
      <c r="AR412" s="33" t="str">
        <f t="shared" si="89"/>
        <v/>
      </c>
      <c r="AS412" s="34"/>
      <c r="AT412" s="33"/>
      <c r="AV412" s="21">
        <f>IF(AND($AL412&lt;&gt;"",COUNTIF($AL$11:$AL412,$AL412)=1),1,0)</f>
        <v>0</v>
      </c>
      <c r="AW412" s="21">
        <f t="shared" si="91"/>
        <v>0</v>
      </c>
      <c r="AX412" s="21" t="str">
        <f t="shared" si="90"/>
        <v/>
      </c>
      <c r="AY412" s="21" t="str">
        <f>IF(AND($AM412&lt;&gt;"",$AS412&lt;&gt;"✓"),SUMPRODUCT(($AM$11:$AM412&lt;&gt;"")*($AS$11:$AS412&lt;&gt;"✓")),"")</f>
        <v/>
      </c>
      <c r="AZ412" s="21" t="str">
        <f>IF(AND($AM412&lt;&gt;"",$AS412="✓"),SUMPRODUCT(($AM$11:$AM412&lt;&gt;"")*($AS$11:$AS412="✓")),"")</f>
        <v/>
      </c>
      <c r="BA412" s="21" t="str">
        <f>IF($AL412="","",$AL412&amp;"|"&amp;COUNTIF($AL$11:$AL412,$AL412))</f>
        <v/>
      </c>
    </row>
    <row r="413" spans="2:53" ht="15" customHeight="1" x14ac:dyDescent="0.25">
      <c r="B413" s="5" t="str">
        <f t="shared" si="82"/>
        <v/>
      </c>
      <c r="C413" s="5"/>
      <c r="D413" s="5"/>
      <c r="E413" s="5"/>
      <c r="F413" s="6"/>
      <c r="G413" s="6"/>
      <c r="H413" s="7"/>
      <c r="I413" s="8"/>
      <c r="W413" s="14" t="str">
        <f>IF(X413="","",IFERROR(INDEX($AL$11:$AL$4010,MATCH(403,$AY$11:$AY$4010,0)),""))</f>
        <v/>
      </c>
      <c r="X413" s="12" t="str">
        <f>IFERROR(INDEX($AM$11:$AM$4010,MATCH(403,$AY$11:$AY$4010,0)),"")</f>
        <v/>
      </c>
      <c r="Y413" s="11" t="str">
        <f>IF(X413="","",IFERROR(INDEX($AN$11:$AN$4010,MATCH(403,$AY$11:$AY$4010,0)),""))</f>
        <v/>
      </c>
      <c r="Z413" s="11" t="str">
        <f>IF(X413="","",IFERROR(INDEX($AO$11:$AO$4010,MATCH(403,$AY$11:$AY$4010,0)),""))</f>
        <v/>
      </c>
      <c r="AA413" s="10" t="str">
        <f>IF(X413="","",IFERROR(INDEX($AQ$11:$AQ$4010,MATCH(403,$AY$11:$AY$4010,0)),""))</f>
        <v/>
      </c>
      <c r="AB413" s="15" t="str">
        <f>IF(X413="","",IFERROR(INDEX($AR$11:$AR$4010,MATCH(403,$AY$11:$AY$4010,0)),""))</f>
        <v/>
      </c>
      <c r="AD413" s="16" t="str">
        <f>IF(AE413="","",IFERROR(INDEX($AL$11:$AL$4010,MATCH(403,$AZ$11:$AZ$4010,0)),""))</f>
        <v/>
      </c>
      <c r="AE413" s="12" t="str">
        <f>IFERROR(INDEX($AM$11:$AM$4010,MATCH(403,$AZ$11:$AZ$4010,0)),"")</f>
        <v/>
      </c>
      <c r="AF413" s="11" t="str">
        <f>IF(AE413="","",IFERROR(INDEX($AN$11:$AN$4010,MATCH(403,$AZ$11:$AZ$4010,0)),""))</f>
        <v/>
      </c>
      <c r="AG413" s="11" t="str">
        <f>IF(AE413="","",IFERROR(INDEX($AO$11:$AO$4010,MATCH(403,$AZ$11:$AZ$4010,0)),""))</f>
        <v/>
      </c>
      <c r="AH413" s="10" t="str">
        <f>IF(AE413="","",IFERROR(INDEX($AQ$11:$AQ$4010,MATCH(403,$AZ$11:$AZ$4010,0)),""))</f>
        <v/>
      </c>
      <c r="AI413" s="15" t="str">
        <f>IF(AE413="","",IFERROR(INDEX($AR$11:$AR$4010,MATCH(403,$AZ$11:$AZ$4010,0)),""))</f>
        <v/>
      </c>
      <c r="AJ413" s="15" t="str">
        <f>IF(AE413="","",IFERROR(INDEX($AT$11:$AT$4010,MATCH(403,$AZ$11:$AZ$4010,0)),""))</f>
        <v/>
      </c>
      <c r="AL413" s="17" t="str">
        <f t="shared" si="83"/>
        <v/>
      </c>
      <c r="AM413" s="12" t="str">
        <f t="shared" si="84"/>
        <v/>
      </c>
      <c r="AN413" s="18" t="str">
        <f t="shared" si="85"/>
        <v/>
      </c>
      <c r="AO413" s="18" t="str">
        <f t="shared" si="86"/>
        <v/>
      </c>
      <c r="AP413" s="10" t="str">
        <f t="shared" si="87"/>
        <v/>
      </c>
      <c r="AQ413" s="10" t="str">
        <f t="shared" si="88"/>
        <v/>
      </c>
      <c r="AR413" s="19" t="str">
        <f t="shared" si="89"/>
        <v/>
      </c>
      <c r="AS413" s="20"/>
      <c r="AT413" s="19"/>
      <c r="AV413" s="21">
        <f>IF(AND($AL413&lt;&gt;"",COUNTIF($AL$11:$AL413,$AL413)=1),1,0)</f>
        <v>0</v>
      </c>
      <c r="AW413" s="21">
        <f t="shared" si="91"/>
        <v>0</v>
      </c>
      <c r="AX413" s="21" t="str">
        <f t="shared" si="90"/>
        <v/>
      </c>
      <c r="AY413" s="21" t="str">
        <f>IF(AND($AM413&lt;&gt;"",$AS413&lt;&gt;"✓"),SUMPRODUCT(($AM$11:$AM413&lt;&gt;"")*($AS$11:$AS413&lt;&gt;"✓")),"")</f>
        <v/>
      </c>
      <c r="AZ413" s="21" t="str">
        <f>IF(AND($AM413&lt;&gt;"",$AS413="✓"),SUMPRODUCT(($AM$11:$AM413&lt;&gt;"")*($AS$11:$AS413="✓")),"")</f>
        <v/>
      </c>
      <c r="BA413" s="21" t="str">
        <f>IF($AL413="","",$AL413&amp;"|"&amp;COUNTIF($AL$11:$AL413,$AL413))</f>
        <v/>
      </c>
    </row>
    <row r="414" spans="2:53" ht="15" customHeight="1" x14ac:dyDescent="0.25">
      <c r="B414" s="5" t="str">
        <f t="shared" si="82"/>
        <v/>
      </c>
      <c r="C414" s="5"/>
      <c r="D414" s="5"/>
      <c r="E414" s="5"/>
      <c r="F414" s="6"/>
      <c r="G414" s="6"/>
      <c r="H414" s="7"/>
      <c r="I414" s="8"/>
      <c r="W414" s="28" t="str">
        <f>IF(X414="","",IFERROR(INDEX($AL$11:$AL$4010,MATCH(404,$AY$11:$AY$4010,0)),""))</f>
        <v/>
      </c>
      <c r="X414" s="26" t="str">
        <f>IFERROR(INDEX($AM$11:$AM$4010,MATCH(404,$AY$11:$AY$4010,0)),"")</f>
        <v/>
      </c>
      <c r="Y414" s="25" t="str">
        <f>IF(X414="","",IFERROR(INDEX($AN$11:$AN$4010,MATCH(404,$AY$11:$AY$4010,0)),""))</f>
        <v/>
      </c>
      <c r="Z414" s="25" t="str">
        <f>IF(X414="","",IFERROR(INDEX($AO$11:$AO$4010,MATCH(404,$AY$11:$AY$4010,0)),""))</f>
        <v/>
      </c>
      <c r="AA414" s="24" t="str">
        <f>IF(X414="","",IFERROR(INDEX($AQ$11:$AQ$4010,MATCH(404,$AY$11:$AY$4010,0)),""))</f>
        <v/>
      </c>
      <c r="AB414" s="29" t="str">
        <f>IF(X414="","",IFERROR(INDEX($AR$11:$AR$4010,MATCH(404,$AY$11:$AY$4010,0)),""))</f>
        <v/>
      </c>
      <c r="AD414" s="30" t="str">
        <f>IF(AE414="","",IFERROR(INDEX($AL$11:$AL$4010,MATCH(404,$AZ$11:$AZ$4010,0)),""))</f>
        <v/>
      </c>
      <c r="AE414" s="26" t="str">
        <f>IFERROR(INDEX($AM$11:$AM$4010,MATCH(404,$AZ$11:$AZ$4010,0)),"")</f>
        <v/>
      </c>
      <c r="AF414" s="25" t="str">
        <f>IF(AE414="","",IFERROR(INDEX($AN$11:$AN$4010,MATCH(404,$AZ$11:$AZ$4010,0)),""))</f>
        <v/>
      </c>
      <c r="AG414" s="25" t="str">
        <f>IF(AE414="","",IFERROR(INDEX($AO$11:$AO$4010,MATCH(404,$AZ$11:$AZ$4010,0)),""))</f>
        <v/>
      </c>
      <c r="AH414" s="24" t="str">
        <f>IF(AE414="","",IFERROR(INDEX($AQ$11:$AQ$4010,MATCH(404,$AZ$11:$AZ$4010,0)),""))</f>
        <v/>
      </c>
      <c r="AI414" s="29" t="str">
        <f>IF(AE414="","",IFERROR(INDEX($AR$11:$AR$4010,MATCH(404,$AZ$11:$AZ$4010,0)),""))</f>
        <v/>
      </c>
      <c r="AJ414" s="29" t="str">
        <f>IF(AE414="","",IFERROR(INDEX($AT$11:$AT$4010,MATCH(404,$AZ$11:$AZ$4010,0)),""))</f>
        <v/>
      </c>
      <c r="AL414" s="31" t="str">
        <f t="shared" si="83"/>
        <v/>
      </c>
      <c r="AM414" s="26" t="str">
        <f t="shared" si="84"/>
        <v/>
      </c>
      <c r="AN414" s="32" t="str">
        <f t="shared" si="85"/>
        <v/>
      </c>
      <c r="AO414" s="32" t="str">
        <f t="shared" si="86"/>
        <v/>
      </c>
      <c r="AP414" s="24" t="str">
        <f t="shared" si="87"/>
        <v/>
      </c>
      <c r="AQ414" s="24" t="str">
        <f t="shared" si="88"/>
        <v/>
      </c>
      <c r="AR414" s="33" t="str">
        <f t="shared" si="89"/>
        <v/>
      </c>
      <c r="AS414" s="34"/>
      <c r="AT414" s="33"/>
      <c r="AV414" s="21">
        <f>IF(AND($AL414&lt;&gt;"",COUNTIF($AL$11:$AL414,$AL414)=1),1,0)</f>
        <v>0</v>
      </c>
      <c r="AW414" s="21">
        <f t="shared" si="91"/>
        <v>0</v>
      </c>
      <c r="AX414" s="21" t="str">
        <f t="shared" si="90"/>
        <v/>
      </c>
      <c r="AY414" s="21" t="str">
        <f>IF(AND($AM414&lt;&gt;"",$AS414&lt;&gt;"✓"),SUMPRODUCT(($AM$11:$AM414&lt;&gt;"")*($AS$11:$AS414&lt;&gt;"✓")),"")</f>
        <v/>
      </c>
      <c r="AZ414" s="21" t="str">
        <f>IF(AND($AM414&lt;&gt;"",$AS414="✓"),SUMPRODUCT(($AM$11:$AM414&lt;&gt;"")*($AS$11:$AS414="✓")),"")</f>
        <v/>
      </c>
      <c r="BA414" s="21" t="str">
        <f>IF($AL414="","",$AL414&amp;"|"&amp;COUNTIF($AL$11:$AL414,$AL414))</f>
        <v/>
      </c>
    </row>
    <row r="415" spans="2:53" ht="15" customHeight="1" x14ac:dyDescent="0.25">
      <c r="B415" s="5" t="str">
        <f t="shared" si="82"/>
        <v/>
      </c>
      <c r="C415" s="5"/>
      <c r="D415" s="5"/>
      <c r="E415" s="5"/>
      <c r="F415" s="6"/>
      <c r="G415" s="6"/>
      <c r="H415" s="7"/>
      <c r="I415" s="8"/>
      <c r="W415" s="14" t="str">
        <f>IF(X415="","",IFERROR(INDEX($AL$11:$AL$4010,MATCH(405,$AY$11:$AY$4010,0)),""))</f>
        <v/>
      </c>
      <c r="X415" s="12" t="str">
        <f>IFERROR(INDEX($AM$11:$AM$4010,MATCH(405,$AY$11:$AY$4010,0)),"")</f>
        <v/>
      </c>
      <c r="Y415" s="11" t="str">
        <f>IF(X415="","",IFERROR(INDEX($AN$11:$AN$4010,MATCH(405,$AY$11:$AY$4010,0)),""))</f>
        <v/>
      </c>
      <c r="Z415" s="11" t="str">
        <f>IF(X415="","",IFERROR(INDEX($AO$11:$AO$4010,MATCH(405,$AY$11:$AY$4010,0)),""))</f>
        <v/>
      </c>
      <c r="AA415" s="10" t="str">
        <f>IF(X415="","",IFERROR(INDEX($AQ$11:$AQ$4010,MATCH(405,$AY$11:$AY$4010,0)),""))</f>
        <v/>
      </c>
      <c r="AB415" s="15" t="str">
        <f>IF(X415="","",IFERROR(INDEX($AR$11:$AR$4010,MATCH(405,$AY$11:$AY$4010,0)),""))</f>
        <v/>
      </c>
      <c r="AD415" s="16" t="str">
        <f>IF(AE415="","",IFERROR(INDEX($AL$11:$AL$4010,MATCH(405,$AZ$11:$AZ$4010,0)),""))</f>
        <v/>
      </c>
      <c r="AE415" s="12" t="str">
        <f>IFERROR(INDEX($AM$11:$AM$4010,MATCH(405,$AZ$11:$AZ$4010,0)),"")</f>
        <v/>
      </c>
      <c r="AF415" s="11" t="str">
        <f>IF(AE415="","",IFERROR(INDEX($AN$11:$AN$4010,MATCH(405,$AZ$11:$AZ$4010,0)),""))</f>
        <v/>
      </c>
      <c r="AG415" s="11" t="str">
        <f>IF(AE415="","",IFERROR(INDEX($AO$11:$AO$4010,MATCH(405,$AZ$11:$AZ$4010,0)),""))</f>
        <v/>
      </c>
      <c r="AH415" s="10" t="str">
        <f>IF(AE415="","",IFERROR(INDEX($AQ$11:$AQ$4010,MATCH(405,$AZ$11:$AZ$4010,0)),""))</f>
        <v/>
      </c>
      <c r="AI415" s="15" t="str">
        <f>IF(AE415="","",IFERROR(INDEX($AR$11:$AR$4010,MATCH(405,$AZ$11:$AZ$4010,0)),""))</f>
        <v/>
      </c>
      <c r="AJ415" s="15" t="str">
        <f>IF(AE415="","",IFERROR(INDEX($AT$11:$AT$4010,MATCH(405,$AZ$11:$AZ$4010,0)),""))</f>
        <v/>
      </c>
      <c r="AL415" s="17" t="str">
        <f t="shared" si="83"/>
        <v/>
      </c>
      <c r="AM415" s="12" t="str">
        <f t="shared" si="84"/>
        <v/>
      </c>
      <c r="AN415" s="18" t="str">
        <f t="shared" si="85"/>
        <v/>
      </c>
      <c r="AO415" s="18" t="str">
        <f t="shared" si="86"/>
        <v/>
      </c>
      <c r="AP415" s="10" t="str">
        <f t="shared" si="87"/>
        <v/>
      </c>
      <c r="AQ415" s="10" t="str">
        <f t="shared" si="88"/>
        <v/>
      </c>
      <c r="AR415" s="19" t="str">
        <f t="shared" si="89"/>
        <v/>
      </c>
      <c r="AS415" s="20"/>
      <c r="AT415" s="19"/>
      <c r="AV415" s="21">
        <f>IF(AND($AL415&lt;&gt;"",COUNTIF($AL$11:$AL415,$AL415)=1),1,0)</f>
        <v>0</v>
      </c>
      <c r="AW415" s="21">
        <f t="shared" si="91"/>
        <v>0</v>
      </c>
      <c r="AX415" s="21" t="str">
        <f t="shared" si="90"/>
        <v/>
      </c>
      <c r="AY415" s="21" t="str">
        <f>IF(AND($AM415&lt;&gt;"",$AS415&lt;&gt;"✓"),SUMPRODUCT(($AM$11:$AM415&lt;&gt;"")*($AS$11:$AS415&lt;&gt;"✓")),"")</f>
        <v/>
      </c>
      <c r="AZ415" s="21" t="str">
        <f>IF(AND($AM415&lt;&gt;"",$AS415="✓"),SUMPRODUCT(($AM$11:$AM415&lt;&gt;"")*($AS$11:$AS415="✓")),"")</f>
        <v/>
      </c>
      <c r="BA415" s="21" t="str">
        <f>IF($AL415="","",$AL415&amp;"|"&amp;COUNTIF($AL$11:$AL415,$AL415))</f>
        <v/>
      </c>
    </row>
    <row r="416" spans="2:53" ht="15" customHeight="1" x14ac:dyDescent="0.25">
      <c r="B416" s="5" t="str">
        <f t="shared" si="82"/>
        <v/>
      </c>
      <c r="C416" s="5"/>
      <c r="D416" s="5"/>
      <c r="E416" s="5"/>
      <c r="F416" s="6"/>
      <c r="G416" s="6"/>
      <c r="H416" s="7"/>
      <c r="I416" s="8"/>
      <c r="W416" s="28" t="str">
        <f>IF(X416="","",IFERROR(INDEX($AL$11:$AL$4010,MATCH(406,$AY$11:$AY$4010,0)),""))</f>
        <v/>
      </c>
      <c r="X416" s="26" t="str">
        <f>IFERROR(INDEX($AM$11:$AM$4010,MATCH(406,$AY$11:$AY$4010,0)),"")</f>
        <v/>
      </c>
      <c r="Y416" s="25" t="str">
        <f>IF(X416="","",IFERROR(INDEX($AN$11:$AN$4010,MATCH(406,$AY$11:$AY$4010,0)),""))</f>
        <v/>
      </c>
      <c r="Z416" s="25" t="str">
        <f>IF(X416="","",IFERROR(INDEX($AO$11:$AO$4010,MATCH(406,$AY$11:$AY$4010,0)),""))</f>
        <v/>
      </c>
      <c r="AA416" s="24" t="str">
        <f>IF(X416="","",IFERROR(INDEX($AQ$11:$AQ$4010,MATCH(406,$AY$11:$AY$4010,0)),""))</f>
        <v/>
      </c>
      <c r="AB416" s="29" t="str">
        <f>IF(X416="","",IFERROR(INDEX($AR$11:$AR$4010,MATCH(406,$AY$11:$AY$4010,0)),""))</f>
        <v/>
      </c>
      <c r="AD416" s="30" t="str">
        <f>IF(AE416="","",IFERROR(INDEX($AL$11:$AL$4010,MATCH(406,$AZ$11:$AZ$4010,0)),""))</f>
        <v/>
      </c>
      <c r="AE416" s="26" t="str">
        <f>IFERROR(INDEX($AM$11:$AM$4010,MATCH(406,$AZ$11:$AZ$4010,0)),"")</f>
        <v/>
      </c>
      <c r="AF416" s="25" t="str">
        <f>IF(AE416="","",IFERROR(INDEX($AN$11:$AN$4010,MATCH(406,$AZ$11:$AZ$4010,0)),""))</f>
        <v/>
      </c>
      <c r="AG416" s="25" t="str">
        <f>IF(AE416="","",IFERROR(INDEX($AO$11:$AO$4010,MATCH(406,$AZ$11:$AZ$4010,0)),""))</f>
        <v/>
      </c>
      <c r="AH416" s="24" t="str">
        <f>IF(AE416="","",IFERROR(INDEX($AQ$11:$AQ$4010,MATCH(406,$AZ$11:$AZ$4010,0)),""))</f>
        <v/>
      </c>
      <c r="AI416" s="29" t="str">
        <f>IF(AE416="","",IFERROR(INDEX($AR$11:$AR$4010,MATCH(406,$AZ$11:$AZ$4010,0)),""))</f>
        <v/>
      </c>
      <c r="AJ416" s="29" t="str">
        <f>IF(AE416="","",IFERROR(INDEX($AT$11:$AT$4010,MATCH(406,$AZ$11:$AZ$4010,0)),""))</f>
        <v/>
      </c>
      <c r="AL416" s="31" t="str">
        <f t="shared" si="83"/>
        <v/>
      </c>
      <c r="AM416" s="26" t="str">
        <f t="shared" si="84"/>
        <v/>
      </c>
      <c r="AN416" s="32" t="str">
        <f t="shared" si="85"/>
        <v/>
      </c>
      <c r="AO416" s="32" t="str">
        <f t="shared" si="86"/>
        <v/>
      </c>
      <c r="AP416" s="24" t="str">
        <f t="shared" si="87"/>
        <v/>
      </c>
      <c r="AQ416" s="24" t="str">
        <f t="shared" si="88"/>
        <v/>
      </c>
      <c r="AR416" s="33" t="str">
        <f t="shared" si="89"/>
        <v/>
      </c>
      <c r="AS416" s="34"/>
      <c r="AT416" s="33"/>
      <c r="AV416" s="21">
        <f>IF(AND($AL416&lt;&gt;"",COUNTIF($AL$11:$AL416,$AL416)=1),1,0)</f>
        <v>0</v>
      </c>
      <c r="AW416" s="21">
        <f t="shared" si="91"/>
        <v>0</v>
      </c>
      <c r="AX416" s="21" t="str">
        <f t="shared" si="90"/>
        <v/>
      </c>
      <c r="AY416" s="21" t="str">
        <f>IF(AND($AM416&lt;&gt;"",$AS416&lt;&gt;"✓"),SUMPRODUCT(($AM$11:$AM416&lt;&gt;"")*($AS$11:$AS416&lt;&gt;"✓")),"")</f>
        <v/>
      </c>
      <c r="AZ416" s="21" t="str">
        <f>IF(AND($AM416&lt;&gt;"",$AS416="✓"),SUMPRODUCT(($AM$11:$AM416&lt;&gt;"")*($AS$11:$AS416="✓")),"")</f>
        <v/>
      </c>
      <c r="BA416" s="21" t="str">
        <f>IF($AL416="","",$AL416&amp;"|"&amp;COUNTIF($AL$11:$AL416,$AL416))</f>
        <v/>
      </c>
    </row>
    <row r="417" spans="2:53" ht="15" customHeight="1" x14ac:dyDescent="0.25">
      <c r="B417" s="5" t="str">
        <f t="shared" si="82"/>
        <v/>
      </c>
      <c r="C417" s="5"/>
      <c r="D417" s="5"/>
      <c r="E417" s="5"/>
      <c r="F417" s="6"/>
      <c r="G417" s="6"/>
      <c r="H417" s="7"/>
      <c r="I417" s="8"/>
      <c r="W417" s="14" t="str">
        <f>IF(X417="","",IFERROR(INDEX($AL$11:$AL$4010,MATCH(407,$AY$11:$AY$4010,0)),""))</f>
        <v/>
      </c>
      <c r="X417" s="12" t="str">
        <f>IFERROR(INDEX($AM$11:$AM$4010,MATCH(407,$AY$11:$AY$4010,0)),"")</f>
        <v/>
      </c>
      <c r="Y417" s="11" t="str">
        <f>IF(X417="","",IFERROR(INDEX($AN$11:$AN$4010,MATCH(407,$AY$11:$AY$4010,0)),""))</f>
        <v/>
      </c>
      <c r="Z417" s="11" t="str">
        <f>IF(X417="","",IFERROR(INDEX($AO$11:$AO$4010,MATCH(407,$AY$11:$AY$4010,0)),""))</f>
        <v/>
      </c>
      <c r="AA417" s="10" t="str">
        <f>IF(X417="","",IFERROR(INDEX($AQ$11:$AQ$4010,MATCH(407,$AY$11:$AY$4010,0)),""))</f>
        <v/>
      </c>
      <c r="AB417" s="15" t="str">
        <f>IF(X417="","",IFERROR(INDEX($AR$11:$AR$4010,MATCH(407,$AY$11:$AY$4010,0)),""))</f>
        <v/>
      </c>
      <c r="AD417" s="16" t="str">
        <f>IF(AE417="","",IFERROR(INDEX($AL$11:$AL$4010,MATCH(407,$AZ$11:$AZ$4010,0)),""))</f>
        <v/>
      </c>
      <c r="AE417" s="12" t="str">
        <f>IFERROR(INDEX($AM$11:$AM$4010,MATCH(407,$AZ$11:$AZ$4010,0)),"")</f>
        <v/>
      </c>
      <c r="AF417" s="11" t="str">
        <f>IF(AE417="","",IFERROR(INDEX($AN$11:$AN$4010,MATCH(407,$AZ$11:$AZ$4010,0)),""))</f>
        <v/>
      </c>
      <c r="AG417" s="11" t="str">
        <f>IF(AE417="","",IFERROR(INDEX($AO$11:$AO$4010,MATCH(407,$AZ$11:$AZ$4010,0)),""))</f>
        <v/>
      </c>
      <c r="AH417" s="10" t="str">
        <f>IF(AE417="","",IFERROR(INDEX($AQ$11:$AQ$4010,MATCH(407,$AZ$11:$AZ$4010,0)),""))</f>
        <v/>
      </c>
      <c r="AI417" s="15" t="str">
        <f>IF(AE417="","",IFERROR(INDEX($AR$11:$AR$4010,MATCH(407,$AZ$11:$AZ$4010,0)),""))</f>
        <v/>
      </c>
      <c r="AJ417" s="15" t="str">
        <f>IF(AE417="","",IFERROR(INDEX($AT$11:$AT$4010,MATCH(407,$AZ$11:$AZ$4010,0)),""))</f>
        <v/>
      </c>
      <c r="AL417" s="17" t="str">
        <f t="shared" si="83"/>
        <v/>
      </c>
      <c r="AM417" s="12" t="str">
        <f t="shared" si="84"/>
        <v/>
      </c>
      <c r="AN417" s="18" t="str">
        <f t="shared" si="85"/>
        <v/>
      </c>
      <c r="AO417" s="18" t="str">
        <f t="shared" si="86"/>
        <v/>
      </c>
      <c r="AP417" s="10" t="str">
        <f t="shared" si="87"/>
        <v/>
      </c>
      <c r="AQ417" s="10" t="str">
        <f t="shared" si="88"/>
        <v/>
      </c>
      <c r="AR417" s="19" t="str">
        <f t="shared" si="89"/>
        <v/>
      </c>
      <c r="AS417" s="20"/>
      <c r="AT417" s="19"/>
      <c r="AV417" s="21">
        <f>IF(AND($AL417&lt;&gt;"",COUNTIF($AL$11:$AL417,$AL417)=1),1,0)</f>
        <v>0</v>
      </c>
      <c r="AW417" s="21">
        <f t="shared" si="91"/>
        <v>0</v>
      </c>
      <c r="AX417" s="21" t="str">
        <f t="shared" si="90"/>
        <v/>
      </c>
      <c r="AY417" s="21" t="str">
        <f>IF(AND($AM417&lt;&gt;"",$AS417&lt;&gt;"✓"),SUMPRODUCT(($AM$11:$AM417&lt;&gt;"")*($AS$11:$AS417&lt;&gt;"✓")),"")</f>
        <v/>
      </c>
      <c r="AZ417" s="21" t="str">
        <f>IF(AND($AM417&lt;&gt;"",$AS417="✓"),SUMPRODUCT(($AM$11:$AM417&lt;&gt;"")*($AS$11:$AS417="✓")),"")</f>
        <v/>
      </c>
      <c r="BA417" s="21" t="str">
        <f>IF($AL417="","",$AL417&amp;"|"&amp;COUNTIF($AL$11:$AL417,$AL417))</f>
        <v/>
      </c>
    </row>
    <row r="418" spans="2:53" ht="15" customHeight="1" x14ac:dyDescent="0.25">
      <c r="B418" s="5" t="str">
        <f t="shared" si="82"/>
        <v/>
      </c>
      <c r="C418" s="5"/>
      <c r="D418" s="5"/>
      <c r="E418" s="5"/>
      <c r="F418" s="6"/>
      <c r="G418" s="6"/>
      <c r="H418" s="7"/>
      <c r="I418" s="8"/>
      <c r="W418" s="28" t="str">
        <f>IF(X418="","",IFERROR(INDEX($AL$11:$AL$4010,MATCH(408,$AY$11:$AY$4010,0)),""))</f>
        <v/>
      </c>
      <c r="X418" s="26" t="str">
        <f>IFERROR(INDEX($AM$11:$AM$4010,MATCH(408,$AY$11:$AY$4010,0)),"")</f>
        <v/>
      </c>
      <c r="Y418" s="25" t="str">
        <f>IF(X418="","",IFERROR(INDEX($AN$11:$AN$4010,MATCH(408,$AY$11:$AY$4010,0)),""))</f>
        <v/>
      </c>
      <c r="Z418" s="25" t="str">
        <f>IF(X418="","",IFERROR(INDEX($AO$11:$AO$4010,MATCH(408,$AY$11:$AY$4010,0)),""))</f>
        <v/>
      </c>
      <c r="AA418" s="24" t="str">
        <f>IF(X418="","",IFERROR(INDEX($AQ$11:$AQ$4010,MATCH(408,$AY$11:$AY$4010,0)),""))</f>
        <v/>
      </c>
      <c r="AB418" s="29" t="str">
        <f>IF(X418="","",IFERROR(INDEX($AR$11:$AR$4010,MATCH(408,$AY$11:$AY$4010,0)),""))</f>
        <v/>
      </c>
      <c r="AD418" s="30" t="str">
        <f>IF(AE418="","",IFERROR(INDEX($AL$11:$AL$4010,MATCH(408,$AZ$11:$AZ$4010,0)),""))</f>
        <v/>
      </c>
      <c r="AE418" s="26" t="str">
        <f>IFERROR(INDEX($AM$11:$AM$4010,MATCH(408,$AZ$11:$AZ$4010,0)),"")</f>
        <v/>
      </c>
      <c r="AF418" s="25" t="str">
        <f>IF(AE418="","",IFERROR(INDEX($AN$11:$AN$4010,MATCH(408,$AZ$11:$AZ$4010,0)),""))</f>
        <v/>
      </c>
      <c r="AG418" s="25" t="str">
        <f>IF(AE418="","",IFERROR(INDEX($AO$11:$AO$4010,MATCH(408,$AZ$11:$AZ$4010,0)),""))</f>
        <v/>
      </c>
      <c r="AH418" s="24" t="str">
        <f>IF(AE418="","",IFERROR(INDEX($AQ$11:$AQ$4010,MATCH(408,$AZ$11:$AZ$4010,0)),""))</f>
        <v/>
      </c>
      <c r="AI418" s="29" t="str">
        <f>IF(AE418="","",IFERROR(INDEX($AR$11:$AR$4010,MATCH(408,$AZ$11:$AZ$4010,0)),""))</f>
        <v/>
      </c>
      <c r="AJ418" s="29" t="str">
        <f>IF(AE418="","",IFERROR(INDEX($AT$11:$AT$4010,MATCH(408,$AZ$11:$AZ$4010,0)),""))</f>
        <v/>
      </c>
      <c r="AL418" s="31" t="str">
        <f t="shared" si="83"/>
        <v/>
      </c>
      <c r="AM418" s="26" t="str">
        <f t="shared" si="84"/>
        <v/>
      </c>
      <c r="AN418" s="32" t="str">
        <f t="shared" si="85"/>
        <v/>
      </c>
      <c r="AO418" s="32" t="str">
        <f t="shared" si="86"/>
        <v/>
      </c>
      <c r="AP418" s="24" t="str">
        <f t="shared" si="87"/>
        <v/>
      </c>
      <c r="AQ418" s="24" t="str">
        <f t="shared" si="88"/>
        <v/>
      </c>
      <c r="AR418" s="33" t="str">
        <f t="shared" si="89"/>
        <v/>
      </c>
      <c r="AS418" s="34"/>
      <c r="AT418" s="33"/>
      <c r="AV418" s="21">
        <f>IF(AND($AL418&lt;&gt;"",COUNTIF($AL$11:$AL418,$AL418)=1),1,0)</f>
        <v>0</v>
      </c>
      <c r="AW418" s="21">
        <f t="shared" si="91"/>
        <v>0</v>
      </c>
      <c r="AX418" s="21" t="str">
        <f t="shared" si="90"/>
        <v/>
      </c>
      <c r="AY418" s="21" t="str">
        <f>IF(AND($AM418&lt;&gt;"",$AS418&lt;&gt;"✓"),SUMPRODUCT(($AM$11:$AM418&lt;&gt;"")*($AS$11:$AS418&lt;&gt;"✓")),"")</f>
        <v/>
      </c>
      <c r="AZ418" s="21" t="str">
        <f>IF(AND($AM418&lt;&gt;"",$AS418="✓"),SUMPRODUCT(($AM$11:$AM418&lt;&gt;"")*($AS$11:$AS418="✓")),"")</f>
        <v/>
      </c>
      <c r="BA418" s="21" t="str">
        <f>IF($AL418="","",$AL418&amp;"|"&amp;COUNTIF($AL$11:$AL418,$AL418))</f>
        <v/>
      </c>
    </row>
    <row r="419" spans="2:53" ht="15" customHeight="1" x14ac:dyDescent="0.25">
      <c r="B419" s="5" t="str">
        <f t="shared" si="82"/>
        <v/>
      </c>
      <c r="C419" s="5"/>
      <c r="D419" s="5"/>
      <c r="E419" s="5"/>
      <c r="F419" s="6"/>
      <c r="G419" s="6"/>
      <c r="H419" s="7"/>
      <c r="I419" s="8"/>
      <c r="W419" s="14" t="str">
        <f>IF(X419="","",IFERROR(INDEX($AL$11:$AL$4010,MATCH(409,$AY$11:$AY$4010,0)),""))</f>
        <v/>
      </c>
      <c r="X419" s="12" t="str">
        <f>IFERROR(INDEX($AM$11:$AM$4010,MATCH(409,$AY$11:$AY$4010,0)),"")</f>
        <v/>
      </c>
      <c r="Y419" s="11" t="str">
        <f>IF(X419="","",IFERROR(INDEX($AN$11:$AN$4010,MATCH(409,$AY$11:$AY$4010,0)),""))</f>
        <v/>
      </c>
      <c r="Z419" s="11" t="str">
        <f>IF(X419="","",IFERROR(INDEX($AO$11:$AO$4010,MATCH(409,$AY$11:$AY$4010,0)),""))</f>
        <v/>
      </c>
      <c r="AA419" s="10" t="str">
        <f>IF(X419="","",IFERROR(INDEX($AQ$11:$AQ$4010,MATCH(409,$AY$11:$AY$4010,0)),""))</f>
        <v/>
      </c>
      <c r="AB419" s="15" t="str">
        <f>IF(X419="","",IFERROR(INDEX($AR$11:$AR$4010,MATCH(409,$AY$11:$AY$4010,0)),""))</f>
        <v/>
      </c>
      <c r="AD419" s="16" t="str">
        <f>IF(AE419="","",IFERROR(INDEX($AL$11:$AL$4010,MATCH(409,$AZ$11:$AZ$4010,0)),""))</f>
        <v/>
      </c>
      <c r="AE419" s="12" t="str">
        <f>IFERROR(INDEX($AM$11:$AM$4010,MATCH(409,$AZ$11:$AZ$4010,0)),"")</f>
        <v/>
      </c>
      <c r="AF419" s="11" t="str">
        <f>IF(AE419="","",IFERROR(INDEX($AN$11:$AN$4010,MATCH(409,$AZ$11:$AZ$4010,0)),""))</f>
        <v/>
      </c>
      <c r="AG419" s="11" t="str">
        <f>IF(AE419="","",IFERROR(INDEX($AO$11:$AO$4010,MATCH(409,$AZ$11:$AZ$4010,0)),""))</f>
        <v/>
      </c>
      <c r="AH419" s="10" t="str">
        <f>IF(AE419="","",IFERROR(INDEX($AQ$11:$AQ$4010,MATCH(409,$AZ$11:$AZ$4010,0)),""))</f>
        <v/>
      </c>
      <c r="AI419" s="15" t="str">
        <f>IF(AE419="","",IFERROR(INDEX($AR$11:$AR$4010,MATCH(409,$AZ$11:$AZ$4010,0)),""))</f>
        <v/>
      </c>
      <c r="AJ419" s="15" t="str">
        <f>IF(AE419="","",IFERROR(INDEX($AT$11:$AT$4010,MATCH(409,$AZ$11:$AZ$4010,0)),""))</f>
        <v/>
      </c>
      <c r="AL419" s="17" t="str">
        <f t="shared" si="83"/>
        <v/>
      </c>
      <c r="AM419" s="12" t="str">
        <f t="shared" si="84"/>
        <v/>
      </c>
      <c r="AN419" s="18" t="str">
        <f t="shared" si="85"/>
        <v/>
      </c>
      <c r="AO419" s="18" t="str">
        <f t="shared" si="86"/>
        <v/>
      </c>
      <c r="AP419" s="10" t="str">
        <f t="shared" si="87"/>
        <v/>
      </c>
      <c r="AQ419" s="10" t="str">
        <f t="shared" si="88"/>
        <v/>
      </c>
      <c r="AR419" s="19" t="str">
        <f t="shared" si="89"/>
        <v/>
      </c>
      <c r="AS419" s="20"/>
      <c r="AT419" s="19"/>
      <c r="AV419" s="21">
        <f>IF(AND($AL419&lt;&gt;"",COUNTIF($AL$11:$AL419,$AL419)=1),1,0)</f>
        <v>0</v>
      </c>
      <c r="AW419" s="21">
        <f t="shared" si="91"/>
        <v>0</v>
      </c>
      <c r="AX419" s="21" t="str">
        <f t="shared" si="90"/>
        <v/>
      </c>
      <c r="AY419" s="21" t="str">
        <f>IF(AND($AM419&lt;&gt;"",$AS419&lt;&gt;"✓"),SUMPRODUCT(($AM$11:$AM419&lt;&gt;"")*($AS$11:$AS419&lt;&gt;"✓")),"")</f>
        <v/>
      </c>
      <c r="AZ419" s="21" t="str">
        <f>IF(AND($AM419&lt;&gt;"",$AS419="✓"),SUMPRODUCT(($AM$11:$AM419&lt;&gt;"")*($AS$11:$AS419="✓")),"")</f>
        <v/>
      </c>
      <c r="BA419" s="21" t="str">
        <f>IF($AL419="","",$AL419&amp;"|"&amp;COUNTIF($AL$11:$AL419,$AL419))</f>
        <v/>
      </c>
    </row>
    <row r="420" spans="2:53" ht="15" customHeight="1" x14ac:dyDescent="0.25">
      <c r="B420" s="5" t="str">
        <f t="shared" si="82"/>
        <v/>
      </c>
      <c r="C420" s="5"/>
      <c r="D420" s="5"/>
      <c r="E420" s="5"/>
      <c r="F420" s="6"/>
      <c r="G420" s="6"/>
      <c r="H420" s="7"/>
      <c r="I420" s="8"/>
      <c r="W420" s="28" t="str">
        <f>IF(X420="","",IFERROR(INDEX($AL$11:$AL$4010,MATCH(410,$AY$11:$AY$4010,0)),""))</f>
        <v/>
      </c>
      <c r="X420" s="26" t="str">
        <f>IFERROR(INDEX($AM$11:$AM$4010,MATCH(410,$AY$11:$AY$4010,0)),"")</f>
        <v/>
      </c>
      <c r="Y420" s="25" t="str">
        <f>IF(X420="","",IFERROR(INDEX($AN$11:$AN$4010,MATCH(410,$AY$11:$AY$4010,0)),""))</f>
        <v/>
      </c>
      <c r="Z420" s="25" t="str">
        <f>IF(X420="","",IFERROR(INDEX($AO$11:$AO$4010,MATCH(410,$AY$11:$AY$4010,0)),""))</f>
        <v/>
      </c>
      <c r="AA420" s="24" t="str">
        <f>IF(X420="","",IFERROR(INDEX($AQ$11:$AQ$4010,MATCH(410,$AY$11:$AY$4010,0)),""))</f>
        <v/>
      </c>
      <c r="AB420" s="29" t="str">
        <f>IF(X420="","",IFERROR(INDEX($AR$11:$AR$4010,MATCH(410,$AY$11:$AY$4010,0)),""))</f>
        <v/>
      </c>
      <c r="AD420" s="30" t="str">
        <f>IF(AE420="","",IFERROR(INDEX($AL$11:$AL$4010,MATCH(410,$AZ$11:$AZ$4010,0)),""))</f>
        <v/>
      </c>
      <c r="AE420" s="26" t="str">
        <f>IFERROR(INDEX($AM$11:$AM$4010,MATCH(410,$AZ$11:$AZ$4010,0)),"")</f>
        <v/>
      </c>
      <c r="AF420" s="25" t="str">
        <f>IF(AE420="","",IFERROR(INDEX($AN$11:$AN$4010,MATCH(410,$AZ$11:$AZ$4010,0)),""))</f>
        <v/>
      </c>
      <c r="AG420" s="25" t="str">
        <f>IF(AE420="","",IFERROR(INDEX($AO$11:$AO$4010,MATCH(410,$AZ$11:$AZ$4010,0)),""))</f>
        <v/>
      </c>
      <c r="AH420" s="24" t="str">
        <f>IF(AE420="","",IFERROR(INDEX($AQ$11:$AQ$4010,MATCH(410,$AZ$11:$AZ$4010,0)),""))</f>
        <v/>
      </c>
      <c r="AI420" s="29" t="str">
        <f>IF(AE420="","",IFERROR(INDEX($AR$11:$AR$4010,MATCH(410,$AZ$11:$AZ$4010,0)),""))</f>
        <v/>
      </c>
      <c r="AJ420" s="29" t="str">
        <f>IF(AE420="","",IFERROR(INDEX($AT$11:$AT$4010,MATCH(410,$AZ$11:$AZ$4010,0)),""))</f>
        <v/>
      </c>
      <c r="AL420" s="31" t="str">
        <f t="shared" si="83"/>
        <v/>
      </c>
      <c r="AM420" s="26" t="str">
        <f t="shared" si="84"/>
        <v/>
      </c>
      <c r="AN420" s="32" t="str">
        <f t="shared" si="85"/>
        <v/>
      </c>
      <c r="AO420" s="32" t="str">
        <f t="shared" si="86"/>
        <v/>
      </c>
      <c r="AP420" s="24" t="str">
        <f t="shared" si="87"/>
        <v/>
      </c>
      <c r="AQ420" s="24" t="str">
        <f t="shared" si="88"/>
        <v/>
      </c>
      <c r="AR420" s="33" t="str">
        <f t="shared" si="89"/>
        <v/>
      </c>
      <c r="AS420" s="34"/>
      <c r="AT420" s="33"/>
      <c r="AV420" s="21">
        <f>IF(AND($AL420&lt;&gt;"",COUNTIF($AL$11:$AL420,$AL420)=1),1,0)</f>
        <v>0</v>
      </c>
      <c r="AW420" s="21">
        <f t="shared" si="91"/>
        <v>0</v>
      </c>
      <c r="AX420" s="21" t="str">
        <f t="shared" si="90"/>
        <v/>
      </c>
      <c r="AY420" s="21" t="str">
        <f>IF(AND($AM420&lt;&gt;"",$AS420&lt;&gt;"✓"),SUMPRODUCT(($AM$11:$AM420&lt;&gt;"")*($AS$11:$AS420&lt;&gt;"✓")),"")</f>
        <v/>
      </c>
      <c r="AZ420" s="21" t="str">
        <f>IF(AND($AM420&lt;&gt;"",$AS420="✓"),SUMPRODUCT(($AM$11:$AM420&lt;&gt;"")*($AS$11:$AS420="✓")),"")</f>
        <v/>
      </c>
      <c r="BA420" s="21" t="str">
        <f>IF($AL420="","",$AL420&amp;"|"&amp;COUNTIF($AL$11:$AL420,$AL420))</f>
        <v/>
      </c>
    </row>
    <row r="421" spans="2:53" ht="15" customHeight="1" x14ac:dyDescent="0.25">
      <c r="B421" s="5" t="str">
        <f t="shared" si="82"/>
        <v/>
      </c>
      <c r="C421" s="5"/>
      <c r="D421" s="5"/>
      <c r="E421" s="5"/>
      <c r="F421" s="6"/>
      <c r="G421" s="6"/>
      <c r="H421" s="7"/>
      <c r="I421" s="8"/>
      <c r="W421" s="14" t="str">
        <f>IF(X421="","",IFERROR(INDEX($AL$11:$AL$4010,MATCH(411,$AY$11:$AY$4010,0)),""))</f>
        <v/>
      </c>
      <c r="X421" s="12" t="str">
        <f>IFERROR(INDEX($AM$11:$AM$4010,MATCH(411,$AY$11:$AY$4010,0)),"")</f>
        <v/>
      </c>
      <c r="Y421" s="11" t="str">
        <f>IF(X421="","",IFERROR(INDEX($AN$11:$AN$4010,MATCH(411,$AY$11:$AY$4010,0)),""))</f>
        <v/>
      </c>
      <c r="Z421" s="11" t="str">
        <f>IF(X421="","",IFERROR(INDEX($AO$11:$AO$4010,MATCH(411,$AY$11:$AY$4010,0)),""))</f>
        <v/>
      </c>
      <c r="AA421" s="10" t="str">
        <f>IF(X421="","",IFERROR(INDEX($AQ$11:$AQ$4010,MATCH(411,$AY$11:$AY$4010,0)),""))</f>
        <v/>
      </c>
      <c r="AB421" s="15" t="str">
        <f>IF(X421="","",IFERROR(INDEX($AR$11:$AR$4010,MATCH(411,$AY$11:$AY$4010,0)),""))</f>
        <v/>
      </c>
      <c r="AD421" s="16" t="str">
        <f>IF(AE421="","",IFERROR(INDEX($AL$11:$AL$4010,MATCH(411,$AZ$11:$AZ$4010,0)),""))</f>
        <v/>
      </c>
      <c r="AE421" s="12" t="str">
        <f>IFERROR(INDEX($AM$11:$AM$4010,MATCH(411,$AZ$11:$AZ$4010,0)),"")</f>
        <v/>
      </c>
      <c r="AF421" s="11" t="str">
        <f>IF(AE421="","",IFERROR(INDEX($AN$11:$AN$4010,MATCH(411,$AZ$11:$AZ$4010,0)),""))</f>
        <v/>
      </c>
      <c r="AG421" s="11" t="str">
        <f>IF(AE421="","",IFERROR(INDEX($AO$11:$AO$4010,MATCH(411,$AZ$11:$AZ$4010,0)),""))</f>
        <v/>
      </c>
      <c r="AH421" s="10" t="str">
        <f>IF(AE421="","",IFERROR(INDEX($AQ$11:$AQ$4010,MATCH(411,$AZ$11:$AZ$4010,0)),""))</f>
        <v/>
      </c>
      <c r="AI421" s="15" t="str">
        <f>IF(AE421="","",IFERROR(INDEX($AR$11:$AR$4010,MATCH(411,$AZ$11:$AZ$4010,0)),""))</f>
        <v/>
      </c>
      <c r="AJ421" s="15" t="str">
        <f>IF(AE421="","",IFERROR(INDEX($AT$11:$AT$4010,MATCH(411,$AZ$11:$AZ$4010,0)),""))</f>
        <v/>
      </c>
      <c r="AL421" s="17" t="str">
        <f t="shared" si="83"/>
        <v/>
      </c>
      <c r="AM421" s="12" t="str">
        <f t="shared" si="84"/>
        <v/>
      </c>
      <c r="AN421" s="18" t="str">
        <f t="shared" si="85"/>
        <v/>
      </c>
      <c r="AO421" s="18" t="str">
        <f t="shared" si="86"/>
        <v/>
      </c>
      <c r="AP421" s="10" t="str">
        <f t="shared" si="87"/>
        <v/>
      </c>
      <c r="AQ421" s="10" t="str">
        <f t="shared" si="88"/>
        <v/>
      </c>
      <c r="AR421" s="19" t="str">
        <f t="shared" si="89"/>
        <v/>
      </c>
      <c r="AS421" s="20"/>
      <c r="AT421" s="19"/>
      <c r="AV421" s="21">
        <f>IF(AND($AL421&lt;&gt;"",COUNTIF($AL$11:$AL421,$AL421)=1),1,0)</f>
        <v>0</v>
      </c>
      <c r="AW421" s="21">
        <f t="shared" si="91"/>
        <v>0</v>
      </c>
      <c r="AX421" s="21" t="str">
        <f t="shared" si="90"/>
        <v/>
      </c>
      <c r="AY421" s="21" t="str">
        <f>IF(AND($AM421&lt;&gt;"",$AS421&lt;&gt;"✓"),SUMPRODUCT(($AM$11:$AM421&lt;&gt;"")*($AS$11:$AS421&lt;&gt;"✓")),"")</f>
        <v/>
      </c>
      <c r="AZ421" s="21" t="str">
        <f>IF(AND($AM421&lt;&gt;"",$AS421="✓"),SUMPRODUCT(($AM$11:$AM421&lt;&gt;"")*($AS$11:$AS421="✓")),"")</f>
        <v/>
      </c>
      <c r="BA421" s="21" t="str">
        <f>IF($AL421="","",$AL421&amp;"|"&amp;COUNTIF($AL$11:$AL421,$AL421))</f>
        <v/>
      </c>
    </row>
    <row r="422" spans="2:53" ht="15" customHeight="1" x14ac:dyDescent="0.25">
      <c r="B422" s="5" t="str">
        <f t="shared" si="82"/>
        <v/>
      </c>
      <c r="C422" s="5"/>
      <c r="D422" s="5"/>
      <c r="E422" s="5"/>
      <c r="F422" s="6"/>
      <c r="G422" s="6"/>
      <c r="H422" s="7"/>
      <c r="I422" s="8"/>
      <c r="W422" s="28" t="str">
        <f>IF(X422="","",IFERROR(INDEX($AL$11:$AL$4010,MATCH(412,$AY$11:$AY$4010,0)),""))</f>
        <v/>
      </c>
      <c r="X422" s="26" t="str">
        <f>IFERROR(INDEX($AM$11:$AM$4010,MATCH(412,$AY$11:$AY$4010,0)),"")</f>
        <v/>
      </c>
      <c r="Y422" s="25" t="str">
        <f>IF(X422="","",IFERROR(INDEX($AN$11:$AN$4010,MATCH(412,$AY$11:$AY$4010,0)),""))</f>
        <v/>
      </c>
      <c r="Z422" s="25" t="str">
        <f>IF(X422="","",IFERROR(INDEX($AO$11:$AO$4010,MATCH(412,$AY$11:$AY$4010,0)),""))</f>
        <v/>
      </c>
      <c r="AA422" s="24" t="str">
        <f>IF(X422="","",IFERROR(INDEX($AQ$11:$AQ$4010,MATCH(412,$AY$11:$AY$4010,0)),""))</f>
        <v/>
      </c>
      <c r="AB422" s="29" t="str">
        <f>IF(X422="","",IFERROR(INDEX($AR$11:$AR$4010,MATCH(412,$AY$11:$AY$4010,0)),""))</f>
        <v/>
      </c>
      <c r="AD422" s="30" t="str">
        <f>IF(AE422="","",IFERROR(INDEX($AL$11:$AL$4010,MATCH(412,$AZ$11:$AZ$4010,0)),""))</f>
        <v/>
      </c>
      <c r="AE422" s="26" t="str">
        <f>IFERROR(INDEX($AM$11:$AM$4010,MATCH(412,$AZ$11:$AZ$4010,0)),"")</f>
        <v/>
      </c>
      <c r="AF422" s="25" t="str">
        <f>IF(AE422="","",IFERROR(INDEX($AN$11:$AN$4010,MATCH(412,$AZ$11:$AZ$4010,0)),""))</f>
        <v/>
      </c>
      <c r="AG422" s="25" t="str">
        <f>IF(AE422="","",IFERROR(INDEX($AO$11:$AO$4010,MATCH(412,$AZ$11:$AZ$4010,0)),""))</f>
        <v/>
      </c>
      <c r="AH422" s="24" t="str">
        <f>IF(AE422="","",IFERROR(INDEX($AQ$11:$AQ$4010,MATCH(412,$AZ$11:$AZ$4010,0)),""))</f>
        <v/>
      </c>
      <c r="AI422" s="29" t="str">
        <f>IF(AE422="","",IFERROR(INDEX($AR$11:$AR$4010,MATCH(412,$AZ$11:$AZ$4010,0)),""))</f>
        <v/>
      </c>
      <c r="AJ422" s="29" t="str">
        <f>IF(AE422="","",IFERROR(INDEX($AT$11:$AT$4010,MATCH(412,$AZ$11:$AZ$4010,0)),""))</f>
        <v/>
      </c>
      <c r="AL422" s="31" t="str">
        <f t="shared" si="83"/>
        <v/>
      </c>
      <c r="AM422" s="26" t="str">
        <f t="shared" si="84"/>
        <v/>
      </c>
      <c r="AN422" s="32" t="str">
        <f t="shared" si="85"/>
        <v/>
      </c>
      <c r="AO422" s="32" t="str">
        <f t="shared" si="86"/>
        <v/>
      </c>
      <c r="AP422" s="24" t="str">
        <f t="shared" si="87"/>
        <v/>
      </c>
      <c r="AQ422" s="24" t="str">
        <f t="shared" si="88"/>
        <v/>
      </c>
      <c r="AR422" s="33" t="str">
        <f t="shared" si="89"/>
        <v/>
      </c>
      <c r="AS422" s="34"/>
      <c r="AT422" s="33"/>
      <c r="AV422" s="21">
        <f>IF(AND($AL422&lt;&gt;"",COUNTIF($AL$11:$AL422,$AL422)=1),1,0)</f>
        <v>0</v>
      </c>
      <c r="AW422" s="21">
        <f t="shared" si="91"/>
        <v>0</v>
      </c>
      <c r="AX422" s="21" t="str">
        <f t="shared" si="90"/>
        <v/>
      </c>
      <c r="AY422" s="21" t="str">
        <f>IF(AND($AM422&lt;&gt;"",$AS422&lt;&gt;"✓"),SUMPRODUCT(($AM$11:$AM422&lt;&gt;"")*($AS$11:$AS422&lt;&gt;"✓")),"")</f>
        <v/>
      </c>
      <c r="AZ422" s="21" t="str">
        <f>IF(AND($AM422&lt;&gt;"",$AS422="✓"),SUMPRODUCT(($AM$11:$AM422&lt;&gt;"")*($AS$11:$AS422="✓")),"")</f>
        <v/>
      </c>
      <c r="BA422" s="21" t="str">
        <f>IF($AL422="","",$AL422&amp;"|"&amp;COUNTIF($AL$11:$AL422,$AL422))</f>
        <v/>
      </c>
    </row>
    <row r="423" spans="2:53" ht="15" customHeight="1" x14ac:dyDescent="0.25">
      <c r="B423" s="5" t="str">
        <f t="shared" si="82"/>
        <v/>
      </c>
      <c r="C423" s="5"/>
      <c r="D423" s="5"/>
      <c r="E423" s="5"/>
      <c r="F423" s="6"/>
      <c r="G423" s="6"/>
      <c r="H423" s="7"/>
      <c r="I423" s="8"/>
      <c r="W423" s="14" t="str">
        <f>IF(X423="","",IFERROR(INDEX($AL$11:$AL$4010,MATCH(413,$AY$11:$AY$4010,0)),""))</f>
        <v/>
      </c>
      <c r="X423" s="12" t="str">
        <f>IFERROR(INDEX($AM$11:$AM$4010,MATCH(413,$AY$11:$AY$4010,0)),"")</f>
        <v/>
      </c>
      <c r="Y423" s="11" t="str">
        <f>IF(X423="","",IFERROR(INDEX($AN$11:$AN$4010,MATCH(413,$AY$11:$AY$4010,0)),""))</f>
        <v/>
      </c>
      <c r="Z423" s="11" t="str">
        <f>IF(X423="","",IFERROR(INDEX($AO$11:$AO$4010,MATCH(413,$AY$11:$AY$4010,0)),""))</f>
        <v/>
      </c>
      <c r="AA423" s="10" t="str">
        <f>IF(X423="","",IFERROR(INDEX($AQ$11:$AQ$4010,MATCH(413,$AY$11:$AY$4010,0)),""))</f>
        <v/>
      </c>
      <c r="AB423" s="15" t="str">
        <f>IF(X423="","",IFERROR(INDEX($AR$11:$AR$4010,MATCH(413,$AY$11:$AY$4010,0)),""))</f>
        <v/>
      </c>
      <c r="AD423" s="16" t="str">
        <f>IF(AE423="","",IFERROR(INDEX($AL$11:$AL$4010,MATCH(413,$AZ$11:$AZ$4010,0)),""))</f>
        <v/>
      </c>
      <c r="AE423" s="12" t="str">
        <f>IFERROR(INDEX($AM$11:$AM$4010,MATCH(413,$AZ$11:$AZ$4010,0)),"")</f>
        <v/>
      </c>
      <c r="AF423" s="11" t="str">
        <f>IF(AE423="","",IFERROR(INDEX($AN$11:$AN$4010,MATCH(413,$AZ$11:$AZ$4010,0)),""))</f>
        <v/>
      </c>
      <c r="AG423" s="11" t="str">
        <f>IF(AE423="","",IFERROR(INDEX($AO$11:$AO$4010,MATCH(413,$AZ$11:$AZ$4010,0)),""))</f>
        <v/>
      </c>
      <c r="AH423" s="10" t="str">
        <f>IF(AE423="","",IFERROR(INDEX($AQ$11:$AQ$4010,MATCH(413,$AZ$11:$AZ$4010,0)),""))</f>
        <v/>
      </c>
      <c r="AI423" s="15" t="str">
        <f>IF(AE423="","",IFERROR(INDEX($AR$11:$AR$4010,MATCH(413,$AZ$11:$AZ$4010,0)),""))</f>
        <v/>
      </c>
      <c r="AJ423" s="15" t="str">
        <f>IF(AE423="","",IFERROR(INDEX($AT$11:$AT$4010,MATCH(413,$AZ$11:$AZ$4010,0)),""))</f>
        <v/>
      </c>
      <c r="AL423" s="17" t="str">
        <f t="shared" si="83"/>
        <v/>
      </c>
      <c r="AM423" s="12" t="str">
        <f t="shared" si="84"/>
        <v/>
      </c>
      <c r="AN423" s="18" t="str">
        <f t="shared" si="85"/>
        <v/>
      </c>
      <c r="AO423" s="18" t="str">
        <f t="shared" si="86"/>
        <v/>
      </c>
      <c r="AP423" s="10" t="str">
        <f t="shared" si="87"/>
        <v/>
      </c>
      <c r="AQ423" s="10" t="str">
        <f t="shared" si="88"/>
        <v/>
      </c>
      <c r="AR423" s="19" t="str">
        <f t="shared" si="89"/>
        <v/>
      </c>
      <c r="AS423" s="20"/>
      <c r="AT423" s="19"/>
      <c r="AV423" s="21">
        <f>IF(AND($AL423&lt;&gt;"",COUNTIF($AL$11:$AL423,$AL423)=1),1,0)</f>
        <v>0</v>
      </c>
      <c r="AW423" s="21">
        <f t="shared" si="91"/>
        <v>0</v>
      </c>
      <c r="AX423" s="21" t="str">
        <f t="shared" si="90"/>
        <v/>
      </c>
      <c r="AY423" s="21" t="str">
        <f>IF(AND($AM423&lt;&gt;"",$AS423&lt;&gt;"✓"),SUMPRODUCT(($AM$11:$AM423&lt;&gt;"")*($AS$11:$AS423&lt;&gt;"✓")),"")</f>
        <v/>
      </c>
      <c r="AZ423" s="21" t="str">
        <f>IF(AND($AM423&lt;&gt;"",$AS423="✓"),SUMPRODUCT(($AM$11:$AM423&lt;&gt;"")*($AS$11:$AS423="✓")),"")</f>
        <v/>
      </c>
      <c r="BA423" s="21" t="str">
        <f>IF($AL423="","",$AL423&amp;"|"&amp;COUNTIF($AL$11:$AL423,$AL423))</f>
        <v/>
      </c>
    </row>
    <row r="424" spans="2:53" ht="15" customHeight="1" x14ac:dyDescent="0.25">
      <c r="B424" s="5" t="str">
        <f t="shared" si="82"/>
        <v/>
      </c>
      <c r="C424" s="5"/>
      <c r="D424" s="5"/>
      <c r="E424" s="5"/>
      <c r="F424" s="6"/>
      <c r="G424" s="6"/>
      <c r="H424" s="7"/>
      <c r="I424" s="8"/>
      <c r="W424" s="28" t="str">
        <f>IF(X424="","",IFERROR(INDEX($AL$11:$AL$4010,MATCH(414,$AY$11:$AY$4010,0)),""))</f>
        <v/>
      </c>
      <c r="X424" s="26" t="str">
        <f>IFERROR(INDEX($AM$11:$AM$4010,MATCH(414,$AY$11:$AY$4010,0)),"")</f>
        <v/>
      </c>
      <c r="Y424" s="25" t="str">
        <f>IF(X424="","",IFERROR(INDEX($AN$11:$AN$4010,MATCH(414,$AY$11:$AY$4010,0)),""))</f>
        <v/>
      </c>
      <c r="Z424" s="25" t="str">
        <f>IF(X424="","",IFERROR(INDEX($AO$11:$AO$4010,MATCH(414,$AY$11:$AY$4010,0)),""))</f>
        <v/>
      </c>
      <c r="AA424" s="24" t="str">
        <f>IF(X424="","",IFERROR(INDEX($AQ$11:$AQ$4010,MATCH(414,$AY$11:$AY$4010,0)),""))</f>
        <v/>
      </c>
      <c r="AB424" s="29" t="str">
        <f>IF(X424="","",IFERROR(INDEX($AR$11:$AR$4010,MATCH(414,$AY$11:$AY$4010,0)),""))</f>
        <v/>
      </c>
      <c r="AD424" s="30" t="str">
        <f>IF(AE424="","",IFERROR(INDEX($AL$11:$AL$4010,MATCH(414,$AZ$11:$AZ$4010,0)),""))</f>
        <v/>
      </c>
      <c r="AE424" s="26" t="str">
        <f>IFERROR(INDEX($AM$11:$AM$4010,MATCH(414,$AZ$11:$AZ$4010,0)),"")</f>
        <v/>
      </c>
      <c r="AF424" s="25" t="str">
        <f>IF(AE424="","",IFERROR(INDEX($AN$11:$AN$4010,MATCH(414,$AZ$11:$AZ$4010,0)),""))</f>
        <v/>
      </c>
      <c r="AG424" s="25" t="str">
        <f>IF(AE424="","",IFERROR(INDEX($AO$11:$AO$4010,MATCH(414,$AZ$11:$AZ$4010,0)),""))</f>
        <v/>
      </c>
      <c r="AH424" s="24" t="str">
        <f>IF(AE424="","",IFERROR(INDEX($AQ$11:$AQ$4010,MATCH(414,$AZ$11:$AZ$4010,0)),""))</f>
        <v/>
      </c>
      <c r="AI424" s="29" t="str">
        <f>IF(AE424="","",IFERROR(INDEX($AR$11:$AR$4010,MATCH(414,$AZ$11:$AZ$4010,0)),""))</f>
        <v/>
      </c>
      <c r="AJ424" s="29" t="str">
        <f>IF(AE424="","",IFERROR(INDEX($AT$11:$AT$4010,MATCH(414,$AZ$11:$AZ$4010,0)),""))</f>
        <v/>
      </c>
      <c r="AL424" s="31" t="str">
        <f t="shared" si="83"/>
        <v/>
      </c>
      <c r="AM424" s="26" t="str">
        <f t="shared" si="84"/>
        <v/>
      </c>
      <c r="AN424" s="32" t="str">
        <f t="shared" si="85"/>
        <v/>
      </c>
      <c r="AO424" s="32" t="str">
        <f t="shared" si="86"/>
        <v/>
      </c>
      <c r="AP424" s="24" t="str">
        <f t="shared" si="87"/>
        <v/>
      </c>
      <c r="AQ424" s="24" t="str">
        <f t="shared" si="88"/>
        <v/>
      </c>
      <c r="AR424" s="33" t="str">
        <f t="shared" si="89"/>
        <v/>
      </c>
      <c r="AS424" s="34"/>
      <c r="AT424" s="33"/>
      <c r="AV424" s="21">
        <f>IF(AND($AL424&lt;&gt;"",COUNTIF($AL$11:$AL424,$AL424)=1),1,0)</f>
        <v>0</v>
      </c>
      <c r="AW424" s="21">
        <f t="shared" si="91"/>
        <v>0</v>
      </c>
      <c r="AX424" s="21" t="str">
        <f t="shared" si="90"/>
        <v/>
      </c>
      <c r="AY424" s="21" t="str">
        <f>IF(AND($AM424&lt;&gt;"",$AS424&lt;&gt;"✓"),SUMPRODUCT(($AM$11:$AM424&lt;&gt;"")*($AS$11:$AS424&lt;&gt;"✓")),"")</f>
        <v/>
      </c>
      <c r="AZ424" s="21" t="str">
        <f>IF(AND($AM424&lt;&gt;"",$AS424="✓"),SUMPRODUCT(($AM$11:$AM424&lt;&gt;"")*($AS$11:$AS424="✓")),"")</f>
        <v/>
      </c>
      <c r="BA424" s="21" t="str">
        <f>IF($AL424="","",$AL424&amp;"|"&amp;COUNTIF($AL$11:$AL424,$AL424))</f>
        <v/>
      </c>
    </row>
    <row r="425" spans="2:53" ht="15" customHeight="1" x14ac:dyDescent="0.25">
      <c r="B425" s="5" t="str">
        <f t="shared" si="82"/>
        <v/>
      </c>
      <c r="C425" s="5"/>
      <c r="D425" s="5"/>
      <c r="E425" s="5"/>
      <c r="F425" s="6"/>
      <c r="G425" s="6"/>
      <c r="H425" s="7"/>
      <c r="I425" s="8"/>
      <c r="W425" s="14" t="str">
        <f>IF(X425="","",IFERROR(INDEX($AL$11:$AL$4010,MATCH(415,$AY$11:$AY$4010,0)),""))</f>
        <v/>
      </c>
      <c r="X425" s="12" t="str">
        <f>IFERROR(INDEX($AM$11:$AM$4010,MATCH(415,$AY$11:$AY$4010,0)),"")</f>
        <v/>
      </c>
      <c r="Y425" s="11" t="str">
        <f>IF(X425="","",IFERROR(INDEX($AN$11:$AN$4010,MATCH(415,$AY$11:$AY$4010,0)),""))</f>
        <v/>
      </c>
      <c r="Z425" s="11" t="str">
        <f>IF(X425="","",IFERROR(INDEX($AO$11:$AO$4010,MATCH(415,$AY$11:$AY$4010,0)),""))</f>
        <v/>
      </c>
      <c r="AA425" s="10" t="str">
        <f>IF(X425="","",IFERROR(INDEX($AQ$11:$AQ$4010,MATCH(415,$AY$11:$AY$4010,0)),""))</f>
        <v/>
      </c>
      <c r="AB425" s="15" t="str">
        <f>IF(X425="","",IFERROR(INDEX($AR$11:$AR$4010,MATCH(415,$AY$11:$AY$4010,0)),""))</f>
        <v/>
      </c>
      <c r="AD425" s="16" t="str">
        <f>IF(AE425="","",IFERROR(INDEX($AL$11:$AL$4010,MATCH(415,$AZ$11:$AZ$4010,0)),""))</f>
        <v/>
      </c>
      <c r="AE425" s="12" t="str">
        <f>IFERROR(INDEX($AM$11:$AM$4010,MATCH(415,$AZ$11:$AZ$4010,0)),"")</f>
        <v/>
      </c>
      <c r="AF425" s="11" t="str">
        <f>IF(AE425="","",IFERROR(INDEX($AN$11:$AN$4010,MATCH(415,$AZ$11:$AZ$4010,0)),""))</f>
        <v/>
      </c>
      <c r="AG425" s="11" t="str">
        <f>IF(AE425="","",IFERROR(INDEX($AO$11:$AO$4010,MATCH(415,$AZ$11:$AZ$4010,0)),""))</f>
        <v/>
      </c>
      <c r="AH425" s="10" t="str">
        <f>IF(AE425="","",IFERROR(INDEX($AQ$11:$AQ$4010,MATCH(415,$AZ$11:$AZ$4010,0)),""))</f>
        <v/>
      </c>
      <c r="AI425" s="15" t="str">
        <f>IF(AE425="","",IFERROR(INDEX($AR$11:$AR$4010,MATCH(415,$AZ$11:$AZ$4010,0)),""))</f>
        <v/>
      </c>
      <c r="AJ425" s="15" t="str">
        <f>IF(AE425="","",IFERROR(INDEX($AT$11:$AT$4010,MATCH(415,$AZ$11:$AZ$4010,0)),""))</f>
        <v/>
      </c>
      <c r="AL425" s="17" t="str">
        <f t="shared" si="83"/>
        <v/>
      </c>
      <c r="AM425" s="12" t="str">
        <f t="shared" si="84"/>
        <v/>
      </c>
      <c r="AN425" s="18" t="str">
        <f t="shared" si="85"/>
        <v/>
      </c>
      <c r="AO425" s="18" t="str">
        <f t="shared" si="86"/>
        <v/>
      </c>
      <c r="AP425" s="10" t="str">
        <f t="shared" si="87"/>
        <v/>
      </c>
      <c r="AQ425" s="10" t="str">
        <f t="shared" si="88"/>
        <v/>
      </c>
      <c r="AR425" s="19" t="str">
        <f t="shared" si="89"/>
        <v/>
      </c>
      <c r="AS425" s="20"/>
      <c r="AT425" s="19"/>
      <c r="AV425" s="21">
        <f>IF(AND($AL425&lt;&gt;"",COUNTIF($AL$11:$AL425,$AL425)=1),1,0)</f>
        <v>0</v>
      </c>
      <c r="AW425" s="21">
        <f t="shared" si="91"/>
        <v>0</v>
      </c>
      <c r="AX425" s="21" t="str">
        <f t="shared" si="90"/>
        <v/>
      </c>
      <c r="AY425" s="21" t="str">
        <f>IF(AND($AM425&lt;&gt;"",$AS425&lt;&gt;"✓"),SUMPRODUCT(($AM$11:$AM425&lt;&gt;"")*($AS$11:$AS425&lt;&gt;"✓")),"")</f>
        <v/>
      </c>
      <c r="AZ425" s="21" t="str">
        <f>IF(AND($AM425&lt;&gt;"",$AS425="✓"),SUMPRODUCT(($AM$11:$AM425&lt;&gt;"")*($AS$11:$AS425="✓")),"")</f>
        <v/>
      </c>
      <c r="BA425" s="21" t="str">
        <f>IF($AL425="","",$AL425&amp;"|"&amp;COUNTIF($AL$11:$AL425,$AL425))</f>
        <v/>
      </c>
    </row>
    <row r="426" spans="2:53" ht="15" customHeight="1" x14ac:dyDescent="0.25">
      <c r="B426" s="5" t="str">
        <f t="shared" si="82"/>
        <v/>
      </c>
      <c r="C426" s="5"/>
      <c r="D426" s="5"/>
      <c r="E426" s="5"/>
      <c r="F426" s="6"/>
      <c r="G426" s="6"/>
      <c r="H426" s="7"/>
      <c r="I426" s="8"/>
      <c r="W426" s="28" t="str">
        <f>IF(X426="","",IFERROR(INDEX($AL$11:$AL$4010,MATCH(416,$AY$11:$AY$4010,0)),""))</f>
        <v/>
      </c>
      <c r="X426" s="26" t="str">
        <f>IFERROR(INDEX($AM$11:$AM$4010,MATCH(416,$AY$11:$AY$4010,0)),"")</f>
        <v/>
      </c>
      <c r="Y426" s="25" t="str">
        <f>IF(X426="","",IFERROR(INDEX($AN$11:$AN$4010,MATCH(416,$AY$11:$AY$4010,0)),""))</f>
        <v/>
      </c>
      <c r="Z426" s="25" t="str">
        <f>IF(X426="","",IFERROR(INDEX($AO$11:$AO$4010,MATCH(416,$AY$11:$AY$4010,0)),""))</f>
        <v/>
      </c>
      <c r="AA426" s="24" t="str">
        <f>IF(X426="","",IFERROR(INDEX($AQ$11:$AQ$4010,MATCH(416,$AY$11:$AY$4010,0)),""))</f>
        <v/>
      </c>
      <c r="AB426" s="29" t="str">
        <f>IF(X426="","",IFERROR(INDEX($AR$11:$AR$4010,MATCH(416,$AY$11:$AY$4010,0)),""))</f>
        <v/>
      </c>
      <c r="AD426" s="30" t="str">
        <f>IF(AE426="","",IFERROR(INDEX($AL$11:$AL$4010,MATCH(416,$AZ$11:$AZ$4010,0)),""))</f>
        <v/>
      </c>
      <c r="AE426" s="26" t="str">
        <f>IFERROR(INDEX($AM$11:$AM$4010,MATCH(416,$AZ$11:$AZ$4010,0)),"")</f>
        <v/>
      </c>
      <c r="AF426" s="25" t="str">
        <f>IF(AE426="","",IFERROR(INDEX($AN$11:$AN$4010,MATCH(416,$AZ$11:$AZ$4010,0)),""))</f>
        <v/>
      </c>
      <c r="AG426" s="25" t="str">
        <f>IF(AE426="","",IFERROR(INDEX($AO$11:$AO$4010,MATCH(416,$AZ$11:$AZ$4010,0)),""))</f>
        <v/>
      </c>
      <c r="AH426" s="24" t="str">
        <f>IF(AE426="","",IFERROR(INDEX($AQ$11:$AQ$4010,MATCH(416,$AZ$11:$AZ$4010,0)),""))</f>
        <v/>
      </c>
      <c r="AI426" s="29" t="str">
        <f>IF(AE426="","",IFERROR(INDEX($AR$11:$AR$4010,MATCH(416,$AZ$11:$AZ$4010,0)),""))</f>
        <v/>
      </c>
      <c r="AJ426" s="29" t="str">
        <f>IF(AE426="","",IFERROR(INDEX($AT$11:$AT$4010,MATCH(416,$AZ$11:$AZ$4010,0)),""))</f>
        <v/>
      </c>
      <c r="AL426" s="31" t="str">
        <f t="shared" si="83"/>
        <v/>
      </c>
      <c r="AM426" s="26" t="str">
        <f t="shared" si="84"/>
        <v/>
      </c>
      <c r="AN426" s="32" t="str">
        <f t="shared" si="85"/>
        <v/>
      </c>
      <c r="AO426" s="32" t="str">
        <f t="shared" si="86"/>
        <v/>
      </c>
      <c r="AP426" s="24" t="str">
        <f t="shared" si="87"/>
        <v/>
      </c>
      <c r="AQ426" s="24" t="str">
        <f t="shared" si="88"/>
        <v/>
      </c>
      <c r="AR426" s="33" t="str">
        <f t="shared" si="89"/>
        <v/>
      </c>
      <c r="AS426" s="34"/>
      <c r="AT426" s="33"/>
      <c r="AV426" s="21">
        <f>IF(AND($AL426&lt;&gt;"",COUNTIF($AL$11:$AL426,$AL426)=1),1,0)</f>
        <v>0</v>
      </c>
      <c r="AW426" s="21">
        <f t="shared" si="91"/>
        <v>0</v>
      </c>
      <c r="AX426" s="21" t="str">
        <f t="shared" si="90"/>
        <v/>
      </c>
      <c r="AY426" s="21" t="str">
        <f>IF(AND($AM426&lt;&gt;"",$AS426&lt;&gt;"✓"),SUMPRODUCT(($AM$11:$AM426&lt;&gt;"")*($AS$11:$AS426&lt;&gt;"✓")),"")</f>
        <v/>
      </c>
      <c r="AZ426" s="21" t="str">
        <f>IF(AND($AM426&lt;&gt;"",$AS426="✓"),SUMPRODUCT(($AM$11:$AM426&lt;&gt;"")*($AS$11:$AS426="✓")),"")</f>
        <v/>
      </c>
      <c r="BA426" s="21" t="str">
        <f>IF($AL426="","",$AL426&amp;"|"&amp;COUNTIF($AL$11:$AL426,$AL426))</f>
        <v/>
      </c>
    </row>
    <row r="427" spans="2:53" ht="15" customHeight="1" x14ac:dyDescent="0.25">
      <c r="B427" s="5" t="str">
        <f t="shared" si="82"/>
        <v/>
      </c>
      <c r="C427" s="5"/>
      <c r="D427" s="5"/>
      <c r="E427" s="5"/>
      <c r="F427" s="6"/>
      <c r="G427" s="6"/>
      <c r="H427" s="7"/>
      <c r="I427" s="8"/>
      <c r="W427" s="14" t="str">
        <f>IF(X427="","",IFERROR(INDEX($AL$11:$AL$4010,MATCH(417,$AY$11:$AY$4010,0)),""))</f>
        <v/>
      </c>
      <c r="X427" s="12" t="str">
        <f>IFERROR(INDEX($AM$11:$AM$4010,MATCH(417,$AY$11:$AY$4010,0)),"")</f>
        <v/>
      </c>
      <c r="Y427" s="11" t="str">
        <f>IF(X427="","",IFERROR(INDEX($AN$11:$AN$4010,MATCH(417,$AY$11:$AY$4010,0)),""))</f>
        <v/>
      </c>
      <c r="Z427" s="11" t="str">
        <f>IF(X427="","",IFERROR(INDEX($AO$11:$AO$4010,MATCH(417,$AY$11:$AY$4010,0)),""))</f>
        <v/>
      </c>
      <c r="AA427" s="10" t="str">
        <f>IF(X427="","",IFERROR(INDEX($AQ$11:$AQ$4010,MATCH(417,$AY$11:$AY$4010,0)),""))</f>
        <v/>
      </c>
      <c r="AB427" s="15" t="str">
        <f>IF(X427="","",IFERROR(INDEX($AR$11:$AR$4010,MATCH(417,$AY$11:$AY$4010,0)),""))</f>
        <v/>
      </c>
      <c r="AD427" s="16" t="str">
        <f>IF(AE427="","",IFERROR(INDEX($AL$11:$AL$4010,MATCH(417,$AZ$11:$AZ$4010,0)),""))</f>
        <v/>
      </c>
      <c r="AE427" s="12" t="str">
        <f>IFERROR(INDEX($AM$11:$AM$4010,MATCH(417,$AZ$11:$AZ$4010,0)),"")</f>
        <v/>
      </c>
      <c r="AF427" s="11" t="str">
        <f>IF(AE427="","",IFERROR(INDEX($AN$11:$AN$4010,MATCH(417,$AZ$11:$AZ$4010,0)),""))</f>
        <v/>
      </c>
      <c r="AG427" s="11" t="str">
        <f>IF(AE427="","",IFERROR(INDEX($AO$11:$AO$4010,MATCH(417,$AZ$11:$AZ$4010,0)),""))</f>
        <v/>
      </c>
      <c r="AH427" s="10" t="str">
        <f>IF(AE427="","",IFERROR(INDEX($AQ$11:$AQ$4010,MATCH(417,$AZ$11:$AZ$4010,0)),""))</f>
        <v/>
      </c>
      <c r="AI427" s="15" t="str">
        <f>IF(AE427="","",IFERROR(INDEX($AR$11:$AR$4010,MATCH(417,$AZ$11:$AZ$4010,0)),""))</f>
        <v/>
      </c>
      <c r="AJ427" s="15" t="str">
        <f>IF(AE427="","",IFERROR(INDEX($AT$11:$AT$4010,MATCH(417,$AZ$11:$AZ$4010,0)),""))</f>
        <v/>
      </c>
      <c r="AL427" s="17" t="str">
        <f t="shared" si="83"/>
        <v/>
      </c>
      <c r="AM427" s="12" t="str">
        <f t="shared" si="84"/>
        <v/>
      </c>
      <c r="AN427" s="18" t="str">
        <f t="shared" si="85"/>
        <v/>
      </c>
      <c r="AO427" s="18" t="str">
        <f t="shared" si="86"/>
        <v/>
      </c>
      <c r="AP427" s="10" t="str">
        <f t="shared" si="87"/>
        <v/>
      </c>
      <c r="AQ427" s="10" t="str">
        <f t="shared" si="88"/>
        <v/>
      </c>
      <c r="AR427" s="19" t="str">
        <f t="shared" si="89"/>
        <v/>
      </c>
      <c r="AS427" s="20"/>
      <c r="AT427" s="19"/>
      <c r="AV427" s="21">
        <f>IF(AND($AL427&lt;&gt;"",COUNTIF($AL$11:$AL427,$AL427)=1),1,0)</f>
        <v>0</v>
      </c>
      <c r="AW427" s="21">
        <f t="shared" si="91"/>
        <v>0</v>
      </c>
      <c r="AX427" s="21" t="str">
        <f t="shared" si="90"/>
        <v/>
      </c>
      <c r="AY427" s="21" t="str">
        <f>IF(AND($AM427&lt;&gt;"",$AS427&lt;&gt;"✓"),SUMPRODUCT(($AM$11:$AM427&lt;&gt;"")*($AS$11:$AS427&lt;&gt;"✓")),"")</f>
        <v/>
      </c>
      <c r="AZ427" s="21" t="str">
        <f>IF(AND($AM427&lt;&gt;"",$AS427="✓"),SUMPRODUCT(($AM$11:$AM427&lt;&gt;"")*($AS$11:$AS427="✓")),"")</f>
        <v/>
      </c>
      <c r="BA427" s="21" t="str">
        <f>IF($AL427="","",$AL427&amp;"|"&amp;COUNTIF($AL$11:$AL427,$AL427))</f>
        <v/>
      </c>
    </row>
    <row r="428" spans="2:53" ht="15" customHeight="1" x14ac:dyDescent="0.25">
      <c r="B428" s="5" t="str">
        <f t="shared" si="82"/>
        <v/>
      </c>
      <c r="C428" s="5"/>
      <c r="D428" s="5"/>
      <c r="E428" s="5"/>
      <c r="F428" s="6"/>
      <c r="G428" s="6"/>
      <c r="H428" s="7"/>
      <c r="I428" s="8"/>
      <c r="W428" s="28" t="str">
        <f>IF(X428="","",IFERROR(INDEX($AL$11:$AL$4010,MATCH(418,$AY$11:$AY$4010,0)),""))</f>
        <v/>
      </c>
      <c r="X428" s="26" t="str">
        <f>IFERROR(INDEX($AM$11:$AM$4010,MATCH(418,$AY$11:$AY$4010,0)),"")</f>
        <v/>
      </c>
      <c r="Y428" s="25" t="str">
        <f>IF(X428="","",IFERROR(INDEX($AN$11:$AN$4010,MATCH(418,$AY$11:$AY$4010,0)),""))</f>
        <v/>
      </c>
      <c r="Z428" s="25" t="str">
        <f>IF(X428="","",IFERROR(INDEX($AO$11:$AO$4010,MATCH(418,$AY$11:$AY$4010,0)),""))</f>
        <v/>
      </c>
      <c r="AA428" s="24" t="str">
        <f>IF(X428="","",IFERROR(INDEX($AQ$11:$AQ$4010,MATCH(418,$AY$11:$AY$4010,0)),""))</f>
        <v/>
      </c>
      <c r="AB428" s="29" t="str">
        <f>IF(X428="","",IFERROR(INDEX($AR$11:$AR$4010,MATCH(418,$AY$11:$AY$4010,0)),""))</f>
        <v/>
      </c>
      <c r="AD428" s="30" t="str">
        <f>IF(AE428="","",IFERROR(INDEX($AL$11:$AL$4010,MATCH(418,$AZ$11:$AZ$4010,0)),""))</f>
        <v/>
      </c>
      <c r="AE428" s="26" t="str">
        <f>IFERROR(INDEX($AM$11:$AM$4010,MATCH(418,$AZ$11:$AZ$4010,0)),"")</f>
        <v/>
      </c>
      <c r="AF428" s="25" t="str">
        <f>IF(AE428="","",IFERROR(INDEX($AN$11:$AN$4010,MATCH(418,$AZ$11:$AZ$4010,0)),""))</f>
        <v/>
      </c>
      <c r="AG428" s="25" t="str">
        <f>IF(AE428="","",IFERROR(INDEX($AO$11:$AO$4010,MATCH(418,$AZ$11:$AZ$4010,0)),""))</f>
        <v/>
      </c>
      <c r="AH428" s="24" t="str">
        <f>IF(AE428="","",IFERROR(INDEX($AQ$11:$AQ$4010,MATCH(418,$AZ$11:$AZ$4010,0)),""))</f>
        <v/>
      </c>
      <c r="AI428" s="29" t="str">
        <f>IF(AE428="","",IFERROR(INDEX($AR$11:$AR$4010,MATCH(418,$AZ$11:$AZ$4010,0)),""))</f>
        <v/>
      </c>
      <c r="AJ428" s="29" t="str">
        <f>IF(AE428="","",IFERROR(INDEX($AT$11:$AT$4010,MATCH(418,$AZ$11:$AZ$4010,0)),""))</f>
        <v/>
      </c>
      <c r="AL428" s="31" t="str">
        <f t="shared" si="83"/>
        <v/>
      </c>
      <c r="AM428" s="26" t="str">
        <f t="shared" si="84"/>
        <v/>
      </c>
      <c r="AN428" s="32" t="str">
        <f t="shared" si="85"/>
        <v/>
      </c>
      <c r="AO428" s="32" t="str">
        <f t="shared" si="86"/>
        <v/>
      </c>
      <c r="AP428" s="24" t="str">
        <f t="shared" si="87"/>
        <v/>
      </c>
      <c r="AQ428" s="24" t="str">
        <f t="shared" si="88"/>
        <v/>
      </c>
      <c r="AR428" s="33" t="str">
        <f t="shared" si="89"/>
        <v/>
      </c>
      <c r="AS428" s="34"/>
      <c r="AT428" s="33"/>
      <c r="AV428" s="21">
        <f>IF(AND($AL428&lt;&gt;"",COUNTIF($AL$11:$AL428,$AL428)=1),1,0)</f>
        <v>0</v>
      </c>
      <c r="AW428" s="21">
        <f t="shared" si="91"/>
        <v>0</v>
      </c>
      <c r="AX428" s="21" t="str">
        <f t="shared" si="90"/>
        <v/>
      </c>
      <c r="AY428" s="21" t="str">
        <f>IF(AND($AM428&lt;&gt;"",$AS428&lt;&gt;"✓"),SUMPRODUCT(($AM$11:$AM428&lt;&gt;"")*($AS$11:$AS428&lt;&gt;"✓")),"")</f>
        <v/>
      </c>
      <c r="AZ428" s="21" t="str">
        <f>IF(AND($AM428&lt;&gt;"",$AS428="✓"),SUMPRODUCT(($AM$11:$AM428&lt;&gt;"")*($AS$11:$AS428="✓")),"")</f>
        <v/>
      </c>
      <c r="BA428" s="21" t="str">
        <f>IF($AL428="","",$AL428&amp;"|"&amp;COUNTIF($AL$11:$AL428,$AL428))</f>
        <v/>
      </c>
    </row>
    <row r="429" spans="2:53" ht="15" customHeight="1" x14ac:dyDescent="0.25">
      <c r="B429" s="5" t="str">
        <f t="shared" si="82"/>
        <v/>
      </c>
      <c r="C429" s="5"/>
      <c r="D429" s="5"/>
      <c r="E429" s="5"/>
      <c r="F429" s="6"/>
      <c r="G429" s="6"/>
      <c r="H429" s="7"/>
      <c r="I429" s="8"/>
      <c r="W429" s="14" t="str">
        <f>IF(X429="","",IFERROR(INDEX($AL$11:$AL$4010,MATCH(419,$AY$11:$AY$4010,0)),""))</f>
        <v/>
      </c>
      <c r="X429" s="12" t="str">
        <f>IFERROR(INDEX($AM$11:$AM$4010,MATCH(419,$AY$11:$AY$4010,0)),"")</f>
        <v/>
      </c>
      <c r="Y429" s="11" t="str">
        <f>IF(X429="","",IFERROR(INDEX($AN$11:$AN$4010,MATCH(419,$AY$11:$AY$4010,0)),""))</f>
        <v/>
      </c>
      <c r="Z429" s="11" t="str">
        <f>IF(X429="","",IFERROR(INDEX($AO$11:$AO$4010,MATCH(419,$AY$11:$AY$4010,0)),""))</f>
        <v/>
      </c>
      <c r="AA429" s="10" t="str">
        <f>IF(X429="","",IFERROR(INDEX($AQ$11:$AQ$4010,MATCH(419,$AY$11:$AY$4010,0)),""))</f>
        <v/>
      </c>
      <c r="AB429" s="15" t="str">
        <f>IF(X429="","",IFERROR(INDEX($AR$11:$AR$4010,MATCH(419,$AY$11:$AY$4010,0)),""))</f>
        <v/>
      </c>
      <c r="AD429" s="16" t="str">
        <f>IF(AE429="","",IFERROR(INDEX($AL$11:$AL$4010,MATCH(419,$AZ$11:$AZ$4010,0)),""))</f>
        <v/>
      </c>
      <c r="AE429" s="12" t="str">
        <f>IFERROR(INDEX($AM$11:$AM$4010,MATCH(419,$AZ$11:$AZ$4010,0)),"")</f>
        <v/>
      </c>
      <c r="AF429" s="11" t="str">
        <f>IF(AE429="","",IFERROR(INDEX($AN$11:$AN$4010,MATCH(419,$AZ$11:$AZ$4010,0)),""))</f>
        <v/>
      </c>
      <c r="AG429" s="11" t="str">
        <f>IF(AE429="","",IFERROR(INDEX($AO$11:$AO$4010,MATCH(419,$AZ$11:$AZ$4010,0)),""))</f>
        <v/>
      </c>
      <c r="AH429" s="10" t="str">
        <f>IF(AE429="","",IFERROR(INDEX($AQ$11:$AQ$4010,MATCH(419,$AZ$11:$AZ$4010,0)),""))</f>
        <v/>
      </c>
      <c r="AI429" s="15" t="str">
        <f>IF(AE429="","",IFERROR(INDEX($AR$11:$AR$4010,MATCH(419,$AZ$11:$AZ$4010,0)),""))</f>
        <v/>
      </c>
      <c r="AJ429" s="15" t="str">
        <f>IF(AE429="","",IFERROR(INDEX($AT$11:$AT$4010,MATCH(419,$AZ$11:$AZ$4010,0)),""))</f>
        <v/>
      </c>
      <c r="AL429" s="17" t="str">
        <f t="shared" si="83"/>
        <v/>
      </c>
      <c r="AM429" s="12" t="str">
        <f t="shared" si="84"/>
        <v/>
      </c>
      <c r="AN429" s="18" t="str">
        <f t="shared" si="85"/>
        <v/>
      </c>
      <c r="AO429" s="18" t="str">
        <f t="shared" si="86"/>
        <v/>
      </c>
      <c r="AP429" s="10" t="str">
        <f t="shared" si="87"/>
        <v/>
      </c>
      <c r="AQ429" s="10" t="str">
        <f t="shared" si="88"/>
        <v/>
      </c>
      <c r="AR429" s="19" t="str">
        <f t="shared" si="89"/>
        <v/>
      </c>
      <c r="AS429" s="20"/>
      <c r="AT429" s="19"/>
      <c r="AV429" s="21">
        <f>IF(AND($AL429&lt;&gt;"",COUNTIF($AL$11:$AL429,$AL429)=1),1,0)</f>
        <v>0</v>
      </c>
      <c r="AW429" s="21">
        <f t="shared" si="91"/>
        <v>0</v>
      </c>
      <c r="AX429" s="21" t="str">
        <f t="shared" si="90"/>
        <v/>
      </c>
      <c r="AY429" s="21" t="str">
        <f>IF(AND($AM429&lt;&gt;"",$AS429&lt;&gt;"✓"),SUMPRODUCT(($AM$11:$AM429&lt;&gt;"")*($AS$11:$AS429&lt;&gt;"✓")),"")</f>
        <v/>
      </c>
      <c r="AZ429" s="21" t="str">
        <f>IF(AND($AM429&lt;&gt;"",$AS429="✓"),SUMPRODUCT(($AM$11:$AM429&lt;&gt;"")*($AS$11:$AS429="✓")),"")</f>
        <v/>
      </c>
      <c r="BA429" s="21" t="str">
        <f>IF($AL429="","",$AL429&amp;"|"&amp;COUNTIF($AL$11:$AL429,$AL429))</f>
        <v/>
      </c>
    </row>
    <row r="430" spans="2:53" ht="15" customHeight="1" x14ac:dyDescent="0.25">
      <c r="B430" s="5" t="str">
        <f t="shared" si="82"/>
        <v/>
      </c>
      <c r="C430" s="5"/>
      <c r="D430" s="5"/>
      <c r="E430" s="5"/>
      <c r="F430" s="6"/>
      <c r="G430" s="6"/>
      <c r="H430" s="7"/>
      <c r="I430" s="8"/>
      <c r="W430" s="28" t="str">
        <f>IF(X430="","",IFERROR(INDEX($AL$11:$AL$4010,MATCH(420,$AY$11:$AY$4010,0)),""))</f>
        <v/>
      </c>
      <c r="X430" s="26" t="str">
        <f>IFERROR(INDEX($AM$11:$AM$4010,MATCH(420,$AY$11:$AY$4010,0)),"")</f>
        <v/>
      </c>
      <c r="Y430" s="25" t="str">
        <f>IF(X430="","",IFERROR(INDEX($AN$11:$AN$4010,MATCH(420,$AY$11:$AY$4010,0)),""))</f>
        <v/>
      </c>
      <c r="Z430" s="25" t="str">
        <f>IF(X430="","",IFERROR(INDEX($AO$11:$AO$4010,MATCH(420,$AY$11:$AY$4010,0)),""))</f>
        <v/>
      </c>
      <c r="AA430" s="24" t="str">
        <f>IF(X430="","",IFERROR(INDEX($AQ$11:$AQ$4010,MATCH(420,$AY$11:$AY$4010,0)),""))</f>
        <v/>
      </c>
      <c r="AB430" s="29" t="str">
        <f>IF(X430="","",IFERROR(INDEX($AR$11:$AR$4010,MATCH(420,$AY$11:$AY$4010,0)),""))</f>
        <v/>
      </c>
      <c r="AD430" s="30" t="str">
        <f>IF(AE430="","",IFERROR(INDEX($AL$11:$AL$4010,MATCH(420,$AZ$11:$AZ$4010,0)),""))</f>
        <v/>
      </c>
      <c r="AE430" s="26" t="str">
        <f>IFERROR(INDEX($AM$11:$AM$4010,MATCH(420,$AZ$11:$AZ$4010,0)),"")</f>
        <v/>
      </c>
      <c r="AF430" s="25" t="str">
        <f>IF(AE430="","",IFERROR(INDEX($AN$11:$AN$4010,MATCH(420,$AZ$11:$AZ$4010,0)),""))</f>
        <v/>
      </c>
      <c r="AG430" s="25" t="str">
        <f>IF(AE430="","",IFERROR(INDEX($AO$11:$AO$4010,MATCH(420,$AZ$11:$AZ$4010,0)),""))</f>
        <v/>
      </c>
      <c r="AH430" s="24" t="str">
        <f>IF(AE430="","",IFERROR(INDEX($AQ$11:$AQ$4010,MATCH(420,$AZ$11:$AZ$4010,0)),""))</f>
        <v/>
      </c>
      <c r="AI430" s="29" t="str">
        <f>IF(AE430="","",IFERROR(INDEX($AR$11:$AR$4010,MATCH(420,$AZ$11:$AZ$4010,0)),""))</f>
        <v/>
      </c>
      <c r="AJ430" s="29" t="str">
        <f>IF(AE430="","",IFERROR(INDEX($AT$11:$AT$4010,MATCH(420,$AZ$11:$AZ$4010,0)),""))</f>
        <v/>
      </c>
      <c r="AL430" s="31" t="str">
        <f t="shared" si="83"/>
        <v/>
      </c>
      <c r="AM430" s="26" t="str">
        <f t="shared" si="84"/>
        <v/>
      </c>
      <c r="AN430" s="32" t="str">
        <f t="shared" si="85"/>
        <v/>
      </c>
      <c r="AO430" s="32" t="str">
        <f t="shared" si="86"/>
        <v/>
      </c>
      <c r="AP430" s="24" t="str">
        <f t="shared" si="87"/>
        <v/>
      </c>
      <c r="AQ430" s="24" t="str">
        <f t="shared" si="88"/>
        <v/>
      </c>
      <c r="AR430" s="33" t="str">
        <f t="shared" si="89"/>
        <v/>
      </c>
      <c r="AS430" s="34"/>
      <c r="AT430" s="33"/>
      <c r="AV430" s="21">
        <f>IF(AND($AL430&lt;&gt;"",COUNTIF($AL$11:$AL430,$AL430)=1),1,0)</f>
        <v>0</v>
      </c>
      <c r="AW430" s="21">
        <f t="shared" si="91"/>
        <v>0</v>
      </c>
      <c r="AX430" s="21" t="str">
        <f t="shared" si="90"/>
        <v/>
      </c>
      <c r="AY430" s="21" t="str">
        <f>IF(AND($AM430&lt;&gt;"",$AS430&lt;&gt;"✓"),SUMPRODUCT(($AM$11:$AM430&lt;&gt;"")*($AS$11:$AS430&lt;&gt;"✓")),"")</f>
        <v/>
      </c>
      <c r="AZ430" s="21" t="str">
        <f>IF(AND($AM430&lt;&gt;"",$AS430="✓"),SUMPRODUCT(($AM$11:$AM430&lt;&gt;"")*($AS$11:$AS430="✓")),"")</f>
        <v/>
      </c>
      <c r="BA430" s="21" t="str">
        <f>IF($AL430="","",$AL430&amp;"|"&amp;COUNTIF($AL$11:$AL430,$AL430))</f>
        <v/>
      </c>
    </row>
    <row r="431" spans="2:53" ht="15" customHeight="1" x14ac:dyDescent="0.25">
      <c r="B431" s="5" t="str">
        <f t="shared" si="82"/>
        <v/>
      </c>
      <c r="C431" s="5"/>
      <c r="D431" s="5"/>
      <c r="E431" s="5"/>
      <c r="F431" s="6"/>
      <c r="G431" s="6"/>
      <c r="H431" s="7"/>
      <c r="I431" s="8"/>
      <c r="W431" s="14" t="str">
        <f>IF(X431="","",IFERROR(INDEX($AL$11:$AL$4010,MATCH(421,$AY$11:$AY$4010,0)),""))</f>
        <v/>
      </c>
      <c r="X431" s="12" t="str">
        <f>IFERROR(INDEX($AM$11:$AM$4010,MATCH(421,$AY$11:$AY$4010,0)),"")</f>
        <v/>
      </c>
      <c r="Y431" s="11" t="str">
        <f>IF(X431="","",IFERROR(INDEX($AN$11:$AN$4010,MATCH(421,$AY$11:$AY$4010,0)),""))</f>
        <v/>
      </c>
      <c r="Z431" s="11" t="str">
        <f>IF(X431="","",IFERROR(INDEX($AO$11:$AO$4010,MATCH(421,$AY$11:$AY$4010,0)),""))</f>
        <v/>
      </c>
      <c r="AA431" s="10" t="str">
        <f>IF(X431="","",IFERROR(INDEX($AQ$11:$AQ$4010,MATCH(421,$AY$11:$AY$4010,0)),""))</f>
        <v/>
      </c>
      <c r="AB431" s="15" t="str">
        <f>IF(X431="","",IFERROR(INDEX($AR$11:$AR$4010,MATCH(421,$AY$11:$AY$4010,0)),""))</f>
        <v/>
      </c>
      <c r="AD431" s="16" t="str">
        <f>IF(AE431="","",IFERROR(INDEX($AL$11:$AL$4010,MATCH(421,$AZ$11:$AZ$4010,0)),""))</f>
        <v/>
      </c>
      <c r="AE431" s="12" t="str">
        <f>IFERROR(INDEX($AM$11:$AM$4010,MATCH(421,$AZ$11:$AZ$4010,0)),"")</f>
        <v/>
      </c>
      <c r="AF431" s="11" t="str">
        <f>IF(AE431="","",IFERROR(INDEX($AN$11:$AN$4010,MATCH(421,$AZ$11:$AZ$4010,0)),""))</f>
        <v/>
      </c>
      <c r="AG431" s="11" t="str">
        <f>IF(AE431="","",IFERROR(INDEX($AO$11:$AO$4010,MATCH(421,$AZ$11:$AZ$4010,0)),""))</f>
        <v/>
      </c>
      <c r="AH431" s="10" t="str">
        <f>IF(AE431="","",IFERROR(INDEX($AQ$11:$AQ$4010,MATCH(421,$AZ$11:$AZ$4010,0)),""))</f>
        <v/>
      </c>
      <c r="AI431" s="15" t="str">
        <f>IF(AE431="","",IFERROR(INDEX($AR$11:$AR$4010,MATCH(421,$AZ$11:$AZ$4010,0)),""))</f>
        <v/>
      </c>
      <c r="AJ431" s="15" t="str">
        <f>IF(AE431="","",IFERROR(INDEX($AT$11:$AT$4010,MATCH(421,$AZ$11:$AZ$4010,0)),""))</f>
        <v/>
      </c>
      <c r="AL431" s="17" t="str">
        <f t="shared" si="83"/>
        <v/>
      </c>
      <c r="AM431" s="12" t="str">
        <f t="shared" si="84"/>
        <v/>
      </c>
      <c r="AN431" s="18" t="str">
        <f t="shared" si="85"/>
        <v/>
      </c>
      <c r="AO431" s="18" t="str">
        <f t="shared" si="86"/>
        <v/>
      </c>
      <c r="AP431" s="10" t="str">
        <f t="shared" si="87"/>
        <v/>
      </c>
      <c r="AQ431" s="10" t="str">
        <f t="shared" si="88"/>
        <v/>
      </c>
      <c r="AR431" s="19" t="str">
        <f t="shared" si="89"/>
        <v/>
      </c>
      <c r="AS431" s="20"/>
      <c r="AT431" s="19"/>
      <c r="AV431" s="21">
        <f>IF(AND($AL431&lt;&gt;"",COUNTIF($AL$11:$AL431,$AL431)=1),1,0)</f>
        <v>0</v>
      </c>
      <c r="AW431" s="21">
        <f t="shared" si="91"/>
        <v>0</v>
      </c>
      <c r="AX431" s="21" t="str">
        <f t="shared" si="90"/>
        <v/>
      </c>
      <c r="AY431" s="21" t="str">
        <f>IF(AND($AM431&lt;&gt;"",$AS431&lt;&gt;"✓"),SUMPRODUCT(($AM$11:$AM431&lt;&gt;"")*($AS$11:$AS431&lt;&gt;"✓")),"")</f>
        <v/>
      </c>
      <c r="AZ431" s="21" t="str">
        <f>IF(AND($AM431&lt;&gt;"",$AS431="✓"),SUMPRODUCT(($AM$11:$AM431&lt;&gt;"")*($AS$11:$AS431="✓")),"")</f>
        <v/>
      </c>
      <c r="BA431" s="21" t="str">
        <f>IF($AL431="","",$AL431&amp;"|"&amp;COUNTIF($AL$11:$AL431,$AL431))</f>
        <v/>
      </c>
    </row>
    <row r="432" spans="2:53" ht="15" customHeight="1" x14ac:dyDescent="0.25">
      <c r="B432" s="5" t="str">
        <f t="shared" si="82"/>
        <v/>
      </c>
      <c r="C432" s="5"/>
      <c r="D432" s="5"/>
      <c r="E432" s="5"/>
      <c r="F432" s="6"/>
      <c r="G432" s="6"/>
      <c r="H432" s="7"/>
      <c r="I432" s="8"/>
      <c r="W432" s="28" t="str">
        <f>IF(X432="","",IFERROR(INDEX($AL$11:$AL$4010,MATCH(422,$AY$11:$AY$4010,0)),""))</f>
        <v/>
      </c>
      <c r="X432" s="26" t="str">
        <f>IFERROR(INDEX($AM$11:$AM$4010,MATCH(422,$AY$11:$AY$4010,0)),"")</f>
        <v/>
      </c>
      <c r="Y432" s="25" t="str">
        <f>IF(X432="","",IFERROR(INDEX($AN$11:$AN$4010,MATCH(422,$AY$11:$AY$4010,0)),""))</f>
        <v/>
      </c>
      <c r="Z432" s="25" t="str">
        <f>IF(X432="","",IFERROR(INDEX($AO$11:$AO$4010,MATCH(422,$AY$11:$AY$4010,0)),""))</f>
        <v/>
      </c>
      <c r="AA432" s="24" t="str">
        <f>IF(X432="","",IFERROR(INDEX($AQ$11:$AQ$4010,MATCH(422,$AY$11:$AY$4010,0)),""))</f>
        <v/>
      </c>
      <c r="AB432" s="29" t="str">
        <f>IF(X432="","",IFERROR(INDEX($AR$11:$AR$4010,MATCH(422,$AY$11:$AY$4010,0)),""))</f>
        <v/>
      </c>
      <c r="AD432" s="30" t="str">
        <f>IF(AE432="","",IFERROR(INDEX($AL$11:$AL$4010,MATCH(422,$AZ$11:$AZ$4010,0)),""))</f>
        <v/>
      </c>
      <c r="AE432" s="26" t="str">
        <f>IFERROR(INDEX($AM$11:$AM$4010,MATCH(422,$AZ$11:$AZ$4010,0)),"")</f>
        <v/>
      </c>
      <c r="AF432" s="25" t="str">
        <f>IF(AE432="","",IFERROR(INDEX($AN$11:$AN$4010,MATCH(422,$AZ$11:$AZ$4010,0)),""))</f>
        <v/>
      </c>
      <c r="AG432" s="25" t="str">
        <f>IF(AE432="","",IFERROR(INDEX($AO$11:$AO$4010,MATCH(422,$AZ$11:$AZ$4010,0)),""))</f>
        <v/>
      </c>
      <c r="AH432" s="24" t="str">
        <f>IF(AE432="","",IFERROR(INDEX($AQ$11:$AQ$4010,MATCH(422,$AZ$11:$AZ$4010,0)),""))</f>
        <v/>
      </c>
      <c r="AI432" s="29" t="str">
        <f>IF(AE432="","",IFERROR(INDEX($AR$11:$AR$4010,MATCH(422,$AZ$11:$AZ$4010,0)),""))</f>
        <v/>
      </c>
      <c r="AJ432" s="29" t="str">
        <f>IF(AE432="","",IFERROR(INDEX($AT$11:$AT$4010,MATCH(422,$AZ$11:$AZ$4010,0)),""))</f>
        <v/>
      </c>
      <c r="AL432" s="31" t="str">
        <f t="shared" si="83"/>
        <v/>
      </c>
      <c r="AM432" s="26" t="str">
        <f t="shared" si="84"/>
        <v/>
      </c>
      <c r="AN432" s="32" t="str">
        <f t="shared" si="85"/>
        <v/>
      </c>
      <c r="AO432" s="32" t="str">
        <f t="shared" si="86"/>
        <v/>
      </c>
      <c r="AP432" s="24" t="str">
        <f t="shared" si="87"/>
        <v/>
      </c>
      <c r="AQ432" s="24" t="str">
        <f t="shared" si="88"/>
        <v/>
      </c>
      <c r="AR432" s="33" t="str">
        <f t="shared" si="89"/>
        <v/>
      </c>
      <c r="AS432" s="34"/>
      <c r="AT432" s="33"/>
      <c r="AV432" s="21">
        <f>IF(AND($AL432&lt;&gt;"",COUNTIF($AL$11:$AL432,$AL432)=1),1,0)</f>
        <v>0</v>
      </c>
      <c r="AW432" s="21">
        <f t="shared" si="91"/>
        <v>0</v>
      </c>
      <c r="AX432" s="21" t="str">
        <f t="shared" si="90"/>
        <v/>
      </c>
      <c r="AY432" s="21" t="str">
        <f>IF(AND($AM432&lt;&gt;"",$AS432&lt;&gt;"✓"),SUMPRODUCT(($AM$11:$AM432&lt;&gt;"")*($AS$11:$AS432&lt;&gt;"✓")),"")</f>
        <v/>
      </c>
      <c r="AZ432" s="21" t="str">
        <f>IF(AND($AM432&lt;&gt;"",$AS432="✓"),SUMPRODUCT(($AM$11:$AM432&lt;&gt;"")*($AS$11:$AS432="✓")),"")</f>
        <v/>
      </c>
      <c r="BA432" s="21" t="str">
        <f>IF($AL432="","",$AL432&amp;"|"&amp;COUNTIF($AL$11:$AL432,$AL432))</f>
        <v/>
      </c>
    </row>
    <row r="433" spans="2:53" ht="15" customHeight="1" x14ac:dyDescent="0.25">
      <c r="B433" s="5" t="str">
        <f t="shared" si="82"/>
        <v/>
      </c>
      <c r="C433" s="5"/>
      <c r="D433" s="5"/>
      <c r="E433" s="5"/>
      <c r="F433" s="6"/>
      <c r="G433" s="6"/>
      <c r="H433" s="7"/>
      <c r="I433" s="8"/>
      <c r="W433" s="14" t="str">
        <f>IF(X433="","",IFERROR(INDEX($AL$11:$AL$4010,MATCH(423,$AY$11:$AY$4010,0)),""))</f>
        <v/>
      </c>
      <c r="X433" s="12" t="str">
        <f>IFERROR(INDEX($AM$11:$AM$4010,MATCH(423,$AY$11:$AY$4010,0)),"")</f>
        <v/>
      </c>
      <c r="Y433" s="11" t="str">
        <f>IF(X433="","",IFERROR(INDEX($AN$11:$AN$4010,MATCH(423,$AY$11:$AY$4010,0)),""))</f>
        <v/>
      </c>
      <c r="Z433" s="11" t="str">
        <f>IF(X433="","",IFERROR(INDEX($AO$11:$AO$4010,MATCH(423,$AY$11:$AY$4010,0)),""))</f>
        <v/>
      </c>
      <c r="AA433" s="10" t="str">
        <f>IF(X433="","",IFERROR(INDEX($AQ$11:$AQ$4010,MATCH(423,$AY$11:$AY$4010,0)),""))</f>
        <v/>
      </c>
      <c r="AB433" s="15" t="str">
        <f>IF(X433="","",IFERROR(INDEX($AR$11:$AR$4010,MATCH(423,$AY$11:$AY$4010,0)),""))</f>
        <v/>
      </c>
      <c r="AD433" s="16" t="str">
        <f>IF(AE433="","",IFERROR(INDEX($AL$11:$AL$4010,MATCH(423,$AZ$11:$AZ$4010,0)),""))</f>
        <v/>
      </c>
      <c r="AE433" s="12" t="str">
        <f>IFERROR(INDEX($AM$11:$AM$4010,MATCH(423,$AZ$11:$AZ$4010,0)),"")</f>
        <v/>
      </c>
      <c r="AF433" s="11" t="str">
        <f>IF(AE433="","",IFERROR(INDEX($AN$11:$AN$4010,MATCH(423,$AZ$11:$AZ$4010,0)),""))</f>
        <v/>
      </c>
      <c r="AG433" s="11" t="str">
        <f>IF(AE433="","",IFERROR(INDEX($AO$11:$AO$4010,MATCH(423,$AZ$11:$AZ$4010,0)),""))</f>
        <v/>
      </c>
      <c r="AH433" s="10" t="str">
        <f>IF(AE433="","",IFERROR(INDEX($AQ$11:$AQ$4010,MATCH(423,$AZ$11:$AZ$4010,0)),""))</f>
        <v/>
      </c>
      <c r="AI433" s="15" t="str">
        <f>IF(AE433="","",IFERROR(INDEX($AR$11:$AR$4010,MATCH(423,$AZ$11:$AZ$4010,0)),""))</f>
        <v/>
      </c>
      <c r="AJ433" s="15" t="str">
        <f>IF(AE433="","",IFERROR(INDEX($AT$11:$AT$4010,MATCH(423,$AZ$11:$AZ$4010,0)),""))</f>
        <v/>
      </c>
      <c r="AL433" s="17" t="str">
        <f t="shared" si="83"/>
        <v/>
      </c>
      <c r="AM433" s="12" t="str">
        <f t="shared" si="84"/>
        <v/>
      </c>
      <c r="AN433" s="18" t="str">
        <f t="shared" si="85"/>
        <v/>
      </c>
      <c r="AO433" s="18" t="str">
        <f t="shared" si="86"/>
        <v/>
      </c>
      <c r="AP433" s="10" t="str">
        <f t="shared" si="87"/>
        <v/>
      </c>
      <c r="AQ433" s="10" t="str">
        <f t="shared" si="88"/>
        <v/>
      </c>
      <c r="AR433" s="19" t="str">
        <f t="shared" si="89"/>
        <v/>
      </c>
      <c r="AS433" s="20"/>
      <c r="AT433" s="19"/>
      <c r="AV433" s="21">
        <f>IF(AND($AL433&lt;&gt;"",COUNTIF($AL$11:$AL433,$AL433)=1),1,0)</f>
        <v>0</v>
      </c>
      <c r="AW433" s="21">
        <f t="shared" si="91"/>
        <v>0</v>
      </c>
      <c r="AX433" s="21" t="str">
        <f t="shared" si="90"/>
        <v/>
      </c>
      <c r="AY433" s="21" t="str">
        <f>IF(AND($AM433&lt;&gt;"",$AS433&lt;&gt;"✓"),SUMPRODUCT(($AM$11:$AM433&lt;&gt;"")*($AS$11:$AS433&lt;&gt;"✓")),"")</f>
        <v/>
      </c>
      <c r="AZ433" s="21" t="str">
        <f>IF(AND($AM433&lt;&gt;"",$AS433="✓"),SUMPRODUCT(($AM$11:$AM433&lt;&gt;"")*($AS$11:$AS433="✓")),"")</f>
        <v/>
      </c>
      <c r="BA433" s="21" t="str">
        <f>IF($AL433="","",$AL433&amp;"|"&amp;COUNTIF($AL$11:$AL433,$AL433))</f>
        <v/>
      </c>
    </row>
    <row r="434" spans="2:53" ht="15" customHeight="1" x14ac:dyDescent="0.25">
      <c r="B434" s="5" t="str">
        <f t="shared" si="82"/>
        <v/>
      </c>
      <c r="C434" s="5"/>
      <c r="D434" s="5"/>
      <c r="E434" s="5"/>
      <c r="F434" s="6"/>
      <c r="G434" s="6"/>
      <c r="H434" s="7"/>
      <c r="I434" s="8"/>
      <c r="W434" s="28" t="str">
        <f>IF(X434="","",IFERROR(INDEX($AL$11:$AL$4010,MATCH(424,$AY$11:$AY$4010,0)),""))</f>
        <v/>
      </c>
      <c r="X434" s="26" t="str">
        <f>IFERROR(INDEX($AM$11:$AM$4010,MATCH(424,$AY$11:$AY$4010,0)),"")</f>
        <v/>
      </c>
      <c r="Y434" s="25" t="str">
        <f>IF(X434="","",IFERROR(INDEX($AN$11:$AN$4010,MATCH(424,$AY$11:$AY$4010,0)),""))</f>
        <v/>
      </c>
      <c r="Z434" s="25" t="str">
        <f>IF(X434="","",IFERROR(INDEX($AO$11:$AO$4010,MATCH(424,$AY$11:$AY$4010,0)),""))</f>
        <v/>
      </c>
      <c r="AA434" s="24" t="str">
        <f>IF(X434="","",IFERROR(INDEX($AQ$11:$AQ$4010,MATCH(424,$AY$11:$AY$4010,0)),""))</f>
        <v/>
      </c>
      <c r="AB434" s="29" t="str">
        <f>IF(X434="","",IFERROR(INDEX($AR$11:$AR$4010,MATCH(424,$AY$11:$AY$4010,0)),""))</f>
        <v/>
      </c>
      <c r="AD434" s="30" t="str">
        <f>IF(AE434="","",IFERROR(INDEX($AL$11:$AL$4010,MATCH(424,$AZ$11:$AZ$4010,0)),""))</f>
        <v/>
      </c>
      <c r="AE434" s="26" t="str">
        <f>IFERROR(INDEX($AM$11:$AM$4010,MATCH(424,$AZ$11:$AZ$4010,0)),"")</f>
        <v/>
      </c>
      <c r="AF434" s="25" t="str">
        <f>IF(AE434="","",IFERROR(INDEX($AN$11:$AN$4010,MATCH(424,$AZ$11:$AZ$4010,0)),""))</f>
        <v/>
      </c>
      <c r="AG434" s="25" t="str">
        <f>IF(AE434="","",IFERROR(INDEX($AO$11:$AO$4010,MATCH(424,$AZ$11:$AZ$4010,0)),""))</f>
        <v/>
      </c>
      <c r="AH434" s="24" t="str">
        <f>IF(AE434="","",IFERROR(INDEX($AQ$11:$AQ$4010,MATCH(424,$AZ$11:$AZ$4010,0)),""))</f>
        <v/>
      </c>
      <c r="AI434" s="29" t="str">
        <f>IF(AE434="","",IFERROR(INDEX($AR$11:$AR$4010,MATCH(424,$AZ$11:$AZ$4010,0)),""))</f>
        <v/>
      </c>
      <c r="AJ434" s="29" t="str">
        <f>IF(AE434="","",IFERROR(INDEX($AT$11:$AT$4010,MATCH(424,$AZ$11:$AZ$4010,0)),""))</f>
        <v/>
      </c>
      <c r="AL434" s="31" t="str">
        <f t="shared" si="83"/>
        <v/>
      </c>
      <c r="AM434" s="26" t="str">
        <f t="shared" si="84"/>
        <v/>
      </c>
      <c r="AN434" s="32" t="str">
        <f t="shared" si="85"/>
        <v/>
      </c>
      <c r="AO434" s="32" t="str">
        <f t="shared" si="86"/>
        <v/>
      </c>
      <c r="AP434" s="24" t="str">
        <f t="shared" si="87"/>
        <v/>
      </c>
      <c r="AQ434" s="24" t="str">
        <f t="shared" si="88"/>
        <v/>
      </c>
      <c r="AR434" s="33" t="str">
        <f t="shared" si="89"/>
        <v/>
      </c>
      <c r="AS434" s="34"/>
      <c r="AT434" s="33"/>
      <c r="AV434" s="21">
        <f>IF(AND($AL434&lt;&gt;"",COUNTIF($AL$11:$AL434,$AL434)=1),1,0)</f>
        <v>0</v>
      </c>
      <c r="AW434" s="21">
        <f t="shared" si="91"/>
        <v>0</v>
      </c>
      <c r="AX434" s="21" t="str">
        <f t="shared" si="90"/>
        <v/>
      </c>
      <c r="AY434" s="21" t="str">
        <f>IF(AND($AM434&lt;&gt;"",$AS434&lt;&gt;"✓"),SUMPRODUCT(($AM$11:$AM434&lt;&gt;"")*($AS$11:$AS434&lt;&gt;"✓")),"")</f>
        <v/>
      </c>
      <c r="AZ434" s="21" t="str">
        <f>IF(AND($AM434&lt;&gt;"",$AS434="✓"),SUMPRODUCT(($AM$11:$AM434&lt;&gt;"")*($AS$11:$AS434="✓")),"")</f>
        <v/>
      </c>
      <c r="BA434" s="21" t="str">
        <f>IF($AL434="","",$AL434&amp;"|"&amp;COUNTIF($AL$11:$AL434,$AL434))</f>
        <v/>
      </c>
    </row>
    <row r="435" spans="2:53" ht="15" customHeight="1" x14ac:dyDescent="0.25">
      <c r="B435" s="5" t="str">
        <f t="shared" si="82"/>
        <v/>
      </c>
      <c r="C435" s="5"/>
      <c r="D435" s="5"/>
      <c r="E435" s="5"/>
      <c r="F435" s="6"/>
      <c r="G435" s="6"/>
      <c r="H435" s="7"/>
      <c r="I435" s="8"/>
      <c r="W435" s="14" t="str">
        <f>IF(X435="","",IFERROR(INDEX($AL$11:$AL$4010,MATCH(425,$AY$11:$AY$4010,0)),""))</f>
        <v/>
      </c>
      <c r="X435" s="12" t="str">
        <f>IFERROR(INDEX($AM$11:$AM$4010,MATCH(425,$AY$11:$AY$4010,0)),"")</f>
        <v/>
      </c>
      <c r="Y435" s="11" t="str">
        <f>IF(X435="","",IFERROR(INDEX($AN$11:$AN$4010,MATCH(425,$AY$11:$AY$4010,0)),""))</f>
        <v/>
      </c>
      <c r="Z435" s="11" t="str">
        <f>IF(X435="","",IFERROR(INDEX($AO$11:$AO$4010,MATCH(425,$AY$11:$AY$4010,0)),""))</f>
        <v/>
      </c>
      <c r="AA435" s="10" t="str">
        <f>IF(X435="","",IFERROR(INDEX($AQ$11:$AQ$4010,MATCH(425,$AY$11:$AY$4010,0)),""))</f>
        <v/>
      </c>
      <c r="AB435" s="15" t="str">
        <f>IF(X435="","",IFERROR(INDEX($AR$11:$AR$4010,MATCH(425,$AY$11:$AY$4010,0)),""))</f>
        <v/>
      </c>
      <c r="AD435" s="16" t="str">
        <f>IF(AE435="","",IFERROR(INDEX($AL$11:$AL$4010,MATCH(425,$AZ$11:$AZ$4010,0)),""))</f>
        <v/>
      </c>
      <c r="AE435" s="12" t="str">
        <f>IFERROR(INDEX($AM$11:$AM$4010,MATCH(425,$AZ$11:$AZ$4010,0)),"")</f>
        <v/>
      </c>
      <c r="AF435" s="11" t="str">
        <f>IF(AE435="","",IFERROR(INDEX($AN$11:$AN$4010,MATCH(425,$AZ$11:$AZ$4010,0)),""))</f>
        <v/>
      </c>
      <c r="AG435" s="11" t="str">
        <f>IF(AE435="","",IFERROR(INDEX($AO$11:$AO$4010,MATCH(425,$AZ$11:$AZ$4010,0)),""))</f>
        <v/>
      </c>
      <c r="AH435" s="10" t="str">
        <f>IF(AE435="","",IFERROR(INDEX($AQ$11:$AQ$4010,MATCH(425,$AZ$11:$AZ$4010,0)),""))</f>
        <v/>
      </c>
      <c r="AI435" s="15" t="str">
        <f>IF(AE435="","",IFERROR(INDEX($AR$11:$AR$4010,MATCH(425,$AZ$11:$AZ$4010,0)),""))</f>
        <v/>
      </c>
      <c r="AJ435" s="15" t="str">
        <f>IF(AE435="","",IFERROR(INDEX($AT$11:$AT$4010,MATCH(425,$AZ$11:$AZ$4010,0)),""))</f>
        <v/>
      </c>
      <c r="AL435" s="17" t="str">
        <f t="shared" si="83"/>
        <v/>
      </c>
      <c r="AM435" s="12" t="str">
        <f t="shared" si="84"/>
        <v/>
      </c>
      <c r="AN435" s="18" t="str">
        <f t="shared" si="85"/>
        <v/>
      </c>
      <c r="AO435" s="18" t="str">
        <f t="shared" si="86"/>
        <v/>
      </c>
      <c r="AP435" s="10" t="str">
        <f t="shared" si="87"/>
        <v/>
      </c>
      <c r="AQ435" s="10" t="str">
        <f t="shared" si="88"/>
        <v/>
      </c>
      <c r="AR435" s="19" t="str">
        <f t="shared" si="89"/>
        <v/>
      </c>
      <c r="AS435" s="20"/>
      <c r="AT435" s="19"/>
      <c r="AV435" s="21">
        <f>IF(AND($AL435&lt;&gt;"",COUNTIF($AL$11:$AL435,$AL435)=1),1,0)</f>
        <v>0</v>
      </c>
      <c r="AW435" s="21">
        <f t="shared" si="91"/>
        <v>0</v>
      </c>
      <c r="AX435" s="21" t="str">
        <f t="shared" si="90"/>
        <v/>
      </c>
      <c r="AY435" s="21" t="str">
        <f>IF(AND($AM435&lt;&gt;"",$AS435&lt;&gt;"✓"),SUMPRODUCT(($AM$11:$AM435&lt;&gt;"")*($AS$11:$AS435&lt;&gt;"✓")),"")</f>
        <v/>
      </c>
      <c r="AZ435" s="21" t="str">
        <f>IF(AND($AM435&lt;&gt;"",$AS435="✓"),SUMPRODUCT(($AM$11:$AM435&lt;&gt;"")*($AS$11:$AS435="✓")),"")</f>
        <v/>
      </c>
      <c r="BA435" s="21" t="str">
        <f>IF($AL435="","",$AL435&amp;"|"&amp;COUNTIF($AL$11:$AL435,$AL435))</f>
        <v/>
      </c>
    </row>
    <row r="436" spans="2:53" ht="15" customHeight="1" x14ac:dyDescent="0.25">
      <c r="B436" s="5" t="str">
        <f t="shared" si="82"/>
        <v/>
      </c>
      <c r="C436" s="5"/>
      <c r="D436" s="5"/>
      <c r="E436" s="5"/>
      <c r="F436" s="6"/>
      <c r="G436" s="6"/>
      <c r="H436" s="7"/>
      <c r="I436" s="8"/>
      <c r="W436" s="28" t="str">
        <f>IF(X436="","",IFERROR(INDEX($AL$11:$AL$4010,MATCH(426,$AY$11:$AY$4010,0)),""))</f>
        <v/>
      </c>
      <c r="X436" s="26" t="str">
        <f>IFERROR(INDEX($AM$11:$AM$4010,MATCH(426,$AY$11:$AY$4010,0)),"")</f>
        <v/>
      </c>
      <c r="Y436" s="25" t="str">
        <f>IF(X436="","",IFERROR(INDEX($AN$11:$AN$4010,MATCH(426,$AY$11:$AY$4010,0)),""))</f>
        <v/>
      </c>
      <c r="Z436" s="25" t="str">
        <f>IF(X436="","",IFERROR(INDEX($AO$11:$AO$4010,MATCH(426,$AY$11:$AY$4010,0)),""))</f>
        <v/>
      </c>
      <c r="AA436" s="24" t="str">
        <f>IF(X436="","",IFERROR(INDEX($AQ$11:$AQ$4010,MATCH(426,$AY$11:$AY$4010,0)),""))</f>
        <v/>
      </c>
      <c r="AB436" s="29" t="str">
        <f>IF(X436="","",IFERROR(INDEX($AR$11:$AR$4010,MATCH(426,$AY$11:$AY$4010,0)),""))</f>
        <v/>
      </c>
      <c r="AD436" s="30" t="str">
        <f>IF(AE436="","",IFERROR(INDEX($AL$11:$AL$4010,MATCH(426,$AZ$11:$AZ$4010,0)),""))</f>
        <v/>
      </c>
      <c r="AE436" s="26" t="str">
        <f>IFERROR(INDEX($AM$11:$AM$4010,MATCH(426,$AZ$11:$AZ$4010,0)),"")</f>
        <v/>
      </c>
      <c r="AF436" s="25" t="str">
        <f>IF(AE436="","",IFERROR(INDEX($AN$11:$AN$4010,MATCH(426,$AZ$11:$AZ$4010,0)),""))</f>
        <v/>
      </c>
      <c r="AG436" s="25" t="str">
        <f>IF(AE436="","",IFERROR(INDEX($AO$11:$AO$4010,MATCH(426,$AZ$11:$AZ$4010,0)),""))</f>
        <v/>
      </c>
      <c r="AH436" s="24" t="str">
        <f>IF(AE436="","",IFERROR(INDEX($AQ$11:$AQ$4010,MATCH(426,$AZ$11:$AZ$4010,0)),""))</f>
        <v/>
      </c>
      <c r="AI436" s="29" t="str">
        <f>IF(AE436="","",IFERROR(INDEX($AR$11:$AR$4010,MATCH(426,$AZ$11:$AZ$4010,0)),""))</f>
        <v/>
      </c>
      <c r="AJ436" s="29" t="str">
        <f>IF(AE436="","",IFERROR(INDEX($AT$11:$AT$4010,MATCH(426,$AZ$11:$AZ$4010,0)),""))</f>
        <v/>
      </c>
      <c r="AL436" s="31" t="str">
        <f t="shared" si="83"/>
        <v/>
      </c>
      <c r="AM436" s="26" t="str">
        <f t="shared" si="84"/>
        <v/>
      </c>
      <c r="AN436" s="32" t="str">
        <f t="shared" si="85"/>
        <v/>
      </c>
      <c r="AO436" s="32" t="str">
        <f t="shared" si="86"/>
        <v/>
      </c>
      <c r="AP436" s="24" t="str">
        <f t="shared" si="87"/>
        <v/>
      </c>
      <c r="AQ436" s="24" t="str">
        <f t="shared" si="88"/>
        <v/>
      </c>
      <c r="AR436" s="33" t="str">
        <f t="shared" si="89"/>
        <v/>
      </c>
      <c r="AS436" s="34"/>
      <c r="AT436" s="33"/>
      <c r="AV436" s="21">
        <f>IF(AND($AL436&lt;&gt;"",COUNTIF($AL$11:$AL436,$AL436)=1),1,0)</f>
        <v>0</v>
      </c>
      <c r="AW436" s="21">
        <f t="shared" si="91"/>
        <v>0</v>
      </c>
      <c r="AX436" s="21" t="str">
        <f t="shared" si="90"/>
        <v/>
      </c>
      <c r="AY436" s="21" t="str">
        <f>IF(AND($AM436&lt;&gt;"",$AS436&lt;&gt;"✓"),SUMPRODUCT(($AM$11:$AM436&lt;&gt;"")*($AS$11:$AS436&lt;&gt;"✓")),"")</f>
        <v/>
      </c>
      <c r="AZ436" s="21" t="str">
        <f>IF(AND($AM436&lt;&gt;"",$AS436="✓"),SUMPRODUCT(($AM$11:$AM436&lt;&gt;"")*($AS$11:$AS436="✓")),"")</f>
        <v/>
      </c>
      <c r="BA436" s="21" t="str">
        <f>IF($AL436="","",$AL436&amp;"|"&amp;COUNTIF($AL$11:$AL436,$AL436))</f>
        <v/>
      </c>
    </row>
    <row r="437" spans="2:53" ht="15" customHeight="1" x14ac:dyDescent="0.25">
      <c r="B437" s="5" t="str">
        <f t="shared" si="82"/>
        <v/>
      </c>
      <c r="C437" s="5"/>
      <c r="D437" s="5"/>
      <c r="E437" s="5"/>
      <c r="F437" s="6"/>
      <c r="G437" s="6"/>
      <c r="H437" s="7"/>
      <c r="I437" s="8"/>
      <c r="W437" s="14" t="str">
        <f>IF(X437="","",IFERROR(INDEX($AL$11:$AL$4010,MATCH(427,$AY$11:$AY$4010,0)),""))</f>
        <v/>
      </c>
      <c r="X437" s="12" t="str">
        <f>IFERROR(INDEX($AM$11:$AM$4010,MATCH(427,$AY$11:$AY$4010,0)),"")</f>
        <v/>
      </c>
      <c r="Y437" s="11" t="str">
        <f>IF(X437="","",IFERROR(INDEX($AN$11:$AN$4010,MATCH(427,$AY$11:$AY$4010,0)),""))</f>
        <v/>
      </c>
      <c r="Z437" s="11" t="str">
        <f>IF(X437="","",IFERROR(INDEX($AO$11:$AO$4010,MATCH(427,$AY$11:$AY$4010,0)),""))</f>
        <v/>
      </c>
      <c r="AA437" s="10" t="str">
        <f>IF(X437="","",IFERROR(INDEX($AQ$11:$AQ$4010,MATCH(427,$AY$11:$AY$4010,0)),""))</f>
        <v/>
      </c>
      <c r="AB437" s="15" t="str">
        <f>IF(X437="","",IFERROR(INDEX($AR$11:$AR$4010,MATCH(427,$AY$11:$AY$4010,0)),""))</f>
        <v/>
      </c>
      <c r="AD437" s="16" t="str">
        <f>IF(AE437="","",IFERROR(INDEX($AL$11:$AL$4010,MATCH(427,$AZ$11:$AZ$4010,0)),""))</f>
        <v/>
      </c>
      <c r="AE437" s="12" t="str">
        <f>IFERROR(INDEX($AM$11:$AM$4010,MATCH(427,$AZ$11:$AZ$4010,0)),"")</f>
        <v/>
      </c>
      <c r="AF437" s="11" t="str">
        <f>IF(AE437="","",IFERROR(INDEX($AN$11:$AN$4010,MATCH(427,$AZ$11:$AZ$4010,0)),""))</f>
        <v/>
      </c>
      <c r="AG437" s="11" t="str">
        <f>IF(AE437="","",IFERROR(INDEX($AO$11:$AO$4010,MATCH(427,$AZ$11:$AZ$4010,0)),""))</f>
        <v/>
      </c>
      <c r="AH437" s="10" t="str">
        <f>IF(AE437="","",IFERROR(INDEX($AQ$11:$AQ$4010,MATCH(427,$AZ$11:$AZ$4010,0)),""))</f>
        <v/>
      </c>
      <c r="AI437" s="15" t="str">
        <f>IF(AE437="","",IFERROR(INDEX($AR$11:$AR$4010,MATCH(427,$AZ$11:$AZ$4010,0)),""))</f>
        <v/>
      </c>
      <c r="AJ437" s="15" t="str">
        <f>IF(AE437="","",IFERROR(INDEX($AT$11:$AT$4010,MATCH(427,$AZ$11:$AZ$4010,0)),""))</f>
        <v/>
      </c>
      <c r="AL437" s="17" t="str">
        <f t="shared" si="83"/>
        <v/>
      </c>
      <c r="AM437" s="12" t="str">
        <f t="shared" si="84"/>
        <v/>
      </c>
      <c r="AN437" s="18" t="str">
        <f t="shared" si="85"/>
        <v/>
      </c>
      <c r="AO437" s="18" t="str">
        <f t="shared" si="86"/>
        <v/>
      </c>
      <c r="AP437" s="10" t="str">
        <f t="shared" si="87"/>
        <v/>
      </c>
      <c r="AQ437" s="10" t="str">
        <f t="shared" si="88"/>
        <v/>
      </c>
      <c r="AR437" s="19" t="str">
        <f t="shared" si="89"/>
        <v/>
      </c>
      <c r="AS437" s="20"/>
      <c r="AT437" s="19"/>
      <c r="AV437" s="21">
        <f>IF(AND($AL437&lt;&gt;"",COUNTIF($AL$11:$AL437,$AL437)=1),1,0)</f>
        <v>0</v>
      </c>
      <c r="AW437" s="21">
        <f t="shared" si="91"/>
        <v>0</v>
      </c>
      <c r="AX437" s="21" t="str">
        <f t="shared" si="90"/>
        <v/>
      </c>
      <c r="AY437" s="21" t="str">
        <f>IF(AND($AM437&lt;&gt;"",$AS437&lt;&gt;"✓"),SUMPRODUCT(($AM$11:$AM437&lt;&gt;"")*($AS$11:$AS437&lt;&gt;"✓")),"")</f>
        <v/>
      </c>
      <c r="AZ437" s="21" t="str">
        <f>IF(AND($AM437&lt;&gt;"",$AS437="✓"),SUMPRODUCT(($AM$11:$AM437&lt;&gt;"")*($AS$11:$AS437="✓")),"")</f>
        <v/>
      </c>
      <c r="BA437" s="21" t="str">
        <f>IF($AL437="","",$AL437&amp;"|"&amp;COUNTIF($AL$11:$AL437,$AL437))</f>
        <v/>
      </c>
    </row>
    <row r="438" spans="2:53" ht="15" customHeight="1" x14ac:dyDescent="0.25">
      <c r="B438" s="5" t="str">
        <f t="shared" si="82"/>
        <v/>
      </c>
      <c r="C438" s="5"/>
      <c r="D438" s="5"/>
      <c r="E438" s="5"/>
      <c r="F438" s="6"/>
      <c r="G438" s="6"/>
      <c r="H438" s="7"/>
      <c r="I438" s="8"/>
      <c r="W438" s="28" t="str">
        <f>IF(X438="","",IFERROR(INDEX($AL$11:$AL$4010,MATCH(428,$AY$11:$AY$4010,0)),""))</f>
        <v/>
      </c>
      <c r="X438" s="26" t="str">
        <f>IFERROR(INDEX($AM$11:$AM$4010,MATCH(428,$AY$11:$AY$4010,0)),"")</f>
        <v/>
      </c>
      <c r="Y438" s="25" t="str">
        <f>IF(X438="","",IFERROR(INDEX($AN$11:$AN$4010,MATCH(428,$AY$11:$AY$4010,0)),""))</f>
        <v/>
      </c>
      <c r="Z438" s="25" t="str">
        <f>IF(X438="","",IFERROR(INDEX($AO$11:$AO$4010,MATCH(428,$AY$11:$AY$4010,0)),""))</f>
        <v/>
      </c>
      <c r="AA438" s="24" t="str">
        <f>IF(X438="","",IFERROR(INDEX($AQ$11:$AQ$4010,MATCH(428,$AY$11:$AY$4010,0)),""))</f>
        <v/>
      </c>
      <c r="AB438" s="29" t="str">
        <f>IF(X438="","",IFERROR(INDEX($AR$11:$AR$4010,MATCH(428,$AY$11:$AY$4010,0)),""))</f>
        <v/>
      </c>
      <c r="AD438" s="30" t="str">
        <f>IF(AE438="","",IFERROR(INDEX($AL$11:$AL$4010,MATCH(428,$AZ$11:$AZ$4010,0)),""))</f>
        <v/>
      </c>
      <c r="AE438" s="26" t="str">
        <f>IFERROR(INDEX($AM$11:$AM$4010,MATCH(428,$AZ$11:$AZ$4010,0)),"")</f>
        <v/>
      </c>
      <c r="AF438" s="25" t="str">
        <f>IF(AE438="","",IFERROR(INDEX($AN$11:$AN$4010,MATCH(428,$AZ$11:$AZ$4010,0)),""))</f>
        <v/>
      </c>
      <c r="AG438" s="25" t="str">
        <f>IF(AE438="","",IFERROR(INDEX($AO$11:$AO$4010,MATCH(428,$AZ$11:$AZ$4010,0)),""))</f>
        <v/>
      </c>
      <c r="AH438" s="24" t="str">
        <f>IF(AE438="","",IFERROR(INDEX($AQ$11:$AQ$4010,MATCH(428,$AZ$11:$AZ$4010,0)),""))</f>
        <v/>
      </c>
      <c r="AI438" s="29" t="str">
        <f>IF(AE438="","",IFERROR(INDEX($AR$11:$AR$4010,MATCH(428,$AZ$11:$AZ$4010,0)),""))</f>
        <v/>
      </c>
      <c r="AJ438" s="29" t="str">
        <f>IF(AE438="","",IFERROR(INDEX($AT$11:$AT$4010,MATCH(428,$AZ$11:$AZ$4010,0)),""))</f>
        <v/>
      </c>
      <c r="AL438" s="31" t="str">
        <f t="shared" si="83"/>
        <v/>
      </c>
      <c r="AM438" s="26" t="str">
        <f t="shared" si="84"/>
        <v/>
      </c>
      <c r="AN438" s="32" t="str">
        <f t="shared" si="85"/>
        <v/>
      </c>
      <c r="AO438" s="32" t="str">
        <f t="shared" si="86"/>
        <v/>
      </c>
      <c r="AP438" s="24" t="str">
        <f t="shared" si="87"/>
        <v/>
      </c>
      <c r="AQ438" s="24" t="str">
        <f t="shared" si="88"/>
        <v/>
      </c>
      <c r="AR438" s="33" t="str">
        <f t="shared" si="89"/>
        <v/>
      </c>
      <c r="AS438" s="34"/>
      <c r="AT438" s="33"/>
      <c r="AV438" s="21">
        <f>IF(AND($AL438&lt;&gt;"",COUNTIF($AL$11:$AL438,$AL438)=1),1,0)</f>
        <v>0</v>
      </c>
      <c r="AW438" s="21">
        <f t="shared" si="91"/>
        <v>0</v>
      </c>
      <c r="AX438" s="21" t="str">
        <f t="shared" si="90"/>
        <v/>
      </c>
      <c r="AY438" s="21" t="str">
        <f>IF(AND($AM438&lt;&gt;"",$AS438&lt;&gt;"✓"),SUMPRODUCT(($AM$11:$AM438&lt;&gt;"")*($AS$11:$AS438&lt;&gt;"✓")),"")</f>
        <v/>
      </c>
      <c r="AZ438" s="21" t="str">
        <f>IF(AND($AM438&lt;&gt;"",$AS438="✓"),SUMPRODUCT(($AM$11:$AM438&lt;&gt;"")*($AS$11:$AS438="✓")),"")</f>
        <v/>
      </c>
      <c r="BA438" s="21" t="str">
        <f>IF($AL438="","",$AL438&amp;"|"&amp;COUNTIF($AL$11:$AL438,$AL438))</f>
        <v/>
      </c>
    </row>
    <row r="439" spans="2:53" ht="15" customHeight="1" x14ac:dyDescent="0.25">
      <c r="B439" s="5" t="str">
        <f t="shared" si="82"/>
        <v/>
      </c>
      <c r="C439" s="5"/>
      <c r="D439" s="5"/>
      <c r="E439" s="5"/>
      <c r="F439" s="6"/>
      <c r="G439" s="6"/>
      <c r="H439" s="7"/>
      <c r="I439" s="8"/>
      <c r="W439" s="14" t="str">
        <f>IF(X439="","",IFERROR(INDEX($AL$11:$AL$4010,MATCH(429,$AY$11:$AY$4010,0)),""))</f>
        <v/>
      </c>
      <c r="X439" s="12" t="str">
        <f>IFERROR(INDEX($AM$11:$AM$4010,MATCH(429,$AY$11:$AY$4010,0)),"")</f>
        <v/>
      </c>
      <c r="Y439" s="11" t="str">
        <f>IF(X439="","",IFERROR(INDEX($AN$11:$AN$4010,MATCH(429,$AY$11:$AY$4010,0)),""))</f>
        <v/>
      </c>
      <c r="Z439" s="11" t="str">
        <f>IF(X439="","",IFERROR(INDEX($AO$11:$AO$4010,MATCH(429,$AY$11:$AY$4010,0)),""))</f>
        <v/>
      </c>
      <c r="AA439" s="10" t="str">
        <f>IF(X439="","",IFERROR(INDEX($AQ$11:$AQ$4010,MATCH(429,$AY$11:$AY$4010,0)),""))</f>
        <v/>
      </c>
      <c r="AB439" s="15" t="str">
        <f>IF(X439="","",IFERROR(INDEX($AR$11:$AR$4010,MATCH(429,$AY$11:$AY$4010,0)),""))</f>
        <v/>
      </c>
      <c r="AD439" s="16" t="str">
        <f>IF(AE439="","",IFERROR(INDEX($AL$11:$AL$4010,MATCH(429,$AZ$11:$AZ$4010,0)),""))</f>
        <v/>
      </c>
      <c r="AE439" s="12" t="str">
        <f>IFERROR(INDEX($AM$11:$AM$4010,MATCH(429,$AZ$11:$AZ$4010,0)),"")</f>
        <v/>
      </c>
      <c r="AF439" s="11" t="str">
        <f>IF(AE439="","",IFERROR(INDEX($AN$11:$AN$4010,MATCH(429,$AZ$11:$AZ$4010,0)),""))</f>
        <v/>
      </c>
      <c r="AG439" s="11" t="str">
        <f>IF(AE439="","",IFERROR(INDEX($AO$11:$AO$4010,MATCH(429,$AZ$11:$AZ$4010,0)),""))</f>
        <v/>
      </c>
      <c r="AH439" s="10" t="str">
        <f>IF(AE439="","",IFERROR(INDEX($AQ$11:$AQ$4010,MATCH(429,$AZ$11:$AZ$4010,0)),""))</f>
        <v/>
      </c>
      <c r="AI439" s="15" t="str">
        <f>IF(AE439="","",IFERROR(INDEX($AR$11:$AR$4010,MATCH(429,$AZ$11:$AZ$4010,0)),""))</f>
        <v/>
      </c>
      <c r="AJ439" s="15" t="str">
        <f>IF(AE439="","",IFERROR(INDEX($AT$11:$AT$4010,MATCH(429,$AZ$11:$AZ$4010,0)),""))</f>
        <v/>
      </c>
      <c r="AL439" s="17" t="str">
        <f t="shared" si="83"/>
        <v/>
      </c>
      <c r="AM439" s="12" t="str">
        <f t="shared" si="84"/>
        <v/>
      </c>
      <c r="AN439" s="18" t="str">
        <f t="shared" si="85"/>
        <v/>
      </c>
      <c r="AO439" s="18" t="str">
        <f t="shared" si="86"/>
        <v/>
      </c>
      <c r="AP439" s="10" t="str">
        <f t="shared" si="87"/>
        <v/>
      </c>
      <c r="AQ439" s="10" t="str">
        <f t="shared" si="88"/>
        <v/>
      </c>
      <c r="AR439" s="19" t="str">
        <f t="shared" si="89"/>
        <v/>
      </c>
      <c r="AS439" s="20"/>
      <c r="AT439" s="19"/>
      <c r="AV439" s="21">
        <f>IF(AND($AL439&lt;&gt;"",COUNTIF($AL$11:$AL439,$AL439)=1),1,0)</f>
        <v>0</v>
      </c>
      <c r="AW439" s="21">
        <f t="shared" si="91"/>
        <v>0</v>
      </c>
      <c r="AX439" s="21" t="str">
        <f t="shared" si="90"/>
        <v/>
      </c>
      <c r="AY439" s="21" t="str">
        <f>IF(AND($AM439&lt;&gt;"",$AS439&lt;&gt;"✓"),SUMPRODUCT(($AM$11:$AM439&lt;&gt;"")*($AS$11:$AS439&lt;&gt;"✓")),"")</f>
        <v/>
      </c>
      <c r="AZ439" s="21" t="str">
        <f>IF(AND($AM439&lt;&gt;"",$AS439="✓"),SUMPRODUCT(($AM$11:$AM439&lt;&gt;"")*($AS$11:$AS439="✓")),"")</f>
        <v/>
      </c>
      <c r="BA439" s="21" t="str">
        <f>IF($AL439="","",$AL439&amp;"|"&amp;COUNTIF($AL$11:$AL439,$AL439))</f>
        <v/>
      </c>
    </row>
    <row r="440" spans="2:53" ht="15" customHeight="1" x14ac:dyDescent="0.25">
      <c r="B440" s="5" t="str">
        <f t="shared" si="82"/>
        <v/>
      </c>
      <c r="C440" s="5"/>
      <c r="D440" s="5"/>
      <c r="E440" s="5"/>
      <c r="F440" s="6"/>
      <c r="G440" s="6"/>
      <c r="H440" s="7"/>
      <c r="I440" s="8"/>
      <c r="W440" s="28" t="str">
        <f>IF(X440="","",IFERROR(INDEX($AL$11:$AL$4010,MATCH(430,$AY$11:$AY$4010,0)),""))</f>
        <v/>
      </c>
      <c r="X440" s="26" t="str">
        <f>IFERROR(INDEX($AM$11:$AM$4010,MATCH(430,$AY$11:$AY$4010,0)),"")</f>
        <v/>
      </c>
      <c r="Y440" s="25" t="str">
        <f>IF(X440="","",IFERROR(INDEX($AN$11:$AN$4010,MATCH(430,$AY$11:$AY$4010,0)),""))</f>
        <v/>
      </c>
      <c r="Z440" s="25" t="str">
        <f>IF(X440="","",IFERROR(INDEX($AO$11:$AO$4010,MATCH(430,$AY$11:$AY$4010,0)),""))</f>
        <v/>
      </c>
      <c r="AA440" s="24" t="str">
        <f>IF(X440="","",IFERROR(INDEX($AQ$11:$AQ$4010,MATCH(430,$AY$11:$AY$4010,0)),""))</f>
        <v/>
      </c>
      <c r="AB440" s="29" t="str">
        <f>IF(X440="","",IFERROR(INDEX($AR$11:$AR$4010,MATCH(430,$AY$11:$AY$4010,0)),""))</f>
        <v/>
      </c>
      <c r="AD440" s="30" t="str">
        <f>IF(AE440="","",IFERROR(INDEX($AL$11:$AL$4010,MATCH(430,$AZ$11:$AZ$4010,0)),""))</f>
        <v/>
      </c>
      <c r="AE440" s="26" t="str">
        <f>IFERROR(INDEX($AM$11:$AM$4010,MATCH(430,$AZ$11:$AZ$4010,0)),"")</f>
        <v/>
      </c>
      <c r="AF440" s="25" t="str">
        <f>IF(AE440="","",IFERROR(INDEX($AN$11:$AN$4010,MATCH(430,$AZ$11:$AZ$4010,0)),""))</f>
        <v/>
      </c>
      <c r="AG440" s="25" t="str">
        <f>IF(AE440="","",IFERROR(INDEX($AO$11:$AO$4010,MATCH(430,$AZ$11:$AZ$4010,0)),""))</f>
        <v/>
      </c>
      <c r="AH440" s="24" t="str">
        <f>IF(AE440="","",IFERROR(INDEX($AQ$11:$AQ$4010,MATCH(430,$AZ$11:$AZ$4010,0)),""))</f>
        <v/>
      </c>
      <c r="AI440" s="29" t="str">
        <f>IF(AE440="","",IFERROR(INDEX($AR$11:$AR$4010,MATCH(430,$AZ$11:$AZ$4010,0)),""))</f>
        <v/>
      </c>
      <c r="AJ440" s="29" t="str">
        <f>IF(AE440="","",IFERROR(INDEX($AT$11:$AT$4010,MATCH(430,$AZ$11:$AZ$4010,0)),""))</f>
        <v/>
      </c>
      <c r="AL440" s="31" t="str">
        <f t="shared" si="83"/>
        <v/>
      </c>
      <c r="AM440" s="26" t="str">
        <f t="shared" si="84"/>
        <v/>
      </c>
      <c r="AN440" s="32" t="str">
        <f t="shared" si="85"/>
        <v/>
      </c>
      <c r="AO440" s="32" t="str">
        <f t="shared" si="86"/>
        <v/>
      </c>
      <c r="AP440" s="24" t="str">
        <f t="shared" si="87"/>
        <v/>
      </c>
      <c r="AQ440" s="24" t="str">
        <f t="shared" si="88"/>
        <v/>
      </c>
      <c r="AR440" s="33" t="str">
        <f t="shared" si="89"/>
        <v/>
      </c>
      <c r="AS440" s="34"/>
      <c r="AT440" s="33"/>
      <c r="AV440" s="21">
        <f>IF(AND($AL440&lt;&gt;"",COUNTIF($AL$11:$AL440,$AL440)=1),1,0)</f>
        <v>0</v>
      </c>
      <c r="AW440" s="21">
        <f t="shared" si="91"/>
        <v>0</v>
      </c>
      <c r="AX440" s="21" t="str">
        <f t="shared" si="90"/>
        <v/>
      </c>
      <c r="AY440" s="21" t="str">
        <f>IF(AND($AM440&lt;&gt;"",$AS440&lt;&gt;"✓"),SUMPRODUCT(($AM$11:$AM440&lt;&gt;"")*($AS$11:$AS440&lt;&gt;"✓")),"")</f>
        <v/>
      </c>
      <c r="AZ440" s="21" t="str">
        <f>IF(AND($AM440&lt;&gt;"",$AS440="✓"),SUMPRODUCT(($AM$11:$AM440&lt;&gt;"")*($AS$11:$AS440="✓")),"")</f>
        <v/>
      </c>
      <c r="BA440" s="21" t="str">
        <f>IF($AL440="","",$AL440&amp;"|"&amp;COUNTIF($AL$11:$AL440,$AL440))</f>
        <v/>
      </c>
    </row>
    <row r="441" spans="2:53" ht="15" customHeight="1" x14ac:dyDescent="0.25">
      <c r="B441" s="5" t="str">
        <f t="shared" si="82"/>
        <v/>
      </c>
      <c r="C441" s="5"/>
      <c r="D441" s="5"/>
      <c r="E441" s="5"/>
      <c r="F441" s="6"/>
      <c r="G441" s="6"/>
      <c r="H441" s="7"/>
      <c r="I441" s="8"/>
      <c r="W441" s="14" t="str">
        <f>IF(X441="","",IFERROR(INDEX($AL$11:$AL$4010,MATCH(431,$AY$11:$AY$4010,0)),""))</f>
        <v/>
      </c>
      <c r="X441" s="12" t="str">
        <f>IFERROR(INDEX($AM$11:$AM$4010,MATCH(431,$AY$11:$AY$4010,0)),"")</f>
        <v/>
      </c>
      <c r="Y441" s="11" t="str">
        <f>IF(X441="","",IFERROR(INDEX($AN$11:$AN$4010,MATCH(431,$AY$11:$AY$4010,0)),""))</f>
        <v/>
      </c>
      <c r="Z441" s="11" t="str">
        <f>IF(X441="","",IFERROR(INDEX($AO$11:$AO$4010,MATCH(431,$AY$11:$AY$4010,0)),""))</f>
        <v/>
      </c>
      <c r="AA441" s="10" t="str">
        <f>IF(X441="","",IFERROR(INDEX($AQ$11:$AQ$4010,MATCH(431,$AY$11:$AY$4010,0)),""))</f>
        <v/>
      </c>
      <c r="AB441" s="15" t="str">
        <f>IF(X441="","",IFERROR(INDEX($AR$11:$AR$4010,MATCH(431,$AY$11:$AY$4010,0)),""))</f>
        <v/>
      </c>
      <c r="AD441" s="16" t="str">
        <f>IF(AE441="","",IFERROR(INDEX($AL$11:$AL$4010,MATCH(431,$AZ$11:$AZ$4010,0)),""))</f>
        <v/>
      </c>
      <c r="AE441" s="12" t="str">
        <f>IFERROR(INDEX($AM$11:$AM$4010,MATCH(431,$AZ$11:$AZ$4010,0)),"")</f>
        <v/>
      </c>
      <c r="AF441" s="11" t="str">
        <f>IF(AE441="","",IFERROR(INDEX($AN$11:$AN$4010,MATCH(431,$AZ$11:$AZ$4010,0)),""))</f>
        <v/>
      </c>
      <c r="AG441" s="11" t="str">
        <f>IF(AE441="","",IFERROR(INDEX($AO$11:$AO$4010,MATCH(431,$AZ$11:$AZ$4010,0)),""))</f>
        <v/>
      </c>
      <c r="AH441" s="10" t="str">
        <f>IF(AE441="","",IFERROR(INDEX($AQ$11:$AQ$4010,MATCH(431,$AZ$11:$AZ$4010,0)),""))</f>
        <v/>
      </c>
      <c r="AI441" s="15" t="str">
        <f>IF(AE441="","",IFERROR(INDEX($AR$11:$AR$4010,MATCH(431,$AZ$11:$AZ$4010,0)),""))</f>
        <v/>
      </c>
      <c r="AJ441" s="15" t="str">
        <f>IF(AE441="","",IFERROR(INDEX($AT$11:$AT$4010,MATCH(431,$AZ$11:$AZ$4010,0)),""))</f>
        <v/>
      </c>
      <c r="AL441" s="17" t="str">
        <f t="shared" si="83"/>
        <v/>
      </c>
      <c r="AM441" s="12" t="str">
        <f t="shared" si="84"/>
        <v/>
      </c>
      <c r="AN441" s="18" t="str">
        <f t="shared" si="85"/>
        <v/>
      </c>
      <c r="AO441" s="18" t="str">
        <f t="shared" si="86"/>
        <v/>
      </c>
      <c r="AP441" s="10" t="str">
        <f t="shared" si="87"/>
        <v/>
      </c>
      <c r="AQ441" s="10" t="str">
        <f t="shared" si="88"/>
        <v/>
      </c>
      <c r="AR441" s="19" t="str">
        <f t="shared" si="89"/>
        <v/>
      </c>
      <c r="AS441" s="20"/>
      <c r="AT441" s="19"/>
      <c r="AV441" s="21">
        <f>IF(AND($AL441&lt;&gt;"",COUNTIF($AL$11:$AL441,$AL441)=1),1,0)</f>
        <v>0</v>
      </c>
      <c r="AW441" s="21">
        <f t="shared" si="91"/>
        <v>0</v>
      </c>
      <c r="AX441" s="21" t="str">
        <f t="shared" si="90"/>
        <v/>
      </c>
      <c r="AY441" s="21" t="str">
        <f>IF(AND($AM441&lt;&gt;"",$AS441&lt;&gt;"✓"),SUMPRODUCT(($AM$11:$AM441&lt;&gt;"")*($AS$11:$AS441&lt;&gt;"✓")),"")</f>
        <v/>
      </c>
      <c r="AZ441" s="21" t="str">
        <f>IF(AND($AM441&lt;&gt;"",$AS441="✓"),SUMPRODUCT(($AM$11:$AM441&lt;&gt;"")*($AS$11:$AS441="✓")),"")</f>
        <v/>
      </c>
      <c r="BA441" s="21" t="str">
        <f>IF($AL441="","",$AL441&amp;"|"&amp;COUNTIF($AL$11:$AL441,$AL441))</f>
        <v/>
      </c>
    </row>
    <row r="442" spans="2:53" ht="15" customHeight="1" x14ac:dyDescent="0.25">
      <c r="B442" s="5" t="str">
        <f t="shared" si="82"/>
        <v/>
      </c>
      <c r="C442" s="5"/>
      <c r="D442" s="5"/>
      <c r="E442" s="5"/>
      <c r="F442" s="6"/>
      <c r="G442" s="6"/>
      <c r="H442" s="7"/>
      <c r="I442" s="8"/>
      <c r="W442" s="28" t="str">
        <f>IF(X442="","",IFERROR(INDEX($AL$11:$AL$4010,MATCH(432,$AY$11:$AY$4010,0)),""))</f>
        <v/>
      </c>
      <c r="X442" s="26" t="str">
        <f>IFERROR(INDEX($AM$11:$AM$4010,MATCH(432,$AY$11:$AY$4010,0)),"")</f>
        <v/>
      </c>
      <c r="Y442" s="25" t="str">
        <f>IF(X442="","",IFERROR(INDEX($AN$11:$AN$4010,MATCH(432,$AY$11:$AY$4010,0)),""))</f>
        <v/>
      </c>
      <c r="Z442" s="25" t="str">
        <f>IF(X442="","",IFERROR(INDEX($AO$11:$AO$4010,MATCH(432,$AY$11:$AY$4010,0)),""))</f>
        <v/>
      </c>
      <c r="AA442" s="24" t="str">
        <f>IF(X442="","",IFERROR(INDEX($AQ$11:$AQ$4010,MATCH(432,$AY$11:$AY$4010,0)),""))</f>
        <v/>
      </c>
      <c r="AB442" s="29" t="str">
        <f>IF(X442="","",IFERROR(INDEX($AR$11:$AR$4010,MATCH(432,$AY$11:$AY$4010,0)),""))</f>
        <v/>
      </c>
      <c r="AD442" s="30" t="str">
        <f>IF(AE442="","",IFERROR(INDEX($AL$11:$AL$4010,MATCH(432,$AZ$11:$AZ$4010,0)),""))</f>
        <v/>
      </c>
      <c r="AE442" s="26" t="str">
        <f>IFERROR(INDEX($AM$11:$AM$4010,MATCH(432,$AZ$11:$AZ$4010,0)),"")</f>
        <v/>
      </c>
      <c r="AF442" s="25" t="str">
        <f>IF(AE442="","",IFERROR(INDEX($AN$11:$AN$4010,MATCH(432,$AZ$11:$AZ$4010,0)),""))</f>
        <v/>
      </c>
      <c r="AG442" s="25" t="str">
        <f>IF(AE442="","",IFERROR(INDEX($AO$11:$AO$4010,MATCH(432,$AZ$11:$AZ$4010,0)),""))</f>
        <v/>
      </c>
      <c r="AH442" s="24" t="str">
        <f>IF(AE442="","",IFERROR(INDEX($AQ$11:$AQ$4010,MATCH(432,$AZ$11:$AZ$4010,0)),""))</f>
        <v/>
      </c>
      <c r="AI442" s="29" t="str">
        <f>IF(AE442="","",IFERROR(INDEX($AR$11:$AR$4010,MATCH(432,$AZ$11:$AZ$4010,0)),""))</f>
        <v/>
      </c>
      <c r="AJ442" s="29" t="str">
        <f>IF(AE442="","",IFERROR(INDEX($AT$11:$AT$4010,MATCH(432,$AZ$11:$AZ$4010,0)),""))</f>
        <v/>
      </c>
      <c r="AL442" s="31" t="str">
        <f t="shared" si="83"/>
        <v/>
      </c>
      <c r="AM442" s="26" t="str">
        <f t="shared" si="84"/>
        <v/>
      </c>
      <c r="AN442" s="32" t="str">
        <f t="shared" si="85"/>
        <v/>
      </c>
      <c r="AO442" s="32" t="str">
        <f t="shared" si="86"/>
        <v/>
      </c>
      <c r="AP442" s="24" t="str">
        <f t="shared" si="87"/>
        <v/>
      </c>
      <c r="AQ442" s="24" t="str">
        <f t="shared" si="88"/>
        <v/>
      </c>
      <c r="AR442" s="33" t="str">
        <f t="shared" si="89"/>
        <v/>
      </c>
      <c r="AS442" s="34"/>
      <c r="AT442" s="33"/>
      <c r="AV442" s="21">
        <f>IF(AND($AL442&lt;&gt;"",COUNTIF($AL$11:$AL442,$AL442)=1),1,0)</f>
        <v>0</v>
      </c>
      <c r="AW442" s="21">
        <f t="shared" si="91"/>
        <v>0</v>
      </c>
      <c r="AX442" s="21" t="str">
        <f t="shared" si="90"/>
        <v/>
      </c>
      <c r="AY442" s="21" t="str">
        <f>IF(AND($AM442&lt;&gt;"",$AS442&lt;&gt;"✓"),SUMPRODUCT(($AM$11:$AM442&lt;&gt;"")*($AS$11:$AS442&lt;&gt;"✓")),"")</f>
        <v/>
      </c>
      <c r="AZ442" s="21" t="str">
        <f>IF(AND($AM442&lt;&gt;"",$AS442="✓"),SUMPRODUCT(($AM$11:$AM442&lt;&gt;"")*($AS$11:$AS442="✓")),"")</f>
        <v/>
      </c>
      <c r="BA442" s="21" t="str">
        <f>IF($AL442="","",$AL442&amp;"|"&amp;COUNTIF($AL$11:$AL442,$AL442))</f>
        <v/>
      </c>
    </row>
    <row r="443" spans="2:53" ht="15" customHeight="1" x14ac:dyDescent="0.25">
      <c r="B443" s="5" t="str">
        <f t="shared" si="82"/>
        <v/>
      </c>
      <c r="C443" s="5"/>
      <c r="D443" s="5"/>
      <c r="E443" s="5"/>
      <c r="F443" s="6"/>
      <c r="G443" s="6"/>
      <c r="H443" s="7"/>
      <c r="I443" s="8"/>
      <c r="W443" s="14" t="str">
        <f>IF(X443="","",IFERROR(INDEX($AL$11:$AL$4010,MATCH(433,$AY$11:$AY$4010,0)),""))</f>
        <v/>
      </c>
      <c r="X443" s="12" t="str">
        <f>IFERROR(INDEX($AM$11:$AM$4010,MATCH(433,$AY$11:$AY$4010,0)),"")</f>
        <v/>
      </c>
      <c r="Y443" s="11" t="str">
        <f>IF(X443="","",IFERROR(INDEX($AN$11:$AN$4010,MATCH(433,$AY$11:$AY$4010,0)),""))</f>
        <v/>
      </c>
      <c r="Z443" s="11" t="str">
        <f>IF(X443="","",IFERROR(INDEX($AO$11:$AO$4010,MATCH(433,$AY$11:$AY$4010,0)),""))</f>
        <v/>
      </c>
      <c r="AA443" s="10" t="str">
        <f>IF(X443="","",IFERROR(INDEX($AQ$11:$AQ$4010,MATCH(433,$AY$11:$AY$4010,0)),""))</f>
        <v/>
      </c>
      <c r="AB443" s="15" t="str">
        <f>IF(X443="","",IFERROR(INDEX($AR$11:$AR$4010,MATCH(433,$AY$11:$AY$4010,0)),""))</f>
        <v/>
      </c>
      <c r="AD443" s="16" t="str">
        <f>IF(AE443="","",IFERROR(INDEX($AL$11:$AL$4010,MATCH(433,$AZ$11:$AZ$4010,0)),""))</f>
        <v/>
      </c>
      <c r="AE443" s="12" t="str">
        <f>IFERROR(INDEX($AM$11:$AM$4010,MATCH(433,$AZ$11:$AZ$4010,0)),"")</f>
        <v/>
      </c>
      <c r="AF443" s="11" t="str">
        <f>IF(AE443="","",IFERROR(INDEX($AN$11:$AN$4010,MATCH(433,$AZ$11:$AZ$4010,0)),""))</f>
        <v/>
      </c>
      <c r="AG443" s="11" t="str">
        <f>IF(AE443="","",IFERROR(INDEX($AO$11:$AO$4010,MATCH(433,$AZ$11:$AZ$4010,0)),""))</f>
        <v/>
      </c>
      <c r="AH443" s="10" t="str">
        <f>IF(AE443="","",IFERROR(INDEX($AQ$11:$AQ$4010,MATCH(433,$AZ$11:$AZ$4010,0)),""))</f>
        <v/>
      </c>
      <c r="AI443" s="15" t="str">
        <f>IF(AE443="","",IFERROR(INDEX($AR$11:$AR$4010,MATCH(433,$AZ$11:$AZ$4010,0)),""))</f>
        <v/>
      </c>
      <c r="AJ443" s="15" t="str">
        <f>IF(AE443="","",IFERROR(INDEX($AT$11:$AT$4010,MATCH(433,$AZ$11:$AZ$4010,0)),""))</f>
        <v/>
      </c>
      <c r="AL443" s="17" t="str">
        <f t="shared" si="83"/>
        <v/>
      </c>
      <c r="AM443" s="12" t="str">
        <f t="shared" si="84"/>
        <v/>
      </c>
      <c r="AN443" s="18" t="str">
        <f t="shared" si="85"/>
        <v/>
      </c>
      <c r="AO443" s="18" t="str">
        <f t="shared" si="86"/>
        <v/>
      </c>
      <c r="AP443" s="10" t="str">
        <f t="shared" si="87"/>
        <v/>
      </c>
      <c r="AQ443" s="10" t="str">
        <f t="shared" si="88"/>
        <v/>
      </c>
      <c r="AR443" s="19" t="str">
        <f t="shared" si="89"/>
        <v/>
      </c>
      <c r="AS443" s="20"/>
      <c r="AT443" s="19"/>
      <c r="AV443" s="21">
        <f>IF(AND($AL443&lt;&gt;"",COUNTIF($AL$11:$AL443,$AL443)=1),1,0)</f>
        <v>0</v>
      </c>
      <c r="AW443" s="21">
        <f t="shared" si="91"/>
        <v>0</v>
      </c>
      <c r="AX443" s="21" t="str">
        <f t="shared" si="90"/>
        <v/>
      </c>
      <c r="AY443" s="21" t="str">
        <f>IF(AND($AM443&lt;&gt;"",$AS443&lt;&gt;"✓"),SUMPRODUCT(($AM$11:$AM443&lt;&gt;"")*($AS$11:$AS443&lt;&gt;"✓")),"")</f>
        <v/>
      </c>
      <c r="AZ443" s="21" t="str">
        <f>IF(AND($AM443&lt;&gt;"",$AS443="✓"),SUMPRODUCT(($AM$11:$AM443&lt;&gt;"")*($AS$11:$AS443="✓")),"")</f>
        <v/>
      </c>
      <c r="BA443" s="21" t="str">
        <f>IF($AL443="","",$AL443&amp;"|"&amp;COUNTIF($AL$11:$AL443,$AL443))</f>
        <v/>
      </c>
    </row>
    <row r="444" spans="2:53" ht="15" customHeight="1" x14ac:dyDescent="0.25">
      <c r="B444" s="5" t="str">
        <f t="shared" si="82"/>
        <v/>
      </c>
      <c r="C444" s="5"/>
      <c r="D444" s="5"/>
      <c r="E444" s="5"/>
      <c r="F444" s="6"/>
      <c r="G444" s="6"/>
      <c r="H444" s="7"/>
      <c r="I444" s="8"/>
      <c r="W444" s="28" t="str">
        <f>IF(X444="","",IFERROR(INDEX($AL$11:$AL$4010,MATCH(434,$AY$11:$AY$4010,0)),""))</f>
        <v/>
      </c>
      <c r="X444" s="26" t="str">
        <f>IFERROR(INDEX($AM$11:$AM$4010,MATCH(434,$AY$11:$AY$4010,0)),"")</f>
        <v/>
      </c>
      <c r="Y444" s="25" t="str">
        <f>IF(X444="","",IFERROR(INDEX($AN$11:$AN$4010,MATCH(434,$AY$11:$AY$4010,0)),""))</f>
        <v/>
      </c>
      <c r="Z444" s="25" t="str">
        <f>IF(X444="","",IFERROR(INDEX($AO$11:$AO$4010,MATCH(434,$AY$11:$AY$4010,0)),""))</f>
        <v/>
      </c>
      <c r="AA444" s="24" t="str">
        <f>IF(X444="","",IFERROR(INDEX($AQ$11:$AQ$4010,MATCH(434,$AY$11:$AY$4010,0)),""))</f>
        <v/>
      </c>
      <c r="AB444" s="29" t="str">
        <f>IF(X444="","",IFERROR(INDEX($AR$11:$AR$4010,MATCH(434,$AY$11:$AY$4010,0)),""))</f>
        <v/>
      </c>
      <c r="AD444" s="30" t="str">
        <f>IF(AE444="","",IFERROR(INDEX($AL$11:$AL$4010,MATCH(434,$AZ$11:$AZ$4010,0)),""))</f>
        <v/>
      </c>
      <c r="AE444" s="26" t="str">
        <f>IFERROR(INDEX($AM$11:$AM$4010,MATCH(434,$AZ$11:$AZ$4010,0)),"")</f>
        <v/>
      </c>
      <c r="AF444" s="25" t="str">
        <f>IF(AE444="","",IFERROR(INDEX($AN$11:$AN$4010,MATCH(434,$AZ$11:$AZ$4010,0)),""))</f>
        <v/>
      </c>
      <c r="AG444" s="25" t="str">
        <f>IF(AE444="","",IFERROR(INDEX($AO$11:$AO$4010,MATCH(434,$AZ$11:$AZ$4010,0)),""))</f>
        <v/>
      </c>
      <c r="AH444" s="24" t="str">
        <f>IF(AE444="","",IFERROR(INDEX($AQ$11:$AQ$4010,MATCH(434,$AZ$11:$AZ$4010,0)),""))</f>
        <v/>
      </c>
      <c r="AI444" s="29" t="str">
        <f>IF(AE444="","",IFERROR(INDEX($AR$11:$AR$4010,MATCH(434,$AZ$11:$AZ$4010,0)),""))</f>
        <v/>
      </c>
      <c r="AJ444" s="29" t="str">
        <f>IF(AE444="","",IFERROR(INDEX($AT$11:$AT$4010,MATCH(434,$AZ$11:$AZ$4010,0)),""))</f>
        <v/>
      </c>
      <c r="AL444" s="31" t="str">
        <f t="shared" si="83"/>
        <v/>
      </c>
      <c r="AM444" s="26" t="str">
        <f t="shared" si="84"/>
        <v/>
      </c>
      <c r="AN444" s="32" t="str">
        <f t="shared" si="85"/>
        <v/>
      </c>
      <c r="AO444" s="32" t="str">
        <f t="shared" si="86"/>
        <v/>
      </c>
      <c r="AP444" s="24" t="str">
        <f t="shared" si="87"/>
        <v/>
      </c>
      <c r="AQ444" s="24" t="str">
        <f t="shared" si="88"/>
        <v/>
      </c>
      <c r="AR444" s="33" t="str">
        <f t="shared" si="89"/>
        <v/>
      </c>
      <c r="AS444" s="34"/>
      <c r="AT444" s="33"/>
      <c r="AV444" s="21">
        <f>IF(AND($AL444&lt;&gt;"",COUNTIF($AL$11:$AL444,$AL444)=1),1,0)</f>
        <v>0</v>
      </c>
      <c r="AW444" s="21">
        <f t="shared" si="91"/>
        <v>0</v>
      </c>
      <c r="AX444" s="21" t="str">
        <f t="shared" si="90"/>
        <v/>
      </c>
      <c r="AY444" s="21" t="str">
        <f>IF(AND($AM444&lt;&gt;"",$AS444&lt;&gt;"✓"),SUMPRODUCT(($AM$11:$AM444&lt;&gt;"")*($AS$11:$AS444&lt;&gt;"✓")),"")</f>
        <v/>
      </c>
      <c r="AZ444" s="21" t="str">
        <f>IF(AND($AM444&lt;&gt;"",$AS444="✓"),SUMPRODUCT(($AM$11:$AM444&lt;&gt;"")*($AS$11:$AS444="✓")),"")</f>
        <v/>
      </c>
      <c r="BA444" s="21" t="str">
        <f>IF($AL444="","",$AL444&amp;"|"&amp;COUNTIF($AL$11:$AL444,$AL444))</f>
        <v/>
      </c>
    </row>
    <row r="445" spans="2:53" ht="15" customHeight="1" x14ac:dyDescent="0.25">
      <c r="B445" s="5" t="str">
        <f t="shared" si="82"/>
        <v/>
      </c>
      <c r="C445" s="5"/>
      <c r="D445" s="5"/>
      <c r="E445" s="5"/>
      <c r="F445" s="6"/>
      <c r="G445" s="6"/>
      <c r="H445" s="7"/>
      <c r="I445" s="8"/>
      <c r="W445" s="14" t="str">
        <f>IF(X445="","",IFERROR(INDEX($AL$11:$AL$4010,MATCH(435,$AY$11:$AY$4010,0)),""))</f>
        <v/>
      </c>
      <c r="X445" s="12" t="str">
        <f>IFERROR(INDEX($AM$11:$AM$4010,MATCH(435,$AY$11:$AY$4010,0)),"")</f>
        <v/>
      </c>
      <c r="Y445" s="11" t="str">
        <f>IF(X445="","",IFERROR(INDEX($AN$11:$AN$4010,MATCH(435,$AY$11:$AY$4010,0)),""))</f>
        <v/>
      </c>
      <c r="Z445" s="11" t="str">
        <f>IF(X445="","",IFERROR(INDEX($AO$11:$AO$4010,MATCH(435,$AY$11:$AY$4010,0)),""))</f>
        <v/>
      </c>
      <c r="AA445" s="10" t="str">
        <f>IF(X445="","",IFERROR(INDEX($AQ$11:$AQ$4010,MATCH(435,$AY$11:$AY$4010,0)),""))</f>
        <v/>
      </c>
      <c r="AB445" s="15" t="str">
        <f>IF(X445="","",IFERROR(INDEX($AR$11:$AR$4010,MATCH(435,$AY$11:$AY$4010,0)),""))</f>
        <v/>
      </c>
      <c r="AD445" s="16" t="str">
        <f>IF(AE445="","",IFERROR(INDEX($AL$11:$AL$4010,MATCH(435,$AZ$11:$AZ$4010,0)),""))</f>
        <v/>
      </c>
      <c r="AE445" s="12" t="str">
        <f>IFERROR(INDEX($AM$11:$AM$4010,MATCH(435,$AZ$11:$AZ$4010,0)),"")</f>
        <v/>
      </c>
      <c r="AF445" s="11" t="str">
        <f>IF(AE445="","",IFERROR(INDEX($AN$11:$AN$4010,MATCH(435,$AZ$11:$AZ$4010,0)),""))</f>
        <v/>
      </c>
      <c r="AG445" s="11" t="str">
        <f>IF(AE445="","",IFERROR(INDEX($AO$11:$AO$4010,MATCH(435,$AZ$11:$AZ$4010,0)),""))</f>
        <v/>
      </c>
      <c r="AH445" s="10" t="str">
        <f>IF(AE445="","",IFERROR(INDEX($AQ$11:$AQ$4010,MATCH(435,$AZ$11:$AZ$4010,0)),""))</f>
        <v/>
      </c>
      <c r="AI445" s="15" t="str">
        <f>IF(AE445="","",IFERROR(INDEX($AR$11:$AR$4010,MATCH(435,$AZ$11:$AZ$4010,0)),""))</f>
        <v/>
      </c>
      <c r="AJ445" s="15" t="str">
        <f>IF(AE445="","",IFERROR(INDEX($AT$11:$AT$4010,MATCH(435,$AZ$11:$AZ$4010,0)),""))</f>
        <v/>
      </c>
      <c r="AL445" s="17" t="str">
        <f t="shared" si="83"/>
        <v/>
      </c>
      <c r="AM445" s="12" t="str">
        <f t="shared" si="84"/>
        <v/>
      </c>
      <c r="AN445" s="18" t="str">
        <f t="shared" si="85"/>
        <v/>
      </c>
      <c r="AO445" s="18" t="str">
        <f t="shared" si="86"/>
        <v/>
      </c>
      <c r="AP445" s="10" t="str">
        <f t="shared" si="87"/>
        <v/>
      </c>
      <c r="AQ445" s="10" t="str">
        <f t="shared" si="88"/>
        <v/>
      </c>
      <c r="AR445" s="19" t="str">
        <f t="shared" si="89"/>
        <v/>
      </c>
      <c r="AS445" s="20"/>
      <c r="AT445" s="19"/>
      <c r="AV445" s="21">
        <f>IF(AND($AL445&lt;&gt;"",COUNTIF($AL$11:$AL445,$AL445)=1),1,0)</f>
        <v>0</v>
      </c>
      <c r="AW445" s="21">
        <f t="shared" si="91"/>
        <v>0</v>
      </c>
      <c r="AX445" s="21" t="str">
        <f t="shared" si="90"/>
        <v/>
      </c>
      <c r="AY445" s="21" t="str">
        <f>IF(AND($AM445&lt;&gt;"",$AS445&lt;&gt;"✓"),SUMPRODUCT(($AM$11:$AM445&lt;&gt;"")*($AS$11:$AS445&lt;&gt;"✓")),"")</f>
        <v/>
      </c>
      <c r="AZ445" s="21" t="str">
        <f>IF(AND($AM445&lt;&gt;"",$AS445="✓"),SUMPRODUCT(($AM$11:$AM445&lt;&gt;"")*($AS$11:$AS445="✓")),"")</f>
        <v/>
      </c>
      <c r="BA445" s="21" t="str">
        <f>IF($AL445="","",$AL445&amp;"|"&amp;COUNTIF($AL$11:$AL445,$AL445))</f>
        <v/>
      </c>
    </row>
    <row r="446" spans="2:53" ht="15" customHeight="1" x14ac:dyDescent="0.25">
      <c r="B446" s="5" t="str">
        <f t="shared" si="82"/>
        <v/>
      </c>
      <c r="C446" s="5"/>
      <c r="D446" s="5"/>
      <c r="E446" s="5"/>
      <c r="F446" s="6"/>
      <c r="G446" s="6"/>
      <c r="H446" s="7"/>
      <c r="I446" s="8"/>
      <c r="W446" s="28" t="str">
        <f>IF(X446="","",IFERROR(INDEX($AL$11:$AL$4010,MATCH(436,$AY$11:$AY$4010,0)),""))</f>
        <v/>
      </c>
      <c r="X446" s="26" t="str">
        <f>IFERROR(INDEX($AM$11:$AM$4010,MATCH(436,$AY$11:$AY$4010,0)),"")</f>
        <v/>
      </c>
      <c r="Y446" s="25" t="str">
        <f>IF(X446="","",IFERROR(INDEX($AN$11:$AN$4010,MATCH(436,$AY$11:$AY$4010,0)),""))</f>
        <v/>
      </c>
      <c r="Z446" s="25" t="str">
        <f>IF(X446="","",IFERROR(INDEX($AO$11:$AO$4010,MATCH(436,$AY$11:$AY$4010,0)),""))</f>
        <v/>
      </c>
      <c r="AA446" s="24" t="str">
        <f>IF(X446="","",IFERROR(INDEX($AQ$11:$AQ$4010,MATCH(436,$AY$11:$AY$4010,0)),""))</f>
        <v/>
      </c>
      <c r="AB446" s="29" t="str">
        <f>IF(X446="","",IFERROR(INDEX($AR$11:$AR$4010,MATCH(436,$AY$11:$AY$4010,0)),""))</f>
        <v/>
      </c>
      <c r="AD446" s="30" t="str">
        <f>IF(AE446="","",IFERROR(INDEX($AL$11:$AL$4010,MATCH(436,$AZ$11:$AZ$4010,0)),""))</f>
        <v/>
      </c>
      <c r="AE446" s="26" t="str">
        <f>IFERROR(INDEX($AM$11:$AM$4010,MATCH(436,$AZ$11:$AZ$4010,0)),"")</f>
        <v/>
      </c>
      <c r="AF446" s="25" t="str">
        <f>IF(AE446="","",IFERROR(INDEX($AN$11:$AN$4010,MATCH(436,$AZ$11:$AZ$4010,0)),""))</f>
        <v/>
      </c>
      <c r="AG446" s="25" t="str">
        <f>IF(AE446="","",IFERROR(INDEX($AO$11:$AO$4010,MATCH(436,$AZ$11:$AZ$4010,0)),""))</f>
        <v/>
      </c>
      <c r="AH446" s="24" t="str">
        <f>IF(AE446="","",IFERROR(INDEX($AQ$11:$AQ$4010,MATCH(436,$AZ$11:$AZ$4010,0)),""))</f>
        <v/>
      </c>
      <c r="AI446" s="29" t="str">
        <f>IF(AE446="","",IFERROR(INDEX($AR$11:$AR$4010,MATCH(436,$AZ$11:$AZ$4010,0)),""))</f>
        <v/>
      </c>
      <c r="AJ446" s="29" t="str">
        <f>IF(AE446="","",IFERROR(INDEX($AT$11:$AT$4010,MATCH(436,$AZ$11:$AZ$4010,0)),""))</f>
        <v/>
      </c>
      <c r="AL446" s="31" t="str">
        <f t="shared" si="83"/>
        <v/>
      </c>
      <c r="AM446" s="26" t="str">
        <f t="shared" si="84"/>
        <v/>
      </c>
      <c r="AN446" s="32" t="str">
        <f t="shared" si="85"/>
        <v/>
      </c>
      <c r="AO446" s="32" t="str">
        <f t="shared" si="86"/>
        <v/>
      </c>
      <c r="AP446" s="24" t="str">
        <f t="shared" si="87"/>
        <v/>
      </c>
      <c r="AQ446" s="24" t="str">
        <f t="shared" si="88"/>
        <v/>
      </c>
      <c r="AR446" s="33" t="str">
        <f t="shared" si="89"/>
        <v/>
      </c>
      <c r="AS446" s="34"/>
      <c r="AT446" s="33"/>
      <c r="AV446" s="21">
        <f>IF(AND($AL446&lt;&gt;"",COUNTIF($AL$11:$AL446,$AL446)=1),1,0)</f>
        <v>0</v>
      </c>
      <c r="AW446" s="21">
        <f t="shared" si="91"/>
        <v>0</v>
      </c>
      <c r="AX446" s="21" t="str">
        <f t="shared" si="90"/>
        <v/>
      </c>
      <c r="AY446" s="21" t="str">
        <f>IF(AND($AM446&lt;&gt;"",$AS446&lt;&gt;"✓"),SUMPRODUCT(($AM$11:$AM446&lt;&gt;"")*($AS$11:$AS446&lt;&gt;"✓")),"")</f>
        <v/>
      </c>
      <c r="AZ446" s="21" t="str">
        <f>IF(AND($AM446&lt;&gt;"",$AS446="✓"),SUMPRODUCT(($AM$11:$AM446&lt;&gt;"")*($AS$11:$AS446="✓")),"")</f>
        <v/>
      </c>
      <c r="BA446" s="21" t="str">
        <f>IF($AL446="","",$AL446&amp;"|"&amp;COUNTIF($AL$11:$AL446,$AL446))</f>
        <v/>
      </c>
    </row>
    <row r="447" spans="2:53" ht="15" customHeight="1" x14ac:dyDescent="0.25">
      <c r="B447" s="5" t="str">
        <f t="shared" si="82"/>
        <v/>
      </c>
      <c r="C447" s="5"/>
      <c r="D447" s="5"/>
      <c r="E447" s="5"/>
      <c r="F447" s="6"/>
      <c r="G447" s="6"/>
      <c r="H447" s="7"/>
      <c r="I447" s="8"/>
      <c r="W447" s="14" t="str">
        <f>IF(X447="","",IFERROR(INDEX($AL$11:$AL$4010,MATCH(437,$AY$11:$AY$4010,0)),""))</f>
        <v/>
      </c>
      <c r="X447" s="12" t="str">
        <f>IFERROR(INDEX($AM$11:$AM$4010,MATCH(437,$AY$11:$AY$4010,0)),"")</f>
        <v/>
      </c>
      <c r="Y447" s="11" t="str">
        <f>IF(X447="","",IFERROR(INDEX($AN$11:$AN$4010,MATCH(437,$AY$11:$AY$4010,0)),""))</f>
        <v/>
      </c>
      <c r="Z447" s="11" t="str">
        <f>IF(X447="","",IFERROR(INDEX($AO$11:$AO$4010,MATCH(437,$AY$11:$AY$4010,0)),""))</f>
        <v/>
      </c>
      <c r="AA447" s="10" t="str">
        <f>IF(X447="","",IFERROR(INDEX($AQ$11:$AQ$4010,MATCH(437,$AY$11:$AY$4010,0)),""))</f>
        <v/>
      </c>
      <c r="AB447" s="15" t="str">
        <f>IF(X447="","",IFERROR(INDEX($AR$11:$AR$4010,MATCH(437,$AY$11:$AY$4010,0)),""))</f>
        <v/>
      </c>
      <c r="AD447" s="16" t="str">
        <f>IF(AE447="","",IFERROR(INDEX($AL$11:$AL$4010,MATCH(437,$AZ$11:$AZ$4010,0)),""))</f>
        <v/>
      </c>
      <c r="AE447" s="12" t="str">
        <f>IFERROR(INDEX($AM$11:$AM$4010,MATCH(437,$AZ$11:$AZ$4010,0)),"")</f>
        <v/>
      </c>
      <c r="AF447" s="11" t="str">
        <f>IF(AE447="","",IFERROR(INDEX($AN$11:$AN$4010,MATCH(437,$AZ$11:$AZ$4010,0)),""))</f>
        <v/>
      </c>
      <c r="AG447" s="11" t="str">
        <f>IF(AE447="","",IFERROR(INDEX($AO$11:$AO$4010,MATCH(437,$AZ$11:$AZ$4010,0)),""))</f>
        <v/>
      </c>
      <c r="AH447" s="10" t="str">
        <f>IF(AE447="","",IFERROR(INDEX($AQ$11:$AQ$4010,MATCH(437,$AZ$11:$AZ$4010,0)),""))</f>
        <v/>
      </c>
      <c r="AI447" s="15" t="str">
        <f>IF(AE447="","",IFERROR(INDEX($AR$11:$AR$4010,MATCH(437,$AZ$11:$AZ$4010,0)),""))</f>
        <v/>
      </c>
      <c r="AJ447" s="15" t="str">
        <f>IF(AE447="","",IFERROR(INDEX($AT$11:$AT$4010,MATCH(437,$AZ$11:$AZ$4010,0)),""))</f>
        <v/>
      </c>
      <c r="AL447" s="17" t="str">
        <f t="shared" si="83"/>
        <v/>
      </c>
      <c r="AM447" s="12" t="str">
        <f t="shared" si="84"/>
        <v/>
      </c>
      <c r="AN447" s="18" t="str">
        <f t="shared" si="85"/>
        <v/>
      </c>
      <c r="AO447" s="18" t="str">
        <f t="shared" si="86"/>
        <v/>
      </c>
      <c r="AP447" s="10" t="str">
        <f t="shared" si="87"/>
        <v/>
      </c>
      <c r="AQ447" s="10" t="str">
        <f t="shared" si="88"/>
        <v/>
      </c>
      <c r="AR447" s="19" t="str">
        <f t="shared" si="89"/>
        <v/>
      </c>
      <c r="AS447" s="20"/>
      <c r="AT447" s="19"/>
      <c r="AV447" s="21">
        <f>IF(AND($AL447&lt;&gt;"",COUNTIF($AL$11:$AL447,$AL447)=1),1,0)</f>
        <v>0</v>
      </c>
      <c r="AW447" s="21">
        <f t="shared" si="91"/>
        <v>0</v>
      </c>
      <c r="AX447" s="21" t="str">
        <f t="shared" si="90"/>
        <v/>
      </c>
      <c r="AY447" s="21" t="str">
        <f>IF(AND($AM447&lt;&gt;"",$AS447&lt;&gt;"✓"),SUMPRODUCT(($AM$11:$AM447&lt;&gt;"")*($AS$11:$AS447&lt;&gt;"✓")),"")</f>
        <v/>
      </c>
      <c r="AZ447" s="21" t="str">
        <f>IF(AND($AM447&lt;&gt;"",$AS447="✓"),SUMPRODUCT(($AM$11:$AM447&lt;&gt;"")*($AS$11:$AS447="✓")),"")</f>
        <v/>
      </c>
      <c r="BA447" s="21" t="str">
        <f>IF($AL447="","",$AL447&amp;"|"&amp;COUNTIF($AL$11:$AL447,$AL447))</f>
        <v/>
      </c>
    </row>
    <row r="448" spans="2:53" ht="15" customHeight="1" x14ac:dyDescent="0.25">
      <c r="B448" s="5" t="str">
        <f t="shared" si="82"/>
        <v/>
      </c>
      <c r="C448" s="5"/>
      <c r="D448" s="5"/>
      <c r="E448" s="5"/>
      <c r="F448" s="6"/>
      <c r="G448" s="6"/>
      <c r="H448" s="7"/>
      <c r="I448" s="8"/>
      <c r="W448" s="28" t="str">
        <f>IF(X448="","",IFERROR(INDEX($AL$11:$AL$4010,MATCH(438,$AY$11:$AY$4010,0)),""))</f>
        <v/>
      </c>
      <c r="X448" s="26" t="str">
        <f>IFERROR(INDEX($AM$11:$AM$4010,MATCH(438,$AY$11:$AY$4010,0)),"")</f>
        <v/>
      </c>
      <c r="Y448" s="25" t="str">
        <f>IF(X448="","",IFERROR(INDEX($AN$11:$AN$4010,MATCH(438,$AY$11:$AY$4010,0)),""))</f>
        <v/>
      </c>
      <c r="Z448" s="25" t="str">
        <f>IF(X448="","",IFERROR(INDEX($AO$11:$AO$4010,MATCH(438,$AY$11:$AY$4010,0)),""))</f>
        <v/>
      </c>
      <c r="AA448" s="24" t="str">
        <f>IF(X448="","",IFERROR(INDEX($AQ$11:$AQ$4010,MATCH(438,$AY$11:$AY$4010,0)),""))</f>
        <v/>
      </c>
      <c r="AB448" s="29" t="str">
        <f>IF(X448="","",IFERROR(INDEX($AR$11:$AR$4010,MATCH(438,$AY$11:$AY$4010,0)),""))</f>
        <v/>
      </c>
      <c r="AD448" s="30" t="str">
        <f>IF(AE448="","",IFERROR(INDEX($AL$11:$AL$4010,MATCH(438,$AZ$11:$AZ$4010,0)),""))</f>
        <v/>
      </c>
      <c r="AE448" s="26" t="str">
        <f>IFERROR(INDEX($AM$11:$AM$4010,MATCH(438,$AZ$11:$AZ$4010,0)),"")</f>
        <v/>
      </c>
      <c r="AF448" s="25" t="str">
        <f>IF(AE448="","",IFERROR(INDEX($AN$11:$AN$4010,MATCH(438,$AZ$11:$AZ$4010,0)),""))</f>
        <v/>
      </c>
      <c r="AG448" s="25" t="str">
        <f>IF(AE448="","",IFERROR(INDEX($AO$11:$AO$4010,MATCH(438,$AZ$11:$AZ$4010,0)),""))</f>
        <v/>
      </c>
      <c r="AH448" s="24" t="str">
        <f>IF(AE448="","",IFERROR(INDEX($AQ$11:$AQ$4010,MATCH(438,$AZ$11:$AZ$4010,0)),""))</f>
        <v/>
      </c>
      <c r="AI448" s="29" t="str">
        <f>IF(AE448="","",IFERROR(INDEX($AR$11:$AR$4010,MATCH(438,$AZ$11:$AZ$4010,0)),""))</f>
        <v/>
      </c>
      <c r="AJ448" s="29" t="str">
        <f>IF(AE448="","",IFERROR(INDEX($AT$11:$AT$4010,MATCH(438,$AZ$11:$AZ$4010,0)),""))</f>
        <v/>
      </c>
      <c r="AL448" s="31" t="str">
        <f t="shared" si="83"/>
        <v/>
      </c>
      <c r="AM448" s="26" t="str">
        <f t="shared" si="84"/>
        <v/>
      </c>
      <c r="AN448" s="32" t="str">
        <f t="shared" si="85"/>
        <v/>
      </c>
      <c r="AO448" s="32" t="str">
        <f t="shared" si="86"/>
        <v/>
      </c>
      <c r="AP448" s="24" t="str">
        <f t="shared" si="87"/>
        <v/>
      </c>
      <c r="AQ448" s="24" t="str">
        <f t="shared" si="88"/>
        <v/>
      </c>
      <c r="AR448" s="33" t="str">
        <f t="shared" si="89"/>
        <v/>
      </c>
      <c r="AS448" s="34"/>
      <c r="AT448" s="33"/>
      <c r="AV448" s="21">
        <f>IF(AND($AL448&lt;&gt;"",COUNTIF($AL$11:$AL448,$AL448)=1),1,0)</f>
        <v>0</v>
      </c>
      <c r="AW448" s="21">
        <f t="shared" si="91"/>
        <v>0</v>
      </c>
      <c r="AX448" s="21" t="str">
        <f t="shared" si="90"/>
        <v/>
      </c>
      <c r="AY448" s="21" t="str">
        <f>IF(AND($AM448&lt;&gt;"",$AS448&lt;&gt;"✓"),SUMPRODUCT(($AM$11:$AM448&lt;&gt;"")*($AS$11:$AS448&lt;&gt;"✓")),"")</f>
        <v/>
      </c>
      <c r="AZ448" s="21" t="str">
        <f>IF(AND($AM448&lt;&gt;"",$AS448="✓"),SUMPRODUCT(($AM$11:$AM448&lt;&gt;"")*($AS$11:$AS448="✓")),"")</f>
        <v/>
      </c>
      <c r="BA448" s="21" t="str">
        <f>IF($AL448="","",$AL448&amp;"|"&amp;COUNTIF($AL$11:$AL448,$AL448))</f>
        <v/>
      </c>
    </row>
    <row r="449" spans="2:53" ht="15" customHeight="1" x14ac:dyDescent="0.25">
      <c r="B449" s="5" t="str">
        <f t="shared" si="82"/>
        <v/>
      </c>
      <c r="C449" s="5"/>
      <c r="D449" s="5"/>
      <c r="E449" s="5"/>
      <c r="F449" s="6"/>
      <c r="G449" s="6"/>
      <c r="H449" s="7"/>
      <c r="I449" s="8"/>
      <c r="W449" s="14" t="str">
        <f>IF(X449="","",IFERROR(INDEX($AL$11:$AL$4010,MATCH(439,$AY$11:$AY$4010,0)),""))</f>
        <v/>
      </c>
      <c r="X449" s="12" t="str">
        <f>IFERROR(INDEX($AM$11:$AM$4010,MATCH(439,$AY$11:$AY$4010,0)),"")</f>
        <v/>
      </c>
      <c r="Y449" s="11" t="str">
        <f>IF(X449="","",IFERROR(INDEX($AN$11:$AN$4010,MATCH(439,$AY$11:$AY$4010,0)),""))</f>
        <v/>
      </c>
      <c r="Z449" s="11" t="str">
        <f>IF(X449="","",IFERROR(INDEX($AO$11:$AO$4010,MATCH(439,$AY$11:$AY$4010,0)),""))</f>
        <v/>
      </c>
      <c r="AA449" s="10" t="str">
        <f>IF(X449="","",IFERROR(INDEX($AQ$11:$AQ$4010,MATCH(439,$AY$11:$AY$4010,0)),""))</f>
        <v/>
      </c>
      <c r="AB449" s="15" t="str">
        <f>IF(X449="","",IFERROR(INDEX($AR$11:$AR$4010,MATCH(439,$AY$11:$AY$4010,0)),""))</f>
        <v/>
      </c>
      <c r="AD449" s="16" t="str">
        <f>IF(AE449="","",IFERROR(INDEX($AL$11:$AL$4010,MATCH(439,$AZ$11:$AZ$4010,0)),""))</f>
        <v/>
      </c>
      <c r="AE449" s="12" t="str">
        <f>IFERROR(INDEX($AM$11:$AM$4010,MATCH(439,$AZ$11:$AZ$4010,0)),"")</f>
        <v/>
      </c>
      <c r="AF449" s="11" t="str">
        <f>IF(AE449="","",IFERROR(INDEX($AN$11:$AN$4010,MATCH(439,$AZ$11:$AZ$4010,0)),""))</f>
        <v/>
      </c>
      <c r="AG449" s="11" t="str">
        <f>IF(AE449="","",IFERROR(INDEX($AO$11:$AO$4010,MATCH(439,$AZ$11:$AZ$4010,0)),""))</f>
        <v/>
      </c>
      <c r="AH449" s="10" t="str">
        <f>IF(AE449="","",IFERROR(INDEX($AQ$11:$AQ$4010,MATCH(439,$AZ$11:$AZ$4010,0)),""))</f>
        <v/>
      </c>
      <c r="AI449" s="15" t="str">
        <f>IF(AE449="","",IFERROR(INDEX($AR$11:$AR$4010,MATCH(439,$AZ$11:$AZ$4010,0)),""))</f>
        <v/>
      </c>
      <c r="AJ449" s="15" t="str">
        <f>IF(AE449="","",IFERROR(INDEX($AT$11:$AT$4010,MATCH(439,$AZ$11:$AZ$4010,0)),""))</f>
        <v/>
      </c>
      <c r="AL449" s="17" t="str">
        <f t="shared" si="83"/>
        <v/>
      </c>
      <c r="AM449" s="12" t="str">
        <f t="shared" si="84"/>
        <v/>
      </c>
      <c r="AN449" s="18" t="str">
        <f t="shared" si="85"/>
        <v/>
      </c>
      <c r="AO449" s="18" t="str">
        <f t="shared" si="86"/>
        <v/>
      </c>
      <c r="AP449" s="10" t="str">
        <f t="shared" si="87"/>
        <v/>
      </c>
      <c r="AQ449" s="10" t="str">
        <f t="shared" si="88"/>
        <v/>
      </c>
      <c r="AR449" s="19" t="str">
        <f t="shared" si="89"/>
        <v/>
      </c>
      <c r="AS449" s="20"/>
      <c r="AT449" s="19"/>
      <c r="AV449" s="21">
        <f>IF(AND($AL449&lt;&gt;"",COUNTIF($AL$11:$AL449,$AL449)=1),1,0)</f>
        <v>0</v>
      </c>
      <c r="AW449" s="21">
        <f t="shared" si="91"/>
        <v>0</v>
      </c>
      <c r="AX449" s="21" t="str">
        <f t="shared" si="90"/>
        <v/>
      </c>
      <c r="AY449" s="21" t="str">
        <f>IF(AND($AM449&lt;&gt;"",$AS449&lt;&gt;"✓"),SUMPRODUCT(($AM$11:$AM449&lt;&gt;"")*($AS$11:$AS449&lt;&gt;"✓")),"")</f>
        <v/>
      </c>
      <c r="AZ449" s="21" t="str">
        <f>IF(AND($AM449&lt;&gt;"",$AS449="✓"),SUMPRODUCT(($AM$11:$AM449&lt;&gt;"")*($AS$11:$AS449="✓")),"")</f>
        <v/>
      </c>
      <c r="BA449" s="21" t="str">
        <f>IF($AL449="","",$AL449&amp;"|"&amp;COUNTIF($AL$11:$AL449,$AL449))</f>
        <v/>
      </c>
    </row>
    <row r="450" spans="2:53" ht="15" customHeight="1" x14ac:dyDescent="0.25">
      <c r="B450" s="5" t="str">
        <f t="shared" si="82"/>
        <v/>
      </c>
      <c r="C450" s="5"/>
      <c r="D450" s="5"/>
      <c r="E450" s="5"/>
      <c r="F450" s="6"/>
      <c r="G450" s="6"/>
      <c r="H450" s="7"/>
      <c r="I450" s="8"/>
      <c r="W450" s="28" t="str">
        <f>IF(X450="","",IFERROR(INDEX($AL$11:$AL$4010,MATCH(440,$AY$11:$AY$4010,0)),""))</f>
        <v/>
      </c>
      <c r="X450" s="26" t="str">
        <f>IFERROR(INDEX($AM$11:$AM$4010,MATCH(440,$AY$11:$AY$4010,0)),"")</f>
        <v/>
      </c>
      <c r="Y450" s="25" t="str">
        <f>IF(X450="","",IFERROR(INDEX($AN$11:$AN$4010,MATCH(440,$AY$11:$AY$4010,0)),""))</f>
        <v/>
      </c>
      <c r="Z450" s="25" t="str">
        <f>IF(X450="","",IFERROR(INDEX($AO$11:$AO$4010,MATCH(440,$AY$11:$AY$4010,0)),""))</f>
        <v/>
      </c>
      <c r="AA450" s="24" t="str">
        <f>IF(X450="","",IFERROR(INDEX($AQ$11:$AQ$4010,MATCH(440,$AY$11:$AY$4010,0)),""))</f>
        <v/>
      </c>
      <c r="AB450" s="29" t="str">
        <f>IF(X450="","",IFERROR(INDEX($AR$11:$AR$4010,MATCH(440,$AY$11:$AY$4010,0)),""))</f>
        <v/>
      </c>
      <c r="AD450" s="30" t="str">
        <f>IF(AE450="","",IFERROR(INDEX($AL$11:$AL$4010,MATCH(440,$AZ$11:$AZ$4010,0)),""))</f>
        <v/>
      </c>
      <c r="AE450" s="26" t="str">
        <f>IFERROR(INDEX($AM$11:$AM$4010,MATCH(440,$AZ$11:$AZ$4010,0)),"")</f>
        <v/>
      </c>
      <c r="AF450" s="25" t="str">
        <f>IF(AE450="","",IFERROR(INDEX($AN$11:$AN$4010,MATCH(440,$AZ$11:$AZ$4010,0)),""))</f>
        <v/>
      </c>
      <c r="AG450" s="25" t="str">
        <f>IF(AE450="","",IFERROR(INDEX($AO$11:$AO$4010,MATCH(440,$AZ$11:$AZ$4010,0)),""))</f>
        <v/>
      </c>
      <c r="AH450" s="24" t="str">
        <f>IF(AE450="","",IFERROR(INDEX($AQ$11:$AQ$4010,MATCH(440,$AZ$11:$AZ$4010,0)),""))</f>
        <v/>
      </c>
      <c r="AI450" s="29" t="str">
        <f>IF(AE450="","",IFERROR(INDEX($AR$11:$AR$4010,MATCH(440,$AZ$11:$AZ$4010,0)),""))</f>
        <v/>
      </c>
      <c r="AJ450" s="29" t="str">
        <f>IF(AE450="","",IFERROR(INDEX($AT$11:$AT$4010,MATCH(440,$AZ$11:$AZ$4010,0)),""))</f>
        <v/>
      </c>
      <c r="AL450" s="31" t="str">
        <f t="shared" si="83"/>
        <v/>
      </c>
      <c r="AM450" s="26" t="str">
        <f t="shared" si="84"/>
        <v/>
      </c>
      <c r="AN450" s="32" t="str">
        <f t="shared" si="85"/>
        <v/>
      </c>
      <c r="AO450" s="32" t="str">
        <f t="shared" si="86"/>
        <v/>
      </c>
      <c r="AP450" s="24" t="str">
        <f t="shared" si="87"/>
        <v/>
      </c>
      <c r="AQ450" s="24" t="str">
        <f t="shared" si="88"/>
        <v/>
      </c>
      <c r="AR450" s="33" t="str">
        <f t="shared" si="89"/>
        <v/>
      </c>
      <c r="AS450" s="34"/>
      <c r="AT450" s="33"/>
      <c r="AV450" s="21">
        <f>IF(AND($AL450&lt;&gt;"",COUNTIF($AL$11:$AL450,$AL450)=1),1,0)</f>
        <v>0</v>
      </c>
      <c r="AW450" s="21">
        <f t="shared" si="91"/>
        <v>0</v>
      </c>
      <c r="AX450" s="21" t="str">
        <f t="shared" si="90"/>
        <v/>
      </c>
      <c r="AY450" s="21" t="str">
        <f>IF(AND($AM450&lt;&gt;"",$AS450&lt;&gt;"✓"),SUMPRODUCT(($AM$11:$AM450&lt;&gt;"")*($AS$11:$AS450&lt;&gt;"✓")),"")</f>
        <v/>
      </c>
      <c r="AZ450" s="21" t="str">
        <f>IF(AND($AM450&lt;&gt;"",$AS450="✓"),SUMPRODUCT(($AM$11:$AM450&lt;&gt;"")*($AS$11:$AS450="✓")),"")</f>
        <v/>
      </c>
      <c r="BA450" s="21" t="str">
        <f>IF($AL450="","",$AL450&amp;"|"&amp;COUNTIF($AL$11:$AL450,$AL450))</f>
        <v/>
      </c>
    </row>
    <row r="451" spans="2:53" ht="15" customHeight="1" x14ac:dyDescent="0.25">
      <c r="B451" s="5" t="str">
        <f t="shared" si="82"/>
        <v/>
      </c>
      <c r="C451" s="5"/>
      <c r="D451" s="5"/>
      <c r="E451" s="5"/>
      <c r="F451" s="6"/>
      <c r="G451" s="6"/>
      <c r="H451" s="7"/>
      <c r="I451" s="8"/>
      <c r="W451" s="14" t="str">
        <f>IF(X451="","",IFERROR(INDEX($AL$11:$AL$4010,MATCH(441,$AY$11:$AY$4010,0)),""))</f>
        <v/>
      </c>
      <c r="X451" s="12" t="str">
        <f>IFERROR(INDEX($AM$11:$AM$4010,MATCH(441,$AY$11:$AY$4010,0)),"")</f>
        <v/>
      </c>
      <c r="Y451" s="11" t="str">
        <f>IF(X451="","",IFERROR(INDEX($AN$11:$AN$4010,MATCH(441,$AY$11:$AY$4010,0)),""))</f>
        <v/>
      </c>
      <c r="Z451" s="11" t="str">
        <f>IF(X451="","",IFERROR(INDEX($AO$11:$AO$4010,MATCH(441,$AY$11:$AY$4010,0)),""))</f>
        <v/>
      </c>
      <c r="AA451" s="10" t="str">
        <f>IF(X451="","",IFERROR(INDEX($AQ$11:$AQ$4010,MATCH(441,$AY$11:$AY$4010,0)),""))</f>
        <v/>
      </c>
      <c r="AB451" s="15" t="str">
        <f>IF(X451="","",IFERROR(INDEX($AR$11:$AR$4010,MATCH(441,$AY$11:$AY$4010,0)),""))</f>
        <v/>
      </c>
      <c r="AD451" s="16" t="str">
        <f>IF(AE451="","",IFERROR(INDEX($AL$11:$AL$4010,MATCH(441,$AZ$11:$AZ$4010,0)),""))</f>
        <v/>
      </c>
      <c r="AE451" s="12" t="str">
        <f>IFERROR(INDEX($AM$11:$AM$4010,MATCH(441,$AZ$11:$AZ$4010,0)),"")</f>
        <v/>
      </c>
      <c r="AF451" s="11" t="str">
        <f>IF(AE451="","",IFERROR(INDEX($AN$11:$AN$4010,MATCH(441,$AZ$11:$AZ$4010,0)),""))</f>
        <v/>
      </c>
      <c r="AG451" s="11" t="str">
        <f>IF(AE451="","",IFERROR(INDEX($AO$11:$AO$4010,MATCH(441,$AZ$11:$AZ$4010,0)),""))</f>
        <v/>
      </c>
      <c r="AH451" s="10" t="str">
        <f>IF(AE451="","",IFERROR(INDEX($AQ$11:$AQ$4010,MATCH(441,$AZ$11:$AZ$4010,0)),""))</f>
        <v/>
      </c>
      <c r="AI451" s="15" t="str">
        <f>IF(AE451="","",IFERROR(INDEX($AR$11:$AR$4010,MATCH(441,$AZ$11:$AZ$4010,0)),""))</f>
        <v/>
      </c>
      <c r="AJ451" s="15" t="str">
        <f>IF(AE451="","",IFERROR(INDEX($AT$11:$AT$4010,MATCH(441,$AZ$11:$AZ$4010,0)),""))</f>
        <v/>
      </c>
      <c r="AL451" s="17" t="str">
        <f t="shared" si="83"/>
        <v/>
      </c>
      <c r="AM451" s="12" t="str">
        <f t="shared" si="84"/>
        <v/>
      </c>
      <c r="AN451" s="18" t="str">
        <f t="shared" si="85"/>
        <v/>
      </c>
      <c r="AO451" s="18" t="str">
        <f t="shared" si="86"/>
        <v/>
      </c>
      <c r="AP451" s="10" t="str">
        <f t="shared" si="87"/>
        <v/>
      </c>
      <c r="AQ451" s="10" t="str">
        <f t="shared" si="88"/>
        <v/>
      </c>
      <c r="AR451" s="19" t="str">
        <f t="shared" si="89"/>
        <v/>
      </c>
      <c r="AS451" s="20"/>
      <c r="AT451" s="19"/>
      <c r="AV451" s="21">
        <f>IF(AND($AL451&lt;&gt;"",COUNTIF($AL$11:$AL451,$AL451)=1),1,0)</f>
        <v>0</v>
      </c>
      <c r="AW451" s="21">
        <f t="shared" si="91"/>
        <v>0</v>
      </c>
      <c r="AX451" s="21" t="str">
        <f t="shared" si="90"/>
        <v/>
      </c>
      <c r="AY451" s="21" t="str">
        <f>IF(AND($AM451&lt;&gt;"",$AS451&lt;&gt;"✓"),SUMPRODUCT(($AM$11:$AM451&lt;&gt;"")*($AS$11:$AS451&lt;&gt;"✓")),"")</f>
        <v/>
      </c>
      <c r="AZ451" s="21" t="str">
        <f>IF(AND($AM451&lt;&gt;"",$AS451="✓"),SUMPRODUCT(($AM$11:$AM451&lt;&gt;"")*($AS$11:$AS451="✓")),"")</f>
        <v/>
      </c>
      <c r="BA451" s="21" t="str">
        <f>IF($AL451="","",$AL451&amp;"|"&amp;COUNTIF($AL$11:$AL451,$AL451))</f>
        <v/>
      </c>
    </row>
    <row r="452" spans="2:53" ht="15" customHeight="1" x14ac:dyDescent="0.25">
      <c r="B452" s="5" t="str">
        <f t="shared" si="82"/>
        <v/>
      </c>
      <c r="C452" s="5"/>
      <c r="D452" s="5"/>
      <c r="E452" s="5"/>
      <c r="F452" s="6"/>
      <c r="G452" s="6"/>
      <c r="H452" s="7"/>
      <c r="I452" s="8"/>
      <c r="W452" s="28" t="str">
        <f>IF(X452="","",IFERROR(INDEX($AL$11:$AL$4010,MATCH(442,$AY$11:$AY$4010,0)),""))</f>
        <v/>
      </c>
      <c r="X452" s="26" t="str">
        <f>IFERROR(INDEX($AM$11:$AM$4010,MATCH(442,$AY$11:$AY$4010,0)),"")</f>
        <v/>
      </c>
      <c r="Y452" s="25" t="str">
        <f>IF(X452="","",IFERROR(INDEX($AN$11:$AN$4010,MATCH(442,$AY$11:$AY$4010,0)),""))</f>
        <v/>
      </c>
      <c r="Z452" s="25" t="str">
        <f>IF(X452="","",IFERROR(INDEX($AO$11:$AO$4010,MATCH(442,$AY$11:$AY$4010,0)),""))</f>
        <v/>
      </c>
      <c r="AA452" s="24" t="str">
        <f>IF(X452="","",IFERROR(INDEX($AQ$11:$AQ$4010,MATCH(442,$AY$11:$AY$4010,0)),""))</f>
        <v/>
      </c>
      <c r="AB452" s="29" t="str">
        <f>IF(X452="","",IFERROR(INDEX($AR$11:$AR$4010,MATCH(442,$AY$11:$AY$4010,0)),""))</f>
        <v/>
      </c>
      <c r="AD452" s="30" t="str">
        <f>IF(AE452="","",IFERROR(INDEX($AL$11:$AL$4010,MATCH(442,$AZ$11:$AZ$4010,0)),""))</f>
        <v/>
      </c>
      <c r="AE452" s="26" t="str">
        <f>IFERROR(INDEX($AM$11:$AM$4010,MATCH(442,$AZ$11:$AZ$4010,0)),"")</f>
        <v/>
      </c>
      <c r="AF452" s="25" t="str">
        <f>IF(AE452="","",IFERROR(INDEX($AN$11:$AN$4010,MATCH(442,$AZ$11:$AZ$4010,0)),""))</f>
        <v/>
      </c>
      <c r="AG452" s="25" t="str">
        <f>IF(AE452="","",IFERROR(INDEX($AO$11:$AO$4010,MATCH(442,$AZ$11:$AZ$4010,0)),""))</f>
        <v/>
      </c>
      <c r="AH452" s="24" t="str">
        <f>IF(AE452="","",IFERROR(INDEX($AQ$11:$AQ$4010,MATCH(442,$AZ$11:$AZ$4010,0)),""))</f>
        <v/>
      </c>
      <c r="AI452" s="29" t="str">
        <f>IF(AE452="","",IFERROR(INDEX($AR$11:$AR$4010,MATCH(442,$AZ$11:$AZ$4010,0)),""))</f>
        <v/>
      </c>
      <c r="AJ452" s="29" t="str">
        <f>IF(AE452="","",IFERROR(INDEX($AT$11:$AT$4010,MATCH(442,$AZ$11:$AZ$4010,0)),""))</f>
        <v/>
      </c>
      <c r="AL452" s="31" t="str">
        <f t="shared" si="83"/>
        <v/>
      </c>
      <c r="AM452" s="26" t="str">
        <f t="shared" si="84"/>
        <v/>
      </c>
      <c r="AN452" s="32" t="str">
        <f t="shared" si="85"/>
        <v/>
      </c>
      <c r="AO452" s="32" t="str">
        <f t="shared" si="86"/>
        <v/>
      </c>
      <c r="AP452" s="24" t="str">
        <f t="shared" si="87"/>
        <v/>
      </c>
      <c r="AQ452" s="24" t="str">
        <f t="shared" si="88"/>
        <v/>
      </c>
      <c r="AR452" s="33" t="str">
        <f t="shared" si="89"/>
        <v/>
      </c>
      <c r="AS452" s="34"/>
      <c r="AT452" s="33"/>
      <c r="AV452" s="21">
        <f>IF(AND($AL452&lt;&gt;"",COUNTIF($AL$11:$AL452,$AL452)=1),1,0)</f>
        <v>0</v>
      </c>
      <c r="AW452" s="21">
        <f t="shared" si="91"/>
        <v>0</v>
      </c>
      <c r="AX452" s="21" t="str">
        <f t="shared" si="90"/>
        <v/>
      </c>
      <c r="AY452" s="21" t="str">
        <f>IF(AND($AM452&lt;&gt;"",$AS452&lt;&gt;"✓"),SUMPRODUCT(($AM$11:$AM452&lt;&gt;"")*($AS$11:$AS452&lt;&gt;"✓")),"")</f>
        <v/>
      </c>
      <c r="AZ452" s="21" t="str">
        <f>IF(AND($AM452&lt;&gt;"",$AS452="✓"),SUMPRODUCT(($AM$11:$AM452&lt;&gt;"")*($AS$11:$AS452="✓")),"")</f>
        <v/>
      </c>
      <c r="BA452" s="21" t="str">
        <f>IF($AL452="","",$AL452&amp;"|"&amp;COUNTIF($AL$11:$AL452,$AL452))</f>
        <v/>
      </c>
    </row>
    <row r="453" spans="2:53" ht="15" customHeight="1" x14ac:dyDescent="0.25">
      <c r="B453" s="5" t="str">
        <f t="shared" si="82"/>
        <v/>
      </c>
      <c r="C453" s="5"/>
      <c r="D453" s="5"/>
      <c r="E453" s="5"/>
      <c r="F453" s="6"/>
      <c r="G453" s="6"/>
      <c r="H453" s="7"/>
      <c r="I453" s="8"/>
      <c r="W453" s="14" t="str">
        <f>IF(X453="","",IFERROR(INDEX($AL$11:$AL$4010,MATCH(443,$AY$11:$AY$4010,0)),""))</f>
        <v/>
      </c>
      <c r="X453" s="12" t="str">
        <f>IFERROR(INDEX($AM$11:$AM$4010,MATCH(443,$AY$11:$AY$4010,0)),"")</f>
        <v/>
      </c>
      <c r="Y453" s="11" t="str">
        <f>IF(X453="","",IFERROR(INDEX($AN$11:$AN$4010,MATCH(443,$AY$11:$AY$4010,0)),""))</f>
        <v/>
      </c>
      <c r="Z453" s="11" t="str">
        <f>IF(X453="","",IFERROR(INDEX($AO$11:$AO$4010,MATCH(443,$AY$11:$AY$4010,0)),""))</f>
        <v/>
      </c>
      <c r="AA453" s="10" t="str">
        <f>IF(X453="","",IFERROR(INDEX($AQ$11:$AQ$4010,MATCH(443,$AY$11:$AY$4010,0)),""))</f>
        <v/>
      </c>
      <c r="AB453" s="15" t="str">
        <f>IF(X453="","",IFERROR(INDEX($AR$11:$AR$4010,MATCH(443,$AY$11:$AY$4010,0)),""))</f>
        <v/>
      </c>
      <c r="AD453" s="16" t="str">
        <f>IF(AE453="","",IFERROR(INDEX($AL$11:$AL$4010,MATCH(443,$AZ$11:$AZ$4010,0)),""))</f>
        <v/>
      </c>
      <c r="AE453" s="12" t="str">
        <f>IFERROR(INDEX($AM$11:$AM$4010,MATCH(443,$AZ$11:$AZ$4010,0)),"")</f>
        <v/>
      </c>
      <c r="AF453" s="11" t="str">
        <f>IF(AE453="","",IFERROR(INDEX($AN$11:$AN$4010,MATCH(443,$AZ$11:$AZ$4010,0)),""))</f>
        <v/>
      </c>
      <c r="AG453" s="11" t="str">
        <f>IF(AE453="","",IFERROR(INDEX($AO$11:$AO$4010,MATCH(443,$AZ$11:$AZ$4010,0)),""))</f>
        <v/>
      </c>
      <c r="AH453" s="10" t="str">
        <f>IF(AE453="","",IFERROR(INDEX($AQ$11:$AQ$4010,MATCH(443,$AZ$11:$AZ$4010,0)),""))</f>
        <v/>
      </c>
      <c r="AI453" s="15" t="str">
        <f>IF(AE453="","",IFERROR(INDEX($AR$11:$AR$4010,MATCH(443,$AZ$11:$AZ$4010,0)),""))</f>
        <v/>
      </c>
      <c r="AJ453" s="15" t="str">
        <f>IF(AE453="","",IFERROR(INDEX($AT$11:$AT$4010,MATCH(443,$AZ$11:$AZ$4010,0)),""))</f>
        <v/>
      </c>
      <c r="AL453" s="17" t="str">
        <f t="shared" si="83"/>
        <v/>
      </c>
      <c r="AM453" s="12" t="str">
        <f t="shared" si="84"/>
        <v/>
      </c>
      <c r="AN453" s="18" t="str">
        <f t="shared" si="85"/>
        <v/>
      </c>
      <c r="AO453" s="18" t="str">
        <f t="shared" si="86"/>
        <v/>
      </c>
      <c r="AP453" s="10" t="str">
        <f t="shared" si="87"/>
        <v/>
      </c>
      <c r="AQ453" s="10" t="str">
        <f t="shared" si="88"/>
        <v/>
      </c>
      <c r="AR453" s="19" t="str">
        <f t="shared" si="89"/>
        <v/>
      </c>
      <c r="AS453" s="20"/>
      <c r="AT453" s="19"/>
      <c r="AV453" s="21">
        <f>IF(AND($AL453&lt;&gt;"",COUNTIF($AL$11:$AL453,$AL453)=1),1,0)</f>
        <v>0</v>
      </c>
      <c r="AW453" s="21">
        <f t="shared" si="91"/>
        <v>0</v>
      </c>
      <c r="AX453" s="21" t="str">
        <f t="shared" si="90"/>
        <v/>
      </c>
      <c r="AY453" s="21" t="str">
        <f>IF(AND($AM453&lt;&gt;"",$AS453&lt;&gt;"✓"),SUMPRODUCT(($AM$11:$AM453&lt;&gt;"")*($AS$11:$AS453&lt;&gt;"✓")),"")</f>
        <v/>
      </c>
      <c r="AZ453" s="21" t="str">
        <f>IF(AND($AM453&lt;&gt;"",$AS453="✓"),SUMPRODUCT(($AM$11:$AM453&lt;&gt;"")*($AS$11:$AS453="✓")),"")</f>
        <v/>
      </c>
      <c r="BA453" s="21" t="str">
        <f>IF($AL453="","",$AL453&amp;"|"&amp;COUNTIF($AL$11:$AL453,$AL453))</f>
        <v/>
      </c>
    </row>
    <row r="454" spans="2:53" ht="15" customHeight="1" x14ac:dyDescent="0.25">
      <c r="B454" s="5" t="str">
        <f t="shared" si="82"/>
        <v/>
      </c>
      <c r="C454" s="5"/>
      <c r="D454" s="5"/>
      <c r="E454" s="5"/>
      <c r="F454" s="6"/>
      <c r="G454" s="6"/>
      <c r="H454" s="7"/>
      <c r="I454" s="8"/>
      <c r="W454" s="28" t="str">
        <f>IF(X454="","",IFERROR(INDEX($AL$11:$AL$4010,MATCH(444,$AY$11:$AY$4010,0)),""))</f>
        <v/>
      </c>
      <c r="X454" s="26" t="str">
        <f>IFERROR(INDEX($AM$11:$AM$4010,MATCH(444,$AY$11:$AY$4010,0)),"")</f>
        <v/>
      </c>
      <c r="Y454" s="25" t="str">
        <f>IF(X454="","",IFERROR(INDEX($AN$11:$AN$4010,MATCH(444,$AY$11:$AY$4010,0)),""))</f>
        <v/>
      </c>
      <c r="Z454" s="25" t="str">
        <f>IF(X454="","",IFERROR(INDEX($AO$11:$AO$4010,MATCH(444,$AY$11:$AY$4010,0)),""))</f>
        <v/>
      </c>
      <c r="AA454" s="24" t="str">
        <f>IF(X454="","",IFERROR(INDEX($AQ$11:$AQ$4010,MATCH(444,$AY$11:$AY$4010,0)),""))</f>
        <v/>
      </c>
      <c r="AB454" s="29" t="str">
        <f>IF(X454="","",IFERROR(INDEX($AR$11:$AR$4010,MATCH(444,$AY$11:$AY$4010,0)),""))</f>
        <v/>
      </c>
      <c r="AD454" s="30" t="str">
        <f>IF(AE454="","",IFERROR(INDEX($AL$11:$AL$4010,MATCH(444,$AZ$11:$AZ$4010,0)),""))</f>
        <v/>
      </c>
      <c r="AE454" s="26" t="str">
        <f>IFERROR(INDEX($AM$11:$AM$4010,MATCH(444,$AZ$11:$AZ$4010,0)),"")</f>
        <v/>
      </c>
      <c r="AF454" s="25" t="str">
        <f>IF(AE454="","",IFERROR(INDEX($AN$11:$AN$4010,MATCH(444,$AZ$11:$AZ$4010,0)),""))</f>
        <v/>
      </c>
      <c r="AG454" s="25" t="str">
        <f>IF(AE454="","",IFERROR(INDEX($AO$11:$AO$4010,MATCH(444,$AZ$11:$AZ$4010,0)),""))</f>
        <v/>
      </c>
      <c r="AH454" s="24" t="str">
        <f>IF(AE454="","",IFERROR(INDEX($AQ$11:$AQ$4010,MATCH(444,$AZ$11:$AZ$4010,0)),""))</f>
        <v/>
      </c>
      <c r="AI454" s="29" t="str">
        <f>IF(AE454="","",IFERROR(INDEX($AR$11:$AR$4010,MATCH(444,$AZ$11:$AZ$4010,0)),""))</f>
        <v/>
      </c>
      <c r="AJ454" s="29" t="str">
        <f>IF(AE454="","",IFERROR(INDEX($AT$11:$AT$4010,MATCH(444,$AZ$11:$AZ$4010,0)),""))</f>
        <v/>
      </c>
      <c r="AL454" s="31" t="str">
        <f t="shared" si="83"/>
        <v/>
      </c>
      <c r="AM454" s="26" t="str">
        <f t="shared" si="84"/>
        <v/>
      </c>
      <c r="AN454" s="32" t="str">
        <f t="shared" si="85"/>
        <v/>
      </c>
      <c r="AO454" s="32" t="str">
        <f t="shared" si="86"/>
        <v/>
      </c>
      <c r="AP454" s="24" t="str">
        <f t="shared" si="87"/>
        <v/>
      </c>
      <c r="AQ454" s="24" t="str">
        <f t="shared" si="88"/>
        <v/>
      </c>
      <c r="AR454" s="33" t="str">
        <f t="shared" si="89"/>
        <v/>
      </c>
      <c r="AS454" s="34"/>
      <c r="AT454" s="33"/>
      <c r="AV454" s="21">
        <f>IF(AND($AL454&lt;&gt;"",COUNTIF($AL$11:$AL454,$AL454)=1),1,0)</f>
        <v>0</v>
      </c>
      <c r="AW454" s="21">
        <f t="shared" si="91"/>
        <v>0</v>
      </c>
      <c r="AX454" s="21" t="str">
        <f t="shared" si="90"/>
        <v/>
      </c>
      <c r="AY454" s="21" t="str">
        <f>IF(AND($AM454&lt;&gt;"",$AS454&lt;&gt;"✓"),SUMPRODUCT(($AM$11:$AM454&lt;&gt;"")*($AS$11:$AS454&lt;&gt;"✓")),"")</f>
        <v/>
      </c>
      <c r="AZ454" s="21" t="str">
        <f>IF(AND($AM454&lt;&gt;"",$AS454="✓"),SUMPRODUCT(($AM$11:$AM454&lt;&gt;"")*($AS$11:$AS454="✓")),"")</f>
        <v/>
      </c>
      <c r="BA454" s="21" t="str">
        <f>IF($AL454="","",$AL454&amp;"|"&amp;COUNTIF($AL$11:$AL454,$AL454))</f>
        <v/>
      </c>
    </row>
    <row r="455" spans="2:53" ht="15" customHeight="1" x14ac:dyDescent="0.25">
      <c r="B455" s="5" t="str">
        <f t="shared" si="82"/>
        <v/>
      </c>
      <c r="C455" s="5"/>
      <c r="D455" s="5"/>
      <c r="E455" s="5"/>
      <c r="F455" s="6"/>
      <c r="G455" s="6"/>
      <c r="H455" s="7"/>
      <c r="I455" s="8"/>
      <c r="W455" s="14" t="str">
        <f>IF(X455="","",IFERROR(INDEX($AL$11:$AL$4010,MATCH(445,$AY$11:$AY$4010,0)),""))</f>
        <v/>
      </c>
      <c r="X455" s="12" t="str">
        <f>IFERROR(INDEX($AM$11:$AM$4010,MATCH(445,$AY$11:$AY$4010,0)),"")</f>
        <v/>
      </c>
      <c r="Y455" s="11" t="str">
        <f>IF(X455="","",IFERROR(INDEX($AN$11:$AN$4010,MATCH(445,$AY$11:$AY$4010,0)),""))</f>
        <v/>
      </c>
      <c r="Z455" s="11" t="str">
        <f>IF(X455="","",IFERROR(INDEX($AO$11:$AO$4010,MATCH(445,$AY$11:$AY$4010,0)),""))</f>
        <v/>
      </c>
      <c r="AA455" s="10" t="str">
        <f>IF(X455="","",IFERROR(INDEX($AQ$11:$AQ$4010,MATCH(445,$AY$11:$AY$4010,0)),""))</f>
        <v/>
      </c>
      <c r="AB455" s="15" t="str">
        <f>IF(X455="","",IFERROR(INDEX($AR$11:$AR$4010,MATCH(445,$AY$11:$AY$4010,0)),""))</f>
        <v/>
      </c>
      <c r="AD455" s="16" t="str">
        <f>IF(AE455="","",IFERROR(INDEX($AL$11:$AL$4010,MATCH(445,$AZ$11:$AZ$4010,0)),""))</f>
        <v/>
      </c>
      <c r="AE455" s="12" t="str">
        <f>IFERROR(INDEX($AM$11:$AM$4010,MATCH(445,$AZ$11:$AZ$4010,0)),"")</f>
        <v/>
      </c>
      <c r="AF455" s="11" t="str">
        <f>IF(AE455="","",IFERROR(INDEX($AN$11:$AN$4010,MATCH(445,$AZ$11:$AZ$4010,0)),""))</f>
        <v/>
      </c>
      <c r="AG455" s="11" t="str">
        <f>IF(AE455="","",IFERROR(INDEX($AO$11:$AO$4010,MATCH(445,$AZ$11:$AZ$4010,0)),""))</f>
        <v/>
      </c>
      <c r="AH455" s="10" t="str">
        <f>IF(AE455="","",IFERROR(INDEX($AQ$11:$AQ$4010,MATCH(445,$AZ$11:$AZ$4010,0)),""))</f>
        <v/>
      </c>
      <c r="AI455" s="15" t="str">
        <f>IF(AE455="","",IFERROR(INDEX($AR$11:$AR$4010,MATCH(445,$AZ$11:$AZ$4010,0)),""))</f>
        <v/>
      </c>
      <c r="AJ455" s="15" t="str">
        <f>IF(AE455="","",IFERROR(INDEX($AT$11:$AT$4010,MATCH(445,$AZ$11:$AZ$4010,0)),""))</f>
        <v/>
      </c>
      <c r="AL455" s="17" t="str">
        <f t="shared" si="83"/>
        <v/>
      </c>
      <c r="AM455" s="12" t="str">
        <f t="shared" si="84"/>
        <v/>
      </c>
      <c r="AN455" s="18" t="str">
        <f t="shared" si="85"/>
        <v/>
      </c>
      <c r="AO455" s="18" t="str">
        <f t="shared" si="86"/>
        <v/>
      </c>
      <c r="AP455" s="10" t="str">
        <f t="shared" si="87"/>
        <v/>
      </c>
      <c r="AQ455" s="10" t="str">
        <f t="shared" si="88"/>
        <v/>
      </c>
      <c r="AR455" s="19" t="str">
        <f t="shared" si="89"/>
        <v/>
      </c>
      <c r="AS455" s="20"/>
      <c r="AT455" s="19"/>
      <c r="AV455" s="21">
        <f>IF(AND($AL455&lt;&gt;"",COUNTIF($AL$11:$AL455,$AL455)=1),1,0)</f>
        <v>0</v>
      </c>
      <c r="AW455" s="21">
        <f t="shared" si="91"/>
        <v>0</v>
      </c>
      <c r="AX455" s="21" t="str">
        <f t="shared" si="90"/>
        <v/>
      </c>
      <c r="AY455" s="21" t="str">
        <f>IF(AND($AM455&lt;&gt;"",$AS455&lt;&gt;"✓"),SUMPRODUCT(($AM$11:$AM455&lt;&gt;"")*($AS$11:$AS455&lt;&gt;"✓")),"")</f>
        <v/>
      </c>
      <c r="AZ455" s="21" t="str">
        <f>IF(AND($AM455&lt;&gt;"",$AS455="✓"),SUMPRODUCT(($AM$11:$AM455&lt;&gt;"")*($AS$11:$AS455="✓")),"")</f>
        <v/>
      </c>
      <c r="BA455" s="21" t="str">
        <f>IF($AL455="","",$AL455&amp;"|"&amp;COUNTIF($AL$11:$AL455,$AL455))</f>
        <v/>
      </c>
    </row>
    <row r="456" spans="2:53" ht="15" customHeight="1" x14ac:dyDescent="0.25">
      <c r="B456" s="5" t="str">
        <f t="shared" si="82"/>
        <v/>
      </c>
      <c r="C456" s="5"/>
      <c r="D456" s="5"/>
      <c r="E456" s="5"/>
      <c r="F456" s="6"/>
      <c r="G456" s="6"/>
      <c r="H456" s="7"/>
      <c r="I456" s="8"/>
      <c r="W456" s="28" t="str">
        <f>IF(X456="","",IFERROR(INDEX($AL$11:$AL$4010,MATCH(446,$AY$11:$AY$4010,0)),""))</f>
        <v/>
      </c>
      <c r="X456" s="26" t="str">
        <f>IFERROR(INDEX($AM$11:$AM$4010,MATCH(446,$AY$11:$AY$4010,0)),"")</f>
        <v/>
      </c>
      <c r="Y456" s="25" t="str">
        <f>IF(X456="","",IFERROR(INDEX($AN$11:$AN$4010,MATCH(446,$AY$11:$AY$4010,0)),""))</f>
        <v/>
      </c>
      <c r="Z456" s="25" t="str">
        <f>IF(X456="","",IFERROR(INDEX($AO$11:$AO$4010,MATCH(446,$AY$11:$AY$4010,0)),""))</f>
        <v/>
      </c>
      <c r="AA456" s="24" t="str">
        <f>IF(X456="","",IFERROR(INDEX($AQ$11:$AQ$4010,MATCH(446,$AY$11:$AY$4010,0)),""))</f>
        <v/>
      </c>
      <c r="AB456" s="29" t="str">
        <f>IF(X456="","",IFERROR(INDEX($AR$11:$AR$4010,MATCH(446,$AY$11:$AY$4010,0)),""))</f>
        <v/>
      </c>
      <c r="AD456" s="30" t="str">
        <f>IF(AE456="","",IFERROR(INDEX($AL$11:$AL$4010,MATCH(446,$AZ$11:$AZ$4010,0)),""))</f>
        <v/>
      </c>
      <c r="AE456" s="26" t="str">
        <f>IFERROR(INDEX($AM$11:$AM$4010,MATCH(446,$AZ$11:$AZ$4010,0)),"")</f>
        <v/>
      </c>
      <c r="AF456" s="25" t="str">
        <f>IF(AE456="","",IFERROR(INDEX($AN$11:$AN$4010,MATCH(446,$AZ$11:$AZ$4010,0)),""))</f>
        <v/>
      </c>
      <c r="AG456" s="25" t="str">
        <f>IF(AE456="","",IFERROR(INDEX($AO$11:$AO$4010,MATCH(446,$AZ$11:$AZ$4010,0)),""))</f>
        <v/>
      </c>
      <c r="AH456" s="24" t="str">
        <f>IF(AE456="","",IFERROR(INDEX($AQ$11:$AQ$4010,MATCH(446,$AZ$11:$AZ$4010,0)),""))</f>
        <v/>
      </c>
      <c r="AI456" s="29" t="str">
        <f>IF(AE456="","",IFERROR(INDEX($AR$11:$AR$4010,MATCH(446,$AZ$11:$AZ$4010,0)),""))</f>
        <v/>
      </c>
      <c r="AJ456" s="29" t="str">
        <f>IF(AE456="","",IFERROR(INDEX($AT$11:$AT$4010,MATCH(446,$AZ$11:$AZ$4010,0)),""))</f>
        <v/>
      </c>
      <c r="AL456" s="31" t="str">
        <f t="shared" si="83"/>
        <v/>
      </c>
      <c r="AM456" s="26" t="str">
        <f t="shared" si="84"/>
        <v/>
      </c>
      <c r="AN456" s="32" t="str">
        <f t="shared" si="85"/>
        <v/>
      </c>
      <c r="AO456" s="32" t="str">
        <f t="shared" si="86"/>
        <v/>
      </c>
      <c r="AP456" s="24" t="str">
        <f t="shared" si="87"/>
        <v/>
      </c>
      <c r="AQ456" s="24" t="str">
        <f t="shared" si="88"/>
        <v/>
      </c>
      <c r="AR456" s="33" t="str">
        <f t="shared" si="89"/>
        <v/>
      </c>
      <c r="AS456" s="34"/>
      <c r="AT456" s="33"/>
      <c r="AV456" s="21">
        <f>IF(AND($AL456&lt;&gt;"",COUNTIF($AL$11:$AL456,$AL456)=1),1,0)</f>
        <v>0</v>
      </c>
      <c r="AW456" s="21">
        <f t="shared" si="91"/>
        <v>0</v>
      </c>
      <c r="AX456" s="21" t="str">
        <f t="shared" si="90"/>
        <v/>
      </c>
      <c r="AY456" s="21" t="str">
        <f>IF(AND($AM456&lt;&gt;"",$AS456&lt;&gt;"✓"),SUMPRODUCT(($AM$11:$AM456&lt;&gt;"")*($AS$11:$AS456&lt;&gt;"✓")),"")</f>
        <v/>
      </c>
      <c r="AZ456" s="21" t="str">
        <f>IF(AND($AM456&lt;&gt;"",$AS456="✓"),SUMPRODUCT(($AM$11:$AM456&lt;&gt;"")*($AS$11:$AS456="✓")),"")</f>
        <v/>
      </c>
      <c r="BA456" s="21" t="str">
        <f>IF($AL456="","",$AL456&amp;"|"&amp;COUNTIF($AL$11:$AL456,$AL456))</f>
        <v/>
      </c>
    </row>
    <row r="457" spans="2:53" ht="15" customHeight="1" x14ac:dyDescent="0.25">
      <c r="B457" s="5" t="str">
        <f t="shared" si="82"/>
        <v/>
      </c>
      <c r="C457" s="5"/>
      <c r="D457" s="5"/>
      <c r="E457" s="5"/>
      <c r="F457" s="6"/>
      <c r="G457" s="6"/>
      <c r="H457" s="7"/>
      <c r="I457" s="8"/>
      <c r="W457" s="14" t="str">
        <f>IF(X457="","",IFERROR(INDEX($AL$11:$AL$4010,MATCH(447,$AY$11:$AY$4010,0)),""))</f>
        <v/>
      </c>
      <c r="X457" s="12" t="str">
        <f>IFERROR(INDEX($AM$11:$AM$4010,MATCH(447,$AY$11:$AY$4010,0)),"")</f>
        <v/>
      </c>
      <c r="Y457" s="11" t="str">
        <f>IF(X457="","",IFERROR(INDEX($AN$11:$AN$4010,MATCH(447,$AY$11:$AY$4010,0)),""))</f>
        <v/>
      </c>
      <c r="Z457" s="11" t="str">
        <f>IF(X457="","",IFERROR(INDEX($AO$11:$AO$4010,MATCH(447,$AY$11:$AY$4010,0)),""))</f>
        <v/>
      </c>
      <c r="AA457" s="10" t="str">
        <f>IF(X457="","",IFERROR(INDEX($AQ$11:$AQ$4010,MATCH(447,$AY$11:$AY$4010,0)),""))</f>
        <v/>
      </c>
      <c r="AB457" s="15" t="str">
        <f>IF(X457="","",IFERROR(INDEX($AR$11:$AR$4010,MATCH(447,$AY$11:$AY$4010,0)),""))</f>
        <v/>
      </c>
      <c r="AD457" s="16" t="str">
        <f>IF(AE457="","",IFERROR(INDEX($AL$11:$AL$4010,MATCH(447,$AZ$11:$AZ$4010,0)),""))</f>
        <v/>
      </c>
      <c r="AE457" s="12" t="str">
        <f>IFERROR(INDEX($AM$11:$AM$4010,MATCH(447,$AZ$11:$AZ$4010,0)),"")</f>
        <v/>
      </c>
      <c r="AF457" s="11" t="str">
        <f>IF(AE457="","",IFERROR(INDEX($AN$11:$AN$4010,MATCH(447,$AZ$11:$AZ$4010,0)),""))</f>
        <v/>
      </c>
      <c r="AG457" s="11" t="str">
        <f>IF(AE457="","",IFERROR(INDEX($AO$11:$AO$4010,MATCH(447,$AZ$11:$AZ$4010,0)),""))</f>
        <v/>
      </c>
      <c r="AH457" s="10" t="str">
        <f>IF(AE457="","",IFERROR(INDEX($AQ$11:$AQ$4010,MATCH(447,$AZ$11:$AZ$4010,0)),""))</f>
        <v/>
      </c>
      <c r="AI457" s="15" t="str">
        <f>IF(AE457="","",IFERROR(INDEX($AR$11:$AR$4010,MATCH(447,$AZ$11:$AZ$4010,0)),""))</f>
        <v/>
      </c>
      <c r="AJ457" s="15" t="str">
        <f>IF(AE457="","",IFERROR(INDEX($AT$11:$AT$4010,MATCH(447,$AZ$11:$AZ$4010,0)),""))</f>
        <v/>
      </c>
      <c r="AL457" s="17" t="str">
        <f t="shared" si="83"/>
        <v/>
      </c>
      <c r="AM457" s="12" t="str">
        <f t="shared" si="84"/>
        <v/>
      </c>
      <c r="AN457" s="18" t="str">
        <f t="shared" si="85"/>
        <v/>
      </c>
      <c r="AO457" s="18" t="str">
        <f t="shared" si="86"/>
        <v/>
      </c>
      <c r="AP457" s="10" t="str">
        <f t="shared" si="87"/>
        <v/>
      </c>
      <c r="AQ457" s="10" t="str">
        <f t="shared" si="88"/>
        <v/>
      </c>
      <c r="AR457" s="19" t="str">
        <f t="shared" si="89"/>
        <v/>
      </c>
      <c r="AS457" s="20"/>
      <c r="AT457" s="19"/>
      <c r="AV457" s="21">
        <f>IF(AND($AL457&lt;&gt;"",COUNTIF($AL$11:$AL457,$AL457)=1),1,0)</f>
        <v>0</v>
      </c>
      <c r="AW457" s="21">
        <f t="shared" si="91"/>
        <v>0</v>
      </c>
      <c r="AX457" s="21" t="str">
        <f t="shared" si="90"/>
        <v/>
      </c>
      <c r="AY457" s="21" t="str">
        <f>IF(AND($AM457&lt;&gt;"",$AS457&lt;&gt;"✓"),SUMPRODUCT(($AM$11:$AM457&lt;&gt;"")*($AS$11:$AS457&lt;&gt;"✓")),"")</f>
        <v/>
      </c>
      <c r="AZ457" s="21" t="str">
        <f>IF(AND($AM457&lt;&gt;"",$AS457="✓"),SUMPRODUCT(($AM$11:$AM457&lt;&gt;"")*($AS$11:$AS457="✓")),"")</f>
        <v/>
      </c>
      <c r="BA457" s="21" t="str">
        <f>IF($AL457="","",$AL457&amp;"|"&amp;COUNTIF($AL$11:$AL457,$AL457))</f>
        <v/>
      </c>
    </row>
    <row r="458" spans="2:53" ht="15" customHeight="1" x14ac:dyDescent="0.25">
      <c r="B458" s="5" t="str">
        <f t="shared" si="82"/>
        <v/>
      </c>
      <c r="C458" s="5"/>
      <c r="D458" s="5"/>
      <c r="E458" s="5"/>
      <c r="F458" s="6"/>
      <c r="G458" s="6"/>
      <c r="H458" s="7"/>
      <c r="I458" s="8"/>
      <c r="W458" s="28" t="str">
        <f>IF(X458="","",IFERROR(INDEX($AL$11:$AL$4010,MATCH(448,$AY$11:$AY$4010,0)),""))</f>
        <v/>
      </c>
      <c r="X458" s="26" t="str">
        <f>IFERROR(INDEX($AM$11:$AM$4010,MATCH(448,$AY$11:$AY$4010,0)),"")</f>
        <v/>
      </c>
      <c r="Y458" s="25" t="str">
        <f>IF(X458="","",IFERROR(INDEX($AN$11:$AN$4010,MATCH(448,$AY$11:$AY$4010,0)),""))</f>
        <v/>
      </c>
      <c r="Z458" s="25" t="str">
        <f>IF(X458="","",IFERROR(INDEX($AO$11:$AO$4010,MATCH(448,$AY$11:$AY$4010,0)),""))</f>
        <v/>
      </c>
      <c r="AA458" s="24" t="str">
        <f>IF(X458="","",IFERROR(INDEX($AQ$11:$AQ$4010,MATCH(448,$AY$11:$AY$4010,0)),""))</f>
        <v/>
      </c>
      <c r="AB458" s="29" t="str">
        <f>IF(X458="","",IFERROR(INDEX($AR$11:$AR$4010,MATCH(448,$AY$11:$AY$4010,0)),""))</f>
        <v/>
      </c>
      <c r="AD458" s="30" t="str">
        <f>IF(AE458="","",IFERROR(INDEX($AL$11:$AL$4010,MATCH(448,$AZ$11:$AZ$4010,0)),""))</f>
        <v/>
      </c>
      <c r="AE458" s="26" t="str">
        <f>IFERROR(INDEX($AM$11:$AM$4010,MATCH(448,$AZ$11:$AZ$4010,0)),"")</f>
        <v/>
      </c>
      <c r="AF458" s="25" t="str">
        <f>IF(AE458="","",IFERROR(INDEX($AN$11:$AN$4010,MATCH(448,$AZ$11:$AZ$4010,0)),""))</f>
        <v/>
      </c>
      <c r="AG458" s="25" t="str">
        <f>IF(AE458="","",IFERROR(INDEX($AO$11:$AO$4010,MATCH(448,$AZ$11:$AZ$4010,0)),""))</f>
        <v/>
      </c>
      <c r="AH458" s="24" t="str">
        <f>IF(AE458="","",IFERROR(INDEX($AQ$11:$AQ$4010,MATCH(448,$AZ$11:$AZ$4010,0)),""))</f>
        <v/>
      </c>
      <c r="AI458" s="29" t="str">
        <f>IF(AE458="","",IFERROR(INDEX($AR$11:$AR$4010,MATCH(448,$AZ$11:$AZ$4010,0)),""))</f>
        <v/>
      </c>
      <c r="AJ458" s="29" t="str">
        <f>IF(AE458="","",IFERROR(INDEX($AT$11:$AT$4010,MATCH(448,$AZ$11:$AZ$4010,0)),""))</f>
        <v/>
      </c>
      <c r="AL458" s="31" t="str">
        <f t="shared" si="83"/>
        <v/>
      </c>
      <c r="AM458" s="26" t="str">
        <f t="shared" si="84"/>
        <v/>
      </c>
      <c r="AN458" s="32" t="str">
        <f t="shared" si="85"/>
        <v/>
      </c>
      <c r="AO458" s="32" t="str">
        <f t="shared" si="86"/>
        <v/>
      </c>
      <c r="AP458" s="24" t="str">
        <f t="shared" si="87"/>
        <v/>
      </c>
      <c r="AQ458" s="24" t="str">
        <f t="shared" si="88"/>
        <v/>
      </c>
      <c r="AR458" s="33" t="str">
        <f t="shared" si="89"/>
        <v/>
      </c>
      <c r="AS458" s="34"/>
      <c r="AT458" s="33"/>
      <c r="AV458" s="21">
        <f>IF(AND($AL458&lt;&gt;"",COUNTIF($AL$11:$AL458,$AL458)=1),1,0)</f>
        <v>0</v>
      </c>
      <c r="AW458" s="21">
        <f t="shared" si="91"/>
        <v>0</v>
      </c>
      <c r="AX458" s="21" t="str">
        <f t="shared" si="90"/>
        <v/>
      </c>
      <c r="AY458" s="21" t="str">
        <f>IF(AND($AM458&lt;&gt;"",$AS458&lt;&gt;"✓"),SUMPRODUCT(($AM$11:$AM458&lt;&gt;"")*($AS$11:$AS458&lt;&gt;"✓")),"")</f>
        <v/>
      </c>
      <c r="AZ458" s="21" t="str">
        <f>IF(AND($AM458&lt;&gt;"",$AS458="✓"),SUMPRODUCT(($AM$11:$AM458&lt;&gt;"")*($AS$11:$AS458="✓")),"")</f>
        <v/>
      </c>
      <c r="BA458" s="21" t="str">
        <f>IF($AL458="","",$AL458&amp;"|"&amp;COUNTIF($AL$11:$AL458,$AL458))</f>
        <v/>
      </c>
    </row>
    <row r="459" spans="2:53" ht="15" customHeight="1" x14ac:dyDescent="0.25">
      <c r="B459" s="5" t="str">
        <f t="shared" ref="B459:B510" si="92">IF($C459="","",ROW()-10)</f>
        <v/>
      </c>
      <c r="C459" s="5"/>
      <c r="D459" s="5"/>
      <c r="E459" s="5"/>
      <c r="F459" s="6"/>
      <c r="G459" s="6"/>
      <c r="H459" s="7"/>
      <c r="I459" s="8"/>
      <c r="W459" s="14" t="str">
        <f>IF(X459="","",IFERROR(INDEX($AL$11:$AL$4010,MATCH(449,$AY$11:$AY$4010,0)),""))</f>
        <v/>
      </c>
      <c r="X459" s="12" t="str">
        <f>IFERROR(INDEX($AM$11:$AM$4010,MATCH(449,$AY$11:$AY$4010,0)),"")</f>
        <v/>
      </c>
      <c r="Y459" s="11" t="str">
        <f>IF(X459="","",IFERROR(INDEX($AN$11:$AN$4010,MATCH(449,$AY$11:$AY$4010,0)),""))</f>
        <v/>
      </c>
      <c r="Z459" s="11" t="str">
        <f>IF(X459="","",IFERROR(INDEX($AO$11:$AO$4010,MATCH(449,$AY$11:$AY$4010,0)),""))</f>
        <v/>
      </c>
      <c r="AA459" s="10" t="str">
        <f>IF(X459="","",IFERROR(INDEX($AQ$11:$AQ$4010,MATCH(449,$AY$11:$AY$4010,0)),""))</f>
        <v/>
      </c>
      <c r="AB459" s="15" t="str">
        <f>IF(X459="","",IFERROR(INDEX($AR$11:$AR$4010,MATCH(449,$AY$11:$AY$4010,0)),""))</f>
        <v/>
      </c>
      <c r="AD459" s="16" t="str">
        <f>IF(AE459="","",IFERROR(INDEX($AL$11:$AL$4010,MATCH(449,$AZ$11:$AZ$4010,0)),""))</f>
        <v/>
      </c>
      <c r="AE459" s="12" t="str">
        <f>IFERROR(INDEX($AM$11:$AM$4010,MATCH(449,$AZ$11:$AZ$4010,0)),"")</f>
        <v/>
      </c>
      <c r="AF459" s="11" t="str">
        <f>IF(AE459="","",IFERROR(INDEX($AN$11:$AN$4010,MATCH(449,$AZ$11:$AZ$4010,0)),""))</f>
        <v/>
      </c>
      <c r="AG459" s="11" t="str">
        <f>IF(AE459="","",IFERROR(INDEX($AO$11:$AO$4010,MATCH(449,$AZ$11:$AZ$4010,0)),""))</f>
        <v/>
      </c>
      <c r="AH459" s="10" t="str">
        <f>IF(AE459="","",IFERROR(INDEX($AQ$11:$AQ$4010,MATCH(449,$AZ$11:$AZ$4010,0)),""))</f>
        <v/>
      </c>
      <c r="AI459" s="15" t="str">
        <f>IF(AE459="","",IFERROR(INDEX($AR$11:$AR$4010,MATCH(449,$AZ$11:$AZ$4010,0)),""))</f>
        <v/>
      </c>
      <c r="AJ459" s="15" t="str">
        <f>IF(AE459="","",IFERROR(INDEX($AT$11:$AT$4010,MATCH(449,$AZ$11:$AZ$4010,0)),""))</f>
        <v/>
      </c>
      <c r="AL459" s="17" t="str">
        <f t="shared" ref="AL459:AL510" si="93">IF($C459="","",$I459)</f>
        <v/>
      </c>
      <c r="AM459" s="12" t="str">
        <f t="shared" ref="AM459:AM510" si="94">IF($C459="","",$C459)</f>
        <v/>
      </c>
      <c r="AN459" s="18" t="str">
        <f t="shared" ref="AN459:AN510" si="95">IF($C459="","",$F459)</f>
        <v/>
      </c>
      <c r="AO459" s="18" t="str">
        <f t="shared" ref="AO459:AO510" si="96">IF($C459="","",$G459)</f>
        <v/>
      </c>
      <c r="AP459" s="10" t="str">
        <f t="shared" ref="AP459:AP510" si="97">IF($C459="","",$D459)</f>
        <v/>
      </c>
      <c r="AQ459" s="10" t="str">
        <f t="shared" ref="AQ459:AQ510" si="98">IF($C459="","",$E459)</f>
        <v/>
      </c>
      <c r="AR459" s="19" t="str">
        <f t="shared" ref="AR459:AR510" si="99">IF($C459="","",$H459)</f>
        <v/>
      </c>
      <c r="AS459" s="20"/>
      <c r="AT459" s="19"/>
      <c r="AV459" s="21">
        <f>IF(AND($AL459&lt;&gt;"",COUNTIF($AL$11:$AL459,$AL459)=1),1,0)</f>
        <v>0</v>
      </c>
      <c r="AW459" s="21">
        <f t="shared" si="91"/>
        <v>0</v>
      </c>
      <c r="AX459" s="21" t="str">
        <f t="shared" ref="AX459:AX522" si="100">IF(AV459=1,AW459,"")</f>
        <v/>
      </c>
      <c r="AY459" s="21" t="str">
        <f>IF(AND($AM459&lt;&gt;"",$AS459&lt;&gt;"✓"),SUMPRODUCT(($AM$11:$AM459&lt;&gt;"")*($AS$11:$AS459&lt;&gt;"✓")),"")</f>
        <v/>
      </c>
      <c r="AZ459" s="21" t="str">
        <f>IF(AND($AM459&lt;&gt;"",$AS459="✓"),SUMPRODUCT(($AM$11:$AM459&lt;&gt;"")*($AS$11:$AS459="✓")),"")</f>
        <v/>
      </c>
      <c r="BA459" s="21" t="str">
        <f>IF($AL459="","",$AL459&amp;"|"&amp;COUNTIF($AL$11:$AL459,$AL459))</f>
        <v/>
      </c>
    </row>
    <row r="460" spans="2:53" ht="15" customHeight="1" x14ac:dyDescent="0.25">
      <c r="B460" s="5" t="str">
        <f t="shared" si="92"/>
        <v/>
      </c>
      <c r="C460" s="5"/>
      <c r="D460" s="5"/>
      <c r="E460" s="5"/>
      <c r="F460" s="6"/>
      <c r="G460" s="6"/>
      <c r="H460" s="7"/>
      <c r="I460" s="8"/>
      <c r="W460" s="28" t="str">
        <f>IF(X460="","",IFERROR(INDEX($AL$11:$AL$4010,MATCH(450,$AY$11:$AY$4010,0)),""))</f>
        <v/>
      </c>
      <c r="X460" s="26" t="str">
        <f>IFERROR(INDEX($AM$11:$AM$4010,MATCH(450,$AY$11:$AY$4010,0)),"")</f>
        <v/>
      </c>
      <c r="Y460" s="25" t="str">
        <f>IF(X460="","",IFERROR(INDEX($AN$11:$AN$4010,MATCH(450,$AY$11:$AY$4010,0)),""))</f>
        <v/>
      </c>
      <c r="Z460" s="25" t="str">
        <f>IF(X460="","",IFERROR(INDEX($AO$11:$AO$4010,MATCH(450,$AY$11:$AY$4010,0)),""))</f>
        <v/>
      </c>
      <c r="AA460" s="24" t="str">
        <f>IF(X460="","",IFERROR(INDEX($AQ$11:$AQ$4010,MATCH(450,$AY$11:$AY$4010,0)),""))</f>
        <v/>
      </c>
      <c r="AB460" s="29" t="str">
        <f>IF(X460="","",IFERROR(INDEX($AR$11:$AR$4010,MATCH(450,$AY$11:$AY$4010,0)),""))</f>
        <v/>
      </c>
      <c r="AD460" s="30" t="str">
        <f>IF(AE460="","",IFERROR(INDEX($AL$11:$AL$4010,MATCH(450,$AZ$11:$AZ$4010,0)),""))</f>
        <v/>
      </c>
      <c r="AE460" s="26" t="str">
        <f>IFERROR(INDEX($AM$11:$AM$4010,MATCH(450,$AZ$11:$AZ$4010,0)),"")</f>
        <v/>
      </c>
      <c r="AF460" s="25" t="str">
        <f>IF(AE460="","",IFERROR(INDEX($AN$11:$AN$4010,MATCH(450,$AZ$11:$AZ$4010,0)),""))</f>
        <v/>
      </c>
      <c r="AG460" s="25" t="str">
        <f>IF(AE460="","",IFERROR(INDEX($AO$11:$AO$4010,MATCH(450,$AZ$11:$AZ$4010,0)),""))</f>
        <v/>
      </c>
      <c r="AH460" s="24" t="str">
        <f>IF(AE460="","",IFERROR(INDEX($AQ$11:$AQ$4010,MATCH(450,$AZ$11:$AZ$4010,0)),""))</f>
        <v/>
      </c>
      <c r="AI460" s="29" t="str">
        <f>IF(AE460="","",IFERROR(INDEX($AR$11:$AR$4010,MATCH(450,$AZ$11:$AZ$4010,0)),""))</f>
        <v/>
      </c>
      <c r="AJ460" s="29" t="str">
        <f>IF(AE460="","",IFERROR(INDEX($AT$11:$AT$4010,MATCH(450,$AZ$11:$AZ$4010,0)),""))</f>
        <v/>
      </c>
      <c r="AL460" s="31" t="str">
        <f t="shared" si="93"/>
        <v/>
      </c>
      <c r="AM460" s="26" t="str">
        <f t="shared" si="94"/>
        <v/>
      </c>
      <c r="AN460" s="32" t="str">
        <f t="shared" si="95"/>
        <v/>
      </c>
      <c r="AO460" s="32" t="str">
        <f t="shared" si="96"/>
        <v/>
      </c>
      <c r="AP460" s="24" t="str">
        <f t="shared" si="97"/>
        <v/>
      </c>
      <c r="AQ460" s="24" t="str">
        <f t="shared" si="98"/>
        <v/>
      </c>
      <c r="AR460" s="33" t="str">
        <f t="shared" si="99"/>
        <v/>
      </c>
      <c r="AS460" s="34"/>
      <c r="AT460" s="33"/>
      <c r="AV460" s="21">
        <f>IF(AND($AL460&lt;&gt;"",COUNTIF($AL$11:$AL460,$AL460)=1),1,0)</f>
        <v>0</v>
      </c>
      <c r="AW460" s="21">
        <f t="shared" ref="AW460:AW523" si="101">AW459+AV460</f>
        <v>0</v>
      </c>
      <c r="AX460" s="21" t="str">
        <f t="shared" si="100"/>
        <v/>
      </c>
      <c r="AY460" s="21" t="str">
        <f>IF(AND($AM460&lt;&gt;"",$AS460&lt;&gt;"✓"),SUMPRODUCT(($AM$11:$AM460&lt;&gt;"")*($AS$11:$AS460&lt;&gt;"✓")),"")</f>
        <v/>
      </c>
      <c r="AZ460" s="21" t="str">
        <f>IF(AND($AM460&lt;&gt;"",$AS460="✓"),SUMPRODUCT(($AM$11:$AM460&lt;&gt;"")*($AS$11:$AS460="✓")),"")</f>
        <v/>
      </c>
      <c r="BA460" s="21" t="str">
        <f>IF($AL460="","",$AL460&amp;"|"&amp;COUNTIF($AL$11:$AL460,$AL460))</f>
        <v/>
      </c>
    </row>
    <row r="461" spans="2:53" ht="15" customHeight="1" x14ac:dyDescent="0.25">
      <c r="B461" s="5" t="str">
        <f t="shared" si="92"/>
        <v/>
      </c>
      <c r="C461" s="5"/>
      <c r="D461" s="5"/>
      <c r="E461" s="5"/>
      <c r="F461" s="6"/>
      <c r="G461" s="6"/>
      <c r="H461" s="7"/>
      <c r="I461" s="8"/>
      <c r="W461" s="14" t="str">
        <f>IF(X461="","",IFERROR(INDEX($AL$11:$AL$4010,MATCH(451,$AY$11:$AY$4010,0)),""))</f>
        <v/>
      </c>
      <c r="X461" s="12" t="str">
        <f>IFERROR(INDEX($AM$11:$AM$4010,MATCH(451,$AY$11:$AY$4010,0)),"")</f>
        <v/>
      </c>
      <c r="Y461" s="11" t="str">
        <f>IF(X461="","",IFERROR(INDEX($AN$11:$AN$4010,MATCH(451,$AY$11:$AY$4010,0)),""))</f>
        <v/>
      </c>
      <c r="Z461" s="11" t="str">
        <f>IF(X461="","",IFERROR(INDEX($AO$11:$AO$4010,MATCH(451,$AY$11:$AY$4010,0)),""))</f>
        <v/>
      </c>
      <c r="AA461" s="10" t="str">
        <f>IF(X461="","",IFERROR(INDEX($AQ$11:$AQ$4010,MATCH(451,$AY$11:$AY$4010,0)),""))</f>
        <v/>
      </c>
      <c r="AB461" s="15" t="str">
        <f>IF(X461="","",IFERROR(INDEX($AR$11:$AR$4010,MATCH(451,$AY$11:$AY$4010,0)),""))</f>
        <v/>
      </c>
      <c r="AD461" s="16" t="str">
        <f>IF(AE461="","",IFERROR(INDEX($AL$11:$AL$4010,MATCH(451,$AZ$11:$AZ$4010,0)),""))</f>
        <v/>
      </c>
      <c r="AE461" s="12" t="str">
        <f>IFERROR(INDEX($AM$11:$AM$4010,MATCH(451,$AZ$11:$AZ$4010,0)),"")</f>
        <v/>
      </c>
      <c r="AF461" s="11" t="str">
        <f>IF(AE461="","",IFERROR(INDEX($AN$11:$AN$4010,MATCH(451,$AZ$11:$AZ$4010,0)),""))</f>
        <v/>
      </c>
      <c r="AG461" s="11" t="str">
        <f>IF(AE461="","",IFERROR(INDEX($AO$11:$AO$4010,MATCH(451,$AZ$11:$AZ$4010,0)),""))</f>
        <v/>
      </c>
      <c r="AH461" s="10" t="str">
        <f>IF(AE461="","",IFERROR(INDEX($AQ$11:$AQ$4010,MATCH(451,$AZ$11:$AZ$4010,0)),""))</f>
        <v/>
      </c>
      <c r="AI461" s="15" t="str">
        <f>IF(AE461="","",IFERROR(INDEX($AR$11:$AR$4010,MATCH(451,$AZ$11:$AZ$4010,0)),""))</f>
        <v/>
      </c>
      <c r="AJ461" s="15" t="str">
        <f>IF(AE461="","",IFERROR(INDEX($AT$11:$AT$4010,MATCH(451,$AZ$11:$AZ$4010,0)),""))</f>
        <v/>
      </c>
      <c r="AL461" s="17" t="str">
        <f t="shared" si="93"/>
        <v/>
      </c>
      <c r="AM461" s="12" t="str">
        <f t="shared" si="94"/>
        <v/>
      </c>
      <c r="AN461" s="18" t="str">
        <f t="shared" si="95"/>
        <v/>
      </c>
      <c r="AO461" s="18" t="str">
        <f t="shared" si="96"/>
        <v/>
      </c>
      <c r="AP461" s="10" t="str">
        <f t="shared" si="97"/>
        <v/>
      </c>
      <c r="AQ461" s="10" t="str">
        <f t="shared" si="98"/>
        <v/>
      </c>
      <c r="AR461" s="19" t="str">
        <f t="shared" si="99"/>
        <v/>
      </c>
      <c r="AS461" s="20"/>
      <c r="AT461" s="19"/>
      <c r="AV461" s="21">
        <f>IF(AND($AL461&lt;&gt;"",COUNTIF($AL$11:$AL461,$AL461)=1),1,0)</f>
        <v>0</v>
      </c>
      <c r="AW461" s="21">
        <f t="shared" si="101"/>
        <v>0</v>
      </c>
      <c r="AX461" s="21" t="str">
        <f t="shared" si="100"/>
        <v/>
      </c>
      <c r="AY461" s="21" t="str">
        <f>IF(AND($AM461&lt;&gt;"",$AS461&lt;&gt;"✓"),SUMPRODUCT(($AM$11:$AM461&lt;&gt;"")*($AS$11:$AS461&lt;&gt;"✓")),"")</f>
        <v/>
      </c>
      <c r="AZ461" s="21" t="str">
        <f>IF(AND($AM461&lt;&gt;"",$AS461="✓"),SUMPRODUCT(($AM$11:$AM461&lt;&gt;"")*($AS$11:$AS461="✓")),"")</f>
        <v/>
      </c>
      <c r="BA461" s="21" t="str">
        <f>IF($AL461="","",$AL461&amp;"|"&amp;COUNTIF($AL$11:$AL461,$AL461))</f>
        <v/>
      </c>
    </row>
    <row r="462" spans="2:53" ht="15" customHeight="1" x14ac:dyDescent="0.25">
      <c r="B462" s="5" t="str">
        <f t="shared" si="92"/>
        <v/>
      </c>
      <c r="C462" s="5"/>
      <c r="D462" s="5"/>
      <c r="E462" s="5"/>
      <c r="F462" s="6"/>
      <c r="G462" s="6"/>
      <c r="H462" s="7"/>
      <c r="I462" s="8"/>
      <c r="W462" s="28" t="str">
        <f>IF(X462="","",IFERROR(INDEX($AL$11:$AL$4010,MATCH(452,$AY$11:$AY$4010,0)),""))</f>
        <v/>
      </c>
      <c r="X462" s="26" t="str">
        <f>IFERROR(INDEX($AM$11:$AM$4010,MATCH(452,$AY$11:$AY$4010,0)),"")</f>
        <v/>
      </c>
      <c r="Y462" s="25" t="str">
        <f>IF(X462="","",IFERROR(INDEX($AN$11:$AN$4010,MATCH(452,$AY$11:$AY$4010,0)),""))</f>
        <v/>
      </c>
      <c r="Z462" s="25" t="str">
        <f>IF(X462="","",IFERROR(INDEX($AO$11:$AO$4010,MATCH(452,$AY$11:$AY$4010,0)),""))</f>
        <v/>
      </c>
      <c r="AA462" s="24" t="str">
        <f>IF(X462="","",IFERROR(INDEX($AQ$11:$AQ$4010,MATCH(452,$AY$11:$AY$4010,0)),""))</f>
        <v/>
      </c>
      <c r="AB462" s="29" t="str">
        <f>IF(X462="","",IFERROR(INDEX($AR$11:$AR$4010,MATCH(452,$AY$11:$AY$4010,0)),""))</f>
        <v/>
      </c>
      <c r="AD462" s="30" t="str">
        <f>IF(AE462="","",IFERROR(INDEX($AL$11:$AL$4010,MATCH(452,$AZ$11:$AZ$4010,0)),""))</f>
        <v/>
      </c>
      <c r="AE462" s="26" t="str">
        <f>IFERROR(INDEX($AM$11:$AM$4010,MATCH(452,$AZ$11:$AZ$4010,0)),"")</f>
        <v/>
      </c>
      <c r="AF462" s="25" t="str">
        <f>IF(AE462="","",IFERROR(INDEX($AN$11:$AN$4010,MATCH(452,$AZ$11:$AZ$4010,0)),""))</f>
        <v/>
      </c>
      <c r="AG462" s="25" t="str">
        <f>IF(AE462="","",IFERROR(INDEX($AO$11:$AO$4010,MATCH(452,$AZ$11:$AZ$4010,0)),""))</f>
        <v/>
      </c>
      <c r="AH462" s="24" t="str">
        <f>IF(AE462="","",IFERROR(INDEX($AQ$11:$AQ$4010,MATCH(452,$AZ$11:$AZ$4010,0)),""))</f>
        <v/>
      </c>
      <c r="AI462" s="29" t="str">
        <f>IF(AE462="","",IFERROR(INDEX($AR$11:$AR$4010,MATCH(452,$AZ$11:$AZ$4010,0)),""))</f>
        <v/>
      </c>
      <c r="AJ462" s="29" t="str">
        <f>IF(AE462="","",IFERROR(INDEX($AT$11:$AT$4010,MATCH(452,$AZ$11:$AZ$4010,0)),""))</f>
        <v/>
      </c>
      <c r="AL462" s="31" t="str">
        <f t="shared" si="93"/>
        <v/>
      </c>
      <c r="AM462" s="26" t="str">
        <f t="shared" si="94"/>
        <v/>
      </c>
      <c r="AN462" s="32" t="str">
        <f t="shared" si="95"/>
        <v/>
      </c>
      <c r="AO462" s="32" t="str">
        <f t="shared" si="96"/>
        <v/>
      </c>
      <c r="AP462" s="24" t="str">
        <f t="shared" si="97"/>
        <v/>
      </c>
      <c r="AQ462" s="24" t="str">
        <f t="shared" si="98"/>
        <v/>
      </c>
      <c r="AR462" s="33" t="str">
        <f t="shared" si="99"/>
        <v/>
      </c>
      <c r="AS462" s="34"/>
      <c r="AT462" s="33"/>
      <c r="AV462" s="21">
        <f>IF(AND($AL462&lt;&gt;"",COUNTIF($AL$11:$AL462,$AL462)=1),1,0)</f>
        <v>0</v>
      </c>
      <c r="AW462" s="21">
        <f t="shared" si="101"/>
        <v>0</v>
      </c>
      <c r="AX462" s="21" t="str">
        <f t="shared" si="100"/>
        <v/>
      </c>
      <c r="AY462" s="21" t="str">
        <f>IF(AND($AM462&lt;&gt;"",$AS462&lt;&gt;"✓"),SUMPRODUCT(($AM$11:$AM462&lt;&gt;"")*($AS$11:$AS462&lt;&gt;"✓")),"")</f>
        <v/>
      </c>
      <c r="AZ462" s="21" t="str">
        <f>IF(AND($AM462&lt;&gt;"",$AS462="✓"),SUMPRODUCT(($AM$11:$AM462&lt;&gt;"")*($AS$11:$AS462="✓")),"")</f>
        <v/>
      </c>
      <c r="BA462" s="21" t="str">
        <f>IF($AL462="","",$AL462&amp;"|"&amp;COUNTIF($AL$11:$AL462,$AL462))</f>
        <v/>
      </c>
    </row>
    <row r="463" spans="2:53" ht="15" customHeight="1" x14ac:dyDescent="0.25">
      <c r="B463" s="5" t="str">
        <f t="shared" si="92"/>
        <v/>
      </c>
      <c r="C463" s="5"/>
      <c r="D463" s="5"/>
      <c r="E463" s="5"/>
      <c r="F463" s="6"/>
      <c r="G463" s="6"/>
      <c r="H463" s="7"/>
      <c r="I463" s="8"/>
      <c r="W463" s="14" t="str">
        <f>IF(X463="","",IFERROR(INDEX($AL$11:$AL$4010,MATCH(453,$AY$11:$AY$4010,0)),""))</f>
        <v/>
      </c>
      <c r="X463" s="12" t="str">
        <f>IFERROR(INDEX($AM$11:$AM$4010,MATCH(453,$AY$11:$AY$4010,0)),"")</f>
        <v/>
      </c>
      <c r="Y463" s="11" t="str">
        <f>IF(X463="","",IFERROR(INDEX($AN$11:$AN$4010,MATCH(453,$AY$11:$AY$4010,0)),""))</f>
        <v/>
      </c>
      <c r="Z463" s="11" t="str">
        <f>IF(X463="","",IFERROR(INDEX($AO$11:$AO$4010,MATCH(453,$AY$11:$AY$4010,0)),""))</f>
        <v/>
      </c>
      <c r="AA463" s="10" t="str">
        <f>IF(X463="","",IFERROR(INDEX($AQ$11:$AQ$4010,MATCH(453,$AY$11:$AY$4010,0)),""))</f>
        <v/>
      </c>
      <c r="AB463" s="15" t="str">
        <f>IF(X463="","",IFERROR(INDEX($AR$11:$AR$4010,MATCH(453,$AY$11:$AY$4010,0)),""))</f>
        <v/>
      </c>
      <c r="AD463" s="16" t="str">
        <f>IF(AE463="","",IFERROR(INDEX($AL$11:$AL$4010,MATCH(453,$AZ$11:$AZ$4010,0)),""))</f>
        <v/>
      </c>
      <c r="AE463" s="12" t="str">
        <f>IFERROR(INDEX($AM$11:$AM$4010,MATCH(453,$AZ$11:$AZ$4010,0)),"")</f>
        <v/>
      </c>
      <c r="AF463" s="11" t="str">
        <f>IF(AE463="","",IFERROR(INDEX($AN$11:$AN$4010,MATCH(453,$AZ$11:$AZ$4010,0)),""))</f>
        <v/>
      </c>
      <c r="AG463" s="11" t="str">
        <f>IF(AE463="","",IFERROR(INDEX($AO$11:$AO$4010,MATCH(453,$AZ$11:$AZ$4010,0)),""))</f>
        <v/>
      </c>
      <c r="AH463" s="10" t="str">
        <f>IF(AE463="","",IFERROR(INDEX($AQ$11:$AQ$4010,MATCH(453,$AZ$11:$AZ$4010,0)),""))</f>
        <v/>
      </c>
      <c r="AI463" s="15" t="str">
        <f>IF(AE463="","",IFERROR(INDEX($AR$11:$AR$4010,MATCH(453,$AZ$11:$AZ$4010,0)),""))</f>
        <v/>
      </c>
      <c r="AJ463" s="15" t="str">
        <f>IF(AE463="","",IFERROR(INDEX($AT$11:$AT$4010,MATCH(453,$AZ$11:$AZ$4010,0)),""))</f>
        <v/>
      </c>
      <c r="AL463" s="17" t="str">
        <f t="shared" si="93"/>
        <v/>
      </c>
      <c r="AM463" s="12" t="str">
        <f t="shared" si="94"/>
        <v/>
      </c>
      <c r="AN463" s="18" t="str">
        <f t="shared" si="95"/>
        <v/>
      </c>
      <c r="AO463" s="18" t="str">
        <f t="shared" si="96"/>
        <v/>
      </c>
      <c r="AP463" s="10" t="str">
        <f t="shared" si="97"/>
        <v/>
      </c>
      <c r="AQ463" s="10" t="str">
        <f t="shared" si="98"/>
        <v/>
      </c>
      <c r="AR463" s="19" t="str">
        <f t="shared" si="99"/>
        <v/>
      </c>
      <c r="AS463" s="20"/>
      <c r="AT463" s="19"/>
      <c r="AV463" s="21">
        <f>IF(AND($AL463&lt;&gt;"",COUNTIF($AL$11:$AL463,$AL463)=1),1,0)</f>
        <v>0</v>
      </c>
      <c r="AW463" s="21">
        <f t="shared" si="101"/>
        <v>0</v>
      </c>
      <c r="AX463" s="21" t="str">
        <f t="shared" si="100"/>
        <v/>
      </c>
      <c r="AY463" s="21" t="str">
        <f>IF(AND($AM463&lt;&gt;"",$AS463&lt;&gt;"✓"),SUMPRODUCT(($AM$11:$AM463&lt;&gt;"")*($AS$11:$AS463&lt;&gt;"✓")),"")</f>
        <v/>
      </c>
      <c r="AZ463" s="21" t="str">
        <f>IF(AND($AM463&lt;&gt;"",$AS463="✓"),SUMPRODUCT(($AM$11:$AM463&lt;&gt;"")*($AS$11:$AS463="✓")),"")</f>
        <v/>
      </c>
      <c r="BA463" s="21" t="str">
        <f>IF($AL463="","",$AL463&amp;"|"&amp;COUNTIF($AL$11:$AL463,$AL463))</f>
        <v/>
      </c>
    </row>
    <row r="464" spans="2:53" ht="15" customHeight="1" x14ac:dyDescent="0.25">
      <c r="B464" s="5" t="str">
        <f t="shared" si="92"/>
        <v/>
      </c>
      <c r="C464" s="5"/>
      <c r="D464" s="5"/>
      <c r="E464" s="5"/>
      <c r="F464" s="6"/>
      <c r="G464" s="6"/>
      <c r="H464" s="7"/>
      <c r="I464" s="8"/>
      <c r="W464" s="28" t="str">
        <f>IF(X464="","",IFERROR(INDEX($AL$11:$AL$4010,MATCH(454,$AY$11:$AY$4010,0)),""))</f>
        <v/>
      </c>
      <c r="X464" s="26" t="str">
        <f>IFERROR(INDEX($AM$11:$AM$4010,MATCH(454,$AY$11:$AY$4010,0)),"")</f>
        <v/>
      </c>
      <c r="Y464" s="25" t="str">
        <f>IF(X464="","",IFERROR(INDEX($AN$11:$AN$4010,MATCH(454,$AY$11:$AY$4010,0)),""))</f>
        <v/>
      </c>
      <c r="Z464" s="25" t="str">
        <f>IF(X464="","",IFERROR(INDEX($AO$11:$AO$4010,MATCH(454,$AY$11:$AY$4010,0)),""))</f>
        <v/>
      </c>
      <c r="AA464" s="24" t="str">
        <f>IF(X464="","",IFERROR(INDEX($AQ$11:$AQ$4010,MATCH(454,$AY$11:$AY$4010,0)),""))</f>
        <v/>
      </c>
      <c r="AB464" s="29" t="str">
        <f>IF(X464="","",IFERROR(INDEX($AR$11:$AR$4010,MATCH(454,$AY$11:$AY$4010,0)),""))</f>
        <v/>
      </c>
      <c r="AD464" s="30" t="str">
        <f>IF(AE464="","",IFERROR(INDEX($AL$11:$AL$4010,MATCH(454,$AZ$11:$AZ$4010,0)),""))</f>
        <v/>
      </c>
      <c r="AE464" s="26" t="str">
        <f>IFERROR(INDEX($AM$11:$AM$4010,MATCH(454,$AZ$11:$AZ$4010,0)),"")</f>
        <v/>
      </c>
      <c r="AF464" s="25" t="str">
        <f>IF(AE464="","",IFERROR(INDEX($AN$11:$AN$4010,MATCH(454,$AZ$11:$AZ$4010,0)),""))</f>
        <v/>
      </c>
      <c r="AG464" s="25" t="str">
        <f>IF(AE464="","",IFERROR(INDEX($AO$11:$AO$4010,MATCH(454,$AZ$11:$AZ$4010,0)),""))</f>
        <v/>
      </c>
      <c r="AH464" s="24" t="str">
        <f>IF(AE464="","",IFERROR(INDEX($AQ$11:$AQ$4010,MATCH(454,$AZ$11:$AZ$4010,0)),""))</f>
        <v/>
      </c>
      <c r="AI464" s="29" t="str">
        <f>IF(AE464="","",IFERROR(INDEX($AR$11:$AR$4010,MATCH(454,$AZ$11:$AZ$4010,0)),""))</f>
        <v/>
      </c>
      <c r="AJ464" s="29" t="str">
        <f>IF(AE464="","",IFERROR(INDEX($AT$11:$AT$4010,MATCH(454,$AZ$11:$AZ$4010,0)),""))</f>
        <v/>
      </c>
      <c r="AL464" s="31" t="str">
        <f t="shared" si="93"/>
        <v/>
      </c>
      <c r="AM464" s="26" t="str">
        <f t="shared" si="94"/>
        <v/>
      </c>
      <c r="AN464" s="32" t="str">
        <f t="shared" si="95"/>
        <v/>
      </c>
      <c r="AO464" s="32" t="str">
        <f t="shared" si="96"/>
        <v/>
      </c>
      <c r="AP464" s="24" t="str">
        <f t="shared" si="97"/>
        <v/>
      </c>
      <c r="AQ464" s="24" t="str">
        <f t="shared" si="98"/>
        <v/>
      </c>
      <c r="AR464" s="33" t="str">
        <f t="shared" si="99"/>
        <v/>
      </c>
      <c r="AS464" s="34"/>
      <c r="AT464" s="33"/>
      <c r="AV464" s="21">
        <f>IF(AND($AL464&lt;&gt;"",COUNTIF($AL$11:$AL464,$AL464)=1),1,0)</f>
        <v>0</v>
      </c>
      <c r="AW464" s="21">
        <f t="shared" si="101"/>
        <v>0</v>
      </c>
      <c r="AX464" s="21" t="str">
        <f t="shared" si="100"/>
        <v/>
      </c>
      <c r="AY464" s="21" t="str">
        <f>IF(AND($AM464&lt;&gt;"",$AS464&lt;&gt;"✓"),SUMPRODUCT(($AM$11:$AM464&lt;&gt;"")*($AS$11:$AS464&lt;&gt;"✓")),"")</f>
        <v/>
      </c>
      <c r="AZ464" s="21" t="str">
        <f>IF(AND($AM464&lt;&gt;"",$AS464="✓"),SUMPRODUCT(($AM$11:$AM464&lt;&gt;"")*($AS$11:$AS464="✓")),"")</f>
        <v/>
      </c>
      <c r="BA464" s="21" t="str">
        <f>IF($AL464="","",$AL464&amp;"|"&amp;COUNTIF($AL$11:$AL464,$AL464))</f>
        <v/>
      </c>
    </row>
    <row r="465" spans="2:53" ht="15" customHeight="1" x14ac:dyDescent="0.25">
      <c r="B465" s="5" t="str">
        <f t="shared" si="92"/>
        <v/>
      </c>
      <c r="C465" s="5"/>
      <c r="D465" s="5"/>
      <c r="E465" s="5"/>
      <c r="F465" s="6"/>
      <c r="G465" s="6"/>
      <c r="H465" s="7"/>
      <c r="I465" s="8"/>
      <c r="W465" s="14" t="str">
        <f>IF(X465="","",IFERROR(INDEX($AL$11:$AL$4010,MATCH(455,$AY$11:$AY$4010,0)),""))</f>
        <v/>
      </c>
      <c r="X465" s="12" t="str">
        <f>IFERROR(INDEX($AM$11:$AM$4010,MATCH(455,$AY$11:$AY$4010,0)),"")</f>
        <v/>
      </c>
      <c r="Y465" s="11" t="str">
        <f>IF(X465="","",IFERROR(INDEX($AN$11:$AN$4010,MATCH(455,$AY$11:$AY$4010,0)),""))</f>
        <v/>
      </c>
      <c r="Z465" s="11" t="str">
        <f>IF(X465="","",IFERROR(INDEX($AO$11:$AO$4010,MATCH(455,$AY$11:$AY$4010,0)),""))</f>
        <v/>
      </c>
      <c r="AA465" s="10" t="str">
        <f>IF(X465="","",IFERROR(INDEX($AQ$11:$AQ$4010,MATCH(455,$AY$11:$AY$4010,0)),""))</f>
        <v/>
      </c>
      <c r="AB465" s="15" t="str">
        <f>IF(X465="","",IFERROR(INDEX($AR$11:$AR$4010,MATCH(455,$AY$11:$AY$4010,0)),""))</f>
        <v/>
      </c>
      <c r="AD465" s="16" t="str">
        <f>IF(AE465="","",IFERROR(INDEX($AL$11:$AL$4010,MATCH(455,$AZ$11:$AZ$4010,0)),""))</f>
        <v/>
      </c>
      <c r="AE465" s="12" t="str">
        <f>IFERROR(INDEX($AM$11:$AM$4010,MATCH(455,$AZ$11:$AZ$4010,0)),"")</f>
        <v/>
      </c>
      <c r="AF465" s="11" t="str">
        <f>IF(AE465="","",IFERROR(INDEX($AN$11:$AN$4010,MATCH(455,$AZ$11:$AZ$4010,0)),""))</f>
        <v/>
      </c>
      <c r="AG465" s="11" t="str">
        <f>IF(AE465="","",IFERROR(INDEX($AO$11:$AO$4010,MATCH(455,$AZ$11:$AZ$4010,0)),""))</f>
        <v/>
      </c>
      <c r="AH465" s="10" t="str">
        <f>IF(AE465="","",IFERROR(INDEX($AQ$11:$AQ$4010,MATCH(455,$AZ$11:$AZ$4010,0)),""))</f>
        <v/>
      </c>
      <c r="AI465" s="15" t="str">
        <f>IF(AE465="","",IFERROR(INDEX($AR$11:$AR$4010,MATCH(455,$AZ$11:$AZ$4010,0)),""))</f>
        <v/>
      </c>
      <c r="AJ465" s="15" t="str">
        <f>IF(AE465="","",IFERROR(INDEX($AT$11:$AT$4010,MATCH(455,$AZ$11:$AZ$4010,0)),""))</f>
        <v/>
      </c>
      <c r="AL465" s="17" t="str">
        <f t="shared" si="93"/>
        <v/>
      </c>
      <c r="AM465" s="12" t="str">
        <f t="shared" si="94"/>
        <v/>
      </c>
      <c r="AN465" s="18" t="str">
        <f t="shared" si="95"/>
        <v/>
      </c>
      <c r="AO465" s="18" t="str">
        <f t="shared" si="96"/>
        <v/>
      </c>
      <c r="AP465" s="10" t="str">
        <f t="shared" si="97"/>
        <v/>
      </c>
      <c r="AQ465" s="10" t="str">
        <f t="shared" si="98"/>
        <v/>
      </c>
      <c r="AR465" s="19" t="str">
        <f t="shared" si="99"/>
        <v/>
      </c>
      <c r="AS465" s="20"/>
      <c r="AT465" s="19"/>
      <c r="AV465" s="21">
        <f>IF(AND($AL465&lt;&gt;"",COUNTIF($AL$11:$AL465,$AL465)=1),1,0)</f>
        <v>0</v>
      </c>
      <c r="AW465" s="21">
        <f t="shared" si="101"/>
        <v>0</v>
      </c>
      <c r="AX465" s="21" t="str">
        <f t="shared" si="100"/>
        <v/>
      </c>
      <c r="AY465" s="21" t="str">
        <f>IF(AND($AM465&lt;&gt;"",$AS465&lt;&gt;"✓"),SUMPRODUCT(($AM$11:$AM465&lt;&gt;"")*($AS$11:$AS465&lt;&gt;"✓")),"")</f>
        <v/>
      </c>
      <c r="AZ465" s="21" t="str">
        <f>IF(AND($AM465&lt;&gt;"",$AS465="✓"),SUMPRODUCT(($AM$11:$AM465&lt;&gt;"")*($AS$11:$AS465="✓")),"")</f>
        <v/>
      </c>
      <c r="BA465" s="21" t="str">
        <f>IF($AL465="","",$AL465&amp;"|"&amp;COUNTIF($AL$11:$AL465,$AL465))</f>
        <v/>
      </c>
    </row>
    <row r="466" spans="2:53" ht="15" customHeight="1" x14ac:dyDescent="0.25">
      <c r="B466" s="5" t="str">
        <f t="shared" si="92"/>
        <v/>
      </c>
      <c r="C466" s="5"/>
      <c r="D466" s="5"/>
      <c r="E466" s="5"/>
      <c r="F466" s="6"/>
      <c r="G466" s="6"/>
      <c r="H466" s="7"/>
      <c r="I466" s="8"/>
      <c r="W466" s="28" t="str">
        <f>IF(X466="","",IFERROR(INDEX($AL$11:$AL$4010,MATCH(456,$AY$11:$AY$4010,0)),""))</f>
        <v/>
      </c>
      <c r="X466" s="26" t="str">
        <f>IFERROR(INDEX($AM$11:$AM$4010,MATCH(456,$AY$11:$AY$4010,0)),"")</f>
        <v/>
      </c>
      <c r="Y466" s="25" t="str">
        <f>IF(X466="","",IFERROR(INDEX($AN$11:$AN$4010,MATCH(456,$AY$11:$AY$4010,0)),""))</f>
        <v/>
      </c>
      <c r="Z466" s="25" t="str">
        <f>IF(X466="","",IFERROR(INDEX($AO$11:$AO$4010,MATCH(456,$AY$11:$AY$4010,0)),""))</f>
        <v/>
      </c>
      <c r="AA466" s="24" t="str">
        <f>IF(X466="","",IFERROR(INDEX($AQ$11:$AQ$4010,MATCH(456,$AY$11:$AY$4010,0)),""))</f>
        <v/>
      </c>
      <c r="AB466" s="29" t="str">
        <f>IF(X466="","",IFERROR(INDEX($AR$11:$AR$4010,MATCH(456,$AY$11:$AY$4010,0)),""))</f>
        <v/>
      </c>
      <c r="AD466" s="30" t="str">
        <f>IF(AE466="","",IFERROR(INDEX($AL$11:$AL$4010,MATCH(456,$AZ$11:$AZ$4010,0)),""))</f>
        <v/>
      </c>
      <c r="AE466" s="26" t="str">
        <f>IFERROR(INDEX($AM$11:$AM$4010,MATCH(456,$AZ$11:$AZ$4010,0)),"")</f>
        <v/>
      </c>
      <c r="AF466" s="25" t="str">
        <f>IF(AE466="","",IFERROR(INDEX($AN$11:$AN$4010,MATCH(456,$AZ$11:$AZ$4010,0)),""))</f>
        <v/>
      </c>
      <c r="AG466" s="25" t="str">
        <f>IF(AE466="","",IFERROR(INDEX($AO$11:$AO$4010,MATCH(456,$AZ$11:$AZ$4010,0)),""))</f>
        <v/>
      </c>
      <c r="AH466" s="24" t="str">
        <f>IF(AE466="","",IFERROR(INDEX($AQ$11:$AQ$4010,MATCH(456,$AZ$11:$AZ$4010,0)),""))</f>
        <v/>
      </c>
      <c r="AI466" s="29" t="str">
        <f>IF(AE466="","",IFERROR(INDEX($AR$11:$AR$4010,MATCH(456,$AZ$11:$AZ$4010,0)),""))</f>
        <v/>
      </c>
      <c r="AJ466" s="29" t="str">
        <f>IF(AE466="","",IFERROR(INDEX($AT$11:$AT$4010,MATCH(456,$AZ$11:$AZ$4010,0)),""))</f>
        <v/>
      </c>
      <c r="AL466" s="31" t="str">
        <f t="shared" si="93"/>
        <v/>
      </c>
      <c r="AM466" s="26" t="str">
        <f t="shared" si="94"/>
        <v/>
      </c>
      <c r="AN466" s="32" t="str">
        <f t="shared" si="95"/>
        <v/>
      </c>
      <c r="AO466" s="32" t="str">
        <f t="shared" si="96"/>
        <v/>
      </c>
      <c r="AP466" s="24" t="str">
        <f t="shared" si="97"/>
        <v/>
      </c>
      <c r="AQ466" s="24" t="str">
        <f t="shared" si="98"/>
        <v/>
      </c>
      <c r="AR466" s="33" t="str">
        <f t="shared" si="99"/>
        <v/>
      </c>
      <c r="AS466" s="34"/>
      <c r="AT466" s="33"/>
      <c r="AV466" s="21">
        <f>IF(AND($AL466&lt;&gt;"",COUNTIF($AL$11:$AL466,$AL466)=1),1,0)</f>
        <v>0</v>
      </c>
      <c r="AW466" s="21">
        <f t="shared" si="101"/>
        <v>0</v>
      </c>
      <c r="AX466" s="21" t="str">
        <f t="shared" si="100"/>
        <v/>
      </c>
      <c r="AY466" s="21" t="str">
        <f>IF(AND($AM466&lt;&gt;"",$AS466&lt;&gt;"✓"),SUMPRODUCT(($AM$11:$AM466&lt;&gt;"")*($AS$11:$AS466&lt;&gt;"✓")),"")</f>
        <v/>
      </c>
      <c r="AZ466" s="21" t="str">
        <f>IF(AND($AM466&lt;&gt;"",$AS466="✓"),SUMPRODUCT(($AM$11:$AM466&lt;&gt;"")*($AS$11:$AS466="✓")),"")</f>
        <v/>
      </c>
      <c r="BA466" s="21" t="str">
        <f>IF($AL466="","",$AL466&amp;"|"&amp;COUNTIF($AL$11:$AL466,$AL466))</f>
        <v/>
      </c>
    </row>
    <row r="467" spans="2:53" ht="15" customHeight="1" x14ac:dyDescent="0.25">
      <c r="B467" s="5" t="str">
        <f t="shared" si="92"/>
        <v/>
      </c>
      <c r="C467" s="5"/>
      <c r="D467" s="5"/>
      <c r="E467" s="5"/>
      <c r="F467" s="6"/>
      <c r="G467" s="6"/>
      <c r="H467" s="7"/>
      <c r="I467" s="8"/>
      <c r="W467" s="14" t="str">
        <f>IF(X467="","",IFERROR(INDEX($AL$11:$AL$4010,MATCH(457,$AY$11:$AY$4010,0)),""))</f>
        <v/>
      </c>
      <c r="X467" s="12" t="str">
        <f>IFERROR(INDEX($AM$11:$AM$4010,MATCH(457,$AY$11:$AY$4010,0)),"")</f>
        <v/>
      </c>
      <c r="Y467" s="11" t="str">
        <f>IF(X467="","",IFERROR(INDEX($AN$11:$AN$4010,MATCH(457,$AY$11:$AY$4010,0)),""))</f>
        <v/>
      </c>
      <c r="Z467" s="11" t="str">
        <f>IF(X467="","",IFERROR(INDEX($AO$11:$AO$4010,MATCH(457,$AY$11:$AY$4010,0)),""))</f>
        <v/>
      </c>
      <c r="AA467" s="10" t="str">
        <f>IF(X467="","",IFERROR(INDEX($AQ$11:$AQ$4010,MATCH(457,$AY$11:$AY$4010,0)),""))</f>
        <v/>
      </c>
      <c r="AB467" s="15" t="str">
        <f>IF(X467="","",IFERROR(INDEX($AR$11:$AR$4010,MATCH(457,$AY$11:$AY$4010,0)),""))</f>
        <v/>
      </c>
      <c r="AD467" s="16" t="str">
        <f>IF(AE467="","",IFERROR(INDEX($AL$11:$AL$4010,MATCH(457,$AZ$11:$AZ$4010,0)),""))</f>
        <v/>
      </c>
      <c r="AE467" s="12" t="str">
        <f>IFERROR(INDEX($AM$11:$AM$4010,MATCH(457,$AZ$11:$AZ$4010,0)),"")</f>
        <v/>
      </c>
      <c r="AF467" s="11" t="str">
        <f>IF(AE467="","",IFERROR(INDEX($AN$11:$AN$4010,MATCH(457,$AZ$11:$AZ$4010,0)),""))</f>
        <v/>
      </c>
      <c r="AG467" s="11" t="str">
        <f>IF(AE467="","",IFERROR(INDEX($AO$11:$AO$4010,MATCH(457,$AZ$11:$AZ$4010,0)),""))</f>
        <v/>
      </c>
      <c r="AH467" s="10" t="str">
        <f>IF(AE467="","",IFERROR(INDEX($AQ$11:$AQ$4010,MATCH(457,$AZ$11:$AZ$4010,0)),""))</f>
        <v/>
      </c>
      <c r="AI467" s="15" t="str">
        <f>IF(AE467="","",IFERROR(INDEX($AR$11:$AR$4010,MATCH(457,$AZ$11:$AZ$4010,0)),""))</f>
        <v/>
      </c>
      <c r="AJ467" s="15" t="str">
        <f>IF(AE467="","",IFERROR(INDEX($AT$11:$AT$4010,MATCH(457,$AZ$11:$AZ$4010,0)),""))</f>
        <v/>
      </c>
      <c r="AL467" s="17" t="str">
        <f t="shared" si="93"/>
        <v/>
      </c>
      <c r="AM467" s="12" t="str">
        <f t="shared" si="94"/>
        <v/>
      </c>
      <c r="AN467" s="18" t="str">
        <f t="shared" si="95"/>
        <v/>
      </c>
      <c r="AO467" s="18" t="str">
        <f t="shared" si="96"/>
        <v/>
      </c>
      <c r="AP467" s="10" t="str">
        <f t="shared" si="97"/>
        <v/>
      </c>
      <c r="AQ467" s="10" t="str">
        <f t="shared" si="98"/>
        <v/>
      </c>
      <c r="AR467" s="19" t="str">
        <f t="shared" si="99"/>
        <v/>
      </c>
      <c r="AS467" s="20"/>
      <c r="AT467" s="19"/>
      <c r="AV467" s="21">
        <f>IF(AND($AL467&lt;&gt;"",COUNTIF($AL$11:$AL467,$AL467)=1),1,0)</f>
        <v>0</v>
      </c>
      <c r="AW467" s="21">
        <f t="shared" si="101"/>
        <v>0</v>
      </c>
      <c r="AX467" s="21" t="str">
        <f t="shared" si="100"/>
        <v/>
      </c>
      <c r="AY467" s="21" t="str">
        <f>IF(AND($AM467&lt;&gt;"",$AS467&lt;&gt;"✓"),SUMPRODUCT(($AM$11:$AM467&lt;&gt;"")*($AS$11:$AS467&lt;&gt;"✓")),"")</f>
        <v/>
      </c>
      <c r="AZ467" s="21" t="str">
        <f>IF(AND($AM467&lt;&gt;"",$AS467="✓"),SUMPRODUCT(($AM$11:$AM467&lt;&gt;"")*($AS$11:$AS467="✓")),"")</f>
        <v/>
      </c>
      <c r="BA467" s="21" t="str">
        <f>IF($AL467="","",$AL467&amp;"|"&amp;COUNTIF($AL$11:$AL467,$AL467))</f>
        <v/>
      </c>
    </row>
    <row r="468" spans="2:53" ht="15" customHeight="1" x14ac:dyDescent="0.25">
      <c r="B468" s="5" t="str">
        <f t="shared" si="92"/>
        <v/>
      </c>
      <c r="C468" s="5"/>
      <c r="D468" s="5"/>
      <c r="E468" s="5"/>
      <c r="F468" s="6"/>
      <c r="G468" s="6"/>
      <c r="H468" s="7"/>
      <c r="I468" s="8"/>
      <c r="W468" s="28" t="str">
        <f>IF(X468="","",IFERROR(INDEX($AL$11:$AL$4010,MATCH(458,$AY$11:$AY$4010,0)),""))</f>
        <v/>
      </c>
      <c r="X468" s="26" t="str">
        <f>IFERROR(INDEX($AM$11:$AM$4010,MATCH(458,$AY$11:$AY$4010,0)),"")</f>
        <v/>
      </c>
      <c r="Y468" s="25" t="str">
        <f>IF(X468="","",IFERROR(INDEX($AN$11:$AN$4010,MATCH(458,$AY$11:$AY$4010,0)),""))</f>
        <v/>
      </c>
      <c r="Z468" s="25" t="str">
        <f>IF(X468="","",IFERROR(INDEX($AO$11:$AO$4010,MATCH(458,$AY$11:$AY$4010,0)),""))</f>
        <v/>
      </c>
      <c r="AA468" s="24" t="str">
        <f>IF(X468="","",IFERROR(INDEX($AQ$11:$AQ$4010,MATCH(458,$AY$11:$AY$4010,0)),""))</f>
        <v/>
      </c>
      <c r="AB468" s="29" t="str">
        <f>IF(X468="","",IFERROR(INDEX($AR$11:$AR$4010,MATCH(458,$AY$11:$AY$4010,0)),""))</f>
        <v/>
      </c>
      <c r="AD468" s="30" t="str">
        <f>IF(AE468="","",IFERROR(INDEX($AL$11:$AL$4010,MATCH(458,$AZ$11:$AZ$4010,0)),""))</f>
        <v/>
      </c>
      <c r="AE468" s="26" t="str">
        <f>IFERROR(INDEX($AM$11:$AM$4010,MATCH(458,$AZ$11:$AZ$4010,0)),"")</f>
        <v/>
      </c>
      <c r="AF468" s="25" t="str">
        <f>IF(AE468="","",IFERROR(INDEX($AN$11:$AN$4010,MATCH(458,$AZ$11:$AZ$4010,0)),""))</f>
        <v/>
      </c>
      <c r="AG468" s="25" t="str">
        <f>IF(AE468="","",IFERROR(INDEX($AO$11:$AO$4010,MATCH(458,$AZ$11:$AZ$4010,0)),""))</f>
        <v/>
      </c>
      <c r="AH468" s="24" t="str">
        <f>IF(AE468="","",IFERROR(INDEX($AQ$11:$AQ$4010,MATCH(458,$AZ$11:$AZ$4010,0)),""))</f>
        <v/>
      </c>
      <c r="AI468" s="29" t="str">
        <f>IF(AE468="","",IFERROR(INDEX($AR$11:$AR$4010,MATCH(458,$AZ$11:$AZ$4010,0)),""))</f>
        <v/>
      </c>
      <c r="AJ468" s="29" t="str">
        <f>IF(AE468="","",IFERROR(INDEX($AT$11:$AT$4010,MATCH(458,$AZ$11:$AZ$4010,0)),""))</f>
        <v/>
      </c>
      <c r="AL468" s="31" t="str">
        <f t="shared" si="93"/>
        <v/>
      </c>
      <c r="AM468" s="26" t="str">
        <f t="shared" si="94"/>
        <v/>
      </c>
      <c r="AN468" s="32" t="str">
        <f t="shared" si="95"/>
        <v/>
      </c>
      <c r="AO468" s="32" t="str">
        <f t="shared" si="96"/>
        <v/>
      </c>
      <c r="AP468" s="24" t="str">
        <f t="shared" si="97"/>
        <v/>
      </c>
      <c r="AQ468" s="24" t="str">
        <f t="shared" si="98"/>
        <v/>
      </c>
      <c r="AR468" s="33" t="str">
        <f t="shared" si="99"/>
        <v/>
      </c>
      <c r="AS468" s="34"/>
      <c r="AT468" s="33"/>
      <c r="AV468" s="21">
        <f>IF(AND($AL468&lt;&gt;"",COUNTIF($AL$11:$AL468,$AL468)=1),1,0)</f>
        <v>0</v>
      </c>
      <c r="AW468" s="21">
        <f t="shared" si="101"/>
        <v>0</v>
      </c>
      <c r="AX468" s="21" t="str">
        <f t="shared" si="100"/>
        <v/>
      </c>
      <c r="AY468" s="21" t="str">
        <f>IF(AND($AM468&lt;&gt;"",$AS468&lt;&gt;"✓"),SUMPRODUCT(($AM$11:$AM468&lt;&gt;"")*($AS$11:$AS468&lt;&gt;"✓")),"")</f>
        <v/>
      </c>
      <c r="AZ468" s="21" t="str">
        <f>IF(AND($AM468&lt;&gt;"",$AS468="✓"),SUMPRODUCT(($AM$11:$AM468&lt;&gt;"")*($AS$11:$AS468="✓")),"")</f>
        <v/>
      </c>
      <c r="BA468" s="21" t="str">
        <f>IF($AL468="","",$AL468&amp;"|"&amp;COUNTIF($AL$11:$AL468,$AL468))</f>
        <v/>
      </c>
    </row>
    <row r="469" spans="2:53" ht="15" customHeight="1" x14ac:dyDescent="0.25">
      <c r="B469" s="5" t="str">
        <f t="shared" si="92"/>
        <v/>
      </c>
      <c r="C469" s="5"/>
      <c r="D469" s="5"/>
      <c r="E469" s="5"/>
      <c r="F469" s="6"/>
      <c r="G469" s="6"/>
      <c r="H469" s="7"/>
      <c r="I469" s="8"/>
      <c r="W469" s="14" t="str">
        <f>IF(X469="","",IFERROR(INDEX($AL$11:$AL$4010,MATCH(459,$AY$11:$AY$4010,0)),""))</f>
        <v/>
      </c>
      <c r="X469" s="12" t="str">
        <f>IFERROR(INDEX($AM$11:$AM$4010,MATCH(459,$AY$11:$AY$4010,0)),"")</f>
        <v/>
      </c>
      <c r="Y469" s="11" t="str">
        <f>IF(X469="","",IFERROR(INDEX($AN$11:$AN$4010,MATCH(459,$AY$11:$AY$4010,0)),""))</f>
        <v/>
      </c>
      <c r="Z469" s="11" t="str">
        <f>IF(X469="","",IFERROR(INDEX($AO$11:$AO$4010,MATCH(459,$AY$11:$AY$4010,0)),""))</f>
        <v/>
      </c>
      <c r="AA469" s="10" t="str">
        <f>IF(X469="","",IFERROR(INDEX($AQ$11:$AQ$4010,MATCH(459,$AY$11:$AY$4010,0)),""))</f>
        <v/>
      </c>
      <c r="AB469" s="15" t="str">
        <f>IF(X469="","",IFERROR(INDEX($AR$11:$AR$4010,MATCH(459,$AY$11:$AY$4010,0)),""))</f>
        <v/>
      </c>
      <c r="AD469" s="16" t="str">
        <f>IF(AE469="","",IFERROR(INDEX($AL$11:$AL$4010,MATCH(459,$AZ$11:$AZ$4010,0)),""))</f>
        <v/>
      </c>
      <c r="AE469" s="12" t="str">
        <f>IFERROR(INDEX($AM$11:$AM$4010,MATCH(459,$AZ$11:$AZ$4010,0)),"")</f>
        <v/>
      </c>
      <c r="AF469" s="11" t="str">
        <f>IF(AE469="","",IFERROR(INDEX($AN$11:$AN$4010,MATCH(459,$AZ$11:$AZ$4010,0)),""))</f>
        <v/>
      </c>
      <c r="AG469" s="11" t="str">
        <f>IF(AE469="","",IFERROR(INDEX($AO$11:$AO$4010,MATCH(459,$AZ$11:$AZ$4010,0)),""))</f>
        <v/>
      </c>
      <c r="AH469" s="10" t="str">
        <f>IF(AE469="","",IFERROR(INDEX($AQ$11:$AQ$4010,MATCH(459,$AZ$11:$AZ$4010,0)),""))</f>
        <v/>
      </c>
      <c r="AI469" s="15" t="str">
        <f>IF(AE469="","",IFERROR(INDEX($AR$11:$AR$4010,MATCH(459,$AZ$11:$AZ$4010,0)),""))</f>
        <v/>
      </c>
      <c r="AJ469" s="15" t="str">
        <f>IF(AE469="","",IFERROR(INDEX($AT$11:$AT$4010,MATCH(459,$AZ$11:$AZ$4010,0)),""))</f>
        <v/>
      </c>
      <c r="AL469" s="17" t="str">
        <f t="shared" si="93"/>
        <v/>
      </c>
      <c r="AM469" s="12" t="str">
        <f t="shared" si="94"/>
        <v/>
      </c>
      <c r="AN469" s="18" t="str">
        <f t="shared" si="95"/>
        <v/>
      </c>
      <c r="AO469" s="18" t="str">
        <f t="shared" si="96"/>
        <v/>
      </c>
      <c r="AP469" s="10" t="str">
        <f t="shared" si="97"/>
        <v/>
      </c>
      <c r="AQ469" s="10" t="str">
        <f t="shared" si="98"/>
        <v/>
      </c>
      <c r="AR469" s="19" t="str">
        <f t="shared" si="99"/>
        <v/>
      </c>
      <c r="AS469" s="20"/>
      <c r="AT469" s="19"/>
      <c r="AV469" s="21">
        <f>IF(AND($AL469&lt;&gt;"",COUNTIF($AL$11:$AL469,$AL469)=1),1,0)</f>
        <v>0</v>
      </c>
      <c r="AW469" s="21">
        <f t="shared" si="101"/>
        <v>0</v>
      </c>
      <c r="AX469" s="21" t="str">
        <f t="shared" si="100"/>
        <v/>
      </c>
      <c r="AY469" s="21" t="str">
        <f>IF(AND($AM469&lt;&gt;"",$AS469&lt;&gt;"✓"),SUMPRODUCT(($AM$11:$AM469&lt;&gt;"")*($AS$11:$AS469&lt;&gt;"✓")),"")</f>
        <v/>
      </c>
      <c r="AZ469" s="21" t="str">
        <f>IF(AND($AM469&lt;&gt;"",$AS469="✓"),SUMPRODUCT(($AM$11:$AM469&lt;&gt;"")*($AS$11:$AS469="✓")),"")</f>
        <v/>
      </c>
      <c r="BA469" s="21" t="str">
        <f>IF($AL469="","",$AL469&amp;"|"&amp;COUNTIF($AL$11:$AL469,$AL469))</f>
        <v/>
      </c>
    </row>
    <row r="470" spans="2:53" ht="15" customHeight="1" x14ac:dyDescent="0.25">
      <c r="B470" s="5" t="str">
        <f t="shared" si="92"/>
        <v/>
      </c>
      <c r="C470" s="5"/>
      <c r="D470" s="5"/>
      <c r="E470" s="5"/>
      <c r="F470" s="6"/>
      <c r="G470" s="6"/>
      <c r="H470" s="7"/>
      <c r="I470" s="8"/>
      <c r="W470" s="28" t="str">
        <f>IF(X470="","",IFERROR(INDEX($AL$11:$AL$4010,MATCH(460,$AY$11:$AY$4010,0)),""))</f>
        <v/>
      </c>
      <c r="X470" s="26" t="str">
        <f>IFERROR(INDEX($AM$11:$AM$4010,MATCH(460,$AY$11:$AY$4010,0)),"")</f>
        <v/>
      </c>
      <c r="Y470" s="25" t="str">
        <f>IF(X470="","",IFERROR(INDEX($AN$11:$AN$4010,MATCH(460,$AY$11:$AY$4010,0)),""))</f>
        <v/>
      </c>
      <c r="Z470" s="25" t="str">
        <f>IF(X470="","",IFERROR(INDEX($AO$11:$AO$4010,MATCH(460,$AY$11:$AY$4010,0)),""))</f>
        <v/>
      </c>
      <c r="AA470" s="24" t="str">
        <f>IF(X470="","",IFERROR(INDEX($AQ$11:$AQ$4010,MATCH(460,$AY$11:$AY$4010,0)),""))</f>
        <v/>
      </c>
      <c r="AB470" s="29" t="str">
        <f>IF(X470="","",IFERROR(INDEX($AR$11:$AR$4010,MATCH(460,$AY$11:$AY$4010,0)),""))</f>
        <v/>
      </c>
      <c r="AD470" s="30" t="str">
        <f>IF(AE470="","",IFERROR(INDEX($AL$11:$AL$4010,MATCH(460,$AZ$11:$AZ$4010,0)),""))</f>
        <v/>
      </c>
      <c r="AE470" s="26" t="str">
        <f>IFERROR(INDEX($AM$11:$AM$4010,MATCH(460,$AZ$11:$AZ$4010,0)),"")</f>
        <v/>
      </c>
      <c r="AF470" s="25" t="str">
        <f>IF(AE470="","",IFERROR(INDEX($AN$11:$AN$4010,MATCH(460,$AZ$11:$AZ$4010,0)),""))</f>
        <v/>
      </c>
      <c r="AG470" s="25" t="str">
        <f>IF(AE470="","",IFERROR(INDEX($AO$11:$AO$4010,MATCH(460,$AZ$11:$AZ$4010,0)),""))</f>
        <v/>
      </c>
      <c r="AH470" s="24" t="str">
        <f>IF(AE470="","",IFERROR(INDEX($AQ$11:$AQ$4010,MATCH(460,$AZ$11:$AZ$4010,0)),""))</f>
        <v/>
      </c>
      <c r="AI470" s="29" t="str">
        <f>IF(AE470="","",IFERROR(INDEX($AR$11:$AR$4010,MATCH(460,$AZ$11:$AZ$4010,0)),""))</f>
        <v/>
      </c>
      <c r="AJ470" s="29" t="str">
        <f>IF(AE470="","",IFERROR(INDEX($AT$11:$AT$4010,MATCH(460,$AZ$11:$AZ$4010,0)),""))</f>
        <v/>
      </c>
      <c r="AL470" s="31" t="str">
        <f t="shared" si="93"/>
        <v/>
      </c>
      <c r="AM470" s="26" t="str">
        <f t="shared" si="94"/>
        <v/>
      </c>
      <c r="AN470" s="32" t="str">
        <f t="shared" si="95"/>
        <v/>
      </c>
      <c r="AO470" s="32" t="str">
        <f t="shared" si="96"/>
        <v/>
      </c>
      <c r="AP470" s="24" t="str">
        <f t="shared" si="97"/>
        <v/>
      </c>
      <c r="AQ470" s="24" t="str">
        <f t="shared" si="98"/>
        <v/>
      </c>
      <c r="AR470" s="33" t="str">
        <f t="shared" si="99"/>
        <v/>
      </c>
      <c r="AS470" s="34"/>
      <c r="AT470" s="33"/>
      <c r="AV470" s="21">
        <f>IF(AND($AL470&lt;&gt;"",COUNTIF($AL$11:$AL470,$AL470)=1),1,0)</f>
        <v>0</v>
      </c>
      <c r="AW470" s="21">
        <f t="shared" si="101"/>
        <v>0</v>
      </c>
      <c r="AX470" s="21" t="str">
        <f t="shared" si="100"/>
        <v/>
      </c>
      <c r="AY470" s="21" t="str">
        <f>IF(AND($AM470&lt;&gt;"",$AS470&lt;&gt;"✓"),SUMPRODUCT(($AM$11:$AM470&lt;&gt;"")*($AS$11:$AS470&lt;&gt;"✓")),"")</f>
        <v/>
      </c>
      <c r="AZ470" s="21" t="str">
        <f>IF(AND($AM470&lt;&gt;"",$AS470="✓"),SUMPRODUCT(($AM$11:$AM470&lt;&gt;"")*($AS$11:$AS470="✓")),"")</f>
        <v/>
      </c>
      <c r="BA470" s="21" t="str">
        <f>IF($AL470="","",$AL470&amp;"|"&amp;COUNTIF($AL$11:$AL470,$AL470))</f>
        <v/>
      </c>
    </row>
    <row r="471" spans="2:53" ht="15" customHeight="1" x14ac:dyDescent="0.25">
      <c r="B471" s="5" t="str">
        <f t="shared" si="92"/>
        <v/>
      </c>
      <c r="C471" s="5"/>
      <c r="D471" s="5"/>
      <c r="E471" s="5"/>
      <c r="F471" s="6"/>
      <c r="G471" s="6"/>
      <c r="H471" s="7"/>
      <c r="I471" s="8"/>
      <c r="W471" s="14" t="str">
        <f>IF(X471="","",IFERROR(INDEX($AL$11:$AL$4010,MATCH(461,$AY$11:$AY$4010,0)),""))</f>
        <v/>
      </c>
      <c r="X471" s="12" t="str">
        <f>IFERROR(INDEX($AM$11:$AM$4010,MATCH(461,$AY$11:$AY$4010,0)),"")</f>
        <v/>
      </c>
      <c r="Y471" s="11" t="str">
        <f>IF(X471="","",IFERROR(INDEX($AN$11:$AN$4010,MATCH(461,$AY$11:$AY$4010,0)),""))</f>
        <v/>
      </c>
      <c r="Z471" s="11" t="str">
        <f>IF(X471="","",IFERROR(INDEX($AO$11:$AO$4010,MATCH(461,$AY$11:$AY$4010,0)),""))</f>
        <v/>
      </c>
      <c r="AA471" s="10" t="str">
        <f>IF(X471="","",IFERROR(INDEX($AQ$11:$AQ$4010,MATCH(461,$AY$11:$AY$4010,0)),""))</f>
        <v/>
      </c>
      <c r="AB471" s="15" t="str">
        <f>IF(X471="","",IFERROR(INDEX($AR$11:$AR$4010,MATCH(461,$AY$11:$AY$4010,0)),""))</f>
        <v/>
      </c>
      <c r="AD471" s="16" t="str">
        <f>IF(AE471="","",IFERROR(INDEX($AL$11:$AL$4010,MATCH(461,$AZ$11:$AZ$4010,0)),""))</f>
        <v/>
      </c>
      <c r="AE471" s="12" t="str">
        <f>IFERROR(INDEX($AM$11:$AM$4010,MATCH(461,$AZ$11:$AZ$4010,0)),"")</f>
        <v/>
      </c>
      <c r="AF471" s="11" t="str">
        <f>IF(AE471="","",IFERROR(INDEX($AN$11:$AN$4010,MATCH(461,$AZ$11:$AZ$4010,0)),""))</f>
        <v/>
      </c>
      <c r="AG471" s="11" t="str">
        <f>IF(AE471="","",IFERROR(INDEX($AO$11:$AO$4010,MATCH(461,$AZ$11:$AZ$4010,0)),""))</f>
        <v/>
      </c>
      <c r="AH471" s="10" t="str">
        <f>IF(AE471="","",IFERROR(INDEX($AQ$11:$AQ$4010,MATCH(461,$AZ$11:$AZ$4010,0)),""))</f>
        <v/>
      </c>
      <c r="AI471" s="15" t="str">
        <f>IF(AE471="","",IFERROR(INDEX($AR$11:$AR$4010,MATCH(461,$AZ$11:$AZ$4010,0)),""))</f>
        <v/>
      </c>
      <c r="AJ471" s="15" t="str">
        <f>IF(AE471="","",IFERROR(INDEX($AT$11:$AT$4010,MATCH(461,$AZ$11:$AZ$4010,0)),""))</f>
        <v/>
      </c>
      <c r="AL471" s="17" t="str">
        <f t="shared" si="93"/>
        <v/>
      </c>
      <c r="AM471" s="12" t="str">
        <f t="shared" si="94"/>
        <v/>
      </c>
      <c r="AN471" s="18" t="str">
        <f t="shared" si="95"/>
        <v/>
      </c>
      <c r="AO471" s="18" t="str">
        <f t="shared" si="96"/>
        <v/>
      </c>
      <c r="AP471" s="10" t="str">
        <f t="shared" si="97"/>
        <v/>
      </c>
      <c r="AQ471" s="10" t="str">
        <f t="shared" si="98"/>
        <v/>
      </c>
      <c r="AR471" s="19" t="str">
        <f t="shared" si="99"/>
        <v/>
      </c>
      <c r="AS471" s="20"/>
      <c r="AT471" s="19"/>
      <c r="AV471" s="21">
        <f>IF(AND($AL471&lt;&gt;"",COUNTIF($AL$11:$AL471,$AL471)=1),1,0)</f>
        <v>0</v>
      </c>
      <c r="AW471" s="21">
        <f t="shared" si="101"/>
        <v>0</v>
      </c>
      <c r="AX471" s="21" t="str">
        <f t="shared" si="100"/>
        <v/>
      </c>
      <c r="AY471" s="21" t="str">
        <f>IF(AND($AM471&lt;&gt;"",$AS471&lt;&gt;"✓"),SUMPRODUCT(($AM$11:$AM471&lt;&gt;"")*($AS$11:$AS471&lt;&gt;"✓")),"")</f>
        <v/>
      </c>
      <c r="AZ471" s="21" t="str">
        <f>IF(AND($AM471&lt;&gt;"",$AS471="✓"),SUMPRODUCT(($AM$11:$AM471&lt;&gt;"")*($AS$11:$AS471="✓")),"")</f>
        <v/>
      </c>
      <c r="BA471" s="21" t="str">
        <f>IF($AL471="","",$AL471&amp;"|"&amp;COUNTIF($AL$11:$AL471,$AL471))</f>
        <v/>
      </c>
    </row>
    <row r="472" spans="2:53" ht="15" customHeight="1" x14ac:dyDescent="0.25">
      <c r="B472" s="5" t="str">
        <f t="shared" si="92"/>
        <v/>
      </c>
      <c r="C472" s="5"/>
      <c r="D472" s="5"/>
      <c r="E472" s="5"/>
      <c r="F472" s="6"/>
      <c r="G472" s="6"/>
      <c r="H472" s="7"/>
      <c r="I472" s="8"/>
      <c r="W472" s="28" t="str">
        <f>IF(X472="","",IFERROR(INDEX($AL$11:$AL$4010,MATCH(462,$AY$11:$AY$4010,0)),""))</f>
        <v/>
      </c>
      <c r="X472" s="26" t="str">
        <f>IFERROR(INDEX($AM$11:$AM$4010,MATCH(462,$AY$11:$AY$4010,0)),"")</f>
        <v/>
      </c>
      <c r="Y472" s="25" t="str">
        <f>IF(X472="","",IFERROR(INDEX($AN$11:$AN$4010,MATCH(462,$AY$11:$AY$4010,0)),""))</f>
        <v/>
      </c>
      <c r="Z472" s="25" t="str">
        <f>IF(X472="","",IFERROR(INDEX($AO$11:$AO$4010,MATCH(462,$AY$11:$AY$4010,0)),""))</f>
        <v/>
      </c>
      <c r="AA472" s="24" t="str">
        <f>IF(X472="","",IFERROR(INDEX($AQ$11:$AQ$4010,MATCH(462,$AY$11:$AY$4010,0)),""))</f>
        <v/>
      </c>
      <c r="AB472" s="29" t="str">
        <f>IF(X472="","",IFERROR(INDEX($AR$11:$AR$4010,MATCH(462,$AY$11:$AY$4010,0)),""))</f>
        <v/>
      </c>
      <c r="AD472" s="30" t="str">
        <f>IF(AE472="","",IFERROR(INDEX($AL$11:$AL$4010,MATCH(462,$AZ$11:$AZ$4010,0)),""))</f>
        <v/>
      </c>
      <c r="AE472" s="26" t="str">
        <f>IFERROR(INDEX($AM$11:$AM$4010,MATCH(462,$AZ$11:$AZ$4010,0)),"")</f>
        <v/>
      </c>
      <c r="AF472" s="25" t="str">
        <f>IF(AE472="","",IFERROR(INDEX($AN$11:$AN$4010,MATCH(462,$AZ$11:$AZ$4010,0)),""))</f>
        <v/>
      </c>
      <c r="AG472" s="25" t="str">
        <f>IF(AE472="","",IFERROR(INDEX($AO$11:$AO$4010,MATCH(462,$AZ$11:$AZ$4010,0)),""))</f>
        <v/>
      </c>
      <c r="AH472" s="24" t="str">
        <f>IF(AE472="","",IFERROR(INDEX($AQ$11:$AQ$4010,MATCH(462,$AZ$11:$AZ$4010,0)),""))</f>
        <v/>
      </c>
      <c r="AI472" s="29" t="str">
        <f>IF(AE472="","",IFERROR(INDEX($AR$11:$AR$4010,MATCH(462,$AZ$11:$AZ$4010,0)),""))</f>
        <v/>
      </c>
      <c r="AJ472" s="29" t="str">
        <f>IF(AE472="","",IFERROR(INDEX($AT$11:$AT$4010,MATCH(462,$AZ$11:$AZ$4010,0)),""))</f>
        <v/>
      </c>
      <c r="AL472" s="31" t="str">
        <f t="shared" si="93"/>
        <v/>
      </c>
      <c r="AM472" s="26" t="str">
        <f t="shared" si="94"/>
        <v/>
      </c>
      <c r="AN472" s="32" t="str">
        <f t="shared" si="95"/>
        <v/>
      </c>
      <c r="AO472" s="32" t="str">
        <f t="shared" si="96"/>
        <v/>
      </c>
      <c r="AP472" s="24" t="str">
        <f t="shared" si="97"/>
        <v/>
      </c>
      <c r="AQ472" s="24" t="str">
        <f t="shared" si="98"/>
        <v/>
      </c>
      <c r="AR472" s="33" t="str">
        <f t="shared" si="99"/>
        <v/>
      </c>
      <c r="AS472" s="34"/>
      <c r="AT472" s="33"/>
      <c r="AV472" s="21">
        <f>IF(AND($AL472&lt;&gt;"",COUNTIF($AL$11:$AL472,$AL472)=1),1,0)</f>
        <v>0</v>
      </c>
      <c r="AW472" s="21">
        <f t="shared" si="101"/>
        <v>0</v>
      </c>
      <c r="AX472" s="21" t="str">
        <f t="shared" si="100"/>
        <v/>
      </c>
      <c r="AY472" s="21" t="str">
        <f>IF(AND($AM472&lt;&gt;"",$AS472&lt;&gt;"✓"),SUMPRODUCT(($AM$11:$AM472&lt;&gt;"")*($AS$11:$AS472&lt;&gt;"✓")),"")</f>
        <v/>
      </c>
      <c r="AZ472" s="21" t="str">
        <f>IF(AND($AM472&lt;&gt;"",$AS472="✓"),SUMPRODUCT(($AM$11:$AM472&lt;&gt;"")*($AS$11:$AS472="✓")),"")</f>
        <v/>
      </c>
      <c r="BA472" s="21" t="str">
        <f>IF($AL472="","",$AL472&amp;"|"&amp;COUNTIF($AL$11:$AL472,$AL472))</f>
        <v/>
      </c>
    </row>
    <row r="473" spans="2:53" ht="15" customHeight="1" x14ac:dyDescent="0.25">
      <c r="B473" s="5" t="str">
        <f t="shared" si="92"/>
        <v/>
      </c>
      <c r="C473" s="5"/>
      <c r="D473" s="5"/>
      <c r="E473" s="5"/>
      <c r="F473" s="6"/>
      <c r="G473" s="6"/>
      <c r="H473" s="7"/>
      <c r="I473" s="8"/>
      <c r="W473" s="14" t="str">
        <f>IF(X473="","",IFERROR(INDEX($AL$11:$AL$4010,MATCH(463,$AY$11:$AY$4010,0)),""))</f>
        <v/>
      </c>
      <c r="X473" s="12" t="str">
        <f>IFERROR(INDEX($AM$11:$AM$4010,MATCH(463,$AY$11:$AY$4010,0)),"")</f>
        <v/>
      </c>
      <c r="Y473" s="11" t="str">
        <f>IF(X473="","",IFERROR(INDEX($AN$11:$AN$4010,MATCH(463,$AY$11:$AY$4010,0)),""))</f>
        <v/>
      </c>
      <c r="Z473" s="11" t="str">
        <f>IF(X473="","",IFERROR(INDEX($AO$11:$AO$4010,MATCH(463,$AY$11:$AY$4010,0)),""))</f>
        <v/>
      </c>
      <c r="AA473" s="10" t="str">
        <f>IF(X473="","",IFERROR(INDEX($AQ$11:$AQ$4010,MATCH(463,$AY$11:$AY$4010,0)),""))</f>
        <v/>
      </c>
      <c r="AB473" s="15" t="str">
        <f>IF(X473="","",IFERROR(INDEX($AR$11:$AR$4010,MATCH(463,$AY$11:$AY$4010,0)),""))</f>
        <v/>
      </c>
      <c r="AD473" s="16" t="str">
        <f>IF(AE473="","",IFERROR(INDEX($AL$11:$AL$4010,MATCH(463,$AZ$11:$AZ$4010,0)),""))</f>
        <v/>
      </c>
      <c r="AE473" s="12" t="str">
        <f>IFERROR(INDEX($AM$11:$AM$4010,MATCH(463,$AZ$11:$AZ$4010,0)),"")</f>
        <v/>
      </c>
      <c r="AF473" s="11" t="str">
        <f>IF(AE473="","",IFERROR(INDEX($AN$11:$AN$4010,MATCH(463,$AZ$11:$AZ$4010,0)),""))</f>
        <v/>
      </c>
      <c r="AG473" s="11" t="str">
        <f>IF(AE473="","",IFERROR(INDEX($AO$11:$AO$4010,MATCH(463,$AZ$11:$AZ$4010,0)),""))</f>
        <v/>
      </c>
      <c r="AH473" s="10" t="str">
        <f>IF(AE473="","",IFERROR(INDEX($AQ$11:$AQ$4010,MATCH(463,$AZ$11:$AZ$4010,0)),""))</f>
        <v/>
      </c>
      <c r="AI473" s="15" t="str">
        <f>IF(AE473="","",IFERROR(INDEX($AR$11:$AR$4010,MATCH(463,$AZ$11:$AZ$4010,0)),""))</f>
        <v/>
      </c>
      <c r="AJ473" s="15" t="str">
        <f>IF(AE473="","",IFERROR(INDEX($AT$11:$AT$4010,MATCH(463,$AZ$11:$AZ$4010,0)),""))</f>
        <v/>
      </c>
      <c r="AL473" s="17" t="str">
        <f t="shared" si="93"/>
        <v/>
      </c>
      <c r="AM473" s="12" t="str">
        <f t="shared" si="94"/>
        <v/>
      </c>
      <c r="AN473" s="18" t="str">
        <f t="shared" si="95"/>
        <v/>
      </c>
      <c r="AO473" s="18" t="str">
        <f t="shared" si="96"/>
        <v/>
      </c>
      <c r="AP473" s="10" t="str">
        <f t="shared" si="97"/>
        <v/>
      </c>
      <c r="AQ473" s="10" t="str">
        <f t="shared" si="98"/>
        <v/>
      </c>
      <c r="AR473" s="19" t="str">
        <f t="shared" si="99"/>
        <v/>
      </c>
      <c r="AS473" s="20"/>
      <c r="AT473" s="19"/>
      <c r="AV473" s="21">
        <f>IF(AND($AL473&lt;&gt;"",COUNTIF($AL$11:$AL473,$AL473)=1),1,0)</f>
        <v>0</v>
      </c>
      <c r="AW473" s="21">
        <f t="shared" si="101"/>
        <v>0</v>
      </c>
      <c r="AX473" s="21" t="str">
        <f t="shared" si="100"/>
        <v/>
      </c>
      <c r="AY473" s="21" t="str">
        <f>IF(AND($AM473&lt;&gt;"",$AS473&lt;&gt;"✓"),SUMPRODUCT(($AM$11:$AM473&lt;&gt;"")*($AS$11:$AS473&lt;&gt;"✓")),"")</f>
        <v/>
      </c>
      <c r="AZ473" s="21" t="str">
        <f>IF(AND($AM473&lt;&gt;"",$AS473="✓"),SUMPRODUCT(($AM$11:$AM473&lt;&gt;"")*($AS$11:$AS473="✓")),"")</f>
        <v/>
      </c>
      <c r="BA473" s="21" t="str">
        <f>IF($AL473="","",$AL473&amp;"|"&amp;COUNTIF($AL$11:$AL473,$AL473))</f>
        <v/>
      </c>
    </row>
    <row r="474" spans="2:53" ht="15" customHeight="1" x14ac:dyDescent="0.25">
      <c r="B474" s="5" t="str">
        <f t="shared" si="92"/>
        <v/>
      </c>
      <c r="C474" s="5"/>
      <c r="D474" s="5"/>
      <c r="E474" s="5"/>
      <c r="F474" s="6"/>
      <c r="G474" s="6"/>
      <c r="H474" s="7"/>
      <c r="I474" s="8"/>
      <c r="W474" s="28" t="str">
        <f>IF(X474="","",IFERROR(INDEX($AL$11:$AL$4010,MATCH(464,$AY$11:$AY$4010,0)),""))</f>
        <v/>
      </c>
      <c r="X474" s="26" t="str">
        <f>IFERROR(INDEX($AM$11:$AM$4010,MATCH(464,$AY$11:$AY$4010,0)),"")</f>
        <v/>
      </c>
      <c r="Y474" s="25" t="str">
        <f>IF(X474="","",IFERROR(INDEX($AN$11:$AN$4010,MATCH(464,$AY$11:$AY$4010,0)),""))</f>
        <v/>
      </c>
      <c r="Z474" s="25" t="str">
        <f>IF(X474="","",IFERROR(INDEX($AO$11:$AO$4010,MATCH(464,$AY$11:$AY$4010,0)),""))</f>
        <v/>
      </c>
      <c r="AA474" s="24" t="str">
        <f>IF(X474="","",IFERROR(INDEX($AQ$11:$AQ$4010,MATCH(464,$AY$11:$AY$4010,0)),""))</f>
        <v/>
      </c>
      <c r="AB474" s="29" t="str">
        <f>IF(X474="","",IFERROR(INDEX($AR$11:$AR$4010,MATCH(464,$AY$11:$AY$4010,0)),""))</f>
        <v/>
      </c>
      <c r="AD474" s="30" t="str">
        <f>IF(AE474="","",IFERROR(INDEX($AL$11:$AL$4010,MATCH(464,$AZ$11:$AZ$4010,0)),""))</f>
        <v/>
      </c>
      <c r="AE474" s="26" t="str">
        <f>IFERROR(INDEX($AM$11:$AM$4010,MATCH(464,$AZ$11:$AZ$4010,0)),"")</f>
        <v/>
      </c>
      <c r="AF474" s="25" t="str">
        <f>IF(AE474="","",IFERROR(INDEX($AN$11:$AN$4010,MATCH(464,$AZ$11:$AZ$4010,0)),""))</f>
        <v/>
      </c>
      <c r="AG474" s="25" t="str">
        <f>IF(AE474="","",IFERROR(INDEX($AO$11:$AO$4010,MATCH(464,$AZ$11:$AZ$4010,0)),""))</f>
        <v/>
      </c>
      <c r="AH474" s="24" t="str">
        <f>IF(AE474="","",IFERROR(INDEX($AQ$11:$AQ$4010,MATCH(464,$AZ$11:$AZ$4010,0)),""))</f>
        <v/>
      </c>
      <c r="AI474" s="29" t="str">
        <f>IF(AE474="","",IFERROR(INDEX($AR$11:$AR$4010,MATCH(464,$AZ$11:$AZ$4010,0)),""))</f>
        <v/>
      </c>
      <c r="AJ474" s="29" t="str">
        <f>IF(AE474="","",IFERROR(INDEX($AT$11:$AT$4010,MATCH(464,$AZ$11:$AZ$4010,0)),""))</f>
        <v/>
      </c>
      <c r="AL474" s="31" t="str">
        <f t="shared" si="93"/>
        <v/>
      </c>
      <c r="AM474" s="26" t="str">
        <f t="shared" si="94"/>
        <v/>
      </c>
      <c r="AN474" s="32" t="str">
        <f t="shared" si="95"/>
        <v/>
      </c>
      <c r="AO474" s="32" t="str">
        <f t="shared" si="96"/>
        <v/>
      </c>
      <c r="AP474" s="24" t="str">
        <f t="shared" si="97"/>
        <v/>
      </c>
      <c r="AQ474" s="24" t="str">
        <f t="shared" si="98"/>
        <v/>
      </c>
      <c r="AR474" s="33" t="str">
        <f t="shared" si="99"/>
        <v/>
      </c>
      <c r="AS474" s="34"/>
      <c r="AT474" s="33"/>
      <c r="AV474" s="21">
        <f>IF(AND($AL474&lt;&gt;"",COUNTIF($AL$11:$AL474,$AL474)=1),1,0)</f>
        <v>0</v>
      </c>
      <c r="AW474" s="21">
        <f t="shared" si="101"/>
        <v>0</v>
      </c>
      <c r="AX474" s="21" t="str">
        <f t="shared" si="100"/>
        <v/>
      </c>
      <c r="AY474" s="21" t="str">
        <f>IF(AND($AM474&lt;&gt;"",$AS474&lt;&gt;"✓"),SUMPRODUCT(($AM$11:$AM474&lt;&gt;"")*($AS$11:$AS474&lt;&gt;"✓")),"")</f>
        <v/>
      </c>
      <c r="AZ474" s="21" t="str">
        <f>IF(AND($AM474&lt;&gt;"",$AS474="✓"),SUMPRODUCT(($AM$11:$AM474&lt;&gt;"")*($AS$11:$AS474="✓")),"")</f>
        <v/>
      </c>
      <c r="BA474" s="21" t="str">
        <f>IF($AL474="","",$AL474&amp;"|"&amp;COUNTIF($AL$11:$AL474,$AL474))</f>
        <v/>
      </c>
    </row>
    <row r="475" spans="2:53" ht="15" customHeight="1" x14ac:dyDescent="0.25">
      <c r="B475" s="5" t="str">
        <f t="shared" si="92"/>
        <v/>
      </c>
      <c r="C475" s="5"/>
      <c r="D475" s="5"/>
      <c r="E475" s="5"/>
      <c r="F475" s="6"/>
      <c r="G475" s="6"/>
      <c r="H475" s="7"/>
      <c r="I475" s="8"/>
      <c r="W475" s="14" t="str">
        <f>IF(X475="","",IFERROR(INDEX($AL$11:$AL$4010,MATCH(465,$AY$11:$AY$4010,0)),""))</f>
        <v/>
      </c>
      <c r="X475" s="12" t="str">
        <f>IFERROR(INDEX($AM$11:$AM$4010,MATCH(465,$AY$11:$AY$4010,0)),"")</f>
        <v/>
      </c>
      <c r="Y475" s="11" t="str">
        <f>IF(X475="","",IFERROR(INDEX($AN$11:$AN$4010,MATCH(465,$AY$11:$AY$4010,0)),""))</f>
        <v/>
      </c>
      <c r="Z475" s="11" t="str">
        <f>IF(X475="","",IFERROR(INDEX($AO$11:$AO$4010,MATCH(465,$AY$11:$AY$4010,0)),""))</f>
        <v/>
      </c>
      <c r="AA475" s="10" t="str">
        <f>IF(X475="","",IFERROR(INDEX($AQ$11:$AQ$4010,MATCH(465,$AY$11:$AY$4010,0)),""))</f>
        <v/>
      </c>
      <c r="AB475" s="15" t="str">
        <f>IF(X475="","",IFERROR(INDEX($AR$11:$AR$4010,MATCH(465,$AY$11:$AY$4010,0)),""))</f>
        <v/>
      </c>
      <c r="AD475" s="16" t="str">
        <f>IF(AE475="","",IFERROR(INDEX($AL$11:$AL$4010,MATCH(465,$AZ$11:$AZ$4010,0)),""))</f>
        <v/>
      </c>
      <c r="AE475" s="12" t="str">
        <f>IFERROR(INDEX($AM$11:$AM$4010,MATCH(465,$AZ$11:$AZ$4010,0)),"")</f>
        <v/>
      </c>
      <c r="AF475" s="11" t="str">
        <f>IF(AE475="","",IFERROR(INDEX($AN$11:$AN$4010,MATCH(465,$AZ$11:$AZ$4010,0)),""))</f>
        <v/>
      </c>
      <c r="AG475" s="11" t="str">
        <f>IF(AE475="","",IFERROR(INDEX($AO$11:$AO$4010,MATCH(465,$AZ$11:$AZ$4010,0)),""))</f>
        <v/>
      </c>
      <c r="AH475" s="10" t="str">
        <f>IF(AE475="","",IFERROR(INDEX($AQ$11:$AQ$4010,MATCH(465,$AZ$11:$AZ$4010,0)),""))</f>
        <v/>
      </c>
      <c r="AI475" s="15" t="str">
        <f>IF(AE475="","",IFERROR(INDEX($AR$11:$AR$4010,MATCH(465,$AZ$11:$AZ$4010,0)),""))</f>
        <v/>
      </c>
      <c r="AJ475" s="15" t="str">
        <f>IF(AE475="","",IFERROR(INDEX($AT$11:$AT$4010,MATCH(465,$AZ$11:$AZ$4010,0)),""))</f>
        <v/>
      </c>
      <c r="AL475" s="17" t="str">
        <f t="shared" si="93"/>
        <v/>
      </c>
      <c r="AM475" s="12" t="str">
        <f t="shared" si="94"/>
        <v/>
      </c>
      <c r="AN475" s="18" t="str">
        <f t="shared" si="95"/>
        <v/>
      </c>
      <c r="AO475" s="18" t="str">
        <f t="shared" si="96"/>
        <v/>
      </c>
      <c r="AP475" s="10" t="str">
        <f t="shared" si="97"/>
        <v/>
      </c>
      <c r="AQ475" s="10" t="str">
        <f t="shared" si="98"/>
        <v/>
      </c>
      <c r="AR475" s="19" t="str">
        <f t="shared" si="99"/>
        <v/>
      </c>
      <c r="AS475" s="20"/>
      <c r="AT475" s="19"/>
      <c r="AV475" s="21">
        <f>IF(AND($AL475&lt;&gt;"",COUNTIF($AL$11:$AL475,$AL475)=1),1,0)</f>
        <v>0</v>
      </c>
      <c r="AW475" s="21">
        <f t="shared" si="101"/>
        <v>0</v>
      </c>
      <c r="AX475" s="21" t="str">
        <f t="shared" si="100"/>
        <v/>
      </c>
      <c r="AY475" s="21" t="str">
        <f>IF(AND($AM475&lt;&gt;"",$AS475&lt;&gt;"✓"),SUMPRODUCT(($AM$11:$AM475&lt;&gt;"")*($AS$11:$AS475&lt;&gt;"✓")),"")</f>
        <v/>
      </c>
      <c r="AZ475" s="21" t="str">
        <f>IF(AND($AM475&lt;&gt;"",$AS475="✓"),SUMPRODUCT(($AM$11:$AM475&lt;&gt;"")*($AS$11:$AS475="✓")),"")</f>
        <v/>
      </c>
      <c r="BA475" s="21" t="str">
        <f>IF($AL475="","",$AL475&amp;"|"&amp;COUNTIF($AL$11:$AL475,$AL475))</f>
        <v/>
      </c>
    </row>
    <row r="476" spans="2:53" ht="15" customHeight="1" x14ac:dyDescent="0.25">
      <c r="B476" s="5" t="str">
        <f t="shared" si="92"/>
        <v/>
      </c>
      <c r="C476" s="5"/>
      <c r="D476" s="5"/>
      <c r="E476" s="5"/>
      <c r="F476" s="6"/>
      <c r="G476" s="6"/>
      <c r="H476" s="7"/>
      <c r="I476" s="8"/>
      <c r="W476" s="28" t="str">
        <f>IF(X476="","",IFERROR(INDEX($AL$11:$AL$4010,MATCH(466,$AY$11:$AY$4010,0)),""))</f>
        <v/>
      </c>
      <c r="X476" s="26" t="str">
        <f>IFERROR(INDEX($AM$11:$AM$4010,MATCH(466,$AY$11:$AY$4010,0)),"")</f>
        <v/>
      </c>
      <c r="Y476" s="25" t="str">
        <f>IF(X476="","",IFERROR(INDEX($AN$11:$AN$4010,MATCH(466,$AY$11:$AY$4010,0)),""))</f>
        <v/>
      </c>
      <c r="Z476" s="25" t="str">
        <f>IF(X476="","",IFERROR(INDEX($AO$11:$AO$4010,MATCH(466,$AY$11:$AY$4010,0)),""))</f>
        <v/>
      </c>
      <c r="AA476" s="24" t="str">
        <f>IF(X476="","",IFERROR(INDEX($AQ$11:$AQ$4010,MATCH(466,$AY$11:$AY$4010,0)),""))</f>
        <v/>
      </c>
      <c r="AB476" s="29" t="str">
        <f>IF(X476="","",IFERROR(INDEX($AR$11:$AR$4010,MATCH(466,$AY$11:$AY$4010,0)),""))</f>
        <v/>
      </c>
      <c r="AD476" s="30" t="str">
        <f>IF(AE476="","",IFERROR(INDEX($AL$11:$AL$4010,MATCH(466,$AZ$11:$AZ$4010,0)),""))</f>
        <v/>
      </c>
      <c r="AE476" s="26" t="str">
        <f>IFERROR(INDEX($AM$11:$AM$4010,MATCH(466,$AZ$11:$AZ$4010,0)),"")</f>
        <v/>
      </c>
      <c r="AF476" s="25" t="str">
        <f>IF(AE476="","",IFERROR(INDEX($AN$11:$AN$4010,MATCH(466,$AZ$11:$AZ$4010,0)),""))</f>
        <v/>
      </c>
      <c r="AG476" s="25" t="str">
        <f>IF(AE476="","",IFERROR(INDEX($AO$11:$AO$4010,MATCH(466,$AZ$11:$AZ$4010,0)),""))</f>
        <v/>
      </c>
      <c r="AH476" s="24" t="str">
        <f>IF(AE476="","",IFERROR(INDEX($AQ$11:$AQ$4010,MATCH(466,$AZ$11:$AZ$4010,0)),""))</f>
        <v/>
      </c>
      <c r="AI476" s="29" t="str">
        <f>IF(AE476="","",IFERROR(INDEX($AR$11:$AR$4010,MATCH(466,$AZ$11:$AZ$4010,0)),""))</f>
        <v/>
      </c>
      <c r="AJ476" s="29" t="str">
        <f>IF(AE476="","",IFERROR(INDEX($AT$11:$AT$4010,MATCH(466,$AZ$11:$AZ$4010,0)),""))</f>
        <v/>
      </c>
      <c r="AL476" s="31" t="str">
        <f t="shared" si="93"/>
        <v/>
      </c>
      <c r="AM476" s="26" t="str">
        <f t="shared" si="94"/>
        <v/>
      </c>
      <c r="AN476" s="32" t="str">
        <f t="shared" si="95"/>
        <v/>
      </c>
      <c r="AO476" s="32" t="str">
        <f t="shared" si="96"/>
        <v/>
      </c>
      <c r="AP476" s="24" t="str">
        <f t="shared" si="97"/>
        <v/>
      </c>
      <c r="AQ476" s="24" t="str">
        <f t="shared" si="98"/>
        <v/>
      </c>
      <c r="AR476" s="33" t="str">
        <f t="shared" si="99"/>
        <v/>
      </c>
      <c r="AS476" s="34"/>
      <c r="AT476" s="33"/>
      <c r="AV476" s="21">
        <f>IF(AND($AL476&lt;&gt;"",COUNTIF($AL$11:$AL476,$AL476)=1),1,0)</f>
        <v>0</v>
      </c>
      <c r="AW476" s="21">
        <f t="shared" si="101"/>
        <v>0</v>
      </c>
      <c r="AX476" s="21" t="str">
        <f t="shared" si="100"/>
        <v/>
      </c>
      <c r="AY476" s="21" t="str">
        <f>IF(AND($AM476&lt;&gt;"",$AS476&lt;&gt;"✓"),SUMPRODUCT(($AM$11:$AM476&lt;&gt;"")*($AS$11:$AS476&lt;&gt;"✓")),"")</f>
        <v/>
      </c>
      <c r="AZ476" s="21" t="str">
        <f>IF(AND($AM476&lt;&gt;"",$AS476="✓"),SUMPRODUCT(($AM$11:$AM476&lt;&gt;"")*($AS$11:$AS476="✓")),"")</f>
        <v/>
      </c>
      <c r="BA476" s="21" t="str">
        <f>IF($AL476="","",$AL476&amp;"|"&amp;COUNTIF($AL$11:$AL476,$AL476))</f>
        <v/>
      </c>
    </row>
    <row r="477" spans="2:53" ht="15" customHeight="1" x14ac:dyDescent="0.25">
      <c r="B477" s="5" t="str">
        <f t="shared" si="92"/>
        <v/>
      </c>
      <c r="C477" s="5"/>
      <c r="D477" s="5"/>
      <c r="E477" s="5"/>
      <c r="F477" s="6"/>
      <c r="G477" s="6"/>
      <c r="H477" s="7"/>
      <c r="I477" s="8"/>
      <c r="W477" s="14" t="str">
        <f>IF(X477="","",IFERROR(INDEX($AL$11:$AL$4010,MATCH(467,$AY$11:$AY$4010,0)),""))</f>
        <v/>
      </c>
      <c r="X477" s="12" t="str">
        <f>IFERROR(INDEX($AM$11:$AM$4010,MATCH(467,$AY$11:$AY$4010,0)),"")</f>
        <v/>
      </c>
      <c r="Y477" s="11" t="str">
        <f>IF(X477="","",IFERROR(INDEX($AN$11:$AN$4010,MATCH(467,$AY$11:$AY$4010,0)),""))</f>
        <v/>
      </c>
      <c r="Z477" s="11" t="str">
        <f>IF(X477="","",IFERROR(INDEX($AO$11:$AO$4010,MATCH(467,$AY$11:$AY$4010,0)),""))</f>
        <v/>
      </c>
      <c r="AA477" s="10" t="str">
        <f>IF(X477="","",IFERROR(INDEX($AQ$11:$AQ$4010,MATCH(467,$AY$11:$AY$4010,0)),""))</f>
        <v/>
      </c>
      <c r="AB477" s="15" t="str">
        <f>IF(X477="","",IFERROR(INDEX($AR$11:$AR$4010,MATCH(467,$AY$11:$AY$4010,0)),""))</f>
        <v/>
      </c>
      <c r="AD477" s="16" t="str">
        <f>IF(AE477="","",IFERROR(INDEX($AL$11:$AL$4010,MATCH(467,$AZ$11:$AZ$4010,0)),""))</f>
        <v/>
      </c>
      <c r="AE477" s="12" t="str">
        <f>IFERROR(INDEX($AM$11:$AM$4010,MATCH(467,$AZ$11:$AZ$4010,0)),"")</f>
        <v/>
      </c>
      <c r="AF477" s="11" t="str">
        <f>IF(AE477="","",IFERROR(INDEX($AN$11:$AN$4010,MATCH(467,$AZ$11:$AZ$4010,0)),""))</f>
        <v/>
      </c>
      <c r="AG477" s="11" t="str">
        <f>IF(AE477="","",IFERROR(INDEX($AO$11:$AO$4010,MATCH(467,$AZ$11:$AZ$4010,0)),""))</f>
        <v/>
      </c>
      <c r="AH477" s="10" t="str">
        <f>IF(AE477="","",IFERROR(INDEX($AQ$11:$AQ$4010,MATCH(467,$AZ$11:$AZ$4010,0)),""))</f>
        <v/>
      </c>
      <c r="AI477" s="15" t="str">
        <f>IF(AE477="","",IFERROR(INDEX($AR$11:$AR$4010,MATCH(467,$AZ$11:$AZ$4010,0)),""))</f>
        <v/>
      </c>
      <c r="AJ477" s="15" t="str">
        <f>IF(AE477="","",IFERROR(INDEX($AT$11:$AT$4010,MATCH(467,$AZ$11:$AZ$4010,0)),""))</f>
        <v/>
      </c>
      <c r="AL477" s="17" t="str">
        <f t="shared" si="93"/>
        <v/>
      </c>
      <c r="AM477" s="12" t="str">
        <f t="shared" si="94"/>
        <v/>
      </c>
      <c r="AN477" s="18" t="str">
        <f t="shared" si="95"/>
        <v/>
      </c>
      <c r="AO477" s="18" t="str">
        <f t="shared" si="96"/>
        <v/>
      </c>
      <c r="AP477" s="10" t="str">
        <f t="shared" si="97"/>
        <v/>
      </c>
      <c r="AQ477" s="10" t="str">
        <f t="shared" si="98"/>
        <v/>
      </c>
      <c r="AR477" s="19" t="str">
        <f t="shared" si="99"/>
        <v/>
      </c>
      <c r="AS477" s="20"/>
      <c r="AT477" s="19"/>
      <c r="AV477" s="21">
        <f>IF(AND($AL477&lt;&gt;"",COUNTIF($AL$11:$AL477,$AL477)=1),1,0)</f>
        <v>0</v>
      </c>
      <c r="AW477" s="21">
        <f t="shared" si="101"/>
        <v>0</v>
      </c>
      <c r="AX477" s="21" t="str">
        <f t="shared" si="100"/>
        <v/>
      </c>
      <c r="AY477" s="21" t="str">
        <f>IF(AND($AM477&lt;&gt;"",$AS477&lt;&gt;"✓"),SUMPRODUCT(($AM$11:$AM477&lt;&gt;"")*($AS$11:$AS477&lt;&gt;"✓")),"")</f>
        <v/>
      </c>
      <c r="AZ477" s="21" t="str">
        <f>IF(AND($AM477&lt;&gt;"",$AS477="✓"),SUMPRODUCT(($AM$11:$AM477&lt;&gt;"")*($AS$11:$AS477="✓")),"")</f>
        <v/>
      </c>
      <c r="BA477" s="21" t="str">
        <f>IF($AL477="","",$AL477&amp;"|"&amp;COUNTIF($AL$11:$AL477,$AL477))</f>
        <v/>
      </c>
    </row>
    <row r="478" spans="2:53" ht="15" customHeight="1" x14ac:dyDescent="0.25">
      <c r="B478" s="5" t="str">
        <f t="shared" si="92"/>
        <v/>
      </c>
      <c r="C478" s="5"/>
      <c r="D478" s="5"/>
      <c r="E478" s="5"/>
      <c r="F478" s="6"/>
      <c r="G478" s="6"/>
      <c r="H478" s="7"/>
      <c r="I478" s="8"/>
      <c r="W478" s="28" t="str">
        <f>IF(X478="","",IFERROR(INDEX($AL$11:$AL$4010,MATCH(468,$AY$11:$AY$4010,0)),""))</f>
        <v/>
      </c>
      <c r="X478" s="26" t="str">
        <f>IFERROR(INDEX($AM$11:$AM$4010,MATCH(468,$AY$11:$AY$4010,0)),"")</f>
        <v/>
      </c>
      <c r="Y478" s="25" t="str">
        <f>IF(X478="","",IFERROR(INDEX($AN$11:$AN$4010,MATCH(468,$AY$11:$AY$4010,0)),""))</f>
        <v/>
      </c>
      <c r="Z478" s="25" t="str">
        <f>IF(X478="","",IFERROR(INDEX($AO$11:$AO$4010,MATCH(468,$AY$11:$AY$4010,0)),""))</f>
        <v/>
      </c>
      <c r="AA478" s="24" t="str">
        <f>IF(X478="","",IFERROR(INDEX($AQ$11:$AQ$4010,MATCH(468,$AY$11:$AY$4010,0)),""))</f>
        <v/>
      </c>
      <c r="AB478" s="29" t="str">
        <f>IF(X478="","",IFERROR(INDEX($AR$11:$AR$4010,MATCH(468,$AY$11:$AY$4010,0)),""))</f>
        <v/>
      </c>
      <c r="AD478" s="30" t="str">
        <f>IF(AE478="","",IFERROR(INDEX($AL$11:$AL$4010,MATCH(468,$AZ$11:$AZ$4010,0)),""))</f>
        <v/>
      </c>
      <c r="AE478" s="26" t="str">
        <f>IFERROR(INDEX($AM$11:$AM$4010,MATCH(468,$AZ$11:$AZ$4010,0)),"")</f>
        <v/>
      </c>
      <c r="AF478" s="25" t="str">
        <f>IF(AE478="","",IFERROR(INDEX($AN$11:$AN$4010,MATCH(468,$AZ$11:$AZ$4010,0)),""))</f>
        <v/>
      </c>
      <c r="AG478" s="25" t="str">
        <f>IF(AE478="","",IFERROR(INDEX($AO$11:$AO$4010,MATCH(468,$AZ$11:$AZ$4010,0)),""))</f>
        <v/>
      </c>
      <c r="AH478" s="24" t="str">
        <f>IF(AE478="","",IFERROR(INDEX($AQ$11:$AQ$4010,MATCH(468,$AZ$11:$AZ$4010,0)),""))</f>
        <v/>
      </c>
      <c r="AI478" s="29" t="str">
        <f>IF(AE478="","",IFERROR(INDEX($AR$11:$AR$4010,MATCH(468,$AZ$11:$AZ$4010,0)),""))</f>
        <v/>
      </c>
      <c r="AJ478" s="29" t="str">
        <f>IF(AE478="","",IFERROR(INDEX($AT$11:$AT$4010,MATCH(468,$AZ$11:$AZ$4010,0)),""))</f>
        <v/>
      </c>
      <c r="AL478" s="31" t="str">
        <f t="shared" si="93"/>
        <v/>
      </c>
      <c r="AM478" s="26" t="str">
        <f t="shared" si="94"/>
        <v/>
      </c>
      <c r="AN478" s="32" t="str">
        <f t="shared" si="95"/>
        <v/>
      </c>
      <c r="AO478" s="32" t="str">
        <f t="shared" si="96"/>
        <v/>
      </c>
      <c r="AP478" s="24" t="str">
        <f t="shared" si="97"/>
        <v/>
      </c>
      <c r="AQ478" s="24" t="str">
        <f t="shared" si="98"/>
        <v/>
      </c>
      <c r="AR478" s="33" t="str">
        <f t="shared" si="99"/>
        <v/>
      </c>
      <c r="AS478" s="34"/>
      <c r="AT478" s="33"/>
      <c r="AV478" s="21">
        <f>IF(AND($AL478&lt;&gt;"",COUNTIF($AL$11:$AL478,$AL478)=1),1,0)</f>
        <v>0</v>
      </c>
      <c r="AW478" s="21">
        <f t="shared" si="101"/>
        <v>0</v>
      </c>
      <c r="AX478" s="21" t="str">
        <f t="shared" si="100"/>
        <v/>
      </c>
      <c r="AY478" s="21" t="str">
        <f>IF(AND($AM478&lt;&gt;"",$AS478&lt;&gt;"✓"),SUMPRODUCT(($AM$11:$AM478&lt;&gt;"")*($AS$11:$AS478&lt;&gt;"✓")),"")</f>
        <v/>
      </c>
      <c r="AZ478" s="21" t="str">
        <f>IF(AND($AM478&lt;&gt;"",$AS478="✓"),SUMPRODUCT(($AM$11:$AM478&lt;&gt;"")*($AS$11:$AS478="✓")),"")</f>
        <v/>
      </c>
      <c r="BA478" s="21" t="str">
        <f>IF($AL478="","",$AL478&amp;"|"&amp;COUNTIF($AL$11:$AL478,$AL478))</f>
        <v/>
      </c>
    </row>
    <row r="479" spans="2:53" ht="15" customHeight="1" x14ac:dyDescent="0.25">
      <c r="B479" s="5" t="str">
        <f t="shared" si="92"/>
        <v/>
      </c>
      <c r="C479" s="5"/>
      <c r="D479" s="5"/>
      <c r="E479" s="5"/>
      <c r="F479" s="6"/>
      <c r="G479" s="6"/>
      <c r="H479" s="7"/>
      <c r="I479" s="8"/>
      <c r="W479" s="14" t="str">
        <f>IF(X479="","",IFERROR(INDEX($AL$11:$AL$4010,MATCH(469,$AY$11:$AY$4010,0)),""))</f>
        <v/>
      </c>
      <c r="X479" s="12" t="str">
        <f>IFERROR(INDEX($AM$11:$AM$4010,MATCH(469,$AY$11:$AY$4010,0)),"")</f>
        <v/>
      </c>
      <c r="Y479" s="11" t="str">
        <f>IF(X479="","",IFERROR(INDEX($AN$11:$AN$4010,MATCH(469,$AY$11:$AY$4010,0)),""))</f>
        <v/>
      </c>
      <c r="Z479" s="11" t="str">
        <f>IF(X479="","",IFERROR(INDEX($AO$11:$AO$4010,MATCH(469,$AY$11:$AY$4010,0)),""))</f>
        <v/>
      </c>
      <c r="AA479" s="10" t="str">
        <f>IF(X479="","",IFERROR(INDEX($AQ$11:$AQ$4010,MATCH(469,$AY$11:$AY$4010,0)),""))</f>
        <v/>
      </c>
      <c r="AB479" s="15" t="str">
        <f>IF(X479="","",IFERROR(INDEX($AR$11:$AR$4010,MATCH(469,$AY$11:$AY$4010,0)),""))</f>
        <v/>
      </c>
      <c r="AD479" s="16" t="str">
        <f>IF(AE479="","",IFERROR(INDEX($AL$11:$AL$4010,MATCH(469,$AZ$11:$AZ$4010,0)),""))</f>
        <v/>
      </c>
      <c r="AE479" s="12" t="str">
        <f>IFERROR(INDEX($AM$11:$AM$4010,MATCH(469,$AZ$11:$AZ$4010,0)),"")</f>
        <v/>
      </c>
      <c r="AF479" s="11" t="str">
        <f>IF(AE479="","",IFERROR(INDEX($AN$11:$AN$4010,MATCH(469,$AZ$11:$AZ$4010,0)),""))</f>
        <v/>
      </c>
      <c r="AG479" s="11" t="str">
        <f>IF(AE479="","",IFERROR(INDEX($AO$11:$AO$4010,MATCH(469,$AZ$11:$AZ$4010,0)),""))</f>
        <v/>
      </c>
      <c r="AH479" s="10" t="str">
        <f>IF(AE479="","",IFERROR(INDEX($AQ$11:$AQ$4010,MATCH(469,$AZ$11:$AZ$4010,0)),""))</f>
        <v/>
      </c>
      <c r="AI479" s="15" t="str">
        <f>IF(AE479="","",IFERROR(INDEX($AR$11:$AR$4010,MATCH(469,$AZ$11:$AZ$4010,0)),""))</f>
        <v/>
      </c>
      <c r="AJ479" s="15" t="str">
        <f>IF(AE479="","",IFERROR(INDEX($AT$11:$AT$4010,MATCH(469,$AZ$11:$AZ$4010,0)),""))</f>
        <v/>
      </c>
      <c r="AL479" s="17" t="str">
        <f t="shared" si="93"/>
        <v/>
      </c>
      <c r="AM479" s="12" t="str">
        <f t="shared" si="94"/>
        <v/>
      </c>
      <c r="AN479" s="18" t="str">
        <f t="shared" si="95"/>
        <v/>
      </c>
      <c r="AO479" s="18" t="str">
        <f t="shared" si="96"/>
        <v/>
      </c>
      <c r="AP479" s="10" t="str">
        <f t="shared" si="97"/>
        <v/>
      </c>
      <c r="AQ479" s="10" t="str">
        <f t="shared" si="98"/>
        <v/>
      </c>
      <c r="AR479" s="19" t="str">
        <f t="shared" si="99"/>
        <v/>
      </c>
      <c r="AS479" s="20"/>
      <c r="AT479" s="19"/>
      <c r="AV479" s="21">
        <f>IF(AND($AL479&lt;&gt;"",COUNTIF($AL$11:$AL479,$AL479)=1),1,0)</f>
        <v>0</v>
      </c>
      <c r="AW479" s="21">
        <f t="shared" si="101"/>
        <v>0</v>
      </c>
      <c r="AX479" s="21" t="str">
        <f t="shared" si="100"/>
        <v/>
      </c>
      <c r="AY479" s="21" t="str">
        <f>IF(AND($AM479&lt;&gt;"",$AS479&lt;&gt;"✓"),SUMPRODUCT(($AM$11:$AM479&lt;&gt;"")*($AS$11:$AS479&lt;&gt;"✓")),"")</f>
        <v/>
      </c>
      <c r="AZ479" s="21" t="str">
        <f>IF(AND($AM479&lt;&gt;"",$AS479="✓"),SUMPRODUCT(($AM$11:$AM479&lt;&gt;"")*($AS$11:$AS479="✓")),"")</f>
        <v/>
      </c>
      <c r="BA479" s="21" t="str">
        <f>IF($AL479="","",$AL479&amp;"|"&amp;COUNTIF($AL$11:$AL479,$AL479))</f>
        <v/>
      </c>
    </row>
    <row r="480" spans="2:53" ht="15" customHeight="1" x14ac:dyDescent="0.25">
      <c r="B480" s="5" t="str">
        <f t="shared" si="92"/>
        <v/>
      </c>
      <c r="C480" s="5"/>
      <c r="D480" s="5"/>
      <c r="E480" s="5"/>
      <c r="F480" s="6"/>
      <c r="G480" s="6"/>
      <c r="H480" s="7"/>
      <c r="I480" s="8"/>
      <c r="W480" s="28" t="str">
        <f>IF(X480="","",IFERROR(INDEX($AL$11:$AL$4010,MATCH(470,$AY$11:$AY$4010,0)),""))</f>
        <v/>
      </c>
      <c r="X480" s="26" t="str">
        <f>IFERROR(INDEX($AM$11:$AM$4010,MATCH(470,$AY$11:$AY$4010,0)),"")</f>
        <v/>
      </c>
      <c r="Y480" s="25" t="str">
        <f>IF(X480="","",IFERROR(INDEX($AN$11:$AN$4010,MATCH(470,$AY$11:$AY$4010,0)),""))</f>
        <v/>
      </c>
      <c r="Z480" s="25" t="str">
        <f>IF(X480="","",IFERROR(INDEX($AO$11:$AO$4010,MATCH(470,$AY$11:$AY$4010,0)),""))</f>
        <v/>
      </c>
      <c r="AA480" s="24" t="str">
        <f>IF(X480="","",IFERROR(INDEX($AQ$11:$AQ$4010,MATCH(470,$AY$11:$AY$4010,0)),""))</f>
        <v/>
      </c>
      <c r="AB480" s="29" t="str">
        <f>IF(X480="","",IFERROR(INDEX($AR$11:$AR$4010,MATCH(470,$AY$11:$AY$4010,0)),""))</f>
        <v/>
      </c>
      <c r="AD480" s="30" t="str">
        <f>IF(AE480="","",IFERROR(INDEX($AL$11:$AL$4010,MATCH(470,$AZ$11:$AZ$4010,0)),""))</f>
        <v/>
      </c>
      <c r="AE480" s="26" t="str">
        <f>IFERROR(INDEX($AM$11:$AM$4010,MATCH(470,$AZ$11:$AZ$4010,0)),"")</f>
        <v/>
      </c>
      <c r="AF480" s="25" t="str">
        <f>IF(AE480="","",IFERROR(INDEX($AN$11:$AN$4010,MATCH(470,$AZ$11:$AZ$4010,0)),""))</f>
        <v/>
      </c>
      <c r="AG480" s="25" t="str">
        <f>IF(AE480="","",IFERROR(INDEX($AO$11:$AO$4010,MATCH(470,$AZ$11:$AZ$4010,0)),""))</f>
        <v/>
      </c>
      <c r="AH480" s="24" t="str">
        <f>IF(AE480="","",IFERROR(INDEX($AQ$11:$AQ$4010,MATCH(470,$AZ$11:$AZ$4010,0)),""))</f>
        <v/>
      </c>
      <c r="AI480" s="29" t="str">
        <f>IF(AE480="","",IFERROR(INDEX($AR$11:$AR$4010,MATCH(470,$AZ$11:$AZ$4010,0)),""))</f>
        <v/>
      </c>
      <c r="AJ480" s="29" t="str">
        <f>IF(AE480="","",IFERROR(INDEX($AT$11:$AT$4010,MATCH(470,$AZ$11:$AZ$4010,0)),""))</f>
        <v/>
      </c>
      <c r="AL480" s="31" t="str">
        <f t="shared" si="93"/>
        <v/>
      </c>
      <c r="AM480" s="26" t="str">
        <f t="shared" si="94"/>
        <v/>
      </c>
      <c r="AN480" s="32" t="str">
        <f t="shared" si="95"/>
        <v/>
      </c>
      <c r="AO480" s="32" t="str">
        <f t="shared" si="96"/>
        <v/>
      </c>
      <c r="AP480" s="24" t="str">
        <f t="shared" si="97"/>
        <v/>
      </c>
      <c r="AQ480" s="24" t="str">
        <f t="shared" si="98"/>
        <v/>
      </c>
      <c r="AR480" s="33" t="str">
        <f t="shared" si="99"/>
        <v/>
      </c>
      <c r="AS480" s="34"/>
      <c r="AT480" s="33"/>
      <c r="AV480" s="21">
        <f>IF(AND($AL480&lt;&gt;"",COUNTIF($AL$11:$AL480,$AL480)=1),1,0)</f>
        <v>0</v>
      </c>
      <c r="AW480" s="21">
        <f t="shared" si="101"/>
        <v>0</v>
      </c>
      <c r="AX480" s="21" t="str">
        <f t="shared" si="100"/>
        <v/>
      </c>
      <c r="AY480" s="21" t="str">
        <f>IF(AND($AM480&lt;&gt;"",$AS480&lt;&gt;"✓"),SUMPRODUCT(($AM$11:$AM480&lt;&gt;"")*($AS$11:$AS480&lt;&gt;"✓")),"")</f>
        <v/>
      </c>
      <c r="AZ480" s="21" t="str">
        <f>IF(AND($AM480&lt;&gt;"",$AS480="✓"),SUMPRODUCT(($AM$11:$AM480&lt;&gt;"")*($AS$11:$AS480="✓")),"")</f>
        <v/>
      </c>
      <c r="BA480" s="21" t="str">
        <f>IF($AL480="","",$AL480&amp;"|"&amp;COUNTIF($AL$11:$AL480,$AL480))</f>
        <v/>
      </c>
    </row>
    <row r="481" spans="2:53" ht="15" customHeight="1" x14ac:dyDescent="0.25">
      <c r="B481" s="5" t="str">
        <f t="shared" si="92"/>
        <v/>
      </c>
      <c r="C481" s="5"/>
      <c r="D481" s="5"/>
      <c r="E481" s="5"/>
      <c r="F481" s="6"/>
      <c r="G481" s="6"/>
      <c r="H481" s="7"/>
      <c r="I481" s="8"/>
      <c r="W481" s="14" t="str">
        <f>IF(X481="","",IFERROR(INDEX($AL$11:$AL$4010,MATCH(471,$AY$11:$AY$4010,0)),""))</f>
        <v/>
      </c>
      <c r="X481" s="12" t="str">
        <f>IFERROR(INDEX($AM$11:$AM$4010,MATCH(471,$AY$11:$AY$4010,0)),"")</f>
        <v/>
      </c>
      <c r="Y481" s="11" t="str">
        <f>IF(X481="","",IFERROR(INDEX($AN$11:$AN$4010,MATCH(471,$AY$11:$AY$4010,0)),""))</f>
        <v/>
      </c>
      <c r="Z481" s="11" t="str">
        <f>IF(X481="","",IFERROR(INDEX($AO$11:$AO$4010,MATCH(471,$AY$11:$AY$4010,0)),""))</f>
        <v/>
      </c>
      <c r="AA481" s="10" t="str">
        <f>IF(X481="","",IFERROR(INDEX($AQ$11:$AQ$4010,MATCH(471,$AY$11:$AY$4010,0)),""))</f>
        <v/>
      </c>
      <c r="AB481" s="15" t="str">
        <f>IF(X481="","",IFERROR(INDEX($AR$11:$AR$4010,MATCH(471,$AY$11:$AY$4010,0)),""))</f>
        <v/>
      </c>
      <c r="AD481" s="16" t="str">
        <f>IF(AE481="","",IFERROR(INDEX($AL$11:$AL$4010,MATCH(471,$AZ$11:$AZ$4010,0)),""))</f>
        <v/>
      </c>
      <c r="AE481" s="12" t="str">
        <f>IFERROR(INDEX($AM$11:$AM$4010,MATCH(471,$AZ$11:$AZ$4010,0)),"")</f>
        <v/>
      </c>
      <c r="AF481" s="11" t="str">
        <f>IF(AE481="","",IFERROR(INDEX($AN$11:$AN$4010,MATCH(471,$AZ$11:$AZ$4010,0)),""))</f>
        <v/>
      </c>
      <c r="AG481" s="11" t="str">
        <f>IF(AE481="","",IFERROR(INDEX($AO$11:$AO$4010,MATCH(471,$AZ$11:$AZ$4010,0)),""))</f>
        <v/>
      </c>
      <c r="AH481" s="10" t="str">
        <f>IF(AE481="","",IFERROR(INDEX($AQ$11:$AQ$4010,MATCH(471,$AZ$11:$AZ$4010,0)),""))</f>
        <v/>
      </c>
      <c r="AI481" s="15" t="str">
        <f>IF(AE481="","",IFERROR(INDEX($AR$11:$AR$4010,MATCH(471,$AZ$11:$AZ$4010,0)),""))</f>
        <v/>
      </c>
      <c r="AJ481" s="15" t="str">
        <f>IF(AE481="","",IFERROR(INDEX($AT$11:$AT$4010,MATCH(471,$AZ$11:$AZ$4010,0)),""))</f>
        <v/>
      </c>
      <c r="AL481" s="17" t="str">
        <f t="shared" si="93"/>
        <v/>
      </c>
      <c r="AM481" s="12" t="str">
        <f t="shared" si="94"/>
        <v/>
      </c>
      <c r="AN481" s="18" t="str">
        <f t="shared" si="95"/>
        <v/>
      </c>
      <c r="AO481" s="18" t="str">
        <f t="shared" si="96"/>
        <v/>
      </c>
      <c r="AP481" s="10" t="str">
        <f t="shared" si="97"/>
        <v/>
      </c>
      <c r="AQ481" s="10" t="str">
        <f t="shared" si="98"/>
        <v/>
      </c>
      <c r="AR481" s="19" t="str">
        <f t="shared" si="99"/>
        <v/>
      </c>
      <c r="AS481" s="20"/>
      <c r="AT481" s="19"/>
      <c r="AV481" s="21">
        <f>IF(AND($AL481&lt;&gt;"",COUNTIF($AL$11:$AL481,$AL481)=1),1,0)</f>
        <v>0</v>
      </c>
      <c r="AW481" s="21">
        <f t="shared" si="101"/>
        <v>0</v>
      </c>
      <c r="AX481" s="21" t="str">
        <f t="shared" si="100"/>
        <v/>
      </c>
      <c r="AY481" s="21" t="str">
        <f>IF(AND($AM481&lt;&gt;"",$AS481&lt;&gt;"✓"),SUMPRODUCT(($AM$11:$AM481&lt;&gt;"")*($AS$11:$AS481&lt;&gt;"✓")),"")</f>
        <v/>
      </c>
      <c r="AZ481" s="21" t="str">
        <f>IF(AND($AM481&lt;&gt;"",$AS481="✓"),SUMPRODUCT(($AM$11:$AM481&lt;&gt;"")*($AS$11:$AS481="✓")),"")</f>
        <v/>
      </c>
      <c r="BA481" s="21" t="str">
        <f>IF($AL481="","",$AL481&amp;"|"&amp;COUNTIF($AL$11:$AL481,$AL481))</f>
        <v/>
      </c>
    </row>
    <row r="482" spans="2:53" ht="15" customHeight="1" x14ac:dyDescent="0.25">
      <c r="B482" s="5" t="str">
        <f t="shared" si="92"/>
        <v/>
      </c>
      <c r="C482" s="5"/>
      <c r="D482" s="5"/>
      <c r="E482" s="5"/>
      <c r="F482" s="6"/>
      <c r="G482" s="6"/>
      <c r="H482" s="7"/>
      <c r="I482" s="8"/>
      <c r="W482" s="28" t="str">
        <f>IF(X482="","",IFERROR(INDEX($AL$11:$AL$4010,MATCH(472,$AY$11:$AY$4010,0)),""))</f>
        <v/>
      </c>
      <c r="X482" s="26" t="str">
        <f>IFERROR(INDEX($AM$11:$AM$4010,MATCH(472,$AY$11:$AY$4010,0)),"")</f>
        <v/>
      </c>
      <c r="Y482" s="25" t="str">
        <f>IF(X482="","",IFERROR(INDEX($AN$11:$AN$4010,MATCH(472,$AY$11:$AY$4010,0)),""))</f>
        <v/>
      </c>
      <c r="Z482" s="25" t="str">
        <f>IF(X482="","",IFERROR(INDEX($AO$11:$AO$4010,MATCH(472,$AY$11:$AY$4010,0)),""))</f>
        <v/>
      </c>
      <c r="AA482" s="24" t="str">
        <f>IF(X482="","",IFERROR(INDEX($AQ$11:$AQ$4010,MATCH(472,$AY$11:$AY$4010,0)),""))</f>
        <v/>
      </c>
      <c r="AB482" s="29" t="str">
        <f>IF(X482="","",IFERROR(INDEX($AR$11:$AR$4010,MATCH(472,$AY$11:$AY$4010,0)),""))</f>
        <v/>
      </c>
      <c r="AD482" s="30" t="str">
        <f>IF(AE482="","",IFERROR(INDEX($AL$11:$AL$4010,MATCH(472,$AZ$11:$AZ$4010,0)),""))</f>
        <v/>
      </c>
      <c r="AE482" s="26" t="str">
        <f>IFERROR(INDEX($AM$11:$AM$4010,MATCH(472,$AZ$11:$AZ$4010,0)),"")</f>
        <v/>
      </c>
      <c r="AF482" s="25" t="str">
        <f>IF(AE482="","",IFERROR(INDEX($AN$11:$AN$4010,MATCH(472,$AZ$11:$AZ$4010,0)),""))</f>
        <v/>
      </c>
      <c r="AG482" s="25" t="str">
        <f>IF(AE482="","",IFERROR(INDEX($AO$11:$AO$4010,MATCH(472,$AZ$11:$AZ$4010,0)),""))</f>
        <v/>
      </c>
      <c r="AH482" s="24" t="str">
        <f>IF(AE482="","",IFERROR(INDEX($AQ$11:$AQ$4010,MATCH(472,$AZ$11:$AZ$4010,0)),""))</f>
        <v/>
      </c>
      <c r="AI482" s="29" t="str">
        <f>IF(AE482="","",IFERROR(INDEX($AR$11:$AR$4010,MATCH(472,$AZ$11:$AZ$4010,0)),""))</f>
        <v/>
      </c>
      <c r="AJ482" s="29" t="str">
        <f>IF(AE482="","",IFERROR(INDEX($AT$11:$AT$4010,MATCH(472,$AZ$11:$AZ$4010,0)),""))</f>
        <v/>
      </c>
      <c r="AL482" s="31" t="str">
        <f t="shared" si="93"/>
        <v/>
      </c>
      <c r="AM482" s="26" t="str">
        <f t="shared" si="94"/>
        <v/>
      </c>
      <c r="AN482" s="32" t="str">
        <f t="shared" si="95"/>
        <v/>
      </c>
      <c r="AO482" s="32" t="str">
        <f t="shared" si="96"/>
        <v/>
      </c>
      <c r="AP482" s="24" t="str">
        <f t="shared" si="97"/>
        <v/>
      </c>
      <c r="AQ482" s="24" t="str">
        <f t="shared" si="98"/>
        <v/>
      </c>
      <c r="AR482" s="33" t="str">
        <f t="shared" si="99"/>
        <v/>
      </c>
      <c r="AS482" s="34"/>
      <c r="AT482" s="33"/>
      <c r="AV482" s="21">
        <f>IF(AND($AL482&lt;&gt;"",COUNTIF($AL$11:$AL482,$AL482)=1),1,0)</f>
        <v>0</v>
      </c>
      <c r="AW482" s="21">
        <f t="shared" si="101"/>
        <v>0</v>
      </c>
      <c r="AX482" s="21" t="str">
        <f t="shared" si="100"/>
        <v/>
      </c>
      <c r="AY482" s="21" t="str">
        <f>IF(AND($AM482&lt;&gt;"",$AS482&lt;&gt;"✓"),SUMPRODUCT(($AM$11:$AM482&lt;&gt;"")*($AS$11:$AS482&lt;&gt;"✓")),"")</f>
        <v/>
      </c>
      <c r="AZ482" s="21" t="str">
        <f>IF(AND($AM482&lt;&gt;"",$AS482="✓"),SUMPRODUCT(($AM$11:$AM482&lt;&gt;"")*($AS$11:$AS482="✓")),"")</f>
        <v/>
      </c>
      <c r="BA482" s="21" t="str">
        <f>IF($AL482="","",$AL482&amp;"|"&amp;COUNTIF($AL$11:$AL482,$AL482))</f>
        <v/>
      </c>
    </row>
    <row r="483" spans="2:53" ht="15" customHeight="1" x14ac:dyDescent="0.25">
      <c r="B483" s="5" t="str">
        <f t="shared" si="92"/>
        <v/>
      </c>
      <c r="C483" s="5"/>
      <c r="D483" s="5"/>
      <c r="E483" s="5"/>
      <c r="F483" s="6"/>
      <c r="G483" s="6"/>
      <c r="H483" s="7"/>
      <c r="I483" s="8"/>
      <c r="W483" s="14" t="str">
        <f>IF(X483="","",IFERROR(INDEX($AL$11:$AL$4010,MATCH(473,$AY$11:$AY$4010,0)),""))</f>
        <v/>
      </c>
      <c r="X483" s="12" t="str">
        <f>IFERROR(INDEX($AM$11:$AM$4010,MATCH(473,$AY$11:$AY$4010,0)),"")</f>
        <v/>
      </c>
      <c r="Y483" s="11" t="str">
        <f>IF(X483="","",IFERROR(INDEX($AN$11:$AN$4010,MATCH(473,$AY$11:$AY$4010,0)),""))</f>
        <v/>
      </c>
      <c r="Z483" s="11" t="str">
        <f>IF(X483="","",IFERROR(INDEX($AO$11:$AO$4010,MATCH(473,$AY$11:$AY$4010,0)),""))</f>
        <v/>
      </c>
      <c r="AA483" s="10" t="str">
        <f>IF(X483="","",IFERROR(INDEX($AQ$11:$AQ$4010,MATCH(473,$AY$11:$AY$4010,0)),""))</f>
        <v/>
      </c>
      <c r="AB483" s="15" t="str">
        <f>IF(X483="","",IFERROR(INDEX($AR$11:$AR$4010,MATCH(473,$AY$11:$AY$4010,0)),""))</f>
        <v/>
      </c>
      <c r="AD483" s="16" t="str">
        <f>IF(AE483="","",IFERROR(INDEX($AL$11:$AL$4010,MATCH(473,$AZ$11:$AZ$4010,0)),""))</f>
        <v/>
      </c>
      <c r="AE483" s="12" t="str">
        <f>IFERROR(INDEX($AM$11:$AM$4010,MATCH(473,$AZ$11:$AZ$4010,0)),"")</f>
        <v/>
      </c>
      <c r="AF483" s="11" t="str">
        <f>IF(AE483="","",IFERROR(INDEX($AN$11:$AN$4010,MATCH(473,$AZ$11:$AZ$4010,0)),""))</f>
        <v/>
      </c>
      <c r="AG483" s="11" t="str">
        <f>IF(AE483="","",IFERROR(INDEX($AO$11:$AO$4010,MATCH(473,$AZ$11:$AZ$4010,0)),""))</f>
        <v/>
      </c>
      <c r="AH483" s="10" t="str">
        <f>IF(AE483="","",IFERROR(INDEX($AQ$11:$AQ$4010,MATCH(473,$AZ$11:$AZ$4010,0)),""))</f>
        <v/>
      </c>
      <c r="AI483" s="15" t="str">
        <f>IF(AE483="","",IFERROR(INDEX($AR$11:$AR$4010,MATCH(473,$AZ$11:$AZ$4010,0)),""))</f>
        <v/>
      </c>
      <c r="AJ483" s="15" t="str">
        <f>IF(AE483="","",IFERROR(INDEX($AT$11:$AT$4010,MATCH(473,$AZ$11:$AZ$4010,0)),""))</f>
        <v/>
      </c>
      <c r="AL483" s="17" t="str">
        <f t="shared" si="93"/>
        <v/>
      </c>
      <c r="AM483" s="12" t="str">
        <f t="shared" si="94"/>
        <v/>
      </c>
      <c r="AN483" s="18" t="str">
        <f t="shared" si="95"/>
        <v/>
      </c>
      <c r="AO483" s="18" t="str">
        <f t="shared" si="96"/>
        <v/>
      </c>
      <c r="AP483" s="10" t="str">
        <f t="shared" si="97"/>
        <v/>
      </c>
      <c r="AQ483" s="10" t="str">
        <f t="shared" si="98"/>
        <v/>
      </c>
      <c r="AR483" s="19" t="str">
        <f t="shared" si="99"/>
        <v/>
      </c>
      <c r="AS483" s="20"/>
      <c r="AT483" s="19"/>
      <c r="AV483" s="21">
        <f>IF(AND($AL483&lt;&gt;"",COUNTIF($AL$11:$AL483,$AL483)=1),1,0)</f>
        <v>0</v>
      </c>
      <c r="AW483" s="21">
        <f t="shared" si="101"/>
        <v>0</v>
      </c>
      <c r="AX483" s="21" t="str">
        <f t="shared" si="100"/>
        <v/>
      </c>
      <c r="AY483" s="21" t="str">
        <f>IF(AND($AM483&lt;&gt;"",$AS483&lt;&gt;"✓"),SUMPRODUCT(($AM$11:$AM483&lt;&gt;"")*($AS$11:$AS483&lt;&gt;"✓")),"")</f>
        <v/>
      </c>
      <c r="AZ483" s="21" t="str">
        <f>IF(AND($AM483&lt;&gt;"",$AS483="✓"),SUMPRODUCT(($AM$11:$AM483&lt;&gt;"")*($AS$11:$AS483="✓")),"")</f>
        <v/>
      </c>
      <c r="BA483" s="21" t="str">
        <f>IF($AL483="","",$AL483&amp;"|"&amp;COUNTIF($AL$11:$AL483,$AL483))</f>
        <v/>
      </c>
    </row>
    <row r="484" spans="2:53" ht="15" customHeight="1" x14ac:dyDescent="0.25">
      <c r="B484" s="5" t="str">
        <f t="shared" si="92"/>
        <v/>
      </c>
      <c r="C484" s="5"/>
      <c r="D484" s="5"/>
      <c r="E484" s="5"/>
      <c r="F484" s="6"/>
      <c r="G484" s="6"/>
      <c r="H484" s="7"/>
      <c r="I484" s="8"/>
      <c r="W484" s="28" t="str">
        <f>IF(X484="","",IFERROR(INDEX($AL$11:$AL$4010,MATCH(474,$AY$11:$AY$4010,0)),""))</f>
        <v/>
      </c>
      <c r="X484" s="26" t="str">
        <f>IFERROR(INDEX($AM$11:$AM$4010,MATCH(474,$AY$11:$AY$4010,0)),"")</f>
        <v/>
      </c>
      <c r="Y484" s="25" t="str">
        <f>IF(X484="","",IFERROR(INDEX($AN$11:$AN$4010,MATCH(474,$AY$11:$AY$4010,0)),""))</f>
        <v/>
      </c>
      <c r="Z484" s="25" t="str">
        <f>IF(X484="","",IFERROR(INDEX($AO$11:$AO$4010,MATCH(474,$AY$11:$AY$4010,0)),""))</f>
        <v/>
      </c>
      <c r="AA484" s="24" t="str">
        <f>IF(X484="","",IFERROR(INDEX($AQ$11:$AQ$4010,MATCH(474,$AY$11:$AY$4010,0)),""))</f>
        <v/>
      </c>
      <c r="AB484" s="29" t="str">
        <f>IF(X484="","",IFERROR(INDEX($AR$11:$AR$4010,MATCH(474,$AY$11:$AY$4010,0)),""))</f>
        <v/>
      </c>
      <c r="AD484" s="30" t="str">
        <f>IF(AE484="","",IFERROR(INDEX($AL$11:$AL$4010,MATCH(474,$AZ$11:$AZ$4010,0)),""))</f>
        <v/>
      </c>
      <c r="AE484" s="26" t="str">
        <f>IFERROR(INDEX($AM$11:$AM$4010,MATCH(474,$AZ$11:$AZ$4010,0)),"")</f>
        <v/>
      </c>
      <c r="AF484" s="25" t="str">
        <f>IF(AE484="","",IFERROR(INDEX($AN$11:$AN$4010,MATCH(474,$AZ$11:$AZ$4010,0)),""))</f>
        <v/>
      </c>
      <c r="AG484" s="25" t="str">
        <f>IF(AE484="","",IFERROR(INDEX($AO$11:$AO$4010,MATCH(474,$AZ$11:$AZ$4010,0)),""))</f>
        <v/>
      </c>
      <c r="AH484" s="24" t="str">
        <f>IF(AE484="","",IFERROR(INDEX($AQ$11:$AQ$4010,MATCH(474,$AZ$11:$AZ$4010,0)),""))</f>
        <v/>
      </c>
      <c r="AI484" s="29" t="str">
        <f>IF(AE484="","",IFERROR(INDEX($AR$11:$AR$4010,MATCH(474,$AZ$11:$AZ$4010,0)),""))</f>
        <v/>
      </c>
      <c r="AJ484" s="29" t="str">
        <f>IF(AE484="","",IFERROR(INDEX($AT$11:$AT$4010,MATCH(474,$AZ$11:$AZ$4010,0)),""))</f>
        <v/>
      </c>
      <c r="AL484" s="31" t="str">
        <f t="shared" si="93"/>
        <v/>
      </c>
      <c r="AM484" s="26" t="str">
        <f t="shared" si="94"/>
        <v/>
      </c>
      <c r="AN484" s="32" t="str">
        <f t="shared" si="95"/>
        <v/>
      </c>
      <c r="AO484" s="32" t="str">
        <f t="shared" si="96"/>
        <v/>
      </c>
      <c r="AP484" s="24" t="str">
        <f t="shared" si="97"/>
        <v/>
      </c>
      <c r="AQ484" s="24" t="str">
        <f t="shared" si="98"/>
        <v/>
      </c>
      <c r="AR484" s="33" t="str">
        <f t="shared" si="99"/>
        <v/>
      </c>
      <c r="AS484" s="34"/>
      <c r="AT484" s="33"/>
      <c r="AV484" s="21">
        <f>IF(AND($AL484&lt;&gt;"",COUNTIF($AL$11:$AL484,$AL484)=1),1,0)</f>
        <v>0</v>
      </c>
      <c r="AW484" s="21">
        <f t="shared" si="101"/>
        <v>0</v>
      </c>
      <c r="AX484" s="21" t="str">
        <f t="shared" si="100"/>
        <v/>
      </c>
      <c r="AY484" s="21" t="str">
        <f>IF(AND($AM484&lt;&gt;"",$AS484&lt;&gt;"✓"),SUMPRODUCT(($AM$11:$AM484&lt;&gt;"")*($AS$11:$AS484&lt;&gt;"✓")),"")</f>
        <v/>
      </c>
      <c r="AZ484" s="21" t="str">
        <f>IF(AND($AM484&lt;&gt;"",$AS484="✓"),SUMPRODUCT(($AM$11:$AM484&lt;&gt;"")*($AS$11:$AS484="✓")),"")</f>
        <v/>
      </c>
      <c r="BA484" s="21" t="str">
        <f>IF($AL484="","",$AL484&amp;"|"&amp;COUNTIF($AL$11:$AL484,$AL484))</f>
        <v/>
      </c>
    </row>
    <row r="485" spans="2:53" ht="15" customHeight="1" x14ac:dyDescent="0.25">
      <c r="B485" s="5" t="str">
        <f t="shared" si="92"/>
        <v/>
      </c>
      <c r="C485" s="5"/>
      <c r="D485" s="5"/>
      <c r="E485" s="5"/>
      <c r="F485" s="6"/>
      <c r="G485" s="6"/>
      <c r="H485" s="7"/>
      <c r="I485" s="8"/>
      <c r="W485" s="14" t="str">
        <f>IF(X485="","",IFERROR(INDEX($AL$11:$AL$4010,MATCH(475,$AY$11:$AY$4010,0)),""))</f>
        <v/>
      </c>
      <c r="X485" s="12" t="str">
        <f>IFERROR(INDEX($AM$11:$AM$4010,MATCH(475,$AY$11:$AY$4010,0)),"")</f>
        <v/>
      </c>
      <c r="Y485" s="11" t="str">
        <f>IF(X485="","",IFERROR(INDEX($AN$11:$AN$4010,MATCH(475,$AY$11:$AY$4010,0)),""))</f>
        <v/>
      </c>
      <c r="Z485" s="11" t="str">
        <f>IF(X485="","",IFERROR(INDEX($AO$11:$AO$4010,MATCH(475,$AY$11:$AY$4010,0)),""))</f>
        <v/>
      </c>
      <c r="AA485" s="10" t="str">
        <f>IF(X485="","",IFERROR(INDEX($AQ$11:$AQ$4010,MATCH(475,$AY$11:$AY$4010,0)),""))</f>
        <v/>
      </c>
      <c r="AB485" s="15" t="str">
        <f>IF(X485="","",IFERROR(INDEX($AR$11:$AR$4010,MATCH(475,$AY$11:$AY$4010,0)),""))</f>
        <v/>
      </c>
      <c r="AD485" s="16" t="str">
        <f>IF(AE485="","",IFERROR(INDEX($AL$11:$AL$4010,MATCH(475,$AZ$11:$AZ$4010,0)),""))</f>
        <v/>
      </c>
      <c r="AE485" s="12" t="str">
        <f>IFERROR(INDEX($AM$11:$AM$4010,MATCH(475,$AZ$11:$AZ$4010,0)),"")</f>
        <v/>
      </c>
      <c r="AF485" s="11" t="str">
        <f>IF(AE485="","",IFERROR(INDEX($AN$11:$AN$4010,MATCH(475,$AZ$11:$AZ$4010,0)),""))</f>
        <v/>
      </c>
      <c r="AG485" s="11" t="str">
        <f>IF(AE485="","",IFERROR(INDEX($AO$11:$AO$4010,MATCH(475,$AZ$11:$AZ$4010,0)),""))</f>
        <v/>
      </c>
      <c r="AH485" s="10" t="str">
        <f>IF(AE485="","",IFERROR(INDEX($AQ$11:$AQ$4010,MATCH(475,$AZ$11:$AZ$4010,0)),""))</f>
        <v/>
      </c>
      <c r="AI485" s="15" t="str">
        <f>IF(AE485="","",IFERROR(INDEX($AR$11:$AR$4010,MATCH(475,$AZ$11:$AZ$4010,0)),""))</f>
        <v/>
      </c>
      <c r="AJ485" s="15" t="str">
        <f>IF(AE485="","",IFERROR(INDEX($AT$11:$AT$4010,MATCH(475,$AZ$11:$AZ$4010,0)),""))</f>
        <v/>
      </c>
      <c r="AL485" s="17" t="str">
        <f t="shared" si="93"/>
        <v/>
      </c>
      <c r="AM485" s="12" t="str">
        <f t="shared" si="94"/>
        <v/>
      </c>
      <c r="AN485" s="18" t="str">
        <f t="shared" si="95"/>
        <v/>
      </c>
      <c r="AO485" s="18" t="str">
        <f t="shared" si="96"/>
        <v/>
      </c>
      <c r="AP485" s="10" t="str">
        <f t="shared" si="97"/>
        <v/>
      </c>
      <c r="AQ485" s="10" t="str">
        <f t="shared" si="98"/>
        <v/>
      </c>
      <c r="AR485" s="19" t="str">
        <f t="shared" si="99"/>
        <v/>
      </c>
      <c r="AS485" s="20"/>
      <c r="AT485" s="19"/>
      <c r="AV485" s="21">
        <f>IF(AND($AL485&lt;&gt;"",COUNTIF($AL$11:$AL485,$AL485)=1),1,0)</f>
        <v>0</v>
      </c>
      <c r="AW485" s="21">
        <f t="shared" si="101"/>
        <v>0</v>
      </c>
      <c r="AX485" s="21" t="str">
        <f t="shared" si="100"/>
        <v/>
      </c>
      <c r="AY485" s="21" t="str">
        <f>IF(AND($AM485&lt;&gt;"",$AS485&lt;&gt;"✓"),SUMPRODUCT(($AM$11:$AM485&lt;&gt;"")*($AS$11:$AS485&lt;&gt;"✓")),"")</f>
        <v/>
      </c>
      <c r="AZ485" s="21" t="str">
        <f>IF(AND($AM485&lt;&gt;"",$AS485="✓"),SUMPRODUCT(($AM$11:$AM485&lt;&gt;"")*($AS$11:$AS485="✓")),"")</f>
        <v/>
      </c>
      <c r="BA485" s="21" t="str">
        <f>IF($AL485="","",$AL485&amp;"|"&amp;COUNTIF($AL$11:$AL485,$AL485))</f>
        <v/>
      </c>
    </row>
    <row r="486" spans="2:53" ht="15" customHeight="1" x14ac:dyDescent="0.25">
      <c r="B486" s="5" t="str">
        <f t="shared" si="92"/>
        <v/>
      </c>
      <c r="C486" s="5"/>
      <c r="D486" s="5"/>
      <c r="E486" s="5"/>
      <c r="F486" s="6"/>
      <c r="G486" s="6"/>
      <c r="H486" s="7"/>
      <c r="I486" s="8"/>
      <c r="W486" s="28" t="str">
        <f>IF(X486="","",IFERROR(INDEX($AL$11:$AL$4010,MATCH(476,$AY$11:$AY$4010,0)),""))</f>
        <v/>
      </c>
      <c r="X486" s="26" t="str">
        <f>IFERROR(INDEX($AM$11:$AM$4010,MATCH(476,$AY$11:$AY$4010,0)),"")</f>
        <v/>
      </c>
      <c r="Y486" s="25" t="str">
        <f>IF(X486="","",IFERROR(INDEX($AN$11:$AN$4010,MATCH(476,$AY$11:$AY$4010,0)),""))</f>
        <v/>
      </c>
      <c r="Z486" s="25" t="str">
        <f>IF(X486="","",IFERROR(INDEX($AO$11:$AO$4010,MATCH(476,$AY$11:$AY$4010,0)),""))</f>
        <v/>
      </c>
      <c r="AA486" s="24" t="str">
        <f>IF(X486="","",IFERROR(INDEX($AQ$11:$AQ$4010,MATCH(476,$AY$11:$AY$4010,0)),""))</f>
        <v/>
      </c>
      <c r="AB486" s="29" t="str">
        <f>IF(X486="","",IFERROR(INDEX($AR$11:$AR$4010,MATCH(476,$AY$11:$AY$4010,0)),""))</f>
        <v/>
      </c>
      <c r="AD486" s="30" t="str">
        <f>IF(AE486="","",IFERROR(INDEX($AL$11:$AL$4010,MATCH(476,$AZ$11:$AZ$4010,0)),""))</f>
        <v/>
      </c>
      <c r="AE486" s="26" t="str">
        <f>IFERROR(INDEX($AM$11:$AM$4010,MATCH(476,$AZ$11:$AZ$4010,0)),"")</f>
        <v/>
      </c>
      <c r="AF486" s="25" t="str">
        <f>IF(AE486="","",IFERROR(INDEX($AN$11:$AN$4010,MATCH(476,$AZ$11:$AZ$4010,0)),""))</f>
        <v/>
      </c>
      <c r="AG486" s="25" t="str">
        <f>IF(AE486="","",IFERROR(INDEX($AO$11:$AO$4010,MATCH(476,$AZ$11:$AZ$4010,0)),""))</f>
        <v/>
      </c>
      <c r="AH486" s="24" t="str">
        <f>IF(AE486="","",IFERROR(INDEX($AQ$11:$AQ$4010,MATCH(476,$AZ$11:$AZ$4010,0)),""))</f>
        <v/>
      </c>
      <c r="AI486" s="29" t="str">
        <f>IF(AE486="","",IFERROR(INDEX($AR$11:$AR$4010,MATCH(476,$AZ$11:$AZ$4010,0)),""))</f>
        <v/>
      </c>
      <c r="AJ486" s="29" t="str">
        <f>IF(AE486="","",IFERROR(INDEX($AT$11:$AT$4010,MATCH(476,$AZ$11:$AZ$4010,0)),""))</f>
        <v/>
      </c>
      <c r="AL486" s="31" t="str">
        <f t="shared" si="93"/>
        <v/>
      </c>
      <c r="AM486" s="26" t="str">
        <f t="shared" si="94"/>
        <v/>
      </c>
      <c r="AN486" s="32" t="str">
        <f t="shared" si="95"/>
        <v/>
      </c>
      <c r="AO486" s="32" t="str">
        <f t="shared" si="96"/>
        <v/>
      </c>
      <c r="AP486" s="24" t="str">
        <f t="shared" si="97"/>
        <v/>
      </c>
      <c r="AQ486" s="24" t="str">
        <f t="shared" si="98"/>
        <v/>
      </c>
      <c r="AR486" s="33" t="str">
        <f t="shared" si="99"/>
        <v/>
      </c>
      <c r="AS486" s="34"/>
      <c r="AT486" s="33"/>
      <c r="AV486" s="21">
        <f>IF(AND($AL486&lt;&gt;"",COUNTIF($AL$11:$AL486,$AL486)=1),1,0)</f>
        <v>0</v>
      </c>
      <c r="AW486" s="21">
        <f t="shared" si="101"/>
        <v>0</v>
      </c>
      <c r="AX486" s="21" t="str">
        <f t="shared" si="100"/>
        <v/>
      </c>
      <c r="AY486" s="21" t="str">
        <f>IF(AND($AM486&lt;&gt;"",$AS486&lt;&gt;"✓"),SUMPRODUCT(($AM$11:$AM486&lt;&gt;"")*($AS$11:$AS486&lt;&gt;"✓")),"")</f>
        <v/>
      </c>
      <c r="AZ486" s="21" t="str">
        <f>IF(AND($AM486&lt;&gt;"",$AS486="✓"),SUMPRODUCT(($AM$11:$AM486&lt;&gt;"")*($AS$11:$AS486="✓")),"")</f>
        <v/>
      </c>
      <c r="BA486" s="21" t="str">
        <f>IF($AL486="","",$AL486&amp;"|"&amp;COUNTIF($AL$11:$AL486,$AL486))</f>
        <v/>
      </c>
    </row>
    <row r="487" spans="2:53" ht="15" customHeight="1" x14ac:dyDescent="0.25">
      <c r="B487" s="5" t="str">
        <f t="shared" si="92"/>
        <v/>
      </c>
      <c r="C487" s="5"/>
      <c r="D487" s="5"/>
      <c r="E487" s="5"/>
      <c r="F487" s="6"/>
      <c r="G487" s="6"/>
      <c r="H487" s="7"/>
      <c r="I487" s="8"/>
      <c r="W487" s="14" t="str">
        <f>IF(X487="","",IFERROR(INDEX($AL$11:$AL$4010,MATCH(477,$AY$11:$AY$4010,0)),""))</f>
        <v/>
      </c>
      <c r="X487" s="12" t="str">
        <f>IFERROR(INDEX($AM$11:$AM$4010,MATCH(477,$AY$11:$AY$4010,0)),"")</f>
        <v/>
      </c>
      <c r="Y487" s="11" t="str">
        <f>IF(X487="","",IFERROR(INDEX($AN$11:$AN$4010,MATCH(477,$AY$11:$AY$4010,0)),""))</f>
        <v/>
      </c>
      <c r="Z487" s="11" t="str">
        <f>IF(X487="","",IFERROR(INDEX($AO$11:$AO$4010,MATCH(477,$AY$11:$AY$4010,0)),""))</f>
        <v/>
      </c>
      <c r="AA487" s="10" t="str">
        <f>IF(X487="","",IFERROR(INDEX($AQ$11:$AQ$4010,MATCH(477,$AY$11:$AY$4010,0)),""))</f>
        <v/>
      </c>
      <c r="AB487" s="15" t="str">
        <f>IF(X487="","",IFERROR(INDEX($AR$11:$AR$4010,MATCH(477,$AY$11:$AY$4010,0)),""))</f>
        <v/>
      </c>
      <c r="AD487" s="16" t="str">
        <f>IF(AE487="","",IFERROR(INDEX($AL$11:$AL$4010,MATCH(477,$AZ$11:$AZ$4010,0)),""))</f>
        <v/>
      </c>
      <c r="AE487" s="12" t="str">
        <f>IFERROR(INDEX($AM$11:$AM$4010,MATCH(477,$AZ$11:$AZ$4010,0)),"")</f>
        <v/>
      </c>
      <c r="AF487" s="11" t="str">
        <f>IF(AE487="","",IFERROR(INDEX($AN$11:$AN$4010,MATCH(477,$AZ$11:$AZ$4010,0)),""))</f>
        <v/>
      </c>
      <c r="AG487" s="11" t="str">
        <f>IF(AE487="","",IFERROR(INDEX($AO$11:$AO$4010,MATCH(477,$AZ$11:$AZ$4010,0)),""))</f>
        <v/>
      </c>
      <c r="AH487" s="10" t="str">
        <f>IF(AE487="","",IFERROR(INDEX($AQ$11:$AQ$4010,MATCH(477,$AZ$11:$AZ$4010,0)),""))</f>
        <v/>
      </c>
      <c r="AI487" s="15" t="str">
        <f>IF(AE487="","",IFERROR(INDEX($AR$11:$AR$4010,MATCH(477,$AZ$11:$AZ$4010,0)),""))</f>
        <v/>
      </c>
      <c r="AJ487" s="15" t="str">
        <f>IF(AE487="","",IFERROR(INDEX($AT$11:$AT$4010,MATCH(477,$AZ$11:$AZ$4010,0)),""))</f>
        <v/>
      </c>
      <c r="AL487" s="17" t="str">
        <f t="shared" si="93"/>
        <v/>
      </c>
      <c r="AM487" s="12" t="str">
        <f t="shared" si="94"/>
        <v/>
      </c>
      <c r="AN487" s="18" t="str">
        <f t="shared" si="95"/>
        <v/>
      </c>
      <c r="AO487" s="18" t="str">
        <f t="shared" si="96"/>
        <v/>
      </c>
      <c r="AP487" s="10" t="str">
        <f t="shared" si="97"/>
        <v/>
      </c>
      <c r="AQ487" s="10" t="str">
        <f t="shared" si="98"/>
        <v/>
      </c>
      <c r="AR487" s="19" t="str">
        <f t="shared" si="99"/>
        <v/>
      </c>
      <c r="AS487" s="20"/>
      <c r="AT487" s="19"/>
      <c r="AV487" s="21">
        <f>IF(AND($AL487&lt;&gt;"",COUNTIF($AL$11:$AL487,$AL487)=1),1,0)</f>
        <v>0</v>
      </c>
      <c r="AW487" s="21">
        <f t="shared" si="101"/>
        <v>0</v>
      </c>
      <c r="AX487" s="21" t="str">
        <f t="shared" si="100"/>
        <v/>
      </c>
      <c r="AY487" s="21" t="str">
        <f>IF(AND($AM487&lt;&gt;"",$AS487&lt;&gt;"✓"),SUMPRODUCT(($AM$11:$AM487&lt;&gt;"")*($AS$11:$AS487&lt;&gt;"✓")),"")</f>
        <v/>
      </c>
      <c r="AZ487" s="21" t="str">
        <f>IF(AND($AM487&lt;&gt;"",$AS487="✓"),SUMPRODUCT(($AM$11:$AM487&lt;&gt;"")*($AS$11:$AS487="✓")),"")</f>
        <v/>
      </c>
      <c r="BA487" s="21" t="str">
        <f>IF($AL487="","",$AL487&amp;"|"&amp;COUNTIF($AL$11:$AL487,$AL487))</f>
        <v/>
      </c>
    </row>
    <row r="488" spans="2:53" ht="15" customHeight="1" x14ac:dyDescent="0.25">
      <c r="B488" s="5" t="str">
        <f t="shared" si="92"/>
        <v/>
      </c>
      <c r="C488" s="5"/>
      <c r="D488" s="5"/>
      <c r="E488" s="5"/>
      <c r="F488" s="6"/>
      <c r="G488" s="6"/>
      <c r="H488" s="7"/>
      <c r="I488" s="8"/>
      <c r="W488" s="28" t="str">
        <f>IF(X488="","",IFERROR(INDEX($AL$11:$AL$4010,MATCH(478,$AY$11:$AY$4010,0)),""))</f>
        <v/>
      </c>
      <c r="X488" s="26" t="str">
        <f>IFERROR(INDEX($AM$11:$AM$4010,MATCH(478,$AY$11:$AY$4010,0)),"")</f>
        <v/>
      </c>
      <c r="Y488" s="25" t="str">
        <f>IF(X488="","",IFERROR(INDEX($AN$11:$AN$4010,MATCH(478,$AY$11:$AY$4010,0)),""))</f>
        <v/>
      </c>
      <c r="Z488" s="25" t="str">
        <f>IF(X488="","",IFERROR(INDEX($AO$11:$AO$4010,MATCH(478,$AY$11:$AY$4010,0)),""))</f>
        <v/>
      </c>
      <c r="AA488" s="24" t="str">
        <f>IF(X488="","",IFERROR(INDEX($AQ$11:$AQ$4010,MATCH(478,$AY$11:$AY$4010,0)),""))</f>
        <v/>
      </c>
      <c r="AB488" s="29" t="str">
        <f>IF(X488="","",IFERROR(INDEX($AR$11:$AR$4010,MATCH(478,$AY$11:$AY$4010,0)),""))</f>
        <v/>
      </c>
      <c r="AD488" s="30" t="str">
        <f>IF(AE488="","",IFERROR(INDEX($AL$11:$AL$4010,MATCH(478,$AZ$11:$AZ$4010,0)),""))</f>
        <v/>
      </c>
      <c r="AE488" s="26" t="str">
        <f>IFERROR(INDEX($AM$11:$AM$4010,MATCH(478,$AZ$11:$AZ$4010,0)),"")</f>
        <v/>
      </c>
      <c r="AF488" s="25" t="str">
        <f>IF(AE488="","",IFERROR(INDEX($AN$11:$AN$4010,MATCH(478,$AZ$11:$AZ$4010,0)),""))</f>
        <v/>
      </c>
      <c r="AG488" s="25" t="str">
        <f>IF(AE488="","",IFERROR(INDEX($AO$11:$AO$4010,MATCH(478,$AZ$11:$AZ$4010,0)),""))</f>
        <v/>
      </c>
      <c r="AH488" s="24" t="str">
        <f>IF(AE488="","",IFERROR(INDEX($AQ$11:$AQ$4010,MATCH(478,$AZ$11:$AZ$4010,0)),""))</f>
        <v/>
      </c>
      <c r="AI488" s="29" t="str">
        <f>IF(AE488="","",IFERROR(INDEX($AR$11:$AR$4010,MATCH(478,$AZ$11:$AZ$4010,0)),""))</f>
        <v/>
      </c>
      <c r="AJ488" s="29" t="str">
        <f>IF(AE488="","",IFERROR(INDEX($AT$11:$AT$4010,MATCH(478,$AZ$11:$AZ$4010,0)),""))</f>
        <v/>
      </c>
      <c r="AL488" s="31" t="str">
        <f t="shared" si="93"/>
        <v/>
      </c>
      <c r="AM488" s="26" t="str">
        <f t="shared" si="94"/>
        <v/>
      </c>
      <c r="AN488" s="32" t="str">
        <f t="shared" si="95"/>
        <v/>
      </c>
      <c r="AO488" s="32" t="str">
        <f t="shared" si="96"/>
        <v/>
      </c>
      <c r="AP488" s="24" t="str">
        <f t="shared" si="97"/>
        <v/>
      </c>
      <c r="AQ488" s="24" t="str">
        <f t="shared" si="98"/>
        <v/>
      </c>
      <c r="AR488" s="33" t="str">
        <f t="shared" si="99"/>
        <v/>
      </c>
      <c r="AS488" s="34"/>
      <c r="AT488" s="33"/>
      <c r="AV488" s="21">
        <f>IF(AND($AL488&lt;&gt;"",COUNTIF($AL$11:$AL488,$AL488)=1),1,0)</f>
        <v>0</v>
      </c>
      <c r="AW488" s="21">
        <f t="shared" si="101"/>
        <v>0</v>
      </c>
      <c r="AX488" s="21" t="str">
        <f t="shared" si="100"/>
        <v/>
      </c>
      <c r="AY488" s="21" t="str">
        <f>IF(AND($AM488&lt;&gt;"",$AS488&lt;&gt;"✓"),SUMPRODUCT(($AM$11:$AM488&lt;&gt;"")*($AS$11:$AS488&lt;&gt;"✓")),"")</f>
        <v/>
      </c>
      <c r="AZ488" s="21" t="str">
        <f>IF(AND($AM488&lt;&gt;"",$AS488="✓"),SUMPRODUCT(($AM$11:$AM488&lt;&gt;"")*($AS$11:$AS488="✓")),"")</f>
        <v/>
      </c>
      <c r="BA488" s="21" t="str">
        <f>IF($AL488="","",$AL488&amp;"|"&amp;COUNTIF($AL$11:$AL488,$AL488))</f>
        <v/>
      </c>
    </row>
    <row r="489" spans="2:53" ht="15" customHeight="1" x14ac:dyDescent="0.25">
      <c r="B489" s="5" t="str">
        <f t="shared" si="92"/>
        <v/>
      </c>
      <c r="C489" s="5"/>
      <c r="D489" s="5"/>
      <c r="E489" s="5"/>
      <c r="F489" s="6"/>
      <c r="G489" s="6"/>
      <c r="H489" s="7"/>
      <c r="I489" s="8"/>
      <c r="W489" s="14" t="str">
        <f>IF(X489="","",IFERROR(INDEX($AL$11:$AL$4010,MATCH(479,$AY$11:$AY$4010,0)),""))</f>
        <v/>
      </c>
      <c r="X489" s="12" t="str">
        <f>IFERROR(INDEX($AM$11:$AM$4010,MATCH(479,$AY$11:$AY$4010,0)),"")</f>
        <v/>
      </c>
      <c r="Y489" s="11" t="str">
        <f>IF(X489="","",IFERROR(INDEX($AN$11:$AN$4010,MATCH(479,$AY$11:$AY$4010,0)),""))</f>
        <v/>
      </c>
      <c r="Z489" s="11" t="str">
        <f>IF(X489="","",IFERROR(INDEX($AO$11:$AO$4010,MATCH(479,$AY$11:$AY$4010,0)),""))</f>
        <v/>
      </c>
      <c r="AA489" s="10" t="str">
        <f>IF(X489="","",IFERROR(INDEX($AQ$11:$AQ$4010,MATCH(479,$AY$11:$AY$4010,0)),""))</f>
        <v/>
      </c>
      <c r="AB489" s="15" t="str">
        <f>IF(X489="","",IFERROR(INDEX($AR$11:$AR$4010,MATCH(479,$AY$11:$AY$4010,0)),""))</f>
        <v/>
      </c>
      <c r="AD489" s="16" t="str">
        <f>IF(AE489="","",IFERROR(INDEX($AL$11:$AL$4010,MATCH(479,$AZ$11:$AZ$4010,0)),""))</f>
        <v/>
      </c>
      <c r="AE489" s="12" t="str">
        <f>IFERROR(INDEX($AM$11:$AM$4010,MATCH(479,$AZ$11:$AZ$4010,0)),"")</f>
        <v/>
      </c>
      <c r="AF489" s="11" t="str">
        <f>IF(AE489="","",IFERROR(INDEX($AN$11:$AN$4010,MATCH(479,$AZ$11:$AZ$4010,0)),""))</f>
        <v/>
      </c>
      <c r="AG489" s="11" t="str">
        <f>IF(AE489="","",IFERROR(INDEX($AO$11:$AO$4010,MATCH(479,$AZ$11:$AZ$4010,0)),""))</f>
        <v/>
      </c>
      <c r="AH489" s="10" t="str">
        <f>IF(AE489="","",IFERROR(INDEX($AQ$11:$AQ$4010,MATCH(479,$AZ$11:$AZ$4010,0)),""))</f>
        <v/>
      </c>
      <c r="AI489" s="15" t="str">
        <f>IF(AE489="","",IFERROR(INDEX($AR$11:$AR$4010,MATCH(479,$AZ$11:$AZ$4010,0)),""))</f>
        <v/>
      </c>
      <c r="AJ489" s="15" t="str">
        <f>IF(AE489="","",IFERROR(INDEX($AT$11:$AT$4010,MATCH(479,$AZ$11:$AZ$4010,0)),""))</f>
        <v/>
      </c>
      <c r="AL489" s="17" t="str">
        <f t="shared" si="93"/>
        <v/>
      </c>
      <c r="AM489" s="12" t="str">
        <f t="shared" si="94"/>
        <v/>
      </c>
      <c r="AN489" s="18" t="str">
        <f t="shared" si="95"/>
        <v/>
      </c>
      <c r="AO489" s="18" t="str">
        <f t="shared" si="96"/>
        <v/>
      </c>
      <c r="AP489" s="10" t="str">
        <f t="shared" si="97"/>
        <v/>
      </c>
      <c r="AQ489" s="10" t="str">
        <f t="shared" si="98"/>
        <v/>
      </c>
      <c r="AR489" s="19" t="str">
        <f t="shared" si="99"/>
        <v/>
      </c>
      <c r="AS489" s="20"/>
      <c r="AT489" s="19"/>
      <c r="AV489" s="21">
        <f>IF(AND($AL489&lt;&gt;"",COUNTIF($AL$11:$AL489,$AL489)=1),1,0)</f>
        <v>0</v>
      </c>
      <c r="AW489" s="21">
        <f t="shared" si="101"/>
        <v>0</v>
      </c>
      <c r="AX489" s="21" t="str">
        <f t="shared" si="100"/>
        <v/>
      </c>
      <c r="AY489" s="21" t="str">
        <f>IF(AND($AM489&lt;&gt;"",$AS489&lt;&gt;"✓"),SUMPRODUCT(($AM$11:$AM489&lt;&gt;"")*($AS$11:$AS489&lt;&gt;"✓")),"")</f>
        <v/>
      </c>
      <c r="AZ489" s="21" t="str">
        <f>IF(AND($AM489&lt;&gt;"",$AS489="✓"),SUMPRODUCT(($AM$11:$AM489&lt;&gt;"")*($AS$11:$AS489="✓")),"")</f>
        <v/>
      </c>
      <c r="BA489" s="21" t="str">
        <f>IF($AL489="","",$AL489&amp;"|"&amp;COUNTIF($AL$11:$AL489,$AL489))</f>
        <v/>
      </c>
    </row>
    <row r="490" spans="2:53" ht="15" customHeight="1" x14ac:dyDescent="0.25">
      <c r="B490" s="5" t="str">
        <f t="shared" si="92"/>
        <v/>
      </c>
      <c r="C490" s="5"/>
      <c r="D490" s="5"/>
      <c r="E490" s="5"/>
      <c r="F490" s="6"/>
      <c r="G490" s="6"/>
      <c r="H490" s="7"/>
      <c r="I490" s="8"/>
      <c r="W490" s="28" t="str">
        <f>IF(X490="","",IFERROR(INDEX($AL$11:$AL$4010,MATCH(480,$AY$11:$AY$4010,0)),""))</f>
        <v/>
      </c>
      <c r="X490" s="26" t="str">
        <f>IFERROR(INDEX($AM$11:$AM$4010,MATCH(480,$AY$11:$AY$4010,0)),"")</f>
        <v/>
      </c>
      <c r="Y490" s="25" t="str">
        <f>IF(X490="","",IFERROR(INDEX($AN$11:$AN$4010,MATCH(480,$AY$11:$AY$4010,0)),""))</f>
        <v/>
      </c>
      <c r="Z490" s="25" t="str">
        <f>IF(X490="","",IFERROR(INDEX($AO$11:$AO$4010,MATCH(480,$AY$11:$AY$4010,0)),""))</f>
        <v/>
      </c>
      <c r="AA490" s="24" t="str">
        <f>IF(X490="","",IFERROR(INDEX($AQ$11:$AQ$4010,MATCH(480,$AY$11:$AY$4010,0)),""))</f>
        <v/>
      </c>
      <c r="AB490" s="29" t="str">
        <f>IF(X490="","",IFERROR(INDEX($AR$11:$AR$4010,MATCH(480,$AY$11:$AY$4010,0)),""))</f>
        <v/>
      </c>
      <c r="AD490" s="30" t="str">
        <f>IF(AE490="","",IFERROR(INDEX($AL$11:$AL$4010,MATCH(480,$AZ$11:$AZ$4010,0)),""))</f>
        <v/>
      </c>
      <c r="AE490" s="26" t="str">
        <f>IFERROR(INDEX($AM$11:$AM$4010,MATCH(480,$AZ$11:$AZ$4010,0)),"")</f>
        <v/>
      </c>
      <c r="AF490" s="25" t="str">
        <f>IF(AE490="","",IFERROR(INDEX($AN$11:$AN$4010,MATCH(480,$AZ$11:$AZ$4010,0)),""))</f>
        <v/>
      </c>
      <c r="AG490" s="25" t="str">
        <f>IF(AE490="","",IFERROR(INDEX($AO$11:$AO$4010,MATCH(480,$AZ$11:$AZ$4010,0)),""))</f>
        <v/>
      </c>
      <c r="AH490" s="24" t="str">
        <f>IF(AE490="","",IFERROR(INDEX($AQ$11:$AQ$4010,MATCH(480,$AZ$11:$AZ$4010,0)),""))</f>
        <v/>
      </c>
      <c r="AI490" s="29" t="str">
        <f>IF(AE490="","",IFERROR(INDEX($AR$11:$AR$4010,MATCH(480,$AZ$11:$AZ$4010,0)),""))</f>
        <v/>
      </c>
      <c r="AJ490" s="29" t="str">
        <f>IF(AE490="","",IFERROR(INDEX($AT$11:$AT$4010,MATCH(480,$AZ$11:$AZ$4010,0)),""))</f>
        <v/>
      </c>
      <c r="AL490" s="31" t="str">
        <f t="shared" si="93"/>
        <v/>
      </c>
      <c r="AM490" s="26" t="str">
        <f t="shared" si="94"/>
        <v/>
      </c>
      <c r="AN490" s="32" t="str">
        <f t="shared" si="95"/>
        <v/>
      </c>
      <c r="AO490" s="32" t="str">
        <f t="shared" si="96"/>
        <v/>
      </c>
      <c r="AP490" s="24" t="str">
        <f t="shared" si="97"/>
        <v/>
      </c>
      <c r="AQ490" s="24" t="str">
        <f t="shared" si="98"/>
        <v/>
      </c>
      <c r="AR490" s="33" t="str">
        <f t="shared" si="99"/>
        <v/>
      </c>
      <c r="AS490" s="34"/>
      <c r="AT490" s="33"/>
      <c r="AV490" s="21">
        <f>IF(AND($AL490&lt;&gt;"",COUNTIF($AL$11:$AL490,$AL490)=1),1,0)</f>
        <v>0</v>
      </c>
      <c r="AW490" s="21">
        <f t="shared" si="101"/>
        <v>0</v>
      </c>
      <c r="AX490" s="21" t="str">
        <f t="shared" si="100"/>
        <v/>
      </c>
      <c r="AY490" s="21" t="str">
        <f>IF(AND($AM490&lt;&gt;"",$AS490&lt;&gt;"✓"),SUMPRODUCT(($AM$11:$AM490&lt;&gt;"")*($AS$11:$AS490&lt;&gt;"✓")),"")</f>
        <v/>
      </c>
      <c r="AZ490" s="21" t="str">
        <f>IF(AND($AM490&lt;&gt;"",$AS490="✓"),SUMPRODUCT(($AM$11:$AM490&lt;&gt;"")*($AS$11:$AS490="✓")),"")</f>
        <v/>
      </c>
      <c r="BA490" s="21" t="str">
        <f>IF($AL490="","",$AL490&amp;"|"&amp;COUNTIF($AL$11:$AL490,$AL490))</f>
        <v/>
      </c>
    </row>
    <row r="491" spans="2:53" ht="15" customHeight="1" x14ac:dyDescent="0.25">
      <c r="B491" s="5" t="str">
        <f t="shared" si="92"/>
        <v/>
      </c>
      <c r="C491" s="5"/>
      <c r="D491" s="5"/>
      <c r="E491" s="5"/>
      <c r="F491" s="6"/>
      <c r="G491" s="6"/>
      <c r="H491" s="7"/>
      <c r="I491" s="8"/>
      <c r="W491" s="14" t="str">
        <f>IF(X491="","",IFERROR(INDEX($AL$11:$AL$4010,MATCH(481,$AY$11:$AY$4010,0)),""))</f>
        <v/>
      </c>
      <c r="X491" s="12" t="str">
        <f>IFERROR(INDEX($AM$11:$AM$4010,MATCH(481,$AY$11:$AY$4010,0)),"")</f>
        <v/>
      </c>
      <c r="Y491" s="11" t="str">
        <f>IF(X491="","",IFERROR(INDEX($AN$11:$AN$4010,MATCH(481,$AY$11:$AY$4010,0)),""))</f>
        <v/>
      </c>
      <c r="Z491" s="11" t="str">
        <f>IF(X491="","",IFERROR(INDEX($AO$11:$AO$4010,MATCH(481,$AY$11:$AY$4010,0)),""))</f>
        <v/>
      </c>
      <c r="AA491" s="10" t="str">
        <f>IF(X491="","",IFERROR(INDEX($AQ$11:$AQ$4010,MATCH(481,$AY$11:$AY$4010,0)),""))</f>
        <v/>
      </c>
      <c r="AB491" s="15" t="str">
        <f>IF(X491="","",IFERROR(INDEX($AR$11:$AR$4010,MATCH(481,$AY$11:$AY$4010,0)),""))</f>
        <v/>
      </c>
      <c r="AD491" s="16" t="str">
        <f>IF(AE491="","",IFERROR(INDEX($AL$11:$AL$4010,MATCH(481,$AZ$11:$AZ$4010,0)),""))</f>
        <v/>
      </c>
      <c r="AE491" s="12" t="str">
        <f>IFERROR(INDEX($AM$11:$AM$4010,MATCH(481,$AZ$11:$AZ$4010,0)),"")</f>
        <v/>
      </c>
      <c r="AF491" s="11" t="str">
        <f>IF(AE491="","",IFERROR(INDEX($AN$11:$AN$4010,MATCH(481,$AZ$11:$AZ$4010,0)),""))</f>
        <v/>
      </c>
      <c r="AG491" s="11" t="str">
        <f>IF(AE491="","",IFERROR(INDEX($AO$11:$AO$4010,MATCH(481,$AZ$11:$AZ$4010,0)),""))</f>
        <v/>
      </c>
      <c r="AH491" s="10" t="str">
        <f>IF(AE491="","",IFERROR(INDEX($AQ$11:$AQ$4010,MATCH(481,$AZ$11:$AZ$4010,0)),""))</f>
        <v/>
      </c>
      <c r="AI491" s="15" t="str">
        <f>IF(AE491="","",IFERROR(INDEX($AR$11:$AR$4010,MATCH(481,$AZ$11:$AZ$4010,0)),""))</f>
        <v/>
      </c>
      <c r="AJ491" s="15" t="str">
        <f>IF(AE491="","",IFERROR(INDEX($AT$11:$AT$4010,MATCH(481,$AZ$11:$AZ$4010,0)),""))</f>
        <v/>
      </c>
      <c r="AL491" s="17" t="str">
        <f t="shared" si="93"/>
        <v/>
      </c>
      <c r="AM491" s="12" t="str">
        <f t="shared" si="94"/>
        <v/>
      </c>
      <c r="AN491" s="18" t="str">
        <f t="shared" si="95"/>
        <v/>
      </c>
      <c r="AO491" s="18" t="str">
        <f t="shared" si="96"/>
        <v/>
      </c>
      <c r="AP491" s="10" t="str">
        <f t="shared" si="97"/>
        <v/>
      </c>
      <c r="AQ491" s="10" t="str">
        <f t="shared" si="98"/>
        <v/>
      </c>
      <c r="AR491" s="19" t="str">
        <f t="shared" si="99"/>
        <v/>
      </c>
      <c r="AS491" s="20"/>
      <c r="AT491" s="19"/>
      <c r="AV491" s="21">
        <f>IF(AND($AL491&lt;&gt;"",COUNTIF($AL$11:$AL491,$AL491)=1),1,0)</f>
        <v>0</v>
      </c>
      <c r="AW491" s="21">
        <f t="shared" si="101"/>
        <v>0</v>
      </c>
      <c r="AX491" s="21" t="str">
        <f t="shared" si="100"/>
        <v/>
      </c>
      <c r="AY491" s="21" t="str">
        <f>IF(AND($AM491&lt;&gt;"",$AS491&lt;&gt;"✓"),SUMPRODUCT(($AM$11:$AM491&lt;&gt;"")*($AS$11:$AS491&lt;&gt;"✓")),"")</f>
        <v/>
      </c>
      <c r="AZ491" s="21" t="str">
        <f>IF(AND($AM491&lt;&gt;"",$AS491="✓"),SUMPRODUCT(($AM$11:$AM491&lt;&gt;"")*($AS$11:$AS491="✓")),"")</f>
        <v/>
      </c>
      <c r="BA491" s="21" t="str">
        <f>IF($AL491="","",$AL491&amp;"|"&amp;COUNTIF($AL$11:$AL491,$AL491))</f>
        <v/>
      </c>
    </row>
    <row r="492" spans="2:53" ht="15" customHeight="1" x14ac:dyDescent="0.25">
      <c r="B492" s="5" t="str">
        <f t="shared" si="92"/>
        <v/>
      </c>
      <c r="C492" s="5"/>
      <c r="D492" s="5"/>
      <c r="E492" s="5"/>
      <c r="F492" s="6"/>
      <c r="G492" s="6"/>
      <c r="H492" s="7"/>
      <c r="I492" s="8"/>
      <c r="W492" s="28" t="str">
        <f>IF(X492="","",IFERROR(INDEX($AL$11:$AL$4010,MATCH(482,$AY$11:$AY$4010,0)),""))</f>
        <v/>
      </c>
      <c r="X492" s="26" t="str">
        <f>IFERROR(INDEX($AM$11:$AM$4010,MATCH(482,$AY$11:$AY$4010,0)),"")</f>
        <v/>
      </c>
      <c r="Y492" s="25" t="str">
        <f>IF(X492="","",IFERROR(INDEX($AN$11:$AN$4010,MATCH(482,$AY$11:$AY$4010,0)),""))</f>
        <v/>
      </c>
      <c r="Z492" s="25" t="str">
        <f>IF(X492="","",IFERROR(INDEX($AO$11:$AO$4010,MATCH(482,$AY$11:$AY$4010,0)),""))</f>
        <v/>
      </c>
      <c r="AA492" s="24" t="str">
        <f>IF(X492="","",IFERROR(INDEX($AQ$11:$AQ$4010,MATCH(482,$AY$11:$AY$4010,0)),""))</f>
        <v/>
      </c>
      <c r="AB492" s="29" t="str">
        <f>IF(X492="","",IFERROR(INDEX($AR$11:$AR$4010,MATCH(482,$AY$11:$AY$4010,0)),""))</f>
        <v/>
      </c>
      <c r="AD492" s="30" t="str">
        <f>IF(AE492="","",IFERROR(INDEX($AL$11:$AL$4010,MATCH(482,$AZ$11:$AZ$4010,0)),""))</f>
        <v/>
      </c>
      <c r="AE492" s="26" t="str">
        <f>IFERROR(INDEX($AM$11:$AM$4010,MATCH(482,$AZ$11:$AZ$4010,0)),"")</f>
        <v/>
      </c>
      <c r="AF492" s="25" t="str">
        <f>IF(AE492="","",IFERROR(INDEX($AN$11:$AN$4010,MATCH(482,$AZ$11:$AZ$4010,0)),""))</f>
        <v/>
      </c>
      <c r="AG492" s="25" t="str">
        <f>IF(AE492="","",IFERROR(INDEX($AO$11:$AO$4010,MATCH(482,$AZ$11:$AZ$4010,0)),""))</f>
        <v/>
      </c>
      <c r="AH492" s="24" t="str">
        <f>IF(AE492="","",IFERROR(INDEX($AQ$11:$AQ$4010,MATCH(482,$AZ$11:$AZ$4010,0)),""))</f>
        <v/>
      </c>
      <c r="AI492" s="29" t="str">
        <f>IF(AE492="","",IFERROR(INDEX($AR$11:$AR$4010,MATCH(482,$AZ$11:$AZ$4010,0)),""))</f>
        <v/>
      </c>
      <c r="AJ492" s="29" t="str">
        <f>IF(AE492="","",IFERROR(INDEX($AT$11:$AT$4010,MATCH(482,$AZ$11:$AZ$4010,0)),""))</f>
        <v/>
      </c>
      <c r="AL492" s="31" t="str">
        <f t="shared" si="93"/>
        <v/>
      </c>
      <c r="AM492" s="26" t="str">
        <f t="shared" si="94"/>
        <v/>
      </c>
      <c r="AN492" s="32" t="str">
        <f t="shared" si="95"/>
        <v/>
      </c>
      <c r="AO492" s="32" t="str">
        <f t="shared" si="96"/>
        <v/>
      </c>
      <c r="AP492" s="24" t="str">
        <f t="shared" si="97"/>
        <v/>
      </c>
      <c r="AQ492" s="24" t="str">
        <f t="shared" si="98"/>
        <v/>
      </c>
      <c r="AR492" s="33" t="str">
        <f t="shared" si="99"/>
        <v/>
      </c>
      <c r="AS492" s="34"/>
      <c r="AT492" s="33"/>
      <c r="AV492" s="21">
        <f>IF(AND($AL492&lt;&gt;"",COUNTIF($AL$11:$AL492,$AL492)=1),1,0)</f>
        <v>0</v>
      </c>
      <c r="AW492" s="21">
        <f t="shared" si="101"/>
        <v>0</v>
      </c>
      <c r="AX492" s="21" t="str">
        <f t="shared" si="100"/>
        <v/>
      </c>
      <c r="AY492" s="21" t="str">
        <f>IF(AND($AM492&lt;&gt;"",$AS492&lt;&gt;"✓"),SUMPRODUCT(($AM$11:$AM492&lt;&gt;"")*($AS$11:$AS492&lt;&gt;"✓")),"")</f>
        <v/>
      </c>
      <c r="AZ492" s="21" t="str">
        <f>IF(AND($AM492&lt;&gt;"",$AS492="✓"),SUMPRODUCT(($AM$11:$AM492&lt;&gt;"")*($AS$11:$AS492="✓")),"")</f>
        <v/>
      </c>
      <c r="BA492" s="21" t="str">
        <f>IF($AL492="","",$AL492&amp;"|"&amp;COUNTIF($AL$11:$AL492,$AL492))</f>
        <v/>
      </c>
    </row>
    <row r="493" spans="2:53" ht="15" customHeight="1" x14ac:dyDescent="0.25">
      <c r="B493" s="5" t="str">
        <f t="shared" si="92"/>
        <v/>
      </c>
      <c r="C493" s="5"/>
      <c r="D493" s="5"/>
      <c r="E493" s="5"/>
      <c r="F493" s="6"/>
      <c r="G493" s="6"/>
      <c r="H493" s="7"/>
      <c r="I493" s="8"/>
      <c r="W493" s="14" t="str">
        <f>IF(X493="","",IFERROR(INDEX($AL$11:$AL$4010,MATCH(483,$AY$11:$AY$4010,0)),""))</f>
        <v/>
      </c>
      <c r="X493" s="12" t="str">
        <f>IFERROR(INDEX($AM$11:$AM$4010,MATCH(483,$AY$11:$AY$4010,0)),"")</f>
        <v/>
      </c>
      <c r="Y493" s="11" t="str">
        <f>IF(X493="","",IFERROR(INDEX($AN$11:$AN$4010,MATCH(483,$AY$11:$AY$4010,0)),""))</f>
        <v/>
      </c>
      <c r="Z493" s="11" t="str">
        <f>IF(X493="","",IFERROR(INDEX($AO$11:$AO$4010,MATCH(483,$AY$11:$AY$4010,0)),""))</f>
        <v/>
      </c>
      <c r="AA493" s="10" t="str">
        <f>IF(X493="","",IFERROR(INDEX($AQ$11:$AQ$4010,MATCH(483,$AY$11:$AY$4010,0)),""))</f>
        <v/>
      </c>
      <c r="AB493" s="15" t="str">
        <f>IF(X493="","",IFERROR(INDEX($AR$11:$AR$4010,MATCH(483,$AY$11:$AY$4010,0)),""))</f>
        <v/>
      </c>
      <c r="AD493" s="16" t="str">
        <f>IF(AE493="","",IFERROR(INDEX($AL$11:$AL$4010,MATCH(483,$AZ$11:$AZ$4010,0)),""))</f>
        <v/>
      </c>
      <c r="AE493" s="12" t="str">
        <f>IFERROR(INDEX($AM$11:$AM$4010,MATCH(483,$AZ$11:$AZ$4010,0)),"")</f>
        <v/>
      </c>
      <c r="AF493" s="11" t="str">
        <f>IF(AE493="","",IFERROR(INDEX($AN$11:$AN$4010,MATCH(483,$AZ$11:$AZ$4010,0)),""))</f>
        <v/>
      </c>
      <c r="AG493" s="11" t="str">
        <f>IF(AE493="","",IFERROR(INDEX($AO$11:$AO$4010,MATCH(483,$AZ$11:$AZ$4010,0)),""))</f>
        <v/>
      </c>
      <c r="AH493" s="10" t="str">
        <f>IF(AE493="","",IFERROR(INDEX($AQ$11:$AQ$4010,MATCH(483,$AZ$11:$AZ$4010,0)),""))</f>
        <v/>
      </c>
      <c r="AI493" s="15" t="str">
        <f>IF(AE493="","",IFERROR(INDEX($AR$11:$AR$4010,MATCH(483,$AZ$11:$AZ$4010,0)),""))</f>
        <v/>
      </c>
      <c r="AJ493" s="15" t="str">
        <f>IF(AE493="","",IFERROR(INDEX($AT$11:$AT$4010,MATCH(483,$AZ$11:$AZ$4010,0)),""))</f>
        <v/>
      </c>
      <c r="AL493" s="17" t="str">
        <f t="shared" si="93"/>
        <v/>
      </c>
      <c r="AM493" s="12" t="str">
        <f t="shared" si="94"/>
        <v/>
      </c>
      <c r="AN493" s="18" t="str">
        <f t="shared" si="95"/>
        <v/>
      </c>
      <c r="AO493" s="18" t="str">
        <f t="shared" si="96"/>
        <v/>
      </c>
      <c r="AP493" s="10" t="str">
        <f t="shared" si="97"/>
        <v/>
      </c>
      <c r="AQ493" s="10" t="str">
        <f t="shared" si="98"/>
        <v/>
      </c>
      <c r="AR493" s="19" t="str">
        <f t="shared" si="99"/>
        <v/>
      </c>
      <c r="AS493" s="20"/>
      <c r="AT493" s="19"/>
      <c r="AV493" s="21">
        <f>IF(AND($AL493&lt;&gt;"",COUNTIF($AL$11:$AL493,$AL493)=1),1,0)</f>
        <v>0</v>
      </c>
      <c r="AW493" s="21">
        <f t="shared" si="101"/>
        <v>0</v>
      </c>
      <c r="AX493" s="21" t="str">
        <f t="shared" si="100"/>
        <v/>
      </c>
      <c r="AY493" s="21" t="str">
        <f>IF(AND($AM493&lt;&gt;"",$AS493&lt;&gt;"✓"),SUMPRODUCT(($AM$11:$AM493&lt;&gt;"")*($AS$11:$AS493&lt;&gt;"✓")),"")</f>
        <v/>
      </c>
      <c r="AZ493" s="21" t="str">
        <f>IF(AND($AM493&lt;&gt;"",$AS493="✓"),SUMPRODUCT(($AM$11:$AM493&lt;&gt;"")*($AS$11:$AS493="✓")),"")</f>
        <v/>
      </c>
      <c r="BA493" s="21" t="str">
        <f>IF($AL493="","",$AL493&amp;"|"&amp;COUNTIF($AL$11:$AL493,$AL493))</f>
        <v/>
      </c>
    </row>
    <row r="494" spans="2:53" ht="15" customHeight="1" x14ac:dyDescent="0.25">
      <c r="B494" s="5" t="str">
        <f t="shared" si="92"/>
        <v/>
      </c>
      <c r="C494" s="5"/>
      <c r="D494" s="5"/>
      <c r="E494" s="5"/>
      <c r="F494" s="6"/>
      <c r="G494" s="6"/>
      <c r="H494" s="7"/>
      <c r="I494" s="8"/>
      <c r="W494" s="28" t="str">
        <f>IF(X494="","",IFERROR(INDEX($AL$11:$AL$4010,MATCH(484,$AY$11:$AY$4010,0)),""))</f>
        <v/>
      </c>
      <c r="X494" s="26" t="str">
        <f>IFERROR(INDEX($AM$11:$AM$4010,MATCH(484,$AY$11:$AY$4010,0)),"")</f>
        <v/>
      </c>
      <c r="Y494" s="25" t="str">
        <f>IF(X494="","",IFERROR(INDEX($AN$11:$AN$4010,MATCH(484,$AY$11:$AY$4010,0)),""))</f>
        <v/>
      </c>
      <c r="Z494" s="25" t="str">
        <f>IF(X494="","",IFERROR(INDEX($AO$11:$AO$4010,MATCH(484,$AY$11:$AY$4010,0)),""))</f>
        <v/>
      </c>
      <c r="AA494" s="24" t="str">
        <f>IF(X494="","",IFERROR(INDEX($AQ$11:$AQ$4010,MATCH(484,$AY$11:$AY$4010,0)),""))</f>
        <v/>
      </c>
      <c r="AB494" s="29" t="str">
        <f>IF(X494="","",IFERROR(INDEX($AR$11:$AR$4010,MATCH(484,$AY$11:$AY$4010,0)),""))</f>
        <v/>
      </c>
      <c r="AD494" s="30" t="str">
        <f>IF(AE494="","",IFERROR(INDEX($AL$11:$AL$4010,MATCH(484,$AZ$11:$AZ$4010,0)),""))</f>
        <v/>
      </c>
      <c r="AE494" s="26" t="str">
        <f>IFERROR(INDEX($AM$11:$AM$4010,MATCH(484,$AZ$11:$AZ$4010,0)),"")</f>
        <v/>
      </c>
      <c r="AF494" s="25" t="str">
        <f>IF(AE494="","",IFERROR(INDEX($AN$11:$AN$4010,MATCH(484,$AZ$11:$AZ$4010,0)),""))</f>
        <v/>
      </c>
      <c r="AG494" s="25" t="str">
        <f>IF(AE494="","",IFERROR(INDEX($AO$11:$AO$4010,MATCH(484,$AZ$11:$AZ$4010,0)),""))</f>
        <v/>
      </c>
      <c r="AH494" s="24" t="str">
        <f>IF(AE494="","",IFERROR(INDEX($AQ$11:$AQ$4010,MATCH(484,$AZ$11:$AZ$4010,0)),""))</f>
        <v/>
      </c>
      <c r="AI494" s="29" t="str">
        <f>IF(AE494="","",IFERROR(INDEX($AR$11:$AR$4010,MATCH(484,$AZ$11:$AZ$4010,0)),""))</f>
        <v/>
      </c>
      <c r="AJ494" s="29" t="str">
        <f>IF(AE494="","",IFERROR(INDEX($AT$11:$AT$4010,MATCH(484,$AZ$11:$AZ$4010,0)),""))</f>
        <v/>
      </c>
      <c r="AL494" s="31" t="str">
        <f t="shared" si="93"/>
        <v/>
      </c>
      <c r="AM494" s="26" t="str">
        <f t="shared" si="94"/>
        <v/>
      </c>
      <c r="AN494" s="32" t="str">
        <f t="shared" si="95"/>
        <v/>
      </c>
      <c r="AO494" s="32" t="str">
        <f t="shared" si="96"/>
        <v/>
      </c>
      <c r="AP494" s="24" t="str">
        <f t="shared" si="97"/>
        <v/>
      </c>
      <c r="AQ494" s="24" t="str">
        <f t="shared" si="98"/>
        <v/>
      </c>
      <c r="AR494" s="33" t="str">
        <f t="shared" si="99"/>
        <v/>
      </c>
      <c r="AS494" s="34"/>
      <c r="AT494" s="33"/>
      <c r="AV494" s="21">
        <f>IF(AND($AL494&lt;&gt;"",COUNTIF($AL$11:$AL494,$AL494)=1),1,0)</f>
        <v>0</v>
      </c>
      <c r="AW494" s="21">
        <f t="shared" si="101"/>
        <v>0</v>
      </c>
      <c r="AX494" s="21" t="str">
        <f t="shared" si="100"/>
        <v/>
      </c>
      <c r="AY494" s="21" t="str">
        <f>IF(AND($AM494&lt;&gt;"",$AS494&lt;&gt;"✓"),SUMPRODUCT(($AM$11:$AM494&lt;&gt;"")*($AS$11:$AS494&lt;&gt;"✓")),"")</f>
        <v/>
      </c>
      <c r="AZ494" s="21" t="str">
        <f>IF(AND($AM494&lt;&gt;"",$AS494="✓"),SUMPRODUCT(($AM$11:$AM494&lt;&gt;"")*($AS$11:$AS494="✓")),"")</f>
        <v/>
      </c>
      <c r="BA494" s="21" t="str">
        <f>IF($AL494="","",$AL494&amp;"|"&amp;COUNTIF($AL$11:$AL494,$AL494))</f>
        <v/>
      </c>
    </row>
    <row r="495" spans="2:53" ht="15" customHeight="1" x14ac:dyDescent="0.25">
      <c r="B495" s="5" t="str">
        <f t="shared" si="92"/>
        <v/>
      </c>
      <c r="C495" s="5"/>
      <c r="D495" s="5"/>
      <c r="E495" s="5"/>
      <c r="F495" s="6"/>
      <c r="G495" s="6"/>
      <c r="H495" s="7"/>
      <c r="I495" s="8"/>
      <c r="W495" s="14" t="str">
        <f>IF(X495="","",IFERROR(INDEX($AL$11:$AL$4010,MATCH(485,$AY$11:$AY$4010,0)),""))</f>
        <v/>
      </c>
      <c r="X495" s="12" t="str">
        <f>IFERROR(INDEX($AM$11:$AM$4010,MATCH(485,$AY$11:$AY$4010,0)),"")</f>
        <v/>
      </c>
      <c r="Y495" s="11" t="str">
        <f>IF(X495="","",IFERROR(INDEX($AN$11:$AN$4010,MATCH(485,$AY$11:$AY$4010,0)),""))</f>
        <v/>
      </c>
      <c r="Z495" s="11" t="str">
        <f>IF(X495="","",IFERROR(INDEX($AO$11:$AO$4010,MATCH(485,$AY$11:$AY$4010,0)),""))</f>
        <v/>
      </c>
      <c r="AA495" s="10" t="str">
        <f>IF(X495="","",IFERROR(INDEX($AQ$11:$AQ$4010,MATCH(485,$AY$11:$AY$4010,0)),""))</f>
        <v/>
      </c>
      <c r="AB495" s="15" t="str">
        <f>IF(X495="","",IFERROR(INDEX($AR$11:$AR$4010,MATCH(485,$AY$11:$AY$4010,0)),""))</f>
        <v/>
      </c>
      <c r="AD495" s="16" t="str">
        <f>IF(AE495="","",IFERROR(INDEX($AL$11:$AL$4010,MATCH(485,$AZ$11:$AZ$4010,0)),""))</f>
        <v/>
      </c>
      <c r="AE495" s="12" t="str">
        <f>IFERROR(INDEX($AM$11:$AM$4010,MATCH(485,$AZ$11:$AZ$4010,0)),"")</f>
        <v/>
      </c>
      <c r="AF495" s="11" t="str">
        <f>IF(AE495="","",IFERROR(INDEX($AN$11:$AN$4010,MATCH(485,$AZ$11:$AZ$4010,0)),""))</f>
        <v/>
      </c>
      <c r="AG495" s="11" t="str">
        <f>IF(AE495="","",IFERROR(INDEX($AO$11:$AO$4010,MATCH(485,$AZ$11:$AZ$4010,0)),""))</f>
        <v/>
      </c>
      <c r="AH495" s="10" t="str">
        <f>IF(AE495="","",IFERROR(INDEX($AQ$11:$AQ$4010,MATCH(485,$AZ$11:$AZ$4010,0)),""))</f>
        <v/>
      </c>
      <c r="AI495" s="15" t="str">
        <f>IF(AE495="","",IFERROR(INDEX($AR$11:$AR$4010,MATCH(485,$AZ$11:$AZ$4010,0)),""))</f>
        <v/>
      </c>
      <c r="AJ495" s="15" t="str">
        <f>IF(AE495="","",IFERROR(INDEX($AT$11:$AT$4010,MATCH(485,$AZ$11:$AZ$4010,0)),""))</f>
        <v/>
      </c>
      <c r="AL495" s="17" t="str">
        <f t="shared" si="93"/>
        <v/>
      </c>
      <c r="AM495" s="12" t="str">
        <f t="shared" si="94"/>
        <v/>
      </c>
      <c r="AN495" s="18" t="str">
        <f t="shared" si="95"/>
        <v/>
      </c>
      <c r="AO495" s="18" t="str">
        <f t="shared" si="96"/>
        <v/>
      </c>
      <c r="AP495" s="10" t="str">
        <f t="shared" si="97"/>
        <v/>
      </c>
      <c r="AQ495" s="10" t="str">
        <f t="shared" si="98"/>
        <v/>
      </c>
      <c r="AR495" s="19" t="str">
        <f t="shared" si="99"/>
        <v/>
      </c>
      <c r="AS495" s="20"/>
      <c r="AT495" s="19"/>
      <c r="AV495" s="21">
        <f>IF(AND($AL495&lt;&gt;"",COUNTIF($AL$11:$AL495,$AL495)=1),1,0)</f>
        <v>0</v>
      </c>
      <c r="AW495" s="21">
        <f t="shared" si="101"/>
        <v>0</v>
      </c>
      <c r="AX495" s="21" t="str">
        <f t="shared" si="100"/>
        <v/>
      </c>
      <c r="AY495" s="21" t="str">
        <f>IF(AND($AM495&lt;&gt;"",$AS495&lt;&gt;"✓"),SUMPRODUCT(($AM$11:$AM495&lt;&gt;"")*($AS$11:$AS495&lt;&gt;"✓")),"")</f>
        <v/>
      </c>
      <c r="AZ495" s="21" t="str">
        <f>IF(AND($AM495&lt;&gt;"",$AS495="✓"),SUMPRODUCT(($AM$11:$AM495&lt;&gt;"")*($AS$11:$AS495="✓")),"")</f>
        <v/>
      </c>
      <c r="BA495" s="21" t="str">
        <f>IF($AL495="","",$AL495&amp;"|"&amp;COUNTIF($AL$11:$AL495,$AL495))</f>
        <v/>
      </c>
    </row>
    <row r="496" spans="2:53" ht="15" customHeight="1" x14ac:dyDescent="0.25">
      <c r="B496" s="5" t="str">
        <f t="shared" si="92"/>
        <v/>
      </c>
      <c r="C496" s="5"/>
      <c r="D496" s="5"/>
      <c r="E496" s="5"/>
      <c r="F496" s="6"/>
      <c r="G496" s="6"/>
      <c r="H496" s="7"/>
      <c r="I496" s="8"/>
      <c r="W496" s="28" t="str">
        <f>IF(X496="","",IFERROR(INDEX($AL$11:$AL$4010,MATCH(486,$AY$11:$AY$4010,0)),""))</f>
        <v/>
      </c>
      <c r="X496" s="26" t="str">
        <f>IFERROR(INDEX($AM$11:$AM$4010,MATCH(486,$AY$11:$AY$4010,0)),"")</f>
        <v/>
      </c>
      <c r="Y496" s="25" t="str">
        <f>IF(X496="","",IFERROR(INDEX($AN$11:$AN$4010,MATCH(486,$AY$11:$AY$4010,0)),""))</f>
        <v/>
      </c>
      <c r="Z496" s="25" t="str">
        <f>IF(X496="","",IFERROR(INDEX($AO$11:$AO$4010,MATCH(486,$AY$11:$AY$4010,0)),""))</f>
        <v/>
      </c>
      <c r="AA496" s="24" t="str">
        <f>IF(X496="","",IFERROR(INDEX($AQ$11:$AQ$4010,MATCH(486,$AY$11:$AY$4010,0)),""))</f>
        <v/>
      </c>
      <c r="AB496" s="29" t="str">
        <f>IF(X496="","",IFERROR(INDEX($AR$11:$AR$4010,MATCH(486,$AY$11:$AY$4010,0)),""))</f>
        <v/>
      </c>
      <c r="AD496" s="30" t="str">
        <f>IF(AE496="","",IFERROR(INDEX($AL$11:$AL$4010,MATCH(486,$AZ$11:$AZ$4010,0)),""))</f>
        <v/>
      </c>
      <c r="AE496" s="26" t="str">
        <f>IFERROR(INDEX($AM$11:$AM$4010,MATCH(486,$AZ$11:$AZ$4010,0)),"")</f>
        <v/>
      </c>
      <c r="AF496" s="25" t="str">
        <f>IF(AE496="","",IFERROR(INDEX($AN$11:$AN$4010,MATCH(486,$AZ$11:$AZ$4010,0)),""))</f>
        <v/>
      </c>
      <c r="AG496" s="25" t="str">
        <f>IF(AE496="","",IFERROR(INDEX($AO$11:$AO$4010,MATCH(486,$AZ$11:$AZ$4010,0)),""))</f>
        <v/>
      </c>
      <c r="AH496" s="24" t="str">
        <f>IF(AE496="","",IFERROR(INDEX($AQ$11:$AQ$4010,MATCH(486,$AZ$11:$AZ$4010,0)),""))</f>
        <v/>
      </c>
      <c r="AI496" s="29" t="str">
        <f>IF(AE496="","",IFERROR(INDEX($AR$11:$AR$4010,MATCH(486,$AZ$11:$AZ$4010,0)),""))</f>
        <v/>
      </c>
      <c r="AJ496" s="29" t="str">
        <f>IF(AE496="","",IFERROR(INDEX($AT$11:$AT$4010,MATCH(486,$AZ$11:$AZ$4010,0)),""))</f>
        <v/>
      </c>
      <c r="AL496" s="31" t="str">
        <f t="shared" si="93"/>
        <v/>
      </c>
      <c r="AM496" s="26" t="str">
        <f t="shared" si="94"/>
        <v/>
      </c>
      <c r="AN496" s="32" t="str">
        <f t="shared" si="95"/>
        <v/>
      </c>
      <c r="AO496" s="32" t="str">
        <f t="shared" si="96"/>
        <v/>
      </c>
      <c r="AP496" s="24" t="str">
        <f t="shared" si="97"/>
        <v/>
      </c>
      <c r="AQ496" s="24" t="str">
        <f t="shared" si="98"/>
        <v/>
      </c>
      <c r="AR496" s="33" t="str">
        <f t="shared" si="99"/>
        <v/>
      </c>
      <c r="AS496" s="34"/>
      <c r="AT496" s="33"/>
      <c r="AV496" s="21">
        <f>IF(AND($AL496&lt;&gt;"",COUNTIF($AL$11:$AL496,$AL496)=1),1,0)</f>
        <v>0</v>
      </c>
      <c r="AW496" s="21">
        <f t="shared" si="101"/>
        <v>0</v>
      </c>
      <c r="AX496" s="21" t="str">
        <f t="shared" si="100"/>
        <v/>
      </c>
      <c r="AY496" s="21" t="str">
        <f>IF(AND($AM496&lt;&gt;"",$AS496&lt;&gt;"✓"),SUMPRODUCT(($AM$11:$AM496&lt;&gt;"")*($AS$11:$AS496&lt;&gt;"✓")),"")</f>
        <v/>
      </c>
      <c r="AZ496" s="21" t="str">
        <f>IF(AND($AM496&lt;&gt;"",$AS496="✓"),SUMPRODUCT(($AM$11:$AM496&lt;&gt;"")*($AS$11:$AS496="✓")),"")</f>
        <v/>
      </c>
      <c r="BA496" s="21" t="str">
        <f>IF($AL496="","",$AL496&amp;"|"&amp;COUNTIF($AL$11:$AL496,$AL496))</f>
        <v/>
      </c>
    </row>
    <row r="497" spans="2:53" ht="15" customHeight="1" x14ac:dyDescent="0.25">
      <c r="B497" s="5" t="str">
        <f t="shared" si="92"/>
        <v/>
      </c>
      <c r="C497" s="5"/>
      <c r="D497" s="5"/>
      <c r="E497" s="5"/>
      <c r="F497" s="6"/>
      <c r="G497" s="6"/>
      <c r="H497" s="7"/>
      <c r="I497" s="8"/>
      <c r="W497" s="14" t="str">
        <f>IF(X497="","",IFERROR(INDEX($AL$11:$AL$4010,MATCH(487,$AY$11:$AY$4010,0)),""))</f>
        <v/>
      </c>
      <c r="X497" s="12" t="str">
        <f>IFERROR(INDEX($AM$11:$AM$4010,MATCH(487,$AY$11:$AY$4010,0)),"")</f>
        <v/>
      </c>
      <c r="Y497" s="11" t="str">
        <f>IF(X497="","",IFERROR(INDEX($AN$11:$AN$4010,MATCH(487,$AY$11:$AY$4010,0)),""))</f>
        <v/>
      </c>
      <c r="Z497" s="11" t="str">
        <f>IF(X497="","",IFERROR(INDEX($AO$11:$AO$4010,MATCH(487,$AY$11:$AY$4010,0)),""))</f>
        <v/>
      </c>
      <c r="AA497" s="10" t="str">
        <f>IF(X497="","",IFERROR(INDEX($AQ$11:$AQ$4010,MATCH(487,$AY$11:$AY$4010,0)),""))</f>
        <v/>
      </c>
      <c r="AB497" s="15" t="str">
        <f>IF(X497="","",IFERROR(INDEX($AR$11:$AR$4010,MATCH(487,$AY$11:$AY$4010,0)),""))</f>
        <v/>
      </c>
      <c r="AD497" s="16" t="str">
        <f>IF(AE497="","",IFERROR(INDEX($AL$11:$AL$4010,MATCH(487,$AZ$11:$AZ$4010,0)),""))</f>
        <v/>
      </c>
      <c r="AE497" s="12" t="str">
        <f>IFERROR(INDEX($AM$11:$AM$4010,MATCH(487,$AZ$11:$AZ$4010,0)),"")</f>
        <v/>
      </c>
      <c r="AF497" s="11" t="str">
        <f>IF(AE497="","",IFERROR(INDEX($AN$11:$AN$4010,MATCH(487,$AZ$11:$AZ$4010,0)),""))</f>
        <v/>
      </c>
      <c r="AG497" s="11" t="str">
        <f>IF(AE497="","",IFERROR(INDEX($AO$11:$AO$4010,MATCH(487,$AZ$11:$AZ$4010,0)),""))</f>
        <v/>
      </c>
      <c r="AH497" s="10" t="str">
        <f>IF(AE497="","",IFERROR(INDEX($AQ$11:$AQ$4010,MATCH(487,$AZ$11:$AZ$4010,0)),""))</f>
        <v/>
      </c>
      <c r="AI497" s="15" t="str">
        <f>IF(AE497="","",IFERROR(INDEX($AR$11:$AR$4010,MATCH(487,$AZ$11:$AZ$4010,0)),""))</f>
        <v/>
      </c>
      <c r="AJ497" s="15" t="str">
        <f>IF(AE497="","",IFERROR(INDEX($AT$11:$AT$4010,MATCH(487,$AZ$11:$AZ$4010,0)),""))</f>
        <v/>
      </c>
      <c r="AL497" s="17" t="str">
        <f t="shared" si="93"/>
        <v/>
      </c>
      <c r="AM497" s="12" t="str">
        <f t="shared" si="94"/>
        <v/>
      </c>
      <c r="AN497" s="18" t="str">
        <f t="shared" si="95"/>
        <v/>
      </c>
      <c r="AO497" s="18" t="str">
        <f t="shared" si="96"/>
        <v/>
      </c>
      <c r="AP497" s="10" t="str">
        <f t="shared" si="97"/>
        <v/>
      </c>
      <c r="AQ497" s="10" t="str">
        <f t="shared" si="98"/>
        <v/>
      </c>
      <c r="AR497" s="19" t="str">
        <f t="shared" si="99"/>
        <v/>
      </c>
      <c r="AS497" s="20"/>
      <c r="AT497" s="19"/>
      <c r="AV497" s="21">
        <f>IF(AND($AL497&lt;&gt;"",COUNTIF($AL$11:$AL497,$AL497)=1),1,0)</f>
        <v>0</v>
      </c>
      <c r="AW497" s="21">
        <f t="shared" si="101"/>
        <v>0</v>
      </c>
      <c r="AX497" s="21" t="str">
        <f t="shared" si="100"/>
        <v/>
      </c>
      <c r="AY497" s="21" t="str">
        <f>IF(AND($AM497&lt;&gt;"",$AS497&lt;&gt;"✓"),SUMPRODUCT(($AM$11:$AM497&lt;&gt;"")*($AS$11:$AS497&lt;&gt;"✓")),"")</f>
        <v/>
      </c>
      <c r="AZ497" s="21" t="str">
        <f>IF(AND($AM497&lt;&gt;"",$AS497="✓"),SUMPRODUCT(($AM$11:$AM497&lt;&gt;"")*($AS$11:$AS497="✓")),"")</f>
        <v/>
      </c>
      <c r="BA497" s="21" t="str">
        <f>IF($AL497="","",$AL497&amp;"|"&amp;COUNTIF($AL$11:$AL497,$AL497))</f>
        <v/>
      </c>
    </row>
    <row r="498" spans="2:53" ht="15" customHeight="1" x14ac:dyDescent="0.25">
      <c r="B498" s="5" t="str">
        <f t="shared" si="92"/>
        <v/>
      </c>
      <c r="C498" s="5"/>
      <c r="D498" s="5"/>
      <c r="E498" s="5"/>
      <c r="F498" s="6"/>
      <c r="G498" s="6"/>
      <c r="H498" s="7"/>
      <c r="I498" s="8"/>
      <c r="W498" s="28" t="str">
        <f>IF(X498="","",IFERROR(INDEX($AL$11:$AL$4010,MATCH(488,$AY$11:$AY$4010,0)),""))</f>
        <v/>
      </c>
      <c r="X498" s="26" t="str">
        <f>IFERROR(INDEX($AM$11:$AM$4010,MATCH(488,$AY$11:$AY$4010,0)),"")</f>
        <v/>
      </c>
      <c r="Y498" s="25" t="str">
        <f>IF(X498="","",IFERROR(INDEX($AN$11:$AN$4010,MATCH(488,$AY$11:$AY$4010,0)),""))</f>
        <v/>
      </c>
      <c r="Z498" s="25" t="str">
        <f>IF(X498="","",IFERROR(INDEX($AO$11:$AO$4010,MATCH(488,$AY$11:$AY$4010,0)),""))</f>
        <v/>
      </c>
      <c r="AA498" s="24" t="str">
        <f>IF(X498="","",IFERROR(INDEX($AQ$11:$AQ$4010,MATCH(488,$AY$11:$AY$4010,0)),""))</f>
        <v/>
      </c>
      <c r="AB498" s="29" t="str">
        <f>IF(X498="","",IFERROR(INDEX($AR$11:$AR$4010,MATCH(488,$AY$11:$AY$4010,0)),""))</f>
        <v/>
      </c>
      <c r="AD498" s="30" t="str">
        <f>IF(AE498="","",IFERROR(INDEX($AL$11:$AL$4010,MATCH(488,$AZ$11:$AZ$4010,0)),""))</f>
        <v/>
      </c>
      <c r="AE498" s="26" t="str">
        <f>IFERROR(INDEX($AM$11:$AM$4010,MATCH(488,$AZ$11:$AZ$4010,0)),"")</f>
        <v/>
      </c>
      <c r="AF498" s="25" t="str">
        <f>IF(AE498="","",IFERROR(INDEX($AN$11:$AN$4010,MATCH(488,$AZ$11:$AZ$4010,0)),""))</f>
        <v/>
      </c>
      <c r="AG498" s="25" t="str">
        <f>IF(AE498="","",IFERROR(INDEX($AO$11:$AO$4010,MATCH(488,$AZ$11:$AZ$4010,0)),""))</f>
        <v/>
      </c>
      <c r="AH498" s="24" t="str">
        <f>IF(AE498="","",IFERROR(INDEX($AQ$11:$AQ$4010,MATCH(488,$AZ$11:$AZ$4010,0)),""))</f>
        <v/>
      </c>
      <c r="AI498" s="29" t="str">
        <f>IF(AE498="","",IFERROR(INDEX($AR$11:$AR$4010,MATCH(488,$AZ$11:$AZ$4010,0)),""))</f>
        <v/>
      </c>
      <c r="AJ498" s="29" t="str">
        <f>IF(AE498="","",IFERROR(INDEX($AT$11:$AT$4010,MATCH(488,$AZ$11:$AZ$4010,0)),""))</f>
        <v/>
      </c>
      <c r="AL498" s="31" t="str">
        <f t="shared" si="93"/>
        <v/>
      </c>
      <c r="AM498" s="26" t="str">
        <f t="shared" si="94"/>
        <v/>
      </c>
      <c r="AN498" s="32" t="str">
        <f t="shared" si="95"/>
        <v/>
      </c>
      <c r="AO498" s="32" t="str">
        <f t="shared" si="96"/>
        <v/>
      </c>
      <c r="AP498" s="24" t="str">
        <f t="shared" si="97"/>
        <v/>
      </c>
      <c r="AQ498" s="24" t="str">
        <f t="shared" si="98"/>
        <v/>
      </c>
      <c r="AR498" s="33" t="str">
        <f t="shared" si="99"/>
        <v/>
      </c>
      <c r="AS498" s="34"/>
      <c r="AT498" s="33"/>
      <c r="AV498" s="21">
        <f>IF(AND($AL498&lt;&gt;"",COUNTIF($AL$11:$AL498,$AL498)=1),1,0)</f>
        <v>0</v>
      </c>
      <c r="AW498" s="21">
        <f t="shared" si="101"/>
        <v>0</v>
      </c>
      <c r="AX498" s="21" t="str">
        <f t="shared" si="100"/>
        <v/>
      </c>
      <c r="AY498" s="21" t="str">
        <f>IF(AND($AM498&lt;&gt;"",$AS498&lt;&gt;"✓"),SUMPRODUCT(($AM$11:$AM498&lt;&gt;"")*($AS$11:$AS498&lt;&gt;"✓")),"")</f>
        <v/>
      </c>
      <c r="AZ498" s="21" t="str">
        <f>IF(AND($AM498&lt;&gt;"",$AS498="✓"),SUMPRODUCT(($AM$11:$AM498&lt;&gt;"")*($AS$11:$AS498="✓")),"")</f>
        <v/>
      </c>
      <c r="BA498" s="21" t="str">
        <f>IF($AL498="","",$AL498&amp;"|"&amp;COUNTIF($AL$11:$AL498,$AL498))</f>
        <v/>
      </c>
    </row>
    <row r="499" spans="2:53" ht="15" customHeight="1" x14ac:dyDescent="0.25">
      <c r="B499" s="5" t="str">
        <f t="shared" si="92"/>
        <v/>
      </c>
      <c r="C499" s="5"/>
      <c r="D499" s="5"/>
      <c r="E499" s="5"/>
      <c r="F499" s="6"/>
      <c r="G499" s="6"/>
      <c r="H499" s="7"/>
      <c r="I499" s="8"/>
      <c r="W499" s="14" t="str">
        <f>IF(X499="","",IFERROR(INDEX($AL$11:$AL$4010,MATCH(489,$AY$11:$AY$4010,0)),""))</f>
        <v/>
      </c>
      <c r="X499" s="12" t="str">
        <f>IFERROR(INDEX($AM$11:$AM$4010,MATCH(489,$AY$11:$AY$4010,0)),"")</f>
        <v/>
      </c>
      <c r="Y499" s="11" t="str">
        <f>IF(X499="","",IFERROR(INDEX($AN$11:$AN$4010,MATCH(489,$AY$11:$AY$4010,0)),""))</f>
        <v/>
      </c>
      <c r="Z499" s="11" t="str">
        <f>IF(X499="","",IFERROR(INDEX($AO$11:$AO$4010,MATCH(489,$AY$11:$AY$4010,0)),""))</f>
        <v/>
      </c>
      <c r="AA499" s="10" t="str">
        <f>IF(X499="","",IFERROR(INDEX($AQ$11:$AQ$4010,MATCH(489,$AY$11:$AY$4010,0)),""))</f>
        <v/>
      </c>
      <c r="AB499" s="15" t="str">
        <f>IF(X499="","",IFERROR(INDEX($AR$11:$AR$4010,MATCH(489,$AY$11:$AY$4010,0)),""))</f>
        <v/>
      </c>
      <c r="AD499" s="16" t="str">
        <f>IF(AE499="","",IFERROR(INDEX($AL$11:$AL$4010,MATCH(489,$AZ$11:$AZ$4010,0)),""))</f>
        <v/>
      </c>
      <c r="AE499" s="12" t="str">
        <f>IFERROR(INDEX($AM$11:$AM$4010,MATCH(489,$AZ$11:$AZ$4010,0)),"")</f>
        <v/>
      </c>
      <c r="AF499" s="11" t="str">
        <f>IF(AE499="","",IFERROR(INDEX($AN$11:$AN$4010,MATCH(489,$AZ$11:$AZ$4010,0)),""))</f>
        <v/>
      </c>
      <c r="AG499" s="11" t="str">
        <f>IF(AE499="","",IFERROR(INDEX($AO$11:$AO$4010,MATCH(489,$AZ$11:$AZ$4010,0)),""))</f>
        <v/>
      </c>
      <c r="AH499" s="10" t="str">
        <f>IF(AE499="","",IFERROR(INDEX($AQ$11:$AQ$4010,MATCH(489,$AZ$11:$AZ$4010,0)),""))</f>
        <v/>
      </c>
      <c r="AI499" s="15" t="str">
        <f>IF(AE499="","",IFERROR(INDEX($AR$11:$AR$4010,MATCH(489,$AZ$11:$AZ$4010,0)),""))</f>
        <v/>
      </c>
      <c r="AJ499" s="15" t="str">
        <f>IF(AE499="","",IFERROR(INDEX($AT$11:$AT$4010,MATCH(489,$AZ$11:$AZ$4010,0)),""))</f>
        <v/>
      </c>
      <c r="AL499" s="17" t="str">
        <f t="shared" si="93"/>
        <v/>
      </c>
      <c r="AM499" s="12" t="str">
        <f t="shared" si="94"/>
        <v/>
      </c>
      <c r="AN499" s="18" t="str">
        <f t="shared" si="95"/>
        <v/>
      </c>
      <c r="AO499" s="18" t="str">
        <f t="shared" si="96"/>
        <v/>
      </c>
      <c r="AP499" s="10" t="str">
        <f t="shared" si="97"/>
        <v/>
      </c>
      <c r="AQ499" s="10" t="str">
        <f t="shared" si="98"/>
        <v/>
      </c>
      <c r="AR499" s="19" t="str">
        <f t="shared" si="99"/>
        <v/>
      </c>
      <c r="AS499" s="20"/>
      <c r="AT499" s="19"/>
      <c r="AV499" s="21">
        <f>IF(AND($AL499&lt;&gt;"",COUNTIF($AL$11:$AL499,$AL499)=1),1,0)</f>
        <v>0</v>
      </c>
      <c r="AW499" s="21">
        <f t="shared" si="101"/>
        <v>0</v>
      </c>
      <c r="AX499" s="21" t="str">
        <f t="shared" si="100"/>
        <v/>
      </c>
      <c r="AY499" s="21" t="str">
        <f>IF(AND($AM499&lt;&gt;"",$AS499&lt;&gt;"✓"),SUMPRODUCT(($AM$11:$AM499&lt;&gt;"")*($AS$11:$AS499&lt;&gt;"✓")),"")</f>
        <v/>
      </c>
      <c r="AZ499" s="21" t="str">
        <f>IF(AND($AM499&lt;&gt;"",$AS499="✓"),SUMPRODUCT(($AM$11:$AM499&lt;&gt;"")*($AS$11:$AS499="✓")),"")</f>
        <v/>
      </c>
      <c r="BA499" s="21" t="str">
        <f>IF($AL499="","",$AL499&amp;"|"&amp;COUNTIF($AL$11:$AL499,$AL499))</f>
        <v/>
      </c>
    </row>
    <row r="500" spans="2:53" ht="15" customHeight="1" x14ac:dyDescent="0.25">
      <c r="B500" s="5" t="str">
        <f t="shared" si="92"/>
        <v/>
      </c>
      <c r="C500" s="5"/>
      <c r="D500" s="5"/>
      <c r="E500" s="5"/>
      <c r="F500" s="6"/>
      <c r="G500" s="6"/>
      <c r="H500" s="7"/>
      <c r="I500" s="8"/>
      <c r="W500" s="28" t="str">
        <f>IF(X500="","",IFERROR(INDEX($AL$11:$AL$4010,MATCH(490,$AY$11:$AY$4010,0)),""))</f>
        <v/>
      </c>
      <c r="X500" s="26" t="str">
        <f>IFERROR(INDEX($AM$11:$AM$4010,MATCH(490,$AY$11:$AY$4010,0)),"")</f>
        <v/>
      </c>
      <c r="Y500" s="25" t="str">
        <f>IF(X500="","",IFERROR(INDEX($AN$11:$AN$4010,MATCH(490,$AY$11:$AY$4010,0)),""))</f>
        <v/>
      </c>
      <c r="Z500" s="25" t="str">
        <f>IF(X500="","",IFERROR(INDEX($AO$11:$AO$4010,MATCH(490,$AY$11:$AY$4010,0)),""))</f>
        <v/>
      </c>
      <c r="AA500" s="24" t="str">
        <f>IF(X500="","",IFERROR(INDEX($AQ$11:$AQ$4010,MATCH(490,$AY$11:$AY$4010,0)),""))</f>
        <v/>
      </c>
      <c r="AB500" s="29" t="str">
        <f>IF(X500="","",IFERROR(INDEX($AR$11:$AR$4010,MATCH(490,$AY$11:$AY$4010,0)),""))</f>
        <v/>
      </c>
      <c r="AD500" s="30" t="str">
        <f>IF(AE500="","",IFERROR(INDEX($AL$11:$AL$4010,MATCH(490,$AZ$11:$AZ$4010,0)),""))</f>
        <v/>
      </c>
      <c r="AE500" s="26" t="str">
        <f>IFERROR(INDEX($AM$11:$AM$4010,MATCH(490,$AZ$11:$AZ$4010,0)),"")</f>
        <v/>
      </c>
      <c r="AF500" s="25" t="str">
        <f>IF(AE500="","",IFERROR(INDEX($AN$11:$AN$4010,MATCH(490,$AZ$11:$AZ$4010,0)),""))</f>
        <v/>
      </c>
      <c r="AG500" s="25" t="str">
        <f>IF(AE500="","",IFERROR(INDEX($AO$11:$AO$4010,MATCH(490,$AZ$11:$AZ$4010,0)),""))</f>
        <v/>
      </c>
      <c r="AH500" s="24" t="str">
        <f>IF(AE500="","",IFERROR(INDEX($AQ$11:$AQ$4010,MATCH(490,$AZ$11:$AZ$4010,0)),""))</f>
        <v/>
      </c>
      <c r="AI500" s="29" t="str">
        <f>IF(AE500="","",IFERROR(INDEX($AR$11:$AR$4010,MATCH(490,$AZ$11:$AZ$4010,0)),""))</f>
        <v/>
      </c>
      <c r="AJ500" s="29" t="str">
        <f>IF(AE500="","",IFERROR(INDEX($AT$11:$AT$4010,MATCH(490,$AZ$11:$AZ$4010,0)),""))</f>
        <v/>
      </c>
      <c r="AL500" s="31" t="str">
        <f t="shared" si="93"/>
        <v/>
      </c>
      <c r="AM500" s="26" t="str">
        <f t="shared" si="94"/>
        <v/>
      </c>
      <c r="AN500" s="32" t="str">
        <f t="shared" si="95"/>
        <v/>
      </c>
      <c r="AO500" s="32" t="str">
        <f t="shared" si="96"/>
        <v/>
      </c>
      <c r="AP500" s="24" t="str">
        <f t="shared" si="97"/>
        <v/>
      </c>
      <c r="AQ500" s="24" t="str">
        <f t="shared" si="98"/>
        <v/>
      </c>
      <c r="AR500" s="33" t="str">
        <f t="shared" si="99"/>
        <v/>
      </c>
      <c r="AS500" s="34"/>
      <c r="AT500" s="33"/>
      <c r="AV500" s="21">
        <f>IF(AND($AL500&lt;&gt;"",COUNTIF($AL$11:$AL500,$AL500)=1),1,0)</f>
        <v>0</v>
      </c>
      <c r="AW500" s="21">
        <f t="shared" si="101"/>
        <v>0</v>
      </c>
      <c r="AX500" s="21" t="str">
        <f t="shared" si="100"/>
        <v/>
      </c>
      <c r="AY500" s="21" t="str">
        <f>IF(AND($AM500&lt;&gt;"",$AS500&lt;&gt;"✓"),SUMPRODUCT(($AM$11:$AM500&lt;&gt;"")*($AS$11:$AS500&lt;&gt;"✓")),"")</f>
        <v/>
      </c>
      <c r="AZ500" s="21" t="str">
        <f>IF(AND($AM500&lt;&gt;"",$AS500="✓"),SUMPRODUCT(($AM$11:$AM500&lt;&gt;"")*($AS$11:$AS500="✓")),"")</f>
        <v/>
      </c>
      <c r="BA500" s="21" t="str">
        <f>IF($AL500="","",$AL500&amp;"|"&amp;COUNTIF($AL$11:$AL500,$AL500))</f>
        <v/>
      </c>
    </row>
    <row r="501" spans="2:53" ht="15" customHeight="1" x14ac:dyDescent="0.25">
      <c r="B501" s="5" t="str">
        <f t="shared" si="92"/>
        <v/>
      </c>
      <c r="C501" s="5"/>
      <c r="D501" s="5"/>
      <c r="E501" s="5"/>
      <c r="F501" s="6"/>
      <c r="G501" s="6"/>
      <c r="H501" s="7"/>
      <c r="I501" s="8"/>
      <c r="W501" s="14" t="str">
        <f>IF(X501="","",IFERROR(INDEX($AL$11:$AL$4010,MATCH(491,$AY$11:$AY$4010,0)),""))</f>
        <v/>
      </c>
      <c r="X501" s="12" t="str">
        <f>IFERROR(INDEX($AM$11:$AM$4010,MATCH(491,$AY$11:$AY$4010,0)),"")</f>
        <v/>
      </c>
      <c r="Y501" s="11" t="str">
        <f>IF(X501="","",IFERROR(INDEX($AN$11:$AN$4010,MATCH(491,$AY$11:$AY$4010,0)),""))</f>
        <v/>
      </c>
      <c r="Z501" s="11" t="str">
        <f>IF(X501="","",IFERROR(INDEX($AO$11:$AO$4010,MATCH(491,$AY$11:$AY$4010,0)),""))</f>
        <v/>
      </c>
      <c r="AA501" s="10" t="str">
        <f>IF(X501="","",IFERROR(INDEX($AQ$11:$AQ$4010,MATCH(491,$AY$11:$AY$4010,0)),""))</f>
        <v/>
      </c>
      <c r="AB501" s="15" t="str">
        <f>IF(X501="","",IFERROR(INDEX($AR$11:$AR$4010,MATCH(491,$AY$11:$AY$4010,0)),""))</f>
        <v/>
      </c>
      <c r="AD501" s="16" t="str">
        <f>IF(AE501="","",IFERROR(INDEX($AL$11:$AL$4010,MATCH(491,$AZ$11:$AZ$4010,0)),""))</f>
        <v/>
      </c>
      <c r="AE501" s="12" t="str">
        <f>IFERROR(INDEX($AM$11:$AM$4010,MATCH(491,$AZ$11:$AZ$4010,0)),"")</f>
        <v/>
      </c>
      <c r="AF501" s="11" t="str">
        <f>IF(AE501="","",IFERROR(INDEX($AN$11:$AN$4010,MATCH(491,$AZ$11:$AZ$4010,0)),""))</f>
        <v/>
      </c>
      <c r="AG501" s="11" t="str">
        <f>IF(AE501="","",IFERROR(INDEX($AO$11:$AO$4010,MATCH(491,$AZ$11:$AZ$4010,0)),""))</f>
        <v/>
      </c>
      <c r="AH501" s="10" t="str">
        <f>IF(AE501="","",IFERROR(INDEX($AQ$11:$AQ$4010,MATCH(491,$AZ$11:$AZ$4010,0)),""))</f>
        <v/>
      </c>
      <c r="AI501" s="15" t="str">
        <f>IF(AE501="","",IFERROR(INDEX($AR$11:$AR$4010,MATCH(491,$AZ$11:$AZ$4010,0)),""))</f>
        <v/>
      </c>
      <c r="AJ501" s="15" t="str">
        <f>IF(AE501="","",IFERROR(INDEX($AT$11:$AT$4010,MATCH(491,$AZ$11:$AZ$4010,0)),""))</f>
        <v/>
      </c>
      <c r="AL501" s="17" t="str">
        <f t="shared" si="93"/>
        <v/>
      </c>
      <c r="AM501" s="12" t="str">
        <f t="shared" si="94"/>
        <v/>
      </c>
      <c r="AN501" s="18" t="str">
        <f t="shared" si="95"/>
        <v/>
      </c>
      <c r="AO501" s="18" t="str">
        <f t="shared" si="96"/>
        <v/>
      </c>
      <c r="AP501" s="10" t="str">
        <f t="shared" si="97"/>
        <v/>
      </c>
      <c r="AQ501" s="10" t="str">
        <f t="shared" si="98"/>
        <v/>
      </c>
      <c r="AR501" s="19" t="str">
        <f t="shared" si="99"/>
        <v/>
      </c>
      <c r="AS501" s="20"/>
      <c r="AT501" s="19"/>
      <c r="AV501" s="21">
        <f>IF(AND($AL501&lt;&gt;"",COUNTIF($AL$11:$AL501,$AL501)=1),1,0)</f>
        <v>0</v>
      </c>
      <c r="AW501" s="21">
        <f t="shared" si="101"/>
        <v>0</v>
      </c>
      <c r="AX501" s="21" t="str">
        <f t="shared" si="100"/>
        <v/>
      </c>
      <c r="AY501" s="21" t="str">
        <f>IF(AND($AM501&lt;&gt;"",$AS501&lt;&gt;"✓"),SUMPRODUCT(($AM$11:$AM501&lt;&gt;"")*($AS$11:$AS501&lt;&gt;"✓")),"")</f>
        <v/>
      </c>
      <c r="AZ501" s="21" t="str">
        <f>IF(AND($AM501&lt;&gt;"",$AS501="✓"),SUMPRODUCT(($AM$11:$AM501&lt;&gt;"")*($AS$11:$AS501="✓")),"")</f>
        <v/>
      </c>
      <c r="BA501" s="21" t="str">
        <f>IF($AL501="","",$AL501&amp;"|"&amp;COUNTIF($AL$11:$AL501,$AL501))</f>
        <v/>
      </c>
    </row>
    <row r="502" spans="2:53" ht="15" customHeight="1" x14ac:dyDescent="0.25">
      <c r="B502" s="5" t="str">
        <f t="shared" si="92"/>
        <v/>
      </c>
      <c r="C502" s="5"/>
      <c r="D502" s="5"/>
      <c r="E502" s="5"/>
      <c r="F502" s="6"/>
      <c r="G502" s="6"/>
      <c r="H502" s="7"/>
      <c r="I502" s="8"/>
      <c r="W502" s="28" t="str">
        <f>IF(X502="","",IFERROR(INDEX($AL$11:$AL$4010,MATCH(492,$AY$11:$AY$4010,0)),""))</f>
        <v/>
      </c>
      <c r="X502" s="26" t="str">
        <f>IFERROR(INDEX($AM$11:$AM$4010,MATCH(492,$AY$11:$AY$4010,0)),"")</f>
        <v/>
      </c>
      <c r="Y502" s="25" t="str">
        <f>IF(X502="","",IFERROR(INDEX($AN$11:$AN$4010,MATCH(492,$AY$11:$AY$4010,0)),""))</f>
        <v/>
      </c>
      <c r="Z502" s="25" t="str">
        <f>IF(X502="","",IFERROR(INDEX($AO$11:$AO$4010,MATCH(492,$AY$11:$AY$4010,0)),""))</f>
        <v/>
      </c>
      <c r="AA502" s="24" t="str">
        <f>IF(X502="","",IFERROR(INDEX($AQ$11:$AQ$4010,MATCH(492,$AY$11:$AY$4010,0)),""))</f>
        <v/>
      </c>
      <c r="AB502" s="29" t="str">
        <f>IF(X502="","",IFERROR(INDEX($AR$11:$AR$4010,MATCH(492,$AY$11:$AY$4010,0)),""))</f>
        <v/>
      </c>
      <c r="AD502" s="30" t="str">
        <f>IF(AE502="","",IFERROR(INDEX($AL$11:$AL$4010,MATCH(492,$AZ$11:$AZ$4010,0)),""))</f>
        <v/>
      </c>
      <c r="AE502" s="26" t="str">
        <f>IFERROR(INDEX($AM$11:$AM$4010,MATCH(492,$AZ$11:$AZ$4010,0)),"")</f>
        <v/>
      </c>
      <c r="AF502" s="25" t="str">
        <f>IF(AE502="","",IFERROR(INDEX($AN$11:$AN$4010,MATCH(492,$AZ$11:$AZ$4010,0)),""))</f>
        <v/>
      </c>
      <c r="AG502" s="25" t="str">
        <f>IF(AE502="","",IFERROR(INDEX($AO$11:$AO$4010,MATCH(492,$AZ$11:$AZ$4010,0)),""))</f>
        <v/>
      </c>
      <c r="AH502" s="24" t="str">
        <f>IF(AE502="","",IFERROR(INDEX($AQ$11:$AQ$4010,MATCH(492,$AZ$11:$AZ$4010,0)),""))</f>
        <v/>
      </c>
      <c r="AI502" s="29" t="str">
        <f>IF(AE502="","",IFERROR(INDEX($AR$11:$AR$4010,MATCH(492,$AZ$11:$AZ$4010,0)),""))</f>
        <v/>
      </c>
      <c r="AJ502" s="29" t="str">
        <f>IF(AE502="","",IFERROR(INDEX($AT$11:$AT$4010,MATCH(492,$AZ$11:$AZ$4010,0)),""))</f>
        <v/>
      </c>
      <c r="AL502" s="31" t="str">
        <f t="shared" si="93"/>
        <v/>
      </c>
      <c r="AM502" s="26" t="str">
        <f t="shared" si="94"/>
        <v/>
      </c>
      <c r="AN502" s="32" t="str">
        <f t="shared" si="95"/>
        <v/>
      </c>
      <c r="AO502" s="32" t="str">
        <f t="shared" si="96"/>
        <v/>
      </c>
      <c r="AP502" s="24" t="str">
        <f t="shared" si="97"/>
        <v/>
      </c>
      <c r="AQ502" s="24" t="str">
        <f t="shared" si="98"/>
        <v/>
      </c>
      <c r="AR502" s="33" t="str">
        <f t="shared" si="99"/>
        <v/>
      </c>
      <c r="AS502" s="34"/>
      <c r="AT502" s="33"/>
      <c r="AV502" s="21">
        <f>IF(AND($AL502&lt;&gt;"",COUNTIF($AL$11:$AL502,$AL502)=1),1,0)</f>
        <v>0</v>
      </c>
      <c r="AW502" s="21">
        <f t="shared" si="101"/>
        <v>0</v>
      </c>
      <c r="AX502" s="21" t="str">
        <f t="shared" si="100"/>
        <v/>
      </c>
      <c r="AY502" s="21" t="str">
        <f>IF(AND($AM502&lt;&gt;"",$AS502&lt;&gt;"✓"),SUMPRODUCT(($AM$11:$AM502&lt;&gt;"")*($AS$11:$AS502&lt;&gt;"✓")),"")</f>
        <v/>
      </c>
      <c r="AZ502" s="21" t="str">
        <f>IF(AND($AM502&lt;&gt;"",$AS502="✓"),SUMPRODUCT(($AM$11:$AM502&lt;&gt;"")*($AS$11:$AS502="✓")),"")</f>
        <v/>
      </c>
      <c r="BA502" s="21" t="str">
        <f>IF($AL502="","",$AL502&amp;"|"&amp;COUNTIF($AL$11:$AL502,$AL502))</f>
        <v/>
      </c>
    </row>
    <row r="503" spans="2:53" ht="15" customHeight="1" x14ac:dyDescent="0.25">
      <c r="B503" s="5" t="str">
        <f t="shared" si="92"/>
        <v/>
      </c>
      <c r="C503" s="5"/>
      <c r="D503" s="5"/>
      <c r="E503" s="5"/>
      <c r="F503" s="6"/>
      <c r="G503" s="6"/>
      <c r="H503" s="7"/>
      <c r="I503" s="8"/>
      <c r="W503" s="14" t="str">
        <f>IF(X503="","",IFERROR(INDEX($AL$11:$AL$4010,MATCH(493,$AY$11:$AY$4010,0)),""))</f>
        <v/>
      </c>
      <c r="X503" s="12" t="str">
        <f>IFERROR(INDEX($AM$11:$AM$4010,MATCH(493,$AY$11:$AY$4010,0)),"")</f>
        <v/>
      </c>
      <c r="Y503" s="11" t="str">
        <f>IF(X503="","",IFERROR(INDEX($AN$11:$AN$4010,MATCH(493,$AY$11:$AY$4010,0)),""))</f>
        <v/>
      </c>
      <c r="Z503" s="11" t="str">
        <f>IF(X503="","",IFERROR(INDEX($AO$11:$AO$4010,MATCH(493,$AY$11:$AY$4010,0)),""))</f>
        <v/>
      </c>
      <c r="AA503" s="10" t="str">
        <f>IF(X503="","",IFERROR(INDEX($AQ$11:$AQ$4010,MATCH(493,$AY$11:$AY$4010,0)),""))</f>
        <v/>
      </c>
      <c r="AB503" s="15" t="str">
        <f>IF(X503="","",IFERROR(INDEX($AR$11:$AR$4010,MATCH(493,$AY$11:$AY$4010,0)),""))</f>
        <v/>
      </c>
      <c r="AD503" s="16" t="str">
        <f>IF(AE503="","",IFERROR(INDEX($AL$11:$AL$4010,MATCH(493,$AZ$11:$AZ$4010,0)),""))</f>
        <v/>
      </c>
      <c r="AE503" s="12" t="str">
        <f>IFERROR(INDEX($AM$11:$AM$4010,MATCH(493,$AZ$11:$AZ$4010,0)),"")</f>
        <v/>
      </c>
      <c r="AF503" s="11" t="str">
        <f>IF(AE503="","",IFERROR(INDEX($AN$11:$AN$4010,MATCH(493,$AZ$11:$AZ$4010,0)),""))</f>
        <v/>
      </c>
      <c r="AG503" s="11" t="str">
        <f>IF(AE503="","",IFERROR(INDEX($AO$11:$AO$4010,MATCH(493,$AZ$11:$AZ$4010,0)),""))</f>
        <v/>
      </c>
      <c r="AH503" s="10" t="str">
        <f>IF(AE503="","",IFERROR(INDEX($AQ$11:$AQ$4010,MATCH(493,$AZ$11:$AZ$4010,0)),""))</f>
        <v/>
      </c>
      <c r="AI503" s="15" t="str">
        <f>IF(AE503="","",IFERROR(INDEX($AR$11:$AR$4010,MATCH(493,$AZ$11:$AZ$4010,0)),""))</f>
        <v/>
      </c>
      <c r="AJ503" s="15" t="str">
        <f>IF(AE503="","",IFERROR(INDEX($AT$11:$AT$4010,MATCH(493,$AZ$11:$AZ$4010,0)),""))</f>
        <v/>
      </c>
      <c r="AL503" s="17" t="str">
        <f t="shared" si="93"/>
        <v/>
      </c>
      <c r="AM503" s="12" t="str">
        <f t="shared" si="94"/>
        <v/>
      </c>
      <c r="AN503" s="18" t="str">
        <f t="shared" si="95"/>
        <v/>
      </c>
      <c r="AO503" s="18" t="str">
        <f t="shared" si="96"/>
        <v/>
      </c>
      <c r="AP503" s="10" t="str">
        <f t="shared" si="97"/>
        <v/>
      </c>
      <c r="AQ503" s="10" t="str">
        <f t="shared" si="98"/>
        <v/>
      </c>
      <c r="AR503" s="19" t="str">
        <f t="shared" si="99"/>
        <v/>
      </c>
      <c r="AS503" s="20"/>
      <c r="AT503" s="19"/>
      <c r="AV503" s="21">
        <f>IF(AND($AL503&lt;&gt;"",COUNTIF($AL$11:$AL503,$AL503)=1),1,0)</f>
        <v>0</v>
      </c>
      <c r="AW503" s="21">
        <f t="shared" si="101"/>
        <v>0</v>
      </c>
      <c r="AX503" s="21" t="str">
        <f t="shared" si="100"/>
        <v/>
      </c>
      <c r="AY503" s="21" t="str">
        <f>IF(AND($AM503&lt;&gt;"",$AS503&lt;&gt;"✓"),SUMPRODUCT(($AM$11:$AM503&lt;&gt;"")*($AS$11:$AS503&lt;&gt;"✓")),"")</f>
        <v/>
      </c>
      <c r="AZ503" s="21" t="str">
        <f>IF(AND($AM503&lt;&gt;"",$AS503="✓"),SUMPRODUCT(($AM$11:$AM503&lt;&gt;"")*($AS$11:$AS503="✓")),"")</f>
        <v/>
      </c>
      <c r="BA503" s="21" t="str">
        <f>IF($AL503="","",$AL503&amp;"|"&amp;COUNTIF($AL$11:$AL503,$AL503))</f>
        <v/>
      </c>
    </row>
    <row r="504" spans="2:53" ht="15" customHeight="1" x14ac:dyDescent="0.25">
      <c r="B504" s="5" t="str">
        <f t="shared" si="92"/>
        <v/>
      </c>
      <c r="C504" s="5"/>
      <c r="D504" s="5"/>
      <c r="E504" s="5"/>
      <c r="F504" s="6"/>
      <c r="G504" s="6"/>
      <c r="H504" s="7"/>
      <c r="I504" s="8"/>
      <c r="W504" s="28" t="str">
        <f>IF(X504="","",IFERROR(INDEX($AL$11:$AL$4010,MATCH(494,$AY$11:$AY$4010,0)),""))</f>
        <v/>
      </c>
      <c r="X504" s="26" t="str">
        <f>IFERROR(INDEX($AM$11:$AM$4010,MATCH(494,$AY$11:$AY$4010,0)),"")</f>
        <v/>
      </c>
      <c r="Y504" s="25" t="str">
        <f>IF(X504="","",IFERROR(INDEX($AN$11:$AN$4010,MATCH(494,$AY$11:$AY$4010,0)),""))</f>
        <v/>
      </c>
      <c r="Z504" s="25" t="str">
        <f>IF(X504="","",IFERROR(INDEX($AO$11:$AO$4010,MATCH(494,$AY$11:$AY$4010,0)),""))</f>
        <v/>
      </c>
      <c r="AA504" s="24" t="str">
        <f>IF(X504="","",IFERROR(INDEX($AQ$11:$AQ$4010,MATCH(494,$AY$11:$AY$4010,0)),""))</f>
        <v/>
      </c>
      <c r="AB504" s="29" t="str">
        <f>IF(X504="","",IFERROR(INDEX($AR$11:$AR$4010,MATCH(494,$AY$11:$AY$4010,0)),""))</f>
        <v/>
      </c>
      <c r="AD504" s="30" t="str">
        <f>IF(AE504="","",IFERROR(INDEX($AL$11:$AL$4010,MATCH(494,$AZ$11:$AZ$4010,0)),""))</f>
        <v/>
      </c>
      <c r="AE504" s="26" t="str">
        <f>IFERROR(INDEX($AM$11:$AM$4010,MATCH(494,$AZ$11:$AZ$4010,0)),"")</f>
        <v/>
      </c>
      <c r="AF504" s="25" t="str">
        <f>IF(AE504="","",IFERROR(INDEX($AN$11:$AN$4010,MATCH(494,$AZ$11:$AZ$4010,0)),""))</f>
        <v/>
      </c>
      <c r="AG504" s="25" t="str">
        <f>IF(AE504="","",IFERROR(INDEX($AO$11:$AO$4010,MATCH(494,$AZ$11:$AZ$4010,0)),""))</f>
        <v/>
      </c>
      <c r="AH504" s="24" t="str">
        <f>IF(AE504="","",IFERROR(INDEX($AQ$11:$AQ$4010,MATCH(494,$AZ$11:$AZ$4010,0)),""))</f>
        <v/>
      </c>
      <c r="AI504" s="29" t="str">
        <f>IF(AE504="","",IFERROR(INDEX($AR$11:$AR$4010,MATCH(494,$AZ$11:$AZ$4010,0)),""))</f>
        <v/>
      </c>
      <c r="AJ504" s="29" t="str">
        <f>IF(AE504="","",IFERROR(INDEX($AT$11:$AT$4010,MATCH(494,$AZ$11:$AZ$4010,0)),""))</f>
        <v/>
      </c>
      <c r="AL504" s="31" t="str">
        <f t="shared" si="93"/>
        <v/>
      </c>
      <c r="AM504" s="26" t="str">
        <f t="shared" si="94"/>
        <v/>
      </c>
      <c r="AN504" s="32" t="str">
        <f t="shared" si="95"/>
        <v/>
      </c>
      <c r="AO504" s="32" t="str">
        <f t="shared" si="96"/>
        <v/>
      </c>
      <c r="AP504" s="24" t="str">
        <f t="shared" si="97"/>
        <v/>
      </c>
      <c r="AQ504" s="24" t="str">
        <f t="shared" si="98"/>
        <v/>
      </c>
      <c r="AR504" s="33" t="str">
        <f t="shared" si="99"/>
        <v/>
      </c>
      <c r="AS504" s="34"/>
      <c r="AT504" s="33"/>
      <c r="AV504" s="21">
        <f>IF(AND($AL504&lt;&gt;"",COUNTIF($AL$11:$AL504,$AL504)=1),1,0)</f>
        <v>0</v>
      </c>
      <c r="AW504" s="21">
        <f t="shared" si="101"/>
        <v>0</v>
      </c>
      <c r="AX504" s="21" t="str">
        <f t="shared" si="100"/>
        <v/>
      </c>
      <c r="AY504" s="21" t="str">
        <f>IF(AND($AM504&lt;&gt;"",$AS504&lt;&gt;"✓"),SUMPRODUCT(($AM$11:$AM504&lt;&gt;"")*($AS$11:$AS504&lt;&gt;"✓")),"")</f>
        <v/>
      </c>
      <c r="AZ504" s="21" t="str">
        <f>IF(AND($AM504&lt;&gt;"",$AS504="✓"),SUMPRODUCT(($AM$11:$AM504&lt;&gt;"")*($AS$11:$AS504="✓")),"")</f>
        <v/>
      </c>
      <c r="BA504" s="21" t="str">
        <f>IF($AL504="","",$AL504&amp;"|"&amp;COUNTIF($AL$11:$AL504,$AL504))</f>
        <v/>
      </c>
    </row>
    <row r="505" spans="2:53" ht="15" customHeight="1" x14ac:dyDescent="0.25">
      <c r="B505" s="5" t="str">
        <f t="shared" si="92"/>
        <v/>
      </c>
      <c r="C505" s="5"/>
      <c r="D505" s="5"/>
      <c r="E505" s="5"/>
      <c r="F505" s="6"/>
      <c r="G505" s="6"/>
      <c r="H505" s="7"/>
      <c r="I505" s="8"/>
      <c r="W505" s="14" t="str">
        <f>IF(X505="","",IFERROR(INDEX($AL$11:$AL$4010,MATCH(495,$AY$11:$AY$4010,0)),""))</f>
        <v/>
      </c>
      <c r="X505" s="12" t="str">
        <f>IFERROR(INDEX($AM$11:$AM$4010,MATCH(495,$AY$11:$AY$4010,0)),"")</f>
        <v/>
      </c>
      <c r="Y505" s="11" t="str">
        <f>IF(X505="","",IFERROR(INDEX($AN$11:$AN$4010,MATCH(495,$AY$11:$AY$4010,0)),""))</f>
        <v/>
      </c>
      <c r="Z505" s="11" t="str">
        <f>IF(X505="","",IFERROR(INDEX($AO$11:$AO$4010,MATCH(495,$AY$11:$AY$4010,0)),""))</f>
        <v/>
      </c>
      <c r="AA505" s="10" t="str">
        <f>IF(X505="","",IFERROR(INDEX($AQ$11:$AQ$4010,MATCH(495,$AY$11:$AY$4010,0)),""))</f>
        <v/>
      </c>
      <c r="AB505" s="15" t="str">
        <f>IF(X505="","",IFERROR(INDEX($AR$11:$AR$4010,MATCH(495,$AY$11:$AY$4010,0)),""))</f>
        <v/>
      </c>
      <c r="AD505" s="16" t="str">
        <f>IF(AE505="","",IFERROR(INDEX($AL$11:$AL$4010,MATCH(495,$AZ$11:$AZ$4010,0)),""))</f>
        <v/>
      </c>
      <c r="AE505" s="12" t="str">
        <f>IFERROR(INDEX($AM$11:$AM$4010,MATCH(495,$AZ$11:$AZ$4010,0)),"")</f>
        <v/>
      </c>
      <c r="AF505" s="11" t="str">
        <f>IF(AE505="","",IFERROR(INDEX($AN$11:$AN$4010,MATCH(495,$AZ$11:$AZ$4010,0)),""))</f>
        <v/>
      </c>
      <c r="AG505" s="11" t="str">
        <f>IF(AE505="","",IFERROR(INDEX($AO$11:$AO$4010,MATCH(495,$AZ$11:$AZ$4010,0)),""))</f>
        <v/>
      </c>
      <c r="AH505" s="10" t="str">
        <f>IF(AE505="","",IFERROR(INDEX($AQ$11:$AQ$4010,MATCH(495,$AZ$11:$AZ$4010,0)),""))</f>
        <v/>
      </c>
      <c r="AI505" s="15" t="str">
        <f>IF(AE505="","",IFERROR(INDEX($AR$11:$AR$4010,MATCH(495,$AZ$11:$AZ$4010,0)),""))</f>
        <v/>
      </c>
      <c r="AJ505" s="15" t="str">
        <f>IF(AE505="","",IFERROR(INDEX($AT$11:$AT$4010,MATCH(495,$AZ$11:$AZ$4010,0)),""))</f>
        <v/>
      </c>
      <c r="AL505" s="17" t="str">
        <f t="shared" si="93"/>
        <v/>
      </c>
      <c r="AM505" s="12" t="str">
        <f t="shared" si="94"/>
        <v/>
      </c>
      <c r="AN505" s="18" t="str">
        <f t="shared" si="95"/>
        <v/>
      </c>
      <c r="AO505" s="18" t="str">
        <f t="shared" si="96"/>
        <v/>
      </c>
      <c r="AP505" s="10" t="str">
        <f t="shared" si="97"/>
        <v/>
      </c>
      <c r="AQ505" s="10" t="str">
        <f t="shared" si="98"/>
        <v/>
      </c>
      <c r="AR505" s="19" t="str">
        <f t="shared" si="99"/>
        <v/>
      </c>
      <c r="AS505" s="20"/>
      <c r="AT505" s="19"/>
      <c r="AV505" s="21">
        <f>IF(AND($AL505&lt;&gt;"",COUNTIF($AL$11:$AL505,$AL505)=1),1,0)</f>
        <v>0</v>
      </c>
      <c r="AW505" s="21">
        <f t="shared" si="101"/>
        <v>0</v>
      </c>
      <c r="AX505" s="21" t="str">
        <f t="shared" si="100"/>
        <v/>
      </c>
      <c r="AY505" s="21" t="str">
        <f>IF(AND($AM505&lt;&gt;"",$AS505&lt;&gt;"✓"),SUMPRODUCT(($AM$11:$AM505&lt;&gt;"")*($AS$11:$AS505&lt;&gt;"✓")),"")</f>
        <v/>
      </c>
      <c r="AZ505" s="21" t="str">
        <f>IF(AND($AM505&lt;&gt;"",$AS505="✓"),SUMPRODUCT(($AM$11:$AM505&lt;&gt;"")*($AS$11:$AS505="✓")),"")</f>
        <v/>
      </c>
      <c r="BA505" s="21" t="str">
        <f>IF($AL505="","",$AL505&amp;"|"&amp;COUNTIF($AL$11:$AL505,$AL505))</f>
        <v/>
      </c>
    </row>
    <row r="506" spans="2:53" ht="15" customHeight="1" x14ac:dyDescent="0.25">
      <c r="B506" s="5" t="str">
        <f t="shared" si="92"/>
        <v/>
      </c>
      <c r="C506" s="5"/>
      <c r="D506" s="5"/>
      <c r="E506" s="5"/>
      <c r="F506" s="6"/>
      <c r="G506" s="6"/>
      <c r="H506" s="7"/>
      <c r="I506" s="8"/>
      <c r="W506" s="28" t="str">
        <f>IF(X506="","",IFERROR(INDEX($AL$11:$AL$4010,MATCH(496,$AY$11:$AY$4010,0)),""))</f>
        <v/>
      </c>
      <c r="X506" s="26" t="str">
        <f>IFERROR(INDEX($AM$11:$AM$4010,MATCH(496,$AY$11:$AY$4010,0)),"")</f>
        <v/>
      </c>
      <c r="Y506" s="25" t="str">
        <f>IF(X506="","",IFERROR(INDEX($AN$11:$AN$4010,MATCH(496,$AY$11:$AY$4010,0)),""))</f>
        <v/>
      </c>
      <c r="Z506" s="25" t="str">
        <f>IF(X506="","",IFERROR(INDEX($AO$11:$AO$4010,MATCH(496,$AY$11:$AY$4010,0)),""))</f>
        <v/>
      </c>
      <c r="AA506" s="24" t="str">
        <f>IF(X506="","",IFERROR(INDEX($AQ$11:$AQ$4010,MATCH(496,$AY$11:$AY$4010,0)),""))</f>
        <v/>
      </c>
      <c r="AB506" s="29" t="str">
        <f>IF(X506="","",IFERROR(INDEX($AR$11:$AR$4010,MATCH(496,$AY$11:$AY$4010,0)),""))</f>
        <v/>
      </c>
      <c r="AD506" s="30" t="str">
        <f>IF(AE506="","",IFERROR(INDEX($AL$11:$AL$4010,MATCH(496,$AZ$11:$AZ$4010,0)),""))</f>
        <v/>
      </c>
      <c r="AE506" s="26" t="str">
        <f>IFERROR(INDEX($AM$11:$AM$4010,MATCH(496,$AZ$11:$AZ$4010,0)),"")</f>
        <v/>
      </c>
      <c r="AF506" s="25" t="str">
        <f>IF(AE506="","",IFERROR(INDEX($AN$11:$AN$4010,MATCH(496,$AZ$11:$AZ$4010,0)),""))</f>
        <v/>
      </c>
      <c r="AG506" s="25" t="str">
        <f>IF(AE506="","",IFERROR(INDEX($AO$11:$AO$4010,MATCH(496,$AZ$11:$AZ$4010,0)),""))</f>
        <v/>
      </c>
      <c r="AH506" s="24" t="str">
        <f>IF(AE506="","",IFERROR(INDEX($AQ$11:$AQ$4010,MATCH(496,$AZ$11:$AZ$4010,0)),""))</f>
        <v/>
      </c>
      <c r="AI506" s="29" t="str">
        <f>IF(AE506="","",IFERROR(INDEX($AR$11:$AR$4010,MATCH(496,$AZ$11:$AZ$4010,0)),""))</f>
        <v/>
      </c>
      <c r="AJ506" s="29" t="str">
        <f>IF(AE506="","",IFERROR(INDEX($AT$11:$AT$4010,MATCH(496,$AZ$11:$AZ$4010,0)),""))</f>
        <v/>
      </c>
      <c r="AL506" s="31" t="str">
        <f t="shared" si="93"/>
        <v/>
      </c>
      <c r="AM506" s="26" t="str">
        <f t="shared" si="94"/>
        <v/>
      </c>
      <c r="AN506" s="32" t="str">
        <f t="shared" si="95"/>
        <v/>
      </c>
      <c r="AO506" s="32" t="str">
        <f t="shared" si="96"/>
        <v/>
      </c>
      <c r="AP506" s="24" t="str">
        <f t="shared" si="97"/>
        <v/>
      </c>
      <c r="AQ506" s="24" t="str">
        <f t="shared" si="98"/>
        <v/>
      </c>
      <c r="AR506" s="33" t="str">
        <f t="shared" si="99"/>
        <v/>
      </c>
      <c r="AS506" s="34"/>
      <c r="AT506" s="33"/>
      <c r="AV506" s="21">
        <f>IF(AND($AL506&lt;&gt;"",COUNTIF($AL$11:$AL506,$AL506)=1),1,0)</f>
        <v>0</v>
      </c>
      <c r="AW506" s="21">
        <f t="shared" si="101"/>
        <v>0</v>
      </c>
      <c r="AX506" s="21" t="str">
        <f t="shared" si="100"/>
        <v/>
      </c>
      <c r="AY506" s="21" t="str">
        <f>IF(AND($AM506&lt;&gt;"",$AS506&lt;&gt;"✓"),SUMPRODUCT(($AM$11:$AM506&lt;&gt;"")*($AS$11:$AS506&lt;&gt;"✓")),"")</f>
        <v/>
      </c>
      <c r="AZ506" s="21" t="str">
        <f>IF(AND($AM506&lt;&gt;"",$AS506="✓"),SUMPRODUCT(($AM$11:$AM506&lt;&gt;"")*($AS$11:$AS506="✓")),"")</f>
        <v/>
      </c>
      <c r="BA506" s="21" t="str">
        <f>IF($AL506="","",$AL506&amp;"|"&amp;COUNTIF($AL$11:$AL506,$AL506))</f>
        <v/>
      </c>
    </row>
    <row r="507" spans="2:53" ht="15" customHeight="1" x14ac:dyDescent="0.25">
      <c r="B507" s="5" t="str">
        <f t="shared" si="92"/>
        <v/>
      </c>
      <c r="C507" s="5"/>
      <c r="D507" s="5"/>
      <c r="E507" s="5"/>
      <c r="F507" s="6"/>
      <c r="G507" s="6"/>
      <c r="H507" s="7"/>
      <c r="I507" s="8"/>
      <c r="W507" s="14" t="str">
        <f>IF(X507="","",IFERROR(INDEX($AL$11:$AL$4010,MATCH(497,$AY$11:$AY$4010,0)),""))</f>
        <v/>
      </c>
      <c r="X507" s="12" t="str">
        <f>IFERROR(INDEX($AM$11:$AM$4010,MATCH(497,$AY$11:$AY$4010,0)),"")</f>
        <v/>
      </c>
      <c r="Y507" s="11" t="str">
        <f>IF(X507="","",IFERROR(INDEX($AN$11:$AN$4010,MATCH(497,$AY$11:$AY$4010,0)),""))</f>
        <v/>
      </c>
      <c r="Z507" s="11" t="str">
        <f>IF(X507="","",IFERROR(INDEX($AO$11:$AO$4010,MATCH(497,$AY$11:$AY$4010,0)),""))</f>
        <v/>
      </c>
      <c r="AA507" s="10" t="str">
        <f>IF(X507="","",IFERROR(INDEX($AQ$11:$AQ$4010,MATCH(497,$AY$11:$AY$4010,0)),""))</f>
        <v/>
      </c>
      <c r="AB507" s="15" t="str">
        <f>IF(X507="","",IFERROR(INDEX($AR$11:$AR$4010,MATCH(497,$AY$11:$AY$4010,0)),""))</f>
        <v/>
      </c>
      <c r="AD507" s="16" t="str">
        <f>IF(AE507="","",IFERROR(INDEX($AL$11:$AL$4010,MATCH(497,$AZ$11:$AZ$4010,0)),""))</f>
        <v/>
      </c>
      <c r="AE507" s="12" t="str">
        <f>IFERROR(INDEX($AM$11:$AM$4010,MATCH(497,$AZ$11:$AZ$4010,0)),"")</f>
        <v/>
      </c>
      <c r="AF507" s="11" t="str">
        <f>IF(AE507="","",IFERROR(INDEX($AN$11:$AN$4010,MATCH(497,$AZ$11:$AZ$4010,0)),""))</f>
        <v/>
      </c>
      <c r="AG507" s="11" t="str">
        <f>IF(AE507="","",IFERROR(INDEX($AO$11:$AO$4010,MATCH(497,$AZ$11:$AZ$4010,0)),""))</f>
        <v/>
      </c>
      <c r="AH507" s="10" t="str">
        <f>IF(AE507="","",IFERROR(INDEX($AQ$11:$AQ$4010,MATCH(497,$AZ$11:$AZ$4010,0)),""))</f>
        <v/>
      </c>
      <c r="AI507" s="15" t="str">
        <f>IF(AE507="","",IFERROR(INDEX($AR$11:$AR$4010,MATCH(497,$AZ$11:$AZ$4010,0)),""))</f>
        <v/>
      </c>
      <c r="AJ507" s="15" t="str">
        <f>IF(AE507="","",IFERROR(INDEX($AT$11:$AT$4010,MATCH(497,$AZ$11:$AZ$4010,0)),""))</f>
        <v/>
      </c>
      <c r="AL507" s="17" t="str">
        <f t="shared" si="93"/>
        <v/>
      </c>
      <c r="AM507" s="12" t="str">
        <f t="shared" si="94"/>
        <v/>
      </c>
      <c r="AN507" s="18" t="str">
        <f t="shared" si="95"/>
        <v/>
      </c>
      <c r="AO507" s="18" t="str">
        <f t="shared" si="96"/>
        <v/>
      </c>
      <c r="AP507" s="10" t="str">
        <f t="shared" si="97"/>
        <v/>
      </c>
      <c r="AQ507" s="10" t="str">
        <f t="shared" si="98"/>
        <v/>
      </c>
      <c r="AR507" s="19" t="str">
        <f t="shared" si="99"/>
        <v/>
      </c>
      <c r="AS507" s="20"/>
      <c r="AT507" s="19"/>
      <c r="AV507" s="21">
        <f>IF(AND($AL507&lt;&gt;"",COUNTIF($AL$11:$AL507,$AL507)=1),1,0)</f>
        <v>0</v>
      </c>
      <c r="AW507" s="21">
        <f t="shared" si="101"/>
        <v>0</v>
      </c>
      <c r="AX507" s="21" t="str">
        <f t="shared" si="100"/>
        <v/>
      </c>
      <c r="AY507" s="21" t="str">
        <f>IF(AND($AM507&lt;&gt;"",$AS507&lt;&gt;"✓"),SUMPRODUCT(($AM$11:$AM507&lt;&gt;"")*($AS$11:$AS507&lt;&gt;"✓")),"")</f>
        <v/>
      </c>
      <c r="AZ507" s="21" t="str">
        <f>IF(AND($AM507&lt;&gt;"",$AS507="✓"),SUMPRODUCT(($AM$11:$AM507&lt;&gt;"")*($AS$11:$AS507="✓")),"")</f>
        <v/>
      </c>
      <c r="BA507" s="21" t="str">
        <f>IF($AL507="","",$AL507&amp;"|"&amp;COUNTIF($AL$11:$AL507,$AL507))</f>
        <v/>
      </c>
    </row>
    <row r="508" spans="2:53" ht="15" customHeight="1" x14ac:dyDescent="0.25">
      <c r="B508" s="5" t="str">
        <f t="shared" si="92"/>
        <v/>
      </c>
      <c r="C508" s="5"/>
      <c r="D508" s="5"/>
      <c r="E508" s="5"/>
      <c r="F508" s="6"/>
      <c r="G508" s="6"/>
      <c r="H508" s="7"/>
      <c r="I508" s="8"/>
      <c r="W508" s="28" t="str">
        <f>IF(X508="","",IFERROR(INDEX($AL$11:$AL$4010,MATCH(498,$AY$11:$AY$4010,0)),""))</f>
        <v/>
      </c>
      <c r="X508" s="26" t="str">
        <f>IFERROR(INDEX($AM$11:$AM$4010,MATCH(498,$AY$11:$AY$4010,0)),"")</f>
        <v/>
      </c>
      <c r="Y508" s="25" t="str">
        <f>IF(X508="","",IFERROR(INDEX($AN$11:$AN$4010,MATCH(498,$AY$11:$AY$4010,0)),""))</f>
        <v/>
      </c>
      <c r="Z508" s="25" t="str">
        <f>IF(X508="","",IFERROR(INDEX($AO$11:$AO$4010,MATCH(498,$AY$11:$AY$4010,0)),""))</f>
        <v/>
      </c>
      <c r="AA508" s="24" t="str">
        <f>IF(X508="","",IFERROR(INDEX($AQ$11:$AQ$4010,MATCH(498,$AY$11:$AY$4010,0)),""))</f>
        <v/>
      </c>
      <c r="AB508" s="29" t="str">
        <f>IF(X508="","",IFERROR(INDEX($AR$11:$AR$4010,MATCH(498,$AY$11:$AY$4010,0)),""))</f>
        <v/>
      </c>
      <c r="AD508" s="30" t="str">
        <f>IF(AE508="","",IFERROR(INDEX($AL$11:$AL$4010,MATCH(498,$AZ$11:$AZ$4010,0)),""))</f>
        <v/>
      </c>
      <c r="AE508" s="26" t="str">
        <f>IFERROR(INDEX($AM$11:$AM$4010,MATCH(498,$AZ$11:$AZ$4010,0)),"")</f>
        <v/>
      </c>
      <c r="AF508" s="25" t="str">
        <f>IF(AE508="","",IFERROR(INDEX($AN$11:$AN$4010,MATCH(498,$AZ$11:$AZ$4010,0)),""))</f>
        <v/>
      </c>
      <c r="AG508" s="25" t="str">
        <f>IF(AE508="","",IFERROR(INDEX($AO$11:$AO$4010,MATCH(498,$AZ$11:$AZ$4010,0)),""))</f>
        <v/>
      </c>
      <c r="AH508" s="24" t="str">
        <f>IF(AE508="","",IFERROR(INDEX($AQ$11:$AQ$4010,MATCH(498,$AZ$11:$AZ$4010,0)),""))</f>
        <v/>
      </c>
      <c r="AI508" s="29" t="str">
        <f>IF(AE508="","",IFERROR(INDEX($AR$11:$AR$4010,MATCH(498,$AZ$11:$AZ$4010,0)),""))</f>
        <v/>
      </c>
      <c r="AJ508" s="29" t="str">
        <f>IF(AE508="","",IFERROR(INDEX($AT$11:$AT$4010,MATCH(498,$AZ$11:$AZ$4010,0)),""))</f>
        <v/>
      </c>
      <c r="AL508" s="31" t="str">
        <f t="shared" si="93"/>
        <v/>
      </c>
      <c r="AM508" s="26" t="str">
        <f t="shared" si="94"/>
        <v/>
      </c>
      <c r="AN508" s="32" t="str">
        <f t="shared" si="95"/>
        <v/>
      </c>
      <c r="AO508" s="32" t="str">
        <f t="shared" si="96"/>
        <v/>
      </c>
      <c r="AP508" s="24" t="str">
        <f t="shared" si="97"/>
        <v/>
      </c>
      <c r="AQ508" s="24" t="str">
        <f t="shared" si="98"/>
        <v/>
      </c>
      <c r="AR508" s="33" t="str">
        <f t="shared" si="99"/>
        <v/>
      </c>
      <c r="AS508" s="34"/>
      <c r="AT508" s="33"/>
      <c r="AV508" s="21">
        <f>IF(AND($AL508&lt;&gt;"",COUNTIF($AL$11:$AL508,$AL508)=1),1,0)</f>
        <v>0</v>
      </c>
      <c r="AW508" s="21">
        <f t="shared" si="101"/>
        <v>0</v>
      </c>
      <c r="AX508" s="21" t="str">
        <f t="shared" si="100"/>
        <v/>
      </c>
      <c r="AY508" s="21" t="str">
        <f>IF(AND($AM508&lt;&gt;"",$AS508&lt;&gt;"✓"),SUMPRODUCT(($AM$11:$AM508&lt;&gt;"")*($AS$11:$AS508&lt;&gt;"✓")),"")</f>
        <v/>
      </c>
      <c r="AZ508" s="21" t="str">
        <f>IF(AND($AM508&lt;&gt;"",$AS508="✓"),SUMPRODUCT(($AM$11:$AM508&lt;&gt;"")*($AS$11:$AS508="✓")),"")</f>
        <v/>
      </c>
      <c r="BA508" s="21" t="str">
        <f>IF($AL508="","",$AL508&amp;"|"&amp;COUNTIF($AL$11:$AL508,$AL508))</f>
        <v/>
      </c>
    </row>
    <row r="509" spans="2:53" ht="15" customHeight="1" x14ac:dyDescent="0.25">
      <c r="B509" s="5" t="str">
        <f t="shared" si="92"/>
        <v/>
      </c>
      <c r="C509" s="5"/>
      <c r="D509" s="5"/>
      <c r="E509" s="5"/>
      <c r="F509" s="6"/>
      <c r="G509" s="6"/>
      <c r="H509" s="7"/>
      <c r="I509" s="8"/>
      <c r="W509" s="14" t="str">
        <f>IF(X509="","",IFERROR(INDEX($AL$11:$AL$4010,MATCH(499,$AY$11:$AY$4010,0)),""))</f>
        <v/>
      </c>
      <c r="X509" s="12" t="str">
        <f>IFERROR(INDEX($AM$11:$AM$4010,MATCH(499,$AY$11:$AY$4010,0)),"")</f>
        <v/>
      </c>
      <c r="Y509" s="11" t="str">
        <f>IF(X509="","",IFERROR(INDEX($AN$11:$AN$4010,MATCH(499,$AY$11:$AY$4010,0)),""))</f>
        <v/>
      </c>
      <c r="Z509" s="11" t="str">
        <f>IF(X509="","",IFERROR(INDEX($AO$11:$AO$4010,MATCH(499,$AY$11:$AY$4010,0)),""))</f>
        <v/>
      </c>
      <c r="AA509" s="10" t="str">
        <f>IF(X509="","",IFERROR(INDEX($AQ$11:$AQ$4010,MATCH(499,$AY$11:$AY$4010,0)),""))</f>
        <v/>
      </c>
      <c r="AB509" s="15" t="str">
        <f>IF(X509="","",IFERROR(INDEX($AR$11:$AR$4010,MATCH(499,$AY$11:$AY$4010,0)),""))</f>
        <v/>
      </c>
      <c r="AD509" s="16" t="str">
        <f>IF(AE509="","",IFERROR(INDEX($AL$11:$AL$4010,MATCH(499,$AZ$11:$AZ$4010,0)),""))</f>
        <v/>
      </c>
      <c r="AE509" s="12" t="str">
        <f>IFERROR(INDEX($AM$11:$AM$4010,MATCH(499,$AZ$11:$AZ$4010,0)),"")</f>
        <v/>
      </c>
      <c r="AF509" s="11" t="str">
        <f>IF(AE509="","",IFERROR(INDEX($AN$11:$AN$4010,MATCH(499,$AZ$11:$AZ$4010,0)),""))</f>
        <v/>
      </c>
      <c r="AG509" s="11" t="str">
        <f>IF(AE509="","",IFERROR(INDEX($AO$11:$AO$4010,MATCH(499,$AZ$11:$AZ$4010,0)),""))</f>
        <v/>
      </c>
      <c r="AH509" s="10" t="str">
        <f>IF(AE509="","",IFERROR(INDEX($AQ$11:$AQ$4010,MATCH(499,$AZ$11:$AZ$4010,0)),""))</f>
        <v/>
      </c>
      <c r="AI509" s="15" t="str">
        <f>IF(AE509="","",IFERROR(INDEX($AR$11:$AR$4010,MATCH(499,$AZ$11:$AZ$4010,0)),""))</f>
        <v/>
      </c>
      <c r="AJ509" s="15" t="str">
        <f>IF(AE509="","",IFERROR(INDEX($AT$11:$AT$4010,MATCH(499,$AZ$11:$AZ$4010,0)),""))</f>
        <v/>
      </c>
      <c r="AL509" s="17" t="str">
        <f t="shared" si="93"/>
        <v/>
      </c>
      <c r="AM509" s="12" t="str">
        <f t="shared" si="94"/>
        <v/>
      </c>
      <c r="AN509" s="18" t="str">
        <f t="shared" si="95"/>
        <v/>
      </c>
      <c r="AO509" s="18" t="str">
        <f t="shared" si="96"/>
        <v/>
      </c>
      <c r="AP509" s="10" t="str">
        <f t="shared" si="97"/>
        <v/>
      </c>
      <c r="AQ509" s="10" t="str">
        <f t="shared" si="98"/>
        <v/>
      </c>
      <c r="AR509" s="19" t="str">
        <f t="shared" si="99"/>
        <v/>
      </c>
      <c r="AS509" s="20"/>
      <c r="AT509" s="19"/>
      <c r="AV509" s="21">
        <f>IF(AND($AL509&lt;&gt;"",COUNTIF($AL$11:$AL509,$AL509)=1),1,0)</f>
        <v>0</v>
      </c>
      <c r="AW509" s="21">
        <f t="shared" si="101"/>
        <v>0</v>
      </c>
      <c r="AX509" s="21" t="str">
        <f t="shared" si="100"/>
        <v/>
      </c>
      <c r="AY509" s="21" t="str">
        <f>IF(AND($AM509&lt;&gt;"",$AS509&lt;&gt;"✓"),SUMPRODUCT(($AM$11:$AM509&lt;&gt;"")*($AS$11:$AS509&lt;&gt;"✓")),"")</f>
        <v/>
      </c>
      <c r="AZ509" s="21" t="str">
        <f>IF(AND($AM509&lt;&gt;"",$AS509="✓"),SUMPRODUCT(($AM$11:$AM509&lt;&gt;"")*($AS$11:$AS509="✓")),"")</f>
        <v/>
      </c>
      <c r="BA509" s="21" t="str">
        <f>IF($AL509="","",$AL509&amp;"|"&amp;COUNTIF($AL$11:$AL509,$AL509))</f>
        <v/>
      </c>
    </row>
    <row r="510" spans="2:53" ht="15" customHeight="1" x14ac:dyDescent="0.25">
      <c r="B510" s="5" t="str">
        <f t="shared" si="92"/>
        <v/>
      </c>
      <c r="C510" s="5"/>
      <c r="D510" s="5"/>
      <c r="E510" s="5"/>
      <c r="F510" s="6"/>
      <c r="G510" s="6"/>
      <c r="H510" s="7"/>
      <c r="I510" s="8"/>
      <c r="W510" s="28" t="str">
        <f>IF(X510="","",IFERROR(INDEX($AL$11:$AL$4010,MATCH(500,$AY$11:$AY$4010,0)),""))</f>
        <v/>
      </c>
      <c r="X510" s="26" t="str">
        <f>IFERROR(INDEX($AM$11:$AM$4010,MATCH(500,$AY$11:$AY$4010,0)),"")</f>
        <v/>
      </c>
      <c r="Y510" s="25" t="str">
        <f>IF(X510="","",IFERROR(INDEX($AN$11:$AN$4010,MATCH(500,$AY$11:$AY$4010,0)),""))</f>
        <v/>
      </c>
      <c r="Z510" s="25" t="str">
        <f>IF(X510="","",IFERROR(INDEX($AO$11:$AO$4010,MATCH(500,$AY$11:$AY$4010,0)),""))</f>
        <v/>
      </c>
      <c r="AA510" s="24" t="str">
        <f>IF(X510="","",IFERROR(INDEX($AQ$11:$AQ$4010,MATCH(500,$AY$11:$AY$4010,0)),""))</f>
        <v/>
      </c>
      <c r="AB510" s="29" t="str">
        <f>IF(X510="","",IFERROR(INDEX($AR$11:$AR$4010,MATCH(500,$AY$11:$AY$4010,0)),""))</f>
        <v/>
      </c>
      <c r="AD510" s="30" t="str">
        <f>IF(AE510="","",IFERROR(INDEX($AL$11:$AL$4010,MATCH(500,$AZ$11:$AZ$4010,0)),""))</f>
        <v/>
      </c>
      <c r="AE510" s="26" t="str">
        <f>IFERROR(INDEX($AM$11:$AM$4010,MATCH(500,$AZ$11:$AZ$4010,0)),"")</f>
        <v/>
      </c>
      <c r="AF510" s="25" t="str">
        <f>IF(AE510="","",IFERROR(INDEX($AN$11:$AN$4010,MATCH(500,$AZ$11:$AZ$4010,0)),""))</f>
        <v/>
      </c>
      <c r="AG510" s="25" t="str">
        <f>IF(AE510="","",IFERROR(INDEX($AO$11:$AO$4010,MATCH(500,$AZ$11:$AZ$4010,0)),""))</f>
        <v/>
      </c>
      <c r="AH510" s="24" t="str">
        <f>IF(AE510="","",IFERROR(INDEX($AQ$11:$AQ$4010,MATCH(500,$AZ$11:$AZ$4010,0)),""))</f>
        <v/>
      </c>
      <c r="AI510" s="29" t="str">
        <f>IF(AE510="","",IFERROR(INDEX($AR$11:$AR$4010,MATCH(500,$AZ$11:$AZ$4010,0)),""))</f>
        <v/>
      </c>
      <c r="AJ510" s="29" t="str">
        <f>IF(AE510="","",IFERROR(INDEX($AT$11:$AT$4010,MATCH(500,$AZ$11:$AZ$4010,0)),""))</f>
        <v/>
      </c>
      <c r="AL510" s="31" t="str">
        <f t="shared" si="93"/>
        <v/>
      </c>
      <c r="AM510" s="26" t="str">
        <f t="shared" si="94"/>
        <v/>
      </c>
      <c r="AN510" s="32" t="str">
        <f t="shared" si="95"/>
        <v/>
      </c>
      <c r="AO510" s="32" t="str">
        <f t="shared" si="96"/>
        <v/>
      </c>
      <c r="AP510" s="24" t="str">
        <f t="shared" si="97"/>
        <v/>
      </c>
      <c r="AQ510" s="24" t="str">
        <f t="shared" si="98"/>
        <v/>
      </c>
      <c r="AR510" s="33" t="str">
        <f t="shared" si="99"/>
        <v/>
      </c>
      <c r="AS510" s="34"/>
      <c r="AT510" s="33"/>
      <c r="AV510" s="21">
        <f>IF(AND($AL510&lt;&gt;"",COUNTIF($AL$11:$AL510,$AL510)=1),1,0)</f>
        <v>0</v>
      </c>
      <c r="AW510" s="21">
        <f t="shared" si="101"/>
        <v>0</v>
      </c>
      <c r="AX510" s="21" t="str">
        <f t="shared" si="100"/>
        <v/>
      </c>
      <c r="AY510" s="21" t="str">
        <f>IF(AND($AM510&lt;&gt;"",$AS510&lt;&gt;"✓"),SUMPRODUCT(($AM$11:$AM510&lt;&gt;"")*($AS$11:$AS510&lt;&gt;"✓")),"")</f>
        <v/>
      </c>
      <c r="AZ510" s="21" t="str">
        <f>IF(AND($AM510&lt;&gt;"",$AS510="✓"),SUMPRODUCT(($AM$11:$AM510&lt;&gt;"")*($AS$11:$AS510="✓")),"")</f>
        <v/>
      </c>
      <c r="BA510" s="21" t="str">
        <f>IF($AL510="","",$AL510&amp;"|"&amp;COUNTIF($AL$11:$AL510,$AL510))</f>
        <v/>
      </c>
    </row>
    <row r="511" spans="2:53" ht="15" customHeight="1" x14ac:dyDescent="0.25">
      <c r="W511" s="14" t="str">
        <f>IF(X511="","",IFERROR(INDEX($AL$11:$AL$4010,MATCH(501,$AY$11:$AY$4010,0)),""))</f>
        <v/>
      </c>
      <c r="X511" s="12" t="str">
        <f>IFERROR(INDEX($AM$11:$AM$4010,MATCH(501,$AY$11:$AY$4010,0)),"")</f>
        <v/>
      </c>
      <c r="Y511" s="11" t="str">
        <f>IF(X511="","",IFERROR(INDEX($AN$11:$AN$4010,MATCH(501,$AY$11:$AY$4010,0)),""))</f>
        <v/>
      </c>
      <c r="Z511" s="11" t="str">
        <f>IF(X511="","",IFERROR(INDEX($AO$11:$AO$4010,MATCH(501,$AY$11:$AY$4010,0)),""))</f>
        <v/>
      </c>
      <c r="AA511" s="10" t="str">
        <f>IF(X511="","",IFERROR(INDEX($AQ$11:$AQ$4010,MATCH(501,$AY$11:$AY$4010,0)),""))</f>
        <v/>
      </c>
      <c r="AB511" s="15" t="str">
        <f>IF(X511="","",IFERROR(INDEX($AR$11:$AR$4010,MATCH(501,$AY$11:$AY$4010,0)),""))</f>
        <v/>
      </c>
      <c r="AD511" s="16" t="str">
        <f>IF(AE511="","",IFERROR(INDEX($AL$11:$AL$4010,MATCH(501,$AZ$11:$AZ$4010,0)),""))</f>
        <v/>
      </c>
      <c r="AE511" s="12" t="str">
        <f>IFERROR(INDEX($AM$11:$AM$4010,MATCH(501,$AZ$11:$AZ$4010,0)),"")</f>
        <v/>
      </c>
      <c r="AF511" s="11" t="str">
        <f>IF(AE511="","",IFERROR(INDEX($AN$11:$AN$4010,MATCH(501,$AZ$11:$AZ$4010,0)),""))</f>
        <v/>
      </c>
      <c r="AG511" s="11" t="str">
        <f>IF(AE511="","",IFERROR(INDEX($AO$11:$AO$4010,MATCH(501,$AZ$11:$AZ$4010,0)),""))</f>
        <v/>
      </c>
      <c r="AH511" s="10" t="str">
        <f>IF(AE511="","",IFERROR(INDEX($AQ$11:$AQ$4010,MATCH(501,$AZ$11:$AZ$4010,0)),""))</f>
        <v/>
      </c>
      <c r="AI511" s="15" t="str">
        <f>IF(AE511="","",IFERROR(INDEX($AR$11:$AR$4010,MATCH(501,$AZ$11:$AZ$4010,0)),""))</f>
        <v/>
      </c>
      <c r="AJ511" s="15" t="str">
        <f>IF(AE511="","",IFERROR(INDEX($AT$11:$AT$4010,MATCH(501,$AZ$11:$AZ$4010,0)),""))</f>
        <v/>
      </c>
      <c r="AL511" s="17"/>
      <c r="AM511" s="12"/>
      <c r="AN511" s="18"/>
      <c r="AO511" s="18"/>
      <c r="AP511" s="10"/>
      <c r="AQ511" s="10"/>
      <c r="AR511" s="19"/>
      <c r="AS511" s="20"/>
      <c r="AT511" s="19"/>
      <c r="AV511" s="21">
        <f>IF(AND($AL511&lt;&gt;"",COUNTIF($AL$11:$AL511,$AL511)=1),1,0)</f>
        <v>0</v>
      </c>
      <c r="AW511" s="21">
        <f t="shared" si="101"/>
        <v>0</v>
      </c>
      <c r="AX511" s="21" t="str">
        <f t="shared" si="100"/>
        <v/>
      </c>
      <c r="AY511" s="21" t="str">
        <f>IF(AND($AM511&lt;&gt;"",$AS511&lt;&gt;"✓"),SUMPRODUCT(($AM$11:$AM511&lt;&gt;"")*($AS$11:$AS511&lt;&gt;"✓")),"")</f>
        <v/>
      </c>
      <c r="AZ511" s="21" t="str">
        <f>IF(AND($AM511&lt;&gt;"",$AS511="✓"),SUMPRODUCT(($AM$11:$AM511&lt;&gt;"")*($AS$11:$AS511="✓")),"")</f>
        <v/>
      </c>
      <c r="BA511" s="21" t="str">
        <f>IF($AL511="","",$AL511&amp;"|"&amp;COUNTIF($AL$11:$AL511,$AL511))</f>
        <v/>
      </c>
    </row>
    <row r="512" spans="2:53" ht="15" customHeight="1" x14ac:dyDescent="0.25">
      <c r="W512" s="28" t="str">
        <f>IF(X512="","",IFERROR(INDEX($AL$11:$AL$4010,MATCH(502,$AY$11:$AY$4010,0)),""))</f>
        <v/>
      </c>
      <c r="X512" s="26" t="str">
        <f>IFERROR(INDEX($AM$11:$AM$4010,MATCH(502,$AY$11:$AY$4010,0)),"")</f>
        <v/>
      </c>
      <c r="Y512" s="25" t="str">
        <f>IF(X512="","",IFERROR(INDEX($AN$11:$AN$4010,MATCH(502,$AY$11:$AY$4010,0)),""))</f>
        <v/>
      </c>
      <c r="Z512" s="25" t="str">
        <f>IF(X512="","",IFERROR(INDEX($AO$11:$AO$4010,MATCH(502,$AY$11:$AY$4010,0)),""))</f>
        <v/>
      </c>
      <c r="AA512" s="24" t="str">
        <f>IF(X512="","",IFERROR(INDEX($AQ$11:$AQ$4010,MATCH(502,$AY$11:$AY$4010,0)),""))</f>
        <v/>
      </c>
      <c r="AB512" s="29" t="str">
        <f>IF(X512="","",IFERROR(INDEX($AR$11:$AR$4010,MATCH(502,$AY$11:$AY$4010,0)),""))</f>
        <v/>
      </c>
      <c r="AD512" s="30" t="str">
        <f>IF(AE512="","",IFERROR(INDEX($AL$11:$AL$4010,MATCH(502,$AZ$11:$AZ$4010,0)),""))</f>
        <v/>
      </c>
      <c r="AE512" s="26" t="str">
        <f>IFERROR(INDEX($AM$11:$AM$4010,MATCH(502,$AZ$11:$AZ$4010,0)),"")</f>
        <v/>
      </c>
      <c r="AF512" s="25" t="str">
        <f>IF(AE512="","",IFERROR(INDEX($AN$11:$AN$4010,MATCH(502,$AZ$11:$AZ$4010,0)),""))</f>
        <v/>
      </c>
      <c r="AG512" s="25" t="str">
        <f>IF(AE512="","",IFERROR(INDEX($AO$11:$AO$4010,MATCH(502,$AZ$11:$AZ$4010,0)),""))</f>
        <v/>
      </c>
      <c r="AH512" s="24" t="str">
        <f>IF(AE512="","",IFERROR(INDEX($AQ$11:$AQ$4010,MATCH(502,$AZ$11:$AZ$4010,0)),""))</f>
        <v/>
      </c>
      <c r="AI512" s="29" t="str">
        <f>IF(AE512="","",IFERROR(INDEX($AR$11:$AR$4010,MATCH(502,$AZ$11:$AZ$4010,0)),""))</f>
        <v/>
      </c>
      <c r="AJ512" s="29" t="str">
        <f>IF(AE512="","",IFERROR(INDEX($AT$11:$AT$4010,MATCH(502,$AZ$11:$AZ$4010,0)),""))</f>
        <v/>
      </c>
      <c r="AL512" s="31"/>
      <c r="AM512" s="26"/>
      <c r="AN512" s="32"/>
      <c r="AO512" s="32"/>
      <c r="AP512" s="24"/>
      <c r="AQ512" s="24"/>
      <c r="AR512" s="33"/>
      <c r="AS512" s="34"/>
      <c r="AT512" s="33"/>
      <c r="AV512" s="21">
        <f>IF(AND($AL512&lt;&gt;"",COUNTIF($AL$11:$AL512,$AL512)=1),1,0)</f>
        <v>0</v>
      </c>
      <c r="AW512" s="21">
        <f t="shared" si="101"/>
        <v>0</v>
      </c>
      <c r="AX512" s="21" t="str">
        <f t="shared" si="100"/>
        <v/>
      </c>
      <c r="AY512" s="21" t="str">
        <f>IF(AND($AM512&lt;&gt;"",$AS512&lt;&gt;"✓"),SUMPRODUCT(($AM$11:$AM512&lt;&gt;"")*($AS$11:$AS512&lt;&gt;"✓")),"")</f>
        <v/>
      </c>
      <c r="AZ512" s="21" t="str">
        <f>IF(AND($AM512&lt;&gt;"",$AS512="✓"),SUMPRODUCT(($AM$11:$AM512&lt;&gt;"")*($AS$11:$AS512="✓")),"")</f>
        <v/>
      </c>
      <c r="BA512" s="21" t="str">
        <f>IF($AL512="","",$AL512&amp;"|"&amp;COUNTIF($AL$11:$AL512,$AL512))</f>
        <v/>
      </c>
    </row>
    <row r="513" spans="23:53" ht="15" customHeight="1" x14ac:dyDescent="0.25">
      <c r="W513" s="14" t="str">
        <f>IF(X513="","",IFERROR(INDEX($AL$11:$AL$4010,MATCH(503,$AY$11:$AY$4010,0)),""))</f>
        <v/>
      </c>
      <c r="X513" s="12" t="str">
        <f>IFERROR(INDEX($AM$11:$AM$4010,MATCH(503,$AY$11:$AY$4010,0)),"")</f>
        <v/>
      </c>
      <c r="Y513" s="11" t="str">
        <f>IF(X513="","",IFERROR(INDEX($AN$11:$AN$4010,MATCH(503,$AY$11:$AY$4010,0)),""))</f>
        <v/>
      </c>
      <c r="Z513" s="11" t="str">
        <f>IF(X513="","",IFERROR(INDEX($AO$11:$AO$4010,MATCH(503,$AY$11:$AY$4010,0)),""))</f>
        <v/>
      </c>
      <c r="AA513" s="10" t="str">
        <f>IF(X513="","",IFERROR(INDEX($AQ$11:$AQ$4010,MATCH(503,$AY$11:$AY$4010,0)),""))</f>
        <v/>
      </c>
      <c r="AB513" s="15" t="str">
        <f>IF(X513="","",IFERROR(INDEX($AR$11:$AR$4010,MATCH(503,$AY$11:$AY$4010,0)),""))</f>
        <v/>
      </c>
      <c r="AD513" s="16" t="str">
        <f>IF(AE513="","",IFERROR(INDEX($AL$11:$AL$4010,MATCH(503,$AZ$11:$AZ$4010,0)),""))</f>
        <v/>
      </c>
      <c r="AE513" s="12" t="str">
        <f>IFERROR(INDEX($AM$11:$AM$4010,MATCH(503,$AZ$11:$AZ$4010,0)),"")</f>
        <v/>
      </c>
      <c r="AF513" s="11" t="str">
        <f>IF(AE513="","",IFERROR(INDEX($AN$11:$AN$4010,MATCH(503,$AZ$11:$AZ$4010,0)),""))</f>
        <v/>
      </c>
      <c r="AG513" s="11" t="str">
        <f>IF(AE513="","",IFERROR(INDEX($AO$11:$AO$4010,MATCH(503,$AZ$11:$AZ$4010,0)),""))</f>
        <v/>
      </c>
      <c r="AH513" s="10" t="str">
        <f>IF(AE513="","",IFERROR(INDEX($AQ$11:$AQ$4010,MATCH(503,$AZ$11:$AZ$4010,0)),""))</f>
        <v/>
      </c>
      <c r="AI513" s="15" t="str">
        <f>IF(AE513="","",IFERROR(INDEX($AR$11:$AR$4010,MATCH(503,$AZ$11:$AZ$4010,0)),""))</f>
        <v/>
      </c>
      <c r="AJ513" s="15" t="str">
        <f>IF(AE513="","",IFERROR(INDEX($AT$11:$AT$4010,MATCH(503,$AZ$11:$AZ$4010,0)),""))</f>
        <v/>
      </c>
      <c r="AL513" s="17"/>
      <c r="AM513" s="12"/>
      <c r="AN513" s="18"/>
      <c r="AO513" s="18"/>
      <c r="AP513" s="10"/>
      <c r="AQ513" s="10"/>
      <c r="AR513" s="19"/>
      <c r="AS513" s="20"/>
      <c r="AT513" s="19"/>
      <c r="AV513" s="21">
        <f>IF(AND($AL513&lt;&gt;"",COUNTIF($AL$11:$AL513,$AL513)=1),1,0)</f>
        <v>0</v>
      </c>
      <c r="AW513" s="21">
        <f t="shared" si="101"/>
        <v>0</v>
      </c>
      <c r="AX513" s="21" t="str">
        <f t="shared" si="100"/>
        <v/>
      </c>
      <c r="AY513" s="21" t="str">
        <f>IF(AND($AM513&lt;&gt;"",$AS513&lt;&gt;"✓"),SUMPRODUCT(($AM$11:$AM513&lt;&gt;"")*($AS$11:$AS513&lt;&gt;"✓")),"")</f>
        <v/>
      </c>
      <c r="AZ513" s="21" t="str">
        <f>IF(AND($AM513&lt;&gt;"",$AS513="✓"),SUMPRODUCT(($AM$11:$AM513&lt;&gt;"")*($AS$11:$AS513="✓")),"")</f>
        <v/>
      </c>
      <c r="BA513" s="21" t="str">
        <f>IF($AL513="","",$AL513&amp;"|"&amp;COUNTIF($AL$11:$AL513,$AL513))</f>
        <v/>
      </c>
    </row>
    <row r="514" spans="23:53" ht="15" customHeight="1" x14ac:dyDescent="0.25">
      <c r="W514" s="28" t="str">
        <f>IF(X514="","",IFERROR(INDEX($AL$11:$AL$4010,MATCH(504,$AY$11:$AY$4010,0)),""))</f>
        <v/>
      </c>
      <c r="X514" s="26" t="str">
        <f>IFERROR(INDEX($AM$11:$AM$4010,MATCH(504,$AY$11:$AY$4010,0)),"")</f>
        <v/>
      </c>
      <c r="Y514" s="25" t="str">
        <f>IF(X514="","",IFERROR(INDEX($AN$11:$AN$4010,MATCH(504,$AY$11:$AY$4010,0)),""))</f>
        <v/>
      </c>
      <c r="Z514" s="25" t="str">
        <f>IF(X514="","",IFERROR(INDEX($AO$11:$AO$4010,MATCH(504,$AY$11:$AY$4010,0)),""))</f>
        <v/>
      </c>
      <c r="AA514" s="24" t="str">
        <f>IF(X514="","",IFERROR(INDEX($AQ$11:$AQ$4010,MATCH(504,$AY$11:$AY$4010,0)),""))</f>
        <v/>
      </c>
      <c r="AB514" s="29" t="str">
        <f>IF(X514="","",IFERROR(INDEX($AR$11:$AR$4010,MATCH(504,$AY$11:$AY$4010,0)),""))</f>
        <v/>
      </c>
      <c r="AD514" s="30" t="str">
        <f>IF(AE514="","",IFERROR(INDEX($AL$11:$AL$4010,MATCH(504,$AZ$11:$AZ$4010,0)),""))</f>
        <v/>
      </c>
      <c r="AE514" s="26" t="str">
        <f>IFERROR(INDEX($AM$11:$AM$4010,MATCH(504,$AZ$11:$AZ$4010,0)),"")</f>
        <v/>
      </c>
      <c r="AF514" s="25" t="str">
        <f>IF(AE514="","",IFERROR(INDEX($AN$11:$AN$4010,MATCH(504,$AZ$11:$AZ$4010,0)),""))</f>
        <v/>
      </c>
      <c r="AG514" s="25" t="str">
        <f>IF(AE514="","",IFERROR(INDEX($AO$11:$AO$4010,MATCH(504,$AZ$11:$AZ$4010,0)),""))</f>
        <v/>
      </c>
      <c r="AH514" s="24" t="str">
        <f>IF(AE514="","",IFERROR(INDEX($AQ$11:$AQ$4010,MATCH(504,$AZ$11:$AZ$4010,0)),""))</f>
        <v/>
      </c>
      <c r="AI514" s="29" t="str">
        <f>IF(AE514="","",IFERROR(INDEX($AR$11:$AR$4010,MATCH(504,$AZ$11:$AZ$4010,0)),""))</f>
        <v/>
      </c>
      <c r="AJ514" s="29" t="str">
        <f>IF(AE514="","",IFERROR(INDEX($AT$11:$AT$4010,MATCH(504,$AZ$11:$AZ$4010,0)),""))</f>
        <v/>
      </c>
      <c r="AL514" s="31"/>
      <c r="AM514" s="26"/>
      <c r="AN514" s="32"/>
      <c r="AO514" s="32"/>
      <c r="AP514" s="24"/>
      <c r="AQ514" s="24"/>
      <c r="AR514" s="33"/>
      <c r="AS514" s="34"/>
      <c r="AT514" s="33"/>
      <c r="AV514" s="21">
        <f>IF(AND($AL514&lt;&gt;"",COUNTIF($AL$11:$AL514,$AL514)=1),1,0)</f>
        <v>0</v>
      </c>
      <c r="AW514" s="21">
        <f t="shared" si="101"/>
        <v>0</v>
      </c>
      <c r="AX514" s="21" t="str">
        <f t="shared" si="100"/>
        <v/>
      </c>
      <c r="AY514" s="21" t="str">
        <f>IF(AND($AM514&lt;&gt;"",$AS514&lt;&gt;"✓"),SUMPRODUCT(($AM$11:$AM514&lt;&gt;"")*($AS$11:$AS514&lt;&gt;"✓")),"")</f>
        <v/>
      </c>
      <c r="AZ514" s="21" t="str">
        <f>IF(AND($AM514&lt;&gt;"",$AS514="✓"),SUMPRODUCT(($AM$11:$AM514&lt;&gt;"")*($AS$11:$AS514="✓")),"")</f>
        <v/>
      </c>
      <c r="BA514" s="21" t="str">
        <f>IF($AL514="","",$AL514&amp;"|"&amp;COUNTIF($AL$11:$AL514,$AL514))</f>
        <v/>
      </c>
    </row>
    <row r="515" spans="23:53" ht="15" customHeight="1" x14ac:dyDescent="0.25">
      <c r="W515" s="14" t="str">
        <f>IF(X515="","",IFERROR(INDEX($AL$11:$AL$4010,MATCH(505,$AY$11:$AY$4010,0)),""))</f>
        <v/>
      </c>
      <c r="X515" s="12" t="str">
        <f>IFERROR(INDEX($AM$11:$AM$4010,MATCH(505,$AY$11:$AY$4010,0)),"")</f>
        <v/>
      </c>
      <c r="Y515" s="11" t="str">
        <f>IF(X515="","",IFERROR(INDEX($AN$11:$AN$4010,MATCH(505,$AY$11:$AY$4010,0)),""))</f>
        <v/>
      </c>
      <c r="Z515" s="11" t="str">
        <f>IF(X515="","",IFERROR(INDEX($AO$11:$AO$4010,MATCH(505,$AY$11:$AY$4010,0)),""))</f>
        <v/>
      </c>
      <c r="AA515" s="10" t="str">
        <f>IF(X515="","",IFERROR(INDEX($AQ$11:$AQ$4010,MATCH(505,$AY$11:$AY$4010,0)),""))</f>
        <v/>
      </c>
      <c r="AB515" s="15" t="str">
        <f>IF(X515="","",IFERROR(INDEX($AR$11:$AR$4010,MATCH(505,$AY$11:$AY$4010,0)),""))</f>
        <v/>
      </c>
      <c r="AD515" s="16" t="str">
        <f>IF(AE515="","",IFERROR(INDEX($AL$11:$AL$4010,MATCH(505,$AZ$11:$AZ$4010,0)),""))</f>
        <v/>
      </c>
      <c r="AE515" s="12" t="str">
        <f>IFERROR(INDEX($AM$11:$AM$4010,MATCH(505,$AZ$11:$AZ$4010,0)),"")</f>
        <v/>
      </c>
      <c r="AF515" s="11" t="str">
        <f>IF(AE515="","",IFERROR(INDEX($AN$11:$AN$4010,MATCH(505,$AZ$11:$AZ$4010,0)),""))</f>
        <v/>
      </c>
      <c r="AG515" s="11" t="str">
        <f>IF(AE515="","",IFERROR(INDEX($AO$11:$AO$4010,MATCH(505,$AZ$11:$AZ$4010,0)),""))</f>
        <v/>
      </c>
      <c r="AH515" s="10" t="str">
        <f>IF(AE515="","",IFERROR(INDEX($AQ$11:$AQ$4010,MATCH(505,$AZ$11:$AZ$4010,0)),""))</f>
        <v/>
      </c>
      <c r="AI515" s="15" t="str">
        <f>IF(AE515="","",IFERROR(INDEX($AR$11:$AR$4010,MATCH(505,$AZ$11:$AZ$4010,0)),""))</f>
        <v/>
      </c>
      <c r="AJ515" s="15" t="str">
        <f>IF(AE515="","",IFERROR(INDEX($AT$11:$AT$4010,MATCH(505,$AZ$11:$AZ$4010,0)),""))</f>
        <v/>
      </c>
      <c r="AL515" s="17"/>
      <c r="AM515" s="12"/>
      <c r="AN515" s="18"/>
      <c r="AO515" s="18"/>
      <c r="AP515" s="10"/>
      <c r="AQ515" s="10"/>
      <c r="AR515" s="19"/>
      <c r="AS515" s="20"/>
      <c r="AT515" s="19"/>
      <c r="AV515" s="21">
        <f>IF(AND($AL515&lt;&gt;"",COUNTIF($AL$11:$AL515,$AL515)=1),1,0)</f>
        <v>0</v>
      </c>
      <c r="AW515" s="21">
        <f t="shared" si="101"/>
        <v>0</v>
      </c>
      <c r="AX515" s="21" t="str">
        <f t="shared" si="100"/>
        <v/>
      </c>
      <c r="AY515" s="21" t="str">
        <f>IF(AND($AM515&lt;&gt;"",$AS515&lt;&gt;"✓"),SUMPRODUCT(($AM$11:$AM515&lt;&gt;"")*($AS$11:$AS515&lt;&gt;"✓")),"")</f>
        <v/>
      </c>
      <c r="AZ515" s="21" t="str">
        <f>IF(AND($AM515&lt;&gt;"",$AS515="✓"),SUMPRODUCT(($AM$11:$AM515&lt;&gt;"")*($AS$11:$AS515="✓")),"")</f>
        <v/>
      </c>
      <c r="BA515" s="21" t="str">
        <f>IF($AL515="","",$AL515&amp;"|"&amp;COUNTIF($AL$11:$AL515,$AL515))</f>
        <v/>
      </c>
    </row>
    <row r="516" spans="23:53" ht="15" customHeight="1" x14ac:dyDescent="0.25">
      <c r="W516" s="28" t="str">
        <f>IF(X516="","",IFERROR(INDEX($AL$11:$AL$4010,MATCH(506,$AY$11:$AY$4010,0)),""))</f>
        <v/>
      </c>
      <c r="X516" s="26" t="str">
        <f>IFERROR(INDEX($AM$11:$AM$4010,MATCH(506,$AY$11:$AY$4010,0)),"")</f>
        <v/>
      </c>
      <c r="Y516" s="25" t="str">
        <f>IF(X516="","",IFERROR(INDEX($AN$11:$AN$4010,MATCH(506,$AY$11:$AY$4010,0)),""))</f>
        <v/>
      </c>
      <c r="Z516" s="25" t="str">
        <f>IF(X516="","",IFERROR(INDEX($AO$11:$AO$4010,MATCH(506,$AY$11:$AY$4010,0)),""))</f>
        <v/>
      </c>
      <c r="AA516" s="24" t="str">
        <f>IF(X516="","",IFERROR(INDEX($AQ$11:$AQ$4010,MATCH(506,$AY$11:$AY$4010,0)),""))</f>
        <v/>
      </c>
      <c r="AB516" s="29" t="str">
        <f>IF(X516="","",IFERROR(INDEX($AR$11:$AR$4010,MATCH(506,$AY$11:$AY$4010,0)),""))</f>
        <v/>
      </c>
      <c r="AD516" s="30" t="str">
        <f>IF(AE516="","",IFERROR(INDEX($AL$11:$AL$4010,MATCH(506,$AZ$11:$AZ$4010,0)),""))</f>
        <v/>
      </c>
      <c r="AE516" s="26" t="str">
        <f>IFERROR(INDEX($AM$11:$AM$4010,MATCH(506,$AZ$11:$AZ$4010,0)),"")</f>
        <v/>
      </c>
      <c r="AF516" s="25" t="str">
        <f>IF(AE516="","",IFERROR(INDEX($AN$11:$AN$4010,MATCH(506,$AZ$11:$AZ$4010,0)),""))</f>
        <v/>
      </c>
      <c r="AG516" s="25" t="str">
        <f>IF(AE516="","",IFERROR(INDEX($AO$11:$AO$4010,MATCH(506,$AZ$11:$AZ$4010,0)),""))</f>
        <v/>
      </c>
      <c r="AH516" s="24" t="str">
        <f>IF(AE516="","",IFERROR(INDEX($AQ$11:$AQ$4010,MATCH(506,$AZ$11:$AZ$4010,0)),""))</f>
        <v/>
      </c>
      <c r="AI516" s="29" t="str">
        <f>IF(AE516="","",IFERROR(INDEX($AR$11:$AR$4010,MATCH(506,$AZ$11:$AZ$4010,0)),""))</f>
        <v/>
      </c>
      <c r="AJ516" s="29" t="str">
        <f>IF(AE516="","",IFERROR(INDEX($AT$11:$AT$4010,MATCH(506,$AZ$11:$AZ$4010,0)),""))</f>
        <v/>
      </c>
      <c r="AL516" s="31"/>
      <c r="AM516" s="26"/>
      <c r="AN516" s="32"/>
      <c r="AO516" s="32"/>
      <c r="AP516" s="24"/>
      <c r="AQ516" s="24"/>
      <c r="AR516" s="33"/>
      <c r="AS516" s="34"/>
      <c r="AT516" s="33"/>
      <c r="AV516" s="21">
        <f>IF(AND($AL516&lt;&gt;"",COUNTIF($AL$11:$AL516,$AL516)=1),1,0)</f>
        <v>0</v>
      </c>
      <c r="AW516" s="21">
        <f t="shared" si="101"/>
        <v>0</v>
      </c>
      <c r="AX516" s="21" t="str">
        <f t="shared" si="100"/>
        <v/>
      </c>
      <c r="AY516" s="21" t="str">
        <f>IF(AND($AM516&lt;&gt;"",$AS516&lt;&gt;"✓"),SUMPRODUCT(($AM$11:$AM516&lt;&gt;"")*($AS$11:$AS516&lt;&gt;"✓")),"")</f>
        <v/>
      </c>
      <c r="AZ516" s="21" t="str">
        <f>IF(AND($AM516&lt;&gt;"",$AS516="✓"),SUMPRODUCT(($AM$11:$AM516&lt;&gt;"")*($AS$11:$AS516="✓")),"")</f>
        <v/>
      </c>
      <c r="BA516" s="21" t="str">
        <f>IF($AL516="","",$AL516&amp;"|"&amp;COUNTIF($AL$11:$AL516,$AL516))</f>
        <v/>
      </c>
    </row>
    <row r="517" spans="23:53" ht="15" customHeight="1" x14ac:dyDescent="0.25">
      <c r="W517" s="14" t="str">
        <f>IF(X517="","",IFERROR(INDEX($AL$11:$AL$4010,MATCH(507,$AY$11:$AY$4010,0)),""))</f>
        <v/>
      </c>
      <c r="X517" s="12" t="str">
        <f>IFERROR(INDEX($AM$11:$AM$4010,MATCH(507,$AY$11:$AY$4010,0)),"")</f>
        <v/>
      </c>
      <c r="Y517" s="11" t="str">
        <f>IF(X517="","",IFERROR(INDEX($AN$11:$AN$4010,MATCH(507,$AY$11:$AY$4010,0)),""))</f>
        <v/>
      </c>
      <c r="Z517" s="11" t="str">
        <f>IF(X517="","",IFERROR(INDEX($AO$11:$AO$4010,MATCH(507,$AY$11:$AY$4010,0)),""))</f>
        <v/>
      </c>
      <c r="AA517" s="10" t="str">
        <f>IF(X517="","",IFERROR(INDEX($AQ$11:$AQ$4010,MATCH(507,$AY$11:$AY$4010,0)),""))</f>
        <v/>
      </c>
      <c r="AB517" s="15" t="str">
        <f>IF(X517="","",IFERROR(INDEX($AR$11:$AR$4010,MATCH(507,$AY$11:$AY$4010,0)),""))</f>
        <v/>
      </c>
      <c r="AD517" s="16" t="str">
        <f>IF(AE517="","",IFERROR(INDEX($AL$11:$AL$4010,MATCH(507,$AZ$11:$AZ$4010,0)),""))</f>
        <v/>
      </c>
      <c r="AE517" s="12" t="str">
        <f>IFERROR(INDEX($AM$11:$AM$4010,MATCH(507,$AZ$11:$AZ$4010,0)),"")</f>
        <v/>
      </c>
      <c r="AF517" s="11" t="str">
        <f>IF(AE517="","",IFERROR(INDEX($AN$11:$AN$4010,MATCH(507,$AZ$11:$AZ$4010,0)),""))</f>
        <v/>
      </c>
      <c r="AG517" s="11" t="str">
        <f>IF(AE517="","",IFERROR(INDEX($AO$11:$AO$4010,MATCH(507,$AZ$11:$AZ$4010,0)),""))</f>
        <v/>
      </c>
      <c r="AH517" s="10" t="str">
        <f>IF(AE517="","",IFERROR(INDEX($AQ$11:$AQ$4010,MATCH(507,$AZ$11:$AZ$4010,0)),""))</f>
        <v/>
      </c>
      <c r="AI517" s="15" t="str">
        <f>IF(AE517="","",IFERROR(INDEX($AR$11:$AR$4010,MATCH(507,$AZ$11:$AZ$4010,0)),""))</f>
        <v/>
      </c>
      <c r="AJ517" s="15" t="str">
        <f>IF(AE517="","",IFERROR(INDEX($AT$11:$AT$4010,MATCH(507,$AZ$11:$AZ$4010,0)),""))</f>
        <v/>
      </c>
      <c r="AL517" s="17"/>
      <c r="AM517" s="12"/>
      <c r="AN517" s="18"/>
      <c r="AO517" s="18"/>
      <c r="AP517" s="10"/>
      <c r="AQ517" s="10"/>
      <c r="AR517" s="19"/>
      <c r="AS517" s="20"/>
      <c r="AT517" s="19"/>
      <c r="AV517" s="21">
        <f>IF(AND($AL517&lt;&gt;"",COUNTIF($AL$11:$AL517,$AL517)=1),1,0)</f>
        <v>0</v>
      </c>
      <c r="AW517" s="21">
        <f t="shared" si="101"/>
        <v>0</v>
      </c>
      <c r="AX517" s="21" t="str">
        <f t="shared" si="100"/>
        <v/>
      </c>
      <c r="AY517" s="21" t="str">
        <f>IF(AND($AM517&lt;&gt;"",$AS517&lt;&gt;"✓"),SUMPRODUCT(($AM$11:$AM517&lt;&gt;"")*($AS$11:$AS517&lt;&gt;"✓")),"")</f>
        <v/>
      </c>
      <c r="AZ517" s="21" t="str">
        <f>IF(AND($AM517&lt;&gt;"",$AS517="✓"),SUMPRODUCT(($AM$11:$AM517&lt;&gt;"")*($AS$11:$AS517="✓")),"")</f>
        <v/>
      </c>
      <c r="BA517" s="21" t="str">
        <f>IF($AL517="","",$AL517&amp;"|"&amp;COUNTIF($AL$11:$AL517,$AL517))</f>
        <v/>
      </c>
    </row>
    <row r="518" spans="23:53" ht="15" customHeight="1" x14ac:dyDescent="0.25">
      <c r="W518" s="28" t="str">
        <f>IF(X518="","",IFERROR(INDEX($AL$11:$AL$4010,MATCH(508,$AY$11:$AY$4010,0)),""))</f>
        <v/>
      </c>
      <c r="X518" s="26" t="str">
        <f>IFERROR(INDEX($AM$11:$AM$4010,MATCH(508,$AY$11:$AY$4010,0)),"")</f>
        <v/>
      </c>
      <c r="Y518" s="25" t="str">
        <f>IF(X518="","",IFERROR(INDEX($AN$11:$AN$4010,MATCH(508,$AY$11:$AY$4010,0)),""))</f>
        <v/>
      </c>
      <c r="Z518" s="25" t="str">
        <f>IF(X518="","",IFERROR(INDEX($AO$11:$AO$4010,MATCH(508,$AY$11:$AY$4010,0)),""))</f>
        <v/>
      </c>
      <c r="AA518" s="24" t="str">
        <f>IF(X518="","",IFERROR(INDEX($AQ$11:$AQ$4010,MATCH(508,$AY$11:$AY$4010,0)),""))</f>
        <v/>
      </c>
      <c r="AB518" s="29" t="str">
        <f>IF(X518="","",IFERROR(INDEX($AR$11:$AR$4010,MATCH(508,$AY$11:$AY$4010,0)),""))</f>
        <v/>
      </c>
      <c r="AD518" s="30" t="str">
        <f>IF(AE518="","",IFERROR(INDEX($AL$11:$AL$4010,MATCH(508,$AZ$11:$AZ$4010,0)),""))</f>
        <v/>
      </c>
      <c r="AE518" s="26" t="str">
        <f>IFERROR(INDEX($AM$11:$AM$4010,MATCH(508,$AZ$11:$AZ$4010,0)),"")</f>
        <v/>
      </c>
      <c r="AF518" s="25" t="str">
        <f>IF(AE518="","",IFERROR(INDEX($AN$11:$AN$4010,MATCH(508,$AZ$11:$AZ$4010,0)),""))</f>
        <v/>
      </c>
      <c r="AG518" s="25" t="str">
        <f>IF(AE518="","",IFERROR(INDEX($AO$11:$AO$4010,MATCH(508,$AZ$11:$AZ$4010,0)),""))</f>
        <v/>
      </c>
      <c r="AH518" s="24" t="str">
        <f>IF(AE518="","",IFERROR(INDEX($AQ$11:$AQ$4010,MATCH(508,$AZ$11:$AZ$4010,0)),""))</f>
        <v/>
      </c>
      <c r="AI518" s="29" t="str">
        <f>IF(AE518="","",IFERROR(INDEX($AR$11:$AR$4010,MATCH(508,$AZ$11:$AZ$4010,0)),""))</f>
        <v/>
      </c>
      <c r="AJ518" s="29" t="str">
        <f>IF(AE518="","",IFERROR(INDEX($AT$11:$AT$4010,MATCH(508,$AZ$11:$AZ$4010,0)),""))</f>
        <v/>
      </c>
      <c r="AL518" s="31"/>
      <c r="AM518" s="26"/>
      <c r="AN518" s="32"/>
      <c r="AO518" s="32"/>
      <c r="AP518" s="24"/>
      <c r="AQ518" s="24"/>
      <c r="AR518" s="33"/>
      <c r="AS518" s="34"/>
      <c r="AT518" s="33"/>
      <c r="AV518" s="21">
        <f>IF(AND($AL518&lt;&gt;"",COUNTIF($AL$11:$AL518,$AL518)=1),1,0)</f>
        <v>0</v>
      </c>
      <c r="AW518" s="21">
        <f t="shared" si="101"/>
        <v>0</v>
      </c>
      <c r="AX518" s="21" t="str">
        <f t="shared" si="100"/>
        <v/>
      </c>
      <c r="AY518" s="21" t="str">
        <f>IF(AND($AM518&lt;&gt;"",$AS518&lt;&gt;"✓"),SUMPRODUCT(($AM$11:$AM518&lt;&gt;"")*($AS$11:$AS518&lt;&gt;"✓")),"")</f>
        <v/>
      </c>
      <c r="AZ518" s="21" t="str">
        <f>IF(AND($AM518&lt;&gt;"",$AS518="✓"),SUMPRODUCT(($AM$11:$AM518&lt;&gt;"")*($AS$11:$AS518="✓")),"")</f>
        <v/>
      </c>
      <c r="BA518" s="21" t="str">
        <f>IF($AL518="","",$AL518&amp;"|"&amp;COUNTIF($AL$11:$AL518,$AL518))</f>
        <v/>
      </c>
    </row>
    <row r="519" spans="23:53" ht="15" customHeight="1" x14ac:dyDescent="0.25">
      <c r="W519" s="14" t="str">
        <f>IF(X519="","",IFERROR(INDEX($AL$11:$AL$4010,MATCH(509,$AY$11:$AY$4010,0)),""))</f>
        <v/>
      </c>
      <c r="X519" s="12" t="str">
        <f>IFERROR(INDEX($AM$11:$AM$4010,MATCH(509,$AY$11:$AY$4010,0)),"")</f>
        <v/>
      </c>
      <c r="Y519" s="11" t="str">
        <f>IF(X519="","",IFERROR(INDEX($AN$11:$AN$4010,MATCH(509,$AY$11:$AY$4010,0)),""))</f>
        <v/>
      </c>
      <c r="Z519" s="11" t="str">
        <f>IF(X519="","",IFERROR(INDEX($AO$11:$AO$4010,MATCH(509,$AY$11:$AY$4010,0)),""))</f>
        <v/>
      </c>
      <c r="AA519" s="10" t="str">
        <f>IF(X519="","",IFERROR(INDEX($AQ$11:$AQ$4010,MATCH(509,$AY$11:$AY$4010,0)),""))</f>
        <v/>
      </c>
      <c r="AB519" s="15" t="str">
        <f>IF(X519="","",IFERROR(INDEX($AR$11:$AR$4010,MATCH(509,$AY$11:$AY$4010,0)),""))</f>
        <v/>
      </c>
      <c r="AD519" s="16" t="str">
        <f>IF(AE519="","",IFERROR(INDEX($AL$11:$AL$4010,MATCH(509,$AZ$11:$AZ$4010,0)),""))</f>
        <v/>
      </c>
      <c r="AE519" s="12" t="str">
        <f>IFERROR(INDEX($AM$11:$AM$4010,MATCH(509,$AZ$11:$AZ$4010,0)),"")</f>
        <v/>
      </c>
      <c r="AF519" s="11" t="str">
        <f>IF(AE519="","",IFERROR(INDEX($AN$11:$AN$4010,MATCH(509,$AZ$11:$AZ$4010,0)),""))</f>
        <v/>
      </c>
      <c r="AG519" s="11" t="str">
        <f>IF(AE519="","",IFERROR(INDEX($AO$11:$AO$4010,MATCH(509,$AZ$11:$AZ$4010,0)),""))</f>
        <v/>
      </c>
      <c r="AH519" s="10" t="str">
        <f>IF(AE519="","",IFERROR(INDEX($AQ$11:$AQ$4010,MATCH(509,$AZ$11:$AZ$4010,0)),""))</f>
        <v/>
      </c>
      <c r="AI519" s="15" t="str">
        <f>IF(AE519="","",IFERROR(INDEX($AR$11:$AR$4010,MATCH(509,$AZ$11:$AZ$4010,0)),""))</f>
        <v/>
      </c>
      <c r="AJ519" s="15" t="str">
        <f>IF(AE519="","",IFERROR(INDEX($AT$11:$AT$4010,MATCH(509,$AZ$11:$AZ$4010,0)),""))</f>
        <v/>
      </c>
      <c r="AL519" s="17"/>
      <c r="AM519" s="12"/>
      <c r="AN519" s="18"/>
      <c r="AO519" s="18"/>
      <c r="AP519" s="10"/>
      <c r="AQ519" s="10"/>
      <c r="AR519" s="19"/>
      <c r="AS519" s="20"/>
      <c r="AT519" s="19"/>
      <c r="AV519" s="21">
        <f>IF(AND($AL519&lt;&gt;"",COUNTIF($AL$11:$AL519,$AL519)=1),1,0)</f>
        <v>0</v>
      </c>
      <c r="AW519" s="21">
        <f t="shared" si="101"/>
        <v>0</v>
      </c>
      <c r="AX519" s="21" t="str">
        <f t="shared" si="100"/>
        <v/>
      </c>
      <c r="AY519" s="21" t="str">
        <f>IF(AND($AM519&lt;&gt;"",$AS519&lt;&gt;"✓"),SUMPRODUCT(($AM$11:$AM519&lt;&gt;"")*($AS$11:$AS519&lt;&gt;"✓")),"")</f>
        <v/>
      </c>
      <c r="AZ519" s="21" t="str">
        <f>IF(AND($AM519&lt;&gt;"",$AS519="✓"),SUMPRODUCT(($AM$11:$AM519&lt;&gt;"")*($AS$11:$AS519="✓")),"")</f>
        <v/>
      </c>
      <c r="BA519" s="21" t="str">
        <f>IF($AL519="","",$AL519&amp;"|"&amp;COUNTIF($AL$11:$AL519,$AL519))</f>
        <v/>
      </c>
    </row>
    <row r="520" spans="23:53" ht="15" customHeight="1" x14ac:dyDescent="0.25">
      <c r="W520" s="28" t="str">
        <f>IF(X520="","",IFERROR(INDEX($AL$11:$AL$4010,MATCH(510,$AY$11:$AY$4010,0)),""))</f>
        <v/>
      </c>
      <c r="X520" s="26" t="str">
        <f>IFERROR(INDEX($AM$11:$AM$4010,MATCH(510,$AY$11:$AY$4010,0)),"")</f>
        <v/>
      </c>
      <c r="Y520" s="25" t="str">
        <f>IF(X520="","",IFERROR(INDEX($AN$11:$AN$4010,MATCH(510,$AY$11:$AY$4010,0)),""))</f>
        <v/>
      </c>
      <c r="Z520" s="25" t="str">
        <f>IF(X520="","",IFERROR(INDEX($AO$11:$AO$4010,MATCH(510,$AY$11:$AY$4010,0)),""))</f>
        <v/>
      </c>
      <c r="AA520" s="24" t="str">
        <f>IF(X520="","",IFERROR(INDEX($AQ$11:$AQ$4010,MATCH(510,$AY$11:$AY$4010,0)),""))</f>
        <v/>
      </c>
      <c r="AB520" s="29" t="str">
        <f>IF(X520="","",IFERROR(INDEX($AR$11:$AR$4010,MATCH(510,$AY$11:$AY$4010,0)),""))</f>
        <v/>
      </c>
      <c r="AD520" s="30" t="str">
        <f>IF(AE520="","",IFERROR(INDEX($AL$11:$AL$4010,MATCH(510,$AZ$11:$AZ$4010,0)),""))</f>
        <v/>
      </c>
      <c r="AE520" s="26" t="str">
        <f>IFERROR(INDEX($AM$11:$AM$4010,MATCH(510,$AZ$11:$AZ$4010,0)),"")</f>
        <v/>
      </c>
      <c r="AF520" s="25" t="str">
        <f>IF(AE520="","",IFERROR(INDEX($AN$11:$AN$4010,MATCH(510,$AZ$11:$AZ$4010,0)),""))</f>
        <v/>
      </c>
      <c r="AG520" s="25" t="str">
        <f>IF(AE520="","",IFERROR(INDEX($AO$11:$AO$4010,MATCH(510,$AZ$11:$AZ$4010,0)),""))</f>
        <v/>
      </c>
      <c r="AH520" s="24" t="str">
        <f>IF(AE520="","",IFERROR(INDEX($AQ$11:$AQ$4010,MATCH(510,$AZ$11:$AZ$4010,0)),""))</f>
        <v/>
      </c>
      <c r="AI520" s="29" t="str">
        <f>IF(AE520="","",IFERROR(INDEX($AR$11:$AR$4010,MATCH(510,$AZ$11:$AZ$4010,0)),""))</f>
        <v/>
      </c>
      <c r="AJ520" s="29" t="str">
        <f>IF(AE520="","",IFERROR(INDEX($AT$11:$AT$4010,MATCH(510,$AZ$11:$AZ$4010,0)),""))</f>
        <v/>
      </c>
      <c r="AL520" s="31"/>
      <c r="AM520" s="26"/>
      <c r="AN520" s="32"/>
      <c r="AO520" s="32"/>
      <c r="AP520" s="24"/>
      <c r="AQ520" s="24"/>
      <c r="AR520" s="33"/>
      <c r="AS520" s="34"/>
      <c r="AT520" s="33"/>
      <c r="AV520" s="21">
        <f>IF(AND($AL520&lt;&gt;"",COUNTIF($AL$11:$AL520,$AL520)=1),1,0)</f>
        <v>0</v>
      </c>
      <c r="AW520" s="21">
        <f t="shared" si="101"/>
        <v>0</v>
      </c>
      <c r="AX520" s="21" t="str">
        <f t="shared" si="100"/>
        <v/>
      </c>
      <c r="AY520" s="21" t="str">
        <f>IF(AND($AM520&lt;&gt;"",$AS520&lt;&gt;"✓"),SUMPRODUCT(($AM$11:$AM520&lt;&gt;"")*($AS$11:$AS520&lt;&gt;"✓")),"")</f>
        <v/>
      </c>
      <c r="AZ520" s="21" t="str">
        <f>IF(AND($AM520&lt;&gt;"",$AS520="✓"),SUMPRODUCT(($AM$11:$AM520&lt;&gt;"")*($AS$11:$AS520="✓")),"")</f>
        <v/>
      </c>
      <c r="BA520" s="21" t="str">
        <f>IF($AL520="","",$AL520&amp;"|"&amp;COUNTIF($AL$11:$AL520,$AL520))</f>
        <v/>
      </c>
    </row>
    <row r="521" spans="23:53" ht="15" customHeight="1" x14ac:dyDescent="0.25">
      <c r="W521" s="14" t="str">
        <f>IF(X521="","",IFERROR(INDEX($AL$11:$AL$4010,MATCH(511,$AY$11:$AY$4010,0)),""))</f>
        <v/>
      </c>
      <c r="X521" s="12" t="str">
        <f>IFERROR(INDEX($AM$11:$AM$4010,MATCH(511,$AY$11:$AY$4010,0)),"")</f>
        <v/>
      </c>
      <c r="Y521" s="11" t="str">
        <f>IF(X521="","",IFERROR(INDEX($AN$11:$AN$4010,MATCH(511,$AY$11:$AY$4010,0)),""))</f>
        <v/>
      </c>
      <c r="Z521" s="11" t="str">
        <f>IF(X521="","",IFERROR(INDEX($AO$11:$AO$4010,MATCH(511,$AY$11:$AY$4010,0)),""))</f>
        <v/>
      </c>
      <c r="AA521" s="10" t="str">
        <f>IF(X521="","",IFERROR(INDEX($AQ$11:$AQ$4010,MATCH(511,$AY$11:$AY$4010,0)),""))</f>
        <v/>
      </c>
      <c r="AB521" s="15" t="str">
        <f>IF(X521="","",IFERROR(INDEX($AR$11:$AR$4010,MATCH(511,$AY$11:$AY$4010,0)),""))</f>
        <v/>
      </c>
      <c r="AD521" s="16" t="str">
        <f>IF(AE521="","",IFERROR(INDEX($AL$11:$AL$4010,MATCH(511,$AZ$11:$AZ$4010,0)),""))</f>
        <v/>
      </c>
      <c r="AE521" s="12" t="str">
        <f>IFERROR(INDEX($AM$11:$AM$4010,MATCH(511,$AZ$11:$AZ$4010,0)),"")</f>
        <v/>
      </c>
      <c r="AF521" s="11" t="str">
        <f>IF(AE521="","",IFERROR(INDEX($AN$11:$AN$4010,MATCH(511,$AZ$11:$AZ$4010,0)),""))</f>
        <v/>
      </c>
      <c r="AG521" s="11" t="str">
        <f>IF(AE521="","",IFERROR(INDEX($AO$11:$AO$4010,MATCH(511,$AZ$11:$AZ$4010,0)),""))</f>
        <v/>
      </c>
      <c r="AH521" s="10" t="str">
        <f>IF(AE521="","",IFERROR(INDEX($AQ$11:$AQ$4010,MATCH(511,$AZ$11:$AZ$4010,0)),""))</f>
        <v/>
      </c>
      <c r="AI521" s="15" t="str">
        <f>IF(AE521="","",IFERROR(INDEX($AR$11:$AR$4010,MATCH(511,$AZ$11:$AZ$4010,0)),""))</f>
        <v/>
      </c>
      <c r="AJ521" s="15" t="str">
        <f>IF(AE521="","",IFERROR(INDEX($AT$11:$AT$4010,MATCH(511,$AZ$11:$AZ$4010,0)),""))</f>
        <v/>
      </c>
      <c r="AL521" s="17"/>
      <c r="AM521" s="12"/>
      <c r="AN521" s="18"/>
      <c r="AO521" s="18"/>
      <c r="AP521" s="10"/>
      <c r="AQ521" s="10"/>
      <c r="AR521" s="19"/>
      <c r="AS521" s="20"/>
      <c r="AT521" s="19"/>
      <c r="AV521" s="21">
        <f>IF(AND($AL521&lt;&gt;"",COUNTIF($AL$11:$AL521,$AL521)=1),1,0)</f>
        <v>0</v>
      </c>
      <c r="AW521" s="21">
        <f t="shared" si="101"/>
        <v>0</v>
      </c>
      <c r="AX521" s="21" t="str">
        <f t="shared" si="100"/>
        <v/>
      </c>
      <c r="AY521" s="21" t="str">
        <f>IF(AND($AM521&lt;&gt;"",$AS521&lt;&gt;"✓"),SUMPRODUCT(($AM$11:$AM521&lt;&gt;"")*($AS$11:$AS521&lt;&gt;"✓")),"")</f>
        <v/>
      </c>
      <c r="AZ521" s="21" t="str">
        <f>IF(AND($AM521&lt;&gt;"",$AS521="✓"),SUMPRODUCT(($AM$11:$AM521&lt;&gt;"")*($AS$11:$AS521="✓")),"")</f>
        <v/>
      </c>
      <c r="BA521" s="21" t="str">
        <f>IF($AL521="","",$AL521&amp;"|"&amp;COUNTIF($AL$11:$AL521,$AL521))</f>
        <v/>
      </c>
    </row>
    <row r="522" spans="23:53" ht="15" customHeight="1" x14ac:dyDescent="0.25">
      <c r="W522" s="28" t="str">
        <f>IF(X522="","",IFERROR(INDEX($AL$11:$AL$4010,MATCH(512,$AY$11:$AY$4010,0)),""))</f>
        <v/>
      </c>
      <c r="X522" s="26" t="str">
        <f>IFERROR(INDEX($AM$11:$AM$4010,MATCH(512,$AY$11:$AY$4010,0)),"")</f>
        <v/>
      </c>
      <c r="Y522" s="25" t="str">
        <f>IF(X522="","",IFERROR(INDEX($AN$11:$AN$4010,MATCH(512,$AY$11:$AY$4010,0)),""))</f>
        <v/>
      </c>
      <c r="Z522" s="25" t="str">
        <f>IF(X522="","",IFERROR(INDEX($AO$11:$AO$4010,MATCH(512,$AY$11:$AY$4010,0)),""))</f>
        <v/>
      </c>
      <c r="AA522" s="24" t="str">
        <f>IF(X522="","",IFERROR(INDEX($AQ$11:$AQ$4010,MATCH(512,$AY$11:$AY$4010,0)),""))</f>
        <v/>
      </c>
      <c r="AB522" s="29" t="str">
        <f>IF(X522="","",IFERROR(INDEX($AR$11:$AR$4010,MATCH(512,$AY$11:$AY$4010,0)),""))</f>
        <v/>
      </c>
      <c r="AD522" s="30" t="str">
        <f>IF(AE522="","",IFERROR(INDEX($AL$11:$AL$4010,MATCH(512,$AZ$11:$AZ$4010,0)),""))</f>
        <v/>
      </c>
      <c r="AE522" s="26" t="str">
        <f>IFERROR(INDEX($AM$11:$AM$4010,MATCH(512,$AZ$11:$AZ$4010,0)),"")</f>
        <v/>
      </c>
      <c r="AF522" s="25" t="str">
        <f>IF(AE522="","",IFERROR(INDEX($AN$11:$AN$4010,MATCH(512,$AZ$11:$AZ$4010,0)),""))</f>
        <v/>
      </c>
      <c r="AG522" s="25" t="str">
        <f>IF(AE522="","",IFERROR(INDEX($AO$11:$AO$4010,MATCH(512,$AZ$11:$AZ$4010,0)),""))</f>
        <v/>
      </c>
      <c r="AH522" s="24" t="str">
        <f>IF(AE522="","",IFERROR(INDEX($AQ$11:$AQ$4010,MATCH(512,$AZ$11:$AZ$4010,0)),""))</f>
        <v/>
      </c>
      <c r="AI522" s="29" t="str">
        <f>IF(AE522="","",IFERROR(INDEX($AR$11:$AR$4010,MATCH(512,$AZ$11:$AZ$4010,0)),""))</f>
        <v/>
      </c>
      <c r="AJ522" s="29" t="str">
        <f>IF(AE522="","",IFERROR(INDEX($AT$11:$AT$4010,MATCH(512,$AZ$11:$AZ$4010,0)),""))</f>
        <v/>
      </c>
      <c r="AL522" s="31"/>
      <c r="AM522" s="26"/>
      <c r="AN522" s="32"/>
      <c r="AO522" s="32"/>
      <c r="AP522" s="24"/>
      <c r="AQ522" s="24"/>
      <c r="AR522" s="33"/>
      <c r="AS522" s="34"/>
      <c r="AT522" s="33"/>
      <c r="AV522" s="21">
        <f>IF(AND($AL522&lt;&gt;"",COUNTIF($AL$11:$AL522,$AL522)=1),1,0)</f>
        <v>0</v>
      </c>
      <c r="AW522" s="21">
        <f t="shared" si="101"/>
        <v>0</v>
      </c>
      <c r="AX522" s="21" t="str">
        <f t="shared" si="100"/>
        <v/>
      </c>
      <c r="AY522" s="21" t="str">
        <f>IF(AND($AM522&lt;&gt;"",$AS522&lt;&gt;"✓"),SUMPRODUCT(($AM$11:$AM522&lt;&gt;"")*($AS$11:$AS522&lt;&gt;"✓")),"")</f>
        <v/>
      </c>
      <c r="AZ522" s="21" t="str">
        <f>IF(AND($AM522&lt;&gt;"",$AS522="✓"),SUMPRODUCT(($AM$11:$AM522&lt;&gt;"")*($AS$11:$AS522="✓")),"")</f>
        <v/>
      </c>
      <c r="BA522" s="21" t="str">
        <f>IF($AL522="","",$AL522&amp;"|"&amp;COUNTIF($AL$11:$AL522,$AL522))</f>
        <v/>
      </c>
    </row>
    <row r="523" spans="23:53" ht="15" customHeight="1" x14ac:dyDescent="0.25">
      <c r="W523" s="14" t="str">
        <f>IF(X523="","",IFERROR(INDEX($AL$11:$AL$4010,MATCH(513,$AY$11:$AY$4010,0)),""))</f>
        <v/>
      </c>
      <c r="X523" s="12" t="str">
        <f>IFERROR(INDEX($AM$11:$AM$4010,MATCH(513,$AY$11:$AY$4010,0)),"")</f>
        <v/>
      </c>
      <c r="Y523" s="11" t="str">
        <f>IF(X523="","",IFERROR(INDEX($AN$11:$AN$4010,MATCH(513,$AY$11:$AY$4010,0)),""))</f>
        <v/>
      </c>
      <c r="Z523" s="11" t="str">
        <f>IF(X523="","",IFERROR(INDEX($AO$11:$AO$4010,MATCH(513,$AY$11:$AY$4010,0)),""))</f>
        <v/>
      </c>
      <c r="AA523" s="10" t="str">
        <f>IF(X523="","",IFERROR(INDEX($AQ$11:$AQ$4010,MATCH(513,$AY$11:$AY$4010,0)),""))</f>
        <v/>
      </c>
      <c r="AB523" s="15" t="str">
        <f>IF(X523="","",IFERROR(INDEX($AR$11:$AR$4010,MATCH(513,$AY$11:$AY$4010,0)),""))</f>
        <v/>
      </c>
      <c r="AD523" s="16" t="str">
        <f>IF(AE523="","",IFERROR(INDEX($AL$11:$AL$4010,MATCH(513,$AZ$11:$AZ$4010,0)),""))</f>
        <v/>
      </c>
      <c r="AE523" s="12" t="str">
        <f>IFERROR(INDEX($AM$11:$AM$4010,MATCH(513,$AZ$11:$AZ$4010,0)),"")</f>
        <v/>
      </c>
      <c r="AF523" s="11" t="str">
        <f>IF(AE523="","",IFERROR(INDEX($AN$11:$AN$4010,MATCH(513,$AZ$11:$AZ$4010,0)),""))</f>
        <v/>
      </c>
      <c r="AG523" s="11" t="str">
        <f>IF(AE523="","",IFERROR(INDEX($AO$11:$AO$4010,MATCH(513,$AZ$11:$AZ$4010,0)),""))</f>
        <v/>
      </c>
      <c r="AH523" s="10" t="str">
        <f>IF(AE523="","",IFERROR(INDEX($AQ$11:$AQ$4010,MATCH(513,$AZ$11:$AZ$4010,0)),""))</f>
        <v/>
      </c>
      <c r="AI523" s="15" t="str">
        <f>IF(AE523="","",IFERROR(INDEX($AR$11:$AR$4010,MATCH(513,$AZ$11:$AZ$4010,0)),""))</f>
        <v/>
      </c>
      <c r="AJ523" s="15" t="str">
        <f>IF(AE523="","",IFERROR(INDEX($AT$11:$AT$4010,MATCH(513,$AZ$11:$AZ$4010,0)),""))</f>
        <v/>
      </c>
      <c r="AL523" s="17"/>
      <c r="AM523" s="12"/>
      <c r="AN523" s="18"/>
      <c r="AO523" s="18"/>
      <c r="AP523" s="10"/>
      <c r="AQ523" s="10"/>
      <c r="AR523" s="19"/>
      <c r="AS523" s="20"/>
      <c r="AT523" s="19"/>
      <c r="AV523" s="21">
        <f>IF(AND($AL523&lt;&gt;"",COUNTIF($AL$11:$AL523,$AL523)=1),1,0)</f>
        <v>0</v>
      </c>
      <c r="AW523" s="21">
        <f t="shared" si="101"/>
        <v>0</v>
      </c>
      <c r="AX523" s="21" t="str">
        <f t="shared" ref="AX523:AX586" si="102">IF(AV523=1,AW523,"")</f>
        <v/>
      </c>
      <c r="AY523" s="21" t="str">
        <f>IF(AND($AM523&lt;&gt;"",$AS523&lt;&gt;"✓"),SUMPRODUCT(($AM$11:$AM523&lt;&gt;"")*($AS$11:$AS523&lt;&gt;"✓")),"")</f>
        <v/>
      </c>
      <c r="AZ523" s="21" t="str">
        <f>IF(AND($AM523&lt;&gt;"",$AS523="✓"),SUMPRODUCT(($AM$11:$AM523&lt;&gt;"")*($AS$11:$AS523="✓")),"")</f>
        <v/>
      </c>
      <c r="BA523" s="21" t="str">
        <f>IF($AL523="","",$AL523&amp;"|"&amp;COUNTIF($AL$11:$AL523,$AL523))</f>
        <v/>
      </c>
    </row>
    <row r="524" spans="23:53" ht="15" customHeight="1" x14ac:dyDescent="0.25">
      <c r="W524" s="28" t="str">
        <f>IF(X524="","",IFERROR(INDEX($AL$11:$AL$4010,MATCH(514,$AY$11:$AY$4010,0)),""))</f>
        <v/>
      </c>
      <c r="X524" s="26" t="str">
        <f>IFERROR(INDEX($AM$11:$AM$4010,MATCH(514,$AY$11:$AY$4010,0)),"")</f>
        <v/>
      </c>
      <c r="Y524" s="25" t="str">
        <f>IF(X524="","",IFERROR(INDEX($AN$11:$AN$4010,MATCH(514,$AY$11:$AY$4010,0)),""))</f>
        <v/>
      </c>
      <c r="Z524" s="25" t="str">
        <f>IF(X524="","",IFERROR(INDEX($AO$11:$AO$4010,MATCH(514,$AY$11:$AY$4010,0)),""))</f>
        <v/>
      </c>
      <c r="AA524" s="24" t="str">
        <f>IF(X524="","",IFERROR(INDEX($AQ$11:$AQ$4010,MATCH(514,$AY$11:$AY$4010,0)),""))</f>
        <v/>
      </c>
      <c r="AB524" s="29" t="str">
        <f>IF(X524="","",IFERROR(INDEX($AR$11:$AR$4010,MATCH(514,$AY$11:$AY$4010,0)),""))</f>
        <v/>
      </c>
      <c r="AD524" s="30" t="str">
        <f>IF(AE524="","",IFERROR(INDEX($AL$11:$AL$4010,MATCH(514,$AZ$11:$AZ$4010,0)),""))</f>
        <v/>
      </c>
      <c r="AE524" s="26" t="str">
        <f>IFERROR(INDEX($AM$11:$AM$4010,MATCH(514,$AZ$11:$AZ$4010,0)),"")</f>
        <v/>
      </c>
      <c r="AF524" s="25" t="str">
        <f>IF(AE524="","",IFERROR(INDEX($AN$11:$AN$4010,MATCH(514,$AZ$11:$AZ$4010,0)),""))</f>
        <v/>
      </c>
      <c r="AG524" s="25" t="str">
        <f>IF(AE524="","",IFERROR(INDEX($AO$11:$AO$4010,MATCH(514,$AZ$11:$AZ$4010,0)),""))</f>
        <v/>
      </c>
      <c r="AH524" s="24" t="str">
        <f>IF(AE524="","",IFERROR(INDEX($AQ$11:$AQ$4010,MATCH(514,$AZ$11:$AZ$4010,0)),""))</f>
        <v/>
      </c>
      <c r="AI524" s="29" t="str">
        <f>IF(AE524="","",IFERROR(INDEX($AR$11:$AR$4010,MATCH(514,$AZ$11:$AZ$4010,0)),""))</f>
        <v/>
      </c>
      <c r="AJ524" s="29" t="str">
        <f>IF(AE524="","",IFERROR(INDEX($AT$11:$AT$4010,MATCH(514,$AZ$11:$AZ$4010,0)),""))</f>
        <v/>
      </c>
      <c r="AL524" s="31"/>
      <c r="AM524" s="26"/>
      <c r="AN524" s="32"/>
      <c r="AO524" s="32"/>
      <c r="AP524" s="24"/>
      <c r="AQ524" s="24"/>
      <c r="AR524" s="33"/>
      <c r="AS524" s="34"/>
      <c r="AT524" s="33"/>
      <c r="AV524" s="21">
        <f>IF(AND($AL524&lt;&gt;"",COUNTIF($AL$11:$AL524,$AL524)=1),1,0)</f>
        <v>0</v>
      </c>
      <c r="AW524" s="21">
        <f t="shared" ref="AW524:AW587" si="103">AW523+AV524</f>
        <v>0</v>
      </c>
      <c r="AX524" s="21" t="str">
        <f t="shared" si="102"/>
        <v/>
      </c>
      <c r="AY524" s="21" t="str">
        <f>IF(AND($AM524&lt;&gt;"",$AS524&lt;&gt;"✓"),SUMPRODUCT(($AM$11:$AM524&lt;&gt;"")*($AS$11:$AS524&lt;&gt;"✓")),"")</f>
        <v/>
      </c>
      <c r="AZ524" s="21" t="str">
        <f>IF(AND($AM524&lt;&gt;"",$AS524="✓"),SUMPRODUCT(($AM$11:$AM524&lt;&gt;"")*($AS$11:$AS524="✓")),"")</f>
        <v/>
      </c>
      <c r="BA524" s="21" t="str">
        <f>IF($AL524="","",$AL524&amp;"|"&amp;COUNTIF($AL$11:$AL524,$AL524))</f>
        <v/>
      </c>
    </row>
    <row r="525" spans="23:53" ht="15" customHeight="1" x14ac:dyDescent="0.25">
      <c r="W525" s="14" t="str">
        <f>IF(X525="","",IFERROR(INDEX($AL$11:$AL$4010,MATCH(515,$AY$11:$AY$4010,0)),""))</f>
        <v/>
      </c>
      <c r="X525" s="12" t="str">
        <f>IFERROR(INDEX($AM$11:$AM$4010,MATCH(515,$AY$11:$AY$4010,0)),"")</f>
        <v/>
      </c>
      <c r="Y525" s="11" t="str">
        <f>IF(X525="","",IFERROR(INDEX($AN$11:$AN$4010,MATCH(515,$AY$11:$AY$4010,0)),""))</f>
        <v/>
      </c>
      <c r="Z525" s="11" t="str">
        <f>IF(X525="","",IFERROR(INDEX($AO$11:$AO$4010,MATCH(515,$AY$11:$AY$4010,0)),""))</f>
        <v/>
      </c>
      <c r="AA525" s="10" t="str">
        <f>IF(X525="","",IFERROR(INDEX($AQ$11:$AQ$4010,MATCH(515,$AY$11:$AY$4010,0)),""))</f>
        <v/>
      </c>
      <c r="AB525" s="15" t="str">
        <f>IF(X525="","",IFERROR(INDEX($AR$11:$AR$4010,MATCH(515,$AY$11:$AY$4010,0)),""))</f>
        <v/>
      </c>
      <c r="AD525" s="16" t="str">
        <f>IF(AE525="","",IFERROR(INDEX($AL$11:$AL$4010,MATCH(515,$AZ$11:$AZ$4010,0)),""))</f>
        <v/>
      </c>
      <c r="AE525" s="12" t="str">
        <f>IFERROR(INDEX($AM$11:$AM$4010,MATCH(515,$AZ$11:$AZ$4010,0)),"")</f>
        <v/>
      </c>
      <c r="AF525" s="11" t="str">
        <f>IF(AE525="","",IFERROR(INDEX($AN$11:$AN$4010,MATCH(515,$AZ$11:$AZ$4010,0)),""))</f>
        <v/>
      </c>
      <c r="AG525" s="11" t="str">
        <f>IF(AE525="","",IFERROR(INDEX($AO$11:$AO$4010,MATCH(515,$AZ$11:$AZ$4010,0)),""))</f>
        <v/>
      </c>
      <c r="AH525" s="10" t="str">
        <f>IF(AE525="","",IFERROR(INDEX($AQ$11:$AQ$4010,MATCH(515,$AZ$11:$AZ$4010,0)),""))</f>
        <v/>
      </c>
      <c r="AI525" s="15" t="str">
        <f>IF(AE525="","",IFERROR(INDEX($AR$11:$AR$4010,MATCH(515,$AZ$11:$AZ$4010,0)),""))</f>
        <v/>
      </c>
      <c r="AJ525" s="15" t="str">
        <f>IF(AE525="","",IFERROR(INDEX($AT$11:$AT$4010,MATCH(515,$AZ$11:$AZ$4010,0)),""))</f>
        <v/>
      </c>
      <c r="AL525" s="17"/>
      <c r="AM525" s="12"/>
      <c r="AN525" s="18"/>
      <c r="AO525" s="18"/>
      <c r="AP525" s="10"/>
      <c r="AQ525" s="10"/>
      <c r="AR525" s="19"/>
      <c r="AS525" s="20"/>
      <c r="AT525" s="19"/>
      <c r="AV525" s="21">
        <f>IF(AND($AL525&lt;&gt;"",COUNTIF($AL$11:$AL525,$AL525)=1),1,0)</f>
        <v>0</v>
      </c>
      <c r="AW525" s="21">
        <f t="shared" si="103"/>
        <v>0</v>
      </c>
      <c r="AX525" s="21" t="str">
        <f t="shared" si="102"/>
        <v/>
      </c>
      <c r="AY525" s="21" t="str">
        <f>IF(AND($AM525&lt;&gt;"",$AS525&lt;&gt;"✓"),SUMPRODUCT(($AM$11:$AM525&lt;&gt;"")*($AS$11:$AS525&lt;&gt;"✓")),"")</f>
        <v/>
      </c>
      <c r="AZ525" s="21" t="str">
        <f>IF(AND($AM525&lt;&gt;"",$AS525="✓"),SUMPRODUCT(($AM$11:$AM525&lt;&gt;"")*($AS$11:$AS525="✓")),"")</f>
        <v/>
      </c>
      <c r="BA525" s="21" t="str">
        <f>IF($AL525="","",$AL525&amp;"|"&amp;COUNTIF($AL$11:$AL525,$AL525))</f>
        <v/>
      </c>
    </row>
    <row r="526" spans="23:53" ht="15" customHeight="1" x14ac:dyDescent="0.25">
      <c r="W526" s="28" t="str">
        <f>IF(X526="","",IFERROR(INDEX($AL$11:$AL$4010,MATCH(516,$AY$11:$AY$4010,0)),""))</f>
        <v/>
      </c>
      <c r="X526" s="26" t="str">
        <f>IFERROR(INDEX($AM$11:$AM$4010,MATCH(516,$AY$11:$AY$4010,0)),"")</f>
        <v/>
      </c>
      <c r="Y526" s="25" t="str">
        <f>IF(X526="","",IFERROR(INDEX($AN$11:$AN$4010,MATCH(516,$AY$11:$AY$4010,0)),""))</f>
        <v/>
      </c>
      <c r="Z526" s="25" t="str">
        <f>IF(X526="","",IFERROR(INDEX($AO$11:$AO$4010,MATCH(516,$AY$11:$AY$4010,0)),""))</f>
        <v/>
      </c>
      <c r="AA526" s="24" t="str">
        <f>IF(X526="","",IFERROR(INDEX($AQ$11:$AQ$4010,MATCH(516,$AY$11:$AY$4010,0)),""))</f>
        <v/>
      </c>
      <c r="AB526" s="29" t="str">
        <f>IF(X526="","",IFERROR(INDEX($AR$11:$AR$4010,MATCH(516,$AY$11:$AY$4010,0)),""))</f>
        <v/>
      </c>
      <c r="AD526" s="30" t="str">
        <f>IF(AE526="","",IFERROR(INDEX($AL$11:$AL$4010,MATCH(516,$AZ$11:$AZ$4010,0)),""))</f>
        <v/>
      </c>
      <c r="AE526" s="26" t="str">
        <f>IFERROR(INDEX($AM$11:$AM$4010,MATCH(516,$AZ$11:$AZ$4010,0)),"")</f>
        <v/>
      </c>
      <c r="AF526" s="25" t="str">
        <f>IF(AE526="","",IFERROR(INDEX($AN$11:$AN$4010,MATCH(516,$AZ$11:$AZ$4010,0)),""))</f>
        <v/>
      </c>
      <c r="AG526" s="25" t="str">
        <f>IF(AE526="","",IFERROR(INDEX($AO$11:$AO$4010,MATCH(516,$AZ$11:$AZ$4010,0)),""))</f>
        <v/>
      </c>
      <c r="AH526" s="24" t="str">
        <f>IF(AE526="","",IFERROR(INDEX($AQ$11:$AQ$4010,MATCH(516,$AZ$11:$AZ$4010,0)),""))</f>
        <v/>
      </c>
      <c r="AI526" s="29" t="str">
        <f>IF(AE526="","",IFERROR(INDEX($AR$11:$AR$4010,MATCH(516,$AZ$11:$AZ$4010,0)),""))</f>
        <v/>
      </c>
      <c r="AJ526" s="29" t="str">
        <f>IF(AE526="","",IFERROR(INDEX($AT$11:$AT$4010,MATCH(516,$AZ$11:$AZ$4010,0)),""))</f>
        <v/>
      </c>
      <c r="AL526" s="31"/>
      <c r="AM526" s="26"/>
      <c r="AN526" s="32"/>
      <c r="AO526" s="32"/>
      <c r="AP526" s="24"/>
      <c r="AQ526" s="24"/>
      <c r="AR526" s="33"/>
      <c r="AS526" s="34"/>
      <c r="AT526" s="33"/>
      <c r="AV526" s="21">
        <f>IF(AND($AL526&lt;&gt;"",COUNTIF($AL$11:$AL526,$AL526)=1),1,0)</f>
        <v>0</v>
      </c>
      <c r="AW526" s="21">
        <f t="shared" si="103"/>
        <v>0</v>
      </c>
      <c r="AX526" s="21" t="str">
        <f t="shared" si="102"/>
        <v/>
      </c>
      <c r="AY526" s="21" t="str">
        <f>IF(AND($AM526&lt;&gt;"",$AS526&lt;&gt;"✓"),SUMPRODUCT(($AM$11:$AM526&lt;&gt;"")*($AS$11:$AS526&lt;&gt;"✓")),"")</f>
        <v/>
      </c>
      <c r="AZ526" s="21" t="str">
        <f>IF(AND($AM526&lt;&gt;"",$AS526="✓"),SUMPRODUCT(($AM$11:$AM526&lt;&gt;"")*($AS$11:$AS526="✓")),"")</f>
        <v/>
      </c>
      <c r="BA526" s="21" t="str">
        <f>IF($AL526="","",$AL526&amp;"|"&amp;COUNTIF($AL$11:$AL526,$AL526))</f>
        <v/>
      </c>
    </row>
    <row r="527" spans="23:53" ht="15" customHeight="1" x14ac:dyDescent="0.25">
      <c r="W527" s="14" t="str">
        <f>IF(X527="","",IFERROR(INDEX($AL$11:$AL$4010,MATCH(517,$AY$11:$AY$4010,0)),""))</f>
        <v/>
      </c>
      <c r="X527" s="12" t="str">
        <f>IFERROR(INDEX($AM$11:$AM$4010,MATCH(517,$AY$11:$AY$4010,0)),"")</f>
        <v/>
      </c>
      <c r="Y527" s="11" t="str">
        <f>IF(X527="","",IFERROR(INDEX($AN$11:$AN$4010,MATCH(517,$AY$11:$AY$4010,0)),""))</f>
        <v/>
      </c>
      <c r="Z527" s="11" t="str">
        <f>IF(X527="","",IFERROR(INDEX($AO$11:$AO$4010,MATCH(517,$AY$11:$AY$4010,0)),""))</f>
        <v/>
      </c>
      <c r="AA527" s="10" t="str">
        <f>IF(X527="","",IFERROR(INDEX($AQ$11:$AQ$4010,MATCH(517,$AY$11:$AY$4010,0)),""))</f>
        <v/>
      </c>
      <c r="AB527" s="15" t="str">
        <f>IF(X527="","",IFERROR(INDEX($AR$11:$AR$4010,MATCH(517,$AY$11:$AY$4010,0)),""))</f>
        <v/>
      </c>
      <c r="AD527" s="16" t="str">
        <f>IF(AE527="","",IFERROR(INDEX($AL$11:$AL$4010,MATCH(517,$AZ$11:$AZ$4010,0)),""))</f>
        <v/>
      </c>
      <c r="AE527" s="12" t="str">
        <f>IFERROR(INDEX($AM$11:$AM$4010,MATCH(517,$AZ$11:$AZ$4010,0)),"")</f>
        <v/>
      </c>
      <c r="AF527" s="11" t="str">
        <f>IF(AE527="","",IFERROR(INDEX($AN$11:$AN$4010,MATCH(517,$AZ$11:$AZ$4010,0)),""))</f>
        <v/>
      </c>
      <c r="AG527" s="11" t="str">
        <f>IF(AE527="","",IFERROR(INDEX($AO$11:$AO$4010,MATCH(517,$AZ$11:$AZ$4010,0)),""))</f>
        <v/>
      </c>
      <c r="AH527" s="10" t="str">
        <f>IF(AE527="","",IFERROR(INDEX($AQ$11:$AQ$4010,MATCH(517,$AZ$11:$AZ$4010,0)),""))</f>
        <v/>
      </c>
      <c r="AI527" s="15" t="str">
        <f>IF(AE527="","",IFERROR(INDEX($AR$11:$AR$4010,MATCH(517,$AZ$11:$AZ$4010,0)),""))</f>
        <v/>
      </c>
      <c r="AJ527" s="15" t="str">
        <f>IF(AE527="","",IFERROR(INDEX($AT$11:$AT$4010,MATCH(517,$AZ$11:$AZ$4010,0)),""))</f>
        <v/>
      </c>
      <c r="AL527" s="17"/>
      <c r="AM527" s="12"/>
      <c r="AN527" s="18"/>
      <c r="AO527" s="18"/>
      <c r="AP527" s="10"/>
      <c r="AQ527" s="10"/>
      <c r="AR527" s="19"/>
      <c r="AS527" s="20"/>
      <c r="AT527" s="19"/>
      <c r="AV527" s="21">
        <f>IF(AND($AL527&lt;&gt;"",COUNTIF($AL$11:$AL527,$AL527)=1),1,0)</f>
        <v>0</v>
      </c>
      <c r="AW527" s="21">
        <f t="shared" si="103"/>
        <v>0</v>
      </c>
      <c r="AX527" s="21" t="str">
        <f t="shared" si="102"/>
        <v/>
      </c>
      <c r="AY527" s="21" t="str">
        <f>IF(AND($AM527&lt;&gt;"",$AS527&lt;&gt;"✓"),SUMPRODUCT(($AM$11:$AM527&lt;&gt;"")*($AS$11:$AS527&lt;&gt;"✓")),"")</f>
        <v/>
      </c>
      <c r="AZ527" s="21" t="str">
        <f>IF(AND($AM527&lt;&gt;"",$AS527="✓"),SUMPRODUCT(($AM$11:$AM527&lt;&gt;"")*($AS$11:$AS527="✓")),"")</f>
        <v/>
      </c>
      <c r="BA527" s="21" t="str">
        <f>IF($AL527="","",$AL527&amp;"|"&amp;COUNTIF($AL$11:$AL527,$AL527))</f>
        <v/>
      </c>
    </row>
    <row r="528" spans="23:53" ht="15" customHeight="1" x14ac:dyDescent="0.25">
      <c r="W528" s="28" t="str">
        <f>IF(X528="","",IFERROR(INDEX($AL$11:$AL$4010,MATCH(518,$AY$11:$AY$4010,0)),""))</f>
        <v/>
      </c>
      <c r="X528" s="26" t="str">
        <f>IFERROR(INDEX($AM$11:$AM$4010,MATCH(518,$AY$11:$AY$4010,0)),"")</f>
        <v/>
      </c>
      <c r="Y528" s="25" t="str">
        <f>IF(X528="","",IFERROR(INDEX($AN$11:$AN$4010,MATCH(518,$AY$11:$AY$4010,0)),""))</f>
        <v/>
      </c>
      <c r="Z528" s="25" t="str">
        <f>IF(X528="","",IFERROR(INDEX($AO$11:$AO$4010,MATCH(518,$AY$11:$AY$4010,0)),""))</f>
        <v/>
      </c>
      <c r="AA528" s="24" t="str">
        <f>IF(X528="","",IFERROR(INDEX($AQ$11:$AQ$4010,MATCH(518,$AY$11:$AY$4010,0)),""))</f>
        <v/>
      </c>
      <c r="AB528" s="29" t="str">
        <f>IF(X528="","",IFERROR(INDEX($AR$11:$AR$4010,MATCH(518,$AY$11:$AY$4010,0)),""))</f>
        <v/>
      </c>
      <c r="AD528" s="30" t="str">
        <f>IF(AE528="","",IFERROR(INDEX($AL$11:$AL$4010,MATCH(518,$AZ$11:$AZ$4010,0)),""))</f>
        <v/>
      </c>
      <c r="AE528" s="26" t="str">
        <f>IFERROR(INDEX($AM$11:$AM$4010,MATCH(518,$AZ$11:$AZ$4010,0)),"")</f>
        <v/>
      </c>
      <c r="AF528" s="25" t="str">
        <f>IF(AE528="","",IFERROR(INDEX($AN$11:$AN$4010,MATCH(518,$AZ$11:$AZ$4010,0)),""))</f>
        <v/>
      </c>
      <c r="AG528" s="25" t="str">
        <f>IF(AE528="","",IFERROR(INDEX($AO$11:$AO$4010,MATCH(518,$AZ$11:$AZ$4010,0)),""))</f>
        <v/>
      </c>
      <c r="AH528" s="24" t="str">
        <f>IF(AE528="","",IFERROR(INDEX($AQ$11:$AQ$4010,MATCH(518,$AZ$11:$AZ$4010,0)),""))</f>
        <v/>
      </c>
      <c r="AI528" s="29" t="str">
        <f>IF(AE528="","",IFERROR(INDEX($AR$11:$AR$4010,MATCH(518,$AZ$11:$AZ$4010,0)),""))</f>
        <v/>
      </c>
      <c r="AJ528" s="29" t="str">
        <f>IF(AE528="","",IFERROR(INDEX($AT$11:$AT$4010,MATCH(518,$AZ$11:$AZ$4010,0)),""))</f>
        <v/>
      </c>
      <c r="AL528" s="31"/>
      <c r="AM528" s="26"/>
      <c r="AN528" s="32"/>
      <c r="AO528" s="32"/>
      <c r="AP528" s="24"/>
      <c r="AQ528" s="24"/>
      <c r="AR528" s="33"/>
      <c r="AS528" s="34"/>
      <c r="AT528" s="33"/>
      <c r="AV528" s="21">
        <f>IF(AND($AL528&lt;&gt;"",COUNTIF($AL$11:$AL528,$AL528)=1),1,0)</f>
        <v>0</v>
      </c>
      <c r="AW528" s="21">
        <f t="shared" si="103"/>
        <v>0</v>
      </c>
      <c r="AX528" s="21" t="str">
        <f t="shared" si="102"/>
        <v/>
      </c>
      <c r="AY528" s="21" t="str">
        <f>IF(AND($AM528&lt;&gt;"",$AS528&lt;&gt;"✓"),SUMPRODUCT(($AM$11:$AM528&lt;&gt;"")*($AS$11:$AS528&lt;&gt;"✓")),"")</f>
        <v/>
      </c>
      <c r="AZ528" s="21" t="str">
        <f>IF(AND($AM528&lt;&gt;"",$AS528="✓"),SUMPRODUCT(($AM$11:$AM528&lt;&gt;"")*($AS$11:$AS528="✓")),"")</f>
        <v/>
      </c>
      <c r="BA528" s="21" t="str">
        <f>IF($AL528="","",$AL528&amp;"|"&amp;COUNTIF($AL$11:$AL528,$AL528))</f>
        <v/>
      </c>
    </row>
    <row r="529" spans="23:53" ht="15" customHeight="1" x14ac:dyDescent="0.25">
      <c r="W529" s="14" t="str">
        <f>IF(X529="","",IFERROR(INDEX($AL$11:$AL$4010,MATCH(519,$AY$11:$AY$4010,0)),""))</f>
        <v/>
      </c>
      <c r="X529" s="12" t="str">
        <f>IFERROR(INDEX($AM$11:$AM$4010,MATCH(519,$AY$11:$AY$4010,0)),"")</f>
        <v/>
      </c>
      <c r="Y529" s="11" t="str">
        <f>IF(X529="","",IFERROR(INDEX($AN$11:$AN$4010,MATCH(519,$AY$11:$AY$4010,0)),""))</f>
        <v/>
      </c>
      <c r="Z529" s="11" t="str">
        <f>IF(X529="","",IFERROR(INDEX($AO$11:$AO$4010,MATCH(519,$AY$11:$AY$4010,0)),""))</f>
        <v/>
      </c>
      <c r="AA529" s="10" t="str">
        <f>IF(X529="","",IFERROR(INDEX($AQ$11:$AQ$4010,MATCH(519,$AY$11:$AY$4010,0)),""))</f>
        <v/>
      </c>
      <c r="AB529" s="15" t="str">
        <f>IF(X529="","",IFERROR(INDEX($AR$11:$AR$4010,MATCH(519,$AY$11:$AY$4010,0)),""))</f>
        <v/>
      </c>
      <c r="AD529" s="16" t="str">
        <f>IF(AE529="","",IFERROR(INDEX($AL$11:$AL$4010,MATCH(519,$AZ$11:$AZ$4010,0)),""))</f>
        <v/>
      </c>
      <c r="AE529" s="12" t="str">
        <f>IFERROR(INDEX($AM$11:$AM$4010,MATCH(519,$AZ$11:$AZ$4010,0)),"")</f>
        <v/>
      </c>
      <c r="AF529" s="11" t="str">
        <f>IF(AE529="","",IFERROR(INDEX($AN$11:$AN$4010,MATCH(519,$AZ$11:$AZ$4010,0)),""))</f>
        <v/>
      </c>
      <c r="AG529" s="11" t="str">
        <f>IF(AE529="","",IFERROR(INDEX($AO$11:$AO$4010,MATCH(519,$AZ$11:$AZ$4010,0)),""))</f>
        <v/>
      </c>
      <c r="AH529" s="10" t="str">
        <f>IF(AE529="","",IFERROR(INDEX($AQ$11:$AQ$4010,MATCH(519,$AZ$11:$AZ$4010,0)),""))</f>
        <v/>
      </c>
      <c r="AI529" s="15" t="str">
        <f>IF(AE529="","",IFERROR(INDEX($AR$11:$AR$4010,MATCH(519,$AZ$11:$AZ$4010,0)),""))</f>
        <v/>
      </c>
      <c r="AJ529" s="15" t="str">
        <f>IF(AE529="","",IFERROR(INDEX($AT$11:$AT$4010,MATCH(519,$AZ$11:$AZ$4010,0)),""))</f>
        <v/>
      </c>
      <c r="AL529" s="17"/>
      <c r="AM529" s="12"/>
      <c r="AN529" s="18"/>
      <c r="AO529" s="18"/>
      <c r="AP529" s="10"/>
      <c r="AQ529" s="10"/>
      <c r="AR529" s="19"/>
      <c r="AS529" s="20"/>
      <c r="AT529" s="19"/>
      <c r="AV529" s="21">
        <f>IF(AND($AL529&lt;&gt;"",COUNTIF($AL$11:$AL529,$AL529)=1),1,0)</f>
        <v>0</v>
      </c>
      <c r="AW529" s="21">
        <f t="shared" si="103"/>
        <v>0</v>
      </c>
      <c r="AX529" s="21" t="str">
        <f t="shared" si="102"/>
        <v/>
      </c>
      <c r="AY529" s="21" t="str">
        <f>IF(AND($AM529&lt;&gt;"",$AS529&lt;&gt;"✓"),SUMPRODUCT(($AM$11:$AM529&lt;&gt;"")*($AS$11:$AS529&lt;&gt;"✓")),"")</f>
        <v/>
      </c>
      <c r="AZ529" s="21" t="str">
        <f>IF(AND($AM529&lt;&gt;"",$AS529="✓"),SUMPRODUCT(($AM$11:$AM529&lt;&gt;"")*($AS$11:$AS529="✓")),"")</f>
        <v/>
      </c>
      <c r="BA529" s="21" t="str">
        <f>IF($AL529="","",$AL529&amp;"|"&amp;COUNTIF($AL$11:$AL529,$AL529))</f>
        <v/>
      </c>
    </row>
    <row r="530" spans="23:53" ht="15" customHeight="1" x14ac:dyDescent="0.25">
      <c r="W530" s="28" t="str">
        <f>IF(X530="","",IFERROR(INDEX($AL$11:$AL$4010,MATCH(520,$AY$11:$AY$4010,0)),""))</f>
        <v/>
      </c>
      <c r="X530" s="26" t="str">
        <f>IFERROR(INDEX($AM$11:$AM$4010,MATCH(520,$AY$11:$AY$4010,0)),"")</f>
        <v/>
      </c>
      <c r="Y530" s="25" t="str">
        <f>IF(X530="","",IFERROR(INDEX($AN$11:$AN$4010,MATCH(520,$AY$11:$AY$4010,0)),""))</f>
        <v/>
      </c>
      <c r="Z530" s="25" t="str">
        <f>IF(X530="","",IFERROR(INDEX($AO$11:$AO$4010,MATCH(520,$AY$11:$AY$4010,0)),""))</f>
        <v/>
      </c>
      <c r="AA530" s="24" t="str">
        <f>IF(X530="","",IFERROR(INDEX($AQ$11:$AQ$4010,MATCH(520,$AY$11:$AY$4010,0)),""))</f>
        <v/>
      </c>
      <c r="AB530" s="29" t="str">
        <f>IF(X530="","",IFERROR(INDEX($AR$11:$AR$4010,MATCH(520,$AY$11:$AY$4010,0)),""))</f>
        <v/>
      </c>
      <c r="AD530" s="30" t="str">
        <f>IF(AE530="","",IFERROR(INDEX($AL$11:$AL$4010,MATCH(520,$AZ$11:$AZ$4010,0)),""))</f>
        <v/>
      </c>
      <c r="AE530" s="26" t="str">
        <f>IFERROR(INDEX($AM$11:$AM$4010,MATCH(520,$AZ$11:$AZ$4010,0)),"")</f>
        <v/>
      </c>
      <c r="AF530" s="25" t="str">
        <f>IF(AE530="","",IFERROR(INDEX($AN$11:$AN$4010,MATCH(520,$AZ$11:$AZ$4010,0)),""))</f>
        <v/>
      </c>
      <c r="AG530" s="25" t="str">
        <f>IF(AE530="","",IFERROR(INDEX($AO$11:$AO$4010,MATCH(520,$AZ$11:$AZ$4010,0)),""))</f>
        <v/>
      </c>
      <c r="AH530" s="24" t="str">
        <f>IF(AE530="","",IFERROR(INDEX($AQ$11:$AQ$4010,MATCH(520,$AZ$11:$AZ$4010,0)),""))</f>
        <v/>
      </c>
      <c r="AI530" s="29" t="str">
        <f>IF(AE530="","",IFERROR(INDEX($AR$11:$AR$4010,MATCH(520,$AZ$11:$AZ$4010,0)),""))</f>
        <v/>
      </c>
      <c r="AJ530" s="29" t="str">
        <f>IF(AE530="","",IFERROR(INDEX($AT$11:$AT$4010,MATCH(520,$AZ$11:$AZ$4010,0)),""))</f>
        <v/>
      </c>
      <c r="AL530" s="31"/>
      <c r="AM530" s="26"/>
      <c r="AN530" s="32"/>
      <c r="AO530" s="32"/>
      <c r="AP530" s="24"/>
      <c r="AQ530" s="24"/>
      <c r="AR530" s="33"/>
      <c r="AS530" s="34"/>
      <c r="AT530" s="33"/>
      <c r="AV530" s="21">
        <f>IF(AND($AL530&lt;&gt;"",COUNTIF($AL$11:$AL530,$AL530)=1),1,0)</f>
        <v>0</v>
      </c>
      <c r="AW530" s="21">
        <f t="shared" si="103"/>
        <v>0</v>
      </c>
      <c r="AX530" s="21" t="str">
        <f t="shared" si="102"/>
        <v/>
      </c>
      <c r="AY530" s="21" t="str">
        <f>IF(AND($AM530&lt;&gt;"",$AS530&lt;&gt;"✓"),SUMPRODUCT(($AM$11:$AM530&lt;&gt;"")*($AS$11:$AS530&lt;&gt;"✓")),"")</f>
        <v/>
      </c>
      <c r="AZ530" s="21" t="str">
        <f>IF(AND($AM530&lt;&gt;"",$AS530="✓"),SUMPRODUCT(($AM$11:$AM530&lt;&gt;"")*($AS$11:$AS530="✓")),"")</f>
        <v/>
      </c>
      <c r="BA530" s="21" t="str">
        <f>IF($AL530="","",$AL530&amp;"|"&amp;COUNTIF($AL$11:$AL530,$AL530))</f>
        <v/>
      </c>
    </row>
    <row r="531" spans="23:53" ht="15" customHeight="1" x14ac:dyDescent="0.25">
      <c r="W531" s="14" t="str">
        <f>IF(X531="","",IFERROR(INDEX($AL$11:$AL$4010,MATCH(521,$AY$11:$AY$4010,0)),""))</f>
        <v/>
      </c>
      <c r="X531" s="12" t="str">
        <f>IFERROR(INDEX($AM$11:$AM$4010,MATCH(521,$AY$11:$AY$4010,0)),"")</f>
        <v/>
      </c>
      <c r="Y531" s="11" t="str">
        <f>IF(X531="","",IFERROR(INDEX($AN$11:$AN$4010,MATCH(521,$AY$11:$AY$4010,0)),""))</f>
        <v/>
      </c>
      <c r="Z531" s="11" t="str">
        <f>IF(X531="","",IFERROR(INDEX($AO$11:$AO$4010,MATCH(521,$AY$11:$AY$4010,0)),""))</f>
        <v/>
      </c>
      <c r="AA531" s="10" t="str">
        <f>IF(X531="","",IFERROR(INDEX($AQ$11:$AQ$4010,MATCH(521,$AY$11:$AY$4010,0)),""))</f>
        <v/>
      </c>
      <c r="AB531" s="15" t="str">
        <f>IF(X531="","",IFERROR(INDEX($AR$11:$AR$4010,MATCH(521,$AY$11:$AY$4010,0)),""))</f>
        <v/>
      </c>
      <c r="AD531" s="16" t="str">
        <f>IF(AE531="","",IFERROR(INDEX($AL$11:$AL$4010,MATCH(521,$AZ$11:$AZ$4010,0)),""))</f>
        <v/>
      </c>
      <c r="AE531" s="12" t="str">
        <f>IFERROR(INDEX($AM$11:$AM$4010,MATCH(521,$AZ$11:$AZ$4010,0)),"")</f>
        <v/>
      </c>
      <c r="AF531" s="11" t="str">
        <f>IF(AE531="","",IFERROR(INDEX($AN$11:$AN$4010,MATCH(521,$AZ$11:$AZ$4010,0)),""))</f>
        <v/>
      </c>
      <c r="AG531" s="11" t="str">
        <f>IF(AE531="","",IFERROR(INDEX($AO$11:$AO$4010,MATCH(521,$AZ$11:$AZ$4010,0)),""))</f>
        <v/>
      </c>
      <c r="AH531" s="10" t="str">
        <f>IF(AE531="","",IFERROR(INDEX($AQ$11:$AQ$4010,MATCH(521,$AZ$11:$AZ$4010,0)),""))</f>
        <v/>
      </c>
      <c r="AI531" s="15" t="str">
        <f>IF(AE531="","",IFERROR(INDEX($AR$11:$AR$4010,MATCH(521,$AZ$11:$AZ$4010,0)),""))</f>
        <v/>
      </c>
      <c r="AJ531" s="15" t="str">
        <f>IF(AE531="","",IFERROR(INDEX($AT$11:$AT$4010,MATCH(521,$AZ$11:$AZ$4010,0)),""))</f>
        <v/>
      </c>
      <c r="AL531" s="17"/>
      <c r="AM531" s="12"/>
      <c r="AN531" s="18"/>
      <c r="AO531" s="18"/>
      <c r="AP531" s="10"/>
      <c r="AQ531" s="10"/>
      <c r="AR531" s="19"/>
      <c r="AS531" s="20"/>
      <c r="AT531" s="19"/>
      <c r="AV531" s="21">
        <f>IF(AND($AL531&lt;&gt;"",COUNTIF($AL$11:$AL531,$AL531)=1),1,0)</f>
        <v>0</v>
      </c>
      <c r="AW531" s="21">
        <f t="shared" si="103"/>
        <v>0</v>
      </c>
      <c r="AX531" s="21" t="str">
        <f t="shared" si="102"/>
        <v/>
      </c>
      <c r="AY531" s="21" t="str">
        <f>IF(AND($AM531&lt;&gt;"",$AS531&lt;&gt;"✓"),SUMPRODUCT(($AM$11:$AM531&lt;&gt;"")*($AS$11:$AS531&lt;&gt;"✓")),"")</f>
        <v/>
      </c>
      <c r="AZ531" s="21" t="str">
        <f>IF(AND($AM531&lt;&gt;"",$AS531="✓"),SUMPRODUCT(($AM$11:$AM531&lt;&gt;"")*($AS$11:$AS531="✓")),"")</f>
        <v/>
      </c>
      <c r="BA531" s="21" t="str">
        <f>IF($AL531="","",$AL531&amp;"|"&amp;COUNTIF($AL$11:$AL531,$AL531))</f>
        <v/>
      </c>
    </row>
    <row r="532" spans="23:53" ht="15" customHeight="1" x14ac:dyDescent="0.25">
      <c r="W532" s="28" t="str">
        <f>IF(X532="","",IFERROR(INDEX($AL$11:$AL$4010,MATCH(522,$AY$11:$AY$4010,0)),""))</f>
        <v/>
      </c>
      <c r="X532" s="26" t="str">
        <f>IFERROR(INDEX($AM$11:$AM$4010,MATCH(522,$AY$11:$AY$4010,0)),"")</f>
        <v/>
      </c>
      <c r="Y532" s="25" t="str">
        <f>IF(X532="","",IFERROR(INDEX($AN$11:$AN$4010,MATCH(522,$AY$11:$AY$4010,0)),""))</f>
        <v/>
      </c>
      <c r="Z532" s="25" t="str">
        <f>IF(X532="","",IFERROR(INDEX($AO$11:$AO$4010,MATCH(522,$AY$11:$AY$4010,0)),""))</f>
        <v/>
      </c>
      <c r="AA532" s="24" t="str">
        <f>IF(X532="","",IFERROR(INDEX($AQ$11:$AQ$4010,MATCH(522,$AY$11:$AY$4010,0)),""))</f>
        <v/>
      </c>
      <c r="AB532" s="29" t="str">
        <f>IF(X532="","",IFERROR(INDEX($AR$11:$AR$4010,MATCH(522,$AY$11:$AY$4010,0)),""))</f>
        <v/>
      </c>
      <c r="AD532" s="30" t="str">
        <f>IF(AE532="","",IFERROR(INDEX($AL$11:$AL$4010,MATCH(522,$AZ$11:$AZ$4010,0)),""))</f>
        <v/>
      </c>
      <c r="AE532" s="26" t="str">
        <f>IFERROR(INDEX($AM$11:$AM$4010,MATCH(522,$AZ$11:$AZ$4010,0)),"")</f>
        <v/>
      </c>
      <c r="AF532" s="25" t="str">
        <f>IF(AE532="","",IFERROR(INDEX($AN$11:$AN$4010,MATCH(522,$AZ$11:$AZ$4010,0)),""))</f>
        <v/>
      </c>
      <c r="AG532" s="25" t="str">
        <f>IF(AE532="","",IFERROR(INDEX($AO$11:$AO$4010,MATCH(522,$AZ$11:$AZ$4010,0)),""))</f>
        <v/>
      </c>
      <c r="AH532" s="24" t="str">
        <f>IF(AE532="","",IFERROR(INDEX($AQ$11:$AQ$4010,MATCH(522,$AZ$11:$AZ$4010,0)),""))</f>
        <v/>
      </c>
      <c r="AI532" s="29" t="str">
        <f>IF(AE532="","",IFERROR(INDEX($AR$11:$AR$4010,MATCH(522,$AZ$11:$AZ$4010,0)),""))</f>
        <v/>
      </c>
      <c r="AJ532" s="29" t="str">
        <f>IF(AE532="","",IFERROR(INDEX($AT$11:$AT$4010,MATCH(522,$AZ$11:$AZ$4010,0)),""))</f>
        <v/>
      </c>
      <c r="AL532" s="31"/>
      <c r="AM532" s="26"/>
      <c r="AN532" s="32"/>
      <c r="AO532" s="32"/>
      <c r="AP532" s="24"/>
      <c r="AQ532" s="24"/>
      <c r="AR532" s="33"/>
      <c r="AS532" s="34"/>
      <c r="AT532" s="33"/>
      <c r="AV532" s="21">
        <f>IF(AND($AL532&lt;&gt;"",COUNTIF($AL$11:$AL532,$AL532)=1),1,0)</f>
        <v>0</v>
      </c>
      <c r="AW532" s="21">
        <f t="shared" si="103"/>
        <v>0</v>
      </c>
      <c r="AX532" s="21" t="str">
        <f t="shared" si="102"/>
        <v/>
      </c>
      <c r="AY532" s="21" t="str">
        <f>IF(AND($AM532&lt;&gt;"",$AS532&lt;&gt;"✓"),SUMPRODUCT(($AM$11:$AM532&lt;&gt;"")*($AS$11:$AS532&lt;&gt;"✓")),"")</f>
        <v/>
      </c>
      <c r="AZ532" s="21" t="str">
        <f>IF(AND($AM532&lt;&gt;"",$AS532="✓"),SUMPRODUCT(($AM$11:$AM532&lt;&gt;"")*($AS$11:$AS532="✓")),"")</f>
        <v/>
      </c>
      <c r="BA532" s="21" t="str">
        <f>IF($AL532="","",$AL532&amp;"|"&amp;COUNTIF($AL$11:$AL532,$AL532))</f>
        <v/>
      </c>
    </row>
    <row r="533" spans="23:53" ht="15" customHeight="1" x14ac:dyDescent="0.25">
      <c r="W533" s="14" t="str">
        <f>IF(X533="","",IFERROR(INDEX($AL$11:$AL$4010,MATCH(523,$AY$11:$AY$4010,0)),""))</f>
        <v/>
      </c>
      <c r="X533" s="12" t="str">
        <f>IFERROR(INDEX($AM$11:$AM$4010,MATCH(523,$AY$11:$AY$4010,0)),"")</f>
        <v/>
      </c>
      <c r="Y533" s="11" t="str">
        <f>IF(X533="","",IFERROR(INDEX($AN$11:$AN$4010,MATCH(523,$AY$11:$AY$4010,0)),""))</f>
        <v/>
      </c>
      <c r="Z533" s="11" t="str">
        <f>IF(X533="","",IFERROR(INDEX($AO$11:$AO$4010,MATCH(523,$AY$11:$AY$4010,0)),""))</f>
        <v/>
      </c>
      <c r="AA533" s="10" t="str">
        <f>IF(X533="","",IFERROR(INDEX($AQ$11:$AQ$4010,MATCH(523,$AY$11:$AY$4010,0)),""))</f>
        <v/>
      </c>
      <c r="AB533" s="15" t="str">
        <f>IF(X533="","",IFERROR(INDEX($AR$11:$AR$4010,MATCH(523,$AY$11:$AY$4010,0)),""))</f>
        <v/>
      </c>
      <c r="AD533" s="16" t="str">
        <f>IF(AE533="","",IFERROR(INDEX($AL$11:$AL$4010,MATCH(523,$AZ$11:$AZ$4010,0)),""))</f>
        <v/>
      </c>
      <c r="AE533" s="12" t="str">
        <f>IFERROR(INDEX($AM$11:$AM$4010,MATCH(523,$AZ$11:$AZ$4010,0)),"")</f>
        <v/>
      </c>
      <c r="AF533" s="11" t="str">
        <f>IF(AE533="","",IFERROR(INDEX($AN$11:$AN$4010,MATCH(523,$AZ$11:$AZ$4010,0)),""))</f>
        <v/>
      </c>
      <c r="AG533" s="11" t="str">
        <f>IF(AE533="","",IFERROR(INDEX($AO$11:$AO$4010,MATCH(523,$AZ$11:$AZ$4010,0)),""))</f>
        <v/>
      </c>
      <c r="AH533" s="10" t="str">
        <f>IF(AE533="","",IFERROR(INDEX($AQ$11:$AQ$4010,MATCH(523,$AZ$11:$AZ$4010,0)),""))</f>
        <v/>
      </c>
      <c r="AI533" s="15" t="str">
        <f>IF(AE533="","",IFERROR(INDEX($AR$11:$AR$4010,MATCH(523,$AZ$11:$AZ$4010,0)),""))</f>
        <v/>
      </c>
      <c r="AJ533" s="15" t="str">
        <f>IF(AE533="","",IFERROR(INDEX($AT$11:$AT$4010,MATCH(523,$AZ$11:$AZ$4010,0)),""))</f>
        <v/>
      </c>
      <c r="AL533" s="17"/>
      <c r="AM533" s="12"/>
      <c r="AN533" s="18"/>
      <c r="AO533" s="18"/>
      <c r="AP533" s="10"/>
      <c r="AQ533" s="10"/>
      <c r="AR533" s="19"/>
      <c r="AS533" s="20"/>
      <c r="AT533" s="19"/>
      <c r="AV533" s="21">
        <f>IF(AND($AL533&lt;&gt;"",COUNTIF($AL$11:$AL533,$AL533)=1),1,0)</f>
        <v>0</v>
      </c>
      <c r="AW533" s="21">
        <f t="shared" si="103"/>
        <v>0</v>
      </c>
      <c r="AX533" s="21" t="str">
        <f t="shared" si="102"/>
        <v/>
      </c>
      <c r="AY533" s="21" t="str">
        <f>IF(AND($AM533&lt;&gt;"",$AS533&lt;&gt;"✓"),SUMPRODUCT(($AM$11:$AM533&lt;&gt;"")*($AS$11:$AS533&lt;&gt;"✓")),"")</f>
        <v/>
      </c>
      <c r="AZ533" s="21" t="str">
        <f>IF(AND($AM533&lt;&gt;"",$AS533="✓"),SUMPRODUCT(($AM$11:$AM533&lt;&gt;"")*($AS$11:$AS533="✓")),"")</f>
        <v/>
      </c>
      <c r="BA533" s="21" t="str">
        <f>IF($AL533="","",$AL533&amp;"|"&amp;COUNTIF($AL$11:$AL533,$AL533))</f>
        <v/>
      </c>
    </row>
    <row r="534" spans="23:53" ht="15" customHeight="1" x14ac:dyDescent="0.25">
      <c r="W534" s="28" t="str">
        <f>IF(X534="","",IFERROR(INDEX($AL$11:$AL$4010,MATCH(524,$AY$11:$AY$4010,0)),""))</f>
        <v/>
      </c>
      <c r="X534" s="26" t="str">
        <f>IFERROR(INDEX($AM$11:$AM$4010,MATCH(524,$AY$11:$AY$4010,0)),"")</f>
        <v/>
      </c>
      <c r="Y534" s="25" t="str">
        <f>IF(X534="","",IFERROR(INDEX($AN$11:$AN$4010,MATCH(524,$AY$11:$AY$4010,0)),""))</f>
        <v/>
      </c>
      <c r="Z534" s="25" t="str">
        <f>IF(X534="","",IFERROR(INDEX($AO$11:$AO$4010,MATCH(524,$AY$11:$AY$4010,0)),""))</f>
        <v/>
      </c>
      <c r="AA534" s="24" t="str">
        <f>IF(X534="","",IFERROR(INDEX($AQ$11:$AQ$4010,MATCH(524,$AY$11:$AY$4010,0)),""))</f>
        <v/>
      </c>
      <c r="AB534" s="29" t="str">
        <f>IF(X534="","",IFERROR(INDEX($AR$11:$AR$4010,MATCH(524,$AY$11:$AY$4010,0)),""))</f>
        <v/>
      </c>
      <c r="AD534" s="30" t="str">
        <f>IF(AE534="","",IFERROR(INDEX($AL$11:$AL$4010,MATCH(524,$AZ$11:$AZ$4010,0)),""))</f>
        <v/>
      </c>
      <c r="AE534" s="26" t="str">
        <f>IFERROR(INDEX($AM$11:$AM$4010,MATCH(524,$AZ$11:$AZ$4010,0)),"")</f>
        <v/>
      </c>
      <c r="AF534" s="25" t="str">
        <f>IF(AE534="","",IFERROR(INDEX($AN$11:$AN$4010,MATCH(524,$AZ$11:$AZ$4010,0)),""))</f>
        <v/>
      </c>
      <c r="AG534" s="25" t="str">
        <f>IF(AE534="","",IFERROR(INDEX($AO$11:$AO$4010,MATCH(524,$AZ$11:$AZ$4010,0)),""))</f>
        <v/>
      </c>
      <c r="AH534" s="24" t="str">
        <f>IF(AE534="","",IFERROR(INDEX($AQ$11:$AQ$4010,MATCH(524,$AZ$11:$AZ$4010,0)),""))</f>
        <v/>
      </c>
      <c r="AI534" s="29" t="str">
        <f>IF(AE534="","",IFERROR(INDEX($AR$11:$AR$4010,MATCH(524,$AZ$11:$AZ$4010,0)),""))</f>
        <v/>
      </c>
      <c r="AJ534" s="29" t="str">
        <f>IF(AE534="","",IFERROR(INDEX($AT$11:$AT$4010,MATCH(524,$AZ$11:$AZ$4010,0)),""))</f>
        <v/>
      </c>
      <c r="AL534" s="31"/>
      <c r="AM534" s="26"/>
      <c r="AN534" s="32"/>
      <c r="AO534" s="32"/>
      <c r="AP534" s="24"/>
      <c r="AQ534" s="24"/>
      <c r="AR534" s="33"/>
      <c r="AS534" s="34"/>
      <c r="AT534" s="33"/>
      <c r="AV534" s="21">
        <f>IF(AND($AL534&lt;&gt;"",COUNTIF($AL$11:$AL534,$AL534)=1),1,0)</f>
        <v>0</v>
      </c>
      <c r="AW534" s="21">
        <f t="shared" si="103"/>
        <v>0</v>
      </c>
      <c r="AX534" s="21" t="str">
        <f t="shared" si="102"/>
        <v/>
      </c>
      <c r="AY534" s="21" t="str">
        <f>IF(AND($AM534&lt;&gt;"",$AS534&lt;&gt;"✓"),SUMPRODUCT(($AM$11:$AM534&lt;&gt;"")*($AS$11:$AS534&lt;&gt;"✓")),"")</f>
        <v/>
      </c>
      <c r="AZ534" s="21" t="str">
        <f>IF(AND($AM534&lt;&gt;"",$AS534="✓"),SUMPRODUCT(($AM$11:$AM534&lt;&gt;"")*($AS$11:$AS534="✓")),"")</f>
        <v/>
      </c>
      <c r="BA534" s="21" t="str">
        <f>IF($AL534="","",$AL534&amp;"|"&amp;COUNTIF($AL$11:$AL534,$AL534))</f>
        <v/>
      </c>
    </row>
    <row r="535" spans="23:53" ht="15" customHeight="1" x14ac:dyDescent="0.25">
      <c r="W535" s="14" t="str">
        <f>IF(X535="","",IFERROR(INDEX($AL$11:$AL$4010,MATCH(525,$AY$11:$AY$4010,0)),""))</f>
        <v/>
      </c>
      <c r="X535" s="12" t="str">
        <f>IFERROR(INDEX($AM$11:$AM$4010,MATCH(525,$AY$11:$AY$4010,0)),"")</f>
        <v/>
      </c>
      <c r="Y535" s="11" t="str">
        <f>IF(X535="","",IFERROR(INDEX($AN$11:$AN$4010,MATCH(525,$AY$11:$AY$4010,0)),""))</f>
        <v/>
      </c>
      <c r="Z535" s="11" t="str">
        <f>IF(X535="","",IFERROR(INDEX($AO$11:$AO$4010,MATCH(525,$AY$11:$AY$4010,0)),""))</f>
        <v/>
      </c>
      <c r="AA535" s="10" t="str">
        <f>IF(X535="","",IFERROR(INDEX($AQ$11:$AQ$4010,MATCH(525,$AY$11:$AY$4010,0)),""))</f>
        <v/>
      </c>
      <c r="AB535" s="15" t="str">
        <f>IF(X535="","",IFERROR(INDEX($AR$11:$AR$4010,MATCH(525,$AY$11:$AY$4010,0)),""))</f>
        <v/>
      </c>
      <c r="AD535" s="16" t="str">
        <f>IF(AE535="","",IFERROR(INDEX($AL$11:$AL$4010,MATCH(525,$AZ$11:$AZ$4010,0)),""))</f>
        <v/>
      </c>
      <c r="AE535" s="12" t="str">
        <f>IFERROR(INDEX($AM$11:$AM$4010,MATCH(525,$AZ$11:$AZ$4010,0)),"")</f>
        <v/>
      </c>
      <c r="AF535" s="11" t="str">
        <f>IF(AE535="","",IFERROR(INDEX($AN$11:$AN$4010,MATCH(525,$AZ$11:$AZ$4010,0)),""))</f>
        <v/>
      </c>
      <c r="AG535" s="11" t="str">
        <f>IF(AE535="","",IFERROR(INDEX($AO$11:$AO$4010,MATCH(525,$AZ$11:$AZ$4010,0)),""))</f>
        <v/>
      </c>
      <c r="AH535" s="10" t="str">
        <f>IF(AE535="","",IFERROR(INDEX($AQ$11:$AQ$4010,MATCH(525,$AZ$11:$AZ$4010,0)),""))</f>
        <v/>
      </c>
      <c r="AI535" s="15" t="str">
        <f>IF(AE535="","",IFERROR(INDEX($AR$11:$AR$4010,MATCH(525,$AZ$11:$AZ$4010,0)),""))</f>
        <v/>
      </c>
      <c r="AJ535" s="15" t="str">
        <f>IF(AE535="","",IFERROR(INDEX($AT$11:$AT$4010,MATCH(525,$AZ$11:$AZ$4010,0)),""))</f>
        <v/>
      </c>
      <c r="AL535" s="17"/>
      <c r="AM535" s="12"/>
      <c r="AN535" s="18"/>
      <c r="AO535" s="18"/>
      <c r="AP535" s="10"/>
      <c r="AQ535" s="10"/>
      <c r="AR535" s="19"/>
      <c r="AS535" s="20"/>
      <c r="AT535" s="19"/>
      <c r="AV535" s="21">
        <f>IF(AND($AL535&lt;&gt;"",COUNTIF($AL$11:$AL535,$AL535)=1),1,0)</f>
        <v>0</v>
      </c>
      <c r="AW535" s="21">
        <f t="shared" si="103"/>
        <v>0</v>
      </c>
      <c r="AX535" s="21" t="str">
        <f t="shared" si="102"/>
        <v/>
      </c>
      <c r="AY535" s="21" t="str">
        <f>IF(AND($AM535&lt;&gt;"",$AS535&lt;&gt;"✓"),SUMPRODUCT(($AM$11:$AM535&lt;&gt;"")*($AS$11:$AS535&lt;&gt;"✓")),"")</f>
        <v/>
      </c>
      <c r="AZ535" s="21" t="str">
        <f>IF(AND($AM535&lt;&gt;"",$AS535="✓"),SUMPRODUCT(($AM$11:$AM535&lt;&gt;"")*($AS$11:$AS535="✓")),"")</f>
        <v/>
      </c>
      <c r="BA535" s="21" t="str">
        <f>IF($AL535="","",$AL535&amp;"|"&amp;COUNTIF($AL$11:$AL535,$AL535))</f>
        <v/>
      </c>
    </row>
    <row r="536" spans="23:53" ht="15" customHeight="1" x14ac:dyDescent="0.25">
      <c r="W536" s="28" t="str">
        <f>IF(X536="","",IFERROR(INDEX($AL$11:$AL$4010,MATCH(526,$AY$11:$AY$4010,0)),""))</f>
        <v/>
      </c>
      <c r="X536" s="26" t="str">
        <f>IFERROR(INDEX($AM$11:$AM$4010,MATCH(526,$AY$11:$AY$4010,0)),"")</f>
        <v/>
      </c>
      <c r="Y536" s="25" t="str">
        <f>IF(X536="","",IFERROR(INDEX($AN$11:$AN$4010,MATCH(526,$AY$11:$AY$4010,0)),""))</f>
        <v/>
      </c>
      <c r="Z536" s="25" t="str">
        <f>IF(X536="","",IFERROR(INDEX($AO$11:$AO$4010,MATCH(526,$AY$11:$AY$4010,0)),""))</f>
        <v/>
      </c>
      <c r="AA536" s="24" t="str">
        <f>IF(X536="","",IFERROR(INDEX($AQ$11:$AQ$4010,MATCH(526,$AY$11:$AY$4010,0)),""))</f>
        <v/>
      </c>
      <c r="AB536" s="29" t="str">
        <f>IF(X536="","",IFERROR(INDEX($AR$11:$AR$4010,MATCH(526,$AY$11:$AY$4010,0)),""))</f>
        <v/>
      </c>
      <c r="AD536" s="30" t="str">
        <f>IF(AE536="","",IFERROR(INDEX($AL$11:$AL$4010,MATCH(526,$AZ$11:$AZ$4010,0)),""))</f>
        <v/>
      </c>
      <c r="AE536" s="26" t="str">
        <f>IFERROR(INDEX($AM$11:$AM$4010,MATCH(526,$AZ$11:$AZ$4010,0)),"")</f>
        <v/>
      </c>
      <c r="AF536" s="25" t="str">
        <f>IF(AE536="","",IFERROR(INDEX($AN$11:$AN$4010,MATCH(526,$AZ$11:$AZ$4010,0)),""))</f>
        <v/>
      </c>
      <c r="AG536" s="25" t="str">
        <f>IF(AE536="","",IFERROR(INDEX($AO$11:$AO$4010,MATCH(526,$AZ$11:$AZ$4010,0)),""))</f>
        <v/>
      </c>
      <c r="AH536" s="24" t="str">
        <f>IF(AE536="","",IFERROR(INDEX($AQ$11:$AQ$4010,MATCH(526,$AZ$11:$AZ$4010,0)),""))</f>
        <v/>
      </c>
      <c r="AI536" s="29" t="str">
        <f>IF(AE536="","",IFERROR(INDEX($AR$11:$AR$4010,MATCH(526,$AZ$11:$AZ$4010,0)),""))</f>
        <v/>
      </c>
      <c r="AJ536" s="29" t="str">
        <f>IF(AE536="","",IFERROR(INDEX($AT$11:$AT$4010,MATCH(526,$AZ$11:$AZ$4010,0)),""))</f>
        <v/>
      </c>
      <c r="AL536" s="31"/>
      <c r="AM536" s="26"/>
      <c r="AN536" s="32"/>
      <c r="AO536" s="32"/>
      <c r="AP536" s="24"/>
      <c r="AQ536" s="24"/>
      <c r="AR536" s="33"/>
      <c r="AS536" s="34"/>
      <c r="AT536" s="33"/>
      <c r="AV536" s="21">
        <f>IF(AND($AL536&lt;&gt;"",COUNTIF($AL$11:$AL536,$AL536)=1),1,0)</f>
        <v>0</v>
      </c>
      <c r="AW536" s="21">
        <f t="shared" si="103"/>
        <v>0</v>
      </c>
      <c r="AX536" s="21" t="str">
        <f t="shared" si="102"/>
        <v/>
      </c>
      <c r="AY536" s="21" t="str">
        <f>IF(AND($AM536&lt;&gt;"",$AS536&lt;&gt;"✓"),SUMPRODUCT(($AM$11:$AM536&lt;&gt;"")*($AS$11:$AS536&lt;&gt;"✓")),"")</f>
        <v/>
      </c>
      <c r="AZ536" s="21" t="str">
        <f>IF(AND($AM536&lt;&gt;"",$AS536="✓"),SUMPRODUCT(($AM$11:$AM536&lt;&gt;"")*($AS$11:$AS536="✓")),"")</f>
        <v/>
      </c>
      <c r="BA536" s="21" t="str">
        <f>IF($AL536="","",$AL536&amp;"|"&amp;COUNTIF($AL$11:$AL536,$AL536))</f>
        <v/>
      </c>
    </row>
    <row r="537" spans="23:53" ht="15" customHeight="1" x14ac:dyDescent="0.25">
      <c r="W537" s="14" t="str">
        <f>IF(X537="","",IFERROR(INDEX($AL$11:$AL$4010,MATCH(527,$AY$11:$AY$4010,0)),""))</f>
        <v/>
      </c>
      <c r="X537" s="12" t="str">
        <f>IFERROR(INDEX($AM$11:$AM$4010,MATCH(527,$AY$11:$AY$4010,0)),"")</f>
        <v/>
      </c>
      <c r="Y537" s="11" t="str">
        <f>IF(X537="","",IFERROR(INDEX($AN$11:$AN$4010,MATCH(527,$AY$11:$AY$4010,0)),""))</f>
        <v/>
      </c>
      <c r="Z537" s="11" t="str">
        <f>IF(X537="","",IFERROR(INDEX($AO$11:$AO$4010,MATCH(527,$AY$11:$AY$4010,0)),""))</f>
        <v/>
      </c>
      <c r="AA537" s="10" t="str">
        <f>IF(X537="","",IFERROR(INDEX($AQ$11:$AQ$4010,MATCH(527,$AY$11:$AY$4010,0)),""))</f>
        <v/>
      </c>
      <c r="AB537" s="15" t="str">
        <f>IF(X537="","",IFERROR(INDEX($AR$11:$AR$4010,MATCH(527,$AY$11:$AY$4010,0)),""))</f>
        <v/>
      </c>
      <c r="AD537" s="16" t="str">
        <f>IF(AE537="","",IFERROR(INDEX($AL$11:$AL$4010,MATCH(527,$AZ$11:$AZ$4010,0)),""))</f>
        <v/>
      </c>
      <c r="AE537" s="12" t="str">
        <f>IFERROR(INDEX($AM$11:$AM$4010,MATCH(527,$AZ$11:$AZ$4010,0)),"")</f>
        <v/>
      </c>
      <c r="AF537" s="11" t="str">
        <f>IF(AE537="","",IFERROR(INDEX($AN$11:$AN$4010,MATCH(527,$AZ$11:$AZ$4010,0)),""))</f>
        <v/>
      </c>
      <c r="AG537" s="11" t="str">
        <f>IF(AE537="","",IFERROR(INDEX($AO$11:$AO$4010,MATCH(527,$AZ$11:$AZ$4010,0)),""))</f>
        <v/>
      </c>
      <c r="AH537" s="10" t="str">
        <f>IF(AE537="","",IFERROR(INDEX($AQ$11:$AQ$4010,MATCH(527,$AZ$11:$AZ$4010,0)),""))</f>
        <v/>
      </c>
      <c r="AI537" s="15" t="str">
        <f>IF(AE537="","",IFERROR(INDEX($AR$11:$AR$4010,MATCH(527,$AZ$11:$AZ$4010,0)),""))</f>
        <v/>
      </c>
      <c r="AJ537" s="15" t="str">
        <f>IF(AE537="","",IFERROR(INDEX($AT$11:$AT$4010,MATCH(527,$AZ$11:$AZ$4010,0)),""))</f>
        <v/>
      </c>
      <c r="AL537" s="17"/>
      <c r="AM537" s="12"/>
      <c r="AN537" s="18"/>
      <c r="AO537" s="18"/>
      <c r="AP537" s="10"/>
      <c r="AQ537" s="10"/>
      <c r="AR537" s="19"/>
      <c r="AS537" s="20"/>
      <c r="AT537" s="19"/>
      <c r="AV537" s="21">
        <f>IF(AND($AL537&lt;&gt;"",COUNTIF($AL$11:$AL537,$AL537)=1),1,0)</f>
        <v>0</v>
      </c>
      <c r="AW537" s="21">
        <f t="shared" si="103"/>
        <v>0</v>
      </c>
      <c r="AX537" s="21" t="str">
        <f t="shared" si="102"/>
        <v/>
      </c>
      <c r="AY537" s="21" t="str">
        <f>IF(AND($AM537&lt;&gt;"",$AS537&lt;&gt;"✓"),SUMPRODUCT(($AM$11:$AM537&lt;&gt;"")*($AS$11:$AS537&lt;&gt;"✓")),"")</f>
        <v/>
      </c>
      <c r="AZ537" s="21" t="str">
        <f>IF(AND($AM537&lt;&gt;"",$AS537="✓"),SUMPRODUCT(($AM$11:$AM537&lt;&gt;"")*($AS$11:$AS537="✓")),"")</f>
        <v/>
      </c>
      <c r="BA537" s="21" t="str">
        <f>IF($AL537="","",$AL537&amp;"|"&amp;COUNTIF($AL$11:$AL537,$AL537))</f>
        <v/>
      </c>
    </row>
    <row r="538" spans="23:53" ht="15" customHeight="1" x14ac:dyDescent="0.25">
      <c r="W538" s="28" t="str">
        <f>IF(X538="","",IFERROR(INDEX($AL$11:$AL$4010,MATCH(528,$AY$11:$AY$4010,0)),""))</f>
        <v/>
      </c>
      <c r="X538" s="26" t="str">
        <f>IFERROR(INDEX($AM$11:$AM$4010,MATCH(528,$AY$11:$AY$4010,0)),"")</f>
        <v/>
      </c>
      <c r="Y538" s="25" t="str">
        <f>IF(X538="","",IFERROR(INDEX($AN$11:$AN$4010,MATCH(528,$AY$11:$AY$4010,0)),""))</f>
        <v/>
      </c>
      <c r="Z538" s="25" t="str">
        <f>IF(X538="","",IFERROR(INDEX($AO$11:$AO$4010,MATCH(528,$AY$11:$AY$4010,0)),""))</f>
        <v/>
      </c>
      <c r="AA538" s="24" t="str">
        <f>IF(X538="","",IFERROR(INDEX($AQ$11:$AQ$4010,MATCH(528,$AY$11:$AY$4010,0)),""))</f>
        <v/>
      </c>
      <c r="AB538" s="29" t="str">
        <f>IF(X538="","",IFERROR(INDEX($AR$11:$AR$4010,MATCH(528,$AY$11:$AY$4010,0)),""))</f>
        <v/>
      </c>
      <c r="AD538" s="30" t="str">
        <f>IF(AE538="","",IFERROR(INDEX($AL$11:$AL$4010,MATCH(528,$AZ$11:$AZ$4010,0)),""))</f>
        <v/>
      </c>
      <c r="AE538" s="26" t="str">
        <f>IFERROR(INDEX($AM$11:$AM$4010,MATCH(528,$AZ$11:$AZ$4010,0)),"")</f>
        <v/>
      </c>
      <c r="AF538" s="25" t="str">
        <f>IF(AE538="","",IFERROR(INDEX($AN$11:$AN$4010,MATCH(528,$AZ$11:$AZ$4010,0)),""))</f>
        <v/>
      </c>
      <c r="AG538" s="25" t="str">
        <f>IF(AE538="","",IFERROR(INDEX($AO$11:$AO$4010,MATCH(528,$AZ$11:$AZ$4010,0)),""))</f>
        <v/>
      </c>
      <c r="AH538" s="24" t="str">
        <f>IF(AE538="","",IFERROR(INDEX($AQ$11:$AQ$4010,MATCH(528,$AZ$11:$AZ$4010,0)),""))</f>
        <v/>
      </c>
      <c r="AI538" s="29" t="str">
        <f>IF(AE538="","",IFERROR(INDEX($AR$11:$AR$4010,MATCH(528,$AZ$11:$AZ$4010,0)),""))</f>
        <v/>
      </c>
      <c r="AJ538" s="29" t="str">
        <f>IF(AE538="","",IFERROR(INDEX($AT$11:$AT$4010,MATCH(528,$AZ$11:$AZ$4010,0)),""))</f>
        <v/>
      </c>
      <c r="AL538" s="31"/>
      <c r="AM538" s="26"/>
      <c r="AN538" s="32"/>
      <c r="AO538" s="32"/>
      <c r="AP538" s="24"/>
      <c r="AQ538" s="24"/>
      <c r="AR538" s="33"/>
      <c r="AS538" s="34"/>
      <c r="AT538" s="33"/>
      <c r="AV538" s="21">
        <f>IF(AND($AL538&lt;&gt;"",COUNTIF($AL$11:$AL538,$AL538)=1),1,0)</f>
        <v>0</v>
      </c>
      <c r="AW538" s="21">
        <f t="shared" si="103"/>
        <v>0</v>
      </c>
      <c r="AX538" s="21" t="str">
        <f t="shared" si="102"/>
        <v/>
      </c>
      <c r="AY538" s="21" t="str">
        <f>IF(AND($AM538&lt;&gt;"",$AS538&lt;&gt;"✓"),SUMPRODUCT(($AM$11:$AM538&lt;&gt;"")*($AS$11:$AS538&lt;&gt;"✓")),"")</f>
        <v/>
      </c>
      <c r="AZ538" s="21" t="str">
        <f>IF(AND($AM538&lt;&gt;"",$AS538="✓"),SUMPRODUCT(($AM$11:$AM538&lt;&gt;"")*($AS$11:$AS538="✓")),"")</f>
        <v/>
      </c>
      <c r="BA538" s="21" t="str">
        <f>IF($AL538="","",$AL538&amp;"|"&amp;COUNTIF($AL$11:$AL538,$AL538))</f>
        <v/>
      </c>
    </row>
    <row r="539" spans="23:53" ht="15" customHeight="1" x14ac:dyDescent="0.25">
      <c r="W539" s="14" t="str">
        <f>IF(X539="","",IFERROR(INDEX($AL$11:$AL$4010,MATCH(529,$AY$11:$AY$4010,0)),""))</f>
        <v/>
      </c>
      <c r="X539" s="12" t="str">
        <f>IFERROR(INDEX($AM$11:$AM$4010,MATCH(529,$AY$11:$AY$4010,0)),"")</f>
        <v/>
      </c>
      <c r="Y539" s="11" t="str">
        <f>IF(X539="","",IFERROR(INDEX($AN$11:$AN$4010,MATCH(529,$AY$11:$AY$4010,0)),""))</f>
        <v/>
      </c>
      <c r="Z539" s="11" t="str">
        <f>IF(X539="","",IFERROR(INDEX($AO$11:$AO$4010,MATCH(529,$AY$11:$AY$4010,0)),""))</f>
        <v/>
      </c>
      <c r="AA539" s="10" t="str">
        <f>IF(X539="","",IFERROR(INDEX($AQ$11:$AQ$4010,MATCH(529,$AY$11:$AY$4010,0)),""))</f>
        <v/>
      </c>
      <c r="AB539" s="15" t="str">
        <f>IF(X539="","",IFERROR(INDEX($AR$11:$AR$4010,MATCH(529,$AY$11:$AY$4010,0)),""))</f>
        <v/>
      </c>
      <c r="AD539" s="16" t="str">
        <f>IF(AE539="","",IFERROR(INDEX($AL$11:$AL$4010,MATCH(529,$AZ$11:$AZ$4010,0)),""))</f>
        <v/>
      </c>
      <c r="AE539" s="12" t="str">
        <f>IFERROR(INDEX($AM$11:$AM$4010,MATCH(529,$AZ$11:$AZ$4010,0)),"")</f>
        <v/>
      </c>
      <c r="AF539" s="11" t="str">
        <f>IF(AE539="","",IFERROR(INDEX($AN$11:$AN$4010,MATCH(529,$AZ$11:$AZ$4010,0)),""))</f>
        <v/>
      </c>
      <c r="AG539" s="11" t="str">
        <f>IF(AE539="","",IFERROR(INDEX($AO$11:$AO$4010,MATCH(529,$AZ$11:$AZ$4010,0)),""))</f>
        <v/>
      </c>
      <c r="AH539" s="10" t="str">
        <f>IF(AE539="","",IFERROR(INDEX($AQ$11:$AQ$4010,MATCH(529,$AZ$11:$AZ$4010,0)),""))</f>
        <v/>
      </c>
      <c r="AI539" s="15" t="str">
        <f>IF(AE539="","",IFERROR(INDEX($AR$11:$AR$4010,MATCH(529,$AZ$11:$AZ$4010,0)),""))</f>
        <v/>
      </c>
      <c r="AJ539" s="15" t="str">
        <f>IF(AE539="","",IFERROR(INDEX($AT$11:$AT$4010,MATCH(529,$AZ$11:$AZ$4010,0)),""))</f>
        <v/>
      </c>
      <c r="AL539" s="17"/>
      <c r="AM539" s="12"/>
      <c r="AN539" s="18"/>
      <c r="AO539" s="18"/>
      <c r="AP539" s="10"/>
      <c r="AQ539" s="10"/>
      <c r="AR539" s="19"/>
      <c r="AS539" s="20"/>
      <c r="AT539" s="19"/>
      <c r="AV539" s="21">
        <f>IF(AND($AL539&lt;&gt;"",COUNTIF($AL$11:$AL539,$AL539)=1),1,0)</f>
        <v>0</v>
      </c>
      <c r="AW539" s="21">
        <f t="shared" si="103"/>
        <v>0</v>
      </c>
      <c r="AX539" s="21" t="str">
        <f t="shared" si="102"/>
        <v/>
      </c>
      <c r="AY539" s="21" t="str">
        <f>IF(AND($AM539&lt;&gt;"",$AS539&lt;&gt;"✓"),SUMPRODUCT(($AM$11:$AM539&lt;&gt;"")*($AS$11:$AS539&lt;&gt;"✓")),"")</f>
        <v/>
      </c>
      <c r="AZ539" s="21" t="str">
        <f>IF(AND($AM539&lt;&gt;"",$AS539="✓"),SUMPRODUCT(($AM$11:$AM539&lt;&gt;"")*($AS$11:$AS539="✓")),"")</f>
        <v/>
      </c>
      <c r="BA539" s="21" t="str">
        <f>IF($AL539="","",$AL539&amp;"|"&amp;COUNTIF($AL$11:$AL539,$AL539))</f>
        <v/>
      </c>
    </row>
    <row r="540" spans="23:53" ht="15" customHeight="1" x14ac:dyDescent="0.25">
      <c r="W540" s="28" t="str">
        <f>IF(X540="","",IFERROR(INDEX($AL$11:$AL$4010,MATCH(530,$AY$11:$AY$4010,0)),""))</f>
        <v/>
      </c>
      <c r="X540" s="26" t="str">
        <f>IFERROR(INDEX($AM$11:$AM$4010,MATCH(530,$AY$11:$AY$4010,0)),"")</f>
        <v/>
      </c>
      <c r="Y540" s="25" t="str">
        <f>IF(X540="","",IFERROR(INDEX($AN$11:$AN$4010,MATCH(530,$AY$11:$AY$4010,0)),""))</f>
        <v/>
      </c>
      <c r="Z540" s="25" t="str">
        <f>IF(X540="","",IFERROR(INDEX($AO$11:$AO$4010,MATCH(530,$AY$11:$AY$4010,0)),""))</f>
        <v/>
      </c>
      <c r="AA540" s="24" t="str">
        <f>IF(X540="","",IFERROR(INDEX($AQ$11:$AQ$4010,MATCH(530,$AY$11:$AY$4010,0)),""))</f>
        <v/>
      </c>
      <c r="AB540" s="29" t="str">
        <f>IF(X540="","",IFERROR(INDEX($AR$11:$AR$4010,MATCH(530,$AY$11:$AY$4010,0)),""))</f>
        <v/>
      </c>
      <c r="AD540" s="30" t="str">
        <f>IF(AE540="","",IFERROR(INDEX($AL$11:$AL$4010,MATCH(530,$AZ$11:$AZ$4010,0)),""))</f>
        <v/>
      </c>
      <c r="AE540" s="26" t="str">
        <f>IFERROR(INDEX($AM$11:$AM$4010,MATCH(530,$AZ$11:$AZ$4010,0)),"")</f>
        <v/>
      </c>
      <c r="AF540" s="25" t="str">
        <f>IF(AE540="","",IFERROR(INDEX($AN$11:$AN$4010,MATCH(530,$AZ$11:$AZ$4010,0)),""))</f>
        <v/>
      </c>
      <c r="AG540" s="25" t="str">
        <f>IF(AE540="","",IFERROR(INDEX($AO$11:$AO$4010,MATCH(530,$AZ$11:$AZ$4010,0)),""))</f>
        <v/>
      </c>
      <c r="AH540" s="24" t="str">
        <f>IF(AE540="","",IFERROR(INDEX($AQ$11:$AQ$4010,MATCH(530,$AZ$11:$AZ$4010,0)),""))</f>
        <v/>
      </c>
      <c r="AI540" s="29" t="str">
        <f>IF(AE540="","",IFERROR(INDEX($AR$11:$AR$4010,MATCH(530,$AZ$11:$AZ$4010,0)),""))</f>
        <v/>
      </c>
      <c r="AJ540" s="29" t="str">
        <f>IF(AE540="","",IFERROR(INDEX($AT$11:$AT$4010,MATCH(530,$AZ$11:$AZ$4010,0)),""))</f>
        <v/>
      </c>
      <c r="AL540" s="31"/>
      <c r="AM540" s="26"/>
      <c r="AN540" s="32"/>
      <c r="AO540" s="32"/>
      <c r="AP540" s="24"/>
      <c r="AQ540" s="24"/>
      <c r="AR540" s="33"/>
      <c r="AS540" s="34"/>
      <c r="AT540" s="33"/>
      <c r="AV540" s="21">
        <f>IF(AND($AL540&lt;&gt;"",COUNTIF($AL$11:$AL540,$AL540)=1),1,0)</f>
        <v>0</v>
      </c>
      <c r="AW540" s="21">
        <f t="shared" si="103"/>
        <v>0</v>
      </c>
      <c r="AX540" s="21" t="str">
        <f t="shared" si="102"/>
        <v/>
      </c>
      <c r="AY540" s="21" t="str">
        <f>IF(AND($AM540&lt;&gt;"",$AS540&lt;&gt;"✓"),SUMPRODUCT(($AM$11:$AM540&lt;&gt;"")*($AS$11:$AS540&lt;&gt;"✓")),"")</f>
        <v/>
      </c>
      <c r="AZ540" s="21" t="str">
        <f>IF(AND($AM540&lt;&gt;"",$AS540="✓"),SUMPRODUCT(($AM$11:$AM540&lt;&gt;"")*($AS$11:$AS540="✓")),"")</f>
        <v/>
      </c>
      <c r="BA540" s="21" t="str">
        <f>IF($AL540="","",$AL540&amp;"|"&amp;COUNTIF($AL$11:$AL540,$AL540))</f>
        <v/>
      </c>
    </row>
    <row r="541" spans="23:53" ht="15" customHeight="1" x14ac:dyDescent="0.25">
      <c r="W541" s="14" t="str">
        <f>IF(X541="","",IFERROR(INDEX($AL$11:$AL$4010,MATCH(531,$AY$11:$AY$4010,0)),""))</f>
        <v/>
      </c>
      <c r="X541" s="12" t="str">
        <f>IFERROR(INDEX($AM$11:$AM$4010,MATCH(531,$AY$11:$AY$4010,0)),"")</f>
        <v/>
      </c>
      <c r="Y541" s="11" t="str">
        <f>IF(X541="","",IFERROR(INDEX($AN$11:$AN$4010,MATCH(531,$AY$11:$AY$4010,0)),""))</f>
        <v/>
      </c>
      <c r="Z541" s="11" t="str">
        <f>IF(X541="","",IFERROR(INDEX($AO$11:$AO$4010,MATCH(531,$AY$11:$AY$4010,0)),""))</f>
        <v/>
      </c>
      <c r="AA541" s="10" t="str">
        <f>IF(X541="","",IFERROR(INDEX($AQ$11:$AQ$4010,MATCH(531,$AY$11:$AY$4010,0)),""))</f>
        <v/>
      </c>
      <c r="AB541" s="15" t="str">
        <f>IF(X541="","",IFERROR(INDEX($AR$11:$AR$4010,MATCH(531,$AY$11:$AY$4010,0)),""))</f>
        <v/>
      </c>
      <c r="AD541" s="16" t="str">
        <f>IF(AE541="","",IFERROR(INDEX($AL$11:$AL$4010,MATCH(531,$AZ$11:$AZ$4010,0)),""))</f>
        <v/>
      </c>
      <c r="AE541" s="12" t="str">
        <f>IFERROR(INDEX($AM$11:$AM$4010,MATCH(531,$AZ$11:$AZ$4010,0)),"")</f>
        <v/>
      </c>
      <c r="AF541" s="11" t="str">
        <f>IF(AE541="","",IFERROR(INDEX($AN$11:$AN$4010,MATCH(531,$AZ$11:$AZ$4010,0)),""))</f>
        <v/>
      </c>
      <c r="AG541" s="11" t="str">
        <f>IF(AE541="","",IFERROR(INDEX($AO$11:$AO$4010,MATCH(531,$AZ$11:$AZ$4010,0)),""))</f>
        <v/>
      </c>
      <c r="AH541" s="10" t="str">
        <f>IF(AE541="","",IFERROR(INDEX($AQ$11:$AQ$4010,MATCH(531,$AZ$11:$AZ$4010,0)),""))</f>
        <v/>
      </c>
      <c r="AI541" s="15" t="str">
        <f>IF(AE541="","",IFERROR(INDEX($AR$11:$AR$4010,MATCH(531,$AZ$11:$AZ$4010,0)),""))</f>
        <v/>
      </c>
      <c r="AJ541" s="15" t="str">
        <f>IF(AE541="","",IFERROR(INDEX($AT$11:$AT$4010,MATCH(531,$AZ$11:$AZ$4010,0)),""))</f>
        <v/>
      </c>
      <c r="AL541" s="17"/>
      <c r="AM541" s="12"/>
      <c r="AN541" s="18"/>
      <c r="AO541" s="18"/>
      <c r="AP541" s="10"/>
      <c r="AQ541" s="10"/>
      <c r="AR541" s="19"/>
      <c r="AS541" s="20"/>
      <c r="AT541" s="19"/>
      <c r="AV541" s="21">
        <f>IF(AND($AL541&lt;&gt;"",COUNTIF($AL$11:$AL541,$AL541)=1),1,0)</f>
        <v>0</v>
      </c>
      <c r="AW541" s="21">
        <f t="shared" si="103"/>
        <v>0</v>
      </c>
      <c r="AX541" s="21" t="str">
        <f t="shared" si="102"/>
        <v/>
      </c>
      <c r="AY541" s="21" t="str">
        <f>IF(AND($AM541&lt;&gt;"",$AS541&lt;&gt;"✓"),SUMPRODUCT(($AM$11:$AM541&lt;&gt;"")*($AS$11:$AS541&lt;&gt;"✓")),"")</f>
        <v/>
      </c>
      <c r="AZ541" s="21" t="str">
        <f>IF(AND($AM541&lt;&gt;"",$AS541="✓"),SUMPRODUCT(($AM$11:$AM541&lt;&gt;"")*($AS$11:$AS541="✓")),"")</f>
        <v/>
      </c>
      <c r="BA541" s="21" t="str">
        <f>IF($AL541="","",$AL541&amp;"|"&amp;COUNTIF($AL$11:$AL541,$AL541))</f>
        <v/>
      </c>
    </row>
    <row r="542" spans="23:53" ht="15" customHeight="1" x14ac:dyDescent="0.25">
      <c r="W542" s="28" t="str">
        <f>IF(X542="","",IFERROR(INDEX($AL$11:$AL$4010,MATCH(532,$AY$11:$AY$4010,0)),""))</f>
        <v/>
      </c>
      <c r="X542" s="26" t="str">
        <f>IFERROR(INDEX($AM$11:$AM$4010,MATCH(532,$AY$11:$AY$4010,0)),"")</f>
        <v/>
      </c>
      <c r="Y542" s="25" t="str">
        <f>IF(X542="","",IFERROR(INDEX($AN$11:$AN$4010,MATCH(532,$AY$11:$AY$4010,0)),""))</f>
        <v/>
      </c>
      <c r="Z542" s="25" t="str">
        <f>IF(X542="","",IFERROR(INDEX($AO$11:$AO$4010,MATCH(532,$AY$11:$AY$4010,0)),""))</f>
        <v/>
      </c>
      <c r="AA542" s="24" t="str">
        <f>IF(X542="","",IFERROR(INDEX($AQ$11:$AQ$4010,MATCH(532,$AY$11:$AY$4010,0)),""))</f>
        <v/>
      </c>
      <c r="AB542" s="29" t="str">
        <f>IF(X542="","",IFERROR(INDEX($AR$11:$AR$4010,MATCH(532,$AY$11:$AY$4010,0)),""))</f>
        <v/>
      </c>
      <c r="AD542" s="30" t="str">
        <f>IF(AE542="","",IFERROR(INDEX($AL$11:$AL$4010,MATCH(532,$AZ$11:$AZ$4010,0)),""))</f>
        <v/>
      </c>
      <c r="AE542" s="26" t="str">
        <f>IFERROR(INDEX($AM$11:$AM$4010,MATCH(532,$AZ$11:$AZ$4010,0)),"")</f>
        <v/>
      </c>
      <c r="AF542" s="25" t="str">
        <f>IF(AE542="","",IFERROR(INDEX($AN$11:$AN$4010,MATCH(532,$AZ$11:$AZ$4010,0)),""))</f>
        <v/>
      </c>
      <c r="AG542" s="25" t="str">
        <f>IF(AE542="","",IFERROR(INDEX($AO$11:$AO$4010,MATCH(532,$AZ$11:$AZ$4010,0)),""))</f>
        <v/>
      </c>
      <c r="AH542" s="24" t="str">
        <f>IF(AE542="","",IFERROR(INDEX($AQ$11:$AQ$4010,MATCH(532,$AZ$11:$AZ$4010,0)),""))</f>
        <v/>
      </c>
      <c r="AI542" s="29" t="str">
        <f>IF(AE542="","",IFERROR(INDEX($AR$11:$AR$4010,MATCH(532,$AZ$11:$AZ$4010,0)),""))</f>
        <v/>
      </c>
      <c r="AJ542" s="29" t="str">
        <f>IF(AE542="","",IFERROR(INDEX($AT$11:$AT$4010,MATCH(532,$AZ$11:$AZ$4010,0)),""))</f>
        <v/>
      </c>
      <c r="AL542" s="31"/>
      <c r="AM542" s="26"/>
      <c r="AN542" s="32"/>
      <c r="AO542" s="32"/>
      <c r="AP542" s="24"/>
      <c r="AQ542" s="24"/>
      <c r="AR542" s="33"/>
      <c r="AS542" s="34"/>
      <c r="AT542" s="33"/>
      <c r="AV542" s="21">
        <f>IF(AND($AL542&lt;&gt;"",COUNTIF($AL$11:$AL542,$AL542)=1),1,0)</f>
        <v>0</v>
      </c>
      <c r="AW542" s="21">
        <f t="shared" si="103"/>
        <v>0</v>
      </c>
      <c r="AX542" s="21" t="str">
        <f t="shared" si="102"/>
        <v/>
      </c>
      <c r="AY542" s="21" t="str">
        <f>IF(AND($AM542&lt;&gt;"",$AS542&lt;&gt;"✓"),SUMPRODUCT(($AM$11:$AM542&lt;&gt;"")*($AS$11:$AS542&lt;&gt;"✓")),"")</f>
        <v/>
      </c>
      <c r="AZ542" s="21" t="str">
        <f>IF(AND($AM542&lt;&gt;"",$AS542="✓"),SUMPRODUCT(($AM$11:$AM542&lt;&gt;"")*($AS$11:$AS542="✓")),"")</f>
        <v/>
      </c>
      <c r="BA542" s="21" t="str">
        <f>IF($AL542="","",$AL542&amp;"|"&amp;COUNTIF($AL$11:$AL542,$AL542))</f>
        <v/>
      </c>
    </row>
    <row r="543" spans="23:53" ht="15" customHeight="1" x14ac:dyDescent="0.25">
      <c r="W543" s="14" t="str">
        <f>IF(X543="","",IFERROR(INDEX($AL$11:$AL$4010,MATCH(533,$AY$11:$AY$4010,0)),""))</f>
        <v/>
      </c>
      <c r="X543" s="12" t="str">
        <f>IFERROR(INDEX($AM$11:$AM$4010,MATCH(533,$AY$11:$AY$4010,0)),"")</f>
        <v/>
      </c>
      <c r="Y543" s="11" t="str">
        <f>IF(X543="","",IFERROR(INDEX($AN$11:$AN$4010,MATCH(533,$AY$11:$AY$4010,0)),""))</f>
        <v/>
      </c>
      <c r="Z543" s="11" t="str">
        <f>IF(X543="","",IFERROR(INDEX($AO$11:$AO$4010,MATCH(533,$AY$11:$AY$4010,0)),""))</f>
        <v/>
      </c>
      <c r="AA543" s="10" t="str">
        <f>IF(X543="","",IFERROR(INDEX($AQ$11:$AQ$4010,MATCH(533,$AY$11:$AY$4010,0)),""))</f>
        <v/>
      </c>
      <c r="AB543" s="15" t="str">
        <f>IF(X543="","",IFERROR(INDEX($AR$11:$AR$4010,MATCH(533,$AY$11:$AY$4010,0)),""))</f>
        <v/>
      </c>
      <c r="AD543" s="16" t="str">
        <f>IF(AE543="","",IFERROR(INDEX($AL$11:$AL$4010,MATCH(533,$AZ$11:$AZ$4010,0)),""))</f>
        <v/>
      </c>
      <c r="AE543" s="12" t="str">
        <f>IFERROR(INDEX($AM$11:$AM$4010,MATCH(533,$AZ$11:$AZ$4010,0)),"")</f>
        <v/>
      </c>
      <c r="AF543" s="11" t="str">
        <f>IF(AE543="","",IFERROR(INDEX($AN$11:$AN$4010,MATCH(533,$AZ$11:$AZ$4010,0)),""))</f>
        <v/>
      </c>
      <c r="AG543" s="11" t="str">
        <f>IF(AE543="","",IFERROR(INDEX($AO$11:$AO$4010,MATCH(533,$AZ$11:$AZ$4010,0)),""))</f>
        <v/>
      </c>
      <c r="AH543" s="10" t="str">
        <f>IF(AE543="","",IFERROR(INDEX($AQ$11:$AQ$4010,MATCH(533,$AZ$11:$AZ$4010,0)),""))</f>
        <v/>
      </c>
      <c r="AI543" s="15" t="str">
        <f>IF(AE543="","",IFERROR(INDEX($AR$11:$AR$4010,MATCH(533,$AZ$11:$AZ$4010,0)),""))</f>
        <v/>
      </c>
      <c r="AJ543" s="15" t="str">
        <f>IF(AE543="","",IFERROR(INDEX($AT$11:$AT$4010,MATCH(533,$AZ$11:$AZ$4010,0)),""))</f>
        <v/>
      </c>
      <c r="AL543" s="17"/>
      <c r="AM543" s="12"/>
      <c r="AN543" s="18"/>
      <c r="AO543" s="18"/>
      <c r="AP543" s="10"/>
      <c r="AQ543" s="10"/>
      <c r="AR543" s="19"/>
      <c r="AS543" s="20"/>
      <c r="AT543" s="19"/>
      <c r="AV543" s="21">
        <f>IF(AND($AL543&lt;&gt;"",COUNTIF($AL$11:$AL543,$AL543)=1),1,0)</f>
        <v>0</v>
      </c>
      <c r="AW543" s="21">
        <f t="shared" si="103"/>
        <v>0</v>
      </c>
      <c r="AX543" s="21" t="str">
        <f t="shared" si="102"/>
        <v/>
      </c>
      <c r="AY543" s="21" t="str">
        <f>IF(AND($AM543&lt;&gt;"",$AS543&lt;&gt;"✓"),SUMPRODUCT(($AM$11:$AM543&lt;&gt;"")*($AS$11:$AS543&lt;&gt;"✓")),"")</f>
        <v/>
      </c>
      <c r="AZ543" s="21" t="str">
        <f>IF(AND($AM543&lt;&gt;"",$AS543="✓"),SUMPRODUCT(($AM$11:$AM543&lt;&gt;"")*($AS$11:$AS543="✓")),"")</f>
        <v/>
      </c>
      <c r="BA543" s="21" t="str">
        <f>IF($AL543="","",$AL543&amp;"|"&amp;COUNTIF($AL$11:$AL543,$AL543))</f>
        <v/>
      </c>
    </row>
    <row r="544" spans="23:53" ht="15" customHeight="1" x14ac:dyDescent="0.25">
      <c r="W544" s="28" t="str">
        <f>IF(X544="","",IFERROR(INDEX($AL$11:$AL$4010,MATCH(534,$AY$11:$AY$4010,0)),""))</f>
        <v/>
      </c>
      <c r="X544" s="26" t="str">
        <f>IFERROR(INDEX($AM$11:$AM$4010,MATCH(534,$AY$11:$AY$4010,0)),"")</f>
        <v/>
      </c>
      <c r="Y544" s="25" t="str">
        <f>IF(X544="","",IFERROR(INDEX($AN$11:$AN$4010,MATCH(534,$AY$11:$AY$4010,0)),""))</f>
        <v/>
      </c>
      <c r="Z544" s="25" t="str">
        <f>IF(X544="","",IFERROR(INDEX($AO$11:$AO$4010,MATCH(534,$AY$11:$AY$4010,0)),""))</f>
        <v/>
      </c>
      <c r="AA544" s="24" t="str">
        <f>IF(X544="","",IFERROR(INDEX($AQ$11:$AQ$4010,MATCH(534,$AY$11:$AY$4010,0)),""))</f>
        <v/>
      </c>
      <c r="AB544" s="29" t="str">
        <f>IF(X544="","",IFERROR(INDEX($AR$11:$AR$4010,MATCH(534,$AY$11:$AY$4010,0)),""))</f>
        <v/>
      </c>
      <c r="AD544" s="30" t="str">
        <f>IF(AE544="","",IFERROR(INDEX($AL$11:$AL$4010,MATCH(534,$AZ$11:$AZ$4010,0)),""))</f>
        <v/>
      </c>
      <c r="AE544" s="26" t="str">
        <f>IFERROR(INDEX($AM$11:$AM$4010,MATCH(534,$AZ$11:$AZ$4010,0)),"")</f>
        <v/>
      </c>
      <c r="AF544" s="25" t="str">
        <f>IF(AE544="","",IFERROR(INDEX($AN$11:$AN$4010,MATCH(534,$AZ$11:$AZ$4010,0)),""))</f>
        <v/>
      </c>
      <c r="AG544" s="25" t="str">
        <f>IF(AE544="","",IFERROR(INDEX($AO$11:$AO$4010,MATCH(534,$AZ$11:$AZ$4010,0)),""))</f>
        <v/>
      </c>
      <c r="AH544" s="24" t="str">
        <f>IF(AE544="","",IFERROR(INDEX($AQ$11:$AQ$4010,MATCH(534,$AZ$11:$AZ$4010,0)),""))</f>
        <v/>
      </c>
      <c r="AI544" s="29" t="str">
        <f>IF(AE544="","",IFERROR(INDEX($AR$11:$AR$4010,MATCH(534,$AZ$11:$AZ$4010,0)),""))</f>
        <v/>
      </c>
      <c r="AJ544" s="29" t="str">
        <f>IF(AE544="","",IFERROR(INDEX($AT$11:$AT$4010,MATCH(534,$AZ$11:$AZ$4010,0)),""))</f>
        <v/>
      </c>
      <c r="AL544" s="31"/>
      <c r="AM544" s="26"/>
      <c r="AN544" s="32"/>
      <c r="AO544" s="32"/>
      <c r="AP544" s="24"/>
      <c r="AQ544" s="24"/>
      <c r="AR544" s="33"/>
      <c r="AS544" s="34"/>
      <c r="AT544" s="33"/>
      <c r="AV544" s="21">
        <f>IF(AND($AL544&lt;&gt;"",COUNTIF($AL$11:$AL544,$AL544)=1),1,0)</f>
        <v>0</v>
      </c>
      <c r="AW544" s="21">
        <f t="shared" si="103"/>
        <v>0</v>
      </c>
      <c r="AX544" s="21" t="str">
        <f t="shared" si="102"/>
        <v/>
      </c>
      <c r="AY544" s="21" t="str">
        <f>IF(AND($AM544&lt;&gt;"",$AS544&lt;&gt;"✓"),SUMPRODUCT(($AM$11:$AM544&lt;&gt;"")*($AS$11:$AS544&lt;&gt;"✓")),"")</f>
        <v/>
      </c>
      <c r="AZ544" s="21" t="str">
        <f>IF(AND($AM544&lt;&gt;"",$AS544="✓"),SUMPRODUCT(($AM$11:$AM544&lt;&gt;"")*($AS$11:$AS544="✓")),"")</f>
        <v/>
      </c>
      <c r="BA544" s="21" t="str">
        <f>IF($AL544="","",$AL544&amp;"|"&amp;COUNTIF($AL$11:$AL544,$AL544))</f>
        <v/>
      </c>
    </row>
    <row r="545" spans="23:53" ht="15" customHeight="1" x14ac:dyDescent="0.25">
      <c r="W545" s="14" t="str">
        <f>IF(X545="","",IFERROR(INDEX($AL$11:$AL$4010,MATCH(535,$AY$11:$AY$4010,0)),""))</f>
        <v/>
      </c>
      <c r="X545" s="12" t="str">
        <f>IFERROR(INDEX($AM$11:$AM$4010,MATCH(535,$AY$11:$AY$4010,0)),"")</f>
        <v/>
      </c>
      <c r="Y545" s="11" t="str">
        <f>IF(X545="","",IFERROR(INDEX($AN$11:$AN$4010,MATCH(535,$AY$11:$AY$4010,0)),""))</f>
        <v/>
      </c>
      <c r="Z545" s="11" t="str">
        <f>IF(X545="","",IFERROR(INDEX($AO$11:$AO$4010,MATCH(535,$AY$11:$AY$4010,0)),""))</f>
        <v/>
      </c>
      <c r="AA545" s="10" t="str">
        <f>IF(X545="","",IFERROR(INDEX($AQ$11:$AQ$4010,MATCH(535,$AY$11:$AY$4010,0)),""))</f>
        <v/>
      </c>
      <c r="AB545" s="15" t="str">
        <f>IF(X545="","",IFERROR(INDEX($AR$11:$AR$4010,MATCH(535,$AY$11:$AY$4010,0)),""))</f>
        <v/>
      </c>
      <c r="AD545" s="16" t="str">
        <f>IF(AE545="","",IFERROR(INDEX($AL$11:$AL$4010,MATCH(535,$AZ$11:$AZ$4010,0)),""))</f>
        <v/>
      </c>
      <c r="AE545" s="12" t="str">
        <f>IFERROR(INDEX($AM$11:$AM$4010,MATCH(535,$AZ$11:$AZ$4010,0)),"")</f>
        <v/>
      </c>
      <c r="AF545" s="11" t="str">
        <f>IF(AE545="","",IFERROR(INDEX($AN$11:$AN$4010,MATCH(535,$AZ$11:$AZ$4010,0)),""))</f>
        <v/>
      </c>
      <c r="AG545" s="11" t="str">
        <f>IF(AE545="","",IFERROR(INDEX($AO$11:$AO$4010,MATCH(535,$AZ$11:$AZ$4010,0)),""))</f>
        <v/>
      </c>
      <c r="AH545" s="10" t="str">
        <f>IF(AE545="","",IFERROR(INDEX($AQ$11:$AQ$4010,MATCH(535,$AZ$11:$AZ$4010,0)),""))</f>
        <v/>
      </c>
      <c r="AI545" s="15" t="str">
        <f>IF(AE545="","",IFERROR(INDEX($AR$11:$AR$4010,MATCH(535,$AZ$11:$AZ$4010,0)),""))</f>
        <v/>
      </c>
      <c r="AJ545" s="15" t="str">
        <f>IF(AE545="","",IFERROR(INDEX($AT$11:$AT$4010,MATCH(535,$AZ$11:$AZ$4010,0)),""))</f>
        <v/>
      </c>
      <c r="AL545" s="17"/>
      <c r="AM545" s="12"/>
      <c r="AN545" s="18"/>
      <c r="AO545" s="18"/>
      <c r="AP545" s="10"/>
      <c r="AQ545" s="10"/>
      <c r="AR545" s="19"/>
      <c r="AS545" s="20"/>
      <c r="AT545" s="19"/>
      <c r="AV545" s="21">
        <f>IF(AND($AL545&lt;&gt;"",COUNTIF($AL$11:$AL545,$AL545)=1),1,0)</f>
        <v>0</v>
      </c>
      <c r="AW545" s="21">
        <f t="shared" si="103"/>
        <v>0</v>
      </c>
      <c r="AX545" s="21" t="str">
        <f t="shared" si="102"/>
        <v/>
      </c>
      <c r="AY545" s="21" t="str">
        <f>IF(AND($AM545&lt;&gt;"",$AS545&lt;&gt;"✓"),SUMPRODUCT(($AM$11:$AM545&lt;&gt;"")*($AS$11:$AS545&lt;&gt;"✓")),"")</f>
        <v/>
      </c>
      <c r="AZ545" s="21" t="str">
        <f>IF(AND($AM545&lt;&gt;"",$AS545="✓"),SUMPRODUCT(($AM$11:$AM545&lt;&gt;"")*($AS$11:$AS545="✓")),"")</f>
        <v/>
      </c>
      <c r="BA545" s="21" t="str">
        <f>IF($AL545="","",$AL545&amp;"|"&amp;COUNTIF($AL$11:$AL545,$AL545))</f>
        <v/>
      </c>
    </row>
    <row r="546" spans="23:53" ht="15" customHeight="1" x14ac:dyDescent="0.25">
      <c r="W546" s="28" t="str">
        <f>IF(X546="","",IFERROR(INDEX($AL$11:$AL$4010,MATCH(536,$AY$11:$AY$4010,0)),""))</f>
        <v/>
      </c>
      <c r="X546" s="26" t="str">
        <f>IFERROR(INDEX($AM$11:$AM$4010,MATCH(536,$AY$11:$AY$4010,0)),"")</f>
        <v/>
      </c>
      <c r="Y546" s="25" t="str">
        <f>IF(X546="","",IFERROR(INDEX($AN$11:$AN$4010,MATCH(536,$AY$11:$AY$4010,0)),""))</f>
        <v/>
      </c>
      <c r="Z546" s="25" t="str">
        <f>IF(X546="","",IFERROR(INDEX($AO$11:$AO$4010,MATCH(536,$AY$11:$AY$4010,0)),""))</f>
        <v/>
      </c>
      <c r="AA546" s="24" t="str">
        <f>IF(X546="","",IFERROR(INDEX($AQ$11:$AQ$4010,MATCH(536,$AY$11:$AY$4010,0)),""))</f>
        <v/>
      </c>
      <c r="AB546" s="29" t="str">
        <f>IF(X546="","",IFERROR(INDEX($AR$11:$AR$4010,MATCH(536,$AY$11:$AY$4010,0)),""))</f>
        <v/>
      </c>
      <c r="AD546" s="30" t="str">
        <f>IF(AE546="","",IFERROR(INDEX($AL$11:$AL$4010,MATCH(536,$AZ$11:$AZ$4010,0)),""))</f>
        <v/>
      </c>
      <c r="AE546" s="26" t="str">
        <f>IFERROR(INDEX($AM$11:$AM$4010,MATCH(536,$AZ$11:$AZ$4010,0)),"")</f>
        <v/>
      </c>
      <c r="AF546" s="25" t="str">
        <f>IF(AE546="","",IFERROR(INDEX($AN$11:$AN$4010,MATCH(536,$AZ$11:$AZ$4010,0)),""))</f>
        <v/>
      </c>
      <c r="AG546" s="25" t="str">
        <f>IF(AE546="","",IFERROR(INDEX($AO$11:$AO$4010,MATCH(536,$AZ$11:$AZ$4010,0)),""))</f>
        <v/>
      </c>
      <c r="AH546" s="24" t="str">
        <f>IF(AE546="","",IFERROR(INDEX($AQ$11:$AQ$4010,MATCH(536,$AZ$11:$AZ$4010,0)),""))</f>
        <v/>
      </c>
      <c r="AI546" s="29" t="str">
        <f>IF(AE546="","",IFERROR(INDEX($AR$11:$AR$4010,MATCH(536,$AZ$11:$AZ$4010,0)),""))</f>
        <v/>
      </c>
      <c r="AJ546" s="29" t="str">
        <f>IF(AE546="","",IFERROR(INDEX($AT$11:$AT$4010,MATCH(536,$AZ$11:$AZ$4010,0)),""))</f>
        <v/>
      </c>
      <c r="AL546" s="31"/>
      <c r="AM546" s="26"/>
      <c r="AN546" s="32"/>
      <c r="AO546" s="32"/>
      <c r="AP546" s="24"/>
      <c r="AQ546" s="24"/>
      <c r="AR546" s="33"/>
      <c r="AS546" s="34"/>
      <c r="AT546" s="33"/>
      <c r="AV546" s="21">
        <f>IF(AND($AL546&lt;&gt;"",COUNTIF($AL$11:$AL546,$AL546)=1),1,0)</f>
        <v>0</v>
      </c>
      <c r="AW546" s="21">
        <f t="shared" si="103"/>
        <v>0</v>
      </c>
      <c r="AX546" s="21" t="str">
        <f t="shared" si="102"/>
        <v/>
      </c>
      <c r="AY546" s="21" t="str">
        <f>IF(AND($AM546&lt;&gt;"",$AS546&lt;&gt;"✓"),SUMPRODUCT(($AM$11:$AM546&lt;&gt;"")*($AS$11:$AS546&lt;&gt;"✓")),"")</f>
        <v/>
      </c>
      <c r="AZ546" s="21" t="str">
        <f>IF(AND($AM546&lt;&gt;"",$AS546="✓"),SUMPRODUCT(($AM$11:$AM546&lt;&gt;"")*($AS$11:$AS546="✓")),"")</f>
        <v/>
      </c>
      <c r="BA546" s="21" t="str">
        <f>IF($AL546="","",$AL546&amp;"|"&amp;COUNTIF($AL$11:$AL546,$AL546))</f>
        <v/>
      </c>
    </row>
    <row r="547" spans="23:53" ht="15" customHeight="1" x14ac:dyDescent="0.25">
      <c r="W547" s="14" t="str">
        <f>IF(X547="","",IFERROR(INDEX($AL$11:$AL$4010,MATCH(537,$AY$11:$AY$4010,0)),""))</f>
        <v/>
      </c>
      <c r="X547" s="12" t="str">
        <f>IFERROR(INDEX($AM$11:$AM$4010,MATCH(537,$AY$11:$AY$4010,0)),"")</f>
        <v/>
      </c>
      <c r="Y547" s="11" t="str">
        <f>IF(X547="","",IFERROR(INDEX($AN$11:$AN$4010,MATCH(537,$AY$11:$AY$4010,0)),""))</f>
        <v/>
      </c>
      <c r="Z547" s="11" t="str">
        <f>IF(X547="","",IFERROR(INDEX($AO$11:$AO$4010,MATCH(537,$AY$11:$AY$4010,0)),""))</f>
        <v/>
      </c>
      <c r="AA547" s="10" t="str">
        <f>IF(X547="","",IFERROR(INDEX($AQ$11:$AQ$4010,MATCH(537,$AY$11:$AY$4010,0)),""))</f>
        <v/>
      </c>
      <c r="AB547" s="15" t="str">
        <f>IF(X547="","",IFERROR(INDEX($AR$11:$AR$4010,MATCH(537,$AY$11:$AY$4010,0)),""))</f>
        <v/>
      </c>
      <c r="AD547" s="16" t="str">
        <f>IF(AE547="","",IFERROR(INDEX($AL$11:$AL$4010,MATCH(537,$AZ$11:$AZ$4010,0)),""))</f>
        <v/>
      </c>
      <c r="AE547" s="12" t="str">
        <f>IFERROR(INDEX($AM$11:$AM$4010,MATCH(537,$AZ$11:$AZ$4010,0)),"")</f>
        <v/>
      </c>
      <c r="AF547" s="11" t="str">
        <f>IF(AE547="","",IFERROR(INDEX($AN$11:$AN$4010,MATCH(537,$AZ$11:$AZ$4010,0)),""))</f>
        <v/>
      </c>
      <c r="AG547" s="11" t="str">
        <f>IF(AE547="","",IFERROR(INDEX($AO$11:$AO$4010,MATCH(537,$AZ$11:$AZ$4010,0)),""))</f>
        <v/>
      </c>
      <c r="AH547" s="10" t="str">
        <f>IF(AE547="","",IFERROR(INDEX($AQ$11:$AQ$4010,MATCH(537,$AZ$11:$AZ$4010,0)),""))</f>
        <v/>
      </c>
      <c r="AI547" s="15" t="str">
        <f>IF(AE547="","",IFERROR(INDEX($AR$11:$AR$4010,MATCH(537,$AZ$11:$AZ$4010,0)),""))</f>
        <v/>
      </c>
      <c r="AJ547" s="15" t="str">
        <f>IF(AE547="","",IFERROR(INDEX($AT$11:$AT$4010,MATCH(537,$AZ$11:$AZ$4010,0)),""))</f>
        <v/>
      </c>
      <c r="AL547" s="17"/>
      <c r="AM547" s="12"/>
      <c r="AN547" s="18"/>
      <c r="AO547" s="18"/>
      <c r="AP547" s="10"/>
      <c r="AQ547" s="10"/>
      <c r="AR547" s="19"/>
      <c r="AS547" s="20"/>
      <c r="AT547" s="19"/>
      <c r="AV547" s="21">
        <f>IF(AND($AL547&lt;&gt;"",COUNTIF($AL$11:$AL547,$AL547)=1),1,0)</f>
        <v>0</v>
      </c>
      <c r="AW547" s="21">
        <f t="shared" si="103"/>
        <v>0</v>
      </c>
      <c r="AX547" s="21" t="str">
        <f t="shared" si="102"/>
        <v/>
      </c>
      <c r="AY547" s="21" t="str">
        <f>IF(AND($AM547&lt;&gt;"",$AS547&lt;&gt;"✓"),SUMPRODUCT(($AM$11:$AM547&lt;&gt;"")*($AS$11:$AS547&lt;&gt;"✓")),"")</f>
        <v/>
      </c>
      <c r="AZ547" s="21" t="str">
        <f>IF(AND($AM547&lt;&gt;"",$AS547="✓"),SUMPRODUCT(($AM$11:$AM547&lt;&gt;"")*($AS$11:$AS547="✓")),"")</f>
        <v/>
      </c>
      <c r="BA547" s="21" t="str">
        <f>IF($AL547="","",$AL547&amp;"|"&amp;COUNTIF($AL$11:$AL547,$AL547))</f>
        <v/>
      </c>
    </row>
    <row r="548" spans="23:53" ht="15" customHeight="1" x14ac:dyDescent="0.25">
      <c r="W548" s="28" t="str">
        <f>IF(X548="","",IFERROR(INDEX($AL$11:$AL$4010,MATCH(538,$AY$11:$AY$4010,0)),""))</f>
        <v/>
      </c>
      <c r="X548" s="26" t="str">
        <f>IFERROR(INDEX($AM$11:$AM$4010,MATCH(538,$AY$11:$AY$4010,0)),"")</f>
        <v/>
      </c>
      <c r="Y548" s="25" t="str">
        <f>IF(X548="","",IFERROR(INDEX($AN$11:$AN$4010,MATCH(538,$AY$11:$AY$4010,0)),""))</f>
        <v/>
      </c>
      <c r="Z548" s="25" t="str">
        <f>IF(X548="","",IFERROR(INDEX($AO$11:$AO$4010,MATCH(538,$AY$11:$AY$4010,0)),""))</f>
        <v/>
      </c>
      <c r="AA548" s="24" t="str">
        <f>IF(X548="","",IFERROR(INDEX($AQ$11:$AQ$4010,MATCH(538,$AY$11:$AY$4010,0)),""))</f>
        <v/>
      </c>
      <c r="AB548" s="29" t="str">
        <f>IF(X548="","",IFERROR(INDEX($AR$11:$AR$4010,MATCH(538,$AY$11:$AY$4010,0)),""))</f>
        <v/>
      </c>
      <c r="AD548" s="30" t="str">
        <f>IF(AE548="","",IFERROR(INDEX($AL$11:$AL$4010,MATCH(538,$AZ$11:$AZ$4010,0)),""))</f>
        <v/>
      </c>
      <c r="AE548" s="26" t="str">
        <f>IFERROR(INDEX($AM$11:$AM$4010,MATCH(538,$AZ$11:$AZ$4010,0)),"")</f>
        <v/>
      </c>
      <c r="AF548" s="25" t="str">
        <f>IF(AE548="","",IFERROR(INDEX($AN$11:$AN$4010,MATCH(538,$AZ$11:$AZ$4010,0)),""))</f>
        <v/>
      </c>
      <c r="AG548" s="25" t="str">
        <f>IF(AE548="","",IFERROR(INDEX($AO$11:$AO$4010,MATCH(538,$AZ$11:$AZ$4010,0)),""))</f>
        <v/>
      </c>
      <c r="AH548" s="24" t="str">
        <f>IF(AE548="","",IFERROR(INDEX($AQ$11:$AQ$4010,MATCH(538,$AZ$11:$AZ$4010,0)),""))</f>
        <v/>
      </c>
      <c r="AI548" s="29" t="str">
        <f>IF(AE548="","",IFERROR(INDEX($AR$11:$AR$4010,MATCH(538,$AZ$11:$AZ$4010,0)),""))</f>
        <v/>
      </c>
      <c r="AJ548" s="29" t="str">
        <f>IF(AE548="","",IFERROR(INDEX($AT$11:$AT$4010,MATCH(538,$AZ$11:$AZ$4010,0)),""))</f>
        <v/>
      </c>
      <c r="AL548" s="31"/>
      <c r="AM548" s="26"/>
      <c r="AN548" s="32"/>
      <c r="AO548" s="32"/>
      <c r="AP548" s="24"/>
      <c r="AQ548" s="24"/>
      <c r="AR548" s="33"/>
      <c r="AS548" s="34"/>
      <c r="AT548" s="33"/>
      <c r="AV548" s="21">
        <f>IF(AND($AL548&lt;&gt;"",COUNTIF($AL$11:$AL548,$AL548)=1),1,0)</f>
        <v>0</v>
      </c>
      <c r="AW548" s="21">
        <f t="shared" si="103"/>
        <v>0</v>
      </c>
      <c r="AX548" s="21" t="str">
        <f t="shared" si="102"/>
        <v/>
      </c>
      <c r="AY548" s="21" t="str">
        <f>IF(AND($AM548&lt;&gt;"",$AS548&lt;&gt;"✓"),SUMPRODUCT(($AM$11:$AM548&lt;&gt;"")*($AS$11:$AS548&lt;&gt;"✓")),"")</f>
        <v/>
      </c>
      <c r="AZ548" s="21" t="str">
        <f>IF(AND($AM548&lt;&gt;"",$AS548="✓"),SUMPRODUCT(($AM$11:$AM548&lt;&gt;"")*($AS$11:$AS548="✓")),"")</f>
        <v/>
      </c>
      <c r="BA548" s="21" t="str">
        <f>IF($AL548="","",$AL548&amp;"|"&amp;COUNTIF($AL$11:$AL548,$AL548))</f>
        <v/>
      </c>
    </row>
    <row r="549" spans="23:53" ht="15" customHeight="1" x14ac:dyDescent="0.25">
      <c r="W549" s="14" t="str">
        <f>IF(X549="","",IFERROR(INDEX($AL$11:$AL$4010,MATCH(539,$AY$11:$AY$4010,0)),""))</f>
        <v/>
      </c>
      <c r="X549" s="12" t="str">
        <f>IFERROR(INDEX($AM$11:$AM$4010,MATCH(539,$AY$11:$AY$4010,0)),"")</f>
        <v/>
      </c>
      <c r="Y549" s="11" t="str">
        <f>IF(X549="","",IFERROR(INDEX($AN$11:$AN$4010,MATCH(539,$AY$11:$AY$4010,0)),""))</f>
        <v/>
      </c>
      <c r="Z549" s="11" t="str">
        <f>IF(X549="","",IFERROR(INDEX($AO$11:$AO$4010,MATCH(539,$AY$11:$AY$4010,0)),""))</f>
        <v/>
      </c>
      <c r="AA549" s="10" t="str">
        <f>IF(X549="","",IFERROR(INDEX($AQ$11:$AQ$4010,MATCH(539,$AY$11:$AY$4010,0)),""))</f>
        <v/>
      </c>
      <c r="AB549" s="15" t="str">
        <f>IF(X549="","",IFERROR(INDEX($AR$11:$AR$4010,MATCH(539,$AY$11:$AY$4010,0)),""))</f>
        <v/>
      </c>
      <c r="AD549" s="16" t="str">
        <f>IF(AE549="","",IFERROR(INDEX($AL$11:$AL$4010,MATCH(539,$AZ$11:$AZ$4010,0)),""))</f>
        <v/>
      </c>
      <c r="AE549" s="12" t="str">
        <f>IFERROR(INDEX($AM$11:$AM$4010,MATCH(539,$AZ$11:$AZ$4010,0)),"")</f>
        <v/>
      </c>
      <c r="AF549" s="11" t="str">
        <f>IF(AE549="","",IFERROR(INDEX($AN$11:$AN$4010,MATCH(539,$AZ$11:$AZ$4010,0)),""))</f>
        <v/>
      </c>
      <c r="AG549" s="11" t="str">
        <f>IF(AE549="","",IFERROR(INDEX($AO$11:$AO$4010,MATCH(539,$AZ$11:$AZ$4010,0)),""))</f>
        <v/>
      </c>
      <c r="AH549" s="10" t="str">
        <f>IF(AE549="","",IFERROR(INDEX($AQ$11:$AQ$4010,MATCH(539,$AZ$11:$AZ$4010,0)),""))</f>
        <v/>
      </c>
      <c r="AI549" s="15" t="str">
        <f>IF(AE549="","",IFERROR(INDEX($AR$11:$AR$4010,MATCH(539,$AZ$11:$AZ$4010,0)),""))</f>
        <v/>
      </c>
      <c r="AJ549" s="15" t="str">
        <f>IF(AE549="","",IFERROR(INDEX($AT$11:$AT$4010,MATCH(539,$AZ$11:$AZ$4010,0)),""))</f>
        <v/>
      </c>
      <c r="AL549" s="17"/>
      <c r="AM549" s="12"/>
      <c r="AN549" s="18"/>
      <c r="AO549" s="18"/>
      <c r="AP549" s="10"/>
      <c r="AQ549" s="10"/>
      <c r="AR549" s="19"/>
      <c r="AS549" s="20"/>
      <c r="AT549" s="19"/>
      <c r="AV549" s="21">
        <f>IF(AND($AL549&lt;&gt;"",COUNTIF($AL$11:$AL549,$AL549)=1),1,0)</f>
        <v>0</v>
      </c>
      <c r="AW549" s="21">
        <f t="shared" si="103"/>
        <v>0</v>
      </c>
      <c r="AX549" s="21" t="str">
        <f t="shared" si="102"/>
        <v/>
      </c>
      <c r="AY549" s="21" t="str">
        <f>IF(AND($AM549&lt;&gt;"",$AS549&lt;&gt;"✓"),SUMPRODUCT(($AM$11:$AM549&lt;&gt;"")*($AS$11:$AS549&lt;&gt;"✓")),"")</f>
        <v/>
      </c>
      <c r="AZ549" s="21" t="str">
        <f>IF(AND($AM549&lt;&gt;"",$AS549="✓"),SUMPRODUCT(($AM$11:$AM549&lt;&gt;"")*($AS$11:$AS549="✓")),"")</f>
        <v/>
      </c>
      <c r="BA549" s="21" t="str">
        <f>IF($AL549="","",$AL549&amp;"|"&amp;COUNTIF($AL$11:$AL549,$AL549))</f>
        <v/>
      </c>
    </row>
    <row r="550" spans="23:53" ht="15" customHeight="1" x14ac:dyDescent="0.25">
      <c r="W550" s="28" t="str">
        <f>IF(X550="","",IFERROR(INDEX($AL$11:$AL$4010,MATCH(540,$AY$11:$AY$4010,0)),""))</f>
        <v/>
      </c>
      <c r="X550" s="26" t="str">
        <f>IFERROR(INDEX($AM$11:$AM$4010,MATCH(540,$AY$11:$AY$4010,0)),"")</f>
        <v/>
      </c>
      <c r="Y550" s="25" t="str">
        <f>IF(X550="","",IFERROR(INDEX($AN$11:$AN$4010,MATCH(540,$AY$11:$AY$4010,0)),""))</f>
        <v/>
      </c>
      <c r="Z550" s="25" t="str">
        <f>IF(X550="","",IFERROR(INDEX($AO$11:$AO$4010,MATCH(540,$AY$11:$AY$4010,0)),""))</f>
        <v/>
      </c>
      <c r="AA550" s="24" t="str">
        <f>IF(X550="","",IFERROR(INDEX($AQ$11:$AQ$4010,MATCH(540,$AY$11:$AY$4010,0)),""))</f>
        <v/>
      </c>
      <c r="AB550" s="29" t="str">
        <f>IF(X550="","",IFERROR(INDEX($AR$11:$AR$4010,MATCH(540,$AY$11:$AY$4010,0)),""))</f>
        <v/>
      </c>
      <c r="AD550" s="30" t="str">
        <f>IF(AE550="","",IFERROR(INDEX($AL$11:$AL$4010,MATCH(540,$AZ$11:$AZ$4010,0)),""))</f>
        <v/>
      </c>
      <c r="AE550" s="26" t="str">
        <f>IFERROR(INDEX($AM$11:$AM$4010,MATCH(540,$AZ$11:$AZ$4010,0)),"")</f>
        <v/>
      </c>
      <c r="AF550" s="25" t="str">
        <f>IF(AE550="","",IFERROR(INDEX($AN$11:$AN$4010,MATCH(540,$AZ$11:$AZ$4010,0)),""))</f>
        <v/>
      </c>
      <c r="AG550" s="25" t="str">
        <f>IF(AE550="","",IFERROR(INDEX($AO$11:$AO$4010,MATCH(540,$AZ$11:$AZ$4010,0)),""))</f>
        <v/>
      </c>
      <c r="AH550" s="24" t="str">
        <f>IF(AE550="","",IFERROR(INDEX($AQ$11:$AQ$4010,MATCH(540,$AZ$11:$AZ$4010,0)),""))</f>
        <v/>
      </c>
      <c r="AI550" s="29" t="str">
        <f>IF(AE550="","",IFERROR(INDEX($AR$11:$AR$4010,MATCH(540,$AZ$11:$AZ$4010,0)),""))</f>
        <v/>
      </c>
      <c r="AJ550" s="29" t="str">
        <f>IF(AE550="","",IFERROR(INDEX($AT$11:$AT$4010,MATCH(540,$AZ$11:$AZ$4010,0)),""))</f>
        <v/>
      </c>
      <c r="AL550" s="31"/>
      <c r="AM550" s="26"/>
      <c r="AN550" s="32"/>
      <c r="AO550" s="32"/>
      <c r="AP550" s="24"/>
      <c r="AQ550" s="24"/>
      <c r="AR550" s="33"/>
      <c r="AS550" s="34"/>
      <c r="AT550" s="33"/>
      <c r="AV550" s="21">
        <f>IF(AND($AL550&lt;&gt;"",COUNTIF($AL$11:$AL550,$AL550)=1),1,0)</f>
        <v>0</v>
      </c>
      <c r="AW550" s="21">
        <f t="shared" si="103"/>
        <v>0</v>
      </c>
      <c r="AX550" s="21" t="str">
        <f t="shared" si="102"/>
        <v/>
      </c>
      <c r="AY550" s="21" t="str">
        <f>IF(AND($AM550&lt;&gt;"",$AS550&lt;&gt;"✓"),SUMPRODUCT(($AM$11:$AM550&lt;&gt;"")*($AS$11:$AS550&lt;&gt;"✓")),"")</f>
        <v/>
      </c>
      <c r="AZ550" s="21" t="str">
        <f>IF(AND($AM550&lt;&gt;"",$AS550="✓"),SUMPRODUCT(($AM$11:$AM550&lt;&gt;"")*($AS$11:$AS550="✓")),"")</f>
        <v/>
      </c>
      <c r="BA550" s="21" t="str">
        <f>IF($AL550="","",$AL550&amp;"|"&amp;COUNTIF($AL$11:$AL550,$AL550))</f>
        <v/>
      </c>
    </row>
    <row r="551" spans="23:53" ht="15" customHeight="1" x14ac:dyDescent="0.25">
      <c r="W551" s="14" t="str">
        <f>IF(X551="","",IFERROR(INDEX($AL$11:$AL$4010,MATCH(541,$AY$11:$AY$4010,0)),""))</f>
        <v/>
      </c>
      <c r="X551" s="12" t="str">
        <f>IFERROR(INDEX($AM$11:$AM$4010,MATCH(541,$AY$11:$AY$4010,0)),"")</f>
        <v/>
      </c>
      <c r="Y551" s="11" t="str">
        <f>IF(X551="","",IFERROR(INDEX($AN$11:$AN$4010,MATCH(541,$AY$11:$AY$4010,0)),""))</f>
        <v/>
      </c>
      <c r="Z551" s="11" t="str">
        <f>IF(X551="","",IFERROR(INDEX($AO$11:$AO$4010,MATCH(541,$AY$11:$AY$4010,0)),""))</f>
        <v/>
      </c>
      <c r="AA551" s="10" t="str">
        <f>IF(X551="","",IFERROR(INDEX($AQ$11:$AQ$4010,MATCH(541,$AY$11:$AY$4010,0)),""))</f>
        <v/>
      </c>
      <c r="AB551" s="15" t="str">
        <f>IF(X551="","",IFERROR(INDEX($AR$11:$AR$4010,MATCH(541,$AY$11:$AY$4010,0)),""))</f>
        <v/>
      </c>
      <c r="AD551" s="16" t="str">
        <f>IF(AE551="","",IFERROR(INDEX($AL$11:$AL$4010,MATCH(541,$AZ$11:$AZ$4010,0)),""))</f>
        <v/>
      </c>
      <c r="AE551" s="12" t="str">
        <f>IFERROR(INDEX($AM$11:$AM$4010,MATCH(541,$AZ$11:$AZ$4010,0)),"")</f>
        <v/>
      </c>
      <c r="AF551" s="11" t="str">
        <f>IF(AE551="","",IFERROR(INDEX($AN$11:$AN$4010,MATCH(541,$AZ$11:$AZ$4010,0)),""))</f>
        <v/>
      </c>
      <c r="AG551" s="11" t="str">
        <f>IF(AE551="","",IFERROR(INDEX($AO$11:$AO$4010,MATCH(541,$AZ$11:$AZ$4010,0)),""))</f>
        <v/>
      </c>
      <c r="AH551" s="10" t="str">
        <f>IF(AE551="","",IFERROR(INDEX($AQ$11:$AQ$4010,MATCH(541,$AZ$11:$AZ$4010,0)),""))</f>
        <v/>
      </c>
      <c r="AI551" s="15" t="str">
        <f>IF(AE551="","",IFERROR(INDEX($AR$11:$AR$4010,MATCH(541,$AZ$11:$AZ$4010,0)),""))</f>
        <v/>
      </c>
      <c r="AJ551" s="15" t="str">
        <f>IF(AE551="","",IFERROR(INDEX($AT$11:$AT$4010,MATCH(541,$AZ$11:$AZ$4010,0)),""))</f>
        <v/>
      </c>
      <c r="AL551" s="17"/>
      <c r="AM551" s="12"/>
      <c r="AN551" s="18"/>
      <c r="AO551" s="18"/>
      <c r="AP551" s="10"/>
      <c r="AQ551" s="10"/>
      <c r="AR551" s="19"/>
      <c r="AS551" s="20"/>
      <c r="AT551" s="19"/>
      <c r="AV551" s="21">
        <f>IF(AND($AL551&lt;&gt;"",COUNTIF($AL$11:$AL551,$AL551)=1),1,0)</f>
        <v>0</v>
      </c>
      <c r="AW551" s="21">
        <f t="shared" si="103"/>
        <v>0</v>
      </c>
      <c r="AX551" s="21" t="str">
        <f t="shared" si="102"/>
        <v/>
      </c>
      <c r="AY551" s="21" t="str">
        <f>IF(AND($AM551&lt;&gt;"",$AS551&lt;&gt;"✓"),SUMPRODUCT(($AM$11:$AM551&lt;&gt;"")*($AS$11:$AS551&lt;&gt;"✓")),"")</f>
        <v/>
      </c>
      <c r="AZ551" s="21" t="str">
        <f>IF(AND($AM551&lt;&gt;"",$AS551="✓"),SUMPRODUCT(($AM$11:$AM551&lt;&gt;"")*($AS$11:$AS551="✓")),"")</f>
        <v/>
      </c>
      <c r="BA551" s="21" t="str">
        <f>IF($AL551="","",$AL551&amp;"|"&amp;COUNTIF($AL$11:$AL551,$AL551))</f>
        <v/>
      </c>
    </row>
    <row r="552" spans="23:53" ht="15" customHeight="1" x14ac:dyDescent="0.25">
      <c r="W552" s="28" t="str">
        <f>IF(X552="","",IFERROR(INDEX($AL$11:$AL$4010,MATCH(542,$AY$11:$AY$4010,0)),""))</f>
        <v/>
      </c>
      <c r="X552" s="26" t="str">
        <f>IFERROR(INDEX($AM$11:$AM$4010,MATCH(542,$AY$11:$AY$4010,0)),"")</f>
        <v/>
      </c>
      <c r="Y552" s="25" t="str">
        <f>IF(X552="","",IFERROR(INDEX($AN$11:$AN$4010,MATCH(542,$AY$11:$AY$4010,0)),""))</f>
        <v/>
      </c>
      <c r="Z552" s="25" t="str">
        <f>IF(X552="","",IFERROR(INDEX($AO$11:$AO$4010,MATCH(542,$AY$11:$AY$4010,0)),""))</f>
        <v/>
      </c>
      <c r="AA552" s="24" t="str">
        <f>IF(X552="","",IFERROR(INDEX($AQ$11:$AQ$4010,MATCH(542,$AY$11:$AY$4010,0)),""))</f>
        <v/>
      </c>
      <c r="AB552" s="29" t="str">
        <f>IF(X552="","",IFERROR(INDEX($AR$11:$AR$4010,MATCH(542,$AY$11:$AY$4010,0)),""))</f>
        <v/>
      </c>
      <c r="AD552" s="30" t="str">
        <f>IF(AE552="","",IFERROR(INDEX($AL$11:$AL$4010,MATCH(542,$AZ$11:$AZ$4010,0)),""))</f>
        <v/>
      </c>
      <c r="AE552" s="26" t="str">
        <f>IFERROR(INDEX($AM$11:$AM$4010,MATCH(542,$AZ$11:$AZ$4010,0)),"")</f>
        <v/>
      </c>
      <c r="AF552" s="25" t="str">
        <f>IF(AE552="","",IFERROR(INDEX($AN$11:$AN$4010,MATCH(542,$AZ$11:$AZ$4010,0)),""))</f>
        <v/>
      </c>
      <c r="AG552" s="25" t="str">
        <f>IF(AE552="","",IFERROR(INDEX($AO$11:$AO$4010,MATCH(542,$AZ$11:$AZ$4010,0)),""))</f>
        <v/>
      </c>
      <c r="AH552" s="24" t="str">
        <f>IF(AE552="","",IFERROR(INDEX($AQ$11:$AQ$4010,MATCH(542,$AZ$11:$AZ$4010,0)),""))</f>
        <v/>
      </c>
      <c r="AI552" s="29" t="str">
        <f>IF(AE552="","",IFERROR(INDEX($AR$11:$AR$4010,MATCH(542,$AZ$11:$AZ$4010,0)),""))</f>
        <v/>
      </c>
      <c r="AJ552" s="29" t="str">
        <f>IF(AE552="","",IFERROR(INDEX($AT$11:$AT$4010,MATCH(542,$AZ$11:$AZ$4010,0)),""))</f>
        <v/>
      </c>
      <c r="AL552" s="31"/>
      <c r="AM552" s="26"/>
      <c r="AN552" s="32"/>
      <c r="AO552" s="32"/>
      <c r="AP552" s="24"/>
      <c r="AQ552" s="24"/>
      <c r="AR552" s="33"/>
      <c r="AS552" s="34"/>
      <c r="AT552" s="33"/>
      <c r="AV552" s="21">
        <f>IF(AND($AL552&lt;&gt;"",COUNTIF($AL$11:$AL552,$AL552)=1),1,0)</f>
        <v>0</v>
      </c>
      <c r="AW552" s="21">
        <f t="shared" si="103"/>
        <v>0</v>
      </c>
      <c r="AX552" s="21" t="str">
        <f t="shared" si="102"/>
        <v/>
      </c>
      <c r="AY552" s="21" t="str">
        <f>IF(AND($AM552&lt;&gt;"",$AS552&lt;&gt;"✓"),SUMPRODUCT(($AM$11:$AM552&lt;&gt;"")*($AS$11:$AS552&lt;&gt;"✓")),"")</f>
        <v/>
      </c>
      <c r="AZ552" s="21" t="str">
        <f>IF(AND($AM552&lt;&gt;"",$AS552="✓"),SUMPRODUCT(($AM$11:$AM552&lt;&gt;"")*($AS$11:$AS552="✓")),"")</f>
        <v/>
      </c>
      <c r="BA552" s="21" t="str">
        <f>IF($AL552="","",$AL552&amp;"|"&amp;COUNTIF($AL$11:$AL552,$AL552))</f>
        <v/>
      </c>
    </row>
    <row r="553" spans="23:53" ht="15" customHeight="1" x14ac:dyDescent="0.25">
      <c r="W553" s="14" t="str">
        <f>IF(X553="","",IFERROR(INDEX($AL$11:$AL$4010,MATCH(543,$AY$11:$AY$4010,0)),""))</f>
        <v/>
      </c>
      <c r="X553" s="12" t="str">
        <f>IFERROR(INDEX($AM$11:$AM$4010,MATCH(543,$AY$11:$AY$4010,0)),"")</f>
        <v/>
      </c>
      <c r="Y553" s="11" t="str">
        <f>IF(X553="","",IFERROR(INDEX($AN$11:$AN$4010,MATCH(543,$AY$11:$AY$4010,0)),""))</f>
        <v/>
      </c>
      <c r="Z553" s="11" t="str">
        <f>IF(X553="","",IFERROR(INDEX($AO$11:$AO$4010,MATCH(543,$AY$11:$AY$4010,0)),""))</f>
        <v/>
      </c>
      <c r="AA553" s="10" t="str">
        <f>IF(X553="","",IFERROR(INDEX($AQ$11:$AQ$4010,MATCH(543,$AY$11:$AY$4010,0)),""))</f>
        <v/>
      </c>
      <c r="AB553" s="15" t="str">
        <f>IF(X553="","",IFERROR(INDEX($AR$11:$AR$4010,MATCH(543,$AY$11:$AY$4010,0)),""))</f>
        <v/>
      </c>
      <c r="AD553" s="16" t="str">
        <f>IF(AE553="","",IFERROR(INDEX($AL$11:$AL$4010,MATCH(543,$AZ$11:$AZ$4010,0)),""))</f>
        <v/>
      </c>
      <c r="AE553" s="12" t="str">
        <f>IFERROR(INDEX($AM$11:$AM$4010,MATCH(543,$AZ$11:$AZ$4010,0)),"")</f>
        <v/>
      </c>
      <c r="AF553" s="11" t="str">
        <f>IF(AE553="","",IFERROR(INDEX($AN$11:$AN$4010,MATCH(543,$AZ$11:$AZ$4010,0)),""))</f>
        <v/>
      </c>
      <c r="AG553" s="11" t="str">
        <f>IF(AE553="","",IFERROR(INDEX($AO$11:$AO$4010,MATCH(543,$AZ$11:$AZ$4010,0)),""))</f>
        <v/>
      </c>
      <c r="AH553" s="10" t="str">
        <f>IF(AE553="","",IFERROR(INDEX($AQ$11:$AQ$4010,MATCH(543,$AZ$11:$AZ$4010,0)),""))</f>
        <v/>
      </c>
      <c r="AI553" s="15" t="str">
        <f>IF(AE553="","",IFERROR(INDEX($AR$11:$AR$4010,MATCH(543,$AZ$11:$AZ$4010,0)),""))</f>
        <v/>
      </c>
      <c r="AJ553" s="15" t="str">
        <f>IF(AE553="","",IFERROR(INDEX($AT$11:$AT$4010,MATCH(543,$AZ$11:$AZ$4010,0)),""))</f>
        <v/>
      </c>
      <c r="AL553" s="17"/>
      <c r="AM553" s="12"/>
      <c r="AN553" s="18"/>
      <c r="AO553" s="18"/>
      <c r="AP553" s="10"/>
      <c r="AQ553" s="10"/>
      <c r="AR553" s="19"/>
      <c r="AS553" s="20"/>
      <c r="AT553" s="19"/>
      <c r="AV553" s="21">
        <f>IF(AND($AL553&lt;&gt;"",COUNTIF($AL$11:$AL553,$AL553)=1),1,0)</f>
        <v>0</v>
      </c>
      <c r="AW553" s="21">
        <f t="shared" si="103"/>
        <v>0</v>
      </c>
      <c r="AX553" s="21" t="str">
        <f t="shared" si="102"/>
        <v/>
      </c>
      <c r="AY553" s="21" t="str">
        <f>IF(AND($AM553&lt;&gt;"",$AS553&lt;&gt;"✓"),SUMPRODUCT(($AM$11:$AM553&lt;&gt;"")*($AS$11:$AS553&lt;&gt;"✓")),"")</f>
        <v/>
      </c>
      <c r="AZ553" s="21" t="str">
        <f>IF(AND($AM553&lt;&gt;"",$AS553="✓"),SUMPRODUCT(($AM$11:$AM553&lt;&gt;"")*($AS$11:$AS553="✓")),"")</f>
        <v/>
      </c>
      <c r="BA553" s="21" t="str">
        <f>IF($AL553="","",$AL553&amp;"|"&amp;COUNTIF($AL$11:$AL553,$AL553))</f>
        <v/>
      </c>
    </row>
    <row r="554" spans="23:53" ht="15" customHeight="1" x14ac:dyDescent="0.25">
      <c r="W554" s="28" t="str">
        <f>IF(X554="","",IFERROR(INDEX($AL$11:$AL$4010,MATCH(544,$AY$11:$AY$4010,0)),""))</f>
        <v/>
      </c>
      <c r="X554" s="26" t="str">
        <f>IFERROR(INDEX($AM$11:$AM$4010,MATCH(544,$AY$11:$AY$4010,0)),"")</f>
        <v/>
      </c>
      <c r="Y554" s="25" t="str">
        <f>IF(X554="","",IFERROR(INDEX($AN$11:$AN$4010,MATCH(544,$AY$11:$AY$4010,0)),""))</f>
        <v/>
      </c>
      <c r="Z554" s="25" t="str">
        <f>IF(X554="","",IFERROR(INDEX($AO$11:$AO$4010,MATCH(544,$AY$11:$AY$4010,0)),""))</f>
        <v/>
      </c>
      <c r="AA554" s="24" t="str">
        <f>IF(X554="","",IFERROR(INDEX($AQ$11:$AQ$4010,MATCH(544,$AY$11:$AY$4010,0)),""))</f>
        <v/>
      </c>
      <c r="AB554" s="29" t="str">
        <f>IF(X554="","",IFERROR(INDEX($AR$11:$AR$4010,MATCH(544,$AY$11:$AY$4010,0)),""))</f>
        <v/>
      </c>
      <c r="AD554" s="30" t="str">
        <f>IF(AE554="","",IFERROR(INDEX($AL$11:$AL$4010,MATCH(544,$AZ$11:$AZ$4010,0)),""))</f>
        <v/>
      </c>
      <c r="AE554" s="26" t="str">
        <f>IFERROR(INDEX($AM$11:$AM$4010,MATCH(544,$AZ$11:$AZ$4010,0)),"")</f>
        <v/>
      </c>
      <c r="AF554" s="25" t="str">
        <f>IF(AE554="","",IFERROR(INDEX($AN$11:$AN$4010,MATCH(544,$AZ$11:$AZ$4010,0)),""))</f>
        <v/>
      </c>
      <c r="AG554" s="25" t="str">
        <f>IF(AE554="","",IFERROR(INDEX($AO$11:$AO$4010,MATCH(544,$AZ$11:$AZ$4010,0)),""))</f>
        <v/>
      </c>
      <c r="AH554" s="24" t="str">
        <f>IF(AE554="","",IFERROR(INDEX($AQ$11:$AQ$4010,MATCH(544,$AZ$11:$AZ$4010,0)),""))</f>
        <v/>
      </c>
      <c r="AI554" s="29" t="str">
        <f>IF(AE554="","",IFERROR(INDEX($AR$11:$AR$4010,MATCH(544,$AZ$11:$AZ$4010,0)),""))</f>
        <v/>
      </c>
      <c r="AJ554" s="29" t="str">
        <f>IF(AE554="","",IFERROR(INDEX($AT$11:$AT$4010,MATCH(544,$AZ$11:$AZ$4010,0)),""))</f>
        <v/>
      </c>
      <c r="AL554" s="31"/>
      <c r="AM554" s="26"/>
      <c r="AN554" s="32"/>
      <c r="AO554" s="32"/>
      <c r="AP554" s="24"/>
      <c r="AQ554" s="24"/>
      <c r="AR554" s="33"/>
      <c r="AS554" s="34"/>
      <c r="AT554" s="33"/>
      <c r="AV554" s="21">
        <f>IF(AND($AL554&lt;&gt;"",COUNTIF($AL$11:$AL554,$AL554)=1),1,0)</f>
        <v>0</v>
      </c>
      <c r="AW554" s="21">
        <f t="shared" si="103"/>
        <v>0</v>
      </c>
      <c r="AX554" s="21" t="str">
        <f t="shared" si="102"/>
        <v/>
      </c>
      <c r="AY554" s="21" t="str">
        <f>IF(AND($AM554&lt;&gt;"",$AS554&lt;&gt;"✓"),SUMPRODUCT(($AM$11:$AM554&lt;&gt;"")*($AS$11:$AS554&lt;&gt;"✓")),"")</f>
        <v/>
      </c>
      <c r="AZ554" s="21" t="str">
        <f>IF(AND($AM554&lt;&gt;"",$AS554="✓"),SUMPRODUCT(($AM$11:$AM554&lt;&gt;"")*($AS$11:$AS554="✓")),"")</f>
        <v/>
      </c>
      <c r="BA554" s="21" t="str">
        <f>IF($AL554="","",$AL554&amp;"|"&amp;COUNTIF($AL$11:$AL554,$AL554))</f>
        <v/>
      </c>
    </row>
    <row r="555" spans="23:53" ht="15" customHeight="1" x14ac:dyDescent="0.25">
      <c r="W555" s="14" t="str">
        <f>IF(X555="","",IFERROR(INDEX($AL$11:$AL$4010,MATCH(545,$AY$11:$AY$4010,0)),""))</f>
        <v/>
      </c>
      <c r="X555" s="12" t="str">
        <f>IFERROR(INDEX($AM$11:$AM$4010,MATCH(545,$AY$11:$AY$4010,0)),"")</f>
        <v/>
      </c>
      <c r="Y555" s="11" t="str">
        <f>IF(X555="","",IFERROR(INDEX($AN$11:$AN$4010,MATCH(545,$AY$11:$AY$4010,0)),""))</f>
        <v/>
      </c>
      <c r="Z555" s="11" t="str">
        <f>IF(X555="","",IFERROR(INDEX($AO$11:$AO$4010,MATCH(545,$AY$11:$AY$4010,0)),""))</f>
        <v/>
      </c>
      <c r="AA555" s="10" t="str">
        <f>IF(X555="","",IFERROR(INDEX($AQ$11:$AQ$4010,MATCH(545,$AY$11:$AY$4010,0)),""))</f>
        <v/>
      </c>
      <c r="AB555" s="15" t="str">
        <f>IF(X555="","",IFERROR(INDEX($AR$11:$AR$4010,MATCH(545,$AY$11:$AY$4010,0)),""))</f>
        <v/>
      </c>
      <c r="AD555" s="16" t="str">
        <f>IF(AE555="","",IFERROR(INDEX($AL$11:$AL$4010,MATCH(545,$AZ$11:$AZ$4010,0)),""))</f>
        <v/>
      </c>
      <c r="AE555" s="12" t="str">
        <f>IFERROR(INDEX($AM$11:$AM$4010,MATCH(545,$AZ$11:$AZ$4010,0)),"")</f>
        <v/>
      </c>
      <c r="AF555" s="11" t="str">
        <f>IF(AE555="","",IFERROR(INDEX($AN$11:$AN$4010,MATCH(545,$AZ$11:$AZ$4010,0)),""))</f>
        <v/>
      </c>
      <c r="AG555" s="11" t="str">
        <f>IF(AE555="","",IFERROR(INDEX($AO$11:$AO$4010,MATCH(545,$AZ$11:$AZ$4010,0)),""))</f>
        <v/>
      </c>
      <c r="AH555" s="10" t="str">
        <f>IF(AE555="","",IFERROR(INDEX($AQ$11:$AQ$4010,MATCH(545,$AZ$11:$AZ$4010,0)),""))</f>
        <v/>
      </c>
      <c r="AI555" s="15" t="str">
        <f>IF(AE555="","",IFERROR(INDEX($AR$11:$AR$4010,MATCH(545,$AZ$11:$AZ$4010,0)),""))</f>
        <v/>
      </c>
      <c r="AJ555" s="15" t="str">
        <f>IF(AE555="","",IFERROR(INDEX($AT$11:$AT$4010,MATCH(545,$AZ$11:$AZ$4010,0)),""))</f>
        <v/>
      </c>
      <c r="AL555" s="17"/>
      <c r="AM555" s="12"/>
      <c r="AN555" s="18"/>
      <c r="AO555" s="18"/>
      <c r="AP555" s="10"/>
      <c r="AQ555" s="10"/>
      <c r="AR555" s="19"/>
      <c r="AS555" s="20"/>
      <c r="AT555" s="19"/>
      <c r="AV555" s="21">
        <f>IF(AND($AL555&lt;&gt;"",COUNTIF($AL$11:$AL555,$AL555)=1),1,0)</f>
        <v>0</v>
      </c>
      <c r="AW555" s="21">
        <f t="shared" si="103"/>
        <v>0</v>
      </c>
      <c r="AX555" s="21" t="str">
        <f t="shared" si="102"/>
        <v/>
      </c>
      <c r="AY555" s="21" t="str">
        <f>IF(AND($AM555&lt;&gt;"",$AS555&lt;&gt;"✓"),SUMPRODUCT(($AM$11:$AM555&lt;&gt;"")*($AS$11:$AS555&lt;&gt;"✓")),"")</f>
        <v/>
      </c>
      <c r="AZ555" s="21" t="str">
        <f>IF(AND($AM555&lt;&gt;"",$AS555="✓"),SUMPRODUCT(($AM$11:$AM555&lt;&gt;"")*($AS$11:$AS555="✓")),"")</f>
        <v/>
      </c>
      <c r="BA555" s="21" t="str">
        <f>IF($AL555="","",$AL555&amp;"|"&amp;COUNTIF($AL$11:$AL555,$AL555))</f>
        <v/>
      </c>
    </row>
    <row r="556" spans="23:53" ht="15" customHeight="1" x14ac:dyDescent="0.25">
      <c r="W556" s="28" t="str">
        <f>IF(X556="","",IFERROR(INDEX($AL$11:$AL$4010,MATCH(546,$AY$11:$AY$4010,0)),""))</f>
        <v/>
      </c>
      <c r="X556" s="26" t="str">
        <f>IFERROR(INDEX($AM$11:$AM$4010,MATCH(546,$AY$11:$AY$4010,0)),"")</f>
        <v/>
      </c>
      <c r="Y556" s="25" t="str">
        <f>IF(X556="","",IFERROR(INDEX($AN$11:$AN$4010,MATCH(546,$AY$11:$AY$4010,0)),""))</f>
        <v/>
      </c>
      <c r="Z556" s="25" t="str">
        <f>IF(X556="","",IFERROR(INDEX($AO$11:$AO$4010,MATCH(546,$AY$11:$AY$4010,0)),""))</f>
        <v/>
      </c>
      <c r="AA556" s="24" t="str">
        <f>IF(X556="","",IFERROR(INDEX($AQ$11:$AQ$4010,MATCH(546,$AY$11:$AY$4010,0)),""))</f>
        <v/>
      </c>
      <c r="AB556" s="29" t="str">
        <f>IF(X556="","",IFERROR(INDEX($AR$11:$AR$4010,MATCH(546,$AY$11:$AY$4010,0)),""))</f>
        <v/>
      </c>
      <c r="AD556" s="30" t="str">
        <f>IF(AE556="","",IFERROR(INDEX($AL$11:$AL$4010,MATCH(546,$AZ$11:$AZ$4010,0)),""))</f>
        <v/>
      </c>
      <c r="AE556" s="26" t="str">
        <f>IFERROR(INDEX($AM$11:$AM$4010,MATCH(546,$AZ$11:$AZ$4010,0)),"")</f>
        <v/>
      </c>
      <c r="AF556" s="25" t="str">
        <f>IF(AE556="","",IFERROR(INDEX($AN$11:$AN$4010,MATCH(546,$AZ$11:$AZ$4010,0)),""))</f>
        <v/>
      </c>
      <c r="AG556" s="25" t="str">
        <f>IF(AE556="","",IFERROR(INDEX($AO$11:$AO$4010,MATCH(546,$AZ$11:$AZ$4010,0)),""))</f>
        <v/>
      </c>
      <c r="AH556" s="24" t="str">
        <f>IF(AE556="","",IFERROR(INDEX($AQ$11:$AQ$4010,MATCH(546,$AZ$11:$AZ$4010,0)),""))</f>
        <v/>
      </c>
      <c r="AI556" s="29" t="str">
        <f>IF(AE556="","",IFERROR(INDEX($AR$11:$AR$4010,MATCH(546,$AZ$11:$AZ$4010,0)),""))</f>
        <v/>
      </c>
      <c r="AJ556" s="29" t="str">
        <f>IF(AE556="","",IFERROR(INDEX($AT$11:$AT$4010,MATCH(546,$AZ$11:$AZ$4010,0)),""))</f>
        <v/>
      </c>
      <c r="AL556" s="31"/>
      <c r="AM556" s="26"/>
      <c r="AN556" s="32"/>
      <c r="AO556" s="32"/>
      <c r="AP556" s="24"/>
      <c r="AQ556" s="24"/>
      <c r="AR556" s="33"/>
      <c r="AS556" s="34"/>
      <c r="AT556" s="33"/>
      <c r="AV556" s="21">
        <f>IF(AND($AL556&lt;&gt;"",COUNTIF($AL$11:$AL556,$AL556)=1),1,0)</f>
        <v>0</v>
      </c>
      <c r="AW556" s="21">
        <f t="shared" si="103"/>
        <v>0</v>
      </c>
      <c r="AX556" s="21" t="str">
        <f t="shared" si="102"/>
        <v/>
      </c>
      <c r="AY556" s="21" t="str">
        <f>IF(AND($AM556&lt;&gt;"",$AS556&lt;&gt;"✓"),SUMPRODUCT(($AM$11:$AM556&lt;&gt;"")*($AS$11:$AS556&lt;&gt;"✓")),"")</f>
        <v/>
      </c>
      <c r="AZ556" s="21" t="str">
        <f>IF(AND($AM556&lt;&gt;"",$AS556="✓"),SUMPRODUCT(($AM$11:$AM556&lt;&gt;"")*($AS$11:$AS556="✓")),"")</f>
        <v/>
      </c>
      <c r="BA556" s="21" t="str">
        <f>IF($AL556="","",$AL556&amp;"|"&amp;COUNTIF($AL$11:$AL556,$AL556))</f>
        <v/>
      </c>
    </row>
    <row r="557" spans="23:53" ht="15" customHeight="1" x14ac:dyDescent="0.25">
      <c r="W557" s="14" t="str">
        <f>IF(X557="","",IFERROR(INDEX($AL$11:$AL$4010,MATCH(547,$AY$11:$AY$4010,0)),""))</f>
        <v/>
      </c>
      <c r="X557" s="12" t="str">
        <f>IFERROR(INDEX($AM$11:$AM$4010,MATCH(547,$AY$11:$AY$4010,0)),"")</f>
        <v/>
      </c>
      <c r="Y557" s="11" t="str">
        <f>IF(X557="","",IFERROR(INDEX($AN$11:$AN$4010,MATCH(547,$AY$11:$AY$4010,0)),""))</f>
        <v/>
      </c>
      <c r="Z557" s="11" t="str">
        <f>IF(X557="","",IFERROR(INDEX($AO$11:$AO$4010,MATCH(547,$AY$11:$AY$4010,0)),""))</f>
        <v/>
      </c>
      <c r="AA557" s="10" t="str">
        <f>IF(X557="","",IFERROR(INDEX($AQ$11:$AQ$4010,MATCH(547,$AY$11:$AY$4010,0)),""))</f>
        <v/>
      </c>
      <c r="AB557" s="15" t="str">
        <f>IF(X557="","",IFERROR(INDEX($AR$11:$AR$4010,MATCH(547,$AY$11:$AY$4010,0)),""))</f>
        <v/>
      </c>
      <c r="AD557" s="16" t="str">
        <f>IF(AE557="","",IFERROR(INDEX($AL$11:$AL$4010,MATCH(547,$AZ$11:$AZ$4010,0)),""))</f>
        <v/>
      </c>
      <c r="AE557" s="12" t="str">
        <f>IFERROR(INDEX($AM$11:$AM$4010,MATCH(547,$AZ$11:$AZ$4010,0)),"")</f>
        <v/>
      </c>
      <c r="AF557" s="11" t="str">
        <f>IF(AE557="","",IFERROR(INDEX($AN$11:$AN$4010,MATCH(547,$AZ$11:$AZ$4010,0)),""))</f>
        <v/>
      </c>
      <c r="AG557" s="11" t="str">
        <f>IF(AE557="","",IFERROR(INDEX($AO$11:$AO$4010,MATCH(547,$AZ$11:$AZ$4010,0)),""))</f>
        <v/>
      </c>
      <c r="AH557" s="10" t="str">
        <f>IF(AE557="","",IFERROR(INDEX($AQ$11:$AQ$4010,MATCH(547,$AZ$11:$AZ$4010,0)),""))</f>
        <v/>
      </c>
      <c r="AI557" s="15" t="str">
        <f>IF(AE557="","",IFERROR(INDEX($AR$11:$AR$4010,MATCH(547,$AZ$11:$AZ$4010,0)),""))</f>
        <v/>
      </c>
      <c r="AJ557" s="15" t="str">
        <f>IF(AE557="","",IFERROR(INDEX($AT$11:$AT$4010,MATCH(547,$AZ$11:$AZ$4010,0)),""))</f>
        <v/>
      </c>
      <c r="AL557" s="17"/>
      <c r="AM557" s="12"/>
      <c r="AN557" s="18"/>
      <c r="AO557" s="18"/>
      <c r="AP557" s="10"/>
      <c r="AQ557" s="10"/>
      <c r="AR557" s="19"/>
      <c r="AS557" s="20"/>
      <c r="AT557" s="19"/>
      <c r="AV557" s="21">
        <f>IF(AND($AL557&lt;&gt;"",COUNTIF($AL$11:$AL557,$AL557)=1),1,0)</f>
        <v>0</v>
      </c>
      <c r="AW557" s="21">
        <f t="shared" si="103"/>
        <v>0</v>
      </c>
      <c r="AX557" s="21" t="str">
        <f t="shared" si="102"/>
        <v/>
      </c>
      <c r="AY557" s="21" t="str">
        <f>IF(AND($AM557&lt;&gt;"",$AS557&lt;&gt;"✓"),SUMPRODUCT(($AM$11:$AM557&lt;&gt;"")*($AS$11:$AS557&lt;&gt;"✓")),"")</f>
        <v/>
      </c>
      <c r="AZ557" s="21" t="str">
        <f>IF(AND($AM557&lt;&gt;"",$AS557="✓"),SUMPRODUCT(($AM$11:$AM557&lt;&gt;"")*($AS$11:$AS557="✓")),"")</f>
        <v/>
      </c>
      <c r="BA557" s="21" t="str">
        <f>IF($AL557="","",$AL557&amp;"|"&amp;COUNTIF($AL$11:$AL557,$AL557))</f>
        <v/>
      </c>
    </row>
    <row r="558" spans="23:53" ht="15" customHeight="1" x14ac:dyDescent="0.25">
      <c r="W558" s="28" t="str">
        <f>IF(X558="","",IFERROR(INDEX($AL$11:$AL$4010,MATCH(548,$AY$11:$AY$4010,0)),""))</f>
        <v/>
      </c>
      <c r="X558" s="26" t="str">
        <f>IFERROR(INDEX($AM$11:$AM$4010,MATCH(548,$AY$11:$AY$4010,0)),"")</f>
        <v/>
      </c>
      <c r="Y558" s="25" t="str">
        <f>IF(X558="","",IFERROR(INDEX($AN$11:$AN$4010,MATCH(548,$AY$11:$AY$4010,0)),""))</f>
        <v/>
      </c>
      <c r="Z558" s="25" t="str">
        <f>IF(X558="","",IFERROR(INDEX($AO$11:$AO$4010,MATCH(548,$AY$11:$AY$4010,0)),""))</f>
        <v/>
      </c>
      <c r="AA558" s="24" t="str">
        <f>IF(X558="","",IFERROR(INDEX($AQ$11:$AQ$4010,MATCH(548,$AY$11:$AY$4010,0)),""))</f>
        <v/>
      </c>
      <c r="AB558" s="29" t="str">
        <f>IF(X558="","",IFERROR(INDEX($AR$11:$AR$4010,MATCH(548,$AY$11:$AY$4010,0)),""))</f>
        <v/>
      </c>
      <c r="AD558" s="30" t="str">
        <f>IF(AE558="","",IFERROR(INDEX($AL$11:$AL$4010,MATCH(548,$AZ$11:$AZ$4010,0)),""))</f>
        <v/>
      </c>
      <c r="AE558" s="26" t="str">
        <f>IFERROR(INDEX($AM$11:$AM$4010,MATCH(548,$AZ$11:$AZ$4010,0)),"")</f>
        <v/>
      </c>
      <c r="AF558" s="25" t="str">
        <f>IF(AE558="","",IFERROR(INDEX($AN$11:$AN$4010,MATCH(548,$AZ$11:$AZ$4010,0)),""))</f>
        <v/>
      </c>
      <c r="AG558" s="25" t="str">
        <f>IF(AE558="","",IFERROR(INDEX($AO$11:$AO$4010,MATCH(548,$AZ$11:$AZ$4010,0)),""))</f>
        <v/>
      </c>
      <c r="AH558" s="24" t="str">
        <f>IF(AE558="","",IFERROR(INDEX($AQ$11:$AQ$4010,MATCH(548,$AZ$11:$AZ$4010,0)),""))</f>
        <v/>
      </c>
      <c r="AI558" s="29" t="str">
        <f>IF(AE558="","",IFERROR(INDEX($AR$11:$AR$4010,MATCH(548,$AZ$11:$AZ$4010,0)),""))</f>
        <v/>
      </c>
      <c r="AJ558" s="29" t="str">
        <f>IF(AE558="","",IFERROR(INDEX($AT$11:$AT$4010,MATCH(548,$AZ$11:$AZ$4010,0)),""))</f>
        <v/>
      </c>
      <c r="AL558" s="31"/>
      <c r="AM558" s="26"/>
      <c r="AN558" s="32"/>
      <c r="AO558" s="32"/>
      <c r="AP558" s="24"/>
      <c r="AQ558" s="24"/>
      <c r="AR558" s="33"/>
      <c r="AS558" s="34"/>
      <c r="AT558" s="33"/>
      <c r="AV558" s="21">
        <f>IF(AND($AL558&lt;&gt;"",COUNTIF($AL$11:$AL558,$AL558)=1),1,0)</f>
        <v>0</v>
      </c>
      <c r="AW558" s="21">
        <f t="shared" si="103"/>
        <v>0</v>
      </c>
      <c r="AX558" s="21" t="str">
        <f t="shared" si="102"/>
        <v/>
      </c>
      <c r="AY558" s="21" t="str">
        <f>IF(AND($AM558&lt;&gt;"",$AS558&lt;&gt;"✓"),SUMPRODUCT(($AM$11:$AM558&lt;&gt;"")*($AS$11:$AS558&lt;&gt;"✓")),"")</f>
        <v/>
      </c>
      <c r="AZ558" s="21" t="str">
        <f>IF(AND($AM558&lt;&gt;"",$AS558="✓"),SUMPRODUCT(($AM$11:$AM558&lt;&gt;"")*($AS$11:$AS558="✓")),"")</f>
        <v/>
      </c>
      <c r="BA558" s="21" t="str">
        <f>IF($AL558="","",$AL558&amp;"|"&amp;COUNTIF($AL$11:$AL558,$AL558))</f>
        <v/>
      </c>
    </row>
    <row r="559" spans="23:53" ht="15" customHeight="1" x14ac:dyDescent="0.25">
      <c r="W559" s="14" t="str">
        <f>IF(X559="","",IFERROR(INDEX($AL$11:$AL$4010,MATCH(549,$AY$11:$AY$4010,0)),""))</f>
        <v/>
      </c>
      <c r="X559" s="12" t="str">
        <f>IFERROR(INDEX($AM$11:$AM$4010,MATCH(549,$AY$11:$AY$4010,0)),"")</f>
        <v/>
      </c>
      <c r="Y559" s="11" t="str">
        <f>IF(X559="","",IFERROR(INDEX($AN$11:$AN$4010,MATCH(549,$AY$11:$AY$4010,0)),""))</f>
        <v/>
      </c>
      <c r="Z559" s="11" t="str">
        <f>IF(X559="","",IFERROR(INDEX($AO$11:$AO$4010,MATCH(549,$AY$11:$AY$4010,0)),""))</f>
        <v/>
      </c>
      <c r="AA559" s="10" t="str">
        <f>IF(X559="","",IFERROR(INDEX($AQ$11:$AQ$4010,MATCH(549,$AY$11:$AY$4010,0)),""))</f>
        <v/>
      </c>
      <c r="AB559" s="15" t="str">
        <f>IF(X559="","",IFERROR(INDEX($AR$11:$AR$4010,MATCH(549,$AY$11:$AY$4010,0)),""))</f>
        <v/>
      </c>
      <c r="AD559" s="16" t="str">
        <f>IF(AE559="","",IFERROR(INDEX($AL$11:$AL$4010,MATCH(549,$AZ$11:$AZ$4010,0)),""))</f>
        <v/>
      </c>
      <c r="AE559" s="12" t="str">
        <f>IFERROR(INDEX($AM$11:$AM$4010,MATCH(549,$AZ$11:$AZ$4010,0)),"")</f>
        <v/>
      </c>
      <c r="AF559" s="11" t="str">
        <f>IF(AE559="","",IFERROR(INDEX($AN$11:$AN$4010,MATCH(549,$AZ$11:$AZ$4010,0)),""))</f>
        <v/>
      </c>
      <c r="AG559" s="11" t="str">
        <f>IF(AE559="","",IFERROR(INDEX($AO$11:$AO$4010,MATCH(549,$AZ$11:$AZ$4010,0)),""))</f>
        <v/>
      </c>
      <c r="AH559" s="10" t="str">
        <f>IF(AE559="","",IFERROR(INDEX($AQ$11:$AQ$4010,MATCH(549,$AZ$11:$AZ$4010,0)),""))</f>
        <v/>
      </c>
      <c r="AI559" s="15" t="str">
        <f>IF(AE559="","",IFERROR(INDEX($AR$11:$AR$4010,MATCH(549,$AZ$11:$AZ$4010,0)),""))</f>
        <v/>
      </c>
      <c r="AJ559" s="15" t="str">
        <f>IF(AE559="","",IFERROR(INDEX($AT$11:$AT$4010,MATCH(549,$AZ$11:$AZ$4010,0)),""))</f>
        <v/>
      </c>
      <c r="AL559" s="17"/>
      <c r="AM559" s="12"/>
      <c r="AN559" s="18"/>
      <c r="AO559" s="18"/>
      <c r="AP559" s="10"/>
      <c r="AQ559" s="10"/>
      <c r="AR559" s="19"/>
      <c r="AS559" s="20"/>
      <c r="AT559" s="19"/>
      <c r="AV559" s="21">
        <f>IF(AND($AL559&lt;&gt;"",COUNTIF($AL$11:$AL559,$AL559)=1),1,0)</f>
        <v>0</v>
      </c>
      <c r="AW559" s="21">
        <f t="shared" si="103"/>
        <v>0</v>
      </c>
      <c r="AX559" s="21" t="str">
        <f t="shared" si="102"/>
        <v/>
      </c>
      <c r="AY559" s="21" t="str">
        <f>IF(AND($AM559&lt;&gt;"",$AS559&lt;&gt;"✓"),SUMPRODUCT(($AM$11:$AM559&lt;&gt;"")*($AS$11:$AS559&lt;&gt;"✓")),"")</f>
        <v/>
      </c>
      <c r="AZ559" s="21" t="str">
        <f>IF(AND($AM559&lt;&gt;"",$AS559="✓"),SUMPRODUCT(($AM$11:$AM559&lt;&gt;"")*($AS$11:$AS559="✓")),"")</f>
        <v/>
      </c>
      <c r="BA559" s="21" t="str">
        <f>IF($AL559="","",$AL559&amp;"|"&amp;COUNTIF($AL$11:$AL559,$AL559))</f>
        <v/>
      </c>
    </row>
    <row r="560" spans="23:53" ht="15" customHeight="1" x14ac:dyDescent="0.25">
      <c r="W560" s="28" t="str">
        <f>IF(X560="","",IFERROR(INDEX($AL$11:$AL$4010,MATCH(550,$AY$11:$AY$4010,0)),""))</f>
        <v/>
      </c>
      <c r="X560" s="26" t="str">
        <f>IFERROR(INDEX($AM$11:$AM$4010,MATCH(550,$AY$11:$AY$4010,0)),"")</f>
        <v/>
      </c>
      <c r="Y560" s="25" t="str">
        <f>IF(X560="","",IFERROR(INDEX($AN$11:$AN$4010,MATCH(550,$AY$11:$AY$4010,0)),""))</f>
        <v/>
      </c>
      <c r="Z560" s="25" t="str">
        <f>IF(X560="","",IFERROR(INDEX($AO$11:$AO$4010,MATCH(550,$AY$11:$AY$4010,0)),""))</f>
        <v/>
      </c>
      <c r="AA560" s="24" t="str">
        <f>IF(X560="","",IFERROR(INDEX($AQ$11:$AQ$4010,MATCH(550,$AY$11:$AY$4010,0)),""))</f>
        <v/>
      </c>
      <c r="AB560" s="29" t="str">
        <f>IF(X560="","",IFERROR(INDEX($AR$11:$AR$4010,MATCH(550,$AY$11:$AY$4010,0)),""))</f>
        <v/>
      </c>
      <c r="AD560" s="30" t="str">
        <f>IF(AE560="","",IFERROR(INDEX($AL$11:$AL$4010,MATCH(550,$AZ$11:$AZ$4010,0)),""))</f>
        <v/>
      </c>
      <c r="AE560" s="26" t="str">
        <f>IFERROR(INDEX($AM$11:$AM$4010,MATCH(550,$AZ$11:$AZ$4010,0)),"")</f>
        <v/>
      </c>
      <c r="AF560" s="25" t="str">
        <f>IF(AE560="","",IFERROR(INDEX($AN$11:$AN$4010,MATCH(550,$AZ$11:$AZ$4010,0)),""))</f>
        <v/>
      </c>
      <c r="AG560" s="25" t="str">
        <f>IF(AE560="","",IFERROR(INDEX($AO$11:$AO$4010,MATCH(550,$AZ$11:$AZ$4010,0)),""))</f>
        <v/>
      </c>
      <c r="AH560" s="24" t="str">
        <f>IF(AE560="","",IFERROR(INDEX($AQ$11:$AQ$4010,MATCH(550,$AZ$11:$AZ$4010,0)),""))</f>
        <v/>
      </c>
      <c r="AI560" s="29" t="str">
        <f>IF(AE560="","",IFERROR(INDEX($AR$11:$AR$4010,MATCH(550,$AZ$11:$AZ$4010,0)),""))</f>
        <v/>
      </c>
      <c r="AJ560" s="29" t="str">
        <f>IF(AE560="","",IFERROR(INDEX($AT$11:$AT$4010,MATCH(550,$AZ$11:$AZ$4010,0)),""))</f>
        <v/>
      </c>
      <c r="AL560" s="31"/>
      <c r="AM560" s="26"/>
      <c r="AN560" s="32"/>
      <c r="AO560" s="32"/>
      <c r="AP560" s="24"/>
      <c r="AQ560" s="24"/>
      <c r="AR560" s="33"/>
      <c r="AS560" s="34"/>
      <c r="AT560" s="33"/>
      <c r="AV560" s="21">
        <f>IF(AND($AL560&lt;&gt;"",COUNTIF($AL$11:$AL560,$AL560)=1),1,0)</f>
        <v>0</v>
      </c>
      <c r="AW560" s="21">
        <f t="shared" si="103"/>
        <v>0</v>
      </c>
      <c r="AX560" s="21" t="str">
        <f t="shared" si="102"/>
        <v/>
      </c>
      <c r="AY560" s="21" t="str">
        <f>IF(AND($AM560&lt;&gt;"",$AS560&lt;&gt;"✓"),SUMPRODUCT(($AM$11:$AM560&lt;&gt;"")*($AS$11:$AS560&lt;&gt;"✓")),"")</f>
        <v/>
      </c>
      <c r="AZ560" s="21" t="str">
        <f>IF(AND($AM560&lt;&gt;"",$AS560="✓"),SUMPRODUCT(($AM$11:$AM560&lt;&gt;"")*($AS$11:$AS560="✓")),"")</f>
        <v/>
      </c>
      <c r="BA560" s="21" t="str">
        <f>IF($AL560="","",$AL560&amp;"|"&amp;COUNTIF($AL$11:$AL560,$AL560))</f>
        <v/>
      </c>
    </row>
    <row r="561" spans="23:53" ht="15" customHeight="1" x14ac:dyDescent="0.25">
      <c r="W561" s="14" t="str">
        <f>IF(X561="","",IFERROR(INDEX($AL$11:$AL$4010,MATCH(551,$AY$11:$AY$4010,0)),""))</f>
        <v/>
      </c>
      <c r="X561" s="12" t="str">
        <f>IFERROR(INDEX($AM$11:$AM$4010,MATCH(551,$AY$11:$AY$4010,0)),"")</f>
        <v/>
      </c>
      <c r="Y561" s="11" t="str">
        <f>IF(X561="","",IFERROR(INDEX($AN$11:$AN$4010,MATCH(551,$AY$11:$AY$4010,0)),""))</f>
        <v/>
      </c>
      <c r="Z561" s="11" t="str">
        <f>IF(X561="","",IFERROR(INDEX($AO$11:$AO$4010,MATCH(551,$AY$11:$AY$4010,0)),""))</f>
        <v/>
      </c>
      <c r="AA561" s="10" t="str">
        <f>IF(X561="","",IFERROR(INDEX($AQ$11:$AQ$4010,MATCH(551,$AY$11:$AY$4010,0)),""))</f>
        <v/>
      </c>
      <c r="AB561" s="15" t="str">
        <f>IF(X561="","",IFERROR(INDEX($AR$11:$AR$4010,MATCH(551,$AY$11:$AY$4010,0)),""))</f>
        <v/>
      </c>
      <c r="AD561" s="16" t="str">
        <f>IF(AE561="","",IFERROR(INDEX($AL$11:$AL$4010,MATCH(551,$AZ$11:$AZ$4010,0)),""))</f>
        <v/>
      </c>
      <c r="AE561" s="12" t="str">
        <f>IFERROR(INDEX($AM$11:$AM$4010,MATCH(551,$AZ$11:$AZ$4010,0)),"")</f>
        <v/>
      </c>
      <c r="AF561" s="11" t="str">
        <f>IF(AE561="","",IFERROR(INDEX($AN$11:$AN$4010,MATCH(551,$AZ$11:$AZ$4010,0)),""))</f>
        <v/>
      </c>
      <c r="AG561" s="11" t="str">
        <f>IF(AE561="","",IFERROR(INDEX($AO$11:$AO$4010,MATCH(551,$AZ$11:$AZ$4010,0)),""))</f>
        <v/>
      </c>
      <c r="AH561" s="10" t="str">
        <f>IF(AE561="","",IFERROR(INDEX($AQ$11:$AQ$4010,MATCH(551,$AZ$11:$AZ$4010,0)),""))</f>
        <v/>
      </c>
      <c r="AI561" s="15" t="str">
        <f>IF(AE561="","",IFERROR(INDEX($AR$11:$AR$4010,MATCH(551,$AZ$11:$AZ$4010,0)),""))</f>
        <v/>
      </c>
      <c r="AJ561" s="15" t="str">
        <f>IF(AE561="","",IFERROR(INDEX($AT$11:$AT$4010,MATCH(551,$AZ$11:$AZ$4010,0)),""))</f>
        <v/>
      </c>
      <c r="AL561" s="17"/>
      <c r="AM561" s="12"/>
      <c r="AN561" s="18"/>
      <c r="AO561" s="18"/>
      <c r="AP561" s="10"/>
      <c r="AQ561" s="10"/>
      <c r="AR561" s="19"/>
      <c r="AS561" s="20"/>
      <c r="AT561" s="19"/>
      <c r="AV561" s="21">
        <f>IF(AND($AL561&lt;&gt;"",COUNTIF($AL$11:$AL561,$AL561)=1),1,0)</f>
        <v>0</v>
      </c>
      <c r="AW561" s="21">
        <f t="shared" si="103"/>
        <v>0</v>
      </c>
      <c r="AX561" s="21" t="str">
        <f t="shared" si="102"/>
        <v/>
      </c>
      <c r="AY561" s="21" t="str">
        <f>IF(AND($AM561&lt;&gt;"",$AS561&lt;&gt;"✓"),SUMPRODUCT(($AM$11:$AM561&lt;&gt;"")*($AS$11:$AS561&lt;&gt;"✓")),"")</f>
        <v/>
      </c>
      <c r="AZ561" s="21" t="str">
        <f>IF(AND($AM561&lt;&gt;"",$AS561="✓"),SUMPRODUCT(($AM$11:$AM561&lt;&gt;"")*($AS$11:$AS561="✓")),"")</f>
        <v/>
      </c>
      <c r="BA561" s="21" t="str">
        <f>IF($AL561="","",$AL561&amp;"|"&amp;COUNTIF($AL$11:$AL561,$AL561))</f>
        <v/>
      </c>
    </row>
    <row r="562" spans="23:53" ht="15" customHeight="1" x14ac:dyDescent="0.25">
      <c r="W562" s="28" t="str">
        <f>IF(X562="","",IFERROR(INDEX($AL$11:$AL$4010,MATCH(552,$AY$11:$AY$4010,0)),""))</f>
        <v/>
      </c>
      <c r="X562" s="26" t="str">
        <f>IFERROR(INDEX($AM$11:$AM$4010,MATCH(552,$AY$11:$AY$4010,0)),"")</f>
        <v/>
      </c>
      <c r="Y562" s="25" t="str">
        <f>IF(X562="","",IFERROR(INDEX($AN$11:$AN$4010,MATCH(552,$AY$11:$AY$4010,0)),""))</f>
        <v/>
      </c>
      <c r="Z562" s="25" t="str">
        <f>IF(X562="","",IFERROR(INDEX($AO$11:$AO$4010,MATCH(552,$AY$11:$AY$4010,0)),""))</f>
        <v/>
      </c>
      <c r="AA562" s="24" t="str">
        <f>IF(X562="","",IFERROR(INDEX($AQ$11:$AQ$4010,MATCH(552,$AY$11:$AY$4010,0)),""))</f>
        <v/>
      </c>
      <c r="AB562" s="29" t="str">
        <f>IF(X562="","",IFERROR(INDEX($AR$11:$AR$4010,MATCH(552,$AY$11:$AY$4010,0)),""))</f>
        <v/>
      </c>
      <c r="AD562" s="30" t="str">
        <f>IF(AE562="","",IFERROR(INDEX($AL$11:$AL$4010,MATCH(552,$AZ$11:$AZ$4010,0)),""))</f>
        <v/>
      </c>
      <c r="AE562" s="26" t="str">
        <f>IFERROR(INDEX($AM$11:$AM$4010,MATCH(552,$AZ$11:$AZ$4010,0)),"")</f>
        <v/>
      </c>
      <c r="AF562" s="25" t="str">
        <f>IF(AE562="","",IFERROR(INDEX($AN$11:$AN$4010,MATCH(552,$AZ$11:$AZ$4010,0)),""))</f>
        <v/>
      </c>
      <c r="AG562" s="25" t="str">
        <f>IF(AE562="","",IFERROR(INDEX($AO$11:$AO$4010,MATCH(552,$AZ$11:$AZ$4010,0)),""))</f>
        <v/>
      </c>
      <c r="AH562" s="24" t="str">
        <f>IF(AE562="","",IFERROR(INDEX($AQ$11:$AQ$4010,MATCH(552,$AZ$11:$AZ$4010,0)),""))</f>
        <v/>
      </c>
      <c r="AI562" s="29" t="str">
        <f>IF(AE562="","",IFERROR(INDEX($AR$11:$AR$4010,MATCH(552,$AZ$11:$AZ$4010,0)),""))</f>
        <v/>
      </c>
      <c r="AJ562" s="29" t="str">
        <f>IF(AE562="","",IFERROR(INDEX($AT$11:$AT$4010,MATCH(552,$AZ$11:$AZ$4010,0)),""))</f>
        <v/>
      </c>
      <c r="AL562" s="31"/>
      <c r="AM562" s="26"/>
      <c r="AN562" s="32"/>
      <c r="AO562" s="32"/>
      <c r="AP562" s="24"/>
      <c r="AQ562" s="24"/>
      <c r="AR562" s="33"/>
      <c r="AS562" s="34"/>
      <c r="AT562" s="33"/>
      <c r="AV562" s="21">
        <f>IF(AND($AL562&lt;&gt;"",COUNTIF($AL$11:$AL562,$AL562)=1),1,0)</f>
        <v>0</v>
      </c>
      <c r="AW562" s="21">
        <f t="shared" si="103"/>
        <v>0</v>
      </c>
      <c r="AX562" s="21" t="str">
        <f t="shared" si="102"/>
        <v/>
      </c>
      <c r="AY562" s="21" t="str">
        <f>IF(AND($AM562&lt;&gt;"",$AS562&lt;&gt;"✓"),SUMPRODUCT(($AM$11:$AM562&lt;&gt;"")*($AS$11:$AS562&lt;&gt;"✓")),"")</f>
        <v/>
      </c>
      <c r="AZ562" s="21" t="str">
        <f>IF(AND($AM562&lt;&gt;"",$AS562="✓"),SUMPRODUCT(($AM$11:$AM562&lt;&gt;"")*($AS$11:$AS562="✓")),"")</f>
        <v/>
      </c>
      <c r="BA562" s="21" t="str">
        <f>IF($AL562="","",$AL562&amp;"|"&amp;COUNTIF($AL$11:$AL562,$AL562))</f>
        <v/>
      </c>
    </row>
    <row r="563" spans="23:53" ht="15" customHeight="1" x14ac:dyDescent="0.25">
      <c r="W563" s="14" t="str">
        <f>IF(X563="","",IFERROR(INDEX($AL$11:$AL$4010,MATCH(553,$AY$11:$AY$4010,0)),""))</f>
        <v/>
      </c>
      <c r="X563" s="12" t="str">
        <f>IFERROR(INDEX($AM$11:$AM$4010,MATCH(553,$AY$11:$AY$4010,0)),"")</f>
        <v/>
      </c>
      <c r="Y563" s="11" t="str">
        <f>IF(X563="","",IFERROR(INDEX($AN$11:$AN$4010,MATCH(553,$AY$11:$AY$4010,0)),""))</f>
        <v/>
      </c>
      <c r="Z563" s="11" t="str">
        <f>IF(X563="","",IFERROR(INDEX($AO$11:$AO$4010,MATCH(553,$AY$11:$AY$4010,0)),""))</f>
        <v/>
      </c>
      <c r="AA563" s="10" t="str">
        <f>IF(X563="","",IFERROR(INDEX($AQ$11:$AQ$4010,MATCH(553,$AY$11:$AY$4010,0)),""))</f>
        <v/>
      </c>
      <c r="AB563" s="15" t="str">
        <f>IF(X563="","",IFERROR(INDEX($AR$11:$AR$4010,MATCH(553,$AY$11:$AY$4010,0)),""))</f>
        <v/>
      </c>
      <c r="AD563" s="16" t="str">
        <f>IF(AE563="","",IFERROR(INDEX($AL$11:$AL$4010,MATCH(553,$AZ$11:$AZ$4010,0)),""))</f>
        <v/>
      </c>
      <c r="AE563" s="12" t="str">
        <f>IFERROR(INDEX($AM$11:$AM$4010,MATCH(553,$AZ$11:$AZ$4010,0)),"")</f>
        <v/>
      </c>
      <c r="AF563" s="11" t="str">
        <f>IF(AE563="","",IFERROR(INDEX($AN$11:$AN$4010,MATCH(553,$AZ$11:$AZ$4010,0)),""))</f>
        <v/>
      </c>
      <c r="AG563" s="11" t="str">
        <f>IF(AE563="","",IFERROR(INDEX($AO$11:$AO$4010,MATCH(553,$AZ$11:$AZ$4010,0)),""))</f>
        <v/>
      </c>
      <c r="AH563" s="10" t="str">
        <f>IF(AE563="","",IFERROR(INDEX($AQ$11:$AQ$4010,MATCH(553,$AZ$11:$AZ$4010,0)),""))</f>
        <v/>
      </c>
      <c r="AI563" s="15" t="str">
        <f>IF(AE563="","",IFERROR(INDEX($AR$11:$AR$4010,MATCH(553,$AZ$11:$AZ$4010,0)),""))</f>
        <v/>
      </c>
      <c r="AJ563" s="15" t="str">
        <f>IF(AE563="","",IFERROR(INDEX($AT$11:$AT$4010,MATCH(553,$AZ$11:$AZ$4010,0)),""))</f>
        <v/>
      </c>
      <c r="AL563" s="17"/>
      <c r="AM563" s="12"/>
      <c r="AN563" s="18"/>
      <c r="AO563" s="18"/>
      <c r="AP563" s="10"/>
      <c r="AQ563" s="10"/>
      <c r="AR563" s="19"/>
      <c r="AS563" s="20"/>
      <c r="AT563" s="19"/>
      <c r="AV563" s="21">
        <f>IF(AND($AL563&lt;&gt;"",COUNTIF($AL$11:$AL563,$AL563)=1),1,0)</f>
        <v>0</v>
      </c>
      <c r="AW563" s="21">
        <f t="shared" si="103"/>
        <v>0</v>
      </c>
      <c r="AX563" s="21" t="str">
        <f t="shared" si="102"/>
        <v/>
      </c>
      <c r="AY563" s="21" t="str">
        <f>IF(AND($AM563&lt;&gt;"",$AS563&lt;&gt;"✓"),SUMPRODUCT(($AM$11:$AM563&lt;&gt;"")*($AS$11:$AS563&lt;&gt;"✓")),"")</f>
        <v/>
      </c>
      <c r="AZ563" s="21" t="str">
        <f>IF(AND($AM563&lt;&gt;"",$AS563="✓"),SUMPRODUCT(($AM$11:$AM563&lt;&gt;"")*($AS$11:$AS563="✓")),"")</f>
        <v/>
      </c>
      <c r="BA563" s="21" t="str">
        <f>IF($AL563="","",$AL563&amp;"|"&amp;COUNTIF($AL$11:$AL563,$AL563))</f>
        <v/>
      </c>
    </row>
    <row r="564" spans="23:53" ht="15" customHeight="1" x14ac:dyDescent="0.25">
      <c r="W564" s="28" t="str">
        <f>IF(X564="","",IFERROR(INDEX($AL$11:$AL$4010,MATCH(554,$AY$11:$AY$4010,0)),""))</f>
        <v/>
      </c>
      <c r="X564" s="26" t="str">
        <f>IFERROR(INDEX($AM$11:$AM$4010,MATCH(554,$AY$11:$AY$4010,0)),"")</f>
        <v/>
      </c>
      <c r="Y564" s="25" t="str">
        <f>IF(X564="","",IFERROR(INDEX($AN$11:$AN$4010,MATCH(554,$AY$11:$AY$4010,0)),""))</f>
        <v/>
      </c>
      <c r="Z564" s="25" t="str">
        <f>IF(X564="","",IFERROR(INDEX($AO$11:$AO$4010,MATCH(554,$AY$11:$AY$4010,0)),""))</f>
        <v/>
      </c>
      <c r="AA564" s="24" t="str">
        <f>IF(X564="","",IFERROR(INDEX($AQ$11:$AQ$4010,MATCH(554,$AY$11:$AY$4010,0)),""))</f>
        <v/>
      </c>
      <c r="AB564" s="29" t="str">
        <f>IF(X564="","",IFERROR(INDEX($AR$11:$AR$4010,MATCH(554,$AY$11:$AY$4010,0)),""))</f>
        <v/>
      </c>
      <c r="AD564" s="30" t="str">
        <f>IF(AE564="","",IFERROR(INDEX($AL$11:$AL$4010,MATCH(554,$AZ$11:$AZ$4010,0)),""))</f>
        <v/>
      </c>
      <c r="AE564" s="26" t="str">
        <f>IFERROR(INDEX($AM$11:$AM$4010,MATCH(554,$AZ$11:$AZ$4010,0)),"")</f>
        <v/>
      </c>
      <c r="AF564" s="25" t="str">
        <f>IF(AE564="","",IFERROR(INDEX($AN$11:$AN$4010,MATCH(554,$AZ$11:$AZ$4010,0)),""))</f>
        <v/>
      </c>
      <c r="AG564" s="25" t="str">
        <f>IF(AE564="","",IFERROR(INDEX($AO$11:$AO$4010,MATCH(554,$AZ$11:$AZ$4010,0)),""))</f>
        <v/>
      </c>
      <c r="AH564" s="24" t="str">
        <f>IF(AE564="","",IFERROR(INDEX($AQ$11:$AQ$4010,MATCH(554,$AZ$11:$AZ$4010,0)),""))</f>
        <v/>
      </c>
      <c r="AI564" s="29" t="str">
        <f>IF(AE564="","",IFERROR(INDEX($AR$11:$AR$4010,MATCH(554,$AZ$11:$AZ$4010,0)),""))</f>
        <v/>
      </c>
      <c r="AJ564" s="29" t="str">
        <f>IF(AE564="","",IFERROR(INDEX($AT$11:$AT$4010,MATCH(554,$AZ$11:$AZ$4010,0)),""))</f>
        <v/>
      </c>
      <c r="AL564" s="31"/>
      <c r="AM564" s="26"/>
      <c r="AN564" s="32"/>
      <c r="AO564" s="32"/>
      <c r="AP564" s="24"/>
      <c r="AQ564" s="24"/>
      <c r="AR564" s="33"/>
      <c r="AS564" s="34"/>
      <c r="AT564" s="33"/>
      <c r="AV564" s="21">
        <f>IF(AND($AL564&lt;&gt;"",COUNTIF($AL$11:$AL564,$AL564)=1),1,0)</f>
        <v>0</v>
      </c>
      <c r="AW564" s="21">
        <f t="shared" si="103"/>
        <v>0</v>
      </c>
      <c r="AX564" s="21" t="str">
        <f t="shared" si="102"/>
        <v/>
      </c>
      <c r="AY564" s="21" t="str">
        <f>IF(AND($AM564&lt;&gt;"",$AS564&lt;&gt;"✓"),SUMPRODUCT(($AM$11:$AM564&lt;&gt;"")*($AS$11:$AS564&lt;&gt;"✓")),"")</f>
        <v/>
      </c>
      <c r="AZ564" s="21" t="str">
        <f>IF(AND($AM564&lt;&gt;"",$AS564="✓"),SUMPRODUCT(($AM$11:$AM564&lt;&gt;"")*($AS$11:$AS564="✓")),"")</f>
        <v/>
      </c>
      <c r="BA564" s="21" t="str">
        <f>IF($AL564="","",$AL564&amp;"|"&amp;COUNTIF($AL$11:$AL564,$AL564))</f>
        <v/>
      </c>
    </row>
    <row r="565" spans="23:53" ht="15" customHeight="1" x14ac:dyDescent="0.25">
      <c r="W565" s="14" t="str">
        <f>IF(X565="","",IFERROR(INDEX($AL$11:$AL$4010,MATCH(555,$AY$11:$AY$4010,0)),""))</f>
        <v/>
      </c>
      <c r="X565" s="12" t="str">
        <f>IFERROR(INDEX($AM$11:$AM$4010,MATCH(555,$AY$11:$AY$4010,0)),"")</f>
        <v/>
      </c>
      <c r="Y565" s="11" t="str">
        <f>IF(X565="","",IFERROR(INDEX($AN$11:$AN$4010,MATCH(555,$AY$11:$AY$4010,0)),""))</f>
        <v/>
      </c>
      <c r="Z565" s="11" t="str">
        <f>IF(X565="","",IFERROR(INDEX($AO$11:$AO$4010,MATCH(555,$AY$11:$AY$4010,0)),""))</f>
        <v/>
      </c>
      <c r="AA565" s="10" t="str">
        <f>IF(X565="","",IFERROR(INDEX($AQ$11:$AQ$4010,MATCH(555,$AY$11:$AY$4010,0)),""))</f>
        <v/>
      </c>
      <c r="AB565" s="15" t="str">
        <f>IF(X565="","",IFERROR(INDEX($AR$11:$AR$4010,MATCH(555,$AY$11:$AY$4010,0)),""))</f>
        <v/>
      </c>
      <c r="AD565" s="16" t="str">
        <f>IF(AE565="","",IFERROR(INDEX($AL$11:$AL$4010,MATCH(555,$AZ$11:$AZ$4010,0)),""))</f>
        <v/>
      </c>
      <c r="AE565" s="12" t="str">
        <f>IFERROR(INDEX($AM$11:$AM$4010,MATCH(555,$AZ$11:$AZ$4010,0)),"")</f>
        <v/>
      </c>
      <c r="AF565" s="11" t="str">
        <f>IF(AE565="","",IFERROR(INDEX($AN$11:$AN$4010,MATCH(555,$AZ$11:$AZ$4010,0)),""))</f>
        <v/>
      </c>
      <c r="AG565" s="11" t="str">
        <f>IF(AE565="","",IFERROR(INDEX($AO$11:$AO$4010,MATCH(555,$AZ$11:$AZ$4010,0)),""))</f>
        <v/>
      </c>
      <c r="AH565" s="10" t="str">
        <f>IF(AE565="","",IFERROR(INDEX($AQ$11:$AQ$4010,MATCH(555,$AZ$11:$AZ$4010,0)),""))</f>
        <v/>
      </c>
      <c r="AI565" s="15" t="str">
        <f>IF(AE565="","",IFERROR(INDEX($AR$11:$AR$4010,MATCH(555,$AZ$11:$AZ$4010,0)),""))</f>
        <v/>
      </c>
      <c r="AJ565" s="15" t="str">
        <f>IF(AE565="","",IFERROR(INDEX($AT$11:$AT$4010,MATCH(555,$AZ$11:$AZ$4010,0)),""))</f>
        <v/>
      </c>
      <c r="AL565" s="17"/>
      <c r="AM565" s="12"/>
      <c r="AN565" s="18"/>
      <c r="AO565" s="18"/>
      <c r="AP565" s="10"/>
      <c r="AQ565" s="10"/>
      <c r="AR565" s="19"/>
      <c r="AS565" s="20"/>
      <c r="AT565" s="19"/>
      <c r="AV565" s="21">
        <f>IF(AND($AL565&lt;&gt;"",COUNTIF($AL$11:$AL565,$AL565)=1),1,0)</f>
        <v>0</v>
      </c>
      <c r="AW565" s="21">
        <f t="shared" si="103"/>
        <v>0</v>
      </c>
      <c r="AX565" s="21" t="str">
        <f t="shared" si="102"/>
        <v/>
      </c>
      <c r="AY565" s="21" t="str">
        <f>IF(AND($AM565&lt;&gt;"",$AS565&lt;&gt;"✓"),SUMPRODUCT(($AM$11:$AM565&lt;&gt;"")*($AS$11:$AS565&lt;&gt;"✓")),"")</f>
        <v/>
      </c>
      <c r="AZ565" s="21" t="str">
        <f>IF(AND($AM565&lt;&gt;"",$AS565="✓"),SUMPRODUCT(($AM$11:$AM565&lt;&gt;"")*($AS$11:$AS565="✓")),"")</f>
        <v/>
      </c>
      <c r="BA565" s="21" t="str">
        <f>IF($AL565="","",$AL565&amp;"|"&amp;COUNTIF($AL$11:$AL565,$AL565))</f>
        <v/>
      </c>
    </row>
    <row r="566" spans="23:53" ht="15" customHeight="1" x14ac:dyDescent="0.25">
      <c r="W566" s="28" t="str">
        <f>IF(X566="","",IFERROR(INDEX($AL$11:$AL$4010,MATCH(556,$AY$11:$AY$4010,0)),""))</f>
        <v/>
      </c>
      <c r="X566" s="26" t="str">
        <f>IFERROR(INDEX($AM$11:$AM$4010,MATCH(556,$AY$11:$AY$4010,0)),"")</f>
        <v/>
      </c>
      <c r="Y566" s="25" t="str">
        <f>IF(X566="","",IFERROR(INDEX($AN$11:$AN$4010,MATCH(556,$AY$11:$AY$4010,0)),""))</f>
        <v/>
      </c>
      <c r="Z566" s="25" t="str">
        <f>IF(X566="","",IFERROR(INDEX($AO$11:$AO$4010,MATCH(556,$AY$11:$AY$4010,0)),""))</f>
        <v/>
      </c>
      <c r="AA566" s="24" t="str">
        <f>IF(X566="","",IFERROR(INDEX($AQ$11:$AQ$4010,MATCH(556,$AY$11:$AY$4010,0)),""))</f>
        <v/>
      </c>
      <c r="AB566" s="29" t="str">
        <f>IF(X566="","",IFERROR(INDEX($AR$11:$AR$4010,MATCH(556,$AY$11:$AY$4010,0)),""))</f>
        <v/>
      </c>
      <c r="AD566" s="30" t="str">
        <f>IF(AE566="","",IFERROR(INDEX($AL$11:$AL$4010,MATCH(556,$AZ$11:$AZ$4010,0)),""))</f>
        <v/>
      </c>
      <c r="AE566" s="26" t="str">
        <f>IFERROR(INDEX($AM$11:$AM$4010,MATCH(556,$AZ$11:$AZ$4010,0)),"")</f>
        <v/>
      </c>
      <c r="AF566" s="25" t="str">
        <f>IF(AE566="","",IFERROR(INDEX($AN$11:$AN$4010,MATCH(556,$AZ$11:$AZ$4010,0)),""))</f>
        <v/>
      </c>
      <c r="AG566" s="25" t="str">
        <f>IF(AE566="","",IFERROR(INDEX($AO$11:$AO$4010,MATCH(556,$AZ$11:$AZ$4010,0)),""))</f>
        <v/>
      </c>
      <c r="AH566" s="24" t="str">
        <f>IF(AE566="","",IFERROR(INDEX($AQ$11:$AQ$4010,MATCH(556,$AZ$11:$AZ$4010,0)),""))</f>
        <v/>
      </c>
      <c r="AI566" s="29" t="str">
        <f>IF(AE566="","",IFERROR(INDEX($AR$11:$AR$4010,MATCH(556,$AZ$11:$AZ$4010,0)),""))</f>
        <v/>
      </c>
      <c r="AJ566" s="29" t="str">
        <f>IF(AE566="","",IFERROR(INDEX($AT$11:$AT$4010,MATCH(556,$AZ$11:$AZ$4010,0)),""))</f>
        <v/>
      </c>
      <c r="AL566" s="31"/>
      <c r="AM566" s="26"/>
      <c r="AN566" s="32"/>
      <c r="AO566" s="32"/>
      <c r="AP566" s="24"/>
      <c r="AQ566" s="24"/>
      <c r="AR566" s="33"/>
      <c r="AS566" s="34"/>
      <c r="AT566" s="33"/>
      <c r="AV566" s="21">
        <f>IF(AND($AL566&lt;&gt;"",COUNTIF($AL$11:$AL566,$AL566)=1),1,0)</f>
        <v>0</v>
      </c>
      <c r="AW566" s="21">
        <f t="shared" si="103"/>
        <v>0</v>
      </c>
      <c r="AX566" s="21" t="str">
        <f t="shared" si="102"/>
        <v/>
      </c>
      <c r="AY566" s="21" t="str">
        <f>IF(AND($AM566&lt;&gt;"",$AS566&lt;&gt;"✓"),SUMPRODUCT(($AM$11:$AM566&lt;&gt;"")*($AS$11:$AS566&lt;&gt;"✓")),"")</f>
        <v/>
      </c>
      <c r="AZ566" s="21" t="str">
        <f>IF(AND($AM566&lt;&gt;"",$AS566="✓"),SUMPRODUCT(($AM$11:$AM566&lt;&gt;"")*($AS$11:$AS566="✓")),"")</f>
        <v/>
      </c>
      <c r="BA566" s="21" t="str">
        <f>IF($AL566="","",$AL566&amp;"|"&amp;COUNTIF($AL$11:$AL566,$AL566))</f>
        <v/>
      </c>
    </row>
    <row r="567" spans="23:53" ht="15" customHeight="1" x14ac:dyDescent="0.25">
      <c r="W567" s="14" t="str">
        <f>IF(X567="","",IFERROR(INDEX($AL$11:$AL$4010,MATCH(557,$AY$11:$AY$4010,0)),""))</f>
        <v/>
      </c>
      <c r="X567" s="12" t="str">
        <f>IFERROR(INDEX($AM$11:$AM$4010,MATCH(557,$AY$11:$AY$4010,0)),"")</f>
        <v/>
      </c>
      <c r="Y567" s="11" t="str">
        <f>IF(X567="","",IFERROR(INDEX($AN$11:$AN$4010,MATCH(557,$AY$11:$AY$4010,0)),""))</f>
        <v/>
      </c>
      <c r="Z567" s="11" t="str">
        <f>IF(X567="","",IFERROR(INDEX($AO$11:$AO$4010,MATCH(557,$AY$11:$AY$4010,0)),""))</f>
        <v/>
      </c>
      <c r="AA567" s="10" t="str">
        <f>IF(X567="","",IFERROR(INDEX($AQ$11:$AQ$4010,MATCH(557,$AY$11:$AY$4010,0)),""))</f>
        <v/>
      </c>
      <c r="AB567" s="15" t="str">
        <f>IF(X567="","",IFERROR(INDEX($AR$11:$AR$4010,MATCH(557,$AY$11:$AY$4010,0)),""))</f>
        <v/>
      </c>
      <c r="AD567" s="16" t="str">
        <f>IF(AE567="","",IFERROR(INDEX($AL$11:$AL$4010,MATCH(557,$AZ$11:$AZ$4010,0)),""))</f>
        <v/>
      </c>
      <c r="AE567" s="12" t="str">
        <f>IFERROR(INDEX($AM$11:$AM$4010,MATCH(557,$AZ$11:$AZ$4010,0)),"")</f>
        <v/>
      </c>
      <c r="AF567" s="11" t="str">
        <f>IF(AE567="","",IFERROR(INDEX($AN$11:$AN$4010,MATCH(557,$AZ$11:$AZ$4010,0)),""))</f>
        <v/>
      </c>
      <c r="AG567" s="11" t="str">
        <f>IF(AE567="","",IFERROR(INDEX($AO$11:$AO$4010,MATCH(557,$AZ$11:$AZ$4010,0)),""))</f>
        <v/>
      </c>
      <c r="AH567" s="10" t="str">
        <f>IF(AE567="","",IFERROR(INDEX($AQ$11:$AQ$4010,MATCH(557,$AZ$11:$AZ$4010,0)),""))</f>
        <v/>
      </c>
      <c r="AI567" s="15" t="str">
        <f>IF(AE567="","",IFERROR(INDEX($AR$11:$AR$4010,MATCH(557,$AZ$11:$AZ$4010,0)),""))</f>
        <v/>
      </c>
      <c r="AJ567" s="15" t="str">
        <f>IF(AE567="","",IFERROR(INDEX($AT$11:$AT$4010,MATCH(557,$AZ$11:$AZ$4010,0)),""))</f>
        <v/>
      </c>
      <c r="AL567" s="17"/>
      <c r="AM567" s="12"/>
      <c r="AN567" s="18"/>
      <c r="AO567" s="18"/>
      <c r="AP567" s="10"/>
      <c r="AQ567" s="10"/>
      <c r="AR567" s="19"/>
      <c r="AS567" s="20"/>
      <c r="AT567" s="19"/>
      <c r="AV567" s="21">
        <f>IF(AND($AL567&lt;&gt;"",COUNTIF($AL$11:$AL567,$AL567)=1),1,0)</f>
        <v>0</v>
      </c>
      <c r="AW567" s="21">
        <f t="shared" si="103"/>
        <v>0</v>
      </c>
      <c r="AX567" s="21" t="str">
        <f t="shared" si="102"/>
        <v/>
      </c>
      <c r="AY567" s="21" t="str">
        <f>IF(AND($AM567&lt;&gt;"",$AS567&lt;&gt;"✓"),SUMPRODUCT(($AM$11:$AM567&lt;&gt;"")*($AS$11:$AS567&lt;&gt;"✓")),"")</f>
        <v/>
      </c>
      <c r="AZ567" s="21" t="str">
        <f>IF(AND($AM567&lt;&gt;"",$AS567="✓"),SUMPRODUCT(($AM$11:$AM567&lt;&gt;"")*($AS$11:$AS567="✓")),"")</f>
        <v/>
      </c>
      <c r="BA567" s="21" t="str">
        <f>IF($AL567="","",$AL567&amp;"|"&amp;COUNTIF($AL$11:$AL567,$AL567))</f>
        <v/>
      </c>
    </row>
    <row r="568" spans="23:53" ht="15" customHeight="1" x14ac:dyDescent="0.25">
      <c r="W568" s="28" t="str">
        <f>IF(X568="","",IFERROR(INDEX($AL$11:$AL$4010,MATCH(558,$AY$11:$AY$4010,0)),""))</f>
        <v/>
      </c>
      <c r="X568" s="26" t="str">
        <f>IFERROR(INDEX($AM$11:$AM$4010,MATCH(558,$AY$11:$AY$4010,0)),"")</f>
        <v/>
      </c>
      <c r="Y568" s="25" t="str">
        <f>IF(X568="","",IFERROR(INDEX($AN$11:$AN$4010,MATCH(558,$AY$11:$AY$4010,0)),""))</f>
        <v/>
      </c>
      <c r="Z568" s="25" t="str">
        <f>IF(X568="","",IFERROR(INDEX($AO$11:$AO$4010,MATCH(558,$AY$11:$AY$4010,0)),""))</f>
        <v/>
      </c>
      <c r="AA568" s="24" t="str">
        <f>IF(X568="","",IFERROR(INDEX($AQ$11:$AQ$4010,MATCH(558,$AY$11:$AY$4010,0)),""))</f>
        <v/>
      </c>
      <c r="AB568" s="29" t="str">
        <f>IF(X568="","",IFERROR(INDEX($AR$11:$AR$4010,MATCH(558,$AY$11:$AY$4010,0)),""))</f>
        <v/>
      </c>
      <c r="AD568" s="30" t="str">
        <f>IF(AE568="","",IFERROR(INDEX($AL$11:$AL$4010,MATCH(558,$AZ$11:$AZ$4010,0)),""))</f>
        <v/>
      </c>
      <c r="AE568" s="26" t="str">
        <f>IFERROR(INDEX($AM$11:$AM$4010,MATCH(558,$AZ$11:$AZ$4010,0)),"")</f>
        <v/>
      </c>
      <c r="AF568" s="25" t="str">
        <f>IF(AE568="","",IFERROR(INDEX($AN$11:$AN$4010,MATCH(558,$AZ$11:$AZ$4010,0)),""))</f>
        <v/>
      </c>
      <c r="AG568" s="25" t="str">
        <f>IF(AE568="","",IFERROR(INDEX($AO$11:$AO$4010,MATCH(558,$AZ$11:$AZ$4010,0)),""))</f>
        <v/>
      </c>
      <c r="AH568" s="24" t="str">
        <f>IF(AE568="","",IFERROR(INDEX($AQ$11:$AQ$4010,MATCH(558,$AZ$11:$AZ$4010,0)),""))</f>
        <v/>
      </c>
      <c r="AI568" s="29" t="str">
        <f>IF(AE568="","",IFERROR(INDEX($AR$11:$AR$4010,MATCH(558,$AZ$11:$AZ$4010,0)),""))</f>
        <v/>
      </c>
      <c r="AJ568" s="29" t="str">
        <f>IF(AE568="","",IFERROR(INDEX($AT$11:$AT$4010,MATCH(558,$AZ$11:$AZ$4010,0)),""))</f>
        <v/>
      </c>
      <c r="AL568" s="31"/>
      <c r="AM568" s="26"/>
      <c r="AN568" s="32"/>
      <c r="AO568" s="32"/>
      <c r="AP568" s="24"/>
      <c r="AQ568" s="24"/>
      <c r="AR568" s="33"/>
      <c r="AS568" s="34"/>
      <c r="AT568" s="33"/>
      <c r="AV568" s="21">
        <f>IF(AND($AL568&lt;&gt;"",COUNTIF($AL$11:$AL568,$AL568)=1),1,0)</f>
        <v>0</v>
      </c>
      <c r="AW568" s="21">
        <f t="shared" si="103"/>
        <v>0</v>
      </c>
      <c r="AX568" s="21" t="str">
        <f t="shared" si="102"/>
        <v/>
      </c>
      <c r="AY568" s="21" t="str">
        <f>IF(AND($AM568&lt;&gt;"",$AS568&lt;&gt;"✓"),SUMPRODUCT(($AM$11:$AM568&lt;&gt;"")*($AS$11:$AS568&lt;&gt;"✓")),"")</f>
        <v/>
      </c>
      <c r="AZ568" s="21" t="str">
        <f>IF(AND($AM568&lt;&gt;"",$AS568="✓"),SUMPRODUCT(($AM$11:$AM568&lt;&gt;"")*($AS$11:$AS568="✓")),"")</f>
        <v/>
      </c>
      <c r="BA568" s="21" t="str">
        <f>IF($AL568="","",$AL568&amp;"|"&amp;COUNTIF($AL$11:$AL568,$AL568))</f>
        <v/>
      </c>
    </row>
    <row r="569" spans="23:53" ht="15" customHeight="1" x14ac:dyDescent="0.25">
      <c r="W569" s="14" t="str">
        <f>IF(X569="","",IFERROR(INDEX($AL$11:$AL$4010,MATCH(559,$AY$11:$AY$4010,0)),""))</f>
        <v/>
      </c>
      <c r="X569" s="12" t="str">
        <f>IFERROR(INDEX($AM$11:$AM$4010,MATCH(559,$AY$11:$AY$4010,0)),"")</f>
        <v/>
      </c>
      <c r="Y569" s="11" t="str">
        <f>IF(X569="","",IFERROR(INDEX($AN$11:$AN$4010,MATCH(559,$AY$11:$AY$4010,0)),""))</f>
        <v/>
      </c>
      <c r="Z569" s="11" t="str">
        <f>IF(X569="","",IFERROR(INDEX($AO$11:$AO$4010,MATCH(559,$AY$11:$AY$4010,0)),""))</f>
        <v/>
      </c>
      <c r="AA569" s="10" t="str">
        <f>IF(X569="","",IFERROR(INDEX($AQ$11:$AQ$4010,MATCH(559,$AY$11:$AY$4010,0)),""))</f>
        <v/>
      </c>
      <c r="AB569" s="15" t="str">
        <f>IF(X569="","",IFERROR(INDEX($AR$11:$AR$4010,MATCH(559,$AY$11:$AY$4010,0)),""))</f>
        <v/>
      </c>
      <c r="AD569" s="16" t="str">
        <f>IF(AE569="","",IFERROR(INDEX($AL$11:$AL$4010,MATCH(559,$AZ$11:$AZ$4010,0)),""))</f>
        <v/>
      </c>
      <c r="AE569" s="12" t="str">
        <f>IFERROR(INDEX($AM$11:$AM$4010,MATCH(559,$AZ$11:$AZ$4010,0)),"")</f>
        <v/>
      </c>
      <c r="AF569" s="11" t="str">
        <f>IF(AE569="","",IFERROR(INDEX($AN$11:$AN$4010,MATCH(559,$AZ$11:$AZ$4010,0)),""))</f>
        <v/>
      </c>
      <c r="AG569" s="11" t="str">
        <f>IF(AE569="","",IFERROR(INDEX($AO$11:$AO$4010,MATCH(559,$AZ$11:$AZ$4010,0)),""))</f>
        <v/>
      </c>
      <c r="AH569" s="10" t="str">
        <f>IF(AE569="","",IFERROR(INDEX($AQ$11:$AQ$4010,MATCH(559,$AZ$11:$AZ$4010,0)),""))</f>
        <v/>
      </c>
      <c r="AI569" s="15" t="str">
        <f>IF(AE569="","",IFERROR(INDEX($AR$11:$AR$4010,MATCH(559,$AZ$11:$AZ$4010,0)),""))</f>
        <v/>
      </c>
      <c r="AJ569" s="15" t="str">
        <f>IF(AE569="","",IFERROR(INDEX($AT$11:$AT$4010,MATCH(559,$AZ$11:$AZ$4010,0)),""))</f>
        <v/>
      </c>
      <c r="AL569" s="17"/>
      <c r="AM569" s="12"/>
      <c r="AN569" s="18"/>
      <c r="AO569" s="18"/>
      <c r="AP569" s="10"/>
      <c r="AQ569" s="10"/>
      <c r="AR569" s="19"/>
      <c r="AS569" s="20"/>
      <c r="AT569" s="19"/>
      <c r="AV569" s="21">
        <f>IF(AND($AL569&lt;&gt;"",COUNTIF($AL$11:$AL569,$AL569)=1),1,0)</f>
        <v>0</v>
      </c>
      <c r="AW569" s="21">
        <f t="shared" si="103"/>
        <v>0</v>
      </c>
      <c r="AX569" s="21" t="str">
        <f t="shared" si="102"/>
        <v/>
      </c>
      <c r="AY569" s="21" t="str">
        <f>IF(AND($AM569&lt;&gt;"",$AS569&lt;&gt;"✓"),SUMPRODUCT(($AM$11:$AM569&lt;&gt;"")*($AS$11:$AS569&lt;&gt;"✓")),"")</f>
        <v/>
      </c>
      <c r="AZ569" s="21" t="str">
        <f>IF(AND($AM569&lt;&gt;"",$AS569="✓"),SUMPRODUCT(($AM$11:$AM569&lt;&gt;"")*($AS$11:$AS569="✓")),"")</f>
        <v/>
      </c>
      <c r="BA569" s="21" t="str">
        <f>IF($AL569="","",$AL569&amp;"|"&amp;COUNTIF($AL$11:$AL569,$AL569))</f>
        <v/>
      </c>
    </row>
    <row r="570" spans="23:53" ht="15" customHeight="1" x14ac:dyDescent="0.25">
      <c r="W570" s="28" t="str">
        <f>IF(X570="","",IFERROR(INDEX($AL$11:$AL$4010,MATCH(560,$AY$11:$AY$4010,0)),""))</f>
        <v/>
      </c>
      <c r="X570" s="26" t="str">
        <f>IFERROR(INDEX($AM$11:$AM$4010,MATCH(560,$AY$11:$AY$4010,0)),"")</f>
        <v/>
      </c>
      <c r="Y570" s="25" t="str">
        <f>IF(X570="","",IFERROR(INDEX($AN$11:$AN$4010,MATCH(560,$AY$11:$AY$4010,0)),""))</f>
        <v/>
      </c>
      <c r="Z570" s="25" t="str">
        <f>IF(X570="","",IFERROR(INDEX($AO$11:$AO$4010,MATCH(560,$AY$11:$AY$4010,0)),""))</f>
        <v/>
      </c>
      <c r="AA570" s="24" t="str">
        <f>IF(X570="","",IFERROR(INDEX($AQ$11:$AQ$4010,MATCH(560,$AY$11:$AY$4010,0)),""))</f>
        <v/>
      </c>
      <c r="AB570" s="29" t="str">
        <f>IF(X570="","",IFERROR(INDEX($AR$11:$AR$4010,MATCH(560,$AY$11:$AY$4010,0)),""))</f>
        <v/>
      </c>
      <c r="AD570" s="30" t="str">
        <f>IF(AE570="","",IFERROR(INDEX($AL$11:$AL$4010,MATCH(560,$AZ$11:$AZ$4010,0)),""))</f>
        <v/>
      </c>
      <c r="AE570" s="26" t="str">
        <f>IFERROR(INDEX($AM$11:$AM$4010,MATCH(560,$AZ$11:$AZ$4010,0)),"")</f>
        <v/>
      </c>
      <c r="AF570" s="25" t="str">
        <f>IF(AE570="","",IFERROR(INDEX($AN$11:$AN$4010,MATCH(560,$AZ$11:$AZ$4010,0)),""))</f>
        <v/>
      </c>
      <c r="AG570" s="25" t="str">
        <f>IF(AE570="","",IFERROR(INDEX($AO$11:$AO$4010,MATCH(560,$AZ$11:$AZ$4010,0)),""))</f>
        <v/>
      </c>
      <c r="AH570" s="24" t="str">
        <f>IF(AE570="","",IFERROR(INDEX($AQ$11:$AQ$4010,MATCH(560,$AZ$11:$AZ$4010,0)),""))</f>
        <v/>
      </c>
      <c r="AI570" s="29" t="str">
        <f>IF(AE570="","",IFERROR(INDEX($AR$11:$AR$4010,MATCH(560,$AZ$11:$AZ$4010,0)),""))</f>
        <v/>
      </c>
      <c r="AJ570" s="29" t="str">
        <f>IF(AE570="","",IFERROR(INDEX($AT$11:$AT$4010,MATCH(560,$AZ$11:$AZ$4010,0)),""))</f>
        <v/>
      </c>
      <c r="AL570" s="31"/>
      <c r="AM570" s="26"/>
      <c r="AN570" s="32"/>
      <c r="AO570" s="32"/>
      <c r="AP570" s="24"/>
      <c r="AQ570" s="24"/>
      <c r="AR570" s="33"/>
      <c r="AS570" s="34"/>
      <c r="AT570" s="33"/>
      <c r="AV570" s="21">
        <f>IF(AND($AL570&lt;&gt;"",COUNTIF($AL$11:$AL570,$AL570)=1),1,0)</f>
        <v>0</v>
      </c>
      <c r="AW570" s="21">
        <f t="shared" si="103"/>
        <v>0</v>
      </c>
      <c r="AX570" s="21" t="str">
        <f t="shared" si="102"/>
        <v/>
      </c>
      <c r="AY570" s="21" t="str">
        <f>IF(AND($AM570&lt;&gt;"",$AS570&lt;&gt;"✓"),SUMPRODUCT(($AM$11:$AM570&lt;&gt;"")*($AS$11:$AS570&lt;&gt;"✓")),"")</f>
        <v/>
      </c>
      <c r="AZ570" s="21" t="str">
        <f>IF(AND($AM570&lt;&gt;"",$AS570="✓"),SUMPRODUCT(($AM$11:$AM570&lt;&gt;"")*($AS$11:$AS570="✓")),"")</f>
        <v/>
      </c>
      <c r="BA570" s="21" t="str">
        <f>IF($AL570="","",$AL570&amp;"|"&amp;COUNTIF($AL$11:$AL570,$AL570))</f>
        <v/>
      </c>
    </row>
    <row r="571" spans="23:53" ht="15" customHeight="1" x14ac:dyDescent="0.25">
      <c r="W571" s="14" t="str">
        <f>IF(X571="","",IFERROR(INDEX($AL$11:$AL$4010,MATCH(561,$AY$11:$AY$4010,0)),""))</f>
        <v/>
      </c>
      <c r="X571" s="12" t="str">
        <f>IFERROR(INDEX($AM$11:$AM$4010,MATCH(561,$AY$11:$AY$4010,0)),"")</f>
        <v/>
      </c>
      <c r="Y571" s="11" t="str">
        <f>IF(X571="","",IFERROR(INDEX($AN$11:$AN$4010,MATCH(561,$AY$11:$AY$4010,0)),""))</f>
        <v/>
      </c>
      <c r="Z571" s="11" t="str">
        <f>IF(X571="","",IFERROR(INDEX($AO$11:$AO$4010,MATCH(561,$AY$11:$AY$4010,0)),""))</f>
        <v/>
      </c>
      <c r="AA571" s="10" t="str">
        <f>IF(X571="","",IFERROR(INDEX($AQ$11:$AQ$4010,MATCH(561,$AY$11:$AY$4010,0)),""))</f>
        <v/>
      </c>
      <c r="AB571" s="15" t="str">
        <f>IF(X571="","",IFERROR(INDEX($AR$11:$AR$4010,MATCH(561,$AY$11:$AY$4010,0)),""))</f>
        <v/>
      </c>
      <c r="AD571" s="16" t="str">
        <f>IF(AE571="","",IFERROR(INDEX($AL$11:$AL$4010,MATCH(561,$AZ$11:$AZ$4010,0)),""))</f>
        <v/>
      </c>
      <c r="AE571" s="12" t="str">
        <f>IFERROR(INDEX($AM$11:$AM$4010,MATCH(561,$AZ$11:$AZ$4010,0)),"")</f>
        <v/>
      </c>
      <c r="AF571" s="11" t="str">
        <f>IF(AE571="","",IFERROR(INDEX($AN$11:$AN$4010,MATCH(561,$AZ$11:$AZ$4010,0)),""))</f>
        <v/>
      </c>
      <c r="AG571" s="11" t="str">
        <f>IF(AE571="","",IFERROR(INDEX($AO$11:$AO$4010,MATCH(561,$AZ$11:$AZ$4010,0)),""))</f>
        <v/>
      </c>
      <c r="AH571" s="10" t="str">
        <f>IF(AE571="","",IFERROR(INDEX($AQ$11:$AQ$4010,MATCH(561,$AZ$11:$AZ$4010,0)),""))</f>
        <v/>
      </c>
      <c r="AI571" s="15" t="str">
        <f>IF(AE571="","",IFERROR(INDEX($AR$11:$AR$4010,MATCH(561,$AZ$11:$AZ$4010,0)),""))</f>
        <v/>
      </c>
      <c r="AJ571" s="15" t="str">
        <f>IF(AE571="","",IFERROR(INDEX($AT$11:$AT$4010,MATCH(561,$AZ$11:$AZ$4010,0)),""))</f>
        <v/>
      </c>
      <c r="AL571" s="17"/>
      <c r="AM571" s="12"/>
      <c r="AN571" s="18"/>
      <c r="AO571" s="18"/>
      <c r="AP571" s="10"/>
      <c r="AQ571" s="10"/>
      <c r="AR571" s="19"/>
      <c r="AS571" s="20"/>
      <c r="AT571" s="19"/>
      <c r="AV571" s="21">
        <f>IF(AND($AL571&lt;&gt;"",COUNTIF($AL$11:$AL571,$AL571)=1),1,0)</f>
        <v>0</v>
      </c>
      <c r="AW571" s="21">
        <f t="shared" si="103"/>
        <v>0</v>
      </c>
      <c r="AX571" s="21" t="str">
        <f t="shared" si="102"/>
        <v/>
      </c>
      <c r="AY571" s="21" t="str">
        <f>IF(AND($AM571&lt;&gt;"",$AS571&lt;&gt;"✓"),SUMPRODUCT(($AM$11:$AM571&lt;&gt;"")*($AS$11:$AS571&lt;&gt;"✓")),"")</f>
        <v/>
      </c>
      <c r="AZ571" s="21" t="str">
        <f>IF(AND($AM571&lt;&gt;"",$AS571="✓"),SUMPRODUCT(($AM$11:$AM571&lt;&gt;"")*($AS$11:$AS571="✓")),"")</f>
        <v/>
      </c>
      <c r="BA571" s="21" t="str">
        <f>IF($AL571="","",$AL571&amp;"|"&amp;COUNTIF($AL$11:$AL571,$AL571))</f>
        <v/>
      </c>
    </row>
    <row r="572" spans="23:53" ht="15" customHeight="1" x14ac:dyDescent="0.25">
      <c r="W572" s="28" t="str">
        <f>IF(X572="","",IFERROR(INDEX($AL$11:$AL$4010,MATCH(562,$AY$11:$AY$4010,0)),""))</f>
        <v/>
      </c>
      <c r="X572" s="26" t="str">
        <f>IFERROR(INDEX($AM$11:$AM$4010,MATCH(562,$AY$11:$AY$4010,0)),"")</f>
        <v/>
      </c>
      <c r="Y572" s="25" t="str">
        <f>IF(X572="","",IFERROR(INDEX($AN$11:$AN$4010,MATCH(562,$AY$11:$AY$4010,0)),""))</f>
        <v/>
      </c>
      <c r="Z572" s="25" t="str">
        <f>IF(X572="","",IFERROR(INDEX($AO$11:$AO$4010,MATCH(562,$AY$11:$AY$4010,0)),""))</f>
        <v/>
      </c>
      <c r="AA572" s="24" t="str">
        <f>IF(X572="","",IFERROR(INDEX($AQ$11:$AQ$4010,MATCH(562,$AY$11:$AY$4010,0)),""))</f>
        <v/>
      </c>
      <c r="AB572" s="29" t="str">
        <f>IF(X572="","",IFERROR(INDEX($AR$11:$AR$4010,MATCH(562,$AY$11:$AY$4010,0)),""))</f>
        <v/>
      </c>
      <c r="AD572" s="30" t="str">
        <f>IF(AE572="","",IFERROR(INDEX($AL$11:$AL$4010,MATCH(562,$AZ$11:$AZ$4010,0)),""))</f>
        <v/>
      </c>
      <c r="AE572" s="26" t="str">
        <f>IFERROR(INDEX($AM$11:$AM$4010,MATCH(562,$AZ$11:$AZ$4010,0)),"")</f>
        <v/>
      </c>
      <c r="AF572" s="25" t="str">
        <f>IF(AE572="","",IFERROR(INDEX($AN$11:$AN$4010,MATCH(562,$AZ$11:$AZ$4010,0)),""))</f>
        <v/>
      </c>
      <c r="AG572" s="25" t="str">
        <f>IF(AE572="","",IFERROR(INDEX($AO$11:$AO$4010,MATCH(562,$AZ$11:$AZ$4010,0)),""))</f>
        <v/>
      </c>
      <c r="AH572" s="24" t="str">
        <f>IF(AE572="","",IFERROR(INDEX($AQ$11:$AQ$4010,MATCH(562,$AZ$11:$AZ$4010,0)),""))</f>
        <v/>
      </c>
      <c r="AI572" s="29" t="str">
        <f>IF(AE572="","",IFERROR(INDEX($AR$11:$AR$4010,MATCH(562,$AZ$11:$AZ$4010,0)),""))</f>
        <v/>
      </c>
      <c r="AJ572" s="29" t="str">
        <f>IF(AE572="","",IFERROR(INDEX($AT$11:$AT$4010,MATCH(562,$AZ$11:$AZ$4010,0)),""))</f>
        <v/>
      </c>
      <c r="AL572" s="31"/>
      <c r="AM572" s="26"/>
      <c r="AN572" s="32"/>
      <c r="AO572" s="32"/>
      <c r="AP572" s="24"/>
      <c r="AQ572" s="24"/>
      <c r="AR572" s="33"/>
      <c r="AS572" s="34"/>
      <c r="AT572" s="33"/>
      <c r="AV572" s="21">
        <f>IF(AND($AL572&lt;&gt;"",COUNTIF($AL$11:$AL572,$AL572)=1),1,0)</f>
        <v>0</v>
      </c>
      <c r="AW572" s="21">
        <f t="shared" si="103"/>
        <v>0</v>
      </c>
      <c r="AX572" s="21" t="str">
        <f t="shared" si="102"/>
        <v/>
      </c>
      <c r="AY572" s="21" t="str">
        <f>IF(AND($AM572&lt;&gt;"",$AS572&lt;&gt;"✓"),SUMPRODUCT(($AM$11:$AM572&lt;&gt;"")*($AS$11:$AS572&lt;&gt;"✓")),"")</f>
        <v/>
      </c>
      <c r="AZ572" s="21" t="str">
        <f>IF(AND($AM572&lt;&gt;"",$AS572="✓"),SUMPRODUCT(($AM$11:$AM572&lt;&gt;"")*($AS$11:$AS572="✓")),"")</f>
        <v/>
      </c>
      <c r="BA572" s="21" t="str">
        <f>IF($AL572="","",$AL572&amp;"|"&amp;COUNTIF($AL$11:$AL572,$AL572))</f>
        <v/>
      </c>
    </row>
    <row r="573" spans="23:53" ht="15" customHeight="1" x14ac:dyDescent="0.25">
      <c r="W573" s="14" t="str">
        <f>IF(X573="","",IFERROR(INDEX($AL$11:$AL$4010,MATCH(563,$AY$11:$AY$4010,0)),""))</f>
        <v/>
      </c>
      <c r="X573" s="12" t="str">
        <f>IFERROR(INDEX($AM$11:$AM$4010,MATCH(563,$AY$11:$AY$4010,0)),"")</f>
        <v/>
      </c>
      <c r="Y573" s="11" t="str">
        <f>IF(X573="","",IFERROR(INDEX($AN$11:$AN$4010,MATCH(563,$AY$11:$AY$4010,0)),""))</f>
        <v/>
      </c>
      <c r="Z573" s="11" t="str">
        <f>IF(X573="","",IFERROR(INDEX($AO$11:$AO$4010,MATCH(563,$AY$11:$AY$4010,0)),""))</f>
        <v/>
      </c>
      <c r="AA573" s="10" t="str">
        <f>IF(X573="","",IFERROR(INDEX($AQ$11:$AQ$4010,MATCH(563,$AY$11:$AY$4010,0)),""))</f>
        <v/>
      </c>
      <c r="AB573" s="15" t="str">
        <f>IF(X573="","",IFERROR(INDEX($AR$11:$AR$4010,MATCH(563,$AY$11:$AY$4010,0)),""))</f>
        <v/>
      </c>
      <c r="AD573" s="16" t="str">
        <f>IF(AE573="","",IFERROR(INDEX($AL$11:$AL$4010,MATCH(563,$AZ$11:$AZ$4010,0)),""))</f>
        <v/>
      </c>
      <c r="AE573" s="12" t="str">
        <f>IFERROR(INDEX($AM$11:$AM$4010,MATCH(563,$AZ$11:$AZ$4010,0)),"")</f>
        <v/>
      </c>
      <c r="AF573" s="11" t="str">
        <f>IF(AE573="","",IFERROR(INDEX($AN$11:$AN$4010,MATCH(563,$AZ$11:$AZ$4010,0)),""))</f>
        <v/>
      </c>
      <c r="AG573" s="11" t="str">
        <f>IF(AE573="","",IFERROR(INDEX($AO$11:$AO$4010,MATCH(563,$AZ$11:$AZ$4010,0)),""))</f>
        <v/>
      </c>
      <c r="AH573" s="10" t="str">
        <f>IF(AE573="","",IFERROR(INDEX($AQ$11:$AQ$4010,MATCH(563,$AZ$11:$AZ$4010,0)),""))</f>
        <v/>
      </c>
      <c r="AI573" s="15" t="str">
        <f>IF(AE573="","",IFERROR(INDEX($AR$11:$AR$4010,MATCH(563,$AZ$11:$AZ$4010,0)),""))</f>
        <v/>
      </c>
      <c r="AJ573" s="15" t="str">
        <f>IF(AE573="","",IFERROR(INDEX($AT$11:$AT$4010,MATCH(563,$AZ$11:$AZ$4010,0)),""))</f>
        <v/>
      </c>
      <c r="AL573" s="17"/>
      <c r="AM573" s="12"/>
      <c r="AN573" s="18"/>
      <c r="AO573" s="18"/>
      <c r="AP573" s="10"/>
      <c r="AQ573" s="10"/>
      <c r="AR573" s="19"/>
      <c r="AS573" s="20"/>
      <c r="AT573" s="19"/>
      <c r="AV573" s="21">
        <f>IF(AND($AL573&lt;&gt;"",COUNTIF($AL$11:$AL573,$AL573)=1),1,0)</f>
        <v>0</v>
      </c>
      <c r="AW573" s="21">
        <f t="shared" si="103"/>
        <v>0</v>
      </c>
      <c r="AX573" s="21" t="str">
        <f t="shared" si="102"/>
        <v/>
      </c>
      <c r="AY573" s="21" t="str">
        <f>IF(AND($AM573&lt;&gt;"",$AS573&lt;&gt;"✓"),SUMPRODUCT(($AM$11:$AM573&lt;&gt;"")*($AS$11:$AS573&lt;&gt;"✓")),"")</f>
        <v/>
      </c>
      <c r="AZ573" s="21" t="str">
        <f>IF(AND($AM573&lt;&gt;"",$AS573="✓"),SUMPRODUCT(($AM$11:$AM573&lt;&gt;"")*($AS$11:$AS573="✓")),"")</f>
        <v/>
      </c>
      <c r="BA573" s="21" t="str">
        <f>IF($AL573="","",$AL573&amp;"|"&amp;COUNTIF($AL$11:$AL573,$AL573))</f>
        <v/>
      </c>
    </row>
    <row r="574" spans="23:53" ht="15" customHeight="1" x14ac:dyDescent="0.25">
      <c r="W574" s="28" t="str">
        <f>IF(X574="","",IFERROR(INDEX($AL$11:$AL$4010,MATCH(564,$AY$11:$AY$4010,0)),""))</f>
        <v/>
      </c>
      <c r="X574" s="26" t="str">
        <f>IFERROR(INDEX($AM$11:$AM$4010,MATCH(564,$AY$11:$AY$4010,0)),"")</f>
        <v/>
      </c>
      <c r="Y574" s="25" t="str">
        <f>IF(X574="","",IFERROR(INDEX($AN$11:$AN$4010,MATCH(564,$AY$11:$AY$4010,0)),""))</f>
        <v/>
      </c>
      <c r="Z574" s="25" t="str">
        <f>IF(X574="","",IFERROR(INDEX($AO$11:$AO$4010,MATCH(564,$AY$11:$AY$4010,0)),""))</f>
        <v/>
      </c>
      <c r="AA574" s="24" t="str">
        <f>IF(X574="","",IFERROR(INDEX($AQ$11:$AQ$4010,MATCH(564,$AY$11:$AY$4010,0)),""))</f>
        <v/>
      </c>
      <c r="AB574" s="29" t="str">
        <f>IF(X574="","",IFERROR(INDEX($AR$11:$AR$4010,MATCH(564,$AY$11:$AY$4010,0)),""))</f>
        <v/>
      </c>
      <c r="AD574" s="30" t="str">
        <f>IF(AE574="","",IFERROR(INDEX($AL$11:$AL$4010,MATCH(564,$AZ$11:$AZ$4010,0)),""))</f>
        <v/>
      </c>
      <c r="AE574" s="26" t="str">
        <f>IFERROR(INDEX($AM$11:$AM$4010,MATCH(564,$AZ$11:$AZ$4010,0)),"")</f>
        <v/>
      </c>
      <c r="AF574" s="25" t="str">
        <f>IF(AE574="","",IFERROR(INDEX($AN$11:$AN$4010,MATCH(564,$AZ$11:$AZ$4010,0)),""))</f>
        <v/>
      </c>
      <c r="AG574" s="25" t="str">
        <f>IF(AE574="","",IFERROR(INDEX($AO$11:$AO$4010,MATCH(564,$AZ$11:$AZ$4010,0)),""))</f>
        <v/>
      </c>
      <c r="AH574" s="24" t="str">
        <f>IF(AE574="","",IFERROR(INDEX($AQ$11:$AQ$4010,MATCH(564,$AZ$11:$AZ$4010,0)),""))</f>
        <v/>
      </c>
      <c r="AI574" s="29" t="str">
        <f>IF(AE574="","",IFERROR(INDEX($AR$11:$AR$4010,MATCH(564,$AZ$11:$AZ$4010,0)),""))</f>
        <v/>
      </c>
      <c r="AJ574" s="29" t="str">
        <f>IF(AE574="","",IFERROR(INDEX($AT$11:$AT$4010,MATCH(564,$AZ$11:$AZ$4010,0)),""))</f>
        <v/>
      </c>
      <c r="AL574" s="31"/>
      <c r="AM574" s="26"/>
      <c r="AN574" s="32"/>
      <c r="AO574" s="32"/>
      <c r="AP574" s="24"/>
      <c r="AQ574" s="24"/>
      <c r="AR574" s="33"/>
      <c r="AS574" s="34"/>
      <c r="AT574" s="33"/>
      <c r="AV574" s="21">
        <f>IF(AND($AL574&lt;&gt;"",COUNTIF($AL$11:$AL574,$AL574)=1),1,0)</f>
        <v>0</v>
      </c>
      <c r="AW574" s="21">
        <f t="shared" si="103"/>
        <v>0</v>
      </c>
      <c r="AX574" s="21" t="str">
        <f t="shared" si="102"/>
        <v/>
      </c>
      <c r="AY574" s="21" t="str">
        <f>IF(AND($AM574&lt;&gt;"",$AS574&lt;&gt;"✓"),SUMPRODUCT(($AM$11:$AM574&lt;&gt;"")*($AS$11:$AS574&lt;&gt;"✓")),"")</f>
        <v/>
      </c>
      <c r="AZ574" s="21" t="str">
        <f>IF(AND($AM574&lt;&gt;"",$AS574="✓"),SUMPRODUCT(($AM$11:$AM574&lt;&gt;"")*($AS$11:$AS574="✓")),"")</f>
        <v/>
      </c>
      <c r="BA574" s="21" t="str">
        <f>IF($AL574="","",$AL574&amp;"|"&amp;COUNTIF($AL$11:$AL574,$AL574))</f>
        <v/>
      </c>
    </row>
    <row r="575" spans="23:53" ht="15" customHeight="1" x14ac:dyDescent="0.25">
      <c r="W575" s="14" t="str">
        <f>IF(X575="","",IFERROR(INDEX($AL$11:$AL$4010,MATCH(565,$AY$11:$AY$4010,0)),""))</f>
        <v/>
      </c>
      <c r="X575" s="12" t="str">
        <f>IFERROR(INDEX($AM$11:$AM$4010,MATCH(565,$AY$11:$AY$4010,0)),"")</f>
        <v/>
      </c>
      <c r="Y575" s="11" t="str">
        <f>IF(X575="","",IFERROR(INDEX($AN$11:$AN$4010,MATCH(565,$AY$11:$AY$4010,0)),""))</f>
        <v/>
      </c>
      <c r="Z575" s="11" t="str">
        <f>IF(X575="","",IFERROR(INDEX($AO$11:$AO$4010,MATCH(565,$AY$11:$AY$4010,0)),""))</f>
        <v/>
      </c>
      <c r="AA575" s="10" t="str">
        <f>IF(X575="","",IFERROR(INDEX($AQ$11:$AQ$4010,MATCH(565,$AY$11:$AY$4010,0)),""))</f>
        <v/>
      </c>
      <c r="AB575" s="15" t="str">
        <f>IF(X575="","",IFERROR(INDEX($AR$11:$AR$4010,MATCH(565,$AY$11:$AY$4010,0)),""))</f>
        <v/>
      </c>
      <c r="AD575" s="16" t="str">
        <f>IF(AE575="","",IFERROR(INDEX($AL$11:$AL$4010,MATCH(565,$AZ$11:$AZ$4010,0)),""))</f>
        <v/>
      </c>
      <c r="AE575" s="12" t="str">
        <f>IFERROR(INDEX($AM$11:$AM$4010,MATCH(565,$AZ$11:$AZ$4010,0)),"")</f>
        <v/>
      </c>
      <c r="AF575" s="11" t="str">
        <f>IF(AE575="","",IFERROR(INDEX($AN$11:$AN$4010,MATCH(565,$AZ$11:$AZ$4010,0)),""))</f>
        <v/>
      </c>
      <c r="AG575" s="11" t="str">
        <f>IF(AE575="","",IFERROR(INDEX($AO$11:$AO$4010,MATCH(565,$AZ$11:$AZ$4010,0)),""))</f>
        <v/>
      </c>
      <c r="AH575" s="10" t="str">
        <f>IF(AE575="","",IFERROR(INDEX($AQ$11:$AQ$4010,MATCH(565,$AZ$11:$AZ$4010,0)),""))</f>
        <v/>
      </c>
      <c r="AI575" s="15" t="str">
        <f>IF(AE575="","",IFERROR(INDEX($AR$11:$AR$4010,MATCH(565,$AZ$11:$AZ$4010,0)),""))</f>
        <v/>
      </c>
      <c r="AJ575" s="15" t="str">
        <f>IF(AE575="","",IFERROR(INDEX($AT$11:$AT$4010,MATCH(565,$AZ$11:$AZ$4010,0)),""))</f>
        <v/>
      </c>
      <c r="AL575" s="17"/>
      <c r="AM575" s="12"/>
      <c r="AN575" s="18"/>
      <c r="AO575" s="18"/>
      <c r="AP575" s="10"/>
      <c r="AQ575" s="10"/>
      <c r="AR575" s="19"/>
      <c r="AS575" s="20"/>
      <c r="AT575" s="19"/>
      <c r="AV575" s="21">
        <f>IF(AND($AL575&lt;&gt;"",COUNTIF($AL$11:$AL575,$AL575)=1),1,0)</f>
        <v>0</v>
      </c>
      <c r="AW575" s="21">
        <f t="shared" si="103"/>
        <v>0</v>
      </c>
      <c r="AX575" s="21" t="str">
        <f t="shared" si="102"/>
        <v/>
      </c>
      <c r="AY575" s="21" t="str">
        <f>IF(AND($AM575&lt;&gt;"",$AS575&lt;&gt;"✓"),SUMPRODUCT(($AM$11:$AM575&lt;&gt;"")*($AS$11:$AS575&lt;&gt;"✓")),"")</f>
        <v/>
      </c>
      <c r="AZ575" s="21" t="str">
        <f>IF(AND($AM575&lt;&gt;"",$AS575="✓"),SUMPRODUCT(($AM$11:$AM575&lt;&gt;"")*($AS$11:$AS575="✓")),"")</f>
        <v/>
      </c>
      <c r="BA575" s="21" t="str">
        <f>IF($AL575="","",$AL575&amp;"|"&amp;COUNTIF($AL$11:$AL575,$AL575))</f>
        <v/>
      </c>
    </row>
    <row r="576" spans="23:53" ht="15" customHeight="1" x14ac:dyDescent="0.25">
      <c r="W576" s="28" t="str">
        <f>IF(X576="","",IFERROR(INDEX($AL$11:$AL$4010,MATCH(566,$AY$11:$AY$4010,0)),""))</f>
        <v/>
      </c>
      <c r="X576" s="26" t="str">
        <f>IFERROR(INDEX($AM$11:$AM$4010,MATCH(566,$AY$11:$AY$4010,0)),"")</f>
        <v/>
      </c>
      <c r="Y576" s="25" t="str">
        <f>IF(X576="","",IFERROR(INDEX($AN$11:$AN$4010,MATCH(566,$AY$11:$AY$4010,0)),""))</f>
        <v/>
      </c>
      <c r="Z576" s="25" t="str">
        <f>IF(X576="","",IFERROR(INDEX($AO$11:$AO$4010,MATCH(566,$AY$11:$AY$4010,0)),""))</f>
        <v/>
      </c>
      <c r="AA576" s="24" t="str">
        <f>IF(X576="","",IFERROR(INDEX($AQ$11:$AQ$4010,MATCH(566,$AY$11:$AY$4010,0)),""))</f>
        <v/>
      </c>
      <c r="AB576" s="29" t="str">
        <f>IF(X576="","",IFERROR(INDEX($AR$11:$AR$4010,MATCH(566,$AY$11:$AY$4010,0)),""))</f>
        <v/>
      </c>
      <c r="AD576" s="30" t="str">
        <f>IF(AE576="","",IFERROR(INDEX($AL$11:$AL$4010,MATCH(566,$AZ$11:$AZ$4010,0)),""))</f>
        <v/>
      </c>
      <c r="AE576" s="26" t="str">
        <f>IFERROR(INDEX($AM$11:$AM$4010,MATCH(566,$AZ$11:$AZ$4010,0)),"")</f>
        <v/>
      </c>
      <c r="AF576" s="25" t="str">
        <f>IF(AE576="","",IFERROR(INDEX($AN$11:$AN$4010,MATCH(566,$AZ$11:$AZ$4010,0)),""))</f>
        <v/>
      </c>
      <c r="AG576" s="25" t="str">
        <f>IF(AE576="","",IFERROR(INDEX($AO$11:$AO$4010,MATCH(566,$AZ$11:$AZ$4010,0)),""))</f>
        <v/>
      </c>
      <c r="AH576" s="24" t="str">
        <f>IF(AE576="","",IFERROR(INDEX($AQ$11:$AQ$4010,MATCH(566,$AZ$11:$AZ$4010,0)),""))</f>
        <v/>
      </c>
      <c r="AI576" s="29" t="str">
        <f>IF(AE576="","",IFERROR(INDEX($AR$11:$AR$4010,MATCH(566,$AZ$11:$AZ$4010,0)),""))</f>
        <v/>
      </c>
      <c r="AJ576" s="29" t="str">
        <f>IF(AE576="","",IFERROR(INDEX($AT$11:$AT$4010,MATCH(566,$AZ$11:$AZ$4010,0)),""))</f>
        <v/>
      </c>
      <c r="AL576" s="31"/>
      <c r="AM576" s="26"/>
      <c r="AN576" s="32"/>
      <c r="AO576" s="32"/>
      <c r="AP576" s="24"/>
      <c r="AQ576" s="24"/>
      <c r="AR576" s="33"/>
      <c r="AS576" s="34"/>
      <c r="AT576" s="33"/>
      <c r="AV576" s="21">
        <f>IF(AND($AL576&lt;&gt;"",COUNTIF($AL$11:$AL576,$AL576)=1),1,0)</f>
        <v>0</v>
      </c>
      <c r="AW576" s="21">
        <f t="shared" si="103"/>
        <v>0</v>
      </c>
      <c r="AX576" s="21" t="str">
        <f t="shared" si="102"/>
        <v/>
      </c>
      <c r="AY576" s="21" t="str">
        <f>IF(AND($AM576&lt;&gt;"",$AS576&lt;&gt;"✓"),SUMPRODUCT(($AM$11:$AM576&lt;&gt;"")*($AS$11:$AS576&lt;&gt;"✓")),"")</f>
        <v/>
      </c>
      <c r="AZ576" s="21" t="str">
        <f>IF(AND($AM576&lt;&gt;"",$AS576="✓"),SUMPRODUCT(($AM$11:$AM576&lt;&gt;"")*($AS$11:$AS576="✓")),"")</f>
        <v/>
      </c>
      <c r="BA576" s="21" t="str">
        <f>IF($AL576="","",$AL576&amp;"|"&amp;COUNTIF($AL$11:$AL576,$AL576))</f>
        <v/>
      </c>
    </row>
    <row r="577" spans="23:53" ht="15" customHeight="1" x14ac:dyDescent="0.25">
      <c r="W577" s="14" t="str">
        <f>IF(X577="","",IFERROR(INDEX($AL$11:$AL$4010,MATCH(567,$AY$11:$AY$4010,0)),""))</f>
        <v/>
      </c>
      <c r="X577" s="12" t="str">
        <f>IFERROR(INDEX($AM$11:$AM$4010,MATCH(567,$AY$11:$AY$4010,0)),"")</f>
        <v/>
      </c>
      <c r="Y577" s="11" t="str">
        <f>IF(X577="","",IFERROR(INDEX($AN$11:$AN$4010,MATCH(567,$AY$11:$AY$4010,0)),""))</f>
        <v/>
      </c>
      <c r="Z577" s="11" t="str">
        <f>IF(X577="","",IFERROR(INDEX($AO$11:$AO$4010,MATCH(567,$AY$11:$AY$4010,0)),""))</f>
        <v/>
      </c>
      <c r="AA577" s="10" t="str">
        <f>IF(X577="","",IFERROR(INDEX($AQ$11:$AQ$4010,MATCH(567,$AY$11:$AY$4010,0)),""))</f>
        <v/>
      </c>
      <c r="AB577" s="15" t="str">
        <f>IF(X577="","",IFERROR(INDEX($AR$11:$AR$4010,MATCH(567,$AY$11:$AY$4010,0)),""))</f>
        <v/>
      </c>
      <c r="AD577" s="16" t="str">
        <f>IF(AE577="","",IFERROR(INDEX($AL$11:$AL$4010,MATCH(567,$AZ$11:$AZ$4010,0)),""))</f>
        <v/>
      </c>
      <c r="AE577" s="12" t="str">
        <f>IFERROR(INDEX($AM$11:$AM$4010,MATCH(567,$AZ$11:$AZ$4010,0)),"")</f>
        <v/>
      </c>
      <c r="AF577" s="11" t="str">
        <f>IF(AE577="","",IFERROR(INDEX($AN$11:$AN$4010,MATCH(567,$AZ$11:$AZ$4010,0)),""))</f>
        <v/>
      </c>
      <c r="AG577" s="11" t="str">
        <f>IF(AE577="","",IFERROR(INDEX($AO$11:$AO$4010,MATCH(567,$AZ$11:$AZ$4010,0)),""))</f>
        <v/>
      </c>
      <c r="AH577" s="10" t="str">
        <f>IF(AE577="","",IFERROR(INDEX($AQ$11:$AQ$4010,MATCH(567,$AZ$11:$AZ$4010,0)),""))</f>
        <v/>
      </c>
      <c r="AI577" s="15" t="str">
        <f>IF(AE577="","",IFERROR(INDEX($AR$11:$AR$4010,MATCH(567,$AZ$11:$AZ$4010,0)),""))</f>
        <v/>
      </c>
      <c r="AJ577" s="15" t="str">
        <f>IF(AE577="","",IFERROR(INDEX($AT$11:$AT$4010,MATCH(567,$AZ$11:$AZ$4010,0)),""))</f>
        <v/>
      </c>
      <c r="AL577" s="17"/>
      <c r="AM577" s="12"/>
      <c r="AN577" s="18"/>
      <c r="AO577" s="18"/>
      <c r="AP577" s="10"/>
      <c r="AQ577" s="10"/>
      <c r="AR577" s="19"/>
      <c r="AS577" s="20"/>
      <c r="AT577" s="19"/>
      <c r="AV577" s="21">
        <f>IF(AND($AL577&lt;&gt;"",COUNTIF($AL$11:$AL577,$AL577)=1),1,0)</f>
        <v>0</v>
      </c>
      <c r="AW577" s="21">
        <f t="shared" si="103"/>
        <v>0</v>
      </c>
      <c r="AX577" s="21" t="str">
        <f t="shared" si="102"/>
        <v/>
      </c>
      <c r="AY577" s="21" t="str">
        <f>IF(AND($AM577&lt;&gt;"",$AS577&lt;&gt;"✓"),SUMPRODUCT(($AM$11:$AM577&lt;&gt;"")*($AS$11:$AS577&lt;&gt;"✓")),"")</f>
        <v/>
      </c>
      <c r="AZ577" s="21" t="str">
        <f>IF(AND($AM577&lt;&gt;"",$AS577="✓"),SUMPRODUCT(($AM$11:$AM577&lt;&gt;"")*($AS$11:$AS577="✓")),"")</f>
        <v/>
      </c>
      <c r="BA577" s="21" t="str">
        <f>IF($AL577="","",$AL577&amp;"|"&amp;COUNTIF($AL$11:$AL577,$AL577))</f>
        <v/>
      </c>
    </row>
    <row r="578" spans="23:53" ht="15" customHeight="1" x14ac:dyDescent="0.25">
      <c r="W578" s="28" t="str">
        <f>IF(X578="","",IFERROR(INDEX($AL$11:$AL$4010,MATCH(568,$AY$11:$AY$4010,0)),""))</f>
        <v/>
      </c>
      <c r="X578" s="26" t="str">
        <f>IFERROR(INDEX($AM$11:$AM$4010,MATCH(568,$AY$11:$AY$4010,0)),"")</f>
        <v/>
      </c>
      <c r="Y578" s="25" t="str">
        <f>IF(X578="","",IFERROR(INDEX($AN$11:$AN$4010,MATCH(568,$AY$11:$AY$4010,0)),""))</f>
        <v/>
      </c>
      <c r="Z578" s="25" t="str">
        <f>IF(X578="","",IFERROR(INDEX($AO$11:$AO$4010,MATCH(568,$AY$11:$AY$4010,0)),""))</f>
        <v/>
      </c>
      <c r="AA578" s="24" t="str">
        <f>IF(X578="","",IFERROR(INDEX($AQ$11:$AQ$4010,MATCH(568,$AY$11:$AY$4010,0)),""))</f>
        <v/>
      </c>
      <c r="AB578" s="29" t="str">
        <f>IF(X578="","",IFERROR(INDEX($AR$11:$AR$4010,MATCH(568,$AY$11:$AY$4010,0)),""))</f>
        <v/>
      </c>
      <c r="AD578" s="30" t="str">
        <f>IF(AE578="","",IFERROR(INDEX($AL$11:$AL$4010,MATCH(568,$AZ$11:$AZ$4010,0)),""))</f>
        <v/>
      </c>
      <c r="AE578" s="26" t="str">
        <f>IFERROR(INDEX($AM$11:$AM$4010,MATCH(568,$AZ$11:$AZ$4010,0)),"")</f>
        <v/>
      </c>
      <c r="AF578" s="25" t="str">
        <f>IF(AE578="","",IFERROR(INDEX($AN$11:$AN$4010,MATCH(568,$AZ$11:$AZ$4010,0)),""))</f>
        <v/>
      </c>
      <c r="AG578" s="25" t="str">
        <f>IF(AE578="","",IFERROR(INDEX($AO$11:$AO$4010,MATCH(568,$AZ$11:$AZ$4010,0)),""))</f>
        <v/>
      </c>
      <c r="AH578" s="24" t="str">
        <f>IF(AE578="","",IFERROR(INDEX($AQ$11:$AQ$4010,MATCH(568,$AZ$11:$AZ$4010,0)),""))</f>
        <v/>
      </c>
      <c r="AI578" s="29" t="str">
        <f>IF(AE578="","",IFERROR(INDEX($AR$11:$AR$4010,MATCH(568,$AZ$11:$AZ$4010,0)),""))</f>
        <v/>
      </c>
      <c r="AJ578" s="29" t="str">
        <f>IF(AE578="","",IFERROR(INDEX($AT$11:$AT$4010,MATCH(568,$AZ$11:$AZ$4010,0)),""))</f>
        <v/>
      </c>
      <c r="AL578" s="31"/>
      <c r="AM578" s="26"/>
      <c r="AN578" s="32"/>
      <c r="AO578" s="32"/>
      <c r="AP578" s="24"/>
      <c r="AQ578" s="24"/>
      <c r="AR578" s="33"/>
      <c r="AS578" s="34"/>
      <c r="AT578" s="33"/>
      <c r="AV578" s="21">
        <f>IF(AND($AL578&lt;&gt;"",COUNTIF($AL$11:$AL578,$AL578)=1),1,0)</f>
        <v>0</v>
      </c>
      <c r="AW578" s="21">
        <f t="shared" si="103"/>
        <v>0</v>
      </c>
      <c r="AX578" s="21" t="str">
        <f t="shared" si="102"/>
        <v/>
      </c>
      <c r="AY578" s="21" t="str">
        <f>IF(AND($AM578&lt;&gt;"",$AS578&lt;&gt;"✓"),SUMPRODUCT(($AM$11:$AM578&lt;&gt;"")*($AS$11:$AS578&lt;&gt;"✓")),"")</f>
        <v/>
      </c>
      <c r="AZ578" s="21" t="str">
        <f>IF(AND($AM578&lt;&gt;"",$AS578="✓"),SUMPRODUCT(($AM$11:$AM578&lt;&gt;"")*($AS$11:$AS578="✓")),"")</f>
        <v/>
      </c>
      <c r="BA578" s="21" t="str">
        <f>IF($AL578="","",$AL578&amp;"|"&amp;COUNTIF($AL$11:$AL578,$AL578))</f>
        <v/>
      </c>
    </row>
    <row r="579" spans="23:53" ht="15" customHeight="1" x14ac:dyDescent="0.25">
      <c r="W579" s="14" t="str">
        <f>IF(X579="","",IFERROR(INDEX($AL$11:$AL$4010,MATCH(569,$AY$11:$AY$4010,0)),""))</f>
        <v/>
      </c>
      <c r="X579" s="12" t="str">
        <f>IFERROR(INDEX($AM$11:$AM$4010,MATCH(569,$AY$11:$AY$4010,0)),"")</f>
        <v/>
      </c>
      <c r="Y579" s="11" t="str">
        <f>IF(X579="","",IFERROR(INDEX($AN$11:$AN$4010,MATCH(569,$AY$11:$AY$4010,0)),""))</f>
        <v/>
      </c>
      <c r="Z579" s="11" t="str">
        <f>IF(X579="","",IFERROR(INDEX($AO$11:$AO$4010,MATCH(569,$AY$11:$AY$4010,0)),""))</f>
        <v/>
      </c>
      <c r="AA579" s="10" t="str">
        <f>IF(X579="","",IFERROR(INDEX($AQ$11:$AQ$4010,MATCH(569,$AY$11:$AY$4010,0)),""))</f>
        <v/>
      </c>
      <c r="AB579" s="15" t="str">
        <f>IF(X579="","",IFERROR(INDEX($AR$11:$AR$4010,MATCH(569,$AY$11:$AY$4010,0)),""))</f>
        <v/>
      </c>
      <c r="AD579" s="16" t="str">
        <f>IF(AE579="","",IFERROR(INDEX($AL$11:$AL$4010,MATCH(569,$AZ$11:$AZ$4010,0)),""))</f>
        <v/>
      </c>
      <c r="AE579" s="12" t="str">
        <f>IFERROR(INDEX($AM$11:$AM$4010,MATCH(569,$AZ$11:$AZ$4010,0)),"")</f>
        <v/>
      </c>
      <c r="AF579" s="11" t="str">
        <f>IF(AE579="","",IFERROR(INDEX($AN$11:$AN$4010,MATCH(569,$AZ$11:$AZ$4010,0)),""))</f>
        <v/>
      </c>
      <c r="AG579" s="11" t="str">
        <f>IF(AE579="","",IFERROR(INDEX($AO$11:$AO$4010,MATCH(569,$AZ$11:$AZ$4010,0)),""))</f>
        <v/>
      </c>
      <c r="AH579" s="10" t="str">
        <f>IF(AE579="","",IFERROR(INDEX($AQ$11:$AQ$4010,MATCH(569,$AZ$11:$AZ$4010,0)),""))</f>
        <v/>
      </c>
      <c r="AI579" s="15" t="str">
        <f>IF(AE579="","",IFERROR(INDEX($AR$11:$AR$4010,MATCH(569,$AZ$11:$AZ$4010,0)),""))</f>
        <v/>
      </c>
      <c r="AJ579" s="15" t="str">
        <f>IF(AE579="","",IFERROR(INDEX($AT$11:$AT$4010,MATCH(569,$AZ$11:$AZ$4010,0)),""))</f>
        <v/>
      </c>
      <c r="AL579" s="17"/>
      <c r="AM579" s="12"/>
      <c r="AN579" s="18"/>
      <c r="AO579" s="18"/>
      <c r="AP579" s="10"/>
      <c r="AQ579" s="10"/>
      <c r="AR579" s="19"/>
      <c r="AS579" s="20"/>
      <c r="AT579" s="19"/>
      <c r="AV579" s="21">
        <f>IF(AND($AL579&lt;&gt;"",COUNTIF($AL$11:$AL579,$AL579)=1),1,0)</f>
        <v>0</v>
      </c>
      <c r="AW579" s="21">
        <f t="shared" si="103"/>
        <v>0</v>
      </c>
      <c r="AX579" s="21" t="str">
        <f t="shared" si="102"/>
        <v/>
      </c>
      <c r="AY579" s="21" t="str">
        <f>IF(AND($AM579&lt;&gt;"",$AS579&lt;&gt;"✓"),SUMPRODUCT(($AM$11:$AM579&lt;&gt;"")*($AS$11:$AS579&lt;&gt;"✓")),"")</f>
        <v/>
      </c>
      <c r="AZ579" s="21" t="str">
        <f>IF(AND($AM579&lt;&gt;"",$AS579="✓"),SUMPRODUCT(($AM$11:$AM579&lt;&gt;"")*($AS$11:$AS579="✓")),"")</f>
        <v/>
      </c>
      <c r="BA579" s="21" t="str">
        <f>IF($AL579="","",$AL579&amp;"|"&amp;COUNTIF($AL$11:$AL579,$AL579))</f>
        <v/>
      </c>
    </row>
    <row r="580" spans="23:53" ht="15" customHeight="1" x14ac:dyDescent="0.25">
      <c r="W580" s="28" t="str">
        <f>IF(X580="","",IFERROR(INDEX($AL$11:$AL$4010,MATCH(570,$AY$11:$AY$4010,0)),""))</f>
        <v/>
      </c>
      <c r="X580" s="26" t="str">
        <f>IFERROR(INDEX($AM$11:$AM$4010,MATCH(570,$AY$11:$AY$4010,0)),"")</f>
        <v/>
      </c>
      <c r="Y580" s="25" t="str">
        <f>IF(X580="","",IFERROR(INDEX($AN$11:$AN$4010,MATCH(570,$AY$11:$AY$4010,0)),""))</f>
        <v/>
      </c>
      <c r="Z580" s="25" t="str">
        <f>IF(X580="","",IFERROR(INDEX($AO$11:$AO$4010,MATCH(570,$AY$11:$AY$4010,0)),""))</f>
        <v/>
      </c>
      <c r="AA580" s="24" t="str">
        <f>IF(X580="","",IFERROR(INDEX($AQ$11:$AQ$4010,MATCH(570,$AY$11:$AY$4010,0)),""))</f>
        <v/>
      </c>
      <c r="AB580" s="29" t="str">
        <f>IF(X580="","",IFERROR(INDEX($AR$11:$AR$4010,MATCH(570,$AY$11:$AY$4010,0)),""))</f>
        <v/>
      </c>
      <c r="AD580" s="30" t="str">
        <f>IF(AE580="","",IFERROR(INDEX($AL$11:$AL$4010,MATCH(570,$AZ$11:$AZ$4010,0)),""))</f>
        <v/>
      </c>
      <c r="AE580" s="26" t="str">
        <f>IFERROR(INDEX($AM$11:$AM$4010,MATCH(570,$AZ$11:$AZ$4010,0)),"")</f>
        <v/>
      </c>
      <c r="AF580" s="25" t="str">
        <f>IF(AE580="","",IFERROR(INDEX($AN$11:$AN$4010,MATCH(570,$AZ$11:$AZ$4010,0)),""))</f>
        <v/>
      </c>
      <c r="AG580" s="25" t="str">
        <f>IF(AE580="","",IFERROR(INDEX($AO$11:$AO$4010,MATCH(570,$AZ$11:$AZ$4010,0)),""))</f>
        <v/>
      </c>
      <c r="AH580" s="24" t="str">
        <f>IF(AE580="","",IFERROR(INDEX($AQ$11:$AQ$4010,MATCH(570,$AZ$11:$AZ$4010,0)),""))</f>
        <v/>
      </c>
      <c r="AI580" s="29" t="str">
        <f>IF(AE580="","",IFERROR(INDEX($AR$11:$AR$4010,MATCH(570,$AZ$11:$AZ$4010,0)),""))</f>
        <v/>
      </c>
      <c r="AJ580" s="29" t="str">
        <f>IF(AE580="","",IFERROR(INDEX($AT$11:$AT$4010,MATCH(570,$AZ$11:$AZ$4010,0)),""))</f>
        <v/>
      </c>
      <c r="AL580" s="31"/>
      <c r="AM580" s="26"/>
      <c r="AN580" s="32"/>
      <c r="AO580" s="32"/>
      <c r="AP580" s="24"/>
      <c r="AQ580" s="24"/>
      <c r="AR580" s="33"/>
      <c r="AS580" s="34"/>
      <c r="AT580" s="33"/>
      <c r="AV580" s="21">
        <f>IF(AND($AL580&lt;&gt;"",COUNTIF($AL$11:$AL580,$AL580)=1),1,0)</f>
        <v>0</v>
      </c>
      <c r="AW580" s="21">
        <f t="shared" si="103"/>
        <v>0</v>
      </c>
      <c r="AX580" s="21" t="str">
        <f t="shared" si="102"/>
        <v/>
      </c>
      <c r="AY580" s="21" t="str">
        <f>IF(AND($AM580&lt;&gt;"",$AS580&lt;&gt;"✓"),SUMPRODUCT(($AM$11:$AM580&lt;&gt;"")*($AS$11:$AS580&lt;&gt;"✓")),"")</f>
        <v/>
      </c>
      <c r="AZ580" s="21" t="str">
        <f>IF(AND($AM580&lt;&gt;"",$AS580="✓"),SUMPRODUCT(($AM$11:$AM580&lt;&gt;"")*($AS$11:$AS580="✓")),"")</f>
        <v/>
      </c>
      <c r="BA580" s="21" t="str">
        <f>IF($AL580="","",$AL580&amp;"|"&amp;COUNTIF($AL$11:$AL580,$AL580))</f>
        <v/>
      </c>
    </row>
    <row r="581" spans="23:53" ht="15" customHeight="1" x14ac:dyDescent="0.25">
      <c r="W581" s="14" t="str">
        <f>IF(X581="","",IFERROR(INDEX($AL$11:$AL$4010,MATCH(571,$AY$11:$AY$4010,0)),""))</f>
        <v/>
      </c>
      <c r="X581" s="12" t="str">
        <f>IFERROR(INDEX($AM$11:$AM$4010,MATCH(571,$AY$11:$AY$4010,0)),"")</f>
        <v/>
      </c>
      <c r="Y581" s="11" t="str">
        <f>IF(X581="","",IFERROR(INDEX($AN$11:$AN$4010,MATCH(571,$AY$11:$AY$4010,0)),""))</f>
        <v/>
      </c>
      <c r="Z581" s="11" t="str">
        <f>IF(X581="","",IFERROR(INDEX($AO$11:$AO$4010,MATCH(571,$AY$11:$AY$4010,0)),""))</f>
        <v/>
      </c>
      <c r="AA581" s="10" t="str">
        <f>IF(X581="","",IFERROR(INDEX($AQ$11:$AQ$4010,MATCH(571,$AY$11:$AY$4010,0)),""))</f>
        <v/>
      </c>
      <c r="AB581" s="15" t="str">
        <f>IF(X581="","",IFERROR(INDEX($AR$11:$AR$4010,MATCH(571,$AY$11:$AY$4010,0)),""))</f>
        <v/>
      </c>
      <c r="AD581" s="16" t="str">
        <f>IF(AE581="","",IFERROR(INDEX($AL$11:$AL$4010,MATCH(571,$AZ$11:$AZ$4010,0)),""))</f>
        <v/>
      </c>
      <c r="AE581" s="12" t="str">
        <f>IFERROR(INDEX($AM$11:$AM$4010,MATCH(571,$AZ$11:$AZ$4010,0)),"")</f>
        <v/>
      </c>
      <c r="AF581" s="11" t="str">
        <f>IF(AE581="","",IFERROR(INDEX($AN$11:$AN$4010,MATCH(571,$AZ$11:$AZ$4010,0)),""))</f>
        <v/>
      </c>
      <c r="AG581" s="11" t="str">
        <f>IF(AE581="","",IFERROR(INDEX($AO$11:$AO$4010,MATCH(571,$AZ$11:$AZ$4010,0)),""))</f>
        <v/>
      </c>
      <c r="AH581" s="10" t="str">
        <f>IF(AE581="","",IFERROR(INDEX($AQ$11:$AQ$4010,MATCH(571,$AZ$11:$AZ$4010,0)),""))</f>
        <v/>
      </c>
      <c r="AI581" s="15" t="str">
        <f>IF(AE581="","",IFERROR(INDEX($AR$11:$AR$4010,MATCH(571,$AZ$11:$AZ$4010,0)),""))</f>
        <v/>
      </c>
      <c r="AJ581" s="15" t="str">
        <f>IF(AE581="","",IFERROR(INDEX($AT$11:$AT$4010,MATCH(571,$AZ$11:$AZ$4010,0)),""))</f>
        <v/>
      </c>
      <c r="AL581" s="17"/>
      <c r="AM581" s="12"/>
      <c r="AN581" s="18"/>
      <c r="AO581" s="18"/>
      <c r="AP581" s="10"/>
      <c r="AQ581" s="10"/>
      <c r="AR581" s="19"/>
      <c r="AS581" s="20"/>
      <c r="AT581" s="19"/>
      <c r="AV581" s="21">
        <f>IF(AND($AL581&lt;&gt;"",COUNTIF($AL$11:$AL581,$AL581)=1),1,0)</f>
        <v>0</v>
      </c>
      <c r="AW581" s="21">
        <f t="shared" si="103"/>
        <v>0</v>
      </c>
      <c r="AX581" s="21" t="str">
        <f t="shared" si="102"/>
        <v/>
      </c>
      <c r="AY581" s="21" t="str">
        <f>IF(AND($AM581&lt;&gt;"",$AS581&lt;&gt;"✓"),SUMPRODUCT(($AM$11:$AM581&lt;&gt;"")*($AS$11:$AS581&lt;&gt;"✓")),"")</f>
        <v/>
      </c>
      <c r="AZ581" s="21" t="str">
        <f>IF(AND($AM581&lt;&gt;"",$AS581="✓"),SUMPRODUCT(($AM$11:$AM581&lt;&gt;"")*($AS$11:$AS581="✓")),"")</f>
        <v/>
      </c>
      <c r="BA581" s="21" t="str">
        <f>IF($AL581="","",$AL581&amp;"|"&amp;COUNTIF($AL$11:$AL581,$AL581))</f>
        <v/>
      </c>
    </row>
    <row r="582" spans="23:53" ht="15" customHeight="1" x14ac:dyDescent="0.25">
      <c r="W582" s="28" t="str">
        <f>IF(X582="","",IFERROR(INDEX($AL$11:$AL$4010,MATCH(572,$AY$11:$AY$4010,0)),""))</f>
        <v/>
      </c>
      <c r="X582" s="26" t="str">
        <f>IFERROR(INDEX($AM$11:$AM$4010,MATCH(572,$AY$11:$AY$4010,0)),"")</f>
        <v/>
      </c>
      <c r="Y582" s="25" t="str">
        <f>IF(X582="","",IFERROR(INDEX($AN$11:$AN$4010,MATCH(572,$AY$11:$AY$4010,0)),""))</f>
        <v/>
      </c>
      <c r="Z582" s="25" t="str">
        <f>IF(X582="","",IFERROR(INDEX($AO$11:$AO$4010,MATCH(572,$AY$11:$AY$4010,0)),""))</f>
        <v/>
      </c>
      <c r="AA582" s="24" t="str">
        <f>IF(X582="","",IFERROR(INDEX($AQ$11:$AQ$4010,MATCH(572,$AY$11:$AY$4010,0)),""))</f>
        <v/>
      </c>
      <c r="AB582" s="29" t="str">
        <f>IF(X582="","",IFERROR(INDEX($AR$11:$AR$4010,MATCH(572,$AY$11:$AY$4010,0)),""))</f>
        <v/>
      </c>
      <c r="AD582" s="30" t="str">
        <f>IF(AE582="","",IFERROR(INDEX($AL$11:$AL$4010,MATCH(572,$AZ$11:$AZ$4010,0)),""))</f>
        <v/>
      </c>
      <c r="AE582" s="26" t="str">
        <f>IFERROR(INDEX($AM$11:$AM$4010,MATCH(572,$AZ$11:$AZ$4010,0)),"")</f>
        <v/>
      </c>
      <c r="AF582" s="25" t="str">
        <f>IF(AE582="","",IFERROR(INDEX($AN$11:$AN$4010,MATCH(572,$AZ$11:$AZ$4010,0)),""))</f>
        <v/>
      </c>
      <c r="AG582" s="25" t="str">
        <f>IF(AE582="","",IFERROR(INDEX($AO$11:$AO$4010,MATCH(572,$AZ$11:$AZ$4010,0)),""))</f>
        <v/>
      </c>
      <c r="AH582" s="24" t="str">
        <f>IF(AE582="","",IFERROR(INDEX($AQ$11:$AQ$4010,MATCH(572,$AZ$11:$AZ$4010,0)),""))</f>
        <v/>
      </c>
      <c r="AI582" s="29" t="str">
        <f>IF(AE582="","",IFERROR(INDEX($AR$11:$AR$4010,MATCH(572,$AZ$11:$AZ$4010,0)),""))</f>
        <v/>
      </c>
      <c r="AJ582" s="29" t="str">
        <f>IF(AE582="","",IFERROR(INDEX($AT$11:$AT$4010,MATCH(572,$AZ$11:$AZ$4010,0)),""))</f>
        <v/>
      </c>
      <c r="AL582" s="31"/>
      <c r="AM582" s="26"/>
      <c r="AN582" s="32"/>
      <c r="AO582" s="32"/>
      <c r="AP582" s="24"/>
      <c r="AQ582" s="24"/>
      <c r="AR582" s="33"/>
      <c r="AS582" s="34"/>
      <c r="AT582" s="33"/>
      <c r="AV582" s="21">
        <f>IF(AND($AL582&lt;&gt;"",COUNTIF($AL$11:$AL582,$AL582)=1),1,0)</f>
        <v>0</v>
      </c>
      <c r="AW582" s="21">
        <f t="shared" si="103"/>
        <v>0</v>
      </c>
      <c r="AX582" s="21" t="str">
        <f t="shared" si="102"/>
        <v/>
      </c>
      <c r="AY582" s="21" t="str">
        <f>IF(AND($AM582&lt;&gt;"",$AS582&lt;&gt;"✓"),SUMPRODUCT(($AM$11:$AM582&lt;&gt;"")*($AS$11:$AS582&lt;&gt;"✓")),"")</f>
        <v/>
      </c>
      <c r="AZ582" s="21" t="str">
        <f>IF(AND($AM582&lt;&gt;"",$AS582="✓"),SUMPRODUCT(($AM$11:$AM582&lt;&gt;"")*($AS$11:$AS582="✓")),"")</f>
        <v/>
      </c>
      <c r="BA582" s="21" t="str">
        <f>IF($AL582="","",$AL582&amp;"|"&amp;COUNTIF($AL$11:$AL582,$AL582))</f>
        <v/>
      </c>
    </row>
    <row r="583" spans="23:53" ht="15" customHeight="1" x14ac:dyDescent="0.25">
      <c r="W583" s="14" t="str">
        <f>IF(X583="","",IFERROR(INDEX($AL$11:$AL$4010,MATCH(573,$AY$11:$AY$4010,0)),""))</f>
        <v/>
      </c>
      <c r="X583" s="12" t="str">
        <f>IFERROR(INDEX($AM$11:$AM$4010,MATCH(573,$AY$11:$AY$4010,0)),"")</f>
        <v/>
      </c>
      <c r="Y583" s="11" t="str">
        <f>IF(X583="","",IFERROR(INDEX($AN$11:$AN$4010,MATCH(573,$AY$11:$AY$4010,0)),""))</f>
        <v/>
      </c>
      <c r="Z583" s="11" t="str">
        <f>IF(X583="","",IFERROR(INDEX($AO$11:$AO$4010,MATCH(573,$AY$11:$AY$4010,0)),""))</f>
        <v/>
      </c>
      <c r="AA583" s="10" t="str">
        <f>IF(X583="","",IFERROR(INDEX($AQ$11:$AQ$4010,MATCH(573,$AY$11:$AY$4010,0)),""))</f>
        <v/>
      </c>
      <c r="AB583" s="15" t="str">
        <f>IF(X583="","",IFERROR(INDEX($AR$11:$AR$4010,MATCH(573,$AY$11:$AY$4010,0)),""))</f>
        <v/>
      </c>
      <c r="AD583" s="16" t="str">
        <f>IF(AE583="","",IFERROR(INDEX($AL$11:$AL$4010,MATCH(573,$AZ$11:$AZ$4010,0)),""))</f>
        <v/>
      </c>
      <c r="AE583" s="12" t="str">
        <f>IFERROR(INDEX($AM$11:$AM$4010,MATCH(573,$AZ$11:$AZ$4010,0)),"")</f>
        <v/>
      </c>
      <c r="AF583" s="11" t="str">
        <f>IF(AE583="","",IFERROR(INDEX($AN$11:$AN$4010,MATCH(573,$AZ$11:$AZ$4010,0)),""))</f>
        <v/>
      </c>
      <c r="AG583" s="11" t="str">
        <f>IF(AE583="","",IFERROR(INDEX($AO$11:$AO$4010,MATCH(573,$AZ$11:$AZ$4010,0)),""))</f>
        <v/>
      </c>
      <c r="AH583" s="10" t="str">
        <f>IF(AE583="","",IFERROR(INDEX($AQ$11:$AQ$4010,MATCH(573,$AZ$11:$AZ$4010,0)),""))</f>
        <v/>
      </c>
      <c r="AI583" s="15" t="str">
        <f>IF(AE583="","",IFERROR(INDEX($AR$11:$AR$4010,MATCH(573,$AZ$11:$AZ$4010,0)),""))</f>
        <v/>
      </c>
      <c r="AJ583" s="15" t="str">
        <f>IF(AE583="","",IFERROR(INDEX($AT$11:$AT$4010,MATCH(573,$AZ$11:$AZ$4010,0)),""))</f>
        <v/>
      </c>
      <c r="AL583" s="17"/>
      <c r="AM583" s="12"/>
      <c r="AN583" s="18"/>
      <c r="AO583" s="18"/>
      <c r="AP583" s="10"/>
      <c r="AQ583" s="10"/>
      <c r="AR583" s="19"/>
      <c r="AS583" s="20"/>
      <c r="AT583" s="19"/>
      <c r="AV583" s="21">
        <f>IF(AND($AL583&lt;&gt;"",COUNTIF($AL$11:$AL583,$AL583)=1),1,0)</f>
        <v>0</v>
      </c>
      <c r="AW583" s="21">
        <f t="shared" si="103"/>
        <v>0</v>
      </c>
      <c r="AX583" s="21" t="str">
        <f t="shared" si="102"/>
        <v/>
      </c>
      <c r="AY583" s="21" t="str">
        <f>IF(AND($AM583&lt;&gt;"",$AS583&lt;&gt;"✓"),SUMPRODUCT(($AM$11:$AM583&lt;&gt;"")*($AS$11:$AS583&lt;&gt;"✓")),"")</f>
        <v/>
      </c>
      <c r="AZ583" s="21" t="str">
        <f>IF(AND($AM583&lt;&gt;"",$AS583="✓"),SUMPRODUCT(($AM$11:$AM583&lt;&gt;"")*($AS$11:$AS583="✓")),"")</f>
        <v/>
      </c>
      <c r="BA583" s="21" t="str">
        <f>IF($AL583="","",$AL583&amp;"|"&amp;COUNTIF($AL$11:$AL583,$AL583))</f>
        <v/>
      </c>
    </row>
    <row r="584" spans="23:53" ht="15" customHeight="1" x14ac:dyDescent="0.25">
      <c r="W584" s="28" t="str">
        <f>IF(X584="","",IFERROR(INDEX($AL$11:$AL$4010,MATCH(574,$AY$11:$AY$4010,0)),""))</f>
        <v/>
      </c>
      <c r="X584" s="26" t="str">
        <f>IFERROR(INDEX($AM$11:$AM$4010,MATCH(574,$AY$11:$AY$4010,0)),"")</f>
        <v/>
      </c>
      <c r="Y584" s="25" t="str">
        <f>IF(X584="","",IFERROR(INDEX($AN$11:$AN$4010,MATCH(574,$AY$11:$AY$4010,0)),""))</f>
        <v/>
      </c>
      <c r="Z584" s="25" t="str">
        <f>IF(X584="","",IFERROR(INDEX($AO$11:$AO$4010,MATCH(574,$AY$11:$AY$4010,0)),""))</f>
        <v/>
      </c>
      <c r="AA584" s="24" t="str">
        <f>IF(X584="","",IFERROR(INDEX($AQ$11:$AQ$4010,MATCH(574,$AY$11:$AY$4010,0)),""))</f>
        <v/>
      </c>
      <c r="AB584" s="29" t="str">
        <f>IF(X584="","",IFERROR(INDEX($AR$11:$AR$4010,MATCH(574,$AY$11:$AY$4010,0)),""))</f>
        <v/>
      </c>
      <c r="AD584" s="30" t="str">
        <f>IF(AE584="","",IFERROR(INDEX($AL$11:$AL$4010,MATCH(574,$AZ$11:$AZ$4010,0)),""))</f>
        <v/>
      </c>
      <c r="AE584" s="26" t="str">
        <f>IFERROR(INDEX($AM$11:$AM$4010,MATCH(574,$AZ$11:$AZ$4010,0)),"")</f>
        <v/>
      </c>
      <c r="AF584" s="25" t="str">
        <f>IF(AE584="","",IFERROR(INDEX($AN$11:$AN$4010,MATCH(574,$AZ$11:$AZ$4010,0)),""))</f>
        <v/>
      </c>
      <c r="AG584" s="25" t="str">
        <f>IF(AE584="","",IFERROR(INDEX($AO$11:$AO$4010,MATCH(574,$AZ$11:$AZ$4010,0)),""))</f>
        <v/>
      </c>
      <c r="AH584" s="24" t="str">
        <f>IF(AE584="","",IFERROR(INDEX($AQ$11:$AQ$4010,MATCH(574,$AZ$11:$AZ$4010,0)),""))</f>
        <v/>
      </c>
      <c r="AI584" s="29" t="str">
        <f>IF(AE584="","",IFERROR(INDEX($AR$11:$AR$4010,MATCH(574,$AZ$11:$AZ$4010,0)),""))</f>
        <v/>
      </c>
      <c r="AJ584" s="29" t="str">
        <f>IF(AE584="","",IFERROR(INDEX($AT$11:$AT$4010,MATCH(574,$AZ$11:$AZ$4010,0)),""))</f>
        <v/>
      </c>
      <c r="AL584" s="31"/>
      <c r="AM584" s="26"/>
      <c r="AN584" s="32"/>
      <c r="AO584" s="32"/>
      <c r="AP584" s="24"/>
      <c r="AQ584" s="24"/>
      <c r="AR584" s="33"/>
      <c r="AS584" s="34"/>
      <c r="AT584" s="33"/>
      <c r="AV584" s="21">
        <f>IF(AND($AL584&lt;&gt;"",COUNTIF($AL$11:$AL584,$AL584)=1),1,0)</f>
        <v>0</v>
      </c>
      <c r="AW584" s="21">
        <f t="shared" si="103"/>
        <v>0</v>
      </c>
      <c r="AX584" s="21" t="str">
        <f t="shared" si="102"/>
        <v/>
      </c>
      <c r="AY584" s="21" t="str">
        <f>IF(AND($AM584&lt;&gt;"",$AS584&lt;&gt;"✓"),SUMPRODUCT(($AM$11:$AM584&lt;&gt;"")*($AS$11:$AS584&lt;&gt;"✓")),"")</f>
        <v/>
      </c>
      <c r="AZ584" s="21" t="str">
        <f>IF(AND($AM584&lt;&gt;"",$AS584="✓"),SUMPRODUCT(($AM$11:$AM584&lt;&gt;"")*($AS$11:$AS584="✓")),"")</f>
        <v/>
      </c>
      <c r="BA584" s="21" t="str">
        <f>IF($AL584="","",$AL584&amp;"|"&amp;COUNTIF($AL$11:$AL584,$AL584))</f>
        <v/>
      </c>
    </row>
    <row r="585" spans="23:53" ht="15" customHeight="1" x14ac:dyDescent="0.25">
      <c r="W585" s="14" t="str">
        <f>IF(X585="","",IFERROR(INDEX($AL$11:$AL$4010,MATCH(575,$AY$11:$AY$4010,0)),""))</f>
        <v/>
      </c>
      <c r="X585" s="12" t="str">
        <f>IFERROR(INDEX($AM$11:$AM$4010,MATCH(575,$AY$11:$AY$4010,0)),"")</f>
        <v/>
      </c>
      <c r="Y585" s="11" t="str">
        <f>IF(X585="","",IFERROR(INDEX($AN$11:$AN$4010,MATCH(575,$AY$11:$AY$4010,0)),""))</f>
        <v/>
      </c>
      <c r="Z585" s="11" t="str">
        <f>IF(X585="","",IFERROR(INDEX($AO$11:$AO$4010,MATCH(575,$AY$11:$AY$4010,0)),""))</f>
        <v/>
      </c>
      <c r="AA585" s="10" t="str">
        <f>IF(X585="","",IFERROR(INDEX($AQ$11:$AQ$4010,MATCH(575,$AY$11:$AY$4010,0)),""))</f>
        <v/>
      </c>
      <c r="AB585" s="15" t="str">
        <f>IF(X585="","",IFERROR(INDEX($AR$11:$AR$4010,MATCH(575,$AY$11:$AY$4010,0)),""))</f>
        <v/>
      </c>
      <c r="AD585" s="16" t="str">
        <f>IF(AE585="","",IFERROR(INDEX($AL$11:$AL$4010,MATCH(575,$AZ$11:$AZ$4010,0)),""))</f>
        <v/>
      </c>
      <c r="AE585" s="12" t="str">
        <f>IFERROR(INDEX($AM$11:$AM$4010,MATCH(575,$AZ$11:$AZ$4010,0)),"")</f>
        <v/>
      </c>
      <c r="AF585" s="11" t="str">
        <f>IF(AE585="","",IFERROR(INDEX($AN$11:$AN$4010,MATCH(575,$AZ$11:$AZ$4010,0)),""))</f>
        <v/>
      </c>
      <c r="AG585" s="11" t="str">
        <f>IF(AE585="","",IFERROR(INDEX($AO$11:$AO$4010,MATCH(575,$AZ$11:$AZ$4010,0)),""))</f>
        <v/>
      </c>
      <c r="AH585" s="10" t="str">
        <f>IF(AE585="","",IFERROR(INDEX($AQ$11:$AQ$4010,MATCH(575,$AZ$11:$AZ$4010,0)),""))</f>
        <v/>
      </c>
      <c r="AI585" s="15" t="str">
        <f>IF(AE585="","",IFERROR(INDEX($AR$11:$AR$4010,MATCH(575,$AZ$11:$AZ$4010,0)),""))</f>
        <v/>
      </c>
      <c r="AJ585" s="15" t="str">
        <f>IF(AE585="","",IFERROR(INDEX($AT$11:$AT$4010,MATCH(575,$AZ$11:$AZ$4010,0)),""))</f>
        <v/>
      </c>
      <c r="AL585" s="17"/>
      <c r="AM585" s="12"/>
      <c r="AN585" s="18"/>
      <c r="AO585" s="18"/>
      <c r="AP585" s="10"/>
      <c r="AQ585" s="10"/>
      <c r="AR585" s="19"/>
      <c r="AS585" s="20"/>
      <c r="AT585" s="19"/>
      <c r="AV585" s="21">
        <f>IF(AND($AL585&lt;&gt;"",COUNTIF($AL$11:$AL585,$AL585)=1),1,0)</f>
        <v>0</v>
      </c>
      <c r="AW585" s="21">
        <f t="shared" si="103"/>
        <v>0</v>
      </c>
      <c r="AX585" s="21" t="str">
        <f t="shared" si="102"/>
        <v/>
      </c>
      <c r="AY585" s="21" t="str">
        <f>IF(AND($AM585&lt;&gt;"",$AS585&lt;&gt;"✓"),SUMPRODUCT(($AM$11:$AM585&lt;&gt;"")*($AS$11:$AS585&lt;&gt;"✓")),"")</f>
        <v/>
      </c>
      <c r="AZ585" s="21" t="str">
        <f>IF(AND($AM585&lt;&gt;"",$AS585="✓"),SUMPRODUCT(($AM$11:$AM585&lt;&gt;"")*($AS$11:$AS585="✓")),"")</f>
        <v/>
      </c>
      <c r="BA585" s="21" t="str">
        <f>IF($AL585="","",$AL585&amp;"|"&amp;COUNTIF($AL$11:$AL585,$AL585))</f>
        <v/>
      </c>
    </row>
    <row r="586" spans="23:53" ht="15" customHeight="1" x14ac:dyDescent="0.25">
      <c r="W586" s="28" t="str">
        <f>IF(X586="","",IFERROR(INDEX($AL$11:$AL$4010,MATCH(576,$AY$11:$AY$4010,0)),""))</f>
        <v/>
      </c>
      <c r="X586" s="26" t="str">
        <f>IFERROR(INDEX($AM$11:$AM$4010,MATCH(576,$AY$11:$AY$4010,0)),"")</f>
        <v/>
      </c>
      <c r="Y586" s="25" t="str">
        <f>IF(X586="","",IFERROR(INDEX($AN$11:$AN$4010,MATCH(576,$AY$11:$AY$4010,0)),""))</f>
        <v/>
      </c>
      <c r="Z586" s="25" t="str">
        <f>IF(X586="","",IFERROR(INDEX($AO$11:$AO$4010,MATCH(576,$AY$11:$AY$4010,0)),""))</f>
        <v/>
      </c>
      <c r="AA586" s="24" t="str">
        <f>IF(X586="","",IFERROR(INDEX($AQ$11:$AQ$4010,MATCH(576,$AY$11:$AY$4010,0)),""))</f>
        <v/>
      </c>
      <c r="AB586" s="29" t="str">
        <f>IF(X586="","",IFERROR(INDEX($AR$11:$AR$4010,MATCH(576,$AY$11:$AY$4010,0)),""))</f>
        <v/>
      </c>
      <c r="AD586" s="30" t="str">
        <f>IF(AE586="","",IFERROR(INDEX($AL$11:$AL$4010,MATCH(576,$AZ$11:$AZ$4010,0)),""))</f>
        <v/>
      </c>
      <c r="AE586" s="26" t="str">
        <f>IFERROR(INDEX($AM$11:$AM$4010,MATCH(576,$AZ$11:$AZ$4010,0)),"")</f>
        <v/>
      </c>
      <c r="AF586" s="25" t="str">
        <f>IF(AE586="","",IFERROR(INDEX($AN$11:$AN$4010,MATCH(576,$AZ$11:$AZ$4010,0)),""))</f>
        <v/>
      </c>
      <c r="AG586" s="25" t="str">
        <f>IF(AE586="","",IFERROR(INDEX($AO$11:$AO$4010,MATCH(576,$AZ$11:$AZ$4010,0)),""))</f>
        <v/>
      </c>
      <c r="AH586" s="24" t="str">
        <f>IF(AE586="","",IFERROR(INDEX($AQ$11:$AQ$4010,MATCH(576,$AZ$11:$AZ$4010,0)),""))</f>
        <v/>
      </c>
      <c r="AI586" s="29" t="str">
        <f>IF(AE586="","",IFERROR(INDEX($AR$11:$AR$4010,MATCH(576,$AZ$11:$AZ$4010,0)),""))</f>
        <v/>
      </c>
      <c r="AJ586" s="29" t="str">
        <f>IF(AE586="","",IFERROR(INDEX($AT$11:$AT$4010,MATCH(576,$AZ$11:$AZ$4010,0)),""))</f>
        <v/>
      </c>
      <c r="AL586" s="31"/>
      <c r="AM586" s="26"/>
      <c r="AN586" s="32"/>
      <c r="AO586" s="32"/>
      <c r="AP586" s="24"/>
      <c r="AQ586" s="24"/>
      <c r="AR586" s="33"/>
      <c r="AS586" s="34"/>
      <c r="AT586" s="33"/>
      <c r="AV586" s="21">
        <f>IF(AND($AL586&lt;&gt;"",COUNTIF($AL$11:$AL586,$AL586)=1),1,0)</f>
        <v>0</v>
      </c>
      <c r="AW586" s="21">
        <f t="shared" si="103"/>
        <v>0</v>
      </c>
      <c r="AX586" s="21" t="str">
        <f t="shared" si="102"/>
        <v/>
      </c>
      <c r="AY586" s="21" t="str">
        <f>IF(AND($AM586&lt;&gt;"",$AS586&lt;&gt;"✓"),SUMPRODUCT(($AM$11:$AM586&lt;&gt;"")*($AS$11:$AS586&lt;&gt;"✓")),"")</f>
        <v/>
      </c>
      <c r="AZ586" s="21" t="str">
        <f>IF(AND($AM586&lt;&gt;"",$AS586="✓"),SUMPRODUCT(($AM$11:$AM586&lt;&gt;"")*($AS$11:$AS586="✓")),"")</f>
        <v/>
      </c>
      <c r="BA586" s="21" t="str">
        <f>IF($AL586="","",$AL586&amp;"|"&amp;COUNTIF($AL$11:$AL586,$AL586))</f>
        <v/>
      </c>
    </row>
    <row r="587" spans="23:53" ht="15" customHeight="1" x14ac:dyDescent="0.25">
      <c r="W587" s="14" t="str">
        <f>IF(X587="","",IFERROR(INDEX($AL$11:$AL$4010,MATCH(577,$AY$11:$AY$4010,0)),""))</f>
        <v/>
      </c>
      <c r="X587" s="12" t="str">
        <f>IFERROR(INDEX($AM$11:$AM$4010,MATCH(577,$AY$11:$AY$4010,0)),"")</f>
        <v/>
      </c>
      <c r="Y587" s="11" t="str">
        <f>IF(X587="","",IFERROR(INDEX($AN$11:$AN$4010,MATCH(577,$AY$11:$AY$4010,0)),""))</f>
        <v/>
      </c>
      <c r="Z587" s="11" t="str">
        <f>IF(X587="","",IFERROR(INDEX($AO$11:$AO$4010,MATCH(577,$AY$11:$AY$4010,0)),""))</f>
        <v/>
      </c>
      <c r="AA587" s="10" t="str">
        <f>IF(X587="","",IFERROR(INDEX($AQ$11:$AQ$4010,MATCH(577,$AY$11:$AY$4010,0)),""))</f>
        <v/>
      </c>
      <c r="AB587" s="15" t="str">
        <f>IF(X587="","",IFERROR(INDEX($AR$11:$AR$4010,MATCH(577,$AY$11:$AY$4010,0)),""))</f>
        <v/>
      </c>
      <c r="AD587" s="16" t="str">
        <f>IF(AE587="","",IFERROR(INDEX($AL$11:$AL$4010,MATCH(577,$AZ$11:$AZ$4010,0)),""))</f>
        <v/>
      </c>
      <c r="AE587" s="12" t="str">
        <f>IFERROR(INDEX($AM$11:$AM$4010,MATCH(577,$AZ$11:$AZ$4010,0)),"")</f>
        <v/>
      </c>
      <c r="AF587" s="11" t="str">
        <f>IF(AE587="","",IFERROR(INDEX($AN$11:$AN$4010,MATCH(577,$AZ$11:$AZ$4010,0)),""))</f>
        <v/>
      </c>
      <c r="AG587" s="11" t="str">
        <f>IF(AE587="","",IFERROR(INDEX($AO$11:$AO$4010,MATCH(577,$AZ$11:$AZ$4010,0)),""))</f>
        <v/>
      </c>
      <c r="AH587" s="10" t="str">
        <f>IF(AE587="","",IFERROR(INDEX($AQ$11:$AQ$4010,MATCH(577,$AZ$11:$AZ$4010,0)),""))</f>
        <v/>
      </c>
      <c r="AI587" s="15" t="str">
        <f>IF(AE587="","",IFERROR(INDEX($AR$11:$AR$4010,MATCH(577,$AZ$11:$AZ$4010,0)),""))</f>
        <v/>
      </c>
      <c r="AJ587" s="15" t="str">
        <f>IF(AE587="","",IFERROR(INDEX($AT$11:$AT$4010,MATCH(577,$AZ$11:$AZ$4010,0)),""))</f>
        <v/>
      </c>
      <c r="AL587" s="17"/>
      <c r="AM587" s="12"/>
      <c r="AN587" s="18"/>
      <c r="AO587" s="18"/>
      <c r="AP587" s="10"/>
      <c r="AQ587" s="10"/>
      <c r="AR587" s="19"/>
      <c r="AS587" s="20"/>
      <c r="AT587" s="19"/>
      <c r="AV587" s="21">
        <f>IF(AND($AL587&lt;&gt;"",COUNTIF($AL$11:$AL587,$AL587)=1),1,0)</f>
        <v>0</v>
      </c>
      <c r="AW587" s="21">
        <f t="shared" si="103"/>
        <v>0</v>
      </c>
      <c r="AX587" s="21" t="str">
        <f t="shared" ref="AX587:AX650" si="104">IF(AV587=1,AW587,"")</f>
        <v/>
      </c>
      <c r="AY587" s="21" t="str">
        <f>IF(AND($AM587&lt;&gt;"",$AS587&lt;&gt;"✓"),SUMPRODUCT(($AM$11:$AM587&lt;&gt;"")*($AS$11:$AS587&lt;&gt;"✓")),"")</f>
        <v/>
      </c>
      <c r="AZ587" s="21" t="str">
        <f>IF(AND($AM587&lt;&gt;"",$AS587="✓"),SUMPRODUCT(($AM$11:$AM587&lt;&gt;"")*($AS$11:$AS587="✓")),"")</f>
        <v/>
      </c>
      <c r="BA587" s="21" t="str">
        <f>IF($AL587="","",$AL587&amp;"|"&amp;COUNTIF($AL$11:$AL587,$AL587))</f>
        <v/>
      </c>
    </row>
    <row r="588" spans="23:53" ht="15" customHeight="1" x14ac:dyDescent="0.25">
      <c r="W588" s="28" t="str">
        <f>IF(X588="","",IFERROR(INDEX($AL$11:$AL$4010,MATCH(578,$AY$11:$AY$4010,0)),""))</f>
        <v/>
      </c>
      <c r="X588" s="26" t="str">
        <f>IFERROR(INDEX($AM$11:$AM$4010,MATCH(578,$AY$11:$AY$4010,0)),"")</f>
        <v/>
      </c>
      <c r="Y588" s="25" t="str">
        <f>IF(X588="","",IFERROR(INDEX($AN$11:$AN$4010,MATCH(578,$AY$11:$AY$4010,0)),""))</f>
        <v/>
      </c>
      <c r="Z588" s="25" t="str">
        <f>IF(X588="","",IFERROR(INDEX($AO$11:$AO$4010,MATCH(578,$AY$11:$AY$4010,0)),""))</f>
        <v/>
      </c>
      <c r="AA588" s="24" t="str">
        <f>IF(X588="","",IFERROR(INDEX($AQ$11:$AQ$4010,MATCH(578,$AY$11:$AY$4010,0)),""))</f>
        <v/>
      </c>
      <c r="AB588" s="29" t="str">
        <f>IF(X588="","",IFERROR(INDEX($AR$11:$AR$4010,MATCH(578,$AY$11:$AY$4010,0)),""))</f>
        <v/>
      </c>
      <c r="AD588" s="30" t="str">
        <f>IF(AE588="","",IFERROR(INDEX($AL$11:$AL$4010,MATCH(578,$AZ$11:$AZ$4010,0)),""))</f>
        <v/>
      </c>
      <c r="AE588" s="26" t="str">
        <f>IFERROR(INDEX($AM$11:$AM$4010,MATCH(578,$AZ$11:$AZ$4010,0)),"")</f>
        <v/>
      </c>
      <c r="AF588" s="25" t="str">
        <f>IF(AE588="","",IFERROR(INDEX($AN$11:$AN$4010,MATCH(578,$AZ$11:$AZ$4010,0)),""))</f>
        <v/>
      </c>
      <c r="AG588" s="25" t="str">
        <f>IF(AE588="","",IFERROR(INDEX($AO$11:$AO$4010,MATCH(578,$AZ$11:$AZ$4010,0)),""))</f>
        <v/>
      </c>
      <c r="AH588" s="24" t="str">
        <f>IF(AE588="","",IFERROR(INDEX($AQ$11:$AQ$4010,MATCH(578,$AZ$11:$AZ$4010,0)),""))</f>
        <v/>
      </c>
      <c r="AI588" s="29" t="str">
        <f>IF(AE588="","",IFERROR(INDEX($AR$11:$AR$4010,MATCH(578,$AZ$11:$AZ$4010,0)),""))</f>
        <v/>
      </c>
      <c r="AJ588" s="29" t="str">
        <f>IF(AE588="","",IFERROR(INDEX($AT$11:$AT$4010,MATCH(578,$AZ$11:$AZ$4010,0)),""))</f>
        <v/>
      </c>
      <c r="AL588" s="31"/>
      <c r="AM588" s="26"/>
      <c r="AN588" s="32"/>
      <c r="AO588" s="32"/>
      <c r="AP588" s="24"/>
      <c r="AQ588" s="24"/>
      <c r="AR588" s="33"/>
      <c r="AS588" s="34"/>
      <c r="AT588" s="33"/>
      <c r="AV588" s="21">
        <f>IF(AND($AL588&lt;&gt;"",COUNTIF($AL$11:$AL588,$AL588)=1),1,0)</f>
        <v>0</v>
      </c>
      <c r="AW588" s="21">
        <f t="shared" ref="AW588:AW651" si="105">AW587+AV588</f>
        <v>0</v>
      </c>
      <c r="AX588" s="21" t="str">
        <f t="shared" si="104"/>
        <v/>
      </c>
      <c r="AY588" s="21" t="str">
        <f>IF(AND($AM588&lt;&gt;"",$AS588&lt;&gt;"✓"),SUMPRODUCT(($AM$11:$AM588&lt;&gt;"")*($AS$11:$AS588&lt;&gt;"✓")),"")</f>
        <v/>
      </c>
      <c r="AZ588" s="21" t="str">
        <f>IF(AND($AM588&lt;&gt;"",$AS588="✓"),SUMPRODUCT(($AM$11:$AM588&lt;&gt;"")*($AS$11:$AS588="✓")),"")</f>
        <v/>
      </c>
      <c r="BA588" s="21" t="str">
        <f>IF($AL588="","",$AL588&amp;"|"&amp;COUNTIF($AL$11:$AL588,$AL588))</f>
        <v/>
      </c>
    </row>
    <row r="589" spans="23:53" ht="15" customHeight="1" x14ac:dyDescent="0.25">
      <c r="W589" s="14" t="str">
        <f>IF(X589="","",IFERROR(INDEX($AL$11:$AL$4010,MATCH(579,$AY$11:$AY$4010,0)),""))</f>
        <v/>
      </c>
      <c r="X589" s="12" t="str">
        <f>IFERROR(INDEX($AM$11:$AM$4010,MATCH(579,$AY$11:$AY$4010,0)),"")</f>
        <v/>
      </c>
      <c r="Y589" s="11" t="str">
        <f>IF(X589="","",IFERROR(INDEX($AN$11:$AN$4010,MATCH(579,$AY$11:$AY$4010,0)),""))</f>
        <v/>
      </c>
      <c r="Z589" s="11" t="str">
        <f>IF(X589="","",IFERROR(INDEX($AO$11:$AO$4010,MATCH(579,$AY$11:$AY$4010,0)),""))</f>
        <v/>
      </c>
      <c r="AA589" s="10" t="str">
        <f>IF(X589="","",IFERROR(INDEX($AQ$11:$AQ$4010,MATCH(579,$AY$11:$AY$4010,0)),""))</f>
        <v/>
      </c>
      <c r="AB589" s="15" t="str">
        <f>IF(X589="","",IFERROR(INDEX($AR$11:$AR$4010,MATCH(579,$AY$11:$AY$4010,0)),""))</f>
        <v/>
      </c>
      <c r="AD589" s="16" t="str">
        <f>IF(AE589="","",IFERROR(INDEX($AL$11:$AL$4010,MATCH(579,$AZ$11:$AZ$4010,0)),""))</f>
        <v/>
      </c>
      <c r="AE589" s="12" t="str">
        <f>IFERROR(INDEX($AM$11:$AM$4010,MATCH(579,$AZ$11:$AZ$4010,0)),"")</f>
        <v/>
      </c>
      <c r="AF589" s="11" t="str">
        <f>IF(AE589="","",IFERROR(INDEX($AN$11:$AN$4010,MATCH(579,$AZ$11:$AZ$4010,0)),""))</f>
        <v/>
      </c>
      <c r="AG589" s="11" t="str">
        <f>IF(AE589="","",IFERROR(INDEX($AO$11:$AO$4010,MATCH(579,$AZ$11:$AZ$4010,0)),""))</f>
        <v/>
      </c>
      <c r="AH589" s="10" t="str">
        <f>IF(AE589="","",IFERROR(INDEX($AQ$11:$AQ$4010,MATCH(579,$AZ$11:$AZ$4010,0)),""))</f>
        <v/>
      </c>
      <c r="AI589" s="15" t="str">
        <f>IF(AE589="","",IFERROR(INDEX($AR$11:$AR$4010,MATCH(579,$AZ$11:$AZ$4010,0)),""))</f>
        <v/>
      </c>
      <c r="AJ589" s="15" t="str">
        <f>IF(AE589="","",IFERROR(INDEX($AT$11:$AT$4010,MATCH(579,$AZ$11:$AZ$4010,0)),""))</f>
        <v/>
      </c>
      <c r="AL589" s="17"/>
      <c r="AM589" s="12"/>
      <c r="AN589" s="18"/>
      <c r="AO589" s="18"/>
      <c r="AP589" s="10"/>
      <c r="AQ589" s="10"/>
      <c r="AR589" s="19"/>
      <c r="AS589" s="20"/>
      <c r="AT589" s="19"/>
      <c r="AV589" s="21">
        <f>IF(AND($AL589&lt;&gt;"",COUNTIF($AL$11:$AL589,$AL589)=1),1,0)</f>
        <v>0</v>
      </c>
      <c r="AW589" s="21">
        <f t="shared" si="105"/>
        <v>0</v>
      </c>
      <c r="AX589" s="21" t="str">
        <f t="shared" si="104"/>
        <v/>
      </c>
      <c r="AY589" s="21" t="str">
        <f>IF(AND($AM589&lt;&gt;"",$AS589&lt;&gt;"✓"),SUMPRODUCT(($AM$11:$AM589&lt;&gt;"")*($AS$11:$AS589&lt;&gt;"✓")),"")</f>
        <v/>
      </c>
      <c r="AZ589" s="21" t="str">
        <f>IF(AND($AM589&lt;&gt;"",$AS589="✓"),SUMPRODUCT(($AM$11:$AM589&lt;&gt;"")*($AS$11:$AS589="✓")),"")</f>
        <v/>
      </c>
      <c r="BA589" s="21" t="str">
        <f>IF($AL589="","",$AL589&amp;"|"&amp;COUNTIF($AL$11:$AL589,$AL589))</f>
        <v/>
      </c>
    </row>
    <row r="590" spans="23:53" ht="15" customHeight="1" x14ac:dyDescent="0.25">
      <c r="W590" s="28" t="str">
        <f>IF(X590="","",IFERROR(INDEX($AL$11:$AL$4010,MATCH(580,$AY$11:$AY$4010,0)),""))</f>
        <v/>
      </c>
      <c r="X590" s="26" t="str">
        <f>IFERROR(INDEX($AM$11:$AM$4010,MATCH(580,$AY$11:$AY$4010,0)),"")</f>
        <v/>
      </c>
      <c r="Y590" s="25" t="str">
        <f>IF(X590="","",IFERROR(INDEX($AN$11:$AN$4010,MATCH(580,$AY$11:$AY$4010,0)),""))</f>
        <v/>
      </c>
      <c r="Z590" s="25" t="str">
        <f>IF(X590="","",IFERROR(INDEX($AO$11:$AO$4010,MATCH(580,$AY$11:$AY$4010,0)),""))</f>
        <v/>
      </c>
      <c r="AA590" s="24" t="str">
        <f>IF(X590="","",IFERROR(INDEX($AQ$11:$AQ$4010,MATCH(580,$AY$11:$AY$4010,0)),""))</f>
        <v/>
      </c>
      <c r="AB590" s="29" t="str">
        <f>IF(X590="","",IFERROR(INDEX($AR$11:$AR$4010,MATCH(580,$AY$11:$AY$4010,0)),""))</f>
        <v/>
      </c>
      <c r="AD590" s="30" t="str">
        <f>IF(AE590="","",IFERROR(INDEX($AL$11:$AL$4010,MATCH(580,$AZ$11:$AZ$4010,0)),""))</f>
        <v/>
      </c>
      <c r="AE590" s="26" t="str">
        <f>IFERROR(INDEX($AM$11:$AM$4010,MATCH(580,$AZ$11:$AZ$4010,0)),"")</f>
        <v/>
      </c>
      <c r="AF590" s="25" t="str">
        <f>IF(AE590="","",IFERROR(INDEX($AN$11:$AN$4010,MATCH(580,$AZ$11:$AZ$4010,0)),""))</f>
        <v/>
      </c>
      <c r="AG590" s="25" t="str">
        <f>IF(AE590="","",IFERROR(INDEX($AO$11:$AO$4010,MATCH(580,$AZ$11:$AZ$4010,0)),""))</f>
        <v/>
      </c>
      <c r="AH590" s="24" t="str">
        <f>IF(AE590="","",IFERROR(INDEX($AQ$11:$AQ$4010,MATCH(580,$AZ$11:$AZ$4010,0)),""))</f>
        <v/>
      </c>
      <c r="AI590" s="29" t="str">
        <f>IF(AE590="","",IFERROR(INDEX($AR$11:$AR$4010,MATCH(580,$AZ$11:$AZ$4010,0)),""))</f>
        <v/>
      </c>
      <c r="AJ590" s="29" t="str">
        <f>IF(AE590="","",IFERROR(INDEX($AT$11:$AT$4010,MATCH(580,$AZ$11:$AZ$4010,0)),""))</f>
        <v/>
      </c>
      <c r="AL590" s="31"/>
      <c r="AM590" s="26"/>
      <c r="AN590" s="32"/>
      <c r="AO590" s="32"/>
      <c r="AP590" s="24"/>
      <c r="AQ590" s="24"/>
      <c r="AR590" s="33"/>
      <c r="AS590" s="34"/>
      <c r="AT590" s="33"/>
      <c r="AV590" s="21">
        <f>IF(AND($AL590&lt;&gt;"",COUNTIF($AL$11:$AL590,$AL590)=1),1,0)</f>
        <v>0</v>
      </c>
      <c r="AW590" s="21">
        <f t="shared" si="105"/>
        <v>0</v>
      </c>
      <c r="AX590" s="21" t="str">
        <f t="shared" si="104"/>
        <v/>
      </c>
      <c r="AY590" s="21" t="str">
        <f>IF(AND($AM590&lt;&gt;"",$AS590&lt;&gt;"✓"),SUMPRODUCT(($AM$11:$AM590&lt;&gt;"")*($AS$11:$AS590&lt;&gt;"✓")),"")</f>
        <v/>
      </c>
      <c r="AZ590" s="21" t="str">
        <f>IF(AND($AM590&lt;&gt;"",$AS590="✓"),SUMPRODUCT(($AM$11:$AM590&lt;&gt;"")*($AS$11:$AS590="✓")),"")</f>
        <v/>
      </c>
      <c r="BA590" s="21" t="str">
        <f>IF($AL590="","",$AL590&amp;"|"&amp;COUNTIF($AL$11:$AL590,$AL590))</f>
        <v/>
      </c>
    </row>
    <row r="591" spans="23:53" ht="15" customHeight="1" x14ac:dyDescent="0.25">
      <c r="W591" s="14" t="str">
        <f>IF(X591="","",IFERROR(INDEX($AL$11:$AL$4010,MATCH(581,$AY$11:$AY$4010,0)),""))</f>
        <v/>
      </c>
      <c r="X591" s="12" t="str">
        <f>IFERROR(INDEX($AM$11:$AM$4010,MATCH(581,$AY$11:$AY$4010,0)),"")</f>
        <v/>
      </c>
      <c r="Y591" s="11" t="str">
        <f>IF(X591="","",IFERROR(INDEX($AN$11:$AN$4010,MATCH(581,$AY$11:$AY$4010,0)),""))</f>
        <v/>
      </c>
      <c r="Z591" s="11" t="str">
        <f>IF(X591="","",IFERROR(INDEX($AO$11:$AO$4010,MATCH(581,$AY$11:$AY$4010,0)),""))</f>
        <v/>
      </c>
      <c r="AA591" s="10" t="str">
        <f>IF(X591="","",IFERROR(INDEX($AQ$11:$AQ$4010,MATCH(581,$AY$11:$AY$4010,0)),""))</f>
        <v/>
      </c>
      <c r="AB591" s="15" t="str">
        <f>IF(X591="","",IFERROR(INDEX($AR$11:$AR$4010,MATCH(581,$AY$11:$AY$4010,0)),""))</f>
        <v/>
      </c>
      <c r="AD591" s="16" t="str">
        <f>IF(AE591="","",IFERROR(INDEX($AL$11:$AL$4010,MATCH(581,$AZ$11:$AZ$4010,0)),""))</f>
        <v/>
      </c>
      <c r="AE591" s="12" t="str">
        <f>IFERROR(INDEX($AM$11:$AM$4010,MATCH(581,$AZ$11:$AZ$4010,0)),"")</f>
        <v/>
      </c>
      <c r="AF591" s="11" t="str">
        <f>IF(AE591="","",IFERROR(INDEX($AN$11:$AN$4010,MATCH(581,$AZ$11:$AZ$4010,0)),""))</f>
        <v/>
      </c>
      <c r="AG591" s="11" t="str">
        <f>IF(AE591="","",IFERROR(INDEX($AO$11:$AO$4010,MATCH(581,$AZ$11:$AZ$4010,0)),""))</f>
        <v/>
      </c>
      <c r="AH591" s="10" t="str">
        <f>IF(AE591="","",IFERROR(INDEX($AQ$11:$AQ$4010,MATCH(581,$AZ$11:$AZ$4010,0)),""))</f>
        <v/>
      </c>
      <c r="AI591" s="15" t="str">
        <f>IF(AE591="","",IFERROR(INDEX($AR$11:$AR$4010,MATCH(581,$AZ$11:$AZ$4010,0)),""))</f>
        <v/>
      </c>
      <c r="AJ591" s="15" t="str">
        <f>IF(AE591="","",IFERROR(INDEX($AT$11:$AT$4010,MATCH(581,$AZ$11:$AZ$4010,0)),""))</f>
        <v/>
      </c>
      <c r="AL591" s="17"/>
      <c r="AM591" s="12"/>
      <c r="AN591" s="18"/>
      <c r="AO591" s="18"/>
      <c r="AP591" s="10"/>
      <c r="AQ591" s="10"/>
      <c r="AR591" s="19"/>
      <c r="AS591" s="20"/>
      <c r="AT591" s="19"/>
      <c r="AV591" s="21">
        <f>IF(AND($AL591&lt;&gt;"",COUNTIF($AL$11:$AL591,$AL591)=1),1,0)</f>
        <v>0</v>
      </c>
      <c r="AW591" s="21">
        <f t="shared" si="105"/>
        <v>0</v>
      </c>
      <c r="AX591" s="21" t="str">
        <f t="shared" si="104"/>
        <v/>
      </c>
      <c r="AY591" s="21" t="str">
        <f>IF(AND($AM591&lt;&gt;"",$AS591&lt;&gt;"✓"),SUMPRODUCT(($AM$11:$AM591&lt;&gt;"")*($AS$11:$AS591&lt;&gt;"✓")),"")</f>
        <v/>
      </c>
      <c r="AZ591" s="21" t="str">
        <f>IF(AND($AM591&lt;&gt;"",$AS591="✓"),SUMPRODUCT(($AM$11:$AM591&lt;&gt;"")*($AS$11:$AS591="✓")),"")</f>
        <v/>
      </c>
      <c r="BA591" s="21" t="str">
        <f>IF($AL591="","",$AL591&amp;"|"&amp;COUNTIF($AL$11:$AL591,$AL591))</f>
        <v/>
      </c>
    </row>
    <row r="592" spans="23:53" ht="15" customHeight="1" x14ac:dyDescent="0.25">
      <c r="W592" s="28" t="str">
        <f>IF(X592="","",IFERROR(INDEX($AL$11:$AL$4010,MATCH(582,$AY$11:$AY$4010,0)),""))</f>
        <v/>
      </c>
      <c r="X592" s="26" t="str">
        <f>IFERROR(INDEX($AM$11:$AM$4010,MATCH(582,$AY$11:$AY$4010,0)),"")</f>
        <v/>
      </c>
      <c r="Y592" s="25" t="str">
        <f>IF(X592="","",IFERROR(INDEX($AN$11:$AN$4010,MATCH(582,$AY$11:$AY$4010,0)),""))</f>
        <v/>
      </c>
      <c r="Z592" s="25" t="str">
        <f>IF(X592="","",IFERROR(INDEX($AO$11:$AO$4010,MATCH(582,$AY$11:$AY$4010,0)),""))</f>
        <v/>
      </c>
      <c r="AA592" s="24" t="str">
        <f>IF(X592="","",IFERROR(INDEX($AQ$11:$AQ$4010,MATCH(582,$AY$11:$AY$4010,0)),""))</f>
        <v/>
      </c>
      <c r="AB592" s="29" t="str">
        <f>IF(X592="","",IFERROR(INDEX($AR$11:$AR$4010,MATCH(582,$AY$11:$AY$4010,0)),""))</f>
        <v/>
      </c>
      <c r="AD592" s="30" t="str">
        <f>IF(AE592="","",IFERROR(INDEX($AL$11:$AL$4010,MATCH(582,$AZ$11:$AZ$4010,0)),""))</f>
        <v/>
      </c>
      <c r="AE592" s="26" t="str">
        <f>IFERROR(INDEX($AM$11:$AM$4010,MATCH(582,$AZ$11:$AZ$4010,0)),"")</f>
        <v/>
      </c>
      <c r="AF592" s="25" t="str">
        <f>IF(AE592="","",IFERROR(INDEX($AN$11:$AN$4010,MATCH(582,$AZ$11:$AZ$4010,0)),""))</f>
        <v/>
      </c>
      <c r="AG592" s="25" t="str">
        <f>IF(AE592="","",IFERROR(INDEX($AO$11:$AO$4010,MATCH(582,$AZ$11:$AZ$4010,0)),""))</f>
        <v/>
      </c>
      <c r="AH592" s="24" t="str">
        <f>IF(AE592="","",IFERROR(INDEX($AQ$11:$AQ$4010,MATCH(582,$AZ$11:$AZ$4010,0)),""))</f>
        <v/>
      </c>
      <c r="AI592" s="29" t="str">
        <f>IF(AE592="","",IFERROR(INDEX($AR$11:$AR$4010,MATCH(582,$AZ$11:$AZ$4010,0)),""))</f>
        <v/>
      </c>
      <c r="AJ592" s="29" t="str">
        <f>IF(AE592="","",IFERROR(INDEX($AT$11:$AT$4010,MATCH(582,$AZ$11:$AZ$4010,0)),""))</f>
        <v/>
      </c>
      <c r="AL592" s="31"/>
      <c r="AM592" s="26"/>
      <c r="AN592" s="32"/>
      <c r="AO592" s="32"/>
      <c r="AP592" s="24"/>
      <c r="AQ592" s="24"/>
      <c r="AR592" s="33"/>
      <c r="AS592" s="34"/>
      <c r="AT592" s="33"/>
      <c r="AV592" s="21">
        <f>IF(AND($AL592&lt;&gt;"",COUNTIF($AL$11:$AL592,$AL592)=1),1,0)</f>
        <v>0</v>
      </c>
      <c r="AW592" s="21">
        <f t="shared" si="105"/>
        <v>0</v>
      </c>
      <c r="AX592" s="21" t="str">
        <f t="shared" si="104"/>
        <v/>
      </c>
      <c r="AY592" s="21" t="str">
        <f>IF(AND($AM592&lt;&gt;"",$AS592&lt;&gt;"✓"),SUMPRODUCT(($AM$11:$AM592&lt;&gt;"")*($AS$11:$AS592&lt;&gt;"✓")),"")</f>
        <v/>
      </c>
      <c r="AZ592" s="21" t="str">
        <f>IF(AND($AM592&lt;&gt;"",$AS592="✓"),SUMPRODUCT(($AM$11:$AM592&lt;&gt;"")*($AS$11:$AS592="✓")),"")</f>
        <v/>
      </c>
      <c r="BA592" s="21" t="str">
        <f>IF($AL592="","",$AL592&amp;"|"&amp;COUNTIF($AL$11:$AL592,$AL592))</f>
        <v/>
      </c>
    </row>
    <row r="593" spans="23:53" ht="15" customHeight="1" x14ac:dyDescent="0.25">
      <c r="W593" s="14" t="str">
        <f>IF(X593="","",IFERROR(INDEX($AL$11:$AL$4010,MATCH(583,$AY$11:$AY$4010,0)),""))</f>
        <v/>
      </c>
      <c r="X593" s="12" t="str">
        <f>IFERROR(INDEX($AM$11:$AM$4010,MATCH(583,$AY$11:$AY$4010,0)),"")</f>
        <v/>
      </c>
      <c r="Y593" s="11" t="str">
        <f>IF(X593="","",IFERROR(INDEX($AN$11:$AN$4010,MATCH(583,$AY$11:$AY$4010,0)),""))</f>
        <v/>
      </c>
      <c r="Z593" s="11" t="str">
        <f>IF(X593="","",IFERROR(INDEX($AO$11:$AO$4010,MATCH(583,$AY$11:$AY$4010,0)),""))</f>
        <v/>
      </c>
      <c r="AA593" s="10" t="str">
        <f>IF(X593="","",IFERROR(INDEX($AQ$11:$AQ$4010,MATCH(583,$AY$11:$AY$4010,0)),""))</f>
        <v/>
      </c>
      <c r="AB593" s="15" t="str">
        <f>IF(X593="","",IFERROR(INDEX($AR$11:$AR$4010,MATCH(583,$AY$11:$AY$4010,0)),""))</f>
        <v/>
      </c>
      <c r="AD593" s="16" t="str">
        <f>IF(AE593="","",IFERROR(INDEX($AL$11:$AL$4010,MATCH(583,$AZ$11:$AZ$4010,0)),""))</f>
        <v/>
      </c>
      <c r="AE593" s="12" t="str">
        <f>IFERROR(INDEX($AM$11:$AM$4010,MATCH(583,$AZ$11:$AZ$4010,0)),"")</f>
        <v/>
      </c>
      <c r="AF593" s="11" t="str">
        <f>IF(AE593="","",IFERROR(INDEX($AN$11:$AN$4010,MATCH(583,$AZ$11:$AZ$4010,0)),""))</f>
        <v/>
      </c>
      <c r="AG593" s="11" t="str">
        <f>IF(AE593="","",IFERROR(INDEX($AO$11:$AO$4010,MATCH(583,$AZ$11:$AZ$4010,0)),""))</f>
        <v/>
      </c>
      <c r="AH593" s="10" t="str">
        <f>IF(AE593="","",IFERROR(INDEX($AQ$11:$AQ$4010,MATCH(583,$AZ$11:$AZ$4010,0)),""))</f>
        <v/>
      </c>
      <c r="AI593" s="15" t="str">
        <f>IF(AE593="","",IFERROR(INDEX($AR$11:$AR$4010,MATCH(583,$AZ$11:$AZ$4010,0)),""))</f>
        <v/>
      </c>
      <c r="AJ593" s="15" t="str">
        <f>IF(AE593="","",IFERROR(INDEX($AT$11:$AT$4010,MATCH(583,$AZ$11:$AZ$4010,0)),""))</f>
        <v/>
      </c>
      <c r="AL593" s="17"/>
      <c r="AM593" s="12"/>
      <c r="AN593" s="18"/>
      <c r="AO593" s="18"/>
      <c r="AP593" s="10"/>
      <c r="AQ593" s="10"/>
      <c r="AR593" s="19"/>
      <c r="AS593" s="20"/>
      <c r="AT593" s="19"/>
      <c r="AV593" s="21">
        <f>IF(AND($AL593&lt;&gt;"",COUNTIF($AL$11:$AL593,$AL593)=1),1,0)</f>
        <v>0</v>
      </c>
      <c r="AW593" s="21">
        <f t="shared" si="105"/>
        <v>0</v>
      </c>
      <c r="AX593" s="21" t="str">
        <f t="shared" si="104"/>
        <v/>
      </c>
      <c r="AY593" s="21" t="str">
        <f>IF(AND($AM593&lt;&gt;"",$AS593&lt;&gt;"✓"),SUMPRODUCT(($AM$11:$AM593&lt;&gt;"")*($AS$11:$AS593&lt;&gt;"✓")),"")</f>
        <v/>
      </c>
      <c r="AZ593" s="21" t="str">
        <f>IF(AND($AM593&lt;&gt;"",$AS593="✓"),SUMPRODUCT(($AM$11:$AM593&lt;&gt;"")*($AS$11:$AS593="✓")),"")</f>
        <v/>
      </c>
      <c r="BA593" s="21" t="str">
        <f>IF($AL593="","",$AL593&amp;"|"&amp;COUNTIF($AL$11:$AL593,$AL593))</f>
        <v/>
      </c>
    </row>
    <row r="594" spans="23:53" ht="15" customHeight="1" x14ac:dyDescent="0.25">
      <c r="W594" s="28" t="str">
        <f>IF(X594="","",IFERROR(INDEX($AL$11:$AL$4010,MATCH(584,$AY$11:$AY$4010,0)),""))</f>
        <v/>
      </c>
      <c r="X594" s="26" t="str">
        <f>IFERROR(INDEX($AM$11:$AM$4010,MATCH(584,$AY$11:$AY$4010,0)),"")</f>
        <v/>
      </c>
      <c r="Y594" s="25" t="str">
        <f>IF(X594="","",IFERROR(INDEX($AN$11:$AN$4010,MATCH(584,$AY$11:$AY$4010,0)),""))</f>
        <v/>
      </c>
      <c r="Z594" s="25" t="str">
        <f>IF(X594="","",IFERROR(INDEX($AO$11:$AO$4010,MATCH(584,$AY$11:$AY$4010,0)),""))</f>
        <v/>
      </c>
      <c r="AA594" s="24" t="str">
        <f>IF(X594="","",IFERROR(INDEX($AQ$11:$AQ$4010,MATCH(584,$AY$11:$AY$4010,0)),""))</f>
        <v/>
      </c>
      <c r="AB594" s="29" t="str">
        <f>IF(X594="","",IFERROR(INDEX($AR$11:$AR$4010,MATCH(584,$AY$11:$AY$4010,0)),""))</f>
        <v/>
      </c>
      <c r="AD594" s="30" t="str">
        <f>IF(AE594="","",IFERROR(INDEX($AL$11:$AL$4010,MATCH(584,$AZ$11:$AZ$4010,0)),""))</f>
        <v/>
      </c>
      <c r="AE594" s="26" t="str">
        <f>IFERROR(INDEX($AM$11:$AM$4010,MATCH(584,$AZ$11:$AZ$4010,0)),"")</f>
        <v/>
      </c>
      <c r="AF594" s="25" t="str">
        <f>IF(AE594="","",IFERROR(INDEX($AN$11:$AN$4010,MATCH(584,$AZ$11:$AZ$4010,0)),""))</f>
        <v/>
      </c>
      <c r="AG594" s="25" t="str">
        <f>IF(AE594="","",IFERROR(INDEX($AO$11:$AO$4010,MATCH(584,$AZ$11:$AZ$4010,0)),""))</f>
        <v/>
      </c>
      <c r="AH594" s="24" t="str">
        <f>IF(AE594="","",IFERROR(INDEX($AQ$11:$AQ$4010,MATCH(584,$AZ$11:$AZ$4010,0)),""))</f>
        <v/>
      </c>
      <c r="AI594" s="29" t="str">
        <f>IF(AE594="","",IFERROR(INDEX($AR$11:$AR$4010,MATCH(584,$AZ$11:$AZ$4010,0)),""))</f>
        <v/>
      </c>
      <c r="AJ594" s="29" t="str">
        <f>IF(AE594="","",IFERROR(INDEX($AT$11:$AT$4010,MATCH(584,$AZ$11:$AZ$4010,0)),""))</f>
        <v/>
      </c>
      <c r="AL594" s="31"/>
      <c r="AM594" s="26"/>
      <c r="AN594" s="32"/>
      <c r="AO594" s="32"/>
      <c r="AP594" s="24"/>
      <c r="AQ594" s="24"/>
      <c r="AR594" s="33"/>
      <c r="AS594" s="34"/>
      <c r="AT594" s="33"/>
      <c r="AV594" s="21">
        <f>IF(AND($AL594&lt;&gt;"",COUNTIF($AL$11:$AL594,$AL594)=1),1,0)</f>
        <v>0</v>
      </c>
      <c r="AW594" s="21">
        <f t="shared" si="105"/>
        <v>0</v>
      </c>
      <c r="AX594" s="21" t="str">
        <f t="shared" si="104"/>
        <v/>
      </c>
      <c r="AY594" s="21" t="str">
        <f>IF(AND($AM594&lt;&gt;"",$AS594&lt;&gt;"✓"),SUMPRODUCT(($AM$11:$AM594&lt;&gt;"")*($AS$11:$AS594&lt;&gt;"✓")),"")</f>
        <v/>
      </c>
      <c r="AZ594" s="21" t="str">
        <f>IF(AND($AM594&lt;&gt;"",$AS594="✓"),SUMPRODUCT(($AM$11:$AM594&lt;&gt;"")*($AS$11:$AS594="✓")),"")</f>
        <v/>
      </c>
      <c r="BA594" s="21" t="str">
        <f>IF($AL594="","",$AL594&amp;"|"&amp;COUNTIF($AL$11:$AL594,$AL594))</f>
        <v/>
      </c>
    </row>
    <row r="595" spans="23:53" ht="15" customHeight="1" x14ac:dyDescent="0.25">
      <c r="W595" s="14" t="str">
        <f>IF(X595="","",IFERROR(INDEX($AL$11:$AL$4010,MATCH(585,$AY$11:$AY$4010,0)),""))</f>
        <v/>
      </c>
      <c r="X595" s="12" t="str">
        <f>IFERROR(INDEX($AM$11:$AM$4010,MATCH(585,$AY$11:$AY$4010,0)),"")</f>
        <v/>
      </c>
      <c r="Y595" s="11" t="str">
        <f>IF(X595="","",IFERROR(INDEX($AN$11:$AN$4010,MATCH(585,$AY$11:$AY$4010,0)),""))</f>
        <v/>
      </c>
      <c r="Z595" s="11" t="str">
        <f>IF(X595="","",IFERROR(INDEX($AO$11:$AO$4010,MATCH(585,$AY$11:$AY$4010,0)),""))</f>
        <v/>
      </c>
      <c r="AA595" s="10" t="str">
        <f>IF(X595="","",IFERROR(INDEX($AQ$11:$AQ$4010,MATCH(585,$AY$11:$AY$4010,0)),""))</f>
        <v/>
      </c>
      <c r="AB595" s="15" t="str">
        <f>IF(X595="","",IFERROR(INDEX($AR$11:$AR$4010,MATCH(585,$AY$11:$AY$4010,0)),""))</f>
        <v/>
      </c>
      <c r="AD595" s="16" t="str">
        <f>IF(AE595="","",IFERROR(INDEX($AL$11:$AL$4010,MATCH(585,$AZ$11:$AZ$4010,0)),""))</f>
        <v/>
      </c>
      <c r="AE595" s="12" t="str">
        <f>IFERROR(INDEX($AM$11:$AM$4010,MATCH(585,$AZ$11:$AZ$4010,0)),"")</f>
        <v/>
      </c>
      <c r="AF595" s="11" t="str">
        <f>IF(AE595="","",IFERROR(INDEX($AN$11:$AN$4010,MATCH(585,$AZ$11:$AZ$4010,0)),""))</f>
        <v/>
      </c>
      <c r="AG595" s="11" t="str">
        <f>IF(AE595="","",IFERROR(INDEX($AO$11:$AO$4010,MATCH(585,$AZ$11:$AZ$4010,0)),""))</f>
        <v/>
      </c>
      <c r="AH595" s="10" t="str">
        <f>IF(AE595="","",IFERROR(INDEX($AQ$11:$AQ$4010,MATCH(585,$AZ$11:$AZ$4010,0)),""))</f>
        <v/>
      </c>
      <c r="AI595" s="15" t="str">
        <f>IF(AE595="","",IFERROR(INDEX($AR$11:$AR$4010,MATCH(585,$AZ$11:$AZ$4010,0)),""))</f>
        <v/>
      </c>
      <c r="AJ595" s="15" t="str">
        <f>IF(AE595="","",IFERROR(INDEX($AT$11:$AT$4010,MATCH(585,$AZ$11:$AZ$4010,0)),""))</f>
        <v/>
      </c>
      <c r="AL595" s="17"/>
      <c r="AM595" s="12"/>
      <c r="AN595" s="18"/>
      <c r="AO595" s="18"/>
      <c r="AP595" s="10"/>
      <c r="AQ595" s="10"/>
      <c r="AR595" s="19"/>
      <c r="AS595" s="20"/>
      <c r="AT595" s="19"/>
      <c r="AV595" s="21">
        <f>IF(AND($AL595&lt;&gt;"",COUNTIF($AL$11:$AL595,$AL595)=1),1,0)</f>
        <v>0</v>
      </c>
      <c r="AW595" s="21">
        <f t="shared" si="105"/>
        <v>0</v>
      </c>
      <c r="AX595" s="21" t="str">
        <f t="shared" si="104"/>
        <v/>
      </c>
      <c r="AY595" s="21" t="str">
        <f>IF(AND($AM595&lt;&gt;"",$AS595&lt;&gt;"✓"),SUMPRODUCT(($AM$11:$AM595&lt;&gt;"")*($AS$11:$AS595&lt;&gt;"✓")),"")</f>
        <v/>
      </c>
      <c r="AZ595" s="21" t="str">
        <f>IF(AND($AM595&lt;&gt;"",$AS595="✓"),SUMPRODUCT(($AM$11:$AM595&lt;&gt;"")*($AS$11:$AS595="✓")),"")</f>
        <v/>
      </c>
      <c r="BA595" s="21" t="str">
        <f>IF($AL595="","",$AL595&amp;"|"&amp;COUNTIF($AL$11:$AL595,$AL595))</f>
        <v/>
      </c>
    </row>
    <row r="596" spans="23:53" ht="15" customHeight="1" x14ac:dyDescent="0.25">
      <c r="W596" s="28" t="str">
        <f>IF(X596="","",IFERROR(INDEX($AL$11:$AL$4010,MATCH(586,$AY$11:$AY$4010,0)),""))</f>
        <v/>
      </c>
      <c r="X596" s="26" t="str">
        <f>IFERROR(INDEX($AM$11:$AM$4010,MATCH(586,$AY$11:$AY$4010,0)),"")</f>
        <v/>
      </c>
      <c r="Y596" s="25" t="str">
        <f>IF(X596="","",IFERROR(INDEX($AN$11:$AN$4010,MATCH(586,$AY$11:$AY$4010,0)),""))</f>
        <v/>
      </c>
      <c r="Z596" s="25" t="str">
        <f>IF(X596="","",IFERROR(INDEX($AO$11:$AO$4010,MATCH(586,$AY$11:$AY$4010,0)),""))</f>
        <v/>
      </c>
      <c r="AA596" s="24" t="str">
        <f>IF(X596="","",IFERROR(INDEX($AQ$11:$AQ$4010,MATCH(586,$AY$11:$AY$4010,0)),""))</f>
        <v/>
      </c>
      <c r="AB596" s="29" t="str">
        <f>IF(X596="","",IFERROR(INDEX($AR$11:$AR$4010,MATCH(586,$AY$11:$AY$4010,0)),""))</f>
        <v/>
      </c>
      <c r="AD596" s="30" t="str">
        <f>IF(AE596="","",IFERROR(INDEX($AL$11:$AL$4010,MATCH(586,$AZ$11:$AZ$4010,0)),""))</f>
        <v/>
      </c>
      <c r="AE596" s="26" t="str">
        <f>IFERROR(INDEX($AM$11:$AM$4010,MATCH(586,$AZ$11:$AZ$4010,0)),"")</f>
        <v/>
      </c>
      <c r="AF596" s="25" t="str">
        <f>IF(AE596="","",IFERROR(INDEX($AN$11:$AN$4010,MATCH(586,$AZ$11:$AZ$4010,0)),""))</f>
        <v/>
      </c>
      <c r="AG596" s="25" t="str">
        <f>IF(AE596="","",IFERROR(INDEX($AO$11:$AO$4010,MATCH(586,$AZ$11:$AZ$4010,0)),""))</f>
        <v/>
      </c>
      <c r="AH596" s="24" t="str">
        <f>IF(AE596="","",IFERROR(INDEX($AQ$11:$AQ$4010,MATCH(586,$AZ$11:$AZ$4010,0)),""))</f>
        <v/>
      </c>
      <c r="AI596" s="29" t="str">
        <f>IF(AE596="","",IFERROR(INDEX($AR$11:$AR$4010,MATCH(586,$AZ$11:$AZ$4010,0)),""))</f>
        <v/>
      </c>
      <c r="AJ596" s="29" t="str">
        <f>IF(AE596="","",IFERROR(INDEX($AT$11:$AT$4010,MATCH(586,$AZ$11:$AZ$4010,0)),""))</f>
        <v/>
      </c>
      <c r="AL596" s="31"/>
      <c r="AM596" s="26"/>
      <c r="AN596" s="32"/>
      <c r="AO596" s="32"/>
      <c r="AP596" s="24"/>
      <c r="AQ596" s="24"/>
      <c r="AR596" s="33"/>
      <c r="AS596" s="34"/>
      <c r="AT596" s="33"/>
      <c r="AV596" s="21">
        <f>IF(AND($AL596&lt;&gt;"",COUNTIF($AL$11:$AL596,$AL596)=1),1,0)</f>
        <v>0</v>
      </c>
      <c r="AW596" s="21">
        <f t="shared" si="105"/>
        <v>0</v>
      </c>
      <c r="AX596" s="21" t="str">
        <f t="shared" si="104"/>
        <v/>
      </c>
      <c r="AY596" s="21" t="str">
        <f>IF(AND($AM596&lt;&gt;"",$AS596&lt;&gt;"✓"),SUMPRODUCT(($AM$11:$AM596&lt;&gt;"")*($AS$11:$AS596&lt;&gt;"✓")),"")</f>
        <v/>
      </c>
      <c r="AZ596" s="21" t="str">
        <f>IF(AND($AM596&lt;&gt;"",$AS596="✓"),SUMPRODUCT(($AM$11:$AM596&lt;&gt;"")*($AS$11:$AS596="✓")),"")</f>
        <v/>
      </c>
      <c r="BA596" s="21" t="str">
        <f>IF($AL596="","",$AL596&amp;"|"&amp;COUNTIF($AL$11:$AL596,$AL596))</f>
        <v/>
      </c>
    </row>
    <row r="597" spans="23:53" ht="15" customHeight="1" x14ac:dyDescent="0.25">
      <c r="W597" s="14" t="str">
        <f>IF(X597="","",IFERROR(INDEX($AL$11:$AL$4010,MATCH(587,$AY$11:$AY$4010,0)),""))</f>
        <v/>
      </c>
      <c r="X597" s="12" t="str">
        <f>IFERROR(INDEX($AM$11:$AM$4010,MATCH(587,$AY$11:$AY$4010,0)),"")</f>
        <v/>
      </c>
      <c r="Y597" s="11" t="str">
        <f>IF(X597="","",IFERROR(INDEX($AN$11:$AN$4010,MATCH(587,$AY$11:$AY$4010,0)),""))</f>
        <v/>
      </c>
      <c r="Z597" s="11" t="str">
        <f>IF(X597="","",IFERROR(INDEX($AO$11:$AO$4010,MATCH(587,$AY$11:$AY$4010,0)),""))</f>
        <v/>
      </c>
      <c r="AA597" s="10" t="str">
        <f>IF(X597="","",IFERROR(INDEX($AQ$11:$AQ$4010,MATCH(587,$AY$11:$AY$4010,0)),""))</f>
        <v/>
      </c>
      <c r="AB597" s="15" t="str">
        <f>IF(X597="","",IFERROR(INDEX($AR$11:$AR$4010,MATCH(587,$AY$11:$AY$4010,0)),""))</f>
        <v/>
      </c>
      <c r="AD597" s="16" t="str">
        <f>IF(AE597="","",IFERROR(INDEX($AL$11:$AL$4010,MATCH(587,$AZ$11:$AZ$4010,0)),""))</f>
        <v/>
      </c>
      <c r="AE597" s="12" t="str">
        <f>IFERROR(INDEX($AM$11:$AM$4010,MATCH(587,$AZ$11:$AZ$4010,0)),"")</f>
        <v/>
      </c>
      <c r="AF597" s="11" t="str">
        <f>IF(AE597="","",IFERROR(INDEX($AN$11:$AN$4010,MATCH(587,$AZ$11:$AZ$4010,0)),""))</f>
        <v/>
      </c>
      <c r="AG597" s="11" t="str">
        <f>IF(AE597="","",IFERROR(INDEX($AO$11:$AO$4010,MATCH(587,$AZ$11:$AZ$4010,0)),""))</f>
        <v/>
      </c>
      <c r="AH597" s="10" t="str">
        <f>IF(AE597="","",IFERROR(INDEX($AQ$11:$AQ$4010,MATCH(587,$AZ$11:$AZ$4010,0)),""))</f>
        <v/>
      </c>
      <c r="AI597" s="15" t="str">
        <f>IF(AE597="","",IFERROR(INDEX($AR$11:$AR$4010,MATCH(587,$AZ$11:$AZ$4010,0)),""))</f>
        <v/>
      </c>
      <c r="AJ597" s="15" t="str">
        <f>IF(AE597="","",IFERROR(INDEX($AT$11:$AT$4010,MATCH(587,$AZ$11:$AZ$4010,0)),""))</f>
        <v/>
      </c>
      <c r="AL597" s="17"/>
      <c r="AM597" s="12"/>
      <c r="AN597" s="18"/>
      <c r="AO597" s="18"/>
      <c r="AP597" s="10"/>
      <c r="AQ597" s="10"/>
      <c r="AR597" s="19"/>
      <c r="AS597" s="20"/>
      <c r="AT597" s="19"/>
      <c r="AV597" s="21">
        <f>IF(AND($AL597&lt;&gt;"",COUNTIF($AL$11:$AL597,$AL597)=1),1,0)</f>
        <v>0</v>
      </c>
      <c r="AW597" s="21">
        <f t="shared" si="105"/>
        <v>0</v>
      </c>
      <c r="AX597" s="21" t="str">
        <f t="shared" si="104"/>
        <v/>
      </c>
      <c r="AY597" s="21" t="str">
        <f>IF(AND($AM597&lt;&gt;"",$AS597&lt;&gt;"✓"),SUMPRODUCT(($AM$11:$AM597&lt;&gt;"")*($AS$11:$AS597&lt;&gt;"✓")),"")</f>
        <v/>
      </c>
      <c r="AZ597" s="21" t="str">
        <f>IF(AND($AM597&lt;&gt;"",$AS597="✓"),SUMPRODUCT(($AM$11:$AM597&lt;&gt;"")*($AS$11:$AS597="✓")),"")</f>
        <v/>
      </c>
      <c r="BA597" s="21" t="str">
        <f>IF($AL597="","",$AL597&amp;"|"&amp;COUNTIF($AL$11:$AL597,$AL597))</f>
        <v/>
      </c>
    </row>
    <row r="598" spans="23:53" ht="15" customHeight="1" x14ac:dyDescent="0.25">
      <c r="W598" s="28" t="str">
        <f>IF(X598="","",IFERROR(INDEX($AL$11:$AL$4010,MATCH(588,$AY$11:$AY$4010,0)),""))</f>
        <v/>
      </c>
      <c r="X598" s="26" t="str">
        <f>IFERROR(INDEX($AM$11:$AM$4010,MATCH(588,$AY$11:$AY$4010,0)),"")</f>
        <v/>
      </c>
      <c r="Y598" s="25" t="str">
        <f>IF(X598="","",IFERROR(INDEX($AN$11:$AN$4010,MATCH(588,$AY$11:$AY$4010,0)),""))</f>
        <v/>
      </c>
      <c r="Z598" s="25" t="str">
        <f>IF(X598="","",IFERROR(INDEX($AO$11:$AO$4010,MATCH(588,$AY$11:$AY$4010,0)),""))</f>
        <v/>
      </c>
      <c r="AA598" s="24" t="str">
        <f>IF(X598="","",IFERROR(INDEX($AQ$11:$AQ$4010,MATCH(588,$AY$11:$AY$4010,0)),""))</f>
        <v/>
      </c>
      <c r="AB598" s="29" t="str">
        <f>IF(X598="","",IFERROR(INDEX($AR$11:$AR$4010,MATCH(588,$AY$11:$AY$4010,0)),""))</f>
        <v/>
      </c>
      <c r="AD598" s="30" t="str">
        <f>IF(AE598="","",IFERROR(INDEX($AL$11:$AL$4010,MATCH(588,$AZ$11:$AZ$4010,0)),""))</f>
        <v/>
      </c>
      <c r="AE598" s="26" t="str">
        <f>IFERROR(INDEX($AM$11:$AM$4010,MATCH(588,$AZ$11:$AZ$4010,0)),"")</f>
        <v/>
      </c>
      <c r="AF598" s="25" t="str">
        <f>IF(AE598="","",IFERROR(INDEX($AN$11:$AN$4010,MATCH(588,$AZ$11:$AZ$4010,0)),""))</f>
        <v/>
      </c>
      <c r="AG598" s="25" t="str">
        <f>IF(AE598="","",IFERROR(INDEX($AO$11:$AO$4010,MATCH(588,$AZ$11:$AZ$4010,0)),""))</f>
        <v/>
      </c>
      <c r="AH598" s="24" t="str">
        <f>IF(AE598="","",IFERROR(INDEX($AQ$11:$AQ$4010,MATCH(588,$AZ$11:$AZ$4010,0)),""))</f>
        <v/>
      </c>
      <c r="AI598" s="29" t="str">
        <f>IF(AE598="","",IFERROR(INDEX($AR$11:$AR$4010,MATCH(588,$AZ$11:$AZ$4010,0)),""))</f>
        <v/>
      </c>
      <c r="AJ598" s="29" t="str">
        <f>IF(AE598="","",IFERROR(INDEX($AT$11:$AT$4010,MATCH(588,$AZ$11:$AZ$4010,0)),""))</f>
        <v/>
      </c>
      <c r="AL598" s="31"/>
      <c r="AM598" s="26"/>
      <c r="AN598" s="32"/>
      <c r="AO598" s="32"/>
      <c r="AP598" s="24"/>
      <c r="AQ598" s="24"/>
      <c r="AR598" s="33"/>
      <c r="AS598" s="34"/>
      <c r="AT598" s="33"/>
      <c r="AV598" s="21">
        <f>IF(AND($AL598&lt;&gt;"",COUNTIF($AL$11:$AL598,$AL598)=1),1,0)</f>
        <v>0</v>
      </c>
      <c r="AW598" s="21">
        <f t="shared" si="105"/>
        <v>0</v>
      </c>
      <c r="AX598" s="21" t="str">
        <f t="shared" si="104"/>
        <v/>
      </c>
      <c r="AY598" s="21" t="str">
        <f>IF(AND($AM598&lt;&gt;"",$AS598&lt;&gt;"✓"),SUMPRODUCT(($AM$11:$AM598&lt;&gt;"")*($AS$11:$AS598&lt;&gt;"✓")),"")</f>
        <v/>
      </c>
      <c r="AZ598" s="21" t="str">
        <f>IF(AND($AM598&lt;&gt;"",$AS598="✓"),SUMPRODUCT(($AM$11:$AM598&lt;&gt;"")*($AS$11:$AS598="✓")),"")</f>
        <v/>
      </c>
      <c r="BA598" s="21" t="str">
        <f>IF($AL598="","",$AL598&amp;"|"&amp;COUNTIF($AL$11:$AL598,$AL598))</f>
        <v/>
      </c>
    </row>
    <row r="599" spans="23:53" ht="15" customHeight="1" x14ac:dyDescent="0.25">
      <c r="W599" s="14" t="str">
        <f>IF(X599="","",IFERROR(INDEX($AL$11:$AL$4010,MATCH(589,$AY$11:$AY$4010,0)),""))</f>
        <v/>
      </c>
      <c r="X599" s="12" t="str">
        <f>IFERROR(INDEX($AM$11:$AM$4010,MATCH(589,$AY$11:$AY$4010,0)),"")</f>
        <v/>
      </c>
      <c r="Y599" s="11" t="str">
        <f>IF(X599="","",IFERROR(INDEX($AN$11:$AN$4010,MATCH(589,$AY$11:$AY$4010,0)),""))</f>
        <v/>
      </c>
      <c r="Z599" s="11" t="str">
        <f>IF(X599="","",IFERROR(INDEX($AO$11:$AO$4010,MATCH(589,$AY$11:$AY$4010,0)),""))</f>
        <v/>
      </c>
      <c r="AA599" s="10" t="str">
        <f>IF(X599="","",IFERROR(INDEX($AQ$11:$AQ$4010,MATCH(589,$AY$11:$AY$4010,0)),""))</f>
        <v/>
      </c>
      <c r="AB599" s="15" t="str">
        <f>IF(X599="","",IFERROR(INDEX($AR$11:$AR$4010,MATCH(589,$AY$11:$AY$4010,0)),""))</f>
        <v/>
      </c>
      <c r="AD599" s="16" t="str">
        <f>IF(AE599="","",IFERROR(INDEX($AL$11:$AL$4010,MATCH(589,$AZ$11:$AZ$4010,0)),""))</f>
        <v/>
      </c>
      <c r="AE599" s="12" t="str">
        <f>IFERROR(INDEX($AM$11:$AM$4010,MATCH(589,$AZ$11:$AZ$4010,0)),"")</f>
        <v/>
      </c>
      <c r="AF599" s="11" t="str">
        <f>IF(AE599="","",IFERROR(INDEX($AN$11:$AN$4010,MATCH(589,$AZ$11:$AZ$4010,0)),""))</f>
        <v/>
      </c>
      <c r="AG599" s="11" t="str">
        <f>IF(AE599="","",IFERROR(INDEX($AO$11:$AO$4010,MATCH(589,$AZ$11:$AZ$4010,0)),""))</f>
        <v/>
      </c>
      <c r="AH599" s="10" t="str">
        <f>IF(AE599="","",IFERROR(INDEX($AQ$11:$AQ$4010,MATCH(589,$AZ$11:$AZ$4010,0)),""))</f>
        <v/>
      </c>
      <c r="AI599" s="15" t="str">
        <f>IF(AE599="","",IFERROR(INDEX($AR$11:$AR$4010,MATCH(589,$AZ$11:$AZ$4010,0)),""))</f>
        <v/>
      </c>
      <c r="AJ599" s="15" t="str">
        <f>IF(AE599="","",IFERROR(INDEX($AT$11:$AT$4010,MATCH(589,$AZ$11:$AZ$4010,0)),""))</f>
        <v/>
      </c>
      <c r="AL599" s="17"/>
      <c r="AM599" s="12"/>
      <c r="AN599" s="18"/>
      <c r="AO599" s="18"/>
      <c r="AP599" s="10"/>
      <c r="AQ599" s="10"/>
      <c r="AR599" s="19"/>
      <c r="AS599" s="20"/>
      <c r="AT599" s="19"/>
      <c r="AV599" s="21">
        <f>IF(AND($AL599&lt;&gt;"",COUNTIF($AL$11:$AL599,$AL599)=1),1,0)</f>
        <v>0</v>
      </c>
      <c r="AW599" s="21">
        <f t="shared" si="105"/>
        <v>0</v>
      </c>
      <c r="AX599" s="21" t="str">
        <f t="shared" si="104"/>
        <v/>
      </c>
      <c r="AY599" s="21" t="str">
        <f>IF(AND($AM599&lt;&gt;"",$AS599&lt;&gt;"✓"),SUMPRODUCT(($AM$11:$AM599&lt;&gt;"")*($AS$11:$AS599&lt;&gt;"✓")),"")</f>
        <v/>
      </c>
      <c r="AZ599" s="21" t="str">
        <f>IF(AND($AM599&lt;&gt;"",$AS599="✓"),SUMPRODUCT(($AM$11:$AM599&lt;&gt;"")*($AS$11:$AS599="✓")),"")</f>
        <v/>
      </c>
      <c r="BA599" s="21" t="str">
        <f>IF($AL599="","",$AL599&amp;"|"&amp;COUNTIF($AL$11:$AL599,$AL599))</f>
        <v/>
      </c>
    </row>
    <row r="600" spans="23:53" ht="15" customHeight="1" x14ac:dyDescent="0.25">
      <c r="W600" s="28" t="str">
        <f>IF(X600="","",IFERROR(INDEX($AL$11:$AL$4010,MATCH(590,$AY$11:$AY$4010,0)),""))</f>
        <v/>
      </c>
      <c r="X600" s="26" t="str">
        <f>IFERROR(INDEX($AM$11:$AM$4010,MATCH(590,$AY$11:$AY$4010,0)),"")</f>
        <v/>
      </c>
      <c r="Y600" s="25" t="str">
        <f>IF(X600="","",IFERROR(INDEX($AN$11:$AN$4010,MATCH(590,$AY$11:$AY$4010,0)),""))</f>
        <v/>
      </c>
      <c r="Z600" s="25" t="str">
        <f>IF(X600="","",IFERROR(INDEX($AO$11:$AO$4010,MATCH(590,$AY$11:$AY$4010,0)),""))</f>
        <v/>
      </c>
      <c r="AA600" s="24" t="str">
        <f>IF(X600="","",IFERROR(INDEX($AQ$11:$AQ$4010,MATCH(590,$AY$11:$AY$4010,0)),""))</f>
        <v/>
      </c>
      <c r="AB600" s="29" t="str">
        <f>IF(X600="","",IFERROR(INDEX($AR$11:$AR$4010,MATCH(590,$AY$11:$AY$4010,0)),""))</f>
        <v/>
      </c>
      <c r="AD600" s="30" t="str">
        <f>IF(AE600="","",IFERROR(INDEX($AL$11:$AL$4010,MATCH(590,$AZ$11:$AZ$4010,0)),""))</f>
        <v/>
      </c>
      <c r="AE600" s="26" t="str">
        <f>IFERROR(INDEX($AM$11:$AM$4010,MATCH(590,$AZ$11:$AZ$4010,0)),"")</f>
        <v/>
      </c>
      <c r="AF600" s="25" t="str">
        <f>IF(AE600="","",IFERROR(INDEX($AN$11:$AN$4010,MATCH(590,$AZ$11:$AZ$4010,0)),""))</f>
        <v/>
      </c>
      <c r="AG600" s="25" t="str">
        <f>IF(AE600="","",IFERROR(INDEX($AO$11:$AO$4010,MATCH(590,$AZ$11:$AZ$4010,0)),""))</f>
        <v/>
      </c>
      <c r="AH600" s="24" t="str">
        <f>IF(AE600="","",IFERROR(INDEX($AQ$11:$AQ$4010,MATCH(590,$AZ$11:$AZ$4010,0)),""))</f>
        <v/>
      </c>
      <c r="AI600" s="29" t="str">
        <f>IF(AE600="","",IFERROR(INDEX($AR$11:$AR$4010,MATCH(590,$AZ$11:$AZ$4010,0)),""))</f>
        <v/>
      </c>
      <c r="AJ600" s="29" t="str">
        <f>IF(AE600="","",IFERROR(INDEX($AT$11:$AT$4010,MATCH(590,$AZ$11:$AZ$4010,0)),""))</f>
        <v/>
      </c>
      <c r="AL600" s="31"/>
      <c r="AM600" s="26"/>
      <c r="AN600" s="32"/>
      <c r="AO600" s="32"/>
      <c r="AP600" s="24"/>
      <c r="AQ600" s="24"/>
      <c r="AR600" s="33"/>
      <c r="AS600" s="34"/>
      <c r="AT600" s="33"/>
      <c r="AV600" s="21">
        <f>IF(AND($AL600&lt;&gt;"",COUNTIF($AL$11:$AL600,$AL600)=1),1,0)</f>
        <v>0</v>
      </c>
      <c r="AW600" s="21">
        <f t="shared" si="105"/>
        <v>0</v>
      </c>
      <c r="AX600" s="21" t="str">
        <f t="shared" si="104"/>
        <v/>
      </c>
      <c r="AY600" s="21" t="str">
        <f>IF(AND($AM600&lt;&gt;"",$AS600&lt;&gt;"✓"),SUMPRODUCT(($AM$11:$AM600&lt;&gt;"")*($AS$11:$AS600&lt;&gt;"✓")),"")</f>
        <v/>
      </c>
      <c r="AZ600" s="21" t="str">
        <f>IF(AND($AM600&lt;&gt;"",$AS600="✓"),SUMPRODUCT(($AM$11:$AM600&lt;&gt;"")*($AS$11:$AS600="✓")),"")</f>
        <v/>
      </c>
      <c r="BA600" s="21" t="str">
        <f>IF($AL600="","",$AL600&amp;"|"&amp;COUNTIF($AL$11:$AL600,$AL600))</f>
        <v/>
      </c>
    </row>
    <row r="601" spans="23:53" ht="15" customHeight="1" x14ac:dyDescent="0.25">
      <c r="W601" s="14" t="str">
        <f>IF(X601="","",IFERROR(INDEX($AL$11:$AL$4010,MATCH(591,$AY$11:$AY$4010,0)),""))</f>
        <v/>
      </c>
      <c r="X601" s="12" t="str">
        <f>IFERROR(INDEX($AM$11:$AM$4010,MATCH(591,$AY$11:$AY$4010,0)),"")</f>
        <v/>
      </c>
      <c r="Y601" s="11" t="str">
        <f>IF(X601="","",IFERROR(INDEX($AN$11:$AN$4010,MATCH(591,$AY$11:$AY$4010,0)),""))</f>
        <v/>
      </c>
      <c r="Z601" s="11" t="str">
        <f>IF(X601="","",IFERROR(INDEX($AO$11:$AO$4010,MATCH(591,$AY$11:$AY$4010,0)),""))</f>
        <v/>
      </c>
      <c r="AA601" s="10" t="str">
        <f>IF(X601="","",IFERROR(INDEX($AQ$11:$AQ$4010,MATCH(591,$AY$11:$AY$4010,0)),""))</f>
        <v/>
      </c>
      <c r="AB601" s="15" t="str">
        <f>IF(X601="","",IFERROR(INDEX($AR$11:$AR$4010,MATCH(591,$AY$11:$AY$4010,0)),""))</f>
        <v/>
      </c>
      <c r="AD601" s="16" t="str">
        <f>IF(AE601="","",IFERROR(INDEX($AL$11:$AL$4010,MATCH(591,$AZ$11:$AZ$4010,0)),""))</f>
        <v/>
      </c>
      <c r="AE601" s="12" t="str">
        <f>IFERROR(INDEX($AM$11:$AM$4010,MATCH(591,$AZ$11:$AZ$4010,0)),"")</f>
        <v/>
      </c>
      <c r="AF601" s="11" t="str">
        <f>IF(AE601="","",IFERROR(INDEX($AN$11:$AN$4010,MATCH(591,$AZ$11:$AZ$4010,0)),""))</f>
        <v/>
      </c>
      <c r="AG601" s="11" t="str">
        <f>IF(AE601="","",IFERROR(INDEX($AO$11:$AO$4010,MATCH(591,$AZ$11:$AZ$4010,0)),""))</f>
        <v/>
      </c>
      <c r="AH601" s="10" t="str">
        <f>IF(AE601="","",IFERROR(INDEX($AQ$11:$AQ$4010,MATCH(591,$AZ$11:$AZ$4010,0)),""))</f>
        <v/>
      </c>
      <c r="AI601" s="15" t="str">
        <f>IF(AE601="","",IFERROR(INDEX($AR$11:$AR$4010,MATCH(591,$AZ$11:$AZ$4010,0)),""))</f>
        <v/>
      </c>
      <c r="AJ601" s="15" t="str">
        <f>IF(AE601="","",IFERROR(INDEX($AT$11:$AT$4010,MATCH(591,$AZ$11:$AZ$4010,0)),""))</f>
        <v/>
      </c>
      <c r="AL601" s="17"/>
      <c r="AM601" s="12"/>
      <c r="AN601" s="18"/>
      <c r="AO601" s="18"/>
      <c r="AP601" s="10"/>
      <c r="AQ601" s="10"/>
      <c r="AR601" s="19"/>
      <c r="AS601" s="20"/>
      <c r="AT601" s="19"/>
      <c r="AV601" s="21">
        <f>IF(AND($AL601&lt;&gt;"",COUNTIF($AL$11:$AL601,$AL601)=1),1,0)</f>
        <v>0</v>
      </c>
      <c r="AW601" s="21">
        <f t="shared" si="105"/>
        <v>0</v>
      </c>
      <c r="AX601" s="21" t="str">
        <f t="shared" si="104"/>
        <v/>
      </c>
      <c r="AY601" s="21" t="str">
        <f>IF(AND($AM601&lt;&gt;"",$AS601&lt;&gt;"✓"),SUMPRODUCT(($AM$11:$AM601&lt;&gt;"")*($AS$11:$AS601&lt;&gt;"✓")),"")</f>
        <v/>
      </c>
      <c r="AZ601" s="21" t="str">
        <f>IF(AND($AM601&lt;&gt;"",$AS601="✓"),SUMPRODUCT(($AM$11:$AM601&lt;&gt;"")*($AS$11:$AS601="✓")),"")</f>
        <v/>
      </c>
      <c r="BA601" s="21" t="str">
        <f>IF($AL601="","",$AL601&amp;"|"&amp;COUNTIF($AL$11:$AL601,$AL601))</f>
        <v/>
      </c>
    </row>
    <row r="602" spans="23:53" ht="15" customHeight="1" x14ac:dyDescent="0.25">
      <c r="W602" s="28" t="str">
        <f>IF(X602="","",IFERROR(INDEX($AL$11:$AL$4010,MATCH(592,$AY$11:$AY$4010,0)),""))</f>
        <v/>
      </c>
      <c r="X602" s="26" t="str">
        <f>IFERROR(INDEX($AM$11:$AM$4010,MATCH(592,$AY$11:$AY$4010,0)),"")</f>
        <v/>
      </c>
      <c r="Y602" s="25" t="str">
        <f>IF(X602="","",IFERROR(INDEX($AN$11:$AN$4010,MATCH(592,$AY$11:$AY$4010,0)),""))</f>
        <v/>
      </c>
      <c r="Z602" s="25" t="str">
        <f>IF(X602="","",IFERROR(INDEX($AO$11:$AO$4010,MATCH(592,$AY$11:$AY$4010,0)),""))</f>
        <v/>
      </c>
      <c r="AA602" s="24" t="str">
        <f>IF(X602="","",IFERROR(INDEX($AQ$11:$AQ$4010,MATCH(592,$AY$11:$AY$4010,0)),""))</f>
        <v/>
      </c>
      <c r="AB602" s="29" t="str">
        <f>IF(X602="","",IFERROR(INDEX($AR$11:$AR$4010,MATCH(592,$AY$11:$AY$4010,0)),""))</f>
        <v/>
      </c>
      <c r="AD602" s="30" t="str">
        <f>IF(AE602="","",IFERROR(INDEX($AL$11:$AL$4010,MATCH(592,$AZ$11:$AZ$4010,0)),""))</f>
        <v/>
      </c>
      <c r="AE602" s="26" t="str">
        <f>IFERROR(INDEX($AM$11:$AM$4010,MATCH(592,$AZ$11:$AZ$4010,0)),"")</f>
        <v/>
      </c>
      <c r="AF602" s="25" t="str">
        <f>IF(AE602="","",IFERROR(INDEX($AN$11:$AN$4010,MATCH(592,$AZ$11:$AZ$4010,0)),""))</f>
        <v/>
      </c>
      <c r="AG602" s="25" t="str">
        <f>IF(AE602="","",IFERROR(INDEX($AO$11:$AO$4010,MATCH(592,$AZ$11:$AZ$4010,0)),""))</f>
        <v/>
      </c>
      <c r="AH602" s="24" t="str">
        <f>IF(AE602="","",IFERROR(INDEX($AQ$11:$AQ$4010,MATCH(592,$AZ$11:$AZ$4010,0)),""))</f>
        <v/>
      </c>
      <c r="AI602" s="29" t="str">
        <f>IF(AE602="","",IFERROR(INDEX($AR$11:$AR$4010,MATCH(592,$AZ$11:$AZ$4010,0)),""))</f>
        <v/>
      </c>
      <c r="AJ602" s="29" t="str">
        <f>IF(AE602="","",IFERROR(INDEX($AT$11:$AT$4010,MATCH(592,$AZ$11:$AZ$4010,0)),""))</f>
        <v/>
      </c>
      <c r="AL602" s="31"/>
      <c r="AM602" s="26"/>
      <c r="AN602" s="32"/>
      <c r="AO602" s="32"/>
      <c r="AP602" s="24"/>
      <c r="AQ602" s="24"/>
      <c r="AR602" s="33"/>
      <c r="AS602" s="34"/>
      <c r="AT602" s="33"/>
      <c r="AV602" s="21">
        <f>IF(AND($AL602&lt;&gt;"",COUNTIF($AL$11:$AL602,$AL602)=1),1,0)</f>
        <v>0</v>
      </c>
      <c r="AW602" s="21">
        <f t="shared" si="105"/>
        <v>0</v>
      </c>
      <c r="AX602" s="21" t="str">
        <f t="shared" si="104"/>
        <v/>
      </c>
      <c r="AY602" s="21" t="str">
        <f>IF(AND($AM602&lt;&gt;"",$AS602&lt;&gt;"✓"),SUMPRODUCT(($AM$11:$AM602&lt;&gt;"")*($AS$11:$AS602&lt;&gt;"✓")),"")</f>
        <v/>
      </c>
      <c r="AZ602" s="21" t="str">
        <f>IF(AND($AM602&lt;&gt;"",$AS602="✓"),SUMPRODUCT(($AM$11:$AM602&lt;&gt;"")*($AS$11:$AS602="✓")),"")</f>
        <v/>
      </c>
      <c r="BA602" s="21" t="str">
        <f>IF($AL602="","",$AL602&amp;"|"&amp;COUNTIF($AL$11:$AL602,$AL602))</f>
        <v/>
      </c>
    </row>
    <row r="603" spans="23:53" ht="15" customHeight="1" x14ac:dyDescent="0.25">
      <c r="W603" s="14" t="str">
        <f>IF(X603="","",IFERROR(INDEX($AL$11:$AL$4010,MATCH(593,$AY$11:$AY$4010,0)),""))</f>
        <v/>
      </c>
      <c r="X603" s="12" t="str">
        <f>IFERROR(INDEX($AM$11:$AM$4010,MATCH(593,$AY$11:$AY$4010,0)),"")</f>
        <v/>
      </c>
      <c r="Y603" s="11" t="str">
        <f>IF(X603="","",IFERROR(INDEX($AN$11:$AN$4010,MATCH(593,$AY$11:$AY$4010,0)),""))</f>
        <v/>
      </c>
      <c r="Z603" s="11" t="str">
        <f>IF(X603="","",IFERROR(INDEX($AO$11:$AO$4010,MATCH(593,$AY$11:$AY$4010,0)),""))</f>
        <v/>
      </c>
      <c r="AA603" s="10" t="str">
        <f>IF(X603="","",IFERROR(INDEX($AQ$11:$AQ$4010,MATCH(593,$AY$11:$AY$4010,0)),""))</f>
        <v/>
      </c>
      <c r="AB603" s="15" t="str">
        <f>IF(X603="","",IFERROR(INDEX($AR$11:$AR$4010,MATCH(593,$AY$11:$AY$4010,0)),""))</f>
        <v/>
      </c>
      <c r="AD603" s="16" t="str">
        <f>IF(AE603="","",IFERROR(INDEX($AL$11:$AL$4010,MATCH(593,$AZ$11:$AZ$4010,0)),""))</f>
        <v/>
      </c>
      <c r="AE603" s="12" t="str">
        <f>IFERROR(INDEX($AM$11:$AM$4010,MATCH(593,$AZ$11:$AZ$4010,0)),"")</f>
        <v/>
      </c>
      <c r="AF603" s="11" t="str">
        <f>IF(AE603="","",IFERROR(INDEX($AN$11:$AN$4010,MATCH(593,$AZ$11:$AZ$4010,0)),""))</f>
        <v/>
      </c>
      <c r="AG603" s="11" t="str">
        <f>IF(AE603="","",IFERROR(INDEX($AO$11:$AO$4010,MATCH(593,$AZ$11:$AZ$4010,0)),""))</f>
        <v/>
      </c>
      <c r="AH603" s="10" t="str">
        <f>IF(AE603="","",IFERROR(INDEX($AQ$11:$AQ$4010,MATCH(593,$AZ$11:$AZ$4010,0)),""))</f>
        <v/>
      </c>
      <c r="AI603" s="15" t="str">
        <f>IF(AE603="","",IFERROR(INDEX($AR$11:$AR$4010,MATCH(593,$AZ$11:$AZ$4010,0)),""))</f>
        <v/>
      </c>
      <c r="AJ603" s="15" t="str">
        <f>IF(AE603="","",IFERROR(INDEX($AT$11:$AT$4010,MATCH(593,$AZ$11:$AZ$4010,0)),""))</f>
        <v/>
      </c>
      <c r="AL603" s="17"/>
      <c r="AM603" s="12"/>
      <c r="AN603" s="18"/>
      <c r="AO603" s="18"/>
      <c r="AP603" s="10"/>
      <c r="AQ603" s="10"/>
      <c r="AR603" s="19"/>
      <c r="AS603" s="20"/>
      <c r="AT603" s="19"/>
      <c r="AV603" s="21">
        <f>IF(AND($AL603&lt;&gt;"",COUNTIF($AL$11:$AL603,$AL603)=1),1,0)</f>
        <v>0</v>
      </c>
      <c r="AW603" s="21">
        <f t="shared" si="105"/>
        <v>0</v>
      </c>
      <c r="AX603" s="21" t="str">
        <f t="shared" si="104"/>
        <v/>
      </c>
      <c r="AY603" s="21" t="str">
        <f>IF(AND($AM603&lt;&gt;"",$AS603&lt;&gt;"✓"),SUMPRODUCT(($AM$11:$AM603&lt;&gt;"")*($AS$11:$AS603&lt;&gt;"✓")),"")</f>
        <v/>
      </c>
      <c r="AZ603" s="21" t="str">
        <f>IF(AND($AM603&lt;&gt;"",$AS603="✓"),SUMPRODUCT(($AM$11:$AM603&lt;&gt;"")*($AS$11:$AS603="✓")),"")</f>
        <v/>
      </c>
      <c r="BA603" s="21" t="str">
        <f>IF($AL603="","",$AL603&amp;"|"&amp;COUNTIF($AL$11:$AL603,$AL603))</f>
        <v/>
      </c>
    </row>
    <row r="604" spans="23:53" ht="15" customHeight="1" x14ac:dyDescent="0.25">
      <c r="W604" s="28" t="str">
        <f>IF(X604="","",IFERROR(INDEX($AL$11:$AL$4010,MATCH(594,$AY$11:$AY$4010,0)),""))</f>
        <v/>
      </c>
      <c r="X604" s="26" t="str">
        <f>IFERROR(INDEX($AM$11:$AM$4010,MATCH(594,$AY$11:$AY$4010,0)),"")</f>
        <v/>
      </c>
      <c r="Y604" s="25" t="str">
        <f>IF(X604="","",IFERROR(INDEX($AN$11:$AN$4010,MATCH(594,$AY$11:$AY$4010,0)),""))</f>
        <v/>
      </c>
      <c r="Z604" s="25" t="str">
        <f>IF(X604="","",IFERROR(INDEX($AO$11:$AO$4010,MATCH(594,$AY$11:$AY$4010,0)),""))</f>
        <v/>
      </c>
      <c r="AA604" s="24" t="str">
        <f>IF(X604="","",IFERROR(INDEX($AQ$11:$AQ$4010,MATCH(594,$AY$11:$AY$4010,0)),""))</f>
        <v/>
      </c>
      <c r="AB604" s="29" t="str">
        <f>IF(X604="","",IFERROR(INDEX($AR$11:$AR$4010,MATCH(594,$AY$11:$AY$4010,0)),""))</f>
        <v/>
      </c>
      <c r="AD604" s="30" t="str">
        <f>IF(AE604="","",IFERROR(INDEX($AL$11:$AL$4010,MATCH(594,$AZ$11:$AZ$4010,0)),""))</f>
        <v/>
      </c>
      <c r="AE604" s="26" t="str">
        <f>IFERROR(INDEX($AM$11:$AM$4010,MATCH(594,$AZ$11:$AZ$4010,0)),"")</f>
        <v/>
      </c>
      <c r="AF604" s="25" t="str">
        <f>IF(AE604="","",IFERROR(INDEX($AN$11:$AN$4010,MATCH(594,$AZ$11:$AZ$4010,0)),""))</f>
        <v/>
      </c>
      <c r="AG604" s="25" t="str">
        <f>IF(AE604="","",IFERROR(INDEX($AO$11:$AO$4010,MATCH(594,$AZ$11:$AZ$4010,0)),""))</f>
        <v/>
      </c>
      <c r="AH604" s="24" t="str">
        <f>IF(AE604="","",IFERROR(INDEX($AQ$11:$AQ$4010,MATCH(594,$AZ$11:$AZ$4010,0)),""))</f>
        <v/>
      </c>
      <c r="AI604" s="29" t="str">
        <f>IF(AE604="","",IFERROR(INDEX($AR$11:$AR$4010,MATCH(594,$AZ$11:$AZ$4010,0)),""))</f>
        <v/>
      </c>
      <c r="AJ604" s="29" t="str">
        <f>IF(AE604="","",IFERROR(INDEX($AT$11:$AT$4010,MATCH(594,$AZ$11:$AZ$4010,0)),""))</f>
        <v/>
      </c>
      <c r="AL604" s="31"/>
      <c r="AM604" s="26"/>
      <c r="AN604" s="32"/>
      <c r="AO604" s="32"/>
      <c r="AP604" s="24"/>
      <c r="AQ604" s="24"/>
      <c r="AR604" s="33"/>
      <c r="AS604" s="34"/>
      <c r="AT604" s="33"/>
      <c r="AV604" s="21">
        <f>IF(AND($AL604&lt;&gt;"",COUNTIF($AL$11:$AL604,$AL604)=1),1,0)</f>
        <v>0</v>
      </c>
      <c r="AW604" s="21">
        <f t="shared" si="105"/>
        <v>0</v>
      </c>
      <c r="AX604" s="21" t="str">
        <f t="shared" si="104"/>
        <v/>
      </c>
      <c r="AY604" s="21" t="str">
        <f>IF(AND($AM604&lt;&gt;"",$AS604&lt;&gt;"✓"),SUMPRODUCT(($AM$11:$AM604&lt;&gt;"")*($AS$11:$AS604&lt;&gt;"✓")),"")</f>
        <v/>
      </c>
      <c r="AZ604" s="21" t="str">
        <f>IF(AND($AM604&lt;&gt;"",$AS604="✓"),SUMPRODUCT(($AM$11:$AM604&lt;&gt;"")*($AS$11:$AS604="✓")),"")</f>
        <v/>
      </c>
      <c r="BA604" s="21" t="str">
        <f>IF($AL604="","",$AL604&amp;"|"&amp;COUNTIF($AL$11:$AL604,$AL604))</f>
        <v/>
      </c>
    </row>
    <row r="605" spans="23:53" ht="15" customHeight="1" x14ac:dyDescent="0.25">
      <c r="W605" s="14" t="str">
        <f>IF(X605="","",IFERROR(INDEX($AL$11:$AL$4010,MATCH(595,$AY$11:$AY$4010,0)),""))</f>
        <v/>
      </c>
      <c r="X605" s="12" t="str">
        <f>IFERROR(INDEX($AM$11:$AM$4010,MATCH(595,$AY$11:$AY$4010,0)),"")</f>
        <v/>
      </c>
      <c r="Y605" s="11" t="str">
        <f>IF(X605="","",IFERROR(INDEX($AN$11:$AN$4010,MATCH(595,$AY$11:$AY$4010,0)),""))</f>
        <v/>
      </c>
      <c r="Z605" s="11" t="str">
        <f>IF(X605="","",IFERROR(INDEX($AO$11:$AO$4010,MATCH(595,$AY$11:$AY$4010,0)),""))</f>
        <v/>
      </c>
      <c r="AA605" s="10" t="str">
        <f>IF(X605="","",IFERROR(INDEX($AQ$11:$AQ$4010,MATCH(595,$AY$11:$AY$4010,0)),""))</f>
        <v/>
      </c>
      <c r="AB605" s="15" t="str">
        <f>IF(X605="","",IFERROR(INDEX($AR$11:$AR$4010,MATCH(595,$AY$11:$AY$4010,0)),""))</f>
        <v/>
      </c>
      <c r="AD605" s="16" t="str">
        <f>IF(AE605="","",IFERROR(INDEX($AL$11:$AL$4010,MATCH(595,$AZ$11:$AZ$4010,0)),""))</f>
        <v/>
      </c>
      <c r="AE605" s="12" t="str">
        <f>IFERROR(INDEX($AM$11:$AM$4010,MATCH(595,$AZ$11:$AZ$4010,0)),"")</f>
        <v/>
      </c>
      <c r="AF605" s="11" t="str">
        <f>IF(AE605="","",IFERROR(INDEX($AN$11:$AN$4010,MATCH(595,$AZ$11:$AZ$4010,0)),""))</f>
        <v/>
      </c>
      <c r="AG605" s="11" t="str">
        <f>IF(AE605="","",IFERROR(INDEX($AO$11:$AO$4010,MATCH(595,$AZ$11:$AZ$4010,0)),""))</f>
        <v/>
      </c>
      <c r="AH605" s="10" t="str">
        <f>IF(AE605="","",IFERROR(INDEX($AQ$11:$AQ$4010,MATCH(595,$AZ$11:$AZ$4010,0)),""))</f>
        <v/>
      </c>
      <c r="AI605" s="15" t="str">
        <f>IF(AE605="","",IFERROR(INDEX($AR$11:$AR$4010,MATCH(595,$AZ$11:$AZ$4010,0)),""))</f>
        <v/>
      </c>
      <c r="AJ605" s="15" t="str">
        <f>IF(AE605="","",IFERROR(INDEX($AT$11:$AT$4010,MATCH(595,$AZ$11:$AZ$4010,0)),""))</f>
        <v/>
      </c>
      <c r="AL605" s="17"/>
      <c r="AM605" s="12"/>
      <c r="AN605" s="18"/>
      <c r="AO605" s="18"/>
      <c r="AP605" s="10"/>
      <c r="AQ605" s="10"/>
      <c r="AR605" s="19"/>
      <c r="AS605" s="20"/>
      <c r="AT605" s="19"/>
      <c r="AV605" s="21">
        <f>IF(AND($AL605&lt;&gt;"",COUNTIF($AL$11:$AL605,$AL605)=1),1,0)</f>
        <v>0</v>
      </c>
      <c r="AW605" s="21">
        <f t="shared" si="105"/>
        <v>0</v>
      </c>
      <c r="AX605" s="21" t="str">
        <f t="shared" si="104"/>
        <v/>
      </c>
      <c r="AY605" s="21" t="str">
        <f>IF(AND($AM605&lt;&gt;"",$AS605&lt;&gt;"✓"),SUMPRODUCT(($AM$11:$AM605&lt;&gt;"")*($AS$11:$AS605&lt;&gt;"✓")),"")</f>
        <v/>
      </c>
      <c r="AZ605" s="21" t="str">
        <f>IF(AND($AM605&lt;&gt;"",$AS605="✓"),SUMPRODUCT(($AM$11:$AM605&lt;&gt;"")*($AS$11:$AS605="✓")),"")</f>
        <v/>
      </c>
      <c r="BA605" s="21" t="str">
        <f>IF($AL605="","",$AL605&amp;"|"&amp;COUNTIF($AL$11:$AL605,$AL605))</f>
        <v/>
      </c>
    </row>
    <row r="606" spans="23:53" ht="15" customHeight="1" x14ac:dyDescent="0.25">
      <c r="W606" s="28" t="str">
        <f>IF(X606="","",IFERROR(INDEX($AL$11:$AL$4010,MATCH(596,$AY$11:$AY$4010,0)),""))</f>
        <v/>
      </c>
      <c r="X606" s="26" t="str">
        <f>IFERROR(INDEX($AM$11:$AM$4010,MATCH(596,$AY$11:$AY$4010,0)),"")</f>
        <v/>
      </c>
      <c r="Y606" s="25" t="str">
        <f>IF(X606="","",IFERROR(INDEX($AN$11:$AN$4010,MATCH(596,$AY$11:$AY$4010,0)),""))</f>
        <v/>
      </c>
      <c r="Z606" s="25" t="str">
        <f>IF(X606="","",IFERROR(INDEX($AO$11:$AO$4010,MATCH(596,$AY$11:$AY$4010,0)),""))</f>
        <v/>
      </c>
      <c r="AA606" s="24" t="str">
        <f>IF(X606="","",IFERROR(INDEX($AQ$11:$AQ$4010,MATCH(596,$AY$11:$AY$4010,0)),""))</f>
        <v/>
      </c>
      <c r="AB606" s="29" t="str">
        <f>IF(X606="","",IFERROR(INDEX($AR$11:$AR$4010,MATCH(596,$AY$11:$AY$4010,0)),""))</f>
        <v/>
      </c>
      <c r="AD606" s="30" t="str">
        <f>IF(AE606="","",IFERROR(INDEX($AL$11:$AL$4010,MATCH(596,$AZ$11:$AZ$4010,0)),""))</f>
        <v/>
      </c>
      <c r="AE606" s="26" t="str">
        <f>IFERROR(INDEX($AM$11:$AM$4010,MATCH(596,$AZ$11:$AZ$4010,0)),"")</f>
        <v/>
      </c>
      <c r="AF606" s="25" t="str">
        <f>IF(AE606="","",IFERROR(INDEX($AN$11:$AN$4010,MATCH(596,$AZ$11:$AZ$4010,0)),""))</f>
        <v/>
      </c>
      <c r="AG606" s="25" t="str">
        <f>IF(AE606="","",IFERROR(INDEX($AO$11:$AO$4010,MATCH(596,$AZ$11:$AZ$4010,0)),""))</f>
        <v/>
      </c>
      <c r="AH606" s="24" t="str">
        <f>IF(AE606="","",IFERROR(INDEX($AQ$11:$AQ$4010,MATCH(596,$AZ$11:$AZ$4010,0)),""))</f>
        <v/>
      </c>
      <c r="AI606" s="29" t="str">
        <f>IF(AE606="","",IFERROR(INDEX($AR$11:$AR$4010,MATCH(596,$AZ$11:$AZ$4010,0)),""))</f>
        <v/>
      </c>
      <c r="AJ606" s="29" t="str">
        <f>IF(AE606="","",IFERROR(INDEX($AT$11:$AT$4010,MATCH(596,$AZ$11:$AZ$4010,0)),""))</f>
        <v/>
      </c>
      <c r="AL606" s="31"/>
      <c r="AM606" s="26"/>
      <c r="AN606" s="32"/>
      <c r="AO606" s="32"/>
      <c r="AP606" s="24"/>
      <c r="AQ606" s="24"/>
      <c r="AR606" s="33"/>
      <c r="AS606" s="34"/>
      <c r="AT606" s="33"/>
      <c r="AV606" s="21">
        <f>IF(AND($AL606&lt;&gt;"",COUNTIF($AL$11:$AL606,$AL606)=1),1,0)</f>
        <v>0</v>
      </c>
      <c r="AW606" s="21">
        <f t="shared" si="105"/>
        <v>0</v>
      </c>
      <c r="AX606" s="21" t="str">
        <f t="shared" si="104"/>
        <v/>
      </c>
      <c r="AY606" s="21" t="str">
        <f>IF(AND($AM606&lt;&gt;"",$AS606&lt;&gt;"✓"),SUMPRODUCT(($AM$11:$AM606&lt;&gt;"")*($AS$11:$AS606&lt;&gt;"✓")),"")</f>
        <v/>
      </c>
      <c r="AZ606" s="21" t="str">
        <f>IF(AND($AM606&lt;&gt;"",$AS606="✓"),SUMPRODUCT(($AM$11:$AM606&lt;&gt;"")*($AS$11:$AS606="✓")),"")</f>
        <v/>
      </c>
      <c r="BA606" s="21" t="str">
        <f>IF($AL606="","",$AL606&amp;"|"&amp;COUNTIF($AL$11:$AL606,$AL606))</f>
        <v/>
      </c>
    </row>
    <row r="607" spans="23:53" ht="15" customHeight="1" x14ac:dyDescent="0.25">
      <c r="W607" s="14" t="str">
        <f>IF(X607="","",IFERROR(INDEX($AL$11:$AL$4010,MATCH(597,$AY$11:$AY$4010,0)),""))</f>
        <v/>
      </c>
      <c r="X607" s="12" t="str">
        <f>IFERROR(INDEX($AM$11:$AM$4010,MATCH(597,$AY$11:$AY$4010,0)),"")</f>
        <v/>
      </c>
      <c r="Y607" s="11" t="str">
        <f>IF(X607="","",IFERROR(INDEX($AN$11:$AN$4010,MATCH(597,$AY$11:$AY$4010,0)),""))</f>
        <v/>
      </c>
      <c r="Z607" s="11" t="str">
        <f>IF(X607="","",IFERROR(INDEX($AO$11:$AO$4010,MATCH(597,$AY$11:$AY$4010,0)),""))</f>
        <v/>
      </c>
      <c r="AA607" s="10" t="str">
        <f>IF(X607="","",IFERROR(INDEX($AQ$11:$AQ$4010,MATCH(597,$AY$11:$AY$4010,0)),""))</f>
        <v/>
      </c>
      <c r="AB607" s="15" t="str">
        <f>IF(X607="","",IFERROR(INDEX($AR$11:$AR$4010,MATCH(597,$AY$11:$AY$4010,0)),""))</f>
        <v/>
      </c>
      <c r="AD607" s="16" t="str">
        <f>IF(AE607="","",IFERROR(INDEX($AL$11:$AL$4010,MATCH(597,$AZ$11:$AZ$4010,0)),""))</f>
        <v/>
      </c>
      <c r="AE607" s="12" t="str">
        <f>IFERROR(INDEX($AM$11:$AM$4010,MATCH(597,$AZ$11:$AZ$4010,0)),"")</f>
        <v/>
      </c>
      <c r="AF607" s="11" t="str">
        <f>IF(AE607="","",IFERROR(INDEX($AN$11:$AN$4010,MATCH(597,$AZ$11:$AZ$4010,0)),""))</f>
        <v/>
      </c>
      <c r="AG607" s="11" t="str">
        <f>IF(AE607="","",IFERROR(INDEX($AO$11:$AO$4010,MATCH(597,$AZ$11:$AZ$4010,0)),""))</f>
        <v/>
      </c>
      <c r="AH607" s="10" t="str">
        <f>IF(AE607="","",IFERROR(INDEX($AQ$11:$AQ$4010,MATCH(597,$AZ$11:$AZ$4010,0)),""))</f>
        <v/>
      </c>
      <c r="AI607" s="15" t="str">
        <f>IF(AE607="","",IFERROR(INDEX($AR$11:$AR$4010,MATCH(597,$AZ$11:$AZ$4010,0)),""))</f>
        <v/>
      </c>
      <c r="AJ607" s="15" t="str">
        <f>IF(AE607="","",IFERROR(INDEX($AT$11:$AT$4010,MATCH(597,$AZ$11:$AZ$4010,0)),""))</f>
        <v/>
      </c>
      <c r="AL607" s="17"/>
      <c r="AM607" s="12"/>
      <c r="AN607" s="18"/>
      <c r="AO607" s="18"/>
      <c r="AP607" s="10"/>
      <c r="AQ607" s="10"/>
      <c r="AR607" s="19"/>
      <c r="AS607" s="20"/>
      <c r="AT607" s="19"/>
      <c r="AV607" s="21">
        <f>IF(AND($AL607&lt;&gt;"",COUNTIF($AL$11:$AL607,$AL607)=1),1,0)</f>
        <v>0</v>
      </c>
      <c r="AW607" s="21">
        <f t="shared" si="105"/>
        <v>0</v>
      </c>
      <c r="AX607" s="21" t="str">
        <f t="shared" si="104"/>
        <v/>
      </c>
      <c r="AY607" s="21" t="str">
        <f>IF(AND($AM607&lt;&gt;"",$AS607&lt;&gt;"✓"),SUMPRODUCT(($AM$11:$AM607&lt;&gt;"")*($AS$11:$AS607&lt;&gt;"✓")),"")</f>
        <v/>
      </c>
      <c r="AZ607" s="21" t="str">
        <f>IF(AND($AM607&lt;&gt;"",$AS607="✓"),SUMPRODUCT(($AM$11:$AM607&lt;&gt;"")*($AS$11:$AS607="✓")),"")</f>
        <v/>
      </c>
      <c r="BA607" s="21" t="str">
        <f>IF($AL607="","",$AL607&amp;"|"&amp;COUNTIF($AL$11:$AL607,$AL607))</f>
        <v/>
      </c>
    </row>
    <row r="608" spans="23:53" ht="15" customHeight="1" x14ac:dyDescent="0.25">
      <c r="W608" s="28" t="str">
        <f>IF(X608="","",IFERROR(INDEX($AL$11:$AL$4010,MATCH(598,$AY$11:$AY$4010,0)),""))</f>
        <v/>
      </c>
      <c r="X608" s="26" t="str">
        <f>IFERROR(INDEX($AM$11:$AM$4010,MATCH(598,$AY$11:$AY$4010,0)),"")</f>
        <v/>
      </c>
      <c r="Y608" s="25" t="str">
        <f>IF(X608="","",IFERROR(INDEX($AN$11:$AN$4010,MATCH(598,$AY$11:$AY$4010,0)),""))</f>
        <v/>
      </c>
      <c r="Z608" s="25" t="str">
        <f>IF(X608="","",IFERROR(INDEX($AO$11:$AO$4010,MATCH(598,$AY$11:$AY$4010,0)),""))</f>
        <v/>
      </c>
      <c r="AA608" s="24" t="str">
        <f>IF(X608="","",IFERROR(INDEX($AQ$11:$AQ$4010,MATCH(598,$AY$11:$AY$4010,0)),""))</f>
        <v/>
      </c>
      <c r="AB608" s="29" t="str">
        <f>IF(X608="","",IFERROR(INDEX($AR$11:$AR$4010,MATCH(598,$AY$11:$AY$4010,0)),""))</f>
        <v/>
      </c>
      <c r="AD608" s="30" t="str">
        <f>IF(AE608="","",IFERROR(INDEX($AL$11:$AL$4010,MATCH(598,$AZ$11:$AZ$4010,0)),""))</f>
        <v/>
      </c>
      <c r="AE608" s="26" t="str">
        <f>IFERROR(INDEX($AM$11:$AM$4010,MATCH(598,$AZ$11:$AZ$4010,0)),"")</f>
        <v/>
      </c>
      <c r="AF608" s="25" t="str">
        <f>IF(AE608="","",IFERROR(INDEX($AN$11:$AN$4010,MATCH(598,$AZ$11:$AZ$4010,0)),""))</f>
        <v/>
      </c>
      <c r="AG608" s="25" t="str">
        <f>IF(AE608="","",IFERROR(INDEX($AO$11:$AO$4010,MATCH(598,$AZ$11:$AZ$4010,0)),""))</f>
        <v/>
      </c>
      <c r="AH608" s="24" t="str">
        <f>IF(AE608="","",IFERROR(INDEX($AQ$11:$AQ$4010,MATCH(598,$AZ$11:$AZ$4010,0)),""))</f>
        <v/>
      </c>
      <c r="AI608" s="29" t="str">
        <f>IF(AE608="","",IFERROR(INDEX($AR$11:$AR$4010,MATCH(598,$AZ$11:$AZ$4010,0)),""))</f>
        <v/>
      </c>
      <c r="AJ608" s="29" t="str">
        <f>IF(AE608="","",IFERROR(INDEX($AT$11:$AT$4010,MATCH(598,$AZ$11:$AZ$4010,0)),""))</f>
        <v/>
      </c>
      <c r="AL608" s="31"/>
      <c r="AM608" s="26"/>
      <c r="AN608" s="32"/>
      <c r="AO608" s="32"/>
      <c r="AP608" s="24"/>
      <c r="AQ608" s="24"/>
      <c r="AR608" s="33"/>
      <c r="AS608" s="34"/>
      <c r="AT608" s="33"/>
      <c r="AV608" s="21">
        <f>IF(AND($AL608&lt;&gt;"",COUNTIF($AL$11:$AL608,$AL608)=1),1,0)</f>
        <v>0</v>
      </c>
      <c r="AW608" s="21">
        <f t="shared" si="105"/>
        <v>0</v>
      </c>
      <c r="AX608" s="21" t="str">
        <f t="shared" si="104"/>
        <v/>
      </c>
      <c r="AY608" s="21" t="str">
        <f>IF(AND($AM608&lt;&gt;"",$AS608&lt;&gt;"✓"),SUMPRODUCT(($AM$11:$AM608&lt;&gt;"")*($AS$11:$AS608&lt;&gt;"✓")),"")</f>
        <v/>
      </c>
      <c r="AZ608" s="21" t="str">
        <f>IF(AND($AM608&lt;&gt;"",$AS608="✓"),SUMPRODUCT(($AM$11:$AM608&lt;&gt;"")*($AS$11:$AS608="✓")),"")</f>
        <v/>
      </c>
      <c r="BA608" s="21" t="str">
        <f>IF($AL608="","",$AL608&amp;"|"&amp;COUNTIF($AL$11:$AL608,$AL608))</f>
        <v/>
      </c>
    </row>
    <row r="609" spans="23:53" ht="15" customHeight="1" x14ac:dyDescent="0.25">
      <c r="W609" s="14" t="str">
        <f>IF(X609="","",IFERROR(INDEX($AL$11:$AL$4010,MATCH(599,$AY$11:$AY$4010,0)),""))</f>
        <v/>
      </c>
      <c r="X609" s="12" t="str">
        <f>IFERROR(INDEX($AM$11:$AM$4010,MATCH(599,$AY$11:$AY$4010,0)),"")</f>
        <v/>
      </c>
      <c r="Y609" s="11" t="str">
        <f>IF(X609="","",IFERROR(INDEX($AN$11:$AN$4010,MATCH(599,$AY$11:$AY$4010,0)),""))</f>
        <v/>
      </c>
      <c r="Z609" s="11" t="str">
        <f>IF(X609="","",IFERROR(INDEX($AO$11:$AO$4010,MATCH(599,$AY$11:$AY$4010,0)),""))</f>
        <v/>
      </c>
      <c r="AA609" s="10" t="str">
        <f>IF(X609="","",IFERROR(INDEX($AQ$11:$AQ$4010,MATCH(599,$AY$11:$AY$4010,0)),""))</f>
        <v/>
      </c>
      <c r="AB609" s="15" t="str">
        <f>IF(X609="","",IFERROR(INDEX($AR$11:$AR$4010,MATCH(599,$AY$11:$AY$4010,0)),""))</f>
        <v/>
      </c>
      <c r="AD609" s="16" t="str">
        <f>IF(AE609="","",IFERROR(INDEX($AL$11:$AL$4010,MATCH(599,$AZ$11:$AZ$4010,0)),""))</f>
        <v/>
      </c>
      <c r="AE609" s="12" t="str">
        <f>IFERROR(INDEX($AM$11:$AM$4010,MATCH(599,$AZ$11:$AZ$4010,0)),"")</f>
        <v/>
      </c>
      <c r="AF609" s="11" t="str">
        <f>IF(AE609="","",IFERROR(INDEX($AN$11:$AN$4010,MATCH(599,$AZ$11:$AZ$4010,0)),""))</f>
        <v/>
      </c>
      <c r="AG609" s="11" t="str">
        <f>IF(AE609="","",IFERROR(INDEX($AO$11:$AO$4010,MATCH(599,$AZ$11:$AZ$4010,0)),""))</f>
        <v/>
      </c>
      <c r="AH609" s="10" t="str">
        <f>IF(AE609="","",IFERROR(INDEX($AQ$11:$AQ$4010,MATCH(599,$AZ$11:$AZ$4010,0)),""))</f>
        <v/>
      </c>
      <c r="AI609" s="15" t="str">
        <f>IF(AE609="","",IFERROR(INDEX($AR$11:$AR$4010,MATCH(599,$AZ$11:$AZ$4010,0)),""))</f>
        <v/>
      </c>
      <c r="AJ609" s="15" t="str">
        <f>IF(AE609="","",IFERROR(INDEX($AT$11:$AT$4010,MATCH(599,$AZ$11:$AZ$4010,0)),""))</f>
        <v/>
      </c>
      <c r="AL609" s="17"/>
      <c r="AM609" s="12"/>
      <c r="AN609" s="18"/>
      <c r="AO609" s="18"/>
      <c r="AP609" s="10"/>
      <c r="AQ609" s="10"/>
      <c r="AR609" s="19"/>
      <c r="AS609" s="20"/>
      <c r="AT609" s="19"/>
      <c r="AV609" s="21">
        <f>IF(AND($AL609&lt;&gt;"",COUNTIF($AL$11:$AL609,$AL609)=1),1,0)</f>
        <v>0</v>
      </c>
      <c r="AW609" s="21">
        <f t="shared" si="105"/>
        <v>0</v>
      </c>
      <c r="AX609" s="21" t="str">
        <f t="shared" si="104"/>
        <v/>
      </c>
      <c r="AY609" s="21" t="str">
        <f>IF(AND($AM609&lt;&gt;"",$AS609&lt;&gt;"✓"),SUMPRODUCT(($AM$11:$AM609&lt;&gt;"")*($AS$11:$AS609&lt;&gt;"✓")),"")</f>
        <v/>
      </c>
      <c r="AZ609" s="21" t="str">
        <f>IF(AND($AM609&lt;&gt;"",$AS609="✓"),SUMPRODUCT(($AM$11:$AM609&lt;&gt;"")*($AS$11:$AS609="✓")),"")</f>
        <v/>
      </c>
      <c r="BA609" s="21" t="str">
        <f>IF($AL609="","",$AL609&amp;"|"&amp;COUNTIF($AL$11:$AL609,$AL609))</f>
        <v/>
      </c>
    </row>
    <row r="610" spans="23:53" ht="15" customHeight="1" x14ac:dyDescent="0.25">
      <c r="W610" s="28" t="str">
        <f>IF(X610="","",IFERROR(INDEX($AL$11:$AL$4010,MATCH(600,$AY$11:$AY$4010,0)),""))</f>
        <v/>
      </c>
      <c r="X610" s="26" t="str">
        <f>IFERROR(INDEX($AM$11:$AM$4010,MATCH(600,$AY$11:$AY$4010,0)),"")</f>
        <v/>
      </c>
      <c r="Y610" s="25" t="str">
        <f>IF(X610="","",IFERROR(INDEX($AN$11:$AN$4010,MATCH(600,$AY$11:$AY$4010,0)),""))</f>
        <v/>
      </c>
      <c r="Z610" s="25" t="str">
        <f>IF(X610="","",IFERROR(INDEX($AO$11:$AO$4010,MATCH(600,$AY$11:$AY$4010,0)),""))</f>
        <v/>
      </c>
      <c r="AA610" s="24" t="str">
        <f>IF(X610="","",IFERROR(INDEX($AQ$11:$AQ$4010,MATCH(600,$AY$11:$AY$4010,0)),""))</f>
        <v/>
      </c>
      <c r="AB610" s="29" t="str">
        <f>IF(X610="","",IFERROR(INDEX($AR$11:$AR$4010,MATCH(600,$AY$11:$AY$4010,0)),""))</f>
        <v/>
      </c>
      <c r="AD610" s="30" t="str">
        <f>IF(AE610="","",IFERROR(INDEX($AL$11:$AL$4010,MATCH(600,$AZ$11:$AZ$4010,0)),""))</f>
        <v/>
      </c>
      <c r="AE610" s="26" t="str">
        <f>IFERROR(INDEX($AM$11:$AM$4010,MATCH(600,$AZ$11:$AZ$4010,0)),"")</f>
        <v/>
      </c>
      <c r="AF610" s="25" t="str">
        <f>IF(AE610="","",IFERROR(INDEX($AN$11:$AN$4010,MATCH(600,$AZ$11:$AZ$4010,0)),""))</f>
        <v/>
      </c>
      <c r="AG610" s="25" t="str">
        <f>IF(AE610="","",IFERROR(INDEX($AO$11:$AO$4010,MATCH(600,$AZ$11:$AZ$4010,0)),""))</f>
        <v/>
      </c>
      <c r="AH610" s="24" t="str">
        <f>IF(AE610="","",IFERROR(INDEX($AQ$11:$AQ$4010,MATCH(600,$AZ$11:$AZ$4010,0)),""))</f>
        <v/>
      </c>
      <c r="AI610" s="29" t="str">
        <f>IF(AE610="","",IFERROR(INDEX($AR$11:$AR$4010,MATCH(600,$AZ$11:$AZ$4010,0)),""))</f>
        <v/>
      </c>
      <c r="AJ610" s="29" t="str">
        <f>IF(AE610="","",IFERROR(INDEX($AT$11:$AT$4010,MATCH(600,$AZ$11:$AZ$4010,0)),""))</f>
        <v/>
      </c>
      <c r="AL610" s="31"/>
      <c r="AM610" s="26"/>
      <c r="AN610" s="32"/>
      <c r="AO610" s="32"/>
      <c r="AP610" s="24"/>
      <c r="AQ610" s="24"/>
      <c r="AR610" s="33"/>
      <c r="AS610" s="34"/>
      <c r="AT610" s="33"/>
      <c r="AV610" s="21">
        <f>IF(AND($AL610&lt;&gt;"",COUNTIF($AL$11:$AL610,$AL610)=1),1,0)</f>
        <v>0</v>
      </c>
      <c r="AW610" s="21">
        <f t="shared" si="105"/>
        <v>0</v>
      </c>
      <c r="AX610" s="21" t="str">
        <f t="shared" si="104"/>
        <v/>
      </c>
      <c r="AY610" s="21" t="str">
        <f>IF(AND($AM610&lt;&gt;"",$AS610&lt;&gt;"✓"),SUMPRODUCT(($AM$11:$AM610&lt;&gt;"")*($AS$11:$AS610&lt;&gt;"✓")),"")</f>
        <v/>
      </c>
      <c r="AZ610" s="21" t="str">
        <f>IF(AND($AM610&lt;&gt;"",$AS610="✓"),SUMPRODUCT(($AM$11:$AM610&lt;&gt;"")*($AS$11:$AS610="✓")),"")</f>
        <v/>
      </c>
      <c r="BA610" s="21" t="str">
        <f>IF($AL610="","",$AL610&amp;"|"&amp;COUNTIF($AL$11:$AL610,$AL610))</f>
        <v/>
      </c>
    </row>
    <row r="611" spans="23:53" ht="15" customHeight="1" x14ac:dyDescent="0.25">
      <c r="W611" s="14" t="str">
        <f>IF(X611="","",IFERROR(INDEX($AL$11:$AL$4010,MATCH(601,$AY$11:$AY$4010,0)),""))</f>
        <v/>
      </c>
      <c r="X611" s="12" t="str">
        <f>IFERROR(INDEX($AM$11:$AM$4010,MATCH(601,$AY$11:$AY$4010,0)),"")</f>
        <v/>
      </c>
      <c r="Y611" s="11" t="str">
        <f>IF(X611="","",IFERROR(INDEX($AN$11:$AN$4010,MATCH(601,$AY$11:$AY$4010,0)),""))</f>
        <v/>
      </c>
      <c r="Z611" s="11" t="str">
        <f>IF(X611="","",IFERROR(INDEX($AO$11:$AO$4010,MATCH(601,$AY$11:$AY$4010,0)),""))</f>
        <v/>
      </c>
      <c r="AA611" s="10" t="str">
        <f>IF(X611="","",IFERROR(INDEX($AQ$11:$AQ$4010,MATCH(601,$AY$11:$AY$4010,0)),""))</f>
        <v/>
      </c>
      <c r="AB611" s="15" t="str">
        <f>IF(X611="","",IFERROR(INDEX($AR$11:$AR$4010,MATCH(601,$AY$11:$AY$4010,0)),""))</f>
        <v/>
      </c>
      <c r="AD611" s="16" t="str">
        <f>IF(AE611="","",IFERROR(INDEX($AL$11:$AL$4010,MATCH(601,$AZ$11:$AZ$4010,0)),""))</f>
        <v/>
      </c>
      <c r="AE611" s="12" t="str">
        <f>IFERROR(INDEX($AM$11:$AM$4010,MATCH(601,$AZ$11:$AZ$4010,0)),"")</f>
        <v/>
      </c>
      <c r="AF611" s="11" t="str">
        <f>IF(AE611="","",IFERROR(INDEX($AN$11:$AN$4010,MATCH(601,$AZ$11:$AZ$4010,0)),""))</f>
        <v/>
      </c>
      <c r="AG611" s="11" t="str">
        <f>IF(AE611="","",IFERROR(INDEX($AO$11:$AO$4010,MATCH(601,$AZ$11:$AZ$4010,0)),""))</f>
        <v/>
      </c>
      <c r="AH611" s="10" t="str">
        <f>IF(AE611="","",IFERROR(INDEX($AQ$11:$AQ$4010,MATCH(601,$AZ$11:$AZ$4010,0)),""))</f>
        <v/>
      </c>
      <c r="AI611" s="15" t="str">
        <f>IF(AE611="","",IFERROR(INDEX($AR$11:$AR$4010,MATCH(601,$AZ$11:$AZ$4010,0)),""))</f>
        <v/>
      </c>
      <c r="AJ611" s="15" t="str">
        <f>IF(AE611="","",IFERROR(INDEX($AT$11:$AT$4010,MATCH(601,$AZ$11:$AZ$4010,0)),""))</f>
        <v/>
      </c>
      <c r="AL611" s="17"/>
      <c r="AM611" s="12"/>
      <c r="AN611" s="18"/>
      <c r="AO611" s="18"/>
      <c r="AP611" s="10"/>
      <c r="AQ611" s="10"/>
      <c r="AR611" s="19"/>
      <c r="AS611" s="20"/>
      <c r="AT611" s="19"/>
      <c r="AV611" s="21">
        <f>IF(AND($AL611&lt;&gt;"",COUNTIF($AL$11:$AL611,$AL611)=1),1,0)</f>
        <v>0</v>
      </c>
      <c r="AW611" s="21">
        <f t="shared" si="105"/>
        <v>0</v>
      </c>
      <c r="AX611" s="21" t="str">
        <f t="shared" si="104"/>
        <v/>
      </c>
      <c r="AY611" s="21" t="str">
        <f>IF(AND($AM611&lt;&gt;"",$AS611&lt;&gt;"✓"),SUMPRODUCT(($AM$11:$AM611&lt;&gt;"")*($AS$11:$AS611&lt;&gt;"✓")),"")</f>
        <v/>
      </c>
      <c r="AZ611" s="21" t="str">
        <f>IF(AND($AM611&lt;&gt;"",$AS611="✓"),SUMPRODUCT(($AM$11:$AM611&lt;&gt;"")*($AS$11:$AS611="✓")),"")</f>
        <v/>
      </c>
      <c r="BA611" s="21" t="str">
        <f>IF($AL611="","",$AL611&amp;"|"&amp;COUNTIF($AL$11:$AL611,$AL611))</f>
        <v/>
      </c>
    </row>
    <row r="612" spans="23:53" ht="15" customHeight="1" x14ac:dyDescent="0.25">
      <c r="W612" s="28" t="str">
        <f>IF(X612="","",IFERROR(INDEX($AL$11:$AL$4010,MATCH(602,$AY$11:$AY$4010,0)),""))</f>
        <v/>
      </c>
      <c r="X612" s="26" t="str">
        <f>IFERROR(INDEX($AM$11:$AM$4010,MATCH(602,$AY$11:$AY$4010,0)),"")</f>
        <v/>
      </c>
      <c r="Y612" s="25" t="str">
        <f>IF(X612="","",IFERROR(INDEX($AN$11:$AN$4010,MATCH(602,$AY$11:$AY$4010,0)),""))</f>
        <v/>
      </c>
      <c r="Z612" s="25" t="str">
        <f>IF(X612="","",IFERROR(INDEX($AO$11:$AO$4010,MATCH(602,$AY$11:$AY$4010,0)),""))</f>
        <v/>
      </c>
      <c r="AA612" s="24" t="str">
        <f>IF(X612="","",IFERROR(INDEX($AQ$11:$AQ$4010,MATCH(602,$AY$11:$AY$4010,0)),""))</f>
        <v/>
      </c>
      <c r="AB612" s="29" t="str">
        <f>IF(X612="","",IFERROR(INDEX($AR$11:$AR$4010,MATCH(602,$AY$11:$AY$4010,0)),""))</f>
        <v/>
      </c>
      <c r="AD612" s="30" t="str">
        <f>IF(AE612="","",IFERROR(INDEX($AL$11:$AL$4010,MATCH(602,$AZ$11:$AZ$4010,0)),""))</f>
        <v/>
      </c>
      <c r="AE612" s="26" t="str">
        <f>IFERROR(INDEX($AM$11:$AM$4010,MATCH(602,$AZ$11:$AZ$4010,0)),"")</f>
        <v/>
      </c>
      <c r="AF612" s="25" t="str">
        <f>IF(AE612="","",IFERROR(INDEX($AN$11:$AN$4010,MATCH(602,$AZ$11:$AZ$4010,0)),""))</f>
        <v/>
      </c>
      <c r="AG612" s="25" t="str">
        <f>IF(AE612="","",IFERROR(INDEX($AO$11:$AO$4010,MATCH(602,$AZ$11:$AZ$4010,0)),""))</f>
        <v/>
      </c>
      <c r="AH612" s="24" t="str">
        <f>IF(AE612="","",IFERROR(INDEX($AQ$11:$AQ$4010,MATCH(602,$AZ$11:$AZ$4010,0)),""))</f>
        <v/>
      </c>
      <c r="AI612" s="29" t="str">
        <f>IF(AE612="","",IFERROR(INDEX($AR$11:$AR$4010,MATCH(602,$AZ$11:$AZ$4010,0)),""))</f>
        <v/>
      </c>
      <c r="AJ612" s="29" t="str">
        <f>IF(AE612="","",IFERROR(INDEX($AT$11:$AT$4010,MATCH(602,$AZ$11:$AZ$4010,0)),""))</f>
        <v/>
      </c>
      <c r="AL612" s="31"/>
      <c r="AM612" s="26"/>
      <c r="AN612" s="32"/>
      <c r="AO612" s="32"/>
      <c r="AP612" s="24"/>
      <c r="AQ612" s="24"/>
      <c r="AR612" s="33"/>
      <c r="AS612" s="34"/>
      <c r="AT612" s="33"/>
      <c r="AV612" s="21">
        <f>IF(AND($AL612&lt;&gt;"",COUNTIF($AL$11:$AL612,$AL612)=1),1,0)</f>
        <v>0</v>
      </c>
      <c r="AW612" s="21">
        <f t="shared" si="105"/>
        <v>0</v>
      </c>
      <c r="AX612" s="21" t="str">
        <f t="shared" si="104"/>
        <v/>
      </c>
      <c r="AY612" s="21" t="str">
        <f>IF(AND($AM612&lt;&gt;"",$AS612&lt;&gt;"✓"),SUMPRODUCT(($AM$11:$AM612&lt;&gt;"")*($AS$11:$AS612&lt;&gt;"✓")),"")</f>
        <v/>
      </c>
      <c r="AZ612" s="21" t="str">
        <f>IF(AND($AM612&lt;&gt;"",$AS612="✓"),SUMPRODUCT(($AM$11:$AM612&lt;&gt;"")*($AS$11:$AS612="✓")),"")</f>
        <v/>
      </c>
      <c r="BA612" s="21" t="str">
        <f>IF($AL612="","",$AL612&amp;"|"&amp;COUNTIF($AL$11:$AL612,$AL612))</f>
        <v/>
      </c>
    </row>
    <row r="613" spans="23:53" ht="15" customHeight="1" x14ac:dyDescent="0.25">
      <c r="W613" s="14" t="str">
        <f>IF(X613="","",IFERROR(INDEX($AL$11:$AL$4010,MATCH(603,$AY$11:$AY$4010,0)),""))</f>
        <v/>
      </c>
      <c r="X613" s="12" t="str">
        <f>IFERROR(INDEX($AM$11:$AM$4010,MATCH(603,$AY$11:$AY$4010,0)),"")</f>
        <v/>
      </c>
      <c r="Y613" s="11" t="str">
        <f>IF(X613="","",IFERROR(INDEX($AN$11:$AN$4010,MATCH(603,$AY$11:$AY$4010,0)),""))</f>
        <v/>
      </c>
      <c r="Z613" s="11" t="str">
        <f>IF(X613="","",IFERROR(INDEX($AO$11:$AO$4010,MATCH(603,$AY$11:$AY$4010,0)),""))</f>
        <v/>
      </c>
      <c r="AA613" s="10" t="str">
        <f>IF(X613="","",IFERROR(INDEX($AQ$11:$AQ$4010,MATCH(603,$AY$11:$AY$4010,0)),""))</f>
        <v/>
      </c>
      <c r="AB613" s="15" t="str">
        <f>IF(X613="","",IFERROR(INDEX($AR$11:$AR$4010,MATCH(603,$AY$11:$AY$4010,0)),""))</f>
        <v/>
      </c>
      <c r="AD613" s="16" t="str">
        <f>IF(AE613="","",IFERROR(INDEX($AL$11:$AL$4010,MATCH(603,$AZ$11:$AZ$4010,0)),""))</f>
        <v/>
      </c>
      <c r="AE613" s="12" t="str">
        <f>IFERROR(INDEX($AM$11:$AM$4010,MATCH(603,$AZ$11:$AZ$4010,0)),"")</f>
        <v/>
      </c>
      <c r="AF613" s="11" t="str">
        <f>IF(AE613="","",IFERROR(INDEX($AN$11:$AN$4010,MATCH(603,$AZ$11:$AZ$4010,0)),""))</f>
        <v/>
      </c>
      <c r="AG613" s="11" t="str">
        <f>IF(AE613="","",IFERROR(INDEX($AO$11:$AO$4010,MATCH(603,$AZ$11:$AZ$4010,0)),""))</f>
        <v/>
      </c>
      <c r="AH613" s="10" t="str">
        <f>IF(AE613="","",IFERROR(INDEX($AQ$11:$AQ$4010,MATCH(603,$AZ$11:$AZ$4010,0)),""))</f>
        <v/>
      </c>
      <c r="AI613" s="15" t="str">
        <f>IF(AE613="","",IFERROR(INDEX($AR$11:$AR$4010,MATCH(603,$AZ$11:$AZ$4010,0)),""))</f>
        <v/>
      </c>
      <c r="AJ613" s="15" t="str">
        <f>IF(AE613="","",IFERROR(INDEX($AT$11:$AT$4010,MATCH(603,$AZ$11:$AZ$4010,0)),""))</f>
        <v/>
      </c>
      <c r="AL613" s="17"/>
      <c r="AM613" s="12"/>
      <c r="AN613" s="18"/>
      <c r="AO613" s="18"/>
      <c r="AP613" s="10"/>
      <c r="AQ613" s="10"/>
      <c r="AR613" s="19"/>
      <c r="AS613" s="20"/>
      <c r="AT613" s="19"/>
      <c r="AV613" s="21">
        <f>IF(AND($AL613&lt;&gt;"",COUNTIF($AL$11:$AL613,$AL613)=1),1,0)</f>
        <v>0</v>
      </c>
      <c r="AW613" s="21">
        <f t="shared" si="105"/>
        <v>0</v>
      </c>
      <c r="AX613" s="21" t="str">
        <f t="shared" si="104"/>
        <v/>
      </c>
      <c r="AY613" s="21" t="str">
        <f>IF(AND($AM613&lt;&gt;"",$AS613&lt;&gt;"✓"),SUMPRODUCT(($AM$11:$AM613&lt;&gt;"")*($AS$11:$AS613&lt;&gt;"✓")),"")</f>
        <v/>
      </c>
      <c r="AZ613" s="21" t="str">
        <f>IF(AND($AM613&lt;&gt;"",$AS613="✓"),SUMPRODUCT(($AM$11:$AM613&lt;&gt;"")*($AS$11:$AS613="✓")),"")</f>
        <v/>
      </c>
      <c r="BA613" s="21" t="str">
        <f>IF($AL613="","",$AL613&amp;"|"&amp;COUNTIF($AL$11:$AL613,$AL613))</f>
        <v/>
      </c>
    </row>
    <row r="614" spans="23:53" ht="15" customHeight="1" x14ac:dyDescent="0.25">
      <c r="W614" s="28" t="str">
        <f>IF(X614="","",IFERROR(INDEX($AL$11:$AL$4010,MATCH(604,$AY$11:$AY$4010,0)),""))</f>
        <v/>
      </c>
      <c r="X614" s="26" t="str">
        <f>IFERROR(INDEX($AM$11:$AM$4010,MATCH(604,$AY$11:$AY$4010,0)),"")</f>
        <v/>
      </c>
      <c r="Y614" s="25" t="str">
        <f>IF(X614="","",IFERROR(INDEX($AN$11:$AN$4010,MATCH(604,$AY$11:$AY$4010,0)),""))</f>
        <v/>
      </c>
      <c r="Z614" s="25" t="str">
        <f>IF(X614="","",IFERROR(INDEX($AO$11:$AO$4010,MATCH(604,$AY$11:$AY$4010,0)),""))</f>
        <v/>
      </c>
      <c r="AA614" s="24" t="str">
        <f>IF(X614="","",IFERROR(INDEX($AQ$11:$AQ$4010,MATCH(604,$AY$11:$AY$4010,0)),""))</f>
        <v/>
      </c>
      <c r="AB614" s="29" t="str">
        <f>IF(X614="","",IFERROR(INDEX($AR$11:$AR$4010,MATCH(604,$AY$11:$AY$4010,0)),""))</f>
        <v/>
      </c>
      <c r="AD614" s="30" t="str">
        <f>IF(AE614="","",IFERROR(INDEX($AL$11:$AL$4010,MATCH(604,$AZ$11:$AZ$4010,0)),""))</f>
        <v/>
      </c>
      <c r="AE614" s="26" t="str">
        <f>IFERROR(INDEX($AM$11:$AM$4010,MATCH(604,$AZ$11:$AZ$4010,0)),"")</f>
        <v/>
      </c>
      <c r="AF614" s="25" t="str">
        <f>IF(AE614="","",IFERROR(INDEX($AN$11:$AN$4010,MATCH(604,$AZ$11:$AZ$4010,0)),""))</f>
        <v/>
      </c>
      <c r="AG614" s="25" t="str">
        <f>IF(AE614="","",IFERROR(INDEX($AO$11:$AO$4010,MATCH(604,$AZ$11:$AZ$4010,0)),""))</f>
        <v/>
      </c>
      <c r="AH614" s="24" t="str">
        <f>IF(AE614="","",IFERROR(INDEX($AQ$11:$AQ$4010,MATCH(604,$AZ$11:$AZ$4010,0)),""))</f>
        <v/>
      </c>
      <c r="AI614" s="29" t="str">
        <f>IF(AE614="","",IFERROR(INDEX($AR$11:$AR$4010,MATCH(604,$AZ$11:$AZ$4010,0)),""))</f>
        <v/>
      </c>
      <c r="AJ614" s="29" t="str">
        <f>IF(AE614="","",IFERROR(INDEX($AT$11:$AT$4010,MATCH(604,$AZ$11:$AZ$4010,0)),""))</f>
        <v/>
      </c>
      <c r="AL614" s="31"/>
      <c r="AM614" s="26"/>
      <c r="AN614" s="32"/>
      <c r="AO614" s="32"/>
      <c r="AP614" s="24"/>
      <c r="AQ614" s="24"/>
      <c r="AR614" s="33"/>
      <c r="AS614" s="34"/>
      <c r="AT614" s="33"/>
      <c r="AV614" s="21">
        <f>IF(AND($AL614&lt;&gt;"",COUNTIF($AL$11:$AL614,$AL614)=1),1,0)</f>
        <v>0</v>
      </c>
      <c r="AW614" s="21">
        <f t="shared" si="105"/>
        <v>0</v>
      </c>
      <c r="AX614" s="21" t="str">
        <f t="shared" si="104"/>
        <v/>
      </c>
      <c r="AY614" s="21" t="str">
        <f>IF(AND($AM614&lt;&gt;"",$AS614&lt;&gt;"✓"),SUMPRODUCT(($AM$11:$AM614&lt;&gt;"")*($AS$11:$AS614&lt;&gt;"✓")),"")</f>
        <v/>
      </c>
      <c r="AZ614" s="21" t="str">
        <f>IF(AND($AM614&lt;&gt;"",$AS614="✓"),SUMPRODUCT(($AM$11:$AM614&lt;&gt;"")*($AS$11:$AS614="✓")),"")</f>
        <v/>
      </c>
      <c r="BA614" s="21" t="str">
        <f>IF($AL614="","",$AL614&amp;"|"&amp;COUNTIF($AL$11:$AL614,$AL614))</f>
        <v/>
      </c>
    </row>
    <row r="615" spans="23:53" ht="15" customHeight="1" x14ac:dyDescent="0.25">
      <c r="W615" s="14" t="str">
        <f>IF(X615="","",IFERROR(INDEX($AL$11:$AL$4010,MATCH(605,$AY$11:$AY$4010,0)),""))</f>
        <v/>
      </c>
      <c r="X615" s="12" t="str">
        <f>IFERROR(INDEX($AM$11:$AM$4010,MATCH(605,$AY$11:$AY$4010,0)),"")</f>
        <v/>
      </c>
      <c r="Y615" s="11" t="str">
        <f>IF(X615="","",IFERROR(INDEX($AN$11:$AN$4010,MATCH(605,$AY$11:$AY$4010,0)),""))</f>
        <v/>
      </c>
      <c r="Z615" s="11" t="str">
        <f>IF(X615="","",IFERROR(INDEX($AO$11:$AO$4010,MATCH(605,$AY$11:$AY$4010,0)),""))</f>
        <v/>
      </c>
      <c r="AA615" s="10" t="str">
        <f>IF(X615="","",IFERROR(INDEX($AQ$11:$AQ$4010,MATCH(605,$AY$11:$AY$4010,0)),""))</f>
        <v/>
      </c>
      <c r="AB615" s="15" t="str">
        <f>IF(X615="","",IFERROR(INDEX($AR$11:$AR$4010,MATCH(605,$AY$11:$AY$4010,0)),""))</f>
        <v/>
      </c>
      <c r="AD615" s="16" t="str">
        <f>IF(AE615="","",IFERROR(INDEX($AL$11:$AL$4010,MATCH(605,$AZ$11:$AZ$4010,0)),""))</f>
        <v/>
      </c>
      <c r="AE615" s="12" t="str">
        <f>IFERROR(INDEX($AM$11:$AM$4010,MATCH(605,$AZ$11:$AZ$4010,0)),"")</f>
        <v/>
      </c>
      <c r="AF615" s="11" t="str">
        <f>IF(AE615="","",IFERROR(INDEX($AN$11:$AN$4010,MATCH(605,$AZ$11:$AZ$4010,0)),""))</f>
        <v/>
      </c>
      <c r="AG615" s="11" t="str">
        <f>IF(AE615="","",IFERROR(INDEX($AO$11:$AO$4010,MATCH(605,$AZ$11:$AZ$4010,0)),""))</f>
        <v/>
      </c>
      <c r="AH615" s="10" t="str">
        <f>IF(AE615="","",IFERROR(INDEX($AQ$11:$AQ$4010,MATCH(605,$AZ$11:$AZ$4010,0)),""))</f>
        <v/>
      </c>
      <c r="AI615" s="15" t="str">
        <f>IF(AE615="","",IFERROR(INDEX($AR$11:$AR$4010,MATCH(605,$AZ$11:$AZ$4010,0)),""))</f>
        <v/>
      </c>
      <c r="AJ615" s="15" t="str">
        <f>IF(AE615="","",IFERROR(INDEX($AT$11:$AT$4010,MATCH(605,$AZ$11:$AZ$4010,0)),""))</f>
        <v/>
      </c>
      <c r="AL615" s="17"/>
      <c r="AM615" s="12"/>
      <c r="AN615" s="18"/>
      <c r="AO615" s="18"/>
      <c r="AP615" s="10"/>
      <c r="AQ615" s="10"/>
      <c r="AR615" s="19"/>
      <c r="AS615" s="20"/>
      <c r="AT615" s="19"/>
      <c r="AV615" s="21">
        <f>IF(AND($AL615&lt;&gt;"",COUNTIF($AL$11:$AL615,$AL615)=1),1,0)</f>
        <v>0</v>
      </c>
      <c r="AW615" s="21">
        <f t="shared" si="105"/>
        <v>0</v>
      </c>
      <c r="AX615" s="21" t="str">
        <f t="shared" si="104"/>
        <v/>
      </c>
      <c r="AY615" s="21" t="str">
        <f>IF(AND($AM615&lt;&gt;"",$AS615&lt;&gt;"✓"),SUMPRODUCT(($AM$11:$AM615&lt;&gt;"")*($AS$11:$AS615&lt;&gt;"✓")),"")</f>
        <v/>
      </c>
      <c r="AZ615" s="21" t="str">
        <f>IF(AND($AM615&lt;&gt;"",$AS615="✓"),SUMPRODUCT(($AM$11:$AM615&lt;&gt;"")*($AS$11:$AS615="✓")),"")</f>
        <v/>
      </c>
      <c r="BA615" s="21" t="str">
        <f>IF($AL615="","",$AL615&amp;"|"&amp;COUNTIF($AL$11:$AL615,$AL615))</f>
        <v/>
      </c>
    </row>
    <row r="616" spans="23:53" ht="15" customHeight="1" x14ac:dyDescent="0.25">
      <c r="W616" s="28" t="str">
        <f>IF(X616="","",IFERROR(INDEX($AL$11:$AL$4010,MATCH(606,$AY$11:$AY$4010,0)),""))</f>
        <v/>
      </c>
      <c r="X616" s="26" t="str">
        <f>IFERROR(INDEX($AM$11:$AM$4010,MATCH(606,$AY$11:$AY$4010,0)),"")</f>
        <v/>
      </c>
      <c r="Y616" s="25" t="str">
        <f>IF(X616="","",IFERROR(INDEX($AN$11:$AN$4010,MATCH(606,$AY$11:$AY$4010,0)),""))</f>
        <v/>
      </c>
      <c r="Z616" s="25" t="str">
        <f>IF(X616="","",IFERROR(INDEX($AO$11:$AO$4010,MATCH(606,$AY$11:$AY$4010,0)),""))</f>
        <v/>
      </c>
      <c r="AA616" s="24" t="str">
        <f>IF(X616="","",IFERROR(INDEX($AQ$11:$AQ$4010,MATCH(606,$AY$11:$AY$4010,0)),""))</f>
        <v/>
      </c>
      <c r="AB616" s="29" t="str">
        <f>IF(X616="","",IFERROR(INDEX($AR$11:$AR$4010,MATCH(606,$AY$11:$AY$4010,0)),""))</f>
        <v/>
      </c>
      <c r="AD616" s="30" t="str">
        <f>IF(AE616="","",IFERROR(INDEX($AL$11:$AL$4010,MATCH(606,$AZ$11:$AZ$4010,0)),""))</f>
        <v/>
      </c>
      <c r="AE616" s="26" t="str">
        <f>IFERROR(INDEX($AM$11:$AM$4010,MATCH(606,$AZ$11:$AZ$4010,0)),"")</f>
        <v/>
      </c>
      <c r="AF616" s="25" t="str">
        <f>IF(AE616="","",IFERROR(INDEX($AN$11:$AN$4010,MATCH(606,$AZ$11:$AZ$4010,0)),""))</f>
        <v/>
      </c>
      <c r="AG616" s="25" t="str">
        <f>IF(AE616="","",IFERROR(INDEX($AO$11:$AO$4010,MATCH(606,$AZ$11:$AZ$4010,0)),""))</f>
        <v/>
      </c>
      <c r="AH616" s="24" t="str">
        <f>IF(AE616="","",IFERROR(INDEX($AQ$11:$AQ$4010,MATCH(606,$AZ$11:$AZ$4010,0)),""))</f>
        <v/>
      </c>
      <c r="AI616" s="29" t="str">
        <f>IF(AE616="","",IFERROR(INDEX($AR$11:$AR$4010,MATCH(606,$AZ$11:$AZ$4010,0)),""))</f>
        <v/>
      </c>
      <c r="AJ616" s="29" t="str">
        <f>IF(AE616="","",IFERROR(INDEX($AT$11:$AT$4010,MATCH(606,$AZ$11:$AZ$4010,0)),""))</f>
        <v/>
      </c>
      <c r="AL616" s="31"/>
      <c r="AM616" s="26"/>
      <c r="AN616" s="32"/>
      <c r="AO616" s="32"/>
      <c r="AP616" s="24"/>
      <c r="AQ616" s="24"/>
      <c r="AR616" s="33"/>
      <c r="AS616" s="34"/>
      <c r="AT616" s="33"/>
      <c r="AV616" s="21">
        <f>IF(AND($AL616&lt;&gt;"",COUNTIF($AL$11:$AL616,$AL616)=1),1,0)</f>
        <v>0</v>
      </c>
      <c r="AW616" s="21">
        <f t="shared" si="105"/>
        <v>0</v>
      </c>
      <c r="AX616" s="21" t="str">
        <f t="shared" si="104"/>
        <v/>
      </c>
      <c r="AY616" s="21" t="str">
        <f>IF(AND($AM616&lt;&gt;"",$AS616&lt;&gt;"✓"),SUMPRODUCT(($AM$11:$AM616&lt;&gt;"")*($AS$11:$AS616&lt;&gt;"✓")),"")</f>
        <v/>
      </c>
      <c r="AZ616" s="21" t="str">
        <f>IF(AND($AM616&lt;&gt;"",$AS616="✓"),SUMPRODUCT(($AM$11:$AM616&lt;&gt;"")*($AS$11:$AS616="✓")),"")</f>
        <v/>
      </c>
      <c r="BA616" s="21" t="str">
        <f>IF($AL616="","",$AL616&amp;"|"&amp;COUNTIF($AL$11:$AL616,$AL616))</f>
        <v/>
      </c>
    </row>
    <row r="617" spans="23:53" ht="15" customHeight="1" x14ac:dyDescent="0.25">
      <c r="W617" s="14" t="str">
        <f>IF(X617="","",IFERROR(INDEX($AL$11:$AL$4010,MATCH(607,$AY$11:$AY$4010,0)),""))</f>
        <v/>
      </c>
      <c r="X617" s="12" t="str">
        <f>IFERROR(INDEX($AM$11:$AM$4010,MATCH(607,$AY$11:$AY$4010,0)),"")</f>
        <v/>
      </c>
      <c r="Y617" s="11" t="str">
        <f>IF(X617="","",IFERROR(INDEX($AN$11:$AN$4010,MATCH(607,$AY$11:$AY$4010,0)),""))</f>
        <v/>
      </c>
      <c r="Z617" s="11" t="str">
        <f>IF(X617="","",IFERROR(INDEX($AO$11:$AO$4010,MATCH(607,$AY$11:$AY$4010,0)),""))</f>
        <v/>
      </c>
      <c r="AA617" s="10" t="str">
        <f>IF(X617="","",IFERROR(INDEX($AQ$11:$AQ$4010,MATCH(607,$AY$11:$AY$4010,0)),""))</f>
        <v/>
      </c>
      <c r="AB617" s="15" t="str">
        <f>IF(X617="","",IFERROR(INDEX($AR$11:$AR$4010,MATCH(607,$AY$11:$AY$4010,0)),""))</f>
        <v/>
      </c>
      <c r="AD617" s="16" t="str">
        <f>IF(AE617="","",IFERROR(INDEX($AL$11:$AL$4010,MATCH(607,$AZ$11:$AZ$4010,0)),""))</f>
        <v/>
      </c>
      <c r="AE617" s="12" t="str">
        <f>IFERROR(INDEX($AM$11:$AM$4010,MATCH(607,$AZ$11:$AZ$4010,0)),"")</f>
        <v/>
      </c>
      <c r="AF617" s="11" t="str">
        <f>IF(AE617="","",IFERROR(INDEX($AN$11:$AN$4010,MATCH(607,$AZ$11:$AZ$4010,0)),""))</f>
        <v/>
      </c>
      <c r="AG617" s="11" t="str">
        <f>IF(AE617="","",IFERROR(INDEX($AO$11:$AO$4010,MATCH(607,$AZ$11:$AZ$4010,0)),""))</f>
        <v/>
      </c>
      <c r="AH617" s="10" t="str">
        <f>IF(AE617="","",IFERROR(INDEX($AQ$11:$AQ$4010,MATCH(607,$AZ$11:$AZ$4010,0)),""))</f>
        <v/>
      </c>
      <c r="AI617" s="15" t="str">
        <f>IF(AE617="","",IFERROR(INDEX($AR$11:$AR$4010,MATCH(607,$AZ$11:$AZ$4010,0)),""))</f>
        <v/>
      </c>
      <c r="AJ617" s="15" t="str">
        <f>IF(AE617="","",IFERROR(INDEX($AT$11:$AT$4010,MATCH(607,$AZ$11:$AZ$4010,0)),""))</f>
        <v/>
      </c>
      <c r="AL617" s="17"/>
      <c r="AM617" s="12"/>
      <c r="AN617" s="18"/>
      <c r="AO617" s="18"/>
      <c r="AP617" s="10"/>
      <c r="AQ617" s="10"/>
      <c r="AR617" s="19"/>
      <c r="AS617" s="20"/>
      <c r="AT617" s="19"/>
      <c r="AV617" s="21">
        <f>IF(AND($AL617&lt;&gt;"",COUNTIF($AL$11:$AL617,$AL617)=1),1,0)</f>
        <v>0</v>
      </c>
      <c r="AW617" s="21">
        <f t="shared" si="105"/>
        <v>0</v>
      </c>
      <c r="AX617" s="21" t="str">
        <f t="shared" si="104"/>
        <v/>
      </c>
      <c r="AY617" s="21" t="str">
        <f>IF(AND($AM617&lt;&gt;"",$AS617&lt;&gt;"✓"),SUMPRODUCT(($AM$11:$AM617&lt;&gt;"")*($AS$11:$AS617&lt;&gt;"✓")),"")</f>
        <v/>
      </c>
      <c r="AZ617" s="21" t="str">
        <f>IF(AND($AM617&lt;&gt;"",$AS617="✓"),SUMPRODUCT(($AM$11:$AM617&lt;&gt;"")*($AS$11:$AS617="✓")),"")</f>
        <v/>
      </c>
      <c r="BA617" s="21" t="str">
        <f>IF($AL617="","",$AL617&amp;"|"&amp;COUNTIF($AL$11:$AL617,$AL617))</f>
        <v/>
      </c>
    </row>
    <row r="618" spans="23:53" ht="15" customHeight="1" x14ac:dyDescent="0.25">
      <c r="W618" s="28" t="str">
        <f>IF(X618="","",IFERROR(INDEX($AL$11:$AL$4010,MATCH(608,$AY$11:$AY$4010,0)),""))</f>
        <v/>
      </c>
      <c r="X618" s="26" t="str">
        <f>IFERROR(INDEX($AM$11:$AM$4010,MATCH(608,$AY$11:$AY$4010,0)),"")</f>
        <v/>
      </c>
      <c r="Y618" s="25" t="str">
        <f>IF(X618="","",IFERROR(INDEX($AN$11:$AN$4010,MATCH(608,$AY$11:$AY$4010,0)),""))</f>
        <v/>
      </c>
      <c r="Z618" s="25" t="str">
        <f>IF(X618="","",IFERROR(INDEX($AO$11:$AO$4010,MATCH(608,$AY$11:$AY$4010,0)),""))</f>
        <v/>
      </c>
      <c r="AA618" s="24" t="str">
        <f>IF(X618="","",IFERROR(INDEX($AQ$11:$AQ$4010,MATCH(608,$AY$11:$AY$4010,0)),""))</f>
        <v/>
      </c>
      <c r="AB618" s="29" t="str">
        <f>IF(X618="","",IFERROR(INDEX($AR$11:$AR$4010,MATCH(608,$AY$11:$AY$4010,0)),""))</f>
        <v/>
      </c>
      <c r="AD618" s="30" t="str">
        <f>IF(AE618="","",IFERROR(INDEX($AL$11:$AL$4010,MATCH(608,$AZ$11:$AZ$4010,0)),""))</f>
        <v/>
      </c>
      <c r="AE618" s="26" t="str">
        <f>IFERROR(INDEX($AM$11:$AM$4010,MATCH(608,$AZ$11:$AZ$4010,0)),"")</f>
        <v/>
      </c>
      <c r="AF618" s="25" t="str">
        <f>IF(AE618="","",IFERROR(INDEX($AN$11:$AN$4010,MATCH(608,$AZ$11:$AZ$4010,0)),""))</f>
        <v/>
      </c>
      <c r="AG618" s="25" t="str">
        <f>IF(AE618="","",IFERROR(INDEX($AO$11:$AO$4010,MATCH(608,$AZ$11:$AZ$4010,0)),""))</f>
        <v/>
      </c>
      <c r="AH618" s="24" t="str">
        <f>IF(AE618="","",IFERROR(INDEX($AQ$11:$AQ$4010,MATCH(608,$AZ$11:$AZ$4010,0)),""))</f>
        <v/>
      </c>
      <c r="AI618" s="29" t="str">
        <f>IF(AE618="","",IFERROR(INDEX($AR$11:$AR$4010,MATCH(608,$AZ$11:$AZ$4010,0)),""))</f>
        <v/>
      </c>
      <c r="AJ618" s="29" t="str">
        <f>IF(AE618="","",IFERROR(INDEX($AT$11:$AT$4010,MATCH(608,$AZ$11:$AZ$4010,0)),""))</f>
        <v/>
      </c>
      <c r="AL618" s="31"/>
      <c r="AM618" s="26"/>
      <c r="AN618" s="32"/>
      <c r="AO618" s="32"/>
      <c r="AP618" s="24"/>
      <c r="AQ618" s="24"/>
      <c r="AR618" s="33"/>
      <c r="AS618" s="34"/>
      <c r="AT618" s="33"/>
      <c r="AV618" s="21">
        <f>IF(AND($AL618&lt;&gt;"",COUNTIF($AL$11:$AL618,$AL618)=1),1,0)</f>
        <v>0</v>
      </c>
      <c r="AW618" s="21">
        <f t="shared" si="105"/>
        <v>0</v>
      </c>
      <c r="AX618" s="21" t="str">
        <f t="shared" si="104"/>
        <v/>
      </c>
      <c r="AY618" s="21" t="str">
        <f>IF(AND($AM618&lt;&gt;"",$AS618&lt;&gt;"✓"),SUMPRODUCT(($AM$11:$AM618&lt;&gt;"")*($AS$11:$AS618&lt;&gt;"✓")),"")</f>
        <v/>
      </c>
      <c r="AZ618" s="21" t="str">
        <f>IF(AND($AM618&lt;&gt;"",$AS618="✓"),SUMPRODUCT(($AM$11:$AM618&lt;&gt;"")*($AS$11:$AS618="✓")),"")</f>
        <v/>
      </c>
      <c r="BA618" s="21" t="str">
        <f>IF($AL618="","",$AL618&amp;"|"&amp;COUNTIF($AL$11:$AL618,$AL618))</f>
        <v/>
      </c>
    </row>
    <row r="619" spans="23:53" ht="15" customHeight="1" x14ac:dyDescent="0.25">
      <c r="W619" s="14" t="str">
        <f>IF(X619="","",IFERROR(INDEX($AL$11:$AL$4010,MATCH(609,$AY$11:$AY$4010,0)),""))</f>
        <v/>
      </c>
      <c r="X619" s="12" t="str">
        <f>IFERROR(INDEX($AM$11:$AM$4010,MATCH(609,$AY$11:$AY$4010,0)),"")</f>
        <v/>
      </c>
      <c r="Y619" s="11" t="str">
        <f>IF(X619="","",IFERROR(INDEX($AN$11:$AN$4010,MATCH(609,$AY$11:$AY$4010,0)),""))</f>
        <v/>
      </c>
      <c r="Z619" s="11" t="str">
        <f>IF(X619="","",IFERROR(INDEX($AO$11:$AO$4010,MATCH(609,$AY$11:$AY$4010,0)),""))</f>
        <v/>
      </c>
      <c r="AA619" s="10" t="str">
        <f>IF(X619="","",IFERROR(INDEX($AQ$11:$AQ$4010,MATCH(609,$AY$11:$AY$4010,0)),""))</f>
        <v/>
      </c>
      <c r="AB619" s="15" t="str">
        <f>IF(X619="","",IFERROR(INDEX($AR$11:$AR$4010,MATCH(609,$AY$11:$AY$4010,0)),""))</f>
        <v/>
      </c>
      <c r="AD619" s="16" t="str">
        <f>IF(AE619="","",IFERROR(INDEX($AL$11:$AL$4010,MATCH(609,$AZ$11:$AZ$4010,0)),""))</f>
        <v/>
      </c>
      <c r="AE619" s="12" t="str">
        <f>IFERROR(INDEX($AM$11:$AM$4010,MATCH(609,$AZ$11:$AZ$4010,0)),"")</f>
        <v/>
      </c>
      <c r="AF619" s="11" t="str">
        <f>IF(AE619="","",IFERROR(INDEX($AN$11:$AN$4010,MATCH(609,$AZ$11:$AZ$4010,0)),""))</f>
        <v/>
      </c>
      <c r="AG619" s="11" t="str">
        <f>IF(AE619="","",IFERROR(INDEX($AO$11:$AO$4010,MATCH(609,$AZ$11:$AZ$4010,0)),""))</f>
        <v/>
      </c>
      <c r="AH619" s="10" t="str">
        <f>IF(AE619="","",IFERROR(INDEX($AQ$11:$AQ$4010,MATCH(609,$AZ$11:$AZ$4010,0)),""))</f>
        <v/>
      </c>
      <c r="AI619" s="15" t="str">
        <f>IF(AE619="","",IFERROR(INDEX($AR$11:$AR$4010,MATCH(609,$AZ$11:$AZ$4010,0)),""))</f>
        <v/>
      </c>
      <c r="AJ619" s="15" t="str">
        <f>IF(AE619="","",IFERROR(INDEX($AT$11:$AT$4010,MATCH(609,$AZ$11:$AZ$4010,0)),""))</f>
        <v/>
      </c>
      <c r="AL619" s="17"/>
      <c r="AM619" s="12"/>
      <c r="AN619" s="18"/>
      <c r="AO619" s="18"/>
      <c r="AP619" s="10"/>
      <c r="AQ619" s="10"/>
      <c r="AR619" s="19"/>
      <c r="AS619" s="20"/>
      <c r="AT619" s="19"/>
      <c r="AV619" s="21">
        <f>IF(AND($AL619&lt;&gt;"",COUNTIF($AL$11:$AL619,$AL619)=1),1,0)</f>
        <v>0</v>
      </c>
      <c r="AW619" s="21">
        <f t="shared" si="105"/>
        <v>0</v>
      </c>
      <c r="AX619" s="21" t="str">
        <f t="shared" si="104"/>
        <v/>
      </c>
      <c r="AY619" s="21" t="str">
        <f>IF(AND($AM619&lt;&gt;"",$AS619&lt;&gt;"✓"),SUMPRODUCT(($AM$11:$AM619&lt;&gt;"")*($AS$11:$AS619&lt;&gt;"✓")),"")</f>
        <v/>
      </c>
      <c r="AZ619" s="21" t="str">
        <f>IF(AND($AM619&lt;&gt;"",$AS619="✓"),SUMPRODUCT(($AM$11:$AM619&lt;&gt;"")*($AS$11:$AS619="✓")),"")</f>
        <v/>
      </c>
      <c r="BA619" s="21" t="str">
        <f>IF($AL619="","",$AL619&amp;"|"&amp;COUNTIF($AL$11:$AL619,$AL619))</f>
        <v/>
      </c>
    </row>
    <row r="620" spans="23:53" ht="15" customHeight="1" x14ac:dyDescent="0.25">
      <c r="W620" s="28" t="str">
        <f>IF(X620="","",IFERROR(INDEX($AL$11:$AL$4010,MATCH(610,$AY$11:$AY$4010,0)),""))</f>
        <v/>
      </c>
      <c r="X620" s="26" t="str">
        <f>IFERROR(INDEX($AM$11:$AM$4010,MATCH(610,$AY$11:$AY$4010,0)),"")</f>
        <v/>
      </c>
      <c r="Y620" s="25" t="str">
        <f>IF(X620="","",IFERROR(INDEX($AN$11:$AN$4010,MATCH(610,$AY$11:$AY$4010,0)),""))</f>
        <v/>
      </c>
      <c r="Z620" s="25" t="str">
        <f>IF(X620="","",IFERROR(INDEX($AO$11:$AO$4010,MATCH(610,$AY$11:$AY$4010,0)),""))</f>
        <v/>
      </c>
      <c r="AA620" s="24" t="str">
        <f>IF(X620="","",IFERROR(INDEX($AQ$11:$AQ$4010,MATCH(610,$AY$11:$AY$4010,0)),""))</f>
        <v/>
      </c>
      <c r="AB620" s="29" t="str">
        <f>IF(X620="","",IFERROR(INDEX($AR$11:$AR$4010,MATCH(610,$AY$11:$AY$4010,0)),""))</f>
        <v/>
      </c>
      <c r="AD620" s="30" t="str">
        <f>IF(AE620="","",IFERROR(INDEX($AL$11:$AL$4010,MATCH(610,$AZ$11:$AZ$4010,0)),""))</f>
        <v/>
      </c>
      <c r="AE620" s="26" t="str">
        <f>IFERROR(INDEX($AM$11:$AM$4010,MATCH(610,$AZ$11:$AZ$4010,0)),"")</f>
        <v/>
      </c>
      <c r="AF620" s="25" t="str">
        <f>IF(AE620="","",IFERROR(INDEX($AN$11:$AN$4010,MATCH(610,$AZ$11:$AZ$4010,0)),""))</f>
        <v/>
      </c>
      <c r="AG620" s="25" t="str">
        <f>IF(AE620="","",IFERROR(INDEX($AO$11:$AO$4010,MATCH(610,$AZ$11:$AZ$4010,0)),""))</f>
        <v/>
      </c>
      <c r="AH620" s="24" t="str">
        <f>IF(AE620="","",IFERROR(INDEX($AQ$11:$AQ$4010,MATCH(610,$AZ$11:$AZ$4010,0)),""))</f>
        <v/>
      </c>
      <c r="AI620" s="29" t="str">
        <f>IF(AE620="","",IFERROR(INDEX($AR$11:$AR$4010,MATCH(610,$AZ$11:$AZ$4010,0)),""))</f>
        <v/>
      </c>
      <c r="AJ620" s="29" t="str">
        <f>IF(AE620="","",IFERROR(INDEX($AT$11:$AT$4010,MATCH(610,$AZ$11:$AZ$4010,0)),""))</f>
        <v/>
      </c>
      <c r="AL620" s="31"/>
      <c r="AM620" s="26"/>
      <c r="AN620" s="32"/>
      <c r="AO620" s="32"/>
      <c r="AP620" s="24"/>
      <c r="AQ620" s="24"/>
      <c r="AR620" s="33"/>
      <c r="AS620" s="34"/>
      <c r="AT620" s="33"/>
      <c r="AV620" s="21">
        <f>IF(AND($AL620&lt;&gt;"",COUNTIF($AL$11:$AL620,$AL620)=1),1,0)</f>
        <v>0</v>
      </c>
      <c r="AW620" s="21">
        <f t="shared" si="105"/>
        <v>0</v>
      </c>
      <c r="AX620" s="21" t="str">
        <f t="shared" si="104"/>
        <v/>
      </c>
      <c r="AY620" s="21" t="str">
        <f>IF(AND($AM620&lt;&gt;"",$AS620&lt;&gt;"✓"),SUMPRODUCT(($AM$11:$AM620&lt;&gt;"")*($AS$11:$AS620&lt;&gt;"✓")),"")</f>
        <v/>
      </c>
      <c r="AZ620" s="21" t="str">
        <f>IF(AND($AM620&lt;&gt;"",$AS620="✓"),SUMPRODUCT(($AM$11:$AM620&lt;&gt;"")*($AS$11:$AS620="✓")),"")</f>
        <v/>
      </c>
      <c r="BA620" s="21" t="str">
        <f>IF($AL620="","",$AL620&amp;"|"&amp;COUNTIF($AL$11:$AL620,$AL620))</f>
        <v/>
      </c>
    </row>
    <row r="621" spans="23:53" ht="15" customHeight="1" x14ac:dyDescent="0.25">
      <c r="W621" s="14" t="str">
        <f>IF(X621="","",IFERROR(INDEX($AL$11:$AL$4010,MATCH(611,$AY$11:$AY$4010,0)),""))</f>
        <v/>
      </c>
      <c r="X621" s="12" t="str">
        <f>IFERROR(INDEX($AM$11:$AM$4010,MATCH(611,$AY$11:$AY$4010,0)),"")</f>
        <v/>
      </c>
      <c r="Y621" s="11" t="str">
        <f>IF(X621="","",IFERROR(INDEX($AN$11:$AN$4010,MATCH(611,$AY$11:$AY$4010,0)),""))</f>
        <v/>
      </c>
      <c r="Z621" s="11" t="str">
        <f>IF(X621="","",IFERROR(INDEX($AO$11:$AO$4010,MATCH(611,$AY$11:$AY$4010,0)),""))</f>
        <v/>
      </c>
      <c r="AA621" s="10" t="str">
        <f>IF(X621="","",IFERROR(INDEX($AQ$11:$AQ$4010,MATCH(611,$AY$11:$AY$4010,0)),""))</f>
        <v/>
      </c>
      <c r="AB621" s="15" t="str">
        <f>IF(X621="","",IFERROR(INDEX($AR$11:$AR$4010,MATCH(611,$AY$11:$AY$4010,0)),""))</f>
        <v/>
      </c>
      <c r="AD621" s="16" t="str">
        <f>IF(AE621="","",IFERROR(INDEX($AL$11:$AL$4010,MATCH(611,$AZ$11:$AZ$4010,0)),""))</f>
        <v/>
      </c>
      <c r="AE621" s="12" t="str">
        <f>IFERROR(INDEX($AM$11:$AM$4010,MATCH(611,$AZ$11:$AZ$4010,0)),"")</f>
        <v/>
      </c>
      <c r="AF621" s="11" t="str">
        <f>IF(AE621="","",IFERROR(INDEX($AN$11:$AN$4010,MATCH(611,$AZ$11:$AZ$4010,0)),""))</f>
        <v/>
      </c>
      <c r="AG621" s="11" t="str">
        <f>IF(AE621="","",IFERROR(INDEX($AO$11:$AO$4010,MATCH(611,$AZ$11:$AZ$4010,0)),""))</f>
        <v/>
      </c>
      <c r="AH621" s="10" t="str">
        <f>IF(AE621="","",IFERROR(INDEX($AQ$11:$AQ$4010,MATCH(611,$AZ$11:$AZ$4010,0)),""))</f>
        <v/>
      </c>
      <c r="AI621" s="15" t="str">
        <f>IF(AE621="","",IFERROR(INDEX($AR$11:$AR$4010,MATCH(611,$AZ$11:$AZ$4010,0)),""))</f>
        <v/>
      </c>
      <c r="AJ621" s="15" t="str">
        <f>IF(AE621="","",IFERROR(INDEX($AT$11:$AT$4010,MATCH(611,$AZ$11:$AZ$4010,0)),""))</f>
        <v/>
      </c>
      <c r="AL621" s="17"/>
      <c r="AM621" s="12"/>
      <c r="AN621" s="18"/>
      <c r="AO621" s="18"/>
      <c r="AP621" s="10"/>
      <c r="AQ621" s="10"/>
      <c r="AR621" s="19"/>
      <c r="AS621" s="20"/>
      <c r="AT621" s="19"/>
      <c r="AV621" s="21">
        <f>IF(AND($AL621&lt;&gt;"",COUNTIF($AL$11:$AL621,$AL621)=1),1,0)</f>
        <v>0</v>
      </c>
      <c r="AW621" s="21">
        <f t="shared" si="105"/>
        <v>0</v>
      </c>
      <c r="AX621" s="21" t="str">
        <f t="shared" si="104"/>
        <v/>
      </c>
      <c r="AY621" s="21" t="str">
        <f>IF(AND($AM621&lt;&gt;"",$AS621&lt;&gt;"✓"),SUMPRODUCT(($AM$11:$AM621&lt;&gt;"")*($AS$11:$AS621&lt;&gt;"✓")),"")</f>
        <v/>
      </c>
      <c r="AZ621" s="21" t="str">
        <f>IF(AND($AM621&lt;&gt;"",$AS621="✓"),SUMPRODUCT(($AM$11:$AM621&lt;&gt;"")*($AS$11:$AS621="✓")),"")</f>
        <v/>
      </c>
      <c r="BA621" s="21" t="str">
        <f>IF($AL621="","",$AL621&amp;"|"&amp;COUNTIF($AL$11:$AL621,$AL621))</f>
        <v/>
      </c>
    </row>
    <row r="622" spans="23:53" ht="15" customHeight="1" x14ac:dyDescent="0.25">
      <c r="W622" s="28" t="str">
        <f>IF(X622="","",IFERROR(INDEX($AL$11:$AL$4010,MATCH(612,$AY$11:$AY$4010,0)),""))</f>
        <v/>
      </c>
      <c r="X622" s="26" t="str">
        <f>IFERROR(INDEX($AM$11:$AM$4010,MATCH(612,$AY$11:$AY$4010,0)),"")</f>
        <v/>
      </c>
      <c r="Y622" s="25" t="str">
        <f>IF(X622="","",IFERROR(INDEX($AN$11:$AN$4010,MATCH(612,$AY$11:$AY$4010,0)),""))</f>
        <v/>
      </c>
      <c r="Z622" s="25" t="str">
        <f>IF(X622="","",IFERROR(INDEX($AO$11:$AO$4010,MATCH(612,$AY$11:$AY$4010,0)),""))</f>
        <v/>
      </c>
      <c r="AA622" s="24" t="str">
        <f>IF(X622="","",IFERROR(INDEX($AQ$11:$AQ$4010,MATCH(612,$AY$11:$AY$4010,0)),""))</f>
        <v/>
      </c>
      <c r="AB622" s="29" t="str">
        <f>IF(X622="","",IFERROR(INDEX($AR$11:$AR$4010,MATCH(612,$AY$11:$AY$4010,0)),""))</f>
        <v/>
      </c>
      <c r="AD622" s="30" t="str">
        <f>IF(AE622="","",IFERROR(INDEX($AL$11:$AL$4010,MATCH(612,$AZ$11:$AZ$4010,0)),""))</f>
        <v/>
      </c>
      <c r="AE622" s="26" t="str">
        <f>IFERROR(INDEX($AM$11:$AM$4010,MATCH(612,$AZ$11:$AZ$4010,0)),"")</f>
        <v/>
      </c>
      <c r="AF622" s="25" t="str">
        <f>IF(AE622="","",IFERROR(INDEX($AN$11:$AN$4010,MATCH(612,$AZ$11:$AZ$4010,0)),""))</f>
        <v/>
      </c>
      <c r="AG622" s="25" t="str">
        <f>IF(AE622="","",IFERROR(INDEX($AO$11:$AO$4010,MATCH(612,$AZ$11:$AZ$4010,0)),""))</f>
        <v/>
      </c>
      <c r="AH622" s="24" t="str">
        <f>IF(AE622="","",IFERROR(INDEX($AQ$11:$AQ$4010,MATCH(612,$AZ$11:$AZ$4010,0)),""))</f>
        <v/>
      </c>
      <c r="AI622" s="29" t="str">
        <f>IF(AE622="","",IFERROR(INDEX($AR$11:$AR$4010,MATCH(612,$AZ$11:$AZ$4010,0)),""))</f>
        <v/>
      </c>
      <c r="AJ622" s="29" t="str">
        <f>IF(AE622="","",IFERROR(INDEX($AT$11:$AT$4010,MATCH(612,$AZ$11:$AZ$4010,0)),""))</f>
        <v/>
      </c>
      <c r="AL622" s="31"/>
      <c r="AM622" s="26"/>
      <c r="AN622" s="32"/>
      <c r="AO622" s="32"/>
      <c r="AP622" s="24"/>
      <c r="AQ622" s="24"/>
      <c r="AR622" s="33"/>
      <c r="AS622" s="34"/>
      <c r="AT622" s="33"/>
      <c r="AV622" s="21">
        <f>IF(AND($AL622&lt;&gt;"",COUNTIF($AL$11:$AL622,$AL622)=1),1,0)</f>
        <v>0</v>
      </c>
      <c r="AW622" s="21">
        <f t="shared" si="105"/>
        <v>0</v>
      </c>
      <c r="AX622" s="21" t="str">
        <f t="shared" si="104"/>
        <v/>
      </c>
      <c r="AY622" s="21" t="str">
        <f>IF(AND($AM622&lt;&gt;"",$AS622&lt;&gt;"✓"),SUMPRODUCT(($AM$11:$AM622&lt;&gt;"")*($AS$11:$AS622&lt;&gt;"✓")),"")</f>
        <v/>
      </c>
      <c r="AZ622" s="21" t="str">
        <f>IF(AND($AM622&lt;&gt;"",$AS622="✓"),SUMPRODUCT(($AM$11:$AM622&lt;&gt;"")*($AS$11:$AS622="✓")),"")</f>
        <v/>
      </c>
      <c r="BA622" s="21" t="str">
        <f>IF($AL622="","",$AL622&amp;"|"&amp;COUNTIF($AL$11:$AL622,$AL622))</f>
        <v/>
      </c>
    </row>
    <row r="623" spans="23:53" ht="15" customHeight="1" x14ac:dyDescent="0.25">
      <c r="W623" s="14" t="str">
        <f>IF(X623="","",IFERROR(INDEX($AL$11:$AL$4010,MATCH(613,$AY$11:$AY$4010,0)),""))</f>
        <v/>
      </c>
      <c r="X623" s="12" t="str">
        <f>IFERROR(INDEX($AM$11:$AM$4010,MATCH(613,$AY$11:$AY$4010,0)),"")</f>
        <v/>
      </c>
      <c r="Y623" s="11" t="str">
        <f>IF(X623="","",IFERROR(INDEX($AN$11:$AN$4010,MATCH(613,$AY$11:$AY$4010,0)),""))</f>
        <v/>
      </c>
      <c r="Z623" s="11" t="str">
        <f>IF(X623="","",IFERROR(INDEX($AO$11:$AO$4010,MATCH(613,$AY$11:$AY$4010,0)),""))</f>
        <v/>
      </c>
      <c r="AA623" s="10" t="str">
        <f>IF(X623="","",IFERROR(INDEX($AQ$11:$AQ$4010,MATCH(613,$AY$11:$AY$4010,0)),""))</f>
        <v/>
      </c>
      <c r="AB623" s="15" t="str">
        <f>IF(X623="","",IFERROR(INDEX($AR$11:$AR$4010,MATCH(613,$AY$11:$AY$4010,0)),""))</f>
        <v/>
      </c>
      <c r="AD623" s="16" t="str">
        <f>IF(AE623="","",IFERROR(INDEX($AL$11:$AL$4010,MATCH(613,$AZ$11:$AZ$4010,0)),""))</f>
        <v/>
      </c>
      <c r="AE623" s="12" t="str">
        <f>IFERROR(INDEX($AM$11:$AM$4010,MATCH(613,$AZ$11:$AZ$4010,0)),"")</f>
        <v/>
      </c>
      <c r="AF623" s="11" t="str">
        <f>IF(AE623="","",IFERROR(INDEX($AN$11:$AN$4010,MATCH(613,$AZ$11:$AZ$4010,0)),""))</f>
        <v/>
      </c>
      <c r="AG623" s="11" t="str">
        <f>IF(AE623="","",IFERROR(INDEX($AO$11:$AO$4010,MATCH(613,$AZ$11:$AZ$4010,0)),""))</f>
        <v/>
      </c>
      <c r="AH623" s="10" t="str">
        <f>IF(AE623="","",IFERROR(INDEX($AQ$11:$AQ$4010,MATCH(613,$AZ$11:$AZ$4010,0)),""))</f>
        <v/>
      </c>
      <c r="AI623" s="15" t="str">
        <f>IF(AE623="","",IFERROR(INDEX($AR$11:$AR$4010,MATCH(613,$AZ$11:$AZ$4010,0)),""))</f>
        <v/>
      </c>
      <c r="AJ623" s="15" t="str">
        <f>IF(AE623="","",IFERROR(INDEX($AT$11:$AT$4010,MATCH(613,$AZ$11:$AZ$4010,0)),""))</f>
        <v/>
      </c>
      <c r="AL623" s="17"/>
      <c r="AM623" s="12"/>
      <c r="AN623" s="18"/>
      <c r="AO623" s="18"/>
      <c r="AP623" s="10"/>
      <c r="AQ623" s="10"/>
      <c r="AR623" s="19"/>
      <c r="AS623" s="20"/>
      <c r="AT623" s="19"/>
      <c r="AV623" s="21">
        <f>IF(AND($AL623&lt;&gt;"",COUNTIF($AL$11:$AL623,$AL623)=1),1,0)</f>
        <v>0</v>
      </c>
      <c r="AW623" s="21">
        <f t="shared" si="105"/>
        <v>0</v>
      </c>
      <c r="AX623" s="21" t="str">
        <f t="shared" si="104"/>
        <v/>
      </c>
      <c r="AY623" s="21" t="str">
        <f>IF(AND($AM623&lt;&gt;"",$AS623&lt;&gt;"✓"),SUMPRODUCT(($AM$11:$AM623&lt;&gt;"")*($AS$11:$AS623&lt;&gt;"✓")),"")</f>
        <v/>
      </c>
      <c r="AZ623" s="21" t="str">
        <f>IF(AND($AM623&lt;&gt;"",$AS623="✓"),SUMPRODUCT(($AM$11:$AM623&lt;&gt;"")*($AS$11:$AS623="✓")),"")</f>
        <v/>
      </c>
      <c r="BA623" s="21" t="str">
        <f>IF($AL623="","",$AL623&amp;"|"&amp;COUNTIF($AL$11:$AL623,$AL623))</f>
        <v/>
      </c>
    </row>
    <row r="624" spans="23:53" ht="15" customHeight="1" x14ac:dyDescent="0.25">
      <c r="W624" s="28" t="str">
        <f>IF(X624="","",IFERROR(INDEX($AL$11:$AL$4010,MATCH(614,$AY$11:$AY$4010,0)),""))</f>
        <v/>
      </c>
      <c r="X624" s="26" t="str">
        <f>IFERROR(INDEX($AM$11:$AM$4010,MATCH(614,$AY$11:$AY$4010,0)),"")</f>
        <v/>
      </c>
      <c r="Y624" s="25" t="str">
        <f>IF(X624="","",IFERROR(INDEX($AN$11:$AN$4010,MATCH(614,$AY$11:$AY$4010,0)),""))</f>
        <v/>
      </c>
      <c r="Z624" s="25" t="str">
        <f>IF(X624="","",IFERROR(INDEX($AO$11:$AO$4010,MATCH(614,$AY$11:$AY$4010,0)),""))</f>
        <v/>
      </c>
      <c r="AA624" s="24" t="str">
        <f>IF(X624="","",IFERROR(INDEX($AQ$11:$AQ$4010,MATCH(614,$AY$11:$AY$4010,0)),""))</f>
        <v/>
      </c>
      <c r="AB624" s="29" t="str">
        <f>IF(X624="","",IFERROR(INDEX($AR$11:$AR$4010,MATCH(614,$AY$11:$AY$4010,0)),""))</f>
        <v/>
      </c>
      <c r="AD624" s="30" t="str">
        <f>IF(AE624="","",IFERROR(INDEX($AL$11:$AL$4010,MATCH(614,$AZ$11:$AZ$4010,0)),""))</f>
        <v/>
      </c>
      <c r="AE624" s="26" t="str">
        <f>IFERROR(INDEX($AM$11:$AM$4010,MATCH(614,$AZ$11:$AZ$4010,0)),"")</f>
        <v/>
      </c>
      <c r="AF624" s="25" t="str">
        <f>IF(AE624="","",IFERROR(INDEX($AN$11:$AN$4010,MATCH(614,$AZ$11:$AZ$4010,0)),""))</f>
        <v/>
      </c>
      <c r="AG624" s="25" t="str">
        <f>IF(AE624="","",IFERROR(INDEX($AO$11:$AO$4010,MATCH(614,$AZ$11:$AZ$4010,0)),""))</f>
        <v/>
      </c>
      <c r="AH624" s="24" t="str">
        <f>IF(AE624="","",IFERROR(INDEX($AQ$11:$AQ$4010,MATCH(614,$AZ$11:$AZ$4010,0)),""))</f>
        <v/>
      </c>
      <c r="AI624" s="29" t="str">
        <f>IF(AE624="","",IFERROR(INDEX($AR$11:$AR$4010,MATCH(614,$AZ$11:$AZ$4010,0)),""))</f>
        <v/>
      </c>
      <c r="AJ624" s="29" t="str">
        <f>IF(AE624="","",IFERROR(INDEX($AT$11:$AT$4010,MATCH(614,$AZ$11:$AZ$4010,0)),""))</f>
        <v/>
      </c>
      <c r="AL624" s="31"/>
      <c r="AM624" s="26"/>
      <c r="AN624" s="32"/>
      <c r="AO624" s="32"/>
      <c r="AP624" s="24"/>
      <c r="AQ624" s="24"/>
      <c r="AR624" s="33"/>
      <c r="AS624" s="34"/>
      <c r="AT624" s="33"/>
      <c r="AV624" s="21">
        <f>IF(AND($AL624&lt;&gt;"",COUNTIF($AL$11:$AL624,$AL624)=1),1,0)</f>
        <v>0</v>
      </c>
      <c r="AW624" s="21">
        <f t="shared" si="105"/>
        <v>0</v>
      </c>
      <c r="AX624" s="21" t="str">
        <f t="shared" si="104"/>
        <v/>
      </c>
      <c r="AY624" s="21" t="str">
        <f>IF(AND($AM624&lt;&gt;"",$AS624&lt;&gt;"✓"),SUMPRODUCT(($AM$11:$AM624&lt;&gt;"")*($AS$11:$AS624&lt;&gt;"✓")),"")</f>
        <v/>
      </c>
      <c r="AZ624" s="21" t="str">
        <f>IF(AND($AM624&lt;&gt;"",$AS624="✓"),SUMPRODUCT(($AM$11:$AM624&lt;&gt;"")*($AS$11:$AS624="✓")),"")</f>
        <v/>
      </c>
      <c r="BA624" s="21" t="str">
        <f>IF($AL624="","",$AL624&amp;"|"&amp;COUNTIF($AL$11:$AL624,$AL624))</f>
        <v/>
      </c>
    </row>
    <row r="625" spans="23:53" ht="15" customHeight="1" x14ac:dyDescent="0.25">
      <c r="W625" s="14" t="str">
        <f>IF(X625="","",IFERROR(INDEX($AL$11:$AL$4010,MATCH(615,$AY$11:$AY$4010,0)),""))</f>
        <v/>
      </c>
      <c r="X625" s="12" t="str">
        <f>IFERROR(INDEX($AM$11:$AM$4010,MATCH(615,$AY$11:$AY$4010,0)),"")</f>
        <v/>
      </c>
      <c r="Y625" s="11" t="str">
        <f>IF(X625="","",IFERROR(INDEX($AN$11:$AN$4010,MATCH(615,$AY$11:$AY$4010,0)),""))</f>
        <v/>
      </c>
      <c r="Z625" s="11" t="str">
        <f>IF(X625="","",IFERROR(INDEX($AO$11:$AO$4010,MATCH(615,$AY$11:$AY$4010,0)),""))</f>
        <v/>
      </c>
      <c r="AA625" s="10" t="str">
        <f>IF(X625="","",IFERROR(INDEX($AQ$11:$AQ$4010,MATCH(615,$AY$11:$AY$4010,0)),""))</f>
        <v/>
      </c>
      <c r="AB625" s="15" t="str">
        <f>IF(X625="","",IFERROR(INDEX($AR$11:$AR$4010,MATCH(615,$AY$11:$AY$4010,0)),""))</f>
        <v/>
      </c>
      <c r="AD625" s="16" t="str">
        <f>IF(AE625="","",IFERROR(INDEX($AL$11:$AL$4010,MATCH(615,$AZ$11:$AZ$4010,0)),""))</f>
        <v/>
      </c>
      <c r="AE625" s="12" t="str">
        <f>IFERROR(INDEX($AM$11:$AM$4010,MATCH(615,$AZ$11:$AZ$4010,0)),"")</f>
        <v/>
      </c>
      <c r="AF625" s="11" t="str">
        <f>IF(AE625="","",IFERROR(INDEX($AN$11:$AN$4010,MATCH(615,$AZ$11:$AZ$4010,0)),""))</f>
        <v/>
      </c>
      <c r="AG625" s="11" t="str">
        <f>IF(AE625="","",IFERROR(INDEX($AO$11:$AO$4010,MATCH(615,$AZ$11:$AZ$4010,0)),""))</f>
        <v/>
      </c>
      <c r="AH625" s="10" t="str">
        <f>IF(AE625="","",IFERROR(INDEX($AQ$11:$AQ$4010,MATCH(615,$AZ$11:$AZ$4010,0)),""))</f>
        <v/>
      </c>
      <c r="AI625" s="15" t="str">
        <f>IF(AE625="","",IFERROR(INDEX($AR$11:$AR$4010,MATCH(615,$AZ$11:$AZ$4010,0)),""))</f>
        <v/>
      </c>
      <c r="AJ625" s="15" t="str">
        <f>IF(AE625="","",IFERROR(INDEX($AT$11:$AT$4010,MATCH(615,$AZ$11:$AZ$4010,0)),""))</f>
        <v/>
      </c>
      <c r="AL625" s="17"/>
      <c r="AM625" s="12"/>
      <c r="AN625" s="18"/>
      <c r="AO625" s="18"/>
      <c r="AP625" s="10"/>
      <c r="AQ625" s="10"/>
      <c r="AR625" s="19"/>
      <c r="AS625" s="20"/>
      <c r="AT625" s="19"/>
      <c r="AV625" s="21">
        <f>IF(AND($AL625&lt;&gt;"",COUNTIF($AL$11:$AL625,$AL625)=1),1,0)</f>
        <v>0</v>
      </c>
      <c r="AW625" s="21">
        <f t="shared" si="105"/>
        <v>0</v>
      </c>
      <c r="AX625" s="21" t="str">
        <f t="shared" si="104"/>
        <v/>
      </c>
      <c r="AY625" s="21" t="str">
        <f>IF(AND($AM625&lt;&gt;"",$AS625&lt;&gt;"✓"),SUMPRODUCT(($AM$11:$AM625&lt;&gt;"")*($AS$11:$AS625&lt;&gt;"✓")),"")</f>
        <v/>
      </c>
      <c r="AZ625" s="21" t="str">
        <f>IF(AND($AM625&lt;&gt;"",$AS625="✓"),SUMPRODUCT(($AM$11:$AM625&lt;&gt;"")*($AS$11:$AS625="✓")),"")</f>
        <v/>
      </c>
      <c r="BA625" s="21" t="str">
        <f>IF($AL625="","",$AL625&amp;"|"&amp;COUNTIF($AL$11:$AL625,$AL625))</f>
        <v/>
      </c>
    </row>
    <row r="626" spans="23:53" ht="15" customHeight="1" x14ac:dyDescent="0.25">
      <c r="W626" s="28" t="str">
        <f>IF(X626="","",IFERROR(INDEX($AL$11:$AL$4010,MATCH(616,$AY$11:$AY$4010,0)),""))</f>
        <v/>
      </c>
      <c r="X626" s="26" t="str">
        <f>IFERROR(INDEX($AM$11:$AM$4010,MATCH(616,$AY$11:$AY$4010,0)),"")</f>
        <v/>
      </c>
      <c r="Y626" s="25" t="str">
        <f>IF(X626="","",IFERROR(INDEX($AN$11:$AN$4010,MATCH(616,$AY$11:$AY$4010,0)),""))</f>
        <v/>
      </c>
      <c r="Z626" s="25" t="str">
        <f>IF(X626="","",IFERROR(INDEX($AO$11:$AO$4010,MATCH(616,$AY$11:$AY$4010,0)),""))</f>
        <v/>
      </c>
      <c r="AA626" s="24" t="str">
        <f>IF(X626="","",IFERROR(INDEX($AQ$11:$AQ$4010,MATCH(616,$AY$11:$AY$4010,0)),""))</f>
        <v/>
      </c>
      <c r="AB626" s="29" t="str">
        <f>IF(X626="","",IFERROR(INDEX($AR$11:$AR$4010,MATCH(616,$AY$11:$AY$4010,0)),""))</f>
        <v/>
      </c>
      <c r="AD626" s="30" t="str">
        <f>IF(AE626="","",IFERROR(INDEX($AL$11:$AL$4010,MATCH(616,$AZ$11:$AZ$4010,0)),""))</f>
        <v/>
      </c>
      <c r="AE626" s="26" t="str">
        <f>IFERROR(INDEX($AM$11:$AM$4010,MATCH(616,$AZ$11:$AZ$4010,0)),"")</f>
        <v/>
      </c>
      <c r="AF626" s="25" t="str">
        <f>IF(AE626="","",IFERROR(INDEX($AN$11:$AN$4010,MATCH(616,$AZ$11:$AZ$4010,0)),""))</f>
        <v/>
      </c>
      <c r="AG626" s="25" t="str">
        <f>IF(AE626="","",IFERROR(INDEX($AO$11:$AO$4010,MATCH(616,$AZ$11:$AZ$4010,0)),""))</f>
        <v/>
      </c>
      <c r="AH626" s="24" t="str">
        <f>IF(AE626="","",IFERROR(INDEX($AQ$11:$AQ$4010,MATCH(616,$AZ$11:$AZ$4010,0)),""))</f>
        <v/>
      </c>
      <c r="AI626" s="29" t="str">
        <f>IF(AE626="","",IFERROR(INDEX($AR$11:$AR$4010,MATCH(616,$AZ$11:$AZ$4010,0)),""))</f>
        <v/>
      </c>
      <c r="AJ626" s="29" t="str">
        <f>IF(AE626="","",IFERROR(INDEX($AT$11:$AT$4010,MATCH(616,$AZ$11:$AZ$4010,0)),""))</f>
        <v/>
      </c>
      <c r="AL626" s="31"/>
      <c r="AM626" s="26"/>
      <c r="AN626" s="32"/>
      <c r="AO626" s="32"/>
      <c r="AP626" s="24"/>
      <c r="AQ626" s="24"/>
      <c r="AR626" s="33"/>
      <c r="AS626" s="34"/>
      <c r="AT626" s="33"/>
      <c r="AV626" s="21">
        <f>IF(AND($AL626&lt;&gt;"",COUNTIF($AL$11:$AL626,$AL626)=1),1,0)</f>
        <v>0</v>
      </c>
      <c r="AW626" s="21">
        <f t="shared" si="105"/>
        <v>0</v>
      </c>
      <c r="AX626" s="21" t="str">
        <f t="shared" si="104"/>
        <v/>
      </c>
      <c r="AY626" s="21" t="str">
        <f>IF(AND($AM626&lt;&gt;"",$AS626&lt;&gt;"✓"),SUMPRODUCT(($AM$11:$AM626&lt;&gt;"")*($AS$11:$AS626&lt;&gt;"✓")),"")</f>
        <v/>
      </c>
      <c r="AZ626" s="21" t="str">
        <f>IF(AND($AM626&lt;&gt;"",$AS626="✓"),SUMPRODUCT(($AM$11:$AM626&lt;&gt;"")*($AS$11:$AS626="✓")),"")</f>
        <v/>
      </c>
      <c r="BA626" s="21" t="str">
        <f>IF($AL626="","",$AL626&amp;"|"&amp;COUNTIF($AL$11:$AL626,$AL626))</f>
        <v/>
      </c>
    </row>
    <row r="627" spans="23:53" ht="15" customHeight="1" x14ac:dyDescent="0.25">
      <c r="W627" s="14" t="str">
        <f>IF(X627="","",IFERROR(INDEX($AL$11:$AL$4010,MATCH(617,$AY$11:$AY$4010,0)),""))</f>
        <v/>
      </c>
      <c r="X627" s="12" t="str">
        <f>IFERROR(INDEX($AM$11:$AM$4010,MATCH(617,$AY$11:$AY$4010,0)),"")</f>
        <v/>
      </c>
      <c r="Y627" s="11" t="str">
        <f>IF(X627="","",IFERROR(INDEX($AN$11:$AN$4010,MATCH(617,$AY$11:$AY$4010,0)),""))</f>
        <v/>
      </c>
      <c r="Z627" s="11" t="str">
        <f>IF(X627="","",IFERROR(INDEX($AO$11:$AO$4010,MATCH(617,$AY$11:$AY$4010,0)),""))</f>
        <v/>
      </c>
      <c r="AA627" s="10" t="str">
        <f>IF(X627="","",IFERROR(INDEX($AQ$11:$AQ$4010,MATCH(617,$AY$11:$AY$4010,0)),""))</f>
        <v/>
      </c>
      <c r="AB627" s="15" t="str">
        <f>IF(X627="","",IFERROR(INDEX($AR$11:$AR$4010,MATCH(617,$AY$11:$AY$4010,0)),""))</f>
        <v/>
      </c>
      <c r="AD627" s="16" t="str">
        <f>IF(AE627="","",IFERROR(INDEX($AL$11:$AL$4010,MATCH(617,$AZ$11:$AZ$4010,0)),""))</f>
        <v/>
      </c>
      <c r="AE627" s="12" t="str">
        <f>IFERROR(INDEX($AM$11:$AM$4010,MATCH(617,$AZ$11:$AZ$4010,0)),"")</f>
        <v/>
      </c>
      <c r="AF627" s="11" t="str">
        <f>IF(AE627="","",IFERROR(INDEX($AN$11:$AN$4010,MATCH(617,$AZ$11:$AZ$4010,0)),""))</f>
        <v/>
      </c>
      <c r="AG627" s="11" t="str">
        <f>IF(AE627="","",IFERROR(INDEX($AO$11:$AO$4010,MATCH(617,$AZ$11:$AZ$4010,0)),""))</f>
        <v/>
      </c>
      <c r="AH627" s="10" t="str">
        <f>IF(AE627="","",IFERROR(INDEX($AQ$11:$AQ$4010,MATCH(617,$AZ$11:$AZ$4010,0)),""))</f>
        <v/>
      </c>
      <c r="AI627" s="15" t="str">
        <f>IF(AE627="","",IFERROR(INDEX($AR$11:$AR$4010,MATCH(617,$AZ$11:$AZ$4010,0)),""))</f>
        <v/>
      </c>
      <c r="AJ627" s="15" t="str">
        <f>IF(AE627="","",IFERROR(INDEX($AT$11:$AT$4010,MATCH(617,$AZ$11:$AZ$4010,0)),""))</f>
        <v/>
      </c>
      <c r="AL627" s="17"/>
      <c r="AM627" s="12"/>
      <c r="AN627" s="18"/>
      <c r="AO627" s="18"/>
      <c r="AP627" s="10"/>
      <c r="AQ627" s="10"/>
      <c r="AR627" s="19"/>
      <c r="AS627" s="20"/>
      <c r="AT627" s="19"/>
      <c r="AV627" s="21">
        <f>IF(AND($AL627&lt;&gt;"",COUNTIF($AL$11:$AL627,$AL627)=1),1,0)</f>
        <v>0</v>
      </c>
      <c r="AW627" s="21">
        <f t="shared" si="105"/>
        <v>0</v>
      </c>
      <c r="AX627" s="21" t="str">
        <f t="shared" si="104"/>
        <v/>
      </c>
      <c r="AY627" s="21" t="str">
        <f>IF(AND($AM627&lt;&gt;"",$AS627&lt;&gt;"✓"),SUMPRODUCT(($AM$11:$AM627&lt;&gt;"")*($AS$11:$AS627&lt;&gt;"✓")),"")</f>
        <v/>
      </c>
      <c r="AZ627" s="21" t="str">
        <f>IF(AND($AM627&lt;&gt;"",$AS627="✓"),SUMPRODUCT(($AM$11:$AM627&lt;&gt;"")*($AS$11:$AS627="✓")),"")</f>
        <v/>
      </c>
      <c r="BA627" s="21" t="str">
        <f>IF($AL627="","",$AL627&amp;"|"&amp;COUNTIF($AL$11:$AL627,$AL627))</f>
        <v/>
      </c>
    </row>
    <row r="628" spans="23:53" ht="15" customHeight="1" x14ac:dyDescent="0.25">
      <c r="W628" s="28" t="str">
        <f>IF(X628="","",IFERROR(INDEX($AL$11:$AL$4010,MATCH(618,$AY$11:$AY$4010,0)),""))</f>
        <v/>
      </c>
      <c r="X628" s="26" t="str">
        <f>IFERROR(INDEX($AM$11:$AM$4010,MATCH(618,$AY$11:$AY$4010,0)),"")</f>
        <v/>
      </c>
      <c r="Y628" s="25" t="str">
        <f>IF(X628="","",IFERROR(INDEX($AN$11:$AN$4010,MATCH(618,$AY$11:$AY$4010,0)),""))</f>
        <v/>
      </c>
      <c r="Z628" s="25" t="str">
        <f>IF(X628="","",IFERROR(INDEX($AO$11:$AO$4010,MATCH(618,$AY$11:$AY$4010,0)),""))</f>
        <v/>
      </c>
      <c r="AA628" s="24" t="str">
        <f>IF(X628="","",IFERROR(INDEX($AQ$11:$AQ$4010,MATCH(618,$AY$11:$AY$4010,0)),""))</f>
        <v/>
      </c>
      <c r="AB628" s="29" t="str">
        <f>IF(X628="","",IFERROR(INDEX($AR$11:$AR$4010,MATCH(618,$AY$11:$AY$4010,0)),""))</f>
        <v/>
      </c>
      <c r="AD628" s="30" t="str">
        <f>IF(AE628="","",IFERROR(INDEX($AL$11:$AL$4010,MATCH(618,$AZ$11:$AZ$4010,0)),""))</f>
        <v/>
      </c>
      <c r="AE628" s="26" t="str">
        <f>IFERROR(INDEX($AM$11:$AM$4010,MATCH(618,$AZ$11:$AZ$4010,0)),"")</f>
        <v/>
      </c>
      <c r="AF628" s="25" t="str">
        <f>IF(AE628="","",IFERROR(INDEX($AN$11:$AN$4010,MATCH(618,$AZ$11:$AZ$4010,0)),""))</f>
        <v/>
      </c>
      <c r="AG628" s="25" t="str">
        <f>IF(AE628="","",IFERROR(INDEX($AO$11:$AO$4010,MATCH(618,$AZ$11:$AZ$4010,0)),""))</f>
        <v/>
      </c>
      <c r="AH628" s="24" t="str">
        <f>IF(AE628="","",IFERROR(INDEX($AQ$11:$AQ$4010,MATCH(618,$AZ$11:$AZ$4010,0)),""))</f>
        <v/>
      </c>
      <c r="AI628" s="29" t="str">
        <f>IF(AE628="","",IFERROR(INDEX($AR$11:$AR$4010,MATCH(618,$AZ$11:$AZ$4010,0)),""))</f>
        <v/>
      </c>
      <c r="AJ628" s="29" t="str">
        <f>IF(AE628="","",IFERROR(INDEX($AT$11:$AT$4010,MATCH(618,$AZ$11:$AZ$4010,0)),""))</f>
        <v/>
      </c>
      <c r="AL628" s="31"/>
      <c r="AM628" s="26"/>
      <c r="AN628" s="32"/>
      <c r="AO628" s="32"/>
      <c r="AP628" s="24"/>
      <c r="AQ628" s="24"/>
      <c r="AR628" s="33"/>
      <c r="AS628" s="34"/>
      <c r="AT628" s="33"/>
      <c r="AV628" s="21">
        <f>IF(AND($AL628&lt;&gt;"",COUNTIF($AL$11:$AL628,$AL628)=1),1,0)</f>
        <v>0</v>
      </c>
      <c r="AW628" s="21">
        <f t="shared" si="105"/>
        <v>0</v>
      </c>
      <c r="AX628" s="21" t="str">
        <f t="shared" si="104"/>
        <v/>
      </c>
      <c r="AY628" s="21" t="str">
        <f>IF(AND($AM628&lt;&gt;"",$AS628&lt;&gt;"✓"),SUMPRODUCT(($AM$11:$AM628&lt;&gt;"")*($AS$11:$AS628&lt;&gt;"✓")),"")</f>
        <v/>
      </c>
      <c r="AZ628" s="21" t="str">
        <f>IF(AND($AM628&lt;&gt;"",$AS628="✓"),SUMPRODUCT(($AM$11:$AM628&lt;&gt;"")*($AS$11:$AS628="✓")),"")</f>
        <v/>
      </c>
      <c r="BA628" s="21" t="str">
        <f>IF($AL628="","",$AL628&amp;"|"&amp;COUNTIF($AL$11:$AL628,$AL628))</f>
        <v/>
      </c>
    </row>
    <row r="629" spans="23:53" ht="15" customHeight="1" x14ac:dyDescent="0.25">
      <c r="W629" s="14" t="str">
        <f>IF(X629="","",IFERROR(INDEX($AL$11:$AL$4010,MATCH(619,$AY$11:$AY$4010,0)),""))</f>
        <v/>
      </c>
      <c r="X629" s="12" t="str">
        <f>IFERROR(INDEX($AM$11:$AM$4010,MATCH(619,$AY$11:$AY$4010,0)),"")</f>
        <v/>
      </c>
      <c r="Y629" s="11" t="str">
        <f>IF(X629="","",IFERROR(INDEX($AN$11:$AN$4010,MATCH(619,$AY$11:$AY$4010,0)),""))</f>
        <v/>
      </c>
      <c r="Z629" s="11" t="str">
        <f>IF(X629="","",IFERROR(INDEX($AO$11:$AO$4010,MATCH(619,$AY$11:$AY$4010,0)),""))</f>
        <v/>
      </c>
      <c r="AA629" s="10" t="str">
        <f>IF(X629="","",IFERROR(INDEX($AQ$11:$AQ$4010,MATCH(619,$AY$11:$AY$4010,0)),""))</f>
        <v/>
      </c>
      <c r="AB629" s="15" t="str">
        <f>IF(X629="","",IFERROR(INDEX($AR$11:$AR$4010,MATCH(619,$AY$11:$AY$4010,0)),""))</f>
        <v/>
      </c>
      <c r="AD629" s="16" t="str">
        <f>IF(AE629="","",IFERROR(INDEX($AL$11:$AL$4010,MATCH(619,$AZ$11:$AZ$4010,0)),""))</f>
        <v/>
      </c>
      <c r="AE629" s="12" t="str">
        <f>IFERROR(INDEX($AM$11:$AM$4010,MATCH(619,$AZ$11:$AZ$4010,0)),"")</f>
        <v/>
      </c>
      <c r="AF629" s="11" t="str">
        <f>IF(AE629="","",IFERROR(INDEX($AN$11:$AN$4010,MATCH(619,$AZ$11:$AZ$4010,0)),""))</f>
        <v/>
      </c>
      <c r="AG629" s="11" t="str">
        <f>IF(AE629="","",IFERROR(INDEX($AO$11:$AO$4010,MATCH(619,$AZ$11:$AZ$4010,0)),""))</f>
        <v/>
      </c>
      <c r="AH629" s="10" t="str">
        <f>IF(AE629="","",IFERROR(INDEX($AQ$11:$AQ$4010,MATCH(619,$AZ$11:$AZ$4010,0)),""))</f>
        <v/>
      </c>
      <c r="AI629" s="15" t="str">
        <f>IF(AE629="","",IFERROR(INDEX($AR$11:$AR$4010,MATCH(619,$AZ$11:$AZ$4010,0)),""))</f>
        <v/>
      </c>
      <c r="AJ629" s="15" t="str">
        <f>IF(AE629="","",IFERROR(INDEX($AT$11:$AT$4010,MATCH(619,$AZ$11:$AZ$4010,0)),""))</f>
        <v/>
      </c>
      <c r="AL629" s="17"/>
      <c r="AM629" s="12"/>
      <c r="AN629" s="18"/>
      <c r="AO629" s="18"/>
      <c r="AP629" s="10"/>
      <c r="AQ629" s="10"/>
      <c r="AR629" s="19"/>
      <c r="AS629" s="20"/>
      <c r="AT629" s="19"/>
      <c r="AV629" s="21">
        <f>IF(AND($AL629&lt;&gt;"",COUNTIF($AL$11:$AL629,$AL629)=1),1,0)</f>
        <v>0</v>
      </c>
      <c r="AW629" s="21">
        <f t="shared" si="105"/>
        <v>0</v>
      </c>
      <c r="AX629" s="21" t="str">
        <f t="shared" si="104"/>
        <v/>
      </c>
      <c r="AY629" s="21" t="str">
        <f>IF(AND($AM629&lt;&gt;"",$AS629&lt;&gt;"✓"),SUMPRODUCT(($AM$11:$AM629&lt;&gt;"")*($AS$11:$AS629&lt;&gt;"✓")),"")</f>
        <v/>
      </c>
      <c r="AZ629" s="21" t="str">
        <f>IF(AND($AM629&lt;&gt;"",$AS629="✓"),SUMPRODUCT(($AM$11:$AM629&lt;&gt;"")*($AS$11:$AS629="✓")),"")</f>
        <v/>
      </c>
      <c r="BA629" s="21" t="str">
        <f>IF($AL629="","",$AL629&amp;"|"&amp;COUNTIF($AL$11:$AL629,$AL629))</f>
        <v/>
      </c>
    </row>
    <row r="630" spans="23:53" ht="15" customHeight="1" x14ac:dyDescent="0.25">
      <c r="W630" s="28" t="str">
        <f>IF(X630="","",IFERROR(INDEX($AL$11:$AL$4010,MATCH(620,$AY$11:$AY$4010,0)),""))</f>
        <v/>
      </c>
      <c r="X630" s="26" t="str">
        <f>IFERROR(INDEX($AM$11:$AM$4010,MATCH(620,$AY$11:$AY$4010,0)),"")</f>
        <v/>
      </c>
      <c r="Y630" s="25" t="str">
        <f>IF(X630="","",IFERROR(INDEX($AN$11:$AN$4010,MATCH(620,$AY$11:$AY$4010,0)),""))</f>
        <v/>
      </c>
      <c r="Z630" s="25" t="str">
        <f>IF(X630="","",IFERROR(INDEX($AO$11:$AO$4010,MATCH(620,$AY$11:$AY$4010,0)),""))</f>
        <v/>
      </c>
      <c r="AA630" s="24" t="str">
        <f>IF(X630="","",IFERROR(INDEX($AQ$11:$AQ$4010,MATCH(620,$AY$11:$AY$4010,0)),""))</f>
        <v/>
      </c>
      <c r="AB630" s="29" t="str">
        <f>IF(X630="","",IFERROR(INDEX($AR$11:$AR$4010,MATCH(620,$AY$11:$AY$4010,0)),""))</f>
        <v/>
      </c>
      <c r="AD630" s="30" t="str">
        <f>IF(AE630="","",IFERROR(INDEX($AL$11:$AL$4010,MATCH(620,$AZ$11:$AZ$4010,0)),""))</f>
        <v/>
      </c>
      <c r="AE630" s="26" t="str">
        <f>IFERROR(INDEX($AM$11:$AM$4010,MATCH(620,$AZ$11:$AZ$4010,0)),"")</f>
        <v/>
      </c>
      <c r="AF630" s="25" t="str">
        <f>IF(AE630="","",IFERROR(INDEX($AN$11:$AN$4010,MATCH(620,$AZ$11:$AZ$4010,0)),""))</f>
        <v/>
      </c>
      <c r="AG630" s="25" t="str">
        <f>IF(AE630="","",IFERROR(INDEX($AO$11:$AO$4010,MATCH(620,$AZ$11:$AZ$4010,0)),""))</f>
        <v/>
      </c>
      <c r="AH630" s="24" t="str">
        <f>IF(AE630="","",IFERROR(INDEX($AQ$11:$AQ$4010,MATCH(620,$AZ$11:$AZ$4010,0)),""))</f>
        <v/>
      </c>
      <c r="AI630" s="29" t="str">
        <f>IF(AE630="","",IFERROR(INDEX($AR$11:$AR$4010,MATCH(620,$AZ$11:$AZ$4010,0)),""))</f>
        <v/>
      </c>
      <c r="AJ630" s="29" t="str">
        <f>IF(AE630="","",IFERROR(INDEX($AT$11:$AT$4010,MATCH(620,$AZ$11:$AZ$4010,0)),""))</f>
        <v/>
      </c>
      <c r="AL630" s="31"/>
      <c r="AM630" s="26"/>
      <c r="AN630" s="32"/>
      <c r="AO630" s="32"/>
      <c r="AP630" s="24"/>
      <c r="AQ630" s="24"/>
      <c r="AR630" s="33"/>
      <c r="AS630" s="34"/>
      <c r="AT630" s="33"/>
      <c r="AV630" s="21">
        <f>IF(AND($AL630&lt;&gt;"",COUNTIF($AL$11:$AL630,$AL630)=1),1,0)</f>
        <v>0</v>
      </c>
      <c r="AW630" s="21">
        <f t="shared" si="105"/>
        <v>0</v>
      </c>
      <c r="AX630" s="21" t="str">
        <f t="shared" si="104"/>
        <v/>
      </c>
      <c r="AY630" s="21" t="str">
        <f>IF(AND($AM630&lt;&gt;"",$AS630&lt;&gt;"✓"),SUMPRODUCT(($AM$11:$AM630&lt;&gt;"")*($AS$11:$AS630&lt;&gt;"✓")),"")</f>
        <v/>
      </c>
      <c r="AZ630" s="21" t="str">
        <f>IF(AND($AM630&lt;&gt;"",$AS630="✓"),SUMPRODUCT(($AM$11:$AM630&lt;&gt;"")*($AS$11:$AS630="✓")),"")</f>
        <v/>
      </c>
      <c r="BA630" s="21" t="str">
        <f>IF($AL630="","",$AL630&amp;"|"&amp;COUNTIF($AL$11:$AL630,$AL630))</f>
        <v/>
      </c>
    </row>
    <row r="631" spans="23:53" ht="15" customHeight="1" x14ac:dyDescent="0.25">
      <c r="W631" s="14" t="str">
        <f>IF(X631="","",IFERROR(INDEX($AL$11:$AL$4010,MATCH(621,$AY$11:$AY$4010,0)),""))</f>
        <v/>
      </c>
      <c r="X631" s="12" t="str">
        <f>IFERROR(INDEX($AM$11:$AM$4010,MATCH(621,$AY$11:$AY$4010,0)),"")</f>
        <v/>
      </c>
      <c r="Y631" s="11" t="str">
        <f>IF(X631="","",IFERROR(INDEX($AN$11:$AN$4010,MATCH(621,$AY$11:$AY$4010,0)),""))</f>
        <v/>
      </c>
      <c r="Z631" s="11" t="str">
        <f>IF(X631="","",IFERROR(INDEX($AO$11:$AO$4010,MATCH(621,$AY$11:$AY$4010,0)),""))</f>
        <v/>
      </c>
      <c r="AA631" s="10" t="str">
        <f>IF(X631="","",IFERROR(INDEX($AQ$11:$AQ$4010,MATCH(621,$AY$11:$AY$4010,0)),""))</f>
        <v/>
      </c>
      <c r="AB631" s="15" t="str">
        <f>IF(X631="","",IFERROR(INDEX($AR$11:$AR$4010,MATCH(621,$AY$11:$AY$4010,0)),""))</f>
        <v/>
      </c>
      <c r="AD631" s="16" t="str">
        <f>IF(AE631="","",IFERROR(INDEX($AL$11:$AL$4010,MATCH(621,$AZ$11:$AZ$4010,0)),""))</f>
        <v/>
      </c>
      <c r="AE631" s="12" t="str">
        <f>IFERROR(INDEX($AM$11:$AM$4010,MATCH(621,$AZ$11:$AZ$4010,0)),"")</f>
        <v/>
      </c>
      <c r="AF631" s="11" t="str">
        <f>IF(AE631="","",IFERROR(INDEX($AN$11:$AN$4010,MATCH(621,$AZ$11:$AZ$4010,0)),""))</f>
        <v/>
      </c>
      <c r="AG631" s="11" t="str">
        <f>IF(AE631="","",IFERROR(INDEX($AO$11:$AO$4010,MATCH(621,$AZ$11:$AZ$4010,0)),""))</f>
        <v/>
      </c>
      <c r="AH631" s="10" t="str">
        <f>IF(AE631="","",IFERROR(INDEX($AQ$11:$AQ$4010,MATCH(621,$AZ$11:$AZ$4010,0)),""))</f>
        <v/>
      </c>
      <c r="AI631" s="15" t="str">
        <f>IF(AE631="","",IFERROR(INDEX($AR$11:$AR$4010,MATCH(621,$AZ$11:$AZ$4010,0)),""))</f>
        <v/>
      </c>
      <c r="AJ631" s="15" t="str">
        <f>IF(AE631="","",IFERROR(INDEX($AT$11:$AT$4010,MATCH(621,$AZ$11:$AZ$4010,0)),""))</f>
        <v/>
      </c>
      <c r="AL631" s="17"/>
      <c r="AM631" s="12"/>
      <c r="AN631" s="18"/>
      <c r="AO631" s="18"/>
      <c r="AP631" s="10"/>
      <c r="AQ631" s="10"/>
      <c r="AR631" s="19"/>
      <c r="AS631" s="20"/>
      <c r="AT631" s="19"/>
      <c r="AV631" s="21">
        <f>IF(AND($AL631&lt;&gt;"",COUNTIF($AL$11:$AL631,$AL631)=1),1,0)</f>
        <v>0</v>
      </c>
      <c r="AW631" s="21">
        <f t="shared" si="105"/>
        <v>0</v>
      </c>
      <c r="AX631" s="21" t="str">
        <f t="shared" si="104"/>
        <v/>
      </c>
      <c r="AY631" s="21" t="str">
        <f>IF(AND($AM631&lt;&gt;"",$AS631&lt;&gt;"✓"),SUMPRODUCT(($AM$11:$AM631&lt;&gt;"")*($AS$11:$AS631&lt;&gt;"✓")),"")</f>
        <v/>
      </c>
      <c r="AZ631" s="21" t="str">
        <f>IF(AND($AM631&lt;&gt;"",$AS631="✓"),SUMPRODUCT(($AM$11:$AM631&lt;&gt;"")*($AS$11:$AS631="✓")),"")</f>
        <v/>
      </c>
      <c r="BA631" s="21" t="str">
        <f>IF($AL631="","",$AL631&amp;"|"&amp;COUNTIF($AL$11:$AL631,$AL631))</f>
        <v/>
      </c>
    </row>
    <row r="632" spans="23:53" ht="15" customHeight="1" x14ac:dyDescent="0.25">
      <c r="W632" s="28" t="str">
        <f>IF(X632="","",IFERROR(INDEX($AL$11:$AL$4010,MATCH(622,$AY$11:$AY$4010,0)),""))</f>
        <v/>
      </c>
      <c r="X632" s="26" t="str">
        <f>IFERROR(INDEX($AM$11:$AM$4010,MATCH(622,$AY$11:$AY$4010,0)),"")</f>
        <v/>
      </c>
      <c r="Y632" s="25" t="str">
        <f>IF(X632="","",IFERROR(INDEX($AN$11:$AN$4010,MATCH(622,$AY$11:$AY$4010,0)),""))</f>
        <v/>
      </c>
      <c r="Z632" s="25" t="str">
        <f>IF(X632="","",IFERROR(INDEX($AO$11:$AO$4010,MATCH(622,$AY$11:$AY$4010,0)),""))</f>
        <v/>
      </c>
      <c r="AA632" s="24" t="str">
        <f>IF(X632="","",IFERROR(INDEX($AQ$11:$AQ$4010,MATCH(622,$AY$11:$AY$4010,0)),""))</f>
        <v/>
      </c>
      <c r="AB632" s="29" t="str">
        <f>IF(X632="","",IFERROR(INDEX($AR$11:$AR$4010,MATCH(622,$AY$11:$AY$4010,0)),""))</f>
        <v/>
      </c>
      <c r="AD632" s="30" t="str">
        <f>IF(AE632="","",IFERROR(INDEX($AL$11:$AL$4010,MATCH(622,$AZ$11:$AZ$4010,0)),""))</f>
        <v/>
      </c>
      <c r="AE632" s="26" t="str">
        <f>IFERROR(INDEX($AM$11:$AM$4010,MATCH(622,$AZ$11:$AZ$4010,0)),"")</f>
        <v/>
      </c>
      <c r="AF632" s="25" t="str">
        <f>IF(AE632="","",IFERROR(INDEX($AN$11:$AN$4010,MATCH(622,$AZ$11:$AZ$4010,0)),""))</f>
        <v/>
      </c>
      <c r="AG632" s="25" t="str">
        <f>IF(AE632="","",IFERROR(INDEX($AO$11:$AO$4010,MATCH(622,$AZ$11:$AZ$4010,0)),""))</f>
        <v/>
      </c>
      <c r="AH632" s="24" t="str">
        <f>IF(AE632="","",IFERROR(INDEX($AQ$11:$AQ$4010,MATCH(622,$AZ$11:$AZ$4010,0)),""))</f>
        <v/>
      </c>
      <c r="AI632" s="29" t="str">
        <f>IF(AE632="","",IFERROR(INDEX($AR$11:$AR$4010,MATCH(622,$AZ$11:$AZ$4010,0)),""))</f>
        <v/>
      </c>
      <c r="AJ632" s="29" t="str">
        <f>IF(AE632="","",IFERROR(INDEX($AT$11:$AT$4010,MATCH(622,$AZ$11:$AZ$4010,0)),""))</f>
        <v/>
      </c>
      <c r="AL632" s="31"/>
      <c r="AM632" s="26"/>
      <c r="AN632" s="32"/>
      <c r="AO632" s="32"/>
      <c r="AP632" s="24"/>
      <c r="AQ632" s="24"/>
      <c r="AR632" s="33"/>
      <c r="AS632" s="34"/>
      <c r="AT632" s="33"/>
      <c r="AV632" s="21">
        <f>IF(AND($AL632&lt;&gt;"",COUNTIF($AL$11:$AL632,$AL632)=1),1,0)</f>
        <v>0</v>
      </c>
      <c r="AW632" s="21">
        <f t="shared" si="105"/>
        <v>0</v>
      </c>
      <c r="AX632" s="21" t="str">
        <f t="shared" si="104"/>
        <v/>
      </c>
      <c r="AY632" s="21" t="str">
        <f>IF(AND($AM632&lt;&gt;"",$AS632&lt;&gt;"✓"),SUMPRODUCT(($AM$11:$AM632&lt;&gt;"")*($AS$11:$AS632&lt;&gt;"✓")),"")</f>
        <v/>
      </c>
      <c r="AZ632" s="21" t="str">
        <f>IF(AND($AM632&lt;&gt;"",$AS632="✓"),SUMPRODUCT(($AM$11:$AM632&lt;&gt;"")*($AS$11:$AS632="✓")),"")</f>
        <v/>
      </c>
      <c r="BA632" s="21" t="str">
        <f>IF($AL632="","",$AL632&amp;"|"&amp;COUNTIF($AL$11:$AL632,$AL632))</f>
        <v/>
      </c>
    </row>
    <row r="633" spans="23:53" ht="15" customHeight="1" x14ac:dyDescent="0.25">
      <c r="W633" s="14" t="str">
        <f>IF(X633="","",IFERROR(INDEX($AL$11:$AL$4010,MATCH(623,$AY$11:$AY$4010,0)),""))</f>
        <v/>
      </c>
      <c r="X633" s="12" t="str">
        <f>IFERROR(INDEX($AM$11:$AM$4010,MATCH(623,$AY$11:$AY$4010,0)),"")</f>
        <v/>
      </c>
      <c r="Y633" s="11" t="str">
        <f>IF(X633="","",IFERROR(INDEX($AN$11:$AN$4010,MATCH(623,$AY$11:$AY$4010,0)),""))</f>
        <v/>
      </c>
      <c r="Z633" s="11" t="str">
        <f>IF(X633="","",IFERROR(INDEX($AO$11:$AO$4010,MATCH(623,$AY$11:$AY$4010,0)),""))</f>
        <v/>
      </c>
      <c r="AA633" s="10" t="str">
        <f>IF(X633="","",IFERROR(INDEX($AQ$11:$AQ$4010,MATCH(623,$AY$11:$AY$4010,0)),""))</f>
        <v/>
      </c>
      <c r="AB633" s="15" t="str">
        <f>IF(X633="","",IFERROR(INDEX($AR$11:$AR$4010,MATCH(623,$AY$11:$AY$4010,0)),""))</f>
        <v/>
      </c>
      <c r="AD633" s="16" t="str">
        <f>IF(AE633="","",IFERROR(INDEX($AL$11:$AL$4010,MATCH(623,$AZ$11:$AZ$4010,0)),""))</f>
        <v/>
      </c>
      <c r="AE633" s="12" t="str">
        <f>IFERROR(INDEX($AM$11:$AM$4010,MATCH(623,$AZ$11:$AZ$4010,0)),"")</f>
        <v/>
      </c>
      <c r="AF633" s="11" t="str">
        <f>IF(AE633="","",IFERROR(INDEX($AN$11:$AN$4010,MATCH(623,$AZ$11:$AZ$4010,0)),""))</f>
        <v/>
      </c>
      <c r="AG633" s="11" t="str">
        <f>IF(AE633="","",IFERROR(INDEX($AO$11:$AO$4010,MATCH(623,$AZ$11:$AZ$4010,0)),""))</f>
        <v/>
      </c>
      <c r="AH633" s="10" t="str">
        <f>IF(AE633="","",IFERROR(INDEX($AQ$11:$AQ$4010,MATCH(623,$AZ$11:$AZ$4010,0)),""))</f>
        <v/>
      </c>
      <c r="AI633" s="15" t="str">
        <f>IF(AE633="","",IFERROR(INDEX($AR$11:$AR$4010,MATCH(623,$AZ$11:$AZ$4010,0)),""))</f>
        <v/>
      </c>
      <c r="AJ633" s="15" t="str">
        <f>IF(AE633="","",IFERROR(INDEX($AT$11:$AT$4010,MATCH(623,$AZ$11:$AZ$4010,0)),""))</f>
        <v/>
      </c>
      <c r="AL633" s="17"/>
      <c r="AM633" s="12"/>
      <c r="AN633" s="18"/>
      <c r="AO633" s="18"/>
      <c r="AP633" s="10"/>
      <c r="AQ633" s="10"/>
      <c r="AR633" s="19"/>
      <c r="AS633" s="20"/>
      <c r="AT633" s="19"/>
      <c r="AV633" s="21">
        <f>IF(AND($AL633&lt;&gt;"",COUNTIF($AL$11:$AL633,$AL633)=1),1,0)</f>
        <v>0</v>
      </c>
      <c r="AW633" s="21">
        <f t="shared" si="105"/>
        <v>0</v>
      </c>
      <c r="AX633" s="21" t="str">
        <f t="shared" si="104"/>
        <v/>
      </c>
      <c r="AY633" s="21" t="str">
        <f>IF(AND($AM633&lt;&gt;"",$AS633&lt;&gt;"✓"),SUMPRODUCT(($AM$11:$AM633&lt;&gt;"")*($AS$11:$AS633&lt;&gt;"✓")),"")</f>
        <v/>
      </c>
      <c r="AZ633" s="21" t="str">
        <f>IF(AND($AM633&lt;&gt;"",$AS633="✓"),SUMPRODUCT(($AM$11:$AM633&lt;&gt;"")*($AS$11:$AS633="✓")),"")</f>
        <v/>
      </c>
      <c r="BA633" s="21" t="str">
        <f>IF($AL633="","",$AL633&amp;"|"&amp;COUNTIF($AL$11:$AL633,$AL633))</f>
        <v/>
      </c>
    </row>
    <row r="634" spans="23:53" ht="15" customHeight="1" x14ac:dyDescent="0.25">
      <c r="W634" s="28" t="str">
        <f>IF(X634="","",IFERROR(INDEX($AL$11:$AL$4010,MATCH(624,$AY$11:$AY$4010,0)),""))</f>
        <v/>
      </c>
      <c r="X634" s="26" t="str">
        <f>IFERROR(INDEX($AM$11:$AM$4010,MATCH(624,$AY$11:$AY$4010,0)),"")</f>
        <v/>
      </c>
      <c r="Y634" s="25" t="str">
        <f>IF(X634="","",IFERROR(INDEX($AN$11:$AN$4010,MATCH(624,$AY$11:$AY$4010,0)),""))</f>
        <v/>
      </c>
      <c r="Z634" s="25" t="str">
        <f>IF(X634="","",IFERROR(INDEX($AO$11:$AO$4010,MATCH(624,$AY$11:$AY$4010,0)),""))</f>
        <v/>
      </c>
      <c r="AA634" s="24" t="str">
        <f>IF(X634="","",IFERROR(INDEX($AQ$11:$AQ$4010,MATCH(624,$AY$11:$AY$4010,0)),""))</f>
        <v/>
      </c>
      <c r="AB634" s="29" t="str">
        <f>IF(X634="","",IFERROR(INDEX($AR$11:$AR$4010,MATCH(624,$AY$11:$AY$4010,0)),""))</f>
        <v/>
      </c>
      <c r="AD634" s="30" t="str">
        <f>IF(AE634="","",IFERROR(INDEX($AL$11:$AL$4010,MATCH(624,$AZ$11:$AZ$4010,0)),""))</f>
        <v/>
      </c>
      <c r="AE634" s="26" t="str">
        <f>IFERROR(INDEX($AM$11:$AM$4010,MATCH(624,$AZ$11:$AZ$4010,0)),"")</f>
        <v/>
      </c>
      <c r="AF634" s="25" t="str">
        <f>IF(AE634="","",IFERROR(INDEX($AN$11:$AN$4010,MATCH(624,$AZ$11:$AZ$4010,0)),""))</f>
        <v/>
      </c>
      <c r="AG634" s="25" t="str">
        <f>IF(AE634="","",IFERROR(INDEX($AO$11:$AO$4010,MATCH(624,$AZ$11:$AZ$4010,0)),""))</f>
        <v/>
      </c>
      <c r="AH634" s="24" t="str">
        <f>IF(AE634="","",IFERROR(INDEX($AQ$11:$AQ$4010,MATCH(624,$AZ$11:$AZ$4010,0)),""))</f>
        <v/>
      </c>
      <c r="AI634" s="29" t="str">
        <f>IF(AE634="","",IFERROR(INDEX($AR$11:$AR$4010,MATCH(624,$AZ$11:$AZ$4010,0)),""))</f>
        <v/>
      </c>
      <c r="AJ634" s="29" t="str">
        <f>IF(AE634="","",IFERROR(INDEX($AT$11:$AT$4010,MATCH(624,$AZ$11:$AZ$4010,0)),""))</f>
        <v/>
      </c>
      <c r="AL634" s="31"/>
      <c r="AM634" s="26"/>
      <c r="AN634" s="32"/>
      <c r="AO634" s="32"/>
      <c r="AP634" s="24"/>
      <c r="AQ634" s="24"/>
      <c r="AR634" s="33"/>
      <c r="AS634" s="34"/>
      <c r="AT634" s="33"/>
      <c r="AV634" s="21">
        <f>IF(AND($AL634&lt;&gt;"",COUNTIF($AL$11:$AL634,$AL634)=1),1,0)</f>
        <v>0</v>
      </c>
      <c r="AW634" s="21">
        <f t="shared" si="105"/>
        <v>0</v>
      </c>
      <c r="AX634" s="21" t="str">
        <f t="shared" si="104"/>
        <v/>
      </c>
      <c r="AY634" s="21" t="str">
        <f>IF(AND($AM634&lt;&gt;"",$AS634&lt;&gt;"✓"),SUMPRODUCT(($AM$11:$AM634&lt;&gt;"")*($AS$11:$AS634&lt;&gt;"✓")),"")</f>
        <v/>
      </c>
      <c r="AZ634" s="21" t="str">
        <f>IF(AND($AM634&lt;&gt;"",$AS634="✓"),SUMPRODUCT(($AM$11:$AM634&lt;&gt;"")*($AS$11:$AS634="✓")),"")</f>
        <v/>
      </c>
      <c r="BA634" s="21" t="str">
        <f>IF($AL634="","",$AL634&amp;"|"&amp;COUNTIF($AL$11:$AL634,$AL634))</f>
        <v/>
      </c>
    </row>
    <row r="635" spans="23:53" ht="15" customHeight="1" x14ac:dyDescent="0.25">
      <c r="W635" s="14" t="str">
        <f>IF(X635="","",IFERROR(INDEX($AL$11:$AL$4010,MATCH(625,$AY$11:$AY$4010,0)),""))</f>
        <v/>
      </c>
      <c r="X635" s="12" t="str">
        <f>IFERROR(INDEX($AM$11:$AM$4010,MATCH(625,$AY$11:$AY$4010,0)),"")</f>
        <v/>
      </c>
      <c r="Y635" s="11" t="str">
        <f>IF(X635="","",IFERROR(INDEX($AN$11:$AN$4010,MATCH(625,$AY$11:$AY$4010,0)),""))</f>
        <v/>
      </c>
      <c r="Z635" s="11" t="str">
        <f>IF(X635="","",IFERROR(INDEX($AO$11:$AO$4010,MATCH(625,$AY$11:$AY$4010,0)),""))</f>
        <v/>
      </c>
      <c r="AA635" s="10" t="str">
        <f>IF(X635="","",IFERROR(INDEX($AQ$11:$AQ$4010,MATCH(625,$AY$11:$AY$4010,0)),""))</f>
        <v/>
      </c>
      <c r="AB635" s="15" t="str">
        <f>IF(X635="","",IFERROR(INDEX($AR$11:$AR$4010,MATCH(625,$AY$11:$AY$4010,0)),""))</f>
        <v/>
      </c>
      <c r="AD635" s="16" t="str">
        <f>IF(AE635="","",IFERROR(INDEX($AL$11:$AL$4010,MATCH(625,$AZ$11:$AZ$4010,0)),""))</f>
        <v/>
      </c>
      <c r="AE635" s="12" t="str">
        <f>IFERROR(INDEX($AM$11:$AM$4010,MATCH(625,$AZ$11:$AZ$4010,0)),"")</f>
        <v/>
      </c>
      <c r="AF635" s="11" t="str">
        <f>IF(AE635="","",IFERROR(INDEX($AN$11:$AN$4010,MATCH(625,$AZ$11:$AZ$4010,0)),""))</f>
        <v/>
      </c>
      <c r="AG635" s="11" t="str">
        <f>IF(AE635="","",IFERROR(INDEX($AO$11:$AO$4010,MATCH(625,$AZ$11:$AZ$4010,0)),""))</f>
        <v/>
      </c>
      <c r="AH635" s="10" t="str">
        <f>IF(AE635="","",IFERROR(INDEX($AQ$11:$AQ$4010,MATCH(625,$AZ$11:$AZ$4010,0)),""))</f>
        <v/>
      </c>
      <c r="AI635" s="15" t="str">
        <f>IF(AE635="","",IFERROR(INDEX($AR$11:$AR$4010,MATCH(625,$AZ$11:$AZ$4010,0)),""))</f>
        <v/>
      </c>
      <c r="AJ635" s="15" t="str">
        <f>IF(AE635="","",IFERROR(INDEX($AT$11:$AT$4010,MATCH(625,$AZ$11:$AZ$4010,0)),""))</f>
        <v/>
      </c>
      <c r="AL635" s="17"/>
      <c r="AM635" s="12"/>
      <c r="AN635" s="18"/>
      <c r="AO635" s="18"/>
      <c r="AP635" s="10"/>
      <c r="AQ635" s="10"/>
      <c r="AR635" s="19"/>
      <c r="AS635" s="20"/>
      <c r="AT635" s="19"/>
      <c r="AV635" s="21">
        <f>IF(AND($AL635&lt;&gt;"",COUNTIF($AL$11:$AL635,$AL635)=1),1,0)</f>
        <v>0</v>
      </c>
      <c r="AW635" s="21">
        <f t="shared" si="105"/>
        <v>0</v>
      </c>
      <c r="AX635" s="21" t="str">
        <f t="shared" si="104"/>
        <v/>
      </c>
      <c r="AY635" s="21" t="str">
        <f>IF(AND($AM635&lt;&gt;"",$AS635&lt;&gt;"✓"),SUMPRODUCT(($AM$11:$AM635&lt;&gt;"")*($AS$11:$AS635&lt;&gt;"✓")),"")</f>
        <v/>
      </c>
      <c r="AZ635" s="21" t="str">
        <f>IF(AND($AM635&lt;&gt;"",$AS635="✓"),SUMPRODUCT(($AM$11:$AM635&lt;&gt;"")*($AS$11:$AS635="✓")),"")</f>
        <v/>
      </c>
      <c r="BA635" s="21" t="str">
        <f>IF($AL635="","",$AL635&amp;"|"&amp;COUNTIF($AL$11:$AL635,$AL635))</f>
        <v/>
      </c>
    </row>
    <row r="636" spans="23:53" ht="15" customHeight="1" x14ac:dyDescent="0.25">
      <c r="W636" s="28" t="str">
        <f>IF(X636="","",IFERROR(INDEX($AL$11:$AL$4010,MATCH(626,$AY$11:$AY$4010,0)),""))</f>
        <v/>
      </c>
      <c r="X636" s="26" t="str">
        <f>IFERROR(INDEX($AM$11:$AM$4010,MATCH(626,$AY$11:$AY$4010,0)),"")</f>
        <v/>
      </c>
      <c r="Y636" s="25" t="str">
        <f>IF(X636="","",IFERROR(INDEX($AN$11:$AN$4010,MATCH(626,$AY$11:$AY$4010,0)),""))</f>
        <v/>
      </c>
      <c r="Z636" s="25" t="str">
        <f>IF(X636="","",IFERROR(INDEX($AO$11:$AO$4010,MATCH(626,$AY$11:$AY$4010,0)),""))</f>
        <v/>
      </c>
      <c r="AA636" s="24" t="str">
        <f>IF(X636="","",IFERROR(INDEX($AQ$11:$AQ$4010,MATCH(626,$AY$11:$AY$4010,0)),""))</f>
        <v/>
      </c>
      <c r="AB636" s="29" t="str">
        <f>IF(X636="","",IFERROR(INDEX($AR$11:$AR$4010,MATCH(626,$AY$11:$AY$4010,0)),""))</f>
        <v/>
      </c>
      <c r="AD636" s="30" t="str">
        <f>IF(AE636="","",IFERROR(INDEX($AL$11:$AL$4010,MATCH(626,$AZ$11:$AZ$4010,0)),""))</f>
        <v/>
      </c>
      <c r="AE636" s="26" t="str">
        <f>IFERROR(INDEX($AM$11:$AM$4010,MATCH(626,$AZ$11:$AZ$4010,0)),"")</f>
        <v/>
      </c>
      <c r="AF636" s="25" t="str">
        <f>IF(AE636="","",IFERROR(INDEX($AN$11:$AN$4010,MATCH(626,$AZ$11:$AZ$4010,0)),""))</f>
        <v/>
      </c>
      <c r="AG636" s="25" t="str">
        <f>IF(AE636="","",IFERROR(INDEX($AO$11:$AO$4010,MATCH(626,$AZ$11:$AZ$4010,0)),""))</f>
        <v/>
      </c>
      <c r="AH636" s="24" t="str">
        <f>IF(AE636="","",IFERROR(INDEX($AQ$11:$AQ$4010,MATCH(626,$AZ$11:$AZ$4010,0)),""))</f>
        <v/>
      </c>
      <c r="AI636" s="29" t="str">
        <f>IF(AE636="","",IFERROR(INDEX($AR$11:$AR$4010,MATCH(626,$AZ$11:$AZ$4010,0)),""))</f>
        <v/>
      </c>
      <c r="AJ636" s="29" t="str">
        <f>IF(AE636="","",IFERROR(INDEX($AT$11:$AT$4010,MATCH(626,$AZ$11:$AZ$4010,0)),""))</f>
        <v/>
      </c>
      <c r="AL636" s="31"/>
      <c r="AM636" s="26"/>
      <c r="AN636" s="32"/>
      <c r="AO636" s="32"/>
      <c r="AP636" s="24"/>
      <c r="AQ636" s="24"/>
      <c r="AR636" s="33"/>
      <c r="AS636" s="34"/>
      <c r="AT636" s="33"/>
      <c r="AV636" s="21">
        <f>IF(AND($AL636&lt;&gt;"",COUNTIF($AL$11:$AL636,$AL636)=1),1,0)</f>
        <v>0</v>
      </c>
      <c r="AW636" s="21">
        <f t="shared" si="105"/>
        <v>0</v>
      </c>
      <c r="AX636" s="21" t="str">
        <f t="shared" si="104"/>
        <v/>
      </c>
      <c r="AY636" s="21" t="str">
        <f>IF(AND($AM636&lt;&gt;"",$AS636&lt;&gt;"✓"),SUMPRODUCT(($AM$11:$AM636&lt;&gt;"")*($AS$11:$AS636&lt;&gt;"✓")),"")</f>
        <v/>
      </c>
      <c r="AZ636" s="21" t="str">
        <f>IF(AND($AM636&lt;&gt;"",$AS636="✓"),SUMPRODUCT(($AM$11:$AM636&lt;&gt;"")*($AS$11:$AS636="✓")),"")</f>
        <v/>
      </c>
      <c r="BA636" s="21" t="str">
        <f>IF($AL636="","",$AL636&amp;"|"&amp;COUNTIF($AL$11:$AL636,$AL636))</f>
        <v/>
      </c>
    </row>
    <row r="637" spans="23:53" ht="15" customHeight="1" x14ac:dyDescent="0.25">
      <c r="W637" s="14" t="str">
        <f>IF(X637="","",IFERROR(INDEX($AL$11:$AL$4010,MATCH(627,$AY$11:$AY$4010,0)),""))</f>
        <v/>
      </c>
      <c r="X637" s="12" t="str">
        <f>IFERROR(INDEX($AM$11:$AM$4010,MATCH(627,$AY$11:$AY$4010,0)),"")</f>
        <v/>
      </c>
      <c r="Y637" s="11" t="str">
        <f>IF(X637="","",IFERROR(INDEX($AN$11:$AN$4010,MATCH(627,$AY$11:$AY$4010,0)),""))</f>
        <v/>
      </c>
      <c r="Z637" s="11" t="str">
        <f>IF(X637="","",IFERROR(INDEX($AO$11:$AO$4010,MATCH(627,$AY$11:$AY$4010,0)),""))</f>
        <v/>
      </c>
      <c r="AA637" s="10" t="str">
        <f>IF(X637="","",IFERROR(INDEX($AQ$11:$AQ$4010,MATCH(627,$AY$11:$AY$4010,0)),""))</f>
        <v/>
      </c>
      <c r="AB637" s="15" t="str">
        <f>IF(X637="","",IFERROR(INDEX($AR$11:$AR$4010,MATCH(627,$AY$11:$AY$4010,0)),""))</f>
        <v/>
      </c>
      <c r="AD637" s="16" t="str">
        <f>IF(AE637="","",IFERROR(INDEX($AL$11:$AL$4010,MATCH(627,$AZ$11:$AZ$4010,0)),""))</f>
        <v/>
      </c>
      <c r="AE637" s="12" t="str">
        <f>IFERROR(INDEX($AM$11:$AM$4010,MATCH(627,$AZ$11:$AZ$4010,0)),"")</f>
        <v/>
      </c>
      <c r="AF637" s="11" t="str">
        <f>IF(AE637="","",IFERROR(INDEX($AN$11:$AN$4010,MATCH(627,$AZ$11:$AZ$4010,0)),""))</f>
        <v/>
      </c>
      <c r="AG637" s="11" t="str">
        <f>IF(AE637="","",IFERROR(INDEX($AO$11:$AO$4010,MATCH(627,$AZ$11:$AZ$4010,0)),""))</f>
        <v/>
      </c>
      <c r="AH637" s="10" t="str">
        <f>IF(AE637="","",IFERROR(INDEX($AQ$11:$AQ$4010,MATCH(627,$AZ$11:$AZ$4010,0)),""))</f>
        <v/>
      </c>
      <c r="AI637" s="15" t="str">
        <f>IF(AE637="","",IFERROR(INDEX($AR$11:$AR$4010,MATCH(627,$AZ$11:$AZ$4010,0)),""))</f>
        <v/>
      </c>
      <c r="AJ637" s="15" t="str">
        <f>IF(AE637="","",IFERROR(INDEX($AT$11:$AT$4010,MATCH(627,$AZ$11:$AZ$4010,0)),""))</f>
        <v/>
      </c>
      <c r="AL637" s="17"/>
      <c r="AM637" s="12"/>
      <c r="AN637" s="18"/>
      <c r="AO637" s="18"/>
      <c r="AP637" s="10"/>
      <c r="AQ637" s="10"/>
      <c r="AR637" s="19"/>
      <c r="AS637" s="20"/>
      <c r="AT637" s="19"/>
      <c r="AV637" s="21">
        <f>IF(AND($AL637&lt;&gt;"",COUNTIF($AL$11:$AL637,$AL637)=1),1,0)</f>
        <v>0</v>
      </c>
      <c r="AW637" s="21">
        <f t="shared" si="105"/>
        <v>0</v>
      </c>
      <c r="AX637" s="21" t="str">
        <f t="shared" si="104"/>
        <v/>
      </c>
      <c r="AY637" s="21" t="str">
        <f>IF(AND($AM637&lt;&gt;"",$AS637&lt;&gt;"✓"),SUMPRODUCT(($AM$11:$AM637&lt;&gt;"")*($AS$11:$AS637&lt;&gt;"✓")),"")</f>
        <v/>
      </c>
      <c r="AZ637" s="21" t="str">
        <f>IF(AND($AM637&lt;&gt;"",$AS637="✓"),SUMPRODUCT(($AM$11:$AM637&lt;&gt;"")*($AS$11:$AS637="✓")),"")</f>
        <v/>
      </c>
      <c r="BA637" s="21" t="str">
        <f>IF($AL637="","",$AL637&amp;"|"&amp;COUNTIF($AL$11:$AL637,$AL637))</f>
        <v/>
      </c>
    </row>
    <row r="638" spans="23:53" ht="15" customHeight="1" x14ac:dyDescent="0.25">
      <c r="W638" s="28" t="str">
        <f>IF(X638="","",IFERROR(INDEX($AL$11:$AL$4010,MATCH(628,$AY$11:$AY$4010,0)),""))</f>
        <v/>
      </c>
      <c r="X638" s="26" t="str">
        <f>IFERROR(INDEX($AM$11:$AM$4010,MATCH(628,$AY$11:$AY$4010,0)),"")</f>
        <v/>
      </c>
      <c r="Y638" s="25" t="str">
        <f>IF(X638="","",IFERROR(INDEX($AN$11:$AN$4010,MATCH(628,$AY$11:$AY$4010,0)),""))</f>
        <v/>
      </c>
      <c r="Z638" s="25" t="str">
        <f>IF(X638="","",IFERROR(INDEX($AO$11:$AO$4010,MATCH(628,$AY$11:$AY$4010,0)),""))</f>
        <v/>
      </c>
      <c r="AA638" s="24" t="str">
        <f>IF(X638="","",IFERROR(INDEX($AQ$11:$AQ$4010,MATCH(628,$AY$11:$AY$4010,0)),""))</f>
        <v/>
      </c>
      <c r="AB638" s="29" t="str">
        <f>IF(X638="","",IFERROR(INDEX($AR$11:$AR$4010,MATCH(628,$AY$11:$AY$4010,0)),""))</f>
        <v/>
      </c>
      <c r="AD638" s="30" t="str">
        <f>IF(AE638="","",IFERROR(INDEX($AL$11:$AL$4010,MATCH(628,$AZ$11:$AZ$4010,0)),""))</f>
        <v/>
      </c>
      <c r="AE638" s="26" t="str">
        <f>IFERROR(INDEX($AM$11:$AM$4010,MATCH(628,$AZ$11:$AZ$4010,0)),"")</f>
        <v/>
      </c>
      <c r="AF638" s="25" t="str">
        <f>IF(AE638="","",IFERROR(INDEX($AN$11:$AN$4010,MATCH(628,$AZ$11:$AZ$4010,0)),""))</f>
        <v/>
      </c>
      <c r="AG638" s="25" t="str">
        <f>IF(AE638="","",IFERROR(INDEX($AO$11:$AO$4010,MATCH(628,$AZ$11:$AZ$4010,0)),""))</f>
        <v/>
      </c>
      <c r="AH638" s="24" t="str">
        <f>IF(AE638="","",IFERROR(INDEX($AQ$11:$AQ$4010,MATCH(628,$AZ$11:$AZ$4010,0)),""))</f>
        <v/>
      </c>
      <c r="AI638" s="29" t="str">
        <f>IF(AE638="","",IFERROR(INDEX($AR$11:$AR$4010,MATCH(628,$AZ$11:$AZ$4010,0)),""))</f>
        <v/>
      </c>
      <c r="AJ638" s="29" t="str">
        <f>IF(AE638="","",IFERROR(INDEX($AT$11:$AT$4010,MATCH(628,$AZ$11:$AZ$4010,0)),""))</f>
        <v/>
      </c>
      <c r="AL638" s="31"/>
      <c r="AM638" s="26"/>
      <c r="AN638" s="32"/>
      <c r="AO638" s="32"/>
      <c r="AP638" s="24"/>
      <c r="AQ638" s="24"/>
      <c r="AR638" s="33"/>
      <c r="AS638" s="34"/>
      <c r="AT638" s="33"/>
      <c r="AV638" s="21">
        <f>IF(AND($AL638&lt;&gt;"",COUNTIF($AL$11:$AL638,$AL638)=1),1,0)</f>
        <v>0</v>
      </c>
      <c r="AW638" s="21">
        <f t="shared" si="105"/>
        <v>0</v>
      </c>
      <c r="AX638" s="21" t="str">
        <f t="shared" si="104"/>
        <v/>
      </c>
      <c r="AY638" s="21" t="str">
        <f>IF(AND($AM638&lt;&gt;"",$AS638&lt;&gt;"✓"),SUMPRODUCT(($AM$11:$AM638&lt;&gt;"")*($AS$11:$AS638&lt;&gt;"✓")),"")</f>
        <v/>
      </c>
      <c r="AZ638" s="21" t="str">
        <f>IF(AND($AM638&lt;&gt;"",$AS638="✓"),SUMPRODUCT(($AM$11:$AM638&lt;&gt;"")*($AS$11:$AS638="✓")),"")</f>
        <v/>
      </c>
      <c r="BA638" s="21" t="str">
        <f>IF($AL638="","",$AL638&amp;"|"&amp;COUNTIF($AL$11:$AL638,$AL638))</f>
        <v/>
      </c>
    </row>
    <row r="639" spans="23:53" ht="15" customHeight="1" x14ac:dyDescent="0.25">
      <c r="W639" s="14" t="str">
        <f>IF(X639="","",IFERROR(INDEX($AL$11:$AL$4010,MATCH(629,$AY$11:$AY$4010,0)),""))</f>
        <v/>
      </c>
      <c r="X639" s="12" t="str">
        <f>IFERROR(INDEX($AM$11:$AM$4010,MATCH(629,$AY$11:$AY$4010,0)),"")</f>
        <v/>
      </c>
      <c r="Y639" s="11" t="str">
        <f>IF(X639="","",IFERROR(INDEX($AN$11:$AN$4010,MATCH(629,$AY$11:$AY$4010,0)),""))</f>
        <v/>
      </c>
      <c r="Z639" s="11" t="str">
        <f>IF(X639="","",IFERROR(INDEX($AO$11:$AO$4010,MATCH(629,$AY$11:$AY$4010,0)),""))</f>
        <v/>
      </c>
      <c r="AA639" s="10" t="str">
        <f>IF(X639="","",IFERROR(INDEX($AQ$11:$AQ$4010,MATCH(629,$AY$11:$AY$4010,0)),""))</f>
        <v/>
      </c>
      <c r="AB639" s="15" t="str">
        <f>IF(X639="","",IFERROR(INDEX($AR$11:$AR$4010,MATCH(629,$AY$11:$AY$4010,0)),""))</f>
        <v/>
      </c>
      <c r="AD639" s="16" t="str">
        <f>IF(AE639="","",IFERROR(INDEX($AL$11:$AL$4010,MATCH(629,$AZ$11:$AZ$4010,0)),""))</f>
        <v/>
      </c>
      <c r="AE639" s="12" t="str">
        <f>IFERROR(INDEX($AM$11:$AM$4010,MATCH(629,$AZ$11:$AZ$4010,0)),"")</f>
        <v/>
      </c>
      <c r="AF639" s="11" t="str">
        <f>IF(AE639="","",IFERROR(INDEX($AN$11:$AN$4010,MATCH(629,$AZ$11:$AZ$4010,0)),""))</f>
        <v/>
      </c>
      <c r="AG639" s="11" t="str">
        <f>IF(AE639="","",IFERROR(INDEX($AO$11:$AO$4010,MATCH(629,$AZ$11:$AZ$4010,0)),""))</f>
        <v/>
      </c>
      <c r="AH639" s="10" t="str">
        <f>IF(AE639="","",IFERROR(INDEX($AQ$11:$AQ$4010,MATCH(629,$AZ$11:$AZ$4010,0)),""))</f>
        <v/>
      </c>
      <c r="AI639" s="15" t="str">
        <f>IF(AE639="","",IFERROR(INDEX($AR$11:$AR$4010,MATCH(629,$AZ$11:$AZ$4010,0)),""))</f>
        <v/>
      </c>
      <c r="AJ639" s="15" t="str">
        <f>IF(AE639="","",IFERROR(INDEX($AT$11:$AT$4010,MATCH(629,$AZ$11:$AZ$4010,0)),""))</f>
        <v/>
      </c>
      <c r="AL639" s="17"/>
      <c r="AM639" s="12"/>
      <c r="AN639" s="18"/>
      <c r="AO639" s="18"/>
      <c r="AP639" s="10"/>
      <c r="AQ639" s="10"/>
      <c r="AR639" s="19"/>
      <c r="AS639" s="20"/>
      <c r="AT639" s="19"/>
      <c r="AV639" s="21">
        <f>IF(AND($AL639&lt;&gt;"",COUNTIF($AL$11:$AL639,$AL639)=1),1,0)</f>
        <v>0</v>
      </c>
      <c r="AW639" s="21">
        <f t="shared" si="105"/>
        <v>0</v>
      </c>
      <c r="AX639" s="21" t="str">
        <f t="shared" si="104"/>
        <v/>
      </c>
      <c r="AY639" s="21" t="str">
        <f>IF(AND($AM639&lt;&gt;"",$AS639&lt;&gt;"✓"),SUMPRODUCT(($AM$11:$AM639&lt;&gt;"")*($AS$11:$AS639&lt;&gt;"✓")),"")</f>
        <v/>
      </c>
      <c r="AZ639" s="21" t="str">
        <f>IF(AND($AM639&lt;&gt;"",$AS639="✓"),SUMPRODUCT(($AM$11:$AM639&lt;&gt;"")*($AS$11:$AS639="✓")),"")</f>
        <v/>
      </c>
      <c r="BA639" s="21" t="str">
        <f>IF($AL639="","",$AL639&amp;"|"&amp;COUNTIF($AL$11:$AL639,$AL639))</f>
        <v/>
      </c>
    </row>
    <row r="640" spans="23:53" ht="15" customHeight="1" x14ac:dyDescent="0.25">
      <c r="W640" s="28" t="str">
        <f>IF(X640="","",IFERROR(INDEX($AL$11:$AL$4010,MATCH(630,$AY$11:$AY$4010,0)),""))</f>
        <v/>
      </c>
      <c r="X640" s="26" t="str">
        <f>IFERROR(INDEX($AM$11:$AM$4010,MATCH(630,$AY$11:$AY$4010,0)),"")</f>
        <v/>
      </c>
      <c r="Y640" s="25" t="str">
        <f>IF(X640="","",IFERROR(INDEX($AN$11:$AN$4010,MATCH(630,$AY$11:$AY$4010,0)),""))</f>
        <v/>
      </c>
      <c r="Z640" s="25" t="str">
        <f>IF(X640="","",IFERROR(INDEX($AO$11:$AO$4010,MATCH(630,$AY$11:$AY$4010,0)),""))</f>
        <v/>
      </c>
      <c r="AA640" s="24" t="str">
        <f>IF(X640="","",IFERROR(INDEX($AQ$11:$AQ$4010,MATCH(630,$AY$11:$AY$4010,0)),""))</f>
        <v/>
      </c>
      <c r="AB640" s="29" t="str">
        <f>IF(X640="","",IFERROR(INDEX($AR$11:$AR$4010,MATCH(630,$AY$11:$AY$4010,0)),""))</f>
        <v/>
      </c>
      <c r="AD640" s="30" t="str">
        <f>IF(AE640="","",IFERROR(INDEX($AL$11:$AL$4010,MATCH(630,$AZ$11:$AZ$4010,0)),""))</f>
        <v/>
      </c>
      <c r="AE640" s="26" t="str">
        <f>IFERROR(INDEX($AM$11:$AM$4010,MATCH(630,$AZ$11:$AZ$4010,0)),"")</f>
        <v/>
      </c>
      <c r="AF640" s="25" t="str">
        <f>IF(AE640="","",IFERROR(INDEX($AN$11:$AN$4010,MATCH(630,$AZ$11:$AZ$4010,0)),""))</f>
        <v/>
      </c>
      <c r="AG640" s="25" t="str">
        <f>IF(AE640="","",IFERROR(INDEX($AO$11:$AO$4010,MATCH(630,$AZ$11:$AZ$4010,0)),""))</f>
        <v/>
      </c>
      <c r="AH640" s="24" t="str">
        <f>IF(AE640="","",IFERROR(INDEX($AQ$11:$AQ$4010,MATCH(630,$AZ$11:$AZ$4010,0)),""))</f>
        <v/>
      </c>
      <c r="AI640" s="29" t="str">
        <f>IF(AE640="","",IFERROR(INDEX($AR$11:$AR$4010,MATCH(630,$AZ$11:$AZ$4010,0)),""))</f>
        <v/>
      </c>
      <c r="AJ640" s="29" t="str">
        <f>IF(AE640="","",IFERROR(INDEX($AT$11:$AT$4010,MATCH(630,$AZ$11:$AZ$4010,0)),""))</f>
        <v/>
      </c>
      <c r="AL640" s="31"/>
      <c r="AM640" s="26"/>
      <c r="AN640" s="32"/>
      <c r="AO640" s="32"/>
      <c r="AP640" s="24"/>
      <c r="AQ640" s="24"/>
      <c r="AR640" s="33"/>
      <c r="AS640" s="34"/>
      <c r="AT640" s="33"/>
      <c r="AV640" s="21">
        <f>IF(AND($AL640&lt;&gt;"",COUNTIF($AL$11:$AL640,$AL640)=1),1,0)</f>
        <v>0</v>
      </c>
      <c r="AW640" s="21">
        <f t="shared" si="105"/>
        <v>0</v>
      </c>
      <c r="AX640" s="21" t="str">
        <f t="shared" si="104"/>
        <v/>
      </c>
      <c r="AY640" s="21" t="str">
        <f>IF(AND($AM640&lt;&gt;"",$AS640&lt;&gt;"✓"),SUMPRODUCT(($AM$11:$AM640&lt;&gt;"")*($AS$11:$AS640&lt;&gt;"✓")),"")</f>
        <v/>
      </c>
      <c r="AZ640" s="21" t="str">
        <f>IF(AND($AM640&lt;&gt;"",$AS640="✓"),SUMPRODUCT(($AM$11:$AM640&lt;&gt;"")*($AS$11:$AS640="✓")),"")</f>
        <v/>
      </c>
      <c r="BA640" s="21" t="str">
        <f>IF($AL640="","",$AL640&amp;"|"&amp;COUNTIF($AL$11:$AL640,$AL640))</f>
        <v/>
      </c>
    </row>
    <row r="641" spans="23:53" ht="15" customHeight="1" x14ac:dyDescent="0.25">
      <c r="W641" s="14" t="str">
        <f>IF(X641="","",IFERROR(INDEX($AL$11:$AL$4010,MATCH(631,$AY$11:$AY$4010,0)),""))</f>
        <v/>
      </c>
      <c r="X641" s="12" t="str">
        <f>IFERROR(INDEX($AM$11:$AM$4010,MATCH(631,$AY$11:$AY$4010,0)),"")</f>
        <v/>
      </c>
      <c r="Y641" s="11" t="str">
        <f>IF(X641="","",IFERROR(INDEX($AN$11:$AN$4010,MATCH(631,$AY$11:$AY$4010,0)),""))</f>
        <v/>
      </c>
      <c r="Z641" s="11" t="str">
        <f>IF(X641="","",IFERROR(INDEX($AO$11:$AO$4010,MATCH(631,$AY$11:$AY$4010,0)),""))</f>
        <v/>
      </c>
      <c r="AA641" s="10" t="str">
        <f>IF(X641="","",IFERROR(INDEX($AQ$11:$AQ$4010,MATCH(631,$AY$11:$AY$4010,0)),""))</f>
        <v/>
      </c>
      <c r="AB641" s="15" t="str">
        <f>IF(X641="","",IFERROR(INDEX($AR$11:$AR$4010,MATCH(631,$AY$11:$AY$4010,0)),""))</f>
        <v/>
      </c>
      <c r="AD641" s="16" t="str">
        <f>IF(AE641="","",IFERROR(INDEX($AL$11:$AL$4010,MATCH(631,$AZ$11:$AZ$4010,0)),""))</f>
        <v/>
      </c>
      <c r="AE641" s="12" t="str">
        <f>IFERROR(INDEX($AM$11:$AM$4010,MATCH(631,$AZ$11:$AZ$4010,0)),"")</f>
        <v/>
      </c>
      <c r="AF641" s="11" t="str">
        <f>IF(AE641="","",IFERROR(INDEX($AN$11:$AN$4010,MATCH(631,$AZ$11:$AZ$4010,0)),""))</f>
        <v/>
      </c>
      <c r="AG641" s="11" t="str">
        <f>IF(AE641="","",IFERROR(INDEX($AO$11:$AO$4010,MATCH(631,$AZ$11:$AZ$4010,0)),""))</f>
        <v/>
      </c>
      <c r="AH641" s="10" t="str">
        <f>IF(AE641="","",IFERROR(INDEX($AQ$11:$AQ$4010,MATCH(631,$AZ$11:$AZ$4010,0)),""))</f>
        <v/>
      </c>
      <c r="AI641" s="15" t="str">
        <f>IF(AE641="","",IFERROR(INDEX($AR$11:$AR$4010,MATCH(631,$AZ$11:$AZ$4010,0)),""))</f>
        <v/>
      </c>
      <c r="AJ641" s="15" t="str">
        <f>IF(AE641="","",IFERROR(INDEX($AT$11:$AT$4010,MATCH(631,$AZ$11:$AZ$4010,0)),""))</f>
        <v/>
      </c>
      <c r="AL641" s="17"/>
      <c r="AM641" s="12"/>
      <c r="AN641" s="18"/>
      <c r="AO641" s="18"/>
      <c r="AP641" s="10"/>
      <c r="AQ641" s="10"/>
      <c r="AR641" s="19"/>
      <c r="AS641" s="20"/>
      <c r="AT641" s="19"/>
      <c r="AV641" s="21">
        <f>IF(AND($AL641&lt;&gt;"",COUNTIF($AL$11:$AL641,$AL641)=1),1,0)</f>
        <v>0</v>
      </c>
      <c r="AW641" s="21">
        <f t="shared" si="105"/>
        <v>0</v>
      </c>
      <c r="AX641" s="21" t="str">
        <f t="shared" si="104"/>
        <v/>
      </c>
      <c r="AY641" s="21" t="str">
        <f>IF(AND($AM641&lt;&gt;"",$AS641&lt;&gt;"✓"),SUMPRODUCT(($AM$11:$AM641&lt;&gt;"")*($AS$11:$AS641&lt;&gt;"✓")),"")</f>
        <v/>
      </c>
      <c r="AZ641" s="21" t="str">
        <f>IF(AND($AM641&lt;&gt;"",$AS641="✓"),SUMPRODUCT(($AM$11:$AM641&lt;&gt;"")*($AS$11:$AS641="✓")),"")</f>
        <v/>
      </c>
      <c r="BA641" s="21" t="str">
        <f>IF($AL641="","",$AL641&amp;"|"&amp;COUNTIF($AL$11:$AL641,$AL641))</f>
        <v/>
      </c>
    </row>
    <row r="642" spans="23:53" ht="15" customHeight="1" x14ac:dyDescent="0.25">
      <c r="W642" s="28" t="str">
        <f>IF(X642="","",IFERROR(INDEX($AL$11:$AL$4010,MATCH(632,$AY$11:$AY$4010,0)),""))</f>
        <v/>
      </c>
      <c r="X642" s="26" t="str">
        <f>IFERROR(INDEX($AM$11:$AM$4010,MATCH(632,$AY$11:$AY$4010,0)),"")</f>
        <v/>
      </c>
      <c r="Y642" s="25" t="str">
        <f>IF(X642="","",IFERROR(INDEX($AN$11:$AN$4010,MATCH(632,$AY$11:$AY$4010,0)),""))</f>
        <v/>
      </c>
      <c r="Z642" s="25" t="str">
        <f>IF(X642="","",IFERROR(INDEX($AO$11:$AO$4010,MATCH(632,$AY$11:$AY$4010,0)),""))</f>
        <v/>
      </c>
      <c r="AA642" s="24" t="str">
        <f>IF(X642="","",IFERROR(INDEX($AQ$11:$AQ$4010,MATCH(632,$AY$11:$AY$4010,0)),""))</f>
        <v/>
      </c>
      <c r="AB642" s="29" t="str">
        <f>IF(X642="","",IFERROR(INDEX($AR$11:$AR$4010,MATCH(632,$AY$11:$AY$4010,0)),""))</f>
        <v/>
      </c>
      <c r="AD642" s="30" t="str">
        <f>IF(AE642="","",IFERROR(INDEX($AL$11:$AL$4010,MATCH(632,$AZ$11:$AZ$4010,0)),""))</f>
        <v/>
      </c>
      <c r="AE642" s="26" t="str">
        <f>IFERROR(INDEX($AM$11:$AM$4010,MATCH(632,$AZ$11:$AZ$4010,0)),"")</f>
        <v/>
      </c>
      <c r="AF642" s="25" t="str">
        <f>IF(AE642="","",IFERROR(INDEX($AN$11:$AN$4010,MATCH(632,$AZ$11:$AZ$4010,0)),""))</f>
        <v/>
      </c>
      <c r="AG642" s="25" t="str">
        <f>IF(AE642="","",IFERROR(INDEX($AO$11:$AO$4010,MATCH(632,$AZ$11:$AZ$4010,0)),""))</f>
        <v/>
      </c>
      <c r="AH642" s="24" t="str">
        <f>IF(AE642="","",IFERROR(INDEX($AQ$11:$AQ$4010,MATCH(632,$AZ$11:$AZ$4010,0)),""))</f>
        <v/>
      </c>
      <c r="AI642" s="29" t="str">
        <f>IF(AE642="","",IFERROR(INDEX($AR$11:$AR$4010,MATCH(632,$AZ$11:$AZ$4010,0)),""))</f>
        <v/>
      </c>
      <c r="AJ642" s="29" t="str">
        <f>IF(AE642="","",IFERROR(INDEX($AT$11:$AT$4010,MATCH(632,$AZ$11:$AZ$4010,0)),""))</f>
        <v/>
      </c>
      <c r="AL642" s="31"/>
      <c r="AM642" s="26"/>
      <c r="AN642" s="32"/>
      <c r="AO642" s="32"/>
      <c r="AP642" s="24"/>
      <c r="AQ642" s="24"/>
      <c r="AR642" s="33"/>
      <c r="AS642" s="34"/>
      <c r="AT642" s="33"/>
      <c r="AV642" s="21">
        <f>IF(AND($AL642&lt;&gt;"",COUNTIF($AL$11:$AL642,$AL642)=1),1,0)</f>
        <v>0</v>
      </c>
      <c r="AW642" s="21">
        <f t="shared" si="105"/>
        <v>0</v>
      </c>
      <c r="AX642" s="21" t="str">
        <f t="shared" si="104"/>
        <v/>
      </c>
      <c r="AY642" s="21" t="str">
        <f>IF(AND($AM642&lt;&gt;"",$AS642&lt;&gt;"✓"),SUMPRODUCT(($AM$11:$AM642&lt;&gt;"")*($AS$11:$AS642&lt;&gt;"✓")),"")</f>
        <v/>
      </c>
      <c r="AZ642" s="21" t="str">
        <f>IF(AND($AM642&lt;&gt;"",$AS642="✓"),SUMPRODUCT(($AM$11:$AM642&lt;&gt;"")*($AS$11:$AS642="✓")),"")</f>
        <v/>
      </c>
      <c r="BA642" s="21" t="str">
        <f>IF($AL642="","",$AL642&amp;"|"&amp;COUNTIF($AL$11:$AL642,$AL642))</f>
        <v/>
      </c>
    </row>
    <row r="643" spans="23:53" ht="15" customHeight="1" x14ac:dyDescent="0.25">
      <c r="W643" s="14" t="str">
        <f>IF(X643="","",IFERROR(INDEX($AL$11:$AL$4010,MATCH(633,$AY$11:$AY$4010,0)),""))</f>
        <v/>
      </c>
      <c r="X643" s="12" t="str">
        <f>IFERROR(INDEX($AM$11:$AM$4010,MATCH(633,$AY$11:$AY$4010,0)),"")</f>
        <v/>
      </c>
      <c r="Y643" s="11" t="str">
        <f>IF(X643="","",IFERROR(INDEX($AN$11:$AN$4010,MATCH(633,$AY$11:$AY$4010,0)),""))</f>
        <v/>
      </c>
      <c r="Z643" s="11" t="str">
        <f>IF(X643="","",IFERROR(INDEX($AO$11:$AO$4010,MATCH(633,$AY$11:$AY$4010,0)),""))</f>
        <v/>
      </c>
      <c r="AA643" s="10" t="str">
        <f>IF(X643="","",IFERROR(INDEX($AQ$11:$AQ$4010,MATCH(633,$AY$11:$AY$4010,0)),""))</f>
        <v/>
      </c>
      <c r="AB643" s="15" t="str">
        <f>IF(X643="","",IFERROR(INDEX($AR$11:$AR$4010,MATCH(633,$AY$11:$AY$4010,0)),""))</f>
        <v/>
      </c>
      <c r="AD643" s="16" t="str">
        <f>IF(AE643="","",IFERROR(INDEX($AL$11:$AL$4010,MATCH(633,$AZ$11:$AZ$4010,0)),""))</f>
        <v/>
      </c>
      <c r="AE643" s="12" t="str">
        <f>IFERROR(INDEX($AM$11:$AM$4010,MATCH(633,$AZ$11:$AZ$4010,0)),"")</f>
        <v/>
      </c>
      <c r="AF643" s="11" t="str">
        <f>IF(AE643="","",IFERROR(INDEX($AN$11:$AN$4010,MATCH(633,$AZ$11:$AZ$4010,0)),""))</f>
        <v/>
      </c>
      <c r="AG643" s="11" t="str">
        <f>IF(AE643="","",IFERROR(INDEX($AO$11:$AO$4010,MATCH(633,$AZ$11:$AZ$4010,0)),""))</f>
        <v/>
      </c>
      <c r="AH643" s="10" t="str">
        <f>IF(AE643="","",IFERROR(INDEX($AQ$11:$AQ$4010,MATCH(633,$AZ$11:$AZ$4010,0)),""))</f>
        <v/>
      </c>
      <c r="AI643" s="15" t="str">
        <f>IF(AE643="","",IFERROR(INDEX($AR$11:$AR$4010,MATCH(633,$AZ$11:$AZ$4010,0)),""))</f>
        <v/>
      </c>
      <c r="AJ643" s="15" t="str">
        <f>IF(AE643="","",IFERROR(INDEX($AT$11:$AT$4010,MATCH(633,$AZ$11:$AZ$4010,0)),""))</f>
        <v/>
      </c>
      <c r="AL643" s="17"/>
      <c r="AM643" s="12"/>
      <c r="AN643" s="18"/>
      <c r="AO643" s="18"/>
      <c r="AP643" s="10"/>
      <c r="AQ643" s="10"/>
      <c r="AR643" s="19"/>
      <c r="AS643" s="20"/>
      <c r="AT643" s="19"/>
      <c r="AV643" s="21">
        <f>IF(AND($AL643&lt;&gt;"",COUNTIF($AL$11:$AL643,$AL643)=1),1,0)</f>
        <v>0</v>
      </c>
      <c r="AW643" s="21">
        <f t="shared" si="105"/>
        <v>0</v>
      </c>
      <c r="AX643" s="21" t="str">
        <f t="shared" si="104"/>
        <v/>
      </c>
      <c r="AY643" s="21" t="str">
        <f>IF(AND($AM643&lt;&gt;"",$AS643&lt;&gt;"✓"),SUMPRODUCT(($AM$11:$AM643&lt;&gt;"")*($AS$11:$AS643&lt;&gt;"✓")),"")</f>
        <v/>
      </c>
      <c r="AZ643" s="21" t="str">
        <f>IF(AND($AM643&lt;&gt;"",$AS643="✓"),SUMPRODUCT(($AM$11:$AM643&lt;&gt;"")*($AS$11:$AS643="✓")),"")</f>
        <v/>
      </c>
      <c r="BA643" s="21" t="str">
        <f>IF($AL643="","",$AL643&amp;"|"&amp;COUNTIF($AL$11:$AL643,$AL643))</f>
        <v/>
      </c>
    </row>
    <row r="644" spans="23:53" ht="15" customHeight="1" x14ac:dyDescent="0.25">
      <c r="W644" s="28" t="str">
        <f>IF(X644="","",IFERROR(INDEX($AL$11:$AL$4010,MATCH(634,$AY$11:$AY$4010,0)),""))</f>
        <v/>
      </c>
      <c r="X644" s="26" t="str">
        <f>IFERROR(INDEX($AM$11:$AM$4010,MATCH(634,$AY$11:$AY$4010,0)),"")</f>
        <v/>
      </c>
      <c r="Y644" s="25" t="str">
        <f>IF(X644="","",IFERROR(INDEX($AN$11:$AN$4010,MATCH(634,$AY$11:$AY$4010,0)),""))</f>
        <v/>
      </c>
      <c r="Z644" s="25" t="str">
        <f>IF(X644="","",IFERROR(INDEX($AO$11:$AO$4010,MATCH(634,$AY$11:$AY$4010,0)),""))</f>
        <v/>
      </c>
      <c r="AA644" s="24" t="str">
        <f>IF(X644="","",IFERROR(INDEX($AQ$11:$AQ$4010,MATCH(634,$AY$11:$AY$4010,0)),""))</f>
        <v/>
      </c>
      <c r="AB644" s="29" t="str">
        <f>IF(X644="","",IFERROR(INDEX($AR$11:$AR$4010,MATCH(634,$AY$11:$AY$4010,0)),""))</f>
        <v/>
      </c>
      <c r="AD644" s="30" t="str">
        <f>IF(AE644="","",IFERROR(INDEX($AL$11:$AL$4010,MATCH(634,$AZ$11:$AZ$4010,0)),""))</f>
        <v/>
      </c>
      <c r="AE644" s="26" t="str">
        <f>IFERROR(INDEX($AM$11:$AM$4010,MATCH(634,$AZ$11:$AZ$4010,0)),"")</f>
        <v/>
      </c>
      <c r="AF644" s="25" t="str">
        <f>IF(AE644="","",IFERROR(INDEX($AN$11:$AN$4010,MATCH(634,$AZ$11:$AZ$4010,0)),""))</f>
        <v/>
      </c>
      <c r="AG644" s="25" t="str">
        <f>IF(AE644="","",IFERROR(INDEX($AO$11:$AO$4010,MATCH(634,$AZ$11:$AZ$4010,0)),""))</f>
        <v/>
      </c>
      <c r="AH644" s="24" t="str">
        <f>IF(AE644="","",IFERROR(INDEX($AQ$11:$AQ$4010,MATCH(634,$AZ$11:$AZ$4010,0)),""))</f>
        <v/>
      </c>
      <c r="AI644" s="29" t="str">
        <f>IF(AE644="","",IFERROR(INDEX($AR$11:$AR$4010,MATCH(634,$AZ$11:$AZ$4010,0)),""))</f>
        <v/>
      </c>
      <c r="AJ644" s="29" t="str">
        <f>IF(AE644="","",IFERROR(INDEX($AT$11:$AT$4010,MATCH(634,$AZ$11:$AZ$4010,0)),""))</f>
        <v/>
      </c>
      <c r="AL644" s="31"/>
      <c r="AM644" s="26"/>
      <c r="AN644" s="32"/>
      <c r="AO644" s="32"/>
      <c r="AP644" s="24"/>
      <c r="AQ644" s="24"/>
      <c r="AR644" s="33"/>
      <c r="AS644" s="34"/>
      <c r="AT644" s="33"/>
      <c r="AV644" s="21">
        <f>IF(AND($AL644&lt;&gt;"",COUNTIF($AL$11:$AL644,$AL644)=1),1,0)</f>
        <v>0</v>
      </c>
      <c r="AW644" s="21">
        <f t="shared" si="105"/>
        <v>0</v>
      </c>
      <c r="AX644" s="21" t="str">
        <f t="shared" si="104"/>
        <v/>
      </c>
      <c r="AY644" s="21" t="str">
        <f>IF(AND($AM644&lt;&gt;"",$AS644&lt;&gt;"✓"),SUMPRODUCT(($AM$11:$AM644&lt;&gt;"")*($AS$11:$AS644&lt;&gt;"✓")),"")</f>
        <v/>
      </c>
      <c r="AZ644" s="21" t="str">
        <f>IF(AND($AM644&lt;&gt;"",$AS644="✓"),SUMPRODUCT(($AM$11:$AM644&lt;&gt;"")*($AS$11:$AS644="✓")),"")</f>
        <v/>
      </c>
      <c r="BA644" s="21" t="str">
        <f>IF($AL644="","",$AL644&amp;"|"&amp;COUNTIF($AL$11:$AL644,$AL644))</f>
        <v/>
      </c>
    </row>
    <row r="645" spans="23:53" ht="15" customHeight="1" x14ac:dyDescent="0.25">
      <c r="W645" s="14" t="str">
        <f>IF(X645="","",IFERROR(INDEX($AL$11:$AL$4010,MATCH(635,$AY$11:$AY$4010,0)),""))</f>
        <v/>
      </c>
      <c r="X645" s="12" t="str">
        <f>IFERROR(INDEX($AM$11:$AM$4010,MATCH(635,$AY$11:$AY$4010,0)),"")</f>
        <v/>
      </c>
      <c r="Y645" s="11" t="str">
        <f>IF(X645="","",IFERROR(INDEX($AN$11:$AN$4010,MATCH(635,$AY$11:$AY$4010,0)),""))</f>
        <v/>
      </c>
      <c r="Z645" s="11" t="str">
        <f>IF(X645="","",IFERROR(INDEX($AO$11:$AO$4010,MATCH(635,$AY$11:$AY$4010,0)),""))</f>
        <v/>
      </c>
      <c r="AA645" s="10" t="str">
        <f>IF(X645="","",IFERROR(INDEX($AQ$11:$AQ$4010,MATCH(635,$AY$11:$AY$4010,0)),""))</f>
        <v/>
      </c>
      <c r="AB645" s="15" t="str">
        <f>IF(X645="","",IFERROR(INDEX($AR$11:$AR$4010,MATCH(635,$AY$11:$AY$4010,0)),""))</f>
        <v/>
      </c>
      <c r="AD645" s="16" t="str">
        <f>IF(AE645="","",IFERROR(INDEX($AL$11:$AL$4010,MATCH(635,$AZ$11:$AZ$4010,0)),""))</f>
        <v/>
      </c>
      <c r="AE645" s="12" t="str">
        <f>IFERROR(INDEX($AM$11:$AM$4010,MATCH(635,$AZ$11:$AZ$4010,0)),"")</f>
        <v/>
      </c>
      <c r="AF645" s="11" t="str">
        <f>IF(AE645="","",IFERROR(INDEX($AN$11:$AN$4010,MATCH(635,$AZ$11:$AZ$4010,0)),""))</f>
        <v/>
      </c>
      <c r="AG645" s="11" t="str">
        <f>IF(AE645="","",IFERROR(INDEX($AO$11:$AO$4010,MATCH(635,$AZ$11:$AZ$4010,0)),""))</f>
        <v/>
      </c>
      <c r="AH645" s="10" t="str">
        <f>IF(AE645="","",IFERROR(INDEX($AQ$11:$AQ$4010,MATCH(635,$AZ$11:$AZ$4010,0)),""))</f>
        <v/>
      </c>
      <c r="AI645" s="15" t="str">
        <f>IF(AE645="","",IFERROR(INDEX($AR$11:$AR$4010,MATCH(635,$AZ$11:$AZ$4010,0)),""))</f>
        <v/>
      </c>
      <c r="AJ645" s="15" t="str">
        <f>IF(AE645="","",IFERROR(INDEX($AT$11:$AT$4010,MATCH(635,$AZ$11:$AZ$4010,0)),""))</f>
        <v/>
      </c>
      <c r="AL645" s="17"/>
      <c r="AM645" s="12"/>
      <c r="AN645" s="18"/>
      <c r="AO645" s="18"/>
      <c r="AP645" s="10"/>
      <c r="AQ645" s="10"/>
      <c r="AR645" s="19"/>
      <c r="AS645" s="20"/>
      <c r="AT645" s="19"/>
      <c r="AV645" s="21">
        <f>IF(AND($AL645&lt;&gt;"",COUNTIF($AL$11:$AL645,$AL645)=1),1,0)</f>
        <v>0</v>
      </c>
      <c r="AW645" s="21">
        <f t="shared" si="105"/>
        <v>0</v>
      </c>
      <c r="AX645" s="21" t="str">
        <f t="shared" si="104"/>
        <v/>
      </c>
      <c r="AY645" s="21" t="str">
        <f>IF(AND($AM645&lt;&gt;"",$AS645&lt;&gt;"✓"),SUMPRODUCT(($AM$11:$AM645&lt;&gt;"")*($AS$11:$AS645&lt;&gt;"✓")),"")</f>
        <v/>
      </c>
      <c r="AZ645" s="21" t="str">
        <f>IF(AND($AM645&lt;&gt;"",$AS645="✓"),SUMPRODUCT(($AM$11:$AM645&lt;&gt;"")*($AS$11:$AS645="✓")),"")</f>
        <v/>
      </c>
      <c r="BA645" s="21" t="str">
        <f>IF($AL645="","",$AL645&amp;"|"&amp;COUNTIF($AL$11:$AL645,$AL645))</f>
        <v/>
      </c>
    </row>
    <row r="646" spans="23:53" ht="15" customHeight="1" x14ac:dyDescent="0.25">
      <c r="W646" s="28" t="str">
        <f>IF(X646="","",IFERROR(INDEX($AL$11:$AL$4010,MATCH(636,$AY$11:$AY$4010,0)),""))</f>
        <v/>
      </c>
      <c r="X646" s="26" t="str">
        <f>IFERROR(INDEX($AM$11:$AM$4010,MATCH(636,$AY$11:$AY$4010,0)),"")</f>
        <v/>
      </c>
      <c r="Y646" s="25" t="str">
        <f>IF(X646="","",IFERROR(INDEX($AN$11:$AN$4010,MATCH(636,$AY$11:$AY$4010,0)),""))</f>
        <v/>
      </c>
      <c r="Z646" s="25" t="str">
        <f>IF(X646="","",IFERROR(INDEX($AO$11:$AO$4010,MATCH(636,$AY$11:$AY$4010,0)),""))</f>
        <v/>
      </c>
      <c r="AA646" s="24" t="str">
        <f>IF(X646="","",IFERROR(INDEX($AQ$11:$AQ$4010,MATCH(636,$AY$11:$AY$4010,0)),""))</f>
        <v/>
      </c>
      <c r="AB646" s="29" t="str">
        <f>IF(X646="","",IFERROR(INDEX($AR$11:$AR$4010,MATCH(636,$AY$11:$AY$4010,0)),""))</f>
        <v/>
      </c>
      <c r="AD646" s="30" t="str">
        <f>IF(AE646="","",IFERROR(INDEX($AL$11:$AL$4010,MATCH(636,$AZ$11:$AZ$4010,0)),""))</f>
        <v/>
      </c>
      <c r="AE646" s="26" t="str">
        <f>IFERROR(INDEX($AM$11:$AM$4010,MATCH(636,$AZ$11:$AZ$4010,0)),"")</f>
        <v/>
      </c>
      <c r="AF646" s="25" t="str">
        <f>IF(AE646="","",IFERROR(INDEX($AN$11:$AN$4010,MATCH(636,$AZ$11:$AZ$4010,0)),""))</f>
        <v/>
      </c>
      <c r="AG646" s="25" t="str">
        <f>IF(AE646="","",IFERROR(INDEX($AO$11:$AO$4010,MATCH(636,$AZ$11:$AZ$4010,0)),""))</f>
        <v/>
      </c>
      <c r="AH646" s="24" t="str">
        <f>IF(AE646="","",IFERROR(INDEX($AQ$11:$AQ$4010,MATCH(636,$AZ$11:$AZ$4010,0)),""))</f>
        <v/>
      </c>
      <c r="AI646" s="29" t="str">
        <f>IF(AE646="","",IFERROR(INDEX($AR$11:$AR$4010,MATCH(636,$AZ$11:$AZ$4010,0)),""))</f>
        <v/>
      </c>
      <c r="AJ646" s="29" t="str">
        <f>IF(AE646="","",IFERROR(INDEX($AT$11:$AT$4010,MATCH(636,$AZ$11:$AZ$4010,0)),""))</f>
        <v/>
      </c>
      <c r="AL646" s="31"/>
      <c r="AM646" s="26"/>
      <c r="AN646" s="32"/>
      <c r="AO646" s="32"/>
      <c r="AP646" s="24"/>
      <c r="AQ646" s="24"/>
      <c r="AR646" s="33"/>
      <c r="AS646" s="34"/>
      <c r="AT646" s="33"/>
      <c r="AV646" s="21">
        <f>IF(AND($AL646&lt;&gt;"",COUNTIF($AL$11:$AL646,$AL646)=1),1,0)</f>
        <v>0</v>
      </c>
      <c r="AW646" s="21">
        <f t="shared" si="105"/>
        <v>0</v>
      </c>
      <c r="AX646" s="21" t="str">
        <f t="shared" si="104"/>
        <v/>
      </c>
      <c r="AY646" s="21" t="str">
        <f>IF(AND($AM646&lt;&gt;"",$AS646&lt;&gt;"✓"),SUMPRODUCT(($AM$11:$AM646&lt;&gt;"")*($AS$11:$AS646&lt;&gt;"✓")),"")</f>
        <v/>
      </c>
      <c r="AZ646" s="21" t="str">
        <f>IF(AND($AM646&lt;&gt;"",$AS646="✓"),SUMPRODUCT(($AM$11:$AM646&lt;&gt;"")*($AS$11:$AS646="✓")),"")</f>
        <v/>
      </c>
      <c r="BA646" s="21" t="str">
        <f>IF($AL646="","",$AL646&amp;"|"&amp;COUNTIF($AL$11:$AL646,$AL646))</f>
        <v/>
      </c>
    </row>
    <row r="647" spans="23:53" ht="15" customHeight="1" x14ac:dyDescent="0.25">
      <c r="W647" s="14" t="str">
        <f>IF(X647="","",IFERROR(INDEX($AL$11:$AL$4010,MATCH(637,$AY$11:$AY$4010,0)),""))</f>
        <v/>
      </c>
      <c r="X647" s="12" t="str">
        <f>IFERROR(INDEX($AM$11:$AM$4010,MATCH(637,$AY$11:$AY$4010,0)),"")</f>
        <v/>
      </c>
      <c r="Y647" s="11" t="str">
        <f>IF(X647="","",IFERROR(INDEX($AN$11:$AN$4010,MATCH(637,$AY$11:$AY$4010,0)),""))</f>
        <v/>
      </c>
      <c r="Z647" s="11" t="str">
        <f>IF(X647="","",IFERROR(INDEX($AO$11:$AO$4010,MATCH(637,$AY$11:$AY$4010,0)),""))</f>
        <v/>
      </c>
      <c r="AA647" s="10" t="str">
        <f>IF(X647="","",IFERROR(INDEX($AQ$11:$AQ$4010,MATCH(637,$AY$11:$AY$4010,0)),""))</f>
        <v/>
      </c>
      <c r="AB647" s="15" t="str">
        <f>IF(X647="","",IFERROR(INDEX($AR$11:$AR$4010,MATCH(637,$AY$11:$AY$4010,0)),""))</f>
        <v/>
      </c>
      <c r="AD647" s="16" t="str">
        <f>IF(AE647="","",IFERROR(INDEX($AL$11:$AL$4010,MATCH(637,$AZ$11:$AZ$4010,0)),""))</f>
        <v/>
      </c>
      <c r="AE647" s="12" t="str">
        <f>IFERROR(INDEX($AM$11:$AM$4010,MATCH(637,$AZ$11:$AZ$4010,0)),"")</f>
        <v/>
      </c>
      <c r="AF647" s="11" t="str">
        <f>IF(AE647="","",IFERROR(INDEX($AN$11:$AN$4010,MATCH(637,$AZ$11:$AZ$4010,0)),""))</f>
        <v/>
      </c>
      <c r="AG647" s="11" t="str">
        <f>IF(AE647="","",IFERROR(INDEX($AO$11:$AO$4010,MATCH(637,$AZ$11:$AZ$4010,0)),""))</f>
        <v/>
      </c>
      <c r="AH647" s="10" t="str">
        <f>IF(AE647="","",IFERROR(INDEX($AQ$11:$AQ$4010,MATCH(637,$AZ$11:$AZ$4010,0)),""))</f>
        <v/>
      </c>
      <c r="AI647" s="15" t="str">
        <f>IF(AE647="","",IFERROR(INDEX($AR$11:$AR$4010,MATCH(637,$AZ$11:$AZ$4010,0)),""))</f>
        <v/>
      </c>
      <c r="AJ647" s="15" t="str">
        <f>IF(AE647="","",IFERROR(INDEX($AT$11:$AT$4010,MATCH(637,$AZ$11:$AZ$4010,0)),""))</f>
        <v/>
      </c>
      <c r="AL647" s="17"/>
      <c r="AM647" s="12"/>
      <c r="AN647" s="18"/>
      <c r="AO647" s="18"/>
      <c r="AP647" s="10"/>
      <c r="AQ647" s="10"/>
      <c r="AR647" s="19"/>
      <c r="AS647" s="20"/>
      <c r="AT647" s="19"/>
      <c r="AV647" s="21">
        <f>IF(AND($AL647&lt;&gt;"",COUNTIF($AL$11:$AL647,$AL647)=1),1,0)</f>
        <v>0</v>
      </c>
      <c r="AW647" s="21">
        <f t="shared" si="105"/>
        <v>0</v>
      </c>
      <c r="AX647" s="21" t="str">
        <f t="shared" si="104"/>
        <v/>
      </c>
      <c r="AY647" s="21" t="str">
        <f>IF(AND($AM647&lt;&gt;"",$AS647&lt;&gt;"✓"),SUMPRODUCT(($AM$11:$AM647&lt;&gt;"")*($AS$11:$AS647&lt;&gt;"✓")),"")</f>
        <v/>
      </c>
      <c r="AZ647" s="21" t="str">
        <f>IF(AND($AM647&lt;&gt;"",$AS647="✓"),SUMPRODUCT(($AM$11:$AM647&lt;&gt;"")*($AS$11:$AS647="✓")),"")</f>
        <v/>
      </c>
      <c r="BA647" s="21" t="str">
        <f>IF($AL647="","",$AL647&amp;"|"&amp;COUNTIF($AL$11:$AL647,$AL647))</f>
        <v/>
      </c>
    </row>
    <row r="648" spans="23:53" ht="15" customHeight="1" x14ac:dyDescent="0.25">
      <c r="W648" s="28" t="str">
        <f>IF(X648="","",IFERROR(INDEX($AL$11:$AL$4010,MATCH(638,$AY$11:$AY$4010,0)),""))</f>
        <v/>
      </c>
      <c r="X648" s="26" t="str">
        <f>IFERROR(INDEX($AM$11:$AM$4010,MATCH(638,$AY$11:$AY$4010,0)),"")</f>
        <v/>
      </c>
      <c r="Y648" s="25" t="str">
        <f>IF(X648="","",IFERROR(INDEX($AN$11:$AN$4010,MATCH(638,$AY$11:$AY$4010,0)),""))</f>
        <v/>
      </c>
      <c r="Z648" s="25" t="str">
        <f>IF(X648="","",IFERROR(INDEX($AO$11:$AO$4010,MATCH(638,$AY$11:$AY$4010,0)),""))</f>
        <v/>
      </c>
      <c r="AA648" s="24" t="str">
        <f>IF(X648="","",IFERROR(INDEX($AQ$11:$AQ$4010,MATCH(638,$AY$11:$AY$4010,0)),""))</f>
        <v/>
      </c>
      <c r="AB648" s="29" t="str">
        <f>IF(X648="","",IFERROR(INDEX($AR$11:$AR$4010,MATCH(638,$AY$11:$AY$4010,0)),""))</f>
        <v/>
      </c>
      <c r="AD648" s="30" t="str">
        <f>IF(AE648="","",IFERROR(INDEX($AL$11:$AL$4010,MATCH(638,$AZ$11:$AZ$4010,0)),""))</f>
        <v/>
      </c>
      <c r="AE648" s="26" t="str">
        <f>IFERROR(INDEX($AM$11:$AM$4010,MATCH(638,$AZ$11:$AZ$4010,0)),"")</f>
        <v/>
      </c>
      <c r="AF648" s="25" t="str">
        <f>IF(AE648="","",IFERROR(INDEX($AN$11:$AN$4010,MATCH(638,$AZ$11:$AZ$4010,0)),""))</f>
        <v/>
      </c>
      <c r="AG648" s="25" t="str">
        <f>IF(AE648="","",IFERROR(INDEX($AO$11:$AO$4010,MATCH(638,$AZ$11:$AZ$4010,0)),""))</f>
        <v/>
      </c>
      <c r="AH648" s="24" t="str">
        <f>IF(AE648="","",IFERROR(INDEX($AQ$11:$AQ$4010,MATCH(638,$AZ$11:$AZ$4010,0)),""))</f>
        <v/>
      </c>
      <c r="AI648" s="29" t="str">
        <f>IF(AE648="","",IFERROR(INDEX($AR$11:$AR$4010,MATCH(638,$AZ$11:$AZ$4010,0)),""))</f>
        <v/>
      </c>
      <c r="AJ648" s="29" t="str">
        <f>IF(AE648="","",IFERROR(INDEX($AT$11:$AT$4010,MATCH(638,$AZ$11:$AZ$4010,0)),""))</f>
        <v/>
      </c>
      <c r="AL648" s="31"/>
      <c r="AM648" s="26"/>
      <c r="AN648" s="32"/>
      <c r="AO648" s="32"/>
      <c r="AP648" s="24"/>
      <c r="AQ648" s="24"/>
      <c r="AR648" s="33"/>
      <c r="AS648" s="34"/>
      <c r="AT648" s="33"/>
      <c r="AV648" s="21">
        <f>IF(AND($AL648&lt;&gt;"",COUNTIF($AL$11:$AL648,$AL648)=1),1,0)</f>
        <v>0</v>
      </c>
      <c r="AW648" s="21">
        <f t="shared" si="105"/>
        <v>0</v>
      </c>
      <c r="AX648" s="21" t="str">
        <f t="shared" si="104"/>
        <v/>
      </c>
      <c r="AY648" s="21" t="str">
        <f>IF(AND($AM648&lt;&gt;"",$AS648&lt;&gt;"✓"),SUMPRODUCT(($AM$11:$AM648&lt;&gt;"")*($AS$11:$AS648&lt;&gt;"✓")),"")</f>
        <v/>
      </c>
      <c r="AZ648" s="21" t="str">
        <f>IF(AND($AM648&lt;&gt;"",$AS648="✓"),SUMPRODUCT(($AM$11:$AM648&lt;&gt;"")*($AS$11:$AS648="✓")),"")</f>
        <v/>
      </c>
      <c r="BA648" s="21" t="str">
        <f>IF($AL648="","",$AL648&amp;"|"&amp;COUNTIF($AL$11:$AL648,$AL648))</f>
        <v/>
      </c>
    </row>
    <row r="649" spans="23:53" ht="15" customHeight="1" x14ac:dyDescent="0.25">
      <c r="W649" s="14" t="str">
        <f>IF(X649="","",IFERROR(INDEX($AL$11:$AL$4010,MATCH(639,$AY$11:$AY$4010,0)),""))</f>
        <v/>
      </c>
      <c r="X649" s="12" t="str">
        <f>IFERROR(INDEX($AM$11:$AM$4010,MATCH(639,$AY$11:$AY$4010,0)),"")</f>
        <v/>
      </c>
      <c r="Y649" s="11" t="str">
        <f>IF(X649="","",IFERROR(INDEX($AN$11:$AN$4010,MATCH(639,$AY$11:$AY$4010,0)),""))</f>
        <v/>
      </c>
      <c r="Z649" s="11" t="str">
        <f>IF(X649="","",IFERROR(INDEX($AO$11:$AO$4010,MATCH(639,$AY$11:$AY$4010,0)),""))</f>
        <v/>
      </c>
      <c r="AA649" s="10" t="str">
        <f>IF(X649="","",IFERROR(INDEX($AQ$11:$AQ$4010,MATCH(639,$AY$11:$AY$4010,0)),""))</f>
        <v/>
      </c>
      <c r="AB649" s="15" t="str">
        <f>IF(X649="","",IFERROR(INDEX($AR$11:$AR$4010,MATCH(639,$AY$11:$AY$4010,0)),""))</f>
        <v/>
      </c>
      <c r="AD649" s="16" t="str">
        <f>IF(AE649="","",IFERROR(INDEX($AL$11:$AL$4010,MATCH(639,$AZ$11:$AZ$4010,0)),""))</f>
        <v/>
      </c>
      <c r="AE649" s="12" t="str">
        <f>IFERROR(INDEX($AM$11:$AM$4010,MATCH(639,$AZ$11:$AZ$4010,0)),"")</f>
        <v/>
      </c>
      <c r="AF649" s="11" t="str">
        <f>IF(AE649="","",IFERROR(INDEX($AN$11:$AN$4010,MATCH(639,$AZ$11:$AZ$4010,0)),""))</f>
        <v/>
      </c>
      <c r="AG649" s="11" t="str">
        <f>IF(AE649="","",IFERROR(INDEX($AO$11:$AO$4010,MATCH(639,$AZ$11:$AZ$4010,0)),""))</f>
        <v/>
      </c>
      <c r="AH649" s="10" t="str">
        <f>IF(AE649="","",IFERROR(INDEX($AQ$11:$AQ$4010,MATCH(639,$AZ$11:$AZ$4010,0)),""))</f>
        <v/>
      </c>
      <c r="AI649" s="15" t="str">
        <f>IF(AE649="","",IFERROR(INDEX($AR$11:$AR$4010,MATCH(639,$AZ$11:$AZ$4010,0)),""))</f>
        <v/>
      </c>
      <c r="AJ649" s="15" t="str">
        <f>IF(AE649="","",IFERROR(INDEX($AT$11:$AT$4010,MATCH(639,$AZ$11:$AZ$4010,0)),""))</f>
        <v/>
      </c>
      <c r="AL649" s="17"/>
      <c r="AM649" s="12"/>
      <c r="AN649" s="18"/>
      <c r="AO649" s="18"/>
      <c r="AP649" s="10"/>
      <c r="AQ649" s="10"/>
      <c r="AR649" s="19"/>
      <c r="AS649" s="20"/>
      <c r="AT649" s="19"/>
      <c r="AV649" s="21">
        <f>IF(AND($AL649&lt;&gt;"",COUNTIF($AL$11:$AL649,$AL649)=1),1,0)</f>
        <v>0</v>
      </c>
      <c r="AW649" s="21">
        <f t="shared" si="105"/>
        <v>0</v>
      </c>
      <c r="AX649" s="21" t="str">
        <f t="shared" si="104"/>
        <v/>
      </c>
      <c r="AY649" s="21" t="str">
        <f>IF(AND($AM649&lt;&gt;"",$AS649&lt;&gt;"✓"),SUMPRODUCT(($AM$11:$AM649&lt;&gt;"")*($AS$11:$AS649&lt;&gt;"✓")),"")</f>
        <v/>
      </c>
      <c r="AZ649" s="21" t="str">
        <f>IF(AND($AM649&lt;&gt;"",$AS649="✓"),SUMPRODUCT(($AM$11:$AM649&lt;&gt;"")*($AS$11:$AS649="✓")),"")</f>
        <v/>
      </c>
      <c r="BA649" s="21" t="str">
        <f>IF($AL649="","",$AL649&amp;"|"&amp;COUNTIF($AL$11:$AL649,$AL649))</f>
        <v/>
      </c>
    </row>
    <row r="650" spans="23:53" ht="15" customHeight="1" x14ac:dyDescent="0.25">
      <c r="W650" s="28" t="str">
        <f>IF(X650="","",IFERROR(INDEX($AL$11:$AL$4010,MATCH(640,$AY$11:$AY$4010,0)),""))</f>
        <v/>
      </c>
      <c r="X650" s="26" t="str">
        <f>IFERROR(INDEX($AM$11:$AM$4010,MATCH(640,$AY$11:$AY$4010,0)),"")</f>
        <v/>
      </c>
      <c r="Y650" s="25" t="str">
        <f>IF(X650="","",IFERROR(INDEX($AN$11:$AN$4010,MATCH(640,$AY$11:$AY$4010,0)),""))</f>
        <v/>
      </c>
      <c r="Z650" s="25" t="str">
        <f>IF(X650="","",IFERROR(INDEX($AO$11:$AO$4010,MATCH(640,$AY$11:$AY$4010,0)),""))</f>
        <v/>
      </c>
      <c r="AA650" s="24" t="str">
        <f>IF(X650="","",IFERROR(INDEX($AQ$11:$AQ$4010,MATCH(640,$AY$11:$AY$4010,0)),""))</f>
        <v/>
      </c>
      <c r="AB650" s="29" t="str">
        <f>IF(X650="","",IFERROR(INDEX($AR$11:$AR$4010,MATCH(640,$AY$11:$AY$4010,0)),""))</f>
        <v/>
      </c>
      <c r="AD650" s="30" t="str">
        <f>IF(AE650="","",IFERROR(INDEX($AL$11:$AL$4010,MATCH(640,$AZ$11:$AZ$4010,0)),""))</f>
        <v/>
      </c>
      <c r="AE650" s="26" t="str">
        <f>IFERROR(INDEX($AM$11:$AM$4010,MATCH(640,$AZ$11:$AZ$4010,0)),"")</f>
        <v/>
      </c>
      <c r="AF650" s="25" t="str">
        <f>IF(AE650="","",IFERROR(INDEX($AN$11:$AN$4010,MATCH(640,$AZ$11:$AZ$4010,0)),""))</f>
        <v/>
      </c>
      <c r="AG650" s="25" t="str">
        <f>IF(AE650="","",IFERROR(INDEX($AO$11:$AO$4010,MATCH(640,$AZ$11:$AZ$4010,0)),""))</f>
        <v/>
      </c>
      <c r="AH650" s="24" t="str">
        <f>IF(AE650="","",IFERROR(INDEX($AQ$11:$AQ$4010,MATCH(640,$AZ$11:$AZ$4010,0)),""))</f>
        <v/>
      </c>
      <c r="AI650" s="29" t="str">
        <f>IF(AE650="","",IFERROR(INDEX($AR$11:$AR$4010,MATCH(640,$AZ$11:$AZ$4010,0)),""))</f>
        <v/>
      </c>
      <c r="AJ650" s="29" t="str">
        <f>IF(AE650="","",IFERROR(INDEX($AT$11:$AT$4010,MATCH(640,$AZ$11:$AZ$4010,0)),""))</f>
        <v/>
      </c>
      <c r="AL650" s="31"/>
      <c r="AM650" s="26"/>
      <c r="AN650" s="32"/>
      <c r="AO650" s="32"/>
      <c r="AP650" s="24"/>
      <c r="AQ650" s="24"/>
      <c r="AR650" s="33"/>
      <c r="AS650" s="34"/>
      <c r="AT650" s="33"/>
      <c r="AV650" s="21">
        <f>IF(AND($AL650&lt;&gt;"",COUNTIF($AL$11:$AL650,$AL650)=1),1,0)</f>
        <v>0</v>
      </c>
      <c r="AW650" s="21">
        <f t="shared" si="105"/>
        <v>0</v>
      </c>
      <c r="AX650" s="21" t="str">
        <f t="shared" si="104"/>
        <v/>
      </c>
      <c r="AY650" s="21" t="str">
        <f>IF(AND($AM650&lt;&gt;"",$AS650&lt;&gt;"✓"),SUMPRODUCT(($AM$11:$AM650&lt;&gt;"")*($AS$11:$AS650&lt;&gt;"✓")),"")</f>
        <v/>
      </c>
      <c r="AZ650" s="21" t="str">
        <f>IF(AND($AM650&lt;&gt;"",$AS650="✓"),SUMPRODUCT(($AM$11:$AM650&lt;&gt;"")*($AS$11:$AS650="✓")),"")</f>
        <v/>
      </c>
      <c r="BA650" s="21" t="str">
        <f>IF($AL650="","",$AL650&amp;"|"&amp;COUNTIF($AL$11:$AL650,$AL650))</f>
        <v/>
      </c>
    </row>
    <row r="651" spans="23:53" ht="15" customHeight="1" x14ac:dyDescent="0.25">
      <c r="W651" s="14" t="str">
        <f>IF(X651="","",IFERROR(INDEX($AL$11:$AL$4010,MATCH(641,$AY$11:$AY$4010,0)),""))</f>
        <v/>
      </c>
      <c r="X651" s="12" t="str">
        <f>IFERROR(INDEX($AM$11:$AM$4010,MATCH(641,$AY$11:$AY$4010,0)),"")</f>
        <v/>
      </c>
      <c r="Y651" s="11" t="str">
        <f>IF(X651="","",IFERROR(INDEX($AN$11:$AN$4010,MATCH(641,$AY$11:$AY$4010,0)),""))</f>
        <v/>
      </c>
      <c r="Z651" s="11" t="str">
        <f>IF(X651="","",IFERROR(INDEX($AO$11:$AO$4010,MATCH(641,$AY$11:$AY$4010,0)),""))</f>
        <v/>
      </c>
      <c r="AA651" s="10" t="str">
        <f>IF(X651="","",IFERROR(INDEX($AQ$11:$AQ$4010,MATCH(641,$AY$11:$AY$4010,0)),""))</f>
        <v/>
      </c>
      <c r="AB651" s="15" t="str">
        <f>IF(X651="","",IFERROR(INDEX($AR$11:$AR$4010,MATCH(641,$AY$11:$AY$4010,0)),""))</f>
        <v/>
      </c>
      <c r="AD651" s="16" t="str">
        <f>IF(AE651="","",IFERROR(INDEX($AL$11:$AL$4010,MATCH(641,$AZ$11:$AZ$4010,0)),""))</f>
        <v/>
      </c>
      <c r="AE651" s="12" t="str">
        <f>IFERROR(INDEX($AM$11:$AM$4010,MATCH(641,$AZ$11:$AZ$4010,0)),"")</f>
        <v/>
      </c>
      <c r="AF651" s="11" t="str">
        <f>IF(AE651="","",IFERROR(INDEX($AN$11:$AN$4010,MATCH(641,$AZ$11:$AZ$4010,0)),""))</f>
        <v/>
      </c>
      <c r="AG651" s="11" t="str">
        <f>IF(AE651="","",IFERROR(INDEX($AO$11:$AO$4010,MATCH(641,$AZ$11:$AZ$4010,0)),""))</f>
        <v/>
      </c>
      <c r="AH651" s="10" t="str">
        <f>IF(AE651="","",IFERROR(INDEX($AQ$11:$AQ$4010,MATCH(641,$AZ$11:$AZ$4010,0)),""))</f>
        <v/>
      </c>
      <c r="AI651" s="15" t="str">
        <f>IF(AE651="","",IFERROR(INDEX($AR$11:$AR$4010,MATCH(641,$AZ$11:$AZ$4010,0)),""))</f>
        <v/>
      </c>
      <c r="AJ651" s="15" t="str">
        <f>IF(AE651="","",IFERROR(INDEX($AT$11:$AT$4010,MATCH(641,$AZ$11:$AZ$4010,0)),""))</f>
        <v/>
      </c>
      <c r="AL651" s="17"/>
      <c r="AM651" s="12"/>
      <c r="AN651" s="18"/>
      <c r="AO651" s="18"/>
      <c r="AP651" s="10"/>
      <c r="AQ651" s="10"/>
      <c r="AR651" s="19"/>
      <c r="AS651" s="20"/>
      <c r="AT651" s="19"/>
      <c r="AV651" s="21">
        <f>IF(AND($AL651&lt;&gt;"",COUNTIF($AL$11:$AL651,$AL651)=1),1,0)</f>
        <v>0</v>
      </c>
      <c r="AW651" s="21">
        <f t="shared" si="105"/>
        <v>0</v>
      </c>
      <c r="AX651" s="21" t="str">
        <f t="shared" ref="AX651:AX714" si="106">IF(AV651=1,AW651,"")</f>
        <v/>
      </c>
      <c r="AY651" s="21" t="str">
        <f>IF(AND($AM651&lt;&gt;"",$AS651&lt;&gt;"✓"),SUMPRODUCT(($AM$11:$AM651&lt;&gt;"")*($AS$11:$AS651&lt;&gt;"✓")),"")</f>
        <v/>
      </c>
      <c r="AZ651" s="21" t="str">
        <f>IF(AND($AM651&lt;&gt;"",$AS651="✓"),SUMPRODUCT(($AM$11:$AM651&lt;&gt;"")*($AS$11:$AS651="✓")),"")</f>
        <v/>
      </c>
      <c r="BA651" s="21" t="str">
        <f>IF($AL651="","",$AL651&amp;"|"&amp;COUNTIF($AL$11:$AL651,$AL651))</f>
        <v/>
      </c>
    </row>
    <row r="652" spans="23:53" ht="15" customHeight="1" x14ac:dyDescent="0.25">
      <c r="W652" s="28" t="str">
        <f>IF(X652="","",IFERROR(INDEX($AL$11:$AL$4010,MATCH(642,$AY$11:$AY$4010,0)),""))</f>
        <v/>
      </c>
      <c r="X652" s="26" t="str">
        <f>IFERROR(INDEX($AM$11:$AM$4010,MATCH(642,$AY$11:$AY$4010,0)),"")</f>
        <v/>
      </c>
      <c r="Y652" s="25" t="str">
        <f>IF(X652="","",IFERROR(INDEX($AN$11:$AN$4010,MATCH(642,$AY$11:$AY$4010,0)),""))</f>
        <v/>
      </c>
      <c r="Z652" s="25" t="str">
        <f>IF(X652="","",IFERROR(INDEX($AO$11:$AO$4010,MATCH(642,$AY$11:$AY$4010,0)),""))</f>
        <v/>
      </c>
      <c r="AA652" s="24" t="str">
        <f>IF(X652="","",IFERROR(INDEX($AQ$11:$AQ$4010,MATCH(642,$AY$11:$AY$4010,0)),""))</f>
        <v/>
      </c>
      <c r="AB652" s="29" t="str">
        <f>IF(X652="","",IFERROR(INDEX($AR$11:$AR$4010,MATCH(642,$AY$11:$AY$4010,0)),""))</f>
        <v/>
      </c>
      <c r="AD652" s="30" t="str">
        <f>IF(AE652="","",IFERROR(INDEX($AL$11:$AL$4010,MATCH(642,$AZ$11:$AZ$4010,0)),""))</f>
        <v/>
      </c>
      <c r="AE652" s="26" t="str">
        <f>IFERROR(INDEX($AM$11:$AM$4010,MATCH(642,$AZ$11:$AZ$4010,0)),"")</f>
        <v/>
      </c>
      <c r="AF652" s="25" t="str">
        <f>IF(AE652="","",IFERROR(INDEX($AN$11:$AN$4010,MATCH(642,$AZ$11:$AZ$4010,0)),""))</f>
        <v/>
      </c>
      <c r="AG652" s="25" t="str">
        <f>IF(AE652="","",IFERROR(INDEX($AO$11:$AO$4010,MATCH(642,$AZ$11:$AZ$4010,0)),""))</f>
        <v/>
      </c>
      <c r="AH652" s="24" t="str">
        <f>IF(AE652="","",IFERROR(INDEX($AQ$11:$AQ$4010,MATCH(642,$AZ$11:$AZ$4010,0)),""))</f>
        <v/>
      </c>
      <c r="AI652" s="29" t="str">
        <f>IF(AE652="","",IFERROR(INDEX($AR$11:$AR$4010,MATCH(642,$AZ$11:$AZ$4010,0)),""))</f>
        <v/>
      </c>
      <c r="AJ652" s="29" t="str">
        <f>IF(AE652="","",IFERROR(INDEX($AT$11:$AT$4010,MATCH(642,$AZ$11:$AZ$4010,0)),""))</f>
        <v/>
      </c>
      <c r="AL652" s="31"/>
      <c r="AM652" s="26"/>
      <c r="AN652" s="32"/>
      <c r="AO652" s="32"/>
      <c r="AP652" s="24"/>
      <c r="AQ652" s="24"/>
      <c r="AR652" s="33"/>
      <c r="AS652" s="34"/>
      <c r="AT652" s="33"/>
      <c r="AV652" s="21">
        <f>IF(AND($AL652&lt;&gt;"",COUNTIF($AL$11:$AL652,$AL652)=1),1,0)</f>
        <v>0</v>
      </c>
      <c r="AW652" s="21">
        <f t="shared" ref="AW652:AW715" si="107">AW651+AV652</f>
        <v>0</v>
      </c>
      <c r="AX652" s="21" t="str">
        <f t="shared" si="106"/>
        <v/>
      </c>
      <c r="AY652" s="21" t="str">
        <f>IF(AND($AM652&lt;&gt;"",$AS652&lt;&gt;"✓"),SUMPRODUCT(($AM$11:$AM652&lt;&gt;"")*($AS$11:$AS652&lt;&gt;"✓")),"")</f>
        <v/>
      </c>
      <c r="AZ652" s="21" t="str">
        <f>IF(AND($AM652&lt;&gt;"",$AS652="✓"),SUMPRODUCT(($AM$11:$AM652&lt;&gt;"")*($AS$11:$AS652="✓")),"")</f>
        <v/>
      </c>
      <c r="BA652" s="21" t="str">
        <f>IF($AL652="","",$AL652&amp;"|"&amp;COUNTIF($AL$11:$AL652,$AL652))</f>
        <v/>
      </c>
    </row>
    <row r="653" spans="23:53" ht="15" customHeight="1" x14ac:dyDescent="0.25">
      <c r="W653" s="14" t="str">
        <f>IF(X653="","",IFERROR(INDEX($AL$11:$AL$4010,MATCH(643,$AY$11:$AY$4010,0)),""))</f>
        <v/>
      </c>
      <c r="X653" s="12" t="str">
        <f>IFERROR(INDEX($AM$11:$AM$4010,MATCH(643,$AY$11:$AY$4010,0)),"")</f>
        <v/>
      </c>
      <c r="Y653" s="11" t="str">
        <f>IF(X653="","",IFERROR(INDEX($AN$11:$AN$4010,MATCH(643,$AY$11:$AY$4010,0)),""))</f>
        <v/>
      </c>
      <c r="Z653" s="11" t="str">
        <f>IF(X653="","",IFERROR(INDEX($AO$11:$AO$4010,MATCH(643,$AY$11:$AY$4010,0)),""))</f>
        <v/>
      </c>
      <c r="AA653" s="10" t="str">
        <f>IF(X653="","",IFERROR(INDEX($AQ$11:$AQ$4010,MATCH(643,$AY$11:$AY$4010,0)),""))</f>
        <v/>
      </c>
      <c r="AB653" s="15" t="str">
        <f>IF(X653="","",IFERROR(INDEX($AR$11:$AR$4010,MATCH(643,$AY$11:$AY$4010,0)),""))</f>
        <v/>
      </c>
      <c r="AD653" s="16" t="str">
        <f>IF(AE653="","",IFERROR(INDEX($AL$11:$AL$4010,MATCH(643,$AZ$11:$AZ$4010,0)),""))</f>
        <v/>
      </c>
      <c r="AE653" s="12" t="str">
        <f>IFERROR(INDEX($AM$11:$AM$4010,MATCH(643,$AZ$11:$AZ$4010,0)),"")</f>
        <v/>
      </c>
      <c r="AF653" s="11" t="str">
        <f>IF(AE653="","",IFERROR(INDEX($AN$11:$AN$4010,MATCH(643,$AZ$11:$AZ$4010,0)),""))</f>
        <v/>
      </c>
      <c r="AG653" s="11" t="str">
        <f>IF(AE653="","",IFERROR(INDEX($AO$11:$AO$4010,MATCH(643,$AZ$11:$AZ$4010,0)),""))</f>
        <v/>
      </c>
      <c r="AH653" s="10" t="str">
        <f>IF(AE653="","",IFERROR(INDEX($AQ$11:$AQ$4010,MATCH(643,$AZ$11:$AZ$4010,0)),""))</f>
        <v/>
      </c>
      <c r="AI653" s="15" t="str">
        <f>IF(AE653="","",IFERROR(INDEX($AR$11:$AR$4010,MATCH(643,$AZ$11:$AZ$4010,0)),""))</f>
        <v/>
      </c>
      <c r="AJ653" s="15" t="str">
        <f>IF(AE653="","",IFERROR(INDEX($AT$11:$AT$4010,MATCH(643,$AZ$11:$AZ$4010,0)),""))</f>
        <v/>
      </c>
      <c r="AL653" s="17"/>
      <c r="AM653" s="12"/>
      <c r="AN653" s="18"/>
      <c r="AO653" s="18"/>
      <c r="AP653" s="10"/>
      <c r="AQ653" s="10"/>
      <c r="AR653" s="19"/>
      <c r="AS653" s="20"/>
      <c r="AT653" s="19"/>
      <c r="AV653" s="21">
        <f>IF(AND($AL653&lt;&gt;"",COUNTIF($AL$11:$AL653,$AL653)=1),1,0)</f>
        <v>0</v>
      </c>
      <c r="AW653" s="21">
        <f t="shared" si="107"/>
        <v>0</v>
      </c>
      <c r="AX653" s="21" t="str">
        <f t="shared" si="106"/>
        <v/>
      </c>
      <c r="AY653" s="21" t="str">
        <f>IF(AND($AM653&lt;&gt;"",$AS653&lt;&gt;"✓"),SUMPRODUCT(($AM$11:$AM653&lt;&gt;"")*($AS$11:$AS653&lt;&gt;"✓")),"")</f>
        <v/>
      </c>
      <c r="AZ653" s="21" t="str">
        <f>IF(AND($AM653&lt;&gt;"",$AS653="✓"),SUMPRODUCT(($AM$11:$AM653&lt;&gt;"")*($AS$11:$AS653="✓")),"")</f>
        <v/>
      </c>
      <c r="BA653" s="21" t="str">
        <f>IF($AL653="","",$AL653&amp;"|"&amp;COUNTIF($AL$11:$AL653,$AL653))</f>
        <v/>
      </c>
    </row>
    <row r="654" spans="23:53" ht="15" customHeight="1" x14ac:dyDescent="0.25">
      <c r="W654" s="28" t="str">
        <f>IF(X654="","",IFERROR(INDEX($AL$11:$AL$4010,MATCH(644,$AY$11:$AY$4010,0)),""))</f>
        <v/>
      </c>
      <c r="X654" s="26" t="str">
        <f>IFERROR(INDEX($AM$11:$AM$4010,MATCH(644,$AY$11:$AY$4010,0)),"")</f>
        <v/>
      </c>
      <c r="Y654" s="25" t="str">
        <f>IF(X654="","",IFERROR(INDEX($AN$11:$AN$4010,MATCH(644,$AY$11:$AY$4010,0)),""))</f>
        <v/>
      </c>
      <c r="Z654" s="25" t="str">
        <f>IF(X654="","",IFERROR(INDEX($AO$11:$AO$4010,MATCH(644,$AY$11:$AY$4010,0)),""))</f>
        <v/>
      </c>
      <c r="AA654" s="24" t="str">
        <f>IF(X654="","",IFERROR(INDEX($AQ$11:$AQ$4010,MATCH(644,$AY$11:$AY$4010,0)),""))</f>
        <v/>
      </c>
      <c r="AB654" s="29" t="str">
        <f>IF(X654="","",IFERROR(INDEX($AR$11:$AR$4010,MATCH(644,$AY$11:$AY$4010,0)),""))</f>
        <v/>
      </c>
      <c r="AD654" s="30" t="str">
        <f>IF(AE654="","",IFERROR(INDEX($AL$11:$AL$4010,MATCH(644,$AZ$11:$AZ$4010,0)),""))</f>
        <v/>
      </c>
      <c r="AE654" s="26" t="str">
        <f>IFERROR(INDEX($AM$11:$AM$4010,MATCH(644,$AZ$11:$AZ$4010,0)),"")</f>
        <v/>
      </c>
      <c r="AF654" s="25" t="str">
        <f>IF(AE654="","",IFERROR(INDEX($AN$11:$AN$4010,MATCH(644,$AZ$11:$AZ$4010,0)),""))</f>
        <v/>
      </c>
      <c r="AG654" s="25" t="str">
        <f>IF(AE654="","",IFERROR(INDEX($AO$11:$AO$4010,MATCH(644,$AZ$11:$AZ$4010,0)),""))</f>
        <v/>
      </c>
      <c r="AH654" s="24" t="str">
        <f>IF(AE654="","",IFERROR(INDEX($AQ$11:$AQ$4010,MATCH(644,$AZ$11:$AZ$4010,0)),""))</f>
        <v/>
      </c>
      <c r="AI654" s="29" t="str">
        <f>IF(AE654="","",IFERROR(INDEX($AR$11:$AR$4010,MATCH(644,$AZ$11:$AZ$4010,0)),""))</f>
        <v/>
      </c>
      <c r="AJ654" s="29" t="str">
        <f>IF(AE654="","",IFERROR(INDEX($AT$11:$AT$4010,MATCH(644,$AZ$11:$AZ$4010,0)),""))</f>
        <v/>
      </c>
      <c r="AL654" s="31"/>
      <c r="AM654" s="26"/>
      <c r="AN654" s="32"/>
      <c r="AO654" s="32"/>
      <c r="AP654" s="24"/>
      <c r="AQ654" s="24"/>
      <c r="AR654" s="33"/>
      <c r="AS654" s="34"/>
      <c r="AT654" s="33"/>
      <c r="AV654" s="21">
        <f>IF(AND($AL654&lt;&gt;"",COUNTIF($AL$11:$AL654,$AL654)=1),1,0)</f>
        <v>0</v>
      </c>
      <c r="AW654" s="21">
        <f t="shared" si="107"/>
        <v>0</v>
      </c>
      <c r="AX654" s="21" t="str">
        <f t="shared" si="106"/>
        <v/>
      </c>
      <c r="AY654" s="21" t="str">
        <f>IF(AND($AM654&lt;&gt;"",$AS654&lt;&gt;"✓"),SUMPRODUCT(($AM$11:$AM654&lt;&gt;"")*($AS$11:$AS654&lt;&gt;"✓")),"")</f>
        <v/>
      </c>
      <c r="AZ654" s="21" t="str">
        <f>IF(AND($AM654&lt;&gt;"",$AS654="✓"),SUMPRODUCT(($AM$11:$AM654&lt;&gt;"")*($AS$11:$AS654="✓")),"")</f>
        <v/>
      </c>
      <c r="BA654" s="21" t="str">
        <f>IF($AL654="","",$AL654&amp;"|"&amp;COUNTIF($AL$11:$AL654,$AL654))</f>
        <v/>
      </c>
    </row>
    <row r="655" spans="23:53" ht="15" customHeight="1" x14ac:dyDescent="0.25">
      <c r="W655" s="14" t="str">
        <f>IF(X655="","",IFERROR(INDEX($AL$11:$AL$4010,MATCH(645,$AY$11:$AY$4010,0)),""))</f>
        <v/>
      </c>
      <c r="X655" s="12" t="str">
        <f>IFERROR(INDEX($AM$11:$AM$4010,MATCH(645,$AY$11:$AY$4010,0)),"")</f>
        <v/>
      </c>
      <c r="Y655" s="11" t="str">
        <f>IF(X655="","",IFERROR(INDEX($AN$11:$AN$4010,MATCH(645,$AY$11:$AY$4010,0)),""))</f>
        <v/>
      </c>
      <c r="Z655" s="11" t="str">
        <f>IF(X655="","",IFERROR(INDEX($AO$11:$AO$4010,MATCH(645,$AY$11:$AY$4010,0)),""))</f>
        <v/>
      </c>
      <c r="AA655" s="10" t="str">
        <f>IF(X655="","",IFERROR(INDEX($AQ$11:$AQ$4010,MATCH(645,$AY$11:$AY$4010,0)),""))</f>
        <v/>
      </c>
      <c r="AB655" s="15" t="str">
        <f>IF(X655="","",IFERROR(INDEX($AR$11:$AR$4010,MATCH(645,$AY$11:$AY$4010,0)),""))</f>
        <v/>
      </c>
      <c r="AD655" s="16" t="str">
        <f>IF(AE655="","",IFERROR(INDEX($AL$11:$AL$4010,MATCH(645,$AZ$11:$AZ$4010,0)),""))</f>
        <v/>
      </c>
      <c r="AE655" s="12" t="str">
        <f>IFERROR(INDEX($AM$11:$AM$4010,MATCH(645,$AZ$11:$AZ$4010,0)),"")</f>
        <v/>
      </c>
      <c r="AF655" s="11" t="str">
        <f>IF(AE655="","",IFERROR(INDEX($AN$11:$AN$4010,MATCH(645,$AZ$11:$AZ$4010,0)),""))</f>
        <v/>
      </c>
      <c r="AG655" s="11" t="str">
        <f>IF(AE655="","",IFERROR(INDEX($AO$11:$AO$4010,MATCH(645,$AZ$11:$AZ$4010,0)),""))</f>
        <v/>
      </c>
      <c r="AH655" s="10" t="str">
        <f>IF(AE655="","",IFERROR(INDEX($AQ$11:$AQ$4010,MATCH(645,$AZ$11:$AZ$4010,0)),""))</f>
        <v/>
      </c>
      <c r="AI655" s="15" t="str">
        <f>IF(AE655="","",IFERROR(INDEX($AR$11:$AR$4010,MATCH(645,$AZ$11:$AZ$4010,0)),""))</f>
        <v/>
      </c>
      <c r="AJ655" s="15" t="str">
        <f>IF(AE655="","",IFERROR(INDEX($AT$11:$AT$4010,MATCH(645,$AZ$11:$AZ$4010,0)),""))</f>
        <v/>
      </c>
      <c r="AL655" s="17"/>
      <c r="AM655" s="12"/>
      <c r="AN655" s="18"/>
      <c r="AO655" s="18"/>
      <c r="AP655" s="10"/>
      <c r="AQ655" s="10"/>
      <c r="AR655" s="19"/>
      <c r="AS655" s="20"/>
      <c r="AT655" s="19"/>
      <c r="AV655" s="21">
        <f>IF(AND($AL655&lt;&gt;"",COUNTIF($AL$11:$AL655,$AL655)=1),1,0)</f>
        <v>0</v>
      </c>
      <c r="AW655" s="21">
        <f t="shared" si="107"/>
        <v>0</v>
      </c>
      <c r="AX655" s="21" t="str">
        <f t="shared" si="106"/>
        <v/>
      </c>
      <c r="AY655" s="21" t="str">
        <f>IF(AND($AM655&lt;&gt;"",$AS655&lt;&gt;"✓"),SUMPRODUCT(($AM$11:$AM655&lt;&gt;"")*($AS$11:$AS655&lt;&gt;"✓")),"")</f>
        <v/>
      </c>
      <c r="AZ655" s="21" t="str">
        <f>IF(AND($AM655&lt;&gt;"",$AS655="✓"),SUMPRODUCT(($AM$11:$AM655&lt;&gt;"")*($AS$11:$AS655="✓")),"")</f>
        <v/>
      </c>
      <c r="BA655" s="21" t="str">
        <f>IF($AL655="","",$AL655&amp;"|"&amp;COUNTIF($AL$11:$AL655,$AL655))</f>
        <v/>
      </c>
    </row>
    <row r="656" spans="23:53" ht="15" customHeight="1" x14ac:dyDescent="0.25">
      <c r="W656" s="28" t="str">
        <f>IF(X656="","",IFERROR(INDEX($AL$11:$AL$4010,MATCH(646,$AY$11:$AY$4010,0)),""))</f>
        <v/>
      </c>
      <c r="X656" s="26" t="str">
        <f>IFERROR(INDEX($AM$11:$AM$4010,MATCH(646,$AY$11:$AY$4010,0)),"")</f>
        <v/>
      </c>
      <c r="Y656" s="25" t="str">
        <f>IF(X656="","",IFERROR(INDEX($AN$11:$AN$4010,MATCH(646,$AY$11:$AY$4010,0)),""))</f>
        <v/>
      </c>
      <c r="Z656" s="25" t="str">
        <f>IF(X656="","",IFERROR(INDEX($AO$11:$AO$4010,MATCH(646,$AY$11:$AY$4010,0)),""))</f>
        <v/>
      </c>
      <c r="AA656" s="24" t="str">
        <f>IF(X656="","",IFERROR(INDEX($AQ$11:$AQ$4010,MATCH(646,$AY$11:$AY$4010,0)),""))</f>
        <v/>
      </c>
      <c r="AB656" s="29" t="str">
        <f>IF(X656="","",IFERROR(INDEX($AR$11:$AR$4010,MATCH(646,$AY$11:$AY$4010,0)),""))</f>
        <v/>
      </c>
      <c r="AD656" s="30" t="str">
        <f>IF(AE656="","",IFERROR(INDEX($AL$11:$AL$4010,MATCH(646,$AZ$11:$AZ$4010,0)),""))</f>
        <v/>
      </c>
      <c r="AE656" s="26" t="str">
        <f>IFERROR(INDEX($AM$11:$AM$4010,MATCH(646,$AZ$11:$AZ$4010,0)),"")</f>
        <v/>
      </c>
      <c r="AF656" s="25" t="str">
        <f>IF(AE656="","",IFERROR(INDEX($AN$11:$AN$4010,MATCH(646,$AZ$11:$AZ$4010,0)),""))</f>
        <v/>
      </c>
      <c r="AG656" s="25" t="str">
        <f>IF(AE656="","",IFERROR(INDEX($AO$11:$AO$4010,MATCH(646,$AZ$11:$AZ$4010,0)),""))</f>
        <v/>
      </c>
      <c r="AH656" s="24" t="str">
        <f>IF(AE656="","",IFERROR(INDEX($AQ$11:$AQ$4010,MATCH(646,$AZ$11:$AZ$4010,0)),""))</f>
        <v/>
      </c>
      <c r="AI656" s="29" t="str">
        <f>IF(AE656="","",IFERROR(INDEX($AR$11:$AR$4010,MATCH(646,$AZ$11:$AZ$4010,0)),""))</f>
        <v/>
      </c>
      <c r="AJ656" s="29" t="str">
        <f>IF(AE656="","",IFERROR(INDEX($AT$11:$AT$4010,MATCH(646,$AZ$11:$AZ$4010,0)),""))</f>
        <v/>
      </c>
      <c r="AL656" s="31"/>
      <c r="AM656" s="26"/>
      <c r="AN656" s="32"/>
      <c r="AO656" s="32"/>
      <c r="AP656" s="24"/>
      <c r="AQ656" s="24"/>
      <c r="AR656" s="33"/>
      <c r="AS656" s="34"/>
      <c r="AT656" s="33"/>
      <c r="AV656" s="21">
        <f>IF(AND($AL656&lt;&gt;"",COUNTIF($AL$11:$AL656,$AL656)=1),1,0)</f>
        <v>0</v>
      </c>
      <c r="AW656" s="21">
        <f t="shared" si="107"/>
        <v>0</v>
      </c>
      <c r="AX656" s="21" t="str">
        <f t="shared" si="106"/>
        <v/>
      </c>
      <c r="AY656" s="21" t="str">
        <f>IF(AND($AM656&lt;&gt;"",$AS656&lt;&gt;"✓"),SUMPRODUCT(($AM$11:$AM656&lt;&gt;"")*($AS$11:$AS656&lt;&gt;"✓")),"")</f>
        <v/>
      </c>
      <c r="AZ656" s="21" t="str">
        <f>IF(AND($AM656&lt;&gt;"",$AS656="✓"),SUMPRODUCT(($AM$11:$AM656&lt;&gt;"")*($AS$11:$AS656="✓")),"")</f>
        <v/>
      </c>
      <c r="BA656" s="21" t="str">
        <f>IF($AL656="","",$AL656&amp;"|"&amp;COUNTIF($AL$11:$AL656,$AL656))</f>
        <v/>
      </c>
    </row>
    <row r="657" spans="23:53" ht="15" customHeight="1" x14ac:dyDescent="0.25">
      <c r="W657" s="14" t="str">
        <f>IF(X657="","",IFERROR(INDEX($AL$11:$AL$4010,MATCH(647,$AY$11:$AY$4010,0)),""))</f>
        <v/>
      </c>
      <c r="X657" s="12" t="str">
        <f>IFERROR(INDEX($AM$11:$AM$4010,MATCH(647,$AY$11:$AY$4010,0)),"")</f>
        <v/>
      </c>
      <c r="Y657" s="11" t="str">
        <f>IF(X657="","",IFERROR(INDEX($AN$11:$AN$4010,MATCH(647,$AY$11:$AY$4010,0)),""))</f>
        <v/>
      </c>
      <c r="Z657" s="11" t="str">
        <f>IF(X657="","",IFERROR(INDEX($AO$11:$AO$4010,MATCH(647,$AY$11:$AY$4010,0)),""))</f>
        <v/>
      </c>
      <c r="AA657" s="10" t="str">
        <f>IF(X657="","",IFERROR(INDEX($AQ$11:$AQ$4010,MATCH(647,$AY$11:$AY$4010,0)),""))</f>
        <v/>
      </c>
      <c r="AB657" s="15" t="str">
        <f>IF(X657="","",IFERROR(INDEX($AR$11:$AR$4010,MATCH(647,$AY$11:$AY$4010,0)),""))</f>
        <v/>
      </c>
      <c r="AD657" s="16" t="str">
        <f>IF(AE657="","",IFERROR(INDEX($AL$11:$AL$4010,MATCH(647,$AZ$11:$AZ$4010,0)),""))</f>
        <v/>
      </c>
      <c r="AE657" s="12" t="str">
        <f>IFERROR(INDEX($AM$11:$AM$4010,MATCH(647,$AZ$11:$AZ$4010,0)),"")</f>
        <v/>
      </c>
      <c r="AF657" s="11" t="str">
        <f>IF(AE657="","",IFERROR(INDEX($AN$11:$AN$4010,MATCH(647,$AZ$11:$AZ$4010,0)),""))</f>
        <v/>
      </c>
      <c r="AG657" s="11" t="str">
        <f>IF(AE657="","",IFERROR(INDEX($AO$11:$AO$4010,MATCH(647,$AZ$11:$AZ$4010,0)),""))</f>
        <v/>
      </c>
      <c r="AH657" s="10" t="str">
        <f>IF(AE657="","",IFERROR(INDEX($AQ$11:$AQ$4010,MATCH(647,$AZ$11:$AZ$4010,0)),""))</f>
        <v/>
      </c>
      <c r="AI657" s="15" t="str">
        <f>IF(AE657="","",IFERROR(INDEX($AR$11:$AR$4010,MATCH(647,$AZ$11:$AZ$4010,0)),""))</f>
        <v/>
      </c>
      <c r="AJ657" s="15" t="str">
        <f>IF(AE657="","",IFERROR(INDEX($AT$11:$AT$4010,MATCH(647,$AZ$11:$AZ$4010,0)),""))</f>
        <v/>
      </c>
      <c r="AL657" s="17"/>
      <c r="AM657" s="12"/>
      <c r="AN657" s="18"/>
      <c r="AO657" s="18"/>
      <c r="AP657" s="10"/>
      <c r="AQ657" s="10"/>
      <c r="AR657" s="19"/>
      <c r="AS657" s="20"/>
      <c r="AT657" s="19"/>
      <c r="AV657" s="21">
        <f>IF(AND($AL657&lt;&gt;"",COUNTIF($AL$11:$AL657,$AL657)=1),1,0)</f>
        <v>0</v>
      </c>
      <c r="AW657" s="21">
        <f t="shared" si="107"/>
        <v>0</v>
      </c>
      <c r="AX657" s="21" t="str">
        <f t="shared" si="106"/>
        <v/>
      </c>
      <c r="AY657" s="21" t="str">
        <f>IF(AND($AM657&lt;&gt;"",$AS657&lt;&gt;"✓"),SUMPRODUCT(($AM$11:$AM657&lt;&gt;"")*($AS$11:$AS657&lt;&gt;"✓")),"")</f>
        <v/>
      </c>
      <c r="AZ657" s="21" t="str">
        <f>IF(AND($AM657&lt;&gt;"",$AS657="✓"),SUMPRODUCT(($AM$11:$AM657&lt;&gt;"")*($AS$11:$AS657="✓")),"")</f>
        <v/>
      </c>
      <c r="BA657" s="21" t="str">
        <f>IF($AL657="","",$AL657&amp;"|"&amp;COUNTIF($AL$11:$AL657,$AL657))</f>
        <v/>
      </c>
    </row>
    <row r="658" spans="23:53" ht="15" customHeight="1" x14ac:dyDescent="0.25">
      <c r="W658" s="28" t="str">
        <f>IF(X658="","",IFERROR(INDEX($AL$11:$AL$4010,MATCH(648,$AY$11:$AY$4010,0)),""))</f>
        <v/>
      </c>
      <c r="X658" s="26" t="str">
        <f>IFERROR(INDEX($AM$11:$AM$4010,MATCH(648,$AY$11:$AY$4010,0)),"")</f>
        <v/>
      </c>
      <c r="Y658" s="25" t="str">
        <f>IF(X658="","",IFERROR(INDEX($AN$11:$AN$4010,MATCH(648,$AY$11:$AY$4010,0)),""))</f>
        <v/>
      </c>
      <c r="Z658" s="25" t="str">
        <f>IF(X658="","",IFERROR(INDEX($AO$11:$AO$4010,MATCH(648,$AY$11:$AY$4010,0)),""))</f>
        <v/>
      </c>
      <c r="AA658" s="24" t="str">
        <f>IF(X658="","",IFERROR(INDEX($AQ$11:$AQ$4010,MATCH(648,$AY$11:$AY$4010,0)),""))</f>
        <v/>
      </c>
      <c r="AB658" s="29" t="str">
        <f>IF(X658="","",IFERROR(INDEX($AR$11:$AR$4010,MATCH(648,$AY$11:$AY$4010,0)),""))</f>
        <v/>
      </c>
      <c r="AD658" s="30" t="str">
        <f>IF(AE658="","",IFERROR(INDEX($AL$11:$AL$4010,MATCH(648,$AZ$11:$AZ$4010,0)),""))</f>
        <v/>
      </c>
      <c r="AE658" s="26" t="str">
        <f>IFERROR(INDEX($AM$11:$AM$4010,MATCH(648,$AZ$11:$AZ$4010,0)),"")</f>
        <v/>
      </c>
      <c r="AF658" s="25" t="str">
        <f>IF(AE658="","",IFERROR(INDEX($AN$11:$AN$4010,MATCH(648,$AZ$11:$AZ$4010,0)),""))</f>
        <v/>
      </c>
      <c r="AG658" s="25" t="str">
        <f>IF(AE658="","",IFERROR(INDEX($AO$11:$AO$4010,MATCH(648,$AZ$11:$AZ$4010,0)),""))</f>
        <v/>
      </c>
      <c r="AH658" s="24" t="str">
        <f>IF(AE658="","",IFERROR(INDEX($AQ$11:$AQ$4010,MATCH(648,$AZ$11:$AZ$4010,0)),""))</f>
        <v/>
      </c>
      <c r="AI658" s="29" t="str">
        <f>IF(AE658="","",IFERROR(INDEX($AR$11:$AR$4010,MATCH(648,$AZ$11:$AZ$4010,0)),""))</f>
        <v/>
      </c>
      <c r="AJ658" s="29" t="str">
        <f>IF(AE658="","",IFERROR(INDEX($AT$11:$AT$4010,MATCH(648,$AZ$11:$AZ$4010,0)),""))</f>
        <v/>
      </c>
      <c r="AL658" s="31"/>
      <c r="AM658" s="26"/>
      <c r="AN658" s="32"/>
      <c r="AO658" s="32"/>
      <c r="AP658" s="24"/>
      <c r="AQ658" s="24"/>
      <c r="AR658" s="33"/>
      <c r="AS658" s="34"/>
      <c r="AT658" s="33"/>
      <c r="AV658" s="21">
        <f>IF(AND($AL658&lt;&gt;"",COUNTIF($AL$11:$AL658,$AL658)=1),1,0)</f>
        <v>0</v>
      </c>
      <c r="AW658" s="21">
        <f t="shared" si="107"/>
        <v>0</v>
      </c>
      <c r="AX658" s="21" t="str">
        <f t="shared" si="106"/>
        <v/>
      </c>
      <c r="AY658" s="21" t="str">
        <f>IF(AND($AM658&lt;&gt;"",$AS658&lt;&gt;"✓"),SUMPRODUCT(($AM$11:$AM658&lt;&gt;"")*($AS$11:$AS658&lt;&gt;"✓")),"")</f>
        <v/>
      </c>
      <c r="AZ658" s="21" t="str">
        <f>IF(AND($AM658&lt;&gt;"",$AS658="✓"),SUMPRODUCT(($AM$11:$AM658&lt;&gt;"")*($AS$11:$AS658="✓")),"")</f>
        <v/>
      </c>
      <c r="BA658" s="21" t="str">
        <f>IF($AL658="","",$AL658&amp;"|"&amp;COUNTIF($AL$11:$AL658,$AL658))</f>
        <v/>
      </c>
    </row>
    <row r="659" spans="23:53" ht="15" customHeight="1" x14ac:dyDescent="0.25">
      <c r="W659" s="14" t="str">
        <f>IF(X659="","",IFERROR(INDEX($AL$11:$AL$4010,MATCH(649,$AY$11:$AY$4010,0)),""))</f>
        <v/>
      </c>
      <c r="X659" s="12" t="str">
        <f>IFERROR(INDEX($AM$11:$AM$4010,MATCH(649,$AY$11:$AY$4010,0)),"")</f>
        <v/>
      </c>
      <c r="Y659" s="11" t="str">
        <f>IF(X659="","",IFERROR(INDEX($AN$11:$AN$4010,MATCH(649,$AY$11:$AY$4010,0)),""))</f>
        <v/>
      </c>
      <c r="Z659" s="11" t="str">
        <f>IF(X659="","",IFERROR(INDEX($AO$11:$AO$4010,MATCH(649,$AY$11:$AY$4010,0)),""))</f>
        <v/>
      </c>
      <c r="AA659" s="10" t="str">
        <f>IF(X659="","",IFERROR(INDEX($AQ$11:$AQ$4010,MATCH(649,$AY$11:$AY$4010,0)),""))</f>
        <v/>
      </c>
      <c r="AB659" s="15" t="str">
        <f>IF(X659="","",IFERROR(INDEX($AR$11:$AR$4010,MATCH(649,$AY$11:$AY$4010,0)),""))</f>
        <v/>
      </c>
      <c r="AD659" s="16" t="str">
        <f>IF(AE659="","",IFERROR(INDEX($AL$11:$AL$4010,MATCH(649,$AZ$11:$AZ$4010,0)),""))</f>
        <v/>
      </c>
      <c r="AE659" s="12" t="str">
        <f>IFERROR(INDEX($AM$11:$AM$4010,MATCH(649,$AZ$11:$AZ$4010,0)),"")</f>
        <v/>
      </c>
      <c r="AF659" s="11" t="str">
        <f>IF(AE659="","",IFERROR(INDEX($AN$11:$AN$4010,MATCH(649,$AZ$11:$AZ$4010,0)),""))</f>
        <v/>
      </c>
      <c r="AG659" s="11" t="str">
        <f>IF(AE659="","",IFERROR(INDEX($AO$11:$AO$4010,MATCH(649,$AZ$11:$AZ$4010,0)),""))</f>
        <v/>
      </c>
      <c r="AH659" s="10" t="str">
        <f>IF(AE659="","",IFERROR(INDEX($AQ$11:$AQ$4010,MATCH(649,$AZ$11:$AZ$4010,0)),""))</f>
        <v/>
      </c>
      <c r="AI659" s="15" t="str">
        <f>IF(AE659="","",IFERROR(INDEX($AR$11:$AR$4010,MATCH(649,$AZ$11:$AZ$4010,0)),""))</f>
        <v/>
      </c>
      <c r="AJ659" s="15" t="str">
        <f>IF(AE659="","",IFERROR(INDEX($AT$11:$AT$4010,MATCH(649,$AZ$11:$AZ$4010,0)),""))</f>
        <v/>
      </c>
      <c r="AL659" s="17"/>
      <c r="AM659" s="12"/>
      <c r="AN659" s="18"/>
      <c r="AO659" s="18"/>
      <c r="AP659" s="10"/>
      <c r="AQ659" s="10"/>
      <c r="AR659" s="19"/>
      <c r="AS659" s="20"/>
      <c r="AT659" s="19"/>
      <c r="AV659" s="21">
        <f>IF(AND($AL659&lt;&gt;"",COUNTIF($AL$11:$AL659,$AL659)=1),1,0)</f>
        <v>0</v>
      </c>
      <c r="AW659" s="21">
        <f t="shared" si="107"/>
        <v>0</v>
      </c>
      <c r="AX659" s="21" t="str">
        <f t="shared" si="106"/>
        <v/>
      </c>
      <c r="AY659" s="21" t="str">
        <f>IF(AND($AM659&lt;&gt;"",$AS659&lt;&gt;"✓"),SUMPRODUCT(($AM$11:$AM659&lt;&gt;"")*($AS$11:$AS659&lt;&gt;"✓")),"")</f>
        <v/>
      </c>
      <c r="AZ659" s="21" t="str">
        <f>IF(AND($AM659&lt;&gt;"",$AS659="✓"),SUMPRODUCT(($AM$11:$AM659&lt;&gt;"")*($AS$11:$AS659="✓")),"")</f>
        <v/>
      </c>
      <c r="BA659" s="21" t="str">
        <f>IF($AL659="","",$AL659&amp;"|"&amp;COUNTIF($AL$11:$AL659,$AL659))</f>
        <v/>
      </c>
    </row>
    <row r="660" spans="23:53" ht="15" customHeight="1" x14ac:dyDescent="0.25">
      <c r="W660" s="28" t="str">
        <f>IF(X660="","",IFERROR(INDEX($AL$11:$AL$4010,MATCH(650,$AY$11:$AY$4010,0)),""))</f>
        <v/>
      </c>
      <c r="X660" s="26" t="str">
        <f>IFERROR(INDEX($AM$11:$AM$4010,MATCH(650,$AY$11:$AY$4010,0)),"")</f>
        <v/>
      </c>
      <c r="Y660" s="25" t="str">
        <f>IF(X660="","",IFERROR(INDEX($AN$11:$AN$4010,MATCH(650,$AY$11:$AY$4010,0)),""))</f>
        <v/>
      </c>
      <c r="Z660" s="25" t="str">
        <f>IF(X660="","",IFERROR(INDEX($AO$11:$AO$4010,MATCH(650,$AY$11:$AY$4010,0)),""))</f>
        <v/>
      </c>
      <c r="AA660" s="24" t="str">
        <f>IF(X660="","",IFERROR(INDEX($AQ$11:$AQ$4010,MATCH(650,$AY$11:$AY$4010,0)),""))</f>
        <v/>
      </c>
      <c r="AB660" s="29" t="str">
        <f>IF(X660="","",IFERROR(INDEX($AR$11:$AR$4010,MATCH(650,$AY$11:$AY$4010,0)),""))</f>
        <v/>
      </c>
      <c r="AD660" s="30" t="str">
        <f>IF(AE660="","",IFERROR(INDEX($AL$11:$AL$4010,MATCH(650,$AZ$11:$AZ$4010,0)),""))</f>
        <v/>
      </c>
      <c r="AE660" s="26" t="str">
        <f>IFERROR(INDEX($AM$11:$AM$4010,MATCH(650,$AZ$11:$AZ$4010,0)),"")</f>
        <v/>
      </c>
      <c r="AF660" s="25" t="str">
        <f>IF(AE660="","",IFERROR(INDEX($AN$11:$AN$4010,MATCH(650,$AZ$11:$AZ$4010,0)),""))</f>
        <v/>
      </c>
      <c r="AG660" s="25" t="str">
        <f>IF(AE660="","",IFERROR(INDEX($AO$11:$AO$4010,MATCH(650,$AZ$11:$AZ$4010,0)),""))</f>
        <v/>
      </c>
      <c r="AH660" s="24" t="str">
        <f>IF(AE660="","",IFERROR(INDEX($AQ$11:$AQ$4010,MATCH(650,$AZ$11:$AZ$4010,0)),""))</f>
        <v/>
      </c>
      <c r="AI660" s="29" t="str">
        <f>IF(AE660="","",IFERROR(INDEX($AR$11:$AR$4010,MATCH(650,$AZ$11:$AZ$4010,0)),""))</f>
        <v/>
      </c>
      <c r="AJ660" s="29" t="str">
        <f>IF(AE660="","",IFERROR(INDEX($AT$11:$AT$4010,MATCH(650,$AZ$11:$AZ$4010,0)),""))</f>
        <v/>
      </c>
      <c r="AL660" s="31"/>
      <c r="AM660" s="26"/>
      <c r="AN660" s="32"/>
      <c r="AO660" s="32"/>
      <c r="AP660" s="24"/>
      <c r="AQ660" s="24"/>
      <c r="AR660" s="33"/>
      <c r="AS660" s="34"/>
      <c r="AT660" s="33"/>
      <c r="AV660" s="21">
        <f>IF(AND($AL660&lt;&gt;"",COUNTIF($AL$11:$AL660,$AL660)=1),1,0)</f>
        <v>0</v>
      </c>
      <c r="AW660" s="21">
        <f t="shared" si="107"/>
        <v>0</v>
      </c>
      <c r="AX660" s="21" t="str">
        <f t="shared" si="106"/>
        <v/>
      </c>
      <c r="AY660" s="21" t="str">
        <f>IF(AND($AM660&lt;&gt;"",$AS660&lt;&gt;"✓"),SUMPRODUCT(($AM$11:$AM660&lt;&gt;"")*($AS$11:$AS660&lt;&gt;"✓")),"")</f>
        <v/>
      </c>
      <c r="AZ660" s="21" t="str">
        <f>IF(AND($AM660&lt;&gt;"",$AS660="✓"),SUMPRODUCT(($AM$11:$AM660&lt;&gt;"")*($AS$11:$AS660="✓")),"")</f>
        <v/>
      </c>
      <c r="BA660" s="21" t="str">
        <f>IF($AL660="","",$AL660&amp;"|"&amp;COUNTIF($AL$11:$AL660,$AL660))</f>
        <v/>
      </c>
    </row>
    <row r="661" spans="23:53" ht="15" customHeight="1" x14ac:dyDescent="0.25">
      <c r="W661" s="14" t="str">
        <f>IF(X661="","",IFERROR(INDEX($AL$11:$AL$4010,MATCH(651,$AY$11:$AY$4010,0)),""))</f>
        <v/>
      </c>
      <c r="X661" s="12" t="str">
        <f>IFERROR(INDEX($AM$11:$AM$4010,MATCH(651,$AY$11:$AY$4010,0)),"")</f>
        <v/>
      </c>
      <c r="Y661" s="11" t="str">
        <f>IF(X661="","",IFERROR(INDEX($AN$11:$AN$4010,MATCH(651,$AY$11:$AY$4010,0)),""))</f>
        <v/>
      </c>
      <c r="Z661" s="11" t="str">
        <f>IF(X661="","",IFERROR(INDEX($AO$11:$AO$4010,MATCH(651,$AY$11:$AY$4010,0)),""))</f>
        <v/>
      </c>
      <c r="AA661" s="10" t="str">
        <f>IF(X661="","",IFERROR(INDEX($AQ$11:$AQ$4010,MATCH(651,$AY$11:$AY$4010,0)),""))</f>
        <v/>
      </c>
      <c r="AB661" s="15" t="str">
        <f>IF(X661="","",IFERROR(INDEX($AR$11:$AR$4010,MATCH(651,$AY$11:$AY$4010,0)),""))</f>
        <v/>
      </c>
      <c r="AD661" s="16" t="str">
        <f>IF(AE661="","",IFERROR(INDEX($AL$11:$AL$4010,MATCH(651,$AZ$11:$AZ$4010,0)),""))</f>
        <v/>
      </c>
      <c r="AE661" s="12" t="str">
        <f>IFERROR(INDEX($AM$11:$AM$4010,MATCH(651,$AZ$11:$AZ$4010,0)),"")</f>
        <v/>
      </c>
      <c r="AF661" s="11" t="str">
        <f>IF(AE661="","",IFERROR(INDEX($AN$11:$AN$4010,MATCH(651,$AZ$11:$AZ$4010,0)),""))</f>
        <v/>
      </c>
      <c r="AG661" s="11" t="str">
        <f>IF(AE661="","",IFERROR(INDEX($AO$11:$AO$4010,MATCH(651,$AZ$11:$AZ$4010,0)),""))</f>
        <v/>
      </c>
      <c r="AH661" s="10" t="str">
        <f>IF(AE661="","",IFERROR(INDEX($AQ$11:$AQ$4010,MATCH(651,$AZ$11:$AZ$4010,0)),""))</f>
        <v/>
      </c>
      <c r="AI661" s="15" t="str">
        <f>IF(AE661="","",IFERROR(INDEX($AR$11:$AR$4010,MATCH(651,$AZ$11:$AZ$4010,0)),""))</f>
        <v/>
      </c>
      <c r="AJ661" s="15" t="str">
        <f>IF(AE661="","",IFERROR(INDEX($AT$11:$AT$4010,MATCH(651,$AZ$11:$AZ$4010,0)),""))</f>
        <v/>
      </c>
      <c r="AL661" s="17"/>
      <c r="AM661" s="12"/>
      <c r="AN661" s="18"/>
      <c r="AO661" s="18"/>
      <c r="AP661" s="10"/>
      <c r="AQ661" s="10"/>
      <c r="AR661" s="19"/>
      <c r="AS661" s="20"/>
      <c r="AT661" s="19"/>
      <c r="AV661" s="21">
        <f>IF(AND($AL661&lt;&gt;"",COUNTIF($AL$11:$AL661,$AL661)=1),1,0)</f>
        <v>0</v>
      </c>
      <c r="AW661" s="21">
        <f t="shared" si="107"/>
        <v>0</v>
      </c>
      <c r="AX661" s="21" t="str">
        <f t="shared" si="106"/>
        <v/>
      </c>
      <c r="AY661" s="21" t="str">
        <f>IF(AND($AM661&lt;&gt;"",$AS661&lt;&gt;"✓"),SUMPRODUCT(($AM$11:$AM661&lt;&gt;"")*($AS$11:$AS661&lt;&gt;"✓")),"")</f>
        <v/>
      </c>
      <c r="AZ661" s="21" t="str">
        <f>IF(AND($AM661&lt;&gt;"",$AS661="✓"),SUMPRODUCT(($AM$11:$AM661&lt;&gt;"")*($AS$11:$AS661="✓")),"")</f>
        <v/>
      </c>
      <c r="BA661" s="21" t="str">
        <f>IF($AL661="","",$AL661&amp;"|"&amp;COUNTIF($AL$11:$AL661,$AL661))</f>
        <v/>
      </c>
    </row>
    <row r="662" spans="23:53" ht="15" customHeight="1" x14ac:dyDescent="0.25">
      <c r="W662" s="28" t="str">
        <f>IF(X662="","",IFERROR(INDEX($AL$11:$AL$4010,MATCH(652,$AY$11:$AY$4010,0)),""))</f>
        <v/>
      </c>
      <c r="X662" s="26" t="str">
        <f>IFERROR(INDEX($AM$11:$AM$4010,MATCH(652,$AY$11:$AY$4010,0)),"")</f>
        <v/>
      </c>
      <c r="Y662" s="25" t="str">
        <f>IF(X662="","",IFERROR(INDEX($AN$11:$AN$4010,MATCH(652,$AY$11:$AY$4010,0)),""))</f>
        <v/>
      </c>
      <c r="Z662" s="25" t="str">
        <f>IF(X662="","",IFERROR(INDEX($AO$11:$AO$4010,MATCH(652,$AY$11:$AY$4010,0)),""))</f>
        <v/>
      </c>
      <c r="AA662" s="24" t="str">
        <f>IF(X662="","",IFERROR(INDEX($AQ$11:$AQ$4010,MATCH(652,$AY$11:$AY$4010,0)),""))</f>
        <v/>
      </c>
      <c r="AB662" s="29" t="str">
        <f>IF(X662="","",IFERROR(INDEX($AR$11:$AR$4010,MATCH(652,$AY$11:$AY$4010,0)),""))</f>
        <v/>
      </c>
      <c r="AD662" s="30" t="str">
        <f>IF(AE662="","",IFERROR(INDEX($AL$11:$AL$4010,MATCH(652,$AZ$11:$AZ$4010,0)),""))</f>
        <v/>
      </c>
      <c r="AE662" s="26" t="str">
        <f>IFERROR(INDEX($AM$11:$AM$4010,MATCH(652,$AZ$11:$AZ$4010,0)),"")</f>
        <v/>
      </c>
      <c r="AF662" s="25" t="str">
        <f>IF(AE662="","",IFERROR(INDEX($AN$11:$AN$4010,MATCH(652,$AZ$11:$AZ$4010,0)),""))</f>
        <v/>
      </c>
      <c r="AG662" s="25" t="str">
        <f>IF(AE662="","",IFERROR(INDEX($AO$11:$AO$4010,MATCH(652,$AZ$11:$AZ$4010,0)),""))</f>
        <v/>
      </c>
      <c r="AH662" s="24" t="str">
        <f>IF(AE662="","",IFERROR(INDEX($AQ$11:$AQ$4010,MATCH(652,$AZ$11:$AZ$4010,0)),""))</f>
        <v/>
      </c>
      <c r="AI662" s="29" t="str">
        <f>IF(AE662="","",IFERROR(INDEX($AR$11:$AR$4010,MATCH(652,$AZ$11:$AZ$4010,0)),""))</f>
        <v/>
      </c>
      <c r="AJ662" s="29" t="str">
        <f>IF(AE662="","",IFERROR(INDEX($AT$11:$AT$4010,MATCH(652,$AZ$11:$AZ$4010,0)),""))</f>
        <v/>
      </c>
      <c r="AL662" s="31"/>
      <c r="AM662" s="26"/>
      <c r="AN662" s="32"/>
      <c r="AO662" s="32"/>
      <c r="AP662" s="24"/>
      <c r="AQ662" s="24"/>
      <c r="AR662" s="33"/>
      <c r="AS662" s="34"/>
      <c r="AT662" s="33"/>
      <c r="AV662" s="21">
        <f>IF(AND($AL662&lt;&gt;"",COUNTIF($AL$11:$AL662,$AL662)=1),1,0)</f>
        <v>0</v>
      </c>
      <c r="AW662" s="21">
        <f t="shared" si="107"/>
        <v>0</v>
      </c>
      <c r="AX662" s="21" t="str">
        <f t="shared" si="106"/>
        <v/>
      </c>
      <c r="AY662" s="21" t="str">
        <f>IF(AND($AM662&lt;&gt;"",$AS662&lt;&gt;"✓"),SUMPRODUCT(($AM$11:$AM662&lt;&gt;"")*($AS$11:$AS662&lt;&gt;"✓")),"")</f>
        <v/>
      </c>
      <c r="AZ662" s="21" t="str">
        <f>IF(AND($AM662&lt;&gt;"",$AS662="✓"),SUMPRODUCT(($AM$11:$AM662&lt;&gt;"")*($AS$11:$AS662="✓")),"")</f>
        <v/>
      </c>
      <c r="BA662" s="21" t="str">
        <f>IF($AL662="","",$AL662&amp;"|"&amp;COUNTIF($AL$11:$AL662,$AL662))</f>
        <v/>
      </c>
    </row>
    <row r="663" spans="23:53" ht="15" customHeight="1" x14ac:dyDescent="0.25">
      <c r="W663" s="14" t="str">
        <f>IF(X663="","",IFERROR(INDEX($AL$11:$AL$4010,MATCH(653,$AY$11:$AY$4010,0)),""))</f>
        <v/>
      </c>
      <c r="X663" s="12" t="str">
        <f>IFERROR(INDEX($AM$11:$AM$4010,MATCH(653,$AY$11:$AY$4010,0)),"")</f>
        <v/>
      </c>
      <c r="Y663" s="11" t="str">
        <f>IF(X663="","",IFERROR(INDEX($AN$11:$AN$4010,MATCH(653,$AY$11:$AY$4010,0)),""))</f>
        <v/>
      </c>
      <c r="Z663" s="11" t="str">
        <f>IF(X663="","",IFERROR(INDEX($AO$11:$AO$4010,MATCH(653,$AY$11:$AY$4010,0)),""))</f>
        <v/>
      </c>
      <c r="AA663" s="10" t="str">
        <f>IF(X663="","",IFERROR(INDEX($AQ$11:$AQ$4010,MATCH(653,$AY$11:$AY$4010,0)),""))</f>
        <v/>
      </c>
      <c r="AB663" s="15" t="str">
        <f>IF(X663="","",IFERROR(INDEX($AR$11:$AR$4010,MATCH(653,$AY$11:$AY$4010,0)),""))</f>
        <v/>
      </c>
      <c r="AD663" s="16" t="str">
        <f>IF(AE663="","",IFERROR(INDEX($AL$11:$AL$4010,MATCH(653,$AZ$11:$AZ$4010,0)),""))</f>
        <v/>
      </c>
      <c r="AE663" s="12" t="str">
        <f>IFERROR(INDEX($AM$11:$AM$4010,MATCH(653,$AZ$11:$AZ$4010,0)),"")</f>
        <v/>
      </c>
      <c r="AF663" s="11" t="str">
        <f>IF(AE663="","",IFERROR(INDEX($AN$11:$AN$4010,MATCH(653,$AZ$11:$AZ$4010,0)),""))</f>
        <v/>
      </c>
      <c r="AG663" s="11" t="str">
        <f>IF(AE663="","",IFERROR(INDEX($AO$11:$AO$4010,MATCH(653,$AZ$11:$AZ$4010,0)),""))</f>
        <v/>
      </c>
      <c r="AH663" s="10" t="str">
        <f>IF(AE663="","",IFERROR(INDEX($AQ$11:$AQ$4010,MATCH(653,$AZ$11:$AZ$4010,0)),""))</f>
        <v/>
      </c>
      <c r="AI663" s="15" t="str">
        <f>IF(AE663="","",IFERROR(INDEX($AR$11:$AR$4010,MATCH(653,$AZ$11:$AZ$4010,0)),""))</f>
        <v/>
      </c>
      <c r="AJ663" s="15" t="str">
        <f>IF(AE663="","",IFERROR(INDEX($AT$11:$AT$4010,MATCH(653,$AZ$11:$AZ$4010,0)),""))</f>
        <v/>
      </c>
      <c r="AL663" s="17"/>
      <c r="AM663" s="12"/>
      <c r="AN663" s="18"/>
      <c r="AO663" s="18"/>
      <c r="AP663" s="10"/>
      <c r="AQ663" s="10"/>
      <c r="AR663" s="19"/>
      <c r="AS663" s="20"/>
      <c r="AT663" s="19"/>
      <c r="AV663" s="21">
        <f>IF(AND($AL663&lt;&gt;"",COUNTIF($AL$11:$AL663,$AL663)=1),1,0)</f>
        <v>0</v>
      </c>
      <c r="AW663" s="21">
        <f t="shared" si="107"/>
        <v>0</v>
      </c>
      <c r="AX663" s="21" t="str">
        <f t="shared" si="106"/>
        <v/>
      </c>
      <c r="AY663" s="21" t="str">
        <f>IF(AND($AM663&lt;&gt;"",$AS663&lt;&gt;"✓"),SUMPRODUCT(($AM$11:$AM663&lt;&gt;"")*($AS$11:$AS663&lt;&gt;"✓")),"")</f>
        <v/>
      </c>
      <c r="AZ663" s="21" t="str">
        <f>IF(AND($AM663&lt;&gt;"",$AS663="✓"),SUMPRODUCT(($AM$11:$AM663&lt;&gt;"")*($AS$11:$AS663="✓")),"")</f>
        <v/>
      </c>
      <c r="BA663" s="21" t="str">
        <f>IF($AL663="","",$AL663&amp;"|"&amp;COUNTIF($AL$11:$AL663,$AL663))</f>
        <v/>
      </c>
    </row>
    <row r="664" spans="23:53" ht="15" customHeight="1" x14ac:dyDescent="0.25">
      <c r="W664" s="28" t="str">
        <f>IF(X664="","",IFERROR(INDEX($AL$11:$AL$4010,MATCH(654,$AY$11:$AY$4010,0)),""))</f>
        <v/>
      </c>
      <c r="X664" s="26" t="str">
        <f>IFERROR(INDEX($AM$11:$AM$4010,MATCH(654,$AY$11:$AY$4010,0)),"")</f>
        <v/>
      </c>
      <c r="Y664" s="25" t="str">
        <f>IF(X664="","",IFERROR(INDEX($AN$11:$AN$4010,MATCH(654,$AY$11:$AY$4010,0)),""))</f>
        <v/>
      </c>
      <c r="Z664" s="25" t="str">
        <f>IF(X664="","",IFERROR(INDEX($AO$11:$AO$4010,MATCH(654,$AY$11:$AY$4010,0)),""))</f>
        <v/>
      </c>
      <c r="AA664" s="24" t="str">
        <f>IF(X664="","",IFERROR(INDEX($AQ$11:$AQ$4010,MATCH(654,$AY$11:$AY$4010,0)),""))</f>
        <v/>
      </c>
      <c r="AB664" s="29" t="str">
        <f>IF(X664="","",IFERROR(INDEX($AR$11:$AR$4010,MATCH(654,$AY$11:$AY$4010,0)),""))</f>
        <v/>
      </c>
      <c r="AD664" s="30" t="str">
        <f>IF(AE664="","",IFERROR(INDEX($AL$11:$AL$4010,MATCH(654,$AZ$11:$AZ$4010,0)),""))</f>
        <v/>
      </c>
      <c r="AE664" s="26" t="str">
        <f>IFERROR(INDEX($AM$11:$AM$4010,MATCH(654,$AZ$11:$AZ$4010,0)),"")</f>
        <v/>
      </c>
      <c r="AF664" s="25" t="str">
        <f>IF(AE664="","",IFERROR(INDEX($AN$11:$AN$4010,MATCH(654,$AZ$11:$AZ$4010,0)),""))</f>
        <v/>
      </c>
      <c r="AG664" s="25" t="str">
        <f>IF(AE664="","",IFERROR(INDEX($AO$11:$AO$4010,MATCH(654,$AZ$11:$AZ$4010,0)),""))</f>
        <v/>
      </c>
      <c r="AH664" s="24" t="str">
        <f>IF(AE664="","",IFERROR(INDEX($AQ$11:$AQ$4010,MATCH(654,$AZ$11:$AZ$4010,0)),""))</f>
        <v/>
      </c>
      <c r="AI664" s="29" t="str">
        <f>IF(AE664="","",IFERROR(INDEX($AR$11:$AR$4010,MATCH(654,$AZ$11:$AZ$4010,0)),""))</f>
        <v/>
      </c>
      <c r="AJ664" s="29" t="str">
        <f>IF(AE664="","",IFERROR(INDEX($AT$11:$AT$4010,MATCH(654,$AZ$11:$AZ$4010,0)),""))</f>
        <v/>
      </c>
      <c r="AL664" s="31"/>
      <c r="AM664" s="26"/>
      <c r="AN664" s="32"/>
      <c r="AO664" s="32"/>
      <c r="AP664" s="24"/>
      <c r="AQ664" s="24"/>
      <c r="AR664" s="33"/>
      <c r="AS664" s="34"/>
      <c r="AT664" s="33"/>
      <c r="AV664" s="21">
        <f>IF(AND($AL664&lt;&gt;"",COUNTIF($AL$11:$AL664,$AL664)=1),1,0)</f>
        <v>0</v>
      </c>
      <c r="AW664" s="21">
        <f t="shared" si="107"/>
        <v>0</v>
      </c>
      <c r="AX664" s="21" t="str">
        <f t="shared" si="106"/>
        <v/>
      </c>
      <c r="AY664" s="21" t="str">
        <f>IF(AND($AM664&lt;&gt;"",$AS664&lt;&gt;"✓"),SUMPRODUCT(($AM$11:$AM664&lt;&gt;"")*($AS$11:$AS664&lt;&gt;"✓")),"")</f>
        <v/>
      </c>
      <c r="AZ664" s="21" t="str">
        <f>IF(AND($AM664&lt;&gt;"",$AS664="✓"),SUMPRODUCT(($AM$11:$AM664&lt;&gt;"")*($AS$11:$AS664="✓")),"")</f>
        <v/>
      </c>
      <c r="BA664" s="21" t="str">
        <f>IF($AL664="","",$AL664&amp;"|"&amp;COUNTIF($AL$11:$AL664,$AL664))</f>
        <v/>
      </c>
    </row>
    <row r="665" spans="23:53" ht="15" customHeight="1" x14ac:dyDescent="0.25">
      <c r="W665" s="14" t="str">
        <f>IF(X665="","",IFERROR(INDEX($AL$11:$AL$4010,MATCH(655,$AY$11:$AY$4010,0)),""))</f>
        <v/>
      </c>
      <c r="X665" s="12" t="str">
        <f>IFERROR(INDEX($AM$11:$AM$4010,MATCH(655,$AY$11:$AY$4010,0)),"")</f>
        <v/>
      </c>
      <c r="Y665" s="11" t="str">
        <f>IF(X665="","",IFERROR(INDEX($AN$11:$AN$4010,MATCH(655,$AY$11:$AY$4010,0)),""))</f>
        <v/>
      </c>
      <c r="Z665" s="11" t="str">
        <f>IF(X665="","",IFERROR(INDEX($AO$11:$AO$4010,MATCH(655,$AY$11:$AY$4010,0)),""))</f>
        <v/>
      </c>
      <c r="AA665" s="10" t="str">
        <f>IF(X665="","",IFERROR(INDEX($AQ$11:$AQ$4010,MATCH(655,$AY$11:$AY$4010,0)),""))</f>
        <v/>
      </c>
      <c r="AB665" s="15" t="str">
        <f>IF(X665="","",IFERROR(INDEX($AR$11:$AR$4010,MATCH(655,$AY$11:$AY$4010,0)),""))</f>
        <v/>
      </c>
      <c r="AD665" s="16" t="str">
        <f>IF(AE665="","",IFERROR(INDEX($AL$11:$AL$4010,MATCH(655,$AZ$11:$AZ$4010,0)),""))</f>
        <v/>
      </c>
      <c r="AE665" s="12" t="str">
        <f>IFERROR(INDEX($AM$11:$AM$4010,MATCH(655,$AZ$11:$AZ$4010,0)),"")</f>
        <v/>
      </c>
      <c r="AF665" s="11" t="str">
        <f>IF(AE665="","",IFERROR(INDEX($AN$11:$AN$4010,MATCH(655,$AZ$11:$AZ$4010,0)),""))</f>
        <v/>
      </c>
      <c r="AG665" s="11" t="str">
        <f>IF(AE665="","",IFERROR(INDEX($AO$11:$AO$4010,MATCH(655,$AZ$11:$AZ$4010,0)),""))</f>
        <v/>
      </c>
      <c r="AH665" s="10" t="str">
        <f>IF(AE665="","",IFERROR(INDEX($AQ$11:$AQ$4010,MATCH(655,$AZ$11:$AZ$4010,0)),""))</f>
        <v/>
      </c>
      <c r="AI665" s="15" t="str">
        <f>IF(AE665="","",IFERROR(INDEX($AR$11:$AR$4010,MATCH(655,$AZ$11:$AZ$4010,0)),""))</f>
        <v/>
      </c>
      <c r="AJ665" s="15" t="str">
        <f>IF(AE665="","",IFERROR(INDEX($AT$11:$AT$4010,MATCH(655,$AZ$11:$AZ$4010,0)),""))</f>
        <v/>
      </c>
      <c r="AL665" s="17"/>
      <c r="AM665" s="12"/>
      <c r="AN665" s="18"/>
      <c r="AO665" s="18"/>
      <c r="AP665" s="10"/>
      <c r="AQ665" s="10"/>
      <c r="AR665" s="19"/>
      <c r="AS665" s="20"/>
      <c r="AT665" s="19"/>
      <c r="AV665" s="21">
        <f>IF(AND($AL665&lt;&gt;"",COUNTIF($AL$11:$AL665,$AL665)=1),1,0)</f>
        <v>0</v>
      </c>
      <c r="AW665" s="21">
        <f t="shared" si="107"/>
        <v>0</v>
      </c>
      <c r="AX665" s="21" t="str">
        <f t="shared" si="106"/>
        <v/>
      </c>
      <c r="AY665" s="21" t="str">
        <f>IF(AND($AM665&lt;&gt;"",$AS665&lt;&gt;"✓"),SUMPRODUCT(($AM$11:$AM665&lt;&gt;"")*($AS$11:$AS665&lt;&gt;"✓")),"")</f>
        <v/>
      </c>
      <c r="AZ665" s="21" t="str">
        <f>IF(AND($AM665&lt;&gt;"",$AS665="✓"),SUMPRODUCT(($AM$11:$AM665&lt;&gt;"")*($AS$11:$AS665="✓")),"")</f>
        <v/>
      </c>
      <c r="BA665" s="21" t="str">
        <f>IF($AL665="","",$AL665&amp;"|"&amp;COUNTIF($AL$11:$AL665,$AL665))</f>
        <v/>
      </c>
    </row>
    <row r="666" spans="23:53" ht="15" customHeight="1" x14ac:dyDescent="0.25">
      <c r="W666" s="28" t="str">
        <f>IF(X666="","",IFERROR(INDEX($AL$11:$AL$4010,MATCH(656,$AY$11:$AY$4010,0)),""))</f>
        <v/>
      </c>
      <c r="X666" s="26" t="str">
        <f>IFERROR(INDEX($AM$11:$AM$4010,MATCH(656,$AY$11:$AY$4010,0)),"")</f>
        <v/>
      </c>
      <c r="Y666" s="25" t="str">
        <f>IF(X666="","",IFERROR(INDEX($AN$11:$AN$4010,MATCH(656,$AY$11:$AY$4010,0)),""))</f>
        <v/>
      </c>
      <c r="Z666" s="25" t="str">
        <f>IF(X666="","",IFERROR(INDEX($AO$11:$AO$4010,MATCH(656,$AY$11:$AY$4010,0)),""))</f>
        <v/>
      </c>
      <c r="AA666" s="24" t="str">
        <f>IF(X666="","",IFERROR(INDEX($AQ$11:$AQ$4010,MATCH(656,$AY$11:$AY$4010,0)),""))</f>
        <v/>
      </c>
      <c r="AB666" s="29" t="str">
        <f>IF(X666="","",IFERROR(INDEX($AR$11:$AR$4010,MATCH(656,$AY$11:$AY$4010,0)),""))</f>
        <v/>
      </c>
      <c r="AD666" s="30" t="str">
        <f>IF(AE666="","",IFERROR(INDEX($AL$11:$AL$4010,MATCH(656,$AZ$11:$AZ$4010,0)),""))</f>
        <v/>
      </c>
      <c r="AE666" s="26" t="str">
        <f>IFERROR(INDEX($AM$11:$AM$4010,MATCH(656,$AZ$11:$AZ$4010,0)),"")</f>
        <v/>
      </c>
      <c r="AF666" s="25" t="str">
        <f>IF(AE666="","",IFERROR(INDEX($AN$11:$AN$4010,MATCH(656,$AZ$11:$AZ$4010,0)),""))</f>
        <v/>
      </c>
      <c r="AG666" s="25" t="str">
        <f>IF(AE666="","",IFERROR(INDEX($AO$11:$AO$4010,MATCH(656,$AZ$11:$AZ$4010,0)),""))</f>
        <v/>
      </c>
      <c r="AH666" s="24" t="str">
        <f>IF(AE666="","",IFERROR(INDEX($AQ$11:$AQ$4010,MATCH(656,$AZ$11:$AZ$4010,0)),""))</f>
        <v/>
      </c>
      <c r="AI666" s="29" t="str">
        <f>IF(AE666="","",IFERROR(INDEX($AR$11:$AR$4010,MATCH(656,$AZ$11:$AZ$4010,0)),""))</f>
        <v/>
      </c>
      <c r="AJ666" s="29" t="str">
        <f>IF(AE666="","",IFERROR(INDEX($AT$11:$AT$4010,MATCH(656,$AZ$11:$AZ$4010,0)),""))</f>
        <v/>
      </c>
      <c r="AL666" s="31"/>
      <c r="AM666" s="26"/>
      <c r="AN666" s="32"/>
      <c r="AO666" s="32"/>
      <c r="AP666" s="24"/>
      <c r="AQ666" s="24"/>
      <c r="AR666" s="33"/>
      <c r="AS666" s="34"/>
      <c r="AT666" s="33"/>
      <c r="AV666" s="21">
        <f>IF(AND($AL666&lt;&gt;"",COUNTIF($AL$11:$AL666,$AL666)=1),1,0)</f>
        <v>0</v>
      </c>
      <c r="AW666" s="21">
        <f t="shared" si="107"/>
        <v>0</v>
      </c>
      <c r="AX666" s="21" t="str">
        <f t="shared" si="106"/>
        <v/>
      </c>
      <c r="AY666" s="21" t="str">
        <f>IF(AND($AM666&lt;&gt;"",$AS666&lt;&gt;"✓"),SUMPRODUCT(($AM$11:$AM666&lt;&gt;"")*($AS$11:$AS666&lt;&gt;"✓")),"")</f>
        <v/>
      </c>
      <c r="AZ666" s="21" t="str">
        <f>IF(AND($AM666&lt;&gt;"",$AS666="✓"),SUMPRODUCT(($AM$11:$AM666&lt;&gt;"")*($AS$11:$AS666="✓")),"")</f>
        <v/>
      </c>
      <c r="BA666" s="21" t="str">
        <f>IF($AL666="","",$AL666&amp;"|"&amp;COUNTIF($AL$11:$AL666,$AL666))</f>
        <v/>
      </c>
    </row>
    <row r="667" spans="23:53" ht="15" customHeight="1" x14ac:dyDescent="0.25">
      <c r="W667" s="14" t="str">
        <f>IF(X667="","",IFERROR(INDEX($AL$11:$AL$4010,MATCH(657,$AY$11:$AY$4010,0)),""))</f>
        <v/>
      </c>
      <c r="X667" s="12" t="str">
        <f>IFERROR(INDEX($AM$11:$AM$4010,MATCH(657,$AY$11:$AY$4010,0)),"")</f>
        <v/>
      </c>
      <c r="Y667" s="11" t="str">
        <f>IF(X667="","",IFERROR(INDEX($AN$11:$AN$4010,MATCH(657,$AY$11:$AY$4010,0)),""))</f>
        <v/>
      </c>
      <c r="Z667" s="11" t="str">
        <f>IF(X667="","",IFERROR(INDEX($AO$11:$AO$4010,MATCH(657,$AY$11:$AY$4010,0)),""))</f>
        <v/>
      </c>
      <c r="AA667" s="10" t="str">
        <f>IF(X667="","",IFERROR(INDEX($AQ$11:$AQ$4010,MATCH(657,$AY$11:$AY$4010,0)),""))</f>
        <v/>
      </c>
      <c r="AB667" s="15" t="str">
        <f>IF(X667="","",IFERROR(INDEX($AR$11:$AR$4010,MATCH(657,$AY$11:$AY$4010,0)),""))</f>
        <v/>
      </c>
      <c r="AD667" s="16" t="str">
        <f>IF(AE667="","",IFERROR(INDEX($AL$11:$AL$4010,MATCH(657,$AZ$11:$AZ$4010,0)),""))</f>
        <v/>
      </c>
      <c r="AE667" s="12" t="str">
        <f>IFERROR(INDEX($AM$11:$AM$4010,MATCH(657,$AZ$11:$AZ$4010,0)),"")</f>
        <v/>
      </c>
      <c r="AF667" s="11" t="str">
        <f>IF(AE667="","",IFERROR(INDEX($AN$11:$AN$4010,MATCH(657,$AZ$11:$AZ$4010,0)),""))</f>
        <v/>
      </c>
      <c r="AG667" s="11" t="str">
        <f>IF(AE667="","",IFERROR(INDEX($AO$11:$AO$4010,MATCH(657,$AZ$11:$AZ$4010,0)),""))</f>
        <v/>
      </c>
      <c r="AH667" s="10" t="str">
        <f>IF(AE667="","",IFERROR(INDEX($AQ$11:$AQ$4010,MATCH(657,$AZ$11:$AZ$4010,0)),""))</f>
        <v/>
      </c>
      <c r="AI667" s="15" t="str">
        <f>IF(AE667="","",IFERROR(INDEX($AR$11:$AR$4010,MATCH(657,$AZ$11:$AZ$4010,0)),""))</f>
        <v/>
      </c>
      <c r="AJ667" s="15" t="str">
        <f>IF(AE667="","",IFERROR(INDEX($AT$11:$AT$4010,MATCH(657,$AZ$11:$AZ$4010,0)),""))</f>
        <v/>
      </c>
      <c r="AL667" s="17"/>
      <c r="AM667" s="12"/>
      <c r="AN667" s="18"/>
      <c r="AO667" s="18"/>
      <c r="AP667" s="10"/>
      <c r="AQ667" s="10"/>
      <c r="AR667" s="19"/>
      <c r="AS667" s="20"/>
      <c r="AT667" s="19"/>
      <c r="AV667" s="21">
        <f>IF(AND($AL667&lt;&gt;"",COUNTIF($AL$11:$AL667,$AL667)=1),1,0)</f>
        <v>0</v>
      </c>
      <c r="AW667" s="21">
        <f t="shared" si="107"/>
        <v>0</v>
      </c>
      <c r="AX667" s="21" t="str">
        <f t="shared" si="106"/>
        <v/>
      </c>
      <c r="AY667" s="21" t="str">
        <f>IF(AND($AM667&lt;&gt;"",$AS667&lt;&gt;"✓"),SUMPRODUCT(($AM$11:$AM667&lt;&gt;"")*($AS$11:$AS667&lt;&gt;"✓")),"")</f>
        <v/>
      </c>
      <c r="AZ667" s="21" t="str">
        <f>IF(AND($AM667&lt;&gt;"",$AS667="✓"),SUMPRODUCT(($AM$11:$AM667&lt;&gt;"")*($AS$11:$AS667="✓")),"")</f>
        <v/>
      </c>
      <c r="BA667" s="21" t="str">
        <f>IF($AL667="","",$AL667&amp;"|"&amp;COUNTIF($AL$11:$AL667,$AL667))</f>
        <v/>
      </c>
    </row>
    <row r="668" spans="23:53" ht="15" customHeight="1" x14ac:dyDescent="0.25">
      <c r="W668" s="28" t="str">
        <f>IF(X668="","",IFERROR(INDEX($AL$11:$AL$4010,MATCH(658,$AY$11:$AY$4010,0)),""))</f>
        <v/>
      </c>
      <c r="X668" s="26" t="str">
        <f>IFERROR(INDEX($AM$11:$AM$4010,MATCH(658,$AY$11:$AY$4010,0)),"")</f>
        <v/>
      </c>
      <c r="Y668" s="25" t="str">
        <f>IF(X668="","",IFERROR(INDEX($AN$11:$AN$4010,MATCH(658,$AY$11:$AY$4010,0)),""))</f>
        <v/>
      </c>
      <c r="Z668" s="25" t="str">
        <f>IF(X668="","",IFERROR(INDEX($AO$11:$AO$4010,MATCH(658,$AY$11:$AY$4010,0)),""))</f>
        <v/>
      </c>
      <c r="AA668" s="24" t="str">
        <f>IF(X668="","",IFERROR(INDEX($AQ$11:$AQ$4010,MATCH(658,$AY$11:$AY$4010,0)),""))</f>
        <v/>
      </c>
      <c r="AB668" s="29" t="str">
        <f>IF(X668="","",IFERROR(INDEX($AR$11:$AR$4010,MATCH(658,$AY$11:$AY$4010,0)),""))</f>
        <v/>
      </c>
      <c r="AD668" s="30" t="str">
        <f>IF(AE668="","",IFERROR(INDEX($AL$11:$AL$4010,MATCH(658,$AZ$11:$AZ$4010,0)),""))</f>
        <v/>
      </c>
      <c r="AE668" s="26" t="str">
        <f>IFERROR(INDEX($AM$11:$AM$4010,MATCH(658,$AZ$11:$AZ$4010,0)),"")</f>
        <v/>
      </c>
      <c r="AF668" s="25" t="str">
        <f>IF(AE668="","",IFERROR(INDEX($AN$11:$AN$4010,MATCH(658,$AZ$11:$AZ$4010,0)),""))</f>
        <v/>
      </c>
      <c r="AG668" s="25" t="str">
        <f>IF(AE668="","",IFERROR(INDEX($AO$11:$AO$4010,MATCH(658,$AZ$11:$AZ$4010,0)),""))</f>
        <v/>
      </c>
      <c r="AH668" s="24" t="str">
        <f>IF(AE668="","",IFERROR(INDEX($AQ$11:$AQ$4010,MATCH(658,$AZ$11:$AZ$4010,0)),""))</f>
        <v/>
      </c>
      <c r="AI668" s="29" t="str">
        <f>IF(AE668="","",IFERROR(INDEX($AR$11:$AR$4010,MATCH(658,$AZ$11:$AZ$4010,0)),""))</f>
        <v/>
      </c>
      <c r="AJ668" s="29" t="str">
        <f>IF(AE668="","",IFERROR(INDEX($AT$11:$AT$4010,MATCH(658,$AZ$11:$AZ$4010,0)),""))</f>
        <v/>
      </c>
      <c r="AL668" s="31"/>
      <c r="AM668" s="26"/>
      <c r="AN668" s="32"/>
      <c r="AO668" s="32"/>
      <c r="AP668" s="24"/>
      <c r="AQ668" s="24"/>
      <c r="AR668" s="33"/>
      <c r="AS668" s="34"/>
      <c r="AT668" s="33"/>
      <c r="AV668" s="21">
        <f>IF(AND($AL668&lt;&gt;"",COUNTIF($AL$11:$AL668,$AL668)=1),1,0)</f>
        <v>0</v>
      </c>
      <c r="AW668" s="21">
        <f t="shared" si="107"/>
        <v>0</v>
      </c>
      <c r="AX668" s="21" t="str">
        <f t="shared" si="106"/>
        <v/>
      </c>
      <c r="AY668" s="21" t="str">
        <f>IF(AND($AM668&lt;&gt;"",$AS668&lt;&gt;"✓"),SUMPRODUCT(($AM$11:$AM668&lt;&gt;"")*($AS$11:$AS668&lt;&gt;"✓")),"")</f>
        <v/>
      </c>
      <c r="AZ668" s="21" t="str">
        <f>IF(AND($AM668&lt;&gt;"",$AS668="✓"),SUMPRODUCT(($AM$11:$AM668&lt;&gt;"")*($AS$11:$AS668="✓")),"")</f>
        <v/>
      </c>
      <c r="BA668" s="21" t="str">
        <f>IF($AL668="","",$AL668&amp;"|"&amp;COUNTIF($AL$11:$AL668,$AL668))</f>
        <v/>
      </c>
    </row>
    <row r="669" spans="23:53" ht="15" customHeight="1" x14ac:dyDescent="0.25">
      <c r="W669" s="14" t="str">
        <f>IF(X669="","",IFERROR(INDEX($AL$11:$AL$4010,MATCH(659,$AY$11:$AY$4010,0)),""))</f>
        <v/>
      </c>
      <c r="X669" s="12" t="str">
        <f>IFERROR(INDEX($AM$11:$AM$4010,MATCH(659,$AY$11:$AY$4010,0)),"")</f>
        <v/>
      </c>
      <c r="Y669" s="11" t="str">
        <f>IF(X669="","",IFERROR(INDEX($AN$11:$AN$4010,MATCH(659,$AY$11:$AY$4010,0)),""))</f>
        <v/>
      </c>
      <c r="Z669" s="11" t="str">
        <f>IF(X669="","",IFERROR(INDEX($AO$11:$AO$4010,MATCH(659,$AY$11:$AY$4010,0)),""))</f>
        <v/>
      </c>
      <c r="AA669" s="10" t="str">
        <f>IF(X669="","",IFERROR(INDEX($AQ$11:$AQ$4010,MATCH(659,$AY$11:$AY$4010,0)),""))</f>
        <v/>
      </c>
      <c r="AB669" s="15" t="str">
        <f>IF(X669="","",IFERROR(INDEX($AR$11:$AR$4010,MATCH(659,$AY$11:$AY$4010,0)),""))</f>
        <v/>
      </c>
      <c r="AD669" s="16" t="str">
        <f>IF(AE669="","",IFERROR(INDEX($AL$11:$AL$4010,MATCH(659,$AZ$11:$AZ$4010,0)),""))</f>
        <v/>
      </c>
      <c r="AE669" s="12" t="str">
        <f>IFERROR(INDEX($AM$11:$AM$4010,MATCH(659,$AZ$11:$AZ$4010,0)),"")</f>
        <v/>
      </c>
      <c r="AF669" s="11" t="str">
        <f>IF(AE669="","",IFERROR(INDEX($AN$11:$AN$4010,MATCH(659,$AZ$11:$AZ$4010,0)),""))</f>
        <v/>
      </c>
      <c r="AG669" s="11" t="str">
        <f>IF(AE669="","",IFERROR(INDEX($AO$11:$AO$4010,MATCH(659,$AZ$11:$AZ$4010,0)),""))</f>
        <v/>
      </c>
      <c r="AH669" s="10" t="str">
        <f>IF(AE669="","",IFERROR(INDEX($AQ$11:$AQ$4010,MATCH(659,$AZ$11:$AZ$4010,0)),""))</f>
        <v/>
      </c>
      <c r="AI669" s="15" t="str">
        <f>IF(AE669="","",IFERROR(INDEX($AR$11:$AR$4010,MATCH(659,$AZ$11:$AZ$4010,0)),""))</f>
        <v/>
      </c>
      <c r="AJ669" s="15" t="str">
        <f>IF(AE669="","",IFERROR(INDEX($AT$11:$AT$4010,MATCH(659,$AZ$11:$AZ$4010,0)),""))</f>
        <v/>
      </c>
      <c r="AL669" s="17"/>
      <c r="AM669" s="12"/>
      <c r="AN669" s="18"/>
      <c r="AO669" s="18"/>
      <c r="AP669" s="10"/>
      <c r="AQ669" s="10"/>
      <c r="AR669" s="19"/>
      <c r="AS669" s="20"/>
      <c r="AT669" s="19"/>
      <c r="AV669" s="21">
        <f>IF(AND($AL669&lt;&gt;"",COUNTIF($AL$11:$AL669,$AL669)=1),1,0)</f>
        <v>0</v>
      </c>
      <c r="AW669" s="21">
        <f t="shared" si="107"/>
        <v>0</v>
      </c>
      <c r="AX669" s="21" t="str">
        <f t="shared" si="106"/>
        <v/>
      </c>
      <c r="AY669" s="21" t="str">
        <f>IF(AND($AM669&lt;&gt;"",$AS669&lt;&gt;"✓"),SUMPRODUCT(($AM$11:$AM669&lt;&gt;"")*($AS$11:$AS669&lt;&gt;"✓")),"")</f>
        <v/>
      </c>
      <c r="AZ669" s="21" t="str">
        <f>IF(AND($AM669&lt;&gt;"",$AS669="✓"),SUMPRODUCT(($AM$11:$AM669&lt;&gt;"")*($AS$11:$AS669="✓")),"")</f>
        <v/>
      </c>
      <c r="BA669" s="21" t="str">
        <f>IF($AL669="","",$AL669&amp;"|"&amp;COUNTIF($AL$11:$AL669,$AL669))</f>
        <v/>
      </c>
    </row>
    <row r="670" spans="23:53" ht="15" customHeight="1" x14ac:dyDescent="0.25">
      <c r="W670" s="28" t="str">
        <f>IF(X670="","",IFERROR(INDEX($AL$11:$AL$4010,MATCH(660,$AY$11:$AY$4010,0)),""))</f>
        <v/>
      </c>
      <c r="X670" s="26" t="str">
        <f>IFERROR(INDEX($AM$11:$AM$4010,MATCH(660,$AY$11:$AY$4010,0)),"")</f>
        <v/>
      </c>
      <c r="Y670" s="25" t="str">
        <f>IF(X670="","",IFERROR(INDEX($AN$11:$AN$4010,MATCH(660,$AY$11:$AY$4010,0)),""))</f>
        <v/>
      </c>
      <c r="Z670" s="25" t="str">
        <f>IF(X670="","",IFERROR(INDEX($AO$11:$AO$4010,MATCH(660,$AY$11:$AY$4010,0)),""))</f>
        <v/>
      </c>
      <c r="AA670" s="24" t="str">
        <f>IF(X670="","",IFERROR(INDEX($AQ$11:$AQ$4010,MATCH(660,$AY$11:$AY$4010,0)),""))</f>
        <v/>
      </c>
      <c r="AB670" s="29" t="str">
        <f>IF(X670="","",IFERROR(INDEX($AR$11:$AR$4010,MATCH(660,$AY$11:$AY$4010,0)),""))</f>
        <v/>
      </c>
      <c r="AD670" s="30" t="str">
        <f>IF(AE670="","",IFERROR(INDEX($AL$11:$AL$4010,MATCH(660,$AZ$11:$AZ$4010,0)),""))</f>
        <v/>
      </c>
      <c r="AE670" s="26" t="str">
        <f>IFERROR(INDEX($AM$11:$AM$4010,MATCH(660,$AZ$11:$AZ$4010,0)),"")</f>
        <v/>
      </c>
      <c r="AF670" s="25" t="str">
        <f>IF(AE670="","",IFERROR(INDEX($AN$11:$AN$4010,MATCH(660,$AZ$11:$AZ$4010,0)),""))</f>
        <v/>
      </c>
      <c r="AG670" s="25" t="str">
        <f>IF(AE670="","",IFERROR(INDEX($AO$11:$AO$4010,MATCH(660,$AZ$11:$AZ$4010,0)),""))</f>
        <v/>
      </c>
      <c r="AH670" s="24" t="str">
        <f>IF(AE670="","",IFERROR(INDEX($AQ$11:$AQ$4010,MATCH(660,$AZ$11:$AZ$4010,0)),""))</f>
        <v/>
      </c>
      <c r="AI670" s="29" t="str">
        <f>IF(AE670="","",IFERROR(INDEX($AR$11:$AR$4010,MATCH(660,$AZ$11:$AZ$4010,0)),""))</f>
        <v/>
      </c>
      <c r="AJ670" s="29" t="str">
        <f>IF(AE670="","",IFERROR(INDEX($AT$11:$AT$4010,MATCH(660,$AZ$11:$AZ$4010,0)),""))</f>
        <v/>
      </c>
      <c r="AL670" s="31"/>
      <c r="AM670" s="26"/>
      <c r="AN670" s="32"/>
      <c r="AO670" s="32"/>
      <c r="AP670" s="24"/>
      <c r="AQ670" s="24"/>
      <c r="AR670" s="33"/>
      <c r="AS670" s="34"/>
      <c r="AT670" s="33"/>
      <c r="AV670" s="21">
        <f>IF(AND($AL670&lt;&gt;"",COUNTIF($AL$11:$AL670,$AL670)=1),1,0)</f>
        <v>0</v>
      </c>
      <c r="AW670" s="21">
        <f t="shared" si="107"/>
        <v>0</v>
      </c>
      <c r="AX670" s="21" t="str">
        <f t="shared" si="106"/>
        <v/>
      </c>
      <c r="AY670" s="21" t="str">
        <f>IF(AND($AM670&lt;&gt;"",$AS670&lt;&gt;"✓"),SUMPRODUCT(($AM$11:$AM670&lt;&gt;"")*($AS$11:$AS670&lt;&gt;"✓")),"")</f>
        <v/>
      </c>
      <c r="AZ670" s="21" t="str">
        <f>IF(AND($AM670&lt;&gt;"",$AS670="✓"),SUMPRODUCT(($AM$11:$AM670&lt;&gt;"")*($AS$11:$AS670="✓")),"")</f>
        <v/>
      </c>
      <c r="BA670" s="21" t="str">
        <f>IF($AL670="","",$AL670&amp;"|"&amp;COUNTIF($AL$11:$AL670,$AL670))</f>
        <v/>
      </c>
    </row>
    <row r="671" spans="23:53" ht="15" customHeight="1" x14ac:dyDescent="0.25">
      <c r="W671" s="14" t="str">
        <f>IF(X671="","",IFERROR(INDEX($AL$11:$AL$4010,MATCH(661,$AY$11:$AY$4010,0)),""))</f>
        <v/>
      </c>
      <c r="X671" s="12" t="str">
        <f>IFERROR(INDEX($AM$11:$AM$4010,MATCH(661,$AY$11:$AY$4010,0)),"")</f>
        <v/>
      </c>
      <c r="Y671" s="11" t="str">
        <f>IF(X671="","",IFERROR(INDEX($AN$11:$AN$4010,MATCH(661,$AY$11:$AY$4010,0)),""))</f>
        <v/>
      </c>
      <c r="Z671" s="11" t="str">
        <f>IF(X671="","",IFERROR(INDEX($AO$11:$AO$4010,MATCH(661,$AY$11:$AY$4010,0)),""))</f>
        <v/>
      </c>
      <c r="AA671" s="10" t="str">
        <f>IF(X671="","",IFERROR(INDEX($AQ$11:$AQ$4010,MATCH(661,$AY$11:$AY$4010,0)),""))</f>
        <v/>
      </c>
      <c r="AB671" s="15" t="str">
        <f>IF(X671="","",IFERROR(INDEX($AR$11:$AR$4010,MATCH(661,$AY$11:$AY$4010,0)),""))</f>
        <v/>
      </c>
      <c r="AD671" s="16" t="str">
        <f>IF(AE671="","",IFERROR(INDEX($AL$11:$AL$4010,MATCH(661,$AZ$11:$AZ$4010,0)),""))</f>
        <v/>
      </c>
      <c r="AE671" s="12" t="str">
        <f>IFERROR(INDEX($AM$11:$AM$4010,MATCH(661,$AZ$11:$AZ$4010,0)),"")</f>
        <v/>
      </c>
      <c r="AF671" s="11" t="str">
        <f>IF(AE671="","",IFERROR(INDEX($AN$11:$AN$4010,MATCH(661,$AZ$11:$AZ$4010,0)),""))</f>
        <v/>
      </c>
      <c r="AG671" s="11" t="str">
        <f>IF(AE671="","",IFERROR(INDEX($AO$11:$AO$4010,MATCH(661,$AZ$11:$AZ$4010,0)),""))</f>
        <v/>
      </c>
      <c r="AH671" s="10" t="str">
        <f>IF(AE671="","",IFERROR(INDEX($AQ$11:$AQ$4010,MATCH(661,$AZ$11:$AZ$4010,0)),""))</f>
        <v/>
      </c>
      <c r="AI671" s="15" t="str">
        <f>IF(AE671="","",IFERROR(INDEX($AR$11:$AR$4010,MATCH(661,$AZ$11:$AZ$4010,0)),""))</f>
        <v/>
      </c>
      <c r="AJ671" s="15" t="str">
        <f>IF(AE671="","",IFERROR(INDEX($AT$11:$AT$4010,MATCH(661,$AZ$11:$AZ$4010,0)),""))</f>
        <v/>
      </c>
      <c r="AL671" s="17"/>
      <c r="AM671" s="12"/>
      <c r="AN671" s="18"/>
      <c r="AO671" s="18"/>
      <c r="AP671" s="10"/>
      <c r="AQ671" s="10"/>
      <c r="AR671" s="19"/>
      <c r="AS671" s="20"/>
      <c r="AT671" s="19"/>
      <c r="AV671" s="21">
        <f>IF(AND($AL671&lt;&gt;"",COUNTIF($AL$11:$AL671,$AL671)=1),1,0)</f>
        <v>0</v>
      </c>
      <c r="AW671" s="21">
        <f t="shared" si="107"/>
        <v>0</v>
      </c>
      <c r="AX671" s="21" t="str">
        <f t="shared" si="106"/>
        <v/>
      </c>
      <c r="AY671" s="21" t="str">
        <f>IF(AND($AM671&lt;&gt;"",$AS671&lt;&gt;"✓"),SUMPRODUCT(($AM$11:$AM671&lt;&gt;"")*($AS$11:$AS671&lt;&gt;"✓")),"")</f>
        <v/>
      </c>
      <c r="AZ671" s="21" t="str">
        <f>IF(AND($AM671&lt;&gt;"",$AS671="✓"),SUMPRODUCT(($AM$11:$AM671&lt;&gt;"")*($AS$11:$AS671="✓")),"")</f>
        <v/>
      </c>
      <c r="BA671" s="21" t="str">
        <f>IF($AL671="","",$AL671&amp;"|"&amp;COUNTIF($AL$11:$AL671,$AL671))</f>
        <v/>
      </c>
    </row>
    <row r="672" spans="23:53" ht="15" customHeight="1" x14ac:dyDescent="0.25">
      <c r="W672" s="28" t="str">
        <f>IF(X672="","",IFERROR(INDEX($AL$11:$AL$4010,MATCH(662,$AY$11:$AY$4010,0)),""))</f>
        <v/>
      </c>
      <c r="X672" s="26" t="str">
        <f>IFERROR(INDEX($AM$11:$AM$4010,MATCH(662,$AY$11:$AY$4010,0)),"")</f>
        <v/>
      </c>
      <c r="Y672" s="25" t="str">
        <f>IF(X672="","",IFERROR(INDEX($AN$11:$AN$4010,MATCH(662,$AY$11:$AY$4010,0)),""))</f>
        <v/>
      </c>
      <c r="Z672" s="25" t="str">
        <f>IF(X672="","",IFERROR(INDEX($AO$11:$AO$4010,MATCH(662,$AY$11:$AY$4010,0)),""))</f>
        <v/>
      </c>
      <c r="AA672" s="24" t="str">
        <f>IF(X672="","",IFERROR(INDEX($AQ$11:$AQ$4010,MATCH(662,$AY$11:$AY$4010,0)),""))</f>
        <v/>
      </c>
      <c r="AB672" s="29" t="str">
        <f>IF(X672="","",IFERROR(INDEX($AR$11:$AR$4010,MATCH(662,$AY$11:$AY$4010,0)),""))</f>
        <v/>
      </c>
      <c r="AD672" s="30" t="str">
        <f>IF(AE672="","",IFERROR(INDEX($AL$11:$AL$4010,MATCH(662,$AZ$11:$AZ$4010,0)),""))</f>
        <v/>
      </c>
      <c r="AE672" s="26" t="str">
        <f>IFERROR(INDEX($AM$11:$AM$4010,MATCH(662,$AZ$11:$AZ$4010,0)),"")</f>
        <v/>
      </c>
      <c r="AF672" s="25" t="str">
        <f>IF(AE672="","",IFERROR(INDEX($AN$11:$AN$4010,MATCH(662,$AZ$11:$AZ$4010,0)),""))</f>
        <v/>
      </c>
      <c r="AG672" s="25" t="str">
        <f>IF(AE672="","",IFERROR(INDEX($AO$11:$AO$4010,MATCH(662,$AZ$11:$AZ$4010,0)),""))</f>
        <v/>
      </c>
      <c r="AH672" s="24" t="str">
        <f>IF(AE672="","",IFERROR(INDEX($AQ$11:$AQ$4010,MATCH(662,$AZ$11:$AZ$4010,0)),""))</f>
        <v/>
      </c>
      <c r="AI672" s="29" t="str">
        <f>IF(AE672="","",IFERROR(INDEX($AR$11:$AR$4010,MATCH(662,$AZ$11:$AZ$4010,0)),""))</f>
        <v/>
      </c>
      <c r="AJ672" s="29" t="str">
        <f>IF(AE672="","",IFERROR(INDEX($AT$11:$AT$4010,MATCH(662,$AZ$11:$AZ$4010,0)),""))</f>
        <v/>
      </c>
      <c r="AL672" s="31"/>
      <c r="AM672" s="26"/>
      <c r="AN672" s="32"/>
      <c r="AO672" s="32"/>
      <c r="AP672" s="24"/>
      <c r="AQ672" s="24"/>
      <c r="AR672" s="33"/>
      <c r="AS672" s="34"/>
      <c r="AT672" s="33"/>
      <c r="AV672" s="21">
        <f>IF(AND($AL672&lt;&gt;"",COUNTIF($AL$11:$AL672,$AL672)=1),1,0)</f>
        <v>0</v>
      </c>
      <c r="AW672" s="21">
        <f t="shared" si="107"/>
        <v>0</v>
      </c>
      <c r="AX672" s="21" t="str">
        <f t="shared" si="106"/>
        <v/>
      </c>
      <c r="AY672" s="21" t="str">
        <f>IF(AND($AM672&lt;&gt;"",$AS672&lt;&gt;"✓"),SUMPRODUCT(($AM$11:$AM672&lt;&gt;"")*($AS$11:$AS672&lt;&gt;"✓")),"")</f>
        <v/>
      </c>
      <c r="AZ672" s="21" t="str">
        <f>IF(AND($AM672&lt;&gt;"",$AS672="✓"),SUMPRODUCT(($AM$11:$AM672&lt;&gt;"")*($AS$11:$AS672="✓")),"")</f>
        <v/>
      </c>
      <c r="BA672" s="21" t="str">
        <f>IF($AL672="","",$AL672&amp;"|"&amp;COUNTIF($AL$11:$AL672,$AL672))</f>
        <v/>
      </c>
    </row>
    <row r="673" spans="23:53" ht="15" customHeight="1" x14ac:dyDescent="0.25">
      <c r="W673" s="14" t="str">
        <f>IF(X673="","",IFERROR(INDEX($AL$11:$AL$4010,MATCH(663,$AY$11:$AY$4010,0)),""))</f>
        <v/>
      </c>
      <c r="X673" s="12" t="str">
        <f>IFERROR(INDEX($AM$11:$AM$4010,MATCH(663,$AY$11:$AY$4010,0)),"")</f>
        <v/>
      </c>
      <c r="Y673" s="11" t="str">
        <f>IF(X673="","",IFERROR(INDEX($AN$11:$AN$4010,MATCH(663,$AY$11:$AY$4010,0)),""))</f>
        <v/>
      </c>
      <c r="Z673" s="11" t="str">
        <f>IF(X673="","",IFERROR(INDEX($AO$11:$AO$4010,MATCH(663,$AY$11:$AY$4010,0)),""))</f>
        <v/>
      </c>
      <c r="AA673" s="10" t="str">
        <f>IF(X673="","",IFERROR(INDEX($AQ$11:$AQ$4010,MATCH(663,$AY$11:$AY$4010,0)),""))</f>
        <v/>
      </c>
      <c r="AB673" s="15" t="str">
        <f>IF(X673="","",IFERROR(INDEX($AR$11:$AR$4010,MATCH(663,$AY$11:$AY$4010,0)),""))</f>
        <v/>
      </c>
      <c r="AD673" s="16" t="str">
        <f>IF(AE673="","",IFERROR(INDEX($AL$11:$AL$4010,MATCH(663,$AZ$11:$AZ$4010,0)),""))</f>
        <v/>
      </c>
      <c r="AE673" s="12" t="str">
        <f>IFERROR(INDEX($AM$11:$AM$4010,MATCH(663,$AZ$11:$AZ$4010,0)),"")</f>
        <v/>
      </c>
      <c r="AF673" s="11" t="str">
        <f>IF(AE673="","",IFERROR(INDEX($AN$11:$AN$4010,MATCH(663,$AZ$11:$AZ$4010,0)),""))</f>
        <v/>
      </c>
      <c r="AG673" s="11" t="str">
        <f>IF(AE673="","",IFERROR(INDEX($AO$11:$AO$4010,MATCH(663,$AZ$11:$AZ$4010,0)),""))</f>
        <v/>
      </c>
      <c r="AH673" s="10" t="str">
        <f>IF(AE673="","",IFERROR(INDEX($AQ$11:$AQ$4010,MATCH(663,$AZ$11:$AZ$4010,0)),""))</f>
        <v/>
      </c>
      <c r="AI673" s="15" t="str">
        <f>IF(AE673="","",IFERROR(INDEX($AR$11:$AR$4010,MATCH(663,$AZ$11:$AZ$4010,0)),""))</f>
        <v/>
      </c>
      <c r="AJ673" s="15" t="str">
        <f>IF(AE673="","",IFERROR(INDEX($AT$11:$AT$4010,MATCH(663,$AZ$11:$AZ$4010,0)),""))</f>
        <v/>
      </c>
      <c r="AL673" s="17"/>
      <c r="AM673" s="12"/>
      <c r="AN673" s="18"/>
      <c r="AO673" s="18"/>
      <c r="AP673" s="10"/>
      <c r="AQ673" s="10"/>
      <c r="AR673" s="19"/>
      <c r="AS673" s="20"/>
      <c r="AT673" s="19"/>
      <c r="AV673" s="21">
        <f>IF(AND($AL673&lt;&gt;"",COUNTIF($AL$11:$AL673,$AL673)=1),1,0)</f>
        <v>0</v>
      </c>
      <c r="AW673" s="21">
        <f t="shared" si="107"/>
        <v>0</v>
      </c>
      <c r="AX673" s="21" t="str">
        <f t="shared" si="106"/>
        <v/>
      </c>
      <c r="AY673" s="21" t="str">
        <f>IF(AND($AM673&lt;&gt;"",$AS673&lt;&gt;"✓"),SUMPRODUCT(($AM$11:$AM673&lt;&gt;"")*($AS$11:$AS673&lt;&gt;"✓")),"")</f>
        <v/>
      </c>
      <c r="AZ673" s="21" t="str">
        <f>IF(AND($AM673&lt;&gt;"",$AS673="✓"),SUMPRODUCT(($AM$11:$AM673&lt;&gt;"")*($AS$11:$AS673="✓")),"")</f>
        <v/>
      </c>
      <c r="BA673" s="21" t="str">
        <f>IF($AL673="","",$AL673&amp;"|"&amp;COUNTIF($AL$11:$AL673,$AL673))</f>
        <v/>
      </c>
    </row>
    <row r="674" spans="23:53" ht="15" customHeight="1" x14ac:dyDescent="0.25">
      <c r="W674" s="28" t="str">
        <f>IF(X674="","",IFERROR(INDEX($AL$11:$AL$4010,MATCH(664,$AY$11:$AY$4010,0)),""))</f>
        <v/>
      </c>
      <c r="X674" s="26" t="str">
        <f>IFERROR(INDEX($AM$11:$AM$4010,MATCH(664,$AY$11:$AY$4010,0)),"")</f>
        <v/>
      </c>
      <c r="Y674" s="25" t="str">
        <f>IF(X674="","",IFERROR(INDEX($AN$11:$AN$4010,MATCH(664,$AY$11:$AY$4010,0)),""))</f>
        <v/>
      </c>
      <c r="Z674" s="25" t="str">
        <f>IF(X674="","",IFERROR(INDEX($AO$11:$AO$4010,MATCH(664,$AY$11:$AY$4010,0)),""))</f>
        <v/>
      </c>
      <c r="AA674" s="24" t="str">
        <f>IF(X674="","",IFERROR(INDEX($AQ$11:$AQ$4010,MATCH(664,$AY$11:$AY$4010,0)),""))</f>
        <v/>
      </c>
      <c r="AB674" s="29" t="str">
        <f>IF(X674="","",IFERROR(INDEX($AR$11:$AR$4010,MATCH(664,$AY$11:$AY$4010,0)),""))</f>
        <v/>
      </c>
      <c r="AD674" s="30" t="str">
        <f>IF(AE674="","",IFERROR(INDEX($AL$11:$AL$4010,MATCH(664,$AZ$11:$AZ$4010,0)),""))</f>
        <v/>
      </c>
      <c r="AE674" s="26" t="str">
        <f>IFERROR(INDEX($AM$11:$AM$4010,MATCH(664,$AZ$11:$AZ$4010,0)),"")</f>
        <v/>
      </c>
      <c r="AF674" s="25" t="str">
        <f>IF(AE674="","",IFERROR(INDEX($AN$11:$AN$4010,MATCH(664,$AZ$11:$AZ$4010,0)),""))</f>
        <v/>
      </c>
      <c r="AG674" s="25" t="str">
        <f>IF(AE674="","",IFERROR(INDEX($AO$11:$AO$4010,MATCH(664,$AZ$11:$AZ$4010,0)),""))</f>
        <v/>
      </c>
      <c r="AH674" s="24" t="str">
        <f>IF(AE674="","",IFERROR(INDEX($AQ$11:$AQ$4010,MATCH(664,$AZ$11:$AZ$4010,0)),""))</f>
        <v/>
      </c>
      <c r="AI674" s="29" t="str">
        <f>IF(AE674="","",IFERROR(INDEX($AR$11:$AR$4010,MATCH(664,$AZ$11:$AZ$4010,0)),""))</f>
        <v/>
      </c>
      <c r="AJ674" s="29" t="str">
        <f>IF(AE674="","",IFERROR(INDEX($AT$11:$AT$4010,MATCH(664,$AZ$11:$AZ$4010,0)),""))</f>
        <v/>
      </c>
      <c r="AL674" s="31"/>
      <c r="AM674" s="26"/>
      <c r="AN674" s="32"/>
      <c r="AO674" s="32"/>
      <c r="AP674" s="24"/>
      <c r="AQ674" s="24"/>
      <c r="AR674" s="33"/>
      <c r="AS674" s="34"/>
      <c r="AT674" s="33"/>
      <c r="AV674" s="21">
        <f>IF(AND($AL674&lt;&gt;"",COUNTIF($AL$11:$AL674,$AL674)=1),1,0)</f>
        <v>0</v>
      </c>
      <c r="AW674" s="21">
        <f t="shared" si="107"/>
        <v>0</v>
      </c>
      <c r="AX674" s="21" t="str">
        <f t="shared" si="106"/>
        <v/>
      </c>
      <c r="AY674" s="21" t="str">
        <f>IF(AND($AM674&lt;&gt;"",$AS674&lt;&gt;"✓"),SUMPRODUCT(($AM$11:$AM674&lt;&gt;"")*($AS$11:$AS674&lt;&gt;"✓")),"")</f>
        <v/>
      </c>
      <c r="AZ674" s="21" t="str">
        <f>IF(AND($AM674&lt;&gt;"",$AS674="✓"),SUMPRODUCT(($AM$11:$AM674&lt;&gt;"")*($AS$11:$AS674="✓")),"")</f>
        <v/>
      </c>
      <c r="BA674" s="21" t="str">
        <f>IF($AL674="","",$AL674&amp;"|"&amp;COUNTIF($AL$11:$AL674,$AL674))</f>
        <v/>
      </c>
    </row>
    <row r="675" spans="23:53" ht="15" customHeight="1" x14ac:dyDescent="0.25">
      <c r="W675" s="14" t="str">
        <f>IF(X675="","",IFERROR(INDEX($AL$11:$AL$4010,MATCH(665,$AY$11:$AY$4010,0)),""))</f>
        <v/>
      </c>
      <c r="X675" s="12" t="str">
        <f>IFERROR(INDEX($AM$11:$AM$4010,MATCH(665,$AY$11:$AY$4010,0)),"")</f>
        <v/>
      </c>
      <c r="Y675" s="11" t="str">
        <f>IF(X675="","",IFERROR(INDEX($AN$11:$AN$4010,MATCH(665,$AY$11:$AY$4010,0)),""))</f>
        <v/>
      </c>
      <c r="Z675" s="11" t="str">
        <f>IF(X675="","",IFERROR(INDEX($AO$11:$AO$4010,MATCH(665,$AY$11:$AY$4010,0)),""))</f>
        <v/>
      </c>
      <c r="AA675" s="10" t="str">
        <f>IF(X675="","",IFERROR(INDEX($AQ$11:$AQ$4010,MATCH(665,$AY$11:$AY$4010,0)),""))</f>
        <v/>
      </c>
      <c r="AB675" s="15" t="str">
        <f>IF(X675="","",IFERROR(INDEX($AR$11:$AR$4010,MATCH(665,$AY$11:$AY$4010,0)),""))</f>
        <v/>
      </c>
      <c r="AD675" s="16" t="str">
        <f>IF(AE675="","",IFERROR(INDEX($AL$11:$AL$4010,MATCH(665,$AZ$11:$AZ$4010,0)),""))</f>
        <v/>
      </c>
      <c r="AE675" s="12" t="str">
        <f>IFERROR(INDEX($AM$11:$AM$4010,MATCH(665,$AZ$11:$AZ$4010,0)),"")</f>
        <v/>
      </c>
      <c r="AF675" s="11" t="str">
        <f>IF(AE675="","",IFERROR(INDEX($AN$11:$AN$4010,MATCH(665,$AZ$11:$AZ$4010,0)),""))</f>
        <v/>
      </c>
      <c r="AG675" s="11" t="str">
        <f>IF(AE675="","",IFERROR(INDEX($AO$11:$AO$4010,MATCH(665,$AZ$11:$AZ$4010,0)),""))</f>
        <v/>
      </c>
      <c r="AH675" s="10" t="str">
        <f>IF(AE675="","",IFERROR(INDEX($AQ$11:$AQ$4010,MATCH(665,$AZ$11:$AZ$4010,0)),""))</f>
        <v/>
      </c>
      <c r="AI675" s="15" t="str">
        <f>IF(AE675="","",IFERROR(INDEX($AR$11:$AR$4010,MATCH(665,$AZ$11:$AZ$4010,0)),""))</f>
        <v/>
      </c>
      <c r="AJ675" s="15" t="str">
        <f>IF(AE675="","",IFERROR(INDEX($AT$11:$AT$4010,MATCH(665,$AZ$11:$AZ$4010,0)),""))</f>
        <v/>
      </c>
      <c r="AL675" s="17"/>
      <c r="AM675" s="12"/>
      <c r="AN675" s="18"/>
      <c r="AO675" s="18"/>
      <c r="AP675" s="10"/>
      <c r="AQ675" s="10"/>
      <c r="AR675" s="19"/>
      <c r="AS675" s="20"/>
      <c r="AT675" s="19"/>
      <c r="AV675" s="21">
        <f>IF(AND($AL675&lt;&gt;"",COUNTIF($AL$11:$AL675,$AL675)=1),1,0)</f>
        <v>0</v>
      </c>
      <c r="AW675" s="21">
        <f t="shared" si="107"/>
        <v>0</v>
      </c>
      <c r="AX675" s="21" t="str">
        <f t="shared" si="106"/>
        <v/>
      </c>
      <c r="AY675" s="21" t="str">
        <f>IF(AND($AM675&lt;&gt;"",$AS675&lt;&gt;"✓"),SUMPRODUCT(($AM$11:$AM675&lt;&gt;"")*($AS$11:$AS675&lt;&gt;"✓")),"")</f>
        <v/>
      </c>
      <c r="AZ675" s="21" t="str">
        <f>IF(AND($AM675&lt;&gt;"",$AS675="✓"),SUMPRODUCT(($AM$11:$AM675&lt;&gt;"")*($AS$11:$AS675="✓")),"")</f>
        <v/>
      </c>
      <c r="BA675" s="21" t="str">
        <f>IF($AL675="","",$AL675&amp;"|"&amp;COUNTIF($AL$11:$AL675,$AL675))</f>
        <v/>
      </c>
    </row>
    <row r="676" spans="23:53" ht="15" customHeight="1" x14ac:dyDescent="0.25">
      <c r="W676" s="28" t="str">
        <f>IF(X676="","",IFERROR(INDEX($AL$11:$AL$4010,MATCH(666,$AY$11:$AY$4010,0)),""))</f>
        <v/>
      </c>
      <c r="X676" s="26" t="str">
        <f>IFERROR(INDEX($AM$11:$AM$4010,MATCH(666,$AY$11:$AY$4010,0)),"")</f>
        <v/>
      </c>
      <c r="Y676" s="25" t="str">
        <f>IF(X676="","",IFERROR(INDEX($AN$11:$AN$4010,MATCH(666,$AY$11:$AY$4010,0)),""))</f>
        <v/>
      </c>
      <c r="Z676" s="25" t="str">
        <f>IF(X676="","",IFERROR(INDEX($AO$11:$AO$4010,MATCH(666,$AY$11:$AY$4010,0)),""))</f>
        <v/>
      </c>
      <c r="AA676" s="24" t="str">
        <f>IF(X676="","",IFERROR(INDEX($AQ$11:$AQ$4010,MATCH(666,$AY$11:$AY$4010,0)),""))</f>
        <v/>
      </c>
      <c r="AB676" s="29" t="str">
        <f>IF(X676="","",IFERROR(INDEX($AR$11:$AR$4010,MATCH(666,$AY$11:$AY$4010,0)),""))</f>
        <v/>
      </c>
      <c r="AD676" s="30" t="str">
        <f>IF(AE676="","",IFERROR(INDEX($AL$11:$AL$4010,MATCH(666,$AZ$11:$AZ$4010,0)),""))</f>
        <v/>
      </c>
      <c r="AE676" s="26" t="str">
        <f>IFERROR(INDEX($AM$11:$AM$4010,MATCH(666,$AZ$11:$AZ$4010,0)),"")</f>
        <v/>
      </c>
      <c r="AF676" s="25" t="str">
        <f>IF(AE676="","",IFERROR(INDEX($AN$11:$AN$4010,MATCH(666,$AZ$11:$AZ$4010,0)),""))</f>
        <v/>
      </c>
      <c r="AG676" s="25" t="str">
        <f>IF(AE676="","",IFERROR(INDEX($AO$11:$AO$4010,MATCH(666,$AZ$11:$AZ$4010,0)),""))</f>
        <v/>
      </c>
      <c r="AH676" s="24" t="str">
        <f>IF(AE676="","",IFERROR(INDEX($AQ$11:$AQ$4010,MATCH(666,$AZ$11:$AZ$4010,0)),""))</f>
        <v/>
      </c>
      <c r="AI676" s="29" t="str">
        <f>IF(AE676="","",IFERROR(INDEX($AR$11:$AR$4010,MATCH(666,$AZ$11:$AZ$4010,0)),""))</f>
        <v/>
      </c>
      <c r="AJ676" s="29" t="str">
        <f>IF(AE676="","",IFERROR(INDEX($AT$11:$AT$4010,MATCH(666,$AZ$11:$AZ$4010,0)),""))</f>
        <v/>
      </c>
      <c r="AL676" s="31"/>
      <c r="AM676" s="26"/>
      <c r="AN676" s="32"/>
      <c r="AO676" s="32"/>
      <c r="AP676" s="24"/>
      <c r="AQ676" s="24"/>
      <c r="AR676" s="33"/>
      <c r="AS676" s="34"/>
      <c r="AT676" s="33"/>
      <c r="AV676" s="21">
        <f>IF(AND($AL676&lt;&gt;"",COUNTIF($AL$11:$AL676,$AL676)=1),1,0)</f>
        <v>0</v>
      </c>
      <c r="AW676" s="21">
        <f t="shared" si="107"/>
        <v>0</v>
      </c>
      <c r="AX676" s="21" t="str">
        <f t="shared" si="106"/>
        <v/>
      </c>
      <c r="AY676" s="21" t="str">
        <f>IF(AND($AM676&lt;&gt;"",$AS676&lt;&gt;"✓"),SUMPRODUCT(($AM$11:$AM676&lt;&gt;"")*($AS$11:$AS676&lt;&gt;"✓")),"")</f>
        <v/>
      </c>
      <c r="AZ676" s="21" t="str">
        <f>IF(AND($AM676&lt;&gt;"",$AS676="✓"),SUMPRODUCT(($AM$11:$AM676&lt;&gt;"")*($AS$11:$AS676="✓")),"")</f>
        <v/>
      </c>
      <c r="BA676" s="21" t="str">
        <f>IF($AL676="","",$AL676&amp;"|"&amp;COUNTIF($AL$11:$AL676,$AL676))</f>
        <v/>
      </c>
    </row>
    <row r="677" spans="23:53" ht="15" customHeight="1" x14ac:dyDescent="0.25">
      <c r="W677" s="14" t="str">
        <f>IF(X677="","",IFERROR(INDEX($AL$11:$AL$4010,MATCH(667,$AY$11:$AY$4010,0)),""))</f>
        <v/>
      </c>
      <c r="X677" s="12" t="str">
        <f>IFERROR(INDEX($AM$11:$AM$4010,MATCH(667,$AY$11:$AY$4010,0)),"")</f>
        <v/>
      </c>
      <c r="Y677" s="11" t="str">
        <f>IF(X677="","",IFERROR(INDEX($AN$11:$AN$4010,MATCH(667,$AY$11:$AY$4010,0)),""))</f>
        <v/>
      </c>
      <c r="Z677" s="11" t="str">
        <f>IF(X677="","",IFERROR(INDEX($AO$11:$AO$4010,MATCH(667,$AY$11:$AY$4010,0)),""))</f>
        <v/>
      </c>
      <c r="AA677" s="10" t="str">
        <f>IF(X677="","",IFERROR(INDEX($AQ$11:$AQ$4010,MATCH(667,$AY$11:$AY$4010,0)),""))</f>
        <v/>
      </c>
      <c r="AB677" s="15" t="str">
        <f>IF(X677="","",IFERROR(INDEX($AR$11:$AR$4010,MATCH(667,$AY$11:$AY$4010,0)),""))</f>
        <v/>
      </c>
      <c r="AD677" s="16" t="str">
        <f>IF(AE677="","",IFERROR(INDEX($AL$11:$AL$4010,MATCH(667,$AZ$11:$AZ$4010,0)),""))</f>
        <v/>
      </c>
      <c r="AE677" s="12" t="str">
        <f>IFERROR(INDEX($AM$11:$AM$4010,MATCH(667,$AZ$11:$AZ$4010,0)),"")</f>
        <v/>
      </c>
      <c r="AF677" s="11" t="str">
        <f>IF(AE677="","",IFERROR(INDEX($AN$11:$AN$4010,MATCH(667,$AZ$11:$AZ$4010,0)),""))</f>
        <v/>
      </c>
      <c r="AG677" s="11" t="str">
        <f>IF(AE677="","",IFERROR(INDEX($AO$11:$AO$4010,MATCH(667,$AZ$11:$AZ$4010,0)),""))</f>
        <v/>
      </c>
      <c r="AH677" s="10" t="str">
        <f>IF(AE677="","",IFERROR(INDEX($AQ$11:$AQ$4010,MATCH(667,$AZ$11:$AZ$4010,0)),""))</f>
        <v/>
      </c>
      <c r="AI677" s="15" t="str">
        <f>IF(AE677="","",IFERROR(INDEX($AR$11:$AR$4010,MATCH(667,$AZ$11:$AZ$4010,0)),""))</f>
        <v/>
      </c>
      <c r="AJ677" s="15" t="str">
        <f>IF(AE677="","",IFERROR(INDEX($AT$11:$AT$4010,MATCH(667,$AZ$11:$AZ$4010,0)),""))</f>
        <v/>
      </c>
      <c r="AL677" s="17"/>
      <c r="AM677" s="12"/>
      <c r="AN677" s="18"/>
      <c r="AO677" s="18"/>
      <c r="AP677" s="10"/>
      <c r="AQ677" s="10"/>
      <c r="AR677" s="19"/>
      <c r="AS677" s="20"/>
      <c r="AT677" s="19"/>
      <c r="AV677" s="21">
        <f>IF(AND($AL677&lt;&gt;"",COUNTIF($AL$11:$AL677,$AL677)=1),1,0)</f>
        <v>0</v>
      </c>
      <c r="AW677" s="21">
        <f t="shared" si="107"/>
        <v>0</v>
      </c>
      <c r="AX677" s="21" t="str">
        <f t="shared" si="106"/>
        <v/>
      </c>
      <c r="AY677" s="21" t="str">
        <f>IF(AND($AM677&lt;&gt;"",$AS677&lt;&gt;"✓"),SUMPRODUCT(($AM$11:$AM677&lt;&gt;"")*($AS$11:$AS677&lt;&gt;"✓")),"")</f>
        <v/>
      </c>
      <c r="AZ677" s="21" t="str">
        <f>IF(AND($AM677&lt;&gt;"",$AS677="✓"),SUMPRODUCT(($AM$11:$AM677&lt;&gt;"")*($AS$11:$AS677="✓")),"")</f>
        <v/>
      </c>
      <c r="BA677" s="21" t="str">
        <f>IF($AL677="","",$AL677&amp;"|"&amp;COUNTIF($AL$11:$AL677,$AL677))</f>
        <v/>
      </c>
    </row>
    <row r="678" spans="23:53" ht="15" customHeight="1" x14ac:dyDescent="0.25">
      <c r="W678" s="28" t="str">
        <f>IF(X678="","",IFERROR(INDEX($AL$11:$AL$4010,MATCH(668,$AY$11:$AY$4010,0)),""))</f>
        <v/>
      </c>
      <c r="X678" s="26" t="str">
        <f>IFERROR(INDEX($AM$11:$AM$4010,MATCH(668,$AY$11:$AY$4010,0)),"")</f>
        <v/>
      </c>
      <c r="Y678" s="25" t="str">
        <f>IF(X678="","",IFERROR(INDEX($AN$11:$AN$4010,MATCH(668,$AY$11:$AY$4010,0)),""))</f>
        <v/>
      </c>
      <c r="Z678" s="25" t="str">
        <f>IF(X678="","",IFERROR(INDEX($AO$11:$AO$4010,MATCH(668,$AY$11:$AY$4010,0)),""))</f>
        <v/>
      </c>
      <c r="AA678" s="24" t="str">
        <f>IF(X678="","",IFERROR(INDEX($AQ$11:$AQ$4010,MATCH(668,$AY$11:$AY$4010,0)),""))</f>
        <v/>
      </c>
      <c r="AB678" s="29" t="str">
        <f>IF(X678="","",IFERROR(INDEX($AR$11:$AR$4010,MATCH(668,$AY$11:$AY$4010,0)),""))</f>
        <v/>
      </c>
      <c r="AD678" s="30" t="str">
        <f>IF(AE678="","",IFERROR(INDEX($AL$11:$AL$4010,MATCH(668,$AZ$11:$AZ$4010,0)),""))</f>
        <v/>
      </c>
      <c r="AE678" s="26" t="str">
        <f>IFERROR(INDEX($AM$11:$AM$4010,MATCH(668,$AZ$11:$AZ$4010,0)),"")</f>
        <v/>
      </c>
      <c r="AF678" s="25" t="str">
        <f>IF(AE678="","",IFERROR(INDEX($AN$11:$AN$4010,MATCH(668,$AZ$11:$AZ$4010,0)),""))</f>
        <v/>
      </c>
      <c r="AG678" s="25" t="str">
        <f>IF(AE678="","",IFERROR(INDEX($AO$11:$AO$4010,MATCH(668,$AZ$11:$AZ$4010,0)),""))</f>
        <v/>
      </c>
      <c r="AH678" s="24" t="str">
        <f>IF(AE678="","",IFERROR(INDEX($AQ$11:$AQ$4010,MATCH(668,$AZ$11:$AZ$4010,0)),""))</f>
        <v/>
      </c>
      <c r="AI678" s="29" t="str">
        <f>IF(AE678="","",IFERROR(INDEX($AR$11:$AR$4010,MATCH(668,$AZ$11:$AZ$4010,0)),""))</f>
        <v/>
      </c>
      <c r="AJ678" s="29" t="str">
        <f>IF(AE678="","",IFERROR(INDEX($AT$11:$AT$4010,MATCH(668,$AZ$11:$AZ$4010,0)),""))</f>
        <v/>
      </c>
      <c r="AL678" s="31"/>
      <c r="AM678" s="26"/>
      <c r="AN678" s="32"/>
      <c r="AO678" s="32"/>
      <c r="AP678" s="24"/>
      <c r="AQ678" s="24"/>
      <c r="AR678" s="33"/>
      <c r="AS678" s="34"/>
      <c r="AT678" s="33"/>
      <c r="AV678" s="21">
        <f>IF(AND($AL678&lt;&gt;"",COUNTIF($AL$11:$AL678,$AL678)=1),1,0)</f>
        <v>0</v>
      </c>
      <c r="AW678" s="21">
        <f t="shared" si="107"/>
        <v>0</v>
      </c>
      <c r="AX678" s="21" t="str">
        <f t="shared" si="106"/>
        <v/>
      </c>
      <c r="AY678" s="21" t="str">
        <f>IF(AND($AM678&lt;&gt;"",$AS678&lt;&gt;"✓"),SUMPRODUCT(($AM$11:$AM678&lt;&gt;"")*($AS$11:$AS678&lt;&gt;"✓")),"")</f>
        <v/>
      </c>
      <c r="AZ678" s="21" t="str">
        <f>IF(AND($AM678&lt;&gt;"",$AS678="✓"),SUMPRODUCT(($AM$11:$AM678&lt;&gt;"")*($AS$11:$AS678="✓")),"")</f>
        <v/>
      </c>
      <c r="BA678" s="21" t="str">
        <f>IF($AL678="","",$AL678&amp;"|"&amp;COUNTIF($AL$11:$AL678,$AL678))</f>
        <v/>
      </c>
    </row>
    <row r="679" spans="23:53" ht="15" customHeight="1" x14ac:dyDescent="0.25">
      <c r="W679" s="14" t="str">
        <f>IF(X679="","",IFERROR(INDEX($AL$11:$AL$4010,MATCH(669,$AY$11:$AY$4010,0)),""))</f>
        <v/>
      </c>
      <c r="X679" s="12" t="str">
        <f>IFERROR(INDEX($AM$11:$AM$4010,MATCH(669,$AY$11:$AY$4010,0)),"")</f>
        <v/>
      </c>
      <c r="Y679" s="11" t="str">
        <f>IF(X679="","",IFERROR(INDEX($AN$11:$AN$4010,MATCH(669,$AY$11:$AY$4010,0)),""))</f>
        <v/>
      </c>
      <c r="Z679" s="11" t="str">
        <f>IF(X679="","",IFERROR(INDEX($AO$11:$AO$4010,MATCH(669,$AY$11:$AY$4010,0)),""))</f>
        <v/>
      </c>
      <c r="AA679" s="10" t="str">
        <f>IF(X679="","",IFERROR(INDEX($AQ$11:$AQ$4010,MATCH(669,$AY$11:$AY$4010,0)),""))</f>
        <v/>
      </c>
      <c r="AB679" s="15" t="str">
        <f>IF(X679="","",IFERROR(INDEX($AR$11:$AR$4010,MATCH(669,$AY$11:$AY$4010,0)),""))</f>
        <v/>
      </c>
      <c r="AD679" s="16" t="str">
        <f>IF(AE679="","",IFERROR(INDEX($AL$11:$AL$4010,MATCH(669,$AZ$11:$AZ$4010,0)),""))</f>
        <v/>
      </c>
      <c r="AE679" s="12" t="str">
        <f>IFERROR(INDEX($AM$11:$AM$4010,MATCH(669,$AZ$11:$AZ$4010,0)),"")</f>
        <v/>
      </c>
      <c r="AF679" s="11" t="str">
        <f>IF(AE679="","",IFERROR(INDEX($AN$11:$AN$4010,MATCH(669,$AZ$11:$AZ$4010,0)),""))</f>
        <v/>
      </c>
      <c r="AG679" s="11" t="str">
        <f>IF(AE679="","",IFERROR(INDEX($AO$11:$AO$4010,MATCH(669,$AZ$11:$AZ$4010,0)),""))</f>
        <v/>
      </c>
      <c r="AH679" s="10" t="str">
        <f>IF(AE679="","",IFERROR(INDEX($AQ$11:$AQ$4010,MATCH(669,$AZ$11:$AZ$4010,0)),""))</f>
        <v/>
      </c>
      <c r="AI679" s="15" t="str">
        <f>IF(AE679="","",IFERROR(INDEX($AR$11:$AR$4010,MATCH(669,$AZ$11:$AZ$4010,0)),""))</f>
        <v/>
      </c>
      <c r="AJ679" s="15" t="str">
        <f>IF(AE679="","",IFERROR(INDEX($AT$11:$AT$4010,MATCH(669,$AZ$11:$AZ$4010,0)),""))</f>
        <v/>
      </c>
      <c r="AL679" s="17"/>
      <c r="AM679" s="12"/>
      <c r="AN679" s="18"/>
      <c r="AO679" s="18"/>
      <c r="AP679" s="10"/>
      <c r="AQ679" s="10"/>
      <c r="AR679" s="19"/>
      <c r="AS679" s="20"/>
      <c r="AT679" s="19"/>
      <c r="AV679" s="21">
        <f>IF(AND($AL679&lt;&gt;"",COUNTIF($AL$11:$AL679,$AL679)=1),1,0)</f>
        <v>0</v>
      </c>
      <c r="AW679" s="21">
        <f t="shared" si="107"/>
        <v>0</v>
      </c>
      <c r="AX679" s="21" t="str">
        <f t="shared" si="106"/>
        <v/>
      </c>
      <c r="AY679" s="21" t="str">
        <f>IF(AND($AM679&lt;&gt;"",$AS679&lt;&gt;"✓"),SUMPRODUCT(($AM$11:$AM679&lt;&gt;"")*($AS$11:$AS679&lt;&gt;"✓")),"")</f>
        <v/>
      </c>
      <c r="AZ679" s="21" t="str">
        <f>IF(AND($AM679&lt;&gt;"",$AS679="✓"),SUMPRODUCT(($AM$11:$AM679&lt;&gt;"")*($AS$11:$AS679="✓")),"")</f>
        <v/>
      </c>
      <c r="BA679" s="21" t="str">
        <f>IF($AL679="","",$AL679&amp;"|"&amp;COUNTIF($AL$11:$AL679,$AL679))</f>
        <v/>
      </c>
    </row>
    <row r="680" spans="23:53" ht="15" customHeight="1" x14ac:dyDescent="0.25">
      <c r="W680" s="28" t="str">
        <f>IF(X680="","",IFERROR(INDEX($AL$11:$AL$4010,MATCH(670,$AY$11:$AY$4010,0)),""))</f>
        <v/>
      </c>
      <c r="X680" s="26" t="str">
        <f>IFERROR(INDEX($AM$11:$AM$4010,MATCH(670,$AY$11:$AY$4010,0)),"")</f>
        <v/>
      </c>
      <c r="Y680" s="25" t="str">
        <f>IF(X680="","",IFERROR(INDEX($AN$11:$AN$4010,MATCH(670,$AY$11:$AY$4010,0)),""))</f>
        <v/>
      </c>
      <c r="Z680" s="25" t="str">
        <f>IF(X680="","",IFERROR(INDEX($AO$11:$AO$4010,MATCH(670,$AY$11:$AY$4010,0)),""))</f>
        <v/>
      </c>
      <c r="AA680" s="24" t="str">
        <f>IF(X680="","",IFERROR(INDEX($AQ$11:$AQ$4010,MATCH(670,$AY$11:$AY$4010,0)),""))</f>
        <v/>
      </c>
      <c r="AB680" s="29" t="str">
        <f>IF(X680="","",IFERROR(INDEX($AR$11:$AR$4010,MATCH(670,$AY$11:$AY$4010,0)),""))</f>
        <v/>
      </c>
      <c r="AD680" s="30" t="str">
        <f>IF(AE680="","",IFERROR(INDEX($AL$11:$AL$4010,MATCH(670,$AZ$11:$AZ$4010,0)),""))</f>
        <v/>
      </c>
      <c r="AE680" s="26" t="str">
        <f>IFERROR(INDEX($AM$11:$AM$4010,MATCH(670,$AZ$11:$AZ$4010,0)),"")</f>
        <v/>
      </c>
      <c r="AF680" s="25" t="str">
        <f>IF(AE680="","",IFERROR(INDEX($AN$11:$AN$4010,MATCH(670,$AZ$11:$AZ$4010,0)),""))</f>
        <v/>
      </c>
      <c r="AG680" s="25" t="str">
        <f>IF(AE680="","",IFERROR(INDEX($AO$11:$AO$4010,MATCH(670,$AZ$11:$AZ$4010,0)),""))</f>
        <v/>
      </c>
      <c r="AH680" s="24" t="str">
        <f>IF(AE680="","",IFERROR(INDEX($AQ$11:$AQ$4010,MATCH(670,$AZ$11:$AZ$4010,0)),""))</f>
        <v/>
      </c>
      <c r="AI680" s="29" t="str">
        <f>IF(AE680="","",IFERROR(INDEX($AR$11:$AR$4010,MATCH(670,$AZ$11:$AZ$4010,0)),""))</f>
        <v/>
      </c>
      <c r="AJ680" s="29" t="str">
        <f>IF(AE680="","",IFERROR(INDEX($AT$11:$AT$4010,MATCH(670,$AZ$11:$AZ$4010,0)),""))</f>
        <v/>
      </c>
      <c r="AL680" s="31"/>
      <c r="AM680" s="26"/>
      <c r="AN680" s="32"/>
      <c r="AO680" s="32"/>
      <c r="AP680" s="24"/>
      <c r="AQ680" s="24"/>
      <c r="AR680" s="33"/>
      <c r="AS680" s="34"/>
      <c r="AT680" s="33"/>
      <c r="AV680" s="21">
        <f>IF(AND($AL680&lt;&gt;"",COUNTIF($AL$11:$AL680,$AL680)=1),1,0)</f>
        <v>0</v>
      </c>
      <c r="AW680" s="21">
        <f t="shared" si="107"/>
        <v>0</v>
      </c>
      <c r="AX680" s="21" t="str">
        <f t="shared" si="106"/>
        <v/>
      </c>
      <c r="AY680" s="21" t="str">
        <f>IF(AND($AM680&lt;&gt;"",$AS680&lt;&gt;"✓"),SUMPRODUCT(($AM$11:$AM680&lt;&gt;"")*($AS$11:$AS680&lt;&gt;"✓")),"")</f>
        <v/>
      </c>
      <c r="AZ680" s="21" t="str">
        <f>IF(AND($AM680&lt;&gt;"",$AS680="✓"),SUMPRODUCT(($AM$11:$AM680&lt;&gt;"")*($AS$11:$AS680="✓")),"")</f>
        <v/>
      </c>
      <c r="BA680" s="21" t="str">
        <f>IF($AL680="","",$AL680&amp;"|"&amp;COUNTIF($AL$11:$AL680,$AL680))</f>
        <v/>
      </c>
    </row>
    <row r="681" spans="23:53" ht="15" customHeight="1" x14ac:dyDescent="0.25">
      <c r="W681" s="14" t="str">
        <f>IF(X681="","",IFERROR(INDEX($AL$11:$AL$4010,MATCH(671,$AY$11:$AY$4010,0)),""))</f>
        <v/>
      </c>
      <c r="X681" s="12" t="str">
        <f>IFERROR(INDEX($AM$11:$AM$4010,MATCH(671,$AY$11:$AY$4010,0)),"")</f>
        <v/>
      </c>
      <c r="Y681" s="11" t="str">
        <f>IF(X681="","",IFERROR(INDEX($AN$11:$AN$4010,MATCH(671,$AY$11:$AY$4010,0)),""))</f>
        <v/>
      </c>
      <c r="Z681" s="11" t="str">
        <f>IF(X681="","",IFERROR(INDEX($AO$11:$AO$4010,MATCH(671,$AY$11:$AY$4010,0)),""))</f>
        <v/>
      </c>
      <c r="AA681" s="10" t="str">
        <f>IF(X681="","",IFERROR(INDEX($AQ$11:$AQ$4010,MATCH(671,$AY$11:$AY$4010,0)),""))</f>
        <v/>
      </c>
      <c r="AB681" s="15" t="str">
        <f>IF(X681="","",IFERROR(INDEX($AR$11:$AR$4010,MATCH(671,$AY$11:$AY$4010,0)),""))</f>
        <v/>
      </c>
      <c r="AD681" s="16" t="str">
        <f>IF(AE681="","",IFERROR(INDEX($AL$11:$AL$4010,MATCH(671,$AZ$11:$AZ$4010,0)),""))</f>
        <v/>
      </c>
      <c r="AE681" s="12" t="str">
        <f>IFERROR(INDEX($AM$11:$AM$4010,MATCH(671,$AZ$11:$AZ$4010,0)),"")</f>
        <v/>
      </c>
      <c r="AF681" s="11" t="str">
        <f>IF(AE681="","",IFERROR(INDEX($AN$11:$AN$4010,MATCH(671,$AZ$11:$AZ$4010,0)),""))</f>
        <v/>
      </c>
      <c r="AG681" s="11" t="str">
        <f>IF(AE681="","",IFERROR(INDEX($AO$11:$AO$4010,MATCH(671,$AZ$11:$AZ$4010,0)),""))</f>
        <v/>
      </c>
      <c r="AH681" s="10" t="str">
        <f>IF(AE681="","",IFERROR(INDEX($AQ$11:$AQ$4010,MATCH(671,$AZ$11:$AZ$4010,0)),""))</f>
        <v/>
      </c>
      <c r="AI681" s="15" t="str">
        <f>IF(AE681="","",IFERROR(INDEX($AR$11:$AR$4010,MATCH(671,$AZ$11:$AZ$4010,0)),""))</f>
        <v/>
      </c>
      <c r="AJ681" s="15" t="str">
        <f>IF(AE681="","",IFERROR(INDEX($AT$11:$AT$4010,MATCH(671,$AZ$11:$AZ$4010,0)),""))</f>
        <v/>
      </c>
      <c r="AL681" s="17"/>
      <c r="AM681" s="12"/>
      <c r="AN681" s="18"/>
      <c r="AO681" s="18"/>
      <c r="AP681" s="10"/>
      <c r="AQ681" s="10"/>
      <c r="AR681" s="19"/>
      <c r="AS681" s="20"/>
      <c r="AT681" s="19"/>
      <c r="AV681" s="21">
        <f>IF(AND($AL681&lt;&gt;"",COUNTIF($AL$11:$AL681,$AL681)=1),1,0)</f>
        <v>0</v>
      </c>
      <c r="AW681" s="21">
        <f t="shared" si="107"/>
        <v>0</v>
      </c>
      <c r="AX681" s="21" t="str">
        <f t="shared" si="106"/>
        <v/>
      </c>
      <c r="AY681" s="21" t="str">
        <f>IF(AND($AM681&lt;&gt;"",$AS681&lt;&gt;"✓"),SUMPRODUCT(($AM$11:$AM681&lt;&gt;"")*($AS$11:$AS681&lt;&gt;"✓")),"")</f>
        <v/>
      </c>
      <c r="AZ681" s="21" t="str">
        <f>IF(AND($AM681&lt;&gt;"",$AS681="✓"),SUMPRODUCT(($AM$11:$AM681&lt;&gt;"")*($AS$11:$AS681="✓")),"")</f>
        <v/>
      </c>
      <c r="BA681" s="21" t="str">
        <f>IF($AL681="","",$AL681&amp;"|"&amp;COUNTIF($AL$11:$AL681,$AL681))</f>
        <v/>
      </c>
    </row>
    <row r="682" spans="23:53" ht="15" customHeight="1" x14ac:dyDescent="0.25">
      <c r="W682" s="28" t="str">
        <f>IF(X682="","",IFERROR(INDEX($AL$11:$AL$4010,MATCH(672,$AY$11:$AY$4010,0)),""))</f>
        <v/>
      </c>
      <c r="X682" s="26" t="str">
        <f>IFERROR(INDEX($AM$11:$AM$4010,MATCH(672,$AY$11:$AY$4010,0)),"")</f>
        <v/>
      </c>
      <c r="Y682" s="25" t="str">
        <f>IF(X682="","",IFERROR(INDEX($AN$11:$AN$4010,MATCH(672,$AY$11:$AY$4010,0)),""))</f>
        <v/>
      </c>
      <c r="Z682" s="25" t="str">
        <f>IF(X682="","",IFERROR(INDEX($AO$11:$AO$4010,MATCH(672,$AY$11:$AY$4010,0)),""))</f>
        <v/>
      </c>
      <c r="AA682" s="24" t="str">
        <f>IF(X682="","",IFERROR(INDEX($AQ$11:$AQ$4010,MATCH(672,$AY$11:$AY$4010,0)),""))</f>
        <v/>
      </c>
      <c r="AB682" s="29" t="str">
        <f>IF(X682="","",IFERROR(INDEX($AR$11:$AR$4010,MATCH(672,$AY$11:$AY$4010,0)),""))</f>
        <v/>
      </c>
      <c r="AD682" s="30" t="str">
        <f>IF(AE682="","",IFERROR(INDEX($AL$11:$AL$4010,MATCH(672,$AZ$11:$AZ$4010,0)),""))</f>
        <v/>
      </c>
      <c r="AE682" s="26" t="str">
        <f>IFERROR(INDEX($AM$11:$AM$4010,MATCH(672,$AZ$11:$AZ$4010,0)),"")</f>
        <v/>
      </c>
      <c r="AF682" s="25" t="str">
        <f>IF(AE682="","",IFERROR(INDEX($AN$11:$AN$4010,MATCH(672,$AZ$11:$AZ$4010,0)),""))</f>
        <v/>
      </c>
      <c r="AG682" s="25" t="str">
        <f>IF(AE682="","",IFERROR(INDEX($AO$11:$AO$4010,MATCH(672,$AZ$11:$AZ$4010,0)),""))</f>
        <v/>
      </c>
      <c r="AH682" s="24" t="str">
        <f>IF(AE682="","",IFERROR(INDEX($AQ$11:$AQ$4010,MATCH(672,$AZ$11:$AZ$4010,0)),""))</f>
        <v/>
      </c>
      <c r="AI682" s="29" t="str">
        <f>IF(AE682="","",IFERROR(INDEX($AR$11:$AR$4010,MATCH(672,$AZ$11:$AZ$4010,0)),""))</f>
        <v/>
      </c>
      <c r="AJ682" s="29" t="str">
        <f>IF(AE682="","",IFERROR(INDEX($AT$11:$AT$4010,MATCH(672,$AZ$11:$AZ$4010,0)),""))</f>
        <v/>
      </c>
      <c r="AL682" s="31"/>
      <c r="AM682" s="26"/>
      <c r="AN682" s="32"/>
      <c r="AO682" s="32"/>
      <c r="AP682" s="24"/>
      <c r="AQ682" s="24"/>
      <c r="AR682" s="33"/>
      <c r="AS682" s="34"/>
      <c r="AT682" s="33"/>
      <c r="AV682" s="21">
        <f>IF(AND($AL682&lt;&gt;"",COUNTIF($AL$11:$AL682,$AL682)=1),1,0)</f>
        <v>0</v>
      </c>
      <c r="AW682" s="21">
        <f t="shared" si="107"/>
        <v>0</v>
      </c>
      <c r="AX682" s="21" t="str">
        <f t="shared" si="106"/>
        <v/>
      </c>
      <c r="AY682" s="21" t="str">
        <f>IF(AND($AM682&lt;&gt;"",$AS682&lt;&gt;"✓"),SUMPRODUCT(($AM$11:$AM682&lt;&gt;"")*($AS$11:$AS682&lt;&gt;"✓")),"")</f>
        <v/>
      </c>
      <c r="AZ682" s="21" t="str">
        <f>IF(AND($AM682&lt;&gt;"",$AS682="✓"),SUMPRODUCT(($AM$11:$AM682&lt;&gt;"")*($AS$11:$AS682="✓")),"")</f>
        <v/>
      </c>
      <c r="BA682" s="21" t="str">
        <f>IF($AL682="","",$AL682&amp;"|"&amp;COUNTIF($AL$11:$AL682,$AL682))</f>
        <v/>
      </c>
    </row>
    <row r="683" spans="23:53" ht="15" customHeight="1" x14ac:dyDescent="0.25">
      <c r="W683" s="14" t="str">
        <f>IF(X683="","",IFERROR(INDEX($AL$11:$AL$4010,MATCH(673,$AY$11:$AY$4010,0)),""))</f>
        <v/>
      </c>
      <c r="X683" s="12" t="str">
        <f>IFERROR(INDEX($AM$11:$AM$4010,MATCH(673,$AY$11:$AY$4010,0)),"")</f>
        <v/>
      </c>
      <c r="Y683" s="11" t="str">
        <f>IF(X683="","",IFERROR(INDEX($AN$11:$AN$4010,MATCH(673,$AY$11:$AY$4010,0)),""))</f>
        <v/>
      </c>
      <c r="Z683" s="11" t="str">
        <f>IF(X683="","",IFERROR(INDEX($AO$11:$AO$4010,MATCH(673,$AY$11:$AY$4010,0)),""))</f>
        <v/>
      </c>
      <c r="AA683" s="10" t="str">
        <f>IF(X683="","",IFERROR(INDEX($AQ$11:$AQ$4010,MATCH(673,$AY$11:$AY$4010,0)),""))</f>
        <v/>
      </c>
      <c r="AB683" s="15" t="str">
        <f>IF(X683="","",IFERROR(INDEX($AR$11:$AR$4010,MATCH(673,$AY$11:$AY$4010,0)),""))</f>
        <v/>
      </c>
      <c r="AD683" s="16" t="str">
        <f>IF(AE683="","",IFERROR(INDEX($AL$11:$AL$4010,MATCH(673,$AZ$11:$AZ$4010,0)),""))</f>
        <v/>
      </c>
      <c r="AE683" s="12" t="str">
        <f>IFERROR(INDEX($AM$11:$AM$4010,MATCH(673,$AZ$11:$AZ$4010,0)),"")</f>
        <v/>
      </c>
      <c r="AF683" s="11" t="str">
        <f>IF(AE683="","",IFERROR(INDEX($AN$11:$AN$4010,MATCH(673,$AZ$11:$AZ$4010,0)),""))</f>
        <v/>
      </c>
      <c r="AG683" s="11" t="str">
        <f>IF(AE683="","",IFERROR(INDEX($AO$11:$AO$4010,MATCH(673,$AZ$11:$AZ$4010,0)),""))</f>
        <v/>
      </c>
      <c r="AH683" s="10" t="str">
        <f>IF(AE683="","",IFERROR(INDEX($AQ$11:$AQ$4010,MATCH(673,$AZ$11:$AZ$4010,0)),""))</f>
        <v/>
      </c>
      <c r="AI683" s="15" t="str">
        <f>IF(AE683="","",IFERROR(INDEX($AR$11:$AR$4010,MATCH(673,$AZ$11:$AZ$4010,0)),""))</f>
        <v/>
      </c>
      <c r="AJ683" s="15" t="str">
        <f>IF(AE683="","",IFERROR(INDEX($AT$11:$AT$4010,MATCH(673,$AZ$11:$AZ$4010,0)),""))</f>
        <v/>
      </c>
      <c r="AL683" s="17"/>
      <c r="AM683" s="12"/>
      <c r="AN683" s="18"/>
      <c r="AO683" s="18"/>
      <c r="AP683" s="10"/>
      <c r="AQ683" s="10"/>
      <c r="AR683" s="19"/>
      <c r="AS683" s="20"/>
      <c r="AT683" s="19"/>
      <c r="AV683" s="21">
        <f>IF(AND($AL683&lt;&gt;"",COUNTIF($AL$11:$AL683,$AL683)=1),1,0)</f>
        <v>0</v>
      </c>
      <c r="AW683" s="21">
        <f t="shared" si="107"/>
        <v>0</v>
      </c>
      <c r="AX683" s="21" t="str">
        <f t="shared" si="106"/>
        <v/>
      </c>
      <c r="AY683" s="21" t="str">
        <f>IF(AND($AM683&lt;&gt;"",$AS683&lt;&gt;"✓"),SUMPRODUCT(($AM$11:$AM683&lt;&gt;"")*($AS$11:$AS683&lt;&gt;"✓")),"")</f>
        <v/>
      </c>
      <c r="AZ683" s="21" t="str">
        <f>IF(AND($AM683&lt;&gt;"",$AS683="✓"),SUMPRODUCT(($AM$11:$AM683&lt;&gt;"")*($AS$11:$AS683="✓")),"")</f>
        <v/>
      </c>
      <c r="BA683" s="21" t="str">
        <f>IF($AL683="","",$AL683&amp;"|"&amp;COUNTIF($AL$11:$AL683,$AL683))</f>
        <v/>
      </c>
    </row>
    <row r="684" spans="23:53" ht="15" customHeight="1" x14ac:dyDescent="0.25">
      <c r="W684" s="28" t="str">
        <f>IF(X684="","",IFERROR(INDEX($AL$11:$AL$4010,MATCH(674,$AY$11:$AY$4010,0)),""))</f>
        <v/>
      </c>
      <c r="X684" s="26" t="str">
        <f>IFERROR(INDEX($AM$11:$AM$4010,MATCH(674,$AY$11:$AY$4010,0)),"")</f>
        <v/>
      </c>
      <c r="Y684" s="25" t="str">
        <f>IF(X684="","",IFERROR(INDEX($AN$11:$AN$4010,MATCH(674,$AY$11:$AY$4010,0)),""))</f>
        <v/>
      </c>
      <c r="Z684" s="25" t="str">
        <f>IF(X684="","",IFERROR(INDEX($AO$11:$AO$4010,MATCH(674,$AY$11:$AY$4010,0)),""))</f>
        <v/>
      </c>
      <c r="AA684" s="24" t="str">
        <f>IF(X684="","",IFERROR(INDEX($AQ$11:$AQ$4010,MATCH(674,$AY$11:$AY$4010,0)),""))</f>
        <v/>
      </c>
      <c r="AB684" s="29" t="str">
        <f>IF(X684="","",IFERROR(INDEX($AR$11:$AR$4010,MATCH(674,$AY$11:$AY$4010,0)),""))</f>
        <v/>
      </c>
      <c r="AD684" s="30" t="str">
        <f>IF(AE684="","",IFERROR(INDEX($AL$11:$AL$4010,MATCH(674,$AZ$11:$AZ$4010,0)),""))</f>
        <v/>
      </c>
      <c r="AE684" s="26" t="str">
        <f>IFERROR(INDEX($AM$11:$AM$4010,MATCH(674,$AZ$11:$AZ$4010,0)),"")</f>
        <v/>
      </c>
      <c r="AF684" s="25" t="str">
        <f>IF(AE684="","",IFERROR(INDEX($AN$11:$AN$4010,MATCH(674,$AZ$11:$AZ$4010,0)),""))</f>
        <v/>
      </c>
      <c r="AG684" s="25" t="str">
        <f>IF(AE684="","",IFERROR(INDEX($AO$11:$AO$4010,MATCH(674,$AZ$11:$AZ$4010,0)),""))</f>
        <v/>
      </c>
      <c r="AH684" s="24" t="str">
        <f>IF(AE684="","",IFERROR(INDEX($AQ$11:$AQ$4010,MATCH(674,$AZ$11:$AZ$4010,0)),""))</f>
        <v/>
      </c>
      <c r="AI684" s="29" t="str">
        <f>IF(AE684="","",IFERROR(INDEX($AR$11:$AR$4010,MATCH(674,$AZ$11:$AZ$4010,0)),""))</f>
        <v/>
      </c>
      <c r="AJ684" s="29" t="str">
        <f>IF(AE684="","",IFERROR(INDEX($AT$11:$AT$4010,MATCH(674,$AZ$11:$AZ$4010,0)),""))</f>
        <v/>
      </c>
      <c r="AL684" s="31"/>
      <c r="AM684" s="26"/>
      <c r="AN684" s="32"/>
      <c r="AO684" s="32"/>
      <c r="AP684" s="24"/>
      <c r="AQ684" s="24"/>
      <c r="AR684" s="33"/>
      <c r="AS684" s="34"/>
      <c r="AT684" s="33"/>
      <c r="AV684" s="21">
        <f>IF(AND($AL684&lt;&gt;"",COUNTIF($AL$11:$AL684,$AL684)=1),1,0)</f>
        <v>0</v>
      </c>
      <c r="AW684" s="21">
        <f t="shared" si="107"/>
        <v>0</v>
      </c>
      <c r="AX684" s="21" t="str">
        <f t="shared" si="106"/>
        <v/>
      </c>
      <c r="AY684" s="21" t="str">
        <f>IF(AND($AM684&lt;&gt;"",$AS684&lt;&gt;"✓"),SUMPRODUCT(($AM$11:$AM684&lt;&gt;"")*($AS$11:$AS684&lt;&gt;"✓")),"")</f>
        <v/>
      </c>
      <c r="AZ684" s="21" t="str">
        <f>IF(AND($AM684&lt;&gt;"",$AS684="✓"),SUMPRODUCT(($AM$11:$AM684&lt;&gt;"")*($AS$11:$AS684="✓")),"")</f>
        <v/>
      </c>
      <c r="BA684" s="21" t="str">
        <f>IF($AL684="","",$AL684&amp;"|"&amp;COUNTIF($AL$11:$AL684,$AL684))</f>
        <v/>
      </c>
    </row>
    <row r="685" spans="23:53" ht="15" customHeight="1" x14ac:dyDescent="0.25">
      <c r="W685" s="14" t="str">
        <f>IF(X685="","",IFERROR(INDEX($AL$11:$AL$4010,MATCH(675,$AY$11:$AY$4010,0)),""))</f>
        <v/>
      </c>
      <c r="X685" s="12" t="str">
        <f>IFERROR(INDEX($AM$11:$AM$4010,MATCH(675,$AY$11:$AY$4010,0)),"")</f>
        <v/>
      </c>
      <c r="Y685" s="11" t="str">
        <f>IF(X685="","",IFERROR(INDEX($AN$11:$AN$4010,MATCH(675,$AY$11:$AY$4010,0)),""))</f>
        <v/>
      </c>
      <c r="Z685" s="11" t="str">
        <f>IF(X685="","",IFERROR(INDEX($AO$11:$AO$4010,MATCH(675,$AY$11:$AY$4010,0)),""))</f>
        <v/>
      </c>
      <c r="AA685" s="10" t="str">
        <f>IF(X685="","",IFERROR(INDEX($AQ$11:$AQ$4010,MATCH(675,$AY$11:$AY$4010,0)),""))</f>
        <v/>
      </c>
      <c r="AB685" s="15" t="str">
        <f>IF(X685="","",IFERROR(INDEX($AR$11:$AR$4010,MATCH(675,$AY$11:$AY$4010,0)),""))</f>
        <v/>
      </c>
      <c r="AD685" s="16" t="str">
        <f>IF(AE685="","",IFERROR(INDEX($AL$11:$AL$4010,MATCH(675,$AZ$11:$AZ$4010,0)),""))</f>
        <v/>
      </c>
      <c r="AE685" s="12" t="str">
        <f>IFERROR(INDEX($AM$11:$AM$4010,MATCH(675,$AZ$11:$AZ$4010,0)),"")</f>
        <v/>
      </c>
      <c r="AF685" s="11" t="str">
        <f>IF(AE685="","",IFERROR(INDEX($AN$11:$AN$4010,MATCH(675,$AZ$11:$AZ$4010,0)),""))</f>
        <v/>
      </c>
      <c r="AG685" s="11" t="str">
        <f>IF(AE685="","",IFERROR(INDEX($AO$11:$AO$4010,MATCH(675,$AZ$11:$AZ$4010,0)),""))</f>
        <v/>
      </c>
      <c r="AH685" s="10" t="str">
        <f>IF(AE685="","",IFERROR(INDEX($AQ$11:$AQ$4010,MATCH(675,$AZ$11:$AZ$4010,0)),""))</f>
        <v/>
      </c>
      <c r="AI685" s="15" t="str">
        <f>IF(AE685="","",IFERROR(INDEX($AR$11:$AR$4010,MATCH(675,$AZ$11:$AZ$4010,0)),""))</f>
        <v/>
      </c>
      <c r="AJ685" s="15" t="str">
        <f>IF(AE685="","",IFERROR(INDEX($AT$11:$AT$4010,MATCH(675,$AZ$11:$AZ$4010,0)),""))</f>
        <v/>
      </c>
      <c r="AL685" s="17"/>
      <c r="AM685" s="12"/>
      <c r="AN685" s="18"/>
      <c r="AO685" s="18"/>
      <c r="AP685" s="10"/>
      <c r="AQ685" s="10"/>
      <c r="AR685" s="19"/>
      <c r="AS685" s="20"/>
      <c r="AT685" s="19"/>
      <c r="AV685" s="21">
        <f>IF(AND($AL685&lt;&gt;"",COUNTIF($AL$11:$AL685,$AL685)=1),1,0)</f>
        <v>0</v>
      </c>
      <c r="AW685" s="21">
        <f t="shared" si="107"/>
        <v>0</v>
      </c>
      <c r="AX685" s="21" t="str">
        <f t="shared" si="106"/>
        <v/>
      </c>
      <c r="AY685" s="21" t="str">
        <f>IF(AND($AM685&lt;&gt;"",$AS685&lt;&gt;"✓"),SUMPRODUCT(($AM$11:$AM685&lt;&gt;"")*($AS$11:$AS685&lt;&gt;"✓")),"")</f>
        <v/>
      </c>
      <c r="AZ685" s="21" t="str">
        <f>IF(AND($AM685&lt;&gt;"",$AS685="✓"),SUMPRODUCT(($AM$11:$AM685&lt;&gt;"")*($AS$11:$AS685="✓")),"")</f>
        <v/>
      </c>
      <c r="BA685" s="21" t="str">
        <f>IF($AL685="","",$AL685&amp;"|"&amp;COUNTIF($AL$11:$AL685,$AL685))</f>
        <v/>
      </c>
    </row>
    <row r="686" spans="23:53" ht="15" customHeight="1" x14ac:dyDescent="0.25">
      <c r="W686" s="28" t="str">
        <f>IF(X686="","",IFERROR(INDEX($AL$11:$AL$4010,MATCH(676,$AY$11:$AY$4010,0)),""))</f>
        <v/>
      </c>
      <c r="X686" s="26" t="str">
        <f>IFERROR(INDEX($AM$11:$AM$4010,MATCH(676,$AY$11:$AY$4010,0)),"")</f>
        <v/>
      </c>
      <c r="Y686" s="25" t="str">
        <f>IF(X686="","",IFERROR(INDEX($AN$11:$AN$4010,MATCH(676,$AY$11:$AY$4010,0)),""))</f>
        <v/>
      </c>
      <c r="Z686" s="25" t="str">
        <f>IF(X686="","",IFERROR(INDEX($AO$11:$AO$4010,MATCH(676,$AY$11:$AY$4010,0)),""))</f>
        <v/>
      </c>
      <c r="AA686" s="24" t="str">
        <f>IF(X686="","",IFERROR(INDEX($AQ$11:$AQ$4010,MATCH(676,$AY$11:$AY$4010,0)),""))</f>
        <v/>
      </c>
      <c r="AB686" s="29" t="str">
        <f>IF(X686="","",IFERROR(INDEX($AR$11:$AR$4010,MATCH(676,$AY$11:$AY$4010,0)),""))</f>
        <v/>
      </c>
      <c r="AD686" s="30" t="str">
        <f>IF(AE686="","",IFERROR(INDEX($AL$11:$AL$4010,MATCH(676,$AZ$11:$AZ$4010,0)),""))</f>
        <v/>
      </c>
      <c r="AE686" s="26" t="str">
        <f>IFERROR(INDEX($AM$11:$AM$4010,MATCH(676,$AZ$11:$AZ$4010,0)),"")</f>
        <v/>
      </c>
      <c r="AF686" s="25" t="str">
        <f>IF(AE686="","",IFERROR(INDEX($AN$11:$AN$4010,MATCH(676,$AZ$11:$AZ$4010,0)),""))</f>
        <v/>
      </c>
      <c r="AG686" s="25" t="str">
        <f>IF(AE686="","",IFERROR(INDEX($AO$11:$AO$4010,MATCH(676,$AZ$11:$AZ$4010,0)),""))</f>
        <v/>
      </c>
      <c r="AH686" s="24" t="str">
        <f>IF(AE686="","",IFERROR(INDEX($AQ$11:$AQ$4010,MATCH(676,$AZ$11:$AZ$4010,0)),""))</f>
        <v/>
      </c>
      <c r="AI686" s="29" t="str">
        <f>IF(AE686="","",IFERROR(INDEX($AR$11:$AR$4010,MATCH(676,$AZ$11:$AZ$4010,0)),""))</f>
        <v/>
      </c>
      <c r="AJ686" s="29" t="str">
        <f>IF(AE686="","",IFERROR(INDEX($AT$11:$AT$4010,MATCH(676,$AZ$11:$AZ$4010,0)),""))</f>
        <v/>
      </c>
      <c r="AL686" s="31"/>
      <c r="AM686" s="26"/>
      <c r="AN686" s="32"/>
      <c r="AO686" s="32"/>
      <c r="AP686" s="24"/>
      <c r="AQ686" s="24"/>
      <c r="AR686" s="33"/>
      <c r="AS686" s="34"/>
      <c r="AT686" s="33"/>
      <c r="AV686" s="21">
        <f>IF(AND($AL686&lt;&gt;"",COUNTIF($AL$11:$AL686,$AL686)=1),1,0)</f>
        <v>0</v>
      </c>
      <c r="AW686" s="21">
        <f t="shared" si="107"/>
        <v>0</v>
      </c>
      <c r="AX686" s="21" t="str">
        <f t="shared" si="106"/>
        <v/>
      </c>
      <c r="AY686" s="21" t="str">
        <f>IF(AND($AM686&lt;&gt;"",$AS686&lt;&gt;"✓"),SUMPRODUCT(($AM$11:$AM686&lt;&gt;"")*($AS$11:$AS686&lt;&gt;"✓")),"")</f>
        <v/>
      </c>
      <c r="AZ686" s="21" t="str">
        <f>IF(AND($AM686&lt;&gt;"",$AS686="✓"),SUMPRODUCT(($AM$11:$AM686&lt;&gt;"")*($AS$11:$AS686="✓")),"")</f>
        <v/>
      </c>
      <c r="BA686" s="21" t="str">
        <f>IF($AL686="","",$AL686&amp;"|"&amp;COUNTIF($AL$11:$AL686,$AL686))</f>
        <v/>
      </c>
    </row>
    <row r="687" spans="23:53" ht="15" customHeight="1" x14ac:dyDescent="0.25">
      <c r="W687" s="14" t="str">
        <f>IF(X687="","",IFERROR(INDEX($AL$11:$AL$4010,MATCH(677,$AY$11:$AY$4010,0)),""))</f>
        <v/>
      </c>
      <c r="X687" s="12" t="str">
        <f>IFERROR(INDEX($AM$11:$AM$4010,MATCH(677,$AY$11:$AY$4010,0)),"")</f>
        <v/>
      </c>
      <c r="Y687" s="11" t="str">
        <f>IF(X687="","",IFERROR(INDEX($AN$11:$AN$4010,MATCH(677,$AY$11:$AY$4010,0)),""))</f>
        <v/>
      </c>
      <c r="Z687" s="11" t="str">
        <f>IF(X687="","",IFERROR(INDEX($AO$11:$AO$4010,MATCH(677,$AY$11:$AY$4010,0)),""))</f>
        <v/>
      </c>
      <c r="AA687" s="10" t="str">
        <f>IF(X687="","",IFERROR(INDEX($AQ$11:$AQ$4010,MATCH(677,$AY$11:$AY$4010,0)),""))</f>
        <v/>
      </c>
      <c r="AB687" s="15" t="str">
        <f>IF(X687="","",IFERROR(INDEX($AR$11:$AR$4010,MATCH(677,$AY$11:$AY$4010,0)),""))</f>
        <v/>
      </c>
      <c r="AD687" s="16" t="str">
        <f>IF(AE687="","",IFERROR(INDEX($AL$11:$AL$4010,MATCH(677,$AZ$11:$AZ$4010,0)),""))</f>
        <v/>
      </c>
      <c r="AE687" s="12" t="str">
        <f>IFERROR(INDEX($AM$11:$AM$4010,MATCH(677,$AZ$11:$AZ$4010,0)),"")</f>
        <v/>
      </c>
      <c r="AF687" s="11" t="str">
        <f>IF(AE687="","",IFERROR(INDEX($AN$11:$AN$4010,MATCH(677,$AZ$11:$AZ$4010,0)),""))</f>
        <v/>
      </c>
      <c r="AG687" s="11" t="str">
        <f>IF(AE687="","",IFERROR(INDEX($AO$11:$AO$4010,MATCH(677,$AZ$11:$AZ$4010,0)),""))</f>
        <v/>
      </c>
      <c r="AH687" s="10" t="str">
        <f>IF(AE687="","",IFERROR(INDEX($AQ$11:$AQ$4010,MATCH(677,$AZ$11:$AZ$4010,0)),""))</f>
        <v/>
      </c>
      <c r="AI687" s="15" t="str">
        <f>IF(AE687="","",IFERROR(INDEX($AR$11:$AR$4010,MATCH(677,$AZ$11:$AZ$4010,0)),""))</f>
        <v/>
      </c>
      <c r="AJ687" s="15" t="str">
        <f>IF(AE687="","",IFERROR(INDEX($AT$11:$AT$4010,MATCH(677,$AZ$11:$AZ$4010,0)),""))</f>
        <v/>
      </c>
      <c r="AL687" s="17"/>
      <c r="AM687" s="12"/>
      <c r="AN687" s="18"/>
      <c r="AO687" s="18"/>
      <c r="AP687" s="10"/>
      <c r="AQ687" s="10"/>
      <c r="AR687" s="19"/>
      <c r="AS687" s="20"/>
      <c r="AT687" s="19"/>
      <c r="AV687" s="21">
        <f>IF(AND($AL687&lt;&gt;"",COUNTIF($AL$11:$AL687,$AL687)=1),1,0)</f>
        <v>0</v>
      </c>
      <c r="AW687" s="21">
        <f t="shared" si="107"/>
        <v>0</v>
      </c>
      <c r="AX687" s="21" t="str">
        <f t="shared" si="106"/>
        <v/>
      </c>
      <c r="AY687" s="21" t="str">
        <f>IF(AND($AM687&lt;&gt;"",$AS687&lt;&gt;"✓"),SUMPRODUCT(($AM$11:$AM687&lt;&gt;"")*($AS$11:$AS687&lt;&gt;"✓")),"")</f>
        <v/>
      </c>
      <c r="AZ687" s="21" t="str">
        <f>IF(AND($AM687&lt;&gt;"",$AS687="✓"),SUMPRODUCT(($AM$11:$AM687&lt;&gt;"")*($AS$11:$AS687="✓")),"")</f>
        <v/>
      </c>
      <c r="BA687" s="21" t="str">
        <f>IF($AL687="","",$AL687&amp;"|"&amp;COUNTIF($AL$11:$AL687,$AL687))</f>
        <v/>
      </c>
    </row>
    <row r="688" spans="23:53" ht="15" customHeight="1" x14ac:dyDescent="0.25">
      <c r="W688" s="28" t="str">
        <f>IF(X688="","",IFERROR(INDEX($AL$11:$AL$4010,MATCH(678,$AY$11:$AY$4010,0)),""))</f>
        <v/>
      </c>
      <c r="X688" s="26" t="str">
        <f>IFERROR(INDEX($AM$11:$AM$4010,MATCH(678,$AY$11:$AY$4010,0)),"")</f>
        <v/>
      </c>
      <c r="Y688" s="25" t="str">
        <f>IF(X688="","",IFERROR(INDEX($AN$11:$AN$4010,MATCH(678,$AY$11:$AY$4010,0)),""))</f>
        <v/>
      </c>
      <c r="Z688" s="25" t="str">
        <f>IF(X688="","",IFERROR(INDEX($AO$11:$AO$4010,MATCH(678,$AY$11:$AY$4010,0)),""))</f>
        <v/>
      </c>
      <c r="AA688" s="24" t="str">
        <f>IF(X688="","",IFERROR(INDEX($AQ$11:$AQ$4010,MATCH(678,$AY$11:$AY$4010,0)),""))</f>
        <v/>
      </c>
      <c r="AB688" s="29" t="str">
        <f>IF(X688="","",IFERROR(INDEX($AR$11:$AR$4010,MATCH(678,$AY$11:$AY$4010,0)),""))</f>
        <v/>
      </c>
      <c r="AD688" s="30" t="str">
        <f>IF(AE688="","",IFERROR(INDEX($AL$11:$AL$4010,MATCH(678,$AZ$11:$AZ$4010,0)),""))</f>
        <v/>
      </c>
      <c r="AE688" s="26" t="str">
        <f>IFERROR(INDEX($AM$11:$AM$4010,MATCH(678,$AZ$11:$AZ$4010,0)),"")</f>
        <v/>
      </c>
      <c r="AF688" s="25" t="str">
        <f>IF(AE688="","",IFERROR(INDEX($AN$11:$AN$4010,MATCH(678,$AZ$11:$AZ$4010,0)),""))</f>
        <v/>
      </c>
      <c r="AG688" s="25" t="str">
        <f>IF(AE688="","",IFERROR(INDEX($AO$11:$AO$4010,MATCH(678,$AZ$11:$AZ$4010,0)),""))</f>
        <v/>
      </c>
      <c r="AH688" s="24" t="str">
        <f>IF(AE688="","",IFERROR(INDEX($AQ$11:$AQ$4010,MATCH(678,$AZ$11:$AZ$4010,0)),""))</f>
        <v/>
      </c>
      <c r="AI688" s="29" t="str">
        <f>IF(AE688="","",IFERROR(INDEX($AR$11:$AR$4010,MATCH(678,$AZ$11:$AZ$4010,0)),""))</f>
        <v/>
      </c>
      <c r="AJ688" s="29" t="str">
        <f>IF(AE688="","",IFERROR(INDEX($AT$11:$AT$4010,MATCH(678,$AZ$11:$AZ$4010,0)),""))</f>
        <v/>
      </c>
      <c r="AL688" s="31"/>
      <c r="AM688" s="26"/>
      <c r="AN688" s="32"/>
      <c r="AO688" s="32"/>
      <c r="AP688" s="24"/>
      <c r="AQ688" s="24"/>
      <c r="AR688" s="33"/>
      <c r="AS688" s="34"/>
      <c r="AT688" s="33"/>
      <c r="AV688" s="21">
        <f>IF(AND($AL688&lt;&gt;"",COUNTIF($AL$11:$AL688,$AL688)=1),1,0)</f>
        <v>0</v>
      </c>
      <c r="AW688" s="21">
        <f t="shared" si="107"/>
        <v>0</v>
      </c>
      <c r="AX688" s="21" t="str">
        <f t="shared" si="106"/>
        <v/>
      </c>
      <c r="AY688" s="21" t="str">
        <f>IF(AND($AM688&lt;&gt;"",$AS688&lt;&gt;"✓"),SUMPRODUCT(($AM$11:$AM688&lt;&gt;"")*($AS$11:$AS688&lt;&gt;"✓")),"")</f>
        <v/>
      </c>
      <c r="AZ688" s="21" t="str">
        <f>IF(AND($AM688&lt;&gt;"",$AS688="✓"),SUMPRODUCT(($AM$11:$AM688&lt;&gt;"")*($AS$11:$AS688="✓")),"")</f>
        <v/>
      </c>
      <c r="BA688" s="21" t="str">
        <f>IF($AL688="","",$AL688&amp;"|"&amp;COUNTIF($AL$11:$AL688,$AL688))</f>
        <v/>
      </c>
    </row>
    <row r="689" spans="23:53" ht="15" customHeight="1" x14ac:dyDescent="0.25">
      <c r="W689" s="14" t="str">
        <f>IF(X689="","",IFERROR(INDEX($AL$11:$AL$4010,MATCH(679,$AY$11:$AY$4010,0)),""))</f>
        <v/>
      </c>
      <c r="X689" s="12" t="str">
        <f>IFERROR(INDEX($AM$11:$AM$4010,MATCH(679,$AY$11:$AY$4010,0)),"")</f>
        <v/>
      </c>
      <c r="Y689" s="11" t="str">
        <f>IF(X689="","",IFERROR(INDEX($AN$11:$AN$4010,MATCH(679,$AY$11:$AY$4010,0)),""))</f>
        <v/>
      </c>
      <c r="Z689" s="11" t="str">
        <f>IF(X689="","",IFERROR(INDEX($AO$11:$AO$4010,MATCH(679,$AY$11:$AY$4010,0)),""))</f>
        <v/>
      </c>
      <c r="AA689" s="10" t="str">
        <f>IF(X689="","",IFERROR(INDEX($AQ$11:$AQ$4010,MATCH(679,$AY$11:$AY$4010,0)),""))</f>
        <v/>
      </c>
      <c r="AB689" s="15" t="str">
        <f>IF(X689="","",IFERROR(INDEX($AR$11:$AR$4010,MATCH(679,$AY$11:$AY$4010,0)),""))</f>
        <v/>
      </c>
      <c r="AD689" s="16" t="str">
        <f>IF(AE689="","",IFERROR(INDEX($AL$11:$AL$4010,MATCH(679,$AZ$11:$AZ$4010,0)),""))</f>
        <v/>
      </c>
      <c r="AE689" s="12" t="str">
        <f>IFERROR(INDEX($AM$11:$AM$4010,MATCH(679,$AZ$11:$AZ$4010,0)),"")</f>
        <v/>
      </c>
      <c r="AF689" s="11" t="str">
        <f>IF(AE689="","",IFERROR(INDEX($AN$11:$AN$4010,MATCH(679,$AZ$11:$AZ$4010,0)),""))</f>
        <v/>
      </c>
      <c r="AG689" s="11" t="str">
        <f>IF(AE689="","",IFERROR(INDEX($AO$11:$AO$4010,MATCH(679,$AZ$11:$AZ$4010,0)),""))</f>
        <v/>
      </c>
      <c r="AH689" s="10" t="str">
        <f>IF(AE689="","",IFERROR(INDEX($AQ$11:$AQ$4010,MATCH(679,$AZ$11:$AZ$4010,0)),""))</f>
        <v/>
      </c>
      <c r="AI689" s="15" t="str">
        <f>IF(AE689="","",IFERROR(INDEX($AR$11:$AR$4010,MATCH(679,$AZ$11:$AZ$4010,0)),""))</f>
        <v/>
      </c>
      <c r="AJ689" s="15" t="str">
        <f>IF(AE689="","",IFERROR(INDEX($AT$11:$AT$4010,MATCH(679,$AZ$11:$AZ$4010,0)),""))</f>
        <v/>
      </c>
      <c r="AL689" s="17"/>
      <c r="AM689" s="12"/>
      <c r="AN689" s="18"/>
      <c r="AO689" s="18"/>
      <c r="AP689" s="10"/>
      <c r="AQ689" s="10"/>
      <c r="AR689" s="19"/>
      <c r="AS689" s="20"/>
      <c r="AT689" s="19"/>
      <c r="AV689" s="21">
        <f>IF(AND($AL689&lt;&gt;"",COUNTIF($AL$11:$AL689,$AL689)=1),1,0)</f>
        <v>0</v>
      </c>
      <c r="AW689" s="21">
        <f t="shared" si="107"/>
        <v>0</v>
      </c>
      <c r="AX689" s="21" t="str">
        <f t="shared" si="106"/>
        <v/>
      </c>
      <c r="AY689" s="21" t="str">
        <f>IF(AND($AM689&lt;&gt;"",$AS689&lt;&gt;"✓"),SUMPRODUCT(($AM$11:$AM689&lt;&gt;"")*($AS$11:$AS689&lt;&gt;"✓")),"")</f>
        <v/>
      </c>
      <c r="AZ689" s="21" t="str">
        <f>IF(AND($AM689&lt;&gt;"",$AS689="✓"),SUMPRODUCT(($AM$11:$AM689&lt;&gt;"")*($AS$11:$AS689="✓")),"")</f>
        <v/>
      </c>
      <c r="BA689" s="21" t="str">
        <f>IF($AL689="","",$AL689&amp;"|"&amp;COUNTIF($AL$11:$AL689,$AL689))</f>
        <v/>
      </c>
    </row>
    <row r="690" spans="23:53" ht="15" customHeight="1" x14ac:dyDescent="0.25">
      <c r="W690" s="28" t="str">
        <f>IF(X690="","",IFERROR(INDEX($AL$11:$AL$4010,MATCH(680,$AY$11:$AY$4010,0)),""))</f>
        <v/>
      </c>
      <c r="X690" s="26" t="str">
        <f>IFERROR(INDEX($AM$11:$AM$4010,MATCH(680,$AY$11:$AY$4010,0)),"")</f>
        <v/>
      </c>
      <c r="Y690" s="25" t="str">
        <f>IF(X690="","",IFERROR(INDEX($AN$11:$AN$4010,MATCH(680,$AY$11:$AY$4010,0)),""))</f>
        <v/>
      </c>
      <c r="Z690" s="25" t="str">
        <f>IF(X690="","",IFERROR(INDEX($AO$11:$AO$4010,MATCH(680,$AY$11:$AY$4010,0)),""))</f>
        <v/>
      </c>
      <c r="AA690" s="24" t="str">
        <f>IF(X690="","",IFERROR(INDEX($AQ$11:$AQ$4010,MATCH(680,$AY$11:$AY$4010,0)),""))</f>
        <v/>
      </c>
      <c r="AB690" s="29" t="str">
        <f>IF(X690="","",IFERROR(INDEX($AR$11:$AR$4010,MATCH(680,$AY$11:$AY$4010,0)),""))</f>
        <v/>
      </c>
      <c r="AD690" s="30" t="str">
        <f>IF(AE690="","",IFERROR(INDEX($AL$11:$AL$4010,MATCH(680,$AZ$11:$AZ$4010,0)),""))</f>
        <v/>
      </c>
      <c r="AE690" s="26" t="str">
        <f>IFERROR(INDEX($AM$11:$AM$4010,MATCH(680,$AZ$11:$AZ$4010,0)),"")</f>
        <v/>
      </c>
      <c r="AF690" s="25" t="str">
        <f>IF(AE690="","",IFERROR(INDEX($AN$11:$AN$4010,MATCH(680,$AZ$11:$AZ$4010,0)),""))</f>
        <v/>
      </c>
      <c r="AG690" s="25" t="str">
        <f>IF(AE690="","",IFERROR(INDEX($AO$11:$AO$4010,MATCH(680,$AZ$11:$AZ$4010,0)),""))</f>
        <v/>
      </c>
      <c r="AH690" s="24" t="str">
        <f>IF(AE690="","",IFERROR(INDEX($AQ$11:$AQ$4010,MATCH(680,$AZ$11:$AZ$4010,0)),""))</f>
        <v/>
      </c>
      <c r="AI690" s="29" t="str">
        <f>IF(AE690="","",IFERROR(INDEX($AR$11:$AR$4010,MATCH(680,$AZ$11:$AZ$4010,0)),""))</f>
        <v/>
      </c>
      <c r="AJ690" s="29" t="str">
        <f>IF(AE690="","",IFERROR(INDEX($AT$11:$AT$4010,MATCH(680,$AZ$11:$AZ$4010,0)),""))</f>
        <v/>
      </c>
      <c r="AL690" s="31"/>
      <c r="AM690" s="26"/>
      <c r="AN690" s="32"/>
      <c r="AO690" s="32"/>
      <c r="AP690" s="24"/>
      <c r="AQ690" s="24"/>
      <c r="AR690" s="33"/>
      <c r="AS690" s="34"/>
      <c r="AT690" s="33"/>
      <c r="AV690" s="21">
        <f>IF(AND($AL690&lt;&gt;"",COUNTIF($AL$11:$AL690,$AL690)=1),1,0)</f>
        <v>0</v>
      </c>
      <c r="AW690" s="21">
        <f t="shared" si="107"/>
        <v>0</v>
      </c>
      <c r="AX690" s="21" t="str">
        <f t="shared" si="106"/>
        <v/>
      </c>
      <c r="AY690" s="21" t="str">
        <f>IF(AND($AM690&lt;&gt;"",$AS690&lt;&gt;"✓"),SUMPRODUCT(($AM$11:$AM690&lt;&gt;"")*($AS$11:$AS690&lt;&gt;"✓")),"")</f>
        <v/>
      </c>
      <c r="AZ690" s="21" t="str">
        <f>IF(AND($AM690&lt;&gt;"",$AS690="✓"),SUMPRODUCT(($AM$11:$AM690&lt;&gt;"")*($AS$11:$AS690="✓")),"")</f>
        <v/>
      </c>
      <c r="BA690" s="21" t="str">
        <f>IF($AL690="","",$AL690&amp;"|"&amp;COUNTIF($AL$11:$AL690,$AL690))</f>
        <v/>
      </c>
    </row>
    <row r="691" spans="23:53" ht="15" customHeight="1" x14ac:dyDescent="0.25">
      <c r="W691" s="14" t="str">
        <f>IF(X691="","",IFERROR(INDEX($AL$11:$AL$4010,MATCH(681,$AY$11:$AY$4010,0)),""))</f>
        <v/>
      </c>
      <c r="X691" s="12" t="str">
        <f>IFERROR(INDEX($AM$11:$AM$4010,MATCH(681,$AY$11:$AY$4010,0)),"")</f>
        <v/>
      </c>
      <c r="Y691" s="11" t="str">
        <f>IF(X691="","",IFERROR(INDEX($AN$11:$AN$4010,MATCH(681,$AY$11:$AY$4010,0)),""))</f>
        <v/>
      </c>
      <c r="Z691" s="11" t="str">
        <f>IF(X691="","",IFERROR(INDEX($AO$11:$AO$4010,MATCH(681,$AY$11:$AY$4010,0)),""))</f>
        <v/>
      </c>
      <c r="AA691" s="10" t="str">
        <f>IF(X691="","",IFERROR(INDEX($AQ$11:$AQ$4010,MATCH(681,$AY$11:$AY$4010,0)),""))</f>
        <v/>
      </c>
      <c r="AB691" s="15" t="str">
        <f>IF(X691="","",IFERROR(INDEX($AR$11:$AR$4010,MATCH(681,$AY$11:$AY$4010,0)),""))</f>
        <v/>
      </c>
      <c r="AD691" s="16" t="str">
        <f>IF(AE691="","",IFERROR(INDEX($AL$11:$AL$4010,MATCH(681,$AZ$11:$AZ$4010,0)),""))</f>
        <v/>
      </c>
      <c r="AE691" s="12" t="str">
        <f>IFERROR(INDEX($AM$11:$AM$4010,MATCH(681,$AZ$11:$AZ$4010,0)),"")</f>
        <v/>
      </c>
      <c r="AF691" s="11" t="str">
        <f>IF(AE691="","",IFERROR(INDEX($AN$11:$AN$4010,MATCH(681,$AZ$11:$AZ$4010,0)),""))</f>
        <v/>
      </c>
      <c r="AG691" s="11" t="str">
        <f>IF(AE691="","",IFERROR(INDEX($AO$11:$AO$4010,MATCH(681,$AZ$11:$AZ$4010,0)),""))</f>
        <v/>
      </c>
      <c r="AH691" s="10" t="str">
        <f>IF(AE691="","",IFERROR(INDEX($AQ$11:$AQ$4010,MATCH(681,$AZ$11:$AZ$4010,0)),""))</f>
        <v/>
      </c>
      <c r="AI691" s="15" t="str">
        <f>IF(AE691="","",IFERROR(INDEX($AR$11:$AR$4010,MATCH(681,$AZ$11:$AZ$4010,0)),""))</f>
        <v/>
      </c>
      <c r="AJ691" s="15" t="str">
        <f>IF(AE691="","",IFERROR(INDEX($AT$11:$AT$4010,MATCH(681,$AZ$11:$AZ$4010,0)),""))</f>
        <v/>
      </c>
      <c r="AL691" s="17"/>
      <c r="AM691" s="12"/>
      <c r="AN691" s="18"/>
      <c r="AO691" s="18"/>
      <c r="AP691" s="10"/>
      <c r="AQ691" s="10"/>
      <c r="AR691" s="19"/>
      <c r="AS691" s="20"/>
      <c r="AT691" s="19"/>
      <c r="AV691" s="21">
        <f>IF(AND($AL691&lt;&gt;"",COUNTIF($AL$11:$AL691,$AL691)=1),1,0)</f>
        <v>0</v>
      </c>
      <c r="AW691" s="21">
        <f t="shared" si="107"/>
        <v>0</v>
      </c>
      <c r="AX691" s="21" t="str">
        <f t="shared" si="106"/>
        <v/>
      </c>
      <c r="AY691" s="21" t="str">
        <f>IF(AND($AM691&lt;&gt;"",$AS691&lt;&gt;"✓"),SUMPRODUCT(($AM$11:$AM691&lt;&gt;"")*($AS$11:$AS691&lt;&gt;"✓")),"")</f>
        <v/>
      </c>
      <c r="AZ691" s="21" t="str">
        <f>IF(AND($AM691&lt;&gt;"",$AS691="✓"),SUMPRODUCT(($AM$11:$AM691&lt;&gt;"")*($AS$11:$AS691="✓")),"")</f>
        <v/>
      </c>
      <c r="BA691" s="21" t="str">
        <f>IF($AL691="","",$AL691&amp;"|"&amp;COUNTIF($AL$11:$AL691,$AL691))</f>
        <v/>
      </c>
    </row>
    <row r="692" spans="23:53" ht="15" customHeight="1" x14ac:dyDescent="0.25">
      <c r="W692" s="28" t="str">
        <f>IF(X692="","",IFERROR(INDEX($AL$11:$AL$4010,MATCH(682,$AY$11:$AY$4010,0)),""))</f>
        <v/>
      </c>
      <c r="X692" s="26" t="str">
        <f>IFERROR(INDEX($AM$11:$AM$4010,MATCH(682,$AY$11:$AY$4010,0)),"")</f>
        <v/>
      </c>
      <c r="Y692" s="25" t="str">
        <f>IF(X692="","",IFERROR(INDEX($AN$11:$AN$4010,MATCH(682,$AY$11:$AY$4010,0)),""))</f>
        <v/>
      </c>
      <c r="Z692" s="25" t="str">
        <f>IF(X692="","",IFERROR(INDEX($AO$11:$AO$4010,MATCH(682,$AY$11:$AY$4010,0)),""))</f>
        <v/>
      </c>
      <c r="AA692" s="24" t="str">
        <f>IF(X692="","",IFERROR(INDEX($AQ$11:$AQ$4010,MATCH(682,$AY$11:$AY$4010,0)),""))</f>
        <v/>
      </c>
      <c r="AB692" s="29" t="str">
        <f>IF(X692="","",IFERROR(INDEX($AR$11:$AR$4010,MATCH(682,$AY$11:$AY$4010,0)),""))</f>
        <v/>
      </c>
      <c r="AD692" s="30" t="str">
        <f>IF(AE692="","",IFERROR(INDEX($AL$11:$AL$4010,MATCH(682,$AZ$11:$AZ$4010,0)),""))</f>
        <v/>
      </c>
      <c r="AE692" s="26" t="str">
        <f>IFERROR(INDEX($AM$11:$AM$4010,MATCH(682,$AZ$11:$AZ$4010,0)),"")</f>
        <v/>
      </c>
      <c r="AF692" s="25" t="str">
        <f>IF(AE692="","",IFERROR(INDEX($AN$11:$AN$4010,MATCH(682,$AZ$11:$AZ$4010,0)),""))</f>
        <v/>
      </c>
      <c r="AG692" s="25" t="str">
        <f>IF(AE692="","",IFERROR(INDEX($AO$11:$AO$4010,MATCH(682,$AZ$11:$AZ$4010,0)),""))</f>
        <v/>
      </c>
      <c r="AH692" s="24" t="str">
        <f>IF(AE692="","",IFERROR(INDEX($AQ$11:$AQ$4010,MATCH(682,$AZ$11:$AZ$4010,0)),""))</f>
        <v/>
      </c>
      <c r="AI692" s="29" t="str">
        <f>IF(AE692="","",IFERROR(INDEX($AR$11:$AR$4010,MATCH(682,$AZ$11:$AZ$4010,0)),""))</f>
        <v/>
      </c>
      <c r="AJ692" s="29" t="str">
        <f>IF(AE692="","",IFERROR(INDEX($AT$11:$AT$4010,MATCH(682,$AZ$11:$AZ$4010,0)),""))</f>
        <v/>
      </c>
      <c r="AL692" s="31"/>
      <c r="AM692" s="26"/>
      <c r="AN692" s="32"/>
      <c r="AO692" s="32"/>
      <c r="AP692" s="24"/>
      <c r="AQ692" s="24"/>
      <c r="AR692" s="33"/>
      <c r="AS692" s="34"/>
      <c r="AT692" s="33"/>
      <c r="AV692" s="21">
        <f>IF(AND($AL692&lt;&gt;"",COUNTIF($AL$11:$AL692,$AL692)=1),1,0)</f>
        <v>0</v>
      </c>
      <c r="AW692" s="21">
        <f t="shared" si="107"/>
        <v>0</v>
      </c>
      <c r="AX692" s="21" t="str">
        <f t="shared" si="106"/>
        <v/>
      </c>
      <c r="AY692" s="21" t="str">
        <f>IF(AND($AM692&lt;&gt;"",$AS692&lt;&gt;"✓"),SUMPRODUCT(($AM$11:$AM692&lt;&gt;"")*($AS$11:$AS692&lt;&gt;"✓")),"")</f>
        <v/>
      </c>
      <c r="AZ692" s="21" t="str">
        <f>IF(AND($AM692&lt;&gt;"",$AS692="✓"),SUMPRODUCT(($AM$11:$AM692&lt;&gt;"")*($AS$11:$AS692="✓")),"")</f>
        <v/>
      </c>
      <c r="BA692" s="21" t="str">
        <f>IF($AL692="","",$AL692&amp;"|"&amp;COUNTIF($AL$11:$AL692,$AL692))</f>
        <v/>
      </c>
    </row>
    <row r="693" spans="23:53" ht="15" customHeight="1" x14ac:dyDescent="0.25">
      <c r="W693" s="14" t="str">
        <f>IF(X693="","",IFERROR(INDEX($AL$11:$AL$4010,MATCH(683,$AY$11:$AY$4010,0)),""))</f>
        <v/>
      </c>
      <c r="X693" s="12" t="str">
        <f>IFERROR(INDEX($AM$11:$AM$4010,MATCH(683,$AY$11:$AY$4010,0)),"")</f>
        <v/>
      </c>
      <c r="Y693" s="11" t="str">
        <f>IF(X693="","",IFERROR(INDEX($AN$11:$AN$4010,MATCH(683,$AY$11:$AY$4010,0)),""))</f>
        <v/>
      </c>
      <c r="Z693" s="11" t="str">
        <f>IF(X693="","",IFERROR(INDEX($AO$11:$AO$4010,MATCH(683,$AY$11:$AY$4010,0)),""))</f>
        <v/>
      </c>
      <c r="AA693" s="10" t="str">
        <f>IF(X693="","",IFERROR(INDEX($AQ$11:$AQ$4010,MATCH(683,$AY$11:$AY$4010,0)),""))</f>
        <v/>
      </c>
      <c r="AB693" s="15" t="str">
        <f>IF(X693="","",IFERROR(INDEX($AR$11:$AR$4010,MATCH(683,$AY$11:$AY$4010,0)),""))</f>
        <v/>
      </c>
      <c r="AD693" s="16" t="str">
        <f>IF(AE693="","",IFERROR(INDEX($AL$11:$AL$4010,MATCH(683,$AZ$11:$AZ$4010,0)),""))</f>
        <v/>
      </c>
      <c r="AE693" s="12" t="str">
        <f>IFERROR(INDEX($AM$11:$AM$4010,MATCH(683,$AZ$11:$AZ$4010,0)),"")</f>
        <v/>
      </c>
      <c r="AF693" s="11" t="str">
        <f>IF(AE693="","",IFERROR(INDEX($AN$11:$AN$4010,MATCH(683,$AZ$11:$AZ$4010,0)),""))</f>
        <v/>
      </c>
      <c r="AG693" s="11" t="str">
        <f>IF(AE693="","",IFERROR(INDEX($AO$11:$AO$4010,MATCH(683,$AZ$11:$AZ$4010,0)),""))</f>
        <v/>
      </c>
      <c r="AH693" s="10" t="str">
        <f>IF(AE693="","",IFERROR(INDEX($AQ$11:$AQ$4010,MATCH(683,$AZ$11:$AZ$4010,0)),""))</f>
        <v/>
      </c>
      <c r="AI693" s="15" t="str">
        <f>IF(AE693="","",IFERROR(INDEX($AR$11:$AR$4010,MATCH(683,$AZ$11:$AZ$4010,0)),""))</f>
        <v/>
      </c>
      <c r="AJ693" s="15" t="str">
        <f>IF(AE693="","",IFERROR(INDEX($AT$11:$AT$4010,MATCH(683,$AZ$11:$AZ$4010,0)),""))</f>
        <v/>
      </c>
      <c r="AL693" s="17"/>
      <c r="AM693" s="12"/>
      <c r="AN693" s="18"/>
      <c r="AO693" s="18"/>
      <c r="AP693" s="10"/>
      <c r="AQ693" s="10"/>
      <c r="AR693" s="19"/>
      <c r="AS693" s="20"/>
      <c r="AT693" s="19"/>
      <c r="AV693" s="21">
        <f>IF(AND($AL693&lt;&gt;"",COUNTIF($AL$11:$AL693,$AL693)=1),1,0)</f>
        <v>0</v>
      </c>
      <c r="AW693" s="21">
        <f t="shared" si="107"/>
        <v>0</v>
      </c>
      <c r="AX693" s="21" t="str">
        <f t="shared" si="106"/>
        <v/>
      </c>
      <c r="AY693" s="21" t="str">
        <f>IF(AND($AM693&lt;&gt;"",$AS693&lt;&gt;"✓"),SUMPRODUCT(($AM$11:$AM693&lt;&gt;"")*($AS$11:$AS693&lt;&gt;"✓")),"")</f>
        <v/>
      </c>
      <c r="AZ693" s="21" t="str">
        <f>IF(AND($AM693&lt;&gt;"",$AS693="✓"),SUMPRODUCT(($AM$11:$AM693&lt;&gt;"")*($AS$11:$AS693="✓")),"")</f>
        <v/>
      </c>
      <c r="BA693" s="21" t="str">
        <f>IF($AL693="","",$AL693&amp;"|"&amp;COUNTIF($AL$11:$AL693,$AL693))</f>
        <v/>
      </c>
    </row>
    <row r="694" spans="23:53" ht="15" customHeight="1" x14ac:dyDescent="0.25">
      <c r="W694" s="28" t="str">
        <f>IF(X694="","",IFERROR(INDEX($AL$11:$AL$4010,MATCH(684,$AY$11:$AY$4010,0)),""))</f>
        <v/>
      </c>
      <c r="X694" s="26" t="str">
        <f>IFERROR(INDEX($AM$11:$AM$4010,MATCH(684,$AY$11:$AY$4010,0)),"")</f>
        <v/>
      </c>
      <c r="Y694" s="25" t="str">
        <f>IF(X694="","",IFERROR(INDEX($AN$11:$AN$4010,MATCH(684,$AY$11:$AY$4010,0)),""))</f>
        <v/>
      </c>
      <c r="Z694" s="25" t="str">
        <f>IF(X694="","",IFERROR(INDEX($AO$11:$AO$4010,MATCH(684,$AY$11:$AY$4010,0)),""))</f>
        <v/>
      </c>
      <c r="AA694" s="24" t="str">
        <f>IF(X694="","",IFERROR(INDEX($AQ$11:$AQ$4010,MATCH(684,$AY$11:$AY$4010,0)),""))</f>
        <v/>
      </c>
      <c r="AB694" s="29" t="str">
        <f>IF(X694="","",IFERROR(INDEX($AR$11:$AR$4010,MATCH(684,$AY$11:$AY$4010,0)),""))</f>
        <v/>
      </c>
      <c r="AD694" s="30" t="str">
        <f>IF(AE694="","",IFERROR(INDEX($AL$11:$AL$4010,MATCH(684,$AZ$11:$AZ$4010,0)),""))</f>
        <v/>
      </c>
      <c r="AE694" s="26" t="str">
        <f>IFERROR(INDEX($AM$11:$AM$4010,MATCH(684,$AZ$11:$AZ$4010,0)),"")</f>
        <v/>
      </c>
      <c r="AF694" s="25" t="str">
        <f>IF(AE694="","",IFERROR(INDEX($AN$11:$AN$4010,MATCH(684,$AZ$11:$AZ$4010,0)),""))</f>
        <v/>
      </c>
      <c r="AG694" s="25" t="str">
        <f>IF(AE694="","",IFERROR(INDEX($AO$11:$AO$4010,MATCH(684,$AZ$11:$AZ$4010,0)),""))</f>
        <v/>
      </c>
      <c r="AH694" s="24" t="str">
        <f>IF(AE694="","",IFERROR(INDEX($AQ$11:$AQ$4010,MATCH(684,$AZ$11:$AZ$4010,0)),""))</f>
        <v/>
      </c>
      <c r="AI694" s="29" t="str">
        <f>IF(AE694="","",IFERROR(INDEX($AR$11:$AR$4010,MATCH(684,$AZ$11:$AZ$4010,0)),""))</f>
        <v/>
      </c>
      <c r="AJ694" s="29" t="str">
        <f>IF(AE694="","",IFERROR(INDEX($AT$11:$AT$4010,MATCH(684,$AZ$11:$AZ$4010,0)),""))</f>
        <v/>
      </c>
      <c r="AL694" s="31"/>
      <c r="AM694" s="26"/>
      <c r="AN694" s="32"/>
      <c r="AO694" s="32"/>
      <c r="AP694" s="24"/>
      <c r="AQ694" s="24"/>
      <c r="AR694" s="33"/>
      <c r="AS694" s="34"/>
      <c r="AT694" s="33"/>
      <c r="AV694" s="21">
        <f>IF(AND($AL694&lt;&gt;"",COUNTIF($AL$11:$AL694,$AL694)=1),1,0)</f>
        <v>0</v>
      </c>
      <c r="AW694" s="21">
        <f t="shared" si="107"/>
        <v>0</v>
      </c>
      <c r="AX694" s="21" t="str">
        <f t="shared" si="106"/>
        <v/>
      </c>
      <c r="AY694" s="21" t="str">
        <f>IF(AND($AM694&lt;&gt;"",$AS694&lt;&gt;"✓"),SUMPRODUCT(($AM$11:$AM694&lt;&gt;"")*($AS$11:$AS694&lt;&gt;"✓")),"")</f>
        <v/>
      </c>
      <c r="AZ694" s="21" t="str">
        <f>IF(AND($AM694&lt;&gt;"",$AS694="✓"),SUMPRODUCT(($AM$11:$AM694&lt;&gt;"")*($AS$11:$AS694="✓")),"")</f>
        <v/>
      </c>
      <c r="BA694" s="21" t="str">
        <f>IF($AL694="","",$AL694&amp;"|"&amp;COUNTIF($AL$11:$AL694,$AL694))</f>
        <v/>
      </c>
    </row>
    <row r="695" spans="23:53" ht="15" customHeight="1" x14ac:dyDescent="0.25">
      <c r="W695" s="14" t="str">
        <f>IF(X695="","",IFERROR(INDEX($AL$11:$AL$4010,MATCH(685,$AY$11:$AY$4010,0)),""))</f>
        <v/>
      </c>
      <c r="X695" s="12" t="str">
        <f>IFERROR(INDEX($AM$11:$AM$4010,MATCH(685,$AY$11:$AY$4010,0)),"")</f>
        <v/>
      </c>
      <c r="Y695" s="11" t="str">
        <f>IF(X695="","",IFERROR(INDEX($AN$11:$AN$4010,MATCH(685,$AY$11:$AY$4010,0)),""))</f>
        <v/>
      </c>
      <c r="Z695" s="11" t="str">
        <f>IF(X695="","",IFERROR(INDEX($AO$11:$AO$4010,MATCH(685,$AY$11:$AY$4010,0)),""))</f>
        <v/>
      </c>
      <c r="AA695" s="10" t="str">
        <f>IF(X695="","",IFERROR(INDEX($AQ$11:$AQ$4010,MATCH(685,$AY$11:$AY$4010,0)),""))</f>
        <v/>
      </c>
      <c r="AB695" s="15" t="str">
        <f>IF(X695="","",IFERROR(INDEX($AR$11:$AR$4010,MATCH(685,$AY$11:$AY$4010,0)),""))</f>
        <v/>
      </c>
      <c r="AD695" s="16" t="str">
        <f>IF(AE695="","",IFERROR(INDEX($AL$11:$AL$4010,MATCH(685,$AZ$11:$AZ$4010,0)),""))</f>
        <v/>
      </c>
      <c r="AE695" s="12" t="str">
        <f>IFERROR(INDEX($AM$11:$AM$4010,MATCH(685,$AZ$11:$AZ$4010,0)),"")</f>
        <v/>
      </c>
      <c r="AF695" s="11" t="str">
        <f>IF(AE695="","",IFERROR(INDEX($AN$11:$AN$4010,MATCH(685,$AZ$11:$AZ$4010,0)),""))</f>
        <v/>
      </c>
      <c r="AG695" s="11" t="str">
        <f>IF(AE695="","",IFERROR(INDEX($AO$11:$AO$4010,MATCH(685,$AZ$11:$AZ$4010,0)),""))</f>
        <v/>
      </c>
      <c r="AH695" s="10" t="str">
        <f>IF(AE695="","",IFERROR(INDEX($AQ$11:$AQ$4010,MATCH(685,$AZ$11:$AZ$4010,0)),""))</f>
        <v/>
      </c>
      <c r="AI695" s="15" t="str">
        <f>IF(AE695="","",IFERROR(INDEX($AR$11:$AR$4010,MATCH(685,$AZ$11:$AZ$4010,0)),""))</f>
        <v/>
      </c>
      <c r="AJ695" s="15" t="str">
        <f>IF(AE695="","",IFERROR(INDEX($AT$11:$AT$4010,MATCH(685,$AZ$11:$AZ$4010,0)),""))</f>
        <v/>
      </c>
      <c r="AL695" s="17"/>
      <c r="AM695" s="12"/>
      <c r="AN695" s="18"/>
      <c r="AO695" s="18"/>
      <c r="AP695" s="10"/>
      <c r="AQ695" s="10"/>
      <c r="AR695" s="19"/>
      <c r="AS695" s="20"/>
      <c r="AT695" s="19"/>
      <c r="AV695" s="21">
        <f>IF(AND($AL695&lt;&gt;"",COUNTIF($AL$11:$AL695,$AL695)=1),1,0)</f>
        <v>0</v>
      </c>
      <c r="AW695" s="21">
        <f t="shared" si="107"/>
        <v>0</v>
      </c>
      <c r="AX695" s="21" t="str">
        <f t="shared" si="106"/>
        <v/>
      </c>
      <c r="AY695" s="21" t="str">
        <f>IF(AND($AM695&lt;&gt;"",$AS695&lt;&gt;"✓"),SUMPRODUCT(($AM$11:$AM695&lt;&gt;"")*($AS$11:$AS695&lt;&gt;"✓")),"")</f>
        <v/>
      </c>
      <c r="AZ695" s="21" t="str">
        <f>IF(AND($AM695&lt;&gt;"",$AS695="✓"),SUMPRODUCT(($AM$11:$AM695&lt;&gt;"")*($AS$11:$AS695="✓")),"")</f>
        <v/>
      </c>
      <c r="BA695" s="21" t="str">
        <f>IF($AL695="","",$AL695&amp;"|"&amp;COUNTIF($AL$11:$AL695,$AL695))</f>
        <v/>
      </c>
    </row>
    <row r="696" spans="23:53" ht="15" customHeight="1" x14ac:dyDescent="0.25">
      <c r="W696" s="28" t="str">
        <f>IF(X696="","",IFERROR(INDEX($AL$11:$AL$4010,MATCH(686,$AY$11:$AY$4010,0)),""))</f>
        <v/>
      </c>
      <c r="X696" s="26" t="str">
        <f>IFERROR(INDEX($AM$11:$AM$4010,MATCH(686,$AY$11:$AY$4010,0)),"")</f>
        <v/>
      </c>
      <c r="Y696" s="25" t="str">
        <f>IF(X696="","",IFERROR(INDEX($AN$11:$AN$4010,MATCH(686,$AY$11:$AY$4010,0)),""))</f>
        <v/>
      </c>
      <c r="Z696" s="25" t="str">
        <f>IF(X696="","",IFERROR(INDEX($AO$11:$AO$4010,MATCH(686,$AY$11:$AY$4010,0)),""))</f>
        <v/>
      </c>
      <c r="AA696" s="24" t="str">
        <f>IF(X696="","",IFERROR(INDEX($AQ$11:$AQ$4010,MATCH(686,$AY$11:$AY$4010,0)),""))</f>
        <v/>
      </c>
      <c r="AB696" s="29" t="str">
        <f>IF(X696="","",IFERROR(INDEX($AR$11:$AR$4010,MATCH(686,$AY$11:$AY$4010,0)),""))</f>
        <v/>
      </c>
      <c r="AD696" s="30" t="str">
        <f>IF(AE696="","",IFERROR(INDEX($AL$11:$AL$4010,MATCH(686,$AZ$11:$AZ$4010,0)),""))</f>
        <v/>
      </c>
      <c r="AE696" s="26" t="str">
        <f>IFERROR(INDEX($AM$11:$AM$4010,MATCH(686,$AZ$11:$AZ$4010,0)),"")</f>
        <v/>
      </c>
      <c r="AF696" s="25" t="str">
        <f>IF(AE696="","",IFERROR(INDEX($AN$11:$AN$4010,MATCH(686,$AZ$11:$AZ$4010,0)),""))</f>
        <v/>
      </c>
      <c r="AG696" s="25" t="str">
        <f>IF(AE696="","",IFERROR(INDEX($AO$11:$AO$4010,MATCH(686,$AZ$11:$AZ$4010,0)),""))</f>
        <v/>
      </c>
      <c r="AH696" s="24" t="str">
        <f>IF(AE696="","",IFERROR(INDEX($AQ$11:$AQ$4010,MATCH(686,$AZ$11:$AZ$4010,0)),""))</f>
        <v/>
      </c>
      <c r="AI696" s="29" t="str">
        <f>IF(AE696="","",IFERROR(INDEX($AR$11:$AR$4010,MATCH(686,$AZ$11:$AZ$4010,0)),""))</f>
        <v/>
      </c>
      <c r="AJ696" s="29" t="str">
        <f>IF(AE696="","",IFERROR(INDEX($AT$11:$AT$4010,MATCH(686,$AZ$11:$AZ$4010,0)),""))</f>
        <v/>
      </c>
      <c r="AL696" s="31"/>
      <c r="AM696" s="26"/>
      <c r="AN696" s="32"/>
      <c r="AO696" s="32"/>
      <c r="AP696" s="24"/>
      <c r="AQ696" s="24"/>
      <c r="AR696" s="33"/>
      <c r="AS696" s="34"/>
      <c r="AT696" s="33"/>
      <c r="AV696" s="21">
        <f>IF(AND($AL696&lt;&gt;"",COUNTIF($AL$11:$AL696,$AL696)=1),1,0)</f>
        <v>0</v>
      </c>
      <c r="AW696" s="21">
        <f t="shared" si="107"/>
        <v>0</v>
      </c>
      <c r="AX696" s="21" t="str">
        <f t="shared" si="106"/>
        <v/>
      </c>
      <c r="AY696" s="21" t="str">
        <f>IF(AND($AM696&lt;&gt;"",$AS696&lt;&gt;"✓"),SUMPRODUCT(($AM$11:$AM696&lt;&gt;"")*($AS$11:$AS696&lt;&gt;"✓")),"")</f>
        <v/>
      </c>
      <c r="AZ696" s="21" t="str">
        <f>IF(AND($AM696&lt;&gt;"",$AS696="✓"),SUMPRODUCT(($AM$11:$AM696&lt;&gt;"")*($AS$11:$AS696="✓")),"")</f>
        <v/>
      </c>
      <c r="BA696" s="21" t="str">
        <f>IF($AL696="","",$AL696&amp;"|"&amp;COUNTIF($AL$11:$AL696,$AL696))</f>
        <v/>
      </c>
    </row>
    <row r="697" spans="23:53" ht="15" customHeight="1" x14ac:dyDescent="0.25">
      <c r="W697" s="14" t="str">
        <f>IF(X697="","",IFERROR(INDEX($AL$11:$AL$4010,MATCH(687,$AY$11:$AY$4010,0)),""))</f>
        <v/>
      </c>
      <c r="X697" s="12" t="str">
        <f>IFERROR(INDEX($AM$11:$AM$4010,MATCH(687,$AY$11:$AY$4010,0)),"")</f>
        <v/>
      </c>
      <c r="Y697" s="11" t="str">
        <f>IF(X697="","",IFERROR(INDEX($AN$11:$AN$4010,MATCH(687,$AY$11:$AY$4010,0)),""))</f>
        <v/>
      </c>
      <c r="Z697" s="11" t="str">
        <f>IF(X697="","",IFERROR(INDEX($AO$11:$AO$4010,MATCH(687,$AY$11:$AY$4010,0)),""))</f>
        <v/>
      </c>
      <c r="AA697" s="10" t="str">
        <f>IF(X697="","",IFERROR(INDEX($AQ$11:$AQ$4010,MATCH(687,$AY$11:$AY$4010,0)),""))</f>
        <v/>
      </c>
      <c r="AB697" s="15" t="str">
        <f>IF(X697="","",IFERROR(INDEX($AR$11:$AR$4010,MATCH(687,$AY$11:$AY$4010,0)),""))</f>
        <v/>
      </c>
      <c r="AD697" s="16" t="str">
        <f>IF(AE697="","",IFERROR(INDEX($AL$11:$AL$4010,MATCH(687,$AZ$11:$AZ$4010,0)),""))</f>
        <v/>
      </c>
      <c r="AE697" s="12" t="str">
        <f>IFERROR(INDEX($AM$11:$AM$4010,MATCH(687,$AZ$11:$AZ$4010,0)),"")</f>
        <v/>
      </c>
      <c r="AF697" s="11" t="str">
        <f>IF(AE697="","",IFERROR(INDEX($AN$11:$AN$4010,MATCH(687,$AZ$11:$AZ$4010,0)),""))</f>
        <v/>
      </c>
      <c r="AG697" s="11" t="str">
        <f>IF(AE697="","",IFERROR(INDEX($AO$11:$AO$4010,MATCH(687,$AZ$11:$AZ$4010,0)),""))</f>
        <v/>
      </c>
      <c r="AH697" s="10" t="str">
        <f>IF(AE697="","",IFERROR(INDEX($AQ$11:$AQ$4010,MATCH(687,$AZ$11:$AZ$4010,0)),""))</f>
        <v/>
      </c>
      <c r="AI697" s="15" t="str">
        <f>IF(AE697="","",IFERROR(INDEX($AR$11:$AR$4010,MATCH(687,$AZ$11:$AZ$4010,0)),""))</f>
        <v/>
      </c>
      <c r="AJ697" s="15" t="str">
        <f>IF(AE697="","",IFERROR(INDEX($AT$11:$AT$4010,MATCH(687,$AZ$11:$AZ$4010,0)),""))</f>
        <v/>
      </c>
      <c r="AL697" s="17"/>
      <c r="AM697" s="12"/>
      <c r="AN697" s="18"/>
      <c r="AO697" s="18"/>
      <c r="AP697" s="10"/>
      <c r="AQ697" s="10"/>
      <c r="AR697" s="19"/>
      <c r="AS697" s="20"/>
      <c r="AT697" s="19"/>
      <c r="AV697" s="21">
        <f>IF(AND($AL697&lt;&gt;"",COUNTIF($AL$11:$AL697,$AL697)=1),1,0)</f>
        <v>0</v>
      </c>
      <c r="AW697" s="21">
        <f t="shared" si="107"/>
        <v>0</v>
      </c>
      <c r="AX697" s="21" t="str">
        <f t="shared" si="106"/>
        <v/>
      </c>
      <c r="AY697" s="21" t="str">
        <f>IF(AND($AM697&lt;&gt;"",$AS697&lt;&gt;"✓"),SUMPRODUCT(($AM$11:$AM697&lt;&gt;"")*($AS$11:$AS697&lt;&gt;"✓")),"")</f>
        <v/>
      </c>
      <c r="AZ697" s="21" t="str">
        <f>IF(AND($AM697&lt;&gt;"",$AS697="✓"),SUMPRODUCT(($AM$11:$AM697&lt;&gt;"")*($AS$11:$AS697="✓")),"")</f>
        <v/>
      </c>
      <c r="BA697" s="21" t="str">
        <f>IF($AL697="","",$AL697&amp;"|"&amp;COUNTIF($AL$11:$AL697,$AL697))</f>
        <v/>
      </c>
    </row>
    <row r="698" spans="23:53" ht="15" customHeight="1" x14ac:dyDescent="0.25">
      <c r="W698" s="28" t="str">
        <f>IF(X698="","",IFERROR(INDEX($AL$11:$AL$4010,MATCH(688,$AY$11:$AY$4010,0)),""))</f>
        <v/>
      </c>
      <c r="X698" s="26" t="str">
        <f>IFERROR(INDEX($AM$11:$AM$4010,MATCH(688,$AY$11:$AY$4010,0)),"")</f>
        <v/>
      </c>
      <c r="Y698" s="25" t="str">
        <f>IF(X698="","",IFERROR(INDEX($AN$11:$AN$4010,MATCH(688,$AY$11:$AY$4010,0)),""))</f>
        <v/>
      </c>
      <c r="Z698" s="25" t="str">
        <f>IF(X698="","",IFERROR(INDEX($AO$11:$AO$4010,MATCH(688,$AY$11:$AY$4010,0)),""))</f>
        <v/>
      </c>
      <c r="AA698" s="24" t="str">
        <f>IF(X698="","",IFERROR(INDEX($AQ$11:$AQ$4010,MATCH(688,$AY$11:$AY$4010,0)),""))</f>
        <v/>
      </c>
      <c r="AB698" s="29" t="str">
        <f>IF(X698="","",IFERROR(INDEX($AR$11:$AR$4010,MATCH(688,$AY$11:$AY$4010,0)),""))</f>
        <v/>
      </c>
      <c r="AD698" s="30" t="str">
        <f>IF(AE698="","",IFERROR(INDEX($AL$11:$AL$4010,MATCH(688,$AZ$11:$AZ$4010,0)),""))</f>
        <v/>
      </c>
      <c r="AE698" s="26" t="str">
        <f>IFERROR(INDEX($AM$11:$AM$4010,MATCH(688,$AZ$11:$AZ$4010,0)),"")</f>
        <v/>
      </c>
      <c r="AF698" s="25" t="str">
        <f>IF(AE698="","",IFERROR(INDEX($AN$11:$AN$4010,MATCH(688,$AZ$11:$AZ$4010,0)),""))</f>
        <v/>
      </c>
      <c r="AG698" s="25" t="str">
        <f>IF(AE698="","",IFERROR(INDEX($AO$11:$AO$4010,MATCH(688,$AZ$11:$AZ$4010,0)),""))</f>
        <v/>
      </c>
      <c r="AH698" s="24" t="str">
        <f>IF(AE698="","",IFERROR(INDEX($AQ$11:$AQ$4010,MATCH(688,$AZ$11:$AZ$4010,0)),""))</f>
        <v/>
      </c>
      <c r="AI698" s="29" t="str">
        <f>IF(AE698="","",IFERROR(INDEX($AR$11:$AR$4010,MATCH(688,$AZ$11:$AZ$4010,0)),""))</f>
        <v/>
      </c>
      <c r="AJ698" s="29" t="str">
        <f>IF(AE698="","",IFERROR(INDEX($AT$11:$AT$4010,MATCH(688,$AZ$11:$AZ$4010,0)),""))</f>
        <v/>
      </c>
      <c r="AL698" s="31"/>
      <c r="AM698" s="26"/>
      <c r="AN698" s="32"/>
      <c r="AO698" s="32"/>
      <c r="AP698" s="24"/>
      <c r="AQ698" s="24"/>
      <c r="AR698" s="33"/>
      <c r="AS698" s="34"/>
      <c r="AT698" s="33"/>
      <c r="AV698" s="21">
        <f>IF(AND($AL698&lt;&gt;"",COUNTIF($AL$11:$AL698,$AL698)=1),1,0)</f>
        <v>0</v>
      </c>
      <c r="AW698" s="21">
        <f t="shared" si="107"/>
        <v>0</v>
      </c>
      <c r="AX698" s="21" t="str">
        <f t="shared" si="106"/>
        <v/>
      </c>
      <c r="AY698" s="21" t="str">
        <f>IF(AND($AM698&lt;&gt;"",$AS698&lt;&gt;"✓"),SUMPRODUCT(($AM$11:$AM698&lt;&gt;"")*($AS$11:$AS698&lt;&gt;"✓")),"")</f>
        <v/>
      </c>
      <c r="AZ698" s="21" t="str">
        <f>IF(AND($AM698&lt;&gt;"",$AS698="✓"),SUMPRODUCT(($AM$11:$AM698&lt;&gt;"")*($AS$11:$AS698="✓")),"")</f>
        <v/>
      </c>
      <c r="BA698" s="21" t="str">
        <f>IF($AL698="","",$AL698&amp;"|"&amp;COUNTIF($AL$11:$AL698,$AL698))</f>
        <v/>
      </c>
    </row>
    <row r="699" spans="23:53" ht="15" customHeight="1" x14ac:dyDescent="0.25">
      <c r="W699" s="14" t="str">
        <f>IF(X699="","",IFERROR(INDEX($AL$11:$AL$4010,MATCH(689,$AY$11:$AY$4010,0)),""))</f>
        <v/>
      </c>
      <c r="X699" s="12" t="str">
        <f>IFERROR(INDEX($AM$11:$AM$4010,MATCH(689,$AY$11:$AY$4010,0)),"")</f>
        <v/>
      </c>
      <c r="Y699" s="11" t="str">
        <f>IF(X699="","",IFERROR(INDEX($AN$11:$AN$4010,MATCH(689,$AY$11:$AY$4010,0)),""))</f>
        <v/>
      </c>
      <c r="Z699" s="11" t="str">
        <f>IF(X699="","",IFERROR(INDEX($AO$11:$AO$4010,MATCH(689,$AY$11:$AY$4010,0)),""))</f>
        <v/>
      </c>
      <c r="AA699" s="10" t="str">
        <f>IF(X699="","",IFERROR(INDEX($AQ$11:$AQ$4010,MATCH(689,$AY$11:$AY$4010,0)),""))</f>
        <v/>
      </c>
      <c r="AB699" s="15" t="str">
        <f>IF(X699="","",IFERROR(INDEX($AR$11:$AR$4010,MATCH(689,$AY$11:$AY$4010,0)),""))</f>
        <v/>
      </c>
      <c r="AD699" s="16" t="str">
        <f>IF(AE699="","",IFERROR(INDEX($AL$11:$AL$4010,MATCH(689,$AZ$11:$AZ$4010,0)),""))</f>
        <v/>
      </c>
      <c r="AE699" s="12" t="str">
        <f>IFERROR(INDEX($AM$11:$AM$4010,MATCH(689,$AZ$11:$AZ$4010,0)),"")</f>
        <v/>
      </c>
      <c r="AF699" s="11" t="str">
        <f>IF(AE699="","",IFERROR(INDEX($AN$11:$AN$4010,MATCH(689,$AZ$11:$AZ$4010,0)),""))</f>
        <v/>
      </c>
      <c r="AG699" s="11" t="str">
        <f>IF(AE699="","",IFERROR(INDEX($AO$11:$AO$4010,MATCH(689,$AZ$11:$AZ$4010,0)),""))</f>
        <v/>
      </c>
      <c r="AH699" s="10" t="str">
        <f>IF(AE699="","",IFERROR(INDEX($AQ$11:$AQ$4010,MATCH(689,$AZ$11:$AZ$4010,0)),""))</f>
        <v/>
      </c>
      <c r="AI699" s="15" t="str">
        <f>IF(AE699="","",IFERROR(INDEX($AR$11:$AR$4010,MATCH(689,$AZ$11:$AZ$4010,0)),""))</f>
        <v/>
      </c>
      <c r="AJ699" s="15" t="str">
        <f>IF(AE699="","",IFERROR(INDEX($AT$11:$AT$4010,MATCH(689,$AZ$11:$AZ$4010,0)),""))</f>
        <v/>
      </c>
      <c r="AL699" s="17"/>
      <c r="AM699" s="12"/>
      <c r="AN699" s="18"/>
      <c r="AO699" s="18"/>
      <c r="AP699" s="10"/>
      <c r="AQ699" s="10"/>
      <c r="AR699" s="19"/>
      <c r="AS699" s="20"/>
      <c r="AT699" s="19"/>
      <c r="AV699" s="21">
        <f>IF(AND($AL699&lt;&gt;"",COUNTIF($AL$11:$AL699,$AL699)=1),1,0)</f>
        <v>0</v>
      </c>
      <c r="AW699" s="21">
        <f t="shared" si="107"/>
        <v>0</v>
      </c>
      <c r="AX699" s="21" t="str">
        <f t="shared" si="106"/>
        <v/>
      </c>
      <c r="AY699" s="21" t="str">
        <f>IF(AND($AM699&lt;&gt;"",$AS699&lt;&gt;"✓"),SUMPRODUCT(($AM$11:$AM699&lt;&gt;"")*($AS$11:$AS699&lt;&gt;"✓")),"")</f>
        <v/>
      </c>
      <c r="AZ699" s="21" t="str">
        <f>IF(AND($AM699&lt;&gt;"",$AS699="✓"),SUMPRODUCT(($AM$11:$AM699&lt;&gt;"")*($AS$11:$AS699="✓")),"")</f>
        <v/>
      </c>
      <c r="BA699" s="21" t="str">
        <f>IF($AL699="","",$AL699&amp;"|"&amp;COUNTIF($AL$11:$AL699,$AL699))</f>
        <v/>
      </c>
    </row>
    <row r="700" spans="23:53" ht="15" customHeight="1" x14ac:dyDescent="0.25">
      <c r="W700" s="28" t="str">
        <f>IF(X700="","",IFERROR(INDEX($AL$11:$AL$4010,MATCH(690,$AY$11:$AY$4010,0)),""))</f>
        <v/>
      </c>
      <c r="X700" s="26" t="str">
        <f>IFERROR(INDEX($AM$11:$AM$4010,MATCH(690,$AY$11:$AY$4010,0)),"")</f>
        <v/>
      </c>
      <c r="Y700" s="25" t="str">
        <f>IF(X700="","",IFERROR(INDEX($AN$11:$AN$4010,MATCH(690,$AY$11:$AY$4010,0)),""))</f>
        <v/>
      </c>
      <c r="Z700" s="25" t="str">
        <f>IF(X700="","",IFERROR(INDEX($AO$11:$AO$4010,MATCH(690,$AY$11:$AY$4010,0)),""))</f>
        <v/>
      </c>
      <c r="AA700" s="24" t="str">
        <f>IF(X700="","",IFERROR(INDEX($AQ$11:$AQ$4010,MATCH(690,$AY$11:$AY$4010,0)),""))</f>
        <v/>
      </c>
      <c r="AB700" s="29" t="str">
        <f>IF(X700="","",IFERROR(INDEX($AR$11:$AR$4010,MATCH(690,$AY$11:$AY$4010,0)),""))</f>
        <v/>
      </c>
      <c r="AD700" s="30" t="str">
        <f>IF(AE700="","",IFERROR(INDEX($AL$11:$AL$4010,MATCH(690,$AZ$11:$AZ$4010,0)),""))</f>
        <v/>
      </c>
      <c r="AE700" s="26" t="str">
        <f>IFERROR(INDEX($AM$11:$AM$4010,MATCH(690,$AZ$11:$AZ$4010,0)),"")</f>
        <v/>
      </c>
      <c r="AF700" s="25" t="str">
        <f>IF(AE700="","",IFERROR(INDEX($AN$11:$AN$4010,MATCH(690,$AZ$11:$AZ$4010,0)),""))</f>
        <v/>
      </c>
      <c r="AG700" s="25" t="str">
        <f>IF(AE700="","",IFERROR(INDEX($AO$11:$AO$4010,MATCH(690,$AZ$11:$AZ$4010,0)),""))</f>
        <v/>
      </c>
      <c r="AH700" s="24" t="str">
        <f>IF(AE700="","",IFERROR(INDEX($AQ$11:$AQ$4010,MATCH(690,$AZ$11:$AZ$4010,0)),""))</f>
        <v/>
      </c>
      <c r="AI700" s="29" t="str">
        <f>IF(AE700="","",IFERROR(INDEX($AR$11:$AR$4010,MATCH(690,$AZ$11:$AZ$4010,0)),""))</f>
        <v/>
      </c>
      <c r="AJ700" s="29" t="str">
        <f>IF(AE700="","",IFERROR(INDEX($AT$11:$AT$4010,MATCH(690,$AZ$11:$AZ$4010,0)),""))</f>
        <v/>
      </c>
      <c r="AL700" s="31"/>
      <c r="AM700" s="26"/>
      <c r="AN700" s="32"/>
      <c r="AO700" s="32"/>
      <c r="AP700" s="24"/>
      <c r="AQ700" s="24"/>
      <c r="AR700" s="33"/>
      <c r="AS700" s="34"/>
      <c r="AT700" s="33"/>
      <c r="AV700" s="21">
        <f>IF(AND($AL700&lt;&gt;"",COUNTIF($AL$11:$AL700,$AL700)=1),1,0)</f>
        <v>0</v>
      </c>
      <c r="AW700" s="21">
        <f t="shared" si="107"/>
        <v>0</v>
      </c>
      <c r="AX700" s="21" t="str">
        <f t="shared" si="106"/>
        <v/>
      </c>
      <c r="AY700" s="21" t="str">
        <f>IF(AND($AM700&lt;&gt;"",$AS700&lt;&gt;"✓"),SUMPRODUCT(($AM$11:$AM700&lt;&gt;"")*($AS$11:$AS700&lt;&gt;"✓")),"")</f>
        <v/>
      </c>
      <c r="AZ700" s="21" t="str">
        <f>IF(AND($AM700&lt;&gt;"",$AS700="✓"),SUMPRODUCT(($AM$11:$AM700&lt;&gt;"")*($AS$11:$AS700="✓")),"")</f>
        <v/>
      </c>
      <c r="BA700" s="21" t="str">
        <f>IF($AL700="","",$AL700&amp;"|"&amp;COUNTIF($AL$11:$AL700,$AL700))</f>
        <v/>
      </c>
    </row>
    <row r="701" spans="23:53" ht="15" customHeight="1" x14ac:dyDescent="0.25">
      <c r="W701" s="14" t="str">
        <f>IF(X701="","",IFERROR(INDEX($AL$11:$AL$4010,MATCH(691,$AY$11:$AY$4010,0)),""))</f>
        <v/>
      </c>
      <c r="X701" s="12" t="str">
        <f>IFERROR(INDEX($AM$11:$AM$4010,MATCH(691,$AY$11:$AY$4010,0)),"")</f>
        <v/>
      </c>
      <c r="Y701" s="11" t="str">
        <f>IF(X701="","",IFERROR(INDEX($AN$11:$AN$4010,MATCH(691,$AY$11:$AY$4010,0)),""))</f>
        <v/>
      </c>
      <c r="Z701" s="11" t="str">
        <f>IF(X701="","",IFERROR(INDEX($AO$11:$AO$4010,MATCH(691,$AY$11:$AY$4010,0)),""))</f>
        <v/>
      </c>
      <c r="AA701" s="10" t="str">
        <f>IF(X701="","",IFERROR(INDEX($AQ$11:$AQ$4010,MATCH(691,$AY$11:$AY$4010,0)),""))</f>
        <v/>
      </c>
      <c r="AB701" s="15" t="str">
        <f>IF(X701="","",IFERROR(INDEX($AR$11:$AR$4010,MATCH(691,$AY$11:$AY$4010,0)),""))</f>
        <v/>
      </c>
      <c r="AD701" s="16" t="str">
        <f>IF(AE701="","",IFERROR(INDEX($AL$11:$AL$4010,MATCH(691,$AZ$11:$AZ$4010,0)),""))</f>
        <v/>
      </c>
      <c r="AE701" s="12" t="str">
        <f>IFERROR(INDEX($AM$11:$AM$4010,MATCH(691,$AZ$11:$AZ$4010,0)),"")</f>
        <v/>
      </c>
      <c r="AF701" s="11" t="str">
        <f>IF(AE701="","",IFERROR(INDEX($AN$11:$AN$4010,MATCH(691,$AZ$11:$AZ$4010,0)),""))</f>
        <v/>
      </c>
      <c r="AG701" s="11" t="str">
        <f>IF(AE701="","",IFERROR(INDEX($AO$11:$AO$4010,MATCH(691,$AZ$11:$AZ$4010,0)),""))</f>
        <v/>
      </c>
      <c r="AH701" s="10" t="str">
        <f>IF(AE701="","",IFERROR(INDEX($AQ$11:$AQ$4010,MATCH(691,$AZ$11:$AZ$4010,0)),""))</f>
        <v/>
      </c>
      <c r="AI701" s="15" t="str">
        <f>IF(AE701="","",IFERROR(INDEX($AR$11:$AR$4010,MATCH(691,$AZ$11:$AZ$4010,0)),""))</f>
        <v/>
      </c>
      <c r="AJ701" s="15" t="str">
        <f>IF(AE701="","",IFERROR(INDEX($AT$11:$AT$4010,MATCH(691,$AZ$11:$AZ$4010,0)),""))</f>
        <v/>
      </c>
      <c r="AL701" s="17"/>
      <c r="AM701" s="12"/>
      <c r="AN701" s="18"/>
      <c r="AO701" s="18"/>
      <c r="AP701" s="10"/>
      <c r="AQ701" s="10"/>
      <c r="AR701" s="19"/>
      <c r="AS701" s="20"/>
      <c r="AT701" s="19"/>
      <c r="AV701" s="21">
        <f>IF(AND($AL701&lt;&gt;"",COUNTIF($AL$11:$AL701,$AL701)=1),1,0)</f>
        <v>0</v>
      </c>
      <c r="AW701" s="21">
        <f t="shared" si="107"/>
        <v>0</v>
      </c>
      <c r="AX701" s="21" t="str">
        <f t="shared" si="106"/>
        <v/>
      </c>
      <c r="AY701" s="21" t="str">
        <f>IF(AND($AM701&lt;&gt;"",$AS701&lt;&gt;"✓"),SUMPRODUCT(($AM$11:$AM701&lt;&gt;"")*($AS$11:$AS701&lt;&gt;"✓")),"")</f>
        <v/>
      </c>
      <c r="AZ701" s="21" t="str">
        <f>IF(AND($AM701&lt;&gt;"",$AS701="✓"),SUMPRODUCT(($AM$11:$AM701&lt;&gt;"")*($AS$11:$AS701="✓")),"")</f>
        <v/>
      </c>
      <c r="BA701" s="21" t="str">
        <f>IF($AL701="","",$AL701&amp;"|"&amp;COUNTIF($AL$11:$AL701,$AL701))</f>
        <v/>
      </c>
    </row>
    <row r="702" spans="23:53" ht="15" customHeight="1" x14ac:dyDescent="0.25">
      <c r="W702" s="28" t="str">
        <f>IF(X702="","",IFERROR(INDEX($AL$11:$AL$4010,MATCH(692,$AY$11:$AY$4010,0)),""))</f>
        <v/>
      </c>
      <c r="X702" s="26" t="str">
        <f>IFERROR(INDEX($AM$11:$AM$4010,MATCH(692,$AY$11:$AY$4010,0)),"")</f>
        <v/>
      </c>
      <c r="Y702" s="25" t="str">
        <f>IF(X702="","",IFERROR(INDEX($AN$11:$AN$4010,MATCH(692,$AY$11:$AY$4010,0)),""))</f>
        <v/>
      </c>
      <c r="Z702" s="25" t="str">
        <f>IF(X702="","",IFERROR(INDEX($AO$11:$AO$4010,MATCH(692,$AY$11:$AY$4010,0)),""))</f>
        <v/>
      </c>
      <c r="AA702" s="24" t="str">
        <f>IF(X702="","",IFERROR(INDEX($AQ$11:$AQ$4010,MATCH(692,$AY$11:$AY$4010,0)),""))</f>
        <v/>
      </c>
      <c r="AB702" s="29" t="str">
        <f>IF(X702="","",IFERROR(INDEX($AR$11:$AR$4010,MATCH(692,$AY$11:$AY$4010,0)),""))</f>
        <v/>
      </c>
      <c r="AD702" s="30" t="str">
        <f>IF(AE702="","",IFERROR(INDEX($AL$11:$AL$4010,MATCH(692,$AZ$11:$AZ$4010,0)),""))</f>
        <v/>
      </c>
      <c r="AE702" s="26" t="str">
        <f>IFERROR(INDEX($AM$11:$AM$4010,MATCH(692,$AZ$11:$AZ$4010,0)),"")</f>
        <v/>
      </c>
      <c r="AF702" s="25" t="str">
        <f>IF(AE702="","",IFERROR(INDEX($AN$11:$AN$4010,MATCH(692,$AZ$11:$AZ$4010,0)),""))</f>
        <v/>
      </c>
      <c r="AG702" s="25" t="str">
        <f>IF(AE702="","",IFERROR(INDEX($AO$11:$AO$4010,MATCH(692,$AZ$11:$AZ$4010,0)),""))</f>
        <v/>
      </c>
      <c r="AH702" s="24" t="str">
        <f>IF(AE702="","",IFERROR(INDEX($AQ$11:$AQ$4010,MATCH(692,$AZ$11:$AZ$4010,0)),""))</f>
        <v/>
      </c>
      <c r="AI702" s="29" t="str">
        <f>IF(AE702="","",IFERROR(INDEX($AR$11:$AR$4010,MATCH(692,$AZ$11:$AZ$4010,0)),""))</f>
        <v/>
      </c>
      <c r="AJ702" s="29" t="str">
        <f>IF(AE702="","",IFERROR(INDEX($AT$11:$AT$4010,MATCH(692,$AZ$11:$AZ$4010,0)),""))</f>
        <v/>
      </c>
      <c r="AL702" s="31"/>
      <c r="AM702" s="26"/>
      <c r="AN702" s="32"/>
      <c r="AO702" s="32"/>
      <c r="AP702" s="24"/>
      <c r="AQ702" s="24"/>
      <c r="AR702" s="33"/>
      <c r="AS702" s="34"/>
      <c r="AT702" s="33"/>
      <c r="AV702" s="21">
        <f>IF(AND($AL702&lt;&gt;"",COUNTIF($AL$11:$AL702,$AL702)=1),1,0)</f>
        <v>0</v>
      </c>
      <c r="AW702" s="21">
        <f t="shared" si="107"/>
        <v>0</v>
      </c>
      <c r="AX702" s="21" t="str">
        <f t="shared" si="106"/>
        <v/>
      </c>
      <c r="AY702" s="21" t="str">
        <f>IF(AND($AM702&lt;&gt;"",$AS702&lt;&gt;"✓"),SUMPRODUCT(($AM$11:$AM702&lt;&gt;"")*($AS$11:$AS702&lt;&gt;"✓")),"")</f>
        <v/>
      </c>
      <c r="AZ702" s="21" t="str">
        <f>IF(AND($AM702&lt;&gt;"",$AS702="✓"),SUMPRODUCT(($AM$11:$AM702&lt;&gt;"")*($AS$11:$AS702="✓")),"")</f>
        <v/>
      </c>
      <c r="BA702" s="21" t="str">
        <f>IF($AL702="","",$AL702&amp;"|"&amp;COUNTIF($AL$11:$AL702,$AL702))</f>
        <v/>
      </c>
    </row>
    <row r="703" spans="23:53" ht="15" customHeight="1" x14ac:dyDescent="0.25">
      <c r="W703" s="14" t="str">
        <f>IF(X703="","",IFERROR(INDEX($AL$11:$AL$4010,MATCH(693,$AY$11:$AY$4010,0)),""))</f>
        <v/>
      </c>
      <c r="X703" s="12" t="str">
        <f>IFERROR(INDEX($AM$11:$AM$4010,MATCH(693,$AY$11:$AY$4010,0)),"")</f>
        <v/>
      </c>
      <c r="Y703" s="11" t="str">
        <f>IF(X703="","",IFERROR(INDEX($AN$11:$AN$4010,MATCH(693,$AY$11:$AY$4010,0)),""))</f>
        <v/>
      </c>
      <c r="Z703" s="11" t="str">
        <f>IF(X703="","",IFERROR(INDEX($AO$11:$AO$4010,MATCH(693,$AY$11:$AY$4010,0)),""))</f>
        <v/>
      </c>
      <c r="AA703" s="10" t="str">
        <f>IF(X703="","",IFERROR(INDEX($AQ$11:$AQ$4010,MATCH(693,$AY$11:$AY$4010,0)),""))</f>
        <v/>
      </c>
      <c r="AB703" s="15" t="str">
        <f>IF(X703="","",IFERROR(INDEX($AR$11:$AR$4010,MATCH(693,$AY$11:$AY$4010,0)),""))</f>
        <v/>
      </c>
      <c r="AD703" s="16" t="str">
        <f>IF(AE703="","",IFERROR(INDEX($AL$11:$AL$4010,MATCH(693,$AZ$11:$AZ$4010,0)),""))</f>
        <v/>
      </c>
      <c r="AE703" s="12" t="str">
        <f>IFERROR(INDEX($AM$11:$AM$4010,MATCH(693,$AZ$11:$AZ$4010,0)),"")</f>
        <v/>
      </c>
      <c r="AF703" s="11" t="str">
        <f>IF(AE703="","",IFERROR(INDEX($AN$11:$AN$4010,MATCH(693,$AZ$11:$AZ$4010,0)),""))</f>
        <v/>
      </c>
      <c r="AG703" s="11" t="str">
        <f>IF(AE703="","",IFERROR(INDEX($AO$11:$AO$4010,MATCH(693,$AZ$11:$AZ$4010,0)),""))</f>
        <v/>
      </c>
      <c r="AH703" s="10" t="str">
        <f>IF(AE703="","",IFERROR(INDEX($AQ$11:$AQ$4010,MATCH(693,$AZ$11:$AZ$4010,0)),""))</f>
        <v/>
      </c>
      <c r="AI703" s="15" t="str">
        <f>IF(AE703="","",IFERROR(INDEX($AR$11:$AR$4010,MATCH(693,$AZ$11:$AZ$4010,0)),""))</f>
        <v/>
      </c>
      <c r="AJ703" s="15" t="str">
        <f>IF(AE703="","",IFERROR(INDEX($AT$11:$AT$4010,MATCH(693,$AZ$11:$AZ$4010,0)),""))</f>
        <v/>
      </c>
      <c r="AL703" s="17"/>
      <c r="AM703" s="12"/>
      <c r="AN703" s="18"/>
      <c r="AO703" s="18"/>
      <c r="AP703" s="10"/>
      <c r="AQ703" s="10"/>
      <c r="AR703" s="19"/>
      <c r="AS703" s="20"/>
      <c r="AT703" s="19"/>
      <c r="AV703" s="21">
        <f>IF(AND($AL703&lt;&gt;"",COUNTIF($AL$11:$AL703,$AL703)=1),1,0)</f>
        <v>0</v>
      </c>
      <c r="AW703" s="21">
        <f t="shared" si="107"/>
        <v>0</v>
      </c>
      <c r="AX703" s="21" t="str">
        <f t="shared" si="106"/>
        <v/>
      </c>
      <c r="AY703" s="21" t="str">
        <f>IF(AND($AM703&lt;&gt;"",$AS703&lt;&gt;"✓"),SUMPRODUCT(($AM$11:$AM703&lt;&gt;"")*($AS$11:$AS703&lt;&gt;"✓")),"")</f>
        <v/>
      </c>
      <c r="AZ703" s="21" t="str">
        <f>IF(AND($AM703&lt;&gt;"",$AS703="✓"),SUMPRODUCT(($AM$11:$AM703&lt;&gt;"")*($AS$11:$AS703="✓")),"")</f>
        <v/>
      </c>
      <c r="BA703" s="21" t="str">
        <f>IF($AL703="","",$AL703&amp;"|"&amp;COUNTIF($AL$11:$AL703,$AL703))</f>
        <v/>
      </c>
    </row>
    <row r="704" spans="23:53" ht="15" customHeight="1" x14ac:dyDescent="0.25">
      <c r="W704" s="28" t="str">
        <f>IF(X704="","",IFERROR(INDEX($AL$11:$AL$4010,MATCH(694,$AY$11:$AY$4010,0)),""))</f>
        <v/>
      </c>
      <c r="X704" s="26" t="str">
        <f>IFERROR(INDEX($AM$11:$AM$4010,MATCH(694,$AY$11:$AY$4010,0)),"")</f>
        <v/>
      </c>
      <c r="Y704" s="25" t="str">
        <f>IF(X704="","",IFERROR(INDEX($AN$11:$AN$4010,MATCH(694,$AY$11:$AY$4010,0)),""))</f>
        <v/>
      </c>
      <c r="Z704" s="25" t="str">
        <f>IF(X704="","",IFERROR(INDEX($AO$11:$AO$4010,MATCH(694,$AY$11:$AY$4010,0)),""))</f>
        <v/>
      </c>
      <c r="AA704" s="24" t="str">
        <f>IF(X704="","",IFERROR(INDEX($AQ$11:$AQ$4010,MATCH(694,$AY$11:$AY$4010,0)),""))</f>
        <v/>
      </c>
      <c r="AB704" s="29" t="str">
        <f>IF(X704="","",IFERROR(INDEX($AR$11:$AR$4010,MATCH(694,$AY$11:$AY$4010,0)),""))</f>
        <v/>
      </c>
      <c r="AD704" s="30" t="str">
        <f>IF(AE704="","",IFERROR(INDEX($AL$11:$AL$4010,MATCH(694,$AZ$11:$AZ$4010,0)),""))</f>
        <v/>
      </c>
      <c r="AE704" s="26" t="str">
        <f>IFERROR(INDEX($AM$11:$AM$4010,MATCH(694,$AZ$11:$AZ$4010,0)),"")</f>
        <v/>
      </c>
      <c r="AF704" s="25" t="str">
        <f>IF(AE704="","",IFERROR(INDEX($AN$11:$AN$4010,MATCH(694,$AZ$11:$AZ$4010,0)),""))</f>
        <v/>
      </c>
      <c r="AG704" s="25" t="str">
        <f>IF(AE704="","",IFERROR(INDEX($AO$11:$AO$4010,MATCH(694,$AZ$11:$AZ$4010,0)),""))</f>
        <v/>
      </c>
      <c r="AH704" s="24" t="str">
        <f>IF(AE704="","",IFERROR(INDEX($AQ$11:$AQ$4010,MATCH(694,$AZ$11:$AZ$4010,0)),""))</f>
        <v/>
      </c>
      <c r="AI704" s="29" t="str">
        <f>IF(AE704="","",IFERROR(INDEX($AR$11:$AR$4010,MATCH(694,$AZ$11:$AZ$4010,0)),""))</f>
        <v/>
      </c>
      <c r="AJ704" s="29" t="str">
        <f>IF(AE704="","",IFERROR(INDEX($AT$11:$AT$4010,MATCH(694,$AZ$11:$AZ$4010,0)),""))</f>
        <v/>
      </c>
      <c r="AL704" s="31"/>
      <c r="AM704" s="26"/>
      <c r="AN704" s="32"/>
      <c r="AO704" s="32"/>
      <c r="AP704" s="24"/>
      <c r="AQ704" s="24"/>
      <c r="AR704" s="33"/>
      <c r="AS704" s="34"/>
      <c r="AT704" s="33"/>
      <c r="AV704" s="21">
        <f>IF(AND($AL704&lt;&gt;"",COUNTIF($AL$11:$AL704,$AL704)=1),1,0)</f>
        <v>0</v>
      </c>
      <c r="AW704" s="21">
        <f t="shared" si="107"/>
        <v>0</v>
      </c>
      <c r="AX704" s="21" t="str">
        <f t="shared" si="106"/>
        <v/>
      </c>
      <c r="AY704" s="21" t="str">
        <f>IF(AND($AM704&lt;&gt;"",$AS704&lt;&gt;"✓"),SUMPRODUCT(($AM$11:$AM704&lt;&gt;"")*($AS$11:$AS704&lt;&gt;"✓")),"")</f>
        <v/>
      </c>
      <c r="AZ704" s="21" t="str">
        <f>IF(AND($AM704&lt;&gt;"",$AS704="✓"),SUMPRODUCT(($AM$11:$AM704&lt;&gt;"")*($AS$11:$AS704="✓")),"")</f>
        <v/>
      </c>
      <c r="BA704" s="21" t="str">
        <f>IF($AL704="","",$AL704&amp;"|"&amp;COUNTIF($AL$11:$AL704,$AL704))</f>
        <v/>
      </c>
    </row>
    <row r="705" spans="23:53" ht="15" customHeight="1" x14ac:dyDescent="0.25">
      <c r="W705" s="14" t="str">
        <f>IF(X705="","",IFERROR(INDEX($AL$11:$AL$4010,MATCH(695,$AY$11:$AY$4010,0)),""))</f>
        <v/>
      </c>
      <c r="X705" s="12" t="str">
        <f>IFERROR(INDEX($AM$11:$AM$4010,MATCH(695,$AY$11:$AY$4010,0)),"")</f>
        <v/>
      </c>
      <c r="Y705" s="11" t="str">
        <f>IF(X705="","",IFERROR(INDEX($AN$11:$AN$4010,MATCH(695,$AY$11:$AY$4010,0)),""))</f>
        <v/>
      </c>
      <c r="Z705" s="11" t="str">
        <f>IF(X705="","",IFERROR(INDEX($AO$11:$AO$4010,MATCH(695,$AY$11:$AY$4010,0)),""))</f>
        <v/>
      </c>
      <c r="AA705" s="10" t="str">
        <f>IF(X705="","",IFERROR(INDEX($AQ$11:$AQ$4010,MATCH(695,$AY$11:$AY$4010,0)),""))</f>
        <v/>
      </c>
      <c r="AB705" s="15" t="str">
        <f>IF(X705="","",IFERROR(INDEX($AR$11:$AR$4010,MATCH(695,$AY$11:$AY$4010,0)),""))</f>
        <v/>
      </c>
      <c r="AD705" s="16" t="str">
        <f>IF(AE705="","",IFERROR(INDEX($AL$11:$AL$4010,MATCH(695,$AZ$11:$AZ$4010,0)),""))</f>
        <v/>
      </c>
      <c r="AE705" s="12" t="str">
        <f>IFERROR(INDEX($AM$11:$AM$4010,MATCH(695,$AZ$11:$AZ$4010,0)),"")</f>
        <v/>
      </c>
      <c r="AF705" s="11" t="str">
        <f>IF(AE705="","",IFERROR(INDEX($AN$11:$AN$4010,MATCH(695,$AZ$11:$AZ$4010,0)),""))</f>
        <v/>
      </c>
      <c r="AG705" s="11" t="str">
        <f>IF(AE705="","",IFERROR(INDEX($AO$11:$AO$4010,MATCH(695,$AZ$11:$AZ$4010,0)),""))</f>
        <v/>
      </c>
      <c r="AH705" s="10" t="str">
        <f>IF(AE705="","",IFERROR(INDEX($AQ$11:$AQ$4010,MATCH(695,$AZ$11:$AZ$4010,0)),""))</f>
        <v/>
      </c>
      <c r="AI705" s="15" t="str">
        <f>IF(AE705="","",IFERROR(INDEX($AR$11:$AR$4010,MATCH(695,$AZ$11:$AZ$4010,0)),""))</f>
        <v/>
      </c>
      <c r="AJ705" s="15" t="str">
        <f>IF(AE705="","",IFERROR(INDEX($AT$11:$AT$4010,MATCH(695,$AZ$11:$AZ$4010,0)),""))</f>
        <v/>
      </c>
      <c r="AL705" s="17"/>
      <c r="AM705" s="12"/>
      <c r="AN705" s="18"/>
      <c r="AO705" s="18"/>
      <c r="AP705" s="10"/>
      <c r="AQ705" s="10"/>
      <c r="AR705" s="19"/>
      <c r="AS705" s="20"/>
      <c r="AT705" s="19"/>
      <c r="AV705" s="21">
        <f>IF(AND($AL705&lt;&gt;"",COUNTIF($AL$11:$AL705,$AL705)=1),1,0)</f>
        <v>0</v>
      </c>
      <c r="AW705" s="21">
        <f t="shared" si="107"/>
        <v>0</v>
      </c>
      <c r="AX705" s="21" t="str">
        <f t="shared" si="106"/>
        <v/>
      </c>
      <c r="AY705" s="21" t="str">
        <f>IF(AND($AM705&lt;&gt;"",$AS705&lt;&gt;"✓"),SUMPRODUCT(($AM$11:$AM705&lt;&gt;"")*($AS$11:$AS705&lt;&gt;"✓")),"")</f>
        <v/>
      </c>
      <c r="AZ705" s="21" t="str">
        <f>IF(AND($AM705&lt;&gt;"",$AS705="✓"),SUMPRODUCT(($AM$11:$AM705&lt;&gt;"")*($AS$11:$AS705="✓")),"")</f>
        <v/>
      </c>
      <c r="BA705" s="21" t="str">
        <f>IF($AL705="","",$AL705&amp;"|"&amp;COUNTIF($AL$11:$AL705,$AL705))</f>
        <v/>
      </c>
    </row>
    <row r="706" spans="23:53" ht="15" customHeight="1" x14ac:dyDescent="0.25">
      <c r="W706" s="28" t="str">
        <f>IF(X706="","",IFERROR(INDEX($AL$11:$AL$4010,MATCH(696,$AY$11:$AY$4010,0)),""))</f>
        <v/>
      </c>
      <c r="X706" s="26" t="str">
        <f>IFERROR(INDEX($AM$11:$AM$4010,MATCH(696,$AY$11:$AY$4010,0)),"")</f>
        <v/>
      </c>
      <c r="Y706" s="25" t="str">
        <f>IF(X706="","",IFERROR(INDEX($AN$11:$AN$4010,MATCH(696,$AY$11:$AY$4010,0)),""))</f>
        <v/>
      </c>
      <c r="Z706" s="25" t="str">
        <f>IF(X706="","",IFERROR(INDEX($AO$11:$AO$4010,MATCH(696,$AY$11:$AY$4010,0)),""))</f>
        <v/>
      </c>
      <c r="AA706" s="24" t="str">
        <f>IF(X706="","",IFERROR(INDEX($AQ$11:$AQ$4010,MATCH(696,$AY$11:$AY$4010,0)),""))</f>
        <v/>
      </c>
      <c r="AB706" s="29" t="str">
        <f>IF(X706="","",IFERROR(INDEX($AR$11:$AR$4010,MATCH(696,$AY$11:$AY$4010,0)),""))</f>
        <v/>
      </c>
      <c r="AD706" s="30" t="str">
        <f>IF(AE706="","",IFERROR(INDEX($AL$11:$AL$4010,MATCH(696,$AZ$11:$AZ$4010,0)),""))</f>
        <v/>
      </c>
      <c r="AE706" s="26" t="str">
        <f>IFERROR(INDEX($AM$11:$AM$4010,MATCH(696,$AZ$11:$AZ$4010,0)),"")</f>
        <v/>
      </c>
      <c r="AF706" s="25" t="str">
        <f>IF(AE706="","",IFERROR(INDEX($AN$11:$AN$4010,MATCH(696,$AZ$11:$AZ$4010,0)),""))</f>
        <v/>
      </c>
      <c r="AG706" s="25" t="str">
        <f>IF(AE706="","",IFERROR(INDEX($AO$11:$AO$4010,MATCH(696,$AZ$11:$AZ$4010,0)),""))</f>
        <v/>
      </c>
      <c r="AH706" s="24" t="str">
        <f>IF(AE706="","",IFERROR(INDEX($AQ$11:$AQ$4010,MATCH(696,$AZ$11:$AZ$4010,0)),""))</f>
        <v/>
      </c>
      <c r="AI706" s="29" t="str">
        <f>IF(AE706="","",IFERROR(INDEX($AR$11:$AR$4010,MATCH(696,$AZ$11:$AZ$4010,0)),""))</f>
        <v/>
      </c>
      <c r="AJ706" s="29" t="str">
        <f>IF(AE706="","",IFERROR(INDEX($AT$11:$AT$4010,MATCH(696,$AZ$11:$AZ$4010,0)),""))</f>
        <v/>
      </c>
      <c r="AL706" s="31"/>
      <c r="AM706" s="26"/>
      <c r="AN706" s="32"/>
      <c r="AO706" s="32"/>
      <c r="AP706" s="24"/>
      <c r="AQ706" s="24"/>
      <c r="AR706" s="33"/>
      <c r="AS706" s="34"/>
      <c r="AT706" s="33"/>
      <c r="AV706" s="21">
        <f>IF(AND($AL706&lt;&gt;"",COUNTIF($AL$11:$AL706,$AL706)=1),1,0)</f>
        <v>0</v>
      </c>
      <c r="AW706" s="21">
        <f t="shared" si="107"/>
        <v>0</v>
      </c>
      <c r="AX706" s="21" t="str">
        <f t="shared" si="106"/>
        <v/>
      </c>
      <c r="AY706" s="21" t="str">
        <f>IF(AND($AM706&lt;&gt;"",$AS706&lt;&gt;"✓"),SUMPRODUCT(($AM$11:$AM706&lt;&gt;"")*($AS$11:$AS706&lt;&gt;"✓")),"")</f>
        <v/>
      </c>
      <c r="AZ706" s="21" t="str">
        <f>IF(AND($AM706&lt;&gt;"",$AS706="✓"),SUMPRODUCT(($AM$11:$AM706&lt;&gt;"")*($AS$11:$AS706="✓")),"")</f>
        <v/>
      </c>
      <c r="BA706" s="21" t="str">
        <f>IF($AL706="","",$AL706&amp;"|"&amp;COUNTIF($AL$11:$AL706,$AL706))</f>
        <v/>
      </c>
    </row>
    <row r="707" spans="23:53" ht="15" customHeight="1" x14ac:dyDescent="0.25">
      <c r="W707" s="14" t="str">
        <f>IF(X707="","",IFERROR(INDEX($AL$11:$AL$4010,MATCH(697,$AY$11:$AY$4010,0)),""))</f>
        <v/>
      </c>
      <c r="X707" s="12" t="str">
        <f>IFERROR(INDEX($AM$11:$AM$4010,MATCH(697,$AY$11:$AY$4010,0)),"")</f>
        <v/>
      </c>
      <c r="Y707" s="11" t="str">
        <f>IF(X707="","",IFERROR(INDEX($AN$11:$AN$4010,MATCH(697,$AY$11:$AY$4010,0)),""))</f>
        <v/>
      </c>
      <c r="Z707" s="11" t="str">
        <f>IF(X707="","",IFERROR(INDEX($AO$11:$AO$4010,MATCH(697,$AY$11:$AY$4010,0)),""))</f>
        <v/>
      </c>
      <c r="AA707" s="10" t="str">
        <f>IF(X707="","",IFERROR(INDEX($AQ$11:$AQ$4010,MATCH(697,$AY$11:$AY$4010,0)),""))</f>
        <v/>
      </c>
      <c r="AB707" s="15" t="str">
        <f>IF(X707="","",IFERROR(INDEX($AR$11:$AR$4010,MATCH(697,$AY$11:$AY$4010,0)),""))</f>
        <v/>
      </c>
      <c r="AD707" s="16" t="str">
        <f>IF(AE707="","",IFERROR(INDEX($AL$11:$AL$4010,MATCH(697,$AZ$11:$AZ$4010,0)),""))</f>
        <v/>
      </c>
      <c r="AE707" s="12" t="str">
        <f>IFERROR(INDEX($AM$11:$AM$4010,MATCH(697,$AZ$11:$AZ$4010,0)),"")</f>
        <v/>
      </c>
      <c r="AF707" s="11" t="str">
        <f>IF(AE707="","",IFERROR(INDEX($AN$11:$AN$4010,MATCH(697,$AZ$11:$AZ$4010,0)),""))</f>
        <v/>
      </c>
      <c r="AG707" s="11" t="str">
        <f>IF(AE707="","",IFERROR(INDEX($AO$11:$AO$4010,MATCH(697,$AZ$11:$AZ$4010,0)),""))</f>
        <v/>
      </c>
      <c r="AH707" s="10" t="str">
        <f>IF(AE707="","",IFERROR(INDEX($AQ$11:$AQ$4010,MATCH(697,$AZ$11:$AZ$4010,0)),""))</f>
        <v/>
      </c>
      <c r="AI707" s="15" t="str">
        <f>IF(AE707="","",IFERROR(INDEX($AR$11:$AR$4010,MATCH(697,$AZ$11:$AZ$4010,0)),""))</f>
        <v/>
      </c>
      <c r="AJ707" s="15" t="str">
        <f>IF(AE707="","",IFERROR(INDEX($AT$11:$AT$4010,MATCH(697,$AZ$11:$AZ$4010,0)),""))</f>
        <v/>
      </c>
      <c r="AL707" s="17"/>
      <c r="AM707" s="12"/>
      <c r="AN707" s="18"/>
      <c r="AO707" s="18"/>
      <c r="AP707" s="10"/>
      <c r="AQ707" s="10"/>
      <c r="AR707" s="19"/>
      <c r="AS707" s="20"/>
      <c r="AT707" s="19"/>
      <c r="AV707" s="21">
        <f>IF(AND($AL707&lt;&gt;"",COUNTIF($AL$11:$AL707,$AL707)=1),1,0)</f>
        <v>0</v>
      </c>
      <c r="AW707" s="21">
        <f t="shared" si="107"/>
        <v>0</v>
      </c>
      <c r="AX707" s="21" t="str">
        <f t="shared" si="106"/>
        <v/>
      </c>
      <c r="AY707" s="21" t="str">
        <f>IF(AND($AM707&lt;&gt;"",$AS707&lt;&gt;"✓"),SUMPRODUCT(($AM$11:$AM707&lt;&gt;"")*($AS$11:$AS707&lt;&gt;"✓")),"")</f>
        <v/>
      </c>
      <c r="AZ707" s="21" t="str">
        <f>IF(AND($AM707&lt;&gt;"",$AS707="✓"),SUMPRODUCT(($AM$11:$AM707&lt;&gt;"")*($AS$11:$AS707="✓")),"")</f>
        <v/>
      </c>
      <c r="BA707" s="21" t="str">
        <f>IF($AL707="","",$AL707&amp;"|"&amp;COUNTIF($AL$11:$AL707,$AL707))</f>
        <v/>
      </c>
    </row>
    <row r="708" spans="23:53" ht="15" customHeight="1" x14ac:dyDescent="0.25">
      <c r="W708" s="28" t="str">
        <f>IF(X708="","",IFERROR(INDEX($AL$11:$AL$4010,MATCH(698,$AY$11:$AY$4010,0)),""))</f>
        <v/>
      </c>
      <c r="X708" s="26" t="str">
        <f>IFERROR(INDEX($AM$11:$AM$4010,MATCH(698,$AY$11:$AY$4010,0)),"")</f>
        <v/>
      </c>
      <c r="Y708" s="25" t="str">
        <f>IF(X708="","",IFERROR(INDEX($AN$11:$AN$4010,MATCH(698,$AY$11:$AY$4010,0)),""))</f>
        <v/>
      </c>
      <c r="Z708" s="25" t="str">
        <f>IF(X708="","",IFERROR(INDEX($AO$11:$AO$4010,MATCH(698,$AY$11:$AY$4010,0)),""))</f>
        <v/>
      </c>
      <c r="AA708" s="24" t="str">
        <f>IF(X708="","",IFERROR(INDEX($AQ$11:$AQ$4010,MATCH(698,$AY$11:$AY$4010,0)),""))</f>
        <v/>
      </c>
      <c r="AB708" s="29" t="str">
        <f>IF(X708="","",IFERROR(INDEX($AR$11:$AR$4010,MATCH(698,$AY$11:$AY$4010,0)),""))</f>
        <v/>
      </c>
      <c r="AD708" s="30" t="str">
        <f>IF(AE708="","",IFERROR(INDEX($AL$11:$AL$4010,MATCH(698,$AZ$11:$AZ$4010,0)),""))</f>
        <v/>
      </c>
      <c r="AE708" s="26" t="str">
        <f>IFERROR(INDEX($AM$11:$AM$4010,MATCH(698,$AZ$11:$AZ$4010,0)),"")</f>
        <v/>
      </c>
      <c r="AF708" s="25" t="str">
        <f>IF(AE708="","",IFERROR(INDEX($AN$11:$AN$4010,MATCH(698,$AZ$11:$AZ$4010,0)),""))</f>
        <v/>
      </c>
      <c r="AG708" s="25" t="str">
        <f>IF(AE708="","",IFERROR(INDEX($AO$11:$AO$4010,MATCH(698,$AZ$11:$AZ$4010,0)),""))</f>
        <v/>
      </c>
      <c r="AH708" s="24" t="str">
        <f>IF(AE708="","",IFERROR(INDEX($AQ$11:$AQ$4010,MATCH(698,$AZ$11:$AZ$4010,0)),""))</f>
        <v/>
      </c>
      <c r="AI708" s="29" t="str">
        <f>IF(AE708="","",IFERROR(INDEX($AR$11:$AR$4010,MATCH(698,$AZ$11:$AZ$4010,0)),""))</f>
        <v/>
      </c>
      <c r="AJ708" s="29" t="str">
        <f>IF(AE708="","",IFERROR(INDEX($AT$11:$AT$4010,MATCH(698,$AZ$11:$AZ$4010,0)),""))</f>
        <v/>
      </c>
      <c r="AL708" s="31"/>
      <c r="AM708" s="26"/>
      <c r="AN708" s="32"/>
      <c r="AO708" s="32"/>
      <c r="AP708" s="24"/>
      <c r="AQ708" s="24"/>
      <c r="AR708" s="33"/>
      <c r="AS708" s="34"/>
      <c r="AT708" s="33"/>
      <c r="AV708" s="21">
        <f>IF(AND($AL708&lt;&gt;"",COUNTIF($AL$11:$AL708,$AL708)=1),1,0)</f>
        <v>0</v>
      </c>
      <c r="AW708" s="21">
        <f t="shared" si="107"/>
        <v>0</v>
      </c>
      <c r="AX708" s="21" t="str">
        <f t="shared" si="106"/>
        <v/>
      </c>
      <c r="AY708" s="21" t="str">
        <f>IF(AND($AM708&lt;&gt;"",$AS708&lt;&gt;"✓"),SUMPRODUCT(($AM$11:$AM708&lt;&gt;"")*($AS$11:$AS708&lt;&gt;"✓")),"")</f>
        <v/>
      </c>
      <c r="AZ708" s="21" t="str">
        <f>IF(AND($AM708&lt;&gt;"",$AS708="✓"),SUMPRODUCT(($AM$11:$AM708&lt;&gt;"")*($AS$11:$AS708="✓")),"")</f>
        <v/>
      </c>
      <c r="BA708" s="21" t="str">
        <f>IF($AL708="","",$AL708&amp;"|"&amp;COUNTIF($AL$11:$AL708,$AL708))</f>
        <v/>
      </c>
    </row>
    <row r="709" spans="23:53" ht="15" customHeight="1" x14ac:dyDescent="0.25">
      <c r="W709" s="14" t="str">
        <f>IF(X709="","",IFERROR(INDEX($AL$11:$AL$4010,MATCH(699,$AY$11:$AY$4010,0)),""))</f>
        <v/>
      </c>
      <c r="X709" s="12" t="str">
        <f>IFERROR(INDEX($AM$11:$AM$4010,MATCH(699,$AY$11:$AY$4010,0)),"")</f>
        <v/>
      </c>
      <c r="Y709" s="11" t="str">
        <f>IF(X709="","",IFERROR(INDEX($AN$11:$AN$4010,MATCH(699,$AY$11:$AY$4010,0)),""))</f>
        <v/>
      </c>
      <c r="Z709" s="11" t="str">
        <f>IF(X709="","",IFERROR(INDEX($AO$11:$AO$4010,MATCH(699,$AY$11:$AY$4010,0)),""))</f>
        <v/>
      </c>
      <c r="AA709" s="10" t="str">
        <f>IF(X709="","",IFERROR(INDEX($AQ$11:$AQ$4010,MATCH(699,$AY$11:$AY$4010,0)),""))</f>
        <v/>
      </c>
      <c r="AB709" s="15" t="str">
        <f>IF(X709="","",IFERROR(INDEX($AR$11:$AR$4010,MATCH(699,$AY$11:$AY$4010,0)),""))</f>
        <v/>
      </c>
      <c r="AD709" s="16" t="str">
        <f>IF(AE709="","",IFERROR(INDEX($AL$11:$AL$4010,MATCH(699,$AZ$11:$AZ$4010,0)),""))</f>
        <v/>
      </c>
      <c r="AE709" s="12" t="str">
        <f>IFERROR(INDEX($AM$11:$AM$4010,MATCH(699,$AZ$11:$AZ$4010,0)),"")</f>
        <v/>
      </c>
      <c r="AF709" s="11" t="str">
        <f>IF(AE709="","",IFERROR(INDEX($AN$11:$AN$4010,MATCH(699,$AZ$11:$AZ$4010,0)),""))</f>
        <v/>
      </c>
      <c r="AG709" s="11" t="str">
        <f>IF(AE709="","",IFERROR(INDEX($AO$11:$AO$4010,MATCH(699,$AZ$11:$AZ$4010,0)),""))</f>
        <v/>
      </c>
      <c r="AH709" s="10" t="str">
        <f>IF(AE709="","",IFERROR(INDEX($AQ$11:$AQ$4010,MATCH(699,$AZ$11:$AZ$4010,0)),""))</f>
        <v/>
      </c>
      <c r="AI709" s="15" t="str">
        <f>IF(AE709="","",IFERROR(INDEX($AR$11:$AR$4010,MATCH(699,$AZ$11:$AZ$4010,0)),""))</f>
        <v/>
      </c>
      <c r="AJ709" s="15" t="str">
        <f>IF(AE709="","",IFERROR(INDEX($AT$11:$AT$4010,MATCH(699,$AZ$11:$AZ$4010,0)),""))</f>
        <v/>
      </c>
      <c r="AL709" s="17"/>
      <c r="AM709" s="12"/>
      <c r="AN709" s="18"/>
      <c r="AO709" s="18"/>
      <c r="AP709" s="10"/>
      <c r="AQ709" s="10"/>
      <c r="AR709" s="19"/>
      <c r="AS709" s="20"/>
      <c r="AT709" s="19"/>
      <c r="AV709" s="21">
        <f>IF(AND($AL709&lt;&gt;"",COUNTIF($AL$11:$AL709,$AL709)=1),1,0)</f>
        <v>0</v>
      </c>
      <c r="AW709" s="21">
        <f t="shared" si="107"/>
        <v>0</v>
      </c>
      <c r="AX709" s="21" t="str">
        <f t="shared" si="106"/>
        <v/>
      </c>
      <c r="AY709" s="21" t="str">
        <f>IF(AND($AM709&lt;&gt;"",$AS709&lt;&gt;"✓"),SUMPRODUCT(($AM$11:$AM709&lt;&gt;"")*($AS$11:$AS709&lt;&gt;"✓")),"")</f>
        <v/>
      </c>
      <c r="AZ709" s="21" t="str">
        <f>IF(AND($AM709&lt;&gt;"",$AS709="✓"),SUMPRODUCT(($AM$11:$AM709&lt;&gt;"")*($AS$11:$AS709="✓")),"")</f>
        <v/>
      </c>
      <c r="BA709" s="21" t="str">
        <f>IF($AL709="","",$AL709&amp;"|"&amp;COUNTIF($AL$11:$AL709,$AL709))</f>
        <v/>
      </c>
    </row>
    <row r="710" spans="23:53" ht="15" customHeight="1" x14ac:dyDescent="0.25">
      <c r="W710" s="28" t="str">
        <f>IF(X710="","",IFERROR(INDEX($AL$11:$AL$4010,MATCH(700,$AY$11:$AY$4010,0)),""))</f>
        <v/>
      </c>
      <c r="X710" s="26" t="str">
        <f>IFERROR(INDEX($AM$11:$AM$4010,MATCH(700,$AY$11:$AY$4010,0)),"")</f>
        <v/>
      </c>
      <c r="Y710" s="25" t="str">
        <f>IF(X710="","",IFERROR(INDEX($AN$11:$AN$4010,MATCH(700,$AY$11:$AY$4010,0)),""))</f>
        <v/>
      </c>
      <c r="Z710" s="25" t="str">
        <f>IF(X710="","",IFERROR(INDEX($AO$11:$AO$4010,MATCH(700,$AY$11:$AY$4010,0)),""))</f>
        <v/>
      </c>
      <c r="AA710" s="24" t="str">
        <f>IF(X710="","",IFERROR(INDEX($AQ$11:$AQ$4010,MATCH(700,$AY$11:$AY$4010,0)),""))</f>
        <v/>
      </c>
      <c r="AB710" s="29" t="str">
        <f>IF(X710="","",IFERROR(INDEX($AR$11:$AR$4010,MATCH(700,$AY$11:$AY$4010,0)),""))</f>
        <v/>
      </c>
      <c r="AD710" s="30" t="str">
        <f>IF(AE710="","",IFERROR(INDEX($AL$11:$AL$4010,MATCH(700,$AZ$11:$AZ$4010,0)),""))</f>
        <v/>
      </c>
      <c r="AE710" s="26" t="str">
        <f>IFERROR(INDEX($AM$11:$AM$4010,MATCH(700,$AZ$11:$AZ$4010,0)),"")</f>
        <v/>
      </c>
      <c r="AF710" s="25" t="str">
        <f>IF(AE710="","",IFERROR(INDEX($AN$11:$AN$4010,MATCH(700,$AZ$11:$AZ$4010,0)),""))</f>
        <v/>
      </c>
      <c r="AG710" s="25" t="str">
        <f>IF(AE710="","",IFERROR(INDEX($AO$11:$AO$4010,MATCH(700,$AZ$11:$AZ$4010,0)),""))</f>
        <v/>
      </c>
      <c r="AH710" s="24" t="str">
        <f>IF(AE710="","",IFERROR(INDEX($AQ$11:$AQ$4010,MATCH(700,$AZ$11:$AZ$4010,0)),""))</f>
        <v/>
      </c>
      <c r="AI710" s="29" t="str">
        <f>IF(AE710="","",IFERROR(INDEX($AR$11:$AR$4010,MATCH(700,$AZ$11:$AZ$4010,0)),""))</f>
        <v/>
      </c>
      <c r="AJ710" s="29" t="str">
        <f>IF(AE710="","",IFERROR(INDEX($AT$11:$AT$4010,MATCH(700,$AZ$11:$AZ$4010,0)),""))</f>
        <v/>
      </c>
      <c r="AL710" s="31"/>
      <c r="AM710" s="26"/>
      <c r="AN710" s="32"/>
      <c r="AO710" s="32"/>
      <c r="AP710" s="24"/>
      <c r="AQ710" s="24"/>
      <c r="AR710" s="33"/>
      <c r="AS710" s="34"/>
      <c r="AT710" s="33"/>
      <c r="AV710" s="21">
        <f>IF(AND($AL710&lt;&gt;"",COUNTIF($AL$11:$AL710,$AL710)=1),1,0)</f>
        <v>0</v>
      </c>
      <c r="AW710" s="21">
        <f t="shared" si="107"/>
        <v>0</v>
      </c>
      <c r="AX710" s="21" t="str">
        <f t="shared" si="106"/>
        <v/>
      </c>
      <c r="AY710" s="21" t="str">
        <f>IF(AND($AM710&lt;&gt;"",$AS710&lt;&gt;"✓"),SUMPRODUCT(($AM$11:$AM710&lt;&gt;"")*($AS$11:$AS710&lt;&gt;"✓")),"")</f>
        <v/>
      </c>
      <c r="AZ710" s="21" t="str">
        <f>IF(AND($AM710&lt;&gt;"",$AS710="✓"),SUMPRODUCT(($AM$11:$AM710&lt;&gt;"")*($AS$11:$AS710="✓")),"")</f>
        <v/>
      </c>
      <c r="BA710" s="21" t="str">
        <f>IF($AL710="","",$AL710&amp;"|"&amp;COUNTIF($AL$11:$AL710,$AL710))</f>
        <v/>
      </c>
    </row>
    <row r="711" spans="23:53" ht="15" customHeight="1" x14ac:dyDescent="0.25">
      <c r="W711" s="14" t="str">
        <f>IF(X711="","",IFERROR(INDEX($AL$11:$AL$4010,MATCH(701,$AY$11:$AY$4010,0)),""))</f>
        <v/>
      </c>
      <c r="X711" s="12" t="str">
        <f>IFERROR(INDEX($AM$11:$AM$4010,MATCH(701,$AY$11:$AY$4010,0)),"")</f>
        <v/>
      </c>
      <c r="Y711" s="11" t="str">
        <f>IF(X711="","",IFERROR(INDEX($AN$11:$AN$4010,MATCH(701,$AY$11:$AY$4010,0)),""))</f>
        <v/>
      </c>
      <c r="Z711" s="11" t="str">
        <f>IF(X711="","",IFERROR(INDEX($AO$11:$AO$4010,MATCH(701,$AY$11:$AY$4010,0)),""))</f>
        <v/>
      </c>
      <c r="AA711" s="10" t="str">
        <f>IF(X711="","",IFERROR(INDEX($AQ$11:$AQ$4010,MATCH(701,$AY$11:$AY$4010,0)),""))</f>
        <v/>
      </c>
      <c r="AB711" s="15" t="str">
        <f>IF(X711="","",IFERROR(INDEX($AR$11:$AR$4010,MATCH(701,$AY$11:$AY$4010,0)),""))</f>
        <v/>
      </c>
      <c r="AD711" s="16" t="str">
        <f>IF(AE711="","",IFERROR(INDEX($AL$11:$AL$4010,MATCH(701,$AZ$11:$AZ$4010,0)),""))</f>
        <v/>
      </c>
      <c r="AE711" s="12" t="str">
        <f>IFERROR(INDEX($AM$11:$AM$4010,MATCH(701,$AZ$11:$AZ$4010,0)),"")</f>
        <v/>
      </c>
      <c r="AF711" s="11" t="str">
        <f>IF(AE711="","",IFERROR(INDEX($AN$11:$AN$4010,MATCH(701,$AZ$11:$AZ$4010,0)),""))</f>
        <v/>
      </c>
      <c r="AG711" s="11" t="str">
        <f>IF(AE711="","",IFERROR(INDEX($AO$11:$AO$4010,MATCH(701,$AZ$11:$AZ$4010,0)),""))</f>
        <v/>
      </c>
      <c r="AH711" s="10" t="str">
        <f>IF(AE711="","",IFERROR(INDEX($AQ$11:$AQ$4010,MATCH(701,$AZ$11:$AZ$4010,0)),""))</f>
        <v/>
      </c>
      <c r="AI711" s="15" t="str">
        <f>IF(AE711="","",IFERROR(INDEX($AR$11:$AR$4010,MATCH(701,$AZ$11:$AZ$4010,0)),""))</f>
        <v/>
      </c>
      <c r="AJ711" s="15" t="str">
        <f>IF(AE711="","",IFERROR(INDEX($AT$11:$AT$4010,MATCH(701,$AZ$11:$AZ$4010,0)),""))</f>
        <v/>
      </c>
      <c r="AL711" s="17"/>
      <c r="AM711" s="12"/>
      <c r="AN711" s="18"/>
      <c r="AO711" s="18"/>
      <c r="AP711" s="10"/>
      <c r="AQ711" s="10"/>
      <c r="AR711" s="19"/>
      <c r="AS711" s="20"/>
      <c r="AT711" s="19"/>
      <c r="AV711" s="21">
        <f>IF(AND($AL711&lt;&gt;"",COUNTIF($AL$11:$AL711,$AL711)=1),1,0)</f>
        <v>0</v>
      </c>
      <c r="AW711" s="21">
        <f t="shared" si="107"/>
        <v>0</v>
      </c>
      <c r="AX711" s="21" t="str">
        <f t="shared" si="106"/>
        <v/>
      </c>
      <c r="AY711" s="21" t="str">
        <f>IF(AND($AM711&lt;&gt;"",$AS711&lt;&gt;"✓"),SUMPRODUCT(($AM$11:$AM711&lt;&gt;"")*($AS$11:$AS711&lt;&gt;"✓")),"")</f>
        <v/>
      </c>
      <c r="AZ711" s="21" t="str">
        <f>IF(AND($AM711&lt;&gt;"",$AS711="✓"),SUMPRODUCT(($AM$11:$AM711&lt;&gt;"")*($AS$11:$AS711="✓")),"")</f>
        <v/>
      </c>
      <c r="BA711" s="21" t="str">
        <f>IF($AL711="","",$AL711&amp;"|"&amp;COUNTIF($AL$11:$AL711,$AL711))</f>
        <v/>
      </c>
    </row>
    <row r="712" spans="23:53" ht="15" customHeight="1" x14ac:dyDescent="0.25">
      <c r="W712" s="28" t="str">
        <f>IF(X712="","",IFERROR(INDEX($AL$11:$AL$4010,MATCH(702,$AY$11:$AY$4010,0)),""))</f>
        <v/>
      </c>
      <c r="X712" s="26" t="str">
        <f>IFERROR(INDEX($AM$11:$AM$4010,MATCH(702,$AY$11:$AY$4010,0)),"")</f>
        <v/>
      </c>
      <c r="Y712" s="25" t="str">
        <f>IF(X712="","",IFERROR(INDEX($AN$11:$AN$4010,MATCH(702,$AY$11:$AY$4010,0)),""))</f>
        <v/>
      </c>
      <c r="Z712" s="25" t="str">
        <f>IF(X712="","",IFERROR(INDEX($AO$11:$AO$4010,MATCH(702,$AY$11:$AY$4010,0)),""))</f>
        <v/>
      </c>
      <c r="AA712" s="24" t="str">
        <f>IF(X712="","",IFERROR(INDEX($AQ$11:$AQ$4010,MATCH(702,$AY$11:$AY$4010,0)),""))</f>
        <v/>
      </c>
      <c r="AB712" s="29" t="str">
        <f>IF(X712="","",IFERROR(INDEX($AR$11:$AR$4010,MATCH(702,$AY$11:$AY$4010,0)),""))</f>
        <v/>
      </c>
      <c r="AD712" s="30" t="str">
        <f>IF(AE712="","",IFERROR(INDEX($AL$11:$AL$4010,MATCH(702,$AZ$11:$AZ$4010,0)),""))</f>
        <v/>
      </c>
      <c r="AE712" s="26" t="str">
        <f>IFERROR(INDEX($AM$11:$AM$4010,MATCH(702,$AZ$11:$AZ$4010,0)),"")</f>
        <v/>
      </c>
      <c r="AF712" s="25" t="str">
        <f>IF(AE712="","",IFERROR(INDEX($AN$11:$AN$4010,MATCH(702,$AZ$11:$AZ$4010,0)),""))</f>
        <v/>
      </c>
      <c r="AG712" s="25" t="str">
        <f>IF(AE712="","",IFERROR(INDEX($AO$11:$AO$4010,MATCH(702,$AZ$11:$AZ$4010,0)),""))</f>
        <v/>
      </c>
      <c r="AH712" s="24" t="str">
        <f>IF(AE712="","",IFERROR(INDEX($AQ$11:$AQ$4010,MATCH(702,$AZ$11:$AZ$4010,0)),""))</f>
        <v/>
      </c>
      <c r="AI712" s="29" t="str">
        <f>IF(AE712="","",IFERROR(INDEX($AR$11:$AR$4010,MATCH(702,$AZ$11:$AZ$4010,0)),""))</f>
        <v/>
      </c>
      <c r="AJ712" s="29" t="str">
        <f>IF(AE712="","",IFERROR(INDEX($AT$11:$AT$4010,MATCH(702,$AZ$11:$AZ$4010,0)),""))</f>
        <v/>
      </c>
      <c r="AL712" s="31"/>
      <c r="AM712" s="26"/>
      <c r="AN712" s="32"/>
      <c r="AO712" s="32"/>
      <c r="AP712" s="24"/>
      <c r="AQ712" s="24"/>
      <c r="AR712" s="33"/>
      <c r="AS712" s="34"/>
      <c r="AT712" s="33"/>
      <c r="AV712" s="21">
        <f>IF(AND($AL712&lt;&gt;"",COUNTIF($AL$11:$AL712,$AL712)=1),1,0)</f>
        <v>0</v>
      </c>
      <c r="AW712" s="21">
        <f t="shared" si="107"/>
        <v>0</v>
      </c>
      <c r="AX712" s="21" t="str">
        <f t="shared" si="106"/>
        <v/>
      </c>
      <c r="AY712" s="21" t="str">
        <f>IF(AND($AM712&lt;&gt;"",$AS712&lt;&gt;"✓"),SUMPRODUCT(($AM$11:$AM712&lt;&gt;"")*($AS$11:$AS712&lt;&gt;"✓")),"")</f>
        <v/>
      </c>
      <c r="AZ712" s="21" t="str">
        <f>IF(AND($AM712&lt;&gt;"",$AS712="✓"),SUMPRODUCT(($AM$11:$AM712&lt;&gt;"")*($AS$11:$AS712="✓")),"")</f>
        <v/>
      </c>
      <c r="BA712" s="21" t="str">
        <f>IF($AL712="","",$AL712&amp;"|"&amp;COUNTIF($AL$11:$AL712,$AL712))</f>
        <v/>
      </c>
    </row>
    <row r="713" spans="23:53" ht="15" customHeight="1" x14ac:dyDescent="0.25">
      <c r="W713" s="14" t="str">
        <f>IF(X713="","",IFERROR(INDEX($AL$11:$AL$4010,MATCH(703,$AY$11:$AY$4010,0)),""))</f>
        <v/>
      </c>
      <c r="X713" s="12" t="str">
        <f>IFERROR(INDEX($AM$11:$AM$4010,MATCH(703,$AY$11:$AY$4010,0)),"")</f>
        <v/>
      </c>
      <c r="Y713" s="11" t="str">
        <f>IF(X713="","",IFERROR(INDEX($AN$11:$AN$4010,MATCH(703,$AY$11:$AY$4010,0)),""))</f>
        <v/>
      </c>
      <c r="Z713" s="11" t="str">
        <f>IF(X713="","",IFERROR(INDEX($AO$11:$AO$4010,MATCH(703,$AY$11:$AY$4010,0)),""))</f>
        <v/>
      </c>
      <c r="AA713" s="10" t="str">
        <f>IF(X713="","",IFERROR(INDEX($AQ$11:$AQ$4010,MATCH(703,$AY$11:$AY$4010,0)),""))</f>
        <v/>
      </c>
      <c r="AB713" s="15" t="str">
        <f>IF(X713="","",IFERROR(INDEX($AR$11:$AR$4010,MATCH(703,$AY$11:$AY$4010,0)),""))</f>
        <v/>
      </c>
      <c r="AD713" s="16" t="str">
        <f>IF(AE713="","",IFERROR(INDEX($AL$11:$AL$4010,MATCH(703,$AZ$11:$AZ$4010,0)),""))</f>
        <v/>
      </c>
      <c r="AE713" s="12" t="str">
        <f>IFERROR(INDEX($AM$11:$AM$4010,MATCH(703,$AZ$11:$AZ$4010,0)),"")</f>
        <v/>
      </c>
      <c r="AF713" s="11" t="str">
        <f>IF(AE713="","",IFERROR(INDEX($AN$11:$AN$4010,MATCH(703,$AZ$11:$AZ$4010,0)),""))</f>
        <v/>
      </c>
      <c r="AG713" s="11" t="str">
        <f>IF(AE713="","",IFERROR(INDEX($AO$11:$AO$4010,MATCH(703,$AZ$11:$AZ$4010,0)),""))</f>
        <v/>
      </c>
      <c r="AH713" s="10" t="str">
        <f>IF(AE713="","",IFERROR(INDEX($AQ$11:$AQ$4010,MATCH(703,$AZ$11:$AZ$4010,0)),""))</f>
        <v/>
      </c>
      <c r="AI713" s="15" t="str">
        <f>IF(AE713="","",IFERROR(INDEX($AR$11:$AR$4010,MATCH(703,$AZ$11:$AZ$4010,0)),""))</f>
        <v/>
      </c>
      <c r="AJ713" s="15" t="str">
        <f>IF(AE713="","",IFERROR(INDEX($AT$11:$AT$4010,MATCH(703,$AZ$11:$AZ$4010,0)),""))</f>
        <v/>
      </c>
      <c r="AL713" s="17"/>
      <c r="AM713" s="12"/>
      <c r="AN713" s="18"/>
      <c r="AO713" s="18"/>
      <c r="AP713" s="10"/>
      <c r="AQ713" s="10"/>
      <c r="AR713" s="19"/>
      <c r="AS713" s="20"/>
      <c r="AT713" s="19"/>
      <c r="AV713" s="21">
        <f>IF(AND($AL713&lt;&gt;"",COUNTIF($AL$11:$AL713,$AL713)=1),1,0)</f>
        <v>0</v>
      </c>
      <c r="AW713" s="21">
        <f t="shared" si="107"/>
        <v>0</v>
      </c>
      <c r="AX713" s="21" t="str">
        <f t="shared" si="106"/>
        <v/>
      </c>
      <c r="AY713" s="21" t="str">
        <f>IF(AND($AM713&lt;&gt;"",$AS713&lt;&gt;"✓"),SUMPRODUCT(($AM$11:$AM713&lt;&gt;"")*($AS$11:$AS713&lt;&gt;"✓")),"")</f>
        <v/>
      </c>
      <c r="AZ713" s="21" t="str">
        <f>IF(AND($AM713&lt;&gt;"",$AS713="✓"),SUMPRODUCT(($AM$11:$AM713&lt;&gt;"")*($AS$11:$AS713="✓")),"")</f>
        <v/>
      </c>
      <c r="BA713" s="21" t="str">
        <f>IF($AL713="","",$AL713&amp;"|"&amp;COUNTIF($AL$11:$AL713,$AL713))</f>
        <v/>
      </c>
    </row>
    <row r="714" spans="23:53" ht="15" customHeight="1" x14ac:dyDescent="0.25">
      <c r="W714" s="28" t="str">
        <f>IF(X714="","",IFERROR(INDEX($AL$11:$AL$4010,MATCH(704,$AY$11:$AY$4010,0)),""))</f>
        <v/>
      </c>
      <c r="X714" s="26" t="str">
        <f>IFERROR(INDEX($AM$11:$AM$4010,MATCH(704,$AY$11:$AY$4010,0)),"")</f>
        <v/>
      </c>
      <c r="Y714" s="25" t="str">
        <f>IF(X714="","",IFERROR(INDEX($AN$11:$AN$4010,MATCH(704,$AY$11:$AY$4010,0)),""))</f>
        <v/>
      </c>
      <c r="Z714" s="25" t="str">
        <f>IF(X714="","",IFERROR(INDEX($AO$11:$AO$4010,MATCH(704,$AY$11:$AY$4010,0)),""))</f>
        <v/>
      </c>
      <c r="AA714" s="24" t="str">
        <f>IF(X714="","",IFERROR(INDEX($AQ$11:$AQ$4010,MATCH(704,$AY$11:$AY$4010,0)),""))</f>
        <v/>
      </c>
      <c r="AB714" s="29" t="str">
        <f>IF(X714="","",IFERROR(INDEX($AR$11:$AR$4010,MATCH(704,$AY$11:$AY$4010,0)),""))</f>
        <v/>
      </c>
      <c r="AD714" s="30" t="str">
        <f>IF(AE714="","",IFERROR(INDEX($AL$11:$AL$4010,MATCH(704,$AZ$11:$AZ$4010,0)),""))</f>
        <v/>
      </c>
      <c r="AE714" s="26" t="str">
        <f>IFERROR(INDEX($AM$11:$AM$4010,MATCH(704,$AZ$11:$AZ$4010,0)),"")</f>
        <v/>
      </c>
      <c r="AF714" s="25" t="str">
        <f>IF(AE714="","",IFERROR(INDEX($AN$11:$AN$4010,MATCH(704,$AZ$11:$AZ$4010,0)),""))</f>
        <v/>
      </c>
      <c r="AG714" s="25" t="str">
        <f>IF(AE714="","",IFERROR(INDEX($AO$11:$AO$4010,MATCH(704,$AZ$11:$AZ$4010,0)),""))</f>
        <v/>
      </c>
      <c r="AH714" s="24" t="str">
        <f>IF(AE714="","",IFERROR(INDEX($AQ$11:$AQ$4010,MATCH(704,$AZ$11:$AZ$4010,0)),""))</f>
        <v/>
      </c>
      <c r="AI714" s="29" t="str">
        <f>IF(AE714="","",IFERROR(INDEX($AR$11:$AR$4010,MATCH(704,$AZ$11:$AZ$4010,0)),""))</f>
        <v/>
      </c>
      <c r="AJ714" s="29" t="str">
        <f>IF(AE714="","",IFERROR(INDEX($AT$11:$AT$4010,MATCH(704,$AZ$11:$AZ$4010,0)),""))</f>
        <v/>
      </c>
      <c r="AL714" s="31"/>
      <c r="AM714" s="26"/>
      <c r="AN714" s="32"/>
      <c r="AO714" s="32"/>
      <c r="AP714" s="24"/>
      <c r="AQ714" s="24"/>
      <c r="AR714" s="33"/>
      <c r="AS714" s="34"/>
      <c r="AT714" s="33"/>
      <c r="AV714" s="21">
        <f>IF(AND($AL714&lt;&gt;"",COUNTIF($AL$11:$AL714,$AL714)=1),1,0)</f>
        <v>0</v>
      </c>
      <c r="AW714" s="21">
        <f t="shared" si="107"/>
        <v>0</v>
      </c>
      <c r="AX714" s="21" t="str">
        <f t="shared" si="106"/>
        <v/>
      </c>
      <c r="AY714" s="21" t="str">
        <f>IF(AND($AM714&lt;&gt;"",$AS714&lt;&gt;"✓"),SUMPRODUCT(($AM$11:$AM714&lt;&gt;"")*($AS$11:$AS714&lt;&gt;"✓")),"")</f>
        <v/>
      </c>
      <c r="AZ714" s="21" t="str">
        <f>IF(AND($AM714&lt;&gt;"",$AS714="✓"),SUMPRODUCT(($AM$11:$AM714&lt;&gt;"")*($AS$11:$AS714="✓")),"")</f>
        <v/>
      </c>
      <c r="BA714" s="21" t="str">
        <f>IF($AL714="","",$AL714&amp;"|"&amp;COUNTIF($AL$11:$AL714,$AL714))</f>
        <v/>
      </c>
    </row>
    <row r="715" spans="23:53" ht="15" customHeight="1" x14ac:dyDescent="0.25">
      <c r="W715" s="14" t="str">
        <f>IF(X715="","",IFERROR(INDEX($AL$11:$AL$4010,MATCH(705,$AY$11:$AY$4010,0)),""))</f>
        <v/>
      </c>
      <c r="X715" s="12" t="str">
        <f>IFERROR(INDEX($AM$11:$AM$4010,MATCH(705,$AY$11:$AY$4010,0)),"")</f>
        <v/>
      </c>
      <c r="Y715" s="11" t="str">
        <f>IF(X715="","",IFERROR(INDEX($AN$11:$AN$4010,MATCH(705,$AY$11:$AY$4010,0)),""))</f>
        <v/>
      </c>
      <c r="Z715" s="11" t="str">
        <f>IF(X715="","",IFERROR(INDEX($AO$11:$AO$4010,MATCH(705,$AY$11:$AY$4010,0)),""))</f>
        <v/>
      </c>
      <c r="AA715" s="10" t="str">
        <f>IF(X715="","",IFERROR(INDEX($AQ$11:$AQ$4010,MATCH(705,$AY$11:$AY$4010,0)),""))</f>
        <v/>
      </c>
      <c r="AB715" s="15" t="str">
        <f>IF(X715="","",IFERROR(INDEX($AR$11:$AR$4010,MATCH(705,$AY$11:$AY$4010,0)),""))</f>
        <v/>
      </c>
      <c r="AD715" s="16" t="str">
        <f>IF(AE715="","",IFERROR(INDEX($AL$11:$AL$4010,MATCH(705,$AZ$11:$AZ$4010,0)),""))</f>
        <v/>
      </c>
      <c r="AE715" s="12" t="str">
        <f>IFERROR(INDEX($AM$11:$AM$4010,MATCH(705,$AZ$11:$AZ$4010,0)),"")</f>
        <v/>
      </c>
      <c r="AF715" s="11" t="str">
        <f>IF(AE715="","",IFERROR(INDEX($AN$11:$AN$4010,MATCH(705,$AZ$11:$AZ$4010,0)),""))</f>
        <v/>
      </c>
      <c r="AG715" s="11" t="str">
        <f>IF(AE715="","",IFERROR(INDEX($AO$11:$AO$4010,MATCH(705,$AZ$11:$AZ$4010,0)),""))</f>
        <v/>
      </c>
      <c r="AH715" s="10" t="str">
        <f>IF(AE715="","",IFERROR(INDEX($AQ$11:$AQ$4010,MATCH(705,$AZ$11:$AZ$4010,0)),""))</f>
        <v/>
      </c>
      <c r="AI715" s="15" t="str">
        <f>IF(AE715="","",IFERROR(INDEX($AR$11:$AR$4010,MATCH(705,$AZ$11:$AZ$4010,0)),""))</f>
        <v/>
      </c>
      <c r="AJ715" s="15" t="str">
        <f>IF(AE715="","",IFERROR(INDEX($AT$11:$AT$4010,MATCH(705,$AZ$11:$AZ$4010,0)),""))</f>
        <v/>
      </c>
      <c r="AL715" s="17"/>
      <c r="AM715" s="12"/>
      <c r="AN715" s="18"/>
      <c r="AO715" s="18"/>
      <c r="AP715" s="10"/>
      <c r="AQ715" s="10"/>
      <c r="AR715" s="19"/>
      <c r="AS715" s="20"/>
      <c r="AT715" s="19"/>
      <c r="AV715" s="21">
        <f>IF(AND($AL715&lt;&gt;"",COUNTIF($AL$11:$AL715,$AL715)=1),1,0)</f>
        <v>0</v>
      </c>
      <c r="AW715" s="21">
        <f t="shared" si="107"/>
        <v>0</v>
      </c>
      <c r="AX715" s="21" t="str">
        <f t="shared" ref="AX715:AX778" si="108">IF(AV715=1,AW715,"")</f>
        <v/>
      </c>
      <c r="AY715" s="21" t="str">
        <f>IF(AND($AM715&lt;&gt;"",$AS715&lt;&gt;"✓"),SUMPRODUCT(($AM$11:$AM715&lt;&gt;"")*($AS$11:$AS715&lt;&gt;"✓")),"")</f>
        <v/>
      </c>
      <c r="AZ715" s="21" t="str">
        <f>IF(AND($AM715&lt;&gt;"",$AS715="✓"),SUMPRODUCT(($AM$11:$AM715&lt;&gt;"")*($AS$11:$AS715="✓")),"")</f>
        <v/>
      </c>
      <c r="BA715" s="21" t="str">
        <f>IF($AL715="","",$AL715&amp;"|"&amp;COUNTIF($AL$11:$AL715,$AL715))</f>
        <v/>
      </c>
    </row>
    <row r="716" spans="23:53" ht="15" customHeight="1" x14ac:dyDescent="0.25">
      <c r="W716" s="28" t="str">
        <f>IF(X716="","",IFERROR(INDEX($AL$11:$AL$4010,MATCH(706,$AY$11:$AY$4010,0)),""))</f>
        <v/>
      </c>
      <c r="X716" s="26" t="str">
        <f>IFERROR(INDEX($AM$11:$AM$4010,MATCH(706,$AY$11:$AY$4010,0)),"")</f>
        <v/>
      </c>
      <c r="Y716" s="25" t="str">
        <f>IF(X716="","",IFERROR(INDEX($AN$11:$AN$4010,MATCH(706,$AY$11:$AY$4010,0)),""))</f>
        <v/>
      </c>
      <c r="Z716" s="25" t="str">
        <f>IF(X716="","",IFERROR(INDEX($AO$11:$AO$4010,MATCH(706,$AY$11:$AY$4010,0)),""))</f>
        <v/>
      </c>
      <c r="AA716" s="24" t="str">
        <f>IF(X716="","",IFERROR(INDEX($AQ$11:$AQ$4010,MATCH(706,$AY$11:$AY$4010,0)),""))</f>
        <v/>
      </c>
      <c r="AB716" s="29" t="str">
        <f>IF(X716="","",IFERROR(INDEX($AR$11:$AR$4010,MATCH(706,$AY$11:$AY$4010,0)),""))</f>
        <v/>
      </c>
      <c r="AD716" s="30" t="str">
        <f>IF(AE716="","",IFERROR(INDEX($AL$11:$AL$4010,MATCH(706,$AZ$11:$AZ$4010,0)),""))</f>
        <v/>
      </c>
      <c r="AE716" s="26" t="str">
        <f>IFERROR(INDEX($AM$11:$AM$4010,MATCH(706,$AZ$11:$AZ$4010,0)),"")</f>
        <v/>
      </c>
      <c r="AF716" s="25" t="str">
        <f>IF(AE716="","",IFERROR(INDEX($AN$11:$AN$4010,MATCH(706,$AZ$11:$AZ$4010,0)),""))</f>
        <v/>
      </c>
      <c r="AG716" s="25" t="str">
        <f>IF(AE716="","",IFERROR(INDEX($AO$11:$AO$4010,MATCH(706,$AZ$11:$AZ$4010,0)),""))</f>
        <v/>
      </c>
      <c r="AH716" s="24" t="str">
        <f>IF(AE716="","",IFERROR(INDEX($AQ$11:$AQ$4010,MATCH(706,$AZ$11:$AZ$4010,0)),""))</f>
        <v/>
      </c>
      <c r="AI716" s="29" t="str">
        <f>IF(AE716="","",IFERROR(INDEX($AR$11:$AR$4010,MATCH(706,$AZ$11:$AZ$4010,0)),""))</f>
        <v/>
      </c>
      <c r="AJ716" s="29" t="str">
        <f>IF(AE716="","",IFERROR(INDEX($AT$11:$AT$4010,MATCH(706,$AZ$11:$AZ$4010,0)),""))</f>
        <v/>
      </c>
      <c r="AL716" s="31"/>
      <c r="AM716" s="26"/>
      <c r="AN716" s="32"/>
      <c r="AO716" s="32"/>
      <c r="AP716" s="24"/>
      <c r="AQ716" s="24"/>
      <c r="AR716" s="33"/>
      <c r="AS716" s="34"/>
      <c r="AT716" s="33"/>
      <c r="AV716" s="21">
        <f>IF(AND($AL716&lt;&gt;"",COUNTIF($AL$11:$AL716,$AL716)=1),1,0)</f>
        <v>0</v>
      </c>
      <c r="AW716" s="21">
        <f t="shared" ref="AW716:AW779" si="109">AW715+AV716</f>
        <v>0</v>
      </c>
      <c r="AX716" s="21" t="str">
        <f t="shared" si="108"/>
        <v/>
      </c>
      <c r="AY716" s="21" t="str">
        <f>IF(AND($AM716&lt;&gt;"",$AS716&lt;&gt;"✓"),SUMPRODUCT(($AM$11:$AM716&lt;&gt;"")*($AS$11:$AS716&lt;&gt;"✓")),"")</f>
        <v/>
      </c>
      <c r="AZ716" s="21" t="str">
        <f>IF(AND($AM716&lt;&gt;"",$AS716="✓"),SUMPRODUCT(($AM$11:$AM716&lt;&gt;"")*($AS$11:$AS716="✓")),"")</f>
        <v/>
      </c>
      <c r="BA716" s="21" t="str">
        <f>IF($AL716="","",$AL716&amp;"|"&amp;COUNTIF($AL$11:$AL716,$AL716))</f>
        <v/>
      </c>
    </row>
    <row r="717" spans="23:53" ht="15" customHeight="1" x14ac:dyDescent="0.25">
      <c r="W717" s="14" t="str">
        <f>IF(X717="","",IFERROR(INDEX($AL$11:$AL$4010,MATCH(707,$AY$11:$AY$4010,0)),""))</f>
        <v/>
      </c>
      <c r="X717" s="12" t="str">
        <f>IFERROR(INDEX($AM$11:$AM$4010,MATCH(707,$AY$11:$AY$4010,0)),"")</f>
        <v/>
      </c>
      <c r="Y717" s="11" t="str">
        <f>IF(X717="","",IFERROR(INDEX($AN$11:$AN$4010,MATCH(707,$AY$11:$AY$4010,0)),""))</f>
        <v/>
      </c>
      <c r="Z717" s="11" t="str">
        <f>IF(X717="","",IFERROR(INDEX($AO$11:$AO$4010,MATCH(707,$AY$11:$AY$4010,0)),""))</f>
        <v/>
      </c>
      <c r="AA717" s="10" t="str">
        <f>IF(X717="","",IFERROR(INDEX($AQ$11:$AQ$4010,MATCH(707,$AY$11:$AY$4010,0)),""))</f>
        <v/>
      </c>
      <c r="AB717" s="15" t="str">
        <f>IF(X717="","",IFERROR(INDEX($AR$11:$AR$4010,MATCH(707,$AY$11:$AY$4010,0)),""))</f>
        <v/>
      </c>
      <c r="AD717" s="16" t="str">
        <f>IF(AE717="","",IFERROR(INDEX($AL$11:$AL$4010,MATCH(707,$AZ$11:$AZ$4010,0)),""))</f>
        <v/>
      </c>
      <c r="AE717" s="12" t="str">
        <f>IFERROR(INDEX($AM$11:$AM$4010,MATCH(707,$AZ$11:$AZ$4010,0)),"")</f>
        <v/>
      </c>
      <c r="AF717" s="11" t="str">
        <f>IF(AE717="","",IFERROR(INDEX($AN$11:$AN$4010,MATCH(707,$AZ$11:$AZ$4010,0)),""))</f>
        <v/>
      </c>
      <c r="AG717" s="11" t="str">
        <f>IF(AE717="","",IFERROR(INDEX($AO$11:$AO$4010,MATCH(707,$AZ$11:$AZ$4010,0)),""))</f>
        <v/>
      </c>
      <c r="AH717" s="10" t="str">
        <f>IF(AE717="","",IFERROR(INDEX($AQ$11:$AQ$4010,MATCH(707,$AZ$11:$AZ$4010,0)),""))</f>
        <v/>
      </c>
      <c r="AI717" s="15" t="str">
        <f>IF(AE717="","",IFERROR(INDEX($AR$11:$AR$4010,MATCH(707,$AZ$11:$AZ$4010,0)),""))</f>
        <v/>
      </c>
      <c r="AJ717" s="15" t="str">
        <f>IF(AE717="","",IFERROR(INDEX($AT$11:$AT$4010,MATCH(707,$AZ$11:$AZ$4010,0)),""))</f>
        <v/>
      </c>
      <c r="AL717" s="17"/>
      <c r="AM717" s="12"/>
      <c r="AN717" s="18"/>
      <c r="AO717" s="18"/>
      <c r="AP717" s="10"/>
      <c r="AQ717" s="10"/>
      <c r="AR717" s="19"/>
      <c r="AS717" s="20"/>
      <c r="AT717" s="19"/>
      <c r="AV717" s="21">
        <f>IF(AND($AL717&lt;&gt;"",COUNTIF($AL$11:$AL717,$AL717)=1),1,0)</f>
        <v>0</v>
      </c>
      <c r="AW717" s="21">
        <f t="shared" si="109"/>
        <v>0</v>
      </c>
      <c r="AX717" s="21" t="str">
        <f t="shared" si="108"/>
        <v/>
      </c>
      <c r="AY717" s="21" t="str">
        <f>IF(AND($AM717&lt;&gt;"",$AS717&lt;&gt;"✓"),SUMPRODUCT(($AM$11:$AM717&lt;&gt;"")*($AS$11:$AS717&lt;&gt;"✓")),"")</f>
        <v/>
      </c>
      <c r="AZ717" s="21" t="str">
        <f>IF(AND($AM717&lt;&gt;"",$AS717="✓"),SUMPRODUCT(($AM$11:$AM717&lt;&gt;"")*($AS$11:$AS717="✓")),"")</f>
        <v/>
      </c>
      <c r="BA717" s="21" t="str">
        <f>IF($AL717="","",$AL717&amp;"|"&amp;COUNTIF($AL$11:$AL717,$AL717))</f>
        <v/>
      </c>
    </row>
    <row r="718" spans="23:53" ht="15" customHeight="1" x14ac:dyDescent="0.25">
      <c r="W718" s="28" t="str">
        <f>IF(X718="","",IFERROR(INDEX($AL$11:$AL$4010,MATCH(708,$AY$11:$AY$4010,0)),""))</f>
        <v/>
      </c>
      <c r="X718" s="26" t="str">
        <f>IFERROR(INDEX($AM$11:$AM$4010,MATCH(708,$AY$11:$AY$4010,0)),"")</f>
        <v/>
      </c>
      <c r="Y718" s="25" t="str">
        <f>IF(X718="","",IFERROR(INDEX($AN$11:$AN$4010,MATCH(708,$AY$11:$AY$4010,0)),""))</f>
        <v/>
      </c>
      <c r="Z718" s="25" t="str">
        <f>IF(X718="","",IFERROR(INDEX($AO$11:$AO$4010,MATCH(708,$AY$11:$AY$4010,0)),""))</f>
        <v/>
      </c>
      <c r="AA718" s="24" t="str">
        <f>IF(X718="","",IFERROR(INDEX($AQ$11:$AQ$4010,MATCH(708,$AY$11:$AY$4010,0)),""))</f>
        <v/>
      </c>
      <c r="AB718" s="29" t="str">
        <f>IF(X718="","",IFERROR(INDEX($AR$11:$AR$4010,MATCH(708,$AY$11:$AY$4010,0)),""))</f>
        <v/>
      </c>
      <c r="AD718" s="30" t="str">
        <f>IF(AE718="","",IFERROR(INDEX($AL$11:$AL$4010,MATCH(708,$AZ$11:$AZ$4010,0)),""))</f>
        <v/>
      </c>
      <c r="AE718" s="26" t="str">
        <f>IFERROR(INDEX($AM$11:$AM$4010,MATCH(708,$AZ$11:$AZ$4010,0)),"")</f>
        <v/>
      </c>
      <c r="AF718" s="25" t="str">
        <f>IF(AE718="","",IFERROR(INDEX($AN$11:$AN$4010,MATCH(708,$AZ$11:$AZ$4010,0)),""))</f>
        <v/>
      </c>
      <c r="AG718" s="25" t="str">
        <f>IF(AE718="","",IFERROR(INDEX($AO$11:$AO$4010,MATCH(708,$AZ$11:$AZ$4010,0)),""))</f>
        <v/>
      </c>
      <c r="AH718" s="24" t="str">
        <f>IF(AE718="","",IFERROR(INDEX($AQ$11:$AQ$4010,MATCH(708,$AZ$11:$AZ$4010,0)),""))</f>
        <v/>
      </c>
      <c r="AI718" s="29" t="str">
        <f>IF(AE718="","",IFERROR(INDEX($AR$11:$AR$4010,MATCH(708,$AZ$11:$AZ$4010,0)),""))</f>
        <v/>
      </c>
      <c r="AJ718" s="29" t="str">
        <f>IF(AE718="","",IFERROR(INDEX($AT$11:$AT$4010,MATCH(708,$AZ$11:$AZ$4010,0)),""))</f>
        <v/>
      </c>
      <c r="AL718" s="31"/>
      <c r="AM718" s="26"/>
      <c r="AN718" s="32"/>
      <c r="AO718" s="32"/>
      <c r="AP718" s="24"/>
      <c r="AQ718" s="24"/>
      <c r="AR718" s="33"/>
      <c r="AS718" s="34"/>
      <c r="AT718" s="33"/>
      <c r="AV718" s="21">
        <f>IF(AND($AL718&lt;&gt;"",COUNTIF($AL$11:$AL718,$AL718)=1),1,0)</f>
        <v>0</v>
      </c>
      <c r="AW718" s="21">
        <f t="shared" si="109"/>
        <v>0</v>
      </c>
      <c r="AX718" s="21" t="str">
        <f t="shared" si="108"/>
        <v/>
      </c>
      <c r="AY718" s="21" t="str">
        <f>IF(AND($AM718&lt;&gt;"",$AS718&lt;&gt;"✓"),SUMPRODUCT(($AM$11:$AM718&lt;&gt;"")*($AS$11:$AS718&lt;&gt;"✓")),"")</f>
        <v/>
      </c>
      <c r="AZ718" s="21" t="str">
        <f>IF(AND($AM718&lt;&gt;"",$AS718="✓"),SUMPRODUCT(($AM$11:$AM718&lt;&gt;"")*($AS$11:$AS718="✓")),"")</f>
        <v/>
      </c>
      <c r="BA718" s="21" t="str">
        <f>IF($AL718="","",$AL718&amp;"|"&amp;COUNTIF($AL$11:$AL718,$AL718))</f>
        <v/>
      </c>
    </row>
    <row r="719" spans="23:53" ht="15" customHeight="1" x14ac:dyDescent="0.25">
      <c r="W719" s="14" t="str">
        <f>IF(X719="","",IFERROR(INDEX($AL$11:$AL$4010,MATCH(709,$AY$11:$AY$4010,0)),""))</f>
        <v/>
      </c>
      <c r="X719" s="12" t="str">
        <f>IFERROR(INDEX($AM$11:$AM$4010,MATCH(709,$AY$11:$AY$4010,0)),"")</f>
        <v/>
      </c>
      <c r="Y719" s="11" t="str">
        <f>IF(X719="","",IFERROR(INDEX($AN$11:$AN$4010,MATCH(709,$AY$11:$AY$4010,0)),""))</f>
        <v/>
      </c>
      <c r="Z719" s="11" t="str">
        <f>IF(X719="","",IFERROR(INDEX($AO$11:$AO$4010,MATCH(709,$AY$11:$AY$4010,0)),""))</f>
        <v/>
      </c>
      <c r="AA719" s="10" t="str">
        <f>IF(X719="","",IFERROR(INDEX($AQ$11:$AQ$4010,MATCH(709,$AY$11:$AY$4010,0)),""))</f>
        <v/>
      </c>
      <c r="AB719" s="15" t="str">
        <f>IF(X719="","",IFERROR(INDEX($AR$11:$AR$4010,MATCH(709,$AY$11:$AY$4010,0)),""))</f>
        <v/>
      </c>
      <c r="AD719" s="16" t="str">
        <f>IF(AE719="","",IFERROR(INDEX($AL$11:$AL$4010,MATCH(709,$AZ$11:$AZ$4010,0)),""))</f>
        <v/>
      </c>
      <c r="AE719" s="12" t="str">
        <f>IFERROR(INDEX($AM$11:$AM$4010,MATCH(709,$AZ$11:$AZ$4010,0)),"")</f>
        <v/>
      </c>
      <c r="AF719" s="11" t="str">
        <f>IF(AE719="","",IFERROR(INDEX($AN$11:$AN$4010,MATCH(709,$AZ$11:$AZ$4010,0)),""))</f>
        <v/>
      </c>
      <c r="AG719" s="11" t="str">
        <f>IF(AE719="","",IFERROR(INDEX($AO$11:$AO$4010,MATCH(709,$AZ$11:$AZ$4010,0)),""))</f>
        <v/>
      </c>
      <c r="AH719" s="10" t="str">
        <f>IF(AE719="","",IFERROR(INDEX($AQ$11:$AQ$4010,MATCH(709,$AZ$11:$AZ$4010,0)),""))</f>
        <v/>
      </c>
      <c r="AI719" s="15" t="str">
        <f>IF(AE719="","",IFERROR(INDEX($AR$11:$AR$4010,MATCH(709,$AZ$11:$AZ$4010,0)),""))</f>
        <v/>
      </c>
      <c r="AJ719" s="15" t="str">
        <f>IF(AE719="","",IFERROR(INDEX($AT$11:$AT$4010,MATCH(709,$AZ$11:$AZ$4010,0)),""))</f>
        <v/>
      </c>
      <c r="AL719" s="17"/>
      <c r="AM719" s="12"/>
      <c r="AN719" s="18"/>
      <c r="AO719" s="18"/>
      <c r="AP719" s="10"/>
      <c r="AQ719" s="10"/>
      <c r="AR719" s="19"/>
      <c r="AS719" s="20"/>
      <c r="AT719" s="19"/>
      <c r="AV719" s="21">
        <f>IF(AND($AL719&lt;&gt;"",COUNTIF($AL$11:$AL719,$AL719)=1),1,0)</f>
        <v>0</v>
      </c>
      <c r="AW719" s="21">
        <f t="shared" si="109"/>
        <v>0</v>
      </c>
      <c r="AX719" s="21" t="str">
        <f t="shared" si="108"/>
        <v/>
      </c>
      <c r="AY719" s="21" t="str">
        <f>IF(AND($AM719&lt;&gt;"",$AS719&lt;&gt;"✓"),SUMPRODUCT(($AM$11:$AM719&lt;&gt;"")*($AS$11:$AS719&lt;&gt;"✓")),"")</f>
        <v/>
      </c>
      <c r="AZ719" s="21" t="str">
        <f>IF(AND($AM719&lt;&gt;"",$AS719="✓"),SUMPRODUCT(($AM$11:$AM719&lt;&gt;"")*($AS$11:$AS719="✓")),"")</f>
        <v/>
      </c>
      <c r="BA719" s="21" t="str">
        <f>IF($AL719="","",$AL719&amp;"|"&amp;COUNTIF($AL$11:$AL719,$AL719))</f>
        <v/>
      </c>
    </row>
    <row r="720" spans="23:53" ht="15" customHeight="1" x14ac:dyDescent="0.25">
      <c r="W720" s="28" t="str">
        <f>IF(X720="","",IFERROR(INDEX($AL$11:$AL$4010,MATCH(710,$AY$11:$AY$4010,0)),""))</f>
        <v/>
      </c>
      <c r="X720" s="26" t="str">
        <f>IFERROR(INDEX($AM$11:$AM$4010,MATCH(710,$AY$11:$AY$4010,0)),"")</f>
        <v/>
      </c>
      <c r="Y720" s="25" t="str">
        <f>IF(X720="","",IFERROR(INDEX($AN$11:$AN$4010,MATCH(710,$AY$11:$AY$4010,0)),""))</f>
        <v/>
      </c>
      <c r="Z720" s="25" t="str">
        <f>IF(X720="","",IFERROR(INDEX($AO$11:$AO$4010,MATCH(710,$AY$11:$AY$4010,0)),""))</f>
        <v/>
      </c>
      <c r="AA720" s="24" t="str">
        <f>IF(X720="","",IFERROR(INDEX($AQ$11:$AQ$4010,MATCH(710,$AY$11:$AY$4010,0)),""))</f>
        <v/>
      </c>
      <c r="AB720" s="29" t="str">
        <f>IF(X720="","",IFERROR(INDEX($AR$11:$AR$4010,MATCH(710,$AY$11:$AY$4010,0)),""))</f>
        <v/>
      </c>
      <c r="AD720" s="30" t="str">
        <f>IF(AE720="","",IFERROR(INDEX($AL$11:$AL$4010,MATCH(710,$AZ$11:$AZ$4010,0)),""))</f>
        <v/>
      </c>
      <c r="AE720" s="26" t="str">
        <f>IFERROR(INDEX($AM$11:$AM$4010,MATCH(710,$AZ$11:$AZ$4010,0)),"")</f>
        <v/>
      </c>
      <c r="AF720" s="25" t="str">
        <f>IF(AE720="","",IFERROR(INDEX($AN$11:$AN$4010,MATCH(710,$AZ$11:$AZ$4010,0)),""))</f>
        <v/>
      </c>
      <c r="AG720" s="25" t="str">
        <f>IF(AE720="","",IFERROR(INDEX($AO$11:$AO$4010,MATCH(710,$AZ$11:$AZ$4010,0)),""))</f>
        <v/>
      </c>
      <c r="AH720" s="24" t="str">
        <f>IF(AE720="","",IFERROR(INDEX($AQ$11:$AQ$4010,MATCH(710,$AZ$11:$AZ$4010,0)),""))</f>
        <v/>
      </c>
      <c r="AI720" s="29" t="str">
        <f>IF(AE720="","",IFERROR(INDEX($AR$11:$AR$4010,MATCH(710,$AZ$11:$AZ$4010,0)),""))</f>
        <v/>
      </c>
      <c r="AJ720" s="29" t="str">
        <f>IF(AE720="","",IFERROR(INDEX($AT$11:$AT$4010,MATCH(710,$AZ$11:$AZ$4010,0)),""))</f>
        <v/>
      </c>
      <c r="AL720" s="31"/>
      <c r="AM720" s="26"/>
      <c r="AN720" s="32"/>
      <c r="AO720" s="32"/>
      <c r="AP720" s="24"/>
      <c r="AQ720" s="24"/>
      <c r="AR720" s="33"/>
      <c r="AS720" s="34"/>
      <c r="AT720" s="33"/>
      <c r="AV720" s="21">
        <f>IF(AND($AL720&lt;&gt;"",COUNTIF($AL$11:$AL720,$AL720)=1),1,0)</f>
        <v>0</v>
      </c>
      <c r="AW720" s="21">
        <f t="shared" si="109"/>
        <v>0</v>
      </c>
      <c r="AX720" s="21" t="str">
        <f t="shared" si="108"/>
        <v/>
      </c>
      <c r="AY720" s="21" t="str">
        <f>IF(AND($AM720&lt;&gt;"",$AS720&lt;&gt;"✓"),SUMPRODUCT(($AM$11:$AM720&lt;&gt;"")*($AS$11:$AS720&lt;&gt;"✓")),"")</f>
        <v/>
      </c>
      <c r="AZ720" s="21" t="str">
        <f>IF(AND($AM720&lt;&gt;"",$AS720="✓"),SUMPRODUCT(($AM$11:$AM720&lt;&gt;"")*($AS$11:$AS720="✓")),"")</f>
        <v/>
      </c>
      <c r="BA720" s="21" t="str">
        <f>IF($AL720="","",$AL720&amp;"|"&amp;COUNTIF($AL$11:$AL720,$AL720))</f>
        <v/>
      </c>
    </row>
    <row r="721" spans="23:53" ht="15" customHeight="1" x14ac:dyDescent="0.25">
      <c r="W721" s="14" t="str">
        <f>IF(X721="","",IFERROR(INDEX($AL$11:$AL$4010,MATCH(711,$AY$11:$AY$4010,0)),""))</f>
        <v/>
      </c>
      <c r="X721" s="12" t="str">
        <f>IFERROR(INDEX($AM$11:$AM$4010,MATCH(711,$AY$11:$AY$4010,0)),"")</f>
        <v/>
      </c>
      <c r="Y721" s="11" t="str">
        <f>IF(X721="","",IFERROR(INDEX($AN$11:$AN$4010,MATCH(711,$AY$11:$AY$4010,0)),""))</f>
        <v/>
      </c>
      <c r="Z721" s="11" t="str">
        <f>IF(X721="","",IFERROR(INDEX($AO$11:$AO$4010,MATCH(711,$AY$11:$AY$4010,0)),""))</f>
        <v/>
      </c>
      <c r="AA721" s="10" t="str">
        <f>IF(X721="","",IFERROR(INDEX($AQ$11:$AQ$4010,MATCH(711,$AY$11:$AY$4010,0)),""))</f>
        <v/>
      </c>
      <c r="AB721" s="15" t="str">
        <f>IF(X721="","",IFERROR(INDEX($AR$11:$AR$4010,MATCH(711,$AY$11:$AY$4010,0)),""))</f>
        <v/>
      </c>
      <c r="AD721" s="16" t="str">
        <f>IF(AE721="","",IFERROR(INDEX($AL$11:$AL$4010,MATCH(711,$AZ$11:$AZ$4010,0)),""))</f>
        <v/>
      </c>
      <c r="AE721" s="12" t="str">
        <f>IFERROR(INDEX($AM$11:$AM$4010,MATCH(711,$AZ$11:$AZ$4010,0)),"")</f>
        <v/>
      </c>
      <c r="AF721" s="11" t="str">
        <f>IF(AE721="","",IFERROR(INDEX($AN$11:$AN$4010,MATCH(711,$AZ$11:$AZ$4010,0)),""))</f>
        <v/>
      </c>
      <c r="AG721" s="11" t="str">
        <f>IF(AE721="","",IFERROR(INDEX($AO$11:$AO$4010,MATCH(711,$AZ$11:$AZ$4010,0)),""))</f>
        <v/>
      </c>
      <c r="AH721" s="10" t="str">
        <f>IF(AE721="","",IFERROR(INDEX($AQ$11:$AQ$4010,MATCH(711,$AZ$11:$AZ$4010,0)),""))</f>
        <v/>
      </c>
      <c r="AI721" s="15" t="str">
        <f>IF(AE721="","",IFERROR(INDEX($AR$11:$AR$4010,MATCH(711,$AZ$11:$AZ$4010,0)),""))</f>
        <v/>
      </c>
      <c r="AJ721" s="15" t="str">
        <f>IF(AE721="","",IFERROR(INDEX($AT$11:$AT$4010,MATCH(711,$AZ$11:$AZ$4010,0)),""))</f>
        <v/>
      </c>
      <c r="AL721" s="17"/>
      <c r="AM721" s="12"/>
      <c r="AN721" s="18"/>
      <c r="AO721" s="18"/>
      <c r="AP721" s="10"/>
      <c r="AQ721" s="10"/>
      <c r="AR721" s="19"/>
      <c r="AS721" s="20"/>
      <c r="AT721" s="19"/>
      <c r="AV721" s="21">
        <f>IF(AND($AL721&lt;&gt;"",COUNTIF($AL$11:$AL721,$AL721)=1),1,0)</f>
        <v>0</v>
      </c>
      <c r="AW721" s="21">
        <f t="shared" si="109"/>
        <v>0</v>
      </c>
      <c r="AX721" s="21" t="str">
        <f t="shared" si="108"/>
        <v/>
      </c>
      <c r="AY721" s="21" t="str">
        <f>IF(AND($AM721&lt;&gt;"",$AS721&lt;&gt;"✓"),SUMPRODUCT(($AM$11:$AM721&lt;&gt;"")*($AS$11:$AS721&lt;&gt;"✓")),"")</f>
        <v/>
      </c>
      <c r="AZ721" s="21" t="str">
        <f>IF(AND($AM721&lt;&gt;"",$AS721="✓"),SUMPRODUCT(($AM$11:$AM721&lt;&gt;"")*($AS$11:$AS721="✓")),"")</f>
        <v/>
      </c>
      <c r="BA721" s="21" t="str">
        <f>IF($AL721="","",$AL721&amp;"|"&amp;COUNTIF($AL$11:$AL721,$AL721))</f>
        <v/>
      </c>
    </row>
    <row r="722" spans="23:53" ht="15" customHeight="1" x14ac:dyDescent="0.25">
      <c r="W722" s="28" t="str">
        <f>IF(X722="","",IFERROR(INDEX($AL$11:$AL$4010,MATCH(712,$AY$11:$AY$4010,0)),""))</f>
        <v/>
      </c>
      <c r="X722" s="26" t="str">
        <f>IFERROR(INDEX($AM$11:$AM$4010,MATCH(712,$AY$11:$AY$4010,0)),"")</f>
        <v/>
      </c>
      <c r="Y722" s="25" t="str">
        <f>IF(X722="","",IFERROR(INDEX($AN$11:$AN$4010,MATCH(712,$AY$11:$AY$4010,0)),""))</f>
        <v/>
      </c>
      <c r="Z722" s="25" t="str">
        <f>IF(X722="","",IFERROR(INDEX($AO$11:$AO$4010,MATCH(712,$AY$11:$AY$4010,0)),""))</f>
        <v/>
      </c>
      <c r="AA722" s="24" t="str">
        <f>IF(X722="","",IFERROR(INDEX($AQ$11:$AQ$4010,MATCH(712,$AY$11:$AY$4010,0)),""))</f>
        <v/>
      </c>
      <c r="AB722" s="29" t="str">
        <f>IF(X722="","",IFERROR(INDEX($AR$11:$AR$4010,MATCH(712,$AY$11:$AY$4010,0)),""))</f>
        <v/>
      </c>
      <c r="AD722" s="30" t="str">
        <f>IF(AE722="","",IFERROR(INDEX($AL$11:$AL$4010,MATCH(712,$AZ$11:$AZ$4010,0)),""))</f>
        <v/>
      </c>
      <c r="AE722" s="26" t="str">
        <f>IFERROR(INDEX($AM$11:$AM$4010,MATCH(712,$AZ$11:$AZ$4010,0)),"")</f>
        <v/>
      </c>
      <c r="AF722" s="25" t="str">
        <f>IF(AE722="","",IFERROR(INDEX($AN$11:$AN$4010,MATCH(712,$AZ$11:$AZ$4010,0)),""))</f>
        <v/>
      </c>
      <c r="AG722" s="25" t="str">
        <f>IF(AE722="","",IFERROR(INDEX($AO$11:$AO$4010,MATCH(712,$AZ$11:$AZ$4010,0)),""))</f>
        <v/>
      </c>
      <c r="AH722" s="24" t="str">
        <f>IF(AE722="","",IFERROR(INDEX($AQ$11:$AQ$4010,MATCH(712,$AZ$11:$AZ$4010,0)),""))</f>
        <v/>
      </c>
      <c r="AI722" s="29" t="str">
        <f>IF(AE722="","",IFERROR(INDEX($AR$11:$AR$4010,MATCH(712,$AZ$11:$AZ$4010,0)),""))</f>
        <v/>
      </c>
      <c r="AJ722" s="29" t="str">
        <f>IF(AE722="","",IFERROR(INDEX($AT$11:$AT$4010,MATCH(712,$AZ$11:$AZ$4010,0)),""))</f>
        <v/>
      </c>
      <c r="AL722" s="31"/>
      <c r="AM722" s="26"/>
      <c r="AN722" s="32"/>
      <c r="AO722" s="32"/>
      <c r="AP722" s="24"/>
      <c r="AQ722" s="24"/>
      <c r="AR722" s="33"/>
      <c r="AS722" s="34"/>
      <c r="AT722" s="33"/>
      <c r="AV722" s="21">
        <f>IF(AND($AL722&lt;&gt;"",COUNTIF($AL$11:$AL722,$AL722)=1),1,0)</f>
        <v>0</v>
      </c>
      <c r="AW722" s="21">
        <f t="shared" si="109"/>
        <v>0</v>
      </c>
      <c r="AX722" s="21" t="str">
        <f t="shared" si="108"/>
        <v/>
      </c>
      <c r="AY722" s="21" t="str">
        <f>IF(AND($AM722&lt;&gt;"",$AS722&lt;&gt;"✓"),SUMPRODUCT(($AM$11:$AM722&lt;&gt;"")*($AS$11:$AS722&lt;&gt;"✓")),"")</f>
        <v/>
      </c>
      <c r="AZ722" s="21" t="str">
        <f>IF(AND($AM722&lt;&gt;"",$AS722="✓"),SUMPRODUCT(($AM$11:$AM722&lt;&gt;"")*($AS$11:$AS722="✓")),"")</f>
        <v/>
      </c>
      <c r="BA722" s="21" t="str">
        <f>IF($AL722="","",$AL722&amp;"|"&amp;COUNTIF($AL$11:$AL722,$AL722))</f>
        <v/>
      </c>
    </row>
    <row r="723" spans="23:53" ht="15" customHeight="1" x14ac:dyDescent="0.25">
      <c r="W723" s="14" t="str">
        <f>IF(X723="","",IFERROR(INDEX($AL$11:$AL$4010,MATCH(713,$AY$11:$AY$4010,0)),""))</f>
        <v/>
      </c>
      <c r="X723" s="12" t="str">
        <f>IFERROR(INDEX($AM$11:$AM$4010,MATCH(713,$AY$11:$AY$4010,0)),"")</f>
        <v/>
      </c>
      <c r="Y723" s="11" t="str">
        <f>IF(X723="","",IFERROR(INDEX($AN$11:$AN$4010,MATCH(713,$AY$11:$AY$4010,0)),""))</f>
        <v/>
      </c>
      <c r="Z723" s="11" t="str">
        <f>IF(X723="","",IFERROR(INDEX($AO$11:$AO$4010,MATCH(713,$AY$11:$AY$4010,0)),""))</f>
        <v/>
      </c>
      <c r="AA723" s="10" t="str">
        <f>IF(X723="","",IFERROR(INDEX($AQ$11:$AQ$4010,MATCH(713,$AY$11:$AY$4010,0)),""))</f>
        <v/>
      </c>
      <c r="AB723" s="15" t="str">
        <f>IF(X723="","",IFERROR(INDEX($AR$11:$AR$4010,MATCH(713,$AY$11:$AY$4010,0)),""))</f>
        <v/>
      </c>
      <c r="AD723" s="16" t="str">
        <f>IF(AE723="","",IFERROR(INDEX($AL$11:$AL$4010,MATCH(713,$AZ$11:$AZ$4010,0)),""))</f>
        <v/>
      </c>
      <c r="AE723" s="12" t="str">
        <f>IFERROR(INDEX($AM$11:$AM$4010,MATCH(713,$AZ$11:$AZ$4010,0)),"")</f>
        <v/>
      </c>
      <c r="AF723" s="11" t="str">
        <f>IF(AE723="","",IFERROR(INDEX($AN$11:$AN$4010,MATCH(713,$AZ$11:$AZ$4010,0)),""))</f>
        <v/>
      </c>
      <c r="AG723" s="11" t="str">
        <f>IF(AE723="","",IFERROR(INDEX($AO$11:$AO$4010,MATCH(713,$AZ$11:$AZ$4010,0)),""))</f>
        <v/>
      </c>
      <c r="AH723" s="10" t="str">
        <f>IF(AE723="","",IFERROR(INDEX($AQ$11:$AQ$4010,MATCH(713,$AZ$11:$AZ$4010,0)),""))</f>
        <v/>
      </c>
      <c r="AI723" s="15" t="str">
        <f>IF(AE723="","",IFERROR(INDEX($AR$11:$AR$4010,MATCH(713,$AZ$11:$AZ$4010,0)),""))</f>
        <v/>
      </c>
      <c r="AJ723" s="15" t="str">
        <f>IF(AE723="","",IFERROR(INDEX($AT$11:$AT$4010,MATCH(713,$AZ$11:$AZ$4010,0)),""))</f>
        <v/>
      </c>
      <c r="AL723" s="17"/>
      <c r="AM723" s="12"/>
      <c r="AN723" s="18"/>
      <c r="AO723" s="18"/>
      <c r="AP723" s="10"/>
      <c r="AQ723" s="10"/>
      <c r="AR723" s="19"/>
      <c r="AS723" s="20"/>
      <c r="AT723" s="19"/>
      <c r="AV723" s="21">
        <f>IF(AND($AL723&lt;&gt;"",COUNTIF($AL$11:$AL723,$AL723)=1),1,0)</f>
        <v>0</v>
      </c>
      <c r="AW723" s="21">
        <f t="shared" si="109"/>
        <v>0</v>
      </c>
      <c r="AX723" s="21" t="str">
        <f t="shared" si="108"/>
        <v/>
      </c>
      <c r="AY723" s="21" t="str">
        <f>IF(AND($AM723&lt;&gt;"",$AS723&lt;&gt;"✓"),SUMPRODUCT(($AM$11:$AM723&lt;&gt;"")*($AS$11:$AS723&lt;&gt;"✓")),"")</f>
        <v/>
      </c>
      <c r="AZ723" s="21" t="str">
        <f>IF(AND($AM723&lt;&gt;"",$AS723="✓"),SUMPRODUCT(($AM$11:$AM723&lt;&gt;"")*($AS$11:$AS723="✓")),"")</f>
        <v/>
      </c>
      <c r="BA723" s="21" t="str">
        <f>IF($AL723="","",$AL723&amp;"|"&amp;COUNTIF($AL$11:$AL723,$AL723))</f>
        <v/>
      </c>
    </row>
    <row r="724" spans="23:53" ht="15" customHeight="1" x14ac:dyDescent="0.25">
      <c r="W724" s="28" t="str">
        <f>IF(X724="","",IFERROR(INDEX($AL$11:$AL$4010,MATCH(714,$AY$11:$AY$4010,0)),""))</f>
        <v/>
      </c>
      <c r="X724" s="26" t="str">
        <f>IFERROR(INDEX($AM$11:$AM$4010,MATCH(714,$AY$11:$AY$4010,0)),"")</f>
        <v/>
      </c>
      <c r="Y724" s="25" t="str">
        <f>IF(X724="","",IFERROR(INDEX($AN$11:$AN$4010,MATCH(714,$AY$11:$AY$4010,0)),""))</f>
        <v/>
      </c>
      <c r="Z724" s="25" t="str">
        <f>IF(X724="","",IFERROR(INDEX($AO$11:$AO$4010,MATCH(714,$AY$11:$AY$4010,0)),""))</f>
        <v/>
      </c>
      <c r="AA724" s="24" t="str">
        <f>IF(X724="","",IFERROR(INDEX($AQ$11:$AQ$4010,MATCH(714,$AY$11:$AY$4010,0)),""))</f>
        <v/>
      </c>
      <c r="AB724" s="29" t="str">
        <f>IF(X724="","",IFERROR(INDEX($AR$11:$AR$4010,MATCH(714,$AY$11:$AY$4010,0)),""))</f>
        <v/>
      </c>
      <c r="AD724" s="30" t="str">
        <f>IF(AE724="","",IFERROR(INDEX($AL$11:$AL$4010,MATCH(714,$AZ$11:$AZ$4010,0)),""))</f>
        <v/>
      </c>
      <c r="AE724" s="26" t="str">
        <f>IFERROR(INDEX($AM$11:$AM$4010,MATCH(714,$AZ$11:$AZ$4010,0)),"")</f>
        <v/>
      </c>
      <c r="AF724" s="25" t="str">
        <f>IF(AE724="","",IFERROR(INDEX($AN$11:$AN$4010,MATCH(714,$AZ$11:$AZ$4010,0)),""))</f>
        <v/>
      </c>
      <c r="AG724" s="25" t="str">
        <f>IF(AE724="","",IFERROR(INDEX($AO$11:$AO$4010,MATCH(714,$AZ$11:$AZ$4010,0)),""))</f>
        <v/>
      </c>
      <c r="AH724" s="24" t="str">
        <f>IF(AE724="","",IFERROR(INDEX($AQ$11:$AQ$4010,MATCH(714,$AZ$11:$AZ$4010,0)),""))</f>
        <v/>
      </c>
      <c r="AI724" s="29" t="str">
        <f>IF(AE724="","",IFERROR(INDEX($AR$11:$AR$4010,MATCH(714,$AZ$11:$AZ$4010,0)),""))</f>
        <v/>
      </c>
      <c r="AJ724" s="29" t="str">
        <f>IF(AE724="","",IFERROR(INDEX($AT$11:$AT$4010,MATCH(714,$AZ$11:$AZ$4010,0)),""))</f>
        <v/>
      </c>
      <c r="AL724" s="31"/>
      <c r="AM724" s="26"/>
      <c r="AN724" s="32"/>
      <c r="AO724" s="32"/>
      <c r="AP724" s="24"/>
      <c r="AQ724" s="24"/>
      <c r="AR724" s="33"/>
      <c r="AS724" s="34"/>
      <c r="AT724" s="33"/>
      <c r="AV724" s="21">
        <f>IF(AND($AL724&lt;&gt;"",COUNTIF($AL$11:$AL724,$AL724)=1),1,0)</f>
        <v>0</v>
      </c>
      <c r="AW724" s="21">
        <f t="shared" si="109"/>
        <v>0</v>
      </c>
      <c r="AX724" s="21" t="str">
        <f t="shared" si="108"/>
        <v/>
      </c>
      <c r="AY724" s="21" t="str">
        <f>IF(AND($AM724&lt;&gt;"",$AS724&lt;&gt;"✓"),SUMPRODUCT(($AM$11:$AM724&lt;&gt;"")*($AS$11:$AS724&lt;&gt;"✓")),"")</f>
        <v/>
      </c>
      <c r="AZ724" s="21" t="str">
        <f>IF(AND($AM724&lt;&gt;"",$AS724="✓"),SUMPRODUCT(($AM$11:$AM724&lt;&gt;"")*($AS$11:$AS724="✓")),"")</f>
        <v/>
      </c>
      <c r="BA724" s="21" t="str">
        <f>IF($AL724="","",$AL724&amp;"|"&amp;COUNTIF($AL$11:$AL724,$AL724))</f>
        <v/>
      </c>
    </row>
    <row r="725" spans="23:53" ht="15" customHeight="1" x14ac:dyDescent="0.25">
      <c r="W725" s="14" t="str">
        <f>IF(X725="","",IFERROR(INDEX($AL$11:$AL$4010,MATCH(715,$AY$11:$AY$4010,0)),""))</f>
        <v/>
      </c>
      <c r="X725" s="12" t="str">
        <f>IFERROR(INDEX($AM$11:$AM$4010,MATCH(715,$AY$11:$AY$4010,0)),"")</f>
        <v/>
      </c>
      <c r="Y725" s="11" t="str">
        <f>IF(X725="","",IFERROR(INDEX($AN$11:$AN$4010,MATCH(715,$AY$11:$AY$4010,0)),""))</f>
        <v/>
      </c>
      <c r="Z725" s="11" t="str">
        <f>IF(X725="","",IFERROR(INDEX($AO$11:$AO$4010,MATCH(715,$AY$11:$AY$4010,0)),""))</f>
        <v/>
      </c>
      <c r="AA725" s="10" t="str">
        <f>IF(X725="","",IFERROR(INDEX($AQ$11:$AQ$4010,MATCH(715,$AY$11:$AY$4010,0)),""))</f>
        <v/>
      </c>
      <c r="AB725" s="15" t="str">
        <f>IF(X725="","",IFERROR(INDEX($AR$11:$AR$4010,MATCH(715,$AY$11:$AY$4010,0)),""))</f>
        <v/>
      </c>
      <c r="AD725" s="16" t="str">
        <f>IF(AE725="","",IFERROR(INDEX($AL$11:$AL$4010,MATCH(715,$AZ$11:$AZ$4010,0)),""))</f>
        <v/>
      </c>
      <c r="AE725" s="12" t="str">
        <f>IFERROR(INDEX($AM$11:$AM$4010,MATCH(715,$AZ$11:$AZ$4010,0)),"")</f>
        <v/>
      </c>
      <c r="AF725" s="11" t="str">
        <f>IF(AE725="","",IFERROR(INDEX($AN$11:$AN$4010,MATCH(715,$AZ$11:$AZ$4010,0)),""))</f>
        <v/>
      </c>
      <c r="AG725" s="11" t="str">
        <f>IF(AE725="","",IFERROR(INDEX($AO$11:$AO$4010,MATCH(715,$AZ$11:$AZ$4010,0)),""))</f>
        <v/>
      </c>
      <c r="AH725" s="10" t="str">
        <f>IF(AE725="","",IFERROR(INDEX($AQ$11:$AQ$4010,MATCH(715,$AZ$11:$AZ$4010,0)),""))</f>
        <v/>
      </c>
      <c r="AI725" s="15" t="str">
        <f>IF(AE725="","",IFERROR(INDEX($AR$11:$AR$4010,MATCH(715,$AZ$11:$AZ$4010,0)),""))</f>
        <v/>
      </c>
      <c r="AJ725" s="15" t="str">
        <f>IF(AE725="","",IFERROR(INDEX($AT$11:$AT$4010,MATCH(715,$AZ$11:$AZ$4010,0)),""))</f>
        <v/>
      </c>
      <c r="AL725" s="17"/>
      <c r="AM725" s="12"/>
      <c r="AN725" s="18"/>
      <c r="AO725" s="18"/>
      <c r="AP725" s="10"/>
      <c r="AQ725" s="10"/>
      <c r="AR725" s="19"/>
      <c r="AS725" s="20"/>
      <c r="AT725" s="19"/>
      <c r="AV725" s="21">
        <f>IF(AND($AL725&lt;&gt;"",COUNTIF($AL$11:$AL725,$AL725)=1),1,0)</f>
        <v>0</v>
      </c>
      <c r="AW725" s="21">
        <f t="shared" si="109"/>
        <v>0</v>
      </c>
      <c r="AX725" s="21" t="str">
        <f t="shared" si="108"/>
        <v/>
      </c>
      <c r="AY725" s="21" t="str">
        <f>IF(AND($AM725&lt;&gt;"",$AS725&lt;&gt;"✓"),SUMPRODUCT(($AM$11:$AM725&lt;&gt;"")*($AS$11:$AS725&lt;&gt;"✓")),"")</f>
        <v/>
      </c>
      <c r="AZ725" s="21" t="str">
        <f>IF(AND($AM725&lt;&gt;"",$AS725="✓"),SUMPRODUCT(($AM$11:$AM725&lt;&gt;"")*($AS$11:$AS725="✓")),"")</f>
        <v/>
      </c>
      <c r="BA725" s="21" t="str">
        <f>IF($AL725="","",$AL725&amp;"|"&amp;COUNTIF($AL$11:$AL725,$AL725))</f>
        <v/>
      </c>
    </row>
    <row r="726" spans="23:53" ht="15" customHeight="1" x14ac:dyDescent="0.25">
      <c r="W726" s="28" t="str">
        <f>IF(X726="","",IFERROR(INDEX($AL$11:$AL$4010,MATCH(716,$AY$11:$AY$4010,0)),""))</f>
        <v/>
      </c>
      <c r="X726" s="26" t="str">
        <f>IFERROR(INDEX($AM$11:$AM$4010,MATCH(716,$AY$11:$AY$4010,0)),"")</f>
        <v/>
      </c>
      <c r="Y726" s="25" t="str">
        <f>IF(X726="","",IFERROR(INDEX($AN$11:$AN$4010,MATCH(716,$AY$11:$AY$4010,0)),""))</f>
        <v/>
      </c>
      <c r="Z726" s="25" t="str">
        <f>IF(X726="","",IFERROR(INDEX($AO$11:$AO$4010,MATCH(716,$AY$11:$AY$4010,0)),""))</f>
        <v/>
      </c>
      <c r="AA726" s="24" t="str">
        <f>IF(X726="","",IFERROR(INDEX($AQ$11:$AQ$4010,MATCH(716,$AY$11:$AY$4010,0)),""))</f>
        <v/>
      </c>
      <c r="AB726" s="29" t="str">
        <f>IF(X726="","",IFERROR(INDEX($AR$11:$AR$4010,MATCH(716,$AY$11:$AY$4010,0)),""))</f>
        <v/>
      </c>
      <c r="AD726" s="30" t="str">
        <f>IF(AE726="","",IFERROR(INDEX($AL$11:$AL$4010,MATCH(716,$AZ$11:$AZ$4010,0)),""))</f>
        <v/>
      </c>
      <c r="AE726" s="26" t="str">
        <f>IFERROR(INDEX($AM$11:$AM$4010,MATCH(716,$AZ$11:$AZ$4010,0)),"")</f>
        <v/>
      </c>
      <c r="AF726" s="25" t="str">
        <f>IF(AE726="","",IFERROR(INDEX($AN$11:$AN$4010,MATCH(716,$AZ$11:$AZ$4010,0)),""))</f>
        <v/>
      </c>
      <c r="AG726" s="25" t="str">
        <f>IF(AE726="","",IFERROR(INDEX($AO$11:$AO$4010,MATCH(716,$AZ$11:$AZ$4010,0)),""))</f>
        <v/>
      </c>
      <c r="AH726" s="24" t="str">
        <f>IF(AE726="","",IFERROR(INDEX($AQ$11:$AQ$4010,MATCH(716,$AZ$11:$AZ$4010,0)),""))</f>
        <v/>
      </c>
      <c r="AI726" s="29" t="str">
        <f>IF(AE726="","",IFERROR(INDEX($AR$11:$AR$4010,MATCH(716,$AZ$11:$AZ$4010,0)),""))</f>
        <v/>
      </c>
      <c r="AJ726" s="29" t="str">
        <f>IF(AE726="","",IFERROR(INDEX($AT$11:$AT$4010,MATCH(716,$AZ$11:$AZ$4010,0)),""))</f>
        <v/>
      </c>
      <c r="AL726" s="31"/>
      <c r="AM726" s="26"/>
      <c r="AN726" s="32"/>
      <c r="AO726" s="32"/>
      <c r="AP726" s="24"/>
      <c r="AQ726" s="24"/>
      <c r="AR726" s="33"/>
      <c r="AS726" s="34"/>
      <c r="AT726" s="33"/>
      <c r="AV726" s="21">
        <f>IF(AND($AL726&lt;&gt;"",COUNTIF($AL$11:$AL726,$AL726)=1),1,0)</f>
        <v>0</v>
      </c>
      <c r="AW726" s="21">
        <f t="shared" si="109"/>
        <v>0</v>
      </c>
      <c r="AX726" s="21" t="str">
        <f t="shared" si="108"/>
        <v/>
      </c>
      <c r="AY726" s="21" t="str">
        <f>IF(AND($AM726&lt;&gt;"",$AS726&lt;&gt;"✓"),SUMPRODUCT(($AM$11:$AM726&lt;&gt;"")*($AS$11:$AS726&lt;&gt;"✓")),"")</f>
        <v/>
      </c>
      <c r="AZ726" s="21" t="str">
        <f>IF(AND($AM726&lt;&gt;"",$AS726="✓"),SUMPRODUCT(($AM$11:$AM726&lt;&gt;"")*($AS$11:$AS726="✓")),"")</f>
        <v/>
      </c>
      <c r="BA726" s="21" t="str">
        <f>IF($AL726="","",$AL726&amp;"|"&amp;COUNTIF($AL$11:$AL726,$AL726))</f>
        <v/>
      </c>
    </row>
    <row r="727" spans="23:53" ht="15" customHeight="1" x14ac:dyDescent="0.25">
      <c r="W727" s="14" t="str">
        <f>IF(X727="","",IFERROR(INDEX($AL$11:$AL$4010,MATCH(717,$AY$11:$AY$4010,0)),""))</f>
        <v/>
      </c>
      <c r="X727" s="12" t="str">
        <f>IFERROR(INDEX($AM$11:$AM$4010,MATCH(717,$AY$11:$AY$4010,0)),"")</f>
        <v/>
      </c>
      <c r="Y727" s="11" t="str">
        <f>IF(X727="","",IFERROR(INDEX($AN$11:$AN$4010,MATCH(717,$AY$11:$AY$4010,0)),""))</f>
        <v/>
      </c>
      <c r="Z727" s="11" t="str">
        <f>IF(X727="","",IFERROR(INDEX($AO$11:$AO$4010,MATCH(717,$AY$11:$AY$4010,0)),""))</f>
        <v/>
      </c>
      <c r="AA727" s="10" t="str">
        <f>IF(X727="","",IFERROR(INDEX($AQ$11:$AQ$4010,MATCH(717,$AY$11:$AY$4010,0)),""))</f>
        <v/>
      </c>
      <c r="AB727" s="15" t="str">
        <f>IF(X727="","",IFERROR(INDEX($AR$11:$AR$4010,MATCH(717,$AY$11:$AY$4010,0)),""))</f>
        <v/>
      </c>
      <c r="AD727" s="16" t="str">
        <f>IF(AE727="","",IFERROR(INDEX($AL$11:$AL$4010,MATCH(717,$AZ$11:$AZ$4010,0)),""))</f>
        <v/>
      </c>
      <c r="AE727" s="12" t="str">
        <f>IFERROR(INDEX($AM$11:$AM$4010,MATCH(717,$AZ$11:$AZ$4010,0)),"")</f>
        <v/>
      </c>
      <c r="AF727" s="11" t="str">
        <f>IF(AE727="","",IFERROR(INDEX($AN$11:$AN$4010,MATCH(717,$AZ$11:$AZ$4010,0)),""))</f>
        <v/>
      </c>
      <c r="AG727" s="11" t="str">
        <f>IF(AE727="","",IFERROR(INDEX($AO$11:$AO$4010,MATCH(717,$AZ$11:$AZ$4010,0)),""))</f>
        <v/>
      </c>
      <c r="AH727" s="10" t="str">
        <f>IF(AE727="","",IFERROR(INDEX($AQ$11:$AQ$4010,MATCH(717,$AZ$11:$AZ$4010,0)),""))</f>
        <v/>
      </c>
      <c r="AI727" s="15" t="str">
        <f>IF(AE727="","",IFERROR(INDEX($AR$11:$AR$4010,MATCH(717,$AZ$11:$AZ$4010,0)),""))</f>
        <v/>
      </c>
      <c r="AJ727" s="15" t="str">
        <f>IF(AE727="","",IFERROR(INDEX($AT$11:$AT$4010,MATCH(717,$AZ$11:$AZ$4010,0)),""))</f>
        <v/>
      </c>
      <c r="AL727" s="17"/>
      <c r="AM727" s="12"/>
      <c r="AN727" s="18"/>
      <c r="AO727" s="18"/>
      <c r="AP727" s="10"/>
      <c r="AQ727" s="10"/>
      <c r="AR727" s="19"/>
      <c r="AS727" s="20"/>
      <c r="AT727" s="19"/>
      <c r="AV727" s="21">
        <f>IF(AND($AL727&lt;&gt;"",COUNTIF($AL$11:$AL727,$AL727)=1),1,0)</f>
        <v>0</v>
      </c>
      <c r="AW727" s="21">
        <f t="shared" si="109"/>
        <v>0</v>
      </c>
      <c r="AX727" s="21" t="str">
        <f t="shared" si="108"/>
        <v/>
      </c>
      <c r="AY727" s="21" t="str">
        <f>IF(AND($AM727&lt;&gt;"",$AS727&lt;&gt;"✓"),SUMPRODUCT(($AM$11:$AM727&lt;&gt;"")*($AS$11:$AS727&lt;&gt;"✓")),"")</f>
        <v/>
      </c>
      <c r="AZ727" s="21" t="str">
        <f>IF(AND($AM727&lt;&gt;"",$AS727="✓"),SUMPRODUCT(($AM$11:$AM727&lt;&gt;"")*($AS$11:$AS727="✓")),"")</f>
        <v/>
      </c>
      <c r="BA727" s="21" t="str">
        <f>IF($AL727="","",$AL727&amp;"|"&amp;COUNTIF($AL$11:$AL727,$AL727))</f>
        <v/>
      </c>
    </row>
    <row r="728" spans="23:53" ht="15" customHeight="1" x14ac:dyDescent="0.25">
      <c r="W728" s="28" t="str">
        <f>IF(X728="","",IFERROR(INDEX($AL$11:$AL$4010,MATCH(718,$AY$11:$AY$4010,0)),""))</f>
        <v/>
      </c>
      <c r="X728" s="26" t="str">
        <f>IFERROR(INDEX($AM$11:$AM$4010,MATCH(718,$AY$11:$AY$4010,0)),"")</f>
        <v/>
      </c>
      <c r="Y728" s="25" t="str">
        <f>IF(X728="","",IFERROR(INDEX($AN$11:$AN$4010,MATCH(718,$AY$11:$AY$4010,0)),""))</f>
        <v/>
      </c>
      <c r="Z728" s="25" t="str">
        <f>IF(X728="","",IFERROR(INDEX($AO$11:$AO$4010,MATCH(718,$AY$11:$AY$4010,0)),""))</f>
        <v/>
      </c>
      <c r="AA728" s="24" t="str">
        <f>IF(X728="","",IFERROR(INDEX($AQ$11:$AQ$4010,MATCH(718,$AY$11:$AY$4010,0)),""))</f>
        <v/>
      </c>
      <c r="AB728" s="29" t="str">
        <f>IF(X728="","",IFERROR(INDEX($AR$11:$AR$4010,MATCH(718,$AY$11:$AY$4010,0)),""))</f>
        <v/>
      </c>
      <c r="AD728" s="30" t="str">
        <f>IF(AE728="","",IFERROR(INDEX($AL$11:$AL$4010,MATCH(718,$AZ$11:$AZ$4010,0)),""))</f>
        <v/>
      </c>
      <c r="AE728" s="26" t="str">
        <f>IFERROR(INDEX($AM$11:$AM$4010,MATCH(718,$AZ$11:$AZ$4010,0)),"")</f>
        <v/>
      </c>
      <c r="AF728" s="25" t="str">
        <f>IF(AE728="","",IFERROR(INDEX($AN$11:$AN$4010,MATCH(718,$AZ$11:$AZ$4010,0)),""))</f>
        <v/>
      </c>
      <c r="AG728" s="25" t="str">
        <f>IF(AE728="","",IFERROR(INDEX($AO$11:$AO$4010,MATCH(718,$AZ$11:$AZ$4010,0)),""))</f>
        <v/>
      </c>
      <c r="AH728" s="24" t="str">
        <f>IF(AE728="","",IFERROR(INDEX($AQ$11:$AQ$4010,MATCH(718,$AZ$11:$AZ$4010,0)),""))</f>
        <v/>
      </c>
      <c r="AI728" s="29" t="str">
        <f>IF(AE728="","",IFERROR(INDEX($AR$11:$AR$4010,MATCH(718,$AZ$11:$AZ$4010,0)),""))</f>
        <v/>
      </c>
      <c r="AJ728" s="29" t="str">
        <f>IF(AE728="","",IFERROR(INDEX($AT$11:$AT$4010,MATCH(718,$AZ$11:$AZ$4010,0)),""))</f>
        <v/>
      </c>
      <c r="AL728" s="31"/>
      <c r="AM728" s="26"/>
      <c r="AN728" s="32"/>
      <c r="AO728" s="32"/>
      <c r="AP728" s="24"/>
      <c r="AQ728" s="24"/>
      <c r="AR728" s="33"/>
      <c r="AS728" s="34"/>
      <c r="AT728" s="33"/>
      <c r="AV728" s="21">
        <f>IF(AND($AL728&lt;&gt;"",COUNTIF($AL$11:$AL728,$AL728)=1),1,0)</f>
        <v>0</v>
      </c>
      <c r="AW728" s="21">
        <f t="shared" si="109"/>
        <v>0</v>
      </c>
      <c r="AX728" s="21" t="str">
        <f t="shared" si="108"/>
        <v/>
      </c>
      <c r="AY728" s="21" t="str">
        <f>IF(AND($AM728&lt;&gt;"",$AS728&lt;&gt;"✓"),SUMPRODUCT(($AM$11:$AM728&lt;&gt;"")*($AS$11:$AS728&lt;&gt;"✓")),"")</f>
        <v/>
      </c>
      <c r="AZ728" s="21" t="str">
        <f>IF(AND($AM728&lt;&gt;"",$AS728="✓"),SUMPRODUCT(($AM$11:$AM728&lt;&gt;"")*($AS$11:$AS728="✓")),"")</f>
        <v/>
      </c>
      <c r="BA728" s="21" t="str">
        <f>IF($AL728="","",$AL728&amp;"|"&amp;COUNTIF($AL$11:$AL728,$AL728))</f>
        <v/>
      </c>
    </row>
    <row r="729" spans="23:53" ht="15" customHeight="1" x14ac:dyDescent="0.25">
      <c r="W729" s="14" t="str">
        <f>IF(X729="","",IFERROR(INDEX($AL$11:$AL$4010,MATCH(719,$AY$11:$AY$4010,0)),""))</f>
        <v/>
      </c>
      <c r="X729" s="12" t="str">
        <f>IFERROR(INDEX($AM$11:$AM$4010,MATCH(719,$AY$11:$AY$4010,0)),"")</f>
        <v/>
      </c>
      <c r="Y729" s="11" t="str">
        <f>IF(X729="","",IFERROR(INDEX($AN$11:$AN$4010,MATCH(719,$AY$11:$AY$4010,0)),""))</f>
        <v/>
      </c>
      <c r="Z729" s="11" t="str">
        <f>IF(X729="","",IFERROR(INDEX($AO$11:$AO$4010,MATCH(719,$AY$11:$AY$4010,0)),""))</f>
        <v/>
      </c>
      <c r="AA729" s="10" t="str">
        <f>IF(X729="","",IFERROR(INDEX($AQ$11:$AQ$4010,MATCH(719,$AY$11:$AY$4010,0)),""))</f>
        <v/>
      </c>
      <c r="AB729" s="15" t="str">
        <f>IF(X729="","",IFERROR(INDEX($AR$11:$AR$4010,MATCH(719,$AY$11:$AY$4010,0)),""))</f>
        <v/>
      </c>
      <c r="AD729" s="16" t="str">
        <f>IF(AE729="","",IFERROR(INDEX($AL$11:$AL$4010,MATCH(719,$AZ$11:$AZ$4010,0)),""))</f>
        <v/>
      </c>
      <c r="AE729" s="12" t="str">
        <f>IFERROR(INDEX($AM$11:$AM$4010,MATCH(719,$AZ$11:$AZ$4010,0)),"")</f>
        <v/>
      </c>
      <c r="AF729" s="11" t="str">
        <f>IF(AE729="","",IFERROR(INDEX($AN$11:$AN$4010,MATCH(719,$AZ$11:$AZ$4010,0)),""))</f>
        <v/>
      </c>
      <c r="AG729" s="11" t="str">
        <f>IF(AE729="","",IFERROR(INDEX($AO$11:$AO$4010,MATCH(719,$AZ$11:$AZ$4010,0)),""))</f>
        <v/>
      </c>
      <c r="AH729" s="10" t="str">
        <f>IF(AE729="","",IFERROR(INDEX($AQ$11:$AQ$4010,MATCH(719,$AZ$11:$AZ$4010,0)),""))</f>
        <v/>
      </c>
      <c r="AI729" s="15" t="str">
        <f>IF(AE729="","",IFERROR(INDEX($AR$11:$AR$4010,MATCH(719,$AZ$11:$AZ$4010,0)),""))</f>
        <v/>
      </c>
      <c r="AJ729" s="15" t="str">
        <f>IF(AE729="","",IFERROR(INDEX($AT$11:$AT$4010,MATCH(719,$AZ$11:$AZ$4010,0)),""))</f>
        <v/>
      </c>
      <c r="AL729" s="17"/>
      <c r="AM729" s="12"/>
      <c r="AN729" s="18"/>
      <c r="AO729" s="18"/>
      <c r="AP729" s="10"/>
      <c r="AQ729" s="10"/>
      <c r="AR729" s="19"/>
      <c r="AS729" s="20"/>
      <c r="AT729" s="19"/>
      <c r="AV729" s="21">
        <f>IF(AND($AL729&lt;&gt;"",COUNTIF($AL$11:$AL729,$AL729)=1),1,0)</f>
        <v>0</v>
      </c>
      <c r="AW729" s="21">
        <f t="shared" si="109"/>
        <v>0</v>
      </c>
      <c r="AX729" s="21" t="str">
        <f t="shared" si="108"/>
        <v/>
      </c>
      <c r="AY729" s="21" t="str">
        <f>IF(AND($AM729&lt;&gt;"",$AS729&lt;&gt;"✓"),SUMPRODUCT(($AM$11:$AM729&lt;&gt;"")*($AS$11:$AS729&lt;&gt;"✓")),"")</f>
        <v/>
      </c>
      <c r="AZ729" s="21" t="str">
        <f>IF(AND($AM729&lt;&gt;"",$AS729="✓"),SUMPRODUCT(($AM$11:$AM729&lt;&gt;"")*($AS$11:$AS729="✓")),"")</f>
        <v/>
      </c>
      <c r="BA729" s="21" t="str">
        <f>IF($AL729="","",$AL729&amp;"|"&amp;COUNTIF($AL$11:$AL729,$AL729))</f>
        <v/>
      </c>
    </row>
    <row r="730" spans="23:53" ht="15" customHeight="1" x14ac:dyDescent="0.25">
      <c r="W730" s="28" t="str">
        <f>IF(X730="","",IFERROR(INDEX($AL$11:$AL$4010,MATCH(720,$AY$11:$AY$4010,0)),""))</f>
        <v/>
      </c>
      <c r="X730" s="26" t="str">
        <f>IFERROR(INDEX($AM$11:$AM$4010,MATCH(720,$AY$11:$AY$4010,0)),"")</f>
        <v/>
      </c>
      <c r="Y730" s="25" t="str">
        <f>IF(X730="","",IFERROR(INDEX($AN$11:$AN$4010,MATCH(720,$AY$11:$AY$4010,0)),""))</f>
        <v/>
      </c>
      <c r="Z730" s="25" t="str">
        <f>IF(X730="","",IFERROR(INDEX($AO$11:$AO$4010,MATCH(720,$AY$11:$AY$4010,0)),""))</f>
        <v/>
      </c>
      <c r="AA730" s="24" t="str">
        <f>IF(X730="","",IFERROR(INDEX($AQ$11:$AQ$4010,MATCH(720,$AY$11:$AY$4010,0)),""))</f>
        <v/>
      </c>
      <c r="AB730" s="29" t="str">
        <f>IF(X730="","",IFERROR(INDEX($AR$11:$AR$4010,MATCH(720,$AY$11:$AY$4010,0)),""))</f>
        <v/>
      </c>
      <c r="AD730" s="30" t="str">
        <f>IF(AE730="","",IFERROR(INDEX($AL$11:$AL$4010,MATCH(720,$AZ$11:$AZ$4010,0)),""))</f>
        <v/>
      </c>
      <c r="AE730" s="26" t="str">
        <f>IFERROR(INDEX($AM$11:$AM$4010,MATCH(720,$AZ$11:$AZ$4010,0)),"")</f>
        <v/>
      </c>
      <c r="AF730" s="25" t="str">
        <f>IF(AE730="","",IFERROR(INDEX($AN$11:$AN$4010,MATCH(720,$AZ$11:$AZ$4010,0)),""))</f>
        <v/>
      </c>
      <c r="AG730" s="25" t="str">
        <f>IF(AE730="","",IFERROR(INDEX($AO$11:$AO$4010,MATCH(720,$AZ$11:$AZ$4010,0)),""))</f>
        <v/>
      </c>
      <c r="AH730" s="24" t="str">
        <f>IF(AE730="","",IFERROR(INDEX($AQ$11:$AQ$4010,MATCH(720,$AZ$11:$AZ$4010,0)),""))</f>
        <v/>
      </c>
      <c r="AI730" s="29" t="str">
        <f>IF(AE730="","",IFERROR(INDEX($AR$11:$AR$4010,MATCH(720,$AZ$11:$AZ$4010,0)),""))</f>
        <v/>
      </c>
      <c r="AJ730" s="29" t="str">
        <f>IF(AE730="","",IFERROR(INDEX($AT$11:$AT$4010,MATCH(720,$AZ$11:$AZ$4010,0)),""))</f>
        <v/>
      </c>
      <c r="AL730" s="31"/>
      <c r="AM730" s="26"/>
      <c r="AN730" s="32"/>
      <c r="AO730" s="32"/>
      <c r="AP730" s="24"/>
      <c r="AQ730" s="24"/>
      <c r="AR730" s="33"/>
      <c r="AS730" s="34"/>
      <c r="AT730" s="33"/>
      <c r="AV730" s="21">
        <f>IF(AND($AL730&lt;&gt;"",COUNTIF($AL$11:$AL730,$AL730)=1),1,0)</f>
        <v>0</v>
      </c>
      <c r="AW730" s="21">
        <f t="shared" si="109"/>
        <v>0</v>
      </c>
      <c r="AX730" s="21" t="str">
        <f t="shared" si="108"/>
        <v/>
      </c>
      <c r="AY730" s="21" t="str">
        <f>IF(AND($AM730&lt;&gt;"",$AS730&lt;&gt;"✓"),SUMPRODUCT(($AM$11:$AM730&lt;&gt;"")*($AS$11:$AS730&lt;&gt;"✓")),"")</f>
        <v/>
      </c>
      <c r="AZ730" s="21" t="str">
        <f>IF(AND($AM730&lt;&gt;"",$AS730="✓"),SUMPRODUCT(($AM$11:$AM730&lt;&gt;"")*($AS$11:$AS730="✓")),"")</f>
        <v/>
      </c>
      <c r="BA730" s="21" t="str">
        <f>IF($AL730="","",$AL730&amp;"|"&amp;COUNTIF($AL$11:$AL730,$AL730))</f>
        <v/>
      </c>
    </row>
    <row r="731" spans="23:53" ht="15" customHeight="1" x14ac:dyDescent="0.25">
      <c r="W731" s="14" t="str">
        <f>IF(X731="","",IFERROR(INDEX($AL$11:$AL$4010,MATCH(721,$AY$11:$AY$4010,0)),""))</f>
        <v/>
      </c>
      <c r="X731" s="12" t="str">
        <f>IFERROR(INDEX($AM$11:$AM$4010,MATCH(721,$AY$11:$AY$4010,0)),"")</f>
        <v/>
      </c>
      <c r="Y731" s="11" t="str">
        <f>IF(X731="","",IFERROR(INDEX($AN$11:$AN$4010,MATCH(721,$AY$11:$AY$4010,0)),""))</f>
        <v/>
      </c>
      <c r="Z731" s="11" t="str">
        <f>IF(X731="","",IFERROR(INDEX($AO$11:$AO$4010,MATCH(721,$AY$11:$AY$4010,0)),""))</f>
        <v/>
      </c>
      <c r="AA731" s="10" t="str">
        <f>IF(X731="","",IFERROR(INDEX($AQ$11:$AQ$4010,MATCH(721,$AY$11:$AY$4010,0)),""))</f>
        <v/>
      </c>
      <c r="AB731" s="15" t="str">
        <f>IF(X731="","",IFERROR(INDEX($AR$11:$AR$4010,MATCH(721,$AY$11:$AY$4010,0)),""))</f>
        <v/>
      </c>
      <c r="AD731" s="16" t="str">
        <f>IF(AE731="","",IFERROR(INDEX($AL$11:$AL$4010,MATCH(721,$AZ$11:$AZ$4010,0)),""))</f>
        <v/>
      </c>
      <c r="AE731" s="12" t="str">
        <f>IFERROR(INDEX($AM$11:$AM$4010,MATCH(721,$AZ$11:$AZ$4010,0)),"")</f>
        <v/>
      </c>
      <c r="AF731" s="11" t="str">
        <f>IF(AE731="","",IFERROR(INDEX($AN$11:$AN$4010,MATCH(721,$AZ$11:$AZ$4010,0)),""))</f>
        <v/>
      </c>
      <c r="AG731" s="11" t="str">
        <f>IF(AE731="","",IFERROR(INDEX($AO$11:$AO$4010,MATCH(721,$AZ$11:$AZ$4010,0)),""))</f>
        <v/>
      </c>
      <c r="AH731" s="10" t="str">
        <f>IF(AE731="","",IFERROR(INDEX($AQ$11:$AQ$4010,MATCH(721,$AZ$11:$AZ$4010,0)),""))</f>
        <v/>
      </c>
      <c r="AI731" s="15" t="str">
        <f>IF(AE731="","",IFERROR(INDEX($AR$11:$AR$4010,MATCH(721,$AZ$11:$AZ$4010,0)),""))</f>
        <v/>
      </c>
      <c r="AJ731" s="15" t="str">
        <f>IF(AE731="","",IFERROR(INDEX($AT$11:$AT$4010,MATCH(721,$AZ$11:$AZ$4010,0)),""))</f>
        <v/>
      </c>
      <c r="AL731" s="17"/>
      <c r="AM731" s="12"/>
      <c r="AN731" s="18"/>
      <c r="AO731" s="18"/>
      <c r="AP731" s="10"/>
      <c r="AQ731" s="10"/>
      <c r="AR731" s="19"/>
      <c r="AS731" s="20"/>
      <c r="AT731" s="19"/>
      <c r="AV731" s="21">
        <f>IF(AND($AL731&lt;&gt;"",COUNTIF($AL$11:$AL731,$AL731)=1),1,0)</f>
        <v>0</v>
      </c>
      <c r="AW731" s="21">
        <f t="shared" si="109"/>
        <v>0</v>
      </c>
      <c r="AX731" s="21" t="str">
        <f t="shared" si="108"/>
        <v/>
      </c>
      <c r="AY731" s="21" t="str">
        <f>IF(AND($AM731&lt;&gt;"",$AS731&lt;&gt;"✓"),SUMPRODUCT(($AM$11:$AM731&lt;&gt;"")*($AS$11:$AS731&lt;&gt;"✓")),"")</f>
        <v/>
      </c>
      <c r="AZ731" s="21" t="str">
        <f>IF(AND($AM731&lt;&gt;"",$AS731="✓"),SUMPRODUCT(($AM$11:$AM731&lt;&gt;"")*($AS$11:$AS731="✓")),"")</f>
        <v/>
      </c>
      <c r="BA731" s="21" t="str">
        <f>IF($AL731="","",$AL731&amp;"|"&amp;COUNTIF($AL$11:$AL731,$AL731))</f>
        <v/>
      </c>
    </row>
    <row r="732" spans="23:53" ht="15" customHeight="1" x14ac:dyDescent="0.25">
      <c r="W732" s="28" t="str">
        <f>IF(X732="","",IFERROR(INDEX($AL$11:$AL$4010,MATCH(722,$AY$11:$AY$4010,0)),""))</f>
        <v/>
      </c>
      <c r="X732" s="26" t="str">
        <f>IFERROR(INDEX($AM$11:$AM$4010,MATCH(722,$AY$11:$AY$4010,0)),"")</f>
        <v/>
      </c>
      <c r="Y732" s="25" t="str">
        <f>IF(X732="","",IFERROR(INDEX($AN$11:$AN$4010,MATCH(722,$AY$11:$AY$4010,0)),""))</f>
        <v/>
      </c>
      <c r="Z732" s="25" t="str">
        <f>IF(X732="","",IFERROR(INDEX($AO$11:$AO$4010,MATCH(722,$AY$11:$AY$4010,0)),""))</f>
        <v/>
      </c>
      <c r="AA732" s="24" t="str">
        <f>IF(X732="","",IFERROR(INDEX($AQ$11:$AQ$4010,MATCH(722,$AY$11:$AY$4010,0)),""))</f>
        <v/>
      </c>
      <c r="AB732" s="29" t="str">
        <f>IF(X732="","",IFERROR(INDEX($AR$11:$AR$4010,MATCH(722,$AY$11:$AY$4010,0)),""))</f>
        <v/>
      </c>
      <c r="AD732" s="30" t="str">
        <f>IF(AE732="","",IFERROR(INDEX($AL$11:$AL$4010,MATCH(722,$AZ$11:$AZ$4010,0)),""))</f>
        <v/>
      </c>
      <c r="AE732" s="26" t="str">
        <f>IFERROR(INDEX($AM$11:$AM$4010,MATCH(722,$AZ$11:$AZ$4010,0)),"")</f>
        <v/>
      </c>
      <c r="AF732" s="25" t="str">
        <f>IF(AE732="","",IFERROR(INDEX($AN$11:$AN$4010,MATCH(722,$AZ$11:$AZ$4010,0)),""))</f>
        <v/>
      </c>
      <c r="AG732" s="25" t="str">
        <f>IF(AE732="","",IFERROR(INDEX($AO$11:$AO$4010,MATCH(722,$AZ$11:$AZ$4010,0)),""))</f>
        <v/>
      </c>
      <c r="AH732" s="24" t="str">
        <f>IF(AE732="","",IFERROR(INDEX($AQ$11:$AQ$4010,MATCH(722,$AZ$11:$AZ$4010,0)),""))</f>
        <v/>
      </c>
      <c r="AI732" s="29" t="str">
        <f>IF(AE732="","",IFERROR(INDEX($AR$11:$AR$4010,MATCH(722,$AZ$11:$AZ$4010,0)),""))</f>
        <v/>
      </c>
      <c r="AJ732" s="29" t="str">
        <f>IF(AE732="","",IFERROR(INDEX($AT$11:$AT$4010,MATCH(722,$AZ$11:$AZ$4010,0)),""))</f>
        <v/>
      </c>
      <c r="AL732" s="31"/>
      <c r="AM732" s="26"/>
      <c r="AN732" s="32"/>
      <c r="AO732" s="32"/>
      <c r="AP732" s="24"/>
      <c r="AQ732" s="24"/>
      <c r="AR732" s="33"/>
      <c r="AS732" s="34"/>
      <c r="AT732" s="33"/>
      <c r="AV732" s="21">
        <f>IF(AND($AL732&lt;&gt;"",COUNTIF($AL$11:$AL732,$AL732)=1),1,0)</f>
        <v>0</v>
      </c>
      <c r="AW732" s="21">
        <f t="shared" si="109"/>
        <v>0</v>
      </c>
      <c r="AX732" s="21" t="str">
        <f t="shared" si="108"/>
        <v/>
      </c>
      <c r="AY732" s="21" t="str">
        <f>IF(AND($AM732&lt;&gt;"",$AS732&lt;&gt;"✓"),SUMPRODUCT(($AM$11:$AM732&lt;&gt;"")*($AS$11:$AS732&lt;&gt;"✓")),"")</f>
        <v/>
      </c>
      <c r="AZ732" s="21" t="str">
        <f>IF(AND($AM732&lt;&gt;"",$AS732="✓"),SUMPRODUCT(($AM$11:$AM732&lt;&gt;"")*($AS$11:$AS732="✓")),"")</f>
        <v/>
      </c>
      <c r="BA732" s="21" t="str">
        <f>IF($AL732="","",$AL732&amp;"|"&amp;COUNTIF($AL$11:$AL732,$AL732))</f>
        <v/>
      </c>
    </row>
    <row r="733" spans="23:53" ht="15" customHeight="1" x14ac:dyDescent="0.25">
      <c r="W733" s="14" t="str">
        <f>IF(X733="","",IFERROR(INDEX($AL$11:$AL$4010,MATCH(723,$AY$11:$AY$4010,0)),""))</f>
        <v/>
      </c>
      <c r="X733" s="12" t="str">
        <f>IFERROR(INDEX($AM$11:$AM$4010,MATCH(723,$AY$11:$AY$4010,0)),"")</f>
        <v/>
      </c>
      <c r="Y733" s="11" t="str">
        <f>IF(X733="","",IFERROR(INDEX($AN$11:$AN$4010,MATCH(723,$AY$11:$AY$4010,0)),""))</f>
        <v/>
      </c>
      <c r="Z733" s="11" t="str">
        <f>IF(X733="","",IFERROR(INDEX($AO$11:$AO$4010,MATCH(723,$AY$11:$AY$4010,0)),""))</f>
        <v/>
      </c>
      <c r="AA733" s="10" t="str">
        <f>IF(X733="","",IFERROR(INDEX($AQ$11:$AQ$4010,MATCH(723,$AY$11:$AY$4010,0)),""))</f>
        <v/>
      </c>
      <c r="AB733" s="15" t="str">
        <f>IF(X733="","",IFERROR(INDEX($AR$11:$AR$4010,MATCH(723,$AY$11:$AY$4010,0)),""))</f>
        <v/>
      </c>
      <c r="AD733" s="16" t="str">
        <f>IF(AE733="","",IFERROR(INDEX($AL$11:$AL$4010,MATCH(723,$AZ$11:$AZ$4010,0)),""))</f>
        <v/>
      </c>
      <c r="AE733" s="12" t="str">
        <f>IFERROR(INDEX($AM$11:$AM$4010,MATCH(723,$AZ$11:$AZ$4010,0)),"")</f>
        <v/>
      </c>
      <c r="AF733" s="11" t="str">
        <f>IF(AE733="","",IFERROR(INDEX($AN$11:$AN$4010,MATCH(723,$AZ$11:$AZ$4010,0)),""))</f>
        <v/>
      </c>
      <c r="AG733" s="11" t="str">
        <f>IF(AE733="","",IFERROR(INDEX($AO$11:$AO$4010,MATCH(723,$AZ$11:$AZ$4010,0)),""))</f>
        <v/>
      </c>
      <c r="AH733" s="10" t="str">
        <f>IF(AE733="","",IFERROR(INDEX($AQ$11:$AQ$4010,MATCH(723,$AZ$11:$AZ$4010,0)),""))</f>
        <v/>
      </c>
      <c r="AI733" s="15" t="str">
        <f>IF(AE733="","",IFERROR(INDEX($AR$11:$AR$4010,MATCH(723,$AZ$11:$AZ$4010,0)),""))</f>
        <v/>
      </c>
      <c r="AJ733" s="15" t="str">
        <f>IF(AE733="","",IFERROR(INDEX($AT$11:$AT$4010,MATCH(723,$AZ$11:$AZ$4010,0)),""))</f>
        <v/>
      </c>
      <c r="AL733" s="17"/>
      <c r="AM733" s="12"/>
      <c r="AN733" s="18"/>
      <c r="AO733" s="18"/>
      <c r="AP733" s="10"/>
      <c r="AQ733" s="10"/>
      <c r="AR733" s="19"/>
      <c r="AS733" s="20"/>
      <c r="AT733" s="19"/>
      <c r="AV733" s="21">
        <f>IF(AND($AL733&lt;&gt;"",COUNTIF($AL$11:$AL733,$AL733)=1),1,0)</f>
        <v>0</v>
      </c>
      <c r="AW733" s="21">
        <f t="shared" si="109"/>
        <v>0</v>
      </c>
      <c r="AX733" s="21" t="str">
        <f t="shared" si="108"/>
        <v/>
      </c>
      <c r="AY733" s="21" t="str">
        <f>IF(AND($AM733&lt;&gt;"",$AS733&lt;&gt;"✓"),SUMPRODUCT(($AM$11:$AM733&lt;&gt;"")*($AS$11:$AS733&lt;&gt;"✓")),"")</f>
        <v/>
      </c>
      <c r="AZ733" s="21" t="str">
        <f>IF(AND($AM733&lt;&gt;"",$AS733="✓"),SUMPRODUCT(($AM$11:$AM733&lt;&gt;"")*($AS$11:$AS733="✓")),"")</f>
        <v/>
      </c>
      <c r="BA733" s="21" t="str">
        <f>IF($AL733="","",$AL733&amp;"|"&amp;COUNTIF($AL$11:$AL733,$AL733))</f>
        <v/>
      </c>
    </row>
    <row r="734" spans="23:53" ht="15" customHeight="1" x14ac:dyDescent="0.25">
      <c r="W734" s="28" t="str">
        <f>IF(X734="","",IFERROR(INDEX($AL$11:$AL$4010,MATCH(724,$AY$11:$AY$4010,0)),""))</f>
        <v/>
      </c>
      <c r="X734" s="26" t="str">
        <f>IFERROR(INDEX($AM$11:$AM$4010,MATCH(724,$AY$11:$AY$4010,0)),"")</f>
        <v/>
      </c>
      <c r="Y734" s="25" t="str">
        <f>IF(X734="","",IFERROR(INDEX($AN$11:$AN$4010,MATCH(724,$AY$11:$AY$4010,0)),""))</f>
        <v/>
      </c>
      <c r="Z734" s="25" t="str">
        <f>IF(X734="","",IFERROR(INDEX($AO$11:$AO$4010,MATCH(724,$AY$11:$AY$4010,0)),""))</f>
        <v/>
      </c>
      <c r="AA734" s="24" t="str">
        <f>IF(X734="","",IFERROR(INDEX($AQ$11:$AQ$4010,MATCH(724,$AY$11:$AY$4010,0)),""))</f>
        <v/>
      </c>
      <c r="AB734" s="29" t="str">
        <f>IF(X734="","",IFERROR(INDEX($AR$11:$AR$4010,MATCH(724,$AY$11:$AY$4010,0)),""))</f>
        <v/>
      </c>
      <c r="AD734" s="30" t="str">
        <f>IF(AE734="","",IFERROR(INDEX($AL$11:$AL$4010,MATCH(724,$AZ$11:$AZ$4010,0)),""))</f>
        <v/>
      </c>
      <c r="AE734" s="26" t="str">
        <f>IFERROR(INDEX($AM$11:$AM$4010,MATCH(724,$AZ$11:$AZ$4010,0)),"")</f>
        <v/>
      </c>
      <c r="AF734" s="25" t="str">
        <f>IF(AE734="","",IFERROR(INDEX($AN$11:$AN$4010,MATCH(724,$AZ$11:$AZ$4010,0)),""))</f>
        <v/>
      </c>
      <c r="AG734" s="25" t="str">
        <f>IF(AE734="","",IFERROR(INDEX($AO$11:$AO$4010,MATCH(724,$AZ$11:$AZ$4010,0)),""))</f>
        <v/>
      </c>
      <c r="AH734" s="24" t="str">
        <f>IF(AE734="","",IFERROR(INDEX($AQ$11:$AQ$4010,MATCH(724,$AZ$11:$AZ$4010,0)),""))</f>
        <v/>
      </c>
      <c r="AI734" s="29" t="str">
        <f>IF(AE734="","",IFERROR(INDEX($AR$11:$AR$4010,MATCH(724,$AZ$11:$AZ$4010,0)),""))</f>
        <v/>
      </c>
      <c r="AJ734" s="29" t="str">
        <f>IF(AE734="","",IFERROR(INDEX($AT$11:$AT$4010,MATCH(724,$AZ$11:$AZ$4010,0)),""))</f>
        <v/>
      </c>
      <c r="AL734" s="31"/>
      <c r="AM734" s="26"/>
      <c r="AN734" s="32"/>
      <c r="AO734" s="32"/>
      <c r="AP734" s="24"/>
      <c r="AQ734" s="24"/>
      <c r="AR734" s="33"/>
      <c r="AS734" s="34"/>
      <c r="AT734" s="33"/>
      <c r="AV734" s="21">
        <f>IF(AND($AL734&lt;&gt;"",COUNTIF($AL$11:$AL734,$AL734)=1),1,0)</f>
        <v>0</v>
      </c>
      <c r="AW734" s="21">
        <f t="shared" si="109"/>
        <v>0</v>
      </c>
      <c r="AX734" s="21" t="str">
        <f t="shared" si="108"/>
        <v/>
      </c>
      <c r="AY734" s="21" t="str">
        <f>IF(AND($AM734&lt;&gt;"",$AS734&lt;&gt;"✓"),SUMPRODUCT(($AM$11:$AM734&lt;&gt;"")*($AS$11:$AS734&lt;&gt;"✓")),"")</f>
        <v/>
      </c>
      <c r="AZ734" s="21" t="str">
        <f>IF(AND($AM734&lt;&gt;"",$AS734="✓"),SUMPRODUCT(($AM$11:$AM734&lt;&gt;"")*($AS$11:$AS734="✓")),"")</f>
        <v/>
      </c>
      <c r="BA734" s="21" t="str">
        <f>IF($AL734="","",$AL734&amp;"|"&amp;COUNTIF($AL$11:$AL734,$AL734))</f>
        <v/>
      </c>
    </row>
    <row r="735" spans="23:53" ht="15" customHeight="1" x14ac:dyDescent="0.25">
      <c r="W735" s="14" t="str">
        <f>IF(X735="","",IFERROR(INDEX($AL$11:$AL$4010,MATCH(725,$AY$11:$AY$4010,0)),""))</f>
        <v/>
      </c>
      <c r="X735" s="12" t="str">
        <f>IFERROR(INDEX($AM$11:$AM$4010,MATCH(725,$AY$11:$AY$4010,0)),"")</f>
        <v/>
      </c>
      <c r="Y735" s="11" t="str">
        <f>IF(X735="","",IFERROR(INDEX($AN$11:$AN$4010,MATCH(725,$AY$11:$AY$4010,0)),""))</f>
        <v/>
      </c>
      <c r="Z735" s="11" t="str">
        <f>IF(X735="","",IFERROR(INDEX($AO$11:$AO$4010,MATCH(725,$AY$11:$AY$4010,0)),""))</f>
        <v/>
      </c>
      <c r="AA735" s="10" t="str">
        <f>IF(X735="","",IFERROR(INDEX($AQ$11:$AQ$4010,MATCH(725,$AY$11:$AY$4010,0)),""))</f>
        <v/>
      </c>
      <c r="AB735" s="15" t="str">
        <f>IF(X735="","",IFERROR(INDEX($AR$11:$AR$4010,MATCH(725,$AY$11:$AY$4010,0)),""))</f>
        <v/>
      </c>
      <c r="AD735" s="16" t="str">
        <f>IF(AE735="","",IFERROR(INDEX($AL$11:$AL$4010,MATCH(725,$AZ$11:$AZ$4010,0)),""))</f>
        <v/>
      </c>
      <c r="AE735" s="12" t="str">
        <f>IFERROR(INDEX($AM$11:$AM$4010,MATCH(725,$AZ$11:$AZ$4010,0)),"")</f>
        <v/>
      </c>
      <c r="AF735" s="11" t="str">
        <f>IF(AE735="","",IFERROR(INDEX($AN$11:$AN$4010,MATCH(725,$AZ$11:$AZ$4010,0)),""))</f>
        <v/>
      </c>
      <c r="AG735" s="11" t="str">
        <f>IF(AE735="","",IFERROR(INDEX($AO$11:$AO$4010,MATCH(725,$AZ$11:$AZ$4010,0)),""))</f>
        <v/>
      </c>
      <c r="AH735" s="10" t="str">
        <f>IF(AE735="","",IFERROR(INDEX($AQ$11:$AQ$4010,MATCH(725,$AZ$11:$AZ$4010,0)),""))</f>
        <v/>
      </c>
      <c r="AI735" s="15" t="str">
        <f>IF(AE735="","",IFERROR(INDEX($AR$11:$AR$4010,MATCH(725,$AZ$11:$AZ$4010,0)),""))</f>
        <v/>
      </c>
      <c r="AJ735" s="15" t="str">
        <f>IF(AE735="","",IFERROR(INDEX($AT$11:$AT$4010,MATCH(725,$AZ$11:$AZ$4010,0)),""))</f>
        <v/>
      </c>
      <c r="AL735" s="17"/>
      <c r="AM735" s="12"/>
      <c r="AN735" s="18"/>
      <c r="AO735" s="18"/>
      <c r="AP735" s="10"/>
      <c r="AQ735" s="10"/>
      <c r="AR735" s="19"/>
      <c r="AS735" s="20"/>
      <c r="AT735" s="19"/>
      <c r="AV735" s="21">
        <f>IF(AND($AL735&lt;&gt;"",COUNTIF($AL$11:$AL735,$AL735)=1),1,0)</f>
        <v>0</v>
      </c>
      <c r="AW735" s="21">
        <f t="shared" si="109"/>
        <v>0</v>
      </c>
      <c r="AX735" s="21" t="str">
        <f t="shared" si="108"/>
        <v/>
      </c>
      <c r="AY735" s="21" t="str">
        <f>IF(AND($AM735&lt;&gt;"",$AS735&lt;&gt;"✓"),SUMPRODUCT(($AM$11:$AM735&lt;&gt;"")*($AS$11:$AS735&lt;&gt;"✓")),"")</f>
        <v/>
      </c>
      <c r="AZ735" s="21" t="str">
        <f>IF(AND($AM735&lt;&gt;"",$AS735="✓"),SUMPRODUCT(($AM$11:$AM735&lt;&gt;"")*($AS$11:$AS735="✓")),"")</f>
        <v/>
      </c>
      <c r="BA735" s="21" t="str">
        <f>IF($AL735="","",$AL735&amp;"|"&amp;COUNTIF($AL$11:$AL735,$AL735))</f>
        <v/>
      </c>
    </row>
    <row r="736" spans="23:53" ht="15" customHeight="1" x14ac:dyDescent="0.25">
      <c r="W736" s="28" t="str">
        <f>IF(X736="","",IFERROR(INDEX($AL$11:$AL$4010,MATCH(726,$AY$11:$AY$4010,0)),""))</f>
        <v/>
      </c>
      <c r="X736" s="26" t="str">
        <f>IFERROR(INDEX($AM$11:$AM$4010,MATCH(726,$AY$11:$AY$4010,0)),"")</f>
        <v/>
      </c>
      <c r="Y736" s="25" t="str">
        <f>IF(X736="","",IFERROR(INDEX($AN$11:$AN$4010,MATCH(726,$AY$11:$AY$4010,0)),""))</f>
        <v/>
      </c>
      <c r="Z736" s="25" t="str">
        <f>IF(X736="","",IFERROR(INDEX($AO$11:$AO$4010,MATCH(726,$AY$11:$AY$4010,0)),""))</f>
        <v/>
      </c>
      <c r="AA736" s="24" t="str">
        <f>IF(X736="","",IFERROR(INDEX($AQ$11:$AQ$4010,MATCH(726,$AY$11:$AY$4010,0)),""))</f>
        <v/>
      </c>
      <c r="AB736" s="29" t="str">
        <f>IF(X736="","",IFERROR(INDEX($AR$11:$AR$4010,MATCH(726,$AY$11:$AY$4010,0)),""))</f>
        <v/>
      </c>
      <c r="AD736" s="30" t="str">
        <f>IF(AE736="","",IFERROR(INDEX($AL$11:$AL$4010,MATCH(726,$AZ$11:$AZ$4010,0)),""))</f>
        <v/>
      </c>
      <c r="AE736" s="26" t="str">
        <f>IFERROR(INDEX($AM$11:$AM$4010,MATCH(726,$AZ$11:$AZ$4010,0)),"")</f>
        <v/>
      </c>
      <c r="AF736" s="25" t="str">
        <f>IF(AE736="","",IFERROR(INDEX($AN$11:$AN$4010,MATCH(726,$AZ$11:$AZ$4010,0)),""))</f>
        <v/>
      </c>
      <c r="AG736" s="25" t="str">
        <f>IF(AE736="","",IFERROR(INDEX($AO$11:$AO$4010,MATCH(726,$AZ$11:$AZ$4010,0)),""))</f>
        <v/>
      </c>
      <c r="AH736" s="24" t="str">
        <f>IF(AE736="","",IFERROR(INDEX($AQ$11:$AQ$4010,MATCH(726,$AZ$11:$AZ$4010,0)),""))</f>
        <v/>
      </c>
      <c r="AI736" s="29" t="str">
        <f>IF(AE736="","",IFERROR(INDEX($AR$11:$AR$4010,MATCH(726,$AZ$11:$AZ$4010,0)),""))</f>
        <v/>
      </c>
      <c r="AJ736" s="29" t="str">
        <f>IF(AE736="","",IFERROR(INDEX($AT$11:$AT$4010,MATCH(726,$AZ$11:$AZ$4010,0)),""))</f>
        <v/>
      </c>
      <c r="AL736" s="31"/>
      <c r="AM736" s="26"/>
      <c r="AN736" s="32"/>
      <c r="AO736" s="32"/>
      <c r="AP736" s="24"/>
      <c r="AQ736" s="24"/>
      <c r="AR736" s="33"/>
      <c r="AS736" s="34"/>
      <c r="AT736" s="33"/>
      <c r="AV736" s="21">
        <f>IF(AND($AL736&lt;&gt;"",COUNTIF($AL$11:$AL736,$AL736)=1),1,0)</f>
        <v>0</v>
      </c>
      <c r="AW736" s="21">
        <f t="shared" si="109"/>
        <v>0</v>
      </c>
      <c r="AX736" s="21" t="str">
        <f t="shared" si="108"/>
        <v/>
      </c>
      <c r="AY736" s="21" t="str">
        <f>IF(AND($AM736&lt;&gt;"",$AS736&lt;&gt;"✓"),SUMPRODUCT(($AM$11:$AM736&lt;&gt;"")*($AS$11:$AS736&lt;&gt;"✓")),"")</f>
        <v/>
      </c>
      <c r="AZ736" s="21" t="str">
        <f>IF(AND($AM736&lt;&gt;"",$AS736="✓"),SUMPRODUCT(($AM$11:$AM736&lt;&gt;"")*($AS$11:$AS736="✓")),"")</f>
        <v/>
      </c>
      <c r="BA736" s="21" t="str">
        <f>IF($AL736="","",$AL736&amp;"|"&amp;COUNTIF($AL$11:$AL736,$AL736))</f>
        <v/>
      </c>
    </row>
    <row r="737" spans="23:53" ht="15" customHeight="1" x14ac:dyDescent="0.25">
      <c r="W737" s="14" t="str">
        <f>IF(X737="","",IFERROR(INDEX($AL$11:$AL$4010,MATCH(727,$AY$11:$AY$4010,0)),""))</f>
        <v/>
      </c>
      <c r="X737" s="12" t="str">
        <f>IFERROR(INDEX($AM$11:$AM$4010,MATCH(727,$AY$11:$AY$4010,0)),"")</f>
        <v/>
      </c>
      <c r="Y737" s="11" t="str">
        <f>IF(X737="","",IFERROR(INDEX($AN$11:$AN$4010,MATCH(727,$AY$11:$AY$4010,0)),""))</f>
        <v/>
      </c>
      <c r="Z737" s="11" t="str">
        <f>IF(X737="","",IFERROR(INDEX($AO$11:$AO$4010,MATCH(727,$AY$11:$AY$4010,0)),""))</f>
        <v/>
      </c>
      <c r="AA737" s="10" t="str">
        <f>IF(X737="","",IFERROR(INDEX($AQ$11:$AQ$4010,MATCH(727,$AY$11:$AY$4010,0)),""))</f>
        <v/>
      </c>
      <c r="AB737" s="15" t="str">
        <f>IF(X737="","",IFERROR(INDEX($AR$11:$AR$4010,MATCH(727,$AY$11:$AY$4010,0)),""))</f>
        <v/>
      </c>
      <c r="AD737" s="16" t="str">
        <f>IF(AE737="","",IFERROR(INDEX($AL$11:$AL$4010,MATCH(727,$AZ$11:$AZ$4010,0)),""))</f>
        <v/>
      </c>
      <c r="AE737" s="12" t="str">
        <f>IFERROR(INDEX($AM$11:$AM$4010,MATCH(727,$AZ$11:$AZ$4010,0)),"")</f>
        <v/>
      </c>
      <c r="AF737" s="11" t="str">
        <f>IF(AE737="","",IFERROR(INDEX($AN$11:$AN$4010,MATCH(727,$AZ$11:$AZ$4010,0)),""))</f>
        <v/>
      </c>
      <c r="AG737" s="11" t="str">
        <f>IF(AE737="","",IFERROR(INDEX($AO$11:$AO$4010,MATCH(727,$AZ$11:$AZ$4010,0)),""))</f>
        <v/>
      </c>
      <c r="AH737" s="10" t="str">
        <f>IF(AE737="","",IFERROR(INDEX($AQ$11:$AQ$4010,MATCH(727,$AZ$11:$AZ$4010,0)),""))</f>
        <v/>
      </c>
      <c r="AI737" s="15" t="str">
        <f>IF(AE737="","",IFERROR(INDEX($AR$11:$AR$4010,MATCH(727,$AZ$11:$AZ$4010,0)),""))</f>
        <v/>
      </c>
      <c r="AJ737" s="15" t="str">
        <f>IF(AE737="","",IFERROR(INDEX($AT$11:$AT$4010,MATCH(727,$AZ$11:$AZ$4010,0)),""))</f>
        <v/>
      </c>
      <c r="AL737" s="17"/>
      <c r="AM737" s="12"/>
      <c r="AN737" s="18"/>
      <c r="AO737" s="18"/>
      <c r="AP737" s="10"/>
      <c r="AQ737" s="10"/>
      <c r="AR737" s="19"/>
      <c r="AS737" s="20"/>
      <c r="AT737" s="19"/>
      <c r="AV737" s="21">
        <f>IF(AND($AL737&lt;&gt;"",COUNTIF($AL$11:$AL737,$AL737)=1),1,0)</f>
        <v>0</v>
      </c>
      <c r="AW737" s="21">
        <f t="shared" si="109"/>
        <v>0</v>
      </c>
      <c r="AX737" s="21" t="str">
        <f t="shared" si="108"/>
        <v/>
      </c>
      <c r="AY737" s="21" t="str">
        <f>IF(AND($AM737&lt;&gt;"",$AS737&lt;&gt;"✓"),SUMPRODUCT(($AM$11:$AM737&lt;&gt;"")*($AS$11:$AS737&lt;&gt;"✓")),"")</f>
        <v/>
      </c>
      <c r="AZ737" s="21" t="str">
        <f>IF(AND($AM737&lt;&gt;"",$AS737="✓"),SUMPRODUCT(($AM$11:$AM737&lt;&gt;"")*($AS$11:$AS737="✓")),"")</f>
        <v/>
      </c>
      <c r="BA737" s="21" t="str">
        <f>IF($AL737="","",$AL737&amp;"|"&amp;COUNTIF($AL$11:$AL737,$AL737))</f>
        <v/>
      </c>
    </row>
    <row r="738" spans="23:53" ht="15" customHeight="1" x14ac:dyDescent="0.25">
      <c r="W738" s="28" t="str">
        <f>IF(X738="","",IFERROR(INDEX($AL$11:$AL$4010,MATCH(728,$AY$11:$AY$4010,0)),""))</f>
        <v/>
      </c>
      <c r="X738" s="26" t="str">
        <f>IFERROR(INDEX($AM$11:$AM$4010,MATCH(728,$AY$11:$AY$4010,0)),"")</f>
        <v/>
      </c>
      <c r="Y738" s="25" t="str">
        <f>IF(X738="","",IFERROR(INDEX($AN$11:$AN$4010,MATCH(728,$AY$11:$AY$4010,0)),""))</f>
        <v/>
      </c>
      <c r="Z738" s="25" t="str">
        <f>IF(X738="","",IFERROR(INDEX($AO$11:$AO$4010,MATCH(728,$AY$11:$AY$4010,0)),""))</f>
        <v/>
      </c>
      <c r="AA738" s="24" t="str">
        <f>IF(X738="","",IFERROR(INDEX($AQ$11:$AQ$4010,MATCH(728,$AY$11:$AY$4010,0)),""))</f>
        <v/>
      </c>
      <c r="AB738" s="29" t="str">
        <f>IF(X738="","",IFERROR(INDEX($AR$11:$AR$4010,MATCH(728,$AY$11:$AY$4010,0)),""))</f>
        <v/>
      </c>
      <c r="AD738" s="30" t="str">
        <f>IF(AE738="","",IFERROR(INDEX($AL$11:$AL$4010,MATCH(728,$AZ$11:$AZ$4010,0)),""))</f>
        <v/>
      </c>
      <c r="AE738" s="26" t="str">
        <f>IFERROR(INDEX($AM$11:$AM$4010,MATCH(728,$AZ$11:$AZ$4010,0)),"")</f>
        <v/>
      </c>
      <c r="AF738" s="25" t="str">
        <f>IF(AE738="","",IFERROR(INDEX($AN$11:$AN$4010,MATCH(728,$AZ$11:$AZ$4010,0)),""))</f>
        <v/>
      </c>
      <c r="AG738" s="25" t="str">
        <f>IF(AE738="","",IFERROR(INDEX($AO$11:$AO$4010,MATCH(728,$AZ$11:$AZ$4010,0)),""))</f>
        <v/>
      </c>
      <c r="AH738" s="24" t="str">
        <f>IF(AE738="","",IFERROR(INDEX($AQ$11:$AQ$4010,MATCH(728,$AZ$11:$AZ$4010,0)),""))</f>
        <v/>
      </c>
      <c r="AI738" s="29" t="str">
        <f>IF(AE738="","",IFERROR(INDEX($AR$11:$AR$4010,MATCH(728,$AZ$11:$AZ$4010,0)),""))</f>
        <v/>
      </c>
      <c r="AJ738" s="29" t="str">
        <f>IF(AE738="","",IFERROR(INDEX($AT$11:$AT$4010,MATCH(728,$AZ$11:$AZ$4010,0)),""))</f>
        <v/>
      </c>
      <c r="AL738" s="31"/>
      <c r="AM738" s="26"/>
      <c r="AN738" s="32"/>
      <c r="AO738" s="32"/>
      <c r="AP738" s="24"/>
      <c r="AQ738" s="24"/>
      <c r="AR738" s="33"/>
      <c r="AS738" s="34"/>
      <c r="AT738" s="33"/>
      <c r="AV738" s="21">
        <f>IF(AND($AL738&lt;&gt;"",COUNTIF($AL$11:$AL738,$AL738)=1),1,0)</f>
        <v>0</v>
      </c>
      <c r="AW738" s="21">
        <f t="shared" si="109"/>
        <v>0</v>
      </c>
      <c r="AX738" s="21" t="str">
        <f t="shared" si="108"/>
        <v/>
      </c>
      <c r="AY738" s="21" t="str">
        <f>IF(AND($AM738&lt;&gt;"",$AS738&lt;&gt;"✓"),SUMPRODUCT(($AM$11:$AM738&lt;&gt;"")*($AS$11:$AS738&lt;&gt;"✓")),"")</f>
        <v/>
      </c>
      <c r="AZ738" s="21" t="str">
        <f>IF(AND($AM738&lt;&gt;"",$AS738="✓"),SUMPRODUCT(($AM$11:$AM738&lt;&gt;"")*($AS$11:$AS738="✓")),"")</f>
        <v/>
      </c>
      <c r="BA738" s="21" t="str">
        <f>IF($AL738="","",$AL738&amp;"|"&amp;COUNTIF($AL$11:$AL738,$AL738))</f>
        <v/>
      </c>
    </row>
    <row r="739" spans="23:53" ht="15" customHeight="1" x14ac:dyDescent="0.25">
      <c r="W739" s="14" t="str">
        <f>IF(X739="","",IFERROR(INDEX($AL$11:$AL$4010,MATCH(729,$AY$11:$AY$4010,0)),""))</f>
        <v/>
      </c>
      <c r="X739" s="12" t="str">
        <f>IFERROR(INDEX($AM$11:$AM$4010,MATCH(729,$AY$11:$AY$4010,0)),"")</f>
        <v/>
      </c>
      <c r="Y739" s="11" t="str">
        <f>IF(X739="","",IFERROR(INDEX($AN$11:$AN$4010,MATCH(729,$AY$11:$AY$4010,0)),""))</f>
        <v/>
      </c>
      <c r="Z739" s="11" t="str">
        <f>IF(X739="","",IFERROR(INDEX($AO$11:$AO$4010,MATCH(729,$AY$11:$AY$4010,0)),""))</f>
        <v/>
      </c>
      <c r="AA739" s="10" t="str">
        <f>IF(X739="","",IFERROR(INDEX($AQ$11:$AQ$4010,MATCH(729,$AY$11:$AY$4010,0)),""))</f>
        <v/>
      </c>
      <c r="AB739" s="15" t="str">
        <f>IF(X739="","",IFERROR(INDEX($AR$11:$AR$4010,MATCH(729,$AY$11:$AY$4010,0)),""))</f>
        <v/>
      </c>
      <c r="AD739" s="16" t="str">
        <f>IF(AE739="","",IFERROR(INDEX($AL$11:$AL$4010,MATCH(729,$AZ$11:$AZ$4010,0)),""))</f>
        <v/>
      </c>
      <c r="AE739" s="12" t="str">
        <f>IFERROR(INDEX($AM$11:$AM$4010,MATCH(729,$AZ$11:$AZ$4010,0)),"")</f>
        <v/>
      </c>
      <c r="AF739" s="11" t="str">
        <f>IF(AE739="","",IFERROR(INDEX($AN$11:$AN$4010,MATCH(729,$AZ$11:$AZ$4010,0)),""))</f>
        <v/>
      </c>
      <c r="AG739" s="11" t="str">
        <f>IF(AE739="","",IFERROR(INDEX($AO$11:$AO$4010,MATCH(729,$AZ$11:$AZ$4010,0)),""))</f>
        <v/>
      </c>
      <c r="AH739" s="10" t="str">
        <f>IF(AE739="","",IFERROR(INDEX($AQ$11:$AQ$4010,MATCH(729,$AZ$11:$AZ$4010,0)),""))</f>
        <v/>
      </c>
      <c r="AI739" s="15" t="str">
        <f>IF(AE739="","",IFERROR(INDEX($AR$11:$AR$4010,MATCH(729,$AZ$11:$AZ$4010,0)),""))</f>
        <v/>
      </c>
      <c r="AJ739" s="15" t="str">
        <f>IF(AE739="","",IFERROR(INDEX($AT$11:$AT$4010,MATCH(729,$AZ$11:$AZ$4010,0)),""))</f>
        <v/>
      </c>
      <c r="AL739" s="17"/>
      <c r="AM739" s="12"/>
      <c r="AN739" s="18"/>
      <c r="AO739" s="18"/>
      <c r="AP739" s="10"/>
      <c r="AQ739" s="10"/>
      <c r="AR739" s="19"/>
      <c r="AS739" s="20"/>
      <c r="AT739" s="19"/>
      <c r="AV739" s="21">
        <f>IF(AND($AL739&lt;&gt;"",COUNTIF($AL$11:$AL739,$AL739)=1),1,0)</f>
        <v>0</v>
      </c>
      <c r="AW739" s="21">
        <f t="shared" si="109"/>
        <v>0</v>
      </c>
      <c r="AX739" s="21" t="str">
        <f t="shared" si="108"/>
        <v/>
      </c>
      <c r="AY739" s="21" t="str">
        <f>IF(AND($AM739&lt;&gt;"",$AS739&lt;&gt;"✓"),SUMPRODUCT(($AM$11:$AM739&lt;&gt;"")*($AS$11:$AS739&lt;&gt;"✓")),"")</f>
        <v/>
      </c>
      <c r="AZ739" s="21" t="str">
        <f>IF(AND($AM739&lt;&gt;"",$AS739="✓"),SUMPRODUCT(($AM$11:$AM739&lt;&gt;"")*($AS$11:$AS739="✓")),"")</f>
        <v/>
      </c>
      <c r="BA739" s="21" t="str">
        <f>IF($AL739="","",$AL739&amp;"|"&amp;COUNTIF($AL$11:$AL739,$AL739))</f>
        <v/>
      </c>
    </row>
    <row r="740" spans="23:53" ht="15" customHeight="1" x14ac:dyDescent="0.25">
      <c r="W740" s="28" t="str">
        <f>IF(X740="","",IFERROR(INDEX($AL$11:$AL$4010,MATCH(730,$AY$11:$AY$4010,0)),""))</f>
        <v/>
      </c>
      <c r="X740" s="26" t="str">
        <f>IFERROR(INDEX($AM$11:$AM$4010,MATCH(730,$AY$11:$AY$4010,0)),"")</f>
        <v/>
      </c>
      <c r="Y740" s="25" t="str">
        <f>IF(X740="","",IFERROR(INDEX($AN$11:$AN$4010,MATCH(730,$AY$11:$AY$4010,0)),""))</f>
        <v/>
      </c>
      <c r="Z740" s="25" t="str">
        <f>IF(X740="","",IFERROR(INDEX($AO$11:$AO$4010,MATCH(730,$AY$11:$AY$4010,0)),""))</f>
        <v/>
      </c>
      <c r="AA740" s="24" t="str">
        <f>IF(X740="","",IFERROR(INDEX($AQ$11:$AQ$4010,MATCH(730,$AY$11:$AY$4010,0)),""))</f>
        <v/>
      </c>
      <c r="AB740" s="29" t="str">
        <f>IF(X740="","",IFERROR(INDEX($AR$11:$AR$4010,MATCH(730,$AY$11:$AY$4010,0)),""))</f>
        <v/>
      </c>
      <c r="AD740" s="30" t="str">
        <f>IF(AE740="","",IFERROR(INDEX($AL$11:$AL$4010,MATCH(730,$AZ$11:$AZ$4010,0)),""))</f>
        <v/>
      </c>
      <c r="AE740" s="26" t="str">
        <f>IFERROR(INDEX($AM$11:$AM$4010,MATCH(730,$AZ$11:$AZ$4010,0)),"")</f>
        <v/>
      </c>
      <c r="AF740" s="25" t="str">
        <f>IF(AE740="","",IFERROR(INDEX($AN$11:$AN$4010,MATCH(730,$AZ$11:$AZ$4010,0)),""))</f>
        <v/>
      </c>
      <c r="AG740" s="25" t="str">
        <f>IF(AE740="","",IFERROR(INDEX($AO$11:$AO$4010,MATCH(730,$AZ$11:$AZ$4010,0)),""))</f>
        <v/>
      </c>
      <c r="AH740" s="24" t="str">
        <f>IF(AE740="","",IFERROR(INDEX($AQ$11:$AQ$4010,MATCH(730,$AZ$11:$AZ$4010,0)),""))</f>
        <v/>
      </c>
      <c r="AI740" s="29" t="str">
        <f>IF(AE740="","",IFERROR(INDEX($AR$11:$AR$4010,MATCH(730,$AZ$11:$AZ$4010,0)),""))</f>
        <v/>
      </c>
      <c r="AJ740" s="29" t="str">
        <f>IF(AE740="","",IFERROR(INDEX($AT$11:$AT$4010,MATCH(730,$AZ$11:$AZ$4010,0)),""))</f>
        <v/>
      </c>
      <c r="AL740" s="31"/>
      <c r="AM740" s="26"/>
      <c r="AN740" s="32"/>
      <c r="AO740" s="32"/>
      <c r="AP740" s="24"/>
      <c r="AQ740" s="24"/>
      <c r="AR740" s="33"/>
      <c r="AS740" s="34"/>
      <c r="AT740" s="33"/>
      <c r="AV740" s="21">
        <f>IF(AND($AL740&lt;&gt;"",COUNTIF($AL$11:$AL740,$AL740)=1),1,0)</f>
        <v>0</v>
      </c>
      <c r="AW740" s="21">
        <f t="shared" si="109"/>
        <v>0</v>
      </c>
      <c r="AX740" s="21" t="str">
        <f t="shared" si="108"/>
        <v/>
      </c>
      <c r="AY740" s="21" t="str">
        <f>IF(AND($AM740&lt;&gt;"",$AS740&lt;&gt;"✓"),SUMPRODUCT(($AM$11:$AM740&lt;&gt;"")*($AS$11:$AS740&lt;&gt;"✓")),"")</f>
        <v/>
      </c>
      <c r="AZ740" s="21" t="str">
        <f>IF(AND($AM740&lt;&gt;"",$AS740="✓"),SUMPRODUCT(($AM$11:$AM740&lt;&gt;"")*($AS$11:$AS740="✓")),"")</f>
        <v/>
      </c>
      <c r="BA740" s="21" t="str">
        <f>IF($AL740="","",$AL740&amp;"|"&amp;COUNTIF($AL$11:$AL740,$AL740))</f>
        <v/>
      </c>
    </row>
    <row r="741" spans="23:53" ht="15" customHeight="1" x14ac:dyDescent="0.25">
      <c r="W741" s="14" t="str">
        <f>IF(X741="","",IFERROR(INDEX($AL$11:$AL$4010,MATCH(731,$AY$11:$AY$4010,0)),""))</f>
        <v/>
      </c>
      <c r="X741" s="12" t="str">
        <f>IFERROR(INDEX($AM$11:$AM$4010,MATCH(731,$AY$11:$AY$4010,0)),"")</f>
        <v/>
      </c>
      <c r="Y741" s="11" t="str">
        <f>IF(X741="","",IFERROR(INDEX($AN$11:$AN$4010,MATCH(731,$AY$11:$AY$4010,0)),""))</f>
        <v/>
      </c>
      <c r="Z741" s="11" t="str">
        <f>IF(X741="","",IFERROR(INDEX($AO$11:$AO$4010,MATCH(731,$AY$11:$AY$4010,0)),""))</f>
        <v/>
      </c>
      <c r="AA741" s="10" t="str">
        <f>IF(X741="","",IFERROR(INDEX($AQ$11:$AQ$4010,MATCH(731,$AY$11:$AY$4010,0)),""))</f>
        <v/>
      </c>
      <c r="AB741" s="15" t="str">
        <f>IF(X741="","",IFERROR(INDEX($AR$11:$AR$4010,MATCH(731,$AY$11:$AY$4010,0)),""))</f>
        <v/>
      </c>
      <c r="AD741" s="16" t="str">
        <f>IF(AE741="","",IFERROR(INDEX($AL$11:$AL$4010,MATCH(731,$AZ$11:$AZ$4010,0)),""))</f>
        <v/>
      </c>
      <c r="AE741" s="12" t="str">
        <f>IFERROR(INDEX($AM$11:$AM$4010,MATCH(731,$AZ$11:$AZ$4010,0)),"")</f>
        <v/>
      </c>
      <c r="AF741" s="11" t="str">
        <f>IF(AE741="","",IFERROR(INDEX($AN$11:$AN$4010,MATCH(731,$AZ$11:$AZ$4010,0)),""))</f>
        <v/>
      </c>
      <c r="AG741" s="11" t="str">
        <f>IF(AE741="","",IFERROR(INDEX($AO$11:$AO$4010,MATCH(731,$AZ$11:$AZ$4010,0)),""))</f>
        <v/>
      </c>
      <c r="AH741" s="10" t="str">
        <f>IF(AE741="","",IFERROR(INDEX($AQ$11:$AQ$4010,MATCH(731,$AZ$11:$AZ$4010,0)),""))</f>
        <v/>
      </c>
      <c r="AI741" s="15" t="str">
        <f>IF(AE741="","",IFERROR(INDEX($AR$11:$AR$4010,MATCH(731,$AZ$11:$AZ$4010,0)),""))</f>
        <v/>
      </c>
      <c r="AJ741" s="15" t="str">
        <f>IF(AE741="","",IFERROR(INDEX($AT$11:$AT$4010,MATCH(731,$AZ$11:$AZ$4010,0)),""))</f>
        <v/>
      </c>
      <c r="AL741" s="17"/>
      <c r="AM741" s="12"/>
      <c r="AN741" s="18"/>
      <c r="AO741" s="18"/>
      <c r="AP741" s="10"/>
      <c r="AQ741" s="10"/>
      <c r="AR741" s="19"/>
      <c r="AS741" s="20"/>
      <c r="AT741" s="19"/>
      <c r="AV741" s="21">
        <f>IF(AND($AL741&lt;&gt;"",COUNTIF($AL$11:$AL741,$AL741)=1),1,0)</f>
        <v>0</v>
      </c>
      <c r="AW741" s="21">
        <f t="shared" si="109"/>
        <v>0</v>
      </c>
      <c r="AX741" s="21" t="str">
        <f t="shared" si="108"/>
        <v/>
      </c>
      <c r="AY741" s="21" t="str">
        <f>IF(AND($AM741&lt;&gt;"",$AS741&lt;&gt;"✓"),SUMPRODUCT(($AM$11:$AM741&lt;&gt;"")*($AS$11:$AS741&lt;&gt;"✓")),"")</f>
        <v/>
      </c>
      <c r="AZ741" s="21" t="str">
        <f>IF(AND($AM741&lt;&gt;"",$AS741="✓"),SUMPRODUCT(($AM$11:$AM741&lt;&gt;"")*($AS$11:$AS741="✓")),"")</f>
        <v/>
      </c>
      <c r="BA741" s="21" t="str">
        <f>IF($AL741="","",$AL741&amp;"|"&amp;COUNTIF($AL$11:$AL741,$AL741))</f>
        <v/>
      </c>
    </row>
    <row r="742" spans="23:53" ht="15" customHeight="1" x14ac:dyDescent="0.25">
      <c r="W742" s="28" t="str">
        <f>IF(X742="","",IFERROR(INDEX($AL$11:$AL$4010,MATCH(732,$AY$11:$AY$4010,0)),""))</f>
        <v/>
      </c>
      <c r="X742" s="26" t="str">
        <f>IFERROR(INDEX($AM$11:$AM$4010,MATCH(732,$AY$11:$AY$4010,0)),"")</f>
        <v/>
      </c>
      <c r="Y742" s="25" t="str">
        <f>IF(X742="","",IFERROR(INDEX($AN$11:$AN$4010,MATCH(732,$AY$11:$AY$4010,0)),""))</f>
        <v/>
      </c>
      <c r="Z742" s="25" t="str">
        <f>IF(X742="","",IFERROR(INDEX($AO$11:$AO$4010,MATCH(732,$AY$11:$AY$4010,0)),""))</f>
        <v/>
      </c>
      <c r="AA742" s="24" t="str">
        <f>IF(X742="","",IFERROR(INDEX($AQ$11:$AQ$4010,MATCH(732,$AY$11:$AY$4010,0)),""))</f>
        <v/>
      </c>
      <c r="AB742" s="29" t="str">
        <f>IF(X742="","",IFERROR(INDEX($AR$11:$AR$4010,MATCH(732,$AY$11:$AY$4010,0)),""))</f>
        <v/>
      </c>
      <c r="AD742" s="30" t="str">
        <f>IF(AE742="","",IFERROR(INDEX($AL$11:$AL$4010,MATCH(732,$AZ$11:$AZ$4010,0)),""))</f>
        <v/>
      </c>
      <c r="AE742" s="26" t="str">
        <f>IFERROR(INDEX($AM$11:$AM$4010,MATCH(732,$AZ$11:$AZ$4010,0)),"")</f>
        <v/>
      </c>
      <c r="AF742" s="25" t="str">
        <f>IF(AE742="","",IFERROR(INDEX($AN$11:$AN$4010,MATCH(732,$AZ$11:$AZ$4010,0)),""))</f>
        <v/>
      </c>
      <c r="AG742" s="25" t="str">
        <f>IF(AE742="","",IFERROR(INDEX($AO$11:$AO$4010,MATCH(732,$AZ$11:$AZ$4010,0)),""))</f>
        <v/>
      </c>
      <c r="AH742" s="24" t="str">
        <f>IF(AE742="","",IFERROR(INDEX($AQ$11:$AQ$4010,MATCH(732,$AZ$11:$AZ$4010,0)),""))</f>
        <v/>
      </c>
      <c r="AI742" s="29" t="str">
        <f>IF(AE742="","",IFERROR(INDEX($AR$11:$AR$4010,MATCH(732,$AZ$11:$AZ$4010,0)),""))</f>
        <v/>
      </c>
      <c r="AJ742" s="29" t="str">
        <f>IF(AE742="","",IFERROR(INDEX($AT$11:$AT$4010,MATCH(732,$AZ$11:$AZ$4010,0)),""))</f>
        <v/>
      </c>
      <c r="AL742" s="31"/>
      <c r="AM742" s="26"/>
      <c r="AN742" s="32"/>
      <c r="AO742" s="32"/>
      <c r="AP742" s="24"/>
      <c r="AQ742" s="24"/>
      <c r="AR742" s="33"/>
      <c r="AS742" s="34"/>
      <c r="AT742" s="33"/>
      <c r="AV742" s="21">
        <f>IF(AND($AL742&lt;&gt;"",COUNTIF($AL$11:$AL742,$AL742)=1),1,0)</f>
        <v>0</v>
      </c>
      <c r="AW742" s="21">
        <f t="shared" si="109"/>
        <v>0</v>
      </c>
      <c r="AX742" s="21" t="str">
        <f t="shared" si="108"/>
        <v/>
      </c>
      <c r="AY742" s="21" t="str">
        <f>IF(AND($AM742&lt;&gt;"",$AS742&lt;&gt;"✓"),SUMPRODUCT(($AM$11:$AM742&lt;&gt;"")*($AS$11:$AS742&lt;&gt;"✓")),"")</f>
        <v/>
      </c>
      <c r="AZ742" s="21" t="str">
        <f>IF(AND($AM742&lt;&gt;"",$AS742="✓"),SUMPRODUCT(($AM$11:$AM742&lt;&gt;"")*($AS$11:$AS742="✓")),"")</f>
        <v/>
      </c>
      <c r="BA742" s="21" t="str">
        <f>IF($AL742="","",$AL742&amp;"|"&amp;COUNTIF($AL$11:$AL742,$AL742))</f>
        <v/>
      </c>
    </row>
    <row r="743" spans="23:53" ht="15" customHeight="1" x14ac:dyDescent="0.25">
      <c r="W743" s="14" t="str">
        <f>IF(X743="","",IFERROR(INDEX($AL$11:$AL$4010,MATCH(733,$AY$11:$AY$4010,0)),""))</f>
        <v/>
      </c>
      <c r="X743" s="12" t="str">
        <f>IFERROR(INDEX($AM$11:$AM$4010,MATCH(733,$AY$11:$AY$4010,0)),"")</f>
        <v/>
      </c>
      <c r="Y743" s="11" t="str">
        <f>IF(X743="","",IFERROR(INDEX($AN$11:$AN$4010,MATCH(733,$AY$11:$AY$4010,0)),""))</f>
        <v/>
      </c>
      <c r="Z743" s="11" t="str">
        <f>IF(X743="","",IFERROR(INDEX($AO$11:$AO$4010,MATCH(733,$AY$11:$AY$4010,0)),""))</f>
        <v/>
      </c>
      <c r="AA743" s="10" t="str">
        <f>IF(X743="","",IFERROR(INDEX($AQ$11:$AQ$4010,MATCH(733,$AY$11:$AY$4010,0)),""))</f>
        <v/>
      </c>
      <c r="AB743" s="15" t="str">
        <f>IF(X743="","",IFERROR(INDEX($AR$11:$AR$4010,MATCH(733,$AY$11:$AY$4010,0)),""))</f>
        <v/>
      </c>
      <c r="AD743" s="16" t="str">
        <f>IF(AE743="","",IFERROR(INDEX($AL$11:$AL$4010,MATCH(733,$AZ$11:$AZ$4010,0)),""))</f>
        <v/>
      </c>
      <c r="AE743" s="12" t="str">
        <f>IFERROR(INDEX($AM$11:$AM$4010,MATCH(733,$AZ$11:$AZ$4010,0)),"")</f>
        <v/>
      </c>
      <c r="AF743" s="11" t="str">
        <f>IF(AE743="","",IFERROR(INDEX($AN$11:$AN$4010,MATCH(733,$AZ$11:$AZ$4010,0)),""))</f>
        <v/>
      </c>
      <c r="AG743" s="11" t="str">
        <f>IF(AE743="","",IFERROR(INDEX($AO$11:$AO$4010,MATCH(733,$AZ$11:$AZ$4010,0)),""))</f>
        <v/>
      </c>
      <c r="AH743" s="10" t="str">
        <f>IF(AE743="","",IFERROR(INDEX($AQ$11:$AQ$4010,MATCH(733,$AZ$11:$AZ$4010,0)),""))</f>
        <v/>
      </c>
      <c r="AI743" s="15" t="str">
        <f>IF(AE743="","",IFERROR(INDEX($AR$11:$AR$4010,MATCH(733,$AZ$11:$AZ$4010,0)),""))</f>
        <v/>
      </c>
      <c r="AJ743" s="15" t="str">
        <f>IF(AE743="","",IFERROR(INDEX($AT$11:$AT$4010,MATCH(733,$AZ$11:$AZ$4010,0)),""))</f>
        <v/>
      </c>
      <c r="AL743" s="17"/>
      <c r="AM743" s="12"/>
      <c r="AN743" s="18"/>
      <c r="AO743" s="18"/>
      <c r="AP743" s="10"/>
      <c r="AQ743" s="10"/>
      <c r="AR743" s="19"/>
      <c r="AS743" s="20"/>
      <c r="AT743" s="19"/>
      <c r="AV743" s="21">
        <f>IF(AND($AL743&lt;&gt;"",COUNTIF($AL$11:$AL743,$AL743)=1),1,0)</f>
        <v>0</v>
      </c>
      <c r="AW743" s="21">
        <f t="shared" si="109"/>
        <v>0</v>
      </c>
      <c r="AX743" s="21" t="str">
        <f t="shared" si="108"/>
        <v/>
      </c>
      <c r="AY743" s="21" t="str">
        <f>IF(AND($AM743&lt;&gt;"",$AS743&lt;&gt;"✓"),SUMPRODUCT(($AM$11:$AM743&lt;&gt;"")*($AS$11:$AS743&lt;&gt;"✓")),"")</f>
        <v/>
      </c>
      <c r="AZ743" s="21" t="str">
        <f>IF(AND($AM743&lt;&gt;"",$AS743="✓"),SUMPRODUCT(($AM$11:$AM743&lt;&gt;"")*($AS$11:$AS743="✓")),"")</f>
        <v/>
      </c>
      <c r="BA743" s="21" t="str">
        <f>IF($AL743="","",$AL743&amp;"|"&amp;COUNTIF($AL$11:$AL743,$AL743))</f>
        <v/>
      </c>
    </row>
    <row r="744" spans="23:53" ht="15" customHeight="1" x14ac:dyDescent="0.25">
      <c r="W744" s="28" t="str">
        <f>IF(X744="","",IFERROR(INDEX($AL$11:$AL$4010,MATCH(734,$AY$11:$AY$4010,0)),""))</f>
        <v/>
      </c>
      <c r="X744" s="26" t="str">
        <f>IFERROR(INDEX($AM$11:$AM$4010,MATCH(734,$AY$11:$AY$4010,0)),"")</f>
        <v/>
      </c>
      <c r="Y744" s="25" t="str">
        <f>IF(X744="","",IFERROR(INDEX($AN$11:$AN$4010,MATCH(734,$AY$11:$AY$4010,0)),""))</f>
        <v/>
      </c>
      <c r="Z744" s="25" t="str">
        <f>IF(X744="","",IFERROR(INDEX($AO$11:$AO$4010,MATCH(734,$AY$11:$AY$4010,0)),""))</f>
        <v/>
      </c>
      <c r="AA744" s="24" t="str">
        <f>IF(X744="","",IFERROR(INDEX($AQ$11:$AQ$4010,MATCH(734,$AY$11:$AY$4010,0)),""))</f>
        <v/>
      </c>
      <c r="AB744" s="29" t="str">
        <f>IF(X744="","",IFERROR(INDEX($AR$11:$AR$4010,MATCH(734,$AY$11:$AY$4010,0)),""))</f>
        <v/>
      </c>
      <c r="AD744" s="30" t="str">
        <f>IF(AE744="","",IFERROR(INDEX($AL$11:$AL$4010,MATCH(734,$AZ$11:$AZ$4010,0)),""))</f>
        <v/>
      </c>
      <c r="AE744" s="26" t="str">
        <f>IFERROR(INDEX($AM$11:$AM$4010,MATCH(734,$AZ$11:$AZ$4010,0)),"")</f>
        <v/>
      </c>
      <c r="AF744" s="25" t="str">
        <f>IF(AE744="","",IFERROR(INDEX($AN$11:$AN$4010,MATCH(734,$AZ$11:$AZ$4010,0)),""))</f>
        <v/>
      </c>
      <c r="AG744" s="25" t="str">
        <f>IF(AE744="","",IFERROR(INDEX($AO$11:$AO$4010,MATCH(734,$AZ$11:$AZ$4010,0)),""))</f>
        <v/>
      </c>
      <c r="AH744" s="24" t="str">
        <f>IF(AE744="","",IFERROR(INDEX($AQ$11:$AQ$4010,MATCH(734,$AZ$11:$AZ$4010,0)),""))</f>
        <v/>
      </c>
      <c r="AI744" s="29" t="str">
        <f>IF(AE744="","",IFERROR(INDEX($AR$11:$AR$4010,MATCH(734,$AZ$11:$AZ$4010,0)),""))</f>
        <v/>
      </c>
      <c r="AJ744" s="29" t="str">
        <f>IF(AE744="","",IFERROR(INDEX($AT$11:$AT$4010,MATCH(734,$AZ$11:$AZ$4010,0)),""))</f>
        <v/>
      </c>
      <c r="AL744" s="31"/>
      <c r="AM744" s="26"/>
      <c r="AN744" s="32"/>
      <c r="AO744" s="32"/>
      <c r="AP744" s="24"/>
      <c r="AQ744" s="24"/>
      <c r="AR744" s="33"/>
      <c r="AS744" s="34"/>
      <c r="AT744" s="33"/>
      <c r="AV744" s="21">
        <f>IF(AND($AL744&lt;&gt;"",COUNTIF($AL$11:$AL744,$AL744)=1),1,0)</f>
        <v>0</v>
      </c>
      <c r="AW744" s="21">
        <f t="shared" si="109"/>
        <v>0</v>
      </c>
      <c r="AX744" s="21" t="str">
        <f t="shared" si="108"/>
        <v/>
      </c>
      <c r="AY744" s="21" t="str">
        <f>IF(AND($AM744&lt;&gt;"",$AS744&lt;&gt;"✓"),SUMPRODUCT(($AM$11:$AM744&lt;&gt;"")*($AS$11:$AS744&lt;&gt;"✓")),"")</f>
        <v/>
      </c>
      <c r="AZ744" s="21" t="str">
        <f>IF(AND($AM744&lt;&gt;"",$AS744="✓"),SUMPRODUCT(($AM$11:$AM744&lt;&gt;"")*($AS$11:$AS744="✓")),"")</f>
        <v/>
      </c>
      <c r="BA744" s="21" t="str">
        <f>IF($AL744="","",$AL744&amp;"|"&amp;COUNTIF($AL$11:$AL744,$AL744))</f>
        <v/>
      </c>
    </row>
    <row r="745" spans="23:53" ht="15" customHeight="1" x14ac:dyDescent="0.25">
      <c r="W745" s="14" t="str">
        <f>IF(X745="","",IFERROR(INDEX($AL$11:$AL$4010,MATCH(735,$AY$11:$AY$4010,0)),""))</f>
        <v/>
      </c>
      <c r="X745" s="12" t="str">
        <f>IFERROR(INDEX($AM$11:$AM$4010,MATCH(735,$AY$11:$AY$4010,0)),"")</f>
        <v/>
      </c>
      <c r="Y745" s="11" t="str">
        <f>IF(X745="","",IFERROR(INDEX($AN$11:$AN$4010,MATCH(735,$AY$11:$AY$4010,0)),""))</f>
        <v/>
      </c>
      <c r="Z745" s="11" t="str">
        <f>IF(X745="","",IFERROR(INDEX($AO$11:$AO$4010,MATCH(735,$AY$11:$AY$4010,0)),""))</f>
        <v/>
      </c>
      <c r="AA745" s="10" t="str">
        <f>IF(X745="","",IFERROR(INDEX($AQ$11:$AQ$4010,MATCH(735,$AY$11:$AY$4010,0)),""))</f>
        <v/>
      </c>
      <c r="AB745" s="15" t="str">
        <f>IF(X745="","",IFERROR(INDEX($AR$11:$AR$4010,MATCH(735,$AY$11:$AY$4010,0)),""))</f>
        <v/>
      </c>
      <c r="AD745" s="16" t="str">
        <f>IF(AE745="","",IFERROR(INDEX($AL$11:$AL$4010,MATCH(735,$AZ$11:$AZ$4010,0)),""))</f>
        <v/>
      </c>
      <c r="AE745" s="12" t="str">
        <f>IFERROR(INDEX($AM$11:$AM$4010,MATCH(735,$AZ$11:$AZ$4010,0)),"")</f>
        <v/>
      </c>
      <c r="AF745" s="11" t="str">
        <f>IF(AE745="","",IFERROR(INDEX($AN$11:$AN$4010,MATCH(735,$AZ$11:$AZ$4010,0)),""))</f>
        <v/>
      </c>
      <c r="AG745" s="11" t="str">
        <f>IF(AE745="","",IFERROR(INDEX($AO$11:$AO$4010,MATCH(735,$AZ$11:$AZ$4010,0)),""))</f>
        <v/>
      </c>
      <c r="AH745" s="10" t="str">
        <f>IF(AE745="","",IFERROR(INDEX($AQ$11:$AQ$4010,MATCH(735,$AZ$11:$AZ$4010,0)),""))</f>
        <v/>
      </c>
      <c r="AI745" s="15" t="str">
        <f>IF(AE745="","",IFERROR(INDEX($AR$11:$AR$4010,MATCH(735,$AZ$11:$AZ$4010,0)),""))</f>
        <v/>
      </c>
      <c r="AJ745" s="15" t="str">
        <f>IF(AE745="","",IFERROR(INDEX($AT$11:$AT$4010,MATCH(735,$AZ$11:$AZ$4010,0)),""))</f>
        <v/>
      </c>
      <c r="AL745" s="17"/>
      <c r="AM745" s="12"/>
      <c r="AN745" s="18"/>
      <c r="AO745" s="18"/>
      <c r="AP745" s="10"/>
      <c r="AQ745" s="10"/>
      <c r="AR745" s="19"/>
      <c r="AS745" s="20"/>
      <c r="AT745" s="19"/>
      <c r="AV745" s="21">
        <f>IF(AND($AL745&lt;&gt;"",COUNTIF($AL$11:$AL745,$AL745)=1),1,0)</f>
        <v>0</v>
      </c>
      <c r="AW745" s="21">
        <f t="shared" si="109"/>
        <v>0</v>
      </c>
      <c r="AX745" s="21" t="str">
        <f t="shared" si="108"/>
        <v/>
      </c>
      <c r="AY745" s="21" t="str">
        <f>IF(AND($AM745&lt;&gt;"",$AS745&lt;&gt;"✓"),SUMPRODUCT(($AM$11:$AM745&lt;&gt;"")*($AS$11:$AS745&lt;&gt;"✓")),"")</f>
        <v/>
      </c>
      <c r="AZ745" s="21" t="str">
        <f>IF(AND($AM745&lt;&gt;"",$AS745="✓"),SUMPRODUCT(($AM$11:$AM745&lt;&gt;"")*($AS$11:$AS745="✓")),"")</f>
        <v/>
      </c>
      <c r="BA745" s="21" t="str">
        <f>IF($AL745="","",$AL745&amp;"|"&amp;COUNTIF($AL$11:$AL745,$AL745))</f>
        <v/>
      </c>
    </row>
    <row r="746" spans="23:53" ht="15" customHeight="1" x14ac:dyDescent="0.25">
      <c r="W746" s="28" t="str">
        <f>IF(X746="","",IFERROR(INDEX($AL$11:$AL$4010,MATCH(736,$AY$11:$AY$4010,0)),""))</f>
        <v/>
      </c>
      <c r="X746" s="26" t="str">
        <f>IFERROR(INDEX($AM$11:$AM$4010,MATCH(736,$AY$11:$AY$4010,0)),"")</f>
        <v/>
      </c>
      <c r="Y746" s="25" t="str">
        <f>IF(X746="","",IFERROR(INDEX($AN$11:$AN$4010,MATCH(736,$AY$11:$AY$4010,0)),""))</f>
        <v/>
      </c>
      <c r="Z746" s="25" t="str">
        <f>IF(X746="","",IFERROR(INDEX($AO$11:$AO$4010,MATCH(736,$AY$11:$AY$4010,0)),""))</f>
        <v/>
      </c>
      <c r="AA746" s="24" t="str">
        <f>IF(X746="","",IFERROR(INDEX($AQ$11:$AQ$4010,MATCH(736,$AY$11:$AY$4010,0)),""))</f>
        <v/>
      </c>
      <c r="AB746" s="29" t="str">
        <f>IF(X746="","",IFERROR(INDEX($AR$11:$AR$4010,MATCH(736,$AY$11:$AY$4010,0)),""))</f>
        <v/>
      </c>
      <c r="AD746" s="30" t="str">
        <f>IF(AE746="","",IFERROR(INDEX($AL$11:$AL$4010,MATCH(736,$AZ$11:$AZ$4010,0)),""))</f>
        <v/>
      </c>
      <c r="AE746" s="26" t="str">
        <f>IFERROR(INDEX($AM$11:$AM$4010,MATCH(736,$AZ$11:$AZ$4010,0)),"")</f>
        <v/>
      </c>
      <c r="AF746" s="25" t="str">
        <f>IF(AE746="","",IFERROR(INDEX($AN$11:$AN$4010,MATCH(736,$AZ$11:$AZ$4010,0)),""))</f>
        <v/>
      </c>
      <c r="AG746" s="25" t="str">
        <f>IF(AE746="","",IFERROR(INDEX($AO$11:$AO$4010,MATCH(736,$AZ$11:$AZ$4010,0)),""))</f>
        <v/>
      </c>
      <c r="AH746" s="24" t="str">
        <f>IF(AE746="","",IFERROR(INDEX($AQ$11:$AQ$4010,MATCH(736,$AZ$11:$AZ$4010,0)),""))</f>
        <v/>
      </c>
      <c r="AI746" s="29" t="str">
        <f>IF(AE746="","",IFERROR(INDEX($AR$11:$AR$4010,MATCH(736,$AZ$11:$AZ$4010,0)),""))</f>
        <v/>
      </c>
      <c r="AJ746" s="29" t="str">
        <f>IF(AE746="","",IFERROR(INDEX($AT$11:$AT$4010,MATCH(736,$AZ$11:$AZ$4010,0)),""))</f>
        <v/>
      </c>
      <c r="AL746" s="31"/>
      <c r="AM746" s="26"/>
      <c r="AN746" s="32"/>
      <c r="AO746" s="32"/>
      <c r="AP746" s="24"/>
      <c r="AQ746" s="24"/>
      <c r="AR746" s="33"/>
      <c r="AS746" s="34"/>
      <c r="AT746" s="33"/>
      <c r="AV746" s="21">
        <f>IF(AND($AL746&lt;&gt;"",COUNTIF($AL$11:$AL746,$AL746)=1),1,0)</f>
        <v>0</v>
      </c>
      <c r="AW746" s="21">
        <f t="shared" si="109"/>
        <v>0</v>
      </c>
      <c r="AX746" s="21" t="str">
        <f t="shared" si="108"/>
        <v/>
      </c>
      <c r="AY746" s="21" t="str">
        <f>IF(AND($AM746&lt;&gt;"",$AS746&lt;&gt;"✓"),SUMPRODUCT(($AM$11:$AM746&lt;&gt;"")*($AS$11:$AS746&lt;&gt;"✓")),"")</f>
        <v/>
      </c>
      <c r="AZ746" s="21" t="str">
        <f>IF(AND($AM746&lt;&gt;"",$AS746="✓"),SUMPRODUCT(($AM$11:$AM746&lt;&gt;"")*($AS$11:$AS746="✓")),"")</f>
        <v/>
      </c>
      <c r="BA746" s="21" t="str">
        <f>IF($AL746="","",$AL746&amp;"|"&amp;COUNTIF($AL$11:$AL746,$AL746))</f>
        <v/>
      </c>
    </row>
    <row r="747" spans="23:53" ht="15" customHeight="1" x14ac:dyDescent="0.25">
      <c r="W747" s="14" t="str">
        <f>IF(X747="","",IFERROR(INDEX($AL$11:$AL$4010,MATCH(737,$AY$11:$AY$4010,0)),""))</f>
        <v/>
      </c>
      <c r="X747" s="12" t="str">
        <f>IFERROR(INDEX($AM$11:$AM$4010,MATCH(737,$AY$11:$AY$4010,0)),"")</f>
        <v/>
      </c>
      <c r="Y747" s="11" t="str">
        <f>IF(X747="","",IFERROR(INDEX($AN$11:$AN$4010,MATCH(737,$AY$11:$AY$4010,0)),""))</f>
        <v/>
      </c>
      <c r="Z747" s="11" t="str">
        <f>IF(X747="","",IFERROR(INDEX($AO$11:$AO$4010,MATCH(737,$AY$11:$AY$4010,0)),""))</f>
        <v/>
      </c>
      <c r="AA747" s="10" t="str">
        <f>IF(X747="","",IFERROR(INDEX($AQ$11:$AQ$4010,MATCH(737,$AY$11:$AY$4010,0)),""))</f>
        <v/>
      </c>
      <c r="AB747" s="15" t="str">
        <f>IF(X747="","",IFERROR(INDEX($AR$11:$AR$4010,MATCH(737,$AY$11:$AY$4010,0)),""))</f>
        <v/>
      </c>
      <c r="AD747" s="16" t="str">
        <f>IF(AE747="","",IFERROR(INDEX($AL$11:$AL$4010,MATCH(737,$AZ$11:$AZ$4010,0)),""))</f>
        <v/>
      </c>
      <c r="AE747" s="12" t="str">
        <f>IFERROR(INDEX($AM$11:$AM$4010,MATCH(737,$AZ$11:$AZ$4010,0)),"")</f>
        <v/>
      </c>
      <c r="AF747" s="11" t="str">
        <f>IF(AE747="","",IFERROR(INDEX($AN$11:$AN$4010,MATCH(737,$AZ$11:$AZ$4010,0)),""))</f>
        <v/>
      </c>
      <c r="AG747" s="11" t="str">
        <f>IF(AE747="","",IFERROR(INDEX($AO$11:$AO$4010,MATCH(737,$AZ$11:$AZ$4010,0)),""))</f>
        <v/>
      </c>
      <c r="AH747" s="10" t="str">
        <f>IF(AE747="","",IFERROR(INDEX($AQ$11:$AQ$4010,MATCH(737,$AZ$11:$AZ$4010,0)),""))</f>
        <v/>
      </c>
      <c r="AI747" s="15" t="str">
        <f>IF(AE747="","",IFERROR(INDEX($AR$11:$AR$4010,MATCH(737,$AZ$11:$AZ$4010,0)),""))</f>
        <v/>
      </c>
      <c r="AJ747" s="15" t="str">
        <f>IF(AE747="","",IFERROR(INDEX($AT$11:$AT$4010,MATCH(737,$AZ$11:$AZ$4010,0)),""))</f>
        <v/>
      </c>
      <c r="AL747" s="17"/>
      <c r="AM747" s="12"/>
      <c r="AN747" s="18"/>
      <c r="AO747" s="18"/>
      <c r="AP747" s="10"/>
      <c r="AQ747" s="10"/>
      <c r="AR747" s="19"/>
      <c r="AS747" s="20"/>
      <c r="AT747" s="19"/>
      <c r="AV747" s="21">
        <f>IF(AND($AL747&lt;&gt;"",COUNTIF($AL$11:$AL747,$AL747)=1),1,0)</f>
        <v>0</v>
      </c>
      <c r="AW747" s="21">
        <f t="shared" si="109"/>
        <v>0</v>
      </c>
      <c r="AX747" s="21" t="str">
        <f t="shared" si="108"/>
        <v/>
      </c>
      <c r="AY747" s="21" t="str">
        <f>IF(AND($AM747&lt;&gt;"",$AS747&lt;&gt;"✓"),SUMPRODUCT(($AM$11:$AM747&lt;&gt;"")*($AS$11:$AS747&lt;&gt;"✓")),"")</f>
        <v/>
      </c>
      <c r="AZ747" s="21" t="str">
        <f>IF(AND($AM747&lt;&gt;"",$AS747="✓"),SUMPRODUCT(($AM$11:$AM747&lt;&gt;"")*($AS$11:$AS747="✓")),"")</f>
        <v/>
      </c>
      <c r="BA747" s="21" t="str">
        <f>IF($AL747="","",$AL747&amp;"|"&amp;COUNTIF($AL$11:$AL747,$AL747))</f>
        <v/>
      </c>
    </row>
    <row r="748" spans="23:53" ht="15" customHeight="1" x14ac:dyDescent="0.25">
      <c r="W748" s="28" t="str">
        <f>IF(X748="","",IFERROR(INDEX($AL$11:$AL$4010,MATCH(738,$AY$11:$AY$4010,0)),""))</f>
        <v/>
      </c>
      <c r="X748" s="26" t="str">
        <f>IFERROR(INDEX($AM$11:$AM$4010,MATCH(738,$AY$11:$AY$4010,0)),"")</f>
        <v/>
      </c>
      <c r="Y748" s="25" t="str">
        <f>IF(X748="","",IFERROR(INDEX($AN$11:$AN$4010,MATCH(738,$AY$11:$AY$4010,0)),""))</f>
        <v/>
      </c>
      <c r="Z748" s="25" t="str">
        <f>IF(X748="","",IFERROR(INDEX($AO$11:$AO$4010,MATCH(738,$AY$11:$AY$4010,0)),""))</f>
        <v/>
      </c>
      <c r="AA748" s="24" t="str">
        <f>IF(X748="","",IFERROR(INDEX($AQ$11:$AQ$4010,MATCH(738,$AY$11:$AY$4010,0)),""))</f>
        <v/>
      </c>
      <c r="AB748" s="29" t="str">
        <f>IF(X748="","",IFERROR(INDEX($AR$11:$AR$4010,MATCH(738,$AY$11:$AY$4010,0)),""))</f>
        <v/>
      </c>
      <c r="AD748" s="30" t="str">
        <f>IF(AE748="","",IFERROR(INDEX($AL$11:$AL$4010,MATCH(738,$AZ$11:$AZ$4010,0)),""))</f>
        <v/>
      </c>
      <c r="AE748" s="26" t="str">
        <f>IFERROR(INDEX($AM$11:$AM$4010,MATCH(738,$AZ$11:$AZ$4010,0)),"")</f>
        <v/>
      </c>
      <c r="AF748" s="25" t="str">
        <f>IF(AE748="","",IFERROR(INDEX($AN$11:$AN$4010,MATCH(738,$AZ$11:$AZ$4010,0)),""))</f>
        <v/>
      </c>
      <c r="AG748" s="25" t="str">
        <f>IF(AE748="","",IFERROR(INDEX($AO$11:$AO$4010,MATCH(738,$AZ$11:$AZ$4010,0)),""))</f>
        <v/>
      </c>
      <c r="AH748" s="24" t="str">
        <f>IF(AE748="","",IFERROR(INDEX($AQ$11:$AQ$4010,MATCH(738,$AZ$11:$AZ$4010,0)),""))</f>
        <v/>
      </c>
      <c r="AI748" s="29" t="str">
        <f>IF(AE748="","",IFERROR(INDEX($AR$11:$AR$4010,MATCH(738,$AZ$11:$AZ$4010,0)),""))</f>
        <v/>
      </c>
      <c r="AJ748" s="29" t="str">
        <f>IF(AE748="","",IFERROR(INDEX($AT$11:$AT$4010,MATCH(738,$AZ$11:$AZ$4010,0)),""))</f>
        <v/>
      </c>
      <c r="AL748" s="31"/>
      <c r="AM748" s="26"/>
      <c r="AN748" s="32"/>
      <c r="AO748" s="32"/>
      <c r="AP748" s="24"/>
      <c r="AQ748" s="24"/>
      <c r="AR748" s="33"/>
      <c r="AS748" s="34"/>
      <c r="AT748" s="33"/>
      <c r="AV748" s="21">
        <f>IF(AND($AL748&lt;&gt;"",COUNTIF($AL$11:$AL748,$AL748)=1),1,0)</f>
        <v>0</v>
      </c>
      <c r="AW748" s="21">
        <f t="shared" si="109"/>
        <v>0</v>
      </c>
      <c r="AX748" s="21" t="str">
        <f t="shared" si="108"/>
        <v/>
      </c>
      <c r="AY748" s="21" t="str">
        <f>IF(AND($AM748&lt;&gt;"",$AS748&lt;&gt;"✓"),SUMPRODUCT(($AM$11:$AM748&lt;&gt;"")*($AS$11:$AS748&lt;&gt;"✓")),"")</f>
        <v/>
      </c>
      <c r="AZ748" s="21" t="str">
        <f>IF(AND($AM748&lt;&gt;"",$AS748="✓"),SUMPRODUCT(($AM$11:$AM748&lt;&gt;"")*($AS$11:$AS748="✓")),"")</f>
        <v/>
      </c>
      <c r="BA748" s="21" t="str">
        <f>IF($AL748="","",$AL748&amp;"|"&amp;COUNTIF($AL$11:$AL748,$AL748))</f>
        <v/>
      </c>
    </row>
    <row r="749" spans="23:53" ht="15" customHeight="1" x14ac:dyDescent="0.25">
      <c r="W749" s="14" t="str">
        <f>IF(X749="","",IFERROR(INDEX($AL$11:$AL$4010,MATCH(739,$AY$11:$AY$4010,0)),""))</f>
        <v/>
      </c>
      <c r="X749" s="12" t="str">
        <f>IFERROR(INDEX($AM$11:$AM$4010,MATCH(739,$AY$11:$AY$4010,0)),"")</f>
        <v/>
      </c>
      <c r="Y749" s="11" t="str">
        <f>IF(X749="","",IFERROR(INDEX($AN$11:$AN$4010,MATCH(739,$AY$11:$AY$4010,0)),""))</f>
        <v/>
      </c>
      <c r="Z749" s="11" t="str">
        <f>IF(X749="","",IFERROR(INDEX($AO$11:$AO$4010,MATCH(739,$AY$11:$AY$4010,0)),""))</f>
        <v/>
      </c>
      <c r="AA749" s="10" t="str">
        <f>IF(X749="","",IFERROR(INDEX($AQ$11:$AQ$4010,MATCH(739,$AY$11:$AY$4010,0)),""))</f>
        <v/>
      </c>
      <c r="AB749" s="15" t="str">
        <f>IF(X749="","",IFERROR(INDEX($AR$11:$AR$4010,MATCH(739,$AY$11:$AY$4010,0)),""))</f>
        <v/>
      </c>
      <c r="AD749" s="16" t="str">
        <f>IF(AE749="","",IFERROR(INDEX($AL$11:$AL$4010,MATCH(739,$AZ$11:$AZ$4010,0)),""))</f>
        <v/>
      </c>
      <c r="AE749" s="12" t="str">
        <f>IFERROR(INDEX($AM$11:$AM$4010,MATCH(739,$AZ$11:$AZ$4010,0)),"")</f>
        <v/>
      </c>
      <c r="AF749" s="11" t="str">
        <f>IF(AE749="","",IFERROR(INDEX($AN$11:$AN$4010,MATCH(739,$AZ$11:$AZ$4010,0)),""))</f>
        <v/>
      </c>
      <c r="AG749" s="11" t="str">
        <f>IF(AE749="","",IFERROR(INDEX($AO$11:$AO$4010,MATCH(739,$AZ$11:$AZ$4010,0)),""))</f>
        <v/>
      </c>
      <c r="AH749" s="10" t="str">
        <f>IF(AE749="","",IFERROR(INDEX($AQ$11:$AQ$4010,MATCH(739,$AZ$11:$AZ$4010,0)),""))</f>
        <v/>
      </c>
      <c r="AI749" s="15" t="str">
        <f>IF(AE749="","",IFERROR(INDEX($AR$11:$AR$4010,MATCH(739,$AZ$11:$AZ$4010,0)),""))</f>
        <v/>
      </c>
      <c r="AJ749" s="15" t="str">
        <f>IF(AE749="","",IFERROR(INDEX($AT$11:$AT$4010,MATCH(739,$AZ$11:$AZ$4010,0)),""))</f>
        <v/>
      </c>
      <c r="AL749" s="17"/>
      <c r="AM749" s="12"/>
      <c r="AN749" s="18"/>
      <c r="AO749" s="18"/>
      <c r="AP749" s="10"/>
      <c r="AQ749" s="10"/>
      <c r="AR749" s="19"/>
      <c r="AS749" s="20"/>
      <c r="AT749" s="19"/>
      <c r="AV749" s="21">
        <f>IF(AND($AL749&lt;&gt;"",COUNTIF($AL$11:$AL749,$AL749)=1),1,0)</f>
        <v>0</v>
      </c>
      <c r="AW749" s="21">
        <f t="shared" si="109"/>
        <v>0</v>
      </c>
      <c r="AX749" s="21" t="str">
        <f t="shared" si="108"/>
        <v/>
      </c>
      <c r="AY749" s="21" t="str">
        <f>IF(AND($AM749&lt;&gt;"",$AS749&lt;&gt;"✓"),SUMPRODUCT(($AM$11:$AM749&lt;&gt;"")*($AS$11:$AS749&lt;&gt;"✓")),"")</f>
        <v/>
      </c>
      <c r="AZ749" s="21" t="str">
        <f>IF(AND($AM749&lt;&gt;"",$AS749="✓"),SUMPRODUCT(($AM$11:$AM749&lt;&gt;"")*($AS$11:$AS749="✓")),"")</f>
        <v/>
      </c>
      <c r="BA749" s="21" t="str">
        <f>IF($AL749="","",$AL749&amp;"|"&amp;COUNTIF($AL$11:$AL749,$AL749))</f>
        <v/>
      </c>
    </row>
    <row r="750" spans="23:53" ht="15" customHeight="1" x14ac:dyDescent="0.25">
      <c r="W750" s="28" t="str">
        <f>IF(X750="","",IFERROR(INDEX($AL$11:$AL$4010,MATCH(740,$AY$11:$AY$4010,0)),""))</f>
        <v/>
      </c>
      <c r="X750" s="26" t="str">
        <f>IFERROR(INDEX($AM$11:$AM$4010,MATCH(740,$AY$11:$AY$4010,0)),"")</f>
        <v/>
      </c>
      <c r="Y750" s="25" t="str">
        <f>IF(X750="","",IFERROR(INDEX($AN$11:$AN$4010,MATCH(740,$AY$11:$AY$4010,0)),""))</f>
        <v/>
      </c>
      <c r="Z750" s="25" t="str">
        <f>IF(X750="","",IFERROR(INDEX($AO$11:$AO$4010,MATCH(740,$AY$11:$AY$4010,0)),""))</f>
        <v/>
      </c>
      <c r="AA750" s="24" t="str">
        <f>IF(X750="","",IFERROR(INDEX($AQ$11:$AQ$4010,MATCH(740,$AY$11:$AY$4010,0)),""))</f>
        <v/>
      </c>
      <c r="AB750" s="29" t="str">
        <f>IF(X750="","",IFERROR(INDEX($AR$11:$AR$4010,MATCH(740,$AY$11:$AY$4010,0)),""))</f>
        <v/>
      </c>
      <c r="AD750" s="30" t="str">
        <f>IF(AE750="","",IFERROR(INDEX($AL$11:$AL$4010,MATCH(740,$AZ$11:$AZ$4010,0)),""))</f>
        <v/>
      </c>
      <c r="AE750" s="26" t="str">
        <f>IFERROR(INDEX($AM$11:$AM$4010,MATCH(740,$AZ$11:$AZ$4010,0)),"")</f>
        <v/>
      </c>
      <c r="AF750" s="25" t="str">
        <f>IF(AE750="","",IFERROR(INDEX($AN$11:$AN$4010,MATCH(740,$AZ$11:$AZ$4010,0)),""))</f>
        <v/>
      </c>
      <c r="AG750" s="25" t="str">
        <f>IF(AE750="","",IFERROR(INDEX($AO$11:$AO$4010,MATCH(740,$AZ$11:$AZ$4010,0)),""))</f>
        <v/>
      </c>
      <c r="AH750" s="24" t="str">
        <f>IF(AE750="","",IFERROR(INDEX($AQ$11:$AQ$4010,MATCH(740,$AZ$11:$AZ$4010,0)),""))</f>
        <v/>
      </c>
      <c r="AI750" s="29" t="str">
        <f>IF(AE750="","",IFERROR(INDEX($AR$11:$AR$4010,MATCH(740,$AZ$11:$AZ$4010,0)),""))</f>
        <v/>
      </c>
      <c r="AJ750" s="29" t="str">
        <f>IF(AE750="","",IFERROR(INDEX($AT$11:$AT$4010,MATCH(740,$AZ$11:$AZ$4010,0)),""))</f>
        <v/>
      </c>
      <c r="AL750" s="31"/>
      <c r="AM750" s="26"/>
      <c r="AN750" s="32"/>
      <c r="AO750" s="32"/>
      <c r="AP750" s="24"/>
      <c r="AQ750" s="24"/>
      <c r="AR750" s="33"/>
      <c r="AS750" s="34"/>
      <c r="AT750" s="33"/>
      <c r="AV750" s="21">
        <f>IF(AND($AL750&lt;&gt;"",COUNTIF($AL$11:$AL750,$AL750)=1),1,0)</f>
        <v>0</v>
      </c>
      <c r="AW750" s="21">
        <f t="shared" si="109"/>
        <v>0</v>
      </c>
      <c r="AX750" s="21" t="str">
        <f t="shared" si="108"/>
        <v/>
      </c>
      <c r="AY750" s="21" t="str">
        <f>IF(AND($AM750&lt;&gt;"",$AS750&lt;&gt;"✓"),SUMPRODUCT(($AM$11:$AM750&lt;&gt;"")*($AS$11:$AS750&lt;&gt;"✓")),"")</f>
        <v/>
      </c>
      <c r="AZ750" s="21" t="str">
        <f>IF(AND($AM750&lt;&gt;"",$AS750="✓"),SUMPRODUCT(($AM$11:$AM750&lt;&gt;"")*($AS$11:$AS750="✓")),"")</f>
        <v/>
      </c>
      <c r="BA750" s="21" t="str">
        <f>IF($AL750="","",$AL750&amp;"|"&amp;COUNTIF($AL$11:$AL750,$AL750))</f>
        <v/>
      </c>
    </row>
    <row r="751" spans="23:53" ht="15" customHeight="1" x14ac:dyDescent="0.25">
      <c r="W751" s="14" t="str">
        <f>IF(X751="","",IFERROR(INDEX($AL$11:$AL$4010,MATCH(741,$AY$11:$AY$4010,0)),""))</f>
        <v/>
      </c>
      <c r="X751" s="12" t="str">
        <f>IFERROR(INDEX($AM$11:$AM$4010,MATCH(741,$AY$11:$AY$4010,0)),"")</f>
        <v/>
      </c>
      <c r="Y751" s="11" t="str">
        <f>IF(X751="","",IFERROR(INDEX($AN$11:$AN$4010,MATCH(741,$AY$11:$AY$4010,0)),""))</f>
        <v/>
      </c>
      <c r="Z751" s="11" t="str">
        <f>IF(X751="","",IFERROR(INDEX($AO$11:$AO$4010,MATCH(741,$AY$11:$AY$4010,0)),""))</f>
        <v/>
      </c>
      <c r="AA751" s="10" t="str">
        <f>IF(X751="","",IFERROR(INDEX($AQ$11:$AQ$4010,MATCH(741,$AY$11:$AY$4010,0)),""))</f>
        <v/>
      </c>
      <c r="AB751" s="15" t="str">
        <f>IF(X751="","",IFERROR(INDEX($AR$11:$AR$4010,MATCH(741,$AY$11:$AY$4010,0)),""))</f>
        <v/>
      </c>
      <c r="AD751" s="16" t="str">
        <f>IF(AE751="","",IFERROR(INDEX($AL$11:$AL$4010,MATCH(741,$AZ$11:$AZ$4010,0)),""))</f>
        <v/>
      </c>
      <c r="AE751" s="12" t="str">
        <f>IFERROR(INDEX($AM$11:$AM$4010,MATCH(741,$AZ$11:$AZ$4010,0)),"")</f>
        <v/>
      </c>
      <c r="AF751" s="11" t="str">
        <f>IF(AE751="","",IFERROR(INDEX($AN$11:$AN$4010,MATCH(741,$AZ$11:$AZ$4010,0)),""))</f>
        <v/>
      </c>
      <c r="AG751" s="11" t="str">
        <f>IF(AE751="","",IFERROR(INDEX($AO$11:$AO$4010,MATCH(741,$AZ$11:$AZ$4010,0)),""))</f>
        <v/>
      </c>
      <c r="AH751" s="10" t="str">
        <f>IF(AE751="","",IFERROR(INDEX($AQ$11:$AQ$4010,MATCH(741,$AZ$11:$AZ$4010,0)),""))</f>
        <v/>
      </c>
      <c r="AI751" s="15" t="str">
        <f>IF(AE751="","",IFERROR(INDEX($AR$11:$AR$4010,MATCH(741,$AZ$11:$AZ$4010,0)),""))</f>
        <v/>
      </c>
      <c r="AJ751" s="15" t="str">
        <f>IF(AE751="","",IFERROR(INDEX($AT$11:$AT$4010,MATCH(741,$AZ$11:$AZ$4010,0)),""))</f>
        <v/>
      </c>
      <c r="AL751" s="17"/>
      <c r="AM751" s="12"/>
      <c r="AN751" s="18"/>
      <c r="AO751" s="18"/>
      <c r="AP751" s="10"/>
      <c r="AQ751" s="10"/>
      <c r="AR751" s="19"/>
      <c r="AS751" s="20"/>
      <c r="AT751" s="19"/>
      <c r="AV751" s="21">
        <f>IF(AND($AL751&lt;&gt;"",COUNTIF($AL$11:$AL751,$AL751)=1),1,0)</f>
        <v>0</v>
      </c>
      <c r="AW751" s="21">
        <f t="shared" si="109"/>
        <v>0</v>
      </c>
      <c r="AX751" s="21" t="str">
        <f t="shared" si="108"/>
        <v/>
      </c>
      <c r="AY751" s="21" t="str">
        <f>IF(AND($AM751&lt;&gt;"",$AS751&lt;&gt;"✓"),SUMPRODUCT(($AM$11:$AM751&lt;&gt;"")*($AS$11:$AS751&lt;&gt;"✓")),"")</f>
        <v/>
      </c>
      <c r="AZ751" s="21" t="str">
        <f>IF(AND($AM751&lt;&gt;"",$AS751="✓"),SUMPRODUCT(($AM$11:$AM751&lt;&gt;"")*($AS$11:$AS751="✓")),"")</f>
        <v/>
      </c>
      <c r="BA751" s="21" t="str">
        <f>IF($AL751="","",$AL751&amp;"|"&amp;COUNTIF($AL$11:$AL751,$AL751))</f>
        <v/>
      </c>
    </row>
    <row r="752" spans="23:53" ht="15" customHeight="1" x14ac:dyDescent="0.25">
      <c r="W752" s="28" t="str">
        <f>IF(X752="","",IFERROR(INDEX($AL$11:$AL$4010,MATCH(742,$AY$11:$AY$4010,0)),""))</f>
        <v/>
      </c>
      <c r="X752" s="26" t="str">
        <f>IFERROR(INDEX($AM$11:$AM$4010,MATCH(742,$AY$11:$AY$4010,0)),"")</f>
        <v/>
      </c>
      <c r="Y752" s="25" t="str">
        <f>IF(X752="","",IFERROR(INDEX($AN$11:$AN$4010,MATCH(742,$AY$11:$AY$4010,0)),""))</f>
        <v/>
      </c>
      <c r="Z752" s="25" t="str">
        <f>IF(X752="","",IFERROR(INDEX($AO$11:$AO$4010,MATCH(742,$AY$11:$AY$4010,0)),""))</f>
        <v/>
      </c>
      <c r="AA752" s="24" t="str">
        <f>IF(X752="","",IFERROR(INDEX($AQ$11:$AQ$4010,MATCH(742,$AY$11:$AY$4010,0)),""))</f>
        <v/>
      </c>
      <c r="AB752" s="29" t="str">
        <f>IF(X752="","",IFERROR(INDEX($AR$11:$AR$4010,MATCH(742,$AY$11:$AY$4010,0)),""))</f>
        <v/>
      </c>
      <c r="AD752" s="30" t="str">
        <f>IF(AE752="","",IFERROR(INDEX($AL$11:$AL$4010,MATCH(742,$AZ$11:$AZ$4010,0)),""))</f>
        <v/>
      </c>
      <c r="AE752" s="26" t="str">
        <f>IFERROR(INDEX($AM$11:$AM$4010,MATCH(742,$AZ$11:$AZ$4010,0)),"")</f>
        <v/>
      </c>
      <c r="AF752" s="25" t="str">
        <f>IF(AE752="","",IFERROR(INDEX($AN$11:$AN$4010,MATCH(742,$AZ$11:$AZ$4010,0)),""))</f>
        <v/>
      </c>
      <c r="AG752" s="25" t="str">
        <f>IF(AE752="","",IFERROR(INDEX($AO$11:$AO$4010,MATCH(742,$AZ$11:$AZ$4010,0)),""))</f>
        <v/>
      </c>
      <c r="AH752" s="24" t="str">
        <f>IF(AE752="","",IFERROR(INDEX($AQ$11:$AQ$4010,MATCH(742,$AZ$11:$AZ$4010,0)),""))</f>
        <v/>
      </c>
      <c r="AI752" s="29" t="str">
        <f>IF(AE752="","",IFERROR(INDEX($AR$11:$AR$4010,MATCH(742,$AZ$11:$AZ$4010,0)),""))</f>
        <v/>
      </c>
      <c r="AJ752" s="29" t="str">
        <f>IF(AE752="","",IFERROR(INDEX($AT$11:$AT$4010,MATCH(742,$AZ$11:$AZ$4010,0)),""))</f>
        <v/>
      </c>
      <c r="AL752" s="31"/>
      <c r="AM752" s="26"/>
      <c r="AN752" s="32"/>
      <c r="AO752" s="32"/>
      <c r="AP752" s="24"/>
      <c r="AQ752" s="24"/>
      <c r="AR752" s="33"/>
      <c r="AS752" s="34"/>
      <c r="AT752" s="33"/>
      <c r="AV752" s="21">
        <f>IF(AND($AL752&lt;&gt;"",COUNTIF($AL$11:$AL752,$AL752)=1),1,0)</f>
        <v>0</v>
      </c>
      <c r="AW752" s="21">
        <f t="shared" si="109"/>
        <v>0</v>
      </c>
      <c r="AX752" s="21" t="str">
        <f t="shared" si="108"/>
        <v/>
      </c>
      <c r="AY752" s="21" t="str">
        <f>IF(AND($AM752&lt;&gt;"",$AS752&lt;&gt;"✓"),SUMPRODUCT(($AM$11:$AM752&lt;&gt;"")*($AS$11:$AS752&lt;&gt;"✓")),"")</f>
        <v/>
      </c>
      <c r="AZ752" s="21" t="str">
        <f>IF(AND($AM752&lt;&gt;"",$AS752="✓"),SUMPRODUCT(($AM$11:$AM752&lt;&gt;"")*($AS$11:$AS752="✓")),"")</f>
        <v/>
      </c>
      <c r="BA752" s="21" t="str">
        <f>IF($AL752="","",$AL752&amp;"|"&amp;COUNTIF($AL$11:$AL752,$AL752))</f>
        <v/>
      </c>
    </row>
    <row r="753" spans="23:53" ht="15" customHeight="1" x14ac:dyDescent="0.25">
      <c r="W753" s="14" t="str">
        <f>IF(X753="","",IFERROR(INDEX($AL$11:$AL$4010,MATCH(743,$AY$11:$AY$4010,0)),""))</f>
        <v/>
      </c>
      <c r="X753" s="12" t="str">
        <f>IFERROR(INDEX($AM$11:$AM$4010,MATCH(743,$AY$11:$AY$4010,0)),"")</f>
        <v/>
      </c>
      <c r="Y753" s="11" t="str">
        <f>IF(X753="","",IFERROR(INDEX($AN$11:$AN$4010,MATCH(743,$AY$11:$AY$4010,0)),""))</f>
        <v/>
      </c>
      <c r="Z753" s="11" t="str">
        <f>IF(X753="","",IFERROR(INDEX($AO$11:$AO$4010,MATCH(743,$AY$11:$AY$4010,0)),""))</f>
        <v/>
      </c>
      <c r="AA753" s="10" t="str">
        <f>IF(X753="","",IFERROR(INDEX($AQ$11:$AQ$4010,MATCH(743,$AY$11:$AY$4010,0)),""))</f>
        <v/>
      </c>
      <c r="AB753" s="15" t="str">
        <f>IF(X753="","",IFERROR(INDEX($AR$11:$AR$4010,MATCH(743,$AY$11:$AY$4010,0)),""))</f>
        <v/>
      </c>
      <c r="AD753" s="16" t="str">
        <f>IF(AE753="","",IFERROR(INDEX($AL$11:$AL$4010,MATCH(743,$AZ$11:$AZ$4010,0)),""))</f>
        <v/>
      </c>
      <c r="AE753" s="12" t="str">
        <f>IFERROR(INDEX($AM$11:$AM$4010,MATCH(743,$AZ$11:$AZ$4010,0)),"")</f>
        <v/>
      </c>
      <c r="AF753" s="11" t="str">
        <f>IF(AE753="","",IFERROR(INDEX($AN$11:$AN$4010,MATCH(743,$AZ$11:$AZ$4010,0)),""))</f>
        <v/>
      </c>
      <c r="AG753" s="11" t="str">
        <f>IF(AE753="","",IFERROR(INDEX($AO$11:$AO$4010,MATCH(743,$AZ$11:$AZ$4010,0)),""))</f>
        <v/>
      </c>
      <c r="AH753" s="10" t="str">
        <f>IF(AE753="","",IFERROR(INDEX($AQ$11:$AQ$4010,MATCH(743,$AZ$11:$AZ$4010,0)),""))</f>
        <v/>
      </c>
      <c r="AI753" s="15" t="str">
        <f>IF(AE753="","",IFERROR(INDEX($AR$11:$AR$4010,MATCH(743,$AZ$11:$AZ$4010,0)),""))</f>
        <v/>
      </c>
      <c r="AJ753" s="15" t="str">
        <f>IF(AE753="","",IFERROR(INDEX($AT$11:$AT$4010,MATCH(743,$AZ$11:$AZ$4010,0)),""))</f>
        <v/>
      </c>
      <c r="AL753" s="17"/>
      <c r="AM753" s="12"/>
      <c r="AN753" s="18"/>
      <c r="AO753" s="18"/>
      <c r="AP753" s="10"/>
      <c r="AQ753" s="10"/>
      <c r="AR753" s="19"/>
      <c r="AS753" s="20"/>
      <c r="AT753" s="19"/>
      <c r="AV753" s="21">
        <f>IF(AND($AL753&lt;&gt;"",COUNTIF($AL$11:$AL753,$AL753)=1),1,0)</f>
        <v>0</v>
      </c>
      <c r="AW753" s="21">
        <f t="shared" si="109"/>
        <v>0</v>
      </c>
      <c r="AX753" s="21" t="str">
        <f t="shared" si="108"/>
        <v/>
      </c>
      <c r="AY753" s="21" t="str">
        <f>IF(AND($AM753&lt;&gt;"",$AS753&lt;&gt;"✓"),SUMPRODUCT(($AM$11:$AM753&lt;&gt;"")*($AS$11:$AS753&lt;&gt;"✓")),"")</f>
        <v/>
      </c>
      <c r="AZ753" s="21" t="str">
        <f>IF(AND($AM753&lt;&gt;"",$AS753="✓"),SUMPRODUCT(($AM$11:$AM753&lt;&gt;"")*($AS$11:$AS753="✓")),"")</f>
        <v/>
      </c>
      <c r="BA753" s="21" t="str">
        <f>IF($AL753="","",$AL753&amp;"|"&amp;COUNTIF($AL$11:$AL753,$AL753))</f>
        <v/>
      </c>
    </row>
    <row r="754" spans="23:53" ht="15" customHeight="1" x14ac:dyDescent="0.25">
      <c r="W754" s="28" t="str">
        <f>IF(X754="","",IFERROR(INDEX($AL$11:$AL$4010,MATCH(744,$AY$11:$AY$4010,0)),""))</f>
        <v/>
      </c>
      <c r="X754" s="26" t="str">
        <f>IFERROR(INDEX($AM$11:$AM$4010,MATCH(744,$AY$11:$AY$4010,0)),"")</f>
        <v/>
      </c>
      <c r="Y754" s="25" t="str">
        <f>IF(X754="","",IFERROR(INDEX($AN$11:$AN$4010,MATCH(744,$AY$11:$AY$4010,0)),""))</f>
        <v/>
      </c>
      <c r="Z754" s="25" t="str">
        <f>IF(X754="","",IFERROR(INDEX($AO$11:$AO$4010,MATCH(744,$AY$11:$AY$4010,0)),""))</f>
        <v/>
      </c>
      <c r="AA754" s="24" t="str">
        <f>IF(X754="","",IFERROR(INDEX($AQ$11:$AQ$4010,MATCH(744,$AY$11:$AY$4010,0)),""))</f>
        <v/>
      </c>
      <c r="AB754" s="29" t="str">
        <f>IF(X754="","",IFERROR(INDEX($AR$11:$AR$4010,MATCH(744,$AY$11:$AY$4010,0)),""))</f>
        <v/>
      </c>
      <c r="AD754" s="30" t="str">
        <f>IF(AE754="","",IFERROR(INDEX($AL$11:$AL$4010,MATCH(744,$AZ$11:$AZ$4010,0)),""))</f>
        <v/>
      </c>
      <c r="AE754" s="26" t="str">
        <f>IFERROR(INDEX($AM$11:$AM$4010,MATCH(744,$AZ$11:$AZ$4010,0)),"")</f>
        <v/>
      </c>
      <c r="AF754" s="25" t="str">
        <f>IF(AE754="","",IFERROR(INDEX($AN$11:$AN$4010,MATCH(744,$AZ$11:$AZ$4010,0)),""))</f>
        <v/>
      </c>
      <c r="AG754" s="25" t="str">
        <f>IF(AE754="","",IFERROR(INDEX($AO$11:$AO$4010,MATCH(744,$AZ$11:$AZ$4010,0)),""))</f>
        <v/>
      </c>
      <c r="AH754" s="24" t="str">
        <f>IF(AE754="","",IFERROR(INDEX($AQ$11:$AQ$4010,MATCH(744,$AZ$11:$AZ$4010,0)),""))</f>
        <v/>
      </c>
      <c r="AI754" s="29" t="str">
        <f>IF(AE754="","",IFERROR(INDEX($AR$11:$AR$4010,MATCH(744,$AZ$11:$AZ$4010,0)),""))</f>
        <v/>
      </c>
      <c r="AJ754" s="29" t="str">
        <f>IF(AE754="","",IFERROR(INDEX($AT$11:$AT$4010,MATCH(744,$AZ$11:$AZ$4010,0)),""))</f>
        <v/>
      </c>
      <c r="AL754" s="31"/>
      <c r="AM754" s="26"/>
      <c r="AN754" s="32"/>
      <c r="AO754" s="32"/>
      <c r="AP754" s="24"/>
      <c r="AQ754" s="24"/>
      <c r="AR754" s="33"/>
      <c r="AS754" s="34"/>
      <c r="AT754" s="33"/>
      <c r="AV754" s="21">
        <f>IF(AND($AL754&lt;&gt;"",COUNTIF($AL$11:$AL754,$AL754)=1),1,0)</f>
        <v>0</v>
      </c>
      <c r="AW754" s="21">
        <f t="shared" si="109"/>
        <v>0</v>
      </c>
      <c r="AX754" s="21" t="str">
        <f t="shared" si="108"/>
        <v/>
      </c>
      <c r="AY754" s="21" t="str">
        <f>IF(AND($AM754&lt;&gt;"",$AS754&lt;&gt;"✓"),SUMPRODUCT(($AM$11:$AM754&lt;&gt;"")*($AS$11:$AS754&lt;&gt;"✓")),"")</f>
        <v/>
      </c>
      <c r="AZ754" s="21" t="str">
        <f>IF(AND($AM754&lt;&gt;"",$AS754="✓"),SUMPRODUCT(($AM$11:$AM754&lt;&gt;"")*($AS$11:$AS754="✓")),"")</f>
        <v/>
      </c>
      <c r="BA754" s="21" t="str">
        <f>IF($AL754="","",$AL754&amp;"|"&amp;COUNTIF($AL$11:$AL754,$AL754))</f>
        <v/>
      </c>
    </row>
    <row r="755" spans="23:53" ht="15" customHeight="1" x14ac:dyDescent="0.25">
      <c r="W755" s="14" t="str">
        <f>IF(X755="","",IFERROR(INDEX($AL$11:$AL$4010,MATCH(745,$AY$11:$AY$4010,0)),""))</f>
        <v/>
      </c>
      <c r="X755" s="12" t="str">
        <f>IFERROR(INDEX($AM$11:$AM$4010,MATCH(745,$AY$11:$AY$4010,0)),"")</f>
        <v/>
      </c>
      <c r="Y755" s="11" t="str">
        <f>IF(X755="","",IFERROR(INDEX($AN$11:$AN$4010,MATCH(745,$AY$11:$AY$4010,0)),""))</f>
        <v/>
      </c>
      <c r="Z755" s="11" t="str">
        <f>IF(X755="","",IFERROR(INDEX($AO$11:$AO$4010,MATCH(745,$AY$11:$AY$4010,0)),""))</f>
        <v/>
      </c>
      <c r="AA755" s="10" t="str">
        <f>IF(X755="","",IFERROR(INDEX($AQ$11:$AQ$4010,MATCH(745,$AY$11:$AY$4010,0)),""))</f>
        <v/>
      </c>
      <c r="AB755" s="15" t="str">
        <f>IF(X755="","",IFERROR(INDEX($AR$11:$AR$4010,MATCH(745,$AY$11:$AY$4010,0)),""))</f>
        <v/>
      </c>
      <c r="AD755" s="16" t="str">
        <f>IF(AE755="","",IFERROR(INDEX($AL$11:$AL$4010,MATCH(745,$AZ$11:$AZ$4010,0)),""))</f>
        <v/>
      </c>
      <c r="AE755" s="12" t="str">
        <f>IFERROR(INDEX($AM$11:$AM$4010,MATCH(745,$AZ$11:$AZ$4010,0)),"")</f>
        <v/>
      </c>
      <c r="AF755" s="11" t="str">
        <f>IF(AE755="","",IFERROR(INDEX($AN$11:$AN$4010,MATCH(745,$AZ$11:$AZ$4010,0)),""))</f>
        <v/>
      </c>
      <c r="AG755" s="11" t="str">
        <f>IF(AE755="","",IFERROR(INDEX($AO$11:$AO$4010,MATCH(745,$AZ$11:$AZ$4010,0)),""))</f>
        <v/>
      </c>
      <c r="AH755" s="10" t="str">
        <f>IF(AE755="","",IFERROR(INDEX($AQ$11:$AQ$4010,MATCH(745,$AZ$11:$AZ$4010,0)),""))</f>
        <v/>
      </c>
      <c r="AI755" s="15" t="str">
        <f>IF(AE755="","",IFERROR(INDEX($AR$11:$AR$4010,MATCH(745,$AZ$11:$AZ$4010,0)),""))</f>
        <v/>
      </c>
      <c r="AJ755" s="15" t="str">
        <f>IF(AE755="","",IFERROR(INDEX($AT$11:$AT$4010,MATCH(745,$AZ$11:$AZ$4010,0)),""))</f>
        <v/>
      </c>
      <c r="AL755" s="17"/>
      <c r="AM755" s="12"/>
      <c r="AN755" s="18"/>
      <c r="AO755" s="18"/>
      <c r="AP755" s="10"/>
      <c r="AQ755" s="10"/>
      <c r="AR755" s="19"/>
      <c r="AS755" s="20"/>
      <c r="AT755" s="19"/>
      <c r="AV755" s="21">
        <f>IF(AND($AL755&lt;&gt;"",COUNTIF($AL$11:$AL755,$AL755)=1),1,0)</f>
        <v>0</v>
      </c>
      <c r="AW755" s="21">
        <f t="shared" si="109"/>
        <v>0</v>
      </c>
      <c r="AX755" s="21" t="str">
        <f t="shared" si="108"/>
        <v/>
      </c>
      <c r="AY755" s="21" t="str">
        <f>IF(AND($AM755&lt;&gt;"",$AS755&lt;&gt;"✓"),SUMPRODUCT(($AM$11:$AM755&lt;&gt;"")*($AS$11:$AS755&lt;&gt;"✓")),"")</f>
        <v/>
      </c>
      <c r="AZ755" s="21" t="str">
        <f>IF(AND($AM755&lt;&gt;"",$AS755="✓"),SUMPRODUCT(($AM$11:$AM755&lt;&gt;"")*($AS$11:$AS755="✓")),"")</f>
        <v/>
      </c>
      <c r="BA755" s="21" t="str">
        <f>IF($AL755="","",$AL755&amp;"|"&amp;COUNTIF($AL$11:$AL755,$AL755))</f>
        <v/>
      </c>
    </row>
    <row r="756" spans="23:53" ht="15" customHeight="1" x14ac:dyDescent="0.25">
      <c r="W756" s="28" t="str">
        <f>IF(X756="","",IFERROR(INDEX($AL$11:$AL$4010,MATCH(746,$AY$11:$AY$4010,0)),""))</f>
        <v/>
      </c>
      <c r="X756" s="26" t="str">
        <f>IFERROR(INDEX($AM$11:$AM$4010,MATCH(746,$AY$11:$AY$4010,0)),"")</f>
        <v/>
      </c>
      <c r="Y756" s="25" t="str">
        <f>IF(X756="","",IFERROR(INDEX($AN$11:$AN$4010,MATCH(746,$AY$11:$AY$4010,0)),""))</f>
        <v/>
      </c>
      <c r="Z756" s="25" t="str">
        <f>IF(X756="","",IFERROR(INDEX($AO$11:$AO$4010,MATCH(746,$AY$11:$AY$4010,0)),""))</f>
        <v/>
      </c>
      <c r="AA756" s="24" t="str">
        <f>IF(X756="","",IFERROR(INDEX($AQ$11:$AQ$4010,MATCH(746,$AY$11:$AY$4010,0)),""))</f>
        <v/>
      </c>
      <c r="AB756" s="29" t="str">
        <f>IF(X756="","",IFERROR(INDEX($AR$11:$AR$4010,MATCH(746,$AY$11:$AY$4010,0)),""))</f>
        <v/>
      </c>
      <c r="AD756" s="30" t="str">
        <f>IF(AE756="","",IFERROR(INDEX($AL$11:$AL$4010,MATCH(746,$AZ$11:$AZ$4010,0)),""))</f>
        <v/>
      </c>
      <c r="AE756" s="26" t="str">
        <f>IFERROR(INDEX($AM$11:$AM$4010,MATCH(746,$AZ$11:$AZ$4010,0)),"")</f>
        <v/>
      </c>
      <c r="AF756" s="25" t="str">
        <f>IF(AE756="","",IFERROR(INDEX($AN$11:$AN$4010,MATCH(746,$AZ$11:$AZ$4010,0)),""))</f>
        <v/>
      </c>
      <c r="AG756" s="25" t="str">
        <f>IF(AE756="","",IFERROR(INDEX($AO$11:$AO$4010,MATCH(746,$AZ$11:$AZ$4010,0)),""))</f>
        <v/>
      </c>
      <c r="AH756" s="24" t="str">
        <f>IF(AE756="","",IFERROR(INDEX($AQ$11:$AQ$4010,MATCH(746,$AZ$11:$AZ$4010,0)),""))</f>
        <v/>
      </c>
      <c r="AI756" s="29" t="str">
        <f>IF(AE756="","",IFERROR(INDEX($AR$11:$AR$4010,MATCH(746,$AZ$11:$AZ$4010,0)),""))</f>
        <v/>
      </c>
      <c r="AJ756" s="29" t="str">
        <f>IF(AE756="","",IFERROR(INDEX($AT$11:$AT$4010,MATCH(746,$AZ$11:$AZ$4010,0)),""))</f>
        <v/>
      </c>
      <c r="AL756" s="31"/>
      <c r="AM756" s="26"/>
      <c r="AN756" s="32"/>
      <c r="AO756" s="32"/>
      <c r="AP756" s="24"/>
      <c r="AQ756" s="24"/>
      <c r="AR756" s="33"/>
      <c r="AS756" s="34"/>
      <c r="AT756" s="33"/>
      <c r="AV756" s="21">
        <f>IF(AND($AL756&lt;&gt;"",COUNTIF($AL$11:$AL756,$AL756)=1),1,0)</f>
        <v>0</v>
      </c>
      <c r="AW756" s="21">
        <f t="shared" si="109"/>
        <v>0</v>
      </c>
      <c r="AX756" s="21" t="str">
        <f t="shared" si="108"/>
        <v/>
      </c>
      <c r="AY756" s="21" t="str">
        <f>IF(AND($AM756&lt;&gt;"",$AS756&lt;&gt;"✓"),SUMPRODUCT(($AM$11:$AM756&lt;&gt;"")*($AS$11:$AS756&lt;&gt;"✓")),"")</f>
        <v/>
      </c>
      <c r="AZ756" s="21" t="str">
        <f>IF(AND($AM756&lt;&gt;"",$AS756="✓"),SUMPRODUCT(($AM$11:$AM756&lt;&gt;"")*($AS$11:$AS756="✓")),"")</f>
        <v/>
      </c>
      <c r="BA756" s="21" t="str">
        <f>IF($AL756="","",$AL756&amp;"|"&amp;COUNTIF($AL$11:$AL756,$AL756))</f>
        <v/>
      </c>
    </row>
    <row r="757" spans="23:53" ht="15" customHeight="1" x14ac:dyDescent="0.25">
      <c r="W757" s="14" t="str">
        <f>IF(X757="","",IFERROR(INDEX($AL$11:$AL$4010,MATCH(747,$AY$11:$AY$4010,0)),""))</f>
        <v/>
      </c>
      <c r="X757" s="12" t="str">
        <f>IFERROR(INDEX($AM$11:$AM$4010,MATCH(747,$AY$11:$AY$4010,0)),"")</f>
        <v/>
      </c>
      <c r="Y757" s="11" t="str">
        <f>IF(X757="","",IFERROR(INDEX($AN$11:$AN$4010,MATCH(747,$AY$11:$AY$4010,0)),""))</f>
        <v/>
      </c>
      <c r="Z757" s="11" t="str">
        <f>IF(X757="","",IFERROR(INDEX($AO$11:$AO$4010,MATCH(747,$AY$11:$AY$4010,0)),""))</f>
        <v/>
      </c>
      <c r="AA757" s="10" t="str">
        <f>IF(X757="","",IFERROR(INDEX($AQ$11:$AQ$4010,MATCH(747,$AY$11:$AY$4010,0)),""))</f>
        <v/>
      </c>
      <c r="AB757" s="15" t="str">
        <f>IF(X757="","",IFERROR(INDEX($AR$11:$AR$4010,MATCH(747,$AY$11:$AY$4010,0)),""))</f>
        <v/>
      </c>
      <c r="AD757" s="16" t="str">
        <f>IF(AE757="","",IFERROR(INDEX($AL$11:$AL$4010,MATCH(747,$AZ$11:$AZ$4010,0)),""))</f>
        <v/>
      </c>
      <c r="AE757" s="12" t="str">
        <f>IFERROR(INDEX($AM$11:$AM$4010,MATCH(747,$AZ$11:$AZ$4010,0)),"")</f>
        <v/>
      </c>
      <c r="AF757" s="11" t="str">
        <f>IF(AE757="","",IFERROR(INDEX($AN$11:$AN$4010,MATCH(747,$AZ$11:$AZ$4010,0)),""))</f>
        <v/>
      </c>
      <c r="AG757" s="11" t="str">
        <f>IF(AE757="","",IFERROR(INDEX($AO$11:$AO$4010,MATCH(747,$AZ$11:$AZ$4010,0)),""))</f>
        <v/>
      </c>
      <c r="AH757" s="10" t="str">
        <f>IF(AE757="","",IFERROR(INDEX($AQ$11:$AQ$4010,MATCH(747,$AZ$11:$AZ$4010,0)),""))</f>
        <v/>
      </c>
      <c r="AI757" s="15" t="str">
        <f>IF(AE757="","",IFERROR(INDEX($AR$11:$AR$4010,MATCH(747,$AZ$11:$AZ$4010,0)),""))</f>
        <v/>
      </c>
      <c r="AJ757" s="15" t="str">
        <f>IF(AE757="","",IFERROR(INDEX($AT$11:$AT$4010,MATCH(747,$AZ$11:$AZ$4010,0)),""))</f>
        <v/>
      </c>
      <c r="AL757" s="17"/>
      <c r="AM757" s="12"/>
      <c r="AN757" s="18"/>
      <c r="AO757" s="18"/>
      <c r="AP757" s="10"/>
      <c r="AQ757" s="10"/>
      <c r="AR757" s="19"/>
      <c r="AS757" s="20"/>
      <c r="AT757" s="19"/>
      <c r="AV757" s="21">
        <f>IF(AND($AL757&lt;&gt;"",COUNTIF($AL$11:$AL757,$AL757)=1),1,0)</f>
        <v>0</v>
      </c>
      <c r="AW757" s="21">
        <f t="shared" si="109"/>
        <v>0</v>
      </c>
      <c r="AX757" s="21" t="str">
        <f t="shared" si="108"/>
        <v/>
      </c>
      <c r="AY757" s="21" t="str">
        <f>IF(AND($AM757&lt;&gt;"",$AS757&lt;&gt;"✓"),SUMPRODUCT(($AM$11:$AM757&lt;&gt;"")*($AS$11:$AS757&lt;&gt;"✓")),"")</f>
        <v/>
      </c>
      <c r="AZ757" s="21" t="str">
        <f>IF(AND($AM757&lt;&gt;"",$AS757="✓"),SUMPRODUCT(($AM$11:$AM757&lt;&gt;"")*($AS$11:$AS757="✓")),"")</f>
        <v/>
      </c>
      <c r="BA757" s="21" t="str">
        <f>IF($AL757="","",$AL757&amp;"|"&amp;COUNTIF($AL$11:$AL757,$AL757))</f>
        <v/>
      </c>
    </row>
    <row r="758" spans="23:53" ht="15" customHeight="1" x14ac:dyDescent="0.25">
      <c r="W758" s="28" t="str">
        <f>IF(X758="","",IFERROR(INDEX($AL$11:$AL$4010,MATCH(748,$AY$11:$AY$4010,0)),""))</f>
        <v/>
      </c>
      <c r="X758" s="26" t="str">
        <f>IFERROR(INDEX($AM$11:$AM$4010,MATCH(748,$AY$11:$AY$4010,0)),"")</f>
        <v/>
      </c>
      <c r="Y758" s="25" t="str">
        <f>IF(X758="","",IFERROR(INDEX($AN$11:$AN$4010,MATCH(748,$AY$11:$AY$4010,0)),""))</f>
        <v/>
      </c>
      <c r="Z758" s="25" t="str">
        <f>IF(X758="","",IFERROR(INDEX($AO$11:$AO$4010,MATCH(748,$AY$11:$AY$4010,0)),""))</f>
        <v/>
      </c>
      <c r="AA758" s="24" t="str">
        <f>IF(X758="","",IFERROR(INDEX($AQ$11:$AQ$4010,MATCH(748,$AY$11:$AY$4010,0)),""))</f>
        <v/>
      </c>
      <c r="AB758" s="29" t="str">
        <f>IF(X758="","",IFERROR(INDEX($AR$11:$AR$4010,MATCH(748,$AY$11:$AY$4010,0)),""))</f>
        <v/>
      </c>
      <c r="AD758" s="30" t="str">
        <f>IF(AE758="","",IFERROR(INDEX($AL$11:$AL$4010,MATCH(748,$AZ$11:$AZ$4010,0)),""))</f>
        <v/>
      </c>
      <c r="AE758" s="26" t="str">
        <f>IFERROR(INDEX($AM$11:$AM$4010,MATCH(748,$AZ$11:$AZ$4010,0)),"")</f>
        <v/>
      </c>
      <c r="AF758" s="25" t="str">
        <f>IF(AE758="","",IFERROR(INDEX($AN$11:$AN$4010,MATCH(748,$AZ$11:$AZ$4010,0)),""))</f>
        <v/>
      </c>
      <c r="AG758" s="25" t="str">
        <f>IF(AE758="","",IFERROR(INDEX($AO$11:$AO$4010,MATCH(748,$AZ$11:$AZ$4010,0)),""))</f>
        <v/>
      </c>
      <c r="AH758" s="24" t="str">
        <f>IF(AE758="","",IFERROR(INDEX($AQ$11:$AQ$4010,MATCH(748,$AZ$11:$AZ$4010,0)),""))</f>
        <v/>
      </c>
      <c r="AI758" s="29" t="str">
        <f>IF(AE758="","",IFERROR(INDEX($AR$11:$AR$4010,MATCH(748,$AZ$11:$AZ$4010,0)),""))</f>
        <v/>
      </c>
      <c r="AJ758" s="29" t="str">
        <f>IF(AE758="","",IFERROR(INDEX($AT$11:$AT$4010,MATCH(748,$AZ$11:$AZ$4010,0)),""))</f>
        <v/>
      </c>
      <c r="AL758" s="31"/>
      <c r="AM758" s="26"/>
      <c r="AN758" s="32"/>
      <c r="AO758" s="32"/>
      <c r="AP758" s="24"/>
      <c r="AQ758" s="24"/>
      <c r="AR758" s="33"/>
      <c r="AS758" s="34"/>
      <c r="AT758" s="33"/>
      <c r="AV758" s="21">
        <f>IF(AND($AL758&lt;&gt;"",COUNTIF($AL$11:$AL758,$AL758)=1),1,0)</f>
        <v>0</v>
      </c>
      <c r="AW758" s="21">
        <f t="shared" si="109"/>
        <v>0</v>
      </c>
      <c r="AX758" s="21" t="str">
        <f t="shared" si="108"/>
        <v/>
      </c>
      <c r="AY758" s="21" t="str">
        <f>IF(AND($AM758&lt;&gt;"",$AS758&lt;&gt;"✓"),SUMPRODUCT(($AM$11:$AM758&lt;&gt;"")*($AS$11:$AS758&lt;&gt;"✓")),"")</f>
        <v/>
      </c>
      <c r="AZ758" s="21" t="str">
        <f>IF(AND($AM758&lt;&gt;"",$AS758="✓"),SUMPRODUCT(($AM$11:$AM758&lt;&gt;"")*($AS$11:$AS758="✓")),"")</f>
        <v/>
      </c>
      <c r="BA758" s="21" t="str">
        <f>IF($AL758="","",$AL758&amp;"|"&amp;COUNTIF($AL$11:$AL758,$AL758))</f>
        <v/>
      </c>
    </row>
    <row r="759" spans="23:53" ht="15" customHeight="1" x14ac:dyDescent="0.25">
      <c r="W759" s="14" t="str">
        <f>IF(X759="","",IFERROR(INDEX($AL$11:$AL$4010,MATCH(749,$AY$11:$AY$4010,0)),""))</f>
        <v/>
      </c>
      <c r="X759" s="12" t="str">
        <f>IFERROR(INDEX($AM$11:$AM$4010,MATCH(749,$AY$11:$AY$4010,0)),"")</f>
        <v/>
      </c>
      <c r="Y759" s="11" t="str">
        <f>IF(X759="","",IFERROR(INDEX($AN$11:$AN$4010,MATCH(749,$AY$11:$AY$4010,0)),""))</f>
        <v/>
      </c>
      <c r="Z759" s="11" t="str">
        <f>IF(X759="","",IFERROR(INDEX($AO$11:$AO$4010,MATCH(749,$AY$11:$AY$4010,0)),""))</f>
        <v/>
      </c>
      <c r="AA759" s="10" t="str">
        <f>IF(X759="","",IFERROR(INDEX($AQ$11:$AQ$4010,MATCH(749,$AY$11:$AY$4010,0)),""))</f>
        <v/>
      </c>
      <c r="AB759" s="15" t="str">
        <f>IF(X759="","",IFERROR(INDEX($AR$11:$AR$4010,MATCH(749,$AY$11:$AY$4010,0)),""))</f>
        <v/>
      </c>
      <c r="AD759" s="16" t="str">
        <f>IF(AE759="","",IFERROR(INDEX($AL$11:$AL$4010,MATCH(749,$AZ$11:$AZ$4010,0)),""))</f>
        <v/>
      </c>
      <c r="AE759" s="12" t="str">
        <f>IFERROR(INDEX($AM$11:$AM$4010,MATCH(749,$AZ$11:$AZ$4010,0)),"")</f>
        <v/>
      </c>
      <c r="AF759" s="11" t="str">
        <f>IF(AE759="","",IFERROR(INDEX($AN$11:$AN$4010,MATCH(749,$AZ$11:$AZ$4010,0)),""))</f>
        <v/>
      </c>
      <c r="AG759" s="11" t="str">
        <f>IF(AE759="","",IFERROR(INDEX($AO$11:$AO$4010,MATCH(749,$AZ$11:$AZ$4010,0)),""))</f>
        <v/>
      </c>
      <c r="AH759" s="10" t="str">
        <f>IF(AE759="","",IFERROR(INDEX($AQ$11:$AQ$4010,MATCH(749,$AZ$11:$AZ$4010,0)),""))</f>
        <v/>
      </c>
      <c r="AI759" s="15" t="str">
        <f>IF(AE759="","",IFERROR(INDEX($AR$11:$AR$4010,MATCH(749,$AZ$11:$AZ$4010,0)),""))</f>
        <v/>
      </c>
      <c r="AJ759" s="15" t="str">
        <f>IF(AE759="","",IFERROR(INDEX($AT$11:$AT$4010,MATCH(749,$AZ$11:$AZ$4010,0)),""))</f>
        <v/>
      </c>
      <c r="AL759" s="17"/>
      <c r="AM759" s="12"/>
      <c r="AN759" s="18"/>
      <c r="AO759" s="18"/>
      <c r="AP759" s="10"/>
      <c r="AQ759" s="10"/>
      <c r="AR759" s="19"/>
      <c r="AS759" s="20"/>
      <c r="AT759" s="19"/>
      <c r="AV759" s="21">
        <f>IF(AND($AL759&lt;&gt;"",COUNTIF($AL$11:$AL759,$AL759)=1),1,0)</f>
        <v>0</v>
      </c>
      <c r="AW759" s="21">
        <f t="shared" si="109"/>
        <v>0</v>
      </c>
      <c r="AX759" s="21" t="str">
        <f t="shared" si="108"/>
        <v/>
      </c>
      <c r="AY759" s="21" t="str">
        <f>IF(AND($AM759&lt;&gt;"",$AS759&lt;&gt;"✓"),SUMPRODUCT(($AM$11:$AM759&lt;&gt;"")*($AS$11:$AS759&lt;&gt;"✓")),"")</f>
        <v/>
      </c>
      <c r="AZ759" s="21" t="str">
        <f>IF(AND($AM759&lt;&gt;"",$AS759="✓"),SUMPRODUCT(($AM$11:$AM759&lt;&gt;"")*($AS$11:$AS759="✓")),"")</f>
        <v/>
      </c>
      <c r="BA759" s="21" t="str">
        <f>IF($AL759="","",$AL759&amp;"|"&amp;COUNTIF($AL$11:$AL759,$AL759))</f>
        <v/>
      </c>
    </row>
    <row r="760" spans="23:53" ht="15" customHeight="1" x14ac:dyDescent="0.25">
      <c r="W760" s="28" t="str">
        <f>IF(X760="","",IFERROR(INDEX($AL$11:$AL$4010,MATCH(750,$AY$11:$AY$4010,0)),""))</f>
        <v/>
      </c>
      <c r="X760" s="26" t="str">
        <f>IFERROR(INDEX($AM$11:$AM$4010,MATCH(750,$AY$11:$AY$4010,0)),"")</f>
        <v/>
      </c>
      <c r="Y760" s="25" t="str">
        <f>IF(X760="","",IFERROR(INDEX($AN$11:$AN$4010,MATCH(750,$AY$11:$AY$4010,0)),""))</f>
        <v/>
      </c>
      <c r="Z760" s="25" t="str">
        <f>IF(X760="","",IFERROR(INDEX($AO$11:$AO$4010,MATCH(750,$AY$11:$AY$4010,0)),""))</f>
        <v/>
      </c>
      <c r="AA760" s="24" t="str">
        <f>IF(X760="","",IFERROR(INDEX($AQ$11:$AQ$4010,MATCH(750,$AY$11:$AY$4010,0)),""))</f>
        <v/>
      </c>
      <c r="AB760" s="29" t="str">
        <f>IF(X760="","",IFERROR(INDEX($AR$11:$AR$4010,MATCH(750,$AY$11:$AY$4010,0)),""))</f>
        <v/>
      </c>
      <c r="AD760" s="30" t="str">
        <f>IF(AE760="","",IFERROR(INDEX($AL$11:$AL$4010,MATCH(750,$AZ$11:$AZ$4010,0)),""))</f>
        <v/>
      </c>
      <c r="AE760" s="26" t="str">
        <f>IFERROR(INDEX($AM$11:$AM$4010,MATCH(750,$AZ$11:$AZ$4010,0)),"")</f>
        <v/>
      </c>
      <c r="AF760" s="25" t="str">
        <f>IF(AE760="","",IFERROR(INDEX($AN$11:$AN$4010,MATCH(750,$AZ$11:$AZ$4010,0)),""))</f>
        <v/>
      </c>
      <c r="AG760" s="25" t="str">
        <f>IF(AE760="","",IFERROR(INDEX($AO$11:$AO$4010,MATCH(750,$AZ$11:$AZ$4010,0)),""))</f>
        <v/>
      </c>
      <c r="AH760" s="24" t="str">
        <f>IF(AE760="","",IFERROR(INDEX($AQ$11:$AQ$4010,MATCH(750,$AZ$11:$AZ$4010,0)),""))</f>
        <v/>
      </c>
      <c r="AI760" s="29" t="str">
        <f>IF(AE760="","",IFERROR(INDEX($AR$11:$AR$4010,MATCH(750,$AZ$11:$AZ$4010,0)),""))</f>
        <v/>
      </c>
      <c r="AJ760" s="29" t="str">
        <f>IF(AE760="","",IFERROR(INDEX($AT$11:$AT$4010,MATCH(750,$AZ$11:$AZ$4010,0)),""))</f>
        <v/>
      </c>
      <c r="AL760" s="31"/>
      <c r="AM760" s="26"/>
      <c r="AN760" s="32"/>
      <c r="AO760" s="32"/>
      <c r="AP760" s="24"/>
      <c r="AQ760" s="24"/>
      <c r="AR760" s="33"/>
      <c r="AS760" s="34"/>
      <c r="AT760" s="33"/>
      <c r="AV760" s="21">
        <f>IF(AND($AL760&lt;&gt;"",COUNTIF($AL$11:$AL760,$AL760)=1),1,0)</f>
        <v>0</v>
      </c>
      <c r="AW760" s="21">
        <f t="shared" si="109"/>
        <v>0</v>
      </c>
      <c r="AX760" s="21" t="str">
        <f t="shared" si="108"/>
        <v/>
      </c>
      <c r="AY760" s="21" t="str">
        <f>IF(AND($AM760&lt;&gt;"",$AS760&lt;&gt;"✓"),SUMPRODUCT(($AM$11:$AM760&lt;&gt;"")*($AS$11:$AS760&lt;&gt;"✓")),"")</f>
        <v/>
      </c>
      <c r="AZ760" s="21" t="str">
        <f>IF(AND($AM760&lt;&gt;"",$AS760="✓"),SUMPRODUCT(($AM$11:$AM760&lt;&gt;"")*($AS$11:$AS760="✓")),"")</f>
        <v/>
      </c>
      <c r="BA760" s="21" t="str">
        <f>IF($AL760="","",$AL760&amp;"|"&amp;COUNTIF($AL$11:$AL760,$AL760))</f>
        <v/>
      </c>
    </row>
    <row r="761" spans="23:53" ht="15" customHeight="1" x14ac:dyDescent="0.25">
      <c r="W761" s="14" t="str">
        <f>IF(X761="","",IFERROR(INDEX($AL$11:$AL$4010,MATCH(751,$AY$11:$AY$4010,0)),""))</f>
        <v/>
      </c>
      <c r="X761" s="12" t="str">
        <f>IFERROR(INDEX($AM$11:$AM$4010,MATCH(751,$AY$11:$AY$4010,0)),"")</f>
        <v/>
      </c>
      <c r="Y761" s="11" t="str">
        <f>IF(X761="","",IFERROR(INDEX($AN$11:$AN$4010,MATCH(751,$AY$11:$AY$4010,0)),""))</f>
        <v/>
      </c>
      <c r="Z761" s="11" t="str">
        <f>IF(X761="","",IFERROR(INDEX($AO$11:$AO$4010,MATCH(751,$AY$11:$AY$4010,0)),""))</f>
        <v/>
      </c>
      <c r="AA761" s="10" t="str">
        <f>IF(X761="","",IFERROR(INDEX($AQ$11:$AQ$4010,MATCH(751,$AY$11:$AY$4010,0)),""))</f>
        <v/>
      </c>
      <c r="AB761" s="15" t="str">
        <f>IF(X761="","",IFERROR(INDEX($AR$11:$AR$4010,MATCH(751,$AY$11:$AY$4010,0)),""))</f>
        <v/>
      </c>
      <c r="AD761" s="16" t="str">
        <f>IF(AE761="","",IFERROR(INDEX($AL$11:$AL$4010,MATCH(751,$AZ$11:$AZ$4010,0)),""))</f>
        <v/>
      </c>
      <c r="AE761" s="12" t="str">
        <f>IFERROR(INDEX($AM$11:$AM$4010,MATCH(751,$AZ$11:$AZ$4010,0)),"")</f>
        <v/>
      </c>
      <c r="AF761" s="11" t="str">
        <f>IF(AE761="","",IFERROR(INDEX($AN$11:$AN$4010,MATCH(751,$AZ$11:$AZ$4010,0)),""))</f>
        <v/>
      </c>
      <c r="AG761" s="11" t="str">
        <f>IF(AE761="","",IFERROR(INDEX($AO$11:$AO$4010,MATCH(751,$AZ$11:$AZ$4010,0)),""))</f>
        <v/>
      </c>
      <c r="AH761" s="10" t="str">
        <f>IF(AE761="","",IFERROR(INDEX($AQ$11:$AQ$4010,MATCH(751,$AZ$11:$AZ$4010,0)),""))</f>
        <v/>
      </c>
      <c r="AI761" s="15" t="str">
        <f>IF(AE761="","",IFERROR(INDEX($AR$11:$AR$4010,MATCH(751,$AZ$11:$AZ$4010,0)),""))</f>
        <v/>
      </c>
      <c r="AJ761" s="15" t="str">
        <f>IF(AE761="","",IFERROR(INDEX($AT$11:$AT$4010,MATCH(751,$AZ$11:$AZ$4010,0)),""))</f>
        <v/>
      </c>
      <c r="AL761" s="17"/>
      <c r="AM761" s="12"/>
      <c r="AN761" s="18"/>
      <c r="AO761" s="18"/>
      <c r="AP761" s="10"/>
      <c r="AQ761" s="10"/>
      <c r="AR761" s="19"/>
      <c r="AS761" s="20"/>
      <c r="AT761" s="19"/>
      <c r="AV761" s="21">
        <f>IF(AND($AL761&lt;&gt;"",COUNTIF($AL$11:$AL761,$AL761)=1),1,0)</f>
        <v>0</v>
      </c>
      <c r="AW761" s="21">
        <f t="shared" si="109"/>
        <v>0</v>
      </c>
      <c r="AX761" s="21" t="str">
        <f t="shared" si="108"/>
        <v/>
      </c>
      <c r="AY761" s="21" t="str">
        <f>IF(AND($AM761&lt;&gt;"",$AS761&lt;&gt;"✓"),SUMPRODUCT(($AM$11:$AM761&lt;&gt;"")*($AS$11:$AS761&lt;&gt;"✓")),"")</f>
        <v/>
      </c>
      <c r="AZ761" s="21" t="str">
        <f>IF(AND($AM761&lt;&gt;"",$AS761="✓"),SUMPRODUCT(($AM$11:$AM761&lt;&gt;"")*($AS$11:$AS761="✓")),"")</f>
        <v/>
      </c>
      <c r="BA761" s="21" t="str">
        <f>IF($AL761="","",$AL761&amp;"|"&amp;COUNTIF($AL$11:$AL761,$AL761))</f>
        <v/>
      </c>
    </row>
    <row r="762" spans="23:53" ht="15" customHeight="1" x14ac:dyDescent="0.25">
      <c r="W762" s="28" t="str">
        <f>IF(X762="","",IFERROR(INDEX($AL$11:$AL$4010,MATCH(752,$AY$11:$AY$4010,0)),""))</f>
        <v/>
      </c>
      <c r="X762" s="26" t="str">
        <f>IFERROR(INDEX($AM$11:$AM$4010,MATCH(752,$AY$11:$AY$4010,0)),"")</f>
        <v/>
      </c>
      <c r="Y762" s="25" t="str">
        <f>IF(X762="","",IFERROR(INDEX($AN$11:$AN$4010,MATCH(752,$AY$11:$AY$4010,0)),""))</f>
        <v/>
      </c>
      <c r="Z762" s="25" t="str">
        <f>IF(X762="","",IFERROR(INDEX($AO$11:$AO$4010,MATCH(752,$AY$11:$AY$4010,0)),""))</f>
        <v/>
      </c>
      <c r="AA762" s="24" t="str">
        <f>IF(X762="","",IFERROR(INDEX($AQ$11:$AQ$4010,MATCH(752,$AY$11:$AY$4010,0)),""))</f>
        <v/>
      </c>
      <c r="AB762" s="29" t="str">
        <f>IF(X762="","",IFERROR(INDEX($AR$11:$AR$4010,MATCH(752,$AY$11:$AY$4010,0)),""))</f>
        <v/>
      </c>
      <c r="AD762" s="30" t="str">
        <f>IF(AE762="","",IFERROR(INDEX($AL$11:$AL$4010,MATCH(752,$AZ$11:$AZ$4010,0)),""))</f>
        <v/>
      </c>
      <c r="AE762" s="26" t="str">
        <f>IFERROR(INDEX($AM$11:$AM$4010,MATCH(752,$AZ$11:$AZ$4010,0)),"")</f>
        <v/>
      </c>
      <c r="AF762" s="25" t="str">
        <f>IF(AE762="","",IFERROR(INDEX($AN$11:$AN$4010,MATCH(752,$AZ$11:$AZ$4010,0)),""))</f>
        <v/>
      </c>
      <c r="AG762" s="25" t="str">
        <f>IF(AE762="","",IFERROR(INDEX($AO$11:$AO$4010,MATCH(752,$AZ$11:$AZ$4010,0)),""))</f>
        <v/>
      </c>
      <c r="AH762" s="24" t="str">
        <f>IF(AE762="","",IFERROR(INDEX($AQ$11:$AQ$4010,MATCH(752,$AZ$11:$AZ$4010,0)),""))</f>
        <v/>
      </c>
      <c r="AI762" s="29" t="str">
        <f>IF(AE762="","",IFERROR(INDEX($AR$11:$AR$4010,MATCH(752,$AZ$11:$AZ$4010,0)),""))</f>
        <v/>
      </c>
      <c r="AJ762" s="29" t="str">
        <f>IF(AE762="","",IFERROR(INDEX($AT$11:$AT$4010,MATCH(752,$AZ$11:$AZ$4010,0)),""))</f>
        <v/>
      </c>
      <c r="AL762" s="31"/>
      <c r="AM762" s="26"/>
      <c r="AN762" s="32"/>
      <c r="AO762" s="32"/>
      <c r="AP762" s="24"/>
      <c r="AQ762" s="24"/>
      <c r="AR762" s="33"/>
      <c r="AS762" s="34"/>
      <c r="AT762" s="33"/>
      <c r="AV762" s="21">
        <f>IF(AND($AL762&lt;&gt;"",COUNTIF($AL$11:$AL762,$AL762)=1),1,0)</f>
        <v>0</v>
      </c>
      <c r="AW762" s="21">
        <f t="shared" si="109"/>
        <v>0</v>
      </c>
      <c r="AX762" s="21" t="str">
        <f t="shared" si="108"/>
        <v/>
      </c>
      <c r="AY762" s="21" t="str">
        <f>IF(AND($AM762&lt;&gt;"",$AS762&lt;&gt;"✓"),SUMPRODUCT(($AM$11:$AM762&lt;&gt;"")*($AS$11:$AS762&lt;&gt;"✓")),"")</f>
        <v/>
      </c>
      <c r="AZ762" s="21" t="str">
        <f>IF(AND($AM762&lt;&gt;"",$AS762="✓"),SUMPRODUCT(($AM$11:$AM762&lt;&gt;"")*($AS$11:$AS762="✓")),"")</f>
        <v/>
      </c>
      <c r="BA762" s="21" t="str">
        <f>IF($AL762="","",$AL762&amp;"|"&amp;COUNTIF($AL$11:$AL762,$AL762))</f>
        <v/>
      </c>
    </row>
    <row r="763" spans="23:53" ht="15" customHeight="1" x14ac:dyDescent="0.25">
      <c r="W763" s="14" t="str">
        <f>IF(X763="","",IFERROR(INDEX($AL$11:$AL$4010,MATCH(753,$AY$11:$AY$4010,0)),""))</f>
        <v/>
      </c>
      <c r="X763" s="12" t="str">
        <f>IFERROR(INDEX($AM$11:$AM$4010,MATCH(753,$AY$11:$AY$4010,0)),"")</f>
        <v/>
      </c>
      <c r="Y763" s="11" t="str">
        <f>IF(X763="","",IFERROR(INDEX($AN$11:$AN$4010,MATCH(753,$AY$11:$AY$4010,0)),""))</f>
        <v/>
      </c>
      <c r="Z763" s="11" t="str">
        <f>IF(X763="","",IFERROR(INDEX($AO$11:$AO$4010,MATCH(753,$AY$11:$AY$4010,0)),""))</f>
        <v/>
      </c>
      <c r="AA763" s="10" t="str">
        <f>IF(X763="","",IFERROR(INDEX($AQ$11:$AQ$4010,MATCH(753,$AY$11:$AY$4010,0)),""))</f>
        <v/>
      </c>
      <c r="AB763" s="15" t="str">
        <f>IF(X763="","",IFERROR(INDEX($AR$11:$AR$4010,MATCH(753,$AY$11:$AY$4010,0)),""))</f>
        <v/>
      </c>
      <c r="AD763" s="16" t="str">
        <f>IF(AE763="","",IFERROR(INDEX($AL$11:$AL$4010,MATCH(753,$AZ$11:$AZ$4010,0)),""))</f>
        <v/>
      </c>
      <c r="AE763" s="12" t="str">
        <f>IFERROR(INDEX($AM$11:$AM$4010,MATCH(753,$AZ$11:$AZ$4010,0)),"")</f>
        <v/>
      </c>
      <c r="AF763" s="11" t="str">
        <f>IF(AE763="","",IFERROR(INDEX($AN$11:$AN$4010,MATCH(753,$AZ$11:$AZ$4010,0)),""))</f>
        <v/>
      </c>
      <c r="AG763" s="11" t="str">
        <f>IF(AE763="","",IFERROR(INDEX($AO$11:$AO$4010,MATCH(753,$AZ$11:$AZ$4010,0)),""))</f>
        <v/>
      </c>
      <c r="AH763" s="10" t="str">
        <f>IF(AE763="","",IFERROR(INDEX($AQ$11:$AQ$4010,MATCH(753,$AZ$11:$AZ$4010,0)),""))</f>
        <v/>
      </c>
      <c r="AI763" s="15" t="str">
        <f>IF(AE763="","",IFERROR(INDEX($AR$11:$AR$4010,MATCH(753,$AZ$11:$AZ$4010,0)),""))</f>
        <v/>
      </c>
      <c r="AJ763" s="15" t="str">
        <f>IF(AE763="","",IFERROR(INDEX($AT$11:$AT$4010,MATCH(753,$AZ$11:$AZ$4010,0)),""))</f>
        <v/>
      </c>
      <c r="AL763" s="17"/>
      <c r="AM763" s="12"/>
      <c r="AN763" s="18"/>
      <c r="AO763" s="18"/>
      <c r="AP763" s="10"/>
      <c r="AQ763" s="10"/>
      <c r="AR763" s="19"/>
      <c r="AS763" s="20"/>
      <c r="AT763" s="19"/>
      <c r="AV763" s="21">
        <f>IF(AND($AL763&lt;&gt;"",COUNTIF($AL$11:$AL763,$AL763)=1),1,0)</f>
        <v>0</v>
      </c>
      <c r="AW763" s="21">
        <f t="shared" si="109"/>
        <v>0</v>
      </c>
      <c r="AX763" s="21" t="str">
        <f t="shared" si="108"/>
        <v/>
      </c>
      <c r="AY763" s="21" t="str">
        <f>IF(AND($AM763&lt;&gt;"",$AS763&lt;&gt;"✓"),SUMPRODUCT(($AM$11:$AM763&lt;&gt;"")*($AS$11:$AS763&lt;&gt;"✓")),"")</f>
        <v/>
      </c>
      <c r="AZ763" s="21" t="str">
        <f>IF(AND($AM763&lt;&gt;"",$AS763="✓"),SUMPRODUCT(($AM$11:$AM763&lt;&gt;"")*($AS$11:$AS763="✓")),"")</f>
        <v/>
      </c>
      <c r="BA763" s="21" t="str">
        <f>IF($AL763="","",$AL763&amp;"|"&amp;COUNTIF($AL$11:$AL763,$AL763))</f>
        <v/>
      </c>
    </row>
    <row r="764" spans="23:53" ht="15" customHeight="1" x14ac:dyDescent="0.25">
      <c r="W764" s="28" t="str">
        <f>IF(X764="","",IFERROR(INDEX($AL$11:$AL$4010,MATCH(754,$AY$11:$AY$4010,0)),""))</f>
        <v/>
      </c>
      <c r="X764" s="26" t="str">
        <f>IFERROR(INDEX($AM$11:$AM$4010,MATCH(754,$AY$11:$AY$4010,0)),"")</f>
        <v/>
      </c>
      <c r="Y764" s="25" t="str">
        <f>IF(X764="","",IFERROR(INDEX($AN$11:$AN$4010,MATCH(754,$AY$11:$AY$4010,0)),""))</f>
        <v/>
      </c>
      <c r="Z764" s="25" t="str">
        <f>IF(X764="","",IFERROR(INDEX($AO$11:$AO$4010,MATCH(754,$AY$11:$AY$4010,0)),""))</f>
        <v/>
      </c>
      <c r="AA764" s="24" t="str">
        <f>IF(X764="","",IFERROR(INDEX($AQ$11:$AQ$4010,MATCH(754,$AY$11:$AY$4010,0)),""))</f>
        <v/>
      </c>
      <c r="AB764" s="29" t="str">
        <f>IF(X764="","",IFERROR(INDEX($AR$11:$AR$4010,MATCH(754,$AY$11:$AY$4010,0)),""))</f>
        <v/>
      </c>
      <c r="AD764" s="30" t="str">
        <f>IF(AE764="","",IFERROR(INDEX($AL$11:$AL$4010,MATCH(754,$AZ$11:$AZ$4010,0)),""))</f>
        <v/>
      </c>
      <c r="AE764" s="26" t="str">
        <f>IFERROR(INDEX($AM$11:$AM$4010,MATCH(754,$AZ$11:$AZ$4010,0)),"")</f>
        <v/>
      </c>
      <c r="AF764" s="25" t="str">
        <f>IF(AE764="","",IFERROR(INDEX($AN$11:$AN$4010,MATCH(754,$AZ$11:$AZ$4010,0)),""))</f>
        <v/>
      </c>
      <c r="AG764" s="25" t="str">
        <f>IF(AE764="","",IFERROR(INDEX($AO$11:$AO$4010,MATCH(754,$AZ$11:$AZ$4010,0)),""))</f>
        <v/>
      </c>
      <c r="AH764" s="24" t="str">
        <f>IF(AE764="","",IFERROR(INDEX($AQ$11:$AQ$4010,MATCH(754,$AZ$11:$AZ$4010,0)),""))</f>
        <v/>
      </c>
      <c r="AI764" s="29" t="str">
        <f>IF(AE764="","",IFERROR(INDEX($AR$11:$AR$4010,MATCH(754,$AZ$11:$AZ$4010,0)),""))</f>
        <v/>
      </c>
      <c r="AJ764" s="29" t="str">
        <f>IF(AE764="","",IFERROR(INDEX($AT$11:$AT$4010,MATCH(754,$AZ$11:$AZ$4010,0)),""))</f>
        <v/>
      </c>
      <c r="AL764" s="31"/>
      <c r="AM764" s="26"/>
      <c r="AN764" s="32"/>
      <c r="AO764" s="32"/>
      <c r="AP764" s="24"/>
      <c r="AQ764" s="24"/>
      <c r="AR764" s="33"/>
      <c r="AS764" s="34"/>
      <c r="AT764" s="33"/>
      <c r="AV764" s="21">
        <f>IF(AND($AL764&lt;&gt;"",COUNTIF($AL$11:$AL764,$AL764)=1),1,0)</f>
        <v>0</v>
      </c>
      <c r="AW764" s="21">
        <f t="shared" si="109"/>
        <v>0</v>
      </c>
      <c r="AX764" s="21" t="str">
        <f t="shared" si="108"/>
        <v/>
      </c>
      <c r="AY764" s="21" t="str">
        <f>IF(AND($AM764&lt;&gt;"",$AS764&lt;&gt;"✓"),SUMPRODUCT(($AM$11:$AM764&lt;&gt;"")*($AS$11:$AS764&lt;&gt;"✓")),"")</f>
        <v/>
      </c>
      <c r="AZ764" s="21" t="str">
        <f>IF(AND($AM764&lt;&gt;"",$AS764="✓"),SUMPRODUCT(($AM$11:$AM764&lt;&gt;"")*($AS$11:$AS764="✓")),"")</f>
        <v/>
      </c>
      <c r="BA764" s="21" t="str">
        <f>IF($AL764="","",$AL764&amp;"|"&amp;COUNTIF($AL$11:$AL764,$AL764))</f>
        <v/>
      </c>
    </row>
    <row r="765" spans="23:53" ht="15" customHeight="1" x14ac:dyDescent="0.25">
      <c r="W765" s="14" t="str">
        <f>IF(X765="","",IFERROR(INDEX($AL$11:$AL$4010,MATCH(755,$AY$11:$AY$4010,0)),""))</f>
        <v/>
      </c>
      <c r="X765" s="12" t="str">
        <f>IFERROR(INDEX($AM$11:$AM$4010,MATCH(755,$AY$11:$AY$4010,0)),"")</f>
        <v/>
      </c>
      <c r="Y765" s="11" t="str">
        <f>IF(X765="","",IFERROR(INDEX($AN$11:$AN$4010,MATCH(755,$AY$11:$AY$4010,0)),""))</f>
        <v/>
      </c>
      <c r="Z765" s="11" t="str">
        <f>IF(X765="","",IFERROR(INDEX($AO$11:$AO$4010,MATCH(755,$AY$11:$AY$4010,0)),""))</f>
        <v/>
      </c>
      <c r="AA765" s="10" t="str">
        <f>IF(X765="","",IFERROR(INDEX($AQ$11:$AQ$4010,MATCH(755,$AY$11:$AY$4010,0)),""))</f>
        <v/>
      </c>
      <c r="AB765" s="15" t="str">
        <f>IF(X765="","",IFERROR(INDEX($AR$11:$AR$4010,MATCH(755,$AY$11:$AY$4010,0)),""))</f>
        <v/>
      </c>
      <c r="AD765" s="16" t="str">
        <f>IF(AE765="","",IFERROR(INDEX($AL$11:$AL$4010,MATCH(755,$AZ$11:$AZ$4010,0)),""))</f>
        <v/>
      </c>
      <c r="AE765" s="12" t="str">
        <f>IFERROR(INDEX($AM$11:$AM$4010,MATCH(755,$AZ$11:$AZ$4010,0)),"")</f>
        <v/>
      </c>
      <c r="AF765" s="11" t="str">
        <f>IF(AE765="","",IFERROR(INDEX($AN$11:$AN$4010,MATCH(755,$AZ$11:$AZ$4010,0)),""))</f>
        <v/>
      </c>
      <c r="AG765" s="11" t="str">
        <f>IF(AE765="","",IFERROR(INDEX($AO$11:$AO$4010,MATCH(755,$AZ$11:$AZ$4010,0)),""))</f>
        <v/>
      </c>
      <c r="AH765" s="10" t="str">
        <f>IF(AE765="","",IFERROR(INDEX($AQ$11:$AQ$4010,MATCH(755,$AZ$11:$AZ$4010,0)),""))</f>
        <v/>
      </c>
      <c r="AI765" s="15" t="str">
        <f>IF(AE765="","",IFERROR(INDEX($AR$11:$AR$4010,MATCH(755,$AZ$11:$AZ$4010,0)),""))</f>
        <v/>
      </c>
      <c r="AJ765" s="15" t="str">
        <f>IF(AE765="","",IFERROR(INDEX($AT$11:$AT$4010,MATCH(755,$AZ$11:$AZ$4010,0)),""))</f>
        <v/>
      </c>
      <c r="AL765" s="17"/>
      <c r="AM765" s="12"/>
      <c r="AN765" s="18"/>
      <c r="AO765" s="18"/>
      <c r="AP765" s="10"/>
      <c r="AQ765" s="10"/>
      <c r="AR765" s="19"/>
      <c r="AS765" s="20"/>
      <c r="AT765" s="19"/>
      <c r="AV765" s="21">
        <f>IF(AND($AL765&lt;&gt;"",COUNTIF($AL$11:$AL765,$AL765)=1),1,0)</f>
        <v>0</v>
      </c>
      <c r="AW765" s="21">
        <f t="shared" si="109"/>
        <v>0</v>
      </c>
      <c r="AX765" s="21" t="str">
        <f t="shared" si="108"/>
        <v/>
      </c>
      <c r="AY765" s="21" t="str">
        <f>IF(AND($AM765&lt;&gt;"",$AS765&lt;&gt;"✓"),SUMPRODUCT(($AM$11:$AM765&lt;&gt;"")*($AS$11:$AS765&lt;&gt;"✓")),"")</f>
        <v/>
      </c>
      <c r="AZ765" s="21" t="str">
        <f>IF(AND($AM765&lt;&gt;"",$AS765="✓"),SUMPRODUCT(($AM$11:$AM765&lt;&gt;"")*($AS$11:$AS765="✓")),"")</f>
        <v/>
      </c>
      <c r="BA765" s="21" t="str">
        <f>IF($AL765="","",$AL765&amp;"|"&amp;COUNTIF($AL$11:$AL765,$AL765))</f>
        <v/>
      </c>
    </row>
    <row r="766" spans="23:53" ht="15" customHeight="1" x14ac:dyDescent="0.25">
      <c r="W766" s="28" t="str">
        <f>IF(X766="","",IFERROR(INDEX($AL$11:$AL$4010,MATCH(756,$AY$11:$AY$4010,0)),""))</f>
        <v/>
      </c>
      <c r="X766" s="26" t="str">
        <f>IFERROR(INDEX($AM$11:$AM$4010,MATCH(756,$AY$11:$AY$4010,0)),"")</f>
        <v/>
      </c>
      <c r="Y766" s="25" t="str">
        <f>IF(X766="","",IFERROR(INDEX($AN$11:$AN$4010,MATCH(756,$AY$11:$AY$4010,0)),""))</f>
        <v/>
      </c>
      <c r="Z766" s="25" t="str">
        <f>IF(X766="","",IFERROR(INDEX($AO$11:$AO$4010,MATCH(756,$AY$11:$AY$4010,0)),""))</f>
        <v/>
      </c>
      <c r="AA766" s="24" t="str">
        <f>IF(X766="","",IFERROR(INDEX($AQ$11:$AQ$4010,MATCH(756,$AY$11:$AY$4010,0)),""))</f>
        <v/>
      </c>
      <c r="AB766" s="29" t="str">
        <f>IF(X766="","",IFERROR(INDEX($AR$11:$AR$4010,MATCH(756,$AY$11:$AY$4010,0)),""))</f>
        <v/>
      </c>
      <c r="AD766" s="30" t="str">
        <f>IF(AE766="","",IFERROR(INDEX($AL$11:$AL$4010,MATCH(756,$AZ$11:$AZ$4010,0)),""))</f>
        <v/>
      </c>
      <c r="AE766" s="26" t="str">
        <f>IFERROR(INDEX($AM$11:$AM$4010,MATCH(756,$AZ$11:$AZ$4010,0)),"")</f>
        <v/>
      </c>
      <c r="AF766" s="25" t="str">
        <f>IF(AE766="","",IFERROR(INDEX($AN$11:$AN$4010,MATCH(756,$AZ$11:$AZ$4010,0)),""))</f>
        <v/>
      </c>
      <c r="AG766" s="25" t="str">
        <f>IF(AE766="","",IFERROR(INDEX($AO$11:$AO$4010,MATCH(756,$AZ$11:$AZ$4010,0)),""))</f>
        <v/>
      </c>
      <c r="AH766" s="24" t="str">
        <f>IF(AE766="","",IFERROR(INDEX($AQ$11:$AQ$4010,MATCH(756,$AZ$11:$AZ$4010,0)),""))</f>
        <v/>
      </c>
      <c r="AI766" s="29" t="str">
        <f>IF(AE766="","",IFERROR(INDEX($AR$11:$AR$4010,MATCH(756,$AZ$11:$AZ$4010,0)),""))</f>
        <v/>
      </c>
      <c r="AJ766" s="29" t="str">
        <f>IF(AE766="","",IFERROR(INDEX($AT$11:$AT$4010,MATCH(756,$AZ$11:$AZ$4010,0)),""))</f>
        <v/>
      </c>
      <c r="AL766" s="31"/>
      <c r="AM766" s="26"/>
      <c r="AN766" s="32"/>
      <c r="AO766" s="32"/>
      <c r="AP766" s="24"/>
      <c r="AQ766" s="24"/>
      <c r="AR766" s="33"/>
      <c r="AS766" s="34"/>
      <c r="AT766" s="33"/>
      <c r="AV766" s="21">
        <f>IF(AND($AL766&lt;&gt;"",COUNTIF($AL$11:$AL766,$AL766)=1),1,0)</f>
        <v>0</v>
      </c>
      <c r="AW766" s="21">
        <f t="shared" si="109"/>
        <v>0</v>
      </c>
      <c r="AX766" s="21" t="str">
        <f t="shared" si="108"/>
        <v/>
      </c>
      <c r="AY766" s="21" t="str">
        <f>IF(AND($AM766&lt;&gt;"",$AS766&lt;&gt;"✓"),SUMPRODUCT(($AM$11:$AM766&lt;&gt;"")*($AS$11:$AS766&lt;&gt;"✓")),"")</f>
        <v/>
      </c>
      <c r="AZ766" s="21" t="str">
        <f>IF(AND($AM766&lt;&gt;"",$AS766="✓"),SUMPRODUCT(($AM$11:$AM766&lt;&gt;"")*($AS$11:$AS766="✓")),"")</f>
        <v/>
      </c>
      <c r="BA766" s="21" t="str">
        <f>IF($AL766="","",$AL766&amp;"|"&amp;COUNTIF($AL$11:$AL766,$AL766))</f>
        <v/>
      </c>
    </row>
    <row r="767" spans="23:53" ht="15" customHeight="1" x14ac:dyDescent="0.25">
      <c r="W767" s="14" t="str">
        <f>IF(X767="","",IFERROR(INDEX($AL$11:$AL$4010,MATCH(757,$AY$11:$AY$4010,0)),""))</f>
        <v/>
      </c>
      <c r="X767" s="12" t="str">
        <f>IFERROR(INDEX($AM$11:$AM$4010,MATCH(757,$AY$11:$AY$4010,0)),"")</f>
        <v/>
      </c>
      <c r="Y767" s="11" t="str">
        <f>IF(X767="","",IFERROR(INDEX($AN$11:$AN$4010,MATCH(757,$AY$11:$AY$4010,0)),""))</f>
        <v/>
      </c>
      <c r="Z767" s="11" t="str">
        <f>IF(X767="","",IFERROR(INDEX($AO$11:$AO$4010,MATCH(757,$AY$11:$AY$4010,0)),""))</f>
        <v/>
      </c>
      <c r="AA767" s="10" t="str">
        <f>IF(X767="","",IFERROR(INDEX($AQ$11:$AQ$4010,MATCH(757,$AY$11:$AY$4010,0)),""))</f>
        <v/>
      </c>
      <c r="AB767" s="15" t="str">
        <f>IF(X767="","",IFERROR(INDEX($AR$11:$AR$4010,MATCH(757,$AY$11:$AY$4010,0)),""))</f>
        <v/>
      </c>
      <c r="AD767" s="16" t="str">
        <f>IF(AE767="","",IFERROR(INDEX($AL$11:$AL$4010,MATCH(757,$AZ$11:$AZ$4010,0)),""))</f>
        <v/>
      </c>
      <c r="AE767" s="12" t="str">
        <f>IFERROR(INDEX($AM$11:$AM$4010,MATCH(757,$AZ$11:$AZ$4010,0)),"")</f>
        <v/>
      </c>
      <c r="AF767" s="11" t="str">
        <f>IF(AE767="","",IFERROR(INDEX($AN$11:$AN$4010,MATCH(757,$AZ$11:$AZ$4010,0)),""))</f>
        <v/>
      </c>
      <c r="AG767" s="11" t="str">
        <f>IF(AE767="","",IFERROR(INDEX($AO$11:$AO$4010,MATCH(757,$AZ$11:$AZ$4010,0)),""))</f>
        <v/>
      </c>
      <c r="AH767" s="10" t="str">
        <f>IF(AE767="","",IFERROR(INDEX($AQ$11:$AQ$4010,MATCH(757,$AZ$11:$AZ$4010,0)),""))</f>
        <v/>
      </c>
      <c r="AI767" s="15" t="str">
        <f>IF(AE767="","",IFERROR(INDEX($AR$11:$AR$4010,MATCH(757,$AZ$11:$AZ$4010,0)),""))</f>
        <v/>
      </c>
      <c r="AJ767" s="15" t="str">
        <f>IF(AE767="","",IFERROR(INDEX($AT$11:$AT$4010,MATCH(757,$AZ$11:$AZ$4010,0)),""))</f>
        <v/>
      </c>
      <c r="AL767" s="17"/>
      <c r="AM767" s="12"/>
      <c r="AN767" s="18"/>
      <c r="AO767" s="18"/>
      <c r="AP767" s="10"/>
      <c r="AQ767" s="10"/>
      <c r="AR767" s="19"/>
      <c r="AS767" s="20"/>
      <c r="AT767" s="19"/>
      <c r="AV767" s="21">
        <f>IF(AND($AL767&lt;&gt;"",COUNTIF($AL$11:$AL767,$AL767)=1),1,0)</f>
        <v>0</v>
      </c>
      <c r="AW767" s="21">
        <f t="shared" si="109"/>
        <v>0</v>
      </c>
      <c r="AX767" s="21" t="str">
        <f t="shared" si="108"/>
        <v/>
      </c>
      <c r="AY767" s="21" t="str">
        <f>IF(AND($AM767&lt;&gt;"",$AS767&lt;&gt;"✓"),SUMPRODUCT(($AM$11:$AM767&lt;&gt;"")*($AS$11:$AS767&lt;&gt;"✓")),"")</f>
        <v/>
      </c>
      <c r="AZ767" s="21" t="str">
        <f>IF(AND($AM767&lt;&gt;"",$AS767="✓"),SUMPRODUCT(($AM$11:$AM767&lt;&gt;"")*($AS$11:$AS767="✓")),"")</f>
        <v/>
      </c>
      <c r="BA767" s="21" t="str">
        <f>IF($AL767="","",$AL767&amp;"|"&amp;COUNTIF($AL$11:$AL767,$AL767))</f>
        <v/>
      </c>
    </row>
    <row r="768" spans="23:53" ht="15" customHeight="1" x14ac:dyDescent="0.25">
      <c r="W768" s="28" t="str">
        <f>IF(X768="","",IFERROR(INDEX($AL$11:$AL$4010,MATCH(758,$AY$11:$AY$4010,0)),""))</f>
        <v/>
      </c>
      <c r="X768" s="26" t="str">
        <f>IFERROR(INDEX($AM$11:$AM$4010,MATCH(758,$AY$11:$AY$4010,0)),"")</f>
        <v/>
      </c>
      <c r="Y768" s="25" t="str">
        <f>IF(X768="","",IFERROR(INDEX($AN$11:$AN$4010,MATCH(758,$AY$11:$AY$4010,0)),""))</f>
        <v/>
      </c>
      <c r="Z768" s="25" t="str">
        <f>IF(X768="","",IFERROR(INDEX($AO$11:$AO$4010,MATCH(758,$AY$11:$AY$4010,0)),""))</f>
        <v/>
      </c>
      <c r="AA768" s="24" t="str">
        <f>IF(X768="","",IFERROR(INDEX($AQ$11:$AQ$4010,MATCH(758,$AY$11:$AY$4010,0)),""))</f>
        <v/>
      </c>
      <c r="AB768" s="29" t="str">
        <f>IF(X768="","",IFERROR(INDEX($AR$11:$AR$4010,MATCH(758,$AY$11:$AY$4010,0)),""))</f>
        <v/>
      </c>
      <c r="AD768" s="30" t="str">
        <f>IF(AE768="","",IFERROR(INDEX($AL$11:$AL$4010,MATCH(758,$AZ$11:$AZ$4010,0)),""))</f>
        <v/>
      </c>
      <c r="AE768" s="26" t="str">
        <f>IFERROR(INDEX($AM$11:$AM$4010,MATCH(758,$AZ$11:$AZ$4010,0)),"")</f>
        <v/>
      </c>
      <c r="AF768" s="25" t="str">
        <f>IF(AE768="","",IFERROR(INDEX($AN$11:$AN$4010,MATCH(758,$AZ$11:$AZ$4010,0)),""))</f>
        <v/>
      </c>
      <c r="AG768" s="25" t="str">
        <f>IF(AE768="","",IFERROR(INDEX($AO$11:$AO$4010,MATCH(758,$AZ$11:$AZ$4010,0)),""))</f>
        <v/>
      </c>
      <c r="AH768" s="24" t="str">
        <f>IF(AE768="","",IFERROR(INDEX($AQ$11:$AQ$4010,MATCH(758,$AZ$11:$AZ$4010,0)),""))</f>
        <v/>
      </c>
      <c r="AI768" s="29" t="str">
        <f>IF(AE768="","",IFERROR(INDEX($AR$11:$AR$4010,MATCH(758,$AZ$11:$AZ$4010,0)),""))</f>
        <v/>
      </c>
      <c r="AJ768" s="29" t="str">
        <f>IF(AE768="","",IFERROR(INDEX($AT$11:$AT$4010,MATCH(758,$AZ$11:$AZ$4010,0)),""))</f>
        <v/>
      </c>
      <c r="AL768" s="31"/>
      <c r="AM768" s="26"/>
      <c r="AN768" s="32"/>
      <c r="AO768" s="32"/>
      <c r="AP768" s="24"/>
      <c r="AQ768" s="24"/>
      <c r="AR768" s="33"/>
      <c r="AS768" s="34"/>
      <c r="AT768" s="33"/>
      <c r="AV768" s="21">
        <f>IF(AND($AL768&lt;&gt;"",COUNTIF($AL$11:$AL768,$AL768)=1),1,0)</f>
        <v>0</v>
      </c>
      <c r="AW768" s="21">
        <f t="shared" si="109"/>
        <v>0</v>
      </c>
      <c r="AX768" s="21" t="str">
        <f t="shared" si="108"/>
        <v/>
      </c>
      <c r="AY768" s="21" t="str">
        <f>IF(AND($AM768&lt;&gt;"",$AS768&lt;&gt;"✓"),SUMPRODUCT(($AM$11:$AM768&lt;&gt;"")*($AS$11:$AS768&lt;&gt;"✓")),"")</f>
        <v/>
      </c>
      <c r="AZ768" s="21" t="str">
        <f>IF(AND($AM768&lt;&gt;"",$AS768="✓"),SUMPRODUCT(($AM$11:$AM768&lt;&gt;"")*($AS$11:$AS768="✓")),"")</f>
        <v/>
      </c>
      <c r="BA768" s="21" t="str">
        <f>IF($AL768="","",$AL768&amp;"|"&amp;COUNTIF($AL$11:$AL768,$AL768))</f>
        <v/>
      </c>
    </row>
    <row r="769" spans="23:53" ht="15" customHeight="1" x14ac:dyDescent="0.25">
      <c r="W769" s="14" t="str">
        <f>IF(X769="","",IFERROR(INDEX($AL$11:$AL$4010,MATCH(759,$AY$11:$AY$4010,0)),""))</f>
        <v/>
      </c>
      <c r="X769" s="12" t="str">
        <f>IFERROR(INDEX($AM$11:$AM$4010,MATCH(759,$AY$11:$AY$4010,0)),"")</f>
        <v/>
      </c>
      <c r="Y769" s="11" t="str">
        <f>IF(X769="","",IFERROR(INDEX($AN$11:$AN$4010,MATCH(759,$AY$11:$AY$4010,0)),""))</f>
        <v/>
      </c>
      <c r="Z769" s="11" t="str">
        <f>IF(X769="","",IFERROR(INDEX($AO$11:$AO$4010,MATCH(759,$AY$11:$AY$4010,0)),""))</f>
        <v/>
      </c>
      <c r="AA769" s="10" t="str">
        <f>IF(X769="","",IFERROR(INDEX($AQ$11:$AQ$4010,MATCH(759,$AY$11:$AY$4010,0)),""))</f>
        <v/>
      </c>
      <c r="AB769" s="15" t="str">
        <f>IF(X769="","",IFERROR(INDEX($AR$11:$AR$4010,MATCH(759,$AY$11:$AY$4010,0)),""))</f>
        <v/>
      </c>
      <c r="AD769" s="16" t="str">
        <f>IF(AE769="","",IFERROR(INDEX($AL$11:$AL$4010,MATCH(759,$AZ$11:$AZ$4010,0)),""))</f>
        <v/>
      </c>
      <c r="AE769" s="12" t="str">
        <f>IFERROR(INDEX($AM$11:$AM$4010,MATCH(759,$AZ$11:$AZ$4010,0)),"")</f>
        <v/>
      </c>
      <c r="AF769" s="11" t="str">
        <f>IF(AE769="","",IFERROR(INDEX($AN$11:$AN$4010,MATCH(759,$AZ$11:$AZ$4010,0)),""))</f>
        <v/>
      </c>
      <c r="AG769" s="11" t="str">
        <f>IF(AE769="","",IFERROR(INDEX($AO$11:$AO$4010,MATCH(759,$AZ$11:$AZ$4010,0)),""))</f>
        <v/>
      </c>
      <c r="AH769" s="10" t="str">
        <f>IF(AE769="","",IFERROR(INDEX($AQ$11:$AQ$4010,MATCH(759,$AZ$11:$AZ$4010,0)),""))</f>
        <v/>
      </c>
      <c r="AI769" s="15" t="str">
        <f>IF(AE769="","",IFERROR(INDEX($AR$11:$AR$4010,MATCH(759,$AZ$11:$AZ$4010,0)),""))</f>
        <v/>
      </c>
      <c r="AJ769" s="15" t="str">
        <f>IF(AE769="","",IFERROR(INDEX($AT$11:$AT$4010,MATCH(759,$AZ$11:$AZ$4010,0)),""))</f>
        <v/>
      </c>
      <c r="AL769" s="17"/>
      <c r="AM769" s="12"/>
      <c r="AN769" s="18"/>
      <c r="AO769" s="18"/>
      <c r="AP769" s="10"/>
      <c r="AQ769" s="10"/>
      <c r="AR769" s="19"/>
      <c r="AS769" s="20"/>
      <c r="AT769" s="19"/>
      <c r="AV769" s="21">
        <f>IF(AND($AL769&lt;&gt;"",COUNTIF($AL$11:$AL769,$AL769)=1),1,0)</f>
        <v>0</v>
      </c>
      <c r="AW769" s="21">
        <f t="shared" si="109"/>
        <v>0</v>
      </c>
      <c r="AX769" s="21" t="str">
        <f t="shared" si="108"/>
        <v/>
      </c>
      <c r="AY769" s="21" t="str">
        <f>IF(AND($AM769&lt;&gt;"",$AS769&lt;&gt;"✓"),SUMPRODUCT(($AM$11:$AM769&lt;&gt;"")*($AS$11:$AS769&lt;&gt;"✓")),"")</f>
        <v/>
      </c>
      <c r="AZ769" s="21" t="str">
        <f>IF(AND($AM769&lt;&gt;"",$AS769="✓"),SUMPRODUCT(($AM$11:$AM769&lt;&gt;"")*($AS$11:$AS769="✓")),"")</f>
        <v/>
      </c>
      <c r="BA769" s="21" t="str">
        <f>IF($AL769="","",$AL769&amp;"|"&amp;COUNTIF($AL$11:$AL769,$AL769))</f>
        <v/>
      </c>
    </row>
    <row r="770" spans="23:53" ht="15" customHeight="1" x14ac:dyDescent="0.25">
      <c r="W770" s="28" t="str">
        <f>IF(X770="","",IFERROR(INDEX($AL$11:$AL$4010,MATCH(760,$AY$11:$AY$4010,0)),""))</f>
        <v/>
      </c>
      <c r="X770" s="26" t="str">
        <f>IFERROR(INDEX($AM$11:$AM$4010,MATCH(760,$AY$11:$AY$4010,0)),"")</f>
        <v/>
      </c>
      <c r="Y770" s="25" t="str">
        <f>IF(X770="","",IFERROR(INDEX($AN$11:$AN$4010,MATCH(760,$AY$11:$AY$4010,0)),""))</f>
        <v/>
      </c>
      <c r="Z770" s="25" t="str">
        <f>IF(X770="","",IFERROR(INDEX($AO$11:$AO$4010,MATCH(760,$AY$11:$AY$4010,0)),""))</f>
        <v/>
      </c>
      <c r="AA770" s="24" t="str">
        <f>IF(X770="","",IFERROR(INDEX($AQ$11:$AQ$4010,MATCH(760,$AY$11:$AY$4010,0)),""))</f>
        <v/>
      </c>
      <c r="AB770" s="29" t="str">
        <f>IF(X770="","",IFERROR(INDEX($AR$11:$AR$4010,MATCH(760,$AY$11:$AY$4010,0)),""))</f>
        <v/>
      </c>
      <c r="AD770" s="30" t="str">
        <f>IF(AE770="","",IFERROR(INDEX($AL$11:$AL$4010,MATCH(760,$AZ$11:$AZ$4010,0)),""))</f>
        <v/>
      </c>
      <c r="AE770" s="26" t="str">
        <f>IFERROR(INDEX($AM$11:$AM$4010,MATCH(760,$AZ$11:$AZ$4010,0)),"")</f>
        <v/>
      </c>
      <c r="AF770" s="25" t="str">
        <f>IF(AE770="","",IFERROR(INDEX($AN$11:$AN$4010,MATCH(760,$AZ$11:$AZ$4010,0)),""))</f>
        <v/>
      </c>
      <c r="AG770" s="25" t="str">
        <f>IF(AE770="","",IFERROR(INDEX($AO$11:$AO$4010,MATCH(760,$AZ$11:$AZ$4010,0)),""))</f>
        <v/>
      </c>
      <c r="AH770" s="24" t="str">
        <f>IF(AE770="","",IFERROR(INDEX($AQ$11:$AQ$4010,MATCH(760,$AZ$11:$AZ$4010,0)),""))</f>
        <v/>
      </c>
      <c r="AI770" s="29" t="str">
        <f>IF(AE770="","",IFERROR(INDEX($AR$11:$AR$4010,MATCH(760,$AZ$11:$AZ$4010,0)),""))</f>
        <v/>
      </c>
      <c r="AJ770" s="29" t="str">
        <f>IF(AE770="","",IFERROR(INDEX($AT$11:$AT$4010,MATCH(760,$AZ$11:$AZ$4010,0)),""))</f>
        <v/>
      </c>
      <c r="AL770" s="31"/>
      <c r="AM770" s="26"/>
      <c r="AN770" s="32"/>
      <c r="AO770" s="32"/>
      <c r="AP770" s="24"/>
      <c r="AQ770" s="24"/>
      <c r="AR770" s="33"/>
      <c r="AS770" s="34"/>
      <c r="AT770" s="33"/>
      <c r="AV770" s="21">
        <f>IF(AND($AL770&lt;&gt;"",COUNTIF($AL$11:$AL770,$AL770)=1),1,0)</f>
        <v>0</v>
      </c>
      <c r="AW770" s="21">
        <f t="shared" si="109"/>
        <v>0</v>
      </c>
      <c r="AX770" s="21" t="str">
        <f t="shared" si="108"/>
        <v/>
      </c>
      <c r="AY770" s="21" t="str">
        <f>IF(AND($AM770&lt;&gt;"",$AS770&lt;&gt;"✓"),SUMPRODUCT(($AM$11:$AM770&lt;&gt;"")*($AS$11:$AS770&lt;&gt;"✓")),"")</f>
        <v/>
      </c>
      <c r="AZ770" s="21" t="str">
        <f>IF(AND($AM770&lt;&gt;"",$AS770="✓"),SUMPRODUCT(($AM$11:$AM770&lt;&gt;"")*($AS$11:$AS770="✓")),"")</f>
        <v/>
      </c>
      <c r="BA770" s="21" t="str">
        <f>IF($AL770="","",$AL770&amp;"|"&amp;COUNTIF($AL$11:$AL770,$AL770))</f>
        <v/>
      </c>
    </row>
    <row r="771" spans="23:53" ht="15" customHeight="1" x14ac:dyDescent="0.25">
      <c r="W771" s="14" t="str">
        <f>IF(X771="","",IFERROR(INDEX($AL$11:$AL$4010,MATCH(761,$AY$11:$AY$4010,0)),""))</f>
        <v/>
      </c>
      <c r="X771" s="12" t="str">
        <f>IFERROR(INDEX($AM$11:$AM$4010,MATCH(761,$AY$11:$AY$4010,0)),"")</f>
        <v/>
      </c>
      <c r="Y771" s="11" t="str">
        <f>IF(X771="","",IFERROR(INDEX($AN$11:$AN$4010,MATCH(761,$AY$11:$AY$4010,0)),""))</f>
        <v/>
      </c>
      <c r="Z771" s="11" t="str">
        <f>IF(X771="","",IFERROR(INDEX($AO$11:$AO$4010,MATCH(761,$AY$11:$AY$4010,0)),""))</f>
        <v/>
      </c>
      <c r="AA771" s="10" t="str">
        <f>IF(X771="","",IFERROR(INDEX($AQ$11:$AQ$4010,MATCH(761,$AY$11:$AY$4010,0)),""))</f>
        <v/>
      </c>
      <c r="AB771" s="15" t="str">
        <f>IF(X771="","",IFERROR(INDEX($AR$11:$AR$4010,MATCH(761,$AY$11:$AY$4010,0)),""))</f>
        <v/>
      </c>
      <c r="AD771" s="16" t="str">
        <f>IF(AE771="","",IFERROR(INDEX($AL$11:$AL$4010,MATCH(761,$AZ$11:$AZ$4010,0)),""))</f>
        <v/>
      </c>
      <c r="AE771" s="12" t="str">
        <f>IFERROR(INDEX($AM$11:$AM$4010,MATCH(761,$AZ$11:$AZ$4010,0)),"")</f>
        <v/>
      </c>
      <c r="AF771" s="11" t="str">
        <f>IF(AE771="","",IFERROR(INDEX($AN$11:$AN$4010,MATCH(761,$AZ$11:$AZ$4010,0)),""))</f>
        <v/>
      </c>
      <c r="AG771" s="11" t="str">
        <f>IF(AE771="","",IFERROR(INDEX($AO$11:$AO$4010,MATCH(761,$AZ$11:$AZ$4010,0)),""))</f>
        <v/>
      </c>
      <c r="AH771" s="10" t="str">
        <f>IF(AE771="","",IFERROR(INDEX($AQ$11:$AQ$4010,MATCH(761,$AZ$11:$AZ$4010,0)),""))</f>
        <v/>
      </c>
      <c r="AI771" s="15" t="str">
        <f>IF(AE771="","",IFERROR(INDEX($AR$11:$AR$4010,MATCH(761,$AZ$11:$AZ$4010,0)),""))</f>
        <v/>
      </c>
      <c r="AJ771" s="15" t="str">
        <f>IF(AE771="","",IFERROR(INDEX($AT$11:$AT$4010,MATCH(761,$AZ$11:$AZ$4010,0)),""))</f>
        <v/>
      </c>
      <c r="AL771" s="17"/>
      <c r="AM771" s="12"/>
      <c r="AN771" s="18"/>
      <c r="AO771" s="18"/>
      <c r="AP771" s="10"/>
      <c r="AQ771" s="10"/>
      <c r="AR771" s="19"/>
      <c r="AS771" s="20"/>
      <c r="AT771" s="19"/>
      <c r="AV771" s="21">
        <f>IF(AND($AL771&lt;&gt;"",COUNTIF($AL$11:$AL771,$AL771)=1),1,0)</f>
        <v>0</v>
      </c>
      <c r="AW771" s="21">
        <f t="shared" si="109"/>
        <v>0</v>
      </c>
      <c r="AX771" s="21" t="str">
        <f t="shared" si="108"/>
        <v/>
      </c>
      <c r="AY771" s="21" t="str">
        <f>IF(AND($AM771&lt;&gt;"",$AS771&lt;&gt;"✓"),SUMPRODUCT(($AM$11:$AM771&lt;&gt;"")*($AS$11:$AS771&lt;&gt;"✓")),"")</f>
        <v/>
      </c>
      <c r="AZ771" s="21" t="str">
        <f>IF(AND($AM771&lt;&gt;"",$AS771="✓"),SUMPRODUCT(($AM$11:$AM771&lt;&gt;"")*($AS$11:$AS771="✓")),"")</f>
        <v/>
      </c>
      <c r="BA771" s="21" t="str">
        <f>IF($AL771="","",$AL771&amp;"|"&amp;COUNTIF($AL$11:$AL771,$AL771))</f>
        <v/>
      </c>
    </row>
    <row r="772" spans="23:53" ht="15" customHeight="1" x14ac:dyDescent="0.25">
      <c r="W772" s="28" t="str">
        <f>IF(X772="","",IFERROR(INDEX($AL$11:$AL$4010,MATCH(762,$AY$11:$AY$4010,0)),""))</f>
        <v/>
      </c>
      <c r="X772" s="26" t="str">
        <f>IFERROR(INDEX($AM$11:$AM$4010,MATCH(762,$AY$11:$AY$4010,0)),"")</f>
        <v/>
      </c>
      <c r="Y772" s="25" t="str">
        <f>IF(X772="","",IFERROR(INDEX($AN$11:$AN$4010,MATCH(762,$AY$11:$AY$4010,0)),""))</f>
        <v/>
      </c>
      <c r="Z772" s="25" t="str">
        <f>IF(X772="","",IFERROR(INDEX($AO$11:$AO$4010,MATCH(762,$AY$11:$AY$4010,0)),""))</f>
        <v/>
      </c>
      <c r="AA772" s="24" t="str">
        <f>IF(X772="","",IFERROR(INDEX($AQ$11:$AQ$4010,MATCH(762,$AY$11:$AY$4010,0)),""))</f>
        <v/>
      </c>
      <c r="AB772" s="29" t="str">
        <f>IF(X772="","",IFERROR(INDEX($AR$11:$AR$4010,MATCH(762,$AY$11:$AY$4010,0)),""))</f>
        <v/>
      </c>
      <c r="AD772" s="30" t="str">
        <f>IF(AE772="","",IFERROR(INDEX($AL$11:$AL$4010,MATCH(762,$AZ$11:$AZ$4010,0)),""))</f>
        <v/>
      </c>
      <c r="AE772" s="26" t="str">
        <f>IFERROR(INDEX($AM$11:$AM$4010,MATCH(762,$AZ$11:$AZ$4010,0)),"")</f>
        <v/>
      </c>
      <c r="AF772" s="25" t="str">
        <f>IF(AE772="","",IFERROR(INDEX($AN$11:$AN$4010,MATCH(762,$AZ$11:$AZ$4010,0)),""))</f>
        <v/>
      </c>
      <c r="AG772" s="25" t="str">
        <f>IF(AE772="","",IFERROR(INDEX($AO$11:$AO$4010,MATCH(762,$AZ$11:$AZ$4010,0)),""))</f>
        <v/>
      </c>
      <c r="AH772" s="24" t="str">
        <f>IF(AE772="","",IFERROR(INDEX($AQ$11:$AQ$4010,MATCH(762,$AZ$11:$AZ$4010,0)),""))</f>
        <v/>
      </c>
      <c r="AI772" s="29" t="str">
        <f>IF(AE772="","",IFERROR(INDEX($AR$11:$AR$4010,MATCH(762,$AZ$11:$AZ$4010,0)),""))</f>
        <v/>
      </c>
      <c r="AJ772" s="29" t="str">
        <f>IF(AE772="","",IFERROR(INDEX($AT$11:$AT$4010,MATCH(762,$AZ$11:$AZ$4010,0)),""))</f>
        <v/>
      </c>
      <c r="AL772" s="31"/>
      <c r="AM772" s="26"/>
      <c r="AN772" s="32"/>
      <c r="AO772" s="32"/>
      <c r="AP772" s="24"/>
      <c r="AQ772" s="24"/>
      <c r="AR772" s="33"/>
      <c r="AS772" s="34"/>
      <c r="AT772" s="33"/>
      <c r="AV772" s="21">
        <f>IF(AND($AL772&lt;&gt;"",COUNTIF($AL$11:$AL772,$AL772)=1),1,0)</f>
        <v>0</v>
      </c>
      <c r="AW772" s="21">
        <f t="shared" si="109"/>
        <v>0</v>
      </c>
      <c r="AX772" s="21" t="str">
        <f t="shared" si="108"/>
        <v/>
      </c>
      <c r="AY772" s="21" t="str">
        <f>IF(AND($AM772&lt;&gt;"",$AS772&lt;&gt;"✓"),SUMPRODUCT(($AM$11:$AM772&lt;&gt;"")*($AS$11:$AS772&lt;&gt;"✓")),"")</f>
        <v/>
      </c>
      <c r="AZ772" s="21" t="str">
        <f>IF(AND($AM772&lt;&gt;"",$AS772="✓"),SUMPRODUCT(($AM$11:$AM772&lt;&gt;"")*($AS$11:$AS772="✓")),"")</f>
        <v/>
      </c>
      <c r="BA772" s="21" t="str">
        <f>IF($AL772="","",$AL772&amp;"|"&amp;COUNTIF($AL$11:$AL772,$AL772))</f>
        <v/>
      </c>
    </row>
    <row r="773" spans="23:53" ht="15" customHeight="1" x14ac:dyDescent="0.25">
      <c r="W773" s="14" t="str">
        <f>IF(X773="","",IFERROR(INDEX($AL$11:$AL$4010,MATCH(763,$AY$11:$AY$4010,0)),""))</f>
        <v/>
      </c>
      <c r="X773" s="12" t="str">
        <f>IFERROR(INDEX($AM$11:$AM$4010,MATCH(763,$AY$11:$AY$4010,0)),"")</f>
        <v/>
      </c>
      <c r="Y773" s="11" t="str">
        <f>IF(X773="","",IFERROR(INDEX($AN$11:$AN$4010,MATCH(763,$AY$11:$AY$4010,0)),""))</f>
        <v/>
      </c>
      <c r="Z773" s="11" t="str">
        <f>IF(X773="","",IFERROR(INDEX($AO$11:$AO$4010,MATCH(763,$AY$11:$AY$4010,0)),""))</f>
        <v/>
      </c>
      <c r="AA773" s="10" t="str">
        <f>IF(X773="","",IFERROR(INDEX($AQ$11:$AQ$4010,MATCH(763,$AY$11:$AY$4010,0)),""))</f>
        <v/>
      </c>
      <c r="AB773" s="15" t="str">
        <f>IF(X773="","",IFERROR(INDEX($AR$11:$AR$4010,MATCH(763,$AY$11:$AY$4010,0)),""))</f>
        <v/>
      </c>
      <c r="AD773" s="16" t="str">
        <f>IF(AE773="","",IFERROR(INDEX($AL$11:$AL$4010,MATCH(763,$AZ$11:$AZ$4010,0)),""))</f>
        <v/>
      </c>
      <c r="AE773" s="12" t="str">
        <f>IFERROR(INDEX($AM$11:$AM$4010,MATCH(763,$AZ$11:$AZ$4010,0)),"")</f>
        <v/>
      </c>
      <c r="AF773" s="11" t="str">
        <f>IF(AE773="","",IFERROR(INDEX($AN$11:$AN$4010,MATCH(763,$AZ$11:$AZ$4010,0)),""))</f>
        <v/>
      </c>
      <c r="AG773" s="11" t="str">
        <f>IF(AE773="","",IFERROR(INDEX($AO$11:$AO$4010,MATCH(763,$AZ$11:$AZ$4010,0)),""))</f>
        <v/>
      </c>
      <c r="AH773" s="10" t="str">
        <f>IF(AE773="","",IFERROR(INDEX($AQ$11:$AQ$4010,MATCH(763,$AZ$11:$AZ$4010,0)),""))</f>
        <v/>
      </c>
      <c r="AI773" s="15" t="str">
        <f>IF(AE773="","",IFERROR(INDEX($AR$11:$AR$4010,MATCH(763,$AZ$11:$AZ$4010,0)),""))</f>
        <v/>
      </c>
      <c r="AJ773" s="15" t="str">
        <f>IF(AE773="","",IFERROR(INDEX($AT$11:$AT$4010,MATCH(763,$AZ$11:$AZ$4010,0)),""))</f>
        <v/>
      </c>
      <c r="AL773" s="17"/>
      <c r="AM773" s="12"/>
      <c r="AN773" s="18"/>
      <c r="AO773" s="18"/>
      <c r="AP773" s="10"/>
      <c r="AQ773" s="10"/>
      <c r="AR773" s="19"/>
      <c r="AS773" s="20"/>
      <c r="AT773" s="19"/>
      <c r="AV773" s="21">
        <f>IF(AND($AL773&lt;&gt;"",COUNTIF($AL$11:$AL773,$AL773)=1),1,0)</f>
        <v>0</v>
      </c>
      <c r="AW773" s="21">
        <f t="shared" si="109"/>
        <v>0</v>
      </c>
      <c r="AX773" s="21" t="str">
        <f t="shared" si="108"/>
        <v/>
      </c>
      <c r="AY773" s="21" t="str">
        <f>IF(AND($AM773&lt;&gt;"",$AS773&lt;&gt;"✓"),SUMPRODUCT(($AM$11:$AM773&lt;&gt;"")*($AS$11:$AS773&lt;&gt;"✓")),"")</f>
        <v/>
      </c>
      <c r="AZ773" s="21" t="str">
        <f>IF(AND($AM773&lt;&gt;"",$AS773="✓"),SUMPRODUCT(($AM$11:$AM773&lt;&gt;"")*($AS$11:$AS773="✓")),"")</f>
        <v/>
      </c>
      <c r="BA773" s="21" t="str">
        <f>IF($AL773="","",$AL773&amp;"|"&amp;COUNTIF($AL$11:$AL773,$AL773))</f>
        <v/>
      </c>
    </row>
    <row r="774" spans="23:53" ht="15" customHeight="1" x14ac:dyDescent="0.25">
      <c r="W774" s="28" t="str">
        <f>IF(X774="","",IFERROR(INDEX($AL$11:$AL$4010,MATCH(764,$AY$11:$AY$4010,0)),""))</f>
        <v/>
      </c>
      <c r="X774" s="26" t="str">
        <f>IFERROR(INDEX($AM$11:$AM$4010,MATCH(764,$AY$11:$AY$4010,0)),"")</f>
        <v/>
      </c>
      <c r="Y774" s="25" t="str">
        <f>IF(X774="","",IFERROR(INDEX($AN$11:$AN$4010,MATCH(764,$AY$11:$AY$4010,0)),""))</f>
        <v/>
      </c>
      <c r="Z774" s="25" t="str">
        <f>IF(X774="","",IFERROR(INDEX($AO$11:$AO$4010,MATCH(764,$AY$11:$AY$4010,0)),""))</f>
        <v/>
      </c>
      <c r="AA774" s="24" t="str">
        <f>IF(X774="","",IFERROR(INDEX($AQ$11:$AQ$4010,MATCH(764,$AY$11:$AY$4010,0)),""))</f>
        <v/>
      </c>
      <c r="AB774" s="29" t="str">
        <f>IF(X774="","",IFERROR(INDEX($AR$11:$AR$4010,MATCH(764,$AY$11:$AY$4010,0)),""))</f>
        <v/>
      </c>
      <c r="AD774" s="30" t="str">
        <f>IF(AE774="","",IFERROR(INDEX($AL$11:$AL$4010,MATCH(764,$AZ$11:$AZ$4010,0)),""))</f>
        <v/>
      </c>
      <c r="AE774" s="26" t="str">
        <f>IFERROR(INDEX($AM$11:$AM$4010,MATCH(764,$AZ$11:$AZ$4010,0)),"")</f>
        <v/>
      </c>
      <c r="AF774" s="25" t="str">
        <f>IF(AE774="","",IFERROR(INDEX($AN$11:$AN$4010,MATCH(764,$AZ$11:$AZ$4010,0)),""))</f>
        <v/>
      </c>
      <c r="AG774" s="25" t="str">
        <f>IF(AE774="","",IFERROR(INDEX($AO$11:$AO$4010,MATCH(764,$AZ$11:$AZ$4010,0)),""))</f>
        <v/>
      </c>
      <c r="AH774" s="24" t="str">
        <f>IF(AE774="","",IFERROR(INDEX($AQ$11:$AQ$4010,MATCH(764,$AZ$11:$AZ$4010,0)),""))</f>
        <v/>
      </c>
      <c r="AI774" s="29" t="str">
        <f>IF(AE774="","",IFERROR(INDEX($AR$11:$AR$4010,MATCH(764,$AZ$11:$AZ$4010,0)),""))</f>
        <v/>
      </c>
      <c r="AJ774" s="29" t="str">
        <f>IF(AE774="","",IFERROR(INDEX($AT$11:$AT$4010,MATCH(764,$AZ$11:$AZ$4010,0)),""))</f>
        <v/>
      </c>
      <c r="AL774" s="31"/>
      <c r="AM774" s="26"/>
      <c r="AN774" s="32"/>
      <c r="AO774" s="32"/>
      <c r="AP774" s="24"/>
      <c r="AQ774" s="24"/>
      <c r="AR774" s="33"/>
      <c r="AS774" s="34"/>
      <c r="AT774" s="33"/>
      <c r="AV774" s="21">
        <f>IF(AND($AL774&lt;&gt;"",COUNTIF($AL$11:$AL774,$AL774)=1),1,0)</f>
        <v>0</v>
      </c>
      <c r="AW774" s="21">
        <f t="shared" si="109"/>
        <v>0</v>
      </c>
      <c r="AX774" s="21" t="str">
        <f t="shared" si="108"/>
        <v/>
      </c>
      <c r="AY774" s="21" t="str">
        <f>IF(AND($AM774&lt;&gt;"",$AS774&lt;&gt;"✓"),SUMPRODUCT(($AM$11:$AM774&lt;&gt;"")*($AS$11:$AS774&lt;&gt;"✓")),"")</f>
        <v/>
      </c>
      <c r="AZ774" s="21" t="str">
        <f>IF(AND($AM774&lt;&gt;"",$AS774="✓"),SUMPRODUCT(($AM$11:$AM774&lt;&gt;"")*($AS$11:$AS774="✓")),"")</f>
        <v/>
      </c>
      <c r="BA774" s="21" t="str">
        <f>IF($AL774="","",$AL774&amp;"|"&amp;COUNTIF($AL$11:$AL774,$AL774))</f>
        <v/>
      </c>
    </row>
    <row r="775" spans="23:53" ht="15" customHeight="1" x14ac:dyDescent="0.25">
      <c r="W775" s="14" t="str">
        <f>IF(X775="","",IFERROR(INDEX($AL$11:$AL$4010,MATCH(765,$AY$11:$AY$4010,0)),""))</f>
        <v/>
      </c>
      <c r="X775" s="12" t="str">
        <f>IFERROR(INDEX($AM$11:$AM$4010,MATCH(765,$AY$11:$AY$4010,0)),"")</f>
        <v/>
      </c>
      <c r="Y775" s="11" t="str">
        <f>IF(X775="","",IFERROR(INDEX($AN$11:$AN$4010,MATCH(765,$AY$11:$AY$4010,0)),""))</f>
        <v/>
      </c>
      <c r="Z775" s="11" t="str">
        <f>IF(X775="","",IFERROR(INDEX($AO$11:$AO$4010,MATCH(765,$AY$11:$AY$4010,0)),""))</f>
        <v/>
      </c>
      <c r="AA775" s="10" t="str">
        <f>IF(X775="","",IFERROR(INDEX($AQ$11:$AQ$4010,MATCH(765,$AY$11:$AY$4010,0)),""))</f>
        <v/>
      </c>
      <c r="AB775" s="15" t="str">
        <f>IF(X775="","",IFERROR(INDEX($AR$11:$AR$4010,MATCH(765,$AY$11:$AY$4010,0)),""))</f>
        <v/>
      </c>
      <c r="AD775" s="16" t="str">
        <f>IF(AE775="","",IFERROR(INDEX($AL$11:$AL$4010,MATCH(765,$AZ$11:$AZ$4010,0)),""))</f>
        <v/>
      </c>
      <c r="AE775" s="12" t="str">
        <f>IFERROR(INDEX($AM$11:$AM$4010,MATCH(765,$AZ$11:$AZ$4010,0)),"")</f>
        <v/>
      </c>
      <c r="AF775" s="11" t="str">
        <f>IF(AE775="","",IFERROR(INDEX($AN$11:$AN$4010,MATCH(765,$AZ$11:$AZ$4010,0)),""))</f>
        <v/>
      </c>
      <c r="AG775" s="11" t="str">
        <f>IF(AE775="","",IFERROR(INDEX($AO$11:$AO$4010,MATCH(765,$AZ$11:$AZ$4010,0)),""))</f>
        <v/>
      </c>
      <c r="AH775" s="10" t="str">
        <f>IF(AE775="","",IFERROR(INDEX($AQ$11:$AQ$4010,MATCH(765,$AZ$11:$AZ$4010,0)),""))</f>
        <v/>
      </c>
      <c r="AI775" s="15" t="str">
        <f>IF(AE775="","",IFERROR(INDEX($AR$11:$AR$4010,MATCH(765,$AZ$11:$AZ$4010,0)),""))</f>
        <v/>
      </c>
      <c r="AJ775" s="15" t="str">
        <f>IF(AE775="","",IFERROR(INDEX($AT$11:$AT$4010,MATCH(765,$AZ$11:$AZ$4010,0)),""))</f>
        <v/>
      </c>
      <c r="AL775" s="17"/>
      <c r="AM775" s="12"/>
      <c r="AN775" s="18"/>
      <c r="AO775" s="18"/>
      <c r="AP775" s="10"/>
      <c r="AQ775" s="10"/>
      <c r="AR775" s="19"/>
      <c r="AS775" s="20"/>
      <c r="AT775" s="19"/>
      <c r="AV775" s="21">
        <f>IF(AND($AL775&lt;&gt;"",COUNTIF($AL$11:$AL775,$AL775)=1),1,0)</f>
        <v>0</v>
      </c>
      <c r="AW775" s="21">
        <f t="shared" si="109"/>
        <v>0</v>
      </c>
      <c r="AX775" s="21" t="str">
        <f t="shared" si="108"/>
        <v/>
      </c>
      <c r="AY775" s="21" t="str">
        <f>IF(AND($AM775&lt;&gt;"",$AS775&lt;&gt;"✓"),SUMPRODUCT(($AM$11:$AM775&lt;&gt;"")*($AS$11:$AS775&lt;&gt;"✓")),"")</f>
        <v/>
      </c>
      <c r="AZ775" s="21" t="str">
        <f>IF(AND($AM775&lt;&gt;"",$AS775="✓"),SUMPRODUCT(($AM$11:$AM775&lt;&gt;"")*($AS$11:$AS775="✓")),"")</f>
        <v/>
      </c>
      <c r="BA775" s="21" t="str">
        <f>IF($AL775="","",$AL775&amp;"|"&amp;COUNTIF($AL$11:$AL775,$AL775))</f>
        <v/>
      </c>
    </row>
    <row r="776" spans="23:53" ht="15" customHeight="1" x14ac:dyDescent="0.25">
      <c r="W776" s="28" t="str">
        <f>IF(X776="","",IFERROR(INDEX($AL$11:$AL$4010,MATCH(766,$AY$11:$AY$4010,0)),""))</f>
        <v/>
      </c>
      <c r="X776" s="26" t="str">
        <f>IFERROR(INDEX($AM$11:$AM$4010,MATCH(766,$AY$11:$AY$4010,0)),"")</f>
        <v/>
      </c>
      <c r="Y776" s="25" t="str">
        <f>IF(X776="","",IFERROR(INDEX($AN$11:$AN$4010,MATCH(766,$AY$11:$AY$4010,0)),""))</f>
        <v/>
      </c>
      <c r="Z776" s="25" t="str">
        <f>IF(X776="","",IFERROR(INDEX($AO$11:$AO$4010,MATCH(766,$AY$11:$AY$4010,0)),""))</f>
        <v/>
      </c>
      <c r="AA776" s="24" t="str">
        <f>IF(X776="","",IFERROR(INDEX($AQ$11:$AQ$4010,MATCH(766,$AY$11:$AY$4010,0)),""))</f>
        <v/>
      </c>
      <c r="AB776" s="29" t="str">
        <f>IF(X776="","",IFERROR(INDEX($AR$11:$AR$4010,MATCH(766,$AY$11:$AY$4010,0)),""))</f>
        <v/>
      </c>
      <c r="AD776" s="30" t="str">
        <f>IF(AE776="","",IFERROR(INDEX($AL$11:$AL$4010,MATCH(766,$AZ$11:$AZ$4010,0)),""))</f>
        <v/>
      </c>
      <c r="AE776" s="26" t="str">
        <f>IFERROR(INDEX($AM$11:$AM$4010,MATCH(766,$AZ$11:$AZ$4010,0)),"")</f>
        <v/>
      </c>
      <c r="AF776" s="25" t="str">
        <f>IF(AE776="","",IFERROR(INDEX($AN$11:$AN$4010,MATCH(766,$AZ$11:$AZ$4010,0)),""))</f>
        <v/>
      </c>
      <c r="AG776" s="25" t="str">
        <f>IF(AE776="","",IFERROR(INDEX($AO$11:$AO$4010,MATCH(766,$AZ$11:$AZ$4010,0)),""))</f>
        <v/>
      </c>
      <c r="AH776" s="24" t="str">
        <f>IF(AE776="","",IFERROR(INDEX($AQ$11:$AQ$4010,MATCH(766,$AZ$11:$AZ$4010,0)),""))</f>
        <v/>
      </c>
      <c r="AI776" s="29" t="str">
        <f>IF(AE776="","",IFERROR(INDEX($AR$11:$AR$4010,MATCH(766,$AZ$11:$AZ$4010,0)),""))</f>
        <v/>
      </c>
      <c r="AJ776" s="29" t="str">
        <f>IF(AE776="","",IFERROR(INDEX($AT$11:$AT$4010,MATCH(766,$AZ$11:$AZ$4010,0)),""))</f>
        <v/>
      </c>
      <c r="AL776" s="31"/>
      <c r="AM776" s="26"/>
      <c r="AN776" s="32"/>
      <c r="AO776" s="32"/>
      <c r="AP776" s="24"/>
      <c r="AQ776" s="24"/>
      <c r="AR776" s="33"/>
      <c r="AS776" s="34"/>
      <c r="AT776" s="33"/>
      <c r="AV776" s="21">
        <f>IF(AND($AL776&lt;&gt;"",COUNTIF($AL$11:$AL776,$AL776)=1),1,0)</f>
        <v>0</v>
      </c>
      <c r="AW776" s="21">
        <f t="shared" si="109"/>
        <v>0</v>
      </c>
      <c r="AX776" s="21" t="str">
        <f t="shared" si="108"/>
        <v/>
      </c>
      <c r="AY776" s="21" t="str">
        <f>IF(AND($AM776&lt;&gt;"",$AS776&lt;&gt;"✓"),SUMPRODUCT(($AM$11:$AM776&lt;&gt;"")*($AS$11:$AS776&lt;&gt;"✓")),"")</f>
        <v/>
      </c>
      <c r="AZ776" s="21" t="str">
        <f>IF(AND($AM776&lt;&gt;"",$AS776="✓"),SUMPRODUCT(($AM$11:$AM776&lt;&gt;"")*($AS$11:$AS776="✓")),"")</f>
        <v/>
      </c>
      <c r="BA776" s="21" t="str">
        <f>IF($AL776="","",$AL776&amp;"|"&amp;COUNTIF($AL$11:$AL776,$AL776))</f>
        <v/>
      </c>
    </row>
    <row r="777" spans="23:53" ht="15" customHeight="1" x14ac:dyDescent="0.25">
      <c r="W777" s="14" t="str">
        <f>IF(X777="","",IFERROR(INDEX($AL$11:$AL$4010,MATCH(767,$AY$11:$AY$4010,0)),""))</f>
        <v/>
      </c>
      <c r="X777" s="12" t="str">
        <f>IFERROR(INDEX($AM$11:$AM$4010,MATCH(767,$AY$11:$AY$4010,0)),"")</f>
        <v/>
      </c>
      <c r="Y777" s="11" t="str">
        <f>IF(X777="","",IFERROR(INDEX($AN$11:$AN$4010,MATCH(767,$AY$11:$AY$4010,0)),""))</f>
        <v/>
      </c>
      <c r="Z777" s="11" t="str">
        <f>IF(X777="","",IFERROR(INDEX($AO$11:$AO$4010,MATCH(767,$AY$11:$AY$4010,0)),""))</f>
        <v/>
      </c>
      <c r="AA777" s="10" t="str">
        <f>IF(X777="","",IFERROR(INDEX($AQ$11:$AQ$4010,MATCH(767,$AY$11:$AY$4010,0)),""))</f>
        <v/>
      </c>
      <c r="AB777" s="15" t="str">
        <f>IF(X777="","",IFERROR(INDEX($AR$11:$AR$4010,MATCH(767,$AY$11:$AY$4010,0)),""))</f>
        <v/>
      </c>
      <c r="AD777" s="16" t="str">
        <f>IF(AE777="","",IFERROR(INDEX($AL$11:$AL$4010,MATCH(767,$AZ$11:$AZ$4010,0)),""))</f>
        <v/>
      </c>
      <c r="AE777" s="12" t="str">
        <f>IFERROR(INDEX($AM$11:$AM$4010,MATCH(767,$AZ$11:$AZ$4010,0)),"")</f>
        <v/>
      </c>
      <c r="AF777" s="11" t="str">
        <f>IF(AE777="","",IFERROR(INDEX($AN$11:$AN$4010,MATCH(767,$AZ$11:$AZ$4010,0)),""))</f>
        <v/>
      </c>
      <c r="AG777" s="11" t="str">
        <f>IF(AE777="","",IFERROR(INDEX($AO$11:$AO$4010,MATCH(767,$AZ$11:$AZ$4010,0)),""))</f>
        <v/>
      </c>
      <c r="AH777" s="10" t="str">
        <f>IF(AE777="","",IFERROR(INDEX($AQ$11:$AQ$4010,MATCH(767,$AZ$11:$AZ$4010,0)),""))</f>
        <v/>
      </c>
      <c r="AI777" s="15" t="str">
        <f>IF(AE777="","",IFERROR(INDEX($AR$11:$AR$4010,MATCH(767,$AZ$11:$AZ$4010,0)),""))</f>
        <v/>
      </c>
      <c r="AJ777" s="15" t="str">
        <f>IF(AE777="","",IFERROR(INDEX($AT$11:$AT$4010,MATCH(767,$AZ$11:$AZ$4010,0)),""))</f>
        <v/>
      </c>
      <c r="AL777" s="17"/>
      <c r="AM777" s="12"/>
      <c r="AN777" s="18"/>
      <c r="AO777" s="18"/>
      <c r="AP777" s="10"/>
      <c r="AQ777" s="10"/>
      <c r="AR777" s="19"/>
      <c r="AS777" s="20"/>
      <c r="AT777" s="19"/>
      <c r="AV777" s="21">
        <f>IF(AND($AL777&lt;&gt;"",COUNTIF($AL$11:$AL777,$AL777)=1),1,0)</f>
        <v>0</v>
      </c>
      <c r="AW777" s="21">
        <f t="shared" si="109"/>
        <v>0</v>
      </c>
      <c r="AX777" s="21" t="str">
        <f t="shared" si="108"/>
        <v/>
      </c>
      <c r="AY777" s="21" t="str">
        <f>IF(AND($AM777&lt;&gt;"",$AS777&lt;&gt;"✓"),SUMPRODUCT(($AM$11:$AM777&lt;&gt;"")*($AS$11:$AS777&lt;&gt;"✓")),"")</f>
        <v/>
      </c>
      <c r="AZ777" s="21" t="str">
        <f>IF(AND($AM777&lt;&gt;"",$AS777="✓"),SUMPRODUCT(($AM$11:$AM777&lt;&gt;"")*($AS$11:$AS777="✓")),"")</f>
        <v/>
      </c>
      <c r="BA777" s="21" t="str">
        <f>IF($AL777="","",$AL777&amp;"|"&amp;COUNTIF($AL$11:$AL777,$AL777))</f>
        <v/>
      </c>
    </row>
    <row r="778" spans="23:53" ht="15" customHeight="1" x14ac:dyDescent="0.25">
      <c r="W778" s="28" t="str">
        <f>IF(X778="","",IFERROR(INDEX($AL$11:$AL$4010,MATCH(768,$AY$11:$AY$4010,0)),""))</f>
        <v/>
      </c>
      <c r="X778" s="26" t="str">
        <f>IFERROR(INDEX($AM$11:$AM$4010,MATCH(768,$AY$11:$AY$4010,0)),"")</f>
        <v/>
      </c>
      <c r="Y778" s="25" t="str">
        <f>IF(X778="","",IFERROR(INDEX($AN$11:$AN$4010,MATCH(768,$AY$11:$AY$4010,0)),""))</f>
        <v/>
      </c>
      <c r="Z778" s="25" t="str">
        <f>IF(X778="","",IFERROR(INDEX($AO$11:$AO$4010,MATCH(768,$AY$11:$AY$4010,0)),""))</f>
        <v/>
      </c>
      <c r="AA778" s="24" t="str">
        <f>IF(X778="","",IFERROR(INDEX($AQ$11:$AQ$4010,MATCH(768,$AY$11:$AY$4010,0)),""))</f>
        <v/>
      </c>
      <c r="AB778" s="29" t="str">
        <f>IF(X778="","",IFERROR(INDEX($AR$11:$AR$4010,MATCH(768,$AY$11:$AY$4010,0)),""))</f>
        <v/>
      </c>
      <c r="AD778" s="30" t="str">
        <f>IF(AE778="","",IFERROR(INDEX($AL$11:$AL$4010,MATCH(768,$AZ$11:$AZ$4010,0)),""))</f>
        <v/>
      </c>
      <c r="AE778" s="26" t="str">
        <f>IFERROR(INDEX($AM$11:$AM$4010,MATCH(768,$AZ$11:$AZ$4010,0)),"")</f>
        <v/>
      </c>
      <c r="AF778" s="25" t="str">
        <f>IF(AE778="","",IFERROR(INDEX($AN$11:$AN$4010,MATCH(768,$AZ$11:$AZ$4010,0)),""))</f>
        <v/>
      </c>
      <c r="AG778" s="25" t="str">
        <f>IF(AE778="","",IFERROR(INDEX($AO$11:$AO$4010,MATCH(768,$AZ$11:$AZ$4010,0)),""))</f>
        <v/>
      </c>
      <c r="AH778" s="24" t="str">
        <f>IF(AE778="","",IFERROR(INDEX($AQ$11:$AQ$4010,MATCH(768,$AZ$11:$AZ$4010,0)),""))</f>
        <v/>
      </c>
      <c r="AI778" s="29" t="str">
        <f>IF(AE778="","",IFERROR(INDEX($AR$11:$AR$4010,MATCH(768,$AZ$11:$AZ$4010,0)),""))</f>
        <v/>
      </c>
      <c r="AJ778" s="29" t="str">
        <f>IF(AE778="","",IFERROR(INDEX($AT$11:$AT$4010,MATCH(768,$AZ$11:$AZ$4010,0)),""))</f>
        <v/>
      </c>
      <c r="AL778" s="31"/>
      <c r="AM778" s="26"/>
      <c r="AN778" s="32"/>
      <c r="AO778" s="32"/>
      <c r="AP778" s="24"/>
      <c r="AQ778" s="24"/>
      <c r="AR778" s="33"/>
      <c r="AS778" s="34"/>
      <c r="AT778" s="33"/>
      <c r="AV778" s="21">
        <f>IF(AND($AL778&lt;&gt;"",COUNTIF($AL$11:$AL778,$AL778)=1),1,0)</f>
        <v>0</v>
      </c>
      <c r="AW778" s="21">
        <f t="shared" si="109"/>
        <v>0</v>
      </c>
      <c r="AX778" s="21" t="str">
        <f t="shared" si="108"/>
        <v/>
      </c>
      <c r="AY778" s="21" t="str">
        <f>IF(AND($AM778&lt;&gt;"",$AS778&lt;&gt;"✓"),SUMPRODUCT(($AM$11:$AM778&lt;&gt;"")*($AS$11:$AS778&lt;&gt;"✓")),"")</f>
        <v/>
      </c>
      <c r="AZ778" s="21" t="str">
        <f>IF(AND($AM778&lt;&gt;"",$AS778="✓"),SUMPRODUCT(($AM$11:$AM778&lt;&gt;"")*($AS$11:$AS778="✓")),"")</f>
        <v/>
      </c>
      <c r="BA778" s="21" t="str">
        <f>IF($AL778="","",$AL778&amp;"|"&amp;COUNTIF($AL$11:$AL778,$AL778))</f>
        <v/>
      </c>
    </row>
    <row r="779" spans="23:53" ht="15" customHeight="1" x14ac:dyDescent="0.25">
      <c r="W779" s="14" t="str">
        <f>IF(X779="","",IFERROR(INDEX($AL$11:$AL$4010,MATCH(769,$AY$11:$AY$4010,0)),""))</f>
        <v/>
      </c>
      <c r="X779" s="12" t="str">
        <f>IFERROR(INDEX($AM$11:$AM$4010,MATCH(769,$AY$11:$AY$4010,0)),"")</f>
        <v/>
      </c>
      <c r="Y779" s="11" t="str">
        <f>IF(X779="","",IFERROR(INDEX($AN$11:$AN$4010,MATCH(769,$AY$11:$AY$4010,0)),""))</f>
        <v/>
      </c>
      <c r="Z779" s="11" t="str">
        <f>IF(X779="","",IFERROR(INDEX($AO$11:$AO$4010,MATCH(769,$AY$11:$AY$4010,0)),""))</f>
        <v/>
      </c>
      <c r="AA779" s="10" t="str">
        <f>IF(X779="","",IFERROR(INDEX($AQ$11:$AQ$4010,MATCH(769,$AY$11:$AY$4010,0)),""))</f>
        <v/>
      </c>
      <c r="AB779" s="15" t="str">
        <f>IF(X779="","",IFERROR(INDEX($AR$11:$AR$4010,MATCH(769,$AY$11:$AY$4010,0)),""))</f>
        <v/>
      </c>
      <c r="AD779" s="16" t="str">
        <f>IF(AE779="","",IFERROR(INDEX($AL$11:$AL$4010,MATCH(769,$AZ$11:$AZ$4010,0)),""))</f>
        <v/>
      </c>
      <c r="AE779" s="12" t="str">
        <f>IFERROR(INDEX($AM$11:$AM$4010,MATCH(769,$AZ$11:$AZ$4010,0)),"")</f>
        <v/>
      </c>
      <c r="AF779" s="11" t="str">
        <f>IF(AE779="","",IFERROR(INDEX($AN$11:$AN$4010,MATCH(769,$AZ$11:$AZ$4010,0)),""))</f>
        <v/>
      </c>
      <c r="AG779" s="11" t="str">
        <f>IF(AE779="","",IFERROR(INDEX($AO$11:$AO$4010,MATCH(769,$AZ$11:$AZ$4010,0)),""))</f>
        <v/>
      </c>
      <c r="AH779" s="10" t="str">
        <f>IF(AE779="","",IFERROR(INDEX($AQ$11:$AQ$4010,MATCH(769,$AZ$11:$AZ$4010,0)),""))</f>
        <v/>
      </c>
      <c r="AI779" s="15" t="str">
        <f>IF(AE779="","",IFERROR(INDEX($AR$11:$AR$4010,MATCH(769,$AZ$11:$AZ$4010,0)),""))</f>
        <v/>
      </c>
      <c r="AJ779" s="15" t="str">
        <f>IF(AE779="","",IFERROR(INDEX($AT$11:$AT$4010,MATCH(769,$AZ$11:$AZ$4010,0)),""))</f>
        <v/>
      </c>
      <c r="AL779" s="17"/>
      <c r="AM779" s="12"/>
      <c r="AN779" s="18"/>
      <c r="AO779" s="18"/>
      <c r="AP779" s="10"/>
      <c r="AQ779" s="10"/>
      <c r="AR779" s="19"/>
      <c r="AS779" s="20"/>
      <c r="AT779" s="19"/>
      <c r="AV779" s="21">
        <f>IF(AND($AL779&lt;&gt;"",COUNTIF($AL$11:$AL779,$AL779)=1),1,0)</f>
        <v>0</v>
      </c>
      <c r="AW779" s="21">
        <f t="shared" si="109"/>
        <v>0</v>
      </c>
      <c r="AX779" s="21" t="str">
        <f t="shared" ref="AX779:AX842" si="110">IF(AV779=1,AW779,"")</f>
        <v/>
      </c>
      <c r="AY779" s="21" t="str">
        <f>IF(AND($AM779&lt;&gt;"",$AS779&lt;&gt;"✓"),SUMPRODUCT(($AM$11:$AM779&lt;&gt;"")*($AS$11:$AS779&lt;&gt;"✓")),"")</f>
        <v/>
      </c>
      <c r="AZ779" s="21" t="str">
        <f>IF(AND($AM779&lt;&gt;"",$AS779="✓"),SUMPRODUCT(($AM$11:$AM779&lt;&gt;"")*($AS$11:$AS779="✓")),"")</f>
        <v/>
      </c>
      <c r="BA779" s="21" t="str">
        <f>IF($AL779="","",$AL779&amp;"|"&amp;COUNTIF($AL$11:$AL779,$AL779))</f>
        <v/>
      </c>
    </row>
    <row r="780" spans="23:53" ht="15" customHeight="1" x14ac:dyDescent="0.25">
      <c r="W780" s="28" t="str">
        <f>IF(X780="","",IFERROR(INDEX($AL$11:$AL$4010,MATCH(770,$AY$11:$AY$4010,0)),""))</f>
        <v/>
      </c>
      <c r="X780" s="26" t="str">
        <f>IFERROR(INDEX($AM$11:$AM$4010,MATCH(770,$AY$11:$AY$4010,0)),"")</f>
        <v/>
      </c>
      <c r="Y780" s="25" t="str">
        <f>IF(X780="","",IFERROR(INDEX($AN$11:$AN$4010,MATCH(770,$AY$11:$AY$4010,0)),""))</f>
        <v/>
      </c>
      <c r="Z780" s="25" t="str">
        <f>IF(X780="","",IFERROR(INDEX($AO$11:$AO$4010,MATCH(770,$AY$11:$AY$4010,0)),""))</f>
        <v/>
      </c>
      <c r="AA780" s="24" t="str">
        <f>IF(X780="","",IFERROR(INDEX($AQ$11:$AQ$4010,MATCH(770,$AY$11:$AY$4010,0)),""))</f>
        <v/>
      </c>
      <c r="AB780" s="29" t="str">
        <f>IF(X780="","",IFERROR(INDEX($AR$11:$AR$4010,MATCH(770,$AY$11:$AY$4010,0)),""))</f>
        <v/>
      </c>
      <c r="AD780" s="30" t="str">
        <f>IF(AE780="","",IFERROR(INDEX($AL$11:$AL$4010,MATCH(770,$AZ$11:$AZ$4010,0)),""))</f>
        <v/>
      </c>
      <c r="AE780" s="26" t="str">
        <f>IFERROR(INDEX($AM$11:$AM$4010,MATCH(770,$AZ$11:$AZ$4010,0)),"")</f>
        <v/>
      </c>
      <c r="AF780" s="25" t="str">
        <f>IF(AE780="","",IFERROR(INDEX($AN$11:$AN$4010,MATCH(770,$AZ$11:$AZ$4010,0)),""))</f>
        <v/>
      </c>
      <c r="AG780" s="25" t="str">
        <f>IF(AE780="","",IFERROR(INDEX($AO$11:$AO$4010,MATCH(770,$AZ$11:$AZ$4010,0)),""))</f>
        <v/>
      </c>
      <c r="AH780" s="24" t="str">
        <f>IF(AE780="","",IFERROR(INDEX($AQ$11:$AQ$4010,MATCH(770,$AZ$11:$AZ$4010,0)),""))</f>
        <v/>
      </c>
      <c r="AI780" s="29" t="str">
        <f>IF(AE780="","",IFERROR(INDEX($AR$11:$AR$4010,MATCH(770,$AZ$11:$AZ$4010,0)),""))</f>
        <v/>
      </c>
      <c r="AJ780" s="29" t="str">
        <f>IF(AE780="","",IFERROR(INDEX($AT$11:$AT$4010,MATCH(770,$AZ$11:$AZ$4010,0)),""))</f>
        <v/>
      </c>
      <c r="AL780" s="31"/>
      <c r="AM780" s="26"/>
      <c r="AN780" s="32"/>
      <c r="AO780" s="32"/>
      <c r="AP780" s="24"/>
      <c r="AQ780" s="24"/>
      <c r="AR780" s="33"/>
      <c r="AS780" s="34"/>
      <c r="AT780" s="33"/>
      <c r="AV780" s="21">
        <f>IF(AND($AL780&lt;&gt;"",COUNTIF($AL$11:$AL780,$AL780)=1),1,0)</f>
        <v>0</v>
      </c>
      <c r="AW780" s="21">
        <f t="shared" ref="AW780:AW843" si="111">AW779+AV780</f>
        <v>0</v>
      </c>
      <c r="AX780" s="21" t="str">
        <f t="shared" si="110"/>
        <v/>
      </c>
      <c r="AY780" s="21" t="str">
        <f>IF(AND($AM780&lt;&gt;"",$AS780&lt;&gt;"✓"),SUMPRODUCT(($AM$11:$AM780&lt;&gt;"")*($AS$11:$AS780&lt;&gt;"✓")),"")</f>
        <v/>
      </c>
      <c r="AZ780" s="21" t="str">
        <f>IF(AND($AM780&lt;&gt;"",$AS780="✓"),SUMPRODUCT(($AM$11:$AM780&lt;&gt;"")*($AS$11:$AS780="✓")),"")</f>
        <v/>
      </c>
      <c r="BA780" s="21" t="str">
        <f>IF($AL780="","",$AL780&amp;"|"&amp;COUNTIF($AL$11:$AL780,$AL780))</f>
        <v/>
      </c>
    </row>
    <row r="781" spans="23:53" ht="15" customHeight="1" x14ac:dyDescent="0.25">
      <c r="W781" s="14" t="str">
        <f>IF(X781="","",IFERROR(INDEX($AL$11:$AL$4010,MATCH(771,$AY$11:$AY$4010,0)),""))</f>
        <v/>
      </c>
      <c r="X781" s="12" t="str">
        <f>IFERROR(INDEX($AM$11:$AM$4010,MATCH(771,$AY$11:$AY$4010,0)),"")</f>
        <v/>
      </c>
      <c r="Y781" s="11" t="str">
        <f>IF(X781="","",IFERROR(INDEX($AN$11:$AN$4010,MATCH(771,$AY$11:$AY$4010,0)),""))</f>
        <v/>
      </c>
      <c r="Z781" s="11" t="str">
        <f>IF(X781="","",IFERROR(INDEX($AO$11:$AO$4010,MATCH(771,$AY$11:$AY$4010,0)),""))</f>
        <v/>
      </c>
      <c r="AA781" s="10" t="str">
        <f>IF(X781="","",IFERROR(INDEX($AQ$11:$AQ$4010,MATCH(771,$AY$11:$AY$4010,0)),""))</f>
        <v/>
      </c>
      <c r="AB781" s="15" t="str">
        <f>IF(X781="","",IFERROR(INDEX($AR$11:$AR$4010,MATCH(771,$AY$11:$AY$4010,0)),""))</f>
        <v/>
      </c>
      <c r="AD781" s="16" t="str">
        <f>IF(AE781="","",IFERROR(INDEX($AL$11:$AL$4010,MATCH(771,$AZ$11:$AZ$4010,0)),""))</f>
        <v/>
      </c>
      <c r="AE781" s="12" t="str">
        <f>IFERROR(INDEX($AM$11:$AM$4010,MATCH(771,$AZ$11:$AZ$4010,0)),"")</f>
        <v/>
      </c>
      <c r="AF781" s="11" t="str">
        <f>IF(AE781="","",IFERROR(INDEX($AN$11:$AN$4010,MATCH(771,$AZ$11:$AZ$4010,0)),""))</f>
        <v/>
      </c>
      <c r="AG781" s="11" t="str">
        <f>IF(AE781="","",IFERROR(INDEX($AO$11:$AO$4010,MATCH(771,$AZ$11:$AZ$4010,0)),""))</f>
        <v/>
      </c>
      <c r="AH781" s="10" t="str">
        <f>IF(AE781="","",IFERROR(INDEX($AQ$11:$AQ$4010,MATCH(771,$AZ$11:$AZ$4010,0)),""))</f>
        <v/>
      </c>
      <c r="AI781" s="15" t="str">
        <f>IF(AE781="","",IFERROR(INDEX($AR$11:$AR$4010,MATCH(771,$AZ$11:$AZ$4010,0)),""))</f>
        <v/>
      </c>
      <c r="AJ781" s="15" t="str">
        <f>IF(AE781="","",IFERROR(INDEX($AT$11:$AT$4010,MATCH(771,$AZ$11:$AZ$4010,0)),""))</f>
        <v/>
      </c>
      <c r="AL781" s="17"/>
      <c r="AM781" s="12"/>
      <c r="AN781" s="18"/>
      <c r="AO781" s="18"/>
      <c r="AP781" s="10"/>
      <c r="AQ781" s="10"/>
      <c r="AR781" s="19"/>
      <c r="AS781" s="20"/>
      <c r="AT781" s="19"/>
      <c r="AV781" s="21">
        <f>IF(AND($AL781&lt;&gt;"",COUNTIF($AL$11:$AL781,$AL781)=1),1,0)</f>
        <v>0</v>
      </c>
      <c r="AW781" s="21">
        <f t="shared" si="111"/>
        <v>0</v>
      </c>
      <c r="AX781" s="21" t="str">
        <f t="shared" si="110"/>
        <v/>
      </c>
      <c r="AY781" s="21" t="str">
        <f>IF(AND($AM781&lt;&gt;"",$AS781&lt;&gt;"✓"),SUMPRODUCT(($AM$11:$AM781&lt;&gt;"")*($AS$11:$AS781&lt;&gt;"✓")),"")</f>
        <v/>
      </c>
      <c r="AZ781" s="21" t="str">
        <f>IF(AND($AM781&lt;&gt;"",$AS781="✓"),SUMPRODUCT(($AM$11:$AM781&lt;&gt;"")*($AS$11:$AS781="✓")),"")</f>
        <v/>
      </c>
      <c r="BA781" s="21" t="str">
        <f>IF($AL781="","",$AL781&amp;"|"&amp;COUNTIF($AL$11:$AL781,$AL781))</f>
        <v/>
      </c>
    </row>
    <row r="782" spans="23:53" ht="15" customHeight="1" x14ac:dyDescent="0.25">
      <c r="W782" s="28" t="str">
        <f>IF(X782="","",IFERROR(INDEX($AL$11:$AL$4010,MATCH(772,$AY$11:$AY$4010,0)),""))</f>
        <v/>
      </c>
      <c r="X782" s="26" t="str">
        <f>IFERROR(INDEX($AM$11:$AM$4010,MATCH(772,$AY$11:$AY$4010,0)),"")</f>
        <v/>
      </c>
      <c r="Y782" s="25" t="str">
        <f>IF(X782="","",IFERROR(INDEX($AN$11:$AN$4010,MATCH(772,$AY$11:$AY$4010,0)),""))</f>
        <v/>
      </c>
      <c r="Z782" s="25" t="str">
        <f>IF(X782="","",IFERROR(INDEX($AO$11:$AO$4010,MATCH(772,$AY$11:$AY$4010,0)),""))</f>
        <v/>
      </c>
      <c r="AA782" s="24" t="str">
        <f>IF(X782="","",IFERROR(INDEX($AQ$11:$AQ$4010,MATCH(772,$AY$11:$AY$4010,0)),""))</f>
        <v/>
      </c>
      <c r="AB782" s="29" t="str">
        <f>IF(X782="","",IFERROR(INDEX($AR$11:$AR$4010,MATCH(772,$AY$11:$AY$4010,0)),""))</f>
        <v/>
      </c>
      <c r="AD782" s="30" t="str">
        <f>IF(AE782="","",IFERROR(INDEX($AL$11:$AL$4010,MATCH(772,$AZ$11:$AZ$4010,0)),""))</f>
        <v/>
      </c>
      <c r="AE782" s="26" t="str">
        <f>IFERROR(INDEX($AM$11:$AM$4010,MATCH(772,$AZ$11:$AZ$4010,0)),"")</f>
        <v/>
      </c>
      <c r="AF782" s="25" t="str">
        <f>IF(AE782="","",IFERROR(INDEX($AN$11:$AN$4010,MATCH(772,$AZ$11:$AZ$4010,0)),""))</f>
        <v/>
      </c>
      <c r="AG782" s="25" t="str">
        <f>IF(AE782="","",IFERROR(INDEX($AO$11:$AO$4010,MATCH(772,$AZ$11:$AZ$4010,0)),""))</f>
        <v/>
      </c>
      <c r="AH782" s="24" t="str">
        <f>IF(AE782="","",IFERROR(INDEX($AQ$11:$AQ$4010,MATCH(772,$AZ$11:$AZ$4010,0)),""))</f>
        <v/>
      </c>
      <c r="AI782" s="29" t="str">
        <f>IF(AE782="","",IFERROR(INDEX($AR$11:$AR$4010,MATCH(772,$AZ$11:$AZ$4010,0)),""))</f>
        <v/>
      </c>
      <c r="AJ782" s="29" t="str">
        <f>IF(AE782="","",IFERROR(INDEX($AT$11:$AT$4010,MATCH(772,$AZ$11:$AZ$4010,0)),""))</f>
        <v/>
      </c>
      <c r="AL782" s="31"/>
      <c r="AM782" s="26"/>
      <c r="AN782" s="32"/>
      <c r="AO782" s="32"/>
      <c r="AP782" s="24"/>
      <c r="AQ782" s="24"/>
      <c r="AR782" s="33"/>
      <c r="AS782" s="34"/>
      <c r="AT782" s="33"/>
      <c r="AV782" s="21">
        <f>IF(AND($AL782&lt;&gt;"",COUNTIF($AL$11:$AL782,$AL782)=1),1,0)</f>
        <v>0</v>
      </c>
      <c r="AW782" s="21">
        <f t="shared" si="111"/>
        <v>0</v>
      </c>
      <c r="AX782" s="21" t="str">
        <f t="shared" si="110"/>
        <v/>
      </c>
      <c r="AY782" s="21" t="str">
        <f>IF(AND($AM782&lt;&gt;"",$AS782&lt;&gt;"✓"),SUMPRODUCT(($AM$11:$AM782&lt;&gt;"")*($AS$11:$AS782&lt;&gt;"✓")),"")</f>
        <v/>
      </c>
      <c r="AZ782" s="21" t="str">
        <f>IF(AND($AM782&lt;&gt;"",$AS782="✓"),SUMPRODUCT(($AM$11:$AM782&lt;&gt;"")*($AS$11:$AS782="✓")),"")</f>
        <v/>
      </c>
      <c r="BA782" s="21" t="str">
        <f>IF($AL782="","",$AL782&amp;"|"&amp;COUNTIF($AL$11:$AL782,$AL782))</f>
        <v/>
      </c>
    </row>
    <row r="783" spans="23:53" ht="15" customHeight="1" x14ac:dyDescent="0.25">
      <c r="W783" s="14" t="str">
        <f>IF(X783="","",IFERROR(INDEX($AL$11:$AL$4010,MATCH(773,$AY$11:$AY$4010,0)),""))</f>
        <v/>
      </c>
      <c r="X783" s="12" t="str">
        <f>IFERROR(INDEX($AM$11:$AM$4010,MATCH(773,$AY$11:$AY$4010,0)),"")</f>
        <v/>
      </c>
      <c r="Y783" s="11" t="str">
        <f>IF(X783="","",IFERROR(INDEX($AN$11:$AN$4010,MATCH(773,$AY$11:$AY$4010,0)),""))</f>
        <v/>
      </c>
      <c r="Z783" s="11" t="str">
        <f>IF(X783="","",IFERROR(INDEX($AO$11:$AO$4010,MATCH(773,$AY$11:$AY$4010,0)),""))</f>
        <v/>
      </c>
      <c r="AA783" s="10" t="str">
        <f>IF(X783="","",IFERROR(INDEX($AQ$11:$AQ$4010,MATCH(773,$AY$11:$AY$4010,0)),""))</f>
        <v/>
      </c>
      <c r="AB783" s="15" t="str">
        <f>IF(X783="","",IFERROR(INDEX($AR$11:$AR$4010,MATCH(773,$AY$11:$AY$4010,0)),""))</f>
        <v/>
      </c>
      <c r="AD783" s="16" t="str">
        <f>IF(AE783="","",IFERROR(INDEX($AL$11:$AL$4010,MATCH(773,$AZ$11:$AZ$4010,0)),""))</f>
        <v/>
      </c>
      <c r="AE783" s="12" t="str">
        <f>IFERROR(INDEX($AM$11:$AM$4010,MATCH(773,$AZ$11:$AZ$4010,0)),"")</f>
        <v/>
      </c>
      <c r="AF783" s="11" t="str">
        <f>IF(AE783="","",IFERROR(INDEX($AN$11:$AN$4010,MATCH(773,$AZ$11:$AZ$4010,0)),""))</f>
        <v/>
      </c>
      <c r="AG783" s="11" t="str">
        <f>IF(AE783="","",IFERROR(INDEX($AO$11:$AO$4010,MATCH(773,$AZ$11:$AZ$4010,0)),""))</f>
        <v/>
      </c>
      <c r="AH783" s="10" t="str">
        <f>IF(AE783="","",IFERROR(INDEX($AQ$11:$AQ$4010,MATCH(773,$AZ$11:$AZ$4010,0)),""))</f>
        <v/>
      </c>
      <c r="AI783" s="15" t="str">
        <f>IF(AE783="","",IFERROR(INDEX($AR$11:$AR$4010,MATCH(773,$AZ$11:$AZ$4010,0)),""))</f>
        <v/>
      </c>
      <c r="AJ783" s="15" t="str">
        <f>IF(AE783="","",IFERROR(INDEX($AT$11:$AT$4010,MATCH(773,$AZ$11:$AZ$4010,0)),""))</f>
        <v/>
      </c>
      <c r="AL783" s="17"/>
      <c r="AM783" s="12"/>
      <c r="AN783" s="18"/>
      <c r="AO783" s="18"/>
      <c r="AP783" s="10"/>
      <c r="AQ783" s="10"/>
      <c r="AR783" s="19"/>
      <c r="AS783" s="20"/>
      <c r="AT783" s="19"/>
      <c r="AV783" s="21">
        <f>IF(AND($AL783&lt;&gt;"",COUNTIF($AL$11:$AL783,$AL783)=1),1,0)</f>
        <v>0</v>
      </c>
      <c r="AW783" s="21">
        <f t="shared" si="111"/>
        <v>0</v>
      </c>
      <c r="AX783" s="21" t="str">
        <f t="shared" si="110"/>
        <v/>
      </c>
      <c r="AY783" s="21" t="str">
        <f>IF(AND($AM783&lt;&gt;"",$AS783&lt;&gt;"✓"),SUMPRODUCT(($AM$11:$AM783&lt;&gt;"")*($AS$11:$AS783&lt;&gt;"✓")),"")</f>
        <v/>
      </c>
      <c r="AZ783" s="21" t="str">
        <f>IF(AND($AM783&lt;&gt;"",$AS783="✓"),SUMPRODUCT(($AM$11:$AM783&lt;&gt;"")*($AS$11:$AS783="✓")),"")</f>
        <v/>
      </c>
      <c r="BA783" s="21" t="str">
        <f>IF($AL783="","",$AL783&amp;"|"&amp;COUNTIF($AL$11:$AL783,$AL783))</f>
        <v/>
      </c>
    </row>
    <row r="784" spans="23:53" ht="15" customHeight="1" x14ac:dyDescent="0.25">
      <c r="W784" s="28" t="str">
        <f>IF(X784="","",IFERROR(INDEX($AL$11:$AL$4010,MATCH(774,$AY$11:$AY$4010,0)),""))</f>
        <v/>
      </c>
      <c r="X784" s="26" t="str">
        <f>IFERROR(INDEX($AM$11:$AM$4010,MATCH(774,$AY$11:$AY$4010,0)),"")</f>
        <v/>
      </c>
      <c r="Y784" s="25" t="str">
        <f>IF(X784="","",IFERROR(INDEX($AN$11:$AN$4010,MATCH(774,$AY$11:$AY$4010,0)),""))</f>
        <v/>
      </c>
      <c r="Z784" s="25" t="str">
        <f>IF(X784="","",IFERROR(INDEX($AO$11:$AO$4010,MATCH(774,$AY$11:$AY$4010,0)),""))</f>
        <v/>
      </c>
      <c r="AA784" s="24" t="str">
        <f>IF(X784="","",IFERROR(INDEX($AQ$11:$AQ$4010,MATCH(774,$AY$11:$AY$4010,0)),""))</f>
        <v/>
      </c>
      <c r="AB784" s="29" t="str">
        <f>IF(X784="","",IFERROR(INDEX($AR$11:$AR$4010,MATCH(774,$AY$11:$AY$4010,0)),""))</f>
        <v/>
      </c>
      <c r="AD784" s="30" t="str">
        <f>IF(AE784="","",IFERROR(INDEX($AL$11:$AL$4010,MATCH(774,$AZ$11:$AZ$4010,0)),""))</f>
        <v/>
      </c>
      <c r="AE784" s="26" t="str">
        <f>IFERROR(INDEX($AM$11:$AM$4010,MATCH(774,$AZ$11:$AZ$4010,0)),"")</f>
        <v/>
      </c>
      <c r="AF784" s="25" t="str">
        <f>IF(AE784="","",IFERROR(INDEX($AN$11:$AN$4010,MATCH(774,$AZ$11:$AZ$4010,0)),""))</f>
        <v/>
      </c>
      <c r="AG784" s="25" t="str">
        <f>IF(AE784="","",IFERROR(INDEX($AO$11:$AO$4010,MATCH(774,$AZ$11:$AZ$4010,0)),""))</f>
        <v/>
      </c>
      <c r="AH784" s="24" t="str">
        <f>IF(AE784="","",IFERROR(INDEX($AQ$11:$AQ$4010,MATCH(774,$AZ$11:$AZ$4010,0)),""))</f>
        <v/>
      </c>
      <c r="AI784" s="29" t="str">
        <f>IF(AE784="","",IFERROR(INDEX($AR$11:$AR$4010,MATCH(774,$AZ$11:$AZ$4010,0)),""))</f>
        <v/>
      </c>
      <c r="AJ784" s="29" t="str">
        <f>IF(AE784="","",IFERROR(INDEX($AT$11:$AT$4010,MATCH(774,$AZ$11:$AZ$4010,0)),""))</f>
        <v/>
      </c>
      <c r="AL784" s="31"/>
      <c r="AM784" s="26"/>
      <c r="AN784" s="32"/>
      <c r="AO784" s="32"/>
      <c r="AP784" s="24"/>
      <c r="AQ784" s="24"/>
      <c r="AR784" s="33"/>
      <c r="AS784" s="34"/>
      <c r="AT784" s="33"/>
      <c r="AV784" s="21">
        <f>IF(AND($AL784&lt;&gt;"",COUNTIF($AL$11:$AL784,$AL784)=1),1,0)</f>
        <v>0</v>
      </c>
      <c r="AW784" s="21">
        <f t="shared" si="111"/>
        <v>0</v>
      </c>
      <c r="AX784" s="21" t="str">
        <f t="shared" si="110"/>
        <v/>
      </c>
      <c r="AY784" s="21" t="str">
        <f>IF(AND($AM784&lt;&gt;"",$AS784&lt;&gt;"✓"),SUMPRODUCT(($AM$11:$AM784&lt;&gt;"")*($AS$11:$AS784&lt;&gt;"✓")),"")</f>
        <v/>
      </c>
      <c r="AZ784" s="21" t="str">
        <f>IF(AND($AM784&lt;&gt;"",$AS784="✓"),SUMPRODUCT(($AM$11:$AM784&lt;&gt;"")*($AS$11:$AS784="✓")),"")</f>
        <v/>
      </c>
      <c r="BA784" s="21" t="str">
        <f>IF($AL784="","",$AL784&amp;"|"&amp;COUNTIF($AL$11:$AL784,$AL784))</f>
        <v/>
      </c>
    </row>
    <row r="785" spans="23:53" ht="15" customHeight="1" x14ac:dyDescent="0.25">
      <c r="W785" s="14" t="str">
        <f>IF(X785="","",IFERROR(INDEX($AL$11:$AL$4010,MATCH(775,$AY$11:$AY$4010,0)),""))</f>
        <v/>
      </c>
      <c r="X785" s="12" t="str">
        <f>IFERROR(INDEX($AM$11:$AM$4010,MATCH(775,$AY$11:$AY$4010,0)),"")</f>
        <v/>
      </c>
      <c r="Y785" s="11" t="str">
        <f>IF(X785="","",IFERROR(INDEX($AN$11:$AN$4010,MATCH(775,$AY$11:$AY$4010,0)),""))</f>
        <v/>
      </c>
      <c r="Z785" s="11" t="str">
        <f>IF(X785="","",IFERROR(INDEX($AO$11:$AO$4010,MATCH(775,$AY$11:$AY$4010,0)),""))</f>
        <v/>
      </c>
      <c r="AA785" s="10" t="str">
        <f>IF(X785="","",IFERROR(INDEX($AQ$11:$AQ$4010,MATCH(775,$AY$11:$AY$4010,0)),""))</f>
        <v/>
      </c>
      <c r="AB785" s="15" t="str">
        <f>IF(X785="","",IFERROR(INDEX($AR$11:$AR$4010,MATCH(775,$AY$11:$AY$4010,0)),""))</f>
        <v/>
      </c>
      <c r="AD785" s="16" t="str">
        <f>IF(AE785="","",IFERROR(INDEX($AL$11:$AL$4010,MATCH(775,$AZ$11:$AZ$4010,0)),""))</f>
        <v/>
      </c>
      <c r="AE785" s="12" t="str">
        <f>IFERROR(INDEX($AM$11:$AM$4010,MATCH(775,$AZ$11:$AZ$4010,0)),"")</f>
        <v/>
      </c>
      <c r="AF785" s="11" t="str">
        <f>IF(AE785="","",IFERROR(INDEX($AN$11:$AN$4010,MATCH(775,$AZ$11:$AZ$4010,0)),""))</f>
        <v/>
      </c>
      <c r="AG785" s="11" t="str">
        <f>IF(AE785="","",IFERROR(INDEX($AO$11:$AO$4010,MATCH(775,$AZ$11:$AZ$4010,0)),""))</f>
        <v/>
      </c>
      <c r="AH785" s="10" t="str">
        <f>IF(AE785="","",IFERROR(INDEX($AQ$11:$AQ$4010,MATCH(775,$AZ$11:$AZ$4010,0)),""))</f>
        <v/>
      </c>
      <c r="AI785" s="15" t="str">
        <f>IF(AE785="","",IFERROR(INDEX($AR$11:$AR$4010,MATCH(775,$AZ$11:$AZ$4010,0)),""))</f>
        <v/>
      </c>
      <c r="AJ785" s="15" t="str">
        <f>IF(AE785="","",IFERROR(INDEX($AT$11:$AT$4010,MATCH(775,$AZ$11:$AZ$4010,0)),""))</f>
        <v/>
      </c>
      <c r="AL785" s="17"/>
      <c r="AM785" s="12"/>
      <c r="AN785" s="18"/>
      <c r="AO785" s="18"/>
      <c r="AP785" s="10"/>
      <c r="AQ785" s="10"/>
      <c r="AR785" s="19"/>
      <c r="AS785" s="20"/>
      <c r="AT785" s="19"/>
      <c r="AV785" s="21">
        <f>IF(AND($AL785&lt;&gt;"",COUNTIF($AL$11:$AL785,$AL785)=1),1,0)</f>
        <v>0</v>
      </c>
      <c r="AW785" s="21">
        <f t="shared" si="111"/>
        <v>0</v>
      </c>
      <c r="AX785" s="21" t="str">
        <f t="shared" si="110"/>
        <v/>
      </c>
      <c r="AY785" s="21" t="str">
        <f>IF(AND($AM785&lt;&gt;"",$AS785&lt;&gt;"✓"),SUMPRODUCT(($AM$11:$AM785&lt;&gt;"")*($AS$11:$AS785&lt;&gt;"✓")),"")</f>
        <v/>
      </c>
      <c r="AZ785" s="21" t="str">
        <f>IF(AND($AM785&lt;&gt;"",$AS785="✓"),SUMPRODUCT(($AM$11:$AM785&lt;&gt;"")*($AS$11:$AS785="✓")),"")</f>
        <v/>
      </c>
      <c r="BA785" s="21" t="str">
        <f>IF($AL785="","",$AL785&amp;"|"&amp;COUNTIF($AL$11:$AL785,$AL785))</f>
        <v/>
      </c>
    </row>
    <row r="786" spans="23:53" ht="15" customHeight="1" x14ac:dyDescent="0.25">
      <c r="W786" s="28" t="str">
        <f>IF(X786="","",IFERROR(INDEX($AL$11:$AL$4010,MATCH(776,$AY$11:$AY$4010,0)),""))</f>
        <v/>
      </c>
      <c r="X786" s="26" t="str">
        <f>IFERROR(INDEX($AM$11:$AM$4010,MATCH(776,$AY$11:$AY$4010,0)),"")</f>
        <v/>
      </c>
      <c r="Y786" s="25" t="str">
        <f>IF(X786="","",IFERROR(INDEX($AN$11:$AN$4010,MATCH(776,$AY$11:$AY$4010,0)),""))</f>
        <v/>
      </c>
      <c r="Z786" s="25" t="str">
        <f>IF(X786="","",IFERROR(INDEX($AO$11:$AO$4010,MATCH(776,$AY$11:$AY$4010,0)),""))</f>
        <v/>
      </c>
      <c r="AA786" s="24" t="str">
        <f>IF(X786="","",IFERROR(INDEX($AQ$11:$AQ$4010,MATCH(776,$AY$11:$AY$4010,0)),""))</f>
        <v/>
      </c>
      <c r="AB786" s="29" t="str">
        <f>IF(X786="","",IFERROR(INDEX($AR$11:$AR$4010,MATCH(776,$AY$11:$AY$4010,0)),""))</f>
        <v/>
      </c>
      <c r="AD786" s="30" t="str">
        <f>IF(AE786="","",IFERROR(INDEX($AL$11:$AL$4010,MATCH(776,$AZ$11:$AZ$4010,0)),""))</f>
        <v/>
      </c>
      <c r="AE786" s="26" t="str">
        <f>IFERROR(INDEX($AM$11:$AM$4010,MATCH(776,$AZ$11:$AZ$4010,0)),"")</f>
        <v/>
      </c>
      <c r="AF786" s="25" t="str">
        <f>IF(AE786="","",IFERROR(INDEX($AN$11:$AN$4010,MATCH(776,$AZ$11:$AZ$4010,0)),""))</f>
        <v/>
      </c>
      <c r="AG786" s="25" t="str">
        <f>IF(AE786="","",IFERROR(INDEX($AO$11:$AO$4010,MATCH(776,$AZ$11:$AZ$4010,0)),""))</f>
        <v/>
      </c>
      <c r="AH786" s="24" t="str">
        <f>IF(AE786="","",IFERROR(INDEX($AQ$11:$AQ$4010,MATCH(776,$AZ$11:$AZ$4010,0)),""))</f>
        <v/>
      </c>
      <c r="AI786" s="29" t="str">
        <f>IF(AE786="","",IFERROR(INDEX($AR$11:$AR$4010,MATCH(776,$AZ$11:$AZ$4010,0)),""))</f>
        <v/>
      </c>
      <c r="AJ786" s="29" t="str">
        <f>IF(AE786="","",IFERROR(INDEX($AT$11:$AT$4010,MATCH(776,$AZ$11:$AZ$4010,0)),""))</f>
        <v/>
      </c>
      <c r="AL786" s="31"/>
      <c r="AM786" s="26"/>
      <c r="AN786" s="32"/>
      <c r="AO786" s="32"/>
      <c r="AP786" s="24"/>
      <c r="AQ786" s="24"/>
      <c r="AR786" s="33"/>
      <c r="AS786" s="34"/>
      <c r="AT786" s="33"/>
      <c r="AV786" s="21">
        <f>IF(AND($AL786&lt;&gt;"",COUNTIF($AL$11:$AL786,$AL786)=1),1,0)</f>
        <v>0</v>
      </c>
      <c r="AW786" s="21">
        <f t="shared" si="111"/>
        <v>0</v>
      </c>
      <c r="AX786" s="21" t="str">
        <f t="shared" si="110"/>
        <v/>
      </c>
      <c r="AY786" s="21" t="str">
        <f>IF(AND($AM786&lt;&gt;"",$AS786&lt;&gt;"✓"),SUMPRODUCT(($AM$11:$AM786&lt;&gt;"")*($AS$11:$AS786&lt;&gt;"✓")),"")</f>
        <v/>
      </c>
      <c r="AZ786" s="21" t="str">
        <f>IF(AND($AM786&lt;&gt;"",$AS786="✓"),SUMPRODUCT(($AM$11:$AM786&lt;&gt;"")*($AS$11:$AS786="✓")),"")</f>
        <v/>
      </c>
      <c r="BA786" s="21" t="str">
        <f>IF($AL786="","",$AL786&amp;"|"&amp;COUNTIF($AL$11:$AL786,$AL786))</f>
        <v/>
      </c>
    </row>
    <row r="787" spans="23:53" ht="15" customHeight="1" x14ac:dyDescent="0.25">
      <c r="W787" s="14" t="str">
        <f>IF(X787="","",IFERROR(INDEX($AL$11:$AL$4010,MATCH(777,$AY$11:$AY$4010,0)),""))</f>
        <v/>
      </c>
      <c r="X787" s="12" t="str">
        <f>IFERROR(INDEX($AM$11:$AM$4010,MATCH(777,$AY$11:$AY$4010,0)),"")</f>
        <v/>
      </c>
      <c r="Y787" s="11" t="str">
        <f>IF(X787="","",IFERROR(INDEX($AN$11:$AN$4010,MATCH(777,$AY$11:$AY$4010,0)),""))</f>
        <v/>
      </c>
      <c r="Z787" s="11" t="str">
        <f>IF(X787="","",IFERROR(INDEX($AO$11:$AO$4010,MATCH(777,$AY$11:$AY$4010,0)),""))</f>
        <v/>
      </c>
      <c r="AA787" s="10" t="str">
        <f>IF(X787="","",IFERROR(INDEX($AQ$11:$AQ$4010,MATCH(777,$AY$11:$AY$4010,0)),""))</f>
        <v/>
      </c>
      <c r="AB787" s="15" t="str">
        <f>IF(X787="","",IFERROR(INDEX($AR$11:$AR$4010,MATCH(777,$AY$11:$AY$4010,0)),""))</f>
        <v/>
      </c>
      <c r="AD787" s="16" t="str">
        <f>IF(AE787="","",IFERROR(INDEX($AL$11:$AL$4010,MATCH(777,$AZ$11:$AZ$4010,0)),""))</f>
        <v/>
      </c>
      <c r="AE787" s="12" t="str">
        <f>IFERROR(INDEX($AM$11:$AM$4010,MATCH(777,$AZ$11:$AZ$4010,0)),"")</f>
        <v/>
      </c>
      <c r="AF787" s="11" t="str">
        <f>IF(AE787="","",IFERROR(INDEX($AN$11:$AN$4010,MATCH(777,$AZ$11:$AZ$4010,0)),""))</f>
        <v/>
      </c>
      <c r="AG787" s="11" t="str">
        <f>IF(AE787="","",IFERROR(INDEX($AO$11:$AO$4010,MATCH(777,$AZ$11:$AZ$4010,0)),""))</f>
        <v/>
      </c>
      <c r="AH787" s="10" t="str">
        <f>IF(AE787="","",IFERROR(INDEX($AQ$11:$AQ$4010,MATCH(777,$AZ$11:$AZ$4010,0)),""))</f>
        <v/>
      </c>
      <c r="AI787" s="15" t="str">
        <f>IF(AE787="","",IFERROR(INDEX($AR$11:$AR$4010,MATCH(777,$AZ$11:$AZ$4010,0)),""))</f>
        <v/>
      </c>
      <c r="AJ787" s="15" t="str">
        <f>IF(AE787="","",IFERROR(INDEX($AT$11:$AT$4010,MATCH(777,$AZ$11:$AZ$4010,0)),""))</f>
        <v/>
      </c>
      <c r="AL787" s="17"/>
      <c r="AM787" s="12"/>
      <c r="AN787" s="18"/>
      <c r="AO787" s="18"/>
      <c r="AP787" s="10"/>
      <c r="AQ787" s="10"/>
      <c r="AR787" s="19"/>
      <c r="AS787" s="20"/>
      <c r="AT787" s="19"/>
      <c r="AV787" s="21">
        <f>IF(AND($AL787&lt;&gt;"",COUNTIF($AL$11:$AL787,$AL787)=1),1,0)</f>
        <v>0</v>
      </c>
      <c r="AW787" s="21">
        <f t="shared" si="111"/>
        <v>0</v>
      </c>
      <c r="AX787" s="21" t="str">
        <f t="shared" si="110"/>
        <v/>
      </c>
      <c r="AY787" s="21" t="str">
        <f>IF(AND($AM787&lt;&gt;"",$AS787&lt;&gt;"✓"),SUMPRODUCT(($AM$11:$AM787&lt;&gt;"")*($AS$11:$AS787&lt;&gt;"✓")),"")</f>
        <v/>
      </c>
      <c r="AZ787" s="21" t="str">
        <f>IF(AND($AM787&lt;&gt;"",$AS787="✓"),SUMPRODUCT(($AM$11:$AM787&lt;&gt;"")*($AS$11:$AS787="✓")),"")</f>
        <v/>
      </c>
      <c r="BA787" s="21" t="str">
        <f>IF($AL787="","",$AL787&amp;"|"&amp;COUNTIF($AL$11:$AL787,$AL787))</f>
        <v/>
      </c>
    </row>
    <row r="788" spans="23:53" ht="15" customHeight="1" x14ac:dyDescent="0.25">
      <c r="W788" s="28" t="str">
        <f>IF(X788="","",IFERROR(INDEX($AL$11:$AL$4010,MATCH(778,$AY$11:$AY$4010,0)),""))</f>
        <v/>
      </c>
      <c r="X788" s="26" t="str">
        <f>IFERROR(INDEX($AM$11:$AM$4010,MATCH(778,$AY$11:$AY$4010,0)),"")</f>
        <v/>
      </c>
      <c r="Y788" s="25" t="str">
        <f>IF(X788="","",IFERROR(INDEX($AN$11:$AN$4010,MATCH(778,$AY$11:$AY$4010,0)),""))</f>
        <v/>
      </c>
      <c r="Z788" s="25" t="str">
        <f>IF(X788="","",IFERROR(INDEX($AO$11:$AO$4010,MATCH(778,$AY$11:$AY$4010,0)),""))</f>
        <v/>
      </c>
      <c r="AA788" s="24" t="str">
        <f>IF(X788="","",IFERROR(INDEX($AQ$11:$AQ$4010,MATCH(778,$AY$11:$AY$4010,0)),""))</f>
        <v/>
      </c>
      <c r="AB788" s="29" t="str">
        <f>IF(X788="","",IFERROR(INDEX($AR$11:$AR$4010,MATCH(778,$AY$11:$AY$4010,0)),""))</f>
        <v/>
      </c>
      <c r="AD788" s="30" t="str">
        <f>IF(AE788="","",IFERROR(INDEX($AL$11:$AL$4010,MATCH(778,$AZ$11:$AZ$4010,0)),""))</f>
        <v/>
      </c>
      <c r="AE788" s="26" t="str">
        <f>IFERROR(INDEX($AM$11:$AM$4010,MATCH(778,$AZ$11:$AZ$4010,0)),"")</f>
        <v/>
      </c>
      <c r="AF788" s="25" t="str">
        <f>IF(AE788="","",IFERROR(INDEX($AN$11:$AN$4010,MATCH(778,$AZ$11:$AZ$4010,0)),""))</f>
        <v/>
      </c>
      <c r="AG788" s="25" t="str">
        <f>IF(AE788="","",IFERROR(INDEX($AO$11:$AO$4010,MATCH(778,$AZ$11:$AZ$4010,0)),""))</f>
        <v/>
      </c>
      <c r="AH788" s="24" t="str">
        <f>IF(AE788="","",IFERROR(INDEX($AQ$11:$AQ$4010,MATCH(778,$AZ$11:$AZ$4010,0)),""))</f>
        <v/>
      </c>
      <c r="AI788" s="29" t="str">
        <f>IF(AE788="","",IFERROR(INDEX($AR$11:$AR$4010,MATCH(778,$AZ$11:$AZ$4010,0)),""))</f>
        <v/>
      </c>
      <c r="AJ788" s="29" t="str">
        <f>IF(AE788="","",IFERROR(INDEX($AT$11:$AT$4010,MATCH(778,$AZ$11:$AZ$4010,0)),""))</f>
        <v/>
      </c>
      <c r="AL788" s="31"/>
      <c r="AM788" s="26"/>
      <c r="AN788" s="32"/>
      <c r="AO788" s="32"/>
      <c r="AP788" s="24"/>
      <c r="AQ788" s="24"/>
      <c r="AR788" s="33"/>
      <c r="AS788" s="34"/>
      <c r="AT788" s="33"/>
      <c r="AV788" s="21">
        <f>IF(AND($AL788&lt;&gt;"",COUNTIF($AL$11:$AL788,$AL788)=1),1,0)</f>
        <v>0</v>
      </c>
      <c r="AW788" s="21">
        <f t="shared" si="111"/>
        <v>0</v>
      </c>
      <c r="AX788" s="21" t="str">
        <f t="shared" si="110"/>
        <v/>
      </c>
      <c r="AY788" s="21" t="str">
        <f>IF(AND($AM788&lt;&gt;"",$AS788&lt;&gt;"✓"),SUMPRODUCT(($AM$11:$AM788&lt;&gt;"")*($AS$11:$AS788&lt;&gt;"✓")),"")</f>
        <v/>
      </c>
      <c r="AZ788" s="21" t="str">
        <f>IF(AND($AM788&lt;&gt;"",$AS788="✓"),SUMPRODUCT(($AM$11:$AM788&lt;&gt;"")*($AS$11:$AS788="✓")),"")</f>
        <v/>
      </c>
      <c r="BA788" s="21" t="str">
        <f>IF($AL788="","",$AL788&amp;"|"&amp;COUNTIF($AL$11:$AL788,$AL788))</f>
        <v/>
      </c>
    </row>
    <row r="789" spans="23:53" ht="15" customHeight="1" x14ac:dyDescent="0.25">
      <c r="W789" s="14" t="str">
        <f>IF(X789="","",IFERROR(INDEX($AL$11:$AL$4010,MATCH(779,$AY$11:$AY$4010,0)),""))</f>
        <v/>
      </c>
      <c r="X789" s="12" t="str">
        <f>IFERROR(INDEX($AM$11:$AM$4010,MATCH(779,$AY$11:$AY$4010,0)),"")</f>
        <v/>
      </c>
      <c r="Y789" s="11" t="str">
        <f>IF(X789="","",IFERROR(INDEX($AN$11:$AN$4010,MATCH(779,$AY$11:$AY$4010,0)),""))</f>
        <v/>
      </c>
      <c r="Z789" s="11" t="str">
        <f>IF(X789="","",IFERROR(INDEX($AO$11:$AO$4010,MATCH(779,$AY$11:$AY$4010,0)),""))</f>
        <v/>
      </c>
      <c r="AA789" s="10" t="str">
        <f>IF(X789="","",IFERROR(INDEX($AQ$11:$AQ$4010,MATCH(779,$AY$11:$AY$4010,0)),""))</f>
        <v/>
      </c>
      <c r="AB789" s="15" t="str">
        <f>IF(X789="","",IFERROR(INDEX($AR$11:$AR$4010,MATCH(779,$AY$11:$AY$4010,0)),""))</f>
        <v/>
      </c>
      <c r="AD789" s="16" t="str">
        <f>IF(AE789="","",IFERROR(INDEX($AL$11:$AL$4010,MATCH(779,$AZ$11:$AZ$4010,0)),""))</f>
        <v/>
      </c>
      <c r="AE789" s="12" t="str">
        <f>IFERROR(INDEX($AM$11:$AM$4010,MATCH(779,$AZ$11:$AZ$4010,0)),"")</f>
        <v/>
      </c>
      <c r="AF789" s="11" t="str">
        <f>IF(AE789="","",IFERROR(INDEX($AN$11:$AN$4010,MATCH(779,$AZ$11:$AZ$4010,0)),""))</f>
        <v/>
      </c>
      <c r="AG789" s="11" t="str">
        <f>IF(AE789="","",IFERROR(INDEX($AO$11:$AO$4010,MATCH(779,$AZ$11:$AZ$4010,0)),""))</f>
        <v/>
      </c>
      <c r="AH789" s="10" t="str">
        <f>IF(AE789="","",IFERROR(INDEX($AQ$11:$AQ$4010,MATCH(779,$AZ$11:$AZ$4010,0)),""))</f>
        <v/>
      </c>
      <c r="AI789" s="15" t="str">
        <f>IF(AE789="","",IFERROR(INDEX($AR$11:$AR$4010,MATCH(779,$AZ$11:$AZ$4010,0)),""))</f>
        <v/>
      </c>
      <c r="AJ789" s="15" t="str">
        <f>IF(AE789="","",IFERROR(INDEX($AT$11:$AT$4010,MATCH(779,$AZ$11:$AZ$4010,0)),""))</f>
        <v/>
      </c>
      <c r="AL789" s="17"/>
      <c r="AM789" s="12"/>
      <c r="AN789" s="18"/>
      <c r="AO789" s="18"/>
      <c r="AP789" s="10"/>
      <c r="AQ789" s="10"/>
      <c r="AR789" s="19"/>
      <c r="AS789" s="20"/>
      <c r="AT789" s="19"/>
      <c r="AV789" s="21">
        <f>IF(AND($AL789&lt;&gt;"",COUNTIF($AL$11:$AL789,$AL789)=1),1,0)</f>
        <v>0</v>
      </c>
      <c r="AW789" s="21">
        <f t="shared" si="111"/>
        <v>0</v>
      </c>
      <c r="AX789" s="21" t="str">
        <f t="shared" si="110"/>
        <v/>
      </c>
      <c r="AY789" s="21" t="str">
        <f>IF(AND($AM789&lt;&gt;"",$AS789&lt;&gt;"✓"),SUMPRODUCT(($AM$11:$AM789&lt;&gt;"")*($AS$11:$AS789&lt;&gt;"✓")),"")</f>
        <v/>
      </c>
      <c r="AZ789" s="21" t="str">
        <f>IF(AND($AM789&lt;&gt;"",$AS789="✓"),SUMPRODUCT(($AM$11:$AM789&lt;&gt;"")*($AS$11:$AS789="✓")),"")</f>
        <v/>
      </c>
      <c r="BA789" s="21" t="str">
        <f>IF($AL789="","",$AL789&amp;"|"&amp;COUNTIF($AL$11:$AL789,$AL789))</f>
        <v/>
      </c>
    </row>
    <row r="790" spans="23:53" ht="15" customHeight="1" x14ac:dyDescent="0.25">
      <c r="W790" s="28" t="str">
        <f>IF(X790="","",IFERROR(INDEX($AL$11:$AL$4010,MATCH(780,$AY$11:$AY$4010,0)),""))</f>
        <v/>
      </c>
      <c r="X790" s="26" t="str">
        <f>IFERROR(INDEX($AM$11:$AM$4010,MATCH(780,$AY$11:$AY$4010,0)),"")</f>
        <v/>
      </c>
      <c r="Y790" s="25" t="str">
        <f>IF(X790="","",IFERROR(INDEX($AN$11:$AN$4010,MATCH(780,$AY$11:$AY$4010,0)),""))</f>
        <v/>
      </c>
      <c r="Z790" s="25" t="str">
        <f>IF(X790="","",IFERROR(INDEX($AO$11:$AO$4010,MATCH(780,$AY$11:$AY$4010,0)),""))</f>
        <v/>
      </c>
      <c r="AA790" s="24" t="str">
        <f>IF(X790="","",IFERROR(INDEX($AQ$11:$AQ$4010,MATCH(780,$AY$11:$AY$4010,0)),""))</f>
        <v/>
      </c>
      <c r="AB790" s="29" t="str">
        <f>IF(X790="","",IFERROR(INDEX($AR$11:$AR$4010,MATCH(780,$AY$11:$AY$4010,0)),""))</f>
        <v/>
      </c>
      <c r="AD790" s="30" t="str">
        <f>IF(AE790="","",IFERROR(INDEX($AL$11:$AL$4010,MATCH(780,$AZ$11:$AZ$4010,0)),""))</f>
        <v/>
      </c>
      <c r="AE790" s="26" t="str">
        <f>IFERROR(INDEX($AM$11:$AM$4010,MATCH(780,$AZ$11:$AZ$4010,0)),"")</f>
        <v/>
      </c>
      <c r="AF790" s="25" t="str">
        <f>IF(AE790="","",IFERROR(INDEX($AN$11:$AN$4010,MATCH(780,$AZ$11:$AZ$4010,0)),""))</f>
        <v/>
      </c>
      <c r="AG790" s="25" t="str">
        <f>IF(AE790="","",IFERROR(INDEX($AO$11:$AO$4010,MATCH(780,$AZ$11:$AZ$4010,0)),""))</f>
        <v/>
      </c>
      <c r="AH790" s="24" t="str">
        <f>IF(AE790="","",IFERROR(INDEX($AQ$11:$AQ$4010,MATCH(780,$AZ$11:$AZ$4010,0)),""))</f>
        <v/>
      </c>
      <c r="AI790" s="29" t="str">
        <f>IF(AE790="","",IFERROR(INDEX($AR$11:$AR$4010,MATCH(780,$AZ$11:$AZ$4010,0)),""))</f>
        <v/>
      </c>
      <c r="AJ790" s="29" t="str">
        <f>IF(AE790="","",IFERROR(INDEX($AT$11:$AT$4010,MATCH(780,$AZ$11:$AZ$4010,0)),""))</f>
        <v/>
      </c>
      <c r="AL790" s="31"/>
      <c r="AM790" s="26"/>
      <c r="AN790" s="32"/>
      <c r="AO790" s="32"/>
      <c r="AP790" s="24"/>
      <c r="AQ790" s="24"/>
      <c r="AR790" s="33"/>
      <c r="AS790" s="34"/>
      <c r="AT790" s="33"/>
      <c r="AV790" s="21">
        <f>IF(AND($AL790&lt;&gt;"",COUNTIF($AL$11:$AL790,$AL790)=1),1,0)</f>
        <v>0</v>
      </c>
      <c r="AW790" s="21">
        <f t="shared" si="111"/>
        <v>0</v>
      </c>
      <c r="AX790" s="21" t="str">
        <f t="shared" si="110"/>
        <v/>
      </c>
      <c r="AY790" s="21" t="str">
        <f>IF(AND($AM790&lt;&gt;"",$AS790&lt;&gt;"✓"),SUMPRODUCT(($AM$11:$AM790&lt;&gt;"")*($AS$11:$AS790&lt;&gt;"✓")),"")</f>
        <v/>
      </c>
      <c r="AZ790" s="21" t="str">
        <f>IF(AND($AM790&lt;&gt;"",$AS790="✓"),SUMPRODUCT(($AM$11:$AM790&lt;&gt;"")*($AS$11:$AS790="✓")),"")</f>
        <v/>
      </c>
      <c r="BA790" s="21" t="str">
        <f>IF($AL790="","",$AL790&amp;"|"&amp;COUNTIF($AL$11:$AL790,$AL790))</f>
        <v/>
      </c>
    </row>
    <row r="791" spans="23:53" ht="15" customHeight="1" x14ac:dyDescent="0.25">
      <c r="W791" s="14" t="str">
        <f>IF(X791="","",IFERROR(INDEX($AL$11:$AL$4010,MATCH(781,$AY$11:$AY$4010,0)),""))</f>
        <v/>
      </c>
      <c r="X791" s="12" t="str">
        <f>IFERROR(INDEX($AM$11:$AM$4010,MATCH(781,$AY$11:$AY$4010,0)),"")</f>
        <v/>
      </c>
      <c r="Y791" s="11" t="str">
        <f>IF(X791="","",IFERROR(INDEX($AN$11:$AN$4010,MATCH(781,$AY$11:$AY$4010,0)),""))</f>
        <v/>
      </c>
      <c r="Z791" s="11" t="str">
        <f>IF(X791="","",IFERROR(INDEX($AO$11:$AO$4010,MATCH(781,$AY$11:$AY$4010,0)),""))</f>
        <v/>
      </c>
      <c r="AA791" s="10" t="str">
        <f>IF(X791="","",IFERROR(INDEX($AQ$11:$AQ$4010,MATCH(781,$AY$11:$AY$4010,0)),""))</f>
        <v/>
      </c>
      <c r="AB791" s="15" t="str">
        <f>IF(X791="","",IFERROR(INDEX($AR$11:$AR$4010,MATCH(781,$AY$11:$AY$4010,0)),""))</f>
        <v/>
      </c>
      <c r="AD791" s="16" t="str">
        <f>IF(AE791="","",IFERROR(INDEX($AL$11:$AL$4010,MATCH(781,$AZ$11:$AZ$4010,0)),""))</f>
        <v/>
      </c>
      <c r="AE791" s="12" t="str">
        <f>IFERROR(INDEX($AM$11:$AM$4010,MATCH(781,$AZ$11:$AZ$4010,0)),"")</f>
        <v/>
      </c>
      <c r="AF791" s="11" t="str">
        <f>IF(AE791="","",IFERROR(INDEX($AN$11:$AN$4010,MATCH(781,$AZ$11:$AZ$4010,0)),""))</f>
        <v/>
      </c>
      <c r="AG791" s="11" t="str">
        <f>IF(AE791="","",IFERROR(INDEX($AO$11:$AO$4010,MATCH(781,$AZ$11:$AZ$4010,0)),""))</f>
        <v/>
      </c>
      <c r="AH791" s="10" t="str">
        <f>IF(AE791="","",IFERROR(INDEX($AQ$11:$AQ$4010,MATCH(781,$AZ$11:$AZ$4010,0)),""))</f>
        <v/>
      </c>
      <c r="AI791" s="15" t="str">
        <f>IF(AE791="","",IFERROR(INDEX($AR$11:$AR$4010,MATCH(781,$AZ$11:$AZ$4010,0)),""))</f>
        <v/>
      </c>
      <c r="AJ791" s="15" t="str">
        <f>IF(AE791="","",IFERROR(INDEX($AT$11:$AT$4010,MATCH(781,$AZ$11:$AZ$4010,0)),""))</f>
        <v/>
      </c>
      <c r="AL791" s="17"/>
      <c r="AM791" s="12"/>
      <c r="AN791" s="18"/>
      <c r="AO791" s="18"/>
      <c r="AP791" s="10"/>
      <c r="AQ791" s="10"/>
      <c r="AR791" s="19"/>
      <c r="AS791" s="20"/>
      <c r="AT791" s="19"/>
      <c r="AV791" s="21">
        <f>IF(AND($AL791&lt;&gt;"",COUNTIF($AL$11:$AL791,$AL791)=1),1,0)</f>
        <v>0</v>
      </c>
      <c r="AW791" s="21">
        <f t="shared" si="111"/>
        <v>0</v>
      </c>
      <c r="AX791" s="21" t="str">
        <f t="shared" si="110"/>
        <v/>
      </c>
      <c r="AY791" s="21" t="str">
        <f>IF(AND($AM791&lt;&gt;"",$AS791&lt;&gt;"✓"),SUMPRODUCT(($AM$11:$AM791&lt;&gt;"")*($AS$11:$AS791&lt;&gt;"✓")),"")</f>
        <v/>
      </c>
      <c r="AZ791" s="21" t="str">
        <f>IF(AND($AM791&lt;&gt;"",$AS791="✓"),SUMPRODUCT(($AM$11:$AM791&lt;&gt;"")*($AS$11:$AS791="✓")),"")</f>
        <v/>
      </c>
      <c r="BA791" s="21" t="str">
        <f>IF($AL791="","",$AL791&amp;"|"&amp;COUNTIF($AL$11:$AL791,$AL791))</f>
        <v/>
      </c>
    </row>
    <row r="792" spans="23:53" ht="15" customHeight="1" x14ac:dyDescent="0.25">
      <c r="W792" s="28" t="str">
        <f>IF(X792="","",IFERROR(INDEX($AL$11:$AL$4010,MATCH(782,$AY$11:$AY$4010,0)),""))</f>
        <v/>
      </c>
      <c r="X792" s="26" t="str">
        <f>IFERROR(INDEX($AM$11:$AM$4010,MATCH(782,$AY$11:$AY$4010,0)),"")</f>
        <v/>
      </c>
      <c r="Y792" s="25" t="str">
        <f>IF(X792="","",IFERROR(INDEX($AN$11:$AN$4010,MATCH(782,$AY$11:$AY$4010,0)),""))</f>
        <v/>
      </c>
      <c r="Z792" s="25" t="str">
        <f>IF(X792="","",IFERROR(INDEX($AO$11:$AO$4010,MATCH(782,$AY$11:$AY$4010,0)),""))</f>
        <v/>
      </c>
      <c r="AA792" s="24" t="str">
        <f>IF(X792="","",IFERROR(INDEX($AQ$11:$AQ$4010,MATCH(782,$AY$11:$AY$4010,0)),""))</f>
        <v/>
      </c>
      <c r="AB792" s="29" t="str">
        <f>IF(X792="","",IFERROR(INDEX($AR$11:$AR$4010,MATCH(782,$AY$11:$AY$4010,0)),""))</f>
        <v/>
      </c>
      <c r="AD792" s="30" t="str">
        <f>IF(AE792="","",IFERROR(INDEX($AL$11:$AL$4010,MATCH(782,$AZ$11:$AZ$4010,0)),""))</f>
        <v/>
      </c>
      <c r="AE792" s="26" t="str">
        <f>IFERROR(INDEX($AM$11:$AM$4010,MATCH(782,$AZ$11:$AZ$4010,0)),"")</f>
        <v/>
      </c>
      <c r="AF792" s="25" t="str">
        <f>IF(AE792="","",IFERROR(INDEX($AN$11:$AN$4010,MATCH(782,$AZ$11:$AZ$4010,0)),""))</f>
        <v/>
      </c>
      <c r="AG792" s="25" t="str">
        <f>IF(AE792="","",IFERROR(INDEX($AO$11:$AO$4010,MATCH(782,$AZ$11:$AZ$4010,0)),""))</f>
        <v/>
      </c>
      <c r="AH792" s="24" t="str">
        <f>IF(AE792="","",IFERROR(INDEX($AQ$11:$AQ$4010,MATCH(782,$AZ$11:$AZ$4010,0)),""))</f>
        <v/>
      </c>
      <c r="AI792" s="29" t="str">
        <f>IF(AE792="","",IFERROR(INDEX($AR$11:$AR$4010,MATCH(782,$AZ$11:$AZ$4010,0)),""))</f>
        <v/>
      </c>
      <c r="AJ792" s="29" t="str">
        <f>IF(AE792="","",IFERROR(INDEX($AT$11:$AT$4010,MATCH(782,$AZ$11:$AZ$4010,0)),""))</f>
        <v/>
      </c>
      <c r="AL792" s="31"/>
      <c r="AM792" s="26"/>
      <c r="AN792" s="32"/>
      <c r="AO792" s="32"/>
      <c r="AP792" s="24"/>
      <c r="AQ792" s="24"/>
      <c r="AR792" s="33"/>
      <c r="AS792" s="34"/>
      <c r="AT792" s="33"/>
      <c r="AV792" s="21">
        <f>IF(AND($AL792&lt;&gt;"",COUNTIF($AL$11:$AL792,$AL792)=1),1,0)</f>
        <v>0</v>
      </c>
      <c r="AW792" s="21">
        <f t="shared" si="111"/>
        <v>0</v>
      </c>
      <c r="AX792" s="21" t="str">
        <f t="shared" si="110"/>
        <v/>
      </c>
      <c r="AY792" s="21" t="str">
        <f>IF(AND($AM792&lt;&gt;"",$AS792&lt;&gt;"✓"),SUMPRODUCT(($AM$11:$AM792&lt;&gt;"")*($AS$11:$AS792&lt;&gt;"✓")),"")</f>
        <v/>
      </c>
      <c r="AZ792" s="21" t="str">
        <f>IF(AND($AM792&lt;&gt;"",$AS792="✓"),SUMPRODUCT(($AM$11:$AM792&lt;&gt;"")*($AS$11:$AS792="✓")),"")</f>
        <v/>
      </c>
      <c r="BA792" s="21" t="str">
        <f>IF($AL792="","",$AL792&amp;"|"&amp;COUNTIF($AL$11:$AL792,$AL792))</f>
        <v/>
      </c>
    </row>
    <row r="793" spans="23:53" ht="15" customHeight="1" x14ac:dyDescent="0.25">
      <c r="W793" s="14" t="str">
        <f>IF(X793="","",IFERROR(INDEX($AL$11:$AL$4010,MATCH(783,$AY$11:$AY$4010,0)),""))</f>
        <v/>
      </c>
      <c r="X793" s="12" t="str">
        <f>IFERROR(INDEX($AM$11:$AM$4010,MATCH(783,$AY$11:$AY$4010,0)),"")</f>
        <v/>
      </c>
      <c r="Y793" s="11" t="str">
        <f>IF(X793="","",IFERROR(INDEX($AN$11:$AN$4010,MATCH(783,$AY$11:$AY$4010,0)),""))</f>
        <v/>
      </c>
      <c r="Z793" s="11" t="str">
        <f>IF(X793="","",IFERROR(INDEX($AO$11:$AO$4010,MATCH(783,$AY$11:$AY$4010,0)),""))</f>
        <v/>
      </c>
      <c r="AA793" s="10" t="str">
        <f>IF(X793="","",IFERROR(INDEX($AQ$11:$AQ$4010,MATCH(783,$AY$11:$AY$4010,0)),""))</f>
        <v/>
      </c>
      <c r="AB793" s="15" t="str">
        <f>IF(X793="","",IFERROR(INDEX($AR$11:$AR$4010,MATCH(783,$AY$11:$AY$4010,0)),""))</f>
        <v/>
      </c>
      <c r="AD793" s="16" t="str">
        <f>IF(AE793="","",IFERROR(INDEX($AL$11:$AL$4010,MATCH(783,$AZ$11:$AZ$4010,0)),""))</f>
        <v/>
      </c>
      <c r="AE793" s="12" t="str">
        <f>IFERROR(INDEX($AM$11:$AM$4010,MATCH(783,$AZ$11:$AZ$4010,0)),"")</f>
        <v/>
      </c>
      <c r="AF793" s="11" t="str">
        <f>IF(AE793="","",IFERROR(INDEX($AN$11:$AN$4010,MATCH(783,$AZ$11:$AZ$4010,0)),""))</f>
        <v/>
      </c>
      <c r="AG793" s="11" t="str">
        <f>IF(AE793="","",IFERROR(INDEX($AO$11:$AO$4010,MATCH(783,$AZ$11:$AZ$4010,0)),""))</f>
        <v/>
      </c>
      <c r="AH793" s="10" t="str">
        <f>IF(AE793="","",IFERROR(INDEX($AQ$11:$AQ$4010,MATCH(783,$AZ$11:$AZ$4010,0)),""))</f>
        <v/>
      </c>
      <c r="AI793" s="15" t="str">
        <f>IF(AE793="","",IFERROR(INDEX($AR$11:$AR$4010,MATCH(783,$AZ$11:$AZ$4010,0)),""))</f>
        <v/>
      </c>
      <c r="AJ793" s="15" t="str">
        <f>IF(AE793="","",IFERROR(INDEX($AT$11:$AT$4010,MATCH(783,$AZ$11:$AZ$4010,0)),""))</f>
        <v/>
      </c>
      <c r="AL793" s="17"/>
      <c r="AM793" s="12"/>
      <c r="AN793" s="18"/>
      <c r="AO793" s="18"/>
      <c r="AP793" s="10"/>
      <c r="AQ793" s="10"/>
      <c r="AR793" s="19"/>
      <c r="AS793" s="20"/>
      <c r="AT793" s="19"/>
      <c r="AV793" s="21">
        <f>IF(AND($AL793&lt;&gt;"",COUNTIF($AL$11:$AL793,$AL793)=1),1,0)</f>
        <v>0</v>
      </c>
      <c r="AW793" s="21">
        <f t="shared" si="111"/>
        <v>0</v>
      </c>
      <c r="AX793" s="21" t="str">
        <f t="shared" si="110"/>
        <v/>
      </c>
      <c r="AY793" s="21" t="str">
        <f>IF(AND($AM793&lt;&gt;"",$AS793&lt;&gt;"✓"),SUMPRODUCT(($AM$11:$AM793&lt;&gt;"")*($AS$11:$AS793&lt;&gt;"✓")),"")</f>
        <v/>
      </c>
      <c r="AZ793" s="21" t="str">
        <f>IF(AND($AM793&lt;&gt;"",$AS793="✓"),SUMPRODUCT(($AM$11:$AM793&lt;&gt;"")*($AS$11:$AS793="✓")),"")</f>
        <v/>
      </c>
      <c r="BA793" s="21" t="str">
        <f>IF($AL793="","",$AL793&amp;"|"&amp;COUNTIF($AL$11:$AL793,$AL793))</f>
        <v/>
      </c>
    </row>
    <row r="794" spans="23:53" ht="15" customHeight="1" x14ac:dyDescent="0.25">
      <c r="W794" s="28" t="str">
        <f>IF(X794="","",IFERROR(INDEX($AL$11:$AL$4010,MATCH(784,$AY$11:$AY$4010,0)),""))</f>
        <v/>
      </c>
      <c r="X794" s="26" t="str">
        <f>IFERROR(INDEX($AM$11:$AM$4010,MATCH(784,$AY$11:$AY$4010,0)),"")</f>
        <v/>
      </c>
      <c r="Y794" s="25" t="str">
        <f>IF(X794="","",IFERROR(INDEX($AN$11:$AN$4010,MATCH(784,$AY$11:$AY$4010,0)),""))</f>
        <v/>
      </c>
      <c r="Z794" s="25" t="str">
        <f>IF(X794="","",IFERROR(INDEX($AO$11:$AO$4010,MATCH(784,$AY$11:$AY$4010,0)),""))</f>
        <v/>
      </c>
      <c r="AA794" s="24" t="str">
        <f>IF(X794="","",IFERROR(INDEX($AQ$11:$AQ$4010,MATCH(784,$AY$11:$AY$4010,0)),""))</f>
        <v/>
      </c>
      <c r="AB794" s="29" t="str">
        <f>IF(X794="","",IFERROR(INDEX($AR$11:$AR$4010,MATCH(784,$AY$11:$AY$4010,0)),""))</f>
        <v/>
      </c>
      <c r="AD794" s="30" t="str">
        <f>IF(AE794="","",IFERROR(INDEX($AL$11:$AL$4010,MATCH(784,$AZ$11:$AZ$4010,0)),""))</f>
        <v/>
      </c>
      <c r="AE794" s="26" t="str">
        <f>IFERROR(INDEX($AM$11:$AM$4010,MATCH(784,$AZ$11:$AZ$4010,0)),"")</f>
        <v/>
      </c>
      <c r="AF794" s="25" t="str">
        <f>IF(AE794="","",IFERROR(INDEX($AN$11:$AN$4010,MATCH(784,$AZ$11:$AZ$4010,0)),""))</f>
        <v/>
      </c>
      <c r="AG794" s="25" t="str">
        <f>IF(AE794="","",IFERROR(INDEX($AO$11:$AO$4010,MATCH(784,$AZ$11:$AZ$4010,0)),""))</f>
        <v/>
      </c>
      <c r="AH794" s="24" t="str">
        <f>IF(AE794="","",IFERROR(INDEX($AQ$11:$AQ$4010,MATCH(784,$AZ$11:$AZ$4010,0)),""))</f>
        <v/>
      </c>
      <c r="AI794" s="29" t="str">
        <f>IF(AE794="","",IFERROR(INDEX($AR$11:$AR$4010,MATCH(784,$AZ$11:$AZ$4010,0)),""))</f>
        <v/>
      </c>
      <c r="AJ794" s="29" t="str">
        <f>IF(AE794="","",IFERROR(INDEX($AT$11:$AT$4010,MATCH(784,$AZ$11:$AZ$4010,0)),""))</f>
        <v/>
      </c>
      <c r="AL794" s="31"/>
      <c r="AM794" s="26"/>
      <c r="AN794" s="32"/>
      <c r="AO794" s="32"/>
      <c r="AP794" s="24"/>
      <c r="AQ794" s="24"/>
      <c r="AR794" s="33"/>
      <c r="AS794" s="34"/>
      <c r="AT794" s="33"/>
      <c r="AV794" s="21">
        <f>IF(AND($AL794&lt;&gt;"",COUNTIF($AL$11:$AL794,$AL794)=1),1,0)</f>
        <v>0</v>
      </c>
      <c r="AW794" s="21">
        <f t="shared" si="111"/>
        <v>0</v>
      </c>
      <c r="AX794" s="21" t="str">
        <f t="shared" si="110"/>
        <v/>
      </c>
      <c r="AY794" s="21" t="str">
        <f>IF(AND($AM794&lt;&gt;"",$AS794&lt;&gt;"✓"),SUMPRODUCT(($AM$11:$AM794&lt;&gt;"")*($AS$11:$AS794&lt;&gt;"✓")),"")</f>
        <v/>
      </c>
      <c r="AZ794" s="21" t="str">
        <f>IF(AND($AM794&lt;&gt;"",$AS794="✓"),SUMPRODUCT(($AM$11:$AM794&lt;&gt;"")*($AS$11:$AS794="✓")),"")</f>
        <v/>
      </c>
      <c r="BA794" s="21" t="str">
        <f>IF($AL794="","",$AL794&amp;"|"&amp;COUNTIF($AL$11:$AL794,$AL794))</f>
        <v/>
      </c>
    </row>
    <row r="795" spans="23:53" ht="15" customHeight="1" x14ac:dyDescent="0.25">
      <c r="W795" s="14" t="str">
        <f>IF(X795="","",IFERROR(INDEX($AL$11:$AL$4010,MATCH(785,$AY$11:$AY$4010,0)),""))</f>
        <v/>
      </c>
      <c r="X795" s="12" t="str">
        <f>IFERROR(INDEX($AM$11:$AM$4010,MATCH(785,$AY$11:$AY$4010,0)),"")</f>
        <v/>
      </c>
      <c r="Y795" s="11" t="str">
        <f>IF(X795="","",IFERROR(INDEX($AN$11:$AN$4010,MATCH(785,$AY$11:$AY$4010,0)),""))</f>
        <v/>
      </c>
      <c r="Z795" s="11" t="str">
        <f>IF(X795="","",IFERROR(INDEX($AO$11:$AO$4010,MATCH(785,$AY$11:$AY$4010,0)),""))</f>
        <v/>
      </c>
      <c r="AA795" s="10" t="str">
        <f>IF(X795="","",IFERROR(INDEX($AQ$11:$AQ$4010,MATCH(785,$AY$11:$AY$4010,0)),""))</f>
        <v/>
      </c>
      <c r="AB795" s="15" t="str">
        <f>IF(X795="","",IFERROR(INDEX($AR$11:$AR$4010,MATCH(785,$AY$11:$AY$4010,0)),""))</f>
        <v/>
      </c>
      <c r="AD795" s="16" t="str">
        <f>IF(AE795="","",IFERROR(INDEX($AL$11:$AL$4010,MATCH(785,$AZ$11:$AZ$4010,0)),""))</f>
        <v/>
      </c>
      <c r="AE795" s="12" t="str">
        <f>IFERROR(INDEX($AM$11:$AM$4010,MATCH(785,$AZ$11:$AZ$4010,0)),"")</f>
        <v/>
      </c>
      <c r="AF795" s="11" t="str">
        <f>IF(AE795="","",IFERROR(INDEX($AN$11:$AN$4010,MATCH(785,$AZ$11:$AZ$4010,0)),""))</f>
        <v/>
      </c>
      <c r="AG795" s="11" t="str">
        <f>IF(AE795="","",IFERROR(INDEX($AO$11:$AO$4010,MATCH(785,$AZ$11:$AZ$4010,0)),""))</f>
        <v/>
      </c>
      <c r="AH795" s="10" t="str">
        <f>IF(AE795="","",IFERROR(INDEX($AQ$11:$AQ$4010,MATCH(785,$AZ$11:$AZ$4010,0)),""))</f>
        <v/>
      </c>
      <c r="AI795" s="15" t="str">
        <f>IF(AE795="","",IFERROR(INDEX($AR$11:$AR$4010,MATCH(785,$AZ$11:$AZ$4010,0)),""))</f>
        <v/>
      </c>
      <c r="AJ795" s="15" t="str">
        <f>IF(AE795="","",IFERROR(INDEX($AT$11:$AT$4010,MATCH(785,$AZ$11:$AZ$4010,0)),""))</f>
        <v/>
      </c>
      <c r="AL795" s="17"/>
      <c r="AM795" s="12"/>
      <c r="AN795" s="18"/>
      <c r="AO795" s="18"/>
      <c r="AP795" s="10"/>
      <c r="AQ795" s="10"/>
      <c r="AR795" s="19"/>
      <c r="AS795" s="20"/>
      <c r="AT795" s="19"/>
      <c r="AV795" s="21">
        <f>IF(AND($AL795&lt;&gt;"",COUNTIF($AL$11:$AL795,$AL795)=1),1,0)</f>
        <v>0</v>
      </c>
      <c r="AW795" s="21">
        <f t="shared" si="111"/>
        <v>0</v>
      </c>
      <c r="AX795" s="21" t="str">
        <f t="shared" si="110"/>
        <v/>
      </c>
      <c r="AY795" s="21" t="str">
        <f>IF(AND($AM795&lt;&gt;"",$AS795&lt;&gt;"✓"),SUMPRODUCT(($AM$11:$AM795&lt;&gt;"")*($AS$11:$AS795&lt;&gt;"✓")),"")</f>
        <v/>
      </c>
      <c r="AZ795" s="21" t="str">
        <f>IF(AND($AM795&lt;&gt;"",$AS795="✓"),SUMPRODUCT(($AM$11:$AM795&lt;&gt;"")*($AS$11:$AS795="✓")),"")</f>
        <v/>
      </c>
      <c r="BA795" s="21" t="str">
        <f>IF($AL795="","",$AL795&amp;"|"&amp;COUNTIF($AL$11:$AL795,$AL795))</f>
        <v/>
      </c>
    </row>
    <row r="796" spans="23:53" ht="15" customHeight="1" x14ac:dyDescent="0.25">
      <c r="W796" s="28" t="str">
        <f>IF(X796="","",IFERROR(INDEX($AL$11:$AL$4010,MATCH(786,$AY$11:$AY$4010,0)),""))</f>
        <v/>
      </c>
      <c r="X796" s="26" t="str">
        <f>IFERROR(INDEX($AM$11:$AM$4010,MATCH(786,$AY$11:$AY$4010,0)),"")</f>
        <v/>
      </c>
      <c r="Y796" s="25" t="str">
        <f>IF(X796="","",IFERROR(INDEX($AN$11:$AN$4010,MATCH(786,$AY$11:$AY$4010,0)),""))</f>
        <v/>
      </c>
      <c r="Z796" s="25" t="str">
        <f>IF(X796="","",IFERROR(INDEX($AO$11:$AO$4010,MATCH(786,$AY$11:$AY$4010,0)),""))</f>
        <v/>
      </c>
      <c r="AA796" s="24" t="str">
        <f>IF(X796="","",IFERROR(INDEX($AQ$11:$AQ$4010,MATCH(786,$AY$11:$AY$4010,0)),""))</f>
        <v/>
      </c>
      <c r="AB796" s="29" t="str">
        <f>IF(X796="","",IFERROR(INDEX($AR$11:$AR$4010,MATCH(786,$AY$11:$AY$4010,0)),""))</f>
        <v/>
      </c>
      <c r="AD796" s="30" t="str">
        <f>IF(AE796="","",IFERROR(INDEX($AL$11:$AL$4010,MATCH(786,$AZ$11:$AZ$4010,0)),""))</f>
        <v/>
      </c>
      <c r="AE796" s="26" t="str">
        <f>IFERROR(INDEX($AM$11:$AM$4010,MATCH(786,$AZ$11:$AZ$4010,0)),"")</f>
        <v/>
      </c>
      <c r="AF796" s="25" t="str">
        <f>IF(AE796="","",IFERROR(INDEX($AN$11:$AN$4010,MATCH(786,$AZ$11:$AZ$4010,0)),""))</f>
        <v/>
      </c>
      <c r="AG796" s="25" t="str">
        <f>IF(AE796="","",IFERROR(INDEX($AO$11:$AO$4010,MATCH(786,$AZ$11:$AZ$4010,0)),""))</f>
        <v/>
      </c>
      <c r="AH796" s="24" t="str">
        <f>IF(AE796="","",IFERROR(INDEX($AQ$11:$AQ$4010,MATCH(786,$AZ$11:$AZ$4010,0)),""))</f>
        <v/>
      </c>
      <c r="AI796" s="29" t="str">
        <f>IF(AE796="","",IFERROR(INDEX($AR$11:$AR$4010,MATCH(786,$AZ$11:$AZ$4010,0)),""))</f>
        <v/>
      </c>
      <c r="AJ796" s="29" t="str">
        <f>IF(AE796="","",IFERROR(INDEX($AT$11:$AT$4010,MATCH(786,$AZ$11:$AZ$4010,0)),""))</f>
        <v/>
      </c>
      <c r="AL796" s="31"/>
      <c r="AM796" s="26"/>
      <c r="AN796" s="32"/>
      <c r="AO796" s="32"/>
      <c r="AP796" s="24"/>
      <c r="AQ796" s="24"/>
      <c r="AR796" s="33"/>
      <c r="AS796" s="34"/>
      <c r="AT796" s="33"/>
      <c r="AV796" s="21">
        <f>IF(AND($AL796&lt;&gt;"",COUNTIF($AL$11:$AL796,$AL796)=1),1,0)</f>
        <v>0</v>
      </c>
      <c r="AW796" s="21">
        <f t="shared" si="111"/>
        <v>0</v>
      </c>
      <c r="AX796" s="21" t="str">
        <f t="shared" si="110"/>
        <v/>
      </c>
      <c r="AY796" s="21" t="str">
        <f>IF(AND($AM796&lt;&gt;"",$AS796&lt;&gt;"✓"),SUMPRODUCT(($AM$11:$AM796&lt;&gt;"")*($AS$11:$AS796&lt;&gt;"✓")),"")</f>
        <v/>
      </c>
      <c r="AZ796" s="21" t="str">
        <f>IF(AND($AM796&lt;&gt;"",$AS796="✓"),SUMPRODUCT(($AM$11:$AM796&lt;&gt;"")*($AS$11:$AS796="✓")),"")</f>
        <v/>
      </c>
      <c r="BA796" s="21" t="str">
        <f>IF($AL796="","",$AL796&amp;"|"&amp;COUNTIF($AL$11:$AL796,$AL796))</f>
        <v/>
      </c>
    </row>
    <row r="797" spans="23:53" ht="15" customHeight="1" x14ac:dyDescent="0.25">
      <c r="W797" s="14" t="str">
        <f>IF(X797="","",IFERROR(INDEX($AL$11:$AL$4010,MATCH(787,$AY$11:$AY$4010,0)),""))</f>
        <v/>
      </c>
      <c r="X797" s="12" t="str">
        <f>IFERROR(INDEX($AM$11:$AM$4010,MATCH(787,$AY$11:$AY$4010,0)),"")</f>
        <v/>
      </c>
      <c r="Y797" s="11" t="str">
        <f>IF(X797="","",IFERROR(INDEX($AN$11:$AN$4010,MATCH(787,$AY$11:$AY$4010,0)),""))</f>
        <v/>
      </c>
      <c r="Z797" s="11" t="str">
        <f>IF(X797="","",IFERROR(INDEX($AO$11:$AO$4010,MATCH(787,$AY$11:$AY$4010,0)),""))</f>
        <v/>
      </c>
      <c r="AA797" s="10" t="str">
        <f>IF(X797="","",IFERROR(INDEX($AQ$11:$AQ$4010,MATCH(787,$AY$11:$AY$4010,0)),""))</f>
        <v/>
      </c>
      <c r="AB797" s="15" t="str">
        <f>IF(X797="","",IFERROR(INDEX($AR$11:$AR$4010,MATCH(787,$AY$11:$AY$4010,0)),""))</f>
        <v/>
      </c>
      <c r="AD797" s="16" t="str">
        <f>IF(AE797="","",IFERROR(INDEX($AL$11:$AL$4010,MATCH(787,$AZ$11:$AZ$4010,0)),""))</f>
        <v/>
      </c>
      <c r="AE797" s="12" t="str">
        <f>IFERROR(INDEX($AM$11:$AM$4010,MATCH(787,$AZ$11:$AZ$4010,0)),"")</f>
        <v/>
      </c>
      <c r="AF797" s="11" t="str">
        <f>IF(AE797="","",IFERROR(INDEX($AN$11:$AN$4010,MATCH(787,$AZ$11:$AZ$4010,0)),""))</f>
        <v/>
      </c>
      <c r="AG797" s="11" t="str">
        <f>IF(AE797="","",IFERROR(INDEX($AO$11:$AO$4010,MATCH(787,$AZ$11:$AZ$4010,0)),""))</f>
        <v/>
      </c>
      <c r="AH797" s="10" t="str">
        <f>IF(AE797="","",IFERROR(INDEX($AQ$11:$AQ$4010,MATCH(787,$AZ$11:$AZ$4010,0)),""))</f>
        <v/>
      </c>
      <c r="AI797" s="15" t="str">
        <f>IF(AE797="","",IFERROR(INDEX($AR$11:$AR$4010,MATCH(787,$AZ$11:$AZ$4010,0)),""))</f>
        <v/>
      </c>
      <c r="AJ797" s="15" t="str">
        <f>IF(AE797="","",IFERROR(INDEX($AT$11:$AT$4010,MATCH(787,$AZ$11:$AZ$4010,0)),""))</f>
        <v/>
      </c>
      <c r="AL797" s="17"/>
      <c r="AM797" s="12"/>
      <c r="AN797" s="18"/>
      <c r="AO797" s="18"/>
      <c r="AP797" s="10"/>
      <c r="AQ797" s="10"/>
      <c r="AR797" s="19"/>
      <c r="AS797" s="20"/>
      <c r="AT797" s="19"/>
      <c r="AV797" s="21">
        <f>IF(AND($AL797&lt;&gt;"",COUNTIF($AL$11:$AL797,$AL797)=1),1,0)</f>
        <v>0</v>
      </c>
      <c r="AW797" s="21">
        <f t="shared" si="111"/>
        <v>0</v>
      </c>
      <c r="AX797" s="21" t="str">
        <f t="shared" si="110"/>
        <v/>
      </c>
      <c r="AY797" s="21" t="str">
        <f>IF(AND($AM797&lt;&gt;"",$AS797&lt;&gt;"✓"),SUMPRODUCT(($AM$11:$AM797&lt;&gt;"")*($AS$11:$AS797&lt;&gt;"✓")),"")</f>
        <v/>
      </c>
      <c r="AZ797" s="21" t="str">
        <f>IF(AND($AM797&lt;&gt;"",$AS797="✓"),SUMPRODUCT(($AM$11:$AM797&lt;&gt;"")*($AS$11:$AS797="✓")),"")</f>
        <v/>
      </c>
      <c r="BA797" s="21" t="str">
        <f>IF($AL797="","",$AL797&amp;"|"&amp;COUNTIF($AL$11:$AL797,$AL797))</f>
        <v/>
      </c>
    </row>
    <row r="798" spans="23:53" ht="15" customHeight="1" x14ac:dyDescent="0.25">
      <c r="W798" s="28" t="str">
        <f>IF(X798="","",IFERROR(INDEX($AL$11:$AL$4010,MATCH(788,$AY$11:$AY$4010,0)),""))</f>
        <v/>
      </c>
      <c r="X798" s="26" t="str">
        <f>IFERROR(INDEX($AM$11:$AM$4010,MATCH(788,$AY$11:$AY$4010,0)),"")</f>
        <v/>
      </c>
      <c r="Y798" s="25" t="str">
        <f>IF(X798="","",IFERROR(INDEX($AN$11:$AN$4010,MATCH(788,$AY$11:$AY$4010,0)),""))</f>
        <v/>
      </c>
      <c r="Z798" s="25" t="str">
        <f>IF(X798="","",IFERROR(INDEX($AO$11:$AO$4010,MATCH(788,$AY$11:$AY$4010,0)),""))</f>
        <v/>
      </c>
      <c r="AA798" s="24" t="str">
        <f>IF(X798="","",IFERROR(INDEX($AQ$11:$AQ$4010,MATCH(788,$AY$11:$AY$4010,0)),""))</f>
        <v/>
      </c>
      <c r="AB798" s="29" t="str">
        <f>IF(X798="","",IFERROR(INDEX($AR$11:$AR$4010,MATCH(788,$AY$11:$AY$4010,0)),""))</f>
        <v/>
      </c>
      <c r="AD798" s="30" t="str">
        <f>IF(AE798="","",IFERROR(INDEX($AL$11:$AL$4010,MATCH(788,$AZ$11:$AZ$4010,0)),""))</f>
        <v/>
      </c>
      <c r="AE798" s="26" t="str">
        <f>IFERROR(INDEX($AM$11:$AM$4010,MATCH(788,$AZ$11:$AZ$4010,0)),"")</f>
        <v/>
      </c>
      <c r="AF798" s="25" t="str">
        <f>IF(AE798="","",IFERROR(INDEX($AN$11:$AN$4010,MATCH(788,$AZ$11:$AZ$4010,0)),""))</f>
        <v/>
      </c>
      <c r="AG798" s="25" t="str">
        <f>IF(AE798="","",IFERROR(INDEX($AO$11:$AO$4010,MATCH(788,$AZ$11:$AZ$4010,0)),""))</f>
        <v/>
      </c>
      <c r="AH798" s="24" t="str">
        <f>IF(AE798="","",IFERROR(INDEX($AQ$11:$AQ$4010,MATCH(788,$AZ$11:$AZ$4010,0)),""))</f>
        <v/>
      </c>
      <c r="AI798" s="29" t="str">
        <f>IF(AE798="","",IFERROR(INDEX($AR$11:$AR$4010,MATCH(788,$AZ$11:$AZ$4010,0)),""))</f>
        <v/>
      </c>
      <c r="AJ798" s="29" t="str">
        <f>IF(AE798="","",IFERROR(INDEX($AT$11:$AT$4010,MATCH(788,$AZ$11:$AZ$4010,0)),""))</f>
        <v/>
      </c>
      <c r="AL798" s="31"/>
      <c r="AM798" s="26"/>
      <c r="AN798" s="32"/>
      <c r="AO798" s="32"/>
      <c r="AP798" s="24"/>
      <c r="AQ798" s="24"/>
      <c r="AR798" s="33"/>
      <c r="AS798" s="34"/>
      <c r="AT798" s="33"/>
      <c r="AV798" s="21">
        <f>IF(AND($AL798&lt;&gt;"",COUNTIF($AL$11:$AL798,$AL798)=1),1,0)</f>
        <v>0</v>
      </c>
      <c r="AW798" s="21">
        <f t="shared" si="111"/>
        <v>0</v>
      </c>
      <c r="AX798" s="21" t="str">
        <f t="shared" si="110"/>
        <v/>
      </c>
      <c r="AY798" s="21" t="str">
        <f>IF(AND($AM798&lt;&gt;"",$AS798&lt;&gt;"✓"),SUMPRODUCT(($AM$11:$AM798&lt;&gt;"")*($AS$11:$AS798&lt;&gt;"✓")),"")</f>
        <v/>
      </c>
      <c r="AZ798" s="21" t="str">
        <f>IF(AND($AM798&lt;&gt;"",$AS798="✓"),SUMPRODUCT(($AM$11:$AM798&lt;&gt;"")*($AS$11:$AS798="✓")),"")</f>
        <v/>
      </c>
      <c r="BA798" s="21" t="str">
        <f>IF($AL798="","",$AL798&amp;"|"&amp;COUNTIF($AL$11:$AL798,$AL798))</f>
        <v/>
      </c>
    </row>
    <row r="799" spans="23:53" ht="15" customHeight="1" x14ac:dyDescent="0.25">
      <c r="W799" s="14" t="str">
        <f>IF(X799="","",IFERROR(INDEX($AL$11:$AL$4010,MATCH(789,$AY$11:$AY$4010,0)),""))</f>
        <v/>
      </c>
      <c r="X799" s="12" t="str">
        <f>IFERROR(INDEX($AM$11:$AM$4010,MATCH(789,$AY$11:$AY$4010,0)),"")</f>
        <v/>
      </c>
      <c r="Y799" s="11" t="str">
        <f>IF(X799="","",IFERROR(INDEX($AN$11:$AN$4010,MATCH(789,$AY$11:$AY$4010,0)),""))</f>
        <v/>
      </c>
      <c r="Z799" s="11" t="str">
        <f>IF(X799="","",IFERROR(INDEX($AO$11:$AO$4010,MATCH(789,$AY$11:$AY$4010,0)),""))</f>
        <v/>
      </c>
      <c r="AA799" s="10" t="str">
        <f>IF(X799="","",IFERROR(INDEX($AQ$11:$AQ$4010,MATCH(789,$AY$11:$AY$4010,0)),""))</f>
        <v/>
      </c>
      <c r="AB799" s="15" t="str">
        <f>IF(X799="","",IFERROR(INDEX($AR$11:$AR$4010,MATCH(789,$AY$11:$AY$4010,0)),""))</f>
        <v/>
      </c>
      <c r="AD799" s="16" t="str">
        <f>IF(AE799="","",IFERROR(INDEX($AL$11:$AL$4010,MATCH(789,$AZ$11:$AZ$4010,0)),""))</f>
        <v/>
      </c>
      <c r="AE799" s="12" t="str">
        <f>IFERROR(INDEX($AM$11:$AM$4010,MATCH(789,$AZ$11:$AZ$4010,0)),"")</f>
        <v/>
      </c>
      <c r="AF799" s="11" t="str">
        <f>IF(AE799="","",IFERROR(INDEX($AN$11:$AN$4010,MATCH(789,$AZ$11:$AZ$4010,0)),""))</f>
        <v/>
      </c>
      <c r="AG799" s="11" t="str">
        <f>IF(AE799="","",IFERROR(INDEX($AO$11:$AO$4010,MATCH(789,$AZ$11:$AZ$4010,0)),""))</f>
        <v/>
      </c>
      <c r="AH799" s="10" t="str">
        <f>IF(AE799="","",IFERROR(INDEX($AQ$11:$AQ$4010,MATCH(789,$AZ$11:$AZ$4010,0)),""))</f>
        <v/>
      </c>
      <c r="AI799" s="15" t="str">
        <f>IF(AE799="","",IFERROR(INDEX($AR$11:$AR$4010,MATCH(789,$AZ$11:$AZ$4010,0)),""))</f>
        <v/>
      </c>
      <c r="AJ799" s="15" t="str">
        <f>IF(AE799="","",IFERROR(INDEX($AT$11:$AT$4010,MATCH(789,$AZ$11:$AZ$4010,0)),""))</f>
        <v/>
      </c>
      <c r="AL799" s="17"/>
      <c r="AM799" s="12"/>
      <c r="AN799" s="18"/>
      <c r="AO799" s="18"/>
      <c r="AP799" s="10"/>
      <c r="AQ799" s="10"/>
      <c r="AR799" s="19"/>
      <c r="AS799" s="20"/>
      <c r="AT799" s="19"/>
      <c r="AV799" s="21">
        <f>IF(AND($AL799&lt;&gt;"",COUNTIF($AL$11:$AL799,$AL799)=1),1,0)</f>
        <v>0</v>
      </c>
      <c r="AW799" s="21">
        <f t="shared" si="111"/>
        <v>0</v>
      </c>
      <c r="AX799" s="21" t="str">
        <f t="shared" si="110"/>
        <v/>
      </c>
      <c r="AY799" s="21" t="str">
        <f>IF(AND($AM799&lt;&gt;"",$AS799&lt;&gt;"✓"),SUMPRODUCT(($AM$11:$AM799&lt;&gt;"")*($AS$11:$AS799&lt;&gt;"✓")),"")</f>
        <v/>
      </c>
      <c r="AZ799" s="21" t="str">
        <f>IF(AND($AM799&lt;&gt;"",$AS799="✓"),SUMPRODUCT(($AM$11:$AM799&lt;&gt;"")*($AS$11:$AS799="✓")),"")</f>
        <v/>
      </c>
      <c r="BA799" s="21" t="str">
        <f>IF($AL799="","",$AL799&amp;"|"&amp;COUNTIF($AL$11:$AL799,$AL799))</f>
        <v/>
      </c>
    </row>
    <row r="800" spans="23:53" ht="15" customHeight="1" x14ac:dyDescent="0.25">
      <c r="W800" s="28" t="str">
        <f>IF(X800="","",IFERROR(INDEX($AL$11:$AL$4010,MATCH(790,$AY$11:$AY$4010,0)),""))</f>
        <v/>
      </c>
      <c r="X800" s="26" t="str">
        <f>IFERROR(INDEX($AM$11:$AM$4010,MATCH(790,$AY$11:$AY$4010,0)),"")</f>
        <v/>
      </c>
      <c r="Y800" s="25" t="str">
        <f>IF(X800="","",IFERROR(INDEX($AN$11:$AN$4010,MATCH(790,$AY$11:$AY$4010,0)),""))</f>
        <v/>
      </c>
      <c r="Z800" s="25" t="str">
        <f>IF(X800="","",IFERROR(INDEX($AO$11:$AO$4010,MATCH(790,$AY$11:$AY$4010,0)),""))</f>
        <v/>
      </c>
      <c r="AA800" s="24" t="str">
        <f>IF(X800="","",IFERROR(INDEX($AQ$11:$AQ$4010,MATCH(790,$AY$11:$AY$4010,0)),""))</f>
        <v/>
      </c>
      <c r="AB800" s="29" t="str">
        <f>IF(X800="","",IFERROR(INDEX($AR$11:$AR$4010,MATCH(790,$AY$11:$AY$4010,0)),""))</f>
        <v/>
      </c>
      <c r="AD800" s="30" t="str">
        <f>IF(AE800="","",IFERROR(INDEX($AL$11:$AL$4010,MATCH(790,$AZ$11:$AZ$4010,0)),""))</f>
        <v/>
      </c>
      <c r="AE800" s="26" t="str">
        <f>IFERROR(INDEX($AM$11:$AM$4010,MATCH(790,$AZ$11:$AZ$4010,0)),"")</f>
        <v/>
      </c>
      <c r="AF800" s="25" t="str">
        <f>IF(AE800="","",IFERROR(INDEX($AN$11:$AN$4010,MATCH(790,$AZ$11:$AZ$4010,0)),""))</f>
        <v/>
      </c>
      <c r="AG800" s="25" t="str">
        <f>IF(AE800="","",IFERROR(INDEX($AO$11:$AO$4010,MATCH(790,$AZ$11:$AZ$4010,0)),""))</f>
        <v/>
      </c>
      <c r="AH800" s="24" t="str">
        <f>IF(AE800="","",IFERROR(INDEX($AQ$11:$AQ$4010,MATCH(790,$AZ$11:$AZ$4010,0)),""))</f>
        <v/>
      </c>
      <c r="AI800" s="29" t="str">
        <f>IF(AE800="","",IFERROR(INDEX($AR$11:$AR$4010,MATCH(790,$AZ$11:$AZ$4010,0)),""))</f>
        <v/>
      </c>
      <c r="AJ800" s="29" t="str">
        <f>IF(AE800="","",IFERROR(INDEX($AT$11:$AT$4010,MATCH(790,$AZ$11:$AZ$4010,0)),""))</f>
        <v/>
      </c>
      <c r="AL800" s="31"/>
      <c r="AM800" s="26"/>
      <c r="AN800" s="32"/>
      <c r="AO800" s="32"/>
      <c r="AP800" s="24"/>
      <c r="AQ800" s="24"/>
      <c r="AR800" s="33"/>
      <c r="AS800" s="34"/>
      <c r="AT800" s="33"/>
      <c r="AV800" s="21">
        <f>IF(AND($AL800&lt;&gt;"",COUNTIF($AL$11:$AL800,$AL800)=1),1,0)</f>
        <v>0</v>
      </c>
      <c r="AW800" s="21">
        <f t="shared" si="111"/>
        <v>0</v>
      </c>
      <c r="AX800" s="21" t="str">
        <f t="shared" si="110"/>
        <v/>
      </c>
      <c r="AY800" s="21" t="str">
        <f>IF(AND($AM800&lt;&gt;"",$AS800&lt;&gt;"✓"),SUMPRODUCT(($AM$11:$AM800&lt;&gt;"")*($AS$11:$AS800&lt;&gt;"✓")),"")</f>
        <v/>
      </c>
      <c r="AZ800" s="21" t="str">
        <f>IF(AND($AM800&lt;&gt;"",$AS800="✓"),SUMPRODUCT(($AM$11:$AM800&lt;&gt;"")*($AS$11:$AS800="✓")),"")</f>
        <v/>
      </c>
      <c r="BA800" s="21" t="str">
        <f>IF($AL800="","",$AL800&amp;"|"&amp;COUNTIF($AL$11:$AL800,$AL800))</f>
        <v/>
      </c>
    </row>
    <row r="801" spans="23:53" ht="15" customHeight="1" x14ac:dyDescent="0.25">
      <c r="W801" s="14" t="str">
        <f>IF(X801="","",IFERROR(INDEX($AL$11:$AL$4010,MATCH(791,$AY$11:$AY$4010,0)),""))</f>
        <v/>
      </c>
      <c r="X801" s="12" t="str">
        <f>IFERROR(INDEX($AM$11:$AM$4010,MATCH(791,$AY$11:$AY$4010,0)),"")</f>
        <v/>
      </c>
      <c r="Y801" s="11" t="str">
        <f>IF(X801="","",IFERROR(INDEX($AN$11:$AN$4010,MATCH(791,$AY$11:$AY$4010,0)),""))</f>
        <v/>
      </c>
      <c r="Z801" s="11" t="str">
        <f>IF(X801="","",IFERROR(INDEX($AO$11:$AO$4010,MATCH(791,$AY$11:$AY$4010,0)),""))</f>
        <v/>
      </c>
      <c r="AA801" s="10" t="str">
        <f>IF(X801="","",IFERROR(INDEX($AQ$11:$AQ$4010,MATCH(791,$AY$11:$AY$4010,0)),""))</f>
        <v/>
      </c>
      <c r="AB801" s="15" t="str">
        <f>IF(X801="","",IFERROR(INDEX($AR$11:$AR$4010,MATCH(791,$AY$11:$AY$4010,0)),""))</f>
        <v/>
      </c>
      <c r="AD801" s="16" t="str">
        <f>IF(AE801="","",IFERROR(INDEX($AL$11:$AL$4010,MATCH(791,$AZ$11:$AZ$4010,0)),""))</f>
        <v/>
      </c>
      <c r="AE801" s="12" t="str">
        <f>IFERROR(INDEX($AM$11:$AM$4010,MATCH(791,$AZ$11:$AZ$4010,0)),"")</f>
        <v/>
      </c>
      <c r="AF801" s="11" t="str">
        <f>IF(AE801="","",IFERROR(INDEX($AN$11:$AN$4010,MATCH(791,$AZ$11:$AZ$4010,0)),""))</f>
        <v/>
      </c>
      <c r="AG801" s="11" t="str">
        <f>IF(AE801="","",IFERROR(INDEX($AO$11:$AO$4010,MATCH(791,$AZ$11:$AZ$4010,0)),""))</f>
        <v/>
      </c>
      <c r="AH801" s="10" t="str">
        <f>IF(AE801="","",IFERROR(INDEX($AQ$11:$AQ$4010,MATCH(791,$AZ$11:$AZ$4010,0)),""))</f>
        <v/>
      </c>
      <c r="AI801" s="15" t="str">
        <f>IF(AE801="","",IFERROR(INDEX($AR$11:$AR$4010,MATCH(791,$AZ$11:$AZ$4010,0)),""))</f>
        <v/>
      </c>
      <c r="AJ801" s="15" t="str">
        <f>IF(AE801="","",IFERROR(INDEX($AT$11:$AT$4010,MATCH(791,$AZ$11:$AZ$4010,0)),""))</f>
        <v/>
      </c>
      <c r="AL801" s="17"/>
      <c r="AM801" s="12"/>
      <c r="AN801" s="18"/>
      <c r="AO801" s="18"/>
      <c r="AP801" s="10"/>
      <c r="AQ801" s="10"/>
      <c r="AR801" s="19"/>
      <c r="AS801" s="20"/>
      <c r="AT801" s="19"/>
      <c r="AV801" s="21">
        <f>IF(AND($AL801&lt;&gt;"",COUNTIF($AL$11:$AL801,$AL801)=1),1,0)</f>
        <v>0</v>
      </c>
      <c r="AW801" s="21">
        <f t="shared" si="111"/>
        <v>0</v>
      </c>
      <c r="AX801" s="21" t="str">
        <f t="shared" si="110"/>
        <v/>
      </c>
      <c r="AY801" s="21" t="str">
        <f>IF(AND($AM801&lt;&gt;"",$AS801&lt;&gt;"✓"),SUMPRODUCT(($AM$11:$AM801&lt;&gt;"")*($AS$11:$AS801&lt;&gt;"✓")),"")</f>
        <v/>
      </c>
      <c r="AZ801" s="21" t="str">
        <f>IF(AND($AM801&lt;&gt;"",$AS801="✓"),SUMPRODUCT(($AM$11:$AM801&lt;&gt;"")*($AS$11:$AS801="✓")),"")</f>
        <v/>
      </c>
      <c r="BA801" s="21" t="str">
        <f>IF($AL801="","",$AL801&amp;"|"&amp;COUNTIF($AL$11:$AL801,$AL801))</f>
        <v/>
      </c>
    </row>
    <row r="802" spans="23:53" ht="15" customHeight="1" x14ac:dyDescent="0.25">
      <c r="W802" s="28" t="str">
        <f>IF(X802="","",IFERROR(INDEX($AL$11:$AL$4010,MATCH(792,$AY$11:$AY$4010,0)),""))</f>
        <v/>
      </c>
      <c r="X802" s="26" t="str">
        <f>IFERROR(INDEX($AM$11:$AM$4010,MATCH(792,$AY$11:$AY$4010,0)),"")</f>
        <v/>
      </c>
      <c r="Y802" s="25" t="str">
        <f>IF(X802="","",IFERROR(INDEX($AN$11:$AN$4010,MATCH(792,$AY$11:$AY$4010,0)),""))</f>
        <v/>
      </c>
      <c r="Z802" s="25" t="str">
        <f>IF(X802="","",IFERROR(INDEX($AO$11:$AO$4010,MATCH(792,$AY$11:$AY$4010,0)),""))</f>
        <v/>
      </c>
      <c r="AA802" s="24" t="str">
        <f>IF(X802="","",IFERROR(INDEX($AQ$11:$AQ$4010,MATCH(792,$AY$11:$AY$4010,0)),""))</f>
        <v/>
      </c>
      <c r="AB802" s="29" t="str">
        <f>IF(X802="","",IFERROR(INDEX($AR$11:$AR$4010,MATCH(792,$AY$11:$AY$4010,0)),""))</f>
        <v/>
      </c>
      <c r="AD802" s="30" t="str">
        <f>IF(AE802="","",IFERROR(INDEX($AL$11:$AL$4010,MATCH(792,$AZ$11:$AZ$4010,0)),""))</f>
        <v/>
      </c>
      <c r="AE802" s="26" t="str">
        <f>IFERROR(INDEX($AM$11:$AM$4010,MATCH(792,$AZ$11:$AZ$4010,0)),"")</f>
        <v/>
      </c>
      <c r="AF802" s="25" t="str">
        <f>IF(AE802="","",IFERROR(INDEX($AN$11:$AN$4010,MATCH(792,$AZ$11:$AZ$4010,0)),""))</f>
        <v/>
      </c>
      <c r="AG802" s="25" t="str">
        <f>IF(AE802="","",IFERROR(INDEX($AO$11:$AO$4010,MATCH(792,$AZ$11:$AZ$4010,0)),""))</f>
        <v/>
      </c>
      <c r="AH802" s="24" t="str">
        <f>IF(AE802="","",IFERROR(INDEX($AQ$11:$AQ$4010,MATCH(792,$AZ$11:$AZ$4010,0)),""))</f>
        <v/>
      </c>
      <c r="AI802" s="29" t="str">
        <f>IF(AE802="","",IFERROR(INDEX($AR$11:$AR$4010,MATCH(792,$AZ$11:$AZ$4010,0)),""))</f>
        <v/>
      </c>
      <c r="AJ802" s="29" t="str">
        <f>IF(AE802="","",IFERROR(INDEX($AT$11:$AT$4010,MATCH(792,$AZ$11:$AZ$4010,0)),""))</f>
        <v/>
      </c>
      <c r="AL802" s="31"/>
      <c r="AM802" s="26"/>
      <c r="AN802" s="32"/>
      <c r="AO802" s="32"/>
      <c r="AP802" s="24"/>
      <c r="AQ802" s="24"/>
      <c r="AR802" s="33"/>
      <c r="AS802" s="34"/>
      <c r="AT802" s="33"/>
      <c r="AV802" s="21">
        <f>IF(AND($AL802&lt;&gt;"",COUNTIF($AL$11:$AL802,$AL802)=1),1,0)</f>
        <v>0</v>
      </c>
      <c r="AW802" s="21">
        <f t="shared" si="111"/>
        <v>0</v>
      </c>
      <c r="AX802" s="21" t="str">
        <f t="shared" si="110"/>
        <v/>
      </c>
      <c r="AY802" s="21" t="str">
        <f>IF(AND($AM802&lt;&gt;"",$AS802&lt;&gt;"✓"),SUMPRODUCT(($AM$11:$AM802&lt;&gt;"")*($AS$11:$AS802&lt;&gt;"✓")),"")</f>
        <v/>
      </c>
      <c r="AZ802" s="21" t="str">
        <f>IF(AND($AM802&lt;&gt;"",$AS802="✓"),SUMPRODUCT(($AM$11:$AM802&lt;&gt;"")*($AS$11:$AS802="✓")),"")</f>
        <v/>
      </c>
      <c r="BA802" s="21" t="str">
        <f>IF($AL802="","",$AL802&amp;"|"&amp;COUNTIF($AL$11:$AL802,$AL802))</f>
        <v/>
      </c>
    </row>
    <row r="803" spans="23:53" ht="15" customHeight="1" x14ac:dyDescent="0.25">
      <c r="W803" s="14" t="str">
        <f>IF(X803="","",IFERROR(INDEX($AL$11:$AL$4010,MATCH(793,$AY$11:$AY$4010,0)),""))</f>
        <v/>
      </c>
      <c r="X803" s="12" t="str">
        <f>IFERROR(INDEX($AM$11:$AM$4010,MATCH(793,$AY$11:$AY$4010,0)),"")</f>
        <v/>
      </c>
      <c r="Y803" s="11" t="str">
        <f>IF(X803="","",IFERROR(INDEX($AN$11:$AN$4010,MATCH(793,$AY$11:$AY$4010,0)),""))</f>
        <v/>
      </c>
      <c r="Z803" s="11" t="str">
        <f>IF(X803="","",IFERROR(INDEX($AO$11:$AO$4010,MATCH(793,$AY$11:$AY$4010,0)),""))</f>
        <v/>
      </c>
      <c r="AA803" s="10" t="str">
        <f>IF(X803="","",IFERROR(INDEX($AQ$11:$AQ$4010,MATCH(793,$AY$11:$AY$4010,0)),""))</f>
        <v/>
      </c>
      <c r="AB803" s="15" t="str">
        <f>IF(X803="","",IFERROR(INDEX($AR$11:$AR$4010,MATCH(793,$AY$11:$AY$4010,0)),""))</f>
        <v/>
      </c>
      <c r="AD803" s="16" t="str">
        <f>IF(AE803="","",IFERROR(INDEX($AL$11:$AL$4010,MATCH(793,$AZ$11:$AZ$4010,0)),""))</f>
        <v/>
      </c>
      <c r="AE803" s="12" t="str">
        <f>IFERROR(INDEX($AM$11:$AM$4010,MATCH(793,$AZ$11:$AZ$4010,0)),"")</f>
        <v/>
      </c>
      <c r="AF803" s="11" t="str">
        <f>IF(AE803="","",IFERROR(INDEX($AN$11:$AN$4010,MATCH(793,$AZ$11:$AZ$4010,0)),""))</f>
        <v/>
      </c>
      <c r="AG803" s="11" t="str">
        <f>IF(AE803="","",IFERROR(INDEX($AO$11:$AO$4010,MATCH(793,$AZ$11:$AZ$4010,0)),""))</f>
        <v/>
      </c>
      <c r="AH803" s="10" t="str">
        <f>IF(AE803="","",IFERROR(INDEX($AQ$11:$AQ$4010,MATCH(793,$AZ$11:$AZ$4010,0)),""))</f>
        <v/>
      </c>
      <c r="AI803" s="15" t="str">
        <f>IF(AE803="","",IFERROR(INDEX($AR$11:$AR$4010,MATCH(793,$AZ$11:$AZ$4010,0)),""))</f>
        <v/>
      </c>
      <c r="AJ803" s="15" t="str">
        <f>IF(AE803="","",IFERROR(INDEX($AT$11:$AT$4010,MATCH(793,$AZ$11:$AZ$4010,0)),""))</f>
        <v/>
      </c>
      <c r="AL803" s="17"/>
      <c r="AM803" s="12"/>
      <c r="AN803" s="18"/>
      <c r="AO803" s="18"/>
      <c r="AP803" s="10"/>
      <c r="AQ803" s="10"/>
      <c r="AR803" s="19"/>
      <c r="AS803" s="20"/>
      <c r="AT803" s="19"/>
      <c r="AV803" s="21">
        <f>IF(AND($AL803&lt;&gt;"",COUNTIF($AL$11:$AL803,$AL803)=1),1,0)</f>
        <v>0</v>
      </c>
      <c r="AW803" s="21">
        <f t="shared" si="111"/>
        <v>0</v>
      </c>
      <c r="AX803" s="21" t="str">
        <f t="shared" si="110"/>
        <v/>
      </c>
      <c r="AY803" s="21" t="str">
        <f>IF(AND($AM803&lt;&gt;"",$AS803&lt;&gt;"✓"),SUMPRODUCT(($AM$11:$AM803&lt;&gt;"")*($AS$11:$AS803&lt;&gt;"✓")),"")</f>
        <v/>
      </c>
      <c r="AZ803" s="21" t="str">
        <f>IF(AND($AM803&lt;&gt;"",$AS803="✓"),SUMPRODUCT(($AM$11:$AM803&lt;&gt;"")*($AS$11:$AS803="✓")),"")</f>
        <v/>
      </c>
      <c r="BA803" s="21" t="str">
        <f>IF($AL803="","",$AL803&amp;"|"&amp;COUNTIF($AL$11:$AL803,$AL803))</f>
        <v/>
      </c>
    </row>
    <row r="804" spans="23:53" ht="15" customHeight="1" x14ac:dyDescent="0.25">
      <c r="W804" s="28" t="str">
        <f>IF(X804="","",IFERROR(INDEX($AL$11:$AL$4010,MATCH(794,$AY$11:$AY$4010,0)),""))</f>
        <v/>
      </c>
      <c r="X804" s="26" t="str">
        <f>IFERROR(INDEX($AM$11:$AM$4010,MATCH(794,$AY$11:$AY$4010,0)),"")</f>
        <v/>
      </c>
      <c r="Y804" s="25" t="str">
        <f>IF(X804="","",IFERROR(INDEX($AN$11:$AN$4010,MATCH(794,$AY$11:$AY$4010,0)),""))</f>
        <v/>
      </c>
      <c r="Z804" s="25" t="str">
        <f>IF(X804="","",IFERROR(INDEX($AO$11:$AO$4010,MATCH(794,$AY$11:$AY$4010,0)),""))</f>
        <v/>
      </c>
      <c r="AA804" s="24" t="str">
        <f>IF(X804="","",IFERROR(INDEX($AQ$11:$AQ$4010,MATCH(794,$AY$11:$AY$4010,0)),""))</f>
        <v/>
      </c>
      <c r="AB804" s="29" t="str">
        <f>IF(X804="","",IFERROR(INDEX($AR$11:$AR$4010,MATCH(794,$AY$11:$AY$4010,0)),""))</f>
        <v/>
      </c>
      <c r="AD804" s="30" t="str">
        <f>IF(AE804="","",IFERROR(INDEX($AL$11:$AL$4010,MATCH(794,$AZ$11:$AZ$4010,0)),""))</f>
        <v/>
      </c>
      <c r="AE804" s="26" t="str">
        <f>IFERROR(INDEX($AM$11:$AM$4010,MATCH(794,$AZ$11:$AZ$4010,0)),"")</f>
        <v/>
      </c>
      <c r="AF804" s="25" t="str">
        <f>IF(AE804="","",IFERROR(INDEX($AN$11:$AN$4010,MATCH(794,$AZ$11:$AZ$4010,0)),""))</f>
        <v/>
      </c>
      <c r="AG804" s="25" t="str">
        <f>IF(AE804="","",IFERROR(INDEX($AO$11:$AO$4010,MATCH(794,$AZ$11:$AZ$4010,0)),""))</f>
        <v/>
      </c>
      <c r="AH804" s="24" t="str">
        <f>IF(AE804="","",IFERROR(INDEX($AQ$11:$AQ$4010,MATCH(794,$AZ$11:$AZ$4010,0)),""))</f>
        <v/>
      </c>
      <c r="AI804" s="29" t="str">
        <f>IF(AE804="","",IFERROR(INDEX($AR$11:$AR$4010,MATCH(794,$AZ$11:$AZ$4010,0)),""))</f>
        <v/>
      </c>
      <c r="AJ804" s="29" t="str">
        <f>IF(AE804="","",IFERROR(INDEX($AT$11:$AT$4010,MATCH(794,$AZ$11:$AZ$4010,0)),""))</f>
        <v/>
      </c>
      <c r="AL804" s="31"/>
      <c r="AM804" s="26"/>
      <c r="AN804" s="32"/>
      <c r="AO804" s="32"/>
      <c r="AP804" s="24"/>
      <c r="AQ804" s="24"/>
      <c r="AR804" s="33"/>
      <c r="AS804" s="34"/>
      <c r="AT804" s="33"/>
      <c r="AV804" s="21">
        <f>IF(AND($AL804&lt;&gt;"",COUNTIF($AL$11:$AL804,$AL804)=1),1,0)</f>
        <v>0</v>
      </c>
      <c r="AW804" s="21">
        <f t="shared" si="111"/>
        <v>0</v>
      </c>
      <c r="AX804" s="21" t="str">
        <f t="shared" si="110"/>
        <v/>
      </c>
      <c r="AY804" s="21" t="str">
        <f>IF(AND($AM804&lt;&gt;"",$AS804&lt;&gt;"✓"),SUMPRODUCT(($AM$11:$AM804&lt;&gt;"")*($AS$11:$AS804&lt;&gt;"✓")),"")</f>
        <v/>
      </c>
      <c r="AZ804" s="21" t="str">
        <f>IF(AND($AM804&lt;&gt;"",$AS804="✓"),SUMPRODUCT(($AM$11:$AM804&lt;&gt;"")*($AS$11:$AS804="✓")),"")</f>
        <v/>
      </c>
      <c r="BA804" s="21" t="str">
        <f>IF($AL804="","",$AL804&amp;"|"&amp;COUNTIF($AL$11:$AL804,$AL804))</f>
        <v/>
      </c>
    </row>
    <row r="805" spans="23:53" ht="15" customHeight="1" x14ac:dyDescent="0.25">
      <c r="W805" s="14" t="str">
        <f>IF(X805="","",IFERROR(INDEX($AL$11:$AL$4010,MATCH(795,$AY$11:$AY$4010,0)),""))</f>
        <v/>
      </c>
      <c r="X805" s="12" t="str">
        <f>IFERROR(INDEX($AM$11:$AM$4010,MATCH(795,$AY$11:$AY$4010,0)),"")</f>
        <v/>
      </c>
      <c r="Y805" s="11" t="str">
        <f>IF(X805="","",IFERROR(INDEX($AN$11:$AN$4010,MATCH(795,$AY$11:$AY$4010,0)),""))</f>
        <v/>
      </c>
      <c r="Z805" s="11" t="str">
        <f>IF(X805="","",IFERROR(INDEX($AO$11:$AO$4010,MATCH(795,$AY$11:$AY$4010,0)),""))</f>
        <v/>
      </c>
      <c r="AA805" s="10" t="str">
        <f>IF(X805="","",IFERROR(INDEX($AQ$11:$AQ$4010,MATCH(795,$AY$11:$AY$4010,0)),""))</f>
        <v/>
      </c>
      <c r="AB805" s="15" t="str">
        <f>IF(X805="","",IFERROR(INDEX($AR$11:$AR$4010,MATCH(795,$AY$11:$AY$4010,0)),""))</f>
        <v/>
      </c>
      <c r="AD805" s="16" t="str">
        <f>IF(AE805="","",IFERROR(INDEX($AL$11:$AL$4010,MATCH(795,$AZ$11:$AZ$4010,0)),""))</f>
        <v/>
      </c>
      <c r="AE805" s="12" t="str">
        <f>IFERROR(INDEX($AM$11:$AM$4010,MATCH(795,$AZ$11:$AZ$4010,0)),"")</f>
        <v/>
      </c>
      <c r="AF805" s="11" t="str">
        <f>IF(AE805="","",IFERROR(INDEX($AN$11:$AN$4010,MATCH(795,$AZ$11:$AZ$4010,0)),""))</f>
        <v/>
      </c>
      <c r="AG805" s="11" t="str">
        <f>IF(AE805="","",IFERROR(INDEX($AO$11:$AO$4010,MATCH(795,$AZ$11:$AZ$4010,0)),""))</f>
        <v/>
      </c>
      <c r="AH805" s="10" t="str">
        <f>IF(AE805="","",IFERROR(INDEX($AQ$11:$AQ$4010,MATCH(795,$AZ$11:$AZ$4010,0)),""))</f>
        <v/>
      </c>
      <c r="AI805" s="15" t="str">
        <f>IF(AE805="","",IFERROR(INDEX($AR$11:$AR$4010,MATCH(795,$AZ$11:$AZ$4010,0)),""))</f>
        <v/>
      </c>
      <c r="AJ805" s="15" t="str">
        <f>IF(AE805="","",IFERROR(INDEX($AT$11:$AT$4010,MATCH(795,$AZ$11:$AZ$4010,0)),""))</f>
        <v/>
      </c>
      <c r="AL805" s="17"/>
      <c r="AM805" s="12"/>
      <c r="AN805" s="18"/>
      <c r="AO805" s="18"/>
      <c r="AP805" s="10"/>
      <c r="AQ805" s="10"/>
      <c r="AR805" s="19"/>
      <c r="AS805" s="20"/>
      <c r="AT805" s="19"/>
      <c r="AV805" s="21">
        <f>IF(AND($AL805&lt;&gt;"",COUNTIF($AL$11:$AL805,$AL805)=1),1,0)</f>
        <v>0</v>
      </c>
      <c r="AW805" s="21">
        <f t="shared" si="111"/>
        <v>0</v>
      </c>
      <c r="AX805" s="21" t="str">
        <f t="shared" si="110"/>
        <v/>
      </c>
      <c r="AY805" s="21" t="str">
        <f>IF(AND($AM805&lt;&gt;"",$AS805&lt;&gt;"✓"),SUMPRODUCT(($AM$11:$AM805&lt;&gt;"")*($AS$11:$AS805&lt;&gt;"✓")),"")</f>
        <v/>
      </c>
      <c r="AZ805" s="21" t="str">
        <f>IF(AND($AM805&lt;&gt;"",$AS805="✓"),SUMPRODUCT(($AM$11:$AM805&lt;&gt;"")*($AS$11:$AS805="✓")),"")</f>
        <v/>
      </c>
      <c r="BA805" s="21" t="str">
        <f>IF($AL805="","",$AL805&amp;"|"&amp;COUNTIF($AL$11:$AL805,$AL805))</f>
        <v/>
      </c>
    </row>
    <row r="806" spans="23:53" ht="15" customHeight="1" x14ac:dyDescent="0.25">
      <c r="W806" s="28" t="str">
        <f>IF(X806="","",IFERROR(INDEX($AL$11:$AL$4010,MATCH(796,$AY$11:$AY$4010,0)),""))</f>
        <v/>
      </c>
      <c r="X806" s="26" t="str">
        <f>IFERROR(INDEX($AM$11:$AM$4010,MATCH(796,$AY$11:$AY$4010,0)),"")</f>
        <v/>
      </c>
      <c r="Y806" s="25" t="str">
        <f>IF(X806="","",IFERROR(INDEX($AN$11:$AN$4010,MATCH(796,$AY$11:$AY$4010,0)),""))</f>
        <v/>
      </c>
      <c r="Z806" s="25" t="str">
        <f>IF(X806="","",IFERROR(INDEX($AO$11:$AO$4010,MATCH(796,$AY$11:$AY$4010,0)),""))</f>
        <v/>
      </c>
      <c r="AA806" s="24" t="str">
        <f>IF(X806="","",IFERROR(INDEX($AQ$11:$AQ$4010,MATCH(796,$AY$11:$AY$4010,0)),""))</f>
        <v/>
      </c>
      <c r="AB806" s="29" t="str">
        <f>IF(X806="","",IFERROR(INDEX($AR$11:$AR$4010,MATCH(796,$AY$11:$AY$4010,0)),""))</f>
        <v/>
      </c>
      <c r="AD806" s="30" t="str">
        <f>IF(AE806="","",IFERROR(INDEX($AL$11:$AL$4010,MATCH(796,$AZ$11:$AZ$4010,0)),""))</f>
        <v/>
      </c>
      <c r="AE806" s="26" t="str">
        <f>IFERROR(INDEX($AM$11:$AM$4010,MATCH(796,$AZ$11:$AZ$4010,0)),"")</f>
        <v/>
      </c>
      <c r="AF806" s="25" t="str">
        <f>IF(AE806="","",IFERROR(INDEX($AN$11:$AN$4010,MATCH(796,$AZ$11:$AZ$4010,0)),""))</f>
        <v/>
      </c>
      <c r="AG806" s="25" t="str">
        <f>IF(AE806="","",IFERROR(INDEX($AO$11:$AO$4010,MATCH(796,$AZ$11:$AZ$4010,0)),""))</f>
        <v/>
      </c>
      <c r="AH806" s="24" t="str">
        <f>IF(AE806="","",IFERROR(INDEX($AQ$11:$AQ$4010,MATCH(796,$AZ$11:$AZ$4010,0)),""))</f>
        <v/>
      </c>
      <c r="AI806" s="29" t="str">
        <f>IF(AE806="","",IFERROR(INDEX($AR$11:$AR$4010,MATCH(796,$AZ$11:$AZ$4010,0)),""))</f>
        <v/>
      </c>
      <c r="AJ806" s="29" t="str">
        <f>IF(AE806="","",IFERROR(INDEX($AT$11:$AT$4010,MATCH(796,$AZ$11:$AZ$4010,0)),""))</f>
        <v/>
      </c>
      <c r="AL806" s="31"/>
      <c r="AM806" s="26"/>
      <c r="AN806" s="32"/>
      <c r="AO806" s="32"/>
      <c r="AP806" s="24"/>
      <c r="AQ806" s="24"/>
      <c r="AR806" s="33"/>
      <c r="AS806" s="34"/>
      <c r="AT806" s="33"/>
      <c r="AV806" s="21">
        <f>IF(AND($AL806&lt;&gt;"",COUNTIF($AL$11:$AL806,$AL806)=1),1,0)</f>
        <v>0</v>
      </c>
      <c r="AW806" s="21">
        <f t="shared" si="111"/>
        <v>0</v>
      </c>
      <c r="AX806" s="21" t="str">
        <f t="shared" si="110"/>
        <v/>
      </c>
      <c r="AY806" s="21" t="str">
        <f>IF(AND($AM806&lt;&gt;"",$AS806&lt;&gt;"✓"),SUMPRODUCT(($AM$11:$AM806&lt;&gt;"")*($AS$11:$AS806&lt;&gt;"✓")),"")</f>
        <v/>
      </c>
      <c r="AZ806" s="21" t="str">
        <f>IF(AND($AM806&lt;&gt;"",$AS806="✓"),SUMPRODUCT(($AM$11:$AM806&lt;&gt;"")*($AS$11:$AS806="✓")),"")</f>
        <v/>
      </c>
      <c r="BA806" s="21" t="str">
        <f>IF($AL806="","",$AL806&amp;"|"&amp;COUNTIF($AL$11:$AL806,$AL806))</f>
        <v/>
      </c>
    </row>
    <row r="807" spans="23:53" ht="15" customHeight="1" x14ac:dyDescent="0.25">
      <c r="W807" s="14" t="str">
        <f>IF(X807="","",IFERROR(INDEX($AL$11:$AL$4010,MATCH(797,$AY$11:$AY$4010,0)),""))</f>
        <v/>
      </c>
      <c r="X807" s="12" t="str">
        <f>IFERROR(INDEX($AM$11:$AM$4010,MATCH(797,$AY$11:$AY$4010,0)),"")</f>
        <v/>
      </c>
      <c r="Y807" s="11" t="str">
        <f>IF(X807="","",IFERROR(INDEX($AN$11:$AN$4010,MATCH(797,$AY$11:$AY$4010,0)),""))</f>
        <v/>
      </c>
      <c r="Z807" s="11" t="str">
        <f>IF(X807="","",IFERROR(INDEX($AO$11:$AO$4010,MATCH(797,$AY$11:$AY$4010,0)),""))</f>
        <v/>
      </c>
      <c r="AA807" s="10" t="str">
        <f>IF(X807="","",IFERROR(INDEX($AQ$11:$AQ$4010,MATCH(797,$AY$11:$AY$4010,0)),""))</f>
        <v/>
      </c>
      <c r="AB807" s="15" t="str">
        <f>IF(X807="","",IFERROR(INDEX($AR$11:$AR$4010,MATCH(797,$AY$11:$AY$4010,0)),""))</f>
        <v/>
      </c>
      <c r="AD807" s="16" t="str">
        <f>IF(AE807="","",IFERROR(INDEX($AL$11:$AL$4010,MATCH(797,$AZ$11:$AZ$4010,0)),""))</f>
        <v/>
      </c>
      <c r="AE807" s="12" t="str">
        <f>IFERROR(INDEX($AM$11:$AM$4010,MATCH(797,$AZ$11:$AZ$4010,0)),"")</f>
        <v/>
      </c>
      <c r="AF807" s="11" t="str">
        <f>IF(AE807="","",IFERROR(INDEX($AN$11:$AN$4010,MATCH(797,$AZ$11:$AZ$4010,0)),""))</f>
        <v/>
      </c>
      <c r="AG807" s="11" t="str">
        <f>IF(AE807="","",IFERROR(INDEX($AO$11:$AO$4010,MATCH(797,$AZ$11:$AZ$4010,0)),""))</f>
        <v/>
      </c>
      <c r="AH807" s="10" t="str">
        <f>IF(AE807="","",IFERROR(INDEX($AQ$11:$AQ$4010,MATCH(797,$AZ$11:$AZ$4010,0)),""))</f>
        <v/>
      </c>
      <c r="AI807" s="15" t="str">
        <f>IF(AE807="","",IFERROR(INDEX($AR$11:$AR$4010,MATCH(797,$AZ$11:$AZ$4010,0)),""))</f>
        <v/>
      </c>
      <c r="AJ807" s="15" t="str">
        <f>IF(AE807="","",IFERROR(INDEX($AT$11:$AT$4010,MATCH(797,$AZ$11:$AZ$4010,0)),""))</f>
        <v/>
      </c>
      <c r="AL807" s="17"/>
      <c r="AM807" s="12"/>
      <c r="AN807" s="18"/>
      <c r="AO807" s="18"/>
      <c r="AP807" s="10"/>
      <c r="AQ807" s="10"/>
      <c r="AR807" s="19"/>
      <c r="AS807" s="20"/>
      <c r="AT807" s="19"/>
      <c r="AV807" s="21">
        <f>IF(AND($AL807&lt;&gt;"",COUNTIF($AL$11:$AL807,$AL807)=1),1,0)</f>
        <v>0</v>
      </c>
      <c r="AW807" s="21">
        <f t="shared" si="111"/>
        <v>0</v>
      </c>
      <c r="AX807" s="21" t="str">
        <f t="shared" si="110"/>
        <v/>
      </c>
      <c r="AY807" s="21" t="str">
        <f>IF(AND($AM807&lt;&gt;"",$AS807&lt;&gt;"✓"),SUMPRODUCT(($AM$11:$AM807&lt;&gt;"")*($AS$11:$AS807&lt;&gt;"✓")),"")</f>
        <v/>
      </c>
      <c r="AZ807" s="21" t="str">
        <f>IF(AND($AM807&lt;&gt;"",$AS807="✓"),SUMPRODUCT(($AM$11:$AM807&lt;&gt;"")*($AS$11:$AS807="✓")),"")</f>
        <v/>
      </c>
      <c r="BA807" s="21" t="str">
        <f>IF($AL807="","",$AL807&amp;"|"&amp;COUNTIF($AL$11:$AL807,$AL807))</f>
        <v/>
      </c>
    </row>
    <row r="808" spans="23:53" ht="15" customHeight="1" x14ac:dyDescent="0.25">
      <c r="W808" s="28" t="str">
        <f>IF(X808="","",IFERROR(INDEX($AL$11:$AL$4010,MATCH(798,$AY$11:$AY$4010,0)),""))</f>
        <v/>
      </c>
      <c r="X808" s="26" t="str">
        <f>IFERROR(INDEX($AM$11:$AM$4010,MATCH(798,$AY$11:$AY$4010,0)),"")</f>
        <v/>
      </c>
      <c r="Y808" s="25" t="str">
        <f>IF(X808="","",IFERROR(INDEX($AN$11:$AN$4010,MATCH(798,$AY$11:$AY$4010,0)),""))</f>
        <v/>
      </c>
      <c r="Z808" s="25" t="str">
        <f>IF(X808="","",IFERROR(INDEX($AO$11:$AO$4010,MATCH(798,$AY$11:$AY$4010,0)),""))</f>
        <v/>
      </c>
      <c r="AA808" s="24" t="str">
        <f>IF(X808="","",IFERROR(INDEX($AQ$11:$AQ$4010,MATCH(798,$AY$11:$AY$4010,0)),""))</f>
        <v/>
      </c>
      <c r="AB808" s="29" t="str">
        <f>IF(X808="","",IFERROR(INDEX($AR$11:$AR$4010,MATCH(798,$AY$11:$AY$4010,0)),""))</f>
        <v/>
      </c>
      <c r="AD808" s="30" t="str">
        <f>IF(AE808="","",IFERROR(INDEX($AL$11:$AL$4010,MATCH(798,$AZ$11:$AZ$4010,0)),""))</f>
        <v/>
      </c>
      <c r="AE808" s="26" t="str">
        <f>IFERROR(INDEX($AM$11:$AM$4010,MATCH(798,$AZ$11:$AZ$4010,0)),"")</f>
        <v/>
      </c>
      <c r="AF808" s="25" t="str">
        <f>IF(AE808="","",IFERROR(INDEX($AN$11:$AN$4010,MATCH(798,$AZ$11:$AZ$4010,0)),""))</f>
        <v/>
      </c>
      <c r="AG808" s="25" t="str">
        <f>IF(AE808="","",IFERROR(INDEX($AO$11:$AO$4010,MATCH(798,$AZ$11:$AZ$4010,0)),""))</f>
        <v/>
      </c>
      <c r="AH808" s="24" t="str">
        <f>IF(AE808="","",IFERROR(INDEX($AQ$11:$AQ$4010,MATCH(798,$AZ$11:$AZ$4010,0)),""))</f>
        <v/>
      </c>
      <c r="AI808" s="29" t="str">
        <f>IF(AE808="","",IFERROR(INDEX($AR$11:$AR$4010,MATCH(798,$AZ$11:$AZ$4010,0)),""))</f>
        <v/>
      </c>
      <c r="AJ808" s="29" t="str">
        <f>IF(AE808="","",IFERROR(INDEX($AT$11:$AT$4010,MATCH(798,$AZ$11:$AZ$4010,0)),""))</f>
        <v/>
      </c>
      <c r="AL808" s="31"/>
      <c r="AM808" s="26"/>
      <c r="AN808" s="32"/>
      <c r="AO808" s="32"/>
      <c r="AP808" s="24"/>
      <c r="AQ808" s="24"/>
      <c r="AR808" s="33"/>
      <c r="AS808" s="34"/>
      <c r="AT808" s="33"/>
      <c r="AV808" s="21">
        <f>IF(AND($AL808&lt;&gt;"",COUNTIF($AL$11:$AL808,$AL808)=1),1,0)</f>
        <v>0</v>
      </c>
      <c r="AW808" s="21">
        <f t="shared" si="111"/>
        <v>0</v>
      </c>
      <c r="AX808" s="21" t="str">
        <f t="shared" si="110"/>
        <v/>
      </c>
      <c r="AY808" s="21" t="str">
        <f>IF(AND($AM808&lt;&gt;"",$AS808&lt;&gt;"✓"),SUMPRODUCT(($AM$11:$AM808&lt;&gt;"")*($AS$11:$AS808&lt;&gt;"✓")),"")</f>
        <v/>
      </c>
      <c r="AZ808" s="21" t="str">
        <f>IF(AND($AM808&lt;&gt;"",$AS808="✓"),SUMPRODUCT(($AM$11:$AM808&lt;&gt;"")*($AS$11:$AS808="✓")),"")</f>
        <v/>
      </c>
      <c r="BA808" s="21" t="str">
        <f>IF($AL808="","",$AL808&amp;"|"&amp;COUNTIF($AL$11:$AL808,$AL808))</f>
        <v/>
      </c>
    </row>
    <row r="809" spans="23:53" ht="15" customHeight="1" x14ac:dyDescent="0.25">
      <c r="W809" s="14" t="str">
        <f>IF(X809="","",IFERROR(INDEX($AL$11:$AL$4010,MATCH(799,$AY$11:$AY$4010,0)),""))</f>
        <v/>
      </c>
      <c r="X809" s="12" t="str">
        <f>IFERROR(INDEX($AM$11:$AM$4010,MATCH(799,$AY$11:$AY$4010,0)),"")</f>
        <v/>
      </c>
      <c r="Y809" s="11" t="str">
        <f>IF(X809="","",IFERROR(INDEX($AN$11:$AN$4010,MATCH(799,$AY$11:$AY$4010,0)),""))</f>
        <v/>
      </c>
      <c r="Z809" s="11" t="str">
        <f>IF(X809="","",IFERROR(INDEX($AO$11:$AO$4010,MATCH(799,$AY$11:$AY$4010,0)),""))</f>
        <v/>
      </c>
      <c r="AA809" s="10" t="str">
        <f>IF(X809="","",IFERROR(INDEX($AQ$11:$AQ$4010,MATCH(799,$AY$11:$AY$4010,0)),""))</f>
        <v/>
      </c>
      <c r="AB809" s="15" t="str">
        <f>IF(X809="","",IFERROR(INDEX($AR$11:$AR$4010,MATCH(799,$AY$11:$AY$4010,0)),""))</f>
        <v/>
      </c>
      <c r="AD809" s="16" t="str">
        <f>IF(AE809="","",IFERROR(INDEX($AL$11:$AL$4010,MATCH(799,$AZ$11:$AZ$4010,0)),""))</f>
        <v/>
      </c>
      <c r="AE809" s="12" t="str">
        <f>IFERROR(INDEX($AM$11:$AM$4010,MATCH(799,$AZ$11:$AZ$4010,0)),"")</f>
        <v/>
      </c>
      <c r="AF809" s="11" t="str">
        <f>IF(AE809="","",IFERROR(INDEX($AN$11:$AN$4010,MATCH(799,$AZ$11:$AZ$4010,0)),""))</f>
        <v/>
      </c>
      <c r="AG809" s="11" t="str">
        <f>IF(AE809="","",IFERROR(INDEX($AO$11:$AO$4010,MATCH(799,$AZ$11:$AZ$4010,0)),""))</f>
        <v/>
      </c>
      <c r="AH809" s="10" t="str">
        <f>IF(AE809="","",IFERROR(INDEX($AQ$11:$AQ$4010,MATCH(799,$AZ$11:$AZ$4010,0)),""))</f>
        <v/>
      </c>
      <c r="AI809" s="15" t="str">
        <f>IF(AE809="","",IFERROR(INDEX($AR$11:$AR$4010,MATCH(799,$AZ$11:$AZ$4010,0)),""))</f>
        <v/>
      </c>
      <c r="AJ809" s="15" t="str">
        <f>IF(AE809="","",IFERROR(INDEX($AT$11:$AT$4010,MATCH(799,$AZ$11:$AZ$4010,0)),""))</f>
        <v/>
      </c>
      <c r="AL809" s="17"/>
      <c r="AM809" s="12"/>
      <c r="AN809" s="18"/>
      <c r="AO809" s="18"/>
      <c r="AP809" s="10"/>
      <c r="AQ809" s="10"/>
      <c r="AR809" s="19"/>
      <c r="AS809" s="20"/>
      <c r="AT809" s="19"/>
      <c r="AV809" s="21">
        <f>IF(AND($AL809&lt;&gt;"",COUNTIF($AL$11:$AL809,$AL809)=1),1,0)</f>
        <v>0</v>
      </c>
      <c r="AW809" s="21">
        <f t="shared" si="111"/>
        <v>0</v>
      </c>
      <c r="AX809" s="21" t="str">
        <f t="shared" si="110"/>
        <v/>
      </c>
      <c r="AY809" s="21" t="str">
        <f>IF(AND($AM809&lt;&gt;"",$AS809&lt;&gt;"✓"),SUMPRODUCT(($AM$11:$AM809&lt;&gt;"")*($AS$11:$AS809&lt;&gt;"✓")),"")</f>
        <v/>
      </c>
      <c r="AZ809" s="21" t="str">
        <f>IF(AND($AM809&lt;&gt;"",$AS809="✓"),SUMPRODUCT(($AM$11:$AM809&lt;&gt;"")*($AS$11:$AS809="✓")),"")</f>
        <v/>
      </c>
      <c r="BA809" s="21" t="str">
        <f>IF($AL809="","",$AL809&amp;"|"&amp;COUNTIF($AL$11:$AL809,$AL809))</f>
        <v/>
      </c>
    </row>
    <row r="810" spans="23:53" ht="15" customHeight="1" x14ac:dyDescent="0.25">
      <c r="W810" s="28" t="str">
        <f>IF(X810="","",IFERROR(INDEX($AL$11:$AL$4010,MATCH(800,$AY$11:$AY$4010,0)),""))</f>
        <v/>
      </c>
      <c r="X810" s="26" t="str">
        <f>IFERROR(INDEX($AM$11:$AM$4010,MATCH(800,$AY$11:$AY$4010,0)),"")</f>
        <v/>
      </c>
      <c r="Y810" s="25" t="str">
        <f>IF(X810="","",IFERROR(INDEX($AN$11:$AN$4010,MATCH(800,$AY$11:$AY$4010,0)),""))</f>
        <v/>
      </c>
      <c r="Z810" s="25" t="str">
        <f>IF(X810="","",IFERROR(INDEX($AO$11:$AO$4010,MATCH(800,$AY$11:$AY$4010,0)),""))</f>
        <v/>
      </c>
      <c r="AA810" s="24" t="str">
        <f>IF(X810="","",IFERROR(INDEX($AQ$11:$AQ$4010,MATCH(800,$AY$11:$AY$4010,0)),""))</f>
        <v/>
      </c>
      <c r="AB810" s="29" t="str">
        <f>IF(X810="","",IFERROR(INDEX($AR$11:$AR$4010,MATCH(800,$AY$11:$AY$4010,0)),""))</f>
        <v/>
      </c>
      <c r="AD810" s="30" t="str">
        <f>IF(AE810="","",IFERROR(INDEX($AL$11:$AL$4010,MATCH(800,$AZ$11:$AZ$4010,0)),""))</f>
        <v/>
      </c>
      <c r="AE810" s="26" t="str">
        <f>IFERROR(INDEX($AM$11:$AM$4010,MATCH(800,$AZ$11:$AZ$4010,0)),"")</f>
        <v/>
      </c>
      <c r="AF810" s="25" t="str">
        <f>IF(AE810="","",IFERROR(INDEX($AN$11:$AN$4010,MATCH(800,$AZ$11:$AZ$4010,0)),""))</f>
        <v/>
      </c>
      <c r="AG810" s="25" t="str">
        <f>IF(AE810="","",IFERROR(INDEX($AO$11:$AO$4010,MATCH(800,$AZ$11:$AZ$4010,0)),""))</f>
        <v/>
      </c>
      <c r="AH810" s="24" t="str">
        <f>IF(AE810="","",IFERROR(INDEX($AQ$11:$AQ$4010,MATCH(800,$AZ$11:$AZ$4010,0)),""))</f>
        <v/>
      </c>
      <c r="AI810" s="29" t="str">
        <f>IF(AE810="","",IFERROR(INDEX($AR$11:$AR$4010,MATCH(800,$AZ$11:$AZ$4010,0)),""))</f>
        <v/>
      </c>
      <c r="AJ810" s="29" t="str">
        <f>IF(AE810="","",IFERROR(INDEX($AT$11:$AT$4010,MATCH(800,$AZ$11:$AZ$4010,0)),""))</f>
        <v/>
      </c>
      <c r="AL810" s="31"/>
      <c r="AM810" s="26"/>
      <c r="AN810" s="32"/>
      <c r="AO810" s="32"/>
      <c r="AP810" s="24"/>
      <c r="AQ810" s="24"/>
      <c r="AR810" s="33"/>
      <c r="AS810" s="34"/>
      <c r="AT810" s="33"/>
      <c r="AV810" s="21">
        <f>IF(AND($AL810&lt;&gt;"",COUNTIF($AL$11:$AL810,$AL810)=1),1,0)</f>
        <v>0</v>
      </c>
      <c r="AW810" s="21">
        <f t="shared" si="111"/>
        <v>0</v>
      </c>
      <c r="AX810" s="21" t="str">
        <f t="shared" si="110"/>
        <v/>
      </c>
      <c r="AY810" s="21" t="str">
        <f>IF(AND($AM810&lt;&gt;"",$AS810&lt;&gt;"✓"),SUMPRODUCT(($AM$11:$AM810&lt;&gt;"")*($AS$11:$AS810&lt;&gt;"✓")),"")</f>
        <v/>
      </c>
      <c r="AZ810" s="21" t="str">
        <f>IF(AND($AM810&lt;&gt;"",$AS810="✓"),SUMPRODUCT(($AM$11:$AM810&lt;&gt;"")*($AS$11:$AS810="✓")),"")</f>
        <v/>
      </c>
      <c r="BA810" s="21" t="str">
        <f>IF($AL810="","",$AL810&amp;"|"&amp;COUNTIF($AL$11:$AL810,$AL810))</f>
        <v/>
      </c>
    </row>
    <row r="811" spans="23:53" ht="15" customHeight="1" x14ac:dyDescent="0.25">
      <c r="W811" s="14" t="str">
        <f>IF(X811="","",IFERROR(INDEX($AL$11:$AL$4010,MATCH(801,$AY$11:$AY$4010,0)),""))</f>
        <v/>
      </c>
      <c r="X811" s="12" t="str">
        <f>IFERROR(INDEX($AM$11:$AM$4010,MATCH(801,$AY$11:$AY$4010,0)),"")</f>
        <v/>
      </c>
      <c r="Y811" s="11" t="str">
        <f>IF(X811="","",IFERROR(INDEX($AN$11:$AN$4010,MATCH(801,$AY$11:$AY$4010,0)),""))</f>
        <v/>
      </c>
      <c r="Z811" s="11" t="str">
        <f>IF(X811="","",IFERROR(INDEX($AO$11:$AO$4010,MATCH(801,$AY$11:$AY$4010,0)),""))</f>
        <v/>
      </c>
      <c r="AA811" s="10" t="str">
        <f>IF(X811="","",IFERROR(INDEX($AQ$11:$AQ$4010,MATCH(801,$AY$11:$AY$4010,0)),""))</f>
        <v/>
      </c>
      <c r="AB811" s="15" t="str">
        <f>IF(X811="","",IFERROR(INDEX($AR$11:$AR$4010,MATCH(801,$AY$11:$AY$4010,0)),""))</f>
        <v/>
      </c>
      <c r="AD811" s="16" t="str">
        <f>IF(AE811="","",IFERROR(INDEX($AL$11:$AL$4010,MATCH(801,$AZ$11:$AZ$4010,0)),""))</f>
        <v/>
      </c>
      <c r="AE811" s="12" t="str">
        <f>IFERROR(INDEX($AM$11:$AM$4010,MATCH(801,$AZ$11:$AZ$4010,0)),"")</f>
        <v/>
      </c>
      <c r="AF811" s="11" t="str">
        <f>IF(AE811="","",IFERROR(INDEX($AN$11:$AN$4010,MATCH(801,$AZ$11:$AZ$4010,0)),""))</f>
        <v/>
      </c>
      <c r="AG811" s="11" t="str">
        <f>IF(AE811="","",IFERROR(INDEX($AO$11:$AO$4010,MATCH(801,$AZ$11:$AZ$4010,0)),""))</f>
        <v/>
      </c>
      <c r="AH811" s="10" t="str">
        <f>IF(AE811="","",IFERROR(INDEX($AQ$11:$AQ$4010,MATCH(801,$AZ$11:$AZ$4010,0)),""))</f>
        <v/>
      </c>
      <c r="AI811" s="15" t="str">
        <f>IF(AE811="","",IFERROR(INDEX($AR$11:$AR$4010,MATCH(801,$AZ$11:$AZ$4010,0)),""))</f>
        <v/>
      </c>
      <c r="AJ811" s="15" t="str">
        <f>IF(AE811="","",IFERROR(INDEX($AT$11:$AT$4010,MATCH(801,$AZ$11:$AZ$4010,0)),""))</f>
        <v/>
      </c>
      <c r="AL811" s="17"/>
      <c r="AM811" s="12"/>
      <c r="AN811" s="18"/>
      <c r="AO811" s="18"/>
      <c r="AP811" s="10"/>
      <c r="AQ811" s="10"/>
      <c r="AR811" s="19"/>
      <c r="AS811" s="20"/>
      <c r="AT811" s="19"/>
      <c r="AV811" s="21">
        <f>IF(AND($AL811&lt;&gt;"",COUNTIF($AL$11:$AL811,$AL811)=1),1,0)</f>
        <v>0</v>
      </c>
      <c r="AW811" s="21">
        <f t="shared" si="111"/>
        <v>0</v>
      </c>
      <c r="AX811" s="21" t="str">
        <f t="shared" si="110"/>
        <v/>
      </c>
      <c r="AY811" s="21" t="str">
        <f>IF(AND($AM811&lt;&gt;"",$AS811&lt;&gt;"✓"),SUMPRODUCT(($AM$11:$AM811&lt;&gt;"")*($AS$11:$AS811&lt;&gt;"✓")),"")</f>
        <v/>
      </c>
      <c r="AZ811" s="21" t="str">
        <f>IF(AND($AM811&lt;&gt;"",$AS811="✓"),SUMPRODUCT(($AM$11:$AM811&lt;&gt;"")*($AS$11:$AS811="✓")),"")</f>
        <v/>
      </c>
      <c r="BA811" s="21" t="str">
        <f>IF($AL811="","",$AL811&amp;"|"&amp;COUNTIF($AL$11:$AL811,$AL811))</f>
        <v/>
      </c>
    </row>
    <row r="812" spans="23:53" ht="15" customHeight="1" x14ac:dyDescent="0.25">
      <c r="W812" s="28" t="str">
        <f>IF(X812="","",IFERROR(INDEX($AL$11:$AL$4010,MATCH(802,$AY$11:$AY$4010,0)),""))</f>
        <v/>
      </c>
      <c r="X812" s="26" t="str">
        <f>IFERROR(INDEX($AM$11:$AM$4010,MATCH(802,$AY$11:$AY$4010,0)),"")</f>
        <v/>
      </c>
      <c r="Y812" s="25" t="str">
        <f>IF(X812="","",IFERROR(INDEX($AN$11:$AN$4010,MATCH(802,$AY$11:$AY$4010,0)),""))</f>
        <v/>
      </c>
      <c r="Z812" s="25" t="str">
        <f>IF(X812="","",IFERROR(INDEX($AO$11:$AO$4010,MATCH(802,$AY$11:$AY$4010,0)),""))</f>
        <v/>
      </c>
      <c r="AA812" s="24" t="str">
        <f>IF(X812="","",IFERROR(INDEX($AQ$11:$AQ$4010,MATCH(802,$AY$11:$AY$4010,0)),""))</f>
        <v/>
      </c>
      <c r="AB812" s="29" t="str">
        <f>IF(X812="","",IFERROR(INDEX($AR$11:$AR$4010,MATCH(802,$AY$11:$AY$4010,0)),""))</f>
        <v/>
      </c>
      <c r="AD812" s="30" t="str">
        <f>IF(AE812="","",IFERROR(INDEX($AL$11:$AL$4010,MATCH(802,$AZ$11:$AZ$4010,0)),""))</f>
        <v/>
      </c>
      <c r="AE812" s="26" t="str">
        <f>IFERROR(INDEX($AM$11:$AM$4010,MATCH(802,$AZ$11:$AZ$4010,0)),"")</f>
        <v/>
      </c>
      <c r="AF812" s="25" t="str">
        <f>IF(AE812="","",IFERROR(INDEX($AN$11:$AN$4010,MATCH(802,$AZ$11:$AZ$4010,0)),""))</f>
        <v/>
      </c>
      <c r="AG812" s="25" t="str">
        <f>IF(AE812="","",IFERROR(INDEX($AO$11:$AO$4010,MATCH(802,$AZ$11:$AZ$4010,0)),""))</f>
        <v/>
      </c>
      <c r="AH812" s="24" t="str">
        <f>IF(AE812="","",IFERROR(INDEX($AQ$11:$AQ$4010,MATCH(802,$AZ$11:$AZ$4010,0)),""))</f>
        <v/>
      </c>
      <c r="AI812" s="29" t="str">
        <f>IF(AE812="","",IFERROR(INDEX($AR$11:$AR$4010,MATCH(802,$AZ$11:$AZ$4010,0)),""))</f>
        <v/>
      </c>
      <c r="AJ812" s="29" t="str">
        <f>IF(AE812="","",IFERROR(INDEX($AT$11:$AT$4010,MATCH(802,$AZ$11:$AZ$4010,0)),""))</f>
        <v/>
      </c>
      <c r="AL812" s="31"/>
      <c r="AM812" s="26"/>
      <c r="AN812" s="32"/>
      <c r="AO812" s="32"/>
      <c r="AP812" s="24"/>
      <c r="AQ812" s="24"/>
      <c r="AR812" s="33"/>
      <c r="AS812" s="34"/>
      <c r="AT812" s="33"/>
      <c r="AV812" s="21">
        <f>IF(AND($AL812&lt;&gt;"",COUNTIF($AL$11:$AL812,$AL812)=1),1,0)</f>
        <v>0</v>
      </c>
      <c r="AW812" s="21">
        <f t="shared" si="111"/>
        <v>0</v>
      </c>
      <c r="AX812" s="21" t="str">
        <f t="shared" si="110"/>
        <v/>
      </c>
      <c r="AY812" s="21" t="str">
        <f>IF(AND($AM812&lt;&gt;"",$AS812&lt;&gt;"✓"),SUMPRODUCT(($AM$11:$AM812&lt;&gt;"")*($AS$11:$AS812&lt;&gt;"✓")),"")</f>
        <v/>
      </c>
      <c r="AZ812" s="21" t="str">
        <f>IF(AND($AM812&lt;&gt;"",$AS812="✓"),SUMPRODUCT(($AM$11:$AM812&lt;&gt;"")*($AS$11:$AS812="✓")),"")</f>
        <v/>
      </c>
      <c r="BA812" s="21" t="str">
        <f>IF($AL812="","",$AL812&amp;"|"&amp;COUNTIF($AL$11:$AL812,$AL812))</f>
        <v/>
      </c>
    </row>
    <row r="813" spans="23:53" ht="15" customHeight="1" x14ac:dyDescent="0.25">
      <c r="W813" s="14" t="str">
        <f>IF(X813="","",IFERROR(INDEX($AL$11:$AL$4010,MATCH(803,$AY$11:$AY$4010,0)),""))</f>
        <v/>
      </c>
      <c r="X813" s="12" t="str">
        <f>IFERROR(INDEX($AM$11:$AM$4010,MATCH(803,$AY$11:$AY$4010,0)),"")</f>
        <v/>
      </c>
      <c r="Y813" s="11" t="str">
        <f>IF(X813="","",IFERROR(INDEX($AN$11:$AN$4010,MATCH(803,$AY$11:$AY$4010,0)),""))</f>
        <v/>
      </c>
      <c r="Z813" s="11" t="str">
        <f>IF(X813="","",IFERROR(INDEX($AO$11:$AO$4010,MATCH(803,$AY$11:$AY$4010,0)),""))</f>
        <v/>
      </c>
      <c r="AA813" s="10" t="str">
        <f>IF(X813="","",IFERROR(INDEX($AQ$11:$AQ$4010,MATCH(803,$AY$11:$AY$4010,0)),""))</f>
        <v/>
      </c>
      <c r="AB813" s="15" t="str">
        <f>IF(X813="","",IFERROR(INDEX($AR$11:$AR$4010,MATCH(803,$AY$11:$AY$4010,0)),""))</f>
        <v/>
      </c>
      <c r="AD813" s="16" t="str">
        <f>IF(AE813="","",IFERROR(INDEX($AL$11:$AL$4010,MATCH(803,$AZ$11:$AZ$4010,0)),""))</f>
        <v/>
      </c>
      <c r="AE813" s="12" t="str">
        <f>IFERROR(INDEX($AM$11:$AM$4010,MATCH(803,$AZ$11:$AZ$4010,0)),"")</f>
        <v/>
      </c>
      <c r="AF813" s="11" t="str">
        <f>IF(AE813="","",IFERROR(INDEX($AN$11:$AN$4010,MATCH(803,$AZ$11:$AZ$4010,0)),""))</f>
        <v/>
      </c>
      <c r="AG813" s="11" t="str">
        <f>IF(AE813="","",IFERROR(INDEX($AO$11:$AO$4010,MATCH(803,$AZ$11:$AZ$4010,0)),""))</f>
        <v/>
      </c>
      <c r="AH813" s="10" t="str">
        <f>IF(AE813="","",IFERROR(INDEX($AQ$11:$AQ$4010,MATCH(803,$AZ$11:$AZ$4010,0)),""))</f>
        <v/>
      </c>
      <c r="AI813" s="15" t="str">
        <f>IF(AE813="","",IFERROR(INDEX($AR$11:$AR$4010,MATCH(803,$AZ$11:$AZ$4010,0)),""))</f>
        <v/>
      </c>
      <c r="AJ813" s="15" t="str">
        <f>IF(AE813="","",IFERROR(INDEX($AT$11:$AT$4010,MATCH(803,$AZ$11:$AZ$4010,0)),""))</f>
        <v/>
      </c>
      <c r="AL813" s="17"/>
      <c r="AM813" s="12"/>
      <c r="AN813" s="18"/>
      <c r="AO813" s="18"/>
      <c r="AP813" s="10"/>
      <c r="AQ813" s="10"/>
      <c r="AR813" s="19"/>
      <c r="AS813" s="20"/>
      <c r="AT813" s="19"/>
      <c r="AV813" s="21">
        <f>IF(AND($AL813&lt;&gt;"",COUNTIF($AL$11:$AL813,$AL813)=1),1,0)</f>
        <v>0</v>
      </c>
      <c r="AW813" s="21">
        <f t="shared" si="111"/>
        <v>0</v>
      </c>
      <c r="AX813" s="21" t="str">
        <f t="shared" si="110"/>
        <v/>
      </c>
      <c r="AY813" s="21" t="str">
        <f>IF(AND($AM813&lt;&gt;"",$AS813&lt;&gt;"✓"),SUMPRODUCT(($AM$11:$AM813&lt;&gt;"")*($AS$11:$AS813&lt;&gt;"✓")),"")</f>
        <v/>
      </c>
      <c r="AZ813" s="21" t="str">
        <f>IF(AND($AM813&lt;&gt;"",$AS813="✓"),SUMPRODUCT(($AM$11:$AM813&lt;&gt;"")*($AS$11:$AS813="✓")),"")</f>
        <v/>
      </c>
      <c r="BA813" s="21" t="str">
        <f>IF($AL813="","",$AL813&amp;"|"&amp;COUNTIF($AL$11:$AL813,$AL813))</f>
        <v/>
      </c>
    </row>
    <row r="814" spans="23:53" ht="15" customHeight="1" x14ac:dyDescent="0.25">
      <c r="W814" s="28" t="str">
        <f>IF(X814="","",IFERROR(INDEX($AL$11:$AL$4010,MATCH(804,$AY$11:$AY$4010,0)),""))</f>
        <v/>
      </c>
      <c r="X814" s="26" t="str">
        <f>IFERROR(INDEX($AM$11:$AM$4010,MATCH(804,$AY$11:$AY$4010,0)),"")</f>
        <v/>
      </c>
      <c r="Y814" s="25" t="str">
        <f>IF(X814="","",IFERROR(INDEX($AN$11:$AN$4010,MATCH(804,$AY$11:$AY$4010,0)),""))</f>
        <v/>
      </c>
      <c r="Z814" s="25" t="str">
        <f>IF(X814="","",IFERROR(INDEX($AO$11:$AO$4010,MATCH(804,$AY$11:$AY$4010,0)),""))</f>
        <v/>
      </c>
      <c r="AA814" s="24" t="str">
        <f>IF(X814="","",IFERROR(INDEX($AQ$11:$AQ$4010,MATCH(804,$AY$11:$AY$4010,0)),""))</f>
        <v/>
      </c>
      <c r="AB814" s="29" t="str">
        <f>IF(X814="","",IFERROR(INDEX($AR$11:$AR$4010,MATCH(804,$AY$11:$AY$4010,0)),""))</f>
        <v/>
      </c>
      <c r="AD814" s="30" t="str">
        <f>IF(AE814="","",IFERROR(INDEX($AL$11:$AL$4010,MATCH(804,$AZ$11:$AZ$4010,0)),""))</f>
        <v/>
      </c>
      <c r="AE814" s="26" t="str">
        <f>IFERROR(INDEX($AM$11:$AM$4010,MATCH(804,$AZ$11:$AZ$4010,0)),"")</f>
        <v/>
      </c>
      <c r="AF814" s="25" t="str">
        <f>IF(AE814="","",IFERROR(INDEX($AN$11:$AN$4010,MATCH(804,$AZ$11:$AZ$4010,0)),""))</f>
        <v/>
      </c>
      <c r="AG814" s="25" t="str">
        <f>IF(AE814="","",IFERROR(INDEX($AO$11:$AO$4010,MATCH(804,$AZ$11:$AZ$4010,0)),""))</f>
        <v/>
      </c>
      <c r="AH814" s="24" t="str">
        <f>IF(AE814="","",IFERROR(INDEX($AQ$11:$AQ$4010,MATCH(804,$AZ$11:$AZ$4010,0)),""))</f>
        <v/>
      </c>
      <c r="AI814" s="29" t="str">
        <f>IF(AE814="","",IFERROR(INDEX($AR$11:$AR$4010,MATCH(804,$AZ$11:$AZ$4010,0)),""))</f>
        <v/>
      </c>
      <c r="AJ814" s="29" t="str">
        <f>IF(AE814="","",IFERROR(INDEX($AT$11:$AT$4010,MATCH(804,$AZ$11:$AZ$4010,0)),""))</f>
        <v/>
      </c>
      <c r="AL814" s="31"/>
      <c r="AM814" s="26"/>
      <c r="AN814" s="32"/>
      <c r="AO814" s="32"/>
      <c r="AP814" s="24"/>
      <c r="AQ814" s="24"/>
      <c r="AR814" s="33"/>
      <c r="AS814" s="34"/>
      <c r="AT814" s="33"/>
      <c r="AV814" s="21">
        <f>IF(AND($AL814&lt;&gt;"",COUNTIF($AL$11:$AL814,$AL814)=1),1,0)</f>
        <v>0</v>
      </c>
      <c r="AW814" s="21">
        <f t="shared" si="111"/>
        <v>0</v>
      </c>
      <c r="AX814" s="21" t="str">
        <f t="shared" si="110"/>
        <v/>
      </c>
      <c r="AY814" s="21" t="str">
        <f>IF(AND($AM814&lt;&gt;"",$AS814&lt;&gt;"✓"),SUMPRODUCT(($AM$11:$AM814&lt;&gt;"")*($AS$11:$AS814&lt;&gt;"✓")),"")</f>
        <v/>
      </c>
      <c r="AZ814" s="21" t="str">
        <f>IF(AND($AM814&lt;&gt;"",$AS814="✓"),SUMPRODUCT(($AM$11:$AM814&lt;&gt;"")*($AS$11:$AS814="✓")),"")</f>
        <v/>
      </c>
      <c r="BA814" s="21" t="str">
        <f>IF($AL814="","",$AL814&amp;"|"&amp;COUNTIF($AL$11:$AL814,$AL814))</f>
        <v/>
      </c>
    </row>
    <row r="815" spans="23:53" ht="15" customHeight="1" x14ac:dyDescent="0.25">
      <c r="W815" s="14" t="str">
        <f>IF(X815="","",IFERROR(INDEX($AL$11:$AL$4010,MATCH(805,$AY$11:$AY$4010,0)),""))</f>
        <v/>
      </c>
      <c r="X815" s="12" t="str">
        <f>IFERROR(INDEX($AM$11:$AM$4010,MATCH(805,$AY$11:$AY$4010,0)),"")</f>
        <v/>
      </c>
      <c r="Y815" s="11" t="str">
        <f>IF(X815="","",IFERROR(INDEX($AN$11:$AN$4010,MATCH(805,$AY$11:$AY$4010,0)),""))</f>
        <v/>
      </c>
      <c r="Z815" s="11" t="str">
        <f>IF(X815="","",IFERROR(INDEX($AO$11:$AO$4010,MATCH(805,$AY$11:$AY$4010,0)),""))</f>
        <v/>
      </c>
      <c r="AA815" s="10" t="str">
        <f>IF(X815="","",IFERROR(INDEX($AQ$11:$AQ$4010,MATCH(805,$AY$11:$AY$4010,0)),""))</f>
        <v/>
      </c>
      <c r="AB815" s="15" t="str">
        <f>IF(X815="","",IFERROR(INDEX($AR$11:$AR$4010,MATCH(805,$AY$11:$AY$4010,0)),""))</f>
        <v/>
      </c>
      <c r="AD815" s="16" t="str">
        <f>IF(AE815="","",IFERROR(INDEX($AL$11:$AL$4010,MATCH(805,$AZ$11:$AZ$4010,0)),""))</f>
        <v/>
      </c>
      <c r="AE815" s="12" t="str">
        <f>IFERROR(INDEX($AM$11:$AM$4010,MATCH(805,$AZ$11:$AZ$4010,0)),"")</f>
        <v/>
      </c>
      <c r="AF815" s="11" t="str">
        <f>IF(AE815="","",IFERROR(INDEX($AN$11:$AN$4010,MATCH(805,$AZ$11:$AZ$4010,0)),""))</f>
        <v/>
      </c>
      <c r="AG815" s="11" t="str">
        <f>IF(AE815="","",IFERROR(INDEX($AO$11:$AO$4010,MATCH(805,$AZ$11:$AZ$4010,0)),""))</f>
        <v/>
      </c>
      <c r="AH815" s="10" t="str">
        <f>IF(AE815="","",IFERROR(INDEX($AQ$11:$AQ$4010,MATCH(805,$AZ$11:$AZ$4010,0)),""))</f>
        <v/>
      </c>
      <c r="AI815" s="15" t="str">
        <f>IF(AE815="","",IFERROR(INDEX($AR$11:$AR$4010,MATCH(805,$AZ$11:$AZ$4010,0)),""))</f>
        <v/>
      </c>
      <c r="AJ815" s="15" t="str">
        <f>IF(AE815="","",IFERROR(INDEX($AT$11:$AT$4010,MATCH(805,$AZ$11:$AZ$4010,0)),""))</f>
        <v/>
      </c>
      <c r="AL815" s="17"/>
      <c r="AM815" s="12"/>
      <c r="AN815" s="18"/>
      <c r="AO815" s="18"/>
      <c r="AP815" s="10"/>
      <c r="AQ815" s="10"/>
      <c r="AR815" s="19"/>
      <c r="AS815" s="20"/>
      <c r="AT815" s="19"/>
      <c r="AV815" s="21">
        <f>IF(AND($AL815&lt;&gt;"",COUNTIF($AL$11:$AL815,$AL815)=1),1,0)</f>
        <v>0</v>
      </c>
      <c r="AW815" s="21">
        <f t="shared" si="111"/>
        <v>0</v>
      </c>
      <c r="AX815" s="21" t="str">
        <f t="shared" si="110"/>
        <v/>
      </c>
      <c r="AY815" s="21" t="str">
        <f>IF(AND($AM815&lt;&gt;"",$AS815&lt;&gt;"✓"),SUMPRODUCT(($AM$11:$AM815&lt;&gt;"")*($AS$11:$AS815&lt;&gt;"✓")),"")</f>
        <v/>
      </c>
      <c r="AZ815" s="21" t="str">
        <f>IF(AND($AM815&lt;&gt;"",$AS815="✓"),SUMPRODUCT(($AM$11:$AM815&lt;&gt;"")*($AS$11:$AS815="✓")),"")</f>
        <v/>
      </c>
      <c r="BA815" s="21" t="str">
        <f>IF($AL815="","",$AL815&amp;"|"&amp;COUNTIF($AL$11:$AL815,$AL815))</f>
        <v/>
      </c>
    </row>
    <row r="816" spans="23:53" ht="15" customHeight="1" x14ac:dyDescent="0.25">
      <c r="W816" s="28" t="str">
        <f>IF(X816="","",IFERROR(INDEX($AL$11:$AL$4010,MATCH(806,$AY$11:$AY$4010,0)),""))</f>
        <v/>
      </c>
      <c r="X816" s="26" t="str">
        <f>IFERROR(INDEX($AM$11:$AM$4010,MATCH(806,$AY$11:$AY$4010,0)),"")</f>
        <v/>
      </c>
      <c r="Y816" s="25" t="str">
        <f>IF(X816="","",IFERROR(INDEX($AN$11:$AN$4010,MATCH(806,$AY$11:$AY$4010,0)),""))</f>
        <v/>
      </c>
      <c r="Z816" s="25" t="str">
        <f>IF(X816="","",IFERROR(INDEX($AO$11:$AO$4010,MATCH(806,$AY$11:$AY$4010,0)),""))</f>
        <v/>
      </c>
      <c r="AA816" s="24" t="str">
        <f>IF(X816="","",IFERROR(INDEX($AQ$11:$AQ$4010,MATCH(806,$AY$11:$AY$4010,0)),""))</f>
        <v/>
      </c>
      <c r="AB816" s="29" t="str">
        <f>IF(X816="","",IFERROR(INDEX($AR$11:$AR$4010,MATCH(806,$AY$11:$AY$4010,0)),""))</f>
        <v/>
      </c>
      <c r="AD816" s="30" t="str">
        <f>IF(AE816="","",IFERROR(INDEX($AL$11:$AL$4010,MATCH(806,$AZ$11:$AZ$4010,0)),""))</f>
        <v/>
      </c>
      <c r="AE816" s="26" t="str">
        <f>IFERROR(INDEX($AM$11:$AM$4010,MATCH(806,$AZ$11:$AZ$4010,0)),"")</f>
        <v/>
      </c>
      <c r="AF816" s="25" t="str">
        <f>IF(AE816="","",IFERROR(INDEX($AN$11:$AN$4010,MATCH(806,$AZ$11:$AZ$4010,0)),""))</f>
        <v/>
      </c>
      <c r="AG816" s="25" t="str">
        <f>IF(AE816="","",IFERROR(INDEX($AO$11:$AO$4010,MATCH(806,$AZ$11:$AZ$4010,0)),""))</f>
        <v/>
      </c>
      <c r="AH816" s="24" t="str">
        <f>IF(AE816="","",IFERROR(INDEX($AQ$11:$AQ$4010,MATCH(806,$AZ$11:$AZ$4010,0)),""))</f>
        <v/>
      </c>
      <c r="AI816" s="29" t="str">
        <f>IF(AE816="","",IFERROR(INDEX($AR$11:$AR$4010,MATCH(806,$AZ$11:$AZ$4010,0)),""))</f>
        <v/>
      </c>
      <c r="AJ816" s="29" t="str">
        <f>IF(AE816="","",IFERROR(INDEX($AT$11:$AT$4010,MATCH(806,$AZ$11:$AZ$4010,0)),""))</f>
        <v/>
      </c>
      <c r="AL816" s="31"/>
      <c r="AM816" s="26"/>
      <c r="AN816" s="32"/>
      <c r="AO816" s="32"/>
      <c r="AP816" s="24"/>
      <c r="AQ816" s="24"/>
      <c r="AR816" s="33"/>
      <c r="AS816" s="34"/>
      <c r="AT816" s="33"/>
      <c r="AV816" s="21">
        <f>IF(AND($AL816&lt;&gt;"",COUNTIF($AL$11:$AL816,$AL816)=1),1,0)</f>
        <v>0</v>
      </c>
      <c r="AW816" s="21">
        <f t="shared" si="111"/>
        <v>0</v>
      </c>
      <c r="AX816" s="21" t="str">
        <f t="shared" si="110"/>
        <v/>
      </c>
      <c r="AY816" s="21" t="str">
        <f>IF(AND($AM816&lt;&gt;"",$AS816&lt;&gt;"✓"),SUMPRODUCT(($AM$11:$AM816&lt;&gt;"")*($AS$11:$AS816&lt;&gt;"✓")),"")</f>
        <v/>
      </c>
      <c r="AZ816" s="21" t="str">
        <f>IF(AND($AM816&lt;&gt;"",$AS816="✓"),SUMPRODUCT(($AM$11:$AM816&lt;&gt;"")*($AS$11:$AS816="✓")),"")</f>
        <v/>
      </c>
      <c r="BA816" s="21" t="str">
        <f>IF($AL816="","",$AL816&amp;"|"&amp;COUNTIF($AL$11:$AL816,$AL816))</f>
        <v/>
      </c>
    </row>
    <row r="817" spans="23:53" ht="15" customHeight="1" x14ac:dyDescent="0.25">
      <c r="W817" s="14" t="str">
        <f>IF(X817="","",IFERROR(INDEX($AL$11:$AL$4010,MATCH(807,$AY$11:$AY$4010,0)),""))</f>
        <v/>
      </c>
      <c r="X817" s="12" t="str">
        <f>IFERROR(INDEX($AM$11:$AM$4010,MATCH(807,$AY$11:$AY$4010,0)),"")</f>
        <v/>
      </c>
      <c r="Y817" s="11" t="str">
        <f>IF(X817="","",IFERROR(INDEX($AN$11:$AN$4010,MATCH(807,$AY$11:$AY$4010,0)),""))</f>
        <v/>
      </c>
      <c r="Z817" s="11" t="str">
        <f>IF(X817="","",IFERROR(INDEX($AO$11:$AO$4010,MATCH(807,$AY$11:$AY$4010,0)),""))</f>
        <v/>
      </c>
      <c r="AA817" s="10" t="str">
        <f>IF(X817="","",IFERROR(INDEX($AQ$11:$AQ$4010,MATCH(807,$AY$11:$AY$4010,0)),""))</f>
        <v/>
      </c>
      <c r="AB817" s="15" t="str">
        <f>IF(X817="","",IFERROR(INDEX($AR$11:$AR$4010,MATCH(807,$AY$11:$AY$4010,0)),""))</f>
        <v/>
      </c>
      <c r="AD817" s="16" t="str">
        <f>IF(AE817="","",IFERROR(INDEX($AL$11:$AL$4010,MATCH(807,$AZ$11:$AZ$4010,0)),""))</f>
        <v/>
      </c>
      <c r="AE817" s="12" t="str">
        <f>IFERROR(INDEX($AM$11:$AM$4010,MATCH(807,$AZ$11:$AZ$4010,0)),"")</f>
        <v/>
      </c>
      <c r="AF817" s="11" t="str">
        <f>IF(AE817="","",IFERROR(INDEX($AN$11:$AN$4010,MATCH(807,$AZ$11:$AZ$4010,0)),""))</f>
        <v/>
      </c>
      <c r="AG817" s="11" t="str">
        <f>IF(AE817="","",IFERROR(INDEX($AO$11:$AO$4010,MATCH(807,$AZ$11:$AZ$4010,0)),""))</f>
        <v/>
      </c>
      <c r="AH817" s="10" t="str">
        <f>IF(AE817="","",IFERROR(INDEX($AQ$11:$AQ$4010,MATCH(807,$AZ$11:$AZ$4010,0)),""))</f>
        <v/>
      </c>
      <c r="AI817" s="15" t="str">
        <f>IF(AE817="","",IFERROR(INDEX($AR$11:$AR$4010,MATCH(807,$AZ$11:$AZ$4010,0)),""))</f>
        <v/>
      </c>
      <c r="AJ817" s="15" t="str">
        <f>IF(AE817="","",IFERROR(INDEX($AT$11:$AT$4010,MATCH(807,$AZ$11:$AZ$4010,0)),""))</f>
        <v/>
      </c>
      <c r="AL817" s="17"/>
      <c r="AM817" s="12"/>
      <c r="AN817" s="18"/>
      <c r="AO817" s="18"/>
      <c r="AP817" s="10"/>
      <c r="AQ817" s="10"/>
      <c r="AR817" s="19"/>
      <c r="AS817" s="20"/>
      <c r="AT817" s="19"/>
      <c r="AV817" s="21">
        <f>IF(AND($AL817&lt;&gt;"",COUNTIF($AL$11:$AL817,$AL817)=1),1,0)</f>
        <v>0</v>
      </c>
      <c r="AW817" s="21">
        <f t="shared" si="111"/>
        <v>0</v>
      </c>
      <c r="AX817" s="21" t="str">
        <f t="shared" si="110"/>
        <v/>
      </c>
      <c r="AY817" s="21" t="str">
        <f>IF(AND($AM817&lt;&gt;"",$AS817&lt;&gt;"✓"),SUMPRODUCT(($AM$11:$AM817&lt;&gt;"")*($AS$11:$AS817&lt;&gt;"✓")),"")</f>
        <v/>
      </c>
      <c r="AZ817" s="21" t="str">
        <f>IF(AND($AM817&lt;&gt;"",$AS817="✓"),SUMPRODUCT(($AM$11:$AM817&lt;&gt;"")*($AS$11:$AS817="✓")),"")</f>
        <v/>
      </c>
      <c r="BA817" s="21" t="str">
        <f>IF($AL817="","",$AL817&amp;"|"&amp;COUNTIF($AL$11:$AL817,$AL817))</f>
        <v/>
      </c>
    </row>
    <row r="818" spans="23:53" ht="15" customHeight="1" x14ac:dyDescent="0.25">
      <c r="W818" s="28" t="str">
        <f>IF(X818="","",IFERROR(INDEX($AL$11:$AL$4010,MATCH(808,$AY$11:$AY$4010,0)),""))</f>
        <v/>
      </c>
      <c r="X818" s="26" t="str">
        <f>IFERROR(INDEX($AM$11:$AM$4010,MATCH(808,$AY$11:$AY$4010,0)),"")</f>
        <v/>
      </c>
      <c r="Y818" s="25" t="str">
        <f>IF(X818="","",IFERROR(INDEX($AN$11:$AN$4010,MATCH(808,$AY$11:$AY$4010,0)),""))</f>
        <v/>
      </c>
      <c r="Z818" s="25" t="str">
        <f>IF(X818="","",IFERROR(INDEX($AO$11:$AO$4010,MATCH(808,$AY$11:$AY$4010,0)),""))</f>
        <v/>
      </c>
      <c r="AA818" s="24" t="str">
        <f>IF(X818="","",IFERROR(INDEX($AQ$11:$AQ$4010,MATCH(808,$AY$11:$AY$4010,0)),""))</f>
        <v/>
      </c>
      <c r="AB818" s="29" t="str">
        <f>IF(X818="","",IFERROR(INDEX($AR$11:$AR$4010,MATCH(808,$AY$11:$AY$4010,0)),""))</f>
        <v/>
      </c>
      <c r="AD818" s="30" t="str">
        <f>IF(AE818="","",IFERROR(INDEX($AL$11:$AL$4010,MATCH(808,$AZ$11:$AZ$4010,0)),""))</f>
        <v/>
      </c>
      <c r="AE818" s="26" t="str">
        <f>IFERROR(INDEX($AM$11:$AM$4010,MATCH(808,$AZ$11:$AZ$4010,0)),"")</f>
        <v/>
      </c>
      <c r="AF818" s="25" t="str">
        <f>IF(AE818="","",IFERROR(INDEX($AN$11:$AN$4010,MATCH(808,$AZ$11:$AZ$4010,0)),""))</f>
        <v/>
      </c>
      <c r="AG818" s="25" t="str">
        <f>IF(AE818="","",IFERROR(INDEX($AO$11:$AO$4010,MATCH(808,$AZ$11:$AZ$4010,0)),""))</f>
        <v/>
      </c>
      <c r="AH818" s="24" t="str">
        <f>IF(AE818="","",IFERROR(INDEX($AQ$11:$AQ$4010,MATCH(808,$AZ$11:$AZ$4010,0)),""))</f>
        <v/>
      </c>
      <c r="AI818" s="29" t="str">
        <f>IF(AE818="","",IFERROR(INDEX($AR$11:$AR$4010,MATCH(808,$AZ$11:$AZ$4010,0)),""))</f>
        <v/>
      </c>
      <c r="AJ818" s="29" t="str">
        <f>IF(AE818="","",IFERROR(INDEX($AT$11:$AT$4010,MATCH(808,$AZ$11:$AZ$4010,0)),""))</f>
        <v/>
      </c>
      <c r="AL818" s="31"/>
      <c r="AM818" s="26"/>
      <c r="AN818" s="32"/>
      <c r="AO818" s="32"/>
      <c r="AP818" s="24"/>
      <c r="AQ818" s="24"/>
      <c r="AR818" s="33"/>
      <c r="AS818" s="34"/>
      <c r="AT818" s="33"/>
      <c r="AV818" s="21">
        <f>IF(AND($AL818&lt;&gt;"",COUNTIF($AL$11:$AL818,$AL818)=1),1,0)</f>
        <v>0</v>
      </c>
      <c r="AW818" s="21">
        <f t="shared" si="111"/>
        <v>0</v>
      </c>
      <c r="AX818" s="21" t="str">
        <f t="shared" si="110"/>
        <v/>
      </c>
      <c r="AY818" s="21" t="str">
        <f>IF(AND($AM818&lt;&gt;"",$AS818&lt;&gt;"✓"),SUMPRODUCT(($AM$11:$AM818&lt;&gt;"")*($AS$11:$AS818&lt;&gt;"✓")),"")</f>
        <v/>
      </c>
      <c r="AZ818" s="21" t="str">
        <f>IF(AND($AM818&lt;&gt;"",$AS818="✓"),SUMPRODUCT(($AM$11:$AM818&lt;&gt;"")*($AS$11:$AS818="✓")),"")</f>
        <v/>
      </c>
      <c r="BA818" s="21" t="str">
        <f>IF($AL818="","",$AL818&amp;"|"&amp;COUNTIF($AL$11:$AL818,$AL818))</f>
        <v/>
      </c>
    </row>
    <row r="819" spans="23:53" ht="15" customHeight="1" x14ac:dyDescent="0.25">
      <c r="W819" s="14" t="str">
        <f>IF(X819="","",IFERROR(INDEX($AL$11:$AL$4010,MATCH(809,$AY$11:$AY$4010,0)),""))</f>
        <v/>
      </c>
      <c r="X819" s="12" t="str">
        <f>IFERROR(INDEX($AM$11:$AM$4010,MATCH(809,$AY$11:$AY$4010,0)),"")</f>
        <v/>
      </c>
      <c r="Y819" s="11" t="str">
        <f>IF(X819="","",IFERROR(INDEX($AN$11:$AN$4010,MATCH(809,$AY$11:$AY$4010,0)),""))</f>
        <v/>
      </c>
      <c r="Z819" s="11" t="str">
        <f>IF(X819="","",IFERROR(INDEX($AO$11:$AO$4010,MATCH(809,$AY$11:$AY$4010,0)),""))</f>
        <v/>
      </c>
      <c r="AA819" s="10" t="str">
        <f>IF(X819="","",IFERROR(INDEX($AQ$11:$AQ$4010,MATCH(809,$AY$11:$AY$4010,0)),""))</f>
        <v/>
      </c>
      <c r="AB819" s="15" t="str">
        <f>IF(X819="","",IFERROR(INDEX($AR$11:$AR$4010,MATCH(809,$AY$11:$AY$4010,0)),""))</f>
        <v/>
      </c>
      <c r="AD819" s="16" t="str">
        <f>IF(AE819="","",IFERROR(INDEX($AL$11:$AL$4010,MATCH(809,$AZ$11:$AZ$4010,0)),""))</f>
        <v/>
      </c>
      <c r="AE819" s="12" t="str">
        <f>IFERROR(INDEX($AM$11:$AM$4010,MATCH(809,$AZ$11:$AZ$4010,0)),"")</f>
        <v/>
      </c>
      <c r="AF819" s="11" t="str">
        <f>IF(AE819="","",IFERROR(INDEX($AN$11:$AN$4010,MATCH(809,$AZ$11:$AZ$4010,0)),""))</f>
        <v/>
      </c>
      <c r="AG819" s="11" t="str">
        <f>IF(AE819="","",IFERROR(INDEX($AO$11:$AO$4010,MATCH(809,$AZ$11:$AZ$4010,0)),""))</f>
        <v/>
      </c>
      <c r="AH819" s="10" t="str">
        <f>IF(AE819="","",IFERROR(INDEX($AQ$11:$AQ$4010,MATCH(809,$AZ$11:$AZ$4010,0)),""))</f>
        <v/>
      </c>
      <c r="AI819" s="15" t="str">
        <f>IF(AE819="","",IFERROR(INDEX($AR$11:$AR$4010,MATCH(809,$AZ$11:$AZ$4010,0)),""))</f>
        <v/>
      </c>
      <c r="AJ819" s="15" t="str">
        <f>IF(AE819="","",IFERROR(INDEX($AT$11:$AT$4010,MATCH(809,$AZ$11:$AZ$4010,0)),""))</f>
        <v/>
      </c>
      <c r="AL819" s="17"/>
      <c r="AM819" s="12"/>
      <c r="AN819" s="18"/>
      <c r="AO819" s="18"/>
      <c r="AP819" s="10"/>
      <c r="AQ819" s="10"/>
      <c r="AR819" s="19"/>
      <c r="AS819" s="20"/>
      <c r="AT819" s="19"/>
      <c r="AV819" s="21">
        <f>IF(AND($AL819&lt;&gt;"",COUNTIF($AL$11:$AL819,$AL819)=1),1,0)</f>
        <v>0</v>
      </c>
      <c r="AW819" s="21">
        <f t="shared" si="111"/>
        <v>0</v>
      </c>
      <c r="AX819" s="21" t="str">
        <f t="shared" si="110"/>
        <v/>
      </c>
      <c r="AY819" s="21" t="str">
        <f>IF(AND($AM819&lt;&gt;"",$AS819&lt;&gt;"✓"),SUMPRODUCT(($AM$11:$AM819&lt;&gt;"")*($AS$11:$AS819&lt;&gt;"✓")),"")</f>
        <v/>
      </c>
      <c r="AZ819" s="21" t="str">
        <f>IF(AND($AM819&lt;&gt;"",$AS819="✓"),SUMPRODUCT(($AM$11:$AM819&lt;&gt;"")*($AS$11:$AS819="✓")),"")</f>
        <v/>
      </c>
      <c r="BA819" s="21" t="str">
        <f>IF($AL819="","",$AL819&amp;"|"&amp;COUNTIF($AL$11:$AL819,$AL819))</f>
        <v/>
      </c>
    </row>
    <row r="820" spans="23:53" ht="15" customHeight="1" x14ac:dyDescent="0.25">
      <c r="W820" s="28" t="str">
        <f>IF(X820="","",IFERROR(INDEX($AL$11:$AL$4010,MATCH(810,$AY$11:$AY$4010,0)),""))</f>
        <v/>
      </c>
      <c r="X820" s="26" t="str">
        <f>IFERROR(INDEX($AM$11:$AM$4010,MATCH(810,$AY$11:$AY$4010,0)),"")</f>
        <v/>
      </c>
      <c r="Y820" s="25" t="str">
        <f>IF(X820="","",IFERROR(INDEX($AN$11:$AN$4010,MATCH(810,$AY$11:$AY$4010,0)),""))</f>
        <v/>
      </c>
      <c r="Z820" s="25" t="str">
        <f>IF(X820="","",IFERROR(INDEX($AO$11:$AO$4010,MATCH(810,$AY$11:$AY$4010,0)),""))</f>
        <v/>
      </c>
      <c r="AA820" s="24" t="str">
        <f>IF(X820="","",IFERROR(INDEX($AQ$11:$AQ$4010,MATCH(810,$AY$11:$AY$4010,0)),""))</f>
        <v/>
      </c>
      <c r="AB820" s="29" t="str">
        <f>IF(X820="","",IFERROR(INDEX($AR$11:$AR$4010,MATCH(810,$AY$11:$AY$4010,0)),""))</f>
        <v/>
      </c>
      <c r="AD820" s="30" t="str">
        <f>IF(AE820="","",IFERROR(INDEX($AL$11:$AL$4010,MATCH(810,$AZ$11:$AZ$4010,0)),""))</f>
        <v/>
      </c>
      <c r="AE820" s="26" t="str">
        <f>IFERROR(INDEX($AM$11:$AM$4010,MATCH(810,$AZ$11:$AZ$4010,0)),"")</f>
        <v/>
      </c>
      <c r="AF820" s="25" t="str">
        <f>IF(AE820="","",IFERROR(INDEX($AN$11:$AN$4010,MATCH(810,$AZ$11:$AZ$4010,0)),""))</f>
        <v/>
      </c>
      <c r="AG820" s="25" t="str">
        <f>IF(AE820="","",IFERROR(INDEX($AO$11:$AO$4010,MATCH(810,$AZ$11:$AZ$4010,0)),""))</f>
        <v/>
      </c>
      <c r="AH820" s="24" t="str">
        <f>IF(AE820="","",IFERROR(INDEX($AQ$11:$AQ$4010,MATCH(810,$AZ$11:$AZ$4010,0)),""))</f>
        <v/>
      </c>
      <c r="AI820" s="29" t="str">
        <f>IF(AE820="","",IFERROR(INDEX($AR$11:$AR$4010,MATCH(810,$AZ$11:$AZ$4010,0)),""))</f>
        <v/>
      </c>
      <c r="AJ820" s="29" t="str">
        <f>IF(AE820="","",IFERROR(INDEX($AT$11:$AT$4010,MATCH(810,$AZ$11:$AZ$4010,0)),""))</f>
        <v/>
      </c>
      <c r="AL820" s="31"/>
      <c r="AM820" s="26"/>
      <c r="AN820" s="32"/>
      <c r="AO820" s="32"/>
      <c r="AP820" s="24"/>
      <c r="AQ820" s="24"/>
      <c r="AR820" s="33"/>
      <c r="AS820" s="34"/>
      <c r="AT820" s="33"/>
      <c r="AV820" s="21">
        <f>IF(AND($AL820&lt;&gt;"",COUNTIF($AL$11:$AL820,$AL820)=1),1,0)</f>
        <v>0</v>
      </c>
      <c r="AW820" s="21">
        <f t="shared" si="111"/>
        <v>0</v>
      </c>
      <c r="AX820" s="21" t="str">
        <f t="shared" si="110"/>
        <v/>
      </c>
      <c r="AY820" s="21" t="str">
        <f>IF(AND($AM820&lt;&gt;"",$AS820&lt;&gt;"✓"),SUMPRODUCT(($AM$11:$AM820&lt;&gt;"")*($AS$11:$AS820&lt;&gt;"✓")),"")</f>
        <v/>
      </c>
      <c r="AZ820" s="21" t="str">
        <f>IF(AND($AM820&lt;&gt;"",$AS820="✓"),SUMPRODUCT(($AM$11:$AM820&lt;&gt;"")*($AS$11:$AS820="✓")),"")</f>
        <v/>
      </c>
      <c r="BA820" s="21" t="str">
        <f>IF($AL820="","",$AL820&amp;"|"&amp;COUNTIF($AL$11:$AL820,$AL820))</f>
        <v/>
      </c>
    </row>
    <row r="821" spans="23:53" ht="15" customHeight="1" x14ac:dyDescent="0.25">
      <c r="W821" s="14" t="str">
        <f>IF(X821="","",IFERROR(INDEX($AL$11:$AL$4010,MATCH(811,$AY$11:$AY$4010,0)),""))</f>
        <v/>
      </c>
      <c r="X821" s="12" t="str">
        <f>IFERROR(INDEX($AM$11:$AM$4010,MATCH(811,$AY$11:$AY$4010,0)),"")</f>
        <v/>
      </c>
      <c r="Y821" s="11" t="str">
        <f>IF(X821="","",IFERROR(INDEX($AN$11:$AN$4010,MATCH(811,$AY$11:$AY$4010,0)),""))</f>
        <v/>
      </c>
      <c r="Z821" s="11" t="str">
        <f>IF(X821="","",IFERROR(INDEX($AO$11:$AO$4010,MATCH(811,$AY$11:$AY$4010,0)),""))</f>
        <v/>
      </c>
      <c r="AA821" s="10" t="str">
        <f>IF(X821="","",IFERROR(INDEX($AQ$11:$AQ$4010,MATCH(811,$AY$11:$AY$4010,0)),""))</f>
        <v/>
      </c>
      <c r="AB821" s="15" t="str">
        <f>IF(X821="","",IFERROR(INDEX($AR$11:$AR$4010,MATCH(811,$AY$11:$AY$4010,0)),""))</f>
        <v/>
      </c>
      <c r="AD821" s="16" t="str">
        <f>IF(AE821="","",IFERROR(INDEX($AL$11:$AL$4010,MATCH(811,$AZ$11:$AZ$4010,0)),""))</f>
        <v/>
      </c>
      <c r="AE821" s="12" t="str">
        <f>IFERROR(INDEX($AM$11:$AM$4010,MATCH(811,$AZ$11:$AZ$4010,0)),"")</f>
        <v/>
      </c>
      <c r="AF821" s="11" t="str">
        <f>IF(AE821="","",IFERROR(INDEX($AN$11:$AN$4010,MATCH(811,$AZ$11:$AZ$4010,0)),""))</f>
        <v/>
      </c>
      <c r="AG821" s="11" t="str">
        <f>IF(AE821="","",IFERROR(INDEX($AO$11:$AO$4010,MATCH(811,$AZ$11:$AZ$4010,0)),""))</f>
        <v/>
      </c>
      <c r="AH821" s="10" t="str">
        <f>IF(AE821="","",IFERROR(INDEX($AQ$11:$AQ$4010,MATCH(811,$AZ$11:$AZ$4010,0)),""))</f>
        <v/>
      </c>
      <c r="AI821" s="15" t="str">
        <f>IF(AE821="","",IFERROR(INDEX($AR$11:$AR$4010,MATCH(811,$AZ$11:$AZ$4010,0)),""))</f>
        <v/>
      </c>
      <c r="AJ821" s="15" t="str">
        <f>IF(AE821="","",IFERROR(INDEX($AT$11:$AT$4010,MATCH(811,$AZ$11:$AZ$4010,0)),""))</f>
        <v/>
      </c>
      <c r="AL821" s="17"/>
      <c r="AM821" s="12"/>
      <c r="AN821" s="18"/>
      <c r="AO821" s="18"/>
      <c r="AP821" s="10"/>
      <c r="AQ821" s="10"/>
      <c r="AR821" s="19"/>
      <c r="AS821" s="20"/>
      <c r="AT821" s="19"/>
      <c r="AV821" s="21">
        <f>IF(AND($AL821&lt;&gt;"",COUNTIF($AL$11:$AL821,$AL821)=1),1,0)</f>
        <v>0</v>
      </c>
      <c r="AW821" s="21">
        <f t="shared" si="111"/>
        <v>0</v>
      </c>
      <c r="AX821" s="21" t="str">
        <f t="shared" si="110"/>
        <v/>
      </c>
      <c r="AY821" s="21" t="str">
        <f>IF(AND($AM821&lt;&gt;"",$AS821&lt;&gt;"✓"),SUMPRODUCT(($AM$11:$AM821&lt;&gt;"")*($AS$11:$AS821&lt;&gt;"✓")),"")</f>
        <v/>
      </c>
      <c r="AZ821" s="21" t="str">
        <f>IF(AND($AM821&lt;&gt;"",$AS821="✓"),SUMPRODUCT(($AM$11:$AM821&lt;&gt;"")*($AS$11:$AS821="✓")),"")</f>
        <v/>
      </c>
      <c r="BA821" s="21" t="str">
        <f>IF($AL821="","",$AL821&amp;"|"&amp;COUNTIF($AL$11:$AL821,$AL821))</f>
        <v/>
      </c>
    </row>
    <row r="822" spans="23:53" ht="15" customHeight="1" x14ac:dyDescent="0.25">
      <c r="W822" s="28" t="str">
        <f>IF(X822="","",IFERROR(INDEX($AL$11:$AL$4010,MATCH(812,$AY$11:$AY$4010,0)),""))</f>
        <v/>
      </c>
      <c r="X822" s="26" t="str">
        <f>IFERROR(INDEX($AM$11:$AM$4010,MATCH(812,$AY$11:$AY$4010,0)),"")</f>
        <v/>
      </c>
      <c r="Y822" s="25" t="str">
        <f>IF(X822="","",IFERROR(INDEX($AN$11:$AN$4010,MATCH(812,$AY$11:$AY$4010,0)),""))</f>
        <v/>
      </c>
      <c r="Z822" s="25" t="str">
        <f>IF(X822="","",IFERROR(INDEX($AO$11:$AO$4010,MATCH(812,$AY$11:$AY$4010,0)),""))</f>
        <v/>
      </c>
      <c r="AA822" s="24" t="str">
        <f>IF(X822="","",IFERROR(INDEX($AQ$11:$AQ$4010,MATCH(812,$AY$11:$AY$4010,0)),""))</f>
        <v/>
      </c>
      <c r="AB822" s="29" t="str">
        <f>IF(X822="","",IFERROR(INDEX($AR$11:$AR$4010,MATCH(812,$AY$11:$AY$4010,0)),""))</f>
        <v/>
      </c>
      <c r="AD822" s="30" t="str">
        <f>IF(AE822="","",IFERROR(INDEX($AL$11:$AL$4010,MATCH(812,$AZ$11:$AZ$4010,0)),""))</f>
        <v/>
      </c>
      <c r="AE822" s="26" t="str">
        <f>IFERROR(INDEX($AM$11:$AM$4010,MATCH(812,$AZ$11:$AZ$4010,0)),"")</f>
        <v/>
      </c>
      <c r="AF822" s="25" t="str">
        <f>IF(AE822="","",IFERROR(INDEX($AN$11:$AN$4010,MATCH(812,$AZ$11:$AZ$4010,0)),""))</f>
        <v/>
      </c>
      <c r="AG822" s="25" t="str">
        <f>IF(AE822="","",IFERROR(INDEX($AO$11:$AO$4010,MATCH(812,$AZ$11:$AZ$4010,0)),""))</f>
        <v/>
      </c>
      <c r="AH822" s="24" t="str">
        <f>IF(AE822="","",IFERROR(INDEX($AQ$11:$AQ$4010,MATCH(812,$AZ$11:$AZ$4010,0)),""))</f>
        <v/>
      </c>
      <c r="AI822" s="29" t="str">
        <f>IF(AE822="","",IFERROR(INDEX($AR$11:$AR$4010,MATCH(812,$AZ$11:$AZ$4010,0)),""))</f>
        <v/>
      </c>
      <c r="AJ822" s="29" t="str">
        <f>IF(AE822="","",IFERROR(INDEX($AT$11:$AT$4010,MATCH(812,$AZ$11:$AZ$4010,0)),""))</f>
        <v/>
      </c>
      <c r="AL822" s="31"/>
      <c r="AM822" s="26"/>
      <c r="AN822" s="32"/>
      <c r="AO822" s="32"/>
      <c r="AP822" s="24"/>
      <c r="AQ822" s="24"/>
      <c r="AR822" s="33"/>
      <c r="AS822" s="34"/>
      <c r="AT822" s="33"/>
      <c r="AV822" s="21">
        <f>IF(AND($AL822&lt;&gt;"",COUNTIF($AL$11:$AL822,$AL822)=1),1,0)</f>
        <v>0</v>
      </c>
      <c r="AW822" s="21">
        <f t="shared" si="111"/>
        <v>0</v>
      </c>
      <c r="AX822" s="21" t="str">
        <f t="shared" si="110"/>
        <v/>
      </c>
      <c r="AY822" s="21" t="str">
        <f>IF(AND($AM822&lt;&gt;"",$AS822&lt;&gt;"✓"),SUMPRODUCT(($AM$11:$AM822&lt;&gt;"")*($AS$11:$AS822&lt;&gt;"✓")),"")</f>
        <v/>
      </c>
      <c r="AZ822" s="21" t="str">
        <f>IF(AND($AM822&lt;&gt;"",$AS822="✓"),SUMPRODUCT(($AM$11:$AM822&lt;&gt;"")*($AS$11:$AS822="✓")),"")</f>
        <v/>
      </c>
      <c r="BA822" s="21" t="str">
        <f>IF($AL822="","",$AL822&amp;"|"&amp;COUNTIF($AL$11:$AL822,$AL822))</f>
        <v/>
      </c>
    </row>
    <row r="823" spans="23:53" ht="15" customHeight="1" x14ac:dyDescent="0.25">
      <c r="W823" s="14" t="str">
        <f>IF(X823="","",IFERROR(INDEX($AL$11:$AL$4010,MATCH(813,$AY$11:$AY$4010,0)),""))</f>
        <v/>
      </c>
      <c r="X823" s="12" t="str">
        <f>IFERROR(INDEX($AM$11:$AM$4010,MATCH(813,$AY$11:$AY$4010,0)),"")</f>
        <v/>
      </c>
      <c r="Y823" s="11" t="str">
        <f>IF(X823="","",IFERROR(INDEX($AN$11:$AN$4010,MATCH(813,$AY$11:$AY$4010,0)),""))</f>
        <v/>
      </c>
      <c r="Z823" s="11" t="str">
        <f>IF(X823="","",IFERROR(INDEX($AO$11:$AO$4010,MATCH(813,$AY$11:$AY$4010,0)),""))</f>
        <v/>
      </c>
      <c r="AA823" s="10" t="str">
        <f>IF(X823="","",IFERROR(INDEX($AQ$11:$AQ$4010,MATCH(813,$AY$11:$AY$4010,0)),""))</f>
        <v/>
      </c>
      <c r="AB823" s="15" t="str">
        <f>IF(X823="","",IFERROR(INDEX($AR$11:$AR$4010,MATCH(813,$AY$11:$AY$4010,0)),""))</f>
        <v/>
      </c>
      <c r="AD823" s="16" t="str">
        <f>IF(AE823="","",IFERROR(INDEX($AL$11:$AL$4010,MATCH(813,$AZ$11:$AZ$4010,0)),""))</f>
        <v/>
      </c>
      <c r="AE823" s="12" t="str">
        <f>IFERROR(INDEX($AM$11:$AM$4010,MATCH(813,$AZ$11:$AZ$4010,0)),"")</f>
        <v/>
      </c>
      <c r="AF823" s="11" t="str">
        <f>IF(AE823="","",IFERROR(INDEX($AN$11:$AN$4010,MATCH(813,$AZ$11:$AZ$4010,0)),""))</f>
        <v/>
      </c>
      <c r="AG823" s="11" t="str">
        <f>IF(AE823="","",IFERROR(INDEX($AO$11:$AO$4010,MATCH(813,$AZ$11:$AZ$4010,0)),""))</f>
        <v/>
      </c>
      <c r="AH823" s="10" t="str">
        <f>IF(AE823="","",IFERROR(INDEX($AQ$11:$AQ$4010,MATCH(813,$AZ$11:$AZ$4010,0)),""))</f>
        <v/>
      </c>
      <c r="AI823" s="15" t="str">
        <f>IF(AE823="","",IFERROR(INDEX($AR$11:$AR$4010,MATCH(813,$AZ$11:$AZ$4010,0)),""))</f>
        <v/>
      </c>
      <c r="AJ823" s="15" t="str">
        <f>IF(AE823="","",IFERROR(INDEX($AT$11:$AT$4010,MATCH(813,$AZ$11:$AZ$4010,0)),""))</f>
        <v/>
      </c>
      <c r="AL823" s="17"/>
      <c r="AM823" s="12"/>
      <c r="AN823" s="18"/>
      <c r="AO823" s="18"/>
      <c r="AP823" s="10"/>
      <c r="AQ823" s="10"/>
      <c r="AR823" s="19"/>
      <c r="AS823" s="20"/>
      <c r="AT823" s="19"/>
      <c r="AV823" s="21">
        <f>IF(AND($AL823&lt;&gt;"",COUNTIF($AL$11:$AL823,$AL823)=1),1,0)</f>
        <v>0</v>
      </c>
      <c r="AW823" s="21">
        <f t="shared" si="111"/>
        <v>0</v>
      </c>
      <c r="AX823" s="21" t="str">
        <f t="shared" si="110"/>
        <v/>
      </c>
      <c r="AY823" s="21" t="str">
        <f>IF(AND($AM823&lt;&gt;"",$AS823&lt;&gt;"✓"),SUMPRODUCT(($AM$11:$AM823&lt;&gt;"")*($AS$11:$AS823&lt;&gt;"✓")),"")</f>
        <v/>
      </c>
      <c r="AZ823" s="21" t="str">
        <f>IF(AND($AM823&lt;&gt;"",$AS823="✓"),SUMPRODUCT(($AM$11:$AM823&lt;&gt;"")*($AS$11:$AS823="✓")),"")</f>
        <v/>
      </c>
      <c r="BA823" s="21" t="str">
        <f>IF($AL823="","",$AL823&amp;"|"&amp;COUNTIF($AL$11:$AL823,$AL823))</f>
        <v/>
      </c>
    </row>
    <row r="824" spans="23:53" ht="15" customHeight="1" x14ac:dyDescent="0.25">
      <c r="W824" s="28" t="str">
        <f>IF(X824="","",IFERROR(INDEX($AL$11:$AL$4010,MATCH(814,$AY$11:$AY$4010,0)),""))</f>
        <v/>
      </c>
      <c r="X824" s="26" t="str">
        <f>IFERROR(INDEX($AM$11:$AM$4010,MATCH(814,$AY$11:$AY$4010,0)),"")</f>
        <v/>
      </c>
      <c r="Y824" s="25" t="str">
        <f>IF(X824="","",IFERROR(INDEX($AN$11:$AN$4010,MATCH(814,$AY$11:$AY$4010,0)),""))</f>
        <v/>
      </c>
      <c r="Z824" s="25" t="str">
        <f>IF(X824="","",IFERROR(INDEX($AO$11:$AO$4010,MATCH(814,$AY$11:$AY$4010,0)),""))</f>
        <v/>
      </c>
      <c r="AA824" s="24" t="str">
        <f>IF(X824="","",IFERROR(INDEX($AQ$11:$AQ$4010,MATCH(814,$AY$11:$AY$4010,0)),""))</f>
        <v/>
      </c>
      <c r="AB824" s="29" t="str">
        <f>IF(X824="","",IFERROR(INDEX($AR$11:$AR$4010,MATCH(814,$AY$11:$AY$4010,0)),""))</f>
        <v/>
      </c>
      <c r="AD824" s="30" t="str">
        <f>IF(AE824="","",IFERROR(INDEX($AL$11:$AL$4010,MATCH(814,$AZ$11:$AZ$4010,0)),""))</f>
        <v/>
      </c>
      <c r="AE824" s="26" t="str">
        <f>IFERROR(INDEX($AM$11:$AM$4010,MATCH(814,$AZ$11:$AZ$4010,0)),"")</f>
        <v/>
      </c>
      <c r="AF824" s="25" t="str">
        <f>IF(AE824="","",IFERROR(INDEX($AN$11:$AN$4010,MATCH(814,$AZ$11:$AZ$4010,0)),""))</f>
        <v/>
      </c>
      <c r="AG824" s="25" t="str">
        <f>IF(AE824="","",IFERROR(INDEX($AO$11:$AO$4010,MATCH(814,$AZ$11:$AZ$4010,0)),""))</f>
        <v/>
      </c>
      <c r="AH824" s="24" t="str">
        <f>IF(AE824="","",IFERROR(INDEX($AQ$11:$AQ$4010,MATCH(814,$AZ$11:$AZ$4010,0)),""))</f>
        <v/>
      </c>
      <c r="AI824" s="29" t="str">
        <f>IF(AE824="","",IFERROR(INDEX($AR$11:$AR$4010,MATCH(814,$AZ$11:$AZ$4010,0)),""))</f>
        <v/>
      </c>
      <c r="AJ824" s="29" t="str">
        <f>IF(AE824="","",IFERROR(INDEX($AT$11:$AT$4010,MATCH(814,$AZ$11:$AZ$4010,0)),""))</f>
        <v/>
      </c>
      <c r="AL824" s="31"/>
      <c r="AM824" s="26"/>
      <c r="AN824" s="32"/>
      <c r="AO824" s="32"/>
      <c r="AP824" s="24"/>
      <c r="AQ824" s="24"/>
      <c r="AR824" s="33"/>
      <c r="AS824" s="34"/>
      <c r="AT824" s="33"/>
      <c r="AV824" s="21">
        <f>IF(AND($AL824&lt;&gt;"",COUNTIF($AL$11:$AL824,$AL824)=1),1,0)</f>
        <v>0</v>
      </c>
      <c r="AW824" s="21">
        <f t="shared" si="111"/>
        <v>0</v>
      </c>
      <c r="AX824" s="21" t="str">
        <f t="shared" si="110"/>
        <v/>
      </c>
      <c r="AY824" s="21" t="str">
        <f>IF(AND($AM824&lt;&gt;"",$AS824&lt;&gt;"✓"),SUMPRODUCT(($AM$11:$AM824&lt;&gt;"")*($AS$11:$AS824&lt;&gt;"✓")),"")</f>
        <v/>
      </c>
      <c r="AZ824" s="21" t="str">
        <f>IF(AND($AM824&lt;&gt;"",$AS824="✓"),SUMPRODUCT(($AM$11:$AM824&lt;&gt;"")*($AS$11:$AS824="✓")),"")</f>
        <v/>
      </c>
      <c r="BA824" s="21" t="str">
        <f>IF($AL824="","",$AL824&amp;"|"&amp;COUNTIF($AL$11:$AL824,$AL824))</f>
        <v/>
      </c>
    </row>
    <row r="825" spans="23:53" ht="15" customHeight="1" x14ac:dyDescent="0.25">
      <c r="W825" s="14" t="str">
        <f>IF(X825="","",IFERROR(INDEX($AL$11:$AL$4010,MATCH(815,$AY$11:$AY$4010,0)),""))</f>
        <v/>
      </c>
      <c r="X825" s="12" t="str">
        <f>IFERROR(INDEX($AM$11:$AM$4010,MATCH(815,$AY$11:$AY$4010,0)),"")</f>
        <v/>
      </c>
      <c r="Y825" s="11" t="str">
        <f>IF(X825="","",IFERROR(INDEX($AN$11:$AN$4010,MATCH(815,$AY$11:$AY$4010,0)),""))</f>
        <v/>
      </c>
      <c r="Z825" s="11" t="str">
        <f>IF(X825="","",IFERROR(INDEX($AO$11:$AO$4010,MATCH(815,$AY$11:$AY$4010,0)),""))</f>
        <v/>
      </c>
      <c r="AA825" s="10" t="str">
        <f>IF(X825="","",IFERROR(INDEX($AQ$11:$AQ$4010,MATCH(815,$AY$11:$AY$4010,0)),""))</f>
        <v/>
      </c>
      <c r="AB825" s="15" t="str">
        <f>IF(X825="","",IFERROR(INDEX($AR$11:$AR$4010,MATCH(815,$AY$11:$AY$4010,0)),""))</f>
        <v/>
      </c>
      <c r="AD825" s="16" t="str">
        <f>IF(AE825="","",IFERROR(INDEX($AL$11:$AL$4010,MATCH(815,$AZ$11:$AZ$4010,0)),""))</f>
        <v/>
      </c>
      <c r="AE825" s="12" t="str">
        <f>IFERROR(INDEX($AM$11:$AM$4010,MATCH(815,$AZ$11:$AZ$4010,0)),"")</f>
        <v/>
      </c>
      <c r="AF825" s="11" t="str">
        <f>IF(AE825="","",IFERROR(INDEX($AN$11:$AN$4010,MATCH(815,$AZ$11:$AZ$4010,0)),""))</f>
        <v/>
      </c>
      <c r="AG825" s="11" t="str">
        <f>IF(AE825="","",IFERROR(INDEX($AO$11:$AO$4010,MATCH(815,$AZ$11:$AZ$4010,0)),""))</f>
        <v/>
      </c>
      <c r="AH825" s="10" t="str">
        <f>IF(AE825="","",IFERROR(INDEX($AQ$11:$AQ$4010,MATCH(815,$AZ$11:$AZ$4010,0)),""))</f>
        <v/>
      </c>
      <c r="AI825" s="15" t="str">
        <f>IF(AE825="","",IFERROR(INDEX($AR$11:$AR$4010,MATCH(815,$AZ$11:$AZ$4010,0)),""))</f>
        <v/>
      </c>
      <c r="AJ825" s="15" t="str">
        <f>IF(AE825="","",IFERROR(INDEX($AT$11:$AT$4010,MATCH(815,$AZ$11:$AZ$4010,0)),""))</f>
        <v/>
      </c>
      <c r="AL825" s="17"/>
      <c r="AM825" s="12"/>
      <c r="AN825" s="18"/>
      <c r="AO825" s="18"/>
      <c r="AP825" s="10"/>
      <c r="AQ825" s="10"/>
      <c r="AR825" s="19"/>
      <c r="AS825" s="20"/>
      <c r="AT825" s="19"/>
      <c r="AV825" s="21">
        <f>IF(AND($AL825&lt;&gt;"",COUNTIF($AL$11:$AL825,$AL825)=1),1,0)</f>
        <v>0</v>
      </c>
      <c r="AW825" s="21">
        <f t="shared" si="111"/>
        <v>0</v>
      </c>
      <c r="AX825" s="21" t="str">
        <f t="shared" si="110"/>
        <v/>
      </c>
      <c r="AY825" s="21" t="str">
        <f>IF(AND($AM825&lt;&gt;"",$AS825&lt;&gt;"✓"),SUMPRODUCT(($AM$11:$AM825&lt;&gt;"")*($AS$11:$AS825&lt;&gt;"✓")),"")</f>
        <v/>
      </c>
      <c r="AZ825" s="21" t="str">
        <f>IF(AND($AM825&lt;&gt;"",$AS825="✓"),SUMPRODUCT(($AM$11:$AM825&lt;&gt;"")*($AS$11:$AS825="✓")),"")</f>
        <v/>
      </c>
      <c r="BA825" s="21" t="str">
        <f>IF($AL825="","",$AL825&amp;"|"&amp;COUNTIF($AL$11:$AL825,$AL825))</f>
        <v/>
      </c>
    </row>
    <row r="826" spans="23:53" ht="15" customHeight="1" x14ac:dyDescent="0.25">
      <c r="W826" s="28" t="str">
        <f>IF(X826="","",IFERROR(INDEX($AL$11:$AL$4010,MATCH(816,$AY$11:$AY$4010,0)),""))</f>
        <v/>
      </c>
      <c r="X826" s="26" t="str">
        <f>IFERROR(INDEX($AM$11:$AM$4010,MATCH(816,$AY$11:$AY$4010,0)),"")</f>
        <v/>
      </c>
      <c r="Y826" s="25" t="str">
        <f>IF(X826="","",IFERROR(INDEX($AN$11:$AN$4010,MATCH(816,$AY$11:$AY$4010,0)),""))</f>
        <v/>
      </c>
      <c r="Z826" s="25" t="str">
        <f>IF(X826="","",IFERROR(INDEX($AO$11:$AO$4010,MATCH(816,$AY$11:$AY$4010,0)),""))</f>
        <v/>
      </c>
      <c r="AA826" s="24" t="str">
        <f>IF(X826="","",IFERROR(INDEX($AQ$11:$AQ$4010,MATCH(816,$AY$11:$AY$4010,0)),""))</f>
        <v/>
      </c>
      <c r="AB826" s="29" t="str">
        <f>IF(X826="","",IFERROR(INDEX($AR$11:$AR$4010,MATCH(816,$AY$11:$AY$4010,0)),""))</f>
        <v/>
      </c>
      <c r="AD826" s="30" t="str">
        <f>IF(AE826="","",IFERROR(INDEX($AL$11:$AL$4010,MATCH(816,$AZ$11:$AZ$4010,0)),""))</f>
        <v/>
      </c>
      <c r="AE826" s="26" t="str">
        <f>IFERROR(INDEX($AM$11:$AM$4010,MATCH(816,$AZ$11:$AZ$4010,0)),"")</f>
        <v/>
      </c>
      <c r="AF826" s="25" t="str">
        <f>IF(AE826="","",IFERROR(INDEX($AN$11:$AN$4010,MATCH(816,$AZ$11:$AZ$4010,0)),""))</f>
        <v/>
      </c>
      <c r="AG826" s="25" t="str">
        <f>IF(AE826="","",IFERROR(INDEX($AO$11:$AO$4010,MATCH(816,$AZ$11:$AZ$4010,0)),""))</f>
        <v/>
      </c>
      <c r="AH826" s="24" t="str">
        <f>IF(AE826="","",IFERROR(INDEX($AQ$11:$AQ$4010,MATCH(816,$AZ$11:$AZ$4010,0)),""))</f>
        <v/>
      </c>
      <c r="AI826" s="29" t="str">
        <f>IF(AE826="","",IFERROR(INDEX($AR$11:$AR$4010,MATCH(816,$AZ$11:$AZ$4010,0)),""))</f>
        <v/>
      </c>
      <c r="AJ826" s="29" t="str">
        <f>IF(AE826="","",IFERROR(INDEX($AT$11:$AT$4010,MATCH(816,$AZ$11:$AZ$4010,0)),""))</f>
        <v/>
      </c>
      <c r="AL826" s="31"/>
      <c r="AM826" s="26"/>
      <c r="AN826" s="32"/>
      <c r="AO826" s="32"/>
      <c r="AP826" s="24"/>
      <c r="AQ826" s="24"/>
      <c r="AR826" s="33"/>
      <c r="AS826" s="34"/>
      <c r="AT826" s="33"/>
      <c r="AV826" s="21">
        <f>IF(AND($AL826&lt;&gt;"",COUNTIF($AL$11:$AL826,$AL826)=1),1,0)</f>
        <v>0</v>
      </c>
      <c r="AW826" s="21">
        <f t="shared" si="111"/>
        <v>0</v>
      </c>
      <c r="AX826" s="21" t="str">
        <f t="shared" si="110"/>
        <v/>
      </c>
      <c r="AY826" s="21" t="str">
        <f>IF(AND($AM826&lt;&gt;"",$AS826&lt;&gt;"✓"),SUMPRODUCT(($AM$11:$AM826&lt;&gt;"")*($AS$11:$AS826&lt;&gt;"✓")),"")</f>
        <v/>
      </c>
      <c r="AZ826" s="21" t="str">
        <f>IF(AND($AM826&lt;&gt;"",$AS826="✓"),SUMPRODUCT(($AM$11:$AM826&lt;&gt;"")*($AS$11:$AS826="✓")),"")</f>
        <v/>
      </c>
      <c r="BA826" s="21" t="str">
        <f>IF($AL826="","",$AL826&amp;"|"&amp;COUNTIF($AL$11:$AL826,$AL826))</f>
        <v/>
      </c>
    </row>
    <row r="827" spans="23:53" ht="15" customHeight="1" x14ac:dyDescent="0.25">
      <c r="W827" s="14" t="str">
        <f>IF(X827="","",IFERROR(INDEX($AL$11:$AL$4010,MATCH(817,$AY$11:$AY$4010,0)),""))</f>
        <v/>
      </c>
      <c r="X827" s="12" t="str">
        <f>IFERROR(INDEX($AM$11:$AM$4010,MATCH(817,$AY$11:$AY$4010,0)),"")</f>
        <v/>
      </c>
      <c r="Y827" s="11" t="str">
        <f>IF(X827="","",IFERROR(INDEX($AN$11:$AN$4010,MATCH(817,$AY$11:$AY$4010,0)),""))</f>
        <v/>
      </c>
      <c r="Z827" s="11" t="str">
        <f>IF(X827="","",IFERROR(INDEX($AO$11:$AO$4010,MATCH(817,$AY$11:$AY$4010,0)),""))</f>
        <v/>
      </c>
      <c r="AA827" s="10" t="str">
        <f>IF(X827="","",IFERROR(INDEX($AQ$11:$AQ$4010,MATCH(817,$AY$11:$AY$4010,0)),""))</f>
        <v/>
      </c>
      <c r="AB827" s="15" t="str">
        <f>IF(X827="","",IFERROR(INDEX($AR$11:$AR$4010,MATCH(817,$AY$11:$AY$4010,0)),""))</f>
        <v/>
      </c>
      <c r="AD827" s="16" t="str">
        <f>IF(AE827="","",IFERROR(INDEX($AL$11:$AL$4010,MATCH(817,$AZ$11:$AZ$4010,0)),""))</f>
        <v/>
      </c>
      <c r="AE827" s="12" t="str">
        <f>IFERROR(INDEX($AM$11:$AM$4010,MATCH(817,$AZ$11:$AZ$4010,0)),"")</f>
        <v/>
      </c>
      <c r="AF827" s="11" t="str">
        <f>IF(AE827="","",IFERROR(INDEX($AN$11:$AN$4010,MATCH(817,$AZ$11:$AZ$4010,0)),""))</f>
        <v/>
      </c>
      <c r="AG827" s="11" t="str">
        <f>IF(AE827="","",IFERROR(INDEX($AO$11:$AO$4010,MATCH(817,$AZ$11:$AZ$4010,0)),""))</f>
        <v/>
      </c>
      <c r="AH827" s="10" t="str">
        <f>IF(AE827="","",IFERROR(INDEX($AQ$11:$AQ$4010,MATCH(817,$AZ$11:$AZ$4010,0)),""))</f>
        <v/>
      </c>
      <c r="AI827" s="15" t="str">
        <f>IF(AE827="","",IFERROR(INDEX($AR$11:$AR$4010,MATCH(817,$AZ$11:$AZ$4010,0)),""))</f>
        <v/>
      </c>
      <c r="AJ827" s="15" t="str">
        <f>IF(AE827="","",IFERROR(INDEX($AT$11:$AT$4010,MATCH(817,$AZ$11:$AZ$4010,0)),""))</f>
        <v/>
      </c>
      <c r="AL827" s="17"/>
      <c r="AM827" s="12"/>
      <c r="AN827" s="18"/>
      <c r="AO827" s="18"/>
      <c r="AP827" s="10"/>
      <c r="AQ827" s="10"/>
      <c r="AR827" s="19"/>
      <c r="AS827" s="20"/>
      <c r="AT827" s="19"/>
      <c r="AV827" s="21">
        <f>IF(AND($AL827&lt;&gt;"",COUNTIF($AL$11:$AL827,$AL827)=1),1,0)</f>
        <v>0</v>
      </c>
      <c r="AW827" s="21">
        <f t="shared" si="111"/>
        <v>0</v>
      </c>
      <c r="AX827" s="21" t="str">
        <f t="shared" si="110"/>
        <v/>
      </c>
      <c r="AY827" s="21" t="str">
        <f>IF(AND($AM827&lt;&gt;"",$AS827&lt;&gt;"✓"),SUMPRODUCT(($AM$11:$AM827&lt;&gt;"")*($AS$11:$AS827&lt;&gt;"✓")),"")</f>
        <v/>
      </c>
      <c r="AZ827" s="21" t="str">
        <f>IF(AND($AM827&lt;&gt;"",$AS827="✓"),SUMPRODUCT(($AM$11:$AM827&lt;&gt;"")*($AS$11:$AS827="✓")),"")</f>
        <v/>
      </c>
      <c r="BA827" s="21" t="str">
        <f>IF($AL827="","",$AL827&amp;"|"&amp;COUNTIF($AL$11:$AL827,$AL827))</f>
        <v/>
      </c>
    </row>
    <row r="828" spans="23:53" ht="15" customHeight="1" x14ac:dyDescent="0.25">
      <c r="W828" s="28" t="str">
        <f>IF(X828="","",IFERROR(INDEX($AL$11:$AL$4010,MATCH(818,$AY$11:$AY$4010,0)),""))</f>
        <v/>
      </c>
      <c r="X828" s="26" t="str">
        <f>IFERROR(INDEX($AM$11:$AM$4010,MATCH(818,$AY$11:$AY$4010,0)),"")</f>
        <v/>
      </c>
      <c r="Y828" s="25" t="str">
        <f>IF(X828="","",IFERROR(INDEX($AN$11:$AN$4010,MATCH(818,$AY$11:$AY$4010,0)),""))</f>
        <v/>
      </c>
      <c r="Z828" s="25" t="str">
        <f>IF(X828="","",IFERROR(INDEX($AO$11:$AO$4010,MATCH(818,$AY$11:$AY$4010,0)),""))</f>
        <v/>
      </c>
      <c r="AA828" s="24" t="str">
        <f>IF(X828="","",IFERROR(INDEX($AQ$11:$AQ$4010,MATCH(818,$AY$11:$AY$4010,0)),""))</f>
        <v/>
      </c>
      <c r="AB828" s="29" t="str">
        <f>IF(X828="","",IFERROR(INDEX($AR$11:$AR$4010,MATCH(818,$AY$11:$AY$4010,0)),""))</f>
        <v/>
      </c>
      <c r="AD828" s="30" t="str">
        <f>IF(AE828="","",IFERROR(INDEX($AL$11:$AL$4010,MATCH(818,$AZ$11:$AZ$4010,0)),""))</f>
        <v/>
      </c>
      <c r="AE828" s="26" t="str">
        <f>IFERROR(INDEX($AM$11:$AM$4010,MATCH(818,$AZ$11:$AZ$4010,0)),"")</f>
        <v/>
      </c>
      <c r="AF828" s="25" t="str">
        <f>IF(AE828="","",IFERROR(INDEX($AN$11:$AN$4010,MATCH(818,$AZ$11:$AZ$4010,0)),""))</f>
        <v/>
      </c>
      <c r="AG828" s="25" t="str">
        <f>IF(AE828="","",IFERROR(INDEX($AO$11:$AO$4010,MATCH(818,$AZ$11:$AZ$4010,0)),""))</f>
        <v/>
      </c>
      <c r="AH828" s="24" t="str">
        <f>IF(AE828="","",IFERROR(INDEX($AQ$11:$AQ$4010,MATCH(818,$AZ$11:$AZ$4010,0)),""))</f>
        <v/>
      </c>
      <c r="AI828" s="29" t="str">
        <f>IF(AE828="","",IFERROR(INDEX($AR$11:$AR$4010,MATCH(818,$AZ$11:$AZ$4010,0)),""))</f>
        <v/>
      </c>
      <c r="AJ828" s="29" t="str">
        <f>IF(AE828="","",IFERROR(INDEX($AT$11:$AT$4010,MATCH(818,$AZ$11:$AZ$4010,0)),""))</f>
        <v/>
      </c>
      <c r="AL828" s="31"/>
      <c r="AM828" s="26"/>
      <c r="AN828" s="32"/>
      <c r="AO828" s="32"/>
      <c r="AP828" s="24"/>
      <c r="AQ828" s="24"/>
      <c r="AR828" s="33"/>
      <c r="AS828" s="34"/>
      <c r="AT828" s="33"/>
      <c r="AV828" s="21">
        <f>IF(AND($AL828&lt;&gt;"",COUNTIF($AL$11:$AL828,$AL828)=1),1,0)</f>
        <v>0</v>
      </c>
      <c r="AW828" s="21">
        <f t="shared" si="111"/>
        <v>0</v>
      </c>
      <c r="AX828" s="21" t="str">
        <f t="shared" si="110"/>
        <v/>
      </c>
      <c r="AY828" s="21" t="str">
        <f>IF(AND($AM828&lt;&gt;"",$AS828&lt;&gt;"✓"),SUMPRODUCT(($AM$11:$AM828&lt;&gt;"")*($AS$11:$AS828&lt;&gt;"✓")),"")</f>
        <v/>
      </c>
      <c r="AZ828" s="21" t="str">
        <f>IF(AND($AM828&lt;&gt;"",$AS828="✓"),SUMPRODUCT(($AM$11:$AM828&lt;&gt;"")*($AS$11:$AS828="✓")),"")</f>
        <v/>
      </c>
      <c r="BA828" s="21" t="str">
        <f>IF($AL828="","",$AL828&amp;"|"&amp;COUNTIF($AL$11:$AL828,$AL828))</f>
        <v/>
      </c>
    </row>
    <row r="829" spans="23:53" ht="15" customHeight="1" x14ac:dyDescent="0.25">
      <c r="W829" s="14" t="str">
        <f>IF(X829="","",IFERROR(INDEX($AL$11:$AL$4010,MATCH(819,$AY$11:$AY$4010,0)),""))</f>
        <v/>
      </c>
      <c r="X829" s="12" t="str">
        <f>IFERROR(INDEX($AM$11:$AM$4010,MATCH(819,$AY$11:$AY$4010,0)),"")</f>
        <v/>
      </c>
      <c r="Y829" s="11" t="str">
        <f>IF(X829="","",IFERROR(INDEX($AN$11:$AN$4010,MATCH(819,$AY$11:$AY$4010,0)),""))</f>
        <v/>
      </c>
      <c r="Z829" s="11" t="str">
        <f>IF(X829="","",IFERROR(INDEX($AO$11:$AO$4010,MATCH(819,$AY$11:$AY$4010,0)),""))</f>
        <v/>
      </c>
      <c r="AA829" s="10" t="str">
        <f>IF(X829="","",IFERROR(INDEX($AQ$11:$AQ$4010,MATCH(819,$AY$11:$AY$4010,0)),""))</f>
        <v/>
      </c>
      <c r="AB829" s="15" t="str">
        <f>IF(X829="","",IFERROR(INDEX($AR$11:$AR$4010,MATCH(819,$AY$11:$AY$4010,0)),""))</f>
        <v/>
      </c>
      <c r="AD829" s="16" t="str">
        <f>IF(AE829="","",IFERROR(INDEX($AL$11:$AL$4010,MATCH(819,$AZ$11:$AZ$4010,0)),""))</f>
        <v/>
      </c>
      <c r="AE829" s="12" t="str">
        <f>IFERROR(INDEX($AM$11:$AM$4010,MATCH(819,$AZ$11:$AZ$4010,0)),"")</f>
        <v/>
      </c>
      <c r="AF829" s="11" t="str">
        <f>IF(AE829="","",IFERROR(INDEX($AN$11:$AN$4010,MATCH(819,$AZ$11:$AZ$4010,0)),""))</f>
        <v/>
      </c>
      <c r="AG829" s="11" t="str">
        <f>IF(AE829="","",IFERROR(INDEX($AO$11:$AO$4010,MATCH(819,$AZ$11:$AZ$4010,0)),""))</f>
        <v/>
      </c>
      <c r="AH829" s="10" t="str">
        <f>IF(AE829="","",IFERROR(INDEX($AQ$11:$AQ$4010,MATCH(819,$AZ$11:$AZ$4010,0)),""))</f>
        <v/>
      </c>
      <c r="AI829" s="15" t="str">
        <f>IF(AE829="","",IFERROR(INDEX($AR$11:$AR$4010,MATCH(819,$AZ$11:$AZ$4010,0)),""))</f>
        <v/>
      </c>
      <c r="AJ829" s="15" t="str">
        <f>IF(AE829="","",IFERROR(INDEX($AT$11:$AT$4010,MATCH(819,$AZ$11:$AZ$4010,0)),""))</f>
        <v/>
      </c>
      <c r="AL829" s="17"/>
      <c r="AM829" s="12"/>
      <c r="AN829" s="18"/>
      <c r="AO829" s="18"/>
      <c r="AP829" s="10"/>
      <c r="AQ829" s="10"/>
      <c r="AR829" s="19"/>
      <c r="AS829" s="20"/>
      <c r="AT829" s="19"/>
      <c r="AV829" s="21">
        <f>IF(AND($AL829&lt;&gt;"",COUNTIF($AL$11:$AL829,$AL829)=1),1,0)</f>
        <v>0</v>
      </c>
      <c r="AW829" s="21">
        <f t="shared" si="111"/>
        <v>0</v>
      </c>
      <c r="AX829" s="21" t="str">
        <f t="shared" si="110"/>
        <v/>
      </c>
      <c r="AY829" s="21" t="str">
        <f>IF(AND($AM829&lt;&gt;"",$AS829&lt;&gt;"✓"),SUMPRODUCT(($AM$11:$AM829&lt;&gt;"")*($AS$11:$AS829&lt;&gt;"✓")),"")</f>
        <v/>
      </c>
      <c r="AZ829" s="21" t="str">
        <f>IF(AND($AM829&lt;&gt;"",$AS829="✓"),SUMPRODUCT(($AM$11:$AM829&lt;&gt;"")*($AS$11:$AS829="✓")),"")</f>
        <v/>
      </c>
      <c r="BA829" s="21" t="str">
        <f>IF($AL829="","",$AL829&amp;"|"&amp;COUNTIF($AL$11:$AL829,$AL829))</f>
        <v/>
      </c>
    </row>
    <row r="830" spans="23:53" ht="15" customHeight="1" x14ac:dyDescent="0.25">
      <c r="W830" s="28" t="str">
        <f>IF(X830="","",IFERROR(INDEX($AL$11:$AL$4010,MATCH(820,$AY$11:$AY$4010,0)),""))</f>
        <v/>
      </c>
      <c r="X830" s="26" t="str">
        <f>IFERROR(INDEX($AM$11:$AM$4010,MATCH(820,$AY$11:$AY$4010,0)),"")</f>
        <v/>
      </c>
      <c r="Y830" s="25" t="str">
        <f>IF(X830="","",IFERROR(INDEX($AN$11:$AN$4010,MATCH(820,$AY$11:$AY$4010,0)),""))</f>
        <v/>
      </c>
      <c r="Z830" s="25" t="str">
        <f>IF(X830="","",IFERROR(INDEX($AO$11:$AO$4010,MATCH(820,$AY$11:$AY$4010,0)),""))</f>
        <v/>
      </c>
      <c r="AA830" s="24" t="str">
        <f>IF(X830="","",IFERROR(INDEX($AQ$11:$AQ$4010,MATCH(820,$AY$11:$AY$4010,0)),""))</f>
        <v/>
      </c>
      <c r="AB830" s="29" t="str">
        <f>IF(X830="","",IFERROR(INDEX($AR$11:$AR$4010,MATCH(820,$AY$11:$AY$4010,0)),""))</f>
        <v/>
      </c>
      <c r="AD830" s="30" t="str">
        <f>IF(AE830="","",IFERROR(INDEX($AL$11:$AL$4010,MATCH(820,$AZ$11:$AZ$4010,0)),""))</f>
        <v/>
      </c>
      <c r="AE830" s="26" t="str">
        <f>IFERROR(INDEX($AM$11:$AM$4010,MATCH(820,$AZ$11:$AZ$4010,0)),"")</f>
        <v/>
      </c>
      <c r="AF830" s="25" t="str">
        <f>IF(AE830="","",IFERROR(INDEX($AN$11:$AN$4010,MATCH(820,$AZ$11:$AZ$4010,0)),""))</f>
        <v/>
      </c>
      <c r="AG830" s="25" t="str">
        <f>IF(AE830="","",IFERROR(INDEX($AO$11:$AO$4010,MATCH(820,$AZ$11:$AZ$4010,0)),""))</f>
        <v/>
      </c>
      <c r="AH830" s="24" t="str">
        <f>IF(AE830="","",IFERROR(INDEX($AQ$11:$AQ$4010,MATCH(820,$AZ$11:$AZ$4010,0)),""))</f>
        <v/>
      </c>
      <c r="AI830" s="29" t="str">
        <f>IF(AE830="","",IFERROR(INDEX($AR$11:$AR$4010,MATCH(820,$AZ$11:$AZ$4010,0)),""))</f>
        <v/>
      </c>
      <c r="AJ830" s="29" t="str">
        <f>IF(AE830="","",IFERROR(INDEX($AT$11:$AT$4010,MATCH(820,$AZ$11:$AZ$4010,0)),""))</f>
        <v/>
      </c>
      <c r="AL830" s="31"/>
      <c r="AM830" s="26"/>
      <c r="AN830" s="32"/>
      <c r="AO830" s="32"/>
      <c r="AP830" s="24"/>
      <c r="AQ830" s="24"/>
      <c r="AR830" s="33"/>
      <c r="AS830" s="34"/>
      <c r="AT830" s="33"/>
      <c r="AV830" s="21">
        <f>IF(AND($AL830&lt;&gt;"",COUNTIF($AL$11:$AL830,$AL830)=1),1,0)</f>
        <v>0</v>
      </c>
      <c r="AW830" s="21">
        <f t="shared" si="111"/>
        <v>0</v>
      </c>
      <c r="AX830" s="21" t="str">
        <f t="shared" si="110"/>
        <v/>
      </c>
      <c r="AY830" s="21" t="str">
        <f>IF(AND($AM830&lt;&gt;"",$AS830&lt;&gt;"✓"),SUMPRODUCT(($AM$11:$AM830&lt;&gt;"")*($AS$11:$AS830&lt;&gt;"✓")),"")</f>
        <v/>
      </c>
      <c r="AZ830" s="21" t="str">
        <f>IF(AND($AM830&lt;&gt;"",$AS830="✓"),SUMPRODUCT(($AM$11:$AM830&lt;&gt;"")*($AS$11:$AS830="✓")),"")</f>
        <v/>
      </c>
      <c r="BA830" s="21" t="str">
        <f>IF($AL830="","",$AL830&amp;"|"&amp;COUNTIF($AL$11:$AL830,$AL830))</f>
        <v/>
      </c>
    </row>
    <row r="831" spans="23:53" ht="15" customHeight="1" x14ac:dyDescent="0.25">
      <c r="W831" s="14" t="str">
        <f>IF(X831="","",IFERROR(INDEX($AL$11:$AL$4010,MATCH(821,$AY$11:$AY$4010,0)),""))</f>
        <v/>
      </c>
      <c r="X831" s="12" t="str">
        <f>IFERROR(INDEX($AM$11:$AM$4010,MATCH(821,$AY$11:$AY$4010,0)),"")</f>
        <v/>
      </c>
      <c r="Y831" s="11" t="str">
        <f>IF(X831="","",IFERROR(INDEX($AN$11:$AN$4010,MATCH(821,$AY$11:$AY$4010,0)),""))</f>
        <v/>
      </c>
      <c r="Z831" s="11" t="str">
        <f>IF(X831="","",IFERROR(INDEX($AO$11:$AO$4010,MATCH(821,$AY$11:$AY$4010,0)),""))</f>
        <v/>
      </c>
      <c r="AA831" s="10" t="str">
        <f>IF(X831="","",IFERROR(INDEX($AQ$11:$AQ$4010,MATCH(821,$AY$11:$AY$4010,0)),""))</f>
        <v/>
      </c>
      <c r="AB831" s="15" t="str">
        <f>IF(X831="","",IFERROR(INDEX($AR$11:$AR$4010,MATCH(821,$AY$11:$AY$4010,0)),""))</f>
        <v/>
      </c>
      <c r="AD831" s="16" t="str">
        <f>IF(AE831="","",IFERROR(INDEX($AL$11:$AL$4010,MATCH(821,$AZ$11:$AZ$4010,0)),""))</f>
        <v/>
      </c>
      <c r="AE831" s="12" t="str">
        <f>IFERROR(INDEX($AM$11:$AM$4010,MATCH(821,$AZ$11:$AZ$4010,0)),"")</f>
        <v/>
      </c>
      <c r="AF831" s="11" t="str">
        <f>IF(AE831="","",IFERROR(INDEX($AN$11:$AN$4010,MATCH(821,$AZ$11:$AZ$4010,0)),""))</f>
        <v/>
      </c>
      <c r="AG831" s="11" t="str">
        <f>IF(AE831="","",IFERROR(INDEX($AO$11:$AO$4010,MATCH(821,$AZ$11:$AZ$4010,0)),""))</f>
        <v/>
      </c>
      <c r="AH831" s="10" t="str">
        <f>IF(AE831="","",IFERROR(INDEX($AQ$11:$AQ$4010,MATCH(821,$AZ$11:$AZ$4010,0)),""))</f>
        <v/>
      </c>
      <c r="AI831" s="15" t="str">
        <f>IF(AE831="","",IFERROR(INDEX($AR$11:$AR$4010,MATCH(821,$AZ$11:$AZ$4010,0)),""))</f>
        <v/>
      </c>
      <c r="AJ831" s="15" t="str">
        <f>IF(AE831="","",IFERROR(INDEX($AT$11:$AT$4010,MATCH(821,$AZ$11:$AZ$4010,0)),""))</f>
        <v/>
      </c>
      <c r="AL831" s="17"/>
      <c r="AM831" s="12"/>
      <c r="AN831" s="18"/>
      <c r="AO831" s="18"/>
      <c r="AP831" s="10"/>
      <c r="AQ831" s="10"/>
      <c r="AR831" s="19"/>
      <c r="AS831" s="20"/>
      <c r="AT831" s="19"/>
      <c r="AV831" s="21">
        <f>IF(AND($AL831&lt;&gt;"",COUNTIF($AL$11:$AL831,$AL831)=1),1,0)</f>
        <v>0</v>
      </c>
      <c r="AW831" s="21">
        <f t="shared" si="111"/>
        <v>0</v>
      </c>
      <c r="AX831" s="21" t="str">
        <f t="shared" si="110"/>
        <v/>
      </c>
      <c r="AY831" s="21" t="str">
        <f>IF(AND($AM831&lt;&gt;"",$AS831&lt;&gt;"✓"),SUMPRODUCT(($AM$11:$AM831&lt;&gt;"")*($AS$11:$AS831&lt;&gt;"✓")),"")</f>
        <v/>
      </c>
      <c r="AZ831" s="21" t="str">
        <f>IF(AND($AM831&lt;&gt;"",$AS831="✓"),SUMPRODUCT(($AM$11:$AM831&lt;&gt;"")*($AS$11:$AS831="✓")),"")</f>
        <v/>
      </c>
      <c r="BA831" s="21" t="str">
        <f>IF($AL831="","",$AL831&amp;"|"&amp;COUNTIF($AL$11:$AL831,$AL831))</f>
        <v/>
      </c>
    </row>
    <row r="832" spans="23:53" ht="15" customHeight="1" x14ac:dyDescent="0.25">
      <c r="W832" s="28" t="str">
        <f>IF(X832="","",IFERROR(INDEX($AL$11:$AL$4010,MATCH(822,$AY$11:$AY$4010,0)),""))</f>
        <v/>
      </c>
      <c r="X832" s="26" t="str">
        <f>IFERROR(INDEX($AM$11:$AM$4010,MATCH(822,$AY$11:$AY$4010,0)),"")</f>
        <v/>
      </c>
      <c r="Y832" s="25" t="str">
        <f>IF(X832="","",IFERROR(INDEX($AN$11:$AN$4010,MATCH(822,$AY$11:$AY$4010,0)),""))</f>
        <v/>
      </c>
      <c r="Z832" s="25" t="str">
        <f>IF(X832="","",IFERROR(INDEX($AO$11:$AO$4010,MATCH(822,$AY$11:$AY$4010,0)),""))</f>
        <v/>
      </c>
      <c r="AA832" s="24" t="str">
        <f>IF(X832="","",IFERROR(INDEX($AQ$11:$AQ$4010,MATCH(822,$AY$11:$AY$4010,0)),""))</f>
        <v/>
      </c>
      <c r="AB832" s="29" t="str">
        <f>IF(X832="","",IFERROR(INDEX($AR$11:$AR$4010,MATCH(822,$AY$11:$AY$4010,0)),""))</f>
        <v/>
      </c>
      <c r="AD832" s="30" t="str">
        <f>IF(AE832="","",IFERROR(INDEX($AL$11:$AL$4010,MATCH(822,$AZ$11:$AZ$4010,0)),""))</f>
        <v/>
      </c>
      <c r="AE832" s="26" t="str">
        <f>IFERROR(INDEX($AM$11:$AM$4010,MATCH(822,$AZ$11:$AZ$4010,0)),"")</f>
        <v/>
      </c>
      <c r="AF832" s="25" t="str">
        <f>IF(AE832="","",IFERROR(INDEX($AN$11:$AN$4010,MATCH(822,$AZ$11:$AZ$4010,0)),""))</f>
        <v/>
      </c>
      <c r="AG832" s="25" t="str">
        <f>IF(AE832="","",IFERROR(INDEX($AO$11:$AO$4010,MATCH(822,$AZ$11:$AZ$4010,0)),""))</f>
        <v/>
      </c>
      <c r="AH832" s="24" t="str">
        <f>IF(AE832="","",IFERROR(INDEX($AQ$11:$AQ$4010,MATCH(822,$AZ$11:$AZ$4010,0)),""))</f>
        <v/>
      </c>
      <c r="AI832" s="29" t="str">
        <f>IF(AE832="","",IFERROR(INDEX($AR$11:$AR$4010,MATCH(822,$AZ$11:$AZ$4010,0)),""))</f>
        <v/>
      </c>
      <c r="AJ832" s="29" t="str">
        <f>IF(AE832="","",IFERROR(INDEX($AT$11:$AT$4010,MATCH(822,$AZ$11:$AZ$4010,0)),""))</f>
        <v/>
      </c>
      <c r="AL832" s="31"/>
      <c r="AM832" s="26"/>
      <c r="AN832" s="32"/>
      <c r="AO832" s="32"/>
      <c r="AP832" s="24"/>
      <c r="AQ832" s="24"/>
      <c r="AR832" s="33"/>
      <c r="AS832" s="34"/>
      <c r="AT832" s="33"/>
      <c r="AV832" s="21">
        <f>IF(AND($AL832&lt;&gt;"",COUNTIF($AL$11:$AL832,$AL832)=1),1,0)</f>
        <v>0</v>
      </c>
      <c r="AW832" s="21">
        <f t="shared" si="111"/>
        <v>0</v>
      </c>
      <c r="AX832" s="21" t="str">
        <f t="shared" si="110"/>
        <v/>
      </c>
      <c r="AY832" s="21" t="str">
        <f>IF(AND($AM832&lt;&gt;"",$AS832&lt;&gt;"✓"),SUMPRODUCT(($AM$11:$AM832&lt;&gt;"")*($AS$11:$AS832&lt;&gt;"✓")),"")</f>
        <v/>
      </c>
      <c r="AZ832" s="21" t="str">
        <f>IF(AND($AM832&lt;&gt;"",$AS832="✓"),SUMPRODUCT(($AM$11:$AM832&lt;&gt;"")*($AS$11:$AS832="✓")),"")</f>
        <v/>
      </c>
      <c r="BA832" s="21" t="str">
        <f>IF($AL832="","",$AL832&amp;"|"&amp;COUNTIF($AL$11:$AL832,$AL832))</f>
        <v/>
      </c>
    </row>
    <row r="833" spans="23:53" ht="15" customHeight="1" x14ac:dyDescent="0.25">
      <c r="W833" s="14" t="str">
        <f>IF(X833="","",IFERROR(INDEX($AL$11:$AL$4010,MATCH(823,$AY$11:$AY$4010,0)),""))</f>
        <v/>
      </c>
      <c r="X833" s="12" t="str">
        <f>IFERROR(INDEX($AM$11:$AM$4010,MATCH(823,$AY$11:$AY$4010,0)),"")</f>
        <v/>
      </c>
      <c r="Y833" s="11" t="str">
        <f>IF(X833="","",IFERROR(INDEX($AN$11:$AN$4010,MATCH(823,$AY$11:$AY$4010,0)),""))</f>
        <v/>
      </c>
      <c r="Z833" s="11" t="str">
        <f>IF(X833="","",IFERROR(INDEX($AO$11:$AO$4010,MATCH(823,$AY$11:$AY$4010,0)),""))</f>
        <v/>
      </c>
      <c r="AA833" s="10" t="str">
        <f>IF(X833="","",IFERROR(INDEX($AQ$11:$AQ$4010,MATCH(823,$AY$11:$AY$4010,0)),""))</f>
        <v/>
      </c>
      <c r="AB833" s="15" t="str">
        <f>IF(X833="","",IFERROR(INDEX($AR$11:$AR$4010,MATCH(823,$AY$11:$AY$4010,0)),""))</f>
        <v/>
      </c>
      <c r="AD833" s="16" t="str">
        <f>IF(AE833="","",IFERROR(INDEX($AL$11:$AL$4010,MATCH(823,$AZ$11:$AZ$4010,0)),""))</f>
        <v/>
      </c>
      <c r="AE833" s="12" t="str">
        <f>IFERROR(INDEX($AM$11:$AM$4010,MATCH(823,$AZ$11:$AZ$4010,0)),"")</f>
        <v/>
      </c>
      <c r="AF833" s="11" t="str">
        <f>IF(AE833="","",IFERROR(INDEX($AN$11:$AN$4010,MATCH(823,$AZ$11:$AZ$4010,0)),""))</f>
        <v/>
      </c>
      <c r="AG833" s="11" t="str">
        <f>IF(AE833="","",IFERROR(INDEX($AO$11:$AO$4010,MATCH(823,$AZ$11:$AZ$4010,0)),""))</f>
        <v/>
      </c>
      <c r="AH833" s="10" t="str">
        <f>IF(AE833="","",IFERROR(INDEX($AQ$11:$AQ$4010,MATCH(823,$AZ$11:$AZ$4010,0)),""))</f>
        <v/>
      </c>
      <c r="AI833" s="15" t="str">
        <f>IF(AE833="","",IFERROR(INDEX($AR$11:$AR$4010,MATCH(823,$AZ$11:$AZ$4010,0)),""))</f>
        <v/>
      </c>
      <c r="AJ833" s="15" t="str">
        <f>IF(AE833="","",IFERROR(INDEX($AT$11:$AT$4010,MATCH(823,$AZ$11:$AZ$4010,0)),""))</f>
        <v/>
      </c>
      <c r="AL833" s="17"/>
      <c r="AM833" s="12"/>
      <c r="AN833" s="18"/>
      <c r="AO833" s="18"/>
      <c r="AP833" s="10"/>
      <c r="AQ833" s="10"/>
      <c r="AR833" s="19"/>
      <c r="AS833" s="20"/>
      <c r="AT833" s="19"/>
      <c r="AV833" s="21">
        <f>IF(AND($AL833&lt;&gt;"",COUNTIF($AL$11:$AL833,$AL833)=1),1,0)</f>
        <v>0</v>
      </c>
      <c r="AW833" s="21">
        <f t="shared" si="111"/>
        <v>0</v>
      </c>
      <c r="AX833" s="21" t="str">
        <f t="shared" si="110"/>
        <v/>
      </c>
      <c r="AY833" s="21" t="str">
        <f>IF(AND($AM833&lt;&gt;"",$AS833&lt;&gt;"✓"),SUMPRODUCT(($AM$11:$AM833&lt;&gt;"")*($AS$11:$AS833&lt;&gt;"✓")),"")</f>
        <v/>
      </c>
      <c r="AZ833" s="21" t="str">
        <f>IF(AND($AM833&lt;&gt;"",$AS833="✓"),SUMPRODUCT(($AM$11:$AM833&lt;&gt;"")*($AS$11:$AS833="✓")),"")</f>
        <v/>
      </c>
      <c r="BA833" s="21" t="str">
        <f>IF($AL833="","",$AL833&amp;"|"&amp;COUNTIF($AL$11:$AL833,$AL833))</f>
        <v/>
      </c>
    </row>
    <row r="834" spans="23:53" ht="15" customHeight="1" x14ac:dyDescent="0.25">
      <c r="W834" s="28" t="str">
        <f>IF(X834="","",IFERROR(INDEX($AL$11:$AL$4010,MATCH(824,$AY$11:$AY$4010,0)),""))</f>
        <v/>
      </c>
      <c r="X834" s="26" t="str">
        <f>IFERROR(INDEX($AM$11:$AM$4010,MATCH(824,$AY$11:$AY$4010,0)),"")</f>
        <v/>
      </c>
      <c r="Y834" s="25" t="str">
        <f>IF(X834="","",IFERROR(INDEX($AN$11:$AN$4010,MATCH(824,$AY$11:$AY$4010,0)),""))</f>
        <v/>
      </c>
      <c r="Z834" s="25" t="str">
        <f>IF(X834="","",IFERROR(INDEX($AO$11:$AO$4010,MATCH(824,$AY$11:$AY$4010,0)),""))</f>
        <v/>
      </c>
      <c r="AA834" s="24" t="str">
        <f>IF(X834="","",IFERROR(INDEX($AQ$11:$AQ$4010,MATCH(824,$AY$11:$AY$4010,0)),""))</f>
        <v/>
      </c>
      <c r="AB834" s="29" t="str">
        <f>IF(X834="","",IFERROR(INDEX($AR$11:$AR$4010,MATCH(824,$AY$11:$AY$4010,0)),""))</f>
        <v/>
      </c>
      <c r="AD834" s="30" t="str">
        <f>IF(AE834="","",IFERROR(INDEX($AL$11:$AL$4010,MATCH(824,$AZ$11:$AZ$4010,0)),""))</f>
        <v/>
      </c>
      <c r="AE834" s="26" t="str">
        <f>IFERROR(INDEX($AM$11:$AM$4010,MATCH(824,$AZ$11:$AZ$4010,0)),"")</f>
        <v/>
      </c>
      <c r="AF834" s="25" t="str">
        <f>IF(AE834="","",IFERROR(INDEX($AN$11:$AN$4010,MATCH(824,$AZ$11:$AZ$4010,0)),""))</f>
        <v/>
      </c>
      <c r="AG834" s="25" t="str">
        <f>IF(AE834="","",IFERROR(INDEX($AO$11:$AO$4010,MATCH(824,$AZ$11:$AZ$4010,0)),""))</f>
        <v/>
      </c>
      <c r="AH834" s="24" t="str">
        <f>IF(AE834="","",IFERROR(INDEX($AQ$11:$AQ$4010,MATCH(824,$AZ$11:$AZ$4010,0)),""))</f>
        <v/>
      </c>
      <c r="AI834" s="29" t="str">
        <f>IF(AE834="","",IFERROR(INDEX($AR$11:$AR$4010,MATCH(824,$AZ$11:$AZ$4010,0)),""))</f>
        <v/>
      </c>
      <c r="AJ834" s="29" t="str">
        <f>IF(AE834="","",IFERROR(INDEX($AT$11:$AT$4010,MATCH(824,$AZ$11:$AZ$4010,0)),""))</f>
        <v/>
      </c>
      <c r="AL834" s="31"/>
      <c r="AM834" s="26"/>
      <c r="AN834" s="32"/>
      <c r="AO834" s="32"/>
      <c r="AP834" s="24"/>
      <c r="AQ834" s="24"/>
      <c r="AR834" s="33"/>
      <c r="AS834" s="34"/>
      <c r="AT834" s="33"/>
      <c r="AV834" s="21">
        <f>IF(AND($AL834&lt;&gt;"",COUNTIF($AL$11:$AL834,$AL834)=1),1,0)</f>
        <v>0</v>
      </c>
      <c r="AW834" s="21">
        <f t="shared" si="111"/>
        <v>0</v>
      </c>
      <c r="AX834" s="21" t="str">
        <f t="shared" si="110"/>
        <v/>
      </c>
      <c r="AY834" s="21" t="str">
        <f>IF(AND($AM834&lt;&gt;"",$AS834&lt;&gt;"✓"),SUMPRODUCT(($AM$11:$AM834&lt;&gt;"")*($AS$11:$AS834&lt;&gt;"✓")),"")</f>
        <v/>
      </c>
      <c r="AZ834" s="21" t="str">
        <f>IF(AND($AM834&lt;&gt;"",$AS834="✓"),SUMPRODUCT(($AM$11:$AM834&lt;&gt;"")*($AS$11:$AS834="✓")),"")</f>
        <v/>
      </c>
      <c r="BA834" s="21" t="str">
        <f>IF($AL834="","",$AL834&amp;"|"&amp;COUNTIF($AL$11:$AL834,$AL834))</f>
        <v/>
      </c>
    </row>
    <row r="835" spans="23:53" ht="15" customHeight="1" x14ac:dyDescent="0.25">
      <c r="W835" s="14" t="str">
        <f>IF(X835="","",IFERROR(INDEX($AL$11:$AL$4010,MATCH(825,$AY$11:$AY$4010,0)),""))</f>
        <v/>
      </c>
      <c r="X835" s="12" t="str">
        <f>IFERROR(INDEX($AM$11:$AM$4010,MATCH(825,$AY$11:$AY$4010,0)),"")</f>
        <v/>
      </c>
      <c r="Y835" s="11" t="str">
        <f>IF(X835="","",IFERROR(INDEX($AN$11:$AN$4010,MATCH(825,$AY$11:$AY$4010,0)),""))</f>
        <v/>
      </c>
      <c r="Z835" s="11" t="str">
        <f>IF(X835="","",IFERROR(INDEX($AO$11:$AO$4010,MATCH(825,$AY$11:$AY$4010,0)),""))</f>
        <v/>
      </c>
      <c r="AA835" s="10" t="str">
        <f>IF(X835="","",IFERROR(INDEX($AQ$11:$AQ$4010,MATCH(825,$AY$11:$AY$4010,0)),""))</f>
        <v/>
      </c>
      <c r="AB835" s="15" t="str">
        <f>IF(X835="","",IFERROR(INDEX($AR$11:$AR$4010,MATCH(825,$AY$11:$AY$4010,0)),""))</f>
        <v/>
      </c>
      <c r="AD835" s="16" t="str">
        <f>IF(AE835="","",IFERROR(INDEX($AL$11:$AL$4010,MATCH(825,$AZ$11:$AZ$4010,0)),""))</f>
        <v/>
      </c>
      <c r="AE835" s="12" t="str">
        <f>IFERROR(INDEX($AM$11:$AM$4010,MATCH(825,$AZ$11:$AZ$4010,0)),"")</f>
        <v/>
      </c>
      <c r="AF835" s="11" t="str">
        <f>IF(AE835="","",IFERROR(INDEX($AN$11:$AN$4010,MATCH(825,$AZ$11:$AZ$4010,0)),""))</f>
        <v/>
      </c>
      <c r="AG835" s="11" t="str">
        <f>IF(AE835="","",IFERROR(INDEX($AO$11:$AO$4010,MATCH(825,$AZ$11:$AZ$4010,0)),""))</f>
        <v/>
      </c>
      <c r="AH835" s="10" t="str">
        <f>IF(AE835="","",IFERROR(INDEX($AQ$11:$AQ$4010,MATCH(825,$AZ$11:$AZ$4010,0)),""))</f>
        <v/>
      </c>
      <c r="AI835" s="15" t="str">
        <f>IF(AE835="","",IFERROR(INDEX($AR$11:$AR$4010,MATCH(825,$AZ$11:$AZ$4010,0)),""))</f>
        <v/>
      </c>
      <c r="AJ835" s="15" t="str">
        <f>IF(AE835="","",IFERROR(INDEX($AT$11:$AT$4010,MATCH(825,$AZ$11:$AZ$4010,0)),""))</f>
        <v/>
      </c>
      <c r="AL835" s="17"/>
      <c r="AM835" s="12"/>
      <c r="AN835" s="18"/>
      <c r="AO835" s="18"/>
      <c r="AP835" s="10"/>
      <c r="AQ835" s="10"/>
      <c r="AR835" s="19"/>
      <c r="AS835" s="20"/>
      <c r="AT835" s="19"/>
      <c r="AV835" s="21">
        <f>IF(AND($AL835&lt;&gt;"",COUNTIF($AL$11:$AL835,$AL835)=1),1,0)</f>
        <v>0</v>
      </c>
      <c r="AW835" s="21">
        <f t="shared" si="111"/>
        <v>0</v>
      </c>
      <c r="AX835" s="21" t="str">
        <f t="shared" si="110"/>
        <v/>
      </c>
      <c r="AY835" s="21" t="str">
        <f>IF(AND($AM835&lt;&gt;"",$AS835&lt;&gt;"✓"),SUMPRODUCT(($AM$11:$AM835&lt;&gt;"")*($AS$11:$AS835&lt;&gt;"✓")),"")</f>
        <v/>
      </c>
      <c r="AZ835" s="21" t="str">
        <f>IF(AND($AM835&lt;&gt;"",$AS835="✓"),SUMPRODUCT(($AM$11:$AM835&lt;&gt;"")*($AS$11:$AS835="✓")),"")</f>
        <v/>
      </c>
      <c r="BA835" s="21" t="str">
        <f>IF($AL835="","",$AL835&amp;"|"&amp;COUNTIF($AL$11:$AL835,$AL835))</f>
        <v/>
      </c>
    </row>
    <row r="836" spans="23:53" ht="15" customHeight="1" x14ac:dyDescent="0.25">
      <c r="W836" s="28" t="str">
        <f>IF(X836="","",IFERROR(INDEX($AL$11:$AL$4010,MATCH(826,$AY$11:$AY$4010,0)),""))</f>
        <v/>
      </c>
      <c r="X836" s="26" t="str">
        <f>IFERROR(INDEX($AM$11:$AM$4010,MATCH(826,$AY$11:$AY$4010,0)),"")</f>
        <v/>
      </c>
      <c r="Y836" s="25" t="str">
        <f>IF(X836="","",IFERROR(INDEX($AN$11:$AN$4010,MATCH(826,$AY$11:$AY$4010,0)),""))</f>
        <v/>
      </c>
      <c r="Z836" s="25" t="str">
        <f>IF(X836="","",IFERROR(INDEX($AO$11:$AO$4010,MATCH(826,$AY$11:$AY$4010,0)),""))</f>
        <v/>
      </c>
      <c r="AA836" s="24" t="str">
        <f>IF(X836="","",IFERROR(INDEX($AQ$11:$AQ$4010,MATCH(826,$AY$11:$AY$4010,0)),""))</f>
        <v/>
      </c>
      <c r="AB836" s="29" t="str">
        <f>IF(X836="","",IFERROR(INDEX($AR$11:$AR$4010,MATCH(826,$AY$11:$AY$4010,0)),""))</f>
        <v/>
      </c>
      <c r="AD836" s="30" t="str">
        <f>IF(AE836="","",IFERROR(INDEX($AL$11:$AL$4010,MATCH(826,$AZ$11:$AZ$4010,0)),""))</f>
        <v/>
      </c>
      <c r="AE836" s="26" t="str">
        <f>IFERROR(INDEX($AM$11:$AM$4010,MATCH(826,$AZ$11:$AZ$4010,0)),"")</f>
        <v/>
      </c>
      <c r="AF836" s="25" t="str">
        <f>IF(AE836="","",IFERROR(INDEX($AN$11:$AN$4010,MATCH(826,$AZ$11:$AZ$4010,0)),""))</f>
        <v/>
      </c>
      <c r="AG836" s="25" t="str">
        <f>IF(AE836="","",IFERROR(INDEX($AO$11:$AO$4010,MATCH(826,$AZ$11:$AZ$4010,0)),""))</f>
        <v/>
      </c>
      <c r="AH836" s="24" t="str">
        <f>IF(AE836="","",IFERROR(INDEX($AQ$11:$AQ$4010,MATCH(826,$AZ$11:$AZ$4010,0)),""))</f>
        <v/>
      </c>
      <c r="AI836" s="29" t="str">
        <f>IF(AE836="","",IFERROR(INDEX($AR$11:$AR$4010,MATCH(826,$AZ$11:$AZ$4010,0)),""))</f>
        <v/>
      </c>
      <c r="AJ836" s="29" t="str">
        <f>IF(AE836="","",IFERROR(INDEX($AT$11:$AT$4010,MATCH(826,$AZ$11:$AZ$4010,0)),""))</f>
        <v/>
      </c>
      <c r="AL836" s="31"/>
      <c r="AM836" s="26"/>
      <c r="AN836" s="32"/>
      <c r="AO836" s="32"/>
      <c r="AP836" s="24"/>
      <c r="AQ836" s="24"/>
      <c r="AR836" s="33"/>
      <c r="AS836" s="34"/>
      <c r="AT836" s="33"/>
      <c r="AV836" s="21">
        <f>IF(AND($AL836&lt;&gt;"",COUNTIF($AL$11:$AL836,$AL836)=1),1,0)</f>
        <v>0</v>
      </c>
      <c r="AW836" s="21">
        <f t="shared" si="111"/>
        <v>0</v>
      </c>
      <c r="AX836" s="21" t="str">
        <f t="shared" si="110"/>
        <v/>
      </c>
      <c r="AY836" s="21" t="str">
        <f>IF(AND($AM836&lt;&gt;"",$AS836&lt;&gt;"✓"),SUMPRODUCT(($AM$11:$AM836&lt;&gt;"")*($AS$11:$AS836&lt;&gt;"✓")),"")</f>
        <v/>
      </c>
      <c r="AZ836" s="21" t="str">
        <f>IF(AND($AM836&lt;&gt;"",$AS836="✓"),SUMPRODUCT(($AM$11:$AM836&lt;&gt;"")*($AS$11:$AS836="✓")),"")</f>
        <v/>
      </c>
      <c r="BA836" s="21" t="str">
        <f>IF($AL836="","",$AL836&amp;"|"&amp;COUNTIF($AL$11:$AL836,$AL836))</f>
        <v/>
      </c>
    </row>
    <row r="837" spans="23:53" ht="15" customHeight="1" x14ac:dyDescent="0.25">
      <c r="W837" s="14" t="str">
        <f>IF(X837="","",IFERROR(INDEX($AL$11:$AL$4010,MATCH(827,$AY$11:$AY$4010,0)),""))</f>
        <v/>
      </c>
      <c r="X837" s="12" t="str">
        <f>IFERROR(INDEX($AM$11:$AM$4010,MATCH(827,$AY$11:$AY$4010,0)),"")</f>
        <v/>
      </c>
      <c r="Y837" s="11" t="str">
        <f>IF(X837="","",IFERROR(INDEX($AN$11:$AN$4010,MATCH(827,$AY$11:$AY$4010,0)),""))</f>
        <v/>
      </c>
      <c r="Z837" s="11" t="str">
        <f>IF(X837="","",IFERROR(INDEX($AO$11:$AO$4010,MATCH(827,$AY$11:$AY$4010,0)),""))</f>
        <v/>
      </c>
      <c r="AA837" s="10" t="str">
        <f>IF(X837="","",IFERROR(INDEX($AQ$11:$AQ$4010,MATCH(827,$AY$11:$AY$4010,0)),""))</f>
        <v/>
      </c>
      <c r="AB837" s="15" t="str">
        <f>IF(X837="","",IFERROR(INDEX($AR$11:$AR$4010,MATCH(827,$AY$11:$AY$4010,0)),""))</f>
        <v/>
      </c>
      <c r="AD837" s="16" t="str">
        <f>IF(AE837="","",IFERROR(INDEX($AL$11:$AL$4010,MATCH(827,$AZ$11:$AZ$4010,0)),""))</f>
        <v/>
      </c>
      <c r="AE837" s="12" t="str">
        <f>IFERROR(INDEX($AM$11:$AM$4010,MATCH(827,$AZ$11:$AZ$4010,0)),"")</f>
        <v/>
      </c>
      <c r="AF837" s="11" t="str">
        <f>IF(AE837="","",IFERROR(INDEX($AN$11:$AN$4010,MATCH(827,$AZ$11:$AZ$4010,0)),""))</f>
        <v/>
      </c>
      <c r="AG837" s="11" t="str">
        <f>IF(AE837="","",IFERROR(INDEX($AO$11:$AO$4010,MATCH(827,$AZ$11:$AZ$4010,0)),""))</f>
        <v/>
      </c>
      <c r="AH837" s="10" t="str">
        <f>IF(AE837="","",IFERROR(INDEX($AQ$11:$AQ$4010,MATCH(827,$AZ$11:$AZ$4010,0)),""))</f>
        <v/>
      </c>
      <c r="AI837" s="15" t="str">
        <f>IF(AE837="","",IFERROR(INDEX($AR$11:$AR$4010,MATCH(827,$AZ$11:$AZ$4010,0)),""))</f>
        <v/>
      </c>
      <c r="AJ837" s="15" t="str">
        <f>IF(AE837="","",IFERROR(INDEX($AT$11:$AT$4010,MATCH(827,$AZ$11:$AZ$4010,0)),""))</f>
        <v/>
      </c>
      <c r="AL837" s="17"/>
      <c r="AM837" s="12"/>
      <c r="AN837" s="18"/>
      <c r="AO837" s="18"/>
      <c r="AP837" s="10"/>
      <c r="AQ837" s="10"/>
      <c r="AR837" s="19"/>
      <c r="AS837" s="20"/>
      <c r="AT837" s="19"/>
      <c r="AV837" s="21">
        <f>IF(AND($AL837&lt;&gt;"",COUNTIF($AL$11:$AL837,$AL837)=1),1,0)</f>
        <v>0</v>
      </c>
      <c r="AW837" s="21">
        <f t="shared" si="111"/>
        <v>0</v>
      </c>
      <c r="AX837" s="21" t="str">
        <f t="shared" si="110"/>
        <v/>
      </c>
      <c r="AY837" s="21" t="str">
        <f>IF(AND($AM837&lt;&gt;"",$AS837&lt;&gt;"✓"),SUMPRODUCT(($AM$11:$AM837&lt;&gt;"")*($AS$11:$AS837&lt;&gt;"✓")),"")</f>
        <v/>
      </c>
      <c r="AZ837" s="21" t="str">
        <f>IF(AND($AM837&lt;&gt;"",$AS837="✓"),SUMPRODUCT(($AM$11:$AM837&lt;&gt;"")*($AS$11:$AS837="✓")),"")</f>
        <v/>
      </c>
      <c r="BA837" s="21" t="str">
        <f>IF($AL837="","",$AL837&amp;"|"&amp;COUNTIF($AL$11:$AL837,$AL837))</f>
        <v/>
      </c>
    </row>
    <row r="838" spans="23:53" ht="15" customHeight="1" x14ac:dyDescent="0.25">
      <c r="W838" s="28" t="str">
        <f>IF(X838="","",IFERROR(INDEX($AL$11:$AL$4010,MATCH(828,$AY$11:$AY$4010,0)),""))</f>
        <v/>
      </c>
      <c r="X838" s="26" t="str">
        <f>IFERROR(INDEX($AM$11:$AM$4010,MATCH(828,$AY$11:$AY$4010,0)),"")</f>
        <v/>
      </c>
      <c r="Y838" s="25" t="str">
        <f>IF(X838="","",IFERROR(INDEX($AN$11:$AN$4010,MATCH(828,$AY$11:$AY$4010,0)),""))</f>
        <v/>
      </c>
      <c r="Z838" s="25" t="str">
        <f>IF(X838="","",IFERROR(INDEX($AO$11:$AO$4010,MATCH(828,$AY$11:$AY$4010,0)),""))</f>
        <v/>
      </c>
      <c r="AA838" s="24" t="str">
        <f>IF(X838="","",IFERROR(INDEX($AQ$11:$AQ$4010,MATCH(828,$AY$11:$AY$4010,0)),""))</f>
        <v/>
      </c>
      <c r="AB838" s="29" t="str">
        <f>IF(X838="","",IFERROR(INDEX($AR$11:$AR$4010,MATCH(828,$AY$11:$AY$4010,0)),""))</f>
        <v/>
      </c>
      <c r="AD838" s="30" t="str">
        <f>IF(AE838="","",IFERROR(INDEX($AL$11:$AL$4010,MATCH(828,$AZ$11:$AZ$4010,0)),""))</f>
        <v/>
      </c>
      <c r="AE838" s="26" t="str">
        <f>IFERROR(INDEX($AM$11:$AM$4010,MATCH(828,$AZ$11:$AZ$4010,0)),"")</f>
        <v/>
      </c>
      <c r="AF838" s="25" t="str">
        <f>IF(AE838="","",IFERROR(INDEX($AN$11:$AN$4010,MATCH(828,$AZ$11:$AZ$4010,0)),""))</f>
        <v/>
      </c>
      <c r="AG838" s="25" t="str">
        <f>IF(AE838="","",IFERROR(INDEX($AO$11:$AO$4010,MATCH(828,$AZ$11:$AZ$4010,0)),""))</f>
        <v/>
      </c>
      <c r="AH838" s="24" t="str">
        <f>IF(AE838="","",IFERROR(INDEX($AQ$11:$AQ$4010,MATCH(828,$AZ$11:$AZ$4010,0)),""))</f>
        <v/>
      </c>
      <c r="AI838" s="29" t="str">
        <f>IF(AE838="","",IFERROR(INDEX($AR$11:$AR$4010,MATCH(828,$AZ$11:$AZ$4010,0)),""))</f>
        <v/>
      </c>
      <c r="AJ838" s="29" t="str">
        <f>IF(AE838="","",IFERROR(INDEX($AT$11:$AT$4010,MATCH(828,$AZ$11:$AZ$4010,0)),""))</f>
        <v/>
      </c>
      <c r="AL838" s="31"/>
      <c r="AM838" s="26"/>
      <c r="AN838" s="32"/>
      <c r="AO838" s="32"/>
      <c r="AP838" s="24"/>
      <c r="AQ838" s="24"/>
      <c r="AR838" s="33"/>
      <c r="AS838" s="34"/>
      <c r="AT838" s="33"/>
      <c r="AV838" s="21">
        <f>IF(AND($AL838&lt;&gt;"",COUNTIF($AL$11:$AL838,$AL838)=1),1,0)</f>
        <v>0</v>
      </c>
      <c r="AW838" s="21">
        <f t="shared" si="111"/>
        <v>0</v>
      </c>
      <c r="AX838" s="21" t="str">
        <f t="shared" si="110"/>
        <v/>
      </c>
      <c r="AY838" s="21" t="str">
        <f>IF(AND($AM838&lt;&gt;"",$AS838&lt;&gt;"✓"),SUMPRODUCT(($AM$11:$AM838&lt;&gt;"")*($AS$11:$AS838&lt;&gt;"✓")),"")</f>
        <v/>
      </c>
      <c r="AZ838" s="21" t="str">
        <f>IF(AND($AM838&lt;&gt;"",$AS838="✓"),SUMPRODUCT(($AM$11:$AM838&lt;&gt;"")*($AS$11:$AS838="✓")),"")</f>
        <v/>
      </c>
      <c r="BA838" s="21" t="str">
        <f>IF($AL838="","",$AL838&amp;"|"&amp;COUNTIF($AL$11:$AL838,$AL838))</f>
        <v/>
      </c>
    </row>
    <row r="839" spans="23:53" ht="15" customHeight="1" x14ac:dyDescent="0.25">
      <c r="W839" s="14" t="str">
        <f>IF(X839="","",IFERROR(INDEX($AL$11:$AL$4010,MATCH(829,$AY$11:$AY$4010,0)),""))</f>
        <v/>
      </c>
      <c r="X839" s="12" t="str">
        <f>IFERROR(INDEX($AM$11:$AM$4010,MATCH(829,$AY$11:$AY$4010,0)),"")</f>
        <v/>
      </c>
      <c r="Y839" s="11" t="str">
        <f>IF(X839="","",IFERROR(INDEX($AN$11:$AN$4010,MATCH(829,$AY$11:$AY$4010,0)),""))</f>
        <v/>
      </c>
      <c r="Z839" s="11" t="str">
        <f>IF(X839="","",IFERROR(INDEX($AO$11:$AO$4010,MATCH(829,$AY$11:$AY$4010,0)),""))</f>
        <v/>
      </c>
      <c r="AA839" s="10" t="str">
        <f>IF(X839="","",IFERROR(INDEX($AQ$11:$AQ$4010,MATCH(829,$AY$11:$AY$4010,0)),""))</f>
        <v/>
      </c>
      <c r="AB839" s="15" t="str">
        <f>IF(X839="","",IFERROR(INDEX($AR$11:$AR$4010,MATCH(829,$AY$11:$AY$4010,0)),""))</f>
        <v/>
      </c>
      <c r="AD839" s="16" t="str">
        <f>IF(AE839="","",IFERROR(INDEX($AL$11:$AL$4010,MATCH(829,$AZ$11:$AZ$4010,0)),""))</f>
        <v/>
      </c>
      <c r="AE839" s="12" t="str">
        <f>IFERROR(INDEX($AM$11:$AM$4010,MATCH(829,$AZ$11:$AZ$4010,0)),"")</f>
        <v/>
      </c>
      <c r="AF839" s="11" t="str">
        <f>IF(AE839="","",IFERROR(INDEX($AN$11:$AN$4010,MATCH(829,$AZ$11:$AZ$4010,0)),""))</f>
        <v/>
      </c>
      <c r="AG839" s="11" t="str">
        <f>IF(AE839="","",IFERROR(INDEX($AO$11:$AO$4010,MATCH(829,$AZ$11:$AZ$4010,0)),""))</f>
        <v/>
      </c>
      <c r="AH839" s="10" t="str">
        <f>IF(AE839="","",IFERROR(INDEX($AQ$11:$AQ$4010,MATCH(829,$AZ$11:$AZ$4010,0)),""))</f>
        <v/>
      </c>
      <c r="AI839" s="15" t="str">
        <f>IF(AE839="","",IFERROR(INDEX($AR$11:$AR$4010,MATCH(829,$AZ$11:$AZ$4010,0)),""))</f>
        <v/>
      </c>
      <c r="AJ839" s="15" t="str">
        <f>IF(AE839="","",IFERROR(INDEX($AT$11:$AT$4010,MATCH(829,$AZ$11:$AZ$4010,0)),""))</f>
        <v/>
      </c>
      <c r="AL839" s="17"/>
      <c r="AM839" s="12"/>
      <c r="AN839" s="18"/>
      <c r="AO839" s="18"/>
      <c r="AP839" s="10"/>
      <c r="AQ839" s="10"/>
      <c r="AR839" s="19"/>
      <c r="AS839" s="20"/>
      <c r="AT839" s="19"/>
      <c r="AV839" s="21">
        <f>IF(AND($AL839&lt;&gt;"",COUNTIF($AL$11:$AL839,$AL839)=1),1,0)</f>
        <v>0</v>
      </c>
      <c r="AW839" s="21">
        <f t="shared" si="111"/>
        <v>0</v>
      </c>
      <c r="AX839" s="21" t="str">
        <f t="shared" si="110"/>
        <v/>
      </c>
      <c r="AY839" s="21" t="str">
        <f>IF(AND($AM839&lt;&gt;"",$AS839&lt;&gt;"✓"),SUMPRODUCT(($AM$11:$AM839&lt;&gt;"")*($AS$11:$AS839&lt;&gt;"✓")),"")</f>
        <v/>
      </c>
      <c r="AZ839" s="21" t="str">
        <f>IF(AND($AM839&lt;&gt;"",$AS839="✓"),SUMPRODUCT(($AM$11:$AM839&lt;&gt;"")*($AS$11:$AS839="✓")),"")</f>
        <v/>
      </c>
      <c r="BA839" s="21" t="str">
        <f>IF($AL839="","",$AL839&amp;"|"&amp;COUNTIF($AL$11:$AL839,$AL839))</f>
        <v/>
      </c>
    </row>
    <row r="840" spans="23:53" ht="15" customHeight="1" x14ac:dyDescent="0.25">
      <c r="W840" s="28" t="str">
        <f>IF(X840="","",IFERROR(INDEX($AL$11:$AL$4010,MATCH(830,$AY$11:$AY$4010,0)),""))</f>
        <v/>
      </c>
      <c r="X840" s="26" t="str">
        <f>IFERROR(INDEX($AM$11:$AM$4010,MATCH(830,$AY$11:$AY$4010,0)),"")</f>
        <v/>
      </c>
      <c r="Y840" s="25" t="str">
        <f>IF(X840="","",IFERROR(INDEX($AN$11:$AN$4010,MATCH(830,$AY$11:$AY$4010,0)),""))</f>
        <v/>
      </c>
      <c r="Z840" s="25" t="str">
        <f>IF(X840="","",IFERROR(INDEX($AO$11:$AO$4010,MATCH(830,$AY$11:$AY$4010,0)),""))</f>
        <v/>
      </c>
      <c r="AA840" s="24" t="str">
        <f>IF(X840="","",IFERROR(INDEX($AQ$11:$AQ$4010,MATCH(830,$AY$11:$AY$4010,0)),""))</f>
        <v/>
      </c>
      <c r="AB840" s="29" t="str">
        <f>IF(X840="","",IFERROR(INDEX($AR$11:$AR$4010,MATCH(830,$AY$11:$AY$4010,0)),""))</f>
        <v/>
      </c>
      <c r="AD840" s="30" t="str">
        <f>IF(AE840="","",IFERROR(INDEX($AL$11:$AL$4010,MATCH(830,$AZ$11:$AZ$4010,0)),""))</f>
        <v/>
      </c>
      <c r="AE840" s="26" t="str">
        <f>IFERROR(INDEX($AM$11:$AM$4010,MATCH(830,$AZ$11:$AZ$4010,0)),"")</f>
        <v/>
      </c>
      <c r="AF840" s="25" t="str">
        <f>IF(AE840="","",IFERROR(INDEX($AN$11:$AN$4010,MATCH(830,$AZ$11:$AZ$4010,0)),""))</f>
        <v/>
      </c>
      <c r="AG840" s="25" t="str">
        <f>IF(AE840="","",IFERROR(INDEX($AO$11:$AO$4010,MATCH(830,$AZ$11:$AZ$4010,0)),""))</f>
        <v/>
      </c>
      <c r="AH840" s="24" t="str">
        <f>IF(AE840="","",IFERROR(INDEX($AQ$11:$AQ$4010,MATCH(830,$AZ$11:$AZ$4010,0)),""))</f>
        <v/>
      </c>
      <c r="AI840" s="29" t="str">
        <f>IF(AE840="","",IFERROR(INDEX($AR$11:$AR$4010,MATCH(830,$AZ$11:$AZ$4010,0)),""))</f>
        <v/>
      </c>
      <c r="AJ840" s="29" t="str">
        <f>IF(AE840="","",IFERROR(INDEX($AT$11:$AT$4010,MATCH(830,$AZ$11:$AZ$4010,0)),""))</f>
        <v/>
      </c>
      <c r="AL840" s="31"/>
      <c r="AM840" s="26"/>
      <c r="AN840" s="32"/>
      <c r="AO840" s="32"/>
      <c r="AP840" s="24"/>
      <c r="AQ840" s="24"/>
      <c r="AR840" s="33"/>
      <c r="AS840" s="34"/>
      <c r="AT840" s="33"/>
      <c r="AV840" s="21">
        <f>IF(AND($AL840&lt;&gt;"",COUNTIF($AL$11:$AL840,$AL840)=1),1,0)</f>
        <v>0</v>
      </c>
      <c r="AW840" s="21">
        <f t="shared" si="111"/>
        <v>0</v>
      </c>
      <c r="AX840" s="21" t="str">
        <f t="shared" si="110"/>
        <v/>
      </c>
      <c r="AY840" s="21" t="str">
        <f>IF(AND($AM840&lt;&gt;"",$AS840&lt;&gt;"✓"),SUMPRODUCT(($AM$11:$AM840&lt;&gt;"")*($AS$11:$AS840&lt;&gt;"✓")),"")</f>
        <v/>
      </c>
      <c r="AZ840" s="21" t="str">
        <f>IF(AND($AM840&lt;&gt;"",$AS840="✓"),SUMPRODUCT(($AM$11:$AM840&lt;&gt;"")*($AS$11:$AS840="✓")),"")</f>
        <v/>
      </c>
      <c r="BA840" s="21" t="str">
        <f>IF($AL840="","",$AL840&amp;"|"&amp;COUNTIF($AL$11:$AL840,$AL840))</f>
        <v/>
      </c>
    </row>
    <row r="841" spans="23:53" ht="15" customHeight="1" x14ac:dyDescent="0.25">
      <c r="W841" s="14" t="str">
        <f>IF(X841="","",IFERROR(INDEX($AL$11:$AL$4010,MATCH(831,$AY$11:$AY$4010,0)),""))</f>
        <v/>
      </c>
      <c r="X841" s="12" t="str">
        <f>IFERROR(INDEX($AM$11:$AM$4010,MATCH(831,$AY$11:$AY$4010,0)),"")</f>
        <v/>
      </c>
      <c r="Y841" s="11" t="str">
        <f>IF(X841="","",IFERROR(INDEX($AN$11:$AN$4010,MATCH(831,$AY$11:$AY$4010,0)),""))</f>
        <v/>
      </c>
      <c r="Z841" s="11" t="str">
        <f>IF(X841="","",IFERROR(INDEX($AO$11:$AO$4010,MATCH(831,$AY$11:$AY$4010,0)),""))</f>
        <v/>
      </c>
      <c r="AA841" s="10" t="str">
        <f>IF(X841="","",IFERROR(INDEX($AQ$11:$AQ$4010,MATCH(831,$AY$11:$AY$4010,0)),""))</f>
        <v/>
      </c>
      <c r="AB841" s="15" t="str">
        <f>IF(X841="","",IFERROR(INDEX($AR$11:$AR$4010,MATCH(831,$AY$11:$AY$4010,0)),""))</f>
        <v/>
      </c>
      <c r="AD841" s="16" t="str">
        <f>IF(AE841="","",IFERROR(INDEX($AL$11:$AL$4010,MATCH(831,$AZ$11:$AZ$4010,0)),""))</f>
        <v/>
      </c>
      <c r="AE841" s="12" t="str">
        <f>IFERROR(INDEX($AM$11:$AM$4010,MATCH(831,$AZ$11:$AZ$4010,0)),"")</f>
        <v/>
      </c>
      <c r="AF841" s="11" t="str">
        <f>IF(AE841="","",IFERROR(INDEX($AN$11:$AN$4010,MATCH(831,$AZ$11:$AZ$4010,0)),""))</f>
        <v/>
      </c>
      <c r="AG841" s="11" t="str">
        <f>IF(AE841="","",IFERROR(INDEX($AO$11:$AO$4010,MATCH(831,$AZ$11:$AZ$4010,0)),""))</f>
        <v/>
      </c>
      <c r="AH841" s="10" t="str">
        <f>IF(AE841="","",IFERROR(INDEX($AQ$11:$AQ$4010,MATCH(831,$AZ$11:$AZ$4010,0)),""))</f>
        <v/>
      </c>
      <c r="AI841" s="15" t="str">
        <f>IF(AE841="","",IFERROR(INDEX($AR$11:$AR$4010,MATCH(831,$AZ$11:$AZ$4010,0)),""))</f>
        <v/>
      </c>
      <c r="AJ841" s="15" t="str">
        <f>IF(AE841="","",IFERROR(INDEX($AT$11:$AT$4010,MATCH(831,$AZ$11:$AZ$4010,0)),""))</f>
        <v/>
      </c>
      <c r="AL841" s="17"/>
      <c r="AM841" s="12"/>
      <c r="AN841" s="18"/>
      <c r="AO841" s="18"/>
      <c r="AP841" s="10"/>
      <c r="AQ841" s="10"/>
      <c r="AR841" s="19"/>
      <c r="AS841" s="20"/>
      <c r="AT841" s="19"/>
      <c r="AV841" s="21">
        <f>IF(AND($AL841&lt;&gt;"",COUNTIF($AL$11:$AL841,$AL841)=1),1,0)</f>
        <v>0</v>
      </c>
      <c r="AW841" s="21">
        <f t="shared" si="111"/>
        <v>0</v>
      </c>
      <c r="AX841" s="21" t="str">
        <f t="shared" si="110"/>
        <v/>
      </c>
      <c r="AY841" s="21" t="str">
        <f>IF(AND($AM841&lt;&gt;"",$AS841&lt;&gt;"✓"),SUMPRODUCT(($AM$11:$AM841&lt;&gt;"")*($AS$11:$AS841&lt;&gt;"✓")),"")</f>
        <v/>
      </c>
      <c r="AZ841" s="21" t="str">
        <f>IF(AND($AM841&lt;&gt;"",$AS841="✓"),SUMPRODUCT(($AM$11:$AM841&lt;&gt;"")*($AS$11:$AS841="✓")),"")</f>
        <v/>
      </c>
      <c r="BA841" s="21" t="str">
        <f>IF($AL841="","",$AL841&amp;"|"&amp;COUNTIF($AL$11:$AL841,$AL841))</f>
        <v/>
      </c>
    </row>
    <row r="842" spans="23:53" ht="15" customHeight="1" x14ac:dyDescent="0.25">
      <c r="W842" s="28" t="str">
        <f>IF(X842="","",IFERROR(INDEX($AL$11:$AL$4010,MATCH(832,$AY$11:$AY$4010,0)),""))</f>
        <v/>
      </c>
      <c r="X842" s="26" t="str">
        <f>IFERROR(INDEX($AM$11:$AM$4010,MATCH(832,$AY$11:$AY$4010,0)),"")</f>
        <v/>
      </c>
      <c r="Y842" s="25" t="str">
        <f>IF(X842="","",IFERROR(INDEX($AN$11:$AN$4010,MATCH(832,$AY$11:$AY$4010,0)),""))</f>
        <v/>
      </c>
      <c r="Z842" s="25" t="str">
        <f>IF(X842="","",IFERROR(INDEX($AO$11:$AO$4010,MATCH(832,$AY$11:$AY$4010,0)),""))</f>
        <v/>
      </c>
      <c r="AA842" s="24" t="str">
        <f>IF(X842="","",IFERROR(INDEX($AQ$11:$AQ$4010,MATCH(832,$AY$11:$AY$4010,0)),""))</f>
        <v/>
      </c>
      <c r="AB842" s="29" t="str">
        <f>IF(X842="","",IFERROR(INDEX($AR$11:$AR$4010,MATCH(832,$AY$11:$AY$4010,0)),""))</f>
        <v/>
      </c>
      <c r="AD842" s="30" t="str">
        <f>IF(AE842="","",IFERROR(INDEX($AL$11:$AL$4010,MATCH(832,$AZ$11:$AZ$4010,0)),""))</f>
        <v/>
      </c>
      <c r="AE842" s="26" t="str">
        <f>IFERROR(INDEX($AM$11:$AM$4010,MATCH(832,$AZ$11:$AZ$4010,0)),"")</f>
        <v/>
      </c>
      <c r="AF842" s="25" t="str">
        <f>IF(AE842="","",IFERROR(INDEX($AN$11:$AN$4010,MATCH(832,$AZ$11:$AZ$4010,0)),""))</f>
        <v/>
      </c>
      <c r="AG842" s="25" t="str">
        <f>IF(AE842="","",IFERROR(INDEX($AO$11:$AO$4010,MATCH(832,$AZ$11:$AZ$4010,0)),""))</f>
        <v/>
      </c>
      <c r="AH842" s="24" t="str">
        <f>IF(AE842="","",IFERROR(INDEX($AQ$11:$AQ$4010,MATCH(832,$AZ$11:$AZ$4010,0)),""))</f>
        <v/>
      </c>
      <c r="AI842" s="29" t="str">
        <f>IF(AE842="","",IFERROR(INDEX($AR$11:$AR$4010,MATCH(832,$AZ$11:$AZ$4010,0)),""))</f>
        <v/>
      </c>
      <c r="AJ842" s="29" t="str">
        <f>IF(AE842="","",IFERROR(INDEX($AT$11:$AT$4010,MATCH(832,$AZ$11:$AZ$4010,0)),""))</f>
        <v/>
      </c>
      <c r="AL842" s="31"/>
      <c r="AM842" s="26"/>
      <c r="AN842" s="32"/>
      <c r="AO842" s="32"/>
      <c r="AP842" s="24"/>
      <c r="AQ842" s="24"/>
      <c r="AR842" s="33"/>
      <c r="AS842" s="34"/>
      <c r="AT842" s="33"/>
      <c r="AV842" s="21">
        <f>IF(AND($AL842&lt;&gt;"",COUNTIF($AL$11:$AL842,$AL842)=1),1,0)</f>
        <v>0</v>
      </c>
      <c r="AW842" s="21">
        <f t="shared" si="111"/>
        <v>0</v>
      </c>
      <c r="AX842" s="21" t="str">
        <f t="shared" si="110"/>
        <v/>
      </c>
      <c r="AY842" s="21" t="str">
        <f>IF(AND($AM842&lt;&gt;"",$AS842&lt;&gt;"✓"),SUMPRODUCT(($AM$11:$AM842&lt;&gt;"")*($AS$11:$AS842&lt;&gt;"✓")),"")</f>
        <v/>
      </c>
      <c r="AZ842" s="21" t="str">
        <f>IF(AND($AM842&lt;&gt;"",$AS842="✓"),SUMPRODUCT(($AM$11:$AM842&lt;&gt;"")*($AS$11:$AS842="✓")),"")</f>
        <v/>
      </c>
      <c r="BA842" s="21" t="str">
        <f>IF($AL842="","",$AL842&amp;"|"&amp;COUNTIF($AL$11:$AL842,$AL842))</f>
        <v/>
      </c>
    </row>
    <row r="843" spans="23:53" ht="15" customHeight="1" x14ac:dyDescent="0.25">
      <c r="W843" s="14" t="str">
        <f>IF(X843="","",IFERROR(INDEX($AL$11:$AL$4010,MATCH(833,$AY$11:$AY$4010,0)),""))</f>
        <v/>
      </c>
      <c r="X843" s="12" t="str">
        <f>IFERROR(INDEX($AM$11:$AM$4010,MATCH(833,$AY$11:$AY$4010,0)),"")</f>
        <v/>
      </c>
      <c r="Y843" s="11" t="str">
        <f>IF(X843="","",IFERROR(INDEX($AN$11:$AN$4010,MATCH(833,$AY$11:$AY$4010,0)),""))</f>
        <v/>
      </c>
      <c r="Z843" s="11" t="str">
        <f>IF(X843="","",IFERROR(INDEX($AO$11:$AO$4010,MATCH(833,$AY$11:$AY$4010,0)),""))</f>
        <v/>
      </c>
      <c r="AA843" s="10" t="str">
        <f>IF(X843="","",IFERROR(INDEX($AQ$11:$AQ$4010,MATCH(833,$AY$11:$AY$4010,0)),""))</f>
        <v/>
      </c>
      <c r="AB843" s="15" t="str">
        <f>IF(X843="","",IFERROR(INDEX($AR$11:$AR$4010,MATCH(833,$AY$11:$AY$4010,0)),""))</f>
        <v/>
      </c>
      <c r="AD843" s="16" t="str">
        <f>IF(AE843="","",IFERROR(INDEX($AL$11:$AL$4010,MATCH(833,$AZ$11:$AZ$4010,0)),""))</f>
        <v/>
      </c>
      <c r="AE843" s="12" t="str">
        <f>IFERROR(INDEX($AM$11:$AM$4010,MATCH(833,$AZ$11:$AZ$4010,0)),"")</f>
        <v/>
      </c>
      <c r="AF843" s="11" t="str">
        <f>IF(AE843="","",IFERROR(INDEX($AN$11:$AN$4010,MATCH(833,$AZ$11:$AZ$4010,0)),""))</f>
        <v/>
      </c>
      <c r="AG843" s="11" t="str">
        <f>IF(AE843="","",IFERROR(INDEX($AO$11:$AO$4010,MATCH(833,$AZ$11:$AZ$4010,0)),""))</f>
        <v/>
      </c>
      <c r="AH843" s="10" t="str">
        <f>IF(AE843="","",IFERROR(INDEX($AQ$11:$AQ$4010,MATCH(833,$AZ$11:$AZ$4010,0)),""))</f>
        <v/>
      </c>
      <c r="AI843" s="15" t="str">
        <f>IF(AE843="","",IFERROR(INDEX($AR$11:$AR$4010,MATCH(833,$AZ$11:$AZ$4010,0)),""))</f>
        <v/>
      </c>
      <c r="AJ843" s="15" t="str">
        <f>IF(AE843="","",IFERROR(INDEX($AT$11:$AT$4010,MATCH(833,$AZ$11:$AZ$4010,0)),""))</f>
        <v/>
      </c>
      <c r="AL843" s="17"/>
      <c r="AM843" s="12"/>
      <c r="AN843" s="18"/>
      <c r="AO843" s="18"/>
      <c r="AP843" s="10"/>
      <c r="AQ843" s="10"/>
      <c r="AR843" s="19"/>
      <c r="AS843" s="20"/>
      <c r="AT843" s="19"/>
      <c r="AV843" s="21">
        <f>IF(AND($AL843&lt;&gt;"",COUNTIF($AL$11:$AL843,$AL843)=1),1,0)</f>
        <v>0</v>
      </c>
      <c r="AW843" s="21">
        <f t="shared" si="111"/>
        <v>0</v>
      </c>
      <c r="AX843" s="21" t="str">
        <f t="shared" ref="AX843:AX906" si="112">IF(AV843=1,AW843,"")</f>
        <v/>
      </c>
      <c r="AY843" s="21" t="str">
        <f>IF(AND($AM843&lt;&gt;"",$AS843&lt;&gt;"✓"),SUMPRODUCT(($AM$11:$AM843&lt;&gt;"")*($AS$11:$AS843&lt;&gt;"✓")),"")</f>
        <v/>
      </c>
      <c r="AZ843" s="21" t="str">
        <f>IF(AND($AM843&lt;&gt;"",$AS843="✓"),SUMPRODUCT(($AM$11:$AM843&lt;&gt;"")*($AS$11:$AS843="✓")),"")</f>
        <v/>
      </c>
      <c r="BA843" s="21" t="str">
        <f>IF($AL843="","",$AL843&amp;"|"&amp;COUNTIF($AL$11:$AL843,$AL843))</f>
        <v/>
      </c>
    </row>
    <row r="844" spans="23:53" ht="15" customHeight="1" x14ac:dyDescent="0.25">
      <c r="W844" s="28" t="str">
        <f>IF(X844="","",IFERROR(INDEX($AL$11:$AL$4010,MATCH(834,$AY$11:$AY$4010,0)),""))</f>
        <v/>
      </c>
      <c r="X844" s="26" t="str">
        <f>IFERROR(INDEX($AM$11:$AM$4010,MATCH(834,$AY$11:$AY$4010,0)),"")</f>
        <v/>
      </c>
      <c r="Y844" s="25" t="str">
        <f>IF(X844="","",IFERROR(INDEX($AN$11:$AN$4010,MATCH(834,$AY$11:$AY$4010,0)),""))</f>
        <v/>
      </c>
      <c r="Z844" s="25" t="str">
        <f>IF(X844="","",IFERROR(INDEX($AO$11:$AO$4010,MATCH(834,$AY$11:$AY$4010,0)),""))</f>
        <v/>
      </c>
      <c r="AA844" s="24" t="str">
        <f>IF(X844="","",IFERROR(INDEX($AQ$11:$AQ$4010,MATCH(834,$AY$11:$AY$4010,0)),""))</f>
        <v/>
      </c>
      <c r="AB844" s="29" t="str">
        <f>IF(X844="","",IFERROR(INDEX($AR$11:$AR$4010,MATCH(834,$AY$11:$AY$4010,0)),""))</f>
        <v/>
      </c>
      <c r="AD844" s="30" t="str">
        <f>IF(AE844="","",IFERROR(INDEX($AL$11:$AL$4010,MATCH(834,$AZ$11:$AZ$4010,0)),""))</f>
        <v/>
      </c>
      <c r="AE844" s="26" t="str">
        <f>IFERROR(INDEX($AM$11:$AM$4010,MATCH(834,$AZ$11:$AZ$4010,0)),"")</f>
        <v/>
      </c>
      <c r="AF844" s="25" t="str">
        <f>IF(AE844="","",IFERROR(INDEX($AN$11:$AN$4010,MATCH(834,$AZ$11:$AZ$4010,0)),""))</f>
        <v/>
      </c>
      <c r="AG844" s="25" t="str">
        <f>IF(AE844="","",IFERROR(INDEX($AO$11:$AO$4010,MATCH(834,$AZ$11:$AZ$4010,0)),""))</f>
        <v/>
      </c>
      <c r="AH844" s="24" t="str">
        <f>IF(AE844="","",IFERROR(INDEX($AQ$11:$AQ$4010,MATCH(834,$AZ$11:$AZ$4010,0)),""))</f>
        <v/>
      </c>
      <c r="AI844" s="29" t="str">
        <f>IF(AE844="","",IFERROR(INDEX($AR$11:$AR$4010,MATCH(834,$AZ$11:$AZ$4010,0)),""))</f>
        <v/>
      </c>
      <c r="AJ844" s="29" t="str">
        <f>IF(AE844="","",IFERROR(INDEX($AT$11:$AT$4010,MATCH(834,$AZ$11:$AZ$4010,0)),""))</f>
        <v/>
      </c>
      <c r="AL844" s="31"/>
      <c r="AM844" s="26"/>
      <c r="AN844" s="32"/>
      <c r="AO844" s="32"/>
      <c r="AP844" s="24"/>
      <c r="AQ844" s="24"/>
      <c r="AR844" s="33"/>
      <c r="AS844" s="34"/>
      <c r="AT844" s="33"/>
      <c r="AV844" s="21">
        <f>IF(AND($AL844&lt;&gt;"",COUNTIF($AL$11:$AL844,$AL844)=1),1,0)</f>
        <v>0</v>
      </c>
      <c r="AW844" s="21">
        <f t="shared" ref="AW844:AW907" si="113">AW843+AV844</f>
        <v>0</v>
      </c>
      <c r="AX844" s="21" t="str">
        <f t="shared" si="112"/>
        <v/>
      </c>
      <c r="AY844" s="21" t="str">
        <f>IF(AND($AM844&lt;&gt;"",$AS844&lt;&gt;"✓"),SUMPRODUCT(($AM$11:$AM844&lt;&gt;"")*($AS$11:$AS844&lt;&gt;"✓")),"")</f>
        <v/>
      </c>
      <c r="AZ844" s="21" t="str">
        <f>IF(AND($AM844&lt;&gt;"",$AS844="✓"),SUMPRODUCT(($AM$11:$AM844&lt;&gt;"")*($AS$11:$AS844="✓")),"")</f>
        <v/>
      </c>
      <c r="BA844" s="21" t="str">
        <f>IF($AL844="","",$AL844&amp;"|"&amp;COUNTIF($AL$11:$AL844,$AL844))</f>
        <v/>
      </c>
    </row>
    <row r="845" spans="23:53" ht="15" customHeight="1" x14ac:dyDescent="0.25">
      <c r="W845" s="14" t="str">
        <f>IF(X845="","",IFERROR(INDEX($AL$11:$AL$4010,MATCH(835,$AY$11:$AY$4010,0)),""))</f>
        <v/>
      </c>
      <c r="X845" s="12" t="str">
        <f>IFERROR(INDEX($AM$11:$AM$4010,MATCH(835,$AY$11:$AY$4010,0)),"")</f>
        <v/>
      </c>
      <c r="Y845" s="11" t="str">
        <f>IF(X845="","",IFERROR(INDEX($AN$11:$AN$4010,MATCH(835,$AY$11:$AY$4010,0)),""))</f>
        <v/>
      </c>
      <c r="Z845" s="11" t="str">
        <f>IF(X845="","",IFERROR(INDEX($AO$11:$AO$4010,MATCH(835,$AY$11:$AY$4010,0)),""))</f>
        <v/>
      </c>
      <c r="AA845" s="10" t="str">
        <f>IF(X845="","",IFERROR(INDEX($AQ$11:$AQ$4010,MATCH(835,$AY$11:$AY$4010,0)),""))</f>
        <v/>
      </c>
      <c r="AB845" s="15" t="str">
        <f>IF(X845="","",IFERROR(INDEX($AR$11:$AR$4010,MATCH(835,$AY$11:$AY$4010,0)),""))</f>
        <v/>
      </c>
      <c r="AD845" s="16" t="str">
        <f>IF(AE845="","",IFERROR(INDEX($AL$11:$AL$4010,MATCH(835,$AZ$11:$AZ$4010,0)),""))</f>
        <v/>
      </c>
      <c r="AE845" s="12" t="str">
        <f>IFERROR(INDEX($AM$11:$AM$4010,MATCH(835,$AZ$11:$AZ$4010,0)),"")</f>
        <v/>
      </c>
      <c r="AF845" s="11" t="str">
        <f>IF(AE845="","",IFERROR(INDEX($AN$11:$AN$4010,MATCH(835,$AZ$11:$AZ$4010,0)),""))</f>
        <v/>
      </c>
      <c r="AG845" s="11" t="str">
        <f>IF(AE845="","",IFERROR(INDEX($AO$11:$AO$4010,MATCH(835,$AZ$11:$AZ$4010,0)),""))</f>
        <v/>
      </c>
      <c r="AH845" s="10" t="str">
        <f>IF(AE845="","",IFERROR(INDEX($AQ$11:$AQ$4010,MATCH(835,$AZ$11:$AZ$4010,0)),""))</f>
        <v/>
      </c>
      <c r="AI845" s="15" t="str">
        <f>IF(AE845="","",IFERROR(INDEX($AR$11:$AR$4010,MATCH(835,$AZ$11:$AZ$4010,0)),""))</f>
        <v/>
      </c>
      <c r="AJ845" s="15" t="str">
        <f>IF(AE845="","",IFERROR(INDEX($AT$11:$AT$4010,MATCH(835,$AZ$11:$AZ$4010,0)),""))</f>
        <v/>
      </c>
      <c r="AL845" s="17"/>
      <c r="AM845" s="12"/>
      <c r="AN845" s="18"/>
      <c r="AO845" s="18"/>
      <c r="AP845" s="10"/>
      <c r="AQ845" s="10"/>
      <c r="AR845" s="19"/>
      <c r="AS845" s="20"/>
      <c r="AT845" s="19"/>
      <c r="AV845" s="21">
        <f>IF(AND($AL845&lt;&gt;"",COUNTIF($AL$11:$AL845,$AL845)=1),1,0)</f>
        <v>0</v>
      </c>
      <c r="AW845" s="21">
        <f t="shared" si="113"/>
        <v>0</v>
      </c>
      <c r="AX845" s="21" t="str">
        <f t="shared" si="112"/>
        <v/>
      </c>
      <c r="AY845" s="21" t="str">
        <f>IF(AND($AM845&lt;&gt;"",$AS845&lt;&gt;"✓"),SUMPRODUCT(($AM$11:$AM845&lt;&gt;"")*($AS$11:$AS845&lt;&gt;"✓")),"")</f>
        <v/>
      </c>
      <c r="AZ845" s="21" t="str">
        <f>IF(AND($AM845&lt;&gt;"",$AS845="✓"),SUMPRODUCT(($AM$11:$AM845&lt;&gt;"")*($AS$11:$AS845="✓")),"")</f>
        <v/>
      </c>
      <c r="BA845" s="21" t="str">
        <f>IF($AL845="","",$AL845&amp;"|"&amp;COUNTIF($AL$11:$AL845,$AL845))</f>
        <v/>
      </c>
    </row>
    <row r="846" spans="23:53" ht="15" customHeight="1" x14ac:dyDescent="0.25">
      <c r="W846" s="28" t="str">
        <f>IF(X846="","",IFERROR(INDEX($AL$11:$AL$4010,MATCH(836,$AY$11:$AY$4010,0)),""))</f>
        <v/>
      </c>
      <c r="X846" s="26" t="str">
        <f>IFERROR(INDEX($AM$11:$AM$4010,MATCH(836,$AY$11:$AY$4010,0)),"")</f>
        <v/>
      </c>
      <c r="Y846" s="25" t="str">
        <f>IF(X846="","",IFERROR(INDEX($AN$11:$AN$4010,MATCH(836,$AY$11:$AY$4010,0)),""))</f>
        <v/>
      </c>
      <c r="Z846" s="25" t="str">
        <f>IF(X846="","",IFERROR(INDEX($AO$11:$AO$4010,MATCH(836,$AY$11:$AY$4010,0)),""))</f>
        <v/>
      </c>
      <c r="AA846" s="24" t="str">
        <f>IF(X846="","",IFERROR(INDEX($AQ$11:$AQ$4010,MATCH(836,$AY$11:$AY$4010,0)),""))</f>
        <v/>
      </c>
      <c r="AB846" s="29" t="str">
        <f>IF(X846="","",IFERROR(INDEX($AR$11:$AR$4010,MATCH(836,$AY$11:$AY$4010,0)),""))</f>
        <v/>
      </c>
      <c r="AD846" s="30" t="str">
        <f>IF(AE846="","",IFERROR(INDEX($AL$11:$AL$4010,MATCH(836,$AZ$11:$AZ$4010,0)),""))</f>
        <v/>
      </c>
      <c r="AE846" s="26" t="str">
        <f>IFERROR(INDEX($AM$11:$AM$4010,MATCH(836,$AZ$11:$AZ$4010,0)),"")</f>
        <v/>
      </c>
      <c r="AF846" s="25" t="str">
        <f>IF(AE846="","",IFERROR(INDEX($AN$11:$AN$4010,MATCH(836,$AZ$11:$AZ$4010,0)),""))</f>
        <v/>
      </c>
      <c r="AG846" s="25" t="str">
        <f>IF(AE846="","",IFERROR(INDEX($AO$11:$AO$4010,MATCH(836,$AZ$11:$AZ$4010,0)),""))</f>
        <v/>
      </c>
      <c r="AH846" s="24" t="str">
        <f>IF(AE846="","",IFERROR(INDEX($AQ$11:$AQ$4010,MATCH(836,$AZ$11:$AZ$4010,0)),""))</f>
        <v/>
      </c>
      <c r="AI846" s="29" t="str">
        <f>IF(AE846="","",IFERROR(INDEX($AR$11:$AR$4010,MATCH(836,$AZ$11:$AZ$4010,0)),""))</f>
        <v/>
      </c>
      <c r="AJ846" s="29" t="str">
        <f>IF(AE846="","",IFERROR(INDEX($AT$11:$AT$4010,MATCH(836,$AZ$11:$AZ$4010,0)),""))</f>
        <v/>
      </c>
      <c r="AL846" s="31"/>
      <c r="AM846" s="26"/>
      <c r="AN846" s="32"/>
      <c r="AO846" s="32"/>
      <c r="AP846" s="24"/>
      <c r="AQ846" s="24"/>
      <c r="AR846" s="33"/>
      <c r="AS846" s="34"/>
      <c r="AT846" s="33"/>
      <c r="AV846" s="21">
        <f>IF(AND($AL846&lt;&gt;"",COUNTIF($AL$11:$AL846,$AL846)=1),1,0)</f>
        <v>0</v>
      </c>
      <c r="AW846" s="21">
        <f t="shared" si="113"/>
        <v>0</v>
      </c>
      <c r="AX846" s="21" t="str">
        <f t="shared" si="112"/>
        <v/>
      </c>
      <c r="AY846" s="21" t="str">
        <f>IF(AND($AM846&lt;&gt;"",$AS846&lt;&gt;"✓"),SUMPRODUCT(($AM$11:$AM846&lt;&gt;"")*($AS$11:$AS846&lt;&gt;"✓")),"")</f>
        <v/>
      </c>
      <c r="AZ846" s="21" t="str">
        <f>IF(AND($AM846&lt;&gt;"",$AS846="✓"),SUMPRODUCT(($AM$11:$AM846&lt;&gt;"")*($AS$11:$AS846="✓")),"")</f>
        <v/>
      </c>
      <c r="BA846" s="21" t="str">
        <f>IF($AL846="","",$AL846&amp;"|"&amp;COUNTIF($AL$11:$AL846,$AL846))</f>
        <v/>
      </c>
    </row>
    <row r="847" spans="23:53" ht="15" customHeight="1" x14ac:dyDescent="0.25">
      <c r="W847" s="14" t="str">
        <f>IF(X847="","",IFERROR(INDEX($AL$11:$AL$4010,MATCH(837,$AY$11:$AY$4010,0)),""))</f>
        <v/>
      </c>
      <c r="X847" s="12" t="str">
        <f>IFERROR(INDEX($AM$11:$AM$4010,MATCH(837,$AY$11:$AY$4010,0)),"")</f>
        <v/>
      </c>
      <c r="Y847" s="11" t="str">
        <f>IF(X847="","",IFERROR(INDEX($AN$11:$AN$4010,MATCH(837,$AY$11:$AY$4010,0)),""))</f>
        <v/>
      </c>
      <c r="Z847" s="11" t="str">
        <f>IF(X847="","",IFERROR(INDEX($AO$11:$AO$4010,MATCH(837,$AY$11:$AY$4010,0)),""))</f>
        <v/>
      </c>
      <c r="AA847" s="10" t="str">
        <f>IF(X847="","",IFERROR(INDEX($AQ$11:$AQ$4010,MATCH(837,$AY$11:$AY$4010,0)),""))</f>
        <v/>
      </c>
      <c r="AB847" s="15" t="str">
        <f>IF(X847="","",IFERROR(INDEX($AR$11:$AR$4010,MATCH(837,$AY$11:$AY$4010,0)),""))</f>
        <v/>
      </c>
      <c r="AD847" s="16" t="str">
        <f>IF(AE847="","",IFERROR(INDEX($AL$11:$AL$4010,MATCH(837,$AZ$11:$AZ$4010,0)),""))</f>
        <v/>
      </c>
      <c r="AE847" s="12" t="str">
        <f>IFERROR(INDEX($AM$11:$AM$4010,MATCH(837,$AZ$11:$AZ$4010,0)),"")</f>
        <v/>
      </c>
      <c r="AF847" s="11" t="str">
        <f>IF(AE847="","",IFERROR(INDEX($AN$11:$AN$4010,MATCH(837,$AZ$11:$AZ$4010,0)),""))</f>
        <v/>
      </c>
      <c r="AG847" s="11" t="str">
        <f>IF(AE847="","",IFERROR(INDEX($AO$11:$AO$4010,MATCH(837,$AZ$11:$AZ$4010,0)),""))</f>
        <v/>
      </c>
      <c r="AH847" s="10" t="str">
        <f>IF(AE847="","",IFERROR(INDEX($AQ$11:$AQ$4010,MATCH(837,$AZ$11:$AZ$4010,0)),""))</f>
        <v/>
      </c>
      <c r="AI847" s="15" t="str">
        <f>IF(AE847="","",IFERROR(INDEX($AR$11:$AR$4010,MATCH(837,$AZ$11:$AZ$4010,0)),""))</f>
        <v/>
      </c>
      <c r="AJ847" s="15" t="str">
        <f>IF(AE847="","",IFERROR(INDEX($AT$11:$AT$4010,MATCH(837,$AZ$11:$AZ$4010,0)),""))</f>
        <v/>
      </c>
      <c r="AL847" s="17"/>
      <c r="AM847" s="12"/>
      <c r="AN847" s="18"/>
      <c r="AO847" s="18"/>
      <c r="AP847" s="10"/>
      <c r="AQ847" s="10"/>
      <c r="AR847" s="19"/>
      <c r="AS847" s="20"/>
      <c r="AT847" s="19"/>
      <c r="AV847" s="21">
        <f>IF(AND($AL847&lt;&gt;"",COUNTIF($AL$11:$AL847,$AL847)=1),1,0)</f>
        <v>0</v>
      </c>
      <c r="AW847" s="21">
        <f t="shared" si="113"/>
        <v>0</v>
      </c>
      <c r="AX847" s="21" t="str">
        <f t="shared" si="112"/>
        <v/>
      </c>
      <c r="AY847" s="21" t="str">
        <f>IF(AND($AM847&lt;&gt;"",$AS847&lt;&gt;"✓"),SUMPRODUCT(($AM$11:$AM847&lt;&gt;"")*($AS$11:$AS847&lt;&gt;"✓")),"")</f>
        <v/>
      </c>
      <c r="AZ847" s="21" t="str">
        <f>IF(AND($AM847&lt;&gt;"",$AS847="✓"),SUMPRODUCT(($AM$11:$AM847&lt;&gt;"")*($AS$11:$AS847="✓")),"")</f>
        <v/>
      </c>
      <c r="BA847" s="21" t="str">
        <f>IF($AL847="","",$AL847&amp;"|"&amp;COUNTIF($AL$11:$AL847,$AL847))</f>
        <v/>
      </c>
    </row>
    <row r="848" spans="23:53" ht="15" customHeight="1" x14ac:dyDescent="0.25">
      <c r="W848" s="28" t="str">
        <f>IF(X848="","",IFERROR(INDEX($AL$11:$AL$4010,MATCH(838,$AY$11:$AY$4010,0)),""))</f>
        <v/>
      </c>
      <c r="X848" s="26" t="str">
        <f>IFERROR(INDEX($AM$11:$AM$4010,MATCH(838,$AY$11:$AY$4010,0)),"")</f>
        <v/>
      </c>
      <c r="Y848" s="25" t="str">
        <f>IF(X848="","",IFERROR(INDEX($AN$11:$AN$4010,MATCH(838,$AY$11:$AY$4010,0)),""))</f>
        <v/>
      </c>
      <c r="Z848" s="25" t="str">
        <f>IF(X848="","",IFERROR(INDEX($AO$11:$AO$4010,MATCH(838,$AY$11:$AY$4010,0)),""))</f>
        <v/>
      </c>
      <c r="AA848" s="24" t="str">
        <f>IF(X848="","",IFERROR(INDEX($AQ$11:$AQ$4010,MATCH(838,$AY$11:$AY$4010,0)),""))</f>
        <v/>
      </c>
      <c r="AB848" s="29" t="str">
        <f>IF(X848="","",IFERROR(INDEX($AR$11:$AR$4010,MATCH(838,$AY$11:$AY$4010,0)),""))</f>
        <v/>
      </c>
      <c r="AD848" s="30" t="str">
        <f>IF(AE848="","",IFERROR(INDEX($AL$11:$AL$4010,MATCH(838,$AZ$11:$AZ$4010,0)),""))</f>
        <v/>
      </c>
      <c r="AE848" s="26" t="str">
        <f>IFERROR(INDEX($AM$11:$AM$4010,MATCH(838,$AZ$11:$AZ$4010,0)),"")</f>
        <v/>
      </c>
      <c r="AF848" s="25" t="str">
        <f>IF(AE848="","",IFERROR(INDEX($AN$11:$AN$4010,MATCH(838,$AZ$11:$AZ$4010,0)),""))</f>
        <v/>
      </c>
      <c r="AG848" s="25" t="str">
        <f>IF(AE848="","",IFERROR(INDEX($AO$11:$AO$4010,MATCH(838,$AZ$11:$AZ$4010,0)),""))</f>
        <v/>
      </c>
      <c r="AH848" s="24" t="str">
        <f>IF(AE848="","",IFERROR(INDEX($AQ$11:$AQ$4010,MATCH(838,$AZ$11:$AZ$4010,0)),""))</f>
        <v/>
      </c>
      <c r="AI848" s="29" t="str">
        <f>IF(AE848="","",IFERROR(INDEX($AR$11:$AR$4010,MATCH(838,$AZ$11:$AZ$4010,0)),""))</f>
        <v/>
      </c>
      <c r="AJ848" s="29" t="str">
        <f>IF(AE848="","",IFERROR(INDEX($AT$11:$AT$4010,MATCH(838,$AZ$11:$AZ$4010,0)),""))</f>
        <v/>
      </c>
      <c r="AL848" s="31"/>
      <c r="AM848" s="26"/>
      <c r="AN848" s="32"/>
      <c r="AO848" s="32"/>
      <c r="AP848" s="24"/>
      <c r="AQ848" s="24"/>
      <c r="AR848" s="33"/>
      <c r="AS848" s="34"/>
      <c r="AT848" s="33"/>
      <c r="AV848" s="21">
        <f>IF(AND($AL848&lt;&gt;"",COUNTIF($AL$11:$AL848,$AL848)=1),1,0)</f>
        <v>0</v>
      </c>
      <c r="AW848" s="21">
        <f t="shared" si="113"/>
        <v>0</v>
      </c>
      <c r="AX848" s="21" t="str">
        <f t="shared" si="112"/>
        <v/>
      </c>
      <c r="AY848" s="21" t="str">
        <f>IF(AND($AM848&lt;&gt;"",$AS848&lt;&gt;"✓"),SUMPRODUCT(($AM$11:$AM848&lt;&gt;"")*($AS$11:$AS848&lt;&gt;"✓")),"")</f>
        <v/>
      </c>
      <c r="AZ848" s="21" t="str">
        <f>IF(AND($AM848&lt;&gt;"",$AS848="✓"),SUMPRODUCT(($AM$11:$AM848&lt;&gt;"")*($AS$11:$AS848="✓")),"")</f>
        <v/>
      </c>
      <c r="BA848" s="21" t="str">
        <f>IF($AL848="","",$AL848&amp;"|"&amp;COUNTIF($AL$11:$AL848,$AL848))</f>
        <v/>
      </c>
    </row>
    <row r="849" spans="23:53" ht="15" customHeight="1" x14ac:dyDescent="0.25">
      <c r="W849" s="14" t="str">
        <f>IF(X849="","",IFERROR(INDEX($AL$11:$AL$4010,MATCH(839,$AY$11:$AY$4010,0)),""))</f>
        <v/>
      </c>
      <c r="X849" s="12" t="str">
        <f>IFERROR(INDEX($AM$11:$AM$4010,MATCH(839,$AY$11:$AY$4010,0)),"")</f>
        <v/>
      </c>
      <c r="Y849" s="11" t="str">
        <f>IF(X849="","",IFERROR(INDEX($AN$11:$AN$4010,MATCH(839,$AY$11:$AY$4010,0)),""))</f>
        <v/>
      </c>
      <c r="Z849" s="11" t="str">
        <f>IF(X849="","",IFERROR(INDEX($AO$11:$AO$4010,MATCH(839,$AY$11:$AY$4010,0)),""))</f>
        <v/>
      </c>
      <c r="AA849" s="10" t="str">
        <f>IF(X849="","",IFERROR(INDEX($AQ$11:$AQ$4010,MATCH(839,$AY$11:$AY$4010,0)),""))</f>
        <v/>
      </c>
      <c r="AB849" s="15" t="str">
        <f>IF(X849="","",IFERROR(INDEX($AR$11:$AR$4010,MATCH(839,$AY$11:$AY$4010,0)),""))</f>
        <v/>
      </c>
      <c r="AD849" s="16" t="str">
        <f>IF(AE849="","",IFERROR(INDEX($AL$11:$AL$4010,MATCH(839,$AZ$11:$AZ$4010,0)),""))</f>
        <v/>
      </c>
      <c r="AE849" s="12" t="str">
        <f>IFERROR(INDEX($AM$11:$AM$4010,MATCH(839,$AZ$11:$AZ$4010,0)),"")</f>
        <v/>
      </c>
      <c r="AF849" s="11" t="str">
        <f>IF(AE849="","",IFERROR(INDEX($AN$11:$AN$4010,MATCH(839,$AZ$11:$AZ$4010,0)),""))</f>
        <v/>
      </c>
      <c r="AG849" s="11" t="str">
        <f>IF(AE849="","",IFERROR(INDEX($AO$11:$AO$4010,MATCH(839,$AZ$11:$AZ$4010,0)),""))</f>
        <v/>
      </c>
      <c r="AH849" s="10" t="str">
        <f>IF(AE849="","",IFERROR(INDEX($AQ$11:$AQ$4010,MATCH(839,$AZ$11:$AZ$4010,0)),""))</f>
        <v/>
      </c>
      <c r="AI849" s="15" t="str">
        <f>IF(AE849="","",IFERROR(INDEX($AR$11:$AR$4010,MATCH(839,$AZ$11:$AZ$4010,0)),""))</f>
        <v/>
      </c>
      <c r="AJ849" s="15" t="str">
        <f>IF(AE849="","",IFERROR(INDEX($AT$11:$AT$4010,MATCH(839,$AZ$11:$AZ$4010,0)),""))</f>
        <v/>
      </c>
      <c r="AL849" s="17"/>
      <c r="AM849" s="12"/>
      <c r="AN849" s="18"/>
      <c r="AO849" s="18"/>
      <c r="AP849" s="10"/>
      <c r="AQ849" s="10"/>
      <c r="AR849" s="19"/>
      <c r="AS849" s="20"/>
      <c r="AT849" s="19"/>
      <c r="AV849" s="21">
        <f>IF(AND($AL849&lt;&gt;"",COUNTIF($AL$11:$AL849,$AL849)=1),1,0)</f>
        <v>0</v>
      </c>
      <c r="AW849" s="21">
        <f t="shared" si="113"/>
        <v>0</v>
      </c>
      <c r="AX849" s="21" t="str">
        <f t="shared" si="112"/>
        <v/>
      </c>
      <c r="AY849" s="21" t="str">
        <f>IF(AND($AM849&lt;&gt;"",$AS849&lt;&gt;"✓"),SUMPRODUCT(($AM$11:$AM849&lt;&gt;"")*($AS$11:$AS849&lt;&gt;"✓")),"")</f>
        <v/>
      </c>
      <c r="AZ849" s="21" t="str">
        <f>IF(AND($AM849&lt;&gt;"",$AS849="✓"),SUMPRODUCT(($AM$11:$AM849&lt;&gt;"")*($AS$11:$AS849="✓")),"")</f>
        <v/>
      </c>
      <c r="BA849" s="21" t="str">
        <f>IF($AL849="","",$AL849&amp;"|"&amp;COUNTIF($AL$11:$AL849,$AL849))</f>
        <v/>
      </c>
    </row>
    <row r="850" spans="23:53" ht="15" customHeight="1" x14ac:dyDescent="0.25">
      <c r="W850" s="28" t="str">
        <f>IF(X850="","",IFERROR(INDEX($AL$11:$AL$4010,MATCH(840,$AY$11:$AY$4010,0)),""))</f>
        <v/>
      </c>
      <c r="X850" s="26" t="str">
        <f>IFERROR(INDEX($AM$11:$AM$4010,MATCH(840,$AY$11:$AY$4010,0)),"")</f>
        <v/>
      </c>
      <c r="Y850" s="25" t="str">
        <f>IF(X850="","",IFERROR(INDEX($AN$11:$AN$4010,MATCH(840,$AY$11:$AY$4010,0)),""))</f>
        <v/>
      </c>
      <c r="Z850" s="25" t="str">
        <f>IF(X850="","",IFERROR(INDEX($AO$11:$AO$4010,MATCH(840,$AY$11:$AY$4010,0)),""))</f>
        <v/>
      </c>
      <c r="AA850" s="24" t="str">
        <f>IF(X850="","",IFERROR(INDEX($AQ$11:$AQ$4010,MATCH(840,$AY$11:$AY$4010,0)),""))</f>
        <v/>
      </c>
      <c r="AB850" s="29" t="str">
        <f>IF(X850="","",IFERROR(INDEX($AR$11:$AR$4010,MATCH(840,$AY$11:$AY$4010,0)),""))</f>
        <v/>
      </c>
      <c r="AD850" s="30" t="str">
        <f>IF(AE850="","",IFERROR(INDEX($AL$11:$AL$4010,MATCH(840,$AZ$11:$AZ$4010,0)),""))</f>
        <v/>
      </c>
      <c r="AE850" s="26" t="str">
        <f>IFERROR(INDEX($AM$11:$AM$4010,MATCH(840,$AZ$11:$AZ$4010,0)),"")</f>
        <v/>
      </c>
      <c r="AF850" s="25" t="str">
        <f>IF(AE850="","",IFERROR(INDEX($AN$11:$AN$4010,MATCH(840,$AZ$11:$AZ$4010,0)),""))</f>
        <v/>
      </c>
      <c r="AG850" s="25" t="str">
        <f>IF(AE850="","",IFERROR(INDEX($AO$11:$AO$4010,MATCH(840,$AZ$11:$AZ$4010,0)),""))</f>
        <v/>
      </c>
      <c r="AH850" s="24" t="str">
        <f>IF(AE850="","",IFERROR(INDEX($AQ$11:$AQ$4010,MATCH(840,$AZ$11:$AZ$4010,0)),""))</f>
        <v/>
      </c>
      <c r="AI850" s="29" t="str">
        <f>IF(AE850="","",IFERROR(INDEX($AR$11:$AR$4010,MATCH(840,$AZ$11:$AZ$4010,0)),""))</f>
        <v/>
      </c>
      <c r="AJ850" s="29" t="str">
        <f>IF(AE850="","",IFERROR(INDEX($AT$11:$AT$4010,MATCH(840,$AZ$11:$AZ$4010,0)),""))</f>
        <v/>
      </c>
      <c r="AL850" s="31"/>
      <c r="AM850" s="26"/>
      <c r="AN850" s="32"/>
      <c r="AO850" s="32"/>
      <c r="AP850" s="24"/>
      <c r="AQ850" s="24"/>
      <c r="AR850" s="33"/>
      <c r="AS850" s="34"/>
      <c r="AT850" s="33"/>
      <c r="AV850" s="21">
        <f>IF(AND($AL850&lt;&gt;"",COUNTIF($AL$11:$AL850,$AL850)=1),1,0)</f>
        <v>0</v>
      </c>
      <c r="AW850" s="21">
        <f t="shared" si="113"/>
        <v>0</v>
      </c>
      <c r="AX850" s="21" t="str">
        <f t="shared" si="112"/>
        <v/>
      </c>
      <c r="AY850" s="21" t="str">
        <f>IF(AND($AM850&lt;&gt;"",$AS850&lt;&gt;"✓"),SUMPRODUCT(($AM$11:$AM850&lt;&gt;"")*($AS$11:$AS850&lt;&gt;"✓")),"")</f>
        <v/>
      </c>
      <c r="AZ850" s="21" t="str">
        <f>IF(AND($AM850&lt;&gt;"",$AS850="✓"),SUMPRODUCT(($AM$11:$AM850&lt;&gt;"")*($AS$11:$AS850="✓")),"")</f>
        <v/>
      </c>
      <c r="BA850" s="21" t="str">
        <f>IF($AL850="","",$AL850&amp;"|"&amp;COUNTIF($AL$11:$AL850,$AL850))</f>
        <v/>
      </c>
    </row>
    <row r="851" spans="23:53" ht="15" customHeight="1" x14ac:dyDescent="0.25">
      <c r="W851" s="14" t="str">
        <f>IF(X851="","",IFERROR(INDEX($AL$11:$AL$4010,MATCH(841,$AY$11:$AY$4010,0)),""))</f>
        <v/>
      </c>
      <c r="X851" s="12" t="str">
        <f>IFERROR(INDEX($AM$11:$AM$4010,MATCH(841,$AY$11:$AY$4010,0)),"")</f>
        <v/>
      </c>
      <c r="Y851" s="11" t="str">
        <f>IF(X851="","",IFERROR(INDEX($AN$11:$AN$4010,MATCH(841,$AY$11:$AY$4010,0)),""))</f>
        <v/>
      </c>
      <c r="Z851" s="11" t="str">
        <f>IF(X851="","",IFERROR(INDEX($AO$11:$AO$4010,MATCH(841,$AY$11:$AY$4010,0)),""))</f>
        <v/>
      </c>
      <c r="AA851" s="10" t="str">
        <f>IF(X851="","",IFERROR(INDEX($AQ$11:$AQ$4010,MATCH(841,$AY$11:$AY$4010,0)),""))</f>
        <v/>
      </c>
      <c r="AB851" s="15" t="str">
        <f>IF(X851="","",IFERROR(INDEX($AR$11:$AR$4010,MATCH(841,$AY$11:$AY$4010,0)),""))</f>
        <v/>
      </c>
      <c r="AD851" s="16" t="str">
        <f>IF(AE851="","",IFERROR(INDEX($AL$11:$AL$4010,MATCH(841,$AZ$11:$AZ$4010,0)),""))</f>
        <v/>
      </c>
      <c r="AE851" s="12" t="str">
        <f>IFERROR(INDEX($AM$11:$AM$4010,MATCH(841,$AZ$11:$AZ$4010,0)),"")</f>
        <v/>
      </c>
      <c r="AF851" s="11" t="str">
        <f>IF(AE851="","",IFERROR(INDEX($AN$11:$AN$4010,MATCH(841,$AZ$11:$AZ$4010,0)),""))</f>
        <v/>
      </c>
      <c r="AG851" s="11" t="str">
        <f>IF(AE851="","",IFERROR(INDEX($AO$11:$AO$4010,MATCH(841,$AZ$11:$AZ$4010,0)),""))</f>
        <v/>
      </c>
      <c r="AH851" s="10" t="str">
        <f>IF(AE851="","",IFERROR(INDEX($AQ$11:$AQ$4010,MATCH(841,$AZ$11:$AZ$4010,0)),""))</f>
        <v/>
      </c>
      <c r="AI851" s="15" t="str">
        <f>IF(AE851="","",IFERROR(INDEX($AR$11:$AR$4010,MATCH(841,$AZ$11:$AZ$4010,0)),""))</f>
        <v/>
      </c>
      <c r="AJ851" s="15" t="str">
        <f>IF(AE851="","",IFERROR(INDEX($AT$11:$AT$4010,MATCH(841,$AZ$11:$AZ$4010,0)),""))</f>
        <v/>
      </c>
      <c r="AL851" s="17"/>
      <c r="AM851" s="12"/>
      <c r="AN851" s="18"/>
      <c r="AO851" s="18"/>
      <c r="AP851" s="10"/>
      <c r="AQ851" s="10"/>
      <c r="AR851" s="19"/>
      <c r="AS851" s="20"/>
      <c r="AT851" s="19"/>
      <c r="AV851" s="21">
        <f>IF(AND($AL851&lt;&gt;"",COUNTIF($AL$11:$AL851,$AL851)=1),1,0)</f>
        <v>0</v>
      </c>
      <c r="AW851" s="21">
        <f t="shared" si="113"/>
        <v>0</v>
      </c>
      <c r="AX851" s="21" t="str">
        <f t="shared" si="112"/>
        <v/>
      </c>
      <c r="AY851" s="21" t="str">
        <f>IF(AND($AM851&lt;&gt;"",$AS851&lt;&gt;"✓"),SUMPRODUCT(($AM$11:$AM851&lt;&gt;"")*($AS$11:$AS851&lt;&gt;"✓")),"")</f>
        <v/>
      </c>
      <c r="AZ851" s="21" t="str">
        <f>IF(AND($AM851&lt;&gt;"",$AS851="✓"),SUMPRODUCT(($AM$11:$AM851&lt;&gt;"")*($AS$11:$AS851="✓")),"")</f>
        <v/>
      </c>
      <c r="BA851" s="21" t="str">
        <f>IF($AL851="","",$AL851&amp;"|"&amp;COUNTIF($AL$11:$AL851,$AL851))</f>
        <v/>
      </c>
    </row>
    <row r="852" spans="23:53" ht="15" customHeight="1" x14ac:dyDescent="0.25">
      <c r="W852" s="28" t="str">
        <f>IF(X852="","",IFERROR(INDEX($AL$11:$AL$4010,MATCH(842,$AY$11:$AY$4010,0)),""))</f>
        <v/>
      </c>
      <c r="X852" s="26" t="str">
        <f>IFERROR(INDEX($AM$11:$AM$4010,MATCH(842,$AY$11:$AY$4010,0)),"")</f>
        <v/>
      </c>
      <c r="Y852" s="25" t="str">
        <f>IF(X852="","",IFERROR(INDEX($AN$11:$AN$4010,MATCH(842,$AY$11:$AY$4010,0)),""))</f>
        <v/>
      </c>
      <c r="Z852" s="25" t="str">
        <f>IF(X852="","",IFERROR(INDEX($AO$11:$AO$4010,MATCH(842,$AY$11:$AY$4010,0)),""))</f>
        <v/>
      </c>
      <c r="AA852" s="24" t="str">
        <f>IF(X852="","",IFERROR(INDEX($AQ$11:$AQ$4010,MATCH(842,$AY$11:$AY$4010,0)),""))</f>
        <v/>
      </c>
      <c r="AB852" s="29" t="str">
        <f>IF(X852="","",IFERROR(INDEX($AR$11:$AR$4010,MATCH(842,$AY$11:$AY$4010,0)),""))</f>
        <v/>
      </c>
      <c r="AD852" s="30" t="str">
        <f>IF(AE852="","",IFERROR(INDEX($AL$11:$AL$4010,MATCH(842,$AZ$11:$AZ$4010,0)),""))</f>
        <v/>
      </c>
      <c r="AE852" s="26" t="str">
        <f>IFERROR(INDEX($AM$11:$AM$4010,MATCH(842,$AZ$11:$AZ$4010,0)),"")</f>
        <v/>
      </c>
      <c r="AF852" s="25" t="str">
        <f>IF(AE852="","",IFERROR(INDEX($AN$11:$AN$4010,MATCH(842,$AZ$11:$AZ$4010,0)),""))</f>
        <v/>
      </c>
      <c r="AG852" s="25" t="str">
        <f>IF(AE852="","",IFERROR(INDEX($AO$11:$AO$4010,MATCH(842,$AZ$11:$AZ$4010,0)),""))</f>
        <v/>
      </c>
      <c r="AH852" s="24" t="str">
        <f>IF(AE852="","",IFERROR(INDEX($AQ$11:$AQ$4010,MATCH(842,$AZ$11:$AZ$4010,0)),""))</f>
        <v/>
      </c>
      <c r="AI852" s="29" t="str">
        <f>IF(AE852="","",IFERROR(INDEX($AR$11:$AR$4010,MATCH(842,$AZ$11:$AZ$4010,0)),""))</f>
        <v/>
      </c>
      <c r="AJ852" s="29" t="str">
        <f>IF(AE852="","",IFERROR(INDEX($AT$11:$AT$4010,MATCH(842,$AZ$11:$AZ$4010,0)),""))</f>
        <v/>
      </c>
      <c r="AL852" s="31"/>
      <c r="AM852" s="26"/>
      <c r="AN852" s="32"/>
      <c r="AO852" s="32"/>
      <c r="AP852" s="24"/>
      <c r="AQ852" s="24"/>
      <c r="AR852" s="33"/>
      <c r="AS852" s="34"/>
      <c r="AT852" s="33"/>
      <c r="AV852" s="21">
        <f>IF(AND($AL852&lt;&gt;"",COUNTIF($AL$11:$AL852,$AL852)=1),1,0)</f>
        <v>0</v>
      </c>
      <c r="AW852" s="21">
        <f t="shared" si="113"/>
        <v>0</v>
      </c>
      <c r="AX852" s="21" t="str">
        <f t="shared" si="112"/>
        <v/>
      </c>
      <c r="AY852" s="21" t="str">
        <f>IF(AND($AM852&lt;&gt;"",$AS852&lt;&gt;"✓"),SUMPRODUCT(($AM$11:$AM852&lt;&gt;"")*($AS$11:$AS852&lt;&gt;"✓")),"")</f>
        <v/>
      </c>
      <c r="AZ852" s="21" t="str">
        <f>IF(AND($AM852&lt;&gt;"",$AS852="✓"),SUMPRODUCT(($AM$11:$AM852&lt;&gt;"")*($AS$11:$AS852="✓")),"")</f>
        <v/>
      </c>
      <c r="BA852" s="21" t="str">
        <f>IF($AL852="","",$AL852&amp;"|"&amp;COUNTIF($AL$11:$AL852,$AL852))</f>
        <v/>
      </c>
    </row>
    <row r="853" spans="23:53" ht="15" customHeight="1" x14ac:dyDescent="0.25">
      <c r="W853" s="14" t="str">
        <f>IF(X853="","",IFERROR(INDEX($AL$11:$AL$4010,MATCH(843,$AY$11:$AY$4010,0)),""))</f>
        <v/>
      </c>
      <c r="X853" s="12" t="str">
        <f>IFERROR(INDEX($AM$11:$AM$4010,MATCH(843,$AY$11:$AY$4010,0)),"")</f>
        <v/>
      </c>
      <c r="Y853" s="11" t="str">
        <f>IF(X853="","",IFERROR(INDEX($AN$11:$AN$4010,MATCH(843,$AY$11:$AY$4010,0)),""))</f>
        <v/>
      </c>
      <c r="Z853" s="11" t="str">
        <f>IF(X853="","",IFERROR(INDEX($AO$11:$AO$4010,MATCH(843,$AY$11:$AY$4010,0)),""))</f>
        <v/>
      </c>
      <c r="AA853" s="10" t="str">
        <f>IF(X853="","",IFERROR(INDEX($AQ$11:$AQ$4010,MATCH(843,$AY$11:$AY$4010,0)),""))</f>
        <v/>
      </c>
      <c r="AB853" s="15" t="str">
        <f>IF(X853="","",IFERROR(INDEX($AR$11:$AR$4010,MATCH(843,$AY$11:$AY$4010,0)),""))</f>
        <v/>
      </c>
      <c r="AD853" s="16" t="str">
        <f>IF(AE853="","",IFERROR(INDEX($AL$11:$AL$4010,MATCH(843,$AZ$11:$AZ$4010,0)),""))</f>
        <v/>
      </c>
      <c r="AE853" s="12" t="str">
        <f>IFERROR(INDEX($AM$11:$AM$4010,MATCH(843,$AZ$11:$AZ$4010,0)),"")</f>
        <v/>
      </c>
      <c r="AF853" s="11" t="str">
        <f>IF(AE853="","",IFERROR(INDEX($AN$11:$AN$4010,MATCH(843,$AZ$11:$AZ$4010,0)),""))</f>
        <v/>
      </c>
      <c r="AG853" s="11" t="str">
        <f>IF(AE853="","",IFERROR(INDEX($AO$11:$AO$4010,MATCH(843,$AZ$11:$AZ$4010,0)),""))</f>
        <v/>
      </c>
      <c r="AH853" s="10" t="str">
        <f>IF(AE853="","",IFERROR(INDEX($AQ$11:$AQ$4010,MATCH(843,$AZ$11:$AZ$4010,0)),""))</f>
        <v/>
      </c>
      <c r="AI853" s="15" t="str">
        <f>IF(AE853="","",IFERROR(INDEX($AR$11:$AR$4010,MATCH(843,$AZ$11:$AZ$4010,0)),""))</f>
        <v/>
      </c>
      <c r="AJ853" s="15" t="str">
        <f>IF(AE853="","",IFERROR(INDEX($AT$11:$AT$4010,MATCH(843,$AZ$11:$AZ$4010,0)),""))</f>
        <v/>
      </c>
      <c r="AL853" s="17"/>
      <c r="AM853" s="12"/>
      <c r="AN853" s="18"/>
      <c r="AO853" s="18"/>
      <c r="AP853" s="10"/>
      <c r="AQ853" s="10"/>
      <c r="AR853" s="19"/>
      <c r="AS853" s="20"/>
      <c r="AT853" s="19"/>
      <c r="AV853" s="21">
        <f>IF(AND($AL853&lt;&gt;"",COUNTIF($AL$11:$AL853,$AL853)=1),1,0)</f>
        <v>0</v>
      </c>
      <c r="AW853" s="21">
        <f t="shared" si="113"/>
        <v>0</v>
      </c>
      <c r="AX853" s="21" t="str">
        <f t="shared" si="112"/>
        <v/>
      </c>
      <c r="AY853" s="21" t="str">
        <f>IF(AND($AM853&lt;&gt;"",$AS853&lt;&gt;"✓"),SUMPRODUCT(($AM$11:$AM853&lt;&gt;"")*($AS$11:$AS853&lt;&gt;"✓")),"")</f>
        <v/>
      </c>
      <c r="AZ853" s="21" t="str">
        <f>IF(AND($AM853&lt;&gt;"",$AS853="✓"),SUMPRODUCT(($AM$11:$AM853&lt;&gt;"")*($AS$11:$AS853="✓")),"")</f>
        <v/>
      </c>
      <c r="BA853" s="21" t="str">
        <f>IF($AL853="","",$AL853&amp;"|"&amp;COUNTIF($AL$11:$AL853,$AL853))</f>
        <v/>
      </c>
    </row>
    <row r="854" spans="23:53" ht="15" customHeight="1" x14ac:dyDescent="0.25">
      <c r="W854" s="28" t="str">
        <f>IF(X854="","",IFERROR(INDEX($AL$11:$AL$4010,MATCH(844,$AY$11:$AY$4010,0)),""))</f>
        <v/>
      </c>
      <c r="X854" s="26" t="str">
        <f>IFERROR(INDEX($AM$11:$AM$4010,MATCH(844,$AY$11:$AY$4010,0)),"")</f>
        <v/>
      </c>
      <c r="Y854" s="25" t="str">
        <f>IF(X854="","",IFERROR(INDEX($AN$11:$AN$4010,MATCH(844,$AY$11:$AY$4010,0)),""))</f>
        <v/>
      </c>
      <c r="Z854" s="25" t="str">
        <f>IF(X854="","",IFERROR(INDEX($AO$11:$AO$4010,MATCH(844,$AY$11:$AY$4010,0)),""))</f>
        <v/>
      </c>
      <c r="AA854" s="24" t="str">
        <f>IF(X854="","",IFERROR(INDEX($AQ$11:$AQ$4010,MATCH(844,$AY$11:$AY$4010,0)),""))</f>
        <v/>
      </c>
      <c r="AB854" s="29" t="str">
        <f>IF(X854="","",IFERROR(INDEX($AR$11:$AR$4010,MATCH(844,$AY$11:$AY$4010,0)),""))</f>
        <v/>
      </c>
      <c r="AD854" s="30" t="str">
        <f>IF(AE854="","",IFERROR(INDEX($AL$11:$AL$4010,MATCH(844,$AZ$11:$AZ$4010,0)),""))</f>
        <v/>
      </c>
      <c r="AE854" s="26" t="str">
        <f>IFERROR(INDEX($AM$11:$AM$4010,MATCH(844,$AZ$11:$AZ$4010,0)),"")</f>
        <v/>
      </c>
      <c r="AF854" s="25" t="str">
        <f>IF(AE854="","",IFERROR(INDEX($AN$11:$AN$4010,MATCH(844,$AZ$11:$AZ$4010,0)),""))</f>
        <v/>
      </c>
      <c r="AG854" s="25" t="str">
        <f>IF(AE854="","",IFERROR(INDEX($AO$11:$AO$4010,MATCH(844,$AZ$11:$AZ$4010,0)),""))</f>
        <v/>
      </c>
      <c r="AH854" s="24" t="str">
        <f>IF(AE854="","",IFERROR(INDEX($AQ$11:$AQ$4010,MATCH(844,$AZ$11:$AZ$4010,0)),""))</f>
        <v/>
      </c>
      <c r="AI854" s="29" t="str">
        <f>IF(AE854="","",IFERROR(INDEX($AR$11:$AR$4010,MATCH(844,$AZ$11:$AZ$4010,0)),""))</f>
        <v/>
      </c>
      <c r="AJ854" s="29" t="str">
        <f>IF(AE854="","",IFERROR(INDEX($AT$11:$AT$4010,MATCH(844,$AZ$11:$AZ$4010,0)),""))</f>
        <v/>
      </c>
      <c r="AL854" s="31"/>
      <c r="AM854" s="26"/>
      <c r="AN854" s="32"/>
      <c r="AO854" s="32"/>
      <c r="AP854" s="24"/>
      <c r="AQ854" s="24"/>
      <c r="AR854" s="33"/>
      <c r="AS854" s="34"/>
      <c r="AT854" s="33"/>
      <c r="AV854" s="21">
        <f>IF(AND($AL854&lt;&gt;"",COUNTIF($AL$11:$AL854,$AL854)=1),1,0)</f>
        <v>0</v>
      </c>
      <c r="AW854" s="21">
        <f t="shared" si="113"/>
        <v>0</v>
      </c>
      <c r="AX854" s="21" t="str">
        <f t="shared" si="112"/>
        <v/>
      </c>
      <c r="AY854" s="21" t="str">
        <f>IF(AND($AM854&lt;&gt;"",$AS854&lt;&gt;"✓"),SUMPRODUCT(($AM$11:$AM854&lt;&gt;"")*($AS$11:$AS854&lt;&gt;"✓")),"")</f>
        <v/>
      </c>
      <c r="AZ854" s="21" t="str">
        <f>IF(AND($AM854&lt;&gt;"",$AS854="✓"),SUMPRODUCT(($AM$11:$AM854&lt;&gt;"")*($AS$11:$AS854="✓")),"")</f>
        <v/>
      </c>
      <c r="BA854" s="21" t="str">
        <f>IF($AL854="","",$AL854&amp;"|"&amp;COUNTIF($AL$11:$AL854,$AL854))</f>
        <v/>
      </c>
    </row>
    <row r="855" spans="23:53" ht="15" customHeight="1" x14ac:dyDescent="0.25">
      <c r="W855" s="14" t="str">
        <f>IF(X855="","",IFERROR(INDEX($AL$11:$AL$4010,MATCH(845,$AY$11:$AY$4010,0)),""))</f>
        <v/>
      </c>
      <c r="X855" s="12" t="str">
        <f>IFERROR(INDEX($AM$11:$AM$4010,MATCH(845,$AY$11:$AY$4010,0)),"")</f>
        <v/>
      </c>
      <c r="Y855" s="11" t="str">
        <f>IF(X855="","",IFERROR(INDEX($AN$11:$AN$4010,MATCH(845,$AY$11:$AY$4010,0)),""))</f>
        <v/>
      </c>
      <c r="Z855" s="11" t="str">
        <f>IF(X855="","",IFERROR(INDEX($AO$11:$AO$4010,MATCH(845,$AY$11:$AY$4010,0)),""))</f>
        <v/>
      </c>
      <c r="AA855" s="10" t="str">
        <f>IF(X855="","",IFERROR(INDEX($AQ$11:$AQ$4010,MATCH(845,$AY$11:$AY$4010,0)),""))</f>
        <v/>
      </c>
      <c r="AB855" s="15" t="str">
        <f>IF(X855="","",IFERROR(INDEX($AR$11:$AR$4010,MATCH(845,$AY$11:$AY$4010,0)),""))</f>
        <v/>
      </c>
      <c r="AD855" s="16" t="str">
        <f>IF(AE855="","",IFERROR(INDEX($AL$11:$AL$4010,MATCH(845,$AZ$11:$AZ$4010,0)),""))</f>
        <v/>
      </c>
      <c r="AE855" s="12" t="str">
        <f>IFERROR(INDEX($AM$11:$AM$4010,MATCH(845,$AZ$11:$AZ$4010,0)),"")</f>
        <v/>
      </c>
      <c r="AF855" s="11" t="str">
        <f>IF(AE855="","",IFERROR(INDEX($AN$11:$AN$4010,MATCH(845,$AZ$11:$AZ$4010,0)),""))</f>
        <v/>
      </c>
      <c r="AG855" s="11" t="str">
        <f>IF(AE855="","",IFERROR(INDEX($AO$11:$AO$4010,MATCH(845,$AZ$11:$AZ$4010,0)),""))</f>
        <v/>
      </c>
      <c r="AH855" s="10" t="str">
        <f>IF(AE855="","",IFERROR(INDEX($AQ$11:$AQ$4010,MATCH(845,$AZ$11:$AZ$4010,0)),""))</f>
        <v/>
      </c>
      <c r="AI855" s="15" t="str">
        <f>IF(AE855="","",IFERROR(INDEX($AR$11:$AR$4010,MATCH(845,$AZ$11:$AZ$4010,0)),""))</f>
        <v/>
      </c>
      <c r="AJ855" s="15" t="str">
        <f>IF(AE855="","",IFERROR(INDEX($AT$11:$AT$4010,MATCH(845,$AZ$11:$AZ$4010,0)),""))</f>
        <v/>
      </c>
      <c r="AL855" s="17"/>
      <c r="AM855" s="12"/>
      <c r="AN855" s="18"/>
      <c r="AO855" s="18"/>
      <c r="AP855" s="10"/>
      <c r="AQ855" s="10"/>
      <c r="AR855" s="19"/>
      <c r="AS855" s="20"/>
      <c r="AT855" s="19"/>
      <c r="AV855" s="21">
        <f>IF(AND($AL855&lt;&gt;"",COUNTIF($AL$11:$AL855,$AL855)=1),1,0)</f>
        <v>0</v>
      </c>
      <c r="AW855" s="21">
        <f t="shared" si="113"/>
        <v>0</v>
      </c>
      <c r="AX855" s="21" t="str">
        <f t="shared" si="112"/>
        <v/>
      </c>
      <c r="AY855" s="21" t="str">
        <f>IF(AND($AM855&lt;&gt;"",$AS855&lt;&gt;"✓"),SUMPRODUCT(($AM$11:$AM855&lt;&gt;"")*($AS$11:$AS855&lt;&gt;"✓")),"")</f>
        <v/>
      </c>
      <c r="AZ855" s="21" t="str">
        <f>IF(AND($AM855&lt;&gt;"",$AS855="✓"),SUMPRODUCT(($AM$11:$AM855&lt;&gt;"")*($AS$11:$AS855="✓")),"")</f>
        <v/>
      </c>
      <c r="BA855" s="21" t="str">
        <f>IF($AL855="","",$AL855&amp;"|"&amp;COUNTIF($AL$11:$AL855,$AL855))</f>
        <v/>
      </c>
    </row>
    <row r="856" spans="23:53" ht="15" customHeight="1" x14ac:dyDescent="0.25">
      <c r="W856" s="28" t="str">
        <f>IF(X856="","",IFERROR(INDEX($AL$11:$AL$4010,MATCH(846,$AY$11:$AY$4010,0)),""))</f>
        <v/>
      </c>
      <c r="X856" s="26" t="str">
        <f>IFERROR(INDEX($AM$11:$AM$4010,MATCH(846,$AY$11:$AY$4010,0)),"")</f>
        <v/>
      </c>
      <c r="Y856" s="25" t="str">
        <f>IF(X856="","",IFERROR(INDEX($AN$11:$AN$4010,MATCH(846,$AY$11:$AY$4010,0)),""))</f>
        <v/>
      </c>
      <c r="Z856" s="25" t="str">
        <f>IF(X856="","",IFERROR(INDEX($AO$11:$AO$4010,MATCH(846,$AY$11:$AY$4010,0)),""))</f>
        <v/>
      </c>
      <c r="AA856" s="24" t="str">
        <f>IF(X856="","",IFERROR(INDEX($AQ$11:$AQ$4010,MATCH(846,$AY$11:$AY$4010,0)),""))</f>
        <v/>
      </c>
      <c r="AB856" s="29" t="str">
        <f>IF(X856="","",IFERROR(INDEX($AR$11:$AR$4010,MATCH(846,$AY$11:$AY$4010,0)),""))</f>
        <v/>
      </c>
      <c r="AD856" s="30" t="str">
        <f>IF(AE856="","",IFERROR(INDEX($AL$11:$AL$4010,MATCH(846,$AZ$11:$AZ$4010,0)),""))</f>
        <v/>
      </c>
      <c r="AE856" s="26" t="str">
        <f>IFERROR(INDEX($AM$11:$AM$4010,MATCH(846,$AZ$11:$AZ$4010,0)),"")</f>
        <v/>
      </c>
      <c r="AF856" s="25" t="str">
        <f>IF(AE856="","",IFERROR(INDEX($AN$11:$AN$4010,MATCH(846,$AZ$11:$AZ$4010,0)),""))</f>
        <v/>
      </c>
      <c r="AG856" s="25" t="str">
        <f>IF(AE856="","",IFERROR(INDEX($AO$11:$AO$4010,MATCH(846,$AZ$11:$AZ$4010,0)),""))</f>
        <v/>
      </c>
      <c r="AH856" s="24" t="str">
        <f>IF(AE856="","",IFERROR(INDEX($AQ$11:$AQ$4010,MATCH(846,$AZ$11:$AZ$4010,0)),""))</f>
        <v/>
      </c>
      <c r="AI856" s="29" t="str">
        <f>IF(AE856="","",IFERROR(INDEX($AR$11:$AR$4010,MATCH(846,$AZ$11:$AZ$4010,0)),""))</f>
        <v/>
      </c>
      <c r="AJ856" s="29" t="str">
        <f>IF(AE856="","",IFERROR(INDEX($AT$11:$AT$4010,MATCH(846,$AZ$11:$AZ$4010,0)),""))</f>
        <v/>
      </c>
      <c r="AL856" s="31"/>
      <c r="AM856" s="26"/>
      <c r="AN856" s="32"/>
      <c r="AO856" s="32"/>
      <c r="AP856" s="24"/>
      <c r="AQ856" s="24"/>
      <c r="AR856" s="33"/>
      <c r="AS856" s="34"/>
      <c r="AT856" s="33"/>
      <c r="AV856" s="21">
        <f>IF(AND($AL856&lt;&gt;"",COUNTIF($AL$11:$AL856,$AL856)=1),1,0)</f>
        <v>0</v>
      </c>
      <c r="AW856" s="21">
        <f t="shared" si="113"/>
        <v>0</v>
      </c>
      <c r="AX856" s="21" t="str">
        <f t="shared" si="112"/>
        <v/>
      </c>
      <c r="AY856" s="21" t="str">
        <f>IF(AND($AM856&lt;&gt;"",$AS856&lt;&gt;"✓"),SUMPRODUCT(($AM$11:$AM856&lt;&gt;"")*($AS$11:$AS856&lt;&gt;"✓")),"")</f>
        <v/>
      </c>
      <c r="AZ856" s="21" t="str">
        <f>IF(AND($AM856&lt;&gt;"",$AS856="✓"),SUMPRODUCT(($AM$11:$AM856&lt;&gt;"")*($AS$11:$AS856="✓")),"")</f>
        <v/>
      </c>
      <c r="BA856" s="21" t="str">
        <f>IF($AL856="","",$AL856&amp;"|"&amp;COUNTIF($AL$11:$AL856,$AL856))</f>
        <v/>
      </c>
    </row>
    <row r="857" spans="23:53" ht="15" customHeight="1" x14ac:dyDescent="0.25">
      <c r="W857" s="14" t="str">
        <f>IF(X857="","",IFERROR(INDEX($AL$11:$AL$4010,MATCH(847,$AY$11:$AY$4010,0)),""))</f>
        <v/>
      </c>
      <c r="X857" s="12" t="str">
        <f>IFERROR(INDEX($AM$11:$AM$4010,MATCH(847,$AY$11:$AY$4010,0)),"")</f>
        <v/>
      </c>
      <c r="Y857" s="11" t="str">
        <f>IF(X857="","",IFERROR(INDEX($AN$11:$AN$4010,MATCH(847,$AY$11:$AY$4010,0)),""))</f>
        <v/>
      </c>
      <c r="Z857" s="11" t="str">
        <f>IF(X857="","",IFERROR(INDEX($AO$11:$AO$4010,MATCH(847,$AY$11:$AY$4010,0)),""))</f>
        <v/>
      </c>
      <c r="AA857" s="10" t="str">
        <f>IF(X857="","",IFERROR(INDEX($AQ$11:$AQ$4010,MATCH(847,$AY$11:$AY$4010,0)),""))</f>
        <v/>
      </c>
      <c r="AB857" s="15" t="str">
        <f>IF(X857="","",IFERROR(INDEX($AR$11:$AR$4010,MATCH(847,$AY$11:$AY$4010,0)),""))</f>
        <v/>
      </c>
      <c r="AD857" s="16" t="str">
        <f>IF(AE857="","",IFERROR(INDEX($AL$11:$AL$4010,MATCH(847,$AZ$11:$AZ$4010,0)),""))</f>
        <v/>
      </c>
      <c r="AE857" s="12" t="str">
        <f>IFERROR(INDEX($AM$11:$AM$4010,MATCH(847,$AZ$11:$AZ$4010,0)),"")</f>
        <v/>
      </c>
      <c r="AF857" s="11" t="str">
        <f>IF(AE857="","",IFERROR(INDEX($AN$11:$AN$4010,MATCH(847,$AZ$11:$AZ$4010,0)),""))</f>
        <v/>
      </c>
      <c r="AG857" s="11" t="str">
        <f>IF(AE857="","",IFERROR(INDEX($AO$11:$AO$4010,MATCH(847,$AZ$11:$AZ$4010,0)),""))</f>
        <v/>
      </c>
      <c r="AH857" s="10" t="str">
        <f>IF(AE857="","",IFERROR(INDEX($AQ$11:$AQ$4010,MATCH(847,$AZ$11:$AZ$4010,0)),""))</f>
        <v/>
      </c>
      <c r="AI857" s="15" t="str">
        <f>IF(AE857="","",IFERROR(INDEX($AR$11:$AR$4010,MATCH(847,$AZ$11:$AZ$4010,0)),""))</f>
        <v/>
      </c>
      <c r="AJ857" s="15" t="str">
        <f>IF(AE857="","",IFERROR(INDEX($AT$11:$AT$4010,MATCH(847,$AZ$11:$AZ$4010,0)),""))</f>
        <v/>
      </c>
      <c r="AL857" s="17"/>
      <c r="AM857" s="12"/>
      <c r="AN857" s="18"/>
      <c r="AO857" s="18"/>
      <c r="AP857" s="10"/>
      <c r="AQ857" s="10"/>
      <c r="AR857" s="19"/>
      <c r="AS857" s="20"/>
      <c r="AT857" s="19"/>
      <c r="AV857" s="21">
        <f>IF(AND($AL857&lt;&gt;"",COUNTIF($AL$11:$AL857,$AL857)=1),1,0)</f>
        <v>0</v>
      </c>
      <c r="AW857" s="21">
        <f t="shared" si="113"/>
        <v>0</v>
      </c>
      <c r="AX857" s="21" t="str">
        <f t="shared" si="112"/>
        <v/>
      </c>
      <c r="AY857" s="21" t="str">
        <f>IF(AND($AM857&lt;&gt;"",$AS857&lt;&gt;"✓"),SUMPRODUCT(($AM$11:$AM857&lt;&gt;"")*($AS$11:$AS857&lt;&gt;"✓")),"")</f>
        <v/>
      </c>
      <c r="AZ857" s="21" t="str">
        <f>IF(AND($AM857&lt;&gt;"",$AS857="✓"),SUMPRODUCT(($AM$11:$AM857&lt;&gt;"")*($AS$11:$AS857="✓")),"")</f>
        <v/>
      </c>
      <c r="BA857" s="21" t="str">
        <f>IF($AL857="","",$AL857&amp;"|"&amp;COUNTIF($AL$11:$AL857,$AL857))</f>
        <v/>
      </c>
    </row>
    <row r="858" spans="23:53" ht="15" customHeight="1" x14ac:dyDescent="0.25">
      <c r="W858" s="28" t="str">
        <f>IF(X858="","",IFERROR(INDEX($AL$11:$AL$4010,MATCH(848,$AY$11:$AY$4010,0)),""))</f>
        <v/>
      </c>
      <c r="X858" s="26" t="str">
        <f>IFERROR(INDEX($AM$11:$AM$4010,MATCH(848,$AY$11:$AY$4010,0)),"")</f>
        <v/>
      </c>
      <c r="Y858" s="25" t="str">
        <f>IF(X858="","",IFERROR(INDEX($AN$11:$AN$4010,MATCH(848,$AY$11:$AY$4010,0)),""))</f>
        <v/>
      </c>
      <c r="Z858" s="25" t="str">
        <f>IF(X858="","",IFERROR(INDEX($AO$11:$AO$4010,MATCH(848,$AY$11:$AY$4010,0)),""))</f>
        <v/>
      </c>
      <c r="AA858" s="24" t="str">
        <f>IF(X858="","",IFERROR(INDEX($AQ$11:$AQ$4010,MATCH(848,$AY$11:$AY$4010,0)),""))</f>
        <v/>
      </c>
      <c r="AB858" s="29" t="str">
        <f>IF(X858="","",IFERROR(INDEX($AR$11:$AR$4010,MATCH(848,$AY$11:$AY$4010,0)),""))</f>
        <v/>
      </c>
      <c r="AD858" s="30" t="str">
        <f>IF(AE858="","",IFERROR(INDEX($AL$11:$AL$4010,MATCH(848,$AZ$11:$AZ$4010,0)),""))</f>
        <v/>
      </c>
      <c r="AE858" s="26" t="str">
        <f>IFERROR(INDEX($AM$11:$AM$4010,MATCH(848,$AZ$11:$AZ$4010,0)),"")</f>
        <v/>
      </c>
      <c r="AF858" s="25" t="str">
        <f>IF(AE858="","",IFERROR(INDEX($AN$11:$AN$4010,MATCH(848,$AZ$11:$AZ$4010,0)),""))</f>
        <v/>
      </c>
      <c r="AG858" s="25" t="str">
        <f>IF(AE858="","",IFERROR(INDEX($AO$11:$AO$4010,MATCH(848,$AZ$11:$AZ$4010,0)),""))</f>
        <v/>
      </c>
      <c r="AH858" s="24" t="str">
        <f>IF(AE858="","",IFERROR(INDEX($AQ$11:$AQ$4010,MATCH(848,$AZ$11:$AZ$4010,0)),""))</f>
        <v/>
      </c>
      <c r="AI858" s="29" t="str">
        <f>IF(AE858="","",IFERROR(INDEX($AR$11:$AR$4010,MATCH(848,$AZ$11:$AZ$4010,0)),""))</f>
        <v/>
      </c>
      <c r="AJ858" s="29" t="str">
        <f>IF(AE858="","",IFERROR(INDEX($AT$11:$AT$4010,MATCH(848,$AZ$11:$AZ$4010,0)),""))</f>
        <v/>
      </c>
      <c r="AL858" s="31"/>
      <c r="AM858" s="26"/>
      <c r="AN858" s="32"/>
      <c r="AO858" s="32"/>
      <c r="AP858" s="24"/>
      <c r="AQ858" s="24"/>
      <c r="AR858" s="33"/>
      <c r="AS858" s="34"/>
      <c r="AT858" s="33"/>
      <c r="AV858" s="21">
        <f>IF(AND($AL858&lt;&gt;"",COUNTIF($AL$11:$AL858,$AL858)=1),1,0)</f>
        <v>0</v>
      </c>
      <c r="AW858" s="21">
        <f t="shared" si="113"/>
        <v>0</v>
      </c>
      <c r="AX858" s="21" t="str">
        <f t="shared" si="112"/>
        <v/>
      </c>
      <c r="AY858" s="21" t="str">
        <f>IF(AND($AM858&lt;&gt;"",$AS858&lt;&gt;"✓"),SUMPRODUCT(($AM$11:$AM858&lt;&gt;"")*($AS$11:$AS858&lt;&gt;"✓")),"")</f>
        <v/>
      </c>
      <c r="AZ858" s="21" t="str">
        <f>IF(AND($AM858&lt;&gt;"",$AS858="✓"),SUMPRODUCT(($AM$11:$AM858&lt;&gt;"")*($AS$11:$AS858="✓")),"")</f>
        <v/>
      </c>
      <c r="BA858" s="21" t="str">
        <f>IF($AL858="","",$AL858&amp;"|"&amp;COUNTIF($AL$11:$AL858,$AL858))</f>
        <v/>
      </c>
    </row>
    <row r="859" spans="23:53" ht="15" customHeight="1" x14ac:dyDescent="0.25">
      <c r="W859" s="14" t="str">
        <f>IF(X859="","",IFERROR(INDEX($AL$11:$AL$4010,MATCH(849,$AY$11:$AY$4010,0)),""))</f>
        <v/>
      </c>
      <c r="X859" s="12" t="str">
        <f>IFERROR(INDEX($AM$11:$AM$4010,MATCH(849,$AY$11:$AY$4010,0)),"")</f>
        <v/>
      </c>
      <c r="Y859" s="11" t="str">
        <f>IF(X859="","",IFERROR(INDEX($AN$11:$AN$4010,MATCH(849,$AY$11:$AY$4010,0)),""))</f>
        <v/>
      </c>
      <c r="Z859" s="11" t="str">
        <f>IF(X859="","",IFERROR(INDEX($AO$11:$AO$4010,MATCH(849,$AY$11:$AY$4010,0)),""))</f>
        <v/>
      </c>
      <c r="AA859" s="10" t="str">
        <f>IF(X859="","",IFERROR(INDEX($AQ$11:$AQ$4010,MATCH(849,$AY$11:$AY$4010,0)),""))</f>
        <v/>
      </c>
      <c r="AB859" s="15" t="str">
        <f>IF(X859="","",IFERROR(INDEX($AR$11:$AR$4010,MATCH(849,$AY$11:$AY$4010,0)),""))</f>
        <v/>
      </c>
      <c r="AD859" s="16" t="str">
        <f>IF(AE859="","",IFERROR(INDEX($AL$11:$AL$4010,MATCH(849,$AZ$11:$AZ$4010,0)),""))</f>
        <v/>
      </c>
      <c r="AE859" s="12" t="str">
        <f>IFERROR(INDEX($AM$11:$AM$4010,MATCH(849,$AZ$11:$AZ$4010,0)),"")</f>
        <v/>
      </c>
      <c r="AF859" s="11" t="str">
        <f>IF(AE859="","",IFERROR(INDEX($AN$11:$AN$4010,MATCH(849,$AZ$11:$AZ$4010,0)),""))</f>
        <v/>
      </c>
      <c r="AG859" s="11" t="str">
        <f>IF(AE859="","",IFERROR(INDEX($AO$11:$AO$4010,MATCH(849,$AZ$11:$AZ$4010,0)),""))</f>
        <v/>
      </c>
      <c r="AH859" s="10" t="str">
        <f>IF(AE859="","",IFERROR(INDEX($AQ$11:$AQ$4010,MATCH(849,$AZ$11:$AZ$4010,0)),""))</f>
        <v/>
      </c>
      <c r="AI859" s="15" t="str">
        <f>IF(AE859="","",IFERROR(INDEX($AR$11:$AR$4010,MATCH(849,$AZ$11:$AZ$4010,0)),""))</f>
        <v/>
      </c>
      <c r="AJ859" s="15" t="str">
        <f>IF(AE859="","",IFERROR(INDEX($AT$11:$AT$4010,MATCH(849,$AZ$11:$AZ$4010,0)),""))</f>
        <v/>
      </c>
      <c r="AL859" s="17"/>
      <c r="AM859" s="12"/>
      <c r="AN859" s="18"/>
      <c r="AO859" s="18"/>
      <c r="AP859" s="10"/>
      <c r="AQ859" s="10"/>
      <c r="AR859" s="19"/>
      <c r="AS859" s="20"/>
      <c r="AT859" s="19"/>
      <c r="AV859" s="21">
        <f>IF(AND($AL859&lt;&gt;"",COUNTIF($AL$11:$AL859,$AL859)=1),1,0)</f>
        <v>0</v>
      </c>
      <c r="AW859" s="21">
        <f t="shared" si="113"/>
        <v>0</v>
      </c>
      <c r="AX859" s="21" t="str">
        <f t="shared" si="112"/>
        <v/>
      </c>
      <c r="AY859" s="21" t="str">
        <f>IF(AND($AM859&lt;&gt;"",$AS859&lt;&gt;"✓"),SUMPRODUCT(($AM$11:$AM859&lt;&gt;"")*($AS$11:$AS859&lt;&gt;"✓")),"")</f>
        <v/>
      </c>
      <c r="AZ859" s="21" t="str">
        <f>IF(AND($AM859&lt;&gt;"",$AS859="✓"),SUMPRODUCT(($AM$11:$AM859&lt;&gt;"")*($AS$11:$AS859="✓")),"")</f>
        <v/>
      </c>
      <c r="BA859" s="21" t="str">
        <f>IF($AL859="","",$AL859&amp;"|"&amp;COUNTIF($AL$11:$AL859,$AL859))</f>
        <v/>
      </c>
    </row>
    <row r="860" spans="23:53" ht="15" customHeight="1" x14ac:dyDescent="0.25">
      <c r="W860" s="28" t="str">
        <f>IF(X860="","",IFERROR(INDEX($AL$11:$AL$4010,MATCH(850,$AY$11:$AY$4010,0)),""))</f>
        <v/>
      </c>
      <c r="X860" s="26" t="str">
        <f>IFERROR(INDEX($AM$11:$AM$4010,MATCH(850,$AY$11:$AY$4010,0)),"")</f>
        <v/>
      </c>
      <c r="Y860" s="25" t="str">
        <f>IF(X860="","",IFERROR(INDEX($AN$11:$AN$4010,MATCH(850,$AY$11:$AY$4010,0)),""))</f>
        <v/>
      </c>
      <c r="Z860" s="25" t="str">
        <f>IF(X860="","",IFERROR(INDEX($AO$11:$AO$4010,MATCH(850,$AY$11:$AY$4010,0)),""))</f>
        <v/>
      </c>
      <c r="AA860" s="24" t="str">
        <f>IF(X860="","",IFERROR(INDEX($AQ$11:$AQ$4010,MATCH(850,$AY$11:$AY$4010,0)),""))</f>
        <v/>
      </c>
      <c r="AB860" s="29" t="str">
        <f>IF(X860="","",IFERROR(INDEX($AR$11:$AR$4010,MATCH(850,$AY$11:$AY$4010,0)),""))</f>
        <v/>
      </c>
      <c r="AD860" s="30" t="str">
        <f>IF(AE860="","",IFERROR(INDEX($AL$11:$AL$4010,MATCH(850,$AZ$11:$AZ$4010,0)),""))</f>
        <v/>
      </c>
      <c r="AE860" s="26" t="str">
        <f>IFERROR(INDEX($AM$11:$AM$4010,MATCH(850,$AZ$11:$AZ$4010,0)),"")</f>
        <v/>
      </c>
      <c r="AF860" s="25" t="str">
        <f>IF(AE860="","",IFERROR(INDEX($AN$11:$AN$4010,MATCH(850,$AZ$11:$AZ$4010,0)),""))</f>
        <v/>
      </c>
      <c r="AG860" s="25" t="str">
        <f>IF(AE860="","",IFERROR(INDEX($AO$11:$AO$4010,MATCH(850,$AZ$11:$AZ$4010,0)),""))</f>
        <v/>
      </c>
      <c r="AH860" s="24" t="str">
        <f>IF(AE860="","",IFERROR(INDEX($AQ$11:$AQ$4010,MATCH(850,$AZ$11:$AZ$4010,0)),""))</f>
        <v/>
      </c>
      <c r="AI860" s="29" t="str">
        <f>IF(AE860="","",IFERROR(INDEX($AR$11:$AR$4010,MATCH(850,$AZ$11:$AZ$4010,0)),""))</f>
        <v/>
      </c>
      <c r="AJ860" s="29" t="str">
        <f>IF(AE860="","",IFERROR(INDEX($AT$11:$AT$4010,MATCH(850,$AZ$11:$AZ$4010,0)),""))</f>
        <v/>
      </c>
      <c r="AL860" s="31"/>
      <c r="AM860" s="26"/>
      <c r="AN860" s="32"/>
      <c r="AO860" s="32"/>
      <c r="AP860" s="24"/>
      <c r="AQ860" s="24"/>
      <c r="AR860" s="33"/>
      <c r="AS860" s="34"/>
      <c r="AT860" s="33"/>
      <c r="AV860" s="21">
        <f>IF(AND($AL860&lt;&gt;"",COUNTIF($AL$11:$AL860,$AL860)=1),1,0)</f>
        <v>0</v>
      </c>
      <c r="AW860" s="21">
        <f t="shared" si="113"/>
        <v>0</v>
      </c>
      <c r="AX860" s="21" t="str">
        <f t="shared" si="112"/>
        <v/>
      </c>
      <c r="AY860" s="21" t="str">
        <f>IF(AND($AM860&lt;&gt;"",$AS860&lt;&gt;"✓"),SUMPRODUCT(($AM$11:$AM860&lt;&gt;"")*($AS$11:$AS860&lt;&gt;"✓")),"")</f>
        <v/>
      </c>
      <c r="AZ860" s="21" t="str">
        <f>IF(AND($AM860&lt;&gt;"",$AS860="✓"),SUMPRODUCT(($AM$11:$AM860&lt;&gt;"")*($AS$11:$AS860="✓")),"")</f>
        <v/>
      </c>
      <c r="BA860" s="21" t="str">
        <f>IF($AL860="","",$AL860&amp;"|"&amp;COUNTIF($AL$11:$AL860,$AL860))</f>
        <v/>
      </c>
    </row>
    <row r="861" spans="23:53" ht="15" customHeight="1" x14ac:dyDescent="0.25">
      <c r="W861" s="14" t="str">
        <f>IF(X861="","",IFERROR(INDEX($AL$11:$AL$4010,MATCH(851,$AY$11:$AY$4010,0)),""))</f>
        <v/>
      </c>
      <c r="X861" s="12" t="str">
        <f>IFERROR(INDEX($AM$11:$AM$4010,MATCH(851,$AY$11:$AY$4010,0)),"")</f>
        <v/>
      </c>
      <c r="Y861" s="11" t="str">
        <f>IF(X861="","",IFERROR(INDEX($AN$11:$AN$4010,MATCH(851,$AY$11:$AY$4010,0)),""))</f>
        <v/>
      </c>
      <c r="Z861" s="11" t="str">
        <f>IF(X861="","",IFERROR(INDEX($AO$11:$AO$4010,MATCH(851,$AY$11:$AY$4010,0)),""))</f>
        <v/>
      </c>
      <c r="AA861" s="10" t="str">
        <f>IF(X861="","",IFERROR(INDEX($AQ$11:$AQ$4010,MATCH(851,$AY$11:$AY$4010,0)),""))</f>
        <v/>
      </c>
      <c r="AB861" s="15" t="str">
        <f>IF(X861="","",IFERROR(INDEX($AR$11:$AR$4010,MATCH(851,$AY$11:$AY$4010,0)),""))</f>
        <v/>
      </c>
      <c r="AD861" s="16" t="str">
        <f>IF(AE861="","",IFERROR(INDEX($AL$11:$AL$4010,MATCH(851,$AZ$11:$AZ$4010,0)),""))</f>
        <v/>
      </c>
      <c r="AE861" s="12" t="str">
        <f>IFERROR(INDEX($AM$11:$AM$4010,MATCH(851,$AZ$11:$AZ$4010,0)),"")</f>
        <v/>
      </c>
      <c r="AF861" s="11" t="str">
        <f>IF(AE861="","",IFERROR(INDEX($AN$11:$AN$4010,MATCH(851,$AZ$11:$AZ$4010,0)),""))</f>
        <v/>
      </c>
      <c r="AG861" s="11" t="str">
        <f>IF(AE861="","",IFERROR(INDEX($AO$11:$AO$4010,MATCH(851,$AZ$11:$AZ$4010,0)),""))</f>
        <v/>
      </c>
      <c r="AH861" s="10" t="str">
        <f>IF(AE861="","",IFERROR(INDEX($AQ$11:$AQ$4010,MATCH(851,$AZ$11:$AZ$4010,0)),""))</f>
        <v/>
      </c>
      <c r="AI861" s="15" t="str">
        <f>IF(AE861="","",IFERROR(INDEX($AR$11:$AR$4010,MATCH(851,$AZ$11:$AZ$4010,0)),""))</f>
        <v/>
      </c>
      <c r="AJ861" s="15" t="str">
        <f>IF(AE861="","",IFERROR(INDEX($AT$11:$AT$4010,MATCH(851,$AZ$11:$AZ$4010,0)),""))</f>
        <v/>
      </c>
      <c r="AL861" s="17"/>
      <c r="AM861" s="12"/>
      <c r="AN861" s="18"/>
      <c r="AO861" s="18"/>
      <c r="AP861" s="10"/>
      <c r="AQ861" s="10"/>
      <c r="AR861" s="19"/>
      <c r="AS861" s="20"/>
      <c r="AT861" s="19"/>
      <c r="AV861" s="21">
        <f>IF(AND($AL861&lt;&gt;"",COUNTIF($AL$11:$AL861,$AL861)=1),1,0)</f>
        <v>0</v>
      </c>
      <c r="AW861" s="21">
        <f t="shared" si="113"/>
        <v>0</v>
      </c>
      <c r="AX861" s="21" t="str">
        <f t="shared" si="112"/>
        <v/>
      </c>
      <c r="AY861" s="21" t="str">
        <f>IF(AND($AM861&lt;&gt;"",$AS861&lt;&gt;"✓"),SUMPRODUCT(($AM$11:$AM861&lt;&gt;"")*($AS$11:$AS861&lt;&gt;"✓")),"")</f>
        <v/>
      </c>
      <c r="AZ861" s="21" t="str">
        <f>IF(AND($AM861&lt;&gt;"",$AS861="✓"),SUMPRODUCT(($AM$11:$AM861&lt;&gt;"")*($AS$11:$AS861="✓")),"")</f>
        <v/>
      </c>
      <c r="BA861" s="21" t="str">
        <f>IF($AL861="","",$AL861&amp;"|"&amp;COUNTIF($AL$11:$AL861,$AL861))</f>
        <v/>
      </c>
    </row>
    <row r="862" spans="23:53" ht="15" customHeight="1" x14ac:dyDescent="0.25">
      <c r="W862" s="28" t="str">
        <f>IF(X862="","",IFERROR(INDEX($AL$11:$AL$4010,MATCH(852,$AY$11:$AY$4010,0)),""))</f>
        <v/>
      </c>
      <c r="X862" s="26" t="str">
        <f>IFERROR(INDEX($AM$11:$AM$4010,MATCH(852,$AY$11:$AY$4010,0)),"")</f>
        <v/>
      </c>
      <c r="Y862" s="25" t="str">
        <f>IF(X862="","",IFERROR(INDEX($AN$11:$AN$4010,MATCH(852,$AY$11:$AY$4010,0)),""))</f>
        <v/>
      </c>
      <c r="Z862" s="25" t="str">
        <f>IF(X862="","",IFERROR(INDEX($AO$11:$AO$4010,MATCH(852,$AY$11:$AY$4010,0)),""))</f>
        <v/>
      </c>
      <c r="AA862" s="24" t="str">
        <f>IF(X862="","",IFERROR(INDEX($AQ$11:$AQ$4010,MATCH(852,$AY$11:$AY$4010,0)),""))</f>
        <v/>
      </c>
      <c r="AB862" s="29" t="str">
        <f>IF(X862="","",IFERROR(INDEX($AR$11:$AR$4010,MATCH(852,$AY$11:$AY$4010,0)),""))</f>
        <v/>
      </c>
      <c r="AD862" s="30" t="str">
        <f>IF(AE862="","",IFERROR(INDEX($AL$11:$AL$4010,MATCH(852,$AZ$11:$AZ$4010,0)),""))</f>
        <v/>
      </c>
      <c r="AE862" s="26" t="str">
        <f>IFERROR(INDEX($AM$11:$AM$4010,MATCH(852,$AZ$11:$AZ$4010,0)),"")</f>
        <v/>
      </c>
      <c r="AF862" s="25" t="str">
        <f>IF(AE862="","",IFERROR(INDEX($AN$11:$AN$4010,MATCH(852,$AZ$11:$AZ$4010,0)),""))</f>
        <v/>
      </c>
      <c r="AG862" s="25" t="str">
        <f>IF(AE862="","",IFERROR(INDEX($AO$11:$AO$4010,MATCH(852,$AZ$11:$AZ$4010,0)),""))</f>
        <v/>
      </c>
      <c r="AH862" s="24" t="str">
        <f>IF(AE862="","",IFERROR(INDEX($AQ$11:$AQ$4010,MATCH(852,$AZ$11:$AZ$4010,0)),""))</f>
        <v/>
      </c>
      <c r="AI862" s="29" t="str">
        <f>IF(AE862="","",IFERROR(INDEX($AR$11:$AR$4010,MATCH(852,$AZ$11:$AZ$4010,0)),""))</f>
        <v/>
      </c>
      <c r="AJ862" s="29" t="str">
        <f>IF(AE862="","",IFERROR(INDEX($AT$11:$AT$4010,MATCH(852,$AZ$11:$AZ$4010,0)),""))</f>
        <v/>
      </c>
      <c r="AL862" s="31"/>
      <c r="AM862" s="26"/>
      <c r="AN862" s="32"/>
      <c r="AO862" s="32"/>
      <c r="AP862" s="24"/>
      <c r="AQ862" s="24"/>
      <c r="AR862" s="33"/>
      <c r="AS862" s="34"/>
      <c r="AT862" s="33"/>
      <c r="AV862" s="21">
        <f>IF(AND($AL862&lt;&gt;"",COUNTIF($AL$11:$AL862,$AL862)=1),1,0)</f>
        <v>0</v>
      </c>
      <c r="AW862" s="21">
        <f t="shared" si="113"/>
        <v>0</v>
      </c>
      <c r="AX862" s="21" t="str">
        <f t="shared" si="112"/>
        <v/>
      </c>
      <c r="AY862" s="21" t="str">
        <f>IF(AND($AM862&lt;&gt;"",$AS862&lt;&gt;"✓"),SUMPRODUCT(($AM$11:$AM862&lt;&gt;"")*($AS$11:$AS862&lt;&gt;"✓")),"")</f>
        <v/>
      </c>
      <c r="AZ862" s="21" t="str">
        <f>IF(AND($AM862&lt;&gt;"",$AS862="✓"),SUMPRODUCT(($AM$11:$AM862&lt;&gt;"")*($AS$11:$AS862="✓")),"")</f>
        <v/>
      </c>
      <c r="BA862" s="21" t="str">
        <f>IF($AL862="","",$AL862&amp;"|"&amp;COUNTIF($AL$11:$AL862,$AL862))</f>
        <v/>
      </c>
    </row>
    <row r="863" spans="23:53" ht="15" customHeight="1" x14ac:dyDescent="0.25">
      <c r="W863" s="14" t="str">
        <f>IF(X863="","",IFERROR(INDEX($AL$11:$AL$4010,MATCH(853,$AY$11:$AY$4010,0)),""))</f>
        <v/>
      </c>
      <c r="X863" s="12" t="str">
        <f>IFERROR(INDEX($AM$11:$AM$4010,MATCH(853,$AY$11:$AY$4010,0)),"")</f>
        <v/>
      </c>
      <c r="Y863" s="11" t="str">
        <f>IF(X863="","",IFERROR(INDEX($AN$11:$AN$4010,MATCH(853,$AY$11:$AY$4010,0)),""))</f>
        <v/>
      </c>
      <c r="Z863" s="11" t="str">
        <f>IF(X863="","",IFERROR(INDEX($AO$11:$AO$4010,MATCH(853,$AY$11:$AY$4010,0)),""))</f>
        <v/>
      </c>
      <c r="AA863" s="10" t="str">
        <f>IF(X863="","",IFERROR(INDEX($AQ$11:$AQ$4010,MATCH(853,$AY$11:$AY$4010,0)),""))</f>
        <v/>
      </c>
      <c r="AB863" s="15" t="str">
        <f>IF(X863="","",IFERROR(INDEX($AR$11:$AR$4010,MATCH(853,$AY$11:$AY$4010,0)),""))</f>
        <v/>
      </c>
      <c r="AD863" s="16" t="str">
        <f>IF(AE863="","",IFERROR(INDEX($AL$11:$AL$4010,MATCH(853,$AZ$11:$AZ$4010,0)),""))</f>
        <v/>
      </c>
      <c r="AE863" s="12" t="str">
        <f>IFERROR(INDEX($AM$11:$AM$4010,MATCH(853,$AZ$11:$AZ$4010,0)),"")</f>
        <v/>
      </c>
      <c r="AF863" s="11" t="str">
        <f>IF(AE863="","",IFERROR(INDEX($AN$11:$AN$4010,MATCH(853,$AZ$11:$AZ$4010,0)),""))</f>
        <v/>
      </c>
      <c r="AG863" s="11" t="str">
        <f>IF(AE863="","",IFERROR(INDEX($AO$11:$AO$4010,MATCH(853,$AZ$11:$AZ$4010,0)),""))</f>
        <v/>
      </c>
      <c r="AH863" s="10" t="str">
        <f>IF(AE863="","",IFERROR(INDEX($AQ$11:$AQ$4010,MATCH(853,$AZ$11:$AZ$4010,0)),""))</f>
        <v/>
      </c>
      <c r="AI863" s="15" t="str">
        <f>IF(AE863="","",IFERROR(INDEX($AR$11:$AR$4010,MATCH(853,$AZ$11:$AZ$4010,0)),""))</f>
        <v/>
      </c>
      <c r="AJ863" s="15" t="str">
        <f>IF(AE863="","",IFERROR(INDEX($AT$11:$AT$4010,MATCH(853,$AZ$11:$AZ$4010,0)),""))</f>
        <v/>
      </c>
      <c r="AL863" s="17"/>
      <c r="AM863" s="12"/>
      <c r="AN863" s="18"/>
      <c r="AO863" s="18"/>
      <c r="AP863" s="10"/>
      <c r="AQ863" s="10"/>
      <c r="AR863" s="19"/>
      <c r="AS863" s="20"/>
      <c r="AT863" s="19"/>
      <c r="AV863" s="21">
        <f>IF(AND($AL863&lt;&gt;"",COUNTIF($AL$11:$AL863,$AL863)=1),1,0)</f>
        <v>0</v>
      </c>
      <c r="AW863" s="21">
        <f t="shared" si="113"/>
        <v>0</v>
      </c>
      <c r="AX863" s="21" t="str">
        <f t="shared" si="112"/>
        <v/>
      </c>
      <c r="AY863" s="21" t="str">
        <f>IF(AND($AM863&lt;&gt;"",$AS863&lt;&gt;"✓"),SUMPRODUCT(($AM$11:$AM863&lt;&gt;"")*($AS$11:$AS863&lt;&gt;"✓")),"")</f>
        <v/>
      </c>
      <c r="AZ863" s="21" t="str">
        <f>IF(AND($AM863&lt;&gt;"",$AS863="✓"),SUMPRODUCT(($AM$11:$AM863&lt;&gt;"")*($AS$11:$AS863="✓")),"")</f>
        <v/>
      </c>
      <c r="BA863" s="21" t="str">
        <f>IF($AL863="","",$AL863&amp;"|"&amp;COUNTIF($AL$11:$AL863,$AL863))</f>
        <v/>
      </c>
    </row>
    <row r="864" spans="23:53" ht="15" customHeight="1" x14ac:dyDescent="0.25">
      <c r="W864" s="28" t="str">
        <f>IF(X864="","",IFERROR(INDEX($AL$11:$AL$4010,MATCH(854,$AY$11:$AY$4010,0)),""))</f>
        <v/>
      </c>
      <c r="X864" s="26" t="str">
        <f>IFERROR(INDEX($AM$11:$AM$4010,MATCH(854,$AY$11:$AY$4010,0)),"")</f>
        <v/>
      </c>
      <c r="Y864" s="25" t="str">
        <f>IF(X864="","",IFERROR(INDEX($AN$11:$AN$4010,MATCH(854,$AY$11:$AY$4010,0)),""))</f>
        <v/>
      </c>
      <c r="Z864" s="25" t="str">
        <f>IF(X864="","",IFERROR(INDEX($AO$11:$AO$4010,MATCH(854,$AY$11:$AY$4010,0)),""))</f>
        <v/>
      </c>
      <c r="AA864" s="24" t="str">
        <f>IF(X864="","",IFERROR(INDEX($AQ$11:$AQ$4010,MATCH(854,$AY$11:$AY$4010,0)),""))</f>
        <v/>
      </c>
      <c r="AB864" s="29" t="str">
        <f>IF(X864="","",IFERROR(INDEX($AR$11:$AR$4010,MATCH(854,$AY$11:$AY$4010,0)),""))</f>
        <v/>
      </c>
      <c r="AD864" s="30" t="str">
        <f>IF(AE864="","",IFERROR(INDEX($AL$11:$AL$4010,MATCH(854,$AZ$11:$AZ$4010,0)),""))</f>
        <v/>
      </c>
      <c r="AE864" s="26" t="str">
        <f>IFERROR(INDEX($AM$11:$AM$4010,MATCH(854,$AZ$11:$AZ$4010,0)),"")</f>
        <v/>
      </c>
      <c r="AF864" s="25" t="str">
        <f>IF(AE864="","",IFERROR(INDEX($AN$11:$AN$4010,MATCH(854,$AZ$11:$AZ$4010,0)),""))</f>
        <v/>
      </c>
      <c r="AG864" s="25" t="str">
        <f>IF(AE864="","",IFERROR(INDEX($AO$11:$AO$4010,MATCH(854,$AZ$11:$AZ$4010,0)),""))</f>
        <v/>
      </c>
      <c r="AH864" s="24" t="str">
        <f>IF(AE864="","",IFERROR(INDEX($AQ$11:$AQ$4010,MATCH(854,$AZ$11:$AZ$4010,0)),""))</f>
        <v/>
      </c>
      <c r="AI864" s="29" t="str">
        <f>IF(AE864="","",IFERROR(INDEX($AR$11:$AR$4010,MATCH(854,$AZ$11:$AZ$4010,0)),""))</f>
        <v/>
      </c>
      <c r="AJ864" s="29" t="str">
        <f>IF(AE864="","",IFERROR(INDEX($AT$11:$AT$4010,MATCH(854,$AZ$11:$AZ$4010,0)),""))</f>
        <v/>
      </c>
      <c r="AL864" s="31"/>
      <c r="AM864" s="26"/>
      <c r="AN864" s="32"/>
      <c r="AO864" s="32"/>
      <c r="AP864" s="24"/>
      <c r="AQ864" s="24"/>
      <c r="AR864" s="33"/>
      <c r="AS864" s="34"/>
      <c r="AT864" s="33"/>
      <c r="AV864" s="21">
        <f>IF(AND($AL864&lt;&gt;"",COUNTIF($AL$11:$AL864,$AL864)=1),1,0)</f>
        <v>0</v>
      </c>
      <c r="AW864" s="21">
        <f t="shared" si="113"/>
        <v>0</v>
      </c>
      <c r="AX864" s="21" t="str">
        <f t="shared" si="112"/>
        <v/>
      </c>
      <c r="AY864" s="21" t="str">
        <f>IF(AND($AM864&lt;&gt;"",$AS864&lt;&gt;"✓"),SUMPRODUCT(($AM$11:$AM864&lt;&gt;"")*($AS$11:$AS864&lt;&gt;"✓")),"")</f>
        <v/>
      </c>
      <c r="AZ864" s="21" t="str">
        <f>IF(AND($AM864&lt;&gt;"",$AS864="✓"),SUMPRODUCT(($AM$11:$AM864&lt;&gt;"")*($AS$11:$AS864="✓")),"")</f>
        <v/>
      </c>
      <c r="BA864" s="21" t="str">
        <f>IF($AL864="","",$AL864&amp;"|"&amp;COUNTIF($AL$11:$AL864,$AL864))</f>
        <v/>
      </c>
    </row>
    <row r="865" spans="23:53" ht="15" customHeight="1" x14ac:dyDescent="0.25">
      <c r="W865" s="14" t="str">
        <f>IF(X865="","",IFERROR(INDEX($AL$11:$AL$4010,MATCH(855,$AY$11:$AY$4010,0)),""))</f>
        <v/>
      </c>
      <c r="X865" s="12" t="str">
        <f>IFERROR(INDEX($AM$11:$AM$4010,MATCH(855,$AY$11:$AY$4010,0)),"")</f>
        <v/>
      </c>
      <c r="Y865" s="11" t="str">
        <f>IF(X865="","",IFERROR(INDEX($AN$11:$AN$4010,MATCH(855,$AY$11:$AY$4010,0)),""))</f>
        <v/>
      </c>
      <c r="Z865" s="11" t="str">
        <f>IF(X865="","",IFERROR(INDEX($AO$11:$AO$4010,MATCH(855,$AY$11:$AY$4010,0)),""))</f>
        <v/>
      </c>
      <c r="AA865" s="10" t="str">
        <f>IF(X865="","",IFERROR(INDEX($AQ$11:$AQ$4010,MATCH(855,$AY$11:$AY$4010,0)),""))</f>
        <v/>
      </c>
      <c r="AB865" s="15" t="str">
        <f>IF(X865="","",IFERROR(INDEX($AR$11:$AR$4010,MATCH(855,$AY$11:$AY$4010,0)),""))</f>
        <v/>
      </c>
      <c r="AD865" s="16" t="str">
        <f>IF(AE865="","",IFERROR(INDEX($AL$11:$AL$4010,MATCH(855,$AZ$11:$AZ$4010,0)),""))</f>
        <v/>
      </c>
      <c r="AE865" s="12" t="str">
        <f>IFERROR(INDEX($AM$11:$AM$4010,MATCH(855,$AZ$11:$AZ$4010,0)),"")</f>
        <v/>
      </c>
      <c r="AF865" s="11" t="str">
        <f>IF(AE865="","",IFERROR(INDEX($AN$11:$AN$4010,MATCH(855,$AZ$11:$AZ$4010,0)),""))</f>
        <v/>
      </c>
      <c r="AG865" s="11" t="str">
        <f>IF(AE865="","",IFERROR(INDEX($AO$11:$AO$4010,MATCH(855,$AZ$11:$AZ$4010,0)),""))</f>
        <v/>
      </c>
      <c r="AH865" s="10" t="str">
        <f>IF(AE865="","",IFERROR(INDEX($AQ$11:$AQ$4010,MATCH(855,$AZ$11:$AZ$4010,0)),""))</f>
        <v/>
      </c>
      <c r="AI865" s="15" t="str">
        <f>IF(AE865="","",IFERROR(INDEX($AR$11:$AR$4010,MATCH(855,$AZ$11:$AZ$4010,0)),""))</f>
        <v/>
      </c>
      <c r="AJ865" s="15" t="str">
        <f>IF(AE865="","",IFERROR(INDEX($AT$11:$AT$4010,MATCH(855,$AZ$11:$AZ$4010,0)),""))</f>
        <v/>
      </c>
      <c r="AL865" s="17"/>
      <c r="AM865" s="12"/>
      <c r="AN865" s="18"/>
      <c r="AO865" s="18"/>
      <c r="AP865" s="10"/>
      <c r="AQ865" s="10"/>
      <c r="AR865" s="19"/>
      <c r="AS865" s="20"/>
      <c r="AT865" s="19"/>
      <c r="AV865" s="21">
        <f>IF(AND($AL865&lt;&gt;"",COUNTIF($AL$11:$AL865,$AL865)=1),1,0)</f>
        <v>0</v>
      </c>
      <c r="AW865" s="21">
        <f t="shared" si="113"/>
        <v>0</v>
      </c>
      <c r="AX865" s="21" t="str">
        <f t="shared" si="112"/>
        <v/>
      </c>
      <c r="AY865" s="21" t="str">
        <f>IF(AND($AM865&lt;&gt;"",$AS865&lt;&gt;"✓"),SUMPRODUCT(($AM$11:$AM865&lt;&gt;"")*($AS$11:$AS865&lt;&gt;"✓")),"")</f>
        <v/>
      </c>
      <c r="AZ865" s="21" t="str">
        <f>IF(AND($AM865&lt;&gt;"",$AS865="✓"),SUMPRODUCT(($AM$11:$AM865&lt;&gt;"")*($AS$11:$AS865="✓")),"")</f>
        <v/>
      </c>
      <c r="BA865" s="21" t="str">
        <f>IF($AL865="","",$AL865&amp;"|"&amp;COUNTIF($AL$11:$AL865,$AL865))</f>
        <v/>
      </c>
    </row>
    <row r="866" spans="23:53" ht="15" customHeight="1" x14ac:dyDescent="0.25">
      <c r="W866" s="28" t="str">
        <f>IF(X866="","",IFERROR(INDEX($AL$11:$AL$4010,MATCH(856,$AY$11:$AY$4010,0)),""))</f>
        <v/>
      </c>
      <c r="X866" s="26" t="str">
        <f>IFERROR(INDEX($AM$11:$AM$4010,MATCH(856,$AY$11:$AY$4010,0)),"")</f>
        <v/>
      </c>
      <c r="Y866" s="25" t="str">
        <f>IF(X866="","",IFERROR(INDEX($AN$11:$AN$4010,MATCH(856,$AY$11:$AY$4010,0)),""))</f>
        <v/>
      </c>
      <c r="Z866" s="25" t="str">
        <f>IF(X866="","",IFERROR(INDEX($AO$11:$AO$4010,MATCH(856,$AY$11:$AY$4010,0)),""))</f>
        <v/>
      </c>
      <c r="AA866" s="24" t="str">
        <f>IF(X866="","",IFERROR(INDEX($AQ$11:$AQ$4010,MATCH(856,$AY$11:$AY$4010,0)),""))</f>
        <v/>
      </c>
      <c r="AB866" s="29" t="str">
        <f>IF(X866="","",IFERROR(INDEX($AR$11:$AR$4010,MATCH(856,$AY$11:$AY$4010,0)),""))</f>
        <v/>
      </c>
      <c r="AD866" s="30" t="str">
        <f>IF(AE866="","",IFERROR(INDEX($AL$11:$AL$4010,MATCH(856,$AZ$11:$AZ$4010,0)),""))</f>
        <v/>
      </c>
      <c r="AE866" s="26" t="str">
        <f>IFERROR(INDEX($AM$11:$AM$4010,MATCH(856,$AZ$11:$AZ$4010,0)),"")</f>
        <v/>
      </c>
      <c r="AF866" s="25" t="str">
        <f>IF(AE866="","",IFERROR(INDEX($AN$11:$AN$4010,MATCH(856,$AZ$11:$AZ$4010,0)),""))</f>
        <v/>
      </c>
      <c r="AG866" s="25" t="str">
        <f>IF(AE866="","",IFERROR(INDEX($AO$11:$AO$4010,MATCH(856,$AZ$11:$AZ$4010,0)),""))</f>
        <v/>
      </c>
      <c r="AH866" s="24" t="str">
        <f>IF(AE866="","",IFERROR(INDEX($AQ$11:$AQ$4010,MATCH(856,$AZ$11:$AZ$4010,0)),""))</f>
        <v/>
      </c>
      <c r="AI866" s="29" t="str">
        <f>IF(AE866="","",IFERROR(INDEX($AR$11:$AR$4010,MATCH(856,$AZ$11:$AZ$4010,0)),""))</f>
        <v/>
      </c>
      <c r="AJ866" s="29" t="str">
        <f>IF(AE866="","",IFERROR(INDEX($AT$11:$AT$4010,MATCH(856,$AZ$11:$AZ$4010,0)),""))</f>
        <v/>
      </c>
      <c r="AL866" s="31"/>
      <c r="AM866" s="26"/>
      <c r="AN866" s="32"/>
      <c r="AO866" s="32"/>
      <c r="AP866" s="24"/>
      <c r="AQ866" s="24"/>
      <c r="AR866" s="33"/>
      <c r="AS866" s="34"/>
      <c r="AT866" s="33"/>
      <c r="AV866" s="21">
        <f>IF(AND($AL866&lt;&gt;"",COUNTIF($AL$11:$AL866,$AL866)=1),1,0)</f>
        <v>0</v>
      </c>
      <c r="AW866" s="21">
        <f t="shared" si="113"/>
        <v>0</v>
      </c>
      <c r="AX866" s="21" t="str">
        <f t="shared" si="112"/>
        <v/>
      </c>
      <c r="AY866" s="21" t="str">
        <f>IF(AND($AM866&lt;&gt;"",$AS866&lt;&gt;"✓"),SUMPRODUCT(($AM$11:$AM866&lt;&gt;"")*($AS$11:$AS866&lt;&gt;"✓")),"")</f>
        <v/>
      </c>
      <c r="AZ866" s="21" t="str">
        <f>IF(AND($AM866&lt;&gt;"",$AS866="✓"),SUMPRODUCT(($AM$11:$AM866&lt;&gt;"")*($AS$11:$AS866="✓")),"")</f>
        <v/>
      </c>
      <c r="BA866" s="21" t="str">
        <f>IF($AL866="","",$AL866&amp;"|"&amp;COUNTIF($AL$11:$AL866,$AL866))</f>
        <v/>
      </c>
    </row>
    <row r="867" spans="23:53" ht="15" customHeight="1" x14ac:dyDescent="0.25">
      <c r="W867" s="14" t="str">
        <f>IF(X867="","",IFERROR(INDEX($AL$11:$AL$4010,MATCH(857,$AY$11:$AY$4010,0)),""))</f>
        <v/>
      </c>
      <c r="X867" s="12" t="str">
        <f>IFERROR(INDEX($AM$11:$AM$4010,MATCH(857,$AY$11:$AY$4010,0)),"")</f>
        <v/>
      </c>
      <c r="Y867" s="11" t="str">
        <f>IF(X867="","",IFERROR(INDEX($AN$11:$AN$4010,MATCH(857,$AY$11:$AY$4010,0)),""))</f>
        <v/>
      </c>
      <c r="Z867" s="11" t="str">
        <f>IF(X867="","",IFERROR(INDEX($AO$11:$AO$4010,MATCH(857,$AY$11:$AY$4010,0)),""))</f>
        <v/>
      </c>
      <c r="AA867" s="10" t="str">
        <f>IF(X867="","",IFERROR(INDEX($AQ$11:$AQ$4010,MATCH(857,$AY$11:$AY$4010,0)),""))</f>
        <v/>
      </c>
      <c r="AB867" s="15" t="str">
        <f>IF(X867="","",IFERROR(INDEX($AR$11:$AR$4010,MATCH(857,$AY$11:$AY$4010,0)),""))</f>
        <v/>
      </c>
      <c r="AD867" s="16" t="str">
        <f>IF(AE867="","",IFERROR(INDEX($AL$11:$AL$4010,MATCH(857,$AZ$11:$AZ$4010,0)),""))</f>
        <v/>
      </c>
      <c r="AE867" s="12" t="str">
        <f>IFERROR(INDEX($AM$11:$AM$4010,MATCH(857,$AZ$11:$AZ$4010,0)),"")</f>
        <v/>
      </c>
      <c r="AF867" s="11" t="str">
        <f>IF(AE867="","",IFERROR(INDEX($AN$11:$AN$4010,MATCH(857,$AZ$11:$AZ$4010,0)),""))</f>
        <v/>
      </c>
      <c r="AG867" s="11" t="str">
        <f>IF(AE867="","",IFERROR(INDEX($AO$11:$AO$4010,MATCH(857,$AZ$11:$AZ$4010,0)),""))</f>
        <v/>
      </c>
      <c r="AH867" s="10" t="str">
        <f>IF(AE867="","",IFERROR(INDEX($AQ$11:$AQ$4010,MATCH(857,$AZ$11:$AZ$4010,0)),""))</f>
        <v/>
      </c>
      <c r="AI867" s="15" t="str">
        <f>IF(AE867="","",IFERROR(INDEX($AR$11:$AR$4010,MATCH(857,$AZ$11:$AZ$4010,0)),""))</f>
        <v/>
      </c>
      <c r="AJ867" s="15" t="str">
        <f>IF(AE867="","",IFERROR(INDEX($AT$11:$AT$4010,MATCH(857,$AZ$11:$AZ$4010,0)),""))</f>
        <v/>
      </c>
      <c r="AL867" s="17"/>
      <c r="AM867" s="12"/>
      <c r="AN867" s="18"/>
      <c r="AO867" s="18"/>
      <c r="AP867" s="10"/>
      <c r="AQ867" s="10"/>
      <c r="AR867" s="19"/>
      <c r="AS867" s="20"/>
      <c r="AT867" s="19"/>
      <c r="AV867" s="21">
        <f>IF(AND($AL867&lt;&gt;"",COUNTIF($AL$11:$AL867,$AL867)=1),1,0)</f>
        <v>0</v>
      </c>
      <c r="AW867" s="21">
        <f t="shared" si="113"/>
        <v>0</v>
      </c>
      <c r="AX867" s="21" t="str">
        <f t="shared" si="112"/>
        <v/>
      </c>
      <c r="AY867" s="21" t="str">
        <f>IF(AND($AM867&lt;&gt;"",$AS867&lt;&gt;"✓"),SUMPRODUCT(($AM$11:$AM867&lt;&gt;"")*($AS$11:$AS867&lt;&gt;"✓")),"")</f>
        <v/>
      </c>
      <c r="AZ867" s="21" t="str">
        <f>IF(AND($AM867&lt;&gt;"",$AS867="✓"),SUMPRODUCT(($AM$11:$AM867&lt;&gt;"")*($AS$11:$AS867="✓")),"")</f>
        <v/>
      </c>
      <c r="BA867" s="21" t="str">
        <f>IF($AL867="","",$AL867&amp;"|"&amp;COUNTIF($AL$11:$AL867,$AL867))</f>
        <v/>
      </c>
    </row>
    <row r="868" spans="23:53" ht="15" customHeight="1" x14ac:dyDescent="0.25">
      <c r="W868" s="28" t="str">
        <f>IF(X868="","",IFERROR(INDEX($AL$11:$AL$4010,MATCH(858,$AY$11:$AY$4010,0)),""))</f>
        <v/>
      </c>
      <c r="X868" s="26" t="str">
        <f>IFERROR(INDEX($AM$11:$AM$4010,MATCH(858,$AY$11:$AY$4010,0)),"")</f>
        <v/>
      </c>
      <c r="Y868" s="25" t="str">
        <f>IF(X868="","",IFERROR(INDEX($AN$11:$AN$4010,MATCH(858,$AY$11:$AY$4010,0)),""))</f>
        <v/>
      </c>
      <c r="Z868" s="25" t="str">
        <f>IF(X868="","",IFERROR(INDEX($AO$11:$AO$4010,MATCH(858,$AY$11:$AY$4010,0)),""))</f>
        <v/>
      </c>
      <c r="AA868" s="24" t="str">
        <f>IF(X868="","",IFERROR(INDEX($AQ$11:$AQ$4010,MATCH(858,$AY$11:$AY$4010,0)),""))</f>
        <v/>
      </c>
      <c r="AB868" s="29" t="str">
        <f>IF(X868="","",IFERROR(INDEX($AR$11:$AR$4010,MATCH(858,$AY$11:$AY$4010,0)),""))</f>
        <v/>
      </c>
      <c r="AD868" s="30" t="str">
        <f>IF(AE868="","",IFERROR(INDEX($AL$11:$AL$4010,MATCH(858,$AZ$11:$AZ$4010,0)),""))</f>
        <v/>
      </c>
      <c r="AE868" s="26" t="str">
        <f>IFERROR(INDEX($AM$11:$AM$4010,MATCH(858,$AZ$11:$AZ$4010,0)),"")</f>
        <v/>
      </c>
      <c r="AF868" s="25" t="str">
        <f>IF(AE868="","",IFERROR(INDEX($AN$11:$AN$4010,MATCH(858,$AZ$11:$AZ$4010,0)),""))</f>
        <v/>
      </c>
      <c r="AG868" s="25" t="str">
        <f>IF(AE868="","",IFERROR(INDEX($AO$11:$AO$4010,MATCH(858,$AZ$11:$AZ$4010,0)),""))</f>
        <v/>
      </c>
      <c r="AH868" s="24" t="str">
        <f>IF(AE868="","",IFERROR(INDEX($AQ$11:$AQ$4010,MATCH(858,$AZ$11:$AZ$4010,0)),""))</f>
        <v/>
      </c>
      <c r="AI868" s="29" t="str">
        <f>IF(AE868="","",IFERROR(INDEX($AR$11:$AR$4010,MATCH(858,$AZ$11:$AZ$4010,0)),""))</f>
        <v/>
      </c>
      <c r="AJ868" s="29" t="str">
        <f>IF(AE868="","",IFERROR(INDEX($AT$11:$AT$4010,MATCH(858,$AZ$11:$AZ$4010,0)),""))</f>
        <v/>
      </c>
      <c r="AL868" s="31"/>
      <c r="AM868" s="26"/>
      <c r="AN868" s="32"/>
      <c r="AO868" s="32"/>
      <c r="AP868" s="24"/>
      <c r="AQ868" s="24"/>
      <c r="AR868" s="33"/>
      <c r="AS868" s="34"/>
      <c r="AT868" s="33"/>
      <c r="AV868" s="21">
        <f>IF(AND($AL868&lt;&gt;"",COUNTIF($AL$11:$AL868,$AL868)=1),1,0)</f>
        <v>0</v>
      </c>
      <c r="AW868" s="21">
        <f t="shared" si="113"/>
        <v>0</v>
      </c>
      <c r="AX868" s="21" t="str">
        <f t="shared" si="112"/>
        <v/>
      </c>
      <c r="AY868" s="21" t="str">
        <f>IF(AND($AM868&lt;&gt;"",$AS868&lt;&gt;"✓"),SUMPRODUCT(($AM$11:$AM868&lt;&gt;"")*($AS$11:$AS868&lt;&gt;"✓")),"")</f>
        <v/>
      </c>
      <c r="AZ868" s="21" t="str">
        <f>IF(AND($AM868&lt;&gt;"",$AS868="✓"),SUMPRODUCT(($AM$11:$AM868&lt;&gt;"")*($AS$11:$AS868="✓")),"")</f>
        <v/>
      </c>
      <c r="BA868" s="21" t="str">
        <f>IF($AL868="","",$AL868&amp;"|"&amp;COUNTIF($AL$11:$AL868,$AL868))</f>
        <v/>
      </c>
    </row>
    <row r="869" spans="23:53" ht="15" customHeight="1" x14ac:dyDescent="0.25">
      <c r="W869" s="14" t="str">
        <f>IF(X869="","",IFERROR(INDEX($AL$11:$AL$4010,MATCH(859,$AY$11:$AY$4010,0)),""))</f>
        <v/>
      </c>
      <c r="X869" s="12" t="str">
        <f>IFERROR(INDEX($AM$11:$AM$4010,MATCH(859,$AY$11:$AY$4010,0)),"")</f>
        <v/>
      </c>
      <c r="Y869" s="11" t="str">
        <f>IF(X869="","",IFERROR(INDEX($AN$11:$AN$4010,MATCH(859,$AY$11:$AY$4010,0)),""))</f>
        <v/>
      </c>
      <c r="Z869" s="11" t="str">
        <f>IF(X869="","",IFERROR(INDEX($AO$11:$AO$4010,MATCH(859,$AY$11:$AY$4010,0)),""))</f>
        <v/>
      </c>
      <c r="AA869" s="10" t="str">
        <f>IF(X869="","",IFERROR(INDEX($AQ$11:$AQ$4010,MATCH(859,$AY$11:$AY$4010,0)),""))</f>
        <v/>
      </c>
      <c r="AB869" s="15" t="str">
        <f>IF(X869="","",IFERROR(INDEX($AR$11:$AR$4010,MATCH(859,$AY$11:$AY$4010,0)),""))</f>
        <v/>
      </c>
      <c r="AD869" s="16" t="str">
        <f>IF(AE869="","",IFERROR(INDEX($AL$11:$AL$4010,MATCH(859,$AZ$11:$AZ$4010,0)),""))</f>
        <v/>
      </c>
      <c r="AE869" s="12" t="str">
        <f>IFERROR(INDEX($AM$11:$AM$4010,MATCH(859,$AZ$11:$AZ$4010,0)),"")</f>
        <v/>
      </c>
      <c r="AF869" s="11" t="str">
        <f>IF(AE869="","",IFERROR(INDEX($AN$11:$AN$4010,MATCH(859,$AZ$11:$AZ$4010,0)),""))</f>
        <v/>
      </c>
      <c r="AG869" s="11" t="str">
        <f>IF(AE869="","",IFERROR(INDEX($AO$11:$AO$4010,MATCH(859,$AZ$11:$AZ$4010,0)),""))</f>
        <v/>
      </c>
      <c r="AH869" s="10" t="str">
        <f>IF(AE869="","",IFERROR(INDEX($AQ$11:$AQ$4010,MATCH(859,$AZ$11:$AZ$4010,0)),""))</f>
        <v/>
      </c>
      <c r="AI869" s="15" t="str">
        <f>IF(AE869="","",IFERROR(INDEX($AR$11:$AR$4010,MATCH(859,$AZ$11:$AZ$4010,0)),""))</f>
        <v/>
      </c>
      <c r="AJ869" s="15" t="str">
        <f>IF(AE869="","",IFERROR(INDEX($AT$11:$AT$4010,MATCH(859,$AZ$11:$AZ$4010,0)),""))</f>
        <v/>
      </c>
      <c r="AL869" s="17"/>
      <c r="AM869" s="12"/>
      <c r="AN869" s="18"/>
      <c r="AO869" s="18"/>
      <c r="AP869" s="10"/>
      <c r="AQ869" s="10"/>
      <c r="AR869" s="19"/>
      <c r="AS869" s="20"/>
      <c r="AT869" s="19"/>
      <c r="AV869" s="21">
        <f>IF(AND($AL869&lt;&gt;"",COUNTIF($AL$11:$AL869,$AL869)=1),1,0)</f>
        <v>0</v>
      </c>
      <c r="AW869" s="21">
        <f t="shared" si="113"/>
        <v>0</v>
      </c>
      <c r="AX869" s="21" t="str">
        <f t="shared" si="112"/>
        <v/>
      </c>
      <c r="AY869" s="21" t="str">
        <f>IF(AND($AM869&lt;&gt;"",$AS869&lt;&gt;"✓"),SUMPRODUCT(($AM$11:$AM869&lt;&gt;"")*($AS$11:$AS869&lt;&gt;"✓")),"")</f>
        <v/>
      </c>
      <c r="AZ869" s="21" t="str">
        <f>IF(AND($AM869&lt;&gt;"",$AS869="✓"),SUMPRODUCT(($AM$11:$AM869&lt;&gt;"")*($AS$11:$AS869="✓")),"")</f>
        <v/>
      </c>
      <c r="BA869" s="21" t="str">
        <f>IF($AL869="","",$AL869&amp;"|"&amp;COUNTIF($AL$11:$AL869,$AL869))</f>
        <v/>
      </c>
    </row>
    <row r="870" spans="23:53" ht="15" customHeight="1" x14ac:dyDescent="0.25">
      <c r="W870" s="28" t="str">
        <f>IF(X870="","",IFERROR(INDEX($AL$11:$AL$4010,MATCH(860,$AY$11:$AY$4010,0)),""))</f>
        <v/>
      </c>
      <c r="X870" s="26" t="str">
        <f>IFERROR(INDEX($AM$11:$AM$4010,MATCH(860,$AY$11:$AY$4010,0)),"")</f>
        <v/>
      </c>
      <c r="Y870" s="25" t="str">
        <f>IF(X870="","",IFERROR(INDEX($AN$11:$AN$4010,MATCH(860,$AY$11:$AY$4010,0)),""))</f>
        <v/>
      </c>
      <c r="Z870" s="25" t="str">
        <f>IF(X870="","",IFERROR(INDEX($AO$11:$AO$4010,MATCH(860,$AY$11:$AY$4010,0)),""))</f>
        <v/>
      </c>
      <c r="AA870" s="24" t="str">
        <f>IF(X870="","",IFERROR(INDEX($AQ$11:$AQ$4010,MATCH(860,$AY$11:$AY$4010,0)),""))</f>
        <v/>
      </c>
      <c r="AB870" s="29" t="str">
        <f>IF(X870="","",IFERROR(INDEX($AR$11:$AR$4010,MATCH(860,$AY$11:$AY$4010,0)),""))</f>
        <v/>
      </c>
      <c r="AD870" s="30" t="str">
        <f>IF(AE870="","",IFERROR(INDEX($AL$11:$AL$4010,MATCH(860,$AZ$11:$AZ$4010,0)),""))</f>
        <v/>
      </c>
      <c r="AE870" s="26" t="str">
        <f>IFERROR(INDEX($AM$11:$AM$4010,MATCH(860,$AZ$11:$AZ$4010,0)),"")</f>
        <v/>
      </c>
      <c r="AF870" s="25" t="str">
        <f>IF(AE870="","",IFERROR(INDEX($AN$11:$AN$4010,MATCH(860,$AZ$11:$AZ$4010,0)),""))</f>
        <v/>
      </c>
      <c r="AG870" s="25" t="str">
        <f>IF(AE870="","",IFERROR(INDEX($AO$11:$AO$4010,MATCH(860,$AZ$11:$AZ$4010,0)),""))</f>
        <v/>
      </c>
      <c r="AH870" s="24" t="str">
        <f>IF(AE870="","",IFERROR(INDEX($AQ$11:$AQ$4010,MATCH(860,$AZ$11:$AZ$4010,0)),""))</f>
        <v/>
      </c>
      <c r="AI870" s="29" t="str">
        <f>IF(AE870="","",IFERROR(INDEX($AR$11:$AR$4010,MATCH(860,$AZ$11:$AZ$4010,0)),""))</f>
        <v/>
      </c>
      <c r="AJ870" s="29" t="str">
        <f>IF(AE870="","",IFERROR(INDEX($AT$11:$AT$4010,MATCH(860,$AZ$11:$AZ$4010,0)),""))</f>
        <v/>
      </c>
      <c r="AL870" s="31"/>
      <c r="AM870" s="26"/>
      <c r="AN870" s="32"/>
      <c r="AO870" s="32"/>
      <c r="AP870" s="24"/>
      <c r="AQ870" s="24"/>
      <c r="AR870" s="33"/>
      <c r="AS870" s="34"/>
      <c r="AT870" s="33"/>
      <c r="AV870" s="21">
        <f>IF(AND($AL870&lt;&gt;"",COUNTIF($AL$11:$AL870,$AL870)=1),1,0)</f>
        <v>0</v>
      </c>
      <c r="AW870" s="21">
        <f t="shared" si="113"/>
        <v>0</v>
      </c>
      <c r="AX870" s="21" t="str">
        <f t="shared" si="112"/>
        <v/>
      </c>
      <c r="AY870" s="21" t="str">
        <f>IF(AND($AM870&lt;&gt;"",$AS870&lt;&gt;"✓"),SUMPRODUCT(($AM$11:$AM870&lt;&gt;"")*($AS$11:$AS870&lt;&gt;"✓")),"")</f>
        <v/>
      </c>
      <c r="AZ870" s="21" t="str">
        <f>IF(AND($AM870&lt;&gt;"",$AS870="✓"),SUMPRODUCT(($AM$11:$AM870&lt;&gt;"")*($AS$11:$AS870="✓")),"")</f>
        <v/>
      </c>
      <c r="BA870" s="21" t="str">
        <f>IF($AL870="","",$AL870&amp;"|"&amp;COUNTIF($AL$11:$AL870,$AL870))</f>
        <v/>
      </c>
    </row>
    <row r="871" spans="23:53" ht="15" customHeight="1" x14ac:dyDescent="0.25">
      <c r="W871" s="14" t="str">
        <f>IF(X871="","",IFERROR(INDEX($AL$11:$AL$4010,MATCH(861,$AY$11:$AY$4010,0)),""))</f>
        <v/>
      </c>
      <c r="X871" s="12" t="str">
        <f>IFERROR(INDEX($AM$11:$AM$4010,MATCH(861,$AY$11:$AY$4010,0)),"")</f>
        <v/>
      </c>
      <c r="Y871" s="11" t="str">
        <f>IF(X871="","",IFERROR(INDEX($AN$11:$AN$4010,MATCH(861,$AY$11:$AY$4010,0)),""))</f>
        <v/>
      </c>
      <c r="Z871" s="11" t="str">
        <f>IF(X871="","",IFERROR(INDEX($AO$11:$AO$4010,MATCH(861,$AY$11:$AY$4010,0)),""))</f>
        <v/>
      </c>
      <c r="AA871" s="10" t="str">
        <f>IF(X871="","",IFERROR(INDEX($AQ$11:$AQ$4010,MATCH(861,$AY$11:$AY$4010,0)),""))</f>
        <v/>
      </c>
      <c r="AB871" s="15" t="str">
        <f>IF(X871="","",IFERROR(INDEX($AR$11:$AR$4010,MATCH(861,$AY$11:$AY$4010,0)),""))</f>
        <v/>
      </c>
      <c r="AD871" s="16" t="str">
        <f>IF(AE871="","",IFERROR(INDEX($AL$11:$AL$4010,MATCH(861,$AZ$11:$AZ$4010,0)),""))</f>
        <v/>
      </c>
      <c r="AE871" s="12" t="str">
        <f>IFERROR(INDEX($AM$11:$AM$4010,MATCH(861,$AZ$11:$AZ$4010,0)),"")</f>
        <v/>
      </c>
      <c r="AF871" s="11" t="str">
        <f>IF(AE871="","",IFERROR(INDEX($AN$11:$AN$4010,MATCH(861,$AZ$11:$AZ$4010,0)),""))</f>
        <v/>
      </c>
      <c r="AG871" s="11" t="str">
        <f>IF(AE871="","",IFERROR(INDEX($AO$11:$AO$4010,MATCH(861,$AZ$11:$AZ$4010,0)),""))</f>
        <v/>
      </c>
      <c r="AH871" s="10" t="str">
        <f>IF(AE871="","",IFERROR(INDEX($AQ$11:$AQ$4010,MATCH(861,$AZ$11:$AZ$4010,0)),""))</f>
        <v/>
      </c>
      <c r="AI871" s="15" t="str">
        <f>IF(AE871="","",IFERROR(INDEX($AR$11:$AR$4010,MATCH(861,$AZ$11:$AZ$4010,0)),""))</f>
        <v/>
      </c>
      <c r="AJ871" s="15" t="str">
        <f>IF(AE871="","",IFERROR(INDEX($AT$11:$AT$4010,MATCH(861,$AZ$11:$AZ$4010,0)),""))</f>
        <v/>
      </c>
      <c r="AL871" s="17"/>
      <c r="AM871" s="12"/>
      <c r="AN871" s="18"/>
      <c r="AO871" s="18"/>
      <c r="AP871" s="10"/>
      <c r="AQ871" s="10"/>
      <c r="AR871" s="19"/>
      <c r="AS871" s="20"/>
      <c r="AT871" s="19"/>
      <c r="AV871" s="21">
        <f>IF(AND($AL871&lt;&gt;"",COUNTIF($AL$11:$AL871,$AL871)=1),1,0)</f>
        <v>0</v>
      </c>
      <c r="AW871" s="21">
        <f t="shared" si="113"/>
        <v>0</v>
      </c>
      <c r="AX871" s="21" t="str">
        <f t="shared" si="112"/>
        <v/>
      </c>
      <c r="AY871" s="21" t="str">
        <f>IF(AND($AM871&lt;&gt;"",$AS871&lt;&gt;"✓"),SUMPRODUCT(($AM$11:$AM871&lt;&gt;"")*($AS$11:$AS871&lt;&gt;"✓")),"")</f>
        <v/>
      </c>
      <c r="AZ871" s="21" t="str">
        <f>IF(AND($AM871&lt;&gt;"",$AS871="✓"),SUMPRODUCT(($AM$11:$AM871&lt;&gt;"")*($AS$11:$AS871="✓")),"")</f>
        <v/>
      </c>
      <c r="BA871" s="21" t="str">
        <f>IF($AL871="","",$AL871&amp;"|"&amp;COUNTIF($AL$11:$AL871,$AL871))</f>
        <v/>
      </c>
    </row>
    <row r="872" spans="23:53" ht="15" customHeight="1" x14ac:dyDescent="0.25">
      <c r="W872" s="28" t="str">
        <f>IF(X872="","",IFERROR(INDEX($AL$11:$AL$4010,MATCH(862,$AY$11:$AY$4010,0)),""))</f>
        <v/>
      </c>
      <c r="X872" s="26" t="str">
        <f>IFERROR(INDEX($AM$11:$AM$4010,MATCH(862,$AY$11:$AY$4010,0)),"")</f>
        <v/>
      </c>
      <c r="Y872" s="25" t="str">
        <f>IF(X872="","",IFERROR(INDEX($AN$11:$AN$4010,MATCH(862,$AY$11:$AY$4010,0)),""))</f>
        <v/>
      </c>
      <c r="Z872" s="25" t="str">
        <f>IF(X872="","",IFERROR(INDEX($AO$11:$AO$4010,MATCH(862,$AY$11:$AY$4010,0)),""))</f>
        <v/>
      </c>
      <c r="AA872" s="24" t="str">
        <f>IF(X872="","",IFERROR(INDEX($AQ$11:$AQ$4010,MATCH(862,$AY$11:$AY$4010,0)),""))</f>
        <v/>
      </c>
      <c r="AB872" s="29" t="str">
        <f>IF(X872="","",IFERROR(INDEX($AR$11:$AR$4010,MATCH(862,$AY$11:$AY$4010,0)),""))</f>
        <v/>
      </c>
      <c r="AD872" s="30" t="str">
        <f>IF(AE872="","",IFERROR(INDEX($AL$11:$AL$4010,MATCH(862,$AZ$11:$AZ$4010,0)),""))</f>
        <v/>
      </c>
      <c r="AE872" s="26" t="str">
        <f>IFERROR(INDEX($AM$11:$AM$4010,MATCH(862,$AZ$11:$AZ$4010,0)),"")</f>
        <v/>
      </c>
      <c r="AF872" s="25" t="str">
        <f>IF(AE872="","",IFERROR(INDEX($AN$11:$AN$4010,MATCH(862,$AZ$11:$AZ$4010,0)),""))</f>
        <v/>
      </c>
      <c r="AG872" s="25" t="str">
        <f>IF(AE872="","",IFERROR(INDEX($AO$11:$AO$4010,MATCH(862,$AZ$11:$AZ$4010,0)),""))</f>
        <v/>
      </c>
      <c r="AH872" s="24" t="str">
        <f>IF(AE872="","",IFERROR(INDEX($AQ$11:$AQ$4010,MATCH(862,$AZ$11:$AZ$4010,0)),""))</f>
        <v/>
      </c>
      <c r="AI872" s="29" t="str">
        <f>IF(AE872="","",IFERROR(INDEX($AR$11:$AR$4010,MATCH(862,$AZ$11:$AZ$4010,0)),""))</f>
        <v/>
      </c>
      <c r="AJ872" s="29" t="str">
        <f>IF(AE872="","",IFERROR(INDEX($AT$11:$AT$4010,MATCH(862,$AZ$11:$AZ$4010,0)),""))</f>
        <v/>
      </c>
      <c r="AL872" s="31"/>
      <c r="AM872" s="26"/>
      <c r="AN872" s="32"/>
      <c r="AO872" s="32"/>
      <c r="AP872" s="24"/>
      <c r="AQ872" s="24"/>
      <c r="AR872" s="33"/>
      <c r="AS872" s="34"/>
      <c r="AT872" s="33"/>
      <c r="AV872" s="21">
        <f>IF(AND($AL872&lt;&gt;"",COUNTIF($AL$11:$AL872,$AL872)=1),1,0)</f>
        <v>0</v>
      </c>
      <c r="AW872" s="21">
        <f t="shared" si="113"/>
        <v>0</v>
      </c>
      <c r="AX872" s="21" t="str">
        <f t="shared" si="112"/>
        <v/>
      </c>
      <c r="AY872" s="21" t="str">
        <f>IF(AND($AM872&lt;&gt;"",$AS872&lt;&gt;"✓"),SUMPRODUCT(($AM$11:$AM872&lt;&gt;"")*($AS$11:$AS872&lt;&gt;"✓")),"")</f>
        <v/>
      </c>
      <c r="AZ872" s="21" t="str">
        <f>IF(AND($AM872&lt;&gt;"",$AS872="✓"),SUMPRODUCT(($AM$11:$AM872&lt;&gt;"")*($AS$11:$AS872="✓")),"")</f>
        <v/>
      </c>
      <c r="BA872" s="21" t="str">
        <f>IF($AL872="","",$AL872&amp;"|"&amp;COUNTIF($AL$11:$AL872,$AL872))</f>
        <v/>
      </c>
    </row>
    <row r="873" spans="23:53" ht="15" customHeight="1" x14ac:dyDescent="0.25">
      <c r="W873" s="14" t="str">
        <f>IF(X873="","",IFERROR(INDEX($AL$11:$AL$4010,MATCH(863,$AY$11:$AY$4010,0)),""))</f>
        <v/>
      </c>
      <c r="X873" s="12" t="str">
        <f>IFERROR(INDEX($AM$11:$AM$4010,MATCH(863,$AY$11:$AY$4010,0)),"")</f>
        <v/>
      </c>
      <c r="Y873" s="11" t="str">
        <f>IF(X873="","",IFERROR(INDEX($AN$11:$AN$4010,MATCH(863,$AY$11:$AY$4010,0)),""))</f>
        <v/>
      </c>
      <c r="Z873" s="11" t="str">
        <f>IF(X873="","",IFERROR(INDEX($AO$11:$AO$4010,MATCH(863,$AY$11:$AY$4010,0)),""))</f>
        <v/>
      </c>
      <c r="AA873" s="10" t="str">
        <f>IF(X873="","",IFERROR(INDEX($AQ$11:$AQ$4010,MATCH(863,$AY$11:$AY$4010,0)),""))</f>
        <v/>
      </c>
      <c r="AB873" s="15" t="str">
        <f>IF(X873="","",IFERROR(INDEX($AR$11:$AR$4010,MATCH(863,$AY$11:$AY$4010,0)),""))</f>
        <v/>
      </c>
      <c r="AD873" s="16" t="str">
        <f>IF(AE873="","",IFERROR(INDEX($AL$11:$AL$4010,MATCH(863,$AZ$11:$AZ$4010,0)),""))</f>
        <v/>
      </c>
      <c r="AE873" s="12" t="str">
        <f>IFERROR(INDEX($AM$11:$AM$4010,MATCH(863,$AZ$11:$AZ$4010,0)),"")</f>
        <v/>
      </c>
      <c r="AF873" s="11" t="str">
        <f>IF(AE873="","",IFERROR(INDEX($AN$11:$AN$4010,MATCH(863,$AZ$11:$AZ$4010,0)),""))</f>
        <v/>
      </c>
      <c r="AG873" s="11" t="str">
        <f>IF(AE873="","",IFERROR(INDEX($AO$11:$AO$4010,MATCH(863,$AZ$11:$AZ$4010,0)),""))</f>
        <v/>
      </c>
      <c r="AH873" s="10" t="str">
        <f>IF(AE873="","",IFERROR(INDEX($AQ$11:$AQ$4010,MATCH(863,$AZ$11:$AZ$4010,0)),""))</f>
        <v/>
      </c>
      <c r="AI873" s="15" t="str">
        <f>IF(AE873="","",IFERROR(INDEX($AR$11:$AR$4010,MATCH(863,$AZ$11:$AZ$4010,0)),""))</f>
        <v/>
      </c>
      <c r="AJ873" s="15" t="str">
        <f>IF(AE873="","",IFERROR(INDEX($AT$11:$AT$4010,MATCH(863,$AZ$11:$AZ$4010,0)),""))</f>
        <v/>
      </c>
      <c r="AL873" s="17"/>
      <c r="AM873" s="12"/>
      <c r="AN873" s="18"/>
      <c r="AO873" s="18"/>
      <c r="AP873" s="10"/>
      <c r="AQ873" s="10"/>
      <c r="AR873" s="19"/>
      <c r="AS873" s="20"/>
      <c r="AT873" s="19"/>
      <c r="AV873" s="21">
        <f>IF(AND($AL873&lt;&gt;"",COUNTIF($AL$11:$AL873,$AL873)=1),1,0)</f>
        <v>0</v>
      </c>
      <c r="AW873" s="21">
        <f t="shared" si="113"/>
        <v>0</v>
      </c>
      <c r="AX873" s="21" t="str">
        <f t="shared" si="112"/>
        <v/>
      </c>
      <c r="AY873" s="21" t="str">
        <f>IF(AND($AM873&lt;&gt;"",$AS873&lt;&gt;"✓"),SUMPRODUCT(($AM$11:$AM873&lt;&gt;"")*($AS$11:$AS873&lt;&gt;"✓")),"")</f>
        <v/>
      </c>
      <c r="AZ873" s="21" t="str">
        <f>IF(AND($AM873&lt;&gt;"",$AS873="✓"),SUMPRODUCT(($AM$11:$AM873&lt;&gt;"")*($AS$11:$AS873="✓")),"")</f>
        <v/>
      </c>
      <c r="BA873" s="21" t="str">
        <f>IF($AL873="","",$AL873&amp;"|"&amp;COUNTIF($AL$11:$AL873,$AL873))</f>
        <v/>
      </c>
    </row>
    <row r="874" spans="23:53" ht="15" customHeight="1" x14ac:dyDescent="0.25">
      <c r="W874" s="28" t="str">
        <f>IF(X874="","",IFERROR(INDEX($AL$11:$AL$4010,MATCH(864,$AY$11:$AY$4010,0)),""))</f>
        <v/>
      </c>
      <c r="X874" s="26" t="str">
        <f>IFERROR(INDEX($AM$11:$AM$4010,MATCH(864,$AY$11:$AY$4010,0)),"")</f>
        <v/>
      </c>
      <c r="Y874" s="25" t="str">
        <f>IF(X874="","",IFERROR(INDEX($AN$11:$AN$4010,MATCH(864,$AY$11:$AY$4010,0)),""))</f>
        <v/>
      </c>
      <c r="Z874" s="25" t="str">
        <f>IF(X874="","",IFERROR(INDEX($AO$11:$AO$4010,MATCH(864,$AY$11:$AY$4010,0)),""))</f>
        <v/>
      </c>
      <c r="AA874" s="24" t="str">
        <f>IF(X874="","",IFERROR(INDEX($AQ$11:$AQ$4010,MATCH(864,$AY$11:$AY$4010,0)),""))</f>
        <v/>
      </c>
      <c r="AB874" s="29" t="str">
        <f>IF(X874="","",IFERROR(INDEX($AR$11:$AR$4010,MATCH(864,$AY$11:$AY$4010,0)),""))</f>
        <v/>
      </c>
      <c r="AD874" s="30" t="str">
        <f>IF(AE874="","",IFERROR(INDEX($AL$11:$AL$4010,MATCH(864,$AZ$11:$AZ$4010,0)),""))</f>
        <v/>
      </c>
      <c r="AE874" s="26" t="str">
        <f>IFERROR(INDEX($AM$11:$AM$4010,MATCH(864,$AZ$11:$AZ$4010,0)),"")</f>
        <v/>
      </c>
      <c r="AF874" s="25" t="str">
        <f>IF(AE874="","",IFERROR(INDEX($AN$11:$AN$4010,MATCH(864,$AZ$11:$AZ$4010,0)),""))</f>
        <v/>
      </c>
      <c r="AG874" s="25" t="str">
        <f>IF(AE874="","",IFERROR(INDEX($AO$11:$AO$4010,MATCH(864,$AZ$11:$AZ$4010,0)),""))</f>
        <v/>
      </c>
      <c r="AH874" s="24" t="str">
        <f>IF(AE874="","",IFERROR(INDEX($AQ$11:$AQ$4010,MATCH(864,$AZ$11:$AZ$4010,0)),""))</f>
        <v/>
      </c>
      <c r="AI874" s="29" t="str">
        <f>IF(AE874="","",IFERROR(INDEX($AR$11:$AR$4010,MATCH(864,$AZ$11:$AZ$4010,0)),""))</f>
        <v/>
      </c>
      <c r="AJ874" s="29" t="str">
        <f>IF(AE874="","",IFERROR(INDEX($AT$11:$AT$4010,MATCH(864,$AZ$11:$AZ$4010,0)),""))</f>
        <v/>
      </c>
      <c r="AL874" s="31"/>
      <c r="AM874" s="26"/>
      <c r="AN874" s="32"/>
      <c r="AO874" s="32"/>
      <c r="AP874" s="24"/>
      <c r="AQ874" s="24"/>
      <c r="AR874" s="33"/>
      <c r="AS874" s="34"/>
      <c r="AT874" s="33"/>
      <c r="AV874" s="21">
        <f>IF(AND($AL874&lt;&gt;"",COUNTIF($AL$11:$AL874,$AL874)=1),1,0)</f>
        <v>0</v>
      </c>
      <c r="AW874" s="21">
        <f t="shared" si="113"/>
        <v>0</v>
      </c>
      <c r="AX874" s="21" t="str">
        <f t="shared" si="112"/>
        <v/>
      </c>
      <c r="AY874" s="21" t="str">
        <f>IF(AND($AM874&lt;&gt;"",$AS874&lt;&gt;"✓"),SUMPRODUCT(($AM$11:$AM874&lt;&gt;"")*($AS$11:$AS874&lt;&gt;"✓")),"")</f>
        <v/>
      </c>
      <c r="AZ874" s="21" t="str">
        <f>IF(AND($AM874&lt;&gt;"",$AS874="✓"),SUMPRODUCT(($AM$11:$AM874&lt;&gt;"")*($AS$11:$AS874="✓")),"")</f>
        <v/>
      </c>
      <c r="BA874" s="21" t="str">
        <f>IF($AL874="","",$AL874&amp;"|"&amp;COUNTIF($AL$11:$AL874,$AL874))</f>
        <v/>
      </c>
    </row>
    <row r="875" spans="23:53" ht="15" customHeight="1" x14ac:dyDescent="0.25">
      <c r="W875" s="14" t="str">
        <f>IF(X875="","",IFERROR(INDEX($AL$11:$AL$4010,MATCH(865,$AY$11:$AY$4010,0)),""))</f>
        <v/>
      </c>
      <c r="X875" s="12" t="str">
        <f>IFERROR(INDEX($AM$11:$AM$4010,MATCH(865,$AY$11:$AY$4010,0)),"")</f>
        <v/>
      </c>
      <c r="Y875" s="11" t="str">
        <f>IF(X875="","",IFERROR(INDEX($AN$11:$AN$4010,MATCH(865,$AY$11:$AY$4010,0)),""))</f>
        <v/>
      </c>
      <c r="Z875" s="11" t="str">
        <f>IF(X875="","",IFERROR(INDEX($AO$11:$AO$4010,MATCH(865,$AY$11:$AY$4010,0)),""))</f>
        <v/>
      </c>
      <c r="AA875" s="10" t="str">
        <f>IF(X875="","",IFERROR(INDEX($AQ$11:$AQ$4010,MATCH(865,$AY$11:$AY$4010,0)),""))</f>
        <v/>
      </c>
      <c r="AB875" s="15" t="str">
        <f>IF(X875="","",IFERROR(INDEX($AR$11:$AR$4010,MATCH(865,$AY$11:$AY$4010,0)),""))</f>
        <v/>
      </c>
      <c r="AD875" s="16" t="str">
        <f>IF(AE875="","",IFERROR(INDEX($AL$11:$AL$4010,MATCH(865,$AZ$11:$AZ$4010,0)),""))</f>
        <v/>
      </c>
      <c r="AE875" s="12" t="str">
        <f>IFERROR(INDEX($AM$11:$AM$4010,MATCH(865,$AZ$11:$AZ$4010,0)),"")</f>
        <v/>
      </c>
      <c r="AF875" s="11" t="str">
        <f>IF(AE875="","",IFERROR(INDEX($AN$11:$AN$4010,MATCH(865,$AZ$11:$AZ$4010,0)),""))</f>
        <v/>
      </c>
      <c r="AG875" s="11" t="str">
        <f>IF(AE875="","",IFERROR(INDEX($AO$11:$AO$4010,MATCH(865,$AZ$11:$AZ$4010,0)),""))</f>
        <v/>
      </c>
      <c r="AH875" s="10" t="str">
        <f>IF(AE875="","",IFERROR(INDEX($AQ$11:$AQ$4010,MATCH(865,$AZ$11:$AZ$4010,0)),""))</f>
        <v/>
      </c>
      <c r="AI875" s="15" t="str">
        <f>IF(AE875="","",IFERROR(INDEX($AR$11:$AR$4010,MATCH(865,$AZ$11:$AZ$4010,0)),""))</f>
        <v/>
      </c>
      <c r="AJ875" s="15" t="str">
        <f>IF(AE875="","",IFERROR(INDEX($AT$11:$AT$4010,MATCH(865,$AZ$11:$AZ$4010,0)),""))</f>
        <v/>
      </c>
      <c r="AL875" s="17"/>
      <c r="AM875" s="12"/>
      <c r="AN875" s="18"/>
      <c r="AO875" s="18"/>
      <c r="AP875" s="10"/>
      <c r="AQ875" s="10"/>
      <c r="AR875" s="19"/>
      <c r="AS875" s="20"/>
      <c r="AT875" s="19"/>
      <c r="AV875" s="21">
        <f>IF(AND($AL875&lt;&gt;"",COUNTIF($AL$11:$AL875,$AL875)=1),1,0)</f>
        <v>0</v>
      </c>
      <c r="AW875" s="21">
        <f t="shared" si="113"/>
        <v>0</v>
      </c>
      <c r="AX875" s="21" t="str">
        <f t="shared" si="112"/>
        <v/>
      </c>
      <c r="AY875" s="21" t="str">
        <f>IF(AND($AM875&lt;&gt;"",$AS875&lt;&gt;"✓"),SUMPRODUCT(($AM$11:$AM875&lt;&gt;"")*($AS$11:$AS875&lt;&gt;"✓")),"")</f>
        <v/>
      </c>
      <c r="AZ875" s="21" t="str">
        <f>IF(AND($AM875&lt;&gt;"",$AS875="✓"),SUMPRODUCT(($AM$11:$AM875&lt;&gt;"")*($AS$11:$AS875="✓")),"")</f>
        <v/>
      </c>
      <c r="BA875" s="21" t="str">
        <f>IF($AL875="","",$AL875&amp;"|"&amp;COUNTIF($AL$11:$AL875,$AL875))</f>
        <v/>
      </c>
    </row>
    <row r="876" spans="23:53" ht="15" customHeight="1" x14ac:dyDescent="0.25">
      <c r="W876" s="28" t="str">
        <f>IF(X876="","",IFERROR(INDEX($AL$11:$AL$4010,MATCH(866,$AY$11:$AY$4010,0)),""))</f>
        <v/>
      </c>
      <c r="X876" s="26" t="str">
        <f>IFERROR(INDEX($AM$11:$AM$4010,MATCH(866,$AY$11:$AY$4010,0)),"")</f>
        <v/>
      </c>
      <c r="Y876" s="25" t="str">
        <f>IF(X876="","",IFERROR(INDEX($AN$11:$AN$4010,MATCH(866,$AY$11:$AY$4010,0)),""))</f>
        <v/>
      </c>
      <c r="Z876" s="25" t="str">
        <f>IF(X876="","",IFERROR(INDEX($AO$11:$AO$4010,MATCH(866,$AY$11:$AY$4010,0)),""))</f>
        <v/>
      </c>
      <c r="AA876" s="24" t="str">
        <f>IF(X876="","",IFERROR(INDEX($AQ$11:$AQ$4010,MATCH(866,$AY$11:$AY$4010,0)),""))</f>
        <v/>
      </c>
      <c r="AB876" s="29" t="str">
        <f>IF(X876="","",IFERROR(INDEX($AR$11:$AR$4010,MATCH(866,$AY$11:$AY$4010,0)),""))</f>
        <v/>
      </c>
      <c r="AD876" s="30" t="str">
        <f>IF(AE876="","",IFERROR(INDEX($AL$11:$AL$4010,MATCH(866,$AZ$11:$AZ$4010,0)),""))</f>
        <v/>
      </c>
      <c r="AE876" s="26" t="str">
        <f>IFERROR(INDEX($AM$11:$AM$4010,MATCH(866,$AZ$11:$AZ$4010,0)),"")</f>
        <v/>
      </c>
      <c r="AF876" s="25" t="str">
        <f>IF(AE876="","",IFERROR(INDEX($AN$11:$AN$4010,MATCH(866,$AZ$11:$AZ$4010,0)),""))</f>
        <v/>
      </c>
      <c r="AG876" s="25" t="str">
        <f>IF(AE876="","",IFERROR(INDEX($AO$11:$AO$4010,MATCH(866,$AZ$11:$AZ$4010,0)),""))</f>
        <v/>
      </c>
      <c r="AH876" s="24" t="str">
        <f>IF(AE876="","",IFERROR(INDEX($AQ$11:$AQ$4010,MATCH(866,$AZ$11:$AZ$4010,0)),""))</f>
        <v/>
      </c>
      <c r="AI876" s="29" t="str">
        <f>IF(AE876="","",IFERROR(INDEX($AR$11:$AR$4010,MATCH(866,$AZ$11:$AZ$4010,0)),""))</f>
        <v/>
      </c>
      <c r="AJ876" s="29" t="str">
        <f>IF(AE876="","",IFERROR(INDEX($AT$11:$AT$4010,MATCH(866,$AZ$11:$AZ$4010,0)),""))</f>
        <v/>
      </c>
      <c r="AL876" s="31"/>
      <c r="AM876" s="26"/>
      <c r="AN876" s="32"/>
      <c r="AO876" s="32"/>
      <c r="AP876" s="24"/>
      <c r="AQ876" s="24"/>
      <c r="AR876" s="33"/>
      <c r="AS876" s="34"/>
      <c r="AT876" s="33"/>
      <c r="AV876" s="21">
        <f>IF(AND($AL876&lt;&gt;"",COUNTIF($AL$11:$AL876,$AL876)=1),1,0)</f>
        <v>0</v>
      </c>
      <c r="AW876" s="21">
        <f t="shared" si="113"/>
        <v>0</v>
      </c>
      <c r="AX876" s="21" t="str">
        <f t="shared" si="112"/>
        <v/>
      </c>
      <c r="AY876" s="21" t="str">
        <f>IF(AND($AM876&lt;&gt;"",$AS876&lt;&gt;"✓"),SUMPRODUCT(($AM$11:$AM876&lt;&gt;"")*($AS$11:$AS876&lt;&gt;"✓")),"")</f>
        <v/>
      </c>
      <c r="AZ876" s="21" t="str">
        <f>IF(AND($AM876&lt;&gt;"",$AS876="✓"),SUMPRODUCT(($AM$11:$AM876&lt;&gt;"")*($AS$11:$AS876="✓")),"")</f>
        <v/>
      </c>
      <c r="BA876" s="21" t="str">
        <f>IF($AL876="","",$AL876&amp;"|"&amp;COUNTIF($AL$11:$AL876,$AL876))</f>
        <v/>
      </c>
    </row>
    <row r="877" spans="23:53" ht="15" customHeight="1" x14ac:dyDescent="0.25">
      <c r="W877" s="14" t="str">
        <f>IF(X877="","",IFERROR(INDEX($AL$11:$AL$4010,MATCH(867,$AY$11:$AY$4010,0)),""))</f>
        <v/>
      </c>
      <c r="X877" s="12" t="str">
        <f>IFERROR(INDEX($AM$11:$AM$4010,MATCH(867,$AY$11:$AY$4010,0)),"")</f>
        <v/>
      </c>
      <c r="Y877" s="11" t="str">
        <f>IF(X877="","",IFERROR(INDEX($AN$11:$AN$4010,MATCH(867,$AY$11:$AY$4010,0)),""))</f>
        <v/>
      </c>
      <c r="Z877" s="11" t="str">
        <f>IF(X877="","",IFERROR(INDEX($AO$11:$AO$4010,MATCH(867,$AY$11:$AY$4010,0)),""))</f>
        <v/>
      </c>
      <c r="AA877" s="10" t="str">
        <f>IF(X877="","",IFERROR(INDEX($AQ$11:$AQ$4010,MATCH(867,$AY$11:$AY$4010,0)),""))</f>
        <v/>
      </c>
      <c r="AB877" s="15" t="str">
        <f>IF(X877="","",IFERROR(INDEX($AR$11:$AR$4010,MATCH(867,$AY$11:$AY$4010,0)),""))</f>
        <v/>
      </c>
      <c r="AD877" s="16" t="str">
        <f>IF(AE877="","",IFERROR(INDEX($AL$11:$AL$4010,MATCH(867,$AZ$11:$AZ$4010,0)),""))</f>
        <v/>
      </c>
      <c r="AE877" s="12" t="str">
        <f>IFERROR(INDEX($AM$11:$AM$4010,MATCH(867,$AZ$11:$AZ$4010,0)),"")</f>
        <v/>
      </c>
      <c r="AF877" s="11" t="str">
        <f>IF(AE877="","",IFERROR(INDEX($AN$11:$AN$4010,MATCH(867,$AZ$11:$AZ$4010,0)),""))</f>
        <v/>
      </c>
      <c r="AG877" s="11" t="str">
        <f>IF(AE877="","",IFERROR(INDEX($AO$11:$AO$4010,MATCH(867,$AZ$11:$AZ$4010,0)),""))</f>
        <v/>
      </c>
      <c r="AH877" s="10" t="str">
        <f>IF(AE877="","",IFERROR(INDEX($AQ$11:$AQ$4010,MATCH(867,$AZ$11:$AZ$4010,0)),""))</f>
        <v/>
      </c>
      <c r="AI877" s="15" t="str">
        <f>IF(AE877="","",IFERROR(INDEX($AR$11:$AR$4010,MATCH(867,$AZ$11:$AZ$4010,0)),""))</f>
        <v/>
      </c>
      <c r="AJ877" s="15" t="str">
        <f>IF(AE877="","",IFERROR(INDEX($AT$11:$AT$4010,MATCH(867,$AZ$11:$AZ$4010,0)),""))</f>
        <v/>
      </c>
      <c r="AL877" s="17"/>
      <c r="AM877" s="12"/>
      <c r="AN877" s="18"/>
      <c r="AO877" s="18"/>
      <c r="AP877" s="10"/>
      <c r="AQ877" s="10"/>
      <c r="AR877" s="19"/>
      <c r="AS877" s="20"/>
      <c r="AT877" s="19"/>
      <c r="AV877" s="21">
        <f>IF(AND($AL877&lt;&gt;"",COUNTIF($AL$11:$AL877,$AL877)=1),1,0)</f>
        <v>0</v>
      </c>
      <c r="AW877" s="21">
        <f t="shared" si="113"/>
        <v>0</v>
      </c>
      <c r="AX877" s="21" t="str">
        <f t="shared" si="112"/>
        <v/>
      </c>
      <c r="AY877" s="21" t="str">
        <f>IF(AND($AM877&lt;&gt;"",$AS877&lt;&gt;"✓"),SUMPRODUCT(($AM$11:$AM877&lt;&gt;"")*($AS$11:$AS877&lt;&gt;"✓")),"")</f>
        <v/>
      </c>
      <c r="AZ877" s="21" t="str">
        <f>IF(AND($AM877&lt;&gt;"",$AS877="✓"),SUMPRODUCT(($AM$11:$AM877&lt;&gt;"")*($AS$11:$AS877="✓")),"")</f>
        <v/>
      </c>
      <c r="BA877" s="21" t="str">
        <f>IF($AL877="","",$AL877&amp;"|"&amp;COUNTIF($AL$11:$AL877,$AL877))</f>
        <v/>
      </c>
    </row>
    <row r="878" spans="23:53" ht="15" customHeight="1" x14ac:dyDescent="0.25">
      <c r="W878" s="28" t="str">
        <f>IF(X878="","",IFERROR(INDEX($AL$11:$AL$4010,MATCH(868,$AY$11:$AY$4010,0)),""))</f>
        <v/>
      </c>
      <c r="X878" s="26" t="str">
        <f>IFERROR(INDEX($AM$11:$AM$4010,MATCH(868,$AY$11:$AY$4010,0)),"")</f>
        <v/>
      </c>
      <c r="Y878" s="25" t="str">
        <f>IF(X878="","",IFERROR(INDEX($AN$11:$AN$4010,MATCH(868,$AY$11:$AY$4010,0)),""))</f>
        <v/>
      </c>
      <c r="Z878" s="25" t="str">
        <f>IF(X878="","",IFERROR(INDEX($AO$11:$AO$4010,MATCH(868,$AY$11:$AY$4010,0)),""))</f>
        <v/>
      </c>
      <c r="AA878" s="24" t="str">
        <f>IF(X878="","",IFERROR(INDEX($AQ$11:$AQ$4010,MATCH(868,$AY$11:$AY$4010,0)),""))</f>
        <v/>
      </c>
      <c r="AB878" s="29" t="str">
        <f>IF(X878="","",IFERROR(INDEX($AR$11:$AR$4010,MATCH(868,$AY$11:$AY$4010,0)),""))</f>
        <v/>
      </c>
      <c r="AD878" s="30" t="str">
        <f>IF(AE878="","",IFERROR(INDEX($AL$11:$AL$4010,MATCH(868,$AZ$11:$AZ$4010,0)),""))</f>
        <v/>
      </c>
      <c r="AE878" s="26" t="str">
        <f>IFERROR(INDEX($AM$11:$AM$4010,MATCH(868,$AZ$11:$AZ$4010,0)),"")</f>
        <v/>
      </c>
      <c r="AF878" s="25" t="str">
        <f>IF(AE878="","",IFERROR(INDEX($AN$11:$AN$4010,MATCH(868,$AZ$11:$AZ$4010,0)),""))</f>
        <v/>
      </c>
      <c r="AG878" s="25" t="str">
        <f>IF(AE878="","",IFERROR(INDEX($AO$11:$AO$4010,MATCH(868,$AZ$11:$AZ$4010,0)),""))</f>
        <v/>
      </c>
      <c r="AH878" s="24" t="str">
        <f>IF(AE878="","",IFERROR(INDEX($AQ$11:$AQ$4010,MATCH(868,$AZ$11:$AZ$4010,0)),""))</f>
        <v/>
      </c>
      <c r="AI878" s="29" t="str">
        <f>IF(AE878="","",IFERROR(INDEX($AR$11:$AR$4010,MATCH(868,$AZ$11:$AZ$4010,0)),""))</f>
        <v/>
      </c>
      <c r="AJ878" s="29" t="str">
        <f>IF(AE878="","",IFERROR(INDEX($AT$11:$AT$4010,MATCH(868,$AZ$11:$AZ$4010,0)),""))</f>
        <v/>
      </c>
      <c r="AL878" s="31"/>
      <c r="AM878" s="26"/>
      <c r="AN878" s="32"/>
      <c r="AO878" s="32"/>
      <c r="AP878" s="24"/>
      <c r="AQ878" s="24"/>
      <c r="AR878" s="33"/>
      <c r="AS878" s="34"/>
      <c r="AT878" s="33"/>
      <c r="AV878" s="21">
        <f>IF(AND($AL878&lt;&gt;"",COUNTIF($AL$11:$AL878,$AL878)=1),1,0)</f>
        <v>0</v>
      </c>
      <c r="AW878" s="21">
        <f t="shared" si="113"/>
        <v>0</v>
      </c>
      <c r="AX878" s="21" t="str">
        <f t="shared" si="112"/>
        <v/>
      </c>
      <c r="AY878" s="21" t="str">
        <f>IF(AND($AM878&lt;&gt;"",$AS878&lt;&gt;"✓"),SUMPRODUCT(($AM$11:$AM878&lt;&gt;"")*($AS$11:$AS878&lt;&gt;"✓")),"")</f>
        <v/>
      </c>
      <c r="AZ878" s="21" t="str">
        <f>IF(AND($AM878&lt;&gt;"",$AS878="✓"),SUMPRODUCT(($AM$11:$AM878&lt;&gt;"")*($AS$11:$AS878="✓")),"")</f>
        <v/>
      </c>
      <c r="BA878" s="21" t="str">
        <f>IF($AL878="","",$AL878&amp;"|"&amp;COUNTIF($AL$11:$AL878,$AL878))</f>
        <v/>
      </c>
    </row>
    <row r="879" spans="23:53" ht="15" customHeight="1" x14ac:dyDescent="0.25">
      <c r="W879" s="14" t="str">
        <f>IF(X879="","",IFERROR(INDEX($AL$11:$AL$4010,MATCH(869,$AY$11:$AY$4010,0)),""))</f>
        <v/>
      </c>
      <c r="X879" s="12" t="str">
        <f>IFERROR(INDEX($AM$11:$AM$4010,MATCH(869,$AY$11:$AY$4010,0)),"")</f>
        <v/>
      </c>
      <c r="Y879" s="11" t="str">
        <f>IF(X879="","",IFERROR(INDEX($AN$11:$AN$4010,MATCH(869,$AY$11:$AY$4010,0)),""))</f>
        <v/>
      </c>
      <c r="Z879" s="11" t="str">
        <f>IF(X879="","",IFERROR(INDEX($AO$11:$AO$4010,MATCH(869,$AY$11:$AY$4010,0)),""))</f>
        <v/>
      </c>
      <c r="AA879" s="10" t="str">
        <f>IF(X879="","",IFERROR(INDEX($AQ$11:$AQ$4010,MATCH(869,$AY$11:$AY$4010,0)),""))</f>
        <v/>
      </c>
      <c r="AB879" s="15" t="str">
        <f>IF(X879="","",IFERROR(INDEX($AR$11:$AR$4010,MATCH(869,$AY$11:$AY$4010,0)),""))</f>
        <v/>
      </c>
      <c r="AD879" s="16" t="str">
        <f>IF(AE879="","",IFERROR(INDEX($AL$11:$AL$4010,MATCH(869,$AZ$11:$AZ$4010,0)),""))</f>
        <v/>
      </c>
      <c r="AE879" s="12" t="str">
        <f>IFERROR(INDEX($AM$11:$AM$4010,MATCH(869,$AZ$11:$AZ$4010,0)),"")</f>
        <v/>
      </c>
      <c r="AF879" s="11" t="str">
        <f>IF(AE879="","",IFERROR(INDEX($AN$11:$AN$4010,MATCH(869,$AZ$11:$AZ$4010,0)),""))</f>
        <v/>
      </c>
      <c r="AG879" s="11" t="str">
        <f>IF(AE879="","",IFERROR(INDEX($AO$11:$AO$4010,MATCH(869,$AZ$11:$AZ$4010,0)),""))</f>
        <v/>
      </c>
      <c r="AH879" s="10" t="str">
        <f>IF(AE879="","",IFERROR(INDEX($AQ$11:$AQ$4010,MATCH(869,$AZ$11:$AZ$4010,0)),""))</f>
        <v/>
      </c>
      <c r="AI879" s="15" t="str">
        <f>IF(AE879="","",IFERROR(INDEX($AR$11:$AR$4010,MATCH(869,$AZ$11:$AZ$4010,0)),""))</f>
        <v/>
      </c>
      <c r="AJ879" s="15" t="str">
        <f>IF(AE879="","",IFERROR(INDEX($AT$11:$AT$4010,MATCH(869,$AZ$11:$AZ$4010,0)),""))</f>
        <v/>
      </c>
      <c r="AL879" s="17"/>
      <c r="AM879" s="12"/>
      <c r="AN879" s="18"/>
      <c r="AO879" s="18"/>
      <c r="AP879" s="10"/>
      <c r="AQ879" s="10"/>
      <c r="AR879" s="19"/>
      <c r="AS879" s="20"/>
      <c r="AT879" s="19"/>
      <c r="AV879" s="21">
        <f>IF(AND($AL879&lt;&gt;"",COUNTIF($AL$11:$AL879,$AL879)=1),1,0)</f>
        <v>0</v>
      </c>
      <c r="AW879" s="21">
        <f t="shared" si="113"/>
        <v>0</v>
      </c>
      <c r="AX879" s="21" t="str">
        <f t="shared" si="112"/>
        <v/>
      </c>
      <c r="AY879" s="21" t="str">
        <f>IF(AND($AM879&lt;&gt;"",$AS879&lt;&gt;"✓"),SUMPRODUCT(($AM$11:$AM879&lt;&gt;"")*($AS$11:$AS879&lt;&gt;"✓")),"")</f>
        <v/>
      </c>
      <c r="AZ879" s="21" t="str">
        <f>IF(AND($AM879&lt;&gt;"",$AS879="✓"),SUMPRODUCT(($AM$11:$AM879&lt;&gt;"")*($AS$11:$AS879="✓")),"")</f>
        <v/>
      </c>
      <c r="BA879" s="21" t="str">
        <f>IF($AL879="","",$AL879&amp;"|"&amp;COUNTIF($AL$11:$AL879,$AL879))</f>
        <v/>
      </c>
    </row>
    <row r="880" spans="23:53" ht="15" customHeight="1" x14ac:dyDescent="0.25">
      <c r="W880" s="28" t="str">
        <f>IF(X880="","",IFERROR(INDEX($AL$11:$AL$4010,MATCH(870,$AY$11:$AY$4010,0)),""))</f>
        <v/>
      </c>
      <c r="X880" s="26" t="str">
        <f>IFERROR(INDEX($AM$11:$AM$4010,MATCH(870,$AY$11:$AY$4010,0)),"")</f>
        <v/>
      </c>
      <c r="Y880" s="25" t="str">
        <f>IF(X880="","",IFERROR(INDEX($AN$11:$AN$4010,MATCH(870,$AY$11:$AY$4010,0)),""))</f>
        <v/>
      </c>
      <c r="Z880" s="25" t="str">
        <f>IF(X880="","",IFERROR(INDEX($AO$11:$AO$4010,MATCH(870,$AY$11:$AY$4010,0)),""))</f>
        <v/>
      </c>
      <c r="AA880" s="24" t="str">
        <f>IF(X880="","",IFERROR(INDEX($AQ$11:$AQ$4010,MATCH(870,$AY$11:$AY$4010,0)),""))</f>
        <v/>
      </c>
      <c r="AB880" s="29" t="str">
        <f>IF(X880="","",IFERROR(INDEX($AR$11:$AR$4010,MATCH(870,$AY$11:$AY$4010,0)),""))</f>
        <v/>
      </c>
      <c r="AD880" s="30" t="str">
        <f>IF(AE880="","",IFERROR(INDEX($AL$11:$AL$4010,MATCH(870,$AZ$11:$AZ$4010,0)),""))</f>
        <v/>
      </c>
      <c r="AE880" s="26" t="str">
        <f>IFERROR(INDEX($AM$11:$AM$4010,MATCH(870,$AZ$11:$AZ$4010,0)),"")</f>
        <v/>
      </c>
      <c r="AF880" s="25" t="str">
        <f>IF(AE880="","",IFERROR(INDEX($AN$11:$AN$4010,MATCH(870,$AZ$11:$AZ$4010,0)),""))</f>
        <v/>
      </c>
      <c r="AG880" s="25" t="str">
        <f>IF(AE880="","",IFERROR(INDEX($AO$11:$AO$4010,MATCH(870,$AZ$11:$AZ$4010,0)),""))</f>
        <v/>
      </c>
      <c r="AH880" s="24" t="str">
        <f>IF(AE880="","",IFERROR(INDEX($AQ$11:$AQ$4010,MATCH(870,$AZ$11:$AZ$4010,0)),""))</f>
        <v/>
      </c>
      <c r="AI880" s="29" t="str">
        <f>IF(AE880="","",IFERROR(INDEX($AR$11:$AR$4010,MATCH(870,$AZ$11:$AZ$4010,0)),""))</f>
        <v/>
      </c>
      <c r="AJ880" s="29" t="str">
        <f>IF(AE880="","",IFERROR(INDEX($AT$11:$AT$4010,MATCH(870,$AZ$11:$AZ$4010,0)),""))</f>
        <v/>
      </c>
      <c r="AL880" s="31"/>
      <c r="AM880" s="26"/>
      <c r="AN880" s="32"/>
      <c r="AO880" s="32"/>
      <c r="AP880" s="24"/>
      <c r="AQ880" s="24"/>
      <c r="AR880" s="33"/>
      <c r="AS880" s="34"/>
      <c r="AT880" s="33"/>
      <c r="AV880" s="21">
        <f>IF(AND($AL880&lt;&gt;"",COUNTIF($AL$11:$AL880,$AL880)=1),1,0)</f>
        <v>0</v>
      </c>
      <c r="AW880" s="21">
        <f t="shared" si="113"/>
        <v>0</v>
      </c>
      <c r="AX880" s="21" t="str">
        <f t="shared" si="112"/>
        <v/>
      </c>
      <c r="AY880" s="21" t="str">
        <f>IF(AND($AM880&lt;&gt;"",$AS880&lt;&gt;"✓"),SUMPRODUCT(($AM$11:$AM880&lt;&gt;"")*($AS$11:$AS880&lt;&gt;"✓")),"")</f>
        <v/>
      </c>
      <c r="AZ880" s="21" t="str">
        <f>IF(AND($AM880&lt;&gt;"",$AS880="✓"),SUMPRODUCT(($AM$11:$AM880&lt;&gt;"")*($AS$11:$AS880="✓")),"")</f>
        <v/>
      </c>
      <c r="BA880" s="21" t="str">
        <f>IF($AL880="","",$AL880&amp;"|"&amp;COUNTIF($AL$11:$AL880,$AL880))</f>
        <v/>
      </c>
    </row>
    <row r="881" spans="23:53" ht="15" customHeight="1" x14ac:dyDescent="0.25">
      <c r="W881" s="14" t="str">
        <f>IF(X881="","",IFERROR(INDEX($AL$11:$AL$4010,MATCH(871,$AY$11:$AY$4010,0)),""))</f>
        <v/>
      </c>
      <c r="X881" s="12" t="str">
        <f>IFERROR(INDEX($AM$11:$AM$4010,MATCH(871,$AY$11:$AY$4010,0)),"")</f>
        <v/>
      </c>
      <c r="Y881" s="11" t="str">
        <f>IF(X881="","",IFERROR(INDEX($AN$11:$AN$4010,MATCH(871,$AY$11:$AY$4010,0)),""))</f>
        <v/>
      </c>
      <c r="Z881" s="11" t="str">
        <f>IF(X881="","",IFERROR(INDEX($AO$11:$AO$4010,MATCH(871,$AY$11:$AY$4010,0)),""))</f>
        <v/>
      </c>
      <c r="AA881" s="10" t="str">
        <f>IF(X881="","",IFERROR(INDEX($AQ$11:$AQ$4010,MATCH(871,$AY$11:$AY$4010,0)),""))</f>
        <v/>
      </c>
      <c r="AB881" s="15" t="str">
        <f>IF(X881="","",IFERROR(INDEX($AR$11:$AR$4010,MATCH(871,$AY$11:$AY$4010,0)),""))</f>
        <v/>
      </c>
      <c r="AD881" s="16" t="str">
        <f>IF(AE881="","",IFERROR(INDEX($AL$11:$AL$4010,MATCH(871,$AZ$11:$AZ$4010,0)),""))</f>
        <v/>
      </c>
      <c r="AE881" s="12" t="str">
        <f>IFERROR(INDEX($AM$11:$AM$4010,MATCH(871,$AZ$11:$AZ$4010,0)),"")</f>
        <v/>
      </c>
      <c r="AF881" s="11" t="str">
        <f>IF(AE881="","",IFERROR(INDEX($AN$11:$AN$4010,MATCH(871,$AZ$11:$AZ$4010,0)),""))</f>
        <v/>
      </c>
      <c r="AG881" s="11" t="str">
        <f>IF(AE881="","",IFERROR(INDEX($AO$11:$AO$4010,MATCH(871,$AZ$11:$AZ$4010,0)),""))</f>
        <v/>
      </c>
      <c r="AH881" s="10" t="str">
        <f>IF(AE881="","",IFERROR(INDEX($AQ$11:$AQ$4010,MATCH(871,$AZ$11:$AZ$4010,0)),""))</f>
        <v/>
      </c>
      <c r="AI881" s="15" t="str">
        <f>IF(AE881="","",IFERROR(INDEX($AR$11:$AR$4010,MATCH(871,$AZ$11:$AZ$4010,0)),""))</f>
        <v/>
      </c>
      <c r="AJ881" s="15" t="str">
        <f>IF(AE881="","",IFERROR(INDEX($AT$11:$AT$4010,MATCH(871,$AZ$11:$AZ$4010,0)),""))</f>
        <v/>
      </c>
      <c r="AL881" s="17"/>
      <c r="AM881" s="12"/>
      <c r="AN881" s="18"/>
      <c r="AO881" s="18"/>
      <c r="AP881" s="10"/>
      <c r="AQ881" s="10"/>
      <c r="AR881" s="19"/>
      <c r="AS881" s="20"/>
      <c r="AT881" s="19"/>
      <c r="AV881" s="21">
        <f>IF(AND($AL881&lt;&gt;"",COUNTIF($AL$11:$AL881,$AL881)=1),1,0)</f>
        <v>0</v>
      </c>
      <c r="AW881" s="21">
        <f t="shared" si="113"/>
        <v>0</v>
      </c>
      <c r="AX881" s="21" t="str">
        <f t="shared" si="112"/>
        <v/>
      </c>
      <c r="AY881" s="21" t="str">
        <f>IF(AND($AM881&lt;&gt;"",$AS881&lt;&gt;"✓"),SUMPRODUCT(($AM$11:$AM881&lt;&gt;"")*($AS$11:$AS881&lt;&gt;"✓")),"")</f>
        <v/>
      </c>
      <c r="AZ881" s="21" t="str">
        <f>IF(AND($AM881&lt;&gt;"",$AS881="✓"),SUMPRODUCT(($AM$11:$AM881&lt;&gt;"")*($AS$11:$AS881="✓")),"")</f>
        <v/>
      </c>
      <c r="BA881" s="21" t="str">
        <f>IF($AL881="","",$AL881&amp;"|"&amp;COUNTIF($AL$11:$AL881,$AL881))</f>
        <v/>
      </c>
    </row>
    <row r="882" spans="23:53" ht="15" customHeight="1" x14ac:dyDescent="0.25">
      <c r="W882" s="28" t="str">
        <f>IF(X882="","",IFERROR(INDEX($AL$11:$AL$4010,MATCH(872,$AY$11:$AY$4010,0)),""))</f>
        <v/>
      </c>
      <c r="X882" s="26" t="str">
        <f>IFERROR(INDEX($AM$11:$AM$4010,MATCH(872,$AY$11:$AY$4010,0)),"")</f>
        <v/>
      </c>
      <c r="Y882" s="25" t="str">
        <f>IF(X882="","",IFERROR(INDEX($AN$11:$AN$4010,MATCH(872,$AY$11:$AY$4010,0)),""))</f>
        <v/>
      </c>
      <c r="Z882" s="25" t="str">
        <f>IF(X882="","",IFERROR(INDEX($AO$11:$AO$4010,MATCH(872,$AY$11:$AY$4010,0)),""))</f>
        <v/>
      </c>
      <c r="AA882" s="24" t="str">
        <f>IF(X882="","",IFERROR(INDEX($AQ$11:$AQ$4010,MATCH(872,$AY$11:$AY$4010,0)),""))</f>
        <v/>
      </c>
      <c r="AB882" s="29" t="str">
        <f>IF(X882="","",IFERROR(INDEX($AR$11:$AR$4010,MATCH(872,$AY$11:$AY$4010,0)),""))</f>
        <v/>
      </c>
      <c r="AD882" s="30" t="str">
        <f>IF(AE882="","",IFERROR(INDEX($AL$11:$AL$4010,MATCH(872,$AZ$11:$AZ$4010,0)),""))</f>
        <v/>
      </c>
      <c r="AE882" s="26" t="str">
        <f>IFERROR(INDEX($AM$11:$AM$4010,MATCH(872,$AZ$11:$AZ$4010,0)),"")</f>
        <v/>
      </c>
      <c r="AF882" s="25" t="str">
        <f>IF(AE882="","",IFERROR(INDEX($AN$11:$AN$4010,MATCH(872,$AZ$11:$AZ$4010,0)),""))</f>
        <v/>
      </c>
      <c r="AG882" s="25" t="str">
        <f>IF(AE882="","",IFERROR(INDEX($AO$11:$AO$4010,MATCH(872,$AZ$11:$AZ$4010,0)),""))</f>
        <v/>
      </c>
      <c r="AH882" s="24" t="str">
        <f>IF(AE882="","",IFERROR(INDEX($AQ$11:$AQ$4010,MATCH(872,$AZ$11:$AZ$4010,0)),""))</f>
        <v/>
      </c>
      <c r="AI882" s="29" t="str">
        <f>IF(AE882="","",IFERROR(INDEX($AR$11:$AR$4010,MATCH(872,$AZ$11:$AZ$4010,0)),""))</f>
        <v/>
      </c>
      <c r="AJ882" s="29" t="str">
        <f>IF(AE882="","",IFERROR(INDEX($AT$11:$AT$4010,MATCH(872,$AZ$11:$AZ$4010,0)),""))</f>
        <v/>
      </c>
      <c r="AL882" s="31"/>
      <c r="AM882" s="26"/>
      <c r="AN882" s="32"/>
      <c r="AO882" s="32"/>
      <c r="AP882" s="24"/>
      <c r="AQ882" s="24"/>
      <c r="AR882" s="33"/>
      <c r="AS882" s="34"/>
      <c r="AT882" s="33"/>
      <c r="AV882" s="21">
        <f>IF(AND($AL882&lt;&gt;"",COUNTIF($AL$11:$AL882,$AL882)=1),1,0)</f>
        <v>0</v>
      </c>
      <c r="AW882" s="21">
        <f t="shared" si="113"/>
        <v>0</v>
      </c>
      <c r="AX882" s="21" t="str">
        <f t="shared" si="112"/>
        <v/>
      </c>
      <c r="AY882" s="21" t="str">
        <f>IF(AND($AM882&lt;&gt;"",$AS882&lt;&gt;"✓"),SUMPRODUCT(($AM$11:$AM882&lt;&gt;"")*($AS$11:$AS882&lt;&gt;"✓")),"")</f>
        <v/>
      </c>
      <c r="AZ882" s="21" t="str">
        <f>IF(AND($AM882&lt;&gt;"",$AS882="✓"),SUMPRODUCT(($AM$11:$AM882&lt;&gt;"")*($AS$11:$AS882="✓")),"")</f>
        <v/>
      </c>
      <c r="BA882" s="21" t="str">
        <f>IF($AL882="","",$AL882&amp;"|"&amp;COUNTIF($AL$11:$AL882,$AL882))</f>
        <v/>
      </c>
    </row>
    <row r="883" spans="23:53" ht="15" customHeight="1" x14ac:dyDescent="0.25">
      <c r="W883" s="14" t="str">
        <f>IF(X883="","",IFERROR(INDEX($AL$11:$AL$4010,MATCH(873,$AY$11:$AY$4010,0)),""))</f>
        <v/>
      </c>
      <c r="X883" s="12" t="str">
        <f>IFERROR(INDEX($AM$11:$AM$4010,MATCH(873,$AY$11:$AY$4010,0)),"")</f>
        <v/>
      </c>
      <c r="Y883" s="11" t="str">
        <f>IF(X883="","",IFERROR(INDEX($AN$11:$AN$4010,MATCH(873,$AY$11:$AY$4010,0)),""))</f>
        <v/>
      </c>
      <c r="Z883" s="11" t="str">
        <f>IF(X883="","",IFERROR(INDEX($AO$11:$AO$4010,MATCH(873,$AY$11:$AY$4010,0)),""))</f>
        <v/>
      </c>
      <c r="AA883" s="10" t="str">
        <f>IF(X883="","",IFERROR(INDEX($AQ$11:$AQ$4010,MATCH(873,$AY$11:$AY$4010,0)),""))</f>
        <v/>
      </c>
      <c r="AB883" s="15" t="str">
        <f>IF(X883="","",IFERROR(INDEX($AR$11:$AR$4010,MATCH(873,$AY$11:$AY$4010,0)),""))</f>
        <v/>
      </c>
      <c r="AD883" s="16" t="str">
        <f>IF(AE883="","",IFERROR(INDEX($AL$11:$AL$4010,MATCH(873,$AZ$11:$AZ$4010,0)),""))</f>
        <v/>
      </c>
      <c r="AE883" s="12" t="str">
        <f>IFERROR(INDEX($AM$11:$AM$4010,MATCH(873,$AZ$11:$AZ$4010,0)),"")</f>
        <v/>
      </c>
      <c r="AF883" s="11" t="str">
        <f>IF(AE883="","",IFERROR(INDEX($AN$11:$AN$4010,MATCH(873,$AZ$11:$AZ$4010,0)),""))</f>
        <v/>
      </c>
      <c r="AG883" s="11" t="str">
        <f>IF(AE883="","",IFERROR(INDEX($AO$11:$AO$4010,MATCH(873,$AZ$11:$AZ$4010,0)),""))</f>
        <v/>
      </c>
      <c r="AH883" s="10" t="str">
        <f>IF(AE883="","",IFERROR(INDEX($AQ$11:$AQ$4010,MATCH(873,$AZ$11:$AZ$4010,0)),""))</f>
        <v/>
      </c>
      <c r="AI883" s="15" t="str">
        <f>IF(AE883="","",IFERROR(INDEX($AR$11:$AR$4010,MATCH(873,$AZ$11:$AZ$4010,0)),""))</f>
        <v/>
      </c>
      <c r="AJ883" s="15" t="str">
        <f>IF(AE883="","",IFERROR(INDEX($AT$11:$AT$4010,MATCH(873,$AZ$11:$AZ$4010,0)),""))</f>
        <v/>
      </c>
      <c r="AL883" s="17"/>
      <c r="AM883" s="12"/>
      <c r="AN883" s="18"/>
      <c r="AO883" s="18"/>
      <c r="AP883" s="10"/>
      <c r="AQ883" s="10"/>
      <c r="AR883" s="19"/>
      <c r="AS883" s="20"/>
      <c r="AT883" s="19"/>
      <c r="AV883" s="21">
        <f>IF(AND($AL883&lt;&gt;"",COUNTIF($AL$11:$AL883,$AL883)=1),1,0)</f>
        <v>0</v>
      </c>
      <c r="AW883" s="21">
        <f t="shared" si="113"/>
        <v>0</v>
      </c>
      <c r="AX883" s="21" t="str">
        <f t="shared" si="112"/>
        <v/>
      </c>
      <c r="AY883" s="21" t="str">
        <f>IF(AND($AM883&lt;&gt;"",$AS883&lt;&gt;"✓"),SUMPRODUCT(($AM$11:$AM883&lt;&gt;"")*($AS$11:$AS883&lt;&gt;"✓")),"")</f>
        <v/>
      </c>
      <c r="AZ883" s="21" t="str">
        <f>IF(AND($AM883&lt;&gt;"",$AS883="✓"),SUMPRODUCT(($AM$11:$AM883&lt;&gt;"")*($AS$11:$AS883="✓")),"")</f>
        <v/>
      </c>
      <c r="BA883" s="21" t="str">
        <f>IF($AL883="","",$AL883&amp;"|"&amp;COUNTIF($AL$11:$AL883,$AL883))</f>
        <v/>
      </c>
    </row>
    <row r="884" spans="23:53" ht="15" customHeight="1" x14ac:dyDescent="0.25">
      <c r="W884" s="28" t="str">
        <f>IF(X884="","",IFERROR(INDEX($AL$11:$AL$4010,MATCH(874,$AY$11:$AY$4010,0)),""))</f>
        <v/>
      </c>
      <c r="X884" s="26" t="str">
        <f>IFERROR(INDEX($AM$11:$AM$4010,MATCH(874,$AY$11:$AY$4010,0)),"")</f>
        <v/>
      </c>
      <c r="Y884" s="25" t="str">
        <f>IF(X884="","",IFERROR(INDEX($AN$11:$AN$4010,MATCH(874,$AY$11:$AY$4010,0)),""))</f>
        <v/>
      </c>
      <c r="Z884" s="25" t="str">
        <f>IF(X884="","",IFERROR(INDEX($AO$11:$AO$4010,MATCH(874,$AY$11:$AY$4010,0)),""))</f>
        <v/>
      </c>
      <c r="AA884" s="24" t="str">
        <f>IF(X884="","",IFERROR(INDEX($AQ$11:$AQ$4010,MATCH(874,$AY$11:$AY$4010,0)),""))</f>
        <v/>
      </c>
      <c r="AB884" s="29" t="str">
        <f>IF(X884="","",IFERROR(INDEX($AR$11:$AR$4010,MATCH(874,$AY$11:$AY$4010,0)),""))</f>
        <v/>
      </c>
      <c r="AD884" s="30" t="str">
        <f>IF(AE884="","",IFERROR(INDEX($AL$11:$AL$4010,MATCH(874,$AZ$11:$AZ$4010,0)),""))</f>
        <v/>
      </c>
      <c r="AE884" s="26" t="str">
        <f>IFERROR(INDEX($AM$11:$AM$4010,MATCH(874,$AZ$11:$AZ$4010,0)),"")</f>
        <v/>
      </c>
      <c r="AF884" s="25" t="str">
        <f>IF(AE884="","",IFERROR(INDEX($AN$11:$AN$4010,MATCH(874,$AZ$11:$AZ$4010,0)),""))</f>
        <v/>
      </c>
      <c r="AG884" s="25" t="str">
        <f>IF(AE884="","",IFERROR(INDEX($AO$11:$AO$4010,MATCH(874,$AZ$11:$AZ$4010,0)),""))</f>
        <v/>
      </c>
      <c r="AH884" s="24" t="str">
        <f>IF(AE884="","",IFERROR(INDEX($AQ$11:$AQ$4010,MATCH(874,$AZ$11:$AZ$4010,0)),""))</f>
        <v/>
      </c>
      <c r="AI884" s="29" t="str">
        <f>IF(AE884="","",IFERROR(INDEX($AR$11:$AR$4010,MATCH(874,$AZ$11:$AZ$4010,0)),""))</f>
        <v/>
      </c>
      <c r="AJ884" s="29" t="str">
        <f>IF(AE884="","",IFERROR(INDEX($AT$11:$AT$4010,MATCH(874,$AZ$11:$AZ$4010,0)),""))</f>
        <v/>
      </c>
      <c r="AL884" s="31"/>
      <c r="AM884" s="26"/>
      <c r="AN884" s="32"/>
      <c r="AO884" s="32"/>
      <c r="AP884" s="24"/>
      <c r="AQ884" s="24"/>
      <c r="AR884" s="33"/>
      <c r="AS884" s="34"/>
      <c r="AT884" s="33"/>
      <c r="AV884" s="21">
        <f>IF(AND($AL884&lt;&gt;"",COUNTIF($AL$11:$AL884,$AL884)=1),1,0)</f>
        <v>0</v>
      </c>
      <c r="AW884" s="21">
        <f t="shared" si="113"/>
        <v>0</v>
      </c>
      <c r="AX884" s="21" t="str">
        <f t="shared" si="112"/>
        <v/>
      </c>
      <c r="AY884" s="21" t="str">
        <f>IF(AND($AM884&lt;&gt;"",$AS884&lt;&gt;"✓"),SUMPRODUCT(($AM$11:$AM884&lt;&gt;"")*($AS$11:$AS884&lt;&gt;"✓")),"")</f>
        <v/>
      </c>
      <c r="AZ884" s="21" t="str">
        <f>IF(AND($AM884&lt;&gt;"",$AS884="✓"),SUMPRODUCT(($AM$11:$AM884&lt;&gt;"")*($AS$11:$AS884="✓")),"")</f>
        <v/>
      </c>
      <c r="BA884" s="21" t="str">
        <f>IF($AL884="","",$AL884&amp;"|"&amp;COUNTIF($AL$11:$AL884,$AL884))</f>
        <v/>
      </c>
    </row>
    <row r="885" spans="23:53" ht="15" customHeight="1" x14ac:dyDescent="0.25">
      <c r="W885" s="14" t="str">
        <f>IF(X885="","",IFERROR(INDEX($AL$11:$AL$4010,MATCH(875,$AY$11:$AY$4010,0)),""))</f>
        <v/>
      </c>
      <c r="X885" s="12" t="str">
        <f>IFERROR(INDEX($AM$11:$AM$4010,MATCH(875,$AY$11:$AY$4010,0)),"")</f>
        <v/>
      </c>
      <c r="Y885" s="11" t="str">
        <f>IF(X885="","",IFERROR(INDEX($AN$11:$AN$4010,MATCH(875,$AY$11:$AY$4010,0)),""))</f>
        <v/>
      </c>
      <c r="Z885" s="11" t="str">
        <f>IF(X885="","",IFERROR(INDEX($AO$11:$AO$4010,MATCH(875,$AY$11:$AY$4010,0)),""))</f>
        <v/>
      </c>
      <c r="AA885" s="10" t="str">
        <f>IF(X885="","",IFERROR(INDEX($AQ$11:$AQ$4010,MATCH(875,$AY$11:$AY$4010,0)),""))</f>
        <v/>
      </c>
      <c r="AB885" s="15" t="str">
        <f>IF(X885="","",IFERROR(INDEX($AR$11:$AR$4010,MATCH(875,$AY$11:$AY$4010,0)),""))</f>
        <v/>
      </c>
      <c r="AD885" s="16" t="str">
        <f>IF(AE885="","",IFERROR(INDEX($AL$11:$AL$4010,MATCH(875,$AZ$11:$AZ$4010,0)),""))</f>
        <v/>
      </c>
      <c r="AE885" s="12" t="str">
        <f>IFERROR(INDEX($AM$11:$AM$4010,MATCH(875,$AZ$11:$AZ$4010,0)),"")</f>
        <v/>
      </c>
      <c r="AF885" s="11" t="str">
        <f>IF(AE885="","",IFERROR(INDEX($AN$11:$AN$4010,MATCH(875,$AZ$11:$AZ$4010,0)),""))</f>
        <v/>
      </c>
      <c r="AG885" s="11" t="str">
        <f>IF(AE885="","",IFERROR(INDEX($AO$11:$AO$4010,MATCH(875,$AZ$11:$AZ$4010,0)),""))</f>
        <v/>
      </c>
      <c r="AH885" s="10" t="str">
        <f>IF(AE885="","",IFERROR(INDEX($AQ$11:$AQ$4010,MATCH(875,$AZ$11:$AZ$4010,0)),""))</f>
        <v/>
      </c>
      <c r="AI885" s="15" t="str">
        <f>IF(AE885="","",IFERROR(INDEX($AR$11:$AR$4010,MATCH(875,$AZ$11:$AZ$4010,0)),""))</f>
        <v/>
      </c>
      <c r="AJ885" s="15" t="str">
        <f>IF(AE885="","",IFERROR(INDEX($AT$11:$AT$4010,MATCH(875,$AZ$11:$AZ$4010,0)),""))</f>
        <v/>
      </c>
      <c r="AL885" s="17"/>
      <c r="AM885" s="12"/>
      <c r="AN885" s="18"/>
      <c r="AO885" s="18"/>
      <c r="AP885" s="10"/>
      <c r="AQ885" s="10"/>
      <c r="AR885" s="19"/>
      <c r="AS885" s="20"/>
      <c r="AT885" s="19"/>
      <c r="AV885" s="21">
        <f>IF(AND($AL885&lt;&gt;"",COUNTIF($AL$11:$AL885,$AL885)=1),1,0)</f>
        <v>0</v>
      </c>
      <c r="AW885" s="21">
        <f t="shared" si="113"/>
        <v>0</v>
      </c>
      <c r="AX885" s="21" t="str">
        <f t="shared" si="112"/>
        <v/>
      </c>
      <c r="AY885" s="21" t="str">
        <f>IF(AND($AM885&lt;&gt;"",$AS885&lt;&gt;"✓"),SUMPRODUCT(($AM$11:$AM885&lt;&gt;"")*($AS$11:$AS885&lt;&gt;"✓")),"")</f>
        <v/>
      </c>
      <c r="AZ885" s="21" t="str">
        <f>IF(AND($AM885&lt;&gt;"",$AS885="✓"),SUMPRODUCT(($AM$11:$AM885&lt;&gt;"")*($AS$11:$AS885="✓")),"")</f>
        <v/>
      </c>
      <c r="BA885" s="21" t="str">
        <f>IF($AL885="","",$AL885&amp;"|"&amp;COUNTIF($AL$11:$AL885,$AL885))</f>
        <v/>
      </c>
    </row>
    <row r="886" spans="23:53" ht="15" customHeight="1" x14ac:dyDescent="0.25">
      <c r="W886" s="28" t="str">
        <f>IF(X886="","",IFERROR(INDEX($AL$11:$AL$4010,MATCH(876,$AY$11:$AY$4010,0)),""))</f>
        <v/>
      </c>
      <c r="X886" s="26" t="str">
        <f>IFERROR(INDEX($AM$11:$AM$4010,MATCH(876,$AY$11:$AY$4010,0)),"")</f>
        <v/>
      </c>
      <c r="Y886" s="25" t="str">
        <f>IF(X886="","",IFERROR(INDEX($AN$11:$AN$4010,MATCH(876,$AY$11:$AY$4010,0)),""))</f>
        <v/>
      </c>
      <c r="Z886" s="25" t="str">
        <f>IF(X886="","",IFERROR(INDEX($AO$11:$AO$4010,MATCH(876,$AY$11:$AY$4010,0)),""))</f>
        <v/>
      </c>
      <c r="AA886" s="24" t="str">
        <f>IF(X886="","",IFERROR(INDEX($AQ$11:$AQ$4010,MATCH(876,$AY$11:$AY$4010,0)),""))</f>
        <v/>
      </c>
      <c r="AB886" s="29" t="str">
        <f>IF(X886="","",IFERROR(INDEX($AR$11:$AR$4010,MATCH(876,$AY$11:$AY$4010,0)),""))</f>
        <v/>
      </c>
      <c r="AD886" s="30" t="str">
        <f>IF(AE886="","",IFERROR(INDEX($AL$11:$AL$4010,MATCH(876,$AZ$11:$AZ$4010,0)),""))</f>
        <v/>
      </c>
      <c r="AE886" s="26" t="str">
        <f>IFERROR(INDEX($AM$11:$AM$4010,MATCH(876,$AZ$11:$AZ$4010,0)),"")</f>
        <v/>
      </c>
      <c r="AF886" s="25" t="str">
        <f>IF(AE886="","",IFERROR(INDEX($AN$11:$AN$4010,MATCH(876,$AZ$11:$AZ$4010,0)),""))</f>
        <v/>
      </c>
      <c r="AG886" s="25" t="str">
        <f>IF(AE886="","",IFERROR(INDEX($AO$11:$AO$4010,MATCH(876,$AZ$11:$AZ$4010,0)),""))</f>
        <v/>
      </c>
      <c r="AH886" s="24" t="str">
        <f>IF(AE886="","",IFERROR(INDEX($AQ$11:$AQ$4010,MATCH(876,$AZ$11:$AZ$4010,0)),""))</f>
        <v/>
      </c>
      <c r="AI886" s="29" t="str">
        <f>IF(AE886="","",IFERROR(INDEX($AR$11:$AR$4010,MATCH(876,$AZ$11:$AZ$4010,0)),""))</f>
        <v/>
      </c>
      <c r="AJ886" s="29" t="str">
        <f>IF(AE886="","",IFERROR(INDEX($AT$11:$AT$4010,MATCH(876,$AZ$11:$AZ$4010,0)),""))</f>
        <v/>
      </c>
      <c r="AL886" s="31"/>
      <c r="AM886" s="26"/>
      <c r="AN886" s="32"/>
      <c r="AO886" s="32"/>
      <c r="AP886" s="24"/>
      <c r="AQ886" s="24"/>
      <c r="AR886" s="33"/>
      <c r="AS886" s="34"/>
      <c r="AT886" s="33"/>
      <c r="AV886" s="21">
        <f>IF(AND($AL886&lt;&gt;"",COUNTIF($AL$11:$AL886,$AL886)=1),1,0)</f>
        <v>0</v>
      </c>
      <c r="AW886" s="21">
        <f t="shared" si="113"/>
        <v>0</v>
      </c>
      <c r="AX886" s="21" t="str">
        <f t="shared" si="112"/>
        <v/>
      </c>
      <c r="AY886" s="21" t="str">
        <f>IF(AND($AM886&lt;&gt;"",$AS886&lt;&gt;"✓"),SUMPRODUCT(($AM$11:$AM886&lt;&gt;"")*($AS$11:$AS886&lt;&gt;"✓")),"")</f>
        <v/>
      </c>
      <c r="AZ886" s="21" t="str">
        <f>IF(AND($AM886&lt;&gt;"",$AS886="✓"),SUMPRODUCT(($AM$11:$AM886&lt;&gt;"")*($AS$11:$AS886="✓")),"")</f>
        <v/>
      </c>
      <c r="BA886" s="21" t="str">
        <f>IF($AL886="","",$AL886&amp;"|"&amp;COUNTIF($AL$11:$AL886,$AL886))</f>
        <v/>
      </c>
    </row>
    <row r="887" spans="23:53" ht="15" customHeight="1" x14ac:dyDescent="0.25">
      <c r="W887" s="14" t="str">
        <f>IF(X887="","",IFERROR(INDEX($AL$11:$AL$4010,MATCH(877,$AY$11:$AY$4010,0)),""))</f>
        <v/>
      </c>
      <c r="X887" s="12" t="str">
        <f>IFERROR(INDEX($AM$11:$AM$4010,MATCH(877,$AY$11:$AY$4010,0)),"")</f>
        <v/>
      </c>
      <c r="Y887" s="11" t="str">
        <f>IF(X887="","",IFERROR(INDEX($AN$11:$AN$4010,MATCH(877,$AY$11:$AY$4010,0)),""))</f>
        <v/>
      </c>
      <c r="Z887" s="11" t="str">
        <f>IF(X887="","",IFERROR(INDEX($AO$11:$AO$4010,MATCH(877,$AY$11:$AY$4010,0)),""))</f>
        <v/>
      </c>
      <c r="AA887" s="10" t="str">
        <f>IF(X887="","",IFERROR(INDEX($AQ$11:$AQ$4010,MATCH(877,$AY$11:$AY$4010,0)),""))</f>
        <v/>
      </c>
      <c r="AB887" s="15" t="str">
        <f>IF(X887="","",IFERROR(INDEX($AR$11:$AR$4010,MATCH(877,$AY$11:$AY$4010,0)),""))</f>
        <v/>
      </c>
      <c r="AD887" s="16" t="str">
        <f>IF(AE887="","",IFERROR(INDEX($AL$11:$AL$4010,MATCH(877,$AZ$11:$AZ$4010,0)),""))</f>
        <v/>
      </c>
      <c r="AE887" s="12" t="str">
        <f>IFERROR(INDEX($AM$11:$AM$4010,MATCH(877,$AZ$11:$AZ$4010,0)),"")</f>
        <v/>
      </c>
      <c r="AF887" s="11" t="str">
        <f>IF(AE887="","",IFERROR(INDEX($AN$11:$AN$4010,MATCH(877,$AZ$11:$AZ$4010,0)),""))</f>
        <v/>
      </c>
      <c r="AG887" s="11" t="str">
        <f>IF(AE887="","",IFERROR(INDEX($AO$11:$AO$4010,MATCH(877,$AZ$11:$AZ$4010,0)),""))</f>
        <v/>
      </c>
      <c r="AH887" s="10" t="str">
        <f>IF(AE887="","",IFERROR(INDEX($AQ$11:$AQ$4010,MATCH(877,$AZ$11:$AZ$4010,0)),""))</f>
        <v/>
      </c>
      <c r="AI887" s="15" t="str">
        <f>IF(AE887="","",IFERROR(INDEX($AR$11:$AR$4010,MATCH(877,$AZ$11:$AZ$4010,0)),""))</f>
        <v/>
      </c>
      <c r="AJ887" s="15" t="str">
        <f>IF(AE887="","",IFERROR(INDEX($AT$11:$AT$4010,MATCH(877,$AZ$11:$AZ$4010,0)),""))</f>
        <v/>
      </c>
      <c r="AL887" s="17"/>
      <c r="AM887" s="12"/>
      <c r="AN887" s="18"/>
      <c r="AO887" s="18"/>
      <c r="AP887" s="10"/>
      <c r="AQ887" s="10"/>
      <c r="AR887" s="19"/>
      <c r="AS887" s="20"/>
      <c r="AT887" s="19"/>
      <c r="AV887" s="21">
        <f>IF(AND($AL887&lt;&gt;"",COUNTIF($AL$11:$AL887,$AL887)=1),1,0)</f>
        <v>0</v>
      </c>
      <c r="AW887" s="21">
        <f t="shared" si="113"/>
        <v>0</v>
      </c>
      <c r="AX887" s="21" t="str">
        <f t="shared" si="112"/>
        <v/>
      </c>
      <c r="AY887" s="21" t="str">
        <f>IF(AND($AM887&lt;&gt;"",$AS887&lt;&gt;"✓"),SUMPRODUCT(($AM$11:$AM887&lt;&gt;"")*($AS$11:$AS887&lt;&gt;"✓")),"")</f>
        <v/>
      </c>
      <c r="AZ887" s="21" t="str">
        <f>IF(AND($AM887&lt;&gt;"",$AS887="✓"),SUMPRODUCT(($AM$11:$AM887&lt;&gt;"")*($AS$11:$AS887="✓")),"")</f>
        <v/>
      </c>
      <c r="BA887" s="21" t="str">
        <f>IF($AL887="","",$AL887&amp;"|"&amp;COUNTIF($AL$11:$AL887,$AL887))</f>
        <v/>
      </c>
    </row>
    <row r="888" spans="23:53" ht="15" customHeight="1" x14ac:dyDescent="0.25">
      <c r="W888" s="28" t="str">
        <f>IF(X888="","",IFERROR(INDEX($AL$11:$AL$4010,MATCH(878,$AY$11:$AY$4010,0)),""))</f>
        <v/>
      </c>
      <c r="X888" s="26" t="str">
        <f>IFERROR(INDEX($AM$11:$AM$4010,MATCH(878,$AY$11:$AY$4010,0)),"")</f>
        <v/>
      </c>
      <c r="Y888" s="25" t="str">
        <f>IF(X888="","",IFERROR(INDEX($AN$11:$AN$4010,MATCH(878,$AY$11:$AY$4010,0)),""))</f>
        <v/>
      </c>
      <c r="Z888" s="25" t="str">
        <f>IF(X888="","",IFERROR(INDEX($AO$11:$AO$4010,MATCH(878,$AY$11:$AY$4010,0)),""))</f>
        <v/>
      </c>
      <c r="AA888" s="24" t="str">
        <f>IF(X888="","",IFERROR(INDEX($AQ$11:$AQ$4010,MATCH(878,$AY$11:$AY$4010,0)),""))</f>
        <v/>
      </c>
      <c r="AB888" s="29" t="str">
        <f>IF(X888="","",IFERROR(INDEX($AR$11:$AR$4010,MATCH(878,$AY$11:$AY$4010,0)),""))</f>
        <v/>
      </c>
      <c r="AD888" s="30" t="str">
        <f>IF(AE888="","",IFERROR(INDEX($AL$11:$AL$4010,MATCH(878,$AZ$11:$AZ$4010,0)),""))</f>
        <v/>
      </c>
      <c r="AE888" s="26" t="str">
        <f>IFERROR(INDEX($AM$11:$AM$4010,MATCH(878,$AZ$11:$AZ$4010,0)),"")</f>
        <v/>
      </c>
      <c r="AF888" s="25" t="str">
        <f>IF(AE888="","",IFERROR(INDEX($AN$11:$AN$4010,MATCH(878,$AZ$11:$AZ$4010,0)),""))</f>
        <v/>
      </c>
      <c r="AG888" s="25" t="str">
        <f>IF(AE888="","",IFERROR(INDEX($AO$11:$AO$4010,MATCH(878,$AZ$11:$AZ$4010,0)),""))</f>
        <v/>
      </c>
      <c r="AH888" s="24" t="str">
        <f>IF(AE888="","",IFERROR(INDEX($AQ$11:$AQ$4010,MATCH(878,$AZ$11:$AZ$4010,0)),""))</f>
        <v/>
      </c>
      <c r="AI888" s="29" t="str">
        <f>IF(AE888="","",IFERROR(INDEX($AR$11:$AR$4010,MATCH(878,$AZ$11:$AZ$4010,0)),""))</f>
        <v/>
      </c>
      <c r="AJ888" s="29" t="str">
        <f>IF(AE888="","",IFERROR(INDEX($AT$11:$AT$4010,MATCH(878,$AZ$11:$AZ$4010,0)),""))</f>
        <v/>
      </c>
      <c r="AL888" s="31"/>
      <c r="AM888" s="26"/>
      <c r="AN888" s="32"/>
      <c r="AO888" s="32"/>
      <c r="AP888" s="24"/>
      <c r="AQ888" s="24"/>
      <c r="AR888" s="33"/>
      <c r="AS888" s="34"/>
      <c r="AT888" s="33"/>
      <c r="AV888" s="21">
        <f>IF(AND($AL888&lt;&gt;"",COUNTIF($AL$11:$AL888,$AL888)=1),1,0)</f>
        <v>0</v>
      </c>
      <c r="AW888" s="21">
        <f t="shared" si="113"/>
        <v>0</v>
      </c>
      <c r="AX888" s="21" t="str">
        <f t="shared" si="112"/>
        <v/>
      </c>
      <c r="AY888" s="21" t="str">
        <f>IF(AND($AM888&lt;&gt;"",$AS888&lt;&gt;"✓"),SUMPRODUCT(($AM$11:$AM888&lt;&gt;"")*($AS$11:$AS888&lt;&gt;"✓")),"")</f>
        <v/>
      </c>
      <c r="AZ888" s="21" t="str">
        <f>IF(AND($AM888&lt;&gt;"",$AS888="✓"),SUMPRODUCT(($AM$11:$AM888&lt;&gt;"")*($AS$11:$AS888="✓")),"")</f>
        <v/>
      </c>
      <c r="BA888" s="21" t="str">
        <f>IF($AL888="","",$AL888&amp;"|"&amp;COUNTIF($AL$11:$AL888,$AL888))</f>
        <v/>
      </c>
    </row>
    <row r="889" spans="23:53" ht="15" customHeight="1" x14ac:dyDescent="0.25">
      <c r="W889" s="14" t="str">
        <f>IF(X889="","",IFERROR(INDEX($AL$11:$AL$4010,MATCH(879,$AY$11:$AY$4010,0)),""))</f>
        <v/>
      </c>
      <c r="X889" s="12" t="str">
        <f>IFERROR(INDEX($AM$11:$AM$4010,MATCH(879,$AY$11:$AY$4010,0)),"")</f>
        <v/>
      </c>
      <c r="Y889" s="11" t="str">
        <f>IF(X889="","",IFERROR(INDEX($AN$11:$AN$4010,MATCH(879,$AY$11:$AY$4010,0)),""))</f>
        <v/>
      </c>
      <c r="Z889" s="11" t="str">
        <f>IF(X889="","",IFERROR(INDEX($AO$11:$AO$4010,MATCH(879,$AY$11:$AY$4010,0)),""))</f>
        <v/>
      </c>
      <c r="AA889" s="10" t="str">
        <f>IF(X889="","",IFERROR(INDEX($AQ$11:$AQ$4010,MATCH(879,$AY$11:$AY$4010,0)),""))</f>
        <v/>
      </c>
      <c r="AB889" s="15" t="str">
        <f>IF(X889="","",IFERROR(INDEX($AR$11:$AR$4010,MATCH(879,$AY$11:$AY$4010,0)),""))</f>
        <v/>
      </c>
      <c r="AD889" s="16" t="str">
        <f>IF(AE889="","",IFERROR(INDEX($AL$11:$AL$4010,MATCH(879,$AZ$11:$AZ$4010,0)),""))</f>
        <v/>
      </c>
      <c r="AE889" s="12" t="str">
        <f>IFERROR(INDEX($AM$11:$AM$4010,MATCH(879,$AZ$11:$AZ$4010,0)),"")</f>
        <v/>
      </c>
      <c r="AF889" s="11" t="str">
        <f>IF(AE889="","",IFERROR(INDEX($AN$11:$AN$4010,MATCH(879,$AZ$11:$AZ$4010,0)),""))</f>
        <v/>
      </c>
      <c r="AG889" s="11" t="str">
        <f>IF(AE889="","",IFERROR(INDEX($AO$11:$AO$4010,MATCH(879,$AZ$11:$AZ$4010,0)),""))</f>
        <v/>
      </c>
      <c r="AH889" s="10" t="str">
        <f>IF(AE889="","",IFERROR(INDEX($AQ$11:$AQ$4010,MATCH(879,$AZ$11:$AZ$4010,0)),""))</f>
        <v/>
      </c>
      <c r="AI889" s="15" t="str">
        <f>IF(AE889="","",IFERROR(INDEX($AR$11:$AR$4010,MATCH(879,$AZ$11:$AZ$4010,0)),""))</f>
        <v/>
      </c>
      <c r="AJ889" s="15" t="str">
        <f>IF(AE889="","",IFERROR(INDEX($AT$11:$AT$4010,MATCH(879,$AZ$11:$AZ$4010,0)),""))</f>
        <v/>
      </c>
      <c r="AL889" s="17"/>
      <c r="AM889" s="12"/>
      <c r="AN889" s="18"/>
      <c r="AO889" s="18"/>
      <c r="AP889" s="10"/>
      <c r="AQ889" s="10"/>
      <c r="AR889" s="19"/>
      <c r="AS889" s="20"/>
      <c r="AT889" s="19"/>
      <c r="AV889" s="21">
        <f>IF(AND($AL889&lt;&gt;"",COUNTIF($AL$11:$AL889,$AL889)=1),1,0)</f>
        <v>0</v>
      </c>
      <c r="AW889" s="21">
        <f t="shared" si="113"/>
        <v>0</v>
      </c>
      <c r="AX889" s="21" t="str">
        <f t="shared" si="112"/>
        <v/>
      </c>
      <c r="AY889" s="21" t="str">
        <f>IF(AND($AM889&lt;&gt;"",$AS889&lt;&gt;"✓"),SUMPRODUCT(($AM$11:$AM889&lt;&gt;"")*($AS$11:$AS889&lt;&gt;"✓")),"")</f>
        <v/>
      </c>
      <c r="AZ889" s="21" t="str">
        <f>IF(AND($AM889&lt;&gt;"",$AS889="✓"),SUMPRODUCT(($AM$11:$AM889&lt;&gt;"")*($AS$11:$AS889="✓")),"")</f>
        <v/>
      </c>
      <c r="BA889" s="21" t="str">
        <f>IF($AL889="","",$AL889&amp;"|"&amp;COUNTIF($AL$11:$AL889,$AL889))</f>
        <v/>
      </c>
    </row>
    <row r="890" spans="23:53" ht="15" customHeight="1" x14ac:dyDescent="0.25">
      <c r="W890" s="28" t="str">
        <f>IF(X890="","",IFERROR(INDEX($AL$11:$AL$4010,MATCH(880,$AY$11:$AY$4010,0)),""))</f>
        <v/>
      </c>
      <c r="X890" s="26" t="str">
        <f>IFERROR(INDEX($AM$11:$AM$4010,MATCH(880,$AY$11:$AY$4010,0)),"")</f>
        <v/>
      </c>
      <c r="Y890" s="25" t="str">
        <f>IF(X890="","",IFERROR(INDEX($AN$11:$AN$4010,MATCH(880,$AY$11:$AY$4010,0)),""))</f>
        <v/>
      </c>
      <c r="Z890" s="25" t="str">
        <f>IF(X890="","",IFERROR(INDEX($AO$11:$AO$4010,MATCH(880,$AY$11:$AY$4010,0)),""))</f>
        <v/>
      </c>
      <c r="AA890" s="24" t="str">
        <f>IF(X890="","",IFERROR(INDEX($AQ$11:$AQ$4010,MATCH(880,$AY$11:$AY$4010,0)),""))</f>
        <v/>
      </c>
      <c r="AB890" s="29" t="str">
        <f>IF(X890="","",IFERROR(INDEX($AR$11:$AR$4010,MATCH(880,$AY$11:$AY$4010,0)),""))</f>
        <v/>
      </c>
      <c r="AD890" s="30" t="str">
        <f>IF(AE890="","",IFERROR(INDEX($AL$11:$AL$4010,MATCH(880,$AZ$11:$AZ$4010,0)),""))</f>
        <v/>
      </c>
      <c r="AE890" s="26" t="str">
        <f>IFERROR(INDEX($AM$11:$AM$4010,MATCH(880,$AZ$11:$AZ$4010,0)),"")</f>
        <v/>
      </c>
      <c r="AF890" s="25" t="str">
        <f>IF(AE890="","",IFERROR(INDEX($AN$11:$AN$4010,MATCH(880,$AZ$11:$AZ$4010,0)),""))</f>
        <v/>
      </c>
      <c r="AG890" s="25" t="str">
        <f>IF(AE890="","",IFERROR(INDEX($AO$11:$AO$4010,MATCH(880,$AZ$11:$AZ$4010,0)),""))</f>
        <v/>
      </c>
      <c r="AH890" s="24" t="str">
        <f>IF(AE890="","",IFERROR(INDEX($AQ$11:$AQ$4010,MATCH(880,$AZ$11:$AZ$4010,0)),""))</f>
        <v/>
      </c>
      <c r="AI890" s="29" t="str">
        <f>IF(AE890="","",IFERROR(INDEX($AR$11:$AR$4010,MATCH(880,$AZ$11:$AZ$4010,0)),""))</f>
        <v/>
      </c>
      <c r="AJ890" s="29" t="str">
        <f>IF(AE890="","",IFERROR(INDEX($AT$11:$AT$4010,MATCH(880,$AZ$11:$AZ$4010,0)),""))</f>
        <v/>
      </c>
      <c r="AL890" s="31"/>
      <c r="AM890" s="26"/>
      <c r="AN890" s="32"/>
      <c r="AO890" s="32"/>
      <c r="AP890" s="24"/>
      <c r="AQ890" s="24"/>
      <c r="AR890" s="33"/>
      <c r="AS890" s="34"/>
      <c r="AT890" s="33"/>
      <c r="AV890" s="21">
        <f>IF(AND($AL890&lt;&gt;"",COUNTIF($AL$11:$AL890,$AL890)=1),1,0)</f>
        <v>0</v>
      </c>
      <c r="AW890" s="21">
        <f t="shared" si="113"/>
        <v>0</v>
      </c>
      <c r="AX890" s="21" t="str">
        <f t="shared" si="112"/>
        <v/>
      </c>
      <c r="AY890" s="21" t="str">
        <f>IF(AND($AM890&lt;&gt;"",$AS890&lt;&gt;"✓"),SUMPRODUCT(($AM$11:$AM890&lt;&gt;"")*($AS$11:$AS890&lt;&gt;"✓")),"")</f>
        <v/>
      </c>
      <c r="AZ890" s="21" t="str">
        <f>IF(AND($AM890&lt;&gt;"",$AS890="✓"),SUMPRODUCT(($AM$11:$AM890&lt;&gt;"")*($AS$11:$AS890="✓")),"")</f>
        <v/>
      </c>
      <c r="BA890" s="21" t="str">
        <f>IF($AL890="","",$AL890&amp;"|"&amp;COUNTIF($AL$11:$AL890,$AL890))</f>
        <v/>
      </c>
    </row>
    <row r="891" spans="23:53" ht="15" customHeight="1" x14ac:dyDescent="0.25">
      <c r="W891" s="14" t="str">
        <f>IF(X891="","",IFERROR(INDEX($AL$11:$AL$4010,MATCH(881,$AY$11:$AY$4010,0)),""))</f>
        <v/>
      </c>
      <c r="X891" s="12" t="str">
        <f>IFERROR(INDEX($AM$11:$AM$4010,MATCH(881,$AY$11:$AY$4010,0)),"")</f>
        <v/>
      </c>
      <c r="Y891" s="11" t="str">
        <f>IF(X891="","",IFERROR(INDEX($AN$11:$AN$4010,MATCH(881,$AY$11:$AY$4010,0)),""))</f>
        <v/>
      </c>
      <c r="Z891" s="11" t="str">
        <f>IF(X891="","",IFERROR(INDEX($AO$11:$AO$4010,MATCH(881,$AY$11:$AY$4010,0)),""))</f>
        <v/>
      </c>
      <c r="AA891" s="10" t="str">
        <f>IF(X891="","",IFERROR(INDEX($AQ$11:$AQ$4010,MATCH(881,$AY$11:$AY$4010,0)),""))</f>
        <v/>
      </c>
      <c r="AB891" s="15" t="str">
        <f>IF(X891="","",IFERROR(INDEX($AR$11:$AR$4010,MATCH(881,$AY$11:$AY$4010,0)),""))</f>
        <v/>
      </c>
      <c r="AD891" s="16" t="str">
        <f>IF(AE891="","",IFERROR(INDEX($AL$11:$AL$4010,MATCH(881,$AZ$11:$AZ$4010,0)),""))</f>
        <v/>
      </c>
      <c r="AE891" s="12" t="str">
        <f>IFERROR(INDEX($AM$11:$AM$4010,MATCH(881,$AZ$11:$AZ$4010,0)),"")</f>
        <v/>
      </c>
      <c r="AF891" s="11" t="str">
        <f>IF(AE891="","",IFERROR(INDEX($AN$11:$AN$4010,MATCH(881,$AZ$11:$AZ$4010,0)),""))</f>
        <v/>
      </c>
      <c r="AG891" s="11" t="str">
        <f>IF(AE891="","",IFERROR(INDEX($AO$11:$AO$4010,MATCH(881,$AZ$11:$AZ$4010,0)),""))</f>
        <v/>
      </c>
      <c r="AH891" s="10" t="str">
        <f>IF(AE891="","",IFERROR(INDEX($AQ$11:$AQ$4010,MATCH(881,$AZ$11:$AZ$4010,0)),""))</f>
        <v/>
      </c>
      <c r="AI891" s="15" t="str">
        <f>IF(AE891="","",IFERROR(INDEX($AR$11:$AR$4010,MATCH(881,$AZ$11:$AZ$4010,0)),""))</f>
        <v/>
      </c>
      <c r="AJ891" s="15" t="str">
        <f>IF(AE891="","",IFERROR(INDEX($AT$11:$AT$4010,MATCH(881,$AZ$11:$AZ$4010,0)),""))</f>
        <v/>
      </c>
      <c r="AL891" s="17"/>
      <c r="AM891" s="12"/>
      <c r="AN891" s="18"/>
      <c r="AO891" s="18"/>
      <c r="AP891" s="10"/>
      <c r="AQ891" s="10"/>
      <c r="AR891" s="19"/>
      <c r="AS891" s="20"/>
      <c r="AT891" s="19"/>
      <c r="AV891" s="21">
        <f>IF(AND($AL891&lt;&gt;"",COUNTIF($AL$11:$AL891,$AL891)=1),1,0)</f>
        <v>0</v>
      </c>
      <c r="AW891" s="21">
        <f t="shared" si="113"/>
        <v>0</v>
      </c>
      <c r="AX891" s="21" t="str">
        <f t="shared" si="112"/>
        <v/>
      </c>
      <c r="AY891" s="21" t="str">
        <f>IF(AND($AM891&lt;&gt;"",$AS891&lt;&gt;"✓"),SUMPRODUCT(($AM$11:$AM891&lt;&gt;"")*($AS$11:$AS891&lt;&gt;"✓")),"")</f>
        <v/>
      </c>
      <c r="AZ891" s="21" t="str">
        <f>IF(AND($AM891&lt;&gt;"",$AS891="✓"),SUMPRODUCT(($AM$11:$AM891&lt;&gt;"")*($AS$11:$AS891="✓")),"")</f>
        <v/>
      </c>
      <c r="BA891" s="21" t="str">
        <f>IF($AL891="","",$AL891&amp;"|"&amp;COUNTIF($AL$11:$AL891,$AL891))</f>
        <v/>
      </c>
    </row>
    <row r="892" spans="23:53" ht="15" customHeight="1" x14ac:dyDescent="0.25">
      <c r="W892" s="28" t="str">
        <f>IF(X892="","",IFERROR(INDEX($AL$11:$AL$4010,MATCH(882,$AY$11:$AY$4010,0)),""))</f>
        <v/>
      </c>
      <c r="X892" s="26" t="str">
        <f>IFERROR(INDEX($AM$11:$AM$4010,MATCH(882,$AY$11:$AY$4010,0)),"")</f>
        <v/>
      </c>
      <c r="Y892" s="25" t="str">
        <f>IF(X892="","",IFERROR(INDEX($AN$11:$AN$4010,MATCH(882,$AY$11:$AY$4010,0)),""))</f>
        <v/>
      </c>
      <c r="Z892" s="25" t="str">
        <f>IF(X892="","",IFERROR(INDEX($AO$11:$AO$4010,MATCH(882,$AY$11:$AY$4010,0)),""))</f>
        <v/>
      </c>
      <c r="AA892" s="24" t="str">
        <f>IF(X892="","",IFERROR(INDEX($AQ$11:$AQ$4010,MATCH(882,$AY$11:$AY$4010,0)),""))</f>
        <v/>
      </c>
      <c r="AB892" s="29" t="str">
        <f>IF(X892="","",IFERROR(INDEX($AR$11:$AR$4010,MATCH(882,$AY$11:$AY$4010,0)),""))</f>
        <v/>
      </c>
      <c r="AD892" s="30" t="str">
        <f>IF(AE892="","",IFERROR(INDEX($AL$11:$AL$4010,MATCH(882,$AZ$11:$AZ$4010,0)),""))</f>
        <v/>
      </c>
      <c r="AE892" s="26" t="str">
        <f>IFERROR(INDEX($AM$11:$AM$4010,MATCH(882,$AZ$11:$AZ$4010,0)),"")</f>
        <v/>
      </c>
      <c r="AF892" s="25" t="str">
        <f>IF(AE892="","",IFERROR(INDEX($AN$11:$AN$4010,MATCH(882,$AZ$11:$AZ$4010,0)),""))</f>
        <v/>
      </c>
      <c r="AG892" s="25" t="str">
        <f>IF(AE892="","",IFERROR(INDEX($AO$11:$AO$4010,MATCH(882,$AZ$11:$AZ$4010,0)),""))</f>
        <v/>
      </c>
      <c r="AH892" s="24" t="str">
        <f>IF(AE892="","",IFERROR(INDEX($AQ$11:$AQ$4010,MATCH(882,$AZ$11:$AZ$4010,0)),""))</f>
        <v/>
      </c>
      <c r="AI892" s="29" t="str">
        <f>IF(AE892="","",IFERROR(INDEX($AR$11:$AR$4010,MATCH(882,$AZ$11:$AZ$4010,0)),""))</f>
        <v/>
      </c>
      <c r="AJ892" s="29" t="str">
        <f>IF(AE892="","",IFERROR(INDEX($AT$11:$AT$4010,MATCH(882,$AZ$11:$AZ$4010,0)),""))</f>
        <v/>
      </c>
      <c r="AL892" s="31"/>
      <c r="AM892" s="26"/>
      <c r="AN892" s="32"/>
      <c r="AO892" s="32"/>
      <c r="AP892" s="24"/>
      <c r="AQ892" s="24"/>
      <c r="AR892" s="33"/>
      <c r="AS892" s="34"/>
      <c r="AT892" s="33"/>
      <c r="AV892" s="21">
        <f>IF(AND($AL892&lt;&gt;"",COUNTIF($AL$11:$AL892,$AL892)=1),1,0)</f>
        <v>0</v>
      </c>
      <c r="AW892" s="21">
        <f t="shared" si="113"/>
        <v>0</v>
      </c>
      <c r="AX892" s="21" t="str">
        <f t="shared" si="112"/>
        <v/>
      </c>
      <c r="AY892" s="21" t="str">
        <f>IF(AND($AM892&lt;&gt;"",$AS892&lt;&gt;"✓"),SUMPRODUCT(($AM$11:$AM892&lt;&gt;"")*($AS$11:$AS892&lt;&gt;"✓")),"")</f>
        <v/>
      </c>
      <c r="AZ892" s="21" t="str">
        <f>IF(AND($AM892&lt;&gt;"",$AS892="✓"),SUMPRODUCT(($AM$11:$AM892&lt;&gt;"")*($AS$11:$AS892="✓")),"")</f>
        <v/>
      </c>
      <c r="BA892" s="21" t="str">
        <f>IF($AL892="","",$AL892&amp;"|"&amp;COUNTIF($AL$11:$AL892,$AL892))</f>
        <v/>
      </c>
    </row>
    <row r="893" spans="23:53" ht="15" customHeight="1" x14ac:dyDescent="0.25">
      <c r="W893" s="14" t="str">
        <f>IF(X893="","",IFERROR(INDEX($AL$11:$AL$4010,MATCH(883,$AY$11:$AY$4010,0)),""))</f>
        <v/>
      </c>
      <c r="X893" s="12" t="str">
        <f>IFERROR(INDEX($AM$11:$AM$4010,MATCH(883,$AY$11:$AY$4010,0)),"")</f>
        <v/>
      </c>
      <c r="Y893" s="11" t="str">
        <f>IF(X893="","",IFERROR(INDEX($AN$11:$AN$4010,MATCH(883,$AY$11:$AY$4010,0)),""))</f>
        <v/>
      </c>
      <c r="Z893" s="11" t="str">
        <f>IF(X893="","",IFERROR(INDEX($AO$11:$AO$4010,MATCH(883,$AY$11:$AY$4010,0)),""))</f>
        <v/>
      </c>
      <c r="AA893" s="10" t="str">
        <f>IF(X893="","",IFERROR(INDEX($AQ$11:$AQ$4010,MATCH(883,$AY$11:$AY$4010,0)),""))</f>
        <v/>
      </c>
      <c r="AB893" s="15" t="str">
        <f>IF(X893="","",IFERROR(INDEX($AR$11:$AR$4010,MATCH(883,$AY$11:$AY$4010,0)),""))</f>
        <v/>
      </c>
      <c r="AD893" s="16" t="str">
        <f>IF(AE893="","",IFERROR(INDEX($AL$11:$AL$4010,MATCH(883,$AZ$11:$AZ$4010,0)),""))</f>
        <v/>
      </c>
      <c r="AE893" s="12" t="str">
        <f>IFERROR(INDEX($AM$11:$AM$4010,MATCH(883,$AZ$11:$AZ$4010,0)),"")</f>
        <v/>
      </c>
      <c r="AF893" s="11" t="str">
        <f>IF(AE893="","",IFERROR(INDEX($AN$11:$AN$4010,MATCH(883,$AZ$11:$AZ$4010,0)),""))</f>
        <v/>
      </c>
      <c r="AG893" s="11" t="str">
        <f>IF(AE893="","",IFERROR(INDEX($AO$11:$AO$4010,MATCH(883,$AZ$11:$AZ$4010,0)),""))</f>
        <v/>
      </c>
      <c r="AH893" s="10" t="str">
        <f>IF(AE893="","",IFERROR(INDEX($AQ$11:$AQ$4010,MATCH(883,$AZ$11:$AZ$4010,0)),""))</f>
        <v/>
      </c>
      <c r="AI893" s="15" t="str">
        <f>IF(AE893="","",IFERROR(INDEX($AR$11:$AR$4010,MATCH(883,$AZ$11:$AZ$4010,0)),""))</f>
        <v/>
      </c>
      <c r="AJ893" s="15" t="str">
        <f>IF(AE893="","",IFERROR(INDEX($AT$11:$AT$4010,MATCH(883,$AZ$11:$AZ$4010,0)),""))</f>
        <v/>
      </c>
      <c r="AL893" s="17"/>
      <c r="AM893" s="12"/>
      <c r="AN893" s="18"/>
      <c r="AO893" s="18"/>
      <c r="AP893" s="10"/>
      <c r="AQ893" s="10"/>
      <c r="AR893" s="19"/>
      <c r="AS893" s="20"/>
      <c r="AT893" s="19"/>
      <c r="AV893" s="21">
        <f>IF(AND($AL893&lt;&gt;"",COUNTIF($AL$11:$AL893,$AL893)=1),1,0)</f>
        <v>0</v>
      </c>
      <c r="AW893" s="21">
        <f t="shared" si="113"/>
        <v>0</v>
      </c>
      <c r="AX893" s="21" t="str">
        <f t="shared" si="112"/>
        <v/>
      </c>
      <c r="AY893" s="21" t="str">
        <f>IF(AND($AM893&lt;&gt;"",$AS893&lt;&gt;"✓"),SUMPRODUCT(($AM$11:$AM893&lt;&gt;"")*($AS$11:$AS893&lt;&gt;"✓")),"")</f>
        <v/>
      </c>
      <c r="AZ893" s="21" t="str">
        <f>IF(AND($AM893&lt;&gt;"",$AS893="✓"),SUMPRODUCT(($AM$11:$AM893&lt;&gt;"")*($AS$11:$AS893="✓")),"")</f>
        <v/>
      </c>
      <c r="BA893" s="21" t="str">
        <f>IF($AL893="","",$AL893&amp;"|"&amp;COUNTIF($AL$11:$AL893,$AL893))</f>
        <v/>
      </c>
    </row>
    <row r="894" spans="23:53" ht="15" customHeight="1" x14ac:dyDescent="0.25">
      <c r="W894" s="28" t="str">
        <f>IF(X894="","",IFERROR(INDEX($AL$11:$AL$4010,MATCH(884,$AY$11:$AY$4010,0)),""))</f>
        <v/>
      </c>
      <c r="X894" s="26" t="str">
        <f>IFERROR(INDEX($AM$11:$AM$4010,MATCH(884,$AY$11:$AY$4010,0)),"")</f>
        <v/>
      </c>
      <c r="Y894" s="25" t="str">
        <f>IF(X894="","",IFERROR(INDEX($AN$11:$AN$4010,MATCH(884,$AY$11:$AY$4010,0)),""))</f>
        <v/>
      </c>
      <c r="Z894" s="25" t="str">
        <f>IF(X894="","",IFERROR(INDEX($AO$11:$AO$4010,MATCH(884,$AY$11:$AY$4010,0)),""))</f>
        <v/>
      </c>
      <c r="AA894" s="24" t="str">
        <f>IF(X894="","",IFERROR(INDEX($AQ$11:$AQ$4010,MATCH(884,$AY$11:$AY$4010,0)),""))</f>
        <v/>
      </c>
      <c r="AB894" s="29" t="str">
        <f>IF(X894="","",IFERROR(INDEX($AR$11:$AR$4010,MATCH(884,$AY$11:$AY$4010,0)),""))</f>
        <v/>
      </c>
      <c r="AD894" s="30" t="str">
        <f>IF(AE894="","",IFERROR(INDEX($AL$11:$AL$4010,MATCH(884,$AZ$11:$AZ$4010,0)),""))</f>
        <v/>
      </c>
      <c r="AE894" s="26" t="str">
        <f>IFERROR(INDEX($AM$11:$AM$4010,MATCH(884,$AZ$11:$AZ$4010,0)),"")</f>
        <v/>
      </c>
      <c r="AF894" s="25" t="str">
        <f>IF(AE894="","",IFERROR(INDEX($AN$11:$AN$4010,MATCH(884,$AZ$11:$AZ$4010,0)),""))</f>
        <v/>
      </c>
      <c r="AG894" s="25" t="str">
        <f>IF(AE894="","",IFERROR(INDEX($AO$11:$AO$4010,MATCH(884,$AZ$11:$AZ$4010,0)),""))</f>
        <v/>
      </c>
      <c r="AH894" s="24" t="str">
        <f>IF(AE894="","",IFERROR(INDEX($AQ$11:$AQ$4010,MATCH(884,$AZ$11:$AZ$4010,0)),""))</f>
        <v/>
      </c>
      <c r="AI894" s="29" t="str">
        <f>IF(AE894="","",IFERROR(INDEX($AR$11:$AR$4010,MATCH(884,$AZ$11:$AZ$4010,0)),""))</f>
        <v/>
      </c>
      <c r="AJ894" s="29" t="str">
        <f>IF(AE894="","",IFERROR(INDEX($AT$11:$AT$4010,MATCH(884,$AZ$11:$AZ$4010,0)),""))</f>
        <v/>
      </c>
      <c r="AL894" s="31"/>
      <c r="AM894" s="26"/>
      <c r="AN894" s="32"/>
      <c r="AO894" s="32"/>
      <c r="AP894" s="24"/>
      <c r="AQ894" s="24"/>
      <c r="AR894" s="33"/>
      <c r="AS894" s="34"/>
      <c r="AT894" s="33"/>
      <c r="AV894" s="21">
        <f>IF(AND($AL894&lt;&gt;"",COUNTIF($AL$11:$AL894,$AL894)=1),1,0)</f>
        <v>0</v>
      </c>
      <c r="AW894" s="21">
        <f t="shared" si="113"/>
        <v>0</v>
      </c>
      <c r="AX894" s="21" t="str">
        <f t="shared" si="112"/>
        <v/>
      </c>
      <c r="AY894" s="21" t="str">
        <f>IF(AND($AM894&lt;&gt;"",$AS894&lt;&gt;"✓"),SUMPRODUCT(($AM$11:$AM894&lt;&gt;"")*($AS$11:$AS894&lt;&gt;"✓")),"")</f>
        <v/>
      </c>
      <c r="AZ894" s="21" t="str">
        <f>IF(AND($AM894&lt;&gt;"",$AS894="✓"),SUMPRODUCT(($AM$11:$AM894&lt;&gt;"")*($AS$11:$AS894="✓")),"")</f>
        <v/>
      </c>
      <c r="BA894" s="21" t="str">
        <f>IF($AL894="","",$AL894&amp;"|"&amp;COUNTIF($AL$11:$AL894,$AL894))</f>
        <v/>
      </c>
    </row>
    <row r="895" spans="23:53" ht="15" customHeight="1" x14ac:dyDescent="0.25">
      <c r="W895" s="14" t="str">
        <f>IF(X895="","",IFERROR(INDEX($AL$11:$AL$4010,MATCH(885,$AY$11:$AY$4010,0)),""))</f>
        <v/>
      </c>
      <c r="X895" s="12" t="str">
        <f>IFERROR(INDEX($AM$11:$AM$4010,MATCH(885,$AY$11:$AY$4010,0)),"")</f>
        <v/>
      </c>
      <c r="Y895" s="11" t="str">
        <f>IF(X895="","",IFERROR(INDEX($AN$11:$AN$4010,MATCH(885,$AY$11:$AY$4010,0)),""))</f>
        <v/>
      </c>
      <c r="Z895" s="11" t="str">
        <f>IF(X895="","",IFERROR(INDEX($AO$11:$AO$4010,MATCH(885,$AY$11:$AY$4010,0)),""))</f>
        <v/>
      </c>
      <c r="AA895" s="10" t="str">
        <f>IF(X895="","",IFERROR(INDEX($AQ$11:$AQ$4010,MATCH(885,$AY$11:$AY$4010,0)),""))</f>
        <v/>
      </c>
      <c r="AB895" s="15" t="str">
        <f>IF(X895="","",IFERROR(INDEX($AR$11:$AR$4010,MATCH(885,$AY$11:$AY$4010,0)),""))</f>
        <v/>
      </c>
      <c r="AD895" s="16" t="str">
        <f>IF(AE895="","",IFERROR(INDEX($AL$11:$AL$4010,MATCH(885,$AZ$11:$AZ$4010,0)),""))</f>
        <v/>
      </c>
      <c r="AE895" s="12" t="str">
        <f>IFERROR(INDEX($AM$11:$AM$4010,MATCH(885,$AZ$11:$AZ$4010,0)),"")</f>
        <v/>
      </c>
      <c r="AF895" s="11" t="str">
        <f>IF(AE895="","",IFERROR(INDEX($AN$11:$AN$4010,MATCH(885,$AZ$11:$AZ$4010,0)),""))</f>
        <v/>
      </c>
      <c r="AG895" s="11" t="str">
        <f>IF(AE895="","",IFERROR(INDEX($AO$11:$AO$4010,MATCH(885,$AZ$11:$AZ$4010,0)),""))</f>
        <v/>
      </c>
      <c r="AH895" s="10" t="str">
        <f>IF(AE895="","",IFERROR(INDEX($AQ$11:$AQ$4010,MATCH(885,$AZ$11:$AZ$4010,0)),""))</f>
        <v/>
      </c>
      <c r="AI895" s="15" t="str">
        <f>IF(AE895="","",IFERROR(INDEX($AR$11:$AR$4010,MATCH(885,$AZ$11:$AZ$4010,0)),""))</f>
        <v/>
      </c>
      <c r="AJ895" s="15" t="str">
        <f>IF(AE895="","",IFERROR(INDEX($AT$11:$AT$4010,MATCH(885,$AZ$11:$AZ$4010,0)),""))</f>
        <v/>
      </c>
      <c r="AL895" s="17"/>
      <c r="AM895" s="12"/>
      <c r="AN895" s="18"/>
      <c r="AO895" s="18"/>
      <c r="AP895" s="10"/>
      <c r="AQ895" s="10"/>
      <c r="AR895" s="19"/>
      <c r="AS895" s="20"/>
      <c r="AT895" s="19"/>
      <c r="AV895" s="21">
        <f>IF(AND($AL895&lt;&gt;"",COUNTIF($AL$11:$AL895,$AL895)=1),1,0)</f>
        <v>0</v>
      </c>
      <c r="AW895" s="21">
        <f t="shared" si="113"/>
        <v>0</v>
      </c>
      <c r="AX895" s="21" t="str">
        <f t="shared" si="112"/>
        <v/>
      </c>
      <c r="AY895" s="21" t="str">
        <f>IF(AND($AM895&lt;&gt;"",$AS895&lt;&gt;"✓"),SUMPRODUCT(($AM$11:$AM895&lt;&gt;"")*($AS$11:$AS895&lt;&gt;"✓")),"")</f>
        <v/>
      </c>
      <c r="AZ895" s="21" t="str">
        <f>IF(AND($AM895&lt;&gt;"",$AS895="✓"),SUMPRODUCT(($AM$11:$AM895&lt;&gt;"")*($AS$11:$AS895="✓")),"")</f>
        <v/>
      </c>
      <c r="BA895" s="21" t="str">
        <f>IF($AL895="","",$AL895&amp;"|"&amp;COUNTIF($AL$11:$AL895,$AL895))</f>
        <v/>
      </c>
    </row>
    <row r="896" spans="23:53" ht="15" customHeight="1" x14ac:dyDescent="0.25">
      <c r="W896" s="28" t="str">
        <f>IF(X896="","",IFERROR(INDEX($AL$11:$AL$4010,MATCH(886,$AY$11:$AY$4010,0)),""))</f>
        <v/>
      </c>
      <c r="X896" s="26" t="str">
        <f>IFERROR(INDEX($AM$11:$AM$4010,MATCH(886,$AY$11:$AY$4010,0)),"")</f>
        <v/>
      </c>
      <c r="Y896" s="25" t="str">
        <f>IF(X896="","",IFERROR(INDEX($AN$11:$AN$4010,MATCH(886,$AY$11:$AY$4010,0)),""))</f>
        <v/>
      </c>
      <c r="Z896" s="25" t="str">
        <f>IF(X896="","",IFERROR(INDEX($AO$11:$AO$4010,MATCH(886,$AY$11:$AY$4010,0)),""))</f>
        <v/>
      </c>
      <c r="AA896" s="24" t="str">
        <f>IF(X896="","",IFERROR(INDEX($AQ$11:$AQ$4010,MATCH(886,$AY$11:$AY$4010,0)),""))</f>
        <v/>
      </c>
      <c r="AB896" s="29" t="str">
        <f>IF(X896="","",IFERROR(INDEX($AR$11:$AR$4010,MATCH(886,$AY$11:$AY$4010,0)),""))</f>
        <v/>
      </c>
      <c r="AD896" s="30" t="str">
        <f>IF(AE896="","",IFERROR(INDEX($AL$11:$AL$4010,MATCH(886,$AZ$11:$AZ$4010,0)),""))</f>
        <v/>
      </c>
      <c r="AE896" s="26" t="str">
        <f>IFERROR(INDEX($AM$11:$AM$4010,MATCH(886,$AZ$11:$AZ$4010,0)),"")</f>
        <v/>
      </c>
      <c r="AF896" s="25" t="str">
        <f>IF(AE896="","",IFERROR(INDEX($AN$11:$AN$4010,MATCH(886,$AZ$11:$AZ$4010,0)),""))</f>
        <v/>
      </c>
      <c r="AG896" s="25" t="str">
        <f>IF(AE896="","",IFERROR(INDEX($AO$11:$AO$4010,MATCH(886,$AZ$11:$AZ$4010,0)),""))</f>
        <v/>
      </c>
      <c r="AH896" s="24" t="str">
        <f>IF(AE896="","",IFERROR(INDEX($AQ$11:$AQ$4010,MATCH(886,$AZ$11:$AZ$4010,0)),""))</f>
        <v/>
      </c>
      <c r="AI896" s="29" t="str">
        <f>IF(AE896="","",IFERROR(INDEX($AR$11:$AR$4010,MATCH(886,$AZ$11:$AZ$4010,0)),""))</f>
        <v/>
      </c>
      <c r="AJ896" s="29" t="str">
        <f>IF(AE896="","",IFERROR(INDEX($AT$11:$AT$4010,MATCH(886,$AZ$11:$AZ$4010,0)),""))</f>
        <v/>
      </c>
      <c r="AL896" s="31"/>
      <c r="AM896" s="26"/>
      <c r="AN896" s="32"/>
      <c r="AO896" s="32"/>
      <c r="AP896" s="24"/>
      <c r="AQ896" s="24"/>
      <c r="AR896" s="33"/>
      <c r="AS896" s="34"/>
      <c r="AT896" s="33"/>
      <c r="AV896" s="21">
        <f>IF(AND($AL896&lt;&gt;"",COUNTIF($AL$11:$AL896,$AL896)=1),1,0)</f>
        <v>0</v>
      </c>
      <c r="AW896" s="21">
        <f t="shared" si="113"/>
        <v>0</v>
      </c>
      <c r="AX896" s="21" t="str">
        <f t="shared" si="112"/>
        <v/>
      </c>
      <c r="AY896" s="21" t="str">
        <f>IF(AND($AM896&lt;&gt;"",$AS896&lt;&gt;"✓"),SUMPRODUCT(($AM$11:$AM896&lt;&gt;"")*($AS$11:$AS896&lt;&gt;"✓")),"")</f>
        <v/>
      </c>
      <c r="AZ896" s="21" t="str">
        <f>IF(AND($AM896&lt;&gt;"",$AS896="✓"),SUMPRODUCT(($AM$11:$AM896&lt;&gt;"")*($AS$11:$AS896="✓")),"")</f>
        <v/>
      </c>
      <c r="BA896" s="21" t="str">
        <f>IF($AL896="","",$AL896&amp;"|"&amp;COUNTIF($AL$11:$AL896,$AL896))</f>
        <v/>
      </c>
    </row>
    <row r="897" spans="23:53" ht="15" customHeight="1" x14ac:dyDescent="0.25">
      <c r="W897" s="14" t="str">
        <f>IF(X897="","",IFERROR(INDEX($AL$11:$AL$4010,MATCH(887,$AY$11:$AY$4010,0)),""))</f>
        <v/>
      </c>
      <c r="X897" s="12" t="str">
        <f>IFERROR(INDEX($AM$11:$AM$4010,MATCH(887,$AY$11:$AY$4010,0)),"")</f>
        <v/>
      </c>
      <c r="Y897" s="11" t="str">
        <f>IF(X897="","",IFERROR(INDEX($AN$11:$AN$4010,MATCH(887,$AY$11:$AY$4010,0)),""))</f>
        <v/>
      </c>
      <c r="Z897" s="11" t="str">
        <f>IF(X897="","",IFERROR(INDEX($AO$11:$AO$4010,MATCH(887,$AY$11:$AY$4010,0)),""))</f>
        <v/>
      </c>
      <c r="AA897" s="10" t="str">
        <f>IF(X897="","",IFERROR(INDEX($AQ$11:$AQ$4010,MATCH(887,$AY$11:$AY$4010,0)),""))</f>
        <v/>
      </c>
      <c r="AB897" s="15" t="str">
        <f>IF(X897="","",IFERROR(INDEX($AR$11:$AR$4010,MATCH(887,$AY$11:$AY$4010,0)),""))</f>
        <v/>
      </c>
      <c r="AD897" s="16" t="str">
        <f>IF(AE897="","",IFERROR(INDEX($AL$11:$AL$4010,MATCH(887,$AZ$11:$AZ$4010,0)),""))</f>
        <v/>
      </c>
      <c r="AE897" s="12" t="str">
        <f>IFERROR(INDEX($AM$11:$AM$4010,MATCH(887,$AZ$11:$AZ$4010,0)),"")</f>
        <v/>
      </c>
      <c r="AF897" s="11" t="str">
        <f>IF(AE897="","",IFERROR(INDEX($AN$11:$AN$4010,MATCH(887,$AZ$11:$AZ$4010,0)),""))</f>
        <v/>
      </c>
      <c r="AG897" s="11" t="str">
        <f>IF(AE897="","",IFERROR(INDEX($AO$11:$AO$4010,MATCH(887,$AZ$11:$AZ$4010,0)),""))</f>
        <v/>
      </c>
      <c r="AH897" s="10" t="str">
        <f>IF(AE897="","",IFERROR(INDEX($AQ$11:$AQ$4010,MATCH(887,$AZ$11:$AZ$4010,0)),""))</f>
        <v/>
      </c>
      <c r="AI897" s="15" t="str">
        <f>IF(AE897="","",IFERROR(INDEX($AR$11:$AR$4010,MATCH(887,$AZ$11:$AZ$4010,0)),""))</f>
        <v/>
      </c>
      <c r="AJ897" s="15" t="str">
        <f>IF(AE897="","",IFERROR(INDEX($AT$11:$AT$4010,MATCH(887,$AZ$11:$AZ$4010,0)),""))</f>
        <v/>
      </c>
      <c r="AL897" s="17"/>
      <c r="AM897" s="12"/>
      <c r="AN897" s="18"/>
      <c r="AO897" s="18"/>
      <c r="AP897" s="10"/>
      <c r="AQ897" s="10"/>
      <c r="AR897" s="19"/>
      <c r="AS897" s="20"/>
      <c r="AT897" s="19"/>
      <c r="AV897" s="21">
        <f>IF(AND($AL897&lt;&gt;"",COUNTIF($AL$11:$AL897,$AL897)=1),1,0)</f>
        <v>0</v>
      </c>
      <c r="AW897" s="21">
        <f t="shared" si="113"/>
        <v>0</v>
      </c>
      <c r="AX897" s="21" t="str">
        <f t="shared" si="112"/>
        <v/>
      </c>
      <c r="AY897" s="21" t="str">
        <f>IF(AND($AM897&lt;&gt;"",$AS897&lt;&gt;"✓"),SUMPRODUCT(($AM$11:$AM897&lt;&gt;"")*($AS$11:$AS897&lt;&gt;"✓")),"")</f>
        <v/>
      </c>
      <c r="AZ897" s="21" t="str">
        <f>IF(AND($AM897&lt;&gt;"",$AS897="✓"),SUMPRODUCT(($AM$11:$AM897&lt;&gt;"")*($AS$11:$AS897="✓")),"")</f>
        <v/>
      </c>
      <c r="BA897" s="21" t="str">
        <f>IF($AL897="","",$AL897&amp;"|"&amp;COUNTIF($AL$11:$AL897,$AL897))</f>
        <v/>
      </c>
    </row>
    <row r="898" spans="23:53" ht="15" customHeight="1" x14ac:dyDescent="0.25">
      <c r="W898" s="28" t="str">
        <f>IF(X898="","",IFERROR(INDEX($AL$11:$AL$4010,MATCH(888,$AY$11:$AY$4010,0)),""))</f>
        <v/>
      </c>
      <c r="X898" s="26" t="str">
        <f>IFERROR(INDEX($AM$11:$AM$4010,MATCH(888,$AY$11:$AY$4010,0)),"")</f>
        <v/>
      </c>
      <c r="Y898" s="25" t="str">
        <f>IF(X898="","",IFERROR(INDEX($AN$11:$AN$4010,MATCH(888,$AY$11:$AY$4010,0)),""))</f>
        <v/>
      </c>
      <c r="Z898" s="25" t="str">
        <f>IF(X898="","",IFERROR(INDEX($AO$11:$AO$4010,MATCH(888,$AY$11:$AY$4010,0)),""))</f>
        <v/>
      </c>
      <c r="AA898" s="24" t="str">
        <f>IF(X898="","",IFERROR(INDEX($AQ$11:$AQ$4010,MATCH(888,$AY$11:$AY$4010,0)),""))</f>
        <v/>
      </c>
      <c r="AB898" s="29" t="str">
        <f>IF(X898="","",IFERROR(INDEX($AR$11:$AR$4010,MATCH(888,$AY$11:$AY$4010,0)),""))</f>
        <v/>
      </c>
      <c r="AD898" s="30" t="str">
        <f>IF(AE898="","",IFERROR(INDEX($AL$11:$AL$4010,MATCH(888,$AZ$11:$AZ$4010,0)),""))</f>
        <v/>
      </c>
      <c r="AE898" s="26" t="str">
        <f>IFERROR(INDEX($AM$11:$AM$4010,MATCH(888,$AZ$11:$AZ$4010,0)),"")</f>
        <v/>
      </c>
      <c r="AF898" s="25" t="str">
        <f>IF(AE898="","",IFERROR(INDEX($AN$11:$AN$4010,MATCH(888,$AZ$11:$AZ$4010,0)),""))</f>
        <v/>
      </c>
      <c r="AG898" s="25" t="str">
        <f>IF(AE898="","",IFERROR(INDEX($AO$11:$AO$4010,MATCH(888,$AZ$11:$AZ$4010,0)),""))</f>
        <v/>
      </c>
      <c r="AH898" s="24" t="str">
        <f>IF(AE898="","",IFERROR(INDEX($AQ$11:$AQ$4010,MATCH(888,$AZ$11:$AZ$4010,0)),""))</f>
        <v/>
      </c>
      <c r="AI898" s="29" t="str">
        <f>IF(AE898="","",IFERROR(INDEX($AR$11:$AR$4010,MATCH(888,$AZ$11:$AZ$4010,0)),""))</f>
        <v/>
      </c>
      <c r="AJ898" s="29" t="str">
        <f>IF(AE898="","",IFERROR(INDEX($AT$11:$AT$4010,MATCH(888,$AZ$11:$AZ$4010,0)),""))</f>
        <v/>
      </c>
      <c r="AL898" s="31"/>
      <c r="AM898" s="26"/>
      <c r="AN898" s="32"/>
      <c r="AO898" s="32"/>
      <c r="AP898" s="24"/>
      <c r="AQ898" s="24"/>
      <c r="AR898" s="33"/>
      <c r="AS898" s="34"/>
      <c r="AT898" s="33"/>
      <c r="AV898" s="21">
        <f>IF(AND($AL898&lt;&gt;"",COUNTIF($AL$11:$AL898,$AL898)=1),1,0)</f>
        <v>0</v>
      </c>
      <c r="AW898" s="21">
        <f t="shared" si="113"/>
        <v>0</v>
      </c>
      <c r="AX898" s="21" t="str">
        <f t="shared" si="112"/>
        <v/>
      </c>
      <c r="AY898" s="21" t="str">
        <f>IF(AND($AM898&lt;&gt;"",$AS898&lt;&gt;"✓"),SUMPRODUCT(($AM$11:$AM898&lt;&gt;"")*($AS$11:$AS898&lt;&gt;"✓")),"")</f>
        <v/>
      </c>
      <c r="AZ898" s="21" t="str">
        <f>IF(AND($AM898&lt;&gt;"",$AS898="✓"),SUMPRODUCT(($AM$11:$AM898&lt;&gt;"")*($AS$11:$AS898="✓")),"")</f>
        <v/>
      </c>
      <c r="BA898" s="21" t="str">
        <f>IF($AL898="","",$AL898&amp;"|"&amp;COUNTIF($AL$11:$AL898,$AL898))</f>
        <v/>
      </c>
    </row>
    <row r="899" spans="23:53" ht="15" customHeight="1" x14ac:dyDescent="0.25">
      <c r="W899" s="14" t="str">
        <f>IF(X899="","",IFERROR(INDEX($AL$11:$AL$4010,MATCH(889,$AY$11:$AY$4010,0)),""))</f>
        <v/>
      </c>
      <c r="X899" s="12" t="str">
        <f>IFERROR(INDEX($AM$11:$AM$4010,MATCH(889,$AY$11:$AY$4010,0)),"")</f>
        <v/>
      </c>
      <c r="Y899" s="11" t="str">
        <f>IF(X899="","",IFERROR(INDEX($AN$11:$AN$4010,MATCH(889,$AY$11:$AY$4010,0)),""))</f>
        <v/>
      </c>
      <c r="Z899" s="11" t="str">
        <f>IF(X899="","",IFERROR(INDEX($AO$11:$AO$4010,MATCH(889,$AY$11:$AY$4010,0)),""))</f>
        <v/>
      </c>
      <c r="AA899" s="10" t="str">
        <f>IF(X899="","",IFERROR(INDEX($AQ$11:$AQ$4010,MATCH(889,$AY$11:$AY$4010,0)),""))</f>
        <v/>
      </c>
      <c r="AB899" s="15" t="str">
        <f>IF(X899="","",IFERROR(INDEX($AR$11:$AR$4010,MATCH(889,$AY$11:$AY$4010,0)),""))</f>
        <v/>
      </c>
      <c r="AD899" s="16" t="str">
        <f>IF(AE899="","",IFERROR(INDEX($AL$11:$AL$4010,MATCH(889,$AZ$11:$AZ$4010,0)),""))</f>
        <v/>
      </c>
      <c r="AE899" s="12" t="str">
        <f>IFERROR(INDEX($AM$11:$AM$4010,MATCH(889,$AZ$11:$AZ$4010,0)),"")</f>
        <v/>
      </c>
      <c r="AF899" s="11" t="str">
        <f>IF(AE899="","",IFERROR(INDEX($AN$11:$AN$4010,MATCH(889,$AZ$11:$AZ$4010,0)),""))</f>
        <v/>
      </c>
      <c r="AG899" s="11" t="str">
        <f>IF(AE899="","",IFERROR(INDEX($AO$11:$AO$4010,MATCH(889,$AZ$11:$AZ$4010,0)),""))</f>
        <v/>
      </c>
      <c r="AH899" s="10" t="str">
        <f>IF(AE899="","",IFERROR(INDEX($AQ$11:$AQ$4010,MATCH(889,$AZ$11:$AZ$4010,0)),""))</f>
        <v/>
      </c>
      <c r="AI899" s="15" t="str">
        <f>IF(AE899="","",IFERROR(INDEX($AR$11:$AR$4010,MATCH(889,$AZ$11:$AZ$4010,0)),""))</f>
        <v/>
      </c>
      <c r="AJ899" s="15" t="str">
        <f>IF(AE899="","",IFERROR(INDEX($AT$11:$AT$4010,MATCH(889,$AZ$11:$AZ$4010,0)),""))</f>
        <v/>
      </c>
      <c r="AL899" s="17"/>
      <c r="AM899" s="12"/>
      <c r="AN899" s="18"/>
      <c r="AO899" s="18"/>
      <c r="AP899" s="10"/>
      <c r="AQ899" s="10"/>
      <c r="AR899" s="19"/>
      <c r="AS899" s="20"/>
      <c r="AT899" s="19"/>
      <c r="AV899" s="21">
        <f>IF(AND($AL899&lt;&gt;"",COUNTIF($AL$11:$AL899,$AL899)=1),1,0)</f>
        <v>0</v>
      </c>
      <c r="AW899" s="21">
        <f t="shared" si="113"/>
        <v>0</v>
      </c>
      <c r="AX899" s="21" t="str">
        <f t="shared" si="112"/>
        <v/>
      </c>
      <c r="AY899" s="21" t="str">
        <f>IF(AND($AM899&lt;&gt;"",$AS899&lt;&gt;"✓"),SUMPRODUCT(($AM$11:$AM899&lt;&gt;"")*($AS$11:$AS899&lt;&gt;"✓")),"")</f>
        <v/>
      </c>
      <c r="AZ899" s="21" t="str">
        <f>IF(AND($AM899&lt;&gt;"",$AS899="✓"),SUMPRODUCT(($AM$11:$AM899&lt;&gt;"")*($AS$11:$AS899="✓")),"")</f>
        <v/>
      </c>
      <c r="BA899" s="21" t="str">
        <f>IF($AL899="","",$AL899&amp;"|"&amp;COUNTIF($AL$11:$AL899,$AL899))</f>
        <v/>
      </c>
    </row>
    <row r="900" spans="23:53" ht="15" customHeight="1" x14ac:dyDescent="0.25">
      <c r="W900" s="28" t="str">
        <f>IF(X900="","",IFERROR(INDEX($AL$11:$AL$4010,MATCH(890,$AY$11:$AY$4010,0)),""))</f>
        <v/>
      </c>
      <c r="X900" s="26" t="str">
        <f>IFERROR(INDEX($AM$11:$AM$4010,MATCH(890,$AY$11:$AY$4010,0)),"")</f>
        <v/>
      </c>
      <c r="Y900" s="25" t="str">
        <f>IF(X900="","",IFERROR(INDEX($AN$11:$AN$4010,MATCH(890,$AY$11:$AY$4010,0)),""))</f>
        <v/>
      </c>
      <c r="Z900" s="25" t="str">
        <f>IF(X900="","",IFERROR(INDEX($AO$11:$AO$4010,MATCH(890,$AY$11:$AY$4010,0)),""))</f>
        <v/>
      </c>
      <c r="AA900" s="24" t="str">
        <f>IF(X900="","",IFERROR(INDEX($AQ$11:$AQ$4010,MATCH(890,$AY$11:$AY$4010,0)),""))</f>
        <v/>
      </c>
      <c r="AB900" s="29" t="str">
        <f>IF(X900="","",IFERROR(INDEX($AR$11:$AR$4010,MATCH(890,$AY$11:$AY$4010,0)),""))</f>
        <v/>
      </c>
      <c r="AD900" s="30" t="str">
        <f>IF(AE900="","",IFERROR(INDEX($AL$11:$AL$4010,MATCH(890,$AZ$11:$AZ$4010,0)),""))</f>
        <v/>
      </c>
      <c r="AE900" s="26" t="str">
        <f>IFERROR(INDEX($AM$11:$AM$4010,MATCH(890,$AZ$11:$AZ$4010,0)),"")</f>
        <v/>
      </c>
      <c r="AF900" s="25" t="str">
        <f>IF(AE900="","",IFERROR(INDEX($AN$11:$AN$4010,MATCH(890,$AZ$11:$AZ$4010,0)),""))</f>
        <v/>
      </c>
      <c r="AG900" s="25" t="str">
        <f>IF(AE900="","",IFERROR(INDEX($AO$11:$AO$4010,MATCH(890,$AZ$11:$AZ$4010,0)),""))</f>
        <v/>
      </c>
      <c r="AH900" s="24" t="str">
        <f>IF(AE900="","",IFERROR(INDEX($AQ$11:$AQ$4010,MATCH(890,$AZ$11:$AZ$4010,0)),""))</f>
        <v/>
      </c>
      <c r="AI900" s="29" t="str">
        <f>IF(AE900="","",IFERROR(INDEX($AR$11:$AR$4010,MATCH(890,$AZ$11:$AZ$4010,0)),""))</f>
        <v/>
      </c>
      <c r="AJ900" s="29" t="str">
        <f>IF(AE900="","",IFERROR(INDEX($AT$11:$AT$4010,MATCH(890,$AZ$11:$AZ$4010,0)),""))</f>
        <v/>
      </c>
      <c r="AL900" s="31"/>
      <c r="AM900" s="26"/>
      <c r="AN900" s="32"/>
      <c r="AO900" s="32"/>
      <c r="AP900" s="24"/>
      <c r="AQ900" s="24"/>
      <c r="AR900" s="33"/>
      <c r="AS900" s="34"/>
      <c r="AT900" s="33"/>
      <c r="AV900" s="21">
        <f>IF(AND($AL900&lt;&gt;"",COUNTIF($AL$11:$AL900,$AL900)=1),1,0)</f>
        <v>0</v>
      </c>
      <c r="AW900" s="21">
        <f t="shared" si="113"/>
        <v>0</v>
      </c>
      <c r="AX900" s="21" t="str">
        <f t="shared" si="112"/>
        <v/>
      </c>
      <c r="AY900" s="21" t="str">
        <f>IF(AND($AM900&lt;&gt;"",$AS900&lt;&gt;"✓"),SUMPRODUCT(($AM$11:$AM900&lt;&gt;"")*($AS$11:$AS900&lt;&gt;"✓")),"")</f>
        <v/>
      </c>
      <c r="AZ900" s="21" t="str">
        <f>IF(AND($AM900&lt;&gt;"",$AS900="✓"),SUMPRODUCT(($AM$11:$AM900&lt;&gt;"")*($AS$11:$AS900="✓")),"")</f>
        <v/>
      </c>
      <c r="BA900" s="21" t="str">
        <f>IF($AL900="","",$AL900&amp;"|"&amp;COUNTIF($AL$11:$AL900,$AL900))</f>
        <v/>
      </c>
    </row>
    <row r="901" spans="23:53" ht="15" customHeight="1" x14ac:dyDescent="0.25">
      <c r="W901" s="14" t="str">
        <f>IF(X901="","",IFERROR(INDEX($AL$11:$AL$4010,MATCH(891,$AY$11:$AY$4010,0)),""))</f>
        <v/>
      </c>
      <c r="X901" s="12" t="str">
        <f>IFERROR(INDEX($AM$11:$AM$4010,MATCH(891,$AY$11:$AY$4010,0)),"")</f>
        <v/>
      </c>
      <c r="Y901" s="11" t="str">
        <f>IF(X901="","",IFERROR(INDEX($AN$11:$AN$4010,MATCH(891,$AY$11:$AY$4010,0)),""))</f>
        <v/>
      </c>
      <c r="Z901" s="11" t="str">
        <f>IF(X901="","",IFERROR(INDEX($AO$11:$AO$4010,MATCH(891,$AY$11:$AY$4010,0)),""))</f>
        <v/>
      </c>
      <c r="AA901" s="10" t="str">
        <f>IF(X901="","",IFERROR(INDEX($AQ$11:$AQ$4010,MATCH(891,$AY$11:$AY$4010,0)),""))</f>
        <v/>
      </c>
      <c r="AB901" s="15" t="str">
        <f>IF(X901="","",IFERROR(INDEX($AR$11:$AR$4010,MATCH(891,$AY$11:$AY$4010,0)),""))</f>
        <v/>
      </c>
      <c r="AD901" s="16" t="str">
        <f>IF(AE901="","",IFERROR(INDEX($AL$11:$AL$4010,MATCH(891,$AZ$11:$AZ$4010,0)),""))</f>
        <v/>
      </c>
      <c r="AE901" s="12" t="str">
        <f>IFERROR(INDEX($AM$11:$AM$4010,MATCH(891,$AZ$11:$AZ$4010,0)),"")</f>
        <v/>
      </c>
      <c r="AF901" s="11" t="str">
        <f>IF(AE901="","",IFERROR(INDEX($AN$11:$AN$4010,MATCH(891,$AZ$11:$AZ$4010,0)),""))</f>
        <v/>
      </c>
      <c r="AG901" s="11" t="str">
        <f>IF(AE901="","",IFERROR(INDEX($AO$11:$AO$4010,MATCH(891,$AZ$11:$AZ$4010,0)),""))</f>
        <v/>
      </c>
      <c r="AH901" s="10" t="str">
        <f>IF(AE901="","",IFERROR(INDEX($AQ$11:$AQ$4010,MATCH(891,$AZ$11:$AZ$4010,0)),""))</f>
        <v/>
      </c>
      <c r="AI901" s="15" t="str">
        <f>IF(AE901="","",IFERROR(INDEX($AR$11:$AR$4010,MATCH(891,$AZ$11:$AZ$4010,0)),""))</f>
        <v/>
      </c>
      <c r="AJ901" s="15" t="str">
        <f>IF(AE901="","",IFERROR(INDEX($AT$11:$AT$4010,MATCH(891,$AZ$11:$AZ$4010,0)),""))</f>
        <v/>
      </c>
      <c r="AL901" s="17"/>
      <c r="AM901" s="12"/>
      <c r="AN901" s="18"/>
      <c r="AO901" s="18"/>
      <c r="AP901" s="10"/>
      <c r="AQ901" s="10"/>
      <c r="AR901" s="19"/>
      <c r="AS901" s="20"/>
      <c r="AT901" s="19"/>
      <c r="AV901" s="21">
        <f>IF(AND($AL901&lt;&gt;"",COUNTIF($AL$11:$AL901,$AL901)=1),1,0)</f>
        <v>0</v>
      </c>
      <c r="AW901" s="21">
        <f t="shared" si="113"/>
        <v>0</v>
      </c>
      <c r="AX901" s="21" t="str">
        <f t="shared" si="112"/>
        <v/>
      </c>
      <c r="AY901" s="21" t="str">
        <f>IF(AND($AM901&lt;&gt;"",$AS901&lt;&gt;"✓"),SUMPRODUCT(($AM$11:$AM901&lt;&gt;"")*($AS$11:$AS901&lt;&gt;"✓")),"")</f>
        <v/>
      </c>
      <c r="AZ901" s="21" t="str">
        <f>IF(AND($AM901&lt;&gt;"",$AS901="✓"),SUMPRODUCT(($AM$11:$AM901&lt;&gt;"")*($AS$11:$AS901="✓")),"")</f>
        <v/>
      </c>
      <c r="BA901" s="21" t="str">
        <f>IF($AL901="","",$AL901&amp;"|"&amp;COUNTIF($AL$11:$AL901,$AL901))</f>
        <v/>
      </c>
    </row>
    <row r="902" spans="23:53" ht="15" customHeight="1" x14ac:dyDescent="0.25">
      <c r="W902" s="28" t="str">
        <f>IF(X902="","",IFERROR(INDEX($AL$11:$AL$4010,MATCH(892,$AY$11:$AY$4010,0)),""))</f>
        <v/>
      </c>
      <c r="X902" s="26" t="str">
        <f>IFERROR(INDEX($AM$11:$AM$4010,MATCH(892,$AY$11:$AY$4010,0)),"")</f>
        <v/>
      </c>
      <c r="Y902" s="25" t="str">
        <f>IF(X902="","",IFERROR(INDEX($AN$11:$AN$4010,MATCH(892,$AY$11:$AY$4010,0)),""))</f>
        <v/>
      </c>
      <c r="Z902" s="25" t="str">
        <f>IF(X902="","",IFERROR(INDEX($AO$11:$AO$4010,MATCH(892,$AY$11:$AY$4010,0)),""))</f>
        <v/>
      </c>
      <c r="AA902" s="24" t="str">
        <f>IF(X902="","",IFERROR(INDEX($AQ$11:$AQ$4010,MATCH(892,$AY$11:$AY$4010,0)),""))</f>
        <v/>
      </c>
      <c r="AB902" s="29" t="str">
        <f>IF(X902="","",IFERROR(INDEX($AR$11:$AR$4010,MATCH(892,$AY$11:$AY$4010,0)),""))</f>
        <v/>
      </c>
      <c r="AD902" s="30" t="str">
        <f>IF(AE902="","",IFERROR(INDEX($AL$11:$AL$4010,MATCH(892,$AZ$11:$AZ$4010,0)),""))</f>
        <v/>
      </c>
      <c r="AE902" s="26" t="str">
        <f>IFERROR(INDEX($AM$11:$AM$4010,MATCH(892,$AZ$11:$AZ$4010,0)),"")</f>
        <v/>
      </c>
      <c r="AF902" s="25" t="str">
        <f>IF(AE902="","",IFERROR(INDEX($AN$11:$AN$4010,MATCH(892,$AZ$11:$AZ$4010,0)),""))</f>
        <v/>
      </c>
      <c r="AG902" s="25" t="str">
        <f>IF(AE902="","",IFERROR(INDEX($AO$11:$AO$4010,MATCH(892,$AZ$11:$AZ$4010,0)),""))</f>
        <v/>
      </c>
      <c r="AH902" s="24" t="str">
        <f>IF(AE902="","",IFERROR(INDEX($AQ$11:$AQ$4010,MATCH(892,$AZ$11:$AZ$4010,0)),""))</f>
        <v/>
      </c>
      <c r="AI902" s="29" t="str">
        <f>IF(AE902="","",IFERROR(INDEX($AR$11:$AR$4010,MATCH(892,$AZ$11:$AZ$4010,0)),""))</f>
        <v/>
      </c>
      <c r="AJ902" s="29" t="str">
        <f>IF(AE902="","",IFERROR(INDEX($AT$11:$AT$4010,MATCH(892,$AZ$11:$AZ$4010,0)),""))</f>
        <v/>
      </c>
      <c r="AL902" s="31"/>
      <c r="AM902" s="26"/>
      <c r="AN902" s="32"/>
      <c r="AO902" s="32"/>
      <c r="AP902" s="24"/>
      <c r="AQ902" s="24"/>
      <c r="AR902" s="33"/>
      <c r="AS902" s="34"/>
      <c r="AT902" s="33"/>
      <c r="AV902" s="21">
        <f>IF(AND($AL902&lt;&gt;"",COUNTIF($AL$11:$AL902,$AL902)=1),1,0)</f>
        <v>0</v>
      </c>
      <c r="AW902" s="21">
        <f t="shared" si="113"/>
        <v>0</v>
      </c>
      <c r="AX902" s="21" t="str">
        <f t="shared" si="112"/>
        <v/>
      </c>
      <c r="AY902" s="21" t="str">
        <f>IF(AND($AM902&lt;&gt;"",$AS902&lt;&gt;"✓"),SUMPRODUCT(($AM$11:$AM902&lt;&gt;"")*($AS$11:$AS902&lt;&gt;"✓")),"")</f>
        <v/>
      </c>
      <c r="AZ902" s="21" t="str">
        <f>IF(AND($AM902&lt;&gt;"",$AS902="✓"),SUMPRODUCT(($AM$11:$AM902&lt;&gt;"")*($AS$11:$AS902="✓")),"")</f>
        <v/>
      </c>
      <c r="BA902" s="21" t="str">
        <f>IF($AL902="","",$AL902&amp;"|"&amp;COUNTIF($AL$11:$AL902,$AL902))</f>
        <v/>
      </c>
    </row>
    <row r="903" spans="23:53" ht="15" customHeight="1" x14ac:dyDescent="0.25">
      <c r="W903" s="14" t="str">
        <f>IF(X903="","",IFERROR(INDEX($AL$11:$AL$4010,MATCH(893,$AY$11:$AY$4010,0)),""))</f>
        <v/>
      </c>
      <c r="X903" s="12" t="str">
        <f>IFERROR(INDEX($AM$11:$AM$4010,MATCH(893,$AY$11:$AY$4010,0)),"")</f>
        <v/>
      </c>
      <c r="Y903" s="11" t="str">
        <f>IF(X903="","",IFERROR(INDEX($AN$11:$AN$4010,MATCH(893,$AY$11:$AY$4010,0)),""))</f>
        <v/>
      </c>
      <c r="Z903" s="11" t="str">
        <f>IF(X903="","",IFERROR(INDEX($AO$11:$AO$4010,MATCH(893,$AY$11:$AY$4010,0)),""))</f>
        <v/>
      </c>
      <c r="AA903" s="10" t="str">
        <f>IF(X903="","",IFERROR(INDEX($AQ$11:$AQ$4010,MATCH(893,$AY$11:$AY$4010,0)),""))</f>
        <v/>
      </c>
      <c r="AB903" s="15" t="str">
        <f>IF(X903="","",IFERROR(INDEX($AR$11:$AR$4010,MATCH(893,$AY$11:$AY$4010,0)),""))</f>
        <v/>
      </c>
      <c r="AD903" s="16" t="str">
        <f>IF(AE903="","",IFERROR(INDEX($AL$11:$AL$4010,MATCH(893,$AZ$11:$AZ$4010,0)),""))</f>
        <v/>
      </c>
      <c r="AE903" s="12" t="str">
        <f>IFERROR(INDEX($AM$11:$AM$4010,MATCH(893,$AZ$11:$AZ$4010,0)),"")</f>
        <v/>
      </c>
      <c r="AF903" s="11" t="str">
        <f>IF(AE903="","",IFERROR(INDEX($AN$11:$AN$4010,MATCH(893,$AZ$11:$AZ$4010,0)),""))</f>
        <v/>
      </c>
      <c r="AG903" s="11" t="str">
        <f>IF(AE903="","",IFERROR(INDEX($AO$11:$AO$4010,MATCH(893,$AZ$11:$AZ$4010,0)),""))</f>
        <v/>
      </c>
      <c r="AH903" s="10" t="str">
        <f>IF(AE903="","",IFERROR(INDEX($AQ$11:$AQ$4010,MATCH(893,$AZ$11:$AZ$4010,0)),""))</f>
        <v/>
      </c>
      <c r="AI903" s="15" t="str">
        <f>IF(AE903="","",IFERROR(INDEX($AR$11:$AR$4010,MATCH(893,$AZ$11:$AZ$4010,0)),""))</f>
        <v/>
      </c>
      <c r="AJ903" s="15" t="str">
        <f>IF(AE903="","",IFERROR(INDEX($AT$11:$AT$4010,MATCH(893,$AZ$11:$AZ$4010,0)),""))</f>
        <v/>
      </c>
      <c r="AL903" s="17"/>
      <c r="AM903" s="12"/>
      <c r="AN903" s="18"/>
      <c r="AO903" s="18"/>
      <c r="AP903" s="10"/>
      <c r="AQ903" s="10"/>
      <c r="AR903" s="19"/>
      <c r="AS903" s="20"/>
      <c r="AT903" s="19"/>
      <c r="AV903" s="21">
        <f>IF(AND($AL903&lt;&gt;"",COUNTIF($AL$11:$AL903,$AL903)=1),1,0)</f>
        <v>0</v>
      </c>
      <c r="AW903" s="21">
        <f t="shared" si="113"/>
        <v>0</v>
      </c>
      <c r="AX903" s="21" t="str">
        <f t="shared" si="112"/>
        <v/>
      </c>
      <c r="AY903" s="21" t="str">
        <f>IF(AND($AM903&lt;&gt;"",$AS903&lt;&gt;"✓"),SUMPRODUCT(($AM$11:$AM903&lt;&gt;"")*($AS$11:$AS903&lt;&gt;"✓")),"")</f>
        <v/>
      </c>
      <c r="AZ903" s="21" t="str">
        <f>IF(AND($AM903&lt;&gt;"",$AS903="✓"),SUMPRODUCT(($AM$11:$AM903&lt;&gt;"")*($AS$11:$AS903="✓")),"")</f>
        <v/>
      </c>
      <c r="BA903" s="21" t="str">
        <f>IF($AL903="","",$AL903&amp;"|"&amp;COUNTIF($AL$11:$AL903,$AL903))</f>
        <v/>
      </c>
    </row>
    <row r="904" spans="23:53" ht="15" customHeight="1" x14ac:dyDescent="0.25">
      <c r="W904" s="28" t="str">
        <f>IF(X904="","",IFERROR(INDEX($AL$11:$AL$4010,MATCH(894,$AY$11:$AY$4010,0)),""))</f>
        <v/>
      </c>
      <c r="X904" s="26" t="str">
        <f>IFERROR(INDEX($AM$11:$AM$4010,MATCH(894,$AY$11:$AY$4010,0)),"")</f>
        <v/>
      </c>
      <c r="Y904" s="25" t="str">
        <f>IF(X904="","",IFERROR(INDEX($AN$11:$AN$4010,MATCH(894,$AY$11:$AY$4010,0)),""))</f>
        <v/>
      </c>
      <c r="Z904" s="25" t="str">
        <f>IF(X904="","",IFERROR(INDEX($AO$11:$AO$4010,MATCH(894,$AY$11:$AY$4010,0)),""))</f>
        <v/>
      </c>
      <c r="AA904" s="24" t="str">
        <f>IF(X904="","",IFERROR(INDEX($AQ$11:$AQ$4010,MATCH(894,$AY$11:$AY$4010,0)),""))</f>
        <v/>
      </c>
      <c r="AB904" s="29" t="str">
        <f>IF(X904="","",IFERROR(INDEX($AR$11:$AR$4010,MATCH(894,$AY$11:$AY$4010,0)),""))</f>
        <v/>
      </c>
      <c r="AD904" s="30" t="str">
        <f>IF(AE904="","",IFERROR(INDEX($AL$11:$AL$4010,MATCH(894,$AZ$11:$AZ$4010,0)),""))</f>
        <v/>
      </c>
      <c r="AE904" s="26" t="str">
        <f>IFERROR(INDEX($AM$11:$AM$4010,MATCH(894,$AZ$11:$AZ$4010,0)),"")</f>
        <v/>
      </c>
      <c r="AF904" s="25" t="str">
        <f>IF(AE904="","",IFERROR(INDEX($AN$11:$AN$4010,MATCH(894,$AZ$11:$AZ$4010,0)),""))</f>
        <v/>
      </c>
      <c r="AG904" s="25" t="str">
        <f>IF(AE904="","",IFERROR(INDEX($AO$11:$AO$4010,MATCH(894,$AZ$11:$AZ$4010,0)),""))</f>
        <v/>
      </c>
      <c r="AH904" s="24" t="str">
        <f>IF(AE904="","",IFERROR(INDEX($AQ$11:$AQ$4010,MATCH(894,$AZ$11:$AZ$4010,0)),""))</f>
        <v/>
      </c>
      <c r="AI904" s="29" t="str">
        <f>IF(AE904="","",IFERROR(INDEX($AR$11:$AR$4010,MATCH(894,$AZ$11:$AZ$4010,0)),""))</f>
        <v/>
      </c>
      <c r="AJ904" s="29" t="str">
        <f>IF(AE904="","",IFERROR(INDEX($AT$11:$AT$4010,MATCH(894,$AZ$11:$AZ$4010,0)),""))</f>
        <v/>
      </c>
      <c r="AL904" s="31"/>
      <c r="AM904" s="26"/>
      <c r="AN904" s="32"/>
      <c r="AO904" s="32"/>
      <c r="AP904" s="24"/>
      <c r="AQ904" s="24"/>
      <c r="AR904" s="33"/>
      <c r="AS904" s="34"/>
      <c r="AT904" s="33"/>
      <c r="AV904" s="21">
        <f>IF(AND($AL904&lt;&gt;"",COUNTIF($AL$11:$AL904,$AL904)=1),1,0)</f>
        <v>0</v>
      </c>
      <c r="AW904" s="21">
        <f t="shared" si="113"/>
        <v>0</v>
      </c>
      <c r="AX904" s="21" t="str">
        <f t="shared" si="112"/>
        <v/>
      </c>
      <c r="AY904" s="21" t="str">
        <f>IF(AND($AM904&lt;&gt;"",$AS904&lt;&gt;"✓"),SUMPRODUCT(($AM$11:$AM904&lt;&gt;"")*($AS$11:$AS904&lt;&gt;"✓")),"")</f>
        <v/>
      </c>
      <c r="AZ904" s="21" t="str">
        <f>IF(AND($AM904&lt;&gt;"",$AS904="✓"),SUMPRODUCT(($AM$11:$AM904&lt;&gt;"")*($AS$11:$AS904="✓")),"")</f>
        <v/>
      </c>
      <c r="BA904" s="21" t="str">
        <f>IF($AL904="","",$AL904&amp;"|"&amp;COUNTIF($AL$11:$AL904,$AL904))</f>
        <v/>
      </c>
    </row>
    <row r="905" spans="23:53" ht="15" customHeight="1" x14ac:dyDescent="0.25">
      <c r="W905" s="14" t="str">
        <f>IF(X905="","",IFERROR(INDEX($AL$11:$AL$4010,MATCH(895,$AY$11:$AY$4010,0)),""))</f>
        <v/>
      </c>
      <c r="X905" s="12" t="str">
        <f>IFERROR(INDEX($AM$11:$AM$4010,MATCH(895,$AY$11:$AY$4010,0)),"")</f>
        <v/>
      </c>
      <c r="Y905" s="11" t="str">
        <f>IF(X905="","",IFERROR(INDEX($AN$11:$AN$4010,MATCH(895,$AY$11:$AY$4010,0)),""))</f>
        <v/>
      </c>
      <c r="Z905" s="11" t="str">
        <f>IF(X905="","",IFERROR(INDEX($AO$11:$AO$4010,MATCH(895,$AY$11:$AY$4010,0)),""))</f>
        <v/>
      </c>
      <c r="AA905" s="10" t="str">
        <f>IF(X905="","",IFERROR(INDEX($AQ$11:$AQ$4010,MATCH(895,$AY$11:$AY$4010,0)),""))</f>
        <v/>
      </c>
      <c r="AB905" s="15" t="str">
        <f>IF(X905="","",IFERROR(INDEX($AR$11:$AR$4010,MATCH(895,$AY$11:$AY$4010,0)),""))</f>
        <v/>
      </c>
      <c r="AD905" s="16" t="str">
        <f>IF(AE905="","",IFERROR(INDEX($AL$11:$AL$4010,MATCH(895,$AZ$11:$AZ$4010,0)),""))</f>
        <v/>
      </c>
      <c r="AE905" s="12" t="str">
        <f>IFERROR(INDEX($AM$11:$AM$4010,MATCH(895,$AZ$11:$AZ$4010,0)),"")</f>
        <v/>
      </c>
      <c r="AF905" s="11" t="str">
        <f>IF(AE905="","",IFERROR(INDEX($AN$11:$AN$4010,MATCH(895,$AZ$11:$AZ$4010,0)),""))</f>
        <v/>
      </c>
      <c r="AG905" s="11" t="str">
        <f>IF(AE905="","",IFERROR(INDEX($AO$11:$AO$4010,MATCH(895,$AZ$11:$AZ$4010,0)),""))</f>
        <v/>
      </c>
      <c r="AH905" s="10" t="str">
        <f>IF(AE905="","",IFERROR(INDEX($AQ$11:$AQ$4010,MATCH(895,$AZ$11:$AZ$4010,0)),""))</f>
        <v/>
      </c>
      <c r="AI905" s="15" t="str">
        <f>IF(AE905="","",IFERROR(INDEX($AR$11:$AR$4010,MATCH(895,$AZ$11:$AZ$4010,0)),""))</f>
        <v/>
      </c>
      <c r="AJ905" s="15" t="str">
        <f>IF(AE905="","",IFERROR(INDEX($AT$11:$AT$4010,MATCH(895,$AZ$11:$AZ$4010,0)),""))</f>
        <v/>
      </c>
      <c r="AL905" s="17"/>
      <c r="AM905" s="12"/>
      <c r="AN905" s="18"/>
      <c r="AO905" s="18"/>
      <c r="AP905" s="10"/>
      <c r="AQ905" s="10"/>
      <c r="AR905" s="19"/>
      <c r="AS905" s="20"/>
      <c r="AT905" s="19"/>
      <c r="AV905" s="21">
        <f>IF(AND($AL905&lt;&gt;"",COUNTIF($AL$11:$AL905,$AL905)=1),1,0)</f>
        <v>0</v>
      </c>
      <c r="AW905" s="21">
        <f t="shared" si="113"/>
        <v>0</v>
      </c>
      <c r="AX905" s="21" t="str">
        <f t="shared" si="112"/>
        <v/>
      </c>
      <c r="AY905" s="21" t="str">
        <f>IF(AND($AM905&lt;&gt;"",$AS905&lt;&gt;"✓"),SUMPRODUCT(($AM$11:$AM905&lt;&gt;"")*($AS$11:$AS905&lt;&gt;"✓")),"")</f>
        <v/>
      </c>
      <c r="AZ905" s="21" t="str">
        <f>IF(AND($AM905&lt;&gt;"",$AS905="✓"),SUMPRODUCT(($AM$11:$AM905&lt;&gt;"")*($AS$11:$AS905="✓")),"")</f>
        <v/>
      </c>
      <c r="BA905" s="21" t="str">
        <f>IF($AL905="","",$AL905&amp;"|"&amp;COUNTIF($AL$11:$AL905,$AL905))</f>
        <v/>
      </c>
    </row>
    <row r="906" spans="23:53" ht="15" customHeight="1" x14ac:dyDescent="0.25">
      <c r="W906" s="28" t="str">
        <f>IF(X906="","",IFERROR(INDEX($AL$11:$AL$4010,MATCH(896,$AY$11:$AY$4010,0)),""))</f>
        <v/>
      </c>
      <c r="X906" s="26" t="str">
        <f>IFERROR(INDEX($AM$11:$AM$4010,MATCH(896,$AY$11:$AY$4010,0)),"")</f>
        <v/>
      </c>
      <c r="Y906" s="25" t="str">
        <f>IF(X906="","",IFERROR(INDEX($AN$11:$AN$4010,MATCH(896,$AY$11:$AY$4010,0)),""))</f>
        <v/>
      </c>
      <c r="Z906" s="25" t="str">
        <f>IF(X906="","",IFERROR(INDEX($AO$11:$AO$4010,MATCH(896,$AY$11:$AY$4010,0)),""))</f>
        <v/>
      </c>
      <c r="AA906" s="24" t="str">
        <f>IF(X906="","",IFERROR(INDEX($AQ$11:$AQ$4010,MATCH(896,$AY$11:$AY$4010,0)),""))</f>
        <v/>
      </c>
      <c r="AB906" s="29" t="str">
        <f>IF(X906="","",IFERROR(INDEX($AR$11:$AR$4010,MATCH(896,$AY$11:$AY$4010,0)),""))</f>
        <v/>
      </c>
      <c r="AD906" s="30" t="str">
        <f>IF(AE906="","",IFERROR(INDEX($AL$11:$AL$4010,MATCH(896,$AZ$11:$AZ$4010,0)),""))</f>
        <v/>
      </c>
      <c r="AE906" s="26" t="str">
        <f>IFERROR(INDEX($AM$11:$AM$4010,MATCH(896,$AZ$11:$AZ$4010,0)),"")</f>
        <v/>
      </c>
      <c r="AF906" s="25" t="str">
        <f>IF(AE906="","",IFERROR(INDEX($AN$11:$AN$4010,MATCH(896,$AZ$11:$AZ$4010,0)),""))</f>
        <v/>
      </c>
      <c r="AG906" s="25" t="str">
        <f>IF(AE906="","",IFERROR(INDEX($AO$11:$AO$4010,MATCH(896,$AZ$11:$AZ$4010,0)),""))</f>
        <v/>
      </c>
      <c r="AH906" s="24" t="str">
        <f>IF(AE906="","",IFERROR(INDEX($AQ$11:$AQ$4010,MATCH(896,$AZ$11:$AZ$4010,0)),""))</f>
        <v/>
      </c>
      <c r="AI906" s="29" t="str">
        <f>IF(AE906="","",IFERROR(INDEX($AR$11:$AR$4010,MATCH(896,$AZ$11:$AZ$4010,0)),""))</f>
        <v/>
      </c>
      <c r="AJ906" s="29" t="str">
        <f>IF(AE906="","",IFERROR(INDEX($AT$11:$AT$4010,MATCH(896,$AZ$11:$AZ$4010,0)),""))</f>
        <v/>
      </c>
      <c r="AL906" s="31"/>
      <c r="AM906" s="26"/>
      <c r="AN906" s="32"/>
      <c r="AO906" s="32"/>
      <c r="AP906" s="24"/>
      <c r="AQ906" s="24"/>
      <c r="AR906" s="33"/>
      <c r="AS906" s="34"/>
      <c r="AT906" s="33"/>
      <c r="AV906" s="21">
        <f>IF(AND($AL906&lt;&gt;"",COUNTIF($AL$11:$AL906,$AL906)=1),1,0)</f>
        <v>0</v>
      </c>
      <c r="AW906" s="21">
        <f t="shared" si="113"/>
        <v>0</v>
      </c>
      <c r="AX906" s="21" t="str">
        <f t="shared" si="112"/>
        <v/>
      </c>
      <c r="AY906" s="21" t="str">
        <f>IF(AND($AM906&lt;&gt;"",$AS906&lt;&gt;"✓"),SUMPRODUCT(($AM$11:$AM906&lt;&gt;"")*($AS$11:$AS906&lt;&gt;"✓")),"")</f>
        <v/>
      </c>
      <c r="AZ906" s="21" t="str">
        <f>IF(AND($AM906&lt;&gt;"",$AS906="✓"),SUMPRODUCT(($AM$11:$AM906&lt;&gt;"")*($AS$11:$AS906="✓")),"")</f>
        <v/>
      </c>
      <c r="BA906" s="21" t="str">
        <f>IF($AL906="","",$AL906&amp;"|"&amp;COUNTIF($AL$11:$AL906,$AL906))</f>
        <v/>
      </c>
    </row>
    <row r="907" spans="23:53" ht="15" customHeight="1" x14ac:dyDescent="0.25">
      <c r="W907" s="14" t="str">
        <f>IF(X907="","",IFERROR(INDEX($AL$11:$AL$4010,MATCH(897,$AY$11:$AY$4010,0)),""))</f>
        <v/>
      </c>
      <c r="X907" s="12" t="str">
        <f>IFERROR(INDEX($AM$11:$AM$4010,MATCH(897,$AY$11:$AY$4010,0)),"")</f>
        <v/>
      </c>
      <c r="Y907" s="11" t="str">
        <f>IF(X907="","",IFERROR(INDEX($AN$11:$AN$4010,MATCH(897,$AY$11:$AY$4010,0)),""))</f>
        <v/>
      </c>
      <c r="Z907" s="11" t="str">
        <f>IF(X907="","",IFERROR(INDEX($AO$11:$AO$4010,MATCH(897,$AY$11:$AY$4010,0)),""))</f>
        <v/>
      </c>
      <c r="AA907" s="10" t="str">
        <f>IF(X907="","",IFERROR(INDEX($AQ$11:$AQ$4010,MATCH(897,$AY$11:$AY$4010,0)),""))</f>
        <v/>
      </c>
      <c r="AB907" s="15" t="str">
        <f>IF(X907="","",IFERROR(INDEX($AR$11:$AR$4010,MATCH(897,$AY$11:$AY$4010,0)),""))</f>
        <v/>
      </c>
      <c r="AD907" s="16" t="str">
        <f>IF(AE907="","",IFERROR(INDEX($AL$11:$AL$4010,MATCH(897,$AZ$11:$AZ$4010,0)),""))</f>
        <v/>
      </c>
      <c r="AE907" s="12" t="str">
        <f>IFERROR(INDEX($AM$11:$AM$4010,MATCH(897,$AZ$11:$AZ$4010,0)),"")</f>
        <v/>
      </c>
      <c r="AF907" s="11" t="str">
        <f>IF(AE907="","",IFERROR(INDEX($AN$11:$AN$4010,MATCH(897,$AZ$11:$AZ$4010,0)),""))</f>
        <v/>
      </c>
      <c r="AG907" s="11" t="str">
        <f>IF(AE907="","",IFERROR(INDEX($AO$11:$AO$4010,MATCH(897,$AZ$11:$AZ$4010,0)),""))</f>
        <v/>
      </c>
      <c r="AH907" s="10" t="str">
        <f>IF(AE907="","",IFERROR(INDEX($AQ$11:$AQ$4010,MATCH(897,$AZ$11:$AZ$4010,0)),""))</f>
        <v/>
      </c>
      <c r="AI907" s="15" t="str">
        <f>IF(AE907="","",IFERROR(INDEX($AR$11:$AR$4010,MATCH(897,$AZ$11:$AZ$4010,0)),""))</f>
        <v/>
      </c>
      <c r="AJ907" s="15" t="str">
        <f>IF(AE907="","",IFERROR(INDEX($AT$11:$AT$4010,MATCH(897,$AZ$11:$AZ$4010,0)),""))</f>
        <v/>
      </c>
      <c r="AL907" s="17"/>
      <c r="AM907" s="12"/>
      <c r="AN907" s="18"/>
      <c r="AO907" s="18"/>
      <c r="AP907" s="10"/>
      <c r="AQ907" s="10"/>
      <c r="AR907" s="19"/>
      <c r="AS907" s="20"/>
      <c r="AT907" s="19"/>
      <c r="AV907" s="21">
        <f>IF(AND($AL907&lt;&gt;"",COUNTIF($AL$11:$AL907,$AL907)=1),1,0)</f>
        <v>0</v>
      </c>
      <c r="AW907" s="21">
        <f t="shared" si="113"/>
        <v>0</v>
      </c>
      <c r="AX907" s="21" t="str">
        <f t="shared" ref="AX907:AX970" si="114">IF(AV907=1,AW907,"")</f>
        <v/>
      </c>
      <c r="AY907" s="21" t="str">
        <f>IF(AND($AM907&lt;&gt;"",$AS907&lt;&gt;"✓"),SUMPRODUCT(($AM$11:$AM907&lt;&gt;"")*($AS$11:$AS907&lt;&gt;"✓")),"")</f>
        <v/>
      </c>
      <c r="AZ907" s="21" t="str">
        <f>IF(AND($AM907&lt;&gt;"",$AS907="✓"),SUMPRODUCT(($AM$11:$AM907&lt;&gt;"")*($AS$11:$AS907="✓")),"")</f>
        <v/>
      </c>
      <c r="BA907" s="21" t="str">
        <f>IF($AL907="","",$AL907&amp;"|"&amp;COUNTIF($AL$11:$AL907,$AL907))</f>
        <v/>
      </c>
    </row>
    <row r="908" spans="23:53" ht="15" customHeight="1" x14ac:dyDescent="0.25">
      <c r="W908" s="28" t="str">
        <f>IF(X908="","",IFERROR(INDEX($AL$11:$AL$4010,MATCH(898,$AY$11:$AY$4010,0)),""))</f>
        <v/>
      </c>
      <c r="X908" s="26" t="str">
        <f>IFERROR(INDEX($AM$11:$AM$4010,MATCH(898,$AY$11:$AY$4010,0)),"")</f>
        <v/>
      </c>
      <c r="Y908" s="25" t="str">
        <f>IF(X908="","",IFERROR(INDEX($AN$11:$AN$4010,MATCH(898,$AY$11:$AY$4010,0)),""))</f>
        <v/>
      </c>
      <c r="Z908" s="25" t="str">
        <f>IF(X908="","",IFERROR(INDEX($AO$11:$AO$4010,MATCH(898,$AY$11:$AY$4010,0)),""))</f>
        <v/>
      </c>
      <c r="AA908" s="24" t="str">
        <f>IF(X908="","",IFERROR(INDEX($AQ$11:$AQ$4010,MATCH(898,$AY$11:$AY$4010,0)),""))</f>
        <v/>
      </c>
      <c r="AB908" s="29" t="str">
        <f>IF(X908="","",IFERROR(INDEX($AR$11:$AR$4010,MATCH(898,$AY$11:$AY$4010,0)),""))</f>
        <v/>
      </c>
      <c r="AD908" s="30" t="str">
        <f>IF(AE908="","",IFERROR(INDEX($AL$11:$AL$4010,MATCH(898,$AZ$11:$AZ$4010,0)),""))</f>
        <v/>
      </c>
      <c r="AE908" s="26" t="str">
        <f>IFERROR(INDEX($AM$11:$AM$4010,MATCH(898,$AZ$11:$AZ$4010,0)),"")</f>
        <v/>
      </c>
      <c r="AF908" s="25" t="str">
        <f>IF(AE908="","",IFERROR(INDEX($AN$11:$AN$4010,MATCH(898,$AZ$11:$AZ$4010,0)),""))</f>
        <v/>
      </c>
      <c r="AG908" s="25" t="str">
        <f>IF(AE908="","",IFERROR(INDEX($AO$11:$AO$4010,MATCH(898,$AZ$11:$AZ$4010,0)),""))</f>
        <v/>
      </c>
      <c r="AH908" s="24" t="str">
        <f>IF(AE908="","",IFERROR(INDEX($AQ$11:$AQ$4010,MATCH(898,$AZ$11:$AZ$4010,0)),""))</f>
        <v/>
      </c>
      <c r="AI908" s="29" t="str">
        <f>IF(AE908="","",IFERROR(INDEX($AR$11:$AR$4010,MATCH(898,$AZ$11:$AZ$4010,0)),""))</f>
        <v/>
      </c>
      <c r="AJ908" s="29" t="str">
        <f>IF(AE908="","",IFERROR(INDEX($AT$11:$AT$4010,MATCH(898,$AZ$11:$AZ$4010,0)),""))</f>
        <v/>
      </c>
      <c r="AL908" s="31"/>
      <c r="AM908" s="26"/>
      <c r="AN908" s="32"/>
      <c r="AO908" s="32"/>
      <c r="AP908" s="24"/>
      <c r="AQ908" s="24"/>
      <c r="AR908" s="33"/>
      <c r="AS908" s="34"/>
      <c r="AT908" s="33"/>
      <c r="AV908" s="21">
        <f>IF(AND($AL908&lt;&gt;"",COUNTIF($AL$11:$AL908,$AL908)=1),1,0)</f>
        <v>0</v>
      </c>
      <c r="AW908" s="21">
        <f t="shared" ref="AW908:AW971" si="115">AW907+AV908</f>
        <v>0</v>
      </c>
      <c r="AX908" s="21" t="str">
        <f t="shared" si="114"/>
        <v/>
      </c>
      <c r="AY908" s="21" t="str">
        <f>IF(AND($AM908&lt;&gt;"",$AS908&lt;&gt;"✓"),SUMPRODUCT(($AM$11:$AM908&lt;&gt;"")*($AS$11:$AS908&lt;&gt;"✓")),"")</f>
        <v/>
      </c>
      <c r="AZ908" s="21" t="str">
        <f>IF(AND($AM908&lt;&gt;"",$AS908="✓"),SUMPRODUCT(($AM$11:$AM908&lt;&gt;"")*($AS$11:$AS908="✓")),"")</f>
        <v/>
      </c>
      <c r="BA908" s="21" t="str">
        <f>IF($AL908="","",$AL908&amp;"|"&amp;COUNTIF($AL$11:$AL908,$AL908))</f>
        <v/>
      </c>
    </row>
    <row r="909" spans="23:53" ht="15" customHeight="1" x14ac:dyDescent="0.25">
      <c r="W909" s="14" t="str">
        <f>IF(X909="","",IFERROR(INDEX($AL$11:$AL$4010,MATCH(899,$AY$11:$AY$4010,0)),""))</f>
        <v/>
      </c>
      <c r="X909" s="12" t="str">
        <f>IFERROR(INDEX($AM$11:$AM$4010,MATCH(899,$AY$11:$AY$4010,0)),"")</f>
        <v/>
      </c>
      <c r="Y909" s="11" t="str">
        <f>IF(X909="","",IFERROR(INDEX($AN$11:$AN$4010,MATCH(899,$AY$11:$AY$4010,0)),""))</f>
        <v/>
      </c>
      <c r="Z909" s="11" t="str">
        <f>IF(X909="","",IFERROR(INDEX($AO$11:$AO$4010,MATCH(899,$AY$11:$AY$4010,0)),""))</f>
        <v/>
      </c>
      <c r="AA909" s="10" t="str">
        <f>IF(X909="","",IFERROR(INDEX($AQ$11:$AQ$4010,MATCH(899,$AY$11:$AY$4010,0)),""))</f>
        <v/>
      </c>
      <c r="AB909" s="15" t="str">
        <f>IF(X909="","",IFERROR(INDEX($AR$11:$AR$4010,MATCH(899,$AY$11:$AY$4010,0)),""))</f>
        <v/>
      </c>
      <c r="AD909" s="16" t="str">
        <f>IF(AE909="","",IFERROR(INDEX($AL$11:$AL$4010,MATCH(899,$AZ$11:$AZ$4010,0)),""))</f>
        <v/>
      </c>
      <c r="AE909" s="12" t="str">
        <f>IFERROR(INDEX($AM$11:$AM$4010,MATCH(899,$AZ$11:$AZ$4010,0)),"")</f>
        <v/>
      </c>
      <c r="AF909" s="11" t="str">
        <f>IF(AE909="","",IFERROR(INDEX($AN$11:$AN$4010,MATCH(899,$AZ$11:$AZ$4010,0)),""))</f>
        <v/>
      </c>
      <c r="AG909" s="11" t="str">
        <f>IF(AE909="","",IFERROR(INDEX($AO$11:$AO$4010,MATCH(899,$AZ$11:$AZ$4010,0)),""))</f>
        <v/>
      </c>
      <c r="AH909" s="10" t="str">
        <f>IF(AE909="","",IFERROR(INDEX($AQ$11:$AQ$4010,MATCH(899,$AZ$11:$AZ$4010,0)),""))</f>
        <v/>
      </c>
      <c r="AI909" s="15" t="str">
        <f>IF(AE909="","",IFERROR(INDEX($AR$11:$AR$4010,MATCH(899,$AZ$11:$AZ$4010,0)),""))</f>
        <v/>
      </c>
      <c r="AJ909" s="15" t="str">
        <f>IF(AE909="","",IFERROR(INDEX($AT$11:$AT$4010,MATCH(899,$AZ$11:$AZ$4010,0)),""))</f>
        <v/>
      </c>
      <c r="AL909" s="17"/>
      <c r="AM909" s="12"/>
      <c r="AN909" s="18"/>
      <c r="AO909" s="18"/>
      <c r="AP909" s="10"/>
      <c r="AQ909" s="10"/>
      <c r="AR909" s="19"/>
      <c r="AS909" s="20"/>
      <c r="AT909" s="19"/>
      <c r="AV909" s="21">
        <f>IF(AND($AL909&lt;&gt;"",COUNTIF($AL$11:$AL909,$AL909)=1),1,0)</f>
        <v>0</v>
      </c>
      <c r="AW909" s="21">
        <f t="shared" si="115"/>
        <v>0</v>
      </c>
      <c r="AX909" s="21" t="str">
        <f t="shared" si="114"/>
        <v/>
      </c>
      <c r="AY909" s="21" t="str">
        <f>IF(AND($AM909&lt;&gt;"",$AS909&lt;&gt;"✓"),SUMPRODUCT(($AM$11:$AM909&lt;&gt;"")*($AS$11:$AS909&lt;&gt;"✓")),"")</f>
        <v/>
      </c>
      <c r="AZ909" s="21" t="str">
        <f>IF(AND($AM909&lt;&gt;"",$AS909="✓"),SUMPRODUCT(($AM$11:$AM909&lt;&gt;"")*($AS$11:$AS909="✓")),"")</f>
        <v/>
      </c>
      <c r="BA909" s="21" t="str">
        <f>IF($AL909="","",$AL909&amp;"|"&amp;COUNTIF($AL$11:$AL909,$AL909))</f>
        <v/>
      </c>
    </row>
    <row r="910" spans="23:53" ht="15" customHeight="1" x14ac:dyDescent="0.25">
      <c r="W910" s="28" t="str">
        <f>IF(X910="","",IFERROR(INDEX($AL$11:$AL$4010,MATCH(900,$AY$11:$AY$4010,0)),""))</f>
        <v/>
      </c>
      <c r="X910" s="26" t="str">
        <f>IFERROR(INDEX($AM$11:$AM$4010,MATCH(900,$AY$11:$AY$4010,0)),"")</f>
        <v/>
      </c>
      <c r="Y910" s="25" t="str">
        <f>IF(X910="","",IFERROR(INDEX($AN$11:$AN$4010,MATCH(900,$AY$11:$AY$4010,0)),""))</f>
        <v/>
      </c>
      <c r="Z910" s="25" t="str">
        <f>IF(X910="","",IFERROR(INDEX($AO$11:$AO$4010,MATCH(900,$AY$11:$AY$4010,0)),""))</f>
        <v/>
      </c>
      <c r="AA910" s="24" t="str">
        <f>IF(X910="","",IFERROR(INDEX($AQ$11:$AQ$4010,MATCH(900,$AY$11:$AY$4010,0)),""))</f>
        <v/>
      </c>
      <c r="AB910" s="29" t="str">
        <f>IF(X910="","",IFERROR(INDEX($AR$11:$AR$4010,MATCH(900,$AY$11:$AY$4010,0)),""))</f>
        <v/>
      </c>
      <c r="AD910" s="30" t="str">
        <f>IF(AE910="","",IFERROR(INDEX($AL$11:$AL$4010,MATCH(900,$AZ$11:$AZ$4010,0)),""))</f>
        <v/>
      </c>
      <c r="AE910" s="26" t="str">
        <f>IFERROR(INDEX($AM$11:$AM$4010,MATCH(900,$AZ$11:$AZ$4010,0)),"")</f>
        <v/>
      </c>
      <c r="AF910" s="25" t="str">
        <f>IF(AE910="","",IFERROR(INDEX($AN$11:$AN$4010,MATCH(900,$AZ$11:$AZ$4010,0)),""))</f>
        <v/>
      </c>
      <c r="AG910" s="25" t="str">
        <f>IF(AE910="","",IFERROR(INDEX($AO$11:$AO$4010,MATCH(900,$AZ$11:$AZ$4010,0)),""))</f>
        <v/>
      </c>
      <c r="AH910" s="24" t="str">
        <f>IF(AE910="","",IFERROR(INDEX($AQ$11:$AQ$4010,MATCH(900,$AZ$11:$AZ$4010,0)),""))</f>
        <v/>
      </c>
      <c r="AI910" s="29" t="str">
        <f>IF(AE910="","",IFERROR(INDEX($AR$11:$AR$4010,MATCH(900,$AZ$11:$AZ$4010,0)),""))</f>
        <v/>
      </c>
      <c r="AJ910" s="29" t="str">
        <f>IF(AE910="","",IFERROR(INDEX($AT$11:$AT$4010,MATCH(900,$AZ$11:$AZ$4010,0)),""))</f>
        <v/>
      </c>
      <c r="AL910" s="31"/>
      <c r="AM910" s="26"/>
      <c r="AN910" s="32"/>
      <c r="AO910" s="32"/>
      <c r="AP910" s="24"/>
      <c r="AQ910" s="24"/>
      <c r="AR910" s="33"/>
      <c r="AS910" s="34"/>
      <c r="AT910" s="33"/>
      <c r="AV910" s="21">
        <f>IF(AND($AL910&lt;&gt;"",COUNTIF($AL$11:$AL910,$AL910)=1),1,0)</f>
        <v>0</v>
      </c>
      <c r="AW910" s="21">
        <f t="shared" si="115"/>
        <v>0</v>
      </c>
      <c r="AX910" s="21" t="str">
        <f t="shared" si="114"/>
        <v/>
      </c>
      <c r="AY910" s="21" t="str">
        <f>IF(AND($AM910&lt;&gt;"",$AS910&lt;&gt;"✓"),SUMPRODUCT(($AM$11:$AM910&lt;&gt;"")*($AS$11:$AS910&lt;&gt;"✓")),"")</f>
        <v/>
      </c>
      <c r="AZ910" s="21" t="str">
        <f>IF(AND($AM910&lt;&gt;"",$AS910="✓"),SUMPRODUCT(($AM$11:$AM910&lt;&gt;"")*($AS$11:$AS910="✓")),"")</f>
        <v/>
      </c>
      <c r="BA910" s="21" t="str">
        <f>IF($AL910="","",$AL910&amp;"|"&amp;COUNTIF($AL$11:$AL910,$AL910))</f>
        <v/>
      </c>
    </row>
    <row r="911" spans="23:53" ht="15" customHeight="1" x14ac:dyDescent="0.25">
      <c r="W911" s="14" t="str">
        <f>IF(X911="","",IFERROR(INDEX($AL$11:$AL$4010,MATCH(901,$AY$11:$AY$4010,0)),""))</f>
        <v/>
      </c>
      <c r="X911" s="12" t="str">
        <f>IFERROR(INDEX($AM$11:$AM$4010,MATCH(901,$AY$11:$AY$4010,0)),"")</f>
        <v/>
      </c>
      <c r="Y911" s="11" t="str">
        <f>IF(X911="","",IFERROR(INDEX($AN$11:$AN$4010,MATCH(901,$AY$11:$AY$4010,0)),""))</f>
        <v/>
      </c>
      <c r="Z911" s="11" t="str">
        <f>IF(X911="","",IFERROR(INDEX($AO$11:$AO$4010,MATCH(901,$AY$11:$AY$4010,0)),""))</f>
        <v/>
      </c>
      <c r="AA911" s="10" t="str">
        <f>IF(X911="","",IFERROR(INDEX($AQ$11:$AQ$4010,MATCH(901,$AY$11:$AY$4010,0)),""))</f>
        <v/>
      </c>
      <c r="AB911" s="15" t="str">
        <f>IF(X911="","",IFERROR(INDEX($AR$11:$AR$4010,MATCH(901,$AY$11:$AY$4010,0)),""))</f>
        <v/>
      </c>
      <c r="AD911" s="16" t="str">
        <f>IF(AE911="","",IFERROR(INDEX($AL$11:$AL$4010,MATCH(901,$AZ$11:$AZ$4010,0)),""))</f>
        <v/>
      </c>
      <c r="AE911" s="12" t="str">
        <f>IFERROR(INDEX($AM$11:$AM$4010,MATCH(901,$AZ$11:$AZ$4010,0)),"")</f>
        <v/>
      </c>
      <c r="AF911" s="11" t="str">
        <f>IF(AE911="","",IFERROR(INDEX($AN$11:$AN$4010,MATCH(901,$AZ$11:$AZ$4010,0)),""))</f>
        <v/>
      </c>
      <c r="AG911" s="11" t="str">
        <f>IF(AE911="","",IFERROR(INDEX($AO$11:$AO$4010,MATCH(901,$AZ$11:$AZ$4010,0)),""))</f>
        <v/>
      </c>
      <c r="AH911" s="10" t="str">
        <f>IF(AE911="","",IFERROR(INDEX($AQ$11:$AQ$4010,MATCH(901,$AZ$11:$AZ$4010,0)),""))</f>
        <v/>
      </c>
      <c r="AI911" s="15" t="str">
        <f>IF(AE911="","",IFERROR(INDEX($AR$11:$AR$4010,MATCH(901,$AZ$11:$AZ$4010,0)),""))</f>
        <v/>
      </c>
      <c r="AJ911" s="15" t="str">
        <f>IF(AE911="","",IFERROR(INDEX($AT$11:$AT$4010,MATCH(901,$AZ$11:$AZ$4010,0)),""))</f>
        <v/>
      </c>
      <c r="AL911" s="17"/>
      <c r="AM911" s="12"/>
      <c r="AN911" s="18"/>
      <c r="AO911" s="18"/>
      <c r="AP911" s="10"/>
      <c r="AQ911" s="10"/>
      <c r="AR911" s="19"/>
      <c r="AS911" s="20"/>
      <c r="AT911" s="19"/>
      <c r="AV911" s="21">
        <f>IF(AND($AL911&lt;&gt;"",COUNTIF($AL$11:$AL911,$AL911)=1),1,0)</f>
        <v>0</v>
      </c>
      <c r="AW911" s="21">
        <f t="shared" si="115"/>
        <v>0</v>
      </c>
      <c r="AX911" s="21" t="str">
        <f t="shared" si="114"/>
        <v/>
      </c>
      <c r="AY911" s="21" t="str">
        <f>IF(AND($AM911&lt;&gt;"",$AS911&lt;&gt;"✓"),SUMPRODUCT(($AM$11:$AM911&lt;&gt;"")*($AS$11:$AS911&lt;&gt;"✓")),"")</f>
        <v/>
      </c>
      <c r="AZ911" s="21" t="str">
        <f>IF(AND($AM911&lt;&gt;"",$AS911="✓"),SUMPRODUCT(($AM$11:$AM911&lt;&gt;"")*($AS$11:$AS911="✓")),"")</f>
        <v/>
      </c>
      <c r="BA911" s="21" t="str">
        <f>IF($AL911="","",$AL911&amp;"|"&amp;COUNTIF($AL$11:$AL911,$AL911))</f>
        <v/>
      </c>
    </row>
    <row r="912" spans="23:53" ht="15" customHeight="1" x14ac:dyDescent="0.25">
      <c r="W912" s="28" t="str">
        <f>IF(X912="","",IFERROR(INDEX($AL$11:$AL$4010,MATCH(902,$AY$11:$AY$4010,0)),""))</f>
        <v/>
      </c>
      <c r="X912" s="26" t="str">
        <f>IFERROR(INDEX($AM$11:$AM$4010,MATCH(902,$AY$11:$AY$4010,0)),"")</f>
        <v/>
      </c>
      <c r="Y912" s="25" t="str">
        <f>IF(X912="","",IFERROR(INDEX($AN$11:$AN$4010,MATCH(902,$AY$11:$AY$4010,0)),""))</f>
        <v/>
      </c>
      <c r="Z912" s="25" t="str">
        <f>IF(X912="","",IFERROR(INDEX($AO$11:$AO$4010,MATCH(902,$AY$11:$AY$4010,0)),""))</f>
        <v/>
      </c>
      <c r="AA912" s="24" t="str">
        <f>IF(X912="","",IFERROR(INDEX($AQ$11:$AQ$4010,MATCH(902,$AY$11:$AY$4010,0)),""))</f>
        <v/>
      </c>
      <c r="AB912" s="29" t="str">
        <f>IF(X912="","",IFERROR(INDEX($AR$11:$AR$4010,MATCH(902,$AY$11:$AY$4010,0)),""))</f>
        <v/>
      </c>
      <c r="AD912" s="30" t="str">
        <f>IF(AE912="","",IFERROR(INDEX($AL$11:$AL$4010,MATCH(902,$AZ$11:$AZ$4010,0)),""))</f>
        <v/>
      </c>
      <c r="AE912" s="26" t="str">
        <f>IFERROR(INDEX($AM$11:$AM$4010,MATCH(902,$AZ$11:$AZ$4010,0)),"")</f>
        <v/>
      </c>
      <c r="AF912" s="25" t="str">
        <f>IF(AE912="","",IFERROR(INDEX($AN$11:$AN$4010,MATCH(902,$AZ$11:$AZ$4010,0)),""))</f>
        <v/>
      </c>
      <c r="AG912" s="25" t="str">
        <f>IF(AE912="","",IFERROR(INDEX($AO$11:$AO$4010,MATCH(902,$AZ$11:$AZ$4010,0)),""))</f>
        <v/>
      </c>
      <c r="AH912" s="24" t="str">
        <f>IF(AE912="","",IFERROR(INDEX($AQ$11:$AQ$4010,MATCH(902,$AZ$11:$AZ$4010,0)),""))</f>
        <v/>
      </c>
      <c r="AI912" s="29" t="str">
        <f>IF(AE912="","",IFERROR(INDEX($AR$11:$AR$4010,MATCH(902,$AZ$11:$AZ$4010,0)),""))</f>
        <v/>
      </c>
      <c r="AJ912" s="29" t="str">
        <f>IF(AE912="","",IFERROR(INDEX($AT$11:$AT$4010,MATCH(902,$AZ$11:$AZ$4010,0)),""))</f>
        <v/>
      </c>
      <c r="AL912" s="31"/>
      <c r="AM912" s="26"/>
      <c r="AN912" s="32"/>
      <c r="AO912" s="32"/>
      <c r="AP912" s="24"/>
      <c r="AQ912" s="24"/>
      <c r="AR912" s="33"/>
      <c r="AS912" s="34"/>
      <c r="AT912" s="33"/>
      <c r="AV912" s="21">
        <f>IF(AND($AL912&lt;&gt;"",COUNTIF($AL$11:$AL912,$AL912)=1),1,0)</f>
        <v>0</v>
      </c>
      <c r="AW912" s="21">
        <f t="shared" si="115"/>
        <v>0</v>
      </c>
      <c r="AX912" s="21" t="str">
        <f t="shared" si="114"/>
        <v/>
      </c>
      <c r="AY912" s="21" t="str">
        <f>IF(AND($AM912&lt;&gt;"",$AS912&lt;&gt;"✓"),SUMPRODUCT(($AM$11:$AM912&lt;&gt;"")*($AS$11:$AS912&lt;&gt;"✓")),"")</f>
        <v/>
      </c>
      <c r="AZ912" s="21" t="str">
        <f>IF(AND($AM912&lt;&gt;"",$AS912="✓"),SUMPRODUCT(($AM$11:$AM912&lt;&gt;"")*($AS$11:$AS912="✓")),"")</f>
        <v/>
      </c>
      <c r="BA912" s="21" t="str">
        <f>IF($AL912="","",$AL912&amp;"|"&amp;COUNTIF($AL$11:$AL912,$AL912))</f>
        <v/>
      </c>
    </row>
    <row r="913" spans="23:53" ht="15" customHeight="1" x14ac:dyDescent="0.25">
      <c r="W913" s="14" t="str">
        <f>IF(X913="","",IFERROR(INDEX($AL$11:$AL$4010,MATCH(903,$AY$11:$AY$4010,0)),""))</f>
        <v/>
      </c>
      <c r="X913" s="12" t="str">
        <f>IFERROR(INDEX($AM$11:$AM$4010,MATCH(903,$AY$11:$AY$4010,0)),"")</f>
        <v/>
      </c>
      <c r="Y913" s="11" t="str">
        <f>IF(X913="","",IFERROR(INDEX($AN$11:$AN$4010,MATCH(903,$AY$11:$AY$4010,0)),""))</f>
        <v/>
      </c>
      <c r="Z913" s="11" t="str">
        <f>IF(X913="","",IFERROR(INDEX($AO$11:$AO$4010,MATCH(903,$AY$11:$AY$4010,0)),""))</f>
        <v/>
      </c>
      <c r="AA913" s="10" t="str">
        <f>IF(X913="","",IFERROR(INDEX($AQ$11:$AQ$4010,MATCH(903,$AY$11:$AY$4010,0)),""))</f>
        <v/>
      </c>
      <c r="AB913" s="15" t="str">
        <f>IF(X913="","",IFERROR(INDEX($AR$11:$AR$4010,MATCH(903,$AY$11:$AY$4010,0)),""))</f>
        <v/>
      </c>
      <c r="AD913" s="16" t="str">
        <f>IF(AE913="","",IFERROR(INDEX($AL$11:$AL$4010,MATCH(903,$AZ$11:$AZ$4010,0)),""))</f>
        <v/>
      </c>
      <c r="AE913" s="12" t="str">
        <f>IFERROR(INDEX($AM$11:$AM$4010,MATCH(903,$AZ$11:$AZ$4010,0)),"")</f>
        <v/>
      </c>
      <c r="AF913" s="11" t="str">
        <f>IF(AE913="","",IFERROR(INDEX($AN$11:$AN$4010,MATCH(903,$AZ$11:$AZ$4010,0)),""))</f>
        <v/>
      </c>
      <c r="AG913" s="11" t="str">
        <f>IF(AE913="","",IFERROR(INDEX($AO$11:$AO$4010,MATCH(903,$AZ$11:$AZ$4010,0)),""))</f>
        <v/>
      </c>
      <c r="AH913" s="10" t="str">
        <f>IF(AE913="","",IFERROR(INDEX($AQ$11:$AQ$4010,MATCH(903,$AZ$11:$AZ$4010,0)),""))</f>
        <v/>
      </c>
      <c r="AI913" s="15" t="str">
        <f>IF(AE913="","",IFERROR(INDEX($AR$11:$AR$4010,MATCH(903,$AZ$11:$AZ$4010,0)),""))</f>
        <v/>
      </c>
      <c r="AJ913" s="15" t="str">
        <f>IF(AE913="","",IFERROR(INDEX($AT$11:$AT$4010,MATCH(903,$AZ$11:$AZ$4010,0)),""))</f>
        <v/>
      </c>
      <c r="AL913" s="17"/>
      <c r="AM913" s="12"/>
      <c r="AN913" s="18"/>
      <c r="AO913" s="18"/>
      <c r="AP913" s="10"/>
      <c r="AQ913" s="10"/>
      <c r="AR913" s="19"/>
      <c r="AS913" s="20"/>
      <c r="AT913" s="19"/>
      <c r="AV913" s="21">
        <f>IF(AND($AL913&lt;&gt;"",COUNTIF($AL$11:$AL913,$AL913)=1),1,0)</f>
        <v>0</v>
      </c>
      <c r="AW913" s="21">
        <f t="shared" si="115"/>
        <v>0</v>
      </c>
      <c r="AX913" s="21" t="str">
        <f t="shared" si="114"/>
        <v/>
      </c>
      <c r="AY913" s="21" t="str">
        <f>IF(AND($AM913&lt;&gt;"",$AS913&lt;&gt;"✓"),SUMPRODUCT(($AM$11:$AM913&lt;&gt;"")*($AS$11:$AS913&lt;&gt;"✓")),"")</f>
        <v/>
      </c>
      <c r="AZ913" s="21" t="str">
        <f>IF(AND($AM913&lt;&gt;"",$AS913="✓"),SUMPRODUCT(($AM$11:$AM913&lt;&gt;"")*($AS$11:$AS913="✓")),"")</f>
        <v/>
      </c>
      <c r="BA913" s="21" t="str">
        <f>IF($AL913="","",$AL913&amp;"|"&amp;COUNTIF($AL$11:$AL913,$AL913))</f>
        <v/>
      </c>
    </row>
    <row r="914" spans="23:53" ht="15" customHeight="1" x14ac:dyDescent="0.25">
      <c r="W914" s="28" t="str">
        <f>IF(X914="","",IFERROR(INDEX($AL$11:$AL$4010,MATCH(904,$AY$11:$AY$4010,0)),""))</f>
        <v/>
      </c>
      <c r="X914" s="26" t="str">
        <f>IFERROR(INDEX($AM$11:$AM$4010,MATCH(904,$AY$11:$AY$4010,0)),"")</f>
        <v/>
      </c>
      <c r="Y914" s="25" t="str">
        <f>IF(X914="","",IFERROR(INDEX($AN$11:$AN$4010,MATCH(904,$AY$11:$AY$4010,0)),""))</f>
        <v/>
      </c>
      <c r="Z914" s="25" t="str">
        <f>IF(X914="","",IFERROR(INDEX($AO$11:$AO$4010,MATCH(904,$AY$11:$AY$4010,0)),""))</f>
        <v/>
      </c>
      <c r="AA914" s="24" t="str">
        <f>IF(X914="","",IFERROR(INDEX($AQ$11:$AQ$4010,MATCH(904,$AY$11:$AY$4010,0)),""))</f>
        <v/>
      </c>
      <c r="AB914" s="29" t="str">
        <f>IF(X914="","",IFERROR(INDEX($AR$11:$AR$4010,MATCH(904,$AY$11:$AY$4010,0)),""))</f>
        <v/>
      </c>
      <c r="AD914" s="30" t="str">
        <f>IF(AE914="","",IFERROR(INDEX($AL$11:$AL$4010,MATCH(904,$AZ$11:$AZ$4010,0)),""))</f>
        <v/>
      </c>
      <c r="AE914" s="26" t="str">
        <f>IFERROR(INDEX($AM$11:$AM$4010,MATCH(904,$AZ$11:$AZ$4010,0)),"")</f>
        <v/>
      </c>
      <c r="AF914" s="25" t="str">
        <f>IF(AE914="","",IFERROR(INDEX($AN$11:$AN$4010,MATCH(904,$AZ$11:$AZ$4010,0)),""))</f>
        <v/>
      </c>
      <c r="AG914" s="25" t="str">
        <f>IF(AE914="","",IFERROR(INDEX($AO$11:$AO$4010,MATCH(904,$AZ$11:$AZ$4010,0)),""))</f>
        <v/>
      </c>
      <c r="AH914" s="24" t="str">
        <f>IF(AE914="","",IFERROR(INDEX($AQ$11:$AQ$4010,MATCH(904,$AZ$11:$AZ$4010,0)),""))</f>
        <v/>
      </c>
      <c r="AI914" s="29" t="str">
        <f>IF(AE914="","",IFERROR(INDEX($AR$11:$AR$4010,MATCH(904,$AZ$11:$AZ$4010,0)),""))</f>
        <v/>
      </c>
      <c r="AJ914" s="29" t="str">
        <f>IF(AE914="","",IFERROR(INDEX($AT$11:$AT$4010,MATCH(904,$AZ$11:$AZ$4010,0)),""))</f>
        <v/>
      </c>
      <c r="AL914" s="31"/>
      <c r="AM914" s="26"/>
      <c r="AN914" s="32"/>
      <c r="AO914" s="32"/>
      <c r="AP914" s="24"/>
      <c r="AQ914" s="24"/>
      <c r="AR914" s="33"/>
      <c r="AS914" s="34"/>
      <c r="AT914" s="33"/>
      <c r="AV914" s="21">
        <f>IF(AND($AL914&lt;&gt;"",COUNTIF($AL$11:$AL914,$AL914)=1),1,0)</f>
        <v>0</v>
      </c>
      <c r="AW914" s="21">
        <f t="shared" si="115"/>
        <v>0</v>
      </c>
      <c r="AX914" s="21" t="str">
        <f t="shared" si="114"/>
        <v/>
      </c>
      <c r="AY914" s="21" t="str">
        <f>IF(AND($AM914&lt;&gt;"",$AS914&lt;&gt;"✓"),SUMPRODUCT(($AM$11:$AM914&lt;&gt;"")*($AS$11:$AS914&lt;&gt;"✓")),"")</f>
        <v/>
      </c>
      <c r="AZ914" s="21" t="str">
        <f>IF(AND($AM914&lt;&gt;"",$AS914="✓"),SUMPRODUCT(($AM$11:$AM914&lt;&gt;"")*($AS$11:$AS914="✓")),"")</f>
        <v/>
      </c>
      <c r="BA914" s="21" t="str">
        <f>IF($AL914="","",$AL914&amp;"|"&amp;COUNTIF($AL$11:$AL914,$AL914))</f>
        <v/>
      </c>
    </row>
    <row r="915" spans="23:53" ht="15" customHeight="1" x14ac:dyDescent="0.25">
      <c r="W915" s="14" t="str">
        <f>IF(X915="","",IFERROR(INDEX($AL$11:$AL$4010,MATCH(905,$AY$11:$AY$4010,0)),""))</f>
        <v/>
      </c>
      <c r="X915" s="12" t="str">
        <f>IFERROR(INDEX($AM$11:$AM$4010,MATCH(905,$AY$11:$AY$4010,0)),"")</f>
        <v/>
      </c>
      <c r="Y915" s="11" t="str">
        <f>IF(X915="","",IFERROR(INDEX($AN$11:$AN$4010,MATCH(905,$AY$11:$AY$4010,0)),""))</f>
        <v/>
      </c>
      <c r="Z915" s="11" t="str">
        <f>IF(X915="","",IFERROR(INDEX($AO$11:$AO$4010,MATCH(905,$AY$11:$AY$4010,0)),""))</f>
        <v/>
      </c>
      <c r="AA915" s="10" t="str">
        <f>IF(X915="","",IFERROR(INDEX($AQ$11:$AQ$4010,MATCH(905,$AY$11:$AY$4010,0)),""))</f>
        <v/>
      </c>
      <c r="AB915" s="15" t="str">
        <f>IF(X915="","",IFERROR(INDEX($AR$11:$AR$4010,MATCH(905,$AY$11:$AY$4010,0)),""))</f>
        <v/>
      </c>
      <c r="AD915" s="16" t="str">
        <f>IF(AE915="","",IFERROR(INDEX($AL$11:$AL$4010,MATCH(905,$AZ$11:$AZ$4010,0)),""))</f>
        <v/>
      </c>
      <c r="AE915" s="12" t="str">
        <f>IFERROR(INDEX($AM$11:$AM$4010,MATCH(905,$AZ$11:$AZ$4010,0)),"")</f>
        <v/>
      </c>
      <c r="AF915" s="11" t="str">
        <f>IF(AE915="","",IFERROR(INDEX($AN$11:$AN$4010,MATCH(905,$AZ$11:$AZ$4010,0)),""))</f>
        <v/>
      </c>
      <c r="AG915" s="11" t="str">
        <f>IF(AE915="","",IFERROR(INDEX($AO$11:$AO$4010,MATCH(905,$AZ$11:$AZ$4010,0)),""))</f>
        <v/>
      </c>
      <c r="AH915" s="10" t="str">
        <f>IF(AE915="","",IFERROR(INDEX($AQ$11:$AQ$4010,MATCH(905,$AZ$11:$AZ$4010,0)),""))</f>
        <v/>
      </c>
      <c r="AI915" s="15" t="str">
        <f>IF(AE915="","",IFERROR(INDEX($AR$11:$AR$4010,MATCH(905,$AZ$11:$AZ$4010,0)),""))</f>
        <v/>
      </c>
      <c r="AJ915" s="15" t="str">
        <f>IF(AE915="","",IFERROR(INDEX($AT$11:$AT$4010,MATCH(905,$AZ$11:$AZ$4010,0)),""))</f>
        <v/>
      </c>
      <c r="AL915" s="17"/>
      <c r="AM915" s="12"/>
      <c r="AN915" s="18"/>
      <c r="AO915" s="18"/>
      <c r="AP915" s="10"/>
      <c r="AQ915" s="10"/>
      <c r="AR915" s="19"/>
      <c r="AS915" s="20"/>
      <c r="AT915" s="19"/>
      <c r="AV915" s="21">
        <f>IF(AND($AL915&lt;&gt;"",COUNTIF($AL$11:$AL915,$AL915)=1),1,0)</f>
        <v>0</v>
      </c>
      <c r="AW915" s="21">
        <f t="shared" si="115"/>
        <v>0</v>
      </c>
      <c r="AX915" s="21" t="str">
        <f t="shared" si="114"/>
        <v/>
      </c>
      <c r="AY915" s="21" t="str">
        <f>IF(AND($AM915&lt;&gt;"",$AS915&lt;&gt;"✓"),SUMPRODUCT(($AM$11:$AM915&lt;&gt;"")*($AS$11:$AS915&lt;&gt;"✓")),"")</f>
        <v/>
      </c>
      <c r="AZ915" s="21" t="str">
        <f>IF(AND($AM915&lt;&gt;"",$AS915="✓"),SUMPRODUCT(($AM$11:$AM915&lt;&gt;"")*($AS$11:$AS915="✓")),"")</f>
        <v/>
      </c>
      <c r="BA915" s="21" t="str">
        <f>IF($AL915="","",$AL915&amp;"|"&amp;COUNTIF($AL$11:$AL915,$AL915))</f>
        <v/>
      </c>
    </row>
    <row r="916" spans="23:53" ht="15" customHeight="1" x14ac:dyDescent="0.25">
      <c r="W916" s="28" t="str">
        <f>IF(X916="","",IFERROR(INDEX($AL$11:$AL$4010,MATCH(906,$AY$11:$AY$4010,0)),""))</f>
        <v/>
      </c>
      <c r="X916" s="26" t="str">
        <f>IFERROR(INDEX($AM$11:$AM$4010,MATCH(906,$AY$11:$AY$4010,0)),"")</f>
        <v/>
      </c>
      <c r="Y916" s="25" t="str">
        <f>IF(X916="","",IFERROR(INDEX($AN$11:$AN$4010,MATCH(906,$AY$11:$AY$4010,0)),""))</f>
        <v/>
      </c>
      <c r="Z916" s="25" t="str">
        <f>IF(X916="","",IFERROR(INDEX($AO$11:$AO$4010,MATCH(906,$AY$11:$AY$4010,0)),""))</f>
        <v/>
      </c>
      <c r="AA916" s="24" t="str">
        <f>IF(X916="","",IFERROR(INDEX($AQ$11:$AQ$4010,MATCH(906,$AY$11:$AY$4010,0)),""))</f>
        <v/>
      </c>
      <c r="AB916" s="29" t="str">
        <f>IF(X916="","",IFERROR(INDEX($AR$11:$AR$4010,MATCH(906,$AY$11:$AY$4010,0)),""))</f>
        <v/>
      </c>
      <c r="AD916" s="30" t="str">
        <f>IF(AE916="","",IFERROR(INDEX($AL$11:$AL$4010,MATCH(906,$AZ$11:$AZ$4010,0)),""))</f>
        <v/>
      </c>
      <c r="AE916" s="26" t="str">
        <f>IFERROR(INDEX($AM$11:$AM$4010,MATCH(906,$AZ$11:$AZ$4010,0)),"")</f>
        <v/>
      </c>
      <c r="AF916" s="25" t="str">
        <f>IF(AE916="","",IFERROR(INDEX($AN$11:$AN$4010,MATCH(906,$AZ$11:$AZ$4010,0)),""))</f>
        <v/>
      </c>
      <c r="AG916" s="25" t="str">
        <f>IF(AE916="","",IFERROR(INDEX($AO$11:$AO$4010,MATCH(906,$AZ$11:$AZ$4010,0)),""))</f>
        <v/>
      </c>
      <c r="AH916" s="24" t="str">
        <f>IF(AE916="","",IFERROR(INDEX($AQ$11:$AQ$4010,MATCH(906,$AZ$11:$AZ$4010,0)),""))</f>
        <v/>
      </c>
      <c r="AI916" s="29" t="str">
        <f>IF(AE916="","",IFERROR(INDEX($AR$11:$AR$4010,MATCH(906,$AZ$11:$AZ$4010,0)),""))</f>
        <v/>
      </c>
      <c r="AJ916" s="29" t="str">
        <f>IF(AE916="","",IFERROR(INDEX($AT$11:$AT$4010,MATCH(906,$AZ$11:$AZ$4010,0)),""))</f>
        <v/>
      </c>
      <c r="AL916" s="31"/>
      <c r="AM916" s="26"/>
      <c r="AN916" s="32"/>
      <c r="AO916" s="32"/>
      <c r="AP916" s="24"/>
      <c r="AQ916" s="24"/>
      <c r="AR916" s="33"/>
      <c r="AS916" s="34"/>
      <c r="AT916" s="33"/>
      <c r="AV916" s="21">
        <f>IF(AND($AL916&lt;&gt;"",COUNTIF($AL$11:$AL916,$AL916)=1),1,0)</f>
        <v>0</v>
      </c>
      <c r="AW916" s="21">
        <f t="shared" si="115"/>
        <v>0</v>
      </c>
      <c r="AX916" s="21" t="str">
        <f t="shared" si="114"/>
        <v/>
      </c>
      <c r="AY916" s="21" t="str">
        <f>IF(AND($AM916&lt;&gt;"",$AS916&lt;&gt;"✓"),SUMPRODUCT(($AM$11:$AM916&lt;&gt;"")*($AS$11:$AS916&lt;&gt;"✓")),"")</f>
        <v/>
      </c>
      <c r="AZ916" s="21" t="str">
        <f>IF(AND($AM916&lt;&gt;"",$AS916="✓"),SUMPRODUCT(($AM$11:$AM916&lt;&gt;"")*($AS$11:$AS916="✓")),"")</f>
        <v/>
      </c>
      <c r="BA916" s="21" t="str">
        <f>IF($AL916="","",$AL916&amp;"|"&amp;COUNTIF($AL$11:$AL916,$AL916))</f>
        <v/>
      </c>
    </row>
    <row r="917" spans="23:53" ht="15" customHeight="1" x14ac:dyDescent="0.25">
      <c r="W917" s="14" t="str">
        <f>IF(X917="","",IFERROR(INDEX($AL$11:$AL$4010,MATCH(907,$AY$11:$AY$4010,0)),""))</f>
        <v/>
      </c>
      <c r="X917" s="12" t="str">
        <f>IFERROR(INDEX($AM$11:$AM$4010,MATCH(907,$AY$11:$AY$4010,0)),"")</f>
        <v/>
      </c>
      <c r="Y917" s="11" t="str">
        <f>IF(X917="","",IFERROR(INDEX($AN$11:$AN$4010,MATCH(907,$AY$11:$AY$4010,0)),""))</f>
        <v/>
      </c>
      <c r="Z917" s="11" t="str">
        <f>IF(X917="","",IFERROR(INDEX($AO$11:$AO$4010,MATCH(907,$AY$11:$AY$4010,0)),""))</f>
        <v/>
      </c>
      <c r="AA917" s="10" t="str">
        <f>IF(X917="","",IFERROR(INDEX($AQ$11:$AQ$4010,MATCH(907,$AY$11:$AY$4010,0)),""))</f>
        <v/>
      </c>
      <c r="AB917" s="15" t="str">
        <f>IF(X917="","",IFERROR(INDEX($AR$11:$AR$4010,MATCH(907,$AY$11:$AY$4010,0)),""))</f>
        <v/>
      </c>
      <c r="AD917" s="16" t="str">
        <f>IF(AE917="","",IFERROR(INDEX($AL$11:$AL$4010,MATCH(907,$AZ$11:$AZ$4010,0)),""))</f>
        <v/>
      </c>
      <c r="AE917" s="12" t="str">
        <f>IFERROR(INDEX($AM$11:$AM$4010,MATCH(907,$AZ$11:$AZ$4010,0)),"")</f>
        <v/>
      </c>
      <c r="AF917" s="11" t="str">
        <f>IF(AE917="","",IFERROR(INDEX($AN$11:$AN$4010,MATCH(907,$AZ$11:$AZ$4010,0)),""))</f>
        <v/>
      </c>
      <c r="AG917" s="11" t="str">
        <f>IF(AE917="","",IFERROR(INDEX($AO$11:$AO$4010,MATCH(907,$AZ$11:$AZ$4010,0)),""))</f>
        <v/>
      </c>
      <c r="AH917" s="10" t="str">
        <f>IF(AE917="","",IFERROR(INDEX($AQ$11:$AQ$4010,MATCH(907,$AZ$11:$AZ$4010,0)),""))</f>
        <v/>
      </c>
      <c r="AI917" s="15" t="str">
        <f>IF(AE917="","",IFERROR(INDEX($AR$11:$AR$4010,MATCH(907,$AZ$11:$AZ$4010,0)),""))</f>
        <v/>
      </c>
      <c r="AJ917" s="15" t="str">
        <f>IF(AE917="","",IFERROR(INDEX($AT$11:$AT$4010,MATCH(907,$AZ$11:$AZ$4010,0)),""))</f>
        <v/>
      </c>
      <c r="AL917" s="17"/>
      <c r="AM917" s="12"/>
      <c r="AN917" s="18"/>
      <c r="AO917" s="18"/>
      <c r="AP917" s="10"/>
      <c r="AQ917" s="10"/>
      <c r="AR917" s="19"/>
      <c r="AS917" s="20"/>
      <c r="AT917" s="19"/>
      <c r="AV917" s="21">
        <f>IF(AND($AL917&lt;&gt;"",COUNTIF($AL$11:$AL917,$AL917)=1),1,0)</f>
        <v>0</v>
      </c>
      <c r="AW917" s="21">
        <f t="shared" si="115"/>
        <v>0</v>
      </c>
      <c r="AX917" s="21" t="str">
        <f t="shared" si="114"/>
        <v/>
      </c>
      <c r="AY917" s="21" t="str">
        <f>IF(AND($AM917&lt;&gt;"",$AS917&lt;&gt;"✓"),SUMPRODUCT(($AM$11:$AM917&lt;&gt;"")*($AS$11:$AS917&lt;&gt;"✓")),"")</f>
        <v/>
      </c>
      <c r="AZ917" s="21" t="str">
        <f>IF(AND($AM917&lt;&gt;"",$AS917="✓"),SUMPRODUCT(($AM$11:$AM917&lt;&gt;"")*($AS$11:$AS917="✓")),"")</f>
        <v/>
      </c>
      <c r="BA917" s="21" t="str">
        <f>IF($AL917="","",$AL917&amp;"|"&amp;COUNTIF($AL$11:$AL917,$AL917))</f>
        <v/>
      </c>
    </row>
    <row r="918" spans="23:53" ht="15" customHeight="1" x14ac:dyDescent="0.25">
      <c r="W918" s="28" t="str">
        <f>IF(X918="","",IFERROR(INDEX($AL$11:$AL$4010,MATCH(908,$AY$11:$AY$4010,0)),""))</f>
        <v/>
      </c>
      <c r="X918" s="26" t="str">
        <f>IFERROR(INDEX($AM$11:$AM$4010,MATCH(908,$AY$11:$AY$4010,0)),"")</f>
        <v/>
      </c>
      <c r="Y918" s="25" t="str">
        <f>IF(X918="","",IFERROR(INDEX($AN$11:$AN$4010,MATCH(908,$AY$11:$AY$4010,0)),""))</f>
        <v/>
      </c>
      <c r="Z918" s="25" t="str">
        <f>IF(X918="","",IFERROR(INDEX($AO$11:$AO$4010,MATCH(908,$AY$11:$AY$4010,0)),""))</f>
        <v/>
      </c>
      <c r="AA918" s="24" t="str">
        <f>IF(X918="","",IFERROR(INDEX($AQ$11:$AQ$4010,MATCH(908,$AY$11:$AY$4010,0)),""))</f>
        <v/>
      </c>
      <c r="AB918" s="29" t="str">
        <f>IF(X918="","",IFERROR(INDEX($AR$11:$AR$4010,MATCH(908,$AY$11:$AY$4010,0)),""))</f>
        <v/>
      </c>
      <c r="AD918" s="30" t="str">
        <f>IF(AE918="","",IFERROR(INDEX($AL$11:$AL$4010,MATCH(908,$AZ$11:$AZ$4010,0)),""))</f>
        <v/>
      </c>
      <c r="AE918" s="26" t="str">
        <f>IFERROR(INDEX($AM$11:$AM$4010,MATCH(908,$AZ$11:$AZ$4010,0)),"")</f>
        <v/>
      </c>
      <c r="AF918" s="25" t="str">
        <f>IF(AE918="","",IFERROR(INDEX($AN$11:$AN$4010,MATCH(908,$AZ$11:$AZ$4010,0)),""))</f>
        <v/>
      </c>
      <c r="AG918" s="25" t="str">
        <f>IF(AE918="","",IFERROR(INDEX($AO$11:$AO$4010,MATCH(908,$AZ$11:$AZ$4010,0)),""))</f>
        <v/>
      </c>
      <c r="AH918" s="24" t="str">
        <f>IF(AE918="","",IFERROR(INDEX($AQ$11:$AQ$4010,MATCH(908,$AZ$11:$AZ$4010,0)),""))</f>
        <v/>
      </c>
      <c r="AI918" s="29" t="str">
        <f>IF(AE918="","",IFERROR(INDEX($AR$11:$AR$4010,MATCH(908,$AZ$11:$AZ$4010,0)),""))</f>
        <v/>
      </c>
      <c r="AJ918" s="29" t="str">
        <f>IF(AE918="","",IFERROR(INDEX($AT$11:$AT$4010,MATCH(908,$AZ$11:$AZ$4010,0)),""))</f>
        <v/>
      </c>
      <c r="AL918" s="31"/>
      <c r="AM918" s="26"/>
      <c r="AN918" s="32"/>
      <c r="AO918" s="32"/>
      <c r="AP918" s="24"/>
      <c r="AQ918" s="24"/>
      <c r="AR918" s="33"/>
      <c r="AS918" s="34"/>
      <c r="AT918" s="33"/>
      <c r="AV918" s="21">
        <f>IF(AND($AL918&lt;&gt;"",COUNTIF($AL$11:$AL918,$AL918)=1),1,0)</f>
        <v>0</v>
      </c>
      <c r="AW918" s="21">
        <f t="shared" si="115"/>
        <v>0</v>
      </c>
      <c r="AX918" s="21" t="str">
        <f t="shared" si="114"/>
        <v/>
      </c>
      <c r="AY918" s="21" t="str">
        <f>IF(AND($AM918&lt;&gt;"",$AS918&lt;&gt;"✓"),SUMPRODUCT(($AM$11:$AM918&lt;&gt;"")*($AS$11:$AS918&lt;&gt;"✓")),"")</f>
        <v/>
      </c>
      <c r="AZ918" s="21" t="str">
        <f>IF(AND($AM918&lt;&gt;"",$AS918="✓"),SUMPRODUCT(($AM$11:$AM918&lt;&gt;"")*($AS$11:$AS918="✓")),"")</f>
        <v/>
      </c>
      <c r="BA918" s="21" t="str">
        <f>IF($AL918="","",$AL918&amp;"|"&amp;COUNTIF($AL$11:$AL918,$AL918))</f>
        <v/>
      </c>
    </row>
    <row r="919" spans="23:53" ht="15" customHeight="1" x14ac:dyDescent="0.25">
      <c r="W919" s="14" t="str">
        <f>IF(X919="","",IFERROR(INDEX($AL$11:$AL$4010,MATCH(909,$AY$11:$AY$4010,0)),""))</f>
        <v/>
      </c>
      <c r="X919" s="12" t="str">
        <f>IFERROR(INDEX($AM$11:$AM$4010,MATCH(909,$AY$11:$AY$4010,0)),"")</f>
        <v/>
      </c>
      <c r="Y919" s="11" t="str">
        <f>IF(X919="","",IFERROR(INDEX($AN$11:$AN$4010,MATCH(909,$AY$11:$AY$4010,0)),""))</f>
        <v/>
      </c>
      <c r="Z919" s="11" t="str">
        <f>IF(X919="","",IFERROR(INDEX($AO$11:$AO$4010,MATCH(909,$AY$11:$AY$4010,0)),""))</f>
        <v/>
      </c>
      <c r="AA919" s="10" t="str">
        <f>IF(X919="","",IFERROR(INDEX($AQ$11:$AQ$4010,MATCH(909,$AY$11:$AY$4010,0)),""))</f>
        <v/>
      </c>
      <c r="AB919" s="15" t="str">
        <f>IF(X919="","",IFERROR(INDEX($AR$11:$AR$4010,MATCH(909,$AY$11:$AY$4010,0)),""))</f>
        <v/>
      </c>
      <c r="AD919" s="16" t="str">
        <f>IF(AE919="","",IFERROR(INDEX($AL$11:$AL$4010,MATCH(909,$AZ$11:$AZ$4010,0)),""))</f>
        <v/>
      </c>
      <c r="AE919" s="12" t="str">
        <f>IFERROR(INDEX($AM$11:$AM$4010,MATCH(909,$AZ$11:$AZ$4010,0)),"")</f>
        <v/>
      </c>
      <c r="AF919" s="11" t="str">
        <f>IF(AE919="","",IFERROR(INDEX($AN$11:$AN$4010,MATCH(909,$AZ$11:$AZ$4010,0)),""))</f>
        <v/>
      </c>
      <c r="AG919" s="11" t="str">
        <f>IF(AE919="","",IFERROR(INDEX($AO$11:$AO$4010,MATCH(909,$AZ$11:$AZ$4010,0)),""))</f>
        <v/>
      </c>
      <c r="AH919" s="10" t="str">
        <f>IF(AE919="","",IFERROR(INDEX($AQ$11:$AQ$4010,MATCH(909,$AZ$11:$AZ$4010,0)),""))</f>
        <v/>
      </c>
      <c r="AI919" s="15" t="str">
        <f>IF(AE919="","",IFERROR(INDEX($AR$11:$AR$4010,MATCH(909,$AZ$11:$AZ$4010,0)),""))</f>
        <v/>
      </c>
      <c r="AJ919" s="15" t="str">
        <f>IF(AE919="","",IFERROR(INDEX($AT$11:$AT$4010,MATCH(909,$AZ$11:$AZ$4010,0)),""))</f>
        <v/>
      </c>
      <c r="AL919" s="17"/>
      <c r="AM919" s="12"/>
      <c r="AN919" s="18"/>
      <c r="AO919" s="18"/>
      <c r="AP919" s="10"/>
      <c r="AQ919" s="10"/>
      <c r="AR919" s="19"/>
      <c r="AS919" s="20"/>
      <c r="AT919" s="19"/>
      <c r="AV919" s="21">
        <f>IF(AND($AL919&lt;&gt;"",COUNTIF($AL$11:$AL919,$AL919)=1),1,0)</f>
        <v>0</v>
      </c>
      <c r="AW919" s="21">
        <f t="shared" si="115"/>
        <v>0</v>
      </c>
      <c r="AX919" s="21" t="str">
        <f t="shared" si="114"/>
        <v/>
      </c>
      <c r="AY919" s="21" t="str">
        <f>IF(AND($AM919&lt;&gt;"",$AS919&lt;&gt;"✓"),SUMPRODUCT(($AM$11:$AM919&lt;&gt;"")*($AS$11:$AS919&lt;&gt;"✓")),"")</f>
        <v/>
      </c>
      <c r="AZ919" s="21" t="str">
        <f>IF(AND($AM919&lt;&gt;"",$AS919="✓"),SUMPRODUCT(($AM$11:$AM919&lt;&gt;"")*($AS$11:$AS919="✓")),"")</f>
        <v/>
      </c>
      <c r="BA919" s="21" t="str">
        <f>IF($AL919="","",$AL919&amp;"|"&amp;COUNTIF($AL$11:$AL919,$AL919))</f>
        <v/>
      </c>
    </row>
    <row r="920" spans="23:53" ht="15" customHeight="1" x14ac:dyDescent="0.25">
      <c r="W920" s="28" t="str">
        <f>IF(X920="","",IFERROR(INDEX($AL$11:$AL$4010,MATCH(910,$AY$11:$AY$4010,0)),""))</f>
        <v/>
      </c>
      <c r="X920" s="26" t="str">
        <f>IFERROR(INDEX($AM$11:$AM$4010,MATCH(910,$AY$11:$AY$4010,0)),"")</f>
        <v/>
      </c>
      <c r="Y920" s="25" t="str">
        <f>IF(X920="","",IFERROR(INDEX($AN$11:$AN$4010,MATCH(910,$AY$11:$AY$4010,0)),""))</f>
        <v/>
      </c>
      <c r="Z920" s="25" t="str">
        <f>IF(X920="","",IFERROR(INDEX($AO$11:$AO$4010,MATCH(910,$AY$11:$AY$4010,0)),""))</f>
        <v/>
      </c>
      <c r="AA920" s="24" t="str">
        <f>IF(X920="","",IFERROR(INDEX($AQ$11:$AQ$4010,MATCH(910,$AY$11:$AY$4010,0)),""))</f>
        <v/>
      </c>
      <c r="AB920" s="29" t="str">
        <f>IF(X920="","",IFERROR(INDEX($AR$11:$AR$4010,MATCH(910,$AY$11:$AY$4010,0)),""))</f>
        <v/>
      </c>
      <c r="AD920" s="30" t="str">
        <f>IF(AE920="","",IFERROR(INDEX($AL$11:$AL$4010,MATCH(910,$AZ$11:$AZ$4010,0)),""))</f>
        <v/>
      </c>
      <c r="AE920" s="26" t="str">
        <f>IFERROR(INDEX($AM$11:$AM$4010,MATCH(910,$AZ$11:$AZ$4010,0)),"")</f>
        <v/>
      </c>
      <c r="AF920" s="25" t="str">
        <f>IF(AE920="","",IFERROR(INDEX($AN$11:$AN$4010,MATCH(910,$AZ$11:$AZ$4010,0)),""))</f>
        <v/>
      </c>
      <c r="AG920" s="25" t="str">
        <f>IF(AE920="","",IFERROR(INDEX($AO$11:$AO$4010,MATCH(910,$AZ$11:$AZ$4010,0)),""))</f>
        <v/>
      </c>
      <c r="AH920" s="24" t="str">
        <f>IF(AE920="","",IFERROR(INDEX($AQ$11:$AQ$4010,MATCH(910,$AZ$11:$AZ$4010,0)),""))</f>
        <v/>
      </c>
      <c r="AI920" s="29" t="str">
        <f>IF(AE920="","",IFERROR(INDEX($AR$11:$AR$4010,MATCH(910,$AZ$11:$AZ$4010,0)),""))</f>
        <v/>
      </c>
      <c r="AJ920" s="29" t="str">
        <f>IF(AE920="","",IFERROR(INDEX($AT$11:$AT$4010,MATCH(910,$AZ$11:$AZ$4010,0)),""))</f>
        <v/>
      </c>
      <c r="AL920" s="31"/>
      <c r="AM920" s="26"/>
      <c r="AN920" s="32"/>
      <c r="AO920" s="32"/>
      <c r="AP920" s="24"/>
      <c r="AQ920" s="24"/>
      <c r="AR920" s="33"/>
      <c r="AS920" s="34"/>
      <c r="AT920" s="33"/>
      <c r="AV920" s="21">
        <f>IF(AND($AL920&lt;&gt;"",COUNTIF($AL$11:$AL920,$AL920)=1),1,0)</f>
        <v>0</v>
      </c>
      <c r="AW920" s="21">
        <f t="shared" si="115"/>
        <v>0</v>
      </c>
      <c r="AX920" s="21" t="str">
        <f t="shared" si="114"/>
        <v/>
      </c>
      <c r="AY920" s="21" t="str">
        <f>IF(AND($AM920&lt;&gt;"",$AS920&lt;&gt;"✓"),SUMPRODUCT(($AM$11:$AM920&lt;&gt;"")*($AS$11:$AS920&lt;&gt;"✓")),"")</f>
        <v/>
      </c>
      <c r="AZ920" s="21" t="str">
        <f>IF(AND($AM920&lt;&gt;"",$AS920="✓"),SUMPRODUCT(($AM$11:$AM920&lt;&gt;"")*($AS$11:$AS920="✓")),"")</f>
        <v/>
      </c>
      <c r="BA920" s="21" t="str">
        <f>IF($AL920="","",$AL920&amp;"|"&amp;COUNTIF($AL$11:$AL920,$AL920))</f>
        <v/>
      </c>
    </row>
    <row r="921" spans="23:53" ht="15" customHeight="1" x14ac:dyDescent="0.25">
      <c r="W921" s="14" t="str">
        <f>IF(X921="","",IFERROR(INDEX($AL$11:$AL$4010,MATCH(911,$AY$11:$AY$4010,0)),""))</f>
        <v/>
      </c>
      <c r="X921" s="12" t="str">
        <f>IFERROR(INDEX($AM$11:$AM$4010,MATCH(911,$AY$11:$AY$4010,0)),"")</f>
        <v/>
      </c>
      <c r="Y921" s="11" t="str">
        <f>IF(X921="","",IFERROR(INDEX($AN$11:$AN$4010,MATCH(911,$AY$11:$AY$4010,0)),""))</f>
        <v/>
      </c>
      <c r="Z921" s="11" t="str">
        <f>IF(X921="","",IFERROR(INDEX($AO$11:$AO$4010,MATCH(911,$AY$11:$AY$4010,0)),""))</f>
        <v/>
      </c>
      <c r="AA921" s="10" t="str">
        <f>IF(X921="","",IFERROR(INDEX($AQ$11:$AQ$4010,MATCH(911,$AY$11:$AY$4010,0)),""))</f>
        <v/>
      </c>
      <c r="AB921" s="15" t="str">
        <f>IF(X921="","",IFERROR(INDEX($AR$11:$AR$4010,MATCH(911,$AY$11:$AY$4010,0)),""))</f>
        <v/>
      </c>
      <c r="AD921" s="16" t="str">
        <f>IF(AE921="","",IFERROR(INDEX($AL$11:$AL$4010,MATCH(911,$AZ$11:$AZ$4010,0)),""))</f>
        <v/>
      </c>
      <c r="AE921" s="12" t="str">
        <f>IFERROR(INDEX($AM$11:$AM$4010,MATCH(911,$AZ$11:$AZ$4010,0)),"")</f>
        <v/>
      </c>
      <c r="AF921" s="11" t="str">
        <f>IF(AE921="","",IFERROR(INDEX($AN$11:$AN$4010,MATCH(911,$AZ$11:$AZ$4010,0)),""))</f>
        <v/>
      </c>
      <c r="AG921" s="11" t="str">
        <f>IF(AE921="","",IFERROR(INDEX($AO$11:$AO$4010,MATCH(911,$AZ$11:$AZ$4010,0)),""))</f>
        <v/>
      </c>
      <c r="AH921" s="10" t="str">
        <f>IF(AE921="","",IFERROR(INDEX($AQ$11:$AQ$4010,MATCH(911,$AZ$11:$AZ$4010,0)),""))</f>
        <v/>
      </c>
      <c r="AI921" s="15" t="str">
        <f>IF(AE921="","",IFERROR(INDEX($AR$11:$AR$4010,MATCH(911,$AZ$11:$AZ$4010,0)),""))</f>
        <v/>
      </c>
      <c r="AJ921" s="15" t="str">
        <f>IF(AE921="","",IFERROR(INDEX($AT$11:$AT$4010,MATCH(911,$AZ$11:$AZ$4010,0)),""))</f>
        <v/>
      </c>
      <c r="AL921" s="17"/>
      <c r="AM921" s="12"/>
      <c r="AN921" s="18"/>
      <c r="AO921" s="18"/>
      <c r="AP921" s="10"/>
      <c r="AQ921" s="10"/>
      <c r="AR921" s="19"/>
      <c r="AS921" s="20"/>
      <c r="AT921" s="19"/>
      <c r="AV921" s="21">
        <f>IF(AND($AL921&lt;&gt;"",COUNTIF($AL$11:$AL921,$AL921)=1),1,0)</f>
        <v>0</v>
      </c>
      <c r="AW921" s="21">
        <f t="shared" si="115"/>
        <v>0</v>
      </c>
      <c r="AX921" s="21" t="str">
        <f t="shared" si="114"/>
        <v/>
      </c>
      <c r="AY921" s="21" t="str">
        <f>IF(AND($AM921&lt;&gt;"",$AS921&lt;&gt;"✓"),SUMPRODUCT(($AM$11:$AM921&lt;&gt;"")*($AS$11:$AS921&lt;&gt;"✓")),"")</f>
        <v/>
      </c>
      <c r="AZ921" s="21" t="str">
        <f>IF(AND($AM921&lt;&gt;"",$AS921="✓"),SUMPRODUCT(($AM$11:$AM921&lt;&gt;"")*($AS$11:$AS921="✓")),"")</f>
        <v/>
      </c>
      <c r="BA921" s="21" t="str">
        <f>IF($AL921="","",$AL921&amp;"|"&amp;COUNTIF($AL$11:$AL921,$AL921))</f>
        <v/>
      </c>
    </row>
    <row r="922" spans="23:53" ht="15" customHeight="1" x14ac:dyDescent="0.25">
      <c r="W922" s="28" t="str">
        <f>IF(X922="","",IFERROR(INDEX($AL$11:$AL$4010,MATCH(912,$AY$11:$AY$4010,0)),""))</f>
        <v/>
      </c>
      <c r="X922" s="26" t="str">
        <f>IFERROR(INDEX($AM$11:$AM$4010,MATCH(912,$AY$11:$AY$4010,0)),"")</f>
        <v/>
      </c>
      <c r="Y922" s="25" t="str">
        <f>IF(X922="","",IFERROR(INDEX($AN$11:$AN$4010,MATCH(912,$AY$11:$AY$4010,0)),""))</f>
        <v/>
      </c>
      <c r="Z922" s="25" t="str">
        <f>IF(X922="","",IFERROR(INDEX($AO$11:$AO$4010,MATCH(912,$AY$11:$AY$4010,0)),""))</f>
        <v/>
      </c>
      <c r="AA922" s="24" t="str">
        <f>IF(X922="","",IFERROR(INDEX($AQ$11:$AQ$4010,MATCH(912,$AY$11:$AY$4010,0)),""))</f>
        <v/>
      </c>
      <c r="AB922" s="29" t="str">
        <f>IF(X922="","",IFERROR(INDEX($AR$11:$AR$4010,MATCH(912,$AY$11:$AY$4010,0)),""))</f>
        <v/>
      </c>
      <c r="AD922" s="30" t="str">
        <f>IF(AE922="","",IFERROR(INDEX($AL$11:$AL$4010,MATCH(912,$AZ$11:$AZ$4010,0)),""))</f>
        <v/>
      </c>
      <c r="AE922" s="26" t="str">
        <f>IFERROR(INDEX($AM$11:$AM$4010,MATCH(912,$AZ$11:$AZ$4010,0)),"")</f>
        <v/>
      </c>
      <c r="AF922" s="25" t="str">
        <f>IF(AE922="","",IFERROR(INDEX($AN$11:$AN$4010,MATCH(912,$AZ$11:$AZ$4010,0)),""))</f>
        <v/>
      </c>
      <c r="AG922" s="25" t="str">
        <f>IF(AE922="","",IFERROR(INDEX($AO$11:$AO$4010,MATCH(912,$AZ$11:$AZ$4010,0)),""))</f>
        <v/>
      </c>
      <c r="AH922" s="24" t="str">
        <f>IF(AE922="","",IFERROR(INDEX($AQ$11:$AQ$4010,MATCH(912,$AZ$11:$AZ$4010,0)),""))</f>
        <v/>
      </c>
      <c r="AI922" s="29" t="str">
        <f>IF(AE922="","",IFERROR(INDEX($AR$11:$AR$4010,MATCH(912,$AZ$11:$AZ$4010,0)),""))</f>
        <v/>
      </c>
      <c r="AJ922" s="29" t="str">
        <f>IF(AE922="","",IFERROR(INDEX($AT$11:$AT$4010,MATCH(912,$AZ$11:$AZ$4010,0)),""))</f>
        <v/>
      </c>
      <c r="AL922" s="31"/>
      <c r="AM922" s="26"/>
      <c r="AN922" s="32"/>
      <c r="AO922" s="32"/>
      <c r="AP922" s="24"/>
      <c r="AQ922" s="24"/>
      <c r="AR922" s="33"/>
      <c r="AS922" s="34"/>
      <c r="AT922" s="33"/>
      <c r="AV922" s="21">
        <f>IF(AND($AL922&lt;&gt;"",COUNTIF($AL$11:$AL922,$AL922)=1),1,0)</f>
        <v>0</v>
      </c>
      <c r="AW922" s="21">
        <f t="shared" si="115"/>
        <v>0</v>
      </c>
      <c r="AX922" s="21" t="str">
        <f t="shared" si="114"/>
        <v/>
      </c>
      <c r="AY922" s="21" t="str">
        <f>IF(AND($AM922&lt;&gt;"",$AS922&lt;&gt;"✓"),SUMPRODUCT(($AM$11:$AM922&lt;&gt;"")*($AS$11:$AS922&lt;&gt;"✓")),"")</f>
        <v/>
      </c>
      <c r="AZ922" s="21" t="str">
        <f>IF(AND($AM922&lt;&gt;"",$AS922="✓"),SUMPRODUCT(($AM$11:$AM922&lt;&gt;"")*($AS$11:$AS922="✓")),"")</f>
        <v/>
      </c>
      <c r="BA922" s="21" t="str">
        <f>IF($AL922="","",$AL922&amp;"|"&amp;COUNTIF($AL$11:$AL922,$AL922))</f>
        <v/>
      </c>
    </row>
    <row r="923" spans="23:53" ht="15" customHeight="1" x14ac:dyDescent="0.25">
      <c r="W923" s="14" t="str">
        <f>IF(X923="","",IFERROR(INDEX($AL$11:$AL$4010,MATCH(913,$AY$11:$AY$4010,0)),""))</f>
        <v/>
      </c>
      <c r="X923" s="12" t="str">
        <f>IFERROR(INDEX($AM$11:$AM$4010,MATCH(913,$AY$11:$AY$4010,0)),"")</f>
        <v/>
      </c>
      <c r="Y923" s="11" t="str">
        <f>IF(X923="","",IFERROR(INDEX($AN$11:$AN$4010,MATCH(913,$AY$11:$AY$4010,0)),""))</f>
        <v/>
      </c>
      <c r="Z923" s="11" t="str">
        <f>IF(X923="","",IFERROR(INDEX($AO$11:$AO$4010,MATCH(913,$AY$11:$AY$4010,0)),""))</f>
        <v/>
      </c>
      <c r="AA923" s="10" t="str">
        <f>IF(X923="","",IFERROR(INDEX($AQ$11:$AQ$4010,MATCH(913,$AY$11:$AY$4010,0)),""))</f>
        <v/>
      </c>
      <c r="AB923" s="15" t="str">
        <f>IF(X923="","",IFERROR(INDEX($AR$11:$AR$4010,MATCH(913,$AY$11:$AY$4010,0)),""))</f>
        <v/>
      </c>
      <c r="AD923" s="16" t="str">
        <f>IF(AE923="","",IFERROR(INDEX($AL$11:$AL$4010,MATCH(913,$AZ$11:$AZ$4010,0)),""))</f>
        <v/>
      </c>
      <c r="AE923" s="12" t="str">
        <f>IFERROR(INDEX($AM$11:$AM$4010,MATCH(913,$AZ$11:$AZ$4010,0)),"")</f>
        <v/>
      </c>
      <c r="AF923" s="11" t="str">
        <f>IF(AE923="","",IFERROR(INDEX($AN$11:$AN$4010,MATCH(913,$AZ$11:$AZ$4010,0)),""))</f>
        <v/>
      </c>
      <c r="AG923" s="11" t="str">
        <f>IF(AE923="","",IFERROR(INDEX($AO$11:$AO$4010,MATCH(913,$AZ$11:$AZ$4010,0)),""))</f>
        <v/>
      </c>
      <c r="AH923" s="10" t="str">
        <f>IF(AE923="","",IFERROR(INDEX($AQ$11:$AQ$4010,MATCH(913,$AZ$11:$AZ$4010,0)),""))</f>
        <v/>
      </c>
      <c r="AI923" s="15" t="str">
        <f>IF(AE923="","",IFERROR(INDEX($AR$11:$AR$4010,MATCH(913,$AZ$11:$AZ$4010,0)),""))</f>
        <v/>
      </c>
      <c r="AJ923" s="15" t="str">
        <f>IF(AE923="","",IFERROR(INDEX($AT$11:$AT$4010,MATCH(913,$AZ$11:$AZ$4010,0)),""))</f>
        <v/>
      </c>
      <c r="AL923" s="17"/>
      <c r="AM923" s="12"/>
      <c r="AN923" s="18"/>
      <c r="AO923" s="18"/>
      <c r="AP923" s="10"/>
      <c r="AQ923" s="10"/>
      <c r="AR923" s="19"/>
      <c r="AS923" s="20"/>
      <c r="AT923" s="19"/>
      <c r="AV923" s="21">
        <f>IF(AND($AL923&lt;&gt;"",COUNTIF($AL$11:$AL923,$AL923)=1),1,0)</f>
        <v>0</v>
      </c>
      <c r="AW923" s="21">
        <f t="shared" si="115"/>
        <v>0</v>
      </c>
      <c r="AX923" s="21" t="str">
        <f t="shared" si="114"/>
        <v/>
      </c>
      <c r="AY923" s="21" t="str">
        <f>IF(AND($AM923&lt;&gt;"",$AS923&lt;&gt;"✓"),SUMPRODUCT(($AM$11:$AM923&lt;&gt;"")*($AS$11:$AS923&lt;&gt;"✓")),"")</f>
        <v/>
      </c>
      <c r="AZ923" s="21" t="str">
        <f>IF(AND($AM923&lt;&gt;"",$AS923="✓"),SUMPRODUCT(($AM$11:$AM923&lt;&gt;"")*($AS$11:$AS923="✓")),"")</f>
        <v/>
      </c>
      <c r="BA923" s="21" t="str">
        <f>IF($AL923="","",$AL923&amp;"|"&amp;COUNTIF($AL$11:$AL923,$AL923))</f>
        <v/>
      </c>
    </row>
    <row r="924" spans="23:53" ht="15" customHeight="1" x14ac:dyDescent="0.25">
      <c r="W924" s="28" t="str">
        <f>IF(X924="","",IFERROR(INDEX($AL$11:$AL$4010,MATCH(914,$AY$11:$AY$4010,0)),""))</f>
        <v/>
      </c>
      <c r="X924" s="26" t="str">
        <f>IFERROR(INDEX($AM$11:$AM$4010,MATCH(914,$AY$11:$AY$4010,0)),"")</f>
        <v/>
      </c>
      <c r="Y924" s="25" t="str">
        <f>IF(X924="","",IFERROR(INDEX($AN$11:$AN$4010,MATCH(914,$AY$11:$AY$4010,0)),""))</f>
        <v/>
      </c>
      <c r="Z924" s="25" t="str">
        <f>IF(X924="","",IFERROR(INDEX($AO$11:$AO$4010,MATCH(914,$AY$11:$AY$4010,0)),""))</f>
        <v/>
      </c>
      <c r="AA924" s="24" t="str">
        <f>IF(X924="","",IFERROR(INDEX($AQ$11:$AQ$4010,MATCH(914,$AY$11:$AY$4010,0)),""))</f>
        <v/>
      </c>
      <c r="AB924" s="29" t="str">
        <f>IF(X924="","",IFERROR(INDEX($AR$11:$AR$4010,MATCH(914,$AY$11:$AY$4010,0)),""))</f>
        <v/>
      </c>
      <c r="AD924" s="30" t="str">
        <f>IF(AE924="","",IFERROR(INDEX($AL$11:$AL$4010,MATCH(914,$AZ$11:$AZ$4010,0)),""))</f>
        <v/>
      </c>
      <c r="AE924" s="26" t="str">
        <f>IFERROR(INDEX($AM$11:$AM$4010,MATCH(914,$AZ$11:$AZ$4010,0)),"")</f>
        <v/>
      </c>
      <c r="AF924" s="25" t="str">
        <f>IF(AE924="","",IFERROR(INDEX($AN$11:$AN$4010,MATCH(914,$AZ$11:$AZ$4010,0)),""))</f>
        <v/>
      </c>
      <c r="AG924" s="25" t="str">
        <f>IF(AE924="","",IFERROR(INDEX($AO$11:$AO$4010,MATCH(914,$AZ$11:$AZ$4010,0)),""))</f>
        <v/>
      </c>
      <c r="AH924" s="24" t="str">
        <f>IF(AE924="","",IFERROR(INDEX($AQ$11:$AQ$4010,MATCH(914,$AZ$11:$AZ$4010,0)),""))</f>
        <v/>
      </c>
      <c r="AI924" s="29" t="str">
        <f>IF(AE924="","",IFERROR(INDEX($AR$11:$AR$4010,MATCH(914,$AZ$11:$AZ$4010,0)),""))</f>
        <v/>
      </c>
      <c r="AJ924" s="29" t="str">
        <f>IF(AE924="","",IFERROR(INDEX($AT$11:$AT$4010,MATCH(914,$AZ$11:$AZ$4010,0)),""))</f>
        <v/>
      </c>
      <c r="AL924" s="31"/>
      <c r="AM924" s="26"/>
      <c r="AN924" s="32"/>
      <c r="AO924" s="32"/>
      <c r="AP924" s="24"/>
      <c r="AQ924" s="24"/>
      <c r="AR924" s="33"/>
      <c r="AS924" s="34"/>
      <c r="AT924" s="33"/>
      <c r="AV924" s="21">
        <f>IF(AND($AL924&lt;&gt;"",COUNTIF($AL$11:$AL924,$AL924)=1),1,0)</f>
        <v>0</v>
      </c>
      <c r="AW924" s="21">
        <f t="shared" si="115"/>
        <v>0</v>
      </c>
      <c r="AX924" s="21" t="str">
        <f t="shared" si="114"/>
        <v/>
      </c>
      <c r="AY924" s="21" t="str">
        <f>IF(AND($AM924&lt;&gt;"",$AS924&lt;&gt;"✓"),SUMPRODUCT(($AM$11:$AM924&lt;&gt;"")*($AS$11:$AS924&lt;&gt;"✓")),"")</f>
        <v/>
      </c>
      <c r="AZ924" s="21" t="str">
        <f>IF(AND($AM924&lt;&gt;"",$AS924="✓"),SUMPRODUCT(($AM$11:$AM924&lt;&gt;"")*($AS$11:$AS924="✓")),"")</f>
        <v/>
      </c>
      <c r="BA924" s="21" t="str">
        <f>IF($AL924="","",$AL924&amp;"|"&amp;COUNTIF($AL$11:$AL924,$AL924))</f>
        <v/>
      </c>
    </row>
    <row r="925" spans="23:53" ht="15" customHeight="1" x14ac:dyDescent="0.25">
      <c r="W925" s="14" t="str">
        <f>IF(X925="","",IFERROR(INDEX($AL$11:$AL$4010,MATCH(915,$AY$11:$AY$4010,0)),""))</f>
        <v/>
      </c>
      <c r="X925" s="12" t="str">
        <f>IFERROR(INDEX($AM$11:$AM$4010,MATCH(915,$AY$11:$AY$4010,0)),"")</f>
        <v/>
      </c>
      <c r="Y925" s="11" t="str">
        <f>IF(X925="","",IFERROR(INDEX($AN$11:$AN$4010,MATCH(915,$AY$11:$AY$4010,0)),""))</f>
        <v/>
      </c>
      <c r="Z925" s="11" t="str">
        <f>IF(X925="","",IFERROR(INDEX($AO$11:$AO$4010,MATCH(915,$AY$11:$AY$4010,0)),""))</f>
        <v/>
      </c>
      <c r="AA925" s="10" t="str">
        <f>IF(X925="","",IFERROR(INDEX($AQ$11:$AQ$4010,MATCH(915,$AY$11:$AY$4010,0)),""))</f>
        <v/>
      </c>
      <c r="AB925" s="15" t="str">
        <f>IF(X925="","",IFERROR(INDEX($AR$11:$AR$4010,MATCH(915,$AY$11:$AY$4010,0)),""))</f>
        <v/>
      </c>
      <c r="AD925" s="16" t="str">
        <f>IF(AE925="","",IFERROR(INDEX($AL$11:$AL$4010,MATCH(915,$AZ$11:$AZ$4010,0)),""))</f>
        <v/>
      </c>
      <c r="AE925" s="12" t="str">
        <f>IFERROR(INDEX($AM$11:$AM$4010,MATCH(915,$AZ$11:$AZ$4010,0)),"")</f>
        <v/>
      </c>
      <c r="AF925" s="11" t="str">
        <f>IF(AE925="","",IFERROR(INDEX($AN$11:$AN$4010,MATCH(915,$AZ$11:$AZ$4010,0)),""))</f>
        <v/>
      </c>
      <c r="AG925" s="11" t="str">
        <f>IF(AE925="","",IFERROR(INDEX($AO$11:$AO$4010,MATCH(915,$AZ$11:$AZ$4010,0)),""))</f>
        <v/>
      </c>
      <c r="AH925" s="10" t="str">
        <f>IF(AE925="","",IFERROR(INDEX($AQ$11:$AQ$4010,MATCH(915,$AZ$11:$AZ$4010,0)),""))</f>
        <v/>
      </c>
      <c r="AI925" s="15" t="str">
        <f>IF(AE925="","",IFERROR(INDEX($AR$11:$AR$4010,MATCH(915,$AZ$11:$AZ$4010,0)),""))</f>
        <v/>
      </c>
      <c r="AJ925" s="15" t="str">
        <f>IF(AE925="","",IFERROR(INDEX($AT$11:$AT$4010,MATCH(915,$AZ$11:$AZ$4010,0)),""))</f>
        <v/>
      </c>
      <c r="AL925" s="17"/>
      <c r="AM925" s="12"/>
      <c r="AN925" s="18"/>
      <c r="AO925" s="18"/>
      <c r="AP925" s="10"/>
      <c r="AQ925" s="10"/>
      <c r="AR925" s="19"/>
      <c r="AS925" s="20"/>
      <c r="AT925" s="19"/>
      <c r="AV925" s="21">
        <f>IF(AND($AL925&lt;&gt;"",COUNTIF($AL$11:$AL925,$AL925)=1),1,0)</f>
        <v>0</v>
      </c>
      <c r="AW925" s="21">
        <f t="shared" si="115"/>
        <v>0</v>
      </c>
      <c r="AX925" s="21" t="str">
        <f t="shared" si="114"/>
        <v/>
      </c>
      <c r="AY925" s="21" t="str">
        <f>IF(AND($AM925&lt;&gt;"",$AS925&lt;&gt;"✓"),SUMPRODUCT(($AM$11:$AM925&lt;&gt;"")*($AS$11:$AS925&lt;&gt;"✓")),"")</f>
        <v/>
      </c>
      <c r="AZ925" s="21" t="str">
        <f>IF(AND($AM925&lt;&gt;"",$AS925="✓"),SUMPRODUCT(($AM$11:$AM925&lt;&gt;"")*($AS$11:$AS925="✓")),"")</f>
        <v/>
      </c>
      <c r="BA925" s="21" t="str">
        <f>IF($AL925="","",$AL925&amp;"|"&amp;COUNTIF($AL$11:$AL925,$AL925))</f>
        <v/>
      </c>
    </row>
    <row r="926" spans="23:53" ht="15" customHeight="1" x14ac:dyDescent="0.25">
      <c r="W926" s="28" t="str">
        <f>IF(X926="","",IFERROR(INDEX($AL$11:$AL$4010,MATCH(916,$AY$11:$AY$4010,0)),""))</f>
        <v/>
      </c>
      <c r="X926" s="26" t="str">
        <f>IFERROR(INDEX($AM$11:$AM$4010,MATCH(916,$AY$11:$AY$4010,0)),"")</f>
        <v/>
      </c>
      <c r="Y926" s="25" t="str">
        <f>IF(X926="","",IFERROR(INDEX($AN$11:$AN$4010,MATCH(916,$AY$11:$AY$4010,0)),""))</f>
        <v/>
      </c>
      <c r="Z926" s="25" t="str">
        <f>IF(X926="","",IFERROR(INDEX($AO$11:$AO$4010,MATCH(916,$AY$11:$AY$4010,0)),""))</f>
        <v/>
      </c>
      <c r="AA926" s="24" t="str">
        <f>IF(X926="","",IFERROR(INDEX($AQ$11:$AQ$4010,MATCH(916,$AY$11:$AY$4010,0)),""))</f>
        <v/>
      </c>
      <c r="AB926" s="29" t="str">
        <f>IF(X926="","",IFERROR(INDEX($AR$11:$AR$4010,MATCH(916,$AY$11:$AY$4010,0)),""))</f>
        <v/>
      </c>
      <c r="AD926" s="30" t="str">
        <f>IF(AE926="","",IFERROR(INDEX($AL$11:$AL$4010,MATCH(916,$AZ$11:$AZ$4010,0)),""))</f>
        <v/>
      </c>
      <c r="AE926" s="26" t="str">
        <f>IFERROR(INDEX($AM$11:$AM$4010,MATCH(916,$AZ$11:$AZ$4010,0)),"")</f>
        <v/>
      </c>
      <c r="AF926" s="25" t="str">
        <f>IF(AE926="","",IFERROR(INDEX($AN$11:$AN$4010,MATCH(916,$AZ$11:$AZ$4010,0)),""))</f>
        <v/>
      </c>
      <c r="AG926" s="25" t="str">
        <f>IF(AE926="","",IFERROR(INDEX($AO$11:$AO$4010,MATCH(916,$AZ$11:$AZ$4010,0)),""))</f>
        <v/>
      </c>
      <c r="AH926" s="24" t="str">
        <f>IF(AE926="","",IFERROR(INDEX($AQ$11:$AQ$4010,MATCH(916,$AZ$11:$AZ$4010,0)),""))</f>
        <v/>
      </c>
      <c r="AI926" s="29" t="str">
        <f>IF(AE926="","",IFERROR(INDEX($AR$11:$AR$4010,MATCH(916,$AZ$11:$AZ$4010,0)),""))</f>
        <v/>
      </c>
      <c r="AJ926" s="29" t="str">
        <f>IF(AE926="","",IFERROR(INDEX($AT$11:$AT$4010,MATCH(916,$AZ$11:$AZ$4010,0)),""))</f>
        <v/>
      </c>
      <c r="AL926" s="31"/>
      <c r="AM926" s="26"/>
      <c r="AN926" s="32"/>
      <c r="AO926" s="32"/>
      <c r="AP926" s="24"/>
      <c r="AQ926" s="24"/>
      <c r="AR926" s="33"/>
      <c r="AS926" s="34"/>
      <c r="AT926" s="33"/>
      <c r="AV926" s="21">
        <f>IF(AND($AL926&lt;&gt;"",COUNTIF($AL$11:$AL926,$AL926)=1),1,0)</f>
        <v>0</v>
      </c>
      <c r="AW926" s="21">
        <f t="shared" si="115"/>
        <v>0</v>
      </c>
      <c r="AX926" s="21" t="str">
        <f t="shared" si="114"/>
        <v/>
      </c>
      <c r="AY926" s="21" t="str">
        <f>IF(AND($AM926&lt;&gt;"",$AS926&lt;&gt;"✓"),SUMPRODUCT(($AM$11:$AM926&lt;&gt;"")*($AS$11:$AS926&lt;&gt;"✓")),"")</f>
        <v/>
      </c>
      <c r="AZ926" s="21" t="str">
        <f>IF(AND($AM926&lt;&gt;"",$AS926="✓"),SUMPRODUCT(($AM$11:$AM926&lt;&gt;"")*($AS$11:$AS926="✓")),"")</f>
        <v/>
      </c>
      <c r="BA926" s="21" t="str">
        <f>IF($AL926="","",$AL926&amp;"|"&amp;COUNTIF($AL$11:$AL926,$AL926))</f>
        <v/>
      </c>
    </row>
    <row r="927" spans="23:53" ht="15" customHeight="1" x14ac:dyDescent="0.25">
      <c r="W927" s="14" t="str">
        <f>IF(X927="","",IFERROR(INDEX($AL$11:$AL$4010,MATCH(917,$AY$11:$AY$4010,0)),""))</f>
        <v/>
      </c>
      <c r="X927" s="12" t="str">
        <f>IFERROR(INDEX($AM$11:$AM$4010,MATCH(917,$AY$11:$AY$4010,0)),"")</f>
        <v/>
      </c>
      <c r="Y927" s="11" t="str">
        <f>IF(X927="","",IFERROR(INDEX($AN$11:$AN$4010,MATCH(917,$AY$11:$AY$4010,0)),""))</f>
        <v/>
      </c>
      <c r="Z927" s="11" t="str">
        <f>IF(X927="","",IFERROR(INDEX($AO$11:$AO$4010,MATCH(917,$AY$11:$AY$4010,0)),""))</f>
        <v/>
      </c>
      <c r="AA927" s="10" t="str">
        <f>IF(X927="","",IFERROR(INDEX($AQ$11:$AQ$4010,MATCH(917,$AY$11:$AY$4010,0)),""))</f>
        <v/>
      </c>
      <c r="AB927" s="15" t="str">
        <f>IF(X927="","",IFERROR(INDEX($AR$11:$AR$4010,MATCH(917,$AY$11:$AY$4010,0)),""))</f>
        <v/>
      </c>
      <c r="AD927" s="16" t="str">
        <f>IF(AE927="","",IFERROR(INDEX($AL$11:$AL$4010,MATCH(917,$AZ$11:$AZ$4010,0)),""))</f>
        <v/>
      </c>
      <c r="AE927" s="12" t="str">
        <f>IFERROR(INDEX($AM$11:$AM$4010,MATCH(917,$AZ$11:$AZ$4010,0)),"")</f>
        <v/>
      </c>
      <c r="AF927" s="11" t="str">
        <f>IF(AE927="","",IFERROR(INDEX($AN$11:$AN$4010,MATCH(917,$AZ$11:$AZ$4010,0)),""))</f>
        <v/>
      </c>
      <c r="AG927" s="11" t="str">
        <f>IF(AE927="","",IFERROR(INDEX($AO$11:$AO$4010,MATCH(917,$AZ$11:$AZ$4010,0)),""))</f>
        <v/>
      </c>
      <c r="AH927" s="10" t="str">
        <f>IF(AE927="","",IFERROR(INDEX($AQ$11:$AQ$4010,MATCH(917,$AZ$11:$AZ$4010,0)),""))</f>
        <v/>
      </c>
      <c r="AI927" s="15" t="str">
        <f>IF(AE927="","",IFERROR(INDEX($AR$11:$AR$4010,MATCH(917,$AZ$11:$AZ$4010,0)),""))</f>
        <v/>
      </c>
      <c r="AJ927" s="15" t="str">
        <f>IF(AE927="","",IFERROR(INDEX($AT$11:$AT$4010,MATCH(917,$AZ$11:$AZ$4010,0)),""))</f>
        <v/>
      </c>
      <c r="AL927" s="17"/>
      <c r="AM927" s="12"/>
      <c r="AN927" s="18"/>
      <c r="AO927" s="18"/>
      <c r="AP927" s="10"/>
      <c r="AQ927" s="10"/>
      <c r="AR927" s="19"/>
      <c r="AS927" s="20"/>
      <c r="AT927" s="19"/>
      <c r="AV927" s="21">
        <f>IF(AND($AL927&lt;&gt;"",COUNTIF($AL$11:$AL927,$AL927)=1),1,0)</f>
        <v>0</v>
      </c>
      <c r="AW927" s="21">
        <f t="shared" si="115"/>
        <v>0</v>
      </c>
      <c r="AX927" s="21" t="str">
        <f t="shared" si="114"/>
        <v/>
      </c>
      <c r="AY927" s="21" t="str">
        <f>IF(AND($AM927&lt;&gt;"",$AS927&lt;&gt;"✓"),SUMPRODUCT(($AM$11:$AM927&lt;&gt;"")*($AS$11:$AS927&lt;&gt;"✓")),"")</f>
        <v/>
      </c>
      <c r="AZ927" s="21" t="str">
        <f>IF(AND($AM927&lt;&gt;"",$AS927="✓"),SUMPRODUCT(($AM$11:$AM927&lt;&gt;"")*($AS$11:$AS927="✓")),"")</f>
        <v/>
      </c>
      <c r="BA927" s="21" t="str">
        <f>IF($AL927="","",$AL927&amp;"|"&amp;COUNTIF($AL$11:$AL927,$AL927))</f>
        <v/>
      </c>
    </row>
    <row r="928" spans="23:53" ht="15" customHeight="1" x14ac:dyDescent="0.25">
      <c r="W928" s="28" t="str">
        <f>IF(X928="","",IFERROR(INDEX($AL$11:$AL$4010,MATCH(918,$AY$11:$AY$4010,0)),""))</f>
        <v/>
      </c>
      <c r="X928" s="26" t="str">
        <f>IFERROR(INDEX($AM$11:$AM$4010,MATCH(918,$AY$11:$AY$4010,0)),"")</f>
        <v/>
      </c>
      <c r="Y928" s="25" t="str">
        <f>IF(X928="","",IFERROR(INDEX($AN$11:$AN$4010,MATCH(918,$AY$11:$AY$4010,0)),""))</f>
        <v/>
      </c>
      <c r="Z928" s="25" t="str">
        <f>IF(X928="","",IFERROR(INDEX($AO$11:$AO$4010,MATCH(918,$AY$11:$AY$4010,0)),""))</f>
        <v/>
      </c>
      <c r="AA928" s="24" t="str">
        <f>IF(X928="","",IFERROR(INDEX($AQ$11:$AQ$4010,MATCH(918,$AY$11:$AY$4010,0)),""))</f>
        <v/>
      </c>
      <c r="AB928" s="29" t="str">
        <f>IF(X928="","",IFERROR(INDEX($AR$11:$AR$4010,MATCH(918,$AY$11:$AY$4010,0)),""))</f>
        <v/>
      </c>
      <c r="AD928" s="30" t="str">
        <f>IF(AE928="","",IFERROR(INDEX($AL$11:$AL$4010,MATCH(918,$AZ$11:$AZ$4010,0)),""))</f>
        <v/>
      </c>
      <c r="AE928" s="26" t="str">
        <f>IFERROR(INDEX($AM$11:$AM$4010,MATCH(918,$AZ$11:$AZ$4010,0)),"")</f>
        <v/>
      </c>
      <c r="AF928" s="25" t="str">
        <f>IF(AE928="","",IFERROR(INDEX($AN$11:$AN$4010,MATCH(918,$AZ$11:$AZ$4010,0)),""))</f>
        <v/>
      </c>
      <c r="AG928" s="25" t="str">
        <f>IF(AE928="","",IFERROR(INDEX($AO$11:$AO$4010,MATCH(918,$AZ$11:$AZ$4010,0)),""))</f>
        <v/>
      </c>
      <c r="AH928" s="24" t="str">
        <f>IF(AE928="","",IFERROR(INDEX($AQ$11:$AQ$4010,MATCH(918,$AZ$11:$AZ$4010,0)),""))</f>
        <v/>
      </c>
      <c r="AI928" s="29" t="str">
        <f>IF(AE928="","",IFERROR(INDEX($AR$11:$AR$4010,MATCH(918,$AZ$11:$AZ$4010,0)),""))</f>
        <v/>
      </c>
      <c r="AJ928" s="29" t="str">
        <f>IF(AE928="","",IFERROR(INDEX($AT$11:$AT$4010,MATCH(918,$AZ$11:$AZ$4010,0)),""))</f>
        <v/>
      </c>
      <c r="AL928" s="31"/>
      <c r="AM928" s="26"/>
      <c r="AN928" s="32"/>
      <c r="AO928" s="32"/>
      <c r="AP928" s="24"/>
      <c r="AQ928" s="24"/>
      <c r="AR928" s="33"/>
      <c r="AS928" s="34"/>
      <c r="AT928" s="33"/>
      <c r="AV928" s="21">
        <f>IF(AND($AL928&lt;&gt;"",COUNTIF($AL$11:$AL928,$AL928)=1),1,0)</f>
        <v>0</v>
      </c>
      <c r="AW928" s="21">
        <f t="shared" si="115"/>
        <v>0</v>
      </c>
      <c r="AX928" s="21" t="str">
        <f t="shared" si="114"/>
        <v/>
      </c>
      <c r="AY928" s="21" t="str">
        <f>IF(AND($AM928&lt;&gt;"",$AS928&lt;&gt;"✓"),SUMPRODUCT(($AM$11:$AM928&lt;&gt;"")*($AS$11:$AS928&lt;&gt;"✓")),"")</f>
        <v/>
      </c>
      <c r="AZ928" s="21" t="str">
        <f>IF(AND($AM928&lt;&gt;"",$AS928="✓"),SUMPRODUCT(($AM$11:$AM928&lt;&gt;"")*($AS$11:$AS928="✓")),"")</f>
        <v/>
      </c>
      <c r="BA928" s="21" t="str">
        <f>IF($AL928="","",$AL928&amp;"|"&amp;COUNTIF($AL$11:$AL928,$AL928))</f>
        <v/>
      </c>
    </row>
    <row r="929" spans="23:53" ht="15" customHeight="1" x14ac:dyDescent="0.25">
      <c r="W929" s="14" t="str">
        <f>IF(X929="","",IFERROR(INDEX($AL$11:$AL$4010,MATCH(919,$AY$11:$AY$4010,0)),""))</f>
        <v/>
      </c>
      <c r="X929" s="12" t="str">
        <f>IFERROR(INDEX($AM$11:$AM$4010,MATCH(919,$AY$11:$AY$4010,0)),"")</f>
        <v/>
      </c>
      <c r="Y929" s="11" t="str">
        <f>IF(X929="","",IFERROR(INDEX($AN$11:$AN$4010,MATCH(919,$AY$11:$AY$4010,0)),""))</f>
        <v/>
      </c>
      <c r="Z929" s="11" t="str">
        <f>IF(X929="","",IFERROR(INDEX($AO$11:$AO$4010,MATCH(919,$AY$11:$AY$4010,0)),""))</f>
        <v/>
      </c>
      <c r="AA929" s="10" t="str">
        <f>IF(X929="","",IFERROR(INDEX($AQ$11:$AQ$4010,MATCH(919,$AY$11:$AY$4010,0)),""))</f>
        <v/>
      </c>
      <c r="AB929" s="15" t="str">
        <f>IF(X929="","",IFERROR(INDEX($AR$11:$AR$4010,MATCH(919,$AY$11:$AY$4010,0)),""))</f>
        <v/>
      </c>
      <c r="AD929" s="16" t="str">
        <f>IF(AE929="","",IFERROR(INDEX($AL$11:$AL$4010,MATCH(919,$AZ$11:$AZ$4010,0)),""))</f>
        <v/>
      </c>
      <c r="AE929" s="12" t="str">
        <f>IFERROR(INDEX($AM$11:$AM$4010,MATCH(919,$AZ$11:$AZ$4010,0)),"")</f>
        <v/>
      </c>
      <c r="AF929" s="11" t="str">
        <f>IF(AE929="","",IFERROR(INDEX($AN$11:$AN$4010,MATCH(919,$AZ$11:$AZ$4010,0)),""))</f>
        <v/>
      </c>
      <c r="AG929" s="11" t="str">
        <f>IF(AE929="","",IFERROR(INDEX($AO$11:$AO$4010,MATCH(919,$AZ$11:$AZ$4010,0)),""))</f>
        <v/>
      </c>
      <c r="AH929" s="10" t="str">
        <f>IF(AE929="","",IFERROR(INDEX($AQ$11:$AQ$4010,MATCH(919,$AZ$11:$AZ$4010,0)),""))</f>
        <v/>
      </c>
      <c r="AI929" s="15" t="str">
        <f>IF(AE929="","",IFERROR(INDEX($AR$11:$AR$4010,MATCH(919,$AZ$11:$AZ$4010,0)),""))</f>
        <v/>
      </c>
      <c r="AJ929" s="15" t="str">
        <f>IF(AE929="","",IFERROR(INDEX($AT$11:$AT$4010,MATCH(919,$AZ$11:$AZ$4010,0)),""))</f>
        <v/>
      </c>
      <c r="AL929" s="17"/>
      <c r="AM929" s="12"/>
      <c r="AN929" s="18"/>
      <c r="AO929" s="18"/>
      <c r="AP929" s="10"/>
      <c r="AQ929" s="10"/>
      <c r="AR929" s="19"/>
      <c r="AS929" s="20"/>
      <c r="AT929" s="19"/>
      <c r="AV929" s="21">
        <f>IF(AND($AL929&lt;&gt;"",COUNTIF($AL$11:$AL929,$AL929)=1),1,0)</f>
        <v>0</v>
      </c>
      <c r="AW929" s="21">
        <f t="shared" si="115"/>
        <v>0</v>
      </c>
      <c r="AX929" s="21" t="str">
        <f t="shared" si="114"/>
        <v/>
      </c>
      <c r="AY929" s="21" t="str">
        <f>IF(AND($AM929&lt;&gt;"",$AS929&lt;&gt;"✓"),SUMPRODUCT(($AM$11:$AM929&lt;&gt;"")*($AS$11:$AS929&lt;&gt;"✓")),"")</f>
        <v/>
      </c>
      <c r="AZ929" s="21" t="str">
        <f>IF(AND($AM929&lt;&gt;"",$AS929="✓"),SUMPRODUCT(($AM$11:$AM929&lt;&gt;"")*($AS$11:$AS929="✓")),"")</f>
        <v/>
      </c>
      <c r="BA929" s="21" t="str">
        <f>IF($AL929="","",$AL929&amp;"|"&amp;COUNTIF($AL$11:$AL929,$AL929))</f>
        <v/>
      </c>
    </row>
    <row r="930" spans="23:53" ht="15" customHeight="1" x14ac:dyDescent="0.25">
      <c r="W930" s="28" t="str">
        <f>IF(X930="","",IFERROR(INDEX($AL$11:$AL$4010,MATCH(920,$AY$11:$AY$4010,0)),""))</f>
        <v/>
      </c>
      <c r="X930" s="26" t="str">
        <f>IFERROR(INDEX($AM$11:$AM$4010,MATCH(920,$AY$11:$AY$4010,0)),"")</f>
        <v/>
      </c>
      <c r="Y930" s="25" t="str">
        <f>IF(X930="","",IFERROR(INDEX($AN$11:$AN$4010,MATCH(920,$AY$11:$AY$4010,0)),""))</f>
        <v/>
      </c>
      <c r="Z930" s="25" t="str">
        <f>IF(X930="","",IFERROR(INDEX($AO$11:$AO$4010,MATCH(920,$AY$11:$AY$4010,0)),""))</f>
        <v/>
      </c>
      <c r="AA930" s="24" t="str">
        <f>IF(X930="","",IFERROR(INDEX($AQ$11:$AQ$4010,MATCH(920,$AY$11:$AY$4010,0)),""))</f>
        <v/>
      </c>
      <c r="AB930" s="29" t="str">
        <f>IF(X930="","",IFERROR(INDEX($AR$11:$AR$4010,MATCH(920,$AY$11:$AY$4010,0)),""))</f>
        <v/>
      </c>
      <c r="AD930" s="30" t="str">
        <f>IF(AE930="","",IFERROR(INDEX($AL$11:$AL$4010,MATCH(920,$AZ$11:$AZ$4010,0)),""))</f>
        <v/>
      </c>
      <c r="AE930" s="26" t="str">
        <f>IFERROR(INDEX($AM$11:$AM$4010,MATCH(920,$AZ$11:$AZ$4010,0)),"")</f>
        <v/>
      </c>
      <c r="AF930" s="25" t="str">
        <f>IF(AE930="","",IFERROR(INDEX($AN$11:$AN$4010,MATCH(920,$AZ$11:$AZ$4010,0)),""))</f>
        <v/>
      </c>
      <c r="AG930" s="25" t="str">
        <f>IF(AE930="","",IFERROR(INDEX($AO$11:$AO$4010,MATCH(920,$AZ$11:$AZ$4010,0)),""))</f>
        <v/>
      </c>
      <c r="AH930" s="24" t="str">
        <f>IF(AE930="","",IFERROR(INDEX($AQ$11:$AQ$4010,MATCH(920,$AZ$11:$AZ$4010,0)),""))</f>
        <v/>
      </c>
      <c r="AI930" s="29" t="str">
        <f>IF(AE930="","",IFERROR(INDEX($AR$11:$AR$4010,MATCH(920,$AZ$11:$AZ$4010,0)),""))</f>
        <v/>
      </c>
      <c r="AJ930" s="29" t="str">
        <f>IF(AE930="","",IFERROR(INDEX($AT$11:$AT$4010,MATCH(920,$AZ$11:$AZ$4010,0)),""))</f>
        <v/>
      </c>
      <c r="AL930" s="31"/>
      <c r="AM930" s="26"/>
      <c r="AN930" s="32"/>
      <c r="AO930" s="32"/>
      <c r="AP930" s="24"/>
      <c r="AQ930" s="24"/>
      <c r="AR930" s="33"/>
      <c r="AS930" s="34"/>
      <c r="AT930" s="33"/>
      <c r="AV930" s="21">
        <f>IF(AND($AL930&lt;&gt;"",COUNTIF($AL$11:$AL930,$AL930)=1),1,0)</f>
        <v>0</v>
      </c>
      <c r="AW930" s="21">
        <f t="shared" si="115"/>
        <v>0</v>
      </c>
      <c r="AX930" s="21" t="str">
        <f t="shared" si="114"/>
        <v/>
      </c>
      <c r="AY930" s="21" t="str">
        <f>IF(AND($AM930&lt;&gt;"",$AS930&lt;&gt;"✓"),SUMPRODUCT(($AM$11:$AM930&lt;&gt;"")*($AS$11:$AS930&lt;&gt;"✓")),"")</f>
        <v/>
      </c>
      <c r="AZ930" s="21" t="str">
        <f>IF(AND($AM930&lt;&gt;"",$AS930="✓"),SUMPRODUCT(($AM$11:$AM930&lt;&gt;"")*($AS$11:$AS930="✓")),"")</f>
        <v/>
      </c>
      <c r="BA930" s="21" t="str">
        <f>IF($AL930="","",$AL930&amp;"|"&amp;COUNTIF($AL$11:$AL930,$AL930))</f>
        <v/>
      </c>
    </row>
    <row r="931" spans="23:53" ht="15" customHeight="1" x14ac:dyDescent="0.25">
      <c r="W931" s="14" t="str">
        <f>IF(X931="","",IFERROR(INDEX($AL$11:$AL$4010,MATCH(921,$AY$11:$AY$4010,0)),""))</f>
        <v/>
      </c>
      <c r="X931" s="12" t="str">
        <f>IFERROR(INDEX($AM$11:$AM$4010,MATCH(921,$AY$11:$AY$4010,0)),"")</f>
        <v/>
      </c>
      <c r="Y931" s="11" t="str">
        <f>IF(X931="","",IFERROR(INDEX($AN$11:$AN$4010,MATCH(921,$AY$11:$AY$4010,0)),""))</f>
        <v/>
      </c>
      <c r="Z931" s="11" t="str">
        <f>IF(X931="","",IFERROR(INDEX($AO$11:$AO$4010,MATCH(921,$AY$11:$AY$4010,0)),""))</f>
        <v/>
      </c>
      <c r="AA931" s="10" t="str">
        <f>IF(X931="","",IFERROR(INDEX($AQ$11:$AQ$4010,MATCH(921,$AY$11:$AY$4010,0)),""))</f>
        <v/>
      </c>
      <c r="AB931" s="15" t="str">
        <f>IF(X931="","",IFERROR(INDEX($AR$11:$AR$4010,MATCH(921,$AY$11:$AY$4010,0)),""))</f>
        <v/>
      </c>
      <c r="AD931" s="16" t="str">
        <f>IF(AE931="","",IFERROR(INDEX($AL$11:$AL$4010,MATCH(921,$AZ$11:$AZ$4010,0)),""))</f>
        <v/>
      </c>
      <c r="AE931" s="12" t="str">
        <f>IFERROR(INDEX($AM$11:$AM$4010,MATCH(921,$AZ$11:$AZ$4010,0)),"")</f>
        <v/>
      </c>
      <c r="AF931" s="11" t="str">
        <f>IF(AE931="","",IFERROR(INDEX($AN$11:$AN$4010,MATCH(921,$AZ$11:$AZ$4010,0)),""))</f>
        <v/>
      </c>
      <c r="AG931" s="11" t="str">
        <f>IF(AE931="","",IFERROR(INDEX($AO$11:$AO$4010,MATCH(921,$AZ$11:$AZ$4010,0)),""))</f>
        <v/>
      </c>
      <c r="AH931" s="10" t="str">
        <f>IF(AE931="","",IFERROR(INDEX($AQ$11:$AQ$4010,MATCH(921,$AZ$11:$AZ$4010,0)),""))</f>
        <v/>
      </c>
      <c r="AI931" s="15" t="str">
        <f>IF(AE931="","",IFERROR(INDEX($AR$11:$AR$4010,MATCH(921,$AZ$11:$AZ$4010,0)),""))</f>
        <v/>
      </c>
      <c r="AJ931" s="15" t="str">
        <f>IF(AE931="","",IFERROR(INDEX($AT$11:$AT$4010,MATCH(921,$AZ$11:$AZ$4010,0)),""))</f>
        <v/>
      </c>
      <c r="AL931" s="17"/>
      <c r="AM931" s="12"/>
      <c r="AN931" s="18"/>
      <c r="AO931" s="18"/>
      <c r="AP931" s="10"/>
      <c r="AQ931" s="10"/>
      <c r="AR931" s="19"/>
      <c r="AS931" s="20"/>
      <c r="AT931" s="19"/>
      <c r="AV931" s="21">
        <f>IF(AND($AL931&lt;&gt;"",COUNTIF($AL$11:$AL931,$AL931)=1),1,0)</f>
        <v>0</v>
      </c>
      <c r="AW931" s="21">
        <f t="shared" si="115"/>
        <v>0</v>
      </c>
      <c r="AX931" s="21" t="str">
        <f t="shared" si="114"/>
        <v/>
      </c>
      <c r="AY931" s="21" t="str">
        <f>IF(AND($AM931&lt;&gt;"",$AS931&lt;&gt;"✓"),SUMPRODUCT(($AM$11:$AM931&lt;&gt;"")*($AS$11:$AS931&lt;&gt;"✓")),"")</f>
        <v/>
      </c>
      <c r="AZ931" s="21" t="str">
        <f>IF(AND($AM931&lt;&gt;"",$AS931="✓"),SUMPRODUCT(($AM$11:$AM931&lt;&gt;"")*($AS$11:$AS931="✓")),"")</f>
        <v/>
      </c>
      <c r="BA931" s="21" t="str">
        <f>IF($AL931="","",$AL931&amp;"|"&amp;COUNTIF($AL$11:$AL931,$AL931))</f>
        <v/>
      </c>
    </row>
    <row r="932" spans="23:53" ht="15" customHeight="1" x14ac:dyDescent="0.25">
      <c r="W932" s="28" t="str">
        <f>IF(X932="","",IFERROR(INDEX($AL$11:$AL$4010,MATCH(922,$AY$11:$AY$4010,0)),""))</f>
        <v/>
      </c>
      <c r="X932" s="26" t="str">
        <f>IFERROR(INDEX($AM$11:$AM$4010,MATCH(922,$AY$11:$AY$4010,0)),"")</f>
        <v/>
      </c>
      <c r="Y932" s="25" t="str">
        <f>IF(X932="","",IFERROR(INDEX($AN$11:$AN$4010,MATCH(922,$AY$11:$AY$4010,0)),""))</f>
        <v/>
      </c>
      <c r="Z932" s="25" t="str">
        <f>IF(X932="","",IFERROR(INDEX($AO$11:$AO$4010,MATCH(922,$AY$11:$AY$4010,0)),""))</f>
        <v/>
      </c>
      <c r="AA932" s="24" t="str">
        <f>IF(X932="","",IFERROR(INDEX($AQ$11:$AQ$4010,MATCH(922,$AY$11:$AY$4010,0)),""))</f>
        <v/>
      </c>
      <c r="AB932" s="29" t="str">
        <f>IF(X932="","",IFERROR(INDEX($AR$11:$AR$4010,MATCH(922,$AY$11:$AY$4010,0)),""))</f>
        <v/>
      </c>
      <c r="AD932" s="30" t="str">
        <f>IF(AE932="","",IFERROR(INDEX($AL$11:$AL$4010,MATCH(922,$AZ$11:$AZ$4010,0)),""))</f>
        <v/>
      </c>
      <c r="AE932" s="26" t="str">
        <f>IFERROR(INDEX($AM$11:$AM$4010,MATCH(922,$AZ$11:$AZ$4010,0)),"")</f>
        <v/>
      </c>
      <c r="AF932" s="25" t="str">
        <f>IF(AE932="","",IFERROR(INDEX($AN$11:$AN$4010,MATCH(922,$AZ$11:$AZ$4010,0)),""))</f>
        <v/>
      </c>
      <c r="AG932" s="25" t="str">
        <f>IF(AE932="","",IFERROR(INDEX($AO$11:$AO$4010,MATCH(922,$AZ$11:$AZ$4010,0)),""))</f>
        <v/>
      </c>
      <c r="AH932" s="24" t="str">
        <f>IF(AE932="","",IFERROR(INDEX($AQ$11:$AQ$4010,MATCH(922,$AZ$11:$AZ$4010,0)),""))</f>
        <v/>
      </c>
      <c r="AI932" s="29" t="str">
        <f>IF(AE932="","",IFERROR(INDEX($AR$11:$AR$4010,MATCH(922,$AZ$11:$AZ$4010,0)),""))</f>
        <v/>
      </c>
      <c r="AJ932" s="29" t="str">
        <f>IF(AE932="","",IFERROR(INDEX($AT$11:$AT$4010,MATCH(922,$AZ$11:$AZ$4010,0)),""))</f>
        <v/>
      </c>
      <c r="AL932" s="31"/>
      <c r="AM932" s="26"/>
      <c r="AN932" s="32"/>
      <c r="AO932" s="32"/>
      <c r="AP932" s="24"/>
      <c r="AQ932" s="24"/>
      <c r="AR932" s="33"/>
      <c r="AS932" s="34"/>
      <c r="AT932" s="33"/>
      <c r="AV932" s="21">
        <f>IF(AND($AL932&lt;&gt;"",COUNTIF($AL$11:$AL932,$AL932)=1),1,0)</f>
        <v>0</v>
      </c>
      <c r="AW932" s="21">
        <f t="shared" si="115"/>
        <v>0</v>
      </c>
      <c r="AX932" s="21" t="str">
        <f t="shared" si="114"/>
        <v/>
      </c>
      <c r="AY932" s="21" t="str">
        <f>IF(AND($AM932&lt;&gt;"",$AS932&lt;&gt;"✓"),SUMPRODUCT(($AM$11:$AM932&lt;&gt;"")*($AS$11:$AS932&lt;&gt;"✓")),"")</f>
        <v/>
      </c>
      <c r="AZ932" s="21" t="str">
        <f>IF(AND($AM932&lt;&gt;"",$AS932="✓"),SUMPRODUCT(($AM$11:$AM932&lt;&gt;"")*($AS$11:$AS932="✓")),"")</f>
        <v/>
      </c>
      <c r="BA932" s="21" t="str">
        <f>IF($AL932="","",$AL932&amp;"|"&amp;COUNTIF($AL$11:$AL932,$AL932))</f>
        <v/>
      </c>
    </row>
    <row r="933" spans="23:53" ht="15" customHeight="1" x14ac:dyDescent="0.25">
      <c r="W933" s="14" t="str">
        <f>IF(X933="","",IFERROR(INDEX($AL$11:$AL$4010,MATCH(923,$AY$11:$AY$4010,0)),""))</f>
        <v/>
      </c>
      <c r="X933" s="12" t="str">
        <f>IFERROR(INDEX($AM$11:$AM$4010,MATCH(923,$AY$11:$AY$4010,0)),"")</f>
        <v/>
      </c>
      <c r="Y933" s="11" t="str">
        <f>IF(X933="","",IFERROR(INDEX($AN$11:$AN$4010,MATCH(923,$AY$11:$AY$4010,0)),""))</f>
        <v/>
      </c>
      <c r="Z933" s="11" t="str">
        <f>IF(X933="","",IFERROR(INDEX($AO$11:$AO$4010,MATCH(923,$AY$11:$AY$4010,0)),""))</f>
        <v/>
      </c>
      <c r="AA933" s="10" t="str">
        <f>IF(X933="","",IFERROR(INDEX($AQ$11:$AQ$4010,MATCH(923,$AY$11:$AY$4010,0)),""))</f>
        <v/>
      </c>
      <c r="AB933" s="15" t="str">
        <f>IF(X933="","",IFERROR(INDEX($AR$11:$AR$4010,MATCH(923,$AY$11:$AY$4010,0)),""))</f>
        <v/>
      </c>
      <c r="AD933" s="16" t="str">
        <f>IF(AE933="","",IFERROR(INDEX($AL$11:$AL$4010,MATCH(923,$AZ$11:$AZ$4010,0)),""))</f>
        <v/>
      </c>
      <c r="AE933" s="12" t="str">
        <f>IFERROR(INDEX($AM$11:$AM$4010,MATCH(923,$AZ$11:$AZ$4010,0)),"")</f>
        <v/>
      </c>
      <c r="AF933" s="11" t="str">
        <f>IF(AE933="","",IFERROR(INDEX($AN$11:$AN$4010,MATCH(923,$AZ$11:$AZ$4010,0)),""))</f>
        <v/>
      </c>
      <c r="AG933" s="11" t="str">
        <f>IF(AE933="","",IFERROR(INDEX($AO$11:$AO$4010,MATCH(923,$AZ$11:$AZ$4010,0)),""))</f>
        <v/>
      </c>
      <c r="AH933" s="10" t="str">
        <f>IF(AE933="","",IFERROR(INDEX($AQ$11:$AQ$4010,MATCH(923,$AZ$11:$AZ$4010,0)),""))</f>
        <v/>
      </c>
      <c r="AI933" s="15" t="str">
        <f>IF(AE933="","",IFERROR(INDEX($AR$11:$AR$4010,MATCH(923,$AZ$11:$AZ$4010,0)),""))</f>
        <v/>
      </c>
      <c r="AJ933" s="15" t="str">
        <f>IF(AE933="","",IFERROR(INDEX($AT$11:$AT$4010,MATCH(923,$AZ$11:$AZ$4010,0)),""))</f>
        <v/>
      </c>
      <c r="AL933" s="17"/>
      <c r="AM933" s="12"/>
      <c r="AN933" s="18"/>
      <c r="AO933" s="18"/>
      <c r="AP933" s="10"/>
      <c r="AQ933" s="10"/>
      <c r="AR933" s="19"/>
      <c r="AS933" s="20"/>
      <c r="AT933" s="19"/>
      <c r="AV933" s="21">
        <f>IF(AND($AL933&lt;&gt;"",COUNTIF($AL$11:$AL933,$AL933)=1),1,0)</f>
        <v>0</v>
      </c>
      <c r="AW933" s="21">
        <f t="shared" si="115"/>
        <v>0</v>
      </c>
      <c r="AX933" s="21" t="str">
        <f t="shared" si="114"/>
        <v/>
      </c>
      <c r="AY933" s="21" t="str">
        <f>IF(AND($AM933&lt;&gt;"",$AS933&lt;&gt;"✓"),SUMPRODUCT(($AM$11:$AM933&lt;&gt;"")*($AS$11:$AS933&lt;&gt;"✓")),"")</f>
        <v/>
      </c>
      <c r="AZ933" s="21" t="str">
        <f>IF(AND($AM933&lt;&gt;"",$AS933="✓"),SUMPRODUCT(($AM$11:$AM933&lt;&gt;"")*($AS$11:$AS933="✓")),"")</f>
        <v/>
      </c>
      <c r="BA933" s="21" t="str">
        <f>IF($AL933="","",$AL933&amp;"|"&amp;COUNTIF($AL$11:$AL933,$AL933))</f>
        <v/>
      </c>
    </row>
    <row r="934" spans="23:53" ht="15" customHeight="1" x14ac:dyDescent="0.25">
      <c r="W934" s="28" t="str">
        <f>IF(X934="","",IFERROR(INDEX($AL$11:$AL$4010,MATCH(924,$AY$11:$AY$4010,0)),""))</f>
        <v/>
      </c>
      <c r="X934" s="26" t="str">
        <f>IFERROR(INDEX($AM$11:$AM$4010,MATCH(924,$AY$11:$AY$4010,0)),"")</f>
        <v/>
      </c>
      <c r="Y934" s="25" t="str">
        <f>IF(X934="","",IFERROR(INDEX($AN$11:$AN$4010,MATCH(924,$AY$11:$AY$4010,0)),""))</f>
        <v/>
      </c>
      <c r="Z934" s="25" t="str">
        <f>IF(X934="","",IFERROR(INDEX($AO$11:$AO$4010,MATCH(924,$AY$11:$AY$4010,0)),""))</f>
        <v/>
      </c>
      <c r="AA934" s="24" t="str">
        <f>IF(X934="","",IFERROR(INDEX($AQ$11:$AQ$4010,MATCH(924,$AY$11:$AY$4010,0)),""))</f>
        <v/>
      </c>
      <c r="AB934" s="29" t="str">
        <f>IF(X934="","",IFERROR(INDEX($AR$11:$AR$4010,MATCH(924,$AY$11:$AY$4010,0)),""))</f>
        <v/>
      </c>
      <c r="AD934" s="30" t="str">
        <f>IF(AE934="","",IFERROR(INDEX($AL$11:$AL$4010,MATCH(924,$AZ$11:$AZ$4010,0)),""))</f>
        <v/>
      </c>
      <c r="AE934" s="26" t="str">
        <f>IFERROR(INDEX($AM$11:$AM$4010,MATCH(924,$AZ$11:$AZ$4010,0)),"")</f>
        <v/>
      </c>
      <c r="AF934" s="25" t="str">
        <f>IF(AE934="","",IFERROR(INDEX($AN$11:$AN$4010,MATCH(924,$AZ$11:$AZ$4010,0)),""))</f>
        <v/>
      </c>
      <c r="AG934" s="25" t="str">
        <f>IF(AE934="","",IFERROR(INDEX($AO$11:$AO$4010,MATCH(924,$AZ$11:$AZ$4010,0)),""))</f>
        <v/>
      </c>
      <c r="AH934" s="24" t="str">
        <f>IF(AE934="","",IFERROR(INDEX($AQ$11:$AQ$4010,MATCH(924,$AZ$11:$AZ$4010,0)),""))</f>
        <v/>
      </c>
      <c r="AI934" s="29" t="str">
        <f>IF(AE934="","",IFERROR(INDEX($AR$11:$AR$4010,MATCH(924,$AZ$11:$AZ$4010,0)),""))</f>
        <v/>
      </c>
      <c r="AJ934" s="29" t="str">
        <f>IF(AE934="","",IFERROR(INDEX($AT$11:$AT$4010,MATCH(924,$AZ$11:$AZ$4010,0)),""))</f>
        <v/>
      </c>
      <c r="AL934" s="31"/>
      <c r="AM934" s="26"/>
      <c r="AN934" s="32"/>
      <c r="AO934" s="32"/>
      <c r="AP934" s="24"/>
      <c r="AQ934" s="24"/>
      <c r="AR934" s="33"/>
      <c r="AS934" s="34"/>
      <c r="AT934" s="33"/>
      <c r="AV934" s="21">
        <f>IF(AND($AL934&lt;&gt;"",COUNTIF($AL$11:$AL934,$AL934)=1),1,0)</f>
        <v>0</v>
      </c>
      <c r="AW934" s="21">
        <f t="shared" si="115"/>
        <v>0</v>
      </c>
      <c r="AX934" s="21" t="str">
        <f t="shared" si="114"/>
        <v/>
      </c>
      <c r="AY934" s="21" t="str">
        <f>IF(AND($AM934&lt;&gt;"",$AS934&lt;&gt;"✓"),SUMPRODUCT(($AM$11:$AM934&lt;&gt;"")*($AS$11:$AS934&lt;&gt;"✓")),"")</f>
        <v/>
      </c>
      <c r="AZ934" s="21" t="str">
        <f>IF(AND($AM934&lt;&gt;"",$AS934="✓"),SUMPRODUCT(($AM$11:$AM934&lt;&gt;"")*($AS$11:$AS934="✓")),"")</f>
        <v/>
      </c>
      <c r="BA934" s="21" t="str">
        <f>IF($AL934="","",$AL934&amp;"|"&amp;COUNTIF($AL$11:$AL934,$AL934))</f>
        <v/>
      </c>
    </row>
    <row r="935" spans="23:53" ht="15" customHeight="1" x14ac:dyDescent="0.25">
      <c r="W935" s="14" t="str">
        <f>IF(X935="","",IFERROR(INDEX($AL$11:$AL$4010,MATCH(925,$AY$11:$AY$4010,0)),""))</f>
        <v/>
      </c>
      <c r="X935" s="12" t="str">
        <f>IFERROR(INDEX($AM$11:$AM$4010,MATCH(925,$AY$11:$AY$4010,0)),"")</f>
        <v/>
      </c>
      <c r="Y935" s="11" t="str">
        <f>IF(X935="","",IFERROR(INDEX($AN$11:$AN$4010,MATCH(925,$AY$11:$AY$4010,0)),""))</f>
        <v/>
      </c>
      <c r="Z935" s="11" t="str">
        <f>IF(X935="","",IFERROR(INDEX($AO$11:$AO$4010,MATCH(925,$AY$11:$AY$4010,0)),""))</f>
        <v/>
      </c>
      <c r="AA935" s="10" t="str">
        <f>IF(X935="","",IFERROR(INDEX($AQ$11:$AQ$4010,MATCH(925,$AY$11:$AY$4010,0)),""))</f>
        <v/>
      </c>
      <c r="AB935" s="15" t="str">
        <f>IF(X935="","",IFERROR(INDEX($AR$11:$AR$4010,MATCH(925,$AY$11:$AY$4010,0)),""))</f>
        <v/>
      </c>
      <c r="AD935" s="16" t="str">
        <f>IF(AE935="","",IFERROR(INDEX($AL$11:$AL$4010,MATCH(925,$AZ$11:$AZ$4010,0)),""))</f>
        <v/>
      </c>
      <c r="AE935" s="12" t="str">
        <f>IFERROR(INDEX($AM$11:$AM$4010,MATCH(925,$AZ$11:$AZ$4010,0)),"")</f>
        <v/>
      </c>
      <c r="AF935" s="11" t="str">
        <f>IF(AE935="","",IFERROR(INDEX($AN$11:$AN$4010,MATCH(925,$AZ$11:$AZ$4010,0)),""))</f>
        <v/>
      </c>
      <c r="AG935" s="11" t="str">
        <f>IF(AE935="","",IFERROR(INDEX($AO$11:$AO$4010,MATCH(925,$AZ$11:$AZ$4010,0)),""))</f>
        <v/>
      </c>
      <c r="AH935" s="10" t="str">
        <f>IF(AE935="","",IFERROR(INDEX($AQ$11:$AQ$4010,MATCH(925,$AZ$11:$AZ$4010,0)),""))</f>
        <v/>
      </c>
      <c r="AI935" s="15" t="str">
        <f>IF(AE935="","",IFERROR(INDEX($AR$11:$AR$4010,MATCH(925,$AZ$11:$AZ$4010,0)),""))</f>
        <v/>
      </c>
      <c r="AJ935" s="15" t="str">
        <f>IF(AE935="","",IFERROR(INDEX($AT$11:$AT$4010,MATCH(925,$AZ$11:$AZ$4010,0)),""))</f>
        <v/>
      </c>
      <c r="AL935" s="17"/>
      <c r="AM935" s="12"/>
      <c r="AN935" s="18"/>
      <c r="AO935" s="18"/>
      <c r="AP935" s="10"/>
      <c r="AQ935" s="10"/>
      <c r="AR935" s="19"/>
      <c r="AS935" s="20"/>
      <c r="AT935" s="19"/>
      <c r="AV935" s="21">
        <f>IF(AND($AL935&lt;&gt;"",COUNTIF($AL$11:$AL935,$AL935)=1),1,0)</f>
        <v>0</v>
      </c>
      <c r="AW935" s="21">
        <f t="shared" si="115"/>
        <v>0</v>
      </c>
      <c r="AX935" s="21" t="str">
        <f t="shared" si="114"/>
        <v/>
      </c>
      <c r="AY935" s="21" t="str">
        <f>IF(AND($AM935&lt;&gt;"",$AS935&lt;&gt;"✓"),SUMPRODUCT(($AM$11:$AM935&lt;&gt;"")*($AS$11:$AS935&lt;&gt;"✓")),"")</f>
        <v/>
      </c>
      <c r="AZ935" s="21" t="str">
        <f>IF(AND($AM935&lt;&gt;"",$AS935="✓"),SUMPRODUCT(($AM$11:$AM935&lt;&gt;"")*($AS$11:$AS935="✓")),"")</f>
        <v/>
      </c>
      <c r="BA935" s="21" t="str">
        <f>IF($AL935="","",$AL935&amp;"|"&amp;COUNTIF($AL$11:$AL935,$AL935))</f>
        <v/>
      </c>
    </row>
    <row r="936" spans="23:53" ht="15" customHeight="1" x14ac:dyDescent="0.25">
      <c r="W936" s="28" t="str">
        <f>IF(X936="","",IFERROR(INDEX($AL$11:$AL$4010,MATCH(926,$AY$11:$AY$4010,0)),""))</f>
        <v/>
      </c>
      <c r="X936" s="26" t="str">
        <f>IFERROR(INDEX($AM$11:$AM$4010,MATCH(926,$AY$11:$AY$4010,0)),"")</f>
        <v/>
      </c>
      <c r="Y936" s="25" t="str">
        <f>IF(X936="","",IFERROR(INDEX($AN$11:$AN$4010,MATCH(926,$AY$11:$AY$4010,0)),""))</f>
        <v/>
      </c>
      <c r="Z936" s="25" t="str">
        <f>IF(X936="","",IFERROR(INDEX($AO$11:$AO$4010,MATCH(926,$AY$11:$AY$4010,0)),""))</f>
        <v/>
      </c>
      <c r="AA936" s="24" t="str">
        <f>IF(X936="","",IFERROR(INDEX($AQ$11:$AQ$4010,MATCH(926,$AY$11:$AY$4010,0)),""))</f>
        <v/>
      </c>
      <c r="AB936" s="29" t="str">
        <f>IF(X936="","",IFERROR(INDEX($AR$11:$AR$4010,MATCH(926,$AY$11:$AY$4010,0)),""))</f>
        <v/>
      </c>
      <c r="AD936" s="30" t="str">
        <f>IF(AE936="","",IFERROR(INDEX($AL$11:$AL$4010,MATCH(926,$AZ$11:$AZ$4010,0)),""))</f>
        <v/>
      </c>
      <c r="AE936" s="26" t="str">
        <f>IFERROR(INDEX($AM$11:$AM$4010,MATCH(926,$AZ$11:$AZ$4010,0)),"")</f>
        <v/>
      </c>
      <c r="AF936" s="25" t="str">
        <f>IF(AE936="","",IFERROR(INDEX($AN$11:$AN$4010,MATCH(926,$AZ$11:$AZ$4010,0)),""))</f>
        <v/>
      </c>
      <c r="AG936" s="25" t="str">
        <f>IF(AE936="","",IFERROR(INDEX($AO$11:$AO$4010,MATCH(926,$AZ$11:$AZ$4010,0)),""))</f>
        <v/>
      </c>
      <c r="AH936" s="24" t="str">
        <f>IF(AE936="","",IFERROR(INDEX($AQ$11:$AQ$4010,MATCH(926,$AZ$11:$AZ$4010,0)),""))</f>
        <v/>
      </c>
      <c r="AI936" s="29" t="str">
        <f>IF(AE936="","",IFERROR(INDEX($AR$11:$AR$4010,MATCH(926,$AZ$11:$AZ$4010,0)),""))</f>
        <v/>
      </c>
      <c r="AJ936" s="29" t="str">
        <f>IF(AE936="","",IFERROR(INDEX($AT$11:$AT$4010,MATCH(926,$AZ$11:$AZ$4010,0)),""))</f>
        <v/>
      </c>
      <c r="AL936" s="31"/>
      <c r="AM936" s="26"/>
      <c r="AN936" s="32"/>
      <c r="AO936" s="32"/>
      <c r="AP936" s="24"/>
      <c r="AQ936" s="24"/>
      <c r="AR936" s="33"/>
      <c r="AS936" s="34"/>
      <c r="AT936" s="33"/>
      <c r="AV936" s="21">
        <f>IF(AND($AL936&lt;&gt;"",COUNTIF($AL$11:$AL936,$AL936)=1),1,0)</f>
        <v>0</v>
      </c>
      <c r="AW936" s="21">
        <f t="shared" si="115"/>
        <v>0</v>
      </c>
      <c r="AX936" s="21" t="str">
        <f t="shared" si="114"/>
        <v/>
      </c>
      <c r="AY936" s="21" t="str">
        <f>IF(AND($AM936&lt;&gt;"",$AS936&lt;&gt;"✓"),SUMPRODUCT(($AM$11:$AM936&lt;&gt;"")*($AS$11:$AS936&lt;&gt;"✓")),"")</f>
        <v/>
      </c>
      <c r="AZ936" s="21" t="str">
        <f>IF(AND($AM936&lt;&gt;"",$AS936="✓"),SUMPRODUCT(($AM$11:$AM936&lt;&gt;"")*($AS$11:$AS936="✓")),"")</f>
        <v/>
      </c>
      <c r="BA936" s="21" t="str">
        <f>IF($AL936="","",$AL936&amp;"|"&amp;COUNTIF($AL$11:$AL936,$AL936))</f>
        <v/>
      </c>
    </row>
    <row r="937" spans="23:53" ht="15" customHeight="1" x14ac:dyDescent="0.25">
      <c r="W937" s="14" t="str">
        <f>IF(X937="","",IFERROR(INDEX($AL$11:$AL$4010,MATCH(927,$AY$11:$AY$4010,0)),""))</f>
        <v/>
      </c>
      <c r="X937" s="12" t="str">
        <f>IFERROR(INDEX($AM$11:$AM$4010,MATCH(927,$AY$11:$AY$4010,0)),"")</f>
        <v/>
      </c>
      <c r="Y937" s="11" t="str">
        <f>IF(X937="","",IFERROR(INDEX($AN$11:$AN$4010,MATCH(927,$AY$11:$AY$4010,0)),""))</f>
        <v/>
      </c>
      <c r="Z937" s="11" t="str">
        <f>IF(X937="","",IFERROR(INDEX($AO$11:$AO$4010,MATCH(927,$AY$11:$AY$4010,0)),""))</f>
        <v/>
      </c>
      <c r="AA937" s="10" t="str">
        <f>IF(X937="","",IFERROR(INDEX($AQ$11:$AQ$4010,MATCH(927,$AY$11:$AY$4010,0)),""))</f>
        <v/>
      </c>
      <c r="AB937" s="15" t="str">
        <f>IF(X937="","",IFERROR(INDEX($AR$11:$AR$4010,MATCH(927,$AY$11:$AY$4010,0)),""))</f>
        <v/>
      </c>
      <c r="AD937" s="16" t="str">
        <f>IF(AE937="","",IFERROR(INDEX($AL$11:$AL$4010,MATCH(927,$AZ$11:$AZ$4010,0)),""))</f>
        <v/>
      </c>
      <c r="AE937" s="12" t="str">
        <f>IFERROR(INDEX($AM$11:$AM$4010,MATCH(927,$AZ$11:$AZ$4010,0)),"")</f>
        <v/>
      </c>
      <c r="AF937" s="11" t="str">
        <f>IF(AE937="","",IFERROR(INDEX($AN$11:$AN$4010,MATCH(927,$AZ$11:$AZ$4010,0)),""))</f>
        <v/>
      </c>
      <c r="AG937" s="11" t="str">
        <f>IF(AE937="","",IFERROR(INDEX($AO$11:$AO$4010,MATCH(927,$AZ$11:$AZ$4010,0)),""))</f>
        <v/>
      </c>
      <c r="AH937" s="10" t="str">
        <f>IF(AE937="","",IFERROR(INDEX($AQ$11:$AQ$4010,MATCH(927,$AZ$11:$AZ$4010,0)),""))</f>
        <v/>
      </c>
      <c r="AI937" s="15" t="str">
        <f>IF(AE937="","",IFERROR(INDEX($AR$11:$AR$4010,MATCH(927,$AZ$11:$AZ$4010,0)),""))</f>
        <v/>
      </c>
      <c r="AJ937" s="15" t="str">
        <f>IF(AE937="","",IFERROR(INDEX($AT$11:$AT$4010,MATCH(927,$AZ$11:$AZ$4010,0)),""))</f>
        <v/>
      </c>
      <c r="AL937" s="17"/>
      <c r="AM937" s="12"/>
      <c r="AN937" s="18"/>
      <c r="AO937" s="18"/>
      <c r="AP937" s="10"/>
      <c r="AQ937" s="10"/>
      <c r="AR937" s="19"/>
      <c r="AS937" s="20"/>
      <c r="AT937" s="19"/>
      <c r="AV937" s="21">
        <f>IF(AND($AL937&lt;&gt;"",COUNTIF($AL$11:$AL937,$AL937)=1),1,0)</f>
        <v>0</v>
      </c>
      <c r="AW937" s="21">
        <f t="shared" si="115"/>
        <v>0</v>
      </c>
      <c r="AX937" s="21" t="str">
        <f t="shared" si="114"/>
        <v/>
      </c>
      <c r="AY937" s="21" t="str">
        <f>IF(AND($AM937&lt;&gt;"",$AS937&lt;&gt;"✓"),SUMPRODUCT(($AM$11:$AM937&lt;&gt;"")*($AS$11:$AS937&lt;&gt;"✓")),"")</f>
        <v/>
      </c>
      <c r="AZ937" s="21" t="str">
        <f>IF(AND($AM937&lt;&gt;"",$AS937="✓"),SUMPRODUCT(($AM$11:$AM937&lt;&gt;"")*($AS$11:$AS937="✓")),"")</f>
        <v/>
      </c>
      <c r="BA937" s="21" t="str">
        <f>IF($AL937="","",$AL937&amp;"|"&amp;COUNTIF($AL$11:$AL937,$AL937))</f>
        <v/>
      </c>
    </row>
    <row r="938" spans="23:53" ht="15" customHeight="1" x14ac:dyDescent="0.25">
      <c r="W938" s="28" t="str">
        <f>IF(X938="","",IFERROR(INDEX($AL$11:$AL$4010,MATCH(928,$AY$11:$AY$4010,0)),""))</f>
        <v/>
      </c>
      <c r="X938" s="26" t="str">
        <f>IFERROR(INDEX($AM$11:$AM$4010,MATCH(928,$AY$11:$AY$4010,0)),"")</f>
        <v/>
      </c>
      <c r="Y938" s="25" t="str">
        <f>IF(X938="","",IFERROR(INDEX($AN$11:$AN$4010,MATCH(928,$AY$11:$AY$4010,0)),""))</f>
        <v/>
      </c>
      <c r="Z938" s="25" t="str">
        <f>IF(X938="","",IFERROR(INDEX($AO$11:$AO$4010,MATCH(928,$AY$11:$AY$4010,0)),""))</f>
        <v/>
      </c>
      <c r="AA938" s="24" t="str">
        <f>IF(X938="","",IFERROR(INDEX($AQ$11:$AQ$4010,MATCH(928,$AY$11:$AY$4010,0)),""))</f>
        <v/>
      </c>
      <c r="AB938" s="29" t="str">
        <f>IF(X938="","",IFERROR(INDEX($AR$11:$AR$4010,MATCH(928,$AY$11:$AY$4010,0)),""))</f>
        <v/>
      </c>
      <c r="AD938" s="30" t="str">
        <f>IF(AE938="","",IFERROR(INDEX($AL$11:$AL$4010,MATCH(928,$AZ$11:$AZ$4010,0)),""))</f>
        <v/>
      </c>
      <c r="AE938" s="26" t="str">
        <f>IFERROR(INDEX($AM$11:$AM$4010,MATCH(928,$AZ$11:$AZ$4010,0)),"")</f>
        <v/>
      </c>
      <c r="AF938" s="25" t="str">
        <f>IF(AE938="","",IFERROR(INDEX($AN$11:$AN$4010,MATCH(928,$AZ$11:$AZ$4010,0)),""))</f>
        <v/>
      </c>
      <c r="AG938" s="25" t="str">
        <f>IF(AE938="","",IFERROR(INDEX($AO$11:$AO$4010,MATCH(928,$AZ$11:$AZ$4010,0)),""))</f>
        <v/>
      </c>
      <c r="AH938" s="24" t="str">
        <f>IF(AE938="","",IFERROR(INDEX($AQ$11:$AQ$4010,MATCH(928,$AZ$11:$AZ$4010,0)),""))</f>
        <v/>
      </c>
      <c r="AI938" s="29" t="str">
        <f>IF(AE938="","",IFERROR(INDEX($AR$11:$AR$4010,MATCH(928,$AZ$11:$AZ$4010,0)),""))</f>
        <v/>
      </c>
      <c r="AJ938" s="29" t="str">
        <f>IF(AE938="","",IFERROR(INDEX($AT$11:$AT$4010,MATCH(928,$AZ$11:$AZ$4010,0)),""))</f>
        <v/>
      </c>
      <c r="AL938" s="31"/>
      <c r="AM938" s="26"/>
      <c r="AN938" s="32"/>
      <c r="AO938" s="32"/>
      <c r="AP938" s="24"/>
      <c r="AQ938" s="24"/>
      <c r="AR938" s="33"/>
      <c r="AS938" s="34"/>
      <c r="AT938" s="33"/>
      <c r="AV938" s="21">
        <f>IF(AND($AL938&lt;&gt;"",COUNTIF($AL$11:$AL938,$AL938)=1),1,0)</f>
        <v>0</v>
      </c>
      <c r="AW938" s="21">
        <f t="shared" si="115"/>
        <v>0</v>
      </c>
      <c r="AX938" s="21" t="str">
        <f t="shared" si="114"/>
        <v/>
      </c>
      <c r="AY938" s="21" t="str">
        <f>IF(AND($AM938&lt;&gt;"",$AS938&lt;&gt;"✓"),SUMPRODUCT(($AM$11:$AM938&lt;&gt;"")*($AS$11:$AS938&lt;&gt;"✓")),"")</f>
        <v/>
      </c>
      <c r="AZ938" s="21" t="str">
        <f>IF(AND($AM938&lt;&gt;"",$AS938="✓"),SUMPRODUCT(($AM$11:$AM938&lt;&gt;"")*($AS$11:$AS938="✓")),"")</f>
        <v/>
      </c>
      <c r="BA938" s="21" t="str">
        <f>IF($AL938="","",$AL938&amp;"|"&amp;COUNTIF($AL$11:$AL938,$AL938))</f>
        <v/>
      </c>
    </row>
    <row r="939" spans="23:53" ht="15" customHeight="1" x14ac:dyDescent="0.25">
      <c r="W939" s="14" t="str">
        <f>IF(X939="","",IFERROR(INDEX($AL$11:$AL$4010,MATCH(929,$AY$11:$AY$4010,0)),""))</f>
        <v/>
      </c>
      <c r="X939" s="12" t="str">
        <f>IFERROR(INDEX($AM$11:$AM$4010,MATCH(929,$AY$11:$AY$4010,0)),"")</f>
        <v/>
      </c>
      <c r="Y939" s="11" t="str">
        <f>IF(X939="","",IFERROR(INDEX($AN$11:$AN$4010,MATCH(929,$AY$11:$AY$4010,0)),""))</f>
        <v/>
      </c>
      <c r="Z939" s="11" t="str">
        <f>IF(X939="","",IFERROR(INDEX($AO$11:$AO$4010,MATCH(929,$AY$11:$AY$4010,0)),""))</f>
        <v/>
      </c>
      <c r="AA939" s="10" t="str">
        <f>IF(X939="","",IFERROR(INDEX($AQ$11:$AQ$4010,MATCH(929,$AY$11:$AY$4010,0)),""))</f>
        <v/>
      </c>
      <c r="AB939" s="15" t="str">
        <f>IF(X939="","",IFERROR(INDEX($AR$11:$AR$4010,MATCH(929,$AY$11:$AY$4010,0)),""))</f>
        <v/>
      </c>
      <c r="AD939" s="16" t="str">
        <f>IF(AE939="","",IFERROR(INDEX($AL$11:$AL$4010,MATCH(929,$AZ$11:$AZ$4010,0)),""))</f>
        <v/>
      </c>
      <c r="AE939" s="12" t="str">
        <f>IFERROR(INDEX($AM$11:$AM$4010,MATCH(929,$AZ$11:$AZ$4010,0)),"")</f>
        <v/>
      </c>
      <c r="AF939" s="11" t="str">
        <f>IF(AE939="","",IFERROR(INDEX($AN$11:$AN$4010,MATCH(929,$AZ$11:$AZ$4010,0)),""))</f>
        <v/>
      </c>
      <c r="AG939" s="11" t="str">
        <f>IF(AE939="","",IFERROR(INDEX($AO$11:$AO$4010,MATCH(929,$AZ$11:$AZ$4010,0)),""))</f>
        <v/>
      </c>
      <c r="AH939" s="10" t="str">
        <f>IF(AE939="","",IFERROR(INDEX($AQ$11:$AQ$4010,MATCH(929,$AZ$11:$AZ$4010,0)),""))</f>
        <v/>
      </c>
      <c r="AI939" s="15" t="str">
        <f>IF(AE939="","",IFERROR(INDEX($AR$11:$AR$4010,MATCH(929,$AZ$11:$AZ$4010,0)),""))</f>
        <v/>
      </c>
      <c r="AJ939" s="15" t="str">
        <f>IF(AE939="","",IFERROR(INDEX($AT$11:$AT$4010,MATCH(929,$AZ$11:$AZ$4010,0)),""))</f>
        <v/>
      </c>
      <c r="AL939" s="17"/>
      <c r="AM939" s="12"/>
      <c r="AN939" s="18"/>
      <c r="AO939" s="18"/>
      <c r="AP939" s="10"/>
      <c r="AQ939" s="10"/>
      <c r="AR939" s="19"/>
      <c r="AS939" s="20"/>
      <c r="AT939" s="19"/>
      <c r="AV939" s="21">
        <f>IF(AND($AL939&lt;&gt;"",COUNTIF($AL$11:$AL939,$AL939)=1),1,0)</f>
        <v>0</v>
      </c>
      <c r="AW939" s="21">
        <f t="shared" si="115"/>
        <v>0</v>
      </c>
      <c r="AX939" s="21" t="str">
        <f t="shared" si="114"/>
        <v/>
      </c>
      <c r="AY939" s="21" t="str">
        <f>IF(AND($AM939&lt;&gt;"",$AS939&lt;&gt;"✓"),SUMPRODUCT(($AM$11:$AM939&lt;&gt;"")*($AS$11:$AS939&lt;&gt;"✓")),"")</f>
        <v/>
      </c>
      <c r="AZ939" s="21" t="str">
        <f>IF(AND($AM939&lt;&gt;"",$AS939="✓"),SUMPRODUCT(($AM$11:$AM939&lt;&gt;"")*($AS$11:$AS939="✓")),"")</f>
        <v/>
      </c>
      <c r="BA939" s="21" t="str">
        <f>IF($AL939="","",$AL939&amp;"|"&amp;COUNTIF($AL$11:$AL939,$AL939))</f>
        <v/>
      </c>
    </row>
    <row r="940" spans="23:53" ht="15" customHeight="1" x14ac:dyDescent="0.25">
      <c r="W940" s="28" t="str">
        <f>IF(X940="","",IFERROR(INDEX($AL$11:$AL$4010,MATCH(930,$AY$11:$AY$4010,0)),""))</f>
        <v/>
      </c>
      <c r="X940" s="26" t="str">
        <f>IFERROR(INDEX($AM$11:$AM$4010,MATCH(930,$AY$11:$AY$4010,0)),"")</f>
        <v/>
      </c>
      <c r="Y940" s="25" t="str">
        <f>IF(X940="","",IFERROR(INDEX($AN$11:$AN$4010,MATCH(930,$AY$11:$AY$4010,0)),""))</f>
        <v/>
      </c>
      <c r="Z940" s="25" t="str">
        <f>IF(X940="","",IFERROR(INDEX($AO$11:$AO$4010,MATCH(930,$AY$11:$AY$4010,0)),""))</f>
        <v/>
      </c>
      <c r="AA940" s="24" t="str">
        <f>IF(X940="","",IFERROR(INDEX($AQ$11:$AQ$4010,MATCH(930,$AY$11:$AY$4010,0)),""))</f>
        <v/>
      </c>
      <c r="AB940" s="29" t="str">
        <f>IF(X940="","",IFERROR(INDEX($AR$11:$AR$4010,MATCH(930,$AY$11:$AY$4010,0)),""))</f>
        <v/>
      </c>
      <c r="AD940" s="30" t="str">
        <f>IF(AE940="","",IFERROR(INDEX($AL$11:$AL$4010,MATCH(930,$AZ$11:$AZ$4010,0)),""))</f>
        <v/>
      </c>
      <c r="AE940" s="26" t="str">
        <f>IFERROR(INDEX($AM$11:$AM$4010,MATCH(930,$AZ$11:$AZ$4010,0)),"")</f>
        <v/>
      </c>
      <c r="AF940" s="25" t="str">
        <f>IF(AE940="","",IFERROR(INDEX($AN$11:$AN$4010,MATCH(930,$AZ$11:$AZ$4010,0)),""))</f>
        <v/>
      </c>
      <c r="AG940" s="25" t="str">
        <f>IF(AE940="","",IFERROR(INDEX($AO$11:$AO$4010,MATCH(930,$AZ$11:$AZ$4010,0)),""))</f>
        <v/>
      </c>
      <c r="AH940" s="24" t="str">
        <f>IF(AE940="","",IFERROR(INDEX($AQ$11:$AQ$4010,MATCH(930,$AZ$11:$AZ$4010,0)),""))</f>
        <v/>
      </c>
      <c r="AI940" s="29" t="str">
        <f>IF(AE940="","",IFERROR(INDEX($AR$11:$AR$4010,MATCH(930,$AZ$11:$AZ$4010,0)),""))</f>
        <v/>
      </c>
      <c r="AJ940" s="29" t="str">
        <f>IF(AE940="","",IFERROR(INDEX($AT$11:$AT$4010,MATCH(930,$AZ$11:$AZ$4010,0)),""))</f>
        <v/>
      </c>
      <c r="AL940" s="31"/>
      <c r="AM940" s="26"/>
      <c r="AN940" s="32"/>
      <c r="AO940" s="32"/>
      <c r="AP940" s="24"/>
      <c r="AQ940" s="24"/>
      <c r="AR940" s="33"/>
      <c r="AS940" s="34"/>
      <c r="AT940" s="33"/>
      <c r="AV940" s="21">
        <f>IF(AND($AL940&lt;&gt;"",COUNTIF($AL$11:$AL940,$AL940)=1),1,0)</f>
        <v>0</v>
      </c>
      <c r="AW940" s="21">
        <f t="shared" si="115"/>
        <v>0</v>
      </c>
      <c r="AX940" s="21" t="str">
        <f t="shared" si="114"/>
        <v/>
      </c>
      <c r="AY940" s="21" t="str">
        <f>IF(AND($AM940&lt;&gt;"",$AS940&lt;&gt;"✓"),SUMPRODUCT(($AM$11:$AM940&lt;&gt;"")*($AS$11:$AS940&lt;&gt;"✓")),"")</f>
        <v/>
      </c>
      <c r="AZ940" s="21" t="str">
        <f>IF(AND($AM940&lt;&gt;"",$AS940="✓"),SUMPRODUCT(($AM$11:$AM940&lt;&gt;"")*($AS$11:$AS940="✓")),"")</f>
        <v/>
      </c>
      <c r="BA940" s="21" t="str">
        <f>IF($AL940="","",$AL940&amp;"|"&amp;COUNTIF($AL$11:$AL940,$AL940))</f>
        <v/>
      </c>
    </row>
    <row r="941" spans="23:53" ht="15" customHeight="1" x14ac:dyDescent="0.25">
      <c r="W941" s="14" t="str">
        <f>IF(X941="","",IFERROR(INDEX($AL$11:$AL$4010,MATCH(931,$AY$11:$AY$4010,0)),""))</f>
        <v/>
      </c>
      <c r="X941" s="12" t="str">
        <f>IFERROR(INDEX($AM$11:$AM$4010,MATCH(931,$AY$11:$AY$4010,0)),"")</f>
        <v/>
      </c>
      <c r="Y941" s="11" t="str">
        <f>IF(X941="","",IFERROR(INDEX($AN$11:$AN$4010,MATCH(931,$AY$11:$AY$4010,0)),""))</f>
        <v/>
      </c>
      <c r="Z941" s="11" t="str">
        <f>IF(X941="","",IFERROR(INDEX($AO$11:$AO$4010,MATCH(931,$AY$11:$AY$4010,0)),""))</f>
        <v/>
      </c>
      <c r="AA941" s="10" t="str">
        <f>IF(X941="","",IFERROR(INDEX($AQ$11:$AQ$4010,MATCH(931,$AY$11:$AY$4010,0)),""))</f>
        <v/>
      </c>
      <c r="AB941" s="15" t="str">
        <f>IF(X941="","",IFERROR(INDEX($AR$11:$AR$4010,MATCH(931,$AY$11:$AY$4010,0)),""))</f>
        <v/>
      </c>
      <c r="AD941" s="16" t="str">
        <f>IF(AE941="","",IFERROR(INDEX($AL$11:$AL$4010,MATCH(931,$AZ$11:$AZ$4010,0)),""))</f>
        <v/>
      </c>
      <c r="AE941" s="12" t="str">
        <f>IFERROR(INDEX($AM$11:$AM$4010,MATCH(931,$AZ$11:$AZ$4010,0)),"")</f>
        <v/>
      </c>
      <c r="AF941" s="11" t="str">
        <f>IF(AE941="","",IFERROR(INDEX($AN$11:$AN$4010,MATCH(931,$AZ$11:$AZ$4010,0)),""))</f>
        <v/>
      </c>
      <c r="AG941" s="11" t="str">
        <f>IF(AE941="","",IFERROR(INDEX($AO$11:$AO$4010,MATCH(931,$AZ$11:$AZ$4010,0)),""))</f>
        <v/>
      </c>
      <c r="AH941" s="10" t="str">
        <f>IF(AE941="","",IFERROR(INDEX($AQ$11:$AQ$4010,MATCH(931,$AZ$11:$AZ$4010,0)),""))</f>
        <v/>
      </c>
      <c r="AI941" s="15" t="str">
        <f>IF(AE941="","",IFERROR(INDEX($AR$11:$AR$4010,MATCH(931,$AZ$11:$AZ$4010,0)),""))</f>
        <v/>
      </c>
      <c r="AJ941" s="15" t="str">
        <f>IF(AE941="","",IFERROR(INDEX($AT$11:$AT$4010,MATCH(931,$AZ$11:$AZ$4010,0)),""))</f>
        <v/>
      </c>
      <c r="AL941" s="17"/>
      <c r="AM941" s="12"/>
      <c r="AN941" s="18"/>
      <c r="AO941" s="18"/>
      <c r="AP941" s="10"/>
      <c r="AQ941" s="10"/>
      <c r="AR941" s="19"/>
      <c r="AS941" s="20"/>
      <c r="AT941" s="19"/>
      <c r="AV941" s="21">
        <f>IF(AND($AL941&lt;&gt;"",COUNTIF($AL$11:$AL941,$AL941)=1),1,0)</f>
        <v>0</v>
      </c>
      <c r="AW941" s="21">
        <f t="shared" si="115"/>
        <v>0</v>
      </c>
      <c r="AX941" s="21" t="str">
        <f t="shared" si="114"/>
        <v/>
      </c>
      <c r="AY941" s="21" t="str">
        <f>IF(AND($AM941&lt;&gt;"",$AS941&lt;&gt;"✓"),SUMPRODUCT(($AM$11:$AM941&lt;&gt;"")*($AS$11:$AS941&lt;&gt;"✓")),"")</f>
        <v/>
      </c>
      <c r="AZ941" s="21" t="str">
        <f>IF(AND($AM941&lt;&gt;"",$AS941="✓"),SUMPRODUCT(($AM$11:$AM941&lt;&gt;"")*($AS$11:$AS941="✓")),"")</f>
        <v/>
      </c>
      <c r="BA941" s="21" t="str">
        <f>IF($AL941="","",$AL941&amp;"|"&amp;COUNTIF($AL$11:$AL941,$AL941))</f>
        <v/>
      </c>
    </row>
    <row r="942" spans="23:53" ht="15" customHeight="1" x14ac:dyDescent="0.25">
      <c r="W942" s="28" t="str">
        <f>IF(X942="","",IFERROR(INDEX($AL$11:$AL$4010,MATCH(932,$AY$11:$AY$4010,0)),""))</f>
        <v/>
      </c>
      <c r="X942" s="26" t="str">
        <f>IFERROR(INDEX($AM$11:$AM$4010,MATCH(932,$AY$11:$AY$4010,0)),"")</f>
        <v/>
      </c>
      <c r="Y942" s="25" t="str">
        <f>IF(X942="","",IFERROR(INDEX($AN$11:$AN$4010,MATCH(932,$AY$11:$AY$4010,0)),""))</f>
        <v/>
      </c>
      <c r="Z942" s="25" t="str">
        <f>IF(X942="","",IFERROR(INDEX($AO$11:$AO$4010,MATCH(932,$AY$11:$AY$4010,0)),""))</f>
        <v/>
      </c>
      <c r="AA942" s="24" t="str">
        <f>IF(X942="","",IFERROR(INDEX($AQ$11:$AQ$4010,MATCH(932,$AY$11:$AY$4010,0)),""))</f>
        <v/>
      </c>
      <c r="AB942" s="29" t="str">
        <f>IF(X942="","",IFERROR(INDEX($AR$11:$AR$4010,MATCH(932,$AY$11:$AY$4010,0)),""))</f>
        <v/>
      </c>
      <c r="AD942" s="30" t="str">
        <f>IF(AE942="","",IFERROR(INDEX($AL$11:$AL$4010,MATCH(932,$AZ$11:$AZ$4010,0)),""))</f>
        <v/>
      </c>
      <c r="AE942" s="26" t="str">
        <f>IFERROR(INDEX($AM$11:$AM$4010,MATCH(932,$AZ$11:$AZ$4010,0)),"")</f>
        <v/>
      </c>
      <c r="AF942" s="25" t="str">
        <f>IF(AE942="","",IFERROR(INDEX($AN$11:$AN$4010,MATCH(932,$AZ$11:$AZ$4010,0)),""))</f>
        <v/>
      </c>
      <c r="AG942" s="25" t="str">
        <f>IF(AE942="","",IFERROR(INDEX($AO$11:$AO$4010,MATCH(932,$AZ$11:$AZ$4010,0)),""))</f>
        <v/>
      </c>
      <c r="AH942" s="24" t="str">
        <f>IF(AE942="","",IFERROR(INDEX($AQ$11:$AQ$4010,MATCH(932,$AZ$11:$AZ$4010,0)),""))</f>
        <v/>
      </c>
      <c r="AI942" s="29" t="str">
        <f>IF(AE942="","",IFERROR(INDEX($AR$11:$AR$4010,MATCH(932,$AZ$11:$AZ$4010,0)),""))</f>
        <v/>
      </c>
      <c r="AJ942" s="29" t="str">
        <f>IF(AE942="","",IFERROR(INDEX($AT$11:$AT$4010,MATCH(932,$AZ$11:$AZ$4010,0)),""))</f>
        <v/>
      </c>
      <c r="AL942" s="31"/>
      <c r="AM942" s="26"/>
      <c r="AN942" s="32"/>
      <c r="AO942" s="32"/>
      <c r="AP942" s="24"/>
      <c r="AQ942" s="24"/>
      <c r="AR942" s="33"/>
      <c r="AS942" s="34"/>
      <c r="AT942" s="33"/>
      <c r="AV942" s="21">
        <f>IF(AND($AL942&lt;&gt;"",COUNTIF($AL$11:$AL942,$AL942)=1),1,0)</f>
        <v>0</v>
      </c>
      <c r="AW942" s="21">
        <f t="shared" si="115"/>
        <v>0</v>
      </c>
      <c r="AX942" s="21" t="str">
        <f t="shared" si="114"/>
        <v/>
      </c>
      <c r="AY942" s="21" t="str">
        <f>IF(AND($AM942&lt;&gt;"",$AS942&lt;&gt;"✓"),SUMPRODUCT(($AM$11:$AM942&lt;&gt;"")*($AS$11:$AS942&lt;&gt;"✓")),"")</f>
        <v/>
      </c>
      <c r="AZ942" s="21" t="str">
        <f>IF(AND($AM942&lt;&gt;"",$AS942="✓"),SUMPRODUCT(($AM$11:$AM942&lt;&gt;"")*($AS$11:$AS942="✓")),"")</f>
        <v/>
      </c>
      <c r="BA942" s="21" t="str">
        <f>IF($AL942="","",$AL942&amp;"|"&amp;COUNTIF($AL$11:$AL942,$AL942))</f>
        <v/>
      </c>
    </row>
    <row r="943" spans="23:53" ht="15" customHeight="1" x14ac:dyDescent="0.25">
      <c r="W943" s="14" t="str">
        <f>IF(X943="","",IFERROR(INDEX($AL$11:$AL$4010,MATCH(933,$AY$11:$AY$4010,0)),""))</f>
        <v/>
      </c>
      <c r="X943" s="12" t="str">
        <f>IFERROR(INDEX($AM$11:$AM$4010,MATCH(933,$AY$11:$AY$4010,0)),"")</f>
        <v/>
      </c>
      <c r="Y943" s="11" t="str">
        <f>IF(X943="","",IFERROR(INDEX($AN$11:$AN$4010,MATCH(933,$AY$11:$AY$4010,0)),""))</f>
        <v/>
      </c>
      <c r="Z943" s="11" t="str">
        <f>IF(X943="","",IFERROR(INDEX($AO$11:$AO$4010,MATCH(933,$AY$11:$AY$4010,0)),""))</f>
        <v/>
      </c>
      <c r="AA943" s="10" t="str">
        <f>IF(X943="","",IFERROR(INDEX($AQ$11:$AQ$4010,MATCH(933,$AY$11:$AY$4010,0)),""))</f>
        <v/>
      </c>
      <c r="AB943" s="15" t="str">
        <f>IF(X943="","",IFERROR(INDEX($AR$11:$AR$4010,MATCH(933,$AY$11:$AY$4010,0)),""))</f>
        <v/>
      </c>
      <c r="AD943" s="16" t="str">
        <f>IF(AE943="","",IFERROR(INDEX($AL$11:$AL$4010,MATCH(933,$AZ$11:$AZ$4010,0)),""))</f>
        <v/>
      </c>
      <c r="AE943" s="12" t="str">
        <f>IFERROR(INDEX($AM$11:$AM$4010,MATCH(933,$AZ$11:$AZ$4010,0)),"")</f>
        <v/>
      </c>
      <c r="AF943" s="11" t="str">
        <f>IF(AE943="","",IFERROR(INDEX($AN$11:$AN$4010,MATCH(933,$AZ$11:$AZ$4010,0)),""))</f>
        <v/>
      </c>
      <c r="AG943" s="11" t="str">
        <f>IF(AE943="","",IFERROR(INDEX($AO$11:$AO$4010,MATCH(933,$AZ$11:$AZ$4010,0)),""))</f>
        <v/>
      </c>
      <c r="AH943" s="10" t="str">
        <f>IF(AE943="","",IFERROR(INDEX($AQ$11:$AQ$4010,MATCH(933,$AZ$11:$AZ$4010,0)),""))</f>
        <v/>
      </c>
      <c r="AI943" s="15" t="str">
        <f>IF(AE943="","",IFERROR(INDEX($AR$11:$AR$4010,MATCH(933,$AZ$11:$AZ$4010,0)),""))</f>
        <v/>
      </c>
      <c r="AJ943" s="15" t="str">
        <f>IF(AE943="","",IFERROR(INDEX($AT$11:$AT$4010,MATCH(933,$AZ$11:$AZ$4010,0)),""))</f>
        <v/>
      </c>
      <c r="AL943" s="17"/>
      <c r="AM943" s="12"/>
      <c r="AN943" s="18"/>
      <c r="AO943" s="18"/>
      <c r="AP943" s="10"/>
      <c r="AQ943" s="10"/>
      <c r="AR943" s="19"/>
      <c r="AS943" s="20"/>
      <c r="AT943" s="19"/>
      <c r="AV943" s="21">
        <f>IF(AND($AL943&lt;&gt;"",COUNTIF($AL$11:$AL943,$AL943)=1),1,0)</f>
        <v>0</v>
      </c>
      <c r="AW943" s="21">
        <f t="shared" si="115"/>
        <v>0</v>
      </c>
      <c r="AX943" s="21" t="str">
        <f t="shared" si="114"/>
        <v/>
      </c>
      <c r="AY943" s="21" t="str">
        <f>IF(AND($AM943&lt;&gt;"",$AS943&lt;&gt;"✓"),SUMPRODUCT(($AM$11:$AM943&lt;&gt;"")*($AS$11:$AS943&lt;&gt;"✓")),"")</f>
        <v/>
      </c>
      <c r="AZ943" s="21" t="str">
        <f>IF(AND($AM943&lt;&gt;"",$AS943="✓"),SUMPRODUCT(($AM$11:$AM943&lt;&gt;"")*($AS$11:$AS943="✓")),"")</f>
        <v/>
      </c>
      <c r="BA943" s="21" t="str">
        <f>IF($AL943="","",$AL943&amp;"|"&amp;COUNTIF($AL$11:$AL943,$AL943))</f>
        <v/>
      </c>
    </row>
    <row r="944" spans="23:53" ht="15" customHeight="1" x14ac:dyDescent="0.25">
      <c r="W944" s="28" t="str">
        <f>IF(X944="","",IFERROR(INDEX($AL$11:$AL$4010,MATCH(934,$AY$11:$AY$4010,0)),""))</f>
        <v/>
      </c>
      <c r="X944" s="26" t="str">
        <f>IFERROR(INDEX($AM$11:$AM$4010,MATCH(934,$AY$11:$AY$4010,0)),"")</f>
        <v/>
      </c>
      <c r="Y944" s="25" t="str">
        <f>IF(X944="","",IFERROR(INDEX($AN$11:$AN$4010,MATCH(934,$AY$11:$AY$4010,0)),""))</f>
        <v/>
      </c>
      <c r="Z944" s="25" t="str">
        <f>IF(X944="","",IFERROR(INDEX($AO$11:$AO$4010,MATCH(934,$AY$11:$AY$4010,0)),""))</f>
        <v/>
      </c>
      <c r="AA944" s="24" t="str">
        <f>IF(X944="","",IFERROR(INDEX($AQ$11:$AQ$4010,MATCH(934,$AY$11:$AY$4010,0)),""))</f>
        <v/>
      </c>
      <c r="AB944" s="29" t="str">
        <f>IF(X944="","",IFERROR(INDEX($AR$11:$AR$4010,MATCH(934,$AY$11:$AY$4010,0)),""))</f>
        <v/>
      </c>
      <c r="AD944" s="30" t="str">
        <f>IF(AE944="","",IFERROR(INDEX($AL$11:$AL$4010,MATCH(934,$AZ$11:$AZ$4010,0)),""))</f>
        <v/>
      </c>
      <c r="AE944" s="26" t="str">
        <f>IFERROR(INDEX($AM$11:$AM$4010,MATCH(934,$AZ$11:$AZ$4010,0)),"")</f>
        <v/>
      </c>
      <c r="AF944" s="25" t="str">
        <f>IF(AE944="","",IFERROR(INDEX($AN$11:$AN$4010,MATCH(934,$AZ$11:$AZ$4010,0)),""))</f>
        <v/>
      </c>
      <c r="AG944" s="25" t="str">
        <f>IF(AE944="","",IFERROR(INDEX($AO$11:$AO$4010,MATCH(934,$AZ$11:$AZ$4010,0)),""))</f>
        <v/>
      </c>
      <c r="AH944" s="24" t="str">
        <f>IF(AE944="","",IFERROR(INDEX($AQ$11:$AQ$4010,MATCH(934,$AZ$11:$AZ$4010,0)),""))</f>
        <v/>
      </c>
      <c r="AI944" s="29" t="str">
        <f>IF(AE944="","",IFERROR(INDEX($AR$11:$AR$4010,MATCH(934,$AZ$11:$AZ$4010,0)),""))</f>
        <v/>
      </c>
      <c r="AJ944" s="29" t="str">
        <f>IF(AE944="","",IFERROR(INDEX($AT$11:$AT$4010,MATCH(934,$AZ$11:$AZ$4010,0)),""))</f>
        <v/>
      </c>
      <c r="AL944" s="31"/>
      <c r="AM944" s="26"/>
      <c r="AN944" s="32"/>
      <c r="AO944" s="32"/>
      <c r="AP944" s="24"/>
      <c r="AQ944" s="24"/>
      <c r="AR944" s="33"/>
      <c r="AS944" s="34"/>
      <c r="AT944" s="33"/>
      <c r="AV944" s="21">
        <f>IF(AND($AL944&lt;&gt;"",COUNTIF($AL$11:$AL944,$AL944)=1),1,0)</f>
        <v>0</v>
      </c>
      <c r="AW944" s="21">
        <f t="shared" si="115"/>
        <v>0</v>
      </c>
      <c r="AX944" s="21" t="str">
        <f t="shared" si="114"/>
        <v/>
      </c>
      <c r="AY944" s="21" t="str">
        <f>IF(AND($AM944&lt;&gt;"",$AS944&lt;&gt;"✓"),SUMPRODUCT(($AM$11:$AM944&lt;&gt;"")*($AS$11:$AS944&lt;&gt;"✓")),"")</f>
        <v/>
      </c>
      <c r="AZ944" s="21" t="str">
        <f>IF(AND($AM944&lt;&gt;"",$AS944="✓"),SUMPRODUCT(($AM$11:$AM944&lt;&gt;"")*($AS$11:$AS944="✓")),"")</f>
        <v/>
      </c>
      <c r="BA944" s="21" t="str">
        <f>IF($AL944="","",$AL944&amp;"|"&amp;COUNTIF($AL$11:$AL944,$AL944))</f>
        <v/>
      </c>
    </row>
    <row r="945" spans="23:53" ht="15" customHeight="1" x14ac:dyDescent="0.25">
      <c r="W945" s="14" t="str">
        <f>IF(X945="","",IFERROR(INDEX($AL$11:$AL$4010,MATCH(935,$AY$11:$AY$4010,0)),""))</f>
        <v/>
      </c>
      <c r="X945" s="12" t="str">
        <f>IFERROR(INDEX($AM$11:$AM$4010,MATCH(935,$AY$11:$AY$4010,0)),"")</f>
        <v/>
      </c>
      <c r="Y945" s="11" t="str">
        <f>IF(X945="","",IFERROR(INDEX($AN$11:$AN$4010,MATCH(935,$AY$11:$AY$4010,0)),""))</f>
        <v/>
      </c>
      <c r="Z945" s="11" t="str">
        <f>IF(X945="","",IFERROR(INDEX($AO$11:$AO$4010,MATCH(935,$AY$11:$AY$4010,0)),""))</f>
        <v/>
      </c>
      <c r="AA945" s="10" t="str">
        <f>IF(X945="","",IFERROR(INDEX($AQ$11:$AQ$4010,MATCH(935,$AY$11:$AY$4010,0)),""))</f>
        <v/>
      </c>
      <c r="AB945" s="15" t="str">
        <f>IF(X945="","",IFERROR(INDEX($AR$11:$AR$4010,MATCH(935,$AY$11:$AY$4010,0)),""))</f>
        <v/>
      </c>
      <c r="AD945" s="16" t="str">
        <f>IF(AE945="","",IFERROR(INDEX($AL$11:$AL$4010,MATCH(935,$AZ$11:$AZ$4010,0)),""))</f>
        <v/>
      </c>
      <c r="AE945" s="12" t="str">
        <f>IFERROR(INDEX($AM$11:$AM$4010,MATCH(935,$AZ$11:$AZ$4010,0)),"")</f>
        <v/>
      </c>
      <c r="AF945" s="11" t="str">
        <f>IF(AE945="","",IFERROR(INDEX($AN$11:$AN$4010,MATCH(935,$AZ$11:$AZ$4010,0)),""))</f>
        <v/>
      </c>
      <c r="AG945" s="11" t="str">
        <f>IF(AE945="","",IFERROR(INDEX($AO$11:$AO$4010,MATCH(935,$AZ$11:$AZ$4010,0)),""))</f>
        <v/>
      </c>
      <c r="AH945" s="10" t="str">
        <f>IF(AE945="","",IFERROR(INDEX($AQ$11:$AQ$4010,MATCH(935,$AZ$11:$AZ$4010,0)),""))</f>
        <v/>
      </c>
      <c r="AI945" s="15" t="str">
        <f>IF(AE945="","",IFERROR(INDEX($AR$11:$AR$4010,MATCH(935,$AZ$11:$AZ$4010,0)),""))</f>
        <v/>
      </c>
      <c r="AJ945" s="15" t="str">
        <f>IF(AE945="","",IFERROR(INDEX($AT$11:$AT$4010,MATCH(935,$AZ$11:$AZ$4010,0)),""))</f>
        <v/>
      </c>
      <c r="AL945" s="17"/>
      <c r="AM945" s="12"/>
      <c r="AN945" s="18"/>
      <c r="AO945" s="18"/>
      <c r="AP945" s="10"/>
      <c r="AQ945" s="10"/>
      <c r="AR945" s="19"/>
      <c r="AS945" s="20"/>
      <c r="AT945" s="19"/>
      <c r="AV945" s="21">
        <f>IF(AND($AL945&lt;&gt;"",COUNTIF($AL$11:$AL945,$AL945)=1),1,0)</f>
        <v>0</v>
      </c>
      <c r="AW945" s="21">
        <f t="shared" si="115"/>
        <v>0</v>
      </c>
      <c r="AX945" s="21" t="str">
        <f t="shared" si="114"/>
        <v/>
      </c>
      <c r="AY945" s="21" t="str">
        <f>IF(AND($AM945&lt;&gt;"",$AS945&lt;&gt;"✓"),SUMPRODUCT(($AM$11:$AM945&lt;&gt;"")*($AS$11:$AS945&lt;&gt;"✓")),"")</f>
        <v/>
      </c>
      <c r="AZ945" s="21" t="str">
        <f>IF(AND($AM945&lt;&gt;"",$AS945="✓"),SUMPRODUCT(($AM$11:$AM945&lt;&gt;"")*($AS$11:$AS945="✓")),"")</f>
        <v/>
      </c>
      <c r="BA945" s="21" t="str">
        <f>IF($AL945="","",$AL945&amp;"|"&amp;COUNTIF($AL$11:$AL945,$AL945))</f>
        <v/>
      </c>
    </row>
    <row r="946" spans="23:53" ht="15" customHeight="1" x14ac:dyDescent="0.25">
      <c r="W946" s="28" t="str">
        <f>IF(X946="","",IFERROR(INDEX($AL$11:$AL$4010,MATCH(936,$AY$11:$AY$4010,0)),""))</f>
        <v/>
      </c>
      <c r="X946" s="26" t="str">
        <f>IFERROR(INDEX($AM$11:$AM$4010,MATCH(936,$AY$11:$AY$4010,0)),"")</f>
        <v/>
      </c>
      <c r="Y946" s="25" t="str">
        <f>IF(X946="","",IFERROR(INDEX($AN$11:$AN$4010,MATCH(936,$AY$11:$AY$4010,0)),""))</f>
        <v/>
      </c>
      <c r="Z946" s="25" t="str">
        <f>IF(X946="","",IFERROR(INDEX($AO$11:$AO$4010,MATCH(936,$AY$11:$AY$4010,0)),""))</f>
        <v/>
      </c>
      <c r="AA946" s="24" t="str">
        <f>IF(X946="","",IFERROR(INDEX($AQ$11:$AQ$4010,MATCH(936,$AY$11:$AY$4010,0)),""))</f>
        <v/>
      </c>
      <c r="AB946" s="29" t="str">
        <f>IF(X946="","",IFERROR(INDEX($AR$11:$AR$4010,MATCH(936,$AY$11:$AY$4010,0)),""))</f>
        <v/>
      </c>
      <c r="AD946" s="30" t="str">
        <f>IF(AE946="","",IFERROR(INDEX($AL$11:$AL$4010,MATCH(936,$AZ$11:$AZ$4010,0)),""))</f>
        <v/>
      </c>
      <c r="AE946" s="26" t="str">
        <f>IFERROR(INDEX($AM$11:$AM$4010,MATCH(936,$AZ$11:$AZ$4010,0)),"")</f>
        <v/>
      </c>
      <c r="AF946" s="25" t="str">
        <f>IF(AE946="","",IFERROR(INDEX($AN$11:$AN$4010,MATCH(936,$AZ$11:$AZ$4010,0)),""))</f>
        <v/>
      </c>
      <c r="AG946" s="25" t="str">
        <f>IF(AE946="","",IFERROR(INDEX($AO$11:$AO$4010,MATCH(936,$AZ$11:$AZ$4010,0)),""))</f>
        <v/>
      </c>
      <c r="AH946" s="24" t="str">
        <f>IF(AE946="","",IFERROR(INDEX($AQ$11:$AQ$4010,MATCH(936,$AZ$11:$AZ$4010,0)),""))</f>
        <v/>
      </c>
      <c r="AI946" s="29" t="str">
        <f>IF(AE946="","",IFERROR(INDEX($AR$11:$AR$4010,MATCH(936,$AZ$11:$AZ$4010,0)),""))</f>
        <v/>
      </c>
      <c r="AJ946" s="29" t="str">
        <f>IF(AE946="","",IFERROR(INDEX($AT$11:$AT$4010,MATCH(936,$AZ$11:$AZ$4010,0)),""))</f>
        <v/>
      </c>
      <c r="AL946" s="31"/>
      <c r="AM946" s="26"/>
      <c r="AN946" s="32"/>
      <c r="AO946" s="32"/>
      <c r="AP946" s="24"/>
      <c r="AQ946" s="24"/>
      <c r="AR946" s="33"/>
      <c r="AS946" s="34"/>
      <c r="AT946" s="33"/>
      <c r="AV946" s="21">
        <f>IF(AND($AL946&lt;&gt;"",COUNTIF($AL$11:$AL946,$AL946)=1),1,0)</f>
        <v>0</v>
      </c>
      <c r="AW946" s="21">
        <f t="shared" si="115"/>
        <v>0</v>
      </c>
      <c r="AX946" s="21" t="str">
        <f t="shared" si="114"/>
        <v/>
      </c>
      <c r="AY946" s="21" t="str">
        <f>IF(AND($AM946&lt;&gt;"",$AS946&lt;&gt;"✓"),SUMPRODUCT(($AM$11:$AM946&lt;&gt;"")*($AS$11:$AS946&lt;&gt;"✓")),"")</f>
        <v/>
      </c>
      <c r="AZ946" s="21" t="str">
        <f>IF(AND($AM946&lt;&gt;"",$AS946="✓"),SUMPRODUCT(($AM$11:$AM946&lt;&gt;"")*($AS$11:$AS946="✓")),"")</f>
        <v/>
      </c>
      <c r="BA946" s="21" t="str">
        <f>IF($AL946="","",$AL946&amp;"|"&amp;COUNTIF($AL$11:$AL946,$AL946))</f>
        <v/>
      </c>
    </row>
    <row r="947" spans="23:53" ht="15" customHeight="1" x14ac:dyDescent="0.25">
      <c r="W947" s="14" t="str">
        <f>IF(X947="","",IFERROR(INDEX($AL$11:$AL$4010,MATCH(937,$AY$11:$AY$4010,0)),""))</f>
        <v/>
      </c>
      <c r="X947" s="12" t="str">
        <f>IFERROR(INDEX($AM$11:$AM$4010,MATCH(937,$AY$11:$AY$4010,0)),"")</f>
        <v/>
      </c>
      <c r="Y947" s="11" t="str">
        <f>IF(X947="","",IFERROR(INDEX($AN$11:$AN$4010,MATCH(937,$AY$11:$AY$4010,0)),""))</f>
        <v/>
      </c>
      <c r="Z947" s="11" t="str">
        <f>IF(X947="","",IFERROR(INDEX($AO$11:$AO$4010,MATCH(937,$AY$11:$AY$4010,0)),""))</f>
        <v/>
      </c>
      <c r="AA947" s="10" t="str">
        <f>IF(X947="","",IFERROR(INDEX($AQ$11:$AQ$4010,MATCH(937,$AY$11:$AY$4010,0)),""))</f>
        <v/>
      </c>
      <c r="AB947" s="15" t="str">
        <f>IF(X947="","",IFERROR(INDEX($AR$11:$AR$4010,MATCH(937,$AY$11:$AY$4010,0)),""))</f>
        <v/>
      </c>
      <c r="AD947" s="16" t="str">
        <f>IF(AE947="","",IFERROR(INDEX($AL$11:$AL$4010,MATCH(937,$AZ$11:$AZ$4010,0)),""))</f>
        <v/>
      </c>
      <c r="AE947" s="12" t="str">
        <f>IFERROR(INDEX($AM$11:$AM$4010,MATCH(937,$AZ$11:$AZ$4010,0)),"")</f>
        <v/>
      </c>
      <c r="AF947" s="11" t="str">
        <f>IF(AE947="","",IFERROR(INDEX($AN$11:$AN$4010,MATCH(937,$AZ$11:$AZ$4010,0)),""))</f>
        <v/>
      </c>
      <c r="AG947" s="11" t="str">
        <f>IF(AE947="","",IFERROR(INDEX($AO$11:$AO$4010,MATCH(937,$AZ$11:$AZ$4010,0)),""))</f>
        <v/>
      </c>
      <c r="AH947" s="10" t="str">
        <f>IF(AE947="","",IFERROR(INDEX($AQ$11:$AQ$4010,MATCH(937,$AZ$11:$AZ$4010,0)),""))</f>
        <v/>
      </c>
      <c r="AI947" s="15" t="str">
        <f>IF(AE947="","",IFERROR(INDEX($AR$11:$AR$4010,MATCH(937,$AZ$11:$AZ$4010,0)),""))</f>
        <v/>
      </c>
      <c r="AJ947" s="15" t="str">
        <f>IF(AE947="","",IFERROR(INDEX($AT$11:$AT$4010,MATCH(937,$AZ$11:$AZ$4010,0)),""))</f>
        <v/>
      </c>
      <c r="AL947" s="17"/>
      <c r="AM947" s="12"/>
      <c r="AN947" s="18"/>
      <c r="AO947" s="18"/>
      <c r="AP947" s="10"/>
      <c r="AQ947" s="10"/>
      <c r="AR947" s="19"/>
      <c r="AS947" s="20"/>
      <c r="AT947" s="19"/>
      <c r="AV947" s="21">
        <f>IF(AND($AL947&lt;&gt;"",COUNTIF($AL$11:$AL947,$AL947)=1),1,0)</f>
        <v>0</v>
      </c>
      <c r="AW947" s="21">
        <f t="shared" si="115"/>
        <v>0</v>
      </c>
      <c r="AX947" s="21" t="str">
        <f t="shared" si="114"/>
        <v/>
      </c>
      <c r="AY947" s="21" t="str">
        <f>IF(AND($AM947&lt;&gt;"",$AS947&lt;&gt;"✓"),SUMPRODUCT(($AM$11:$AM947&lt;&gt;"")*($AS$11:$AS947&lt;&gt;"✓")),"")</f>
        <v/>
      </c>
      <c r="AZ947" s="21" t="str">
        <f>IF(AND($AM947&lt;&gt;"",$AS947="✓"),SUMPRODUCT(($AM$11:$AM947&lt;&gt;"")*($AS$11:$AS947="✓")),"")</f>
        <v/>
      </c>
      <c r="BA947" s="21" t="str">
        <f>IF($AL947="","",$AL947&amp;"|"&amp;COUNTIF($AL$11:$AL947,$AL947))</f>
        <v/>
      </c>
    </row>
    <row r="948" spans="23:53" ht="15" customHeight="1" x14ac:dyDescent="0.25">
      <c r="W948" s="28" t="str">
        <f>IF(X948="","",IFERROR(INDEX($AL$11:$AL$4010,MATCH(938,$AY$11:$AY$4010,0)),""))</f>
        <v/>
      </c>
      <c r="X948" s="26" t="str">
        <f>IFERROR(INDEX($AM$11:$AM$4010,MATCH(938,$AY$11:$AY$4010,0)),"")</f>
        <v/>
      </c>
      <c r="Y948" s="25" t="str">
        <f>IF(X948="","",IFERROR(INDEX($AN$11:$AN$4010,MATCH(938,$AY$11:$AY$4010,0)),""))</f>
        <v/>
      </c>
      <c r="Z948" s="25" t="str">
        <f>IF(X948="","",IFERROR(INDEX($AO$11:$AO$4010,MATCH(938,$AY$11:$AY$4010,0)),""))</f>
        <v/>
      </c>
      <c r="AA948" s="24" t="str">
        <f>IF(X948="","",IFERROR(INDEX($AQ$11:$AQ$4010,MATCH(938,$AY$11:$AY$4010,0)),""))</f>
        <v/>
      </c>
      <c r="AB948" s="29" t="str">
        <f>IF(X948="","",IFERROR(INDEX($AR$11:$AR$4010,MATCH(938,$AY$11:$AY$4010,0)),""))</f>
        <v/>
      </c>
      <c r="AD948" s="30" t="str">
        <f>IF(AE948="","",IFERROR(INDEX($AL$11:$AL$4010,MATCH(938,$AZ$11:$AZ$4010,0)),""))</f>
        <v/>
      </c>
      <c r="AE948" s="26" t="str">
        <f>IFERROR(INDEX($AM$11:$AM$4010,MATCH(938,$AZ$11:$AZ$4010,0)),"")</f>
        <v/>
      </c>
      <c r="AF948" s="25" t="str">
        <f>IF(AE948="","",IFERROR(INDEX($AN$11:$AN$4010,MATCH(938,$AZ$11:$AZ$4010,0)),""))</f>
        <v/>
      </c>
      <c r="AG948" s="25" t="str">
        <f>IF(AE948="","",IFERROR(INDEX($AO$11:$AO$4010,MATCH(938,$AZ$11:$AZ$4010,0)),""))</f>
        <v/>
      </c>
      <c r="AH948" s="24" t="str">
        <f>IF(AE948="","",IFERROR(INDEX($AQ$11:$AQ$4010,MATCH(938,$AZ$11:$AZ$4010,0)),""))</f>
        <v/>
      </c>
      <c r="AI948" s="29" t="str">
        <f>IF(AE948="","",IFERROR(INDEX($AR$11:$AR$4010,MATCH(938,$AZ$11:$AZ$4010,0)),""))</f>
        <v/>
      </c>
      <c r="AJ948" s="29" t="str">
        <f>IF(AE948="","",IFERROR(INDEX($AT$11:$AT$4010,MATCH(938,$AZ$11:$AZ$4010,0)),""))</f>
        <v/>
      </c>
      <c r="AL948" s="31"/>
      <c r="AM948" s="26"/>
      <c r="AN948" s="32"/>
      <c r="AO948" s="32"/>
      <c r="AP948" s="24"/>
      <c r="AQ948" s="24"/>
      <c r="AR948" s="33"/>
      <c r="AS948" s="34"/>
      <c r="AT948" s="33"/>
      <c r="AV948" s="21">
        <f>IF(AND($AL948&lt;&gt;"",COUNTIF($AL$11:$AL948,$AL948)=1),1,0)</f>
        <v>0</v>
      </c>
      <c r="AW948" s="21">
        <f t="shared" si="115"/>
        <v>0</v>
      </c>
      <c r="AX948" s="21" t="str">
        <f t="shared" si="114"/>
        <v/>
      </c>
      <c r="AY948" s="21" t="str">
        <f>IF(AND($AM948&lt;&gt;"",$AS948&lt;&gt;"✓"),SUMPRODUCT(($AM$11:$AM948&lt;&gt;"")*($AS$11:$AS948&lt;&gt;"✓")),"")</f>
        <v/>
      </c>
      <c r="AZ948" s="21" t="str">
        <f>IF(AND($AM948&lt;&gt;"",$AS948="✓"),SUMPRODUCT(($AM$11:$AM948&lt;&gt;"")*($AS$11:$AS948="✓")),"")</f>
        <v/>
      </c>
      <c r="BA948" s="21" t="str">
        <f>IF($AL948="","",$AL948&amp;"|"&amp;COUNTIF($AL$11:$AL948,$AL948))</f>
        <v/>
      </c>
    </row>
    <row r="949" spans="23:53" ht="15" customHeight="1" x14ac:dyDescent="0.25">
      <c r="W949" s="14" t="str">
        <f>IF(X949="","",IFERROR(INDEX($AL$11:$AL$4010,MATCH(939,$AY$11:$AY$4010,0)),""))</f>
        <v/>
      </c>
      <c r="X949" s="12" t="str">
        <f>IFERROR(INDEX($AM$11:$AM$4010,MATCH(939,$AY$11:$AY$4010,0)),"")</f>
        <v/>
      </c>
      <c r="Y949" s="11" t="str">
        <f>IF(X949="","",IFERROR(INDEX($AN$11:$AN$4010,MATCH(939,$AY$11:$AY$4010,0)),""))</f>
        <v/>
      </c>
      <c r="Z949" s="11" t="str">
        <f>IF(X949="","",IFERROR(INDEX($AO$11:$AO$4010,MATCH(939,$AY$11:$AY$4010,0)),""))</f>
        <v/>
      </c>
      <c r="AA949" s="10" t="str">
        <f>IF(X949="","",IFERROR(INDEX($AQ$11:$AQ$4010,MATCH(939,$AY$11:$AY$4010,0)),""))</f>
        <v/>
      </c>
      <c r="AB949" s="15" t="str">
        <f>IF(X949="","",IFERROR(INDEX($AR$11:$AR$4010,MATCH(939,$AY$11:$AY$4010,0)),""))</f>
        <v/>
      </c>
      <c r="AD949" s="16" t="str">
        <f>IF(AE949="","",IFERROR(INDEX($AL$11:$AL$4010,MATCH(939,$AZ$11:$AZ$4010,0)),""))</f>
        <v/>
      </c>
      <c r="AE949" s="12" t="str">
        <f>IFERROR(INDEX($AM$11:$AM$4010,MATCH(939,$AZ$11:$AZ$4010,0)),"")</f>
        <v/>
      </c>
      <c r="AF949" s="11" t="str">
        <f>IF(AE949="","",IFERROR(INDEX($AN$11:$AN$4010,MATCH(939,$AZ$11:$AZ$4010,0)),""))</f>
        <v/>
      </c>
      <c r="AG949" s="11" t="str">
        <f>IF(AE949="","",IFERROR(INDEX($AO$11:$AO$4010,MATCH(939,$AZ$11:$AZ$4010,0)),""))</f>
        <v/>
      </c>
      <c r="AH949" s="10" t="str">
        <f>IF(AE949="","",IFERROR(INDEX($AQ$11:$AQ$4010,MATCH(939,$AZ$11:$AZ$4010,0)),""))</f>
        <v/>
      </c>
      <c r="AI949" s="15" t="str">
        <f>IF(AE949="","",IFERROR(INDEX($AR$11:$AR$4010,MATCH(939,$AZ$11:$AZ$4010,0)),""))</f>
        <v/>
      </c>
      <c r="AJ949" s="15" t="str">
        <f>IF(AE949="","",IFERROR(INDEX($AT$11:$AT$4010,MATCH(939,$AZ$11:$AZ$4010,0)),""))</f>
        <v/>
      </c>
      <c r="AL949" s="17"/>
      <c r="AM949" s="12"/>
      <c r="AN949" s="18"/>
      <c r="AO949" s="18"/>
      <c r="AP949" s="10"/>
      <c r="AQ949" s="10"/>
      <c r="AR949" s="19"/>
      <c r="AS949" s="20"/>
      <c r="AT949" s="19"/>
      <c r="AV949" s="21">
        <f>IF(AND($AL949&lt;&gt;"",COUNTIF($AL$11:$AL949,$AL949)=1),1,0)</f>
        <v>0</v>
      </c>
      <c r="AW949" s="21">
        <f t="shared" si="115"/>
        <v>0</v>
      </c>
      <c r="AX949" s="21" t="str">
        <f t="shared" si="114"/>
        <v/>
      </c>
      <c r="AY949" s="21" t="str">
        <f>IF(AND($AM949&lt;&gt;"",$AS949&lt;&gt;"✓"),SUMPRODUCT(($AM$11:$AM949&lt;&gt;"")*($AS$11:$AS949&lt;&gt;"✓")),"")</f>
        <v/>
      </c>
      <c r="AZ949" s="21" t="str">
        <f>IF(AND($AM949&lt;&gt;"",$AS949="✓"),SUMPRODUCT(($AM$11:$AM949&lt;&gt;"")*($AS$11:$AS949="✓")),"")</f>
        <v/>
      </c>
      <c r="BA949" s="21" t="str">
        <f>IF($AL949="","",$AL949&amp;"|"&amp;COUNTIF($AL$11:$AL949,$AL949))</f>
        <v/>
      </c>
    </row>
    <row r="950" spans="23:53" ht="15" customHeight="1" x14ac:dyDescent="0.25">
      <c r="W950" s="28" t="str">
        <f>IF(X950="","",IFERROR(INDEX($AL$11:$AL$4010,MATCH(940,$AY$11:$AY$4010,0)),""))</f>
        <v/>
      </c>
      <c r="X950" s="26" t="str">
        <f>IFERROR(INDEX($AM$11:$AM$4010,MATCH(940,$AY$11:$AY$4010,0)),"")</f>
        <v/>
      </c>
      <c r="Y950" s="25" t="str">
        <f>IF(X950="","",IFERROR(INDEX($AN$11:$AN$4010,MATCH(940,$AY$11:$AY$4010,0)),""))</f>
        <v/>
      </c>
      <c r="Z950" s="25" t="str">
        <f>IF(X950="","",IFERROR(INDEX($AO$11:$AO$4010,MATCH(940,$AY$11:$AY$4010,0)),""))</f>
        <v/>
      </c>
      <c r="AA950" s="24" t="str">
        <f>IF(X950="","",IFERROR(INDEX($AQ$11:$AQ$4010,MATCH(940,$AY$11:$AY$4010,0)),""))</f>
        <v/>
      </c>
      <c r="AB950" s="29" t="str">
        <f>IF(X950="","",IFERROR(INDEX($AR$11:$AR$4010,MATCH(940,$AY$11:$AY$4010,0)),""))</f>
        <v/>
      </c>
      <c r="AD950" s="30" t="str">
        <f>IF(AE950="","",IFERROR(INDEX($AL$11:$AL$4010,MATCH(940,$AZ$11:$AZ$4010,0)),""))</f>
        <v/>
      </c>
      <c r="AE950" s="26" t="str">
        <f>IFERROR(INDEX($AM$11:$AM$4010,MATCH(940,$AZ$11:$AZ$4010,0)),"")</f>
        <v/>
      </c>
      <c r="AF950" s="25" t="str">
        <f>IF(AE950="","",IFERROR(INDEX($AN$11:$AN$4010,MATCH(940,$AZ$11:$AZ$4010,0)),""))</f>
        <v/>
      </c>
      <c r="AG950" s="25" t="str">
        <f>IF(AE950="","",IFERROR(INDEX($AO$11:$AO$4010,MATCH(940,$AZ$11:$AZ$4010,0)),""))</f>
        <v/>
      </c>
      <c r="AH950" s="24" t="str">
        <f>IF(AE950="","",IFERROR(INDEX($AQ$11:$AQ$4010,MATCH(940,$AZ$11:$AZ$4010,0)),""))</f>
        <v/>
      </c>
      <c r="AI950" s="29" t="str">
        <f>IF(AE950="","",IFERROR(INDEX($AR$11:$AR$4010,MATCH(940,$AZ$11:$AZ$4010,0)),""))</f>
        <v/>
      </c>
      <c r="AJ950" s="29" t="str">
        <f>IF(AE950="","",IFERROR(INDEX($AT$11:$AT$4010,MATCH(940,$AZ$11:$AZ$4010,0)),""))</f>
        <v/>
      </c>
      <c r="AL950" s="31"/>
      <c r="AM950" s="26"/>
      <c r="AN950" s="32"/>
      <c r="AO950" s="32"/>
      <c r="AP950" s="24"/>
      <c r="AQ950" s="24"/>
      <c r="AR950" s="33"/>
      <c r="AS950" s="34"/>
      <c r="AT950" s="33"/>
      <c r="AV950" s="21">
        <f>IF(AND($AL950&lt;&gt;"",COUNTIF($AL$11:$AL950,$AL950)=1),1,0)</f>
        <v>0</v>
      </c>
      <c r="AW950" s="21">
        <f t="shared" si="115"/>
        <v>0</v>
      </c>
      <c r="AX950" s="21" t="str">
        <f t="shared" si="114"/>
        <v/>
      </c>
      <c r="AY950" s="21" t="str">
        <f>IF(AND($AM950&lt;&gt;"",$AS950&lt;&gt;"✓"),SUMPRODUCT(($AM$11:$AM950&lt;&gt;"")*($AS$11:$AS950&lt;&gt;"✓")),"")</f>
        <v/>
      </c>
      <c r="AZ950" s="21" t="str">
        <f>IF(AND($AM950&lt;&gt;"",$AS950="✓"),SUMPRODUCT(($AM$11:$AM950&lt;&gt;"")*($AS$11:$AS950="✓")),"")</f>
        <v/>
      </c>
      <c r="BA950" s="21" t="str">
        <f>IF($AL950="","",$AL950&amp;"|"&amp;COUNTIF($AL$11:$AL950,$AL950))</f>
        <v/>
      </c>
    </row>
    <row r="951" spans="23:53" ht="15" customHeight="1" x14ac:dyDescent="0.25">
      <c r="W951" s="14" t="str">
        <f>IF(X951="","",IFERROR(INDEX($AL$11:$AL$4010,MATCH(941,$AY$11:$AY$4010,0)),""))</f>
        <v/>
      </c>
      <c r="X951" s="12" t="str">
        <f>IFERROR(INDEX($AM$11:$AM$4010,MATCH(941,$AY$11:$AY$4010,0)),"")</f>
        <v/>
      </c>
      <c r="Y951" s="11" t="str">
        <f>IF(X951="","",IFERROR(INDEX($AN$11:$AN$4010,MATCH(941,$AY$11:$AY$4010,0)),""))</f>
        <v/>
      </c>
      <c r="Z951" s="11" t="str">
        <f>IF(X951="","",IFERROR(INDEX($AO$11:$AO$4010,MATCH(941,$AY$11:$AY$4010,0)),""))</f>
        <v/>
      </c>
      <c r="AA951" s="10" t="str">
        <f>IF(X951="","",IFERROR(INDEX($AQ$11:$AQ$4010,MATCH(941,$AY$11:$AY$4010,0)),""))</f>
        <v/>
      </c>
      <c r="AB951" s="15" t="str">
        <f>IF(X951="","",IFERROR(INDEX($AR$11:$AR$4010,MATCH(941,$AY$11:$AY$4010,0)),""))</f>
        <v/>
      </c>
      <c r="AD951" s="16" t="str">
        <f>IF(AE951="","",IFERROR(INDEX($AL$11:$AL$4010,MATCH(941,$AZ$11:$AZ$4010,0)),""))</f>
        <v/>
      </c>
      <c r="AE951" s="12" t="str">
        <f>IFERROR(INDEX($AM$11:$AM$4010,MATCH(941,$AZ$11:$AZ$4010,0)),"")</f>
        <v/>
      </c>
      <c r="AF951" s="11" t="str">
        <f>IF(AE951="","",IFERROR(INDEX($AN$11:$AN$4010,MATCH(941,$AZ$11:$AZ$4010,0)),""))</f>
        <v/>
      </c>
      <c r="AG951" s="11" t="str">
        <f>IF(AE951="","",IFERROR(INDEX($AO$11:$AO$4010,MATCH(941,$AZ$11:$AZ$4010,0)),""))</f>
        <v/>
      </c>
      <c r="AH951" s="10" t="str">
        <f>IF(AE951="","",IFERROR(INDEX($AQ$11:$AQ$4010,MATCH(941,$AZ$11:$AZ$4010,0)),""))</f>
        <v/>
      </c>
      <c r="AI951" s="15" t="str">
        <f>IF(AE951="","",IFERROR(INDEX($AR$11:$AR$4010,MATCH(941,$AZ$11:$AZ$4010,0)),""))</f>
        <v/>
      </c>
      <c r="AJ951" s="15" t="str">
        <f>IF(AE951="","",IFERROR(INDEX($AT$11:$AT$4010,MATCH(941,$AZ$11:$AZ$4010,0)),""))</f>
        <v/>
      </c>
      <c r="AL951" s="17"/>
      <c r="AM951" s="12"/>
      <c r="AN951" s="18"/>
      <c r="AO951" s="18"/>
      <c r="AP951" s="10"/>
      <c r="AQ951" s="10"/>
      <c r="AR951" s="19"/>
      <c r="AS951" s="20"/>
      <c r="AT951" s="19"/>
      <c r="AV951" s="21">
        <f>IF(AND($AL951&lt;&gt;"",COUNTIF($AL$11:$AL951,$AL951)=1),1,0)</f>
        <v>0</v>
      </c>
      <c r="AW951" s="21">
        <f t="shared" si="115"/>
        <v>0</v>
      </c>
      <c r="AX951" s="21" t="str">
        <f t="shared" si="114"/>
        <v/>
      </c>
      <c r="AY951" s="21" t="str">
        <f>IF(AND($AM951&lt;&gt;"",$AS951&lt;&gt;"✓"),SUMPRODUCT(($AM$11:$AM951&lt;&gt;"")*($AS$11:$AS951&lt;&gt;"✓")),"")</f>
        <v/>
      </c>
      <c r="AZ951" s="21" t="str">
        <f>IF(AND($AM951&lt;&gt;"",$AS951="✓"),SUMPRODUCT(($AM$11:$AM951&lt;&gt;"")*($AS$11:$AS951="✓")),"")</f>
        <v/>
      </c>
      <c r="BA951" s="21" t="str">
        <f>IF($AL951="","",$AL951&amp;"|"&amp;COUNTIF($AL$11:$AL951,$AL951))</f>
        <v/>
      </c>
    </row>
    <row r="952" spans="23:53" ht="15" customHeight="1" x14ac:dyDescent="0.25">
      <c r="W952" s="28" t="str">
        <f>IF(X952="","",IFERROR(INDEX($AL$11:$AL$4010,MATCH(942,$AY$11:$AY$4010,0)),""))</f>
        <v/>
      </c>
      <c r="X952" s="26" t="str">
        <f>IFERROR(INDEX($AM$11:$AM$4010,MATCH(942,$AY$11:$AY$4010,0)),"")</f>
        <v/>
      </c>
      <c r="Y952" s="25" t="str">
        <f>IF(X952="","",IFERROR(INDEX($AN$11:$AN$4010,MATCH(942,$AY$11:$AY$4010,0)),""))</f>
        <v/>
      </c>
      <c r="Z952" s="25" t="str">
        <f>IF(X952="","",IFERROR(INDEX($AO$11:$AO$4010,MATCH(942,$AY$11:$AY$4010,0)),""))</f>
        <v/>
      </c>
      <c r="AA952" s="24" t="str">
        <f>IF(X952="","",IFERROR(INDEX($AQ$11:$AQ$4010,MATCH(942,$AY$11:$AY$4010,0)),""))</f>
        <v/>
      </c>
      <c r="AB952" s="29" t="str">
        <f>IF(X952="","",IFERROR(INDEX($AR$11:$AR$4010,MATCH(942,$AY$11:$AY$4010,0)),""))</f>
        <v/>
      </c>
      <c r="AD952" s="30" t="str">
        <f>IF(AE952="","",IFERROR(INDEX($AL$11:$AL$4010,MATCH(942,$AZ$11:$AZ$4010,0)),""))</f>
        <v/>
      </c>
      <c r="AE952" s="26" t="str">
        <f>IFERROR(INDEX($AM$11:$AM$4010,MATCH(942,$AZ$11:$AZ$4010,0)),"")</f>
        <v/>
      </c>
      <c r="AF952" s="25" t="str">
        <f>IF(AE952="","",IFERROR(INDEX($AN$11:$AN$4010,MATCH(942,$AZ$11:$AZ$4010,0)),""))</f>
        <v/>
      </c>
      <c r="AG952" s="25" t="str">
        <f>IF(AE952="","",IFERROR(INDEX($AO$11:$AO$4010,MATCH(942,$AZ$11:$AZ$4010,0)),""))</f>
        <v/>
      </c>
      <c r="AH952" s="24" t="str">
        <f>IF(AE952="","",IFERROR(INDEX($AQ$11:$AQ$4010,MATCH(942,$AZ$11:$AZ$4010,0)),""))</f>
        <v/>
      </c>
      <c r="AI952" s="29" t="str">
        <f>IF(AE952="","",IFERROR(INDEX($AR$11:$AR$4010,MATCH(942,$AZ$11:$AZ$4010,0)),""))</f>
        <v/>
      </c>
      <c r="AJ952" s="29" t="str">
        <f>IF(AE952="","",IFERROR(INDEX($AT$11:$AT$4010,MATCH(942,$AZ$11:$AZ$4010,0)),""))</f>
        <v/>
      </c>
      <c r="AL952" s="31"/>
      <c r="AM952" s="26"/>
      <c r="AN952" s="32"/>
      <c r="AO952" s="32"/>
      <c r="AP952" s="24"/>
      <c r="AQ952" s="24"/>
      <c r="AR952" s="33"/>
      <c r="AS952" s="34"/>
      <c r="AT952" s="33"/>
      <c r="AV952" s="21">
        <f>IF(AND($AL952&lt;&gt;"",COUNTIF($AL$11:$AL952,$AL952)=1),1,0)</f>
        <v>0</v>
      </c>
      <c r="AW952" s="21">
        <f t="shared" si="115"/>
        <v>0</v>
      </c>
      <c r="AX952" s="21" t="str">
        <f t="shared" si="114"/>
        <v/>
      </c>
      <c r="AY952" s="21" t="str">
        <f>IF(AND($AM952&lt;&gt;"",$AS952&lt;&gt;"✓"),SUMPRODUCT(($AM$11:$AM952&lt;&gt;"")*($AS$11:$AS952&lt;&gt;"✓")),"")</f>
        <v/>
      </c>
      <c r="AZ952" s="21" t="str">
        <f>IF(AND($AM952&lt;&gt;"",$AS952="✓"),SUMPRODUCT(($AM$11:$AM952&lt;&gt;"")*($AS$11:$AS952="✓")),"")</f>
        <v/>
      </c>
      <c r="BA952" s="21" t="str">
        <f>IF($AL952="","",$AL952&amp;"|"&amp;COUNTIF($AL$11:$AL952,$AL952))</f>
        <v/>
      </c>
    </row>
    <row r="953" spans="23:53" ht="15" customHeight="1" x14ac:dyDescent="0.25">
      <c r="W953" s="14" t="str">
        <f>IF(X953="","",IFERROR(INDEX($AL$11:$AL$4010,MATCH(943,$AY$11:$AY$4010,0)),""))</f>
        <v/>
      </c>
      <c r="X953" s="12" t="str">
        <f>IFERROR(INDEX($AM$11:$AM$4010,MATCH(943,$AY$11:$AY$4010,0)),"")</f>
        <v/>
      </c>
      <c r="Y953" s="11" t="str">
        <f>IF(X953="","",IFERROR(INDEX($AN$11:$AN$4010,MATCH(943,$AY$11:$AY$4010,0)),""))</f>
        <v/>
      </c>
      <c r="Z953" s="11" t="str">
        <f>IF(X953="","",IFERROR(INDEX($AO$11:$AO$4010,MATCH(943,$AY$11:$AY$4010,0)),""))</f>
        <v/>
      </c>
      <c r="AA953" s="10" t="str">
        <f>IF(X953="","",IFERROR(INDEX($AQ$11:$AQ$4010,MATCH(943,$AY$11:$AY$4010,0)),""))</f>
        <v/>
      </c>
      <c r="AB953" s="15" t="str">
        <f>IF(X953="","",IFERROR(INDEX($AR$11:$AR$4010,MATCH(943,$AY$11:$AY$4010,0)),""))</f>
        <v/>
      </c>
      <c r="AD953" s="16" t="str">
        <f>IF(AE953="","",IFERROR(INDEX($AL$11:$AL$4010,MATCH(943,$AZ$11:$AZ$4010,0)),""))</f>
        <v/>
      </c>
      <c r="AE953" s="12" t="str">
        <f>IFERROR(INDEX($AM$11:$AM$4010,MATCH(943,$AZ$11:$AZ$4010,0)),"")</f>
        <v/>
      </c>
      <c r="AF953" s="11" t="str">
        <f>IF(AE953="","",IFERROR(INDEX($AN$11:$AN$4010,MATCH(943,$AZ$11:$AZ$4010,0)),""))</f>
        <v/>
      </c>
      <c r="AG953" s="11" t="str">
        <f>IF(AE953="","",IFERROR(INDEX($AO$11:$AO$4010,MATCH(943,$AZ$11:$AZ$4010,0)),""))</f>
        <v/>
      </c>
      <c r="AH953" s="10" t="str">
        <f>IF(AE953="","",IFERROR(INDEX($AQ$11:$AQ$4010,MATCH(943,$AZ$11:$AZ$4010,0)),""))</f>
        <v/>
      </c>
      <c r="AI953" s="15" t="str">
        <f>IF(AE953="","",IFERROR(INDEX($AR$11:$AR$4010,MATCH(943,$AZ$11:$AZ$4010,0)),""))</f>
        <v/>
      </c>
      <c r="AJ953" s="15" t="str">
        <f>IF(AE953="","",IFERROR(INDEX($AT$11:$AT$4010,MATCH(943,$AZ$11:$AZ$4010,0)),""))</f>
        <v/>
      </c>
      <c r="AL953" s="17"/>
      <c r="AM953" s="12"/>
      <c r="AN953" s="18"/>
      <c r="AO953" s="18"/>
      <c r="AP953" s="10"/>
      <c r="AQ953" s="10"/>
      <c r="AR953" s="19"/>
      <c r="AS953" s="20"/>
      <c r="AT953" s="19"/>
      <c r="AV953" s="21">
        <f>IF(AND($AL953&lt;&gt;"",COUNTIF($AL$11:$AL953,$AL953)=1),1,0)</f>
        <v>0</v>
      </c>
      <c r="AW953" s="21">
        <f t="shared" si="115"/>
        <v>0</v>
      </c>
      <c r="AX953" s="21" t="str">
        <f t="shared" si="114"/>
        <v/>
      </c>
      <c r="AY953" s="21" t="str">
        <f>IF(AND($AM953&lt;&gt;"",$AS953&lt;&gt;"✓"),SUMPRODUCT(($AM$11:$AM953&lt;&gt;"")*($AS$11:$AS953&lt;&gt;"✓")),"")</f>
        <v/>
      </c>
      <c r="AZ953" s="21" t="str">
        <f>IF(AND($AM953&lt;&gt;"",$AS953="✓"),SUMPRODUCT(($AM$11:$AM953&lt;&gt;"")*($AS$11:$AS953="✓")),"")</f>
        <v/>
      </c>
      <c r="BA953" s="21" t="str">
        <f>IF($AL953="","",$AL953&amp;"|"&amp;COUNTIF($AL$11:$AL953,$AL953))</f>
        <v/>
      </c>
    </row>
    <row r="954" spans="23:53" ht="15" customHeight="1" x14ac:dyDescent="0.25">
      <c r="W954" s="28" t="str">
        <f>IF(X954="","",IFERROR(INDEX($AL$11:$AL$4010,MATCH(944,$AY$11:$AY$4010,0)),""))</f>
        <v/>
      </c>
      <c r="X954" s="26" t="str">
        <f>IFERROR(INDEX($AM$11:$AM$4010,MATCH(944,$AY$11:$AY$4010,0)),"")</f>
        <v/>
      </c>
      <c r="Y954" s="25" t="str">
        <f>IF(X954="","",IFERROR(INDEX($AN$11:$AN$4010,MATCH(944,$AY$11:$AY$4010,0)),""))</f>
        <v/>
      </c>
      <c r="Z954" s="25" t="str">
        <f>IF(X954="","",IFERROR(INDEX($AO$11:$AO$4010,MATCH(944,$AY$11:$AY$4010,0)),""))</f>
        <v/>
      </c>
      <c r="AA954" s="24" t="str">
        <f>IF(X954="","",IFERROR(INDEX($AQ$11:$AQ$4010,MATCH(944,$AY$11:$AY$4010,0)),""))</f>
        <v/>
      </c>
      <c r="AB954" s="29" t="str">
        <f>IF(X954="","",IFERROR(INDEX($AR$11:$AR$4010,MATCH(944,$AY$11:$AY$4010,0)),""))</f>
        <v/>
      </c>
      <c r="AD954" s="30" t="str">
        <f>IF(AE954="","",IFERROR(INDEX($AL$11:$AL$4010,MATCH(944,$AZ$11:$AZ$4010,0)),""))</f>
        <v/>
      </c>
      <c r="AE954" s="26" t="str">
        <f>IFERROR(INDEX($AM$11:$AM$4010,MATCH(944,$AZ$11:$AZ$4010,0)),"")</f>
        <v/>
      </c>
      <c r="AF954" s="25" t="str">
        <f>IF(AE954="","",IFERROR(INDEX($AN$11:$AN$4010,MATCH(944,$AZ$11:$AZ$4010,0)),""))</f>
        <v/>
      </c>
      <c r="AG954" s="25" t="str">
        <f>IF(AE954="","",IFERROR(INDEX($AO$11:$AO$4010,MATCH(944,$AZ$11:$AZ$4010,0)),""))</f>
        <v/>
      </c>
      <c r="AH954" s="24" t="str">
        <f>IF(AE954="","",IFERROR(INDEX($AQ$11:$AQ$4010,MATCH(944,$AZ$11:$AZ$4010,0)),""))</f>
        <v/>
      </c>
      <c r="AI954" s="29" t="str">
        <f>IF(AE954="","",IFERROR(INDEX($AR$11:$AR$4010,MATCH(944,$AZ$11:$AZ$4010,0)),""))</f>
        <v/>
      </c>
      <c r="AJ954" s="29" t="str">
        <f>IF(AE954="","",IFERROR(INDEX($AT$11:$AT$4010,MATCH(944,$AZ$11:$AZ$4010,0)),""))</f>
        <v/>
      </c>
      <c r="AL954" s="31"/>
      <c r="AM954" s="26"/>
      <c r="AN954" s="32"/>
      <c r="AO954" s="32"/>
      <c r="AP954" s="24"/>
      <c r="AQ954" s="24"/>
      <c r="AR954" s="33"/>
      <c r="AS954" s="34"/>
      <c r="AT954" s="33"/>
      <c r="AV954" s="21">
        <f>IF(AND($AL954&lt;&gt;"",COUNTIF($AL$11:$AL954,$AL954)=1),1,0)</f>
        <v>0</v>
      </c>
      <c r="AW954" s="21">
        <f t="shared" si="115"/>
        <v>0</v>
      </c>
      <c r="AX954" s="21" t="str">
        <f t="shared" si="114"/>
        <v/>
      </c>
      <c r="AY954" s="21" t="str">
        <f>IF(AND($AM954&lt;&gt;"",$AS954&lt;&gt;"✓"),SUMPRODUCT(($AM$11:$AM954&lt;&gt;"")*($AS$11:$AS954&lt;&gt;"✓")),"")</f>
        <v/>
      </c>
      <c r="AZ954" s="21" t="str">
        <f>IF(AND($AM954&lt;&gt;"",$AS954="✓"),SUMPRODUCT(($AM$11:$AM954&lt;&gt;"")*($AS$11:$AS954="✓")),"")</f>
        <v/>
      </c>
      <c r="BA954" s="21" t="str">
        <f>IF($AL954="","",$AL954&amp;"|"&amp;COUNTIF($AL$11:$AL954,$AL954))</f>
        <v/>
      </c>
    </row>
    <row r="955" spans="23:53" ht="15" customHeight="1" x14ac:dyDescent="0.25">
      <c r="W955" s="14" t="str">
        <f>IF(X955="","",IFERROR(INDEX($AL$11:$AL$4010,MATCH(945,$AY$11:$AY$4010,0)),""))</f>
        <v/>
      </c>
      <c r="X955" s="12" t="str">
        <f>IFERROR(INDEX($AM$11:$AM$4010,MATCH(945,$AY$11:$AY$4010,0)),"")</f>
        <v/>
      </c>
      <c r="Y955" s="11" t="str">
        <f>IF(X955="","",IFERROR(INDEX($AN$11:$AN$4010,MATCH(945,$AY$11:$AY$4010,0)),""))</f>
        <v/>
      </c>
      <c r="Z955" s="11" t="str">
        <f>IF(X955="","",IFERROR(INDEX($AO$11:$AO$4010,MATCH(945,$AY$11:$AY$4010,0)),""))</f>
        <v/>
      </c>
      <c r="AA955" s="10" t="str">
        <f>IF(X955="","",IFERROR(INDEX($AQ$11:$AQ$4010,MATCH(945,$AY$11:$AY$4010,0)),""))</f>
        <v/>
      </c>
      <c r="AB955" s="15" t="str">
        <f>IF(X955="","",IFERROR(INDEX($AR$11:$AR$4010,MATCH(945,$AY$11:$AY$4010,0)),""))</f>
        <v/>
      </c>
      <c r="AD955" s="16" t="str">
        <f>IF(AE955="","",IFERROR(INDEX($AL$11:$AL$4010,MATCH(945,$AZ$11:$AZ$4010,0)),""))</f>
        <v/>
      </c>
      <c r="AE955" s="12" t="str">
        <f>IFERROR(INDEX($AM$11:$AM$4010,MATCH(945,$AZ$11:$AZ$4010,0)),"")</f>
        <v/>
      </c>
      <c r="AF955" s="11" t="str">
        <f>IF(AE955="","",IFERROR(INDEX($AN$11:$AN$4010,MATCH(945,$AZ$11:$AZ$4010,0)),""))</f>
        <v/>
      </c>
      <c r="AG955" s="11" t="str">
        <f>IF(AE955="","",IFERROR(INDEX($AO$11:$AO$4010,MATCH(945,$AZ$11:$AZ$4010,0)),""))</f>
        <v/>
      </c>
      <c r="AH955" s="10" t="str">
        <f>IF(AE955="","",IFERROR(INDEX($AQ$11:$AQ$4010,MATCH(945,$AZ$11:$AZ$4010,0)),""))</f>
        <v/>
      </c>
      <c r="AI955" s="15" t="str">
        <f>IF(AE955="","",IFERROR(INDEX($AR$11:$AR$4010,MATCH(945,$AZ$11:$AZ$4010,0)),""))</f>
        <v/>
      </c>
      <c r="AJ955" s="15" t="str">
        <f>IF(AE955="","",IFERROR(INDEX($AT$11:$AT$4010,MATCH(945,$AZ$11:$AZ$4010,0)),""))</f>
        <v/>
      </c>
      <c r="AL955" s="17"/>
      <c r="AM955" s="12"/>
      <c r="AN955" s="18"/>
      <c r="AO955" s="18"/>
      <c r="AP955" s="10"/>
      <c r="AQ955" s="10"/>
      <c r="AR955" s="19"/>
      <c r="AS955" s="20"/>
      <c r="AT955" s="19"/>
      <c r="AV955" s="21">
        <f>IF(AND($AL955&lt;&gt;"",COUNTIF($AL$11:$AL955,$AL955)=1),1,0)</f>
        <v>0</v>
      </c>
      <c r="AW955" s="21">
        <f t="shared" si="115"/>
        <v>0</v>
      </c>
      <c r="AX955" s="21" t="str">
        <f t="shared" si="114"/>
        <v/>
      </c>
      <c r="AY955" s="21" t="str">
        <f>IF(AND($AM955&lt;&gt;"",$AS955&lt;&gt;"✓"),SUMPRODUCT(($AM$11:$AM955&lt;&gt;"")*($AS$11:$AS955&lt;&gt;"✓")),"")</f>
        <v/>
      </c>
      <c r="AZ955" s="21" t="str">
        <f>IF(AND($AM955&lt;&gt;"",$AS955="✓"),SUMPRODUCT(($AM$11:$AM955&lt;&gt;"")*($AS$11:$AS955="✓")),"")</f>
        <v/>
      </c>
      <c r="BA955" s="21" t="str">
        <f>IF($AL955="","",$AL955&amp;"|"&amp;COUNTIF($AL$11:$AL955,$AL955))</f>
        <v/>
      </c>
    </row>
    <row r="956" spans="23:53" ht="15" customHeight="1" x14ac:dyDescent="0.25">
      <c r="W956" s="28" t="str">
        <f>IF(X956="","",IFERROR(INDEX($AL$11:$AL$4010,MATCH(946,$AY$11:$AY$4010,0)),""))</f>
        <v/>
      </c>
      <c r="X956" s="26" t="str">
        <f>IFERROR(INDEX($AM$11:$AM$4010,MATCH(946,$AY$11:$AY$4010,0)),"")</f>
        <v/>
      </c>
      <c r="Y956" s="25" t="str">
        <f>IF(X956="","",IFERROR(INDEX($AN$11:$AN$4010,MATCH(946,$AY$11:$AY$4010,0)),""))</f>
        <v/>
      </c>
      <c r="Z956" s="25" t="str">
        <f>IF(X956="","",IFERROR(INDEX($AO$11:$AO$4010,MATCH(946,$AY$11:$AY$4010,0)),""))</f>
        <v/>
      </c>
      <c r="AA956" s="24" t="str">
        <f>IF(X956="","",IFERROR(INDEX($AQ$11:$AQ$4010,MATCH(946,$AY$11:$AY$4010,0)),""))</f>
        <v/>
      </c>
      <c r="AB956" s="29" t="str">
        <f>IF(X956="","",IFERROR(INDEX($AR$11:$AR$4010,MATCH(946,$AY$11:$AY$4010,0)),""))</f>
        <v/>
      </c>
      <c r="AD956" s="30" t="str">
        <f>IF(AE956="","",IFERROR(INDEX($AL$11:$AL$4010,MATCH(946,$AZ$11:$AZ$4010,0)),""))</f>
        <v/>
      </c>
      <c r="AE956" s="26" t="str">
        <f>IFERROR(INDEX($AM$11:$AM$4010,MATCH(946,$AZ$11:$AZ$4010,0)),"")</f>
        <v/>
      </c>
      <c r="AF956" s="25" t="str">
        <f>IF(AE956="","",IFERROR(INDEX($AN$11:$AN$4010,MATCH(946,$AZ$11:$AZ$4010,0)),""))</f>
        <v/>
      </c>
      <c r="AG956" s="25" t="str">
        <f>IF(AE956="","",IFERROR(INDEX($AO$11:$AO$4010,MATCH(946,$AZ$11:$AZ$4010,0)),""))</f>
        <v/>
      </c>
      <c r="AH956" s="24" t="str">
        <f>IF(AE956="","",IFERROR(INDEX($AQ$11:$AQ$4010,MATCH(946,$AZ$11:$AZ$4010,0)),""))</f>
        <v/>
      </c>
      <c r="AI956" s="29" t="str">
        <f>IF(AE956="","",IFERROR(INDEX($AR$11:$AR$4010,MATCH(946,$AZ$11:$AZ$4010,0)),""))</f>
        <v/>
      </c>
      <c r="AJ956" s="29" t="str">
        <f>IF(AE956="","",IFERROR(INDEX($AT$11:$AT$4010,MATCH(946,$AZ$11:$AZ$4010,0)),""))</f>
        <v/>
      </c>
      <c r="AL956" s="31"/>
      <c r="AM956" s="26"/>
      <c r="AN956" s="32"/>
      <c r="AO956" s="32"/>
      <c r="AP956" s="24"/>
      <c r="AQ956" s="24"/>
      <c r="AR956" s="33"/>
      <c r="AS956" s="34"/>
      <c r="AT956" s="33"/>
      <c r="AV956" s="21">
        <f>IF(AND($AL956&lt;&gt;"",COUNTIF($AL$11:$AL956,$AL956)=1),1,0)</f>
        <v>0</v>
      </c>
      <c r="AW956" s="21">
        <f t="shared" si="115"/>
        <v>0</v>
      </c>
      <c r="AX956" s="21" t="str">
        <f t="shared" si="114"/>
        <v/>
      </c>
      <c r="AY956" s="21" t="str">
        <f>IF(AND($AM956&lt;&gt;"",$AS956&lt;&gt;"✓"),SUMPRODUCT(($AM$11:$AM956&lt;&gt;"")*($AS$11:$AS956&lt;&gt;"✓")),"")</f>
        <v/>
      </c>
      <c r="AZ956" s="21" t="str">
        <f>IF(AND($AM956&lt;&gt;"",$AS956="✓"),SUMPRODUCT(($AM$11:$AM956&lt;&gt;"")*($AS$11:$AS956="✓")),"")</f>
        <v/>
      </c>
      <c r="BA956" s="21" t="str">
        <f>IF($AL956="","",$AL956&amp;"|"&amp;COUNTIF($AL$11:$AL956,$AL956))</f>
        <v/>
      </c>
    </row>
    <row r="957" spans="23:53" ht="15" customHeight="1" x14ac:dyDescent="0.25">
      <c r="W957" s="14" t="str">
        <f>IF(X957="","",IFERROR(INDEX($AL$11:$AL$4010,MATCH(947,$AY$11:$AY$4010,0)),""))</f>
        <v/>
      </c>
      <c r="X957" s="12" t="str">
        <f>IFERROR(INDEX($AM$11:$AM$4010,MATCH(947,$AY$11:$AY$4010,0)),"")</f>
        <v/>
      </c>
      <c r="Y957" s="11" t="str">
        <f>IF(X957="","",IFERROR(INDEX($AN$11:$AN$4010,MATCH(947,$AY$11:$AY$4010,0)),""))</f>
        <v/>
      </c>
      <c r="Z957" s="11" t="str">
        <f>IF(X957="","",IFERROR(INDEX($AO$11:$AO$4010,MATCH(947,$AY$11:$AY$4010,0)),""))</f>
        <v/>
      </c>
      <c r="AA957" s="10" t="str">
        <f>IF(X957="","",IFERROR(INDEX($AQ$11:$AQ$4010,MATCH(947,$AY$11:$AY$4010,0)),""))</f>
        <v/>
      </c>
      <c r="AB957" s="15" t="str">
        <f>IF(X957="","",IFERROR(INDEX($AR$11:$AR$4010,MATCH(947,$AY$11:$AY$4010,0)),""))</f>
        <v/>
      </c>
      <c r="AD957" s="16" t="str">
        <f>IF(AE957="","",IFERROR(INDEX($AL$11:$AL$4010,MATCH(947,$AZ$11:$AZ$4010,0)),""))</f>
        <v/>
      </c>
      <c r="AE957" s="12" t="str">
        <f>IFERROR(INDEX($AM$11:$AM$4010,MATCH(947,$AZ$11:$AZ$4010,0)),"")</f>
        <v/>
      </c>
      <c r="AF957" s="11" t="str">
        <f>IF(AE957="","",IFERROR(INDEX($AN$11:$AN$4010,MATCH(947,$AZ$11:$AZ$4010,0)),""))</f>
        <v/>
      </c>
      <c r="AG957" s="11" t="str">
        <f>IF(AE957="","",IFERROR(INDEX($AO$11:$AO$4010,MATCH(947,$AZ$11:$AZ$4010,0)),""))</f>
        <v/>
      </c>
      <c r="AH957" s="10" t="str">
        <f>IF(AE957="","",IFERROR(INDEX($AQ$11:$AQ$4010,MATCH(947,$AZ$11:$AZ$4010,0)),""))</f>
        <v/>
      </c>
      <c r="AI957" s="15" t="str">
        <f>IF(AE957="","",IFERROR(INDEX($AR$11:$AR$4010,MATCH(947,$AZ$11:$AZ$4010,0)),""))</f>
        <v/>
      </c>
      <c r="AJ957" s="15" t="str">
        <f>IF(AE957="","",IFERROR(INDEX($AT$11:$AT$4010,MATCH(947,$AZ$11:$AZ$4010,0)),""))</f>
        <v/>
      </c>
      <c r="AL957" s="17"/>
      <c r="AM957" s="12"/>
      <c r="AN957" s="18"/>
      <c r="AO957" s="18"/>
      <c r="AP957" s="10"/>
      <c r="AQ957" s="10"/>
      <c r="AR957" s="19"/>
      <c r="AS957" s="20"/>
      <c r="AT957" s="19"/>
      <c r="AV957" s="21">
        <f>IF(AND($AL957&lt;&gt;"",COUNTIF($AL$11:$AL957,$AL957)=1),1,0)</f>
        <v>0</v>
      </c>
      <c r="AW957" s="21">
        <f t="shared" si="115"/>
        <v>0</v>
      </c>
      <c r="AX957" s="21" t="str">
        <f t="shared" si="114"/>
        <v/>
      </c>
      <c r="AY957" s="21" t="str">
        <f>IF(AND($AM957&lt;&gt;"",$AS957&lt;&gt;"✓"),SUMPRODUCT(($AM$11:$AM957&lt;&gt;"")*($AS$11:$AS957&lt;&gt;"✓")),"")</f>
        <v/>
      </c>
      <c r="AZ957" s="21" t="str">
        <f>IF(AND($AM957&lt;&gt;"",$AS957="✓"),SUMPRODUCT(($AM$11:$AM957&lt;&gt;"")*($AS$11:$AS957="✓")),"")</f>
        <v/>
      </c>
      <c r="BA957" s="21" t="str">
        <f>IF($AL957="","",$AL957&amp;"|"&amp;COUNTIF($AL$11:$AL957,$AL957))</f>
        <v/>
      </c>
    </row>
    <row r="958" spans="23:53" ht="15" customHeight="1" x14ac:dyDescent="0.25">
      <c r="W958" s="28" t="str">
        <f>IF(X958="","",IFERROR(INDEX($AL$11:$AL$4010,MATCH(948,$AY$11:$AY$4010,0)),""))</f>
        <v/>
      </c>
      <c r="X958" s="26" t="str">
        <f>IFERROR(INDEX($AM$11:$AM$4010,MATCH(948,$AY$11:$AY$4010,0)),"")</f>
        <v/>
      </c>
      <c r="Y958" s="25" t="str">
        <f>IF(X958="","",IFERROR(INDEX($AN$11:$AN$4010,MATCH(948,$AY$11:$AY$4010,0)),""))</f>
        <v/>
      </c>
      <c r="Z958" s="25" t="str">
        <f>IF(X958="","",IFERROR(INDEX($AO$11:$AO$4010,MATCH(948,$AY$11:$AY$4010,0)),""))</f>
        <v/>
      </c>
      <c r="AA958" s="24" t="str">
        <f>IF(X958="","",IFERROR(INDEX($AQ$11:$AQ$4010,MATCH(948,$AY$11:$AY$4010,0)),""))</f>
        <v/>
      </c>
      <c r="AB958" s="29" t="str">
        <f>IF(X958="","",IFERROR(INDEX($AR$11:$AR$4010,MATCH(948,$AY$11:$AY$4010,0)),""))</f>
        <v/>
      </c>
      <c r="AD958" s="30" t="str">
        <f>IF(AE958="","",IFERROR(INDEX($AL$11:$AL$4010,MATCH(948,$AZ$11:$AZ$4010,0)),""))</f>
        <v/>
      </c>
      <c r="AE958" s="26" t="str">
        <f>IFERROR(INDEX($AM$11:$AM$4010,MATCH(948,$AZ$11:$AZ$4010,0)),"")</f>
        <v/>
      </c>
      <c r="AF958" s="25" t="str">
        <f>IF(AE958="","",IFERROR(INDEX($AN$11:$AN$4010,MATCH(948,$AZ$11:$AZ$4010,0)),""))</f>
        <v/>
      </c>
      <c r="AG958" s="25" t="str">
        <f>IF(AE958="","",IFERROR(INDEX($AO$11:$AO$4010,MATCH(948,$AZ$11:$AZ$4010,0)),""))</f>
        <v/>
      </c>
      <c r="AH958" s="24" t="str">
        <f>IF(AE958="","",IFERROR(INDEX($AQ$11:$AQ$4010,MATCH(948,$AZ$11:$AZ$4010,0)),""))</f>
        <v/>
      </c>
      <c r="AI958" s="29" t="str">
        <f>IF(AE958="","",IFERROR(INDEX($AR$11:$AR$4010,MATCH(948,$AZ$11:$AZ$4010,0)),""))</f>
        <v/>
      </c>
      <c r="AJ958" s="29" t="str">
        <f>IF(AE958="","",IFERROR(INDEX($AT$11:$AT$4010,MATCH(948,$AZ$11:$AZ$4010,0)),""))</f>
        <v/>
      </c>
      <c r="AL958" s="31"/>
      <c r="AM958" s="26"/>
      <c r="AN958" s="32"/>
      <c r="AO958" s="32"/>
      <c r="AP958" s="24"/>
      <c r="AQ958" s="24"/>
      <c r="AR958" s="33"/>
      <c r="AS958" s="34"/>
      <c r="AT958" s="33"/>
      <c r="AV958" s="21">
        <f>IF(AND($AL958&lt;&gt;"",COUNTIF($AL$11:$AL958,$AL958)=1),1,0)</f>
        <v>0</v>
      </c>
      <c r="AW958" s="21">
        <f t="shared" si="115"/>
        <v>0</v>
      </c>
      <c r="AX958" s="21" t="str">
        <f t="shared" si="114"/>
        <v/>
      </c>
      <c r="AY958" s="21" t="str">
        <f>IF(AND($AM958&lt;&gt;"",$AS958&lt;&gt;"✓"),SUMPRODUCT(($AM$11:$AM958&lt;&gt;"")*($AS$11:$AS958&lt;&gt;"✓")),"")</f>
        <v/>
      </c>
      <c r="AZ958" s="21" t="str">
        <f>IF(AND($AM958&lt;&gt;"",$AS958="✓"),SUMPRODUCT(($AM$11:$AM958&lt;&gt;"")*($AS$11:$AS958="✓")),"")</f>
        <v/>
      </c>
      <c r="BA958" s="21" t="str">
        <f>IF($AL958="","",$AL958&amp;"|"&amp;COUNTIF($AL$11:$AL958,$AL958))</f>
        <v/>
      </c>
    </row>
    <row r="959" spans="23:53" ht="15" customHeight="1" x14ac:dyDescent="0.25">
      <c r="W959" s="14" t="str">
        <f>IF(X959="","",IFERROR(INDEX($AL$11:$AL$4010,MATCH(949,$AY$11:$AY$4010,0)),""))</f>
        <v/>
      </c>
      <c r="X959" s="12" t="str">
        <f>IFERROR(INDEX($AM$11:$AM$4010,MATCH(949,$AY$11:$AY$4010,0)),"")</f>
        <v/>
      </c>
      <c r="Y959" s="11" t="str">
        <f>IF(X959="","",IFERROR(INDEX($AN$11:$AN$4010,MATCH(949,$AY$11:$AY$4010,0)),""))</f>
        <v/>
      </c>
      <c r="Z959" s="11" t="str">
        <f>IF(X959="","",IFERROR(INDEX($AO$11:$AO$4010,MATCH(949,$AY$11:$AY$4010,0)),""))</f>
        <v/>
      </c>
      <c r="AA959" s="10" t="str">
        <f>IF(X959="","",IFERROR(INDEX($AQ$11:$AQ$4010,MATCH(949,$AY$11:$AY$4010,0)),""))</f>
        <v/>
      </c>
      <c r="AB959" s="15" t="str">
        <f>IF(X959="","",IFERROR(INDEX($AR$11:$AR$4010,MATCH(949,$AY$11:$AY$4010,0)),""))</f>
        <v/>
      </c>
      <c r="AD959" s="16" t="str">
        <f>IF(AE959="","",IFERROR(INDEX($AL$11:$AL$4010,MATCH(949,$AZ$11:$AZ$4010,0)),""))</f>
        <v/>
      </c>
      <c r="AE959" s="12" t="str">
        <f>IFERROR(INDEX($AM$11:$AM$4010,MATCH(949,$AZ$11:$AZ$4010,0)),"")</f>
        <v/>
      </c>
      <c r="AF959" s="11" t="str">
        <f>IF(AE959="","",IFERROR(INDEX($AN$11:$AN$4010,MATCH(949,$AZ$11:$AZ$4010,0)),""))</f>
        <v/>
      </c>
      <c r="AG959" s="11" t="str">
        <f>IF(AE959="","",IFERROR(INDEX($AO$11:$AO$4010,MATCH(949,$AZ$11:$AZ$4010,0)),""))</f>
        <v/>
      </c>
      <c r="AH959" s="10" t="str">
        <f>IF(AE959="","",IFERROR(INDEX($AQ$11:$AQ$4010,MATCH(949,$AZ$11:$AZ$4010,0)),""))</f>
        <v/>
      </c>
      <c r="AI959" s="15" t="str">
        <f>IF(AE959="","",IFERROR(INDEX($AR$11:$AR$4010,MATCH(949,$AZ$11:$AZ$4010,0)),""))</f>
        <v/>
      </c>
      <c r="AJ959" s="15" t="str">
        <f>IF(AE959="","",IFERROR(INDEX($AT$11:$AT$4010,MATCH(949,$AZ$11:$AZ$4010,0)),""))</f>
        <v/>
      </c>
      <c r="AL959" s="17"/>
      <c r="AM959" s="12"/>
      <c r="AN959" s="18"/>
      <c r="AO959" s="18"/>
      <c r="AP959" s="10"/>
      <c r="AQ959" s="10"/>
      <c r="AR959" s="19"/>
      <c r="AS959" s="20"/>
      <c r="AT959" s="19"/>
      <c r="AV959" s="21">
        <f>IF(AND($AL959&lt;&gt;"",COUNTIF($AL$11:$AL959,$AL959)=1),1,0)</f>
        <v>0</v>
      </c>
      <c r="AW959" s="21">
        <f t="shared" si="115"/>
        <v>0</v>
      </c>
      <c r="AX959" s="21" t="str">
        <f t="shared" si="114"/>
        <v/>
      </c>
      <c r="AY959" s="21" t="str">
        <f>IF(AND($AM959&lt;&gt;"",$AS959&lt;&gt;"✓"),SUMPRODUCT(($AM$11:$AM959&lt;&gt;"")*($AS$11:$AS959&lt;&gt;"✓")),"")</f>
        <v/>
      </c>
      <c r="AZ959" s="21" t="str">
        <f>IF(AND($AM959&lt;&gt;"",$AS959="✓"),SUMPRODUCT(($AM$11:$AM959&lt;&gt;"")*($AS$11:$AS959="✓")),"")</f>
        <v/>
      </c>
      <c r="BA959" s="21" t="str">
        <f>IF($AL959="","",$AL959&amp;"|"&amp;COUNTIF($AL$11:$AL959,$AL959))</f>
        <v/>
      </c>
    </row>
    <row r="960" spans="23:53" ht="15" customHeight="1" x14ac:dyDescent="0.25">
      <c r="W960" s="28" t="str">
        <f>IF(X960="","",IFERROR(INDEX($AL$11:$AL$4010,MATCH(950,$AY$11:$AY$4010,0)),""))</f>
        <v/>
      </c>
      <c r="X960" s="26" t="str">
        <f>IFERROR(INDEX($AM$11:$AM$4010,MATCH(950,$AY$11:$AY$4010,0)),"")</f>
        <v/>
      </c>
      <c r="Y960" s="25" t="str">
        <f>IF(X960="","",IFERROR(INDEX($AN$11:$AN$4010,MATCH(950,$AY$11:$AY$4010,0)),""))</f>
        <v/>
      </c>
      <c r="Z960" s="25" t="str">
        <f>IF(X960="","",IFERROR(INDEX($AO$11:$AO$4010,MATCH(950,$AY$11:$AY$4010,0)),""))</f>
        <v/>
      </c>
      <c r="AA960" s="24" t="str">
        <f>IF(X960="","",IFERROR(INDEX($AQ$11:$AQ$4010,MATCH(950,$AY$11:$AY$4010,0)),""))</f>
        <v/>
      </c>
      <c r="AB960" s="29" t="str">
        <f>IF(X960="","",IFERROR(INDEX($AR$11:$AR$4010,MATCH(950,$AY$11:$AY$4010,0)),""))</f>
        <v/>
      </c>
      <c r="AD960" s="30" t="str">
        <f>IF(AE960="","",IFERROR(INDEX($AL$11:$AL$4010,MATCH(950,$AZ$11:$AZ$4010,0)),""))</f>
        <v/>
      </c>
      <c r="AE960" s="26" t="str">
        <f>IFERROR(INDEX($AM$11:$AM$4010,MATCH(950,$AZ$11:$AZ$4010,0)),"")</f>
        <v/>
      </c>
      <c r="AF960" s="25" t="str">
        <f>IF(AE960="","",IFERROR(INDEX($AN$11:$AN$4010,MATCH(950,$AZ$11:$AZ$4010,0)),""))</f>
        <v/>
      </c>
      <c r="AG960" s="25" t="str">
        <f>IF(AE960="","",IFERROR(INDEX($AO$11:$AO$4010,MATCH(950,$AZ$11:$AZ$4010,0)),""))</f>
        <v/>
      </c>
      <c r="AH960" s="24" t="str">
        <f>IF(AE960="","",IFERROR(INDEX($AQ$11:$AQ$4010,MATCH(950,$AZ$11:$AZ$4010,0)),""))</f>
        <v/>
      </c>
      <c r="AI960" s="29" t="str">
        <f>IF(AE960="","",IFERROR(INDEX($AR$11:$AR$4010,MATCH(950,$AZ$11:$AZ$4010,0)),""))</f>
        <v/>
      </c>
      <c r="AJ960" s="29" t="str">
        <f>IF(AE960="","",IFERROR(INDEX($AT$11:$AT$4010,MATCH(950,$AZ$11:$AZ$4010,0)),""))</f>
        <v/>
      </c>
      <c r="AL960" s="31"/>
      <c r="AM960" s="26"/>
      <c r="AN960" s="32"/>
      <c r="AO960" s="32"/>
      <c r="AP960" s="24"/>
      <c r="AQ960" s="24"/>
      <c r="AR960" s="33"/>
      <c r="AS960" s="34"/>
      <c r="AT960" s="33"/>
      <c r="AV960" s="21">
        <f>IF(AND($AL960&lt;&gt;"",COUNTIF($AL$11:$AL960,$AL960)=1),1,0)</f>
        <v>0</v>
      </c>
      <c r="AW960" s="21">
        <f t="shared" si="115"/>
        <v>0</v>
      </c>
      <c r="AX960" s="21" t="str">
        <f t="shared" si="114"/>
        <v/>
      </c>
      <c r="AY960" s="21" t="str">
        <f>IF(AND($AM960&lt;&gt;"",$AS960&lt;&gt;"✓"),SUMPRODUCT(($AM$11:$AM960&lt;&gt;"")*($AS$11:$AS960&lt;&gt;"✓")),"")</f>
        <v/>
      </c>
      <c r="AZ960" s="21" t="str">
        <f>IF(AND($AM960&lt;&gt;"",$AS960="✓"),SUMPRODUCT(($AM$11:$AM960&lt;&gt;"")*($AS$11:$AS960="✓")),"")</f>
        <v/>
      </c>
      <c r="BA960" s="21" t="str">
        <f>IF($AL960="","",$AL960&amp;"|"&amp;COUNTIF($AL$11:$AL960,$AL960))</f>
        <v/>
      </c>
    </row>
    <row r="961" spans="23:53" ht="15" customHeight="1" x14ac:dyDescent="0.25">
      <c r="W961" s="14" t="str">
        <f>IF(X961="","",IFERROR(INDEX($AL$11:$AL$4010,MATCH(951,$AY$11:$AY$4010,0)),""))</f>
        <v/>
      </c>
      <c r="X961" s="12" t="str">
        <f>IFERROR(INDEX($AM$11:$AM$4010,MATCH(951,$AY$11:$AY$4010,0)),"")</f>
        <v/>
      </c>
      <c r="Y961" s="11" t="str">
        <f>IF(X961="","",IFERROR(INDEX($AN$11:$AN$4010,MATCH(951,$AY$11:$AY$4010,0)),""))</f>
        <v/>
      </c>
      <c r="Z961" s="11" t="str">
        <f>IF(X961="","",IFERROR(INDEX($AO$11:$AO$4010,MATCH(951,$AY$11:$AY$4010,0)),""))</f>
        <v/>
      </c>
      <c r="AA961" s="10" t="str">
        <f>IF(X961="","",IFERROR(INDEX($AQ$11:$AQ$4010,MATCH(951,$AY$11:$AY$4010,0)),""))</f>
        <v/>
      </c>
      <c r="AB961" s="15" t="str">
        <f>IF(X961="","",IFERROR(INDEX($AR$11:$AR$4010,MATCH(951,$AY$11:$AY$4010,0)),""))</f>
        <v/>
      </c>
      <c r="AD961" s="16" t="str">
        <f>IF(AE961="","",IFERROR(INDEX($AL$11:$AL$4010,MATCH(951,$AZ$11:$AZ$4010,0)),""))</f>
        <v/>
      </c>
      <c r="AE961" s="12" t="str">
        <f>IFERROR(INDEX($AM$11:$AM$4010,MATCH(951,$AZ$11:$AZ$4010,0)),"")</f>
        <v/>
      </c>
      <c r="AF961" s="11" t="str">
        <f>IF(AE961="","",IFERROR(INDEX($AN$11:$AN$4010,MATCH(951,$AZ$11:$AZ$4010,0)),""))</f>
        <v/>
      </c>
      <c r="AG961" s="11" t="str">
        <f>IF(AE961="","",IFERROR(INDEX($AO$11:$AO$4010,MATCH(951,$AZ$11:$AZ$4010,0)),""))</f>
        <v/>
      </c>
      <c r="AH961" s="10" t="str">
        <f>IF(AE961="","",IFERROR(INDEX($AQ$11:$AQ$4010,MATCH(951,$AZ$11:$AZ$4010,0)),""))</f>
        <v/>
      </c>
      <c r="AI961" s="15" t="str">
        <f>IF(AE961="","",IFERROR(INDEX($AR$11:$AR$4010,MATCH(951,$AZ$11:$AZ$4010,0)),""))</f>
        <v/>
      </c>
      <c r="AJ961" s="15" t="str">
        <f>IF(AE961="","",IFERROR(INDEX($AT$11:$AT$4010,MATCH(951,$AZ$11:$AZ$4010,0)),""))</f>
        <v/>
      </c>
      <c r="AL961" s="17"/>
      <c r="AM961" s="12"/>
      <c r="AN961" s="18"/>
      <c r="AO961" s="18"/>
      <c r="AP961" s="10"/>
      <c r="AQ961" s="10"/>
      <c r="AR961" s="19"/>
      <c r="AS961" s="20"/>
      <c r="AT961" s="19"/>
      <c r="AV961" s="21">
        <f>IF(AND($AL961&lt;&gt;"",COUNTIF($AL$11:$AL961,$AL961)=1),1,0)</f>
        <v>0</v>
      </c>
      <c r="AW961" s="21">
        <f t="shared" si="115"/>
        <v>0</v>
      </c>
      <c r="AX961" s="21" t="str">
        <f t="shared" si="114"/>
        <v/>
      </c>
      <c r="AY961" s="21" t="str">
        <f>IF(AND($AM961&lt;&gt;"",$AS961&lt;&gt;"✓"),SUMPRODUCT(($AM$11:$AM961&lt;&gt;"")*($AS$11:$AS961&lt;&gt;"✓")),"")</f>
        <v/>
      </c>
      <c r="AZ961" s="21" t="str">
        <f>IF(AND($AM961&lt;&gt;"",$AS961="✓"),SUMPRODUCT(($AM$11:$AM961&lt;&gt;"")*($AS$11:$AS961="✓")),"")</f>
        <v/>
      </c>
      <c r="BA961" s="21" t="str">
        <f>IF($AL961="","",$AL961&amp;"|"&amp;COUNTIF($AL$11:$AL961,$AL961))</f>
        <v/>
      </c>
    </row>
    <row r="962" spans="23:53" ht="15" customHeight="1" x14ac:dyDescent="0.25">
      <c r="W962" s="28" t="str">
        <f>IF(X962="","",IFERROR(INDEX($AL$11:$AL$4010,MATCH(952,$AY$11:$AY$4010,0)),""))</f>
        <v/>
      </c>
      <c r="X962" s="26" t="str">
        <f>IFERROR(INDEX($AM$11:$AM$4010,MATCH(952,$AY$11:$AY$4010,0)),"")</f>
        <v/>
      </c>
      <c r="Y962" s="25" t="str">
        <f>IF(X962="","",IFERROR(INDEX($AN$11:$AN$4010,MATCH(952,$AY$11:$AY$4010,0)),""))</f>
        <v/>
      </c>
      <c r="Z962" s="25" t="str">
        <f>IF(X962="","",IFERROR(INDEX($AO$11:$AO$4010,MATCH(952,$AY$11:$AY$4010,0)),""))</f>
        <v/>
      </c>
      <c r="AA962" s="24" t="str">
        <f>IF(X962="","",IFERROR(INDEX($AQ$11:$AQ$4010,MATCH(952,$AY$11:$AY$4010,0)),""))</f>
        <v/>
      </c>
      <c r="AB962" s="29" t="str">
        <f>IF(X962="","",IFERROR(INDEX($AR$11:$AR$4010,MATCH(952,$AY$11:$AY$4010,0)),""))</f>
        <v/>
      </c>
      <c r="AD962" s="30" t="str">
        <f>IF(AE962="","",IFERROR(INDEX($AL$11:$AL$4010,MATCH(952,$AZ$11:$AZ$4010,0)),""))</f>
        <v/>
      </c>
      <c r="AE962" s="26" t="str">
        <f>IFERROR(INDEX($AM$11:$AM$4010,MATCH(952,$AZ$11:$AZ$4010,0)),"")</f>
        <v/>
      </c>
      <c r="AF962" s="25" t="str">
        <f>IF(AE962="","",IFERROR(INDEX($AN$11:$AN$4010,MATCH(952,$AZ$11:$AZ$4010,0)),""))</f>
        <v/>
      </c>
      <c r="AG962" s="25" t="str">
        <f>IF(AE962="","",IFERROR(INDEX($AO$11:$AO$4010,MATCH(952,$AZ$11:$AZ$4010,0)),""))</f>
        <v/>
      </c>
      <c r="AH962" s="24" t="str">
        <f>IF(AE962="","",IFERROR(INDEX($AQ$11:$AQ$4010,MATCH(952,$AZ$11:$AZ$4010,0)),""))</f>
        <v/>
      </c>
      <c r="AI962" s="29" t="str">
        <f>IF(AE962="","",IFERROR(INDEX($AR$11:$AR$4010,MATCH(952,$AZ$11:$AZ$4010,0)),""))</f>
        <v/>
      </c>
      <c r="AJ962" s="29" t="str">
        <f>IF(AE962="","",IFERROR(INDEX($AT$11:$AT$4010,MATCH(952,$AZ$11:$AZ$4010,0)),""))</f>
        <v/>
      </c>
      <c r="AL962" s="31"/>
      <c r="AM962" s="26"/>
      <c r="AN962" s="32"/>
      <c r="AO962" s="32"/>
      <c r="AP962" s="24"/>
      <c r="AQ962" s="24"/>
      <c r="AR962" s="33"/>
      <c r="AS962" s="34"/>
      <c r="AT962" s="33"/>
      <c r="AV962" s="21">
        <f>IF(AND($AL962&lt;&gt;"",COUNTIF($AL$11:$AL962,$AL962)=1),1,0)</f>
        <v>0</v>
      </c>
      <c r="AW962" s="21">
        <f t="shared" si="115"/>
        <v>0</v>
      </c>
      <c r="AX962" s="21" t="str">
        <f t="shared" si="114"/>
        <v/>
      </c>
      <c r="AY962" s="21" t="str">
        <f>IF(AND($AM962&lt;&gt;"",$AS962&lt;&gt;"✓"),SUMPRODUCT(($AM$11:$AM962&lt;&gt;"")*($AS$11:$AS962&lt;&gt;"✓")),"")</f>
        <v/>
      </c>
      <c r="AZ962" s="21" t="str">
        <f>IF(AND($AM962&lt;&gt;"",$AS962="✓"),SUMPRODUCT(($AM$11:$AM962&lt;&gt;"")*($AS$11:$AS962="✓")),"")</f>
        <v/>
      </c>
      <c r="BA962" s="21" t="str">
        <f>IF($AL962="","",$AL962&amp;"|"&amp;COUNTIF($AL$11:$AL962,$AL962))</f>
        <v/>
      </c>
    </row>
    <row r="963" spans="23:53" ht="15" customHeight="1" x14ac:dyDescent="0.25">
      <c r="W963" s="14" t="str">
        <f>IF(X963="","",IFERROR(INDEX($AL$11:$AL$4010,MATCH(953,$AY$11:$AY$4010,0)),""))</f>
        <v/>
      </c>
      <c r="X963" s="12" t="str">
        <f>IFERROR(INDEX($AM$11:$AM$4010,MATCH(953,$AY$11:$AY$4010,0)),"")</f>
        <v/>
      </c>
      <c r="Y963" s="11" t="str">
        <f>IF(X963="","",IFERROR(INDEX($AN$11:$AN$4010,MATCH(953,$AY$11:$AY$4010,0)),""))</f>
        <v/>
      </c>
      <c r="Z963" s="11" t="str">
        <f>IF(X963="","",IFERROR(INDEX($AO$11:$AO$4010,MATCH(953,$AY$11:$AY$4010,0)),""))</f>
        <v/>
      </c>
      <c r="AA963" s="10" t="str">
        <f>IF(X963="","",IFERROR(INDEX($AQ$11:$AQ$4010,MATCH(953,$AY$11:$AY$4010,0)),""))</f>
        <v/>
      </c>
      <c r="AB963" s="15" t="str">
        <f>IF(X963="","",IFERROR(INDEX($AR$11:$AR$4010,MATCH(953,$AY$11:$AY$4010,0)),""))</f>
        <v/>
      </c>
      <c r="AD963" s="16" t="str">
        <f>IF(AE963="","",IFERROR(INDEX($AL$11:$AL$4010,MATCH(953,$AZ$11:$AZ$4010,0)),""))</f>
        <v/>
      </c>
      <c r="AE963" s="12" t="str">
        <f>IFERROR(INDEX($AM$11:$AM$4010,MATCH(953,$AZ$11:$AZ$4010,0)),"")</f>
        <v/>
      </c>
      <c r="AF963" s="11" t="str">
        <f>IF(AE963="","",IFERROR(INDEX($AN$11:$AN$4010,MATCH(953,$AZ$11:$AZ$4010,0)),""))</f>
        <v/>
      </c>
      <c r="AG963" s="11" t="str">
        <f>IF(AE963="","",IFERROR(INDEX($AO$11:$AO$4010,MATCH(953,$AZ$11:$AZ$4010,0)),""))</f>
        <v/>
      </c>
      <c r="AH963" s="10" t="str">
        <f>IF(AE963="","",IFERROR(INDEX($AQ$11:$AQ$4010,MATCH(953,$AZ$11:$AZ$4010,0)),""))</f>
        <v/>
      </c>
      <c r="AI963" s="15" t="str">
        <f>IF(AE963="","",IFERROR(INDEX($AR$11:$AR$4010,MATCH(953,$AZ$11:$AZ$4010,0)),""))</f>
        <v/>
      </c>
      <c r="AJ963" s="15" t="str">
        <f>IF(AE963="","",IFERROR(INDEX($AT$11:$AT$4010,MATCH(953,$AZ$11:$AZ$4010,0)),""))</f>
        <v/>
      </c>
      <c r="AL963" s="17"/>
      <c r="AM963" s="12"/>
      <c r="AN963" s="18"/>
      <c r="AO963" s="18"/>
      <c r="AP963" s="10"/>
      <c r="AQ963" s="10"/>
      <c r="AR963" s="19"/>
      <c r="AS963" s="20"/>
      <c r="AT963" s="19"/>
      <c r="AV963" s="21">
        <f>IF(AND($AL963&lt;&gt;"",COUNTIF($AL$11:$AL963,$AL963)=1),1,0)</f>
        <v>0</v>
      </c>
      <c r="AW963" s="21">
        <f t="shared" si="115"/>
        <v>0</v>
      </c>
      <c r="AX963" s="21" t="str">
        <f t="shared" si="114"/>
        <v/>
      </c>
      <c r="AY963" s="21" t="str">
        <f>IF(AND($AM963&lt;&gt;"",$AS963&lt;&gt;"✓"),SUMPRODUCT(($AM$11:$AM963&lt;&gt;"")*($AS$11:$AS963&lt;&gt;"✓")),"")</f>
        <v/>
      </c>
      <c r="AZ963" s="21" t="str">
        <f>IF(AND($AM963&lt;&gt;"",$AS963="✓"),SUMPRODUCT(($AM$11:$AM963&lt;&gt;"")*($AS$11:$AS963="✓")),"")</f>
        <v/>
      </c>
      <c r="BA963" s="21" t="str">
        <f>IF($AL963="","",$AL963&amp;"|"&amp;COUNTIF($AL$11:$AL963,$AL963))</f>
        <v/>
      </c>
    </row>
    <row r="964" spans="23:53" ht="15" customHeight="1" x14ac:dyDescent="0.25">
      <c r="W964" s="28" t="str">
        <f>IF(X964="","",IFERROR(INDEX($AL$11:$AL$4010,MATCH(954,$AY$11:$AY$4010,0)),""))</f>
        <v/>
      </c>
      <c r="X964" s="26" t="str">
        <f>IFERROR(INDEX($AM$11:$AM$4010,MATCH(954,$AY$11:$AY$4010,0)),"")</f>
        <v/>
      </c>
      <c r="Y964" s="25" t="str">
        <f>IF(X964="","",IFERROR(INDEX($AN$11:$AN$4010,MATCH(954,$AY$11:$AY$4010,0)),""))</f>
        <v/>
      </c>
      <c r="Z964" s="25" t="str">
        <f>IF(X964="","",IFERROR(INDEX($AO$11:$AO$4010,MATCH(954,$AY$11:$AY$4010,0)),""))</f>
        <v/>
      </c>
      <c r="AA964" s="24" t="str">
        <f>IF(X964="","",IFERROR(INDEX($AQ$11:$AQ$4010,MATCH(954,$AY$11:$AY$4010,0)),""))</f>
        <v/>
      </c>
      <c r="AB964" s="29" t="str">
        <f>IF(X964="","",IFERROR(INDEX($AR$11:$AR$4010,MATCH(954,$AY$11:$AY$4010,0)),""))</f>
        <v/>
      </c>
      <c r="AD964" s="30" t="str">
        <f>IF(AE964="","",IFERROR(INDEX($AL$11:$AL$4010,MATCH(954,$AZ$11:$AZ$4010,0)),""))</f>
        <v/>
      </c>
      <c r="AE964" s="26" t="str">
        <f>IFERROR(INDEX($AM$11:$AM$4010,MATCH(954,$AZ$11:$AZ$4010,0)),"")</f>
        <v/>
      </c>
      <c r="AF964" s="25" t="str">
        <f>IF(AE964="","",IFERROR(INDEX($AN$11:$AN$4010,MATCH(954,$AZ$11:$AZ$4010,0)),""))</f>
        <v/>
      </c>
      <c r="AG964" s="25" t="str">
        <f>IF(AE964="","",IFERROR(INDEX($AO$11:$AO$4010,MATCH(954,$AZ$11:$AZ$4010,0)),""))</f>
        <v/>
      </c>
      <c r="AH964" s="24" t="str">
        <f>IF(AE964="","",IFERROR(INDEX($AQ$11:$AQ$4010,MATCH(954,$AZ$11:$AZ$4010,0)),""))</f>
        <v/>
      </c>
      <c r="AI964" s="29" t="str">
        <f>IF(AE964="","",IFERROR(INDEX($AR$11:$AR$4010,MATCH(954,$AZ$11:$AZ$4010,0)),""))</f>
        <v/>
      </c>
      <c r="AJ964" s="29" t="str">
        <f>IF(AE964="","",IFERROR(INDEX($AT$11:$AT$4010,MATCH(954,$AZ$11:$AZ$4010,0)),""))</f>
        <v/>
      </c>
      <c r="AL964" s="31"/>
      <c r="AM964" s="26"/>
      <c r="AN964" s="32"/>
      <c r="AO964" s="32"/>
      <c r="AP964" s="24"/>
      <c r="AQ964" s="24"/>
      <c r="AR964" s="33"/>
      <c r="AS964" s="34"/>
      <c r="AT964" s="33"/>
      <c r="AV964" s="21">
        <f>IF(AND($AL964&lt;&gt;"",COUNTIF($AL$11:$AL964,$AL964)=1),1,0)</f>
        <v>0</v>
      </c>
      <c r="AW964" s="21">
        <f t="shared" si="115"/>
        <v>0</v>
      </c>
      <c r="AX964" s="21" t="str">
        <f t="shared" si="114"/>
        <v/>
      </c>
      <c r="AY964" s="21" t="str">
        <f>IF(AND($AM964&lt;&gt;"",$AS964&lt;&gt;"✓"),SUMPRODUCT(($AM$11:$AM964&lt;&gt;"")*($AS$11:$AS964&lt;&gt;"✓")),"")</f>
        <v/>
      </c>
      <c r="AZ964" s="21" t="str">
        <f>IF(AND($AM964&lt;&gt;"",$AS964="✓"),SUMPRODUCT(($AM$11:$AM964&lt;&gt;"")*($AS$11:$AS964="✓")),"")</f>
        <v/>
      </c>
      <c r="BA964" s="21" t="str">
        <f>IF($AL964="","",$AL964&amp;"|"&amp;COUNTIF($AL$11:$AL964,$AL964))</f>
        <v/>
      </c>
    </row>
    <row r="965" spans="23:53" ht="15" customHeight="1" x14ac:dyDescent="0.25">
      <c r="W965" s="14" t="str">
        <f>IF(X965="","",IFERROR(INDEX($AL$11:$AL$4010,MATCH(955,$AY$11:$AY$4010,0)),""))</f>
        <v/>
      </c>
      <c r="X965" s="12" t="str">
        <f>IFERROR(INDEX($AM$11:$AM$4010,MATCH(955,$AY$11:$AY$4010,0)),"")</f>
        <v/>
      </c>
      <c r="Y965" s="11" t="str">
        <f>IF(X965="","",IFERROR(INDEX($AN$11:$AN$4010,MATCH(955,$AY$11:$AY$4010,0)),""))</f>
        <v/>
      </c>
      <c r="Z965" s="11" t="str">
        <f>IF(X965="","",IFERROR(INDEX($AO$11:$AO$4010,MATCH(955,$AY$11:$AY$4010,0)),""))</f>
        <v/>
      </c>
      <c r="AA965" s="10" t="str">
        <f>IF(X965="","",IFERROR(INDEX($AQ$11:$AQ$4010,MATCH(955,$AY$11:$AY$4010,0)),""))</f>
        <v/>
      </c>
      <c r="AB965" s="15" t="str">
        <f>IF(X965="","",IFERROR(INDEX($AR$11:$AR$4010,MATCH(955,$AY$11:$AY$4010,0)),""))</f>
        <v/>
      </c>
      <c r="AD965" s="16" t="str">
        <f>IF(AE965="","",IFERROR(INDEX($AL$11:$AL$4010,MATCH(955,$AZ$11:$AZ$4010,0)),""))</f>
        <v/>
      </c>
      <c r="AE965" s="12" t="str">
        <f>IFERROR(INDEX($AM$11:$AM$4010,MATCH(955,$AZ$11:$AZ$4010,0)),"")</f>
        <v/>
      </c>
      <c r="AF965" s="11" t="str">
        <f>IF(AE965="","",IFERROR(INDEX($AN$11:$AN$4010,MATCH(955,$AZ$11:$AZ$4010,0)),""))</f>
        <v/>
      </c>
      <c r="AG965" s="11" t="str">
        <f>IF(AE965="","",IFERROR(INDEX($AO$11:$AO$4010,MATCH(955,$AZ$11:$AZ$4010,0)),""))</f>
        <v/>
      </c>
      <c r="AH965" s="10" t="str">
        <f>IF(AE965="","",IFERROR(INDEX($AQ$11:$AQ$4010,MATCH(955,$AZ$11:$AZ$4010,0)),""))</f>
        <v/>
      </c>
      <c r="AI965" s="15" t="str">
        <f>IF(AE965="","",IFERROR(INDEX($AR$11:$AR$4010,MATCH(955,$AZ$11:$AZ$4010,0)),""))</f>
        <v/>
      </c>
      <c r="AJ965" s="15" t="str">
        <f>IF(AE965="","",IFERROR(INDEX($AT$11:$AT$4010,MATCH(955,$AZ$11:$AZ$4010,0)),""))</f>
        <v/>
      </c>
      <c r="AL965" s="17"/>
      <c r="AM965" s="12"/>
      <c r="AN965" s="18"/>
      <c r="AO965" s="18"/>
      <c r="AP965" s="10"/>
      <c r="AQ965" s="10"/>
      <c r="AR965" s="19"/>
      <c r="AS965" s="20"/>
      <c r="AT965" s="19"/>
      <c r="AV965" s="21">
        <f>IF(AND($AL965&lt;&gt;"",COUNTIF($AL$11:$AL965,$AL965)=1),1,0)</f>
        <v>0</v>
      </c>
      <c r="AW965" s="21">
        <f t="shared" si="115"/>
        <v>0</v>
      </c>
      <c r="AX965" s="21" t="str">
        <f t="shared" si="114"/>
        <v/>
      </c>
      <c r="AY965" s="21" t="str">
        <f>IF(AND($AM965&lt;&gt;"",$AS965&lt;&gt;"✓"),SUMPRODUCT(($AM$11:$AM965&lt;&gt;"")*($AS$11:$AS965&lt;&gt;"✓")),"")</f>
        <v/>
      </c>
      <c r="AZ965" s="21" t="str">
        <f>IF(AND($AM965&lt;&gt;"",$AS965="✓"),SUMPRODUCT(($AM$11:$AM965&lt;&gt;"")*($AS$11:$AS965="✓")),"")</f>
        <v/>
      </c>
      <c r="BA965" s="21" t="str">
        <f>IF($AL965="","",$AL965&amp;"|"&amp;COUNTIF($AL$11:$AL965,$AL965))</f>
        <v/>
      </c>
    </row>
    <row r="966" spans="23:53" ht="15" customHeight="1" x14ac:dyDescent="0.25">
      <c r="W966" s="28" t="str">
        <f>IF(X966="","",IFERROR(INDEX($AL$11:$AL$4010,MATCH(956,$AY$11:$AY$4010,0)),""))</f>
        <v/>
      </c>
      <c r="X966" s="26" t="str">
        <f>IFERROR(INDEX($AM$11:$AM$4010,MATCH(956,$AY$11:$AY$4010,0)),"")</f>
        <v/>
      </c>
      <c r="Y966" s="25" t="str">
        <f>IF(X966="","",IFERROR(INDEX($AN$11:$AN$4010,MATCH(956,$AY$11:$AY$4010,0)),""))</f>
        <v/>
      </c>
      <c r="Z966" s="25" t="str">
        <f>IF(X966="","",IFERROR(INDEX($AO$11:$AO$4010,MATCH(956,$AY$11:$AY$4010,0)),""))</f>
        <v/>
      </c>
      <c r="AA966" s="24" t="str">
        <f>IF(X966="","",IFERROR(INDEX($AQ$11:$AQ$4010,MATCH(956,$AY$11:$AY$4010,0)),""))</f>
        <v/>
      </c>
      <c r="AB966" s="29" t="str">
        <f>IF(X966="","",IFERROR(INDEX($AR$11:$AR$4010,MATCH(956,$AY$11:$AY$4010,0)),""))</f>
        <v/>
      </c>
      <c r="AD966" s="30" t="str">
        <f>IF(AE966="","",IFERROR(INDEX($AL$11:$AL$4010,MATCH(956,$AZ$11:$AZ$4010,0)),""))</f>
        <v/>
      </c>
      <c r="AE966" s="26" t="str">
        <f>IFERROR(INDEX($AM$11:$AM$4010,MATCH(956,$AZ$11:$AZ$4010,0)),"")</f>
        <v/>
      </c>
      <c r="AF966" s="25" t="str">
        <f>IF(AE966="","",IFERROR(INDEX($AN$11:$AN$4010,MATCH(956,$AZ$11:$AZ$4010,0)),""))</f>
        <v/>
      </c>
      <c r="AG966" s="25" t="str">
        <f>IF(AE966="","",IFERROR(INDEX($AO$11:$AO$4010,MATCH(956,$AZ$11:$AZ$4010,0)),""))</f>
        <v/>
      </c>
      <c r="AH966" s="24" t="str">
        <f>IF(AE966="","",IFERROR(INDEX($AQ$11:$AQ$4010,MATCH(956,$AZ$11:$AZ$4010,0)),""))</f>
        <v/>
      </c>
      <c r="AI966" s="29" t="str">
        <f>IF(AE966="","",IFERROR(INDEX($AR$11:$AR$4010,MATCH(956,$AZ$11:$AZ$4010,0)),""))</f>
        <v/>
      </c>
      <c r="AJ966" s="29" t="str">
        <f>IF(AE966="","",IFERROR(INDEX($AT$11:$AT$4010,MATCH(956,$AZ$11:$AZ$4010,0)),""))</f>
        <v/>
      </c>
      <c r="AL966" s="31"/>
      <c r="AM966" s="26"/>
      <c r="AN966" s="32"/>
      <c r="AO966" s="32"/>
      <c r="AP966" s="24"/>
      <c r="AQ966" s="24"/>
      <c r="AR966" s="33"/>
      <c r="AS966" s="34"/>
      <c r="AT966" s="33"/>
      <c r="AV966" s="21">
        <f>IF(AND($AL966&lt;&gt;"",COUNTIF($AL$11:$AL966,$AL966)=1),1,0)</f>
        <v>0</v>
      </c>
      <c r="AW966" s="21">
        <f t="shared" si="115"/>
        <v>0</v>
      </c>
      <c r="AX966" s="21" t="str">
        <f t="shared" si="114"/>
        <v/>
      </c>
      <c r="AY966" s="21" t="str">
        <f>IF(AND($AM966&lt;&gt;"",$AS966&lt;&gt;"✓"),SUMPRODUCT(($AM$11:$AM966&lt;&gt;"")*($AS$11:$AS966&lt;&gt;"✓")),"")</f>
        <v/>
      </c>
      <c r="AZ966" s="21" t="str">
        <f>IF(AND($AM966&lt;&gt;"",$AS966="✓"),SUMPRODUCT(($AM$11:$AM966&lt;&gt;"")*($AS$11:$AS966="✓")),"")</f>
        <v/>
      </c>
      <c r="BA966" s="21" t="str">
        <f>IF($AL966="","",$AL966&amp;"|"&amp;COUNTIF($AL$11:$AL966,$AL966))</f>
        <v/>
      </c>
    </row>
    <row r="967" spans="23:53" ht="15" customHeight="1" x14ac:dyDescent="0.25">
      <c r="W967" s="14" t="str">
        <f>IF(X967="","",IFERROR(INDEX($AL$11:$AL$4010,MATCH(957,$AY$11:$AY$4010,0)),""))</f>
        <v/>
      </c>
      <c r="X967" s="12" t="str">
        <f>IFERROR(INDEX($AM$11:$AM$4010,MATCH(957,$AY$11:$AY$4010,0)),"")</f>
        <v/>
      </c>
      <c r="Y967" s="11" t="str">
        <f>IF(X967="","",IFERROR(INDEX($AN$11:$AN$4010,MATCH(957,$AY$11:$AY$4010,0)),""))</f>
        <v/>
      </c>
      <c r="Z967" s="11" t="str">
        <f>IF(X967="","",IFERROR(INDEX($AO$11:$AO$4010,MATCH(957,$AY$11:$AY$4010,0)),""))</f>
        <v/>
      </c>
      <c r="AA967" s="10" t="str">
        <f>IF(X967="","",IFERROR(INDEX($AQ$11:$AQ$4010,MATCH(957,$AY$11:$AY$4010,0)),""))</f>
        <v/>
      </c>
      <c r="AB967" s="15" t="str">
        <f>IF(X967="","",IFERROR(INDEX($AR$11:$AR$4010,MATCH(957,$AY$11:$AY$4010,0)),""))</f>
        <v/>
      </c>
      <c r="AD967" s="16" t="str">
        <f>IF(AE967="","",IFERROR(INDEX($AL$11:$AL$4010,MATCH(957,$AZ$11:$AZ$4010,0)),""))</f>
        <v/>
      </c>
      <c r="AE967" s="12" t="str">
        <f>IFERROR(INDEX($AM$11:$AM$4010,MATCH(957,$AZ$11:$AZ$4010,0)),"")</f>
        <v/>
      </c>
      <c r="AF967" s="11" t="str">
        <f>IF(AE967="","",IFERROR(INDEX($AN$11:$AN$4010,MATCH(957,$AZ$11:$AZ$4010,0)),""))</f>
        <v/>
      </c>
      <c r="AG967" s="11" t="str">
        <f>IF(AE967="","",IFERROR(INDEX($AO$11:$AO$4010,MATCH(957,$AZ$11:$AZ$4010,0)),""))</f>
        <v/>
      </c>
      <c r="AH967" s="10" t="str">
        <f>IF(AE967="","",IFERROR(INDEX($AQ$11:$AQ$4010,MATCH(957,$AZ$11:$AZ$4010,0)),""))</f>
        <v/>
      </c>
      <c r="AI967" s="15" t="str">
        <f>IF(AE967="","",IFERROR(INDEX($AR$11:$AR$4010,MATCH(957,$AZ$11:$AZ$4010,0)),""))</f>
        <v/>
      </c>
      <c r="AJ967" s="15" t="str">
        <f>IF(AE967="","",IFERROR(INDEX($AT$11:$AT$4010,MATCH(957,$AZ$11:$AZ$4010,0)),""))</f>
        <v/>
      </c>
      <c r="AL967" s="17"/>
      <c r="AM967" s="12"/>
      <c r="AN967" s="18"/>
      <c r="AO967" s="18"/>
      <c r="AP967" s="10"/>
      <c r="AQ967" s="10"/>
      <c r="AR967" s="19"/>
      <c r="AS967" s="20"/>
      <c r="AT967" s="19"/>
      <c r="AV967" s="21">
        <f>IF(AND($AL967&lt;&gt;"",COUNTIF($AL$11:$AL967,$AL967)=1),1,0)</f>
        <v>0</v>
      </c>
      <c r="AW967" s="21">
        <f t="shared" si="115"/>
        <v>0</v>
      </c>
      <c r="AX967" s="21" t="str">
        <f t="shared" si="114"/>
        <v/>
      </c>
      <c r="AY967" s="21" t="str">
        <f>IF(AND($AM967&lt;&gt;"",$AS967&lt;&gt;"✓"),SUMPRODUCT(($AM$11:$AM967&lt;&gt;"")*($AS$11:$AS967&lt;&gt;"✓")),"")</f>
        <v/>
      </c>
      <c r="AZ967" s="21" t="str">
        <f>IF(AND($AM967&lt;&gt;"",$AS967="✓"),SUMPRODUCT(($AM$11:$AM967&lt;&gt;"")*($AS$11:$AS967="✓")),"")</f>
        <v/>
      </c>
      <c r="BA967" s="21" t="str">
        <f>IF($AL967="","",$AL967&amp;"|"&amp;COUNTIF($AL$11:$AL967,$AL967))</f>
        <v/>
      </c>
    </row>
    <row r="968" spans="23:53" ht="15" customHeight="1" x14ac:dyDescent="0.25">
      <c r="W968" s="28" t="str">
        <f>IF(X968="","",IFERROR(INDEX($AL$11:$AL$4010,MATCH(958,$AY$11:$AY$4010,0)),""))</f>
        <v/>
      </c>
      <c r="X968" s="26" t="str">
        <f>IFERROR(INDEX($AM$11:$AM$4010,MATCH(958,$AY$11:$AY$4010,0)),"")</f>
        <v/>
      </c>
      <c r="Y968" s="25" t="str">
        <f>IF(X968="","",IFERROR(INDEX($AN$11:$AN$4010,MATCH(958,$AY$11:$AY$4010,0)),""))</f>
        <v/>
      </c>
      <c r="Z968" s="25" t="str">
        <f>IF(X968="","",IFERROR(INDEX($AO$11:$AO$4010,MATCH(958,$AY$11:$AY$4010,0)),""))</f>
        <v/>
      </c>
      <c r="AA968" s="24" t="str">
        <f>IF(X968="","",IFERROR(INDEX($AQ$11:$AQ$4010,MATCH(958,$AY$11:$AY$4010,0)),""))</f>
        <v/>
      </c>
      <c r="AB968" s="29" t="str">
        <f>IF(X968="","",IFERROR(INDEX($AR$11:$AR$4010,MATCH(958,$AY$11:$AY$4010,0)),""))</f>
        <v/>
      </c>
      <c r="AD968" s="30" t="str">
        <f>IF(AE968="","",IFERROR(INDEX($AL$11:$AL$4010,MATCH(958,$AZ$11:$AZ$4010,0)),""))</f>
        <v/>
      </c>
      <c r="AE968" s="26" t="str">
        <f>IFERROR(INDEX($AM$11:$AM$4010,MATCH(958,$AZ$11:$AZ$4010,0)),"")</f>
        <v/>
      </c>
      <c r="AF968" s="25" t="str">
        <f>IF(AE968="","",IFERROR(INDEX($AN$11:$AN$4010,MATCH(958,$AZ$11:$AZ$4010,0)),""))</f>
        <v/>
      </c>
      <c r="AG968" s="25" t="str">
        <f>IF(AE968="","",IFERROR(INDEX($AO$11:$AO$4010,MATCH(958,$AZ$11:$AZ$4010,0)),""))</f>
        <v/>
      </c>
      <c r="AH968" s="24" t="str">
        <f>IF(AE968="","",IFERROR(INDEX($AQ$11:$AQ$4010,MATCH(958,$AZ$11:$AZ$4010,0)),""))</f>
        <v/>
      </c>
      <c r="AI968" s="29" t="str">
        <f>IF(AE968="","",IFERROR(INDEX($AR$11:$AR$4010,MATCH(958,$AZ$11:$AZ$4010,0)),""))</f>
        <v/>
      </c>
      <c r="AJ968" s="29" t="str">
        <f>IF(AE968="","",IFERROR(INDEX($AT$11:$AT$4010,MATCH(958,$AZ$11:$AZ$4010,0)),""))</f>
        <v/>
      </c>
      <c r="AL968" s="31"/>
      <c r="AM968" s="26"/>
      <c r="AN968" s="32"/>
      <c r="AO968" s="32"/>
      <c r="AP968" s="24"/>
      <c r="AQ968" s="24"/>
      <c r="AR968" s="33"/>
      <c r="AS968" s="34"/>
      <c r="AT968" s="33"/>
      <c r="AV968" s="21">
        <f>IF(AND($AL968&lt;&gt;"",COUNTIF($AL$11:$AL968,$AL968)=1),1,0)</f>
        <v>0</v>
      </c>
      <c r="AW968" s="21">
        <f t="shared" si="115"/>
        <v>0</v>
      </c>
      <c r="AX968" s="21" t="str">
        <f t="shared" si="114"/>
        <v/>
      </c>
      <c r="AY968" s="21" t="str">
        <f>IF(AND($AM968&lt;&gt;"",$AS968&lt;&gt;"✓"),SUMPRODUCT(($AM$11:$AM968&lt;&gt;"")*($AS$11:$AS968&lt;&gt;"✓")),"")</f>
        <v/>
      </c>
      <c r="AZ968" s="21" t="str">
        <f>IF(AND($AM968&lt;&gt;"",$AS968="✓"),SUMPRODUCT(($AM$11:$AM968&lt;&gt;"")*($AS$11:$AS968="✓")),"")</f>
        <v/>
      </c>
      <c r="BA968" s="21" t="str">
        <f>IF($AL968="","",$AL968&amp;"|"&amp;COUNTIF($AL$11:$AL968,$AL968))</f>
        <v/>
      </c>
    </row>
    <row r="969" spans="23:53" ht="15" customHeight="1" x14ac:dyDescent="0.25">
      <c r="W969" s="14" t="str">
        <f>IF(X969="","",IFERROR(INDEX($AL$11:$AL$4010,MATCH(959,$AY$11:$AY$4010,0)),""))</f>
        <v/>
      </c>
      <c r="X969" s="12" t="str">
        <f>IFERROR(INDEX($AM$11:$AM$4010,MATCH(959,$AY$11:$AY$4010,0)),"")</f>
        <v/>
      </c>
      <c r="Y969" s="11" t="str">
        <f>IF(X969="","",IFERROR(INDEX($AN$11:$AN$4010,MATCH(959,$AY$11:$AY$4010,0)),""))</f>
        <v/>
      </c>
      <c r="Z969" s="11" t="str">
        <f>IF(X969="","",IFERROR(INDEX($AO$11:$AO$4010,MATCH(959,$AY$11:$AY$4010,0)),""))</f>
        <v/>
      </c>
      <c r="AA969" s="10" t="str">
        <f>IF(X969="","",IFERROR(INDEX($AQ$11:$AQ$4010,MATCH(959,$AY$11:$AY$4010,0)),""))</f>
        <v/>
      </c>
      <c r="AB969" s="15" t="str">
        <f>IF(X969="","",IFERROR(INDEX($AR$11:$AR$4010,MATCH(959,$AY$11:$AY$4010,0)),""))</f>
        <v/>
      </c>
      <c r="AD969" s="16" t="str">
        <f>IF(AE969="","",IFERROR(INDEX($AL$11:$AL$4010,MATCH(959,$AZ$11:$AZ$4010,0)),""))</f>
        <v/>
      </c>
      <c r="AE969" s="12" t="str">
        <f>IFERROR(INDEX($AM$11:$AM$4010,MATCH(959,$AZ$11:$AZ$4010,0)),"")</f>
        <v/>
      </c>
      <c r="AF969" s="11" t="str">
        <f>IF(AE969="","",IFERROR(INDEX($AN$11:$AN$4010,MATCH(959,$AZ$11:$AZ$4010,0)),""))</f>
        <v/>
      </c>
      <c r="AG969" s="11" t="str">
        <f>IF(AE969="","",IFERROR(INDEX($AO$11:$AO$4010,MATCH(959,$AZ$11:$AZ$4010,0)),""))</f>
        <v/>
      </c>
      <c r="AH969" s="10" t="str">
        <f>IF(AE969="","",IFERROR(INDEX($AQ$11:$AQ$4010,MATCH(959,$AZ$11:$AZ$4010,0)),""))</f>
        <v/>
      </c>
      <c r="AI969" s="15" t="str">
        <f>IF(AE969="","",IFERROR(INDEX($AR$11:$AR$4010,MATCH(959,$AZ$11:$AZ$4010,0)),""))</f>
        <v/>
      </c>
      <c r="AJ969" s="15" t="str">
        <f>IF(AE969="","",IFERROR(INDEX($AT$11:$AT$4010,MATCH(959,$AZ$11:$AZ$4010,0)),""))</f>
        <v/>
      </c>
      <c r="AL969" s="17"/>
      <c r="AM969" s="12"/>
      <c r="AN969" s="18"/>
      <c r="AO969" s="18"/>
      <c r="AP969" s="10"/>
      <c r="AQ969" s="10"/>
      <c r="AR969" s="19"/>
      <c r="AS969" s="20"/>
      <c r="AT969" s="19"/>
      <c r="AV969" s="21">
        <f>IF(AND($AL969&lt;&gt;"",COUNTIF($AL$11:$AL969,$AL969)=1),1,0)</f>
        <v>0</v>
      </c>
      <c r="AW969" s="21">
        <f t="shared" si="115"/>
        <v>0</v>
      </c>
      <c r="AX969" s="21" t="str">
        <f t="shared" si="114"/>
        <v/>
      </c>
      <c r="AY969" s="21" t="str">
        <f>IF(AND($AM969&lt;&gt;"",$AS969&lt;&gt;"✓"),SUMPRODUCT(($AM$11:$AM969&lt;&gt;"")*($AS$11:$AS969&lt;&gt;"✓")),"")</f>
        <v/>
      </c>
      <c r="AZ969" s="21" t="str">
        <f>IF(AND($AM969&lt;&gt;"",$AS969="✓"),SUMPRODUCT(($AM$11:$AM969&lt;&gt;"")*($AS$11:$AS969="✓")),"")</f>
        <v/>
      </c>
      <c r="BA969" s="21" t="str">
        <f>IF($AL969="","",$AL969&amp;"|"&amp;COUNTIF($AL$11:$AL969,$AL969))</f>
        <v/>
      </c>
    </row>
    <row r="970" spans="23:53" ht="15" customHeight="1" x14ac:dyDescent="0.25">
      <c r="W970" s="28" t="str">
        <f>IF(X970="","",IFERROR(INDEX($AL$11:$AL$4010,MATCH(960,$AY$11:$AY$4010,0)),""))</f>
        <v/>
      </c>
      <c r="X970" s="26" t="str">
        <f>IFERROR(INDEX($AM$11:$AM$4010,MATCH(960,$AY$11:$AY$4010,0)),"")</f>
        <v/>
      </c>
      <c r="Y970" s="25" t="str">
        <f>IF(X970="","",IFERROR(INDEX($AN$11:$AN$4010,MATCH(960,$AY$11:$AY$4010,0)),""))</f>
        <v/>
      </c>
      <c r="Z970" s="25" t="str">
        <f>IF(X970="","",IFERROR(INDEX($AO$11:$AO$4010,MATCH(960,$AY$11:$AY$4010,0)),""))</f>
        <v/>
      </c>
      <c r="AA970" s="24" t="str">
        <f>IF(X970="","",IFERROR(INDEX($AQ$11:$AQ$4010,MATCH(960,$AY$11:$AY$4010,0)),""))</f>
        <v/>
      </c>
      <c r="AB970" s="29" t="str">
        <f>IF(X970="","",IFERROR(INDEX($AR$11:$AR$4010,MATCH(960,$AY$11:$AY$4010,0)),""))</f>
        <v/>
      </c>
      <c r="AD970" s="30" t="str">
        <f>IF(AE970="","",IFERROR(INDEX($AL$11:$AL$4010,MATCH(960,$AZ$11:$AZ$4010,0)),""))</f>
        <v/>
      </c>
      <c r="AE970" s="26" t="str">
        <f>IFERROR(INDEX($AM$11:$AM$4010,MATCH(960,$AZ$11:$AZ$4010,0)),"")</f>
        <v/>
      </c>
      <c r="AF970" s="25" t="str">
        <f>IF(AE970="","",IFERROR(INDEX($AN$11:$AN$4010,MATCH(960,$AZ$11:$AZ$4010,0)),""))</f>
        <v/>
      </c>
      <c r="AG970" s="25" t="str">
        <f>IF(AE970="","",IFERROR(INDEX($AO$11:$AO$4010,MATCH(960,$AZ$11:$AZ$4010,0)),""))</f>
        <v/>
      </c>
      <c r="AH970" s="24" t="str">
        <f>IF(AE970="","",IFERROR(INDEX($AQ$11:$AQ$4010,MATCH(960,$AZ$11:$AZ$4010,0)),""))</f>
        <v/>
      </c>
      <c r="AI970" s="29" t="str">
        <f>IF(AE970="","",IFERROR(INDEX($AR$11:$AR$4010,MATCH(960,$AZ$11:$AZ$4010,0)),""))</f>
        <v/>
      </c>
      <c r="AJ970" s="29" t="str">
        <f>IF(AE970="","",IFERROR(INDEX($AT$11:$AT$4010,MATCH(960,$AZ$11:$AZ$4010,0)),""))</f>
        <v/>
      </c>
      <c r="AL970" s="31"/>
      <c r="AM970" s="26"/>
      <c r="AN970" s="32"/>
      <c r="AO970" s="32"/>
      <c r="AP970" s="24"/>
      <c r="AQ970" s="24"/>
      <c r="AR970" s="33"/>
      <c r="AS970" s="34"/>
      <c r="AT970" s="33"/>
      <c r="AV970" s="21">
        <f>IF(AND($AL970&lt;&gt;"",COUNTIF($AL$11:$AL970,$AL970)=1),1,0)</f>
        <v>0</v>
      </c>
      <c r="AW970" s="21">
        <f t="shared" si="115"/>
        <v>0</v>
      </c>
      <c r="AX970" s="21" t="str">
        <f t="shared" si="114"/>
        <v/>
      </c>
      <c r="AY970" s="21" t="str">
        <f>IF(AND($AM970&lt;&gt;"",$AS970&lt;&gt;"✓"),SUMPRODUCT(($AM$11:$AM970&lt;&gt;"")*($AS$11:$AS970&lt;&gt;"✓")),"")</f>
        <v/>
      </c>
      <c r="AZ970" s="21" t="str">
        <f>IF(AND($AM970&lt;&gt;"",$AS970="✓"),SUMPRODUCT(($AM$11:$AM970&lt;&gt;"")*($AS$11:$AS970="✓")),"")</f>
        <v/>
      </c>
      <c r="BA970" s="21" t="str">
        <f>IF($AL970="","",$AL970&amp;"|"&amp;COUNTIF($AL$11:$AL970,$AL970))</f>
        <v/>
      </c>
    </row>
    <row r="971" spans="23:53" ht="15" customHeight="1" x14ac:dyDescent="0.25">
      <c r="W971" s="14" t="str">
        <f>IF(X971="","",IFERROR(INDEX($AL$11:$AL$4010,MATCH(961,$AY$11:$AY$4010,0)),""))</f>
        <v/>
      </c>
      <c r="X971" s="12" t="str">
        <f>IFERROR(INDEX($AM$11:$AM$4010,MATCH(961,$AY$11:$AY$4010,0)),"")</f>
        <v/>
      </c>
      <c r="Y971" s="11" t="str">
        <f>IF(X971="","",IFERROR(INDEX($AN$11:$AN$4010,MATCH(961,$AY$11:$AY$4010,0)),""))</f>
        <v/>
      </c>
      <c r="Z971" s="11" t="str">
        <f>IF(X971="","",IFERROR(INDEX($AO$11:$AO$4010,MATCH(961,$AY$11:$AY$4010,0)),""))</f>
        <v/>
      </c>
      <c r="AA971" s="10" t="str">
        <f>IF(X971="","",IFERROR(INDEX($AQ$11:$AQ$4010,MATCH(961,$AY$11:$AY$4010,0)),""))</f>
        <v/>
      </c>
      <c r="AB971" s="15" t="str">
        <f>IF(X971="","",IFERROR(INDEX($AR$11:$AR$4010,MATCH(961,$AY$11:$AY$4010,0)),""))</f>
        <v/>
      </c>
      <c r="AD971" s="16" t="str">
        <f>IF(AE971="","",IFERROR(INDEX($AL$11:$AL$4010,MATCH(961,$AZ$11:$AZ$4010,0)),""))</f>
        <v/>
      </c>
      <c r="AE971" s="12" t="str">
        <f>IFERROR(INDEX($AM$11:$AM$4010,MATCH(961,$AZ$11:$AZ$4010,0)),"")</f>
        <v/>
      </c>
      <c r="AF971" s="11" t="str">
        <f>IF(AE971="","",IFERROR(INDEX($AN$11:$AN$4010,MATCH(961,$AZ$11:$AZ$4010,0)),""))</f>
        <v/>
      </c>
      <c r="AG971" s="11" t="str">
        <f>IF(AE971="","",IFERROR(INDEX($AO$11:$AO$4010,MATCH(961,$AZ$11:$AZ$4010,0)),""))</f>
        <v/>
      </c>
      <c r="AH971" s="10" t="str">
        <f>IF(AE971="","",IFERROR(INDEX($AQ$11:$AQ$4010,MATCH(961,$AZ$11:$AZ$4010,0)),""))</f>
        <v/>
      </c>
      <c r="AI971" s="15" t="str">
        <f>IF(AE971="","",IFERROR(INDEX($AR$11:$AR$4010,MATCH(961,$AZ$11:$AZ$4010,0)),""))</f>
        <v/>
      </c>
      <c r="AJ971" s="15" t="str">
        <f>IF(AE971="","",IFERROR(INDEX($AT$11:$AT$4010,MATCH(961,$AZ$11:$AZ$4010,0)),""))</f>
        <v/>
      </c>
      <c r="AL971" s="17"/>
      <c r="AM971" s="12"/>
      <c r="AN971" s="18"/>
      <c r="AO971" s="18"/>
      <c r="AP971" s="10"/>
      <c r="AQ971" s="10"/>
      <c r="AR971" s="19"/>
      <c r="AS971" s="20"/>
      <c r="AT971" s="19"/>
      <c r="AV971" s="21">
        <f>IF(AND($AL971&lt;&gt;"",COUNTIF($AL$11:$AL971,$AL971)=1),1,0)</f>
        <v>0</v>
      </c>
      <c r="AW971" s="21">
        <f t="shared" si="115"/>
        <v>0</v>
      </c>
      <c r="AX971" s="21" t="str">
        <f t="shared" ref="AX971:AX1034" si="116">IF(AV971=1,AW971,"")</f>
        <v/>
      </c>
      <c r="AY971" s="21" t="str">
        <f>IF(AND($AM971&lt;&gt;"",$AS971&lt;&gt;"✓"),SUMPRODUCT(($AM$11:$AM971&lt;&gt;"")*($AS$11:$AS971&lt;&gt;"✓")),"")</f>
        <v/>
      </c>
      <c r="AZ971" s="21" t="str">
        <f>IF(AND($AM971&lt;&gt;"",$AS971="✓"),SUMPRODUCT(($AM$11:$AM971&lt;&gt;"")*($AS$11:$AS971="✓")),"")</f>
        <v/>
      </c>
      <c r="BA971" s="21" t="str">
        <f>IF($AL971="","",$AL971&amp;"|"&amp;COUNTIF($AL$11:$AL971,$AL971))</f>
        <v/>
      </c>
    </row>
    <row r="972" spans="23:53" ht="15" customHeight="1" x14ac:dyDescent="0.25">
      <c r="W972" s="28" t="str">
        <f>IF(X972="","",IFERROR(INDEX($AL$11:$AL$4010,MATCH(962,$AY$11:$AY$4010,0)),""))</f>
        <v/>
      </c>
      <c r="X972" s="26" t="str">
        <f>IFERROR(INDEX($AM$11:$AM$4010,MATCH(962,$AY$11:$AY$4010,0)),"")</f>
        <v/>
      </c>
      <c r="Y972" s="25" t="str">
        <f>IF(X972="","",IFERROR(INDEX($AN$11:$AN$4010,MATCH(962,$AY$11:$AY$4010,0)),""))</f>
        <v/>
      </c>
      <c r="Z972" s="25" t="str">
        <f>IF(X972="","",IFERROR(INDEX($AO$11:$AO$4010,MATCH(962,$AY$11:$AY$4010,0)),""))</f>
        <v/>
      </c>
      <c r="AA972" s="24" t="str">
        <f>IF(X972="","",IFERROR(INDEX($AQ$11:$AQ$4010,MATCH(962,$AY$11:$AY$4010,0)),""))</f>
        <v/>
      </c>
      <c r="AB972" s="29" t="str">
        <f>IF(X972="","",IFERROR(INDEX($AR$11:$AR$4010,MATCH(962,$AY$11:$AY$4010,0)),""))</f>
        <v/>
      </c>
      <c r="AD972" s="30" t="str">
        <f>IF(AE972="","",IFERROR(INDEX($AL$11:$AL$4010,MATCH(962,$AZ$11:$AZ$4010,0)),""))</f>
        <v/>
      </c>
      <c r="AE972" s="26" t="str">
        <f>IFERROR(INDEX($AM$11:$AM$4010,MATCH(962,$AZ$11:$AZ$4010,0)),"")</f>
        <v/>
      </c>
      <c r="AF972" s="25" t="str">
        <f>IF(AE972="","",IFERROR(INDEX($AN$11:$AN$4010,MATCH(962,$AZ$11:$AZ$4010,0)),""))</f>
        <v/>
      </c>
      <c r="AG972" s="25" t="str">
        <f>IF(AE972="","",IFERROR(INDEX($AO$11:$AO$4010,MATCH(962,$AZ$11:$AZ$4010,0)),""))</f>
        <v/>
      </c>
      <c r="AH972" s="24" t="str">
        <f>IF(AE972="","",IFERROR(INDEX($AQ$11:$AQ$4010,MATCH(962,$AZ$11:$AZ$4010,0)),""))</f>
        <v/>
      </c>
      <c r="AI972" s="29" t="str">
        <f>IF(AE972="","",IFERROR(INDEX($AR$11:$AR$4010,MATCH(962,$AZ$11:$AZ$4010,0)),""))</f>
        <v/>
      </c>
      <c r="AJ972" s="29" t="str">
        <f>IF(AE972="","",IFERROR(INDEX($AT$11:$AT$4010,MATCH(962,$AZ$11:$AZ$4010,0)),""))</f>
        <v/>
      </c>
      <c r="AL972" s="31"/>
      <c r="AM972" s="26"/>
      <c r="AN972" s="32"/>
      <c r="AO972" s="32"/>
      <c r="AP972" s="24"/>
      <c r="AQ972" s="24"/>
      <c r="AR972" s="33"/>
      <c r="AS972" s="34"/>
      <c r="AT972" s="33"/>
      <c r="AV972" s="21">
        <f>IF(AND($AL972&lt;&gt;"",COUNTIF($AL$11:$AL972,$AL972)=1),1,0)</f>
        <v>0</v>
      </c>
      <c r="AW972" s="21">
        <f t="shared" ref="AW972:AW1035" si="117">AW971+AV972</f>
        <v>0</v>
      </c>
      <c r="AX972" s="21" t="str">
        <f t="shared" si="116"/>
        <v/>
      </c>
      <c r="AY972" s="21" t="str">
        <f>IF(AND($AM972&lt;&gt;"",$AS972&lt;&gt;"✓"),SUMPRODUCT(($AM$11:$AM972&lt;&gt;"")*($AS$11:$AS972&lt;&gt;"✓")),"")</f>
        <v/>
      </c>
      <c r="AZ972" s="21" t="str">
        <f>IF(AND($AM972&lt;&gt;"",$AS972="✓"),SUMPRODUCT(($AM$11:$AM972&lt;&gt;"")*($AS$11:$AS972="✓")),"")</f>
        <v/>
      </c>
      <c r="BA972" s="21" t="str">
        <f>IF($AL972="","",$AL972&amp;"|"&amp;COUNTIF($AL$11:$AL972,$AL972))</f>
        <v/>
      </c>
    </row>
    <row r="973" spans="23:53" ht="15" customHeight="1" x14ac:dyDescent="0.25">
      <c r="W973" s="14" t="str">
        <f>IF(X973="","",IFERROR(INDEX($AL$11:$AL$4010,MATCH(963,$AY$11:$AY$4010,0)),""))</f>
        <v/>
      </c>
      <c r="X973" s="12" t="str">
        <f>IFERROR(INDEX($AM$11:$AM$4010,MATCH(963,$AY$11:$AY$4010,0)),"")</f>
        <v/>
      </c>
      <c r="Y973" s="11" t="str">
        <f>IF(X973="","",IFERROR(INDEX($AN$11:$AN$4010,MATCH(963,$AY$11:$AY$4010,0)),""))</f>
        <v/>
      </c>
      <c r="Z973" s="11" t="str">
        <f>IF(X973="","",IFERROR(INDEX($AO$11:$AO$4010,MATCH(963,$AY$11:$AY$4010,0)),""))</f>
        <v/>
      </c>
      <c r="AA973" s="10" t="str">
        <f>IF(X973="","",IFERROR(INDEX($AQ$11:$AQ$4010,MATCH(963,$AY$11:$AY$4010,0)),""))</f>
        <v/>
      </c>
      <c r="AB973" s="15" t="str">
        <f>IF(X973="","",IFERROR(INDEX($AR$11:$AR$4010,MATCH(963,$AY$11:$AY$4010,0)),""))</f>
        <v/>
      </c>
      <c r="AD973" s="16" t="str">
        <f>IF(AE973="","",IFERROR(INDEX($AL$11:$AL$4010,MATCH(963,$AZ$11:$AZ$4010,0)),""))</f>
        <v/>
      </c>
      <c r="AE973" s="12" t="str">
        <f>IFERROR(INDEX($AM$11:$AM$4010,MATCH(963,$AZ$11:$AZ$4010,0)),"")</f>
        <v/>
      </c>
      <c r="AF973" s="11" t="str">
        <f>IF(AE973="","",IFERROR(INDEX($AN$11:$AN$4010,MATCH(963,$AZ$11:$AZ$4010,0)),""))</f>
        <v/>
      </c>
      <c r="AG973" s="11" t="str">
        <f>IF(AE973="","",IFERROR(INDEX($AO$11:$AO$4010,MATCH(963,$AZ$11:$AZ$4010,0)),""))</f>
        <v/>
      </c>
      <c r="AH973" s="10" t="str">
        <f>IF(AE973="","",IFERROR(INDEX($AQ$11:$AQ$4010,MATCH(963,$AZ$11:$AZ$4010,0)),""))</f>
        <v/>
      </c>
      <c r="AI973" s="15" t="str">
        <f>IF(AE973="","",IFERROR(INDEX($AR$11:$AR$4010,MATCH(963,$AZ$11:$AZ$4010,0)),""))</f>
        <v/>
      </c>
      <c r="AJ973" s="15" t="str">
        <f>IF(AE973="","",IFERROR(INDEX($AT$11:$AT$4010,MATCH(963,$AZ$11:$AZ$4010,0)),""))</f>
        <v/>
      </c>
      <c r="AL973" s="17"/>
      <c r="AM973" s="12"/>
      <c r="AN973" s="18"/>
      <c r="AO973" s="18"/>
      <c r="AP973" s="10"/>
      <c r="AQ973" s="10"/>
      <c r="AR973" s="19"/>
      <c r="AS973" s="20"/>
      <c r="AT973" s="19"/>
      <c r="AV973" s="21">
        <f>IF(AND($AL973&lt;&gt;"",COUNTIF($AL$11:$AL973,$AL973)=1),1,0)</f>
        <v>0</v>
      </c>
      <c r="AW973" s="21">
        <f t="shared" si="117"/>
        <v>0</v>
      </c>
      <c r="AX973" s="21" t="str">
        <f t="shared" si="116"/>
        <v/>
      </c>
      <c r="AY973" s="21" t="str">
        <f>IF(AND($AM973&lt;&gt;"",$AS973&lt;&gt;"✓"),SUMPRODUCT(($AM$11:$AM973&lt;&gt;"")*($AS$11:$AS973&lt;&gt;"✓")),"")</f>
        <v/>
      </c>
      <c r="AZ973" s="21" t="str">
        <f>IF(AND($AM973&lt;&gt;"",$AS973="✓"),SUMPRODUCT(($AM$11:$AM973&lt;&gt;"")*($AS$11:$AS973="✓")),"")</f>
        <v/>
      </c>
      <c r="BA973" s="21" t="str">
        <f>IF($AL973="","",$AL973&amp;"|"&amp;COUNTIF($AL$11:$AL973,$AL973))</f>
        <v/>
      </c>
    </row>
    <row r="974" spans="23:53" ht="15" customHeight="1" x14ac:dyDescent="0.25">
      <c r="W974" s="28" t="str">
        <f>IF(X974="","",IFERROR(INDEX($AL$11:$AL$4010,MATCH(964,$AY$11:$AY$4010,0)),""))</f>
        <v/>
      </c>
      <c r="X974" s="26" t="str">
        <f>IFERROR(INDEX($AM$11:$AM$4010,MATCH(964,$AY$11:$AY$4010,0)),"")</f>
        <v/>
      </c>
      <c r="Y974" s="25" t="str">
        <f>IF(X974="","",IFERROR(INDEX($AN$11:$AN$4010,MATCH(964,$AY$11:$AY$4010,0)),""))</f>
        <v/>
      </c>
      <c r="Z974" s="25" t="str">
        <f>IF(X974="","",IFERROR(INDEX($AO$11:$AO$4010,MATCH(964,$AY$11:$AY$4010,0)),""))</f>
        <v/>
      </c>
      <c r="AA974" s="24" t="str">
        <f>IF(X974="","",IFERROR(INDEX($AQ$11:$AQ$4010,MATCH(964,$AY$11:$AY$4010,0)),""))</f>
        <v/>
      </c>
      <c r="AB974" s="29" t="str">
        <f>IF(X974="","",IFERROR(INDEX($AR$11:$AR$4010,MATCH(964,$AY$11:$AY$4010,0)),""))</f>
        <v/>
      </c>
      <c r="AD974" s="30" t="str">
        <f>IF(AE974="","",IFERROR(INDEX($AL$11:$AL$4010,MATCH(964,$AZ$11:$AZ$4010,0)),""))</f>
        <v/>
      </c>
      <c r="AE974" s="26" t="str">
        <f>IFERROR(INDEX($AM$11:$AM$4010,MATCH(964,$AZ$11:$AZ$4010,0)),"")</f>
        <v/>
      </c>
      <c r="AF974" s="25" t="str">
        <f>IF(AE974="","",IFERROR(INDEX($AN$11:$AN$4010,MATCH(964,$AZ$11:$AZ$4010,0)),""))</f>
        <v/>
      </c>
      <c r="AG974" s="25" t="str">
        <f>IF(AE974="","",IFERROR(INDEX($AO$11:$AO$4010,MATCH(964,$AZ$11:$AZ$4010,0)),""))</f>
        <v/>
      </c>
      <c r="AH974" s="24" t="str">
        <f>IF(AE974="","",IFERROR(INDEX($AQ$11:$AQ$4010,MATCH(964,$AZ$11:$AZ$4010,0)),""))</f>
        <v/>
      </c>
      <c r="AI974" s="29" t="str">
        <f>IF(AE974="","",IFERROR(INDEX($AR$11:$AR$4010,MATCH(964,$AZ$11:$AZ$4010,0)),""))</f>
        <v/>
      </c>
      <c r="AJ974" s="29" t="str">
        <f>IF(AE974="","",IFERROR(INDEX($AT$11:$AT$4010,MATCH(964,$AZ$11:$AZ$4010,0)),""))</f>
        <v/>
      </c>
      <c r="AL974" s="31"/>
      <c r="AM974" s="26"/>
      <c r="AN974" s="32"/>
      <c r="AO974" s="32"/>
      <c r="AP974" s="24"/>
      <c r="AQ974" s="24"/>
      <c r="AR974" s="33"/>
      <c r="AS974" s="34"/>
      <c r="AT974" s="33"/>
      <c r="AV974" s="21">
        <f>IF(AND($AL974&lt;&gt;"",COUNTIF($AL$11:$AL974,$AL974)=1),1,0)</f>
        <v>0</v>
      </c>
      <c r="AW974" s="21">
        <f t="shared" si="117"/>
        <v>0</v>
      </c>
      <c r="AX974" s="21" t="str">
        <f t="shared" si="116"/>
        <v/>
      </c>
      <c r="AY974" s="21" t="str">
        <f>IF(AND($AM974&lt;&gt;"",$AS974&lt;&gt;"✓"),SUMPRODUCT(($AM$11:$AM974&lt;&gt;"")*($AS$11:$AS974&lt;&gt;"✓")),"")</f>
        <v/>
      </c>
      <c r="AZ974" s="21" t="str">
        <f>IF(AND($AM974&lt;&gt;"",$AS974="✓"),SUMPRODUCT(($AM$11:$AM974&lt;&gt;"")*($AS$11:$AS974="✓")),"")</f>
        <v/>
      </c>
      <c r="BA974" s="21" t="str">
        <f>IF($AL974="","",$AL974&amp;"|"&amp;COUNTIF($AL$11:$AL974,$AL974))</f>
        <v/>
      </c>
    </row>
    <row r="975" spans="23:53" ht="15" customHeight="1" x14ac:dyDescent="0.25">
      <c r="W975" s="14" t="str">
        <f>IF(X975="","",IFERROR(INDEX($AL$11:$AL$4010,MATCH(965,$AY$11:$AY$4010,0)),""))</f>
        <v/>
      </c>
      <c r="X975" s="12" t="str">
        <f>IFERROR(INDEX($AM$11:$AM$4010,MATCH(965,$AY$11:$AY$4010,0)),"")</f>
        <v/>
      </c>
      <c r="Y975" s="11" t="str">
        <f>IF(X975="","",IFERROR(INDEX($AN$11:$AN$4010,MATCH(965,$AY$11:$AY$4010,0)),""))</f>
        <v/>
      </c>
      <c r="Z975" s="11" t="str">
        <f>IF(X975="","",IFERROR(INDEX($AO$11:$AO$4010,MATCH(965,$AY$11:$AY$4010,0)),""))</f>
        <v/>
      </c>
      <c r="AA975" s="10" t="str">
        <f>IF(X975="","",IFERROR(INDEX($AQ$11:$AQ$4010,MATCH(965,$AY$11:$AY$4010,0)),""))</f>
        <v/>
      </c>
      <c r="AB975" s="15" t="str">
        <f>IF(X975="","",IFERROR(INDEX($AR$11:$AR$4010,MATCH(965,$AY$11:$AY$4010,0)),""))</f>
        <v/>
      </c>
      <c r="AD975" s="16" t="str">
        <f>IF(AE975="","",IFERROR(INDEX($AL$11:$AL$4010,MATCH(965,$AZ$11:$AZ$4010,0)),""))</f>
        <v/>
      </c>
      <c r="AE975" s="12" t="str">
        <f>IFERROR(INDEX($AM$11:$AM$4010,MATCH(965,$AZ$11:$AZ$4010,0)),"")</f>
        <v/>
      </c>
      <c r="AF975" s="11" t="str">
        <f>IF(AE975="","",IFERROR(INDEX($AN$11:$AN$4010,MATCH(965,$AZ$11:$AZ$4010,0)),""))</f>
        <v/>
      </c>
      <c r="AG975" s="11" t="str">
        <f>IF(AE975="","",IFERROR(INDEX($AO$11:$AO$4010,MATCH(965,$AZ$11:$AZ$4010,0)),""))</f>
        <v/>
      </c>
      <c r="AH975" s="10" t="str">
        <f>IF(AE975="","",IFERROR(INDEX($AQ$11:$AQ$4010,MATCH(965,$AZ$11:$AZ$4010,0)),""))</f>
        <v/>
      </c>
      <c r="AI975" s="15" t="str">
        <f>IF(AE975="","",IFERROR(INDEX($AR$11:$AR$4010,MATCH(965,$AZ$11:$AZ$4010,0)),""))</f>
        <v/>
      </c>
      <c r="AJ975" s="15" t="str">
        <f>IF(AE975="","",IFERROR(INDEX($AT$11:$AT$4010,MATCH(965,$AZ$11:$AZ$4010,0)),""))</f>
        <v/>
      </c>
      <c r="AL975" s="17"/>
      <c r="AM975" s="12"/>
      <c r="AN975" s="18"/>
      <c r="AO975" s="18"/>
      <c r="AP975" s="10"/>
      <c r="AQ975" s="10"/>
      <c r="AR975" s="19"/>
      <c r="AS975" s="20"/>
      <c r="AT975" s="19"/>
      <c r="AV975" s="21">
        <f>IF(AND($AL975&lt;&gt;"",COUNTIF($AL$11:$AL975,$AL975)=1),1,0)</f>
        <v>0</v>
      </c>
      <c r="AW975" s="21">
        <f t="shared" si="117"/>
        <v>0</v>
      </c>
      <c r="AX975" s="21" t="str">
        <f t="shared" si="116"/>
        <v/>
      </c>
      <c r="AY975" s="21" t="str">
        <f>IF(AND($AM975&lt;&gt;"",$AS975&lt;&gt;"✓"),SUMPRODUCT(($AM$11:$AM975&lt;&gt;"")*($AS$11:$AS975&lt;&gt;"✓")),"")</f>
        <v/>
      </c>
      <c r="AZ975" s="21" t="str">
        <f>IF(AND($AM975&lt;&gt;"",$AS975="✓"),SUMPRODUCT(($AM$11:$AM975&lt;&gt;"")*($AS$11:$AS975="✓")),"")</f>
        <v/>
      </c>
      <c r="BA975" s="21" t="str">
        <f>IF($AL975="","",$AL975&amp;"|"&amp;COUNTIF($AL$11:$AL975,$AL975))</f>
        <v/>
      </c>
    </row>
    <row r="976" spans="23:53" ht="15" customHeight="1" x14ac:dyDescent="0.25">
      <c r="W976" s="28" t="str">
        <f>IF(X976="","",IFERROR(INDEX($AL$11:$AL$4010,MATCH(966,$AY$11:$AY$4010,0)),""))</f>
        <v/>
      </c>
      <c r="X976" s="26" t="str">
        <f>IFERROR(INDEX($AM$11:$AM$4010,MATCH(966,$AY$11:$AY$4010,0)),"")</f>
        <v/>
      </c>
      <c r="Y976" s="25" t="str">
        <f>IF(X976="","",IFERROR(INDEX($AN$11:$AN$4010,MATCH(966,$AY$11:$AY$4010,0)),""))</f>
        <v/>
      </c>
      <c r="Z976" s="25" t="str">
        <f>IF(X976="","",IFERROR(INDEX($AO$11:$AO$4010,MATCH(966,$AY$11:$AY$4010,0)),""))</f>
        <v/>
      </c>
      <c r="AA976" s="24" t="str">
        <f>IF(X976="","",IFERROR(INDEX($AQ$11:$AQ$4010,MATCH(966,$AY$11:$AY$4010,0)),""))</f>
        <v/>
      </c>
      <c r="AB976" s="29" t="str">
        <f>IF(X976="","",IFERROR(INDEX($AR$11:$AR$4010,MATCH(966,$AY$11:$AY$4010,0)),""))</f>
        <v/>
      </c>
      <c r="AD976" s="30" t="str">
        <f>IF(AE976="","",IFERROR(INDEX($AL$11:$AL$4010,MATCH(966,$AZ$11:$AZ$4010,0)),""))</f>
        <v/>
      </c>
      <c r="AE976" s="26" t="str">
        <f>IFERROR(INDEX($AM$11:$AM$4010,MATCH(966,$AZ$11:$AZ$4010,0)),"")</f>
        <v/>
      </c>
      <c r="AF976" s="25" t="str">
        <f>IF(AE976="","",IFERROR(INDEX($AN$11:$AN$4010,MATCH(966,$AZ$11:$AZ$4010,0)),""))</f>
        <v/>
      </c>
      <c r="AG976" s="25" t="str">
        <f>IF(AE976="","",IFERROR(INDEX($AO$11:$AO$4010,MATCH(966,$AZ$11:$AZ$4010,0)),""))</f>
        <v/>
      </c>
      <c r="AH976" s="24" t="str">
        <f>IF(AE976="","",IFERROR(INDEX($AQ$11:$AQ$4010,MATCH(966,$AZ$11:$AZ$4010,0)),""))</f>
        <v/>
      </c>
      <c r="AI976" s="29" t="str">
        <f>IF(AE976="","",IFERROR(INDEX($AR$11:$AR$4010,MATCH(966,$AZ$11:$AZ$4010,0)),""))</f>
        <v/>
      </c>
      <c r="AJ976" s="29" t="str">
        <f>IF(AE976="","",IFERROR(INDEX($AT$11:$AT$4010,MATCH(966,$AZ$11:$AZ$4010,0)),""))</f>
        <v/>
      </c>
      <c r="AL976" s="31"/>
      <c r="AM976" s="26"/>
      <c r="AN976" s="32"/>
      <c r="AO976" s="32"/>
      <c r="AP976" s="24"/>
      <c r="AQ976" s="24"/>
      <c r="AR976" s="33"/>
      <c r="AS976" s="34"/>
      <c r="AT976" s="33"/>
      <c r="AV976" s="21">
        <f>IF(AND($AL976&lt;&gt;"",COUNTIF($AL$11:$AL976,$AL976)=1),1,0)</f>
        <v>0</v>
      </c>
      <c r="AW976" s="21">
        <f t="shared" si="117"/>
        <v>0</v>
      </c>
      <c r="AX976" s="21" t="str">
        <f t="shared" si="116"/>
        <v/>
      </c>
      <c r="AY976" s="21" t="str">
        <f>IF(AND($AM976&lt;&gt;"",$AS976&lt;&gt;"✓"),SUMPRODUCT(($AM$11:$AM976&lt;&gt;"")*($AS$11:$AS976&lt;&gt;"✓")),"")</f>
        <v/>
      </c>
      <c r="AZ976" s="21" t="str">
        <f>IF(AND($AM976&lt;&gt;"",$AS976="✓"),SUMPRODUCT(($AM$11:$AM976&lt;&gt;"")*($AS$11:$AS976="✓")),"")</f>
        <v/>
      </c>
      <c r="BA976" s="21" t="str">
        <f>IF($AL976="","",$AL976&amp;"|"&amp;COUNTIF($AL$11:$AL976,$AL976))</f>
        <v/>
      </c>
    </row>
    <row r="977" spans="23:53" ht="15" customHeight="1" x14ac:dyDescent="0.25">
      <c r="W977" s="14" t="str">
        <f>IF(X977="","",IFERROR(INDEX($AL$11:$AL$4010,MATCH(967,$AY$11:$AY$4010,0)),""))</f>
        <v/>
      </c>
      <c r="X977" s="12" t="str">
        <f>IFERROR(INDEX($AM$11:$AM$4010,MATCH(967,$AY$11:$AY$4010,0)),"")</f>
        <v/>
      </c>
      <c r="Y977" s="11" t="str">
        <f>IF(X977="","",IFERROR(INDEX($AN$11:$AN$4010,MATCH(967,$AY$11:$AY$4010,0)),""))</f>
        <v/>
      </c>
      <c r="Z977" s="11" t="str">
        <f>IF(X977="","",IFERROR(INDEX($AO$11:$AO$4010,MATCH(967,$AY$11:$AY$4010,0)),""))</f>
        <v/>
      </c>
      <c r="AA977" s="10" t="str">
        <f>IF(X977="","",IFERROR(INDEX($AQ$11:$AQ$4010,MATCH(967,$AY$11:$AY$4010,0)),""))</f>
        <v/>
      </c>
      <c r="AB977" s="15" t="str">
        <f>IF(X977="","",IFERROR(INDEX($AR$11:$AR$4010,MATCH(967,$AY$11:$AY$4010,0)),""))</f>
        <v/>
      </c>
      <c r="AD977" s="16" t="str">
        <f>IF(AE977="","",IFERROR(INDEX($AL$11:$AL$4010,MATCH(967,$AZ$11:$AZ$4010,0)),""))</f>
        <v/>
      </c>
      <c r="AE977" s="12" t="str">
        <f>IFERROR(INDEX($AM$11:$AM$4010,MATCH(967,$AZ$11:$AZ$4010,0)),"")</f>
        <v/>
      </c>
      <c r="AF977" s="11" t="str">
        <f>IF(AE977="","",IFERROR(INDEX($AN$11:$AN$4010,MATCH(967,$AZ$11:$AZ$4010,0)),""))</f>
        <v/>
      </c>
      <c r="AG977" s="11" t="str">
        <f>IF(AE977="","",IFERROR(INDEX($AO$11:$AO$4010,MATCH(967,$AZ$11:$AZ$4010,0)),""))</f>
        <v/>
      </c>
      <c r="AH977" s="10" t="str">
        <f>IF(AE977="","",IFERROR(INDEX($AQ$11:$AQ$4010,MATCH(967,$AZ$11:$AZ$4010,0)),""))</f>
        <v/>
      </c>
      <c r="AI977" s="15" t="str">
        <f>IF(AE977="","",IFERROR(INDEX($AR$11:$AR$4010,MATCH(967,$AZ$11:$AZ$4010,0)),""))</f>
        <v/>
      </c>
      <c r="AJ977" s="15" t="str">
        <f>IF(AE977="","",IFERROR(INDEX($AT$11:$AT$4010,MATCH(967,$AZ$11:$AZ$4010,0)),""))</f>
        <v/>
      </c>
      <c r="AL977" s="17"/>
      <c r="AM977" s="12"/>
      <c r="AN977" s="18"/>
      <c r="AO977" s="18"/>
      <c r="AP977" s="10"/>
      <c r="AQ977" s="10"/>
      <c r="AR977" s="19"/>
      <c r="AS977" s="20"/>
      <c r="AT977" s="19"/>
      <c r="AV977" s="21">
        <f>IF(AND($AL977&lt;&gt;"",COUNTIF($AL$11:$AL977,$AL977)=1),1,0)</f>
        <v>0</v>
      </c>
      <c r="AW977" s="21">
        <f t="shared" si="117"/>
        <v>0</v>
      </c>
      <c r="AX977" s="21" t="str">
        <f t="shared" si="116"/>
        <v/>
      </c>
      <c r="AY977" s="21" t="str">
        <f>IF(AND($AM977&lt;&gt;"",$AS977&lt;&gt;"✓"),SUMPRODUCT(($AM$11:$AM977&lt;&gt;"")*($AS$11:$AS977&lt;&gt;"✓")),"")</f>
        <v/>
      </c>
      <c r="AZ977" s="21" t="str">
        <f>IF(AND($AM977&lt;&gt;"",$AS977="✓"),SUMPRODUCT(($AM$11:$AM977&lt;&gt;"")*($AS$11:$AS977="✓")),"")</f>
        <v/>
      </c>
      <c r="BA977" s="21" t="str">
        <f>IF($AL977="","",$AL977&amp;"|"&amp;COUNTIF($AL$11:$AL977,$AL977))</f>
        <v/>
      </c>
    </row>
    <row r="978" spans="23:53" ht="15" customHeight="1" x14ac:dyDescent="0.25">
      <c r="W978" s="28" t="str">
        <f>IF(X978="","",IFERROR(INDEX($AL$11:$AL$4010,MATCH(968,$AY$11:$AY$4010,0)),""))</f>
        <v/>
      </c>
      <c r="X978" s="26" t="str">
        <f>IFERROR(INDEX($AM$11:$AM$4010,MATCH(968,$AY$11:$AY$4010,0)),"")</f>
        <v/>
      </c>
      <c r="Y978" s="25" t="str">
        <f>IF(X978="","",IFERROR(INDEX($AN$11:$AN$4010,MATCH(968,$AY$11:$AY$4010,0)),""))</f>
        <v/>
      </c>
      <c r="Z978" s="25" t="str">
        <f>IF(X978="","",IFERROR(INDEX($AO$11:$AO$4010,MATCH(968,$AY$11:$AY$4010,0)),""))</f>
        <v/>
      </c>
      <c r="AA978" s="24" t="str">
        <f>IF(X978="","",IFERROR(INDEX($AQ$11:$AQ$4010,MATCH(968,$AY$11:$AY$4010,0)),""))</f>
        <v/>
      </c>
      <c r="AB978" s="29" t="str">
        <f>IF(X978="","",IFERROR(INDEX($AR$11:$AR$4010,MATCH(968,$AY$11:$AY$4010,0)),""))</f>
        <v/>
      </c>
      <c r="AD978" s="30" t="str">
        <f>IF(AE978="","",IFERROR(INDEX($AL$11:$AL$4010,MATCH(968,$AZ$11:$AZ$4010,0)),""))</f>
        <v/>
      </c>
      <c r="AE978" s="26" t="str">
        <f>IFERROR(INDEX($AM$11:$AM$4010,MATCH(968,$AZ$11:$AZ$4010,0)),"")</f>
        <v/>
      </c>
      <c r="AF978" s="25" t="str">
        <f>IF(AE978="","",IFERROR(INDEX($AN$11:$AN$4010,MATCH(968,$AZ$11:$AZ$4010,0)),""))</f>
        <v/>
      </c>
      <c r="AG978" s="25" t="str">
        <f>IF(AE978="","",IFERROR(INDEX($AO$11:$AO$4010,MATCH(968,$AZ$11:$AZ$4010,0)),""))</f>
        <v/>
      </c>
      <c r="AH978" s="24" t="str">
        <f>IF(AE978="","",IFERROR(INDEX($AQ$11:$AQ$4010,MATCH(968,$AZ$11:$AZ$4010,0)),""))</f>
        <v/>
      </c>
      <c r="AI978" s="29" t="str">
        <f>IF(AE978="","",IFERROR(INDEX($AR$11:$AR$4010,MATCH(968,$AZ$11:$AZ$4010,0)),""))</f>
        <v/>
      </c>
      <c r="AJ978" s="29" t="str">
        <f>IF(AE978="","",IFERROR(INDEX($AT$11:$AT$4010,MATCH(968,$AZ$11:$AZ$4010,0)),""))</f>
        <v/>
      </c>
      <c r="AL978" s="31"/>
      <c r="AM978" s="26"/>
      <c r="AN978" s="32"/>
      <c r="AO978" s="32"/>
      <c r="AP978" s="24"/>
      <c r="AQ978" s="24"/>
      <c r="AR978" s="33"/>
      <c r="AS978" s="34"/>
      <c r="AT978" s="33"/>
      <c r="AV978" s="21">
        <f>IF(AND($AL978&lt;&gt;"",COUNTIF($AL$11:$AL978,$AL978)=1),1,0)</f>
        <v>0</v>
      </c>
      <c r="AW978" s="21">
        <f t="shared" si="117"/>
        <v>0</v>
      </c>
      <c r="AX978" s="21" t="str">
        <f t="shared" si="116"/>
        <v/>
      </c>
      <c r="AY978" s="21" t="str">
        <f>IF(AND($AM978&lt;&gt;"",$AS978&lt;&gt;"✓"),SUMPRODUCT(($AM$11:$AM978&lt;&gt;"")*($AS$11:$AS978&lt;&gt;"✓")),"")</f>
        <v/>
      </c>
      <c r="AZ978" s="21" t="str">
        <f>IF(AND($AM978&lt;&gt;"",$AS978="✓"),SUMPRODUCT(($AM$11:$AM978&lt;&gt;"")*($AS$11:$AS978="✓")),"")</f>
        <v/>
      </c>
      <c r="BA978" s="21" t="str">
        <f>IF($AL978="","",$AL978&amp;"|"&amp;COUNTIF($AL$11:$AL978,$AL978))</f>
        <v/>
      </c>
    </row>
    <row r="979" spans="23:53" ht="15" customHeight="1" x14ac:dyDescent="0.25">
      <c r="W979" s="14" t="str">
        <f>IF(X979="","",IFERROR(INDEX($AL$11:$AL$4010,MATCH(969,$AY$11:$AY$4010,0)),""))</f>
        <v/>
      </c>
      <c r="X979" s="12" t="str">
        <f>IFERROR(INDEX($AM$11:$AM$4010,MATCH(969,$AY$11:$AY$4010,0)),"")</f>
        <v/>
      </c>
      <c r="Y979" s="11" t="str">
        <f>IF(X979="","",IFERROR(INDEX($AN$11:$AN$4010,MATCH(969,$AY$11:$AY$4010,0)),""))</f>
        <v/>
      </c>
      <c r="Z979" s="11" t="str">
        <f>IF(X979="","",IFERROR(INDEX($AO$11:$AO$4010,MATCH(969,$AY$11:$AY$4010,0)),""))</f>
        <v/>
      </c>
      <c r="AA979" s="10" t="str">
        <f>IF(X979="","",IFERROR(INDEX($AQ$11:$AQ$4010,MATCH(969,$AY$11:$AY$4010,0)),""))</f>
        <v/>
      </c>
      <c r="AB979" s="15" t="str">
        <f>IF(X979="","",IFERROR(INDEX($AR$11:$AR$4010,MATCH(969,$AY$11:$AY$4010,0)),""))</f>
        <v/>
      </c>
      <c r="AD979" s="16" t="str">
        <f>IF(AE979="","",IFERROR(INDEX($AL$11:$AL$4010,MATCH(969,$AZ$11:$AZ$4010,0)),""))</f>
        <v/>
      </c>
      <c r="AE979" s="12" t="str">
        <f>IFERROR(INDEX($AM$11:$AM$4010,MATCH(969,$AZ$11:$AZ$4010,0)),"")</f>
        <v/>
      </c>
      <c r="AF979" s="11" t="str">
        <f>IF(AE979="","",IFERROR(INDEX($AN$11:$AN$4010,MATCH(969,$AZ$11:$AZ$4010,0)),""))</f>
        <v/>
      </c>
      <c r="AG979" s="11" t="str">
        <f>IF(AE979="","",IFERROR(INDEX($AO$11:$AO$4010,MATCH(969,$AZ$11:$AZ$4010,0)),""))</f>
        <v/>
      </c>
      <c r="AH979" s="10" t="str">
        <f>IF(AE979="","",IFERROR(INDEX($AQ$11:$AQ$4010,MATCH(969,$AZ$11:$AZ$4010,0)),""))</f>
        <v/>
      </c>
      <c r="AI979" s="15" t="str">
        <f>IF(AE979="","",IFERROR(INDEX($AR$11:$AR$4010,MATCH(969,$AZ$11:$AZ$4010,0)),""))</f>
        <v/>
      </c>
      <c r="AJ979" s="15" t="str">
        <f>IF(AE979="","",IFERROR(INDEX($AT$11:$AT$4010,MATCH(969,$AZ$11:$AZ$4010,0)),""))</f>
        <v/>
      </c>
      <c r="AL979" s="17"/>
      <c r="AM979" s="12"/>
      <c r="AN979" s="18"/>
      <c r="AO979" s="18"/>
      <c r="AP979" s="10"/>
      <c r="AQ979" s="10"/>
      <c r="AR979" s="19"/>
      <c r="AS979" s="20"/>
      <c r="AT979" s="19"/>
      <c r="AV979" s="21">
        <f>IF(AND($AL979&lt;&gt;"",COUNTIF($AL$11:$AL979,$AL979)=1),1,0)</f>
        <v>0</v>
      </c>
      <c r="AW979" s="21">
        <f t="shared" si="117"/>
        <v>0</v>
      </c>
      <c r="AX979" s="21" t="str">
        <f t="shared" si="116"/>
        <v/>
      </c>
      <c r="AY979" s="21" t="str">
        <f>IF(AND($AM979&lt;&gt;"",$AS979&lt;&gt;"✓"),SUMPRODUCT(($AM$11:$AM979&lt;&gt;"")*($AS$11:$AS979&lt;&gt;"✓")),"")</f>
        <v/>
      </c>
      <c r="AZ979" s="21" t="str">
        <f>IF(AND($AM979&lt;&gt;"",$AS979="✓"),SUMPRODUCT(($AM$11:$AM979&lt;&gt;"")*($AS$11:$AS979="✓")),"")</f>
        <v/>
      </c>
      <c r="BA979" s="21" t="str">
        <f>IF($AL979="","",$AL979&amp;"|"&amp;COUNTIF($AL$11:$AL979,$AL979))</f>
        <v/>
      </c>
    </row>
    <row r="980" spans="23:53" ht="15" customHeight="1" x14ac:dyDescent="0.25">
      <c r="W980" s="28" t="str">
        <f>IF(X980="","",IFERROR(INDEX($AL$11:$AL$4010,MATCH(970,$AY$11:$AY$4010,0)),""))</f>
        <v/>
      </c>
      <c r="X980" s="26" t="str">
        <f>IFERROR(INDEX($AM$11:$AM$4010,MATCH(970,$AY$11:$AY$4010,0)),"")</f>
        <v/>
      </c>
      <c r="Y980" s="25" t="str">
        <f>IF(X980="","",IFERROR(INDEX($AN$11:$AN$4010,MATCH(970,$AY$11:$AY$4010,0)),""))</f>
        <v/>
      </c>
      <c r="Z980" s="25" t="str">
        <f>IF(X980="","",IFERROR(INDEX($AO$11:$AO$4010,MATCH(970,$AY$11:$AY$4010,0)),""))</f>
        <v/>
      </c>
      <c r="AA980" s="24" t="str">
        <f>IF(X980="","",IFERROR(INDEX($AQ$11:$AQ$4010,MATCH(970,$AY$11:$AY$4010,0)),""))</f>
        <v/>
      </c>
      <c r="AB980" s="29" t="str">
        <f>IF(X980="","",IFERROR(INDEX($AR$11:$AR$4010,MATCH(970,$AY$11:$AY$4010,0)),""))</f>
        <v/>
      </c>
      <c r="AD980" s="30" t="str">
        <f>IF(AE980="","",IFERROR(INDEX($AL$11:$AL$4010,MATCH(970,$AZ$11:$AZ$4010,0)),""))</f>
        <v/>
      </c>
      <c r="AE980" s="26" t="str">
        <f>IFERROR(INDEX($AM$11:$AM$4010,MATCH(970,$AZ$11:$AZ$4010,0)),"")</f>
        <v/>
      </c>
      <c r="AF980" s="25" t="str">
        <f>IF(AE980="","",IFERROR(INDEX($AN$11:$AN$4010,MATCH(970,$AZ$11:$AZ$4010,0)),""))</f>
        <v/>
      </c>
      <c r="AG980" s="25" t="str">
        <f>IF(AE980="","",IFERROR(INDEX($AO$11:$AO$4010,MATCH(970,$AZ$11:$AZ$4010,0)),""))</f>
        <v/>
      </c>
      <c r="AH980" s="24" t="str">
        <f>IF(AE980="","",IFERROR(INDEX($AQ$11:$AQ$4010,MATCH(970,$AZ$11:$AZ$4010,0)),""))</f>
        <v/>
      </c>
      <c r="AI980" s="29" t="str">
        <f>IF(AE980="","",IFERROR(INDEX($AR$11:$AR$4010,MATCH(970,$AZ$11:$AZ$4010,0)),""))</f>
        <v/>
      </c>
      <c r="AJ980" s="29" t="str">
        <f>IF(AE980="","",IFERROR(INDEX($AT$11:$AT$4010,MATCH(970,$AZ$11:$AZ$4010,0)),""))</f>
        <v/>
      </c>
      <c r="AL980" s="31"/>
      <c r="AM980" s="26"/>
      <c r="AN980" s="32"/>
      <c r="AO980" s="32"/>
      <c r="AP980" s="24"/>
      <c r="AQ980" s="24"/>
      <c r="AR980" s="33"/>
      <c r="AS980" s="34"/>
      <c r="AT980" s="33"/>
      <c r="AV980" s="21">
        <f>IF(AND($AL980&lt;&gt;"",COUNTIF($AL$11:$AL980,$AL980)=1),1,0)</f>
        <v>0</v>
      </c>
      <c r="AW980" s="21">
        <f t="shared" si="117"/>
        <v>0</v>
      </c>
      <c r="AX980" s="21" t="str">
        <f t="shared" si="116"/>
        <v/>
      </c>
      <c r="AY980" s="21" t="str">
        <f>IF(AND($AM980&lt;&gt;"",$AS980&lt;&gt;"✓"),SUMPRODUCT(($AM$11:$AM980&lt;&gt;"")*($AS$11:$AS980&lt;&gt;"✓")),"")</f>
        <v/>
      </c>
      <c r="AZ980" s="21" t="str">
        <f>IF(AND($AM980&lt;&gt;"",$AS980="✓"),SUMPRODUCT(($AM$11:$AM980&lt;&gt;"")*($AS$11:$AS980="✓")),"")</f>
        <v/>
      </c>
      <c r="BA980" s="21" t="str">
        <f>IF($AL980="","",$AL980&amp;"|"&amp;COUNTIF($AL$11:$AL980,$AL980))</f>
        <v/>
      </c>
    </row>
    <row r="981" spans="23:53" ht="15" customHeight="1" x14ac:dyDescent="0.25">
      <c r="W981" s="14" t="str">
        <f>IF(X981="","",IFERROR(INDEX($AL$11:$AL$4010,MATCH(971,$AY$11:$AY$4010,0)),""))</f>
        <v/>
      </c>
      <c r="X981" s="12" t="str">
        <f>IFERROR(INDEX($AM$11:$AM$4010,MATCH(971,$AY$11:$AY$4010,0)),"")</f>
        <v/>
      </c>
      <c r="Y981" s="11" t="str">
        <f>IF(X981="","",IFERROR(INDEX($AN$11:$AN$4010,MATCH(971,$AY$11:$AY$4010,0)),""))</f>
        <v/>
      </c>
      <c r="Z981" s="11" t="str">
        <f>IF(X981="","",IFERROR(INDEX($AO$11:$AO$4010,MATCH(971,$AY$11:$AY$4010,0)),""))</f>
        <v/>
      </c>
      <c r="AA981" s="10" t="str">
        <f>IF(X981="","",IFERROR(INDEX($AQ$11:$AQ$4010,MATCH(971,$AY$11:$AY$4010,0)),""))</f>
        <v/>
      </c>
      <c r="AB981" s="15" t="str">
        <f>IF(X981="","",IFERROR(INDEX($AR$11:$AR$4010,MATCH(971,$AY$11:$AY$4010,0)),""))</f>
        <v/>
      </c>
      <c r="AD981" s="16" t="str">
        <f>IF(AE981="","",IFERROR(INDEX($AL$11:$AL$4010,MATCH(971,$AZ$11:$AZ$4010,0)),""))</f>
        <v/>
      </c>
      <c r="AE981" s="12" t="str">
        <f>IFERROR(INDEX($AM$11:$AM$4010,MATCH(971,$AZ$11:$AZ$4010,0)),"")</f>
        <v/>
      </c>
      <c r="AF981" s="11" t="str">
        <f>IF(AE981="","",IFERROR(INDEX($AN$11:$AN$4010,MATCH(971,$AZ$11:$AZ$4010,0)),""))</f>
        <v/>
      </c>
      <c r="AG981" s="11" t="str">
        <f>IF(AE981="","",IFERROR(INDEX($AO$11:$AO$4010,MATCH(971,$AZ$11:$AZ$4010,0)),""))</f>
        <v/>
      </c>
      <c r="AH981" s="10" t="str">
        <f>IF(AE981="","",IFERROR(INDEX($AQ$11:$AQ$4010,MATCH(971,$AZ$11:$AZ$4010,0)),""))</f>
        <v/>
      </c>
      <c r="AI981" s="15" t="str">
        <f>IF(AE981="","",IFERROR(INDEX($AR$11:$AR$4010,MATCH(971,$AZ$11:$AZ$4010,0)),""))</f>
        <v/>
      </c>
      <c r="AJ981" s="15" t="str">
        <f>IF(AE981="","",IFERROR(INDEX($AT$11:$AT$4010,MATCH(971,$AZ$11:$AZ$4010,0)),""))</f>
        <v/>
      </c>
      <c r="AL981" s="17"/>
      <c r="AM981" s="12"/>
      <c r="AN981" s="18"/>
      <c r="AO981" s="18"/>
      <c r="AP981" s="10"/>
      <c r="AQ981" s="10"/>
      <c r="AR981" s="19"/>
      <c r="AS981" s="20"/>
      <c r="AT981" s="19"/>
      <c r="AV981" s="21">
        <f>IF(AND($AL981&lt;&gt;"",COUNTIF($AL$11:$AL981,$AL981)=1),1,0)</f>
        <v>0</v>
      </c>
      <c r="AW981" s="21">
        <f t="shared" si="117"/>
        <v>0</v>
      </c>
      <c r="AX981" s="21" t="str">
        <f t="shared" si="116"/>
        <v/>
      </c>
      <c r="AY981" s="21" t="str">
        <f>IF(AND($AM981&lt;&gt;"",$AS981&lt;&gt;"✓"),SUMPRODUCT(($AM$11:$AM981&lt;&gt;"")*($AS$11:$AS981&lt;&gt;"✓")),"")</f>
        <v/>
      </c>
      <c r="AZ981" s="21" t="str">
        <f>IF(AND($AM981&lt;&gt;"",$AS981="✓"),SUMPRODUCT(($AM$11:$AM981&lt;&gt;"")*($AS$11:$AS981="✓")),"")</f>
        <v/>
      </c>
      <c r="BA981" s="21" t="str">
        <f>IF($AL981="","",$AL981&amp;"|"&amp;COUNTIF($AL$11:$AL981,$AL981))</f>
        <v/>
      </c>
    </row>
    <row r="982" spans="23:53" ht="15" customHeight="1" x14ac:dyDescent="0.25">
      <c r="W982" s="28" t="str">
        <f>IF(X982="","",IFERROR(INDEX($AL$11:$AL$4010,MATCH(972,$AY$11:$AY$4010,0)),""))</f>
        <v/>
      </c>
      <c r="X982" s="26" t="str">
        <f>IFERROR(INDEX($AM$11:$AM$4010,MATCH(972,$AY$11:$AY$4010,0)),"")</f>
        <v/>
      </c>
      <c r="Y982" s="25" t="str">
        <f>IF(X982="","",IFERROR(INDEX($AN$11:$AN$4010,MATCH(972,$AY$11:$AY$4010,0)),""))</f>
        <v/>
      </c>
      <c r="Z982" s="25" t="str">
        <f>IF(X982="","",IFERROR(INDEX($AO$11:$AO$4010,MATCH(972,$AY$11:$AY$4010,0)),""))</f>
        <v/>
      </c>
      <c r="AA982" s="24" t="str">
        <f>IF(X982="","",IFERROR(INDEX($AQ$11:$AQ$4010,MATCH(972,$AY$11:$AY$4010,0)),""))</f>
        <v/>
      </c>
      <c r="AB982" s="29" t="str">
        <f>IF(X982="","",IFERROR(INDEX($AR$11:$AR$4010,MATCH(972,$AY$11:$AY$4010,0)),""))</f>
        <v/>
      </c>
      <c r="AD982" s="30" t="str">
        <f>IF(AE982="","",IFERROR(INDEX($AL$11:$AL$4010,MATCH(972,$AZ$11:$AZ$4010,0)),""))</f>
        <v/>
      </c>
      <c r="AE982" s="26" t="str">
        <f>IFERROR(INDEX($AM$11:$AM$4010,MATCH(972,$AZ$11:$AZ$4010,0)),"")</f>
        <v/>
      </c>
      <c r="AF982" s="25" t="str">
        <f>IF(AE982="","",IFERROR(INDEX($AN$11:$AN$4010,MATCH(972,$AZ$11:$AZ$4010,0)),""))</f>
        <v/>
      </c>
      <c r="AG982" s="25" t="str">
        <f>IF(AE982="","",IFERROR(INDEX($AO$11:$AO$4010,MATCH(972,$AZ$11:$AZ$4010,0)),""))</f>
        <v/>
      </c>
      <c r="AH982" s="24" t="str">
        <f>IF(AE982="","",IFERROR(INDEX($AQ$11:$AQ$4010,MATCH(972,$AZ$11:$AZ$4010,0)),""))</f>
        <v/>
      </c>
      <c r="AI982" s="29" t="str">
        <f>IF(AE982="","",IFERROR(INDEX($AR$11:$AR$4010,MATCH(972,$AZ$11:$AZ$4010,0)),""))</f>
        <v/>
      </c>
      <c r="AJ982" s="29" t="str">
        <f>IF(AE982="","",IFERROR(INDEX($AT$11:$AT$4010,MATCH(972,$AZ$11:$AZ$4010,0)),""))</f>
        <v/>
      </c>
      <c r="AL982" s="31"/>
      <c r="AM982" s="26"/>
      <c r="AN982" s="32"/>
      <c r="AO982" s="32"/>
      <c r="AP982" s="24"/>
      <c r="AQ982" s="24"/>
      <c r="AR982" s="33"/>
      <c r="AS982" s="34"/>
      <c r="AT982" s="33"/>
      <c r="AV982" s="21">
        <f>IF(AND($AL982&lt;&gt;"",COUNTIF($AL$11:$AL982,$AL982)=1),1,0)</f>
        <v>0</v>
      </c>
      <c r="AW982" s="21">
        <f t="shared" si="117"/>
        <v>0</v>
      </c>
      <c r="AX982" s="21" t="str">
        <f t="shared" si="116"/>
        <v/>
      </c>
      <c r="AY982" s="21" t="str">
        <f>IF(AND($AM982&lt;&gt;"",$AS982&lt;&gt;"✓"),SUMPRODUCT(($AM$11:$AM982&lt;&gt;"")*($AS$11:$AS982&lt;&gt;"✓")),"")</f>
        <v/>
      </c>
      <c r="AZ982" s="21" t="str">
        <f>IF(AND($AM982&lt;&gt;"",$AS982="✓"),SUMPRODUCT(($AM$11:$AM982&lt;&gt;"")*($AS$11:$AS982="✓")),"")</f>
        <v/>
      </c>
      <c r="BA982" s="21" t="str">
        <f>IF($AL982="","",$AL982&amp;"|"&amp;COUNTIF($AL$11:$AL982,$AL982))</f>
        <v/>
      </c>
    </row>
    <row r="983" spans="23:53" ht="15" customHeight="1" x14ac:dyDescent="0.25">
      <c r="W983" s="14" t="str">
        <f>IF(X983="","",IFERROR(INDEX($AL$11:$AL$4010,MATCH(973,$AY$11:$AY$4010,0)),""))</f>
        <v/>
      </c>
      <c r="X983" s="12" t="str">
        <f>IFERROR(INDEX($AM$11:$AM$4010,MATCH(973,$AY$11:$AY$4010,0)),"")</f>
        <v/>
      </c>
      <c r="Y983" s="11" t="str">
        <f>IF(X983="","",IFERROR(INDEX($AN$11:$AN$4010,MATCH(973,$AY$11:$AY$4010,0)),""))</f>
        <v/>
      </c>
      <c r="Z983" s="11" t="str">
        <f>IF(X983="","",IFERROR(INDEX($AO$11:$AO$4010,MATCH(973,$AY$11:$AY$4010,0)),""))</f>
        <v/>
      </c>
      <c r="AA983" s="10" t="str">
        <f>IF(X983="","",IFERROR(INDEX($AQ$11:$AQ$4010,MATCH(973,$AY$11:$AY$4010,0)),""))</f>
        <v/>
      </c>
      <c r="AB983" s="15" t="str">
        <f>IF(X983="","",IFERROR(INDEX($AR$11:$AR$4010,MATCH(973,$AY$11:$AY$4010,0)),""))</f>
        <v/>
      </c>
      <c r="AD983" s="16" t="str">
        <f>IF(AE983="","",IFERROR(INDEX($AL$11:$AL$4010,MATCH(973,$AZ$11:$AZ$4010,0)),""))</f>
        <v/>
      </c>
      <c r="AE983" s="12" t="str">
        <f>IFERROR(INDEX($AM$11:$AM$4010,MATCH(973,$AZ$11:$AZ$4010,0)),"")</f>
        <v/>
      </c>
      <c r="AF983" s="11" t="str">
        <f>IF(AE983="","",IFERROR(INDEX($AN$11:$AN$4010,MATCH(973,$AZ$11:$AZ$4010,0)),""))</f>
        <v/>
      </c>
      <c r="AG983" s="11" t="str">
        <f>IF(AE983="","",IFERROR(INDEX($AO$11:$AO$4010,MATCH(973,$AZ$11:$AZ$4010,0)),""))</f>
        <v/>
      </c>
      <c r="AH983" s="10" t="str">
        <f>IF(AE983="","",IFERROR(INDEX($AQ$11:$AQ$4010,MATCH(973,$AZ$11:$AZ$4010,0)),""))</f>
        <v/>
      </c>
      <c r="AI983" s="15" t="str">
        <f>IF(AE983="","",IFERROR(INDEX($AR$11:$AR$4010,MATCH(973,$AZ$11:$AZ$4010,0)),""))</f>
        <v/>
      </c>
      <c r="AJ983" s="15" t="str">
        <f>IF(AE983="","",IFERROR(INDEX($AT$11:$AT$4010,MATCH(973,$AZ$11:$AZ$4010,0)),""))</f>
        <v/>
      </c>
      <c r="AL983" s="17"/>
      <c r="AM983" s="12"/>
      <c r="AN983" s="18"/>
      <c r="AO983" s="18"/>
      <c r="AP983" s="10"/>
      <c r="AQ983" s="10"/>
      <c r="AR983" s="19"/>
      <c r="AS983" s="20"/>
      <c r="AT983" s="19"/>
      <c r="AV983" s="21">
        <f>IF(AND($AL983&lt;&gt;"",COUNTIF($AL$11:$AL983,$AL983)=1),1,0)</f>
        <v>0</v>
      </c>
      <c r="AW983" s="21">
        <f t="shared" si="117"/>
        <v>0</v>
      </c>
      <c r="AX983" s="21" t="str">
        <f t="shared" si="116"/>
        <v/>
      </c>
      <c r="AY983" s="21" t="str">
        <f>IF(AND($AM983&lt;&gt;"",$AS983&lt;&gt;"✓"),SUMPRODUCT(($AM$11:$AM983&lt;&gt;"")*($AS$11:$AS983&lt;&gt;"✓")),"")</f>
        <v/>
      </c>
      <c r="AZ983" s="21" t="str">
        <f>IF(AND($AM983&lt;&gt;"",$AS983="✓"),SUMPRODUCT(($AM$11:$AM983&lt;&gt;"")*($AS$11:$AS983="✓")),"")</f>
        <v/>
      </c>
      <c r="BA983" s="21" t="str">
        <f>IF($AL983="","",$AL983&amp;"|"&amp;COUNTIF($AL$11:$AL983,$AL983))</f>
        <v/>
      </c>
    </row>
    <row r="984" spans="23:53" ht="15" customHeight="1" x14ac:dyDescent="0.25">
      <c r="W984" s="28" t="str">
        <f>IF(X984="","",IFERROR(INDEX($AL$11:$AL$4010,MATCH(974,$AY$11:$AY$4010,0)),""))</f>
        <v/>
      </c>
      <c r="X984" s="26" t="str">
        <f>IFERROR(INDEX($AM$11:$AM$4010,MATCH(974,$AY$11:$AY$4010,0)),"")</f>
        <v/>
      </c>
      <c r="Y984" s="25" t="str">
        <f>IF(X984="","",IFERROR(INDEX($AN$11:$AN$4010,MATCH(974,$AY$11:$AY$4010,0)),""))</f>
        <v/>
      </c>
      <c r="Z984" s="25" t="str">
        <f>IF(X984="","",IFERROR(INDEX($AO$11:$AO$4010,MATCH(974,$AY$11:$AY$4010,0)),""))</f>
        <v/>
      </c>
      <c r="AA984" s="24" t="str">
        <f>IF(X984="","",IFERROR(INDEX($AQ$11:$AQ$4010,MATCH(974,$AY$11:$AY$4010,0)),""))</f>
        <v/>
      </c>
      <c r="AB984" s="29" t="str">
        <f>IF(X984="","",IFERROR(INDEX($AR$11:$AR$4010,MATCH(974,$AY$11:$AY$4010,0)),""))</f>
        <v/>
      </c>
      <c r="AD984" s="30" t="str">
        <f>IF(AE984="","",IFERROR(INDEX($AL$11:$AL$4010,MATCH(974,$AZ$11:$AZ$4010,0)),""))</f>
        <v/>
      </c>
      <c r="AE984" s="26" t="str">
        <f>IFERROR(INDEX($AM$11:$AM$4010,MATCH(974,$AZ$11:$AZ$4010,0)),"")</f>
        <v/>
      </c>
      <c r="AF984" s="25" t="str">
        <f>IF(AE984="","",IFERROR(INDEX($AN$11:$AN$4010,MATCH(974,$AZ$11:$AZ$4010,0)),""))</f>
        <v/>
      </c>
      <c r="AG984" s="25" t="str">
        <f>IF(AE984="","",IFERROR(INDEX($AO$11:$AO$4010,MATCH(974,$AZ$11:$AZ$4010,0)),""))</f>
        <v/>
      </c>
      <c r="AH984" s="24" t="str">
        <f>IF(AE984="","",IFERROR(INDEX($AQ$11:$AQ$4010,MATCH(974,$AZ$11:$AZ$4010,0)),""))</f>
        <v/>
      </c>
      <c r="AI984" s="29" t="str">
        <f>IF(AE984="","",IFERROR(INDEX($AR$11:$AR$4010,MATCH(974,$AZ$11:$AZ$4010,0)),""))</f>
        <v/>
      </c>
      <c r="AJ984" s="29" t="str">
        <f>IF(AE984="","",IFERROR(INDEX($AT$11:$AT$4010,MATCH(974,$AZ$11:$AZ$4010,0)),""))</f>
        <v/>
      </c>
      <c r="AL984" s="31"/>
      <c r="AM984" s="26"/>
      <c r="AN984" s="32"/>
      <c r="AO984" s="32"/>
      <c r="AP984" s="24"/>
      <c r="AQ984" s="24"/>
      <c r="AR984" s="33"/>
      <c r="AS984" s="34"/>
      <c r="AT984" s="33"/>
      <c r="AV984" s="21">
        <f>IF(AND($AL984&lt;&gt;"",COUNTIF($AL$11:$AL984,$AL984)=1),1,0)</f>
        <v>0</v>
      </c>
      <c r="AW984" s="21">
        <f t="shared" si="117"/>
        <v>0</v>
      </c>
      <c r="AX984" s="21" t="str">
        <f t="shared" si="116"/>
        <v/>
      </c>
      <c r="AY984" s="21" t="str">
        <f>IF(AND($AM984&lt;&gt;"",$AS984&lt;&gt;"✓"),SUMPRODUCT(($AM$11:$AM984&lt;&gt;"")*($AS$11:$AS984&lt;&gt;"✓")),"")</f>
        <v/>
      </c>
      <c r="AZ984" s="21" t="str">
        <f>IF(AND($AM984&lt;&gt;"",$AS984="✓"),SUMPRODUCT(($AM$11:$AM984&lt;&gt;"")*($AS$11:$AS984="✓")),"")</f>
        <v/>
      </c>
      <c r="BA984" s="21" t="str">
        <f>IF($AL984="","",$AL984&amp;"|"&amp;COUNTIF($AL$11:$AL984,$AL984))</f>
        <v/>
      </c>
    </row>
    <row r="985" spans="23:53" ht="15" customHeight="1" x14ac:dyDescent="0.25">
      <c r="W985" s="14" t="str">
        <f>IF(X985="","",IFERROR(INDEX($AL$11:$AL$4010,MATCH(975,$AY$11:$AY$4010,0)),""))</f>
        <v/>
      </c>
      <c r="X985" s="12" t="str">
        <f>IFERROR(INDEX($AM$11:$AM$4010,MATCH(975,$AY$11:$AY$4010,0)),"")</f>
        <v/>
      </c>
      <c r="Y985" s="11" t="str">
        <f>IF(X985="","",IFERROR(INDEX($AN$11:$AN$4010,MATCH(975,$AY$11:$AY$4010,0)),""))</f>
        <v/>
      </c>
      <c r="Z985" s="11" t="str">
        <f>IF(X985="","",IFERROR(INDEX($AO$11:$AO$4010,MATCH(975,$AY$11:$AY$4010,0)),""))</f>
        <v/>
      </c>
      <c r="AA985" s="10" t="str">
        <f>IF(X985="","",IFERROR(INDEX($AQ$11:$AQ$4010,MATCH(975,$AY$11:$AY$4010,0)),""))</f>
        <v/>
      </c>
      <c r="AB985" s="15" t="str">
        <f>IF(X985="","",IFERROR(INDEX($AR$11:$AR$4010,MATCH(975,$AY$11:$AY$4010,0)),""))</f>
        <v/>
      </c>
      <c r="AD985" s="16" t="str">
        <f>IF(AE985="","",IFERROR(INDEX($AL$11:$AL$4010,MATCH(975,$AZ$11:$AZ$4010,0)),""))</f>
        <v/>
      </c>
      <c r="AE985" s="12" t="str">
        <f>IFERROR(INDEX($AM$11:$AM$4010,MATCH(975,$AZ$11:$AZ$4010,0)),"")</f>
        <v/>
      </c>
      <c r="AF985" s="11" t="str">
        <f>IF(AE985="","",IFERROR(INDEX($AN$11:$AN$4010,MATCH(975,$AZ$11:$AZ$4010,0)),""))</f>
        <v/>
      </c>
      <c r="AG985" s="11" t="str">
        <f>IF(AE985="","",IFERROR(INDEX($AO$11:$AO$4010,MATCH(975,$AZ$11:$AZ$4010,0)),""))</f>
        <v/>
      </c>
      <c r="AH985" s="10" t="str">
        <f>IF(AE985="","",IFERROR(INDEX($AQ$11:$AQ$4010,MATCH(975,$AZ$11:$AZ$4010,0)),""))</f>
        <v/>
      </c>
      <c r="AI985" s="15" t="str">
        <f>IF(AE985="","",IFERROR(INDEX($AR$11:$AR$4010,MATCH(975,$AZ$11:$AZ$4010,0)),""))</f>
        <v/>
      </c>
      <c r="AJ985" s="15" t="str">
        <f>IF(AE985="","",IFERROR(INDEX($AT$11:$AT$4010,MATCH(975,$AZ$11:$AZ$4010,0)),""))</f>
        <v/>
      </c>
      <c r="AL985" s="17"/>
      <c r="AM985" s="12"/>
      <c r="AN985" s="18"/>
      <c r="AO985" s="18"/>
      <c r="AP985" s="10"/>
      <c r="AQ985" s="10"/>
      <c r="AR985" s="19"/>
      <c r="AS985" s="20"/>
      <c r="AT985" s="19"/>
      <c r="AV985" s="21">
        <f>IF(AND($AL985&lt;&gt;"",COUNTIF($AL$11:$AL985,$AL985)=1),1,0)</f>
        <v>0</v>
      </c>
      <c r="AW985" s="21">
        <f t="shared" si="117"/>
        <v>0</v>
      </c>
      <c r="AX985" s="21" t="str">
        <f t="shared" si="116"/>
        <v/>
      </c>
      <c r="AY985" s="21" t="str">
        <f>IF(AND($AM985&lt;&gt;"",$AS985&lt;&gt;"✓"),SUMPRODUCT(($AM$11:$AM985&lt;&gt;"")*($AS$11:$AS985&lt;&gt;"✓")),"")</f>
        <v/>
      </c>
      <c r="AZ985" s="21" t="str">
        <f>IF(AND($AM985&lt;&gt;"",$AS985="✓"),SUMPRODUCT(($AM$11:$AM985&lt;&gt;"")*($AS$11:$AS985="✓")),"")</f>
        <v/>
      </c>
      <c r="BA985" s="21" t="str">
        <f>IF($AL985="","",$AL985&amp;"|"&amp;COUNTIF($AL$11:$AL985,$AL985))</f>
        <v/>
      </c>
    </row>
    <row r="986" spans="23:53" ht="15" customHeight="1" x14ac:dyDescent="0.25">
      <c r="W986" s="28" t="str">
        <f>IF(X986="","",IFERROR(INDEX($AL$11:$AL$4010,MATCH(976,$AY$11:$AY$4010,0)),""))</f>
        <v/>
      </c>
      <c r="X986" s="26" t="str">
        <f>IFERROR(INDEX($AM$11:$AM$4010,MATCH(976,$AY$11:$AY$4010,0)),"")</f>
        <v/>
      </c>
      <c r="Y986" s="25" t="str">
        <f>IF(X986="","",IFERROR(INDEX($AN$11:$AN$4010,MATCH(976,$AY$11:$AY$4010,0)),""))</f>
        <v/>
      </c>
      <c r="Z986" s="25" t="str">
        <f>IF(X986="","",IFERROR(INDEX($AO$11:$AO$4010,MATCH(976,$AY$11:$AY$4010,0)),""))</f>
        <v/>
      </c>
      <c r="AA986" s="24" t="str">
        <f>IF(X986="","",IFERROR(INDEX($AQ$11:$AQ$4010,MATCH(976,$AY$11:$AY$4010,0)),""))</f>
        <v/>
      </c>
      <c r="AB986" s="29" t="str">
        <f>IF(X986="","",IFERROR(INDEX($AR$11:$AR$4010,MATCH(976,$AY$11:$AY$4010,0)),""))</f>
        <v/>
      </c>
      <c r="AD986" s="30" t="str">
        <f>IF(AE986="","",IFERROR(INDEX($AL$11:$AL$4010,MATCH(976,$AZ$11:$AZ$4010,0)),""))</f>
        <v/>
      </c>
      <c r="AE986" s="26" t="str">
        <f>IFERROR(INDEX($AM$11:$AM$4010,MATCH(976,$AZ$11:$AZ$4010,0)),"")</f>
        <v/>
      </c>
      <c r="AF986" s="25" t="str">
        <f>IF(AE986="","",IFERROR(INDEX($AN$11:$AN$4010,MATCH(976,$AZ$11:$AZ$4010,0)),""))</f>
        <v/>
      </c>
      <c r="AG986" s="25" t="str">
        <f>IF(AE986="","",IFERROR(INDEX($AO$11:$AO$4010,MATCH(976,$AZ$11:$AZ$4010,0)),""))</f>
        <v/>
      </c>
      <c r="AH986" s="24" t="str">
        <f>IF(AE986="","",IFERROR(INDEX($AQ$11:$AQ$4010,MATCH(976,$AZ$11:$AZ$4010,0)),""))</f>
        <v/>
      </c>
      <c r="AI986" s="29" t="str">
        <f>IF(AE986="","",IFERROR(INDEX($AR$11:$AR$4010,MATCH(976,$AZ$11:$AZ$4010,0)),""))</f>
        <v/>
      </c>
      <c r="AJ986" s="29" t="str">
        <f>IF(AE986="","",IFERROR(INDEX($AT$11:$AT$4010,MATCH(976,$AZ$11:$AZ$4010,0)),""))</f>
        <v/>
      </c>
      <c r="AL986" s="31"/>
      <c r="AM986" s="26"/>
      <c r="AN986" s="32"/>
      <c r="AO986" s="32"/>
      <c r="AP986" s="24"/>
      <c r="AQ986" s="24"/>
      <c r="AR986" s="33"/>
      <c r="AS986" s="34"/>
      <c r="AT986" s="33"/>
      <c r="AV986" s="21">
        <f>IF(AND($AL986&lt;&gt;"",COUNTIF($AL$11:$AL986,$AL986)=1),1,0)</f>
        <v>0</v>
      </c>
      <c r="AW986" s="21">
        <f t="shared" si="117"/>
        <v>0</v>
      </c>
      <c r="AX986" s="21" t="str">
        <f t="shared" si="116"/>
        <v/>
      </c>
      <c r="AY986" s="21" t="str">
        <f>IF(AND($AM986&lt;&gt;"",$AS986&lt;&gt;"✓"),SUMPRODUCT(($AM$11:$AM986&lt;&gt;"")*($AS$11:$AS986&lt;&gt;"✓")),"")</f>
        <v/>
      </c>
      <c r="AZ986" s="21" t="str">
        <f>IF(AND($AM986&lt;&gt;"",$AS986="✓"),SUMPRODUCT(($AM$11:$AM986&lt;&gt;"")*($AS$11:$AS986="✓")),"")</f>
        <v/>
      </c>
      <c r="BA986" s="21" t="str">
        <f>IF($AL986="","",$AL986&amp;"|"&amp;COUNTIF($AL$11:$AL986,$AL986))</f>
        <v/>
      </c>
    </row>
    <row r="987" spans="23:53" ht="15" customHeight="1" x14ac:dyDescent="0.25">
      <c r="W987" s="14" t="str">
        <f>IF(X987="","",IFERROR(INDEX($AL$11:$AL$4010,MATCH(977,$AY$11:$AY$4010,0)),""))</f>
        <v/>
      </c>
      <c r="X987" s="12" t="str">
        <f>IFERROR(INDEX($AM$11:$AM$4010,MATCH(977,$AY$11:$AY$4010,0)),"")</f>
        <v/>
      </c>
      <c r="Y987" s="11" t="str">
        <f>IF(X987="","",IFERROR(INDEX($AN$11:$AN$4010,MATCH(977,$AY$11:$AY$4010,0)),""))</f>
        <v/>
      </c>
      <c r="Z987" s="11" t="str">
        <f>IF(X987="","",IFERROR(INDEX($AO$11:$AO$4010,MATCH(977,$AY$11:$AY$4010,0)),""))</f>
        <v/>
      </c>
      <c r="AA987" s="10" t="str">
        <f>IF(X987="","",IFERROR(INDEX($AQ$11:$AQ$4010,MATCH(977,$AY$11:$AY$4010,0)),""))</f>
        <v/>
      </c>
      <c r="AB987" s="15" t="str">
        <f>IF(X987="","",IFERROR(INDEX($AR$11:$AR$4010,MATCH(977,$AY$11:$AY$4010,0)),""))</f>
        <v/>
      </c>
      <c r="AD987" s="16" t="str">
        <f>IF(AE987="","",IFERROR(INDEX($AL$11:$AL$4010,MATCH(977,$AZ$11:$AZ$4010,0)),""))</f>
        <v/>
      </c>
      <c r="AE987" s="12" t="str">
        <f>IFERROR(INDEX($AM$11:$AM$4010,MATCH(977,$AZ$11:$AZ$4010,0)),"")</f>
        <v/>
      </c>
      <c r="AF987" s="11" t="str">
        <f>IF(AE987="","",IFERROR(INDEX($AN$11:$AN$4010,MATCH(977,$AZ$11:$AZ$4010,0)),""))</f>
        <v/>
      </c>
      <c r="AG987" s="11" t="str">
        <f>IF(AE987="","",IFERROR(INDEX($AO$11:$AO$4010,MATCH(977,$AZ$11:$AZ$4010,0)),""))</f>
        <v/>
      </c>
      <c r="AH987" s="10" t="str">
        <f>IF(AE987="","",IFERROR(INDEX($AQ$11:$AQ$4010,MATCH(977,$AZ$11:$AZ$4010,0)),""))</f>
        <v/>
      </c>
      <c r="AI987" s="15" t="str">
        <f>IF(AE987="","",IFERROR(INDEX($AR$11:$AR$4010,MATCH(977,$AZ$11:$AZ$4010,0)),""))</f>
        <v/>
      </c>
      <c r="AJ987" s="15" t="str">
        <f>IF(AE987="","",IFERROR(INDEX($AT$11:$AT$4010,MATCH(977,$AZ$11:$AZ$4010,0)),""))</f>
        <v/>
      </c>
      <c r="AL987" s="17"/>
      <c r="AM987" s="12"/>
      <c r="AN987" s="18"/>
      <c r="AO987" s="18"/>
      <c r="AP987" s="10"/>
      <c r="AQ987" s="10"/>
      <c r="AR987" s="19"/>
      <c r="AS987" s="20"/>
      <c r="AT987" s="19"/>
      <c r="AV987" s="21">
        <f>IF(AND($AL987&lt;&gt;"",COUNTIF($AL$11:$AL987,$AL987)=1),1,0)</f>
        <v>0</v>
      </c>
      <c r="AW987" s="21">
        <f t="shared" si="117"/>
        <v>0</v>
      </c>
      <c r="AX987" s="21" t="str">
        <f t="shared" si="116"/>
        <v/>
      </c>
      <c r="AY987" s="21" t="str">
        <f>IF(AND($AM987&lt;&gt;"",$AS987&lt;&gt;"✓"),SUMPRODUCT(($AM$11:$AM987&lt;&gt;"")*($AS$11:$AS987&lt;&gt;"✓")),"")</f>
        <v/>
      </c>
      <c r="AZ987" s="21" t="str">
        <f>IF(AND($AM987&lt;&gt;"",$AS987="✓"),SUMPRODUCT(($AM$11:$AM987&lt;&gt;"")*($AS$11:$AS987="✓")),"")</f>
        <v/>
      </c>
      <c r="BA987" s="21" t="str">
        <f>IF($AL987="","",$AL987&amp;"|"&amp;COUNTIF($AL$11:$AL987,$AL987))</f>
        <v/>
      </c>
    </row>
    <row r="988" spans="23:53" ht="15" customHeight="1" x14ac:dyDescent="0.25">
      <c r="W988" s="28" t="str">
        <f>IF(X988="","",IFERROR(INDEX($AL$11:$AL$4010,MATCH(978,$AY$11:$AY$4010,0)),""))</f>
        <v/>
      </c>
      <c r="X988" s="26" t="str">
        <f>IFERROR(INDEX($AM$11:$AM$4010,MATCH(978,$AY$11:$AY$4010,0)),"")</f>
        <v/>
      </c>
      <c r="Y988" s="25" t="str">
        <f>IF(X988="","",IFERROR(INDEX($AN$11:$AN$4010,MATCH(978,$AY$11:$AY$4010,0)),""))</f>
        <v/>
      </c>
      <c r="Z988" s="25" t="str">
        <f>IF(X988="","",IFERROR(INDEX($AO$11:$AO$4010,MATCH(978,$AY$11:$AY$4010,0)),""))</f>
        <v/>
      </c>
      <c r="AA988" s="24" t="str">
        <f>IF(X988="","",IFERROR(INDEX($AQ$11:$AQ$4010,MATCH(978,$AY$11:$AY$4010,0)),""))</f>
        <v/>
      </c>
      <c r="AB988" s="29" t="str">
        <f>IF(X988="","",IFERROR(INDEX($AR$11:$AR$4010,MATCH(978,$AY$11:$AY$4010,0)),""))</f>
        <v/>
      </c>
      <c r="AD988" s="30" t="str">
        <f>IF(AE988="","",IFERROR(INDEX($AL$11:$AL$4010,MATCH(978,$AZ$11:$AZ$4010,0)),""))</f>
        <v/>
      </c>
      <c r="AE988" s="26" t="str">
        <f>IFERROR(INDEX($AM$11:$AM$4010,MATCH(978,$AZ$11:$AZ$4010,0)),"")</f>
        <v/>
      </c>
      <c r="AF988" s="25" t="str">
        <f>IF(AE988="","",IFERROR(INDEX($AN$11:$AN$4010,MATCH(978,$AZ$11:$AZ$4010,0)),""))</f>
        <v/>
      </c>
      <c r="AG988" s="25" t="str">
        <f>IF(AE988="","",IFERROR(INDEX($AO$11:$AO$4010,MATCH(978,$AZ$11:$AZ$4010,0)),""))</f>
        <v/>
      </c>
      <c r="AH988" s="24" t="str">
        <f>IF(AE988="","",IFERROR(INDEX($AQ$11:$AQ$4010,MATCH(978,$AZ$11:$AZ$4010,0)),""))</f>
        <v/>
      </c>
      <c r="AI988" s="29" t="str">
        <f>IF(AE988="","",IFERROR(INDEX($AR$11:$AR$4010,MATCH(978,$AZ$11:$AZ$4010,0)),""))</f>
        <v/>
      </c>
      <c r="AJ988" s="29" t="str">
        <f>IF(AE988="","",IFERROR(INDEX($AT$11:$AT$4010,MATCH(978,$AZ$11:$AZ$4010,0)),""))</f>
        <v/>
      </c>
      <c r="AL988" s="31"/>
      <c r="AM988" s="26"/>
      <c r="AN988" s="32"/>
      <c r="AO988" s="32"/>
      <c r="AP988" s="24"/>
      <c r="AQ988" s="24"/>
      <c r="AR988" s="33"/>
      <c r="AS988" s="34"/>
      <c r="AT988" s="33"/>
      <c r="AV988" s="21">
        <f>IF(AND($AL988&lt;&gt;"",COUNTIF($AL$11:$AL988,$AL988)=1),1,0)</f>
        <v>0</v>
      </c>
      <c r="AW988" s="21">
        <f t="shared" si="117"/>
        <v>0</v>
      </c>
      <c r="AX988" s="21" t="str">
        <f t="shared" si="116"/>
        <v/>
      </c>
      <c r="AY988" s="21" t="str">
        <f>IF(AND($AM988&lt;&gt;"",$AS988&lt;&gt;"✓"),SUMPRODUCT(($AM$11:$AM988&lt;&gt;"")*($AS$11:$AS988&lt;&gt;"✓")),"")</f>
        <v/>
      </c>
      <c r="AZ988" s="21" t="str">
        <f>IF(AND($AM988&lt;&gt;"",$AS988="✓"),SUMPRODUCT(($AM$11:$AM988&lt;&gt;"")*($AS$11:$AS988="✓")),"")</f>
        <v/>
      </c>
      <c r="BA988" s="21" t="str">
        <f>IF($AL988="","",$AL988&amp;"|"&amp;COUNTIF($AL$11:$AL988,$AL988))</f>
        <v/>
      </c>
    </row>
    <row r="989" spans="23:53" ht="15" customHeight="1" x14ac:dyDescent="0.25">
      <c r="W989" s="14" t="str">
        <f>IF(X989="","",IFERROR(INDEX($AL$11:$AL$4010,MATCH(979,$AY$11:$AY$4010,0)),""))</f>
        <v/>
      </c>
      <c r="X989" s="12" t="str">
        <f>IFERROR(INDEX($AM$11:$AM$4010,MATCH(979,$AY$11:$AY$4010,0)),"")</f>
        <v/>
      </c>
      <c r="Y989" s="11" t="str">
        <f>IF(X989="","",IFERROR(INDEX($AN$11:$AN$4010,MATCH(979,$AY$11:$AY$4010,0)),""))</f>
        <v/>
      </c>
      <c r="Z989" s="11" t="str">
        <f>IF(X989="","",IFERROR(INDEX($AO$11:$AO$4010,MATCH(979,$AY$11:$AY$4010,0)),""))</f>
        <v/>
      </c>
      <c r="AA989" s="10" t="str">
        <f>IF(X989="","",IFERROR(INDEX($AQ$11:$AQ$4010,MATCH(979,$AY$11:$AY$4010,0)),""))</f>
        <v/>
      </c>
      <c r="AB989" s="15" t="str">
        <f>IF(X989="","",IFERROR(INDEX($AR$11:$AR$4010,MATCH(979,$AY$11:$AY$4010,0)),""))</f>
        <v/>
      </c>
      <c r="AD989" s="16" t="str">
        <f>IF(AE989="","",IFERROR(INDEX($AL$11:$AL$4010,MATCH(979,$AZ$11:$AZ$4010,0)),""))</f>
        <v/>
      </c>
      <c r="AE989" s="12" t="str">
        <f>IFERROR(INDEX($AM$11:$AM$4010,MATCH(979,$AZ$11:$AZ$4010,0)),"")</f>
        <v/>
      </c>
      <c r="AF989" s="11" t="str">
        <f>IF(AE989="","",IFERROR(INDEX($AN$11:$AN$4010,MATCH(979,$AZ$11:$AZ$4010,0)),""))</f>
        <v/>
      </c>
      <c r="AG989" s="11" t="str">
        <f>IF(AE989="","",IFERROR(INDEX($AO$11:$AO$4010,MATCH(979,$AZ$11:$AZ$4010,0)),""))</f>
        <v/>
      </c>
      <c r="AH989" s="10" t="str">
        <f>IF(AE989="","",IFERROR(INDEX($AQ$11:$AQ$4010,MATCH(979,$AZ$11:$AZ$4010,0)),""))</f>
        <v/>
      </c>
      <c r="AI989" s="15" t="str">
        <f>IF(AE989="","",IFERROR(INDEX($AR$11:$AR$4010,MATCH(979,$AZ$11:$AZ$4010,0)),""))</f>
        <v/>
      </c>
      <c r="AJ989" s="15" t="str">
        <f>IF(AE989="","",IFERROR(INDEX($AT$11:$AT$4010,MATCH(979,$AZ$11:$AZ$4010,0)),""))</f>
        <v/>
      </c>
      <c r="AL989" s="17"/>
      <c r="AM989" s="12"/>
      <c r="AN989" s="18"/>
      <c r="AO989" s="18"/>
      <c r="AP989" s="10"/>
      <c r="AQ989" s="10"/>
      <c r="AR989" s="19"/>
      <c r="AS989" s="20"/>
      <c r="AT989" s="19"/>
      <c r="AV989" s="21">
        <f>IF(AND($AL989&lt;&gt;"",COUNTIF($AL$11:$AL989,$AL989)=1),1,0)</f>
        <v>0</v>
      </c>
      <c r="AW989" s="21">
        <f t="shared" si="117"/>
        <v>0</v>
      </c>
      <c r="AX989" s="21" t="str">
        <f t="shared" si="116"/>
        <v/>
      </c>
      <c r="AY989" s="21" t="str">
        <f>IF(AND($AM989&lt;&gt;"",$AS989&lt;&gt;"✓"),SUMPRODUCT(($AM$11:$AM989&lt;&gt;"")*($AS$11:$AS989&lt;&gt;"✓")),"")</f>
        <v/>
      </c>
      <c r="AZ989" s="21" t="str">
        <f>IF(AND($AM989&lt;&gt;"",$AS989="✓"),SUMPRODUCT(($AM$11:$AM989&lt;&gt;"")*($AS$11:$AS989="✓")),"")</f>
        <v/>
      </c>
      <c r="BA989" s="21" t="str">
        <f>IF($AL989="","",$AL989&amp;"|"&amp;COUNTIF($AL$11:$AL989,$AL989))</f>
        <v/>
      </c>
    </row>
    <row r="990" spans="23:53" ht="15" customHeight="1" x14ac:dyDescent="0.25">
      <c r="W990" s="28" t="str">
        <f>IF(X990="","",IFERROR(INDEX($AL$11:$AL$4010,MATCH(980,$AY$11:$AY$4010,0)),""))</f>
        <v/>
      </c>
      <c r="X990" s="26" t="str">
        <f>IFERROR(INDEX($AM$11:$AM$4010,MATCH(980,$AY$11:$AY$4010,0)),"")</f>
        <v/>
      </c>
      <c r="Y990" s="25" t="str">
        <f>IF(X990="","",IFERROR(INDEX($AN$11:$AN$4010,MATCH(980,$AY$11:$AY$4010,0)),""))</f>
        <v/>
      </c>
      <c r="Z990" s="25" t="str">
        <f>IF(X990="","",IFERROR(INDEX($AO$11:$AO$4010,MATCH(980,$AY$11:$AY$4010,0)),""))</f>
        <v/>
      </c>
      <c r="AA990" s="24" t="str">
        <f>IF(X990="","",IFERROR(INDEX($AQ$11:$AQ$4010,MATCH(980,$AY$11:$AY$4010,0)),""))</f>
        <v/>
      </c>
      <c r="AB990" s="29" t="str">
        <f>IF(X990="","",IFERROR(INDEX($AR$11:$AR$4010,MATCH(980,$AY$11:$AY$4010,0)),""))</f>
        <v/>
      </c>
      <c r="AD990" s="30" t="str">
        <f>IF(AE990="","",IFERROR(INDEX($AL$11:$AL$4010,MATCH(980,$AZ$11:$AZ$4010,0)),""))</f>
        <v/>
      </c>
      <c r="AE990" s="26" t="str">
        <f>IFERROR(INDEX($AM$11:$AM$4010,MATCH(980,$AZ$11:$AZ$4010,0)),"")</f>
        <v/>
      </c>
      <c r="AF990" s="25" t="str">
        <f>IF(AE990="","",IFERROR(INDEX($AN$11:$AN$4010,MATCH(980,$AZ$11:$AZ$4010,0)),""))</f>
        <v/>
      </c>
      <c r="AG990" s="25" t="str">
        <f>IF(AE990="","",IFERROR(INDEX($AO$11:$AO$4010,MATCH(980,$AZ$11:$AZ$4010,0)),""))</f>
        <v/>
      </c>
      <c r="AH990" s="24" t="str">
        <f>IF(AE990="","",IFERROR(INDEX($AQ$11:$AQ$4010,MATCH(980,$AZ$11:$AZ$4010,0)),""))</f>
        <v/>
      </c>
      <c r="AI990" s="29" t="str">
        <f>IF(AE990="","",IFERROR(INDEX($AR$11:$AR$4010,MATCH(980,$AZ$11:$AZ$4010,0)),""))</f>
        <v/>
      </c>
      <c r="AJ990" s="29" t="str">
        <f>IF(AE990="","",IFERROR(INDEX($AT$11:$AT$4010,MATCH(980,$AZ$11:$AZ$4010,0)),""))</f>
        <v/>
      </c>
      <c r="AL990" s="31"/>
      <c r="AM990" s="26"/>
      <c r="AN990" s="32"/>
      <c r="AO990" s="32"/>
      <c r="AP990" s="24"/>
      <c r="AQ990" s="24"/>
      <c r="AR990" s="33"/>
      <c r="AS990" s="34"/>
      <c r="AT990" s="33"/>
      <c r="AV990" s="21">
        <f>IF(AND($AL990&lt;&gt;"",COUNTIF($AL$11:$AL990,$AL990)=1),1,0)</f>
        <v>0</v>
      </c>
      <c r="AW990" s="21">
        <f t="shared" si="117"/>
        <v>0</v>
      </c>
      <c r="AX990" s="21" t="str">
        <f t="shared" si="116"/>
        <v/>
      </c>
      <c r="AY990" s="21" t="str">
        <f>IF(AND($AM990&lt;&gt;"",$AS990&lt;&gt;"✓"),SUMPRODUCT(($AM$11:$AM990&lt;&gt;"")*($AS$11:$AS990&lt;&gt;"✓")),"")</f>
        <v/>
      </c>
      <c r="AZ990" s="21" t="str">
        <f>IF(AND($AM990&lt;&gt;"",$AS990="✓"),SUMPRODUCT(($AM$11:$AM990&lt;&gt;"")*($AS$11:$AS990="✓")),"")</f>
        <v/>
      </c>
      <c r="BA990" s="21" t="str">
        <f>IF($AL990="","",$AL990&amp;"|"&amp;COUNTIF($AL$11:$AL990,$AL990))</f>
        <v/>
      </c>
    </row>
    <row r="991" spans="23:53" ht="15" customHeight="1" x14ac:dyDescent="0.25">
      <c r="W991" s="14" t="str">
        <f>IF(X991="","",IFERROR(INDEX($AL$11:$AL$4010,MATCH(981,$AY$11:$AY$4010,0)),""))</f>
        <v/>
      </c>
      <c r="X991" s="12" t="str">
        <f>IFERROR(INDEX($AM$11:$AM$4010,MATCH(981,$AY$11:$AY$4010,0)),"")</f>
        <v/>
      </c>
      <c r="Y991" s="11" t="str">
        <f>IF(X991="","",IFERROR(INDEX($AN$11:$AN$4010,MATCH(981,$AY$11:$AY$4010,0)),""))</f>
        <v/>
      </c>
      <c r="Z991" s="11" t="str">
        <f>IF(X991="","",IFERROR(INDEX($AO$11:$AO$4010,MATCH(981,$AY$11:$AY$4010,0)),""))</f>
        <v/>
      </c>
      <c r="AA991" s="10" t="str">
        <f>IF(X991="","",IFERROR(INDEX($AQ$11:$AQ$4010,MATCH(981,$AY$11:$AY$4010,0)),""))</f>
        <v/>
      </c>
      <c r="AB991" s="15" t="str">
        <f>IF(X991="","",IFERROR(INDEX($AR$11:$AR$4010,MATCH(981,$AY$11:$AY$4010,0)),""))</f>
        <v/>
      </c>
      <c r="AD991" s="16" t="str">
        <f>IF(AE991="","",IFERROR(INDEX($AL$11:$AL$4010,MATCH(981,$AZ$11:$AZ$4010,0)),""))</f>
        <v/>
      </c>
      <c r="AE991" s="12" t="str">
        <f>IFERROR(INDEX($AM$11:$AM$4010,MATCH(981,$AZ$11:$AZ$4010,0)),"")</f>
        <v/>
      </c>
      <c r="AF991" s="11" t="str">
        <f>IF(AE991="","",IFERROR(INDEX($AN$11:$AN$4010,MATCH(981,$AZ$11:$AZ$4010,0)),""))</f>
        <v/>
      </c>
      <c r="AG991" s="11" t="str">
        <f>IF(AE991="","",IFERROR(INDEX($AO$11:$AO$4010,MATCH(981,$AZ$11:$AZ$4010,0)),""))</f>
        <v/>
      </c>
      <c r="AH991" s="10" t="str">
        <f>IF(AE991="","",IFERROR(INDEX($AQ$11:$AQ$4010,MATCH(981,$AZ$11:$AZ$4010,0)),""))</f>
        <v/>
      </c>
      <c r="AI991" s="15" t="str">
        <f>IF(AE991="","",IFERROR(INDEX($AR$11:$AR$4010,MATCH(981,$AZ$11:$AZ$4010,0)),""))</f>
        <v/>
      </c>
      <c r="AJ991" s="15" t="str">
        <f>IF(AE991="","",IFERROR(INDEX($AT$11:$AT$4010,MATCH(981,$AZ$11:$AZ$4010,0)),""))</f>
        <v/>
      </c>
      <c r="AL991" s="17"/>
      <c r="AM991" s="12"/>
      <c r="AN991" s="18"/>
      <c r="AO991" s="18"/>
      <c r="AP991" s="10"/>
      <c r="AQ991" s="10"/>
      <c r="AR991" s="19"/>
      <c r="AS991" s="20"/>
      <c r="AT991" s="19"/>
      <c r="AV991" s="21">
        <f>IF(AND($AL991&lt;&gt;"",COUNTIF($AL$11:$AL991,$AL991)=1),1,0)</f>
        <v>0</v>
      </c>
      <c r="AW991" s="21">
        <f t="shared" si="117"/>
        <v>0</v>
      </c>
      <c r="AX991" s="21" t="str">
        <f t="shared" si="116"/>
        <v/>
      </c>
      <c r="AY991" s="21" t="str">
        <f>IF(AND($AM991&lt;&gt;"",$AS991&lt;&gt;"✓"),SUMPRODUCT(($AM$11:$AM991&lt;&gt;"")*($AS$11:$AS991&lt;&gt;"✓")),"")</f>
        <v/>
      </c>
      <c r="AZ991" s="21" t="str">
        <f>IF(AND($AM991&lt;&gt;"",$AS991="✓"),SUMPRODUCT(($AM$11:$AM991&lt;&gt;"")*($AS$11:$AS991="✓")),"")</f>
        <v/>
      </c>
      <c r="BA991" s="21" t="str">
        <f>IF($AL991="","",$AL991&amp;"|"&amp;COUNTIF($AL$11:$AL991,$AL991))</f>
        <v/>
      </c>
    </row>
    <row r="992" spans="23:53" ht="15" customHeight="1" x14ac:dyDescent="0.25">
      <c r="W992" s="28" t="str">
        <f>IF(X992="","",IFERROR(INDEX($AL$11:$AL$4010,MATCH(982,$AY$11:$AY$4010,0)),""))</f>
        <v/>
      </c>
      <c r="X992" s="26" t="str">
        <f>IFERROR(INDEX($AM$11:$AM$4010,MATCH(982,$AY$11:$AY$4010,0)),"")</f>
        <v/>
      </c>
      <c r="Y992" s="25" t="str">
        <f>IF(X992="","",IFERROR(INDEX($AN$11:$AN$4010,MATCH(982,$AY$11:$AY$4010,0)),""))</f>
        <v/>
      </c>
      <c r="Z992" s="25" t="str">
        <f>IF(X992="","",IFERROR(INDEX($AO$11:$AO$4010,MATCH(982,$AY$11:$AY$4010,0)),""))</f>
        <v/>
      </c>
      <c r="AA992" s="24" t="str">
        <f>IF(X992="","",IFERROR(INDEX($AQ$11:$AQ$4010,MATCH(982,$AY$11:$AY$4010,0)),""))</f>
        <v/>
      </c>
      <c r="AB992" s="29" t="str">
        <f>IF(X992="","",IFERROR(INDEX($AR$11:$AR$4010,MATCH(982,$AY$11:$AY$4010,0)),""))</f>
        <v/>
      </c>
      <c r="AD992" s="30" t="str">
        <f>IF(AE992="","",IFERROR(INDEX($AL$11:$AL$4010,MATCH(982,$AZ$11:$AZ$4010,0)),""))</f>
        <v/>
      </c>
      <c r="AE992" s="26" t="str">
        <f>IFERROR(INDEX($AM$11:$AM$4010,MATCH(982,$AZ$11:$AZ$4010,0)),"")</f>
        <v/>
      </c>
      <c r="AF992" s="25" t="str">
        <f>IF(AE992="","",IFERROR(INDEX($AN$11:$AN$4010,MATCH(982,$AZ$11:$AZ$4010,0)),""))</f>
        <v/>
      </c>
      <c r="AG992" s="25" t="str">
        <f>IF(AE992="","",IFERROR(INDEX($AO$11:$AO$4010,MATCH(982,$AZ$11:$AZ$4010,0)),""))</f>
        <v/>
      </c>
      <c r="AH992" s="24" t="str">
        <f>IF(AE992="","",IFERROR(INDEX($AQ$11:$AQ$4010,MATCH(982,$AZ$11:$AZ$4010,0)),""))</f>
        <v/>
      </c>
      <c r="AI992" s="29" t="str">
        <f>IF(AE992="","",IFERROR(INDEX($AR$11:$AR$4010,MATCH(982,$AZ$11:$AZ$4010,0)),""))</f>
        <v/>
      </c>
      <c r="AJ992" s="29" t="str">
        <f>IF(AE992="","",IFERROR(INDEX($AT$11:$AT$4010,MATCH(982,$AZ$11:$AZ$4010,0)),""))</f>
        <v/>
      </c>
      <c r="AL992" s="31"/>
      <c r="AM992" s="26"/>
      <c r="AN992" s="32"/>
      <c r="AO992" s="32"/>
      <c r="AP992" s="24"/>
      <c r="AQ992" s="24"/>
      <c r="AR992" s="33"/>
      <c r="AS992" s="34"/>
      <c r="AT992" s="33"/>
      <c r="AV992" s="21">
        <f>IF(AND($AL992&lt;&gt;"",COUNTIF($AL$11:$AL992,$AL992)=1),1,0)</f>
        <v>0</v>
      </c>
      <c r="AW992" s="21">
        <f t="shared" si="117"/>
        <v>0</v>
      </c>
      <c r="AX992" s="21" t="str">
        <f t="shared" si="116"/>
        <v/>
      </c>
      <c r="AY992" s="21" t="str">
        <f>IF(AND($AM992&lt;&gt;"",$AS992&lt;&gt;"✓"),SUMPRODUCT(($AM$11:$AM992&lt;&gt;"")*($AS$11:$AS992&lt;&gt;"✓")),"")</f>
        <v/>
      </c>
      <c r="AZ992" s="21" t="str">
        <f>IF(AND($AM992&lt;&gt;"",$AS992="✓"),SUMPRODUCT(($AM$11:$AM992&lt;&gt;"")*($AS$11:$AS992="✓")),"")</f>
        <v/>
      </c>
      <c r="BA992" s="21" t="str">
        <f>IF($AL992="","",$AL992&amp;"|"&amp;COUNTIF($AL$11:$AL992,$AL992))</f>
        <v/>
      </c>
    </row>
    <row r="993" spans="23:53" ht="15" customHeight="1" x14ac:dyDescent="0.25">
      <c r="W993" s="14" t="str">
        <f>IF(X993="","",IFERROR(INDEX($AL$11:$AL$4010,MATCH(983,$AY$11:$AY$4010,0)),""))</f>
        <v/>
      </c>
      <c r="X993" s="12" t="str">
        <f>IFERROR(INDEX($AM$11:$AM$4010,MATCH(983,$AY$11:$AY$4010,0)),"")</f>
        <v/>
      </c>
      <c r="Y993" s="11" t="str">
        <f>IF(X993="","",IFERROR(INDEX($AN$11:$AN$4010,MATCH(983,$AY$11:$AY$4010,0)),""))</f>
        <v/>
      </c>
      <c r="Z993" s="11" t="str">
        <f>IF(X993="","",IFERROR(INDEX($AO$11:$AO$4010,MATCH(983,$AY$11:$AY$4010,0)),""))</f>
        <v/>
      </c>
      <c r="AA993" s="10" t="str">
        <f>IF(X993="","",IFERROR(INDEX($AQ$11:$AQ$4010,MATCH(983,$AY$11:$AY$4010,0)),""))</f>
        <v/>
      </c>
      <c r="AB993" s="15" t="str">
        <f>IF(X993="","",IFERROR(INDEX($AR$11:$AR$4010,MATCH(983,$AY$11:$AY$4010,0)),""))</f>
        <v/>
      </c>
      <c r="AD993" s="16" t="str">
        <f>IF(AE993="","",IFERROR(INDEX($AL$11:$AL$4010,MATCH(983,$AZ$11:$AZ$4010,0)),""))</f>
        <v/>
      </c>
      <c r="AE993" s="12" t="str">
        <f>IFERROR(INDEX($AM$11:$AM$4010,MATCH(983,$AZ$11:$AZ$4010,0)),"")</f>
        <v/>
      </c>
      <c r="AF993" s="11" t="str">
        <f>IF(AE993="","",IFERROR(INDEX($AN$11:$AN$4010,MATCH(983,$AZ$11:$AZ$4010,0)),""))</f>
        <v/>
      </c>
      <c r="AG993" s="11" t="str">
        <f>IF(AE993="","",IFERROR(INDEX($AO$11:$AO$4010,MATCH(983,$AZ$11:$AZ$4010,0)),""))</f>
        <v/>
      </c>
      <c r="AH993" s="10" t="str">
        <f>IF(AE993="","",IFERROR(INDEX($AQ$11:$AQ$4010,MATCH(983,$AZ$11:$AZ$4010,0)),""))</f>
        <v/>
      </c>
      <c r="AI993" s="15" t="str">
        <f>IF(AE993="","",IFERROR(INDEX($AR$11:$AR$4010,MATCH(983,$AZ$11:$AZ$4010,0)),""))</f>
        <v/>
      </c>
      <c r="AJ993" s="15" t="str">
        <f>IF(AE993="","",IFERROR(INDEX($AT$11:$AT$4010,MATCH(983,$AZ$11:$AZ$4010,0)),""))</f>
        <v/>
      </c>
      <c r="AL993" s="17"/>
      <c r="AM993" s="12"/>
      <c r="AN993" s="18"/>
      <c r="AO993" s="18"/>
      <c r="AP993" s="10"/>
      <c r="AQ993" s="10"/>
      <c r="AR993" s="19"/>
      <c r="AS993" s="20"/>
      <c r="AT993" s="19"/>
      <c r="AV993" s="21">
        <f>IF(AND($AL993&lt;&gt;"",COUNTIF($AL$11:$AL993,$AL993)=1),1,0)</f>
        <v>0</v>
      </c>
      <c r="AW993" s="21">
        <f t="shared" si="117"/>
        <v>0</v>
      </c>
      <c r="AX993" s="21" t="str">
        <f t="shared" si="116"/>
        <v/>
      </c>
      <c r="AY993" s="21" t="str">
        <f>IF(AND($AM993&lt;&gt;"",$AS993&lt;&gt;"✓"),SUMPRODUCT(($AM$11:$AM993&lt;&gt;"")*($AS$11:$AS993&lt;&gt;"✓")),"")</f>
        <v/>
      </c>
      <c r="AZ993" s="21" t="str">
        <f>IF(AND($AM993&lt;&gt;"",$AS993="✓"),SUMPRODUCT(($AM$11:$AM993&lt;&gt;"")*($AS$11:$AS993="✓")),"")</f>
        <v/>
      </c>
      <c r="BA993" s="21" t="str">
        <f>IF($AL993="","",$AL993&amp;"|"&amp;COUNTIF($AL$11:$AL993,$AL993))</f>
        <v/>
      </c>
    </row>
    <row r="994" spans="23:53" ht="15" customHeight="1" x14ac:dyDescent="0.25">
      <c r="W994" s="28" t="str">
        <f>IF(X994="","",IFERROR(INDEX($AL$11:$AL$4010,MATCH(984,$AY$11:$AY$4010,0)),""))</f>
        <v/>
      </c>
      <c r="X994" s="26" t="str">
        <f>IFERROR(INDEX($AM$11:$AM$4010,MATCH(984,$AY$11:$AY$4010,0)),"")</f>
        <v/>
      </c>
      <c r="Y994" s="25" t="str">
        <f>IF(X994="","",IFERROR(INDEX($AN$11:$AN$4010,MATCH(984,$AY$11:$AY$4010,0)),""))</f>
        <v/>
      </c>
      <c r="Z994" s="25" t="str">
        <f>IF(X994="","",IFERROR(INDEX($AO$11:$AO$4010,MATCH(984,$AY$11:$AY$4010,0)),""))</f>
        <v/>
      </c>
      <c r="AA994" s="24" t="str">
        <f>IF(X994="","",IFERROR(INDEX($AQ$11:$AQ$4010,MATCH(984,$AY$11:$AY$4010,0)),""))</f>
        <v/>
      </c>
      <c r="AB994" s="29" t="str">
        <f>IF(X994="","",IFERROR(INDEX($AR$11:$AR$4010,MATCH(984,$AY$11:$AY$4010,0)),""))</f>
        <v/>
      </c>
      <c r="AD994" s="30" t="str">
        <f>IF(AE994="","",IFERROR(INDEX($AL$11:$AL$4010,MATCH(984,$AZ$11:$AZ$4010,0)),""))</f>
        <v/>
      </c>
      <c r="AE994" s="26" t="str">
        <f>IFERROR(INDEX($AM$11:$AM$4010,MATCH(984,$AZ$11:$AZ$4010,0)),"")</f>
        <v/>
      </c>
      <c r="AF994" s="25" t="str">
        <f>IF(AE994="","",IFERROR(INDEX($AN$11:$AN$4010,MATCH(984,$AZ$11:$AZ$4010,0)),""))</f>
        <v/>
      </c>
      <c r="AG994" s="25" t="str">
        <f>IF(AE994="","",IFERROR(INDEX($AO$11:$AO$4010,MATCH(984,$AZ$11:$AZ$4010,0)),""))</f>
        <v/>
      </c>
      <c r="AH994" s="24" t="str">
        <f>IF(AE994="","",IFERROR(INDEX($AQ$11:$AQ$4010,MATCH(984,$AZ$11:$AZ$4010,0)),""))</f>
        <v/>
      </c>
      <c r="AI994" s="29" t="str">
        <f>IF(AE994="","",IFERROR(INDEX($AR$11:$AR$4010,MATCH(984,$AZ$11:$AZ$4010,0)),""))</f>
        <v/>
      </c>
      <c r="AJ994" s="29" t="str">
        <f>IF(AE994="","",IFERROR(INDEX($AT$11:$AT$4010,MATCH(984,$AZ$11:$AZ$4010,0)),""))</f>
        <v/>
      </c>
      <c r="AL994" s="31"/>
      <c r="AM994" s="26"/>
      <c r="AN994" s="32"/>
      <c r="AO994" s="32"/>
      <c r="AP994" s="24"/>
      <c r="AQ994" s="24"/>
      <c r="AR994" s="33"/>
      <c r="AS994" s="34"/>
      <c r="AT994" s="33"/>
      <c r="AV994" s="21">
        <f>IF(AND($AL994&lt;&gt;"",COUNTIF($AL$11:$AL994,$AL994)=1),1,0)</f>
        <v>0</v>
      </c>
      <c r="AW994" s="21">
        <f t="shared" si="117"/>
        <v>0</v>
      </c>
      <c r="AX994" s="21" t="str">
        <f t="shared" si="116"/>
        <v/>
      </c>
      <c r="AY994" s="21" t="str">
        <f>IF(AND($AM994&lt;&gt;"",$AS994&lt;&gt;"✓"),SUMPRODUCT(($AM$11:$AM994&lt;&gt;"")*($AS$11:$AS994&lt;&gt;"✓")),"")</f>
        <v/>
      </c>
      <c r="AZ994" s="21" t="str">
        <f>IF(AND($AM994&lt;&gt;"",$AS994="✓"),SUMPRODUCT(($AM$11:$AM994&lt;&gt;"")*($AS$11:$AS994="✓")),"")</f>
        <v/>
      </c>
      <c r="BA994" s="21" t="str">
        <f>IF($AL994="","",$AL994&amp;"|"&amp;COUNTIF($AL$11:$AL994,$AL994))</f>
        <v/>
      </c>
    </row>
    <row r="995" spans="23:53" ht="15" customHeight="1" x14ac:dyDescent="0.25">
      <c r="W995" s="14" t="str">
        <f>IF(X995="","",IFERROR(INDEX($AL$11:$AL$4010,MATCH(985,$AY$11:$AY$4010,0)),""))</f>
        <v/>
      </c>
      <c r="X995" s="12" t="str">
        <f>IFERROR(INDEX($AM$11:$AM$4010,MATCH(985,$AY$11:$AY$4010,0)),"")</f>
        <v/>
      </c>
      <c r="Y995" s="11" t="str">
        <f>IF(X995="","",IFERROR(INDEX($AN$11:$AN$4010,MATCH(985,$AY$11:$AY$4010,0)),""))</f>
        <v/>
      </c>
      <c r="Z995" s="11" t="str">
        <f>IF(X995="","",IFERROR(INDEX($AO$11:$AO$4010,MATCH(985,$AY$11:$AY$4010,0)),""))</f>
        <v/>
      </c>
      <c r="AA995" s="10" t="str">
        <f>IF(X995="","",IFERROR(INDEX($AQ$11:$AQ$4010,MATCH(985,$AY$11:$AY$4010,0)),""))</f>
        <v/>
      </c>
      <c r="AB995" s="15" t="str">
        <f>IF(X995="","",IFERROR(INDEX($AR$11:$AR$4010,MATCH(985,$AY$11:$AY$4010,0)),""))</f>
        <v/>
      </c>
      <c r="AD995" s="16" t="str">
        <f>IF(AE995="","",IFERROR(INDEX($AL$11:$AL$4010,MATCH(985,$AZ$11:$AZ$4010,0)),""))</f>
        <v/>
      </c>
      <c r="AE995" s="12" t="str">
        <f>IFERROR(INDEX($AM$11:$AM$4010,MATCH(985,$AZ$11:$AZ$4010,0)),"")</f>
        <v/>
      </c>
      <c r="AF995" s="11" t="str">
        <f>IF(AE995="","",IFERROR(INDEX($AN$11:$AN$4010,MATCH(985,$AZ$11:$AZ$4010,0)),""))</f>
        <v/>
      </c>
      <c r="AG995" s="11" t="str">
        <f>IF(AE995="","",IFERROR(INDEX($AO$11:$AO$4010,MATCH(985,$AZ$11:$AZ$4010,0)),""))</f>
        <v/>
      </c>
      <c r="AH995" s="10" t="str">
        <f>IF(AE995="","",IFERROR(INDEX($AQ$11:$AQ$4010,MATCH(985,$AZ$11:$AZ$4010,0)),""))</f>
        <v/>
      </c>
      <c r="AI995" s="15" t="str">
        <f>IF(AE995="","",IFERROR(INDEX($AR$11:$AR$4010,MATCH(985,$AZ$11:$AZ$4010,0)),""))</f>
        <v/>
      </c>
      <c r="AJ995" s="15" t="str">
        <f>IF(AE995="","",IFERROR(INDEX($AT$11:$AT$4010,MATCH(985,$AZ$11:$AZ$4010,0)),""))</f>
        <v/>
      </c>
      <c r="AL995" s="17"/>
      <c r="AM995" s="12"/>
      <c r="AN995" s="18"/>
      <c r="AO995" s="18"/>
      <c r="AP995" s="10"/>
      <c r="AQ995" s="10"/>
      <c r="AR995" s="19"/>
      <c r="AS995" s="20"/>
      <c r="AT995" s="19"/>
      <c r="AV995" s="21">
        <f>IF(AND($AL995&lt;&gt;"",COUNTIF($AL$11:$AL995,$AL995)=1),1,0)</f>
        <v>0</v>
      </c>
      <c r="AW995" s="21">
        <f t="shared" si="117"/>
        <v>0</v>
      </c>
      <c r="AX995" s="21" t="str">
        <f t="shared" si="116"/>
        <v/>
      </c>
      <c r="AY995" s="21" t="str">
        <f>IF(AND($AM995&lt;&gt;"",$AS995&lt;&gt;"✓"),SUMPRODUCT(($AM$11:$AM995&lt;&gt;"")*($AS$11:$AS995&lt;&gt;"✓")),"")</f>
        <v/>
      </c>
      <c r="AZ995" s="21" t="str">
        <f>IF(AND($AM995&lt;&gt;"",$AS995="✓"),SUMPRODUCT(($AM$11:$AM995&lt;&gt;"")*($AS$11:$AS995="✓")),"")</f>
        <v/>
      </c>
      <c r="BA995" s="21" t="str">
        <f>IF($AL995="","",$AL995&amp;"|"&amp;COUNTIF($AL$11:$AL995,$AL995))</f>
        <v/>
      </c>
    </row>
    <row r="996" spans="23:53" ht="15" customHeight="1" x14ac:dyDescent="0.25">
      <c r="W996" s="28" t="str">
        <f>IF(X996="","",IFERROR(INDEX($AL$11:$AL$4010,MATCH(986,$AY$11:$AY$4010,0)),""))</f>
        <v/>
      </c>
      <c r="X996" s="26" t="str">
        <f>IFERROR(INDEX($AM$11:$AM$4010,MATCH(986,$AY$11:$AY$4010,0)),"")</f>
        <v/>
      </c>
      <c r="Y996" s="25" t="str">
        <f>IF(X996="","",IFERROR(INDEX($AN$11:$AN$4010,MATCH(986,$AY$11:$AY$4010,0)),""))</f>
        <v/>
      </c>
      <c r="Z996" s="25" t="str">
        <f>IF(X996="","",IFERROR(INDEX($AO$11:$AO$4010,MATCH(986,$AY$11:$AY$4010,0)),""))</f>
        <v/>
      </c>
      <c r="AA996" s="24" t="str">
        <f>IF(X996="","",IFERROR(INDEX($AQ$11:$AQ$4010,MATCH(986,$AY$11:$AY$4010,0)),""))</f>
        <v/>
      </c>
      <c r="AB996" s="29" t="str">
        <f>IF(X996="","",IFERROR(INDEX($AR$11:$AR$4010,MATCH(986,$AY$11:$AY$4010,0)),""))</f>
        <v/>
      </c>
      <c r="AD996" s="30" t="str">
        <f>IF(AE996="","",IFERROR(INDEX($AL$11:$AL$4010,MATCH(986,$AZ$11:$AZ$4010,0)),""))</f>
        <v/>
      </c>
      <c r="AE996" s="26" t="str">
        <f>IFERROR(INDEX($AM$11:$AM$4010,MATCH(986,$AZ$11:$AZ$4010,0)),"")</f>
        <v/>
      </c>
      <c r="AF996" s="25" t="str">
        <f>IF(AE996="","",IFERROR(INDEX($AN$11:$AN$4010,MATCH(986,$AZ$11:$AZ$4010,0)),""))</f>
        <v/>
      </c>
      <c r="AG996" s="25" t="str">
        <f>IF(AE996="","",IFERROR(INDEX($AO$11:$AO$4010,MATCH(986,$AZ$11:$AZ$4010,0)),""))</f>
        <v/>
      </c>
      <c r="AH996" s="24" t="str">
        <f>IF(AE996="","",IFERROR(INDEX($AQ$11:$AQ$4010,MATCH(986,$AZ$11:$AZ$4010,0)),""))</f>
        <v/>
      </c>
      <c r="AI996" s="29" t="str">
        <f>IF(AE996="","",IFERROR(INDEX($AR$11:$AR$4010,MATCH(986,$AZ$11:$AZ$4010,0)),""))</f>
        <v/>
      </c>
      <c r="AJ996" s="29" t="str">
        <f>IF(AE996="","",IFERROR(INDEX($AT$11:$AT$4010,MATCH(986,$AZ$11:$AZ$4010,0)),""))</f>
        <v/>
      </c>
      <c r="AL996" s="31"/>
      <c r="AM996" s="26"/>
      <c r="AN996" s="32"/>
      <c r="AO996" s="32"/>
      <c r="AP996" s="24"/>
      <c r="AQ996" s="24"/>
      <c r="AR996" s="33"/>
      <c r="AS996" s="34"/>
      <c r="AT996" s="33"/>
      <c r="AV996" s="21">
        <f>IF(AND($AL996&lt;&gt;"",COUNTIF($AL$11:$AL996,$AL996)=1),1,0)</f>
        <v>0</v>
      </c>
      <c r="AW996" s="21">
        <f t="shared" si="117"/>
        <v>0</v>
      </c>
      <c r="AX996" s="21" t="str">
        <f t="shared" si="116"/>
        <v/>
      </c>
      <c r="AY996" s="21" t="str">
        <f>IF(AND($AM996&lt;&gt;"",$AS996&lt;&gt;"✓"),SUMPRODUCT(($AM$11:$AM996&lt;&gt;"")*($AS$11:$AS996&lt;&gt;"✓")),"")</f>
        <v/>
      </c>
      <c r="AZ996" s="21" t="str">
        <f>IF(AND($AM996&lt;&gt;"",$AS996="✓"),SUMPRODUCT(($AM$11:$AM996&lt;&gt;"")*($AS$11:$AS996="✓")),"")</f>
        <v/>
      </c>
      <c r="BA996" s="21" t="str">
        <f>IF($AL996="","",$AL996&amp;"|"&amp;COUNTIF($AL$11:$AL996,$AL996))</f>
        <v/>
      </c>
    </row>
    <row r="997" spans="23:53" ht="15" customHeight="1" x14ac:dyDescent="0.25">
      <c r="W997" s="14" t="str">
        <f>IF(X997="","",IFERROR(INDEX($AL$11:$AL$4010,MATCH(987,$AY$11:$AY$4010,0)),""))</f>
        <v/>
      </c>
      <c r="X997" s="12" t="str">
        <f>IFERROR(INDEX($AM$11:$AM$4010,MATCH(987,$AY$11:$AY$4010,0)),"")</f>
        <v/>
      </c>
      <c r="Y997" s="11" t="str">
        <f>IF(X997="","",IFERROR(INDEX($AN$11:$AN$4010,MATCH(987,$AY$11:$AY$4010,0)),""))</f>
        <v/>
      </c>
      <c r="Z997" s="11" t="str">
        <f>IF(X997="","",IFERROR(INDEX($AO$11:$AO$4010,MATCH(987,$AY$11:$AY$4010,0)),""))</f>
        <v/>
      </c>
      <c r="AA997" s="10" t="str">
        <f>IF(X997="","",IFERROR(INDEX($AQ$11:$AQ$4010,MATCH(987,$AY$11:$AY$4010,0)),""))</f>
        <v/>
      </c>
      <c r="AB997" s="15" t="str">
        <f>IF(X997="","",IFERROR(INDEX($AR$11:$AR$4010,MATCH(987,$AY$11:$AY$4010,0)),""))</f>
        <v/>
      </c>
      <c r="AD997" s="16" t="str">
        <f>IF(AE997="","",IFERROR(INDEX($AL$11:$AL$4010,MATCH(987,$AZ$11:$AZ$4010,0)),""))</f>
        <v/>
      </c>
      <c r="AE997" s="12" t="str">
        <f>IFERROR(INDEX($AM$11:$AM$4010,MATCH(987,$AZ$11:$AZ$4010,0)),"")</f>
        <v/>
      </c>
      <c r="AF997" s="11" t="str">
        <f>IF(AE997="","",IFERROR(INDEX($AN$11:$AN$4010,MATCH(987,$AZ$11:$AZ$4010,0)),""))</f>
        <v/>
      </c>
      <c r="AG997" s="11" t="str">
        <f>IF(AE997="","",IFERROR(INDEX($AO$11:$AO$4010,MATCH(987,$AZ$11:$AZ$4010,0)),""))</f>
        <v/>
      </c>
      <c r="AH997" s="10" t="str">
        <f>IF(AE997="","",IFERROR(INDEX($AQ$11:$AQ$4010,MATCH(987,$AZ$11:$AZ$4010,0)),""))</f>
        <v/>
      </c>
      <c r="AI997" s="15" t="str">
        <f>IF(AE997="","",IFERROR(INDEX($AR$11:$AR$4010,MATCH(987,$AZ$11:$AZ$4010,0)),""))</f>
        <v/>
      </c>
      <c r="AJ997" s="15" t="str">
        <f>IF(AE997="","",IFERROR(INDEX($AT$11:$AT$4010,MATCH(987,$AZ$11:$AZ$4010,0)),""))</f>
        <v/>
      </c>
      <c r="AL997" s="17"/>
      <c r="AM997" s="12"/>
      <c r="AN997" s="18"/>
      <c r="AO997" s="18"/>
      <c r="AP997" s="10"/>
      <c r="AQ997" s="10"/>
      <c r="AR997" s="19"/>
      <c r="AS997" s="20"/>
      <c r="AT997" s="19"/>
      <c r="AV997" s="21">
        <f>IF(AND($AL997&lt;&gt;"",COUNTIF($AL$11:$AL997,$AL997)=1),1,0)</f>
        <v>0</v>
      </c>
      <c r="AW997" s="21">
        <f t="shared" si="117"/>
        <v>0</v>
      </c>
      <c r="AX997" s="21" t="str">
        <f t="shared" si="116"/>
        <v/>
      </c>
      <c r="AY997" s="21" t="str">
        <f>IF(AND($AM997&lt;&gt;"",$AS997&lt;&gt;"✓"),SUMPRODUCT(($AM$11:$AM997&lt;&gt;"")*($AS$11:$AS997&lt;&gt;"✓")),"")</f>
        <v/>
      </c>
      <c r="AZ997" s="21" t="str">
        <f>IF(AND($AM997&lt;&gt;"",$AS997="✓"),SUMPRODUCT(($AM$11:$AM997&lt;&gt;"")*($AS$11:$AS997="✓")),"")</f>
        <v/>
      </c>
      <c r="BA997" s="21" t="str">
        <f>IF($AL997="","",$AL997&amp;"|"&amp;COUNTIF($AL$11:$AL997,$AL997))</f>
        <v/>
      </c>
    </row>
    <row r="998" spans="23:53" ht="15" customHeight="1" x14ac:dyDescent="0.25">
      <c r="W998" s="28" t="str">
        <f>IF(X998="","",IFERROR(INDEX($AL$11:$AL$4010,MATCH(988,$AY$11:$AY$4010,0)),""))</f>
        <v/>
      </c>
      <c r="X998" s="26" t="str">
        <f>IFERROR(INDEX($AM$11:$AM$4010,MATCH(988,$AY$11:$AY$4010,0)),"")</f>
        <v/>
      </c>
      <c r="Y998" s="25" t="str">
        <f>IF(X998="","",IFERROR(INDEX($AN$11:$AN$4010,MATCH(988,$AY$11:$AY$4010,0)),""))</f>
        <v/>
      </c>
      <c r="Z998" s="25" t="str">
        <f>IF(X998="","",IFERROR(INDEX($AO$11:$AO$4010,MATCH(988,$AY$11:$AY$4010,0)),""))</f>
        <v/>
      </c>
      <c r="AA998" s="24" t="str">
        <f>IF(X998="","",IFERROR(INDEX($AQ$11:$AQ$4010,MATCH(988,$AY$11:$AY$4010,0)),""))</f>
        <v/>
      </c>
      <c r="AB998" s="29" t="str">
        <f>IF(X998="","",IFERROR(INDEX($AR$11:$AR$4010,MATCH(988,$AY$11:$AY$4010,0)),""))</f>
        <v/>
      </c>
      <c r="AD998" s="30" t="str">
        <f>IF(AE998="","",IFERROR(INDEX($AL$11:$AL$4010,MATCH(988,$AZ$11:$AZ$4010,0)),""))</f>
        <v/>
      </c>
      <c r="AE998" s="26" t="str">
        <f>IFERROR(INDEX($AM$11:$AM$4010,MATCH(988,$AZ$11:$AZ$4010,0)),"")</f>
        <v/>
      </c>
      <c r="AF998" s="25" t="str">
        <f>IF(AE998="","",IFERROR(INDEX($AN$11:$AN$4010,MATCH(988,$AZ$11:$AZ$4010,0)),""))</f>
        <v/>
      </c>
      <c r="AG998" s="25" t="str">
        <f>IF(AE998="","",IFERROR(INDEX($AO$11:$AO$4010,MATCH(988,$AZ$11:$AZ$4010,0)),""))</f>
        <v/>
      </c>
      <c r="AH998" s="24" t="str">
        <f>IF(AE998="","",IFERROR(INDEX($AQ$11:$AQ$4010,MATCH(988,$AZ$11:$AZ$4010,0)),""))</f>
        <v/>
      </c>
      <c r="AI998" s="29" t="str">
        <f>IF(AE998="","",IFERROR(INDEX($AR$11:$AR$4010,MATCH(988,$AZ$11:$AZ$4010,0)),""))</f>
        <v/>
      </c>
      <c r="AJ998" s="29" t="str">
        <f>IF(AE998="","",IFERROR(INDEX($AT$11:$AT$4010,MATCH(988,$AZ$11:$AZ$4010,0)),""))</f>
        <v/>
      </c>
      <c r="AL998" s="31"/>
      <c r="AM998" s="26"/>
      <c r="AN998" s="32"/>
      <c r="AO998" s="32"/>
      <c r="AP998" s="24"/>
      <c r="AQ998" s="24"/>
      <c r="AR998" s="33"/>
      <c r="AS998" s="34"/>
      <c r="AT998" s="33"/>
      <c r="AV998" s="21">
        <f>IF(AND($AL998&lt;&gt;"",COUNTIF($AL$11:$AL998,$AL998)=1),1,0)</f>
        <v>0</v>
      </c>
      <c r="AW998" s="21">
        <f t="shared" si="117"/>
        <v>0</v>
      </c>
      <c r="AX998" s="21" t="str">
        <f t="shared" si="116"/>
        <v/>
      </c>
      <c r="AY998" s="21" t="str">
        <f>IF(AND($AM998&lt;&gt;"",$AS998&lt;&gt;"✓"),SUMPRODUCT(($AM$11:$AM998&lt;&gt;"")*($AS$11:$AS998&lt;&gt;"✓")),"")</f>
        <v/>
      </c>
      <c r="AZ998" s="21" t="str">
        <f>IF(AND($AM998&lt;&gt;"",$AS998="✓"),SUMPRODUCT(($AM$11:$AM998&lt;&gt;"")*($AS$11:$AS998="✓")),"")</f>
        <v/>
      </c>
      <c r="BA998" s="21" t="str">
        <f>IF($AL998="","",$AL998&amp;"|"&amp;COUNTIF($AL$11:$AL998,$AL998))</f>
        <v/>
      </c>
    </row>
    <row r="999" spans="23:53" ht="15" customHeight="1" x14ac:dyDescent="0.25">
      <c r="W999" s="14" t="str">
        <f>IF(X999="","",IFERROR(INDEX($AL$11:$AL$4010,MATCH(989,$AY$11:$AY$4010,0)),""))</f>
        <v/>
      </c>
      <c r="X999" s="12" t="str">
        <f>IFERROR(INDEX($AM$11:$AM$4010,MATCH(989,$AY$11:$AY$4010,0)),"")</f>
        <v/>
      </c>
      <c r="Y999" s="11" t="str">
        <f>IF(X999="","",IFERROR(INDEX($AN$11:$AN$4010,MATCH(989,$AY$11:$AY$4010,0)),""))</f>
        <v/>
      </c>
      <c r="Z999" s="11" t="str">
        <f>IF(X999="","",IFERROR(INDEX($AO$11:$AO$4010,MATCH(989,$AY$11:$AY$4010,0)),""))</f>
        <v/>
      </c>
      <c r="AA999" s="10" t="str">
        <f>IF(X999="","",IFERROR(INDEX($AQ$11:$AQ$4010,MATCH(989,$AY$11:$AY$4010,0)),""))</f>
        <v/>
      </c>
      <c r="AB999" s="15" t="str">
        <f>IF(X999="","",IFERROR(INDEX($AR$11:$AR$4010,MATCH(989,$AY$11:$AY$4010,0)),""))</f>
        <v/>
      </c>
      <c r="AD999" s="16" t="str">
        <f>IF(AE999="","",IFERROR(INDEX($AL$11:$AL$4010,MATCH(989,$AZ$11:$AZ$4010,0)),""))</f>
        <v/>
      </c>
      <c r="AE999" s="12" t="str">
        <f>IFERROR(INDEX($AM$11:$AM$4010,MATCH(989,$AZ$11:$AZ$4010,0)),"")</f>
        <v/>
      </c>
      <c r="AF999" s="11" t="str">
        <f>IF(AE999="","",IFERROR(INDEX($AN$11:$AN$4010,MATCH(989,$AZ$11:$AZ$4010,0)),""))</f>
        <v/>
      </c>
      <c r="AG999" s="11" t="str">
        <f>IF(AE999="","",IFERROR(INDEX($AO$11:$AO$4010,MATCH(989,$AZ$11:$AZ$4010,0)),""))</f>
        <v/>
      </c>
      <c r="AH999" s="10" t="str">
        <f>IF(AE999="","",IFERROR(INDEX($AQ$11:$AQ$4010,MATCH(989,$AZ$11:$AZ$4010,0)),""))</f>
        <v/>
      </c>
      <c r="AI999" s="15" t="str">
        <f>IF(AE999="","",IFERROR(INDEX($AR$11:$AR$4010,MATCH(989,$AZ$11:$AZ$4010,0)),""))</f>
        <v/>
      </c>
      <c r="AJ999" s="15" t="str">
        <f>IF(AE999="","",IFERROR(INDEX($AT$11:$AT$4010,MATCH(989,$AZ$11:$AZ$4010,0)),""))</f>
        <v/>
      </c>
      <c r="AL999" s="17"/>
      <c r="AM999" s="12"/>
      <c r="AN999" s="18"/>
      <c r="AO999" s="18"/>
      <c r="AP999" s="10"/>
      <c r="AQ999" s="10"/>
      <c r="AR999" s="19"/>
      <c r="AS999" s="20"/>
      <c r="AT999" s="19"/>
      <c r="AV999" s="21">
        <f>IF(AND($AL999&lt;&gt;"",COUNTIF($AL$11:$AL999,$AL999)=1),1,0)</f>
        <v>0</v>
      </c>
      <c r="AW999" s="21">
        <f t="shared" si="117"/>
        <v>0</v>
      </c>
      <c r="AX999" s="21" t="str">
        <f t="shared" si="116"/>
        <v/>
      </c>
      <c r="AY999" s="21" t="str">
        <f>IF(AND($AM999&lt;&gt;"",$AS999&lt;&gt;"✓"),SUMPRODUCT(($AM$11:$AM999&lt;&gt;"")*($AS$11:$AS999&lt;&gt;"✓")),"")</f>
        <v/>
      </c>
      <c r="AZ999" s="21" t="str">
        <f>IF(AND($AM999&lt;&gt;"",$AS999="✓"),SUMPRODUCT(($AM$11:$AM999&lt;&gt;"")*($AS$11:$AS999="✓")),"")</f>
        <v/>
      </c>
      <c r="BA999" s="21" t="str">
        <f>IF($AL999="","",$AL999&amp;"|"&amp;COUNTIF($AL$11:$AL999,$AL999))</f>
        <v/>
      </c>
    </row>
    <row r="1000" spans="23:53" ht="15" customHeight="1" x14ac:dyDescent="0.25">
      <c r="W1000" s="28" t="str">
        <f>IF(X1000="","",IFERROR(INDEX($AL$11:$AL$4010,MATCH(990,$AY$11:$AY$4010,0)),""))</f>
        <v/>
      </c>
      <c r="X1000" s="26" t="str">
        <f>IFERROR(INDEX($AM$11:$AM$4010,MATCH(990,$AY$11:$AY$4010,0)),"")</f>
        <v/>
      </c>
      <c r="Y1000" s="25" t="str">
        <f>IF(X1000="","",IFERROR(INDEX($AN$11:$AN$4010,MATCH(990,$AY$11:$AY$4010,0)),""))</f>
        <v/>
      </c>
      <c r="Z1000" s="25" t="str">
        <f>IF(X1000="","",IFERROR(INDEX($AO$11:$AO$4010,MATCH(990,$AY$11:$AY$4010,0)),""))</f>
        <v/>
      </c>
      <c r="AA1000" s="24" t="str">
        <f>IF(X1000="","",IFERROR(INDEX($AQ$11:$AQ$4010,MATCH(990,$AY$11:$AY$4010,0)),""))</f>
        <v/>
      </c>
      <c r="AB1000" s="29" t="str">
        <f>IF(X1000="","",IFERROR(INDEX($AR$11:$AR$4010,MATCH(990,$AY$11:$AY$4010,0)),""))</f>
        <v/>
      </c>
      <c r="AD1000" s="30" t="str">
        <f>IF(AE1000="","",IFERROR(INDEX($AL$11:$AL$4010,MATCH(990,$AZ$11:$AZ$4010,0)),""))</f>
        <v/>
      </c>
      <c r="AE1000" s="26" t="str">
        <f>IFERROR(INDEX($AM$11:$AM$4010,MATCH(990,$AZ$11:$AZ$4010,0)),"")</f>
        <v/>
      </c>
      <c r="AF1000" s="25" t="str">
        <f>IF(AE1000="","",IFERROR(INDEX($AN$11:$AN$4010,MATCH(990,$AZ$11:$AZ$4010,0)),""))</f>
        <v/>
      </c>
      <c r="AG1000" s="25" t="str">
        <f>IF(AE1000="","",IFERROR(INDEX($AO$11:$AO$4010,MATCH(990,$AZ$11:$AZ$4010,0)),""))</f>
        <v/>
      </c>
      <c r="AH1000" s="24" t="str">
        <f>IF(AE1000="","",IFERROR(INDEX($AQ$11:$AQ$4010,MATCH(990,$AZ$11:$AZ$4010,0)),""))</f>
        <v/>
      </c>
      <c r="AI1000" s="29" t="str">
        <f>IF(AE1000="","",IFERROR(INDEX($AR$11:$AR$4010,MATCH(990,$AZ$11:$AZ$4010,0)),""))</f>
        <v/>
      </c>
      <c r="AJ1000" s="29" t="str">
        <f>IF(AE1000="","",IFERROR(INDEX($AT$11:$AT$4010,MATCH(990,$AZ$11:$AZ$4010,0)),""))</f>
        <v/>
      </c>
      <c r="AL1000" s="31"/>
      <c r="AM1000" s="26"/>
      <c r="AN1000" s="32"/>
      <c r="AO1000" s="32"/>
      <c r="AP1000" s="24"/>
      <c r="AQ1000" s="24"/>
      <c r="AR1000" s="33"/>
      <c r="AS1000" s="34"/>
      <c r="AT1000" s="33"/>
      <c r="AV1000" s="21">
        <f>IF(AND($AL1000&lt;&gt;"",COUNTIF($AL$11:$AL1000,$AL1000)=1),1,0)</f>
        <v>0</v>
      </c>
      <c r="AW1000" s="21">
        <f t="shared" si="117"/>
        <v>0</v>
      </c>
      <c r="AX1000" s="21" t="str">
        <f t="shared" si="116"/>
        <v/>
      </c>
      <c r="AY1000" s="21" t="str">
        <f>IF(AND($AM1000&lt;&gt;"",$AS1000&lt;&gt;"✓"),SUMPRODUCT(($AM$11:$AM1000&lt;&gt;"")*($AS$11:$AS1000&lt;&gt;"✓")),"")</f>
        <v/>
      </c>
      <c r="AZ1000" s="21" t="str">
        <f>IF(AND($AM1000&lt;&gt;"",$AS1000="✓"),SUMPRODUCT(($AM$11:$AM1000&lt;&gt;"")*($AS$11:$AS1000="✓")),"")</f>
        <v/>
      </c>
      <c r="BA1000" s="21" t="str">
        <f>IF($AL1000="","",$AL1000&amp;"|"&amp;COUNTIF($AL$11:$AL1000,$AL1000))</f>
        <v/>
      </c>
    </row>
    <row r="1001" spans="23:53" ht="15" customHeight="1" x14ac:dyDescent="0.25">
      <c r="W1001" s="14" t="str">
        <f>IF(X1001="","",IFERROR(INDEX($AL$11:$AL$4010,MATCH(991,$AY$11:$AY$4010,0)),""))</f>
        <v/>
      </c>
      <c r="X1001" s="12" t="str">
        <f>IFERROR(INDEX($AM$11:$AM$4010,MATCH(991,$AY$11:$AY$4010,0)),"")</f>
        <v/>
      </c>
      <c r="Y1001" s="11" t="str">
        <f>IF(X1001="","",IFERROR(INDEX($AN$11:$AN$4010,MATCH(991,$AY$11:$AY$4010,0)),""))</f>
        <v/>
      </c>
      <c r="Z1001" s="11" t="str">
        <f>IF(X1001="","",IFERROR(INDEX($AO$11:$AO$4010,MATCH(991,$AY$11:$AY$4010,0)),""))</f>
        <v/>
      </c>
      <c r="AA1001" s="10" t="str">
        <f>IF(X1001="","",IFERROR(INDEX($AQ$11:$AQ$4010,MATCH(991,$AY$11:$AY$4010,0)),""))</f>
        <v/>
      </c>
      <c r="AB1001" s="15" t="str">
        <f>IF(X1001="","",IFERROR(INDEX($AR$11:$AR$4010,MATCH(991,$AY$11:$AY$4010,0)),""))</f>
        <v/>
      </c>
      <c r="AD1001" s="16" t="str">
        <f>IF(AE1001="","",IFERROR(INDEX($AL$11:$AL$4010,MATCH(991,$AZ$11:$AZ$4010,0)),""))</f>
        <v/>
      </c>
      <c r="AE1001" s="12" t="str">
        <f>IFERROR(INDEX($AM$11:$AM$4010,MATCH(991,$AZ$11:$AZ$4010,0)),"")</f>
        <v/>
      </c>
      <c r="AF1001" s="11" t="str">
        <f>IF(AE1001="","",IFERROR(INDEX($AN$11:$AN$4010,MATCH(991,$AZ$11:$AZ$4010,0)),""))</f>
        <v/>
      </c>
      <c r="AG1001" s="11" t="str">
        <f>IF(AE1001="","",IFERROR(INDEX($AO$11:$AO$4010,MATCH(991,$AZ$11:$AZ$4010,0)),""))</f>
        <v/>
      </c>
      <c r="AH1001" s="10" t="str">
        <f>IF(AE1001="","",IFERROR(INDEX($AQ$11:$AQ$4010,MATCH(991,$AZ$11:$AZ$4010,0)),""))</f>
        <v/>
      </c>
      <c r="AI1001" s="15" t="str">
        <f>IF(AE1001="","",IFERROR(INDEX($AR$11:$AR$4010,MATCH(991,$AZ$11:$AZ$4010,0)),""))</f>
        <v/>
      </c>
      <c r="AJ1001" s="15" t="str">
        <f>IF(AE1001="","",IFERROR(INDEX($AT$11:$AT$4010,MATCH(991,$AZ$11:$AZ$4010,0)),""))</f>
        <v/>
      </c>
      <c r="AL1001" s="17"/>
      <c r="AM1001" s="12"/>
      <c r="AN1001" s="18"/>
      <c r="AO1001" s="18"/>
      <c r="AP1001" s="10"/>
      <c r="AQ1001" s="10"/>
      <c r="AR1001" s="19"/>
      <c r="AS1001" s="20"/>
      <c r="AT1001" s="19"/>
      <c r="AV1001" s="21">
        <f>IF(AND($AL1001&lt;&gt;"",COUNTIF($AL$11:$AL1001,$AL1001)=1),1,0)</f>
        <v>0</v>
      </c>
      <c r="AW1001" s="21">
        <f t="shared" si="117"/>
        <v>0</v>
      </c>
      <c r="AX1001" s="21" t="str">
        <f t="shared" si="116"/>
        <v/>
      </c>
      <c r="AY1001" s="21" t="str">
        <f>IF(AND($AM1001&lt;&gt;"",$AS1001&lt;&gt;"✓"),SUMPRODUCT(($AM$11:$AM1001&lt;&gt;"")*($AS$11:$AS1001&lt;&gt;"✓")),"")</f>
        <v/>
      </c>
      <c r="AZ1001" s="21" t="str">
        <f>IF(AND($AM1001&lt;&gt;"",$AS1001="✓"),SUMPRODUCT(($AM$11:$AM1001&lt;&gt;"")*($AS$11:$AS1001="✓")),"")</f>
        <v/>
      </c>
      <c r="BA1001" s="21" t="str">
        <f>IF($AL1001="","",$AL1001&amp;"|"&amp;COUNTIF($AL$11:$AL1001,$AL1001))</f>
        <v/>
      </c>
    </row>
    <row r="1002" spans="23:53" ht="15" customHeight="1" x14ac:dyDescent="0.25">
      <c r="W1002" s="28" t="str">
        <f>IF(X1002="","",IFERROR(INDEX($AL$11:$AL$4010,MATCH(992,$AY$11:$AY$4010,0)),""))</f>
        <v/>
      </c>
      <c r="X1002" s="26" t="str">
        <f>IFERROR(INDEX($AM$11:$AM$4010,MATCH(992,$AY$11:$AY$4010,0)),"")</f>
        <v/>
      </c>
      <c r="Y1002" s="25" t="str">
        <f>IF(X1002="","",IFERROR(INDEX($AN$11:$AN$4010,MATCH(992,$AY$11:$AY$4010,0)),""))</f>
        <v/>
      </c>
      <c r="Z1002" s="25" t="str">
        <f>IF(X1002="","",IFERROR(INDEX($AO$11:$AO$4010,MATCH(992,$AY$11:$AY$4010,0)),""))</f>
        <v/>
      </c>
      <c r="AA1002" s="24" t="str">
        <f>IF(X1002="","",IFERROR(INDEX($AQ$11:$AQ$4010,MATCH(992,$AY$11:$AY$4010,0)),""))</f>
        <v/>
      </c>
      <c r="AB1002" s="29" t="str">
        <f>IF(X1002="","",IFERROR(INDEX($AR$11:$AR$4010,MATCH(992,$AY$11:$AY$4010,0)),""))</f>
        <v/>
      </c>
      <c r="AD1002" s="30" t="str">
        <f>IF(AE1002="","",IFERROR(INDEX($AL$11:$AL$4010,MATCH(992,$AZ$11:$AZ$4010,0)),""))</f>
        <v/>
      </c>
      <c r="AE1002" s="26" t="str">
        <f>IFERROR(INDEX($AM$11:$AM$4010,MATCH(992,$AZ$11:$AZ$4010,0)),"")</f>
        <v/>
      </c>
      <c r="AF1002" s="25" t="str">
        <f>IF(AE1002="","",IFERROR(INDEX($AN$11:$AN$4010,MATCH(992,$AZ$11:$AZ$4010,0)),""))</f>
        <v/>
      </c>
      <c r="AG1002" s="25" t="str">
        <f>IF(AE1002="","",IFERROR(INDEX($AO$11:$AO$4010,MATCH(992,$AZ$11:$AZ$4010,0)),""))</f>
        <v/>
      </c>
      <c r="AH1002" s="24" t="str">
        <f>IF(AE1002="","",IFERROR(INDEX($AQ$11:$AQ$4010,MATCH(992,$AZ$11:$AZ$4010,0)),""))</f>
        <v/>
      </c>
      <c r="AI1002" s="29" t="str">
        <f>IF(AE1002="","",IFERROR(INDEX($AR$11:$AR$4010,MATCH(992,$AZ$11:$AZ$4010,0)),""))</f>
        <v/>
      </c>
      <c r="AJ1002" s="29" t="str">
        <f>IF(AE1002="","",IFERROR(INDEX($AT$11:$AT$4010,MATCH(992,$AZ$11:$AZ$4010,0)),""))</f>
        <v/>
      </c>
      <c r="AL1002" s="31"/>
      <c r="AM1002" s="26"/>
      <c r="AN1002" s="32"/>
      <c r="AO1002" s="32"/>
      <c r="AP1002" s="24"/>
      <c r="AQ1002" s="24"/>
      <c r="AR1002" s="33"/>
      <c r="AS1002" s="34"/>
      <c r="AT1002" s="33"/>
      <c r="AV1002" s="21">
        <f>IF(AND($AL1002&lt;&gt;"",COUNTIF($AL$11:$AL1002,$AL1002)=1),1,0)</f>
        <v>0</v>
      </c>
      <c r="AW1002" s="21">
        <f t="shared" si="117"/>
        <v>0</v>
      </c>
      <c r="AX1002" s="21" t="str">
        <f t="shared" si="116"/>
        <v/>
      </c>
      <c r="AY1002" s="21" t="str">
        <f>IF(AND($AM1002&lt;&gt;"",$AS1002&lt;&gt;"✓"),SUMPRODUCT(($AM$11:$AM1002&lt;&gt;"")*($AS$11:$AS1002&lt;&gt;"✓")),"")</f>
        <v/>
      </c>
      <c r="AZ1002" s="21" t="str">
        <f>IF(AND($AM1002&lt;&gt;"",$AS1002="✓"),SUMPRODUCT(($AM$11:$AM1002&lt;&gt;"")*($AS$11:$AS1002="✓")),"")</f>
        <v/>
      </c>
      <c r="BA1002" s="21" t="str">
        <f>IF($AL1002="","",$AL1002&amp;"|"&amp;COUNTIF($AL$11:$AL1002,$AL1002))</f>
        <v/>
      </c>
    </row>
    <row r="1003" spans="23:53" ht="15" customHeight="1" x14ac:dyDescent="0.25">
      <c r="W1003" s="14" t="str">
        <f>IF(X1003="","",IFERROR(INDEX($AL$11:$AL$4010,MATCH(993,$AY$11:$AY$4010,0)),""))</f>
        <v/>
      </c>
      <c r="X1003" s="12" t="str">
        <f>IFERROR(INDEX($AM$11:$AM$4010,MATCH(993,$AY$11:$AY$4010,0)),"")</f>
        <v/>
      </c>
      <c r="Y1003" s="11" t="str">
        <f>IF(X1003="","",IFERROR(INDEX($AN$11:$AN$4010,MATCH(993,$AY$11:$AY$4010,0)),""))</f>
        <v/>
      </c>
      <c r="Z1003" s="11" t="str">
        <f>IF(X1003="","",IFERROR(INDEX($AO$11:$AO$4010,MATCH(993,$AY$11:$AY$4010,0)),""))</f>
        <v/>
      </c>
      <c r="AA1003" s="10" t="str">
        <f>IF(X1003="","",IFERROR(INDEX($AQ$11:$AQ$4010,MATCH(993,$AY$11:$AY$4010,0)),""))</f>
        <v/>
      </c>
      <c r="AB1003" s="15" t="str">
        <f>IF(X1003="","",IFERROR(INDEX($AR$11:$AR$4010,MATCH(993,$AY$11:$AY$4010,0)),""))</f>
        <v/>
      </c>
      <c r="AD1003" s="16" t="str">
        <f>IF(AE1003="","",IFERROR(INDEX($AL$11:$AL$4010,MATCH(993,$AZ$11:$AZ$4010,0)),""))</f>
        <v/>
      </c>
      <c r="AE1003" s="12" t="str">
        <f>IFERROR(INDEX($AM$11:$AM$4010,MATCH(993,$AZ$11:$AZ$4010,0)),"")</f>
        <v/>
      </c>
      <c r="AF1003" s="11" t="str">
        <f>IF(AE1003="","",IFERROR(INDEX($AN$11:$AN$4010,MATCH(993,$AZ$11:$AZ$4010,0)),""))</f>
        <v/>
      </c>
      <c r="AG1003" s="11" t="str">
        <f>IF(AE1003="","",IFERROR(INDEX($AO$11:$AO$4010,MATCH(993,$AZ$11:$AZ$4010,0)),""))</f>
        <v/>
      </c>
      <c r="AH1003" s="10" t="str">
        <f>IF(AE1003="","",IFERROR(INDEX($AQ$11:$AQ$4010,MATCH(993,$AZ$11:$AZ$4010,0)),""))</f>
        <v/>
      </c>
      <c r="AI1003" s="15" t="str">
        <f>IF(AE1003="","",IFERROR(INDEX($AR$11:$AR$4010,MATCH(993,$AZ$11:$AZ$4010,0)),""))</f>
        <v/>
      </c>
      <c r="AJ1003" s="15" t="str">
        <f>IF(AE1003="","",IFERROR(INDEX($AT$11:$AT$4010,MATCH(993,$AZ$11:$AZ$4010,0)),""))</f>
        <v/>
      </c>
      <c r="AL1003" s="17"/>
      <c r="AM1003" s="12"/>
      <c r="AN1003" s="18"/>
      <c r="AO1003" s="18"/>
      <c r="AP1003" s="10"/>
      <c r="AQ1003" s="10"/>
      <c r="AR1003" s="19"/>
      <c r="AS1003" s="20"/>
      <c r="AT1003" s="19"/>
      <c r="AV1003" s="21">
        <f>IF(AND($AL1003&lt;&gt;"",COUNTIF($AL$11:$AL1003,$AL1003)=1),1,0)</f>
        <v>0</v>
      </c>
      <c r="AW1003" s="21">
        <f t="shared" si="117"/>
        <v>0</v>
      </c>
      <c r="AX1003" s="21" t="str">
        <f t="shared" si="116"/>
        <v/>
      </c>
      <c r="AY1003" s="21" t="str">
        <f>IF(AND($AM1003&lt;&gt;"",$AS1003&lt;&gt;"✓"),SUMPRODUCT(($AM$11:$AM1003&lt;&gt;"")*($AS$11:$AS1003&lt;&gt;"✓")),"")</f>
        <v/>
      </c>
      <c r="AZ1003" s="21" t="str">
        <f>IF(AND($AM1003&lt;&gt;"",$AS1003="✓"),SUMPRODUCT(($AM$11:$AM1003&lt;&gt;"")*($AS$11:$AS1003="✓")),"")</f>
        <v/>
      </c>
      <c r="BA1003" s="21" t="str">
        <f>IF($AL1003="","",$AL1003&amp;"|"&amp;COUNTIF($AL$11:$AL1003,$AL1003))</f>
        <v/>
      </c>
    </row>
    <row r="1004" spans="23:53" ht="15" customHeight="1" x14ac:dyDescent="0.25">
      <c r="W1004" s="28" t="str">
        <f>IF(X1004="","",IFERROR(INDEX($AL$11:$AL$4010,MATCH(994,$AY$11:$AY$4010,0)),""))</f>
        <v/>
      </c>
      <c r="X1004" s="26" t="str">
        <f>IFERROR(INDEX($AM$11:$AM$4010,MATCH(994,$AY$11:$AY$4010,0)),"")</f>
        <v/>
      </c>
      <c r="Y1004" s="25" t="str">
        <f>IF(X1004="","",IFERROR(INDEX($AN$11:$AN$4010,MATCH(994,$AY$11:$AY$4010,0)),""))</f>
        <v/>
      </c>
      <c r="Z1004" s="25" t="str">
        <f>IF(X1004="","",IFERROR(INDEX($AO$11:$AO$4010,MATCH(994,$AY$11:$AY$4010,0)),""))</f>
        <v/>
      </c>
      <c r="AA1004" s="24" t="str">
        <f>IF(X1004="","",IFERROR(INDEX($AQ$11:$AQ$4010,MATCH(994,$AY$11:$AY$4010,0)),""))</f>
        <v/>
      </c>
      <c r="AB1004" s="29" t="str">
        <f>IF(X1004="","",IFERROR(INDEX($AR$11:$AR$4010,MATCH(994,$AY$11:$AY$4010,0)),""))</f>
        <v/>
      </c>
      <c r="AD1004" s="30" t="str">
        <f>IF(AE1004="","",IFERROR(INDEX($AL$11:$AL$4010,MATCH(994,$AZ$11:$AZ$4010,0)),""))</f>
        <v/>
      </c>
      <c r="AE1004" s="26" t="str">
        <f>IFERROR(INDEX($AM$11:$AM$4010,MATCH(994,$AZ$11:$AZ$4010,0)),"")</f>
        <v/>
      </c>
      <c r="AF1004" s="25" t="str">
        <f>IF(AE1004="","",IFERROR(INDEX($AN$11:$AN$4010,MATCH(994,$AZ$11:$AZ$4010,0)),""))</f>
        <v/>
      </c>
      <c r="AG1004" s="25" t="str">
        <f>IF(AE1004="","",IFERROR(INDEX($AO$11:$AO$4010,MATCH(994,$AZ$11:$AZ$4010,0)),""))</f>
        <v/>
      </c>
      <c r="AH1004" s="24" t="str">
        <f>IF(AE1004="","",IFERROR(INDEX($AQ$11:$AQ$4010,MATCH(994,$AZ$11:$AZ$4010,0)),""))</f>
        <v/>
      </c>
      <c r="AI1004" s="29" t="str">
        <f>IF(AE1004="","",IFERROR(INDEX($AR$11:$AR$4010,MATCH(994,$AZ$11:$AZ$4010,0)),""))</f>
        <v/>
      </c>
      <c r="AJ1004" s="29" t="str">
        <f>IF(AE1004="","",IFERROR(INDEX($AT$11:$AT$4010,MATCH(994,$AZ$11:$AZ$4010,0)),""))</f>
        <v/>
      </c>
      <c r="AL1004" s="31"/>
      <c r="AM1004" s="26"/>
      <c r="AN1004" s="32"/>
      <c r="AO1004" s="32"/>
      <c r="AP1004" s="24"/>
      <c r="AQ1004" s="24"/>
      <c r="AR1004" s="33"/>
      <c r="AS1004" s="34"/>
      <c r="AT1004" s="33"/>
      <c r="AV1004" s="21">
        <f>IF(AND($AL1004&lt;&gt;"",COUNTIF($AL$11:$AL1004,$AL1004)=1),1,0)</f>
        <v>0</v>
      </c>
      <c r="AW1004" s="21">
        <f t="shared" si="117"/>
        <v>0</v>
      </c>
      <c r="AX1004" s="21" t="str">
        <f t="shared" si="116"/>
        <v/>
      </c>
      <c r="AY1004" s="21" t="str">
        <f>IF(AND($AM1004&lt;&gt;"",$AS1004&lt;&gt;"✓"),SUMPRODUCT(($AM$11:$AM1004&lt;&gt;"")*($AS$11:$AS1004&lt;&gt;"✓")),"")</f>
        <v/>
      </c>
      <c r="AZ1004" s="21" t="str">
        <f>IF(AND($AM1004&lt;&gt;"",$AS1004="✓"),SUMPRODUCT(($AM$11:$AM1004&lt;&gt;"")*($AS$11:$AS1004="✓")),"")</f>
        <v/>
      </c>
      <c r="BA1004" s="21" t="str">
        <f>IF($AL1004="","",$AL1004&amp;"|"&amp;COUNTIF($AL$11:$AL1004,$AL1004))</f>
        <v/>
      </c>
    </row>
    <row r="1005" spans="23:53" ht="15" customHeight="1" x14ac:dyDescent="0.25">
      <c r="W1005" s="14" t="str">
        <f>IF(X1005="","",IFERROR(INDEX($AL$11:$AL$4010,MATCH(995,$AY$11:$AY$4010,0)),""))</f>
        <v/>
      </c>
      <c r="X1005" s="12" t="str">
        <f>IFERROR(INDEX($AM$11:$AM$4010,MATCH(995,$AY$11:$AY$4010,0)),"")</f>
        <v/>
      </c>
      <c r="Y1005" s="11" t="str">
        <f>IF(X1005="","",IFERROR(INDEX($AN$11:$AN$4010,MATCH(995,$AY$11:$AY$4010,0)),""))</f>
        <v/>
      </c>
      <c r="Z1005" s="11" t="str">
        <f>IF(X1005="","",IFERROR(INDEX($AO$11:$AO$4010,MATCH(995,$AY$11:$AY$4010,0)),""))</f>
        <v/>
      </c>
      <c r="AA1005" s="10" t="str">
        <f>IF(X1005="","",IFERROR(INDEX($AQ$11:$AQ$4010,MATCH(995,$AY$11:$AY$4010,0)),""))</f>
        <v/>
      </c>
      <c r="AB1005" s="15" t="str">
        <f>IF(X1005="","",IFERROR(INDEX($AR$11:$AR$4010,MATCH(995,$AY$11:$AY$4010,0)),""))</f>
        <v/>
      </c>
      <c r="AD1005" s="16" t="str">
        <f>IF(AE1005="","",IFERROR(INDEX($AL$11:$AL$4010,MATCH(995,$AZ$11:$AZ$4010,0)),""))</f>
        <v/>
      </c>
      <c r="AE1005" s="12" t="str">
        <f>IFERROR(INDEX($AM$11:$AM$4010,MATCH(995,$AZ$11:$AZ$4010,0)),"")</f>
        <v/>
      </c>
      <c r="AF1005" s="11" t="str">
        <f>IF(AE1005="","",IFERROR(INDEX($AN$11:$AN$4010,MATCH(995,$AZ$11:$AZ$4010,0)),""))</f>
        <v/>
      </c>
      <c r="AG1005" s="11" t="str">
        <f>IF(AE1005="","",IFERROR(INDEX($AO$11:$AO$4010,MATCH(995,$AZ$11:$AZ$4010,0)),""))</f>
        <v/>
      </c>
      <c r="AH1005" s="10" t="str">
        <f>IF(AE1005="","",IFERROR(INDEX($AQ$11:$AQ$4010,MATCH(995,$AZ$11:$AZ$4010,0)),""))</f>
        <v/>
      </c>
      <c r="AI1005" s="15" t="str">
        <f>IF(AE1005="","",IFERROR(INDEX($AR$11:$AR$4010,MATCH(995,$AZ$11:$AZ$4010,0)),""))</f>
        <v/>
      </c>
      <c r="AJ1005" s="15" t="str">
        <f>IF(AE1005="","",IFERROR(INDEX($AT$11:$AT$4010,MATCH(995,$AZ$11:$AZ$4010,0)),""))</f>
        <v/>
      </c>
      <c r="AL1005" s="17"/>
      <c r="AM1005" s="12"/>
      <c r="AN1005" s="18"/>
      <c r="AO1005" s="18"/>
      <c r="AP1005" s="10"/>
      <c r="AQ1005" s="10"/>
      <c r="AR1005" s="19"/>
      <c r="AS1005" s="20"/>
      <c r="AT1005" s="19"/>
      <c r="AV1005" s="21">
        <f>IF(AND($AL1005&lt;&gt;"",COUNTIF($AL$11:$AL1005,$AL1005)=1),1,0)</f>
        <v>0</v>
      </c>
      <c r="AW1005" s="21">
        <f t="shared" si="117"/>
        <v>0</v>
      </c>
      <c r="AX1005" s="21" t="str">
        <f t="shared" si="116"/>
        <v/>
      </c>
      <c r="AY1005" s="21" t="str">
        <f>IF(AND($AM1005&lt;&gt;"",$AS1005&lt;&gt;"✓"),SUMPRODUCT(($AM$11:$AM1005&lt;&gt;"")*($AS$11:$AS1005&lt;&gt;"✓")),"")</f>
        <v/>
      </c>
      <c r="AZ1005" s="21" t="str">
        <f>IF(AND($AM1005&lt;&gt;"",$AS1005="✓"),SUMPRODUCT(($AM$11:$AM1005&lt;&gt;"")*($AS$11:$AS1005="✓")),"")</f>
        <v/>
      </c>
      <c r="BA1005" s="21" t="str">
        <f>IF($AL1005="","",$AL1005&amp;"|"&amp;COUNTIF($AL$11:$AL1005,$AL1005))</f>
        <v/>
      </c>
    </row>
    <row r="1006" spans="23:53" ht="15" customHeight="1" x14ac:dyDescent="0.25">
      <c r="W1006" s="28" t="str">
        <f>IF(X1006="","",IFERROR(INDEX($AL$11:$AL$4010,MATCH(996,$AY$11:$AY$4010,0)),""))</f>
        <v/>
      </c>
      <c r="X1006" s="26" t="str">
        <f>IFERROR(INDEX($AM$11:$AM$4010,MATCH(996,$AY$11:$AY$4010,0)),"")</f>
        <v/>
      </c>
      <c r="Y1006" s="25" t="str">
        <f>IF(X1006="","",IFERROR(INDEX($AN$11:$AN$4010,MATCH(996,$AY$11:$AY$4010,0)),""))</f>
        <v/>
      </c>
      <c r="Z1006" s="25" t="str">
        <f>IF(X1006="","",IFERROR(INDEX($AO$11:$AO$4010,MATCH(996,$AY$11:$AY$4010,0)),""))</f>
        <v/>
      </c>
      <c r="AA1006" s="24" t="str">
        <f>IF(X1006="","",IFERROR(INDEX($AQ$11:$AQ$4010,MATCH(996,$AY$11:$AY$4010,0)),""))</f>
        <v/>
      </c>
      <c r="AB1006" s="29" t="str">
        <f>IF(X1006="","",IFERROR(INDEX($AR$11:$AR$4010,MATCH(996,$AY$11:$AY$4010,0)),""))</f>
        <v/>
      </c>
      <c r="AD1006" s="30" t="str">
        <f>IF(AE1006="","",IFERROR(INDEX($AL$11:$AL$4010,MATCH(996,$AZ$11:$AZ$4010,0)),""))</f>
        <v/>
      </c>
      <c r="AE1006" s="26" t="str">
        <f>IFERROR(INDEX($AM$11:$AM$4010,MATCH(996,$AZ$11:$AZ$4010,0)),"")</f>
        <v/>
      </c>
      <c r="AF1006" s="25" t="str">
        <f>IF(AE1006="","",IFERROR(INDEX($AN$11:$AN$4010,MATCH(996,$AZ$11:$AZ$4010,0)),""))</f>
        <v/>
      </c>
      <c r="AG1006" s="25" t="str">
        <f>IF(AE1006="","",IFERROR(INDEX($AO$11:$AO$4010,MATCH(996,$AZ$11:$AZ$4010,0)),""))</f>
        <v/>
      </c>
      <c r="AH1006" s="24" t="str">
        <f>IF(AE1006="","",IFERROR(INDEX($AQ$11:$AQ$4010,MATCH(996,$AZ$11:$AZ$4010,0)),""))</f>
        <v/>
      </c>
      <c r="AI1006" s="29" t="str">
        <f>IF(AE1006="","",IFERROR(INDEX($AR$11:$AR$4010,MATCH(996,$AZ$11:$AZ$4010,0)),""))</f>
        <v/>
      </c>
      <c r="AJ1006" s="29" t="str">
        <f>IF(AE1006="","",IFERROR(INDEX($AT$11:$AT$4010,MATCH(996,$AZ$11:$AZ$4010,0)),""))</f>
        <v/>
      </c>
      <c r="AL1006" s="31"/>
      <c r="AM1006" s="26"/>
      <c r="AN1006" s="32"/>
      <c r="AO1006" s="32"/>
      <c r="AP1006" s="24"/>
      <c r="AQ1006" s="24"/>
      <c r="AR1006" s="33"/>
      <c r="AS1006" s="34"/>
      <c r="AT1006" s="33"/>
      <c r="AV1006" s="21">
        <f>IF(AND($AL1006&lt;&gt;"",COUNTIF($AL$11:$AL1006,$AL1006)=1),1,0)</f>
        <v>0</v>
      </c>
      <c r="AW1006" s="21">
        <f t="shared" si="117"/>
        <v>0</v>
      </c>
      <c r="AX1006" s="21" t="str">
        <f t="shared" si="116"/>
        <v/>
      </c>
      <c r="AY1006" s="21" t="str">
        <f>IF(AND($AM1006&lt;&gt;"",$AS1006&lt;&gt;"✓"),SUMPRODUCT(($AM$11:$AM1006&lt;&gt;"")*($AS$11:$AS1006&lt;&gt;"✓")),"")</f>
        <v/>
      </c>
      <c r="AZ1006" s="21" t="str">
        <f>IF(AND($AM1006&lt;&gt;"",$AS1006="✓"),SUMPRODUCT(($AM$11:$AM1006&lt;&gt;"")*($AS$11:$AS1006="✓")),"")</f>
        <v/>
      </c>
      <c r="BA1006" s="21" t="str">
        <f>IF($AL1006="","",$AL1006&amp;"|"&amp;COUNTIF($AL$11:$AL1006,$AL1006))</f>
        <v/>
      </c>
    </row>
    <row r="1007" spans="23:53" ht="15" customHeight="1" x14ac:dyDescent="0.25">
      <c r="W1007" s="14" t="str">
        <f>IF(X1007="","",IFERROR(INDEX($AL$11:$AL$4010,MATCH(997,$AY$11:$AY$4010,0)),""))</f>
        <v/>
      </c>
      <c r="X1007" s="12" t="str">
        <f>IFERROR(INDEX($AM$11:$AM$4010,MATCH(997,$AY$11:$AY$4010,0)),"")</f>
        <v/>
      </c>
      <c r="Y1007" s="11" t="str">
        <f>IF(X1007="","",IFERROR(INDEX($AN$11:$AN$4010,MATCH(997,$AY$11:$AY$4010,0)),""))</f>
        <v/>
      </c>
      <c r="Z1007" s="11" t="str">
        <f>IF(X1007="","",IFERROR(INDEX($AO$11:$AO$4010,MATCH(997,$AY$11:$AY$4010,0)),""))</f>
        <v/>
      </c>
      <c r="AA1007" s="10" t="str">
        <f>IF(X1007="","",IFERROR(INDEX($AQ$11:$AQ$4010,MATCH(997,$AY$11:$AY$4010,0)),""))</f>
        <v/>
      </c>
      <c r="AB1007" s="15" t="str">
        <f>IF(X1007="","",IFERROR(INDEX($AR$11:$AR$4010,MATCH(997,$AY$11:$AY$4010,0)),""))</f>
        <v/>
      </c>
      <c r="AD1007" s="16" t="str">
        <f>IF(AE1007="","",IFERROR(INDEX($AL$11:$AL$4010,MATCH(997,$AZ$11:$AZ$4010,0)),""))</f>
        <v/>
      </c>
      <c r="AE1007" s="12" t="str">
        <f>IFERROR(INDEX($AM$11:$AM$4010,MATCH(997,$AZ$11:$AZ$4010,0)),"")</f>
        <v/>
      </c>
      <c r="AF1007" s="11" t="str">
        <f>IF(AE1007="","",IFERROR(INDEX($AN$11:$AN$4010,MATCH(997,$AZ$11:$AZ$4010,0)),""))</f>
        <v/>
      </c>
      <c r="AG1007" s="11" t="str">
        <f>IF(AE1007="","",IFERROR(INDEX($AO$11:$AO$4010,MATCH(997,$AZ$11:$AZ$4010,0)),""))</f>
        <v/>
      </c>
      <c r="AH1007" s="10" t="str">
        <f>IF(AE1007="","",IFERROR(INDEX($AQ$11:$AQ$4010,MATCH(997,$AZ$11:$AZ$4010,0)),""))</f>
        <v/>
      </c>
      <c r="AI1007" s="15" t="str">
        <f>IF(AE1007="","",IFERROR(INDEX($AR$11:$AR$4010,MATCH(997,$AZ$11:$AZ$4010,0)),""))</f>
        <v/>
      </c>
      <c r="AJ1007" s="15" t="str">
        <f>IF(AE1007="","",IFERROR(INDEX($AT$11:$AT$4010,MATCH(997,$AZ$11:$AZ$4010,0)),""))</f>
        <v/>
      </c>
      <c r="AL1007" s="17"/>
      <c r="AM1007" s="12"/>
      <c r="AN1007" s="18"/>
      <c r="AO1007" s="18"/>
      <c r="AP1007" s="10"/>
      <c r="AQ1007" s="10"/>
      <c r="AR1007" s="19"/>
      <c r="AS1007" s="20"/>
      <c r="AT1007" s="19"/>
      <c r="AV1007" s="21">
        <f>IF(AND($AL1007&lt;&gt;"",COUNTIF($AL$11:$AL1007,$AL1007)=1),1,0)</f>
        <v>0</v>
      </c>
      <c r="AW1007" s="21">
        <f t="shared" si="117"/>
        <v>0</v>
      </c>
      <c r="AX1007" s="21" t="str">
        <f t="shared" si="116"/>
        <v/>
      </c>
      <c r="AY1007" s="21" t="str">
        <f>IF(AND($AM1007&lt;&gt;"",$AS1007&lt;&gt;"✓"),SUMPRODUCT(($AM$11:$AM1007&lt;&gt;"")*($AS$11:$AS1007&lt;&gt;"✓")),"")</f>
        <v/>
      </c>
      <c r="AZ1007" s="21" t="str">
        <f>IF(AND($AM1007&lt;&gt;"",$AS1007="✓"),SUMPRODUCT(($AM$11:$AM1007&lt;&gt;"")*($AS$11:$AS1007="✓")),"")</f>
        <v/>
      </c>
      <c r="BA1007" s="21" t="str">
        <f>IF($AL1007="","",$AL1007&amp;"|"&amp;COUNTIF($AL$11:$AL1007,$AL1007))</f>
        <v/>
      </c>
    </row>
    <row r="1008" spans="23:53" ht="15" customHeight="1" x14ac:dyDescent="0.25">
      <c r="W1008" s="28" t="str">
        <f>IF(X1008="","",IFERROR(INDEX($AL$11:$AL$4010,MATCH(998,$AY$11:$AY$4010,0)),""))</f>
        <v/>
      </c>
      <c r="X1008" s="26" t="str">
        <f>IFERROR(INDEX($AM$11:$AM$4010,MATCH(998,$AY$11:$AY$4010,0)),"")</f>
        <v/>
      </c>
      <c r="Y1008" s="25" t="str">
        <f>IF(X1008="","",IFERROR(INDEX($AN$11:$AN$4010,MATCH(998,$AY$11:$AY$4010,0)),""))</f>
        <v/>
      </c>
      <c r="Z1008" s="25" t="str">
        <f>IF(X1008="","",IFERROR(INDEX($AO$11:$AO$4010,MATCH(998,$AY$11:$AY$4010,0)),""))</f>
        <v/>
      </c>
      <c r="AA1008" s="24" t="str">
        <f>IF(X1008="","",IFERROR(INDEX($AQ$11:$AQ$4010,MATCH(998,$AY$11:$AY$4010,0)),""))</f>
        <v/>
      </c>
      <c r="AB1008" s="29" t="str">
        <f>IF(X1008="","",IFERROR(INDEX($AR$11:$AR$4010,MATCH(998,$AY$11:$AY$4010,0)),""))</f>
        <v/>
      </c>
      <c r="AD1008" s="30" t="str">
        <f>IF(AE1008="","",IFERROR(INDEX($AL$11:$AL$4010,MATCH(998,$AZ$11:$AZ$4010,0)),""))</f>
        <v/>
      </c>
      <c r="AE1008" s="26" t="str">
        <f>IFERROR(INDEX($AM$11:$AM$4010,MATCH(998,$AZ$11:$AZ$4010,0)),"")</f>
        <v/>
      </c>
      <c r="AF1008" s="25" t="str">
        <f>IF(AE1008="","",IFERROR(INDEX($AN$11:$AN$4010,MATCH(998,$AZ$11:$AZ$4010,0)),""))</f>
        <v/>
      </c>
      <c r="AG1008" s="25" t="str">
        <f>IF(AE1008="","",IFERROR(INDEX($AO$11:$AO$4010,MATCH(998,$AZ$11:$AZ$4010,0)),""))</f>
        <v/>
      </c>
      <c r="AH1008" s="24" t="str">
        <f>IF(AE1008="","",IFERROR(INDEX($AQ$11:$AQ$4010,MATCH(998,$AZ$11:$AZ$4010,0)),""))</f>
        <v/>
      </c>
      <c r="AI1008" s="29" t="str">
        <f>IF(AE1008="","",IFERROR(INDEX($AR$11:$AR$4010,MATCH(998,$AZ$11:$AZ$4010,0)),""))</f>
        <v/>
      </c>
      <c r="AJ1008" s="29" t="str">
        <f>IF(AE1008="","",IFERROR(INDEX($AT$11:$AT$4010,MATCH(998,$AZ$11:$AZ$4010,0)),""))</f>
        <v/>
      </c>
      <c r="AL1008" s="31"/>
      <c r="AM1008" s="26"/>
      <c r="AN1008" s="32"/>
      <c r="AO1008" s="32"/>
      <c r="AP1008" s="24"/>
      <c r="AQ1008" s="24"/>
      <c r="AR1008" s="33"/>
      <c r="AS1008" s="34"/>
      <c r="AT1008" s="33"/>
      <c r="AV1008" s="21">
        <f>IF(AND($AL1008&lt;&gt;"",COUNTIF($AL$11:$AL1008,$AL1008)=1),1,0)</f>
        <v>0</v>
      </c>
      <c r="AW1008" s="21">
        <f t="shared" si="117"/>
        <v>0</v>
      </c>
      <c r="AX1008" s="21" t="str">
        <f t="shared" si="116"/>
        <v/>
      </c>
      <c r="AY1008" s="21" t="str">
        <f>IF(AND($AM1008&lt;&gt;"",$AS1008&lt;&gt;"✓"),SUMPRODUCT(($AM$11:$AM1008&lt;&gt;"")*($AS$11:$AS1008&lt;&gt;"✓")),"")</f>
        <v/>
      </c>
      <c r="AZ1008" s="21" t="str">
        <f>IF(AND($AM1008&lt;&gt;"",$AS1008="✓"),SUMPRODUCT(($AM$11:$AM1008&lt;&gt;"")*($AS$11:$AS1008="✓")),"")</f>
        <v/>
      </c>
      <c r="BA1008" s="21" t="str">
        <f>IF($AL1008="","",$AL1008&amp;"|"&amp;COUNTIF($AL$11:$AL1008,$AL1008))</f>
        <v/>
      </c>
    </row>
    <row r="1009" spans="23:53" ht="15" customHeight="1" x14ac:dyDescent="0.25">
      <c r="W1009" s="14" t="str">
        <f>IF(X1009="","",IFERROR(INDEX($AL$11:$AL$4010,MATCH(999,$AY$11:$AY$4010,0)),""))</f>
        <v/>
      </c>
      <c r="X1009" s="12" t="str">
        <f>IFERROR(INDEX($AM$11:$AM$4010,MATCH(999,$AY$11:$AY$4010,0)),"")</f>
        <v/>
      </c>
      <c r="Y1009" s="11" t="str">
        <f>IF(X1009="","",IFERROR(INDEX($AN$11:$AN$4010,MATCH(999,$AY$11:$AY$4010,0)),""))</f>
        <v/>
      </c>
      <c r="Z1009" s="11" t="str">
        <f>IF(X1009="","",IFERROR(INDEX($AO$11:$AO$4010,MATCH(999,$AY$11:$AY$4010,0)),""))</f>
        <v/>
      </c>
      <c r="AA1009" s="10" t="str">
        <f>IF(X1009="","",IFERROR(INDEX($AQ$11:$AQ$4010,MATCH(999,$AY$11:$AY$4010,0)),""))</f>
        <v/>
      </c>
      <c r="AB1009" s="15" t="str">
        <f>IF(X1009="","",IFERROR(INDEX($AR$11:$AR$4010,MATCH(999,$AY$11:$AY$4010,0)),""))</f>
        <v/>
      </c>
      <c r="AD1009" s="16" t="str">
        <f>IF(AE1009="","",IFERROR(INDEX($AL$11:$AL$4010,MATCH(999,$AZ$11:$AZ$4010,0)),""))</f>
        <v/>
      </c>
      <c r="AE1009" s="12" t="str">
        <f>IFERROR(INDEX($AM$11:$AM$4010,MATCH(999,$AZ$11:$AZ$4010,0)),"")</f>
        <v/>
      </c>
      <c r="AF1009" s="11" t="str">
        <f>IF(AE1009="","",IFERROR(INDEX($AN$11:$AN$4010,MATCH(999,$AZ$11:$AZ$4010,0)),""))</f>
        <v/>
      </c>
      <c r="AG1009" s="11" t="str">
        <f>IF(AE1009="","",IFERROR(INDEX($AO$11:$AO$4010,MATCH(999,$AZ$11:$AZ$4010,0)),""))</f>
        <v/>
      </c>
      <c r="AH1009" s="10" t="str">
        <f>IF(AE1009="","",IFERROR(INDEX($AQ$11:$AQ$4010,MATCH(999,$AZ$11:$AZ$4010,0)),""))</f>
        <v/>
      </c>
      <c r="AI1009" s="15" t="str">
        <f>IF(AE1009="","",IFERROR(INDEX($AR$11:$AR$4010,MATCH(999,$AZ$11:$AZ$4010,0)),""))</f>
        <v/>
      </c>
      <c r="AJ1009" s="15" t="str">
        <f>IF(AE1009="","",IFERROR(INDEX($AT$11:$AT$4010,MATCH(999,$AZ$11:$AZ$4010,0)),""))</f>
        <v/>
      </c>
      <c r="AL1009" s="17"/>
      <c r="AM1009" s="12"/>
      <c r="AN1009" s="18"/>
      <c r="AO1009" s="18"/>
      <c r="AP1009" s="10"/>
      <c r="AQ1009" s="10"/>
      <c r="AR1009" s="19"/>
      <c r="AS1009" s="20"/>
      <c r="AT1009" s="19"/>
      <c r="AV1009" s="21">
        <f>IF(AND($AL1009&lt;&gt;"",COUNTIF($AL$11:$AL1009,$AL1009)=1),1,0)</f>
        <v>0</v>
      </c>
      <c r="AW1009" s="21">
        <f t="shared" si="117"/>
        <v>0</v>
      </c>
      <c r="AX1009" s="21" t="str">
        <f t="shared" si="116"/>
        <v/>
      </c>
      <c r="AY1009" s="21" t="str">
        <f>IF(AND($AM1009&lt;&gt;"",$AS1009&lt;&gt;"✓"),SUMPRODUCT(($AM$11:$AM1009&lt;&gt;"")*($AS$11:$AS1009&lt;&gt;"✓")),"")</f>
        <v/>
      </c>
      <c r="AZ1009" s="21" t="str">
        <f>IF(AND($AM1009&lt;&gt;"",$AS1009="✓"),SUMPRODUCT(($AM$11:$AM1009&lt;&gt;"")*($AS$11:$AS1009="✓")),"")</f>
        <v/>
      </c>
      <c r="BA1009" s="21" t="str">
        <f>IF($AL1009="","",$AL1009&amp;"|"&amp;COUNTIF($AL$11:$AL1009,$AL1009))</f>
        <v/>
      </c>
    </row>
    <row r="1010" spans="23:53" ht="15" customHeight="1" x14ac:dyDescent="0.25">
      <c r="W1010" s="28" t="str">
        <f>IF(X1010="","",IFERROR(INDEX($AL$11:$AL$4010,MATCH(1000,$AY$11:$AY$4010,0)),""))</f>
        <v/>
      </c>
      <c r="X1010" s="26" t="str">
        <f>IFERROR(INDEX($AM$11:$AM$4010,MATCH(1000,$AY$11:$AY$4010,0)),"")</f>
        <v/>
      </c>
      <c r="Y1010" s="25" t="str">
        <f>IF(X1010="","",IFERROR(INDEX($AN$11:$AN$4010,MATCH(1000,$AY$11:$AY$4010,0)),""))</f>
        <v/>
      </c>
      <c r="Z1010" s="25" t="str">
        <f>IF(X1010="","",IFERROR(INDEX($AO$11:$AO$4010,MATCH(1000,$AY$11:$AY$4010,0)),""))</f>
        <v/>
      </c>
      <c r="AA1010" s="24" t="str">
        <f>IF(X1010="","",IFERROR(INDEX($AQ$11:$AQ$4010,MATCH(1000,$AY$11:$AY$4010,0)),""))</f>
        <v/>
      </c>
      <c r="AB1010" s="29" t="str">
        <f>IF(X1010="","",IFERROR(INDEX($AR$11:$AR$4010,MATCH(1000,$AY$11:$AY$4010,0)),""))</f>
        <v/>
      </c>
      <c r="AD1010" s="30" t="str">
        <f>IF(AE1010="","",IFERROR(INDEX($AL$11:$AL$4010,MATCH(1000,$AZ$11:$AZ$4010,0)),""))</f>
        <v/>
      </c>
      <c r="AE1010" s="26" t="str">
        <f>IFERROR(INDEX($AM$11:$AM$4010,MATCH(1000,$AZ$11:$AZ$4010,0)),"")</f>
        <v/>
      </c>
      <c r="AF1010" s="25" t="str">
        <f>IF(AE1010="","",IFERROR(INDEX($AN$11:$AN$4010,MATCH(1000,$AZ$11:$AZ$4010,0)),""))</f>
        <v/>
      </c>
      <c r="AG1010" s="25" t="str">
        <f>IF(AE1010="","",IFERROR(INDEX($AO$11:$AO$4010,MATCH(1000,$AZ$11:$AZ$4010,0)),""))</f>
        <v/>
      </c>
      <c r="AH1010" s="24" t="str">
        <f>IF(AE1010="","",IFERROR(INDEX($AQ$11:$AQ$4010,MATCH(1000,$AZ$11:$AZ$4010,0)),""))</f>
        <v/>
      </c>
      <c r="AI1010" s="29" t="str">
        <f>IF(AE1010="","",IFERROR(INDEX($AR$11:$AR$4010,MATCH(1000,$AZ$11:$AZ$4010,0)),""))</f>
        <v/>
      </c>
      <c r="AJ1010" s="29" t="str">
        <f>IF(AE1010="","",IFERROR(INDEX($AT$11:$AT$4010,MATCH(1000,$AZ$11:$AZ$4010,0)),""))</f>
        <v/>
      </c>
      <c r="AL1010" s="31"/>
      <c r="AM1010" s="26"/>
      <c r="AN1010" s="32"/>
      <c r="AO1010" s="32"/>
      <c r="AP1010" s="24"/>
      <c r="AQ1010" s="24"/>
      <c r="AR1010" s="33"/>
      <c r="AS1010" s="34"/>
      <c r="AT1010" s="33"/>
      <c r="AV1010" s="21">
        <f>IF(AND($AL1010&lt;&gt;"",COUNTIF($AL$11:$AL1010,$AL1010)=1),1,0)</f>
        <v>0</v>
      </c>
      <c r="AW1010" s="21">
        <f t="shared" si="117"/>
        <v>0</v>
      </c>
      <c r="AX1010" s="21" t="str">
        <f t="shared" si="116"/>
        <v/>
      </c>
      <c r="AY1010" s="21" t="str">
        <f>IF(AND($AM1010&lt;&gt;"",$AS1010&lt;&gt;"✓"),SUMPRODUCT(($AM$11:$AM1010&lt;&gt;"")*($AS$11:$AS1010&lt;&gt;"✓")),"")</f>
        <v/>
      </c>
      <c r="AZ1010" s="21" t="str">
        <f>IF(AND($AM1010&lt;&gt;"",$AS1010="✓"),SUMPRODUCT(($AM$11:$AM1010&lt;&gt;"")*($AS$11:$AS1010="✓")),"")</f>
        <v/>
      </c>
      <c r="BA1010" s="21" t="str">
        <f>IF($AL1010="","",$AL1010&amp;"|"&amp;COUNTIF($AL$11:$AL1010,$AL1010))</f>
        <v/>
      </c>
    </row>
    <row r="1011" spans="23:53" ht="15" customHeight="1" x14ac:dyDescent="0.25">
      <c r="AL1011" s="17"/>
      <c r="AM1011" s="12"/>
      <c r="AN1011" s="18"/>
      <c r="AO1011" s="18"/>
      <c r="AP1011" s="10"/>
      <c r="AQ1011" s="10"/>
      <c r="AR1011" s="19"/>
      <c r="AS1011" s="20"/>
      <c r="AT1011" s="19"/>
      <c r="AV1011" s="21">
        <f>IF(AND($AL1011&lt;&gt;"",COUNTIF($AL$11:$AL1011,$AL1011)=1),1,0)</f>
        <v>0</v>
      </c>
      <c r="AW1011" s="21">
        <f t="shared" si="117"/>
        <v>0</v>
      </c>
      <c r="AX1011" s="21" t="str">
        <f t="shared" si="116"/>
        <v/>
      </c>
      <c r="AY1011" s="21" t="str">
        <f>IF(AND($AM1011&lt;&gt;"",$AS1011&lt;&gt;"✓"),SUMPRODUCT(($AM$11:$AM1011&lt;&gt;"")*($AS$11:$AS1011&lt;&gt;"✓")),"")</f>
        <v/>
      </c>
      <c r="AZ1011" s="21" t="str">
        <f>IF(AND($AM1011&lt;&gt;"",$AS1011="✓"),SUMPRODUCT(($AM$11:$AM1011&lt;&gt;"")*($AS$11:$AS1011="✓")),"")</f>
        <v/>
      </c>
      <c r="BA1011" s="21" t="str">
        <f>IF($AL1011="","",$AL1011&amp;"|"&amp;COUNTIF($AL$11:$AL1011,$AL1011))</f>
        <v/>
      </c>
    </row>
    <row r="1012" spans="23:53" ht="15" customHeight="1" x14ac:dyDescent="0.25">
      <c r="AL1012" s="31"/>
      <c r="AM1012" s="26"/>
      <c r="AN1012" s="32"/>
      <c r="AO1012" s="32"/>
      <c r="AP1012" s="24"/>
      <c r="AQ1012" s="24"/>
      <c r="AR1012" s="33"/>
      <c r="AS1012" s="34"/>
      <c r="AT1012" s="33"/>
      <c r="AV1012" s="21">
        <f>IF(AND($AL1012&lt;&gt;"",COUNTIF($AL$11:$AL1012,$AL1012)=1),1,0)</f>
        <v>0</v>
      </c>
      <c r="AW1012" s="21">
        <f t="shared" si="117"/>
        <v>0</v>
      </c>
      <c r="AX1012" s="21" t="str">
        <f t="shared" si="116"/>
        <v/>
      </c>
      <c r="AY1012" s="21" t="str">
        <f>IF(AND($AM1012&lt;&gt;"",$AS1012&lt;&gt;"✓"),SUMPRODUCT(($AM$11:$AM1012&lt;&gt;"")*($AS$11:$AS1012&lt;&gt;"✓")),"")</f>
        <v/>
      </c>
      <c r="AZ1012" s="21" t="str">
        <f>IF(AND($AM1012&lt;&gt;"",$AS1012="✓"),SUMPRODUCT(($AM$11:$AM1012&lt;&gt;"")*($AS$11:$AS1012="✓")),"")</f>
        <v/>
      </c>
      <c r="BA1012" s="21" t="str">
        <f>IF($AL1012="","",$AL1012&amp;"|"&amp;COUNTIF($AL$11:$AL1012,$AL1012))</f>
        <v/>
      </c>
    </row>
    <row r="1013" spans="23:53" ht="15" customHeight="1" x14ac:dyDescent="0.25">
      <c r="AL1013" s="17"/>
      <c r="AM1013" s="12"/>
      <c r="AN1013" s="18"/>
      <c r="AO1013" s="18"/>
      <c r="AP1013" s="10"/>
      <c r="AQ1013" s="10"/>
      <c r="AR1013" s="19"/>
      <c r="AS1013" s="20"/>
      <c r="AT1013" s="19"/>
      <c r="AV1013" s="21">
        <f>IF(AND($AL1013&lt;&gt;"",COUNTIF($AL$11:$AL1013,$AL1013)=1),1,0)</f>
        <v>0</v>
      </c>
      <c r="AW1013" s="21">
        <f t="shared" si="117"/>
        <v>0</v>
      </c>
      <c r="AX1013" s="21" t="str">
        <f t="shared" si="116"/>
        <v/>
      </c>
      <c r="AY1013" s="21" t="str">
        <f>IF(AND($AM1013&lt;&gt;"",$AS1013&lt;&gt;"✓"),SUMPRODUCT(($AM$11:$AM1013&lt;&gt;"")*($AS$11:$AS1013&lt;&gt;"✓")),"")</f>
        <v/>
      </c>
      <c r="AZ1013" s="21" t="str">
        <f>IF(AND($AM1013&lt;&gt;"",$AS1013="✓"),SUMPRODUCT(($AM$11:$AM1013&lt;&gt;"")*($AS$11:$AS1013="✓")),"")</f>
        <v/>
      </c>
      <c r="BA1013" s="21" t="str">
        <f>IF($AL1013="","",$AL1013&amp;"|"&amp;COUNTIF($AL$11:$AL1013,$AL1013))</f>
        <v/>
      </c>
    </row>
    <row r="1014" spans="23:53" ht="15" customHeight="1" x14ac:dyDescent="0.25">
      <c r="AL1014" s="31"/>
      <c r="AM1014" s="26"/>
      <c r="AN1014" s="32"/>
      <c r="AO1014" s="32"/>
      <c r="AP1014" s="24"/>
      <c r="AQ1014" s="24"/>
      <c r="AR1014" s="33"/>
      <c r="AS1014" s="34"/>
      <c r="AT1014" s="33"/>
      <c r="AV1014" s="21">
        <f>IF(AND($AL1014&lt;&gt;"",COUNTIF($AL$11:$AL1014,$AL1014)=1),1,0)</f>
        <v>0</v>
      </c>
      <c r="AW1014" s="21">
        <f t="shared" si="117"/>
        <v>0</v>
      </c>
      <c r="AX1014" s="21" t="str">
        <f t="shared" si="116"/>
        <v/>
      </c>
      <c r="AY1014" s="21" t="str">
        <f>IF(AND($AM1014&lt;&gt;"",$AS1014&lt;&gt;"✓"),SUMPRODUCT(($AM$11:$AM1014&lt;&gt;"")*($AS$11:$AS1014&lt;&gt;"✓")),"")</f>
        <v/>
      </c>
      <c r="AZ1014" s="21" t="str">
        <f>IF(AND($AM1014&lt;&gt;"",$AS1014="✓"),SUMPRODUCT(($AM$11:$AM1014&lt;&gt;"")*($AS$11:$AS1014="✓")),"")</f>
        <v/>
      </c>
      <c r="BA1014" s="21" t="str">
        <f>IF($AL1014="","",$AL1014&amp;"|"&amp;COUNTIF($AL$11:$AL1014,$AL1014))</f>
        <v/>
      </c>
    </row>
    <row r="1015" spans="23:53" ht="15" customHeight="1" x14ac:dyDescent="0.25">
      <c r="AL1015" s="17"/>
      <c r="AM1015" s="12"/>
      <c r="AN1015" s="18"/>
      <c r="AO1015" s="18"/>
      <c r="AP1015" s="10"/>
      <c r="AQ1015" s="10"/>
      <c r="AR1015" s="19"/>
      <c r="AS1015" s="20"/>
      <c r="AT1015" s="19"/>
      <c r="AV1015" s="21">
        <f>IF(AND($AL1015&lt;&gt;"",COUNTIF($AL$11:$AL1015,$AL1015)=1),1,0)</f>
        <v>0</v>
      </c>
      <c r="AW1015" s="21">
        <f t="shared" si="117"/>
        <v>0</v>
      </c>
      <c r="AX1015" s="21" t="str">
        <f t="shared" si="116"/>
        <v/>
      </c>
      <c r="AY1015" s="21" t="str">
        <f>IF(AND($AM1015&lt;&gt;"",$AS1015&lt;&gt;"✓"),SUMPRODUCT(($AM$11:$AM1015&lt;&gt;"")*($AS$11:$AS1015&lt;&gt;"✓")),"")</f>
        <v/>
      </c>
      <c r="AZ1015" s="21" t="str">
        <f>IF(AND($AM1015&lt;&gt;"",$AS1015="✓"),SUMPRODUCT(($AM$11:$AM1015&lt;&gt;"")*($AS$11:$AS1015="✓")),"")</f>
        <v/>
      </c>
      <c r="BA1015" s="21" t="str">
        <f>IF($AL1015="","",$AL1015&amp;"|"&amp;COUNTIF($AL$11:$AL1015,$AL1015))</f>
        <v/>
      </c>
    </row>
    <row r="1016" spans="23:53" ht="15" customHeight="1" x14ac:dyDescent="0.25">
      <c r="AL1016" s="31"/>
      <c r="AM1016" s="26"/>
      <c r="AN1016" s="32"/>
      <c r="AO1016" s="32"/>
      <c r="AP1016" s="24"/>
      <c r="AQ1016" s="24"/>
      <c r="AR1016" s="33"/>
      <c r="AS1016" s="34"/>
      <c r="AT1016" s="33"/>
      <c r="AV1016" s="21">
        <f>IF(AND($AL1016&lt;&gt;"",COUNTIF($AL$11:$AL1016,$AL1016)=1),1,0)</f>
        <v>0</v>
      </c>
      <c r="AW1016" s="21">
        <f t="shared" si="117"/>
        <v>0</v>
      </c>
      <c r="AX1016" s="21" t="str">
        <f t="shared" si="116"/>
        <v/>
      </c>
      <c r="AY1016" s="21" t="str">
        <f>IF(AND($AM1016&lt;&gt;"",$AS1016&lt;&gt;"✓"),SUMPRODUCT(($AM$11:$AM1016&lt;&gt;"")*($AS$11:$AS1016&lt;&gt;"✓")),"")</f>
        <v/>
      </c>
      <c r="AZ1016" s="21" t="str">
        <f>IF(AND($AM1016&lt;&gt;"",$AS1016="✓"),SUMPRODUCT(($AM$11:$AM1016&lt;&gt;"")*($AS$11:$AS1016="✓")),"")</f>
        <v/>
      </c>
      <c r="BA1016" s="21" t="str">
        <f>IF($AL1016="","",$AL1016&amp;"|"&amp;COUNTIF($AL$11:$AL1016,$AL1016))</f>
        <v/>
      </c>
    </row>
    <row r="1017" spans="23:53" ht="15" customHeight="1" x14ac:dyDescent="0.25">
      <c r="AL1017" s="17"/>
      <c r="AM1017" s="12"/>
      <c r="AN1017" s="18"/>
      <c r="AO1017" s="18"/>
      <c r="AP1017" s="10"/>
      <c r="AQ1017" s="10"/>
      <c r="AR1017" s="19"/>
      <c r="AS1017" s="20"/>
      <c r="AT1017" s="19"/>
      <c r="AV1017" s="21">
        <f>IF(AND($AL1017&lt;&gt;"",COUNTIF($AL$11:$AL1017,$AL1017)=1),1,0)</f>
        <v>0</v>
      </c>
      <c r="AW1017" s="21">
        <f t="shared" si="117"/>
        <v>0</v>
      </c>
      <c r="AX1017" s="21" t="str">
        <f t="shared" si="116"/>
        <v/>
      </c>
      <c r="AY1017" s="21" t="str">
        <f>IF(AND($AM1017&lt;&gt;"",$AS1017&lt;&gt;"✓"),SUMPRODUCT(($AM$11:$AM1017&lt;&gt;"")*($AS$11:$AS1017&lt;&gt;"✓")),"")</f>
        <v/>
      </c>
      <c r="AZ1017" s="21" t="str">
        <f>IF(AND($AM1017&lt;&gt;"",$AS1017="✓"),SUMPRODUCT(($AM$11:$AM1017&lt;&gt;"")*($AS$11:$AS1017="✓")),"")</f>
        <v/>
      </c>
      <c r="BA1017" s="21" t="str">
        <f>IF($AL1017="","",$AL1017&amp;"|"&amp;COUNTIF($AL$11:$AL1017,$AL1017))</f>
        <v/>
      </c>
    </row>
    <row r="1018" spans="23:53" ht="15" customHeight="1" x14ac:dyDescent="0.25">
      <c r="AL1018" s="31"/>
      <c r="AM1018" s="26"/>
      <c r="AN1018" s="32"/>
      <c r="AO1018" s="32"/>
      <c r="AP1018" s="24"/>
      <c r="AQ1018" s="24"/>
      <c r="AR1018" s="33"/>
      <c r="AS1018" s="34"/>
      <c r="AT1018" s="33"/>
      <c r="AV1018" s="21">
        <f>IF(AND($AL1018&lt;&gt;"",COUNTIF($AL$11:$AL1018,$AL1018)=1),1,0)</f>
        <v>0</v>
      </c>
      <c r="AW1018" s="21">
        <f t="shared" si="117"/>
        <v>0</v>
      </c>
      <c r="AX1018" s="21" t="str">
        <f t="shared" si="116"/>
        <v/>
      </c>
      <c r="AY1018" s="21" t="str">
        <f>IF(AND($AM1018&lt;&gt;"",$AS1018&lt;&gt;"✓"),SUMPRODUCT(($AM$11:$AM1018&lt;&gt;"")*($AS$11:$AS1018&lt;&gt;"✓")),"")</f>
        <v/>
      </c>
      <c r="AZ1018" s="21" t="str">
        <f>IF(AND($AM1018&lt;&gt;"",$AS1018="✓"),SUMPRODUCT(($AM$11:$AM1018&lt;&gt;"")*($AS$11:$AS1018="✓")),"")</f>
        <v/>
      </c>
      <c r="BA1018" s="21" t="str">
        <f>IF($AL1018="","",$AL1018&amp;"|"&amp;COUNTIF($AL$11:$AL1018,$AL1018))</f>
        <v/>
      </c>
    </row>
    <row r="1019" spans="23:53" ht="15" customHeight="1" x14ac:dyDescent="0.25">
      <c r="AL1019" s="17"/>
      <c r="AM1019" s="12"/>
      <c r="AN1019" s="18"/>
      <c r="AO1019" s="18"/>
      <c r="AP1019" s="10"/>
      <c r="AQ1019" s="10"/>
      <c r="AR1019" s="19"/>
      <c r="AS1019" s="20"/>
      <c r="AT1019" s="19"/>
      <c r="AV1019" s="21">
        <f>IF(AND($AL1019&lt;&gt;"",COUNTIF($AL$11:$AL1019,$AL1019)=1),1,0)</f>
        <v>0</v>
      </c>
      <c r="AW1019" s="21">
        <f t="shared" si="117"/>
        <v>0</v>
      </c>
      <c r="AX1019" s="21" t="str">
        <f t="shared" si="116"/>
        <v/>
      </c>
      <c r="AY1019" s="21" t="str">
        <f>IF(AND($AM1019&lt;&gt;"",$AS1019&lt;&gt;"✓"),SUMPRODUCT(($AM$11:$AM1019&lt;&gt;"")*($AS$11:$AS1019&lt;&gt;"✓")),"")</f>
        <v/>
      </c>
      <c r="AZ1019" s="21" t="str">
        <f>IF(AND($AM1019&lt;&gt;"",$AS1019="✓"),SUMPRODUCT(($AM$11:$AM1019&lt;&gt;"")*($AS$11:$AS1019="✓")),"")</f>
        <v/>
      </c>
      <c r="BA1019" s="21" t="str">
        <f>IF($AL1019="","",$AL1019&amp;"|"&amp;COUNTIF($AL$11:$AL1019,$AL1019))</f>
        <v/>
      </c>
    </row>
    <row r="1020" spans="23:53" ht="15" customHeight="1" x14ac:dyDescent="0.25">
      <c r="AL1020" s="31"/>
      <c r="AM1020" s="26"/>
      <c r="AN1020" s="32"/>
      <c r="AO1020" s="32"/>
      <c r="AP1020" s="24"/>
      <c r="AQ1020" s="24"/>
      <c r="AR1020" s="33"/>
      <c r="AS1020" s="34"/>
      <c r="AT1020" s="33"/>
      <c r="AV1020" s="21">
        <f>IF(AND($AL1020&lt;&gt;"",COUNTIF($AL$11:$AL1020,$AL1020)=1),1,0)</f>
        <v>0</v>
      </c>
      <c r="AW1020" s="21">
        <f t="shared" si="117"/>
        <v>0</v>
      </c>
      <c r="AX1020" s="21" t="str">
        <f t="shared" si="116"/>
        <v/>
      </c>
      <c r="AY1020" s="21" t="str">
        <f>IF(AND($AM1020&lt;&gt;"",$AS1020&lt;&gt;"✓"),SUMPRODUCT(($AM$11:$AM1020&lt;&gt;"")*($AS$11:$AS1020&lt;&gt;"✓")),"")</f>
        <v/>
      </c>
      <c r="AZ1020" s="21" t="str">
        <f>IF(AND($AM1020&lt;&gt;"",$AS1020="✓"),SUMPRODUCT(($AM$11:$AM1020&lt;&gt;"")*($AS$11:$AS1020="✓")),"")</f>
        <v/>
      </c>
      <c r="BA1020" s="21" t="str">
        <f>IF($AL1020="","",$AL1020&amp;"|"&amp;COUNTIF($AL$11:$AL1020,$AL1020))</f>
        <v/>
      </c>
    </row>
    <row r="1021" spans="23:53" ht="15" customHeight="1" x14ac:dyDescent="0.25">
      <c r="AL1021" s="17"/>
      <c r="AM1021" s="12"/>
      <c r="AN1021" s="18"/>
      <c r="AO1021" s="18"/>
      <c r="AP1021" s="10"/>
      <c r="AQ1021" s="10"/>
      <c r="AR1021" s="19"/>
      <c r="AS1021" s="20"/>
      <c r="AT1021" s="19"/>
      <c r="AV1021" s="21">
        <f>IF(AND($AL1021&lt;&gt;"",COUNTIF($AL$11:$AL1021,$AL1021)=1),1,0)</f>
        <v>0</v>
      </c>
      <c r="AW1021" s="21">
        <f t="shared" si="117"/>
        <v>0</v>
      </c>
      <c r="AX1021" s="21" t="str">
        <f t="shared" si="116"/>
        <v/>
      </c>
      <c r="AY1021" s="21" t="str">
        <f>IF(AND($AM1021&lt;&gt;"",$AS1021&lt;&gt;"✓"),SUMPRODUCT(($AM$11:$AM1021&lt;&gt;"")*($AS$11:$AS1021&lt;&gt;"✓")),"")</f>
        <v/>
      </c>
      <c r="AZ1021" s="21" t="str">
        <f>IF(AND($AM1021&lt;&gt;"",$AS1021="✓"),SUMPRODUCT(($AM$11:$AM1021&lt;&gt;"")*($AS$11:$AS1021="✓")),"")</f>
        <v/>
      </c>
      <c r="BA1021" s="21" t="str">
        <f>IF($AL1021="","",$AL1021&amp;"|"&amp;COUNTIF($AL$11:$AL1021,$AL1021))</f>
        <v/>
      </c>
    </row>
    <row r="1022" spans="23:53" ht="15" customHeight="1" x14ac:dyDescent="0.25">
      <c r="AL1022" s="31"/>
      <c r="AM1022" s="26"/>
      <c r="AN1022" s="32"/>
      <c r="AO1022" s="32"/>
      <c r="AP1022" s="24"/>
      <c r="AQ1022" s="24"/>
      <c r="AR1022" s="33"/>
      <c r="AS1022" s="34"/>
      <c r="AT1022" s="33"/>
      <c r="AV1022" s="21">
        <f>IF(AND($AL1022&lt;&gt;"",COUNTIF($AL$11:$AL1022,$AL1022)=1),1,0)</f>
        <v>0</v>
      </c>
      <c r="AW1022" s="21">
        <f t="shared" si="117"/>
        <v>0</v>
      </c>
      <c r="AX1022" s="21" t="str">
        <f t="shared" si="116"/>
        <v/>
      </c>
      <c r="AY1022" s="21" t="str">
        <f>IF(AND($AM1022&lt;&gt;"",$AS1022&lt;&gt;"✓"),SUMPRODUCT(($AM$11:$AM1022&lt;&gt;"")*($AS$11:$AS1022&lt;&gt;"✓")),"")</f>
        <v/>
      </c>
      <c r="AZ1022" s="21" t="str">
        <f>IF(AND($AM1022&lt;&gt;"",$AS1022="✓"),SUMPRODUCT(($AM$11:$AM1022&lt;&gt;"")*($AS$11:$AS1022="✓")),"")</f>
        <v/>
      </c>
      <c r="BA1022" s="21" t="str">
        <f>IF($AL1022="","",$AL1022&amp;"|"&amp;COUNTIF($AL$11:$AL1022,$AL1022))</f>
        <v/>
      </c>
    </row>
    <row r="1023" spans="23:53" ht="15" customHeight="1" x14ac:dyDescent="0.25">
      <c r="AL1023" s="17"/>
      <c r="AM1023" s="12"/>
      <c r="AN1023" s="18"/>
      <c r="AO1023" s="18"/>
      <c r="AP1023" s="10"/>
      <c r="AQ1023" s="10"/>
      <c r="AR1023" s="19"/>
      <c r="AS1023" s="20"/>
      <c r="AT1023" s="19"/>
      <c r="AV1023" s="21">
        <f>IF(AND($AL1023&lt;&gt;"",COUNTIF($AL$11:$AL1023,$AL1023)=1),1,0)</f>
        <v>0</v>
      </c>
      <c r="AW1023" s="21">
        <f t="shared" si="117"/>
        <v>0</v>
      </c>
      <c r="AX1023" s="21" t="str">
        <f t="shared" si="116"/>
        <v/>
      </c>
      <c r="AY1023" s="21" t="str">
        <f>IF(AND($AM1023&lt;&gt;"",$AS1023&lt;&gt;"✓"),SUMPRODUCT(($AM$11:$AM1023&lt;&gt;"")*($AS$11:$AS1023&lt;&gt;"✓")),"")</f>
        <v/>
      </c>
      <c r="AZ1023" s="21" t="str">
        <f>IF(AND($AM1023&lt;&gt;"",$AS1023="✓"),SUMPRODUCT(($AM$11:$AM1023&lt;&gt;"")*($AS$11:$AS1023="✓")),"")</f>
        <v/>
      </c>
      <c r="BA1023" s="21" t="str">
        <f>IF($AL1023="","",$AL1023&amp;"|"&amp;COUNTIF($AL$11:$AL1023,$AL1023))</f>
        <v/>
      </c>
    </row>
    <row r="1024" spans="23:53" ht="15" customHeight="1" x14ac:dyDescent="0.25">
      <c r="AL1024" s="31"/>
      <c r="AM1024" s="26"/>
      <c r="AN1024" s="32"/>
      <c r="AO1024" s="32"/>
      <c r="AP1024" s="24"/>
      <c r="AQ1024" s="24"/>
      <c r="AR1024" s="33"/>
      <c r="AS1024" s="34"/>
      <c r="AT1024" s="33"/>
      <c r="AV1024" s="21">
        <f>IF(AND($AL1024&lt;&gt;"",COUNTIF($AL$11:$AL1024,$AL1024)=1),1,0)</f>
        <v>0</v>
      </c>
      <c r="AW1024" s="21">
        <f t="shared" si="117"/>
        <v>0</v>
      </c>
      <c r="AX1024" s="21" t="str">
        <f t="shared" si="116"/>
        <v/>
      </c>
      <c r="AY1024" s="21" t="str">
        <f>IF(AND($AM1024&lt;&gt;"",$AS1024&lt;&gt;"✓"),SUMPRODUCT(($AM$11:$AM1024&lt;&gt;"")*($AS$11:$AS1024&lt;&gt;"✓")),"")</f>
        <v/>
      </c>
      <c r="AZ1024" s="21" t="str">
        <f>IF(AND($AM1024&lt;&gt;"",$AS1024="✓"),SUMPRODUCT(($AM$11:$AM1024&lt;&gt;"")*($AS$11:$AS1024="✓")),"")</f>
        <v/>
      </c>
      <c r="BA1024" s="21" t="str">
        <f>IF($AL1024="","",$AL1024&amp;"|"&amp;COUNTIF($AL$11:$AL1024,$AL1024))</f>
        <v/>
      </c>
    </row>
    <row r="1025" spans="38:53" ht="15" customHeight="1" x14ac:dyDescent="0.25">
      <c r="AL1025" s="17"/>
      <c r="AM1025" s="12"/>
      <c r="AN1025" s="18"/>
      <c r="AO1025" s="18"/>
      <c r="AP1025" s="10"/>
      <c r="AQ1025" s="10"/>
      <c r="AR1025" s="19"/>
      <c r="AS1025" s="20"/>
      <c r="AT1025" s="19"/>
      <c r="AV1025" s="21">
        <f>IF(AND($AL1025&lt;&gt;"",COUNTIF($AL$11:$AL1025,$AL1025)=1),1,0)</f>
        <v>0</v>
      </c>
      <c r="AW1025" s="21">
        <f t="shared" si="117"/>
        <v>0</v>
      </c>
      <c r="AX1025" s="21" t="str">
        <f t="shared" si="116"/>
        <v/>
      </c>
      <c r="AY1025" s="21" t="str">
        <f>IF(AND($AM1025&lt;&gt;"",$AS1025&lt;&gt;"✓"),SUMPRODUCT(($AM$11:$AM1025&lt;&gt;"")*($AS$11:$AS1025&lt;&gt;"✓")),"")</f>
        <v/>
      </c>
      <c r="AZ1025" s="21" t="str">
        <f>IF(AND($AM1025&lt;&gt;"",$AS1025="✓"),SUMPRODUCT(($AM$11:$AM1025&lt;&gt;"")*($AS$11:$AS1025="✓")),"")</f>
        <v/>
      </c>
      <c r="BA1025" s="21" t="str">
        <f>IF($AL1025="","",$AL1025&amp;"|"&amp;COUNTIF($AL$11:$AL1025,$AL1025))</f>
        <v/>
      </c>
    </row>
    <row r="1026" spans="38:53" ht="15" customHeight="1" x14ac:dyDescent="0.25">
      <c r="AL1026" s="31"/>
      <c r="AM1026" s="26"/>
      <c r="AN1026" s="32"/>
      <c r="AO1026" s="32"/>
      <c r="AP1026" s="24"/>
      <c r="AQ1026" s="24"/>
      <c r="AR1026" s="33"/>
      <c r="AS1026" s="34"/>
      <c r="AT1026" s="33"/>
      <c r="AV1026" s="21">
        <f>IF(AND($AL1026&lt;&gt;"",COUNTIF($AL$11:$AL1026,$AL1026)=1),1,0)</f>
        <v>0</v>
      </c>
      <c r="AW1026" s="21">
        <f t="shared" si="117"/>
        <v>0</v>
      </c>
      <c r="AX1026" s="21" t="str">
        <f t="shared" si="116"/>
        <v/>
      </c>
      <c r="AY1026" s="21" t="str">
        <f>IF(AND($AM1026&lt;&gt;"",$AS1026&lt;&gt;"✓"),SUMPRODUCT(($AM$11:$AM1026&lt;&gt;"")*($AS$11:$AS1026&lt;&gt;"✓")),"")</f>
        <v/>
      </c>
      <c r="AZ1026" s="21" t="str">
        <f>IF(AND($AM1026&lt;&gt;"",$AS1026="✓"),SUMPRODUCT(($AM$11:$AM1026&lt;&gt;"")*($AS$11:$AS1026="✓")),"")</f>
        <v/>
      </c>
      <c r="BA1026" s="21" t="str">
        <f>IF($AL1026="","",$AL1026&amp;"|"&amp;COUNTIF($AL$11:$AL1026,$AL1026))</f>
        <v/>
      </c>
    </row>
    <row r="1027" spans="38:53" ht="15" customHeight="1" x14ac:dyDescent="0.25">
      <c r="AL1027" s="17"/>
      <c r="AM1027" s="12"/>
      <c r="AN1027" s="18"/>
      <c r="AO1027" s="18"/>
      <c r="AP1027" s="10"/>
      <c r="AQ1027" s="10"/>
      <c r="AR1027" s="19"/>
      <c r="AS1027" s="20"/>
      <c r="AT1027" s="19"/>
      <c r="AV1027" s="21">
        <f>IF(AND($AL1027&lt;&gt;"",COUNTIF($AL$11:$AL1027,$AL1027)=1),1,0)</f>
        <v>0</v>
      </c>
      <c r="AW1027" s="21">
        <f t="shared" si="117"/>
        <v>0</v>
      </c>
      <c r="AX1027" s="21" t="str">
        <f t="shared" si="116"/>
        <v/>
      </c>
      <c r="AY1027" s="21" t="str">
        <f>IF(AND($AM1027&lt;&gt;"",$AS1027&lt;&gt;"✓"),SUMPRODUCT(($AM$11:$AM1027&lt;&gt;"")*($AS$11:$AS1027&lt;&gt;"✓")),"")</f>
        <v/>
      </c>
      <c r="AZ1027" s="21" t="str">
        <f>IF(AND($AM1027&lt;&gt;"",$AS1027="✓"),SUMPRODUCT(($AM$11:$AM1027&lt;&gt;"")*($AS$11:$AS1027="✓")),"")</f>
        <v/>
      </c>
      <c r="BA1027" s="21" t="str">
        <f>IF($AL1027="","",$AL1027&amp;"|"&amp;COUNTIF($AL$11:$AL1027,$AL1027))</f>
        <v/>
      </c>
    </row>
    <row r="1028" spans="38:53" ht="15" customHeight="1" x14ac:dyDescent="0.25">
      <c r="AL1028" s="31"/>
      <c r="AM1028" s="26"/>
      <c r="AN1028" s="32"/>
      <c r="AO1028" s="32"/>
      <c r="AP1028" s="24"/>
      <c r="AQ1028" s="24"/>
      <c r="AR1028" s="33"/>
      <c r="AS1028" s="34"/>
      <c r="AT1028" s="33"/>
      <c r="AV1028" s="21">
        <f>IF(AND($AL1028&lt;&gt;"",COUNTIF($AL$11:$AL1028,$AL1028)=1),1,0)</f>
        <v>0</v>
      </c>
      <c r="AW1028" s="21">
        <f t="shared" si="117"/>
        <v>0</v>
      </c>
      <c r="AX1028" s="21" t="str">
        <f t="shared" si="116"/>
        <v/>
      </c>
      <c r="AY1028" s="21" t="str">
        <f>IF(AND($AM1028&lt;&gt;"",$AS1028&lt;&gt;"✓"),SUMPRODUCT(($AM$11:$AM1028&lt;&gt;"")*($AS$11:$AS1028&lt;&gt;"✓")),"")</f>
        <v/>
      </c>
      <c r="AZ1028" s="21" t="str">
        <f>IF(AND($AM1028&lt;&gt;"",$AS1028="✓"),SUMPRODUCT(($AM$11:$AM1028&lt;&gt;"")*($AS$11:$AS1028="✓")),"")</f>
        <v/>
      </c>
      <c r="BA1028" s="21" t="str">
        <f>IF($AL1028="","",$AL1028&amp;"|"&amp;COUNTIF($AL$11:$AL1028,$AL1028))</f>
        <v/>
      </c>
    </row>
    <row r="1029" spans="38:53" ht="15" customHeight="1" x14ac:dyDescent="0.25">
      <c r="AL1029" s="17"/>
      <c r="AM1029" s="12"/>
      <c r="AN1029" s="18"/>
      <c r="AO1029" s="18"/>
      <c r="AP1029" s="10"/>
      <c r="AQ1029" s="10"/>
      <c r="AR1029" s="19"/>
      <c r="AS1029" s="20"/>
      <c r="AT1029" s="19"/>
      <c r="AV1029" s="21">
        <f>IF(AND($AL1029&lt;&gt;"",COUNTIF($AL$11:$AL1029,$AL1029)=1),1,0)</f>
        <v>0</v>
      </c>
      <c r="AW1029" s="21">
        <f t="shared" si="117"/>
        <v>0</v>
      </c>
      <c r="AX1029" s="21" t="str">
        <f t="shared" si="116"/>
        <v/>
      </c>
      <c r="AY1029" s="21" t="str">
        <f>IF(AND($AM1029&lt;&gt;"",$AS1029&lt;&gt;"✓"),SUMPRODUCT(($AM$11:$AM1029&lt;&gt;"")*($AS$11:$AS1029&lt;&gt;"✓")),"")</f>
        <v/>
      </c>
      <c r="AZ1029" s="21" t="str">
        <f>IF(AND($AM1029&lt;&gt;"",$AS1029="✓"),SUMPRODUCT(($AM$11:$AM1029&lt;&gt;"")*($AS$11:$AS1029="✓")),"")</f>
        <v/>
      </c>
      <c r="BA1029" s="21" t="str">
        <f>IF($AL1029="","",$AL1029&amp;"|"&amp;COUNTIF($AL$11:$AL1029,$AL1029))</f>
        <v/>
      </c>
    </row>
    <row r="1030" spans="38:53" ht="15" customHeight="1" x14ac:dyDescent="0.25">
      <c r="AL1030" s="31"/>
      <c r="AM1030" s="26"/>
      <c r="AN1030" s="32"/>
      <c r="AO1030" s="32"/>
      <c r="AP1030" s="24"/>
      <c r="AQ1030" s="24"/>
      <c r="AR1030" s="33"/>
      <c r="AS1030" s="34"/>
      <c r="AT1030" s="33"/>
      <c r="AV1030" s="21">
        <f>IF(AND($AL1030&lt;&gt;"",COUNTIF($AL$11:$AL1030,$AL1030)=1),1,0)</f>
        <v>0</v>
      </c>
      <c r="AW1030" s="21">
        <f t="shared" si="117"/>
        <v>0</v>
      </c>
      <c r="AX1030" s="21" t="str">
        <f t="shared" si="116"/>
        <v/>
      </c>
      <c r="AY1030" s="21" t="str">
        <f>IF(AND($AM1030&lt;&gt;"",$AS1030&lt;&gt;"✓"),SUMPRODUCT(($AM$11:$AM1030&lt;&gt;"")*($AS$11:$AS1030&lt;&gt;"✓")),"")</f>
        <v/>
      </c>
      <c r="AZ1030" s="21" t="str">
        <f>IF(AND($AM1030&lt;&gt;"",$AS1030="✓"),SUMPRODUCT(($AM$11:$AM1030&lt;&gt;"")*($AS$11:$AS1030="✓")),"")</f>
        <v/>
      </c>
      <c r="BA1030" s="21" t="str">
        <f>IF($AL1030="","",$AL1030&amp;"|"&amp;COUNTIF($AL$11:$AL1030,$AL1030))</f>
        <v/>
      </c>
    </row>
    <row r="1031" spans="38:53" ht="15" customHeight="1" x14ac:dyDescent="0.25">
      <c r="AL1031" s="17"/>
      <c r="AM1031" s="12"/>
      <c r="AN1031" s="18"/>
      <c r="AO1031" s="18"/>
      <c r="AP1031" s="10"/>
      <c r="AQ1031" s="10"/>
      <c r="AR1031" s="19"/>
      <c r="AS1031" s="20"/>
      <c r="AT1031" s="19"/>
      <c r="AV1031" s="21">
        <f>IF(AND($AL1031&lt;&gt;"",COUNTIF($AL$11:$AL1031,$AL1031)=1),1,0)</f>
        <v>0</v>
      </c>
      <c r="AW1031" s="21">
        <f t="shared" si="117"/>
        <v>0</v>
      </c>
      <c r="AX1031" s="21" t="str">
        <f t="shared" si="116"/>
        <v/>
      </c>
      <c r="AY1031" s="21" t="str">
        <f>IF(AND($AM1031&lt;&gt;"",$AS1031&lt;&gt;"✓"),SUMPRODUCT(($AM$11:$AM1031&lt;&gt;"")*($AS$11:$AS1031&lt;&gt;"✓")),"")</f>
        <v/>
      </c>
      <c r="AZ1031" s="21" t="str">
        <f>IF(AND($AM1031&lt;&gt;"",$AS1031="✓"),SUMPRODUCT(($AM$11:$AM1031&lt;&gt;"")*($AS$11:$AS1031="✓")),"")</f>
        <v/>
      </c>
      <c r="BA1031" s="21" t="str">
        <f>IF($AL1031="","",$AL1031&amp;"|"&amp;COUNTIF($AL$11:$AL1031,$AL1031))</f>
        <v/>
      </c>
    </row>
    <row r="1032" spans="38:53" ht="15" customHeight="1" x14ac:dyDescent="0.25">
      <c r="AL1032" s="31"/>
      <c r="AM1032" s="26"/>
      <c r="AN1032" s="32"/>
      <c r="AO1032" s="32"/>
      <c r="AP1032" s="24"/>
      <c r="AQ1032" s="24"/>
      <c r="AR1032" s="33"/>
      <c r="AS1032" s="34"/>
      <c r="AT1032" s="33"/>
      <c r="AV1032" s="21">
        <f>IF(AND($AL1032&lt;&gt;"",COUNTIF($AL$11:$AL1032,$AL1032)=1),1,0)</f>
        <v>0</v>
      </c>
      <c r="AW1032" s="21">
        <f t="shared" si="117"/>
        <v>0</v>
      </c>
      <c r="AX1032" s="21" t="str">
        <f t="shared" si="116"/>
        <v/>
      </c>
      <c r="AY1032" s="21" t="str">
        <f>IF(AND($AM1032&lt;&gt;"",$AS1032&lt;&gt;"✓"),SUMPRODUCT(($AM$11:$AM1032&lt;&gt;"")*($AS$11:$AS1032&lt;&gt;"✓")),"")</f>
        <v/>
      </c>
      <c r="AZ1032" s="21" t="str">
        <f>IF(AND($AM1032&lt;&gt;"",$AS1032="✓"),SUMPRODUCT(($AM$11:$AM1032&lt;&gt;"")*($AS$11:$AS1032="✓")),"")</f>
        <v/>
      </c>
      <c r="BA1032" s="21" t="str">
        <f>IF($AL1032="","",$AL1032&amp;"|"&amp;COUNTIF($AL$11:$AL1032,$AL1032))</f>
        <v/>
      </c>
    </row>
    <row r="1033" spans="38:53" ht="15" customHeight="1" x14ac:dyDescent="0.25">
      <c r="AL1033" s="17"/>
      <c r="AM1033" s="12"/>
      <c r="AN1033" s="18"/>
      <c r="AO1033" s="18"/>
      <c r="AP1033" s="10"/>
      <c r="AQ1033" s="10"/>
      <c r="AR1033" s="19"/>
      <c r="AS1033" s="20"/>
      <c r="AT1033" s="19"/>
      <c r="AV1033" s="21">
        <f>IF(AND($AL1033&lt;&gt;"",COUNTIF($AL$11:$AL1033,$AL1033)=1),1,0)</f>
        <v>0</v>
      </c>
      <c r="AW1033" s="21">
        <f t="shared" si="117"/>
        <v>0</v>
      </c>
      <c r="AX1033" s="21" t="str">
        <f t="shared" si="116"/>
        <v/>
      </c>
      <c r="AY1033" s="21" t="str">
        <f>IF(AND($AM1033&lt;&gt;"",$AS1033&lt;&gt;"✓"),SUMPRODUCT(($AM$11:$AM1033&lt;&gt;"")*($AS$11:$AS1033&lt;&gt;"✓")),"")</f>
        <v/>
      </c>
      <c r="AZ1033" s="21" t="str">
        <f>IF(AND($AM1033&lt;&gt;"",$AS1033="✓"),SUMPRODUCT(($AM$11:$AM1033&lt;&gt;"")*($AS$11:$AS1033="✓")),"")</f>
        <v/>
      </c>
      <c r="BA1033" s="21" t="str">
        <f>IF($AL1033="","",$AL1033&amp;"|"&amp;COUNTIF($AL$11:$AL1033,$AL1033))</f>
        <v/>
      </c>
    </row>
    <row r="1034" spans="38:53" ht="15" customHeight="1" x14ac:dyDescent="0.25">
      <c r="AL1034" s="31"/>
      <c r="AM1034" s="26"/>
      <c r="AN1034" s="32"/>
      <c r="AO1034" s="32"/>
      <c r="AP1034" s="24"/>
      <c r="AQ1034" s="24"/>
      <c r="AR1034" s="33"/>
      <c r="AS1034" s="34"/>
      <c r="AT1034" s="33"/>
      <c r="AV1034" s="21">
        <f>IF(AND($AL1034&lt;&gt;"",COUNTIF($AL$11:$AL1034,$AL1034)=1),1,0)</f>
        <v>0</v>
      </c>
      <c r="AW1034" s="21">
        <f t="shared" si="117"/>
        <v>0</v>
      </c>
      <c r="AX1034" s="21" t="str">
        <f t="shared" si="116"/>
        <v/>
      </c>
      <c r="AY1034" s="21" t="str">
        <f>IF(AND($AM1034&lt;&gt;"",$AS1034&lt;&gt;"✓"),SUMPRODUCT(($AM$11:$AM1034&lt;&gt;"")*($AS$11:$AS1034&lt;&gt;"✓")),"")</f>
        <v/>
      </c>
      <c r="AZ1034" s="21" t="str">
        <f>IF(AND($AM1034&lt;&gt;"",$AS1034="✓"),SUMPRODUCT(($AM$11:$AM1034&lt;&gt;"")*($AS$11:$AS1034="✓")),"")</f>
        <v/>
      </c>
      <c r="BA1034" s="21" t="str">
        <f>IF($AL1034="","",$AL1034&amp;"|"&amp;COUNTIF($AL$11:$AL1034,$AL1034))</f>
        <v/>
      </c>
    </row>
    <row r="1035" spans="38:53" ht="15" customHeight="1" x14ac:dyDescent="0.25">
      <c r="AL1035" s="17"/>
      <c r="AM1035" s="12"/>
      <c r="AN1035" s="18"/>
      <c r="AO1035" s="18"/>
      <c r="AP1035" s="10"/>
      <c r="AQ1035" s="10"/>
      <c r="AR1035" s="19"/>
      <c r="AS1035" s="20"/>
      <c r="AT1035" s="19"/>
      <c r="AV1035" s="21">
        <f>IF(AND($AL1035&lt;&gt;"",COUNTIF($AL$11:$AL1035,$AL1035)=1),1,0)</f>
        <v>0</v>
      </c>
      <c r="AW1035" s="21">
        <f t="shared" si="117"/>
        <v>0</v>
      </c>
      <c r="AX1035" s="21" t="str">
        <f t="shared" ref="AX1035:AX1098" si="118">IF(AV1035=1,AW1035,"")</f>
        <v/>
      </c>
      <c r="AY1035" s="21" t="str">
        <f>IF(AND($AM1035&lt;&gt;"",$AS1035&lt;&gt;"✓"),SUMPRODUCT(($AM$11:$AM1035&lt;&gt;"")*($AS$11:$AS1035&lt;&gt;"✓")),"")</f>
        <v/>
      </c>
      <c r="AZ1035" s="21" t="str">
        <f>IF(AND($AM1035&lt;&gt;"",$AS1035="✓"),SUMPRODUCT(($AM$11:$AM1035&lt;&gt;"")*($AS$11:$AS1035="✓")),"")</f>
        <v/>
      </c>
      <c r="BA1035" s="21" t="str">
        <f>IF($AL1035="","",$AL1035&amp;"|"&amp;COUNTIF($AL$11:$AL1035,$AL1035))</f>
        <v/>
      </c>
    </row>
    <row r="1036" spans="38:53" ht="15" customHeight="1" x14ac:dyDescent="0.25">
      <c r="AL1036" s="31"/>
      <c r="AM1036" s="26"/>
      <c r="AN1036" s="32"/>
      <c r="AO1036" s="32"/>
      <c r="AP1036" s="24"/>
      <c r="AQ1036" s="24"/>
      <c r="AR1036" s="33"/>
      <c r="AS1036" s="34"/>
      <c r="AT1036" s="33"/>
      <c r="AV1036" s="21">
        <f>IF(AND($AL1036&lt;&gt;"",COUNTIF($AL$11:$AL1036,$AL1036)=1),1,0)</f>
        <v>0</v>
      </c>
      <c r="AW1036" s="21">
        <f t="shared" ref="AW1036:AW1099" si="119">AW1035+AV1036</f>
        <v>0</v>
      </c>
      <c r="AX1036" s="21" t="str">
        <f t="shared" si="118"/>
        <v/>
      </c>
      <c r="AY1036" s="21" t="str">
        <f>IF(AND($AM1036&lt;&gt;"",$AS1036&lt;&gt;"✓"),SUMPRODUCT(($AM$11:$AM1036&lt;&gt;"")*($AS$11:$AS1036&lt;&gt;"✓")),"")</f>
        <v/>
      </c>
      <c r="AZ1036" s="21" t="str">
        <f>IF(AND($AM1036&lt;&gt;"",$AS1036="✓"),SUMPRODUCT(($AM$11:$AM1036&lt;&gt;"")*($AS$11:$AS1036="✓")),"")</f>
        <v/>
      </c>
      <c r="BA1036" s="21" t="str">
        <f>IF($AL1036="","",$AL1036&amp;"|"&amp;COUNTIF($AL$11:$AL1036,$AL1036))</f>
        <v/>
      </c>
    </row>
    <row r="1037" spans="38:53" ht="15" customHeight="1" x14ac:dyDescent="0.25">
      <c r="AL1037" s="17"/>
      <c r="AM1037" s="12"/>
      <c r="AN1037" s="18"/>
      <c r="AO1037" s="18"/>
      <c r="AP1037" s="10"/>
      <c r="AQ1037" s="10"/>
      <c r="AR1037" s="19"/>
      <c r="AS1037" s="20"/>
      <c r="AT1037" s="19"/>
      <c r="AV1037" s="21">
        <f>IF(AND($AL1037&lt;&gt;"",COUNTIF($AL$11:$AL1037,$AL1037)=1),1,0)</f>
        <v>0</v>
      </c>
      <c r="AW1037" s="21">
        <f t="shared" si="119"/>
        <v>0</v>
      </c>
      <c r="AX1037" s="21" t="str">
        <f t="shared" si="118"/>
        <v/>
      </c>
      <c r="AY1037" s="21" t="str">
        <f>IF(AND($AM1037&lt;&gt;"",$AS1037&lt;&gt;"✓"),SUMPRODUCT(($AM$11:$AM1037&lt;&gt;"")*($AS$11:$AS1037&lt;&gt;"✓")),"")</f>
        <v/>
      </c>
      <c r="AZ1037" s="21" t="str">
        <f>IF(AND($AM1037&lt;&gt;"",$AS1037="✓"),SUMPRODUCT(($AM$11:$AM1037&lt;&gt;"")*($AS$11:$AS1037="✓")),"")</f>
        <v/>
      </c>
      <c r="BA1037" s="21" t="str">
        <f>IF($AL1037="","",$AL1037&amp;"|"&amp;COUNTIF($AL$11:$AL1037,$AL1037))</f>
        <v/>
      </c>
    </row>
    <row r="1038" spans="38:53" ht="15" customHeight="1" x14ac:dyDescent="0.25">
      <c r="AL1038" s="31"/>
      <c r="AM1038" s="26"/>
      <c r="AN1038" s="32"/>
      <c r="AO1038" s="32"/>
      <c r="AP1038" s="24"/>
      <c r="AQ1038" s="24"/>
      <c r="AR1038" s="33"/>
      <c r="AS1038" s="34"/>
      <c r="AT1038" s="33"/>
      <c r="AV1038" s="21">
        <f>IF(AND($AL1038&lt;&gt;"",COUNTIF($AL$11:$AL1038,$AL1038)=1),1,0)</f>
        <v>0</v>
      </c>
      <c r="AW1038" s="21">
        <f t="shared" si="119"/>
        <v>0</v>
      </c>
      <c r="AX1038" s="21" t="str">
        <f t="shared" si="118"/>
        <v/>
      </c>
      <c r="AY1038" s="21" t="str">
        <f>IF(AND($AM1038&lt;&gt;"",$AS1038&lt;&gt;"✓"),SUMPRODUCT(($AM$11:$AM1038&lt;&gt;"")*($AS$11:$AS1038&lt;&gt;"✓")),"")</f>
        <v/>
      </c>
      <c r="AZ1038" s="21" t="str">
        <f>IF(AND($AM1038&lt;&gt;"",$AS1038="✓"),SUMPRODUCT(($AM$11:$AM1038&lt;&gt;"")*($AS$11:$AS1038="✓")),"")</f>
        <v/>
      </c>
      <c r="BA1038" s="21" t="str">
        <f>IF($AL1038="","",$AL1038&amp;"|"&amp;COUNTIF($AL$11:$AL1038,$AL1038))</f>
        <v/>
      </c>
    </row>
    <row r="1039" spans="38:53" ht="15" customHeight="1" x14ac:dyDescent="0.25">
      <c r="AL1039" s="17"/>
      <c r="AM1039" s="12"/>
      <c r="AN1039" s="18"/>
      <c r="AO1039" s="18"/>
      <c r="AP1039" s="10"/>
      <c r="AQ1039" s="10"/>
      <c r="AR1039" s="19"/>
      <c r="AS1039" s="20"/>
      <c r="AT1039" s="19"/>
      <c r="AV1039" s="21">
        <f>IF(AND($AL1039&lt;&gt;"",COUNTIF($AL$11:$AL1039,$AL1039)=1),1,0)</f>
        <v>0</v>
      </c>
      <c r="AW1039" s="21">
        <f t="shared" si="119"/>
        <v>0</v>
      </c>
      <c r="AX1039" s="21" t="str">
        <f t="shared" si="118"/>
        <v/>
      </c>
      <c r="AY1039" s="21" t="str">
        <f>IF(AND($AM1039&lt;&gt;"",$AS1039&lt;&gt;"✓"),SUMPRODUCT(($AM$11:$AM1039&lt;&gt;"")*($AS$11:$AS1039&lt;&gt;"✓")),"")</f>
        <v/>
      </c>
      <c r="AZ1039" s="21" t="str">
        <f>IF(AND($AM1039&lt;&gt;"",$AS1039="✓"),SUMPRODUCT(($AM$11:$AM1039&lt;&gt;"")*($AS$11:$AS1039="✓")),"")</f>
        <v/>
      </c>
      <c r="BA1039" s="21" t="str">
        <f>IF($AL1039="","",$AL1039&amp;"|"&amp;COUNTIF($AL$11:$AL1039,$AL1039))</f>
        <v/>
      </c>
    </row>
    <row r="1040" spans="38:53" ht="15" customHeight="1" x14ac:dyDescent="0.25">
      <c r="AL1040" s="31"/>
      <c r="AM1040" s="26"/>
      <c r="AN1040" s="32"/>
      <c r="AO1040" s="32"/>
      <c r="AP1040" s="24"/>
      <c r="AQ1040" s="24"/>
      <c r="AR1040" s="33"/>
      <c r="AS1040" s="34"/>
      <c r="AT1040" s="33"/>
      <c r="AV1040" s="21">
        <f>IF(AND($AL1040&lt;&gt;"",COUNTIF($AL$11:$AL1040,$AL1040)=1),1,0)</f>
        <v>0</v>
      </c>
      <c r="AW1040" s="21">
        <f t="shared" si="119"/>
        <v>0</v>
      </c>
      <c r="AX1040" s="21" t="str">
        <f t="shared" si="118"/>
        <v/>
      </c>
      <c r="AY1040" s="21" t="str">
        <f>IF(AND($AM1040&lt;&gt;"",$AS1040&lt;&gt;"✓"),SUMPRODUCT(($AM$11:$AM1040&lt;&gt;"")*($AS$11:$AS1040&lt;&gt;"✓")),"")</f>
        <v/>
      </c>
      <c r="AZ1040" s="21" t="str">
        <f>IF(AND($AM1040&lt;&gt;"",$AS1040="✓"),SUMPRODUCT(($AM$11:$AM1040&lt;&gt;"")*($AS$11:$AS1040="✓")),"")</f>
        <v/>
      </c>
      <c r="BA1040" s="21" t="str">
        <f>IF($AL1040="","",$AL1040&amp;"|"&amp;COUNTIF($AL$11:$AL1040,$AL1040))</f>
        <v/>
      </c>
    </row>
    <row r="1041" spans="38:53" ht="15" customHeight="1" x14ac:dyDescent="0.25">
      <c r="AL1041" s="17"/>
      <c r="AM1041" s="12"/>
      <c r="AN1041" s="18"/>
      <c r="AO1041" s="18"/>
      <c r="AP1041" s="10"/>
      <c r="AQ1041" s="10"/>
      <c r="AR1041" s="19"/>
      <c r="AS1041" s="20"/>
      <c r="AT1041" s="19"/>
      <c r="AV1041" s="21">
        <f>IF(AND($AL1041&lt;&gt;"",COUNTIF($AL$11:$AL1041,$AL1041)=1),1,0)</f>
        <v>0</v>
      </c>
      <c r="AW1041" s="21">
        <f t="shared" si="119"/>
        <v>0</v>
      </c>
      <c r="AX1041" s="21" t="str">
        <f t="shared" si="118"/>
        <v/>
      </c>
      <c r="AY1041" s="21" t="str">
        <f>IF(AND($AM1041&lt;&gt;"",$AS1041&lt;&gt;"✓"),SUMPRODUCT(($AM$11:$AM1041&lt;&gt;"")*($AS$11:$AS1041&lt;&gt;"✓")),"")</f>
        <v/>
      </c>
      <c r="AZ1041" s="21" t="str">
        <f>IF(AND($AM1041&lt;&gt;"",$AS1041="✓"),SUMPRODUCT(($AM$11:$AM1041&lt;&gt;"")*($AS$11:$AS1041="✓")),"")</f>
        <v/>
      </c>
      <c r="BA1041" s="21" t="str">
        <f>IF($AL1041="","",$AL1041&amp;"|"&amp;COUNTIF($AL$11:$AL1041,$AL1041))</f>
        <v/>
      </c>
    </row>
    <row r="1042" spans="38:53" ht="15" customHeight="1" x14ac:dyDescent="0.25">
      <c r="AL1042" s="31"/>
      <c r="AM1042" s="26"/>
      <c r="AN1042" s="32"/>
      <c r="AO1042" s="32"/>
      <c r="AP1042" s="24"/>
      <c r="AQ1042" s="24"/>
      <c r="AR1042" s="33"/>
      <c r="AS1042" s="34"/>
      <c r="AT1042" s="33"/>
      <c r="AV1042" s="21">
        <f>IF(AND($AL1042&lt;&gt;"",COUNTIF($AL$11:$AL1042,$AL1042)=1),1,0)</f>
        <v>0</v>
      </c>
      <c r="AW1042" s="21">
        <f t="shared" si="119"/>
        <v>0</v>
      </c>
      <c r="AX1042" s="21" t="str">
        <f t="shared" si="118"/>
        <v/>
      </c>
      <c r="AY1042" s="21" t="str">
        <f>IF(AND($AM1042&lt;&gt;"",$AS1042&lt;&gt;"✓"),SUMPRODUCT(($AM$11:$AM1042&lt;&gt;"")*($AS$11:$AS1042&lt;&gt;"✓")),"")</f>
        <v/>
      </c>
      <c r="AZ1042" s="21" t="str">
        <f>IF(AND($AM1042&lt;&gt;"",$AS1042="✓"),SUMPRODUCT(($AM$11:$AM1042&lt;&gt;"")*($AS$11:$AS1042="✓")),"")</f>
        <v/>
      </c>
      <c r="BA1042" s="21" t="str">
        <f>IF($AL1042="","",$AL1042&amp;"|"&amp;COUNTIF($AL$11:$AL1042,$AL1042))</f>
        <v/>
      </c>
    </row>
    <row r="1043" spans="38:53" ht="15" customHeight="1" x14ac:dyDescent="0.25">
      <c r="AL1043" s="17"/>
      <c r="AM1043" s="12"/>
      <c r="AN1043" s="18"/>
      <c r="AO1043" s="18"/>
      <c r="AP1043" s="10"/>
      <c r="AQ1043" s="10"/>
      <c r="AR1043" s="19"/>
      <c r="AS1043" s="20"/>
      <c r="AT1043" s="19"/>
      <c r="AV1043" s="21">
        <f>IF(AND($AL1043&lt;&gt;"",COUNTIF($AL$11:$AL1043,$AL1043)=1),1,0)</f>
        <v>0</v>
      </c>
      <c r="AW1043" s="21">
        <f t="shared" si="119"/>
        <v>0</v>
      </c>
      <c r="AX1043" s="21" t="str">
        <f t="shared" si="118"/>
        <v/>
      </c>
      <c r="AY1043" s="21" t="str">
        <f>IF(AND($AM1043&lt;&gt;"",$AS1043&lt;&gt;"✓"),SUMPRODUCT(($AM$11:$AM1043&lt;&gt;"")*($AS$11:$AS1043&lt;&gt;"✓")),"")</f>
        <v/>
      </c>
      <c r="AZ1043" s="21" t="str">
        <f>IF(AND($AM1043&lt;&gt;"",$AS1043="✓"),SUMPRODUCT(($AM$11:$AM1043&lt;&gt;"")*($AS$11:$AS1043="✓")),"")</f>
        <v/>
      </c>
      <c r="BA1043" s="21" t="str">
        <f>IF($AL1043="","",$AL1043&amp;"|"&amp;COUNTIF($AL$11:$AL1043,$AL1043))</f>
        <v/>
      </c>
    </row>
    <row r="1044" spans="38:53" ht="15" customHeight="1" x14ac:dyDescent="0.25">
      <c r="AL1044" s="31"/>
      <c r="AM1044" s="26"/>
      <c r="AN1044" s="32"/>
      <c r="AO1044" s="32"/>
      <c r="AP1044" s="24"/>
      <c r="AQ1044" s="24"/>
      <c r="AR1044" s="33"/>
      <c r="AS1044" s="34"/>
      <c r="AT1044" s="33"/>
      <c r="AV1044" s="21">
        <f>IF(AND($AL1044&lt;&gt;"",COUNTIF($AL$11:$AL1044,$AL1044)=1),1,0)</f>
        <v>0</v>
      </c>
      <c r="AW1044" s="21">
        <f t="shared" si="119"/>
        <v>0</v>
      </c>
      <c r="AX1044" s="21" t="str">
        <f t="shared" si="118"/>
        <v/>
      </c>
      <c r="AY1044" s="21" t="str">
        <f>IF(AND($AM1044&lt;&gt;"",$AS1044&lt;&gt;"✓"),SUMPRODUCT(($AM$11:$AM1044&lt;&gt;"")*($AS$11:$AS1044&lt;&gt;"✓")),"")</f>
        <v/>
      </c>
      <c r="AZ1044" s="21" t="str">
        <f>IF(AND($AM1044&lt;&gt;"",$AS1044="✓"),SUMPRODUCT(($AM$11:$AM1044&lt;&gt;"")*($AS$11:$AS1044="✓")),"")</f>
        <v/>
      </c>
      <c r="BA1044" s="21" t="str">
        <f>IF($AL1044="","",$AL1044&amp;"|"&amp;COUNTIF($AL$11:$AL1044,$AL1044))</f>
        <v/>
      </c>
    </row>
    <row r="1045" spans="38:53" ht="15" customHeight="1" x14ac:dyDescent="0.25">
      <c r="AL1045" s="17"/>
      <c r="AM1045" s="12"/>
      <c r="AN1045" s="18"/>
      <c r="AO1045" s="18"/>
      <c r="AP1045" s="10"/>
      <c r="AQ1045" s="10"/>
      <c r="AR1045" s="19"/>
      <c r="AS1045" s="20"/>
      <c r="AT1045" s="19"/>
      <c r="AV1045" s="21">
        <f>IF(AND($AL1045&lt;&gt;"",COUNTIF($AL$11:$AL1045,$AL1045)=1),1,0)</f>
        <v>0</v>
      </c>
      <c r="AW1045" s="21">
        <f t="shared" si="119"/>
        <v>0</v>
      </c>
      <c r="AX1045" s="21" t="str">
        <f t="shared" si="118"/>
        <v/>
      </c>
      <c r="AY1045" s="21" t="str">
        <f>IF(AND($AM1045&lt;&gt;"",$AS1045&lt;&gt;"✓"),SUMPRODUCT(($AM$11:$AM1045&lt;&gt;"")*($AS$11:$AS1045&lt;&gt;"✓")),"")</f>
        <v/>
      </c>
      <c r="AZ1045" s="21" t="str">
        <f>IF(AND($AM1045&lt;&gt;"",$AS1045="✓"),SUMPRODUCT(($AM$11:$AM1045&lt;&gt;"")*($AS$11:$AS1045="✓")),"")</f>
        <v/>
      </c>
      <c r="BA1045" s="21" t="str">
        <f>IF($AL1045="","",$AL1045&amp;"|"&amp;COUNTIF($AL$11:$AL1045,$AL1045))</f>
        <v/>
      </c>
    </row>
    <row r="1046" spans="38:53" ht="15" customHeight="1" x14ac:dyDescent="0.25">
      <c r="AL1046" s="31"/>
      <c r="AM1046" s="26"/>
      <c r="AN1046" s="32"/>
      <c r="AO1046" s="32"/>
      <c r="AP1046" s="24"/>
      <c r="AQ1046" s="24"/>
      <c r="AR1046" s="33"/>
      <c r="AS1046" s="34"/>
      <c r="AT1046" s="33"/>
      <c r="AV1046" s="21">
        <f>IF(AND($AL1046&lt;&gt;"",COUNTIF($AL$11:$AL1046,$AL1046)=1),1,0)</f>
        <v>0</v>
      </c>
      <c r="AW1046" s="21">
        <f t="shared" si="119"/>
        <v>0</v>
      </c>
      <c r="AX1046" s="21" t="str">
        <f t="shared" si="118"/>
        <v/>
      </c>
      <c r="AY1046" s="21" t="str">
        <f>IF(AND($AM1046&lt;&gt;"",$AS1046&lt;&gt;"✓"),SUMPRODUCT(($AM$11:$AM1046&lt;&gt;"")*($AS$11:$AS1046&lt;&gt;"✓")),"")</f>
        <v/>
      </c>
      <c r="AZ1046" s="21" t="str">
        <f>IF(AND($AM1046&lt;&gt;"",$AS1046="✓"),SUMPRODUCT(($AM$11:$AM1046&lt;&gt;"")*($AS$11:$AS1046="✓")),"")</f>
        <v/>
      </c>
      <c r="BA1046" s="21" t="str">
        <f>IF($AL1046="","",$AL1046&amp;"|"&amp;COUNTIF($AL$11:$AL1046,$AL1046))</f>
        <v/>
      </c>
    </row>
    <row r="1047" spans="38:53" ht="15" customHeight="1" x14ac:dyDescent="0.25">
      <c r="AL1047" s="17"/>
      <c r="AM1047" s="12"/>
      <c r="AN1047" s="18"/>
      <c r="AO1047" s="18"/>
      <c r="AP1047" s="10"/>
      <c r="AQ1047" s="10"/>
      <c r="AR1047" s="19"/>
      <c r="AS1047" s="20"/>
      <c r="AT1047" s="19"/>
      <c r="AV1047" s="21">
        <f>IF(AND($AL1047&lt;&gt;"",COUNTIF($AL$11:$AL1047,$AL1047)=1),1,0)</f>
        <v>0</v>
      </c>
      <c r="AW1047" s="21">
        <f t="shared" si="119"/>
        <v>0</v>
      </c>
      <c r="AX1047" s="21" t="str">
        <f t="shared" si="118"/>
        <v/>
      </c>
      <c r="AY1047" s="21" t="str">
        <f>IF(AND($AM1047&lt;&gt;"",$AS1047&lt;&gt;"✓"),SUMPRODUCT(($AM$11:$AM1047&lt;&gt;"")*($AS$11:$AS1047&lt;&gt;"✓")),"")</f>
        <v/>
      </c>
      <c r="AZ1047" s="21" t="str">
        <f>IF(AND($AM1047&lt;&gt;"",$AS1047="✓"),SUMPRODUCT(($AM$11:$AM1047&lt;&gt;"")*($AS$11:$AS1047="✓")),"")</f>
        <v/>
      </c>
      <c r="BA1047" s="21" t="str">
        <f>IF($AL1047="","",$AL1047&amp;"|"&amp;COUNTIF($AL$11:$AL1047,$AL1047))</f>
        <v/>
      </c>
    </row>
    <row r="1048" spans="38:53" ht="15" customHeight="1" x14ac:dyDescent="0.25">
      <c r="AL1048" s="31"/>
      <c r="AM1048" s="26"/>
      <c r="AN1048" s="32"/>
      <c r="AO1048" s="32"/>
      <c r="AP1048" s="24"/>
      <c r="AQ1048" s="24"/>
      <c r="AR1048" s="33"/>
      <c r="AS1048" s="34"/>
      <c r="AT1048" s="33"/>
      <c r="AV1048" s="21">
        <f>IF(AND($AL1048&lt;&gt;"",COUNTIF($AL$11:$AL1048,$AL1048)=1),1,0)</f>
        <v>0</v>
      </c>
      <c r="AW1048" s="21">
        <f t="shared" si="119"/>
        <v>0</v>
      </c>
      <c r="AX1048" s="21" t="str">
        <f t="shared" si="118"/>
        <v/>
      </c>
      <c r="AY1048" s="21" t="str">
        <f>IF(AND($AM1048&lt;&gt;"",$AS1048&lt;&gt;"✓"),SUMPRODUCT(($AM$11:$AM1048&lt;&gt;"")*($AS$11:$AS1048&lt;&gt;"✓")),"")</f>
        <v/>
      </c>
      <c r="AZ1048" s="21" t="str">
        <f>IF(AND($AM1048&lt;&gt;"",$AS1048="✓"),SUMPRODUCT(($AM$11:$AM1048&lt;&gt;"")*($AS$11:$AS1048="✓")),"")</f>
        <v/>
      </c>
      <c r="BA1048" s="21" t="str">
        <f>IF($AL1048="","",$AL1048&amp;"|"&amp;COUNTIF($AL$11:$AL1048,$AL1048))</f>
        <v/>
      </c>
    </row>
    <row r="1049" spans="38:53" ht="15" customHeight="1" x14ac:dyDescent="0.25">
      <c r="AL1049" s="17"/>
      <c r="AM1049" s="12"/>
      <c r="AN1049" s="18"/>
      <c r="AO1049" s="18"/>
      <c r="AP1049" s="10"/>
      <c r="AQ1049" s="10"/>
      <c r="AR1049" s="19"/>
      <c r="AS1049" s="20"/>
      <c r="AT1049" s="19"/>
      <c r="AV1049" s="21">
        <f>IF(AND($AL1049&lt;&gt;"",COUNTIF($AL$11:$AL1049,$AL1049)=1),1,0)</f>
        <v>0</v>
      </c>
      <c r="AW1049" s="21">
        <f t="shared" si="119"/>
        <v>0</v>
      </c>
      <c r="AX1049" s="21" t="str">
        <f t="shared" si="118"/>
        <v/>
      </c>
      <c r="AY1049" s="21" t="str">
        <f>IF(AND($AM1049&lt;&gt;"",$AS1049&lt;&gt;"✓"),SUMPRODUCT(($AM$11:$AM1049&lt;&gt;"")*($AS$11:$AS1049&lt;&gt;"✓")),"")</f>
        <v/>
      </c>
      <c r="AZ1049" s="21" t="str">
        <f>IF(AND($AM1049&lt;&gt;"",$AS1049="✓"),SUMPRODUCT(($AM$11:$AM1049&lt;&gt;"")*($AS$11:$AS1049="✓")),"")</f>
        <v/>
      </c>
      <c r="BA1049" s="21" t="str">
        <f>IF($AL1049="","",$AL1049&amp;"|"&amp;COUNTIF($AL$11:$AL1049,$AL1049))</f>
        <v/>
      </c>
    </row>
    <row r="1050" spans="38:53" ht="15" customHeight="1" x14ac:dyDescent="0.25">
      <c r="AL1050" s="31"/>
      <c r="AM1050" s="26"/>
      <c r="AN1050" s="32"/>
      <c r="AO1050" s="32"/>
      <c r="AP1050" s="24"/>
      <c r="AQ1050" s="24"/>
      <c r="AR1050" s="33"/>
      <c r="AS1050" s="34"/>
      <c r="AT1050" s="33"/>
      <c r="AV1050" s="21">
        <f>IF(AND($AL1050&lt;&gt;"",COUNTIF($AL$11:$AL1050,$AL1050)=1),1,0)</f>
        <v>0</v>
      </c>
      <c r="AW1050" s="21">
        <f t="shared" si="119"/>
        <v>0</v>
      </c>
      <c r="AX1050" s="21" t="str">
        <f t="shared" si="118"/>
        <v/>
      </c>
      <c r="AY1050" s="21" t="str">
        <f>IF(AND($AM1050&lt;&gt;"",$AS1050&lt;&gt;"✓"),SUMPRODUCT(($AM$11:$AM1050&lt;&gt;"")*($AS$11:$AS1050&lt;&gt;"✓")),"")</f>
        <v/>
      </c>
      <c r="AZ1050" s="21" t="str">
        <f>IF(AND($AM1050&lt;&gt;"",$AS1050="✓"),SUMPRODUCT(($AM$11:$AM1050&lt;&gt;"")*($AS$11:$AS1050="✓")),"")</f>
        <v/>
      </c>
      <c r="BA1050" s="21" t="str">
        <f>IF($AL1050="","",$AL1050&amp;"|"&amp;COUNTIF($AL$11:$AL1050,$AL1050))</f>
        <v/>
      </c>
    </row>
    <row r="1051" spans="38:53" ht="15" customHeight="1" x14ac:dyDescent="0.25">
      <c r="AL1051" s="17"/>
      <c r="AM1051" s="12"/>
      <c r="AN1051" s="18"/>
      <c r="AO1051" s="18"/>
      <c r="AP1051" s="10"/>
      <c r="AQ1051" s="10"/>
      <c r="AR1051" s="19"/>
      <c r="AS1051" s="20"/>
      <c r="AT1051" s="19"/>
      <c r="AV1051" s="21">
        <f>IF(AND($AL1051&lt;&gt;"",COUNTIF($AL$11:$AL1051,$AL1051)=1),1,0)</f>
        <v>0</v>
      </c>
      <c r="AW1051" s="21">
        <f t="shared" si="119"/>
        <v>0</v>
      </c>
      <c r="AX1051" s="21" t="str">
        <f t="shared" si="118"/>
        <v/>
      </c>
      <c r="AY1051" s="21" t="str">
        <f>IF(AND($AM1051&lt;&gt;"",$AS1051&lt;&gt;"✓"),SUMPRODUCT(($AM$11:$AM1051&lt;&gt;"")*($AS$11:$AS1051&lt;&gt;"✓")),"")</f>
        <v/>
      </c>
      <c r="AZ1051" s="21" t="str">
        <f>IF(AND($AM1051&lt;&gt;"",$AS1051="✓"),SUMPRODUCT(($AM$11:$AM1051&lt;&gt;"")*($AS$11:$AS1051="✓")),"")</f>
        <v/>
      </c>
      <c r="BA1051" s="21" t="str">
        <f>IF($AL1051="","",$AL1051&amp;"|"&amp;COUNTIF($AL$11:$AL1051,$AL1051))</f>
        <v/>
      </c>
    </row>
    <row r="1052" spans="38:53" ht="15" customHeight="1" x14ac:dyDescent="0.25">
      <c r="AL1052" s="31"/>
      <c r="AM1052" s="26"/>
      <c r="AN1052" s="32"/>
      <c r="AO1052" s="32"/>
      <c r="AP1052" s="24"/>
      <c r="AQ1052" s="24"/>
      <c r="AR1052" s="33"/>
      <c r="AS1052" s="34"/>
      <c r="AT1052" s="33"/>
      <c r="AV1052" s="21">
        <f>IF(AND($AL1052&lt;&gt;"",COUNTIF($AL$11:$AL1052,$AL1052)=1),1,0)</f>
        <v>0</v>
      </c>
      <c r="AW1052" s="21">
        <f t="shared" si="119"/>
        <v>0</v>
      </c>
      <c r="AX1052" s="21" t="str">
        <f t="shared" si="118"/>
        <v/>
      </c>
      <c r="AY1052" s="21" t="str">
        <f>IF(AND($AM1052&lt;&gt;"",$AS1052&lt;&gt;"✓"),SUMPRODUCT(($AM$11:$AM1052&lt;&gt;"")*($AS$11:$AS1052&lt;&gt;"✓")),"")</f>
        <v/>
      </c>
      <c r="AZ1052" s="21" t="str">
        <f>IF(AND($AM1052&lt;&gt;"",$AS1052="✓"),SUMPRODUCT(($AM$11:$AM1052&lt;&gt;"")*($AS$11:$AS1052="✓")),"")</f>
        <v/>
      </c>
      <c r="BA1052" s="21" t="str">
        <f>IF($AL1052="","",$AL1052&amp;"|"&amp;COUNTIF($AL$11:$AL1052,$AL1052))</f>
        <v/>
      </c>
    </row>
    <row r="1053" spans="38:53" ht="15" customHeight="1" x14ac:dyDescent="0.25">
      <c r="AL1053" s="17"/>
      <c r="AM1053" s="12"/>
      <c r="AN1053" s="18"/>
      <c r="AO1053" s="18"/>
      <c r="AP1053" s="10"/>
      <c r="AQ1053" s="10"/>
      <c r="AR1053" s="19"/>
      <c r="AS1053" s="20"/>
      <c r="AT1053" s="19"/>
      <c r="AV1053" s="21">
        <f>IF(AND($AL1053&lt;&gt;"",COUNTIF($AL$11:$AL1053,$AL1053)=1),1,0)</f>
        <v>0</v>
      </c>
      <c r="AW1053" s="21">
        <f t="shared" si="119"/>
        <v>0</v>
      </c>
      <c r="AX1053" s="21" t="str">
        <f t="shared" si="118"/>
        <v/>
      </c>
      <c r="AY1053" s="21" t="str">
        <f>IF(AND($AM1053&lt;&gt;"",$AS1053&lt;&gt;"✓"),SUMPRODUCT(($AM$11:$AM1053&lt;&gt;"")*($AS$11:$AS1053&lt;&gt;"✓")),"")</f>
        <v/>
      </c>
      <c r="AZ1053" s="21" t="str">
        <f>IF(AND($AM1053&lt;&gt;"",$AS1053="✓"),SUMPRODUCT(($AM$11:$AM1053&lt;&gt;"")*($AS$11:$AS1053="✓")),"")</f>
        <v/>
      </c>
      <c r="BA1053" s="21" t="str">
        <f>IF($AL1053="","",$AL1053&amp;"|"&amp;COUNTIF($AL$11:$AL1053,$AL1053))</f>
        <v/>
      </c>
    </row>
    <row r="1054" spans="38:53" ht="15" customHeight="1" x14ac:dyDescent="0.25">
      <c r="AL1054" s="31"/>
      <c r="AM1054" s="26"/>
      <c r="AN1054" s="32"/>
      <c r="AO1054" s="32"/>
      <c r="AP1054" s="24"/>
      <c r="AQ1054" s="24"/>
      <c r="AR1054" s="33"/>
      <c r="AS1054" s="34"/>
      <c r="AT1054" s="33"/>
      <c r="AV1054" s="21">
        <f>IF(AND($AL1054&lt;&gt;"",COUNTIF($AL$11:$AL1054,$AL1054)=1),1,0)</f>
        <v>0</v>
      </c>
      <c r="AW1054" s="21">
        <f t="shared" si="119"/>
        <v>0</v>
      </c>
      <c r="AX1054" s="21" t="str">
        <f t="shared" si="118"/>
        <v/>
      </c>
      <c r="AY1054" s="21" t="str">
        <f>IF(AND($AM1054&lt;&gt;"",$AS1054&lt;&gt;"✓"),SUMPRODUCT(($AM$11:$AM1054&lt;&gt;"")*($AS$11:$AS1054&lt;&gt;"✓")),"")</f>
        <v/>
      </c>
      <c r="AZ1054" s="21" t="str">
        <f>IF(AND($AM1054&lt;&gt;"",$AS1054="✓"),SUMPRODUCT(($AM$11:$AM1054&lt;&gt;"")*($AS$11:$AS1054="✓")),"")</f>
        <v/>
      </c>
      <c r="BA1054" s="21" t="str">
        <f>IF($AL1054="","",$AL1054&amp;"|"&amp;COUNTIF($AL$11:$AL1054,$AL1054))</f>
        <v/>
      </c>
    </row>
    <row r="1055" spans="38:53" ht="15" customHeight="1" x14ac:dyDescent="0.25">
      <c r="AL1055" s="17"/>
      <c r="AM1055" s="12"/>
      <c r="AN1055" s="18"/>
      <c r="AO1055" s="18"/>
      <c r="AP1055" s="10"/>
      <c r="AQ1055" s="10"/>
      <c r="AR1055" s="19"/>
      <c r="AS1055" s="20"/>
      <c r="AT1055" s="19"/>
      <c r="AV1055" s="21">
        <f>IF(AND($AL1055&lt;&gt;"",COUNTIF($AL$11:$AL1055,$AL1055)=1),1,0)</f>
        <v>0</v>
      </c>
      <c r="AW1055" s="21">
        <f t="shared" si="119"/>
        <v>0</v>
      </c>
      <c r="AX1055" s="21" t="str">
        <f t="shared" si="118"/>
        <v/>
      </c>
      <c r="AY1055" s="21" t="str">
        <f>IF(AND($AM1055&lt;&gt;"",$AS1055&lt;&gt;"✓"),SUMPRODUCT(($AM$11:$AM1055&lt;&gt;"")*($AS$11:$AS1055&lt;&gt;"✓")),"")</f>
        <v/>
      </c>
      <c r="AZ1055" s="21" t="str">
        <f>IF(AND($AM1055&lt;&gt;"",$AS1055="✓"),SUMPRODUCT(($AM$11:$AM1055&lt;&gt;"")*($AS$11:$AS1055="✓")),"")</f>
        <v/>
      </c>
      <c r="BA1055" s="21" t="str">
        <f>IF($AL1055="","",$AL1055&amp;"|"&amp;COUNTIF($AL$11:$AL1055,$AL1055))</f>
        <v/>
      </c>
    </row>
    <row r="1056" spans="38:53" ht="15" customHeight="1" x14ac:dyDescent="0.25">
      <c r="AL1056" s="31"/>
      <c r="AM1056" s="26"/>
      <c r="AN1056" s="32"/>
      <c r="AO1056" s="32"/>
      <c r="AP1056" s="24"/>
      <c r="AQ1056" s="24"/>
      <c r="AR1056" s="33"/>
      <c r="AS1056" s="34"/>
      <c r="AT1056" s="33"/>
      <c r="AV1056" s="21">
        <f>IF(AND($AL1056&lt;&gt;"",COUNTIF($AL$11:$AL1056,$AL1056)=1),1,0)</f>
        <v>0</v>
      </c>
      <c r="AW1056" s="21">
        <f t="shared" si="119"/>
        <v>0</v>
      </c>
      <c r="AX1056" s="21" t="str">
        <f t="shared" si="118"/>
        <v/>
      </c>
      <c r="AY1056" s="21" t="str">
        <f>IF(AND($AM1056&lt;&gt;"",$AS1056&lt;&gt;"✓"),SUMPRODUCT(($AM$11:$AM1056&lt;&gt;"")*($AS$11:$AS1056&lt;&gt;"✓")),"")</f>
        <v/>
      </c>
      <c r="AZ1056" s="21" t="str">
        <f>IF(AND($AM1056&lt;&gt;"",$AS1056="✓"),SUMPRODUCT(($AM$11:$AM1056&lt;&gt;"")*($AS$11:$AS1056="✓")),"")</f>
        <v/>
      </c>
      <c r="BA1056" s="21" t="str">
        <f>IF($AL1056="","",$AL1056&amp;"|"&amp;COUNTIF($AL$11:$AL1056,$AL1056))</f>
        <v/>
      </c>
    </row>
    <row r="1057" spans="38:53" ht="15" customHeight="1" x14ac:dyDescent="0.25">
      <c r="AL1057" s="17"/>
      <c r="AM1057" s="12"/>
      <c r="AN1057" s="18"/>
      <c r="AO1057" s="18"/>
      <c r="AP1057" s="10"/>
      <c r="AQ1057" s="10"/>
      <c r="AR1057" s="19"/>
      <c r="AS1057" s="20"/>
      <c r="AT1057" s="19"/>
      <c r="AV1057" s="21">
        <f>IF(AND($AL1057&lt;&gt;"",COUNTIF($AL$11:$AL1057,$AL1057)=1),1,0)</f>
        <v>0</v>
      </c>
      <c r="AW1057" s="21">
        <f t="shared" si="119"/>
        <v>0</v>
      </c>
      <c r="AX1057" s="21" t="str">
        <f t="shared" si="118"/>
        <v/>
      </c>
      <c r="AY1057" s="21" t="str">
        <f>IF(AND($AM1057&lt;&gt;"",$AS1057&lt;&gt;"✓"),SUMPRODUCT(($AM$11:$AM1057&lt;&gt;"")*($AS$11:$AS1057&lt;&gt;"✓")),"")</f>
        <v/>
      </c>
      <c r="AZ1057" s="21" t="str">
        <f>IF(AND($AM1057&lt;&gt;"",$AS1057="✓"),SUMPRODUCT(($AM$11:$AM1057&lt;&gt;"")*($AS$11:$AS1057="✓")),"")</f>
        <v/>
      </c>
      <c r="BA1057" s="21" t="str">
        <f>IF($AL1057="","",$AL1057&amp;"|"&amp;COUNTIF($AL$11:$AL1057,$AL1057))</f>
        <v/>
      </c>
    </row>
    <row r="1058" spans="38:53" ht="15" customHeight="1" x14ac:dyDescent="0.25">
      <c r="AL1058" s="31"/>
      <c r="AM1058" s="26"/>
      <c r="AN1058" s="32"/>
      <c r="AO1058" s="32"/>
      <c r="AP1058" s="24"/>
      <c r="AQ1058" s="24"/>
      <c r="AR1058" s="33"/>
      <c r="AS1058" s="34"/>
      <c r="AT1058" s="33"/>
      <c r="AV1058" s="21">
        <f>IF(AND($AL1058&lt;&gt;"",COUNTIF($AL$11:$AL1058,$AL1058)=1),1,0)</f>
        <v>0</v>
      </c>
      <c r="AW1058" s="21">
        <f t="shared" si="119"/>
        <v>0</v>
      </c>
      <c r="AX1058" s="21" t="str">
        <f t="shared" si="118"/>
        <v/>
      </c>
      <c r="AY1058" s="21" t="str">
        <f>IF(AND($AM1058&lt;&gt;"",$AS1058&lt;&gt;"✓"),SUMPRODUCT(($AM$11:$AM1058&lt;&gt;"")*($AS$11:$AS1058&lt;&gt;"✓")),"")</f>
        <v/>
      </c>
      <c r="AZ1058" s="21" t="str">
        <f>IF(AND($AM1058&lt;&gt;"",$AS1058="✓"),SUMPRODUCT(($AM$11:$AM1058&lt;&gt;"")*($AS$11:$AS1058="✓")),"")</f>
        <v/>
      </c>
      <c r="BA1058" s="21" t="str">
        <f>IF($AL1058="","",$AL1058&amp;"|"&amp;COUNTIF($AL$11:$AL1058,$AL1058))</f>
        <v/>
      </c>
    </row>
    <row r="1059" spans="38:53" ht="15" customHeight="1" x14ac:dyDescent="0.25">
      <c r="AL1059" s="17"/>
      <c r="AM1059" s="12"/>
      <c r="AN1059" s="18"/>
      <c r="AO1059" s="18"/>
      <c r="AP1059" s="10"/>
      <c r="AQ1059" s="10"/>
      <c r="AR1059" s="19"/>
      <c r="AS1059" s="20"/>
      <c r="AT1059" s="19"/>
      <c r="AV1059" s="21">
        <f>IF(AND($AL1059&lt;&gt;"",COUNTIF($AL$11:$AL1059,$AL1059)=1),1,0)</f>
        <v>0</v>
      </c>
      <c r="AW1059" s="21">
        <f t="shared" si="119"/>
        <v>0</v>
      </c>
      <c r="AX1059" s="21" t="str">
        <f t="shared" si="118"/>
        <v/>
      </c>
      <c r="AY1059" s="21" t="str">
        <f>IF(AND($AM1059&lt;&gt;"",$AS1059&lt;&gt;"✓"),SUMPRODUCT(($AM$11:$AM1059&lt;&gt;"")*($AS$11:$AS1059&lt;&gt;"✓")),"")</f>
        <v/>
      </c>
      <c r="AZ1059" s="21" t="str">
        <f>IF(AND($AM1059&lt;&gt;"",$AS1059="✓"),SUMPRODUCT(($AM$11:$AM1059&lt;&gt;"")*($AS$11:$AS1059="✓")),"")</f>
        <v/>
      </c>
      <c r="BA1059" s="21" t="str">
        <f>IF($AL1059="","",$AL1059&amp;"|"&amp;COUNTIF($AL$11:$AL1059,$AL1059))</f>
        <v/>
      </c>
    </row>
    <row r="1060" spans="38:53" ht="15" customHeight="1" x14ac:dyDescent="0.25">
      <c r="AL1060" s="31"/>
      <c r="AM1060" s="26"/>
      <c r="AN1060" s="32"/>
      <c r="AO1060" s="32"/>
      <c r="AP1060" s="24"/>
      <c r="AQ1060" s="24"/>
      <c r="AR1060" s="33"/>
      <c r="AS1060" s="34"/>
      <c r="AT1060" s="33"/>
      <c r="AV1060" s="21">
        <f>IF(AND($AL1060&lt;&gt;"",COUNTIF($AL$11:$AL1060,$AL1060)=1),1,0)</f>
        <v>0</v>
      </c>
      <c r="AW1060" s="21">
        <f t="shared" si="119"/>
        <v>0</v>
      </c>
      <c r="AX1060" s="21" t="str">
        <f t="shared" si="118"/>
        <v/>
      </c>
      <c r="AY1060" s="21" t="str">
        <f>IF(AND($AM1060&lt;&gt;"",$AS1060&lt;&gt;"✓"),SUMPRODUCT(($AM$11:$AM1060&lt;&gt;"")*($AS$11:$AS1060&lt;&gt;"✓")),"")</f>
        <v/>
      </c>
      <c r="AZ1060" s="21" t="str">
        <f>IF(AND($AM1060&lt;&gt;"",$AS1060="✓"),SUMPRODUCT(($AM$11:$AM1060&lt;&gt;"")*($AS$11:$AS1060="✓")),"")</f>
        <v/>
      </c>
      <c r="BA1060" s="21" t="str">
        <f>IF($AL1060="","",$AL1060&amp;"|"&amp;COUNTIF($AL$11:$AL1060,$AL1060))</f>
        <v/>
      </c>
    </row>
    <row r="1061" spans="38:53" ht="15" customHeight="1" x14ac:dyDescent="0.25">
      <c r="AL1061" s="17"/>
      <c r="AM1061" s="12"/>
      <c r="AN1061" s="18"/>
      <c r="AO1061" s="18"/>
      <c r="AP1061" s="10"/>
      <c r="AQ1061" s="10"/>
      <c r="AR1061" s="19"/>
      <c r="AS1061" s="20"/>
      <c r="AT1061" s="19"/>
      <c r="AV1061" s="21">
        <f>IF(AND($AL1061&lt;&gt;"",COUNTIF($AL$11:$AL1061,$AL1061)=1),1,0)</f>
        <v>0</v>
      </c>
      <c r="AW1061" s="21">
        <f t="shared" si="119"/>
        <v>0</v>
      </c>
      <c r="AX1061" s="21" t="str">
        <f t="shared" si="118"/>
        <v/>
      </c>
      <c r="AY1061" s="21" t="str">
        <f>IF(AND($AM1061&lt;&gt;"",$AS1061&lt;&gt;"✓"),SUMPRODUCT(($AM$11:$AM1061&lt;&gt;"")*($AS$11:$AS1061&lt;&gt;"✓")),"")</f>
        <v/>
      </c>
      <c r="AZ1061" s="21" t="str">
        <f>IF(AND($AM1061&lt;&gt;"",$AS1061="✓"),SUMPRODUCT(($AM$11:$AM1061&lt;&gt;"")*($AS$11:$AS1061="✓")),"")</f>
        <v/>
      </c>
      <c r="BA1061" s="21" t="str">
        <f>IF($AL1061="","",$AL1061&amp;"|"&amp;COUNTIF($AL$11:$AL1061,$AL1061))</f>
        <v/>
      </c>
    </row>
    <row r="1062" spans="38:53" ht="15" customHeight="1" x14ac:dyDescent="0.25">
      <c r="AL1062" s="31"/>
      <c r="AM1062" s="26"/>
      <c r="AN1062" s="32"/>
      <c r="AO1062" s="32"/>
      <c r="AP1062" s="24"/>
      <c r="AQ1062" s="24"/>
      <c r="AR1062" s="33"/>
      <c r="AS1062" s="34"/>
      <c r="AT1062" s="33"/>
      <c r="AV1062" s="21">
        <f>IF(AND($AL1062&lt;&gt;"",COUNTIF($AL$11:$AL1062,$AL1062)=1),1,0)</f>
        <v>0</v>
      </c>
      <c r="AW1062" s="21">
        <f t="shared" si="119"/>
        <v>0</v>
      </c>
      <c r="AX1062" s="21" t="str">
        <f t="shared" si="118"/>
        <v/>
      </c>
      <c r="AY1062" s="21" t="str">
        <f>IF(AND($AM1062&lt;&gt;"",$AS1062&lt;&gt;"✓"),SUMPRODUCT(($AM$11:$AM1062&lt;&gt;"")*($AS$11:$AS1062&lt;&gt;"✓")),"")</f>
        <v/>
      </c>
      <c r="AZ1062" s="21" t="str">
        <f>IF(AND($AM1062&lt;&gt;"",$AS1062="✓"),SUMPRODUCT(($AM$11:$AM1062&lt;&gt;"")*($AS$11:$AS1062="✓")),"")</f>
        <v/>
      </c>
      <c r="BA1062" s="21" t="str">
        <f>IF($AL1062="","",$AL1062&amp;"|"&amp;COUNTIF($AL$11:$AL1062,$AL1062))</f>
        <v/>
      </c>
    </row>
    <row r="1063" spans="38:53" ht="15" customHeight="1" x14ac:dyDescent="0.25">
      <c r="AL1063" s="17"/>
      <c r="AM1063" s="12"/>
      <c r="AN1063" s="18"/>
      <c r="AO1063" s="18"/>
      <c r="AP1063" s="10"/>
      <c r="AQ1063" s="10"/>
      <c r="AR1063" s="19"/>
      <c r="AS1063" s="20"/>
      <c r="AT1063" s="19"/>
      <c r="AV1063" s="21">
        <f>IF(AND($AL1063&lt;&gt;"",COUNTIF($AL$11:$AL1063,$AL1063)=1),1,0)</f>
        <v>0</v>
      </c>
      <c r="AW1063" s="21">
        <f t="shared" si="119"/>
        <v>0</v>
      </c>
      <c r="AX1063" s="21" t="str">
        <f t="shared" si="118"/>
        <v/>
      </c>
      <c r="AY1063" s="21" t="str">
        <f>IF(AND($AM1063&lt;&gt;"",$AS1063&lt;&gt;"✓"),SUMPRODUCT(($AM$11:$AM1063&lt;&gt;"")*($AS$11:$AS1063&lt;&gt;"✓")),"")</f>
        <v/>
      </c>
      <c r="AZ1063" s="21" t="str">
        <f>IF(AND($AM1063&lt;&gt;"",$AS1063="✓"),SUMPRODUCT(($AM$11:$AM1063&lt;&gt;"")*($AS$11:$AS1063="✓")),"")</f>
        <v/>
      </c>
      <c r="BA1063" s="21" t="str">
        <f>IF($AL1063="","",$AL1063&amp;"|"&amp;COUNTIF($AL$11:$AL1063,$AL1063))</f>
        <v/>
      </c>
    </row>
    <row r="1064" spans="38:53" ht="15" customHeight="1" x14ac:dyDescent="0.25">
      <c r="AL1064" s="31"/>
      <c r="AM1064" s="26"/>
      <c r="AN1064" s="32"/>
      <c r="AO1064" s="32"/>
      <c r="AP1064" s="24"/>
      <c r="AQ1064" s="24"/>
      <c r="AR1064" s="33"/>
      <c r="AS1064" s="34"/>
      <c r="AT1064" s="33"/>
      <c r="AV1064" s="21">
        <f>IF(AND($AL1064&lt;&gt;"",COUNTIF($AL$11:$AL1064,$AL1064)=1),1,0)</f>
        <v>0</v>
      </c>
      <c r="AW1064" s="21">
        <f t="shared" si="119"/>
        <v>0</v>
      </c>
      <c r="AX1064" s="21" t="str">
        <f t="shared" si="118"/>
        <v/>
      </c>
      <c r="AY1064" s="21" t="str">
        <f>IF(AND($AM1064&lt;&gt;"",$AS1064&lt;&gt;"✓"),SUMPRODUCT(($AM$11:$AM1064&lt;&gt;"")*($AS$11:$AS1064&lt;&gt;"✓")),"")</f>
        <v/>
      </c>
      <c r="AZ1064" s="21" t="str">
        <f>IF(AND($AM1064&lt;&gt;"",$AS1064="✓"),SUMPRODUCT(($AM$11:$AM1064&lt;&gt;"")*($AS$11:$AS1064="✓")),"")</f>
        <v/>
      </c>
      <c r="BA1064" s="21" t="str">
        <f>IF($AL1064="","",$AL1064&amp;"|"&amp;COUNTIF($AL$11:$AL1064,$AL1064))</f>
        <v/>
      </c>
    </row>
    <row r="1065" spans="38:53" ht="15" customHeight="1" x14ac:dyDescent="0.25">
      <c r="AL1065" s="17"/>
      <c r="AM1065" s="12"/>
      <c r="AN1065" s="18"/>
      <c r="AO1065" s="18"/>
      <c r="AP1065" s="10"/>
      <c r="AQ1065" s="10"/>
      <c r="AR1065" s="19"/>
      <c r="AS1065" s="20"/>
      <c r="AT1065" s="19"/>
      <c r="AV1065" s="21">
        <f>IF(AND($AL1065&lt;&gt;"",COUNTIF($AL$11:$AL1065,$AL1065)=1),1,0)</f>
        <v>0</v>
      </c>
      <c r="AW1065" s="21">
        <f t="shared" si="119"/>
        <v>0</v>
      </c>
      <c r="AX1065" s="21" t="str">
        <f t="shared" si="118"/>
        <v/>
      </c>
      <c r="AY1065" s="21" t="str">
        <f>IF(AND($AM1065&lt;&gt;"",$AS1065&lt;&gt;"✓"),SUMPRODUCT(($AM$11:$AM1065&lt;&gt;"")*($AS$11:$AS1065&lt;&gt;"✓")),"")</f>
        <v/>
      </c>
      <c r="AZ1065" s="21" t="str">
        <f>IF(AND($AM1065&lt;&gt;"",$AS1065="✓"),SUMPRODUCT(($AM$11:$AM1065&lt;&gt;"")*($AS$11:$AS1065="✓")),"")</f>
        <v/>
      </c>
      <c r="BA1065" s="21" t="str">
        <f>IF($AL1065="","",$AL1065&amp;"|"&amp;COUNTIF($AL$11:$AL1065,$AL1065))</f>
        <v/>
      </c>
    </row>
    <row r="1066" spans="38:53" ht="15" customHeight="1" x14ac:dyDescent="0.25">
      <c r="AL1066" s="31"/>
      <c r="AM1066" s="26"/>
      <c r="AN1066" s="32"/>
      <c r="AO1066" s="32"/>
      <c r="AP1066" s="24"/>
      <c r="AQ1066" s="24"/>
      <c r="AR1066" s="33"/>
      <c r="AS1066" s="34"/>
      <c r="AT1066" s="33"/>
      <c r="AV1066" s="21">
        <f>IF(AND($AL1066&lt;&gt;"",COUNTIF($AL$11:$AL1066,$AL1066)=1),1,0)</f>
        <v>0</v>
      </c>
      <c r="AW1066" s="21">
        <f t="shared" si="119"/>
        <v>0</v>
      </c>
      <c r="AX1066" s="21" t="str">
        <f t="shared" si="118"/>
        <v/>
      </c>
      <c r="AY1066" s="21" t="str">
        <f>IF(AND($AM1066&lt;&gt;"",$AS1066&lt;&gt;"✓"),SUMPRODUCT(($AM$11:$AM1066&lt;&gt;"")*($AS$11:$AS1066&lt;&gt;"✓")),"")</f>
        <v/>
      </c>
      <c r="AZ1066" s="21" t="str">
        <f>IF(AND($AM1066&lt;&gt;"",$AS1066="✓"),SUMPRODUCT(($AM$11:$AM1066&lt;&gt;"")*($AS$11:$AS1066="✓")),"")</f>
        <v/>
      </c>
      <c r="BA1066" s="21" t="str">
        <f>IF($AL1066="","",$AL1066&amp;"|"&amp;COUNTIF($AL$11:$AL1066,$AL1066))</f>
        <v/>
      </c>
    </row>
    <row r="1067" spans="38:53" ht="15" customHeight="1" x14ac:dyDescent="0.25">
      <c r="AL1067" s="17"/>
      <c r="AM1067" s="12"/>
      <c r="AN1067" s="18"/>
      <c r="AO1067" s="18"/>
      <c r="AP1067" s="10"/>
      <c r="AQ1067" s="10"/>
      <c r="AR1067" s="19"/>
      <c r="AS1067" s="20"/>
      <c r="AT1067" s="19"/>
      <c r="AV1067" s="21">
        <f>IF(AND($AL1067&lt;&gt;"",COUNTIF($AL$11:$AL1067,$AL1067)=1),1,0)</f>
        <v>0</v>
      </c>
      <c r="AW1067" s="21">
        <f t="shared" si="119"/>
        <v>0</v>
      </c>
      <c r="AX1067" s="21" t="str">
        <f t="shared" si="118"/>
        <v/>
      </c>
      <c r="AY1067" s="21" t="str">
        <f>IF(AND($AM1067&lt;&gt;"",$AS1067&lt;&gt;"✓"),SUMPRODUCT(($AM$11:$AM1067&lt;&gt;"")*($AS$11:$AS1067&lt;&gt;"✓")),"")</f>
        <v/>
      </c>
      <c r="AZ1067" s="21" t="str">
        <f>IF(AND($AM1067&lt;&gt;"",$AS1067="✓"),SUMPRODUCT(($AM$11:$AM1067&lt;&gt;"")*($AS$11:$AS1067="✓")),"")</f>
        <v/>
      </c>
      <c r="BA1067" s="21" t="str">
        <f>IF($AL1067="","",$AL1067&amp;"|"&amp;COUNTIF($AL$11:$AL1067,$AL1067))</f>
        <v/>
      </c>
    </row>
    <row r="1068" spans="38:53" ht="15" customHeight="1" x14ac:dyDescent="0.25">
      <c r="AL1068" s="31"/>
      <c r="AM1068" s="26"/>
      <c r="AN1068" s="32"/>
      <c r="AO1068" s="32"/>
      <c r="AP1068" s="24"/>
      <c r="AQ1068" s="24"/>
      <c r="AR1068" s="33"/>
      <c r="AS1068" s="34"/>
      <c r="AT1068" s="33"/>
      <c r="AV1068" s="21">
        <f>IF(AND($AL1068&lt;&gt;"",COUNTIF($AL$11:$AL1068,$AL1068)=1),1,0)</f>
        <v>0</v>
      </c>
      <c r="AW1068" s="21">
        <f t="shared" si="119"/>
        <v>0</v>
      </c>
      <c r="AX1068" s="21" t="str">
        <f t="shared" si="118"/>
        <v/>
      </c>
      <c r="AY1068" s="21" t="str">
        <f>IF(AND($AM1068&lt;&gt;"",$AS1068&lt;&gt;"✓"),SUMPRODUCT(($AM$11:$AM1068&lt;&gt;"")*($AS$11:$AS1068&lt;&gt;"✓")),"")</f>
        <v/>
      </c>
      <c r="AZ1068" s="21" t="str">
        <f>IF(AND($AM1068&lt;&gt;"",$AS1068="✓"),SUMPRODUCT(($AM$11:$AM1068&lt;&gt;"")*($AS$11:$AS1068="✓")),"")</f>
        <v/>
      </c>
      <c r="BA1068" s="21" t="str">
        <f>IF($AL1068="","",$AL1068&amp;"|"&amp;COUNTIF($AL$11:$AL1068,$AL1068))</f>
        <v/>
      </c>
    </row>
    <row r="1069" spans="38:53" ht="15" customHeight="1" x14ac:dyDescent="0.25">
      <c r="AL1069" s="17"/>
      <c r="AM1069" s="12"/>
      <c r="AN1069" s="18"/>
      <c r="AO1069" s="18"/>
      <c r="AP1069" s="10"/>
      <c r="AQ1069" s="10"/>
      <c r="AR1069" s="19"/>
      <c r="AS1069" s="20"/>
      <c r="AT1069" s="19"/>
      <c r="AV1069" s="21">
        <f>IF(AND($AL1069&lt;&gt;"",COUNTIF($AL$11:$AL1069,$AL1069)=1),1,0)</f>
        <v>0</v>
      </c>
      <c r="AW1069" s="21">
        <f t="shared" si="119"/>
        <v>0</v>
      </c>
      <c r="AX1069" s="21" t="str">
        <f t="shared" si="118"/>
        <v/>
      </c>
      <c r="AY1069" s="21" t="str">
        <f>IF(AND($AM1069&lt;&gt;"",$AS1069&lt;&gt;"✓"),SUMPRODUCT(($AM$11:$AM1069&lt;&gt;"")*($AS$11:$AS1069&lt;&gt;"✓")),"")</f>
        <v/>
      </c>
      <c r="AZ1069" s="21" t="str">
        <f>IF(AND($AM1069&lt;&gt;"",$AS1069="✓"),SUMPRODUCT(($AM$11:$AM1069&lt;&gt;"")*($AS$11:$AS1069="✓")),"")</f>
        <v/>
      </c>
      <c r="BA1069" s="21" t="str">
        <f>IF($AL1069="","",$AL1069&amp;"|"&amp;COUNTIF($AL$11:$AL1069,$AL1069))</f>
        <v/>
      </c>
    </row>
    <row r="1070" spans="38:53" ht="15" customHeight="1" x14ac:dyDescent="0.25">
      <c r="AL1070" s="31"/>
      <c r="AM1070" s="26"/>
      <c r="AN1070" s="32"/>
      <c r="AO1070" s="32"/>
      <c r="AP1070" s="24"/>
      <c r="AQ1070" s="24"/>
      <c r="AR1070" s="33"/>
      <c r="AS1070" s="34"/>
      <c r="AT1070" s="33"/>
      <c r="AV1070" s="21">
        <f>IF(AND($AL1070&lt;&gt;"",COUNTIF($AL$11:$AL1070,$AL1070)=1),1,0)</f>
        <v>0</v>
      </c>
      <c r="AW1070" s="21">
        <f t="shared" si="119"/>
        <v>0</v>
      </c>
      <c r="AX1070" s="21" t="str">
        <f t="shared" si="118"/>
        <v/>
      </c>
      <c r="AY1070" s="21" t="str">
        <f>IF(AND($AM1070&lt;&gt;"",$AS1070&lt;&gt;"✓"),SUMPRODUCT(($AM$11:$AM1070&lt;&gt;"")*($AS$11:$AS1070&lt;&gt;"✓")),"")</f>
        <v/>
      </c>
      <c r="AZ1070" s="21" t="str">
        <f>IF(AND($AM1070&lt;&gt;"",$AS1070="✓"),SUMPRODUCT(($AM$11:$AM1070&lt;&gt;"")*($AS$11:$AS1070="✓")),"")</f>
        <v/>
      </c>
      <c r="BA1070" s="21" t="str">
        <f>IF($AL1070="","",$AL1070&amp;"|"&amp;COUNTIF($AL$11:$AL1070,$AL1070))</f>
        <v/>
      </c>
    </row>
    <row r="1071" spans="38:53" ht="15" customHeight="1" x14ac:dyDescent="0.25">
      <c r="AL1071" s="17"/>
      <c r="AM1071" s="12"/>
      <c r="AN1071" s="18"/>
      <c r="AO1071" s="18"/>
      <c r="AP1071" s="10"/>
      <c r="AQ1071" s="10"/>
      <c r="AR1071" s="19"/>
      <c r="AS1071" s="20"/>
      <c r="AT1071" s="19"/>
      <c r="AV1071" s="21">
        <f>IF(AND($AL1071&lt;&gt;"",COUNTIF($AL$11:$AL1071,$AL1071)=1),1,0)</f>
        <v>0</v>
      </c>
      <c r="AW1071" s="21">
        <f t="shared" si="119"/>
        <v>0</v>
      </c>
      <c r="AX1071" s="21" t="str">
        <f t="shared" si="118"/>
        <v/>
      </c>
      <c r="AY1071" s="21" t="str">
        <f>IF(AND($AM1071&lt;&gt;"",$AS1071&lt;&gt;"✓"),SUMPRODUCT(($AM$11:$AM1071&lt;&gt;"")*($AS$11:$AS1071&lt;&gt;"✓")),"")</f>
        <v/>
      </c>
      <c r="AZ1071" s="21" t="str">
        <f>IF(AND($AM1071&lt;&gt;"",$AS1071="✓"),SUMPRODUCT(($AM$11:$AM1071&lt;&gt;"")*($AS$11:$AS1071="✓")),"")</f>
        <v/>
      </c>
      <c r="BA1071" s="21" t="str">
        <f>IF($AL1071="","",$AL1071&amp;"|"&amp;COUNTIF($AL$11:$AL1071,$AL1071))</f>
        <v/>
      </c>
    </row>
    <row r="1072" spans="38:53" ht="15" customHeight="1" x14ac:dyDescent="0.25">
      <c r="AL1072" s="31"/>
      <c r="AM1072" s="26"/>
      <c r="AN1072" s="32"/>
      <c r="AO1072" s="32"/>
      <c r="AP1072" s="24"/>
      <c r="AQ1072" s="24"/>
      <c r="AR1072" s="33"/>
      <c r="AS1072" s="34"/>
      <c r="AT1072" s="33"/>
      <c r="AV1072" s="21">
        <f>IF(AND($AL1072&lt;&gt;"",COUNTIF($AL$11:$AL1072,$AL1072)=1),1,0)</f>
        <v>0</v>
      </c>
      <c r="AW1072" s="21">
        <f t="shared" si="119"/>
        <v>0</v>
      </c>
      <c r="AX1072" s="21" t="str">
        <f t="shared" si="118"/>
        <v/>
      </c>
      <c r="AY1072" s="21" t="str">
        <f>IF(AND($AM1072&lt;&gt;"",$AS1072&lt;&gt;"✓"),SUMPRODUCT(($AM$11:$AM1072&lt;&gt;"")*($AS$11:$AS1072&lt;&gt;"✓")),"")</f>
        <v/>
      </c>
      <c r="AZ1072" s="21" t="str">
        <f>IF(AND($AM1072&lt;&gt;"",$AS1072="✓"),SUMPRODUCT(($AM$11:$AM1072&lt;&gt;"")*($AS$11:$AS1072="✓")),"")</f>
        <v/>
      </c>
      <c r="BA1072" s="21" t="str">
        <f>IF($AL1072="","",$AL1072&amp;"|"&amp;COUNTIF($AL$11:$AL1072,$AL1072))</f>
        <v/>
      </c>
    </row>
    <row r="1073" spans="38:53" ht="15" customHeight="1" x14ac:dyDescent="0.25">
      <c r="AL1073" s="17"/>
      <c r="AM1073" s="12"/>
      <c r="AN1073" s="18"/>
      <c r="AO1073" s="18"/>
      <c r="AP1073" s="10"/>
      <c r="AQ1073" s="10"/>
      <c r="AR1073" s="19"/>
      <c r="AS1073" s="20"/>
      <c r="AT1073" s="19"/>
      <c r="AV1073" s="21">
        <f>IF(AND($AL1073&lt;&gt;"",COUNTIF($AL$11:$AL1073,$AL1073)=1),1,0)</f>
        <v>0</v>
      </c>
      <c r="AW1073" s="21">
        <f t="shared" si="119"/>
        <v>0</v>
      </c>
      <c r="AX1073" s="21" t="str">
        <f t="shared" si="118"/>
        <v/>
      </c>
      <c r="AY1073" s="21" t="str">
        <f>IF(AND($AM1073&lt;&gt;"",$AS1073&lt;&gt;"✓"),SUMPRODUCT(($AM$11:$AM1073&lt;&gt;"")*($AS$11:$AS1073&lt;&gt;"✓")),"")</f>
        <v/>
      </c>
      <c r="AZ1073" s="21" t="str">
        <f>IF(AND($AM1073&lt;&gt;"",$AS1073="✓"),SUMPRODUCT(($AM$11:$AM1073&lt;&gt;"")*($AS$11:$AS1073="✓")),"")</f>
        <v/>
      </c>
      <c r="BA1073" s="21" t="str">
        <f>IF($AL1073="","",$AL1073&amp;"|"&amp;COUNTIF($AL$11:$AL1073,$AL1073))</f>
        <v/>
      </c>
    </row>
    <row r="1074" spans="38:53" ht="15" customHeight="1" x14ac:dyDescent="0.25">
      <c r="AL1074" s="31"/>
      <c r="AM1074" s="26"/>
      <c r="AN1074" s="32"/>
      <c r="AO1074" s="32"/>
      <c r="AP1074" s="24"/>
      <c r="AQ1074" s="24"/>
      <c r="AR1074" s="33"/>
      <c r="AS1074" s="34"/>
      <c r="AT1074" s="33"/>
      <c r="AV1074" s="21">
        <f>IF(AND($AL1074&lt;&gt;"",COUNTIF($AL$11:$AL1074,$AL1074)=1),1,0)</f>
        <v>0</v>
      </c>
      <c r="AW1074" s="21">
        <f t="shared" si="119"/>
        <v>0</v>
      </c>
      <c r="AX1074" s="21" t="str">
        <f t="shared" si="118"/>
        <v/>
      </c>
      <c r="AY1074" s="21" t="str">
        <f>IF(AND($AM1074&lt;&gt;"",$AS1074&lt;&gt;"✓"),SUMPRODUCT(($AM$11:$AM1074&lt;&gt;"")*($AS$11:$AS1074&lt;&gt;"✓")),"")</f>
        <v/>
      </c>
      <c r="AZ1074" s="21" t="str">
        <f>IF(AND($AM1074&lt;&gt;"",$AS1074="✓"),SUMPRODUCT(($AM$11:$AM1074&lt;&gt;"")*($AS$11:$AS1074="✓")),"")</f>
        <v/>
      </c>
      <c r="BA1074" s="21" t="str">
        <f>IF($AL1074="","",$AL1074&amp;"|"&amp;COUNTIF($AL$11:$AL1074,$AL1074))</f>
        <v/>
      </c>
    </row>
    <row r="1075" spans="38:53" ht="15" customHeight="1" x14ac:dyDescent="0.25">
      <c r="AL1075" s="17"/>
      <c r="AM1075" s="12"/>
      <c r="AN1075" s="18"/>
      <c r="AO1075" s="18"/>
      <c r="AP1075" s="10"/>
      <c r="AQ1075" s="10"/>
      <c r="AR1075" s="19"/>
      <c r="AS1075" s="20"/>
      <c r="AT1075" s="19"/>
      <c r="AV1075" s="21">
        <f>IF(AND($AL1075&lt;&gt;"",COUNTIF($AL$11:$AL1075,$AL1075)=1),1,0)</f>
        <v>0</v>
      </c>
      <c r="AW1075" s="21">
        <f t="shared" si="119"/>
        <v>0</v>
      </c>
      <c r="AX1075" s="21" t="str">
        <f t="shared" si="118"/>
        <v/>
      </c>
      <c r="AY1075" s="21" t="str">
        <f>IF(AND($AM1075&lt;&gt;"",$AS1075&lt;&gt;"✓"),SUMPRODUCT(($AM$11:$AM1075&lt;&gt;"")*($AS$11:$AS1075&lt;&gt;"✓")),"")</f>
        <v/>
      </c>
      <c r="AZ1075" s="21" t="str">
        <f>IF(AND($AM1075&lt;&gt;"",$AS1075="✓"),SUMPRODUCT(($AM$11:$AM1075&lt;&gt;"")*($AS$11:$AS1075="✓")),"")</f>
        <v/>
      </c>
      <c r="BA1075" s="21" t="str">
        <f>IF($AL1075="","",$AL1075&amp;"|"&amp;COUNTIF($AL$11:$AL1075,$AL1075))</f>
        <v/>
      </c>
    </row>
    <row r="1076" spans="38:53" ht="15" customHeight="1" x14ac:dyDescent="0.25">
      <c r="AL1076" s="31"/>
      <c r="AM1076" s="26"/>
      <c r="AN1076" s="32"/>
      <c r="AO1076" s="32"/>
      <c r="AP1076" s="24"/>
      <c r="AQ1076" s="24"/>
      <c r="AR1076" s="33"/>
      <c r="AS1076" s="34"/>
      <c r="AT1076" s="33"/>
      <c r="AV1076" s="21">
        <f>IF(AND($AL1076&lt;&gt;"",COUNTIF($AL$11:$AL1076,$AL1076)=1),1,0)</f>
        <v>0</v>
      </c>
      <c r="AW1076" s="21">
        <f t="shared" si="119"/>
        <v>0</v>
      </c>
      <c r="AX1076" s="21" t="str">
        <f t="shared" si="118"/>
        <v/>
      </c>
      <c r="AY1076" s="21" t="str">
        <f>IF(AND($AM1076&lt;&gt;"",$AS1076&lt;&gt;"✓"),SUMPRODUCT(($AM$11:$AM1076&lt;&gt;"")*($AS$11:$AS1076&lt;&gt;"✓")),"")</f>
        <v/>
      </c>
      <c r="AZ1076" s="21" t="str">
        <f>IF(AND($AM1076&lt;&gt;"",$AS1076="✓"),SUMPRODUCT(($AM$11:$AM1076&lt;&gt;"")*($AS$11:$AS1076="✓")),"")</f>
        <v/>
      </c>
      <c r="BA1076" s="21" t="str">
        <f>IF($AL1076="","",$AL1076&amp;"|"&amp;COUNTIF($AL$11:$AL1076,$AL1076))</f>
        <v/>
      </c>
    </row>
    <row r="1077" spans="38:53" ht="15" customHeight="1" x14ac:dyDescent="0.25">
      <c r="AL1077" s="17"/>
      <c r="AM1077" s="12"/>
      <c r="AN1077" s="18"/>
      <c r="AO1077" s="18"/>
      <c r="AP1077" s="10"/>
      <c r="AQ1077" s="10"/>
      <c r="AR1077" s="19"/>
      <c r="AS1077" s="20"/>
      <c r="AT1077" s="19"/>
      <c r="AV1077" s="21">
        <f>IF(AND($AL1077&lt;&gt;"",COUNTIF($AL$11:$AL1077,$AL1077)=1),1,0)</f>
        <v>0</v>
      </c>
      <c r="AW1077" s="21">
        <f t="shared" si="119"/>
        <v>0</v>
      </c>
      <c r="AX1077" s="21" t="str">
        <f t="shared" si="118"/>
        <v/>
      </c>
      <c r="AY1077" s="21" t="str">
        <f>IF(AND($AM1077&lt;&gt;"",$AS1077&lt;&gt;"✓"),SUMPRODUCT(($AM$11:$AM1077&lt;&gt;"")*($AS$11:$AS1077&lt;&gt;"✓")),"")</f>
        <v/>
      </c>
      <c r="AZ1077" s="21" t="str">
        <f>IF(AND($AM1077&lt;&gt;"",$AS1077="✓"),SUMPRODUCT(($AM$11:$AM1077&lt;&gt;"")*($AS$11:$AS1077="✓")),"")</f>
        <v/>
      </c>
      <c r="BA1077" s="21" t="str">
        <f>IF($AL1077="","",$AL1077&amp;"|"&amp;COUNTIF($AL$11:$AL1077,$AL1077))</f>
        <v/>
      </c>
    </row>
    <row r="1078" spans="38:53" ht="15" customHeight="1" x14ac:dyDescent="0.25">
      <c r="AL1078" s="31"/>
      <c r="AM1078" s="26"/>
      <c r="AN1078" s="32"/>
      <c r="AO1078" s="32"/>
      <c r="AP1078" s="24"/>
      <c r="AQ1078" s="24"/>
      <c r="AR1078" s="33"/>
      <c r="AS1078" s="34"/>
      <c r="AT1078" s="33"/>
      <c r="AV1078" s="21">
        <f>IF(AND($AL1078&lt;&gt;"",COUNTIF($AL$11:$AL1078,$AL1078)=1),1,0)</f>
        <v>0</v>
      </c>
      <c r="AW1078" s="21">
        <f t="shared" si="119"/>
        <v>0</v>
      </c>
      <c r="AX1078" s="21" t="str">
        <f t="shared" si="118"/>
        <v/>
      </c>
      <c r="AY1078" s="21" t="str">
        <f>IF(AND($AM1078&lt;&gt;"",$AS1078&lt;&gt;"✓"),SUMPRODUCT(($AM$11:$AM1078&lt;&gt;"")*($AS$11:$AS1078&lt;&gt;"✓")),"")</f>
        <v/>
      </c>
      <c r="AZ1078" s="21" t="str">
        <f>IF(AND($AM1078&lt;&gt;"",$AS1078="✓"),SUMPRODUCT(($AM$11:$AM1078&lt;&gt;"")*($AS$11:$AS1078="✓")),"")</f>
        <v/>
      </c>
      <c r="BA1078" s="21" t="str">
        <f>IF($AL1078="","",$AL1078&amp;"|"&amp;COUNTIF($AL$11:$AL1078,$AL1078))</f>
        <v/>
      </c>
    </row>
    <row r="1079" spans="38:53" ht="15" customHeight="1" x14ac:dyDescent="0.25">
      <c r="AL1079" s="17"/>
      <c r="AM1079" s="12"/>
      <c r="AN1079" s="18"/>
      <c r="AO1079" s="18"/>
      <c r="AP1079" s="10"/>
      <c r="AQ1079" s="10"/>
      <c r="AR1079" s="19"/>
      <c r="AS1079" s="20"/>
      <c r="AT1079" s="19"/>
      <c r="AV1079" s="21">
        <f>IF(AND($AL1079&lt;&gt;"",COUNTIF($AL$11:$AL1079,$AL1079)=1),1,0)</f>
        <v>0</v>
      </c>
      <c r="AW1079" s="21">
        <f t="shared" si="119"/>
        <v>0</v>
      </c>
      <c r="AX1079" s="21" t="str">
        <f t="shared" si="118"/>
        <v/>
      </c>
      <c r="AY1079" s="21" t="str">
        <f>IF(AND($AM1079&lt;&gt;"",$AS1079&lt;&gt;"✓"),SUMPRODUCT(($AM$11:$AM1079&lt;&gt;"")*($AS$11:$AS1079&lt;&gt;"✓")),"")</f>
        <v/>
      </c>
      <c r="AZ1079" s="21" t="str">
        <f>IF(AND($AM1079&lt;&gt;"",$AS1079="✓"),SUMPRODUCT(($AM$11:$AM1079&lt;&gt;"")*($AS$11:$AS1079="✓")),"")</f>
        <v/>
      </c>
      <c r="BA1079" s="21" t="str">
        <f>IF($AL1079="","",$AL1079&amp;"|"&amp;COUNTIF($AL$11:$AL1079,$AL1079))</f>
        <v/>
      </c>
    </row>
    <row r="1080" spans="38:53" ht="15" customHeight="1" x14ac:dyDescent="0.25">
      <c r="AL1080" s="31"/>
      <c r="AM1080" s="26"/>
      <c r="AN1080" s="32"/>
      <c r="AO1080" s="32"/>
      <c r="AP1080" s="24"/>
      <c r="AQ1080" s="24"/>
      <c r="AR1080" s="33"/>
      <c r="AS1080" s="34"/>
      <c r="AT1080" s="33"/>
      <c r="AV1080" s="21">
        <f>IF(AND($AL1080&lt;&gt;"",COUNTIF($AL$11:$AL1080,$AL1080)=1),1,0)</f>
        <v>0</v>
      </c>
      <c r="AW1080" s="21">
        <f t="shared" si="119"/>
        <v>0</v>
      </c>
      <c r="AX1080" s="21" t="str">
        <f t="shared" si="118"/>
        <v/>
      </c>
      <c r="AY1080" s="21" t="str">
        <f>IF(AND($AM1080&lt;&gt;"",$AS1080&lt;&gt;"✓"),SUMPRODUCT(($AM$11:$AM1080&lt;&gt;"")*($AS$11:$AS1080&lt;&gt;"✓")),"")</f>
        <v/>
      </c>
      <c r="AZ1080" s="21" t="str">
        <f>IF(AND($AM1080&lt;&gt;"",$AS1080="✓"),SUMPRODUCT(($AM$11:$AM1080&lt;&gt;"")*($AS$11:$AS1080="✓")),"")</f>
        <v/>
      </c>
      <c r="BA1080" s="21" t="str">
        <f>IF($AL1080="","",$AL1080&amp;"|"&amp;COUNTIF($AL$11:$AL1080,$AL1080))</f>
        <v/>
      </c>
    </row>
    <row r="1081" spans="38:53" ht="15" customHeight="1" x14ac:dyDescent="0.25">
      <c r="AL1081" s="17"/>
      <c r="AM1081" s="12"/>
      <c r="AN1081" s="18"/>
      <c r="AO1081" s="18"/>
      <c r="AP1081" s="10"/>
      <c r="AQ1081" s="10"/>
      <c r="AR1081" s="19"/>
      <c r="AS1081" s="20"/>
      <c r="AT1081" s="19"/>
      <c r="AV1081" s="21">
        <f>IF(AND($AL1081&lt;&gt;"",COUNTIF($AL$11:$AL1081,$AL1081)=1),1,0)</f>
        <v>0</v>
      </c>
      <c r="AW1081" s="21">
        <f t="shared" si="119"/>
        <v>0</v>
      </c>
      <c r="AX1081" s="21" t="str">
        <f t="shared" si="118"/>
        <v/>
      </c>
      <c r="AY1081" s="21" t="str">
        <f>IF(AND($AM1081&lt;&gt;"",$AS1081&lt;&gt;"✓"),SUMPRODUCT(($AM$11:$AM1081&lt;&gt;"")*($AS$11:$AS1081&lt;&gt;"✓")),"")</f>
        <v/>
      </c>
      <c r="AZ1081" s="21" t="str">
        <f>IF(AND($AM1081&lt;&gt;"",$AS1081="✓"),SUMPRODUCT(($AM$11:$AM1081&lt;&gt;"")*($AS$11:$AS1081="✓")),"")</f>
        <v/>
      </c>
      <c r="BA1081" s="21" t="str">
        <f>IF($AL1081="","",$AL1081&amp;"|"&amp;COUNTIF($AL$11:$AL1081,$AL1081))</f>
        <v/>
      </c>
    </row>
    <row r="1082" spans="38:53" ht="15" customHeight="1" x14ac:dyDescent="0.25">
      <c r="AL1082" s="31"/>
      <c r="AM1082" s="26"/>
      <c r="AN1082" s="32"/>
      <c r="AO1082" s="32"/>
      <c r="AP1082" s="24"/>
      <c r="AQ1082" s="24"/>
      <c r="AR1082" s="33"/>
      <c r="AS1082" s="34"/>
      <c r="AT1082" s="33"/>
      <c r="AV1082" s="21">
        <f>IF(AND($AL1082&lt;&gt;"",COUNTIF($AL$11:$AL1082,$AL1082)=1),1,0)</f>
        <v>0</v>
      </c>
      <c r="AW1082" s="21">
        <f t="shared" si="119"/>
        <v>0</v>
      </c>
      <c r="AX1082" s="21" t="str">
        <f t="shared" si="118"/>
        <v/>
      </c>
      <c r="AY1082" s="21" t="str">
        <f>IF(AND($AM1082&lt;&gt;"",$AS1082&lt;&gt;"✓"),SUMPRODUCT(($AM$11:$AM1082&lt;&gt;"")*($AS$11:$AS1082&lt;&gt;"✓")),"")</f>
        <v/>
      </c>
      <c r="AZ1082" s="21" t="str">
        <f>IF(AND($AM1082&lt;&gt;"",$AS1082="✓"),SUMPRODUCT(($AM$11:$AM1082&lt;&gt;"")*($AS$11:$AS1082="✓")),"")</f>
        <v/>
      </c>
      <c r="BA1082" s="21" t="str">
        <f>IF($AL1082="","",$AL1082&amp;"|"&amp;COUNTIF($AL$11:$AL1082,$AL1082))</f>
        <v/>
      </c>
    </row>
    <row r="1083" spans="38:53" ht="15" customHeight="1" x14ac:dyDescent="0.25">
      <c r="AL1083" s="17"/>
      <c r="AM1083" s="12"/>
      <c r="AN1083" s="18"/>
      <c r="AO1083" s="18"/>
      <c r="AP1083" s="10"/>
      <c r="AQ1083" s="10"/>
      <c r="AR1083" s="19"/>
      <c r="AS1083" s="20"/>
      <c r="AT1083" s="19"/>
      <c r="AV1083" s="21">
        <f>IF(AND($AL1083&lt;&gt;"",COUNTIF($AL$11:$AL1083,$AL1083)=1),1,0)</f>
        <v>0</v>
      </c>
      <c r="AW1083" s="21">
        <f t="shared" si="119"/>
        <v>0</v>
      </c>
      <c r="AX1083" s="21" t="str">
        <f t="shared" si="118"/>
        <v/>
      </c>
      <c r="AY1083" s="21" t="str">
        <f>IF(AND($AM1083&lt;&gt;"",$AS1083&lt;&gt;"✓"),SUMPRODUCT(($AM$11:$AM1083&lt;&gt;"")*($AS$11:$AS1083&lt;&gt;"✓")),"")</f>
        <v/>
      </c>
      <c r="AZ1083" s="21" t="str">
        <f>IF(AND($AM1083&lt;&gt;"",$AS1083="✓"),SUMPRODUCT(($AM$11:$AM1083&lt;&gt;"")*($AS$11:$AS1083="✓")),"")</f>
        <v/>
      </c>
      <c r="BA1083" s="21" t="str">
        <f>IF($AL1083="","",$AL1083&amp;"|"&amp;COUNTIF($AL$11:$AL1083,$AL1083))</f>
        <v/>
      </c>
    </row>
    <row r="1084" spans="38:53" ht="15" customHeight="1" x14ac:dyDescent="0.25">
      <c r="AL1084" s="31"/>
      <c r="AM1084" s="26"/>
      <c r="AN1084" s="32"/>
      <c r="AO1084" s="32"/>
      <c r="AP1084" s="24"/>
      <c r="AQ1084" s="24"/>
      <c r="AR1084" s="33"/>
      <c r="AS1084" s="34"/>
      <c r="AT1084" s="33"/>
      <c r="AV1084" s="21">
        <f>IF(AND($AL1084&lt;&gt;"",COUNTIF($AL$11:$AL1084,$AL1084)=1),1,0)</f>
        <v>0</v>
      </c>
      <c r="AW1084" s="21">
        <f t="shared" si="119"/>
        <v>0</v>
      </c>
      <c r="AX1084" s="21" t="str">
        <f t="shared" si="118"/>
        <v/>
      </c>
      <c r="AY1084" s="21" t="str">
        <f>IF(AND($AM1084&lt;&gt;"",$AS1084&lt;&gt;"✓"),SUMPRODUCT(($AM$11:$AM1084&lt;&gt;"")*($AS$11:$AS1084&lt;&gt;"✓")),"")</f>
        <v/>
      </c>
      <c r="AZ1084" s="21" t="str">
        <f>IF(AND($AM1084&lt;&gt;"",$AS1084="✓"),SUMPRODUCT(($AM$11:$AM1084&lt;&gt;"")*($AS$11:$AS1084="✓")),"")</f>
        <v/>
      </c>
      <c r="BA1084" s="21" t="str">
        <f>IF($AL1084="","",$AL1084&amp;"|"&amp;COUNTIF($AL$11:$AL1084,$AL1084))</f>
        <v/>
      </c>
    </row>
    <row r="1085" spans="38:53" ht="15" customHeight="1" x14ac:dyDescent="0.25">
      <c r="AL1085" s="17"/>
      <c r="AM1085" s="12"/>
      <c r="AN1085" s="18"/>
      <c r="AO1085" s="18"/>
      <c r="AP1085" s="10"/>
      <c r="AQ1085" s="10"/>
      <c r="AR1085" s="19"/>
      <c r="AS1085" s="20"/>
      <c r="AT1085" s="19"/>
      <c r="AV1085" s="21">
        <f>IF(AND($AL1085&lt;&gt;"",COUNTIF($AL$11:$AL1085,$AL1085)=1),1,0)</f>
        <v>0</v>
      </c>
      <c r="AW1085" s="21">
        <f t="shared" si="119"/>
        <v>0</v>
      </c>
      <c r="AX1085" s="21" t="str">
        <f t="shared" si="118"/>
        <v/>
      </c>
      <c r="AY1085" s="21" t="str">
        <f>IF(AND($AM1085&lt;&gt;"",$AS1085&lt;&gt;"✓"),SUMPRODUCT(($AM$11:$AM1085&lt;&gt;"")*($AS$11:$AS1085&lt;&gt;"✓")),"")</f>
        <v/>
      </c>
      <c r="AZ1085" s="21" t="str">
        <f>IF(AND($AM1085&lt;&gt;"",$AS1085="✓"),SUMPRODUCT(($AM$11:$AM1085&lt;&gt;"")*($AS$11:$AS1085="✓")),"")</f>
        <v/>
      </c>
      <c r="BA1085" s="21" t="str">
        <f>IF($AL1085="","",$AL1085&amp;"|"&amp;COUNTIF($AL$11:$AL1085,$AL1085))</f>
        <v/>
      </c>
    </row>
    <row r="1086" spans="38:53" ht="15" customHeight="1" x14ac:dyDescent="0.25">
      <c r="AL1086" s="31"/>
      <c r="AM1086" s="26"/>
      <c r="AN1086" s="32"/>
      <c r="AO1086" s="32"/>
      <c r="AP1086" s="24"/>
      <c r="AQ1086" s="24"/>
      <c r="AR1086" s="33"/>
      <c r="AS1086" s="34"/>
      <c r="AT1086" s="33"/>
      <c r="AV1086" s="21">
        <f>IF(AND($AL1086&lt;&gt;"",COUNTIF($AL$11:$AL1086,$AL1086)=1),1,0)</f>
        <v>0</v>
      </c>
      <c r="AW1086" s="21">
        <f t="shared" si="119"/>
        <v>0</v>
      </c>
      <c r="AX1086" s="21" t="str">
        <f t="shared" si="118"/>
        <v/>
      </c>
      <c r="AY1086" s="21" t="str">
        <f>IF(AND($AM1086&lt;&gt;"",$AS1086&lt;&gt;"✓"),SUMPRODUCT(($AM$11:$AM1086&lt;&gt;"")*($AS$11:$AS1086&lt;&gt;"✓")),"")</f>
        <v/>
      </c>
      <c r="AZ1086" s="21" t="str">
        <f>IF(AND($AM1086&lt;&gt;"",$AS1086="✓"),SUMPRODUCT(($AM$11:$AM1086&lt;&gt;"")*($AS$11:$AS1086="✓")),"")</f>
        <v/>
      </c>
      <c r="BA1086" s="21" t="str">
        <f>IF($AL1086="","",$AL1086&amp;"|"&amp;COUNTIF($AL$11:$AL1086,$AL1086))</f>
        <v/>
      </c>
    </row>
    <row r="1087" spans="38:53" ht="15" customHeight="1" x14ac:dyDescent="0.25">
      <c r="AL1087" s="17"/>
      <c r="AM1087" s="12"/>
      <c r="AN1087" s="18"/>
      <c r="AO1087" s="18"/>
      <c r="AP1087" s="10"/>
      <c r="AQ1087" s="10"/>
      <c r="AR1087" s="19"/>
      <c r="AS1087" s="20"/>
      <c r="AT1087" s="19"/>
      <c r="AV1087" s="21">
        <f>IF(AND($AL1087&lt;&gt;"",COUNTIF($AL$11:$AL1087,$AL1087)=1),1,0)</f>
        <v>0</v>
      </c>
      <c r="AW1087" s="21">
        <f t="shared" si="119"/>
        <v>0</v>
      </c>
      <c r="AX1087" s="21" t="str">
        <f t="shared" si="118"/>
        <v/>
      </c>
      <c r="AY1087" s="21" t="str">
        <f>IF(AND($AM1087&lt;&gt;"",$AS1087&lt;&gt;"✓"),SUMPRODUCT(($AM$11:$AM1087&lt;&gt;"")*($AS$11:$AS1087&lt;&gt;"✓")),"")</f>
        <v/>
      </c>
      <c r="AZ1087" s="21" t="str">
        <f>IF(AND($AM1087&lt;&gt;"",$AS1087="✓"),SUMPRODUCT(($AM$11:$AM1087&lt;&gt;"")*($AS$11:$AS1087="✓")),"")</f>
        <v/>
      </c>
      <c r="BA1087" s="21" t="str">
        <f>IF($AL1087="","",$AL1087&amp;"|"&amp;COUNTIF($AL$11:$AL1087,$AL1087))</f>
        <v/>
      </c>
    </row>
    <row r="1088" spans="38:53" ht="15" customHeight="1" x14ac:dyDescent="0.25">
      <c r="AL1088" s="31"/>
      <c r="AM1088" s="26"/>
      <c r="AN1088" s="32"/>
      <c r="AO1088" s="32"/>
      <c r="AP1088" s="24"/>
      <c r="AQ1088" s="24"/>
      <c r="AR1088" s="33"/>
      <c r="AS1088" s="34"/>
      <c r="AT1088" s="33"/>
      <c r="AV1088" s="21">
        <f>IF(AND($AL1088&lt;&gt;"",COUNTIF($AL$11:$AL1088,$AL1088)=1),1,0)</f>
        <v>0</v>
      </c>
      <c r="AW1088" s="21">
        <f t="shared" si="119"/>
        <v>0</v>
      </c>
      <c r="AX1088" s="21" t="str">
        <f t="shared" si="118"/>
        <v/>
      </c>
      <c r="AY1088" s="21" t="str">
        <f>IF(AND($AM1088&lt;&gt;"",$AS1088&lt;&gt;"✓"),SUMPRODUCT(($AM$11:$AM1088&lt;&gt;"")*($AS$11:$AS1088&lt;&gt;"✓")),"")</f>
        <v/>
      </c>
      <c r="AZ1088" s="21" t="str">
        <f>IF(AND($AM1088&lt;&gt;"",$AS1088="✓"),SUMPRODUCT(($AM$11:$AM1088&lt;&gt;"")*($AS$11:$AS1088="✓")),"")</f>
        <v/>
      </c>
      <c r="BA1088" s="21" t="str">
        <f>IF($AL1088="","",$AL1088&amp;"|"&amp;COUNTIF($AL$11:$AL1088,$AL1088))</f>
        <v/>
      </c>
    </row>
    <row r="1089" spans="38:53" ht="15" customHeight="1" x14ac:dyDescent="0.25">
      <c r="AL1089" s="17"/>
      <c r="AM1089" s="12"/>
      <c r="AN1089" s="18"/>
      <c r="AO1089" s="18"/>
      <c r="AP1089" s="10"/>
      <c r="AQ1089" s="10"/>
      <c r="AR1089" s="19"/>
      <c r="AS1089" s="20"/>
      <c r="AT1089" s="19"/>
      <c r="AV1089" s="21">
        <f>IF(AND($AL1089&lt;&gt;"",COUNTIF($AL$11:$AL1089,$AL1089)=1),1,0)</f>
        <v>0</v>
      </c>
      <c r="AW1089" s="21">
        <f t="shared" si="119"/>
        <v>0</v>
      </c>
      <c r="AX1089" s="21" t="str">
        <f t="shared" si="118"/>
        <v/>
      </c>
      <c r="AY1089" s="21" t="str">
        <f>IF(AND($AM1089&lt;&gt;"",$AS1089&lt;&gt;"✓"),SUMPRODUCT(($AM$11:$AM1089&lt;&gt;"")*($AS$11:$AS1089&lt;&gt;"✓")),"")</f>
        <v/>
      </c>
      <c r="AZ1089" s="21" t="str">
        <f>IF(AND($AM1089&lt;&gt;"",$AS1089="✓"),SUMPRODUCT(($AM$11:$AM1089&lt;&gt;"")*($AS$11:$AS1089="✓")),"")</f>
        <v/>
      </c>
      <c r="BA1089" s="21" t="str">
        <f>IF($AL1089="","",$AL1089&amp;"|"&amp;COUNTIF($AL$11:$AL1089,$AL1089))</f>
        <v/>
      </c>
    </row>
    <row r="1090" spans="38:53" ht="15" customHeight="1" x14ac:dyDescent="0.25">
      <c r="AL1090" s="31"/>
      <c r="AM1090" s="26"/>
      <c r="AN1090" s="32"/>
      <c r="AO1090" s="32"/>
      <c r="AP1090" s="24"/>
      <c r="AQ1090" s="24"/>
      <c r="AR1090" s="33"/>
      <c r="AS1090" s="34"/>
      <c r="AT1090" s="33"/>
      <c r="AV1090" s="21">
        <f>IF(AND($AL1090&lt;&gt;"",COUNTIF($AL$11:$AL1090,$AL1090)=1),1,0)</f>
        <v>0</v>
      </c>
      <c r="AW1090" s="21">
        <f t="shared" si="119"/>
        <v>0</v>
      </c>
      <c r="AX1090" s="21" t="str">
        <f t="shared" si="118"/>
        <v/>
      </c>
      <c r="AY1090" s="21" t="str">
        <f>IF(AND($AM1090&lt;&gt;"",$AS1090&lt;&gt;"✓"),SUMPRODUCT(($AM$11:$AM1090&lt;&gt;"")*($AS$11:$AS1090&lt;&gt;"✓")),"")</f>
        <v/>
      </c>
      <c r="AZ1090" s="21" t="str">
        <f>IF(AND($AM1090&lt;&gt;"",$AS1090="✓"),SUMPRODUCT(($AM$11:$AM1090&lt;&gt;"")*($AS$11:$AS1090="✓")),"")</f>
        <v/>
      </c>
      <c r="BA1090" s="21" t="str">
        <f>IF($AL1090="","",$AL1090&amp;"|"&amp;COUNTIF($AL$11:$AL1090,$AL1090))</f>
        <v/>
      </c>
    </row>
    <row r="1091" spans="38:53" ht="15" customHeight="1" x14ac:dyDescent="0.25">
      <c r="AL1091" s="17"/>
      <c r="AM1091" s="12"/>
      <c r="AN1091" s="18"/>
      <c r="AO1091" s="18"/>
      <c r="AP1091" s="10"/>
      <c r="AQ1091" s="10"/>
      <c r="AR1091" s="19"/>
      <c r="AS1091" s="20"/>
      <c r="AT1091" s="19"/>
      <c r="AV1091" s="21">
        <f>IF(AND($AL1091&lt;&gt;"",COUNTIF($AL$11:$AL1091,$AL1091)=1),1,0)</f>
        <v>0</v>
      </c>
      <c r="AW1091" s="21">
        <f t="shared" si="119"/>
        <v>0</v>
      </c>
      <c r="AX1091" s="21" t="str">
        <f t="shared" si="118"/>
        <v/>
      </c>
      <c r="AY1091" s="21" t="str">
        <f>IF(AND($AM1091&lt;&gt;"",$AS1091&lt;&gt;"✓"),SUMPRODUCT(($AM$11:$AM1091&lt;&gt;"")*($AS$11:$AS1091&lt;&gt;"✓")),"")</f>
        <v/>
      </c>
      <c r="AZ1091" s="21" t="str">
        <f>IF(AND($AM1091&lt;&gt;"",$AS1091="✓"),SUMPRODUCT(($AM$11:$AM1091&lt;&gt;"")*($AS$11:$AS1091="✓")),"")</f>
        <v/>
      </c>
      <c r="BA1091" s="21" t="str">
        <f>IF($AL1091="","",$AL1091&amp;"|"&amp;COUNTIF($AL$11:$AL1091,$AL1091))</f>
        <v/>
      </c>
    </row>
    <row r="1092" spans="38:53" ht="15" customHeight="1" x14ac:dyDescent="0.25">
      <c r="AL1092" s="31"/>
      <c r="AM1092" s="26"/>
      <c r="AN1092" s="32"/>
      <c r="AO1092" s="32"/>
      <c r="AP1092" s="24"/>
      <c r="AQ1092" s="24"/>
      <c r="AR1092" s="33"/>
      <c r="AS1092" s="34"/>
      <c r="AT1092" s="33"/>
      <c r="AV1092" s="21">
        <f>IF(AND($AL1092&lt;&gt;"",COUNTIF($AL$11:$AL1092,$AL1092)=1),1,0)</f>
        <v>0</v>
      </c>
      <c r="AW1092" s="21">
        <f t="shared" si="119"/>
        <v>0</v>
      </c>
      <c r="AX1092" s="21" t="str">
        <f t="shared" si="118"/>
        <v/>
      </c>
      <c r="AY1092" s="21" t="str">
        <f>IF(AND($AM1092&lt;&gt;"",$AS1092&lt;&gt;"✓"),SUMPRODUCT(($AM$11:$AM1092&lt;&gt;"")*($AS$11:$AS1092&lt;&gt;"✓")),"")</f>
        <v/>
      </c>
      <c r="AZ1092" s="21" t="str">
        <f>IF(AND($AM1092&lt;&gt;"",$AS1092="✓"),SUMPRODUCT(($AM$11:$AM1092&lt;&gt;"")*($AS$11:$AS1092="✓")),"")</f>
        <v/>
      </c>
      <c r="BA1092" s="21" t="str">
        <f>IF($AL1092="","",$AL1092&amp;"|"&amp;COUNTIF($AL$11:$AL1092,$AL1092))</f>
        <v/>
      </c>
    </row>
    <row r="1093" spans="38:53" ht="15" customHeight="1" x14ac:dyDescent="0.25">
      <c r="AL1093" s="17"/>
      <c r="AM1093" s="12"/>
      <c r="AN1093" s="18"/>
      <c r="AO1093" s="18"/>
      <c r="AP1093" s="10"/>
      <c r="AQ1093" s="10"/>
      <c r="AR1093" s="19"/>
      <c r="AS1093" s="20"/>
      <c r="AT1093" s="19"/>
      <c r="AV1093" s="21">
        <f>IF(AND($AL1093&lt;&gt;"",COUNTIF($AL$11:$AL1093,$AL1093)=1),1,0)</f>
        <v>0</v>
      </c>
      <c r="AW1093" s="21">
        <f t="shared" si="119"/>
        <v>0</v>
      </c>
      <c r="AX1093" s="21" t="str">
        <f t="shared" si="118"/>
        <v/>
      </c>
      <c r="AY1093" s="21" t="str">
        <f>IF(AND($AM1093&lt;&gt;"",$AS1093&lt;&gt;"✓"),SUMPRODUCT(($AM$11:$AM1093&lt;&gt;"")*($AS$11:$AS1093&lt;&gt;"✓")),"")</f>
        <v/>
      </c>
      <c r="AZ1093" s="21" t="str">
        <f>IF(AND($AM1093&lt;&gt;"",$AS1093="✓"),SUMPRODUCT(($AM$11:$AM1093&lt;&gt;"")*($AS$11:$AS1093="✓")),"")</f>
        <v/>
      </c>
      <c r="BA1093" s="21" t="str">
        <f>IF($AL1093="","",$AL1093&amp;"|"&amp;COUNTIF($AL$11:$AL1093,$AL1093))</f>
        <v/>
      </c>
    </row>
    <row r="1094" spans="38:53" ht="15" customHeight="1" x14ac:dyDescent="0.25">
      <c r="AL1094" s="31"/>
      <c r="AM1094" s="26"/>
      <c r="AN1094" s="32"/>
      <c r="AO1094" s="32"/>
      <c r="AP1094" s="24"/>
      <c r="AQ1094" s="24"/>
      <c r="AR1094" s="33"/>
      <c r="AS1094" s="34"/>
      <c r="AT1094" s="33"/>
      <c r="AV1094" s="21">
        <f>IF(AND($AL1094&lt;&gt;"",COUNTIF($AL$11:$AL1094,$AL1094)=1),1,0)</f>
        <v>0</v>
      </c>
      <c r="AW1094" s="21">
        <f t="shared" si="119"/>
        <v>0</v>
      </c>
      <c r="AX1094" s="21" t="str">
        <f t="shared" si="118"/>
        <v/>
      </c>
      <c r="AY1094" s="21" t="str">
        <f>IF(AND($AM1094&lt;&gt;"",$AS1094&lt;&gt;"✓"),SUMPRODUCT(($AM$11:$AM1094&lt;&gt;"")*($AS$11:$AS1094&lt;&gt;"✓")),"")</f>
        <v/>
      </c>
      <c r="AZ1094" s="21" t="str">
        <f>IF(AND($AM1094&lt;&gt;"",$AS1094="✓"),SUMPRODUCT(($AM$11:$AM1094&lt;&gt;"")*($AS$11:$AS1094="✓")),"")</f>
        <v/>
      </c>
      <c r="BA1094" s="21" t="str">
        <f>IF($AL1094="","",$AL1094&amp;"|"&amp;COUNTIF($AL$11:$AL1094,$AL1094))</f>
        <v/>
      </c>
    </row>
    <row r="1095" spans="38:53" ht="15" customHeight="1" x14ac:dyDescent="0.25">
      <c r="AL1095" s="17"/>
      <c r="AM1095" s="12"/>
      <c r="AN1095" s="18"/>
      <c r="AO1095" s="18"/>
      <c r="AP1095" s="10"/>
      <c r="AQ1095" s="10"/>
      <c r="AR1095" s="19"/>
      <c r="AS1095" s="20"/>
      <c r="AT1095" s="19"/>
      <c r="AV1095" s="21">
        <f>IF(AND($AL1095&lt;&gt;"",COUNTIF($AL$11:$AL1095,$AL1095)=1),1,0)</f>
        <v>0</v>
      </c>
      <c r="AW1095" s="21">
        <f t="shared" si="119"/>
        <v>0</v>
      </c>
      <c r="AX1095" s="21" t="str">
        <f t="shared" si="118"/>
        <v/>
      </c>
      <c r="AY1095" s="21" t="str">
        <f>IF(AND($AM1095&lt;&gt;"",$AS1095&lt;&gt;"✓"),SUMPRODUCT(($AM$11:$AM1095&lt;&gt;"")*($AS$11:$AS1095&lt;&gt;"✓")),"")</f>
        <v/>
      </c>
      <c r="AZ1095" s="21" t="str">
        <f>IF(AND($AM1095&lt;&gt;"",$AS1095="✓"),SUMPRODUCT(($AM$11:$AM1095&lt;&gt;"")*($AS$11:$AS1095="✓")),"")</f>
        <v/>
      </c>
      <c r="BA1095" s="21" t="str">
        <f>IF($AL1095="","",$AL1095&amp;"|"&amp;COUNTIF($AL$11:$AL1095,$AL1095))</f>
        <v/>
      </c>
    </row>
    <row r="1096" spans="38:53" ht="15" customHeight="1" x14ac:dyDescent="0.25">
      <c r="AL1096" s="31"/>
      <c r="AM1096" s="26"/>
      <c r="AN1096" s="32"/>
      <c r="AO1096" s="32"/>
      <c r="AP1096" s="24"/>
      <c r="AQ1096" s="24"/>
      <c r="AR1096" s="33"/>
      <c r="AS1096" s="34"/>
      <c r="AT1096" s="33"/>
      <c r="AV1096" s="21">
        <f>IF(AND($AL1096&lt;&gt;"",COUNTIF($AL$11:$AL1096,$AL1096)=1),1,0)</f>
        <v>0</v>
      </c>
      <c r="AW1096" s="21">
        <f t="shared" si="119"/>
        <v>0</v>
      </c>
      <c r="AX1096" s="21" t="str">
        <f t="shared" si="118"/>
        <v/>
      </c>
      <c r="AY1096" s="21" t="str">
        <f>IF(AND($AM1096&lt;&gt;"",$AS1096&lt;&gt;"✓"),SUMPRODUCT(($AM$11:$AM1096&lt;&gt;"")*($AS$11:$AS1096&lt;&gt;"✓")),"")</f>
        <v/>
      </c>
      <c r="AZ1096" s="21" t="str">
        <f>IF(AND($AM1096&lt;&gt;"",$AS1096="✓"),SUMPRODUCT(($AM$11:$AM1096&lt;&gt;"")*($AS$11:$AS1096="✓")),"")</f>
        <v/>
      </c>
      <c r="BA1096" s="21" t="str">
        <f>IF($AL1096="","",$AL1096&amp;"|"&amp;COUNTIF($AL$11:$AL1096,$AL1096))</f>
        <v/>
      </c>
    </row>
    <row r="1097" spans="38:53" ht="15" customHeight="1" x14ac:dyDescent="0.25">
      <c r="AL1097" s="17"/>
      <c r="AM1097" s="12"/>
      <c r="AN1097" s="18"/>
      <c r="AO1097" s="18"/>
      <c r="AP1097" s="10"/>
      <c r="AQ1097" s="10"/>
      <c r="AR1097" s="19"/>
      <c r="AS1097" s="20"/>
      <c r="AT1097" s="19"/>
      <c r="AV1097" s="21">
        <f>IF(AND($AL1097&lt;&gt;"",COUNTIF($AL$11:$AL1097,$AL1097)=1),1,0)</f>
        <v>0</v>
      </c>
      <c r="AW1097" s="21">
        <f t="shared" si="119"/>
        <v>0</v>
      </c>
      <c r="AX1097" s="21" t="str">
        <f t="shared" si="118"/>
        <v/>
      </c>
      <c r="AY1097" s="21" t="str">
        <f>IF(AND($AM1097&lt;&gt;"",$AS1097&lt;&gt;"✓"),SUMPRODUCT(($AM$11:$AM1097&lt;&gt;"")*($AS$11:$AS1097&lt;&gt;"✓")),"")</f>
        <v/>
      </c>
      <c r="AZ1097" s="21" t="str">
        <f>IF(AND($AM1097&lt;&gt;"",$AS1097="✓"),SUMPRODUCT(($AM$11:$AM1097&lt;&gt;"")*($AS$11:$AS1097="✓")),"")</f>
        <v/>
      </c>
      <c r="BA1097" s="21" t="str">
        <f>IF($AL1097="","",$AL1097&amp;"|"&amp;COUNTIF($AL$11:$AL1097,$AL1097))</f>
        <v/>
      </c>
    </row>
    <row r="1098" spans="38:53" ht="15" customHeight="1" x14ac:dyDescent="0.25">
      <c r="AL1098" s="31"/>
      <c r="AM1098" s="26"/>
      <c r="AN1098" s="32"/>
      <c r="AO1098" s="32"/>
      <c r="AP1098" s="24"/>
      <c r="AQ1098" s="24"/>
      <c r="AR1098" s="33"/>
      <c r="AS1098" s="34"/>
      <c r="AT1098" s="33"/>
      <c r="AV1098" s="21">
        <f>IF(AND($AL1098&lt;&gt;"",COUNTIF($AL$11:$AL1098,$AL1098)=1),1,0)</f>
        <v>0</v>
      </c>
      <c r="AW1098" s="21">
        <f t="shared" si="119"/>
        <v>0</v>
      </c>
      <c r="AX1098" s="21" t="str">
        <f t="shared" si="118"/>
        <v/>
      </c>
      <c r="AY1098" s="21" t="str">
        <f>IF(AND($AM1098&lt;&gt;"",$AS1098&lt;&gt;"✓"),SUMPRODUCT(($AM$11:$AM1098&lt;&gt;"")*($AS$11:$AS1098&lt;&gt;"✓")),"")</f>
        <v/>
      </c>
      <c r="AZ1098" s="21" t="str">
        <f>IF(AND($AM1098&lt;&gt;"",$AS1098="✓"),SUMPRODUCT(($AM$11:$AM1098&lt;&gt;"")*($AS$11:$AS1098="✓")),"")</f>
        <v/>
      </c>
      <c r="BA1098" s="21" t="str">
        <f>IF($AL1098="","",$AL1098&amp;"|"&amp;COUNTIF($AL$11:$AL1098,$AL1098))</f>
        <v/>
      </c>
    </row>
    <row r="1099" spans="38:53" ht="15" customHeight="1" x14ac:dyDescent="0.25">
      <c r="AL1099" s="17"/>
      <c r="AM1099" s="12"/>
      <c r="AN1099" s="18"/>
      <c r="AO1099" s="18"/>
      <c r="AP1099" s="10"/>
      <c r="AQ1099" s="10"/>
      <c r="AR1099" s="19"/>
      <c r="AS1099" s="20"/>
      <c r="AT1099" s="19"/>
      <c r="AV1099" s="21">
        <f>IF(AND($AL1099&lt;&gt;"",COUNTIF($AL$11:$AL1099,$AL1099)=1),1,0)</f>
        <v>0</v>
      </c>
      <c r="AW1099" s="21">
        <f t="shared" si="119"/>
        <v>0</v>
      </c>
      <c r="AX1099" s="21" t="str">
        <f t="shared" ref="AX1099:AX1162" si="120">IF(AV1099=1,AW1099,"")</f>
        <v/>
      </c>
      <c r="AY1099" s="21" t="str">
        <f>IF(AND($AM1099&lt;&gt;"",$AS1099&lt;&gt;"✓"),SUMPRODUCT(($AM$11:$AM1099&lt;&gt;"")*($AS$11:$AS1099&lt;&gt;"✓")),"")</f>
        <v/>
      </c>
      <c r="AZ1099" s="21" t="str">
        <f>IF(AND($AM1099&lt;&gt;"",$AS1099="✓"),SUMPRODUCT(($AM$11:$AM1099&lt;&gt;"")*($AS$11:$AS1099="✓")),"")</f>
        <v/>
      </c>
      <c r="BA1099" s="21" t="str">
        <f>IF($AL1099="","",$AL1099&amp;"|"&amp;COUNTIF($AL$11:$AL1099,$AL1099))</f>
        <v/>
      </c>
    </row>
    <row r="1100" spans="38:53" ht="15" customHeight="1" x14ac:dyDescent="0.25">
      <c r="AL1100" s="31"/>
      <c r="AM1100" s="26"/>
      <c r="AN1100" s="32"/>
      <c r="AO1100" s="32"/>
      <c r="AP1100" s="24"/>
      <c r="AQ1100" s="24"/>
      <c r="AR1100" s="33"/>
      <c r="AS1100" s="34"/>
      <c r="AT1100" s="33"/>
      <c r="AV1100" s="21">
        <f>IF(AND($AL1100&lt;&gt;"",COUNTIF($AL$11:$AL1100,$AL1100)=1),1,0)</f>
        <v>0</v>
      </c>
      <c r="AW1100" s="21">
        <f t="shared" ref="AW1100:AW1163" si="121">AW1099+AV1100</f>
        <v>0</v>
      </c>
      <c r="AX1100" s="21" t="str">
        <f t="shared" si="120"/>
        <v/>
      </c>
      <c r="AY1100" s="21" t="str">
        <f>IF(AND($AM1100&lt;&gt;"",$AS1100&lt;&gt;"✓"),SUMPRODUCT(($AM$11:$AM1100&lt;&gt;"")*($AS$11:$AS1100&lt;&gt;"✓")),"")</f>
        <v/>
      </c>
      <c r="AZ1100" s="21" t="str">
        <f>IF(AND($AM1100&lt;&gt;"",$AS1100="✓"),SUMPRODUCT(($AM$11:$AM1100&lt;&gt;"")*($AS$11:$AS1100="✓")),"")</f>
        <v/>
      </c>
      <c r="BA1100" s="21" t="str">
        <f>IF($AL1100="","",$AL1100&amp;"|"&amp;COUNTIF($AL$11:$AL1100,$AL1100))</f>
        <v/>
      </c>
    </row>
    <row r="1101" spans="38:53" ht="15" customHeight="1" x14ac:dyDescent="0.25">
      <c r="AL1101" s="17"/>
      <c r="AM1101" s="12"/>
      <c r="AN1101" s="18"/>
      <c r="AO1101" s="18"/>
      <c r="AP1101" s="10"/>
      <c r="AQ1101" s="10"/>
      <c r="AR1101" s="19"/>
      <c r="AS1101" s="20"/>
      <c r="AT1101" s="19"/>
      <c r="AV1101" s="21">
        <f>IF(AND($AL1101&lt;&gt;"",COUNTIF($AL$11:$AL1101,$AL1101)=1),1,0)</f>
        <v>0</v>
      </c>
      <c r="AW1101" s="21">
        <f t="shared" si="121"/>
        <v>0</v>
      </c>
      <c r="AX1101" s="21" t="str">
        <f t="shared" si="120"/>
        <v/>
      </c>
      <c r="AY1101" s="21" t="str">
        <f>IF(AND($AM1101&lt;&gt;"",$AS1101&lt;&gt;"✓"),SUMPRODUCT(($AM$11:$AM1101&lt;&gt;"")*($AS$11:$AS1101&lt;&gt;"✓")),"")</f>
        <v/>
      </c>
      <c r="AZ1101" s="21" t="str">
        <f>IF(AND($AM1101&lt;&gt;"",$AS1101="✓"),SUMPRODUCT(($AM$11:$AM1101&lt;&gt;"")*($AS$11:$AS1101="✓")),"")</f>
        <v/>
      </c>
      <c r="BA1101" s="21" t="str">
        <f>IF($AL1101="","",$AL1101&amp;"|"&amp;COUNTIF($AL$11:$AL1101,$AL1101))</f>
        <v/>
      </c>
    </row>
    <row r="1102" spans="38:53" ht="15" customHeight="1" x14ac:dyDescent="0.25">
      <c r="AL1102" s="31"/>
      <c r="AM1102" s="26"/>
      <c r="AN1102" s="32"/>
      <c r="AO1102" s="32"/>
      <c r="AP1102" s="24"/>
      <c r="AQ1102" s="24"/>
      <c r="AR1102" s="33"/>
      <c r="AS1102" s="34"/>
      <c r="AT1102" s="33"/>
      <c r="AV1102" s="21">
        <f>IF(AND($AL1102&lt;&gt;"",COUNTIF($AL$11:$AL1102,$AL1102)=1),1,0)</f>
        <v>0</v>
      </c>
      <c r="AW1102" s="21">
        <f t="shared" si="121"/>
        <v>0</v>
      </c>
      <c r="AX1102" s="21" t="str">
        <f t="shared" si="120"/>
        <v/>
      </c>
      <c r="AY1102" s="21" t="str">
        <f>IF(AND($AM1102&lt;&gt;"",$AS1102&lt;&gt;"✓"),SUMPRODUCT(($AM$11:$AM1102&lt;&gt;"")*($AS$11:$AS1102&lt;&gt;"✓")),"")</f>
        <v/>
      </c>
      <c r="AZ1102" s="21" t="str">
        <f>IF(AND($AM1102&lt;&gt;"",$AS1102="✓"),SUMPRODUCT(($AM$11:$AM1102&lt;&gt;"")*($AS$11:$AS1102="✓")),"")</f>
        <v/>
      </c>
      <c r="BA1102" s="21" t="str">
        <f>IF($AL1102="","",$AL1102&amp;"|"&amp;COUNTIF($AL$11:$AL1102,$AL1102))</f>
        <v/>
      </c>
    </row>
    <row r="1103" spans="38:53" ht="15" customHeight="1" x14ac:dyDescent="0.25">
      <c r="AL1103" s="17"/>
      <c r="AM1103" s="12"/>
      <c r="AN1103" s="18"/>
      <c r="AO1103" s="18"/>
      <c r="AP1103" s="10"/>
      <c r="AQ1103" s="10"/>
      <c r="AR1103" s="19"/>
      <c r="AS1103" s="20"/>
      <c r="AT1103" s="19"/>
      <c r="AV1103" s="21">
        <f>IF(AND($AL1103&lt;&gt;"",COUNTIF($AL$11:$AL1103,$AL1103)=1),1,0)</f>
        <v>0</v>
      </c>
      <c r="AW1103" s="21">
        <f t="shared" si="121"/>
        <v>0</v>
      </c>
      <c r="AX1103" s="21" t="str">
        <f t="shared" si="120"/>
        <v/>
      </c>
      <c r="AY1103" s="21" t="str">
        <f>IF(AND($AM1103&lt;&gt;"",$AS1103&lt;&gt;"✓"),SUMPRODUCT(($AM$11:$AM1103&lt;&gt;"")*($AS$11:$AS1103&lt;&gt;"✓")),"")</f>
        <v/>
      </c>
      <c r="AZ1103" s="21" t="str">
        <f>IF(AND($AM1103&lt;&gt;"",$AS1103="✓"),SUMPRODUCT(($AM$11:$AM1103&lt;&gt;"")*($AS$11:$AS1103="✓")),"")</f>
        <v/>
      </c>
      <c r="BA1103" s="21" t="str">
        <f>IF($AL1103="","",$AL1103&amp;"|"&amp;COUNTIF($AL$11:$AL1103,$AL1103))</f>
        <v/>
      </c>
    </row>
    <row r="1104" spans="38:53" ht="15" customHeight="1" x14ac:dyDescent="0.25">
      <c r="AL1104" s="31"/>
      <c r="AM1104" s="26"/>
      <c r="AN1104" s="32"/>
      <c r="AO1104" s="32"/>
      <c r="AP1104" s="24"/>
      <c r="AQ1104" s="24"/>
      <c r="AR1104" s="33"/>
      <c r="AS1104" s="34"/>
      <c r="AT1104" s="33"/>
      <c r="AV1104" s="21">
        <f>IF(AND($AL1104&lt;&gt;"",COUNTIF($AL$11:$AL1104,$AL1104)=1),1,0)</f>
        <v>0</v>
      </c>
      <c r="AW1104" s="21">
        <f t="shared" si="121"/>
        <v>0</v>
      </c>
      <c r="AX1104" s="21" t="str">
        <f t="shared" si="120"/>
        <v/>
      </c>
      <c r="AY1104" s="21" t="str">
        <f>IF(AND($AM1104&lt;&gt;"",$AS1104&lt;&gt;"✓"),SUMPRODUCT(($AM$11:$AM1104&lt;&gt;"")*($AS$11:$AS1104&lt;&gt;"✓")),"")</f>
        <v/>
      </c>
      <c r="AZ1104" s="21" t="str">
        <f>IF(AND($AM1104&lt;&gt;"",$AS1104="✓"),SUMPRODUCT(($AM$11:$AM1104&lt;&gt;"")*($AS$11:$AS1104="✓")),"")</f>
        <v/>
      </c>
      <c r="BA1104" s="21" t="str">
        <f>IF($AL1104="","",$AL1104&amp;"|"&amp;COUNTIF($AL$11:$AL1104,$AL1104))</f>
        <v/>
      </c>
    </row>
    <row r="1105" spans="38:53" ht="15" customHeight="1" x14ac:dyDescent="0.25">
      <c r="AL1105" s="17"/>
      <c r="AM1105" s="12"/>
      <c r="AN1105" s="18"/>
      <c r="AO1105" s="18"/>
      <c r="AP1105" s="10"/>
      <c r="AQ1105" s="10"/>
      <c r="AR1105" s="19"/>
      <c r="AS1105" s="20"/>
      <c r="AT1105" s="19"/>
      <c r="AV1105" s="21">
        <f>IF(AND($AL1105&lt;&gt;"",COUNTIF($AL$11:$AL1105,$AL1105)=1),1,0)</f>
        <v>0</v>
      </c>
      <c r="AW1105" s="21">
        <f t="shared" si="121"/>
        <v>0</v>
      </c>
      <c r="AX1105" s="21" t="str">
        <f t="shared" si="120"/>
        <v/>
      </c>
      <c r="AY1105" s="21" t="str">
        <f>IF(AND($AM1105&lt;&gt;"",$AS1105&lt;&gt;"✓"),SUMPRODUCT(($AM$11:$AM1105&lt;&gt;"")*($AS$11:$AS1105&lt;&gt;"✓")),"")</f>
        <v/>
      </c>
      <c r="AZ1105" s="21" t="str">
        <f>IF(AND($AM1105&lt;&gt;"",$AS1105="✓"),SUMPRODUCT(($AM$11:$AM1105&lt;&gt;"")*($AS$11:$AS1105="✓")),"")</f>
        <v/>
      </c>
      <c r="BA1105" s="21" t="str">
        <f>IF($AL1105="","",$AL1105&amp;"|"&amp;COUNTIF($AL$11:$AL1105,$AL1105))</f>
        <v/>
      </c>
    </row>
    <row r="1106" spans="38:53" ht="15" customHeight="1" x14ac:dyDescent="0.25">
      <c r="AL1106" s="31"/>
      <c r="AM1106" s="26"/>
      <c r="AN1106" s="32"/>
      <c r="AO1106" s="32"/>
      <c r="AP1106" s="24"/>
      <c r="AQ1106" s="24"/>
      <c r="AR1106" s="33"/>
      <c r="AS1106" s="34"/>
      <c r="AT1106" s="33"/>
      <c r="AV1106" s="21">
        <f>IF(AND($AL1106&lt;&gt;"",COUNTIF($AL$11:$AL1106,$AL1106)=1),1,0)</f>
        <v>0</v>
      </c>
      <c r="AW1106" s="21">
        <f t="shared" si="121"/>
        <v>0</v>
      </c>
      <c r="AX1106" s="21" t="str">
        <f t="shared" si="120"/>
        <v/>
      </c>
      <c r="AY1106" s="21" t="str">
        <f>IF(AND($AM1106&lt;&gt;"",$AS1106&lt;&gt;"✓"),SUMPRODUCT(($AM$11:$AM1106&lt;&gt;"")*($AS$11:$AS1106&lt;&gt;"✓")),"")</f>
        <v/>
      </c>
      <c r="AZ1106" s="21" t="str">
        <f>IF(AND($AM1106&lt;&gt;"",$AS1106="✓"),SUMPRODUCT(($AM$11:$AM1106&lt;&gt;"")*($AS$11:$AS1106="✓")),"")</f>
        <v/>
      </c>
      <c r="BA1106" s="21" t="str">
        <f>IF($AL1106="","",$AL1106&amp;"|"&amp;COUNTIF($AL$11:$AL1106,$AL1106))</f>
        <v/>
      </c>
    </row>
    <row r="1107" spans="38:53" ht="15" customHeight="1" x14ac:dyDescent="0.25">
      <c r="AL1107" s="17"/>
      <c r="AM1107" s="12"/>
      <c r="AN1107" s="18"/>
      <c r="AO1107" s="18"/>
      <c r="AP1107" s="10"/>
      <c r="AQ1107" s="10"/>
      <c r="AR1107" s="19"/>
      <c r="AS1107" s="20"/>
      <c r="AT1107" s="19"/>
      <c r="AV1107" s="21">
        <f>IF(AND($AL1107&lt;&gt;"",COUNTIF($AL$11:$AL1107,$AL1107)=1),1,0)</f>
        <v>0</v>
      </c>
      <c r="AW1107" s="21">
        <f t="shared" si="121"/>
        <v>0</v>
      </c>
      <c r="AX1107" s="21" t="str">
        <f t="shared" si="120"/>
        <v/>
      </c>
      <c r="AY1107" s="21" t="str">
        <f>IF(AND($AM1107&lt;&gt;"",$AS1107&lt;&gt;"✓"),SUMPRODUCT(($AM$11:$AM1107&lt;&gt;"")*($AS$11:$AS1107&lt;&gt;"✓")),"")</f>
        <v/>
      </c>
      <c r="AZ1107" s="21" t="str">
        <f>IF(AND($AM1107&lt;&gt;"",$AS1107="✓"),SUMPRODUCT(($AM$11:$AM1107&lt;&gt;"")*($AS$11:$AS1107="✓")),"")</f>
        <v/>
      </c>
      <c r="BA1107" s="21" t="str">
        <f>IF($AL1107="","",$AL1107&amp;"|"&amp;COUNTIF($AL$11:$AL1107,$AL1107))</f>
        <v/>
      </c>
    </row>
    <row r="1108" spans="38:53" ht="15" customHeight="1" x14ac:dyDescent="0.25">
      <c r="AL1108" s="31"/>
      <c r="AM1108" s="26"/>
      <c r="AN1108" s="32"/>
      <c r="AO1108" s="32"/>
      <c r="AP1108" s="24"/>
      <c r="AQ1108" s="24"/>
      <c r="AR1108" s="33"/>
      <c r="AS1108" s="34"/>
      <c r="AT1108" s="33"/>
      <c r="AV1108" s="21">
        <f>IF(AND($AL1108&lt;&gt;"",COUNTIF($AL$11:$AL1108,$AL1108)=1),1,0)</f>
        <v>0</v>
      </c>
      <c r="AW1108" s="21">
        <f t="shared" si="121"/>
        <v>0</v>
      </c>
      <c r="AX1108" s="21" t="str">
        <f t="shared" si="120"/>
        <v/>
      </c>
      <c r="AY1108" s="21" t="str">
        <f>IF(AND($AM1108&lt;&gt;"",$AS1108&lt;&gt;"✓"),SUMPRODUCT(($AM$11:$AM1108&lt;&gt;"")*($AS$11:$AS1108&lt;&gt;"✓")),"")</f>
        <v/>
      </c>
      <c r="AZ1108" s="21" t="str">
        <f>IF(AND($AM1108&lt;&gt;"",$AS1108="✓"),SUMPRODUCT(($AM$11:$AM1108&lt;&gt;"")*($AS$11:$AS1108="✓")),"")</f>
        <v/>
      </c>
      <c r="BA1108" s="21" t="str">
        <f>IF($AL1108="","",$AL1108&amp;"|"&amp;COUNTIF($AL$11:$AL1108,$AL1108))</f>
        <v/>
      </c>
    </row>
    <row r="1109" spans="38:53" ht="15" customHeight="1" x14ac:dyDescent="0.25">
      <c r="AL1109" s="17"/>
      <c r="AM1109" s="12"/>
      <c r="AN1109" s="18"/>
      <c r="AO1109" s="18"/>
      <c r="AP1109" s="10"/>
      <c r="AQ1109" s="10"/>
      <c r="AR1109" s="19"/>
      <c r="AS1109" s="20"/>
      <c r="AT1109" s="19"/>
      <c r="AV1109" s="21">
        <f>IF(AND($AL1109&lt;&gt;"",COUNTIF($AL$11:$AL1109,$AL1109)=1),1,0)</f>
        <v>0</v>
      </c>
      <c r="AW1109" s="21">
        <f t="shared" si="121"/>
        <v>0</v>
      </c>
      <c r="AX1109" s="21" t="str">
        <f t="shared" si="120"/>
        <v/>
      </c>
      <c r="AY1109" s="21" t="str">
        <f>IF(AND($AM1109&lt;&gt;"",$AS1109&lt;&gt;"✓"),SUMPRODUCT(($AM$11:$AM1109&lt;&gt;"")*($AS$11:$AS1109&lt;&gt;"✓")),"")</f>
        <v/>
      </c>
      <c r="AZ1109" s="21" t="str">
        <f>IF(AND($AM1109&lt;&gt;"",$AS1109="✓"),SUMPRODUCT(($AM$11:$AM1109&lt;&gt;"")*($AS$11:$AS1109="✓")),"")</f>
        <v/>
      </c>
      <c r="BA1109" s="21" t="str">
        <f>IF($AL1109="","",$AL1109&amp;"|"&amp;COUNTIF($AL$11:$AL1109,$AL1109))</f>
        <v/>
      </c>
    </row>
    <row r="1110" spans="38:53" ht="15" customHeight="1" x14ac:dyDescent="0.25">
      <c r="AL1110" s="31"/>
      <c r="AM1110" s="26"/>
      <c r="AN1110" s="32"/>
      <c r="AO1110" s="32"/>
      <c r="AP1110" s="24"/>
      <c r="AQ1110" s="24"/>
      <c r="AR1110" s="33"/>
      <c r="AS1110" s="34"/>
      <c r="AT1110" s="33"/>
      <c r="AV1110" s="21">
        <f>IF(AND($AL1110&lt;&gt;"",COUNTIF($AL$11:$AL1110,$AL1110)=1),1,0)</f>
        <v>0</v>
      </c>
      <c r="AW1110" s="21">
        <f t="shared" si="121"/>
        <v>0</v>
      </c>
      <c r="AX1110" s="21" t="str">
        <f t="shared" si="120"/>
        <v/>
      </c>
      <c r="AY1110" s="21" t="str">
        <f>IF(AND($AM1110&lt;&gt;"",$AS1110&lt;&gt;"✓"),SUMPRODUCT(($AM$11:$AM1110&lt;&gt;"")*($AS$11:$AS1110&lt;&gt;"✓")),"")</f>
        <v/>
      </c>
      <c r="AZ1110" s="21" t="str">
        <f>IF(AND($AM1110&lt;&gt;"",$AS1110="✓"),SUMPRODUCT(($AM$11:$AM1110&lt;&gt;"")*($AS$11:$AS1110="✓")),"")</f>
        <v/>
      </c>
      <c r="BA1110" s="21" t="str">
        <f>IF($AL1110="","",$AL1110&amp;"|"&amp;COUNTIF($AL$11:$AL1110,$AL1110))</f>
        <v/>
      </c>
    </row>
    <row r="1111" spans="38:53" ht="15" customHeight="1" x14ac:dyDescent="0.25">
      <c r="AL1111" s="17"/>
      <c r="AM1111" s="12"/>
      <c r="AN1111" s="18"/>
      <c r="AO1111" s="18"/>
      <c r="AP1111" s="10"/>
      <c r="AQ1111" s="10"/>
      <c r="AR1111" s="19"/>
      <c r="AS1111" s="20"/>
      <c r="AT1111" s="19"/>
      <c r="AV1111" s="21">
        <f>IF(AND($AL1111&lt;&gt;"",COUNTIF($AL$11:$AL1111,$AL1111)=1),1,0)</f>
        <v>0</v>
      </c>
      <c r="AW1111" s="21">
        <f t="shared" si="121"/>
        <v>0</v>
      </c>
      <c r="AX1111" s="21" t="str">
        <f t="shared" si="120"/>
        <v/>
      </c>
      <c r="AY1111" s="21" t="str">
        <f>IF(AND($AM1111&lt;&gt;"",$AS1111&lt;&gt;"✓"),SUMPRODUCT(($AM$11:$AM1111&lt;&gt;"")*($AS$11:$AS1111&lt;&gt;"✓")),"")</f>
        <v/>
      </c>
      <c r="AZ1111" s="21" t="str">
        <f>IF(AND($AM1111&lt;&gt;"",$AS1111="✓"),SUMPRODUCT(($AM$11:$AM1111&lt;&gt;"")*($AS$11:$AS1111="✓")),"")</f>
        <v/>
      </c>
      <c r="BA1111" s="21" t="str">
        <f>IF($AL1111="","",$AL1111&amp;"|"&amp;COUNTIF($AL$11:$AL1111,$AL1111))</f>
        <v/>
      </c>
    </row>
    <row r="1112" spans="38:53" ht="15" customHeight="1" x14ac:dyDescent="0.25">
      <c r="AL1112" s="31"/>
      <c r="AM1112" s="26"/>
      <c r="AN1112" s="32"/>
      <c r="AO1112" s="32"/>
      <c r="AP1112" s="24"/>
      <c r="AQ1112" s="24"/>
      <c r="AR1112" s="33"/>
      <c r="AS1112" s="34"/>
      <c r="AT1112" s="33"/>
      <c r="AV1112" s="21">
        <f>IF(AND($AL1112&lt;&gt;"",COUNTIF($AL$11:$AL1112,$AL1112)=1),1,0)</f>
        <v>0</v>
      </c>
      <c r="AW1112" s="21">
        <f t="shared" si="121"/>
        <v>0</v>
      </c>
      <c r="AX1112" s="21" t="str">
        <f t="shared" si="120"/>
        <v/>
      </c>
      <c r="AY1112" s="21" t="str">
        <f>IF(AND($AM1112&lt;&gt;"",$AS1112&lt;&gt;"✓"),SUMPRODUCT(($AM$11:$AM1112&lt;&gt;"")*($AS$11:$AS1112&lt;&gt;"✓")),"")</f>
        <v/>
      </c>
      <c r="AZ1112" s="21" t="str">
        <f>IF(AND($AM1112&lt;&gt;"",$AS1112="✓"),SUMPRODUCT(($AM$11:$AM1112&lt;&gt;"")*($AS$11:$AS1112="✓")),"")</f>
        <v/>
      </c>
      <c r="BA1112" s="21" t="str">
        <f>IF($AL1112="","",$AL1112&amp;"|"&amp;COUNTIF($AL$11:$AL1112,$AL1112))</f>
        <v/>
      </c>
    </row>
    <row r="1113" spans="38:53" ht="15" customHeight="1" x14ac:dyDescent="0.25">
      <c r="AL1113" s="17"/>
      <c r="AM1113" s="12"/>
      <c r="AN1113" s="18"/>
      <c r="AO1113" s="18"/>
      <c r="AP1113" s="10"/>
      <c r="AQ1113" s="10"/>
      <c r="AR1113" s="19"/>
      <c r="AS1113" s="20"/>
      <c r="AT1113" s="19"/>
      <c r="AV1113" s="21">
        <f>IF(AND($AL1113&lt;&gt;"",COUNTIF($AL$11:$AL1113,$AL1113)=1),1,0)</f>
        <v>0</v>
      </c>
      <c r="AW1113" s="21">
        <f t="shared" si="121"/>
        <v>0</v>
      </c>
      <c r="AX1113" s="21" t="str">
        <f t="shared" si="120"/>
        <v/>
      </c>
      <c r="AY1113" s="21" t="str">
        <f>IF(AND($AM1113&lt;&gt;"",$AS1113&lt;&gt;"✓"),SUMPRODUCT(($AM$11:$AM1113&lt;&gt;"")*($AS$11:$AS1113&lt;&gt;"✓")),"")</f>
        <v/>
      </c>
      <c r="AZ1113" s="21" t="str">
        <f>IF(AND($AM1113&lt;&gt;"",$AS1113="✓"),SUMPRODUCT(($AM$11:$AM1113&lt;&gt;"")*($AS$11:$AS1113="✓")),"")</f>
        <v/>
      </c>
      <c r="BA1113" s="21" t="str">
        <f>IF($AL1113="","",$AL1113&amp;"|"&amp;COUNTIF($AL$11:$AL1113,$AL1113))</f>
        <v/>
      </c>
    </row>
    <row r="1114" spans="38:53" ht="15" customHeight="1" x14ac:dyDescent="0.25">
      <c r="AL1114" s="31"/>
      <c r="AM1114" s="26"/>
      <c r="AN1114" s="32"/>
      <c r="AO1114" s="32"/>
      <c r="AP1114" s="24"/>
      <c r="AQ1114" s="24"/>
      <c r="AR1114" s="33"/>
      <c r="AS1114" s="34"/>
      <c r="AT1114" s="33"/>
      <c r="AV1114" s="21">
        <f>IF(AND($AL1114&lt;&gt;"",COUNTIF($AL$11:$AL1114,$AL1114)=1),1,0)</f>
        <v>0</v>
      </c>
      <c r="AW1114" s="21">
        <f t="shared" si="121"/>
        <v>0</v>
      </c>
      <c r="AX1114" s="21" t="str">
        <f t="shared" si="120"/>
        <v/>
      </c>
      <c r="AY1114" s="21" t="str">
        <f>IF(AND($AM1114&lt;&gt;"",$AS1114&lt;&gt;"✓"),SUMPRODUCT(($AM$11:$AM1114&lt;&gt;"")*($AS$11:$AS1114&lt;&gt;"✓")),"")</f>
        <v/>
      </c>
      <c r="AZ1114" s="21" t="str">
        <f>IF(AND($AM1114&lt;&gt;"",$AS1114="✓"),SUMPRODUCT(($AM$11:$AM1114&lt;&gt;"")*($AS$11:$AS1114="✓")),"")</f>
        <v/>
      </c>
      <c r="BA1114" s="21" t="str">
        <f>IF($AL1114="","",$AL1114&amp;"|"&amp;COUNTIF($AL$11:$AL1114,$AL1114))</f>
        <v/>
      </c>
    </row>
    <row r="1115" spans="38:53" ht="15" customHeight="1" x14ac:dyDescent="0.25">
      <c r="AL1115" s="17"/>
      <c r="AM1115" s="12"/>
      <c r="AN1115" s="18"/>
      <c r="AO1115" s="18"/>
      <c r="AP1115" s="10"/>
      <c r="AQ1115" s="10"/>
      <c r="AR1115" s="19"/>
      <c r="AS1115" s="20"/>
      <c r="AT1115" s="19"/>
      <c r="AV1115" s="21">
        <f>IF(AND($AL1115&lt;&gt;"",COUNTIF($AL$11:$AL1115,$AL1115)=1),1,0)</f>
        <v>0</v>
      </c>
      <c r="AW1115" s="21">
        <f t="shared" si="121"/>
        <v>0</v>
      </c>
      <c r="AX1115" s="21" t="str">
        <f t="shared" si="120"/>
        <v/>
      </c>
      <c r="AY1115" s="21" t="str">
        <f>IF(AND($AM1115&lt;&gt;"",$AS1115&lt;&gt;"✓"),SUMPRODUCT(($AM$11:$AM1115&lt;&gt;"")*($AS$11:$AS1115&lt;&gt;"✓")),"")</f>
        <v/>
      </c>
      <c r="AZ1115" s="21" t="str">
        <f>IF(AND($AM1115&lt;&gt;"",$AS1115="✓"),SUMPRODUCT(($AM$11:$AM1115&lt;&gt;"")*($AS$11:$AS1115="✓")),"")</f>
        <v/>
      </c>
      <c r="BA1115" s="21" t="str">
        <f>IF($AL1115="","",$AL1115&amp;"|"&amp;COUNTIF($AL$11:$AL1115,$AL1115))</f>
        <v/>
      </c>
    </row>
    <row r="1116" spans="38:53" ht="15" customHeight="1" x14ac:dyDescent="0.25">
      <c r="AL1116" s="31"/>
      <c r="AM1116" s="26"/>
      <c r="AN1116" s="32"/>
      <c r="AO1116" s="32"/>
      <c r="AP1116" s="24"/>
      <c r="AQ1116" s="24"/>
      <c r="AR1116" s="33"/>
      <c r="AS1116" s="34"/>
      <c r="AT1116" s="33"/>
      <c r="AV1116" s="21">
        <f>IF(AND($AL1116&lt;&gt;"",COUNTIF($AL$11:$AL1116,$AL1116)=1),1,0)</f>
        <v>0</v>
      </c>
      <c r="AW1116" s="21">
        <f t="shared" si="121"/>
        <v>0</v>
      </c>
      <c r="AX1116" s="21" t="str">
        <f t="shared" si="120"/>
        <v/>
      </c>
      <c r="AY1116" s="21" t="str">
        <f>IF(AND($AM1116&lt;&gt;"",$AS1116&lt;&gt;"✓"),SUMPRODUCT(($AM$11:$AM1116&lt;&gt;"")*($AS$11:$AS1116&lt;&gt;"✓")),"")</f>
        <v/>
      </c>
      <c r="AZ1116" s="21" t="str">
        <f>IF(AND($AM1116&lt;&gt;"",$AS1116="✓"),SUMPRODUCT(($AM$11:$AM1116&lt;&gt;"")*($AS$11:$AS1116="✓")),"")</f>
        <v/>
      </c>
      <c r="BA1116" s="21" t="str">
        <f>IF($AL1116="","",$AL1116&amp;"|"&amp;COUNTIF($AL$11:$AL1116,$AL1116))</f>
        <v/>
      </c>
    </row>
    <row r="1117" spans="38:53" ht="15" customHeight="1" x14ac:dyDescent="0.25">
      <c r="AL1117" s="17"/>
      <c r="AM1117" s="12"/>
      <c r="AN1117" s="18"/>
      <c r="AO1117" s="18"/>
      <c r="AP1117" s="10"/>
      <c r="AQ1117" s="10"/>
      <c r="AR1117" s="19"/>
      <c r="AS1117" s="20"/>
      <c r="AT1117" s="19"/>
      <c r="AV1117" s="21">
        <f>IF(AND($AL1117&lt;&gt;"",COUNTIF($AL$11:$AL1117,$AL1117)=1),1,0)</f>
        <v>0</v>
      </c>
      <c r="AW1117" s="21">
        <f t="shared" si="121"/>
        <v>0</v>
      </c>
      <c r="AX1117" s="21" t="str">
        <f t="shared" si="120"/>
        <v/>
      </c>
      <c r="AY1117" s="21" t="str">
        <f>IF(AND($AM1117&lt;&gt;"",$AS1117&lt;&gt;"✓"),SUMPRODUCT(($AM$11:$AM1117&lt;&gt;"")*($AS$11:$AS1117&lt;&gt;"✓")),"")</f>
        <v/>
      </c>
      <c r="AZ1117" s="21" t="str">
        <f>IF(AND($AM1117&lt;&gt;"",$AS1117="✓"),SUMPRODUCT(($AM$11:$AM1117&lt;&gt;"")*($AS$11:$AS1117="✓")),"")</f>
        <v/>
      </c>
      <c r="BA1117" s="21" t="str">
        <f>IF($AL1117="","",$AL1117&amp;"|"&amp;COUNTIF($AL$11:$AL1117,$AL1117))</f>
        <v/>
      </c>
    </row>
    <row r="1118" spans="38:53" ht="15" customHeight="1" x14ac:dyDescent="0.25">
      <c r="AL1118" s="31"/>
      <c r="AM1118" s="26"/>
      <c r="AN1118" s="32"/>
      <c r="AO1118" s="32"/>
      <c r="AP1118" s="24"/>
      <c r="AQ1118" s="24"/>
      <c r="AR1118" s="33"/>
      <c r="AS1118" s="34"/>
      <c r="AT1118" s="33"/>
      <c r="AV1118" s="21">
        <f>IF(AND($AL1118&lt;&gt;"",COUNTIF($AL$11:$AL1118,$AL1118)=1),1,0)</f>
        <v>0</v>
      </c>
      <c r="AW1118" s="21">
        <f t="shared" si="121"/>
        <v>0</v>
      </c>
      <c r="AX1118" s="21" t="str">
        <f t="shared" si="120"/>
        <v/>
      </c>
      <c r="AY1118" s="21" t="str">
        <f>IF(AND($AM1118&lt;&gt;"",$AS1118&lt;&gt;"✓"),SUMPRODUCT(($AM$11:$AM1118&lt;&gt;"")*($AS$11:$AS1118&lt;&gt;"✓")),"")</f>
        <v/>
      </c>
      <c r="AZ1118" s="21" t="str">
        <f>IF(AND($AM1118&lt;&gt;"",$AS1118="✓"),SUMPRODUCT(($AM$11:$AM1118&lt;&gt;"")*($AS$11:$AS1118="✓")),"")</f>
        <v/>
      </c>
      <c r="BA1118" s="21" t="str">
        <f>IF($AL1118="","",$AL1118&amp;"|"&amp;COUNTIF($AL$11:$AL1118,$AL1118))</f>
        <v/>
      </c>
    </row>
    <row r="1119" spans="38:53" ht="15" customHeight="1" x14ac:dyDescent="0.25">
      <c r="AL1119" s="17"/>
      <c r="AM1119" s="12"/>
      <c r="AN1119" s="18"/>
      <c r="AO1119" s="18"/>
      <c r="AP1119" s="10"/>
      <c r="AQ1119" s="10"/>
      <c r="AR1119" s="19"/>
      <c r="AS1119" s="20"/>
      <c r="AT1119" s="19"/>
      <c r="AV1119" s="21">
        <f>IF(AND($AL1119&lt;&gt;"",COUNTIF($AL$11:$AL1119,$AL1119)=1),1,0)</f>
        <v>0</v>
      </c>
      <c r="AW1119" s="21">
        <f t="shared" si="121"/>
        <v>0</v>
      </c>
      <c r="AX1119" s="21" t="str">
        <f t="shared" si="120"/>
        <v/>
      </c>
      <c r="AY1119" s="21" t="str">
        <f>IF(AND($AM1119&lt;&gt;"",$AS1119&lt;&gt;"✓"),SUMPRODUCT(($AM$11:$AM1119&lt;&gt;"")*($AS$11:$AS1119&lt;&gt;"✓")),"")</f>
        <v/>
      </c>
      <c r="AZ1119" s="21" t="str">
        <f>IF(AND($AM1119&lt;&gt;"",$AS1119="✓"),SUMPRODUCT(($AM$11:$AM1119&lt;&gt;"")*($AS$11:$AS1119="✓")),"")</f>
        <v/>
      </c>
      <c r="BA1119" s="21" t="str">
        <f>IF($AL1119="","",$AL1119&amp;"|"&amp;COUNTIF($AL$11:$AL1119,$AL1119))</f>
        <v/>
      </c>
    </row>
    <row r="1120" spans="38:53" ht="15" customHeight="1" x14ac:dyDescent="0.25">
      <c r="AL1120" s="31"/>
      <c r="AM1120" s="26"/>
      <c r="AN1120" s="32"/>
      <c r="AO1120" s="32"/>
      <c r="AP1120" s="24"/>
      <c r="AQ1120" s="24"/>
      <c r="AR1120" s="33"/>
      <c r="AS1120" s="34"/>
      <c r="AT1120" s="33"/>
      <c r="AV1120" s="21">
        <f>IF(AND($AL1120&lt;&gt;"",COUNTIF($AL$11:$AL1120,$AL1120)=1),1,0)</f>
        <v>0</v>
      </c>
      <c r="AW1120" s="21">
        <f t="shared" si="121"/>
        <v>0</v>
      </c>
      <c r="AX1120" s="21" t="str">
        <f t="shared" si="120"/>
        <v/>
      </c>
      <c r="AY1120" s="21" t="str">
        <f>IF(AND($AM1120&lt;&gt;"",$AS1120&lt;&gt;"✓"),SUMPRODUCT(($AM$11:$AM1120&lt;&gt;"")*($AS$11:$AS1120&lt;&gt;"✓")),"")</f>
        <v/>
      </c>
      <c r="AZ1120" s="21" t="str">
        <f>IF(AND($AM1120&lt;&gt;"",$AS1120="✓"),SUMPRODUCT(($AM$11:$AM1120&lt;&gt;"")*($AS$11:$AS1120="✓")),"")</f>
        <v/>
      </c>
      <c r="BA1120" s="21" t="str">
        <f>IF($AL1120="","",$AL1120&amp;"|"&amp;COUNTIF($AL$11:$AL1120,$AL1120))</f>
        <v/>
      </c>
    </row>
    <row r="1121" spans="38:53" ht="15" customHeight="1" x14ac:dyDescent="0.25">
      <c r="AL1121" s="17"/>
      <c r="AM1121" s="12"/>
      <c r="AN1121" s="18"/>
      <c r="AO1121" s="18"/>
      <c r="AP1121" s="10"/>
      <c r="AQ1121" s="10"/>
      <c r="AR1121" s="19"/>
      <c r="AS1121" s="20"/>
      <c r="AT1121" s="19"/>
      <c r="AV1121" s="21">
        <f>IF(AND($AL1121&lt;&gt;"",COUNTIF($AL$11:$AL1121,$AL1121)=1),1,0)</f>
        <v>0</v>
      </c>
      <c r="AW1121" s="21">
        <f t="shared" si="121"/>
        <v>0</v>
      </c>
      <c r="AX1121" s="21" t="str">
        <f t="shared" si="120"/>
        <v/>
      </c>
      <c r="AY1121" s="21" t="str">
        <f>IF(AND($AM1121&lt;&gt;"",$AS1121&lt;&gt;"✓"),SUMPRODUCT(($AM$11:$AM1121&lt;&gt;"")*($AS$11:$AS1121&lt;&gt;"✓")),"")</f>
        <v/>
      </c>
      <c r="AZ1121" s="21" t="str">
        <f>IF(AND($AM1121&lt;&gt;"",$AS1121="✓"),SUMPRODUCT(($AM$11:$AM1121&lt;&gt;"")*($AS$11:$AS1121="✓")),"")</f>
        <v/>
      </c>
      <c r="BA1121" s="21" t="str">
        <f>IF($AL1121="","",$AL1121&amp;"|"&amp;COUNTIF($AL$11:$AL1121,$AL1121))</f>
        <v/>
      </c>
    </row>
    <row r="1122" spans="38:53" ht="15" customHeight="1" x14ac:dyDescent="0.25">
      <c r="AL1122" s="31"/>
      <c r="AM1122" s="26"/>
      <c r="AN1122" s="32"/>
      <c r="AO1122" s="32"/>
      <c r="AP1122" s="24"/>
      <c r="AQ1122" s="24"/>
      <c r="AR1122" s="33"/>
      <c r="AS1122" s="34"/>
      <c r="AT1122" s="33"/>
      <c r="AV1122" s="21">
        <f>IF(AND($AL1122&lt;&gt;"",COUNTIF($AL$11:$AL1122,$AL1122)=1),1,0)</f>
        <v>0</v>
      </c>
      <c r="AW1122" s="21">
        <f t="shared" si="121"/>
        <v>0</v>
      </c>
      <c r="AX1122" s="21" t="str">
        <f t="shared" si="120"/>
        <v/>
      </c>
      <c r="AY1122" s="21" t="str">
        <f>IF(AND($AM1122&lt;&gt;"",$AS1122&lt;&gt;"✓"),SUMPRODUCT(($AM$11:$AM1122&lt;&gt;"")*($AS$11:$AS1122&lt;&gt;"✓")),"")</f>
        <v/>
      </c>
      <c r="AZ1122" s="21" t="str">
        <f>IF(AND($AM1122&lt;&gt;"",$AS1122="✓"),SUMPRODUCT(($AM$11:$AM1122&lt;&gt;"")*($AS$11:$AS1122="✓")),"")</f>
        <v/>
      </c>
      <c r="BA1122" s="21" t="str">
        <f>IF($AL1122="","",$AL1122&amp;"|"&amp;COUNTIF($AL$11:$AL1122,$AL1122))</f>
        <v/>
      </c>
    </row>
    <row r="1123" spans="38:53" ht="15" customHeight="1" x14ac:dyDescent="0.25">
      <c r="AL1123" s="17"/>
      <c r="AM1123" s="12"/>
      <c r="AN1123" s="18"/>
      <c r="AO1123" s="18"/>
      <c r="AP1123" s="10"/>
      <c r="AQ1123" s="10"/>
      <c r="AR1123" s="19"/>
      <c r="AS1123" s="20"/>
      <c r="AT1123" s="19"/>
      <c r="AV1123" s="21">
        <f>IF(AND($AL1123&lt;&gt;"",COUNTIF($AL$11:$AL1123,$AL1123)=1),1,0)</f>
        <v>0</v>
      </c>
      <c r="AW1123" s="21">
        <f t="shared" si="121"/>
        <v>0</v>
      </c>
      <c r="AX1123" s="21" t="str">
        <f t="shared" si="120"/>
        <v/>
      </c>
      <c r="AY1123" s="21" t="str">
        <f>IF(AND($AM1123&lt;&gt;"",$AS1123&lt;&gt;"✓"),SUMPRODUCT(($AM$11:$AM1123&lt;&gt;"")*($AS$11:$AS1123&lt;&gt;"✓")),"")</f>
        <v/>
      </c>
      <c r="AZ1123" s="21" t="str">
        <f>IF(AND($AM1123&lt;&gt;"",$AS1123="✓"),SUMPRODUCT(($AM$11:$AM1123&lt;&gt;"")*($AS$11:$AS1123="✓")),"")</f>
        <v/>
      </c>
      <c r="BA1123" s="21" t="str">
        <f>IF($AL1123="","",$AL1123&amp;"|"&amp;COUNTIF($AL$11:$AL1123,$AL1123))</f>
        <v/>
      </c>
    </row>
    <row r="1124" spans="38:53" ht="15" customHeight="1" x14ac:dyDescent="0.25">
      <c r="AL1124" s="31"/>
      <c r="AM1124" s="26"/>
      <c r="AN1124" s="32"/>
      <c r="AO1124" s="32"/>
      <c r="AP1124" s="24"/>
      <c r="AQ1124" s="24"/>
      <c r="AR1124" s="33"/>
      <c r="AS1124" s="34"/>
      <c r="AT1124" s="33"/>
      <c r="AV1124" s="21">
        <f>IF(AND($AL1124&lt;&gt;"",COUNTIF($AL$11:$AL1124,$AL1124)=1),1,0)</f>
        <v>0</v>
      </c>
      <c r="AW1124" s="21">
        <f t="shared" si="121"/>
        <v>0</v>
      </c>
      <c r="AX1124" s="21" t="str">
        <f t="shared" si="120"/>
        <v/>
      </c>
      <c r="AY1124" s="21" t="str">
        <f>IF(AND($AM1124&lt;&gt;"",$AS1124&lt;&gt;"✓"),SUMPRODUCT(($AM$11:$AM1124&lt;&gt;"")*($AS$11:$AS1124&lt;&gt;"✓")),"")</f>
        <v/>
      </c>
      <c r="AZ1124" s="21" t="str">
        <f>IF(AND($AM1124&lt;&gt;"",$AS1124="✓"),SUMPRODUCT(($AM$11:$AM1124&lt;&gt;"")*($AS$11:$AS1124="✓")),"")</f>
        <v/>
      </c>
      <c r="BA1124" s="21" t="str">
        <f>IF($AL1124="","",$AL1124&amp;"|"&amp;COUNTIF($AL$11:$AL1124,$AL1124))</f>
        <v/>
      </c>
    </row>
    <row r="1125" spans="38:53" ht="15" customHeight="1" x14ac:dyDescent="0.25">
      <c r="AL1125" s="17"/>
      <c r="AM1125" s="12"/>
      <c r="AN1125" s="18"/>
      <c r="AO1125" s="18"/>
      <c r="AP1125" s="10"/>
      <c r="AQ1125" s="10"/>
      <c r="AR1125" s="19"/>
      <c r="AS1125" s="20"/>
      <c r="AT1125" s="19"/>
      <c r="AV1125" s="21">
        <f>IF(AND($AL1125&lt;&gt;"",COUNTIF($AL$11:$AL1125,$AL1125)=1),1,0)</f>
        <v>0</v>
      </c>
      <c r="AW1125" s="21">
        <f t="shared" si="121"/>
        <v>0</v>
      </c>
      <c r="AX1125" s="21" t="str">
        <f t="shared" si="120"/>
        <v/>
      </c>
      <c r="AY1125" s="21" t="str">
        <f>IF(AND($AM1125&lt;&gt;"",$AS1125&lt;&gt;"✓"),SUMPRODUCT(($AM$11:$AM1125&lt;&gt;"")*($AS$11:$AS1125&lt;&gt;"✓")),"")</f>
        <v/>
      </c>
      <c r="AZ1125" s="21" t="str">
        <f>IF(AND($AM1125&lt;&gt;"",$AS1125="✓"),SUMPRODUCT(($AM$11:$AM1125&lt;&gt;"")*($AS$11:$AS1125="✓")),"")</f>
        <v/>
      </c>
      <c r="BA1125" s="21" t="str">
        <f>IF($AL1125="","",$AL1125&amp;"|"&amp;COUNTIF($AL$11:$AL1125,$AL1125))</f>
        <v/>
      </c>
    </row>
    <row r="1126" spans="38:53" ht="15" customHeight="1" x14ac:dyDescent="0.25">
      <c r="AL1126" s="31"/>
      <c r="AM1126" s="26"/>
      <c r="AN1126" s="32"/>
      <c r="AO1126" s="32"/>
      <c r="AP1126" s="24"/>
      <c r="AQ1126" s="24"/>
      <c r="AR1126" s="33"/>
      <c r="AS1126" s="34"/>
      <c r="AT1126" s="33"/>
      <c r="AV1126" s="21">
        <f>IF(AND($AL1126&lt;&gt;"",COUNTIF($AL$11:$AL1126,$AL1126)=1),1,0)</f>
        <v>0</v>
      </c>
      <c r="AW1126" s="21">
        <f t="shared" si="121"/>
        <v>0</v>
      </c>
      <c r="AX1126" s="21" t="str">
        <f t="shared" si="120"/>
        <v/>
      </c>
      <c r="AY1126" s="21" t="str">
        <f>IF(AND($AM1126&lt;&gt;"",$AS1126&lt;&gt;"✓"),SUMPRODUCT(($AM$11:$AM1126&lt;&gt;"")*($AS$11:$AS1126&lt;&gt;"✓")),"")</f>
        <v/>
      </c>
      <c r="AZ1126" s="21" t="str">
        <f>IF(AND($AM1126&lt;&gt;"",$AS1126="✓"),SUMPRODUCT(($AM$11:$AM1126&lt;&gt;"")*($AS$11:$AS1126="✓")),"")</f>
        <v/>
      </c>
      <c r="BA1126" s="21" t="str">
        <f>IF($AL1126="","",$AL1126&amp;"|"&amp;COUNTIF($AL$11:$AL1126,$AL1126))</f>
        <v/>
      </c>
    </row>
    <row r="1127" spans="38:53" ht="15" customHeight="1" x14ac:dyDescent="0.25">
      <c r="AL1127" s="17"/>
      <c r="AM1127" s="12"/>
      <c r="AN1127" s="18"/>
      <c r="AO1127" s="18"/>
      <c r="AP1127" s="10"/>
      <c r="AQ1127" s="10"/>
      <c r="AR1127" s="19"/>
      <c r="AS1127" s="20"/>
      <c r="AT1127" s="19"/>
      <c r="AV1127" s="21">
        <f>IF(AND($AL1127&lt;&gt;"",COUNTIF($AL$11:$AL1127,$AL1127)=1),1,0)</f>
        <v>0</v>
      </c>
      <c r="AW1127" s="21">
        <f t="shared" si="121"/>
        <v>0</v>
      </c>
      <c r="AX1127" s="21" t="str">
        <f t="shared" si="120"/>
        <v/>
      </c>
      <c r="AY1127" s="21" t="str">
        <f>IF(AND($AM1127&lt;&gt;"",$AS1127&lt;&gt;"✓"),SUMPRODUCT(($AM$11:$AM1127&lt;&gt;"")*($AS$11:$AS1127&lt;&gt;"✓")),"")</f>
        <v/>
      </c>
      <c r="AZ1127" s="21" t="str">
        <f>IF(AND($AM1127&lt;&gt;"",$AS1127="✓"),SUMPRODUCT(($AM$11:$AM1127&lt;&gt;"")*($AS$11:$AS1127="✓")),"")</f>
        <v/>
      </c>
      <c r="BA1127" s="21" t="str">
        <f>IF($AL1127="","",$AL1127&amp;"|"&amp;COUNTIF($AL$11:$AL1127,$AL1127))</f>
        <v/>
      </c>
    </row>
    <row r="1128" spans="38:53" ht="15" customHeight="1" x14ac:dyDescent="0.25">
      <c r="AL1128" s="31"/>
      <c r="AM1128" s="26"/>
      <c r="AN1128" s="32"/>
      <c r="AO1128" s="32"/>
      <c r="AP1128" s="24"/>
      <c r="AQ1128" s="24"/>
      <c r="AR1128" s="33"/>
      <c r="AS1128" s="34"/>
      <c r="AT1128" s="33"/>
      <c r="AV1128" s="21">
        <f>IF(AND($AL1128&lt;&gt;"",COUNTIF($AL$11:$AL1128,$AL1128)=1),1,0)</f>
        <v>0</v>
      </c>
      <c r="AW1128" s="21">
        <f t="shared" si="121"/>
        <v>0</v>
      </c>
      <c r="AX1128" s="21" t="str">
        <f t="shared" si="120"/>
        <v/>
      </c>
      <c r="AY1128" s="21" t="str">
        <f>IF(AND($AM1128&lt;&gt;"",$AS1128&lt;&gt;"✓"),SUMPRODUCT(($AM$11:$AM1128&lt;&gt;"")*($AS$11:$AS1128&lt;&gt;"✓")),"")</f>
        <v/>
      </c>
      <c r="AZ1128" s="21" t="str">
        <f>IF(AND($AM1128&lt;&gt;"",$AS1128="✓"),SUMPRODUCT(($AM$11:$AM1128&lt;&gt;"")*($AS$11:$AS1128="✓")),"")</f>
        <v/>
      </c>
      <c r="BA1128" s="21" t="str">
        <f>IF($AL1128="","",$AL1128&amp;"|"&amp;COUNTIF($AL$11:$AL1128,$AL1128))</f>
        <v/>
      </c>
    </row>
    <row r="1129" spans="38:53" ht="15" customHeight="1" x14ac:dyDescent="0.25">
      <c r="AL1129" s="17"/>
      <c r="AM1129" s="12"/>
      <c r="AN1129" s="18"/>
      <c r="AO1129" s="18"/>
      <c r="AP1129" s="10"/>
      <c r="AQ1129" s="10"/>
      <c r="AR1129" s="19"/>
      <c r="AS1129" s="20"/>
      <c r="AT1129" s="19"/>
      <c r="AV1129" s="21">
        <f>IF(AND($AL1129&lt;&gt;"",COUNTIF($AL$11:$AL1129,$AL1129)=1),1,0)</f>
        <v>0</v>
      </c>
      <c r="AW1129" s="21">
        <f t="shared" si="121"/>
        <v>0</v>
      </c>
      <c r="AX1129" s="21" t="str">
        <f t="shared" si="120"/>
        <v/>
      </c>
      <c r="AY1129" s="21" t="str">
        <f>IF(AND($AM1129&lt;&gt;"",$AS1129&lt;&gt;"✓"),SUMPRODUCT(($AM$11:$AM1129&lt;&gt;"")*($AS$11:$AS1129&lt;&gt;"✓")),"")</f>
        <v/>
      </c>
      <c r="AZ1129" s="21" t="str">
        <f>IF(AND($AM1129&lt;&gt;"",$AS1129="✓"),SUMPRODUCT(($AM$11:$AM1129&lt;&gt;"")*($AS$11:$AS1129="✓")),"")</f>
        <v/>
      </c>
      <c r="BA1129" s="21" t="str">
        <f>IF($AL1129="","",$AL1129&amp;"|"&amp;COUNTIF($AL$11:$AL1129,$AL1129))</f>
        <v/>
      </c>
    </row>
    <row r="1130" spans="38:53" ht="15" customHeight="1" x14ac:dyDescent="0.25">
      <c r="AL1130" s="31"/>
      <c r="AM1130" s="26"/>
      <c r="AN1130" s="32"/>
      <c r="AO1130" s="32"/>
      <c r="AP1130" s="24"/>
      <c r="AQ1130" s="24"/>
      <c r="AR1130" s="33"/>
      <c r="AS1130" s="34"/>
      <c r="AT1130" s="33"/>
      <c r="AV1130" s="21">
        <f>IF(AND($AL1130&lt;&gt;"",COUNTIF($AL$11:$AL1130,$AL1130)=1),1,0)</f>
        <v>0</v>
      </c>
      <c r="AW1130" s="21">
        <f t="shared" si="121"/>
        <v>0</v>
      </c>
      <c r="AX1130" s="21" t="str">
        <f t="shared" si="120"/>
        <v/>
      </c>
      <c r="AY1130" s="21" t="str">
        <f>IF(AND($AM1130&lt;&gt;"",$AS1130&lt;&gt;"✓"),SUMPRODUCT(($AM$11:$AM1130&lt;&gt;"")*($AS$11:$AS1130&lt;&gt;"✓")),"")</f>
        <v/>
      </c>
      <c r="AZ1130" s="21" t="str">
        <f>IF(AND($AM1130&lt;&gt;"",$AS1130="✓"),SUMPRODUCT(($AM$11:$AM1130&lt;&gt;"")*($AS$11:$AS1130="✓")),"")</f>
        <v/>
      </c>
      <c r="BA1130" s="21" t="str">
        <f>IF($AL1130="","",$AL1130&amp;"|"&amp;COUNTIF($AL$11:$AL1130,$AL1130))</f>
        <v/>
      </c>
    </row>
    <row r="1131" spans="38:53" ht="15" customHeight="1" x14ac:dyDescent="0.25">
      <c r="AL1131" s="17"/>
      <c r="AM1131" s="12"/>
      <c r="AN1131" s="18"/>
      <c r="AO1131" s="18"/>
      <c r="AP1131" s="10"/>
      <c r="AQ1131" s="10"/>
      <c r="AR1131" s="19"/>
      <c r="AS1131" s="20"/>
      <c r="AT1131" s="19"/>
      <c r="AV1131" s="21">
        <f>IF(AND($AL1131&lt;&gt;"",COUNTIF($AL$11:$AL1131,$AL1131)=1),1,0)</f>
        <v>0</v>
      </c>
      <c r="AW1131" s="21">
        <f t="shared" si="121"/>
        <v>0</v>
      </c>
      <c r="AX1131" s="21" t="str">
        <f t="shared" si="120"/>
        <v/>
      </c>
      <c r="AY1131" s="21" t="str">
        <f>IF(AND($AM1131&lt;&gt;"",$AS1131&lt;&gt;"✓"),SUMPRODUCT(($AM$11:$AM1131&lt;&gt;"")*($AS$11:$AS1131&lt;&gt;"✓")),"")</f>
        <v/>
      </c>
      <c r="AZ1131" s="21" t="str">
        <f>IF(AND($AM1131&lt;&gt;"",$AS1131="✓"),SUMPRODUCT(($AM$11:$AM1131&lt;&gt;"")*($AS$11:$AS1131="✓")),"")</f>
        <v/>
      </c>
      <c r="BA1131" s="21" t="str">
        <f>IF($AL1131="","",$AL1131&amp;"|"&amp;COUNTIF($AL$11:$AL1131,$AL1131))</f>
        <v/>
      </c>
    </row>
    <row r="1132" spans="38:53" ht="15" customHeight="1" x14ac:dyDescent="0.25">
      <c r="AL1132" s="31"/>
      <c r="AM1132" s="26"/>
      <c r="AN1132" s="32"/>
      <c r="AO1132" s="32"/>
      <c r="AP1132" s="24"/>
      <c r="AQ1132" s="24"/>
      <c r="AR1132" s="33"/>
      <c r="AS1132" s="34"/>
      <c r="AT1132" s="33"/>
      <c r="AV1132" s="21">
        <f>IF(AND($AL1132&lt;&gt;"",COUNTIF($AL$11:$AL1132,$AL1132)=1),1,0)</f>
        <v>0</v>
      </c>
      <c r="AW1132" s="21">
        <f t="shared" si="121"/>
        <v>0</v>
      </c>
      <c r="AX1132" s="21" t="str">
        <f t="shared" si="120"/>
        <v/>
      </c>
      <c r="AY1132" s="21" t="str">
        <f>IF(AND($AM1132&lt;&gt;"",$AS1132&lt;&gt;"✓"),SUMPRODUCT(($AM$11:$AM1132&lt;&gt;"")*($AS$11:$AS1132&lt;&gt;"✓")),"")</f>
        <v/>
      </c>
      <c r="AZ1132" s="21" t="str">
        <f>IF(AND($AM1132&lt;&gt;"",$AS1132="✓"),SUMPRODUCT(($AM$11:$AM1132&lt;&gt;"")*($AS$11:$AS1132="✓")),"")</f>
        <v/>
      </c>
      <c r="BA1132" s="21" t="str">
        <f>IF($AL1132="","",$AL1132&amp;"|"&amp;COUNTIF($AL$11:$AL1132,$AL1132))</f>
        <v/>
      </c>
    </row>
    <row r="1133" spans="38:53" ht="15" customHeight="1" x14ac:dyDescent="0.25">
      <c r="AL1133" s="17"/>
      <c r="AM1133" s="12"/>
      <c r="AN1133" s="18"/>
      <c r="AO1133" s="18"/>
      <c r="AP1133" s="10"/>
      <c r="AQ1133" s="10"/>
      <c r="AR1133" s="19"/>
      <c r="AS1133" s="20"/>
      <c r="AT1133" s="19"/>
      <c r="AV1133" s="21">
        <f>IF(AND($AL1133&lt;&gt;"",COUNTIF($AL$11:$AL1133,$AL1133)=1),1,0)</f>
        <v>0</v>
      </c>
      <c r="AW1133" s="21">
        <f t="shared" si="121"/>
        <v>0</v>
      </c>
      <c r="AX1133" s="21" t="str">
        <f t="shared" si="120"/>
        <v/>
      </c>
      <c r="AY1133" s="21" t="str">
        <f>IF(AND($AM1133&lt;&gt;"",$AS1133&lt;&gt;"✓"),SUMPRODUCT(($AM$11:$AM1133&lt;&gt;"")*($AS$11:$AS1133&lt;&gt;"✓")),"")</f>
        <v/>
      </c>
      <c r="AZ1133" s="21" t="str">
        <f>IF(AND($AM1133&lt;&gt;"",$AS1133="✓"),SUMPRODUCT(($AM$11:$AM1133&lt;&gt;"")*($AS$11:$AS1133="✓")),"")</f>
        <v/>
      </c>
      <c r="BA1133" s="21" t="str">
        <f>IF($AL1133="","",$AL1133&amp;"|"&amp;COUNTIF($AL$11:$AL1133,$AL1133))</f>
        <v/>
      </c>
    </row>
    <row r="1134" spans="38:53" ht="15" customHeight="1" x14ac:dyDescent="0.25">
      <c r="AL1134" s="31"/>
      <c r="AM1134" s="26"/>
      <c r="AN1134" s="32"/>
      <c r="AO1134" s="32"/>
      <c r="AP1134" s="24"/>
      <c r="AQ1134" s="24"/>
      <c r="AR1134" s="33"/>
      <c r="AS1134" s="34"/>
      <c r="AT1134" s="33"/>
      <c r="AV1134" s="21">
        <f>IF(AND($AL1134&lt;&gt;"",COUNTIF($AL$11:$AL1134,$AL1134)=1),1,0)</f>
        <v>0</v>
      </c>
      <c r="AW1134" s="21">
        <f t="shared" si="121"/>
        <v>0</v>
      </c>
      <c r="AX1134" s="21" t="str">
        <f t="shared" si="120"/>
        <v/>
      </c>
      <c r="AY1134" s="21" t="str">
        <f>IF(AND($AM1134&lt;&gt;"",$AS1134&lt;&gt;"✓"),SUMPRODUCT(($AM$11:$AM1134&lt;&gt;"")*($AS$11:$AS1134&lt;&gt;"✓")),"")</f>
        <v/>
      </c>
      <c r="AZ1134" s="21" t="str">
        <f>IF(AND($AM1134&lt;&gt;"",$AS1134="✓"),SUMPRODUCT(($AM$11:$AM1134&lt;&gt;"")*($AS$11:$AS1134="✓")),"")</f>
        <v/>
      </c>
      <c r="BA1134" s="21" t="str">
        <f>IF($AL1134="","",$AL1134&amp;"|"&amp;COUNTIF($AL$11:$AL1134,$AL1134))</f>
        <v/>
      </c>
    </row>
    <row r="1135" spans="38:53" ht="15" customHeight="1" x14ac:dyDescent="0.25">
      <c r="AL1135" s="17"/>
      <c r="AM1135" s="12"/>
      <c r="AN1135" s="18"/>
      <c r="AO1135" s="18"/>
      <c r="AP1135" s="10"/>
      <c r="AQ1135" s="10"/>
      <c r="AR1135" s="19"/>
      <c r="AS1135" s="20"/>
      <c r="AT1135" s="19"/>
      <c r="AV1135" s="21">
        <f>IF(AND($AL1135&lt;&gt;"",COUNTIF($AL$11:$AL1135,$AL1135)=1),1,0)</f>
        <v>0</v>
      </c>
      <c r="AW1135" s="21">
        <f t="shared" si="121"/>
        <v>0</v>
      </c>
      <c r="AX1135" s="21" t="str">
        <f t="shared" si="120"/>
        <v/>
      </c>
      <c r="AY1135" s="21" t="str">
        <f>IF(AND($AM1135&lt;&gt;"",$AS1135&lt;&gt;"✓"),SUMPRODUCT(($AM$11:$AM1135&lt;&gt;"")*($AS$11:$AS1135&lt;&gt;"✓")),"")</f>
        <v/>
      </c>
      <c r="AZ1135" s="21" t="str">
        <f>IF(AND($AM1135&lt;&gt;"",$AS1135="✓"),SUMPRODUCT(($AM$11:$AM1135&lt;&gt;"")*($AS$11:$AS1135="✓")),"")</f>
        <v/>
      </c>
      <c r="BA1135" s="21" t="str">
        <f>IF($AL1135="","",$AL1135&amp;"|"&amp;COUNTIF($AL$11:$AL1135,$AL1135))</f>
        <v/>
      </c>
    </row>
    <row r="1136" spans="38:53" ht="15" customHeight="1" x14ac:dyDescent="0.25">
      <c r="AL1136" s="31"/>
      <c r="AM1136" s="26"/>
      <c r="AN1136" s="32"/>
      <c r="AO1136" s="32"/>
      <c r="AP1136" s="24"/>
      <c r="AQ1136" s="24"/>
      <c r="AR1136" s="33"/>
      <c r="AS1136" s="34"/>
      <c r="AT1136" s="33"/>
      <c r="AV1136" s="21">
        <f>IF(AND($AL1136&lt;&gt;"",COUNTIF($AL$11:$AL1136,$AL1136)=1),1,0)</f>
        <v>0</v>
      </c>
      <c r="AW1136" s="21">
        <f t="shared" si="121"/>
        <v>0</v>
      </c>
      <c r="AX1136" s="21" t="str">
        <f t="shared" si="120"/>
        <v/>
      </c>
      <c r="AY1136" s="21" t="str">
        <f>IF(AND($AM1136&lt;&gt;"",$AS1136&lt;&gt;"✓"),SUMPRODUCT(($AM$11:$AM1136&lt;&gt;"")*($AS$11:$AS1136&lt;&gt;"✓")),"")</f>
        <v/>
      </c>
      <c r="AZ1136" s="21" t="str">
        <f>IF(AND($AM1136&lt;&gt;"",$AS1136="✓"),SUMPRODUCT(($AM$11:$AM1136&lt;&gt;"")*($AS$11:$AS1136="✓")),"")</f>
        <v/>
      </c>
      <c r="BA1136" s="21" t="str">
        <f>IF($AL1136="","",$AL1136&amp;"|"&amp;COUNTIF($AL$11:$AL1136,$AL1136))</f>
        <v/>
      </c>
    </row>
    <row r="1137" spans="38:53" ht="15" customHeight="1" x14ac:dyDescent="0.25">
      <c r="AL1137" s="17"/>
      <c r="AM1137" s="12"/>
      <c r="AN1137" s="18"/>
      <c r="AO1137" s="18"/>
      <c r="AP1137" s="10"/>
      <c r="AQ1137" s="10"/>
      <c r="AR1137" s="19"/>
      <c r="AS1137" s="20"/>
      <c r="AT1137" s="19"/>
      <c r="AV1137" s="21">
        <f>IF(AND($AL1137&lt;&gt;"",COUNTIF($AL$11:$AL1137,$AL1137)=1),1,0)</f>
        <v>0</v>
      </c>
      <c r="AW1137" s="21">
        <f t="shared" si="121"/>
        <v>0</v>
      </c>
      <c r="AX1137" s="21" t="str">
        <f t="shared" si="120"/>
        <v/>
      </c>
      <c r="AY1137" s="21" t="str">
        <f>IF(AND($AM1137&lt;&gt;"",$AS1137&lt;&gt;"✓"),SUMPRODUCT(($AM$11:$AM1137&lt;&gt;"")*($AS$11:$AS1137&lt;&gt;"✓")),"")</f>
        <v/>
      </c>
      <c r="AZ1137" s="21" t="str">
        <f>IF(AND($AM1137&lt;&gt;"",$AS1137="✓"),SUMPRODUCT(($AM$11:$AM1137&lt;&gt;"")*($AS$11:$AS1137="✓")),"")</f>
        <v/>
      </c>
      <c r="BA1137" s="21" t="str">
        <f>IF($AL1137="","",$AL1137&amp;"|"&amp;COUNTIF($AL$11:$AL1137,$AL1137))</f>
        <v/>
      </c>
    </row>
    <row r="1138" spans="38:53" ht="15" customHeight="1" x14ac:dyDescent="0.25">
      <c r="AL1138" s="31"/>
      <c r="AM1138" s="26"/>
      <c r="AN1138" s="32"/>
      <c r="AO1138" s="32"/>
      <c r="AP1138" s="24"/>
      <c r="AQ1138" s="24"/>
      <c r="AR1138" s="33"/>
      <c r="AS1138" s="34"/>
      <c r="AT1138" s="33"/>
      <c r="AV1138" s="21">
        <f>IF(AND($AL1138&lt;&gt;"",COUNTIF($AL$11:$AL1138,$AL1138)=1),1,0)</f>
        <v>0</v>
      </c>
      <c r="AW1138" s="21">
        <f t="shared" si="121"/>
        <v>0</v>
      </c>
      <c r="AX1138" s="21" t="str">
        <f t="shared" si="120"/>
        <v/>
      </c>
      <c r="AY1138" s="21" t="str">
        <f>IF(AND($AM1138&lt;&gt;"",$AS1138&lt;&gt;"✓"),SUMPRODUCT(($AM$11:$AM1138&lt;&gt;"")*($AS$11:$AS1138&lt;&gt;"✓")),"")</f>
        <v/>
      </c>
      <c r="AZ1138" s="21" t="str">
        <f>IF(AND($AM1138&lt;&gt;"",$AS1138="✓"),SUMPRODUCT(($AM$11:$AM1138&lt;&gt;"")*($AS$11:$AS1138="✓")),"")</f>
        <v/>
      </c>
      <c r="BA1138" s="21" t="str">
        <f>IF($AL1138="","",$AL1138&amp;"|"&amp;COUNTIF($AL$11:$AL1138,$AL1138))</f>
        <v/>
      </c>
    </row>
    <row r="1139" spans="38:53" ht="15" customHeight="1" x14ac:dyDescent="0.25">
      <c r="AL1139" s="17"/>
      <c r="AM1139" s="12"/>
      <c r="AN1139" s="18"/>
      <c r="AO1139" s="18"/>
      <c r="AP1139" s="10"/>
      <c r="AQ1139" s="10"/>
      <c r="AR1139" s="19"/>
      <c r="AS1139" s="20"/>
      <c r="AT1139" s="19"/>
      <c r="AV1139" s="21">
        <f>IF(AND($AL1139&lt;&gt;"",COUNTIF($AL$11:$AL1139,$AL1139)=1),1,0)</f>
        <v>0</v>
      </c>
      <c r="AW1139" s="21">
        <f t="shared" si="121"/>
        <v>0</v>
      </c>
      <c r="AX1139" s="21" t="str">
        <f t="shared" si="120"/>
        <v/>
      </c>
      <c r="AY1139" s="21" t="str">
        <f>IF(AND($AM1139&lt;&gt;"",$AS1139&lt;&gt;"✓"),SUMPRODUCT(($AM$11:$AM1139&lt;&gt;"")*($AS$11:$AS1139&lt;&gt;"✓")),"")</f>
        <v/>
      </c>
      <c r="AZ1139" s="21" t="str">
        <f>IF(AND($AM1139&lt;&gt;"",$AS1139="✓"),SUMPRODUCT(($AM$11:$AM1139&lt;&gt;"")*($AS$11:$AS1139="✓")),"")</f>
        <v/>
      </c>
      <c r="BA1139" s="21" t="str">
        <f>IF($AL1139="","",$AL1139&amp;"|"&amp;COUNTIF($AL$11:$AL1139,$AL1139))</f>
        <v/>
      </c>
    </row>
    <row r="1140" spans="38:53" ht="15" customHeight="1" x14ac:dyDescent="0.25">
      <c r="AL1140" s="31"/>
      <c r="AM1140" s="26"/>
      <c r="AN1140" s="32"/>
      <c r="AO1140" s="32"/>
      <c r="AP1140" s="24"/>
      <c r="AQ1140" s="24"/>
      <c r="AR1140" s="33"/>
      <c r="AS1140" s="34"/>
      <c r="AT1140" s="33"/>
      <c r="AV1140" s="21">
        <f>IF(AND($AL1140&lt;&gt;"",COUNTIF($AL$11:$AL1140,$AL1140)=1),1,0)</f>
        <v>0</v>
      </c>
      <c r="AW1140" s="21">
        <f t="shared" si="121"/>
        <v>0</v>
      </c>
      <c r="AX1140" s="21" t="str">
        <f t="shared" si="120"/>
        <v/>
      </c>
      <c r="AY1140" s="21" t="str">
        <f>IF(AND($AM1140&lt;&gt;"",$AS1140&lt;&gt;"✓"),SUMPRODUCT(($AM$11:$AM1140&lt;&gt;"")*($AS$11:$AS1140&lt;&gt;"✓")),"")</f>
        <v/>
      </c>
      <c r="AZ1140" s="21" t="str">
        <f>IF(AND($AM1140&lt;&gt;"",$AS1140="✓"),SUMPRODUCT(($AM$11:$AM1140&lt;&gt;"")*($AS$11:$AS1140="✓")),"")</f>
        <v/>
      </c>
      <c r="BA1140" s="21" t="str">
        <f>IF($AL1140="","",$AL1140&amp;"|"&amp;COUNTIF($AL$11:$AL1140,$AL1140))</f>
        <v/>
      </c>
    </row>
    <row r="1141" spans="38:53" ht="15" customHeight="1" x14ac:dyDescent="0.25">
      <c r="AL1141" s="17"/>
      <c r="AM1141" s="12"/>
      <c r="AN1141" s="18"/>
      <c r="AO1141" s="18"/>
      <c r="AP1141" s="10"/>
      <c r="AQ1141" s="10"/>
      <c r="AR1141" s="19"/>
      <c r="AS1141" s="20"/>
      <c r="AT1141" s="19"/>
      <c r="AV1141" s="21">
        <f>IF(AND($AL1141&lt;&gt;"",COUNTIF($AL$11:$AL1141,$AL1141)=1),1,0)</f>
        <v>0</v>
      </c>
      <c r="AW1141" s="21">
        <f t="shared" si="121"/>
        <v>0</v>
      </c>
      <c r="AX1141" s="21" t="str">
        <f t="shared" si="120"/>
        <v/>
      </c>
      <c r="AY1141" s="21" t="str">
        <f>IF(AND($AM1141&lt;&gt;"",$AS1141&lt;&gt;"✓"),SUMPRODUCT(($AM$11:$AM1141&lt;&gt;"")*($AS$11:$AS1141&lt;&gt;"✓")),"")</f>
        <v/>
      </c>
      <c r="AZ1141" s="21" t="str">
        <f>IF(AND($AM1141&lt;&gt;"",$AS1141="✓"),SUMPRODUCT(($AM$11:$AM1141&lt;&gt;"")*($AS$11:$AS1141="✓")),"")</f>
        <v/>
      </c>
      <c r="BA1141" s="21" t="str">
        <f>IF($AL1141="","",$AL1141&amp;"|"&amp;COUNTIF($AL$11:$AL1141,$AL1141))</f>
        <v/>
      </c>
    </row>
    <row r="1142" spans="38:53" ht="15" customHeight="1" x14ac:dyDescent="0.25">
      <c r="AL1142" s="31"/>
      <c r="AM1142" s="26"/>
      <c r="AN1142" s="32"/>
      <c r="AO1142" s="32"/>
      <c r="AP1142" s="24"/>
      <c r="AQ1142" s="24"/>
      <c r="AR1142" s="33"/>
      <c r="AS1142" s="34"/>
      <c r="AT1142" s="33"/>
      <c r="AV1142" s="21">
        <f>IF(AND($AL1142&lt;&gt;"",COUNTIF($AL$11:$AL1142,$AL1142)=1),1,0)</f>
        <v>0</v>
      </c>
      <c r="AW1142" s="21">
        <f t="shared" si="121"/>
        <v>0</v>
      </c>
      <c r="AX1142" s="21" t="str">
        <f t="shared" si="120"/>
        <v/>
      </c>
      <c r="AY1142" s="21" t="str">
        <f>IF(AND($AM1142&lt;&gt;"",$AS1142&lt;&gt;"✓"),SUMPRODUCT(($AM$11:$AM1142&lt;&gt;"")*($AS$11:$AS1142&lt;&gt;"✓")),"")</f>
        <v/>
      </c>
      <c r="AZ1142" s="21" t="str">
        <f>IF(AND($AM1142&lt;&gt;"",$AS1142="✓"),SUMPRODUCT(($AM$11:$AM1142&lt;&gt;"")*($AS$11:$AS1142="✓")),"")</f>
        <v/>
      </c>
      <c r="BA1142" s="21" t="str">
        <f>IF($AL1142="","",$AL1142&amp;"|"&amp;COUNTIF($AL$11:$AL1142,$AL1142))</f>
        <v/>
      </c>
    </row>
    <row r="1143" spans="38:53" ht="15" customHeight="1" x14ac:dyDescent="0.25">
      <c r="AL1143" s="17"/>
      <c r="AM1143" s="12"/>
      <c r="AN1143" s="18"/>
      <c r="AO1143" s="18"/>
      <c r="AP1143" s="10"/>
      <c r="AQ1143" s="10"/>
      <c r="AR1143" s="19"/>
      <c r="AS1143" s="20"/>
      <c r="AT1143" s="19"/>
      <c r="AV1143" s="21">
        <f>IF(AND($AL1143&lt;&gt;"",COUNTIF($AL$11:$AL1143,$AL1143)=1),1,0)</f>
        <v>0</v>
      </c>
      <c r="AW1143" s="21">
        <f t="shared" si="121"/>
        <v>0</v>
      </c>
      <c r="AX1143" s="21" t="str">
        <f t="shared" si="120"/>
        <v/>
      </c>
      <c r="AY1143" s="21" t="str">
        <f>IF(AND($AM1143&lt;&gt;"",$AS1143&lt;&gt;"✓"),SUMPRODUCT(($AM$11:$AM1143&lt;&gt;"")*($AS$11:$AS1143&lt;&gt;"✓")),"")</f>
        <v/>
      </c>
      <c r="AZ1143" s="21" t="str">
        <f>IF(AND($AM1143&lt;&gt;"",$AS1143="✓"),SUMPRODUCT(($AM$11:$AM1143&lt;&gt;"")*($AS$11:$AS1143="✓")),"")</f>
        <v/>
      </c>
      <c r="BA1143" s="21" t="str">
        <f>IF($AL1143="","",$AL1143&amp;"|"&amp;COUNTIF($AL$11:$AL1143,$AL1143))</f>
        <v/>
      </c>
    </row>
    <row r="1144" spans="38:53" ht="15" customHeight="1" x14ac:dyDescent="0.25">
      <c r="AL1144" s="31"/>
      <c r="AM1144" s="26"/>
      <c r="AN1144" s="32"/>
      <c r="AO1144" s="32"/>
      <c r="AP1144" s="24"/>
      <c r="AQ1144" s="24"/>
      <c r="AR1144" s="33"/>
      <c r="AS1144" s="34"/>
      <c r="AT1144" s="33"/>
      <c r="AV1144" s="21">
        <f>IF(AND($AL1144&lt;&gt;"",COUNTIF($AL$11:$AL1144,$AL1144)=1),1,0)</f>
        <v>0</v>
      </c>
      <c r="AW1144" s="21">
        <f t="shared" si="121"/>
        <v>0</v>
      </c>
      <c r="AX1144" s="21" t="str">
        <f t="shared" si="120"/>
        <v/>
      </c>
      <c r="AY1144" s="21" t="str">
        <f>IF(AND($AM1144&lt;&gt;"",$AS1144&lt;&gt;"✓"),SUMPRODUCT(($AM$11:$AM1144&lt;&gt;"")*($AS$11:$AS1144&lt;&gt;"✓")),"")</f>
        <v/>
      </c>
      <c r="AZ1144" s="21" t="str">
        <f>IF(AND($AM1144&lt;&gt;"",$AS1144="✓"),SUMPRODUCT(($AM$11:$AM1144&lt;&gt;"")*($AS$11:$AS1144="✓")),"")</f>
        <v/>
      </c>
      <c r="BA1144" s="21" t="str">
        <f>IF($AL1144="","",$AL1144&amp;"|"&amp;COUNTIF($AL$11:$AL1144,$AL1144))</f>
        <v/>
      </c>
    </row>
    <row r="1145" spans="38:53" ht="15" customHeight="1" x14ac:dyDescent="0.25">
      <c r="AL1145" s="17"/>
      <c r="AM1145" s="12"/>
      <c r="AN1145" s="18"/>
      <c r="AO1145" s="18"/>
      <c r="AP1145" s="10"/>
      <c r="AQ1145" s="10"/>
      <c r="AR1145" s="19"/>
      <c r="AS1145" s="20"/>
      <c r="AT1145" s="19"/>
      <c r="AV1145" s="21">
        <f>IF(AND($AL1145&lt;&gt;"",COUNTIF($AL$11:$AL1145,$AL1145)=1),1,0)</f>
        <v>0</v>
      </c>
      <c r="AW1145" s="21">
        <f t="shared" si="121"/>
        <v>0</v>
      </c>
      <c r="AX1145" s="21" t="str">
        <f t="shared" si="120"/>
        <v/>
      </c>
      <c r="AY1145" s="21" t="str">
        <f>IF(AND($AM1145&lt;&gt;"",$AS1145&lt;&gt;"✓"),SUMPRODUCT(($AM$11:$AM1145&lt;&gt;"")*($AS$11:$AS1145&lt;&gt;"✓")),"")</f>
        <v/>
      </c>
      <c r="AZ1145" s="21" t="str">
        <f>IF(AND($AM1145&lt;&gt;"",$AS1145="✓"),SUMPRODUCT(($AM$11:$AM1145&lt;&gt;"")*($AS$11:$AS1145="✓")),"")</f>
        <v/>
      </c>
      <c r="BA1145" s="21" t="str">
        <f>IF($AL1145="","",$AL1145&amp;"|"&amp;COUNTIF($AL$11:$AL1145,$AL1145))</f>
        <v/>
      </c>
    </row>
    <row r="1146" spans="38:53" ht="15" customHeight="1" x14ac:dyDescent="0.25">
      <c r="AL1146" s="31"/>
      <c r="AM1146" s="26"/>
      <c r="AN1146" s="32"/>
      <c r="AO1146" s="32"/>
      <c r="AP1146" s="24"/>
      <c r="AQ1146" s="24"/>
      <c r="AR1146" s="33"/>
      <c r="AS1146" s="34"/>
      <c r="AT1146" s="33"/>
      <c r="AV1146" s="21">
        <f>IF(AND($AL1146&lt;&gt;"",COUNTIF($AL$11:$AL1146,$AL1146)=1),1,0)</f>
        <v>0</v>
      </c>
      <c r="AW1146" s="21">
        <f t="shared" si="121"/>
        <v>0</v>
      </c>
      <c r="AX1146" s="21" t="str">
        <f t="shared" si="120"/>
        <v/>
      </c>
      <c r="AY1146" s="21" t="str">
        <f>IF(AND($AM1146&lt;&gt;"",$AS1146&lt;&gt;"✓"),SUMPRODUCT(($AM$11:$AM1146&lt;&gt;"")*($AS$11:$AS1146&lt;&gt;"✓")),"")</f>
        <v/>
      </c>
      <c r="AZ1146" s="21" t="str">
        <f>IF(AND($AM1146&lt;&gt;"",$AS1146="✓"),SUMPRODUCT(($AM$11:$AM1146&lt;&gt;"")*($AS$11:$AS1146="✓")),"")</f>
        <v/>
      </c>
      <c r="BA1146" s="21" t="str">
        <f>IF($AL1146="","",$AL1146&amp;"|"&amp;COUNTIF($AL$11:$AL1146,$AL1146))</f>
        <v/>
      </c>
    </row>
    <row r="1147" spans="38:53" ht="15" customHeight="1" x14ac:dyDescent="0.25">
      <c r="AL1147" s="17"/>
      <c r="AM1147" s="12"/>
      <c r="AN1147" s="18"/>
      <c r="AO1147" s="18"/>
      <c r="AP1147" s="10"/>
      <c r="AQ1147" s="10"/>
      <c r="AR1147" s="19"/>
      <c r="AS1147" s="20"/>
      <c r="AT1147" s="19"/>
      <c r="AV1147" s="21">
        <f>IF(AND($AL1147&lt;&gt;"",COUNTIF($AL$11:$AL1147,$AL1147)=1),1,0)</f>
        <v>0</v>
      </c>
      <c r="AW1147" s="21">
        <f t="shared" si="121"/>
        <v>0</v>
      </c>
      <c r="AX1147" s="21" t="str">
        <f t="shared" si="120"/>
        <v/>
      </c>
      <c r="AY1147" s="21" t="str">
        <f>IF(AND($AM1147&lt;&gt;"",$AS1147&lt;&gt;"✓"),SUMPRODUCT(($AM$11:$AM1147&lt;&gt;"")*($AS$11:$AS1147&lt;&gt;"✓")),"")</f>
        <v/>
      </c>
      <c r="AZ1147" s="21" t="str">
        <f>IF(AND($AM1147&lt;&gt;"",$AS1147="✓"),SUMPRODUCT(($AM$11:$AM1147&lt;&gt;"")*($AS$11:$AS1147="✓")),"")</f>
        <v/>
      </c>
      <c r="BA1147" s="21" t="str">
        <f>IF($AL1147="","",$AL1147&amp;"|"&amp;COUNTIF($AL$11:$AL1147,$AL1147))</f>
        <v/>
      </c>
    </row>
    <row r="1148" spans="38:53" ht="15" customHeight="1" x14ac:dyDescent="0.25">
      <c r="AL1148" s="31"/>
      <c r="AM1148" s="26"/>
      <c r="AN1148" s="32"/>
      <c r="AO1148" s="32"/>
      <c r="AP1148" s="24"/>
      <c r="AQ1148" s="24"/>
      <c r="AR1148" s="33"/>
      <c r="AS1148" s="34"/>
      <c r="AT1148" s="33"/>
      <c r="AV1148" s="21">
        <f>IF(AND($AL1148&lt;&gt;"",COUNTIF($AL$11:$AL1148,$AL1148)=1),1,0)</f>
        <v>0</v>
      </c>
      <c r="AW1148" s="21">
        <f t="shared" si="121"/>
        <v>0</v>
      </c>
      <c r="AX1148" s="21" t="str">
        <f t="shared" si="120"/>
        <v/>
      </c>
      <c r="AY1148" s="21" t="str">
        <f>IF(AND($AM1148&lt;&gt;"",$AS1148&lt;&gt;"✓"),SUMPRODUCT(($AM$11:$AM1148&lt;&gt;"")*($AS$11:$AS1148&lt;&gt;"✓")),"")</f>
        <v/>
      </c>
      <c r="AZ1148" s="21" t="str">
        <f>IF(AND($AM1148&lt;&gt;"",$AS1148="✓"),SUMPRODUCT(($AM$11:$AM1148&lt;&gt;"")*($AS$11:$AS1148="✓")),"")</f>
        <v/>
      </c>
      <c r="BA1148" s="21" t="str">
        <f>IF($AL1148="","",$AL1148&amp;"|"&amp;COUNTIF($AL$11:$AL1148,$AL1148))</f>
        <v/>
      </c>
    </row>
    <row r="1149" spans="38:53" ht="15" customHeight="1" x14ac:dyDescent="0.25">
      <c r="AL1149" s="17"/>
      <c r="AM1149" s="12"/>
      <c r="AN1149" s="18"/>
      <c r="AO1149" s="18"/>
      <c r="AP1149" s="10"/>
      <c r="AQ1149" s="10"/>
      <c r="AR1149" s="19"/>
      <c r="AS1149" s="20"/>
      <c r="AT1149" s="19"/>
      <c r="AV1149" s="21">
        <f>IF(AND($AL1149&lt;&gt;"",COUNTIF($AL$11:$AL1149,$AL1149)=1),1,0)</f>
        <v>0</v>
      </c>
      <c r="AW1149" s="21">
        <f t="shared" si="121"/>
        <v>0</v>
      </c>
      <c r="AX1149" s="21" t="str">
        <f t="shared" si="120"/>
        <v/>
      </c>
      <c r="AY1149" s="21" t="str">
        <f>IF(AND($AM1149&lt;&gt;"",$AS1149&lt;&gt;"✓"),SUMPRODUCT(($AM$11:$AM1149&lt;&gt;"")*($AS$11:$AS1149&lt;&gt;"✓")),"")</f>
        <v/>
      </c>
      <c r="AZ1149" s="21" t="str">
        <f>IF(AND($AM1149&lt;&gt;"",$AS1149="✓"),SUMPRODUCT(($AM$11:$AM1149&lt;&gt;"")*($AS$11:$AS1149="✓")),"")</f>
        <v/>
      </c>
      <c r="BA1149" s="21" t="str">
        <f>IF($AL1149="","",$AL1149&amp;"|"&amp;COUNTIF($AL$11:$AL1149,$AL1149))</f>
        <v/>
      </c>
    </row>
    <row r="1150" spans="38:53" ht="15" customHeight="1" x14ac:dyDescent="0.25">
      <c r="AL1150" s="31"/>
      <c r="AM1150" s="26"/>
      <c r="AN1150" s="32"/>
      <c r="AO1150" s="32"/>
      <c r="AP1150" s="24"/>
      <c r="AQ1150" s="24"/>
      <c r="AR1150" s="33"/>
      <c r="AS1150" s="34"/>
      <c r="AT1150" s="33"/>
      <c r="AV1150" s="21">
        <f>IF(AND($AL1150&lt;&gt;"",COUNTIF($AL$11:$AL1150,$AL1150)=1),1,0)</f>
        <v>0</v>
      </c>
      <c r="AW1150" s="21">
        <f t="shared" si="121"/>
        <v>0</v>
      </c>
      <c r="AX1150" s="21" t="str">
        <f t="shared" si="120"/>
        <v/>
      </c>
      <c r="AY1150" s="21" t="str">
        <f>IF(AND($AM1150&lt;&gt;"",$AS1150&lt;&gt;"✓"),SUMPRODUCT(($AM$11:$AM1150&lt;&gt;"")*($AS$11:$AS1150&lt;&gt;"✓")),"")</f>
        <v/>
      </c>
      <c r="AZ1150" s="21" t="str">
        <f>IF(AND($AM1150&lt;&gt;"",$AS1150="✓"),SUMPRODUCT(($AM$11:$AM1150&lt;&gt;"")*($AS$11:$AS1150="✓")),"")</f>
        <v/>
      </c>
      <c r="BA1150" s="21" t="str">
        <f>IF($AL1150="","",$AL1150&amp;"|"&amp;COUNTIF($AL$11:$AL1150,$AL1150))</f>
        <v/>
      </c>
    </row>
    <row r="1151" spans="38:53" ht="15" customHeight="1" x14ac:dyDescent="0.25">
      <c r="AL1151" s="17"/>
      <c r="AM1151" s="12"/>
      <c r="AN1151" s="18"/>
      <c r="AO1151" s="18"/>
      <c r="AP1151" s="10"/>
      <c r="AQ1151" s="10"/>
      <c r="AR1151" s="19"/>
      <c r="AS1151" s="20"/>
      <c r="AT1151" s="19"/>
      <c r="AV1151" s="21">
        <f>IF(AND($AL1151&lt;&gt;"",COUNTIF($AL$11:$AL1151,$AL1151)=1),1,0)</f>
        <v>0</v>
      </c>
      <c r="AW1151" s="21">
        <f t="shared" si="121"/>
        <v>0</v>
      </c>
      <c r="AX1151" s="21" t="str">
        <f t="shared" si="120"/>
        <v/>
      </c>
      <c r="AY1151" s="21" t="str">
        <f>IF(AND($AM1151&lt;&gt;"",$AS1151&lt;&gt;"✓"),SUMPRODUCT(($AM$11:$AM1151&lt;&gt;"")*($AS$11:$AS1151&lt;&gt;"✓")),"")</f>
        <v/>
      </c>
      <c r="AZ1151" s="21" t="str">
        <f>IF(AND($AM1151&lt;&gt;"",$AS1151="✓"),SUMPRODUCT(($AM$11:$AM1151&lt;&gt;"")*($AS$11:$AS1151="✓")),"")</f>
        <v/>
      </c>
      <c r="BA1151" s="21" t="str">
        <f>IF($AL1151="","",$AL1151&amp;"|"&amp;COUNTIF($AL$11:$AL1151,$AL1151))</f>
        <v/>
      </c>
    </row>
    <row r="1152" spans="38:53" ht="15" customHeight="1" x14ac:dyDescent="0.25">
      <c r="AL1152" s="31"/>
      <c r="AM1152" s="26"/>
      <c r="AN1152" s="32"/>
      <c r="AO1152" s="32"/>
      <c r="AP1152" s="24"/>
      <c r="AQ1152" s="24"/>
      <c r="AR1152" s="33"/>
      <c r="AS1152" s="34"/>
      <c r="AT1152" s="33"/>
      <c r="AV1152" s="21">
        <f>IF(AND($AL1152&lt;&gt;"",COUNTIF($AL$11:$AL1152,$AL1152)=1),1,0)</f>
        <v>0</v>
      </c>
      <c r="AW1152" s="21">
        <f t="shared" si="121"/>
        <v>0</v>
      </c>
      <c r="AX1152" s="21" t="str">
        <f t="shared" si="120"/>
        <v/>
      </c>
      <c r="AY1152" s="21" t="str">
        <f>IF(AND($AM1152&lt;&gt;"",$AS1152&lt;&gt;"✓"),SUMPRODUCT(($AM$11:$AM1152&lt;&gt;"")*($AS$11:$AS1152&lt;&gt;"✓")),"")</f>
        <v/>
      </c>
      <c r="AZ1152" s="21" t="str">
        <f>IF(AND($AM1152&lt;&gt;"",$AS1152="✓"),SUMPRODUCT(($AM$11:$AM1152&lt;&gt;"")*($AS$11:$AS1152="✓")),"")</f>
        <v/>
      </c>
      <c r="BA1152" s="21" t="str">
        <f>IF($AL1152="","",$AL1152&amp;"|"&amp;COUNTIF($AL$11:$AL1152,$AL1152))</f>
        <v/>
      </c>
    </row>
    <row r="1153" spans="38:53" ht="15" customHeight="1" x14ac:dyDescent="0.25">
      <c r="AL1153" s="17"/>
      <c r="AM1153" s="12"/>
      <c r="AN1153" s="18"/>
      <c r="AO1153" s="18"/>
      <c r="AP1153" s="10"/>
      <c r="AQ1153" s="10"/>
      <c r="AR1153" s="19"/>
      <c r="AS1153" s="20"/>
      <c r="AT1153" s="19"/>
      <c r="AV1153" s="21">
        <f>IF(AND($AL1153&lt;&gt;"",COUNTIF($AL$11:$AL1153,$AL1153)=1),1,0)</f>
        <v>0</v>
      </c>
      <c r="AW1153" s="21">
        <f t="shared" si="121"/>
        <v>0</v>
      </c>
      <c r="AX1153" s="21" t="str">
        <f t="shared" si="120"/>
        <v/>
      </c>
      <c r="AY1153" s="21" t="str">
        <f>IF(AND($AM1153&lt;&gt;"",$AS1153&lt;&gt;"✓"),SUMPRODUCT(($AM$11:$AM1153&lt;&gt;"")*($AS$11:$AS1153&lt;&gt;"✓")),"")</f>
        <v/>
      </c>
      <c r="AZ1153" s="21" t="str">
        <f>IF(AND($AM1153&lt;&gt;"",$AS1153="✓"),SUMPRODUCT(($AM$11:$AM1153&lt;&gt;"")*($AS$11:$AS1153="✓")),"")</f>
        <v/>
      </c>
      <c r="BA1153" s="21" t="str">
        <f>IF($AL1153="","",$AL1153&amp;"|"&amp;COUNTIF($AL$11:$AL1153,$AL1153))</f>
        <v/>
      </c>
    </row>
    <row r="1154" spans="38:53" ht="15" customHeight="1" x14ac:dyDescent="0.25">
      <c r="AL1154" s="31"/>
      <c r="AM1154" s="26"/>
      <c r="AN1154" s="32"/>
      <c r="AO1154" s="32"/>
      <c r="AP1154" s="24"/>
      <c r="AQ1154" s="24"/>
      <c r="AR1154" s="33"/>
      <c r="AS1154" s="34"/>
      <c r="AT1154" s="33"/>
      <c r="AV1154" s="21">
        <f>IF(AND($AL1154&lt;&gt;"",COUNTIF($AL$11:$AL1154,$AL1154)=1),1,0)</f>
        <v>0</v>
      </c>
      <c r="AW1154" s="21">
        <f t="shared" si="121"/>
        <v>0</v>
      </c>
      <c r="AX1154" s="21" t="str">
        <f t="shared" si="120"/>
        <v/>
      </c>
      <c r="AY1154" s="21" t="str">
        <f>IF(AND($AM1154&lt;&gt;"",$AS1154&lt;&gt;"✓"),SUMPRODUCT(($AM$11:$AM1154&lt;&gt;"")*($AS$11:$AS1154&lt;&gt;"✓")),"")</f>
        <v/>
      </c>
      <c r="AZ1154" s="21" t="str">
        <f>IF(AND($AM1154&lt;&gt;"",$AS1154="✓"),SUMPRODUCT(($AM$11:$AM1154&lt;&gt;"")*($AS$11:$AS1154="✓")),"")</f>
        <v/>
      </c>
      <c r="BA1154" s="21" t="str">
        <f>IF($AL1154="","",$AL1154&amp;"|"&amp;COUNTIF($AL$11:$AL1154,$AL1154))</f>
        <v/>
      </c>
    </row>
    <row r="1155" spans="38:53" ht="15" customHeight="1" x14ac:dyDescent="0.25">
      <c r="AL1155" s="17"/>
      <c r="AM1155" s="12"/>
      <c r="AN1155" s="18"/>
      <c r="AO1155" s="18"/>
      <c r="AP1155" s="10"/>
      <c r="AQ1155" s="10"/>
      <c r="AR1155" s="19"/>
      <c r="AS1155" s="20"/>
      <c r="AT1155" s="19"/>
      <c r="AV1155" s="21">
        <f>IF(AND($AL1155&lt;&gt;"",COUNTIF($AL$11:$AL1155,$AL1155)=1),1,0)</f>
        <v>0</v>
      </c>
      <c r="AW1155" s="21">
        <f t="shared" si="121"/>
        <v>0</v>
      </c>
      <c r="AX1155" s="21" t="str">
        <f t="shared" si="120"/>
        <v/>
      </c>
      <c r="AY1155" s="21" t="str">
        <f>IF(AND($AM1155&lt;&gt;"",$AS1155&lt;&gt;"✓"),SUMPRODUCT(($AM$11:$AM1155&lt;&gt;"")*($AS$11:$AS1155&lt;&gt;"✓")),"")</f>
        <v/>
      </c>
      <c r="AZ1155" s="21" t="str">
        <f>IF(AND($AM1155&lt;&gt;"",$AS1155="✓"),SUMPRODUCT(($AM$11:$AM1155&lt;&gt;"")*($AS$11:$AS1155="✓")),"")</f>
        <v/>
      </c>
      <c r="BA1155" s="21" t="str">
        <f>IF($AL1155="","",$AL1155&amp;"|"&amp;COUNTIF($AL$11:$AL1155,$AL1155))</f>
        <v/>
      </c>
    </row>
    <row r="1156" spans="38:53" ht="15" customHeight="1" x14ac:dyDescent="0.25">
      <c r="AL1156" s="31"/>
      <c r="AM1156" s="26"/>
      <c r="AN1156" s="32"/>
      <c r="AO1156" s="32"/>
      <c r="AP1156" s="24"/>
      <c r="AQ1156" s="24"/>
      <c r="AR1156" s="33"/>
      <c r="AS1156" s="34"/>
      <c r="AT1156" s="33"/>
      <c r="AV1156" s="21">
        <f>IF(AND($AL1156&lt;&gt;"",COUNTIF($AL$11:$AL1156,$AL1156)=1),1,0)</f>
        <v>0</v>
      </c>
      <c r="AW1156" s="21">
        <f t="shared" si="121"/>
        <v>0</v>
      </c>
      <c r="AX1156" s="21" t="str">
        <f t="shared" si="120"/>
        <v/>
      </c>
      <c r="AY1156" s="21" t="str">
        <f>IF(AND($AM1156&lt;&gt;"",$AS1156&lt;&gt;"✓"),SUMPRODUCT(($AM$11:$AM1156&lt;&gt;"")*($AS$11:$AS1156&lt;&gt;"✓")),"")</f>
        <v/>
      </c>
      <c r="AZ1156" s="21" t="str">
        <f>IF(AND($AM1156&lt;&gt;"",$AS1156="✓"),SUMPRODUCT(($AM$11:$AM1156&lt;&gt;"")*($AS$11:$AS1156="✓")),"")</f>
        <v/>
      </c>
      <c r="BA1156" s="21" t="str">
        <f>IF($AL1156="","",$AL1156&amp;"|"&amp;COUNTIF($AL$11:$AL1156,$AL1156))</f>
        <v/>
      </c>
    </row>
    <row r="1157" spans="38:53" ht="15" customHeight="1" x14ac:dyDescent="0.25">
      <c r="AL1157" s="17"/>
      <c r="AM1157" s="12"/>
      <c r="AN1157" s="18"/>
      <c r="AO1157" s="18"/>
      <c r="AP1157" s="10"/>
      <c r="AQ1157" s="10"/>
      <c r="AR1157" s="19"/>
      <c r="AS1157" s="20"/>
      <c r="AT1157" s="19"/>
      <c r="AV1157" s="21">
        <f>IF(AND($AL1157&lt;&gt;"",COUNTIF($AL$11:$AL1157,$AL1157)=1),1,0)</f>
        <v>0</v>
      </c>
      <c r="AW1157" s="21">
        <f t="shared" si="121"/>
        <v>0</v>
      </c>
      <c r="AX1157" s="21" t="str">
        <f t="shared" si="120"/>
        <v/>
      </c>
      <c r="AY1157" s="21" t="str">
        <f>IF(AND($AM1157&lt;&gt;"",$AS1157&lt;&gt;"✓"),SUMPRODUCT(($AM$11:$AM1157&lt;&gt;"")*($AS$11:$AS1157&lt;&gt;"✓")),"")</f>
        <v/>
      </c>
      <c r="AZ1157" s="21" t="str">
        <f>IF(AND($AM1157&lt;&gt;"",$AS1157="✓"),SUMPRODUCT(($AM$11:$AM1157&lt;&gt;"")*($AS$11:$AS1157="✓")),"")</f>
        <v/>
      </c>
      <c r="BA1157" s="21" t="str">
        <f>IF($AL1157="","",$AL1157&amp;"|"&amp;COUNTIF($AL$11:$AL1157,$AL1157))</f>
        <v/>
      </c>
    </row>
    <row r="1158" spans="38:53" ht="15" customHeight="1" x14ac:dyDescent="0.25">
      <c r="AL1158" s="31"/>
      <c r="AM1158" s="26"/>
      <c r="AN1158" s="32"/>
      <c r="AO1158" s="32"/>
      <c r="AP1158" s="24"/>
      <c r="AQ1158" s="24"/>
      <c r="AR1158" s="33"/>
      <c r="AS1158" s="34"/>
      <c r="AT1158" s="33"/>
      <c r="AV1158" s="21">
        <f>IF(AND($AL1158&lt;&gt;"",COUNTIF($AL$11:$AL1158,$AL1158)=1),1,0)</f>
        <v>0</v>
      </c>
      <c r="AW1158" s="21">
        <f t="shared" si="121"/>
        <v>0</v>
      </c>
      <c r="AX1158" s="21" t="str">
        <f t="shared" si="120"/>
        <v/>
      </c>
      <c r="AY1158" s="21" t="str">
        <f>IF(AND($AM1158&lt;&gt;"",$AS1158&lt;&gt;"✓"),SUMPRODUCT(($AM$11:$AM1158&lt;&gt;"")*($AS$11:$AS1158&lt;&gt;"✓")),"")</f>
        <v/>
      </c>
      <c r="AZ1158" s="21" t="str">
        <f>IF(AND($AM1158&lt;&gt;"",$AS1158="✓"),SUMPRODUCT(($AM$11:$AM1158&lt;&gt;"")*($AS$11:$AS1158="✓")),"")</f>
        <v/>
      </c>
      <c r="BA1158" s="21" t="str">
        <f>IF($AL1158="","",$AL1158&amp;"|"&amp;COUNTIF($AL$11:$AL1158,$AL1158))</f>
        <v/>
      </c>
    </row>
    <row r="1159" spans="38:53" ht="15" customHeight="1" x14ac:dyDescent="0.25">
      <c r="AL1159" s="17"/>
      <c r="AM1159" s="12"/>
      <c r="AN1159" s="18"/>
      <c r="AO1159" s="18"/>
      <c r="AP1159" s="10"/>
      <c r="AQ1159" s="10"/>
      <c r="AR1159" s="19"/>
      <c r="AS1159" s="20"/>
      <c r="AT1159" s="19"/>
      <c r="AV1159" s="21">
        <f>IF(AND($AL1159&lt;&gt;"",COUNTIF($AL$11:$AL1159,$AL1159)=1),1,0)</f>
        <v>0</v>
      </c>
      <c r="AW1159" s="21">
        <f t="shared" si="121"/>
        <v>0</v>
      </c>
      <c r="AX1159" s="21" t="str">
        <f t="shared" si="120"/>
        <v/>
      </c>
      <c r="AY1159" s="21" t="str">
        <f>IF(AND($AM1159&lt;&gt;"",$AS1159&lt;&gt;"✓"),SUMPRODUCT(($AM$11:$AM1159&lt;&gt;"")*($AS$11:$AS1159&lt;&gt;"✓")),"")</f>
        <v/>
      </c>
      <c r="AZ1159" s="21" t="str">
        <f>IF(AND($AM1159&lt;&gt;"",$AS1159="✓"),SUMPRODUCT(($AM$11:$AM1159&lt;&gt;"")*($AS$11:$AS1159="✓")),"")</f>
        <v/>
      </c>
      <c r="BA1159" s="21" t="str">
        <f>IF($AL1159="","",$AL1159&amp;"|"&amp;COUNTIF($AL$11:$AL1159,$AL1159))</f>
        <v/>
      </c>
    </row>
    <row r="1160" spans="38:53" ht="15" customHeight="1" x14ac:dyDescent="0.25">
      <c r="AL1160" s="31"/>
      <c r="AM1160" s="26"/>
      <c r="AN1160" s="32"/>
      <c r="AO1160" s="32"/>
      <c r="AP1160" s="24"/>
      <c r="AQ1160" s="24"/>
      <c r="AR1160" s="33"/>
      <c r="AS1160" s="34"/>
      <c r="AT1160" s="33"/>
      <c r="AV1160" s="21">
        <f>IF(AND($AL1160&lt;&gt;"",COUNTIF($AL$11:$AL1160,$AL1160)=1),1,0)</f>
        <v>0</v>
      </c>
      <c r="AW1160" s="21">
        <f t="shared" si="121"/>
        <v>0</v>
      </c>
      <c r="AX1160" s="21" t="str">
        <f t="shared" si="120"/>
        <v/>
      </c>
      <c r="AY1160" s="21" t="str">
        <f>IF(AND($AM1160&lt;&gt;"",$AS1160&lt;&gt;"✓"),SUMPRODUCT(($AM$11:$AM1160&lt;&gt;"")*($AS$11:$AS1160&lt;&gt;"✓")),"")</f>
        <v/>
      </c>
      <c r="AZ1160" s="21" t="str">
        <f>IF(AND($AM1160&lt;&gt;"",$AS1160="✓"),SUMPRODUCT(($AM$11:$AM1160&lt;&gt;"")*($AS$11:$AS1160="✓")),"")</f>
        <v/>
      </c>
      <c r="BA1160" s="21" t="str">
        <f>IF($AL1160="","",$AL1160&amp;"|"&amp;COUNTIF($AL$11:$AL1160,$AL1160))</f>
        <v/>
      </c>
    </row>
    <row r="1161" spans="38:53" ht="15" customHeight="1" x14ac:dyDescent="0.25">
      <c r="AL1161" s="17"/>
      <c r="AM1161" s="12"/>
      <c r="AN1161" s="18"/>
      <c r="AO1161" s="18"/>
      <c r="AP1161" s="10"/>
      <c r="AQ1161" s="10"/>
      <c r="AR1161" s="19"/>
      <c r="AS1161" s="20"/>
      <c r="AT1161" s="19"/>
      <c r="AV1161" s="21">
        <f>IF(AND($AL1161&lt;&gt;"",COUNTIF($AL$11:$AL1161,$AL1161)=1),1,0)</f>
        <v>0</v>
      </c>
      <c r="AW1161" s="21">
        <f t="shared" si="121"/>
        <v>0</v>
      </c>
      <c r="AX1161" s="21" t="str">
        <f t="shared" si="120"/>
        <v/>
      </c>
      <c r="AY1161" s="21" t="str">
        <f>IF(AND($AM1161&lt;&gt;"",$AS1161&lt;&gt;"✓"),SUMPRODUCT(($AM$11:$AM1161&lt;&gt;"")*($AS$11:$AS1161&lt;&gt;"✓")),"")</f>
        <v/>
      </c>
      <c r="AZ1161" s="21" t="str">
        <f>IF(AND($AM1161&lt;&gt;"",$AS1161="✓"),SUMPRODUCT(($AM$11:$AM1161&lt;&gt;"")*($AS$11:$AS1161="✓")),"")</f>
        <v/>
      </c>
      <c r="BA1161" s="21" t="str">
        <f>IF($AL1161="","",$AL1161&amp;"|"&amp;COUNTIF($AL$11:$AL1161,$AL1161))</f>
        <v/>
      </c>
    </row>
    <row r="1162" spans="38:53" ht="15" customHeight="1" x14ac:dyDescent="0.25">
      <c r="AL1162" s="31"/>
      <c r="AM1162" s="26"/>
      <c r="AN1162" s="32"/>
      <c r="AO1162" s="32"/>
      <c r="AP1162" s="24"/>
      <c r="AQ1162" s="24"/>
      <c r="AR1162" s="33"/>
      <c r="AS1162" s="34"/>
      <c r="AT1162" s="33"/>
      <c r="AV1162" s="21">
        <f>IF(AND($AL1162&lt;&gt;"",COUNTIF($AL$11:$AL1162,$AL1162)=1),1,0)</f>
        <v>0</v>
      </c>
      <c r="AW1162" s="21">
        <f t="shared" si="121"/>
        <v>0</v>
      </c>
      <c r="AX1162" s="21" t="str">
        <f t="shared" si="120"/>
        <v/>
      </c>
      <c r="AY1162" s="21" t="str">
        <f>IF(AND($AM1162&lt;&gt;"",$AS1162&lt;&gt;"✓"),SUMPRODUCT(($AM$11:$AM1162&lt;&gt;"")*($AS$11:$AS1162&lt;&gt;"✓")),"")</f>
        <v/>
      </c>
      <c r="AZ1162" s="21" t="str">
        <f>IF(AND($AM1162&lt;&gt;"",$AS1162="✓"),SUMPRODUCT(($AM$11:$AM1162&lt;&gt;"")*($AS$11:$AS1162="✓")),"")</f>
        <v/>
      </c>
      <c r="BA1162" s="21" t="str">
        <f>IF($AL1162="","",$AL1162&amp;"|"&amp;COUNTIF($AL$11:$AL1162,$AL1162))</f>
        <v/>
      </c>
    </row>
    <row r="1163" spans="38:53" ht="15" customHeight="1" x14ac:dyDescent="0.25">
      <c r="AL1163" s="17"/>
      <c r="AM1163" s="12"/>
      <c r="AN1163" s="18"/>
      <c r="AO1163" s="18"/>
      <c r="AP1163" s="10"/>
      <c r="AQ1163" s="10"/>
      <c r="AR1163" s="19"/>
      <c r="AS1163" s="20"/>
      <c r="AT1163" s="19"/>
      <c r="AV1163" s="21">
        <f>IF(AND($AL1163&lt;&gt;"",COUNTIF($AL$11:$AL1163,$AL1163)=1),1,0)</f>
        <v>0</v>
      </c>
      <c r="AW1163" s="21">
        <f t="shared" si="121"/>
        <v>0</v>
      </c>
      <c r="AX1163" s="21" t="str">
        <f t="shared" ref="AX1163:AX1226" si="122">IF(AV1163=1,AW1163,"")</f>
        <v/>
      </c>
      <c r="AY1163" s="21" t="str">
        <f>IF(AND($AM1163&lt;&gt;"",$AS1163&lt;&gt;"✓"),SUMPRODUCT(($AM$11:$AM1163&lt;&gt;"")*($AS$11:$AS1163&lt;&gt;"✓")),"")</f>
        <v/>
      </c>
      <c r="AZ1163" s="21" t="str">
        <f>IF(AND($AM1163&lt;&gt;"",$AS1163="✓"),SUMPRODUCT(($AM$11:$AM1163&lt;&gt;"")*($AS$11:$AS1163="✓")),"")</f>
        <v/>
      </c>
      <c r="BA1163" s="21" t="str">
        <f>IF($AL1163="","",$AL1163&amp;"|"&amp;COUNTIF($AL$11:$AL1163,$AL1163))</f>
        <v/>
      </c>
    </row>
    <row r="1164" spans="38:53" ht="15" customHeight="1" x14ac:dyDescent="0.25">
      <c r="AL1164" s="31"/>
      <c r="AM1164" s="26"/>
      <c r="AN1164" s="32"/>
      <c r="AO1164" s="32"/>
      <c r="AP1164" s="24"/>
      <c r="AQ1164" s="24"/>
      <c r="AR1164" s="33"/>
      <c r="AS1164" s="34"/>
      <c r="AT1164" s="33"/>
      <c r="AV1164" s="21">
        <f>IF(AND($AL1164&lt;&gt;"",COUNTIF($AL$11:$AL1164,$AL1164)=1),1,0)</f>
        <v>0</v>
      </c>
      <c r="AW1164" s="21">
        <f t="shared" ref="AW1164:AW1227" si="123">AW1163+AV1164</f>
        <v>0</v>
      </c>
      <c r="AX1164" s="21" t="str">
        <f t="shared" si="122"/>
        <v/>
      </c>
      <c r="AY1164" s="21" t="str">
        <f>IF(AND($AM1164&lt;&gt;"",$AS1164&lt;&gt;"✓"),SUMPRODUCT(($AM$11:$AM1164&lt;&gt;"")*($AS$11:$AS1164&lt;&gt;"✓")),"")</f>
        <v/>
      </c>
      <c r="AZ1164" s="21" t="str">
        <f>IF(AND($AM1164&lt;&gt;"",$AS1164="✓"),SUMPRODUCT(($AM$11:$AM1164&lt;&gt;"")*($AS$11:$AS1164="✓")),"")</f>
        <v/>
      </c>
      <c r="BA1164" s="21" t="str">
        <f>IF($AL1164="","",$AL1164&amp;"|"&amp;COUNTIF($AL$11:$AL1164,$AL1164))</f>
        <v/>
      </c>
    </row>
    <row r="1165" spans="38:53" ht="15" customHeight="1" x14ac:dyDescent="0.25">
      <c r="AL1165" s="17"/>
      <c r="AM1165" s="12"/>
      <c r="AN1165" s="18"/>
      <c r="AO1165" s="18"/>
      <c r="AP1165" s="10"/>
      <c r="AQ1165" s="10"/>
      <c r="AR1165" s="19"/>
      <c r="AS1165" s="20"/>
      <c r="AT1165" s="19"/>
      <c r="AV1165" s="21">
        <f>IF(AND($AL1165&lt;&gt;"",COUNTIF($AL$11:$AL1165,$AL1165)=1),1,0)</f>
        <v>0</v>
      </c>
      <c r="AW1165" s="21">
        <f t="shared" si="123"/>
        <v>0</v>
      </c>
      <c r="AX1165" s="21" t="str">
        <f t="shared" si="122"/>
        <v/>
      </c>
      <c r="AY1165" s="21" t="str">
        <f>IF(AND($AM1165&lt;&gt;"",$AS1165&lt;&gt;"✓"),SUMPRODUCT(($AM$11:$AM1165&lt;&gt;"")*($AS$11:$AS1165&lt;&gt;"✓")),"")</f>
        <v/>
      </c>
      <c r="AZ1165" s="21" t="str">
        <f>IF(AND($AM1165&lt;&gt;"",$AS1165="✓"),SUMPRODUCT(($AM$11:$AM1165&lt;&gt;"")*($AS$11:$AS1165="✓")),"")</f>
        <v/>
      </c>
      <c r="BA1165" s="21" t="str">
        <f>IF($AL1165="","",$AL1165&amp;"|"&amp;COUNTIF($AL$11:$AL1165,$AL1165))</f>
        <v/>
      </c>
    </row>
    <row r="1166" spans="38:53" ht="15" customHeight="1" x14ac:dyDescent="0.25">
      <c r="AL1166" s="31"/>
      <c r="AM1166" s="26"/>
      <c r="AN1166" s="32"/>
      <c r="AO1166" s="32"/>
      <c r="AP1166" s="24"/>
      <c r="AQ1166" s="24"/>
      <c r="AR1166" s="33"/>
      <c r="AS1166" s="34"/>
      <c r="AT1166" s="33"/>
      <c r="AV1166" s="21">
        <f>IF(AND($AL1166&lt;&gt;"",COUNTIF($AL$11:$AL1166,$AL1166)=1),1,0)</f>
        <v>0</v>
      </c>
      <c r="AW1166" s="21">
        <f t="shared" si="123"/>
        <v>0</v>
      </c>
      <c r="AX1166" s="21" t="str">
        <f t="shared" si="122"/>
        <v/>
      </c>
      <c r="AY1166" s="21" t="str">
        <f>IF(AND($AM1166&lt;&gt;"",$AS1166&lt;&gt;"✓"),SUMPRODUCT(($AM$11:$AM1166&lt;&gt;"")*($AS$11:$AS1166&lt;&gt;"✓")),"")</f>
        <v/>
      </c>
      <c r="AZ1166" s="21" t="str">
        <f>IF(AND($AM1166&lt;&gt;"",$AS1166="✓"),SUMPRODUCT(($AM$11:$AM1166&lt;&gt;"")*($AS$11:$AS1166="✓")),"")</f>
        <v/>
      </c>
      <c r="BA1166" s="21" t="str">
        <f>IF($AL1166="","",$AL1166&amp;"|"&amp;COUNTIF($AL$11:$AL1166,$AL1166))</f>
        <v/>
      </c>
    </row>
    <row r="1167" spans="38:53" ht="15" customHeight="1" x14ac:dyDescent="0.25">
      <c r="AL1167" s="17"/>
      <c r="AM1167" s="12"/>
      <c r="AN1167" s="18"/>
      <c r="AO1167" s="18"/>
      <c r="AP1167" s="10"/>
      <c r="AQ1167" s="10"/>
      <c r="AR1167" s="19"/>
      <c r="AS1167" s="20"/>
      <c r="AT1167" s="19"/>
      <c r="AV1167" s="21">
        <f>IF(AND($AL1167&lt;&gt;"",COUNTIF($AL$11:$AL1167,$AL1167)=1),1,0)</f>
        <v>0</v>
      </c>
      <c r="AW1167" s="21">
        <f t="shared" si="123"/>
        <v>0</v>
      </c>
      <c r="AX1167" s="21" t="str">
        <f t="shared" si="122"/>
        <v/>
      </c>
      <c r="AY1167" s="21" t="str">
        <f>IF(AND($AM1167&lt;&gt;"",$AS1167&lt;&gt;"✓"),SUMPRODUCT(($AM$11:$AM1167&lt;&gt;"")*($AS$11:$AS1167&lt;&gt;"✓")),"")</f>
        <v/>
      </c>
      <c r="AZ1167" s="21" t="str">
        <f>IF(AND($AM1167&lt;&gt;"",$AS1167="✓"),SUMPRODUCT(($AM$11:$AM1167&lt;&gt;"")*($AS$11:$AS1167="✓")),"")</f>
        <v/>
      </c>
      <c r="BA1167" s="21" t="str">
        <f>IF($AL1167="","",$AL1167&amp;"|"&amp;COUNTIF($AL$11:$AL1167,$AL1167))</f>
        <v/>
      </c>
    </row>
    <row r="1168" spans="38:53" ht="15" customHeight="1" x14ac:dyDescent="0.25">
      <c r="AL1168" s="31"/>
      <c r="AM1168" s="26"/>
      <c r="AN1168" s="32"/>
      <c r="AO1168" s="32"/>
      <c r="AP1168" s="24"/>
      <c r="AQ1168" s="24"/>
      <c r="AR1168" s="33"/>
      <c r="AS1168" s="34"/>
      <c r="AT1168" s="33"/>
      <c r="AV1168" s="21">
        <f>IF(AND($AL1168&lt;&gt;"",COUNTIF($AL$11:$AL1168,$AL1168)=1),1,0)</f>
        <v>0</v>
      </c>
      <c r="AW1168" s="21">
        <f t="shared" si="123"/>
        <v>0</v>
      </c>
      <c r="AX1168" s="21" t="str">
        <f t="shared" si="122"/>
        <v/>
      </c>
      <c r="AY1168" s="21" t="str">
        <f>IF(AND($AM1168&lt;&gt;"",$AS1168&lt;&gt;"✓"),SUMPRODUCT(($AM$11:$AM1168&lt;&gt;"")*($AS$11:$AS1168&lt;&gt;"✓")),"")</f>
        <v/>
      </c>
      <c r="AZ1168" s="21" t="str">
        <f>IF(AND($AM1168&lt;&gt;"",$AS1168="✓"),SUMPRODUCT(($AM$11:$AM1168&lt;&gt;"")*($AS$11:$AS1168="✓")),"")</f>
        <v/>
      </c>
      <c r="BA1168" s="21" t="str">
        <f>IF($AL1168="","",$AL1168&amp;"|"&amp;COUNTIF($AL$11:$AL1168,$AL1168))</f>
        <v/>
      </c>
    </row>
    <row r="1169" spans="38:53" ht="15" customHeight="1" x14ac:dyDescent="0.25">
      <c r="AL1169" s="17"/>
      <c r="AM1169" s="12"/>
      <c r="AN1169" s="18"/>
      <c r="AO1169" s="18"/>
      <c r="AP1169" s="10"/>
      <c r="AQ1169" s="10"/>
      <c r="AR1169" s="19"/>
      <c r="AS1169" s="20"/>
      <c r="AT1169" s="19"/>
      <c r="AV1169" s="21">
        <f>IF(AND($AL1169&lt;&gt;"",COUNTIF($AL$11:$AL1169,$AL1169)=1),1,0)</f>
        <v>0</v>
      </c>
      <c r="AW1169" s="21">
        <f t="shared" si="123"/>
        <v>0</v>
      </c>
      <c r="AX1169" s="21" t="str">
        <f t="shared" si="122"/>
        <v/>
      </c>
      <c r="AY1169" s="21" t="str">
        <f>IF(AND($AM1169&lt;&gt;"",$AS1169&lt;&gt;"✓"),SUMPRODUCT(($AM$11:$AM1169&lt;&gt;"")*($AS$11:$AS1169&lt;&gt;"✓")),"")</f>
        <v/>
      </c>
      <c r="AZ1169" s="21" t="str">
        <f>IF(AND($AM1169&lt;&gt;"",$AS1169="✓"),SUMPRODUCT(($AM$11:$AM1169&lt;&gt;"")*($AS$11:$AS1169="✓")),"")</f>
        <v/>
      </c>
      <c r="BA1169" s="21" t="str">
        <f>IF($AL1169="","",$AL1169&amp;"|"&amp;COUNTIF($AL$11:$AL1169,$AL1169))</f>
        <v/>
      </c>
    </row>
    <row r="1170" spans="38:53" ht="15" customHeight="1" x14ac:dyDescent="0.25">
      <c r="AL1170" s="31"/>
      <c r="AM1170" s="26"/>
      <c r="AN1170" s="32"/>
      <c r="AO1170" s="32"/>
      <c r="AP1170" s="24"/>
      <c r="AQ1170" s="24"/>
      <c r="AR1170" s="33"/>
      <c r="AS1170" s="34"/>
      <c r="AT1170" s="33"/>
      <c r="AV1170" s="21">
        <f>IF(AND($AL1170&lt;&gt;"",COUNTIF($AL$11:$AL1170,$AL1170)=1),1,0)</f>
        <v>0</v>
      </c>
      <c r="AW1170" s="21">
        <f t="shared" si="123"/>
        <v>0</v>
      </c>
      <c r="AX1170" s="21" t="str">
        <f t="shared" si="122"/>
        <v/>
      </c>
      <c r="AY1170" s="21" t="str">
        <f>IF(AND($AM1170&lt;&gt;"",$AS1170&lt;&gt;"✓"),SUMPRODUCT(($AM$11:$AM1170&lt;&gt;"")*($AS$11:$AS1170&lt;&gt;"✓")),"")</f>
        <v/>
      </c>
      <c r="AZ1170" s="21" t="str">
        <f>IF(AND($AM1170&lt;&gt;"",$AS1170="✓"),SUMPRODUCT(($AM$11:$AM1170&lt;&gt;"")*($AS$11:$AS1170="✓")),"")</f>
        <v/>
      </c>
      <c r="BA1170" s="21" t="str">
        <f>IF($AL1170="","",$AL1170&amp;"|"&amp;COUNTIF($AL$11:$AL1170,$AL1170))</f>
        <v/>
      </c>
    </row>
    <row r="1171" spans="38:53" ht="15" customHeight="1" x14ac:dyDescent="0.25">
      <c r="AL1171" s="17"/>
      <c r="AM1171" s="12"/>
      <c r="AN1171" s="18"/>
      <c r="AO1171" s="18"/>
      <c r="AP1171" s="10"/>
      <c r="AQ1171" s="10"/>
      <c r="AR1171" s="19"/>
      <c r="AS1171" s="20"/>
      <c r="AT1171" s="19"/>
      <c r="AV1171" s="21">
        <f>IF(AND($AL1171&lt;&gt;"",COUNTIF($AL$11:$AL1171,$AL1171)=1),1,0)</f>
        <v>0</v>
      </c>
      <c r="AW1171" s="21">
        <f t="shared" si="123"/>
        <v>0</v>
      </c>
      <c r="AX1171" s="21" t="str">
        <f t="shared" si="122"/>
        <v/>
      </c>
      <c r="AY1171" s="21" t="str">
        <f>IF(AND($AM1171&lt;&gt;"",$AS1171&lt;&gt;"✓"),SUMPRODUCT(($AM$11:$AM1171&lt;&gt;"")*($AS$11:$AS1171&lt;&gt;"✓")),"")</f>
        <v/>
      </c>
      <c r="AZ1171" s="21" t="str">
        <f>IF(AND($AM1171&lt;&gt;"",$AS1171="✓"),SUMPRODUCT(($AM$11:$AM1171&lt;&gt;"")*($AS$11:$AS1171="✓")),"")</f>
        <v/>
      </c>
      <c r="BA1171" s="21" t="str">
        <f>IF($AL1171="","",$AL1171&amp;"|"&amp;COUNTIF($AL$11:$AL1171,$AL1171))</f>
        <v/>
      </c>
    </row>
    <row r="1172" spans="38:53" ht="15" customHeight="1" x14ac:dyDescent="0.25">
      <c r="AL1172" s="31"/>
      <c r="AM1172" s="26"/>
      <c r="AN1172" s="32"/>
      <c r="AO1172" s="32"/>
      <c r="AP1172" s="24"/>
      <c r="AQ1172" s="24"/>
      <c r="AR1172" s="33"/>
      <c r="AS1172" s="34"/>
      <c r="AT1172" s="33"/>
      <c r="AV1172" s="21">
        <f>IF(AND($AL1172&lt;&gt;"",COUNTIF($AL$11:$AL1172,$AL1172)=1),1,0)</f>
        <v>0</v>
      </c>
      <c r="AW1172" s="21">
        <f t="shared" si="123"/>
        <v>0</v>
      </c>
      <c r="AX1172" s="21" t="str">
        <f t="shared" si="122"/>
        <v/>
      </c>
      <c r="AY1172" s="21" t="str">
        <f>IF(AND($AM1172&lt;&gt;"",$AS1172&lt;&gt;"✓"),SUMPRODUCT(($AM$11:$AM1172&lt;&gt;"")*($AS$11:$AS1172&lt;&gt;"✓")),"")</f>
        <v/>
      </c>
      <c r="AZ1172" s="21" t="str">
        <f>IF(AND($AM1172&lt;&gt;"",$AS1172="✓"),SUMPRODUCT(($AM$11:$AM1172&lt;&gt;"")*($AS$11:$AS1172="✓")),"")</f>
        <v/>
      </c>
      <c r="BA1172" s="21" t="str">
        <f>IF($AL1172="","",$AL1172&amp;"|"&amp;COUNTIF($AL$11:$AL1172,$AL1172))</f>
        <v/>
      </c>
    </row>
    <row r="1173" spans="38:53" ht="15" customHeight="1" x14ac:dyDescent="0.25">
      <c r="AL1173" s="17"/>
      <c r="AM1173" s="12"/>
      <c r="AN1173" s="18"/>
      <c r="AO1173" s="18"/>
      <c r="AP1173" s="10"/>
      <c r="AQ1173" s="10"/>
      <c r="AR1173" s="19"/>
      <c r="AS1173" s="20"/>
      <c r="AT1173" s="19"/>
      <c r="AV1173" s="21">
        <f>IF(AND($AL1173&lt;&gt;"",COUNTIF($AL$11:$AL1173,$AL1173)=1),1,0)</f>
        <v>0</v>
      </c>
      <c r="AW1173" s="21">
        <f t="shared" si="123"/>
        <v>0</v>
      </c>
      <c r="AX1173" s="21" t="str">
        <f t="shared" si="122"/>
        <v/>
      </c>
      <c r="AY1173" s="21" t="str">
        <f>IF(AND($AM1173&lt;&gt;"",$AS1173&lt;&gt;"✓"),SUMPRODUCT(($AM$11:$AM1173&lt;&gt;"")*($AS$11:$AS1173&lt;&gt;"✓")),"")</f>
        <v/>
      </c>
      <c r="AZ1173" s="21" t="str">
        <f>IF(AND($AM1173&lt;&gt;"",$AS1173="✓"),SUMPRODUCT(($AM$11:$AM1173&lt;&gt;"")*($AS$11:$AS1173="✓")),"")</f>
        <v/>
      </c>
      <c r="BA1173" s="21" t="str">
        <f>IF($AL1173="","",$AL1173&amp;"|"&amp;COUNTIF($AL$11:$AL1173,$AL1173))</f>
        <v/>
      </c>
    </row>
    <row r="1174" spans="38:53" ht="15" customHeight="1" x14ac:dyDescent="0.25">
      <c r="AL1174" s="31"/>
      <c r="AM1174" s="26"/>
      <c r="AN1174" s="32"/>
      <c r="AO1174" s="32"/>
      <c r="AP1174" s="24"/>
      <c r="AQ1174" s="24"/>
      <c r="AR1174" s="33"/>
      <c r="AS1174" s="34"/>
      <c r="AT1174" s="33"/>
      <c r="AV1174" s="21">
        <f>IF(AND($AL1174&lt;&gt;"",COUNTIF($AL$11:$AL1174,$AL1174)=1),1,0)</f>
        <v>0</v>
      </c>
      <c r="AW1174" s="21">
        <f t="shared" si="123"/>
        <v>0</v>
      </c>
      <c r="AX1174" s="21" t="str">
        <f t="shared" si="122"/>
        <v/>
      </c>
      <c r="AY1174" s="21" t="str">
        <f>IF(AND($AM1174&lt;&gt;"",$AS1174&lt;&gt;"✓"),SUMPRODUCT(($AM$11:$AM1174&lt;&gt;"")*($AS$11:$AS1174&lt;&gt;"✓")),"")</f>
        <v/>
      </c>
      <c r="AZ1174" s="21" t="str">
        <f>IF(AND($AM1174&lt;&gt;"",$AS1174="✓"),SUMPRODUCT(($AM$11:$AM1174&lt;&gt;"")*($AS$11:$AS1174="✓")),"")</f>
        <v/>
      </c>
      <c r="BA1174" s="21" t="str">
        <f>IF($AL1174="","",$AL1174&amp;"|"&amp;COUNTIF($AL$11:$AL1174,$AL1174))</f>
        <v/>
      </c>
    </row>
    <row r="1175" spans="38:53" ht="15" customHeight="1" x14ac:dyDescent="0.25">
      <c r="AL1175" s="17"/>
      <c r="AM1175" s="12"/>
      <c r="AN1175" s="18"/>
      <c r="AO1175" s="18"/>
      <c r="AP1175" s="10"/>
      <c r="AQ1175" s="10"/>
      <c r="AR1175" s="19"/>
      <c r="AS1175" s="20"/>
      <c r="AT1175" s="19"/>
      <c r="AV1175" s="21">
        <f>IF(AND($AL1175&lt;&gt;"",COUNTIF($AL$11:$AL1175,$AL1175)=1),1,0)</f>
        <v>0</v>
      </c>
      <c r="AW1175" s="21">
        <f t="shared" si="123"/>
        <v>0</v>
      </c>
      <c r="AX1175" s="21" t="str">
        <f t="shared" si="122"/>
        <v/>
      </c>
      <c r="AY1175" s="21" t="str">
        <f>IF(AND($AM1175&lt;&gt;"",$AS1175&lt;&gt;"✓"),SUMPRODUCT(($AM$11:$AM1175&lt;&gt;"")*($AS$11:$AS1175&lt;&gt;"✓")),"")</f>
        <v/>
      </c>
      <c r="AZ1175" s="21" t="str">
        <f>IF(AND($AM1175&lt;&gt;"",$AS1175="✓"),SUMPRODUCT(($AM$11:$AM1175&lt;&gt;"")*($AS$11:$AS1175="✓")),"")</f>
        <v/>
      </c>
      <c r="BA1175" s="21" t="str">
        <f>IF($AL1175="","",$AL1175&amp;"|"&amp;COUNTIF($AL$11:$AL1175,$AL1175))</f>
        <v/>
      </c>
    </row>
    <row r="1176" spans="38:53" ht="15" customHeight="1" x14ac:dyDescent="0.25">
      <c r="AL1176" s="31"/>
      <c r="AM1176" s="26"/>
      <c r="AN1176" s="32"/>
      <c r="AO1176" s="32"/>
      <c r="AP1176" s="24"/>
      <c r="AQ1176" s="24"/>
      <c r="AR1176" s="33"/>
      <c r="AS1176" s="34"/>
      <c r="AT1176" s="33"/>
      <c r="AV1176" s="21">
        <f>IF(AND($AL1176&lt;&gt;"",COUNTIF($AL$11:$AL1176,$AL1176)=1),1,0)</f>
        <v>0</v>
      </c>
      <c r="AW1176" s="21">
        <f t="shared" si="123"/>
        <v>0</v>
      </c>
      <c r="AX1176" s="21" t="str">
        <f t="shared" si="122"/>
        <v/>
      </c>
      <c r="AY1176" s="21" t="str">
        <f>IF(AND($AM1176&lt;&gt;"",$AS1176&lt;&gt;"✓"),SUMPRODUCT(($AM$11:$AM1176&lt;&gt;"")*($AS$11:$AS1176&lt;&gt;"✓")),"")</f>
        <v/>
      </c>
      <c r="AZ1176" s="21" t="str">
        <f>IF(AND($AM1176&lt;&gt;"",$AS1176="✓"),SUMPRODUCT(($AM$11:$AM1176&lt;&gt;"")*($AS$11:$AS1176="✓")),"")</f>
        <v/>
      </c>
      <c r="BA1176" s="21" t="str">
        <f>IF($AL1176="","",$AL1176&amp;"|"&amp;COUNTIF($AL$11:$AL1176,$AL1176))</f>
        <v/>
      </c>
    </row>
    <row r="1177" spans="38:53" ht="15" customHeight="1" x14ac:dyDescent="0.25">
      <c r="AL1177" s="17"/>
      <c r="AM1177" s="12"/>
      <c r="AN1177" s="18"/>
      <c r="AO1177" s="18"/>
      <c r="AP1177" s="10"/>
      <c r="AQ1177" s="10"/>
      <c r="AR1177" s="19"/>
      <c r="AS1177" s="20"/>
      <c r="AT1177" s="19"/>
      <c r="AV1177" s="21">
        <f>IF(AND($AL1177&lt;&gt;"",COUNTIF($AL$11:$AL1177,$AL1177)=1),1,0)</f>
        <v>0</v>
      </c>
      <c r="AW1177" s="21">
        <f t="shared" si="123"/>
        <v>0</v>
      </c>
      <c r="AX1177" s="21" t="str">
        <f t="shared" si="122"/>
        <v/>
      </c>
      <c r="AY1177" s="21" t="str">
        <f>IF(AND($AM1177&lt;&gt;"",$AS1177&lt;&gt;"✓"),SUMPRODUCT(($AM$11:$AM1177&lt;&gt;"")*($AS$11:$AS1177&lt;&gt;"✓")),"")</f>
        <v/>
      </c>
      <c r="AZ1177" s="21" t="str">
        <f>IF(AND($AM1177&lt;&gt;"",$AS1177="✓"),SUMPRODUCT(($AM$11:$AM1177&lt;&gt;"")*($AS$11:$AS1177="✓")),"")</f>
        <v/>
      </c>
      <c r="BA1177" s="21" t="str">
        <f>IF($AL1177="","",$AL1177&amp;"|"&amp;COUNTIF($AL$11:$AL1177,$AL1177))</f>
        <v/>
      </c>
    </row>
    <row r="1178" spans="38:53" ht="15" customHeight="1" x14ac:dyDescent="0.25">
      <c r="AL1178" s="31"/>
      <c r="AM1178" s="26"/>
      <c r="AN1178" s="32"/>
      <c r="AO1178" s="32"/>
      <c r="AP1178" s="24"/>
      <c r="AQ1178" s="24"/>
      <c r="AR1178" s="33"/>
      <c r="AS1178" s="34"/>
      <c r="AT1178" s="33"/>
      <c r="AV1178" s="21">
        <f>IF(AND($AL1178&lt;&gt;"",COUNTIF($AL$11:$AL1178,$AL1178)=1),1,0)</f>
        <v>0</v>
      </c>
      <c r="AW1178" s="21">
        <f t="shared" si="123"/>
        <v>0</v>
      </c>
      <c r="AX1178" s="21" t="str">
        <f t="shared" si="122"/>
        <v/>
      </c>
      <c r="AY1178" s="21" t="str">
        <f>IF(AND($AM1178&lt;&gt;"",$AS1178&lt;&gt;"✓"),SUMPRODUCT(($AM$11:$AM1178&lt;&gt;"")*($AS$11:$AS1178&lt;&gt;"✓")),"")</f>
        <v/>
      </c>
      <c r="AZ1178" s="21" t="str">
        <f>IF(AND($AM1178&lt;&gt;"",$AS1178="✓"),SUMPRODUCT(($AM$11:$AM1178&lt;&gt;"")*($AS$11:$AS1178="✓")),"")</f>
        <v/>
      </c>
      <c r="BA1178" s="21" t="str">
        <f>IF($AL1178="","",$AL1178&amp;"|"&amp;COUNTIF($AL$11:$AL1178,$AL1178))</f>
        <v/>
      </c>
    </row>
    <row r="1179" spans="38:53" ht="15" customHeight="1" x14ac:dyDescent="0.25">
      <c r="AL1179" s="17"/>
      <c r="AM1179" s="12"/>
      <c r="AN1179" s="18"/>
      <c r="AO1179" s="18"/>
      <c r="AP1179" s="10"/>
      <c r="AQ1179" s="10"/>
      <c r="AR1179" s="19"/>
      <c r="AS1179" s="20"/>
      <c r="AT1179" s="19"/>
      <c r="AV1179" s="21">
        <f>IF(AND($AL1179&lt;&gt;"",COUNTIF($AL$11:$AL1179,$AL1179)=1),1,0)</f>
        <v>0</v>
      </c>
      <c r="AW1179" s="21">
        <f t="shared" si="123"/>
        <v>0</v>
      </c>
      <c r="AX1179" s="21" t="str">
        <f t="shared" si="122"/>
        <v/>
      </c>
      <c r="AY1179" s="21" t="str">
        <f>IF(AND($AM1179&lt;&gt;"",$AS1179&lt;&gt;"✓"),SUMPRODUCT(($AM$11:$AM1179&lt;&gt;"")*($AS$11:$AS1179&lt;&gt;"✓")),"")</f>
        <v/>
      </c>
      <c r="AZ1179" s="21" t="str">
        <f>IF(AND($AM1179&lt;&gt;"",$AS1179="✓"),SUMPRODUCT(($AM$11:$AM1179&lt;&gt;"")*($AS$11:$AS1179="✓")),"")</f>
        <v/>
      </c>
      <c r="BA1179" s="21" t="str">
        <f>IF($AL1179="","",$AL1179&amp;"|"&amp;COUNTIF($AL$11:$AL1179,$AL1179))</f>
        <v/>
      </c>
    </row>
    <row r="1180" spans="38:53" ht="15" customHeight="1" x14ac:dyDescent="0.25">
      <c r="AL1180" s="31"/>
      <c r="AM1180" s="26"/>
      <c r="AN1180" s="32"/>
      <c r="AO1180" s="32"/>
      <c r="AP1180" s="24"/>
      <c r="AQ1180" s="24"/>
      <c r="AR1180" s="33"/>
      <c r="AS1180" s="34"/>
      <c r="AT1180" s="33"/>
      <c r="AV1180" s="21">
        <f>IF(AND($AL1180&lt;&gt;"",COUNTIF($AL$11:$AL1180,$AL1180)=1),1,0)</f>
        <v>0</v>
      </c>
      <c r="AW1180" s="21">
        <f t="shared" si="123"/>
        <v>0</v>
      </c>
      <c r="AX1180" s="21" t="str">
        <f t="shared" si="122"/>
        <v/>
      </c>
      <c r="AY1180" s="21" t="str">
        <f>IF(AND($AM1180&lt;&gt;"",$AS1180&lt;&gt;"✓"),SUMPRODUCT(($AM$11:$AM1180&lt;&gt;"")*($AS$11:$AS1180&lt;&gt;"✓")),"")</f>
        <v/>
      </c>
      <c r="AZ1180" s="21" t="str">
        <f>IF(AND($AM1180&lt;&gt;"",$AS1180="✓"),SUMPRODUCT(($AM$11:$AM1180&lt;&gt;"")*($AS$11:$AS1180="✓")),"")</f>
        <v/>
      </c>
      <c r="BA1180" s="21" t="str">
        <f>IF($AL1180="","",$AL1180&amp;"|"&amp;COUNTIF($AL$11:$AL1180,$AL1180))</f>
        <v/>
      </c>
    </row>
    <row r="1181" spans="38:53" ht="15" customHeight="1" x14ac:dyDescent="0.25">
      <c r="AL1181" s="17"/>
      <c r="AM1181" s="12"/>
      <c r="AN1181" s="18"/>
      <c r="AO1181" s="18"/>
      <c r="AP1181" s="10"/>
      <c r="AQ1181" s="10"/>
      <c r="AR1181" s="19"/>
      <c r="AS1181" s="20"/>
      <c r="AT1181" s="19"/>
      <c r="AV1181" s="21">
        <f>IF(AND($AL1181&lt;&gt;"",COUNTIF($AL$11:$AL1181,$AL1181)=1),1,0)</f>
        <v>0</v>
      </c>
      <c r="AW1181" s="21">
        <f t="shared" si="123"/>
        <v>0</v>
      </c>
      <c r="AX1181" s="21" t="str">
        <f t="shared" si="122"/>
        <v/>
      </c>
      <c r="AY1181" s="21" t="str">
        <f>IF(AND($AM1181&lt;&gt;"",$AS1181&lt;&gt;"✓"),SUMPRODUCT(($AM$11:$AM1181&lt;&gt;"")*($AS$11:$AS1181&lt;&gt;"✓")),"")</f>
        <v/>
      </c>
      <c r="AZ1181" s="21" t="str">
        <f>IF(AND($AM1181&lt;&gt;"",$AS1181="✓"),SUMPRODUCT(($AM$11:$AM1181&lt;&gt;"")*($AS$11:$AS1181="✓")),"")</f>
        <v/>
      </c>
      <c r="BA1181" s="21" t="str">
        <f>IF($AL1181="","",$AL1181&amp;"|"&amp;COUNTIF($AL$11:$AL1181,$AL1181))</f>
        <v/>
      </c>
    </row>
    <row r="1182" spans="38:53" ht="15" customHeight="1" x14ac:dyDescent="0.25">
      <c r="AL1182" s="31"/>
      <c r="AM1182" s="26"/>
      <c r="AN1182" s="32"/>
      <c r="AO1182" s="32"/>
      <c r="AP1182" s="24"/>
      <c r="AQ1182" s="24"/>
      <c r="AR1182" s="33"/>
      <c r="AS1182" s="34"/>
      <c r="AT1182" s="33"/>
      <c r="AV1182" s="21">
        <f>IF(AND($AL1182&lt;&gt;"",COUNTIF($AL$11:$AL1182,$AL1182)=1),1,0)</f>
        <v>0</v>
      </c>
      <c r="AW1182" s="21">
        <f t="shared" si="123"/>
        <v>0</v>
      </c>
      <c r="AX1182" s="21" t="str">
        <f t="shared" si="122"/>
        <v/>
      </c>
      <c r="AY1182" s="21" t="str">
        <f>IF(AND($AM1182&lt;&gt;"",$AS1182&lt;&gt;"✓"),SUMPRODUCT(($AM$11:$AM1182&lt;&gt;"")*($AS$11:$AS1182&lt;&gt;"✓")),"")</f>
        <v/>
      </c>
      <c r="AZ1182" s="21" t="str">
        <f>IF(AND($AM1182&lt;&gt;"",$AS1182="✓"),SUMPRODUCT(($AM$11:$AM1182&lt;&gt;"")*($AS$11:$AS1182="✓")),"")</f>
        <v/>
      </c>
      <c r="BA1182" s="21" t="str">
        <f>IF($AL1182="","",$AL1182&amp;"|"&amp;COUNTIF($AL$11:$AL1182,$AL1182))</f>
        <v/>
      </c>
    </row>
    <row r="1183" spans="38:53" ht="15" customHeight="1" x14ac:dyDescent="0.25">
      <c r="AL1183" s="17"/>
      <c r="AM1183" s="12"/>
      <c r="AN1183" s="18"/>
      <c r="AO1183" s="18"/>
      <c r="AP1183" s="10"/>
      <c r="AQ1183" s="10"/>
      <c r="AR1183" s="19"/>
      <c r="AS1183" s="20"/>
      <c r="AT1183" s="19"/>
      <c r="AV1183" s="21">
        <f>IF(AND($AL1183&lt;&gt;"",COUNTIF($AL$11:$AL1183,$AL1183)=1),1,0)</f>
        <v>0</v>
      </c>
      <c r="AW1183" s="21">
        <f t="shared" si="123"/>
        <v>0</v>
      </c>
      <c r="AX1183" s="21" t="str">
        <f t="shared" si="122"/>
        <v/>
      </c>
      <c r="AY1183" s="21" t="str">
        <f>IF(AND($AM1183&lt;&gt;"",$AS1183&lt;&gt;"✓"),SUMPRODUCT(($AM$11:$AM1183&lt;&gt;"")*($AS$11:$AS1183&lt;&gt;"✓")),"")</f>
        <v/>
      </c>
      <c r="AZ1183" s="21" t="str">
        <f>IF(AND($AM1183&lt;&gt;"",$AS1183="✓"),SUMPRODUCT(($AM$11:$AM1183&lt;&gt;"")*($AS$11:$AS1183="✓")),"")</f>
        <v/>
      </c>
      <c r="BA1183" s="21" t="str">
        <f>IF($AL1183="","",$AL1183&amp;"|"&amp;COUNTIF($AL$11:$AL1183,$AL1183))</f>
        <v/>
      </c>
    </row>
    <row r="1184" spans="38:53" ht="15" customHeight="1" x14ac:dyDescent="0.25">
      <c r="AL1184" s="31"/>
      <c r="AM1184" s="26"/>
      <c r="AN1184" s="32"/>
      <c r="AO1184" s="32"/>
      <c r="AP1184" s="24"/>
      <c r="AQ1184" s="24"/>
      <c r="AR1184" s="33"/>
      <c r="AS1184" s="34"/>
      <c r="AT1184" s="33"/>
      <c r="AV1184" s="21">
        <f>IF(AND($AL1184&lt;&gt;"",COUNTIF($AL$11:$AL1184,$AL1184)=1),1,0)</f>
        <v>0</v>
      </c>
      <c r="AW1184" s="21">
        <f t="shared" si="123"/>
        <v>0</v>
      </c>
      <c r="AX1184" s="21" t="str">
        <f t="shared" si="122"/>
        <v/>
      </c>
      <c r="AY1184" s="21" t="str">
        <f>IF(AND($AM1184&lt;&gt;"",$AS1184&lt;&gt;"✓"),SUMPRODUCT(($AM$11:$AM1184&lt;&gt;"")*($AS$11:$AS1184&lt;&gt;"✓")),"")</f>
        <v/>
      </c>
      <c r="AZ1184" s="21" t="str">
        <f>IF(AND($AM1184&lt;&gt;"",$AS1184="✓"),SUMPRODUCT(($AM$11:$AM1184&lt;&gt;"")*($AS$11:$AS1184="✓")),"")</f>
        <v/>
      </c>
      <c r="BA1184" s="21" t="str">
        <f>IF($AL1184="","",$AL1184&amp;"|"&amp;COUNTIF($AL$11:$AL1184,$AL1184))</f>
        <v/>
      </c>
    </row>
    <row r="1185" spans="38:53" ht="15" customHeight="1" x14ac:dyDescent="0.25">
      <c r="AL1185" s="17"/>
      <c r="AM1185" s="12"/>
      <c r="AN1185" s="18"/>
      <c r="AO1185" s="18"/>
      <c r="AP1185" s="10"/>
      <c r="AQ1185" s="10"/>
      <c r="AR1185" s="19"/>
      <c r="AS1185" s="20"/>
      <c r="AT1185" s="19"/>
      <c r="AV1185" s="21">
        <f>IF(AND($AL1185&lt;&gt;"",COUNTIF($AL$11:$AL1185,$AL1185)=1),1,0)</f>
        <v>0</v>
      </c>
      <c r="AW1185" s="21">
        <f t="shared" si="123"/>
        <v>0</v>
      </c>
      <c r="AX1185" s="21" t="str">
        <f t="shared" si="122"/>
        <v/>
      </c>
      <c r="AY1185" s="21" t="str">
        <f>IF(AND($AM1185&lt;&gt;"",$AS1185&lt;&gt;"✓"),SUMPRODUCT(($AM$11:$AM1185&lt;&gt;"")*($AS$11:$AS1185&lt;&gt;"✓")),"")</f>
        <v/>
      </c>
      <c r="AZ1185" s="21" t="str">
        <f>IF(AND($AM1185&lt;&gt;"",$AS1185="✓"),SUMPRODUCT(($AM$11:$AM1185&lt;&gt;"")*($AS$11:$AS1185="✓")),"")</f>
        <v/>
      </c>
      <c r="BA1185" s="21" t="str">
        <f>IF($AL1185="","",$AL1185&amp;"|"&amp;COUNTIF($AL$11:$AL1185,$AL1185))</f>
        <v/>
      </c>
    </row>
    <row r="1186" spans="38:53" ht="15" customHeight="1" x14ac:dyDescent="0.25">
      <c r="AL1186" s="31"/>
      <c r="AM1186" s="26"/>
      <c r="AN1186" s="32"/>
      <c r="AO1186" s="32"/>
      <c r="AP1186" s="24"/>
      <c r="AQ1186" s="24"/>
      <c r="AR1186" s="33"/>
      <c r="AS1186" s="34"/>
      <c r="AT1186" s="33"/>
      <c r="AV1186" s="21">
        <f>IF(AND($AL1186&lt;&gt;"",COUNTIF($AL$11:$AL1186,$AL1186)=1),1,0)</f>
        <v>0</v>
      </c>
      <c r="AW1186" s="21">
        <f t="shared" si="123"/>
        <v>0</v>
      </c>
      <c r="AX1186" s="21" t="str">
        <f t="shared" si="122"/>
        <v/>
      </c>
      <c r="AY1186" s="21" t="str">
        <f>IF(AND($AM1186&lt;&gt;"",$AS1186&lt;&gt;"✓"),SUMPRODUCT(($AM$11:$AM1186&lt;&gt;"")*($AS$11:$AS1186&lt;&gt;"✓")),"")</f>
        <v/>
      </c>
      <c r="AZ1186" s="21" t="str">
        <f>IF(AND($AM1186&lt;&gt;"",$AS1186="✓"),SUMPRODUCT(($AM$11:$AM1186&lt;&gt;"")*($AS$11:$AS1186="✓")),"")</f>
        <v/>
      </c>
      <c r="BA1186" s="21" t="str">
        <f>IF($AL1186="","",$AL1186&amp;"|"&amp;COUNTIF($AL$11:$AL1186,$AL1186))</f>
        <v/>
      </c>
    </row>
    <row r="1187" spans="38:53" ht="15" customHeight="1" x14ac:dyDescent="0.25">
      <c r="AL1187" s="17"/>
      <c r="AM1187" s="12"/>
      <c r="AN1187" s="18"/>
      <c r="AO1187" s="18"/>
      <c r="AP1187" s="10"/>
      <c r="AQ1187" s="10"/>
      <c r="AR1187" s="19"/>
      <c r="AS1187" s="20"/>
      <c r="AT1187" s="19"/>
      <c r="AV1187" s="21">
        <f>IF(AND($AL1187&lt;&gt;"",COUNTIF($AL$11:$AL1187,$AL1187)=1),1,0)</f>
        <v>0</v>
      </c>
      <c r="AW1187" s="21">
        <f t="shared" si="123"/>
        <v>0</v>
      </c>
      <c r="AX1187" s="21" t="str">
        <f t="shared" si="122"/>
        <v/>
      </c>
      <c r="AY1187" s="21" t="str">
        <f>IF(AND($AM1187&lt;&gt;"",$AS1187&lt;&gt;"✓"),SUMPRODUCT(($AM$11:$AM1187&lt;&gt;"")*($AS$11:$AS1187&lt;&gt;"✓")),"")</f>
        <v/>
      </c>
      <c r="AZ1187" s="21" t="str">
        <f>IF(AND($AM1187&lt;&gt;"",$AS1187="✓"),SUMPRODUCT(($AM$11:$AM1187&lt;&gt;"")*($AS$11:$AS1187="✓")),"")</f>
        <v/>
      </c>
      <c r="BA1187" s="21" t="str">
        <f>IF($AL1187="","",$AL1187&amp;"|"&amp;COUNTIF($AL$11:$AL1187,$AL1187))</f>
        <v/>
      </c>
    </row>
    <row r="1188" spans="38:53" ht="15" customHeight="1" x14ac:dyDescent="0.25">
      <c r="AL1188" s="31"/>
      <c r="AM1188" s="26"/>
      <c r="AN1188" s="32"/>
      <c r="AO1188" s="32"/>
      <c r="AP1188" s="24"/>
      <c r="AQ1188" s="24"/>
      <c r="AR1188" s="33"/>
      <c r="AS1188" s="34"/>
      <c r="AT1188" s="33"/>
      <c r="AV1188" s="21">
        <f>IF(AND($AL1188&lt;&gt;"",COUNTIF($AL$11:$AL1188,$AL1188)=1),1,0)</f>
        <v>0</v>
      </c>
      <c r="AW1188" s="21">
        <f t="shared" si="123"/>
        <v>0</v>
      </c>
      <c r="AX1188" s="21" t="str">
        <f t="shared" si="122"/>
        <v/>
      </c>
      <c r="AY1188" s="21" t="str">
        <f>IF(AND($AM1188&lt;&gt;"",$AS1188&lt;&gt;"✓"),SUMPRODUCT(($AM$11:$AM1188&lt;&gt;"")*($AS$11:$AS1188&lt;&gt;"✓")),"")</f>
        <v/>
      </c>
      <c r="AZ1188" s="21" t="str">
        <f>IF(AND($AM1188&lt;&gt;"",$AS1188="✓"),SUMPRODUCT(($AM$11:$AM1188&lt;&gt;"")*($AS$11:$AS1188="✓")),"")</f>
        <v/>
      </c>
      <c r="BA1188" s="21" t="str">
        <f>IF($AL1188="","",$AL1188&amp;"|"&amp;COUNTIF($AL$11:$AL1188,$AL1188))</f>
        <v/>
      </c>
    </row>
    <row r="1189" spans="38:53" ht="15" customHeight="1" x14ac:dyDescent="0.25">
      <c r="AL1189" s="17"/>
      <c r="AM1189" s="12"/>
      <c r="AN1189" s="18"/>
      <c r="AO1189" s="18"/>
      <c r="AP1189" s="10"/>
      <c r="AQ1189" s="10"/>
      <c r="AR1189" s="19"/>
      <c r="AS1189" s="20"/>
      <c r="AT1189" s="19"/>
      <c r="AV1189" s="21">
        <f>IF(AND($AL1189&lt;&gt;"",COUNTIF($AL$11:$AL1189,$AL1189)=1),1,0)</f>
        <v>0</v>
      </c>
      <c r="AW1189" s="21">
        <f t="shared" si="123"/>
        <v>0</v>
      </c>
      <c r="AX1189" s="21" t="str">
        <f t="shared" si="122"/>
        <v/>
      </c>
      <c r="AY1189" s="21" t="str">
        <f>IF(AND($AM1189&lt;&gt;"",$AS1189&lt;&gt;"✓"),SUMPRODUCT(($AM$11:$AM1189&lt;&gt;"")*($AS$11:$AS1189&lt;&gt;"✓")),"")</f>
        <v/>
      </c>
      <c r="AZ1189" s="21" t="str">
        <f>IF(AND($AM1189&lt;&gt;"",$AS1189="✓"),SUMPRODUCT(($AM$11:$AM1189&lt;&gt;"")*($AS$11:$AS1189="✓")),"")</f>
        <v/>
      </c>
      <c r="BA1189" s="21" t="str">
        <f>IF($AL1189="","",$AL1189&amp;"|"&amp;COUNTIF($AL$11:$AL1189,$AL1189))</f>
        <v/>
      </c>
    </row>
    <row r="1190" spans="38:53" ht="15" customHeight="1" x14ac:dyDescent="0.25">
      <c r="AL1190" s="31"/>
      <c r="AM1190" s="26"/>
      <c r="AN1190" s="32"/>
      <c r="AO1190" s="32"/>
      <c r="AP1190" s="24"/>
      <c r="AQ1190" s="24"/>
      <c r="AR1190" s="33"/>
      <c r="AS1190" s="34"/>
      <c r="AT1190" s="33"/>
      <c r="AV1190" s="21">
        <f>IF(AND($AL1190&lt;&gt;"",COUNTIF($AL$11:$AL1190,$AL1190)=1),1,0)</f>
        <v>0</v>
      </c>
      <c r="AW1190" s="21">
        <f t="shared" si="123"/>
        <v>0</v>
      </c>
      <c r="AX1190" s="21" t="str">
        <f t="shared" si="122"/>
        <v/>
      </c>
      <c r="AY1190" s="21" t="str">
        <f>IF(AND($AM1190&lt;&gt;"",$AS1190&lt;&gt;"✓"),SUMPRODUCT(($AM$11:$AM1190&lt;&gt;"")*($AS$11:$AS1190&lt;&gt;"✓")),"")</f>
        <v/>
      </c>
      <c r="AZ1190" s="21" t="str">
        <f>IF(AND($AM1190&lt;&gt;"",$AS1190="✓"),SUMPRODUCT(($AM$11:$AM1190&lt;&gt;"")*($AS$11:$AS1190="✓")),"")</f>
        <v/>
      </c>
      <c r="BA1190" s="21" t="str">
        <f>IF($AL1190="","",$AL1190&amp;"|"&amp;COUNTIF($AL$11:$AL1190,$AL1190))</f>
        <v/>
      </c>
    </row>
    <row r="1191" spans="38:53" ht="15" customHeight="1" x14ac:dyDescent="0.25">
      <c r="AL1191" s="17"/>
      <c r="AM1191" s="12"/>
      <c r="AN1191" s="18"/>
      <c r="AO1191" s="18"/>
      <c r="AP1191" s="10"/>
      <c r="AQ1191" s="10"/>
      <c r="AR1191" s="19"/>
      <c r="AS1191" s="20"/>
      <c r="AT1191" s="19"/>
      <c r="AV1191" s="21">
        <f>IF(AND($AL1191&lt;&gt;"",COUNTIF($AL$11:$AL1191,$AL1191)=1),1,0)</f>
        <v>0</v>
      </c>
      <c r="AW1191" s="21">
        <f t="shared" si="123"/>
        <v>0</v>
      </c>
      <c r="AX1191" s="21" t="str">
        <f t="shared" si="122"/>
        <v/>
      </c>
      <c r="AY1191" s="21" t="str">
        <f>IF(AND($AM1191&lt;&gt;"",$AS1191&lt;&gt;"✓"),SUMPRODUCT(($AM$11:$AM1191&lt;&gt;"")*($AS$11:$AS1191&lt;&gt;"✓")),"")</f>
        <v/>
      </c>
      <c r="AZ1191" s="21" t="str">
        <f>IF(AND($AM1191&lt;&gt;"",$AS1191="✓"),SUMPRODUCT(($AM$11:$AM1191&lt;&gt;"")*($AS$11:$AS1191="✓")),"")</f>
        <v/>
      </c>
      <c r="BA1191" s="21" t="str">
        <f>IF($AL1191="","",$AL1191&amp;"|"&amp;COUNTIF($AL$11:$AL1191,$AL1191))</f>
        <v/>
      </c>
    </row>
    <row r="1192" spans="38:53" ht="15" customHeight="1" x14ac:dyDescent="0.25">
      <c r="AL1192" s="31"/>
      <c r="AM1192" s="26"/>
      <c r="AN1192" s="32"/>
      <c r="AO1192" s="32"/>
      <c r="AP1192" s="24"/>
      <c r="AQ1192" s="24"/>
      <c r="AR1192" s="33"/>
      <c r="AS1192" s="34"/>
      <c r="AT1192" s="33"/>
      <c r="AV1192" s="21">
        <f>IF(AND($AL1192&lt;&gt;"",COUNTIF($AL$11:$AL1192,$AL1192)=1),1,0)</f>
        <v>0</v>
      </c>
      <c r="AW1192" s="21">
        <f t="shared" si="123"/>
        <v>0</v>
      </c>
      <c r="AX1192" s="21" t="str">
        <f t="shared" si="122"/>
        <v/>
      </c>
      <c r="AY1192" s="21" t="str">
        <f>IF(AND($AM1192&lt;&gt;"",$AS1192&lt;&gt;"✓"),SUMPRODUCT(($AM$11:$AM1192&lt;&gt;"")*($AS$11:$AS1192&lt;&gt;"✓")),"")</f>
        <v/>
      </c>
      <c r="AZ1192" s="21" t="str">
        <f>IF(AND($AM1192&lt;&gt;"",$AS1192="✓"),SUMPRODUCT(($AM$11:$AM1192&lt;&gt;"")*($AS$11:$AS1192="✓")),"")</f>
        <v/>
      </c>
      <c r="BA1192" s="21" t="str">
        <f>IF($AL1192="","",$AL1192&amp;"|"&amp;COUNTIF($AL$11:$AL1192,$AL1192))</f>
        <v/>
      </c>
    </row>
    <row r="1193" spans="38:53" ht="15" customHeight="1" x14ac:dyDescent="0.25">
      <c r="AL1193" s="17"/>
      <c r="AM1193" s="12"/>
      <c r="AN1193" s="18"/>
      <c r="AO1193" s="18"/>
      <c r="AP1193" s="10"/>
      <c r="AQ1193" s="10"/>
      <c r="AR1193" s="19"/>
      <c r="AS1193" s="20"/>
      <c r="AT1193" s="19"/>
      <c r="AV1193" s="21">
        <f>IF(AND($AL1193&lt;&gt;"",COUNTIF($AL$11:$AL1193,$AL1193)=1),1,0)</f>
        <v>0</v>
      </c>
      <c r="AW1193" s="21">
        <f t="shared" si="123"/>
        <v>0</v>
      </c>
      <c r="AX1193" s="21" t="str">
        <f t="shared" si="122"/>
        <v/>
      </c>
      <c r="AY1193" s="21" t="str">
        <f>IF(AND($AM1193&lt;&gt;"",$AS1193&lt;&gt;"✓"),SUMPRODUCT(($AM$11:$AM1193&lt;&gt;"")*($AS$11:$AS1193&lt;&gt;"✓")),"")</f>
        <v/>
      </c>
      <c r="AZ1193" s="21" t="str">
        <f>IF(AND($AM1193&lt;&gt;"",$AS1193="✓"),SUMPRODUCT(($AM$11:$AM1193&lt;&gt;"")*($AS$11:$AS1193="✓")),"")</f>
        <v/>
      </c>
      <c r="BA1193" s="21" t="str">
        <f>IF($AL1193="","",$AL1193&amp;"|"&amp;COUNTIF($AL$11:$AL1193,$AL1193))</f>
        <v/>
      </c>
    </row>
    <row r="1194" spans="38:53" ht="15" customHeight="1" x14ac:dyDescent="0.25">
      <c r="AL1194" s="31"/>
      <c r="AM1194" s="26"/>
      <c r="AN1194" s="32"/>
      <c r="AO1194" s="32"/>
      <c r="AP1194" s="24"/>
      <c r="AQ1194" s="24"/>
      <c r="AR1194" s="33"/>
      <c r="AS1194" s="34"/>
      <c r="AT1194" s="33"/>
      <c r="AV1194" s="21">
        <f>IF(AND($AL1194&lt;&gt;"",COUNTIF($AL$11:$AL1194,$AL1194)=1),1,0)</f>
        <v>0</v>
      </c>
      <c r="AW1194" s="21">
        <f t="shared" si="123"/>
        <v>0</v>
      </c>
      <c r="AX1194" s="21" t="str">
        <f t="shared" si="122"/>
        <v/>
      </c>
      <c r="AY1194" s="21" t="str">
        <f>IF(AND($AM1194&lt;&gt;"",$AS1194&lt;&gt;"✓"),SUMPRODUCT(($AM$11:$AM1194&lt;&gt;"")*($AS$11:$AS1194&lt;&gt;"✓")),"")</f>
        <v/>
      </c>
      <c r="AZ1194" s="21" t="str">
        <f>IF(AND($AM1194&lt;&gt;"",$AS1194="✓"),SUMPRODUCT(($AM$11:$AM1194&lt;&gt;"")*($AS$11:$AS1194="✓")),"")</f>
        <v/>
      </c>
      <c r="BA1194" s="21" t="str">
        <f>IF($AL1194="","",$AL1194&amp;"|"&amp;COUNTIF($AL$11:$AL1194,$AL1194))</f>
        <v/>
      </c>
    </row>
    <row r="1195" spans="38:53" ht="15" customHeight="1" x14ac:dyDescent="0.25">
      <c r="AL1195" s="17"/>
      <c r="AM1195" s="12"/>
      <c r="AN1195" s="18"/>
      <c r="AO1195" s="18"/>
      <c r="AP1195" s="10"/>
      <c r="AQ1195" s="10"/>
      <c r="AR1195" s="19"/>
      <c r="AS1195" s="20"/>
      <c r="AT1195" s="19"/>
      <c r="AV1195" s="21">
        <f>IF(AND($AL1195&lt;&gt;"",COUNTIF($AL$11:$AL1195,$AL1195)=1),1,0)</f>
        <v>0</v>
      </c>
      <c r="AW1195" s="21">
        <f t="shared" si="123"/>
        <v>0</v>
      </c>
      <c r="AX1195" s="21" t="str">
        <f t="shared" si="122"/>
        <v/>
      </c>
      <c r="AY1195" s="21" t="str">
        <f>IF(AND($AM1195&lt;&gt;"",$AS1195&lt;&gt;"✓"),SUMPRODUCT(($AM$11:$AM1195&lt;&gt;"")*($AS$11:$AS1195&lt;&gt;"✓")),"")</f>
        <v/>
      </c>
      <c r="AZ1195" s="21" t="str">
        <f>IF(AND($AM1195&lt;&gt;"",$AS1195="✓"),SUMPRODUCT(($AM$11:$AM1195&lt;&gt;"")*($AS$11:$AS1195="✓")),"")</f>
        <v/>
      </c>
      <c r="BA1195" s="21" t="str">
        <f>IF($AL1195="","",$AL1195&amp;"|"&amp;COUNTIF($AL$11:$AL1195,$AL1195))</f>
        <v/>
      </c>
    </row>
    <row r="1196" spans="38:53" ht="15" customHeight="1" x14ac:dyDescent="0.25">
      <c r="AL1196" s="31"/>
      <c r="AM1196" s="26"/>
      <c r="AN1196" s="32"/>
      <c r="AO1196" s="32"/>
      <c r="AP1196" s="24"/>
      <c r="AQ1196" s="24"/>
      <c r="AR1196" s="33"/>
      <c r="AS1196" s="34"/>
      <c r="AT1196" s="33"/>
      <c r="AV1196" s="21">
        <f>IF(AND($AL1196&lt;&gt;"",COUNTIF($AL$11:$AL1196,$AL1196)=1),1,0)</f>
        <v>0</v>
      </c>
      <c r="AW1196" s="21">
        <f t="shared" si="123"/>
        <v>0</v>
      </c>
      <c r="AX1196" s="21" t="str">
        <f t="shared" si="122"/>
        <v/>
      </c>
      <c r="AY1196" s="21" t="str">
        <f>IF(AND($AM1196&lt;&gt;"",$AS1196&lt;&gt;"✓"),SUMPRODUCT(($AM$11:$AM1196&lt;&gt;"")*($AS$11:$AS1196&lt;&gt;"✓")),"")</f>
        <v/>
      </c>
      <c r="AZ1196" s="21" t="str">
        <f>IF(AND($AM1196&lt;&gt;"",$AS1196="✓"),SUMPRODUCT(($AM$11:$AM1196&lt;&gt;"")*($AS$11:$AS1196="✓")),"")</f>
        <v/>
      </c>
      <c r="BA1196" s="21" t="str">
        <f>IF($AL1196="","",$AL1196&amp;"|"&amp;COUNTIF($AL$11:$AL1196,$AL1196))</f>
        <v/>
      </c>
    </row>
    <row r="1197" spans="38:53" ht="15" customHeight="1" x14ac:dyDescent="0.25">
      <c r="AL1197" s="17"/>
      <c r="AM1197" s="12"/>
      <c r="AN1197" s="18"/>
      <c r="AO1197" s="18"/>
      <c r="AP1197" s="10"/>
      <c r="AQ1197" s="10"/>
      <c r="AR1197" s="19"/>
      <c r="AS1197" s="20"/>
      <c r="AT1197" s="19"/>
      <c r="AV1197" s="21">
        <f>IF(AND($AL1197&lt;&gt;"",COUNTIF($AL$11:$AL1197,$AL1197)=1),1,0)</f>
        <v>0</v>
      </c>
      <c r="AW1197" s="21">
        <f t="shared" si="123"/>
        <v>0</v>
      </c>
      <c r="AX1197" s="21" t="str">
        <f t="shared" si="122"/>
        <v/>
      </c>
      <c r="AY1197" s="21" t="str">
        <f>IF(AND($AM1197&lt;&gt;"",$AS1197&lt;&gt;"✓"),SUMPRODUCT(($AM$11:$AM1197&lt;&gt;"")*($AS$11:$AS1197&lt;&gt;"✓")),"")</f>
        <v/>
      </c>
      <c r="AZ1197" s="21" t="str">
        <f>IF(AND($AM1197&lt;&gt;"",$AS1197="✓"),SUMPRODUCT(($AM$11:$AM1197&lt;&gt;"")*($AS$11:$AS1197="✓")),"")</f>
        <v/>
      </c>
      <c r="BA1197" s="21" t="str">
        <f>IF($AL1197="","",$AL1197&amp;"|"&amp;COUNTIF($AL$11:$AL1197,$AL1197))</f>
        <v/>
      </c>
    </row>
    <row r="1198" spans="38:53" ht="15" customHeight="1" x14ac:dyDescent="0.25">
      <c r="AL1198" s="31"/>
      <c r="AM1198" s="26"/>
      <c r="AN1198" s="32"/>
      <c r="AO1198" s="32"/>
      <c r="AP1198" s="24"/>
      <c r="AQ1198" s="24"/>
      <c r="AR1198" s="33"/>
      <c r="AS1198" s="34"/>
      <c r="AT1198" s="33"/>
      <c r="AV1198" s="21">
        <f>IF(AND($AL1198&lt;&gt;"",COUNTIF($AL$11:$AL1198,$AL1198)=1),1,0)</f>
        <v>0</v>
      </c>
      <c r="AW1198" s="21">
        <f t="shared" si="123"/>
        <v>0</v>
      </c>
      <c r="AX1198" s="21" t="str">
        <f t="shared" si="122"/>
        <v/>
      </c>
      <c r="AY1198" s="21" t="str">
        <f>IF(AND($AM1198&lt;&gt;"",$AS1198&lt;&gt;"✓"),SUMPRODUCT(($AM$11:$AM1198&lt;&gt;"")*($AS$11:$AS1198&lt;&gt;"✓")),"")</f>
        <v/>
      </c>
      <c r="AZ1198" s="21" t="str">
        <f>IF(AND($AM1198&lt;&gt;"",$AS1198="✓"),SUMPRODUCT(($AM$11:$AM1198&lt;&gt;"")*($AS$11:$AS1198="✓")),"")</f>
        <v/>
      </c>
      <c r="BA1198" s="21" t="str">
        <f>IF($AL1198="","",$AL1198&amp;"|"&amp;COUNTIF($AL$11:$AL1198,$AL1198))</f>
        <v/>
      </c>
    </row>
    <row r="1199" spans="38:53" ht="15" customHeight="1" x14ac:dyDescent="0.25">
      <c r="AL1199" s="17"/>
      <c r="AM1199" s="12"/>
      <c r="AN1199" s="18"/>
      <c r="AO1199" s="18"/>
      <c r="AP1199" s="10"/>
      <c r="AQ1199" s="10"/>
      <c r="AR1199" s="19"/>
      <c r="AS1199" s="20"/>
      <c r="AT1199" s="19"/>
      <c r="AV1199" s="21">
        <f>IF(AND($AL1199&lt;&gt;"",COUNTIF($AL$11:$AL1199,$AL1199)=1),1,0)</f>
        <v>0</v>
      </c>
      <c r="AW1199" s="21">
        <f t="shared" si="123"/>
        <v>0</v>
      </c>
      <c r="AX1199" s="21" t="str">
        <f t="shared" si="122"/>
        <v/>
      </c>
      <c r="AY1199" s="21" t="str">
        <f>IF(AND($AM1199&lt;&gt;"",$AS1199&lt;&gt;"✓"),SUMPRODUCT(($AM$11:$AM1199&lt;&gt;"")*($AS$11:$AS1199&lt;&gt;"✓")),"")</f>
        <v/>
      </c>
      <c r="AZ1199" s="21" t="str">
        <f>IF(AND($AM1199&lt;&gt;"",$AS1199="✓"),SUMPRODUCT(($AM$11:$AM1199&lt;&gt;"")*($AS$11:$AS1199="✓")),"")</f>
        <v/>
      </c>
      <c r="BA1199" s="21" t="str">
        <f>IF($AL1199="","",$AL1199&amp;"|"&amp;COUNTIF($AL$11:$AL1199,$AL1199))</f>
        <v/>
      </c>
    </row>
    <row r="1200" spans="38:53" ht="15" customHeight="1" x14ac:dyDescent="0.25">
      <c r="AL1200" s="31"/>
      <c r="AM1200" s="26"/>
      <c r="AN1200" s="32"/>
      <c r="AO1200" s="32"/>
      <c r="AP1200" s="24"/>
      <c r="AQ1200" s="24"/>
      <c r="AR1200" s="33"/>
      <c r="AS1200" s="34"/>
      <c r="AT1200" s="33"/>
      <c r="AV1200" s="21">
        <f>IF(AND($AL1200&lt;&gt;"",COUNTIF($AL$11:$AL1200,$AL1200)=1),1,0)</f>
        <v>0</v>
      </c>
      <c r="AW1200" s="21">
        <f t="shared" si="123"/>
        <v>0</v>
      </c>
      <c r="AX1200" s="21" t="str">
        <f t="shared" si="122"/>
        <v/>
      </c>
      <c r="AY1200" s="21" t="str">
        <f>IF(AND($AM1200&lt;&gt;"",$AS1200&lt;&gt;"✓"),SUMPRODUCT(($AM$11:$AM1200&lt;&gt;"")*($AS$11:$AS1200&lt;&gt;"✓")),"")</f>
        <v/>
      </c>
      <c r="AZ1200" s="21" t="str">
        <f>IF(AND($AM1200&lt;&gt;"",$AS1200="✓"),SUMPRODUCT(($AM$11:$AM1200&lt;&gt;"")*($AS$11:$AS1200="✓")),"")</f>
        <v/>
      </c>
      <c r="BA1200" s="21" t="str">
        <f>IF($AL1200="","",$AL1200&amp;"|"&amp;COUNTIF($AL$11:$AL1200,$AL1200))</f>
        <v/>
      </c>
    </row>
    <row r="1201" spans="38:53" ht="15" customHeight="1" x14ac:dyDescent="0.25">
      <c r="AL1201" s="17"/>
      <c r="AM1201" s="12"/>
      <c r="AN1201" s="18"/>
      <c r="AO1201" s="18"/>
      <c r="AP1201" s="10"/>
      <c r="AQ1201" s="10"/>
      <c r="AR1201" s="19"/>
      <c r="AS1201" s="20"/>
      <c r="AT1201" s="19"/>
      <c r="AV1201" s="21">
        <f>IF(AND($AL1201&lt;&gt;"",COUNTIF($AL$11:$AL1201,$AL1201)=1),1,0)</f>
        <v>0</v>
      </c>
      <c r="AW1201" s="21">
        <f t="shared" si="123"/>
        <v>0</v>
      </c>
      <c r="AX1201" s="21" t="str">
        <f t="shared" si="122"/>
        <v/>
      </c>
      <c r="AY1201" s="21" t="str">
        <f>IF(AND($AM1201&lt;&gt;"",$AS1201&lt;&gt;"✓"),SUMPRODUCT(($AM$11:$AM1201&lt;&gt;"")*($AS$11:$AS1201&lt;&gt;"✓")),"")</f>
        <v/>
      </c>
      <c r="AZ1201" s="21" t="str">
        <f>IF(AND($AM1201&lt;&gt;"",$AS1201="✓"),SUMPRODUCT(($AM$11:$AM1201&lt;&gt;"")*($AS$11:$AS1201="✓")),"")</f>
        <v/>
      </c>
      <c r="BA1201" s="21" t="str">
        <f>IF($AL1201="","",$AL1201&amp;"|"&amp;COUNTIF($AL$11:$AL1201,$AL1201))</f>
        <v/>
      </c>
    </row>
    <row r="1202" spans="38:53" ht="15" customHeight="1" x14ac:dyDescent="0.25">
      <c r="AL1202" s="31"/>
      <c r="AM1202" s="26"/>
      <c r="AN1202" s="32"/>
      <c r="AO1202" s="32"/>
      <c r="AP1202" s="24"/>
      <c r="AQ1202" s="24"/>
      <c r="AR1202" s="33"/>
      <c r="AS1202" s="34"/>
      <c r="AT1202" s="33"/>
      <c r="AV1202" s="21">
        <f>IF(AND($AL1202&lt;&gt;"",COUNTIF($AL$11:$AL1202,$AL1202)=1),1,0)</f>
        <v>0</v>
      </c>
      <c r="AW1202" s="21">
        <f t="shared" si="123"/>
        <v>0</v>
      </c>
      <c r="AX1202" s="21" t="str">
        <f t="shared" si="122"/>
        <v/>
      </c>
      <c r="AY1202" s="21" t="str">
        <f>IF(AND($AM1202&lt;&gt;"",$AS1202&lt;&gt;"✓"),SUMPRODUCT(($AM$11:$AM1202&lt;&gt;"")*($AS$11:$AS1202&lt;&gt;"✓")),"")</f>
        <v/>
      </c>
      <c r="AZ1202" s="21" t="str">
        <f>IF(AND($AM1202&lt;&gt;"",$AS1202="✓"),SUMPRODUCT(($AM$11:$AM1202&lt;&gt;"")*($AS$11:$AS1202="✓")),"")</f>
        <v/>
      </c>
      <c r="BA1202" s="21" t="str">
        <f>IF($AL1202="","",$AL1202&amp;"|"&amp;COUNTIF($AL$11:$AL1202,$AL1202))</f>
        <v/>
      </c>
    </row>
    <row r="1203" spans="38:53" ht="15" customHeight="1" x14ac:dyDescent="0.25">
      <c r="AL1203" s="17"/>
      <c r="AM1203" s="12"/>
      <c r="AN1203" s="18"/>
      <c r="AO1203" s="18"/>
      <c r="AP1203" s="10"/>
      <c r="AQ1203" s="10"/>
      <c r="AR1203" s="19"/>
      <c r="AS1203" s="20"/>
      <c r="AT1203" s="19"/>
      <c r="AV1203" s="21">
        <f>IF(AND($AL1203&lt;&gt;"",COUNTIF($AL$11:$AL1203,$AL1203)=1),1,0)</f>
        <v>0</v>
      </c>
      <c r="AW1203" s="21">
        <f t="shared" si="123"/>
        <v>0</v>
      </c>
      <c r="AX1203" s="21" t="str">
        <f t="shared" si="122"/>
        <v/>
      </c>
      <c r="AY1203" s="21" t="str">
        <f>IF(AND($AM1203&lt;&gt;"",$AS1203&lt;&gt;"✓"),SUMPRODUCT(($AM$11:$AM1203&lt;&gt;"")*($AS$11:$AS1203&lt;&gt;"✓")),"")</f>
        <v/>
      </c>
      <c r="AZ1203" s="21" t="str">
        <f>IF(AND($AM1203&lt;&gt;"",$AS1203="✓"),SUMPRODUCT(($AM$11:$AM1203&lt;&gt;"")*($AS$11:$AS1203="✓")),"")</f>
        <v/>
      </c>
      <c r="BA1203" s="21" t="str">
        <f>IF($AL1203="","",$AL1203&amp;"|"&amp;COUNTIF($AL$11:$AL1203,$AL1203))</f>
        <v/>
      </c>
    </row>
    <row r="1204" spans="38:53" ht="15" customHeight="1" x14ac:dyDescent="0.25">
      <c r="AL1204" s="31"/>
      <c r="AM1204" s="26"/>
      <c r="AN1204" s="32"/>
      <c r="AO1204" s="32"/>
      <c r="AP1204" s="24"/>
      <c r="AQ1204" s="24"/>
      <c r="AR1204" s="33"/>
      <c r="AS1204" s="34"/>
      <c r="AT1204" s="33"/>
      <c r="AV1204" s="21">
        <f>IF(AND($AL1204&lt;&gt;"",COUNTIF($AL$11:$AL1204,$AL1204)=1),1,0)</f>
        <v>0</v>
      </c>
      <c r="AW1204" s="21">
        <f t="shared" si="123"/>
        <v>0</v>
      </c>
      <c r="AX1204" s="21" t="str">
        <f t="shared" si="122"/>
        <v/>
      </c>
      <c r="AY1204" s="21" t="str">
        <f>IF(AND($AM1204&lt;&gt;"",$AS1204&lt;&gt;"✓"),SUMPRODUCT(($AM$11:$AM1204&lt;&gt;"")*($AS$11:$AS1204&lt;&gt;"✓")),"")</f>
        <v/>
      </c>
      <c r="AZ1204" s="21" t="str">
        <f>IF(AND($AM1204&lt;&gt;"",$AS1204="✓"),SUMPRODUCT(($AM$11:$AM1204&lt;&gt;"")*($AS$11:$AS1204="✓")),"")</f>
        <v/>
      </c>
      <c r="BA1204" s="21" t="str">
        <f>IF($AL1204="","",$AL1204&amp;"|"&amp;COUNTIF($AL$11:$AL1204,$AL1204))</f>
        <v/>
      </c>
    </row>
    <row r="1205" spans="38:53" ht="15" customHeight="1" x14ac:dyDescent="0.25">
      <c r="AL1205" s="17"/>
      <c r="AM1205" s="12"/>
      <c r="AN1205" s="18"/>
      <c r="AO1205" s="18"/>
      <c r="AP1205" s="10"/>
      <c r="AQ1205" s="10"/>
      <c r="AR1205" s="19"/>
      <c r="AS1205" s="20"/>
      <c r="AT1205" s="19"/>
      <c r="AV1205" s="21">
        <f>IF(AND($AL1205&lt;&gt;"",COUNTIF($AL$11:$AL1205,$AL1205)=1),1,0)</f>
        <v>0</v>
      </c>
      <c r="AW1205" s="21">
        <f t="shared" si="123"/>
        <v>0</v>
      </c>
      <c r="AX1205" s="21" t="str">
        <f t="shared" si="122"/>
        <v/>
      </c>
      <c r="AY1205" s="21" t="str">
        <f>IF(AND($AM1205&lt;&gt;"",$AS1205&lt;&gt;"✓"),SUMPRODUCT(($AM$11:$AM1205&lt;&gt;"")*($AS$11:$AS1205&lt;&gt;"✓")),"")</f>
        <v/>
      </c>
      <c r="AZ1205" s="21" t="str">
        <f>IF(AND($AM1205&lt;&gt;"",$AS1205="✓"),SUMPRODUCT(($AM$11:$AM1205&lt;&gt;"")*($AS$11:$AS1205="✓")),"")</f>
        <v/>
      </c>
      <c r="BA1205" s="21" t="str">
        <f>IF($AL1205="","",$AL1205&amp;"|"&amp;COUNTIF($AL$11:$AL1205,$AL1205))</f>
        <v/>
      </c>
    </row>
    <row r="1206" spans="38:53" ht="15" customHeight="1" x14ac:dyDescent="0.25">
      <c r="AL1206" s="31"/>
      <c r="AM1206" s="26"/>
      <c r="AN1206" s="32"/>
      <c r="AO1206" s="32"/>
      <c r="AP1206" s="24"/>
      <c r="AQ1206" s="24"/>
      <c r="AR1206" s="33"/>
      <c r="AS1206" s="34"/>
      <c r="AT1206" s="33"/>
      <c r="AV1206" s="21">
        <f>IF(AND($AL1206&lt;&gt;"",COUNTIF($AL$11:$AL1206,$AL1206)=1),1,0)</f>
        <v>0</v>
      </c>
      <c r="AW1206" s="21">
        <f t="shared" si="123"/>
        <v>0</v>
      </c>
      <c r="AX1206" s="21" t="str">
        <f t="shared" si="122"/>
        <v/>
      </c>
      <c r="AY1206" s="21" t="str">
        <f>IF(AND($AM1206&lt;&gt;"",$AS1206&lt;&gt;"✓"),SUMPRODUCT(($AM$11:$AM1206&lt;&gt;"")*($AS$11:$AS1206&lt;&gt;"✓")),"")</f>
        <v/>
      </c>
      <c r="AZ1206" s="21" t="str">
        <f>IF(AND($AM1206&lt;&gt;"",$AS1206="✓"),SUMPRODUCT(($AM$11:$AM1206&lt;&gt;"")*($AS$11:$AS1206="✓")),"")</f>
        <v/>
      </c>
      <c r="BA1206" s="21" t="str">
        <f>IF($AL1206="","",$AL1206&amp;"|"&amp;COUNTIF($AL$11:$AL1206,$AL1206))</f>
        <v/>
      </c>
    </row>
    <row r="1207" spans="38:53" ht="15" customHeight="1" x14ac:dyDescent="0.25">
      <c r="AL1207" s="17"/>
      <c r="AM1207" s="12"/>
      <c r="AN1207" s="18"/>
      <c r="AO1207" s="18"/>
      <c r="AP1207" s="10"/>
      <c r="AQ1207" s="10"/>
      <c r="AR1207" s="19"/>
      <c r="AS1207" s="20"/>
      <c r="AT1207" s="19"/>
      <c r="AV1207" s="21">
        <f>IF(AND($AL1207&lt;&gt;"",COUNTIF($AL$11:$AL1207,$AL1207)=1),1,0)</f>
        <v>0</v>
      </c>
      <c r="AW1207" s="21">
        <f t="shared" si="123"/>
        <v>0</v>
      </c>
      <c r="AX1207" s="21" t="str">
        <f t="shared" si="122"/>
        <v/>
      </c>
      <c r="AY1207" s="21" t="str">
        <f>IF(AND($AM1207&lt;&gt;"",$AS1207&lt;&gt;"✓"),SUMPRODUCT(($AM$11:$AM1207&lt;&gt;"")*($AS$11:$AS1207&lt;&gt;"✓")),"")</f>
        <v/>
      </c>
      <c r="AZ1207" s="21" t="str">
        <f>IF(AND($AM1207&lt;&gt;"",$AS1207="✓"),SUMPRODUCT(($AM$11:$AM1207&lt;&gt;"")*($AS$11:$AS1207="✓")),"")</f>
        <v/>
      </c>
      <c r="BA1207" s="21" t="str">
        <f>IF($AL1207="","",$AL1207&amp;"|"&amp;COUNTIF($AL$11:$AL1207,$AL1207))</f>
        <v/>
      </c>
    </row>
    <row r="1208" spans="38:53" ht="15" customHeight="1" x14ac:dyDescent="0.25">
      <c r="AL1208" s="31"/>
      <c r="AM1208" s="26"/>
      <c r="AN1208" s="32"/>
      <c r="AO1208" s="32"/>
      <c r="AP1208" s="24"/>
      <c r="AQ1208" s="24"/>
      <c r="AR1208" s="33"/>
      <c r="AS1208" s="34"/>
      <c r="AT1208" s="33"/>
      <c r="AV1208" s="21">
        <f>IF(AND($AL1208&lt;&gt;"",COUNTIF($AL$11:$AL1208,$AL1208)=1),1,0)</f>
        <v>0</v>
      </c>
      <c r="AW1208" s="21">
        <f t="shared" si="123"/>
        <v>0</v>
      </c>
      <c r="AX1208" s="21" t="str">
        <f t="shared" si="122"/>
        <v/>
      </c>
      <c r="AY1208" s="21" t="str">
        <f>IF(AND($AM1208&lt;&gt;"",$AS1208&lt;&gt;"✓"),SUMPRODUCT(($AM$11:$AM1208&lt;&gt;"")*($AS$11:$AS1208&lt;&gt;"✓")),"")</f>
        <v/>
      </c>
      <c r="AZ1208" s="21" t="str">
        <f>IF(AND($AM1208&lt;&gt;"",$AS1208="✓"),SUMPRODUCT(($AM$11:$AM1208&lt;&gt;"")*($AS$11:$AS1208="✓")),"")</f>
        <v/>
      </c>
      <c r="BA1208" s="21" t="str">
        <f>IF($AL1208="","",$AL1208&amp;"|"&amp;COUNTIF($AL$11:$AL1208,$AL1208))</f>
        <v/>
      </c>
    </row>
    <row r="1209" spans="38:53" ht="15" customHeight="1" x14ac:dyDescent="0.25">
      <c r="AL1209" s="17"/>
      <c r="AM1209" s="12"/>
      <c r="AN1209" s="18"/>
      <c r="AO1209" s="18"/>
      <c r="AP1209" s="10"/>
      <c r="AQ1209" s="10"/>
      <c r="AR1209" s="19"/>
      <c r="AS1209" s="20"/>
      <c r="AT1209" s="19"/>
      <c r="AV1209" s="21">
        <f>IF(AND($AL1209&lt;&gt;"",COUNTIF($AL$11:$AL1209,$AL1209)=1),1,0)</f>
        <v>0</v>
      </c>
      <c r="AW1209" s="21">
        <f t="shared" si="123"/>
        <v>0</v>
      </c>
      <c r="AX1209" s="21" t="str">
        <f t="shared" si="122"/>
        <v/>
      </c>
      <c r="AY1209" s="21" t="str">
        <f>IF(AND($AM1209&lt;&gt;"",$AS1209&lt;&gt;"✓"),SUMPRODUCT(($AM$11:$AM1209&lt;&gt;"")*($AS$11:$AS1209&lt;&gt;"✓")),"")</f>
        <v/>
      </c>
      <c r="AZ1209" s="21" t="str">
        <f>IF(AND($AM1209&lt;&gt;"",$AS1209="✓"),SUMPRODUCT(($AM$11:$AM1209&lt;&gt;"")*($AS$11:$AS1209="✓")),"")</f>
        <v/>
      </c>
      <c r="BA1209" s="21" t="str">
        <f>IF($AL1209="","",$AL1209&amp;"|"&amp;COUNTIF($AL$11:$AL1209,$AL1209))</f>
        <v/>
      </c>
    </row>
    <row r="1210" spans="38:53" ht="15" customHeight="1" x14ac:dyDescent="0.25">
      <c r="AL1210" s="31"/>
      <c r="AM1210" s="26"/>
      <c r="AN1210" s="32"/>
      <c r="AO1210" s="32"/>
      <c r="AP1210" s="24"/>
      <c r="AQ1210" s="24"/>
      <c r="AR1210" s="33"/>
      <c r="AS1210" s="34"/>
      <c r="AT1210" s="33"/>
      <c r="AV1210" s="21">
        <f>IF(AND($AL1210&lt;&gt;"",COUNTIF($AL$11:$AL1210,$AL1210)=1),1,0)</f>
        <v>0</v>
      </c>
      <c r="AW1210" s="21">
        <f t="shared" si="123"/>
        <v>0</v>
      </c>
      <c r="AX1210" s="21" t="str">
        <f t="shared" si="122"/>
        <v/>
      </c>
      <c r="AY1210" s="21" t="str">
        <f>IF(AND($AM1210&lt;&gt;"",$AS1210&lt;&gt;"✓"),SUMPRODUCT(($AM$11:$AM1210&lt;&gt;"")*($AS$11:$AS1210&lt;&gt;"✓")),"")</f>
        <v/>
      </c>
      <c r="AZ1210" s="21" t="str">
        <f>IF(AND($AM1210&lt;&gt;"",$AS1210="✓"),SUMPRODUCT(($AM$11:$AM1210&lt;&gt;"")*($AS$11:$AS1210="✓")),"")</f>
        <v/>
      </c>
      <c r="BA1210" s="21" t="str">
        <f>IF($AL1210="","",$AL1210&amp;"|"&amp;COUNTIF($AL$11:$AL1210,$AL1210))</f>
        <v/>
      </c>
    </row>
    <row r="1211" spans="38:53" ht="15" customHeight="1" x14ac:dyDescent="0.25">
      <c r="AL1211" s="17"/>
      <c r="AM1211" s="12"/>
      <c r="AN1211" s="18"/>
      <c r="AO1211" s="18"/>
      <c r="AP1211" s="10"/>
      <c r="AQ1211" s="10"/>
      <c r="AR1211" s="19"/>
      <c r="AS1211" s="20"/>
      <c r="AT1211" s="19"/>
      <c r="AV1211" s="21">
        <f>IF(AND($AL1211&lt;&gt;"",COUNTIF($AL$11:$AL1211,$AL1211)=1),1,0)</f>
        <v>0</v>
      </c>
      <c r="AW1211" s="21">
        <f t="shared" si="123"/>
        <v>0</v>
      </c>
      <c r="AX1211" s="21" t="str">
        <f t="shared" si="122"/>
        <v/>
      </c>
      <c r="AY1211" s="21" t="str">
        <f>IF(AND($AM1211&lt;&gt;"",$AS1211&lt;&gt;"✓"),SUMPRODUCT(($AM$11:$AM1211&lt;&gt;"")*($AS$11:$AS1211&lt;&gt;"✓")),"")</f>
        <v/>
      </c>
      <c r="AZ1211" s="21" t="str">
        <f>IF(AND($AM1211&lt;&gt;"",$AS1211="✓"),SUMPRODUCT(($AM$11:$AM1211&lt;&gt;"")*($AS$11:$AS1211="✓")),"")</f>
        <v/>
      </c>
      <c r="BA1211" s="21" t="str">
        <f>IF($AL1211="","",$AL1211&amp;"|"&amp;COUNTIF($AL$11:$AL1211,$AL1211))</f>
        <v/>
      </c>
    </row>
    <row r="1212" spans="38:53" ht="15" customHeight="1" x14ac:dyDescent="0.25">
      <c r="AL1212" s="31"/>
      <c r="AM1212" s="26"/>
      <c r="AN1212" s="32"/>
      <c r="AO1212" s="32"/>
      <c r="AP1212" s="24"/>
      <c r="AQ1212" s="24"/>
      <c r="AR1212" s="33"/>
      <c r="AS1212" s="34"/>
      <c r="AT1212" s="33"/>
      <c r="AV1212" s="21">
        <f>IF(AND($AL1212&lt;&gt;"",COUNTIF($AL$11:$AL1212,$AL1212)=1),1,0)</f>
        <v>0</v>
      </c>
      <c r="AW1212" s="21">
        <f t="shared" si="123"/>
        <v>0</v>
      </c>
      <c r="AX1212" s="21" t="str">
        <f t="shared" si="122"/>
        <v/>
      </c>
      <c r="AY1212" s="21" t="str">
        <f>IF(AND($AM1212&lt;&gt;"",$AS1212&lt;&gt;"✓"),SUMPRODUCT(($AM$11:$AM1212&lt;&gt;"")*($AS$11:$AS1212&lt;&gt;"✓")),"")</f>
        <v/>
      </c>
      <c r="AZ1212" s="21" t="str">
        <f>IF(AND($AM1212&lt;&gt;"",$AS1212="✓"),SUMPRODUCT(($AM$11:$AM1212&lt;&gt;"")*($AS$11:$AS1212="✓")),"")</f>
        <v/>
      </c>
      <c r="BA1212" s="21" t="str">
        <f>IF($AL1212="","",$AL1212&amp;"|"&amp;COUNTIF($AL$11:$AL1212,$AL1212))</f>
        <v/>
      </c>
    </row>
    <row r="1213" spans="38:53" ht="15" customHeight="1" x14ac:dyDescent="0.25">
      <c r="AL1213" s="17"/>
      <c r="AM1213" s="12"/>
      <c r="AN1213" s="18"/>
      <c r="AO1213" s="18"/>
      <c r="AP1213" s="10"/>
      <c r="AQ1213" s="10"/>
      <c r="AR1213" s="19"/>
      <c r="AS1213" s="20"/>
      <c r="AT1213" s="19"/>
      <c r="AV1213" s="21">
        <f>IF(AND($AL1213&lt;&gt;"",COUNTIF($AL$11:$AL1213,$AL1213)=1),1,0)</f>
        <v>0</v>
      </c>
      <c r="AW1213" s="21">
        <f t="shared" si="123"/>
        <v>0</v>
      </c>
      <c r="AX1213" s="21" t="str">
        <f t="shared" si="122"/>
        <v/>
      </c>
      <c r="AY1213" s="21" t="str">
        <f>IF(AND($AM1213&lt;&gt;"",$AS1213&lt;&gt;"✓"),SUMPRODUCT(($AM$11:$AM1213&lt;&gt;"")*($AS$11:$AS1213&lt;&gt;"✓")),"")</f>
        <v/>
      </c>
      <c r="AZ1213" s="21" t="str">
        <f>IF(AND($AM1213&lt;&gt;"",$AS1213="✓"),SUMPRODUCT(($AM$11:$AM1213&lt;&gt;"")*($AS$11:$AS1213="✓")),"")</f>
        <v/>
      </c>
      <c r="BA1213" s="21" t="str">
        <f>IF($AL1213="","",$AL1213&amp;"|"&amp;COUNTIF($AL$11:$AL1213,$AL1213))</f>
        <v/>
      </c>
    </row>
    <row r="1214" spans="38:53" ht="15" customHeight="1" x14ac:dyDescent="0.25">
      <c r="AL1214" s="31"/>
      <c r="AM1214" s="26"/>
      <c r="AN1214" s="32"/>
      <c r="AO1214" s="32"/>
      <c r="AP1214" s="24"/>
      <c r="AQ1214" s="24"/>
      <c r="AR1214" s="33"/>
      <c r="AS1214" s="34"/>
      <c r="AT1214" s="33"/>
      <c r="AV1214" s="21">
        <f>IF(AND($AL1214&lt;&gt;"",COUNTIF($AL$11:$AL1214,$AL1214)=1),1,0)</f>
        <v>0</v>
      </c>
      <c r="AW1214" s="21">
        <f t="shared" si="123"/>
        <v>0</v>
      </c>
      <c r="AX1214" s="21" t="str">
        <f t="shared" si="122"/>
        <v/>
      </c>
      <c r="AY1214" s="21" t="str">
        <f>IF(AND($AM1214&lt;&gt;"",$AS1214&lt;&gt;"✓"),SUMPRODUCT(($AM$11:$AM1214&lt;&gt;"")*($AS$11:$AS1214&lt;&gt;"✓")),"")</f>
        <v/>
      </c>
      <c r="AZ1214" s="21" t="str">
        <f>IF(AND($AM1214&lt;&gt;"",$AS1214="✓"),SUMPRODUCT(($AM$11:$AM1214&lt;&gt;"")*($AS$11:$AS1214="✓")),"")</f>
        <v/>
      </c>
      <c r="BA1214" s="21" t="str">
        <f>IF($AL1214="","",$AL1214&amp;"|"&amp;COUNTIF($AL$11:$AL1214,$AL1214))</f>
        <v/>
      </c>
    </row>
    <row r="1215" spans="38:53" ht="15" customHeight="1" x14ac:dyDescent="0.25">
      <c r="AL1215" s="17"/>
      <c r="AM1215" s="12"/>
      <c r="AN1215" s="18"/>
      <c r="AO1215" s="18"/>
      <c r="AP1215" s="10"/>
      <c r="AQ1215" s="10"/>
      <c r="AR1215" s="19"/>
      <c r="AS1215" s="20"/>
      <c r="AT1215" s="19"/>
      <c r="AV1215" s="21">
        <f>IF(AND($AL1215&lt;&gt;"",COUNTIF($AL$11:$AL1215,$AL1215)=1),1,0)</f>
        <v>0</v>
      </c>
      <c r="AW1215" s="21">
        <f t="shared" si="123"/>
        <v>0</v>
      </c>
      <c r="AX1215" s="21" t="str">
        <f t="shared" si="122"/>
        <v/>
      </c>
      <c r="AY1215" s="21" t="str">
        <f>IF(AND($AM1215&lt;&gt;"",$AS1215&lt;&gt;"✓"),SUMPRODUCT(($AM$11:$AM1215&lt;&gt;"")*($AS$11:$AS1215&lt;&gt;"✓")),"")</f>
        <v/>
      </c>
      <c r="AZ1215" s="21" t="str">
        <f>IF(AND($AM1215&lt;&gt;"",$AS1215="✓"),SUMPRODUCT(($AM$11:$AM1215&lt;&gt;"")*($AS$11:$AS1215="✓")),"")</f>
        <v/>
      </c>
      <c r="BA1215" s="21" t="str">
        <f>IF($AL1215="","",$AL1215&amp;"|"&amp;COUNTIF($AL$11:$AL1215,$AL1215))</f>
        <v/>
      </c>
    </row>
    <row r="1216" spans="38:53" ht="15" customHeight="1" x14ac:dyDescent="0.25">
      <c r="AL1216" s="31"/>
      <c r="AM1216" s="26"/>
      <c r="AN1216" s="32"/>
      <c r="AO1216" s="32"/>
      <c r="AP1216" s="24"/>
      <c r="AQ1216" s="24"/>
      <c r="AR1216" s="33"/>
      <c r="AS1216" s="34"/>
      <c r="AT1216" s="33"/>
      <c r="AV1216" s="21">
        <f>IF(AND($AL1216&lt;&gt;"",COUNTIF($AL$11:$AL1216,$AL1216)=1),1,0)</f>
        <v>0</v>
      </c>
      <c r="AW1216" s="21">
        <f t="shared" si="123"/>
        <v>0</v>
      </c>
      <c r="AX1216" s="21" t="str">
        <f t="shared" si="122"/>
        <v/>
      </c>
      <c r="AY1216" s="21" t="str">
        <f>IF(AND($AM1216&lt;&gt;"",$AS1216&lt;&gt;"✓"),SUMPRODUCT(($AM$11:$AM1216&lt;&gt;"")*($AS$11:$AS1216&lt;&gt;"✓")),"")</f>
        <v/>
      </c>
      <c r="AZ1216" s="21" t="str">
        <f>IF(AND($AM1216&lt;&gt;"",$AS1216="✓"),SUMPRODUCT(($AM$11:$AM1216&lt;&gt;"")*($AS$11:$AS1216="✓")),"")</f>
        <v/>
      </c>
      <c r="BA1216" s="21" t="str">
        <f>IF($AL1216="","",$AL1216&amp;"|"&amp;COUNTIF($AL$11:$AL1216,$AL1216))</f>
        <v/>
      </c>
    </row>
    <row r="1217" spans="38:53" ht="15" customHeight="1" x14ac:dyDescent="0.25">
      <c r="AL1217" s="17"/>
      <c r="AM1217" s="12"/>
      <c r="AN1217" s="18"/>
      <c r="AO1217" s="18"/>
      <c r="AP1217" s="10"/>
      <c r="AQ1217" s="10"/>
      <c r="AR1217" s="19"/>
      <c r="AS1217" s="20"/>
      <c r="AT1217" s="19"/>
      <c r="AV1217" s="21">
        <f>IF(AND($AL1217&lt;&gt;"",COUNTIF($AL$11:$AL1217,$AL1217)=1),1,0)</f>
        <v>0</v>
      </c>
      <c r="AW1217" s="21">
        <f t="shared" si="123"/>
        <v>0</v>
      </c>
      <c r="AX1217" s="21" t="str">
        <f t="shared" si="122"/>
        <v/>
      </c>
      <c r="AY1217" s="21" t="str">
        <f>IF(AND($AM1217&lt;&gt;"",$AS1217&lt;&gt;"✓"),SUMPRODUCT(($AM$11:$AM1217&lt;&gt;"")*($AS$11:$AS1217&lt;&gt;"✓")),"")</f>
        <v/>
      </c>
      <c r="AZ1217" s="21" t="str">
        <f>IF(AND($AM1217&lt;&gt;"",$AS1217="✓"),SUMPRODUCT(($AM$11:$AM1217&lt;&gt;"")*($AS$11:$AS1217="✓")),"")</f>
        <v/>
      </c>
      <c r="BA1217" s="21" t="str">
        <f>IF($AL1217="","",$AL1217&amp;"|"&amp;COUNTIF($AL$11:$AL1217,$AL1217))</f>
        <v/>
      </c>
    </row>
    <row r="1218" spans="38:53" ht="15" customHeight="1" x14ac:dyDescent="0.25">
      <c r="AL1218" s="31"/>
      <c r="AM1218" s="26"/>
      <c r="AN1218" s="32"/>
      <c r="AO1218" s="32"/>
      <c r="AP1218" s="24"/>
      <c r="AQ1218" s="24"/>
      <c r="AR1218" s="33"/>
      <c r="AS1218" s="34"/>
      <c r="AT1218" s="33"/>
      <c r="AV1218" s="21">
        <f>IF(AND($AL1218&lt;&gt;"",COUNTIF($AL$11:$AL1218,$AL1218)=1),1,0)</f>
        <v>0</v>
      </c>
      <c r="AW1218" s="21">
        <f t="shared" si="123"/>
        <v>0</v>
      </c>
      <c r="AX1218" s="21" t="str">
        <f t="shared" si="122"/>
        <v/>
      </c>
      <c r="AY1218" s="21" t="str">
        <f>IF(AND($AM1218&lt;&gt;"",$AS1218&lt;&gt;"✓"),SUMPRODUCT(($AM$11:$AM1218&lt;&gt;"")*($AS$11:$AS1218&lt;&gt;"✓")),"")</f>
        <v/>
      </c>
      <c r="AZ1218" s="21" t="str">
        <f>IF(AND($AM1218&lt;&gt;"",$AS1218="✓"),SUMPRODUCT(($AM$11:$AM1218&lt;&gt;"")*($AS$11:$AS1218="✓")),"")</f>
        <v/>
      </c>
      <c r="BA1218" s="21" t="str">
        <f>IF($AL1218="","",$AL1218&amp;"|"&amp;COUNTIF($AL$11:$AL1218,$AL1218))</f>
        <v/>
      </c>
    </row>
    <row r="1219" spans="38:53" ht="15" customHeight="1" x14ac:dyDescent="0.25">
      <c r="AL1219" s="17"/>
      <c r="AM1219" s="12"/>
      <c r="AN1219" s="18"/>
      <c r="AO1219" s="18"/>
      <c r="AP1219" s="10"/>
      <c r="AQ1219" s="10"/>
      <c r="AR1219" s="19"/>
      <c r="AS1219" s="20"/>
      <c r="AT1219" s="19"/>
      <c r="AV1219" s="21">
        <f>IF(AND($AL1219&lt;&gt;"",COUNTIF($AL$11:$AL1219,$AL1219)=1),1,0)</f>
        <v>0</v>
      </c>
      <c r="AW1219" s="21">
        <f t="shared" si="123"/>
        <v>0</v>
      </c>
      <c r="AX1219" s="21" t="str">
        <f t="shared" si="122"/>
        <v/>
      </c>
      <c r="AY1219" s="21" t="str">
        <f>IF(AND($AM1219&lt;&gt;"",$AS1219&lt;&gt;"✓"),SUMPRODUCT(($AM$11:$AM1219&lt;&gt;"")*($AS$11:$AS1219&lt;&gt;"✓")),"")</f>
        <v/>
      </c>
      <c r="AZ1219" s="21" t="str">
        <f>IF(AND($AM1219&lt;&gt;"",$AS1219="✓"),SUMPRODUCT(($AM$11:$AM1219&lt;&gt;"")*($AS$11:$AS1219="✓")),"")</f>
        <v/>
      </c>
      <c r="BA1219" s="21" t="str">
        <f>IF($AL1219="","",$AL1219&amp;"|"&amp;COUNTIF($AL$11:$AL1219,$AL1219))</f>
        <v/>
      </c>
    </row>
    <row r="1220" spans="38:53" ht="15" customHeight="1" x14ac:dyDescent="0.25">
      <c r="AL1220" s="31"/>
      <c r="AM1220" s="26"/>
      <c r="AN1220" s="32"/>
      <c r="AO1220" s="32"/>
      <c r="AP1220" s="24"/>
      <c r="AQ1220" s="24"/>
      <c r="AR1220" s="33"/>
      <c r="AS1220" s="34"/>
      <c r="AT1220" s="33"/>
      <c r="AV1220" s="21">
        <f>IF(AND($AL1220&lt;&gt;"",COUNTIF($AL$11:$AL1220,$AL1220)=1),1,0)</f>
        <v>0</v>
      </c>
      <c r="AW1220" s="21">
        <f t="shared" si="123"/>
        <v>0</v>
      </c>
      <c r="AX1220" s="21" t="str">
        <f t="shared" si="122"/>
        <v/>
      </c>
      <c r="AY1220" s="21" t="str">
        <f>IF(AND($AM1220&lt;&gt;"",$AS1220&lt;&gt;"✓"),SUMPRODUCT(($AM$11:$AM1220&lt;&gt;"")*($AS$11:$AS1220&lt;&gt;"✓")),"")</f>
        <v/>
      </c>
      <c r="AZ1220" s="21" t="str">
        <f>IF(AND($AM1220&lt;&gt;"",$AS1220="✓"),SUMPRODUCT(($AM$11:$AM1220&lt;&gt;"")*($AS$11:$AS1220="✓")),"")</f>
        <v/>
      </c>
      <c r="BA1220" s="21" t="str">
        <f>IF($AL1220="","",$AL1220&amp;"|"&amp;COUNTIF($AL$11:$AL1220,$AL1220))</f>
        <v/>
      </c>
    </row>
    <row r="1221" spans="38:53" ht="15" customHeight="1" x14ac:dyDescent="0.25">
      <c r="AL1221" s="17"/>
      <c r="AM1221" s="12"/>
      <c r="AN1221" s="18"/>
      <c r="AO1221" s="18"/>
      <c r="AP1221" s="10"/>
      <c r="AQ1221" s="10"/>
      <c r="AR1221" s="19"/>
      <c r="AS1221" s="20"/>
      <c r="AT1221" s="19"/>
      <c r="AV1221" s="21">
        <f>IF(AND($AL1221&lt;&gt;"",COUNTIF($AL$11:$AL1221,$AL1221)=1),1,0)</f>
        <v>0</v>
      </c>
      <c r="AW1221" s="21">
        <f t="shared" si="123"/>
        <v>0</v>
      </c>
      <c r="AX1221" s="21" t="str">
        <f t="shared" si="122"/>
        <v/>
      </c>
      <c r="AY1221" s="21" t="str">
        <f>IF(AND($AM1221&lt;&gt;"",$AS1221&lt;&gt;"✓"),SUMPRODUCT(($AM$11:$AM1221&lt;&gt;"")*($AS$11:$AS1221&lt;&gt;"✓")),"")</f>
        <v/>
      </c>
      <c r="AZ1221" s="21" t="str">
        <f>IF(AND($AM1221&lt;&gt;"",$AS1221="✓"),SUMPRODUCT(($AM$11:$AM1221&lt;&gt;"")*($AS$11:$AS1221="✓")),"")</f>
        <v/>
      </c>
      <c r="BA1221" s="21" t="str">
        <f>IF($AL1221="","",$AL1221&amp;"|"&amp;COUNTIF($AL$11:$AL1221,$AL1221))</f>
        <v/>
      </c>
    </row>
    <row r="1222" spans="38:53" ht="15" customHeight="1" x14ac:dyDescent="0.25">
      <c r="AL1222" s="31"/>
      <c r="AM1222" s="26"/>
      <c r="AN1222" s="32"/>
      <c r="AO1222" s="32"/>
      <c r="AP1222" s="24"/>
      <c r="AQ1222" s="24"/>
      <c r="AR1222" s="33"/>
      <c r="AS1222" s="34"/>
      <c r="AT1222" s="33"/>
      <c r="AV1222" s="21">
        <f>IF(AND($AL1222&lt;&gt;"",COUNTIF($AL$11:$AL1222,$AL1222)=1),1,0)</f>
        <v>0</v>
      </c>
      <c r="AW1222" s="21">
        <f t="shared" si="123"/>
        <v>0</v>
      </c>
      <c r="AX1222" s="21" t="str">
        <f t="shared" si="122"/>
        <v/>
      </c>
      <c r="AY1222" s="21" t="str">
        <f>IF(AND($AM1222&lt;&gt;"",$AS1222&lt;&gt;"✓"),SUMPRODUCT(($AM$11:$AM1222&lt;&gt;"")*($AS$11:$AS1222&lt;&gt;"✓")),"")</f>
        <v/>
      </c>
      <c r="AZ1222" s="21" t="str">
        <f>IF(AND($AM1222&lt;&gt;"",$AS1222="✓"),SUMPRODUCT(($AM$11:$AM1222&lt;&gt;"")*($AS$11:$AS1222="✓")),"")</f>
        <v/>
      </c>
      <c r="BA1222" s="21" t="str">
        <f>IF($AL1222="","",$AL1222&amp;"|"&amp;COUNTIF($AL$11:$AL1222,$AL1222))</f>
        <v/>
      </c>
    </row>
    <row r="1223" spans="38:53" ht="15" customHeight="1" x14ac:dyDescent="0.25">
      <c r="AL1223" s="17"/>
      <c r="AM1223" s="12"/>
      <c r="AN1223" s="18"/>
      <c r="AO1223" s="18"/>
      <c r="AP1223" s="10"/>
      <c r="AQ1223" s="10"/>
      <c r="AR1223" s="19"/>
      <c r="AS1223" s="20"/>
      <c r="AT1223" s="19"/>
      <c r="AV1223" s="21">
        <f>IF(AND($AL1223&lt;&gt;"",COUNTIF($AL$11:$AL1223,$AL1223)=1),1,0)</f>
        <v>0</v>
      </c>
      <c r="AW1223" s="21">
        <f t="shared" si="123"/>
        <v>0</v>
      </c>
      <c r="AX1223" s="21" t="str">
        <f t="shared" si="122"/>
        <v/>
      </c>
      <c r="AY1223" s="21" t="str">
        <f>IF(AND($AM1223&lt;&gt;"",$AS1223&lt;&gt;"✓"),SUMPRODUCT(($AM$11:$AM1223&lt;&gt;"")*($AS$11:$AS1223&lt;&gt;"✓")),"")</f>
        <v/>
      </c>
      <c r="AZ1223" s="21" t="str">
        <f>IF(AND($AM1223&lt;&gt;"",$AS1223="✓"),SUMPRODUCT(($AM$11:$AM1223&lt;&gt;"")*($AS$11:$AS1223="✓")),"")</f>
        <v/>
      </c>
      <c r="BA1223" s="21" t="str">
        <f>IF($AL1223="","",$AL1223&amp;"|"&amp;COUNTIF($AL$11:$AL1223,$AL1223))</f>
        <v/>
      </c>
    </row>
    <row r="1224" spans="38:53" ht="15" customHeight="1" x14ac:dyDescent="0.25">
      <c r="AL1224" s="31"/>
      <c r="AM1224" s="26"/>
      <c r="AN1224" s="32"/>
      <c r="AO1224" s="32"/>
      <c r="AP1224" s="24"/>
      <c r="AQ1224" s="24"/>
      <c r="AR1224" s="33"/>
      <c r="AS1224" s="34"/>
      <c r="AT1224" s="33"/>
      <c r="AV1224" s="21">
        <f>IF(AND($AL1224&lt;&gt;"",COUNTIF($AL$11:$AL1224,$AL1224)=1),1,0)</f>
        <v>0</v>
      </c>
      <c r="AW1224" s="21">
        <f t="shared" si="123"/>
        <v>0</v>
      </c>
      <c r="AX1224" s="21" t="str">
        <f t="shared" si="122"/>
        <v/>
      </c>
      <c r="AY1224" s="21" t="str">
        <f>IF(AND($AM1224&lt;&gt;"",$AS1224&lt;&gt;"✓"),SUMPRODUCT(($AM$11:$AM1224&lt;&gt;"")*($AS$11:$AS1224&lt;&gt;"✓")),"")</f>
        <v/>
      </c>
      <c r="AZ1224" s="21" t="str">
        <f>IF(AND($AM1224&lt;&gt;"",$AS1224="✓"),SUMPRODUCT(($AM$11:$AM1224&lt;&gt;"")*($AS$11:$AS1224="✓")),"")</f>
        <v/>
      </c>
      <c r="BA1224" s="21" t="str">
        <f>IF($AL1224="","",$AL1224&amp;"|"&amp;COUNTIF($AL$11:$AL1224,$AL1224))</f>
        <v/>
      </c>
    </row>
    <row r="1225" spans="38:53" ht="15" customHeight="1" x14ac:dyDescent="0.25">
      <c r="AL1225" s="17"/>
      <c r="AM1225" s="12"/>
      <c r="AN1225" s="18"/>
      <c r="AO1225" s="18"/>
      <c r="AP1225" s="10"/>
      <c r="AQ1225" s="10"/>
      <c r="AR1225" s="19"/>
      <c r="AS1225" s="20"/>
      <c r="AT1225" s="19"/>
      <c r="AV1225" s="21">
        <f>IF(AND($AL1225&lt;&gt;"",COUNTIF($AL$11:$AL1225,$AL1225)=1),1,0)</f>
        <v>0</v>
      </c>
      <c r="AW1225" s="21">
        <f t="shared" si="123"/>
        <v>0</v>
      </c>
      <c r="AX1225" s="21" t="str">
        <f t="shared" si="122"/>
        <v/>
      </c>
      <c r="AY1225" s="21" t="str">
        <f>IF(AND($AM1225&lt;&gt;"",$AS1225&lt;&gt;"✓"),SUMPRODUCT(($AM$11:$AM1225&lt;&gt;"")*($AS$11:$AS1225&lt;&gt;"✓")),"")</f>
        <v/>
      </c>
      <c r="AZ1225" s="21" t="str">
        <f>IF(AND($AM1225&lt;&gt;"",$AS1225="✓"),SUMPRODUCT(($AM$11:$AM1225&lt;&gt;"")*($AS$11:$AS1225="✓")),"")</f>
        <v/>
      </c>
      <c r="BA1225" s="21" t="str">
        <f>IF($AL1225="","",$AL1225&amp;"|"&amp;COUNTIF($AL$11:$AL1225,$AL1225))</f>
        <v/>
      </c>
    </row>
    <row r="1226" spans="38:53" ht="15" customHeight="1" x14ac:dyDescent="0.25">
      <c r="AL1226" s="31"/>
      <c r="AM1226" s="26"/>
      <c r="AN1226" s="32"/>
      <c r="AO1226" s="32"/>
      <c r="AP1226" s="24"/>
      <c r="AQ1226" s="24"/>
      <c r="AR1226" s="33"/>
      <c r="AS1226" s="34"/>
      <c r="AT1226" s="33"/>
      <c r="AV1226" s="21">
        <f>IF(AND($AL1226&lt;&gt;"",COUNTIF($AL$11:$AL1226,$AL1226)=1),1,0)</f>
        <v>0</v>
      </c>
      <c r="AW1226" s="21">
        <f t="shared" si="123"/>
        <v>0</v>
      </c>
      <c r="AX1226" s="21" t="str">
        <f t="shared" si="122"/>
        <v/>
      </c>
      <c r="AY1226" s="21" t="str">
        <f>IF(AND($AM1226&lt;&gt;"",$AS1226&lt;&gt;"✓"),SUMPRODUCT(($AM$11:$AM1226&lt;&gt;"")*($AS$11:$AS1226&lt;&gt;"✓")),"")</f>
        <v/>
      </c>
      <c r="AZ1226" s="21" t="str">
        <f>IF(AND($AM1226&lt;&gt;"",$AS1226="✓"),SUMPRODUCT(($AM$11:$AM1226&lt;&gt;"")*($AS$11:$AS1226="✓")),"")</f>
        <v/>
      </c>
      <c r="BA1226" s="21" t="str">
        <f>IF($AL1226="","",$AL1226&amp;"|"&amp;COUNTIF($AL$11:$AL1226,$AL1226))</f>
        <v/>
      </c>
    </row>
    <row r="1227" spans="38:53" ht="15" customHeight="1" x14ac:dyDescent="0.25">
      <c r="AL1227" s="17"/>
      <c r="AM1227" s="12"/>
      <c r="AN1227" s="18"/>
      <c r="AO1227" s="18"/>
      <c r="AP1227" s="10"/>
      <c r="AQ1227" s="10"/>
      <c r="AR1227" s="19"/>
      <c r="AS1227" s="20"/>
      <c r="AT1227" s="19"/>
      <c r="AV1227" s="21">
        <f>IF(AND($AL1227&lt;&gt;"",COUNTIF($AL$11:$AL1227,$AL1227)=1),1,0)</f>
        <v>0</v>
      </c>
      <c r="AW1227" s="21">
        <f t="shared" si="123"/>
        <v>0</v>
      </c>
      <c r="AX1227" s="21" t="str">
        <f t="shared" ref="AX1227:AX1290" si="124">IF(AV1227=1,AW1227,"")</f>
        <v/>
      </c>
      <c r="AY1227" s="21" t="str">
        <f>IF(AND($AM1227&lt;&gt;"",$AS1227&lt;&gt;"✓"),SUMPRODUCT(($AM$11:$AM1227&lt;&gt;"")*($AS$11:$AS1227&lt;&gt;"✓")),"")</f>
        <v/>
      </c>
      <c r="AZ1227" s="21" t="str">
        <f>IF(AND($AM1227&lt;&gt;"",$AS1227="✓"),SUMPRODUCT(($AM$11:$AM1227&lt;&gt;"")*($AS$11:$AS1227="✓")),"")</f>
        <v/>
      </c>
      <c r="BA1227" s="21" t="str">
        <f>IF($AL1227="","",$AL1227&amp;"|"&amp;COUNTIF($AL$11:$AL1227,$AL1227))</f>
        <v/>
      </c>
    </row>
    <row r="1228" spans="38:53" ht="15" customHeight="1" x14ac:dyDescent="0.25">
      <c r="AL1228" s="31"/>
      <c r="AM1228" s="26"/>
      <c r="AN1228" s="32"/>
      <c r="AO1228" s="32"/>
      <c r="AP1228" s="24"/>
      <c r="AQ1228" s="24"/>
      <c r="AR1228" s="33"/>
      <c r="AS1228" s="34"/>
      <c r="AT1228" s="33"/>
      <c r="AV1228" s="21">
        <f>IF(AND($AL1228&lt;&gt;"",COUNTIF($AL$11:$AL1228,$AL1228)=1),1,0)</f>
        <v>0</v>
      </c>
      <c r="AW1228" s="21">
        <f t="shared" ref="AW1228:AW1291" si="125">AW1227+AV1228</f>
        <v>0</v>
      </c>
      <c r="AX1228" s="21" t="str">
        <f t="shared" si="124"/>
        <v/>
      </c>
      <c r="AY1228" s="21" t="str">
        <f>IF(AND($AM1228&lt;&gt;"",$AS1228&lt;&gt;"✓"),SUMPRODUCT(($AM$11:$AM1228&lt;&gt;"")*($AS$11:$AS1228&lt;&gt;"✓")),"")</f>
        <v/>
      </c>
      <c r="AZ1228" s="21" t="str">
        <f>IF(AND($AM1228&lt;&gt;"",$AS1228="✓"),SUMPRODUCT(($AM$11:$AM1228&lt;&gt;"")*($AS$11:$AS1228="✓")),"")</f>
        <v/>
      </c>
      <c r="BA1228" s="21" t="str">
        <f>IF($AL1228="","",$AL1228&amp;"|"&amp;COUNTIF($AL$11:$AL1228,$AL1228))</f>
        <v/>
      </c>
    </row>
    <row r="1229" spans="38:53" ht="15" customHeight="1" x14ac:dyDescent="0.25">
      <c r="AL1229" s="17"/>
      <c r="AM1229" s="12"/>
      <c r="AN1229" s="18"/>
      <c r="AO1229" s="18"/>
      <c r="AP1229" s="10"/>
      <c r="AQ1229" s="10"/>
      <c r="AR1229" s="19"/>
      <c r="AS1229" s="20"/>
      <c r="AT1229" s="19"/>
      <c r="AV1229" s="21">
        <f>IF(AND($AL1229&lt;&gt;"",COUNTIF($AL$11:$AL1229,$AL1229)=1),1,0)</f>
        <v>0</v>
      </c>
      <c r="AW1229" s="21">
        <f t="shared" si="125"/>
        <v>0</v>
      </c>
      <c r="AX1229" s="21" t="str">
        <f t="shared" si="124"/>
        <v/>
      </c>
      <c r="AY1229" s="21" t="str">
        <f>IF(AND($AM1229&lt;&gt;"",$AS1229&lt;&gt;"✓"),SUMPRODUCT(($AM$11:$AM1229&lt;&gt;"")*($AS$11:$AS1229&lt;&gt;"✓")),"")</f>
        <v/>
      </c>
      <c r="AZ1229" s="21" t="str">
        <f>IF(AND($AM1229&lt;&gt;"",$AS1229="✓"),SUMPRODUCT(($AM$11:$AM1229&lt;&gt;"")*($AS$11:$AS1229="✓")),"")</f>
        <v/>
      </c>
      <c r="BA1229" s="21" t="str">
        <f>IF($AL1229="","",$AL1229&amp;"|"&amp;COUNTIF($AL$11:$AL1229,$AL1229))</f>
        <v/>
      </c>
    </row>
    <row r="1230" spans="38:53" ht="15" customHeight="1" x14ac:dyDescent="0.25">
      <c r="AL1230" s="31"/>
      <c r="AM1230" s="26"/>
      <c r="AN1230" s="32"/>
      <c r="AO1230" s="32"/>
      <c r="AP1230" s="24"/>
      <c r="AQ1230" s="24"/>
      <c r="AR1230" s="33"/>
      <c r="AS1230" s="34"/>
      <c r="AT1230" s="33"/>
      <c r="AV1230" s="21">
        <f>IF(AND($AL1230&lt;&gt;"",COUNTIF($AL$11:$AL1230,$AL1230)=1),1,0)</f>
        <v>0</v>
      </c>
      <c r="AW1230" s="21">
        <f t="shared" si="125"/>
        <v>0</v>
      </c>
      <c r="AX1230" s="21" t="str">
        <f t="shared" si="124"/>
        <v/>
      </c>
      <c r="AY1230" s="21" t="str">
        <f>IF(AND($AM1230&lt;&gt;"",$AS1230&lt;&gt;"✓"),SUMPRODUCT(($AM$11:$AM1230&lt;&gt;"")*($AS$11:$AS1230&lt;&gt;"✓")),"")</f>
        <v/>
      </c>
      <c r="AZ1230" s="21" t="str">
        <f>IF(AND($AM1230&lt;&gt;"",$AS1230="✓"),SUMPRODUCT(($AM$11:$AM1230&lt;&gt;"")*($AS$11:$AS1230="✓")),"")</f>
        <v/>
      </c>
      <c r="BA1230" s="21" t="str">
        <f>IF($AL1230="","",$AL1230&amp;"|"&amp;COUNTIF($AL$11:$AL1230,$AL1230))</f>
        <v/>
      </c>
    </row>
    <row r="1231" spans="38:53" ht="15" customHeight="1" x14ac:dyDescent="0.25">
      <c r="AL1231" s="17"/>
      <c r="AM1231" s="12"/>
      <c r="AN1231" s="18"/>
      <c r="AO1231" s="18"/>
      <c r="AP1231" s="10"/>
      <c r="AQ1231" s="10"/>
      <c r="AR1231" s="19"/>
      <c r="AS1231" s="20"/>
      <c r="AT1231" s="19"/>
      <c r="AV1231" s="21">
        <f>IF(AND($AL1231&lt;&gt;"",COUNTIF($AL$11:$AL1231,$AL1231)=1),1,0)</f>
        <v>0</v>
      </c>
      <c r="AW1231" s="21">
        <f t="shared" si="125"/>
        <v>0</v>
      </c>
      <c r="AX1231" s="21" t="str">
        <f t="shared" si="124"/>
        <v/>
      </c>
      <c r="AY1231" s="21" t="str">
        <f>IF(AND($AM1231&lt;&gt;"",$AS1231&lt;&gt;"✓"),SUMPRODUCT(($AM$11:$AM1231&lt;&gt;"")*($AS$11:$AS1231&lt;&gt;"✓")),"")</f>
        <v/>
      </c>
      <c r="AZ1231" s="21" t="str">
        <f>IF(AND($AM1231&lt;&gt;"",$AS1231="✓"),SUMPRODUCT(($AM$11:$AM1231&lt;&gt;"")*($AS$11:$AS1231="✓")),"")</f>
        <v/>
      </c>
      <c r="BA1231" s="21" t="str">
        <f>IF($AL1231="","",$AL1231&amp;"|"&amp;COUNTIF($AL$11:$AL1231,$AL1231))</f>
        <v/>
      </c>
    </row>
    <row r="1232" spans="38:53" ht="15" customHeight="1" x14ac:dyDescent="0.25">
      <c r="AL1232" s="31"/>
      <c r="AM1232" s="26"/>
      <c r="AN1232" s="32"/>
      <c r="AO1232" s="32"/>
      <c r="AP1232" s="24"/>
      <c r="AQ1232" s="24"/>
      <c r="AR1232" s="33"/>
      <c r="AS1232" s="34"/>
      <c r="AT1232" s="33"/>
      <c r="AV1232" s="21">
        <f>IF(AND($AL1232&lt;&gt;"",COUNTIF($AL$11:$AL1232,$AL1232)=1),1,0)</f>
        <v>0</v>
      </c>
      <c r="AW1232" s="21">
        <f t="shared" si="125"/>
        <v>0</v>
      </c>
      <c r="AX1232" s="21" t="str">
        <f t="shared" si="124"/>
        <v/>
      </c>
      <c r="AY1232" s="21" t="str">
        <f>IF(AND($AM1232&lt;&gt;"",$AS1232&lt;&gt;"✓"),SUMPRODUCT(($AM$11:$AM1232&lt;&gt;"")*($AS$11:$AS1232&lt;&gt;"✓")),"")</f>
        <v/>
      </c>
      <c r="AZ1232" s="21" t="str">
        <f>IF(AND($AM1232&lt;&gt;"",$AS1232="✓"),SUMPRODUCT(($AM$11:$AM1232&lt;&gt;"")*($AS$11:$AS1232="✓")),"")</f>
        <v/>
      </c>
      <c r="BA1232" s="21" t="str">
        <f>IF($AL1232="","",$AL1232&amp;"|"&amp;COUNTIF($AL$11:$AL1232,$AL1232))</f>
        <v/>
      </c>
    </row>
    <row r="1233" spans="38:53" ht="15" customHeight="1" x14ac:dyDescent="0.25">
      <c r="AL1233" s="17"/>
      <c r="AM1233" s="12"/>
      <c r="AN1233" s="18"/>
      <c r="AO1233" s="18"/>
      <c r="AP1233" s="10"/>
      <c r="AQ1233" s="10"/>
      <c r="AR1233" s="19"/>
      <c r="AS1233" s="20"/>
      <c r="AT1233" s="19"/>
      <c r="AV1233" s="21">
        <f>IF(AND($AL1233&lt;&gt;"",COUNTIF($AL$11:$AL1233,$AL1233)=1),1,0)</f>
        <v>0</v>
      </c>
      <c r="AW1233" s="21">
        <f t="shared" si="125"/>
        <v>0</v>
      </c>
      <c r="AX1233" s="21" t="str">
        <f t="shared" si="124"/>
        <v/>
      </c>
      <c r="AY1233" s="21" t="str">
        <f>IF(AND($AM1233&lt;&gt;"",$AS1233&lt;&gt;"✓"),SUMPRODUCT(($AM$11:$AM1233&lt;&gt;"")*($AS$11:$AS1233&lt;&gt;"✓")),"")</f>
        <v/>
      </c>
      <c r="AZ1233" s="21" t="str">
        <f>IF(AND($AM1233&lt;&gt;"",$AS1233="✓"),SUMPRODUCT(($AM$11:$AM1233&lt;&gt;"")*($AS$11:$AS1233="✓")),"")</f>
        <v/>
      </c>
      <c r="BA1233" s="21" t="str">
        <f>IF($AL1233="","",$AL1233&amp;"|"&amp;COUNTIF($AL$11:$AL1233,$AL1233))</f>
        <v/>
      </c>
    </row>
    <row r="1234" spans="38:53" ht="15" customHeight="1" x14ac:dyDescent="0.25">
      <c r="AL1234" s="31"/>
      <c r="AM1234" s="26"/>
      <c r="AN1234" s="32"/>
      <c r="AO1234" s="32"/>
      <c r="AP1234" s="24"/>
      <c r="AQ1234" s="24"/>
      <c r="AR1234" s="33"/>
      <c r="AS1234" s="34"/>
      <c r="AT1234" s="33"/>
      <c r="AV1234" s="21">
        <f>IF(AND($AL1234&lt;&gt;"",COUNTIF($AL$11:$AL1234,$AL1234)=1),1,0)</f>
        <v>0</v>
      </c>
      <c r="AW1234" s="21">
        <f t="shared" si="125"/>
        <v>0</v>
      </c>
      <c r="AX1234" s="21" t="str">
        <f t="shared" si="124"/>
        <v/>
      </c>
      <c r="AY1234" s="21" t="str">
        <f>IF(AND($AM1234&lt;&gt;"",$AS1234&lt;&gt;"✓"),SUMPRODUCT(($AM$11:$AM1234&lt;&gt;"")*($AS$11:$AS1234&lt;&gt;"✓")),"")</f>
        <v/>
      </c>
      <c r="AZ1234" s="21" t="str">
        <f>IF(AND($AM1234&lt;&gt;"",$AS1234="✓"),SUMPRODUCT(($AM$11:$AM1234&lt;&gt;"")*($AS$11:$AS1234="✓")),"")</f>
        <v/>
      </c>
      <c r="BA1234" s="21" t="str">
        <f>IF($AL1234="","",$AL1234&amp;"|"&amp;COUNTIF($AL$11:$AL1234,$AL1234))</f>
        <v/>
      </c>
    </row>
    <row r="1235" spans="38:53" ht="15" customHeight="1" x14ac:dyDescent="0.25">
      <c r="AL1235" s="17"/>
      <c r="AM1235" s="12"/>
      <c r="AN1235" s="18"/>
      <c r="AO1235" s="18"/>
      <c r="AP1235" s="10"/>
      <c r="AQ1235" s="10"/>
      <c r="AR1235" s="19"/>
      <c r="AS1235" s="20"/>
      <c r="AT1235" s="19"/>
      <c r="AV1235" s="21">
        <f>IF(AND($AL1235&lt;&gt;"",COUNTIF($AL$11:$AL1235,$AL1235)=1),1,0)</f>
        <v>0</v>
      </c>
      <c r="AW1235" s="21">
        <f t="shared" si="125"/>
        <v>0</v>
      </c>
      <c r="AX1235" s="21" t="str">
        <f t="shared" si="124"/>
        <v/>
      </c>
      <c r="AY1235" s="21" t="str">
        <f>IF(AND($AM1235&lt;&gt;"",$AS1235&lt;&gt;"✓"),SUMPRODUCT(($AM$11:$AM1235&lt;&gt;"")*($AS$11:$AS1235&lt;&gt;"✓")),"")</f>
        <v/>
      </c>
      <c r="AZ1235" s="21" t="str">
        <f>IF(AND($AM1235&lt;&gt;"",$AS1235="✓"),SUMPRODUCT(($AM$11:$AM1235&lt;&gt;"")*($AS$11:$AS1235="✓")),"")</f>
        <v/>
      </c>
      <c r="BA1235" s="21" t="str">
        <f>IF($AL1235="","",$AL1235&amp;"|"&amp;COUNTIF($AL$11:$AL1235,$AL1235))</f>
        <v/>
      </c>
    </row>
    <row r="1236" spans="38:53" ht="15" customHeight="1" x14ac:dyDescent="0.25">
      <c r="AL1236" s="31"/>
      <c r="AM1236" s="26"/>
      <c r="AN1236" s="32"/>
      <c r="AO1236" s="32"/>
      <c r="AP1236" s="24"/>
      <c r="AQ1236" s="24"/>
      <c r="AR1236" s="33"/>
      <c r="AS1236" s="34"/>
      <c r="AT1236" s="33"/>
      <c r="AV1236" s="21">
        <f>IF(AND($AL1236&lt;&gt;"",COUNTIF($AL$11:$AL1236,$AL1236)=1),1,0)</f>
        <v>0</v>
      </c>
      <c r="AW1236" s="21">
        <f t="shared" si="125"/>
        <v>0</v>
      </c>
      <c r="AX1236" s="21" t="str">
        <f t="shared" si="124"/>
        <v/>
      </c>
      <c r="AY1236" s="21" t="str">
        <f>IF(AND($AM1236&lt;&gt;"",$AS1236&lt;&gt;"✓"),SUMPRODUCT(($AM$11:$AM1236&lt;&gt;"")*($AS$11:$AS1236&lt;&gt;"✓")),"")</f>
        <v/>
      </c>
      <c r="AZ1236" s="21" t="str">
        <f>IF(AND($AM1236&lt;&gt;"",$AS1236="✓"),SUMPRODUCT(($AM$11:$AM1236&lt;&gt;"")*($AS$11:$AS1236="✓")),"")</f>
        <v/>
      </c>
      <c r="BA1236" s="21" t="str">
        <f>IF($AL1236="","",$AL1236&amp;"|"&amp;COUNTIF($AL$11:$AL1236,$AL1236))</f>
        <v/>
      </c>
    </row>
    <row r="1237" spans="38:53" ht="15" customHeight="1" x14ac:dyDescent="0.25">
      <c r="AL1237" s="17"/>
      <c r="AM1237" s="12"/>
      <c r="AN1237" s="18"/>
      <c r="AO1237" s="18"/>
      <c r="AP1237" s="10"/>
      <c r="AQ1237" s="10"/>
      <c r="AR1237" s="19"/>
      <c r="AS1237" s="20"/>
      <c r="AT1237" s="19"/>
      <c r="AV1237" s="21">
        <f>IF(AND($AL1237&lt;&gt;"",COUNTIF($AL$11:$AL1237,$AL1237)=1),1,0)</f>
        <v>0</v>
      </c>
      <c r="AW1237" s="21">
        <f t="shared" si="125"/>
        <v>0</v>
      </c>
      <c r="AX1237" s="21" t="str">
        <f t="shared" si="124"/>
        <v/>
      </c>
      <c r="AY1237" s="21" t="str">
        <f>IF(AND($AM1237&lt;&gt;"",$AS1237&lt;&gt;"✓"),SUMPRODUCT(($AM$11:$AM1237&lt;&gt;"")*($AS$11:$AS1237&lt;&gt;"✓")),"")</f>
        <v/>
      </c>
      <c r="AZ1237" s="21" t="str">
        <f>IF(AND($AM1237&lt;&gt;"",$AS1237="✓"),SUMPRODUCT(($AM$11:$AM1237&lt;&gt;"")*($AS$11:$AS1237="✓")),"")</f>
        <v/>
      </c>
      <c r="BA1237" s="21" t="str">
        <f>IF($AL1237="","",$AL1237&amp;"|"&amp;COUNTIF($AL$11:$AL1237,$AL1237))</f>
        <v/>
      </c>
    </row>
    <row r="1238" spans="38:53" ht="15" customHeight="1" x14ac:dyDescent="0.25">
      <c r="AL1238" s="31"/>
      <c r="AM1238" s="26"/>
      <c r="AN1238" s="32"/>
      <c r="AO1238" s="32"/>
      <c r="AP1238" s="24"/>
      <c r="AQ1238" s="24"/>
      <c r="AR1238" s="33"/>
      <c r="AS1238" s="34"/>
      <c r="AT1238" s="33"/>
      <c r="AV1238" s="21">
        <f>IF(AND($AL1238&lt;&gt;"",COUNTIF($AL$11:$AL1238,$AL1238)=1),1,0)</f>
        <v>0</v>
      </c>
      <c r="AW1238" s="21">
        <f t="shared" si="125"/>
        <v>0</v>
      </c>
      <c r="AX1238" s="21" t="str">
        <f t="shared" si="124"/>
        <v/>
      </c>
      <c r="AY1238" s="21" t="str">
        <f>IF(AND($AM1238&lt;&gt;"",$AS1238&lt;&gt;"✓"),SUMPRODUCT(($AM$11:$AM1238&lt;&gt;"")*($AS$11:$AS1238&lt;&gt;"✓")),"")</f>
        <v/>
      </c>
      <c r="AZ1238" s="21" t="str">
        <f>IF(AND($AM1238&lt;&gt;"",$AS1238="✓"),SUMPRODUCT(($AM$11:$AM1238&lt;&gt;"")*($AS$11:$AS1238="✓")),"")</f>
        <v/>
      </c>
      <c r="BA1238" s="21" t="str">
        <f>IF($AL1238="","",$AL1238&amp;"|"&amp;COUNTIF($AL$11:$AL1238,$AL1238))</f>
        <v/>
      </c>
    </row>
    <row r="1239" spans="38:53" ht="15" customHeight="1" x14ac:dyDescent="0.25">
      <c r="AL1239" s="17"/>
      <c r="AM1239" s="12"/>
      <c r="AN1239" s="18"/>
      <c r="AO1239" s="18"/>
      <c r="AP1239" s="10"/>
      <c r="AQ1239" s="10"/>
      <c r="AR1239" s="19"/>
      <c r="AS1239" s="20"/>
      <c r="AT1239" s="19"/>
      <c r="AV1239" s="21">
        <f>IF(AND($AL1239&lt;&gt;"",COUNTIF($AL$11:$AL1239,$AL1239)=1),1,0)</f>
        <v>0</v>
      </c>
      <c r="AW1239" s="21">
        <f t="shared" si="125"/>
        <v>0</v>
      </c>
      <c r="AX1239" s="21" t="str">
        <f t="shared" si="124"/>
        <v/>
      </c>
      <c r="AY1239" s="21" t="str">
        <f>IF(AND($AM1239&lt;&gt;"",$AS1239&lt;&gt;"✓"),SUMPRODUCT(($AM$11:$AM1239&lt;&gt;"")*($AS$11:$AS1239&lt;&gt;"✓")),"")</f>
        <v/>
      </c>
      <c r="AZ1239" s="21" t="str">
        <f>IF(AND($AM1239&lt;&gt;"",$AS1239="✓"),SUMPRODUCT(($AM$11:$AM1239&lt;&gt;"")*($AS$11:$AS1239="✓")),"")</f>
        <v/>
      </c>
      <c r="BA1239" s="21" t="str">
        <f>IF($AL1239="","",$AL1239&amp;"|"&amp;COUNTIF($AL$11:$AL1239,$AL1239))</f>
        <v/>
      </c>
    </row>
    <row r="1240" spans="38:53" ht="15" customHeight="1" x14ac:dyDescent="0.25">
      <c r="AL1240" s="31"/>
      <c r="AM1240" s="26"/>
      <c r="AN1240" s="32"/>
      <c r="AO1240" s="32"/>
      <c r="AP1240" s="24"/>
      <c r="AQ1240" s="24"/>
      <c r="AR1240" s="33"/>
      <c r="AS1240" s="34"/>
      <c r="AT1240" s="33"/>
      <c r="AV1240" s="21">
        <f>IF(AND($AL1240&lt;&gt;"",COUNTIF($AL$11:$AL1240,$AL1240)=1),1,0)</f>
        <v>0</v>
      </c>
      <c r="AW1240" s="21">
        <f t="shared" si="125"/>
        <v>0</v>
      </c>
      <c r="AX1240" s="21" t="str">
        <f t="shared" si="124"/>
        <v/>
      </c>
      <c r="AY1240" s="21" t="str">
        <f>IF(AND($AM1240&lt;&gt;"",$AS1240&lt;&gt;"✓"),SUMPRODUCT(($AM$11:$AM1240&lt;&gt;"")*($AS$11:$AS1240&lt;&gt;"✓")),"")</f>
        <v/>
      </c>
      <c r="AZ1240" s="21" t="str">
        <f>IF(AND($AM1240&lt;&gt;"",$AS1240="✓"),SUMPRODUCT(($AM$11:$AM1240&lt;&gt;"")*($AS$11:$AS1240="✓")),"")</f>
        <v/>
      </c>
      <c r="BA1240" s="21" t="str">
        <f>IF($AL1240="","",$AL1240&amp;"|"&amp;COUNTIF($AL$11:$AL1240,$AL1240))</f>
        <v/>
      </c>
    </row>
    <row r="1241" spans="38:53" ht="15" customHeight="1" x14ac:dyDescent="0.25">
      <c r="AL1241" s="17"/>
      <c r="AM1241" s="12"/>
      <c r="AN1241" s="18"/>
      <c r="AO1241" s="18"/>
      <c r="AP1241" s="10"/>
      <c r="AQ1241" s="10"/>
      <c r="AR1241" s="19"/>
      <c r="AS1241" s="20"/>
      <c r="AT1241" s="19"/>
      <c r="AV1241" s="21">
        <f>IF(AND($AL1241&lt;&gt;"",COUNTIF($AL$11:$AL1241,$AL1241)=1),1,0)</f>
        <v>0</v>
      </c>
      <c r="AW1241" s="21">
        <f t="shared" si="125"/>
        <v>0</v>
      </c>
      <c r="AX1241" s="21" t="str">
        <f t="shared" si="124"/>
        <v/>
      </c>
      <c r="AY1241" s="21" t="str">
        <f>IF(AND($AM1241&lt;&gt;"",$AS1241&lt;&gt;"✓"),SUMPRODUCT(($AM$11:$AM1241&lt;&gt;"")*($AS$11:$AS1241&lt;&gt;"✓")),"")</f>
        <v/>
      </c>
      <c r="AZ1241" s="21" t="str">
        <f>IF(AND($AM1241&lt;&gt;"",$AS1241="✓"),SUMPRODUCT(($AM$11:$AM1241&lt;&gt;"")*($AS$11:$AS1241="✓")),"")</f>
        <v/>
      </c>
      <c r="BA1241" s="21" t="str">
        <f>IF($AL1241="","",$AL1241&amp;"|"&amp;COUNTIF($AL$11:$AL1241,$AL1241))</f>
        <v/>
      </c>
    </row>
    <row r="1242" spans="38:53" ht="15" customHeight="1" x14ac:dyDescent="0.25">
      <c r="AL1242" s="31"/>
      <c r="AM1242" s="26"/>
      <c r="AN1242" s="32"/>
      <c r="AO1242" s="32"/>
      <c r="AP1242" s="24"/>
      <c r="AQ1242" s="24"/>
      <c r="AR1242" s="33"/>
      <c r="AS1242" s="34"/>
      <c r="AT1242" s="33"/>
      <c r="AV1242" s="21">
        <f>IF(AND($AL1242&lt;&gt;"",COUNTIF($AL$11:$AL1242,$AL1242)=1),1,0)</f>
        <v>0</v>
      </c>
      <c r="AW1242" s="21">
        <f t="shared" si="125"/>
        <v>0</v>
      </c>
      <c r="AX1242" s="21" t="str">
        <f t="shared" si="124"/>
        <v/>
      </c>
      <c r="AY1242" s="21" t="str">
        <f>IF(AND($AM1242&lt;&gt;"",$AS1242&lt;&gt;"✓"),SUMPRODUCT(($AM$11:$AM1242&lt;&gt;"")*($AS$11:$AS1242&lt;&gt;"✓")),"")</f>
        <v/>
      </c>
      <c r="AZ1242" s="21" t="str">
        <f>IF(AND($AM1242&lt;&gt;"",$AS1242="✓"),SUMPRODUCT(($AM$11:$AM1242&lt;&gt;"")*($AS$11:$AS1242="✓")),"")</f>
        <v/>
      </c>
      <c r="BA1242" s="21" t="str">
        <f>IF($AL1242="","",$AL1242&amp;"|"&amp;COUNTIF($AL$11:$AL1242,$AL1242))</f>
        <v/>
      </c>
    </row>
    <row r="1243" spans="38:53" ht="15" customHeight="1" x14ac:dyDescent="0.25">
      <c r="AL1243" s="17"/>
      <c r="AM1243" s="12"/>
      <c r="AN1243" s="18"/>
      <c r="AO1243" s="18"/>
      <c r="AP1243" s="10"/>
      <c r="AQ1243" s="10"/>
      <c r="AR1243" s="19"/>
      <c r="AS1243" s="20"/>
      <c r="AT1243" s="19"/>
      <c r="AV1243" s="21">
        <f>IF(AND($AL1243&lt;&gt;"",COUNTIF($AL$11:$AL1243,$AL1243)=1),1,0)</f>
        <v>0</v>
      </c>
      <c r="AW1243" s="21">
        <f t="shared" si="125"/>
        <v>0</v>
      </c>
      <c r="AX1243" s="21" t="str">
        <f t="shared" si="124"/>
        <v/>
      </c>
      <c r="AY1243" s="21" t="str">
        <f>IF(AND($AM1243&lt;&gt;"",$AS1243&lt;&gt;"✓"),SUMPRODUCT(($AM$11:$AM1243&lt;&gt;"")*($AS$11:$AS1243&lt;&gt;"✓")),"")</f>
        <v/>
      </c>
      <c r="AZ1243" s="21" t="str">
        <f>IF(AND($AM1243&lt;&gt;"",$AS1243="✓"),SUMPRODUCT(($AM$11:$AM1243&lt;&gt;"")*($AS$11:$AS1243="✓")),"")</f>
        <v/>
      </c>
      <c r="BA1243" s="21" t="str">
        <f>IF($AL1243="","",$AL1243&amp;"|"&amp;COUNTIF($AL$11:$AL1243,$AL1243))</f>
        <v/>
      </c>
    </row>
    <row r="1244" spans="38:53" ht="15" customHeight="1" x14ac:dyDescent="0.25">
      <c r="AL1244" s="31"/>
      <c r="AM1244" s="26"/>
      <c r="AN1244" s="32"/>
      <c r="AO1244" s="32"/>
      <c r="AP1244" s="24"/>
      <c r="AQ1244" s="24"/>
      <c r="AR1244" s="33"/>
      <c r="AS1244" s="34"/>
      <c r="AT1244" s="33"/>
      <c r="AV1244" s="21">
        <f>IF(AND($AL1244&lt;&gt;"",COUNTIF($AL$11:$AL1244,$AL1244)=1),1,0)</f>
        <v>0</v>
      </c>
      <c r="AW1244" s="21">
        <f t="shared" si="125"/>
        <v>0</v>
      </c>
      <c r="AX1244" s="21" t="str">
        <f t="shared" si="124"/>
        <v/>
      </c>
      <c r="AY1244" s="21" t="str">
        <f>IF(AND($AM1244&lt;&gt;"",$AS1244&lt;&gt;"✓"),SUMPRODUCT(($AM$11:$AM1244&lt;&gt;"")*($AS$11:$AS1244&lt;&gt;"✓")),"")</f>
        <v/>
      </c>
      <c r="AZ1244" s="21" t="str">
        <f>IF(AND($AM1244&lt;&gt;"",$AS1244="✓"),SUMPRODUCT(($AM$11:$AM1244&lt;&gt;"")*($AS$11:$AS1244="✓")),"")</f>
        <v/>
      </c>
      <c r="BA1244" s="21" t="str">
        <f>IF($AL1244="","",$AL1244&amp;"|"&amp;COUNTIF($AL$11:$AL1244,$AL1244))</f>
        <v/>
      </c>
    </row>
    <row r="1245" spans="38:53" ht="15" customHeight="1" x14ac:dyDescent="0.25">
      <c r="AL1245" s="17"/>
      <c r="AM1245" s="12"/>
      <c r="AN1245" s="18"/>
      <c r="AO1245" s="18"/>
      <c r="AP1245" s="10"/>
      <c r="AQ1245" s="10"/>
      <c r="AR1245" s="19"/>
      <c r="AS1245" s="20"/>
      <c r="AT1245" s="19"/>
      <c r="AV1245" s="21">
        <f>IF(AND($AL1245&lt;&gt;"",COUNTIF($AL$11:$AL1245,$AL1245)=1),1,0)</f>
        <v>0</v>
      </c>
      <c r="AW1245" s="21">
        <f t="shared" si="125"/>
        <v>0</v>
      </c>
      <c r="AX1245" s="21" t="str">
        <f t="shared" si="124"/>
        <v/>
      </c>
      <c r="AY1245" s="21" t="str">
        <f>IF(AND($AM1245&lt;&gt;"",$AS1245&lt;&gt;"✓"),SUMPRODUCT(($AM$11:$AM1245&lt;&gt;"")*($AS$11:$AS1245&lt;&gt;"✓")),"")</f>
        <v/>
      </c>
      <c r="AZ1245" s="21" t="str">
        <f>IF(AND($AM1245&lt;&gt;"",$AS1245="✓"),SUMPRODUCT(($AM$11:$AM1245&lt;&gt;"")*($AS$11:$AS1245="✓")),"")</f>
        <v/>
      </c>
      <c r="BA1245" s="21" t="str">
        <f>IF($AL1245="","",$AL1245&amp;"|"&amp;COUNTIF($AL$11:$AL1245,$AL1245))</f>
        <v/>
      </c>
    </row>
    <row r="1246" spans="38:53" ht="15" customHeight="1" x14ac:dyDescent="0.25">
      <c r="AL1246" s="31"/>
      <c r="AM1246" s="26"/>
      <c r="AN1246" s="32"/>
      <c r="AO1246" s="32"/>
      <c r="AP1246" s="24"/>
      <c r="AQ1246" s="24"/>
      <c r="AR1246" s="33"/>
      <c r="AS1246" s="34"/>
      <c r="AT1246" s="33"/>
      <c r="AV1246" s="21">
        <f>IF(AND($AL1246&lt;&gt;"",COUNTIF($AL$11:$AL1246,$AL1246)=1),1,0)</f>
        <v>0</v>
      </c>
      <c r="AW1246" s="21">
        <f t="shared" si="125"/>
        <v>0</v>
      </c>
      <c r="AX1246" s="21" t="str">
        <f t="shared" si="124"/>
        <v/>
      </c>
      <c r="AY1246" s="21" t="str">
        <f>IF(AND($AM1246&lt;&gt;"",$AS1246&lt;&gt;"✓"),SUMPRODUCT(($AM$11:$AM1246&lt;&gt;"")*($AS$11:$AS1246&lt;&gt;"✓")),"")</f>
        <v/>
      </c>
      <c r="AZ1246" s="21" t="str">
        <f>IF(AND($AM1246&lt;&gt;"",$AS1246="✓"),SUMPRODUCT(($AM$11:$AM1246&lt;&gt;"")*($AS$11:$AS1246="✓")),"")</f>
        <v/>
      </c>
      <c r="BA1246" s="21" t="str">
        <f>IF($AL1246="","",$AL1246&amp;"|"&amp;COUNTIF($AL$11:$AL1246,$AL1246))</f>
        <v/>
      </c>
    </row>
    <row r="1247" spans="38:53" ht="15" customHeight="1" x14ac:dyDescent="0.25">
      <c r="AL1247" s="17"/>
      <c r="AM1247" s="12"/>
      <c r="AN1247" s="18"/>
      <c r="AO1247" s="18"/>
      <c r="AP1247" s="10"/>
      <c r="AQ1247" s="10"/>
      <c r="AR1247" s="19"/>
      <c r="AS1247" s="20"/>
      <c r="AT1247" s="19"/>
      <c r="AV1247" s="21">
        <f>IF(AND($AL1247&lt;&gt;"",COUNTIF($AL$11:$AL1247,$AL1247)=1),1,0)</f>
        <v>0</v>
      </c>
      <c r="AW1247" s="21">
        <f t="shared" si="125"/>
        <v>0</v>
      </c>
      <c r="AX1247" s="21" t="str">
        <f t="shared" si="124"/>
        <v/>
      </c>
      <c r="AY1247" s="21" t="str">
        <f>IF(AND($AM1247&lt;&gt;"",$AS1247&lt;&gt;"✓"),SUMPRODUCT(($AM$11:$AM1247&lt;&gt;"")*($AS$11:$AS1247&lt;&gt;"✓")),"")</f>
        <v/>
      </c>
      <c r="AZ1247" s="21" t="str">
        <f>IF(AND($AM1247&lt;&gt;"",$AS1247="✓"),SUMPRODUCT(($AM$11:$AM1247&lt;&gt;"")*($AS$11:$AS1247="✓")),"")</f>
        <v/>
      </c>
      <c r="BA1247" s="21" t="str">
        <f>IF($AL1247="","",$AL1247&amp;"|"&amp;COUNTIF($AL$11:$AL1247,$AL1247))</f>
        <v/>
      </c>
    </row>
    <row r="1248" spans="38:53" ht="15" customHeight="1" x14ac:dyDescent="0.25">
      <c r="AL1248" s="31"/>
      <c r="AM1248" s="26"/>
      <c r="AN1248" s="32"/>
      <c r="AO1248" s="32"/>
      <c r="AP1248" s="24"/>
      <c r="AQ1248" s="24"/>
      <c r="AR1248" s="33"/>
      <c r="AS1248" s="34"/>
      <c r="AT1248" s="33"/>
      <c r="AV1248" s="21">
        <f>IF(AND($AL1248&lt;&gt;"",COUNTIF($AL$11:$AL1248,$AL1248)=1),1,0)</f>
        <v>0</v>
      </c>
      <c r="AW1248" s="21">
        <f t="shared" si="125"/>
        <v>0</v>
      </c>
      <c r="AX1248" s="21" t="str">
        <f t="shared" si="124"/>
        <v/>
      </c>
      <c r="AY1248" s="21" t="str">
        <f>IF(AND($AM1248&lt;&gt;"",$AS1248&lt;&gt;"✓"),SUMPRODUCT(($AM$11:$AM1248&lt;&gt;"")*($AS$11:$AS1248&lt;&gt;"✓")),"")</f>
        <v/>
      </c>
      <c r="AZ1248" s="21" t="str">
        <f>IF(AND($AM1248&lt;&gt;"",$AS1248="✓"),SUMPRODUCT(($AM$11:$AM1248&lt;&gt;"")*($AS$11:$AS1248="✓")),"")</f>
        <v/>
      </c>
      <c r="BA1248" s="21" t="str">
        <f>IF($AL1248="","",$AL1248&amp;"|"&amp;COUNTIF($AL$11:$AL1248,$AL1248))</f>
        <v/>
      </c>
    </row>
    <row r="1249" spans="38:53" ht="15" customHeight="1" x14ac:dyDescent="0.25">
      <c r="AL1249" s="17"/>
      <c r="AM1249" s="12"/>
      <c r="AN1249" s="18"/>
      <c r="AO1249" s="18"/>
      <c r="AP1249" s="10"/>
      <c r="AQ1249" s="10"/>
      <c r="AR1249" s="19"/>
      <c r="AS1249" s="20"/>
      <c r="AT1249" s="19"/>
      <c r="AV1249" s="21">
        <f>IF(AND($AL1249&lt;&gt;"",COUNTIF($AL$11:$AL1249,$AL1249)=1),1,0)</f>
        <v>0</v>
      </c>
      <c r="AW1249" s="21">
        <f t="shared" si="125"/>
        <v>0</v>
      </c>
      <c r="AX1249" s="21" t="str">
        <f t="shared" si="124"/>
        <v/>
      </c>
      <c r="AY1249" s="21" t="str">
        <f>IF(AND($AM1249&lt;&gt;"",$AS1249&lt;&gt;"✓"),SUMPRODUCT(($AM$11:$AM1249&lt;&gt;"")*($AS$11:$AS1249&lt;&gt;"✓")),"")</f>
        <v/>
      </c>
      <c r="AZ1249" s="21" t="str">
        <f>IF(AND($AM1249&lt;&gt;"",$AS1249="✓"),SUMPRODUCT(($AM$11:$AM1249&lt;&gt;"")*($AS$11:$AS1249="✓")),"")</f>
        <v/>
      </c>
      <c r="BA1249" s="21" t="str">
        <f>IF($AL1249="","",$AL1249&amp;"|"&amp;COUNTIF($AL$11:$AL1249,$AL1249))</f>
        <v/>
      </c>
    </row>
    <row r="1250" spans="38:53" ht="15" customHeight="1" x14ac:dyDescent="0.25">
      <c r="AL1250" s="31"/>
      <c r="AM1250" s="26"/>
      <c r="AN1250" s="32"/>
      <c r="AO1250" s="32"/>
      <c r="AP1250" s="24"/>
      <c r="AQ1250" s="24"/>
      <c r="AR1250" s="33"/>
      <c r="AS1250" s="34"/>
      <c r="AT1250" s="33"/>
      <c r="AV1250" s="21">
        <f>IF(AND($AL1250&lt;&gt;"",COUNTIF($AL$11:$AL1250,$AL1250)=1),1,0)</f>
        <v>0</v>
      </c>
      <c r="AW1250" s="21">
        <f t="shared" si="125"/>
        <v>0</v>
      </c>
      <c r="AX1250" s="21" t="str">
        <f t="shared" si="124"/>
        <v/>
      </c>
      <c r="AY1250" s="21" t="str">
        <f>IF(AND($AM1250&lt;&gt;"",$AS1250&lt;&gt;"✓"),SUMPRODUCT(($AM$11:$AM1250&lt;&gt;"")*($AS$11:$AS1250&lt;&gt;"✓")),"")</f>
        <v/>
      </c>
      <c r="AZ1250" s="21" t="str">
        <f>IF(AND($AM1250&lt;&gt;"",$AS1250="✓"),SUMPRODUCT(($AM$11:$AM1250&lt;&gt;"")*($AS$11:$AS1250="✓")),"")</f>
        <v/>
      </c>
      <c r="BA1250" s="21" t="str">
        <f>IF($AL1250="","",$AL1250&amp;"|"&amp;COUNTIF($AL$11:$AL1250,$AL1250))</f>
        <v/>
      </c>
    </row>
    <row r="1251" spans="38:53" ht="15" customHeight="1" x14ac:dyDescent="0.25">
      <c r="AL1251" s="17"/>
      <c r="AM1251" s="12"/>
      <c r="AN1251" s="18"/>
      <c r="AO1251" s="18"/>
      <c r="AP1251" s="10"/>
      <c r="AQ1251" s="10"/>
      <c r="AR1251" s="19"/>
      <c r="AS1251" s="20"/>
      <c r="AT1251" s="19"/>
      <c r="AV1251" s="21">
        <f>IF(AND($AL1251&lt;&gt;"",COUNTIF($AL$11:$AL1251,$AL1251)=1),1,0)</f>
        <v>0</v>
      </c>
      <c r="AW1251" s="21">
        <f t="shared" si="125"/>
        <v>0</v>
      </c>
      <c r="AX1251" s="21" t="str">
        <f t="shared" si="124"/>
        <v/>
      </c>
      <c r="AY1251" s="21" t="str">
        <f>IF(AND($AM1251&lt;&gt;"",$AS1251&lt;&gt;"✓"),SUMPRODUCT(($AM$11:$AM1251&lt;&gt;"")*($AS$11:$AS1251&lt;&gt;"✓")),"")</f>
        <v/>
      </c>
      <c r="AZ1251" s="21" t="str">
        <f>IF(AND($AM1251&lt;&gt;"",$AS1251="✓"),SUMPRODUCT(($AM$11:$AM1251&lt;&gt;"")*($AS$11:$AS1251="✓")),"")</f>
        <v/>
      </c>
      <c r="BA1251" s="21" t="str">
        <f>IF($AL1251="","",$AL1251&amp;"|"&amp;COUNTIF($AL$11:$AL1251,$AL1251))</f>
        <v/>
      </c>
    </row>
    <row r="1252" spans="38:53" ht="15" customHeight="1" x14ac:dyDescent="0.25">
      <c r="AL1252" s="31"/>
      <c r="AM1252" s="26"/>
      <c r="AN1252" s="32"/>
      <c r="AO1252" s="32"/>
      <c r="AP1252" s="24"/>
      <c r="AQ1252" s="24"/>
      <c r="AR1252" s="33"/>
      <c r="AS1252" s="34"/>
      <c r="AT1252" s="33"/>
      <c r="AV1252" s="21">
        <f>IF(AND($AL1252&lt;&gt;"",COUNTIF($AL$11:$AL1252,$AL1252)=1),1,0)</f>
        <v>0</v>
      </c>
      <c r="AW1252" s="21">
        <f t="shared" si="125"/>
        <v>0</v>
      </c>
      <c r="AX1252" s="21" t="str">
        <f t="shared" si="124"/>
        <v/>
      </c>
      <c r="AY1252" s="21" t="str">
        <f>IF(AND($AM1252&lt;&gt;"",$AS1252&lt;&gt;"✓"),SUMPRODUCT(($AM$11:$AM1252&lt;&gt;"")*($AS$11:$AS1252&lt;&gt;"✓")),"")</f>
        <v/>
      </c>
      <c r="AZ1252" s="21" t="str">
        <f>IF(AND($AM1252&lt;&gt;"",$AS1252="✓"),SUMPRODUCT(($AM$11:$AM1252&lt;&gt;"")*($AS$11:$AS1252="✓")),"")</f>
        <v/>
      </c>
      <c r="BA1252" s="21" t="str">
        <f>IF($AL1252="","",$AL1252&amp;"|"&amp;COUNTIF($AL$11:$AL1252,$AL1252))</f>
        <v/>
      </c>
    </row>
    <row r="1253" spans="38:53" ht="15" customHeight="1" x14ac:dyDescent="0.25">
      <c r="AL1253" s="17"/>
      <c r="AM1253" s="12"/>
      <c r="AN1253" s="18"/>
      <c r="AO1253" s="18"/>
      <c r="AP1253" s="10"/>
      <c r="AQ1253" s="10"/>
      <c r="AR1253" s="19"/>
      <c r="AS1253" s="20"/>
      <c r="AT1253" s="19"/>
      <c r="AV1253" s="21">
        <f>IF(AND($AL1253&lt;&gt;"",COUNTIF($AL$11:$AL1253,$AL1253)=1),1,0)</f>
        <v>0</v>
      </c>
      <c r="AW1253" s="21">
        <f t="shared" si="125"/>
        <v>0</v>
      </c>
      <c r="AX1253" s="21" t="str">
        <f t="shared" si="124"/>
        <v/>
      </c>
      <c r="AY1253" s="21" t="str">
        <f>IF(AND($AM1253&lt;&gt;"",$AS1253&lt;&gt;"✓"),SUMPRODUCT(($AM$11:$AM1253&lt;&gt;"")*($AS$11:$AS1253&lt;&gt;"✓")),"")</f>
        <v/>
      </c>
      <c r="AZ1253" s="21" t="str">
        <f>IF(AND($AM1253&lt;&gt;"",$AS1253="✓"),SUMPRODUCT(($AM$11:$AM1253&lt;&gt;"")*($AS$11:$AS1253="✓")),"")</f>
        <v/>
      </c>
      <c r="BA1253" s="21" t="str">
        <f>IF($AL1253="","",$AL1253&amp;"|"&amp;COUNTIF($AL$11:$AL1253,$AL1253))</f>
        <v/>
      </c>
    </row>
    <row r="1254" spans="38:53" ht="15" customHeight="1" x14ac:dyDescent="0.25">
      <c r="AL1254" s="31"/>
      <c r="AM1254" s="26"/>
      <c r="AN1254" s="32"/>
      <c r="AO1254" s="32"/>
      <c r="AP1254" s="24"/>
      <c r="AQ1254" s="24"/>
      <c r="AR1254" s="33"/>
      <c r="AS1254" s="34"/>
      <c r="AT1254" s="33"/>
      <c r="AV1254" s="21">
        <f>IF(AND($AL1254&lt;&gt;"",COUNTIF($AL$11:$AL1254,$AL1254)=1),1,0)</f>
        <v>0</v>
      </c>
      <c r="AW1254" s="21">
        <f t="shared" si="125"/>
        <v>0</v>
      </c>
      <c r="AX1254" s="21" t="str">
        <f t="shared" si="124"/>
        <v/>
      </c>
      <c r="AY1254" s="21" t="str">
        <f>IF(AND($AM1254&lt;&gt;"",$AS1254&lt;&gt;"✓"),SUMPRODUCT(($AM$11:$AM1254&lt;&gt;"")*($AS$11:$AS1254&lt;&gt;"✓")),"")</f>
        <v/>
      </c>
      <c r="AZ1254" s="21" t="str">
        <f>IF(AND($AM1254&lt;&gt;"",$AS1254="✓"),SUMPRODUCT(($AM$11:$AM1254&lt;&gt;"")*($AS$11:$AS1254="✓")),"")</f>
        <v/>
      </c>
      <c r="BA1254" s="21" t="str">
        <f>IF($AL1254="","",$AL1254&amp;"|"&amp;COUNTIF($AL$11:$AL1254,$AL1254))</f>
        <v/>
      </c>
    </row>
    <row r="1255" spans="38:53" ht="15" customHeight="1" x14ac:dyDescent="0.25">
      <c r="AL1255" s="17"/>
      <c r="AM1255" s="12"/>
      <c r="AN1255" s="18"/>
      <c r="AO1255" s="18"/>
      <c r="AP1255" s="10"/>
      <c r="AQ1255" s="10"/>
      <c r="AR1255" s="19"/>
      <c r="AS1255" s="20"/>
      <c r="AT1255" s="19"/>
      <c r="AV1255" s="21">
        <f>IF(AND($AL1255&lt;&gt;"",COUNTIF($AL$11:$AL1255,$AL1255)=1),1,0)</f>
        <v>0</v>
      </c>
      <c r="AW1255" s="21">
        <f t="shared" si="125"/>
        <v>0</v>
      </c>
      <c r="AX1255" s="21" t="str">
        <f t="shared" si="124"/>
        <v/>
      </c>
      <c r="AY1255" s="21" t="str">
        <f>IF(AND($AM1255&lt;&gt;"",$AS1255&lt;&gt;"✓"),SUMPRODUCT(($AM$11:$AM1255&lt;&gt;"")*($AS$11:$AS1255&lt;&gt;"✓")),"")</f>
        <v/>
      </c>
      <c r="AZ1255" s="21" t="str">
        <f>IF(AND($AM1255&lt;&gt;"",$AS1255="✓"),SUMPRODUCT(($AM$11:$AM1255&lt;&gt;"")*($AS$11:$AS1255="✓")),"")</f>
        <v/>
      </c>
      <c r="BA1255" s="21" t="str">
        <f>IF($AL1255="","",$AL1255&amp;"|"&amp;COUNTIF($AL$11:$AL1255,$AL1255))</f>
        <v/>
      </c>
    </row>
    <row r="1256" spans="38:53" ht="15" customHeight="1" x14ac:dyDescent="0.25">
      <c r="AL1256" s="31"/>
      <c r="AM1256" s="26"/>
      <c r="AN1256" s="32"/>
      <c r="AO1256" s="32"/>
      <c r="AP1256" s="24"/>
      <c r="AQ1256" s="24"/>
      <c r="AR1256" s="33"/>
      <c r="AS1256" s="34"/>
      <c r="AT1256" s="33"/>
      <c r="AV1256" s="21">
        <f>IF(AND($AL1256&lt;&gt;"",COUNTIF($AL$11:$AL1256,$AL1256)=1),1,0)</f>
        <v>0</v>
      </c>
      <c r="AW1256" s="21">
        <f t="shared" si="125"/>
        <v>0</v>
      </c>
      <c r="AX1256" s="21" t="str">
        <f t="shared" si="124"/>
        <v/>
      </c>
      <c r="AY1256" s="21" t="str">
        <f>IF(AND($AM1256&lt;&gt;"",$AS1256&lt;&gt;"✓"),SUMPRODUCT(($AM$11:$AM1256&lt;&gt;"")*($AS$11:$AS1256&lt;&gt;"✓")),"")</f>
        <v/>
      </c>
      <c r="AZ1256" s="21" t="str">
        <f>IF(AND($AM1256&lt;&gt;"",$AS1256="✓"),SUMPRODUCT(($AM$11:$AM1256&lt;&gt;"")*($AS$11:$AS1256="✓")),"")</f>
        <v/>
      </c>
      <c r="BA1256" s="21" t="str">
        <f>IF($AL1256="","",$AL1256&amp;"|"&amp;COUNTIF($AL$11:$AL1256,$AL1256))</f>
        <v/>
      </c>
    </row>
    <row r="1257" spans="38:53" ht="15" customHeight="1" x14ac:dyDescent="0.25">
      <c r="AL1257" s="17"/>
      <c r="AM1257" s="12"/>
      <c r="AN1257" s="18"/>
      <c r="AO1257" s="18"/>
      <c r="AP1257" s="10"/>
      <c r="AQ1257" s="10"/>
      <c r="AR1257" s="19"/>
      <c r="AS1257" s="20"/>
      <c r="AT1257" s="19"/>
      <c r="AV1257" s="21">
        <f>IF(AND($AL1257&lt;&gt;"",COUNTIF($AL$11:$AL1257,$AL1257)=1),1,0)</f>
        <v>0</v>
      </c>
      <c r="AW1257" s="21">
        <f t="shared" si="125"/>
        <v>0</v>
      </c>
      <c r="AX1257" s="21" t="str">
        <f t="shared" si="124"/>
        <v/>
      </c>
      <c r="AY1257" s="21" t="str">
        <f>IF(AND($AM1257&lt;&gt;"",$AS1257&lt;&gt;"✓"),SUMPRODUCT(($AM$11:$AM1257&lt;&gt;"")*($AS$11:$AS1257&lt;&gt;"✓")),"")</f>
        <v/>
      </c>
      <c r="AZ1257" s="21" t="str">
        <f>IF(AND($AM1257&lt;&gt;"",$AS1257="✓"),SUMPRODUCT(($AM$11:$AM1257&lt;&gt;"")*($AS$11:$AS1257="✓")),"")</f>
        <v/>
      </c>
      <c r="BA1257" s="21" t="str">
        <f>IF($AL1257="","",$AL1257&amp;"|"&amp;COUNTIF($AL$11:$AL1257,$AL1257))</f>
        <v/>
      </c>
    </row>
    <row r="1258" spans="38:53" ht="15" customHeight="1" x14ac:dyDescent="0.25">
      <c r="AL1258" s="31"/>
      <c r="AM1258" s="26"/>
      <c r="AN1258" s="32"/>
      <c r="AO1258" s="32"/>
      <c r="AP1258" s="24"/>
      <c r="AQ1258" s="24"/>
      <c r="AR1258" s="33"/>
      <c r="AS1258" s="34"/>
      <c r="AT1258" s="33"/>
      <c r="AV1258" s="21">
        <f>IF(AND($AL1258&lt;&gt;"",COUNTIF($AL$11:$AL1258,$AL1258)=1),1,0)</f>
        <v>0</v>
      </c>
      <c r="AW1258" s="21">
        <f t="shared" si="125"/>
        <v>0</v>
      </c>
      <c r="AX1258" s="21" t="str">
        <f t="shared" si="124"/>
        <v/>
      </c>
      <c r="AY1258" s="21" t="str">
        <f>IF(AND($AM1258&lt;&gt;"",$AS1258&lt;&gt;"✓"),SUMPRODUCT(($AM$11:$AM1258&lt;&gt;"")*($AS$11:$AS1258&lt;&gt;"✓")),"")</f>
        <v/>
      </c>
      <c r="AZ1258" s="21" t="str">
        <f>IF(AND($AM1258&lt;&gt;"",$AS1258="✓"),SUMPRODUCT(($AM$11:$AM1258&lt;&gt;"")*($AS$11:$AS1258="✓")),"")</f>
        <v/>
      </c>
      <c r="BA1258" s="21" t="str">
        <f>IF($AL1258="","",$AL1258&amp;"|"&amp;COUNTIF($AL$11:$AL1258,$AL1258))</f>
        <v/>
      </c>
    </row>
    <row r="1259" spans="38:53" ht="15" customHeight="1" x14ac:dyDescent="0.25">
      <c r="AL1259" s="17"/>
      <c r="AM1259" s="12"/>
      <c r="AN1259" s="18"/>
      <c r="AO1259" s="18"/>
      <c r="AP1259" s="10"/>
      <c r="AQ1259" s="10"/>
      <c r="AR1259" s="19"/>
      <c r="AS1259" s="20"/>
      <c r="AT1259" s="19"/>
      <c r="AV1259" s="21">
        <f>IF(AND($AL1259&lt;&gt;"",COUNTIF($AL$11:$AL1259,$AL1259)=1),1,0)</f>
        <v>0</v>
      </c>
      <c r="AW1259" s="21">
        <f t="shared" si="125"/>
        <v>0</v>
      </c>
      <c r="AX1259" s="21" t="str">
        <f t="shared" si="124"/>
        <v/>
      </c>
      <c r="AY1259" s="21" t="str">
        <f>IF(AND($AM1259&lt;&gt;"",$AS1259&lt;&gt;"✓"),SUMPRODUCT(($AM$11:$AM1259&lt;&gt;"")*($AS$11:$AS1259&lt;&gt;"✓")),"")</f>
        <v/>
      </c>
      <c r="AZ1259" s="21" t="str">
        <f>IF(AND($AM1259&lt;&gt;"",$AS1259="✓"),SUMPRODUCT(($AM$11:$AM1259&lt;&gt;"")*($AS$11:$AS1259="✓")),"")</f>
        <v/>
      </c>
      <c r="BA1259" s="21" t="str">
        <f>IF($AL1259="","",$AL1259&amp;"|"&amp;COUNTIF($AL$11:$AL1259,$AL1259))</f>
        <v/>
      </c>
    </row>
    <row r="1260" spans="38:53" ht="15" customHeight="1" x14ac:dyDescent="0.25">
      <c r="AL1260" s="31"/>
      <c r="AM1260" s="26"/>
      <c r="AN1260" s="32"/>
      <c r="AO1260" s="32"/>
      <c r="AP1260" s="24"/>
      <c r="AQ1260" s="24"/>
      <c r="AR1260" s="33"/>
      <c r="AS1260" s="34"/>
      <c r="AT1260" s="33"/>
      <c r="AV1260" s="21">
        <f>IF(AND($AL1260&lt;&gt;"",COUNTIF($AL$11:$AL1260,$AL1260)=1),1,0)</f>
        <v>0</v>
      </c>
      <c r="AW1260" s="21">
        <f t="shared" si="125"/>
        <v>0</v>
      </c>
      <c r="AX1260" s="21" t="str">
        <f t="shared" si="124"/>
        <v/>
      </c>
      <c r="AY1260" s="21" t="str">
        <f>IF(AND($AM1260&lt;&gt;"",$AS1260&lt;&gt;"✓"),SUMPRODUCT(($AM$11:$AM1260&lt;&gt;"")*($AS$11:$AS1260&lt;&gt;"✓")),"")</f>
        <v/>
      </c>
      <c r="AZ1260" s="21" t="str">
        <f>IF(AND($AM1260&lt;&gt;"",$AS1260="✓"),SUMPRODUCT(($AM$11:$AM1260&lt;&gt;"")*($AS$11:$AS1260="✓")),"")</f>
        <v/>
      </c>
      <c r="BA1260" s="21" t="str">
        <f>IF($AL1260="","",$AL1260&amp;"|"&amp;COUNTIF($AL$11:$AL1260,$AL1260))</f>
        <v/>
      </c>
    </row>
    <row r="1261" spans="38:53" ht="15" customHeight="1" x14ac:dyDescent="0.25">
      <c r="AL1261" s="17"/>
      <c r="AM1261" s="12"/>
      <c r="AN1261" s="18"/>
      <c r="AO1261" s="18"/>
      <c r="AP1261" s="10"/>
      <c r="AQ1261" s="10"/>
      <c r="AR1261" s="19"/>
      <c r="AS1261" s="20"/>
      <c r="AT1261" s="19"/>
      <c r="AV1261" s="21">
        <f>IF(AND($AL1261&lt;&gt;"",COUNTIF($AL$11:$AL1261,$AL1261)=1),1,0)</f>
        <v>0</v>
      </c>
      <c r="AW1261" s="21">
        <f t="shared" si="125"/>
        <v>0</v>
      </c>
      <c r="AX1261" s="21" t="str">
        <f t="shared" si="124"/>
        <v/>
      </c>
      <c r="AY1261" s="21" t="str">
        <f>IF(AND($AM1261&lt;&gt;"",$AS1261&lt;&gt;"✓"),SUMPRODUCT(($AM$11:$AM1261&lt;&gt;"")*($AS$11:$AS1261&lt;&gt;"✓")),"")</f>
        <v/>
      </c>
      <c r="AZ1261" s="21" t="str">
        <f>IF(AND($AM1261&lt;&gt;"",$AS1261="✓"),SUMPRODUCT(($AM$11:$AM1261&lt;&gt;"")*($AS$11:$AS1261="✓")),"")</f>
        <v/>
      </c>
      <c r="BA1261" s="21" t="str">
        <f>IF($AL1261="","",$AL1261&amp;"|"&amp;COUNTIF($AL$11:$AL1261,$AL1261))</f>
        <v/>
      </c>
    </row>
    <row r="1262" spans="38:53" ht="15" customHeight="1" x14ac:dyDescent="0.25">
      <c r="AL1262" s="31"/>
      <c r="AM1262" s="26"/>
      <c r="AN1262" s="32"/>
      <c r="AO1262" s="32"/>
      <c r="AP1262" s="24"/>
      <c r="AQ1262" s="24"/>
      <c r="AR1262" s="33"/>
      <c r="AS1262" s="34"/>
      <c r="AT1262" s="33"/>
      <c r="AV1262" s="21">
        <f>IF(AND($AL1262&lt;&gt;"",COUNTIF($AL$11:$AL1262,$AL1262)=1),1,0)</f>
        <v>0</v>
      </c>
      <c r="AW1262" s="21">
        <f t="shared" si="125"/>
        <v>0</v>
      </c>
      <c r="AX1262" s="21" t="str">
        <f t="shared" si="124"/>
        <v/>
      </c>
      <c r="AY1262" s="21" t="str">
        <f>IF(AND($AM1262&lt;&gt;"",$AS1262&lt;&gt;"✓"),SUMPRODUCT(($AM$11:$AM1262&lt;&gt;"")*($AS$11:$AS1262&lt;&gt;"✓")),"")</f>
        <v/>
      </c>
      <c r="AZ1262" s="21" t="str">
        <f>IF(AND($AM1262&lt;&gt;"",$AS1262="✓"),SUMPRODUCT(($AM$11:$AM1262&lt;&gt;"")*($AS$11:$AS1262="✓")),"")</f>
        <v/>
      </c>
      <c r="BA1262" s="21" t="str">
        <f>IF($AL1262="","",$AL1262&amp;"|"&amp;COUNTIF($AL$11:$AL1262,$AL1262))</f>
        <v/>
      </c>
    </row>
    <row r="1263" spans="38:53" ht="15" customHeight="1" x14ac:dyDescent="0.25">
      <c r="AL1263" s="17"/>
      <c r="AM1263" s="12"/>
      <c r="AN1263" s="18"/>
      <c r="AO1263" s="18"/>
      <c r="AP1263" s="10"/>
      <c r="AQ1263" s="10"/>
      <c r="AR1263" s="19"/>
      <c r="AS1263" s="20"/>
      <c r="AT1263" s="19"/>
      <c r="AV1263" s="21">
        <f>IF(AND($AL1263&lt;&gt;"",COUNTIF($AL$11:$AL1263,$AL1263)=1),1,0)</f>
        <v>0</v>
      </c>
      <c r="AW1263" s="21">
        <f t="shared" si="125"/>
        <v>0</v>
      </c>
      <c r="AX1263" s="21" t="str">
        <f t="shared" si="124"/>
        <v/>
      </c>
      <c r="AY1263" s="21" t="str">
        <f>IF(AND($AM1263&lt;&gt;"",$AS1263&lt;&gt;"✓"),SUMPRODUCT(($AM$11:$AM1263&lt;&gt;"")*($AS$11:$AS1263&lt;&gt;"✓")),"")</f>
        <v/>
      </c>
      <c r="AZ1263" s="21" t="str">
        <f>IF(AND($AM1263&lt;&gt;"",$AS1263="✓"),SUMPRODUCT(($AM$11:$AM1263&lt;&gt;"")*($AS$11:$AS1263="✓")),"")</f>
        <v/>
      </c>
      <c r="BA1263" s="21" t="str">
        <f>IF($AL1263="","",$AL1263&amp;"|"&amp;COUNTIF($AL$11:$AL1263,$AL1263))</f>
        <v/>
      </c>
    </row>
    <row r="1264" spans="38:53" ht="15" customHeight="1" x14ac:dyDescent="0.25">
      <c r="AL1264" s="31"/>
      <c r="AM1264" s="26"/>
      <c r="AN1264" s="32"/>
      <c r="AO1264" s="32"/>
      <c r="AP1264" s="24"/>
      <c r="AQ1264" s="24"/>
      <c r="AR1264" s="33"/>
      <c r="AS1264" s="34"/>
      <c r="AT1264" s="33"/>
      <c r="AV1264" s="21">
        <f>IF(AND($AL1264&lt;&gt;"",COUNTIF($AL$11:$AL1264,$AL1264)=1),1,0)</f>
        <v>0</v>
      </c>
      <c r="AW1264" s="21">
        <f t="shared" si="125"/>
        <v>0</v>
      </c>
      <c r="AX1264" s="21" t="str">
        <f t="shared" si="124"/>
        <v/>
      </c>
      <c r="AY1264" s="21" t="str">
        <f>IF(AND($AM1264&lt;&gt;"",$AS1264&lt;&gt;"✓"),SUMPRODUCT(($AM$11:$AM1264&lt;&gt;"")*($AS$11:$AS1264&lt;&gt;"✓")),"")</f>
        <v/>
      </c>
      <c r="AZ1264" s="21" t="str">
        <f>IF(AND($AM1264&lt;&gt;"",$AS1264="✓"),SUMPRODUCT(($AM$11:$AM1264&lt;&gt;"")*($AS$11:$AS1264="✓")),"")</f>
        <v/>
      </c>
      <c r="BA1264" s="21" t="str">
        <f>IF($AL1264="","",$AL1264&amp;"|"&amp;COUNTIF($AL$11:$AL1264,$AL1264))</f>
        <v/>
      </c>
    </row>
    <row r="1265" spans="38:53" ht="15" customHeight="1" x14ac:dyDescent="0.25">
      <c r="AL1265" s="17"/>
      <c r="AM1265" s="12"/>
      <c r="AN1265" s="18"/>
      <c r="AO1265" s="18"/>
      <c r="AP1265" s="10"/>
      <c r="AQ1265" s="10"/>
      <c r="AR1265" s="19"/>
      <c r="AS1265" s="20"/>
      <c r="AT1265" s="19"/>
      <c r="AV1265" s="21">
        <f>IF(AND($AL1265&lt;&gt;"",COUNTIF($AL$11:$AL1265,$AL1265)=1),1,0)</f>
        <v>0</v>
      </c>
      <c r="AW1265" s="21">
        <f t="shared" si="125"/>
        <v>0</v>
      </c>
      <c r="AX1265" s="21" t="str">
        <f t="shared" si="124"/>
        <v/>
      </c>
      <c r="AY1265" s="21" t="str">
        <f>IF(AND($AM1265&lt;&gt;"",$AS1265&lt;&gt;"✓"),SUMPRODUCT(($AM$11:$AM1265&lt;&gt;"")*($AS$11:$AS1265&lt;&gt;"✓")),"")</f>
        <v/>
      </c>
      <c r="AZ1265" s="21" t="str">
        <f>IF(AND($AM1265&lt;&gt;"",$AS1265="✓"),SUMPRODUCT(($AM$11:$AM1265&lt;&gt;"")*($AS$11:$AS1265="✓")),"")</f>
        <v/>
      </c>
      <c r="BA1265" s="21" t="str">
        <f>IF($AL1265="","",$AL1265&amp;"|"&amp;COUNTIF($AL$11:$AL1265,$AL1265))</f>
        <v/>
      </c>
    </row>
    <row r="1266" spans="38:53" ht="15" customHeight="1" x14ac:dyDescent="0.25">
      <c r="AL1266" s="31"/>
      <c r="AM1266" s="26"/>
      <c r="AN1266" s="32"/>
      <c r="AO1266" s="32"/>
      <c r="AP1266" s="24"/>
      <c r="AQ1266" s="24"/>
      <c r="AR1266" s="33"/>
      <c r="AS1266" s="34"/>
      <c r="AT1266" s="33"/>
      <c r="AV1266" s="21">
        <f>IF(AND($AL1266&lt;&gt;"",COUNTIF($AL$11:$AL1266,$AL1266)=1),1,0)</f>
        <v>0</v>
      </c>
      <c r="AW1266" s="21">
        <f t="shared" si="125"/>
        <v>0</v>
      </c>
      <c r="AX1266" s="21" t="str">
        <f t="shared" si="124"/>
        <v/>
      </c>
      <c r="AY1266" s="21" t="str">
        <f>IF(AND($AM1266&lt;&gt;"",$AS1266&lt;&gt;"✓"),SUMPRODUCT(($AM$11:$AM1266&lt;&gt;"")*($AS$11:$AS1266&lt;&gt;"✓")),"")</f>
        <v/>
      </c>
      <c r="AZ1266" s="21" t="str">
        <f>IF(AND($AM1266&lt;&gt;"",$AS1266="✓"),SUMPRODUCT(($AM$11:$AM1266&lt;&gt;"")*($AS$11:$AS1266="✓")),"")</f>
        <v/>
      </c>
      <c r="BA1266" s="21" t="str">
        <f>IF($AL1266="","",$AL1266&amp;"|"&amp;COUNTIF($AL$11:$AL1266,$AL1266))</f>
        <v/>
      </c>
    </row>
    <row r="1267" spans="38:53" ht="15" customHeight="1" x14ac:dyDescent="0.25">
      <c r="AL1267" s="17"/>
      <c r="AM1267" s="12"/>
      <c r="AN1267" s="18"/>
      <c r="AO1267" s="18"/>
      <c r="AP1267" s="10"/>
      <c r="AQ1267" s="10"/>
      <c r="AR1267" s="19"/>
      <c r="AS1267" s="20"/>
      <c r="AT1267" s="19"/>
      <c r="AV1267" s="21">
        <f>IF(AND($AL1267&lt;&gt;"",COUNTIF($AL$11:$AL1267,$AL1267)=1),1,0)</f>
        <v>0</v>
      </c>
      <c r="AW1267" s="21">
        <f t="shared" si="125"/>
        <v>0</v>
      </c>
      <c r="AX1267" s="21" t="str">
        <f t="shared" si="124"/>
        <v/>
      </c>
      <c r="AY1267" s="21" t="str">
        <f>IF(AND($AM1267&lt;&gt;"",$AS1267&lt;&gt;"✓"),SUMPRODUCT(($AM$11:$AM1267&lt;&gt;"")*($AS$11:$AS1267&lt;&gt;"✓")),"")</f>
        <v/>
      </c>
      <c r="AZ1267" s="21" t="str">
        <f>IF(AND($AM1267&lt;&gt;"",$AS1267="✓"),SUMPRODUCT(($AM$11:$AM1267&lt;&gt;"")*($AS$11:$AS1267="✓")),"")</f>
        <v/>
      </c>
      <c r="BA1267" s="21" t="str">
        <f>IF($AL1267="","",$AL1267&amp;"|"&amp;COUNTIF($AL$11:$AL1267,$AL1267))</f>
        <v/>
      </c>
    </row>
    <row r="1268" spans="38:53" ht="15" customHeight="1" x14ac:dyDescent="0.25">
      <c r="AL1268" s="31"/>
      <c r="AM1268" s="26"/>
      <c r="AN1268" s="32"/>
      <c r="AO1268" s="32"/>
      <c r="AP1268" s="24"/>
      <c r="AQ1268" s="24"/>
      <c r="AR1268" s="33"/>
      <c r="AS1268" s="34"/>
      <c r="AT1268" s="33"/>
      <c r="AV1268" s="21">
        <f>IF(AND($AL1268&lt;&gt;"",COUNTIF($AL$11:$AL1268,$AL1268)=1),1,0)</f>
        <v>0</v>
      </c>
      <c r="AW1268" s="21">
        <f t="shared" si="125"/>
        <v>0</v>
      </c>
      <c r="AX1268" s="21" t="str">
        <f t="shared" si="124"/>
        <v/>
      </c>
      <c r="AY1268" s="21" t="str">
        <f>IF(AND($AM1268&lt;&gt;"",$AS1268&lt;&gt;"✓"),SUMPRODUCT(($AM$11:$AM1268&lt;&gt;"")*($AS$11:$AS1268&lt;&gt;"✓")),"")</f>
        <v/>
      </c>
      <c r="AZ1268" s="21" t="str">
        <f>IF(AND($AM1268&lt;&gt;"",$AS1268="✓"),SUMPRODUCT(($AM$11:$AM1268&lt;&gt;"")*($AS$11:$AS1268="✓")),"")</f>
        <v/>
      </c>
      <c r="BA1268" s="21" t="str">
        <f>IF($AL1268="","",$AL1268&amp;"|"&amp;COUNTIF($AL$11:$AL1268,$AL1268))</f>
        <v/>
      </c>
    </row>
    <row r="1269" spans="38:53" ht="15" customHeight="1" x14ac:dyDescent="0.25">
      <c r="AL1269" s="17"/>
      <c r="AM1269" s="12"/>
      <c r="AN1269" s="18"/>
      <c r="AO1269" s="18"/>
      <c r="AP1269" s="10"/>
      <c r="AQ1269" s="10"/>
      <c r="AR1269" s="19"/>
      <c r="AS1269" s="20"/>
      <c r="AT1269" s="19"/>
      <c r="AV1269" s="21">
        <f>IF(AND($AL1269&lt;&gt;"",COUNTIF($AL$11:$AL1269,$AL1269)=1),1,0)</f>
        <v>0</v>
      </c>
      <c r="AW1269" s="21">
        <f t="shared" si="125"/>
        <v>0</v>
      </c>
      <c r="AX1269" s="21" t="str">
        <f t="shared" si="124"/>
        <v/>
      </c>
      <c r="AY1269" s="21" t="str">
        <f>IF(AND($AM1269&lt;&gt;"",$AS1269&lt;&gt;"✓"),SUMPRODUCT(($AM$11:$AM1269&lt;&gt;"")*($AS$11:$AS1269&lt;&gt;"✓")),"")</f>
        <v/>
      </c>
      <c r="AZ1269" s="21" t="str">
        <f>IF(AND($AM1269&lt;&gt;"",$AS1269="✓"),SUMPRODUCT(($AM$11:$AM1269&lt;&gt;"")*($AS$11:$AS1269="✓")),"")</f>
        <v/>
      </c>
      <c r="BA1269" s="21" t="str">
        <f>IF($AL1269="","",$AL1269&amp;"|"&amp;COUNTIF($AL$11:$AL1269,$AL1269))</f>
        <v/>
      </c>
    </row>
    <row r="1270" spans="38:53" ht="15" customHeight="1" x14ac:dyDescent="0.25">
      <c r="AL1270" s="31"/>
      <c r="AM1270" s="26"/>
      <c r="AN1270" s="32"/>
      <c r="AO1270" s="32"/>
      <c r="AP1270" s="24"/>
      <c r="AQ1270" s="24"/>
      <c r="AR1270" s="33"/>
      <c r="AS1270" s="34"/>
      <c r="AT1270" s="33"/>
      <c r="AV1270" s="21">
        <f>IF(AND($AL1270&lt;&gt;"",COUNTIF($AL$11:$AL1270,$AL1270)=1),1,0)</f>
        <v>0</v>
      </c>
      <c r="AW1270" s="21">
        <f t="shared" si="125"/>
        <v>0</v>
      </c>
      <c r="AX1270" s="21" t="str">
        <f t="shared" si="124"/>
        <v/>
      </c>
      <c r="AY1270" s="21" t="str">
        <f>IF(AND($AM1270&lt;&gt;"",$AS1270&lt;&gt;"✓"),SUMPRODUCT(($AM$11:$AM1270&lt;&gt;"")*($AS$11:$AS1270&lt;&gt;"✓")),"")</f>
        <v/>
      </c>
      <c r="AZ1270" s="21" t="str">
        <f>IF(AND($AM1270&lt;&gt;"",$AS1270="✓"),SUMPRODUCT(($AM$11:$AM1270&lt;&gt;"")*($AS$11:$AS1270="✓")),"")</f>
        <v/>
      </c>
      <c r="BA1270" s="21" t="str">
        <f>IF($AL1270="","",$AL1270&amp;"|"&amp;COUNTIF($AL$11:$AL1270,$AL1270))</f>
        <v/>
      </c>
    </row>
    <row r="1271" spans="38:53" ht="15" customHeight="1" x14ac:dyDescent="0.25">
      <c r="AL1271" s="17"/>
      <c r="AM1271" s="12"/>
      <c r="AN1271" s="18"/>
      <c r="AO1271" s="18"/>
      <c r="AP1271" s="10"/>
      <c r="AQ1271" s="10"/>
      <c r="AR1271" s="19"/>
      <c r="AS1271" s="20"/>
      <c r="AT1271" s="19"/>
      <c r="AV1271" s="21">
        <f>IF(AND($AL1271&lt;&gt;"",COUNTIF($AL$11:$AL1271,$AL1271)=1),1,0)</f>
        <v>0</v>
      </c>
      <c r="AW1271" s="21">
        <f t="shared" si="125"/>
        <v>0</v>
      </c>
      <c r="AX1271" s="21" t="str">
        <f t="shared" si="124"/>
        <v/>
      </c>
      <c r="AY1271" s="21" t="str">
        <f>IF(AND($AM1271&lt;&gt;"",$AS1271&lt;&gt;"✓"),SUMPRODUCT(($AM$11:$AM1271&lt;&gt;"")*($AS$11:$AS1271&lt;&gt;"✓")),"")</f>
        <v/>
      </c>
      <c r="AZ1271" s="21" t="str">
        <f>IF(AND($AM1271&lt;&gt;"",$AS1271="✓"),SUMPRODUCT(($AM$11:$AM1271&lt;&gt;"")*($AS$11:$AS1271="✓")),"")</f>
        <v/>
      </c>
      <c r="BA1271" s="21" t="str">
        <f>IF($AL1271="","",$AL1271&amp;"|"&amp;COUNTIF($AL$11:$AL1271,$AL1271))</f>
        <v/>
      </c>
    </row>
    <row r="1272" spans="38:53" ht="15" customHeight="1" x14ac:dyDescent="0.25">
      <c r="AL1272" s="31"/>
      <c r="AM1272" s="26"/>
      <c r="AN1272" s="32"/>
      <c r="AO1272" s="32"/>
      <c r="AP1272" s="24"/>
      <c r="AQ1272" s="24"/>
      <c r="AR1272" s="33"/>
      <c r="AS1272" s="34"/>
      <c r="AT1272" s="33"/>
      <c r="AV1272" s="21">
        <f>IF(AND($AL1272&lt;&gt;"",COUNTIF($AL$11:$AL1272,$AL1272)=1),1,0)</f>
        <v>0</v>
      </c>
      <c r="AW1272" s="21">
        <f t="shared" si="125"/>
        <v>0</v>
      </c>
      <c r="AX1272" s="21" t="str">
        <f t="shared" si="124"/>
        <v/>
      </c>
      <c r="AY1272" s="21" t="str">
        <f>IF(AND($AM1272&lt;&gt;"",$AS1272&lt;&gt;"✓"),SUMPRODUCT(($AM$11:$AM1272&lt;&gt;"")*($AS$11:$AS1272&lt;&gt;"✓")),"")</f>
        <v/>
      </c>
      <c r="AZ1272" s="21" t="str">
        <f>IF(AND($AM1272&lt;&gt;"",$AS1272="✓"),SUMPRODUCT(($AM$11:$AM1272&lt;&gt;"")*($AS$11:$AS1272="✓")),"")</f>
        <v/>
      </c>
      <c r="BA1272" s="21" t="str">
        <f>IF($AL1272="","",$AL1272&amp;"|"&amp;COUNTIF($AL$11:$AL1272,$AL1272))</f>
        <v/>
      </c>
    </row>
    <row r="1273" spans="38:53" ht="15" customHeight="1" x14ac:dyDescent="0.25">
      <c r="AL1273" s="17"/>
      <c r="AM1273" s="12"/>
      <c r="AN1273" s="18"/>
      <c r="AO1273" s="18"/>
      <c r="AP1273" s="10"/>
      <c r="AQ1273" s="10"/>
      <c r="AR1273" s="19"/>
      <c r="AS1273" s="20"/>
      <c r="AT1273" s="19"/>
      <c r="AV1273" s="21">
        <f>IF(AND($AL1273&lt;&gt;"",COUNTIF($AL$11:$AL1273,$AL1273)=1),1,0)</f>
        <v>0</v>
      </c>
      <c r="AW1273" s="21">
        <f t="shared" si="125"/>
        <v>0</v>
      </c>
      <c r="AX1273" s="21" t="str">
        <f t="shared" si="124"/>
        <v/>
      </c>
      <c r="AY1273" s="21" t="str">
        <f>IF(AND($AM1273&lt;&gt;"",$AS1273&lt;&gt;"✓"),SUMPRODUCT(($AM$11:$AM1273&lt;&gt;"")*($AS$11:$AS1273&lt;&gt;"✓")),"")</f>
        <v/>
      </c>
      <c r="AZ1273" s="21" t="str">
        <f>IF(AND($AM1273&lt;&gt;"",$AS1273="✓"),SUMPRODUCT(($AM$11:$AM1273&lt;&gt;"")*($AS$11:$AS1273="✓")),"")</f>
        <v/>
      </c>
      <c r="BA1273" s="21" t="str">
        <f>IF($AL1273="","",$AL1273&amp;"|"&amp;COUNTIF($AL$11:$AL1273,$AL1273))</f>
        <v/>
      </c>
    </row>
    <row r="1274" spans="38:53" ht="15" customHeight="1" x14ac:dyDescent="0.25">
      <c r="AL1274" s="31"/>
      <c r="AM1274" s="26"/>
      <c r="AN1274" s="32"/>
      <c r="AO1274" s="32"/>
      <c r="AP1274" s="24"/>
      <c r="AQ1274" s="24"/>
      <c r="AR1274" s="33"/>
      <c r="AS1274" s="34"/>
      <c r="AT1274" s="33"/>
      <c r="AV1274" s="21">
        <f>IF(AND($AL1274&lt;&gt;"",COUNTIF($AL$11:$AL1274,$AL1274)=1),1,0)</f>
        <v>0</v>
      </c>
      <c r="AW1274" s="21">
        <f t="shared" si="125"/>
        <v>0</v>
      </c>
      <c r="AX1274" s="21" t="str">
        <f t="shared" si="124"/>
        <v/>
      </c>
      <c r="AY1274" s="21" t="str">
        <f>IF(AND($AM1274&lt;&gt;"",$AS1274&lt;&gt;"✓"),SUMPRODUCT(($AM$11:$AM1274&lt;&gt;"")*($AS$11:$AS1274&lt;&gt;"✓")),"")</f>
        <v/>
      </c>
      <c r="AZ1274" s="21" t="str">
        <f>IF(AND($AM1274&lt;&gt;"",$AS1274="✓"),SUMPRODUCT(($AM$11:$AM1274&lt;&gt;"")*($AS$11:$AS1274="✓")),"")</f>
        <v/>
      </c>
      <c r="BA1274" s="21" t="str">
        <f>IF($AL1274="","",$AL1274&amp;"|"&amp;COUNTIF($AL$11:$AL1274,$AL1274))</f>
        <v/>
      </c>
    </row>
    <row r="1275" spans="38:53" ht="15" customHeight="1" x14ac:dyDescent="0.25">
      <c r="AL1275" s="17"/>
      <c r="AM1275" s="12"/>
      <c r="AN1275" s="18"/>
      <c r="AO1275" s="18"/>
      <c r="AP1275" s="10"/>
      <c r="AQ1275" s="10"/>
      <c r="AR1275" s="19"/>
      <c r="AS1275" s="20"/>
      <c r="AT1275" s="19"/>
      <c r="AV1275" s="21">
        <f>IF(AND($AL1275&lt;&gt;"",COUNTIF($AL$11:$AL1275,$AL1275)=1),1,0)</f>
        <v>0</v>
      </c>
      <c r="AW1275" s="21">
        <f t="shared" si="125"/>
        <v>0</v>
      </c>
      <c r="AX1275" s="21" t="str">
        <f t="shared" si="124"/>
        <v/>
      </c>
      <c r="AY1275" s="21" t="str">
        <f>IF(AND($AM1275&lt;&gt;"",$AS1275&lt;&gt;"✓"),SUMPRODUCT(($AM$11:$AM1275&lt;&gt;"")*($AS$11:$AS1275&lt;&gt;"✓")),"")</f>
        <v/>
      </c>
      <c r="AZ1275" s="21" t="str">
        <f>IF(AND($AM1275&lt;&gt;"",$AS1275="✓"),SUMPRODUCT(($AM$11:$AM1275&lt;&gt;"")*($AS$11:$AS1275="✓")),"")</f>
        <v/>
      </c>
      <c r="BA1275" s="21" t="str">
        <f>IF($AL1275="","",$AL1275&amp;"|"&amp;COUNTIF($AL$11:$AL1275,$AL1275))</f>
        <v/>
      </c>
    </row>
    <row r="1276" spans="38:53" ht="15" customHeight="1" x14ac:dyDescent="0.25">
      <c r="AL1276" s="31"/>
      <c r="AM1276" s="26"/>
      <c r="AN1276" s="32"/>
      <c r="AO1276" s="32"/>
      <c r="AP1276" s="24"/>
      <c r="AQ1276" s="24"/>
      <c r="AR1276" s="33"/>
      <c r="AS1276" s="34"/>
      <c r="AT1276" s="33"/>
      <c r="AV1276" s="21">
        <f>IF(AND($AL1276&lt;&gt;"",COUNTIF($AL$11:$AL1276,$AL1276)=1),1,0)</f>
        <v>0</v>
      </c>
      <c r="AW1276" s="21">
        <f t="shared" si="125"/>
        <v>0</v>
      </c>
      <c r="AX1276" s="21" t="str">
        <f t="shared" si="124"/>
        <v/>
      </c>
      <c r="AY1276" s="21" t="str">
        <f>IF(AND($AM1276&lt;&gt;"",$AS1276&lt;&gt;"✓"),SUMPRODUCT(($AM$11:$AM1276&lt;&gt;"")*($AS$11:$AS1276&lt;&gt;"✓")),"")</f>
        <v/>
      </c>
      <c r="AZ1276" s="21" t="str">
        <f>IF(AND($AM1276&lt;&gt;"",$AS1276="✓"),SUMPRODUCT(($AM$11:$AM1276&lt;&gt;"")*($AS$11:$AS1276="✓")),"")</f>
        <v/>
      </c>
      <c r="BA1276" s="21" t="str">
        <f>IF($AL1276="","",$AL1276&amp;"|"&amp;COUNTIF($AL$11:$AL1276,$AL1276))</f>
        <v/>
      </c>
    </row>
    <row r="1277" spans="38:53" ht="15" customHeight="1" x14ac:dyDescent="0.25">
      <c r="AL1277" s="17"/>
      <c r="AM1277" s="12"/>
      <c r="AN1277" s="18"/>
      <c r="AO1277" s="18"/>
      <c r="AP1277" s="10"/>
      <c r="AQ1277" s="10"/>
      <c r="AR1277" s="19"/>
      <c r="AS1277" s="20"/>
      <c r="AT1277" s="19"/>
      <c r="AV1277" s="21">
        <f>IF(AND($AL1277&lt;&gt;"",COUNTIF($AL$11:$AL1277,$AL1277)=1),1,0)</f>
        <v>0</v>
      </c>
      <c r="AW1277" s="21">
        <f t="shared" si="125"/>
        <v>0</v>
      </c>
      <c r="AX1277" s="21" t="str">
        <f t="shared" si="124"/>
        <v/>
      </c>
      <c r="AY1277" s="21" t="str">
        <f>IF(AND($AM1277&lt;&gt;"",$AS1277&lt;&gt;"✓"),SUMPRODUCT(($AM$11:$AM1277&lt;&gt;"")*($AS$11:$AS1277&lt;&gt;"✓")),"")</f>
        <v/>
      </c>
      <c r="AZ1277" s="21" t="str">
        <f>IF(AND($AM1277&lt;&gt;"",$AS1277="✓"),SUMPRODUCT(($AM$11:$AM1277&lt;&gt;"")*($AS$11:$AS1277="✓")),"")</f>
        <v/>
      </c>
      <c r="BA1277" s="21" t="str">
        <f>IF($AL1277="","",$AL1277&amp;"|"&amp;COUNTIF($AL$11:$AL1277,$AL1277))</f>
        <v/>
      </c>
    </row>
    <row r="1278" spans="38:53" ht="15" customHeight="1" x14ac:dyDescent="0.25">
      <c r="AL1278" s="31"/>
      <c r="AM1278" s="26"/>
      <c r="AN1278" s="32"/>
      <c r="AO1278" s="32"/>
      <c r="AP1278" s="24"/>
      <c r="AQ1278" s="24"/>
      <c r="AR1278" s="33"/>
      <c r="AS1278" s="34"/>
      <c r="AT1278" s="33"/>
      <c r="AV1278" s="21">
        <f>IF(AND($AL1278&lt;&gt;"",COUNTIF($AL$11:$AL1278,$AL1278)=1),1,0)</f>
        <v>0</v>
      </c>
      <c r="AW1278" s="21">
        <f t="shared" si="125"/>
        <v>0</v>
      </c>
      <c r="AX1278" s="21" t="str">
        <f t="shared" si="124"/>
        <v/>
      </c>
      <c r="AY1278" s="21" t="str">
        <f>IF(AND($AM1278&lt;&gt;"",$AS1278&lt;&gt;"✓"),SUMPRODUCT(($AM$11:$AM1278&lt;&gt;"")*($AS$11:$AS1278&lt;&gt;"✓")),"")</f>
        <v/>
      </c>
      <c r="AZ1278" s="21" t="str">
        <f>IF(AND($AM1278&lt;&gt;"",$AS1278="✓"),SUMPRODUCT(($AM$11:$AM1278&lt;&gt;"")*($AS$11:$AS1278="✓")),"")</f>
        <v/>
      </c>
      <c r="BA1278" s="21" t="str">
        <f>IF($AL1278="","",$AL1278&amp;"|"&amp;COUNTIF($AL$11:$AL1278,$AL1278))</f>
        <v/>
      </c>
    </row>
    <row r="1279" spans="38:53" ht="15" customHeight="1" x14ac:dyDescent="0.25">
      <c r="AL1279" s="17"/>
      <c r="AM1279" s="12"/>
      <c r="AN1279" s="18"/>
      <c r="AO1279" s="18"/>
      <c r="AP1279" s="10"/>
      <c r="AQ1279" s="10"/>
      <c r="AR1279" s="19"/>
      <c r="AS1279" s="20"/>
      <c r="AT1279" s="19"/>
      <c r="AV1279" s="21">
        <f>IF(AND($AL1279&lt;&gt;"",COUNTIF($AL$11:$AL1279,$AL1279)=1),1,0)</f>
        <v>0</v>
      </c>
      <c r="AW1279" s="21">
        <f t="shared" si="125"/>
        <v>0</v>
      </c>
      <c r="AX1279" s="21" t="str">
        <f t="shared" si="124"/>
        <v/>
      </c>
      <c r="AY1279" s="21" t="str">
        <f>IF(AND($AM1279&lt;&gt;"",$AS1279&lt;&gt;"✓"),SUMPRODUCT(($AM$11:$AM1279&lt;&gt;"")*($AS$11:$AS1279&lt;&gt;"✓")),"")</f>
        <v/>
      </c>
      <c r="AZ1279" s="21" t="str">
        <f>IF(AND($AM1279&lt;&gt;"",$AS1279="✓"),SUMPRODUCT(($AM$11:$AM1279&lt;&gt;"")*($AS$11:$AS1279="✓")),"")</f>
        <v/>
      </c>
      <c r="BA1279" s="21" t="str">
        <f>IF($AL1279="","",$AL1279&amp;"|"&amp;COUNTIF($AL$11:$AL1279,$AL1279))</f>
        <v/>
      </c>
    </row>
    <row r="1280" spans="38:53" ht="15" customHeight="1" x14ac:dyDescent="0.25">
      <c r="AL1280" s="31"/>
      <c r="AM1280" s="26"/>
      <c r="AN1280" s="32"/>
      <c r="AO1280" s="32"/>
      <c r="AP1280" s="24"/>
      <c r="AQ1280" s="24"/>
      <c r="AR1280" s="33"/>
      <c r="AS1280" s="34"/>
      <c r="AT1280" s="33"/>
      <c r="AV1280" s="21">
        <f>IF(AND($AL1280&lt;&gt;"",COUNTIF($AL$11:$AL1280,$AL1280)=1),1,0)</f>
        <v>0</v>
      </c>
      <c r="AW1280" s="21">
        <f t="shared" si="125"/>
        <v>0</v>
      </c>
      <c r="AX1280" s="21" t="str">
        <f t="shared" si="124"/>
        <v/>
      </c>
      <c r="AY1280" s="21" t="str">
        <f>IF(AND($AM1280&lt;&gt;"",$AS1280&lt;&gt;"✓"),SUMPRODUCT(($AM$11:$AM1280&lt;&gt;"")*($AS$11:$AS1280&lt;&gt;"✓")),"")</f>
        <v/>
      </c>
      <c r="AZ1280" s="21" t="str">
        <f>IF(AND($AM1280&lt;&gt;"",$AS1280="✓"),SUMPRODUCT(($AM$11:$AM1280&lt;&gt;"")*($AS$11:$AS1280="✓")),"")</f>
        <v/>
      </c>
      <c r="BA1280" s="21" t="str">
        <f>IF($AL1280="","",$AL1280&amp;"|"&amp;COUNTIF($AL$11:$AL1280,$AL1280))</f>
        <v/>
      </c>
    </row>
    <row r="1281" spans="38:53" ht="15" customHeight="1" x14ac:dyDescent="0.25">
      <c r="AL1281" s="17"/>
      <c r="AM1281" s="12"/>
      <c r="AN1281" s="18"/>
      <c r="AO1281" s="18"/>
      <c r="AP1281" s="10"/>
      <c r="AQ1281" s="10"/>
      <c r="AR1281" s="19"/>
      <c r="AS1281" s="20"/>
      <c r="AT1281" s="19"/>
      <c r="AV1281" s="21">
        <f>IF(AND($AL1281&lt;&gt;"",COUNTIF($AL$11:$AL1281,$AL1281)=1),1,0)</f>
        <v>0</v>
      </c>
      <c r="AW1281" s="21">
        <f t="shared" si="125"/>
        <v>0</v>
      </c>
      <c r="AX1281" s="21" t="str">
        <f t="shared" si="124"/>
        <v/>
      </c>
      <c r="AY1281" s="21" t="str">
        <f>IF(AND($AM1281&lt;&gt;"",$AS1281&lt;&gt;"✓"),SUMPRODUCT(($AM$11:$AM1281&lt;&gt;"")*($AS$11:$AS1281&lt;&gt;"✓")),"")</f>
        <v/>
      </c>
      <c r="AZ1281" s="21" t="str">
        <f>IF(AND($AM1281&lt;&gt;"",$AS1281="✓"),SUMPRODUCT(($AM$11:$AM1281&lt;&gt;"")*($AS$11:$AS1281="✓")),"")</f>
        <v/>
      </c>
      <c r="BA1281" s="21" t="str">
        <f>IF($AL1281="","",$AL1281&amp;"|"&amp;COUNTIF($AL$11:$AL1281,$AL1281))</f>
        <v/>
      </c>
    </row>
    <row r="1282" spans="38:53" ht="15" customHeight="1" x14ac:dyDescent="0.25">
      <c r="AL1282" s="31"/>
      <c r="AM1282" s="26"/>
      <c r="AN1282" s="32"/>
      <c r="AO1282" s="32"/>
      <c r="AP1282" s="24"/>
      <c r="AQ1282" s="24"/>
      <c r="AR1282" s="33"/>
      <c r="AS1282" s="34"/>
      <c r="AT1282" s="33"/>
      <c r="AV1282" s="21">
        <f>IF(AND($AL1282&lt;&gt;"",COUNTIF($AL$11:$AL1282,$AL1282)=1),1,0)</f>
        <v>0</v>
      </c>
      <c r="AW1282" s="21">
        <f t="shared" si="125"/>
        <v>0</v>
      </c>
      <c r="AX1282" s="21" t="str">
        <f t="shared" si="124"/>
        <v/>
      </c>
      <c r="AY1282" s="21" t="str">
        <f>IF(AND($AM1282&lt;&gt;"",$AS1282&lt;&gt;"✓"),SUMPRODUCT(($AM$11:$AM1282&lt;&gt;"")*($AS$11:$AS1282&lt;&gt;"✓")),"")</f>
        <v/>
      </c>
      <c r="AZ1282" s="21" t="str">
        <f>IF(AND($AM1282&lt;&gt;"",$AS1282="✓"),SUMPRODUCT(($AM$11:$AM1282&lt;&gt;"")*($AS$11:$AS1282="✓")),"")</f>
        <v/>
      </c>
      <c r="BA1282" s="21" t="str">
        <f>IF($AL1282="","",$AL1282&amp;"|"&amp;COUNTIF($AL$11:$AL1282,$AL1282))</f>
        <v/>
      </c>
    </row>
    <row r="1283" spans="38:53" ht="15" customHeight="1" x14ac:dyDescent="0.25">
      <c r="AL1283" s="17"/>
      <c r="AM1283" s="12"/>
      <c r="AN1283" s="18"/>
      <c r="AO1283" s="18"/>
      <c r="AP1283" s="10"/>
      <c r="AQ1283" s="10"/>
      <c r="AR1283" s="19"/>
      <c r="AS1283" s="20"/>
      <c r="AT1283" s="19"/>
      <c r="AV1283" s="21">
        <f>IF(AND($AL1283&lt;&gt;"",COUNTIF($AL$11:$AL1283,$AL1283)=1),1,0)</f>
        <v>0</v>
      </c>
      <c r="AW1283" s="21">
        <f t="shared" si="125"/>
        <v>0</v>
      </c>
      <c r="AX1283" s="21" t="str">
        <f t="shared" si="124"/>
        <v/>
      </c>
      <c r="AY1283" s="21" t="str">
        <f>IF(AND($AM1283&lt;&gt;"",$AS1283&lt;&gt;"✓"),SUMPRODUCT(($AM$11:$AM1283&lt;&gt;"")*($AS$11:$AS1283&lt;&gt;"✓")),"")</f>
        <v/>
      </c>
      <c r="AZ1283" s="21" t="str">
        <f>IF(AND($AM1283&lt;&gt;"",$AS1283="✓"),SUMPRODUCT(($AM$11:$AM1283&lt;&gt;"")*($AS$11:$AS1283="✓")),"")</f>
        <v/>
      </c>
      <c r="BA1283" s="21" t="str">
        <f>IF($AL1283="","",$AL1283&amp;"|"&amp;COUNTIF($AL$11:$AL1283,$AL1283))</f>
        <v/>
      </c>
    </row>
    <row r="1284" spans="38:53" ht="15" customHeight="1" x14ac:dyDescent="0.25">
      <c r="AL1284" s="31"/>
      <c r="AM1284" s="26"/>
      <c r="AN1284" s="32"/>
      <c r="AO1284" s="32"/>
      <c r="AP1284" s="24"/>
      <c r="AQ1284" s="24"/>
      <c r="AR1284" s="33"/>
      <c r="AS1284" s="34"/>
      <c r="AT1284" s="33"/>
      <c r="AV1284" s="21">
        <f>IF(AND($AL1284&lt;&gt;"",COUNTIF($AL$11:$AL1284,$AL1284)=1),1,0)</f>
        <v>0</v>
      </c>
      <c r="AW1284" s="21">
        <f t="shared" si="125"/>
        <v>0</v>
      </c>
      <c r="AX1284" s="21" t="str">
        <f t="shared" si="124"/>
        <v/>
      </c>
      <c r="AY1284" s="21" t="str">
        <f>IF(AND($AM1284&lt;&gt;"",$AS1284&lt;&gt;"✓"),SUMPRODUCT(($AM$11:$AM1284&lt;&gt;"")*($AS$11:$AS1284&lt;&gt;"✓")),"")</f>
        <v/>
      </c>
      <c r="AZ1284" s="21" t="str">
        <f>IF(AND($AM1284&lt;&gt;"",$AS1284="✓"),SUMPRODUCT(($AM$11:$AM1284&lt;&gt;"")*($AS$11:$AS1284="✓")),"")</f>
        <v/>
      </c>
      <c r="BA1284" s="21" t="str">
        <f>IF($AL1284="","",$AL1284&amp;"|"&amp;COUNTIF($AL$11:$AL1284,$AL1284))</f>
        <v/>
      </c>
    </row>
    <row r="1285" spans="38:53" ht="15" customHeight="1" x14ac:dyDescent="0.25">
      <c r="AL1285" s="17"/>
      <c r="AM1285" s="12"/>
      <c r="AN1285" s="18"/>
      <c r="AO1285" s="18"/>
      <c r="AP1285" s="10"/>
      <c r="AQ1285" s="10"/>
      <c r="AR1285" s="19"/>
      <c r="AS1285" s="20"/>
      <c r="AT1285" s="19"/>
      <c r="AV1285" s="21">
        <f>IF(AND($AL1285&lt;&gt;"",COUNTIF($AL$11:$AL1285,$AL1285)=1),1,0)</f>
        <v>0</v>
      </c>
      <c r="AW1285" s="21">
        <f t="shared" si="125"/>
        <v>0</v>
      </c>
      <c r="AX1285" s="21" t="str">
        <f t="shared" si="124"/>
        <v/>
      </c>
      <c r="AY1285" s="21" t="str">
        <f>IF(AND($AM1285&lt;&gt;"",$AS1285&lt;&gt;"✓"),SUMPRODUCT(($AM$11:$AM1285&lt;&gt;"")*($AS$11:$AS1285&lt;&gt;"✓")),"")</f>
        <v/>
      </c>
      <c r="AZ1285" s="21" t="str">
        <f>IF(AND($AM1285&lt;&gt;"",$AS1285="✓"),SUMPRODUCT(($AM$11:$AM1285&lt;&gt;"")*($AS$11:$AS1285="✓")),"")</f>
        <v/>
      </c>
      <c r="BA1285" s="21" t="str">
        <f>IF($AL1285="","",$AL1285&amp;"|"&amp;COUNTIF($AL$11:$AL1285,$AL1285))</f>
        <v/>
      </c>
    </row>
    <row r="1286" spans="38:53" ht="15" customHeight="1" x14ac:dyDescent="0.25">
      <c r="AL1286" s="31"/>
      <c r="AM1286" s="26"/>
      <c r="AN1286" s="32"/>
      <c r="AO1286" s="32"/>
      <c r="AP1286" s="24"/>
      <c r="AQ1286" s="24"/>
      <c r="AR1286" s="33"/>
      <c r="AS1286" s="34"/>
      <c r="AT1286" s="33"/>
      <c r="AV1286" s="21">
        <f>IF(AND($AL1286&lt;&gt;"",COUNTIF($AL$11:$AL1286,$AL1286)=1),1,0)</f>
        <v>0</v>
      </c>
      <c r="AW1286" s="21">
        <f t="shared" si="125"/>
        <v>0</v>
      </c>
      <c r="AX1286" s="21" t="str">
        <f t="shared" si="124"/>
        <v/>
      </c>
      <c r="AY1286" s="21" t="str">
        <f>IF(AND($AM1286&lt;&gt;"",$AS1286&lt;&gt;"✓"),SUMPRODUCT(($AM$11:$AM1286&lt;&gt;"")*($AS$11:$AS1286&lt;&gt;"✓")),"")</f>
        <v/>
      </c>
      <c r="AZ1286" s="21" t="str">
        <f>IF(AND($AM1286&lt;&gt;"",$AS1286="✓"),SUMPRODUCT(($AM$11:$AM1286&lt;&gt;"")*($AS$11:$AS1286="✓")),"")</f>
        <v/>
      </c>
      <c r="BA1286" s="21" t="str">
        <f>IF($AL1286="","",$AL1286&amp;"|"&amp;COUNTIF($AL$11:$AL1286,$AL1286))</f>
        <v/>
      </c>
    </row>
    <row r="1287" spans="38:53" ht="15" customHeight="1" x14ac:dyDescent="0.25">
      <c r="AL1287" s="17"/>
      <c r="AM1287" s="12"/>
      <c r="AN1287" s="18"/>
      <c r="AO1287" s="18"/>
      <c r="AP1287" s="10"/>
      <c r="AQ1287" s="10"/>
      <c r="AR1287" s="19"/>
      <c r="AS1287" s="20"/>
      <c r="AT1287" s="19"/>
      <c r="AV1287" s="21">
        <f>IF(AND($AL1287&lt;&gt;"",COUNTIF($AL$11:$AL1287,$AL1287)=1),1,0)</f>
        <v>0</v>
      </c>
      <c r="AW1287" s="21">
        <f t="shared" si="125"/>
        <v>0</v>
      </c>
      <c r="AX1287" s="21" t="str">
        <f t="shared" si="124"/>
        <v/>
      </c>
      <c r="AY1287" s="21" t="str">
        <f>IF(AND($AM1287&lt;&gt;"",$AS1287&lt;&gt;"✓"),SUMPRODUCT(($AM$11:$AM1287&lt;&gt;"")*($AS$11:$AS1287&lt;&gt;"✓")),"")</f>
        <v/>
      </c>
      <c r="AZ1287" s="21" t="str">
        <f>IF(AND($AM1287&lt;&gt;"",$AS1287="✓"),SUMPRODUCT(($AM$11:$AM1287&lt;&gt;"")*($AS$11:$AS1287="✓")),"")</f>
        <v/>
      </c>
      <c r="BA1287" s="21" t="str">
        <f>IF($AL1287="","",$AL1287&amp;"|"&amp;COUNTIF($AL$11:$AL1287,$AL1287))</f>
        <v/>
      </c>
    </row>
    <row r="1288" spans="38:53" ht="15" customHeight="1" x14ac:dyDescent="0.25">
      <c r="AL1288" s="31"/>
      <c r="AM1288" s="26"/>
      <c r="AN1288" s="32"/>
      <c r="AO1288" s="32"/>
      <c r="AP1288" s="24"/>
      <c r="AQ1288" s="24"/>
      <c r="AR1288" s="33"/>
      <c r="AS1288" s="34"/>
      <c r="AT1288" s="33"/>
      <c r="AV1288" s="21">
        <f>IF(AND($AL1288&lt;&gt;"",COUNTIF($AL$11:$AL1288,$AL1288)=1),1,0)</f>
        <v>0</v>
      </c>
      <c r="AW1288" s="21">
        <f t="shared" si="125"/>
        <v>0</v>
      </c>
      <c r="AX1288" s="21" t="str">
        <f t="shared" si="124"/>
        <v/>
      </c>
      <c r="AY1288" s="21" t="str">
        <f>IF(AND($AM1288&lt;&gt;"",$AS1288&lt;&gt;"✓"),SUMPRODUCT(($AM$11:$AM1288&lt;&gt;"")*($AS$11:$AS1288&lt;&gt;"✓")),"")</f>
        <v/>
      </c>
      <c r="AZ1288" s="21" t="str">
        <f>IF(AND($AM1288&lt;&gt;"",$AS1288="✓"),SUMPRODUCT(($AM$11:$AM1288&lt;&gt;"")*($AS$11:$AS1288="✓")),"")</f>
        <v/>
      </c>
      <c r="BA1288" s="21" t="str">
        <f>IF($AL1288="","",$AL1288&amp;"|"&amp;COUNTIF($AL$11:$AL1288,$AL1288))</f>
        <v/>
      </c>
    </row>
    <row r="1289" spans="38:53" ht="15" customHeight="1" x14ac:dyDescent="0.25">
      <c r="AL1289" s="17"/>
      <c r="AM1289" s="12"/>
      <c r="AN1289" s="18"/>
      <c r="AO1289" s="18"/>
      <c r="AP1289" s="10"/>
      <c r="AQ1289" s="10"/>
      <c r="AR1289" s="19"/>
      <c r="AS1289" s="20"/>
      <c r="AT1289" s="19"/>
      <c r="AV1289" s="21">
        <f>IF(AND($AL1289&lt;&gt;"",COUNTIF($AL$11:$AL1289,$AL1289)=1),1,0)</f>
        <v>0</v>
      </c>
      <c r="AW1289" s="21">
        <f t="shared" si="125"/>
        <v>0</v>
      </c>
      <c r="AX1289" s="21" t="str">
        <f t="shared" si="124"/>
        <v/>
      </c>
      <c r="AY1289" s="21" t="str">
        <f>IF(AND($AM1289&lt;&gt;"",$AS1289&lt;&gt;"✓"),SUMPRODUCT(($AM$11:$AM1289&lt;&gt;"")*($AS$11:$AS1289&lt;&gt;"✓")),"")</f>
        <v/>
      </c>
      <c r="AZ1289" s="21" t="str">
        <f>IF(AND($AM1289&lt;&gt;"",$AS1289="✓"),SUMPRODUCT(($AM$11:$AM1289&lt;&gt;"")*($AS$11:$AS1289="✓")),"")</f>
        <v/>
      </c>
      <c r="BA1289" s="21" t="str">
        <f>IF($AL1289="","",$AL1289&amp;"|"&amp;COUNTIF($AL$11:$AL1289,$AL1289))</f>
        <v/>
      </c>
    </row>
    <row r="1290" spans="38:53" ht="15" customHeight="1" x14ac:dyDescent="0.25">
      <c r="AL1290" s="31"/>
      <c r="AM1290" s="26"/>
      <c r="AN1290" s="32"/>
      <c r="AO1290" s="32"/>
      <c r="AP1290" s="24"/>
      <c r="AQ1290" s="24"/>
      <c r="AR1290" s="33"/>
      <c r="AS1290" s="34"/>
      <c r="AT1290" s="33"/>
      <c r="AV1290" s="21">
        <f>IF(AND($AL1290&lt;&gt;"",COUNTIF($AL$11:$AL1290,$AL1290)=1),1,0)</f>
        <v>0</v>
      </c>
      <c r="AW1290" s="21">
        <f t="shared" si="125"/>
        <v>0</v>
      </c>
      <c r="AX1290" s="21" t="str">
        <f t="shared" si="124"/>
        <v/>
      </c>
      <c r="AY1290" s="21" t="str">
        <f>IF(AND($AM1290&lt;&gt;"",$AS1290&lt;&gt;"✓"),SUMPRODUCT(($AM$11:$AM1290&lt;&gt;"")*($AS$11:$AS1290&lt;&gt;"✓")),"")</f>
        <v/>
      </c>
      <c r="AZ1290" s="21" t="str">
        <f>IF(AND($AM1290&lt;&gt;"",$AS1290="✓"),SUMPRODUCT(($AM$11:$AM1290&lt;&gt;"")*($AS$11:$AS1290="✓")),"")</f>
        <v/>
      </c>
      <c r="BA1290" s="21" t="str">
        <f>IF($AL1290="","",$AL1290&amp;"|"&amp;COUNTIF($AL$11:$AL1290,$AL1290))</f>
        <v/>
      </c>
    </row>
    <row r="1291" spans="38:53" ht="15" customHeight="1" x14ac:dyDescent="0.25">
      <c r="AL1291" s="17"/>
      <c r="AM1291" s="12"/>
      <c r="AN1291" s="18"/>
      <c r="AO1291" s="18"/>
      <c r="AP1291" s="10"/>
      <c r="AQ1291" s="10"/>
      <c r="AR1291" s="19"/>
      <c r="AS1291" s="20"/>
      <c r="AT1291" s="19"/>
      <c r="AV1291" s="21">
        <f>IF(AND($AL1291&lt;&gt;"",COUNTIF($AL$11:$AL1291,$AL1291)=1),1,0)</f>
        <v>0</v>
      </c>
      <c r="AW1291" s="21">
        <f t="shared" si="125"/>
        <v>0</v>
      </c>
      <c r="AX1291" s="21" t="str">
        <f t="shared" ref="AX1291:AX1354" si="126">IF(AV1291=1,AW1291,"")</f>
        <v/>
      </c>
      <c r="AY1291" s="21" t="str">
        <f>IF(AND($AM1291&lt;&gt;"",$AS1291&lt;&gt;"✓"),SUMPRODUCT(($AM$11:$AM1291&lt;&gt;"")*($AS$11:$AS1291&lt;&gt;"✓")),"")</f>
        <v/>
      </c>
      <c r="AZ1291" s="21" t="str">
        <f>IF(AND($AM1291&lt;&gt;"",$AS1291="✓"),SUMPRODUCT(($AM$11:$AM1291&lt;&gt;"")*($AS$11:$AS1291="✓")),"")</f>
        <v/>
      </c>
      <c r="BA1291" s="21" t="str">
        <f>IF($AL1291="","",$AL1291&amp;"|"&amp;COUNTIF($AL$11:$AL1291,$AL1291))</f>
        <v/>
      </c>
    </row>
    <row r="1292" spans="38:53" ht="15" customHeight="1" x14ac:dyDescent="0.25">
      <c r="AL1292" s="31"/>
      <c r="AM1292" s="26"/>
      <c r="AN1292" s="32"/>
      <c r="AO1292" s="32"/>
      <c r="AP1292" s="24"/>
      <c r="AQ1292" s="24"/>
      <c r="AR1292" s="33"/>
      <c r="AS1292" s="34"/>
      <c r="AT1292" s="33"/>
      <c r="AV1292" s="21">
        <f>IF(AND($AL1292&lt;&gt;"",COUNTIF($AL$11:$AL1292,$AL1292)=1),1,0)</f>
        <v>0</v>
      </c>
      <c r="AW1292" s="21">
        <f t="shared" ref="AW1292:AW1355" si="127">AW1291+AV1292</f>
        <v>0</v>
      </c>
      <c r="AX1292" s="21" t="str">
        <f t="shared" si="126"/>
        <v/>
      </c>
      <c r="AY1292" s="21" t="str">
        <f>IF(AND($AM1292&lt;&gt;"",$AS1292&lt;&gt;"✓"),SUMPRODUCT(($AM$11:$AM1292&lt;&gt;"")*($AS$11:$AS1292&lt;&gt;"✓")),"")</f>
        <v/>
      </c>
      <c r="AZ1292" s="21" t="str">
        <f>IF(AND($AM1292&lt;&gt;"",$AS1292="✓"),SUMPRODUCT(($AM$11:$AM1292&lt;&gt;"")*($AS$11:$AS1292="✓")),"")</f>
        <v/>
      </c>
      <c r="BA1292" s="21" t="str">
        <f>IF($AL1292="","",$AL1292&amp;"|"&amp;COUNTIF($AL$11:$AL1292,$AL1292))</f>
        <v/>
      </c>
    </row>
    <row r="1293" spans="38:53" ht="15" customHeight="1" x14ac:dyDescent="0.25">
      <c r="AL1293" s="17"/>
      <c r="AM1293" s="12"/>
      <c r="AN1293" s="18"/>
      <c r="AO1293" s="18"/>
      <c r="AP1293" s="10"/>
      <c r="AQ1293" s="10"/>
      <c r="AR1293" s="19"/>
      <c r="AS1293" s="20"/>
      <c r="AT1293" s="19"/>
      <c r="AV1293" s="21">
        <f>IF(AND($AL1293&lt;&gt;"",COUNTIF($AL$11:$AL1293,$AL1293)=1),1,0)</f>
        <v>0</v>
      </c>
      <c r="AW1293" s="21">
        <f t="shared" si="127"/>
        <v>0</v>
      </c>
      <c r="AX1293" s="21" t="str">
        <f t="shared" si="126"/>
        <v/>
      </c>
      <c r="AY1293" s="21" t="str">
        <f>IF(AND($AM1293&lt;&gt;"",$AS1293&lt;&gt;"✓"),SUMPRODUCT(($AM$11:$AM1293&lt;&gt;"")*($AS$11:$AS1293&lt;&gt;"✓")),"")</f>
        <v/>
      </c>
      <c r="AZ1293" s="21" t="str">
        <f>IF(AND($AM1293&lt;&gt;"",$AS1293="✓"),SUMPRODUCT(($AM$11:$AM1293&lt;&gt;"")*($AS$11:$AS1293="✓")),"")</f>
        <v/>
      </c>
      <c r="BA1293" s="21" t="str">
        <f>IF($AL1293="","",$AL1293&amp;"|"&amp;COUNTIF($AL$11:$AL1293,$AL1293))</f>
        <v/>
      </c>
    </row>
    <row r="1294" spans="38:53" ht="15" customHeight="1" x14ac:dyDescent="0.25">
      <c r="AL1294" s="31"/>
      <c r="AM1294" s="26"/>
      <c r="AN1294" s="32"/>
      <c r="AO1294" s="32"/>
      <c r="AP1294" s="24"/>
      <c r="AQ1294" s="24"/>
      <c r="AR1294" s="33"/>
      <c r="AS1294" s="34"/>
      <c r="AT1294" s="33"/>
      <c r="AV1294" s="21">
        <f>IF(AND($AL1294&lt;&gt;"",COUNTIF($AL$11:$AL1294,$AL1294)=1),1,0)</f>
        <v>0</v>
      </c>
      <c r="AW1294" s="21">
        <f t="shared" si="127"/>
        <v>0</v>
      </c>
      <c r="AX1294" s="21" t="str">
        <f t="shared" si="126"/>
        <v/>
      </c>
      <c r="AY1294" s="21" t="str">
        <f>IF(AND($AM1294&lt;&gt;"",$AS1294&lt;&gt;"✓"),SUMPRODUCT(($AM$11:$AM1294&lt;&gt;"")*($AS$11:$AS1294&lt;&gt;"✓")),"")</f>
        <v/>
      </c>
      <c r="AZ1294" s="21" t="str">
        <f>IF(AND($AM1294&lt;&gt;"",$AS1294="✓"),SUMPRODUCT(($AM$11:$AM1294&lt;&gt;"")*($AS$11:$AS1294="✓")),"")</f>
        <v/>
      </c>
      <c r="BA1294" s="21" t="str">
        <f>IF($AL1294="","",$AL1294&amp;"|"&amp;COUNTIF($AL$11:$AL1294,$AL1294))</f>
        <v/>
      </c>
    </row>
    <row r="1295" spans="38:53" ht="15" customHeight="1" x14ac:dyDescent="0.25">
      <c r="AL1295" s="17"/>
      <c r="AM1295" s="12"/>
      <c r="AN1295" s="18"/>
      <c r="AO1295" s="18"/>
      <c r="AP1295" s="10"/>
      <c r="AQ1295" s="10"/>
      <c r="AR1295" s="19"/>
      <c r="AS1295" s="20"/>
      <c r="AT1295" s="19"/>
      <c r="AV1295" s="21">
        <f>IF(AND($AL1295&lt;&gt;"",COUNTIF($AL$11:$AL1295,$AL1295)=1),1,0)</f>
        <v>0</v>
      </c>
      <c r="AW1295" s="21">
        <f t="shared" si="127"/>
        <v>0</v>
      </c>
      <c r="AX1295" s="21" t="str">
        <f t="shared" si="126"/>
        <v/>
      </c>
      <c r="AY1295" s="21" t="str">
        <f>IF(AND($AM1295&lt;&gt;"",$AS1295&lt;&gt;"✓"),SUMPRODUCT(($AM$11:$AM1295&lt;&gt;"")*($AS$11:$AS1295&lt;&gt;"✓")),"")</f>
        <v/>
      </c>
      <c r="AZ1295" s="21" t="str">
        <f>IF(AND($AM1295&lt;&gt;"",$AS1295="✓"),SUMPRODUCT(($AM$11:$AM1295&lt;&gt;"")*($AS$11:$AS1295="✓")),"")</f>
        <v/>
      </c>
      <c r="BA1295" s="21" t="str">
        <f>IF($AL1295="","",$AL1295&amp;"|"&amp;COUNTIF($AL$11:$AL1295,$AL1295))</f>
        <v/>
      </c>
    </row>
    <row r="1296" spans="38:53" ht="15" customHeight="1" x14ac:dyDescent="0.25">
      <c r="AL1296" s="31"/>
      <c r="AM1296" s="26"/>
      <c r="AN1296" s="32"/>
      <c r="AO1296" s="32"/>
      <c r="AP1296" s="24"/>
      <c r="AQ1296" s="24"/>
      <c r="AR1296" s="33"/>
      <c r="AS1296" s="34"/>
      <c r="AT1296" s="33"/>
      <c r="AV1296" s="21">
        <f>IF(AND($AL1296&lt;&gt;"",COUNTIF($AL$11:$AL1296,$AL1296)=1),1,0)</f>
        <v>0</v>
      </c>
      <c r="AW1296" s="21">
        <f t="shared" si="127"/>
        <v>0</v>
      </c>
      <c r="AX1296" s="21" t="str">
        <f t="shared" si="126"/>
        <v/>
      </c>
      <c r="AY1296" s="21" t="str">
        <f>IF(AND($AM1296&lt;&gt;"",$AS1296&lt;&gt;"✓"),SUMPRODUCT(($AM$11:$AM1296&lt;&gt;"")*($AS$11:$AS1296&lt;&gt;"✓")),"")</f>
        <v/>
      </c>
      <c r="AZ1296" s="21" t="str">
        <f>IF(AND($AM1296&lt;&gt;"",$AS1296="✓"),SUMPRODUCT(($AM$11:$AM1296&lt;&gt;"")*($AS$11:$AS1296="✓")),"")</f>
        <v/>
      </c>
      <c r="BA1296" s="21" t="str">
        <f>IF($AL1296="","",$AL1296&amp;"|"&amp;COUNTIF($AL$11:$AL1296,$AL1296))</f>
        <v/>
      </c>
    </row>
    <row r="1297" spans="38:53" ht="15" customHeight="1" x14ac:dyDescent="0.25">
      <c r="AL1297" s="17"/>
      <c r="AM1297" s="12"/>
      <c r="AN1297" s="18"/>
      <c r="AO1297" s="18"/>
      <c r="AP1297" s="10"/>
      <c r="AQ1297" s="10"/>
      <c r="AR1297" s="19"/>
      <c r="AS1297" s="20"/>
      <c r="AT1297" s="19"/>
      <c r="AV1297" s="21">
        <f>IF(AND($AL1297&lt;&gt;"",COUNTIF($AL$11:$AL1297,$AL1297)=1),1,0)</f>
        <v>0</v>
      </c>
      <c r="AW1297" s="21">
        <f t="shared" si="127"/>
        <v>0</v>
      </c>
      <c r="AX1297" s="21" t="str">
        <f t="shared" si="126"/>
        <v/>
      </c>
      <c r="AY1297" s="21" t="str">
        <f>IF(AND($AM1297&lt;&gt;"",$AS1297&lt;&gt;"✓"),SUMPRODUCT(($AM$11:$AM1297&lt;&gt;"")*($AS$11:$AS1297&lt;&gt;"✓")),"")</f>
        <v/>
      </c>
      <c r="AZ1297" s="21" t="str">
        <f>IF(AND($AM1297&lt;&gt;"",$AS1297="✓"),SUMPRODUCT(($AM$11:$AM1297&lt;&gt;"")*($AS$11:$AS1297="✓")),"")</f>
        <v/>
      </c>
      <c r="BA1297" s="21" t="str">
        <f>IF($AL1297="","",$AL1297&amp;"|"&amp;COUNTIF($AL$11:$AL1297,$AL1297))</f>
        <v/>
      </c>
    </row>
    <row r="1298" spans="38:53" ht="15" customHeight="1" x14ac:dyDescent="0.25">
      <c r="AL1298" s="31"/>
      <c r="AM1298" s="26"/>
      <c r="AN1298" s="32"/>
      <c r="AO1298" s="32"/>
      <c r="AP1298" s="24"/>
      <c r="AQ1298" s="24"/>
      <c r="AR1298" s="33"/>
      <c r="AS1298" s="34"/>
      <c r="AT1298" s="33"/>
      <c r="AV1298" s="21">
        <f>IF(AND($AL1298&lt;&gt;"",COUNTIF($AL$11:$AL1298,$AL1298)=1),1,0)</f>
        <v>0</v>
      </c>
      <c r="AW1298" s="21">
        <f t="shared" si="127"/>
        <v>0</v>
      </c>
      <c r="AX1298" s="21" t="str">
        <f t="shared" si="126"/>
        <v/>
      </c>
      <c r="AY1298" s="21" t="str">
        <f>IF(AND($AM1298&lt;&gt;"",$AS1298&lt;&gt;"✓"),SUMPRODUCT(($AM$11:$AM1298&lt;&gt;"")*($AS$11:$AS1298&lt;&gt;"✓")),"")</f>
        <v/>
      </c>
      <c r="AZ1298" s="21" t="str">
        <f>IF(AND($AM1298&lt;&gt;"",$AS1298="✓"),SUMPRODUCT(($AM$11:$AM1298&lt;&gt;"")*($AS$11:$AS1298="✓")),"")</f>
        <v/>
      </c>
      <c r="BA1298" s="21" t="str">
        <f>IF($AL1298="","",$AL1298&amp;"|"&amp;COUNTIF($AL$11:$AL1298,$AL1298))</f>
        <v/>
      </c>
    </row>
    <row r="1299" spans="38:53" ht="15" customHeight="1" x14ac:dyDescent="0.25">
      <c r="AL1299" s="17"/>
      <c r="AM1299" s="12"/>
      <c r="AN1299" s="18"/>
      <c r="AO1299" s="18"/>
      <c r="AP1299" s="10"/>
      <c r="AQ1299" s="10"/>
      <c r="AR1299" s="19"/>
      <c r="AS1299" s="20"/>
      <c r="AT1299" s="19"/>
      <c r="AV1299" s="21">
        <f>IF(AND($AL1299&lt;&gt;"",COUNTIF($AL$11:$AL1299,$AL1299)=1),1,0)</f>
        <v>0</v>
      </c>
      <c r="AW1299" s="21">
        <f t="shared" si="127"/>
        <v>0</v>
      </c>
      <c r="AX1299" s="21" t="str">
        <f t="shared" si="126"/>
        <v/>
      </c>
      <c r="AY1299" s="21" t="str">
        <f>IF(AND($AM1299&lt;&gt;"",$AS1299&lt;&gt;"✓"),SUMPRODUCT(($AM$11:$AM1299&lt;&gt;"")*($AS$11:$AS1299&lt;&gt;"✓")),"")</f>
        <v/>
      </c>
      <c r="AZ1299" s="21" t="str">
        <f>IF(AND($AM1299&lt;&gt;"",$AS1299="✓"),SUMPRODUCT(($AM$11:$AM1299&lt;&gt;"")*($AS$11:$AS1299="✓")),"")</f>
        <v/>
      </c>
      <c r="BA1299" s="21" t="str">
        <f>IF($AL1299="","",$AL1299&amp;"|"&amp;COUNTIF($AL$11:$AL1299,$AL1299))</f>
        <v/>
      </c>
    </row>
    <row r="1300" spans="38:53" ht="15" customHeight="1" x14ac:dyDescent="0.25">
      <c r="AL1300" s="31"/>
      <c r="AM1300" s="26"/>
      <c r="AN1300" s="32"/>
      <c r="AO1300" s="32"/>
      <c r="AP1300" s="24"/>
      <c r="AQ1300" s="24"/>
      <c r="AR1300" s="33"/>
      <c r="AS1300" s="34"/>
      <c r="AT1300" s="33"/>
      <c r="AV1300" s="21">
        <f>IF(AND($AL1300&lt;&gt;"",COUNTIF($AL$11:$AL1300,$AL1300)=1),1,0)</f>
        <v>0</v>
      </c>
      <c r="AW1300" s="21">
        <f t="shared" si="127"/>
        <v>0</v>
      </c>
      <c r="AX1300" s="21" t="str">
        <f t="shared" si="126"/>
        <v/>
      </c>
      <c r="AY1300" s="21" t="str">
        <f>IF(AND($AM1300&lt;&gt;"",$AS1300&lt;&gt;"✓"),SUMPRODUCT(($AM$11:$AM1300&lt;&gt;"")*($AS$11:$AS1300&lt;&gt;"✓")),"")</f>
        <v/>
      </c>
      <c r="AZ1300" s="21" t="str">
        <f>IF(AND($AM1300&lt;&gt;"",$AS1300="✓"),SUMPRODUCT(($AM$11:$AM1300&lt;&gt;"")*($AS$11:$AS1300="✓")),"")</f>
        <v/>
      </c>
      <c r="BA1300" s="21" t="str">
        <f>IF($AL1300="","",$AL1300&amp;"|"&amp;COUNTIF($AL$11:$AL1300,$AL1300))</f>
        <v/>
      </c>
    </row>
    <row r="1301" spans="38:53" ht="15" customHeight="1" x14ac:dyDescent="0.25">
      <c r="AL1301" s="17"/>
      <c r="AM1301" s="12"/>
      <c r="AN1301" s="18"/>
      <c r="AO1301" s="18"/>
      <c r="AP1301" s="10"/>
      <c r="AQ1301" s="10"/>
      <c r="AR1301" s="19"/>
      <c r="AS1301" s="20"/>
      <c r="AT1301" s="19"/>
      <c r="AV1301" s="21">
        <f>IF(AND($AL1301&lt;&gt;"",COUNTIF($AL$11:$AL1301,$AL1301)=1),1,0)</f>
        <v>0</v>
      </c>
      <c r="AW1301" s="21">
        <f t="shared" si="127"/>
        <v>0</v>
      </c>
      <c r="AX1301" s="21" t="str">
        <f t="shared" si="126"/>
        <v/>
      </c>
      <c r="AY1301" s="21" t="str">
        <f>IF(AND($AM1301&lt;&gt;"",$AS1301&lt;&gt;"✓"),SUMPRODUCT(($AM$11:$AM1301&lt;&gt;"")*($AS$11:$AS1301&lt;&gt;"✓")),"")</f>
        <v/>
      </c>
      <c r="AZ1301" s="21" t="str">
        <f>IF(AND($AM1301&lt;&gt;"",$AS1301="✓"),SUMPRODUCT(($AM$11:$AM1301&lt;&gt;"")*($AS$11:$AS1301="✓")),"")</f>
        <v/>
      </c>
      <c r="BA1301" s="21" t="str">
        <f>IF($AL1301="","",$AL1301&amp;"|"&amp;COUNTIF($AL$11:$AL1301,$AL1301))</f>
        <v/>
      </c>
    </row>
    <row r="1302" spans="38:53" ht="15" customHeight="1" x14ac:dyDescent="0.25">
      <c r="AL1302" s="31"/>
      <c r="AM1302" s="26"/>
      <c r="AN1302" s="32"/>
      <c r="AO1302" s="32"/>
      <c r="AP1302" s="24"/>
      <c r="AQ1302" s="24"/>
      <c r="AR1302" s="33"/>
      <c r="AS1302" s="34"/>
      <c r="AT1302" s="33"/>
      <c r="AV1302" s="21">
        <f>IF(AND($AL1302&lt;&gt;"",COUNTIF($AL$11:$AL1302,$AL1302)=1),1,0)</f>
        <v>0</v>
      </c>
      <c r="AW1302" s="21">
        <f t="shared" si="127"/>
        <v>0</v>
      </c>
      <c r="AX1302" s="21" t="str">
        <f t="shared" si="126"/>
        <v/>
      </c>
      <c r="AY1302" s="21" t="str">
        <f>IF(AND($AM1302&lt;&gt;"",$AS1302&lt;&gt;"✓"),SUMPRODUCT(($AM$11:$AM1302&lt;&gt;"")*($AS$11:$AS1302&lt;&gt;"✓")),"")</f>
        <v/>
      </c>
      <c r="AZ1302" s="21" t="str">
        <f>IF(AND($AM1302&lt;&gt;"",$AS1302="✓"),SUMPRODUCT(($AM$11:$AM1302&lt;&gt;"")*($AS$11:$AS1302="✓")),"")</f>
        <v/>
      </c>
      <c r="BA1302" s="21" t="str">
        <f>IF($AL1302="","",$AL1302&amp;"|"&amp;COUNTIF($AL$11:$AL1302,$AL1302))</f>
        <v/>
      </c>
    </row>
    <row r="1303" spans="38:53" ht="15" customHeight="1" x14ac:dyDescent="0.25">
      <c r="AL1303" s="17"/>
      <c r="AM1303" s="12"/>
      <c r="AN1303" s="18"/>
      <c r="AO1303" s="18"/>
      <c r="AP1303" s="10"/>
      <c r="AQ1303" s="10"/>
      <c r="AR1303" s="19"/>
      <c r="AS1303" s="20"/>
      <c r="AT1303" s="19"/>
      <c r="AV1303" s="21">
        <f>IF(AND($AL1303&lt;&gt;"",COUNTIF($AL$11:$AL1303,$AL1303)=1),1,0)</f>
        <v>0</v>
      </c>
      <c r="AW1303" s="21">
        <f t="shared" si="127"/>
        <v>0</v>
      </c>
      <c r="AX1303" s="21" t="str">
        <f t="shared" si="126"/>
        <v/>
      </c>
      <c r="AY1303" s="21" t="str">
        <f>IF(AND($AM1303&lt;&gt;"",$AS1303&lt;&gt;"✓"),SUMPRODUCT(($AM$11:$AM1303&lt;&gt;"")*($AS$11:$AS1303&lt;&gt;"✓")),"")</f>
        <v/>
      </c>
      <c r="AZ1303" s="21" t="str">
        <f>IF(AND($AM1303&lt;&gt;"",$AS1303="✓"),SUMPRODUCT(($AM$11:$AM1303&lt;&gt;"")*($AS$11:$AS1303="✓")),"")</f>
        <v/>
      </c>
      <c r="BA1303" s="21" t="str">
        <f>IF($AL1303="","",$AL1303&amp;"|"&amp;COUNTIF($AL$11:$AL1303,$AL1303))</f>
        <v/>
      </c>
    </row>
    <row r="1304" spans="38:53" ht="15" customHeight="1" x14ac:dyDescent="0.25">
      <c r="AL1304" s="31"/>
      <c r="AM1304" s="26"/>
      <c r="AN1304" s="32"/>
      <c r="AO1304" s="32"/>
      <c r="AP1304" s="24"/>
      <c r="AQ1304" s="24"/>
      <c r="AR1304" s="33"/>
      <c r="AS1304" s="34"/>
      <c r="AT1304" s="33"/>
      <c r="AV1304" s="21">
        <f>IF(AND($AL1304&lt;&gt;"",COUNTIF($AL$11:$AL1304,$AL1304)=1),1,0)</f>
        <v>0</v>
      </c>
      <c r="AW1304" s="21">
        <f t="shared" si="127"/>
        <v>0</v>
      </c>
      <c r="AX1304" s="21" t="str">
        <f t="shared" si="126"/>
        <v/>
      </c>
      <c r="AY1304" s="21" t="str">
        <f>IF(AND($AM1304&lt;&gt;"",$AS1304&lt;&gt;"✓"),SUMPRODUCT(($AM$11:$AM1304&lt;&gt;"")*($AS$11:$AS1304&lt;&gt;"✓")),"")</f>
        <v/>
      </c>
      <c r="AZ1304" s="21" t="str">
        <f>IF(AND($AM1304&lt;&gt;"",$AS1304="✓"),SUMPRODUCT(($AM$11:$AM1304&lt;&gt;"")*($AS$11:$AS1304="✓")),"")</f>
        <v/>
      </c>
      <c r="BA1304" s="21" t="str">
        <f>IF($AL1304="","",$AL1304&amp;"|"&amp;COUNTIF($AL$11:$AL1304,$AL1304))</f>
        <v/>
      </c>
    </row>
    <row r="1305" spans="38:53" ht="15" customHeight="1" x14ac:dyDescent="0.25">
      <c r="AL1305" s="17"/>
      <c r="AM1305" s="12"/>
      <c r="AN1305" s="18"/>
      <c r="AO1305" s="18"/>
      <c r="AP1305" s="10"/>
      <c r="AQ1305" s="10"/>
      <c r="AR1305" s="19"/>
      <c r="AS1305" s="20"/>
      <c r="AT1305" s="19"/>
      <c r="AV1305" s="21">
        <f>IF(AND($AL1305&lt;&gt;"",COUNTIF($AL$11:$AL1305,$AL1305)=1),1,0)</f>
        <v>0</v>
      </c>
      <c r="AW1305" s="21">
        <f t="shared" si="127"/>
        <v>0</v>
      </c>
      <c r="AX1305" s="21" t="str">
        <f t="shared" si="126"/>
        <v/>
      </c>
      <c r="AY1305" s="21" t="str">
        <f>IF(AND($AM1305&lt;&gt;"",$AS1305&lt;&gt;"✓"),SUMPRODUCT(($AM$11:$AM1305&lt;&gt;"")*($AS$11:$AS1305&lt;&gt;"✓")),"")</f>
        <v/>
      </c>
      <c r="AZ1305" s="21" t="str">
        <f>IF(AND($AM1305&lt;&gt;"",$AS1305="✓"),SUMPRODUCT(($AM$11:$AM1305&lt;&gt;"")*($AS$11:$AS1305="✓")),"")</f>
        <v/>
      </c>
      <c r="BA1305" s="21" t="str">
        <f>IF($AL1305="","",$AL1305&amp;"|"&amp;COUNTIF($AL$11:$AL1305,$AL1305))</f>
        <v/>
      </c>
    </row>
    <row r="1306" spans="38:53" ht="15" customHeight="1" x14ac:dyDescent="0.25">
      <c r="AL1306" s="31"/>
      <c r="AM1306" s="26"/>
      <c r="AN1306" s="32"/>
      <c r="AO1306" s="32"/>
      <c r="AP1306" s="24"/>
      <c r="AQ1306" s="24"/>
      <c r="AR1306" s="33"/>
      <c r="AS1306" s="34"/>
      <c r="AT1306" s="33"/>
      <c r="AV1306" s="21">
        <f>IF(AND($AL1306&lt;&gt;"",COUNTIF($AL$11:$AL1306,$AL1306)=1),1,0)</f>
        <v>0</v>
      </c>
      <c r="AW1306" s="21">
        <f t="shared" si="127"/>
        <v>0</v>
      </c>
      <c r="AX1306" s="21" t="str">
        <f t="shared" si="126"/>
        <v/>
      </c>
      <c r="AY1306" s="21" t="str">
        <f>IF(AND($AM1306&lt;&gt;"",$AS1306&lt;&gt;"✓"),SUMPRODUCT(($AM$11:$AM1306&lt;&gt;"")*($AS$11:$AS1306&lt;&gt;"✓")),"")</f>
        <v/>
      </c>
      <c r="AZ1306" s="21" t="str">
        <f>IF(AND($AM1306&lt;&gt;"",$AS1306="✓"),SUMPRODUCT(($AM$11:$AM1306&lt;&gt;"")*($AS$11:$AS1306="✓")),"")</f>
        <v/>
      </c>
      <c r="BA1306" s="21" t="str">
        <f>IF($AL1306="","",$AL1306&amp;"|"&amp;COUNTIF($AL$11:$AL1306,$AL1306))</f>
        <v/>
      </c>
    </row>
    <row r="1307" spans="38:53" ht="15" customHeight="1" x14ac:dyDescent="0.25">
      <c r="AL1307" s="17"/>
      <c r="AM1307" s="12"/>
      <c r="AN1307" s="18"/>
      <c r="AO1307" s="18"/>
      <c r="AP1307" s="10"/>
      <c r="AQ1307" s="10"/>
      <c r="AR1307" s="19"/>
      <c r="AS1307" s="20"/>
      <c r="AT1307" s="19"/>
      <c r="AV1307" s="21">
        <f>IF(AND($AL1307&lt;&gt;"",COUNTIF($AL$11:$AL1307,$AL1307)=1),1,0)</f>
        <v>0</v>
      </c>
      <c r="AW1307" s="21">
        <f t="shared" si="127"/>
        <v>0</v>
      </c>
      <c r="AX1307" s="21" t="str">
        <f t="shared" si="126"/>
        <v/>
      </c>
      <c r="AY1307" s="21" t="str">
        <f>IF(AND($AM1307&lt;&gt;"",$AS1307&lt;&gt;"✓"),SUMPRODUCT(($AM$11:$AM1307&lt;&gt;"")*($AS$11:$AS1307&lt;&gt;"✓")),"")</f>
        <v/>
      </c>
      <c r="AZ1307" s="21" t="str">
        <f>IF(AND($AM1307&lt;&gt;"",$AS1307="✓"),SUMPRODUCT(($AM$11:$AM1307&lt;&gt;"")*($AS$11:$AS1307="✓")),"")</f>
        <v/>
      </c>
      <c r="BA1307" s="21" t="str">
        <f>IF($AL1307="","",$AL1307&amp;"|"&amp;COUNTIF($AL$11:$AL1307,$AL1307))</f>
        <v/>
      </c>
    </row>
    <row r="1308" spans="38:53" ht="15" customHeight="1" x14ac:dyDescent="0.25">
      <c r="AL1308" s="31"/>
      <c r="AM1308" s="26"/>
      <c r="AN1308" s="32"/>
      <c r="AO1308" s="32"/>
      <c r="AP1308" s="24"/>
      <c r="AQ1308" s="24"/>
      <c r="AR1308" s="33"/>
      <c r="AS1308" s="34"/>
      <c r="AT1308" s="33"/>
      <c r="AV1308" s="21">
        <f>IF(AND($AL1308&lt;&gt;"",COUNTIF($AL$11:$AL1308,$AL1308)=1),1,0)</f>
        <v>0</v>
      </c>
      <c r="AW1308" s="21">
        <f t="shared" si="127"/>
        <v>0</v>
      </c>
      <c r="AX1308" s="21" t="str">
        <f t="shared" si="126"/>
        <v/>
      </c>
      <c r="AY1308" s="21" t="str">
        <f>IF(AND($AM1308&lt;&gt;"",$AS1308&lt;&gt;"✓"),SUMPRODUCT(($AM$11:$AM1308&lt;&gt;"")*($AS$11:$AS1308&lt;&gt;"✓")),"")</f>
        <v/>
      </c>
      <c r="AZ1308" s="21" t="str">
        <f>IF(AND($AM1308&lt;&gt;"",$AS1308="✓"),SUMPRODUCT(($AM$11:$AM1308&lt;&gt;"")*($AS$11:$AS1308="✓")),"")</f>
        <v/>
      </c>
      <c r="BA1308" s="21" t="str">
        <f>IF($AL1308="","",$AL1308&amp;"|"&amp;COUNTIF($AL$11:$AL1308,$AL1308))</f>
        <v/>
      </c>
    </row>
    <row r="1309" spans="38:53" ht="15" customHeight="1" x14ac:dyDescent="0.25">
      <c r="AL1309" s="17"/>
      <c r="AM1309" s="12"/>
      <c r="AN1309" s="18"/>
      <c r="AO1309" s="18"/>
      <c r="AP1309" s="10"/>
      <c r="AQ1309" s="10"/>
      <c r="AR1309" s="19"/>
      <c r="AS1309" s="20"/>
      <c r="AT1309" s="19"/>
      <c r="AV1309" s="21">
        <f>IF(AND($AL1309&lt;&gt;"",COUNTIF($AL$11:$AL1309,$AL1309)=1),1,0)</f>
        <v>0</v>
      </c>
      <c r="AW1309" s="21">
        <f t="shared" si="127"/>
        <v>0</v>
      </c>
      <c r="AX1309" s="21" t="str">
        <f t="shared" si="126"/>
        <v/>
      </c>
      <c r="AY1309" s="21" t="str">
        <f>IF(AND($AM1309&lt;&gt;"",$AS1309&lt;&gt;"✓"),SUMPRODUCT(($AM$11:$AM1309&lt;&gt;"")*($AS$11:$AS1309&lt;&gt;"✓")),"")</f>
        <v/>
      </c>
      <c r="AZ1309" s="21" t="str">
        <f>IF(AND($AM1309&lt;&gt;"",$AS1309="✓"),SUMPRODUCT(($AM$11:$AM1309&lt;&gt;"")*($AS$11:$AS1309="✓")),"")</f>
        <v/>
      </c>
      <c r="BA1309" s="21" t="str">
        <f>IF($AL1309="","",$AL1309&amp;"|"&amp;COUNTIF($AL$11:$AL1309,$AL1309))</f>
        <v/>
      </c>
    </row>
    <row r="1310" spans="38:53" ht="15" customHeight="1" x14ac:dyDescent="0.25">
      <c r="AL1310" s="31"/>
      <c r="AM1310" s="26"/>
      <c r="AN1310" s="32"/>
      <c r="AO1310" s="32"/>
      <c r="AP1310" s="24"/>
      <c r="AQ1310" s="24"/>
      <c r="AR1310" s="33"/>
      <c r="AS1310" s="34"/>
      <c r="AT1310" s="33"/>
      <c r="AV1310" s="21">
        <f>IF(AND($AL1310&lt;&gt;"",COUNTIF($AL$11:$AL1310,$AL1310)=1),1,0)</f>
        <v>0</v>
      </c>
      <c r="AW1310" s="21">
        <f t="shared" si="127"/>
        <v>0</v>
      </c>
      <c r="AX1310" s="21" t="str">
        <f t="shared" si="126"/>
        <v/>
      </c>
      <c r="AY1310" s="21" t="str">
        <f>IF(AND($AM1310&lt;&gt;"",$AS1310&lt;&gt;"✓"),SUMPRODUCT(($AM$11:$AM1310&lt;&gt;"")*($AS$11:$AS1310&lt;&gt;"✓")),"")</f>
        <v/>
      </c>
      <c r="AZ1310" s="21" t="str">
        <f>IF(AND($AM1310&lt;&gt;"",$AS1310="✓"),SUMPRODUCT(($AM$11:$AM1310&lt;&gt;"")*($AS$11:$AS1310="✓")),"")</f>
        <v/>
      </c>
      <c r="BA1310" s="21" t="str">
        <f>IF($AL1310="","",$AL1310&amp;"|"&amp;COUNTIF($AL$11:$AL1310,$AL1310))</f>
        <v/>
      </c>
    </row>
    <row r="1311" spans="38:53" ht="15" customHeight="1" x14ac:dyDescent="0.25">
      <c r="AL1311" s="17"/>
      <c r="AM1311" s="12"/>
      <c r="AN1311" s="18"/>
      <c r="AO1311" s="18"/>
      <c r="AP1311" s="10"/>
      <c r="AQ1311" s="10"/>
      <c r="AR1311" s="19"/>
      <c r="AS1311" s="20"/>
      <c r="AT1311" s="19"/>
      <c r="AV1311" s="21">
        <f>IF(AND($AL1311&lt;&gt;"",COUNTIF($AL$11:$AL1311,$AL1311)=1),1,0)</f>
        <v>0</v>
      </c>
      <c r="AW1311" s="21">
        <f t="shared" si="127"/>
        <v>0</v>
      </c>
      <c r="AX1311" s="21" t="str">
        <f t="shared" si="126"/>
        <v/>
      </c>
      <c r="AY1311" s="21" t="str">
        <f>IF(AND($AM1311&lt;&gt;"",$AS1311&lt;&gt;"✓"),SUMPRODUCT(($AM$11:$AM1311&lt;&gt;"")*($AS$11:$AS1311&lt;&gt;"✓")),"")</f>
        <v/>
      </c>
      <c r="AZ1311" s="21" t="str">
        <f>IF(AND($AM1311&lt;&gt;"",$AS1311="✓"),SUMPRODUCT(($AM$11:$AM1311&lt;&gt;"")*($AS$11:$AS1311="✓")),"")</f>
        <v/>
      </c>
      <c r="BA1311" s="21" t="str">
        <f>IF($AL1311="","",$AL1311&amp;"|"&amp;COUNTIF($AL$11:$AL1311,$AL1311))</f>
        <v/>
      </c>
    </row>
    <row r="1312" spans="38:53" ht="15" customHeight="1" x14ac:dyDescent="0.25">
      <c r="AL1312" s="31"/>
      <c r="AM1312" s="26"/>
      <c r="AN1312" s="32"/>
      <c r="AO1312" s="32"/>
      <c r="AP1312" s="24"/>
      <c r="AQ1312" s="24"/>
      <c r="AR1312" s="33"/>
      <c r="AS1312" s="34"/>
      <c r="AT1312" s="33"/>
      <c r="AV1312" s="21">
        <f>IF(AND($AL1312&lt;&gt;"",COUNTIF($AL$11:$AL1312,$AL1312)=1),1,0)</f>
        <v>0</v>
      </c>
      <c r="AW1312" s="21">
        <f t="shared" si="127"/>
        <v>0</v>
      </c>
      <c r="AX1312" s="21" t="str">
        <f t="shared" si="126"/>
        <v/>
      </c>
      <c r="AY1312" s="21" t="str">
        <f>IF(AND($AM1312&lt;&gt;"",$AS1312&lt;&gt;"✓"),SUMPRODUCT(($AM$11:$AM1312&lt;&gt;"")*($AS$11:$AS1312&lt;&gt;"✓")),"")</f>
        <v/>
      </c>
      <c r="AZ1312" s="21" t="str">
        <f>IF(AND($AM1312&lt;&gt;"",$AS1312="✓"),SUMPRODUCT(($AM$11:$AM1312&lt;&gt;"")*($AS$11:$AS1312="✓")),"")</f>
        <v/>
      </c>
      <c r="BA1312" s="21" t="str">
        <f>IF($AL1312="","",$AL1312&amp;"|"&amp;COUNTIF($AL$11:$AL1312,$AL1312))</f>
        <v/>
      </c>
    </row>
    <row r="1313" spans="38:53" ht="15" customHeight="1" x14ac:dyDescent="0.25">
      <c r="AL1313" s="17"/>
      <c r="AM1313" s="12"/>
      <c r="AN1313" s="18"/>
      <c r="AO1313" s="18"/>
      <c r="AP1313" s="10"/>
      <c r="AQ1313" s="10"/>
      <c r="AR1313" s="19"/>
      <c r="AS1313" s="20"/>
      <c r="AT1313" s="19"/>
      <c r="AV1313" s="21">
        <f>IF(AND($AL1313&lt;&gt;"",COUNTIF($AL$11:$AL1313,$AL1313)=1),1,0)</f>
        <v>0</v>
      </c>
      <c r="AW1313" s="21">
        <f t="shared" si="127"/>
        <v>0</v>
      </c>
      <c r="AX1313" s="21" t="str">
        <f t="shared" si="126"/>
        <v/>
      </c>
      <c r="AY1313" s="21" t="str">
        <f>IF(AND($AM1313&lt;&gt;"",$AS1313&lt;&gt;"✓"),SUMPRODUCT(($AM$11:$AM1313&lt;&gt;"")*($AS$11:$AS1313&lt;&gt;"✓")),"")</f>
        <v/>
      </c>
      <c r="AZ1313" s="21" t="str">
        <f>IF(AND($AM1313&lt;&gt;"",$AS1313="✓"),SUMPRODUCT(($AM$11:$AM1313&lt;&gt;"")*($AS$11:$AS1313="✓")),"")</f>
        <v/>
      </c>
      <c r="BA1313" s="21" t="str">
        <f>IF($AL1313="","",$AL1313&amp;"|"&amp;COUNTIF($AL$11:$AL1313,$AL1313))</f>
        <v/>
      </c>
    </row>
    <row r="1314" spans="38:53" ht="15" customHeight="1" x14ac:dyDescent="0.25">
      <c r="AL1314" s="31"/>
      <c r="AM1314" s="26"/>
      <c r="AN1314" s="32"/>
      <c r="AO1314" s="32"/>
      <c r="AP1314" s="24"/>
      <c r="AQ1314" s="24"/>
      <c r="AR1314" s="33"/>
      <c r="AS1314" s="34"/>
      <c r="AT1314" s="33"/>
      <c r="AV1314" s="21">
        <f>IF(AND($AL1314&lt;&gt;"",COUNTIF($AL$11:$AL1314,$AL1314)=1),1,0)</f>
        <v>0</v>
      </c>
      <c r="AW1314" s="21">
        <f t="shared" si="127"/>
        <v>0</v>
      </c>
      <c r="AX1314" s="21" t="str">
        <f t="shared" si="126"/>
        <v/>
      </c>
      <c r="AY1314" s="21" t="str">
        <f>IF(AND($AM1314&lt;&gt;"",$AS1314&lt;&gt;"✓"),SUMPRODUCT(($AM$11:$AM1314&lt;&gt;"")*($AS$11:$AS1314&lt;&gt;"✓")),"")</f>
        <v/>
      </c>
      <c r="AZ1314" s="21" t="str">
        <f>IF(AND($AM1314&lt;&gt;"",$AS1314="✓"),SUMPRODUCT(($AM$11:$AM1314&lt;&gt;"")*($AS$11:$AS1314="✓")),"")</f>
        <v/>
      </c>
      <c r="BA1314" s="21" t="str">
        <f>IF($AL1314="","",$AL1314&amp;"|"&amp;COUNTIF($AL$11:$AL1314,$AL1314))</f>
        <v/>
      </c>
    </row>
    <row r="1315" spans="38:53" ht="15" customHeight="1" x14ac:dyDescent="0.25">
      <c r="AL1315" s="17"/>
      <c r="AM1315" s="12"/>
      <c r="AN1315" s="18"/>
      <c r="AO1315" s="18"/>
      <c r="AP1315" s="10"/>
      <c r="AQ1315" s="10"/>
      <c r="AR1315" s="19"/>
      <c r="AS1315" s="20"/>
      <c r="AT1315" s="19"/>
      <c r="AV1315" s="21">
        <f>IF(AND($AL1315&lt;&gt;"",COUNTIF($AL$11:$AL1315,$AL1315)=1),1,0)</f>
        <v>0</v>
      </c>
      <c r="AW1315" s="21">
        <f t="shared" si="127"/>
        <v>0</v>
      </c>
      <c r="AX1315" s="21" t="str">
        <f t="shared" si="126"/>
        <v/>
      </c>
      <c r="AY1315" s="21" t="str">
        <f>IF(AND($AM1315&lt;&gt;"",$AS1315&lt;&gt;"✓"),SUMPRODUCT(($AM$11:$AM1315&lt;&gt;"")*($AS$11:$AS1315&lt;&gt;"✓")),"")</f>
        <v/>
      </c>
      <c r="AZ1315" s="21" t="str">
        <f>IF(AND($AM1315&lt;&gt;"",$AS1315="✓"),SUMPRODUCT(($AM$11:$AM1315&lt;&gt;"")*($AS$11:$AS1315="✓")),"")</f>
        <v/>
      </c>
      <c r="BA1315" s="21" t="str">
        <f>IF($AL1315="","",$AL1315&amp;"|"&amp;COUNTIF($AL$11:$AL1315,$AL1315))</f>
        <v/>
      </c>
    </row>
    <row r="1316" spans="38:53" ht="15" customHeight="1" x14ac:dyDescent="0.25">
      <c r="AL1316" s="31"/>
      <c r="AM1316" s="26"/>
      <c r="AN1316" s="32"/>
      <c r="AO1316" s="32"/>
      <c r="AP1316" s="24"/>
      <c r="AQ1316" s="24"/>
      <c r="AR1316" s="33"/>
      <c r="AS1316" s="34"/>
      <c r="AT1316" s="33"/>
      <c r="AV1316" s="21">
        <f>IF(AND($AL1316&lt;&gt;"",COUNTIF($AL$11:$AL1316,$AL1316)=1),1,0)</f>
        <v>0</v>
      </c>
      <c r="AW1316" s="21">
        <f t="shared" si="127"/>
        <v>0</v>
      </c>
      <c r="AX1316" s="21" t="str">
        <f t="shared" si="126"/>
        <v/>
      </c>
      <c r="AY1316" s="21" t="str">
        <f>IF(AND($AM1316&lt;&gt;"",$AS1316&lt;&gt;"✓"),SUMPRODUCT(($AM$11:$AM1316&lt;&gt;"")*($AS$11:$AS1316&lt;&gt;"✓")),"")</f>
        <v/>
      </c>
      <c r="AZ1316" s="21" t="str">
        <f>IF(AND($AM1316&lt;&gt;"",$AS1316="✓"),SUMPRODUCT(($AM$11:$AM1316&lt;&gt;"")*($AS$11:$AS1316="✓")),"")</f>
        <v/>
      </c>
      <c r="BA1316" s="21" t="str">
        <f>IF($AL1316="","",$AL1316&amp;"|"&amp;COUNTIF($AL$11:$AL1316,$AL1316))</f>
        <v/>
      </c>
    </row>
    <row r="1317" spans="38:53" ht="15" customHeight="1" x14ac:dyDescent="0.25">
      <c r="AL1317" s="17"/>
      <c r="AM1317" s="12"/>
      <c r="AN1317" s="18"/>
      <c r="AO1317" s="18"/>
      <c r="AP1317" s="10"/>
      <c r="AQ1317" s="10"/>
      <c r="AR1317" s="19"/>
      <c r="AS1317" s="20"/>
      <c r="AT1317" s="19"/>
      <c r="AV1317" s="21">
        <f>IF(AND($AL1317&lt;&gt;"",COUNTIF($AL$11:$AL1317,$AL1317)=1),1,0)</f>
        <v>0</v>
      </c>
      <c r="AW1317" s="21">
        <f t="shared" si="127"/>
        <v>0</v>
      </c>
      <c r="AX1317" s="21" t="str">
        <f t="shared" si="126"/>
        <v/>
      </c>
      <c r="AY1317" s="21" t="str">
        <f>IF(AND($AM1317&lt;&gt;"",$AS1317&lt;&gt;"✓"),SUMPRODUCT(($AM$11:$AM1317&lt;&gt;"")*($AS$11:$AS1317&lt;&gt;"✓")),"")</f>
        <v/>
      </c>
      <c r="AZ1317" s="21" t="str">
        <f>IF(AND($AM1317&lt;&gt;"",$AS1317="✓"),SUMPRODUCT(($AM$11:$AM1317&lt;&gt;"")*($AS$11:$AS1317="✓")),"")</f>
        <v/>
      </c>
      <c r="BA1317" s="21" t="str">
        <f>IF($AL1317="","",$AL1317&amp;"|"&amp;COUNTIF($AL$11:$AL1317,$AL1317))</f>
        <v/>
      </c>
    </row>
    <row r="1318" spans="38:53" ht="15" customHeight="1" x14ac:dyDescent="0.25">
      <c r="AL1318" s="31"/>
      <c r="AM1318" s="26"/>
      <c r="AN1318" s="32"/>
      <c r="AO1318" s="32"/>
      <c r="AP1318" s="24"/>
      <c r="AQ1318" s="24"/>
      <c r="AR1318" s="33"/>
      <c r="AS1318" s="34"/>
      <c r="AT1318" s="33"/>
      <c r="AV1318" s="21">
        <f>IF(AND($AL1318&lt;&gt;"",COUNTIF($AL$11:$AL1318,$AL1318)=1),1,0)</f>
        <v>0</v>
      </c>
      <c r="AW1318" s="21">
        <f t="shared" si="127"/>
        <v>0</v>
      </c>
      <c r="AX1318" s="21" t="str">
        <f t="shared" si="126"/>
        <v/>
      </c>
      <c r="AY1318" s="21" t="str">
        <f>IF(AND($AM1318&lt;&gt;"",$AS1318&lt;&gt;"✓"),SUMPRODUCT(($AM$11:$AM1318&lt;&gt;"")*($AS$11:$AS1318&lt;&gt;"✓")),"")</f>
        <v/>
      </c>
      <c r="AZ1318" s="21" t="str">
        <f>IF(AND($AM1318&lt;&gt;"",$AS1318="✓"),SUMPRODUCT(($AM$11:$AM1318&lt;&gt;"")*($AS$11:$AS1318="✓")),"")</f>
        <v/>
      </c>
      <c r="BA1318" s="21" t="str">
        <f>IF($AL1318="","",$AL1318&amp;"|"&amp;COUNTIF($AL$11:$AL1318,$AL1318))</f>
        <v/>
      </c>
    </row>
    <row r="1319" spans="38:53" ht="15" customHeight="1" x14ac:dyDescent="0.25">
      <c r="AL1319" s="17"/>
      <c r="AM1319" s="12"/>
      <c r="AN1319" s="18"/>
      <c r="AO1319" s="18"/>
      <c r="AP1319" s="10"/>
      <c r="AQ1319" s="10"/>
      <c r="AR1319" s="19"/>
      <c r="AS1319" s="20"/>
      <c r="AT1319" s="19"/>
      <c r="AV1319" s="21">
        <f>IF(AND($AL1319&lt;&gt;"",COUNTIF($AL$11:$AL1319,$AL1319)=1),1,0)</f>
        <v>0</v>
      </c>
      <c r="AW1319" s="21">
        <f t="shared" si="127"/>
        <v>0</v>
      </c>
      <c r="AX1319" s="21" t="str">
        <f t="shared" si="126"/>
        <v/>
      </c>
      <c r="AY1319" s="21" t="str">
        <f>IF(AND($AM1319&lt;&gt;"",$AS1319&lt;&gt;"✓"),SUMPRODUCT(($AM$11:$AM1319&lt;&gt;"")*($AS$11:$AS1319&lt;&gt;"✓")),"")</f>
        <v/>
      </c>
      <c r="AZ1319" s="21" t="str">
        <f>IF(AND($AM1319&lt;&gt;"",$AS1319="✓"),SUMPRODUCT(($AM$11:$AM1319&lt;&gt;"")*($AS$11:$AS1319="✓")),"")</f>
        <v/>
      </c>
      <c r="BA1319" s="21" t="str">
        <f>IF($AL1319="","",$AL1319&amp;"|"&amp;COUNTIF($AL$11:$AL1319,$AL1319))</f>
        <v/>
      </c>
    </row>
    <row r="1320" spans="38:53" ht="15" customHeight="1" x14ac:dyDescent="0.25">
      <c r="AL1320" s="31"/>
      <c r="AM1320" s="26"/>
      <c r="AN1320" s="32"/>
      <c r="AO1320" s="32"/>
      <c r="AP1320" s="24"/>
      <c r="AQ1320" s="24"/>
      <c r="AR1320" s="33"/>
      <c r="AS1320" s="34"/>
      <c r="AT1320" s="33"/>
      <c r="AV1320" s="21">
        <f>IF(AND($AL1320&lt;&gt;"",COUNTIF($AL$11:$AL1320,$AL1320)=1),1,0)</f>
        <v>0</v>
      </c>
      <c r="AW1320" s="21">
        <f t="shared" si="127"/>
        <v>0</v>
      </c>
      <c r="AX1320" s="21" t="str">
        <f t="shared" si="126"/>
        <v/>
      </c>
      <c r="AY1320" s="21" t="str">
        <f>IF(AND($AM1320&lt;&gt;"",$AS1320&lt;&gt;"✓"),SUMPRODUCT(($AM$11:$AM1320&lt;&gt;"")*($AS$11:$AS1320&lt;&gt;"✓")),"")</f>
        <v/>
      </c>
      <c r="AZ1320" s="21" t="str">
        <f>IF(AND($AM1320&lt;&gt;"",$AS1320="✓"),SUMPRODUCT(($AM$11:$AM1320&lt;&gt;"")*($AS$11:$AS1320="✓")),"")</f>
        <v/>
      </c>
      <c r="BA1320" s="21" t="str">
        <f>IF($AL1320="","",$AL1320&amp;"|"&amp;COUNTIF($AL$11:$AL1320,$AL1320))</f>
        <v/>
      </c>
    </row>
    <row r="1321" spans="38:53" ht="15" customHeight="1" x14ac:dyDescent="0.25">
      <c r="AL1321" s="17"/>
      <c r="AM1321" s="12"/>
      <c r="AN1321" s="18"/>
      <c r="AO1321" s="18"/>
      <c r="AP1321" s="10"/>
      <c r="AQ1321" s="10"/>
      <c r="AR1321" s="19"/>
      <c r="AS1321" s="20"/>
      <c r="AT1321" s="19"/>
      <c r="AV1321" s="21">
        <f>IF(AND($AL1321&lt;&gt;"",COUNTIF($AL$11:$AL1321,$AL1321)=1),1,0)</f>
        <v>0</v>
      </c>
      <c r="AW1321" s="21">
        <f t="shared" si="127"/>
        <v>0</v>
      </c>
      <c r="AX1321" s="21" t="str">
        <f t="shared" si="126"/>
        <v/>
      </c>
      <c r="AY1321" s="21" t="str">
        <f>IF(AND($AM1321&lt;&gt;"",$AS1321&lt;&gt;"✓"),SUMPRODUCT(($AM$11:$AM1321&lt;&gt;"")*($AS$11:$AS1321&lt;&gt;"✓")),"")</f>
        <v/>
      </c>
      <c r="AZ1321" s="21" t="str">
        <f>IF(AND($AM1321&lt;&gt;"",$AS1321="✓"),SUMPRODUCT(($AM$11:$AM1321&lt;&gt;"")*($AS$11:$AS1321="✓")),"")</f>
        <v/>
      </c>
      <c r="BA1321" s="21" t="str">
        <f>IF($AL1321="","",$AL1321&amp;"|"&amp;COUNTIF($AL$11:$AL1321,$AL1321))</f>
        <v/>
      </c>
    </row>
    <row r="1322" spans="38:53" ht="15" customHeight="1" x14ac:dyDescent="0.25">
      <c r="AL1322" s="31"/>
      <c r="AM1322" s="26"/>
      <c r="AN1322" s="32"/>
      <c r="AO1322" s="32"/>
      <c r="AP1322" s="24"/>
      <c r="AQ1322" s="24"/>
      <c r="AR1322" s="33"/>
      <c r="AS1322" s="34"/>
      <c r="AT1322" s="33"/>
      <c r="AV1322" s="21">
        <f>IF(AND($AL1322&lt;&gt;"",COUNTIF($AL$11:$AL1322,$AL1322)=1),1,0)</f>
        <v>0</v>
      </c>
      <c r="AW1322" s="21">
        <f t="shared" si="127"/>
        <v>0</v>
      </c>
      <c r="AX1322" s="21" t="str">
        <f t="shared" si="126"/>
        <v/>
      </c>
      <c r="AY1322" s="21" t="str">
        <f>IF(AND($AM1322&lt;&gt;"",$AS1322&lt;&gt;"✓"),SUMPRODUCT(($AM$11:$AM1322&lt;&gt;"")*($AS$11:$AS1322&lt;&gt;"✓")),"")</f>
        <v/>
      </c>
      <c r="AZ1322" s="21" t="str">
        <f>IF(AND($AM1322&lt;&gt;"",$AS1322="✓"),SUMPRODUCT(($AM$11:$AM1322&lt;&gt;"")*($AS$11:$AS1322="✓")),"")</f>
        <v/>
      </c>
      <c r="BA1322" s="21" t="str">
        <f>IF($AL1322="","",$AL1322&amp;"|"&amp;COUNTIF($AL$11:$AL1322,$AL1322))</f>
        <v/>
      </c>
    </row>
    <row r="1323" spans="38:53" ht="15" customHeight="1" x14ac:dyDescent="0.25">
      <c r="AL1323" s="17"/>
      <c r="AM1323" s="12"/>
      <c r="AN1323" s="18"/>
      <c r="AO1323" s="18"/>
      <c r="AP1323" s="10"/>
      <c r="AQ1323" s="10"/>
      <c r="AR1323" s="19"/>
      <c r="AS1323" s="20"/>
      <c r="AT1323" s="19"/>
      <c r="AV1323" s="21">
        <f>IF(AND($AL1323&lt;&gt;"",COUNTIF($AL$11:$AL1323,$AL1323)=1),1,0)</f>
        <v>0</v>
      </c>
      <c r="AW1323" s="21">
        <f t="shared" si="127"/>
        <v>0</v>
      </c>
      <c r="AX1323" s="21" t="str">
        <f t="shared" si="126"/>
        <v/>
      </c>
      <c r="AY1323" s="21" t="str">
        <f>IF(AND($AM1323&lt;&gt;"",$AS1323&lt;&gt;"✓"),SUMPRODUCT(($AM$11:$AM1323&lt;&gt;"")*($AS$11:$AS1323&lt;&gt;"✓")),"")</f>
        <v/>
      </c>
      <c r="AZ1323" s="21" t="str">
        <f>IF(AND($AM1323&lt;&gt;"",$AS1323="✓"),SUMPRODUCT(($AM$11:$AM1323&lt;&gt;"")*($AS$11:$AS1323="✓")),"")</f>
        <v/>
      </c>
      <c r="BA1323" s="21" t="str">
        <f>IF($AL1323="","",$AL1323&amp;"|"&amp;COUNTIF($AL$11:$AL1323,$AL1323))</f>
        <v/>
      </c>
    </row>
    <row r="1324" spans="38:53" ht="15" customHeight="1" x14ac:dyDescent="0.25">
      <c r="AL1324" s="31"/>
      <c r="AM1324" s="26"/>
      <c r="AN1324" s="32"/>
      <c r="AO1324" s="32"/>
      <c r="AP1324" s="24"/>
      <c r="AQ1324" s="24"/>
      <c r="AR1324" s="33"/>
      <c r="AS1324" s="34"/>
      <c r="AT1324" s="33"/>
      <c r="AV1324" s="21">
        <f>IF(AND($AL1324&lt;&gt;"",COUNTIF($AL$11:$AL1324,$AL1324)=1),1,0)</f>
        <v>0</v>
      </c>
      <c r="AW1324" s="21">
        <f t="shared" si="127"/>
        <v>0</v>
      </c>
      <c r="AX1324" s="21" t="str">
        <f t="shared" si="126"/>
        <v/>
      </c>
      <c r="AY1324" s="21" t="str">
        <f>IF(AND($AM1324&lt;&gt;"",$AS1324&lt;&gt;"✓"),SUMPRODUCT(($AM$11:$AM1324&lt;&gt;"")*($AS$11:$AS1324&lt;&gt;"✓")),"")</f>
        <v/>
      </c>
      <c r="AZ1324" s="21" t="str">
        <f>IF(AND($AM1324&lt;&gt;"",$AS1324="✓"),SUMPRODUCT(($AM$11:$AM1324&lt;&gt;"")*($AS$11:$AS1324="✓")),"")</f>
        <v/>
      </c>
      <c r="BA1324" s="21" t="str">
        <f>IF($AL1324="","",$AL1324&amp;"|"&amp;COUNTIF($AL$11:$AL1324,$AL1324))</f>
        <v/>
      </c>
    </row>
    <row r="1325" spans="38:53" ht="15" customHeight="1" x14ac:dyDescent="0.25">
      <c r="AL1325" s="17"/>
      <c r="AM1325" s="12"/>
      <c r="AN1325" s="18"/>
      <c r="AO1325" s="18"/>
      <c r="AP1325" s="10"/>
      <c r="AQ1325" s="10"/>
      <c r="AR1325" s="19"/>
      <c r="AS1325" s="20"/>
      <c r="AT1325" s="19"/>
      <c r="AV1325" s="21">
        <f>IF(AND($AL1325&lt;&gt;"",COUNTIF($AL$11:$AL1325,$AL1325)=1),1,0)</f>
        <v>0</v>
      </c>
      <c r="AW1325" s="21">
        <f t="shared" si="127"/>
        <v>0</v>
      </c>
      <c r="AX1325" s="21" t="str">
        <f t="shared" si="126"/>
        <v/>
      </c>
      <c r="AY1325" s="21" t="str">
        <f>IF(AND($AM1325&lt;&gt;"",$AS1325&lt;&gt;"✓"),SUMPRODUCT(($AM$11:$AM1325&lt;&gt;"")*($AS$11:$AS1325&lt;&gt;"✓")),"")</f>
        <v/>
      </c>
      <c r="AZ1325" s="21" t="str">
        <f>IF(AND($AM1325&lt;&gt;"",$AS1325="✓"),SUMPRODUCT(($AM$11:$AM1325&lt;&gt;"")*($AS$11:$AS1325="✓")),"")</f>
        <v/>
      </c>
      <c r="BA1325" s="21" t="str">
        <f>IF($AL1325="","",$AL1325&amp;"|"&amp;COUNTIF($AL$11:$AL1325,$AL1325))</f>
        <v/>
      </c>
    </row>
    <row r="1326" spans="38:53" ht="15" customHeight="1" x14ac:dyDescent="0.25">
      <c r="AL1326" s="31"/>
      <c r="AM1326" s="26"/>
      <c r="AN1326" s="32"/>
      <c r="AO1326" s="32"/>
      <c r="AP1326" s="24"/>
      <c r="AQ1326" s="24"/>
      <c r="AR1326" s="33"/>
      <c r="AS1326" s="34"/>
      <c r="AT1326" s="33"/>
      <c r="AV1326" s="21">
        <f>IF(AND($AL1326&lt;&gt;"",COUNTIF($AL$11:$AL1326,$AL1326)=1),1,0)</f>
        <v>0</v>
      </c>
      <c r="AW1326" s="21">
        <f t="shared" si="127"/>
        <v>0</v>
      </c>
      <c r="AX1326" s="21" t="str">
        <f t="shared" si="126"/>
        <v/>
      </c>
      <c r="AY1326" s="21" t="str">
        <f>IF(AND($AM1326&lt;&gt;"",$AS1326&lt;&gt;"✓"),SUMPRODUCT(($AM$11:$AM1326&lt;&gt;"")*($AS$11:$AS1326&lt;&gt;"✓")),"")</f>
        <v/>
      </c>
      <c r="AZ1326" s="21" t="str">
        <f>IF(AND($AM1326&lt;&gt;"",$AS1326="✓"),SUMPRODUCT(($AM$11:$AM1326&lt;&gt;"")*($AS$11:$AS1326="✓")),"")</f>
        <v/>
      </c>
      <c r="BA1326" s="21" t="str">
        <f>IF($AL1326="","",$AL1326&amp;"|"&amp;COUNTIF($AL$11:$AL1326,$AL1326))</f>
        <v/>
      </c>
    </row>
    <row r="1327" spans="38:53" ht="15" customHeight="1" x14ac:dyDescent="0.25">
      <c r="AL1327" s="17"/>
      <c r="AM1327" s="12"/>
      <c r="AN1327" s="18"/>
      <c r="AO1327" s="18"/>
      <c r="AP1327" s="10"/>
      <c r="AQ1327" s="10"/>
      <c r="AR1327" s="19"/>
      <c r="AS1327" s="20"/>
      <c r="AT1327" s="19"/>
      <c r="AV1327" s="21">
        <f>IF(AND($AL1327&lt;&gt;"",COUNTIF($AL$11:$AL1327,$AL1327)=1),1,0)</f>
        <v>0</v>
      </c>
      <c r="AW1327" s="21">
        <f t="shared" si="127"/>
        <v>0</v>
      </c>
      <c r="AX1327" s="21" t="str">
        <f t="shared" si="126"/>
        <v/>
      </c>
      <c r="AY1327" s="21" t="str">
        <f>IF(AND($AM1327&lt;&gt;"",$AS1327&lt;&gt;"✓"),SUMPRODUCT(($AM$11:$AM1327&lt;&gt;"")*($AS$11:$AS1327&lt;&gt;"✓")),"")</f>
        <v/>
      </c>
      <c r="AZ1327" s="21" t="str">
        <f>IF(AND($AM1327&lt;&gt;"",$AS1327="✓"),SUMPRODUCT(($AM$11:$AM1327&lt;&gt;"")*($AS$11:$AS1327="✓")),"")</f>
        <v/>
      </c>
      <c r="BA1327" s="21" t="str">
        <f>IF($AL1327="","",$AL1327&amp;"|"&amp;COUNTIF($AL$11:$AL1327,$AL1327))</f>
        <v/>
      </c>
    </row>
    <row r="1328" spans="38:53" ht="15" customHeight="1" x14ac:dyDescent="0.25">
      <c r="AL1328" s="31"/>
      <c r="AM1328" s="26"/>
      <c r="AN1328" s="32"/>
      <c r="AO1328" s="32"/>
      <c r="AP1328" s="24"/>
      <c r="AQ1328" s="24"/>
      <c r="AR1328" s="33"/>
      <c r="AS1328" s="34"/>
      <c r="AT1328" s="33"/>
      <c r="AV1328" s="21">
        <f>IF(AND($AL1328&lt;&gt;"",COUNTIF($AL$11:$AL1328,$AL1328)=1),1,0)</f>
        <v>0</v>
      </c>
      <c r="AW1328" s="21">
        <f t="shared" si="127"/>
        <v>0</v>
      </c>
      <c r="AX1328" s="21" t="str">
        <f t="shared" si="126"/>
        <v/>
      </c>
      <c r="AY1328" s="21" t="str">
        <f>IF(AND($AM1328&lt;&gt;"",$AS1328&lt;&gt;"✓"),SUMPRODUCT(($AM$11:$AM1328&lt;&gt;"")*($AS$11:$AS1328&lt;&gt;"✓")),"")</f>
        <v/>
      </c>
      <c r="AZ1328" s="21" t="str">
        <f>IF(AND($AM1328&lt;&gt;"",$AS1328="✓"),SUMPRODUCT(($AM$11:$AM1328&lt;&gt;"")*($AS$11:$AS1328="✓")),"")</f>
        <v/>
      </c>
      <c r="BA1328" s="21" t="str">
        <f>IF($AL1328="","",$AL1328&amp;"|"&amp;COUNTIF($AL$11:$AL1328,$AL1328))</f>
        <v/>
      </c>
    </row>
    <row r="1329" spans="38:53" ht="15" customHeight="1" x14ac:dyDescent="0.25">
      <c r="AL1329" s="17"/>
      <c r="AM1329" s="12"/>
      <c r="AN1329" s="18"/>
      <c r="AO1329" s="18"/>
      <c r="AP1329" s="10"/>
      <c r="AQ1329" s="10"/>
      <c r="AR1329" s="19"/>
      <c r="AS1329" s="20"/>
      <c r="AT1329" s="19"/>
      <c r="AV1329" s="21">
        <f>IF(AND($AL1329&lt;&gt;"",COUNTIF($AL$11:$AL1329,$AL1329)=1),1,0)</f>
        <v>0</v>
      </c>
      <c r="AW1329" s="21">
        <f t="shared" si="127"/>
        <v>0</v>
      </c>
      <c r="AX1329" s="21" t="str">
        <f t="shared" si="126"/>
        <v/>
      </c>
      <c r="AY1329" s="21" t="str">
        <f>IF(AND($AM1329&lt;&gt;"",$AS1329&lt;&gt;"✓"),SUMPRODUCT(($AM$11:$AM1329&lt;&gt;"")*($AS$11:$AS1329&lt;&gt;"✓")),"")</f>
        <v/>
      </c>
      <c r="AZ1329" s="21" t="str">
        <f>IF(AND($AM1329&lt;&gt;"",$AS1329="✓"),SUMPRODUCT(($AM$11:$AM1329&lt;&gt;"")*($AS$11:$AS1329="✓")),"")</f>
        <v/>
      </c>
      <c r="BA1329" s="21" t="str">
        <f>IF($AL1329="","",$AL1329&amp;"|"&amp;COUNTIF($AL$11:$AL1329,$AL1329))</f>
        <v/>
      </c>
    </row>
    <row r="1330" spans="38:53" ht="15" customHeight="1" x14ac:dyDescent="0.25">
      <c r="AL1330" s="31"/>
      <c r="AM1330" s="26"/>
      <c r="AN1330" s="32"/>
      <c r="AO1330" s="32"/>
      <c r="AP1330" s="24"/>
      <c r="AQ1330" s="24"/>
      <c r="AR1330" s="33"/>
      <c r="AS1330" s="34"/>
      <c r="AT1330" s="33"/>
      <c r="AV1330" s="21">
        <f>IF(AND($AL1330&lt;&gt;"",COUNTIF($AL$11:$AL1330,$AL1330)=1),1,0)</f>
        <v>0</v>
      </c>
      <c r="AW1330" s="21">
        <f t="shared" si="127"/>
        <v>0</v>
      </c>
      <c r="AX1330" s="21" t="str">
        <f t="shared" si="126"/>
        <v/>
      </c>
      <c r="AY1330" s="21" t="str">
        <f>IF(AND($AM1330&lt;&gt;"",$AS1330&lt;&gt;"✓"),SUMPRODUCT(($AM$11:$AM1330&lt;&gt;"")*($AS$11:$AS1330&lt;&gt;"✓")),"")</f>
        <v/>
      </c>
      <c r="AZ1330" s="21" t="str">
        <f>IF(AND($AM1330&lt;&gt;"",$AS1330="✓"),SUMPRODUCT(($AM$11:$AM1330&lt;&gt;"")*($AS$11:$AS1330="✓")),"")</f>
        <v/>
      </c>
      <c r="BA1330" s="21" t="str">
        <f>IF($AL1330="","",$AL1330&amp;"|"&amp;COUNTIF($AL$11:$AL1330,$AL1330))</f>
        <v/>
      </c>
    </row>
    <row r="1331" spans="38:53" ht="15" customHeight="1" x14ac:dyDescent="0.25">
      <c r="AL1331" s="17"/>
      <c r="AM1331" s="12"/>
      <c r="AN1331" s="18"/>
      <c r="AO1331" s="18"/>
      <c r="AP1331" s="10"/>
      <c r="AQ1331" s="10"/>
      <c r="AR1331" s="19"/>
      <c r="AS1331" s="20"/>
      <c r="AT1331" s="19"/>
      <c r="AV1331" s="21">
        <f>IF(AND($AL1331&lt;&gt;"",COUNTIF($AL$11:$AL1331,$AL1331)=1),1,0)</f>
        <v>0</v>
      </c>
      <c r="AW1331" s="21">
        <f t="shared" si="127"/>
        <v>0</v>
      </c>
      <c r="AX1331" s="21" t="str">
        <f t="shared" si="126"/>
        <v/>
      </c>
      <c r="AY1331" s="21" t="str">
        <f>IF(AND($AM1331&lt;&gt;"",$AS1331&lt;&gt;"✓"),SUMPRODUCT(($AM$11:$AM1331&lt;&gt;"")*($AS$11:$AS1331&lt;&gt;"✓")),"")</f>
        <v/>
      </c>
      <c r="AZ1331" s="21" t="str">
        <f>IF(AND($AM1331&lt;&gt;"",$AS1331="✓"),SUMPRODUCT(($AM$11:$AM1331&lt;&gt;"")*($AS$11:$AS1331="✓")),"")</f>
        <v/>
      </c>
      <c r="BA1331" s="21" t="str">
        <f>IF($AL1331="","",$AL1331&amp;"|"&amp;COUNTIF($AL$11:$AL1331,$AL1331))</f>
        <v/>
      </c>
    </row>
    <row r="1332" spans="38:53" ht="15" customHeight="1" x14ac:dyDescent="0.25">
      <c r="AL1332" s="31"/>
      <c r="AM1332" s="26"/>
      <c r="AN1332" s="32"/>
      <c r="AO1332" s="32"/>
      <c r="AP1332" s="24"/>
      <c r="AQ1332" s="24"/>
      <c r="AR1332" s="33"/>
      <c r="AS1332" s="34"/>
      <c r="AT1332" s="33"/>
      <c r="AV1332" s="21">
        <f>IF(AND($AL1332&lt;&gt;"",COUNTIF($AL$11:$AL1332,$AL1332)=1),1,0)</f>
        <v>0</v>
      </c>
      <c r="AW1332" s="21">
        <f t="shared" si="127"/>
        <v>0</v>
      </c>
      <c r="AX1332" s="21" t="str">
        <f t="shared" si="126"/>
        <v/>
      </c>
      <c r="AY1332" s="21" t="str">
        <f>IF(AND($AM1332&lt;&gt;"",$AS1332&lt;&gt;"✓"),SUMPRODUCT(($AM$11:$AM1332&lt;&gt;"")*($AS$11:$AS1332&lt;&gt;"✓")),"")</f>
        <v/>
      </c>
      <c r="AZ1332" s="21" t="str">
        <f>IF(AND($AM1332&lt;&gt;"",$AS1332="✓"),SUMPRODUCT(($AM$11:$AM1332&lt;&gt;"")*($AS$11:$AS1332="✓")),"")</f>
        <v/>
      </c>
      <c r="BA1332" s="21" t="str">
        <f>IF($AL1332="","",$AL1332&amp;"|"&amp;COUNTIF($AL$11:$AL1332,$AL1332))</f>
        <v/>
      </c>
    </row>
    <row r="1333" spans="38:53" ht="15" customHeight="1" x14ac:dyDescent="0.25">
      <c r="AL1333" s="17"/>
      <c r="AM1333" s="12"/>
      <c r="AN1333" s="18"/>
      <c r="AO1333" s="18"/>
      <c r="AP1333" s="10"/>
      <c r="AQ1333" s="10"/>
      <c r="AR1333" s="19"/>
      <c r="AS1333" s="20"/>
      <c r="AT1333" s="19"/>
      <c r="AV1333" s="21">
        <f>IF(AND($AL1333&lt;&gt;"",COUNTIF($AL$11:$AL1333,$AL1333)=1),1,0)</f>
        <v>0</v>
      </c>
      <c r="AW1333" s="21">
        <f t="shared" si="127"/>
        <v>0</v>
      </c>
      <c r="AX1333" s="21" t="str">
        <f t="shared" si="126"/>
        <v/>
      </c>
      <c r="AY1333" s="21" t="str">
        <f>IF(AND($AM1333&lt;&gt;"",$AS1333&lt;&gt;"✓"),SUMPRODUCT(($AM$11:$AM1333&lt;&gt;"")*($AS$11:$AS1333&lt;&gt;"✓")),"")</f>
        <v/>
      </c>
      <c r="AZ1333" s="21" t="str">
        <f>IF(AND($AM1333&lt;&gt;"",$AS1333="✓"),SUMPRODUCT(($AM$11:$AM1333&lt;&gt;"")*($AS$11:$AS1333="✓")),"")</f>
        <v/>
      </c>
      <c r="BA1333" s="21" t="str">
        <f>IF($AL1333="","",$AL1333&amp;"|"&amp;COUNTIF($AL$11:$AL1333,$AL1333))</f>
        <v/>
      </c>
    </row>
    <row r="1334" spans="38:53" ht="15" customHeight="1" x14ac:dyDescent="0.25">
      <c r="AL1334" s="31"/>
      <c r="AM1334" s="26"/>
      <c r="AN1334" s="32"/>
      <c r="AO1334" s="32"/>
      <c r="AP1334" s="24"/>
      <c r="AQ1334" s="24"/>
      <c r="AR1334" s="33"/>
      <c r="AS1334" s="34"/>
      <c r="AT1334" s="33"/>
      <c r="AV1334" s="21">
        <f>IF(AND($AL1334&lt;&gt;"",COUNTIF($AL$11:$AL1334,$AL1334)=1),1,0)</f>
        <v>0</v>
      </c>
      <c r="AW1334" s="21">
        <f t="shared" si="127"/>
        <v>0</v>
      </c>
      <c r="AX1334" s="21" t="str">
        <f t="shared" si="126"/>
        <v/>
      </c>
      <c r="AY1334" s="21" t="str">
        <f>IF(AND($AM1334&lt;&gt;"",$AS1334&lt;&gt;"✓"),SUMPRODUCT(($AM$11:$AM1334&lt;&gt;"")*($AS$11:$AS1334&lt;&gt;"✓")),"")</f>
        <v/>
      </c>
      <c r="AZ1334" s="21" t="str">
        <f>IF(AND($AM1334&lt;&gt;"",$AS1334="✓"),SUMPRODUCT(($AM$11:$AM1334&lt;&gt;"")*($AS$11:$AS1334="✓")),"")</f>
        <v/>
      </c>
      <c r="BA1334" s="21" t="str">
        <f>IF($AL1334="","",$AL1334&amp;"|"&amp;COUNTIF($AL$11:$AL1334,$AL1334))</f>
        <v/>
      </c>
    </row>
    <row r="1335" spans="38:53" ht="15" customHeight="1" x14ac:dyDescent="0.25">
      <c r="AL1335" s="17"/>
      <c r="AM1335" s="12"/>
      <c r="AN1335" s="18"/>
      <c r="AO1335" s="18"/>
      <c r="AP1335" s="10"/>
      <c r="AQ1335" s="10"/>
      <c r="AR1335" s="19"/>
      <c r="AS1335" s="20"/>
      <c r="AT1335" s="19"/>
      <c r="AV1335" s="21">
        <f>IF(AND($AL1335&lt;&gt;"",COUNTIF($AL$11:$AL1335,$AL1335)=1),1,0)</f>
        <v>0</v>
      </c>
      <c r="AW1335" s="21">
        <f t="shared" si="127"/>
        <v>0</v>
      </c>
      <c r="AX1335" s="21" t="str">
        <f t="shared" si="126"/>
        <v/>
      </c>
      <c r="AY1335" s="21" t="str">
        <f>IF(AND($AM1335&lt;&gt;"",$AS1335&lt;&gt;"✓"),SUMPRODUCT(($AM$11:$AM1335&lt;&gt;"")*($AS$11:$AS1335&lt;&gt;"✓")),"")</f>
        <v/>
      </c>
      <c r="AZ1335" s="21" t="str">
        <f>IF(AND($AM1335&lt;&gt;"",$AS1335="✓"),SUMPRODUCT(($AM$11:$AM1335&lt;&gt;"")*($AS$11:$AS1335="✓")),"")</f>
        <v/>
      </c>
      <c r="BA1335" s="21" t="str">
        <f>IF($AL1335="","",$AL1335&amp;"|"&amp;COUNTIF($AL$11:$AL1335,$AL1335))</f>
        <v/>
      </c>
    </row>
    <row r="1336" spans="38:53" ht="15" customHeight="1" x14ac:dyDescent="0.25">
      <c r="AL1336" s="31"/>
      <c r="AM1336" s="26"/>
      <c r="AN1336" s="32"/>
      <c r="AO1336" s="32"/>
      <c r="AP1336" s="24"/>
      <c r="AQ1336" s="24"/>
      <c r="AR1336" s="33"/>
      <c r="AS1336" s="34"/>
      <c r="AT1336" s="33"/>
      <c r="AV1336" s="21">
        <f>IF(AND($AL1336&lt;&gt;"",COUNTIF($AL$11:$AL1336,$AL1336)=1),1,0)</f>
        <v>0</v>
      </c>
      <c r="AW1336" s="21">
        <f t="shared" si="127"/>
        <v>0</v>
      </c>
      <c r="AX1336" s="21" t="str">
        <f t="shared" si="126"/>
        <v/>
      </c>
      <c r="AY1336" s="21" t="str">
        <f>IF(AND($AM1336&lt;&gt;"",$AS1336&lt;&gt;"✓"),SUMPRODUCT(($AM$11:$AM1336&lt;&gt;"")*($AS$11:$AS1336&lt;&gt;"✓")),"")</f>
        <v/>
      </c>
      <c r="AZ1336" s="21" t="str">
        <f>IF(AND($AM1336&lt;&gt;"",$AS1336="✓"),SUMPRODUCT(($AM$11:$AM1336&lt;&gt;"")*($AS$11:$AS1336="✓")),"")</f>
        <v/>
      </c>
      <c r="BA1336" s="21" t="str">
        <f>IF($AL1336="","",$AL1336&amp;"|"&amp;COUNTIF($AL$11:$AL1336,$AL1336))</f>
        <v/>
      </c>
    </row>
    <row r="1337" spans="38:53" ht="15" customHeight="1" x14ac:dyDescent="0.25">
      <c r="AL1337" s="17"/>
      <c r="AM1337" s="12"/>
      <c r="AN1337" s="18"/>
      <c r="AO1337" s="18"/>
      <c r="AP1337" s="10"/>
      <c r="AQ1337" s="10"/>
      <c r="AR1337" s="19"/>
      <c r="AS1337" s="20"/>
      <c r="AT1337" s="19"/>
      <c r="AV1337" s="21">
        <f>IF(AND($AL1337&lt;&gt;"",COUNTIF($AL$11:$AL1337,$AL1337)=1),1,0)</f>
        <v>0</v>
      </c>
      <c r="AW1337" s="21">
        <f t="shared" si="127"/>
        <v>0</v>
      </c>
      <c r="AX1337" s="21" t="str">
        <f t="shared" si="126"/>
        <v/>
      </c>
      <c r="AY1337" s="21" t="str">
        <f>IF(AND($AM1337&lt;&gt;"",$AS1337&lt;&gt;"✓"),SUMPRODUCT(($AM$11:$AM1337&lt;&gt;"")*($AS$11:$AS1337&lt;&gt;"✓")),"")</f>
        <v/>
      </c>
      <c r="AZ1337" s="21" t="str">
        <f>IF(AND($AM1337&lt;&gt;"",$AS1337="✓"),SUMPRODUCT(($AM$11:$AM1337&lt;&gt;"")*($AS$11:$AS1337="✓")),"")</f>
        <v/>
      </c>
      <c r="BA1337" s="21" t="str">
        <f>IF($AL1337="","",$AL1337&amp;"|"&amp;COUNTIF($AL$11:$AL1337,$AL1337))</f>
        <v/>
      </c>
    </row>
    <row r="1338" spans="38:53" ht="15" customHeight="1" x14ac:dyDescent="0.25">
      <c r="AL1338" s="31"/>
      <c r="AM1338" s="26"/>
      <c r="AN1338" s="32"/>
      <c r="AO1338" s="32"/>
      <c r="AP1338" s="24"/>
      <c r="AQ1338" s="24"/>
      <c r="AR1338" s="33"/>
      <c r="AS1338" s="34"/>
      <c r="AT1338" s="33"/>
      <c r="AV1338" s="21">
        <f>IF(AND($AL1338&lt;&gt;"",COUNTIF($AL$11:$AL1338,$AL1338)=1),1,0)</f>
        <v>0</v>
      </c>
      <c r="AW1338" s="21">
        <f t="shared" si="127"/>
        <v>0</v>
      </c>
      <c r="AX1338" s="21" t="str">
        <f t="shared" si="126"/>
        <v/>
      </c>
      <c r="AY1338" s="21" t="str">
        <f>IF(AND($AM1338&lt;&gt;"",$AS1338&lt;&gt;"✓"),SUMPRODUCT(($AM$11:$AM1338&lt;&gt;"")*($AS$11:$AS1338&lt;&gt;"✓")),"")</f>
        <v/>
      </c>
      <c r="AZ1338" s="21" t="str">
        <f>IF(AND($AM1338&lt;&gt;"",$AS1338="✓"),SUMPRODUCT(($AM$11:$AM1338&lt;&gt;"")*($AS$11:$AS1338="✓")),"")</f>
        <v/>
      </c>
      <c r="BA1338" s="21" t="str">
        <f>IF($AL1338="","",$AL1338&amp;"|"&amp;COUNTIF($AL$11:$AL1338,$AL1338))</f>
        <v/>
      </c>
    </row>
    <row r="1339" spans="38:53" ht="15" customHeight="1" x14ac:dyDescent="0.25">
      <c r="AL1339" s="17"/>
      <c r="AM1339" s="12"/>
      <c r="AN1339" s="18"/>
      <c r="AO1339" s="18"/>
      <c r="AP1339" s="10"/>
      <c r="AQ1339" s="10"/>
      <c r="AR1339" s="19"/>
      <c r="AS1339" s="20"/>
      <c r="AT1339" s="19"/>
      <c r="AV1339" s="21">
        <f>IF(AND($AL1339&lt;&gt;"",COUNTIF($AL$11:$AL1339,$AL1339)=1),1,0)</f>
        <v>0</v>
      </c>
      <c r="AW1339" s="21">
        <f t="shared" si="127"/>
        <v>0</v>
      </c>
      <c r="AX1339" s="21" t="str">
        <f t="shared" si="126"/>
        <v/>
      </c>
      <c r="AY1339" s="21" t="str">
        <f>IF(AND($AM1339&lt;&gt;"",$AS1339&lt;&gt;"✓"),SUMPRODUCT(($AM$11:$AM1339&lt;&gt;"")*($AS$11:$AS1339&lt;&gt;"✓")),"")</f>
        <v/>
      </c>
      <c r="AZ1339" s="21" t="str">
        <f>IF(AND($AM1339&lt;&gt;"",$AS1339="✓"),SUMPRODUCT(($AM$11:$AM1339&lt;&gt;"")*($AS$11:$AS1339="✓")),"")</f>
        <v/>
      </c>
      <c r="BA1339" s="21" t="str">
        <f>IF($AL1339="","",$AL1339&amp;"|"&amp;COUNTIF($AL$11:$AL1339,$AL1339))</f>
        <v/>
      </c>
    </row>
    <row r="1340" spans="38:53" ht="15" customHeight="1" x14ac:dyDescent="0.25">
      <c r="AL1340" s="31"/>
      <c r="AM1340" s="26"/>
      <c r="AN1340" s="32"/>
      <c r="AO1340" s="32"/>
      <c r="AP1340" s="24"/>
      <c r="AQ1340" s="24"/>
      <c r="AR1340" s="33"/>
      <c r="AS1340" s="34"/>
      <c r="AT1340" s="33"/>
      <c r="AV1340" s="21">
        <f>IF(AND($AL1340&lt;&gt;"",COUNTIF($AL$11:$AL1340,$AL1340)=1),1,0)</f>
        <v>0</v>
      </c>
      <c r="AW1340" s="21">
        <f t="shared" si="127"/>
        <v>0</v>
      </c>
      <c r="AX1340" s="21" t="str">
        <f t="shared" si="126"/>
        <v/>
      </c>
      <c r="AY1340" s="21" t="str">
        <f>IF(AND($AM1340&lt;&gt;"",$AS1340&lt;&gt;"✓"),SUMPRODUCT(($AM$11:$AM1340&lt;&gt;"")*($AS$11:$AS1340&lt;&gt;"✓")),"")</f>
        <v/>
      </c>
      <c r="AZ1340" s="21" t="str">
        <f>IF(AND($AM1340&lt;&gt;"",$AS1340="✓"),SUMPRODUCT(($AM$11:$AM1340&lt;&gt;"")*($AS$11:$AS1340="✓")),"")</f>
        <v/>
      </c>
      <c r="BA1340" s="21" t="str">
        <f>IF($AL1340="","",$AL1340&amp;"|"&amp;COUNTIF($AL$11:$AL1340,$AL1340))</f>
        <v/>
      </c>
    </row>
    <row r="1341" spans="38:53" ht="15" customHeight="1" x14ac:dyDescent="0.25">
      <c r="AL1341" s="17"/>
      <c r="AM1341" s="12"/>
      <c r="AN1341" s="18"/>
      <c r="AO1341" s="18"/>
      <c r="AP1341" s="10"/>
      <c r="AQ1341" s="10"/>
      <c r="AR1341" s="19"/>
      <c r="AS1341" s="20"/>
      <c r="AT1341" s="19"/>
      <c r="AV1341" s="21">
        <f>IF(AND($AL1341&lt;&gt;"",COUNTIF($AL$11:$AL1341,$AL1341)=1),1,0)</f>
        <v>0</v>
      </c>
      <c r="AW1341" s="21">
        <f t="shared" si="127"/>
        <v>0</v>
      </c>
      <c r="AX1341" s="21" t="str">
        <f t="shared" si="126"/>
        <v/>
      </c>
      <c r="AY1341" s="21" t="str">
        <f>IF(AND($AM1341&lt;&gt;"",$AS1341&lt;&gt;"✓"),SUMPRODUCT(($AM$11:$AM1341&lt;&gt;"")*($AS$11:$AS1341&lt;&gt;"✓")),"")</f>
        <v/>
      </c>
      <c r="AZ1341" s="21" t="str">
        <f>IF(AND($AM1341&lt;&gt;"",$AS1341="✓"),SUMPRODUCT(($AM$11:$AM1341&lt;&gt;"")*($AS$11:$AS1341="✓")),"")</f>
        <v/>
      </c>
      <c r="BA1341" s="21" t="str">
        <f>IF($AL1341="","",$AL1341&amp;"|"&amp;COUNTIF($AL$11:$AL1341,$AL1341))</f>
        <v/>
      </c>
    </row>
    <row r="1342" spans="38:53" ht="15" customHeight="1" x14ac:dyDescent="0.25">
      <c r="AL1342" s="31"/>
      <c r="AM1342" s="26"/>
      <c r="AN1342" s="32"/>
      <c r="AO1342" s="32"/>
      <c r="AP1342" s="24"/>
      <c r="AQ1342" s="24"/>
      <c r="AR1342" s="33"/>
      <c r="AS1342" s="34"/>
      <c r="AT1342" s="33"/>
      <c r="AV1342" s="21">
        <f>IF(AND($AL1342&lt;&gt;"",COUNTIF($AL$11:$AL1342,$AL1342)=1),1,0)</f>
        <v>0</v>
      </c>
      <c r="AW1342" s="21">
        <f t="shared" si="127"/>
        <v>0</v>
      </c>
      <c r="AX1342" s="21" t="str">
        <f t="shared" si="126"/>
        <v/>
      </c>
      <c r="AY1342" s="21" t="str">
        <f>IF(AND($AM1342&lt;&gt;"",$AS1342&lt;&gt;"✓"),SUMPRODUCT(($AM$11:$AM1342&lt;&gt;"")*($AS$11:$AS1342&lt;&gt;"✓")),"")</f>
        <v/>
      </c>
      <c r="AZ1342" s="21" t="str">
        <f>IF(AND($AM1342&lt;&gt;"",$AS1342="✓"),SUMPRODUCT(($AM$11:$AM1342&lt;&gt;"")*($AS$11:$AS1342="✓")),"")</f>
        <v/>
      </c>
      <c r="BA1342" s="21" t="str">
        <f>IF($AL1342="","",$AL1342&amp;"|"&amp;COUNTIF($AL$11:$AL1342,$AL1342))</f>
        <v/>
      </c>
    </row>
    <row r="1343" spans="38:53" ht="15" customHeight="1" x14ac:dyDescent="0.25">
      <c r="AL1343" s="17"/>
      <c r="AM1343" s="12"/>
      <c r="AN1343" s="18"/>
      <c r="AO1343" s="18"/>
      <c r="AP1343" s="10"/>
      <c r="AQ1343" s="10"/>
      <c r="AR1343" s="19"/>
      <c r="AS1343" s="20"/>
      <c r="AT1343" s="19"/>
      <c r="AV1343" s="21">
        <f>IF(AND($AL1343&lt;&gt;"",COUNTIF($AL$11:$AL1343,$AL1343)=1),1,0)</f>
        <v>0</v>
      </c>
      <c r="AW1343" s="21">
        <f t="shared" si="127"/>
        <v>0</v>
      </c>
      <c r="AX1343" s="21" t="str">
        <f t="shared" si="126"/>
        <v/>
      </c>
      <c r="AY1343" s="21" t="str">
        <f>IF(AND($AM1343&lt;&gt;"",$AS1343&lt;&gt;"✓"),SUMPRODUCT(($AM$11:$AM1343&lt;&gt;"")*($AS$11:$AS1343&lt;&gt;"✓")),"")</f>
        <v/>
      </c>
      <c r="AZ1343" s="21" t="str">
        <f>IF(AND($AM1343&lt;&gt;"",$AS1343="✓"),SUMPRODUCT(($AM$11:$AM1343&lt;&gt;"")*($AS$11:$AS1343="✓")),"")</f>
        <v/>
      </c>
      <c r="BA1343" s="21" t="str">
        <f>IF($AL1343="","",$AL1343&amp;"|"&amp;COUNTIF($AL$11:$AL1343,$AL1343))</f>
        <v/>
      </c>
    </row>
    <row r="1344" spans="38:53" ht="15" customHeight="1" x14ac:dyDescent="0.25">
      <c r="AL1344" s="31"/>
      <c r="AM1344" s="26"/>
      <c r="AN1344" s="32"/>
      <c r="AO1344" s="32"/>
      <c r="AP1344" s="24"/>
      <c r="AQ1344" s="24"/>
      <c r="AR1344" s="33"/>
      <c r="AS1344" s="34"/>
      <c r="AT1344" s="33"/>
      <c r="AV1344" s="21">
        <f>IF(AND($AL1344&lt;&gt;"",COUNTIF($AL$11:$AL1344,$AL1344)=1),1,0)</f>
        <v>0</v>
      </c>
      <c r="AW1344" s="21">
        <f t="shared" si="127"/>
        <v>0</v>
      </c>
      <c r="AX1344" s="21" t="str">
        <f t="shared" si="126"/>
        <v/>
      </c>
      <c r="AY1344" s="21" t="str">
        <f>IF(AND($AM1344&lt;&gt;"",$AS1344&lt;&gt;"✓"),SUMPRODUCT(($AM$11:$AM1344&lt;&gt;"")*($AS$11:$AS1344&lt;&gt;"✓")),"")</f>
        <v/>
      </c>
      <c r="AZ1344" s="21" t="str">
        <f>IF(AND($AM1344&lt;&gt;"",$AS1344="✓"),SUMPRODUCT(($AM$11:$AM1344&lt;&gt;"")*($AS$11:$AS1344="✓")),"")</f>
        <v/>
      </c>
      <c r="BA1344" s="21" t="str">
        <f>IF($AL1344="","",$AL1344&amp;"|"&amp;COUNTIF($AL$11:$AL1344,$AL1344))</f>
        <v/>
      </c>
    </row>
    <row r="1345" spans="38:53" ht="15" customHeight="1" x14ac:dyDescent="0.25">
      <c r="AL1345" s="17"/>
      <c r="AM1345" s="12"/>
      <c r="AN1345" s="18"/>
      <c r="AO1345" s="18"/>
      <c r="AP1345" s="10"/>
      <c r="AQ1345" s="10"/>
      <c r="AR1345" s="19"/>
      <c r="AS1345" s="20"/>
      <c r="AT1345" s="19"/>
      <c r="AV1345" s="21">
        <f>IF(AND($AL1345&lt;&gt;"",COUNTIF($AL$11:$AL1345,$AL1345)=1),1,0)</f>
        <v>0</v>
      </c>
      <c r="AW1345" s="21">
        <f t="shared" si="127"/>
        <v>0</v>
      </c>
      <c r="AX1345" s="21" t="str">
        <f t="shared" si="126"/>
        <v/>
      </c>
      <c r="AY1345" s="21" t="str">
        <f>IF(AND($AM1345&lt;&gt;"",$AS1345&lt;&gt;"✓"),SUMPRODUCT(($AM$11:$AM1345&lt;&gt;"")*($AS$11:$AS1345&lt;&gt;"✓")),"")</f>
        <v/>
      </c>
      <c r="AZ1345" s="21" t="str">
        <f>IF(AND($AM1345&lt;&gt;"",$AS1345="✓"),SUMPRODUCT(($AM$11:$AM1345&lt;&gt;"")*($AS$11:$AS1345="✓")),"")</f>
        <v/>
      </c>
      <c r="BA1345" s="21" t="str">
        <f>IF($AL1345="","",$AL1345&amp;"|"&amp;COUNTIF($AL$11:$AL1345,$AL1345))</f>
        <v/>
      </c>
    </row>
    <row r="1346" spans="38:53" ht="15" customHeight="1" x14ac:dyDescent="0.25">
      <c r="AL1346" s="31"/>
      <c r="AM1346" s="26"/>
      <c r="AN1346" s="32"/>
      <c r="AO1346" s="32"/>
      <c r="AP1346" s="24"/>
      <c r="AQ1346" s="24"/>
      <c r="AR1346" s="33"/>
      <c r="AS1346" s="34"/>
      <c r="AT1346" s="33"/>
      <c r="AV1346" s="21">
        <f>IF(AND($AL1346&lt;&gt;"",COUNTIF($AL$11:$AL1346,$AL1346)=1),1,0)</f>
        <v>0</v>
      </c>
      <c r="AW1346" s="21">
        <f t="shared" si="127"/>
        <v>0</v>
      </c>
      <c r="AX1346" s="21" t="str">
        <f t="shared" si="126"/>
        <v/>
      </c>
      <c r="AY1346" s="21" t="str">
        <f>IF(AND($AM1346&lt;&gt;"",$AS1346&lt;&gt;"✓"),SUMPRODUCT(($AM$11:$AM1346&lt;&gt;"")*($AS$11:$AS1346&lt;&gt;"✓")),"")</f>
        <v/>
      </c>
      <c r="AZ1346" s="21" t="str">
        <f>IF(AND($AM1346&lt;&gt;"",$AS1346="✓"),SUMPRODUCT(($AM$11:$AM1346&lt;&gt;"")*($AS$11:$AS1346="✓")),"")</f>
        <v/>
      </c>
      <c r="BA1346" s="21" t="str">
        <f>IF($AL1346="","",$AL1346&amp;"|"&amp;COUNTIF($AL$11:$AL1346,$AL1346))</f>
        <v/>
      </c>
    </row>
    <row r="1347" spans="38:53" ht="15" customHeight="1" x14ac:dyDescent="0.25">
      <c r="AL1347" s="17"/>
      <c r="AM1347" s="12"/>
      <c r="AN1347" s="18"/>
      <c r="AO1347" s="18"/>
      <c r="AP1347" s="10"/>
      <c r="AQ1347" s="10"/>
      <c r="AR1347" s="19"/>
      <c r="AS1347" s="20"/>
      <c r="AT1347" s="19"/>
      <c r="AV1347" s="21">
        <f>IF(AND($AL1347&lt;&gt;"",COUNTIF($AL$11:$AL1347,$AL1347)=1),1,0)</f>
        <v>0</v>
      </c>
      <c r="AW1347" s="21">
        <f t="shared" si="127"/>
        <v>0</v>
      </c>
      <c r="AX1347" s="21" t="str">
        <f t="shared" si="126"/>
        <v/>
      </c>
      <c r="AY1347" s="21" t="str">
        <f>IF(AND($AM1347&lt;&gt;"",$AS1347&lt;&gt;"✓"),SUMPRODUCT(($AM$11:$AM1347&lt;&gt;"")*($AS$11:$AS1347&lt;&gt;"✓")),"")</f>
        <v/>
      </c>
      <c r="AZ1347" s="21" t="str">
        <f>IF(AND($AM1347&lt;&gt;"",$AS1347="✓"),SUMPRODUCT(($AM$11:$AM1347&lt;&gt;"")*($AS$11:$AS1347="✓")),"")</f>
        <v/>
      </c>
      <c r="BA1347" s="21" t="str">
        <f>IF($AL1347="","",$AL1347&amp;"|"&amp;COUNTIF($AL$11:$AL1347,$AL1347))</f>
        <v/>
      </c>
    </row>
    <row r="1348" spans="38:53" ht="15" customHeight="1" x14ac:dyDescent="0.25">
      <c r="AL1348" s="31"/>
      <c r="AM1348" s="26"/>
      <c r="AN1348" s="32"/>
      <c r="AO1348" s="32"/>
      <c r="AP1348" s="24"/>
      <c r="AQ1348" s="24"/>
      <c r="AR1348" s="33"/>
      <c r="AS1348" s="34"/>
      <c r="AT1348" s="33"/>
      <c r="AV1348" s="21">
        <f>IF(AND($AL1348&lt;&gt;"",COUNTIF($AL$11:$AL1348,$AL1348)=1),1,0)</f>
        <v>0</v>
      </c>
      <c r="AW1348" s="21">
        <f t="shared" si="127"/>
        <v>0</v>
      </c>
      <c r="AX1348" s="21" t="str">
        <f t="shared" si="126"/>
        <v/>
      </c>
      <c r="AY1348" s="21" t="str">
        <f>IF(AND($AM1348&lt;&gt;"",$AS1348&lt;&gt;"✓"),SUMPRODUCT(($AM$11:$AM1348&lt;&gt;"")*($AS$11:$AS1348&lt;&gt;"✓")),"")</f>
        <v/>
      </c>
      <c r="AZ1348" s="21" t="str">
        <f>IF(AND($AM1348&lt;&gt;"",$AS1348="✓"),SUMPRODUCT(($AM$11:$AM1348&lt;&gt;"")*($AS$11:$AS1348="✓")),"")</f>
        <v/>
      </c>
      <c r="BA1348" s="21" t="str">
        <f>IF($AL1348="","",$AL1348&amp;"|"&amp;COUNTIF($AL$11:$AL1348,$AL1348))</f>
        <v/>
      </c>
    </row>
    <row r="1349" spans="38:53" ht="15" customHeight="1" x14ac:dyDescent="0.25">
      <c r="AL1349" s="17"/>
      <c r="AM1349" s="12"/>
      <c r="AN1349" s="18"/>
      <c r="AO1349" s="18"/>
      <c r="AP1349" s="10"/>
      <c r="AQ1349" s="10"/>
      <c r="AR1349" s="19"/>
      <c r="AS1349" s="20"/>
      <c r="AT1349" s="19"/>
      <c r="AV1349" s="21">
        <f>IF(AND($AL1349&lt;&gt;"",COUNTIF($AL$11:$AL1349,$AL1349)=1),1,0)</f>
        <v>0</v>
      </c>
      <c r="AW1349" s="21">
        <f t="shared" si="127"/>
        <v>0</v>
      </c>
      <c r="AX1349" s="21" t="str">
        <f t="shared" si="126"/>
        <v/>
      </c>
      <c r="AY1349" s="21" t="str">
        <f>IF(AND($AM1349&lt;&gt;"",$AS1349&lt;&gt;"✓"),SUMPRODUCT(($AM$11:$AM1349&lt;&gt;"")*($AS$11:$AS1349&lt;&gt;"✓")),"")</f>
        <v/>
      </c>
      <c r="AZ1349" s="21" t="str">
        <f>IF(AND($AM1349&lt;&gt;"",$AS1349="✓"),SUMPRODUCT(($AM$11:$AM1349&lt;&gt;"")*($AS$11:$AS1349="✓")),"")</f>
        <v/>
      </c>
      <c r="BA1349" s="21" t="str">
        <f>IF($AL1349="","",$AL1349&amp;"|"&amp;COUNTIF($AL$11:$AL1349,$AL1349))</f>
        <v/>
      </c>
    </row>
    <row r="1350" spans="38:53" ht="15" customHeight="1" x14ac:dyDescent="0.25">
      <c r="AL1350" s="31"/>
      <c r="AM1350" s="26"/>
      <c r="AN1350" s="32"/>
      <c r="AO1350" s="32"/>
      <c r="AP1350" s="24"/>
      <c r="AQ1350" s="24"/>
      <c r="AR1350" s="33"/>
      <c r="AS1350" s="34"/>
      <c r="AT1350" s="33"/>
      <c r="AV1350" s="21">
        <f>IF(AND($AL1350&lt;&gt;"",COUNTIF($AL$11:$AL1350,$AL1350)=1),1,0)</f>
        <v>0</v>
      </c>
      <c r="AW1350" s="21">
        <f t="shared" si="127"/>
        <v>0</v>
      </c>
      <c r="AX1350" s="21" t="str">
        <f t="shared" si="126"/>
        <v/>
      </c>
      <c r="AY1350" s="21" t="str">
        <f>IF(AND($AM1350&lt;&gt;"",$AS1350&lt;&gt;"✓"),SUMPRODUCT(($AM$11:$AM1350&lt;&gt;"")*($AS$11:$AS1350&lt;&gt;"✓")),"")</f>
        <v/>
      </c>
      <c r="AZ1350" s="21" t="str">
        <f>IF(AND($AM1350&lt;&gt;"",$AS1350="✓"),SUMPRODUCT(($AM$11:$AM1350&lt;&gt;"")*($AS$11:$AS1350="✓")),"")</f>
        <v/>
      </c>
      <c r="BA1350" s="21" t="str">
        <f>IF($AL1350="","",$AL1350&amp;"|"&amp;COUNTIF($AL$11:$AL1350,$AL1350))</f>
        <v/>
      </c>
    </row>
    <row r="1351" spans="38:53" ht="15" customHeight="1" x14ac:dyDescent="0.25">
      <c r="AL1351" s="17"/>
      <c r="AM1351" s="12"/>
      <c r="AN1351" s="18"/>
      <c r="AO1351" s="18"/>
      <c r="AP1351" s="10"/>
      <c r="AQ1351" s="10"/>
      <c r="AR1351" s="19"/>
      <c r="AS1351" s="20"/>
      <c r="AT1351" s="19"/>
      <c r="AV1351" s="21">
        <f>IF(AND($AL1351&lt;&gt;"",COUNTIF($AL$11:$AL1351,$AL1351)=1),1,0)</f>
        <v>0</v>
      </c>
      <c r="AW1351" s="21">
        <f t="shared" si="127"/>
        <v>0</v>
      </c>
      <c r="AX1351" s="21" t="str">
        <f t="shared" si="126"/>
        <v/>
      </c>
      <c r="AY1351" s="21" t="str">
        <f>IF(AND($AM1351&lt;&gt;"",$AS1351&lt;&gt;"✓"),SUMPRODUCT(($AM$11:$AM1351&lt;&gt;"")*($AS$11:$AS1351&lt;&gt;"✓")),"")</f>
        <v/>
      </c>
      <c r="AZ1351" s="21" t="str">
        <f>IF(AND($AM1351&lt;&gt;"",$AS1351="✓"),SUMPRODUCT(($AM$11:$AM1351&lt;&gt;"")*($AS$11:$AS1351="✓")),"")</f>
        <v/>
      </c>
      <c r="BA1351" s="21" t="str">
        <f>IF($AL1351="","",$AL1351&amp;"|"&amp;COUNTIF($AL$11:$AL1351,$AL1351))</f>
        <v/>
      </c>
    </row>
    <row r="1352" spans="38:53" ht="15" customHeight="1" x14ac:dyDescent="0.25">
      <c r="AL1352" s="31"/>
      <c r="AM1352" s="26"/>
      <c r="AN1352" s="32"/>
      <c r="AO1352" s="32"/>
      <c r="AP1352" s="24"/>
      <c r="AQ1352" s="24"/>
      <c r="AR1352" s="33"/>
      <c r="AS1352" s="34"/>
      <c r="AT1352" s="33"/>
      <c r="AV1352" s="21">
        <f>IF(AND($AL1352&lt;&gt;"",COUNTIF($AL$11:$AL1352,$AL1352)=1),1,0)</f>
        <v>0</v>
      </c>
      <c r="AW1352" s="21">
        <f t="shared" si="127"/>
        <v>0</v>
      </c>
      <c r="AX1352" s="21" t="str">
        <f t="shared" si="126"/>
        <v/>
      </c>
      <c r="AY1352" s="21" t="str">
        <f>IF(AND($AM1352&lt;&gt;"",$AS1352&lt;&gt;"✓"),SUMPRODUCT(($AM$11:$AM1352&lt;&gt;"")*($AS$11:$AS1352&lt;&gt;"✓")),"")</f>
        <v/>
      </c>
      <c r="AZ1352" s="21" t="str">
        <f>IF(AND($AM1352&lt;&gt;"",$AS1352="✓"),SUMPRODUCT(($AM$11:$AM1352&lt;&gt;"")*($AS$11:$AS1352="✓")),"")</f>
        <v/>
      </c>
      <c r="BA1352" s="21" t="str">
        <f>IF($AL1352="","",$AL1352&amp;"|"&amp;COUNTIF($AL$11:$AL1352,$AL1352))</f>
        <v/>
      </c>
    </row>
    <row r="1353" spans="38:53" ht="15" customHeight="1" x14ac:dyDescent="0.25">
      <c r="AL1353" s="17"/>
      <c r="AM1353" s="12"/>
      <c r="AN1353" s="18"/>
      <c r="AO1353" s="18"/>
      <c r="AP1353" s="10"/>
      <c r="AQ1353" s="10"/>
      <c r="AR1353" s="19"/>
      <c r="AS1353" s="20"/>
      <c r="AT1353" s="19"/>
      <c r="AV1353" s="21">
        <f>IF(AND($AL1353&lt;&gt;"",COUNTIF($AL$11:$AL1353,$AL1353)=1),1,0)</f>
        <v>0</v>
      </c>
      <c r="AW1353" s="21">
        <f t="shared" si="127"/>
        <v>0</v>
      </c>
      <c r="AX1353" s="21" t="str">
        <f t="shared" si="126"/>
        <v/>
      </c>
      <c r="AY1353" s="21" t="str">
        <f>IF(AND($AM1353&lt;&gt;"",$AS1353&lt;&gt;"✓"),SUMPRODUCT(($AM$11:$AM1353&lt;&gt;"")*($AS$11:$AS1353&lt;&gt;"✓")),"")</f>
        <v/>
      </c>
      <c r="AZ1353" s="21" t="str">
        <f>IF(AND($AM1353&lt;&gt;"",$AS1353="✓"),SUMPRODUCT(($AM$11:$AM1353&lt;&gt;"")*($AS$11:$AS1353="✓")),"")</f>
        <v/>
      </c>
      <c r="BA1353" s="21" t="str">
        <f>IF($AL1353="","",$AL1353&amp;"|"&amp;COUNTIF($AL$11:$AL1353,$AL1353))</f>
        <v/>
      </c>
    </row>
    <row r="1354" spans="38:53" ht="15" customHeight="1" x14ac:dyDescent="0.25">
      <c r="AL1354" s="31"/>
      <c r="AM1354" s="26"/>
      <c r="AN1354" s="32"/>
      <c r="AO1354" s="32"/>
      <c r="AP1354" s="24"/>
      <c r="AQ1354" s="24"/>
      <c r="AR1354" s="33"/>
      <c r="AS1354" s="34"/>
      <c r="AT1354" s="33"/>
      <c r="AV1354" s="21">
        <f>IF(AND($AL1354&lt;&gt;"",COUNTIF($AL$11:$AL1354,$AL1354)=1),1,0)</f>
        <v>0</v>
      </c>
      <c r="AW1354" s="21">
        <f t="shared" si="127"/>
        <v>0</v>
      </c>
      <c r="AX1354" s="21" t="str">
        <f t="shared" si="126"/>
        <v/>
      </c>
      <c r="AY1354" s="21" t="str">
        <f>IF(AND($AM1354&lt;&gt;"",$AS1354&lt;&gt;"✓"),SUMPRODUCT(($AM$11:$AM1354&lt;&gt;"")*($AS$11:$AS1354&lt;&gt;"✓")),"")</f>
        <v/>
      </c>
      <c r="AZ1354" s="21" t="str">
        <f>IF(AND($AM1354&lt;&gt;"",$AS1354="✓"),SUMPRODUCT(($AM$11:$AM1354&lt;&gt;"")*($AS$11:$AS1354="✓")),"")</f>
        <v/>
      </c>
      <c r="BA1354" s="21" t="str">
        <f>IF($AL1354="","",$AL1354&amp;"|"&amp;COUNTIF($AL$11:$AL1354,$AL1354))</f>
        <v/>
      </c>
    </row>
    <row r="1355" spans="38:53" ht="15" customHeight="1" x14ac:dyDescent="0.25">
      <c r="AL1355" s="17"/>
      <c r="AM1355" s="12"/>
      <c r="AN1355" s="18"/>
      <c r="AO1355" s="18"/>
      <c r="AP1355" s="10"/>
      <c r="AQ1355" s="10"/>
      <c r="AR1355" s="19"/>
      <c r="AS1355" s="20"/>
      <c r="AT1355" s="19"/>
      <c r="AV1355" s="21">
        <f>IF(AND($AL1355&lt;&gt;"",COUNTIF($AL$11:$AL1355,$AL1355)=1),1,0)</f>
        <v>0</v>
      </c>
      <c r="AW1355" s="21">
        <f t="shared" si="127"/>
        <v>0</v>
      </c>
      <c r="AX1355" s="21" t="str">
        <f t="shared" ref="AX1355:AX1418" si="128">IF(AV1355=1,AW1355,"")</f>
        <v/>
      </c>
      <c r="AY1355" s="21" t="str">
        <f>IF(AND($AM1355&lt;&gt;"",$AS1355&lt;&gt;"✓"),SUMPRODUCT(($AM$11:$AM1355&lt;&gt;"")*($AS$11:$AS1355&lt;&gt;"✓")),"")</f>
        <v/>
      </c>
      <c r="AZ1355" s="21" t="str">
        <f>IF(AND($AM1355&lt;&gt;"",$AS1355="✓"),SUMPRODUCT(($AM$11:$AM1355&lt;&gt;"")*($AS$11:$AS1355="✓")),"")</f>
        <v/>
      </c>
      <c r="BA1355" s="21" t="str">
        <f>IF($AL1355="","",$AL1355&amp;"|"&amp;COUNTIF($AL$11:$AL1355,$AL1355))</f>
        <v/>
      </c>
    </row>
    <row r="1356" spans="38:53" ht="15" customHeight="1" x14ac:dyDescent="0.25">
      <c r="AL1356" s="31"/>
      <c r="AM1356" s="26"/>
      <c r="AN1356" s="32"/>
      <c r="AO1356" s="32"/>
      <c r="AP1356" s="24"/>
      <c r="AQ1356" s="24"/>
      <c r="AR1356" s="33"/>
      <c r="AS1356" s="34"/>
      <c r="AT1356" s="33"/>
      <c r="AV1356" s="21">
        <f>IF(AND($AL1356&lt;&gt;"",COUNTIF($AL$11:$AL1356,$AL1356)=1),1,0)</f>
        <v>0</v>
      </c>
      <c r="AW1356" s="21">
        <f t="shared" ref="AW1356:AW1419" si="129">AW1355+AV1356</f>
        <v>0</v>
      </c>
      <c r="AX1356" s="21" t="str">
        <f t="shared" si="128"/>
        <v/>
      </c>
      <c r="AY1356" s="21" t="str">
        <f>IF(AND($AM1356&lt;&gt;"",$AS1356&lt;&gt;"✓"),SUMPRODUCT(($AM$11:$AM1356&lt;&gt;"")*($AS$11:$AS1356&lt;&gt;"✓")),"")</f>
        <v/>
      </c>
      <c r="AZ1356" s="21" t="str">
        <f>IF(AND($AM1356&lt;&gt;"",$AS1356="✓"),SUMPRODUCT(($AM$11:$AM1356&lt;&gt;"")*($AS$11:$AS1356="✓")),"")</f>
        <v/>
      </c>
      <c r="BA1356" s="21" t="str">
        <f>IF($AL1356="","",$AL1356&amp;"|"&amp;COUNTIF($AL$11:$AL1356,$AL1356))</f>
        <v/>
      </c>
    </row>
    <row r="1357" spans="38:53" ht="15" customHeight="1" x14ac:dyDescent="0.25">
      <c r="AL1357" s="17"/>
      <c r="AM1357" s="12"/>
      <c r="AN1357" s="18"/>
      <c r="AO1357" s="18"/>
      <c r="AP1357" s="10"/>
      <c r="AQ1357" s="10"/>
      <c r="AR1357" s="19"/>
      <c r="AS1357" s="20"/>
      <c r="AT1357" s="19"/>
      <c r="AV1357" s="21">
        <f>IF(AND($AL1357&lt;&gt;"",COUNTIF($AL$11:$AL1357,$AL1357)=1),1,0)</f>
        <v>0</v>
      </c>
      <c r="AW1357" s="21">
        <f t="shared" si="129"/>
        <v>0</v>
      </c>
      <c r="AX1357" s="21" t="str">
        <f t="shared" si="128"/>
        <v/>
      </c>
      <c r="AY1357" s="21" t="str">
        <f>IF(AND($AM1357&lt;&gt;"",$AS1357&lt;&gt;"✓"),SUMPRODUCT(($AM$11:$AM1357&lt;&gt;"")*($AS$11:$AS1357&lt;&gt;"✓")),"")</f>
        <v/>
      </c>
      <c r="AZ1357" s="21" t="str">
        <f>IF(AND($AM1357&lt;&gt;"",$AS1357="✓"),SUMPRODUCT(($AM$11:$AM1357&lt;&gt;"")*($AS$11:$AS1357="✓")),"")</f>
        <v/>
      </c>
      <c r="BA1357" s="21" t="str">
        <f>IF($AL1357="","",$AL1357&amp;"|"&amp;COUNTIF($AL$11:$AL1357,$AL1357))</f>
        <v/>
      </c>
    </row>
    <row r="1358" spans="38:53" ht="15" customHeight="1" x14ac:dyDescent="0.25">
      <c r="AL1358" s="31"/>
      <c r="AM1358" s="26"/>
      <c r="AN1358" s="32"/>
      <c r="AO1358" s="32"/>
      <c r="AP1358" s="24"/>
      <c r="AQ1358" s="24"/>
      <c r="AR1358" s="33"/>
      <c r="AS1358" s="34"/>
      <c r="AT1358" s="33"/>
      <c r="AV1358" s="21">
        <f>IF(AND($AL1358&lt;&gt;"",COUNTIF($AL$11:$AL1358,$AL1358)=1),1,0)</f>
        <v>0</v>
      </c>
      <c r="AW1358" s="21">
        <f t="shared" si="129"/>
        <v>0</v>
      </c>
      <c r="AX1358" s="21" t="str">
        <f t="shared" si="128"/>
        <v/>
      </c>
      <c r="AY1358" s="21" t="str">
        <f>IF(AND($AM1358&lt;&gt;"",$AS1358&lt;&gt;"✓"),SUMPRODUCT(($AM$11:$AM1358&lt;&gt;"")*($AS$11:$AS1358&lt;&gt;"✓")),"")</f>
        <v/>
      </c>
      <c r="AZ1358" s="21" t="str">
        <f>IF(AND($AM1358&lt;&gt;"",$AS1358="✓"),SUMPRODUCT(($AM$11:$AM1358&lt;&gt;"")*($AS$11:$AS1358="✓")),"")</f>
        <v/>
      </c>
      <c r="BA1358" s="21" t="str">
        <f>IF($AL1358="","",$AL1358&amp;"|"&amp;COUNTIF($AL$11:$AL1358,$AL1358))</f>
        <v/>
      </c>
    </row>
    <row r="1359" spans="38:53" ht="15" customHeight="1" x14ac:dyDescent="0.25">
      <c r="AL1359" s="17"/>
      <c r="AM1359" s="12"/>
      <c r="AN1359" s="18"/>
      <c r="AO1359" s="18"/>
      <c r="AP1359" s="10"/>
      <c r="AQ1359" s="10"/>
      <c r="AR1359" s="19"/>
      <c r="AS1359" s="20"/>
      <c r="AT1359" s="19"/>
      <c r="AV1359" s="21">
        <f>IF(AND($AL1359&lt;&gt;"",COUNTIF($AL$11:$AL1359,$AL1359)=1),1,0)</f>
        <v>0</v>
      </c>
      <c r="AW1359" s="21">
        <f t="shared" si="129"/>
        <v>0</v>
      </c>
      <c r="AX1359" s="21" t="str">
        <f t="shared" si="128"/>
        <v/>
      </c>
      <c r="AY1359" s="21" t="str">
        <f>IF(AND($AM1359&lt;&gt;"",$AS1359&lt;&gt;"✓"),SUMPRODUCT(($AM$11:$AM1359&lt;&gt;"")*($AS$11:$AS1359&lt;&gt;"✓")),"")</f>
        <v/>
      </c>
      <c r="AZ1359" s="21" t="str">
        <f>IF(AND($AM1359&lt;&gt;"",$AS1359="✓"),SUMPRODUCT(($AM$11:$AM1359&lt;&gt;"")*($AS$11:$AS1359="✓")),"")</f>
        <v/>
      </c>
      <c r="BA1359" s="21" t="str">
        <f>IF($AL1359="","",$AL1359&amp;"|"&amp;COUNTIF($AL$11:$AL1359,$AL1359))</f>
        <v/>
      </c>
    </row>
    <row r="1360" spans="38:53" ht="15" customHeight="1" x14ac:dyDescent="0.25">
      <c r="AL1360" s="31"/>
      <c r="AM1360" s="26"/>
      <c r="AN1360" s="32"/>
      <c r="AO1360" s="32"/>
      <c r="AP1360" s="24"/>
      <c r="AQ1360" s="24"/>
      <c r="AR1360" s="33"/>
      <c r="AS1360" s="34"/>
      <c r="AT1360" s="33"/>
      <c r="AV1360" s="21">
        <f>IF(AND($AL1360&lt;&gt;"",COUNTIF($AL$11:$AL1360,$AL1360)=1),1,0)</f>
        <v>0</v>
      </c>
      <c r="AW1360" s="21">
        <f t="shared" si="129"/>
        <v>0</v>
      </c>
      <c r="AX1360" s="21" t="str">
        <f t="shared" si="128"/>
        <v/>
      </c>
      <c r="AY1360" s="21" t="str">
        <f>IF(AND($AM1360&lt;&gt;"",$AS1360&lt;&gt;"✓"),SUMPRODUCT(($AM$11:$AM1360&lt;&gt;"")*($AS$11:$AS1360&lt;&gt;"✓")),"")</f>
        <v/>
      </c>
      <c r="AZ1360" s="21" t="str">
        <f>IF(AND($AM1360&lt;&gt;"",$AS1360="✓"),SUMPRODUCT(($AM$11:$AM1360&lt;&gt;"")*($AS$11:$AS1360="✓")),"")</f>
        <v/>
      </c>
      <c r="BA1360" s="21" t="str">
        <f>IF($AL1360="","",$AL1360&amp;"|"&amp;COUNTIF($AL$11:$AL1360,$AL1360))</f>
        <v/>
      </c>
    </row>
    <row r="1361" spans="38:53" ht="15" customHeight="1" x14ac:dyDescent="0.25">
      <c r="AL1361" s="17"/>
      <c r="AM1361" s="12"/>
      <c r="AN1361" s="18"/>
      <c r="AO1361" s="18"/>
      <c r="AP1361" s="10"/>
      <c r="AQ1361" s="10"/>
      <c r="AR1361" s="19"/>
      <c r="AS1361" s="20"/>
      <c r="AT1361" s="19"/>
      <c r="AV1361" s="21">
        <f>IF(AND($AL1361&lt;&gt;"",COUNTIF($AL$11:$AL1361,$AL1361)=1),1,0)</f>
        <v>0</v>
      </c>
      <c r="AW1361" s="21">
        <f t="shared" si="129"/>
        <v>0</v>
      </c>
      <c r="AX1361" s="21" t="str">
        <f t="shared" si="128"/>
        <v/>
      </c>
      <c r="AY1361" s="21" t="str">
        <f>IF(AND($AM1361&lt;&gt;"",$AS1361&lt;&gt;"✓"),SUMPRODUCT(($AM$11:$AM1361&lt;&gt;"")*($AS$11:$AS1361&lt;&gt;"✓")),"")</f>
        <v/>
      </c>
      <c r="AZ1361" s="21" t="str">
        <f>IF(AND($AM1361&lt;&gt;"",$AS1361="✓"),SUMPRODUCT(($AM$11:$AM1361&lt;&gt;"")*($AS$11:$AS1361="✓")),"")</f>
        <v/>
      </c>
      <c r="BA1361" s="21" t="str">
        <f>IF($AL1361="","",$AL1361&amp;"|"&amp;COUNTIF($AL$11:$AL1361,$AL1361))</f>
        <v/>
      </c>
    </row>
    <row r="1362" spans="38:53" ht="15" customHeight="1" x14ac:dyDescent="0.25">
      <c r="AL1362" s="31"/>
      <c r="AM1362" s="26"/>
      <c r="AN1362" s="32"/>
      <c r="AO1362" s="32"/>
      <c r="AP1362" s="24"/>
      <c r="AQ1362" s="24"/>
      <c r="AR1362" s="33"/>
      <c r="AS1362" s="34"/>
      <c r="AT1362" s="33"/>
      <c r="AV1362" s="21">
        <f>IF(AND($AL1362&lt;&gt;"",COUNTIF($AL$11:$AL1362,$AL1362)=1),1,0)</f>
        <v>0</v>
      </c>
      <c r="AW1362" s="21">
        <f t="shared" si="129"/>
        <v>0</v>
      </c>
      <c r="AX1362" s="21" t="str">
        <f t="shared" si="128"/>
        <v/>
      </c>
      <c r="AY1362" s="21" t="str">
        <f>IF(AND($AM1362&lt;&gt;"",$AS1362&lt;&gt;"✓"),SUMPRODUCT(($AM$11:$AM1362&lt;&gt;"")*($AS$11:$AS1362&lt;&gt;"✓")),"")</f>
        <v/>
      </c>
      <c r="AZ1362" s="21" t="str">
        <f>IF(AND($AM1362&lt;&gt;"",$AS1362="✓"),SUMPRODUCT(($AM$11:$AM1362&lt;&gt;"")*($AS$11:$AS1362="✓")),"")</f>
        <v/>
      </c>
      <c r="BA1362" s="21" t="str">
        <f>IF($AL1362="","",$AL1362&amp;"|"&amp;COUNTIF($AL$11:$AL1362,$AL1362))</f>
        <v/>
      </c>
    </row>
    <row r="1363" spans="38:53" ht="15" customHeight="1" x14ac:dyDescent="0.25">
      <c r="AL1363" s="17"/>
      <c r="AM1363" s="12"/>
      <c r="AN1363" s="18"/>
      <c r="AO1363" s="18"/>
      <c r="AP1363" s="10"/>
      <c r="AQ1363" s="10"/>
      <c r="AR1363" s="19"/>
      <c r="AS1363" s="20"/>
      <c r="AT1363" s="19"/>
      <c r="AV1363" s="21">
        <f>IF(AND($AL1363&lt;&gt;"",COUNTIF($AL$11:$AL1363,$AL1363)=1),1,0)</f>
        <v>0</v>
      </c>
      <c r="AW1363" s="21">
        <f t="shared" si="129"/>
        <v>0</v>
      </c>
      <c r="AX1363" s="21" t="str">
        <f t="shared" si="128"/>
        <v/>
      </c>
      <c r="AY1363" s="21" t="str">
        <f>IF(AND($AM1363&lt;&gt;"",$AS1363&lt;&gt;"✓"),SUMPRODUCT(($AM$11:$AM1363&lt;&gt;"")*($AS$11:$AS1363&lt;&gt;"✓")),"")</f>
        <v/>
      </c>
      <c r="AZ1363" s="21" t="str">
        <f>IF(AND($AM1363&lt;&gt;"",$AS1363="✓"),SUMPRODUCT(($AM$11:$AM1363&lt;&gt;"")*($AS$11:$AS1363="✓")),"")</f>
        <v/>
      </c>
      <c r="BA1363" s="21" t="str">
        <f>IF($AL1363="","",$AL1363&amp;"|"&amp;COUNTIF($AL$11:$AL1363,$AL1363))</f>
        <v/>
      </c>
    </row>
    <row r="1364" spans="38:53" ht="15" customHeight="1" x14ac:dyDescent="0.25">
      <c r="AL1364" s="31"/>
      <c r="AM1364" s="26"/>
      <c r="AN1364" s="32"/>
      <c r="AO1364" s="32"/>
      <c r="AP1364" s="24"/>
      <c r="AQ1364" s="24"/>
      <c r="AR1364" s="33"/>
      <c r="AS1364" s="34"/>
      <c r="AT1364" s="33"/>
      <c r="AV1364" s="21">
        <f>IF(AND($AL1364&lt;&gt;"",COUNTIF($AL$11:$AL1364,$AL1364)=1),1,0)</f>
        <v>0</v>
      </c>
      <c r="AW1364" s="21">
        <f t="shared" si="129"/>
        <v>0</v>
      </c>
      <c r="AX1364" s="21" t="str">
        <f t="shared" si="128"/>
        <v/>
      </c>
      <c r="AY1364" s="21" t="str">
        <f>IF(AND($AM1364&lt;&gt;"",$AS1364&lt;&gt;"✓"),SUMPRODUCT(($AM$11:$AM1364&lt;&gt;"")*($AS$11:$AS1364&lt;&gt;"✓")),"")</f>
        <v/>
      </c>
      <c r="AZ1364" s="21" t="str">
        <f>IF(AND($AM1364&lt;&gt;"",$AS1364="✓"),SUMPRODUCT(($AM$11:$AM1364&lt;&gt;"")*($AS$11:$AS1364="✓")),"")</f>
        <v/>
      </c>
      <c r="BA1364" s="21" t="str">
        <f>IF($AL1364="","",$AL1364&amp;"|"&amp;COUNTIF($AL$11:$AL1364,$AL1364))</f>
        <v/>
      </c>
    </row>
    <row r="1365" spans="38:53" ht="15" customHeight="1" x14ac:dyDescent="0.25">
      <c r="AL1365" s="17"/>
      <c r="AM1365" s="12"/>
      <c r="AN1365" s="18"/>
      <c r="AO1365" s="18"/>
      <c r="AP1365" s="10"/>
      <c r="AQ1365" s="10"/>
      <c r="AR1365" s="19"/>
      <c r="AS1365" s="20"/>
      <c r="AT1365" s="19"/>
      <c r="AV1365" s="21">
        <f>IF(AND($AL1365&lt;&gt;"",COUNTIF($AL$11:$AL1365,$AL1365)=1),1,0)</f>
        <v>0</v>
      </c>
      <c r="AW1365" s="21">
        <f t="shared" si="129"/>
        <v>0</v>
      </c>
      <c r="AX1365" s="21" t="str">
        <f t="shared" si="128"/>
        <v/>
      </c>
      <c r="AY1365" s="21" t="str">
        <f>IF(AND($AM1365&lt;&gt;"",$AS1365&lt;&gt;"✓"),SUMPRODUCT(($AM$11:$AM1365&lt;&gt;"")*($AS$11:$AS1365&lt;&gt;"✓")),"")</f>
        <v/>
      </c>
      <c r="AZ1365" s="21" t="str">
        <f>IF(AND($AM1365&lt;&gt;"",$AS1365="✓"),SUMPRODUCT(($AM$11:$AM1365&lt;&gt;"")*($AS$11:$AS1365="✓")),"")</f>
        <v/>
      </c>
      <c r="BA1365" s="21" t="str">
        <f>IF($AL1365="","",$AL1365&amp;"|"&amp;COUNTIF($AL$11:$AL1365,$AL1365))</f>
        <v/>
      </c>
    </row>
    <row r="1366" spans="38:53" ht="15" customHeight="1" x14ac:dyDescent="0.25">
      <c r="AL1366" s="31"/>
      <c r="AM1366" s="26"/>
      <c r="AN1366" s="32"/>
      <c r="AO1366" s="32"/>
      <c r="AP1366" s="24"/>
      <c r="AQ1366" s="24"/>
      <c r="AR1366" s="33"/>
      <c r="AS1366" s="34"/>
      <c r="AT1366" s="33"/>
      <c r="AV1366" s="21">
        <f>IF(AND($AL1366&lt;&gt;"",COUNTIF($AL$11:$AL1366,$AL1366)=1),1,0)</f>
        <v>0</v>
      </c>
      <c r="AW1366" s="21">
        <f t="shared" si="129"/>
        <v>0</v>
      </c>
      <c r="AX1366" s="21" t="str">
        <f t="shared" si="128"/>
        <v/>
      </c>
      <c r="AY1366" s="21" t="str">
        <f>IF(AND($AM1366&lt;&gt;"",$AS1366&lt;&gt;"✓"),SUMPRODUCT(($AM$11:$AM1366&lt;&gt;"")*($AS$11:$AS1366&lt;&gt;"✓")),"")</f>
        <v/>
      </c>
      <c r="AZ1366" s="21" t="str">
        <f>IF(AND($AM1366&lt;&gt;"",$AS1366="✓"),SUMPRODUCT(($AM$11:$AM1366&lt;&gt;"")*($AS$11:$AS1366="✓")),"")</f>
        <v/>
      </c>
      <c r="BA1366" s="21" t="str">
        <f>IF($AL1366="","",$AL1366&amp;"|"&amp;COUNTIF($AL$11:$AL1366,$AL1366))</f>
        <v/>
      </c>
    </row>
    <row r="1367" spans="38:53" ht="15" customHeight="1" x14ac:dyDescent="0.25">
      <c r="AL1367" s="17"/>
      <c r="AM1367" s="12"/>
      <c r="AN1367" s="18"/>
      <c r="AO1367" s="18"/>
      <c r="AP1367" s="10"/>
      <c r="AQ1367" s="10"/>
      <c r="AR1367" s="19"/>
      <c r="AS1367" s="20"/>
      <c r="AT1367" s="19"/>
      <c r="AV1367" s="21">
        <f>IF(AND($AL1367&lt;&gt;"",COUNTIF($AL$11:$AL1367,$AL1367)=1),1,0)</f>
        <v>0</v>
      </c>
      <c r="AW1367" s="21">
        <f t="shared" si="129"/>
        <v>0</v>
      </c>
      <c r="AX1367" s="21" t="str">
        <f t="shared" si="128"/>
        <v/>
      </c>
      <c r="AY1367" s="21" t="str">
        <f>IF(AND($AM1367&lt;&gt;"",$AS1367&lt;&gt;"✓"),SUMPRODUCT(($AM$11:$AM1367&lt;&gt;"")*($AS$11:$AS1367&lt;&gt;"✓")),"")</f>
        <v/>
      </c>
      <c r="AZ1367" s="21" t="str">
        <f>IF(AND($AM1367&lt;&gt;"",$AS1367="✓"),SUMPRODUCT(($AM$11:$AM1367&lt;&gt;"")*($AS$11:$AS1367="✓")),"")</f>
        <v/>
      </c>
      <c r="BA1367" s="21" t="str">
        <f>IF($AL1367="","",$AL1367&amp;"|"&amp;COUNTIF($AL$11:$AL1367,$AL1367))</f>
        <v/>
      </c>
    </row>
    <row r="1368" spans="38:53" ht="15" customHeight="1" x14ac:dyDescent="0.25">
      <c r="AL1368" s="31"/>
      <c r="AM1368" s="26"/>
      <c r="AN1368" s="32"/>
      <c r="AO1368" s="32"/>
      <c r="AP1368" s="24"/>
      <c r="AQ1368" s="24"/>
      <c r="AR1368" s="33"/>
      <c r="AS1368" s="34"/>
      <c r="AT1368" s="33"/>
      <c r="AV1368" s="21">
        <f>IF(AND($AL1368&lt;&gt;"",COUNTIF($AL$11:$AL1368,$AL1368)=1),1,0)</f>
        <v>0</v>
      </c>
      <c r="AW1368" s="21">
        <f t="shared" si="129"/>
        <v>0</v>
      </c>
      <c r="AX1368" s="21" t="str">
        <f t="shared" si="128"/>
        <v/>
      </c>
      <c r="AY1368" s="21" t="str">
        <f>IF(AND($AM1368&lt;&gt;"",$AS1368&lt;&gt;"✓"),SUMPRODUCT(($AM$11:$AM1368&lt;&gt;"")*($AS$11:$AS1368&lt;&gt;"✓")),"")</f>
        <v/>
      </c>
      <c r="AZ1368" s="21" t="str">
        <f>IF(AND($AM1368&lt;&gt;"",$AS1368="✓"),SUMPRODUCT(($AM$11:$AM1368&lt;&gt;"")*($AS$11:$AS1368="✓")),"")</f>
        <v/>
      </c>
      <c r="BA1368" s="21" t="str">
        <f>IF($AL1368="","",$AL1368&amp;"|"&amp;COUNTIF($AL$11:$AL1368,$AL1368))</f>
        <v/>
      </c>
    </row>
    <row r="1369" spans="38:53" ht="15" customHeight="1" x14ac:dyDescent="0.25">
      <c r="AL1369" s="17"/>
      <c r="AM1369" s="12"/>
      <c r="AN1369" s="18"/>
      <c r="AO1369" s="18"/>
      <c r="AP1369" s="10"/>
      <c r="AQ1369" s="10"/>
      <c r="AR1369" s="19"/>
      <c r="AS1369" s="20"/>
      <c r="AT1369" s="19"/>
      <c r="AV1369" s="21">
        <f>IF(AND($AL1369&lt;&gt;"",COUNTIF($AL$11:$AL1369,$AL1369)=1),1,0)</f>
        <v>0</v>
      </c>
      <c r="AW1369" s="21">
        <f t="shared" si="129"/>
        <v>0</v>
      </c>
      <c r="AX1369" s="21" t="str">
        <f t="shared" si="128"/>
        <v/>
      </c>
      <c r="AY1369" s="21" t="str">
        <f>IF(AND($AM1369&lt;&gt;"",$AS1369&lt;&gt;"✓"),SUMPRODUCT(($AM$11:$AM1369&lt;&gt;"")*($AS$11:$AS1369&lt;&gt;"✓")),"")</f>
        <v/>
      </c>
      <c r="AZ1369" s="21" t="str">
        <f>IF(AND($AM1369&lt;&gt;"",$AS1369="✓"),SUMPRODUCT(($AM$11:$AM1369&lt;&gt;"")*($AS$11:$AS1369="✓")),"")</f>
        <v/>
      </c>
      <c r="BA1369" s="21" t="str">
        <f>IF($AL1369="","",$AL1369&amp;"|"&amp;COUNTIF($AL$11:$AL1369,$AL1369))</f>
        <v/>
      </c>
    </row>
    <row r="1370" spans="38:53" ht="15" customHeight="1" x14ac:dyDescent="0.25">
      <c r="AL1370" s="31"/>
      <c r="AM1370" s="26"/>
      <c r="AN1370" s="32"/>
      <c r="AO1370" s="32"/>
      <c r="AP1370" s="24"/>
      <c r="AQ1370" s="24"/>
      <c r="AR1370" s="33"/>
      <c r="AS1370" s="34"/>
      <c r="AT1370" s="33"/>
      <c r="AV1370" s="21">
        <f>IF(AND($AL1370&lt;&gt;"",COUNTIF($AL$11:$AL1370,$AL1370)=1),1,0)</f>
        <v>0</v>
      </c>
      <c r="AW1370" s="21">
        <f t="shared" si="129"/>
        <v>0</v>
      </c>
      <c r="AX1370" s="21" t="str">
        <f t="shared" si="128"/>
        <v/>
      </c>
      <c r="AY1370" s="21" t="str">
        <f>IF(AND($AM1370&lt;&gt;"",$AS1370&lt;&gt;"✓"),SUMPRODUCT(($AM$11:$AM1370&lt;&gt;"")*($AS$11:$AS1370&lt;&gt;"✓")),"")</f>
        <v/>
      </c>
      <c r="AZ1370" s="21" t="str">
        <f>IF(AND($AM1370&lt;&gt;"",$AS1370="✓"),SUMPRODUCT(($AM$11:$AM1370&lt;&gt;"")*($AS$11:$AS1370="✓")),"")</f>
        <v/>
      </c>
      <c r="BA1370" s="21" t="str">
        <f>IF($AL1370="","",$AL1370&amp;"|"&amp;COUNTIF($AL$11:$AL1370,$AL1370))</f>
        <v/>
      </c>
    </row>
    <row r="1371" spans="38:53" ht="15" customHeight="1" x14ac:dyDescent="0.25">
      <c r="AL1371" s="17"/>
      <c r="AM1371" s="12"/>
      <c r="AN1371" s="18"/>
      <c r="AO1371" s="18"/>
      <c r="AP1371" s="10"/>
      <c r="AQ1371" s="10"/>
      <c r="AR1371" s="19"/>
      <c r="AS1371" s="20"/>
      <c r="AT1371" s="19"/>
      <c r="AV1371" s="21">
        <f>IF(AND($AL1371&lt;&gt;"",COUNTIF($AL$11:$AL1371,$AL1371)=1),1,0)</f>
        <v>0</v>
      </c>
      <c r="AW1371" s="21">
        <f t="shared" si="129"/>
        <v>0</v>
      </c>
      <c r="AX1371" s="21" t="str">
        <f t="shared" si="128"/>
        <v/>
      </c>
      <c r="AY1371" s="21" t="str">
        <f>IF(AND($AM1371&lt;&gt;"",$AS1371&lt;&gt;"✓"),SUMPRODUCT(($AM$11:$AM1371&lt;&gt;"")*($AS$11:$AS1371&lt;&gt;"✓")),"")</f>
        <v/>
      </c>
      <c r="AZ1371" s="21" t="str">
        <f>IF(AND($AM1371&lt;&gt;"",$AS1371="✓"),SUMPRODUCT(($AM$11:$AM1371&lt;&gt;"")*($AS$11:$AS1371="✓")),"")</f>
        <v/>
      </c>
      <c r="BA1371" s="21" t="str">
        <f>IF($AL1371="","",$AL1371&amp;"|"&amp;COUNTIF($AL$11:$AL1371,$AL1371))</f>
        <v/>
      </c>
    </row>
    <row r="1372" spans="38:53" ht="15" customHeight="1" x14ac:dyDescent="0.25">
      <c r="AL1372" s="31"/>
      <c r="AM1372" s="26"/>
      <c r="AN1372" s="32"/>
      <c r="AO1372" s="32"/>
      <c r="AP1372" s="24"/>
      <c r="AQ1372" s="24"/>
      <c r="AR1372" s="33"/>
      <c r="AS1372" s="34"/>
      <c r="AT1372" s="33"/>
      <c r="AV1372" s="21">
        <f>IF(AND($AL1372&lt;&gt;"",COUNTIF($AL$11:$AL1372,$AL1372)=1),1,0)</f>
        <v>0</v>
      </c>
      <c r="AW1372" s="21">
        <f t="shared" si="129"/>
        <v>0</v>
      </c>
      <c r="AX1372" s="21" t="str">
        <f t="shared" si="128"/>
        <v/>
      </c>
      <c r="AY1372" s="21" t="str">
        <f>IF(AND($AM1372&lt;&gt;"",$AS1372&lt;&gt;"✓"),SUMPRODUCT(($AM$11:$AM1372&lt;&gt;"")*($AS$11:$AS1372&lt;&gt;"✓")),"")</f>
        <v/>
      </c>
      <c r="AZ1372" s="21" t="str">
        <f>IF(AND($AM1372&lt;&gt;"",$AS1372="✓"),SUMPRODUCT(($AM$11:$AM1372&lt;&gt;"")*($AS$11:$AS1372="✓")),"")</f>
        <v/>
      </c>
      <c r="BA1372" s="21" t="str">
        <f>IF($AL1372="","",$AL1372&amp;"|"&amp;COUNTIF($AL$11:$AL1372,$AL1372))</f>
        <v/>
      </c>
    </row>
    <row r="1373" spans="38:53" ht="15" customHeight="1" x14ac:dyDescent="0.25">
      <c r="AL1373" s="17"/>
      <c r="AM1373" s="12"/>
      <c r="AN1373" s="18"/>
      <c r="AO1373" s="18"/>
      <c r="AP1373" s="10"/>
      <c r="AQ1373" s="10"/>
      <c r="AR1373" s="19"/>
      <c r="AS1373" s="20"/>
      <c r="AT1373" s="19"/>
      <c r="AV1373" s="21">
        <f>IF(AND($AL1373&lt;&gt;"",COUNTIF($AL$11:$AL1373,$AL1373)=1),1,0)</f>
        <v>0</v>
      </c>
      <c r="AW1373" s="21">
        <f t="shared" si="129"/>
        <v>0</v>
      </c>
      <c r="AX1373" s="21" t="str">
        <f t="shared" si="128"/>
        <v/>
      </c>
      <c r="AY1373" s="21" t="str">
        <f>IF(AND($AM1373&lt;&gt;"",$AS1373&lt;&gt;"✓"),SUMPRODUCT(($AM$11:$AM1373&lt;&gt;"")*($AS$11:$AS1373&lt;&gt;"✓")),"")</f>
        <v/>
      </c>
      <c r="AZ1373" s="21" t="str">
        <f>IF(AND($AM1373&lt;&gt;"",$AS1373="✓"),SUMPRODUCT(($AM$11:$AM1373&lt;&gt;"")*($AS$11:$AS1373="✓")),"")</f>
        <v/>
      </c>
      <c r="BA1373" s="21" t="str">
        <f>IF($AL1373="","",$AL1373&amp;"|"&amp;COUNTIF($AL$11:$AL1373,$AL1373))</f>
        <v/>
      </c>
    </row>
    <row r="1374" spans="38:53" ht="15" customHeight="1" x14ac:dyDescent="0.25">
      <c r="AL1374" s="31"/>
      <c r="AM1374" s="26"/>
      <c r="AN1374" s="32"/>
      <c r="AO1374" s="32"/>
      <c r="AP1374" s="24"/>
      <c r="AQ1374" s="24"/>
      <c r="AR1374" s="33"/>
      <c r="AS1374" s="34"/>
      <c r="AT1374" s="33"/>
      <c r="AV1374" s="21">
        <f>IF(AND($AL1374&lt;&gt;"",COUNTIF($AL$11:$AL1374,$AL1374)=1),1,0)</f>
        <v>0</v>
      </c>
      <c r="AW1374" s="21">
        <f t="shared" si="129"/>
        <v>0</v>
      </c>
      <c r="AX1374" s="21" t="str">
        <f t="shared" si="128"/>
        <v/>
      </c>
      <c r="AY1374" s="21" t="str">
        <f>IF(AND($AM1374&lt;&gt;"",$AS1374&lt;&gt;"✓"),SUMPRODUCT(($AM$11:$AM1374&lt;&gt;"")*($AS$11:$AS1374&lt;&gt;"✓")),"")</f>
        <v/>
      </c>
      <c r="AZ1374" s="21" t="str">
        <f>IF(AND($AM1374&lt;&gt;"",$AS1374="✓"),SUMPRODUCT(($AM$11:$AM1374&lt;&gt;"")*($AS$11:$AS1374="✓")),"")</f>
        <v/>
      </c>
      <c r="BA1374" s="21" t="str">
        <f>IF($AL1374="","",$AL1374&amp;"|"&amp;COUNTIF($AL$11:$AL1374,$AL1374))</f>
        <v/>
      </c>
    </row>
    <row r="1375" spans="38:53" ht="15" customHeight="1" x14ac:dyDescent="0.25">
      <c r="AL1375" s="17"/>
      <c r="AM1375" s="12"/>
      <c r="AN1375" s="18"/>
      <c r="AO1375" s="18"/>
      <c r="AP1375" s="10"/>
      <c r="AQ1375" s="10"/>
      <c r="AR1375" s="19"/>
      <c r="AS1375" s="20"/>
      <c r="AT1375" s="19"/>
      <c r="AV1375" s="21">
        <f>IF(AND($AL1375&lt;&gt;"",COUNTIF($AL$11:$AL1375,$AL1375)=1),1,0)</f>
        <v>0</v>
      </c>
      <c r="AW1375" s="21">
        <f t="shared" si="129"/>
        <v>0</v>
      </c>
      <c r="AX1375" s="21" t="str">
        <f t="shared" si="128"/>
        <v/>
      </c>
      <c r="AY1375" s="21" t="str">
        <f>IF(AND($AM1375&lt;&gt;"",$AS1375&lt;&gt;"✓"),SUMPRODUCT(($AM$11:$AM1375&lt;&gt;"")*($AS$11:$AS1375&lt;&gt;"✓")),"")</f>
        <v/>
      </c>
      <c r="AZ1375" s="21" t="str">
        <f>IF(AND($AM1375&lt;&gt;"",$AS1375="✓"),SUMPRODUCT(($AM$11:$AM1375&lt;&gt;"")*($AS$11:$AS1375="✓")),"")</f>
        <v/>
      </c>
      <c r="BA1375" s="21" t="str">
        <f>IF($AL1375="","",$AL1375&amp;"|"&amp;COUNTIF($AL$11:$AL1375,$AL1375))</f>
        <v/>
      </c>
    </row>
    <row r="1376" spans="38:53" ht="15" customHeight="1" x14ac:dyDescent="0.25">
      <c r="AL1376" s="31"/>
      <c r="AM1376" s="26"/>
      <c r="AN1376" s="32"/>
      <c r="AO1376" s="32"/>
      <c r="AP1376" s="24"/>
      <c r="AQ1376" s="24"/>
      <c r="AR1376" s="33"/>
      <c r="AS1376" s="34"/>
      <c r="AT1376" s="33"/>
      <c r="AV1376" s="21">
        <f>IF(AND($AL1376&lt;&gt;"",COUNTIF($AL$11:$AL1376,$AL1376)=1),1,0)</f>
        <v>0</v>
      </c>
      <c r="AW1376" s="21">
        <f t="shared" si="129"/>
        <v>0</v>
      </c>
      <c r="AX1376" s="21" t="str">
        <f t="shared" si="128"/>
        <v/>
      </c>
      <c r="AY1376" s="21" t="str">
        <f>IF(AND($AM1376&lt;&gt;"",$AS1376&lt;&gt;"✓"),SUMPRODUCT(($AM$11:$AM1376&lt;&gt;"")*($AS$11:$AS1376&lt;&gt;"✓")),"")</f>
        <v/>
      </c>
      <c r="AZ1376" s="21" t="str">
        <f>IF(AND($AM1376&lt;&gt;"",$AS1376="✓"),SUMPRODUCT(($AM$11:$AM1376&lt;&gt;"")*($AS$11:$AS1376="✓")),"")</f>
        <v/>
      </c>
      <c r="BA1376" s="21" t="str">
        <f>IF($AL1376="","",$AL1376&amp;"|"&amp;COUNTIF($AL$11:$AL1376,$AL1376))</f>
        <v/>
      </c>
    </row>
    <row r="1377" spans="38:53" ht="15" customHeight="1" x14ac:dyDescent="0.25">
      <c r="AL1377" s="17"/>
      <c r="AM1377" s="12"/>
      <c r="AN1377" s="18"/>
      <c r="AO1377" s="18"/>
      <c r="AP1377" s="10"/>
      <c r="AQ1377" s="10"/>
      <c r="AR1377" s="19"/>
      <c r="AS1377" s="20"/>
      <c r="AT1377" s="19"/>
      <c r="AV1377" s="21">
        <f>IF(AND($AL1377&lt;&gt;"",COUNTIF($AL$11:$AL1377,$AL1377)=1),1,0)</f>
        <v>0</v>
      </c>
      <c r="AW1377" s="21">
        <f t="shared" si="129"/>
        <v>0</v>
      </c>
      <c r="AX1377" s="21" t="str">
        <f t="shared" si="128"/>
        <v/>
      </c>
      <c r="AY1377" s="21" t="str">
        <f>IF(AND($AM1377&lt;&gt;"",$AS1377&lt;&gt;"✓"),SUMPRODUCT(($AM$11:$AM1377&lt;&gt;"")*($AS$11:$AS1377&lt;&gt;"✓")),"")</f>
        <v/>
      </c>
      <c r="AZ1377" s="21" t="str">
        <f>IF(AND($AM1377&lt;&gt;"",$AS1377="✓"),SUMPRODUCT(($AM$11:$AM1377&lt;&gt;"")*($AS$11:$AS1377="✓")),"")</f>
        <v/>
      </c>
      <c r="BA1377" s="21" t="str">
        <f>IF($AL1377="","",$AL1377&amp;"|"&amp;COUNTIF($AL$11:$AL1377,$AL1377))</f>
        <v/>
      </c>
    </row>
    <row r="1378" spans="38:53" ht="15" customHeight="1" x14ac:dyDescent="0.25">
      <c r="AL1378" s="31"/>
      <c r="AM1378" s="26"/>
      <c r="AN1378" s="32"/>
      <c r="AO1378" s="32"/>
      <c r="AP1378" s="24"/>
      <c r="AQ1378" s="24"/>
      <c r="AR1378" s="33"/>
      <c r="AS1378" s="34"/>
      <c r="AT1378" s="33"/>
      <c r="AV1378" s="21">
        <f>IF(AND($AL1378&lt;&gt;"",COUNTIF($AL$11:$AL1378,$AL1378)=1),1,0)</f>
        <v>0</v>
      </c>
      <c r="AW1378" s="21">
        <f t="shared" si="129"/>
        <v>0</v>
      </c>
      <c r="AX1378" s="21" t="str">
        <f t="shared" si="128"/>
        <v/>
      </c>
      <c r="AY1378" s="21" t="str">
        <f>IF(AND($AM1378&lt;&gt;"",$AS1378&lt;&gt;"✓"),SUMPRODUCT(($AM$11:$AM1378&lt;&gt;"")*($AS$11:$AS1378&lt;&gt;"✓")),"")</f>
        <v/>
      </c>
      <c r="AZ1378" s="21" t="str">
        <f>IF(AND($AM1378&lt;&gt;"",$AS1378="✓"),SUMPRODUCT(($AM$11:$AM1378&lt;&gt;"")*($AS$11:$AS1378="✓")),"")</f>
        <v/>
      </c>
      <c r="BA1378" s="21" t="str">
        <f>IF($AL1378="","",$AL1378&amp;"|"&amp;COUNTIF($AL$11:$AL1378,$AL1378))</f>
        <v/>
      </c>
    </row>
    <row r="1379" spans="38:53" ht="15" customHeight="1" x14ac:dyDescent="0.25">
      <c r="AL1379" s="17"/>
      <c r="AM1379" s="12"/>
      <c r="AN1379" s="18"/>
      <c r="AO1379" s="18"/>
      <c r="AP1379" s="10"/>
      <c r="AQ1379" s="10"/>
      <c r="AR1379" s="19"/>
      <c r="AS1379" s="20"/>
      <c r="AT1379" s="19"/>
      <c r="AV1379" s="21">
        <f>IF(AND($AL1379&lt;&gt;"",COUNTIF($AL$11:$AL1379,$AL1379)=1),1,0)</f>
        <v>0</v>
      </c>
      <c r="AW1379" s="21">
        <f t="shared" si="129"/>
        <v>0</v>
      </c>
      <c r="AX1379" s="21" t="str">
        <f t="shared" si="128"/>
        <v/>
      </c>
      <c r="AY1379" s="21" t="str">
        <f>IF(AND($AM1379&lt;&gt;"",$AS1379&lt;&gt;"✓"),SUMPRODUCT(($AM$11:$AM1379&lt;&gt;"")*($AS$11:$AS1379&lt;&gt;"✓")),"")</f>
        <v/>
      </c>
      <c r="AZ1379" s="21" t="str">
        <f>IF(AND($AM1379&lt;&gt;"",$AS1379="✓"),SUMPRODUCT(($AM$11:$AM1379&lt;&gt;"")*($AS$11:$AS1379="✓")),"")</f>
        <v/>
      </c>
      <c r="BA1379" s="21" t="str">
        <f>IF($AL1379="","",$AL1379&amp;"|"&amp;COUNTIF($AL$11:$AL1379,$AL1379))</f>
        <v/>
      </c>
    </row>
    <row r="1380" spans="38:53" ht="15" customHeight="1" x14ac:dyDescent="0.25">
      <c r="AL1380" s="31"/>
      <c r="AM1380" s="26"/>
      <c r="AN1380" s="32"/>
      <c r="AO1380" s="32"/>
      <c r="AP1380" s="24"/>
      <c r="AQ1380" s="24"/>
      <c r="AR1380" s="33"/>
      <c r="AS1380" s="34"/>
      <c r="AT1380" s="33"/>
      <c r="AV1380" s="21">
        <f>IF(AND($AL1380&lt;&gt;"",COUNTIF($AL$11:$AL1380,$AL1380)=1),1,0)</f>
        <v>0</v>
      </c>
      <c r="AW1380" s="21">
        <f t="shared" si="129"/>
        <v>0</v>
      </c>
      <c r="AX1380" s="21" t="str">
        <f t="shared" si="128"/>
        <v/>
      </c>
      <c r="AY1380" s="21" t="str">
        <f>IF(AND($AM1380&lt;&gt;"",$AS1380&lt;&gt;"✓"),SUMPRODUCT(($AM$11:$AM1380&lt;&gt;"")*($AS$11:$AS1380&lt;&gt;"✓")),"")</f>
        <v/>
      </c>
      <c r="AZ1380" s="21" t="str">
        <f>IF(AND($AM1380&lt;&gt;"",$AS1380="✓"),SUMPRODUCT(($AM$11:$AM1380&lt;&gt;"")*($AS$11:$AS1380="✓")),"")</f>
        <v/>
      </c>
      <c r="BA1380" s="21" t="str">
        <f>IF($AL1380="","",$AL1380&amp;"|"&amp;COUNTIF($AL$11:$AL1380,$AL1380))</f>
        <v/>
      </c>
    </row>
    <row r="1381" spans="38:53" ht="15" customHeight="1" x14ac:dyDescent="0.25">
      <c r="AL1381" s="17"/>
      <c r="AM1381" s="12"/>
      <c r="AN1381" s="18"/>
      <c r="AO1381" s="18"/>
      <c r="AP1381" s="10"/>
      <c r="AQ1381" s="10"/>
      <c r="AR1381" s="19"/>
      <c r="AS1381" s="20"/>
      <c r="AT1381" s="19"/>
      <c r="AV1381" s="21">
        <f>IF(AND($AL1381&lt;&gt;"",COUNTIF($AL$11:$AL1381,$AL1381)=1),1,0)</f>
        <v>0</v>
      </c>
      <c r="AW1381" s="21">
        <f t="shared" si="129"/>
        <v>0</v>
      </c>
      <c r="AX1381" s="21" t="str">
        <f t="shared" si="128"/>
        <v/>
      </c>
      <c r="AY1381" s="21" t="str">
        <f>IF(AND($AM1381&lt;&gt;"",$AS1381&lt;&gt;"✓"),SUMPRODUCT(($AM$11:$AM1381&lt;&gt;"")*($AS$11:$AS1381&lt;&gt;"✓")),"")</f>
        <v/>
      </c>
      <c r="AZ1381" s="21" t="str">
        <f>IF(AND($AM1381&lt;&gt;"",$AS1381="✓"),SUMPRODUCT(($AM$11:$AM1381&lt;&gt;"")*($AS$11:$AS1381="✓")),"")</f>
        <v/>
      </c>
      <c r="BA1381" s="21" t="str">
        <f>IF($AL1381="","",$AL1381&amp;"|"&amp;COUNTIF($AL$11:$AL1381,$AL1381))</f>
        <v/>
      </c>
    </row>
    <row r="1382" spans="38:53" ht="15" customHeight="1" x14ac:dyDescent="0.25">
      <c r="AL1382" s="31"/>
      <c r="AM1382" s="26"/>
      <c r="AN1382" s="32"/>
      <c r="AO1382" s="32"/>
      <c r="AP1382" s="24"/>
      <c r="AQ1382" s="24"/>
      <c r="AR1382" s="33"/>
      <c r="AS1382" s="34"/>
      <c r="AT1382" s="33"/>
      <c r="AV1382" s="21">
        <f>IF(AND($AL1382&lt;&gt;"",COUNTIF($AL$11:$AL1382,$AL1382)=1),1,0)</f>
        <v>0</v>
      </c>
      <c r="AW1382" s="21">
        <f t="shared" si="129"/>
        <v>0</v>
      </c>
      <c r="AX1382" s="21" t="str">
        <f t="shared" si="128"/>
        <v/>
      </c>
      <c r="AY1382" s="21" t="str">
        <f>IF(AND($AM1382&lt;&gt;"",$AS1382&lt;&gt;"✓"),SUMPRODUCT(($AM$11:$AM1382&lt;&gt;"")*($AS$11:$AS1382&lt;&gt;"✓")),"")</f>
        <v/>
      </c>
      <c r="AZ1382" s="21" t="str">
        <f>IF(AND($AM1382&lt;&gt;"",$AS1382="✓"),SUMPRODUCT(($AM$11:$AM1382&lt;&gt;"")*($AS$11:$AS1382="✓")),"")</f>
        <v/>
      </c>
      <c r="BA1382" s="21" t="str">
        <f>IF($AL1382="","",$AL1382&amp;"|"&amp;COUNTIF($AL$11:$AL1382,$AL1382))</f>
        <v/>
      </c>
    </row>
    <row r="1383" spans="38:53" ht="15" customHeight="1" x14ac:dyDescent="0.25">
      <c r="AL1383" s="17"/>
      <c r="AM1383" s="12"/>
      <c r="AN1383" s="18"/>
      <c r="AO1383" s="18"/>
      <c r="AP1383" s="10"/>
      <c r="AQ1383" s="10"/>
      <c r="AR1383" s="19"/>
      <c r="AS1383" s="20"/>
      <c r="AT1383" s="19"/>
      <c r="AV1383" s="21">
        <f>IF(AND($AL1383&lt;&gt;"",COUNTIF($AL$11:$AL1383,$AL1383)=1),1,0)</f>
        <v>0</v>
      </c>
      <c r="AW1383" s="21">
        <f t="shared" si="129"/>
        <v>0</v>
      </c>
      <c r="AX1383" s="21" t="str">
        <f t="shared" si="128"/>
        <v/>
      </c>
      <c r="AY1383" s="21" t="str">
        <f>IF(AND($AM1383&lt;&gt;"",$AS1383&lt;&gt;"✓"),SUMPRODUCT(($AM$11:$AM1383&lt;&gt;"")*($AS$11:$AS1383&lt;&gt;"✓")),"")</f>
        <v/>
      </c>
      <c r="AZ1383" s="21" t="str">
        <f>IF(AND($AM1383&lt;&gt;"",$AS1383="✓"),SUMPRODUCT(($AM$11:$AM1383&lt;&gt;"")*($AS$11:$AS1383="✓")),"")</f>
        <v/>
      </c>
      <c r="BA1383" s="21" t="str">
        <f>IF($AL1383="","",$AL1383&amp;"|"&amp;COUNTIF($AL$11:$AL1383,$AL1383))</f>
        <v/>
      </c>
    </row>
    <row r="1384" spans="38:53" ht="15" customHeight="1" x14ac:dyDescent="0.25">
      <c r="AL1384" s="31"/>
      <c r="AM1384" s="26"/>
      <c r="AN1384" s="32"/>
      <c r="AO1384" s="32"/>
      <c r="AP1384" s="24"/>
      <c r="AQ1384" s="24"/>
      <c r="AR1384" s="33"/>
      <c r="AS1384" s="34"/>
      <c r="AT1384" s="33"/>
      <c r="AV1384" s="21">
        <f>IF(AND($AL1384&lt;&gt;"",COUNTIF($AL$11:$AL1384,$AL1384)=1),1,0)</f>
        <v>0</v>
      </c>
      <c r="AW1384" s="21">
        <f t="shared" si="129"/>
        <v>0</v>
      </c>
      <c r="AX1384" s="21" t="str">
        <f t="shared" si="128"/>
        <v/>
      </c>
      <c r="AY1384" s="21" t="str">
        <f>IF(AND($AM1384&lt;&gt;"",$AS1384&lt;&gt;"✓"),SUMPRODUCT(($AM$11:$AM1384&lt;&gt;"")*($AS$11:$AS1384&lt;&gt;"✓")),"")</f>
        <v/>
      </c>
      <c r="AZ1384" s="21" t="str">
        <f>IF(AND($AM1384&lt;&gt;"",$AS1384="✓"),SUMPRODUCT(($AM$11:$AM1384&lt;&gt;"")*($AS$11:$AS1384="✓")),"")</f>
        <v/>
      </c>
      <c r="BA1384" s="21" t="str">
        <f>IF($AL1384="","",$AL1384&amp;"|"&amp;COUNTIF($AL$11:$AL1384,$AL1384))</f>
        <v/>
      </c>
    </row>
    <row r="1385" spans="38:53" ht="15" customHeight="1" x14ac:dyDescent="0.25">
      <c r="AL1385" s="17"/>
      <c r="AM1385" s="12"/>
      <c r="AN1385" s="18"/>
      <c r="AO1385" s="18"/>
      <c r="AP1385" s="10"/>
      <c r="AQ1385" s="10"/>
      <c r="AR1385" s="19"/>
      <c r="AS1385" s="20"/>
      <c r="AT1385" s="19"/>
      <c r="AV1385" s="21">
        <f>IF(AND($AL1385&lt;&gt;"",COUNTIF($AL$11:$AL1385,$AL1385)=1),1,0)</f>
        <v>0</v>
      </c>
      <c r="AW1385" s="21">
        <f t="shared" si="129"/>
        <v>0</v>
      </c>
      <c r="AX1385" s="21" t="str">
        <f t="shared" si="128"/>
        <v/>
      </c>
      <c r="AY1385" s="21" t="str">
        <f>IF(AND($AM1385&lt;&gt;"",$AS1385&lt;&gt;"✓"),SUMPRODUCT(($AM$11:$AM1385&lt;&gt;"")*($AS$11:$AS1385&lt;&gt;"✓")),"")</f>
        <v/>
      </c>
      <c r="AZ1385" s="21" t="str">
        <f>IF(AND($AM1385&lt;&gt;"",$AS1385="✓"),SUMPRODUCT(($AM$11:$AM1385&lt;&gt;"")*($AS$11:$AS1385="✓")),"")</f>
        <v/>
      </c>
      <c r="BA1385" s="21" t="str">
        <f>IF($AL1385="","",$AL1385&amp;"|"&amp;COUNTIF($AL$11:$AL1385,$AL1385))</f>
        <v/>
      </c>
    </row>
    <row r="1386" spans="38:53" ht="15" customHeight="1" x14ac:dyDescent="0.25">
      <c r="AL1386" s="31"/>
      <c r="AM1386" s="26"/>
      <c r="AN1386" s="32"/>
      <c r="AO1386" s="32"/>
      <c r="AP1386" s="24"/>
      <c r="AQ1386" s="24"/>
      <c r="AR1386" s="33"/>
      <c r="AS1386" s="34"/>
      <c r="AT1386" s="33"/>
      <c r="AV1386" s="21">
        <f>IF(AND($AL1386&lt;&gt;"",COUNTIF($AL$11:$AL1386,$AL1386)=1),1,0)</f>
        <v>0</v>
      </c>
      <c r="AW1386" s="21">
        <f t="shared" si="129"/>
        <v>0</v>
      </c>
      <c r="AX1386" s="21" t="str">
        <f t="shared" si="128"/>
        <v/>
      </c>
      <c r="AY1386" s="21" t="str">
        <f>IF(AND($AM1386&lt;&gt;"",$AS1386&lt;&gt;"✓"),SUMPRODUCT(($AM$11:$AM1386&lt;&gt;"")*($AS$11:$AS1386&lt;&gt;"✓")),"")</f>
        <v/>
      </c>
      <c r="AZ1386" s="21" t="str">
        <f>IF(AND($AM1386&lt;&gt;"",$AS1386="✓"),SUMPRODUCT(($AM$11:$AM1386&lt;&gt;"")*($AS$11:$AS1386="✓")),"")</f>
        <v/>
      </c>
      <c r="BA1386" s="21" t="str">
        <f>IF($AL1386="","",$AL1386&amp;"|"&amp;COUNTIF($AL$11:$AL1386,$AL1386))</f>
        <v/>
      </c>
    </row>
    <row r="1387" spans="38:53" ht="15" customHeight="1" x14ac:dyDescent="0.25">
      <c r="AL1387" s="17"/>
      <c r="AM1387" s="12"/>
      <c r="AN1387" s="18"/>
      <c r="AO1387" s="18"/>
      <c r="AP1387" s="10"/>
      <c r="AQ1387" s="10"/>
      <c r="AR1387" s="19"/>
      <c r="AS1387" s="20"/>
      <c r="AT1387" s="19"/>
      <c r="AV1387" s="21">
        <f>IF(AND($AL1387&lt;&gt;"",COUNTIF($AL$11:$AL1387,$AL1387)=1),1,0)</f>
        <v>0</v>
      </c>
      <c r="AW1387" s="21">
        <f t="shared" si="129"/>
        <v>0</v>
      </c>
      <c r="AX1387" s="21" t="str">
        <f t="shared" si="128"/>
        <v/>
      </c>
      <c r="AY1387" s="21" t="str">
        <f>IF(AND($AM1387&lt;&gt;"",$AS1387&lt;&gt;"✓"),SUMPRODUCT(($AM$11:$AM1387&lt;&gt;"")*($AS$11:$AS1387&lt;&gt;"✓")),"")</f>
        <v/>
      </c>
      <c r="AZ1387" s="21" t="str">
        <f>IF(AND($AM1387&lt;&gt;"",$AS1387="✓"),SUMPRODUCT(($AM$11:$AM1387&lt;&gt;"")*($AS$11:$AS1387="✓")),"")</f>
        <v/>
      </c>
      <c r="BA1387" s="21" t="str">
        <f>IF($AL1387="","",$AL1387&amp;"|"&amp;COUNTIF($AL$11:$AL1387,$AL1387))</f>
        <v/>
      </c>
    </row>
    <row r="1388" spans="38:53" ht="15" customHeight="1" x14ac:dyDescent="0.25">
      <c r="AL1388" s="31"/>
      <c r="AM1388" s="26"/>
      <c r="AN1388" s="32"/>
      <c r="AO1388" s="32"/>
      <c r="AP1388" s="24"/>
      <c r="AQ1388" s="24"/>
      <c r="AR1388" s="33"/>
      <c r="AS1388" s="34"/>
      <c r="AT1388" s="33"/>
      <c r="AV1388" s="21">
        <f>IF(AND($AL1388&lt;&gt;"",COUNTIF($AL$11:$AL1388,$AL1388)=1),1,0)</f>
        <v>0</v>
      </c>
      <c r="AW1388" s="21">
        <f t="shared" si="129"/>
        <v>0</v>
      </c>
      <c r="AX1388" s="21" t="str">
        <f t="shared" si="128"/>
        <v/>
      </c>
      <c r="AY1388" s="21" t="str">
        <f>IF(AND($AM1388&lt;&gt;"",$AS1388&lt;&gt;"✓"),SUMPRODUCT(($AM$11:$AM1388&lt;&gt;"")*($AS$11:$AS1388&lt;&gt;"✓")),"")</f>
        <v/>
      </c>
      <c r="AZ1388" s="21" t="str">
        <f>IF(AND($AM1388&lt;&gt;"",$AS1388="✓"),SUMPRODUCT(($AM$11:$AM1388&lt;&gt;"")*($AS$11:$AS1388="✓")),"")</f>
        <v/>
      </c>
      <c r="BA1388" s="21" t="str">
        <f>IF($AL1388="","",$AL1388&amp;"|"&amp;COUNTIF($AL$11:$AL1388,$AL1388))</f>
        <v/>
      </c>
    </row>
    <row r="1389" spans="38:53" ht="15" customHeight="1" x14ac:dyDescent="0.25">
      <c r="AL1389" s="17"/>
      <c r="AM1389" s="12"/>
      <c r="AN1389" s="18"/>
      <c r="AO1389" s="18"/>
      <c r="AP1389" s="10"/>
      <c r="AQ1389" s="10"/>
      <c r="AR1389" s="19"/>
      <c r="AS1389" s="20"/>
      <c r="AT1389" s="19"/>
      <c r="AV1389" s="21">
        <f>IF(AND($AL1389&lt;&gt;"",COUNTIF($AL$11:$AL1389,$AL1389)=1),1,0)</f>
        <v>0</v>
      </c>
      <c r="AW1389" s="21">
        <f t="shared" si="129"/>
        <v>0</v>
      </c>
      <c r="AX1389" s="21" t="str">
        <f t="shared" si="128"/>
        <v/>
      </c>
      <c r="AY1389" s="21" t="str">
        <f>IF(AND($AM1389&lt;&gt;"",$AS1389&lt;&gt;"✓"),SUMPRODUCT(($AM$11:$AM1389&lt;&gt;"")*($AS$11:$AS1389&lt;&gt;"✓")),"")</f>
        <v/>
      </c>
      <c r="AZ1389" s="21" t="str">
        <f>IF(AND($AM1389&lt;&gt;"",$AS1389="✓"),SUMPRODUCT(($AM$11:$AM1389&lt;&gt;"")*($AS$11:$AS1389="✓")),"")</f>
        <v/>
      </c>
      <c r="BA1389" s="21" t="str">
        <f>IF($AL1389="","",$AL1389&amp;"|"&amp;COUNTIF($AL$11:$AL1389,$AL1389))</f>
        <v/>
      </c>
    </row>
    <row r="1390" spans="38:53" ht="15" customHeight="1" x14ac:dyDescent="0.25">
      <c r="AL1390" s="31"/>
      <c r="AM1390" s="26"/>
      <c r="AN1390" s="32"/>
      <c r="AO1390" s="32"/>
      <c r="AP1390" s="24"/>
      <c r="AQ1390" s="24"/>
      <c r="AR1390" s="33"/>
      <c r="AS1390" s="34"/>
      <c r="AT1390" s="33"/>
      <c r="AV1390" s="21">
        <f>IF(AND($AL1390&lt;&gt;"",COUNTIF($AL$11:$AL1390,$AL1390)=1),1,0)</f>
        <v>0</v>
      </c>
      <c r="AW1390" s="21">
        <f t="shared" si="129"/>
        <v>0</v>
      </c>
      <c r="AX1390" s="21" t="str">
        <f t="shared" si="128"/>
        <v/>
      </c>
      <c r="AY1390" s="21" t="str">
        <f>IF(AND($AM1390&lt;&gt;"",$AS1390&lt;&gt;"✓"),SUMPRODUCT(($AM$11:$AM1390&lt;&gt;"")*($AS$11:$AS1390&lt;&gt;"✓")),"")</f>
        <v/>
      </c>
      <c r="AZ1390" s="21" t="str">
        <f>IF(AND($AM1390&lt;&gt;"",$AS1390="✓"),SUMPRODUCT(($AM$11:$AM1390&lt;&gt;"")*($AS$11:$AS1390="✓")),"")</f>
        <v/>
      </c>
      <c r="BA1390" s="21" t="str">
        <f>IF($AL1390="","",$AL1390&amp;"|"&amp;COUNTIF($AL$11:$AL1390,$AL1390))</f>
        <v/>
      </c>
    </row>
    <row r="1391" spans="38:53" ht="15" customHeight="1" x14ac:dyDescent="0.25">
      <c r="AL1391" s="17"/>
      <c r="AM1391" s="12"/>
      <c r="AN1391" s="18"/>
      <c r="AO1391" s="18"/>
      <c r="AP1391" s="10"/>
      <c r="AQ1391" s="10"/>
      <c r="AR1391" s="19"/>
      <c r="AS1391" s="20"/>
      <c r="AT1391" s="19"/>
      <c r="AV1391" s="21">
        <f>IF(AND($AL1391&lt;&gt;"",COUNTIF($AL$11:$AL1391,$AL1391)=1),1,0)</f>
        <v>0</v>
      </c>
      <c r="AW1391" s="21">
        <f t="shared" si="129"/>
        <v>0</v>
      </c>
      <c r="AX1391" s="21" t="str">
        <f t="shared" si="128"/>
        <v/>
      </c>
      <c r="AY1391" s="21" t="str">
        <f>IF(AND($AM1391&lt;&gt;"",$AS1391&lt;&gt;"✓"),SUMPRODUCT(($AM$11:$AM1391&lt;&gt;"")*($AS$11:$AS1391&lt;&gt;"✓")),"")</f>
        <v/>
      </c>
      <c r="AZ1391" s="21" t="str">
        <f>IF(AND($AM1391&lt;&gt;"",$AS1391="✓"),SUMPRODUCT(($AM$11:$AM1391&lt;&gt;"")*($AS$11:$AS1391="✓")),"")</f>
        <v/>
      </c>
      <c r="BA1391" s="21" t="str">
        <f>IF($AL1391="","",$AL1391&amp;"|"&amp;COUNTIF($AL$11:$AL1391,$AL1391))</f>
        <v/>
      </c>
    </row>
    <row r="1392" spans="38:53" ht="15" customHeight="1" x14ac:dyDescent="0.25">
      <c r="AL1392" s="31"/>
      <c r="AM1392" s="26"/>
      <c r="AN1392" s="32"/>
      <c r="AO1392" s="32"/>
      <c r="AP1392" s="24"/>
      <c r="AQ1392" s="24"/>
      <c r="AR1392" s="33"/>
      <c r="AS1392" s="34"/>
      <c r="AT1392" s="33"/>
      <c r="AV1392" s="21">
        <f>IF(AND($AL1392&lt;&gt;"",COUNTIF($AL$11:$AL1392,$AL1392)=1),1,0)</f>
        <v>0</v>
      </c>
      <c r="AW1392" s="21">
        <f t="shared" si="129"/>
        <v>0</v>
      </c>
      <c r="AX1392" s="21" t="str">
        <f t="shared" si="128"/>
        <v/>
      </c>
      <c r="AY1392" s="21" t="str">
        <f>IF(AND($AM1392&lt;&gt;"",$AS1392&lt;&gt;"✓"),SUMPRODUCT(($AM$11:$AM1392&lt;&gt;"")*($AS$11:$AS1392&lt;&gt;"✓")),"")</f>
        <v/>
      </c>
      <c r="AZ1392" s="21" t="str">
        <f>IF(AND($AM1392&lt;&gt;"",$AS1392="✓"),SUMPRODUCT(($AM$11:$AM1392&lt;&gt;"")*($AS$11:$AS1392="✓")),"")</f>
        <v/>
      </c>
      <c r="BA1392" s="21" t="str">
        <f>IF($AL1392="","",$AL1392&amp;"|"&amp;COUNTIF($AL$11:$AL1392,$AL1392))</f>
        <v/>
      </c>
    </row>
    <row r="1393" spans="38:53" ht="15" customHeight="1" x14ac:dyDescent="0.25">
      <c r="AL1393" s="17"/>
      <c r="AM1393" s="12"/>
      <c r="AN1393" s="18"/>
      <c r="AO1393" s="18"/>
      <c r="AP1393" s="10"/>
      <c r="AQ1393" s="10"/>
      <c r="AR1393" s="19"/>
      <c r="AS1393" s="20"/>
      <c r="AT1393" s="19"/>
      <c r="AV1393" s="21">
        <f>IF(AND($AL1393&lt;&gt;"",COUNTIF($AL$11:$AL1393,$AL1393)=1),1,0)</f>
        <v>0</v>
      </c>
      <c r="AW1393" s="21">
        <f t="shared" si="129"/>
        <v>0</v>
      </c>
      <c r="AX1393" s="21" t="str">
        <f t="shared" si="128"/>
        <v/>
      </c>
      <c r="AY1393" s="21" t="str">
        <f>IF(AND($AM1393&lt;&gt;"",$AS1393&lt;&gt;"✓"),SUMPRODUCT(($AM$11:$AM1393&lt;&gt;"")*($AS$11:$AS1393&lt;&gt;"✓")),"")</f>
        <v/>
      </c>
      <c r="AZ1393" s="21" t="str">
        <f>IF(AND($AM1393&lt;&gt;"",$AS1393="✓"),SUMPRODUCT(($AM$11:$AM1393&lt;&gt;"")*($AS$11:$AS1393="✓")),"")</f>
        <v/>
      </c>
      <c r="BA1393" s="21" t="str">
        <f>IF($AL1393="","",$AL1393&amp;"|"&amp;COUNTIF($AL$11:$AL1393,$AL1393))</f>
        <v/>
      </c>
    </row>
    <row r="1394" spans="38:53" ht="15" customHeight="1" x14ac:dyDescent="0.25">
      <c r="AL1394" s="31"/>
      <c r="AM1394" s="26"/>
      <c r="AN1394" s="32"/>
      <c r="AO1394" s="32"/>
      <c r="AP1394" s="24"/>
      <c r="AQ1394" s="24"/>
      <c r="AR1394" s="33"/>
      <c r="AS1394" s="34"/>
      <c r="AT1394" s="33"/>
      <c r="AV1394" s="21">
        <f>IF(AND($AL1394&lt;&gt;"",COUNTIF($AL$11:$AL1394,$AL1394)=1),1,0)</f>
        <v>0</v>
      </c>
      <c r="AW1394" s="21">
        <f t="shared" si="129"/>
        <v>0</v>
      </c>
      <c r="AX1394" s="21" t="str">
        <f t="shared" si="128"/>
        <v/>
      </c>
      <c r="AY1394" s="21" t="str">
        <f>IF(AND($AM1394&lt;&gt;"",$AS1394&lt;&gt;"✓"),SUMPRODUCT(($AM$11:$AM1394&lt;&gt;"")*($AS$11:$AS1394&lt;&gt;"✓")),"")</f>
        <v/>
      </c>
      <c r="AZ1394" s="21" t="str">
        <f>IF(AND($AM1394&lt;&gt;"",$AS1394="✓"),SUMPRODUCT(($AM$11:$AM1394&lt;&gt;"")*($AS$11:$AS1394="✓")),"")</f>
        <v/>
      </c>
      <c r="BA1394" s="21" t="str">
        <f>IF($AL1394="","",$AL1394&amp;"|"&amp;COUNTIF($AL$11:$AL1394,$AL1394))</f>
        <v/>
      </c>
    </row>
    <row r="1395" spans="38:53" ht="15" customHeight="1" x14ac:dyDescent="0.25">
      <c r="AL1395" s="17"/>
      <c r="AM1395" s="12"/>
      <c r="AN1395" s="18"/>
      <c r="AO1395" s="18"/>
      <c r="AP1395" s="10"/>
      <c r="AQ1395" s="10"/>
      <c r="AR1395" s="19"/>
      <c r="AS1395" s="20"/>
      <c r="AT1395" s="19"/>
      <c r="AV1395" s="21">
        <f>IF(AND($AL1395&lt;&gt;"",COUNTIF($AL$11:$AL1395,$AL1395)=1),1,0)</f>
        <v>0</v>
      </c>
      <c r="AW1395" s="21">
        <f t="shared" si="129"/>
        <v>0</v>
      </c>
      <c r="AX1395" s="21" t="str">
        <f t="shared" si="128"/>
        <v/>
      </c>
      <c r="AY1395" s="21" t="str">
        <f>IF(AND($AM1395&lt;&gt;"",$AS1395&lt;&gt;"✓"),SUMPRODUCT(($AM$11:$AM1395&lt;&gt;"")*($AS$11:$AS1395&lt;&gt;"✓")),"")</f>
        <v/>
      </c>
      <c r="AZ1395" s="21" t="str">
        <f>IF(AND($AM1395&lt;&gt;"",$AS1395="✓"),SUMPRODUCT(($AM$11:$AM1395&lt;&gt;"")*($AS$11:$AS1395="✓")),"")</f>
        <v/>
      </c>
      <c r="BA1395" s="21" t="str">
        <f>IF($AL1395="","",$AL1395&amp;"|"&amp;COUNTIF($AL$11:$AL1395,$AL1395))</f>
        <v/>
      </c>
    </row>
    <row r="1396" spans="38:53" ht="15" customHeight="1" x14ac:dyDescent="0.25">
      <c r="AL1396" s="31"/>
      <c r="AM1396" s="26"/>
      <c r="AN1396" s="32"/>
      <c r="AO1396" s="32"/>
      <c r="AP1396" s="24"/>
      <c r="AQ1396" s="24"/>
      <c r="AR1396" s="33"/>
      <c r="AS1396" s="34"/>
      <c r="AT1396" s="33"/>
      <c r="AV1396" s="21">
        <f>IF(AND($AL1396&lt;&gt;"",COUNTIF($AL$11:$AL1396,$AL1396)=1),1,0)</f>
        <v>0</v>
      </c>
      <c r="AW1396" s="21">
        <f t="shared" si="129"/>
        <v>0</v>
      </c>
      <c r="AX1396" s="21" t="str">
        <f t="shared" si="128"/>
        <v/>
      </c>
      <c r="AY1396" s="21" t="str">
        <f>IF(AND($AM1396&lt;&gt;"",$AS1396&lt;&gt;"✓"),SUMPRODUCT(($AM$11:$AM1396&lt;&gt;"")*($AS$11:$AS1396&lt;&gt;"✓")),"")</f>
        <v/>
      </c>
      <c r="AZ1396" s="21" t="str">
        <f>IF(AND($AM1396&lt;&gt;"",$AS1396="✓"),SUMPRODUCT(($AM$11:$AM1396&lt;&gt;"")*($AS$11:$AS1396="✓")),"")</f>
        <v/>
      </c>
      <c r="BA1396" s="21" t="str">
        <f>IF($AL1396="","",$AL1396&amp;"|"&amp;COUNTIF($AL$11:$AL1396,$AL1396))</f>
        <v/>
      </c>
    </row>
    <row r="1397" spans="38:53" ht="15" customHeight="1" x14ac:dyDescent="0.25">
      <c r="AL1397" s="17"/>
      <c r="AM1397" s="12"/>
      <c r="AN1397" s="18"/>
      <c r="AO1397" s="18"/>
      <c r="AP1397" s="10"/>
      <c r="AQ1397" s="10"/>
      <c r="AR1397" s="19"/>
      <c r="AS1397" s="20"/>
      <c r="AT1397" s="19"/>
      <c r="AV1397" s="21">
        <f>IF(AND($AL1397&lt;&gt;"",COUNTIF($AL$11:$AL1397,$AL1397)=1),1,0)</f>
        <v>0</v>
      </c>
      <c r="AW1397" s="21">
        <f t="shared" si="129"/>
        <v>0</v>
      </c>
      <c r="AX1397" s="21" t="str">
        <f t="shared" si="128"/>
        <v/>
      </c>
      <c r="AY1397" s="21" t="str">
        <f>IF(AND($AM1397&lt;&gt;"",$AS1397&lt;&gt;"✓"),SUMPRODUCT(($AM$11:$AM1397&lt;&gt;"")*($AS$11:$AS1397&lt;&gt;"✓")),"")</f>
        <v/>
      </c>
      <c r="AZ1397" s="21" t="str">
        <f>IF(AND($AM1397&lt;&gt;"",$AS1397="✓"),SUMPRODUCT(($AM$11:$AM1397&lt;&gt;"")*($AS$11:$AS1397="✓")),"")</f>
        <v/>
      </c>
      <c r="BA1397" s="21" t="str">
        <f>IF($AL1397="","",$AL1397&amp;"|"&amp;COUNTIF($AL$11:$AL1397,$AL1397))</f>
        <v/>
      </c>
    </row>
    <row r="1398" spans="38:53" ht="15" customHeight="1" x14ac:dyDescent="0.25">
      <c r="AL1398" s="31"/>
      <c r="AM1398" s="26"/>
      <c r="AN1398" s="32"/>
      <c r="AO1398" s="32"/>
      <c r="AP1398" s="24"/>
      <c r="AQ1398" s="24"/>
      <c r="AR1398" s="33"/>
      <c r="AS1398" s="34"/>
      <c r="AT1398" s="33"/>
      <c r="AV1398" s="21">
        <f>IF(AND($AL1398&lt;&gt;"",COUNTIF($AL$11:$AL1398,$AL1398)=1),1,0)</f>
        <v>0</v>
      </c>
      <c r="AW1398" s="21">
        <f t="shared" si="129"/>
        <v>0</v>
      </c>
      <c r="AX1398" s="21" t="str">
        <f t="shared" si="128"/>
        <v/>
      </c>
      <c r="AY1398" s="21" t="str">
        <f>IF(AND($AM1398&lt;&gt;"",$AS1398&lt;&gt;"✓"),SUMPRODUCT(($AM$11:$AM1398&lt;&gt;"")*($AS$11:$AS1398&lt;&gt;"✓")),"")</f>
        <v/>
      </c>
      <c r="AZ1398" s="21" t="str">
        <f>IF(AND($AM1398&lt;&gt;"",$AS1398="✓"),SUMPRODUCT(($AM$11:$AM1398&lt;&gt;"")*($AS$11:$AS1398="✓")),"")</f>
        <v/>
      </c>
      <c r="BA1398" s="21" t="str">
        <f>IF($AL1398="","",$AL1398&amp;"|"&amp;COUNTIF($AL$11:$AL1398,$AL1398))</f>
        <v/>
      </c>
    </row>
    <row r="1399" spans="38:53" ht="15" customHeight="1" x14ac:dyDescent="0.25">
      <c r="AL1399" s="17"/>
      <c r="AM1399" s="12"/>
      <c r="AN1399" s="18"/>
      <c r="AO1399" s="18"/>
      <c r="AP1399" s="10"/>
      <c r="AQ1399" s="10"/>
      <c r="AR1399" s="19"/>
      <c r="AS1399" s="20"/>
      <c r="AT1399" s="19"/>
      <c r="AV1399" s="21">
        <f>IF(AND($AL1399&lt;&gt;"",COUNTIF($AL$11:$AL1399,$AL1399)=1),1,0)</f>
        <v>0</v>
      </c>
      <c r="AW1399" s="21">
        <f t="shared" si="129"/>
        <v>0</v>
      </c>
      <c r="AX1399" s="21" t="str">
        <f t="shared" si="128"/>
        <v/>
      </c>
      <c r="AY1399" s="21" t="str">
        <f>IF(AND($AM1399&lt;&gt;"",$AS1399&lt;&gt;"✓"),SUMPRODUCT(($AM$11:$AM1399&lt;&gt;"")*($AS$11:$AS1399&lt;&gt;"✓")),"")</f>
        <v/>
      </c>
      <c r="AZ1399" s="21" t="str">
        <f>IF(AND($AM1399&lt;&gt;"",$AS1399="✓"),SUMPRODUCT(($AM$11:$AM1399&lt;&gt;"")*($AS$11:$AS1399="✓")),"")</f>
        <v/>
      </c>
      <c r="BA1399" s="21" t="str">
        <f>IF($AL1399="","",$AL1399&amp;"|"&amp;COUNTIF($AL$11:$AL1399,$AL1399))</f>
        <v/>
      </c>
    </row>
    <row r="1400" spans="38:53" ht="15" customHeight="1" x14ac:dyDescent="0.25">
      <c r="AL1400" s="31"/>
      <c r="AM1400" s="26"/>
      <c r="AN1400" s="32"/>
      <c r="AO1400" s="32"/>
      <c r="AP1400" s="24"/>
      <c r="AQ1400" s="24"/>
      <c r="AR1400" s="33"/>
      <c r="AS1400" s="34"/>
      <c r="AT1400" s="33"/>
      <c r="AV1400" s="21">
        <f>IF(AND($AL1400&lt;&gt;"",COUNTIF($AL$11:$AL1400,$AL1400)=1),1,0)</f>
        <v>0</v>
      </c>
      <c r="AW1400" s="21">
        <f t="shared" si="129"/>
        <v>0</v>
      </c>
      <c r="AX1400" s="21" t="str">
        <f t="shared" si="128"/>
        <v/>
      </c>
      <c r="AY1400" s="21" t="str">
        <f>IF(AND($AM1400&lt;&gt;"",$AS1400&lt;&gt;"✓"),SUMPRODUCT(($AM$11:$AM1400&lt;&gt;"")*($AS$11:$AS1400&lt;&gt;"✓")),"")</f>
        <v/>
      </c>
      <c r="AZ1400" s="21" t="str">
        <f>IF(AND($AM1400&lt;&gt;"",$AS1400="✓"),SUMPRODUCT(($AM$11:$AM1400&lt;&gt;"")*($AS$11:$AS1400="✓")),"")</f>
        <v/>
      </c>
      <c r="BA1400" s="21" t="str">
        <f>IF($AL1400="","",$AL1400&amp;"|"&amp;COUNTIF($AL$11:$AL1400,$AL1400))</f>
        <v/>
      </c>
    </row>
    <row r="1401" spans="38:53" ht="15" customHeight="1" x14ac:dyDescent="0.25">
      <c r="AL1401" s="17"/>
      <c r="AM1401" s="12"/>
      <c r="AN1401" s="18"/>
      <c r="AO1401" s="18"/>
      <c r="AP1401" s="10"/>
      <c r="AQ1401" s="10"/>
      <c r="AR1401" s="19"/>
      <c r="AS1401" s="20"/>
      <c r="AT1401" s="19"/>
      <c r="AV1401" s="21">
        <f>IF(AND($AL1401&lt;&gt;"",COUNTIF($AL$11:$AL1401,$AL1401)=1),1,0)</f>
        <v>0</v>
      </c>
      <c r="AW1401" s="21">
        <f t="shared" si="129"/>
        <v>0</v>
      </c>
      <c r="AX1401" s="21" t="str">
        <f t="shared" si="128"/>
        <v/>
      </c>
      <c r="AY1401" s="21" t="str">
        <f>IF(AND($AM1401&lt;&gt;"",$AS1401&lt;&gt;"✓"),SUMPRODUCT(($AM$11:$AM1401&lt;&gt;"")*($AS$11:$AS1401&lt;&gt;"✓")),"")</f>
        <v/>
      </c>
      <c r="AZ1401" s="21" t="str">
        <f>IF(AND($AM1401&lt;&gt;"",$AS1401="✓"),SUMPRODUCT(($AM$11:$AM1401&lt;&gt;"")*($AS$11:$AS1401="✓")),"")</f>
        <v/>
      </c>
      <c r="BA1401" s="21" t="str">
        <f>IF($AL1401="","",$AL1401&amp;"|"&amp;COUNTIF($AL$11:$AL1401,$AL1401))</f>
        <v/>
      </c>
    </row>
    <row r="1402" spans="38:53" ht="15" customHeight="1" x14ac:dyDescent="0.25">
      <c r="AL1402" s="31"/>
      <c r="AM1402" s="26"/>
      <c r="AN1402" s="32"/>
      <c r="AO1402" s="32"/>
      <c r="AP1402" s="24"/>
      <c r="AQ1402" s="24"/>
      <c r="AR1402" s="33"/>
      <c r="AS1402" s="34"/>
      <c r="AT1402" s="33"/>
      <c r="AV1402" s="21">
        <f>IF(AND($AL1402&lt;&gt;"",COUNTIF($AL$11:$AL1402,$AL1402)=1),1,0)</f>
        <v>0</v>
      </c>
      <c r="AW1402" s="21">
        <f t="shared" si="129"/>
        <v>0</v>
      </c>
      <c r="AX1402" s="21" t="str">
        <f t="shared" si="128"/>
        <v/>
      </c>
      <c r="AY1402" s="21" t="str">
        <f>IF(AND($AM1402&lt;&gt;"",$AS1402&lt;&gt;"✓"),SUMPRODUCT(($AM$11:$AM1402&lt;&gt;"")*($AS$11:$AS1402&lt;&gt;"✓")),"")</f>
        <v/>
      </c>
      <c r="AZ1402" s="21" t="str">
        <f>IF(AND($AM1402&lt;&gt;"",$AS1402="✓"),SUMPRODUCT(($AM$11:$AM1402&lt;&gt;"")*($AS$11:$AS1402="✓")),"")</f>
        <v/>
      </c>
      <c r="BA1402" s="21" t="str">
        <f>IF($AL1402="","",$AL1402&amp;"|"&amp;COUNTIF($AL$11:$AL1402,$AL1402))</f>
        <v/>
      </c>
    </row>
    <row r="1403" spans="38:53" ht="15" customHeight="1" x14ac:dyDescent="0.25">
      <c r="AL1403" s="17"/>
      <c r="AM1403" s="12"/>
      <c r="AN1403" s="18"/>
      <c r="AO1403" s="18"/>
      <c r="AP1403" s="10"/>
      <c r="AQ1403" s="10"/>
      <c r="AR1403" s="19"/>
      <c r="AS1403" s="20"/>
      <c r="AT1403" s="19"/>
      <c r="AV1403" s="21">
        <f>IF(AND($AL1403&lt;&gt;"",COUNTIF($AL$11:$AL1403,$AL1403)=1),1,0)</f>
        <v>0</v>
      </c>
      <c r="AW1403" s="21">
        <f t="shared" si="129"/>
        <v>0</v>
      </c>
      <c r="AX1403" s="21" t="str">
        <f t="shared" si="128"/>
        <v/>
      </c>
      <c r="AY1403" s="21" t="str">
        <f>IF(AND($AM1403&lt;&gt;"",$AS1403&lt;&gt;"✓"),SUMPRODUCT(($AM$11:$AM1403&lt;&gt;"")*($AS$11:$AS1403&lt;&gt;"✓")),"")</f>
        <v/>
      </c>
      <c r="AZ1403" s="21" t="str">
        <f>IF(AND($AM1403&lt;&gt;"",$AS1403="✓"),SUMPRODUCT(($AM$11:$AM1403&lt;&gt;"")*($AS$11:$AS1403="✓")),"")</f>
        <v/>
      </c>
      <c r="BA1403" s="21" t="str">
        <f>IF($AL1403="","",$AL1403&amp;"|"&amp;COUNTIF($AL$11:$AL1403,$AL1403))</f>
        <v/>
      </c>
    </row>
    <row r="1404" spans="38:53" ht="15" customHeight="1" x14ac:dyDescent="0.25">
      <c r="AL1404" s="31"/>
      <c r="AM1404" s="26"/>
      <c r="AN1404" s="32"/>
      <c r="AO1404" s="32"/>
      <c r="AP1404" s="24"/>
      <c r="AQ1404" s="24"/>
      <c r="AR1404" s="33"/>
      <c r="AS1404" s="34"/>
      <c r="AT1404" s="33"/>
      <c r="AV1404" s="21">
        <f>IF(AND($AL1404&lt;&gt;"",COUNTIF($AL$11:$AL1404,$AL1404)=1),1,0)</f>
        <v>0</v>
      </c>
      <c r="AW1404" s="21">
        <f t="shared" si="129"/>
        <v>0</v>
      </c>
      <c r="AX1404" s="21" t="str">
        <f t="shared" si="128"/>
        <v/>
      </c>
      <c r="AY1404" s="21" t="str">
        <f>IF(AND($AM1404&lt;&gt;"",$AS1404&lt;&gt;"✓"),SUMPRODUCT(($AM$11:$AM1404&lt;&gt;"")*($AS$11:$AS1404&lt;&gt;"✓")),"")</f>
        <v/>
      </c>
      <c r="AZ1404" s="21" t="str">
        <f>IF(AND($AM1404&lt;&gt;"",$AS1404="✓"),SUMPRODUCT(($AM$11:$AM1404&lt;&gt;"")*($AS$11:$AS1404="✓")),"")</f>
        <v/>
      </c>
      <c r="BA1404" s="21" t="str">
        <f>IF($AL1404="","",$AL1404&amp;"|"&amp;COUNTIF($AL$11:$AL1404,$AL1404))</f>
        <v/>
      </c>
    </row>
    <row r="1405" spans="38:53" ht="15" customHeight="1" x14ac:dyDescent="0.25">
      <c r="AL1405" s="17"/>
      <c r="AM1405" s="12"/>
      <c r="AN1405" s="18"/>
      <c r="AO1405" s="18"/>
      <c r="AP1405" s="10"/>
      <c r="AQ1405" s="10"/>
      <c r="AR1405" s="19"/>
      <c r="AS1405" s="20"/>
      <c r="AT1405" s="19"/>
      <c r="AV1405" s="21">
        <f>IF(AND($AL1405&lt;&gt;"",COUNTIF($AL$11:$AL1405,$AL1405)=1),1,0)</f>
        <v>0</v>
      </c>
      <c r="AW1405" s="21">
        <f t="shared" si="129"/>
        <v>0</v>
      </c>
      <c r="AX1405" s="21" t="str">
        <f t="shared" si="128"/>
        <v/>
      </c>
      <c r="AY1405" s="21" t="str">
        <f>IF(AND($AM1405&lt;&gt;"",$AS1405&lt;&gt;"✓"),SUMPRODUCT(($AM$11:$AM1405&lt;&gt;"")*($AS$11:$AS1405&lt;&gt;"✓")),"")</f>
        <v/>
      </c>
      <c r="AZ1405" s="21" t="str">
        <f>IF(AND($AM1405&lt;&gt;"",$AS1405="✓"),SUMPRODUCT(($AM$11:$AM1405&lt;&gt;"")*($AS$11:$AS1405="✓")),"")</f>
        <v/>
      </c>
      <c r="BA1405" s="21" t="str">
        <f>IF($AL1405="","",$AL1405&amp;"|"&amp;COUNTIF($AL$11:$AL1405,$AL1405))</f>
        <v/>
      </c>
    </row>
    <row r="1406" spans="38:53" ht="15" customHeight="1" x14ac:dyDescent="0.25">
      <c r="AL1406" s="31"/>
      <c r="AM1406" s="26"/>
      <c r="AN1406" s="32"/>
      <c r="AO1406" s="32"/>
      <c r="AP1406" s="24"/>
      <c r="AQ1406" s="24"/>
      <c r="AR1406" s="33"/>
      <c r="AS1406" s="34"/>
      <c r="AT1406" s="33"/>
      <c r="AV1406" s="21">
        <f>IF(AND($AL1406&lt;&gt;"",COUNTIF($AL$11:$AL1406,$AL1406)=1),1,0)</f>
        <v>0</v>
      </c>
      <c r="AW1406" s="21">
        <f t="shared" si="129"/>
        <v>0</v>
      </c>
      <c r="AX1406" s="21" t="str">
        <f t="shared" si="128"/>
        <v/>
      </c>
      <c r="AY1406" s="21" t="str">
        <f>IF(AND($AM1406&lt;&gt;"",$AS1406&lt;&gt;"✓"),SUMPRODUCT(($AM$11:$AM1406&lt;&gt;"")*($AS$11:$AS1406&lt;&gt;"✓")),"")</f>
        <v/>
      </c>
      <c r="AZ1406" s="21" t="str">
        <f>IF(AND($AM1406&lt;&gt;"",$AS1406="✓"),SUMPRODUCT(($AM$11:$AM1406&lt;&gt;"")*($AS$11:$AS1406="✓")),"")</f>
        <v/>
      </c>
      <c r="BA1406" s="21" t="str">
        <f>IF($AL1406="","",$AL1406&amp;"|"&amp;COUNTIF($AL$11:$AL1406,$AL1406))</f>
        <v/>
      </c>
    </row>
    <row r="1407" spans="38:53" ht="15" customHeight="1" x14ac:dyDescent="0.25">
      <c r="AL1407" s="17"/>
      <c r="AM1407" s="12"/>
      <c r="AN1407" s="18"/>
      <c r="AO1407" s="18"/>
      <c r="AP1407" s="10"/>
      <c r="AQ1407" s="10"/>
      <c r="AR1407" s="19"/>
      <c r="AS1407" s="20"/>
      <c r="AT1407" s="19"/>
      <c r="AV1407" s="21">
        <f>IF(AND($AL1407&lt;&gt;"",COUNTIF($AL$11:$AL1407,$AL1407)=1),1,0)</f>
        <v>0</v>
      </c>
      <c r="AW1407" s="21">
        <f t="shared" si="129"/>
        <v>0</v>
      </c>
      <c r="AX1407" s="21" t="str">
        <f t="shared" si="128"/>
        <v/>
      </c>
      <c r="AY1407" s="21" t="str">
        <f>IF(AND($AM1407&lt;&gt;"",$AS1407&lt;&gt;"✓"),SUMPRODUCT(($AM$11:$AM1407&lt;&gt;"")*($AS$11:$AS1407&lt;&gt;"✓")),"")</f>
        <v/>
      </c>
      <c r="AZ1407" s="21" t="str">
        <f>IF(AND($AM1407&lt;&gt;"",$AS1407="✓"),SUMPRODUCT(($AM$11:$AM1407&lt;&gt;"")*($AS$11:$AS1407="✓")),"")</f>
        <v/>
      </c>
      <c r="BA1407" s="21" t="str">
        <f>IF($AL1407="","",$AL1407&amp;"|"&amp;COUNTIF($AL$11:$AL1407,$AL1407))</f>
        <v/>
      </c>
    </row>
    <row r="1408" spans="38:53" ht="15" customHeight="1" x14ac:dyDescent="0.25">
      <c r="AL1408" s="31"/>
      <c r="AM1408" s="26"/>
      <c r="AN1408" s="32"/>
      <c r="AO1408" s="32"/>
      <c r="AP1408" s="24"/>
      <c r="AQ1408" s="24"/>
      <c r="AR1408" s="33"/>
      <c r="AS1408" s="34"/>
      <c r="AT1408" s="33"/>
      <c r="AV1408" s="21">
        <f>IF(AND($AL1408&lt;&gt;"",COUNTIF($AL$11:$AL1408,$AL1408)=1),1,0)</f>
        <v>0</v>
      </c>
      <c r="AW1408" s="21">
        <f t="shared" si="129"/>
        <v>0</v>
      </c>
      <c r="AX1408" s="21" t="str">
        <f t="shared" si="128"/>
        <v/>
      </c>
      <c r="AY1408" s="21" t="str">
        <f>IF(AND($AM1408&lt;&gt;"",$AS1408&lt;&gt;"✓"),SUMPRODUCT(($AM$11:$AM1408&lt;&gt;"")*($AS$11:$AS1408&lt;&gt;"✓")),"")</f>
        <v/>
      </c>
      <c r="AZ1408" s="21" t="str">
        <f>IF(AND($AM1408&lt;&gt;"",$AS1408="✓"),SUMPRODUCT(($AM$11:$AM1408&lt;&gt;"")*($AS$11:$AS1408="✓")),"")</f>
        <v/>
      </c>
      <c r="BA1408" s="21" t="str">
        <f>IF($AL1408="","",$AL1408&amp;"|"&amp;COUNTIF($AL$11:$AL1408,$AL1408))</f>
        <v/>
      </c>
    </row>
    <row r="1409" spans="38:53" ht="15" customHeight="1" x14ac:dyDescent="0.25">
      <c r="AL1409" s="17"/>
      <c r="AM1409" s="12"/>
      <c r="AN1409" s="18"/>
      <c r="AO1409" s="18"/>
      <c r="AP1409" s="10"/>
      <c r="AQ1409" s="10"/>
      <c r="AR1409" s="19"/>
      <c r="AS1409" s="20"/>
      <c r="AT1409" s="19"/>
      <c r="AV1409" s="21">
        <f>IF(AND($AL1409&lt;&gt;"",COUNTIF($AL$11:$AL1409,$AL1409)=1),1,0)</f>
        <v>0</v>
      </c>
      <c r="AW1409" s="21">
        <f t="shared" si="129"/>
        <v>0</v>
      </c>
      <c r="AX1409" s="21" t="str">
        <f t="shared" si="128"/>
        <v/>
      </c>
      <c r="AY1409" s="21" t="str">
        <f>IF(AND($AM1409&lt;&gt;"",$AS1409&lt;&gt;"✓"),SUMPRODUCT(($AM$11:$AM1409&lt;&gt;"")*($AS$11:$AS1409&lt;&gt;"✓")),"")</f>
        <v/>
      </c>
      <c r="AZ1409" s="21" t="str">
        <f>IF(AND($AM1409&lt;&gt;"",$AS1409="✓"),SUMPRODUCT(($AM$11:$AM1409&lt;&gt;"")*($AS$11:$AS1409="✓")),"")</f>
        <v/>
      </c>
      <c r="BA1409" s="21" t="str">
        <f>IF($AL1409="","",$AL1409&amp;"|"&amp;COUNTIF($AL$11:$AL1409,$AL1409))</f>
        <v/>
      </c>
    </row>
    <row r="1410" spans="38:53" ht="15" customHeight="1" x14ac:dyDescent="0.25">
      <c r="AL1410" s="31"/>
      <c r="AM1410" s="26"/>
      <c r="AN1410" s="32"/>
      <c r="AO1410" s="32"/>
      <c r="AP1410" s="24"/>
      <c r="AQ1410" s="24"/>
      <c r="AR1410" s="33"/>
      <c r="AS1410" s="34"/>
      <c r="AT1410" s="33"/>
      <c r="AV1410" s="21">
        <f>IF(AND($AL1410&lt;&gt;"",COUNTIF($AL$11:$AL1410,$AL1410)=1),1,0)</f>
        <v>0</v>
      </c>
      <c r="AW1410" s="21">
        <f t="shared" si="129"/>
        <v>0</v>
      </c>
      <c r="AX1410" s="21" t="str">
        <f t="shared" si="128"/>
        <v/>
      </c>
      <c r="AY1410" s="21" t="str">
        <f>IF(AND($AM1410&lt;&gt;"",$AS1410&lt;&gt;"✓"),SUMPRODUCT(($AM$11:$AM1410&lt;&gt;"")*($AS$11:$AS1410&lt;&gt;"✓")),"")</f>
        <v/>
      </c>
      <c r="AZ1410" s="21" t="str">
        <f>IF(AND($AM1410&lt;&gt;"",$AS1410="✓"),SUMPRODUCT(($AM$11:$AM1410&lt;&gt;"")*($AS$11:$AS1410="✓")),"")</f>
        <v/>
      </c>
      <c r="BA1410" s="21" t="str">
        <f>IF($AL1410="","",$AL1410&amp;"|"&amp;COUNTIF($AL$11:$AL1410,$AL1410))</f>
        <v/>
      </c>
    </row>
    <row r="1411" spans="38:53" ht="15" customHeight="1" x14ac:dyDescent="0.25">
      <c r="AL1411" s="17"/>
      <c r="AM1411" s="12"/>
      <c r="AN1411" s="18"/>
      <c r="AO1411" s="18"/>
      <c r="AP1411" s="10"/>
      <c r="AQ1411" s="10"/>
      <c r="AR1411" s="19"/>
      <c r="AS1411" s="20"/>
      <c r="AT1411" s="19"/>
      <c r="AV1411" s="21">
        <f>IF(AND($AL1411&lt;&gt;"",COUNTIF($AL$11:$AL1411,$AL1411)=1),1,0)</f>
        <v>0</v>
      </c>
      <c r="AW1411" s="21">
        <f t="shared" si="129"/>
        <v>0</v>
      </c>
      <c r="AX1411" s="21" t="str">
        <f t="shared" si="128"/>
        <v/>
      </c>
      <c r="AY1411" s="21" t="str">
        <f>IF(AND($AM1411&lt;&gt;"",$AS1411&lt;&gt;"✓"),SUMPRODUCT(($AM$11:$AM1411&lt;&gt;"")*($AS$11:$AS1411&lt;&gt;"✓")),"")</f>
        <v/>
      </c>
      <c r="AZ1411" s="21" t="str">
        <f>IF(AND($AM1411&lt;&gt;"",$AS1411="✓"),SUMPRODUCT(($AM$11:$AM1411&lt;&gt;"")*($AS$11:$AS1411="✓")),"")</f>
        <v/>
      </c>
      <c r="BA1411" s="21" t="str">
        <f>IF($AL1411="","",$AL1411&amp;"|"&amp;COUNTIF($AL$11:$AL1411,$AL1411))</f>
        <v/>
      </c>
    </row>
    <row r="1412" spans="38:53" ht="15" customHeight="1" x14ac:dyDescent="0.25">
      <c r="AL1412" s="31"/>
      <c r="AM1412" s="26"/>
      <c r="AN1412" s="32"/>
      <c r="AO1412" s="32"/>
      <c r="AP1412" s="24"/>
      <c r="AQ1412" s="24"/>
      <c r="AR1412" s="33"/>
      <c r="AS1412" s="34"/>
      <c r="AT1412" s="33"/>
      <c r="AV1412" s="21">
        <f>IF(AND($AL1412&lt;&gt;"",COUNTIF($AL$11:$AL1412,$AL1412)=1),1,0)</f>
        <v>0</v>
      </c>
      <c r="AW1412" s="21">
        <f t="shared" si="129"/>
        <v>0</v>
      </c>
      <c r="AX1412" s="21" t="str">
        <f t="shared" si="128"/>
        <v/>
      </c>
      <c r="AY1412" s="21" t="str">
        <f>IF(AND($AM1412&lt;&gt;"",$AS1412&lt;&gt;"✓"),SUMPRODUCT(($AM$11:$AM1412&lt;&gt;"")*($AS$11:$AS1412&lt;&gt;"✓")),"")</f>
        <v/>
      </c>
      <c r="AZ1412" s="21" t="str">
        <f>IF(AND($AM1412&lt;&gt;"",$AS1412="✓"),SUMPRODUCT(($AM$11:$AM1412&lt;&gt;"")*($AS$11:$AS1412="✓")),"")</f>
        <v/>
      </c>
      <c r="BA1412" s="21" t="str">
        <f>IF($AL1412="","",$AL1412&amp;"|"&amp;COUNTIF($AL$11:$AL1412,$AL1412))</f>
        <v/>
      </c>
    </row>
    <row r="1413" spans="38:53" ht="15" customHeight="1" x14ac:dyDescent="0.25">
      <c r="AL1413" s="17"/>
      <c r="AM1413" s="12"/>
      <c r="AN1413" s="18"/>
      <c r="AO1413" s="18"/>
      <c r="AP1413" s="10"/>
      <c r="AQ1413" s="10"/>
      <c r="AR1413" s="19"/>
      <c r="AS1413" s="20"/>
      <c r="AT1413" s="19"/>
      <c r="AV1413" s="21">
        <f>IF(AND($AL1413&lt;&gt;"",COUNTIF($AL$11:$AL1413,$AL1413)=1),1,0)</f>
        <v>0</v>
      </c>
      <c r="AW1413" s="21">
        <f t="shared" si="129"/>
        <v>0</v>
      </c>
      <c r="AX1413" s="21" t="str">
        <f t="shared" si="128"/>
        <v/>
      </c>
      <c r="AY1413" s="21" t="str">
        <f>IF(AND($AM1413&lt;&gt;"",$AS1413&lt;&gt;"✓"),SUMPRODUCT(($AM$11:$AM1413&lt;&gt;"")*($AS$11:$AS1413&lt;&gt;"✓")),"")</f>
        <v/>
      </c>
      <c r="AZ1413" s="21" t="str">
        <f>IF(AND($AM1413&lt;&gt;"",$AS1413="✓"),SUMPRODUCT(($AM$11:$AM1413&lt;&gt;"")*($AS$11:$AS1413="✓")),"")</f>
        <v/>
      </c>
      <c r="BA1413" s="21" t="str">
        <f>IF($AL1413="","",$AL1413&amp;"|"&amp;COUNTIF($AL$11:$AL1413,$AL1413))</f>
        <v/>
      </c>
    </row>
    <row r="1414" spans="38:53" ht="15" customHeight="1" x14ac:dyDescent="0.25">
      <c r="AL1414" s="31"/>
      <c r="AM1414" s="26"/>
      <c r="AN1414" s="32"/>
      <c r="AO1414" s="32"/>
      <c r="AP1414" s="24"/>
      <c r="AQ1414" s="24"/>
      <c r="AR1414" s="33"/>
      <c r="AS1414" s="34"/>
      <c r="AT1414" s="33"/>
      <c r="AV1414" s="21">
        <f>IF(AND($AL1414&lt;&gt;"",COUNTIF($AL$11:$AL1414,$AL1414)=1),1,0)</f>
        <v>0</v>
      </c>
      <c r="AW1414" s="21">
        <f t="shared" si="129"/>
        <v>0</v>
      </c>
      <c r="AX1414" s="21" t="str">
        <f t="shared" si="128"/>
        <v/>
      </c>
      <c r="AY1414" s="21" t="str">
        <f>IF(AND($AM1414&lt;&gt;"",$AS1414&lt;&gt;"✓"),SUMPRODUCT(($AM$11:$AM1414&lt;&gt;"")*($AS$11:$AS1414&lt;&gt;"✓")),"")</f>
        <v/>
      </c>
      <c r="AZ1414" s="21" t="str">
        <f>IF(AND($AM1414&lt;&gt;"",$AS1414="✓"),SUMPRODUCT(($AM$11:$AM1414&lt;&gt;"")*($AS$11:$AS1414="✓")),"")</f>
        <v/>
      </c>
      <c r="BA1414" s="21" t="str">
        <f>IF($AL1414="","",$AL1414&amp;"|"&amp;COUNTIF($AL$11:$AL1414,$AL1414))</f>
        <v/>
      </c>
    </row>
    <row r="1415" spans="38:53" ht="15" customHeight="1" x14ac:dyDescent="0.25">
      <c r="AL1415" s="17"/>
      <c r="AM1415" s="12"/>
      <c r="AN1415" s="18"/>
      <c r="AO1415" s="18"/>
      <c r="AP1415" s="10"/>
      <c r="AQ1415" s="10"/>
      <c r="AR1415" s="19"/>
      <c r="AS1415" s="20"/>
      <c r="AT1415" s="19"/>
      <c r="AV1415" s="21">
        <f>IF(AND($AL1415&lt;&gt;"",COUNTIF($AL$11:$AL1415,$AL1415)=1),1,0)</f>
        <v>0</v>
      </c>
      <c r="AW1415" s="21">
        <f t="shared" si="129"/>
        <v>0</v>
      </c>
      <c r="AX1415" s="21" t="str">
        <f t="shared" si="128"/>
        <v/>
      </c>
      <c r="AY1415" s="21" t="str">
        <f>IF(AND($AM1415&lt;&gt;"",$AS1415&lt;&gt;"✓"),SUMPRODUCT(($AM$11:$AM1415&lt;&gt;"")*($AS$11:$AS1415&lt;&gt;"✓")),"")</f>
        <v/>
      </c>
      <c r="AZ1415" s="21" t="str">
        <f>IF(AND($AM1415&lt;&gt;"",$AS1415="✓"),SUMPRODUCT(($AM$11:$AM1415&lt;&gt;"")*($AS$11:$AS1415="✓")),"")</f>
        <v/>
      </c>
      <c r="BA1415" s="21" t="str">
        <f>IF($AL1415="","",$AL1415&amp;"|"&amp;COUNTIF($AL$11:$AL1415,$AL1415))</f>
        <v/>
      </c>
    </row>
    <row r="1416" spans="38:53" ht="15" customHeight="1" x14ac:dyDescent="0.25">
      <c r="AL1416" s="31"/>
      <c r="AM1416" s="26"/>
      <c r="AN1416" s="32"/>
      <c r="AO1416" s="32"/>
      <c r="AP1416" s="24"/>
      <c r="AQ1416" s="24"/>
      <c r="AR1416" s="33"/>
      <c r="AS1416" s="34"/>
      <c r="AT1416" s="33"/>
      <c r="AV1416" s="21">
        <f>IF(AND($AL1416&lt;&gt;"",COUNTIF($AL$11:$AL1416,$AL1416)=1),1,0)</f>
        <v>0</v>
      </c>
      <c r="AW1416" s="21">
        <f t="shared" si="129"/>
        <v>0</v>
      </c>
      <c r="AX1416" s="21" t="str">
        <f t="shared" si="128"/>
        <v/>
      </c>
      <c r="AY1416" s="21" t="str">
        <f>IF(AND($AM1416&lt;&gt;"",$AS1416&lt;&gt;"✓"),SUMPRODUCT(($AM$11:$AM1416&lt;&gt;"")*($AS$11:$AS1416&lt;&gt;"✓")),"")</f>
        <v/>
      </c>
      <c r="AZ1416" s="21" t="str">
        <f>IF(AND($AM1416&lt;&gt;"",$AS1416="✓"),SUMPRODUCT(($AM$11:$AM1416&lt;&gt;"")*($AS$11:$AS1416="✓")),"")</f>
        <v/>
      </c>
      <c r="BA1416" s="21" t="str">
        <f>IF($AL1416="","",$AL1416&amp;"|"&amp;COUNTIF($AL$11:$AL1416,$AL1416))</f>
        <v/>
      </c>
    </row>
    <row r="1417" spans="38:53" ht="15" customHeight="1" x14ac:dyDescent="0.25">
      <c r="AL1417" s="17"/>
      <c r="AM1417" s="12"/>
      <c r="AN1417" s="18"/>
      <c r="AO1417" s="18"/>
      <c r="AP1417" s="10"/>
      <c r="AQ1417" s="10"/>
      <c r="AR1417" s="19"/>
      <c r="AS1417" s="20"/>
      <c r="AT1417" s="19"/>
      <c r="AV1417" s="21">
        <f>IF(AND($AL1417&lt;&gt;"",COUNTIF($AL$11:$AL1417,$AL1417)=1),1,0)</f>
        <v>0</v>
      </c>
      <c r="AW1417" s="21">
        <f t="shared" si="129"/>
        <v>0</v>
      </c>
      <c r="AX1417" s="21" t="str">
        <f t="shared" si="128"/>
        <v/>
      </c>
      <c r="AY1417" s="21" t="str">
        <f>IF(AND($AM1417&lt;&gt;"",$AS1417&lt;&gt;"✓"),SUMPRODUCT(($AM$11:$AM1417&lt;&gt;"")*($AS$11:$AS1417&lt;&gt;"✓")),"")</f>
        <v/>
      </c>
      <c r="AZ1417" s="21" t="str">
        <f>IF(AND($AM1417&lt;&gt;"",$AS1417="✓"),SUMPRODUCT(($AM$11:$AM1417&lt;&gt;"")*($AS$11:$AS1417="✓")),"")</f>
        <v/>
      </c>
      <c r="BA1417" s="21" t="str">
        <f>IF($AL1417="","",$AL1417&amp;"|"&amp;COUNTIF($AL$11:$AL1417,$AL1417))</f>
        <v/>
      </c>
    </row>
    <row r="1418" spans="38:53" ht="15" customHeight="1" x14ac:dyDescent="0.25">
      <c r="AL1418" s="31"/>
      <c r="AM1418" s="26"/>
      <c r="AN1418" s="32"/>
      <c r="AO1418" s="32"/>
      <c r="AP1418" s="24"/>
      <c r="AQ1418" s="24"/>
      <c r="AR1418" s="33"/>
      <c r="AS1418" s="34"/>
      <c r="AT1418" s="33"/>
      <c r="AV1418" s="21">
        <f>IF(AND($AL1418&lt;&gt;"",COUNTIF($AL$11:$AL1418,$AL1418)=1),1,0)</f>
        <v>0</v>
      </c>
      <c r="AW1418" s="21">
        <f t="shared" si="129"/>
        <v>0</v>
      </c>
      <c r="AX1418" s="21" t="str">
        <f t="shared" si="128"/>
        <v/>
      </c>
      <c r="AY1418" s="21" t="str">
        <f>IF(AND($AM1418&lt;&gt;"",$AS1418&lt;&gt;"✓"),SUMPRODUCT(($AM$11:$AM1418&lt;&gt;"")*($AS$11:$AS1418&lt;&gt;"✓")),"")</f>
        <v/>
      </c>
      <c r="AZ1418" s="21" t="str">
        <f>IF(AND($AM1418&lt;&gt;"",$AS1418="✓"),SUMPRODUCT(($AM$11:$AM1418&lt;&gt;"")*($AS$11:$AS1418="✓")),"")</f>
        <v/>
      </c>
      <c r="BA1418" s="21" t="str">
        <f>IF($AL1418="","",$AL1418&amp;"|"&amp;COUNTIF($AL$11:$AL1418,$AL1418))</f>
        <v/>
      </c>
    </row>
    <row r="1419" spans="38:53" ht="15" customHeight="1" x14ac:dyDescent="0.25">
      <c r="AL1419" s="17"/>
      <c r="AM1419" s="12"/>
      <c r="AN1419" s="18"/>
      <c r="AO1419" s="18"/>
      <c r="AP1419" s="10"/>
      <c r="AQ1419" s="10"/>
      <c r="AR1419" s="19"/>
      <c r="AS1419" s="20"/>
      <c r="AT1419" s="19"/>
      <c r="AV1419" s="21">
        <f>IF(AND($AL1419&lt;&gt;"",COUNTIF($AL$11:$AL1419,$AL1419)=1),1,0)</f>
        <v>0</v>
      </c>
      <c r="AW1419" s="21">
        <f t="shared" si="129"/>
        <v>0</v>
      </c>
      <c r="AX1419" s="21" t="str">
        <f t="shared" ref="AX1419:AX1482" si="130">IF(AV1419=1,AW1419,"")</f>
        <v/>
      </c>
      <c r="AY1419" s="21" t="str">
        <f>IF(AND($AM1419&lt;&gt;"",$AS1419&lt;&gt;"✓"),SUMPRODUCT(($AM$11:$AM1419&lt;&gt;"")*($AS$11:$AS1419&lt;&gt;"✓")),"")</f>
        <v/>
      </c>
      <c r="AZ1419" s="21" t="str">
        <f>IF(AND($AM1419&lt;&gt;"",$AS1419="✓"),SUMPRODUCT(($AM$11:$AM1419&lt;&gt;"")*($AS$11:$AS1419="✓")),"")</f>
        <v/>
      </c>
      <c r="BA1419" s="21" t="str">
        <f>IF($AL1419="","",$AL1419&amp;"|"&amp;COUNTIF($AL$11:$AL1419,$AL1419))</f>
        <v/>
      </c>
    </row>
    <row r="1420" spans="38:53" ht="15" customHeight="1" x14ac:dyDescent="0.25">
      <c r="AL1420" s="31"/>
      <c r="AM1420" s="26"/>
      <c r="AN1420" s="32"/>
      <c r="AO1420" s="32"/>
      <c r="AP1420" s="24"/>
      <c r="AQ1420" s="24"/>
      <c r="AR1420" s="33"/>
      <c r="AS1420" s="34"/>
      <c r="AT1420" s="33"/>
      <c r="AV1420" s="21">
        <f>IF(AND($AL1420&lt;&gt;"",COUNTIF($AL$11:$AL1420,$AL1420)=1),1,0)</f>
        <v>0</v>
      </c>
      <c r="AW1420" s="21">
        <f t="shared" ref="AW1420:AW1483" si="131">AW1419+AV1420</f>
        <v>0</v>
      </c>
      <c r="AX1420" s="21" t="str">
        <f t="shared" si="130"/>
        <v/>
      </c>
      <c r="AY1420" s="21" t="str">
        <f>IF(AND($AM1420&lt;&gt;"",$AS1420&lt;&gt;"✓"),SUMPRODUCT(($AM$11:$AM1420&lt;&gt;"")*($AS$11:$AS1420&lt;&gt;"✓")),"")</f>
        <v/>
      </c>
      <c r="AZ1420" s="21" t="str">
        <f>IF(AND($AM1420&lt;&gt;"",$AS1420="✓"),SUMPRODUCT(($AM$11:$AM1420&lt;&gt;"")*($AS$11:$AS1420="✓")),"")</f>
        <v/>
      </c>
      <c r="BA1420" s="21" t="str">
        <f>IF($AL1420="","",$AL1420&amp;"|"&amp;COUNTIF($AL$11:$AL1420,$AL1420))</f>
        <v/>
      </c>
    </row>
    <row r="1421" spans="38:53" ht="15" customHeight="1" x14ac:dyDescent="0.25">
      <c r="AL1421" s="17"/>
      <c r="AM1421" s="12"/>
      <c r="AN1421" s="18"/>
      <c r="AO1421" s="18"/>
      <c r="AP1421" s="10"/>
      <c r="AQ1421" s="10"/>
      <c r="AR1421" s="19"/>
      <c r="AS1421" s="20"/>
      <c r="AT1421" s="19"/>
      <c r="AV1421" s="21">
        <f>IF(AND($AL1421&lt;&gt;"",COUNTIF($AL$11:$AL1421,$AL1421)=1),1,0)</f>
        <v>0</v>
      </c>
      <c r="AW1421" s="21">
        <f t="shared" si="131"/>
        <v>0</v>
      </c>
      <c r="AX1421" s="21" t="str">
        <f t="shared" si="130"/>
        <v/>
      </c>
      <c r="AY1421" s="21" t="str">
        <f>IF(AND($AM1421&lt;&gt;"",$AS1421&lt;&gt;"✓"),SUMPRODUCT(($AM$11:$AM1421&lt;&gt;"")*($AS$11:$AS1421&lt;&gt;"✓")),"")</f>
        <v/>
      </c>
      <c r="AZ1421" s="21" t="str">
        <f>IF(AND($AM1421&lt;&gt;"",$AS1421="✓"),SUMPRODUCT(($AM$11:$AM1421&lt;&gt;"")*($AS$11:$AS1421="✓")),"")</f>
        <v/>
      </c>
      <c r="BA1421" s="21" t="str">
        <f>IF($AL1421="","",$AL1421&amp;"|"&amp;COUNTIF($AL$11:$AL1421,$AL1421))</f>
        <v/>
      </c>
    </row>
    <row r="1422" spans="38:53" ht="15" customHeight="1" x14ac:dyDescent="0.25">
      <c r="AL1422" s="31"/>
      <c r="AM1422" s="26"/>
      <c r="AN1422" s="32"/>
      <c r="AO1422" s="32"/>
      <c r="AP1422" s="24"/>
      <c r="AQ1422" s="24"/>
      <c r="AR1422" s="33"/>
      <c r="AS1422" s="34"/>
      <c r="AT1422" s="33"/>
      <c r="AV1422" s="21">
        <f>IF(AND($AL1422&lt;&gt;"",COUNTIF($AL$11:$AL1422,$AL1422)=1),1,0)</f>
        <v>0</v>
      </c>
      <c r="AW1422" s="21">
        <f t="shared" si="131"/>
        <v>0</v>
      </c>
      <c r="AX1422" s="21" t="str">
        <f t="shared" si="130"/>
        <v/>
      </c>
      <c r="AY1422" s="21" t="str">
        <f>IF(AND($AM1422&lt;&gt;"",$AS1422&lt;&gt;"✓"),SUMPRODUCT(($AM$11:$AM1422&lt;&gt;"")*($AS$11:$AS1422&lt;&gt;"✓")),"")</f>
        <v/>
      </c>
      <c r="AZ1422" s="21" t="str">
        <f>IF(AND($AM1422&lt;&gt;"",$AS1422="✓"),SUMPRODUCT(($AM$11:$AM1422&lt;&gt;"")*($AS$11:$AS1422="✓")),"")</f>
        <v/>
      </c>
      <c r="BA1422" s="21" t="str">
        <f>IF($AL1422="","",$AL1422&amp;"|"&amp;COUNTIF($AL$11:$AL1422,$AL1422))</f>
        <v/>
      </c>
    </row>
    <row r="1423" spans="38:53" ht="15" customHeight="1" x14ac:dyDescent="0.25">
      <c r="AL1423" s="17"/>
      <c r="AM1423" s="12"/>
      <c r="AN1423" s="18"/>
      <c r="AO1423" s="18"/>
      <c r="AP1423" s="10"/>
      <c r="AQ1423" s="10"/>
      <c r="AR1423" s="19"/>
      <c r="AS1423" s="20"/>
      <c r="AT1423" s="19"/>
      <c r="AV1423" s="21">
        <f>IF(AND($AL1423&lt;&gt;"",COUNTIF($AL$11:$AL1423,$AL1423)=1),1,0)</f>
        <v>0</v>
      </c>
      <c r="AW1423" s="21">
        <f t="shared" si="131"/>
        <v>0</v>
      </c>
      <c r="AX1423" s="21" t="str">
        <f t="shared" si="130"/>
        <v/>
      </c>
      <c r="AY1423" s="21" t="str">
        <f>IF(AND($AM1423&lt;&gt;"",$AS1423&lt;&gt;"✓"),SUMPRODUCT(($AM$11:$AM1423&lt;&gt;"")*($AS$11:$AS1423&lt;&gt;"✓")),"")</f>
        <v/>
      </c>
      <c r="AZ1423" s="21" t="str">
        <f>IF(AND($AM1423&lt;&gt;"",$AS1423="✓"),SUMPRODUCT(($AM$11:$AM1423&lt;&gt;"")*($AS$11:$AS1423="✓")),"")</f>
        <v/>
      </c>
      <c r="BA1423" s="21" t="str">
        <f>IF($AL1423="","",$AL1423&amp;"|"&amp;COUNTIF($AL$11:$AL1423,$AL1423))</f>
        <v/>
      </c>
    </row>
    <row r="1424" spans="38:53" ht="15" customHeight="1" x14ac:dyDescent="0.25">
      <c r="AL1424" s="31"/>
      <c r="AM1424" s="26"/>
      <c r="AN1424" s="32"/>
      <c r="AO1424" s="32"/>
      <c r="AP1424" s="24"/>
      <c r="AQ1424" s="24"/>
      <c r="AR1424" s="33"/>
      <c r="AS1424" s="34"/>
      <c r="AT1424" s="33"/>
      <c r="AV1424" s="21">
        <f>IF(AND($AL1424&lt;&gt;"",COUNTIF($AL$11:$AL1424,$AL1424)=1),1,0)</f>
        <v>0</v>
      </c>
      <c r="AW1424" s="21">
        <f t="shared" si="131"/>
        <v>0</v>
      </c>
      <c r="AX1424" s="21" t="str">
        <f t="shared" si="130"/>
        <v/>
      </c>
      <c r="AY1424" s="21" t="str">
        <f>IF(AND($AM1424&lt;&gt;"",$AS1424&lt;&gt;"✓"),SUMPRODUCT(($AM$11:$AM1424&lt;&gt;"")*($AS$11:$AS1424&lt;&gt;"✓")),"")</f>
        <v/>
      </c>
      <c r="AZ1424" s="21" t="str">
        <f>IF(AND($AM1424&lt;&gt;"",$AS1424="✓"),SUMPRODUCT(($AM$11:$AM1424&lt;&gt;"")*($AS$11:$AS1424="✓")),"")</f>
        <v/>
      </c>
      <c r="BA1424" s="21" t="str">
        <f>IF($AL1424="","",$AL1424&amp;"|"&amp;COUNTIF($AL$11:$AL1424,$AL1424))</f>
        <v/>
      </c>
    </row>
    <row r="1425" spans="38:53" ht="15" customHeight="1" x14ac:dyDescent="0.25">
      <c r="AL1425" s="17"/>
      <c r="AM1425" s="12"/>
      <c r="AN1425" s="18"/>
      <c r="AO1425" s="18"/>
      <c r="AP1425" s="10"/>
      <c r="AQ1425" s="10"/>
      <c r="AR1425" s="19"/>
      <c r="AS1425" s="20"/>
      <c r="AT1425" s="19"/>
      <c r="AV1425" s="21">
        <f>IF(AND($AL1425&lt;&gt;"",COUNTIF($AL$11:$AL1425,$AL1425)=1),1,0)</f>
        <v>0</v>
      </c>
      <c r="AW1425" s="21">
        <f t="shared" si="131"/>
        <v>0</v>
      </c>
      <c r="AX1425" s="21" t="str">
        <f t="shared" si="130"/>
        <v/>
      </c>
      <c r="AY1425" s="21" t="str">
        <f>IF(AND($AM1425&lt;&gt;"",$AS1425&lt;&gt;"✓"),SUMPRODUCT(($AM$11:$AM1425&lt;&gt;"")*($AS$11:$AS1425&lt;&gt;"✓")),"")</f>
        <v/>
      </c>
      <c r="AZ1425" s="21" t="str">
        <f>IF(AND($AM1425&lt;&gt;"",$AS1425="✓"),SUMPRODUCT(($AM$11:$AM1425&lt;&gt;"")*($AS$11:$AS1425="✓")),"")</f>
        <v/>
      </c>
      <c r="BA1425" s="21" t="str">
        <f>IF($AL1425="","",$AL1425&amp;"|"&amp;COUNTIF($AL$11:$AL1425,$AL1425))</f>
        <v/>
      </c>
    </row>
    <row r="1426" spans="38:53" ht="15" customHeight="1" x14ac:dyDescent="0.25">
      <c r="AL1426" s="31"/>
      <c r="AM1426" s="26"/>
      <c r="AN1426" s="32"/>
      <c r="AO1426" s="32"/>
      <c r="AP1426" s="24"/>
      <c r="AQ1426" s="24"/>
      <c r="AR1426" s="33"/>
      <c r="AS1426" s="34"/>
      <c r="AT1426" s="33"/>
      <c r="AV1426" s="21">
        <f>IF(AND($AL1426&lt;&gt;"",COUNTIF($AL$11:$AL1426,$AL1426)=1),1,0)</f>
        <v>0</v>
      </c>
      <c r="AW1426" s="21">
        <f t="shared" si="131"/>
        <v>0</v>
      </c>
      <c r="AX1426" s="21" t="str">
        <f t="shared" si="130"/>
        <v/>
      </c>
      <c r="AY1426" s="21" t="str">
        <f>IF(AND($AM1426&lt;&gt;"",$AS1426&lt;&gt;"✓"),SUMPRODUCT(($AM$11:$AM1426&lt;&gt;"")*($AS$11:$AS1426&lt;&gt;"✓")),"")</f>
        <v/>
      </c>
      <c r="AZ1426" s="21" t="str">
        <f>IF(AND($AM1426&lt;&gt;"",$AS1426="✓"),SUMPRODUCT(($AM$11:$AM1426&lt;&gt;"")*($AS$11:$AS1426="✓")),"")</f>
        <v/>
      </c>
      <c r="BA1426" s="21" t="str">
        <f>IF($AL1426="","",$AL1426&amp;"|"&amp;COUNTIF($AL$11:$AL1426,$AL1426))</f>
        <v/>
      </c>
    </row>
    <row r="1427" spans="38:53" ht="15" customHeight="1" x14ac:dyDescent="0.25">
      <c r="AL1427" s="17"/>
      <c r="AM1427" s="12"/>
      <c r="AN1427" s="18"/>
      <c r="AO1427" s="18"/>
      <c r="AP1427" s="10"/>
      <c r="AQ1427" s="10"/>
      <c r="AR1427" s="19"/>
      <c r="AS1427" s="20"/>
      <c r="AT1427" s="19"/>
      <c r="AV1427" s="21">
        <f>IF(AND($AL1427&lt;&gt;"",COUNTIF($AL$11:$AL1427,$AL1427)=1),1,0)</f>
        <v>0</v>
      </c>
      <c r="AW1427" s="21">
        <f t="shared" si="131"/>
        <v>0</v>
      </c>
      <c r="AX1427" s="21" t="str">
        <f t="shared" si="130"/>
        <v/>
      </c>
      <c r="AY1427" s="21" t="str">
        <f>IF(AND($AM1427&lt;&gt;"",$AS1427&lt;&gt;"✓"),SUMPRODUCT(($AM$11:$AM1427&lt;&gt;"")*($AS$11:$AS1427&lt;&gt;"✓")),"")</f>
        <v/>
      </c>
      <c r="AZ1427" s="21" t="str">
        <f>IF(AND($AM1427&lt;&gt;"",$AS1427="✓"),SUMPRODUCT(($AM$11:$AM1427&lt;&gt;"")*($AS$11:$AS1427="✓")),"")</f>
        <v/>
      </c>
      <c r="BA1427" s="21" t="str">
        <f>IF($AL1427="","",$AL1427&amp;"|"&amp;COUNTIF($AL$11:$AL1427,$AL1427))</f>
        <v/>
      </c>
    </row>
    <row r="1428" spans="38:53" ht="15" customHeight="1" x14ac:dyDescent="0.25">
      <c r="AL1428" s="31"/>
      <c r="AM1428" s="26"/>
      <c r="AN1428" s="32"/>
      <c r="AO1428" s="32"/>
      <c r="AP1428" s="24"/>
      <c r="AQ1428" s="24"/>
      <c r="AR1428" s="33"/>
      <c r="AS1428" s="34"/>
      <c r="AT1428" s="33"/>
      <c r="AV1428" s="21">
        <f>IF(AND($AL1428&lt;&gt;"",COUNTIF($AL$11:$AL1428,$AL1428)=1),1,0)</f>
        <v>0</v>
      </c>
      <c r="AW1428" s="21">
        <f t="shared" si="131"/>
        <v>0</v>
      </c>
      <c r="AX1428" s="21" t="str">
        <f t="shared" si="130"/>
        <v/>
      </c>
      <c r="AY1428" s="21" t="str">
        <f>IF(AND($AM1428&lt;&gt;"",$AS1428&lt;&gt;"✓"),SUMPRODUCT(($AM$11:$AM1428&lt;&gt;"")*($AS$11:$AS1428&lt;&gt;"✓")),"")</f>
        <v/>
      </c>
      <c r="AZ1428" s="21" t="str">
        <f>IF(AND($AM1428&lt;&gt;"",$AS1428="✓"),SUMPRODUCT(($AM$11:$AM1428&lt;&gt;"")*($AS$11:$AS1428="✓")),"")</f>
        <v/>
      </c>
      <c r="BA1428" s="21" t="str">
        <f>IF($AL1428="","",$AL1428&amp;"|"&amp;COUNTIF($AL$11:$AL1428,$AL1428))</f>
        <v/>
      </c>
    </row>
    <row r="1429" spans="38:53" ht="15" customHeight="1" x14ac:dyDescent="0.25">
      <c r="AL1429" s="17"/>
      <c r="AM1429" s="12"/>
      <c r="AN1429" s="18"/>
      <c r="AO1429" s="18"/>
      <c r="AP1429" s="10"/>
      <c r="AQ1429" s="10"/>
      <c r="AR1429" s="19"/>
      <c r="AS1429" s="20"/>
      <c r="AT1429" s="19"/>
      <c r="AV1429" s="21">
        <f>IF(AND($AL1429&lt;&gt;"",COUNTIF($AL$11:$AL1429,$AL1429)=1),1,0)</f>
        <v>0</v>
      </c>
      <c r="AW1429" s="21">
        <f t="shared" si="131"/>
        <v>0</v>
      </c>
      <c r="AX1429" s="21" t="str">
        <f t="shared" si="130"/>
        <v/>
      </c>
      <c r="AY1429" s="21" t="str">
        <f>IF(AND($AM1429&lt;&gt;"",$AS1429&lt;&gt;"✓"),SUMPRODUCT(($AM$11:$AM1429&lt;&gt;"")*($AS$11:$AS1429&lt;&gt;"✓")),"")</f>
        <v/>
      </c>
      <c r="AZ1429" s="21" t="str">
        <f>IF(AND($AM1429&lt;&gt;"",$AS1429="✓"),SUMPRODUCT(($AM$11:$AM1429&lt;&gt;"")*($AS$11:$AS1429="✓")),"")</f>
        <v/>
      </c>
      <c r="BA1429" s="21" t="str">
        <f>IF($AL1429="","",$AL1429&amp;"|"&amp;COUNTIF($AL$11:$AL1429,$AL1429))</f>
        <v/>
      </c>
    </row>
    <row r="1430" spans="38:53" ht="15" customHeight="1" x14ac:dyDescent="0.25">
      <c r="AL1430" s="31"/>
      <c r="AM1430" s="26"/>
      <c r="AN1430" s="32"/>
      <c r="AO1430" s="32"/>
      <c r="AP1430" s="24"/>
      <c r="AQ1430" s="24"/>
      <c r="AR1430" s="33"/>
      <c r="AS1430" s="34"/>
      <c r="AT1430" s="33"/>
      <c r="AV1430" s="21">
        <f>IF(AND($AL1430&lt;&gt;"",COUNTIF($AL$11:$AL1430,$AL1430)=1),1,0)</f>
        <v>0</v>
      </c>
      <c r="AW1430" s="21">
        <f t="shared" si="131"/>
        <v>0</v>
      </c>
      <c r="AX1430" s="21" t="str">
        <f t="shared" si="130"/>
        <v/>
      </c>
      <c r="AY1430" s="21" t="str">
        <f>IF(AND($AM1430&lt;&gt;"",$AS1430&lt;&gt;"✓"),SUMPRODUCT(($AM$11:$AM1430&lt;&gt;"")*($AS$11:$AS1430&lt;&gt;"✓")),"")</f>
        <v/>
      </c>
      <c r="AZ1430" s="21" t="str">
        <f>IF(AND($AM1430&lt;&gt;"",$AS1430="✓"),SUMPRODUCT(($AM$11:$AM1430&lt;&gt;"")*($AS$11:$AS1430="✓")),"")</f>
        <v/>
      </c>
      <c r="BA1430" s="21" t="str">
        <f>IF($AL1430="","",$AL1430&amp;"|"&amp;COUNTIF($AL$11:$AL1430,$AL1430))</f>
        <v/>
      </c>
    </row>
    <row r="1431" spans="38:53" ht="15" customHeight="1" x14ac:dyDescent="0.25">
      <c r="AL1431" s="17"/>
      <c r="AM1431" s="12"/>
      <c r="AN1431" s="18"/>
      <c r="AO1431" s="18"/>
      <c r="AP1431" s="10"/>
      <c r="AQ1431" s="10"/>
      <c r="AR1431" s="19"/>
      <c r="AS1431" s="20"/>
      <c r="AT1431" s="19"/>
      <c r="AV1431" s="21">
        <f>IF(AND($AL1431&lt;&gt;"",COUNTIF($AL$11:$AL1431,$AL1431)=1),1,0)</f>
        <v>0</v>
      </c>
      <c r="AW1431" s="21">
        <f t="shared" si="131"/>
        <v>0</v>
      </c>
      <c r="AX1431" s="21" t="str">
        <f t="shared" si="130"/>
        <v/>
      </c>
      <c r="AY1431" s="21" t="str">
        <f>IF(AND($AM1431&lt;&gt;"",$AS1431&lt;&gt;"✓"),SUMPRODUCT(($AM$11:$AM1431&lt;&gt;"")*($AS$11:$AS1431&lt;&gt;"✓")),"")</f>
        <v/>
      </c>
      <c r="AZ1431" s="21" t="str">
        <f>IF(AND($AM1431&lt;&gt;"",$AS1431="✓"),SUMPRODUCT(($AM$11:$AM1431&lt;&gt;"")*($AS$11:$AS1431="✓")),"")</f>
        <v/>
      </c>
      <c r="BA1431" s="21" t="str">
        <f>IF($AL1431="","",$AL1431&amp;"|"&amp;COUNTIF($AL$11:$AL1431,$AL1431))</f>
        <v/>
      </c>
    </row>
    <row r="1432" spans="38:53" ht="15" customHeight="1" x14ac:dyDescent="0.25">
      <c r="AL1432" s="31"/>
      <c r="AM1432" s="26"/>
      <c r="AN1432" s="32"/>
      <c r="AO1432" s="32"/>
      <c r="AP1432" s="24"/>
      <c r="AQ1432" s="24"/>
      <c r="AR1432" s="33"/>
      <c r="AS1432" s="34"/>
      <c r="AT1432" s="33"/>
      <c r="AV1432" s="21">
        <f>IF(AND($AL1432&lt;&gt;"",COUNTIF($AL$11:$AL1432,$AL1432)=1),1,0)</f>
        <v>0</v>
      </c>
      <c r="AW1432" s="21">
        <f t="shared" si="131"/>
        <v>0</v>
      </c>
      <c r="AX1432" s="21" t="str">
        <f t="shared" si="130"/>
        <v/>
      </c>
      <c r="AY1432" s="21" t="str">
        <f>IF(AND($AM1432&lt;&gt;"",$AS1432&lt;&gt;"✓"),SUMPRODUCT(($AM$11:$AM1432&lt;&gt;"")*($AS$11:$AS1432&lt;&gt;"✓")),"")</f>
        <v/>
      </c>
      <c r="AZ1432" s="21" t="str">
        <f>IF(AND($AM1432&lt;&gt;"",$AS1432="✓"),SUMPRODUCT(($AM$11:$AM1432&lt;&gt;"")*($AS$11:$AS1432="✓")),"")</f>
        <v/>
      </c>
      <c r="BA1432" s="21" t="str">
        <f>IF($AL1432="","",$AL1432&amp;"|"&amp;COUNTIF($AL$11:$AL1432,$AL1432))</f>
        <v/>
      </c>
    </row>
    <row r="1433" spans="38:53" ht="15" customHeight="1" x14ac:dyDescent="0.25">
      <c r="AL1433" s="17"/>
      <c r="AM1433" s="12"/>
      <c r="AN1433" s="18"/>
      <c r="AO1433" s="18"/>
      <c r="AP1433" s="10"/>
      <c r="AQ1433" s="10"/>
      <c r="AR1433" s="19"/>
      <c r="AS1433" s="20"/>
      <c r="AT1433" s="19"/>
      <c r="AV1433" s="21">
        <f>IF(AND($AL1433&lt;&gt;"",COUNTIF($AL$11:$AL1433,$AL1433)=1),1,0)</f>
        <v>0</v>
      </c>
      <c r="AW1433" s="21">
        <f t="shared" si="131"/>
        <v>0</v>
      </c>
      <c r="AX1433" s="21" t="str">
        <f t="shared" si="130"/>
        <v/>
      </c>
      <c r="AY1433" s="21" t="str">
        <f>IF(AND($AM1433&lt;&gt;"",$AS1433&lt;&gt;"✓"),SUMPRODUCT(($AM$11:$AM1433&lt;&gt;"")*($AS$11:$AS1433&lt;&gt;"✓")),"")</f>
        <v/>
      </c>
      <c r="AZ1433" s="21" t="str">
        <f>IF(AND($AM1433&lt;&gt;"",$AS1433="✓"),SUMPRODUCT(($AM$11:$AM1433&lt;&gt;"")*($AS$11:$AS1433="✓")),"")</f>
        <v/>
      </c>
      <c r="BA1433" s="21" t="str">
        <f>IF($AL1433="","",$AL1433&amp;"|"&amp;COUNTIF($AL$11:$AL1433,$AL1433))</f>
        <v/>
      </c>
    </row>
    <row r="1434" spans="38:53" ht="15" customHeight="1" x14ac:dyDescent="0.25">
      <c r="AL1434" s="31"/>
      <c r="AM1434" s="26"/>
      <c r="AN1434" s="32"/>
      <c r="AO1434" s="32"/>
      <c r="AP1434" s="24"/>
      <c r="AQ1434" s="24"/>
      <c r="AR1434" s="33"/>
      <c r="AS1434" s="34"/>
      <c r="AT1434" s="33"/>
      <c r="AV1434" s="21">
        <f>IF(AND($AL1434&lt;&gt;"",COUNTIF($AL$11:$AL1434,$AL1434)=1),1,0)</f>
        <v>0</v>
      </c>
      <c r="AW1434" s="21">
        <f t="shared" si="131"/>
        <v>0</v>
      </c>
      <c r="AX1434" s="21" t="str">
        <f t="shared" si="130"/>
        <v/>
      </c>
      <c r="AY1434" s="21" t="str">
        <f>IF(AND($AM1434&lt;&gt;"",$AS1434&lt;&gt;"✓"),SUMPRODUCT(($AM$11:$AM1434&lt;&gt;"")*($AS$11:$AS1434&lt;&gt;"✓")),"")</f>
        <v/>
      </c>
      <c r="AZ1434" s="21" t="str">
        <f>IF(AND($AM1434&lt;&gt;"",$AS1434="✓"),SUMPRODUCT(($AM$11:$AM1434&lt;&gt;"")*($AS$11:$AS1434="✓")),"")</f>
        <v/>
      </c>
      <c r="BA1434" s="21" t="str">
        <f>IF($AL1434="","",$AL1434&amp;"|"&amp;COUNTIF($AL$11:$AL1434,$AL1434))</f>
        <v/>
      </c>
    </row>
    <row r="1435" spans="38:53" ht="15" customHeight="1" x14ac:dyDescent="0.25">
      <c r="AL1435" s="17"/>
      <c r="AM1435" s="12"/>
      <c r="AN1435" s="18"/>
      <c r="AO1435" s="18"/>
      <c r="AP1435" s="10"/>
      <c r="AQ1435" s="10"/>
      <c r="AR1435" s="19"/>
      <c r="AS1435" s="20"/>
      <c r="AT1435" s="19"/>
      <c r="AV1435" s="21">
        <f>IF(AND($AL1435&lt;&gt;"",COUNTIF($AL$11:$AL1435,$AL1435)=1),1,0)</f>
        <v>0</v>
      </c>
      <c r="AW1435" s="21">
        <f t="shared" si="131"/>
        <v>0</v>
      </c>
      <c r="AX1435" s="21" t="str">
        <f t="shared" si="130"/>
        <v/>
      </c>
      <c r="AY1435" s="21" t="str">
        <f>IF(AND($AM1435&lt;&gt;"",$AS1435&lt;&gt;"✓"),SUMPRODUCT(($AM$11:$AM1435&lt;&gt;"")*($AS$11:$AS1435&lt;&gt;"✓")),"")</f>
        <v/>
      </c>
      <c r="AZ1435" s="21" t="str">
        <f>IF(AND($AM1435&lt;&gt;"",$AS1435="✓"),SUMPRODUCT(($AM$11:$AM1435&lt;&gt;"")*($AS$11:$AS1435="✓")),"")</f>
        <v/>
      </c>
      <c r="BA1435" s="21" t="str">
        <f>IF($AL1435="","",$AL1435&amp;"|"&amp;COUNTIF($AL$11:$AL1435,$AL1435))</f>
        <v/>
      </c>
    </row>
    <row r="1436" spans="38:53" ht="15" customHeight="1" x14ac:dyDescent="0.25">
      <c r="AL1436" s="31"/>
      <c r="AM1436" s="26"/>
      <c r="AN1436" s="32"/>
      <c r="AO1436" s="32"/>
      <c r="AP1436" s="24"/>
      <c r="AQ1436" s="24"/>
      <c r="AR1436" s="33"/>
      <c r="AS1436" s="34"/>
      <c r="AT1436" s="33"/>
      <c r="AV1436" s="21">
        <f>IF(AND($AL1436&lt;&gt;"",COUNTIF($AL$11:$AL1436,$AL1436)=1),1,0)</f>
        <v>0</v>
      </c>
      <c r="AW1436" s="21">
        <f t="shared" si="131"/>
        <v>0</v>
      </c>
      <c r="AX1436" s="21" t="str">
        <f t="shared" si="130"/>
        <v/>
      </c>
      <c r="AY1436" s="21" t="str">
        <f>IF(AND($AM1436&lt;&gt;"",$AS1436&lt;&gt;"✓"),SUMPRODUCT(($AM$11:$AM1436&lt;&gt;"")*($AS$11:$AS1436&lt;&gt;"✓")),"")</f>
        <v/>
      </c>
      <c r="AZ1436" s="21" t="str">
        <f>IF(AND($AM1436&lt;&gt;"",$AS1436="✓"),SUMPRODUCT(($AM$11:$AM1436&lt;&gt;"")*($AS$11:$AS1436="✓")),"")</f>
        <v/>
      </c>
      <c r="BA1436" s="21" t="str">
        <f>IF($AL1436="","",$AL1436&amp;"|"&amp;COUNTIF($AL$11:$AL1436,$AL1436))</f>
        <v/>
      </c>
    </row>
    <row r="1437" spans="38:53" ht="15" customHeight="1" x14ac:dyDescent="0.25">
      <c r="AL1437" s="17"/>
      <c r="AM1437" s="12"/>
      <c r="AN1437" s="18"/>
      <c r="AO1437" s="18"/>
      <c r="AP1437" s="10"/>
      <c r="AQ1437" s="10"/>
      <c r="AR1437" s="19"/>
      <c r="AS1437" s="20"/>
      <c r="AT1437" s="19"/>
      <c r="AV1437" s="21">
        <f>IF(AND($AL1437&lt;&gt;"",COUNTIF($AL$11:$AL1437,$AL1437)=1),1,0)</f>
        <v>0</v>
      </c>
      <c r="AW1437" s="21">
        <f t="shared" si="131"/>
        <v>0</v>
      </c>
      <c r="AX1437" s="21" t="str">
        <f t="shared" si="130"/>
        <v/>
      </c>
      <c r="AY1437" s="21" t="str">
        <f>IF(AND($AM1437&lt;&gt;"",$AS1437&lt;&gt;"✓"),SUMPRODUCT(($AM$11:$AM1437&lt;&gt;"")*($AS$11:$AS1437&lt;&gt;"✓")),"")</f>
        <v/>
      </c>
      <c r="AZ1437" s="21" t="str">
        <f>IF(AND($AM1437&lt;&gt;"",$AS1437="✓"),SUMPRODUCT(($AM$11:$AM1437&lt;&gt;"")*($AS$11:$AS1437="✓")),"")</f>
        <v/>
      </c>
      <c r="BA1437" s="21" t="str">
        <f>IF($AL1437="","",$AL1437&amp;"|"&amp;COUNTIF($AL$11:$AL1437,$AL1437))</f>
        <v/>
      </c>
    </row>
    <row r="1438" spans="38:53" ht="15" customHeight="1" x14ac:dyDescent="0.25">
      <c r="AL1438" s="31"/>
      <c r="AM1438" s="26"/>
      <c r="AN1438" s="32"/>
      <c r="AO1438" s="32"/>
      <c r="AP1438" s="24"/>
      <c r="AQ1438" s="24"/>
      <c r="AR1438" s="33"/>
      <c r="AS1438" s="34"/>
      <c r="AT1438" s="33"/>
      <c r="AV1438" s="21">
        <f>IF(AND($AL1438&lt;&gt;"",COUNTIF($AL$11:$AL1438,$AL1438)=1),1,0)</f>
        <v>0</v>
      </c>
      <c r="AW1438" s="21">
        <f t="shared" si="131"/>
        <v>0</v>
      </c>
      <c r="AX1438" s="21" t="str">
        <f t="shared" si="130"/>
        <v/>
      </c>
      <c r="AY1438" s="21" t="str">
        <f>IF(AND($AM1438&lt;&gt;"",$AS1438&lt;&gt;"✓"),SUMPRODUCT(($AM$11:$AM1438&lt;&gt;"")*($AS$11:$AS1438&lt;&gt;"✓")),"")</f>
        <v/>
      </c>
      <c r="AZ1438" s="21" t="str">
        <f>IF(AND($AM1438&lt;&gt;"",$AS1438="✓"),SUMPRODUCT(($AM$11:$AM1438&lt;&gt;"")*($AS$11:$AS1438="✓")),"")</f>
        <v/>
      </c>
      <c r="BA1438" s="21" t="str">
        <f>IF($AL1438="","",$AL1438&amp;"|"&amp;COUNTIF($AL$11:$AL1438,$AL1438))</f>
        <v/>
      </c>
    </row>
    <row r="1439" spans="38:53" ht="15" customHeight="1" x14ac:dyDescent="0.25">
      <c r="AL1439" s="17"/>
      <c r="AM1439" s="12"/>
      <c r="AN1439" s="18"/>
      <c r="AO1439" s="18"/>
      <c r="AP1439" s="10"/>
      <c r="AQ1439" s="10"/>
      <c r="AR1439" s="19"/>
      <c r="AS1439" s="20"/>
      <c r="AT1439" s="19"/>
      <c r="AV1439" s="21">
        <f>IF(AND($AL1439&lt;&gt;"",COUNTIF($AL$11:$AL1439,$AL1439)=1),1,0)</f>
        <v>0</v>
      </c>
      <c r="AW1439" s="21">
        <f t="shared" si="131"/>
        <v>0</v>
      </c>
      <c r="AX1439" s="21" t="str">
        <f t="shared" si="130"/>
        <v/>
      </c>
      <c r="AY1439" s="21" t="str">
        <f>IF(AND($AM1439&lt;&gt;"",$AS1439&lt;&gt;"✓"),SUMPRODUCT(($AM$11:$AM1439&lt;&gt;"")*($AS$11:$AS1439&lt;&gt;"✓")),"")</f>
        <v/>
      </c>
      <c r="AZ1439" s="21" t="str">
        <f>IF(AND($AM1439&lt;&gt;"",$AS1439="✓"),SUMPRODUCT(($AM$11:$AM1439&lt;&gt;"")*($AS$11:$AS1439="✓")),"")</f>
        <v/>
      </c>
      <c r="BA1439" s="21" t="str">
        <f>IF($AL1439="","",$AL1439&amp;"|"&amp;COUNTIF($AL$11:$AL1439,$AL1439))</f>
        <v/>
      </c>
    </row>
    <row r="1440" spans="38:53" ht="15" customHeight="1" x14ac:dyDescent="0.25">
      <c r="AL1440" s="31"/>
      <c r="AM1440" s="26"/>
      <c r="AN1440" s="32"/>
      <c r="AO1440" s="32"/>
      <c r="AP1440" s="24"/>
      <c r="AQ1440" s="24"/>
      <c r="AR1440" s="33"/>
      <c r="AS1440" s="34"/>
      <c r="AT1440" s="33"/>
      <c r="AV1440" s="21">
        <f>IF(AND($AL1440&lt;&gt;"",COUNTIF($AL$11:$AL1440,$AL1440)=1),1,0)</f>
        <v>0</v>
      </c>
      <c r="AW1440" s="21">
        <f t="shared" si="131"/>
        <v>0</v>
      </c>
      <c r="AX1440" s="21" t="str">
        <f t="shared" si="130"/>
        <v/>
      </c>
      <c r="AY1440" s="21" t="str">
        <f>IF(AND($AM1440&lt;&gt;"",$AS1440&lt;&gt;"✓"),SUMPRODUCT(($AM$11:$AM1440&lt;&gt;"")*($AS$11:$AS1440&lt;&gt;"✓")),"")</f>
        <v/>
      </c>
      <c r="AZ1440" s="21" t="str">
        <f>IF(AND($AM1440&lt;&gt;"",$AS1440="✓"),SUMPRODUCT(($AM$11:$AM1440&lt;&gt;"")*($AS$11:$AS1440="✓")),"")</f>
        <v/>
      </c>
      <c r="BA1440" s="21" t="str">
        <f>IF($AL1440="","",$AL1440&amp;"|"&amp;COUNTIF($AL$11:$AL1440,$AL1440))</f>
        <v/>
      </c>
    </row>
    <row r="1441" spans="38:53" ht="15" customHeight="1" x14ac:dyDescent="0.25">
      <c r="AL1441" s="17"/>
      <c r="AM1441" s="12"/>
      <c r="AN1441" s="18"/>
      <c r="AO1441" s="18"/>
      <c r="AP1441" s="10"/>
      <c r="AQ1441" s="10"/>
      <c r="AR1441" s="19"/>
      <c r="AS1441" s="20"/>
      <c r="AT1441" s="19"/>
      <c r="AV1441" s="21">
        <f>IF(AND($AL1441&lt;&gt;"",COUNTIF($AL$11:$AL1441,$AL1441)=1),1,0)</f>
        <v>0</v>
      </c>
      <c r="AW1441" s="21">
        <f t="shared" si="131"/>
        <v>0</v>
      </c>
      <c r="AX1441" s="21" t="str">
        <f t="shared" si="130"/>
        <v/>
      </c>
      <c r="AY1441" s="21" t="str">
        <f>IF(AND($AM1441&lt;&gt;"",$AS1441&lt;&gt;"✓"),SUMPRODUCT(($AM$11:$AM1441&lt;&gt;"")*($AS$11:$AS1441&lt;&gt;"✓")),"")</f>
        <v/>
      </c>
      <c r="AZ1441" s="21" t="str">
        <f>IF(AND($AM1441&lt;&gt;"",$AS1441="✓"),SUMPRODUCT(($AM$11:$AM1441&lt;&gt;"")*($AS$11:$AS1441="✓")),"")</f>
        <v/>
      </c>
      <c r="BA1441" s="21" t="str">
        <f>IF($AL1441="","",$AL1441&amp;"|"&amp;COUNTIF($AL$11:$AL1441,$AL1441))</f>
        <v/>
      </c>
    </row>
    <row r="1442" spans="38:53" ht="15" customHeight="1" x14ac:dyDescent="0.25">
      <c r="AL1442" s="31"/>
      <c r="AM1442" s="26"/>
      <c r="AN1442" s="32"/>
      <c r="AO1442" s="32"/>
      <c r="AP1442" s="24"/>
      <c r="AQ1442" s="24"/>
      <c r="AR1442" s="33"/>
      <c r="AS1442" s="34"/>
      <c r="AT1442" s="33"/>
      <c r="AV1442" s="21">
        <f>IF(AND($AL1442&lt;&gt;"",COUNTIF($AL$11:$AL1442,$AL1442)=1),1,0)</f>
        <v>0</v>
      </c>
      <c r="AW1442" s="21">
        <f t="shared" si="131"/>
        <v>0</v>
      </c>
      <c r="AX1442" s="21" t="str">
        <f t="shared" si="130"/>
        <v/>
      </c>
      <c r="AY1442" s="21" t="str">
        <f>IF(AND($AM1442&lt;&gt;"",$AS1442&lt;&gt;"✓"),SUMPRODUCT(($AM$11:$AM1442&lt;&gt;"")*($AS$11:$AS1442&lt;&gt;"✓")),"")</f>
        <v/>
      </c>
      <c r="AZ1442" s="21" t="str">
        <f>IF(AND($AM1442&lt;&gt;"",$AS1442="✓"),SUMPRODUCT(($AM$11:$AM1442&lt;&gt;"")*($AS$11:$AS1442="✓")),"")</f>
        <v/>
      </c>
      <c r="BA1442" s="21" t="str">
        <f>IF($AL1442="","",$AL1442&amp;"|"&amp;COUNTIF($AL$11:$AL1442,$AL1442))</f>
        <v/>
      </c>
    </row>
    <row r="1443" spans="38:53" ht="15" customHeight="1" x14ac:dyDescent="0.25">
      <c r="AL1443" s="17"/>
      <c r="AM1443" s="12"/>
      <c r="AN1443" s="18"/>
      <c r="AO1443" s="18"/>
      <c r="AP1443" s="10"/>
      <c r="AQ1443" s="10"/>
      <c r="AR1443" s="19"/>
      <c r="AS1443" s="20"/>
      <c r="AT1443" s="19"/>
      <c r="AV1443" s="21">
        <f>IF(AND($AL1443&lt;&gt;"",COUNTIF($AL$11:$AL1443,$AL1443)=1),1,0)</f>
        <v>0</v>
      </c>
      <c r="AW1443" s="21">
        <f t="shared" si="131"/>
        <v>0</v>
      </c>
      <c r="AX1443" s="21" t="str">
        <f t="shared" si="130"/>
        <v/>
      </c>
      <c r="AY1443" s="21" t="str">
        <f>IF(AND($AM1443&lt;&gt;"",$AS1443&lt;&gt;"✓"),SUMPRODUCT(($AM$11:$AM1443&lt;&gt;"")*($AS$11:$AS1443&lt;&gt;"✓")),"")</f>
        <v/>
      </c>
      <c r="AZ1443" s="21" t="str">
        <f>IF(AND($AM1443&lt;&gt;"",$AS1443="✓"),SUMPRODUCT(($AM$11:$AM1443&lt;&gt;"")*($AS$11:$AS1443="✓")),"")</f>
        <v/>
      </c>
      <c r="BA1443" s="21" t="str">
        <f>IF($AL1443="","",$AL1443&amp;"|"&amp;COUNTIF($AL$11:$AL1443,$AL1443))</f>
        <v/>
      </c>
    </row>
    <row r="1444" spans="38:53" ht="15" customHeight="1" x14ac:dyDescent="0.25">
      <c r="AL1444" s="31"/>
      <c r="AM1444" s="26"/>
      <c r="AN1444" s="32"/>
      <c r="AO1444" s="32"/>
      <c r="AP1444" s="24"/>
      <c r="AQ1444" s="24"/>
      <c r="AR1444" s="33"/>
      <c r="AS1444" s="34"/>
      <c r="AT1444" s="33"/>
      <c r="AV1444" s="21">
        <f>IF(AND($AL1444&lt;&gt;"",COUNTIF($AL$11:$AL1444,$AL1444)=1),1,0)</f>
        <v>0</v>
      </c>
      <c r="AW1444" s="21">
        <f t="shared" si="131"/>
        <v>0</v>
      </c>
      <c r="AX1444" s="21" t="str">
        <f t="shared" si="130"/>
        <v/>
      </c>
      <c r="AY1444" s="21" t="str">
        <f>IF(AND($AM1444&lt;&gt;"",$AS1444&lt;&gt;"✓"),SUMPRODUCT(($AM$11:$AM1444&lt;&gt;"")*($AS$11:$AS1444&lt;&gt;"✓")),"")</f>
        <v/>
      </c>
      <c r="AZ1444" s="21" t="str">
        <f>IF(AND($AM1444&lt;&gt;"",$AS1444="✓"),SUMPRODUCT(($AM$11:$AM1444&lt;&gt;"")*($AS$11:$AS1444="✓")),"")</f>
        <v/>
      </c>
      <c r="BA1444" s="21" t="str">
        <f>IF($AL1444="","",$AL1444&amp;"|"&amp;COUNTIF($AL$11:$AL1444,$AL1444))</f>
        <v/>
      </c>
    </row>
    <row r="1445" spans="38:53" ht="15" customHeight="1" x14ac:dyDescent="0.25">
      <c r="AL1445" s="17"/>
      <c r="AM1445" s="12"/>
      <c r="AN1445" s="18"/>
      <c r="AO1445" s="18"/>
      <c r="AP1445" s="10"/>
      <c r="AQ1445" s="10"/>
      <c r="AR1445" s="19"/>
      <c r="AS1445" s="20"/>
      <c r="AT1445" s="19"/>
      <c r="AV1445" s="21">
        <f>IF(AND($AL1445&lt;&gt;"",COUNTIF($AL$11:$AL1445,$AL1445)=1),1,0)</f>
        <v>0</v>
      </c>
      <c r="AW1445" s="21">
        <f t="shared" si="131"/>
        <v>0</v>
      </c>
      <c r="AX1445" s="21" t="str">
        <f t="shared" si="130"/>
        <v/>
      </c>
      <c r="AY1445" s="21" t="str">
        <f>IF(AND($AM1445&lt;&gt;"",$AS1445&lt;&gt;"✓"),SUMPRODUCT(($AM$11:$AM1445&lt;&gt;"")*($AS$11:$AS1445&lt;&gt;"✓")),"")</f>
        <v/>
      </c>
      <c r="AZ1445" s="21" t="str">
        <f>IF(AND($AM1445&lt;&gt;"",$AS1445="✓"),SUMPRODUCT(($AM$11:$AM1445&lt;&gt;"")*($AS$11:$AS1445="✓")),"")</f>
        <v/>
      </c>
      <c r="BA1445" s="21" t="str">
        <f>IF($AL1445="","",$AL1445&amp;"|"&amp;COUNTIF($AL$11:$AL1445,$AL1445))</f>
        <v/>
      </c>
    </row>
    <row r="1446" spans="38:53" ht="15" customHeight="1" x14ac:dyDescent="0.25">
      <c r="AL1446" s="31"/>
      <c r="AM1446" s="26"/>
      <c r="AN1446" s="32"/>
      <c r="AO1446" s="32"/>
      <c r="AP1446" s="24"/>
      <c r="AQ1446" s="24"/>
      <c r="AR1446" s="33"/>
      <c r="AS1446" s="34"/>
      <c r="AT1446" s="33"/>
      <c r="AV1446" s="21">
        <f>IF(AND($AL1446&lt;&gt;"",COUNTIF($AL$11:$AL1446,$AL1446)=1),1,0)</f>
        <v>0</v>
      </c>
      <c r="AW1446" s="21">
        <f t="shared" si="131"/>
        <v>0</v>
      </c>
      <c r="AX1446" s="21" t="str">
        <f t="shared" si="130"/>
        <v/>
      </c>
      <c r="AY1446" s="21" t="str">
        <f>IF(AND($AM1446&lt;&gt;"",$AS1446&lt;&gt;"✓"),SUMPRODUCT(($AM$11:$AM1446&lt;&gt;"")*($AS$11:$AS1446&lt;&gt;"✓")),"")</f>
        <v/>
      </c>
      <c r="AZ1446" s="21" t="str">
        <f>IF(AND($AM1446&lt;&gt;"",$AS1446="✓"),SUMPRODUCT(($AM$11:$AM1446&lt;&gt;"")*($AS$11:$AS1446="✓")),"")</f>
        <v/>
      </c>
      <c r="BA1446" s="21" t="str">
        <f>IF($AL1446="","",$AL1446&amp;"|"&amp;COUNTIF($AL$11:$AL1446,$AL1446))</f>
        <v/>
      </c>
    </row>
    <row r="1447" spans="38:53" ht="15" customHeight="1" x14ac:dyDescent="0.25">
      <c r="AL1447" s="17"/>
      <c r="AM1447" s="12"/>
      <c r="AN1447" s="18"/>
      <c r="AO1447" s="18"/>
      <c r="AP1447" s="10"/>
      <c r="AQ1447" s="10"/>
      <c r="AR1447" s="19"/>
      <c r="AS1447" s="20"/>
      <c r="AT1447" s="19"/>
      <c r="AV1447" s="21">
        <f>IF(AND($AL1447&lt;&gt;"",COUNTIF($AL$11:$AL1447,$AL1447)=1),1,0)</f>
        <v>0</v>
      </c>
      <c r="AW1447" s="21">
        <f t="shared" si="131"/>
        <v>0</v>
      </c>
      <c r="AX1447" s="21" t="str">
        <f t="shared" si="130"/>
        <v/>
      </c>
      <c r="AY1447" s="21" t="str">
        <f>IF(AND($AM1447&lt;&gt;"",$AS1447&lt;&gt;"✓"),SUMPRODUCT(($AM$11:$AM1447&lt;&gt;"")*($AS$11:$AS1447&lt;&gt;"✓")),"")</f>
        <v/>
      </c>
      <c r="AZ1447" s="21" t="str">
        <f>IF(AND($AM1447&lt;&gt;"",$AS1447="✓"),SUMPRODUCT(($AM$11:$AM1447&lt;&gt;"")*($AS$11:$AS1447="✓")),"")</f>
        <v/>
      </c>
      <c r="BA1447" s="21" t="str">
        <f>IF($AL1447="","",$AL1447&amp;"|"&amp;COUNTIF($AL$11:$AL1447,$AL1447))</f>
        <v/>
      </c>
    </row>
    <row r="1448" spans="38:53" ht="15" customHeight="1" x14ac:dyDescent="0.25">
      <c r="AL1448" s="31"/>
      <c r="AM1448" s="26"/>
      <c r="AN1448" s="32"/>
      <c r="AO1448" s="32"/>
      <c r="AP1448" s="24"/>
      <c r="AQ1448" s="24"/>
      <c r="AR1448" s="33"/>
      <c r="AS1448" s="34"/>
      <c r="AT1448" s="33"/>
      <c r="AV1448" s="21">
        <f>IF(AND($AL1448&lt;&gt;"",COUNTIF($AL$11:$AL1448,$AL1448)=1),1,0)</f>
        <v>0</v>
      </c>
      <c r="AW1448" s="21">
        <f t="shared" si="131"/>
        <v>0</v>
      </c>
      <c r="AX1448" s="21" t="str">
        <f t="shared" si="130"/>
        <v/>
      </c>
      <c r="AY1448" s="21" t="str">
        <f>IF(AND($AM1448&lt;&gt;"",$AS1448&lt;&gt;"✓"),SUMPRODUCT(($AM$11:$AM1448&lt;&gt;"")*($AS$11:$AS1448&lt;&gt;"✓")),"")</f>
        <v/>
      </c>
      <c r="AZ1448" s="21" t="str">
        <f>IF(AND($AM1448&lt;&gt;"",$AS1448="✓"),SUMPRODUCT(($AM$11:$AM1448&lt;&gt;"")*($AS$11:$AS1448="✓")),"")</f>
        <v/>
      </c>
      <c r="BA1448" s="21" t="str">
        <f>IF($AL1448="","",$AL1448&amp;"|"&amp;COUNTIF($AL$11:$AL1448,$AL1448))</f>
        <v/>
      </c>
    </row>
    <row r="1449" spans="38:53" ht="15" customHeight="1" x14ac:dyDescent="0.25">
      <c r="AL1449" s="17"/>
      <c r="AM1449" s="12"/>
      <c r="AN1449" s="18"/>
      <c r="AO1449" s="18"/>
      <c r="AP1449" s="10"/>
      <c r="AQ1449" s="10"/>
      <c r="AR1449" s="19"/>
      <c r="AS1449" s="20"/>
      <c r="AT1449" s="19"/>
      <c r="AV1449" s="21">
        <f>IF(AND($AL1449&lt;&gt;"",COUNTIF($AL$11:$AL1449,$AL1449)=1),1,0)</f>
        <v>0</v>
      </c>
      <c r="AW1449" s="21">
        <f t="shared" si="131"/>
        <v>0</v>
      </c>
      <c r="AX1449" s="21" t="str">
        <f t="shared" si="130"/>
        <v/>
      </c>
      <c r="AY1449" s="21" t="str">
        <f>IF(AND($AM1449&lt;&gt;"",$AS1449&lt;&gt;"✓"),SUMPRODUCT(($AM$11:$AM1449&lt;&gt;"")*($AS$11:$AS1449&lt;&gt;"✓")),"")</f>
        <v/>
      </c>
      <c r="AZ1449" s="21" t="str">
        <f>IF(AND($AM1449&lt;&gt;"",$AS1449="✓"),SUMPRODUCT(($AM$11:$AM1449&lt;&gt;"")*($AS$11:$AS1449="✓")),"")</f>
        <v/>
      </c>
      <c r="BA1449" s="21" t="str">
        <f>IF($AL1449="","",$AL1449&amp;"|"&amp;COUNTIF($AL$11:$AL1449,$AL1449))</f>
        <v/>
      </c>
    </row>
    <row r="1450" spans="38:53" ht="15" customHeight="1" x14ac:dyDescent="0.25">
      <c r="AL1450" s="31"/>
      <c r="AM1450" s="26"/>
      <c r="AN1450" s="32"/>
      <c r="AO1450" s="32"/>
      <c r="AP1450" s="24"/>
      <c r="AQ1450" s="24"/>
      <c r="AR1450" s="33"/>
      <c r="AS1450" s="34"/>
      <c r="AT1450" s="33"/>
      <c r="AV1450" s="21">
        <f>IF(AND($AL1450&lt;&gt;"",COUNTIF($AL$11:$AL1450,$AL1450)=1),1,0)</f>
        <v>0</v>
      </c>
      <c r="AW1450" s="21">
        <f t="shared" si="131"/>
        <v>0</v>
      </c>
      <c r="AX1450" s="21" t="str">
        <f t="shared" si="130"/>
        <v/>
      </c>
      <c r="AY1450" s="21" t="str">
        <f>IF(AND($AM1450&lt;&gt;"",$AS1450&lt;&gt;"✓"),SUMPRODUCT(($AM$11:$AM1450&lt;&gt;"")*($AS$11:$AS1450&lt;&gt;"✓")),"")</f>
        <v/>
      </c>
      <c r="AZ1450" s="21" t="str">
        <f>IF(AND($AM1450&lt;&gt;"",$AS1450="✓"),SUMPRODUCT(($AM$11:$AM1450&lt;&gt;"")*($AS$11:$AS1450="✓")),"")</f>
        <v/>
      </c>
      <c r="BA1450" s="21" t="str">
        <f>IF($AL1450="","",$AL1450&amp;"|"&amp;COUNTIF($AL$11:$AL1450,$AL1450))</f>
        <v/>
      </c>
    </row>
    <row r="1451" spans="38:53" ht="15" customHeight="1" x14ac:dyDescent="0.25">
      <c r="AL1451" s="17"/>
      <c r="AM1451" s="12"/>
      <c r="AN1451" s="18"/>
      <c r="AO1451" s="18"/>
      <c r="AP1451" s="10"/>
      <c r="AQ1451" s="10"/>
      <c r="AR1451" s="19"/>
      <c r="AS1451" s="20"/>
      <c r="AT1451" s="19"/>
      <c r="AV1451" s="21">
        <f>IF(AND($AL1451&lt;&gt;"",COUNTIF($AL$11:$AL1451,$AL1451)=1),1,0)</f>
        <v>0</v>
      </c>
      <c r="AW1451" s="21">
        <f t="shared" si="131"/>
        <v>0</v>
      </c>
      <c r="AX1451" s="21" t="str">
        <f t="shared" si="130"/>
        <v/>
      </c>
      <c r="AY1451" s="21" t="str">
        <f>IF(AND($AM1451&lt;&gt;"",$AS1451&lt;&gt;"✓"),SUMPRODUCT(($AM$11:$AM1451&lt;&gt;"")*($AS$11:$AS1451&lt;&gt;"✓")),"")</f>
        <v/>
      </c>
      <c r="AZ1451" s="21" t="str">
        <f>IF(AND($AM1451&lt;&gt;"",$AS1451="✓"),SUMPRODUCT(($AM$11:$AM1451&lt;&gt;"")*($AS$11:$AS1451="✓")),"")</f>
        <v/>
      </c>
      <c r="BA1451" s="21" t="str">
        <f>IF($AL1451="","",$AL1451&amp;"|"&amp;COUNTIF($AL$11:$AL1451,$AL1451))</f>
        <v/>
      </c>
    </row>
    <row r="1452" spans="38:53" ht="15" customHeight="1" x14ac:dyDescent="0.25">
      <c r="AL1452" s="31"/>
      <c r="AM1452" s="26"/>
      <c r="AN1452" s="32"/>
      <c r="AO1452" s="32"/>
      <c r="AP1452" s="24"/>
      <c r="AQ1452" s="24"/>
      <c r="AR1452" s="33"/>
      <c r="AS1452" s="34"/>
      <c r="AT1452" s="33"/>
      <c r="AV1452" s="21">
        <f>IF(AND($AL1452&lt;&gt;"",COUNTIF($AL$11:$AL1452,$AL1452)=1),1,0)</f>
        <v>0</v>
      </c>
      <c r="AW1452" s="21">
        <f t="shared" si="131"/>
        <v>0</v>
      </c>
      <c r="AX1452" s="21" t="str">
        <f t="shared" si="130"/>
        <v/>
      </c>
      <c r="AY1452" s="21" t="str">
        <f>IF(AND($AM1452&lt;&gt;"",$AS1452&lt;&gt;"✓"),SUMPRODUCT(($AM$11:$AM1452&lt;&gt;"")*($AS$11:$AS1452&lt;&gt;"✓")),"")</f>
        <v/>
      </c>
      <c r="AZ1452" s="21" t="str">
        <f>IF(AND($AM1452&lt;&gt;"",$AS1452="✓"),SUMPRODUCT(($AM$11:$AM1452&lt;&gt;"")*($AS$11:$AS1452="✓")),"")</f>
        <v/>
      </c>
      <c r="BA1452" s="21" t="str">
        <f>IF($AL1452="","",$AL1452&amp;"|"&amp;COUNTIF($AL$11:$AL1452,$AL1452))</f>
        <v/>
      </c>
    </row>
    <row r="1453" spans="38:53" ht="15" customHeight="1" x14ac:dyDescent="0.25">
      <c r="AL1453" s="17"/>
      <c r="AM1453" s="12"/>
      <c r="AN1453" s="18"/>
      <c r="AO1453" s="18"/>
      <c r="AP1453" s="10"/>
      <c r="AQ1453" s="10"/>
      <c r="AR1453" s="19"/>
      <c r="AS1453" s="20"/>
      <c r="AT1453" s="19"/>
      <c r="AV1453" s="21">
        <f>IF(AND($AL1453&lt;&gt;"",COUNTIF($AL$11:$AL1453,$AL1453)=1),1,0)</f>
        <v>0</v>
      </c>
      <c r="AW1453" s="21">
        <f t="shared" si="131"/>
        <v>0</v>
      </c>
      <c r="AX1453" s="21" t="str">
        <f t="shared" si="130"/>
        <v/>
      </c>
      <c r="AY1453" s="21" t="str">
        <f>IF(AND($AM1453&lt;&gt;"",$AS1453&lt;&gt;"✓"),SUMPRODUCT(($AM$11:$AM1453&lt;&gt;"")*($AS$11:$AS1453&lt;&gt;"✓")),"")</f>
        <v/>
      </c>
      <c r="AZ1453" s="21" t="str">
        <f>IF(AND($AM1453&lt;&gt;"",$AS1453="✓"),SUMPRODUCT(($AM$11:$AM1453&lt;&gt;"")*($AS$11:$AS1453="✓")),"")</f>
        <v/>
      </c>
      <c r="BA1453" s="21" t="str">
        <f>IF($AL1453="","",$AL1453&amp;"|"&amp;COUNTIF($AL$11:$AL1453,$AL1453))</f>
        <v/>
      </c>
    </row>
    <row r="1454" spans="38:53" ht="15" customHeight="1" x14ac:dyDescent="0.25">
      <c r="AL1454" s="31"/>
      <c r="AM1454" s="26"/>
      <c r="AN1454" s="32"/>
      <c r="AO1454" s="32"/>
      <c r="AP1454" s="24"/>
      <c r="AQ1454" s="24"/>
      <c r="AR1454" s="33"/>
      <c r="AS1454" s="34"/>
      <c r="AT1454" s="33"/>
      <c r="AV1454" s="21">
        <f>IF(AND($AL1454&lt;&gt;"",COUNTIF($AL$11:$AL1454,$AL1454)=1),1,0)</f>
        <v>0</v>
      </c>
      <c r="AW1454" s="21">
        <f t="shared" si="131"/>
        <v>0</v>
      </c>
      <c r="AX1454" s="21" t="str">
        <f t="shared" si="130"/>
        <v/>
      </c>
      <c r="AY1454" s="21" t="str">
        <f>IF(AND($AM1454&lt;&gt;"",$AS1454&lt;&gt;"✓"),SUMPRODUCT(($AM$11:$AM1454&lt;&gt;"")*($AS$11:$AS1454&lt;&gt;"✓")),"")</f>
        <v/>
      </c>
      <c r="AZ1454" s="21" t="str">
        <f>IF(AND($AM1454&lt;&gt;"",$AS1454="✓"),SUMPRODUCT(($AM$11:$AM1454&lt;&gt;"")*($AS$11:$AS1454="✓")),"")</f>
        <v/>
      </c>
      <c r="BA1454" s="21" t="str">
        <f>IF($AL1454="","",$AL1454&amp;"|"&amp;COUNTIF($AL$11:$AL1454,$AL1454))</f>
        <v/>
      </c>
    </row>
    <row r="1455" spans="38:53" ht="15" customHeight="1" x14ac:dyDescent="0.25">
      <c r="AL1455" s="17"/>
      <c r="AM1455" s="12"/>
      <c r="AN1455" s="18"/>
      <c r="AO1455" s="18"/>
      <c r="AP1455" s="10"/>
      <c r="AQ1455" s="10"/>
      <c r="AR1455" s="19"/>
      <c r="AS1455" s="20"/>
      <c r="AT1455" s="19"/>
      <c r="AV1455" s="21">
        <f>IF(AND($AL1455&lt;&gt;"",COUNTIF($AL$11:$AL1455,$AL1455)=1),1,0)</f>
        <v>0</v>
      </c>
      <c r="AW1455" s="21">
        <f t="shared" si="131"/>
        <v>0</v>
      </c>
      <c r="AX1455" s="21" t="str">
        <f t="shared" si="130"/>
        <v/>
      </c>
      <c r="AY1455" s="21" t="str">
        <f>IF(AND($AM1455&lt;&gt;"",$AS1455&lt;&gt;"✓"),SUMPRODUCT(($AM$11:$AM1455&lt;&gt;"")*($AS$11:$AS1455&lt;&gt;"✓")),"")</f>
        <v/>
      </c>
      <c r="AZ1455" s="21" t="str">
        <f>IF(AND($AM1455&lt;&gt;"",$AS1455="✓"),SUMPRODUCT(($AM$11:$AM1455&lt;&gt;"")*($AS$11:$AS1455="✓")),"")</f>
        <v/>
      </c>
      <c r="BA1455" s="21" t="str">
        <f>IF($AL1455="","",$AL1455&amp;"|"&amp;COUNTIF($AL$11:$AL1455,$AL1455))</f>
        <v/>
      </c>
    </row>
    <row r="1456" spans="38:53" ht="15" customHeight="1" x14ac:dyDescent="0.25">
      <c r="AL1456" s="31"/>
      <c r="AM1456" s="26"/>
      <c r="AN1456" s="32"/>
      <c r="AO1456" s="32"/>
      <c r="AP1456" s="24"/>
      <c r="AQ1456" s="24"/>
      <c r="AR1456" s="33"/>
      <c r="AS1456" s="34"/>
      <c r="AT1456" s="33"/>
      <c r="AV1456" s="21">
        <f>IF(AND($AL1456&lt;&gt;"",COUNTIF($AL$11:$AL1456,$AL1456)=1),1,0)</f>
        <v>0</v>
      </c>
      <c r="AW1456" s="21">
        <f t="shared" si="131"/>
        <v>0</v>
      </c>
      <c r="AX1456" s="21" t="str">
        <f t="shared" si="130"/>
        <v/>
      </c>
      <c r="AY1456" s="21" t="str">
        <f>IF(AND($AM1456&lt;&gt;"",$AS1456&lt;&gt;"✓"),SUMPRODUCT(($AM$11:$AM1456&lt;&gt;"")*($AS$11:$AS1456&lt;&gt;"✓")),"")</f>
        <v/>
      </c>
      <c r="AZ1456" s="21" t="str">
        <f>IF(AND($AM1456&lt;&gt;"",$AS1456="✓"),SUMPRODUCT(($AM$11:$AM1456&lt;&gt;"")*($AS$11:$AS1456="✓")),"")</f>
        <v/>
      </c>
      <c r="BA1456" s="21" t="str">
        <f>IF($AL1456="","",$AL1456&amp;"|"&amp;COUNTIF($AL$11:$AL1456,$AL1456))</f>
        <v/>
      </c>
    </row>
    <row r="1457" spans="38:53" ht="15" customHeight="1" x14ac:dyDescent="0.25">
      <c r="AL1457" s="17"/>
      <c r="AM1457" s="12"/>
      <c r="AN1457" s="18"/>
      <c r="AO1457" s="18"/>
      <c r="AP1457" s="10"/>
      <c r="AQ1457" s="10"/>
      <c r="AR1457" s="19"/>
      <c r="AS1457" s="20"/>
      <c r="AT1457" s="19"/>
      <c r="AV1457" s="21">
        <f>IF(AND($AL1457&lt;&gt;"",COUNTIF($AL$11:$AL1457,$AL1457)=1),1,0)</f>
        <v>0</v>
      </c>
      <c r="AW1457" s="21">
        <f t="shared" si="131"/>
        <v>0</v>
      </c>
      <c r="AX1457" s="21" t="str">
        <f t="shared" si="130"/>
        <v/>
      </c>
      <c r="AY1457" s="21" t="str">
        <f>IF(AND($AM1457&lt;&gt;"",$AS1457&lt;&gt;"✓"),SUMPRODUCT(($AM$11:$AM1457&lt;&gt;"")*($AS$11:$AS1457&lt;&gt;"✓")),"")</f>
        <v/>
      </c>
      <c r="AZ1457" s="21" t="str">
        <f>IF(AND($AM1457&lt;&gt;"",$AS1457="✓"),SUMPRODUCT(($AM$11:$AM1457&lt;&gt;"")*($AS$11:$AS1457="✓")),"")</f>
        <v/>
      </c>
      <c r="BA1457" s="21" t="str">
        <f>IF($AL1457="","",$AL1457&amp;"|"&amp;COUNTIF($AL$11:$AL1457,$AL1457))</f>
        <v/>
      </c>
    </row>
    <row r="1458" spans="38:53" ht="15" customHeight="1" x14ac:dyDescent="0.25">
      <c r="AL1458" s="31"/>
      <c r="AM1458" s="26"/>
      <c r="AN1458" s="32"/>
      <c r="AO1458" s="32"/>
      <c r="AP1458" s="24"/>
      <c r="AQ1458" s="24"/>
      <c r="AR1458" s="33"/>
      <c r="AS1458" s="34"/>
      <c r="AT1458" s="33"/>
      <c r="AV1458" s="21">
        <f>IF(AND($AL1458&lt;&gt;"",COUNTIF($AL$11:$AL1458,$AL1458)=1),1,0)</f>
        <v>0</v>
      </c>
      <c r="AW1458" s="21">
        <f t="shared" si="131"/>
        <v>0</v>
      </c>
      <c r="AX1458" s="21" t="str">
        <f t="shared" si="130"/>
        <v/>
      </c>
      <c r="AY1458" s="21" t="str">
        <f>IF(AND($AM1458&lt;&gt;"",$AS1458&lt;&gt;"✓"),SUMPRODUCT(($AM$11:$AM1458&lt;&gt;"")*($AS$11:$AS1458&lt;&gt;"✓")),"")</f>
        <v/>
      </c>
      <c r="AZ1458" s="21" t="str">
        <f>IF(AND($AM1458&lt;&gt;"",$AS1458="✓"),SUMPRODUCT(($AM$11:$AM1458&lt;&gt;"")*($AS$11:$AS1458="✓")),"")</f>
        <v/>
      </c>
      <c r="BA1458" s="21" t="str">
        <f>IF($AL1458="","",$AL1458&amp;"|"&amp;COUNTIF($AL$11:$AL1458,$AL1458))</f>
        <v/>
      </c>
    </row>
    <row r="1459" spans="38:53" ht="15" customHeight="1" x14ac:dyDescent="0.25">
      <c r="AL1459" s="17"/>
      <c r="AM1459" s="12"/>
      <c r="AN1459" s="18"/>
      <c r="AO1459" s="18"/>
      <c r="AP1459" s="10"/>
      <c r="AQ1459" s="10"/>
      <c r="AR1459" s="19"/>
      <c r="AS1459" s="20"/>
      <c r="AT1459" s="19"/>
      <c r="AV1459" s="21">
        <f>IF(AND($AL1459&lt;&gt;"",COUNTIF($AL$11:$AL1459,$AL1459)=1),1,0)</f>
        <v>0</v>
      </c>
      <c r="AW1459" s="21">
        <f t="shared" si="131"/>
        <v>0</v>
      </c>
      <c r="AX1459" s="21" t="str">
        <f t="shared" si="130"/>
        <v/>
      </c>
      <c r="AY1459" s="21" t="str">
        <f>IF(AND($AM1459&lt;&gt;"",$AS1459&lt;&gt;"✓"),SUMPRODUCT(($AM$11:$AM1459&lt;&gt;"")*($AS$11:$AS1459&lt;&gt;"✓")),"")</f>
        <v/>
      </c>
      <c r="AZ1459" s="21" t="str">
        <f>IF(AND($AM1459&lt;&gt;"",$AS1459="✓"),SUMPRODUCT(($AM$11:$AM1459&lt;&gt;"")*($AS$11:$AS1459="✓")),"")</f>
        <v/>
      </c>
      <c r="BA1459" s="21" t="str">
        <f>IF($AL1459="","",$AL1459&amp;"|"&amp;COUNTIF($AL$11:$AL1459,$AL1459))</f>
        <v/>
      </c>
    </row>
    <row r="1460" spans="38:53" ht="15" customHeight="1" x14ac:dyDescent="0.25">
      <c r="AL1460" s="31"/>
      <c r="AM1460" s="26"/>
      <c r="AN1460" s="32"/>
      <c r="AO1460" s="32"/>
      <c r="AP1460" s="24"/>
      <c r="AQ1460" s="24"/>
      <c r="AR1460" s="33"/>
      <c r="AS1460" s="34"/>
      <c r="AT1460" s="33"/>
      <c r="AV1460" s="21">
        <f>IF(AND($AL1460&lt;&gt;"",COUNTIF($AL$11:$AL1460,$AL1460)=1),1,0)</f>
        <v>0</v>
      </c>
      <c r="AW1460" s="21">
        <f t="shared" si="131"/>
        <v>0</v>
      </c>
      <c r="AX1460" s="21" t="str">
        <f t="shared" si="130"/>
        <v/>
      </c>
      <c r="AY1460" s="21" t="str">
        <f>IF(AND($AM1460&lt;&gt;"",$AS1460&lt;&gt;"✓"),SUMPRODUCT(($AM$11:$AM1460&lt;&gt;"")*($AS$11:$AS1460&lt;&gt;"✓")),"")</f>
        <v/>
      </c>
      <c r="AZ1460" s="21" t="str">
        <f>IF(AND($AM1460&lt;&gt;"",$AS1460="✓"),SUMPRODUCT(($AM$11:$AM1460&lt;&gt;"")*($AS$11:$AS1460="✓")),"")</f>
        <v/>
      </c>
      <c r="BA1460" s="21" t="str">
        <f>IF($AL1460="","",$AL1460&amp;"|"&amp;COUNTIF($AL$11:$AL1460,$AL1460))</f>
        <v/>
      </c>
    </row>
    <row r="1461" spans="38:53" ht="15" customHeight="1" x14ac:dyDescent="0.25">
      <c r="AL1461" s="17"/>
      <c r="AM1461" s="12"/>
      <c r="AN1461" s="18"/>
      <c r="AO1461" s="18"/>
      <c r="AP1461" s="10"/>
      <c r="AQ1461" s="10"/>
      <c r="AR1461" s="19"/>
      <c r="AS1461" s="20"/>
      <c r="AT1461" s="19"/>
      <c r="AV1461" s="21">
        <f>IF(AND($AL1461&lt;&gt;"",COUNTIF($AL$11:$AL1461,$AL1461)=1),1,0)</f>
        <v>0</v>
      </c>
      <c r="AW1461" s="21">
        <f t="shared" si="131"/>
        <v>0</v>
      </c>
      <c r="AX1461" s="21" t="str">
        <f t="shared" si="130"/>
        <v/>
      </c>
      <c r="AY1461" s="21" t="str">
        <f>IF(AND($AM1461&lt;&gt;"",$AS1461&lt;&gt;"✓"),SUMPRODUCT(($AM$11:$AM1461&lt;&gt;"")*($AS$11:$AS1461&lt;&gt;"✓")),"")</f>
        <v/>
      </c>
      <c r="AZ1461" s="21" t="str">
        <f>IF(AND($AM1461&lt;&gt;"",$AS1461="✓"),SUMPRODUCT(($AM$11:$AM1461&lt;&gt;"")*($AS$11:$AS1461="✓")),"")</f>
        <v/>
      </c>
      <c r="BA1461" s="21" t="str">
        <f>IF($AL1461="","",$AL1461&amp;"|"&amp;COUNTIF($AL$11:$AL1461,$AL1461))</f>
        <v/>
      </c>
    </row>
    <row r="1462" spans="38:53" ht="15" customHeight="1" x14ac:dyDescent="0.25">
      <c r="AL1462" s="31"/>
      <c r="AM1462" s="26"/>
      <c r="AN1462" s="32"/>
      <c r="AO1462" s="32"/>
      <c r="AP1462" s="24"/>
      <c r="AQ1462" s="24"/>
      <c r="AR1462" s="33"/>
      <c r="AS1462" s="34"/>
      <c r="AT1462" s="33"/>
      <c r="AV1462" s="21">
        <f>IF(AND($AL1462&lt;&gt;"",COUNTIF($AL$11:$AL1462,$AL1462)=1),1,0)</f>
        <v>0</v>
      </c>
      <c r="AW1462" s="21">
        <f t="shared" si="131"/>
        <v>0</v>
      </c>
      <c r="AX1462" s="21" t="str">
        <f t="shared" si="130"/>
        <v/>
      </c>
      <c r="AY1462" s="21" t="str">
        <f>IF(AND($AM1462&lt;&gt;"",$AS1462&lt;&gt;"✓"),SUMPRODUCT(($AM$11:$AM1462&lt;&gt;"")*($AS$11:$AS1462&lt;&gt;"✓")),"")</f>
        <v/>
      </c>
      <c r="AZ1462" s="21" t="str">
        <f>IF(AND($AM1462&lt;&gt;"",$AS1462="✓"),SUMPRODUCT(($AM$11:$AM1462&lt;&gt;"")*($AS$11:$AS1462="✓")),"")</f>
        <v/>
      </c>
      <c r="BA1462" s="21" t="str">
        <f>IF($AL1462="","",$AL1462&amp;"|"&amp;COUNTIF($AL$11:$AL1462,$AL1462))</f>
        <v/>
      </c>
    </row>
    <row r="1463" spans="38:53" ht="15" customHeight="1" x14ac:dyDescent="0.25">
      <c r="AL1463" s="17"/>
      <c r="AM1463" s="12"/>
      <c r="AN1463" s="18"/>
      <c r="AO1463" s="18"/>
      <c r="AP1463" s="10"/>
      <c r="AQ1463" s="10"/>
      <c r="AR1463" s="19"/>
      <c r="AS1463" s="20"/>
      <c r="AT1463" s="19"/>
      <c r="AV1463" s="21">
        <f>IF(AND($AL1463&lt;&gt;"",COUNTIF($AL$11:$AL1463,$AL1463)=1),1,0)</f>
        <v>0</v>
      </c>
      <c r="AW1463" s="21">
        <f t="shared" si="131"/>
        <v>0</v>
      </c>
      <c r="AX1463" s="21" t="str">
        <f t="shared" si="130"/>
        <v/>
      </c>
      <c r="AY1463" s="21" t="str">
        <f>IF(AND($AM1463&lt;&gt;"",$AS1463&lt;&gt;"✓"),SUMPRODUCT(($AM$11:$AM1463&lt;&gt;"")*($AS$11:$AS1463&lt;&gt;"✓")),"")</f>
        <v/>
      </c>
      <c r="AZ1463" s="21" t="str">
        <f>IF(AND($AM1463&lt;&gt;"",$AS1463="✓"),SUMPRODUCT(($AM$11:$AM1463&lt;&gt;"")*($AS$11:$AS1463="✓")),"")</f>
        <v/>
      </c>
      <c r="BA1463" s="21" t="str">
        <f>IF($AL1463="","",$AL1463&amp;"|"&amp;COUNTIF($AL$11:$AL1463,$AL1463))</f>
        <v/>
      </c>
    </row>
    <row r="1464" spans="38:53" ht="15" customHeight="1" x14ac:dyDescent="0.25">
      <c r="AL1464" s="31"/>
      <c r="AM1464" s="26"/>
      <c r="AN1464" s="32"/>
      <c r="AO1464" s="32"/>
      <c r="AP1464" s="24"/>
      <c r="AQ1464" s="24"/>
      <c r="AR1464" s="33"/>
      <c r="AS1464" s="34"/>
      <c r="AT1464" s="33"/>
      <c r="AV1464" s="21">
        <f>IF(AND($AL1464&lt;&gt;"",COUNTIF($AL$11:$AL1464,$AL1464)=1),1,0)</f>
        <v>0</v>
      </c>
      <c r="AW1464" s="21">
        <f t="shared" si="131"/>
        <v>0</v>
      </c>
      <c r="AX1464" s="21" t="str">
        <f t="shared" si="130"/>
        <v/>
      </c>
      <c r="AY1464" s="21" t="str">
        <f>IF(AND($AM1464&lt;&gt;"",$AS1464&lt;&gt;"✓"),SUMPRODUCT(($AM$11:$AM1464&lt;&gt;"")*($AS$11:$AS1464&lt;&gt;"✓")),"")</f>
        <v/>
      </c>
      <c r="AZ1464" s="21" t="str">
        <f>IF(AND($AM1464&lt;&gt;"",$AS1464="✓"),SUMPRODUCT(($AM$11:$AM1464&lt;&gt;"")*($AS$11:$AS1464="✓")),"")</f>
        <v/>
      </c>
      <c r="BA1464" s="21" t="str">
        <f>IF($AL1464="","",$AL1464&amp;"|"&amp;COUNTIF($AL$11:$AL1464,$AL1464))</f>
        <v/>
      </c>
    </row>
    <row r="1465" spans="38:53" ht="15" customHeight="1" x14ac:dyDescent="0.25">
      <c r="AL1465" s="17"/>
      <c r="AM1465" s="12"/>
      <c r="AN1465" s="18"/>
      <c r="AO1465" s="18"/>
      <c r="AP1465" s="10"/>
      <c r="AQ1465" s="10"/>
      <c r="AR1465" s="19"/>
      <c r="AS1465" s="20"/>
      <c r="AT1465" s="19"/>
      <c r="AV1465" s="21">
        <f>IF(AND($AL1465&lt;&gt;"",COUNTIF($AL$11:$AL1465,$AL1465)=1),1,0)</f>
        <v>0</v>
      </c>
      <c r="AW1465" s="21">
        <f t="shared" si="131"/>
        <v>0</v>
      </c>
      <c r="AX1465" s="21" t="str">
        <f t="shared" si="130"/>
        <v/>
      </c>
      <c r="AY1465" s="21" t="str">
        <f>IF(AND($AM1465&lt;&gt;"",$AS1465&lt;&gt;"✓"),SUMPRODUCT(($AM$11:$AM1465&lt;&gt;"")*($AS$11:$AS1465&lt;&gt;"✓")),"")</f>
        <v/>
      </c>
      <c r="AZ1465" s="21" t="str">
        <f>IF(AND($AM1465&lt;&gt;"",$AS1465="✓"),SUMPRODUCT(($AM$11:$AM1465&lt;&gt;"")*($AS$11:$AS1465="✓")),"")</f>
        <v/>
      </c>
      <c r="BA1465" s="21" t="str">
        <f>IF($AL1465="","",$AL1465&amp;"|"&amp;COUNTIF($AL$11:$AL1465,$AL1465))</f>
        <v/>
      </c>
    </row>
    <row r="1466" spans="38:53" ht="15" customHeight="1" x14ac:dyDescent="0.25">
      <c r="AL1466" s="31"/>
      <c r="AM1466" s="26"/>
      <c r="AN1466" s="32"/>
      <c r="AO1466" s="32"/>
      <c r="AP1466" s="24"/>
      <c r="AQ1466" s="24"/>
      <c r="AR1466" s="33"/>
      <c r="AS1466" s="34"/>
      <c r="AT1466" s="33"/>
      <c r="AV1466" s="21">
        <f>IF(AND($AL1466&lt;&gt;"",COUNTIF($AL$11:$AL1466,$AL1466)=1),1,0)</f>
        <v>0</v>
      </c>
      <c r="AW1466" s="21">
        <f t="shared" si="131"/>
        <v>0</v>
      </c>
      <c r="AX1466" s="21" t="str">
        <f t="shared" si="130"/>
        <v/>
      </c>
      <c r="AY1466" s="21" t="str">
        <f>IF(AND($AM1466&lt;&gt;"",$AS1466&lt;&gt;"✓"),SUMPRODUCT(($AM$11:$AM1466&lt;&gt;"")*($AS$11:$AS1466&lt;&gt;"✓")),"")</f>
        <v/>
      </c>
      <c r="AZ1466" s="21" t="str">
        <f>IF(AND($AM1466&lt;&gt;"",$AS1466="✓"),SUMPRODUCT(($AM$11:$AM1466&lt;&gt;"")*($AS$11:$AS1466="✓")),"")</f>
        <v/>
      </c>
      <c r="BA1466" s="21" t="str">
        <f>IF($AL1466="","",$AL1466&amp;"|"&amp;COUNTIF($AL$11:$AL1466,$AL1466))</f>
        <v/>
      </c>
    </row>
    <row r="1467" spans="38:53" ht="15" customHeight="1" x14ac:dyDescent="0.25">
      <c r="AL1467" s="17"/>
      <c r="AM1467" s="12"/>
      <c r="AN1467" s="18"/>
      <c r="AO1467" s="18"/>
      <c r="AP1467" s="10"/>
      <c r="AQ1467" s="10"/>
      <c r="AR1467" s="19"/>
      <c r="AS1467" s="20"/>
      <c r="AT1467" s="19"/>
      <c r="AV1467" s="21">
        <f>IF(AND($AL1467&lt;&gt;"",COUNTIF($AL$11:$AL1467,$AL1467)=1),1,0)</f>
        <v>0</v>
      </c>
      <c r="AW1467" s="21">
        <f t="shared" si="131"/>
        <v>0</v>
      </c>
      <c r="AX1467" s="21" t="str">
        <f t="shared" si="130"/>
        <v/>
      </c>
      <c r="AY1467" s="21" t="str">
        <f>IF(AND($AM1467&lt;&gt;"",$AS1467&lt;&gt;"✓"),SUMPRODUCT(($AM$11:$AM1467&lt;&gt;"")*($AS$11:$AS1467&lt;&gt;"✓")),"")</f>
        <v/>
      </c>
      <c r="AZ1467" s="21" t="str">
        <f>IF(AND($AM1467&lt;&gt;"",$AS1467="✓"),SUMPRODUCT(($AM$11:$AM1467&lt;&gt;"")*($AS$11:$AS1467="✓")),"")</f>
        <v/>
      </c>
      <c r="BA1467" s="21" t="str">
        <f>IF($AL1467="","",$AL1467&amp;"|"&amp;COUNTIF($AL$11:$AL1467,$AL1467))</f>
        <v/>
      </c>
    </row>
    <row r="1468" spans="38:53" ht="15" customHeight="1" x14ac:dyDescent="0.25">
      <c r="AL1468" s="31"/>
      <c r="AM1468" s="26"/>
      <c r="AN1468" s="32"/>
      <c r="AO1468" s="32"/>
      <c r="AP1468" s="24"/>
      <c r="AQ1468" s="24"/>
      <c r="AR1468" s="33"/>
      <c r="AS1468" s="34"/>
      <c r="AT1468" s="33"/>
      <c r="AV1468" s="21">
        <f>IF(AND($AL1468&lt;&gt;"",COUNTIF($AL$11:$AL1468,$AL1468)=1),1,0)</f>
        <v>0</v>
      </c>
      <c r="AW1468" s="21">
        <f t="shared" si="131"/>
        <v>0</v>
      </c>
      <c r="AX1468" s="21" t="str">
        <f t="shared" si="130"/>
        <v/>
      </c>
      <c r="AY1468" s="21" t="str">
        <f>IF(AND($AM1468&lt;&gt;"",$AS1468&lt;&gt;"✓"),SUMPRODUCT(($AM$11:$AM1468&lt;&gt;"")*($AS$11:$AS1468&lt;&gt;"✓")),"")</f>
        <v/>
      </c>
      <c r="AZ1468" s="21" t="str">
        <f>IF(AND($AM1468&lt;&gt;"",$AS1468="✓"),SUMPRODUCT(($AM$11:$AM1468&lt;&gt;"")*($AS$11:$AS1468="✓")),"")</f>
        <v/>
      </c>
      <c r="BA1468" s="21" t="str">
        <f>IF($AL1468="","",$AL1468&amp;"|"&amp;COUNTIF($AL$11:$AL1468,$AL1468))</f>
        <v/>
      </c>
    </row>
    <row r="1469" spans="38:53" ht="15" customHeight="1" x14ac:dyDescent="0.25">
      <c r="AL1469" s="17"/>
      <c r="AM1469" s="12"/>
      <c r="AN1469" s="18"/>
      <c r="AO1469" s="18"/>
      <c r="AP1469" s="10"/>
      <c r="AQ1469" s="10"/>
      <c r="AR1469" s="19"/>
      <c r="AS1469" s="20"/>
      <c r="AT1469" s="19"/>
      <c r="AV1469" s="21">
        <f>IF(AND($AL1469&lt;&gt;"",COUNTIF($AL$11:$AL1469,$AL1469)=1),1,0)</f>
        <v>0</v>
      </c>
      <c r="AW1469" s="21">
        <f t="shared" si="131"/>
        <v>0</v>
      </c>
      <c r="AX1469" s="21" t="str">
        <f t="shared" si="130"/>
        <v/>
      </c>
      <c r="AY1469" s="21" t="str">
        <f>IF(AND($AM1469&lt;&gt;"",$AS1469&lt;&gt;"✓"),SUMPRODUCT(($AM$11:$AM1469&lt;&gt;"")*($AS$11:$AS1469&lt;&gt;"✓")),"")</f>
        <v/>
      </c>
      <c r="AZ1469" s="21" t="str">
        <f>IF(AND($AM1469&lt;&gt;"",$AS1469="✓"),SUMPRODUCT(($AM$11:$AM1469&lt;&gt;"")*($AS$11:$AS1469="✓")),"")</f>
        <v/>
      </c>
      <c r="BA1469" s="21" t="str">
        <f>IF($AL1469="","",$AL1469&amp;"|"&amp;COUNTIF($AL$11:$AL1469,$AL1469))</f>
        <v/>
      </c>
    </row>
    <row r="1470" spans="38:53" ht="15" customHeight="1" x14ac:dyDescent="0.25">
      <c r="AL1470" s="31"/>
      <c r="AM1470" s="26"/>
      <c r="AN1470" s="32"/>
      <c r="AO1470" s="32"/>
      <c r="AP1470" s="24"/>
      <c r="AQ1470" s="24"/>
      <c r="AR1470" s="33"/>
      <c r="AS1470" s="34"/>
      <c r="AT1470" s="33"/>
      <c r="AV1470" s="21">
        <f>IF(AND($AL1470&lt;&gt;"",COUNTIF($AL$11:$AL1470,$AL1470)=1),1,0)</f>
        <v>0</v>
      </c>
      <c r="AW1470" s="21">
        <f t="shared" si="131"/>
        <v>0</v>
      </c>
      <c r="AX1470" s="21" t="str">
        <f t="shared" si="130"/>
        <v/>
      </c>
      <c r="AY1470" s="21" t="str">
        <f>IF(AND($AM1470&lt;&gt;"",$AS1470&lt;&gt;"✓"),SUMPRODUCT(($AM$11:$AM1470&lt;&gt;"")*($AS$11:$AS1470&lt;&gt;"✓")),"")</f>
        <v/>
      </c>
      <c r="AZ1470" s="21" t="str">
        <f>IF(AND($AM1470&lt;&gt;"",$AS1470="✓"),SUMPRODUCT(($AM$11:$AM1470&lt;&gt;"")*($AS$11:$AS1470="✓")),"")</f>
        <v/>
      </c>
      <c r="BA1470" s="21" t="str">
        <f>IF($AL1470="","",$AL1470&amp;"|"&amp;COUNTIF($AL$11:$AL1470,$AL1470))</f>
        <v/>
      </c>
    </row>
    <row r="1471" spans="38:53" ht="15" customHeight="1" x14ac:dyDescent="0.25">
      <c r="AL1471" s="17"/>
      <c r="AM1471" s="12"/>
      <c r="AN1471" s="18"/>
      <c r="AO1471" s="18"/>
      <c r="AP1471" s="10"/>
      <c r="AQ1471" s="10"/>
      <c r="AR1471" s="19"/>
      <c r="AS1471" s="20"/>
      <c r="AT1471" s="19"/>
      <c r="AV1471" s="21">
        <f>IF(AND($AL1471&lt;&gt;"",COUNTIF($AL$11:$AL1471,$AL1471)=1),1,0)</f>
        <v>0</v>
      </c>
      <c r="AW1471" s="21">
        <f t="shared" si="131"/>
        <v>0</v>
      </c>
      <c r="AX1471" s="21" t="str">
        <f t="shared" si="130"/>
        <v/>
      </c>
      <c r="AY1471" s="21" t="str">
        <f>IF(AND($AM1471&lt;&gt;"",$AS1471&lt;&gt;"✓"),SUMPRODUCT(($AM$11:$AM1471&lt;&gt;"")*($AS$11:$AS1471&lt;&gt;"✓")),"")</f>
        <v/>
      </c>
      <c r="AZ1471" s="21" t="str">
        <f>IF(AND($AM1471&lt;&gt;"",$AS1471="✓"),SUMPRODUCT(($AM$11:$AM1471&lt;&gt;"")*($AS$11:$AS1471="✓")),"")</f>
        <v/>
      </c>
      <c r="BA1471" s="21" t="str">
        <f>IF($AL1471="","",$AL1471&amp;"|"&amp;COUNTIF($AL$11:$AL1471,$AL1471))</f>
        <v/>
      </c>
    </row>
    <row r="1472" spans="38:53" ht="15" customHeight="1" x14ac:dyDescent="0.25">
      <c r="AL1472" s="31"/>
      <c r="AM1472" s="26"/>
      <c r="AN1472" s="32"/>
      <c r="AO1472" s="32"/>
      <c r="AP1472" s="24"/>
      <c r="AQ1472" s="24"/>
      <c r="AR1472" s="33"/>
      <c r="AS1472" s="34"/>
      <c r="AT1472" s="33"/>
      <c r="AV1472" s="21">
        <f>IF(AND($AL1472&lt;&gt;"",COUNTIF($AL$11:$AL1472,$AL1472)=1),1,0)</f>
        <v>0</v>
      </c>
      <c r="AW1472" s="21">
        <f t="shared" si="131"/>
        <v>0</v>
      </c>
      <c r="AX1472" s="21" t="str">
        <f t="shared" si="130"/>
        <v/>
      </c>
      <c r="AY1472" s="21" t="str">
        <f>IF(AND($AM1472&lt;&gt;"",$AS1472&lt;&gt;"✓"),SUMPRODUCT(($AM$11:$AM1472&lt;&gt;"")*($AS$11:$AS1472&lt;&gt;"✓")),"")</f>
        <v/>
      </c>
      <c r="AZ1472" s="21" t="str">
        <f>IF(AND($AM1472&lt;&gt;"",$AS1472="✓"),SUMPRODUCT(($AM$11:$AM1472&lt;&gt;"")*($AS$11:$AS1472="✓")),"")</f>
        <v/>
      </c>
      <c r="BA1472" s="21" t="str">
        <f>IF($AL1472="","",$AL1472&amp;"|"&amp;COUNTIF($AL$11:$AL1472,$AL1472))</f>
        <v/>
      </c>
    </row>
    <row r="1473" spans="38:53" ht="15" customHeight="1" x14ac:dyDescent="0.25">
      <c r="AL1473" s="17"/>
      <c r="AM1473" s="12"/>
      <c r="AN1473" s="18"/>
      <c r="AO1473" s="18"/>
      <c r="AP1473" s="10"/>
      <c r="AQ1473" s="10"/>
      <c r="AR1473" s="19"/>
      <c r="AS1473" s="20"/>
      <c r="AT1473" s="19"/>
      <c r="AV1473" s="21">
        <f>IF(AND($AL1473&lt;&gt;"",COUNTIF($AL$11:$AL1473,$AL1473)=1),1,0)</f>
        <v>0</v>
      </c>
      <c r="AW1473" s="21">
        <f t="shared" si="131"/>
        <v>0</v>
      </c>
      <c r="AX1473" s="21" t="str">
        <f t="shared" si="130"/>
        <v/>
      </c>
      <c r="AY1473" s="21" t="str">
        <f>IF(AND($AM1473&lt;&gt;"",$AS1473&lt;&gt;"✓"),SUMPRODUCT(($AM$11:$AM1473&lt;&gt;"")*($AS$11:$AS1473&lt;&gt;"✓")),"")</f>
        <v/>
      </c>
      <c r="AZ1473" s="21" t="str">
        <f>IF(AND($AM1473&lt;&gt;"",$AS1473="✓"),SUMPRODUCT(($AM$11:$AM1473&lt;&gt;"")*($AS$11:$AS1473="✓")),"")</f>
        <v/>
      </c>
      <c r="BA1473" s="21" t="str">
        <f>IF($AL1473="","",$AL1473&amp;"|"&amp;COUNTIF($AL$11:$AL1473,$AL1473))</f>
        <v/>
      </c>
    </row>
    <row r="1474" spans="38:53" ht="15" customHeight="1" x14ac:dyDescent="0.25">
      <c r="AL1474" s="31"/>
      <c r="AM1474" s="26"/>
      <c r="AN1474" s="32"/>
      <c r="AO1474" s="32"/>
      <c r="AP1474" s="24"/>
      <c r="AQ1474" s="24"/>
      <c r="AR1474" s="33"/>
      <c r="AS1474" s="34"/>
      <c r="AT1474" s="33"/>
      <c r="AV1474" s="21">
        <f>IF(AND($AL1474&lt;&gt;"",COUNTIF($AL$11:$AL1474,$AL1474)=1),1,0)</f>
        <v>0</v>
      </c>
      <c r="AW1474" s="21">
        <f t="shared" si="131"/>
        <v>0</v>
      </c>
      <c r="AX1474" s="21" t="str">
        <f t="shared" si="130"/>
        <v/>
      </c>
      <c r="AY1474" s="21" t="str">
        <f>IF(AND($AM1474&lt;&gt;"",$AS1474&lt;&gt;"✓"),SUMPRODUCT(($AM$11:$AM1474&lt;&gt;"")*($AS$11:$AS1474&lt;&gt;"✓")),"")</f>
        <v/>
      </c>
      <c r="AZ1474" s="21" t="str">
        <f>IF(AND($AM1474&lt;&gt;"",$AS1474="✓"),SUMPRODUCT(($AM$11:$AM1474&lt;&gt;"")*($AS$11:$AS1474="✓")),"")</f>
        <v/>
      </c>
      <c r="BA1474" s="21" t="str">
        <f>IF($AL1474="","",$AL1474&amp;"|"&amp;COUNTIF($AL$11:$AL1474,$AL1474))</f>
        <v/>
      </c>
    </row>
    <row r="1475" spans="38:53" ht="15" customHeight="1" x14ac:dyDescent="0.25">
      <c r="AL1475" s="17"/>
      <c r="AM1475" s="12"/>
      <c r="AN1475" s="18"/>
      <c r="AO1475" s="18"/>
      <c r="AP1475" s="10"/>
      <c r="AQ1475" s="10"/>
      <c r="AR1475" s="19"/>
      <c r="AS1475" s="20"/>
      <c r="AT1475" s="19"/>
      <c r="AV1475" s="21">
        <f>IF(AND($AL1475&lt;&gt;"",COUNTIF($AL$11:$AL1475,$AL1475)=1),1,0)</f>
        <v>0</v>
      </c>
      <c r="AW1475" s="21">
        <f t="shared" si="131"/>
        <v>0</v>
      </c>
      <c r="AX1475" s="21" t="str">
        <f t="shared" si="130"/>
        <v/>
      </c>
      <c r="AY1475" s="21" t="str">
        <f>IF(AND($AM1475&lt;&gt;"",$AS1475&lt;&gt;"✓"),SUMPRODUCT(($AM$11:$AM1475&lt;&gt;"")*($AS$11:$AS1475&lt;&gt;"✓")),"")</f>
        <v/>
      </c>
      <c r="AZ1475" s="21" t="str">
        <f>IF(AND($AM1475&lt;&gt;"",$AS1475="✓"),SUMPRODUCT(($AM$11:$AM1475&lt;&gt;"")*($AS$11:$AS1475="✓")),"")</f>
        <v/>
      </c>
      <c r="BA1475" s="21" t="str">
        <f>IF($AL1475="","",$AL1475&amp;"|"&amp;COUNTIF($AL$11:$AL1475,$AL1475))</f>
        <v/>
      </c>
    </row>
    <row r="1476" spans="38:53" ht="15" customHeight="1" x14ac:dyDescent="0.25">
      <c r="AL1476" s="31"/>
      <c r="AM1476" s="26"/>
      <c r="AN1476" s="32"/>
      <c r="AO1476" s="32"/>
      <c r="AP1476" s="24"/>
      <c r="AQ1476" s="24"/>
      <c r="AR1476" s="33"/>
      <c r="AS1476" s="34"/>
      <c r="AT1476" s="33"/>
      <c r="AV1476" s="21">
        <f>IF(AND($AL1476&lt;&gt;"",COUNTIF($AL$11:$AL1476,$AL1476)=1),1,0)</f>
        <v>0</v>
      </c>
      <c r="AW1476" s="21">
        <f t="shared" si="131"/>
        <v>0</v>
      </c>
      <c r="AX1476" s="21" t="str">
        <f t="shared" si="130"/>
        <v/>
      </c>
      <c r="AY1476" s="21" t="str">
        <f>IF(AND($AM1476&lt;&gt;"",$AS1476&lt;&gt;"✓"),SUMPRODUCT(($AM$11:$AM1476&lt;&gt;"")*($AS$11:$AS1476&lt;&gt;"✓")),"")</f>
        <v/>
      </c>
      <c r="AZ1476" s="21" t="str">
        <f>IF(AND($AM1476&lt;&gt;"",$AS1476="✓"),SUMPRODUCT(($AM$11:$AM1476&lt;&gt;"")*($AS$11:$AS1476="✓")),"")</f>
        <v/>
      </c>
      <c r="BA1476" s="21" t="str">
        <f>IF($AL1476="","",$AL1476&amp;"|"&amp;COUNTIF($AL$11:$AL1476,$AL1476))</f>
        <v/>
      </c>
    </row>
    <row r="1477" spans="38:53" ht="15" customHeight="1" x14ac:dyDescent="0.25">
      <c r="AL1477" s="17"/>
      <c r="AM1477" s="12"/>
      <c r="AN1477" s="18"/>
      <c r="AO1477" s="18"/>
      <c r="AP1477" s="10"/>
      <c r="AQ1477" s="10"/>
      <c r="AR1477" s="19"/>
      <c r="AS1477" s="20"/>
      <c r="AT1477" s="19"/>
      <c r="AV1477" s="21">
        <f>IF(AND($AL1477&lt;&gt;"",COUNTIF($AL$11:$AL1477,$AL1477)=1),1,0)</f>
        <v>0</v>
      </c>
      <c r="AW1477" s="21">
        <f t="shared" si="131"/>
        <v>0</v>
      </c>
      <c r="AX1477" s="21" t="str">
        <f t="shared" si="130"/>
        <v/>
      </c>
      <c r="AY1477" s="21" t="str">
        <f>IF(AND($AM1477&lt;&gt;"",$AS1477&lt;&gt;"✓"),SUMPRODUCT(($AM$11:$AM1477&lt;&gt;"")*($AS$11:$AS1477&lt;&gt;"✓")),"")</f>
        <v/>
      </c>
      <c r="AZ1477" s="21" t="str">
        <f>IF(AND($AM1477&lt;&gt;"",$AS1477="✓"),SUMPRODUCT(($AM$11:$AM1477&lt;&gt;"")*($AS$11:$AS1477="✓")),"")</f>
        <v/>
      </c>
      <c r="BA1477" s="21" t="str">
        <f>IF($AL1477="","",$AL1477&amp;"|"&amp;COUNTIF($AL$11:$AL1477,$AL1477))</f>
        <v/>
      </c>
    </row>
    <row r="1478" spans="38:53" ht="15" customHeight="1" x14ac:dyDescent="0.25">
      <c r="AL1478" s="31"/>
      <c r="AM1478" s="26"/>
      <c r="AN1478" s="32"/>
      <c r="AO1478" s="32"/>
      <c r="AP1478" s="24"/>
      <c r="AQ1478" s="24"/>
      <c r="AR1478" s="33"/>
      <c r="AS1478" s="34"/>
      <c r="AT1478" s="33"/>
      <c r="AV1478" s="21">
        <f>IF(AND($AL1478&lt;&gt;"",COUNTIF($AL$11:$AL1478,$AL1478)=1),1,0)</f>
        <v>0</v>
      </c>
      <c r="AW1478" s="21">
        <f t="shared" si="131"/>
        <v>0</v>
      </c>
      <c r="AX1478" s="21" t="str">
        <f t="shared" si="130"/>
        <v/>
      </c>
      <c r="AY1478" s="21" t="str">
        <f>IF(AND($AM1478&lt;&gt;"",$AS1478&lt;&gt;"✓"),SUMPRODUCT(($AM$11:$AM1478&lt;&gt;"")*($AS$11:$AS1478&lt;&gt;"✓")),"")</f>
        <v/>
      </c>
      <c r="AZ1478" s="21" t="str">
        <f>IF(AND($AM1478&lt;&gt;"",$AS1478="✓"),SUMPRODUCT(($AM$11:$AM1478&lt;&gt;"")*($AS$11:$AS1478="✓")),"")</f>
        <v/>
      </c>
      <c r="BA1478" s="21" t="str">
        <f>IF($AL1478="","",$AL1478&amp;"|"&amp;COUNTIF($AL$11:$AL1478,$AL1478))</f>
        <v/>
      </c>
    </row>
    <row r="1479" spans="38:53" ht="15" customHeight="1" x14ac:dyDescent="0.25">
      <c r="AL1479" s="17"/>
      <c r="AM1479" s="12"/>
      <c r="AN1479" s="18"/>
      <c r="AO1479" s="18"/>
      <c r="AP1479" s="10"/>
      <c r="AQ1479" s="10"/>
      <c r="AR1479" s="19"/>
      <c r="AS1479" s="20"/>
      <c r="AT1479" s="19"/>
      <c r="AV1479" s="21">
        <f>IF(AND($AL1479&lt;&gt;"",COUNTIF($AL$11:$AL1479,$AL1479)=1),1,0)</f>
        <v>0</v>
      </c>
      <c r="AW1479" s="21">
        <f t="shared" si="131"/>
        <v>0</v>
      </c>
      <c r="AX1479" s="21" t="str">
        <f t="shared" si="130"/>
        <v/>
      </c>
      <c r="AY1479" s="21" t="str">
        <f>IF(AND($AM1479&lt;&gt;"",$AS1479&lt;&gt;"✓"),SUMPRODUCT(($AM$11:$AM1479&lt;&gt;"")*($AS$11:$AS1479&lt;&gt;"✓")),"")</f>
        <v/>
      </c>
      <c r="AZ1479" s="21" t="str">
        <f>IF(AND($AM1479&lt;&gt;"",$AS1479="✓"),SUMPRODUCT(($AM$11:$AM1479&lt;&gt;"")*($AS$11:$AS1479="✓")),"")</f>
        <v/>
      </c>
      <c r="BA1479" s="21" t="str">
        <f>IF($AL1479="","",$AL1479&amp;"|"&amp;COUNTIF($AL$11:$AL1479,$AL1479))</f>
        <v/>
      </c>
    </row>
    <row r="1480" spans="38:53" ht="15" customHeight="1" x14ac:dyDescent="0.25">
      <c r="AL1480" s="31"/>
      <c r="AM1480" s="26"/>
      <c r="AN1480" s="32"/>
      <c r="AO1480" s="32"/>
      <c r="AP1480" s="24"/>
      <c r="AQ1480" s="24"/>
      <c r="AR1480" s="33"/>
      <c r="AS1480" s="34"/>
      <c r="AT1480" s="33"/>
      <c r="AV1480" s="21">
        <f>IF(AND($AL1480&lt;&gt;"",COUNTIF($AL$11:$AL1480,$AL1480)=1),1,0)</f>
        <v>0</v>
      </c>
      <c r="AW1480" s="21">
        <f t="shared" si="131"/>
        <v>0</v>
      </c>
      <c r="AX1480" s="21" t="str">
        <f t="shared" si="130"/>
        <v/>
      </c>
      <c r="AY1480" s="21" t="str">
        <f>IF(AND($AM1480&lt;&gt;"",$AS1480&lt;&gt;"✓"),SUMPRODUCT(($AM$11:$AM1480&lt;&gt;"")*($AS$11:$AS1480&lt;&gt;"✓")),"")</f>
        <v/>
      </c>
      <c r="AZ1480" s="21" t="str">
        <f>IF(AND($AM1480&lt;&gt;"",$AS1480="✓"),SUMPRODUCT(($AM$11:$AM1480&lt;&gt;"")*($AS$11:$AS1480="✓")),"")</f>
        <v/>
      </c>
      <c r="BA1480" s="21" t="str">
        <f>IF($AL1480="","",$AL1480&amp;"|"&amp;COUNTIF($AL$11:$AL1480,$AL1480))</f>
        <v/>
      </c>
    </row>
    <row r="1481" spans="38:53" ht="15" customHeight="1" x14ac:dyDescent="0.25">
      <c r="AL1481" s="17"/>
      <c r="AM1481" s="12"/>
      <c r="AN1481" s="18"/>
      <c r="AO1481" s="18"/>
      <c r="AP1481" s="10"/>
      <c r="AQ1481" s="10"/>
      <c r="AR1481" s="19"/>
      <c r="AS1481" s="20"/>
      <c r="AT1481" s="19"/>
      <c r="AV1481" s="21">
        <f>IF(AND($AL1481&lt;&gt;"",COUNTIF($AL$11:$AL1481,$AL1481)=1),1,0)</f>
        <v>0</v>
      </c>
      <c r="AW1481" s="21">
        <f t="shared" si="131"/>
        <v>0</v>
      </c>
      <c r="AX1481" s="21" t="str">
        <f t="shared" si="130"/>
        <v/>
      </c>
      <c r="AY1481" s="21" t="str">
        <f>IF(AND($AM1481&lt;&gt;"",$AS1481&lt;&gt;"✓"),SUMPRODUCT(($AM$11:$AM1481&lt;&gt;"")*($AS$11:$AS1481&lt;&gt;"✓")),"")</f>
        <v/>
      </c>
      <c r="AZ1481" s="21" t="str">
        <f>IF(AND($AM1481&lt;&gt;"",$AS1481="✓"),SUMPRODUCT(($AM$11:$AM1481&lt;&gt;"")*($AS$11:$AS1481="✓")),"")</f>
        <v/>
      </c>
      <c r="BA1481" s="21" t="str">
        <f>IF($AL1481="","",$AL1481&amp;"|"&amp;COUNTIF($AL$11:$AL1481,$AL1481))</f>
        <v/>
      </c>
    </row>
    <row r="1482" spans="38:53" ht="15" customHeight="1" x14ac:dyDescent="0.25">
      <c r="AL1482" s="31"/>
      <c r="AM1482" s="26"/>
      <c r="AN1482" s="32"/>
      <c r="AO1482" s="32"/>
      <c r="AP1482" s="24"/>
      <c r="AQ1482" s="24"/>
      <c r="AR1482" s="33"/>
      <c r="AS1482" s="34"/>
      <c r="AT1482" s="33"/>
      <c r="AV1482" s="21">
        <f>IF(AND($AL1482&lt;&gt;"",COUNTIF($AL$11:$AL1482,$AL1482)=1),1,0)</f>
        <v>0</v>
      </c>
      <c r="AW1482" s="21">
        <f t="shared" si="131"/>
        <v>0</v>
      </c>
      <c r="AX1482" s="21" t="str">
        <f t="shared" si="130"/>
        <v/>
      </c>
      <c r="AY1482" s="21" t="str">
        <f>IF(AND($AM1482&lt;&gt;"",$AS1482&lt;&gt;"✓"),SUMPRODUCT(($AM$11:$AM1482&lt;&gt;"")*($AS$11:$AS1482&lt;&gt;"✓")),"")</f>
        <v/>
      </c>
      <c r="AZ1482" s="21" t="str">
        <f>IF(AND($AM1482&lt;&gt;"",$AS1482="✓"),SUMPRODUCT(($AM$11:$AM1482&lt;&gt;"")*($AS$11:$AS1482="✓")),"")</f>
        <v/>
      </c>
      <c r="BA1482" s="21" t="str">
        <f>IF($AL1482="","",$AL1482&amp;"|"&amp;COUNTIF($AL$11:$AL1482,$AL1482))</f>
        <v/>
      </c>
    </row>
    <row r="1483" spans="38:53" ht="15" customHeight="1" x14ac:dyDescent="0.25">
      <c r="AL1483" s="17"/>
      <c r="AM1483" s="12"/>
      <c r="AN1483" s="18"/>
      <c r="AO1483" s="18"/>
      <c r="AP1483" s="10"/>
      <c r="AQ1483" s="10"/>
      <c r="AR1483" s="19"/>
      <c r="AS1483" s="20"/>
      <c r="AT1483" s="19"/>
      <c r="AV1483" s="21">
        <f>IF(AND($AL1483&lt;&gt;"",COUNTIF($AL$11:$AL1483,$AL1483)=1),1,0)</f>
        <v>0</v>
      </c>
      <c r="AW1483" s="21">
        <f t="shared" si="131"/>
        <v>0</v>
      </c>
      <c r="AX1483" s="21" t="str">
        <f t="shared" ref="AX1483:AX1546" si="132">IF(AV1483=1,AW1483,"")</f>
        <v/>
      </c>
      <c r="AY1483" s="21" t="str">
        <f>IF(AND($AM1483&lt;&gt;"",$AS1483&lt;&gt;"✓"),SUMPRODUCT(($AM$11:$AM1483&lt;&gt;"")*($AS$11:$AS1483&lt;&gt;"✓")),"")</f>
        <v/>
      </c>
      <c r="AZ1483" s="21" t="str">
        <f>IF(AND($AM1483&lt;&gt;"",$AS1483="✓"),SUMPRODUCT(($AM$11:$AM1483&lt;&gt;"")*($AS$11:$AS1483="✓")),"")</f>
        <v/>
      </c>
      <c r="BA1483" s="21" t="str">
        <f>IF($AL1483="","",$AL1483&amp;"|"&amp;COUNTIF($AL$11:$AL1483,$AL1483))</f>
        <v/>
      </c>
    </row>
    <row r="1484" spans="38:53" ht="15" customHeight="1" x14ac:dyDescent="0.25">
      <c r="AL1484" s="31"/>
      <c r="AM1484" s="26"/>
      <c r="AN1484" s="32"/>
      <c r="AO1484" s="32"/>
      <c r="AP1484" s="24"/>
      <c r="AQ1484" s="24"/>
      <c r="AR1484" s="33"/>
      <c r="AS1484" s="34"/>
      <c r="AT1484" s="33"/>
      <c r="AV1484" s="21">
        <f>IF(AND($AL1484&lt;&gt;"",COUNTIF($AL$11:$AL1484,$AL1484)=1),1,0)</f>
        <v>0</v>
      </c>
      <c r="AW1484" s="21">
        <f t="shared" ref="AW1484:AW1547" si="133">AW1483+AV1484</f>
        <v>0</v>
      </c>
      <c r="AX1484" s="21" t="str">
        <f t="shared" si="132"/>
        <v/>
      </c>
      <c r="AY1484" s="21" t="str">
        <f>IF(AND($AM1484&lt;&gt;"",$AS1484&lt;&gt;"✓"),SUMPRODUCT(($AM$11:$AM1484&lt;&gt;"")*($AS$11:$AS1484&lt;&gt;"✓")),"")</f>
        <v/>
      </c>
      <c r="AZ1484" s="21" t="str">
        <f>IF(AND($AM1484&lt;&gt;"",$AS1484="✓"),SUMPRODUCT(($AM$11:$AM1484&lt;&gt;"")*($AS$11:$AS1484="✓")),"")</f>
        <v/>
      </c>
      <c r="BA1484" s="21" t="str">
        <f>IF($AL1484="","",$AL1484&amp;"|"&amp;COUNTIF($AL$11:$AL1484,$AL1484))</f>
        <v/>
      </c>
    </row>
    <row r="1485" spans="38:53" ht="15" customHeight="1" x14ac:dyDescent="0.25">
      <c r="AL1485" s="17"/>
      <c r="AM1485" s="12"/>
      <c r="AN1485" s="18"/>
      <c r="AO1485" s="18"/>
      <c r="AP1485" s="10"/>
      <c r="AQ1485" s="10"/>
      <c r="AR1485" s="19"/>
      <c r="AS1485" s="20"/>
      <c r="AT1485" s="19"/>
      <c r="AV1485" s="21">
        <f>IF(AND($AL1485&lt;&gt;"",COUNTIF($AL$11:$AL1485,$AL1485)=1),1,0)</f>
        <v>0</v>
      </c>
      <c r="AW1485" s="21">
        <f t="shared" si="133"/>
        <v>0</v>
      </c>
      <c r="AX1485" s="21" t="str">
        <f t="shared" si="132"/>
        <v/>
      </c>
      <c r="AY1485" s="21" t="str">
        <f>IF(AND($AM1485&lt;&gt;"",$AS1485&lt;&gt;"✓"),SUMPRODUCT(($AM$11:$AM1485&lt;&gt;"")*($AS$11:$AS1485&lt;&gt;"✓")),"")</f>
        <v/>
      </c>
      <c r="AZ1485" s="21" t="str">
        <f>IF(AND($AM1485&lt;&gt;"",$AS1485="✓"),SUMPRODUCT(($AM$11:$AM1485&lt;&gt;"")*($AS$11:$AS1485="✓")),"")</f>
        <v/>
      </c>
      <c r="BA1485" s="21" t="str">
        <f>IF($AL1485="","",$AL1485&amp;"|"&amp;COUNTIF($AL$11:$AL1485,$AL1485))</f>
        <v/>
      </c>
    </row>
    <row r="1486" spans="38:53" ht="15" customHeight="1" x14ac:dyDescent="0.25">
      <c r="AL1486" s="31"/>
      <c r="AM1486" s="26"/>
      <c r="AN1486" s="32"/>
      <c r="AO1486" s="32"/>
      <c r="AP1486" s="24"/>
      <c r="AQ1486" s="24"/>
      <c r="AR1486" s="33"/>
      <c r="AS1486" s="34"/>
      <c r="AT1486" s="33"/>
      <c r="AV1486" s="21">
        <f>IF(AND($AL1486&lt;&gt;"",COUNTIF($AL$11:$AL1486,$AL1486)=1),1,0)</f>
        <v>0</v>
      </c>
      <c r="AW1486" s="21">
        <f t="shared" si="133"/>
        <v>0</v>
      </c>
      <c r="AX1486" s="21" t="str">
        <f t="shared" si="132"/>
        <v/>
      </c>
      <c r="AY1486" s="21" t="str">
        <f>IF(AND($AM1486&lt;&gt;"",$AS1486&lt;&gt;"✓"),SUMPRODUCT(($AM$11:$AM1486&lt;&gt;"")*($AS$11:$AS1486&lt;&gt;"✓")),"")</f>
        <v/>
      </c>
      <c r="AZ1486" s="21" t="str">
        <f>IF(AND($AM1486&lt;&gt;"",$AS1486="✓"),SUMPRODUCT(($AM$11:$AM1486&lt;&gt;"")*($AS$11:$AS1486="✓")),"")</f>
        <v/>
      </c>
      <c r="BA1486" s="21" t="str">
        <f>IF($AL1486="","",$AL1486&amp;"|"&amp;COUNTIF($AL$11:$AL1486,$AL1486))</f>
        <v/>
      </c>
    </row>
    <row r="1487" spans="38:53" ht="15" customHeight="1" x14ac:dyDescent="0.25">
      <c r="AL1487" s="17"/>
      <c r="AM1487" s="12"/>
      <c r="AN1487" s="18"/>
      <c r="AO1487" s="18"/>
      <c r="AP1487" s="10"/>
      <c r="AQ1487" s="10"/>
      <c r="AR1487" s="19"/>
      <c r="AS1487" s="20"/>
      <c r="AT1487" s="19"/>
      <c r="AV1487" s="21">
        <f>IF(AND($AL1487&lt;&gt;"",COUNTIF($AL$11:$AL1487,$AL1487)=1),1,0)</f>
        <v>0</v>
      </c>
      <c r="AW1487" s="21">
        <f t="shared" si="133"/>
        <v>0</v>
      </c>
      <c r="AX1487" s="21" t="str">
        <f t="shared" si="132"/>
        <v/>
      </c>
      <c r="AY1487" s="21" t="str">
        <f>IF(AND($AM1487&lt;&gt;"",$AS1487&lt;&gt;"✓"),SUMPRODUCT(($AM$11:$AM1487&lt;&gt;"")*($AS$11:$AS1487&lt;&gt;"✓")),"")</f>
        <v/>
      </c>
      <c r="AZ1487" s="21" t="str">
        <f>IF(AND($AM1487&lt;&gt;"",$AS1487="✓"),SUMPRODUCT(($AM$11:$AM1487&lt;&gt;"")*($AS$11:$AS1487="✓")),"")</f>
        <v/>
      </c>
      <c r="BA1487" s="21" t="str">
        <f>IF($AL1487="","",$AL1487&amp;"|"&amp;COUNTIF($AL$11:$AL1487,$AL1487))</f>
        <v/>
      </c>
    </row>
    <row r="1488" spans="38:53" ht="15" customHeight="1" x14ac:dyDescent="0.25">
      <c r="AL1488" s="31"/>
      <c r="AM1488" s="26"/>
      <c r="AN1488" s="32"/>
      <c r="AO1488" s="32"/>
      <c r="AP1488" s="24"/>
      <c r="AQ1488" s="24"/>
      <c r="AR1488" s="33"/>
      <c r="AS1488" s="34"/>
      <c r="AT1488" s="33"/>
      <c r="AV1488" s="21">
        <f>IF(AND($AL1488&lt;&gt;"",COUNTIF($AL$11:$AL1488,$AL1488)=1),1,0)</f>
        <v>0</v>
      </c>
      <c r="AW1488" s="21">
        <f t="shared" si="133"/>
        <v>0</v>
      </c>
      <c r="AX1488" s="21" t="str">
        <f t="shared" si="132"/>
        <v/>
      </c>
      <c r="AY1488" s="21" t="str">
        <f>IF(AND($AM1488&lt;&gt;"",$AS1488&lt;&gt;"✓"),SUMPRODUCT(($AM$11:$AM1488&lt;&gt;"")*($AS$11:$AS1488&lt;&gt;"✓")),"")</f>
        <v/>
      </c>
      <c r="AZ1488" s="21" t="str">
        <f>IF(AND($AM1488&lt;&gt;"",$AS1488="✓"),SUMPRODUCT(($AM$11:$AM1488&lt;&gt;"")*($AS$11:$AS1488="✓")),"")</f>
        <v/>
      </c>
      <c r="BA1488" s="21" t="str">
        <f>IF($AL1488="","",$AL1488&amp;"|"&amp;COUNTIF($AL$11:$AL1488,$AL1488))</f>
        <v/>
      </c>
    </row>
    <row r="1489" spans="38:53" ht="15" customHeight="1" x14ac:dyDescent="0.25">
      <c r="AL1489" s="17"/>
      <c r="AM1489" s="12"/>
      <c r="AN1489" s="18"/>
      <c r="AO1489" s="18"/>
      <c r="AP1489" s="10"/>
      <c r="AQ1489" s="10"/>
      <c r="AR1489" s="19"/>
      <c r="AS1489" s="20"/>
      <c r="AT1489" s="19"/>
      <c r="AV1489" s="21">
        <f>IF(AND($AL1489&lt;&gt;"",COUNTIF($AL$11:$AL1489,$AL1489)=1),1,0)</f>
        <v>0</v>
      </c>
      <c r="AW1489" s="21">
        <f t="shared" si="133"/>
        <v>0</v>
      </c>
      <c r="AX1489" s="21" t="str">
        <f t="shared" si="132"/>
        <v/>
      </c>
      <c r="AY1489" s="21" t="str">
        <f>IF(AND($AM1489&lt;&gt;"",$AS1489&lt;&gt;"✓"),SUMPRODUCT(($AM$11:$AM1489&lt;&gt;"")*($AS$11:$AS1489&lt;&gt;"✓")),"")</f>
        <v/>
      </c>
      <c r="AZ1489" s="21" t="str">
        <f>IF(AND($AM1489&lt;&gt;"",$AS1489="✓"),SUMPRODUCT(($AM$11:$AM1489&lt;&gt;"")*($AS$11:$AS1489="✓")),"")</f>
        <v/>
      </c>
      <c r="BA1489" s="21" t="str">
        <f>IF($AL1489="","",$AL1489&amp;"|"&amp;COUNTIF($AL$11:$AL1489,$AL1489))</f>
        <v/>
      </c>
    </row>
    <row r="1490" spans="38:53" ht="15" customHeight="1" x14ac:dyDescent="0.25">
      <c r="AL1490" s="31"/>
      <c r="AM1490" s="26"/>
      <c r="AN1490" s="32"/>
      <c r="AO1490" s="32"/>
      <c r="AP1490" s="24"/>
      <c r="AQ1490" s="24"/>
      <c r="AR1490" s="33"/>
      <c r="AS1490" s="34"/>
      <c r="AT1490" s="33"/>
      <c r="AV1490" s="21">
        <f>IF(AND($AL1490&lt;&gt;"",COUNTIF($AL$11:$AL1490,$AL1490)=1),1,0)</f>
        <v>0</v>
      </c>
      <c r="AW1490" s="21">
        <f t="shared" si="133"/>
        <v>0</v>
      </c>
      <c r="AX1490" s="21" t="str">
        <f t="shared" si="132"/>
        <v/>
      </c>
      <c r="AY1490" s="21" t="str">
        <f>IF(AND($AM1490&lt;&gt;"",$AS1490&lt;&gt;"✓"),SUMPRODUCT(($AM$11:$AM1490&lt;&gt;"")*($AS$11:$AS1490&lt;&gt;"✓")),"")</f>
        <v/>
      </c>
      <c r="AZ1490" s="21" t="str">
        <f>IF(AND($AM1490&lt;&gt;"",$AS1490="✓"),SUMPRODUCT(($AM$11:$AM1490&lt;&gt;"")*($AS$11:$AS1490="✓")),"")</f>
        <v/>
      </c>
      <c r="BA1490" s="21" t="str">
        <f>IF($AL1490="","",$AL1490&amp;"|"&amp;COUNTIF($AL$11:$AL1490,$AL1490))</f>
        <v/>
      </c>
    </row>
    <row r="1491" spans="38:53" ht="15" customHeight="1" x14ac:dyDescent="0.25">
      <c r="AL1491" s="17"/>
      <c r="AM1491" s="12"/>
      <c r="AN1491" s="18"/>
      <c r="AO1491" s="18"/>
      <c r="AP1491" s="10"/>
      <c r="AQ1491" s="10"/>
      <c r="AR1491" s="19"/>
      <c r="AS1491" s="20"/>
      <c r="AT1491" s="19"/>
      <c r="AV1491" s="21">
        <f>IF(AND($AL1491&lt;&gt;"",COUNTIF($AL$11:$AL1491,$AL1491)=1),1,0)</f>
        <v>0</v>
      </c>
      <c r="AW1491" s="21">
        <f t="shared" si="133"/>
        <v>0</v>
      </c>
      <c r="AX1491" s="21" t="str">
        <f t="shared" si="132"/>
        <v/>
      </c>
      <c r="AY1491" s="21" t="str">
        <f>IF(AND($AM1491&lt;&gt;"",$AS1491&lt;&gt;"✓"),SUMPRODUCT(($AM$11:$AM1491&lt;&gt;"")*($AS$11:$AS1491&lt;&gt;"✓")),"")</f>
        <v/>
      </c>
      <c r="AZ1491" s="21" t="str">
        <f>IF(AND($AM1491&lt;&gt;"",$AS1491="✓"),SUMPRODUCT(($AM$11:$AM1491&lt;&gt;"")*($AS$11:$AS1491="✓")),"")</f>
        <v/>
      </c>
      <c r="BA1491" s="21" t="str">
        <f>IF($AL1491="","",$AL1491&amp;"|"&amp;COUNTIF($AL$11:$AL1491,$AL1491))</f>
        <v/>
      </c>
    </row>
    <row r="1492" spans="38:53" ht="15" customHeight="1" x14ac:dyDescent="0.25">
      <c r="AL1492" s="31"/>
      <c r="AM1492" s="26"/>
      <c r="AN1492" s="32"/>
      <c r="AO1492" s="32"/>
      <c r="AP1492" s="24"/>
      <c r="AQ1492" s="24"/>
      <c r="AR1492" s="33"/>
      <c r="AS1492" s="34"/>
      <c r="AT1492" s="33"/>
      <c r="AV1492" s="21">
        <f>IF(AND($AL1492&lt;&gt;"",COUNTIF($AL$11:$AL1492,$AL1492)=1),1,0)</f>
        <v>0</v>
      </c>
      <c r="AW1492" s="21">
        <f t="shared" si="133"/>
        <v>0</v>
      </c>
      <c r="AX1492" s="21" t="str">
        <f t="shared" si="132"/>
        <v/>
      </c>
      <c r="AY1492" s="21" t="str">
        <f>IF(AND($AM1492&lt;&gt;"",$AS1492&lt;&gt;"✓"),SUMPRODUCT(($AM$11:$AM1492&lt;&gt;"")*($AS$11:$AS1492&lt;&gt;"✓")),"")</f>
        <v/>
      </c>
      <c r="AZ1492" s="21" t="str">
        <f>IF(AND($AM1492&lt;&gt;"",$AS1492="✓"),SUMPRODUCT(($AM$11:$AM1492&lt;&gt;"")*($AS$11:$AS1492="✓")),"")</f>
        <v/>
      </c>
      <c r="BA1492" s="21" t="str">
        <f>IF($AL1492="","",$AL1492&amp;"|"&amp;COUNTIF($AL$11:$AL1492,$AL1492))</f>
        <v/>
      </c>
    </row>
    <row r="1493" spans="38:53" ht="15" customHeight="1" x14ac:dyDescent="0.25">
      <c r="AL1493" s="17"/>
      <c r="AM1493" s="12"/>
      <c r="AN1493" s="18"/>
      <c r="AO1493" s="18"/>
      <c r="AP1493" s="10"/>
      <c r="AQ1493" s="10"/>
      <c r="AR1493" s="19"/>
      <c r="AS1493" s="20"/>
      <c r="AT1493" s="19"/>
      <c r="AV1493" s="21">
        <f>IF(AND($AL1493&lt;&gt;"",COUNTIF($AL$11:$AL1493,$AL1493)=1),1,0)</f>
        <v>0</v>
      </c>
      <c r="AW1493" s="21">
        <f t="shared" si="133"/>
        <v>0</v>
      </c>
      <c r="AX1493" s="21" t="str">
        <f t="shared" si="132"/>
        <v/>
      </c>
      <c r="AY1493" s="21" t="str">
        <f>IF(AND($AM1493&lt;&gt;"",$AS1493&lt;&gt;"✓"),SUMPRODUCT(($AM$11:$AM1493&lt;&gt;"")*($AS$11:$AS1493&lt;&gt;"✓")),"")</f>
        <v/>
      </c>
      <c r="AZ1493" s="21" t="str">
        <f>IF(AND($AM1493&lt;&gt;"",$AS1493="✓"),SUMPRODUCT(($AM$11:$AM1493&lt;&gt;"")*($AS$11:$AS1493="✓")),"")</f>
        <v/>
      </c>
      <c r="BA1493" s="21" t="str">
        <f>IF($AL1493="","",$AL1493&amp;"|"&amp;COUNTIF($AL$11:$AL1493,$AL1493))</f>
        <v/>
      </c>
    </row>
    <row r="1494" spans="38:53" ht="15" customHeight="1" x14ac:dyDescent="0.25">
      <c r="AL1494" s="31"/>
      <c r="AM1494" s="26"/>
      <c r="AN1494" s="32"/>
      <c r="AO1494" s="32"/>
      <c r="AP1494" s="24"/>
      <c r="AQ1494" s="24"/>
      <c r="AR1494" s="33"/>
      <c r="AS1494" s="34"/>
      <c r="AT1494" s="33"/>
      <c r="AV1494" s="21">
        <f>IF(AND($AL1494&lt;&gt;"",COUNTIF($AL$11:$AL1494,$AL1494)=1),1,0)</f>
        <v>0</v>
      </c>
      <c r="AW1494" s="21">
        <f t="shared" si="133"/>
        <v>0</v>
      </c>
      <c r="AX1494" s="21" t="str">
        <f t="shared" si="132"/>
        <v/>
      </c>
      <c r="AY1494" s="21" t="str">
        <f>IF(AND($AM1494&lt;&gt;"",$AS1494&lt;&gt;"✓"),SUMPRODUCT(($AM$11:$AM1494&lt;&gt;"")*($AS$11:$AS1494&lt;&gt;"✓")),"")</f>
        <v/>
      </c>
      <c r="AZ1494" s="21" t="str">
        <f>IF(AND($AM1494&lt;&gt;"",$AS1494="✓"),SUMPRODUCT(($AM$11:$AM1494&lt;&gt;"")*($AS$11:$AS1494="✓")),"")</f>
        <v/>
      </c>
      <c r="BA1494" s="21" t="str">
        <f>IF($AL1494="","",$AL1494&amp;"|"&amp;COUNTIF($AL$11:$AL1494,$AL1494))</f>
        <v/>
      </c>
    </row>
    <row r="1495" spans="38:53" ht="15" customHeight="1" x14ac:dyDescent="0.25">
      <c r="AL1495" s="17"/>
      <c r="AM1495" s="12"/>
      <c r="AN1495" s="18"/>
      <c r="AO1495" s="18"/>
      <c r="AP1495" s="10"/>
      <c r="AQ1495" s="10"/>
      <c r="AR1495" s="19"/>
      <c r="AS1495" s="20"/>
      <c r="AT1495" s="19"/>
      <c r="AV1495" s="21">
        <f>IF(AND($AL1495&lt;&gt;"",COUNTIF($AL$11:$AL1495,$AL1495)=1),1,0)</f>
        <v>0</v>
      </c>
      <c r="AW1495" s="21">
        <f t="shared" si="133"/>
        <v>0</v>
      </c>
      <c r="AX1495" s="21" t="str">
        <f t="shared" si="132"/>
        <v/>
      </c>
      <c r="AY1495" s="21" t="str">
        <f>IF(AND($AM1495&lt;&gt;"",$AS1495&lt;&gt;"✓"),SUMPRODUCT(($AM$11:$AM1495&lt;&gt;"")*($AS$11:$AS1495&lt;&gt;"✓")),"")</f>
        <v/>
      </c>
      <c r="AZ1495" s="21" t="str">
        <f>IF(AND($AM1495&lt;&gt;"",$AS1495="✓"),SUMPRODUCT(($AM$11:$AM1495&lt;&gt;"")*($AS$11:$AS1495="✓")),"")</f>
        <v/>
      </c>
      <c r="BA1495" s="21" t="str">
        <f>IF($AL1495="","",$AL1495&amp;"|"&amp;COUNTIF($AL$11:$AL1495,$AL1495))</f>
        <v/>
      </c>
    </row>
    <row r="1496" spans="38:53" ht="15" customHeight="1" x14ac:dyDescent="0.25">
      <c r="AL1496" s="31"/>
      <c r="AM1496" s="26"/>
      <c r="AN1496" s="32"/>
      <c r="AO1496" s="32"/>
      <c r="AP1496" s="24"/>
      <c r="AQ1496" s="24"/>
      <c r="AR1496" s="33"/>
      <c r="AS1496" s="34"/>
      <c r="AT1496" s="33"/>
      <c r="AV1496" s="21">
        <f>IF(AND($AL1496&lt;&gt;"",COUNTIF($AL$11:$AL1496,$AL1496)=1),1,0)</f>
        <v>0</v>
      </c>
      <c r="AW1496" s="21">
        <f t="shared" si="133"/>
        <v>0</v>
      </c>
      <c r="AX1496" s="21" t="str">
        <f t="shared" si="132"/>
        <v/>
      </c>
      <c r="AY1496" s="21" t="str">
        <f>IF(AND($AM1496&lt;&gt;"",$AS1496&lt;&gt;"✓"),SUMPRODUCT(($AM$11:$AM1496&lt;&gt;"")*($AS$11:$AS1496&lt;&gt;"✓")),"")</f>
        <v/>
      </c>
      <c r="AZ1496" s="21" t="str">
        <f>IF(AND($AM1496&lt;&gt;"",$AS1496="✓"),SUMPRODUCT(($AM$11:$AM1496&lt;&gt;"")*($AS$11:$AS1496="✓")),"")</f>
        <v/>
      </c>
      <c r="BA1496" s="21" t="str">
        <f>IF($AL1496="","",$AL1496&amp;"|"&amp;COUNTIF($AL$11:$AL1496,$AL1496))</f>
        <v/>
      </c>
    </row>
    <row r="1497" spans="38:53" ht="15" customHeight="1" x14ac:dyDescent="0.25">
      <c r="AL1497" s="17"/>
      <c r="AM1497" s="12"/>
      <c r="AN1497" s="18"/>
      <c r="AO1497" s="18"/>
      <c r="AP1497" s="10"/>
      <c r="AQ1497" s="10"/>
      <c r="AR1497" s="19"/>
      <c r="AS1497" s="20"/>
      <c r="AT1497" s="19"/>
      <c r="AV1497" s="21">
        <f>IF(AND($AL1497&lt;&gt;"",COUNTIF($AL$11:$AL1497,$AL1497)=1),1,0)</f>
        <v>0</v>
      </c>
      <c r="AW1497" s="21">
        <f t="shared" si="133"/>
        <v>0</v>
      </c>
      <c r="AX1497" s="21" t="str">
        <f t="shared" si="132"/>
        <v/>
      </c>
      <c r="AY1497" s="21" t="str">
        <f>IF(AND($AM1497&lt;&gt;"",$AS1497&lt;&gt;"✓"),SUMPRODUCT(($AM$11:$AM1497&lt;&gt;"")*($AS$11:$AS1497&lt;&gt;"✓")),"")</f>
        <v/>
      </c>
      <c r="AZ1497" s="21" t="str">
        <f>IF(AND($AM1497&lt;&gt;"",$AS1497="✓"),SUMPRODUCT(($AM$11:$AM1497&lt;&gt;"")*($AS$11:$AS1497="✓")),"")</f>
        <v/>
      </c>
      <c r="BA1497" s="21" t="str">
        <f>IF($AL1497="","",$AL1497&amp;"|"&amp;COUNTIF($AL$11:$AL1497,$AL1497))</f>
        <v/>
      </c>
    </row>
    <row r="1498" spans="38:53" ht="15" customHeight="1" x14ac:dyDescent="0.25">
      <c r="AL1498" s="31"/>
      <c r="AM1498" s="26"/>
      <c r="AN1498" s="32"/>
      <c r="AO1498" s="32"/>
      <c r="AP1498" s="24"/>
      <c r="AQ1498" s="24"/>
      <c r="AR1498" s="33"/>
      <c r="AS1498" s="34"/>
      <c r="AT1498" s="33"/>
      <c r="AV1498" s="21">
        <f>IF(AND($AL1498&lt;&gt;"",COUNTIF($AL$11:$AL1498,$AL1498)=1),1,0)</f>
        <v>0</v>
      </c>
      <c r="AW1498" s="21">
        <f t="shared" si="133"/>
        <v>0</v>
      </c>
      <c r="AX1498" s="21" t="str">
        <f t="shared" si="132"/>
        <v/>
      </c>
      <c r="AY1498" s="21" t="str">
        <f>IF(AND($AM1498&lt;&gt;"",$AS1498&lt;&gt;"✓"),SUMPRODUCT(($AM$11:$AM1498&lt;&gt;"")*($AS$11:$AS1498&lt;&gt;"✓")),"")</f>
        <v/>
      </c>
      <c r="AZ1498" s="21" t="str">
        <f>IF(AND($AM1498&lt;&gt;"",$AS1498="✓"),SUMPRODUCT(($AM$11:$AM1498&lt;&gt;"")*($AS$11:$AS1498="✓")),"")</f>
        <v/>
      </c>
      <c r="BA1498" s="21" t="str">
        <f>IF($AL1498="","",$AL1498&amp;"|"&amp;COUNTIF($AL$11:$AL1498,$AL1498))</f>
        <v/>
      </c>
    </row>
    <row r="1499" spans="38:53" ht="15" customHeight="1" x14ac:dyDescent="0.25">
      <c r="AL1499" s="17"/>
      <c r="AM1499" s="12"/>
      <c r="AN1499" s="18"/>
      <c r="AO1499" s="18"/>
      <c r="AP1499" s="10"/>
      <c r="AQ1499" s="10"/>
      <c r="AR1499" s="19"/>
      <c r="AS1499" s="20"/>
      <c r="AT1499" s="19"/>
      <c r="AV1499" s="21">
        <f>IF(AND($AL1499&lt;&gt;"",COUNTIF($AL$11:$AL1499,$AL1499)=1),1,0)</f>
        <v>0</v>
      </c>
      <c r="AW1499" s="21">
        <f t="shared" si="133"/>
        <v>0</v>
      </c>
      <c r="AX1499" s="21" t="str">
        <f t="shared" si="132"/>
        <v/>
      </c>
      <c r="AY1499" s="21" t="str">
        <f>IF(AND($AM1499&lt;&gt;"",$AS1499&lt;&gt;"✓"),SUMPRODUCT(($AM$11:$AM1499&lt;&gt;"")*($AS$11:$AS1499&lt;&gt;"✓")),"")</f>
        <v/>
      </c>
      <c r="AZ1499" s="21" t="str">
        <f>IF(AND($AM1499&lt;&gt;"",$AS1499="✓"),SUMPRODUCT(($AM$11:$AM1499&lt;&gt;"")*($AS$11:$AS1499="✓")),"")</f>
        <v/>
      </c>
      <c r="BA1499" s="21" t="str">
        <f>IF($AL1499="","",$AL1499&amp;"|"&amp;COUNTIF($AL$11:$AL1499,$AL1499))</f>
        <v/>
      </c>
    </row>
    <row r="1500" spans="38:53" ht="15" customHeight="1" x14ac:dyDescent="0.25">
      <c r="AL1500" s="31"/>
      <c r="AM1500" s="26"/>
      <c r="AN1500" s="32"/>
      <c r="AO1500" s="32"/>
      <c r="AP1500" s="24"/>
      <c r="AQ1500" s="24"/>
      <c r="AR1500" s="33"/>
      <c r="AS1500" s="34"/>
      <c r="AT1500" s="33"/>
      <c r="AV1500" s="21">
        <f>IF(AND($AL1500&lt;&gt;"",COUNTIF($AL$11:$AL1500,$AL1500)=1),1,0)</f>
        <v>0</v>
      </c>
      <c r="AW1500" s="21">
        <f t="shared" si="133"/>
        <v>0</v>
      </c>
      <c r="AX1500" s="21" t="str">
        <f t="shared" si="132"/>
        <v/>
      </c>
      <c r="AY1500" s="21" t="str">
        <f>IF(AND($AM1500&lt;&gt;"",$AS1500&lt;&gt;"✓"),SUMPRODUCT(($AM$11:$AM1500&lt;&gt;"")*($AS$11:$AS1500&lt;&gt;"✓")),"")</f>
        <v/>
      </c>
      <c r="AZ1500" s="21" t="str">
        <f>IF(AND($AM1500&lt;&gt;"",$AS1500="✓"),SUMPRODUCT(($AM$11:$AM1500&lt;&gt;"")*($AS$11:$AS1500="✓")),"")</f>
        <v/>
      </c>
      <c r="BA1500" s="21" t="str">
        <f>IF($AL1500="","",$AL1500&amp;"|"&amp;COUNTIF($AL$11:$AL1500,$AL1500))</f>
        <v/>
      </c>
    </row>
    <row r="1501" spans="38:53" ht="15" customHeight="1" x14ac:dyDescent="0.25">
      <c r="AL1501" s="17"/>
      <c r="AM1501" s="12"/>
      <c r="AN1501" s="18"/>
      <c r="AO1501" s="18"/>
      <c r="AP1501" s="10"/>
      <c r="AQ1501" s="10"/>
      <c r="AR1501" s="19"/>
      <c r="AS1501" s="20"/>
      <c r="AT1501" s="19"/>
      <c r="AV1501" s="21">
        <f>IF(AND($AL1501&lt;&gt;"",COUNTIF($AL$11:$AL1501,$AL1501)=1),1,0)</f>
        <v>0</v>
      </c>
      <c r="AW1501" s="21">
        <f t="shared" si="133"/>
        <v>0</v>
      </c>
      <c r="AX1501" s="21" t="str">
        <f t="shared" si="132"/>
        <v/>
      </c>
      <c r="AY1501" s="21" t="str">
        <f>IF(AND($AM1501&lt;&gt;"",$AS1501&lt;&gt;"✓"),SUMPRODUCT(($AM$11:$AM1501&lt;&gt;"")*($AS$11:$AS1501&lt;&gt;"✓")),"")</f>
        <v/>
      </c>
      <c r="AZ1501" s="21" t="str">
        <f>IF(AND($AM1501&lt;&gt;"",$AS1501="✓"),SUMPRODUCT(($AM$11:$AM1501&lt;&gt;"")*($AS$11:$AS1501="✓")),"")</f>
        <v/>
      </c>
      <c r="BA1501" s="21" t="str">
        <f>IF($AL1501="","",$AL1501&amp;"|"&amp;COUNTIF($AL$11:$AL1501,$AL1501))</f>
        <v/>
      </c>
    </row>
    <row r="1502" spans="38:53" ht="15" customHeight="1" x14ac:dyDescent="0.25">
      <c r="AL1502" s="31"/>
      <c r="AM1502" s="26"/>
      <c r="AN1502" s="32"/>
      <c r="AO1502" s="32"/>
      <c r="AP1502" s="24"/>
      <c r="AQ1502" s="24"/>
      <c r="AR1502" s="33"/>
      <c r="AS1502" s="34"/>
      <c r="AT1502" s="33"/>
      <c r="AV1502" s="21">
        <f>IF(AND($AL1502&lt;&gt;"",COUNTIF($AL$11:$AL1502,$AL1502)=1),1,0)</f>
        <v>0</v>
      </c>
      <c r="AW1502" s="21">
        <f t="shared" si="133"/>
        <v>0</v>
      </c>
      <c r="AX1502" s="21" t="str">
        <f t="shared" si="132"/>
        <v/>
      </c>
      <c r="AY1502" s="21" t="str">
        <f>IF(AND($AM1502&lt;&gt;"",$AS1502&lt;&gt;"✓"),SUMPRODUCT(($AM$11:$AM1502&lt;&gt;"")*($AS$11:$AS1502&lt;&gt;"✓")),"")</f>
        <v/>
      </c>
      <c r="AZ1502" s="21" t="str">
        <f>IF(AND($AM1502&lt;&gt;"",$AS1502="✓"),SUMPRODUCT(($AM$11:$AM1502&lt;&gt;"")*($AS$11:$AS1502="✓")),"")</f>
        <v/>
      </c>
      <c r="BA1502" s="21" t="str">
        <f>IF($AL1502="","",$AL1502&amp;"|"&amp;COUNTIF($AL$11:$AL1502,$AL1502))</f>
        <v/>
      </c>
    </row>
    <row r="1503" spans="38:53" ht="15" customHeight="1" x14ac:dyDescent="0.25">
      <c r="AL1503" s="17"/>
      <c r="AM1503" s="12"/>
      <c r="AN1503" s="18"/>
      <c r="AO1503" s="18"/>
      <c r="AP1503" s="10"/>
      <c r="AQ1503" s="10"/>
      <c r="AR1503" s="19"/>
      <c r="AS1503" s="20"/>
      <c r="AT1503" s="19"/>
      <c r="AV1503" s="21">
        <f>IF(AND($AL1503&lt;&gt;"",COUNTIF($AL$11:$AL1503,$AL1503)=1),1,0)</f>
        <v>0</v>
      </c>
      <c r="AW1503" s="21">
        <f t="shared" si="133"/>
        <v>0</v>
      </c>
      <c r="AX1503" s="21" t="str">
        <f t="shared" si="132"/>
        <v/>
      </c>
      <c r="AY1503" s="21" t="str">
        <f>IF(AND($AM1503&lt;&gt;"",$AS1503&lt;&gt;"✓"),SUMPRODUCT(($AM$11:$AM1503&lt;&gt;"")*($AS$11:$AS1503&lt;&gt;"✓")),"")</f>
        <v/>
      </c>
      <c r="AZ1503" s="21" t="str">
        <f>IF(AND($AM1503&lt;&gt;"",$AS1503="✓"),SUMPRODUCT(($AM$11:$AM1503&lt;&gt;"")*($AS$11:$AS1503="✓")),"")</f>
        <v/>
      </c>
      <c r="BA1503" s="21" t="str">
        <f>IF($AL1503="","",$AL1503&amp;"|"&amp;COUNTIF($AL$11:$AL1503,$AL1503))</f>
        <v/>
      </c>
    </row>
    <row r="1504" spans="38:53" ht="15" customHeight="1" x14ac:dyDescent="0.25">
      <c r="AL1504" s="31"/>
      <c r="AM1504" s="26"/>
      <c r="AN1504" s="32"/>
      <c r="AO1504" s="32"/>
      <c r="AP1504" s="24"/>
      <c r="AQ1504" s="24"/>
      <c r="AR1504" s="33"/>
      <c r="AS1504" s="34"/>
      <c r="AT1504" s="33"/>
      <c r="AV1504" s="21">
        <f>IF(AND($AL1504&lt;&gt;"",COUNTIF($AL$11:$AL1504,$AL1504)=1),1,0)</f>
        <v>0</v>
      </c>
      <c r="AW1504" s="21">
        <f t="shared" si="133"/>
        <v>0</v>
      </c>
      <c r="AX1504" s="21" t="str">
        <f t="shared" si="132"/>
        <v/>
      </c>
      <c r="AY1504" s="21" t="str">
        <f>IF(AND($AM1504&lt;&gt;"",$AS1504&lt;&gt;"✓"),SUMPRODUCT(($AM$11:$AM1504&lt;&gt;"")*($AS$11:$AS1504&lt;&gt;"✓")),"")</f>
        <v/>
      </c>
      <c r="AZ1504" s="21" t="str">
        <f>IF(AND($AM1504&lt;&gt;"",$AS1504="✓"),SUMPRODUCT(($AM$11:$AM1504&lt;&gt;"")*($AS$11:$AS1504="✓")),"")</f>
        <v/>
      </c>
      <c r="BA1504" s="21" t="str">
        <f>IF($AL1504="","",$AL1504&amp;"|"&amp;COUNTIF($AL$11:$AL1504,$AL1504))</f>
        <v/>
      </c>
    </row>
    <row r="1505" spans="38:53" ht="15" customHeight="1" x14ac:dyDescent="0.25">
      <c r="AL1505" s="17"/>
      <c r="AM1505" s="12"/>
      <c r="AN1505" s="18"/>
      <c r="AO1505" s="18"/>
      <c r="AP1505" s="10"/>
      <c r="AQ1505" s="10"/>
      <c r="AR1505" s="19"/>
      <c r="AS1505" s="20"/>
      <c r="AT1505" s="19"/>
      <c r="AV1505" s="21">
        <f>IF(AND($AL1505&lt;&gt;"",COUNTIF($AL$11:$AL1505,$AL1505)=1),1,0)</f>
        <v>0</v>
      </c>
      <c r="AW1505" s="21">
        <f t="shared" si="133"/>
        <v>0</v>
      </c>
      <c r="AX1505" s="21" t="str">
        <f t="shared" si="132"/>
        <v/>
      </c>
      <c r="AY1505" s="21" t="str">
        <f>IF(AND($AM1505&lt;&gt;"",$AS1505&lt;&gt;"✓"),SUMPRODUCT(($AM$11:$AM1505&lt;&gt;"")*($AS$11:$AS1505&lt;&gt;"✓")),"")</f>
        <v/>
      </c>
      <c r="AZ1505" s="21" t="str">
        <f>IF(AND($AM1505&lt;&gt;"",$AS1505="✓"),SUMPRODUCT(($AM$11:$AM1505&lt;&gt;"")*($AS$11:$AS1505="✓")),"")</f>
        <v/>
      </c>
      <c r="BA1505" s="21" t="str">
        <f>IF($AL1505="","",$AL1505&amp;"|"&amp;COUNTIF($AL$11:$AL1505,$AL1505))</f>
        <v/>
      </c>
    </row>
    <row r="1506" spans="38:53" ht="15" customHeight="1" x14ac:dyDescent="0.25">
      <c r="AL1506" s="31"/>
      <c r="AM1506" s="26"/>
      <c r="AN1506" s="32"/>
      <c r="AO1506" s="32"/>
      <c r="AP1506" s="24"/>
      <c r="AQ1506" s="24"/>
      <c r="AR1506" s="33"/>
      <c r="AS1506" s="34"/>
      <c r="AT1506" s="33"/>
      <c r="AV1506" s="21">
        <f>IF(AND($AL1506&lt;&gt;"",COUNTIF($AL$11:$AL1506,$AL1506)=1),1,0)</f>
        <v>0</v>
      </c>
      <c r="AW1506" s="21">
        <f t="shared" si="133"/>
        <v>0</v>
      </c>
      <c r="AX1506" s="21" t="str">
        <f t="shared" si="132"/>
        <v/>
      </c>
      <c r="AY1506" s="21" t="str">
        <f>IF(AND($AM1506&lt;&gt;"",$AS1506&lt;&gt;"✓"),SUMPRODUCT(($AM$11:$AM1506&lt;&gt;"")*($AS$11:$AS1506&lt;&gt;"✓")),"")</f>
        <v/>
      </c>
      <c r="AZ1506" s="21" t="str">
        <f>IF(AND($AM1506&lt;&gt;"",$AS1506="✓"),SUMPRODUCT(($AM$11:$AM1506&lt;&gt;"")*($AS$11:$AS1506="✓")),"")</f>
        <v/>
      </c>
      <c r="BA1506" s="21" t="str">
        <f>IF($AL1506="","",$AL1506&amp;"|"&amp;COUNTIF($AL$11:$AL1506,$AL1506))</f>
        <v/>
      </c>
    </row>
    <row r="1507" spans="38:53" ht="15" customHeight="1" x14ac:dyDescent="0.25">
      <c r="AL1507" s="17"/>
      <c r="AM1507" s="12"/>
      <c r="AN1507" s="18"/>
      <c r="AO1507" s="18"/>
      <c r="AP1507" s="10"/>
      <c r="AQ1507" s="10"/>
      <c r="AR1507" s="19"/>
      <c r="AS1507" s="20"/>
      <c r="AT1507" s="19"/>
      <c r="AV1507" s="21">
        <f>IF(AND($AL1507&lt;&gt;"",COUNTIF($AL$11:$AL1507,$AL1507)=1),1,0)</f>
        <v>0</v>
      </c>
      <c r="AW1507" s="21">
        <f t="shared" si="133"/>
        <v>0</v>
      </c>
      <c r="AX1507" s="21" t="str">
        <f t="shared" si="132"/>
        <v/>
      </c>
      <c r="AY1507" s="21" t="str">
        <f>IF(AND($AM1507&lt;&gt;"",$AS1507&lt;&gt;"✓"),SUMPRODUCT(($AM$11:$AM1507&lt;&gt;"")*($AS$11:$AS1507&lt;&gt;"✓")),"")</f>
        <v/>
      </c>
      <c r="AZ1507" s="21" t="str">
        <f>IF(AND($AM1507&lt;&gt;"",$AS1507="✓"),SUMPRODUCT(($AM$11:$AM1507&lt;&gt;"")*($AS$11:$AS1507="✓")),"")</f>
        <v/>
      </c>
      <c r="BA1507" s="21" t="str">
        <f>IF($AL1507="","",$AL1507&amp;"|"&amp;COUNTIF($AL$11:$AL1507,$AL1507))</f>
        <v/>
      </c>
    </row>
    <row r="1508" spans="38:53" ht="15" customHeight="1" x14ac:dyDescent="0.25">
      <c r="AL1508" s="31"/>
      <c r="AM1508" s="26"/>
      <c r="AN1508" s="32"/>
      <c r="AO1508" s="32"/>
      <c r="AP1508" s="24"/>
      <c r="AQ1508" s="24"/>
      <c r="AR1508" s="33"/>
      <c r="AS1508" s="34"/>
      <c r="AT1508" s="33"/>
      <c r="AV1508" s="21">
        <f>IF(AND($AL1508&lt;&gt;"",COUNTIF($AL$11:$AL1508,$AL1508)=1),1,0)</f>
        <v>0</v>
      </c>
      <c r="AW1508" s="21">
        <f t="shared" si="133"/>
        <v>0</v>
      </c>
      <c r="AX1508" s="21" t="str">
        <f t="shared" si="132"/>
        <v/>
      </c>
      <c r="AY1508" s="21" t="str">
        <f>IF(AND($AM1508&lt;&gt;"",$AS1508&lt;&gt;"✓"),SUMPRODUCT(($AM$11:$AM1508&lt;&gt;"")*($AS$11:$AS1508&lt;&gt;"✓")),"")</f>
        <v/>
      </c>
      <c r="AZ1508" s="21" t="str">
        <f>IF(AND($AM1508&lt;&gt;"",$AS1508="✓"),SUMPRODUCT(($AM$11:$AM1508&lt;&gt;"")*($AS$11:$AS1508="✓")),"")</f>
        <v/>
      </c>
      <c r="BA1508" s="21" t="str">
        <f>IF($AL1508="","",$AL1508&amp;"|"&amp;COUNTIF($AL$11:$AL1508,$AL1508))</f>
        <v/>
      </c>
    </row>
    <row r="1509" spans="38:53" ht="15" customHeight="1" x14ac:dyDescent="0.25">
      <c r="AL1509" s="17"/>
      <c r="AM1509" s="12"/>
      <c r="AN1509" s="18"/>
      <c r="AO1509" s="18"/>
      <c r="AP1509" s="10"/>
      <c r="AQ1509" s="10"/>
      <c r="AR1509" s="19"/>
      <c r="AS1509" s="20"/>
      <c r="AT1509" s="19"/>
      <c r="AV1509" s="21">
        <f>IF(AND($AL1509&lt;&gt;"",COUNTIF($AL$11:$AL1509,$AL1509)=1),1,0)</f>
        <v>0</v>
      </c>
      <c r="AW1509" s="21">
        <f t="shared" si="133"/>
        <v>0</v>
      </c>
      <c r="AX1509" s="21" t="str">
        <f t="shared" si="132"/>
        <v/>
      </c>
      <c r="AY1509" s="21" t="str">
        <f>IF(AND($AM1509&lt;&gt;"",$AS1509&lt;&gt;"✓"),SUMPRODUCT(($AM$11:$AM1509&lt;&gt;"")*($AS$11:$AS1509&lt;&gt;"✓")),"")</f>
        <v/>
      </c>
      <c r="AZ1509" s="21" t="str">
        <f>IF(AND($AM1509&lt;&gt;"",$AS1509="✓"),SUMPRODUCT(($AM$11:$AM1509&lt;&gt;"")*($AS$11:$AS1509="✓")),"")</f>
        <v/>
      </c>
      <c r="BA1509" s="21" t="str">
        <f>IF($AL1509="","",$AL1509&amp;"|"&amp;COUNTIF($AL$11:$AL1509,$AL1509))</f>
        <v/>
      </c>
    </row>
    <row r="1510" spans="38:53" ht="15" customHeight="1" x14ac:dyDescent="0.25">
      <c r="AL1510" s="31"/>
      <c r="AM1510" s="26"/>
      <c r="AN1510" s="32"/>
      <c r="AO1510" s="32"/>
      <c r="AP1510" s="24"/>
      <c r="AQ1510" s="24"/>
      <c r="AR1510" s="33"/>
      <c r="AS1510" s="34"/>
      <c r="AT1510" s="33"/>
      <c r="AV1510" s="21">
        <f>IF(AND($AL1510&lt;&gt;"",COUNTIF($AL$11:$AL1510,$AL1510)=1),1,0)</f>
        <v>0</v>
      </c>
      <c r="AW1510" s="21">
        <f t="shared" si="133"/>
        <v>0</v>
      </c>
      <c r="AX1510" s="21" t="str">
        <f t="shared" si="132"/>
        <v/>
      </c>
      <c r="AY1510" s="21" t="str">
        <f>IF(AND($AM1510&lt;&gt;"",$AS1510&lt;&gt;"✓"),SUMPRODUCT(($AM$11:$AM1510&lt;&gt;"")*($AS$11:$AS1510&lt;&gt;"✓")),"")</f>
        <v/>
      </c>
      <c r="AZ1510" s="21" t="str">
        <f>IF(AND($AM1510&lt;&gt;"",$AS1510="✓"),SUMPRODUCT(($AM$11:$AM1510&lt;&gt;"")*($AS$11:$AS1510="✓")),"")</f>
        <v/>
      </c>
      <c r="BA1510" s="21" t="str">
        <f>IF($AL1510="","",$AL1510&amp;"|"&amp;COUNTIF($AL$11:$AL1510,$AL1510))</f>
        <v/>
      </c>
    </row>
    <row r="1511" spans="38:53" ht="15" customHeight="1" x14ac:dyDescent="0.25">
      <c r="AL1511" s="17"/>
      <c r="AM1511" s="12"/>
      <c r="AN1511" s="18"/>
      <c r="AO1511" s="18"/>
      <c r="AP1511" s="10"/>
      <c r="AQ1511" s="10"/>
      <c r="AR1511" s="19"/>
      <c r="AS1511" s="20"/>
      <c r="AT1511" s="19"/>
      <c r="AV1511" s="21">
        <f>IF(AND($AL1511&lt;&gt;"",COUNTIF($AL$11:$AL1511,$AL1511)=1),1,0)</f>
        <v>0</v>
      </c>
      <c r="AW1511" s="21">
        <f t="shared" si="133"/>
        <v>0</v>
      </c>
      <c r="AX1511" s="21" t="str">
        <f t="shared" si="132"/>
        <v/>
      </c>
      <c r="AY1511" s="21" t="str">
        <f>IF(AND($AM1511&lt;&gt;"",$AS1511&lt;&gt;"✓"),SUMPRODUCT(($AM$11:$AM1511&lt;&gt;"")*($AS$11:$AS1511&lt;&gt;"✓")),"")</f>
        <v/>
      </c>
      <c r="AZ1511" s="21" t="str">
        <f>IF(AND($AM1511&lt;&gt;"",$AS1511="✓"),SUMPRODUCT(($AM$11:$AM1511&lt;&gt;"")*($AS$11:$AS1511="✓")),"")</f>
        <v/>
      </c>
      <c r="BA1511" s="21" t="str">
        <f>IF($AL1511="","",$AL1511&amp;"|"&amp;COUNTIF($AL$11:$AL1511,$AL1511))</f>
        <v/>
      </c>
    </row>
    <row r="1512" spans="38:53" ht="15" customHeight="1" x14ac:dyDescent="0.25">
      <c r="AL1512" s="31"/>
      <c r="AM1512" s="26"/>
      <c r="AN1512" s="32"/>
      <c r="AO1512" s="32"/>
      <c r="AP1512" s="24"/>
      <c r="AQ1512" s="24"/>
      <c r="AR1512" s="33"/>
      <c r="AS1512" s="34"/>
      <c r="AT1512" s="33"/>
      <c r="AV1512" s="21">
        <f>IF(AND($AL1512&lt;&gt;"",COUNTIF($AL$11:$AL1512,$AL1512)=1),1,0)</f>
        <v>0</v>
      </c>
      <c r="AW1512" s="21">
        <f t="shared" si="133"/>
        <v>0</v>
      </c>
      <c r="AX1512" s="21" t="str">
        <f t="shared" si="132"/>
        <v/>
      </c>
      <c r="AY1512" s="21" t="str">
        <f>IF(AND($AM1512&lt;&gt;"",$AS1512&lt;&gt;"✓"),SUMPRODUCT(($AM$11:$AM1512&lt;&gt;"")*($AS$11:$AS1512&lt;&gt;"✓")),"")</f>
        <v/>
      </c>
      <c r="AZ1512" s="21" t="str">
        <f>IF(AND($AM1512&lt;&gt;"",$AS1512="✓"),SUMPRODUCT(($AM$11:$AM1512&lt;&gt;"")*($AS$11:$AS1512="✓")),"")</f>
        <v/>
      </c>
      <c r="BA1512" s="21" t="str">
        <f>IF($AL1512="","",$AL1512&amp;"|"&amp;COUNTIF($AL$11:$AL1512,$AL1512))</f>
        <v/>
      </c>
    </row>
    <row r="1513" spans="38:53" ht="15" customHeight="1" x14ac:dyDescent="0.25">
      <c r="AL1513" s="17"/>
      <c r="AM1513" s="12"/>
      <c r="AN1513" s="18"/>
      <c r="AO1513" s="18"/>
      <c r="AP1513" s="10"/>
      <c r="AQ1513" s="10"/>
      <c r="AR1513" s="19"/>
      <c r="AS1513" s="20"/>
      <c r="AT1513" s="19"/>
      <c r="AV1513" s="21">
        <f>IF(AND($AL1513&lt;&gt;"",COUNTIF($AL$11:$AL1513,$AL1513)=1),1,0)</f>
        <v>0</v>
      </c>
      <c r="AW1513" s="21">
        <f t="shared" si="133"/>
        <v>0</v>
      </c>
      <c r="AX1513" s="21" t="str">
        <f t="shared" si="132"/>
        <v/>
      </c>
      <c r="AY1513" s="21" t="str">
        <f>IF(AND($AM1513&lt;&gt;"",$AS1513&lt;&gt;"✓"),SUMPRODUCT(($AM$11:$AM1513&lt;&gt;"")*($AS$11:$AS1513&lt;&gt;"✓")),"")</f>
        <v/>
      </c>
      <c r="AZ1513" s="21" t="str">
        <f>IF(AND($AM1513&lt;&gt;"",$AS1513="✓"),SUMPRODUCT(($AM$11:$AM1513&lt;&gt;"")*($AS$11:$AS1513="✓")),"")</f>
        <v/>
      </c>
      <c r="BA1513" s="21" t="str">
        <f>IF($AL1513="","",$AL1513&amp;"|"&amp;COUNTIF($AL$11:$AL1513,$AL1513))</f>
        <v/>
      </c>
    </row>
    <row r="1514" spans="38:53" ht="15" customHeight="1" x14ac:dyDescent="0.25">
      <c r="AL1514" s="31"/>
      <c r="AM1514" s="26"/>
      <c r="AN1514" s="32"/>
      <c r="AO1514" s="32"/>
      <c r="AP1514" s="24"/>
      <c r="AQ1514" s="24"/>
      <c r="AR1514" s="33"/>
      <c r="AS1514" s="34"/>
      <c r="AT1514" s="33"/>
      <c r="AV1514" s="21">
        <f>IF(AND($AL1514&lt;&gt;"",COUNTIF($AL$11:$AL1514,$AL1514)=1),1,0)</f>
        <v>0</v>
      </c>
      <c r="AW1514" s="21">
        <f t="shared" si="133"/>
        <v>0</v>
      </c>
      <c r="AX1514" s="21" t="str">
        <f t="shared" si="132"/>
        <v/>
      </c>
      <c r="AY1514" s="21" t="str">
        <f>IF(AND($AM1514&lt;&gt;"",$AS1514&lt;&gt;"✓"),SUMPRODUCT(($AM$11:$AM1514&lt;&gt;"")*($AS$11:$AS1514&lt;&gt;"✓")),"")</f>
        <v/>
      </c>
      <c r="AZ1514" s="21" t="str">
        <f>IF(AND($AM1514&lt;&gt;"",$AS1514="✓"),SUMPRODUCT(($AM$11:$AM1514&lt;&gt;"")*($AS$11:$AS1514="✓")),"")</f>
        <v/>
      </c>
      <c r="BA1514" s="21" t="str">
        <f>IF($AL1514="","",$AL1514&amp;"|"&amp;COUNTIF($AL$11:$AL1514,$AL1514))</f>
        <v/>
      </c>
    </row>
    <row r="1515" spans="38:53" ht="15" customHeight="1" x14ac:dyDescent="0.25">
      <c r="AL1515" s="17"/>
      <c r="AM1515" s="12"/>
      <c r="AN1515" s="18"/>
      <c r="AO1515" s="18"/>
      <c r="AP1515" s="10"/>
      <c r="AQ1515" s="10"/>
      <c r="AR1515" s="19"/>
      <c r="AS1515" s="20"/>
      <c r="AT1515" s="19"/>
      <c r="AV1515" s="21">
        <f>IF(AND($AL1515&lt;&gt;"",COUNTIF($AL$11:$AL1515,$AL1515)=1),1,0)</f>
        <v>0</v>
      </c>
      <c r="AW1515" s="21">
        <f t="shared" si="133"/>
        <v>0</v>
      </c>
      <c r="AX1515" s="21" t="str">
        <f t="shared" si="132"/>
        <v/>
      </c>
      <c r="AY1515" s="21" t="str">
        <f>IF(AND($AM1515&lt;&gt;"",$AS1515&lt;&gt;"✓"),SUMPRODUCT(($AM$11:$AM1515&lt;&gt;"")*($AS$11:$AS1515&lt;&gt;"✓")),"")</f>
        <v/>
      </c>
      <c r="AZ1515" s="21" t="str">
        <f>IF(AND($AM1515&lt;&gt;"",$AS1515="✓"),SUMPRODUCT(($AM$11:$AM1515&lt;&gt;"")*($AS$11:$AS1515="✓")),"")</f>
        <v/>
      </c>
      <c r="BA1515" s="21" t="str">
        <f>IF($AL1515="","",$AL1515&amp;"|"&amp;COUNTIF($AL$11:$AL1515,$AL1515))</f>
        <v/>
      </c>
    </row>
    <row r="1516" spans="38:53" ht="15" customHeight="1" x14ac:dyDescent="0.25">
      <c r="AL1516" s="31"/>
      <c r="AM1516" s="26"/>
      <c r="AN1516" s="32"/>
      <c r="AO1516" s="32"/>
      <c r="AP1516" s="24"/>
      <c r="AQ1516" s="24"/>
      <c r="AR1516" s="33"/>
      <c r="AS1516" s="34"/>
      <c r="AT1516" s="33"/>
      <c r="AV1516" s="21">
        <f>IF(AND($AL1516&lt;&gt;"",COUNTIF($AL$11:$AL1516,$AL1516)=1),1,0)</f>
        <v>0</v>
      </c>
      <c r="AW1516" s="21">
        <f t="shared" si="133"/>
        <v>0</v>
      </c>
      <c r="AX1516" s="21" t="str">
        <f t="shared" si="132"/>
        <v/>
      </c>
      <c r="AY1516" s="21" t="str">
        <f>IF(AND($AM1516&lt;&gt;"",$AS1516&lt;&gt;"✓"),SUMPRODUCT(($AM$11:$AM1516&lt;&gt;"")*($AS$11:$AS1516&lt;&gt;"✓")),"")</f>
        <v/>
      </c>
      <c r="AZ1516" s="21" t="str">
        <f>IF(AND($AM1516&lt;&gt;"",$AS1516="✓"),SUMPRODUCT(($AM$11:$AM1516&lt;&gt;"")*($AS$11:$AS1516="✓")),"")</f>
        <v/>
      </c>
      <c r="BA1516" s="21" t="str">
        <f>IF($AL1516="","",$AL1516&amp;"|"&amp;COUNTIF($AL$11:$AL1516,$AL1516))</f>
        <v/>
      </c>
    </row>
    <row r="1517" spans="38:53" ht="15" customHeight="1" x14ac:dyDescent="0.25">
      <c r="AL1517" s="17"/>
      <c r="AM1517" s="12"/>
      <c r="AN1517" s="18"/>
      <c r="AO1517" s="18"/>
      <c r="AP1517" s="10"/>
      <c r="AQ1517" s="10"/>
      <c r="AR1517" s="19"/>
      <c r="AS1517" s="20"/>
      <c r="AT1517" s="19"/>
      <c r="AV1517" s="21">
        <f>IF(AND($AL1517&lt;&gt;"",COUNTIF($AL$11:$AL1517,$AL1517)=1),1,0)</f>
        <v>0</v>
      </c>
      <c r="AW1517" s="21">
        <f t="shared" si="133"/>
        <v>0</v>
      </c>
      <c r="AX1517" s="21" t="str">
        <f t="shared" si="132"/>
        <v/>
      </c>
      <c r="AY1517" s="21" t="str">
        <f>IF(AND($AM1517&lt;&gt;"",$AS1517&lt;&gt;"✓"),SUMPRODUCT(($AM$11:$AM1517&lt;&gt;"")*($AS$11:$AS1517&lt;&gt;"✓")),"")</f>
        <v/>
      </c>
      <c r="AZ1517" s="21" t="str">
        <f>IF(AND($AM1517&lt;&gt;"",$AS1517="✓"),SUMPRODUCT(($AM$11:$AM1517&lt;&gt;"")*($AS$11:$AS1517="✓")),"")</f>
        <v/>
      </c>
      <c r="BA1517" s="21" t="str">
        <f>IF($AL1517="","",$AL1517&amp;"|"&amp;COUNTIF($AL$11:$AL1517,$AL1517))</f>
        <v/>
      </c>
    </row>
    <row r="1518" spans="38:53" ht="15" customHeight="1" x14ac:dyDescent="0.25">
      <c r="AL1518" s="31"/>
      <c r="AM1518" s="26"/>
      <c r="AN1518" s="32"/>
      <c r="AO1518" s="32"/>
      <c r="AP1518" s="24"/>
      <c r="AQ1518" s="24"/>
      <c r="AR1518" s="33"/>
      <c r="AS1518" s="34"/>
      <c r="AT1518" s="33"/>
      <c r="AV1518" s="21">
        <f>IF(AND($AL1518&lt;&gt;"",COUNTIF($AL$11:$AL1518,$AL1518)=1),1,0)</f>
        <v>0</v>
      </c>
      <c r="AW1518" s="21">
        <f t="shared" si="133"/>
        <v>0</v>
      </c>
      <c r="AX1518" s="21" t="str">
        <f t="shared" si="132"/>
        <v/>
      </c>
      <c r="AY1518" s="21" t="str">
        <f>IF(AND($AM1518&lt;&gt;"",$AS1518&lt;&gt;"✓"),SUMPRODUCT(($AM$11:$AM1518&lt;&gt;"")*($AS$11:$AS1518&lt;&gt;"✓")),"")</f>
        <v/>
      </c>
      <c r="AZ1518" s="21" t="str">
        <f>IF(AND($AM1518&lt;&gt;"",$AS1518="✓"),SUMPRODUCT(($AM$11:$AM1518&lt;&gt;"")*($AS$11:$AS1518="✓")),"")</f>
        <v/>
      </c>
      <c r="BA1518" s="21" t="str">
        <f>IF($AL1518="","",$AL1518&amp;"|"&amp;COUNTIF($AL$11:$AL1518,$AL1518))</f>
        <v/>
      </c>
    </row>
    <row r="1519" spans="38:53" ht="15" customHeight="1" x14ac:dyDescent="0.25">
      <c r="AL1519" s="17"/>
      <c r="AM1519" s="12"/>
      <c r="AN1519" s="18"/>
      <c r="AO1519" s="18"/>
      <c r="AP1519" s="10"/>
      <c r="AQ1519" s="10"/>
      <c r="AR1519" s="19"/>
      <c r="AS1519" s="20"/>
      <c r="AT1519" s="19"/>
      <c r="AV1519" s="21">
        <f>IF(AND($AL1519&lt;&gt;"",COUNTIF($AL$11:$AL1519,$AL1519)=1),1,0)</f>
        <v>0</v>
      </c>
      <c r="AW1519" s="21">
        <f t="shared" si="133"/>
        <v>0</v>
      </c>
      <c r="AX1519" s="21" t="str">
        <f t="shared" si="132"/>
        <v/>
      </c>
      <c r="AY1519" s="21" t="str">
        <f>IF(AND($AM1519&lt;&gt;"",$AS1519&lt;&gt;"✓"),SUMPRODUCT(($AM$11:$AM1519&lt;&gt;"")*($AS$11:$AS1519&lt;&gt;"✓")),"")</f>
        <v/>
      </c>
      <c r="AZ1519" s="21" t="str">
        <f>IF(AND($AM1519&lt;&gt;"",$AS1519="✓"),SUMPRODUCT(($AM$11:$AM1519&lt;&gt;"")*($AS$11:$AS1519="✓")),"")</f>
        <v/>
      </c>
      <c r="BA1519" s="21" t="str">
        <f>IF($AL1519="","",$AL1519&amp;"|"&amp;COUNTIF($AL$11:$AL1519,$AL1519))</f>
        <v/>
      </c>
    </row>
    <row r="1520" spans="38:53" ht="15" customHeight="1" x14ac:dyDescent="0.25">
      <c r="AL1520" s="31"/>
      <c r="AM1520" s="26"/>
      <c r="AN1520" s="32"/>
      <c r="AO1520" s="32"/>
      <c r="AP1520" s="24"/>
      <c r="AQ1520" s="24"/>
      <c r="AR1520" s="33"/>
      <c r="AS1520" s="34"/>
      <c r="AT1520" s="33"/>
      <c r="AV1520" s="21">
        <f>IF(AND($AL1520&lt;&gt;"",COUNTIF($AL$11:$AL1520,$AL1520)=1),1,0)</f>
        <v>0</v>
      </c>
      <c r="AW1520" s="21">
        <f t="shared" si="133"/>
        <v>0</v>
      </c>
      <c r="AX1520" s="21" t="str">
        <f t="shared" si="132"/>
        <v/>
      </c>
      <c r="AY1520" s="21" t="str">
        <f>IF(AND($AM1520&lt;&gt;"",$AS1520&lt;&gt;"✓"),SUMPRODUCT(($AM$11:$AM1520&lt;&gt;"")*($AS$11:$AS1520&lt;&gt;"✓")),"")</f>
        <v/>
      </c>
      <c r="AZ1520" s="21" t="str">
        <f>IF(AND($AM1520&lt;&gt;"",$AS1520="✓"),SUMPRODUCT(($AM$11:$AM1520&lt;&gt;"")*($AS$11:$AS1520="✓")),"")</f>
        <v/>
      </c>
      <c r="BA1520" s="21" t="str">
        <f>IF($AL1520="","",$AL1520&amp;"|"&amp;COUNTIF($AL$11:$AL1520,$AL1520))</f>
        <v/>
      </c>
    </row>
    <row r="1521" spans="38:53" ht="15" customHeight="1" x14ac:dyDescent="0.25">
      <c r="AL1521" s="17"/>
      <c r="AM1521" s="12"/>
      <c r="AN1521" s="18"/>
      <c r="AO1521" s="18"/>
      <c r="AP1521" s="10"/>
      <c r="AQ1521" s="10"/>
      <c r="AR1521" s="19"/>
      <c r="AS1521" s="20"/>
      <c r="AT1521" s="19"/>
      <c r="AV1521" s="21">
        <f>IF(AND($AL1521&lt;&gt;"",COUNTIF($AL$11:$AL1521,$AL1521)=1),1,0)</f>
        <v>0</v>
      </c>
      <c r="AW1521" s="21">
        <f t="shared" si="133"/>
        <v>0</v>
      </c>
      <c r="AX1521" s="21" t="str">
        <f t="shared" si="132"/>
        <v/>
      </c>
      <c r="AY1521" s="21" t="str">
        <f>IF(AND($AM1521&lt;&gt;"",$AS1521&lt;&gt;"✓"),SUMPRODUCT(($AM$11:$AM1521&lt;&gt;"")*($AS$11:$AS1521&lt;&gt;"✓")),"")</f>
        <v/>
      </c>
      <c r="AZ1521" s="21" t="str">
        <f>IF(AND($AM1521&lt;&gt;"",$AS1521="✓"),SUMPRODUCT(($AM$11:$AM1521&lt;&gt;"")*($AS$11:$AS1521="✓")),"")</f>
        <v/>
      </c>
      <c r="BA1521" s="21" t="str">
        <f>IF($AL1521="","",$AL1521&amp;"|"&amp;COUNTIF($AL$11:$AL1521,$AL1521))</f>
        <v/>
      </c>
    </row>
    <row r="1522" spans="38:53" ht="15" customHeight="1" x14ac:dyDescent="0.25">
      <c r="AL1522" s="31"/>
      <c r="AM1522" s="26"/>
      <c r="AN1522" s="32"/>
      <c r="AO1522" s="32"/>
      <c r="AP1522" s="24"/>
      <c r="AQ1522" s="24"/>
      <c r="AR1522" s="33"/>
      <c r="AS1522" s="34"/>
      <c r="AT1522" s="33"/>
      <c r="AV1522" s="21">
        <f>IF(AND($AL1522&lt;&gt;"",COUNTIF($AL$11:$AL1522,$AL1522)=1),1,0)</f>
        <v>0</v>
      </c>
      <c r="AW1522" s="21">
        <f t="shared" si="133"/>
        <v>0</v>
      </c>
      <c r="AX1522" s="21" t="str">
        <f t="shared" si="132"/>
        <v/>
      </c>
      <c r="AY1522" s="21" t="str">
        <f>IF(AND($AM1522&lt;&gt;"",$AS1522&lt;&gt;"✓"),SUMPRODUCT(($AM$11:$AM1522&lt;&gt;"")*($AS$11:$AS1522&lt;&gt;"✓")),"")</f>
        <v/>
      </c>
      <c r="AZ1522" s="21" t="str">
        <f>IF(AND($AM1522&lt;&gt;"",$AS1522="✓"),SUMPRODUCT(($AM$11:$AM1522&lt;&gt;"")*($AS$11:$AS1522="✓")),"")</f>
        <v/>
      </c>
      <c r="BA1522" s="21" t="str">
        <f>IF($AL1522="","",$AL1522&amp;"|"&amp;COUNTIF($AL$11:$AL1522,$AL1522))</f>
        <v/>
      </c>
    </row>
    <row r="1523" spans="38:53" ht="15" customHeight="1" x14ac:dyDescent="0.25">
      <c r="AL1523" s="17"/>
      <c r="AM1523" s="12"/>
      <c r="AN1523" s="18"/>
      <c r="AO1523" s="18"/>
      <c r="AP1523" s="10"/>
      <c r="AQ1523" s="10"/>
      <c r="AR1523" s="19"/>
      <c r="AS1523" s="20"/>
      <c r="AT1523" s="19"/>
      <c r="AV1523" s="21">
        <f>IF(AND($AL1523&lt;&gt;"",COUNTIF($AL$11:$AL1523,$AL1523)=1),1,0)</f>
        <v>0</v>
      </c>
      <c r="AW1523" s="21">
        <f t="shared" si="133"/>
        <v>0</v>
      </c>
      <c r="AX1523" s="21" t="str">
        <f t="shared" si="132"/>
        <v/>
      </c>
      <c r="AY1523" s="21" t="str">
        <f>IF(AND($AM1523&lt;&gt;"",$AS1523&lt;&gt;"✓"),SUMPRODUCT(($AM$11:$AM1523&lt;&gt;"")*($AS$11:$AS1523&lt;&gt;"✓")),"")</f>
        <v/>
      </c>
      <c r="AZ1523" s="21" t="str">
        <f>IF(AND($AM1523&lt;&gt;"",$AS1523="✓"),SUMPRODUCT(($AM$11:$AM1523&lt;&gt;"")*($AS$11:$AS1523="✓")),"")</f>
        <v/>
      </c>
      <c r="BA1523" s="21" t="str">
        <f>IF($AL1523="","",$AL1523&amp;"|"&amp;COUNTIF($AL$11:$AL1523,$AL1523))</f>
        <v/>
      </c>
    </row>
    <row r="1524" spans="38:53" ht="15" customHeight="1" x14ac:dyDescent="0.25">
      <c r="AL1524" s="31"/>
      <c r="AM1524" s="26"/>
      <c r="AN1524" s="32"/>
      <c r="AO1524" s="32"/>
      <c r="AP1524" s="24"/>
      <c r="AQ1524" s="24"/>
      <c r="AR1524" s="33"/>
      <c r="AS1524" s="34"/>
      <c r="AT1524" s="33"/>
      <c r="AV1524" s="21">
        <f>IF(AND($AL1524&lt;&gt;"",COUNTIF($AL$11:$AL1524,$AL1524)=1),1,0)</f>
        <v>0</v>
      </c>
      <c r="AW1524" s="21">
        <f t="shared" si="133"/>
        <v>0</v>
      </c>
      <c r="AX1524" s="21" t="str">
        <f t="shared" si="132"/>
        <v/>
      </c>
      <c r="AY1524" s="21" t="str">
        <f>IF(AND($AM1524&lt;&gt;"",$AS1524&lt;&gt;"✓"),SUMPRODUCT(($AM$11:$AM1524&lt;&gt;"")*($AS$11:$AS1524&lt;&gt;"✓")),"")</f>
        <v/>
      </c>
      <c r="AZ1524" s="21" t="str">
        <f>IF(AND($AM1524&lt;&gt;"",$AS1524="✓"),SUMPRODUCT(($AM$11:$AM1524&lt;&gt;"")*($AS$11:$AS1524="✓")),"")</f>
        <v/>
      </c>
      <c r="BA1524" s="21" t="str">
        <f>IF($AL1524="","",$AL1524&amp;"|"&amp;COUNTIF($AL$11:$AL1524,$AL1524))</f>
        <v/>
      </c>
    </row>
    <row r="1525" spans="38:53" ht="15" customHeight="1" x14ac:dyDescent="0.25">
      <c r="AL1525" s="17"/>
      <c r="AM1525" s="12"/>
      <c r="AN1525" s="18"/>
      <c r="AO1525" s="18"/>
      <c r="AP1525" s="10"/>
      <c r="AQ1525" s="10"/>
      <c r="AR1525" s="19"/>
      <c r="AS1525" s="20"/>
      <c r="AT1525" s="19"/>
      <c r="AV1525" s="21">
        <f>IF(AND($AL1525&lt;&gt;"",COUNTIF($AL$11:$AL1525,$AL1525)=1),1,0)</f>
        <v>0</v>
      </c>
      <c r="AW1525" s="21">
        <f t="shared" si="133"/>
        <v>0</v>
      </c>
      <c r="AX1525" s="21" t="str">
        <f t="shared" si="132"/>
        <v/>
      </c>
      <c r="AY1525" s="21" t="str">
        <f>IF(AND($AM1525&lt;&gt;"",$AS1525&lt;&gt;"✓"),SUMPRODUCT(($AM$11:$AM1525&lt;&gt;"")*($AS$11:$AS1525&lt;&gt;"✓")),"")</f>
        <v/>
      </c>
      <c r="AZ1525" s="21" t="str">
        <f>IF(AND($AM1525&lt;&gt;"",$AS1525="✓"),SUMPRODUCT(($AM$11:$AM1525&lt;&gt;"")*($AS$11:$AS1525="✓")),"")</f>
        <v/>
      </c>
      <c r="BA1525" s="21" t="str">
        <f>IF($AL1525="","",$AL1525&amp;"|"&amp;COUNTIF($AL$11:$AL1525,$AL1525))</f>
        <v/>
      </c>
    </row>
    <row r="1526" spans="38:53" ht="15" customHeight="1" x14ac:dyDescent="0.25">
      <c r="AL1526" s="31"/>
      <c r="AM1526" s="26"/>
      <c r="AN1526" s="32"/>
      <c r="AO1526" s="32"/>
      <c r="AP1526" s="24"/>
      <c r="AQ1526" s="24"/>
      <c r="AR1526" s="33"/>
      <c r="AS1526" s="34"/>
      <c r="AT1526" s="33"/>
      <c r="AV1526" s="21">
        <f>IF(AND($AL1526&lt;&gt;"",COUNTIF($AL$11:$AL1526,$AL1526)=1),1,0)</f>
        <v>0</v>
      </c>
      <c r="AW1526" s="21">
        <f t="shared" si="133"/>
        <v>0</v>
      </c>
      <c r="AX1526" s="21" t="str">
        <f t="shared" si="132"/>
        <v/>
      </c>
      <c r="AY1526" s="21" t="str">
        <f>IF(AND($AM1526&lt;&gt;"",$AS1526&lt;&gt;"✓"),SUMPRODUCT(($AM$11:$AM1526&lt;&gt;"")*($AS$11:$AS1526&lt;&gt;"✓")),"")</f>
        <v/>
      </c>
      <c r="AZ1526" s="21" t="str">
        <f>IF(AND($AM1526&lt;&gt;"",$AS1526="✓"),SUMPRODUCT(($AM$11:$AM1526&lt;&gt;"")*($AS$11:$AS1526="✓")),"")</f>
        <v/>
      </c>
      <c r="BA1526" s="21" t="str">
        <f>IF($AL1526="","",$AL1526&amp;"|"&amp;COUNTIF($AL$11:$AL1526,$AL1526))</f>
        <v/>
      </c>
    </row>
    <row r="1527" spans="38:53" ht="15" customHeight="1" x14ac:dyDescent="0.25">
      <c r="AL1527" s="17"/>
      <c r="AM1527" s="12"/>
      <c r="AN1527" s="18"/>
      <c r="AO1527" s="18"/>
      <c r="AP1527" s="10"/>
      <c r="AQ1527" s="10"/>
      <c r="AR1527" s="19"/>
      <c r="AS1527" s="20"/>
      <c r="AT1527" s="19"/>
      <c r="AV1527" s="21">
        <f>IF(AND($AL1527&lt;&gt;"",COUNTIF($AL$11:$AL1527,$AL1527)=1),1,0)</f>
        <v>0</v>
      </c>
      <c r="AW1527" s="21">
        <f t="shared" si="133"/>
        <v>0</v>
      </c>
      <c r="AX1527" s="21" t="str">
        <f t="shared" si="132"/>
        <v/>
      </c>
      <c r="AY1527" s="21" t="str">
        <f>IF(AND($AM1527&lt;&gt;"",$AS1527&lt;&gt;"✓"),SUMPRODUCT(($AM$11:$AM1527&lt;&gt;"")*($AS$11:$AS1527&lt;&gt;"✓")),"")</f>
        <v/>
      </c>
      <c r="AZ1527" s="21" t="str">
        <f>IF(AND($AM1527&lt;&gt;"",$AS1527="✓"),SUMPRODUCT(($AM$11:$AM1527&lt;&gt;"")*($AS$11:$AS1527="✓")),"")</f>
        <v/>
      </c>
      <c r="BA1527" s="21" t="str">
        <f>IF($AL1527="","",$AL1527&amp;"|"&amp;COUNTIF($AL$11:$AL1527,$AL1527))</f>
        <v/>
      </c>
    </row>
    <row r="1528" spans="38:53" ht="15" customHeight="1" x14ac:dyDescent="0.25">
      <c r="AL1528" s="31"/>
      <c r="AM1528" s="26"/>
      <c r="AN1528" s="32"/>
      <c r="AO1528" s="32"/>
      <c r="AP1528" s="24"/>
      <c r="AQ1528" s="24"/>
      <c r="AR1528" s="33"/>
      <c r="AS1528" s="34"/>
      <c r="AT1528" s="33"/>
      <c r="AV1528" s="21">
        <f>IF(AND($AL1528&lt;&gt;"",COUNTIF($AL$11:$AL1528,$AL1528)=1),1,0)</f>
        <v>0</v>
      </c>
      <c r="AW1528" s="21">
        <f t="shared" si="133"/>
        <v>0</v>
      </c>
      <c r="AX1528" s="21" t="str">
        <f t="shared" si="132"/>
        <v/>
      </c>
      <c r="AY1528" s="21" t="str">
        <f>IF(AND($AM1528&lt;&gt;"",$AS1528&lt;&gt;"✓"),SUMPRODUCT(($AM$11:$AM1528&lt;&gt;"")*($AS$11:$AS1528&lt;&gt;"✓")),"")</f>
        <v/>
      </c>
      <c r="AZ1528" s="21" t="str">
        <f>IF(AND($AM1528&lt;&gt;"",$AS1528="✓"),SUMPRODUCT(($AM$11:$AM1528&lt;&gt;"")*($AS$11:$AS1528="✓")),"")</f>
        <v/>
      </c>
      <c r="BA1528" s="21" t="str">
        <f>IF($AL1528="","",$AL1528&amp;"|"&amp;COUNTIF($AL$11:$AL1528,$AL1528))</f>
        <v/>
      </c>
    </row>
    <row r="1529" spans="38:53" ht="15" customHeight="1" x14ac:dyDescent="0.25">
      <c r="AL1529" s="17"/>
      <c r="AM1529" s="12"/>
      <c r="AN1529" s="18"/>
      <c r="AO1529" s="18"/>
      <c r="AP1529" s="10"/>
      <c r="AQ1529" s="10"/>
      <c r="AR1529" s="19"/>
      <c r="AS1529" s="20"/>
      <c r="AT1529" s="19"/>
      <c r="AV1529" s="21">
        <f>IF(AND($AL1529&lt;&gt;"",COUNTIF($AL$11:$AL1529,$AL1529)=1),1,0)</f>
        <v>0</v>
      </c>
      <c r="AW1529" s="21">
        <f t="shared" si="133"/>
        <v>0</v>
      </c>
      <c r="AX1529" s="21" t="str">
        <f t="shared" si="132"/>
        <v/>
      </c>
      <c r="AY1529" s="21" t="str">
        <f>IF(AND($AM1529&lt;&gt;"",$AS1529&lt;&gt;"✓"),SUMPRODUCT(($AM$11:$AM1529&lt;&gt;"")*($AS$11:$AS1529&lt;&gt;"✓")),"")</f>
        <v/>
      </c>
      <c r="AZ1529" s="21" t="str">
        <f>IF(AND($AM1529&lt;&gt;"",$AS1529="✓"),SUMPRODUCT(($AM$11:$AM1529&lt;&gt;"")*($AS$11:$AS1529="✓")),"")</f>
        <v/>
      </c>
      <c r="BA1529" s="21" t="str">
        <f>IF($AL1529="","",$AL1529&amp;"|"&amp;COUNTIF($AL$11:$AL1529,$AL1529))</f>
        <v/>
      </c>
    </row>
    <row r="1530" spans="38:53" ht="15" customHeight="1" x14ac:dyDescent="0.25">
      <c r="AL1530" s="31"/>
      <c r="AM1530" s="26"/>
      <c r="AN1530" s="32"/>
      <c r="AO1530" s="32"/>
      <c r="AP1530" s="24"/>
      <c r="AQ1530" s="24"/>
      <c r="AR1530" s="33"/>
      <c r="AS1530" s="34"/>
      <c r="AT1530" s="33"/>
      <c r="AV1530" s="21">
        <f>IF(AND($AL1530&lt;&gt;"",COUNTIF($AL$11:$AL1530,$AL1530)=1),1,0)</f>
        <v>0</v>
      </c>
      <c r="AW1530" s="21">
        <f t="shared" si="133"/>
        <v>0</v>
      </c>
      <c r="AX1530" s="21" t="str">
        <f t="shared" si="132"/>
        <v/>
      </c>
      <c r="AY1530" s="21" t="str">
        <f>IF(AND($AM1530&lt;&gt;"",$AS1530&lt;&gt;"✓"),SUMPRODUCT(($AM$11:$AM1530&lt;&gt;"")*($AS$11:$AS1530&lt;&gt;"✓")),"")</f>
        <v/>
      </c>
      <c r="AZ1530" s="21" t="str">
        <f>IF(AND($AM1530&lt;&gt;"",$AS1530="✓"),SUMPRODUCT(($AM$11:$AM1530&lt;&gt;"")*($AS$11:$AS1530="✓")),"")</f>
        <v/>
      </c>
      <c r="BA1530" s="21" t="str">
        <f>IF($AL1530="","",$AL1530&amp;"|"&amp;COUNTIF($AL$11:$AL1530,$AL1530))</f>
        <v/>
      </c>
    </row>
    <row r="1531" spans="38:53" ht="15" customHeight="1" x14ac:dyDescent="0.25">
      <c r="AL1531" s="17"/>
      <c r="AM1531" s="12"/>
      <c r="AN1531" s="18"/>
      <c r="AO1531" s="18"/>
      <c r="AP1531" s="10"/>
      <c r="AQ1531" s="10"/>
      <c r="AR1531" s="19"/>
      <c r="AS1531" s="20"/>
      <c r="AT1531" s="19"/>
      <c r="AV1531" s="21">
        <f>IF(AND($AL1531&lt;&gt;"",COUNTIF($AL$11:$AL1531,$AL1531)=1),1,0)</f>
        <v>0</v>
      </c>
      <c r="AW1531" s="21">
        <f t="shared" si="133"/>
        <v>0</v>
      </c>
      <c r="AX1531" s="21" t="str">
        <f t="shared" si="132"/>
        <v/>
      </c>
      <c r="AY1531" s="21" t="str">
        <f>IF(AND($AM1531&lt;&gt;"",$AS1531&lt;&gt;"✓"),SUMPRODUCT(($AM$11:$AM1531&lt;&gt;"")*($AS$11:$AS1531&lt;&gt;"✓")),"")</f>
        <v/>
      </c>
      <c r="AZ1531" s="21" t="str">
        <f>IF(AND($AM1531&lt;&gt;"",$AS1531="✓"),SUMPRODUCT(($AM$11:$AM1531&lt;&gt;"")*($AS$11:$AS1531="✓")),"")</f>
        <v/>
      </c>
      <c r="BA1531" s="21" t="str">
        <f>IF($AL1531="","",$AL1531&amp;"|"&amp;COUNTIF($AL$11:$AL1531,$AL1531))</f>
        <v/>
      </c>
    </row>
    <row r="1532" spans="38:53" ht="15" customHeight="1" x14ac:dyDescent="0.25">
      <c r="AL1532" s="31"/>
      <c r="AM1532" s="26"/>
      <c r="AN1532" s="32"/>
      <c r="AO1532" s="32"/>
      <c r="AP1532" s="24"/>
      <c r="AQ1532" s="24"/>
      <c r="AR1532" s="33"/>
      <c r="AS1532" s="34"/>
      <c r="AT1532" s="33"/>
      <c r="AV1532" s="21">
        <f>IF(AND($AL1532&lt;&gt;"",COUNTIF($AL$11:$AL1532,$AL1532)=1),1,0)</f>
        <v>0</v>
      </c>
      <c r="AW1532" s="21">
        <f t="shared" si="133"/>
        <v>0</v>
      </c>
      <c r="AX1532" s="21" t="str">
        <f t="shared" si="132"/>
        <v/>
      </c>
      <c r="AY1532" s="21" t="str">
        <f>IF(AND($AM1532&lt;&gt;"",$AS1532&lt;&gt;"✓"),SUMPRODUCT(($AM$11:$AM1532&lt;&gt;"")*($AS$11:$AS1532&lt;&gt;"✓")),"")</f>
        <v/>
      </c>
      <c r="AZ1532" s="21" t="str">
        <f>IF(AND($AM1532&lt;&gt;"",$AS1532="✓"),SUMPRODUCT(($AM$11:$AM1532&lt;&gt;"")*($AS$11:$AS1532="✓")),"")</f>
        <v/>
      </c>
      <c r="BA1532" s="21" t="str">
        <f>IF($AL1532="","",$AL1532&amp;"|"&amp;COUNTIF($AL$11:$AL1532,$AL1532))</f>
        <v/>
      </c>
    </row>
    <row r="1533" spans="38:53" ht="15" customHeight="1" x14ac:dyDescent="0.25">
      <c r="AL1533" s="17"/>
      <c r="AM1533" s="12"/>
      <c r="AN1533" s="18"/>
      <c r="AO1533" s="18"/>
      <c r="AP1533" s="10"/>
      <c r="AQ1533" s="10"/>
      <c r="AR1533" s="19"/>
      <c r="AS1533" s="20"/>
      <c r="AT1533" s="19"/>
      <c r="AV1533" s="21">
        <f>IF(AND($AL1533&lt;&gt;"",COUNTIF($AL$11:$AL1533,$AL1533)=1),1,0)</f>
        <v>0</v>
      </c>
      <c r="AW1533" s="21">
        <f t="shared" si="133"/>
        <v>0</v>
      </c>
      <c r="AX1533" s="21" t="str">
        <f t="shared" si="132"/>
        <v/>
      </c>
      <c r="AY1533" s="21" t="str">
        <f>IF(AND($AM1533&lt;&gt;"",$AS1533&lt;&gt;"✓"),SUMPRODUCT(($AM$11:$AM1533&lt;&gt;"")*($AS$11:$AS1533&lt;&gt;"✓")),"")</f>
        <v/>
      </c>
      <c r="AZ1533" s="21" t="str">
        <f>IF(AND($AM1533&lt;&gt;"",$AS1533="✓"),SUMPRODUCT(($AM$11:$AM1533&lt;&gt;"")*($AS$11:$AS1533="✓")),"")</f>
        <v/>
      </c>
      <c r="BA1533" s="21" t="str">
        <f>IF($AL1533="","",$AL1533&amp;"|"&amp;COUNTIF($AL$11:$AL1533,$AL1533))</f>
        <v/>
      </c>
    </row>
    <row r="1534" spans="38:53" ht="15" customHeight="1" x14ac:dyDescent="0.25">
      <c r="AL1534" s="31"/>
      <c r="AM1534" s="26"/>
      <c r="AN1534" s="32"/>
      <c r="AO1534" s="32"/>
      <c r="AP1534" s="24"/>
      <c r="AQ1534" s="24"/>
      <c r="AR1534" s="33"/>
      <c r="AS1534" s="34"/>
      <c r="AT1534" s="33"/>
      <c r="AV1534" s="21">
        <f>IF(AND($AL1534&lt;&gt;"",COUNTIF($AL$11:$AL1534,$AL1534)=1),1,0)</f>
        <v>0</v>
      </c>
      <c r="AW1534" s="21">
        <f t="shared" si="133"/>
        <v>0</v>
      </c>
      <c r="AX1534" s="21" t="str">
        <f t="shared" si="132"/>
        <v/>
      </c>
      <c r="AY1534" s="21" t="str">
        <f>IF(AND($AM1534&lt;&gt;"",$AS1534&lt;&gt;"✓"),SUMPRODUCT(($AM$11:$AM1534&lt;&gt;"")*($AS$11:$AS1534&lt;&gt;"✓")),"")</f>
        <v/>
      </c>
      <c r="AZ1534" s="21" t="str">
        <f>IF(AND($AM1534&lt;&gt;"",$AS1534="✓"),SUMPRODUCT(($AM$11:$AM1534&lt;&gt;"")*($AS$11:$AS1534="✓")),"")</f>
        <v/>
      </c>
      <c r="BA1534" s="21" t="str">
        <f>IF($AL1534="","",$AL1534&amp;"|"&amp;COUNTIF($AL$11:$AL1534,$AL1534))</f>
        <v/>
      </c>
    </row>
    <row r="1535" spans="38:53" ht="15" customHeight="1" x14ac:dyDescent="0.25">
      <c r="AL1535" s="17"/>
      <c r="AM1535" s="12"/>
      <c r="AN1535" s="18"/>
      <c r="AO1535" s="18"/>
      <c r="AP1535" s="10"/>
      <c r="AQ1535" s="10"/>
      <c r="AR1535" s="19"/>
      <c r="AS1535" s="20"/>
      <c r="AT1535" s="19"/>
      <c r="AV1535" s="21">
        <f>IF(AND($AL1535&lt;&gt;"",COUNTIF($AL$11:$AL1535,$AL1535)=1),1,0)</f>
        <v>0</v>
      </c>
      <c r="AW1535" s="21">
        <f t="shared" si="133"/>
        <v>0</v>
      </c>
      <c r="AX1535" s="21" t="str">
        <f t="shared" si="132"/>
        <v/>
      </c>
      <c r="AY1535" s="21" t="str">
        <f>IF(AND($AM1535&lt;&gt;"",$AS1535&lt;&gt;"✓"),SUMPRODUCT(($AM$11:$AM1535&lt;&gt;"")*($AS$11:$AS1535&lt;&gt;"✓")),"")</f>
        <v/>
      </c>
      <c r="AZ1535" s="21" t="str">
        <f>IF(AND($AM1535&lt;&gt;"",$AS1535="✓"),SUMPRODUCT(($AM$11:$AM1535&lt;&gt;"")*($AS$11:$AS1535="✓")),"")</f>
        <v/>
      </c>
      <c r="BA1535" s="21" t="str">
        <f>IF($AL1535="","",$AL1535&amp;"|"&amp;COUNTIF($AL$11:$AL1535,$AL1535))</f>
        <v/>
      </c>
    </row>
    <row r="1536" spans="38:53" ht="15" customHeight="1" x14ac:dyDescent="0.25">
      <c r="AL1536" s="31"/>
      <c r="AM1536" s="26"/>
      <c r="AN1536" s="32"/>
      <c r="AO1536" s="32"/>
      <c r="AP1536" s="24"/>
      <c r="AQ1536" s="24"/>
      <c r="AR1536" s="33"/>
      <c r="AS1536" s="34"/>
      <c r="AT1536" s="33"/>
      <c r="AV1536" s="21">
        <f>IF(AND($AL1536&lt;&gt;"",COUNTIF($AL$11:$AL1536,$AL1536)=1),1,0)</f>
        <v>0</v>
      </c>
      <c r="AW1536" s="21">
        <f t="shared" si="133"/>
        <v>0</v>
      </c>
      <c r="AX1536" s="21" t="str">
        <f t="shared" si="132"/>
        <v/>
      </c>
      <c r="AY1536" s="21" t="str">
        <f>IF(AND($AM1536&lt;&gt;"",$AS1536&lt;&gt;"✓"),SUMPRODUCT(($AM$11:$AM1536&lt;&gt;"")*($AS$11:$AS1536&lt;&gt;"✓")),"")</f>
        <v/>
      </c>
      <c r="AZ1536" s="21" t="str">
        <f>IF(AND($AM1536&lt;&gt;"",$AS1536="✓"),SUMPRODUCT(($AM$11:$AM1536&lt;&gt;"")*($AS$11:$AS1536="✓")),"")</f>
        <v/>
      </c>
      <c r="BA1536" s="21" t="str">
        <f>IF($AL1536="","",$AL1536&amp;"|"&amp;COUNTIF($AL$11:$AL1536,$AL1536))</f>
        <v/>
      </c>
    </row>
    <row r="1537" spans="38:53" ht="15" customHeight="1" x14ac:dyDescent="0.25">
      <c r="AL1537" s="17"/>
      <c r="AM1537" s="12"/>
      <c r="AN1537" s="18"/>
      <c r="AO1537" s="18"/>
      <c r="AP1537" s="10"/>
      <c r="AQ1537" s="10"/>
      <c r="AR1537" s="19"/>
      <c r="AS1537" s="20"/>
      <c r="AT1537" s="19"/>
      <c r="AV1537" s="21">
        <f>IF(AND($AL1537&lt;&gt;"",COUNTIF($AL$11:$AL1537,$AL1537)=1),1,0)</f>
        <v>0</v>
      </c>
      <c r="AW1537" s="21">
        <f t="shared" si="133"/>
        <v>0</v>
      </c>
      <c r="AX1537" s="21" t="str">
        <f t="shared" si="132"/>
        <v/>
      </c>
      <c r="AY1537" s="21" t="str">
        <f>IF(AND($AM1537&lt;&gt;"",$AS1537&lt;&gt;"✓"),SUMPRODUCT(($AM$11:$AM1537&lt;&gt;"")*($AS$11:$AS1537&lt;&gt;"✓")),"")</f>
        <v/>
      </c>
      <c r="AZ1537" s="21" t="str">
        <f>IF(AND($AM1537&lt;&gt;"",$AS1537="✓"),SUMPRODUCT(($AM$11:$AM1537&lt;&gt;"")*($AS$11:$AS1537="✓")),"")</f>
        <v/>
      </c>
      <c r="BA1537" s="21" t="str">
        <f>IF($AL1537="","",$AL1537&amp;"|"&amp;COUNTIF($AL$11:$AL1537,$AL1537))</f>
        <v/>
      </c>
    </row>
    <row r="1538" spans="38:53" ht="15" customHeight="1" x14ac:dyDescent="0.25">
      <c r="AL1538" s="31"/>
      <c r="AM1538" s="26"/>
      <c r="AN1538" s="32"/>
      <c r="AO1538" s="32"/>
      <c r="AP1538" s="24"/>
      <c r="AQ1538" s="24"/>
      <c r="AR1538" s="33"/>
      <c r="AS1538" s="34"/>
      <c r="AT1538" s="33"/>
      <c r="AV1538" s="21">
        <f>IF(AND($AL1538&lt;&gt;"",COUNTIF($AL$11:$AL1538,$AL1538)=1),1,0)</f>
        <v>0</v>
      </c>
      <c r="AW1538" s="21">
        <f t="shared" si="133"/>
        <v>0</v>
      </c>
      <c r="AX1538" s="21" t="str">
        <f t="shared" si="132"/>
        <v/>
      </c>
      <c r="AY1538" s="21" t="str">
        <f>IF(AND($AM1538&lt;&gt;"",$AS1538&lt;&gt;"✓"),SUMPRODUCT(($AM$11:$AM1538&lt;&gt;"")*($AS$11:$AS1538&lt;&gt;"✓")),"")</f>
        <v/>
      </c>
      <c r="AZ1538" s="21" t="str">
        <f>IF(AND($AM1538&lt;&gt;"",$AS1538="✓"),SUMPRODUCT(($AM$11:$AM1538&lt;&gt;"")*($AS$11:$AS1538="✓")),"")</f>
        <v/>
      </c>
      <c r="BA1538" s="21" t="str">
        <f>IF($AL1538="","",$AL1538&amp;"|"&amp;COUNTIF($AL$11:$AL1538,$AL1538))</f>
        <v/>
      </c>
    </row>
    <row r="1539" spans="38:53" ht="15" customHeight="1" x14ac:dyDescent="0.25">
      <c r="AL1539" s="17"/>
      <c r="AM1539" s="12"/>
      <c r="AN1539" s="18"/>
      <c r="AO1539" s="18"/>
      <c r="AP1539" s="10"/>
      <c r="AQ1539" s="10"/>
      <c r="AR1539" s="19"/>
      <c r="AS1539" s="20"/>
      <c r="AT1539" s="19"/>
      <c r="AV1539" s="21">
        <f>IF(AND($AL1539&lt;&gt;"",COUNTIF($AL$11:$AL1539,$AL1539)=1),1,0)</f>
        <v>0</v>
      </c>
      <c r="AW1539" s="21">
        <f t="shared" si="133"/>
        <v>0</v>
      </c>
      <c r="AX1539" s="21" t="str">
        <f t="shared" si="132"/>
        <v/>
      </c>
      <c r="AY1539" s="21" t="str">
        <f>IF(AND($AM1539&lt;&gt;"",$AS1539&lt;&gt;"✓"),SUMPRODUCT(($AM$11:$AM1539&lt;&gt;"")*($AS$11:$AS1539&lt;&gt;"✓")),"")</f>
        <v/>
      </c>
      <c r="AZ1539" s="21" t="str">
        <f>IF(AND($AM1539&lt;&gt;"",$AS1539="✓"),SUMPRODUCT(($AM$11:$AM1539&lt;&gt;"")*($AS$11:$AS1539="✓")),"")</f>
        <v/>
      </c>
      <c r="BA1539" s="21" t="str">
        <f>IF($AL1539="","",$AL1539&amp;"|"&amp;COUNTIF($AL$11:$AL1539,$AL1539))</f>
        <v/>
      </c>
    </row>
    <row r="1540" spans="38:53" ht="15" customHeight="1" x14ac:dyDescent="0.25">
      <c r="AL1540" s="31"/>
      <c r="AM1540" s="26"/>
      <c r="AN1540" s="32"/>
      <c r="AO1540" s="32"/>
      <c r="AP1540" s="24"/>
      <c r="AQ1540" s="24"/>
      <c r="AR1540" s="33"/>
      <c r="AS1540" s="34"/>
      <c r="AT1540" s="33"/>
      <c r="AV1540" s="21">
        <f>IF(AND($AL1540&lt;&gt;"",COUNTIF($AL$11:$AL1540,$AL1540)=1),1,0)</f>
        <v>0</v>
      </c>
      <c r="AW1540" s="21">
        <f t="shared" si="133"/>
        <v>0</v>
      </c>
      <c r="AX1540" s="21" t="str">
        <f t="shared" si="132"/>
        <v/>
      </c>
      <c r="AY1540" s="21" t="str">
        <f>IF(AND($AM1540&lt;&gt;"",$AS1540&lt;&gt;"✓"),SUMPRODUCT(($AM$11:$AM1540&lt;&gt;"")*($AS$11:$AS1540&lt;&gt;"✓")),"")</f>
        <v/>
      </c>
      <c r="AZ1540" s="21" t="str">
        <f>IF(AND($AM1540&lt;&gt;"",$AS1540="✓"),SUMPRODUCT(($AM$11:$AM1540&lt;&gt;"")*($AS$11:$AS1540="✓")),"")</f>
        <v/>
      </c>
      <c r="BA1540" s="21" t="str">
        <f>IF($AL1540="","",$AL1540&amp;"|"&amp;COUNTIF($AL$11:$AL1540,$AL1540))</f>
        <v/>
      </c>
    </row>
    <row r="1541" spans="38:53" ht="15" customHeight="1" x14ac:dyDescent="0.25">
      <c r="AL1541" s="17"/>
      <c r="AM1541" s="12"/>
      <c r="AN1541" s="18"/>
      <c r="AO1541" s="18"/>
      <c r="AP1541" s="10"/>
      <c r="AQ1541" s="10"/>
      <c r="AR1541" s="19"/>
      <c r="AS1541" s="20"/>
      <c r="AT1541" s="19"/>
      <c r="AV1541" s="21">
        <f>IF(AND($AL1541&lt;&gt;"",COUNTIF($AL$11:$AL1541,$AL1541)=1),1,0)</f>
        <v>0</v>
      </c>
      <c r="AW1541" s="21">
        <f t="shared" si="133"/>
        <v>0</v>
      </c>
      <c r="AX1541" s="21" t="str">
        <f t="shared" si="132"/>
        <v/>
      </c>
      <c r="AY1541" s="21" t="str">
        <f>IF(AND($AM1541&lt;&gt;"",$AS1541&lt;&gt;"✓"),SUMPRODUCT(($AM$11:$AM1541&lt;&gt;"")*($AS$11:$AS1541&lt;&gt;"✓")),"")</f>
        <v/>
      </c>
      <c r="AZ1541" s="21" t="str">
        <f>IF(AND($AM1541&lt;&gt;"",$AS1541="✓"),SUMPRODUCT(($AM$11:$AM1541&lt;&gt;"")*($AS$11:$AS1541="✓")),"")</f>
        <v/>
      </c>
      <c r="BA1541" s="21" t="str">
        <f>IF($AL1541="","",$AL1541&amp;"|"&amp;COUNTIF($AL$11:$AL1541,$AL1541))</f>
        <v/>
      </c>
    </row>
    <row r="1542" spans="38:53" ht="15" customHeight="1" x14ac:dyDescent="0.25">
      <c r="AL1542" s="31"/>
      <c r="AM1542" s="26"/>
      <c r="AN1542" s="32"/>
      <c r="AO1542" s="32"/>
      <c r="AP1542" s="24"/>
      <c r="AQ1542" s="24"/>
      <c r="AR1542" s="33"/>
      <c r="AS1542" s="34"/>
      <c r="AT1542" s="33"/>
      <c r="AV1542" s="21">
        <f>IF(AND($AL1542&lt;&gt;"",COUNTIF($AL$11:$AL1542,$AL1542)=1),1,0)</f>
        <v>0</v>
      </c>
      <c r="AW1542" s="21">
        <f t="shared" si="133"/>
        <v>0</v>
      </c>
      <c r="AX1542" s="21" t="str">
        <f t="shared" si="132"/>
        <v/>
      </c>
      <c r="AY1542" s="21" t="str">
        <f>IF(AND($AM1542&lt;&gt;"",$AS1542&lt;&gt;"✓"),SUMPRODUCT(($AM$11:$AM1542&lt;&gt;"")*($AS$11:$AS1542&lt;&gt;"✓")),"")</f>
        <v/>
      </c>
      <c r="AZ1542" s="21" t="str">
        <f>IF(AND($AM1542&lt;&gt;"",$AS1542="✓"),SUMPRODUCT(($AM$11:$AM1542&lt;&gt;"")*($AS$11:$AS1542="✓")),"")</f>
        <v/>
      </c>
      <c r="BA1542" s="21" t="str">
        <f>IF($AL1542="","",$AL1542&amp;"|"&amp;COUNTIF($AL$11:$AL1542,$AL1542))</f>
        <v/>
      </c>
    </row>
    <row r="1543" spans="38:53" ht="15" customHeight="1" x14ac:dyDescent="0.25">
      <c r="AL1543" s="17"/>
      <c r="AM1543" s="12"/>
      <c r="AN1543" s="18"/>
      <c r="AO1543" s="18"/>
      <c r="AP1543" s="10"/>
      <c r="AQ1543" s="10"/>
      <c r="AR1543" s="19"/>
      <c r="AS1543" s="20"/>
      <c r="AT1543" s="19"/>
      <c r="AV1543" s="21">
        <f>IF(AND($AL1543&lt;&gt;"",COUNTIF($AL$11:$AL1543,$AL1543)=1),1,0)</f>
        <v>0</v>
      </c>
      <c r="AW1543" s="21">
        <f t="shared" si="133"/>
        <v>0</v>
      </c>
      <c r="AX1543" s="21" t="str">
        <f t="shared" si="132"/>
        <v/>
      </c>
      <c r="AY1543" s="21" t="str">
        <f>IF(AND($AM1543&lt;&gt;"",$AS1543&lt;&gt;"✓"),SUMPRODUCT(($AM$11:$AM1543&lt;&gt;"")*($AS$11:$AS1543&lt;&gt;"✓")),"")</f>
        <v/>
      </c>
      <c r="AZ1543" s="21" t="str">
        <f>IF(AND($AM1543&lt;&gt;"",$AS1543="✓"),SUMPRODUCT(($AM$11:$AM1543&lt;&gt;"")*($AS$11:$AS1543="✓")),"")</f>
        <v/>
      </c>
      <c r="BA1543" s="21" t="str">
        <f>IF($AL1543="","",$AL1543&amp;"|"&amp;COUNTIF($AL$11:$AL1543,$AL1543))</f>
        <v/>
      </c>
    </row>
    <row r="1544" spans="38:53" ht="15" customHeight="1" x14ac:dyDescent="0.25">
      <c r="AL1544" s="31"/>
      <c r="AM1544" s="26"/>
      <c r="AN1544" s="32"/>
      <c r="AO1544" s="32"/>
      <c r="AP1544" s="24"/>
      <c r="AQ1544" s="24"/>
      <c r="AR1544" s="33"/>
      <c r="AS1544" s="34"/>
      <c r="AT1544" s="33"/>
      <c r="AV1544" s="21">
        <f>IF(AND($AL1544&lt;&gt;"",COUNTIF($AL$11:$AL1544,$AL1544)=1),1,0)</f>
        <v>0</v>
      </c>
      <c r="AW1544" s="21">
        <f t="shared" si="133"/>
        <v>0</v>
      </c>
      <c r="AX1544" s="21" t="str">
        <f t="shared" si="132"/>
        <v/>
      </c>
      <c r="AY1544" s="21" t="str">
        <f>IF(AND($AM1544&lt;&gt;"",$AS1544&lt;&gt;"✓"),SUMPRODUCT(($AM$11:$AM1544&lt;&gt;"")*($AS$11:$AS1544&lt;&gt;"✓")),"")</f>
        <v/>
      </c>
      <c r="AZ1544" s="21" t="str">
        <f>IF(AND($AM1544&lt;&gt;"",$AS1544="✓"),SUMPRODUCT(($AM$11:$AM1544&lt;&gt;"")*($AS$11:$AS1544="✓")),"")</f>
        <v/>
      </c>
      <c r="BA1544" s="21" t="str">
        <f>IF($AL1544="","",$AL1544&amp;"|"&amp;COUNTIF($AL$11:$AL1544,$AL1544))</f>
        <v/>
      </c>
    </row>
    <row r="1545" spans="38:53" ht="15" customHeight="1" x14ac:dyDescent="0.25">
      <c r="AL1545" s="17"/>
      <c r="AM1545" s="12"/>
      <c r="AN1545" s="18"/>
      <c r="AO1545" s="18"/>
      <c r="AP1545" s="10"/>
      <c r="AQ1545" s="10"/>
      <c r="AR1545" s="19"/>
      <c r="AS1545" s="20"/>
      <c r="AT1545" s="19"/>
      <c r="AV1545" s="21">
        <f>IF(AND($AL1545&lt;&gt;"",COUNTIF($AL$11:$AL1545,$AL1545)=1),1,0)</f>
        <v>0</v>
      </c>
      <c r="AW1545" s="21">
        <f t="shared" si="133"/>
        <v>0</v>
      </c>
      <c r="AX1545" s="21" t="str">
        <f t="shared" si="132"/>
        <v/>
      </c>
      <c r="AY1545" s="21" t="str">
        <f>IF(AND($AM1545&lt;&gt;"",$AS1545&lt;&gt;"✓"),SUMPRODUCT(($AM$11:$AM1545&lt;&gt;"")*($AS$11:$AS1545&lt;&gt;"✓")),"")</f>
        <v/>
      </c>
      <c r="AZ1545" s="21" t="str">
        <f>IF(AND($AM1545&lt;&gt;"",$AS1545="✓"),SUMPRODUCT(($AM$11:$AM1545&lt;&gt;"")*($AS$11:$AS1545="✓")),"")</f>
        <v/>
      </c>
      <c r="BA1545" s="21" t="str">
        <f>IF($AL1545="","",$AL1545&amp;"|"&amp;COUNTIF($AL$11:$AL1545,$AL1545))</f>
        <v/>
      </c>
    </row>
    <row r="1546" spans="38:53" ht="15" customHeight="1" x14ac:dyDescent="0.25">
      <c r="AL1546" s="31"/>
      <c r="AM1546" s="26"/>
      <c r="AN1546" s="32"/>
      <c r="AO1546" s="32"/>
      <c r="AP1546" s="24"/>
      <c r="AQ1546" s="24"/>
      <c r="AR1546" s="33"/>
      <c r="AS1546" s="34"/>
      <c r="AT1546" s="33"/>
      <c r="AV1546" s="21">
        <f>IF(AND($AL1546&lt;&gt;"",COUNTIF($AL$11:$AL1546,$AL1546)=1),1,0)</f>
        <v>0</v>
      </c>
      <c r="AW1546" s="21">
        <f t="shared" si="133"/>
        <v>0</v>
      </c>
      <c r="AX1546" s="21" t="str">
        <f t="shared" si="132"/>
        <v/>
      </c>
      <c r="AY1546" s="21" t="str">
        <f>IF(AND($AM1546&lt;&gt;"",$AS1546&lt;&gt;"✓"),SUMPRODUCT(($AM$11:$AM1546&lt;&gt;"")*($AS$11:$AS1546&lt;&gt;"✓")),"")</f>
        <v/>
      </c>
      <c r="AZ1546" s="21" t="str">
        <f>IF(AND($AM1546&lt;&gt;"",$AS1546="✓"),SUMPRODUCT(($AM$11:$AM1546&lt;&gt;"")*($AS$11:$AS1546="✓")),"")</f>
        <v/>
      </c>
      <c r="BA1546" s="21" t="str">
        <f>IF($AL1546="","",$AL1546&amp;"|"&amp;COUNTIF($AL$11:$AL1546,$AL1546))</f>
        <v/>
      </c>
    </row>
    <row r="1547" spans="38:53" ht="15" customHeight="1" x14ac:dyDescent="0.25">
      <c r="AL1547" s="17"/>
      <c r="AM1547" s="12"/>
      <c r="AN1547" s="18"/>
      <c r="AO1547" s="18"/>
      <c r="AP1547" s="10"/>
      <c r="AQ1547" s="10"/>
      <c r="AR1547" s="19"/>
      <c r="AS1547" s="20"/>
      <c r="AT1547" s="19"/>
      <c r="AV1547" s="21">
        <f>IF(AND($AL1547&lt;&gt;"",COUNTIF($AL$11:$AL1547,$AL1547)=1),1,0)</f>
        <v>0</v>
      </c>
      <c r="AW1547" s="21">
        <f t="shared" si="133"/>
        <v>0</v>
      </c>
      <c r="AX1547" s="21" t="str">
        <f t="shared" ref="AX1547:AX1610" si="134">IF(AV1547=1,AW1547,"")</f>
        <v/>
      </c>
      <c r="AY1547" s="21" t="str">
        <f>IF(AND($AM1547&lt;&gt;"",$AS1547&lt;&gt;"✓"),SUMPRODUCT(($AM$11:$AM1547&lt;&gt;"")*($AS$11:$AS1547&lt;&gt;"✓")),"")</f>
        <v/>
      </c>
      <c r="AZ1547" s="21" t="str">
        <f>IF(AND($AM1547&lt;&gt;"",$AS1547="✓"),SUMPRODUCT(($AM$11:$AM1547&lt;&gt;"")*($AS$11:$AS1547="✓")),"")</f>
        <v/>
      </c>
      <c r="BA1547" s="21" t="str">
        <f>IF($AL1547="","",$AL1547&amp;"|"&amp;COUNTIF($AL$11:$AL1547,$AL1547))</f>
        <v/>
      </c>
    </row>
    <row r="1548" spans="38:53" ht="15" customHeight="1" x14ac:dyDescent="0.25">
      <c r="AL1548" s="31"/>
      <c r="AM1548" s="26"/>
      <c r="AN1548" s="32"/>
      <c r="AO1548" s="32"/>
      <c r="AP1548" s="24"/>
      <c r="AQ1548" s="24"/>
      <c r="AR1548" s="33"/>
      <c r="AS1548" s="34"/>
      <c r="AT1548" s="33"/>
      <c r="AV1548" s="21">
        <f>IF(AND($AL1548&lt;&gt;"",COUNTIF($AL$11:$AL1548,$AL1548)=1),1,0)</f>
        <v>0</v>
      </c>
      <c r="AW1548" s="21">
        <f t="shared" ref="AW1548:AW1611" si="135">AW1547+AV1548</f>
        <v>0</v>
      </c>
      <c r="AX1548" s="21" t="str">
        <f t="shared" si="134"/>
        <v/>
      </c>
      <c r="AY1548" s="21" t="str">
        <f>IF(AND($AM1548&lt;&gt;"",$AS1548&lt;&gt;"✓"),SUMPRODUCT(($AM$11:$AM1548&lt;&gt;"")*($AS$11:$AS1548&lt;&gt;"✓")),"")</f>
        <v/>
      </c>
      <c r="AZ1548" s="21" t="str">
        <f>IF(AND($AM1548&lt;&gt;"",$AS1548="✓"),SUMPRODUCT(($AM$11:$AM1548&lt;&gt;"")*($AS$11:$AS1548="✓")),"")</f>
        <v/>
      </c>
      <c r="BA1548" s="21" t="str">
        <f>IF($AL1548="","",$AL1548&amp;"|"&amp;COUNTIF($AL$11:$AL1548,$AL1548))</f>
        <v/>
      </c>
    </row>
    <row r="1549" spans="38:53" ht="15" customHeight="1" x14ac:dyDescent="0.25">
      <c r="AL1549" s="17"/>
      <c r="AM1549" s="12"/>
      <c r="AN1549" s="18"/>
      <c r="AO1549" s="18"/>
      <c r="AP1549" s="10"/>
      <c r="AQ1549" s="10"/>
      <c r="AR1549" s="19"/>
      <c r="AS1549" s="20"/>
      <c r="AT1549" s="19"/>
      <c r="AV1549" s="21">
        <f>IF(AND($AL1549&lt;&gt;"",COUNTIF($AL$11:$AL1549,$AL1549)=1),1,0)</f>
        <v>0</v>
      </c>
      <c r="AW1549" s="21">
        <f t="shared" si="135"/>
        <v>0</v>
      </c>
      <c r="AX1549" s="21" t="str">
        <f t="shared" si="134"/>
        <v/>
      </c>
      <c r="AY1549" s="21" t="str">
        <f>IF(AND($AM1549&lt;&gt;"",$AS1549&lt;&gt;"✓"),SUMPRODUCT(($AM$11:$AM1549&lt;&gt;"")*($AS$11:$AS1549&lt;&gt;"✓")),"")</f>
        <v/>
      </c>
      <c r="AZ1549" s="21" t="str">
        <f>IF(AND($AM1549&lt;&gt;"",$AS1549="✓"),SUMPRODUCT(($AM$11:$AM1549&lt;&gt;"")*($AS$11:$AS1549="✓")),"")</f>
        <v/>
      </c>
      <c r="BA1549" s="21" t="str">
        <f>IF($AL1549="","",$AL1549&amp;"|"&amp;COUNTIF($AL$11:$AL1549,$AL1549))</f>
        <v/>
      </c>
    </row>
    <row r="1550" spans="38:53" ht="15" customHeight="1" x14ac:dyDescent="0.25">
      <c r="AL1550" s="31"/>
      <c r="AM1550" s="26"/>
      <c r="AN1550" s="32"/>
      <c r="AO1550" s="32"/>
      <c r="AP1550" s="24"/>
      <c r="AQ1550" s="24"/>
      <c r="AR1550" s="33"/>
      <c r="AS1550" s="34"/>
      <c r="AT1550" s="33"/>
      <c r="AV1550" s="21">
        <f>IF(AND($AL1550&lt;&gt;"",COUNTIF($AL$11:$AL1550,$AL1550)=1),1,0)</f>
        <v>0</v>
      </c>
      <c r="AW1550" s="21">
        <f t="shared" si="135"/>
        <v>0</v>
      </c>
      <c r="AX1550" s="21" t="str">
        <f t="shared" si="134"/>
        <v/>
      </c>
      <c r="AY1550" s="21" t="str">
        <f>IF(AND($AM1550&lt;&gt;"",$AS1550&lt;&gt;"✓"),SUMPRODUCT(($AM$11:$AM1550&lt;&gt;"")*($AS$11:$AS1550&lt;&gt;"✓")),"")</f>
        <v/>
      </c>
      <c r="AZ1550" s="21" t="str">
        <f>IF(AND($AM1550&lt;&gt;"",$AS1550="✓"),SUMPRODUCT(($AM$11:$AM1550&lt;&gt;"")*($AS$11:$AS1550="✓")),"")</f>
        <v/>
      </c>
      <c r="BA1550" s="21" t="str">
        <f>IF($AL1550="","",$AL1550&amp;"|"&amp;COUNTIF($AL$11:$AL1550,$AL1550))</f>
        <v/>
      </c>
    </row>
    <row r="1551" spans="38:53" ht="15" customHeight="1" x14ac:dyDescent="0.25">
      <c r="AL1551" s="17"/>
      <c r="AM1551" s="12"/>
      <c r="AN1551" s="18"/>
      <c r="AO1551" s="18"/>
      <c r="AP1551" s="10"/>
      <c r="AQ1551" s="10"/>
      <c r="AR1551" s="19"/>
      <c r="AS1551" s="20"/>
      <c r="AT1551" s="19"/>
      <c r="AV1551" s="21">
        <f>IF(AND($AL1551&lt;&gt;"",COUNTIF($AL$11:$AL1551,$AL1551)=1),1,0)</f>
        <v>0</v>
      </c>
      <c r="AW1551" s="21">
        <f t="shared" si="135"/>
        <v>0</v>
      </c>
      <c r="AX1551" s="21" t="str">
        <f t="shared" si="134"/>
        <v/>
      </c>
      <c r="AY1551" s="21" t="str">
        <f>IF(AND($AM1551&lt;&gt;"",$AS1551&lt;&gt;"✓"),SUMPRODUCT(($AM$11:$AM1551&lt;&gt;"")*($AS$11:$AS1551&lt;&gt;"✓")),"")</f>
        <v/>
      </c>
      <c r="AZ1551" s="21" t="str">
        <f>IF(AND($AM1551&lt;&gt;"",$AS1551="✓"),SUMPRODUCT(($AM$11:$AM1551&lt;&gt;"")*($AS$11:$AS1551="✓")),"")</f>
        <v/>
      </c>
      <c r="BA1551" s="21" t="str">
        <f>IF($AL1551="","",$AL1551&amp;"|"&amp;COUNTIF($AL$11:$AL1551,$AL1551))</f>
        <v/>
      </c>
    </row>
    <row r="1552" spans="38:53" ht="15" customHeight="1" x14ac:dyDescent="0.25">
      <c r="AL1552" s="31"/>
      <c r="AM1552" s="26"/>
      <c r="AN1552" s="32"/>
      <c r="AO1552" s="32"/>
      <c r="AP1552" s="24"/>
      <c r="AQ1552" s="24"/>
      <c r="AR1552" s="33"/>
      <c r="AS1552" s="34"/>
      <c r="AT1552" s="33"/>
      <c r="AV1552" s="21">
        <f>IF(AND($AL1552&lt;&gt;"",COUNTIF($AL$11:$AL1552,$AL1552)=1),1,0)</f>
        <v>0</v>
      </c>
      <c r="AW1552" s="21">
        <f t="shared" si="135"/>
        <v>0</v>
      </c>
      <c r="AX1552" s="21" t="str">
        <f t="shared" si="134"/>
        <v/>
      </c>
      <c r="AY1552" s="21" t="str">
        <f>IF(AND($AM1552&lt;&gt;"",$AS1552&lt;&gt;"✓"),SUMPRODUCT(($AM$11:$AM1552&lt;&gt;"")*($AS$11:$AS1552&lt;&gt;"✓")),"")</f>
        <v/>
      </c>
      <c r="AZ1552" s="21" t="str">
        <f>IF(AND($AM1552&lt;&gt;"",$AS1552="✓"),SUMPRODUCT(($AM$11:$AM1552&lt;&gt;"")*($AS$11:$AS1552="✓")),"")</f>
        <v/>
      </c>
      <c r="BA1552" s="21" t="str">
        <f>IF($AL1552="","",$AL1552&amp;"|"&amp;COUNTIF($AL$11:$AL1552,$AL1552))</f>
        <v/>
      </c>
    </row>
    <row r="1553" spans="38:53" ht="15" customHeight="1" x14ac:dyDescent="0.25">
      <c r="AL1553" s="17"/>
      <c r="AM1553" s="12"/>
      <c r="AN1553" s="18"/>
      <c r="AO1553" s="18"/>
      <c r="AP1553" s="10"/>
      <c r="AQ1553" s="10"/>
      <c r="AR1553" s="19"/>
      <c r="AS1553" s="20"/>
      <c r="AT1553" s="19"/>
      <c r="AV1553" s="21">
        <f>IF(AND($AL1553&lt;&gt;"",COUNTIF($AL$11:$AL1553,$AL1553)=1),1,0)</f>
        <v>0</v>
      </c>
      <c r="AW1553" s="21">
        <f t="shared" si="135"/>
        <v>0</v>
      </c>
      <c r="AX1553" s="21" t="str">
        <f t="shared" si="134"/>
        <v/>
      </c>
      <c r="AY1553" s="21" t="str">
        <f>IF(AND($AM1553&lt;&gt;"",$AS1553&lt;&gt;"✓"),SUMPRODUCT(($AM$11:$AM1553&lt;&gt;"")*($AS$11:$AS1553&lt;&gt;"✓")),"")</f>
        <v/>
      </c>
      <c r="AZ1553" s="21" t="str">
        <f>IF(AND($AM1553&lt;&gt;"",$AS1553="✓"),SUMPRODUCT(($AM$11:$AM1553&lt;&gt;"")*($AS$11:$AS1553="✓")),"")</f>
        <v/>
      </c>
      <c r="BA1553" s="21" t="str">
        <f>IF($AL1553="","",$AL1553&amp;"|"&amp;COUNTIF($AL$11:$AL1553,$AL1553))</f>
        <v/>
      </c>
    </row>
    <row r="1554" spans="38:53" ht="15" customHeight="1" x14ac:dyDescent="0.25">
      <c r="AL1554" s="31"/>
      <c r="AM1554" s="26"/>
      <c r="AN1554" s="32"/>
      <c r="AO1554" s="32"/>
      <c r="AP1554" s="24"/>
      <c r="AQ1554" s="24"/>
      <c r="AR1554" s="33"/>
      <c r="AS1554" s="34"/>
      <c r="AT1554" s="33"/>
      <c r="AV1554" s="21">
        <f>IF(AND($AL1554&lt;&gt;"",COUNTIF($AL$11:$AL1554,$AL1554)=1),1,0)</f>
        <v>0</v>
      </c>
      <c r="AW1554" s="21">
        <f t="shared" si="135"/>
        <v>0</v>
      </c>
      <c r="AX1554" s="21" t="str">
        <f t="shared" si="134"/>
        <v/>
      </c>
      <c r="AY1554" s="21" t="str">
        <f>IF(AND($AM1554&lt;&gt;"",$AS1554&lt;&gt;"✓"),SUMPRODUCT(($AM$11:$AM1554&lt;&gt;"")*($AS$11:$AS1554&lt;&gt;"✓")),"")</f>
        <v/>
      </c>
      <c r="AZ1554" s="21" t="str">
        <f>IF(AND($AM1554&lt;&gt;"",$AS1554="✓"),SUMPRODUCT(($AM$11:$AM1554&lt;&gt;"")*($AS$11:$AS1554="✓")),"")</f>
        <v/>
      </c>
      <c r="BA1554" s="21" t="str">
        <f>IF($AL1554="","",$AL1554&amp;"|"&amp;COUNTIF($AL$11:$AL1554,$AL1554))</f>
        <v/>
      </c>
    </row>
    <row r="1555" spans="38:53" ht="15" customHeight="1" x14ac:dyDescent="0.25">
      <c r="AL1555" s="17"/>
      <c r="AM1555" s="12"/>
      <c r="AN1555" s="18"/>
      <c r="AO1555" s="18"/>
      <c r="AP1555" s="10"/>
      <c r="AQ1555" s="10"/>
      <c r="AR1555" s="19"/>
      <c r="AS1555" s="20"/>
      <c r="AT1555" s="19"/>
      <c r="AV1555" s="21">
        <f>IF(AND($AL1555&lt;&gt;"",COUNTIF($AL$11:$AL1555,$AL1555)=1),1,0)</f>
        <v>0</v>
      </c>
      <c r="AW1555" s="21">
        <f t="shared" si="135"/>
        <v>0</v>
      </c>
      <c r="AX1555" s="21" t="str">
        <f t="shared" si="134"/>
        <v/>
      </c>
      <c r="AY1555" s="21" t="str">
        <f>IF(AND($AM1555&lt;&gt;"",$AS1555&lt;&gt;"✓"),SUMPRODUCT(($AM$11:$AM1555&lt;&gt;"")*($AS$11:$AS1555&lt;&gt;"✓")),"")</f>
        <v/>
      </c>
      <c r="AZ1555" s="21" t="str">
        <f>IF(AND($AM1555&lt;&gt;"",$AS1555="✓"),SUMPRODUCT(($AM$11:$AM1555&lt;&gt;"")*($AS$11:$AS1555="✓")),"")</f>
        <v/>
      </c>
      <c r="BA1555" s="21" t="str">
        <f>IF($AL1555="","",$AL1555&amp;"|"&amp;COUNTIF($AL$11:$AL1555,$AL1555))</f>
        <v/>
      </c>
    </row>
    <row r="1556" spans="38:53" ht="15" customHeight="1" x14ac:dyDescent="0.25">
      <c r="AL1556" s="31"/>
      <c r="AM1556" s="26"/>
      <c r="AN1556" s="32"/>
      <c r="AO1556" s="32"/>
      <c r="AP1556" s="24"/>
      <c r="AQ1556" s="24"/>
      <c r="AR1556" s="33"/>
      <c r="AS1556" s="34"/>
      <c r="AT1556" s="33"/>
      <c r="AV1556" s="21">
        <f>IF(AND($AL1556&lt;&gt;"",COUNTIF($AL$11:$AL1556,$AL1556)=1),1,0)</f>
        <v>0</v>
      </c>
      <c r="AW1556" s="21">
        <f t="shared" si="135"/>
        <v>0</v>
      </c>
      <c r="AX1556" s="21" t="str">
        <f t="shared" si="134"/>
        <v/>
      </c>
      <c r="AY1556" s="21" t="str">
        <f>IF(AND($AM1556&lt;&gt;"",$AS1556&lt;&gt;"✓"),SUMPRODUCT(($AM$11:$AM1556&lt;&gt;"")*($AS$11:$AS1556&lt;&gt;"✓")),"")</f>
        <v/>
      </c>
      <c r="AZ1556" s="21" t="str">
        <f>IF(AND($AM1556&lt;&gt;"",$AS1556="✓"),SUMPRODUCT(($AM$11:$AM1556&lt;&gt;"")*($AS$11:$AS1556="✓")),"")</f>
        <v/>
      </c>
      <c r="BA1556" s="21" t="str">
        <f>IF($AL1556="","",$AL1556&amp;"|"&amp;COUNTIF($AL$11:$AL1556,$AL1556))</f>
        <v/>
      </c>
    </row>
    <row r="1557" spans="38:53" ht="15" customHeight="1" x14ac:dyDescent="0.25">
      <c r="AL1557" s="17"/>
      <c r="AM1557" s="12"/>
      <c r="AN1557" s="18"/>
      <c r="AO1557" s="18"/>
      <c r="AP1557" s="10"/>
      <c r="AQ1557" s="10"/>
      <c r="AR1557" s="19"/>
      <c r="AS1557" s="20"/>
      <c r="AT1557" s="19"/>
      <c r="AV1557" s="21">
        <f>IF(AND($AL1557&lt;&gt;"",COUNTIF($AL$11:$AL1557,$AL1557)=1),1,0)</f>
        <v>0</v>
      </c>
      <c r="AW1557" s="21">
        <f t="shared" si="135"/>
        <v>0</v>
      </c>
      <c r="AX1557" s="21" t="str">
        <f t="shared" si="134"/>
        <v/>
      </c>
      <c r="AY1557" s="21" t="str">
        <f>IF(AND($AM1557&lt;&gt;"",$AS1557&lt;&gt;"✓"),SUMPRODUCT(($AM$11:$AM1557&lt;&gt;"")*($AS$11:$AS1557&lt;&gt;"✓")),"")</f>
        <v/>
      </c>
      <c r="AZ1557" s="21" t="str">
        <f>IF(AND($AM1557&lt;&gt;"",$AS1557="✓"),SUMPRODUCT(($AM$11:$AM1557&lt;&gt;"")*($AS$11:$AS1557="✓")),"")</f>
        <v/>
      </c>
      <c r="BA1557" s="21" t="str">
        <f>IF($AL1557="","",$AL1557&amp;"|"&amp;COUNTIF($AL$11:$AL1557,$AL1557))</f>
        <v/>
      </c>
    </row>
    <row r="1558" spans="38:53" ht="15" customHeight="1" x14ac:dyDescent="0.25">
      <c r="AL1558" s="31"/>
      <c r="AM1558" s="26"/>
      <c r="AN1558" s="32"/>
      <c r="AO1558" s="32"/>
      <c r="AP1558" s="24"/>
      <c r="AQ1558" s="24"/>
      <c r="AR1558" s="33"/>
      <c r="AS1558" s="34"/>
      <c r="AT1558" s="33"/>
      <c r="AV1558" s="21">
        <f>IF(AND($AL1558&lt;&gt;"",COUNTIF($AL$11:$AL1558,$AL1558)=1),1,0)</f>
        <v>0</v>
      </c>
      <c r="AW1558" s="21">
        <f t="shared" si="135"/>
        <v>0</v>
      </c>
      <c r="AX1558" s="21" t="str">
        <f t="shared" si="134"/>
        <v/>
      </c>
      <c r="AY1558" s="21" t="str">
        <f>IF(AND($AM1558&lt;&gt;"",$AS1558&lt;&gt;"✓"),SUMPRODUCT(($AM$11:$AM1558&lt;&gt;"")*($AS$11:$AS1558&lt;&gt;"✓")),"")</f>
        <v/>
      </c>
      <c r="AZ1558" s="21" t="str">
        <f>IF(AND($AM1558&lt;&gt;"",$AS1558="✓"),SUMPRODUCT(($AM$11:$AM1558&lt;&gt;"")*($AS$11:$AS1558="✓")),"")</f>
        <v/>
      </c>
      <c r="BA1558" s="21" t="str">
        <f>IF($AL1558="","",$AL1558&amp;"|"&amp;COUNTIF($AL$11:$AL1558,$AL1558))</f>
        <v/>
      </c>
    </row>
    <row r="1559" spans="38:53" ht="15" customHeight="1" x14ac:dyDescent="0.25">
      <c r="AL1559" s="17"/>
      <c r="AM1559" s="12"/>
      <c r="AN1559" s="18"/>
      <c r="AO1559" s="18"/>
      <c r="AP1559" s="10"/>
      <c r="AQ1559" s="10"/>
      <c r="AR1559" s="19"/>
      <c r="AS1559" s="20"/>
      <c r="AT1559" s="19"/>
      <c r="AV1559" s="21">
        <f>IF(AND($AL1559&lt;&gt;"",COUNTIF($AL$11:$AL1559,$AL1559)=1),1,0)</f>
        <v>0</v>
      </c>
      <c r="AW1559" s="21">
        <f t="shared" si="135"/>
        <v>0</v>
      </c>
      <c r="AX1559" s="21" t="str">
        <f t="shared" si="134"/>
        <v/>
      </c>
      <c r="AY1559" s="21" t="str">
        <f>IF(AND($AM1559&lt;&gt;"",$AS1559&lt;&gt;"✓"),SUMPRODUCT(($AM$11:$AM1559&lt;&gt;"")*($AS$11:$AS1559&lt;&gt;"✓")),"")</f>
        <v/>
      </c>
      <c r="AZ1559" s="21" t="str">
        <f>IF(AND($AM1559&lt;&gt;"",$AS1559="✓"),SUMPRODUCT(($AM$11:$AM1559&lt;&gt;"")*($AS$11:$AS1559="✓")),"")</f>
        <v/>
      </c>
      <c r="BA1559" s="21" t="str">
        <f>IF($AL1559="","",$AL1559&amp;"|"&amp;COUNTIF($AL$11:$AL1559,$AL1559))</f>
        <v/>
      </c>
    </row>
    <row r="1560" spans="38:53" ht="15" customHeight="1" x14ac:dyDescent="0.25">
      <c r="AL1560" s="31"/>
      <c r="AM1560" s="26"/>
      <c r="AN1560" s="32"/>
      <c r="AO1560" s="32"/>
      <c r="AP1560" s="24"/>
      <c r="AQ1560" s="24"/>
      <c r="AR1560" s="33"/>
      <c r="AS1560" s="34"/>
      <c r="AT1560" s="33"/>
      <c r="AV1560" s="21">
        <f>IF(AND($AL1560&lt;&gt;"",COUNTIF($AL$11:$AL1560,$AL1560)=1),1,0)</f>
        <v>0</v>
      </c>
      <c r="AW1560" s="21">
        <f t="shared" si="135"/>
        <v>0</v>
      </c>
      <c r="AX1560" s="21" t="str">
        <f t="shared" si="134"/>
        <v/>
      </c>
      <c r="AY1560" s="21" t="str">
        <f>IF(AND($AM1560&lt;&gt;"",$AS1560&lt;&gt;"✓"),SUMPRODUCT(($AM$11:$AM1560&lt;&gt;"")*($AS$11:$AS1560&lt;&gt;"✓")),"")</f>
        <v/>
      </c>
      <c r="AZ1560" s="21" t="str">
        <f>IF(AND($AM1560&lt;&gt;"",$AS1560="✓"),SUMPRODUCT(($AM$11:$AM1560&lt;&gt;"")*($AS$11:$AS1560="✓")),"")</f>
        <v/>
      </c>
      <c r="BA1560" s="21" t="str">
        <f>IF($AL1560="","",$AL1560&amp;"|"&amp;COUNTIF($AL$11:$AL1560,$AL1560))</f>
        <v/>
      </c>
    </row>
    <row r="1561" spans="38:53" ht="15" customHeight="1" x14ac:dyDescent="0.25">
      <c r="AL1561" s="17"/>
      <c r="AM1561" s="12"/>
      <c r="AN1561" s="18"/>
      <c r="AO1561" s="18"/>
      <c r="AP1561" s="10"/>
      <c r="AQ1561" s="10"/>
      <c r="AR1561" s="19"/>
      <c r="AS1561" s="20"/>
      <c r="AT1561" s="19"/>
      <c r="AV1561" s="21">
        <f>IF(AND($AL1561&lt;&gt;"",COUNTIF($AL$11:$AL1561,$AL1561)=1),1,0)</f>
        <v>0</v>
      </c>
      <c r="AW1561" s="21">
        <f t="shared" si="135"/>
        <v>0</v>
      </c>
      <c r="AX1561" s="21" t="str">
        <f t="shared" si="134"/>
        <v/>
      </c>
      <c r="AY1561" s="21" t="str">
        <f>IF(AND($AM1561&lt;&gt;"",$AS1561&lt;&gt;"✓"),SUMPRODUCT(($AM$11:$AM1561&lt;&gt;"")*($AS$11:$AS1561&lt;&gt;"✓")),"")</f>
        <v/>
      </c>
      <c r="AZ1561" s="21" t="str">
        <f>IF(AND($AM1561&lt;&gt;"",$AS1561="✓"),SUMPRODUCT(($AM$11:$AM1561&lt;&gt;"")*($AS$11:$AS1561="✓")),"")</f>
        <v/>
      </c>
      <c r="BA1561" s="21" t="str">
        <f>IF($AL1561="","",$AL1561&amp;"|"&amp;COUNTIF($AL$11:$AL1561,$AL1561))</f>
        <v/>
      </c>
    </row>
    <row r="1562" spans="38:53" ht="15" customHeight="1" x14ac:dyDescent="0.25">
      <c r="AL1562" s="31"/>
      <c r="AM1562" s="26"/>
      <c r="AN1562" s="32"/>
      <c r="AO1562" s="32"/>
      <c r="AP1562" s="24"/>
      <c r="AQ1562" s="24"/>
      <c r="AR1562" s="33"/>
      <c r="AS1562" s="34"/>
      <c r="AT1562" s="33"/>
      <c r="AV1562" s="21">
        <f>IF(AND($AL1562&lt;&gt;"",COUNTIF($AL$11:$AL1562,$AL1562)=1),1,0)</f>
        <v>0</v>
      </c>
      <c r="AW1562" s="21">
        <f t="shared" si="135"/>
        <v>0</v>
      </c>
      <c r="AX1562" s="21" t="str">
        <f t="shared" si="134"/>
        <v/>
      </c>
      <c r="AY1562" s="21" t="str">
        <f>IF(AND($AM1562&lt;&gt;"",$AS1562&lt;&gt;"✓"),SUMPRODUCT(($AM$11:$AM1562&lt;&gt;"")*($AS$11:$AS1562&lt;&gt;"✓")),"")</f>
        <v/>
      </c>
      <c r="AZ1562" s="21" t="str">
        <f>IF(AND($AM1562&lt;&gt;"",$AS1562="✓"),SUMPRODUCT(($AM$11:$AM1562&lt;&gt;"")*($AS$11:$AS1562="✓")),"")</f>
        <v/>
      </c>
      <c r="BA1562" s="21" t="str">
        <f>IF($AL1562="","",$AL1562&amp;"|"&amp;COUNTIF($AL$11:$AL1562,$AL1562))</f>
        <v/>
      </c>
    </row>
    <row r="1563" spans="38:53" ht="15" customHeight="1" x14ac:dyDescent="0.25">
      <c r="AL1563" s="17"/>
      <c r="AM1563" s="12"/>
      <c r="AN1563" s="18"/>
      <c r="AO1563" s="18"/>
      <c r="AP1563" s="10"/>
      <c r="AQ1563" s="10"/>
      <c r="AR1563" s="19"/>
      <c r="AS1563" s="20"/>
      <c r="AT1563" s="19"/>
      <c r="AV1563" s="21">
        <f>IF(AND($AL1563&lt;&gt;"",COUNTIF($AL$11:$AL1563,$AL1563)=1),1,0)</f>
        <v>0</v>
      </c>
      <c r="AW1563" s="21">
        <f t="shared" si="135"/>
        <v>0</v>
      </c>
      <c r="AX1563" s="21" t="str">
        <f t="shared" si="134"/>
        <v/>
      </c>
      <c r="AY1563" s="21" t="str">
        <f>IF(AND($AM1563&lt;&gt;"",$AS1563&lt;&gt;"✓"),SUMPRODUCT(($AM$11:$AM1563&lt;&gt;"")*($AS$11:$AS1563&lt;&gt;"✓")),"")</f>
        <v/>
      </c>
      <c r="AZ1563" s="21" t="str">
        <f>IF(AND($AM1563&lt;&gt;"",$AS1563="✓"),SUMPRODUCT(($AM$11:$AM1563&lt;&gt;"")*($AS$11:$AS1563="✓")),"")</f>
        <v/>
      </c>
      <c r="BA1563" s="21" t="str">
        <f>IF($AL1563="","",$AL1563&amp;"|"&amp;COUNTIF($AL$11:$AL1563,$AL1563))</f>
        <v/>
      </c>
    </row>
    <row r="1564" spans="38:53" ht="15" customHeight="1" x14ac:dyDescent="0.25">
      <c r="AL1564" s="31"/>
      <c r="AM1564" s="26"/>
      <c r="AN1564" s="32"/>
      <c r="AO1564" s="32"/>
      <c r="AP1564" s="24"/>
      <c r="AQ1564" s="24"/>
      <c r="AR1564" s="33"/>
      <c r="AS1564" s="34"/>
      <c r="AT1564" s="33"/>
      <c r="AV1564" s="21">
        <f>IF(AND($AL1564&lt;&gt;"",COUNTIF($AL$11:$AL1564,$AL1564)=1),1,0)</f>
        <v>0</v>
      </c>
      <c r="AW1564" s="21">
        <f t="shared" si="135"/>
        <v>0</v>
      </c>
      <c r="AX1564" s="21" t="str">
        <f t="shared" si="134"/>
        <v/>
      </c>
      <c r="AY1564" s="21" t="str">
        <f>IF(AND($AM1564&lt;&gt;"",$AS1564&lt;&gt;"✓"),SUMPRODUCT(($AM$11:$AM1564&lt;&gt;"")*($AS$11:$AS1564&lt;&gt;"✓")),"")</f>
        <v/>
      </c>
      <c r="AZ1564" s="21" t="str">
        <f>IF(AND($AM1564&lt;&gt;"",$AS1564="✓"),SUMPRODUCT(($AM$11:$AM1564&lt;&gt;"")*($AS$11:$AS1564="✓")),"")</f>
        <v/>
      </c>
      <c r="BA1564" s="21" t="str">
        <f>IF($AL1564="","",$AL1564&amp;"|"&amp;COUNTIF($AL$11:$AL1564,$AL1564))</f>
        <v/>
      </c>
    </row>
    <row r="1565" spans="38:53" ht="15" customHeight="1" x14ac:dyDescent="0.25">
      <c r="AL1565" s="17"/>
      <c r="AM1565" s="12"/>
      <c r="AN1565" s="18"/>
      <c r="AO1565" s="18"/>
      <c r="AP1565" s="10"/>
      <c r="AQ1565" s="10"/>
      <c r="AR1565" s="19"/>
      <c r="AS1565" s="20"/>
      <c r="AT1565" s="19"/>
      <c r="AV1565" s="21">
        <f>IF(AND($AL1565&lt;&gt;"",COUNTIF($AL$11:$AL1565,$AL1565)=1),1,0)</f>
        <v>0</v>
      </c>
      <c r="AW1565" s="21">
        <f t="shared" si="135"/>
        <v>0</v>
      </c>
      <c r="AX1565" s="21" t="str">
        <f t="shared" si="134"/>
        <v/>
      </c>
      <c r="AY1565" s="21" t="str">
        <f>IF(AND($AM1565&lt;&gt;"",$AS1565&lt;&gt;"✓"),SUMPRODUCT(($AM$11:$AM1565&lt;&gt;"")*($AS$11:$AS1565&lt;&gt;"✓")),"")</f>
        <v/>
      </c>
      <c r="AZ1565" s="21" t="str">
        <f>IF(AND($AM1565&lt;&gt;"",$AS1565="✓"),SUMPRODUCT(($AM$11:$AM1565&lt;&gt;"")*($AS$11:$AS1565="✓")),"")</f>
        <v/>
      </c>
      <c r="BA1565" s="21" t="str">
        <f>IF($AL1565="","",$AL1565&amp;"|"&amp;COUNTIF($AL$11:$AL1565,$AL1565))</f>
        <v/>
      </c>
    </row>
    <row r="1566" spans="38:53" ht="15" customHeight="1" x14ac:dyDescent="0.25">
      <c r="AL1566" s="31"/>
      <c r="AM1566" s="26"/>
      <c r="AN1566" s="32"/>
      <c r="AO1566" s="32"/>
      <c r="AP1566" s="24"/>
      <c r="AQ1566" s="24"/>
      <c r="AR1566" s="33"/>
      <c r="AS1566" s="34"/>
      <c r="AT1566" s="33"/>
      <c r="AV1566" s="21">
        <f>IF(AND($AL1566&lt;&gt;"",COUNTIF($AL$11:$AL1566,$AL1566)=1),1,0)</f>
        <v>0</v>
      </c>
      <c r="AW1566" s="21">
        <f t="shared" si="135"/>
        <v>0</v>
      </c>
      <c r="AX1566" s="21" t="str">
        <f t="shared" si="134"/>
        <v/>
      </c>
      <c r="AY1566" s="21" t="str">
        <f>IF(AND($AM1566&lt;&gt;"",$AS1566&lt;&gt;"✓"),SUMPRODUCT(($AM$11:$AM1566&lt;&gt;"")*($AS$11:$AS1566&lt;&gt;"✓")),"")</f>
        <v/>
      </c>
      <c r="AZ1566" s="21" t="str">
        <f>IF(AND($AM1566&lt;&gt;"",$AS1566="✓"),SUMPRODUCT(($AM$11:$AM1566&lt;&gt;"")*($AS$11:$AS1566="✓")),"")</f>
        <v/>
      </c>
      <c r="BA1566" s="21" t="str">
        <f>IF($AL1566="","",$AL1566&amp;"|"&amp;COUNTIF($AL$11:$AL1566,$AL1566))</f>
        <v/>
      </c>
    </row>
    <row r="1567" spans="38:53" ht="15" customHeight="1" x14ac:dyDescent="0.25">
      <c r="AL1567" s="17"/>
      <c r="AM1567" s="12"/>
      <c r="AN1567" s="18"/>
      <c r="AO1567" s="18"/>
      <c r="AP1567" s="10"/>
      <c r="AQ1567" s="10"/>
      <c r="AR1567" s="19"/>
      <c r="AS1567" s="20"/>
      <c r="AT1567" s="19"/>
      <c r="AV1567" s="21">
        <f>IF(AND($AL1567&lt;&gt;"",COUNTIF($AL$11:$AL1567,$AL1567)=1),1,0)</f>
        <v>0</v>
      </c>
      <c r="AW1567" s="21">
        <f t="shared" si="135"/>
        <v>0</v>
      </c>
      <c r="AX1567" s="21" t="str">
        <f t="shared" si="134"/>
        <v/>
      </c>
      <c r="AY1567" s="21" t="str">
        <f>IF(AND($AM1567&lt;&gt;"",$AS1567&lt;&gt;"✓"),SUMPRODUCT(($AM$11:$AM1567&lt;&gt;"")*($AS$11:$AS1567&lt;&gt;"✓")),"")</f>
        <v/>
      </c>
      <c r="AZ1567" s="21" t="str">
        <f>IF(AND($AM1567&lt;&gt;"",$AS1567="✓"),SUMPRODUCT(($AM$11:$AM1567&lt;&gt;"")*($AS$11:$AS1567="✓")),"")</f>
        <v/>
      </c>
      <c r="BA1567" s="21" t="str">
        <f>IF($AL1567="","",$AL1567&amp;"|"&amp;COUNTIF($AL$11:$AL1567,$AL1567))</f>
        <v/>
      </c>
    </row>
    <row r="1568" spans="38:53" ht="15" customHeight="1" x14ac:dyDescent="0.25">
      <c r="AL1568" s="31"/>
      <c r="AM1568" s="26"/>
      <c r="AN1568" s="32"/>
      <c r="AO1568" s="32"/>
      <c r="AP1568" s="24"/>
      <c r="AQ1568" s="24"/>
      <c r="AR1568" s="33"/>
      <c r="AS1568" s="34"/>
      <c r="AT1568" s="33"/>
      <c r="AV1568" s="21">
        <f>IF(AND($AL1568&lt;&gt;"",COUNTIF($AL$11:$AL1568,$AL1568)=1),1,0)</f>
        <v>0</v>
      </c>
      <c r="AW1568" s="21">
        <f t="shared" si="135"/>
        <v>0</v>
      </c>
      <c r="AX1568" s="21" t="str">
        <f t="shared" si="134"/>
        <v/>
      </c>
      <c r="AY1568" s="21" t="str">
        <f>IF(AND($AM1568&lt;&gt;"",$AS1568&lt;&gt;"✓"),SUMPRODUCT(($AM$11:$AM1568&lt;&gt;"")*($AS$11:$AS1568&lt;&gt;"✓")),"")</f>
        <v/>
      </c>
      <c r="AZ1568" s="21" t="str">
        <f>IF(AND($AM1568&lt;&gt;"",$AS1568="✓"),SUMPRODUCT(($AM$11:$AM1568&lt;&gt;"")*($AS$11:$AS1568="✓")),"")</f>
        <v/>
      </c>
      <c r="BA1568" s="21" t="str">
        <f>IF($AL1568="","",$AL1568&amp;"|"&amp;COUNTIF($AL$11:$AL1568,$AL1568))</f>
        <v/>
      </c>
    </row>
    <row r="1569" spans="38:53" ht="15" customHeight="1" x14ac:dyDescent="0.25">
      <c r="AL1569" s="17"/>
      <c r="AM1569" s="12"/>
      <c r="AN1569" s="18"/>
      <c r="AO1569" s="18"/>
      <c r="AP1569" s="10"/>
      <c r="AQ1569" s="10"/>
      <c r="AR1569" s="19"/>
      <c r="AS1569" s="20"/>
      <c r="AT1569" s="19"/>
      <c r="AV1569" s="21">
        <f>IF(AND($AL1569&lt;&gt;"",COUNTIF($AL$11:$AL1569,$AL1569)=1),1,0)</f>
        <v>0</v>
      </c>
      <c r="AW1569" s="21">
        <f t="shared" si="135"/>
        <v>0</v>
      </c>
      <c r="AX1569" s="21" t="str">
        <f t="shared" si="134"/>
        <v/>
      </c>
      <c r="AY1569" s="21" t="str">
        <f>IF(AND($AM1569&lt;&gt;"",$AS1569&lt;&gt;"✓"),SUMPRODUCT(($AM$11:$AM1569&lt;&gt;"")*($AS$11:$AS1569&lt;&gt;"✓")),"")</f>
        <v/>
      </c>
      <c r="AZ1569" s="21" t="str">
        <f>IF(AND($AM1569&lt;&gt;"",$AS1569="✓"),SUMPRODUCT(($AM$11:$AM1569&lt;&gt;"")*($AS$11:$AS1569="✓")),"")</f>
        <v/>
      </c>
      <c r="BA1569" s="21" t="str">
        <f>IF($AL1569="","",$AL1569&amp;"|"&amp;COUNTIF($AL$11:$AL1569,$AL1569))</f>
        <v/>
      </c>
    </row>
    <row r="1570" spans="38:53" ht="15" customHeight="1" x14ac:dyDescent="0.25">
      <c r="AL1570" s="31"/>
      <c r="AM1570" s="26"/>
      <c r="AN1570" s="32"/>
      <c r="AO1570" s="32"/>
      <c r="AP1570" s="24"/>
      <c r="AQ1570" s="24"/>
      <c r="AR1570" s="33"/>
      <c r="AS1570" s="34"/>
      <c r="AT1570" s="33"/>
      <c r="AV1570" s="21">
        <f>IF(AND($AL1570&lt;&gt;"",COUNTIF($AL$11:$AL1570,$AL1570)=1),1,0)</f>
        <v>0</v>
      </c>
      <c r="AW1570" s="21">
        <f t="shared" si="135"/>
        <v>0</v>
      </c>
      <c r="AX1570" s="21" t="str">
        <f t="shared" si="134"/>
        <v/>
      </c>
      <c r="AY1570" s="21" t="str">
        <f>IF(AND($AM1570&lt;&gt;"",$AS1570&lt;&gt;"✓"),SUMPRODUCT(($AM$11:$AM1570&lt;&gt;"")*($AS$11:$AS1570&lt;&gt;"✓")),"")</f>
        <v/>
      </c>
      <c r="AZ1570" s="21" t="str">
        <f>IF(AND($AM1570&lt;&gt;"",$AS1570="✓"),SUMPRODUCT(($AM$11:$AM1570&lt;&gt;"")*($AS$11:$AS1570="✓")),"")</f>
        <v/>
      </c>
      <c r="BA1570" s="21" t="str">
        <f>IF($AL1570="","",$AL1570&amp;"|"&amp;COUNTIF($AL$11:$AL1570,$AL1570))</f>
        <v/>
      </c>
    </row>
    <row r="1571" spans="38:53" ht="15" customHeight="1" x14ac:dyDescent="0.25">
      <c r="AL1571" s="17"/>
      <c r="AM1571" s="12"/>
      <c r="AN1571" s="18"/>
      <c r="AO1571" s="18"/>
      <c r="AP1571" s="10"/>
      <c r="AQ1571" s="10"/>
      <c r="AR1571" s="19"/>
      <c r="AS1571" s="20"/>
      <c r="AT1571" s="19"/>
      <c r="AV1571" s="21">
        <f>IF(AND($AL1571&lt;&gt;"",COUNTIF($AL$11:$AL1571,$AL1571)=1),1,0)</f>
        <v>0</v>
      </c>
      <c r="AW1571" s="21">
        <f t="shared" si="135"/>
        <v>0</v>
      </c>
      <c r="AX1571" s="21" t="str">
        <f t="shared" si="134"/>
        <v/>
      </c>
      <c r="AY1571" s="21" t="str">
        <f>IF(AND($AM1571&lt;&gt;"",$AS1571&lt;&gt;"✓"),SUMPRODUCT(($AM$11:$AM1571&lt;&gt;"")*($AS$11:$AS1571&lt;&gt;"✓")),"")</f>
        <v/>
      </c>
      <c r="AZ1571" s="21" t="str">
        <f>IF(AND($AM1571&lt;&gt;"",$AS1571="✓"),SUMPRODUCT(($AM$11:$AM1571&lt;&gt;"")*($AS$11:$AS1571="✓")),"")</f>
        <v/>
      </c>
      <c r="BA1571" s="21" t="str">
        <f>IF($AL1571="","",$AL1571&amp;"|"&amp;COUNTIF($AL$11:$AL1571,$AL1571))</f>
        <v/>
      </c>
    </row>
    <row r="1572" spans="38:53" ht="15" customHeight="1" x14ac:dyDescent="0.25">
      <c r="AL1572" s="31"/>
      <c r="AM1572" s="26"/>
      <c r="AN1572" s="32"/>
      <c r="AO1572" s="32"/>
      <c r="AP1572" s="24"/>
      <c r="AQ1572" s="24"/>
      <c r="AR1572" s="33"/>
      <c r="AS1572" s="34"/>
      <c r="AT1572" s="33"/>
      <c r="AV1572" s="21">
        <f>IF(AND($AL1572&lt;&gt;"",COUNTIF($AL$11:$AL1572,$AL1572)=1),1,0)</f>
        <v>0</v>
      </c>
      <c r="AW1572" s="21">
        <f t="shared" si="135"/>
        <v>0</v>
      </c>
      <c r="AX1572" s="21" t="str">
        <f t="shared" si="134"/>
        <v/>
      </c>
      <c r="AY1572" s="21" t="str">
        <f>IF(AND($AM1572&lt;&gt;"",$AS1572&lt;&gt;"✓"),SUMPRODUCT(($AM$11:$AM1572&lt;&gt;"")*($AS$11:$AS1572&lt;&gt;"✓")),"")</f>
        <v/>
      </c>
      <c r="AZ1572" s="21" t="str">
        <f>IF(AND($AM1572&lt;&gt;"",$AS1572="✓"),SUMPRODUCT(($AM$11:$AM1572&lt;&gt;"")*($AS$11:$AS1572="✓")),"")</f>
        <v/>
      </c>
      <c r="BA1572" s="21" t="str">
        <f>IF($AL1572="","",$AL1572&amp;"|"&amp;COUNTIF($AL$11:$AL1572,$AL1572))</f>
        <v/>
      </c>
    </row>
    <row r="1573" spans="38:53" ht="15" customHeight="1" x14ac:dyDescent="0.25">
      <c r="AL1573" s="17"/>
      <c r="AM1573" s="12"/>
      <c r="AN1573" s="18"/>
      <c r="AO1573" s="18"/>
      <c r="AP1573" s="10"/>
      <c r="AQ1573" s="10"/>
      <c r="AR1573" s="19"/>
      <c r="AS1573" s="20"/>
      <c r="AT1573" s="19"/>
      <c r="AV1573" s="21">
        <f>IF(AND($AL1573&lt;&gt;"",COUNTIF($AL$11:$AL1573,$AL1573)=1),1,0)</f>
        <v>0</v>
      </c>
      <c r="AW1573" s="21">
        <f t="shared" si="135"/>
        <v>0</v>
      </c>
      <c r="AX1573" s="21" t="str">
        <f t="shared" si="134"/>
        <v/>
      </c>
      <c r="AY1573" s="21" t="str">
        <f>IF(AND($AM1573&lt;&gt;"",$AS1573&lt;&gt;"✓"),SUMPRODUCT(($AM$11:$AM1573&lt;&gt;"")*($AS$11:$AS1573&lt;&gt;"✓")),"")</f>
        <v/>
      </c>
      <c r="AZ1573" s="21" t="str">
        <f>IF(AND($AM1573&lt;&gt;"",$AS1573="✓"),SUMPRODUCT(($AM$11:$AM1573&lt;&gt;"")*($AS$11:$AS1573="✓")),"")</f>
        <v/>
      </c>
      <c r="BA1573" s="21" t="str">
        <f>IF($AL1573="","",$AL1573&amp;"|"&amp;COUNTIF($AL$11:$AL1573,$AL1573))</f>
        <v/>
      </c>
    </row>
    <row r="1574" spans="38:53" ht="15" customHeight="1" x14ac:dyDescent="0.25">
      <c r="AL1574" s="31"/>
      <c r="AM1574" s="26"/>
      <c r="AN1574" s="32"/>
      <c r="AO1574" s="32"/>
      <c r="AP1574" s="24"/>
      <c r="AQ1574" s="24"/>
      <c r="AR1574" s="33"/>
      <c r="AS1574" s="34"/>
      <c r="AT1574" s="33"/>
      <c r="AV1574" s="21">
        <f>IF(AND($AL1574&lt;&gt;"",COUNTIF($AL$11:$AL1574,$AL1574)=1),1,0)</f>
        <v>0</v>
      </c>
      <c r="AW1574" s="21">
        <f t="shared" si="135"/>
        <v>0</v>
      </c>
      <c r="AX1574" s="21" t="str">
        <f t="shared" si="134"/>
        <v/>
      </c>
      <c r="AY1574" s="21" t="str">
        <f>IF(AND($AM1574&lt;&gt;"",$AS1574&lt;&gt;"✓"),SUMPRODUCT(($AM$11:$AM1574&lt;&gt;"")*($AS$11:$AS1574&lt;&gt;"✓")),"")</f>
        <v/>
      </c>
      <c r="AZ1574" s="21" t="str">
        <f>IF(AND($AM1574&lt;&gt;"",$AS1574="✓"),SUMPRODUCT(($AM$11:$AM1574&lt;&gt;"")*($AS$11:$AS1574="✓")),"")</f>
        <v/>
      </c>
      <c r="BA1574" s="21" t="str">
        <f>IF($AL1574="","",$AL1574&amp;"|"&amp;COUNTIF($AL$11:$AL1574,$AL1574))</f>
        <v/>
      </c>
    </row>
    <row r="1575" spans="38:53" ht="15" customHeight="1" x14ac:dyDescent="0.25">
      <c r="AL1575" s="17"/>
      <c r="AM1575" s="12"/>
      <c r="AN1575" s="18"/>
      <c r="AO1575" s="18"/>
      <c r="AP1575" s="10"/>
      <c r="AQ1575" s="10"/>
      <c r="AR1575" s="19"/>
      <c r="AS1575" s="20"/>
      <c r="AT1575" s="19"/>
      <c r="AV1575" s="21">
        <f>IF(AND($AL1575&lt;&gt;"",COUNTIF($AL$11:$AL1575,$AL1575)=1),1,0)</f>
        <v>0</v>
      </c>
      <c r="AW1575" s="21">
        <f t="shared" si="135"/>
        <v>0</v>
      </c>
      <c r="AX1575" s="21" t="str">
        <f t="shared" si="134"/>
        <v/>
      </c>
      <c r="AY1575" s="21" t="str">
        <f>IF(AND($AM1575&lt;&gt;"",$AS1575&lt;&gt;"✓"),SUMPRODUCT(($AM$11:$AM1575&lt;&gt;"")*($AS$11:$AS1575&lt;&gt;"✓")),"")</f>
        <v/>
      </c>
      <c r="AZ1575" s="21" t="str">
        <f>IF(AND($AM1575&lt;&gt;"",$AS1575="✓"),SUMPRODUCT(($AM$11:$AM1575&lt;&gt;"")*($AS$11:$AS1575="✓")),"")</f>
        <v/>
      </c>
      <c r="BA1575" s="21" t="str">
        <f>IF($AL1575="","",$AL1575&amp;"|"&amp;COUNTIF($AL$11:$AL1575,$AL1575))</f>
        <v/>
      </c>
    </row>
    <row r="1576" spans="38:53" ht="15" customHeight="1" x14ac:dyDescent="0.25">
      <c r="AL1576" s="31"/>
      <c r="AM1576" s="26"/>
      <c r="AN1576" s="32"/>
      <c r="AO1576" s="32"/>
      <c r="AP1576" s="24"/>
      <c r="AQ1576" s="24"/>
      <c r="AR1576" s="33"/>
      <c r="AS1576" s="34"/>
      <c r="AT1576" s="33"/>
      <c r="AV1576" s="21">
        <f>IF(AND($AL1576&lt;&gt;"",COUNTIF($AL$11:$AL1576,$AL1576)=1),1,0)</f>
        <v>0</v>
      </c>
      <c r="AW1576" s="21">
        <f t="shared" si="135"/>
        <v>0</v>
      </c>
      <c r="AX1576" s="21" t="str">
        <f t="shared" si="134"/>
        <v/>
      </c>
      <c r="AY1576" s="21" t="str">
        <f>IF(AND($AM1576&lt;&gt;"",$AS1576&lt;&gt;"✓"),SUMPRODUCT(($AM$11:$AM1576&lt;&gt;"")*($AS$11:$AS1576&lt;&gt;"✓")),"")</f>
        <v/>
      </c>
      <c r="AZ1576" s="21" t="str">
        <f>IF(AND($AM1576&lt;&gt;"",$AS1576="✓"),SUMPRODUCT(($AM$11:$AM1576&lt;&gt;"")*($AS$11:$AS1576="✓")),"")</f>
        <v/>
      </c>
      <c r="BA1576" s="21" t="str">
        <f>IF($AL1576="","",$AL1576&amp;"|"&amp;COUNTIF($AL$11:$AL1576,$AL1576))</f>
        <v/>
      </c>
    </row>
    <row r="1577" spans="38:53" ht="15" customHeight="1" x14ac:dyDescent="0.25">
      <c r="AL1577" s="17"/>
      <c r="AM1577" s="12"/>
      <c r="AN1577" s="18"/>
      <c r="AO1577" s="18"/>
      <c r="AP1577" s="10"/>
      <c r="AQ1577" s="10"/>
      <c r="AR1577" s="19"/>
      <c r="AS1577" s="20"/>
      <c r="AT1577" s="19"/>
      <c r="AV1577" s="21">
        <f>IF(AND($AL1577&lt;&gt;"",COUNTIF($AL$11:$AL1577,$AL1577)=1),1,0)</f>
        <v>0</v>
      </c>
      <c r="AW1577" s="21">
        <f t="shared" si="135"/>
        <v>0</v>
      </c>
      <c r="AX1577" s="21" t="str">
        <f t="shared" si="134"/>
        <v/>
      </c>
      <c r="AY1577" s="21" t="str">
        <f>IF(AND($AM1577&lt;&gt;"",$AS1577&lt;&gt;"✓"),SUMPRODUCT(($AM$11:$AM1577&lt;&gt;"")*($AS$11:$AS1577&lt;&gt;"✓")),"")</f>
        <v/>
      </c>
      <c r="AZ1577" s="21" t="str">
        <f>IF(AND($AM1577&lt;&gt;"",$AS1577="✓"),SUMPRODUCT(($AM$11:$AM1577&lt;&gt;"")*($AS$11:$AS1577="✓")),"")</f>
        <v/>
      </c>
      <c r="BA1577" s="21" t="str">
        <f>IF($AL1577="","",$AL1577&amp;"|"&amp;COUNTIF($AL$11:$AL1577,$AL1577))</f>
        <v/>
      </c>
    </row>
    <row r="1578" spans="38:53" ht="15" customHeight="1" x14ac:dyDescent="0.25">
      <c r="AL1578" s="31"/>
      <c r="AM1578" s="26"/>
      <c r="AN1578" s="32"/>
      <c r="AO1578" s="32"/>
      <c r="AP1578" s="24"/>
      <c r="AQ1578" s="24"/>
      <c r="AR1578" s="33"/>
      <c r="AS1578" s="34"/>
      <c r="AT1578" s="33"/>
      <c r="AV1578" s="21">
        <f>IF(AND($AL1578&lt;&gt;"",COUNTIF($AL$11:$AL1578,$AL1578)=1),1,0)</f>
        <v>0</v>
      </c>
      <c r="AW1578" s="21">
        <f t="shared" si="135"/>
        <v>0</v>
      </c>
      <c r="AX1578" s="21" t="str">
        <f t="shared" si="134"/>
        <v/>
      </c>
      <c r="AY1578" s="21" t="str">
        <f>IF(AND($AM1578&lt;&gt;"",$AS1578&lt;&gt;"✓"),SUMPRODUCT(($AM$11:$AM1578&lt;&gt;"")*($AS$11:$AS1578&lt;&gt;"✓")),"")</f>
        <v/>
      </c>
      <c r="AZ1578" s="21" t="str">
        <f>IF(AND($AM1578&lt;&gt;"",$AS1578="✓"),SUMPRODUCT(($AM$11:$AM1578&lt;&gt;"")*($AS$11:$AS1578="✓")),"")</f>
        <v/>
      </c>
      <c r="BA1578" s="21" t="str">
        <f>IF($AL1578="","",$AL1578&amp;"|"&amp;COUNTIF($AL$11:$AL1578,$AL1578))</f>
        <v/>
      </c>
    </row>
    <row r="1579" spans="38:53" ht="15" customHeight="1" x14ac:dyDescent="0.25">
      <c r="AL1579" s="17"/>
      <c r="AM1579" s="12"/>
      <c r="AN1579" s="18"/>
      <c r="AO1579" s="18"/>
      <c r="AP1579" s="10"/>
      <c r="AQ1579" s="10"/>
      <c r="AR1579" s="19"/>
      <c r="AS1579" s="20"/>
      <c r="AT1579" s="19"/>
      <c r="AV1579" s="21">
        <f>IF(AND($AL1579&lt;&gt;"",COUNTIF($AL$11:$AL1579,$AL1579)=1),1,0)</f>
        <v>0</v>
      </c>
      <c r="AW1579" s="21">
        <f t="shared" si="135"/>
        <v>0</v>
      </c>
      <c r="AX1579" s="21" t="str">
        <f t="shared" si="134"/>
        <v/>
      </c>
      <c r="AY1579" s="21" t="str">
        <f>IF(AND($AM1579&lt;&gt;"",$AS1579&lt;&gt;"✓"),SUMPRODUCT(($AM$11:$AM1579&lt;&gt;"")*($AS$11:$AS1579&lt;&gt;"✓")),"")</f>
        <v/>
      </c>
      <c r="AZ1579" s="21" t="str">
        <f>IF(AND($AM1579&lt;&gt;"",$AS1579="✓"),SUMPRODUCT(($AM$11:$AM1579&lt;&gt;"")*($AS$11:$AS1579="✓")),"")</f>
        <v/>
      </c>
      <c r="BA1579" s="21" t="str">
        <f>IF($AL1579="","",$AL1579&amp;"|"&amp;COUNTIF($AL$11:$AL1579,$AL1579))</f>
        <v/>
      </c>
    </row>
    <row r="1580" spans="38:53" ht="15" customHeight="1" x14ac:dyDescent="0.25">
      <c r="AL1580" s="31"/>
      <c r="AM1580" s="26"/>
      <c r="AN1580" s="32"/>
      <c r="AO1580" s="32"/>
      <c r="AP1580" s="24"/>
      <c r="AQ1580" s="24"/>
      <c r="AR1580" s="33"/>
      <c r="AS1580" s="34"/>
      <c r="AT1580" s="33"/>
      <c r="AV1580" s="21">
        <f>IF(AND($AL1580&lt;&gt;"",COUNTIF($AL$11:$AL1580,$AL1580)=1),1,0)</f>
        <v>0</v>
      </c>
      <c r="AW1580" s="21">
        <f t="shared" si="135"/>
        <v>0</v>
      </c>
      <c r="AX1580" s="21" t="str">
        <f t="shared" si="134"/>
        <v/>
      </c>
      <c r="AY1580" s="21" t="str">
        <f>IF(AND($AM1580&lt;&gt;"",$AS1580&lt;&gt;"✓"),SUMPRODUCT(($AM$11:$AM1580&lt;&gt;"")*($AS$11:$AS1580&lt;&gt;"✓")),"")</f>
        <v/>
      </c>
      <c r="AZ1580" s="21" t="str">
        <f>IF(AND($AM1580&lt;&gt;"",$AS1580="✓"),SUMPRODUCT(($AM$11:$AM1580&lt;&gt;"")*($AS$11:$AS1580="✓")),"")</f>
        <v/>
      </c>
      <c r="BA1580" s="21" t="str">
        <f>IF($AL1580="","",$AL1580&amp;"|"&amp;COUNTIF($AL$11:$AL1580,$AL1580))</f>
        <v/>
      </c>
    </row>
    <row r="1581" spans="38:53" ht="15" customHeight="1" x14ac:dyDescent="0.25">
      <c r="AL1581" s="17"/>
      <c r="AM1581" s="12"/>
      <c r="AN1581" s="18"/>
      <c r="AO1581" s="18"/>
      <c r="AP1581" s="10"/>
      <c r="AQ1581" s="10"/>
      <c r="AR1581" s="19"/>
      <c r="AS1581" s="20"/>
      <c r="AT1581" s="19"/>
      <c r="AV1581" s="21">
        <f>IF(AND($AL1581&lt;&gt;"",COUNTIF($AL$11:$AL1581,$AL1581)=1),1,0)</f>
        <v>0</v>
      </c>
      <c r="AW1581" s="21">
        <f t="shared" si="135"/>
        <v>0</v>
      </c>
      <c r="AX1581" s="21" t="str">
        <f t="shared" si="134"/>
        <v/>
      </c>
      <c r="AY1581" s="21" t="str">
        <f>IF(AND($AM1581&lt;&gt;"",$AS1581&lt;&gt;"✓"),SUMPRODUCT(($AM$11:$AM1581&lt;&gt;"")*($AS$11:$AS1581&lt;&gt;"✓")),"")</f>
        <v/>
      </c>
      <c r="AZ1581" s="21" t="str">
        <f>IF(AND($AM1581&lt;&gt;"",$AS1581="✓"),SUMPRODUCT(($AM$11:$AM1581&lt;&gt;"")*($AS$11:$AS1581="✓")),"")</f>
        <v/>
      </c>
      <c r="BA1581" s="21" t="str">
        <f>IF($AL1581="","",$AL1581&amp;"|"&amp;COUNTIF($AL$11:$AL1581,$AL1581))</f>
        <v/>
      </c>
    </row>
    <row r="1582" spans="38:53" ht="15" customHeight="1" x14ac:dyDescent="0.25">
      <c r="AL1582" s="31"/>
      <c r="AM1582" s="26"/>
      <c r="AN1582" s="32"/>
      <c r="AO1582" s="32"/>
      <c r="AP1582" s="24"/>
      <c r="AQ1582" s="24"/>
      <c r="AR1582" s="33"/>
      <c r="AS1582" s="34"/>
      <c r="AT1582" s="33"/>
      <c r="AV1582" s="21">
        <f>IF(AND($AL1582&lt;&gt;"",COUNTIF($AL$11:$AL1582,$AL1582)=1),1,0)</f>
        <v>0</v>
      </c>
      <c r="AW1582" s="21">
        <f t="shared" si="135"/>
        <v>0</v>
      </c>
      <c r="AX1582" s="21" t="str">
        <f t="shared" si="134"/>
        <v/>
      </c>
      <c r="AY1582" s="21" t="str">
        <f>IF(AND($AM1582&lt;&gt;"",$AS1582&lt;&gt;"✓"),SUMPRODUCT(($AM$11:$AM1582&lt;&gt;"")*($AS$11:$AS1582&lt;&gt;"✓")),"")</f>
        <v/>
      </c>
      <c r="AZ1582" s="21" t="str">
        <f>IF(AND($AM1582&lt;&gt;"",$AS1582="✓"),SUMPRODUCT(($AM$11:$AM1582&lt;&gt;"")*($AS$11:$AS1582="✓")),"")</f>
        <v/>
      </c>
      <c r="BA1582" s="21" t="str">
        <f>IF($AL1582="","",$AL1582&amp;"|"&amp;COUNTIF($AL$11:$AL1582,$AL1582))</f>
        <v/>
      </c>
    </row>
    <row r="1583" spans="38:53" ht="15" customHeight="1" x14ac:dyDescent="0.25">
      <c r="AL1583" s="17"/>
      <c r="AM1583" s="12"/>
      <c r="AN1583" s="18"/>
      <c r="AO1583" s="18"/>
      <c r="AP1583" s="10"/>
      <c r="AQ1583" s="10"/>
      <c r="AR1583" s="19"/>
      <c r="AS1583" s="20"/>
      <c r="AT1583" s="19"/>
      <c r="AV1583" s="21">
        <f>IF(AND($AL1583&lt;&gt;"",COUNTIF($AL$11:$AL1583,$AL1583)=1),1,0)</f>
        <v>0</v>
      </c>
      <c r="AW1583" s="21">
        <f t="shared" si="135"/>
        <v>0</v>
      </c>
      <c r="AX1583" s="21" t="str">
        <f t="shared" si="134"/>
        <v/>
      </c>
      <c r="AY1583" s="21" t="str">
        <f>IF(AND($AM1583&lt;&gt;"",$AS1583&lt;&gt;"✓"),SUMPRODUCT(($AM$11:$AM1583&lt;&gt;"")*($AS$11:$AS1583&lt;&gt;"✓")),"")</f>
        <v/>
      </c>
      <c r="AZ1583" s="21" t="str">
        <f>IF(AND($AM1583&lt;&gt;"",$AS1583="✓"),SUMPRODUCT(($AM$11:$AM1583&lt;&gt;"")*($AS$11:$AS1583="✓")),"")</f>
        <v/>
      </c>
      <c r="BA1583" s="21" t="str">
        <f>IF($AL1583="","",$AL1583&amp;"|"&amp;COUNTIF($AL$11:$AL1583,$AL1583))</f>
        <v/>
      </c>
    </row>
    <row r="1584" spans="38:53" ht="15" customHeight="1" x14ac:dyDescent="0.25">
      <c r="AL1584" s="31"/>
      <c r="AM1584" s="26"/>
      <c r="AN1584" s="32"/>
      <c r="AO1584" s="32"/>
      <c r="AP1584" s="24"/>
      <c r="AQ1584" s="24"/>
      <c r="AR1584" s="33"/>
      <c r="AS1584" s="34"/>
      <c r="AT1584" s="33"/>
      <c r="AV1584" s="21">
        <f>IF(AND($AL1584&lt;&gt;"",COUNTIF($AL$11:$AL1584,$AL1584)=1),1,0)</f>
        <v>0</v>
      </c>
      <c r="AW1584" s="21">
        <f t="shared" si="135"/>
        <v>0</v>
      </c>
      <c r="AX1584" s="21" t="str">
        <f t="shared" si="134"/>
        <v/>
      </c>
      <c r="AY1584" s="21" t="str">
        <f>IF(AND($AM1584&lt;&gt;"",$AS1584&lt;&gt;"✓"),SUMPRODUCT(($AM$11:$AM1584&lt;&gt;"")*($AS$11:$AS1584&lt;&gt;"✓")),"")</f>
        <v/>
      </c>
      <c r="AZ1584" s="21" t="str">
        <f>IF(AND($AM1584&lt;&gt;"",$AS1584="✓"),SUMPRODUCT(($AM$11:$AM1584&lt;&gt;"")*($AS$11:$AS1584="✓")),"")</f>
        <v/>
      </c>
      <c r="BA1584" s="21" t="str">
        <f>IF($AL1584="","",$AL1584&amp;"|"&amp;COUNTIF($AL$11:$AL1584,$AL1584))</f>
        <v/>
      </c>
    </row>
    <row r="1585" spans="38:53" ht="15" customHeight="1" x14ac:dyDescent="0.25">
      <c r="AL1585" s="17"/>
      <c r="AM1585" s="12"/>
      <c r="AN1585" s="18"/>
      <c r="AO1585" s="18"/>
      <c r="AP1585" s="10"/>
      <c r="AQ1585" s="10"/>
      <c r="AR1585" s="19"/>
      <c r="AS1585" s="20"/>
      <c r="AT1585" s="19"/>
      <c r="AV1585" s="21">
        <f>IF(AND($AL1585&lt;&gt;"",COUNTIF($AL$11:$AL1585,$AL1585)=1),1,0)</f>
        <v>0</v>
      </c>
      <c r="AW1585" s="21">
        <f t="shared" si="135"/>
        <v>0</v>
      </c>
      <c r="AX1585" s="21" t="str">
        <f t="shared" si="134"/>
        <v/>
      </c>
      <c r="AY1585" s="21" t="str">
        <f>IF(AND($AM1585&lt;&gt;"",$AS1585&lt;&gt;"✓"),SUMPRODUCT(($AM$11:$AM1585&lt;&gt;"")*($AS$11:$AS1585&lt;&gt;"✓")),"")</f>
        <v/>
      </c>
      <c r="AZ1585" s="21" t="str">
        <f>IF(AND($AM1585&lt;&gt;"",$AS1585="✓"),SUMPRODUCT(($AM$11:$AM1585&lt;&gt;"")*($AS$11:$AS1585="✓")),"")</f>
        <v/>
      </c>
      <c r="BA1585" s="21" t="str">
        <f>IF($AL1585="","",$AL1585&amp;"|"&amp;COUNTIF($AL$11:$AL1585,$AL1585))</f>
        <v/>
      </c>
    </row>
    <row r="1586" spans="38:53" ht="15" customHeight="1" x14ac:dyDescent="0.25">
      <c r="AL1586" s="31"/>
      <c r="AM1586" s="26"/>
      <c r="AN1586" s="32"/>
      <c r="AO1586" s="32"/>
      <c r="AP1586" s="24"/>
      <c r="AQ1586" s="24"/>
      <c r="AR1586" s="33"/>
      <c r="AS1586" s="34"/>
      <c r="AT1586" s="33"/>
      <c r="AV1586" s="21">
        <f>IF(AND($AL1586&lt;&gt;"",COUNTIF($AL$11:$AL1586,$AL1586)=1),1,0)</f>
        <v>0</v>
      </c>
      <c r="AW1586" s="21">
        <f t="shared" si="135"/>
        <v>0</v>
      </c>
      <c r="AX1586" s="21" t="str">
        <f t="shared" si="134"/>
        <v/>
      </c>
      <c r="AY1586" s="21" t="str">
        <f>IF(AND($AM1586&lt;&gt;"",$AS1586&lt;&gt;"✓"),SUMPRODUCT(($AM$11:$AM1586&lt;&gt;"")*($AS$11:$AS1586&lt;&gt;"✓")),"")</f>
        <v/>
      </c>
      <c r="AZ1586" s="21" t="str">
        <f>IF(AND($AM1586&lt;&gt;"",$AS1586="✓"),SUMPRODUCT(($AM$11:$AM1586&lt;&gt;"")*($AS$11:$AS1586="✓")),"")</f>
        <v/>
      </c>
      <c r="BA1586" s="21" t="str">
        <f>IF($AL1586="","",$AL1586&amp;"|"&amp;COUNTIF($AL$11:$AL1586,$AL1586))</f>
        <v/>
      </c>
    </row>
    <row r="1587" spans="38:53" ht="15" customHeight="1" x14ac:dyDescent="0.25">
      <c r="AL1587" s="17"/>
      <c r="AM1587" s="12"/>
      <c r="AN1587" s="18"/>
      <c r="AO1587" s="18"/>
      <c r="AP1587" s="10"/>
      <c r="AQ1587" s="10"/>
      <c r="AR1587" s="19"/>
      <c r="AS1587" s="20"/>
      <c r="AT1587" s="19"/>
      <c r="AV1587" s="21">
        <f>IF(AND($AL1587&lt;&gt;"",COUNTIF($AL$11:$AL1587,$AL1587)=1),1,0)</f>
        <v>0</v>
      </c>
      <c r="AW1587" s="21">
        <f t="shared" si="135"/>
        <v>0</v>
      </c>
      <c r="AX1587" s="21" t="str">
        <f t="shared" si="134"/>
        <v/>
      </c>
      <c r="AY1587" s="21" t="str">
        <f>IF(AND($AM1587&lt;&gt;"",$AS1587&lt;&gt;"✓"),SUMPRODUCT(($AM$11:$AM1587&lt;&gt;"")*($AS$11:$AS1587&lt;&gt;"✓")),"")</f>
        <v/>
      </c>
      <c r="AZ1587" s="21" t="str">
        <f>IF(AND($AM1587&lt;&gt;"",$AS1587="✓"),SUMPRODUCT(($AM$11:$AM1587&lt;&gt;"")*($AS$11:$AS1587="✓")),"")</f>
        <v/>
      </c>
      <c r="BA1587" s="21" t="str">
        <f>IF($AL1587="","",$AL1587&amp;"|"&amp;COUNTIF($AL$11:$AL1587,$AL1587))</f>
        <v/>
      </c>
    </row>
    <row r="1588" spans="38:53" ht="15" customHeight="1" x14ac:dyDescent="0.25">
      <c r="AL1588" s="31"/>
      <c r="AM1588" s="26"/>
      <c r="AN1588" s="32"/>
      <c r="AO1588" s="32"/>
      <c r="AP1588" s="24"/>
      <c r="AQ1588" s="24"/>
      <c r="AR1588" s="33"/>
      <c r="AS1588" s="34"/>
      <c r="AT1588" s="33"/>
      <c r="AV1588" s="21">
        <f>IF(AND($AL1588&lt;&gt;"",COUNTIF($AL$11:$AL1588,$AL1588)=1),1,0)</f>
        <v>0</v>
      </c>
      <c r="AW1588" s="21">
        <f t="shared" si="135"/>
        <v>0</v>
      </c>
      <c r="AX1588" s="21" t="str">
        <f t="shared" si="134"/>
        <v/>
      </c>
      <c r="AY1588" s="21" t="str">
        <f>IF(AND($AM1588&lt;&gt;"",$AS1588&lt;&gt;"✓"),SUMPRODUCT(($AM$11:$AM1588&lt;&gt;"")*($AS$11:$AS1588&lt;&gt;"✓")),"")</f>
        <v/>
      </c>
      <c r="AZ1588" s="21" t="str">
        <f>IF(AND($AM1588&lt;&gt;"",$AS1588="✓"),SUMPRODUCT(($AM$11:$AM1588&lt;&gt;"")*($AS$11:$AS1588="✓")),"")</f>
        <v/>
      </c>
      <c r="BA1588" s="21" t="str">
        <f>IF($AL1588="","",$AL1588&amp;"|"&amp;COUNTIF($AL$11:$AL1588,$AL1588))</f>
        <v/>
      </c>
    </row>
    <row r="1589" spans="38:53" ht="15" customHeight="1" x14ac:dyDescent="0.25">
      <c r="AL1589" s="17"/>
      <c r="AM1589" s="12"/>
      <c r="AN1589" s="18"/>
      <c r="AO1589" s="18"/>
      <c r="AP1589" s="10"/>
      <c r="AQ1589" s="10"/>
      <c r="AR1589" s="19"/>
      <c r="AS1589" s="20"/>
      <c r="AT1589" s="19"/>
      <c r="AV1589" s="21">
        <f>IF(AND($AL1589&lt;&gt;"",COUNTIF($AL$11:$AL1589,$AL1589)=1),1,0)</f>
        <v>0</v>
      </c>
      <c r="AW1589" s="21">
        <f t="shared" si="135"/>
        <v>0</v>
      </c>
      <c r="AX1589" s="21" t="str">
        <f t="shared" si="134"/>
        <v/>
      </c>
      <c r="AY1589" s="21" t="str">
        <f>IF(AND($AM1589&lt;&gt;"",$AS1589&lt;&gt;"✓"),SUMPRODUCT(($AM$11:$AM1589&lt;&gt;"")*($AS$11:$AS1589&lt;&gt;"✓")),"")</f>
        <v/>
      </c>
      <c r="AZ1589" s="21" t="str">
        <f>IF(AND($AM1589&lt;&gt;"",$AS1589="✓"),SUMPRODUCT(($AM$11:$AM1589&lt;&gt;"")*($AS$11:$AS1589="✓")),"")</f>
        <v/>
      </c>
      <c r="BA1589" s="21" t="str">
        <f>IF($AL1589="","",$AL1589&amp;"|"&amp;COUNTIF($AL$11:$AL1589,$AL1589))</f>
        <v/>
      </c>
    </row>
    <row r="1590" spans="38:53" ht="15" customHeight="1" x14ac:dyDescent="0.25">
      <c r="AL1590" s="31"/>
      <c r="AM1590" s="26"/>
      <c r="AN1590" s="32"/>
      <c r="AO1590" s="32"/>
      <c r="AP1590" s="24"/>
      <c r="AQ1590" s="24"/>
      <c r="AR1590" s="33"/>
      <c r="AS1590" s="34"/>
      <c r="AT1590" s="33"/>
      <c r="AV1590" s="21">
        <f>IF(AND($AL1590&lt;&gt;"",COUNTIF($AL$11:$AL1590,$AL1590)=1),1,0)</f>
        <v>0</v>
      </c>
      <c r="AW1590" s="21">
        <f t="shared" si="135"/>
        <v>0</v>
      </c>
      <c r="AX1590" s="21" t="str">
        <f t="shared" si="134"/>
        <v/>
      </c>
      <c r="AY1590" s="21" t="str">
        <f>IF(AND($AM1590&lt;&gt;"",$AS1590&lt;&gt;"✓"),SUMPRODUCT(($AM$11:$AM1590&lt;&gt;"")*($AS$11:$AS1590&lt;&gt;"✓")),"")</f>
        <v/>
      </c>
      <c r="AZ1590" s="21" t="str">
        <f>IF(AND($AM1590&lt;&gt;"",$AS1590="✓"),SUMPRODUCT(($AM$11:$AM1590&lt;&gt;"")*($AS$11:$AS1590="✓")),"")</f>
        <v/>
      </c>
      <c r="BA1590" s="21" t="str">
        <f>IF($AL1590="","",$AL1590&amp;"|"&amp;COUNTIF($AL$11:$AL1590,$AL1590))</f>
        <v/>
      </c>
    </row>
    <row r="1591" spans="38:53" ht="15" customHeight="1" x14ac:dyDescent="0.25">
      <c r="AL1591" s="17"/>
      <c r="AM1591" s="12"/>
      <c r="AN1591" s="18"/>
      <c r="AO1591" s="18"/>
      <c r="AP1591" s="10"/>
      <c r="AQ1591" s="10"/>
      <c r="AR1591" s="19"/>
      <c r="AS1591" s="20"/>
      <c r="AT1591" s="19"/>
      <c r="AV1591" s="21">
        <f>IF(AND($AL1591&lt;&gt;"",COUNTIF($AL$11:$AL1591,$AL1591)=1),1,0)</f>
        <v>0</v>
      </c>
      <c r="AW1591" s="21">
        <f t="shared" si="135"/>
        <v>0</v>
      </c>
      <c r="AX1591" s="21" t="str">
        <f t="shared" si="134"/>
        <v/>
      </c>
      <c r="AY1591" s="21" t="str">
        <f>IF(AND($AM1591&lt;&gt;"",$AS1591&lt;&gt;"✓"),SUMPRODUCT(($AM$11:$AM1591&lt;&gt;"")*($AS$11:$AS1591&lt;&gt;"✓")),"")</f>
        <v/>
      </c>
      <c r="AZ1591" s="21" t="str">
        <f>IF(AND($AM1591&lt;&gt;"",$AS1591="✓"),SUMPRODUCT(($AM$11:$AM1591&lt;&gt;"")*($AS$11:$AS1591="✓")),"")</f>
        <v/>
      </c>
      <c r="BA1591" s="21" t="str">
        <f>IF($AL1591="","",$AL1591&amp;"|"&amp;COUNTIF($AL$11:$AL1591,$AL1591))</f>
        <v/>
      </c>
    </row>
    <row r="1592" spans="38:53" ht="15" customHeight="1" x14ac:dyDescent="0.25">
      <c r="AL1592" s="31"/>
      <c r="AM1592" s="26"/>
      <c r="AN1592" s="32"/>
      <c r="AO1592" s="32"/>
      <c r="AP1592" s="24"/>
      <c r="AQ1592" s="24"/>
      <c r="AR1592" s="33"/>
      <c r="AS1592" s="34"/>
      <c r="AT1592" s="33"/>
      <c r="AV1592" s="21">
        <f>IF(AND($AL1592&lt;&gt;"",COUNTIF($AL$11:$AL1592,$AL1592)=1),1,0)</f>
        <v>0</v>
      </c>
      <c r="AW1592" s="21">
        <f t="shared" si="135"/>
        <v>0</v>
      </c>
      <c r="AX1592" s="21" t="str">
        <f t="shared" si="134"/>
        <v/>
      </c>
      <c r="AY1592" s="21" t="str">
        <f>IF(AND($AM1592&lt;&gt;"",$AS1592&lt;&gt;"✓"),SUMPRODUCT(($AM$11:$AM1592&lt;&gt;"")*($AS$11:$AS1592&lt;&gt;"✓")),"")</f>
        <v/>
      </c>
      <c r="AZ1592" s="21" t="str">
        <f>IF(AND($AM1592&lt;&gt;"",$AS1592="✓"),SUMPRODUCT(($AM$11:$AM1592&lt;&gt;"")*($AS$11:$AS1592="✓")),"")</f>
        <v/>
      </c>
      <c r="BA1592" s="21" t="str">
        <f>IF($AL1592="","",$AL1592&amp;"|"&amp;COUNTIF($AL$11:$AL1592,$AL1592))</f>
        <v/>
      </c>
    </row>
    <row r="1593" spans="38:53" ht="15" customHeight="1" x14ac:dyDescent="0.25">
      <c r="AL1593" s="17"/>
      <c r="AM1593" s="12"/>
      <c r="AN1593" s="18"/>
      <c r="AO1593" s="18"/>
      <c r="AP1593" s="10"/>
      <c r="AQ1593" s="10"/>
      <c r="AR1593" s="19"/>
      <c r="AS1593" s="20"/>
      <c r="AT1593" s="19"/>
      <c r="AV1593" s="21">
        <f>IF(AND($AL1593&lt;&gt;"",COUNTIF($AL$11:$AL1593,$AL1593)=1),1,0)</f>
        <v>0</v>
      </c>
      <c r="AW1593" s="21">
        <f t="shared" si="135"/>
        <v>0</v>
      </c>
      <c r="AX1593" s="21" t="str">
        <f t="shared" si="134"/>
        <v/>
      </c>
      <c r="AY1593" s="21" t="str">
        <f>IF(AND($AM1593&lt;&gt;"",$AS1593&lt;&gt;"✓"),SUMPRODUCT(($AM$11:$AM1593&lt;&gt;"")*($AS$11:$AS1593&lt;&gt;"✓")),"")</f>
        <v/>
      </c>
      <c r="AZ1593" s="21" t="str">
        <f>IF(AND($AM1593&lt;&gt;"",$AS1593="✓"),SUMPRODUCT(($AM$11:$AM1593&lt;&gt;"")*($AS$11:$AS1593="✓")),"")</f>
        <v/>
      </c>
      <c r="BA1593" s="21" t="str">
        <f>IF($AL1593="","",$AL1593&amp;"|"&amp;COUNTIF($AL$11:$AL1593,$AL1593))</f>
        <v/>
      </c>
    </row>
    <row r="1594" spans="38:53" ht="15" customHeight="1" x14ac:dyDescent="0.25">
      <c r="AL1594" s="31"/>
      <c r="AM1594" s="26"/>
      <c r="AN1594" s="32"/>
      <c r="AO1594" s="32"/>
      <c r="AP1594" s="24"/>
      <c r="AQ1594" s="24"/>
      <c r="AR1594" s="33"/>
      <c r="AS1594" s="34"/>
      <c r="AT1594" s="33"/>
      <c r="AV1594" s="21">
        <f>IF(AND($AL1594&lt;&gt;"",COUNTIF($AL$11:$AL1594,$AL1594)=1),1,0)</f>
        <v>0</v>
      </c>
      <c r="AW1594" s="21">
        <f t="shared" si="135"/>
        <v>0</v>
      </c>
      <c r="AX1594" s="21" t="str">
        <f t="shared" si="134"/>
        <v/>
      </c>
      <c r="AY1594" s="21" t="str">
        <f>IF(AND($AM1594&lt;&gt;"",$AS1594&lt;&gt;"✓"),SUMPRODUCT(($AM$11:$AM1594&lt;&gt;"")*($AS$11:$AS1594&lt;&gt;"✓")),"")</f>
        <v/>
      </c>
      <c r="AZ1594" s="21" t="str">
        <f>IF(AND($AM1594&lt;&gt;"",$AS1594="✓"),SUMPRODUCT(($AM$11:$AM1594&lt;&gt;"")*($AS$11:$AS1594="✓")),"")</f>
        <v/>
      </c>
      <c r="BA1594" s="21" t="str">
        <f>IF($AL1594="","",$AL1594&amp;"|"&amp;COUNTIF($AL$11:$AL1594,$AL1594))</f>
        <v/>
      </c>
    </row>
    <row r="1595" spans="38:53" ht="15" customHeight="1" x14ac:dyDescent="0.25">
      <c r="AL1595" s="17"/>
      <c r="AM1595" s="12"/>
      <c r="AN1595" s="18"/>
      <c r="AO1595" s="18"/>
      <c r="AP1595" s="10"/>
      <c r="AQ1595" s="10"/>
      <c r="AR1595" s="19"/>
      <c r="AS1595" s="20"/>
      <c r="AT1595" s="19"/>
      <c r="AV1595" s="21">
        <f>IF(AND($AL1595&lt;&gt;"",COUNTIF($AL$11:$AL1595,$AL1595)=1),1,0)</f>
        <v>0</v>
      </c>
      <c r="AW1595" s="21">
        <f t="shared" si="135"/>
        <v>0</v>
      </c>
      <c r="AX1595" s="21" t="str">
        <f t="shared" si="134"/>
        <v/>
      </c>
      <c r="AY1595" s="21" t="str">
        <f>IF(AND($AM1595&lt;&gt;"",$AS1595&lt;&gt;"✓"),SUMPRODUCT(($AM$11:$AM1595&lt;&gt;"")*($AS$11:$AS1595&lt;&gt;"✓")),"")</f>
        <v/>
      </c>
      <c r="AZ1595" s="21" t="str">
        <f>IF(AND($AM1595&lt;&gt;"",$AS1595="✓"),SUMPRODUCT(($AM$11:$AM1595&lt;&gt;"")*($AS$11:$AS1595="✓")),"")</f>
        <v/>
      </c>
      <c r="BA1595" s="21" t="str">
        <f>IF($AL1595="","",$AL1595&amp;"|"&amp;COUNTIF($AL$11:$AL1595,$AL1595))</f>
        <v/>
      </c>
    </row>
    <row r="1596" spans="38:53" ht="15" customHeight="1" x14ac:dyDescent="0.25">
      <c r="AL1596" s="31"/>
      <c r="AM1596" s="26"/>
      <c r="AN1596" s="32"/>
      <c r="AO1596" s="32"/>
      <c r="AP1596" s="24"/>
      <c r="AQ1596" s="24"/>
      <c r="AR1596" s="33"/>
      <c r="AS1596" s="34"/>
      <c r="AT1596" s="33"/>
      <c r="AV1596" s="21">
        <f>IF(AND($AL1596&lt;&gt;"",COUNTIF($AL$11:$AL1596,$AL1596)=1),1,0)</f>
        <v>0</v>
      </c>
      <c r="AW1596" s="21">
        <f t="shared" si="135"/>
        <v>0</v>
      </c>
      <c r="AX1596" s="21" t="str">
        <f t="shared" si="134"/>
        <v/>
      </c>
      <c r="AY1596" s="21" t="str">
        <f>IF(AND($AM1596&lt;&gt;"",$AS1596&lt;&gt;"✓"),SUMPRODUCT(($AM$11:$AM1596&lt;&gt;"")*($AS$11:$AS1596&lt;&gt;"✓")),"")</f>
        <v/>
      </c>
      <c r="AZ1596" s="21" t="str">
        <f>IF(AND($AM1596&lt;&gt;"",$AS1596="✓"),SUMPRODUCT(($AM$11:$AM1596&lt;&gt;"")*($AS$11:$AS1596="✓")),"")</f>
        <v/>
      </c>
      <c r="BA1596" s="21" t="str">
        <f>IF($AL1596="","",$AL1596&amp;"|"&amp;COUNTIF($AL$11:$AL1596,$AL1596))</f>
        <v/>
      </c>
    </row>
    <row r="1597" spans="38:53" ht="15" customHeight="1" x14ac:dyDescent="0.25">
      <c r="AL1597" s="17"/>
      <c r="AM1597" s="12"/>
      <c r="AN1597" s="18"/>
      <c r="AO1597" s="18"/>
      <c r="AP1597" s="10"/>
      <c r="AQ1597" s="10"/>
      <c r="AR1597" s="19"/>
      <c r="AS1597" s="20"/>
      <c r="AT1597" s="19"/>
      <c r="AV1597" s="21">
        <f>IF(AND($AL1597&lt;&gt;"",COUNTIF($AL$11:$AL1597,$AL1597)=1),1,0)</f>
        <v>0</v>
      </c>
      <c r="AW1597" s="21">
        <f t="shared" si="135"/>
        <v>0</v>
      </c>
      <c r="AX1597" s="21" t="str">
        <f t="shared" si="134"/>
        <v/>
      </c>
      <c r="AY1597" s="21" t="str">
        <f>IF(AND($AM1597&lt;&gt;"",$AS1597&lt;&gt;"✓"),SUMPRODUCT(($AM$11:$AM1597&lt;&gt;"")*($AS$11:$AS1597&lt;&gt;"✓")),"")</f>
        <v/>
      </c>
      <c r="AZ1597" s="21" t="str">
        <f>IF(AND($AM1597&lt;&gt;"",$AS1597="✓"),SUMPRODUCT(($AM$11:$AM1597&lt;&gt;"")*($AS$11:$AS1597="✓")),"")</f>
        <v/>
      </c>
      <c r="BA1597" s="21" t="str">
        <f>IF($AL1597="","",$AL1597&amp;"|"&amp;COUNTIF($AL$11:$AL1597,$AL1597))</f>
        <v/>
      </c>
    </row>
    <row r="1598" spans="38:53" ht="15" customHeight="1" x14ac:dyDescent="0.25">
      <c r="AL1598" s="31"/>
      <c r="AM1598" s="26"/>
      <c r="AN1598" s="32"/>
      <c r="AO1598" s="32"/>
      <c r="AP1598" s="24"/>
      <c r="AQ1598" s="24"/>
      <c r="AR1598" s="33"/>
      <c r="AS1598" s="34"/>
      <c r="AT1598" s="33"/>
      <c r="AV1598" s="21">
        <f>IF(AND($AL1598&lt;&gt;"",COUNTIF($AL$11:$AL1598,$AL1598)=1),1,0)</f>
        <v>0</v>
      </c>
      <c r="AW1598" s="21">
        <f t="shared" si="135"/>
        <v>0</v>
      </c>
      <c r="AX1598" s="21" t="str">
        <f t="shared" si="134"/>
        <v/>
      </c>
      <c r="AY1598" s="21" t="str">
        <f>IF(AND($AM1598&lt;&gt;"",$AS1598&lt;&gt;"✓"),SUMPRODUCT(($AM$11:$AM1598&lt;&gt;"")*($AS$11:$AS1598&lt;&gt;"✓")),"")</f>
        <v/>
      </c>
      <c r="AZ1598" s="21" t="str">
        <f>IF(AND($AM1598&lt;&gt;"",$AS1598="✓"),SUMPRODUCT(($AM$11:$AM1598&lt;&gt;"")*($AS$11:$AS1598="✓")),"")</f>
        <v/>
      </c>
      <c r="BA1598" s="21" t="str">
        <f>IF($AL1598="","",$AL1598&amp;"|"&amp;COUNTIF($AL$11:$AL1598,$AL1598))</f>
        <v/>
      </c>
    </row>
    <row r="1599" spans="38:53" ht="15" customHeight="1" x14ac:dyDescent="0.25">
      <c r="AL1599" s="17"/>
      <c r="AM1599" s="12"/>
      <c r="AN1599" s="18"/>
      <c r="AO1599" s="18"/>
      <c r="AP1599" s="10"/>
      <c r="AQ1599" s="10"/>
      <c r="AR1599" s="19"/>
      <c r="AS1599" s="20"/>
      <c r="AT1599" s="19"/>
      <c r="AV1599" s="21">
        <f>IF(AND($AL1599&lt;&gt;"",COUNTIF($AL$11:$AL1599,$AL1599)=1),1,0)</f>
        <v>0</v>
      </c>
      <c r="AW1599" s="21">
        <f t="shared" si="135"/>
        <v>0</v>
      </c>
      <c r="AX1599" s="21" t="str">
        <f t="shared" si="134"/>
        <v/>
      </c>
      <c r="AY1599" s="21" t="str">
        <f>IF(AND($AM1599&lt;&gt;"",$AS1599&lt;&gt;"✓"),SUMPRODUCT(($AM$11:$AM1599&lt;&gt;"")*($AS$11:$AS1599&lt;&gt;"✓")),"")</f>
        <v/>
      </c>
      <c r="AZ1599" s="21" t="str">
        <f>IF(AND($AM1599&lt;&gt;"",$AS1599="✓"),SUMPRODUCT(($AM$11:$AM1599&lt;&gt;"")*($AS$11:$AS1599="✓")),"")</f>
        <v/>
      </c>
      <c r="BA1599" s="21" t="str">
        <f>IF($AL1599="","",$AL1599&amp;"|"&amp;COUNTIF($AL$11:$AL1599,$AL1599))</f>
        <v/>
      </c>
    </row>
    <row r="1600" spans="38:53" ht="15" customHeight="1" x14ac:dyDescent="0.25">
      <c r="AL1600" s="31"/>
      <c r="AM1600" s="26"/>
      <c r="AN1600" s="32"/>
      <c r="AO1600" s="32"/>
      <c r="AP1600" s="24"/>
      <c r="AQ1600" s="24"/>
      <c r="AR1600" s="33"/>
      <c r="AS1600" s="34"/>
      <c r="AT1600" s="33"/>
      <c r="AV1600" s="21">
        <f>IF(AND($AL1600&lt;&gt;"",COUNTIF($AL$11:$AL1600,$AL1600)=1),1,0)</f>
        <v>0</v>
      </c>
      <c r="AW1600" s="21">
        <f t="shared" si="135"/>
        <v>0</v>
      </c>
      <c r="AX1600" s="21" t="str">
        <f t="shared" si="134"/>
        <v/>
      </c>
      <c r="AY1600" s="21" t="str">
        <f>IF(AND($AM1600&lt;&gt;"",$AS1600&lt;&gt;"✓"),SUMPRODUCT(($AM$11:$AM1600&lt;&gt;"")*($AS$11:$AS1600&lt;&gt;"✓")),"")</f>
        <v/>
      </c>
      <c r="AZ1600" s="21" t="str">
        <f>IF(AND($AM1600&lt;&gt;"",$AS1600="✓"),SUMPRODUCT(($AM$11:$AM1600&lt;&gt;"")*($AS$11:$AS1600="✓")),"")</f>
        <v/>
      </c>
      <c r="BA1600" s="21" t="str">
        <f>IF($AL1600="","",$AL1600&amp;"|"&amp;COUNTIF($AL$11:$AL1600,$AL1600))</f>
        <v/>
      </c>
    </row>
    <row r="1601" spans="38:53" ht="15" customHeight="1" x14ac:dyDescent="0.25">
      <c r="AL1601" s="17"/>
      <c r="AM1601" s="12"/>
      <c r="AN1601" s="18"/>
      <c r="AO1601" s="18"/>
      <c r="AP1601" s="10"/>
      <c r="AQ1601" s="10"/>
      <c r="AR1601" s="19"/>
      <c r="AS1601" s="20"/>
      <c r="AT1601" s="19"/>
      <c r="AV1601" s="21">
        <f>IF(AND($AL1601&lt;&gt;"",COUNTIF($AL$11:$AL1601,$AL1601)=1),1,0)</f>
        <v>0</v>
      </c>
      <c r="AW1601" s="21">
        <f t="shared" si="135"/>
        <v>0</v>
      </c>
      <c r="AX1601" s="21" t="str">
        <f t="shared" si="134"/>
        <v/>
      </c>
      <c r="AY1601" s="21" t="str">
        <f>IF(AND($AM1601&lt;&gt;"",$AS1601&lt;&gt;"✓"),SUMPRODUCT(($AM$11:$AM1601&lt;&gt;"")*($AS$11:$AS1601&lt;&gt;"✓")),"")</f>
        <v/>
      </c>
      <c r="AZ1601" s="21" t="str">
        <f>IF(AND($AM1601&lt;&gt;"",$AS1601="✓"),SUMPRODUCT(($AM$11:$AM1601&lt;&gt;"")*($AS$11:$AS1601="✓")),"")</f>
        <v/>
      </c>
      <c r="BA1601" s="21" t="str">
        <f>IF($AL1601="","",$AL1601&amp;"|"&amp;COUNTIF($AL$11:$AL1601,$AL1601))</f>
        <v/>
      </c>
    </row>
    <row r="1602" spans="38:53" ht="15" customHeight="1" x14ac:dyDescent="0.25">
      <c r="AL1602" s="31"/>
      <c r="AM1602" s="26"/>
      <c r="AN1602" s="32"/>
      <c r="AO1602" s="32"/>
      <c r="AP1602" s="24"/>
      <c r="AQ1602" s="24"/>
      <c r="AR1602" s="33"/>
      <c r="AS1602" s="34"/>
      <c r="AT1602" s="33"/>
      <c r="AV1602" s="21">
        <f>IF(AND($AL1602&lt;&gt;"",COUNTIF($AL$11:$AL1602,$AL1602)=1),1,0)</f>
        <v>0</v>
      </c>
      <c r="AW1602" s="21">
        <f t="shared" si="135"/>
        <v>0</v>
      </c>
      <c r="AX1602" s="21" t="str">
        <f t="shared" si="134"/>
        <v/>
      </c>
      <c r="AY1602" s="21" t="str">
        <f>IF(AND($AM1602&lt;&gt;"",$AS1602&lt;&gt;"✓"),SUMPRODUCT(($AM$11:$AM1602&lt;&gt;"")*($AS$11:$AS1602&lt;&gt;"✓")),"")</f>
        <v/>
      </c>
      <c r="AZ1602" s="21" t="str">
        <f>IF(AND($AM1602&lt;&gt;"",$AS1602="✓"),SUMPRODUCT(($AM$11:$AM1602&lt;&gt;"")*($AS$11:$AS1602="✓")),"")</f>
        <v/>
      </c>
      <c r="BA1602" s="21" t="str">
        <f>IF($AL1602="","",$AL1602&amp;"|"&amp;COUNTIF($AL$11:$AL1602,$AL1602))</f>
        <v/>
      </c>
    </row>
    <row r="1603" spans="38:53" ht="15" customHeight="1" x14ac:dyDescent="0.25">
      <c r="AL1603" s="17"/>
      <c r="AM1603" s="12"/>
      <c r="AN1603" s="18"/>
      <c r="AO1603" s="18"/>
      <c r="AP1603" s="10"/>
      <c r="AQ1603" s="10"/>
      <c r="AR1603" s="19"/>
      <c r="AS1603" s="20"/>
      <c r="AT1603" s="19"/>
      <c r="AV1603" s="21">
        <f>IF(AND($AL1603&lt;&gt;"",COUNTIF($AL$11:$AL1603,$AL1603)=1),1,0)</f>
        <v>0</v>
      </c>
      <c r="AW1603" s="21">
        <f t="shared" si="135"/>
        <v>0</v>
      </c>
      <c r="AX1603" s="21" t="str">
        <f t="shared" si="134"/>
        <v/>
      </c>
      <c r="AY1603" s="21" t="str">
        <f>IF(AND($AM1603&lt;&gt;"",$AS1603&lt;&gt;"✓"),SUMPRODUCT(($AM$11:$AM1603&lt;&gt;"")*($AS$11:$AS1603&lt;&gt;"✓")),"")</f>
        <v/>
      </c>
      <c r="AZ1603" s="21" t="str">
        <f>IF(AND($AM1603&lt;&gt;"",$AS1603="✓"),SUMPRODUCT(($AM$11:$AM1603&lt;&gt;"")*($AS$11:$AS1603="✓")),"")</f>
        <v/>
      </c>
      <c r="BA1603" s="21" t="str">
        <f>IF($AL1603="","",$AL1603&amp;"|"&amp;COUNTIF($AL$11:$AL1603,$AL1603))</f>
        <v/>
      </c>
    </row>
    <row r="1604" spans="38:53" ht="15" customHeight="1" x14ac:dyDescent="0.25">
      <c r="AL1604" s="31"/>
      <c r="AM1604" s="26"/>
      <c r="AN1604" s="32"/>
      <c r="AO1604" s="32"/>
      <c r="AP1604" s="24"/>
      <c r="AQ1604" s="24"/>
      <c r="AR1604" s="33"/>
      <c r="AS1604" s="34"/>
      <c r="AT1604" s="33"/>
      <c r="AV1604" s="21">
        <f>IF(AND($AL1604&lt;&gt;"",COUNTIF($AL$11:$AL1604,$AL1604)=1),1,0)</f>
        <v>0</v>
      </c>
      <c r="AW1604" s="21">
        <f t="shared" si="135"/>
        <v>0</v>
      </c>
      <c r="AX1604" s="21" t="str">
        <f t="shared" si="134"/>
        <v/>
      </c>
      <c r="AY1604" s="21" t="str">
        <f>IF(AND($AM1604&lt;&gt;"",$AS1604&lt;&gt;"✓"),SUMPRODUCT(($AM$11:$AM1604&lt;&gt;"")*($AS$11:$AS1604&lt;&gt;"✓")),"")</f>
        <v/>
      </c>
      <c r="AZ1604" s="21" t="str">
        <f>IF(AND($AM1604&lt;&gt;"",$AS1604="✓"),SUMPRODUCT(($AM$11:$AM1604&lt;&gt;"")*($AS$11:$AS1604="✓")),"")</f>
        <v/>
      </c>
      <c r="BA1604" s="21" t="str">
        <f>IF($AL1604="","",$AL1604&amp;"|"&amp;COUNTIF($AL$11:$AL1604,$AL1604))</f>
        <v/>
      </c>
    </row>
    <row r="1605" spans="38:53" ht="15" customHeight="1" x14ac:dyDescent="0.25">
      <c r="AL1605" s="17"/>
      <c r="AM1605" s="12"/>
      <c r="AN1605" s="18"/>
      <c r="AO1605" s="18"/>
      <c r="AP1605" s="10"/>
      <c r="AQ1605" s="10"/>
      <c r="AR1605" s="19"/>
      <c r="AS1605" s="20"/>
      <c r="AT1605" s="19"/>
      <c r="AV1605" s="21">
        <f>IF(AND($AL1605&lt;&gt;"",COUNTIF($AL$11:$AL1605,$AL1605)=1),1,0)</f>
        <v>0</v>
      </c>
      <c r="AW1605" s="21">
        <f t="shared" si="135"/>
        <v>0</v>
      </c>
      <c r="AX1605" s="21" t="str">
        <f t="shared" si="134"/>
        <v/>
      </c>
      <c r="AY1605" s="21" t="str">
        <f>IF(AND($AM1605&lt;&gt;"",$AS1605&lt;&gt;"✓"),SUMPRODUCT(($AM$11:$AM1605&lt;&gt;"")*($AS$11:$AS1605&lt;&gt;"✓")),"")</f>
        <v/>
      </c>
      <c r="AZ1605" s="21" t="str">
        <f>IF(AND($AM1605&lt;&gt;"",$AS1605="✓"),SUMPRODUCT(($AM$11:$AM1605&lt;&gt;"")*($AS$11:$AS1605="✓")),"")</f>
        <v/>
      </c>
      <c r="BA1605" s="21" t="str">
        <f>IF($AL1605="","",$AL1605&amp;"|"&amp;COUNTIF($AL$11:$AL1605,$AL1605))</f>
        <v/>
      </c>
    </row>
    <row r="1606" spans="38:53" ht="15" customHeight="1" x14ac:dyDescent="0.25">
      <c r="AL1606" s="31"/>
      <c r="AM1606" s="26"/>
      <c r="AN1606" s="32"/>
      <c r="AO1606" s="32"/>
      <c r="AP1606" s="24"/>
      <c r="AQ1606" s="24"/>
      <c r="AR1606" s="33"/>
      <c r="AS1606" s="34"/>
      <c r="AT1606" s="33"/>
      <c r="AV1606" s="21">
        <f>IF(AND($AL1606&lt;&gt;"",COUNTIF($AL$11:$AL1606,$AL1606)=1),1,0)</f>
        <v>0</v>
      </c>
      <c r="AW1606" s="21">
        <f t="shared" si="135"/>
        <v>0</v>
      </c>
      <c r="AX1606" s="21" t="str">
        <f t="shared" si="134"/>
        <v/>
      </c>
      <c r="AY1606" s="21" t="str">
        <f>IF(AND($AM1606&lt;&gt;"",$AS1606&lt;&gt;"✓"),SUMPRODUCT(($AM$11:$AM1606&lt;&gt;"")*($AS$11:$AS1606&lt;&gt;"✓")),"")</f>
        <v/>
      </c>
      <c r="AZ1606" s="21" t="str">
        <f>IF(AND($AM1606&lt;&gt;"",$AS1606="✓"),SUMPRODUCT(($AM$11:$AM1606&lt;&gt;"")*($AS$11:$AS1606="✓")),"")</f>
        <v/>
      </c>
      <c r="BA1606" s="21" t="str">
        <f>IF($AL1606="","",$AL1606&amp;"|"&amp;COUNTIF($AL$11:$AL1606,$AL1606))</f>
        <v/>
      </c>
    </row>
    <row r="1607" spans="38:53" ht="15" customHeight="1" x14ac:dyDescent="0.25">
      <c r="AL1607" s="17"/>
      <c r="AM1607" s="12"/>
      <c r="AN1607" s="18"/>
      <c r="AO1607" s="18"/>
      <c r="AP1607" s="10"/>
      <c r="AQ1607" s="10"/>
      <c r="AR1607" s="19"/>
      <c r="AS1607" s="20"/>
      <c r="AT1607" s="19"/>
      <c r="AV1607" s="21">
        <f>IF(AND($AL1607&lt;&gt;"",COUNTIF($AL$11:$AL1607,$AL1607)=1),1,0)</f>
        <v>0</v>
      </c>
      <c r="AW1607" s="21">
        <f t="shared" si="135"/>
        <v>0</v>
      </c>
      <c r="AX1607" s="21" t="str">
        <f t="shared" si="134"/>
        <v/>
      </c>
      <c r="AY1607" s="21" t="str">
        <f>IF(AND($AM1607&lt;&gt;"",$AS1607&lt;&gt;"✓"),SUMPRODUCT(($AM$11:$AM1607&lt;&gt;"")*($AS$11:$AS1607&lt;&gt;"✓")),"")</f>
        <v/>
      </c>
      <c r="AZ1607" s="21" t="str">
        <f>IF(AND($AM1607&lt;&gt;"",$AS1607="✓"),SUMPRODUCT(($AM$11:$AM1607&lt;&gt;"")*($AS$11:$AS1607="✓")),"")</f>
        <v/>
      </c>
      <c r="BA1607" s="21" t="str">
        <f>IF($AL1607="","",$AL1607&amp;"|"&amp;COUNTIF($AL$11:$AL1607,$AL1607))</f>
        <v/>
      </c>
    </row>
    <row r="1608" spans="38:53" ht="15" customHeight="1" x14ac:dyDescent="0.25">
      <c r="AL1608" s="31"/>
      <c r="AM1608" s="26"/>
      <c r="AN1608" s="32"/>
      <c r="AO1608" s="32"/>
      <c r="AP1608" s="24"/>
      <c r="AQ1608" s="24"/>
      <c r="AR1608" s="33"/>
      <c r="AS1608" s="34"/>
      <c r="AT1608" s="33"/>
      <c r="AV1608" s="21">
        <f>IF(AND($AL1608&lt;&gt;"",COUNTIF($AL$11:$AL1608,$AL1608)=1),1,0)</f>
        <v>0</v>
      </c>
      <c r="AW1608" s="21">
        <f t="shared" si="135"/>
        <v>0</v>
      </c>
      <c r="AX1608" s="21" t="str">
        <f t="shared" si="134"/>
        <v/>
      </c>
      <c r="AY1608" s="21" t="str">
        <f>IF(AND($AM1608&lt;&gt;"",$AS1608&lt;&gt;"✓"),SUMPRODUCT(($AM$11:$AM1608&lt;&gt;"")*($AS$11:$AS1608&lt;&gt;"✓")),"")</f>
        <v/>
      </c>
      <c r="AZ1608" s="21" t="str">
        <f>IF(AND($AM1608&lt;&gt;"",$AS1608="✓"),SUMPRODUCT(($AM$11:$AM1608&lt;&gt;"")*($AS$11:$AS1608="✓")),"")</f>
        <v/>
      </c>
      <c r="BA1608" s="21" t="str">
        <f>IF($AL1608="","",$AL1608&amp;"|"&amp;COUNTIF($AL$11:$AL1608,$AL1608))</f>
        <v/>
      </c>
    </row>
    <row r="1609" spans="38:53" ht="15" customHeight="1" x14ac:dyDescent="0.25">
      <c r="AL1609" s="17"/>
      <c r="AM1609" s="12"/>
      <c r="AN1609" s="18"/>
      <c r="AO1609" s="18"/>
      <c r="AP1609" s="10"/>
      <c r="AQ1609" s="10"/>
      <c r="AR1609" s="19"/>
      <c r="AS1609" s="20"/>
      <c r="AT1609" s="19"/>
      <c r="AV1609" s="21">
        <f>IF(AND($AL1609&lt;&gt;"",COUNTIF($AL$11:$AL1609,$AL1609)=1),1,0)</f>
        <v>0</v>
      </c>
      <c r="AW1609" s="21">
        <f t="shared" si="135"/>
        <v>0</v>
      </c>
      <c r="AX1609" s="21" t="str">
        <f t="shared" si="134"/>
        <v/>
      </c>
      <c r="AY1609" s="21" t="str">
        <f>IF(AND($AM1609&lt;&gt;"",$AS1609&lt;&gt;"✓"),SUMPRODUCT(($AM$11:$AM1609&lt;&gt;"")*($AS$11:$AS1609&lt;&gt;"✓")),"")</f>
        <v/>
      </c>
      <c r="AZ1609" s="21" t="str">
        <f>IF(AND($AM1609&lt;&gt;"",$AS1609="✓"),SUMPRODUCT(($AM$11:$AM1609&lt;&gt;"")*($AS$11:$AS1609="✓")),"")</f>
        <v/>
      </c>
      <c r="BA1609" s="21" t="str">
        <f>IF($AL1609="","",$AL1609&amp;"|"&amp;COUNTIF($AL$11:$AL1609,$AL1609))</f>
        <v/>
      </c>
    </row>
    <row r="1610" spans="38:53" ht="15" customHeight="1" x14ac:dyDescent="0.25">
      <c r="AL1610" s="31"/>
      <c r="AM1610" s="26"/>
      <c r="AN1610" s="32"/>
      <c r="AO1610" s="32"/>
      <c r="AP1610" s="24"/>
      <c r="AQ1610" s="24"/>
      <c r="AR1610" s="33"/>
      <c r="AS1610" s="34"/>
      <c r="AT1610" s="33"/>
      <c r="AV1610" s="21">
        <f>IF(AND($AL1610&lt;&gt;"",COUNTIF($AL$11:$AL1610,$AL1610)=1),1,0)</f>
        <v>0</v>
      </c>
      <c r="AW1610" s="21">
        <f t="shared" si="135"/>
        <v>0</v>
      </c>
      <c r="AX1610" s="21" t="str">
        <f t="shared" si="134"/>
        <v/>
      </c>
      <c r="AY1610" s="21" t="str">
        <f>IF(AND($AM1610&lt;&gt;"",$AS1610&lt;&gt;"✓"),SUMPRODUCT(($AM$11:$AM1610&lt;&gt;"")*($AS$11:$AS1610&lt;&gt;"✓")),"")</f>
        <v/>
      </c>
      <c r="AZ1610" s="21" t="str">
        <f>IF(AND($AM1610&lt;&gt;"",$AS1610="✓"),SUMPRODUCT(($AM$11:$AM1610&lt;&gt;"")*($AS$11:$AS1610="✓")),"")</f>
        <v/>
      </c>
      <c r="BA1610" s="21" t="str">
        <f>IF($AL1610="","",$AL1610&amp;"|"&amp;COUNTIF($AL$11:$AL1610,$AL1610))</f>
        <v/>
      </c>
    </row>
    <row r="1611" spans="38:53" ht="15" customHeight="1" x14ac:dyDescent="0.25">
      <c r="AL1611" s="17"/>
      <c r="AM1611" s="12"/>
      <c r="AN1611" s="18"/>
      <c r="AO1611" s="18"/>
      <c r="AP1611" s="10"/>
      <c r="AQ1611" s="10"/>
      <c r="AR1611" s="19"/>
      <c r="AS1611" s="20"/>
      <c r="AT1611" s="19"/>
      <c r="AV1611" s="21">
        <f>IF(AND($AL1611&lt;&gt;"",COUNTIF($AL$11:$AL1611,$AL1611)=1),1,0)</f>
        <v>0</v>
      </c>
      <c r="AW1611" s="21">
        <f t="shared" si="135"/>
        <v>0</v>
      </c>
      <c r="AX1611" s="21" t="str">
        <f t="shared" ref="AX1611:AX1674" si="136">IF(AV1611=1,AW1611,"")</f>
        <v/>
      </c>
      <c r="AY1611" s="21" t="str">
        <f>IF(AND($AM1611&lt;&gt;"",$AS1611&lt;&gt;"✓"),SUMPRODUCT(($AM$11:$AM1611&lt;&gt;"")*($AS$11:$AS1611&lt;&gt;"✓")),"")</f>
        <v/>
      </c>
      <c r="AZ1611" s="21" t="str">
        <f>IF(AND($AM1611&lt;&gt;"",$AS1611="✓"),SUMPRODUCT(($AM$11:$AM1611&lt;&gt;"")*($AS$11:$AS1611="✓")),"")</f>
        <v/>
      </c>
      <c r="BA1611" s="21" t="str">
        <f>IF($AL1611="","",$AL1611&amp;"|"&amp;COUNTIF($AL$11:$AL1611,$AL1611))</f>
        <v/>
      </c>
    </row>
    <row r="1612" spans="38:53" ht="15" customHeight="1" x14ac:dyDescent="0.25">
      <c r="AL1612" s="31"/>
      <c r="AM1612" s="26"/>
      <c r="AN1612" s="32"/>
      <c r="AO1612" s="32"/>
      <c r="AP1612" s="24"/>
      <c r="AQ1612" s="24"/>
      <c r="AR1612" s="33"/>
      <c r="AS1612" s="34"/>
      <c r="AT1612" s="33"/>
      <c r="AV1612" s="21">
        <f>IF(AND($AL1612&lt;&gt;"",COUNTIF($AL$11:$AL1612,$AL1612)=1),1,0)</f>
        <v>0</v>
      </c>
      <c r="AW1612" s="21">
        <f t="shared" ref="AW1612:AW1675" si="137">AW1611+AV1612</f>
        <v>0</v>
      </c>
      <c r="AX1612" s="21" t="str">
        <f t="shared" si="136"/>
        <v/>
      </c>
      <c r="AY1612" s="21" t="str">
        <f>IF(AND($AM1612&lt;&gt;"",$AS1612&lt;&gt;"✓"),SUMPRODUCT(($AM$11:$AM1612&lt;&gt;"")*($AS$11:$AS1612&lt;&gt;"✓")),"")</f>
        <v/>
      </c>
      <c r="AZ1612" s="21" t="str">
        <f>IF(AND($AM1612&lt;&gt;"",$AS1612="✓"),SUMPRODUCT(($AM$11:$AM1612&lt;&gt;"")*($AS$11:$AS1612="✓")),"")</f>
        <v/>
      </c>
      <c r="BA1612" s="21" t="str">
        <f>IF($AL1612="","",$AL1612&amp;"|"&amp;COUNTIF($AL$11:$AL1612,$AL1612))</f>
        <v/>
      </c>
    </row>
    <row r="1613" spans="38:53" ht="15" customHeight="1" x14ac:dyDescent="0.25">
      <c r="AL1613" s="17"/>
      <c r="AM1613" s="12"/>
      <c r="AN1613" s="18"/>
      <c r="AO1613" s="18"/>
      <c r="AP1613" s="10"/>
      <c r="AQ1613" s="10"/>
      <c r="AR1613" s="19"/>
      <c r="AS1613" s="20"/>
      <c r="AT1613" s="19"/>
      <c r="AV1613" s="21">
        <f>IF(AND($AL1613&lt;&gt;"",COUNTIF($AL$11:$AL1613,$AL1613)=1),1,0)</f>
        <v>0</v>
      </c>
      <c r="AW1613" s="21">
        <f t="shared" si="137"/>
        <v>0</v>
      </c>
      <c r="AX1613" s="21" t="str">
        <f t="shared" si="136"/>
        <v/>
      </c>
      <c r="AY1613" s="21" t="str">
        <f>IF(AND($AM1613&lt;&gt;"",$AS1613&lt;&gt;"✓"),SUMPRODUCT(($AM$11:$AM1613&lt;&gt;"")*($AS$11:$AS1613&lt;&gt;"✓")),"")</f>
        <v/>
      </c>
      <c r="AZ1613" s="21" t="str">
        <f>IF(AND($AM1613&lt;&gt;"",$AS1613="✓"),SUMPRODUCT(($AM$11:$AM1613&lt;&gt;"")*($AS$11:$AS1613="✓")),"")</f>
        <v/>
      </c>
      <c r="BA1613" s="21" t="str">
        <f>IF($AL1613="","",$AL1613&amp;"|"&amp;COUNTIF($AL$11:$AL1613,$AL1613))</f>
        <v/>
      </c>
    </row>
    <row r="1614" spans="38:53" ht="15" customHeight="1" x14ac:dyDescent="0.25">
      <c r="AL1614" s="31"/>
      <c r="AM1614" s="26"/>
      <c r="AN1614" s="32"/>
      <c r="AO1614" s="32"/>
      <c r="AP1614" s="24"/>
      <c r="AQ1614" s="24"/>
      <c r="AR1614" s="33"/>
      <c r="AS1614" s="34"/>
      <c r="AT1614" s="33"/>
      <c r="AV1614" s="21">
        <f>IF(AND($AL1614&lt;&gt;"",COUNTIF($AL$11:$AL1614,$AL1614)=1),1,0)</f>
        <v>0</v>
      </c>
      <c r="AW1614" s="21">
        <f t="shared" si="137"/>
        <v>0</v>
      </c>
      <c r="AX1614" s="21" t="str">
        <f t="shared" si="136"/>
        <v/>
      </c>
      <c r="AY1614" s="21" t="str">
        <f>IF(AND($AM1614&lt;&gt;"",$AS1614&lt;&gt;"✓"),SUMPRODUCT(($AM$11:$AM1614&lt;&gt;"")*($AS$11:$AS1614&lt;&gt;"✓")),"")</f>
        <v/>
      </c>
      <c r="AZ1614" s="21" t="str">
        <f>IF(AND($AM1614&lt;&gt;"",$AS1614="✓"),SUMPRODUCT(($AM$11:$AM1614&lt;&gt;"")*($AS$11:$AS1614="✓")),"")</f>
        <v/>
      </c>
      <c r="BA1614" s="21" t="str">
        <f>IF($AL1614="","",$AL1614&amp;"|"&amp;COUNTIF($AL$11:$AL1614,$AL1614))</f>
        <v/>
      </c>
    </row>
    <row r="1615" spans="38:53" ht="15" customHeight="1" x14ac:dyDescent="0.25">
      <c r="AL1615" s="17"/>
      <c r="AM1615" s="12"/>
      <c r="AN1615" s="18"/>
      <c r="AO1615" s="18"/>
      <c r="AP1615" s="10"/>
      <c r="AQ1615" s="10"/>
      <c r="AR1615" s="19"/>
      <c r="AS1615" s="20"/>
      <c r="AT1615" s="19"/>
      <c r="AV1615" s="21">
        <f>IF(AND($AL1615&lt;&gt;"",COUNTIF($AL$11:$AL1615,$AL1615)=1),1,0)</f>
        <v>0</v>
      </c>
      <c r="AW1615" s="21">
        <f t="shared" si="137"/>
        <v>0</v>
      </c>
      <c r="AX1615" s="21" t="str">
        <f t="shared" si="136"/>
        <v/>
      </c>
      <c r="AY1615" s="21" t="str">
        <f>IF(AND($AM1615&lt;&gt;"",$AS1615&lt;&gt;"✓"),SUMPRODUCT(($AM$11:$AM1615&lt;&gt;"")*($AS$11:$AS1615&lt;&gt;"✓")),"")</f>
        <v/>
      </c>
      <c r="AZ1615" s="21" t="str">
        <f>IF(AND($AM1615&lt;&gt;"",$AS1615="✓"),SUMPRODUCT(($AM$11:$AM1615&lt;&gt;"")*($AS$11:$AS1615="✓")),"")</f>
        <v/>
      </c>
      <c r="BA1615" s="21" t="str">
        <f>IF($AL1615="","",$AL1615&amp;"|"&amp;COUNTIF($AL$11:$AL1615,$AL1615))</f>
        <v/>
      </c>
    </row>
    <row r="1616" spans="38:53" ht="15" customHeight="1" x14ac:dyDescent="0.25">
      <c r="AL1616" s="31"/>
      <c r="AM1616" s="26"/>
      <c r="AN1616" s="32"/>
      <c r="AO1616" s="32"/>
      <c r="AP1616" s="24"/>
      <c r="AQ1616" s="24"/>
      <c r="AR1616" s="33"/>
      <c r="AS1616" s="34"/>
      <c r="AT1616" s="33"/>
      <c r="AV1616" s="21">
        <f>IF(AND($AL1616&lt;&gt;"",COUNTIF($AL$11:$AL1616,$AL1616)=1),1,0)</f>
        <v>0</v>
      </c>
      <c r="AW1616" s="21">
        <f t="shared" si="137"/>
        <v>0</v>
      </c>
      <c r="AX1616" s="21" t="str">
        <f t="shared" si="136"/>
        <v/>
      </c>
      <c r="AY1616" s="21" t="str">
        <f>IF(AND($AM1616&lt;&gt;"",$AS1616&lt;&gt;"✓"),SUMPRODUCT(($AM$11:$AM1616&lt;&gt;"")*($AS$11:$AS1616&lt;&gt;"✓")),"")</f>
        <v/>
      </c>
      <c r="AZ1616" s="21" t="str">
        <f>IF(AND($AM1616&lt;&gt;"",$AS1616="✓"),SUMPRODUCT(($AM$11:$AM1616&lt;&gt;"")*($AS$11:$AS1616="✓")),"")</f>
        <v/>
      </c>
      <c r="BA1616" s="21" t="str">
        <f>IF($AL1616="","",$AL1616&amp;"|"&amp;COUNTIF($AL$11:$AL1616,$AL1616))</f>
        <v/>
      </c>
    </row>
    <row r="1617" spans="38:53" ht="15" customHeight="1" x14ac:dyDescent="0.25">
      <c r="AL1617" s="17"/>
      <c r="AM1617" s="12"/>
      <c r="AN1617" s="18"/>
      <c r="AO1617" s="18"/>
      <c r="AP1617" s="10"/>
      <c r="AQ1617" s="10"/>
      <c r="AR1617" s="19"/>
      <c r="AS1617" s="20"/>
      <c r="AT1617" s="19"/>
      <c r="AV1617" s="21">
        <f>IF(AND($AL1617&lt;&gt;"",COUNTIF($AL$11:$AL1617,$AL1617)=1),1,0)</f>
        <v>0</v>
      </c>
      <c r="AW1617" s="21">
        <f t="shared" si="137"/>
        <v>0</v>
      </c>
      <c r="AX1617" s="21" t="str">
        <f t="shared" si="136"/>
        <v/>
      </c>
      <c r="AY1617" s="21" t="str">
        <f>IF(AND($AM1617&lt;&gt;"",$AS1617&lt;&gt;"✓"),SUMPRODUCT(($AM$11:$AM1617&lt;&gt;"")*($AS$11:$AS1617&lt;&gt;"✓")),"")</f>
        <v/>
      </c>
      <c r="AZ1617" s="21" t="str">
        <f>IF(AND($AM1617&lt;&gt;"",$AS1617="✓"),SUMPRODUCT(($AM$11:$AM1617&lt;&gt;"")*($AS$11:$AS1617="✓")),"")</f>
        <v/>
      </c>
      <c r="BA1617" s="21" t="str">
        <f>IF($AL1617="","",$AL1617&amp;"|"&amp;COUNTIF($AL$11:$AL1617,$AL1617))</f>
        <v/>
      </c>
    </row>
    <row r="1618" spans="38:53" ht="15" customHeight="1" x14ac:dyDescent="0.25">
      <c r="AL1618" s="31"/>
      <c r="AM1618" s="26"/>
      <c r="AN1618" s="32"/>
      <c r="AO1618" s="32"/>
      <c r="AP1618" s="24"/>
      <c r="AQ1618" s="24"/>
      <c r="AR1618" s="33"/>
      <c r="AS1618" s="34"/>
      <c r="AT1618" s="33"/>
      <c r="AV1618" s="21">
        <f>IF(AND($AL1618&lt;&gt;"",COUNTIF($AL$11:$AL1618,$AL1618)=1),1,0)</f>
        <v>0</v>
      </c>
      <c r="AW1618" s="21">
        <f t="shared" si="137"/>
        <v>0</v>
      </c>
      <c r="AX1618" s="21" t="str">
        <f t="shared" si="136"/>
        <v/>
      </c>
      <c r="AY1618" s="21" t="str">
        <f>IF(AND($AM1618&lt;&gt;"",$AS1618&lt;&gt;"✓"),SUMPRODUCT(($AM$11:$AM1618&lt;&gt;"")*($AS$11:$AS1618&lt;&gt;"✓")),"")</f>
        <v/>
      </c>
      <c r="AZ1618" s="21" t="str">
        <f>IF(AND($AM1618&lt;&gt;"",$AS1618="✓"),SUMPRODUCT(($AM$11:$AM1618&lt;&gt;"")*($AS$11:$AS1618="✓")),"")</f>
        <v/>
      </c>
      <c r="BA1618" s="21" t="str">
        <f>IF($AL1618="","",$AL1618&amp;"|"&amp;COUNTIF($AL$11:$AL1618,$AL1618))</f>
        <v/>
      </c>
    </row>
    <row r="1619" spans="38:53" ht="15" customHeight="1" x14ac:dyDescent="0.25">
      <c r="AL1619" s="17"/>
      <c r="AM1619" s="12"/>
      <c r="AN1619" s="18"/>
      <c r="AO1619" s="18"/>
      <c r="AP1619" s="10"/>
      <c r="AQ1619" s="10"/>
      <c r="AR1619" s="19"/>
      <c r="AS1619" s="20"/>
      <c r="AT1619" s="19"/>
      <c r="AV1619" s="21">
        <f>IF(AND($AL1619&lt;&gt;"",COUNTIF($AL$11:$AL1619,$AL1619)=1),1,0)</f>
        <v>0</v>
      </c>
      <c r="AW1619" s="21">
        <f t="shared" si="137"/>
        <v>0</v>
      </c>
      <c r="AX1619" s="21" t="str">
        <f t="shared" si="136"/>
        <v/>
      </c>
      <c r="AY1619" s="21" t="str">
        <f>IF(AND($AM1619&lt;&gt;"",$AS1619&lt;&gt;"✓"),SUMPRODUCT(($AM$11:$AM1619&lt;&gt;"")*($AS$11:$AS1619&lt;&gt;"✓")),"")</f>
        <v/>
      </c>
      <c r="AZ1619" s="21" t="str">
        <f>IF(AND($AM1619&lt;&gt;"",$AS1619="✓"),SUMPRODUCT(($AM$11:$AM1619&lt;&gt;"")*($AS$11:$AS1619="✓")),"")</f>
        <v/>
      </c>
      <c r="BA1619" s="21" t="str">
        <f>IF($AL1619="","",$AL1619&amp;"|"&amp;COUNTIF($AL$11:$AL1619,$AL1619))</f>
        <v/>
      </c>
    </row>
    <row r="1620" spans="38:53" ht="15" customHeight="1" x14ac:dyDescent="0.25">
      <c r="AL1620" s="31"/>
      <c r="AM1620" s="26"/>
      <c r="AN1620" s="32"/>
      <c r="AO1620" s="32"/>
      <c r="AP1620" s="24"/>
      <c r="AQ1620" s="24"/>
      <c r="AR1620" s="33"/>
      <c r="AS1620" s="34"/>
      <c r="AT1620" s="33"/>
      <c r="AV1620" s="21">
        <f>IF(AND($AL1620&lt;&gt;"",COUNTIF($AL$11:$AL1620,$AL1620)=1),1,0)</f>
        <v>0</v>
      </c>
      <c r="AW1620" s="21">
        <f t="shared" si="137"/>
        <v>0</v>
      </c>
      <c r="AX1620" s="21" t="str">
        <f t="shared" si="136"/>
        <v/>
      </c>
      <c r="AY1620" s="21" t="str">
        <f>IF(AND($AM1620&lt;&gt;"",$AS1620&lt;&gt;"✓"),SUMPRODUCT(($AM$11:$AM1620&lt;&gt;"")*($AS$11:$AS1620&lt;&gt;"✓")),"")</f>
        <v/>
      </c>
      <c r="AZ1620" s="21" t="str">
        <f>IF(AND($AM1620&lt;&gt;"",$AS1620="✓"),SUMPRODUCT(($AM$11:$AM1620&lt;&gt;"")*($AS$11:$AS1620="✓")),"")</f>
        <v/>
      </c>
      <c r="BA1620" s="21" t="str">
        <f>IF($AL1620="","",$AL1620&amp;"|"&amp;COUNTIF($AL$11:$AL1620,$AL1620))</f>
        <v/>
      </c>
    </row>
    <row r="1621" spans="38:53" ht="15" customHeight="1" x14ac:dyDescent="0.25">
      <c r="AL1621" s="17"/>
      <c r="AM1621" s="12"/>
      <c r="AN1621" s="18"/>
      <c r="AO1621" s="18"/>
      <c r="AP1621" s="10"/>
      <c r="AQ1621" s="10"/>
      <c r="AR1621" s="19"/>
      <c r="AS1621" s="20"/>
      <c r="AT1621" s="19"/>
      <c r="AV1621" s="21">
        <f>IF(AND($AL1621&lt;&gt;"",COUNTIF($AL$11:$AL1621,$AL1621)=1),1,0)</f>
        <v>0</v>
      </c>
      <c r="AW1621" s="21">
        <f t="shared" si="137"/>
        <v>0</v>
      </c>
      <c r="AX1621" s="21" t="str">
        <f t="shared" si="136"/>
        <v/>
      </c>
      <c r="AY1621" s="21" t="str">
        <f>IF(AND($AM1621&lt;&gt;"",$AS1621&lt;&gt;"✓"),SUMPRODUCT(($AM$11:$AM1621&lt;&gt;"")*($AS$11:$AS1621&lt;&gt;"✓")),"")</f>
        <v/>
      </c>
      <c r="AZ1621" s="21" t="str">
        <f>IF(AND($AM1621&lt;&gt;"",$AS1621="✓"),SUMPRODUCT(($AM$11:$AM1621&lt;&gt;"")*($AS$11:$AS1621="✓")),"")</f>
        <v/>
      </c>
      <c r="BA1621" s="21" t="str">
        <f>IF($AL1621="","",$AL1621&amp;"|"&amp;COUNTIF($AL$11:$AL1621,$AL1621))</f>
        <v/>
      </c>
    </row>
    <row r="1622" spans="38:53" ht="15" customHeight="1" x14ac:dyDescent="0.25">
      <c r="AL1622" s="31"/>
      <c r="AM1622" s="26"/>
      <c r="AN1622" s="32"/>
      <c r="AO1622" s="32"/>
      <c r="AP1622" s="24"/>
      <c r="AQ1622" s="24"/>
      <c r="AR1622" s="33"/>
      <c r="AS1622" s="34"/>
      <c r="AT1622" s="33"/>
      <c r="AV1622" s="21">
        <f>IF(AND($AL1622&lt;&gt;"",COUNTIF($AL$11:$AL1622,$AL1622)=1),1,0)</f>
        <v>0</v>
      </c>
      <c r="AW1622" s="21">
        <f t="shared" si="137"/>
        <v>0</v>
      </c>
      <c r="AX1622" s="21" t="str">
        <f t="shared" si="136"/>
        <v/>
      </c>
      <c r="AY1622" s="21" t="str">
        <f>IF(AND($AM1622&lt;&gt;"",$AS1622&lt;&gt;"✓"),SUMPRODUCT(($AM$11:$AM1622&lt;&gt;"")*($AS$11:$AS1622&lt;&gt;"✓")),"")</f>
        <v/>
      </c>
      <c r="AZ1622" s="21" t="str">
        <f>IF(AND($AM1622&lt;&gt;"",$AS1622="✓"),SUMPRODUCT(($AM$11:$AM1622&lt;&gt;"")*($AS$11:$AS1622="✓")),"")</f>
        <v/>
      </c>
      <c r="BA1622" s="21" t="str">
        <f>IF($AL1622="","",$AL1622&amp;"|"&amp;COUNTIF($AL$11:$AL1622,$AL1622))</f>
        <v/>
      </c>
    </row>
    <row r="1623" spans="38:53" ht="15" customHeight="1" x14ac:dyDescent="0.25">
      <c r="AL1623" s="17"/>
      <c r="AM1623" s="12"/>
      <c r="AN1623" s="18"/>
      <c r="AO1623" s="18"/>
      <c r="AP1623" s="10"/>
      <c r="AQ1623" s="10"/>
      <c r="AR1623" s="19"/>
      <c r="AS1623" s="20"/>
      <c r="AT1623" s="19"/>
      <c r="AV1623" s="21">
        <f>IF(AND($AL1623&lt;&gt;"",COUNTIF($AL$11:$AL1623,$AL1623)=1),1,0)</f>
        <v>0</v>
      </c>
      <c r="AW1623" s="21">
        <f t="shared" si="137"/>
        <v>0</v>
      </c>
      <c r="AX1623" s="21" t="str">
        <f t="shared" si="136"/>
        <v/>
      </c>
      <c r="AY1623" s="21" t="str">
        <f>IF(AND($AM1623&lt;&gt;"",$AS1623&lt;&gt;"✓"),SUMPRODUCT(($AM$11:$AM1623&lt;&gt;"")*($AS$11:$AS1623&lt;&gt;"✓")),"")</f>
        <v/>
      </c>
      <c r="AZ1623" s="21" t="str">
        <f>IF(AND($AM1623&lt;&gt;"",$AS1623="✓"),SUMPRODUCT(($AM$11:$AM1623&lt;&gt;"")*($AS$11:$AS1623="✓")),"")</f>
        <v/>
      </c>
      <c r="BA1623" s="21" t="str">
        <f>IF($AL1623="","",$AL1623&amp;"|"&amp;COUNTIF($AL$11:$AL1623,$AL1623))</f>
        <v/>
      </c>
    </row>
    <row r="1624" spans="38:53" ht="15" customHeight="1" x14ac:dyDescent="0.25">
      <c r="AL1624" s="31"/>
      <c r="AM1624" s="26"/>
      <c r="AN1624" s="32"/>
      <c r="AO1624" s="32"/>
      <c r="AP1624" s="24"/>
      <c r="AQ1624" s="24"/>
      <c r="AR1624" s="33"/>
      <c r="AS1624" s="34"/>
      <c r="AT1624" s="33"/>
      <c r="AV1624" s="21">
        <f>IF(AND($AL1624&lt;&gt;"",COUNTIF($AL$11:$AL1624,$AL1624)=1),1,0)</f>
        <v>0</v>
      </c>
      <c r="AW1624" s="21">
        <f t="shared" si="137"/>
        <v>0</v>
      </c>
      <c r="AX1624" s="21" t="str">
        <f t="shared" si="136"/>
        <v/>
      </c>
      <c r="AY1624" s="21" t="str">
        <f>IF(AND($AM1624&lt;&gt;"",$AS1624&lt;&gt;"✓"),SUMPRODUCT(($AM$11:$AM1624&lt;&gt;"")*($AS$11:$AS1624&lt;&gt;"✓")),"")</f>
        <v/>
      </c>
      <c r="AZ1624" s="21" t="str">
        <f>IF(AND($AM1624&lt;&gt;"",$AS1624="✓"),SUMPRODUCT(($AM$11:$AM1624&lt;&gt;"")*($AS$11:$AS1624="✓")),"")</f>
        <v/>
      </c>
      <c r="BA1624" s="21" t="str">
        <f>IF($AL1624="","",$AL1624&amp;"|"&amp;COUNTIF($AL$11:$AL1624,$AL1624))</f>
        <v/>
      </c>
    </row>
    <row r="1625" spans="38:53" ht="15" customHeight="1" x14ac:dyDescent="0.25">
      <c r="AL1625" s="17"/>
      <c r="AM1625" s="12"/>
      <c r="AN1625" s="18"/>
      <c r="AO1625" s="18"/>
      <c r="AP1625" s="10"/>
      <c r="AQ1625" s="10"/>
      <c r="AR1625" s="19"/>
      <c r="AS1625" s="20"/>
      <c r="AT1625" s="19"/>
      <c r="AV1625" s="21">
        <f>IF(AND($AL1625&lt;&gt;"",COUNTIF($AL$11:$AL1625,$AL1625)=1),1,0)</f>
        <v>0</v>
      </c>
      <c r="AW1625" s="21">
        <f t="shared" si="137"/>
        <v>0</v>
      </c>
      <c r="AX1625" s="21" t="str">
        <f t="shared" si="136"/>
        <v/>
      </c>
      <c r="AY1625" s="21" t="str">
        <f>IF(AND($AM1625&lt;&gt;"",$AS1625&lt;&gt;"✓"),SUMPRODUCT(($AM$11:$AM1625&lt;&gt;"")*($AS$11:$AS1625&lt;&gt;"✓")),"")</f>
        <v/>
      </c>
      <c r="AZ1625" s="21" t="str">
        <f>IF(AND($AM1625&lt;&gt;"",$AS1625="✓"),SUMPRODUCT(($AM$11:$AM1625&lt;&gt;"")*($AS$11:$AS1625="✓")),"")</f>
        <v/>
      </c>
      <c r="BA1625" s="21" t="str">
        <f>IF($AL1625="","",$AL1625&amp;"|"&amp;COUNTIF($AL$11:$AL1625,$AL1625))</f>
        <v/>
      </c>
    </row>
    <row r="1626" spans="38:53" ht="15" customHeight="1" x14ac:dyDescent="0.25">
      <c r="AL1626" s="31"/>
      <c r="AM1626" s="26"/>
      <c r="AN1626" s="32"/>
      <c r="AO1626" s="32"/>
      <c r="AP1626" s="24"/>
      <c r="AQ1626" s="24"/>
      <c r="AR1626" s="33"/>
      <c r="AS1626" s="34"/>
      <c r="AT1626" s="33"/>
      <c r="AV1626" s="21">
        <f>IF(AND($AL1626&lt;&gt;"",COUNTIF($AL$11:$AL1626,$AL1626)=1),1,0)</f>
        <v>0</v>
      </c>
      <c r="AW1626" s="21">
        <f t="shared" si="137"/>
        <v>0</v>
      </c>
      <c r="AX1626" s="21" t="str">
        <f t="shared" si="136"/>
        <v/>
      </c>
      <c r="AY1626" s="21" t="str">
        <f>IF(AND($AM1626&lt;&gt;"",$AS1626&lt;&gt;"✓"),SUMPRODUCT(($AM$11:$AM1626&lt;&gt;"")*($AS$11:$AS1626&lt;&gt;"✓")),"")</f>
        <v/>
      </c>
      <c r="AZ1626" s="21" t="str">
        <f>IF(AND($AM1626&lt;&gt;"",$AS1626="✓"),SUMPRODUCT(($AM$11:$AM1626&lt;&gt;"")*($AS$11:$AS1626="✓")),"")</f>
        <v/>
      </c>
      <c r="BA1626" s="21" t="str">
        <f>IF($AL1626="","",$AL1626&amp;"|"&amp;COUNTIF($AL$11:$AL1626,$AL1626))</f>
        <v/>
      </c>
    </row>
    <row r="1627" spans="38:53" ht="15" customHeight="1" x14ac:dyDescent="0.25">
      <c r="AL1627" s="17"/>
      <c r="AM1627" s="12"/>
      <c r="AN1627" s="18"/>
      <c r="AO1627" s="18"/>
      <c r="AP1627" s="10"/>
      <c r="AQ1627" s="10"/>
      <c r="AR1627" s="19"/>
      <c r="AS1627" s="20"/>
      <c r="AT1627" s="19"/>
      <c r="AV1627" s="21">
        <f>IF(AND($AL1627&lt;&gt;"",COUNTIF($AL$11:$AL1627,$AL1627)=1),1,0)</f>
        <v>0</v>
      </c>
      <c r="AW1627" s="21">
        <f t="shared" si="137"/>
        <v>0</v>
      </c>
      <c r="AX1627" s="21" t="str">
        <f t="shared" si="136"/>
        <v/>
      </c>
      <c r="AY1627" s="21" t="str">
        <f>IF(AND($AM1627&lt;&gt;"",$AS1627&lt;&gt;"✓"),SUMPRODUCT(($AM$11:$AM1627&lt;&gt;"")*($AS$11:$AS1627&lt;&gt;"✓")),"")</f>
        <v/>
      </c>
      <c r="AZ1627" s="21" t="str">
        <f>IF(AND($AM1627&lt;&gt;"",$AS1627="✓"),SUMPRODUCT(($AM$11:$AM1627&lt;&gt;"")*($AS$11:$AS1627="✓")),"")</f>
        <v/>
      </c>
      <c r="BA1627" s="21" t="str">
        <f>IF($AL1627="","",$AL1627&amp;"|"&amp;COUNTIF($AL$11:$AL1627,$AL1627))</f>
        <v/>
      </c>
    </row>
    <row r="1628" spans="38:53" ht="15" customHeight="1" x14ac:dyDescent="0.25">
      <c r="AL1628" s="31"/>
      <c r="AM1628" s="26"/>
      <c r="AN1628" s="32"/>
      <c r="AO1628" s="32"/>
      <c r="AP1628" s="24"/>
      <c r="AQ1628" s="24"/>
      <c r="AR1628" s="33"/>
      <c r="AS1628" s="34"/>
      <c r="AT1628" s="33"/>
      <c r="AV1628" s="21">
        <f>IF(AND($AL1628&lt;&gt;"",COUNTIF($AL$11:$AL1628,$AL1628)=1),1,0)</f>
        <v>0</v>
      </c>
      <c r="AW1628" s="21">
        <f t="shared" si="137"/>
        <v>0</v>
      </c>
      <c r="AX1628" s="21" t="str">
        <f t="shared" si="136"/>
        <v/>
      </c>
      <c r="AY1628" s="21" t="str">
        <f>IF(AND($AM1628&lt;&gt;"",$AS1628&lt;&gt;"✓"),SUMPRODUCT(($AM$11:$AM1628&lt;&gt;"")*($AS$11:$AS1628&lt;&gt;"✓")),"")</f>
        <v/>
      </c>
      <c r="AZ1628" s="21" t="str">
        <f>IF(AND($AM1628&lt;&gt;"",$AS1628="✓"),SUMPRODUCT(($AM$11:$AM1628&lt;&gt;"")*($AS$11:$AS1628="✓")),"")</f>
        <v/>
      </c>
      <c r="BA1628" s="21" t="str">
        <f>IF($AL1628="","",$AL1628&amp;"|"&amp;COUNTIF($AL$11:$AL1628,$AL1628))</f>
        <v/>
      </c>
    </row>
    <row r="1629" spans="38:53" ht="15" customHeight="1" x14ac:dyDescent="0.25">
      <c r="AL1629" s="17"/>
      <c r="AM1629" s="12"/>
      <c r="AN1629" s="18"/>
      <c r="AO1629" s="18"/>
      <c r="AP1629" s="10"/>
      <c r="AQ1629" s="10"/>
      <c r="AR1629" s="19"/>
      <c r="AS1629" s="20"/>
      <c r="AT1629" s="19"/>
      <c r="AV1629" s="21">
        <f>IF(AND($AL1629&lt;&gt;"",COUNTIF($AL$11:$AL1629,$AL1629)=1),1,0)</f>
        <v>0</v>
      </c>
      <c r="AW1629" s="21">
        <f t="shared" si="137"/>
        <v>0</v>
      </c>
      <c r="AX1629" s="21" t="str">
        <f t="shared" si="136"/>
        <v/>
      </c>
      <c r="AY1629" s="21" t="str">
        <f>IF(AND($AM1629&lt;&gt;"",$AS1629&lt;&gt;"✓"),SUMPRODUCT(($AM$11:$AM1629&lt;&gt;"")*($AS$11:$AS1629&lt;&gt;"✓")),"")</f>
        <v/>
      </c>
      <c r="AZ1629" s="21" t="str">
        <f>IF(AND($AM1629&lt;&gt;"",$AS1629="✓"),SUMPRODUCT(($AM$11:$AM1629&lt;&gt;"")*($AS$11:$AS1629="✓")),"")</f>
        <v/>
      </c>
      <c r="BA1629" s="21" t="str">
        <f>IF($AL1629="","",$AL1629&amp;"|"&amp;COUNTIF($AL$11:$AL1629,$AL1629))</f>
        <v/>
      </c>
    </row>
    <row r="1630" spans="38:53" ht="15" customHeight="1" x14ac:dyDescent="0.25">
      <c r="AL1630" s="31"/>
      <c r="AM1630" s="26"/>
      <c r="AN1630" s="32"/>
      <c r="AO1630" s="32"/>
      <c r="AP1630" s="24"/>
      <c r="AQ1630" s="24"/>
      <c r="AR1630" s="33"/>
      <c r="AS1630" s="34"/>
      <c r="AT1630" s="33"/>
      <c r="AV1630" s="21">
        <f>IF(AND($AL1630&lt;&gt;"",COUNTIF($AL$11:$AL1630,$AL1630)=1),1,0)</f>
        <v>0</v>
      </c>
      <c r="AW1630" s="21">
        <f t="shared" si="137"/>
        <v>0</v>
      </c>
      <c r="AX1630" s="21" t="str">
        <f t="shared" si="136"/>
        <v/>
      </c>
      <c r="AY1630" s="21" t="str">
        <f>IF(AND($AM1630&lt;&gt;"",$AS1630&lt;&gt;"✓"),SUMPRODUCT(($AM$11:$AM1630&lt;&gt;"")*($AS$11:$AS1630&lt;&gt;"✓")),"")</f>
        <v/>
      </c>
      <c r="AZ1630" s="21" t="str">
        <f>IF(AND($AM1630&lt;&gt;"",$AS1630="✓"),SUMPRODUCT(($AM$11:$AM1630&lt;&gt;"")*($AS$11:$AS1630="✓")),"")</f>
        <v/>
      </c>
      <c r="BA1630" s="21" t="str">
        <f>IF($AL1630="","",$AL1630&amp;"|"&amp;COUNTIF($AL$11:$AL1630,$AL1630))</f>
        <v/>
      </c>
    </row>
    <row r="1631" spans="38:53" ht="15" customHeight="1" x14ac:dyDescent="0.25">
      <c r="AL1631" s="17"/>
      <c r="AM1631" s="12"/>
      <c r="AN1631" s="18"/>
      <c r="AO1631" s="18"/>
      <c r="AP1631" s="10"/>
      <c r="AQ1631" s="10"/>
      <c r="AR1631" s="19"/>
      <c r="AS1631" s="20"/>
      <c r="AT1631" s="19"/>
      <c r="AV1631" s="21">
        <f>IF(AND($AL1631&lt;&gt;"",COUNTIF($AL$11:$AL1631,$AL1631)=1),1,0)</f>
        <v>0</v>
      </c>
      <c r="AW1631" s="21">
        <f t="shared" si="137"/>
        <v>0</v>
      </c>
      <c r="AX1631" s="21" t="str">
        <f t="shared" si="136"/>
        <v/>
      </c>
      <c r="AY1631" s="21" t="str">
        <f>IF(AND($AM1631&lt;&gt;"",$AS1631&lt;&gt;"✓"),SUMPRODUCT(($AM$11:$AM1631&lt;&gt;"")*($AS$11:$AS1631&lt;&gt;"✓")),"")</f>
        <v/>
      </c>
      <c r="AZ1631" s="21" t="str">
        <f>IF(AND($AM1631&lt;&gt;"",$AS1631="✓"),SUMPRODUCT(($AM$11:$AM1631&lt;&gt;"")*($AS$11:$AS1631="✓")),"")</f>
        <v/>
      </c>
      <c r="BA1631" s="21" t="str">
        <f>IF($AL1631="","",$AL1631&amp;"|"&amp;COUNTIF($AL$11:$AL1631,$AL1631))</f>
        <v/>
      </c>
    </row>
    <row r="1632" spans="38:53" ht="15" customHeight="1" x14ac:dyDescent="0.25">
      <c r="AL1632" s="31"/>
      <c r="AM1632" s="26"/>
      <c r="AN1632" s="32"/>
      <c r="AO1632" s="32"/>
      <c r="AP1632" s="24"/>
      <c r="AQ1632" s="24"/>
      <c r="AR1632" s="33"/>
      <c r="AS1632" s="34"/>
      <c r="AT1632" s="33"/>
      <c r="AV1632" s="21">
        <f>IF(AND($AL1632&lt;&gt;"",COUNTIF($AL$11:$AL1632,$AL1632)=1),1,0)</f>
        <v>0</v>
      </c>
      <c r="AW1632" s="21">
        <f t="shared" si="137"/>
        <v>0</v>
      </c>
      <c r="AX1632" s="21" t="str">
        <f t="shared" si="136"/>
        <v/>
      </c>
      <c r="AY1632" s="21" t="str">
        <f>IF(AND($AM1632&lt;&gt;"",$AS1632&lt;&gt;"✓"),SUMPRODUCT(($AM$11:$AM1632&lt;&gt;"")*($AS$11:$AS1632&lt;&gt;"✓")),"")</f>
        <v/>
      </c>
      <c r="AZ1632" s="21" t="str">
        <f>IF(AND($AM1632&lt;&gt;"",$AS1632="✓"),SUMPRODUCT(($AM$11:$AM1632&lt;&gt;"")*($AS$11:$AS1632="✓")),"")</f>
        <v/>
      </c>
      <c r="BA1632" s="21" t="str">
        <f>IF($AL1632="","",$AL1632&amp;"|"&amp;COUNTIF($AL$11:$AL1632,$AL1632))</f>
        <v/>
      </c>
    </row>
    <row r="1633" spans="38:53" ht="15" customHeight="1" x14ac:dyDescent="0.25">
      <c r="AL1633" s="17"/>
      <c r="AM1633" s="12"/>
      <c r="AN1633" s="18"/>
      <c r="AO1633" s="18"/>
      <c r="AP1633" s="10"/>
      <c r="AQ1633" s="10"/>
      <c r="AR1633" s="19"/>
      <c r="AS1633" s="20"/>
      <c r="AT1633" s="19"/>
      <c r="AV1633" s="21">
        <f>IF(AND($AL1633&lt;&gt;"",COUNTIF($AL$11:$AL1633,$AL1633)=1),1,0)</f>
        <v>0</v>
      </c>
      <c r="AW1633" s="21">
        <f t="shared" si="137"/>
        <v>0</v>
      </c>
      <c r="AX1633" s="21" t="str">
        <f t="shared" si="136"/>
        <v/>
      </c>
      <c r="AY1633" s="21" t="str">
        <f>IF(AND($AM1633&lt;&gt;"",$AS1633&lt;&gt;"✓"),SUMPRODUCT(($AM$11:$AM1633&lt;&gt;"")*($AS$11:$AS1633&lt;&gt;"✓")),"")</f>
        <v/>
      </c>
      <c r="AZ1633" s="21" t="str">
        <f>IF(AND($AM1633&lt;&gt;"",$AS1633="✓"),SUMPRODUCT(($AM$11:$AM1633&lt;&gt;"")*($AS$11:$AS1633="✓")),"")</f>
        <v/>
      </c>
      <c r="BA1633" s="21" t="str">
        <f>IF($AL1633="","",$AL1633&amp;"|"&amp;COUNTIF($AL$11:$AL1633,$AL1633))</f>
        <v/>
      </c>
    </row>
    <row r="1634" spans="38:53" ht="15" customHeight="1" x14ac:dyDescent="0.25">
      <c r="AL1634" s="31"/>
      <c r="AM1634" s="26"/>
      <c r="AN1634" s="32"/>
      <c r="AO1634" s="32"/>
      <c r="AP1634" s="24"/>
      <c r="AQ1634" s="24"/>
      <c r="AR1634" s="33"/>
      <c r="AS1634" s="34"/>
      <c r="AT1634" s="33"/>
      <c r="AV1634" s="21">
        <f>IF(AND($AL1634&lt;&gt;"",COUNTIF($AL$11:$AL1634,$AL1634)=1),1,0)</f>
        <v>0</v>
      </c>
      <c r="AW1634" s="21">
        <f t="shared" si="137"/>
        <v>0</v>
      </c>
      <c r="AX1634" s="21" t="str">
        <f t="shared" si="136"/>
        <v/>
      </c>
      <c r="AY1634" s="21" t="str">
        <f>IF(AND($AM1634&lt;&gt;"",$AS1634&lt;&gt;"✓"),SUMPRODUCT(($AM$11:$AM1634&lt;&gt;"")*($AS$11:$AS1634&lt;&gt;"✓")),"")</f>
        <v/>
      </c>
      <c r="AZ1634" s="21" t="str">
        <f>IF(AND($AM1634&lt;&gt;"",$AS1634="✓"),SUMPRODUCT(($AM$11:$AM1634&lt;&gt;"")*($AS$11:$AS1634="✓")),"")</f>
        <v/>
      </c>
      <c r="BA1634" s="21" t="str">
        <f>IF($AL1634="","",$AL1634&amp;"|"&amp;COUNTIF($AL$11:$AL1634,$AL1634))</f>
        <v/>
      </c>
    </row>
    <row r="1635" spans="38:53" ht="15" customHeight="1" x14ac:dyDescent="0.25">
      <c r="AL1635" s="17"/>
      <c r="AM1635" s="12"/>
      <c r="AN1635" s="18"/>
      <c r="AO1635" s="18"/>
      <c r="AP1635" s="10"/>
      <c r="AQ1635" s="10"/>
      <c r="AR1635" s="19"/>
      <c r="AS1635" s="20"/>
      <c r="AT1635" s="19"/>
      <c r="AV1635" s="21">
        <f>IF(AND($AL1635&lt;&gt;"",COUNTIF($AL$11:$AL1635,$AL1635)=1),1,0)</f>
        <v>0</v>
      </c>
      <c r="AW1635" s="21">
        <f t="shared" si="137"/>
        <v>0</v>
      </c>
      <c r="AX1635" s="21" t="str">
        <f t="shared" si="136"/>
        <v/>
      </c>
      <c r="AY1635" s="21" t="str">
        <f>IF(AND($AM1635&lt;&gt;"",$AS1635&lt;&gt;"✓"),SUMPRODUCT(($AM$11:$AM1635&lt;&gt;"")*($AS$11:$AS1635&lt;&gt;"✓")),"")</f>
        <v/>
      </c>
      <c r="AZ1635" s="21" t="str">
        <f>IF(AND($AM1635&lt;&gt;"",$AS1635="✓"),SUMPRODUCT(($AM$11:$AM1635&lt;&gt;"")*($AS$11:$AS1635="✓")),"")</f>
        <v/>
      </c>
      <c r="BA1635" s="21" t="str">
        <f>IF($AL1635="","",$AL1635&amp;"|"&amp;COUNTIF($AL$11:$AL1635,$AL1635))</f>
        <v/>
      </c>
    </row>
    <row r="1636" spans="38:53" ht="15" customHeight="1" x14ac:dyDescent="0.25">
      <c r="AL1636" s="31"/>
      <c r="AM1636" s="26"/>
      <c r="AN1636" s="32"/>
      <c r="AO1636" s="32"/>
      <c r="AP1636" s="24"/>
      <c r="AQ1636" s="24"/>
      <c r="AR1636" s="33"/>
      <c r="AS1636" s="34"/>
      <c r="AT1636" s="33"/>
      <c r="AV1636" s="21">
        <f>IF(AND($AL1636&lt;&gt;"",COUNTIF($AL$11:$AL1636,$AL1636)=1),1,0)</f>
        <v>0</v>
      </c>
      <c r="AW1636" s="21">
        <f t="shared" si="137"/>
        <v>0</v>
      </c>
      <c r="AX1636" s="21" t="str">
        <f t="shared" si="136"/>
        <v/>
      </c>
      <c r="AY1636" s="21" t="str">
        <f>IF(AND($AM1636&lt;&gt;"",$AS1636&lt;&gt;"✓"),SUMPRODUCT(($AM$11:$AM1636&lt;&gt;"")*($AS$11:$AS1636&lt;&gt;"✓")),"")</f>
        <v/>
      </c>
      <c r="AZ1636" s="21" t="str">
        <f>IF(AND($AM1636&lt;&gt;"",$AS1636="✓"),SUMPRODUCT(($AM$11:$AM1636&lt;&gt;"")*($AS$11:$AS1636="✓")),"")</f>
        <v/>
      </c>
      <c r="BA1636" s="21" t="str">
        <f>IF($AL1636="","",$AL1636&amp;"|"&amp;COUNTIF($AL$11:$AL1636,$AL1636))</f>
        <v/>
      </c>
    </row>
    <row r="1637" spans="38:53" ht="15" customHeight="1" x14ac:dyDescent="0.25">
      <c r="AL1637" s="17"/>
      <c r="AM1637" s="12"/>
      <c r="AN1637" s="18"/>
      <c r="AO1637" s="18"/>
      <c r="AP1637" s="10"/>
      <c r="AQ1637" s="10"/>
      <c r="AR1637" s="19"/>
      <c r="AS1637" s="20"/>
      <c r="AT1637" s="19"/>
      <c r="AV1637" s="21">
        <f>IF(AND($AL1637&lt;&gt;"",COUNTIF($AL$11:$AL1637,$AL1637)=1),1,0)</f>
        <v>0</v>
      </c>
      <c r="AW1637" s="21">
        <f t="shared" si="137"/>
        <v>0</v>
      </c>
      <c r="AX1637" s="21" t="str">
        <f t="shared" si="136"/>
        <v/>
      </c>
      <c r="AY1637" s="21" t="str">
        <f>IF(AND($AM1637&lt;&gt;"",$AS1637&lt;&gt;"✓"),SUMPRODUCT(($AM$11:$AM1637&lt;&gt;"")*($AS$11:$AS1637&lt;&gt;"✓")),"")</f>
        <v/>
      </c>
      <c r="AZ1637" s="21" t="str">
        <f>IF(AND($AM1637&lt;&gt;"",$AS1637="✓"),SUMPRODUCT(($AM$11:$AM1637&lt;&gt;"")*($AS$11:$AS1637="✓")),"")</f>
        <v/>
      </c>
      <c r="BA1637" s="21" t="str">
        <f>IF($AL1637="","",$AL1637&amp;"|"&amp;COUNTIF($AL$11:$AL1637,$AL1637))</f>
        <v/>
      </c>
    </row>
    <row r="1638" spans="38:53" ht="15" customHeight="1" x14ac:dyDescent="0.25">
      <c r="AL1638" s="31"/>
      <c r="AM1638" s="26"/>
      <c r="AN1638" s="32"/>
      <c r="AO1638" s="32"/>
      <c r="AP1638" s="24"/>
      <c r="AQ1638" s="24"/>
      <c r="AR1638" s="33"/>
      <c r="AS1638" s="34"/>
      <c r="AT1638" s="33"/>
      <c r="AV1638" s="21">
        <f>IF(AND($AL1638&lt;&gt;"",COUNTIF($AL$11:$AL1638,$AL1638)=1),1,0)</f>
        <v>0</v>
      </c>
      <c r="AW1638" s="21">
        <f t="shared" si="137"/>
        <v>0</v>
      </c>
      <c r="AX1638" s="21" t="str">
        <f t="shared" si="136"/>
        <v/>
      </c>
      <c r="AY1638" s="21" t="str">
        <f>IF(AND($AM1638&lt;&gt;"",$AS1638&lt;&gt;"✓"),SUMPRODUCT(($AM$11:$AM1638&lt;&gt;"")*($AS$11:$AS1638&lt;&gt;"✓")),"")</f>
        <v/>
      </c>
      <c r="AZ1638" s="21" t="str">
        <f>IF(AND($AM1638&lt;&gt;"",$AS1638="✓"),SUMPRODUCT(($AM$11:$AM1638&lt;&gt;"")*($AS$11:$AS1638="✓")),"")</f>
        <v/>
      </c>
      <c r="BA1638" s="21" t="str">
        <f>IF($AL1638="","",$AL1638&amp;"|"&amp;COUNTIF($AL$11:$AL1638,$AL1638))</f>
        <v/>
      </c>
    </row>
    <row r="1639" spans="38:53" ht="15" customHeight="1" x14ac:dyDescent="0.25">
      <c r="AL1639" s="17"/>
      <c r="AM1639" s="12"/>
      <c r="AN1639" s="18"/>
      <c r="AO1639" s="18"/>
      <c r="AP1639" s="10"/>
      <c r="AQ1639" s="10"/>
      <c r="AR1639" s="19"/>
      <c r="AS1639" s="20"/>
      <c r="AT1639" s="19"/>
      <c r="AV1639" s="21">
        <f>IF(AND($AL1639&lt;&gt;"",COUNTIF($AL$11:$AL1639,$AL1639)=1),1,0)</f>
        <v>0</v>
      </c>
      <c r="AW1639" s="21">
        <f t="shared" si="137"/>
        <v>0</v>
      </c>
      <c r="AX1639" s="21" t="str">
        <f t="shared" si="136"/>
        <v/>
      </c>
      <c r="AY1639" s="21" t="str">
        <f>IF(AND($AM1639&lt;&gt;"",$AS1639&lt;&gt;"✓"),SUMPRODUCT(($AM$11:$AM1639&lt;&gt;"")*($AS$11:$AS1639&lt;&gt;"✓")),"")</f>
        <v/>
      </c>
      <c r="AZ1639" s="21" t="str">
        <f>IF(AND($AM1639&lt;&gt;"",$AS1639="✓"),SUMPRODUCT(($AM$11:$AM1639&lt;&gt;"")*($AS$11:$AS1639="✓")),"")</f>
        <v/>
      </c>
      <c r="BA1639" s="21" t="str">
        <f>IF($AL1639="","",$AL1639&amp;"|"&amp;COUNTIF($AL$11:$AL1639,$AL1639))</f>
        <v/>
      </c>
    </row>
    <row r="1640" spans="38:53" ht="15" customHeight="1" x14ac:dyDescent="0.25">
      <c r="AL1640" s="31"/>
      <c r="AM1640" s="26"/>
      <c r="AN1640" s="32"/>
      <c r="AO1640" s="32"/>
      <c r="AP1640" s="24"/>
      <c r="AQ1640" s="24"/>
      <c r="AR1640" s="33"/>
      <c r="AS1640" s="34"/>
      <c r="AT1640" s="33"/>
      <c r="AV1640" s="21">
        <f>IF(AND($AL1640&lt;&gt;"",COUNTIF($AL$11:$AL1640,$AL1640)=1),1,0)</f>
        <v>0</v>
      </c>
      <c r="AW1640" s="21">
        <f t="shared" si="137"/>
        <v>0</v>
      </c>
      <c r="AX1640" s="21" t="str">
        <f t="shared" si="136"/>
        <v/>
      </c>
      <c r="AY1640" s="21" t="str">
        <f>IF(AND($AM1640&lt;&gt;"",$AS1640&lt;&gt;"✓"),SUMPRODUCT(($AM$11:$AM1640&lt;&gt;"")*($AS$11:$AS1640&lt;&gt;"✓")),"")</f>
        <v/>
      </c>
      <c r="AZ1640" s="21" t="str">
        <f>IF(AND($AM1640&lt;&gt;"",$AS1640="✓"),SUMPRODUCT(($AM$11:$AM1640&lt;&gt;"")*($AS$11:$AS1640="✓")),"")</f>
        <v/>
      </c>
      <c r="BA1640" s="21" t="str">
        <f>IF($AL1640="","",$AL1640&amp;"|"&amp;COUNTIF($AL$11:$AL1640,$AL1640))</f>
        <v/>
      </c>
    </row>
    <row r="1641" spans="38:53" ht="15" customHeight="1" x14ac:dyDescent="0.25">
      <c r="AL1641" s="17"/>
      <c r="AM1641" s="12"/>
      <c r="AN1641" s="18"/>
      <c r="AO1641" s="18"/>
      <c r="AP1641" s="10"/>
      <c r="AQ1641" s="10"/>
      <c r="AR1641" s="19"/>
      <c r="AS1641" s="20"/>
      <c r="AT1641" s="19"/>
      <c r="AV1641" s="21">
        <f>IF(AND($AL1641&lt;&gt;"",COUNTIF($AL$11:$AL1641,$AL1641)=1),1,0)</f>
        <v>0</v>
      </c>
      <c r="AW1641" s="21">
        <f t="shared" si="137"/>
        <v>0</v>
      </c>
      <c r="AX1641" s="21" t="str">
        <f t="shared" si="136"/>
        <v/>
      </c>
      <c r="AY1641" s="21" t="str">
        <f>IF(AND($AM1641&lt;&gt;"",$AS1641&lt;&gt;"✓"),SUMPRODUCT(($AM$11:$AM1641&lt;&gt;"")*($AS$11:$AS1641&lt;&gt;"✓")),"")</f>
        <v/>
      </c>
      <c r="AZ1641" s="21" t="str">
        <f>IF(AND($AM1641&lt;&gt;"",$AS1641="✓"),SUMPRODUCT(($AM$11:$AM1641&lt;&gt;"")*($AS$11:$AS1641="✓")),"")</f>
        <v/>
      </c>
      <c r="BA1641" s="21" t="str">
        <f>IF($AL1641="","",$AL1641&amp;"|"&amp;COUNTIF($AL$11:$AL1641,$AL1641))</f>
        <v/>
      </c>
    </row>
    <row r="1642" spans="38:53" ht="15" customHeight="1" x14ac:dyDescent="0.25">
      <c r="AL1642" s="31"/>
      <c r="AM1642" s="26"/>
      <c r="AN1642" s="32"/>
      <c r="AO1642" s="32"/>
      <c r="AP1642" s="24"/>
      <c r="AQ1642" s="24"/>
      <c r="AR1642" s="33"/>
      <c r="AS1642" s="34"/>
      <c r="AT1642" s="33"/>
      <c r="AV1642" s="21">
        <f>IF(AND($AL1642&lt;&gt;"",COUNTIF($AL$11:$AL1642,$AL1642)=1),1,0)</f>
        <v>0</v>
      </c>
      <c r="AW1642" s="21">
        <f t="shared" si="137"/>
        <v>0</v>
      </c>
      <c r="AX1642" s="21" t="str">
        <f t="shared" si="136"/>
        <v/>
      </c>
      <c r="AY1642" s="21" t="str">
        <f>IF(AND($AM1642&lt;&gt;"",$AS1642&lt;&gt;"✓"),SUMPRODUCT(($AM$11:$AM1642&lt;&gt;"")*($AS$11:$AS1642&lt;&gt;"✓")),"")</f>
        <v/>
      </c>
      <c r="AZ1642" s="21" t="str">
        <f>IF(AND($AM1642&lt;&gt;"",$AS1642="✓"),SUMPRODUCT(($AM$11:$AM1642&lt;&gt;"")*($AS$11:$AS1642="✓")),"")</f>
        <v/>
      </c>
      <c r="BA1642" s="21" t="str">
        <f>IF($AL1642="","",$AL1642&amp;"|"&amp;COUNTIF($AL$11:$AL1642,$AL1642))</f>
        <v/>
      </c>
    </row>
    <row r="1643" spans="38:53" ht="15" customHeight="1" x14ac:dyDescent="0.25">
      <c r="AL1643" s="17"/>
      <c r="AM1643" s="12"/>
      <c r="AN1643" s="18"/>
      <c r="AO1643" s="18"/>
      <c r="AP1643" s="10"/>
      <c r="AQ1643" s="10"/>
      <c r="AR1643" s="19"/>
      <c r="AS1643" s="20"/>
      <c r="AT1643" s="19"/>
      <c r="AV1643" s="21">
        <f>IF(AND($AL1643&lt;&gt;"",COUNTIF($AL$11:$AL1643,$AL1643)=1),1,0)</f>
        <v>0</v>
      </c>
      <c r="AW1643" s="21">
        <f t="shared" si="137"/>
        <v>0</v>
      </c>
      <c r="AX1643" s="21" t="str">
        <f t="shared" si="136"/>
        <v/>
      </c>
      <c r="AY1643" s="21" t="str">
        <f>IF(AND($AM1643&lt;&gt;"",$AS1643&lt;&gt;"✓"),SUMPRODUCT(($AM$11:$AM1643&lt;&gt;"")*($AS$11:$AS1643&lt;&gt;"✓")),"")</f>
        <v/>
      </c>
      <c r="AZ1643" s="21" t="str">
        <f>IF(AND($AM1643&lt;&gt;"",$AS1643="✓"),SUMPRODUCT(($AM$11:$AM1643&lt;&gt;"")*($AS$11:$AS1643="✓")),"")</f>
        <v/>
      </c>
      <c r="BA1643" s="21" t="str">
        <f>IF($AL1643="","",$AL1643&amp;"|"&amp;COUNTIF($AL$11:$AL1643,$AL1643))</f>
        <v/>
      </c>
    </row>
    <row r="1644" spans="38:53" ht="15" customHeight="1" x14ac:dyDescent="0.25">
      <c r="AL1644" s="31"/>
      <c r="AM1644" s="26"/>
      <c r="AN1644" s="32"/>
      <c r="AO1644" s="32"/>
      <c r="AP1644" s="24"/>
      <c r="AQ1644" s="24"/>
      <c r="AR1644" s="33"/>
      <c r="AS1644" s="34"/>
      <c r="AT1644" s="33"/>
      <c r="AV1644" s="21">
        <f>IF(AND($AL1644&lt;&gt;"",COUNTIF($AL$11:$AL1644,$AL1644)=1),1,0)</f>
        <v>0</v>
      </c>
      <c r="AW1644" s="21">
        <f t="shared" si="137"/>
        <v>0</v>
      </c>
      <c r="AX1644" s="21" t="str">
        <f t="shared" si="136"/>
        <v/>
      </c>
      <c r="AY1644" s="21" t="str">
        <f>IF(AND($AM1644&lt;&gt;"",$AS1644&lt;&gt;"✓"),SUMPRODUCT(($AM$11:$AM1644&lt;&gt;"")*($AS$11:$AS1644&lt;&gt;"✓")),"")</f>
        <v/>
      </c>
      <c r="AZ1644" s="21" t="str">
        <f>IF(AND($AM1644&lt;&gt;"",$AS1644="✓"),SUMPRODUCT(($AM$11:$AM1644&lt;&gt;"")*($AS$11:$AS1644="✓")),"")</f>
        <v/>
      </c>
      <c r="BA1644" s="21" t="str">
        <f>IF($AL1644="","",$AL1644&amp;"|"&amp;COUNTIF($AL$11:$AL1644,$AL1644))</f>
        <v/>
      </c>
    </row>
    <row r="1645" spans="38:53" ht="15" customHeight="1" x14ac:dyDescent="0.25">
      <c r="AL1645" s="17"/>
      <c r="AM1645" s="12"/>
      <c r="AN1645" s="18"/>
      <c r="AO1645" s="18"/>
      <c r="AP1645" s="10"/>
      <c r="AQ1645" s="10"/>
      <c r="AR1645" s="19"/>
      <c r="AS1645" s="20"/>
      <c r="AT1645" s="19"/>
      <c r="AV1645" s="21">
        <f>IF(AND($AL1645&lt;&gt;"",COUNTIF($AL$11:$AL1645,$AL1645)=1),1,0)</f>
        <v>0</v>
      </c>
      <c r="AW1645" s="21">
        <f t="shared" si="137"/>
        <v>0</v>
      </c>
      <c r="AX1645" s="21" t="str">
        <f t="shared" si="136"/>
        <v/>
      </c>
      <c r="AY1645" s="21" t="str">
        <f>IF(AND($AM1645&lt;&gt;"",$AS1645&lt;&gt;"✓"),SUMPRODUCT(($AM$11:$AM1645&lt;&gt;"")*($AS$11:$AS1645&lt;&gt;"✓")),"")</f>
        <v/>
      </c>
      <c r="AZ1645" s="21" t="str">
        <f>IF(AND($AM1645&lt;&gt;"",$AS1645="✓"),SUMPRODUCT(($AM$11:$AM1645&lt;&gt;"")*($AS$11:$AS1645="✓")),"")</f>
        <v/>
      </c>
      <c r="BA1645" s="21" t="str">
        <f>IF($AL1645="","",$AL1645&amp;"|"&amp;COUNTIF($AL$11:$AL1645,$AL1645))</f>
        <v/>
      </c>
    </row>
    <row r="1646" spans="38:53" ht="15" customHeight="1" x14ac:dyDescent="0.25">
      <c r="AL1646" s="31"/>
      <c r="AM1646" s="26"/>
      <c r="AN1646" s="32"/>
      <c r="AO1646" s="32"/>
      <c r="AP1646" s="24"/>
      <c r="AQ1646" s="24"/>
      <c r="AR1646" s="33"/>
      <c r="AS1646" s="34"/>
      <c r="AT1646" s="33"/>
      <c r="AV1646" s="21">
        <f>IF(AND($AL1646&lt;&gt;"",COUNTIF($AL$11:$AL1646,$AL1646)=1),1,0)</f>
        <v>0</v>
      </c>
      <c r="AW1646" s="21">
        <f t="shared" si="137"/>
        <v>0</v>
      </c>
      <c r="AX1646" s="21" t="str">
        <f t="shared" si="136"/>
        <v/>
      </c>
      <c r="AY1646" s="21" t="str">
        <f>IF(AND($AM1646&lt;&gt;"",$AS1646&lt;&gt;"✓"),SUMPRODUCT(($AM$11:$AM1646&lt;&gt;"")*($AS$11:$AS1646&lt;&gt;"✓")),"")</f>
        <v/>
      </c>
      <c r="AZ1646" s="21" t="str">
        <f>IF(AND($AM1646&lt;&gt;"",$AS1646="✓"),SUMPRODUCT(($AM$11:$AM1646&lt;&gt;"")*($AS$11:$AS1646="✓")),"")</f>
        <v/>
      </c>
      <c r="BA1646" s="21" t="str">
        <f>IF($AL1646="","",$AL1646&amp;"|"&amp;COUNTIF($AL$11:$AL1646,$AL1646))</f>
        <v/>
      </c>
    </row>
    <row r="1647" spans="38:53" ht="15" customHeight="1" x14ac:dyDescent="0.25">
      <c r="AL1647" s="17"/>
      <c r="AM1647" s="12"/>
      <c r="AN1647" s="18"/>
      <c r="AO1647" s="18"/>
      <c r="AP1647" s="10"/>
      <c r="AQ1647" s="10"/>
      <c r="AR1647" s="19"/>
      <c r="AS1647" s="20"/>
      <c r="AT1647" s="19"/>
      <c r="AV1647" s="21">
        <f>IF(AND($AL1647&lt;&gt;"",COUNTIF($AL$11:$AL1647,$AL1647)=1),1,0)</f>
        <v>0</v>
      </c>
      <c r="AW1647" s="21">
        <f t="shared" si="137"/>
        <v>0</v>
      </c>
      <c r="AX1647" s="21" t="str">
        <f t="shared" si="136"/>
        <v/>
      </c>
      <c r="AY1647" s="21" t="str">
        <f>IF(AND($AM1647&lt;&gt;"",$AS1647&lt;&gt;"✓"),SUMPRODUCT(($AM$11:$AM1647&lt;&gt;"")*($AS$11:$AS1647&lt;&gt;"✓")),"")</f>
        <v/>
      </c>
      <c r="AZ1647" s="21" t="str">
        <f>IF(AND($AM1647&lt;&gt;"",$AS1647="✓"),SUMPRODUCT(($AM$11:$AM1647&lt;&gt;"")*($AS$11:$AS1647="✓")),"")</f>
        <v/>
      </c>
      <c r="BA1647" s="21" t="str">
        <f>IF($AL1647="","",$AL1647&amp;"|"&amp;COUNTIF($AL$11:$AL1647,$AL1647))</f>
        <v/>
      </c>
    </row>
    <row r="1648" spans="38:53" ht="15" customHeight="1" x14ac:dyDescent="0.25">
      <c r="AL1648" s="31"/>
      <c r="AM1648" s="26"/>
      <c r="AN1648" s="32"/>
      <c r="AO1648" s="32"/>
      <c r="AP1648" s="24"/>
      <c r="AQ1648" s="24"/>
      <c r="AR1648" s="33"/>
      <c r="AS1648" s="34"/>
      <c r="AT1648" s="33"/>
      <c r="AV1648" s="21">
        <f>IF(AND($AL1648&lt;&gt;"",COUNTIF($AL$11:$AL1648,$AL1648)=1),1,0)</f>
        <v>0</v>
      </c>
      <c r="AW1648" s="21">
        <f t="shared" si="137"/>
        <v>0</v>
      </c>
      <c r="AX1648" s="21" t="str">
        <f t="shared" si="136"/>
        <v/>
      </c>
      <c r="AY1648" s="21" t="str">
        <f>IF(AND($AM1648&lt;&gt;"",$AS1648&lt;&gt;"✓"),SUMPRODUCT(($AM$11:$AM1648&lt;&gt;"")*($AS$11:$AS1648&lt;&gt;"✓")),"")</f>
        <v/>
      </c>
      <c r="AZ1648" s="21" t="str">
        <f>IF(AND($AM1648&lt;&gt;"",$AS1648="✓"),SUMPRODUCT(($AM$11:$AM1648&lt;&gt;"")*($AS$11:$AS1648="✓")),"")</f>
        <v/>
      </c>
      <c r="BA1648" s="21" t="str">
        <f>IF($AL1648="","",$AL1648&amp;"|"&amp;COUNTIF($AL$11:$AL1648,$AL1648))</f>
        <v/>
      </c>
    </row>
    <row r="1649" spans="38:53" ht="15" customHeight="1" x14ac:dyDescent="0.25">
      <c r="AL1649" s="17"/>
      <c r="AM1649" s="12"/>
      <c r="AN1649" s="18"/>
      <c r="AO1649" s="18"/>
      <c r="AP1649" s="10"/>
      <c r="AQ1649" s="10"/>
      <c r="AR1649" s="19"/>
      <c r="AS1649" s="20"/>
      <c r="AT1649" s="19"/>
      <c r="AV1649" s="21">
        <f>IF(AND($AL1649&lt;&gt;"",COUNTIF($AL$11:$AL1649,$AL1649)=1),1,0)</f>
        <v>0</v>
      </c>
      <c r="AW1649" s="21">
        <f t="shared" si="137"/>
        <v>0</v>
      </c>
      <c r="AX1649" s="21" t="str">
        <f t="shared" si="136"/>
        <v/>
      </c>
      <c r="AY1649" s="21" t="str">
        <f>IF(AND($AM1649&lt;&gt;"",$AS1649&lt;&gt;"✓"),SUMPRODUCT(($AM$11:$AM1649&lt;&gt;"")*($AS$11:$AS1649&lt;&gt;"✓")),"")</f>
        <v/>
      </c>
      <c r="AZ1649" s="21" t="str">
        <f>IF(AND($AM1649&lt;&gt;"",$AS1649="✓"),SUMPRODUCT(($AM$11:$AM1649&lt;&gt;"")*($AS$11:$AS1649="✓")),"")</f>
        <v/>
      </c>
      <c r="BA1649" s="21" t="str">
        <f>IF($AL1649="","",$AL1649&amp;"|"&amp;COUNTIF($AL$11:$AL1649,$AL1649))</f>
        <v/>
      </c>
    </row>
    <row r="1650" spans="38:53" ht="15" customHeight="1" x14ac:dyDescent="0.25">
      <c r="AL1650" s="31"/>
      <c r="AM1650" s="26"/>
      <c r="AN1650" s="32"/>
      <c r="AO1650" s="32"/>
      <c r="AP1650" s="24"/>
      <c r="AQ1650" s="24"/>
      <c r="AR1650" s="33"/>
      <c r="AS1650" s="34"/>
      <c r="AT1650" s="33"/>
      <c r="AV1650" s="21">
        <f>IF(AND($AL1650&lt;&gt;"",COUNTIF($AL$11:$AL1650,$AL1650)=1),1,0)</f>
        <v>0</v>
      </c>
      <c r="AW1650" s="21">
        <f t="shared" si="137"/>
        <v>0</v>
      </c>
      <c r="AX1650" s="21" t="str">
        <f t="shared" si="136"/>
        <v/>
      </c>
      <c r="AY1650" s="21" t="str">
        <f>IF(AND($AM1650&lt;&gt;"",$AS1650&lt;&gt;"✓"),SUMPRODUCT(($AM$11:$AM1650&lt;&gt;"")*($AS$11:$AS1650&lt;&gt;"✓")),"")</f>
        <v/>
      </c>
      <c r="AZ1650" s="21" t="str">
        <f>IF(AND($AM1650&lt;&gt;"",$AS1650="✓"),SUMPRODUCT(($AM$11:$AM1650&lt;&gt;"")*($AS$11:$AS1650="✓")),"")</f>
        <v/>
      </c>
      <c r="BA1650" s="21" t="str">
        <f>IF($AL1650="","",$AL1650&amp;"|"&amp;COUNTIF($AL$11:$AL1650,$AL1650))</f>
        <v/>
      </c>
    </row>
    <row r="1651" spans="38:53" ht="15" customHeight="1" x14ac:dyDescent="0.25">
      <c r="AL1651" s="17"/>
      <c r="AM1651" s="12"/>
      <c r="AN1651" s="18"/>
      <c r="AO1651" s="18"/>
      <c r="AP1651" s="10"/>
      <c r="AQ1651" s="10"/>
      <c r="AR1651" s="19"/>
      <c r="AS1651" s="20"/>
      <c r="AT1651" s="19"/>
      <c r="AV1651" s="21">
        <f>IF(AND($AL1651&lt;&gt;"",COUNTIF($AL$11:$AL1651,$AL1651)=1),1,0)</f>
        <v>0</v>
      </c>
      <c r="AW1651" s="21">
        <f t="shared" si="137"/>
        <v>0</v>
      </c>
      <c r="AX1651" s="21" t="str">
        <f t="shared" si="136"/>
        <v/>
      </c>
      <c r="AY1651" s="21" t="str">
        <f>IF(AND($AM1651&lt;&gt;"",$AS1651&lt;&gt;"✓"),SUMPRODUCT(($AM$11:$AM1651&lt;&gt;"")*($AS$11:$AS1651&lt;&gt;"✓")),"")</f>
        <v/>
      </c>
      <c r="AZ1651" s="21" t="str">
        <f>IF(AND($AM1651&lt;&gt;"",$AS1651="✓"),SUMPRODUCT(($AM$11:$AM1651&lt;&gt;"")*($AS$11:$AS1651="✓")),"")</f>
        <v/>
      </c>
      <c r="BA1651" s="21" t="str">
        <f>IF($AL1651="","",$AL1651&amp;"|"&amp;COUNTIF($AL$11:$AL1651,$AL1651))</f>
        <v/>
      </c>
    </row>
    <row r="1652" spans="38:53" ht="15" customHeight="1" x14ac:dyDescent="0.25">
      <c r="AL1652" s="31"/>
      <c r="AM1652" s="26"/>
      <c r="AN1652" s="32"/>
      <c r="AO1652" s="32"/>
      <c r="AP1652" s="24"/>
      <c r="AQ1652" s="24"/>
      <c r="AR1652" s="33"/>
      <c r="AS1652" s="34"/>
      <c r="AT1652" s="33"/>
      <c r="AV1652" s="21">
        <f>IF(AND($AL1652&lt;&gt;"",COUNTIF($AL$11:$AL1652,$AL1652)=1),1,0)</f>
        <v>0</v>
      </c>
      <c r="AW1652" s="21">
        <f t="shared" si="137"/>
        <v>0</v>
      </c>
      <c r="AX1652" s="21" t="str">
        <f t="shared" si="136"/>
        <v/>
      </c>
      <c r="AY1652" s="21" t="str">
        <f>IF(AND($AM1652&lt;&gt;"",$AS1652&lt;&gt;"✓"),SUMPRODUCT(($AM$11:$AM1652&lt;&gt;"")*($AS$11:$AS1652&lt;&gt;"✓")),"")</f>
        <v/>
      </c>
      <c r="AZ1652" s="21" t="str">
        <f>IF(AND($AM1652&lt;&gt;"",$AS1652="✓"),SUMPRODUCT(($AM$11:$AM1652&lt;&gt;"")*($AS$11:$AS1652="✓")),"")</f>
        <v/>
      </c>
      <c r="BA1652" s="21" t="str">
        <f>IF($AL1652="","",$AL1652&amp;"|"&amp;COUNTIF($AL$11:$AL1652,$AL1652))</f>
        <v/>
      </c>
    </row>
    <row r="1653" spans="38:53" ht="15" customHeight="1" x14ac:dyDescent="0.25">
      <c r="AL1653" s="17"/>
      <c r="AM1653" s="12"/>
      <c r="AN1653" s="18"/>
      <c r="AO1653" s="18"/>
      <c r="AP1653" s="10"/>
      <c r="AQ1653" s="10"/>
      <c r="AR1653" s="19"/>
      <c r="AS1653" s="20"/>
      <c r="AT1653" s="19"/>
      <c r="AV1653" s="21">
        <f>IF(AND($AL1653&lt;&gt;"",COUNTIF($AL$11:$AL1653,$AL1653)=1),1,0)</f>
        <v>0</v>
      </c>
      <c r="AW1653" s="21">
        <f t="shared" si="137"/>
        <v>0</v>
      </c>
      <c r="AX1653" s="21" t="str">
        <f t="shared" si="136"/>
        <v/>
      </c>
      <c r="AY1653" s="21" t="str">
        <f>IF(AND($AM1653&lt;&gt;"",$AS1653&lt;&gt;"✓"),SUMPRODUCT(($AM$11:$AM1653&lt;&gt;"")*($AS$11:$AS1653&lt;&gt;"✓")),"")</f>
        <v/>
      </c>
      <c r="AZ1653" s="21" t="str">
        <f>IF(AND($AM1653&lt;&gt;"",$AS1653="✓"),SUMPRODUCT(($AM$11:$AM1653&lt;&gt;"")*($AS$11:$AS1653="✓")),"")</f>
        <v/>
      </c>
      <c r="BA1653" s="21" t="str">
        <f>IF($AL1653="","",$AL1653&amp;"|"&amp;COUNTIF($AL$11:$AL1653,$AL1653))</f>
        <v/>
      </c>
    </row>
    <row r="1654" spans="38:53" ht="15" customHeight="1" x14ac:dyDescent="0.25">
      <c r="AL1654" s="31"/>
      <c r="AM1654" s="26"/>
      <c r="AN1654" s="32"/>
      <c r="AO1654" s="32"/>
      <c r="AP1654" s="24"/>
      <c r="AQ1654" s="24"/>
      <c r="AR1654" s="33"/>
      <c r="AS1654" s="34"/>
      <c r="AT1654" s="33"/>
      <c r="AV1654" s="21">
        <f>IF(AND($AL1654&lt;&gt;"",COUNTIF($AL$11:$AL1654,$AL1654)=1),1,0)</f>
        <v>0</v>
      </c>
      <c r="AW1654" s="21">
        <f t="shared" si="137"/>
        <v>0</v>
      </c>
      <c r="AX1654" s="21" t="str">
        <f t="shared" si="136"/>
        <v/>
      </c>
      <c r="AY1654" s="21" t="str">
        <f>IF(AND($AM1654&lt;&gt;"",$AS1654&lt;&gt;"✓"),SUMPRODUCT(($AM$11:$AM1654&lt;&gt;"")*($AS$11:$AS1654&lt;&gt;"✓")),"")</f>
        <v/>
      </c>
      <c r="AZ1654" s="21" t="str">
        <f>IF(AND($AM1654&lt;&gt;"",$AS1654="✓"),SUMPRODUCT(($AM$11:$AM1654&lt;&gt;"")*($AS$11:$AS1654="✓")),"")</f>
        <v/>
      </c>
      <c r="BA1654" s="21" t="str">
        <f>IF($AL1654="","",$AL1654&amp;"|"&amp;COUNTIF($AL$11:$AL1654,$AL1654))</f>
        <v/>
      </c>
    </row>
    <row r="1655" spans="38:53" ht="15" customHeight="1" x14ac:dyDescent="0.25">
      <c r="AL1655" s="17"/>
      <c r="AM1655" s="12"/>
      <c r="AN1655" s="18"/>
      <c r="AO1655" s="18"/>
      <c r="AP1655" s="10"/>
      <c r="AQ1655" s="10"/>
      <c r="AR1655" s="19"/>
      <c r="AS1655" s="20"/>
      <c r="AT1655" s="19"/>
      <c r="AV1655" s="21">
        <f>IF(AND($AL1655&lt;&gt;"",COUNTIF($AL$11:$AL1655,$AL1655)=1),1,0)</f>
        <v>0</v>
      </c>
      <c r="AW1655" s="21">
        <f t="shared" si="137"/>
        <v>0</v>
      </c>
      <c r="AX1655" s="21" t="str">
        <f t="shared" si="136"/>
        <v/>
      </c>
      <c r="AY1655" s="21" t="str">
        <f>IF(AND($AM1655&lt;&gt;"",$AS1655&lt;&gt;"✓"),SUMPRODUCT(($AM$11:$AM1655&lt;&gt;"")*($AS$11:$AS1655&lt;&gt;"✓")),"")</f>
        <v/>
      </c>
      <c r="AZ1655" s="21" t="str">
        <f>IF(AND($AM1655&lt;&gt;"",$AS1655="✓"),SUMPRODUCT(($AM$11:$AM1655&lt;&gt;"")*($AS$11:$AS1655="✓")),"")</f>
        <v/>
      </c>
      <c r="BA1655" s="21" t="str">
        <f>IF($AL1655="","",$AL1655&amp;"|"&amp;COUNTIF($AL$11:$AL1655,$AL1655))</f>
        <v/>
      </c>
    </row>
    <row r="1656" spans="38:53" ht="15" customHeight="1" x14ac:dyDescent="0.25">
      <c r="AL1656" s="31"/>
      <c r="AM1656" s="26"/>
      <c r="AN1656" s="32"/>
      <c r="AO1656" s="32"/>
      <c r="AP1656" s="24"/>
      <c r="AQ1656" s="24"/>
      <c r="AR1656" s="33"/>
      <c r="AS1656" s="34"/>
      <c r="AT1656" s="33"/>
      <c r="AV1656" s="21">
        <f>IF(AND($AL1656&lt;&gt;"",COUNTIF($AL$11:$AL1656,$AL1656)=1),1,0)</f>
        <v>0</v>
      </c>
      <c r="AW1656" s="21">
        <f t="shared" si="137"/>
        <v>0</v>
      </c>
      <c r="AX1656" s="21" t="str">
        <f t="shared" si="136"/>
        <v/>
      </c>
      <c r="AY1656" s="21" t="str">
        <f>IF(AND($AM1656&lt;&gt;"",$AS1656&lt;&gt;"✓"),SUMPRODUCT(($AM$11:$AM1656&lt;&gt;"")*($AS$11:$AS1656&lt;&gt;"✓")),"")</f>
        <v/>
      </c>
      <c r="AZ1656" s="21" t="str">
        <f>IF(AND($AM1656&lt;&gt;"",$AS1656="✓"),SUMPRODUCT(($AM$11:$AM1656&lt;&gt;"")*($AS$11:$AS1656="✓")),"")</f>
        <v/>
      </c>
      <c r="BA1656" s="21" t="str">
        <f>IF($AL1656="","",$AL1656&amp;"|"&amp;COUNTIF($AL$11:$AL1656,$AL1656))</f>
        <v/>
      </c>
    </row>
    <row r="1657" spans="38:53" ht="15" customHeight="1" x14ac:dyDescent="0.25">
      <c r="AL1657" s="17"/>
      <c r="AM1657" s="12"/>
      <c r="AN1657" s="18"/>
      <c r="AO1657" s="18"/>
      <c r="AP1657" s="10"/>
      <c r="AQ1657" s="10"/>
      <c r="AR1657" s="19"/>
      <c r="AS1657" s="20"/>
      <c r="AT1657" s="19"/>
      <c r="AV1657" s="21">
        <f>IF(AND($AL1657&lt;&gt;"",COUNTIF($AL$11:$AL1657,$AL1657)=1),1,0)</f>
        <v>0</v>
      </c>
      <c r="AW1657" s="21">
        <f t="shared" si="137"/>
        <v>0</v>
      </c>
      <c r="AX1657" s="21" t="str">
        <f t="shared" si="136"/>
        <v/>
      </c>
      <c r="AY1657" s="21" t="str">
        <f>IF(AND($AM1657&lt;&gt;"",$AS1657&lt;&gt;"✓"),SUMPRODUCT(($AM$11:$AM1657&lt;&gt;"")*($AS$11:$AS1657&lt;&gt;"✓")),"")</f>
        <v/>
      </c>
      <c r="AZ1657" s="21" t="str">
        <f>IF(AND($AM1657&lt;&gt;"",$AS1657="✓"),SUMPRODUCT(($AM$11:$AM1657&lt;&gt;"")*($AS$11:$AS1657="✓")),"")</f>
        <v/>
      </c>
      <c r="BA1657" s="21" t="str">
        <f>IF($AL1657="","",$AL1657&amp;"|"&amp;COUNTIF($AL$11:$AL1657,$AL1657))</f>
        <v/>
      </c>
    </row>
    <row r="1658" spans="38:53" ht="15" customHeight="1" x14ac:dyDescent="0.25">
      <c r="AL1658" s="31"/>
      <c r="AM1658" s="26"/>
      <c r="AN1658" s="32"/>
      <c r="AO1658" s="32"/>
      <c r="AP1658" s="24"/>
      <c r="AQ1658" s="24"/>
      <c r="AR1658" s="33"/>
      <c r="AS1658" s="34"/>
      <c r="AT1658" s="33"/>
      <c r="AV1658" s="21">
        <f>IF(AND($AL1658&lt;&gt;"",COUNTIF($AL$11:$AL1658,$AL1658)=1),1,0)</f>
        <v>0</v>
      </c>
      <c r="AW1658" s="21">
        <f t="shared" si="137"/>
        <v>0</v>
      </c>
      <c r="AX1658" s="21" t="str">
        <f t="shared" si="136"/>
        <v/>
      </c>
      <c r="AY1658" s="21" t="str">
        <f>IF(AND($AM1658&lt;&gt;"",$AS1658&lt;&gt;"✓"),SUMPRODUCT(($AM$11:$AM1658&lt;&gt;"")*($AS$11:$AS1658&lt;&gt;"✓")),"")</f>
        <v/>
      </c>
      <c r="AZ1658" s="21" t="str">
        <f>IF(AND($AM1658&lt;&gt;"",$AS1658="✓"),SUMPRODUCT(($AM$11:$AM1658&lt;&gt;"")*($AS$11:$AS1658="✓")),"")</f>
        <v/>
      </c>
      <c r="BA1658" s="21" t="str">
        <f>IF($AL1658="","",$AL1658&amp;"|"&amp;COUNTIF($AL$11:$AL1658,$AL1658))</f>
        <v/>
      </c>
    </row>
    <row r="1659" spans="38:53" ht="15" customHeight="1" x14ac:dyDescent="0.25">
      <c r="AL1659" s="17"/>
      <c r="AM1659" s="12"/>
      <c r="AN1659" s="18"/>
      <c r="AO1659" s="18"/>
      <c r="AP1659" s="10"/>
      <c r="AQ1659" s="10"/>
      <c r="AR1659" s="19"/>
      <c r="AS1659" s="20"/>
      <c r="AT1659" s="19"/>
      <c r="AV1659" s="21">
        <f>IF(AND($AL1659&lt;&gt;"",COUNTIF($AL$11:$AL1659,$AL1659)=1),1,0)</f>
        <v>0</v>
      </c>
      <c r="AW1659" s="21">
        <f t="shared" si="137"/>
        <v>0</v>
      </c>
      <c r="AX1659" s="21" t="str">
        <f t="shared" si="136"/>
        <v/>
      </c>
      <c r="AY1659" s="21" t="str">
        <f>IF(AND($AM1659&lt;&gt;"",$AS1659&lt;&gt;"✓"),SUMPRODUCT(($AM$11:$AM1659&lt;&gt;"")*($AS$11:$AS1659&lt;&gt;"✓")),"")</f>
        <v/>
      </c>
      <c r="AZ1659" s="21" t="str">
        <f>IF(AND($AM1659&lt;&gt;"",$AS1659="✓"),SUMPRODUCT(($AM$11:$AM1659&lt;&gt;"")*($AS$11:$AS1659="✓")),"")</f>
        <v/>
      </c>
      <c r="BA1659" s="21" t="str">
        <f>IF($AL1659="","",$AL1659&amp;"|"&amp;COUNTIF($AL$11:$AL1659,$AL1659))</f>
        <v/>
      </c>
    </row>
    <row r="1660" spans="38:53" ht="15" customHeight="1" x14ac:dyDescent="0.25">
      <c r="AL1660" s="31"/>
      <c r="AM1660" s="26"/>
      <c r="AN1660" s="32"/>
      <c r="AO1660" s="32"/>
      <c r="AP1660" s="24"/>
      <c r="AQ1660" s="24"/>
      <c r="AR1660" s="33"/>
      <c r="AS1660" s="34"/>
      <c r="AT1660" s="33"/>
      <c r="AV1660" s="21">
        <f>IF(AND($AL1660&lt;&gt;"",COUNTIF($AL$11:$AL1660,$AL1660)=1),1,0)</f>
        <v>0</v>
      </c>
      <c r="AW1660" s="21">
        <f t="shared" si="137"/>
        <v>0</v>
      </c>
      <c r="AX1660" s="21" t="str">
        <f t="shared" si="136"/>
        <v/>
      </c>
      <c r="AY1660" s="21" t="str">
        <f>IF(AND($AM1660&lt;&gt;"",$AS1660&lt;&gt;"✓"),SUMPRODUCT(($AM$11:$AM1660&lt;&gt;"")*($AS$11:$AS1660&lt;&gt;"✓")),"")</f>
        <v/>
      </c>
      <c r="AZ1660" s="21" t="str">
        <f>IF(AND($AM1660&lt;&gt;"",$AS1660="✓"),SUMPRODUCT(($AM$11:$AM1660&lt;&gt;"")*($AS$11:$AS1660="✓")),"")</f>
        <v/>
      </c>
      <c r="BA1660" s="21" t="str">
        <f>IF($AL1660="","",$AL1660&amp;"|"&amp;COUNTIF($AL$11:$AL1660,$AL1660))</f>
        <v/>
      </c>
    </row>
    <row r="1661" spans="38:53" ht="15" customHeight="1" x14ac:dyDescent="0.25">
      <c r="AL1661" s="17"/>
      <c r="AM1661" s="12"/>
      <c r="AN1661" s="18"/>
      <c r="AO1661" s="18"/>
      <c r="AP1661" s="10"/>
      <c r="AQ1661" s="10"/>
      <c r="AR1661" s="19"/>
      <c r="AS1661" s="20"/>
      <c r="AT1661" s="19"/>
      <c r="AV1661" s="21">
        <f>IF(AND($AL1661&lt;&gt;"",COUNTIF($AL$11:$AL1661,$AL1661)=1),1,0)</f>
        <v>0</v>
      </c>
      <c r="AW1661" s="21">
        <f t="shared" si="137"/>
        <v>0</v>
      </c>
      <c r="AX1661" s="21" t="str">
        <f t="shared" si="136"/>
        <v/>
      </c>
      <c r="AY1661" s="21" t="str">
        <f>IF(AND($AM1661&lt;&gt;"",$AS1661&lt;&gt;"✓"),SUMPRODUCT(($AM$11:$AM1661&lt;&gt;"")*($AS$11:$AS1661&lt;&gt;"✓")),"")</f>
        <v/>
      </c>
      <c r="AZ1661" s="21" t="str">
        <f>IF(AND($AM1661&lt;&gt;"",$AS1661="✓"),SUMPRODUCT(($AM$11:$AM1661&lt;&gt;"")*($AS$11:$AS1661="✓")),"")</f>
        <v/>
      </c>
      <c r="BA1661" s="21" t="str">
        <f>IF($AL1661="","",$AL1661&amp;"|"&amp;COUNTIF($AL$11:$AL1661,$AL1661))</f>
        <v/>
      </c>
    </row>
    <row r="1662" spans="38:53" ht="15" customHeight="1" x14ac:dyDescent="0.25">
      <c r="AL1662" s="31"/>
      <c r="AM1662" s="26"/>
      <c r="AN1662" s="32"/>
      <c r="AO1662" s="32"/>
      <c r="AP1662" s="24"/>
      <c r="AQ1662" s="24"/>
      <c r="AR1662" s="33"/>
      <c r="AS1662" s="34"/>
      <c r="AT1662" s="33"/>
      <c r="AV1662" s="21">
        <f>IF(AND($AL1662&lt;&gt;"",COUNTIF($AL$11:$AL1662,$AL1662)=1),1,0)</f>
        <v>0</v>
      </c>
      <c r="AW1662" s="21">
        <f t="shared" si="137"/>
        <v>0</v>
      </c>
      <c r="AX1662" s="21" t="str">
        <f t="shared" si="136"/>
        <v/>
      </c>
      <c r="AY1662" s="21" t="str">
        <f>IF(AND($AM1662&lt;&gt;"",$AS1662&lt;&gt;"✓"),SUMPRODUCT(($AM$11:$AM1662&lt;&gt;"")*($AS$11:$AS1662&lt;&gt;"✓")),"")</f>
        <v/>
      </c>
      <c r="AZ1662" s="21" t="str">
        <f>IF(AND($AM1662&lt;&gt;"",$AS1662="✓"),SUMPRODUCT(($AM$11:$AM1662&lt;&gt;"")*($AS$11:$AS1662="✓")),"")</f>
        <v/>
      </c>
      <c r="BA1662" s="21" t="str">
        <f>IF($AL1662="","",$AL1662&amp;"|"&amp;COUNTIF($AL$11:$AL1662,$AL1662))</f>
        <v/>
      </c>
    </row>
    <row r="1663" spans="38:53" ht="15" customHeight="1" x14ac:dyDescent="0.25">
      <c r="AL1663" s="17"/>
      <c r="AM1663" s="12"/>
      <c r="AN1663" s="18"/>
      <c r="AO1663" s="18"/>
      <c r="AP1663" s="10"/>
      <c r="AQ1663" s="10"/>
      <c r="AR1663" s="19"/>
      <c r="AS1663" s="20"/>
      <c r="AT1663" s="19"/>
      <c r="AV1663" s="21">
        <f>IF(AND($AL1663&lt;&gt;"",COUNTIF($AL$11:$AL1663,$AL1663)=1),1,0)</f>
        <v>0</v>
      </c>
      <c r="AW1663" s="21">
        <f t="shared" si="137"/>
        <v>0</v>
      </c>
      <c r="AX1663" s="21" t="str">
        <f t="shared" si="136"/>
        <v/>
      </c>
      <c r="AY1663" s="21" t="str">
        <f>IF(AND($AM1663&lt;&gt;"",$AS1663&lt;&gt;"✓"),SUMPRODUCT(($AM$11:$AM1663&lt;&gt;"")*($AS$11:$AS1663&lt;&gt;"✓")),"")</f>
        <v/>
      </c>
      <c r="AZ1663" s="21" t="str">
        <f>IF(AND($AM1663&lt;&gt;"",$AS1663="✓"),SUMPRODUCT(($AM$11:$AM1663&lt;&gt;"")*($AS$11:$AS1663="✓")),"")</f>
        <v/>
      </c>
      <c r="BA1663" s="21" t="str">
        <f>IF($AL1663="","",$AL1663&amp;"|"&amp;COUNTIF($AL$11:$AL1663,$AL1663))</f>
        <v/>
      </c>
    </row>
    <row r="1664" spans="38:53" ht="15" customHeight="1" x14ac:dyDescent="0.25">
      <c r="AL1664" s="31"/>
      <c r="AM1664" s="26"/>
      <c r="AN1664" s="32"/>
      <c r="AO1664" s="32"/>
      <c r="AP1664" s="24"/>
      <c r="AQ1664" s="24"/>
      <c r="AR1664" s="33"/>
      <c r="AS1664" s="34"/>
      <c r="AT1664" s="33"/>
      <c r="AV1664" s="21">
        <f>IF(AND($AL1664&lt;&gt;"",COUNTIF($AL$11:$AL1664,$AL1664)=1),1,0)</f>
        <v>0</v>
      </c>
      <c r="AW1664" s="21">
        <f t="shared" si="137"/>
        <v>0</v>
      </c>
      <c r="AX1664" s="21" t="str">
        <f t="shared" si="136"/>
        <v/>
      </c>
      <c r="AY1664" s="21" t="str">
        <f>IF(AND($AM1664&lt;&gt;"",$AS1664&lt;&gt;"✓"),SUMPRODUCT(($AM$11:$AM1664&lt;&gt;"")*($AS$11:$AS1664&lt;&gt;"✓")),"")</f>
        <v/>
      </c>
      <c r="AZ1664" s="21" t="str">
        <f>IF(AND($AM1664&lt;&gt;"",$AS1664="✓"),SUMPRODUCT(($AM$11:$AM1664&lt;&gt;"")*($AS$11:$AS1664="✓")),"")</f>
        <v/>
      </c>
      <c r="BA1664" s="21" t="str">
        <f>IF($AL1664="","",$AL1664&amp;"|"&amp;COUNTIF($AL$11:$AL1664,$AL1664))</f>
        <v/>
      </c>
    </row>
    <row r="1665" spans="38:53" ht="15" customHeight="1" x14ac:dyDescent="0.25">
      <c r="AL1665" s="17"/>
      <c r="AM1665" s="12"/>
      <c r="AN1665" s="18"/>
      <c r="AO1665" s="18"/>
      <c r="AP1665" s="10"/>
      <c r="AQ1665" s="10"/>
      <c r="AR1665" s="19"/>
      <c r="AS1665" s="20"/>
      <c r="AT1665" s="19"/>
      <c r="AV1665" s="21">
        <f>IF(AND($AL1665&lt;&gt;"",COUNTIF($AL$11:$AL1665,$AL1665)=1),1,0)</f>
        <v>0</v>
      </c>
      <c r="AW1665" s="21">
        <f t="shared" si="137"/>
        <v>0</v>
      </c>
      <c r="AX1665" s="21" t="str">
        <f t="shared" si="136"/>
        <v/>
      </c>
      <c r="AY1665" s="21" t="str">
        <f>IF(AND($AM1665&lt;&gt;"",$AS1665&lt;&gt;"✓"),SUMPRODUCT(($AM$11:$AM1665&lt;&gt;"")*($AS$11:$AS1665&lt;&gt;"✓")),"")</f>
        <v/>
      </c>
      <c r="AZ1665" s="21" t="str">
        <f>IF(AND($AM1665&lt;&gt;"",$AS1665="✓"),SUMPRODUCT(($AM$11:$AM1665&lt;&gt;"")*($AS$11:$AS1665="✓")),"")</f>
        <v/>
      </c>
      <c r="BA1665" s="21" t="str">
        <f>IF($AL1665="","",$AL1665&amp;"|"&amp;COUNTIF($AL$11:$AL1665,$AL1665))</f>
        <v/>
      </c>
    </row>
    <row r="1666" spans="38:53" ht="15" customHeight="1" x14ac:dyDescent="0.25">
      <c r="AL1666" s="31"/>
      <c r="AM1666" s="26"/>
      <c r="AN1666" s="32"/>
      <c r="AO1666" s="32"/>
      <c r="AP1666" s="24"/>
      <c r="AQ1666" s="24"/>
      <c r="AR1666" s="33"/>
      <c r="AS1666" s="34"/>
      <c r="AT1666" s="33"/>
      <c r="AV1666" s="21">
        <f>IF(AND($AL1666&lt;&gt;"",COUNTIF($AL$11:$AL1666,$AL1666)=1),1,0)</f>
        <v>0</v>
      </c>
      <c r="AW1666" s="21">
        <f t="shared" si="137"/>
        <v>0</v>
      </c>
      <c r="AX1666" s="21" t="str">
        <f t="shared" si="136"/>
        <v/>
      </c>
      <c r="AY1666" s="21" t="str">
        <f>IF(AND($AM1666&lt;&gt;"",$AS1666&lt;&gt;"✓"),SUMPRODUCT(($AM$11:$AM1666&lt;&gt;"")*($AS$11:$AS1666&lt;&gt;"✓")),"")</f>
        <v/>
      </c>
      <c r="AZ1666" s="21" t="str">
        <f>IF(AND($AM1666&lt;&gt;"",$AS1666="✓"),SUMPRODUCT(($AM$11:$AM1666&lt;&gt;"")*($AS$11:$AS1666="✓")),"")</f>
        <v/>
      </c>
      <c r="BA1666" s="21" t="str">
        <f>IF($AL1666="","",$AL1666&amp;"|"&amp;COUNTIF($AL$11:$AL1666,$AL1666))</f>
        <v/>
      </c>
    </row>
    <row r="1667" spans="38:53" ht="15" customHeight="1" x14ac:dyDescent="0.25">
      <c r="AL1667" s="17"/>
      <c r="AM1667" s="12"/>
      <c r="AN1667" s="18"/>
      <c r="AO1667" s="18"/>
      <c r="AP1667" s="10"/>
      <c r="AQ1667" s="10"/>
      <c r="AR1667" s="19"/>
      <c r="AS1667" s="20"/>
      <c r="AT1667" s="19"/>
      <c r="AV1667" s="21">
        <f>IF(AND($AL1667&lt;&gt;"",COUNTIF($AL$11:$AL1667,$AL1667)=1),1,0)</f>
        <v>0</v>
      </c>
      <c r="AW1667" s="21">
        <f t="shared" si="137"/>
        <v>0</v>
      </c>
      <c r="AX1667" s="21" t="str">
        <f t="shared" si="136"/>
        <v/>
      </c>
      <c r="AY1667" s="21" t="str">
        <f>IF(AND($AM1667&lt;&gt;"",$AS1667&lt;&gt;"✓"),SUMPRODUCT(($AM$11:$AM1667&lt;&gt;"")*($AS$11:$AS1667&lt;&gt;"✓")),"")</f>
        <v/>
      </c>
      <c r="AZ1667" s="21" t="str">
        <f>IF(AND($AM1667&lt;&gt;"",$AS1667="✓"),SUMPRODUCT(($AM$11:$AM1667&lt;&gt;"")*($AS$11:$AS1667="✓")),"")</f>
        <v/>
      </c>
      <c r="BA1667" s="21" t="str">
        <f>IF($AL1667="","",$AL1667&amp;"|"&amp;COUNTIF($AL$11:$AL1667,$AL1667))</f>
        <v/>
      </c>
    </row>
    <row r="1668" spans="38:53" ht="15" customHeight="1" x14ac:dyDescent="0.25">
      <c r="AL1668" s="31"/>
      <c r="AM1668" s="26"/>
      <c r="AN1668" s="32"/>
      <c r="AO1668" s="32"/>
      <c r="AP1668" s="24"/>
      <c r="AQ1668" s="24"/>
      <c r="AR1668" s="33"/>
      <c r="AS1668" s="34"/>
      <c r="AT1668" s="33"/>
      <c r="AV1668" s="21">
        <f>IF(AND($AL1668&lt;&gt;"",COUNTIF($AL$11:$AL1668,$AL1668)=1),1,0)</f>
        <v>0</v>
      </c>
      <c r="AW1668" s="21">
        <f t="shared" si="137"/>
        <v>0</v>
      </c>
      <c r="AX1668" s="21" t="str">
        <f t="shared" si="136"/>
        <v/>
      </c>
      <c r="AY1668" s="21" t="str">
        <f>IF(AND($AM1668&lt;&gt;"",$AS1668&lt;&gt;"✓"),SUMPRODUCT(($AM$11:$AM1668&lt;&gt;"")*($AS$11:$AS1668&lt;&gt;"✓")),"")</f>
        <v/>
      </c>
      <c r="AZ1668" s="21" t="str">
        <f>IF(AND($AM1668&lt;&gt;"",$AS1668="✓"),SUMPRODUCT(($AM$11:$AM1668&lt;&gt;"")*($AS$11:$AS1668="✓")),"")</f>
        <v/>
      </c>
      <c r="BA1668" s="21" t="str">
        <f>IF($AL1668="","",$AL1668&amp;"|"&amp;COUNTIF($AL$11:$AL1668,$AL1668))</f>
        <v/>
      </c>
    </row>
    <row r="1669" spans="38:53" ht="15" customHeight="1" x14ac:dyDescent="0.25">
      <c r="AL1669" s="17"/>
      <c r="AM1669" s="12"/>
      <c r="AN1669" s="18"/>
      <c r="AO1669" s="18"/>
      <c r="AP1669" s="10"/>
      <c r="AQ1669" s="10"/>
      <c r="AR1669" s="19"/>
      <c r="AS1669" s="20"/>
      <c r="AT1669" s="19"/>
      <c r="AV1669" s="21">
        <f>IF(AND($AL1669&lt;&gt;"",COUNTIF($AL$11:$AL1669,$AL1669)=1),1,0)</f>
        <v>0</v>
      </c>
      <c r="AW1669" s="21">
        <f t="shared" si="137"/>
        <v>0</v>
      </c>
      <c r="AX1669" s="21" t="str">
        <f t="shared" si="136"/>
        <v/>
      </c>
      <c r="AY1669" s="21" t="str">
        <f>IF(AND($AM1669&lt;&gt;"",$AS1669&lt;&gt;"✓"),SUMPRODUCT(($AM$11:$AM1669&lt;&gt;"")*($AS$11:$AS1669&lt;&gt;"✓")),"")</f>
        <v/>
      </c>
      <c r="AZ1669" s="21" t="str">
        <f>IF(AND($AM1669&lt;&gt;"",$AS1669="✓"),SUMPRODUCT(($AM$11:$AM1669&lt;&gt;"")*($AS$11:$AS1669="✓")),"")</f>
        <v/>
      </c>
      <c r="BA1669" s="21" t="str">
        <f>IF($AL1669="","",$AL1669&amp;"|"&amp;COUNTIF($AL$11:$AL1669,$AL1669))</f>
        <v/>
      </c>
    </row>
    <row r="1670" spans="38:53" ht="15" customHeight="1" x14ac:dyDescent="0.25">
      <c r="AL1670" s="31"/>
      <c r="AM1670" s="26"/>
      <c r="AN1670" s="32"/>
      <c r="AO1670" s="32"/>
      <c r="AP1670" s="24"/>
      <c r="AQ1670" s="24"/>
      <c r="AR1670" s="33"/>
      <c r="AS1670" s="34"/>
      <c r="AT1670" s="33"/>
      <c r="AV1670" s="21">
        <f>IF(AND($AL1670&lt;&gt;"",COUNTIF($AL$11:$AL1670,$AL1670)=1),1,0)</f>
        <v>0</v>
      </c>
      <c r="AW1670" s="21">
        <f t="shared" si="137"/>
        <v>0</v>
      </c>
      <c r="AX1670" s="21" t="str">
        <f t="shared" si="136"/>
        <v/>
      </c>
      <c r="AY1670" s="21" t="str">
        <f>IF(AND($AM1670&lt;&gt;"",$AS1670&lt;&gt;"✓"),SUMPRODUCT(($AM$11:$AM1670&lt;&gt;"")*($AS$11:$AS1670&lt;&gt;"✓")),"")</f>
        <v/>
      </c>
      <c r="AZ1670" s="21" t="str">
        <f>IF(AND($AM1670&lt;&gt;"",$AS1670="✓"),SUMPRODUCT(($AM$11:$AM1670&lt;&gt;"")*($AS$11:$AS1670="✓")),"")</f>
        <v/>
      </c>
      <c r="BA1670" s="21" t="str">
        <f>IF($AL1670="","",$AL1670&amp;"|"&amp;COUNTIF($AL$11:$AL1670,$AL1670))</f>
        <v/>
      </c>
    </row>
    <row r="1671" spans="38:53" ht="15" customHeight="1" x14ac:dyDescent="0.25">
      <c r="AL1671" s="17"/>
      <c r="AM1671" s="12"/>
      <c r="AN1671" s="18"/>
      <c r="AO1671" s="18"/>
      <c r="AP1671" s="10"/>
      <c r="AQ1671" s="10"/>
      <c r="AR1671" s="19"/>
      <c r="AS1671" s="20"/>
      <c r="AT1671" s="19"/>
      <c r="AV1671" s="21">
        <f>IF(AND($AL1671&lt;&gt;"",COUNTIF($AL$11:$AL1671,$AL1671)=1),1,0)</f>
        <v>0</v>
      </c>
      <c r="AW1671" s="21">
        <f t="shared" si="137"/>
        <v>0</v>
      </c>
      <c r="AX1671" s="21" t="str">
        <f t="shared" si="136"/>
        <v/>
      </c>
      <c r="AY1671" s="21" t="str">
        <f>IF(AND($AM1671&lt;&gt;"",$AS1671&lt;&gt;"✓"),SUMPRODUCT(($AM$11:$AM1671&lt;&gt;"")*($AS$11:$AS1671&lt;&gt;"✓")),"")</f>
        <v/>
      </c>
      <c r="AZ1671" s="21" t="str">
        <f>IF(AND($AM1671&lt;&gt;"",$AS1671="✓"),SUMPRODUCT(($AM$11:$AM1671&lt;&gt;"")*($AS$11:$AS1671="✓")),"")</f>
        <v/>
      </c>
      <c r="BA1671" s="21" t="str">
        <f>IF($AL1671="","",$AL1671&amp;"|"&amp;COUNTIF($AL$11:$AL1671,$AL1671))</f>
        <v/>
      </c>
    </row>
    <row r="1672" spans="38:53" ht="15" customHeight="1" x14ac:dyDescent="0.25">
      <c r="AL1672" s="31"/>
      <c r="AM1672" s="26"/>
      <c r="AN1672" s="32"/>
      <c r="AO1672" s="32"/>
      <c r="AP1672" s="24"/>
      <c r="AQ1672" s="24"/>
      <c r="AR1672" s="33"/>
      <c r="AS1672" s="34"/>
      <c r="AT1672" s="33"/>
      <c r="AV1672" s="21">
        <f>IF(AND($AL1672&lt;&gt;"",COUNTIF($AL$11:$AL1672,$AL1672)=1),1,0)</f>
        <v>0</v>
      </c>
      <c r="AW1672" s="21">
        <f t="shared" si="137"/>
        <v>0</v>
      </c>
      <c r="AX1672" s="21" t="str">
        <f t="shared" si="136"/>
        <v/>
      </c>
      <c r="AY1672" s="21" t="str">
        <f>IF(AND($AM1672&lt;&gt;"",$AS1672&lt;&gt;"✓"),SUMPRODUCT(($AM$11:$AM1672&lt;&gt;"")*($AS$11:$AS1672&lt;&gt;"✓")),"")</f>
        <v/>
      </c>
      <c r="AZ1672" s="21" t="str">
        <f>IF(AND($AM1672&lt;&gt;"",$AS1672="✓"),SUMPRODUCT(($AM$11:$AM1672&lt;&gt;"")*($AS$11:$AS1672="✓")),"")</f>
        <v/>
      </c>
      <c r="BA1672" s="21" t="str">
        <f>IF($AL1672="","",$AL1672&amp;"|"&amp;COUNTIF($AL$11:$AL1672,$AL1672))</f>
        <v/>
      </c>
    </row>
    <row r="1673" spans="38:53" ht="15" customHeight="1" x14ac:dyDescent="0.25">
      <c r="AL1673" s="17"/>
      <c r="AM1673" s="12"/>
      <c r="AN1673" s="18"/>
      <c r="AO1673" s="18"/>
      <c r="AP1673" s="10"/>
      <c r="AQ1673" s="10"/>
      <c r="AR1673" s="19"/>
      <c r="AS1673" s="20"/>
      <c r="AT1673" s="19"/>
      <c r="AV1673" s="21">
        <f>IF(AND($AL1673&lt;&gt;"",COUNTIF($AL$11:$AL1673,$AL1673)=1),1,0)</f>
        <v>0</v>
      </c>
      <c r="AW1673" s="21">
        <f t="shared" si="137"/>
        <v>0</v>
      </c>
      <c r="AX1673" s="21" t="str">
        <f t="shared" si="136"/>
        <v/>
      </c>
      <c r="AY1673" s="21" t="str">
        <f>IF(AND($AM1673&lt;&gt;"",$AS1673&lt;&gt;"✓"),SUMPRODUCT(($AM$11:$AM1673&lt;&gt;"")*($AS$11:$AS1673&lt;&gt;"✓")),"")</f>
        <v/>
      </c>
      <c r="AZ1673" s="21" t="str">
        <f>IF(AND($AM1673&lt;&gt;"",$AS1673="✓"),SUMPRODUCT(($AM$11:$AM1673&lt;&gt;"")*($AS$11:$AS1673="✓")),"")</f>
        <v/>
      </c>
      <c r="BA1673" s="21" t="str">
        <f>IF($AL1673="","",$AL1673&amp;"|"&amp;COUNTIF($AL$11:$AL1673,$AL1673))</f>
        <v/>
      </c>
    </row>
    <row r="1674" spans="38:53" ht="15" customHeight="1" x14ac:dyDescent="0.25">
      <c r="AL1674" s="31"/>
      <c r="AM1674" s="26"/>
      <c r="AN1674" s="32"/>
      <c r="AO1674" s="32"/>
      <c r="AP1674" s="24"/>
      <c r="AQ1674" s="24"/>
      <c r="AR1674" s="33"/>
      <c r="AS1674" s="34"/>
      <c r="AT1674" s="33"/>
      <c r="AV1674" s="21">
        <f>IF(AND($AL1674&lt;&gt;"",COUNTIF($AL$11:$AL1674,$AL1674)=1),1,0)</f>
        <v>0</v>
      </c>
      <c r="AW1674" s="21">
        <f t="shared" si="137"/>
        <v>0</v>
      </c>
      <c r="AX1674" s="21" t="str">
        <f t="shared" si="136"/>
        <v/>
      </c>
      <c r="AY1674" s="21" t="str">
        <f>IF(AND($AM1674&lt;&gt;"",$AS1674&lt;&gt;"✓"),SUMPRODUCT(($AM$11:$AM1674&lt;&gt;"")*($AS$11:$AS1674&lt;&gt;"✓")),"")</f>
        <v/>
      </c>
      <c r="AZ1674" s="21" t="str">
        <f>IF(AND($AM1674&lt;&gt;"",$AS1674="✓"),SUMPRODUCT(($AM$11:$AM1674&lt;&gt;"")*($AS$11:$AS1674="✓")),"")</f>
        <v/>
      </c>
      <c r="BA1674" s="21" t="str">
        <f>IF($AL1674="","",$AL1674&amp;"|"&amp;COUNTIF($AL$11:$AL1674,$AL1674))</f>
        <v/>
      </c>
    </row>
    <row r="1675" spans="38:53" ht="15" customHeight="1" x14ac:dyDescent="0.25">
      <c r="AL1675" s="17"/>
      <c r="AM1675" s="12"/>
      <c r="AN1675" s="18"/>
      <c r="AO1675" s="18"/>
      <c r="AP1675" s="10"/>
      <c r="AQ1675" s="10"/>
      <c r="AR1675" s="19"/>
      <c r="AS1675" s="20"/>
      <c r="AT1675" s="19"/>
      <c r="AV1675" s="21">
        <f>IF(AND($AL1675&lt;&gt;"",COUNTIF($AL$11:$AL1675,$AL1675)=1),1,0)</f>
        <v>0</v>
      </c>
      <c r="AW1675" s="21">
        <f t="shared" si="137"/>
        <v>0</v>
      </c>
      <c r="AX1675" s="21" t="str">
        <f t="shared" ref="AX1675:AX1738" si="138">IF(AV1675=1,AW1675,"")</f>
        <v/>
      </c>
      <c r="AY1675" s="21" t="str">
        <f>IF(AND($AM1675&lt;&gt;"",$AS1675&lt;&gt;"✓"),SUMPRODUCT(($AM$11:$AM1675&lt;&gt;"")*($AS$11:$AS1675&lt;&gt;"✓")),"")</f>
        <v/>
      </c>
      <c r="AZ1675" s="21" t="str">
        <f>IF(AND($AM1675&lt;&gt;"",$AS1675="✓"),SUMPRODUCT(($AM$11:$AM1675&lt;&gt;"")*($AS$11:$AS1675="✓")),"")</f>
        <v/>
      </c>
      <c r="BA1675" s="21" t="str">
        <f>IF($AL1675="","",$AL1675&amp;"|"&amp;COUNTIF($AL$11:$AL1675,$AL1675))</f>
        <v/>
      </c>
    </row>
    <row r="1676" spans="38:53" ht="15" customHeight="1" x14ac:dyDescent="0.25">
      <c r="AL1676" s="31"/>
      <c r="AM1676" s="26"/>
      <c r="AN1676" s="32"/>
      <c r="AO1676" s="32"/>
      <c r="AP1676" s="24"/>
      <c r="AQ1676" s="24"/>
      <c r="AR1676" s="33"/>
      <c r="AS1676" s="34"/>
      <c r="AT1676" s="33"/>
      <c r="AV1676" s="21">
        <f>IF(AND($AL1676&lt;&gt;"",COUNTIF($AL$11:$AL1676,$AL1676)=1),1,0)</f>
        <v>0</v>
      </c>
      <c r="AW1676" s="21">
        <f t="shared" ref="AW1676:AW1739" si="139">AW1675+AV1676</f>
        <v>0</v>
      </c>
      <c r="AX1676" s="21" t="str">
        <f t="shared" si="138"/>
        <v/>
      </c>
      <c r="AY1676" s="21" t="str">
        <f>IF(AND($AM1676&lt;&gt;"",$AS1676&lt;&gt;"✓"),SUMPRODUCT(($AM$11:$AM1676&lt;&gt;"")*($AS$11:$AS1676&lt;&gt;"✓")),"")</f>
        <v/>
      </c>
      <c r="AZ1676" s="21" t="str">
        <f>IF(AND($AM1676&lt;&gt;"",$AS1676="✓"),SUMPRODUCT(($AM$11:$AM1676&lt;&gt;"")*($AS$11:$AS1676="✓")),"")</f>
        <v/>
      </c>
      <c r="BA1676" s="21" t="str">
        <f>IF($AL1676="","",$AL1676&amp;"|"&amp;COUNTIF($AL$11:$AL1676,$AL1676))</f>
        <v/>
      </c>
    </row>
    <row r="1677" spans="38:53" ht="15" customHeight="1" x14ac:dyDescent="0.25">
      <c r="AL1677" s="17"/>
      <c r="AM1677" s="12"/>
      <c r="AN1677" s="18"/>
      <c r="AO1677" s="18"/>
      <c r="AP1677" s="10"/>
      <c r="AQ1677" s="10"/>
      <c r="AR1677" s="19"/>
      <c r="AS1677" s="20"/>
      <c r="AT1677" s="19"/>
      <c r="AV1677" s="21">
        <f>IF(AND($AL1677&lt;&gt;"",COUNTIF($AL$11:$AL1677,$AL1677)=1),1,0)</f>
        <v>0</v>
      </c>
      <c r="AW1677" s="21">
        <f t="shared" si="139"/>
        <v>0</v>
      </c>
      <c r="AX1677" s="21" t="str">
        <f t="shared" si="138"/>
        <v/>
      </c>
      <c r="AY1677" s="21" t="str">
        <f>IF(AND($AM1677&lt;&gt;"",$AS1677&lt;&gt;"✓"),SUMPRODUCT(($AM$11:$AM1677&lt;&gt;"")*($AS$11:$AS1677&lt;&gt;"✓")),"")</f>
        <v/>
      </c>
      <c r="AZ1677" s="21" t="str">
        <f>IF(AND($AM1677&lt;&gt;"",$AS1677="✓"),SUMPRODUCT(($AM$11:$AM1677&lt;&gt;"")*($AS$11:$AS1677="✓")),"")</f>
        <v/>
      </c>
      <c r="BA1677" s="21" t="str">
        <f>IF($AL1677="","",$AL1677&amp;"|"&amp;COUNTIF($AL$11:$AL1677,$AL1677))</f>
        <v/>
      </c>
    </row>
    <row r="1678" spans="38:53" ht="15" customHeight="1" x14ac:dyDescent="0.25">
      <c r="AL1678" s="31"/>
      <c r="AM1678" s="26"/>
      <c r="AN1678" s="32"/>
      <c r="AO1678" s="32"/>
      <c r="AP1678" s="24"/>
      <c r="AQ1678" s="24"/>
      <c r="AR1678" s="33"/>
      <c r="AS1678" s="34"/>
      <c r="AT1678" s="33"/>
      <c r="AV1678" s="21">
        <f>IF(AND($AL1678&lt;&gt;"",COUNTIF($AL$11:$AL1678,$AL1678)=1),1,0)</f>
        <v>0</v>
      </c>
      <c r="AW1678" s="21">
        <f t="shared" si="139"/>
        <v>0</v>
      </c>
      <c r="AX1678" s="21" t="str">
        <f t="shared" si="138"/>
        <v/>
      </c>
      <c r="AY1678" s="21" t="str">
        <f>IF(AND($AM1678&lt;&gt;"",$AS1678&lt;&gt;"✓"),SUMPRODUCT(($AM$11:$AM1678&lt;&gt;"")*($AS$11:$AS1678&lt;&gt;"✓")),"")</f>
        <v/>
      </c>
      <c r="AZ1678" s="21" t="str">
        <f>IF(AND($AM1678&lt;&gt;"",$AS1678="✓"),SUMPRODUCT(($AM$11:$AM1678&lt;&gt;"")*($AS$11:$AS1678="✓")),"")</f>
        <v/>
      </c>
      <c r="BA1678" s="21" t="str">
        <f>IF($AL1678="","",$AL1678&amp;"|"&amp;COUNTIF($AL$11:$AL1678,$AL1678))</f>
        <v/>
      </c>
    </row>
    <row r="1679" spans="38:53" ht="15" customHeight="1" x14ac:dyDescent="0.25">
      <c r="AL1679" s="17"/>
      <c r="AM1679" s="12"/>
      <c r="AN1679" s="18"/>
      <c r="AO1679" s="18"/>
      <c r="AP1679" s="10"/>
      <c r="AQ1679" s="10"/>
      <c r="AR1679" s="19"/>
      <c r="AS1679" s="20"/>
      <c r="AT1679" s="19"/>
      <c r="AV1679" s="21">
        <f>IF(AND($AL1679&lt;&gt;"",COUNTIF($AL$11:$AL1679,$AL1679)=1),1,0)</f>
        <v>0</v>
      </c>
      <c r="AW1679" s="21">
        <f t="shared" si="139"/>
        <v>0</v>
      </c>
      <c r="AX1679" s="21" t="str">
        <f t="shared" si="138"/>
        <v/>
      </c>
      <c r="AY1679" s="21" t="str">
        <f>IF(AND($AM1679&lt;&gt;"",$AS1679&lt;&gt;"✓"),SUMPRODUCT(($AM$11:$AM1679&lt;&gt;"")*($AS$11:$AS1679&lt;&gt;"✓")),"")</f>
        <v/>
      </c>
      <c r="AZ1679" s="21" t="str">
        <f>IF(AND($AM1679&lt;&gt;"",$AS1679="✓"),SUMPRODUCT(($AM$11:$AM1679&lt;&gt;"")*($AS$11:$AS1679="✓")),"")</f>
        <v/>
      </c>
      <c r="BA1679" s="21" t="str">
        <f>IF($AL1679="","",$AL1679&amp;"|"&amp;COUNTIF($AL$11:$AL1679,$AL1679))</f>
        <v/>
      </c>
    </row>
    <row r="1680" spans="38:53" ht="15" customHeight="1" x14ac:dyDescent="0.25">
      <c r="AL1680" s="31"/>
      <c r="AM1680" s="26"/>
      <c r="AN1680" s="32"/>
      <c r="AO1680" s="32"/>
      <c r="AP1680" s="24"/>
      <c r="AQ1680" s="24"/>
      <c r="AR1680" s="33"/>
      <c r="AS1680" s="34"/>
      <c r="AT1680" s="33"/>
      <c r="AV1680" s="21">
        <f>IF(AND($AL1680&lt;&gt;"",COUNTIF($AL$11:$AL1680,$AL1680)=1),1,0)</f>
        <v>0</v>
      </c>
      <c r="AW1680" s="21">
        <f t="shared" si="139"/>
        <v>0</v>
      </c>
      <c r="AX1680" s="21" t="str">
        <f t="shared" si="138"/>
        <v/>
      </c>
      <c r="AY1680" s="21" t="str">
        <f>IF(AND($AM1680&lt;&gt;"",$AS1680&lt;&gt;"✓"),SUMPRODUCT(($AM$11:$AM1680&lt;&gt;"")*($AS$11:$AS1680&lt;&gt;"✓")),"")</f>
        <v/>
      </c>
      <c r="AZ1680" s="21" t="str">
        <f>IF(AND($AM1680&lt;&gt;"",$AS1680="✓"),SUMPRODUCT(($AM$11:$AM1680&lt;&gt;"")*($AS$11:$AS1680="✓")),"")</f>
        <v/>
      </c>
      <c r="BA1680" s="21" t="str">
        <f>IF($AL1680="","",$AL1680&amp;"|"&amp;COUNTIF($AL$11:$AL1680,$AL1680))</f>
        <v/>
      </c>
    </row>
    <row r="1681" spans="38:53" ht="15" customHeight="1" x14ac:dyDescent="0.25">
      <c r="AL1681" s="17"/>
      <c r="AM1681" s="12"/>
      <c r="AN1681" s="18"/>
      <c r="AO1681" s="18"/>
      <c r="AP1681" s="10"/>
      <c r="AQ1681" s="10"/>
      <c r="AR1681" s="19"/>
      <c r="AS1681" s="20"/>
      <c r="AT1681" s="19"/>
      <c r="AV1681" s="21">
        <f>IF(AND($AL1681&lt;&gt;"",COUNTIF($AL$11:$AL1681,$AL1681)=1),1,0)</f>
        <v>0</v>
      </c>
      <c r="AW1681" s="21">
        <f t="shared" si="139"/>
        <v>0</v>
      </c>
      <c r="AX1681" s="21" t="str">
        <f t="shared" si="138"/>
        <v/>
      </c>
      <c r="AY1681" s="21" t="str">
        <f>IF(AND($AM1681&lt;&gt;"",$AS1681&lt;&gt;"✓"),SUMPRODUCT(($AM$11:$AM1681&lt;&gt;"")*($AS$11:$AS1681&lt;&gt;"✓")),"")</f>
        <v/>
      </c>
      <c r="AZ1681" s="21" t="str">
        <f>IF(AND($AM1681&lt;&gt;"",$AS1681="✓"),SUMPRODUCT(($AM$11:$AM1681&lt;&gt;"")*($AS$11:$AS1681="✓")),"")</f>
        <v/>
      </c>
      <c r="BA1681" s="21" t="str">
        <f>IF($AL1681="","",$AL1681&amp;"|"&amp;COUNTIF($AL$11:$AL1681,$AL1681))</f>
        <v/>
      </c>
    </row>
    <row r="1682" spans="38:53" ht="15" customHeight="1" x14ac:dyDescent="0.25">
      <c r="AL1682" s="31"/>
      <c r="AM1682" s="26"/>
      <c r="AN1682" s="32"/>
      <c r="AO1682" s="32"/>
      <c r="AP1682" s="24"/>
      <c r="AQ1682" s="24"/>
      <c r="AR1682" s="33"/>
      <c r="AS1682" s="34"/>
      <c r="AT1682" s="33"/>
      <c r="AV1682" s="21">
        <f>IF(AND($AL1682&lt;&gt;"",COUNTIF($AL$11:$AL1682,$AL1682)=1),1,0)</f>
        <v>0</v>
      </c>
      <c r="AW1682" s="21">
        <f t="shared" si="139"/>
        <v>0</v>
      </c>
      <c r="AX1682" s="21" t="str">
        <f t="shared" si="138"/>
        <v/>
      </c>
      <c r="AY1682" s="21" t="str">
        <f>IF(AND($AM1682&lt;&gt;"",$AS1682&lt;&gt;"✓"),SUMPRODUCT(($AM$11:$AM1682&lt;&gt;"")*($AS$11:$AS1682&lt;&gt;"✓")),"")</f>
        <v/>
      </c>
      <c r="AZ1682" s="21" t="str">
        <f>IF(AND($AM1682&lt;&gt;"",$AS1682="✓"),SUMPRODUCT(($AM$11:$AM1682&lt;&gt;"")*($AS$11:$AS1682="✓")),"")</f>
        <v/>
      </c>
      <c r="BA1682" s="21" t="str">
        <f>IF($AL1682="","",$AL1682&amp;"|"&amp;COUNTIF($AL$11:$AL1682,$AL1682))</f>
        <v/>
      </c>
    </row>
    <row r="1683" spans="38:53" ht="15" customHeight="1" x14ac:dyDescent="0.25">
      <c r="AL1683" s="17"/>
      <c r="AM1683" s="12"/>
      <c r="AN1683" s="18"/>
      <c r="AO1683" s="18"/>
      <c r="AP1683" s="10"/>
      <c r="AQ1683" s="10"/>
      <c r="AR1683" s="19"/>
      <c r="AS1683" s="20"/>
      <c r="AT1683" s="19"/>
      <c r="AV1683" s="21">
        <f>IF(AND($AL1683&lt;&gt;"",COUNTIF($AL$11:$AL1683,$AL1683)=1),1,0)</f>
        <v>0</v>
      </c>
      <c r="AW1683" s="21">
        <f t="shared" si="139"/>
        <v>0</v>
      </c>
      <c r="AX1683" s="21" t="str">
        <f t="shared" si="138"/>
        <v/>
      </c>
      <c r="AY1683" s="21" t="str">
        <f>IF(AND($AM1683&lt;&gt;"",$AS1683&lt;&gt;"✓"),SUMPRODUCT(($AM$11:$AM1683&lt;&gt;"")*($AS$11:$AS1683&lt;&gt;"✓")),"")</f>
        <v/>
      </c>
      <c r="AZ1683" s="21" t="str">
        <f>IF(AND($AM1683&lt;&gt;"",$AS1683="✓"),SUMPRODUCT(($AM$11:$AM1683&lt;&gt;"")*($AS$11:$AS1683="✓")),"")</f>
        <v/>
      </c>
      <c r="BA1683" s="21" t="str">
        <f>IF($AL1683="","",$AL1683&amp;"|"&amp;COUNTIF($AL$11:$AL1683,$AL1683))</f>
        <v/>
      </c>
    </row>
    <row r="1684" spans="38:53" ht="15" customHeight="1" x14ac:dyDescent="0.25">
      <c r="AL1684" s="31"/>
      <c r="AM1684" s="26"/>
      <c r="AN1684" s="32"/>
      <c r="AO1684" s="32"/>
      <c r="AP1684" s="24"/>
      <c r="AQ1684" s="24"/>
      <c r="AR1684" s="33"/>
      <c r="AS1684" s="34"/>
      <c r="AT1684" s="33"/>
      <c r="AV1684" s="21">
        <f>IF(AND($AL1684&lt;&gt;"",COUNTIF($AL$11:$AL1684,$AL1684)=1),1,0)</f>
        <v>0</v>
      </c>
      <c r="AW1684" s="21">
        <f t="shared" si="139"/>
        <v>0</v>
      </c>
      <c r="AX1684" s="21" t="str">
        <f t="shared" si="138"/>
        <v/>
      </c>
      <c r="AY1684" s="21" t="str">
        <f>IF(AND($AM1684&lt;&gt;"",$AS1684&lt;&gt;"✓"),SUMPRODUCT(($AM$11:$AM1684&lt;&gt;"")*($AS$11:$AS1684&lt;&gt;"✓")),"")</f>
        <v/>
      </c>
      <c r="AZ1684" s="21" t="str">
        <f>IF(AND($AM1684&lt;&gt;"",$AS1684="✓"),SUMPRODUCT(($AM$11:$AM1684&lt;&gt;"")*($AS$11:$AS1684="✓")),"")</f>
        <v/>
      </c>
      <c r="BA1684" s="21" t="str">
        <f>IF($AL1684="","",$AL1684&amp;"|"&amp;COUNTIF($AL$11:$AL1684,$AL1684))</f>
        <v/>
      </c>
    </row>
    <row r="1685" spans="38:53" ht="15" customHeight="1" x14ac:dyDescent="0.25">
      <c r="AL1685" s="17"/>
      <c r="AM1685" s="12"/>
      <c r="AN1685" s="18"/>
      <c r="AO1685" s="18"/>
      <c r="AP1685" s="10"/>
      <c r="AQ1685" s="10"/>
      <c r="AR1685" s="19"/>
      <c r="AS1685" s="20"/>
      <c r="AT1685" s="19"/>
      <c r="AV1685" s="21">
        <f>IF(AND($AL1685&lt;&gt;"",COUNTIF($AL$11:$AL1685,$AL1685)=1),1,0)</f>
        <v>0</v>
      </c>
      <c r="AW1685" s="21">
        <f t="shared" si="139"/>
        <v>0</v>
      </c>
      <c r="AX1685" s="21" t="str">
        <f t="shared" si="138"/>
        <v/>
      </c>
      <c r="AY1685" s="21" t="str">
        <f>IF(AND($AM1685&lt;&gt;"",$AS1685&lt;&gt;"✓"),SUMPRODUCT(($AM$11:$AM1685&lt;&gt;"")*($AS$11:$AS1685&lt;&gt;"✓")),"")</f>
        <v/>
      </c>
      <c r="AZ1685" s="21" t="str">
        <f>IF(AND($AM1685&lt;&gt;"",$AS1685="✓"),SUMPRODUCT(($AM$11:$AM1685&lt;&gt;"")*($AS$11:$AS1685="✓")),"")</f>
        <v/>
      </c>
      <c r="BA1685" s="21" t="str">
        <f>IF($AL1685="","",$AL1685&amp;"|"&amp;COUNTIF($AL$11:$AL1685,$AL1685))</f>
        <v/>
      </c>
    </row>
    <row r="1686" spans="38:53" ht="15" customHeight="1" x14ac:dyDescent="0.25">
      <c r="AL1686" s="31"/>
      <c r="AM1686" s="26"/>
      <c r="AN1686" s="32"/>
      <c r="AO1686" s="32"/>
      <c r="AP1686" s="24"/>
      <c r="AQ1686" s="24"/>
      <c r="AR1686" s="33"/>
      <c r="AS1686" s="34"/>
      <c r="AT1686" s="33"/>
      <c r="AV1686" s="21">
        <f>IF(AND($AL1686&lt;&gt;"",COUNTIF($AL$11:$AL1686,$AL1686)=1),1,0)</f>
        <v>0</v>
      </c>
      <c r="AW1686" s="21">
        <f t="shared" si="139"/>
        <v>0</v>
      </c>
      <c r="AX1686" s="21" t="str">
        <f t="shared" si="138"/>
        <v/>
      </c>
      <c r="AY1686" s="21" t="str">
        <f>IF(AND($AM1686&lt;&gt;"",$AS1686&lt;&gt;"✓"),SUMPRODUCT(($AM$11:$AM1686&lt;&gt;"")*($AS$11:$AS1686&lt;&gt;"✓")),"")</f>
        <v/>
      </c>
      <c r="AZ1686" s="21" t="str">
        <f>IF(AND($AM1686&lt;&gt;"",$AS1686="✓"),SUMPRODUCT(($AM$11:$AM1686&lt;&gt;"")*($AS$11:$AS1686="✓")),"")</f>
        <v/>
      </c>
      <c r="BA1686" s="21" t="str">
        <f>IF($AL1686="","",$AL1686&amp;"|"&amp;COUNTIF($AL$11:$AL1686,$AL1686))</f>
        <v/>
      </c>
    </row>
    <row r="1687" spans="38:53" ht="15" customHeight="1" x14ac:dyDescent="0.25">
      <c r="AL1687" s="17"/>
      <c r="AM1687" s="12"/>
      <c r="AN1687" s="18"/>
      <c r="AO1687" s="18"/>
      <c r="AP1687" s="10"/>
      <c r="AQ1687" s="10"/>
      <c r="AR1687" s="19"/>
      <c r="AS1687" s="20"/>
      <c r="AT1687" s="19"/>
      <c r="AV1687" s="21">
        <f>IF(AND($AL1687&lt;&gt;"",COUNTIF($AL$11:$AL1687,$AL1687)=1),1,0)</f>
        <v>0</v>
      </c>
      <c r="AW1687" s="21">
        <f t="shared" si="139"/>
        <v>0</v>
      </c>
      <c r="AX1687" s="21" t="str">
        <f t="shared" si="138"/>
        <v/>
      </c>
      <c r="AY1687" s="21" t="str">
        <f>IF(AND($AM1687&lt;&gt;"",$AS1687&lt;&gt;"✓"),SUMPRODUCT(($AM$11:$AM1687&lt;&gt;"")*($AS$11:$AS1687&lt;&gt;"✓")),"")</f>
        <v/>
      </c>
      <c r="AZ1687" s="21" t="str">
        <f>IF(AND($AM1687&lt;&gt;"",$AS1687="✓"),SUMPRODUCT(($AM$11:$AM1687&lt;&gt;"")*($AS$11:$AS1687="✓")),"")</f>
        <v/>
      </c>
      <c r="BA1687" s="21" t="str">
        <f>IF($AL1687="","",$AL1687&amp;"|"&amp;COUNTIF($AL$11:$AL1687,$AL1687))</f>
        <v/>
      </c>
    </row>
    <row r="1688" spans="38:53" ht="15" customHeight="1" x14ac:dyDescent="0.25">
      <c r="AL1688" s="31"/>
      <c r="AM1688" s="26"/>
      <c r="AN1688" s="32"/>
      <c r="AO1688" s="32"/>
      <c r="AP1688" s="24"/>
      <c r="AQ1688" s="24"/>
      <c r="AR1688" s="33"/>
      <c r="AS1688" s="34"/>
      <c r="AT1688" s="33"/>
      <c r="AV1688" s="21">
        <f>IF(AND($AL1688&lt;&gt;"",COUNTIF($AL$11:$AL1688,$AL1688)=1),1,0)</f>
        <v>0</v>
      </c>
      <c r="AW1688" s="21">
        <f t="shared" si="139"/>
        <v>0</v>
      </c>
      <c r="AX1688" s="21" t="str">
        <f t="shared" si="138"/>
        <v/>
      </c>
      <c r="AY1688" s="21" t="str">
        <f>IF(AND($AM1688&lt;&gt;"",$AS1688&lt;&gt;"✓"),SUMPRODUCT(($AM$11:$AM1688&lt;&gt;"")*($AS$11:$AS1688&lt;&gt;"✓")),"")</f>
        <v/>
      </c>
      <c r="AZ1688" s="21" t="str">
        <f>IF(AND($AM1688&lt;&gt;"",$AS1688="✓"),SUMPRODUCT(($AM$11:$AM1688&lt;&gt;"")*($AS$11:$AS1688="✓")),"")</f>
        <v/>
      </c>
      <c r="BA1688" s="21" t="str">
        <f>IF($AL1688="","",$AL1688&amp;"|"&amp;COUNTIF($AL$11:$AL1688,$AL1688))</f>
        <v/>
      </c>
    </row>
    <row r="1689" spans="38:53" ht="15" customHeight="1" x14ac:dyDescent="0.25">
      <c r="AL1689" s="17"/>
      <c r="AM1689" s="12"/>
      <c r="AN1689" s="18"/>
      <c r="AO1689" s="18"/>
      <c r="AP1689" s="10"/>
      <c r="AQ1689" s="10"/>
      <c r="AR1689" s="19"/>
      <c r="AS1689" s="20"/>
      <c r="AT1689" s="19"/>
      <c r="AV1689" s="21">
        <f>IF(AND($AL1689&lt;&gt;"",COUNTIF($AL$11:$AL1689,$AL1689)=1),1,0)</f>
        <v>0</v>
      </c>
      <c r="AW1689" s="21">
        <f t="shared" si="139"/>
        <v>0</v>
      </c>
      <c r="AX1689" s="21" t="str">
        <f t="shared" si="138"/>
        <v/>
      </c>
      <c r="AY1689" s="21" t="str">
        <f>IF(AND($AM1689&lt;&gt;"",$AS1689&lt;&gt;"✓"),SUMPRODUCT(($AM$11:$AM1689&lt;&gt;"")*($AS$11:$AS1689&lt;&gt;"✓")),"")</f>
        <v/>
      </c>
      <c r="AZ1689" s="21" t="str">
        <f>IF(AND($AM1689&lt;&gt;"",$AS1689="✓"),SUMPRODUCT(($AM$11:$AM1689&lt;&gt;"")*($AS$11:$AS1689="✓")),"")</f>
        <v/>
      </c>
      <c r="BA1689" s="21" t="str">
        <f>IF($AL1689="","",$AL1689&amp;"|"&amp;COUNTIF($AL$11:$AL1689,$AL1689))</f>
        <v/>
      </c>
    </row>
    <row r="1690" spans="38:53" ht="15" customHeight="1" x14ac:dyDescent="0.25">
      <c r="AL1690" s="31"/>
      <c r="AM1690" s="26"/>
      <c r="AN1690" s="32"/>
      <c r="AO1690" s="32"/>
      <c r="AP1690" s="24"/>
      <c r="AQ1690" s="24"/>
      <c r="AR1690" s="33"/>
      <c r="AS1690" s="34"/>
      <c r="AT1690" s="33"/>
      <c r="AV1690" s="21">
        <f>IF(AND($AL1690&lt;&gt;"",COUNTIF($AL$11:$AL1690,$AL1690)=1),1,0)</f>
        <v>0</v>
      </c>
      <c r="AW1690" s="21">
        <f t="shared" si="139"/>
        <v>0</v>
      </c>
      <c r="AX1690" s="21" t="str">
        <f t="shared" si="138"/>
        <v/>
      </c>
      <c r="AY1690" s="21" t="str">
        <f>IF(AND($AM1690&lt;&gt;"",$AS1690&lt;&gt;"✓"),SUMPRODUCT(($AM$11:$AM1690&lt;&gt;"")*($AS$11:$AS1690&lt;&gt;"✓")),"")</f>
        <v/>
      </c>
      <c r="AZ1690" s="21" t="str">
        <f>IF(AND($AM1690&lt;&gt;"",$AS1690="✓"),SUMPRODUCT(($AM$11:$AM1690&lt;&gt;"")*($AS$11:$AS1690="✓")),"")</f>
        <v/>
      </c>
      <c r="BA1690" s="21" t="str">
        <f>IF($AL1690="","",$AL1690&amp;"|"&amp;COUNTIF($AL$11:$AL1690,$AL1690))</f>
        <v/>
      </c>
    </row>
    <row r="1691" spans="38:53" ht="15" customHeight="1" x14ac:dyDescent="0.25">
      <c r="AL1691" s="17"/>
      <c r="AM1691" s="12"/>
      <c r="AN1691" s="18"/>
      <c r="AO1691" s="18"/>
      <c r="AP1691" s="10"/>
      <c r="AQ1691" s="10"/>
      <c r="AR1691" s="19"/>
      <c r="AS1691" s="20"/>
      <c r="AT1691" s="19"/>
      <c r="AV1691" s="21">
        <f>IF(AND($AL1691&lt;&gt;"",COUNTIF($AL$11:$AL1691,$AL1691)=1),1,0)</f>
        <v>0</v>
      </c>
      <c r="AW1691" s="21">
        <f t="shared" si="139"/>
        <v>0</v>
      </c>
      <c r="AX1691" s="21" t="str">
        <f t="shared" si="138"/>
        <v/>
      </c>
      <c r="AY1691" s="21" t="str">
        <f>IF(AND($AM1691&lt;&gt;"",$AS1691&lt;&gt;"✓"),SUMPRODUCT(($AM$11:$AM1691&lt;&gt;"")*($AS$11:$AS1691&lt;&gt;"✓")),"")</f>
        <v/>
      </c>
      <c r="AZ1691" s="21" t="str">
        <f>IF(AND($AM1691&lt;&gt;"",$AS1691="✓"),SUMPRODUCT(($AM$11:$AM1691&lt;&gt;"")*($AS$11:$AS1691="✓")),"")</f>
        <v/>
      </c>
      <c r="BA1691" s="21" t="str">
        <f>IF($AL1691="","",$AL1691&amp;"|"&amp;COUNTIF($AL$11:$AL1691,$AL1691))</f>
        <v/>
      </c>
    </row>
    <row r="1692" spans="38:53" ht="15" customHeight="1" x14ac:dyDescent="0.25">
      <c r="AL1692" s="31"/>
      <c r="AM1692" s="26"/>
      <c r="AN1692" s="32"/>
      <c r="AO1692" s="32"/>
      <c r="AP1692" s="24"/>
      <c r="AQ1692" s="24"/>
      <c r="AR1692" s="33"/>
      <c r="AS1692" s="34"/>
      <c r="AT1692" s="33"/>
      <c r="AV1692" s="21">
        <f>IF(AND($AL1692&lt;&gt;"",COUNTIF($AL$11:$AL1692,$AL1692)=1),1,0)</f>
        <v>0</v>
      </c>
      <c r="AW1692" s="21">
        <f t="shared" si="139"/>
        <v>0</v>
      </c>
      <c r="AX1692" s="21" t="str">
        <f t="shared" si="138"/>
        <v/>
      </c>
      <c r="AY1692" s="21" t="str">
        <f>IF(AND($AM1692&lt;&gt;"",$AS1692&lt;&gt;"✓"),SUMPRODUCT(($AM$11:$AM1692&lt;&gt;"")*($AS$11:$AS1692&lt;&gt;"✓")),"")</f>
        <v/>
      </c>
      <c r="AZ1692" s="21" t="str">
        <f>IF(AND($AM1692&lt;&gt;"",$AS1692="✓"),SUMPRODUCT(($AM$11:$AM1692&lt;&gt;"")*($AS$11:$AS1692="✓")),"")</f>
        <v/>
      </c>
      <c r="BA1692" s="21" t="str">
        <f>IF($AL1692="","",$AL1692&amp;"|"&amp;COUNTIF($AL$11:$AL1692,$AL1692))</f>
        <v/>
      </c>
    </row>
    <row r="1693" spans="38:53" ht="15" customHeight="1" x14ac:dyDescent="0.25">
      <c r="AL1693" s="17"/>
      <c r="AM1693" s="12"/>
      <c r="AN1693" s="18"/>
      <c r="AO1693" s="18"/>
      <c r="AP1693" s="10"/>
      <c r="AQ1693" s="10"/>
      <c r="AR1693" s="19"/>
      <c r="AS1693" s="20"/>
      <c r="AT1693" s="19"/>
      <c r="AV1693" s="21">
        <f>IF(AND($AL1693&lt;&gt;"",COUNTIF($AL$11:$AL1693,$AL1693)=1),1,0)</f>
        <v>0</v>
      </c>
      <c r="AW1693" s="21">
        <f t="shared" si="139"/>
        <v>0</v>
      </c>
      <c r="AX1693" s="21" t="str">
        <f t="shared" si="138"/>
        <v/>
      </c>
      <c r="AY1693" s="21" t="str">
        <f>IF(AND($AM1693&lt;&gt;"",$AS1693&lt;&gt;"✓"),SUMPRODUCT(($AM$11:$AM1693&lt;&gt;"")*($AS$11:$AS1693&lt;&gt;"✓")),"")</f>
        <v/>
      </c>
      <c r="AZ1693" s="21" t="str">
        <f>IF(AND($AM1693&lt;&gt;"",$AS1693="✓"),SUMPRODUCT(($AM$11:$AM1693&lt;&gt;"")*($AS$11:$AS1693="✓")),"")</f>
        <v/>
      </c>
      <c r="BA1693" s="21" t="str">
        <f>IF($AL1693="","",$AL1693&amp;"|"&amp;COUNTIF($AL$11:$AL1693,$AL1693))</f>
        <v/>
      </c>
    </row>
    <row r="1694" spans="38:53" ht="15" customHeight="1" x14ac:dyDescent="0.25">
      <c r="AL1694" s="31"/>
      <c r="AM1694" s="26"/>
      <c r="AN1694" s="32"/>
      <c r="AO1694" s="32"/>
      <c r="AP1694" s="24"/>
      <c r="AQ1694" s="24"/>
      <c r="AR1694" s="33"/>
      <c r="AS1694" s="34"/>
      <c r="AT1694" s="33"/>
      <c r="AV1694" s="21">
        <f>IF(AND($AL1694&lt;&gt;"",COUNTIF($AL$11:$AL1694,$AL1694)=1),1,0)</f>
        <v>0</v>
      </c>
      <c r="AW1694" s="21">
        <f t="shared" si="139"/>
        <v>0</v>
      </c>
      <c r="AX1694" s="21" t="str">
        <f t="shared" si="138"/>
        <v/>
      </c>
      <c r="AY1694" s="21" t="str">
        <f>IF(AND($AM1694&lt;&gt;"",$AS1694&lt;&gt;"✓"),SUMPRODUCT(($AM$11:$AM1694&lt;&gt;"")*($AS$11:$AS1694&lt;&gt;"✓")),"")</f>
        <v/>
      </c>
      <c r="AZ1694" s="21" t="str">
        <f>IF(AND($AM1694&lt;&gt;"",$AS1694="✓"),SUMPRODUCT(($AM$11:$AM1694&lt;&gt;"")*($AS$11:$AS1694="✓")),"")</f>
        <v/>
      </c>
      <c r="BA1694" s="21" t="str">
        <f>IF($AL1694="","",$AL1694&amp;"|"&amp;COUNTIF($AL$11:$AL1694,$AL1694))</f>
        <v/>
      </c>
    </row>
    <row r="1695" spans="38:53" ht="15" customHeight="1" x14ac:dyDescent="0.25">
      <c r="AL1695" s="17"/>
      <c r="AM1695" s="12"/>
      <c r="AN1695" s="18"/>
      <c r="AO1695" s="18"/>
      <c r="AP1695" s="10"/>
      <c r="AQ1695" s="10"/>
      <c r="AR1695" s="19"/>
      <c r="AS1695" s="20"/>
      <c r="AT1695" s="19"/>
      <c r="AV1695" s="21">
        <f>IF(AND($AL1695&lt;&gt;"",COUNTIF($AL$11:$AL1695,$AL1695)=1),1,0)</f>
        <v>0</v>
      </c>
      <c r="AW1695" s="21">
        <f t="shared" si="139"/>
        <v>0</v>
      </c>
      <c r="AX1695" s="21" t="str">
        <f t="shared" si="138"/>
        <v/>
      </c>
      <c r="AY1695" s="21" t="str">
        <f>IF(AND($AM1695&lt;&gt;"",$AS1695&lt;&gt;"✓"),SUMPRODUCT(($AM$11:$AM1695&lt;&gt;"")*($AS$11:$AS1695&lt;&gt;"✓")),"")</f>
        <v/>
      </c>
      <c r="AZ1695" s="21" t="str">
        <f>IF(AND($AM1695&lt;&gt;"",$AS1695="✓"),SUMPRODUCT(($AM$11:$AM1695&lt;&gt;"")*($AS$11:$AS1695="✓")),"")</f>
        <v/>
      </c>
      <c r="BA1695" s="21" t="str">
        <f>IF($AL1695="","",$AL1695&amp;"|"&amp;COUNTIF($AL$11:$AL1695,$AL1695))</f>
        <v/>
      </c>
    </row>
    <row r="1696" spans="38:53" ht="15" customHeight="1" x14ac:dyDescent="0.25">
      <c r="AL1696" s="31"/>
      <c r="AM1696" s="26"/>
      <c r="AN1696" s="32"/>
      <c r="AO1696" s="32"/>
      <c r="AP1696" s="24"/>
      <c r="AQ1696" s="24"/>
      <c r="AR1696" s="33"/>
      <c r="AS1696" s="34"/>
      <c r="AT1696" s="33"/>
      <c r="AV1696" s="21">
        <f>IF(AND($AL1696&lt;&gt;"",COUNTIF($AL$11:$AL1696,$AL1696)=1),1,0)</f>
        <v>0</v>
      </c>
      <c r="AW1696" s="21">
        <f t="shared" si="139"/>
        <v>0</v>
      </c>
      <c r="AX1696" s="21" t="str">
        <f t="shared" si="138"/>
        <v/>
      </c>
      <c r="AY1696" s="21" t="str">
        <f>IF(AND($AM1696&lt;&gt;"",$AS1696&lt;&gt;"✓"),SUMPRODUCT(($AM$11:$AM1696&lt;&gt;"")*($AS$11:$AS1696&lt;&gt;"✓")),"")</f>
        <v/>
      </c>
      <c r="AZ1696" s="21" t="str">
        <f>IF(AND($AM1696&lt;&gt;"",$AS1696="✓"),SUMPRODUCT(($AM$11:$AM1696&lt;&gt;"")*($AS$11:$AS1696="✓")),"")</f>
        <v/>
      </c>
      <c r="BA1696" s="21" t="str">
        <f>IF($AL1696="","",$AL1696&amp;"|"&amp;COUNTIF($AL$11:$AL1696,$AL1696))</f>
        <v/>
      </c>
    </row>
    <row r="1697" spans="38:53" ht="15" customHeight="1" x14ac:dyDescent="0.25">
      <c r="AL1697" s="17"/>
      <c r="AM1697" s="12"/>
      <c r="AN1697" s="18"/>
      <c r="AO1697" s="18"/>
      <c r="AP1697" s="10"/>
      <c r="AQ1697" s="10"/>
      <c r="AR1697" s="19"/>
      <c r="AS1697" s="20"/>
      <c r="AT1697" s="19"/>
      <c r="AV1697" s="21">
        <f>IF(AND($AL1697&lt;&gt;"",COUNTIF($AL$11:$AL1697,$AL1697)=1),1,0)</f>
        <v>0</v>
      </c>
      <c r="AW1697" s="21">
        <f t="shared" si="139"/>
        <v>0</v>
      </c>
      <c r="AX1697" s="21" t="str">
        <f t="shared" si="138"/>
        <v/>
      </c>
      <c r="AY1697" s="21" t="str">
        <f>IF(AND($AM1697&lt;&gt;"",$AS1697&lt;&gt;"✓"),SUMPRODUCT(($AM$11:$AM1697&lt;&gt;"")*($AS$11:$AS1697&lt;&gt;"✓")),"")</f>
        <v/>
      </c>
      <c r="AZ1697" s="21" t="str">
        <f>IF(AND($AM1697&lt;&gt;"",$AS1697="✓"),SUMPRODUCT(($AM$11:$AM1697&lt;&gt;"")*($AS$11:$AS1697="✓")),"")</f>
        <v/>
      </c>
      <c r="BA1697" s="21" t="str">
        <f>IF($AL1697="","",$AL1697&amp;"|"&amp;COUNTIF($AL$11:$AL1697,$AL1697))</f>
        <v/>
      </c>
    </row>
    <row r="1698" spans="38:53" ht="15" customHeight="1" x14ac:dyDescent="0.25">
      <c r="AL1698" s="31"/>
      <c r="AM1698" s="26"/>
      <c r="AN1698" s="32"/>
      <c r="AO1698" s="32"/>
      <c r="AP1698" s="24"/>
      <c r="AQ1698" s="24"/>
      <c r="AR1698" s="33"/>
      <c r="AS1698" s="34"/>
      <c r="AT1698" s="33"/>
      <c r="AV1698" s="21">
        <f>IF(AND($AL1698&lt;&gt;"",COUNTIF($AL$11:$AL1698,$AL1698)=1),1,0)</f>
        <v>0</v>
      </c>
      <c r="AW1698" s="21">
        <f t="shared" si="139"/>
        <v>0</v>
      </c>
      <c r="AX1698" s="21" t="str">
        <f t="shared" si="138"/>
        <v/>
      </c>
      <c r="AY1698" s="21" t="str">
        <f>IF(AND($AM1698&lt;&gt;"",$AS1698&lt;&gt;"✓"),SUMPRODUCT(($AM$11:$AM1698&lt;&gt;"")*($AS$11:$AS1698&lt;&gt;"✓")),"")</f>
        <v/>
      </c>
      <c r="AZ1698" s="21" t="str">
        <f>IF(AND($AM1698&lt;&gt;"",$AS1698="✓"),SUMPRODUCT(($AM$11:$AM1698&lt;&gt;"")*($AS$11:$AS1698="✓")),"")</f>
        <v/>
      </c>
      <c r="BA1698" s="21" t="str">
        <f>IF($AL1698="","",$AL1698&amp;"|"&amp;COUNTIF($AL$11:$AL1698,$AL1698))</f>
        <v/>
      </c>
    </row>
    <row r="1699" spans="38:53" ht="15" customHeight="1" x14ac:dyDescent="0.25">
      <c r="AL1699" s="17"/>
      <c r="AM1699" s="12"/>
      <c r="AN1699" s="18"/>
      <c r="AO1699" s="18"/>
      <c r="AP1699" s="10"/>
      <c r="AQ1699" s="10"/>
      <c r="AR1699" s="19"/>
      <c r="AS1699" s="20"/>
      <c r="AT1699" s="19"/>
      <c r="AV1699" s="21">
        <f>IF(AND($AL1699&lt;&gt;"",COUNTIF($AL$11:$AL1699,$AL1699)=1),1,0)</f>
        <v>0</v>
      </c>
      <c r="AW1699" s="21">
        <f t="shared" si="139"/>
        <v>0</v>
      </c>
      <c r="AX1699" s="21" t="str">
        <f t="shared" si="138"/>
        <v/>
      </c>
      <c r="AY1699" s="21" t="str">
        <f>IF(AND($AM1699&lt;&gt;"",$AS1699&lt;&gt;"✓"),SUMPRODUCT(($AM$11:$AM1699&lt;&gt;"")*($AS$11:$AS1699&lt;&gt;"✓")),"")</f>
        <v/>
      </c>
      <c r="AZ1699" s="21" t="str">
        <f>IF(AND($AM1699&lt;&gt;"",$AS1699="✓"),SUMPRODUCT(($AM$11:$AM1699&lt;&gt;"")*($AS$11:$AS1699="✓")),"")</f>
        <v/>
      </c>
      <c r="BA1699" s="21" t="str">
        <f>IF($AL1699="","",$AL1699&amp;"|"&amp;COUNTIF($AL$11:$AL1699,$AL1699))</f>
        <v/>
      </c>
    </row>
    <row r="1700" spans="38:53" ht="15" customHeight="1" x14ac:dyDescent="0.25">
      <c r="AL1700" s="31"/>
      <c r="AM1700" s="26"/>
      <c r="AN1700" s="32"/>
      <c r="AO1700" s="32"/>
      <c r="AP1700" s="24"/>
      <c r="AQ1700" s="24"/>
      <c r="AR1700" s="33"/>
      <c r="AS1700" s="34"/>
      <c r="AT1700" s="33"/>
      <c r="AV1700" s="21">
        <f>IF(AND($AL1700&lt;&gt;"",COUNTIF($AL$11:$AL1700,$AL1700)=1),1,0)</f>
        <v>0</v>
      </c>
      <c r="AW1700" s="21">
        <f t="shared" si="139"/>
        <v>0</v>
      </c>
      <c r="AX1700" s="21" t="str">
        <f t="shared" si="138"/>
        <v/>
      </c>
      <c r="AY1700" s="21" t="str">
        <f>IF(AND($AM1700&lt;&gt;"",$AS1700&lt;&gt;"✓"),SUMPRODUCT(($AM$11:$AM1700&lt;&gt;"")*($AS$11:$AS1700&lt;&gt;"✓")),"")</f>
        <v/>
      </c>
      <c r="AZ1700" s="21" t="str">
        <f>IF(AND($AM1700&lt;&gt;"",$AS1700="✓"),SUMPRODUCT(($AM$11:$AM1700&lt;&gt;"")*($AS$11:$AS1700="✓")),"")</f>
        <v/>
      </c>
      <c r="BA1700" s="21" t="str">
        <f>IF($AL1700="","",$AL1700&amp;"|"&amp;COUNTIF($AL$11:$AL1700,$AL1700))</f>
        <v/>
      </c>
    </row>
    <row r="1701" spans="38:53" ht="15" customHeight="1" x14ac:dyDescent="0.25">
      <c r="AL1701" s="17"/>
      <c r="AM1701" s="12"/>
      <c r="AN1701" s="18"/>
      <c r="AO1701" s="18"/>
      <c r="AP1701" s="10"/>
      <c r="AQ1701" s="10"/>
      <c r="AR1701" s="19"/>
      <c r="AS1701" s="20"/>
      <c r="AT1701" s="19"/>
      <c r="AV1701" s="21">
        <f>IF(AND($AL1701&lt;&gt;"",COUNTIF($AL$11:$AL1701,$AL1701)=1),1,0)</f>
        <v>0</v>
      </c>
      <c r="AW1701" s="21">
        <f t="shared" si="139"/>
        <v>0</v>
      </c>
      <c r="AX1701" s="21" t="str">
        <f t="shared" si="138"/>
        <v/>
      </c>
      <c r="AY1701" s="21" t="str">
        <f>IF(AND($AM1701&lt;&gt;"",$AS1701&lt;&gt;"✓"),SUMPRODUCT(($AM$11:$AM1701&lt;&gt;"")*($AS$11:$AS1701&lt;&gt;"✓")),"")</f>
        <v/>
      </c>
      <c r="AZ1701" s="21" t="str">
        <f>IF(AND($AM1701&lt;&gt;"",$AS1701="✓"),SUMPRODUCT(($AM$11:$AM1701&lt;&gt;"")*($AS$11:$AS1701="✓")),"")</f>
        <v/>
      </c>
      <c r="BA1701" s="21" t="str">
        <f>IF($AL1701="","",$AL1701&amp;"|"&amp;COUNTIF($AL$11:$AL1701,$AL1701))</f>
        <v/>
      </c>
    </row>
    <row r="1702" spans="38:53" ht="15" customHeight="1" x14ac:dyDescent="0.25">
      <c r="AL1702" s="31"/>
      <c r="AM1702" s="26"/>
      <c r="AN1702" s="32"/>
      <c r="AO1702" s="32"/>
      <c r="AP1702" s="24"/>
      <c r="AQ1702" s="24"/>
      <c r="AR1702" s="33"/>
      <c r="AS1702" s="34"/>
      <c r="AT1702" s="33"/>
      <c r="AV1702" s="21">
        <f>IF(AND($AL1702&lt;&gt;"",COUNTIF($AL$11:$AL1702,$AL1702)=1),1,0)</f>
        <v>0</v>
      </c>
      <c r="AW1702" s="21">
        <f t="shared" si="139"/>
        <v>0</v>
      </c>
      <c r="AX1702" s="21" t="str">
        <f t="shared" si="138"/>
        <v/>
      </c>
      <c r="AY1702" s="21" t="str">
        <f>IF(AND($AM1702&lt;&gt;"",$AS1702&lt;&gt;"✓"),SUMPRODUCT(($AM$11:$AM1702&lt;&gt;"")*($AS$11:$AS1702&lt;&gt;"✓")),"")</f>
        <v/>
      </c>
      <c r="AZ1702" s="21" t="str">
        <f>IF(AND($AM1702&lt;&gt;"",$AS1702="✓"),SUMPRODUCT(($AM$11:$AM1702&lt;&gt;"")*($AS$11:$AS1702="✓")),"")</f>
        <v/>
      </c>
      <c r="BA1702" s="21" t="str">
        <f>IF($AL1702="","",$AL1702&amp;"|"&amp;COUNTIF($AL$11:$AL1702,$AL1702))</f>
        <v/>
      </c>
    </row>
    <row r="1703" spans="38:53" ht="15" customHeight="1" x14ac:dyDescent="0.25">
      <c r="AL1703" s="17"/>
      <c r="AM1703" s="12"/>
      <c r="AN1703" s="18"/>
      <c r="AO1703" s="18"/>
      <c r="AP1703" s="10"/>
      <c r="AQ1703" s="10"/>
      <c r="AR1703" s="19"/>
      <c r="AS1703" s="20"/>
      <c r="AT1703" s="19"/>
      <c r="AV1703" s="21">
        <f>IF(AND($AL1703&lt;&gt;"",COUNTIF($AL$11:$AL1703,$AL1703)=1),1,0)</f>
        <v>0</v>
      </c>
      <c r="AW1703" s="21">
        <f t="shared" si="139"/>
        <v>0</v>
      </c>
      <c r="AX1703" s="21" t="str">
        <f t="shared" si="138"/>
        <v/>
      </c>
      <c r="AY1703" s="21" t="str">
        <f>IF(AND($AM1703&lt;&gt;"",$AS1703&lt;&gt;"✓"),SUMPRODUCT(($AM$11:$AM1703&lt;&gt;"")*($AS$11:$AS1703&lt;&gt;"✓")),"")</f>
        <v/>
      </c>
      <c r="AZ1703" s="21" t="str">
        <f>IF(AND($AM1703&lt;&gt;"",$AS1703="✓"),SUMPRODUCT(($AM$11:$AM1703&lt;&gt;"")*($AS$11:$AS1703="✓")),"")</f>
        <v/>
      </c>
      <c r="BA1703" s="21" t="str">
        <f>IF($AL1703="","",$AL1703&amp;"|"&amp;COUNTIF($AL$11:$AL1703,$AL1703))</f>
        <v/>
      </c>
    </row>
    <row r="1704" spans="38:53" ht="15" customHeight="1" x14ac:dyDescent="0.25">
      <c r="AL1704" s="31"/>
      <c r="AM1704" s="26"/>
      <c r="AN1704" s="32"/>
      <c r="AO1704" s="32"/>
      <c r="AP1704" s="24"/>
      <c r="AQ1704" s="24"/>
      <c r="AR1704" s="33"/>
      <c r="AS1704" s="34"/>
      <c r="AT1704" s="33"/>
      <c r="AV1704" s="21">
        <f>IF(AND($AL1704&lt;&gt;"",COUNTIF($AL$11:$AL1704,$AL1704)=1),1,0)</f>
        <v>0</v>
      </c>
      <c r="AW1704" s="21">
        <f t="shared" si="139"/>
        <v>0</v>
      </c>
      <c r="AX1704" s="21" t="str">
        <f t="shared" si="138"/>
        <v/>
      </c>
      <c r="AY1704" s="21" t="str">
        <f>IF(AND($AM1704&lt;&gt;"",$AS1704&lt;&gt;"✓"),SUMPRODUCT(($AM$11:$AM1704&lt;&gt;"")*($AS$11:$AS1704&lt;&gt;"✓")),"")</f>
        <v/>
      </c>
      <c r="AZ1704" s="21" t="str">
        <f>IF(AND($AM1704&lt;&gt;"",$AS1704="✓"),SUMPRODUCT(($AM$11:$AM1704&lt;&gt;"")*($AS$11:$AS1704="✓")),"")</f>
        <v/>
      </c>
      <c r="BA1704" s="21" t="str">
        <f>IF($AL1704="","",$AL1704&amp;"|"&amp;COUNTIF($AL$11:$AL1704,$AL1704))</f>
        <v/>
      </c>
    </row>
    <row r="1705" spans="38:53" ht="15" customHeight="1" x14ac:dyDescent="0.25">
      <c r="AL1705" s="17"/>
      <c r="AM1705" s="12"/>
      <c r="AN1705" s="18"/>
      <c r="AO1705" s="18"/>
      <c r="AP1705" s="10"/>
      <c r="AQ1705" s="10"/>
      <c r="AR1705" s="19"/>
      <c r="AS1705" s="20"/>
      <c r="AT1705" s="19"/>
      <c r="AV1705" s="21">
        <f>IF(AND($AL1705&lt;&gt;"",COUNTIF($AL$11:$AL1705,$AL1705)=1),1,0)</f>
        <v>0</v>
      </c>
      <c r="AW1705" s="21">
        <f t="shared" si="139"/>
        <v>0</v>
      </c>
      <c r="AX1705" s="21" t="str">
        <f t="shared" si="138"/>
        <v/>
      </c>
      <c r="AY1705" s="21" t="str">
        <f>IF(AND($AM1705&lt;&gt;"",$AS1705&lt;&gt;"✓"),SUMPRODUCT(($AM$11:$AM1705&lt;&gt;"")*($AS$11:$AS1705&lt;&gt;"✓")),"")</f>
        <v/>
      </c>
      <c r="AZ1705" s="21" t="str">
        <f>IF(AND($AM1705&lt;&gt;"",$AS1705="✓"),SUMPRODUCT(($AM$11:$AM1705&lt;&gt;"")*($AS$11:$AS1705="✓")),"")</f>
        <v/>
      </c>
      <c r="BA1705" s="21" t="str">
        <f>IF($AL1705="","",$AL1705&amp;"|"&amp;COUNTIF($AL$11:$AL1705,$AL1705))</f>
        <v/>
      </c>
    </row>
    <row r="1706" spans="38:53" ht="15" customHeight="1" x14ac:dyDescent="0.25">
      <c r="AL1706" s="31"/>
      <c r="AM1706" s="26"/>
      <c r="AN1706" s="32"/>
      <c r="AO1706" s="32"/>
      <c r="AP1706" s="24"/>
      <c r="AQ1706" s="24"/>
      <c r="AR1706" s="33"/>
      <c r="AS1706" s="34"/>
      <c r="AT1706" s="33"/>
      <c r="AV1706" s="21">
        <f>IF(AND($AL1706&lt;&gt;"",COUNTIF($AL$11:$AL1706,$AL1706)=1),1,0)</f>
        <v>0</v>
      </c>
      <c r="AW1706" s="21">
        <f t="shared" si="139"/>
        <v>0</v>
      </c>
      <c r="AX1706" s="21" t="str">
        <f t="shared" si="138"/>
        <v/>
      </c>
      <c r="AY1706" s="21" t="str">
        <f>IF(AND($AM1706&lt;&gt;"",$AS1706&lt;&gt;"✓"),SUMPRODUCT(($AM$11:$AM1706&lt;&gt;"")*($AS$11:$AS1706&lt;&gt;"✓")),"")</f>
        <v/>
      </c>
      <c r="AZ1706" s="21" t="str">
        <f>IF(AND($AM1706&lt;&gt;"",$AS1706="✓"),SUMPRODUCT(($AM$11:$AM1706&lt;&gt;"")*($AS$11:$AS1706="✓")),"")</f>
        <v/>
      </c>
      <c r="BA1706" s="21" t="str">
        <f>IF($AL1706="","",$AL1706&amp;"|"&amp;COUNTIF($AL$11:$AL1706,$AL1706))</f>
        <v/>
      </c>
    </row>
    <row r="1707" spans="38:53" ht="15" customHeight="1" x14ac:dyDescent="0.25">
      <c r="AL1707" s="17"/>
      <c r="AM1707" s="12"/>
      <c r="AN1707" s="18"/>
      <c r="AO1707" s="18"/>
      <c r="AP1707" s="10"/>
      <c r="AQ1707" s="10"/>
      <c r="AR1707" s="19"/>
      <c r="AS1707" s="20"/>
      <c r="AT1707" s="19"/>
      <c r="AV1707" s="21">
        <f>IF(AND($AL1707&lt;&gt;"",COUNTIF($AL$11:$AL1707,$AL1707)=1),1,0)</f>
        <v>0</v>
      </c>
      <c r="AW1707" s="21">
        <f t="shared" si="139"/>
        <v>0</v>
      </c>
      <c r="AX1707" s="21" t="str">
        <f t="shared" si="138"/>
        <v/>
      </c>
      <c r="AY1707" s="21" t="str">
        <f>IF(AND($AM1707&lt;&gt;"",$AS1707&lt;&gt;"✓"),SUMPRODUCT(($AM$11:$AM1707&lt;&gt;"")*($AS$11:$AS1707&lt;&gt;"✓")),"")</f>
        <v/>
      </c>
      <c r="AZ1707" s="21" t="str">
        <f>IF(AND($AM1707&lt;&gt;"",$AS1707="✓"),SUMPRODUCT(($AM$11:$AM1707&lt;&gt;"")*($AS$11:$AS1707="✓")),"")</f>
        <v/>
      </c>
      <c r="BA1707" s="21" t="str">
        <f>IF($AL1707="","",$AL1707&amp;"|"&amp;COUNTIF($AL$11:$AL1707,$AL1707))</f>
        <v/>
      </c>
    </row>
    <row r="1708" spans="38:53" ht="15" customHeight="1" x14ac:dyDescent="0.25">
      <c r="AL1708" s="31"/>
      <c r="AM1708" s="26"/>
      <c r="AN1708" s="32"/>
      <c r="AO1708" s="32"/>
      <c r="AP1708" s="24"/>
      <c r="AQ1708" s="24"/>
      <c r="AR1708" s="33"/>
      <c r="AS1708" s="34"/>
      <c r="AT1708" s="33"/>
      <c r="AV1708" s="21">
        <f>IF(AND($AL1708&lt;&gt;"",COUNTIF($AL$11:$AL1708,$AL1708)=1),1,0)</f>
        <v>0</v>
      </c>
      <c r="AW1708" s="21">
        <f t="shared" si="139"/>
        <v>0</v>
      </c>
      <c r="AX1708" s="21" t="str">
        <f t="shared" si="138"/>
        <v/>
      </c>
      <c r="AY1708" s="21" t="str">
        <f>IF(AND($AM1708&lt;&gt;"",$AS1708&lt;&gt;"✓"),SUMPRODUCT(($AM$11:$AM1708&lt;&gt;"")*($AS$11:$AS1708&lt;&gt;"✓")),"")</f>
        <v/>
      </c>
      <c r="AZ1708" s="21" t="str">
        <f>IF(AND($AM1708&lt;&gt;"",$AS1708="✓"),SUMPRODUCT(($AM$11:$AM1708&lt;&gt;"")*($AS$11:$AS1708="✓")),"")</f>
        <v/>
      </c>
      <c r="BA1708" s="21" t="str">
        <f>IF($AL1708="","",$AL1708&amp;"|"&amp;COUNTIF($AL$11:$AL1708,$AL1708))</f>
        <v/>
      </c>
    </row>
    <row r="1709" spans="38:53" ht="15" customHeight="1" x14ac:dyDescent="0.25">
      <c r="AL1709" s="17"/>
      <c r="AM1709" s="12"/>
      <c r="AN1709" s="18"/>
      <c r="AO1709" s="18"/>
      <c r="AP1709" s="10"/>
      <c r="AQ1709" s="10"/>
      <c r="AR1709" s="19"/>
      <c r="AS1709" s="20"/>
      <c r="AT1709" s="19"/>
      <c r="AV1709" s="21">
        <f>IF(AND($AL1709&lt;&gt;"",COUNTIF($AL$11:$AL1709,$AL1709)=1),1,0)</f>
        <v>0</v>
      </c>
      <c r="AW1709" s="21">
        <f t="shared" si="139"/>
        <v>0</v>
      </c>
      <c r="AX1709" s="21" t="str">
        <f t="shared" si="138"/>
        <v/>
      </c>
      <c r="AY1709" s="21" t="str">
        <f>IF(AND($AM1709&lt;&gt;"",$AS1709&lt;&gt;"✓"),SUMPRODUCT(($AM$11:$AM1709&lt;&gt;"")*($AS$11:$AS1709&lt;&gt;"✓")),"")</f>
        <v/>
      </c>
      <c r="AZ1709" s="21" t="str">
        <f>IF(AND($AM1709&lt;&gt;"",$AS1709="✓"),SUMPRODUCT(($AM$11:$AM1709&lt;&gt;"")*($AS$11:$AS1709="✓")),"")</f>
        <v/>
      </c>
      <c r="BA1709" s="21" t="str">
        <f>IF($AL1709="","",$AL1709&amp;"|"&amp;COUNTIF($AL$11:$AL1709,$AL1709))</f>
        <v/>
      </c>
    </row>
    <row r="1710" spans="38:53" ht="15" customHeight="1" x14ac:dyDescent="0.25">
      <c r="AL1710" s="31"/>
      <c r="AM1710" s="26"/>
      <c r="AN1710" s="32"/>
      <c r="AO1710" s="32"/>
      <c r="AP1710" s="24"/>
      <c r="AQ1710" s="24"/>
      <c r="AR1710" s="33"/>
      <c r="AS1710" s="34"/>
      <c r="AT1710" s="33"/>
      <c r="AV1710" s="21">
        <f>IF(AND($AL1710&lt;&gt;"",COUNTIF($AL$11:$AL1710,$AL1710)=1),1,0)</f>
        <v>0</v>
      </c>
      <c r="AW1710" s="21">
        <f t="shared" si="139"/>
        <v>0</v>
      </c>
      <c r="AX1710" s="21" t="str">
        <f t="shared" si="138"/>
        <v/>
      </c>
      <c r="AY1710" s="21" t="str">
        <f>IF(AND($AM1710&lt;&gt;"",$AS1710&lt;&gt;"✓"),SUMPRODUCT(($AM$11:$AM1710&lt;&gt;"")*($AS$11:$AS1710&lt;&gt;"✓")),"")</f>
        <v/>
      </c>
      <c r="AZ1710" s="21" t="str">
        <f>IF(AND($AM1710&lt;&gt;"",$AS1710="✓"),SUMPRODUCT(($AM$11:$AM1710&lt;&gt;"")*($AS$11:$AS1710="✓")),"")</f>
        <v/>
      </c>
      <c r="BA1710" s="21" t="str">
        <f>IF($AL1710="","",$AL1710&amp;"|"&amp;COUNTIF($AL$11:$AL1710,$AL1710))</f>
        <v/>
      </c>
    </row>
    <row r="1711" spans="38:53" ht="15" customHeight="1" x14ac:dyDescent="0.25">
      <c r="AL1711" s="17"/>
      <c r="AM1711" s="12"/>
      <c r="AN1711" s="18"/>
      <c r="AO1711" s="18"/>
      <c r="AP1711" s="10"/>
      <c r="AQ1711" s="10"/>
      <c r="AR1711" s="19"/>
      <c r="AS1711" s="20"/>
      <c r="AT1711" s="19"/>
      <c r="AV1711" s="21">
        <f>IF(AND($AL1711&lt;&gt;"",COUNTIF($AL$11:$AL1711,$AL1711)=1),1,0)</f>
        <v>0</v>
      </c>
      <c r="AW1711" s="21">
        <f t="shared" si="139"/>
        <v>0</v>
      </c>
      <c r="AX1711" s="21" t="str">
        <f t="shared" si="138"/>
        <v/>
      </c>
      <c r="AY1711" s="21" t="str">
        <f>IF(AND($AM1711&lt;&gt;"",$AS1711&lt;&gt;"✓"),SUMPRODUCT(($AM$11:$AM1711&lt;&gt;"")*($AS$11:$AS1711&lt;&gt;"✓")),"")</f>
        <v/>
      </c>
      <c r="AZ1711" s="21" t="str">
        <f>IF(AND($AM1711&lt;&gt;"",$AS1711="✓"),SUMPRODUCT(($AM$11:$AM1711&lt;&gt;"")*($AS$11:$AS1711="✓")),"")</f>
        <v/>
      </c>
      <c r="BA1711" s="21" t="str">
        <f>IF($AL1711="","",$AL1711&amp;"|"&amp;COUNTIF($AL$11:$AL1711,$AL1711))</f>
        <v/>
      </c>
    </row>
    <row r="1712" spans="38:53" ht="15" customHeight="1" x14ac:dyDescent="0.25">
      <c r="AL1712" s="31"/>
      <c r="AM1712" s="26"/>
      <c r="AN1712" s="32"/>
      <c r="AO1712" s="32"/>
      <c r="AP1712" s="24"/>
      <c r="AQ1712" s="24"/>
      <c r="AR1712" s="33"/>
      <c r="AS1712" s="34"/>
      <c r="AT1712" s="33"/>
      <c r="AV1712" s="21">
        <f>IF(AND($AL1712&lt;&gt;"",COUNTIF($AL$11:$AL1712,$AL1712)=1),1,0)</f>
        <v>0</v>
      </c>
      <c r="AW1712" s="21">
        <f t="shared" si="139"/>
        <v>0</v>
      </c>
      <c r="AX1712" s="21" t="str">
        <f t="shared" si="138"/>
        <v/>
      </c>
      <c r="AY1712" s="21" t="str">
        <f>IF(AND($AM1712&lt;&gt;"",$AS1712&lt;&gt;"✓"),SUMPRODUCT(($AM$11:$AM1712&lt;&gt;"")*($AS$11:$AS1712&lt;&gt;"✓")),"")</f>
        <v/>
      </c>
      <c r="AZ1712" s="21" t="str">
        <f>IF(AND($AM1712&lt;&gt;"",$AS1712="✓"),SUMPRODUCT(($AM$11:$AM1712&lt;&gt;"")*($AS$11:$AS1712="✓")),"")</f>
        <v/>
      </c>
      <c r="BA1712" s="21" t="str">
        <f>IF($AL1712="","",$AL1712&amp;"|"&amp;COUNTIF($AL$11:$AL1712,$AL1712))</f>
        <v/>
      </c>
    </row>
    <row r="1713" spans="38:53" ht="15" customHeight="1" x14ac:dyDescent="0.25">
      <c r="AL1713" s="17"/>
      <c r="AM1713" s="12"/>
      <c r="AN1713" s="18"/>
      <c r="AO1713" s="18"/>
      <c r="AP1713" s="10"/>
      <c r="AQ1713" s="10"/>
      <c r="AR1713" s="19"/>
      <c r="AS1713" s="20"/>
      <c r="AT1713" s="19"/>
      <c r="AV1713" s="21">
        <f>IF(AND($AL1713&lt;&gt;"",COUNTIF($AL$11:$AL1713,$AL1713)=1),1,0)</f>
        <v>0</v>
      </c>
      <c r="AW1713" s="21">
        <f t="shared" si="139"/>
        <v>0</v>
      </c>
      <c r="AX1713" s="21" t="str">
        <f t="shared" si="138"/>
        <v/>
      </c>
      <c r="AY1713" s="21" t="str">
        <f>IF(AND($AM1713&lt;&gt;"",$AS1713&lt;&gt;"✓"),SUMPRODUCT(($AM$11:$AM1713&lt;&gt;"")*($AS$11:$AS1713&lt;&gt;"✓")),"")</f>
        <v/>
      </c>
      <c r="AZ1713" s="21" t="str">
        <f>IF(AND($AM1713&lt;&gt;"",$AS1713="✓"),SUMPRODUCT(($AM$11:$AM1713&lt;&gt;"")*($AS$11:$AS1713="✓")),"")</f>
        <v/>
      </c>
      <c r="BA1713" s="21" t="str">
        <f>IF($AL1713="","",$AL1713&amp;"|"&amp;COUNTIF($AL$11:$AL1713,$AL1713))</f>
        <v/>
      </c>
    </row>
    <row r="1714" spans="38:53" ht="15" customHeight="1" x14ac:dyDescent="0.25">
      <c r="AL1714" s="31"/>
      <c r="AM1714" s="26"/>
      <c r="AN1714" s="32"/>
      <c r="AO1714" s="32"/>
      <c r="AP1714" s="24"/>
      <c r="AQ1714" s="24"/>
      <c r="AR1714" s="33"/>
      <c r="AS1714" s="34"/>
      <c r="AT1714" s="33"/>
      <c r="AV1714" s="21">
        <f>IF(AND($AL1714&lt;&gt;"",COUNTIF($AL$11:$AL1714,$AL1714)=1),1,0)</f>
        <v>0</v>
      </c>
      <c r="AW1714" s="21">
        <f t="shared" si="139"/>
        <v>0</v>
      </c>
      <c r="AX1714" s="21" t="str">
        <f t="shared" si="138"/>
        <v/>
      </c>
      <c r="AY1714" s="21" t="str">
        <f>IF(AND($AM1714&lt;&gt;"",$AS1714&lt;&gt;"✓"),SUMPRODUCT(($AM$11:$AM1714&lt;&gt;"")*($AS$11:$AS1714&lt;&gt;"✓")),"")</f>
        <v/>
      </c>
      <c r="AZ1714" s="21" t="str">
        <f>IF(AND($AM1714&lt;&gt;"",$AS1714="✓"),SUMPRODUCT(($AM$11:$AM1714&lt;&gt;"")*($AS$11:$AS1714="✓")),"")</f>
        <v/>
      </c>
      <c r="BA1714" s="21" t="str">
        <f>IF($AL1714="","",$AL1714&amp;"|"&amp;COUNTIF($AL$11:$AL1714,$AL1714))</f>
        <v/>
      </c>
    </row>
    <row r="1715" spans="38:53" ht="15" customHeight="1" x14ac:dyDescent="0.25">
      <c r="AL1715" s="17"/>
      <c r="AM1715" s="12"/>
      <c r="AN1715" s="18"/>
      <c r="AO1715" s="18"/>
      <c r="AP1715" s="10"/>
      <c r="AQ1715" s="10"/>
      <c r="AR1715" s="19"/>
      <c r="AS1715" s="20"/>
      <c r="AT1715" s="19"/>
      <c r="AV1715" s="21">
        <f>IF(AND($AL1715&lt;&gt;"",COUNTIF($AL$11:$AL1715,$AL1715)=1),1,0)</f>
        <v>0</v>
      </c>
      <c r="AW1715" s="21">
        <f t="shared" si="139"/>
        <v>0</v>
      </c>
      <c r="AX1715" s="21" t="str">
        <f t="shared" si="138"/>
        <v/>
      </c>
      <c r="AY1715" s="21" t="str">
        <f>IF(AND($AM1715&lt;&gt;"",$AS1715&lt;&gt;"✓"),SUMPRODUCT(($AM$11:$AM1715&lt;&gt;"")*($AS$11:$AS1715&lt;&gt;"✓")),"")</f>
        <v/>
      </c>
      <c r="AZ1715" s="21" t="str">
        <f>IF(AND($AM1715&lt;&gt;"",$AS1715="✓"),SUMPRODUCT(($AM$11:$AM1715&lt;&gt;"")*($AS$11:$AS1715="✓")),"")</f>
        <v/>
      </c>
      <c r="BA1715" s="21" t="str">
        <f>IF($AL1715="","",$AL1715&amp;"|"&amp;COUNTIF($AL$11:$AL1715,$AL1715))</f>
        <v/>
      </c>
    </row>
    <row r="1716" spans="38:53" ht="15" customHeight="1" x14ac:dyDescent="0.25">
      <c r="AL1716" s="31"/>
      <c r="AM1716" s="26"/>
      <c r="AN1716" s="32"/>
      <c r="AO1716" s="32"/>
      <c r="AP1716" s="24"/>
      <c r="AQ1716" s="24"/>
      <c r="AR1716" s="33"/>
      <c r="AS1716" s="34"/>
      <c r="AT1716" s="33"/>
      <c r="AV1716" s="21">
        <f>IF(AND($AL1716&lt;&gt;"",COUNTIF($AL$11:$AL1716,$AL1716)=1),1,0)</f>
        <v>0</v>
      </c>
      <c r="AW1716" s="21">
        <f t="shared" si="139"/>
        <v>0</v>
      </c>
      <c r="AX1716" s="21" t="str">
        <f t="shared" si="138"/>
        <v/>
      </c>
      <c r="AY1716" s="21" t="str">
        <f>IF(AND($AM1716&lt;&gt;"",$AS1716&lt;&gt;"✓"),SUMPRODUCT(($AM$11:$AM1716&lt;&gt;"")*($AS$11:$AS1716&lt;&gt;"✓")),"")</f>
        <v/>
      </c>
      <c r="AZ1716" s="21" t="str">
        <f>IF(AND($AM1716&lt;&gt;"",$AS1716="✓"),SUMPRODUCT(($AM$11:$AM1716&lt;&gt;"")*($AS$11:$AS1716="✓")),"")</f>
        <v/>
      </c>
      <c r="BA1716" s="21" t="str">
        <f>IF($AL1716="","",$AL1716&amp;"|"&amp;COUNTIF($AL$11:$AL1716,$AL1716))</f>
        <v/>
      </c>
    </row>
    <row r="1717" spans="38:53" ht="15" customHeight="1" x14ac:dyDescent="0.25">
      <c r="AL1717" s="17"/>
      <c r="AM1717" s="12"/>
      <c r="AN1717" s="18"/>
      <c r="AO1717" s="18"/>
      <c r="AP1717" s="10"/>
      <c r="AQ1717" s="10"/>
      <c r="AR1717" s="19"/>
      <c r="AS1717" s="20"/>
      <c r="AT1717" s="19"/>
      <c r="AV1717" s="21">
        <f>IF(AND($AL1717&lt;&gt;"",COUNTIF($AL$11:$AL1717,$AL1717)=1),1,0)</f>
        <v>0</v>
      </c>
      <c r="AW1717" s="21">
        <f t="shared" si="139"/>
        <v>0</v>
      </c>
      <c r="AX1717" s="21" t="str">
        <f t="shared" si="138"/>
        <v/>
      </c>
      <c r="AY1717" s="21" t="str">
        <f>IF(AND($AM1717&lt;&gt;"",$AS1717&lt;&gt;"✓"),SUMPRODUCT(($AM$11:$AM1717&lt;&gt;"")*($AS$11:$AS1717&lt;&gt;"✓")),"")</f>
        <v/>
      </c>
      <c r="AZ1717" s="21" t="str">
        <f>IF(AND($AM1717&lt;&gt;"",$AS1717="✓"),SUMPRODUCT(($AM$11:$AM1717&lt;&gt;"")*($AS$11:$AS1717="✓")),"")</f>
        <v/>
      </c>
      <c r="BA1717" s="21" t="str">
        <f>IF($AL1717="","",$AL1717&amp;"|"&amp;COUNTIF($AL$11:$AL1717,$AL1717))</f>
        <v/>
      </c>
    </row>
    <row r="1718" spans="38:53" ht="15" customHeight="1" x14ac:dyDescent="0.25">
      <c r="AL1718" s="31"/>
      <c r="AM1718" s="26"/>
      <c r="AN1718" s="32"/>
      <c r="AO1718" s="32"/>
      <c r="AP1718" s="24"/>
      <c r="AQ1718" s="24"/>
      <c r="AR1718" s="33"/>
      <c r="AS1718" s="34"/>
      <c r="AT1718" s="33"/>
      <c r="AV1718" s="21">
        <f>IF(AND($AL1718&lt;&gt;"",COUNTIF($AL$11:$AL1718,$AL1718)=1),1,0)</f>
        <v>0</v>
      </c>
      <c r="AW1718" s="21">
        <f t="shared" si="139"/>
        <v>0</v>
      </c>
      <c r="AX1718" s="21" t="str">
        <f t="shared" si="138"/>
        <v/>
      </c>
      <c r="AY1718" s="21" t="str">
        <f>IF(AND($AM1718&lt;&gt;"",$AS1718&lt;&gt;"✓"),SUMPRODUCT(($AM$11:$AM1718&lt;&gt;"")*($AS$11:$AS1718&lt;&gt;"✓")),"")</f>
        <v/>
      </c>
      <c r="AZ1718" s="21" t="str">
        <f>IF(AND($AM1718&lt;&gt;"",$AS1718="✓"),SUMPRODUCT(($AM$11:$AM1718&lt;&gt;"")*($AS$11:$AS1718="✓")),"")</f>
        <v/>
      </c>
      <c r="BA1718" s="21" t="str">
        <f>IF($AL1718="","",$AL1718&amp;"|"&amp;COUNTIF($AL$11:$AL1718,$AL1718))</f>
        <v/>
      </c>
    </row>
    <row r="1719" spans="38:53" ht="15" customHeight="1" x14ac:dyDescent="0.25">
      <c r="AL1719" s="17"/>
      <c r="AM1719" s="12"/>
      <c r="AN1719" s="18"/>
      <c r="AO1719" s="18"/>
      <c r="AP1719" s="10"/>
      <c r="AQ1719" s="10"/>
      <c r="AR1719" s="19"/>
      <c r="AS1719" s="20"/>
      <c r="AT1719" s="19"/>
      <c r="AV1719" s="21">
        <f>IF(AND($AL1719&lt;&gt;"",COUNTIF($AL$11:$AL1719,$AL1719)=1),1,0)</f>
        <v>0</v>
      </c>
      <c r="AW1719" s="21">
        <f t="shared" si="139"/>
        <v>0</v>
      </c>
      <c r="AX1719" s="21" t="str">
        <f t="shared" si="138"/>
        <v/>
      </c>
      <c r="AY1719" s="21" t="str">
        <f>IF(AND($AM1719&lt;&gt;"",$AS1719&lt;&gt;"✓"),SUMPRODUCT(($AM$11:$AM1719&lt;&gt;"")*($AS$11:$AS1719&lt;&gt;"✓")),"")</f>
        <v/>
      </c>
      <c r="AZ1719" s="21" t="str">
        <f>IF(AND($AM1719&lt;&gt;"",$AS1719="✓"),SUMPRODUCT(($AM$11:$AM1719&lt;&gt;"")*($AS$11:$AS1719="✓")),"")</f>
        <v/>
      </c>
      <c r="BA1719" s="21" t="str">
        <f>IF($AL1719="","",$AL1719&amp;"|"&amp;COUNTIF($AL$11:$AL1719,$AL1719))</f>
        <v/>
      </c>
    </row>
    <row r="1720" spans="38:53" ht="15" customHeight="1" x14ac:dyDescent="0.25">
      <c r="AL1720" s="31"/>
      <c r="AM1720" s="26"/>
      <c r="AN1720" s="32"/>
      <c r="AO1720" s="32"/>
      <c r="AP1720" s="24"/>
      <c r="AQ1720" s="24"/>
      <c r="AR1720" s="33"/>
      <c r="AS1720" s="34"/>
      <c r="AT1720" s="33"/>
      <c r="AV1720" s="21">
        <f>IF(AND($AL1720&lt;&gt;"",COUNTIF($AL$11:$AL1720,$AL1720)=1),1,0)</f>
        <v>0</v>
      </c>
      <c r="AW1720" s="21">
        <f t="shared" si="139"/>
        <v>0</v>
      </c>
      <c r="AX1720" s="21" t="str">
        <f t="shared" si="138"/>
        <v/>
      </c>
      <c r="AY1720" s="21" t="str">
        <f>IF(AND($AM1720&lt;&gt;"",$AS1720&lt;&gt;"✓"),SUMPRODUCT(($AM$11:$AM1720&lt;&gt;"")*($AS$11:$AS1720&lt;&gt;"✓")),"")</f>
        <v/>
      </c>
      <c r="AZ1720" s="21" t="str">
        <f>IF(AND($AM1720&lt;&gt;"",$AS1720="✓"),SUMPRODUCT(($AM$11:$AM1720&lt;&gt;"")*($AS$11:$AS1720="✓")),"")</f>
        <v/>
      </c>
      <c r="BA1720" s="21" t="str">
        <f>IF($AL1720="","",$AL1720&amp;"|"&amp;COUNTIF($AL$11:$AL1720,$AL1720))</f>
        <v/>
      </c>
    </row>
    <row r="1721" spans="38:53" ht="15" customHeight="1" x14ac:dyDescent="0.25">
      <c r="AL1721" s="17"/>
      <c r="AM1721" s="12"/>
      <c r="AN1721" s="18"/>
      <c r="AO1721" s="18"/>
      <c r="AP1721" s="10"/>
      <c r="AQ1721" s="10"/>
      <c r="AR1721" s="19"/>
      <c r="AS1721" s="20"/>
      <c r="AT1721" s="19"/>
      <c r="AV1721" s="21">
        <f>IF(AND($AL1721&lt;&gt;"",COUNTIF($AL$11:$AL1721,$AL1721)=1),1,0)</f>
        <v>0</v>
      </c>
      <c r="AW1721" s="21">
        <f t="shared" si="139"/>
        <v>0</v>
      </c>
      <c r="AX1721" s="21" t="str">
        <f t="shared" si="138"/>
        <v/>
      </c>
      <c r="AY1721" s="21" t="str">
        <f>IF(AND($AM1721&lt;&gt;"",$AS1721&lt;&gt;"✓"),SUMPRODUCT(($AM$11:$AM1721&lt;&gt;"")*($AS$11:$AS1721&lt;&gt;"✓")),"")</f>
        <v/>
      </c>
      <c r="AZ1721" s="21" t="str">
        <f>IF(AND($AM1721&lt;&gt;"",$AS1721="✓"),SUMPRODUCT(($AM$11:$AM1721&lt;&gt;"")*($AS$11:$AS1721="✓")),"")</f>
        <v/>
      </c>
      <c r="BA1721" s="21" t="str">
        <f>IF($AL1721="","",$AL1721&amp;"|"&amp;COUNTIF($AL$11:$AL1721,$AL1721))</f>
        <v/>
      </c>
    </row>
    <row r="1722" spans="38:53" ht="15" customHeight="1" x14ac:dyDescent="0.25">
      <c r="AL1722" s="31"/>
      <c r="AM1722" s="26"/>
      <c r="AN1722" s="32"/>
      <c r="AO1722" s="32"/>
      <c r="AP1722" s="24"/>
      <c r="AQ1722" s="24"/>
      <c r="AR1722" s="33"/>
      <c r="AS1722" s="34"/>
      <c r="AT1722" s="33"/>
      <c r="AV1722" s="21">
        <f>IF(AND($AL1722&lt;&gt;"",COUNTIF($AL$11:$AL1722,$AL1722)=1),1,0)</f>
        <v>0</v>
      </c>
      <c r="AW1722" s="21">
        <f t="shared" si="139"/>
        <v>0</v>
      </c>
      <c r="AX1722" s="21" t="str">
        <f t="shared" si="138"/>
        <v/>
      </c>
      <c r="AY1722" s="21" t="str">
        <f>IF(AND($AM1722&lt;&gt;"",$AS1722&lt;&gt;"✓"),SUMPRODUCT(($AM$11:$AM1722&lt;&gt;"")*($AS$11:$AS1722&lt;&gt;"✓")),"")</f>
        <v/>
      </c>
      <c r="AZ1722" s="21" t="str">
        <f>IF(AND($AM1722&lt;&gt;"",$AS1722="✓"),SUMPRODUCT(($AM$11:$AM1722&lt;&gt;"")*($AS$11:$AS1722="✓")),"")</f>
        <v/>
      </c>
      <c r="BA1722" s="21" t="str">
        <f>IF($AL1722="","",$AL1722&amp;"|"&amp;COUNTIF($AL$11:$AL1722,$AL1722))</f>
        <v/>
      </c>
    </row>
    <row r="1723" spans="38:53" ht="15" customHeight="1" x14ac:dyDescent="0.25">
      <c r="AL1723" s="17"/>
      <c r="AM1723" s="12"/>
      <c r="AN1723" s="18"/>
      <c r="AO1723" s="18"/>
      <c r="AP1723" s="10"/>
      <c r="AQ1723" s="10"/>
      <c r="AR1723" s="19"/>
      <c r="AS1723" s="20"/>
      <c r="AT1723" s="19"/>
      <c r="AV1723" s="21">
        <f>IF(AND($AL1723&lt;&gt;"",COUNTIF($AL$11:$AL1723,$AL1723)=1),1,0)</f>
        <v>0</v>
      </c>
      <c r="AW1723" s="21">
        <f t="shared" si="139"/>
        <v>0</v>
      </c>
      <c r="AX1723" s="21" t="str">
        <f t="shared" si="138"/>
        <v/>
      </c>
      <c r="AY1723" s="21" t="str">
        <f>IF(AND($AM1723&lt;&gt;"",$AS1723&lt;&gt;"✓"),SUMPRODUCT(($AM$11:$AM1723&lt;&gt;"")*($AS$11:$AS1723&lt;&gt;"✓")),"")</f>
        <v/>
      </c>
      <c r="AZ1723" s="21" t="str">
        <f>IF(AND($AM1723&lt;&gt;"",$AS1723="✓"),SUMPRODUCT(($AM$11:$AM1723&lt;&gt;"")*($AS$11:$AS1723="✓")),"")</f>
        <v/>
      </c>
      <c r="BA1723" s="21" t="str">
        <f>IF($AL1723="","",$AL1723&amp;"|"&amp;COUNTIF($AL$11:$AL1723,$AL1723))</f>
        <v/>
      </c>
    </row>
    <row r="1724" spans="38:53" ht="15" customHeight="1" x14ac:dyDescent="0.25">
      <c r="AL1724" s="31"/>
      <c r="AM1724" s="26"/>
      <c r="AN1724" s="32"/>
      <c r="AO1724" s="32"/>
      <c r="AP1724" s="24"/>
      <c r="AQ1724" s="24"/>
      <c r="AR1724" s="33"/>
      <c r="AS1724" s="34"/>
      <c r="AT1724" s="33"/>
      <c r="AV1724" s="21">
        <f>IF(AND($AL1724&lt;&gt;"",COUNTIF($AL$11:$AL1724,$AL1724)=1),1,0)</f>
        <v>0</v>
      </c>
      <c r="AW1724" s="21">
        <f t="shared" si="139"/>
        <v>0</v>
      </c>
      <c r="AX1724" s="21" t="str">
        <f t="shared" si="138"/>
        <v/>
      </c>
      <c r="AY1724" s="21" t="str">
        <f>IF(AND($AM1724&lt;&gt;"",$AS1724&lt;&gt;"✓"),SUMPRODUCT(($AM$11:$AM1724&lt;&gt;"")*($AS$11:$AS1724&lt;&gt;"✓")),"")</f>
        <v/>
      </c>
      <c r="AZ1724" s="21" t="str">
        <f>IF(AND($AM1724&lt;&gt;"",$AS1724="✓"),SUMPRODUCT(($AM$11:$AM1724&lt;&gt;"")*($AS$11:$AS1724="✓")),"")</f>
        <v/>
      </c>
      <c r="BA1724" s="21" t="str">
        <f>IF($AL1724="","",$AL1724&amp;"|"&amp;COUNTIF($AL$11:$AL1724,$AL1724))</f>
        <v/>
      </c>
    </row>
    <row r="1725" spans="38:53" ht="15" customHeight="1" x14ac:dyDescent="0.25">
      <c r="AL1725" s="17"/>
      <c r="AM1725" s="12"/>
      <c r="AN1725" s="18"/>
      <c r="AO1725" s="18"/>
      <c r="AP1725" s="10"/>
      <c r="AQ1725" s="10"/>
      <c r="AR1725" s="19"/>
      <c r="AS1725" s="20"/>
      <c r="AT1725" s="19"/>
      <c r="AV1725" s="21">
        <f>IF(AND($AL1725&lt;&gt;"",COUNTIF($AL$11:$AL1725,$AL1725)=1),1,0)</f>
        <v>0</v>
      </c>
      <c r="AW1725" s="21">
        <f t="shared" si="139"/>
        <v>0</v>
      </c>
      <c r="AX1725" s="21" t="str">
        <f t="shared" si="138"/>
        <v/>
      </c>
      <c r="AY1725" s="21" t="str">
        <f>IF(AND($AM1725&lt;&gt;"",$AS1725&lt;&gt;"✓"),SUMPRODUCT(($AM$11:$AM1725&lt;&gt;"")*($AS$11:$AS1725&lt;&gt;"✓")),"")</f>
        <v/>
      </c>
      <c r="AZ1725" s="21" t="str">
        <f>IF(AND($AM1725&lt;&gt;"",$AS1725="✓"),SUMPRODUCT(($AM$11:$AM1725&lt;&gt;"")*($AS$11:$AS1725="✓")),"")</f>
        <v/>
      </c>
      <c r="BA1725" s="21" t="str">
        <f>IF($AL1725="","",$AL1725&amp;"|"&amp;COUNTIF($AL$11:$AL1725,$AL1725))</f>
        <v/>
      </c>
    </row>
    <row r="1726" spans="38:53" ht="15" customHeight="1" x14ac:dyDescent="0.25">
      <c r="AL1726" s="31"/>
      <c r="AM1726" s="26"/>
      <c r="AN1726" s="32"/>
      <c r="AO1726" s="32"/>
      <c r="AP1726" s="24"/>
      <c r="AQ1726" s="24"/>
      <c r="AR1726" s="33"/>
      <c r="AS1726" s="34"/>
      <c r="AT1726" s="33"/>
      <c r="AV1726" s="21">
        <f>IF(AND($AL1726&lt;&gt;"",COUNTIF($AL$11:$AL1726,$AL1726)=1),1,0)</f>
        <v>0</v>
      </c>
      <c r="AW1726" s="21">
        <f t="shared" si="139"/>
        <v>0</v>
      </c>
      <c r="AX1726" s="21" t="str">
        <f t="shared" si="138"/>
        <v/>
      </c>
      <c r="AY1726" s="21" t="str">
        <f>IF(AND($AM1726&lt;&gt;"",$AS1726&lt;&gt;"✓"),SUMPRODUCT(($AM$11:$AM1726&lt;&gt;"")*($AS$11:$AS1726&lt;&gt;"✓")),"")</f>
        <v/>
      </c>
      <c r="AZ1726" s="21" t="str">
        <f>IF(AND($AM1726&lt;&gt;"",$AS1726="✓"),SUMPRODUCT(($AM$11:$AM1726&lt;&gt;"")*($AS$11:$AS1726="✓")),"")</f>
        <v/>
      </c>
      <c r="BA1726" s="21" t="str">
        <f>IF($AL1726="","",$AL1726&amp;"|"&amp;COUNTIF($AL$11:$AL1726,$AL1726))</f>
        <v/>
      </c>
    </row>
    <row r="1727" spans="38:53" ht="15" customHeight="1" x14ac:dyDescent="0.25">
      <c r="AL1727" s="17"/>
      <c r="AM1727" s="12"/>
      <c r="AN1727" s="18"/>
      <c r="AO1727" s="18"/>
      <c r="AP1727" s="10"/>
      <c r="AQ1727" s="10"/>
      <c r="AR1727" s="19"/>
      <c r="AS1727" s="20"/>
      <c r="AT1727" s="19"/>
      <c r="AV1727" s="21">
        <f>IF(AND($AL1727&lt;&gt;"",COUNTIF($AL$11:$AL1727,$AL1727)=1),1,0)</f>
        <v>0</v>
      </c>
      <c r="AW1727" s="21">
        <f t="shared" si="139"/>
        <v>0</v>
      </c>
      <c r="AX1727" s="21" t="str">
        <f t="shared" si="138"/>
        <v/>
      </c>
      <c r="AY1727" s="21" t="str">
        <f>IF(AND($AM1727&lt;&gt;"",$AS1727&lt;&gt;"✓"),SUMPRODUCT(($AM$11:$AM1727&lt;&gt;"")*($AS$11:$AS1727&lt;&gt;"✓")),"")</f>
        <v/>
      </c>
      <c r="AZ1727" s="21" t="str">
        <f>IF(AND($AM1727&lt;&gt;"",$AS1727="✓"),SUMPRODUCT(($AM$11:$AM1727&lt;&gt;"")*($AS$11:$AS1727="✓")),"")</f>
        <v/>
      </c>
      <c r="BA1727" s="21" t="str">
        <f>IF($AL1727="","",$AL1727&amp;"|"&amp;COUNTIF($AL$11:$AL1727,$AL1727))</f>
        <v/>
      </c>
    </row>
    <row r="1728" spans="38:53" ht="15" customHeight="1" x14ac:dyDescent="0.25">
      <c r="AL1728" s="31"/>
      <c r="AM1728" s="26"/>
      <c r="AN1728" s="32"/>
      <c r="AO1728" s="32"/>
      <c r="AP1728" s="24"/>
      <c r="AQ1728" s="24"/>
      <c r="AR1728" s="33"/>
      <c r="AS1728" s="34"/>
      <c r="AT1728" s="33"/>
      <c r="AV1728" s="21">
        <f>IF(AND($AL1728&lt;&gt;"",COUNTIF($AL$11:$AL1728,$AL1728)=1),1,0)</f>
        <v>0</v>
      </c>
      <c r="AW1728" s="21">
        <f t="shared" si="139"/>
        <v>0</v>
      </c>
      <c r="AX1728" s="21" t="str">
        <f t="shared" si="138"/>
        <v/>
      </c>
      <c r="AY1728" s="21" t="str">
        <f>IF(AND($AM1728&lt;&gt;"",$AS1728&lt;&gt;"✓"),SUMPRODUCT(($AM$11:$AM1728&lt;&gt;"")*($AS$11:$AS1728&lt;&gt;"✓")),"")</f>
        <v/>
      </c>
      <c r="AZ1728" s="21" t="str">
        <f>IF(AND($AM1728&lt;&gt;"",$AS1728="✓"),SUMPRODUCT(($AM$11:$AM1728&lt;&gt;"")*($AS$11:$AS1728="✓")),"")</f>
        <v/>
      </c>
      <c r="BA1728" s="21" t="str">
        <f>IF($AL1728="","",$AL1728&amp;"|"&amp;COUNTIF($AL$11:$AL1728,$AL1728))</f>
        <v/>
      </c>
    </row>
    <row r="1729" spans="38:53" ht="15" customHeight="1" x14ac:dyDescent="0.25">
      <c r="AL1729" s="17"/>
      <c r="AM1729" s="12"/>
      <c r="AN1729" s="18"/>
      <c r="AO1729" s="18"/>
      <c r="AP1729" s="10"/>
      <c r="AQ1729" s="10"/>
      <c r="AR1729" s="19"/>
      <c r="AS1729" s="20"/>
      <c r="AT1729" s="19"/>
      <c r="AV1729" s="21">
        <f>IF(AND($AL1729&lt;&gt;"",COUNTIF($AL$11:$AL1729,$AL1729)=1),1,0)</f>
        <v>0</v>
      </c>
      <c r="AW1729" s="21">
        <f t="shared" si="139"/>
        <v>0</v>
      </c>
      <c r="AX1729" s="21" t="str">
        <f t="shared" si="138"/>
        <v/>
      </c>
      <c r="AY1729" s="21" t="str">
        <f>IF(AND($AM1729&lt;&gt;"",$AS1729&lt;&gt;"✓"),SUMPRODUCT(($AM$11:$AM1729&lt;&gt;"")*($AS$11:$AS1729&lt;&gt;"✓")),"")</f>
        <v/>
      </c>
      <c r="AZ1729" s="21" t="str">
        <f>IF(AND($AM1729&lt;&gt;"",$AS1729="✓"),SUMPRODUCT(($AM$11:$AM1729&lt;&gt;"")*($AS$11:$AS1729="✓")),"")</f>
        <v/>
      </c>
      <c r="BA1729" s="21" t="str">
        <f>IF($AL1729="","",$AL1729&amp;"|"&amp;COUNTIF($AL$11:$AL1729,$AL1729))</f>
        <v/>
      </c>
    </row>
    <row r="1730" spans="38:53" ht="15" customHeight="1" x14ac:dyDescent="0.25">
      <c r="AL1730" s="31"/>
      <c r="AM1730" s="26"/>
      <c r="AN1730" s="32"/>
      <c r="AO1730" s="32"/>
      <c r="AP1730" s="24"/>
      <c r="AQ1730" s="24"/>
      <c r="AR1730" s="33"/>
      <c r="AS1730" s="34"/>
      <c r="AT1730" s="33"/>
      <c r="AV1730" s="21">
        <f>IF(AND($AL1730&lt;&gt;"",COUNTIF($AL$11:$AL1730,$AL1730)=1),1,0)</f>
        <v>0</v>
      </c>
      <c r="AW1730" s="21">
        <f t="shared" si="139"/>
        <v>0</v>
      </c>
      <c r="AX1730" s="21" t="str">
        <f t="shared" si="138"/>
        <v/>
      </c>
      <c r="AY1730" s="21" t="str">
        <f>IF(AND($AM1730&lt;&gt;"",$AS1730&lt;&gt;"✓"),SUMPRODUCT(($AM$11:$AM1730&lt;&gt;"")*($AS$11:$AS1730&lt;&gt;"✓")),"")</f>
        <v/>
      </c>
      <c r="AZ1730" s="21" t="str">
        <f>IF(AND($AM1730&lt;&gt;"",$AS1730="✓"),SUMPRODUCT(($AM$11:$AM1730&lt;&gt;"")*($AS$11:$AS1730="✓")),"")</f>
        <v/>
      </c>
      <c r="BA1730" s="21" t="str">
        <f>IF($AL1730="","",$AL1730&amp;"|"&amp;COUNTIF($AL$11:$AL1730,$AL1730))</f>
        <v/>
      </c>
    </row>
    <row r="1731" spans="38:53" ht="15" customHeight="1" x14ac:dyDescent="0.25">
      <c r="AL1731" s="17"/>
      <c r="AM1731" s="12"/>
      <c r="AN1731" s="18"/>
      <c r="AO1731" s="18"/>
      <c r="AP1731" s="10"/>
      <c r="AQ1731" s="10"/>
      <c r="AR1731" s="19"/>
      <c r="AS1731" s="20"/>
      <c r="AT1731" s="19"/>
      <c r="AV1731" s="21">
        <f>IF(AND($AL1731&lt;&gt;"",COUNTIF($AL$11:$AL1731,$AL1731)=1),1,0)</f>
        <v>0</v>
      </c>
      <c r="AW1731" s="21">
        <f t="shared" si="139"/>
        <v>0</v>
      </c>
      <c r="AX1731" s="21" t="str">
        <f t="shared" si="138"/>
        <v/>
      </c>
      <c r="AY1731" s="21" t="str">
        <f>IF(AND($AM1731&lt;&gt;"",$AS1731&lt;&gt;"✓"),SUMPRODUCT(($AM$11:$AM1731&lt;&gt;"")*($AS$11:$AS1731&lt;&gt;"✓")),"")</f>
        <v/>
      </c>
      <c r="AZ1731" s="21" t="str">
        <f>IF(AND($AM1731&lt;&gt;"",$AS1731="✓"),SUMPRODUCT(($AM$11:$AM1731&lt;&gt;"")*($AS$11:$AS1731="✓")),"")</f>
        <v/>
      </c>
      <c r="BA1731" s="21" t="str">
        <f>IF($AL1731="","",$AL1731&amp;"|"&amp;COUNTIF($AL$11:$AL1731,$AL1731))</f>
        <v/>
      </c>
    </row>
    <row r="1732" spans="38:53" ht="15" customHeight="1" x14ac:dyDescent="0.25">
      <c r="AL1732" s="31"/>
      <c r="AM1732" s="26"/>
      <c r="AN1732" s="32"/>
      <c r="AO1732" s="32"/>
      <c r="AP1732" s="24"/>
      <c r="AQ1732" s="24"/>
      <c r="AR1732" s="33"/>
      <c r="AS1732" s="34"/>
      <c r="AT1732" s="33"/>
      <c r="AV1732" s="21">
        <f>IF(AND($AL1732&lt;&gt;"",COUNTIF($AL$11:$AL1732,$AL1732)=1),1,0)</f>
        <v>0</v>
      </c>
      <c r="AW1732" s="21">
        <f t="shared" si="139"/>
        <v>0</v>
      </c>
      <c r="AX1732" s="21" t="str">
        <f t="shared" si="138"/>
        <v/>
      </c>
      <c r="AY1732" s="21" t="str">
        <f>IF(AND($AM1732&lt;&gt;"",$AS1732&lt;&gt;"✓"),SUMPRODUCT(($AM$11:$AM1732&lt;&gt;"")*($AS$11:$AS1732&lt;&gt;"✓")),"")</f>
        <v/>
      </c>
      <c r="AZ1732" s="21" t="str">
        <f>IF(AND($AM1732&lt;&gt;"",$AS1732="✓"),SUMPRODUCT(($AM$11:$AM1732&lt;&gt;"")*($AS$11:$AS1732="✓")),"")</f>
        <v/>
      </c>
      <c r="BA1732" s="21" t="str">
        <f>IF($AL1732="","",$AL1732&amp;"|"&amp;COUNTIF($AL$11:$AL1732,$AL1732))</f>
        <v/>
      </c>
    </row>
    <row r="1733" spans="38:53" ht="15" customHeight="1" x14ac:dyDescent="0.25">
      <c r="AL1733" s="17"/>
      <c r="AM1733" s="12"/>
      <c r="AN1733" s="18"/>
      <c r="AO1733" s="18"/>
      <c r="AP1733" s="10"/>
      <c r="AQ1733" s="10"/>
      <c r="AR1733" s="19"/>
      <c r="AS1733" s="20"/>
      <c r="AT1733" s="19"/>
      <c r="AV1733" s="21">
        <f>IF(AND($AL1733&lt;&gt;"",COUNTIF($AL$11:$AL1733,$AL1733)=1),1,0)</f>
        <v>0</v>
      </c>
      <c r="AW1733" s="21">
        <f t="shared" si="139"/>
        <v>0</v>
      </c>
      <c r="AX1733" s="21" t="str">
        <f t="shared" si="138"/>
        <v/>
      </c>
      <c r="AY1733" s="21" t="str">
        <f>IF(AND($AM1733&lt;&gt;"",$AS1733&lt;&gt;"✓"),SUMPRODUCT(($AM$11:$AM1733&lt;&gt;"")*($AS$11:$AS1733&lt;&gt;"✓")),"")</f>
        <v/>
      </c>
      <c r="AZ1733" s="21" t="str">
        <f>IF(AND($AM1733&lt;&gt;"",$AS1733="✓"),SUMPRODUCT(($AM$11:$AM1733&lt;&gt;"")*($AS$11:$AS1733="✓")),"")</f>
        <v/>
      </c>
      <c r="BA1733" s="21" t="str">
        <f>IF($AL1733="","",$AL1733&amp;"|"&amp;COUNTIF($AL$11:$AL1733,$AL1733))</f>
        <v/>
      </c>
    </row>
    <row r="1734" spans="38:53" ht="15" customHeight="1" x14ac:dyDescent="0.25">
      <c r="AL1734" s="31"/>
      <c r="AM1734" s="26"/>
      <c r="AN1734" s="32"/>
      <c r="AO1734" s="32"/>
      <c r="AP1734" s="24"/>
      <c r="AQ1734" s="24"/>
      <c r="AR1734" s="33"/>
      <c r="AS1734" s="34"/>
      <c r="AT1734" s="33"/>
      <c r="AV1734" s="21">
        <f>IF(AND($AL1734&lt;&gt;"",COUNTIF($AL$11:$AL1734,$AL1734)=1),1,0)</f>
        <v>0</v>
      </c>
      <c r="AW1734" s="21">
        <f t="shared" si="139"/>
        <v>0</v>
      </c>
      <c r="AX1734" s="21" t="str">
        <f t="shared" si="138"/>
        <v/>
      </c>
      <c r="AY1734" s="21" t="str">
        <f>IF(AND($AM1734&lt;&gt;"",$AS1734&lt;&gt;"✓"),SUMPRODUCT(($AM$11:$AM1734&lt;&gt;"")*($AS$11:$AS1734&lt;&gt;"✓")),"")</f>
        <v/>
      </c>
      <c r="AZ1734" s="21" t="str">
        <f>IF(AND($AM1734&lt;&gt;"",$AS1734="✓"),SUMPRODUCT(($AM$11:$AM1734&lt;&gt;"")*($AS$11:$AS1734="✓")),"")</f>
        <v/>
      </c>
      <c r="BA1734" s="21" t="str">
        <f>IF($AL1734="","",$AL1734&amp;"|"&amp;COUNTIF($AL$11:$AL1734,$AL1734))</f>
        <v/>
      </c>
    </row>
    <row r="1735" spans="38:53" ht="15" customHeight="1" x14ac:dyDescent="0.25">
      <c r="AL1735" s="17"/>
      <c r="AM1735" s="12"/>
      <c r="AN1735" s="18"/>
      <c r="AO1735" s="18"/>
      <c r="AP1735" s="10"/>
      <c r="AQ1735" s="10"/>
      <c r="AR1735" s="19"/>
      <c r="AS1735" s="20"/>
      <c r="AT1735" s="19"/>
      <c r="AV1735" s="21">
        <f>IF(AND($AL1735&lt;&gt;"",COUNTIF($AL$11:$AL1735,$AL1735)=1),1,0)</f>
        <v>0</v>
      </c>
      <c r="AW1735" s="21">
        <f t="shared" si="139"/>
        <v>0</v>
      </c>
      <c r="AX1735" s="21" t="str">
        <f t="shared" si="138"/>
        <v/>
      </c>
      <c r="AY1735" s="21" t="str">
        <f>IF(AND($AM1735&lt;&gt;"",$AS1735&lt;&gt;"✓"),SUMPRODUCT(($AM$11:$AM1735&lt;&gt;"")*($AS$11:$AS1735&lt;&gt;"✓")),"")</f>
        <v/>
      </c>
      <c r="AZ1735" s="21" t="str">
        <f>IF(AND($AM1735&lt;&gt;"",$AS1735="✓"),SUMPRODUCT(($AM$11:$AM1735&lt;&gt;"")*($AS$11:$AS1735="✓")),"")</f>
        <v/>
      </c>
      <c r="BA1735" s="21" t="str">
        <f>IF($AL1735="","",$AL1735&amp;"|"&amp;COUNTIF($AL$11:$AL1735,$AL1735))</f>
        <v/>
      </c>
    </row>
    <row r="1736" spans="38:53" ht="15" customHeight="1" x14ac:dyDescent="0.25">
      <c r="AL1736" s="31"/>
      <c r="AM1736" s="26"/>
      <c r="AN1736" s="32"/>
      <c r="AO1736" s="32"/>
      <c r="AP1736" s="24"/>
      <c r="AQ1736" s="24"/>
      <c r="AR1736" s="33"/>
      <c r="AS1736" s="34"/>
      <c r="AT1736" s="33"/>
      <c r="AV1736" s="21">
        <f>IF(AND($AL1736&lt;&gt;"",COUNTIF($AL$11:$AL1736,$AL1736)=1),1,0)</f>
        <v>0</v>
      </c>
      <c r="AW1736" s="21">
        <f t="shared" si="139"/>
        <v>0</v>
      </c>
      <c r="AX1736" s="21" t="str">
        <f t="shared" si="138"/>
        <v/>
      </c>
      <c r="AY1736" s="21" t="str">
        <f>IF(AND($AM1736&lt;&gt;"",$AS1736&lt;&gt;"✓"),SUMPRODUCT(($AM$11:$AM1736&lt;&gt;"")*($AS$11:$AS1736&lt;&gt;"✓")),"")</f>
        <v/>
      </c>
      <c r="AZ1736" s="21" t="str">
        <f>IF(AND($AM1736&lt;&gt;"",$AS1736="✓"),SUMPRODUCT(($AM$11:$AM1736&lt;&gt;"")*($AS$11:$AS1736="✓")),"")</f>
        <v/>
      </c>
      <c r="BA1736" s="21" t="str">
        <f>IF($AL1736="","",$AL1736&amp;"|"&amp;COUNTIF($AL$11:$AL1736,$AL1736))</f>
        <v/>
      </c>
    </row>
    <row r="1737" spans="38:53" ht="15" customHeight="1" x14ac:dyDescent="0.25">
      <c r="AL1737" s="17"/>
      <c r="AM1737" s="12"/>
      <c r="AN1737" s="18"/>
      <c r="AO1737" s="18"/>
      <c r="AP1737" s="10"/>
      <c r="AQ1737" s="10"/>
      <c r="AR1737" s="19"/>
      <c r="AS1737" s="20"/>
      <c r="AT1737" s="19"/>
      <c r="AV1737" s="21">
        <f>IF(AND($AL1737&lt;&gt;"",COUNTIF($AL$11:$AL1737,$AL1737)=1),1,0)</f>
        <v>0</v>
      </c>
      <c r="AW1737" s="21">
        <f t="shared" si="139"/>
        <v>0</v>
      </c>
      <c r="AX1737" s="21" t="str">
        <f t="shared" si="138"/>
        <v/>
      </c>
      <c r="AY1737" s="21" t="str">
        <f>IF(AND($AM1737&lt;&gt;"",$AS1737&lt;&gt;"✓"),SUMPRODUCT(($AM$11:$AM1737&lt;&gt;"")*($AS$11:$AS1737&lt;&gt;"✓")),"")</f>
        <v/>
      </c>
      <c r="AZ1737" s="21" t="str">
        <f>IF(AND($AM1737&lt;&gt;"",$AS1737="✓"),SUMPRODUCT(($AM$11:$AM1737&lt;&gt;"")*($AS$11:$AS1737="✓")),"")</f>
        <v/>
      </c>
      <c r="BA1737" s="21" t="str">
        <f>IF($AL1737="","",$AL1737&amp;"|"&amp;COUNTIF($AL$11:$AL1737,$AL1737))</f>
        <v/>
      </c>
    </row>
    <row r="1738" spans="38:53" ht="15" customHeight="1" x14ac:dyDescent="0.25">
      <c r="AL1738" s="31"/>
      <c r="AM1738" s="26"/>
      <c r="AN1738" s="32"/>
      <c r="AO1738" s="32"/>
      <c r="AP1738" s="24"/>
      <c r="AQ1738" s="24"/>
      <c r="AR1738" s="33"/>
      <c r="AS1738" s="34"/>
      <c r="AT1738" s="33"/>
      <c r="AV1738" s="21">
        <f>IF(AND($AL1738&lt;&gt;"",COUNTIF($AL$11:$AL1738,$AL1738)=1),1,0)</f>
        <v>0</v>
      </c>
      <c r="AW1738" s="21">
        <f t="shared" si="139"/>
        <v>0</v>
      </c>
      <c r="AX1738" s="21" t="str">
        <f t="shared" si="138"/>
        <v/>
      </c>
      <c r="AY1738" s="21" t="str">
        <f>IF(AND($AM1738&lt;&gt;"",$AS1738&lt;&gt;"✓"),SUMPRODUCT(($AM$11:$AM1738&lt;&gt;"")*($AS$11:$AS1738&lt;&gt;"✓")),"")</f>
        <v/>
      </c>
      <c r="AZ1738" s="21" t="str">
        <f>IF(AND($AM1738&lt;&gt;"",$AS1738="✓"),SUMPRODUCT(($AM$11:$AM1738&lt;&gt;"")*($AS$11:$AS1738="✓")),"")</f>
        <v/>
      </c>
      <c r="BA1738" s="21" t="str">
        <f>IF($AL1738="","",$AL1738&amp;"|"&amp;COUNTIF($AL$11:$AL1738,$AL1738))</f>
        <v/>
      </c>
    </row>
    <row r="1739" spans="38:53" ht="15" customHeight="1" x14ac:dyDescent="0.25">
      <c r="AL1739" s="17"/>
      <c r="AM1739" s="12"/>
      <c r="AN1739" s="18"/>
      <c r="AO1739" s="18"/>
      <c r="AP1739" s="10"/>
      <c r="AQ1739" s="10"/>
      <c r="AR1739" s="19"/>
      <c r="AS1739" s="20"/>
      <c r="AT1739" s="19"/>
      <c r="AV1739" s="21">
        <f>IF(AND($AL1739&lt;&gt;"",COUNTIF($AL$11:$AL1739,$AL1739)=1),1,0)</f>
        <v>0</v>
      </c>
      <c r="AW1739" s="21">
        <f t="shared" si="139"/>
        <v>0</v>
      </c>
      <c r="AX1739" s="21" t="str">
        <f t="shared" ref="AX1739:AX1802" si="140">IF(AV1739=1,AW1739,"")</f>
        <v/>
      </c>
      <c r="AY1739" s="21" t="str">
        <f>IF(AND($AM1739&lt;&gt;"",$AS1739&lt;&gt;"✓"),SUMPRODUCT(($AM$11:$AM1739&lt;&gt;"")*($AS$11:$AS1739&lt;&gt;"✓")),"")</f>
        <v/>
      </c>
      <c r="AZ1739" s="21" t="str">
        <f>IF(AND($AM1739&lt;&gt;"",$AS1739="✓"),SUMPRODUCT(($AM$11:$AM1739&lt;&gt;"")*($AS$11:$AS1739="✓")),"")</f>
        <v/>
      </c>
      <c r="BA1739" s="21" t="str">
        <f>IF($AL1739="","",$AL1739&amp;"|"&amp;COUNTIF($AL$11:$AL1739,$AL1739))</f>
        <v/>
      </c>
    </row>
    <row r="1740" spans="38:53" ht="15" customHeight="1" x14ac:dyDescent="0.25">
      <c r="AL1740" s="31"/>
      <c r="AM1740" s="26"/>
      <c r="AN1740" s="32"/>
      <c r="AO1740" s="32"/>
      <c r="AP1740" s="24"/>
      <c r="AQ1740" s="24"/>
      <c r="AR1740" s="33"/>
      <c r="AS1740" s="34"/>
      <c r="AT1740" s="33"/>
      <c r="AV1740" s="21">
        <f>IF(AND($AL1740&lt;&gt;"",COUNTIF($AL$11:$AL1740,$AL1740)=1),1,0)</f>
        <v>0</v>
      </c>
      <c r="AW1740" s="21">
        <f t="shared" ref="AW1740:AW1803" si="141">AW1739+AV1740</f>
        <v>0</v>
      </c>
      <c r="AX1740" s="21" t="str">
        <f t="shared" si="140"/>
        <v/>
      </c>
      <c r="AY1740" s="21" t="str">
        <f>IF(AND($AM1740&lt;&gt;"",$AS1740&lt;&gt;"✓"),SUMPRODUCT(($AM$11:$AM1740&lt;&gt;"")*($AS$11:$AS1740&lt;&gt;"✓")),"")</f>
        <v/>
      </c>
      <c r="AZ1740" s="21" t="str">
        <f>IF(AND($AM1740&lt;&gt;"",$AS1740="✓"),SUMPRODUCT(($AM$11:$AM1740&lt;&gt;"")*($AS$11:$AS1740="✓")),"")</f>
        <v/>
      </c>
      <c r="BA1740" s="21" t="str">
        <f>IF($AL1740="","",$AL1740&amp;"|"&amp;COUNTIF($AL$11:$AL1740,$AL1740))</f>
        <v/>
      </c>
    </row>
    <row r="1741" spans="38:53" ht="15" customHeight="1" x14ac:dyDescent="0.25">
      <c r="AL1741" s="17"/>
      <c r="AM1741" s="12"/>
      <c r="AN1741" s="18"/>
      <c r="AO1741" s="18"/>
      <c r="AP1741" s="10"/>
      <c r="AQ1741" s="10"/>
      <c r="AR1741" s="19"/>
      <c r="AS1741" s="20"/>
      <c r="AT1741" s="19"/>
      <c r="AV1741" s="21">
        <f>IF(AND($AL1741&lt;&gt;"",COUNTIF($AL$11:$AL1741,$AL1741)=1),1,0)</f>
        <v>0</v>
      </c>
      <c r="AW1741" s="21">
        <f t="shared" si="141"/>
        <v>0</v>
      </c>
      <c r="AX1741" s="21" t="str">
        <f t="shared" si="140"/>
        <v/>
      </c>
      <c r="AY1741" s="21" t="str">
        <f>IF(AND($AM1741&lt;&gt;"",$AS1741&lt;&gt;"✓"),SUMPRODUCT(($AM$11:$AM1741&lt;&gt;"")*($AS$11:$AS1741&lt;&gt;"✓")),"")</f>
        <v/>
      </c>
      <c r="AZ1741" s="21" t="str">
        <f>IF(AND($AM1741&lt;&gt;"",$AS1741="✓"),SUMPRODUCT(($AM$11:$AM1741&lt;&gt;"")*($AS$11:$AS1741="✓")),"")</f>
        <v/>
      </c>
      <c r="BA1741" s="21" t="str">
        <f>IF($AL1741="","",$AL1741&amp;"|"&amp;COUNTIF($AL$11:$AL1741,$AL1741))</f>
        <v/>
      </c>
    </row>
    <row r="1742" spans="38:53" ht="15" customHeight="1" x14ac:dyDescent="0.25">
      <c r="AL1742" s="31"/>
      <c r="AM1742" s="26"/>
      <c r="AN1742" s="32"/>
      <c r="AO1742" s="32"/>
      <c r="AP1742" s="24"/>
      <c r="AQ1742" s="24"/>
      <c r="AR1742" s="33"/>
      <c r="AS1742" s="34"/>
      <c r="AT1742" s="33"/>
      <c r="AV1742" s="21">
        <f>IF(AND($AL1742&lt;&gt;"",COUNTIF($AL$11:$AL1742,$AL1742)=1),1,0)</f>
        <v>0</v>
      </c>
      <c r="AW1742" s="21">
        <f t="shared" si="141"/>
        <v>0</v>
      </c>
      <c r="AX1742" s="21" t="str">
        <f t="shared" si="140"/>
        <v/>
      </c>
      <c r="AY1742" s="21" t="str">
        <f>IF(AND($AM1742&lt;&gt;"",$AS1742&lt;&gt;"✓"),SUMPRODUCT(($AM$11:$AM1742&lt;&gt;"")*($AS$11:$AS1742&lt;&gt;"✓")),"")</f>
        <v/>
      </c>
      <c r="AZ1742" s="21" t="str">
        <f>IF(AND($AM1742&lt;&gt;"",$AS1742="✓"),SUMPRODUCT(($AM$11:$AM1742&lt;&gt;"")*($AS$11:$AS1742="✓")),"")</f>
        <v/>
      </c>
      <c r="BA1742" s="21" t="str">
        <f>IF($AL1742="","",$AL1742&amp;"|"&amp;COUNTIF($AL$11:$AL1742,$AL1742))</f>
        <v/>
      </c>
    </row>
    <row r="1743" spans="38:53" ht="15" customHeight="1" x14ac:dyDescent="0.25">
      <c r="AL1743" s="17"/>
      <c r="AM1743" s="12"/>
      <c r="AN1743" s="18"/>
      <c r="AO1743" s="18"/>
      <c r="AP1743" s="10"/>
      <c r="AQ1743" s="10"/>
      <c r="AR1743" s="19"/>
      <c r="AS1743" s="20"/>
      <c r="AT1743" s="19"/>
      <c r="AV1743" s="21">
        <f>IF(AND($AL1743&lt;&gt;"",COUNTIF($AL$11:$AL1743,$AL1743)=1),1,0)</f>
        <v>0</v>
      </c>
      <c r="AW1743" s="21">
        <f t="shared" si="141"/>
        <v>0</v>
      </c>
      <c r="AX1743" s="21" t="str">
        <f t="shared" si="140"/>
        <v/>
      </c>
      <c r="AY1743" s="21" t="str">
        <f>IF(AND($AM1743&lt;&gt;"",$AS1743&lt;&gt;"✓"),SUMPRODUCT(($AM$11:$AM1743&lt;&gt;"")*($AS$11:$AS1743&lt;&gt;"✓")),"")</f>
        <v/>
      </c>
      <c r="AZ1743" s="21" t="str">
        <f>IF(AND($AM1743&lt;&gt;"",$AS1743="✓"),SUMPRODUCT(($AM$11:$AM1743&lt;&gt;"")*($AS$11:$AS1743="✓")),"")</f>
        <v/>
      </c>
      <c r="BA1743" s="21" t="str">
        <f>IF($AL1743="","",$AL1743&amp;"|"&amp;COUNTIF($AL$11:$AL1743,$AL1743))</f>
        <v/>
      </c>
    </row>
    <row r="1744" spans="38:53" ht="15" customHeight="1" x14ac:dyDescent="0.25">
      <c r="AL1744" s="31"/>
      <c r="AM1744" s="26"/>
      <c r="AN1744" s="32"/>
      <c r="AO1744" s="32"/>
      <c r="AP1744" s="24"/>
      <c r="AQ1744" s="24"/>
      <c r="AR1744" s="33"/>
      <c r="AS1744" s="34"/>
      <c r="AT1744" s="33"/>
      <c r="AV1744" s="21">
        <f>IF(AND($AL1744&lt;&gt;"",COUNTIF($AL$11:$AL1744,$AL1744)=1),1,0)</f>
        <v>0</v>
      </c>
      <c r="AW1744" s="21">
        <f t="shared" si="141"/>
        <v>0</v>
      </c>
      <c r="AX1744" s="21" t="str">
        <f t="shared" si="140"/>
        <v/>
      </c>
      <c r="AY1744" s="21" t="str">
        <f>IF(AND($AM1744&lt;&gt;"",$AS1744&lt;&gt;"✓"),SUMPRODUCT(($AM$11:$AM1744&lt;&gt;"")*($AS$11:$AS1744&lt;&gt;"✓")),"")</f>
        <v/>
      </c>
      <c r="AZ1744" s="21" t="str">
        <f>IF(AND($AM1744&lt;&gt;"",$AS1744="✓"),SUMPRODUCT(($AM$11:$AM1744&lt;&gt;"")*($AS$11:$AS1744="✓")),"")</f>
        <v/>
      </c>
      <c r="BA1744" s="21" t="str">
        <f>IF($AL1744="","",$AL1744&amp;"|"&amp;COUNTIF($AL$11:$AL1744,$AL1744))</f>
        <v/>
      </c>
    </row>
    <row r="1745" spans="38:53" ht="15" customHeight="1" x14ac:dyDescent="0.25">
      <c r="AL1745" s="17"/>
      <c r="AM1745" s="12"/>
      <c r="AN1745" s="18"/>
      <c r="AO1745" s="18"/>
      <c r="AP1745" s="10"/>
      <c r="AQ1745" s="10"/>
      <c r="AR1745" s="19"/>
      <c r="AS1745" s="20"/>
      <c r="AT1745" s="19"/>
      <c r="AV1745" s="21">
        <f>IF(AND($AL1745&lt;&gt;"",COUNTIF($AL$11:$AL1745,$AL1745)=1),1,0)</f>
        <v>0</v>
      </c>
      <c r="AW1745" s="21">
        <f t="shared" si="141"/>
        <v>0</v>
      </c>
      <c r="AX1745" s="21" t="str">
        <f t="shared" si="140"/>
        <v/>
      </c>
      <c r="AY1745" s="21" t="str">
        <f>IF(AND($AM1745&lt;&gt;"",$AS1745&lt;&gt;"✓"),SUMPRODUCT(($AM$11:$AM1745&lt;&gt;"")*($AS$11:$AS1745&lt;&gt;"✓")),"")</f>
        <v/>
      </c>
      <c r="AZ1745" s="21" t="str">
        <f>IF(AND($AM1745&lt;&gt;"",$AS1745="✓"),SUMPRODUCT(($AM$11:$AM1745&lt;&gt;"")*($AS$11:$AS1745="✓")),"")</f>
        <v/>
      </c>
      <c r="BA1745" s="21" t="str">
        <f>IF($AL1745="","",$AL1745&amp;"|"&amp;COUNTIF($AL$11:$AL1745,$AL1745))</f>
        <v/>
      </c>
    </row>
    <row r="1746" spans="38:53" ht="15" customHeight="1" x14ac:dyDescent="0.25">
      <c r="AL1746" s="31"/>
      <c r="AM1746" s="26"/>
      <c r="AN1746" s="32"/>
      <c r="AO1746" s="32"/>
      <c r="AP1746" s="24"/>
      <c r="AQ1746" s="24"/>
      <c r="AR1746" s="33"/>
      <c r="AS1746" s="34"/>
      <c r="AT1746" s="33"/>
      <c r="AV1746" s="21">
        <f>IF(AND($AL1746&lt;&gt;"",COUNTIF($AL$11:$AL1746,$AL1746)=1),1,0)</f>
        <v>0</v>
      </c>
      <c r="AW1746" s="21">
        <f t="shared" si="141"/>
        <v>0</v>
      </c>
      <c r="AX1746" s="21" t="str">
        <f t="shared" si="140"/>
        <v/>
      </c>
      <c r="AY1746" s="21" t="str">
        <f>IF(AND($AM1746&lt;&gt;"",$AS1746&lt;&gt;"✓"),SUMPRODUCT(($AM$11:$AM1746&lt;&gt;"")*($AS$11:$AS1746&lt;&gt;"✓")),"")</f>
        <v/>
      </c>
      <c r="AZ1746" s="21" t="str">
        <f>IF(AND($AM1746&lt;&gt;"",$AS1746="✓"),SUMPRODUCT(($AM$11:$AM1746&lt;&gt;"")*($AS$11:$AS1746="✓")),"")</f>
        <v/>
      </c>
      <c r="BA1746" s="21" t="str">
        <f>IF($AL1746="","",$AL1746&amp;"|"&amp;COUNTIF($AL$11:$AL1746,$AL1746))</f>
        <v/>
      </c>
    </row>
    <row r="1747" spans="38:53" ht="15" customHeight="1" x14ac:dyDescent="0.25">
      <c r="AL1747" s="17"/>
      <c r="AM1747" s="12"/>
      <c r="AN1747" s="18"/>
      <c r="AO1747" s="18"/>
      <c r="AP1747" s="10"/>
      <c r="AQ1747" s="10"/>
      <c r="AR1747" s="19"/>
      <c r="AS1747" s="20"/>
      <c r="AT1747" s="19"/>
      <c r="AV1747" s="21">
        <f>IF(AND($AL1747&lt;&gt;"",COUNTIF($AL$11:$AL1747,$AL1747)=1),1,0)</f>
        <v>0</v>
      </c>
      <c r="AW1747" s="21">
        <f t="shared" si="141"/>
        <v>0</v>
      </c>
      <c r="AX1747" s="21" t="str">
        <f t="shared" si="140"/>
        <v/>
      </c>
      <c r="AY1747" s="21" t="str">
        <f>IF(AND($AM1747&lt;&gt;"",$AS1747&lt;&gt;"✓"),SUMPRODUCT(($AM$11:$AM1747&lt;&gt;"")*($AS$11:$AS1747&lt;&gt;"✓")),"")</f>
        <v/>
      </c>
      <c r="AZ1747" s="21" t="str">
        <f>IF(AND($AM1747&lt;&gt;"",$AS1747="✓"),SUMPRODUCT(($AM$11:$AM1747&lt;&gt;"")*($AS$11:$AS1747="✓")),"")</f>
        <v/>
      </c>
      <c r="BA1747" s="21" t="str">
        <f>IF($AL1747="","",$AL1747&amp;"|"&amp;COUNTIF($AL$11:$AL1747,$AL1747))</f>
        <v/>
      </c>
    </row>
    <row r="1748" spans="38:53" ht="15" customHeight="1" x14ac:dyDescent="0.25">
      <c r="AL1748" s="31"/>
      <c r="AM1748" s="26"/>
      <c r="AN1748" s="32"/>
      <c r="AO1748" s="32"/>
      <c r="AP1748" s="24"/>
      <c r="AQ1748" s="24"/>
      <c r="AR1748" s="33"/>
      <c r="AS1748" s="34"/>
      <c r="AT1748" s="33"/>
      <c r="AV1748" s="21">
        <f>IF(AND($AL1748&lt;&gt;"",COUNTIF($AL$11:$AL1748,$AL1748)=1),1,0)</f>
        <v>0</v>
      </c>
      <c r="AW1748" s="21">
        <f t="shared" si="141"/>
        <v>0</v>
      </c>
      <c r="AX1748" s="21" t="str">
        <f t="shared" si="140"/>
        <v/>
      </c>
      <c r="AY1748" s="21" t="str">
        <f>IF(AND($AM1748&lt;&gt;"",$AS1748&lt;&gt;"✓"),SUMPRODUCT(($AM$11:$AM1748&lt;&gt;"")*($AS$11:$AS1748&lt;&gt;"✓")),"")</f>
        <v/>
      </c>
      <c r="AZ1748" s="21" t="str">
        <f>IF(AND($AM1748&lt;&gt;"",$AS1748="✓"),SUMPRODUCT(($AM$11:$AM1748&lt;&gt;"")*($AS$11:$AS1748="✓")),"")</f>
        <v/>
      </c>
      <c r="BA1748" s="21" t="str">
        <f>IF($AL1748="","",$AL1748&amp;"|"&amp;COUNTIF($AL$11:$AL1748,$AL1748))</f>
        <v/>
      </c>
    </row>
    <row r="1749" spans="38:53" ht="15" customHeight="1" x14ac:dyDescent="0.25">
      <c r="AL1749" s="17"/>
      <c r="AM1749" s="12"/>
      <c r="AN1749" s="18"/>
      <c r="AO1749" s="18"/>
      <c r="AP1749" s="10"/>
      <c r="AQ1749" s="10"/>
      <c r="AR1749" s="19"/>
      <c r="AS1749" s="20"/>
      <c r="AT1749" s="19"/>
      <c r="AV1749" s="21">
        <f>IF(AND($AL1749&lt;&gt;"",COUNTIF($AL$11:$AL1749,$AL1749)=1),1,0)</f>
        <v>0</v>
      </c>
      <c r="AW1749" s="21">
        <f t="shared" si="141"/>
        <v>0</v>
      </c>
      <c r="AX1749" s="21" t="str">
        <f t="shared" si="140"/>
        <v/>
      </c>
      <c r="AY1749" s="21" t="str">
        <f>IF(AND($AM1749&lt;&gt;"",$AS1749&lt;&gt;"✓"),SUMPRODUCT(($AM$11:$AM1749&lt;&gt;"")*($AS$11:$AS1749&lt;&gt;"✓")),"")</f>
        <v/>
      </c>
      <c r="AZ1749" s="21" t="str">
        <f>IF(AND($AM1749&lt;&gt;"",$AS1749="✓"),SUMPRODUCT(($AM$11:$AM1749&lt;&gt;"")*($AS$11:$AS1749="✓")),"")</f>
        <v/>
      </c>
      <c r="BA1749" s="21" t="str">
        <f>IF($AL1749="","",$AL1749&amp;"|"&amp;COUNTIF($AL$11:$AL1749,$AL1749))</f>
        <v/>
      </c>
    </row>
    <row r="1750" spans="38:53" ht="15" customHeight="1" x14ac:dyDescent="0.25">
      <c r="AL1750" s="31"/>
      <c r="AM1750" s="26"/>
      <c r="AN1750" s="32"/>
      <c r="AO1750" s="32"/>
      <c r="AP1750" s="24"/>
      <c r="AQ1750" s="24"/>
      <c r="AR1750" s="33"/>
      <c r="AS1750" s="34"/>
      <c r="AT1750" s="33"/>
      <c r="AV1750" s="21">
        <f>IF(AND($AL1750&lt;&gt;"",COUNTIF($AL$11:$AL1750,$AL1750)=1),1,0)</f>
        <v>0</v>
      </c>
      <c r="AW1750" s="21">
        <f t="shared" si="141"/>
        <v>0</v>
      </c>
      <c r="AX1750" s="21" t="str">
        <f t="shared" si="140"/>
        <v/>
      </c>
      <c r="AY1750" s="21" t="str">
        <f>IF(AND($AM1750&lt;&gt;"",$AS1750&lt;&gt;"✓"),SUMPRODUCT(($AM$11:$AM1750&lt;&gt;"")*($AS$11:$AS1750&lt;&gt;"✓")),"")</f>
        <v/>
      </c>
      <c r="AZ1750" s="21" t="str">
        <f>IF(AND($AM1750&lt;&gt;"",$AS1750="✓"),SUMPRODUCT(($AM$11:$AM1750&lt;&gt;"")*($AS$11:$AS1750="✓")),"")</f>
        <v/>
      </c>
      <c r="BA1750" s="21" t="str">
        <f>IF($AL1750="","",$AL1750&amp;"|"&amp;COUNTIF($AL$11:$AL1750,$AL1750))</f>
        <v/>
      </c>
    </row>
    <row r="1751" spans="38:53" ht="15" customHeight="1" x14ac:dyDescent="0.25">
      <c r="AL1751" s="17"/>
      <c r="AM1751" s="12"/>
      <c r="AN1751" s="18"/>
      <c r="AO1751" s="18"/>
      <c r="AP1751" s="10"/>
      <c r="AQ1751" s="10"/>
      <c r="AR1751" s="19"/>
      <c r="AS1751" s="20"/>
      <c r="AT1751" s="19"/>
      <c r="AV1751" s="21">
        <f>IF(AND($AL1751&lt;&gt;"",COUNTIF($AL$11:$AL1751,$AL1751)=1),1,0)</f>
        <v>0</v>
      </c>
      <c r="AW1751" s="21">
        <f t="shared" si="141"/>
        <v>0</v>
      </c>
      <c r="AX1751" s="21" t="str">
        <f t="shared" si="140"/>
        <v/>
      </c>
      <c r="AY1751" s="21" t="str">
        <f>IF(AND($AM1751&lt;&gt;"",$AS1751&lt;&gt;"✓"),SUMPRODUCT(($AM$11:$AM1751&lt;&gt;"")*($AS$11:$AS1751&lt;&gt;"✓")),"")</f>
        <v/>
      </c>
      <c r="AZ1751" s="21" t="str">
        <f>IF(AND($AM1751&lt;&gt;"",$AS1751="✓"),SUMPRODUCT(($AM$11:$AM1751&lt;&gt;"")*($AS$11:$AS1751="✓")),"")</f>
        <v/>
      </c>
      <c r="BA1751" s="21" t="str">
        <f>IF($AL1751="","",$AL1751&amp;"|"&amp;COUNTIF($AL$11:$AL1751,$AL1751))</f>
        <v/>
      </c>
    </row>
    <row r="1752" spans="38:53" ht="15" customHeight="1" x14ac:dyDescent="0.25">
      <c r="AL1752" s="31"/>
      <c r="AM1752" s="26"/>
      <c r="AN1752" s="32"/>
      <c r="AO1752" s="32"/>
      <c r="AP1752" s="24"/>
      <c r="AQ1752" s="24"/>
      <c r="AR1752" s="33"/>
      <c r="AS1752" s="34"/>
      <c r="AT1752" s="33"/>
      <c r="AV1752" s="21">
        <f>IF(AND($AL1752&lt;&gt;"",COUNTIF($AL$11:$AL1752,$AL1752)=1),1,0)</f>
        <v>0</v>
      </c>
      <c r="AW1752" s="21">
        <f t="shared" si="141"/>
        <v>0</v>
      </c>
      <c r="AX1752" s="21" t="str">
        <f t="shared" si="140"/>
        <v/>
      </c>
      <c r="AY1752" s="21" t="str">
        <f>IF(AND($AM1752&lt;&gt;"",$AS1752&lt;&gt;"✓"),SUMPRODUCT(($AM$11:$AM1752&lt;&gt;"")*($AS$11:$AS1752&lt;&gt;"✓")),"")</f>
        <v/>
      </c>
      <c r="AZ1752" s="21" t="str">
        <f>IF(AND($AM1752&lt;&gt;"",$AS1752="✓"),SUMPRODUCT(($AM$11:$AM1752&lt;&gt;"")*($AS$11:$AS1752="✓")),"")</f>
        <v/>
      </c>
      <c r="BA1752" s="21" t="str">
        <f>IF($AL1752="","",$AL1752&amp;"|"&amp;COUNTIF($AL$11:$AL1752,$AL1752))</f>
        <v/>
      </c>
    </row>
    <row r="1753" spans="38:53" ht="15" customHeight="1" x14ac:dyDescent="0.25">
      <c r="AL1753" s="17"/>
      <c r="AM1753" s="12"/>
      <c r="AN1753" s="18"/>
      <c r="AO1753" s="18"/>
      <c r="AP1753" s="10"/>
      <c r="AQ1753" s="10"/>
      <c r="AR1753" s="19"/>
      <c r="AS1753" s="20"/>
      <c r="AT1753" s="19"/>
      <c r="AV1753" s="21">
        <f>IF(AND($AL1753&lt;&gt;"",COUNTIF($AL$11:$AL1753,$AL1753)=1),1,0)</f>
        <v>0</v>
      </c>
      <c r="AW1753" s="21">
        <f t="shared" si="141"/>
        <v>0</v>
      </c>
      <c r="AX1753" s="21" t="str">
        <f t="shared" si="140"/>
        <v/>
      </c>
      <c r="AY1753" s="21" t="str">
        <f>IF(AND($AM1753&lt;&gt;"",$AS1753&lt;&gt;"✓"),SUMPRODUCT(($AM$11:$AM1753&lt;&gt;"")*($AS$11:$AS1753&lt;&gt;"✓")),"")</f>
        <v/>
      </c>
      <c r="AZ1753" s="21" t="str">
        <f>IF(AND($AM1753&lt;&gt;"",$AS1753="✓"),SUMPRODUCT(($AM$11:$AM1753&lt;&gt;"")*($AS$11:$AS1753="✓")),"")</f>
        <v/>
      </c>
      <c r="BA1753" s="21" t="str">
        <f>IF($AL1753="","",$AL1753&amp;"|"&amp;COUNTIF($AL$11:$AL1753,$AL1753))</f>
        <v/>
      </c>
    </row>
    <row r="1754" spans="38:53" ht="15" customHeight="1" x14ac:dyDescent="0.25">
      <c r="AL1754" s="31"/>
      <c r="AM1754" s="26"/>
      <c r="AN1754" s="32"/>
      <c r="AO1754" s="32"/>
      <c r="AP1754" s="24"/>
      <c r="AQ1754" s="24"/>
      <c r="AR1754" s="33"/>
      <c r="AS1754" s="34"/>
      <c r="AT1754" s="33"/>
      <c r="AV1754" s="21">
        <f>IF(AND($AL1754&lt;&gt;"",COUNTIF($AL$11:$AL1754,$AL1754)=1),1,0)</f>
        <v>0</v>
      </c>
      <c r="AW1754" s="21">
        <f t="shared" si="141"/>
        <v>0</v>
      </c>
      <c r="AX1754" s="21" t="str">
        <f t="shared" si="140"/>
        <v/>
      </c>
      <c r="AY1754" s="21" t="str">
        <f>IF(AND($AM1754&lt;&gt;"",$AS1754&lt;&gt;"✓"),SUMPRODUCT(($AM$11:$AM1754&lt;&gt;"")*($AS$11:$AS1754&lt;&gt;"✓")),"")</f>
        <v/>
      </c>
      <c r="AZ1754" s="21" t="str">
        <f>IF(AND($AM1754&lt;&gt;"",$AS1754="✓"),SUMPRODUCT(($AM$11:$AM1754&lt;&gt;"")*($AS$11:$AS1754="✓")),"")</f>
        <v/>
      </c>
      <c r="BA1754" s="21" t="str">
        <f>IF($AL1754="","",$AL1754&amp;"|"&amp;COUNTIF($AL$11:$AL1754,$AL1754))</f>
        <v/>
      </c>
    </row>
    <row r="1755" spans="38:53" ht="15" customHeight="1" x14ac:dyDescent="0.25">
      <c r="AL1755" s="17"/>
      <c r="AM1755" s="12"/>
      <c r="AN1755" s="18"/>
      <c r="AO1755" s="18"/>
      <c r="AP1755" s="10"/>
      <c r="AQ1755" s="10"/>
      <c r="AR1755" s="19"/>
      <c r="AS1755" s="20"/>
      <c r="AT1755" s="19"/>
      <c r="AV1755" s="21">
        <f>IF(AND($AL1755&lt;&gt;"",COUNTIF($AL$11:$AL1755,$AL1755)=1),1,0)</f>
        <v>0</v>
      </c>
      <c r="AW1755" s="21">
        <f t="shared" si="141"/>
        <v>0</v>
      </c>
      <c r="AX1755" s="21" t="str">
        <f t="shared" si="140"/>
        <v/>
      </c>
      <c r="AY1755" s="21" t="str">
        <f>IF(AND($AM1755&lt;&gt;"",$AS1755&lt;&gt;"✓"),SUMPRODUCT(($AM$11:$AM1755&lt;&gt;"")*($AS$11:$AS1755&lt;&gt;"✓")),"")</f>
        <v/>
      </c>
      <c r="AZ1755" s="21" t="str">
        <f>IF(AND($AM1755&lt;&gt;"",$AS1755="✓"),SUMPRODUCT(($AM$11:$AM1755&lt;&gt;"")*($AS$11:$AS1755="✓")),"")</f>
        <v/>
      </c>
      <c r="BA1755" s="21" t="str">
        <f>IF($AL1755="","",$AL1755&amp;"|"&amp;COUNTIF($AL$11:$AL1755,$AL1755))</f>
        <v/>
      </c>
    </row>
    <row r="1756" spans="38:53" ht="15" customHeight="1" x14ac:dyDescent="0.25">
      <c r="AL1756" s="31"/>
      <c r="AM1756" s="26"/>
      <c r="AN1756" s="32"/>
      <c r="AO1756" s="32"/>
      <c r="AP1756" s="24"/>
      <c r="AQ1756" s="24"/>
      <c r="AR1756" s="33"/>
      <c r="AS1756" s="34"/>
      <c r="AT1756" s="33"/>
      <c r="AV1756" s="21">
        <f>IF(AND($AL1756&lt;&gt;"",COUNTIF($AL$11:$AL1756,$AL1756)=1),1,0)</f>
        <v>0</v>
      </c>
      <c r="AW1756" s="21">
        <f t="shared" si="141"/>
        <v>0</v>
      </c>
      <c r="AX1756" s="21" t="str">
        <f t="shared" si="140"/>
        <v/>
      </c>
      <c r="AY1756" s="21" t="str">
        <f>IF(AND($AM1756&lt;&gt;"",$AS1756&lt;&gt;"✓"),SUMPRODUCT(($AM$11:$AM1756&lt;&gt;"")*($AS$11:$AS1756&lt;&gt;"✓")),"")</f>
        <v/>
      </c>
      <c r="AZ1756" s="21" t="str">
        <f>IF(AND($AM1756&lt;&gt;"",$AS1756="✓"),SUMPRODUCT(($AM$11:$AM1756&lt;&gt;"")*($AS$11:$AS1756="✓")),"")</f>
        <v/>
      </c>
      <c r="BA1756" s="21" t="str">
        <f>IF($AL1756="","",$AL1756&amp;"|"&amp;COUNTIF($AL$11:$AL1756,$AL1756))</f>
        <v/>
      </c>
    </row>
    <row r="1757" spans="38:53" ht="15" customHeight="1" x14ac:dyDescent="0.25">
      <c r="AL1757" s="17"/>
      <c r="AM1757" s="12"/>
      <c r="AN1757" s="18"/>
      <c r="AO1757" s="18"/>
      <c r="AP1757" s="10"/>
      <c r="AQ1757" s="10"/>
      <c r="AR1757" s="19"/>
      <c r="AS1757" s="20"/>
      <c r="AT1757" s="19"/>
      <c r="AV1757" s="21">
        <f>IF(AND($AL1757&lt;&gt;"",COUNTIF($AL$11:$AL1757,$AL1757)=1),1,0)</f>
        <v>0</v>
      </c>
      <c r="AW1757" s="21">
        <f t="shared" si="141"/>
        <v>0</v>
      </c>
      <c r="AX1757" s="21" t="str">
        <f t="shared" si="140"/>
        <v/>
      </c>
      <c r="AY1757" s="21" t="str">
        <f>IF(AND($AM1757&lt;&gt;"",$AS1757&lt;&gt;"✓"),SUMPRODUCT(($AM$11:$AM1757&lt;&gt;"")*($AS$11:$AS1757&lt;&gt;"✓")),"")</f>
        <v/>
      </c>
      <c r="AZ1757" s="21" t="str">
        <f>IF(AND($AM1757&lt;&gt;"",$AS1757="✓"),SUMPRODUCT(($AM$11:$AM1757&lt;&gt;"")*($AS$11:$AS1757="✓")),"")</f>
        <v/>
      </c>
      <c r="BA1757" s="21" t="str">
        <f>IF($AL1757="","",$AL1757&amp;"|"&amp;COUNTIF($AL$11:$AL1757,$AL1757))</f>
        <v/>
      </c>
    </row>
    <row r="1758" spans="38:53" ht="15" customHeight="1" x14ac:dyDescent="0.25">
      <c r="AL1758" s="31"/>
      <c r="AM1758" s="26"/>
      <c r="AN1758" s="32"/>
      <c r="AO1758" s="32"/>
      <c r="AP1758" s="24"/>
      <c r="AQ1758" s="24"/>
      <c r="AR1758" s="33"/>
      <c r="AS1758" s="34"/>
      <c r="AT1758" s="33"/>
      <c r="AV1758" s="21">
        <f>IF(AND($AL1758&lt;&gt;"",COUNTIF($AL$11:$AL1758,$AL1758)=1),1,0)</f>
        <v>0</v>
      </c>
      <c r="AW1758" s="21">
        <f t="shared" si="141"/>
        <v>0</v>
      </c>
      <c r="AX1758" s="21" t="str">
        <f t="shared" si="140"/>
        <v/>
      </c>
      <c r="AY1758" s="21" t="str">
        <f>IF(AND($AM1758&lt;&gt;"",$AS1758&lt;&gt;"✓"),SUMPRODUCT(($AM$11:$AM1758&lt;&gt;"")*($AS$11:$AS1758&lt;&gt;"✓")),"")</f>
        <v/>
      </c>
      <c r="AZ1758" s="21" t="str">
        <f>IF(AND($AM1758&lt;&gt;"",$AS1758="✓"),SUMPRODUCT(($AM$11:$AM1758&lt;&gt;"")*($AS$11:$AS1758="✓")),"")</f>
        <v/>
      </c>
      <c r="BA1758" s="21" t="str">
        <f>IF($AL1758="","",$AL1758&amp;"|"&amp;COUNTIF($AL$11:$AL1758,$AL1758))</f>
        <v/>
      </c>
    </row>
    <row r="1759" spans="38:53" ht="15" customHeight="1" x14ac:dyDescent="0.25">
      <c r="AL1759" s="17"/>
      <c r="AM1759" s="12"/>
      <c r="AN1759" s="18"/>
      <c r="AO1759" s="18"/>
      <c r="AP1759" s="10"/>
      <c r="AQ1759" s="10"/>
      <c r="AR1759" s="19"/>
      <c r="AS1759" s="20"/>
      <c r="AT1759" s="19"/>
      <c r="AV1759" s="21">
        <f>IF(AND($AL1759&lt;&gt;"",COUNTIF($AL$11:$AL1759,$AL1759)=1),1,0)</f>
        <v>0</v>
      </c>
      <c r="AW1759" s="21">
        <f t="shared" si="141"/>
        <v>0</v>
      </c>
      <c r="AX1759" s="21" t="str">
        <f t="shared" si="140"/>
        <v/>
      </c>
      <c r="AY1759" s="21" t="str">
        <f>IF(AND($AM1759&lt;&gt;"",$AS1759&lt;&gt;"✓"),SUMPRODUCT(($AM$11:$AM1759&lt;&gt;"")*($AS$11:$AS1759&lt;&gt;"✓")),"")</f>
        <v/>
      </c>
      <c r="AZ1759" s="21" t="str">
        <f>IF(AND($AM1759&lt;&gt;"",$AS1759="✓"),SUMPRODUCT(($AM$11:$AM1759&lt;&gt;"")*($AS$11:$AS1759="✓")),"")</f>
        <v/>
      </c>
      <c r="BA1759" s="21" t="str">
        <f>IF($AL1759="","",$AL1759&amp;"|"&amp;COUNTIF($AL$11:$AL1759,$AL1759))</f>
        <v/>
      </c>
    </row>
    <row r="1760" spans="38:53" ht="15" customHeight="1" x14ac:dyDescent="0.25">
      <c r="AL1760" s="31"/>
      <c r="AM1760" s="26"/>
      <c r="AN1760" s="32"/>
      <c r="AO1760" s="32"/>
      <c r="AP1760" s="24"/>
      <c r="AQ1760" s="24"/>
      <c r="AR1760" s="33"/>
      <c r="AS1760" s="34"/>
      <c r="AT1760" s="33"/>
      <c r="AV1760" s="21">
        <f>IF(AND($AL1760&lt;&gt;"",COUNTIF($AL$11:$AL1760,$AL1760)=1),1,0)</f>
        <v>0</v>
      </c>
      <c r="AW1760" s="21">
        <f t="shared" si="141"/>
        <v>0</v>
      </c>
      <c r="AX1760" s="21" t="str">
        <f t="shared" si="140"/>
        <v/>
      </c>
      <c r="AY1760" s="21" t="str">
        <f>IF(AND($AM1760&lt;&gt;"",$AS1760&lt;&gt;"✓"),SUMPRODUCT(($AM$11:$AM1760&lt;&gt;"")*($AS$11:$AS1760&lt;&gt;"✓")),"")</f>
        <v/>
      </c>
      <c r="AZ1760" s="21" t="str">
        <f>IF(AND($AM1760&lt;&gt;"",$AS1760="✓"),SUMPRODUCT(($AM$11:$AM1760&lt;&gt;"")*($AS$11:$AS1760="✓")),"")</f>
        <v/>
      </c>
      <c r="BA1760" s="21" t="str">
        <f>IF($AL1760="","",$AL1760&amp;"|"&amp;COUNTIF($AL$11:$AL1760,$AL1760))</f>
        <v/>
      </c>
    </row>
    <row r="1761" spans="38:53" ht="15" customHeight="1" x14ac:dyDescent="0.25">
      <c r="AL1761" s="17"/>
      <c r="AM1761" s="12"/>
      <c r="AN1761" s="18"/>
      <c r="AO1761" s="18"/>
      <c r="AP1761" s="10"/>
      <c r="AQ1761" s="10"/>
      <c r="AR1761" s="19"/>
      <c r="AS1761" s="20"/>
      <c r="AT1761" s="19"/>
      <c r="AV1761" s="21">
        <f>IF(AND($AL1761&lt;&gt;"",COUNTIF($AL$11:$AL1761,$AL1761)=1),1,0)</f>
        <v>0</v>
      </c>
      <c r="AW1761" s="21">
        <f t="shared" si="141"/>
        <v>0</v>
      </c>
      <c r="AX1761" s="21" t="str">
        <f t="shared" si="140"/>
        <v/>
      </c>
      <c r="AY1761" s="21" t="str">
        <f>IF(AND($AM1761&lt;&gt;"",$AS1761&lt;&gt;"✓"),SUMPRODUCT(($AM$11:$AM1761&lt;&gt;"")*($AS$11:$AS1761&lt;&gt;"✓")),"")</f>
        <v/>
      </c>
      <c r="AZ1761" s="21" t="str">
        <f>IF(AND($AM1761&lt;&gt;"",$AS1761="✓"),SUMPRODUCT(($AM$11:$AM1761&lt;&gt;"")*($AS$11:$AS1761="✓")),"")</f>
        <v/>
      </c>
      <c r="BA1761" s="21" t="str">
        <f>IF($AL1761="","",$AL1761&amp;"|"&amp;COUNTIF($AL$11:$AL1761,$AL1761))</f>
        <v/>
      </c>
    </row>
    <row r="1762" spans="38:53" ht="15" customHeight="1" x14ac:dyDescent="0.25">
      <c r="AL1762" s="31"/>
      <c r="AM1762" s="26"/>
      <c r="AN1762" s="32"/>
      <c r="AO1762" s="32"/>
      <c r="AP1762" s="24"/>
      <c r="AQ1762" s="24"/>
      <c r="AR1762" s="33"/>
      <c r="AS1762" s="34"/>
      <c r="AT1762" s="33"/>
      <c r="AV1762" s="21">
        <f>IF(AND($AL1762&lt;&gt;"",COUNTIF($AL$11:$AL1762,$AL1762)=1),1,0)</f>
        <v>0</v>
      </c>
      <c r="AW1762" s="21">
        <f t="shared" si="141"/>
        <v>0</v>
      </c>
      <c r="AX1762" s="21" t="str">
        <f t="shared" si="140"/>
        <v/>
      </c>
      <c r="AY1762" s="21" t="str">
        <f>IF(AND($AM1762&lt;&gt;"",$AS1762&lt;&gt;"✓"),SUMPRODUCT(($AM$11:$AM1762&lt;&gt;"")*($AS$11:$AS1762&lt;&gt;"✓")),"")</f>
        <v/>
      </c>
      <c r="AZ1762" s="21" t="str">
        <f>IF(AND($AM1762&lt;&gt;"",$AS1762="✓"),SUMPRODUCT(($AM$11:$AM1762&lt;&gt;"")*($AS$11:$AS1762="✓")),"")</f>
        <v/>
      </c>
      <c r="BA1762" s="21" t="str">
        <f>IF($AL1762="","",$AL1762&amp;"|"&amp;COUNTIF($AL$11:$AL1762,$AL1762))</f>
        <v/>
      </c>
    </row>
    <row r="1763" spans="38:53" ht="15" customHeight="1" x14ac:dyDescent="0.25">
      <c r="AL1763" s="17"/>
      <c r="AM1763" s="12"/>
      <c r="AN1763" s="18"/>
      <c r="AO1763" s="18"/>
      <c r="AP1763" s="10"/>
      <c r="AQ1763" s="10"/>
      <c r="AR1763" s="19"/>
      <c r="AS1763" s="20"/>
      <c r="AT1763" s="19"/>
      <c r="AV1763" s="21">
        <f>IF(AND($AL1763&lt;&gt;"",COUNTIF($AL$11:$AL1763,$AL1763)=1),1,0)</f>
        <v>0</v>
      </c>
      <c r="AW1763" s="21">
        <f t="shared" si="141"/>
        <v>0</v>
      </c>
      <c r="AX1763" s="21" t="str">
        <f t="shared" si="140"/>
        <v/>
      </c>
      <c r="AY1763" s="21" t="str">
        <f>IF(AND($AM1763&lt;&gt;"",$AS1763&lt;&gt;"✓"),SUMPRODUCT(($AM$11:$AM1763&lt;&gt;"")*($AS$11:$AS1763&lt;&gt;"✓")),"")</f>
        <v/>
      </c>
      <c r="AZ1763" s="21" t="str">
        <f>IF(AND($AM1763&lt;&gt;"",$AS1763="✓"),SUMPRODUCT(($AM$11:$AM1763&lt;&gt;"")*($AS$11:$AS1763="✓")),"")</f>
        <v/>
      </c>
      <c r="BA1763" s="21" t="str">
        <f>IF($AL1763="","",$AL1763&amp;"|"&amp;COUNTIF($AL$11:$AL1763,$AL1763))</f>
        <v/>
      </c>
    </row>
    <row r="1764" spans="38:53" ht="15" customHeight="1" x14ac:dyDescent="0.25">
      <c r="AL1764" s="31"/>
      <c r="AM1764" s="26"/>
      <c r="AN1764" s="32"/>
      <c r="AO1764" s="32"/>
      <c r="AP1764" s="24"/>
      <c r="AQ1764" s="24"/>
      <c r="AR1764" s="33"/>
      <c r="AS1764" s="34"/>
      <c r="AT1764" s="33"/>
      <c r="AV1764" s="21">
        <f>IF(AND($AL1764&lt;&gt;"",COUNTIF($AL$11:$AL1764,$AL1764)=1),1,0)</f>
        <v>0</v>
      </c>
      <c r="AW1764" s="21">
        <f t="shared" si="141"/>
        <v>0</v>
      </c>
      <c r="AX1764" s="21" t="str">
        <f t="shared" si="140"/>
        <v/>
      </c>
      <c r="AY1764" s="21" t="str">
        <f>IF(AND($AM1764&lt;&gt;"",$AS1764&lt;&gt;"✓"),SUMPRODUCT(($AM$11:$AM1764&lt;&gt;"")*($AS$11:$AS1764&lt;&gt;"✓")),"")</f>
        <v/>
      </c>
      <c r="AZ1764" s="21" t="str">
        <f>IF(AND($AM1764&lt;&gt;"",$AS1764="✓"),SUMPRODUCT(($AM$11:$AM1764&lt;&gt;"")*($AS$11:$AS1764="✓")),"")</f>
        <v/>
      </c>
      <c r="BA1764" s="21" t="str">
        <f>IF($AL1764="","",$AL1764&amp;"|"&amp;COUNTIF($AL$11:$AL1764,$AL1764))</f>
        <v/>
      </c>
    </row>
    <row r="1765" spans="38:53" ht="15" customHeight="1" x14ac:dyDescent="0.25">
      <c r="AL1765" s="17"/>
      <c r="AM1765" s="12"/>
      <c r="AN1765" s="18"/>
      <c r="AO1765" s="18"/>
      <c r="AP1765" s="10"/>
      <c r="AQ1765" s="10"/>
      <c r="AR1765" s="19"/>
      <c r="AS1765" s="20"/>
      <c r="AT1765" s="19"/>
      <c r="AV1765" s="21">
        <f>IF(AND($AL1765&lt;&gt;"",COUNTIF($AL$11:$AL1765,$AL1765)=1),1,0)</f>
        <v>0</v>
      </c>
      <c r="AW1765" s="21">
        <f t="shared" si="141"/>
        <v>0</v>
      </c>
      <c r="AX1765" s="21" t="str">
        <f t="shared" si="140"/>
        <v/>
      </c>
      <c r="AY1765" s="21" t="str">
        <f>IF(AND($AM1765&lt;&gt;"",$AS1765&lt;&gt;"✓"),SUMPRODUCT(($AM$11:$AM1765&lt;&gt;"")*($AS$11:$AS1765&lt;&gt;"✓")),"")</f>
        <v/>
      </c>
      <c r="AZ1765" s="21" t="str">
        <f>IF(AND($AM1765&lt;&gt;"",$AS1765="✓"),SUMPRODUCT(($AM$11:$AM1765&lt;&gt;"")*($AS$11:$AS1765="✓")),"")</f>
        <v/>
      </c>
      <c r="BA1765" s="21" t="str">
        <f>IF($AL1765="","",$AL1765&amp;"|"&amp;COUNTIF($AL$11:$AL1765,$AL1765))</f>
        <v/>
      </c>
    </row>
    <row r="1766" spans="38:53" ht="15" customHeight="1" x14ac:dyDescent="0.25">
      <c r="AL1766" s="31"/>
      <c r="AM1766" s="26"/>
      <c r="AN1766" s="32"/>
      <c r="AO1766" s="32"/>
      <c r="AP1766" s="24"/>
      <c r="AQ1766" s="24"/>
      <c r="AR1766" s="33"/>
      <c r="AS1766" s="34"/>
      <c r="AT1766" s="33"/>
      <c r="AV1766" s="21">
        <f>IF(AND($AL1766&lt;&gt;"",COUNTIF($AL$11:$AL1766,$AL1766)=1),1,0)</f>
        <v>0</v>
      </c>
      <c r="AW1766" s="21">
        <f t="shared" si="141"/>
        <v>0</v>
      </c>
      <c r="AX1766" s="21" t="str">
        <f t="shared" si="140"/>
        <v/>
      </c>
      <c r="AY1766" s="21" t="str">
        <f>IF(AND($AM1766&lt;&gt;"",$AS1766&lt;&gt;"✓"),SUMPRODUCT(($AM$11:$AM1766&lt;&gt;"")*($AS$11:$AS1766&lt;&gt;"✓")),"")</f>
        <v/>
      </c>
      <c r="AZ1766" s="21" t="str">
        <f>IF(AND($AM1766&lt;&gt;"",$AS1766="✓"),SUMPRODUCT(($AM$11:$AM1766&lt;&gt;"")*($AS$11:$AS1766="✓")),"")</f>
        <v/>
      </c>
      <c r="BA1766" s="21" t="str">
        <f>IF($AL1766="","",$AL1766&amp;"|"&amp;COUNTIF($AL$11:$AL1766,$AL1766))</f>
        <v/>
      </c>
    </row>
    <row r="1767" spans="38:53" ht="15" customHeight="1" x14ac:dyDescent="0.25">
      <c r="AL1767" s="17"/>
      <c r="AM1767" s="12"/>
      <c r="AN1767" s="18"/>
      <c r="AO1767" s="18"/>
      <c r="AP1767" s="10"/>
      <c r="AQ1767" s="10"/>
      <c r="AR1767" s="19"/>
      <c r="AS1767" s="20"/>
      <c r="AT1767" s="19"/>
      <c r="AV1767" s="21">
        <f>IF(AND($AL1767&lt;&gt;"",COUNTIF($AL$11:$AL1767,$AL1767)=1),1,0)</f>
        <v>0</v>
      </c>
      <c r="AW1767" s="21">
        <f t="shared" si="141"/>
        <v>0</v>
      </c>
      <c r="AX1767" s="21" t="str">
        <f t="shared" si="140"/>
        <v/>
      </c>
      <c r="AY1767" s="21" t="str">
        <f>IF(AND($AM1767&lt;&gt;"",$AS1767&lt;&gt;"✓"),SUMPRODUCT(($AM$11:$AM1767&lt;&gt;"")*($AS$11:$AS1767&lt;&gt;"✓")),"")</f>
        <v/>
      </c>
      <c r="AZ1767" s="21" t="str">
        <f>IF(AND($AM1767&lt;&gt;"",$AS1767="✓"),SUMPRODUCT(($AM$11:$AM1767&lt;&gt;"")*($AS$11:$AS1767="✓")),"")</f>
        <v/>
      </c>
      <c r="BA1767" s="21" t="str">
        <f>IF($AL1767="","",$AL1767&amp;"|"&amp;COUNTIF($AL$11:$AL1767,$AL1767))</f>
        <v/>
      </c>
    </row>
    <row r="1768" spans="38:53" ht="15" customHeight="1" x14ac:dyDescent="0.25">
      <c r="AL1768" s="31"/>
      <c r="AM1768" s="26"/>
      <c r="AN1768" s="32"/>
      <c r="AO1768" s="32"/>
      <c r="AP1768" s="24"/>
      <c r="AQ1768" s="24"/>
      <c r="AR1768" s="33"/>
      <c r="AS1768" s="34"/>
      <c r="AT1768" s="33"/>
      <c r="AV1768" s="21">
        <f>IF(AND($AL1768&lt;&gt;"",COUNTIF($AL$11:$AL1768,$AL1768)=1),1,0)</f>
        <v>0</v>
      </c>
      <c r="AW1768" s="21">
        <f t="shared" si="141"/>
        <v>0</v>
      </c>
      <c r="AX1768" s="21" t="str">
        <f t="shared" si="140"/>
        <v/>
      </c>
      <c r="AY1768" s="21" t="str">
        <f>IF(AND($AM1768&lt;&gt;"",$AS1768&lt;&gt;"✓"),SUMPRODUCT(($AM$11:$AM1768&lt;&gt;"")*($AS$11:$AS1768&lt;&gt;"✓")),"")</f>
        <v/>
      </c>
      <c r="AZ1768" s="21" t="str">
        <f>IF(AND($AM1768&lt;&gt;"",$AS1768="✓"),SUMPRODUCT(($AM$11:$AM1768&lt;&gt;"")*($AS$11:$AS1768="✓")),"")</f>
        <v/>
      </c>
      <c r="BA1768" s="21" t="str">
        <f>IF($AL1768="","",$AL1768&amp;"|"&amp;COUNTIF($AL$11:$AL1768,$AL1768))</f>
        <v/>
      </c>
    </row>
    <row r="1769" spans="38:53" ht="15" customHeight="1" x14ac:dyDescent="0.25">
      <c r="AL1769" s="17"/>
      <c r="AM1769" s="12"/>
      <c r="AN1769" s="18"/>
      <c r="AO1769" s="18"/>
      <c r="AP1769" s="10"/>
      <c r="AQ1769" s="10"/>
      <c r="AR1769" s="19"/>
      <c r="AS1769" s="20"/>
      <c r="AT1769" s="19"/>
      <c r="AV1769" s="21">
        <f>IF(AND($AL1769&lt;&gt;"",COUNTIF($AL$11:$AL1769,$AL1769)=1),1,0)</f>
        <v>0</v>
      </c>
      <c r="AW1769" s="21">
        <f t="shared" si="141"/>
        <v>0</v>
      </c>
      <c r="AX1769" s="21" t="str">
        <f t="shared" si="140"/>
        <v/>
      </c>
      <c r="AY1769" s="21" t="str">
        <f>IF(AND($AM1769&lt;&gt;"",$AS1769&lt;&gt;"✓"),SUMPRODUCT(($AM$11:$AM1769&lt;&gt;"")*($AS$11:$AS1769&lt;&gt;"✓")),"")</f>
        <v/>
      </c>
      <c r="AZ1769" s="21" t="str">
        <f>IF(AND($AM1769&lt;&gt;"",$AS1769="✓"),SUMPRODUCT(($AM$11:$AM1769&lt;&gt;"")*($AS$11:$AS1769="✓")),"")</f>
        <v/>
      </c>
      <c r="BA1769" s="21" t="str">
        <f>IF($AL1769="","",$AL1769&amp;"|"&amp;COUNTIF($AL$11:$AL1769,$AL1769))</f>
        <v/>
      </c>
    </row>
    <row r="1770" spans="38:53" ht="15" customHeight="1" x14ac:dyDescent="0.25">
      <c r="AL1770" s="31"/>
      <c r="AM1770" s="26"/>
      <c r="AN1770" s="32"/>
      <c r="AO1770" s="32"/>
      <c r="AP1770" s="24"/>
      <c r="AQ1770" s="24"/>
      <c r="AR1770" s="33"/>
      <c r="AS1770" s="34"/>
      <c r="AT1770" s="33"/>
      <c r="AV1770" s="21">
        <f>IF(AND($AL1770&lt;&gt;"",COUNTIF($AL$11:$AL1770,$AL1770)=1),1,0)</f>
        <v>0</v>
      </c>
      <c r="AW1770" s="21">
        <f t="shared" si="141"/>
        <v>0</v>
      </c>
      <c r="AX1770" s="21" t="str">
        <f t="shared" si="140"/>
        <v/>
      </c>
      <c r="AY1770" s="21" t="str">
        <f>IF(AND($AM1770&lt;&gt;"",$AS1770&lt;&gt;"✓"),SUMPRODUCT(($AM$11:$AM1770&lt;&gt;"")*($AS$11:$AS1770&lt;&gt;"✓")),"")</f>
        <v/>
      </c>
      <c r="AZ1770" s="21" t="str">
        <f>IF(AND($AM1770&lt;&gt;"",$AS1770="✓"),SUMPRODUCT(($AM$11:$AM1770&lt;&gt;"")*($AS$11:$AS1770="✓")),"")</f>
        <v/>
      </c>
      <c r="BA1770" s="21" t="str">
        <f>IF($AL1770="","",$AL1770&amp;"|"&amp;COUNTIF($AL$11:$AL1770,$AL1770))</f>
        <v/>
      </c>
    </row>
    <row r="1771" spans="38:53" ht="15" customHeight="1" x14ac:dyDescent="0.25">
      <c r="AL1771" s="17"/>
      <c r="AM1771" s="12"/>
      <c r="AN1771" s="18"/>
      <c r="AO1771" s="18"/>
      <c r="AP1771" s="10"/>
      <c r="AQ1771" s="10"/>
      <c r="AR1771" s="19"/>
      <c r="AS1771" s="20"/>
      <c r="AT1771" s="19"/>
      <c r="AV1771" s="21">
        <f>IF(AND($AL1771&lt;&gt;"",COUNTIF($AL$11:$AL1771,$AL1771)=1),1,0)</f>
        <v>0</v>
      </c>
      <c r="AW1771" s="21">
        <f t="shared" si="141"/>
        <v>0</v>
      </c>
      <c r="AX1771" s="21" t="str">
        <f t="shared" si="140"/>
        <v/>
      </c>
      <c r="AY1771" s="21" t="str">
        <f>IF(AND($AM1771&lt;&gt;"",$AS1771&lt;&gt;"✓"),SUMPRODUCT(($AM$11:$AM1771&lt;&gt;"")*($AS$11:$AS1771&lt;&gt;"✓")),"")</f>
        <v/>
      </c>
      <c r="AZ1771" s="21" t="str">
        <f>IF(AND($AM1771&lt;&gt;"",$AS1771="✓"),SUMPRODUCT(($AM$11:$AM1771&lt;&gt;"")*($AS$11:$AS1771="✓")),"")</f>
        <v/>
      </c>
      <c r="BA1771" s="21" t="str">
        <f>IF($AL1771="","",$AL1771&amp;"|"&amp;COUNTIF($AL$11:$AL1771,$AL1771))</f>
        <v/>
      </c>
    </row>
    <row r="1772" spans="38:53" ht="15" customHeight="1" x14ac:dyDescent="0.25">
      <c r="AL1772" s="31"/>
      <c r="AM1772" s="26"/>
      <c r="AN1772" s="32"/>
      <c r="AO1772" s="32"/>
      <c r="AP1772" s="24"/>
      <c r="AQ1772" s="24"/>
      <c r="AR1772" s="33"/>
      <c r="AS1772" s="34"/>
      <c r="AT1772" s="33"/>
      <c r="AV1772" s="21">
        <f>IF(AND($AL1772&lt;&gt;"",COUNTIF($AL$11:$AL1772,$AL1772)=1),1,0)</f>
        <v>0</v>
      </c>
      <c r="AW1772" s="21">
        <f t="shared" si="141"/>
        <v>0</v>
      </c>
      <c r="AX1772" s="21" t="str">
        <f t="shared" si="140"/>
        <v/>
      </c>
      <c r="AY1772" s="21" t="str">
        <f>IF(AND($AM1772&lt;&gt;"",$AS1772&lt;&gt;"✓"),SUMPRODUCT(($AM$11:$AM1772&lt;&gt;"")*($AS$11:$AS1772&lt;&gt;"✓")),"")</f>
        <v/>
      </c>
      <c r="AZ1772" s="21" t="str">
        <f>IF(AND($AM1772&lt;&gt;"",$AS1772="✓"),SUMPRODUCT(($AM$11:$AM1772&lt;&gt;"")*($AS$11:$AS1772="✓")),"")</f>
        <v/>
      </c>
      <c r="BA1772" s="21" t="str">
        <f>IF($AL1772="","",$AL1772&amp;"|"&amp;COUNTIF($AL$11:$AL1772,$AL1772))</f>
        <v/>
      </c>
    </row>
    <row r="1773" spans="38:53" ht="15" customHeight="1" x14ac:dyDescent="0.25">
      <c r="AL1773" s="17"/>
      <c r="AM1773" s="12"/>
      <c r="AN1773" s="18"/>
      <c r="AO1773" s="18"/>
      <c r="AP1773" s="10"/>
      <c r="AQ1773" s="10"/>
      <c r="AR1773" s="19"/>
      <c r="AS1773" s="20"/>
      <c r="AT1773" s="19"/>
      <c r="AV1773" s="21">
        <f>IF(AND($AL1773&lt;&gt;"",COUNTIF($AL$11:$AL1773,$AL1773)=1),1,0)</f>
        <v>0</v>
      </c>
      <c r="AW1773" s="21">
        <f t="shared" si="141"/>
        <v>0</v>
      </c>
      <c r="AX1773" s="21" t="str">
        <f t="shared" si="140"/>
        <v/>
      </c>
      <c r="AY1773" s="21" t="str">
        <f>IF(AND($AM1773&lt;&gt;"",$AS1773&lt;&gt;"✓"),SUMPRODUCT(($AM$11:$AM1773&lt;&gt;"")*($AS$11:$AS1773&lt;&gt;"✓")),"")</f>
        <v/>
      </c>
      <c r="AZ1773" s="21" t="str">
        <f>IF(AND($AM1773&lt;&gt;"",$AS1773="✓"),SUMPRODUCT(($AM$11:$AM1773&lt;&gt;"")*($AS$11:$AS1773="✓")),"")</f>
        <v/>
      </c>
      <c r="BA1773" s="21" t="str">
        <f>IF($AL1773="","",$AL1773&amp;"|"&amp;COUNTIF($AL$11:$AL1773,$AL1773))</f>
        <v/>
      </c>
    </row>
    <row r="1774" spans="38:53" ht="15" customHeight="1" x14ac:dyDescent="0.25">
      <c r="AL1774" s="31"/>
      <c r="AM1774" s="26"/>
      <c r="AN1774" s="32"/>
      <c r="AO1774" s="32"/>
      <c r="AP1774" s="24"/>
      <c r="AQ1774" s="24"/>
      <c r="AR1774" s="33"/>
      <c r="AS1774" s="34"/>
      <c r="AT1774" s="33"/>
      <c r="AV1774" s="21">
        <f>IF(AND($AL1774&lt;&gt;"",COUNTIF($AL$11:$AL1774,$AL1774)=1),1,0)</f>
        <v>0</v>
      </c>
      <c r="AW1774" s="21">
        <f t="shared" si="141"/>
        <v>0</v>
      </c>
      <c r="AX1774" s="21" t="str">
        <f t="shared" si="140"/>
        <v/>
      </c>
      <c r="AY1774" s="21" t="str">
        <f>IF(AND($AM1774&lt;&gt;"",$AS1774&lt;&gt;"✓"),SUMPRODUCT(($AM$11:$AM1774&lt;&gt;"")*($AS$11:$AS1774&lt;&gt;"✓")),"")</f>
        <v/>
      </c>
      <c r="AZ1774" s="21" t="str">
        <f>IF(AND($AM1774&lt;&gt;"",$AS1774="✓"),SUMPRODUCT(($AM$11:$AM1774&lt;&gt;"")*($AS$11:$AS1774="✓")),"")</f>
        <v/>
      </c>
      <c r="BA1774" s="21" t="str">
        <f>IF($AL1774="","",$AL1774&amp;"|"&amp;COUNTIF($AL$11:$AL1774,$AL1774))</f>
        <v/>
      </c>
    </row>
    <row r="1775" spans="38:53" ht="15" customHeight="1" x14ac:dyDescent="0.25">
      <c r="AL1775" s="17"/>
      <c r="AM1775" s="12"/>
      <c r="AN1775" s="18"/>
      <c r="AO1775" s="18"/>
      <c r="AP1775" s="10"/>
      <c r="AQ1775" s="10"/>
      <c r="AR1775" s="19"/>
      <c r="AS1775" s="20"/>
      <c r="AT1775" s="19"/>
      <c r="AV1775" s="21">
        <f>IF(AND($AL1775&lt;&gt;"",COUNTIF($AL$11:$AL1775,$AL1775)=1),1,0)</f>
        <v>0</v>
      </c>
      <c r="AW1775" s="21">
        <f t="shared" si="141"/>
        <v>0</v>
      </c>
      <c r="AX1775" s="21" t="str">
        <f t="shared" si="140"/>
        <v/>
      </c>
      <c r="AY1775" s="21" t="str">
        <f>IF(AND($AM1775&lt;&gt;"",$AS1775&lt;&gt;"✓"),SUMPRODUCT(($AM$11:$AM1775&lt;&gt;"")*($AS$11:$AS1775&lt;&gt;"✓")),"")</f>
        <v/>
      </c>
      <c r="AZ1775" s="21" t="str">
        <f>IF(AND($AM1775&lt;&gt;"",$AS1775="✓"),SUMPRODUCT(($AM$11:$AM1775&lt;&gt;"")*($AS$11:$AS1775="✓")),"")</f>
        <v/>
      </c>
      <c r="BA1775" s="21" t="str">
        <f>IF($AL1775="","",$AL1775&amp;"|"&amp;COUNTIF($AL$11:$AL1775,$AL1775))</f>
        <v/>
      </c>
    </row>
    <row r="1776" spans="38:53" ht="15" customHeight="1" x14ac:dyDescent="0.25">
      <c r="AL1776" s="31"/>
      <c r="AM1776" s="26"/>
      <c r="AN1776" s="32"/>
      <c r="AO1776" s="32"/>
      <c r="AP1776" s="24"/>
      <c r="AQ1776" s="24"/>
      <c r="AR1776" s="33"/>
      <c r="AS1776" s="34"/>
      <c r="AT1776" s="33"/>
      <c r="AV1776" s="21">
        <f>IF(AND($AL1776&lt;&gt;"",COUNTIF($AL$11:$AL1776,$AL1776)=1),1,0)</f>
        <v>0</v>
      </c>
      <c r="AW1776" s="21">
        <f t="shared" si="141"/>
        <v>0</v>
      </c>
      <c r="AX1776" s="21" t="str">
        <f t="shared" si="140"/>
        <v/>
      </c>
      <c r="AY1776" s="21" t="str">
        <f>IF(AND($AM1776&lt;&gt;"",$AS1776&lt;&gt;"✓"),SUMPRODUCT(($AM$11:$AM1776&lt;&gt;"")*($AS$11:$AS1776&lt;&gt;"✓")),"")</f>
        <v/>
      </c>
      <c r="AZ1776" s="21" t="str">
        <f>IF(AND($AM1776&lt;&gt;"",$AS1776="✓"),SUMPRODUCT(($AM$11:$AM1776&lt;&gt;"")*($AS$11:$AS1776="✓")),"")</f>
        <v/>
      </c>
      <c r="BA1776" s="21" t="str">
        <f>IF($AL1776="","",$AL1776&amp;"|"&amp;COUNTIF($AL$11:$AL1776,$AL1776))</f>
        <v/>
      </c>
    </row>
    <row r="1777" spans="38:53" ht="15" customHeight="1" x14ac:dyDescent="0.25">
      <c r="AL1777" s="17"/>
      <c r="AM1777" s="12"/>
      <c r="AN1777" s="18"/>
      <c r="AO1777" s="18"/>
      <c r="AP1777" s="10"/>
      <c r="AQ1777" s="10"/>
      <c r="AR1777" s="19"/>
      <c r="AS1777" s="20"/>
      <c r="AT1777" s="19"/>
      <c r="AV1777" s="21">
        <f>IF(AND($AL1777&lt;&gt;"",COUNTIF($AL$11:$AL1777,$AL1777)=1),1,0)</f>
        <v>0</v>
      </c>
      <c r="AW1777" s="21">
        <f t="shared" si="141"/>
        <v>0</v>
      </c>
      <c r="AX1777" s="21" t="str">
        <f t="shared" si="140"/>
        <v/>
      </c>
      <c r="AY1777" s="21" t="str">
        <f>IF(AND($AM1777&lt;&gt;"",$AS1777&lt;&gt;"✓"),SUMPRODUCT(($AM$11:$AM1777&lt;&gt;"")*($AS$11:$AS1777&lt;&gt;"✓")),"")</f>
        <v/>
      </c>
      <c r="AZ1777" s="21" t="str">
        <f>IF(AND($AM1777&lt;&gt;"",$AS1777="✓"),SUMPRODUCT(($AM$11:$AM1777&lt;&gt;"")*($AS$11:$AS1777="✓")),"")</f>
        <v/>
      </c>
      <c r="BA1777" s="21" t="str">
        <f>IF($AL1777="","",$AL1777&amp;"|"&amp;COUNTIF($AL$11:$AL1777,$AL1777))</f>
        <v/>
      </c>
    </row>
    <row r="1778" spans="38:53" ht="15" customHeight="1" x14ac:dyDescent="0.25">
      <c r="AL1778" s="31"/>
      <c r="AM1778" s="26"/>
      <c r="AN1778" s="32"/>
      <c r="AO1778" s="32"/>
      <c r="AP1778" s="24"/>
      <c r="AQ1778" s="24"/>
      <c r="AR1778" s="33"/>
      <c r="AS1778" s="34"/>
      <c r="AT1778" s="33"/>
      <c r="AV1778" s="21">
        <f>IF(AND($AL1778&lt;&gt;"",COUNTIF($AL$11:$AL1778,$AL1778)=1),1,0)</f>
        <v>0</v>
      </c>
      <c r="AW1778" s="21">
        <f t="shared" si="141"/>
        <v>0</v>
      </c>
      <c r="AX1778" s="21" t="str">
        <f t="shared" si="140"/>
        <v/>
      </c>
      <c r="AY1778" s="21" t="str">
        <f>IF(AND($AM1778&lt;&gt;"",$AS1778&lt;&gt;"✓"),SUMPRODUCT(($AM$11:$AM1778&lt;&gt;"")*($AS$11:$AS1778&lt;&gt;"✓")),"")</f>
        <v/>
      </c>
      <c r="AZ1778" s="21" t="str">
        <f>IF(AND($AM1778&lt;&gt;"",$AS1778="✓"),SUMPRODUCT(($AM$11:$AM1778&lt;&gt;"")*($AS$11:$AS1778="✓")),"")</f>
        <v/>
      </c>
      <c r="BA1778" s="21" t="str">
        <f>IF($AL1778="","",$AL1778&amp;"|"&amp;COUNTIF($AL$11:$AL1778,$AL1778))</f>
        <v/>
      </c>
    </row>
    <row r="1779" spans="38:53" ht="15" customHeight="1" x14ac:dyDescent="0.25">
      <c r="AL1779" s="17"/>
      <c r="AM1779" s="12"/>
      <c r="AN1779" s="18"/>
      <c r="AO1779" s="18"/>
      <c r="AP1779" s="10"/>
      <c r="AQ1779" s="10"/>
      <c r="AR1779" s="19"/>
      <c r="AS1779" s="20"/>
      <c r="AT1779" s="19"/>
      <c r="AV1779" s="21">
        <f>IF(AND($AL1779&lt;&gt;"",COUNTIF($AL$11:$AL1779,$AL1779)=1),1,0)</f>
        <v>0</v>
      </c>
      <c r="AW1779" s="21">
        <f t="shared" si="141"/>
        <v>0</v>
      </c>
      <c r="AX1779" s="21" t="str">
        <f t="shared" si="140"/>
        <v/>
      </c>
      <c r="AY1779" s="21" t="str">
        <f>IF(AND($AM1779&lt;&gt;"",$AS1779&lt;&gt;"✓"),SUMPRODUCT(($AM$11:$AM1779&lt;&gt;"")*($AS$11:$AS1779&lt;&gt;"✓")),"")</f>
        <v/>
      </c>
      <c r="AZ1779" s="21" t="str">
        <f>IF(AND($AM1779&lt;&gt;"",$AS1779="✓"),SUMPRODUCT(($AM$11:$AM1779&lt;&gt;"")*($AS$11:$AS1779="✓")),"")</f>
        <v/>
      </c>
      <c r="BA1779" s="21" t="str">
        <f>IF($AL1779="","",$AL1779&amp;"|"&amp;COUNTIF($AL$11:$AL1779,$AL1779))</f>
        <v/>
      </c>
    </row>
    <row r="1780" spans="38:53" ht="15" customHeight="1" x14ac:dyDescent="0.25">
      <c r="AL1780" s="31"/>
      <c r="AM1780" s="26"/>
      <c r="AN1780" s="32"/>
      <c r="AO1780" s="32"/>
      <c r="AP1780" s="24"/>
      <c r="AQ1780" s="24"/>
      <c r="AR1780" s="33"/>
      <c r="AS1780" s="34"/>
      <c r="AT1780" s="33"/>
      <c r="AV1780" s="21">
        <f>IF(AND($AL1780&lt;&gt;"",COUNTIF($AL$11:$AL1780,$AL1780)=1),1,0)</f>
        <v>0</v>
      </c>
      <c r="AW1780" s="21">
        <f t="shared" si="141"/>
        <v>0</v>
      </c>
      <c r="AX1780" s="21" t="str">
        <f t="shared" si="140"/>
        <v/>
      </c>
      <c r="AY1780" s="21" t="str">
        <f>IF(AND($AM1780&lt;&gt;"",$AS1780&lt;&gt;"✓"),SUMPRODUCT(($AM$11:$AM1780&lt;&gt;"")*($AS$11:$AS1780&lt;&gt;"✓")),"")</f>
        <v/>
      </c>
      <c r="AZ1780" s="21" t="str">
        <f>IF(AND($AM1780&lt;&gt;"",$AS1780="✓"),SUMPRODUCT(($AM$11:$AM1780&lt;&gt;"")*($AS$11:$AS1780="✓")),"")</f>
        <v/>
      </c>
      <c r="BA1780" s="21" t="str">
        <f>IF($AL1780="","",$AL1780&amp;"|"&amp;COUNTIF($AL$11:$AL1780,$AL1780))</f>
        <v/>
      </c>
    </row>
    <row r="1781" spans="38:53" ht="15" customHeight="1" x14ac:dyDescent="0.25">
      <c r="AL1781" s="17"/>
      <c r="AM1781" s="12"/>
      <c r="AN1781" s="18"/>
      <c r="AO1781" s="18"/>
      <c r="AP1781" s="10"/>
      <c r="AQ1781" s="10"/>
      <c r="AR1781" s="19"/>
      <c r="AS1781" s="20"/>
      <c r="AT1781" s="19"/>
      <c r="AV1781" s="21">
        <f>IF(AND($AL1781&lt;&gt;"",COUNTIF($AL$11:$AL1781,$AL1781)=1),1,0)</f>
        <v>0</v>
      </c>
      <c r="AW1781" s="21">
        <f t="shared" si="141"/>
        <v>0</v>
      </c>
      <c r="AX1781" s="21" t="str">
        <f t="shared" si="140"/>
        <v/>
      </c>
      <c r="AY1781" s="21" t="str">
        <f>IF(AND($AM1781&lt;&gt;"",$AS1781&lt;&gt;"✓"),SUMPRODUCT(($AM$11:$AM1781&lt;&gt;"")*($AS$11:$AS1781&lt;&gt;"✓")),"")</f>
        <v/>
      </c>
      <c r="AZ1781" s="21" t="str">
        <f>IF(AND($AM1781&lt;&gt;"",$AS1781="✓"),SUMPRODUCT(($AM$11:$AM1781&lt;&gt;"")*($AS$11:$AS1781="✓")),"")</f>
        <v/>
      </c>
      <c r="BA1781" s="21" t="str">
        <f>IF($AL1781="","",$AL1781&amp;"|"&amp;COUNTIF($AL$11:$AL1781,$AL1781))</f>
        <v/>
      </c>
    </row>
    <row r="1782" spans="38:53" ht="15" customHeight="1" x14ac:dyDescent="0.25">
      <c r="AL1782" s="31"/>
      <c r="AM1782" s="26"/>
      <c r="AN1782" s="32"/>
      <c r="AO1782" s="32"/>
      <c r="AP1782" s="24"/>
      <c r="AQ1782" s="24"/>
      <c r="AR1782" s="33"/>
      <c r="AS1782" s="34"/>
      <c r="AT1782" s="33"/>
      <c r="AV1782" s="21">
        <f>IF(AND($AL1782&lt;&gt;"",COUNTIF($AL$11:$AL1782,$AL1782)=1),1,0)</f>
        <v>0</v>
      </c>
      <c r="AW1782" s="21">
        <f t="shared" si="141"/>
        <v>0</v>
      </c>
      <c r="AX1782" s="21" t="str">
        <f t="shared" si="140"/>
        <v/>
      </c>
      <c r="AY1782" s="21" t="str">
        <f>IF(AND($AM1782&lt;&gt;"",$AS1782&lt;&gt;"✓"),SUMPRODUCT(($AM$11:$AM1782&lt;&gt;"")*($AS$11:$AS1782&lt;&gt;"✓")),"")</f>
        <v/>
      </c>
      <c r="AZ1782" s="21" t="str">
        <f>IF(AND($AM1782&lt;&gt;"",$AS1782="✓"),SUMPRODUCT(($AM$11:$AM1782&lt;&gt;"")*($AS$11:$AS1782="✓")),"")</f>
        <v/>
      </c>
      <c r="BA1782" s="21" t="str">
        <f>IF($AL1782="","",$AL1782&amp;"|"&amp;COUNTIF($AL$11:$AL1782,$AL1782))</f>
        <v/>
      </c>
    </row>
    <row r="1783" spans="38:53" ht="15" customHeight="1" x14ac:dyDescent="0.25">
      <c r="AL1783" s="17"/>
      <c r="AM1783" s="12"/>
      <c r="AN1783" s="18"/>
      <c r="AO1783" s="18"/>
      <c r="AP1783" s="10"/>
      <c r="AQ1783" s="10"/>
      <c r="AR1783" s="19"/>
      <c r="AS1783" s="20"/>
      <c r="AT1783" s="19"/>
      <c r="AV1783" s="21">
        <f>IF(AND($AL1783&lt;&gt;"",COUNTIF($AL$11:$AL1783,$AL1783)=1),1,0)</f>
        <v>0</v>
      </c>
      <c r="AW1783" s="21">
        <f t="shared" si="141"/>
        <v>0</v>
      </c>
      <c r="AX1783" s="21" t="str">
        <f t="shared" si="140"/>
        <v/>
      </c>
      <c r="AY1783" s="21" t="str">
        <f>IF(AND($AM1783&lt;&gt;"",$AS1783&lt;&gt;"✓"),SUMPRODUCT(($AM$11:$AM1783&lt;&gt;"")*($AS$11:$AS1783&lt;&gt;"✓")),"")</f>
        <v/>
      </c>
      <c r="AZ1783" s="21" t="str">
        <f>IF(AND($AM1783&lt;&gt;"",$AS1783="✓"),SUMPRODUCT(($AM$11:$AM1783&lt;&gt;"")*($AS$11:$AS1783="✓")),"")</f>
        <v/>
      </c>
      <c r="BA1783" s="21" t="str">
        <f>IF($AL1783="","",$AL1783&amp;"|"&amp;COUNTIF($AL$11:$AL1783,$AL1783))</f>
        <v/>
      </c>
    </row>
    <row r="1784" spans="38:53" ht="15" customHeight="1" x14ac:dyDescent="0.25">
      <c r="AL1784" s="31"/>
      <c r="AM1784" s="26"/>
      <c r="AN1784" s="32"/>
      <c r="AO1784" s="32"/>
      <c r="AP1784" s="24"/>
      <c r="AQ1784" s="24"/>
      <c r="AR1784" s="33"/>
      <c r="AS1784" s="34"/>
      <c r="AT1784" s="33"/>
      <c r="AV1784" s="21">
        <f>IF(AND($AL1784&lt;&gt;"",COUNTIF($AL$11:$AL1784,$AL1784)=1),1,0)</f>
        <v>0</v>
      </c>
      <c r="AW1784" s="21">
        <f t="shared" si="141"/>
        <v>0</v>
      </c>
      <c r="AX1784" s="21" t="str">
        <f t="shared" si="140"/>
        <v/>
      </c>
      <c r="AY1784" s="21" t="str">
        <f>IF(AND($AM1784&lt;&gt;"",$AS1784&lt;&gt;"✓"),SUMPRODUCT(($AM$11:$AM1784&lt;&gt;"")*($AS$11:$AS1784&lt;&gt;"✓")),"")</f>
        <v/>
      </c>
      <c r="AZ1784" s="21" t="str">
        <f>IF(AND($AM1784&lt;&gt;"",$AS1784="✓"),SUMPRODUCT(($AM$11:$AM1784&lt;&gt;"")*($AS$11:$AS1784="✓")),"")</f>
        <v/>
      </c>
      <c r="BA1784" s="21" t="str">
        <f>IF($AL1784="","",$AL1784&amp;"|"&amp;COUNTIF($AL$11:$AL1784,$AL1784))</f>
        <v/>
      </c>
    </row>
    <row r="1785" spans="38:53" ht="15" customHeight="1" x14ac:dyDescent="0.25">
      <c r="AL1785" s="17"/>
      <c r="AM1785" s="12"/>
      <c r="AN1785" s="18"/>
      <c r="AO1785" s="18"/>
      <c r="AP1785" s="10"/>
      <c r="AQ1785" s="10"/>
      <c r="AR1785" s="19"/>
      <c r="AS1785" s="20"/>
      <c r="AT1785" s="19"/>
      <c r="AV1785" s="21">
        <f>IF(AND($AL1785&lt;&gt;"",COUNTIF($AL$11:$AL1785,$AL1785)=1),1,0)</f>
        <v>0</v>
      </c>
      <c r="AW1785" s="21">
        <f t="shared" si="141"/>
        <v>0</v>
      </c>
      <c r="AX1785" s="21" t="str">
        <f t="shared" si="140"/>
        <v/>
      </c>
      <c r="AY1785" s="21" t="str">
        <f>IF(AND($AM1785&lt;&gt;"",$AS1785&lt;&gt;"✓"),SUMPRODUCT(($AM$11:$AM1785&lt;&gt;"")*($AS$11:$AS1785&lt;&gt;"✓")),"")</f>
        <v/>
      </c>
      <c r="AZ1785" s="21" t="str">
        <f>IF(AND($AM1785&lt;&gt;"",$AS1785="✓"),SUMPRODUCT(($AM$11:$AM1785&lt;&gt;"")*($AS$11:$AS1785="✓")),"")</f>
        <v/>
      </c>
      <c r="BA1785" s="21" t="str">
        <f>IF($AL1785="","",$AL1785&amp;"|"&amp;COUNTIF($AL$11:$AL1785,$AL1785))</f>
        <v/>
      </c>
    </row>
    <row r="1786" spans="38:53" ht="15" customHeight="1" x14ac:dyDescent="0.25">
      <c r="AL1786" s="31"/>
      <c r="AM1786" s="26"/>
      <c r="AN1786" s="32"/>
      <c r="AO1786" s="32"/>
      <c r="AP1786" s="24"/>
      <c r="AQ1786" s="24"/>
      <c r="AR1786" s="33"/>
      <c r="AS1786" s="34"/>
      <c r="AT1786" s="33"/>
      <c r="AV1786" s="21">
        <f>IF(AND($AL1786&lt;&gt;"",COUNTIF($AL$11:$AL1786,$AL1786)=1),1,0)</f>
        <v>0</v>
      </c>
      <c r="AW1786" s="21">
        <f t="shared" si="141"/>
        <v>0</v>
      </c>
      <c r="AX1786" s="21" t="str">
        <f t="shared" si="140"/>
        <v/>
      </c>
      <c r="AY1786" s="21" t="str">
        <f>IF(AND($AM1786&lt;&gt;"",$AS1786&lt;&gt;"✓"),SUMPRODUCT(($AM$11:$AM1786&lt;&gt;"")*($AS$11:$AS1786&lt;&gt;"✓")),"")</f>
        <v/>
      </c>
      <c r="AZ1786" s="21" t="str">
        <f>IF(AND($AM1786&lt;&gt;"",$AS1786="✓"),SUMPRODUCT(($AM$11:$AM1786&lt;&gt;"")*($AS$11:$AS1786="✓")),"")</f>
        <v/>
      </c>
      <c r="BA1786" s="21" t="str">
        <f>IF($AL1786="","",$AL1786&amp;"|"&amp;COUNTIF($AL$11:$AL1786,$AL1786))</f>
        <v/>
      </c>
    </row>
    <row r="1787" spans="38:53" ht="15" customHeight="1" x14ac:dyDescent="0.25">
      <c r="AL1787" s="17"/>
      <c r="AM1787" s="12"/>
      <c r="AN1787" s="18"/>
      <c r="AO1787" s="18"/>
      <c r="AP1787" s="10"/>
      <c r="AQ1787" s="10"/>
      <c r="AR1787" s="19"/>
      <c r="AS1787" s="20"/>
      <c r="AT1787" s="19"/>
      <c r="AV1787" s="21">
        <f>IF(AND($AL1787&lt;&gt;"",COUNTIF($AL$11:$AL1787,$AL1787)=1),1,0)</f>
        <v>0</v>
      </c>
      <c r="AW1787" s="21">
        <f t="shared" si="141"/>
        <v>0</v>
      </c>
      <c r="AX1787" s="21" t="str">
        <f t="shared" si="140"/>
        <v/>
      </c>
      <c r="AY1787" s="21" t="str">
        <f>IF(AND($AM1787&lt;&gt;"",$AS1787&lt;&gt;"✓"),SUMPRODUCT(($AM$11:$AM1787&lt;&gt;"")*($AS$11:$AS1787&lt;&gt;"✓")),"")</f>
        <v/>
      </c>
      <c r="AZ1787" s="21" t="str">
        <f>IF(AND($AM1787&lt;&gt;"",$AS1787="✓"),SUMPRODUCT(($AM$11:$AM1787&lt;&gt;"")*($AS$11:$AS1787="✓")),"")</f>
        <v/>
      </c>
      <c r="BA1787" s="21" t="str">
        <f>IF($AL1787="","",$AL1787&amp;"|"&amp;COUNTIF($AL$11:$AL1787,$AL1787))</f>
        <v/>
      </c>
    </row>
    <row r="1788" spans="38:53" ht="15" customHeight="1" x14ac:dyDescent="0.25">
      <c r="AL1788" s="31"/>
      <c r="AM1788" s="26"/>
      <c r="AN1788" s="32"/>
      <c r="AO1788" s="32"/>
      <c r="AP1788" s="24"/>
      <c r="AQ1788" s="24"/>
      <c r="AR1788" s="33"/>
      <c r="AS1788" s="34"/>
      <c r="AT1788" s="33"/>
      <c r="AV1788" s="21">
        <f>IF(AND($AL1788&lt;&gt;"",COUNTIF($AL$11:$AL1788,$AL1788)=1),1,0)</f>
        <v>0</v>
      </c>
      <c r="AW1788" s="21">
        <f t="shared" si="141"/>
        <v>0</v>
      </c>
      <c r="AX1788" s="21" t="str">
        <f t="shared" si="140"/>
        <v/>
      </c>
      <c r="AY1788" s="21" t="str">
        <f>IF(AND($AM1788&lt;&gt;"",$AS1788&lt;&gt;"✓"),SUMPRODUCT(($AM$11:$AM1788&lt;&gt;"")*($AS$11:$AS1788&lt;&gt;"✓")),"")</f>
        <v/>
      </c>
      <c r="AZ1788" s="21" t="str">
        <f>IF(AND($AM1788&lt;&gt;"",$AS1788="✓"),SUMPRODUCT(($AM$11:$AM1788&lt;&gt;"")*($AS$11:$AS1788="✓")),"")</f>
        <v/>
      </c>
      <c r="BA1788" s="21" t="str">
        <f>IF($AL1788="","",$AL1788&amp;"|"&amp;COUNTIF($AL$11:$AL1788,$AL1788))</f>
        <v/>
      </c>
    </row>
    <row r="1789" spans="38:53" ht="15" customHeight="1" x14ac:dyDescent="0.25">
      <c r="AL1789" s="17"/>
      <c r="AM1789" s="12"/>
      <c r="AN1789" s="18"/>
      <c r="AO1789" s="18"/>
      <c r="AP1789" s="10"/>
      <c r="AQ1789" s="10"/>
      <c r="AR1789" s="19"/>
      <c r="AS1789" s="20"/>
      <c r="AT1789" s="19"/>
      <c r="AV1789" s="21">
        <f>IF(AND($AL1789&lt;&gt;"",COUNTIF($AL$11:$AL1789,$AL1789)=1),1,0)</f>
        <v>0</v>
      </c>
      <c r="AW1789" s="21">
        <f t="shared" si="141"/>
        <v>0</v>
      </c>
      <c r="AX1789" s="21" t="str">
        <f t="shared" si="140"/>
        <v/>
      </c>
      <c r="AY1789" s="21" t="str">
        <f>IF(AND($AM1789&lt;&gt;"",$AS1789&lt;&gt;"✓"),SUMPRODUCT(($AM$11:$AM1789&lt;&gt;"")*($AS$11:$AS1789&lt;&gt;"✓")),"")</f>
        <v/>
      </c>
      <c r="AZ1789" s="21" t="str">
        <f>IF(AND($AM1789&lt;&gt;"",$AS1789="✓"),SUMPRODUCT(($AM$11:$AM1789&lt;&gt;"")*($AS$11:$AS1789="✓")),"")</f>
        <v/>
      </c>
      <c r="BA1789" s="21" t="str">
        <f>IF($AL1789="","",$AL1789&amp;"|"&amp;COUNTIF($AL$11:$AL1789,$AL1789))</f>
        <v/>
      </c>
    </row>
    <row r="1790" spans="38:53" ht="15" customHeight="1" x14ac:dyDescent="0.25">
      <c r="AL1790" s="31"/>
      <c r="AM1790" s="26"/>
      <c r="AN1790" s="32"/>
      <c r="AO1790" s="32"/>
      <c r="AP1790" s="24"/>
      <c r="AQ1790" s="24"/>
      <c r="AR1790" s="33"/>
      <c r="AS1790" s="34"/>
      <c r="AT1790" s="33"/>
      <c r="AV1790" s="21">
        <f>IF(AND($AL1790&lt;&gt;"",COUNTIF($AL$11:$AL1790,$AL1790)=1),1,0)</f>
        <v>0</v>
      </c>
      <c r="AW1790" s="21">
        <f t="shared" si="141"/>
        <v>0</v>
      </c>
      <c r="AX1790" s="21" t="str">
        <f t="shared" si="140"/>
        <v/>
      </c>
      <c r="AY1790" s="21" t="str">
        <f>IF(AND($AM1790&lt;&gt;"",$AS1790&lt;&gt;"✓"),SUMPRODUCT(($AM$11:$AM1790&lt;&gt;"")*($AS$11:$AS1790&lt;&gt;"✓")),"")</f>
        <v/>
      </c>
      <c r="AZ1790" s="21" t="str">
        <f>IF(AND($AM1790&lt;&gt;"",$AS1790="✓"),SUMPRODUCT(($AM$11:$AM1790&lt;&gt;"")*($AS$11:$AS1790="✓")),"")</f>
        <v/>
      </c>
      <c r="BA1790" s="21" t="str">
        <f>IF($AL1790="","",$AL1790&amp;"|"&amp;COUNTIF($AL$11:$AL1790,$AL1790))</f>
        <v/>
      </c>
    </row>
    <row r="1791" spans="38:53" ht="15" customHeight="1" x14ac:dyDescent="0.25">
      <c r="AL1791" s="17"/>
      <c r="AM1791" s="12"/>
      <c r="AN1791" s="18"/>
      <c r="AO1791" s="18"/>
      <c r="AP1791" s="10"/>
      <c r="AQ1791" s="10"/>
      <c r="AR1791" s="19"/>
      <c r="AS1791" s="20"/>
      <c r="AT1791" s="19"/>
      <c r="AV1791" s="21">
        <f>IF(AND($AL1791&lt;&gt;"",COUNTIF($AL$11:$AL1791,$AL1791)=1),1,0)</f>
        <v>0</v>
      </c>
      <c r="AW1791" s="21">
        <f t="shared" si="141"/>
        <v>0</v>
      </c>
      <c r="AX1791" s="21" t="str">
        <f t="shared" si="140"/>
        <v/>
      </c>
      <c r="AY1791" s="21" t="str">
        <f>IF(AND($AM1791&lt;&gt;"",$AS1791&lt;&gt;"✓"),SUMPRODUCT(($AM$11:$AM1791&lt;&gt;"")*($AS$11:$AS1791&lt;&gt;"✓")),"")</f>
        <v/>
      </c>
      <c r="AZ1791" s="21" t="str">
        <f>IF(AND($AM1791&lt;&gt;"",$AS1791="✓"),SUMPRODUCT(($AM$11:$AM1791&lt;&gt;"")*($AS$11:$AS1791="✓")),"")</f>
        <v/>
      </c>
      <c r="BA1791" s="21" t="str">
        <f>IF($AL1791="","",$AL1791&amp;"|"&amp;COUNTIF($AL$11:$AL1791,$AL1791))</f>
        <v/>
      </c>
    </row>
    <row r="1792" spans="38:53" ht="15" customHeight="1" x14ac:dyDescent="0.25">
      <c r="AL1792" s="31"/>
      <c r="AM1792" s="26"/>
      <c r="AN1792" s="32"/>
      <c r="AO1792" s="32"/>
      <c r="AP1792" s="24"/>
      <c r="AQ1792" s="24"/>
      <c r="AR1792" s="33"/>
      <c r="AS1792" s="34"/>
      <c r="AT1792" s="33"/>
      <c r="AV1792" s="21">
        <f>IF(AND($AL1792&lt;&gt;"",COUNTIF($AL$11:$AL1792,$AL1792)=1),1,0)</f>
        <v>0</v>
      </c>
      <c r="AW1792" s="21">
        <f t="shared" si="141"/>
        <v>0</v>
      </c>
      <c r="AX1792" s="21" t="str">
        <f t="shared" si="140"/>
        <v/>
      </c>
      <c r="AY1792" s="21" t="str">
        <f>IF(AND($AM1792&lt;&gt;"",$AS1792&lt;&gt;"✓"),SUMPRODUCT(($AM$11:$AM1792&lt;&gt;"")*($AS$11:$AS1792&lt;&gt;"✓")),"")</f>
        <v/>
      </c>
      <c r="AZ1792" s="21" t="str">
        <f>IF(AND($AM1792&lt;&gt;"",$AS1792="✓"),SUMPRODUCT(($AM$11:$AM1792&lt;&gt;"")*($AS$11:$AS1792="✓")),"")</f>
        <v/>
      </c>
      <c r="BA1792" s="21" t="str">
        <f>IF($AL1792="","",$AL1792&amp;"|"&amp;COUNTIF($AL$11:$AL1792,$AL1792))</f>
        <v/>
      </c>
    </row>
    <row r="1793" spans="38:53" ht="15" customHeight="1" x14ac:dyDescent="0.25">
      <c r="AL1793" s="17"/>
      <c r="AM1793" s="12"/>
      <c r="AN1793" s="18"/>
      <c r="AO1793" s="18"/>
      <c r="AP1793" s="10"/>
      <c r="AQ1793" s="10"/>
      <c r="AR1793" s="19"/>
      <c r="AS1793" s="20"/>
      <c r="AT1793" s="19"/>
      <c r="AV1793" s="21">
        <f>IF(AND($AL1793&lt;&gt;"",COUNTIF($AL$11:$AL1793,$AL1793)=1),1,0)</f>
        <v>0</v>
      </c>
      <c r="AW1793" s="21">
        <f t="shared" si="141"/>
        <v>0</v>
      </c>
      <c r="AX1793" s="21" t="str">
        <f t="shared" si="140"/>
        <v/>
      </c>
      <c r="AY1793" s="21" t="str">
        <f>IF(AND($AM1793&lt;&gt;"",$AS1793&lt;&gt;"✓"),SUMPRODUCT(($AM$11:$AM1793&lt;&gt;"")*($AS$11:$AS1793&lt;&gt;"✓")),"")</f>
        <v/>
      </c>
      <c r="AZ1793" s="21" t="str">
        <f>IF(AND($AM1793&lt;&gt;"",$AS1793="✓"),SUMPRODUCT(($AM$11:$AM1793&lt;&gt;"")*($AS$11:$AS1793="✓")),"")</f>
        <v/>
      </c>
      <c r="BA1793" s="21" t="str">
        <f>IF($AL1793="","",$AL1793&amp;"|"&amp;COUNTIF($AL$11:$AL1793,$AL1793))</f>
        <v/>
      </c>
    </row>
    <row r="1794" spans="38:53" ht="15" customHeight="1" x14ac:dyDescent="0.25">
      <c r="AL1794" s="31"/>
      <c r="AM1794" s="26"/>
      <c r="AN1794" s="32"/>
      <c r="AO1794" s="32"/>
      <c r="AP1794" s="24"/>
      <c r="AQ1794" s="24"/>
      <c r="AR1794" s="33"/>
      <c r="AS1794" s="34"/>
      <c r="AT1794" s="33"/>
      <c r="AV1794" s="21">
        <f>IF(AND($AL1794&lt;&gt;"",COUNTIF($AL$11:$AL1794,$AL1794)=1),1,0)</f>
        <v>0</v>
      </c>
      <c r="AW1794" s="21">
        <f t="shared" si="141"/>
        <v>0</v>
      </c>
      <c r="AX1794" s="21" t="str">
        <f t="shared" si="140"/>
        <v/>
      </c>
      <c r="AY1794" s="21" t="str">
        <f>IF(AND($AM1794&lt;&gt;"",$AS1794&lt;&gt;"✓"),SUMPRODUCT(($AM$11:$AM1794&lt;&gt;"")*($AS$11:$AS1794&lt;&gt;"✓")),"")</f>
        <v/>
      </c>
      <c r="AZ1794" s="21" t="str">
        <f>IF(AND($AM1794&lt;&gt;"",$AS1794="✓"),SUMPRODUCT(($AM$11:$AM1794&lt;&gt;"")*($AS$11:$AS1794="✓")),"")</f>
        <v/>
      </c>
      <c r="BA1794" s="21" t="str">
        <f>IF($AL1794="","",$AL1794&amp;"|"&amp;COUNTIF($AL$11:$AL1794,$AL1794))</f>
        <v/>
      </c>
    </row>
    <row r="1795" spans="38:53" ht="15" customHeight="1" x14ac:dyDescent="0.25">
      <c r="AL1795" s="17"/>
      <c r="AM1795" s="12"/>
      <c r="AN1795" s="18"/>
      <c r="AO1795" s="18"/>
      <c r="AP1795" s="10"/>
      <c r="AQ1795" s="10"/>
      <c r="AR1795" s="19"/>
      <c r="AS1795" s="20"/>
      <c r="AT1795" s="19"/>
      <c r="AV1795" s="21">
        <f>IF(AND($AL1795&lt;&gt;"",COUNTIF($AL$11:$AL1795,$AL1795)=1),1,0)</f>
        <v>0</v>
      </c>
      <c r="AW1795" s="21">
        <f t="shared" si="141"/>
        <v>0</v>
      </c>
      <c r="AX1795" s="21" t="str">
        <f t="shared" si="140"/>
        <v/>
      </c>
      <c r="AY1795" s="21" t="str">
        <f>IF(AND($AM1795&lt;&gt;"",$AS1795&lt;&gt;"✓"),SUMPRODUCT(($AM$11:$AM1795&lt;&gt;"")*($AS$11:$AS1795&lt;&gt;"✓")),"")</f>
        <v/>
      </c>
      <c r="AZ1795" s="21" t="str">
        <f>IF(AND($AM1795&lt;&gt;"",$AS1795="✓"),SUMPRODUCT(($AM$11:$AM1795&lt;&gt;"")*($AS$11:$AS1795="✓")),"")</f>
        <v/>
      </c>
      <c r="BA1795" s="21" t="str">
        <f>IF($AL1795="","",$AL1795&amp;"|"&amp;COUNTIF($AL$11:$AL1795,$AL1795))</f>
        <v/>
      </c>
    </row>
    <row r="1796" spans="38:53" ht="15" customHeight="1" x14ac:dyDescent="0.25">
      <c r="AL1796" s="31"/>
      <c r="AM1796" s="26"/>
      <c r="AN1796" s="32"/>
      <c r="AO1796" s="32"/>
      <c r="AP1796" s="24"/>
      <c r="AQ1796" s="24"/>
      <c r="AR1796" s="33"/>
      <c r="AS1796" s="34"/>
      <c r="AT1796" s="33"/>
      <c r="AV1796" s="21">
        <f>IF(AND($AL1796&lt;&gt;"",COUNTIF($AL$11:$AL1796,$AL1796)=1),1,0)</f>
        <v>0</v>
      </c>
      <c r="AW1796" s="21">
        <f t="shared" si="141"/>
        <v>0</v>
      </c>
      <c r="AX1796" s="21" t="str">
        <f t="shared" si="140"/>
        <v/>
      </c>
      <c r="AY1796" s="21" t="str">
        <f>IF(AND($AM1796&lt;&gt;"",$AS1796&lt;&gt;"✓"),SUMPRODUCT(($AM$11:$AM1796&lt;&gt;"")*($AS$11:$AS1796&lt;&gt;"✓")),"")</f>
        <v/>
      </c>
      <c r="AZ1796" s="21" t="str">
        <f>IF(AND($AM1796&lt;&gt;"",$AS1796="✓"),SUMPRODUCT(($AM$11:$AM1796&lt;&gt;"")*($AS$11:$AS1796="✓")),"")</f>
        <v/>
      </c>
      <c r="BA1796" s="21" t="str">
        <f>IF($AL1796="","",$AL1796&amp;"|"&amp;COUNTIF($AL$11:$AL1796,$AL1796))</f>
        <v/>
      </c>
    </row>
    <row r="1797" spans="38:53" ht="15" customHeight="1" x14ac:dyDescent="0.25">
      <c r="AL1797" s="17"/>
      <c r="AM1797" s="12"/>
      <c r="AN1797" s="18"/>
      <c r="AO1797" s="18"/>
      <c r="AP1797" s="10"/>
      <c r="AQ1797" s="10"/>
      <c r="AR1797" s="19"/>
      <c r="AS1797" s="20"/>
      <c r="AT1797" s="19"/>
      <c r="AV1797" s="21">
        <f>IF(AND($AL1797&lt;&gt;"",COUNTIF($AL$11:$AL1797,$AL1797)=1),1,0)</f>
        <v>0</v>
      </c>
      <c r="AW1797" s="21">
        <f t="shared" si="141"/>
        <v>0</v>
      </c>
      <c r="AX1797" s="21" t="str">
        <f t="shared" si="140"/>
        <v/>
      </c>
      <c r="AY1797" s="21" t="str">
        <f>IF(AND($AM1797&lt;&gt;"",$AS1797&lt;&gt;"✓"),SUMPRODUCT(($AM$11:$AM1797&lt;&gt;"")*($AS$11:$AS1797&lt;&gt;"✓")),"")</f>
        <v/>
      </c>
      <c r="AZ1797" s="21" t="str">
        <f>IF(AND($AM1797&lt;&gt;"",$AS1797="✓"),SUMPRODUCT(($AM$11:$AM1797&lt;&gt;"")*($AS$11:$AS1797="✓")),"")</f>
        <v/>
      </c>
      <c r="BA1797" s="21" t="str">
        <f>IF($AL1797="","",$AL1797&amp;"|"&amp;COUNTIF($AL$11:$AL1797,$AL1797))</f>
        <v/>
      </c>
    </row>
    <row r="1798" spans="38:53" ht="15" customHeight="1" x14ac:dyDescent="0.25">
      <c r="AL1798" s="31"/>
      <c r="AM1798" s="26"/>
      <c r="AN1798" s="32"/>
      <c r="AO1798" s="32"/>
      <c r="AP1798" s="24"/>
      <c r="AQ1798" s="24"/>
      <c r="AR1798" s="33"/>
      <c r="AS1798" s="34"/>
      <c r="AT1798" s="33"/>
      <c r="AV1798" s="21">
        <f>IF(AND($AL1798&lt;&gt;"",COUNTIF($AL$11:$AL1798,$AL1798)=1),1,0)</f>
        <v>0</v>
      </c>
      <c r="AW1798" s="21">
        <f t="shared" si="141"/>
        <v>0</v>
      </c>
      <c r="AX1798" s="21" t="str">
        <f t="shared" si="140"/>
        <v/>
      </c>
      <c r="AY1798" s="21" t="str">
        <f>IF(AND($AM1798&lt;&gt;"",$AS1798&lt;&gt;"✓"),SUMPRODUCT(($AM$11:$AM1798&lt;&gt;"")*($AS$11:$AS1798&lt;&gt;"✓")),"")</f>
        <v/>
      </c>
      <c r="AZ1798" s="21" t="str">
        <f>IF(AND($AM1798&lt;&gt;"",$AS1798="✓"),SUMPRODUCT(($AM$11:$AM1798&lt;&gt;"")*($AS$11:$AS1798="✓")),"")</f>
        <v/>
      </c>
      <c r="BA1798" s="21" t="str">
        <f>IF($AL1798="","",$AL1798&amp;"|"&amp;COUNTIF($AL$11:$AL1798,$AL1798))</f>
        <v/>
      </c>
    </row>
    <row r="1799" spans="38:53" ht="15" customHeight="1" x14ac:dyDescent="0.25">
      <c r="AL1799" s="17"/>
      <c r="AM1799" s="12"/>
      <c r="AN1799" s="18"/>
      <c r="AO1799" s="18"/>
      <c r="AP1799" s="10"/>
      <c r="AQ1799" s="10"/>
      <c r="AR1799" s="19"/>
      <c r="AS1799" s="20"/>
      <c r="AT1799" s="19"/>
      <c r="AV1799" s="21">
        <f>IF(AND($AL1799&lt;&gt;"",COUNTIF($AL$11:$AL1799,$AL1799)=1),1,0)</f>
        <v>0</v>
      </c>
      <c r="AW1799" s="21">
        <f t="shared" si="141"/>
        <v>0</v>
      </c>
      <c r="AX1799" s="21" t="str">
        <f t="shared" si="140"/>
        <v/>
      </c>
      <c r="AY1799" s="21" t="str">
        <f>IF(AND($AM1799&lt;&gt;"",$AS1799&lt;&gt;"✓"),SUMPRODUCT(($AM$11:$AM1799&lt;&gt;"")*($AS$11:$AS1799&lt;&gt;"✓")),"")</f>
        <v/>
      </c>
      <c r="AZ1799" s="21" t="str">
        <f>IF(AND($AM1799&lt;&gt;"",$AS1799="✓"),SUMPRODUCT(($AM$11:$AM1799&lt;&gt;"")*($AS$11:$AS1799="✓")),"")</f>
        <v/>
      </c>
      <c r="BA1799" s="21" t="str">
        <f>IF($AL1799="","",$AL1799&amp;"|"&amp;COUNTIF($AL$11:$AL1799,$AL1799))</f>
        <v/>
      </c>
    </row>
    <row r="1800" spans="38:53" ht="15" customHeight="1" x14ac:dyDescent="0.25">
      <c r="AL1800" s="31"/>
      <c r="AM1800" s="26"/>
      <c r="AN1800" s="32"/>
      <c r="AO1800" s="32"/>
      <c r="AP1800" s="24"/>
      <c r="AQ1800" s="24"/>
      <c r="AR1800" s="33"/>
      <c r="AS1800" s="34"/>
      <c r="AT1800" s="33"/>
      <c r="AV1800" s="21">
        <f>IF(AND($AL1800&lt;&gt;"",COUNTIF($AL$11:$AL1800,$AL1800)=1),1,0)</f>
        <v>0</v>
      </c>
      <c r="AW1800" s="21">
        <f t="shared" si="141"/>
        <v>0</v>
      </c>
      <c r="AX1800" s="21" t="str">
        <f t="shared" si="140"/>
        <v/>
      </c>
      <c r="AY1800" s="21" t="str">
        <f>IF(AND($AM1800&lt;&gt;"",$AS1800&lt;&gt;"✓"),SUMPRODUCT(($AM$11:$AM1800&lt;&gt;"")*($AS$11:$AS1800&lt;&gt;"✓")),"")</f>
        <v/>
      </c>
      <c r="AZ1800" s="21" t="str">
        <f>IF(AND($AM1800&lt;&gt;"",$AS1800="✓"),SUMPRODUCT(($AM$11:$AM1800&lt;&gt;"")*($AS$11:$AS1800="✓")),"")</f>
        <v/>
      </c>
      <c r="BA1800" s="21" t="str">
        <f>IF($AL1800="","",$AL1800&amp;"|"&amp;COUNTIF($AL$11:$AL1800,$AL1800))</f>
        <v/>
      </c>
    </row>
    <row r="1801" spans="38:53" ht="15" customHeight="1" x14ac:dyDescent="0.25">
      <c r="AL1801" s="17"/>
      <c r="AM1801" s="12"/>
      <c r="AN1801" s="18"/>
      <c r="AO1801" s="18"/>
      <c r="AP1801" s="10"/>
      <c r="AQ1801" s="10"/>
      <c r="AR1801" s="19"/>
      <c r="AS1801" s="20"/>
      <c r="AT1801" s="19"/>
      <c r="AV1801" s="21">
        <f>IF(AND($AL1801&lt;&gt;"",COUNTIF($AL$11:$AL1801,$AL1801)=1),1,0)</f>
        <v>0</v>
      </c>
      <c r="AW1801" s="21">
        <f t="shared" si="141"/>
        <v>0</v>
      </c>
      <c r="AX1801" s="21" t="str">
        <f t="shared" si="140"/>
        <v/>
      </c>
      <c r="AY1801" s="21" t="str">
        <f>IF(AND($AM1801&lt;&gt;"",$AS1801&lt;&gt;"✓"),SUMPRODUCT(($AM$11:$AM1801&lt;&gt;"")*($AS$11:$AS1801&lt;&gt;"✓")),"")</f>
        <v/>
      </c>
      <c r="AZ1801" s="21" t="str">
        <f>IF(AND($AM1801&lt;&gt;"",$AS1801="✓"),SUMPRODUCT(($AM$11:$AM1801&lt;&gt;"")*($AS$11:$AS1801="✓")),"")</f>
        <v/>
      </c>
      <c r="BA1801" s="21" t="str">
        <f>IF($AL1801="","",$AL1801&amp;"|"&amp;COUNTIF($AL$11:$AL1801,$AL1801))</f>
        <v/>
      </c>
    </row>
    <row r="1802" spans="38:53" ht="15" customHeight="1" x14ac:dyDescent="0.25">
      <c r="AL1802" s="31"/>
      <c r="AM1802" s="26"/>
      <c r="AN1802" s="32"/>
      <c r="AO1802" s="32"/>
      <c r="AP1802" s="24"/>
      <c r="AQ1802" s="24"/>
      <c r="AR1802" s="33"/>
      <c r="AS1802" s="34"/>
      <c r="AT1802" s="33"/>
      <c r="AV1802" s="21">
        <f>IF(AND($AL1802&lt;&gt;"",COUNTIF($AL$11:$AL1802,$AL1802)=1),1,0)</f>
        <v>0</v>
      </c>
      <c r="AW1802" s="21">
        <f t="shared" si="141"/>
        <v>0</v>
      </c>
      <c r="AX1802" s="21" t="str">
        <f t="shared" si="140"/>
        <v/>
      </c>
      <c r="AY1802" s="21" t="str">
        <f>IF(AND($AM1802&lt;&gt;"",$AS1802&lt;&gt;"✓"),SUMPRODUCT(($AM$11:$AM1802&lt;&gt;"")*($AS$11:$AS1802&lt;&gt;"✓")),"")</f>
        <v/>
      </c>
      <c r="AZ1802" s="21" t="str">
        <f>IF(AND($AM1802&lt;&gt;"",$AS1802="✓"),SUMPRODUCT(($AM$11:$AM1802&lt;&gt;"")*($AS$11:$AS1802="✓")),"")</f>
        <v/>
      </c>
      <c r="BA1802" s="21" t="str">
        <f>IF($AL1802="","",$AL1802&amp;"|"&amp;COUNTIF($AL$11:$AL1802,$AL1802))</f>
        <v/>
      </c>
    </row>
    <row r="1803" spans="38:53" ht="15" customHeight="1" x14ac:dyDescent="0.25">
      <c r="AL1803" s="17"/>
      <c r="AM1803" s="12"/>
      <c r="AN1803" s="18"/>
      <c r="AO1803" s="18"/>
      <c r="AP1803" s="10"/>
      <c r="AQ1803" s="10"/>
      <c r="AR1803" s="19"/>
      <c r="AS1803" s="20"/>
      <c r="AT1803" s="19"/>
      <c r="AV1803" s="21">
        <f>IF(AND($AL1803&lt;&gt;"",COUNTIF($AL$11:$AL1803,$AL1803)=1),1,0)</f>
        <v>0</v>
      </c>
      <c r="AW1803" s="21">
        <f t="shared" si="141"/>
        <v>0</v>
      </c>
      <c r="AX1803" s="21" t="str">
        <f t="shared" ref="AX1803:AX1866" si="142">IF(AV1803=1,AW1803,"")</f>
        <v/>
      </c>
      <c r="AY1803" s="21" t="str">
        <f>IF(AND($AM1803&lt;&gt;"",$AS1803&lt;&gt;"✓"),SUMPRODUCT(($AM$11:$AM1803&lt;&gt;"")*($AS$11:$AS1803&lt;&gt;"✓")),"")</f>
        <v/>
      </c>
      <c r="AZ1803" s="21" t="str">
        <f>IF(AND($AM1803&lt;&gt;"",$AS1803="✓"),SUMPRODUCT(($AM$11:$AM1803&lt;&gt;"")*($AS$11:$AS1803="✓")),"")</f>
        <v/>
      </c>
      <c r="BA1803" s="21" t="str">
        <f>IF($AL1803="","",$AL1803&amp;"|"&amp;COUNTIF($AL$11:$AL1803,$AL1803))</f>
        <v/>
      </c>
    </row>
    <row r="1804" spans="38:53" ht="15" customHeight="1" x14ac:dyDescent="0.25">
      <c r="AL1804" s="31"/>
      <c r="AM1804" s="26"/>
      <c r="AN1804" s="32"/>
      <c r="AO1804" s="32"/>
      <c r="AP1804" s="24"/>
      <c r="AQ1804" s="24"/>
      <c r="AR1804" s="33"/>
      <c r="AS1804" s="34"/>
      <c r="AT1804" s="33"/>
      <c r="AV1804" s="21">
        <f>IF(AND($AL1804&lt;&gt;"",COUNTIF($AL$11:$AL1804,$AL1804)=1),1,0)</f>
        <v>0</v>
      </c>
      <c r="AW1804" s="21">
        <f t="shared" ref="AW1804:AW1867" si="143">AW1803+AV1804</f>
        <v>0</v>
      </c>
      <c r="AX1804" s="21" t="str">
        <f t="shared" si="142"/>
        <v/>
      </c>
      <c r="AY1804" s="21" t="str">
        <f>IF(AND($AM1804&lt;&gt;"",$AS1804&lt;&gt;"✓"),SUMPRODUCT(($AM$11:$AM1804&lt;&gt;"")*($AS$11:$AS1804&lt;&gt;"✓")),"")</f>
        <v/>
      </c>
      <c r="AZ1804" s="21" t="str">
        <f>IF(AND($AM1804&lt;&gt;"",$AS1804="✓"),SUMPRODUCT(($AM$11:$AM1804&lt;&gt;"")*($AS$11:$AS1804="✓")),"")</f>
        <v/>
      </c>
      <c r="BA1804" s="21" t="str">
        <f>IF($AL1804="","",$AL1804&amp;"|"&amp;COUNTIF($AL$11:$AL1804,$AL1804))</f>
        <v/>
      </c>
    </row>
    <row r="1805" spans="38:53" ht="15" customHeight="1" x14ac:dyDescent="0.25">
      <c r="AL1805" s="17"/>
      <c r="AM1805" s="12"/>
      <c r="AN1805" s="18"/>
      <c r="AO1805" s="18"/>
      <c r="AP1805" s="10"/>
      <c r="AQ1805" s="10"/>
      <c r="AR1805" s="19"/>
      <c r="AS1805" s="20"/>
      <c r="AT1805" s="19"/>
      <c r="AV1805" s="21">
        <f>IF(AND($AL1805&lt;&gt;"",COUNTIF($AL$11:$AL1805,$AL1805)=1),1,0)</f>
        <v>0</v>
      </c>
      <c r="AW1805" s="21">
        <f t="shared" si="143"/>
        <v>0</v>
      </c>
      <c r="AX1805" s="21" t="str">
        <f t="shared" si="142"/>
        <v/>
      </c>
      <c r="AY1805" s="21" t="str">
        <f>IF(AND($AM1805&lt;&gt;"",$AS1805&lt;&gt;"✓"),SUMPRODUCT(($AM$11:$AM1805&lt;&gt;"")*($AS$11:$AS1805&lt;&gt;"✓")),"")</f>
        <v/>
      </c>
      <c r="AZ1805" s="21" t="str">
        <f>IF(AND($AM1805&lt;&gt;"",$AS1805="✓"),SUMPRODUCT(($AM$11:$AM1805&lt;&gt;"")*($AS$11:$AS1805="✓")),"")</f>
        <v/>
      </c>
      <c r="BA1805" s="21" t="str">
        <f>IF($AL1805="","",$AL1805&amp;"|"&amp;COUNTIF($AL$11:$AL1805,$AL1805))</f>
        <v/>
      </c>
    </row>
    <row r="1806" spans="38:53" ht="15" customHeight="1" x14ac:dyDescent="0.25">
      <c r="AL1806" s="31"/>
      <c r="AM1806" s="26"/>
      <c r="AN1806" s="32"/>
      <c r="AO1806" s="32"/>
      <c r="AP1806" s="24"/>
      <c r="AQ1806" s="24"/>
      <c r="AR1806" s="33"/>
      <c r="AS1806" s="34"/>
      <c r="AT1806" s="33"/>
      <c r="AV1806" s="21">
        <f>IF(AND($AL1806&lt;&gt;"",COUNTIF($AL$11:$AL1806,$AL1806)=1),1,0)</f>
        <v>0</v>
      </c>
      <c r="AW1806" s="21">
        <f t="shared" si="143"/>
        <v>0</v>
      </c>
      <c r="AX1806" s="21" t="str">
        <f t="shared" si="142"/>
        <v/>
      </c>
      <c r="AY1806" s="21" t="str">
        <f>IF(AND($AM1806&lt;&gt;"",$AS1806&lt;&gt;"✓"),SUMPRODUCT(($AM$11:$AM1806&lt;&gt;"")*($AS$11:$AS1806&lt;&gt;"✓")),"")</f>
        <v/>
      </c>
      <c r="AZ1806" s="21" t="str">
        <f>IF(AND($AM1806&lt;&gt;"",$AS1806="✓"),SUMPRODUCT(($AM$11:$AM1806&lt;&gt;"")*($AS$11:$AS1806="✓")),"")</f>
        <v/>
      </c>
      <c r="BA1806" s="21" t="str">
        <f>IF($AL1806="","",$AL1806&amp;"|"&amp;COUNTIF($AL$11:$AL1806,$AL1806))</f>
        <v/>
      </c>
    </row>
    <row r="1807" spans="38:53" ht="15" customHeight="1" x14ac:dyDescent="0.25">
      <c r="AL1807" s="17"/>
      <c r="AM1807" s="12"/>
      <c r="AN1807" s="18"/>
      <c r="AO1807" s="18"/>
      <c r="AP1807" s="10"/>
      <c r="AQ1807" s="10"/>
      <c r="AR1807" s="19"/>
      <c r="AS1807" s="20"/>
      <c r="AT1807" s="19"/>
      <c r="AV1807" s="21">
        <f>IF(AND($AL1807&lt;&gt;"",COUNTIF($AL$11:$AL1807,$AL1807)=1),1,0)</f>
        <v>0</v>
      </c>
      <c r="AW1807" s="21">
        <f t="shared" si="143"/>
        <v>0</v>
      </c>
      <c r="AX1807" s="21" t="str">
        <f t="shared" si="142"/>
        <v/>
      </c>
      <c r="AY1807" s="21" t="str">
        <f>IF(AND($AM1807&lt;&gt;"",$AS1807&lt;&gt;"✓"),SUMPRODUCT(($AM$11:$AM1807&lt;&gt;"")*($AS$11:$AS1807&lt;&gt;"✓")),"")</f>
        <v/>
      </c>
      <c r="AZ1807" s="21" t="str">
        <f>IF(AND($AM1807&lt;&gt;"",$AS1807="✓"),SUMPRODUCT(($AM$11:$AM1807&lt;&gt;"")*($AS$11:$AS1807="✓")),"")</f>
        <v/>
      </c>
      <c r="BA1807" s="21" t="str">
        <f>IF($AL1807="","",$AL1807&amp;"|"&amp;COUNTIF($AL$11:$AL1807,$AL1807))</f>
        <v/>
      </c>
    </row>
    <row r="1808" spans="38:53" ht="15" customHeight="1" x14ac:dyDescent="0.25">
      <c r="AL1808" s="31"/>
      <c r="AM1808" s="26"/>
      <c r="AN1808" s="32"/>
      <c r="AO1808" s="32"/>
      <c r="AP1808" s="24"/>
      <c r="AQ1808" s="24"/>
      <c r="AR1808" s="33"/>
      <c r="AS1808" s="34"/>
      <c r="AT1808" s="33"/>
      <c r="AV1808" s="21">
        <f>IF(AND($AL1808&lt;&gt;"",COUNTIF($AL$11:$AL1808,$AL1808)=1),1,0)</f>
        <v>0</v>
      </c>
      <c r="AW1808" s="21">
        <f t="shared" si="143"/>
        <v>0</v>
      </c>
      <c r="AX1808" s="21" t="str">
        <f t="shared" si="142"/>
        <v/>
      </c>
      <c r="AY1808" s="21" t="str">
        <f>IF(AND($AM1808&lt;&gt;"",$AS1808&lt;&gt;"✓"),SUMPRODUCT(($AM$11:$AM1808&lt;&gt;"")*($AS$11:$AS1808&lt;&gt;"✓")),"")</f>
        <v/>
      </c>
      <c r="AZ1808" s="21" t="str">
        <f>IF(AND($AM1808&lt;&gt;"",$AS1808="✓"),SUMPRODUCT(($AM$11:$AM1808&lt;&gt;"")*($AS$11:$AS1808="✓")),"")</f>
        <v/>
      </c>
      <c r="BA1808" s="21" t="str">
        <f>IF($AL1808="","",$AL1808&amp;"|"&amp;COUNTIF($AL$11:$AL1808,$AL1808))</f>
        <v/>
      </c>
    </row>
    <row r="1809" spans="38:53" ht="15" customHeight="1" x14ac:dyDescent="0.25">
      <c r="AL1809" s="17"/>
      <c r="AM1809" s="12"/>
      <c r="AN1809" s="18"/>
      <c r="AO1809" s="18"/>
      <c r="AP1809" s="10"/>
      <c r="AQ1809" s="10"/>
      <c r="AR1809" s="19"/>
      <c r="AS1809" s="20"/>
      <c r="AT1809" s="19"/>
      <c r="AV1809" s="21">
        <f>IF(AND($AL1809&lt;&gt;"",COUNTIF($AL$11:$AL1809,$AL1809)=1),1,0)</f>
        <v>0</v>
      </c>
      <c r="AW1809" s="21">
        <f t="shared" si="143"/>
        <v>0</v>
      </c>
      <c r="AX1809" s="21" t="str">
        <f t="shared" si="142"/>
        <v/>
      </c>
      <c r="AY1809" s="21" t="str">
        <f>IF(AND($AM1809&lt;&gt;"",$AS1809&lt;&gt;"✓"),SUMPRODUCT(($AM$11:$AM1809&lt;&gt;"")*($AS$11:$AS1809&lt;&gt;"✓")),"")</f>
        <v/>
      </c>
      <c r="AZ1809" s="21" t="str">
        <f>IF(AND($AM1809&lt;&gt;"",$AS1809="✓"),SUMPRODUCT(($AM$11:$AM1809&lt;&gt;"")*($AS$11:$AS1809="✓")),"")</f>
        <v/>
      </c>
      <c r="BA1809" s="21" t="str">
        <f>IF($AL1809="","",$AL1809&amp;"|"&amp;COUNTIF($AL$11:$AL1809,$AL1809))</f>
        <v/>
      </c>
    </row>
    <row r="1810" spans="38:53" ht="15" customHeight="1" x14ac:dyDescent="0.25">
      <c r="AL1810" s="31"/>
      <c r="AM1810" s="26"/>
      <c r="AN1810" s="32"/>
      <c r="AO1810" s="32"/>
      <c r="AP1810" s="24"/>
      <c r="AQ1810" s="24"/>
      <c r="AR1810" s="33"/>
      <c r="AS1810" s="34"/>
      <c r="AT1810" s="33"/>
      <c r="AV1810" s="21">
        <f>IF(AND($AL1810&lt;&gt;"",COUNTIF($AL$11:$AL1810,$AL1810)=1),1,0)</f>
        <v>0</v>
      </c>
      <c r="AW1810" s="21">
        <f t="shared" si="143"/>
        <v>0</v>
      </c>
      <c r="AX1810" s="21" t="str">
        <f t="shared" si="142"/>
        <v/>
      </c>
      <c r="AY1810" s="21" t="str">
        <f>IF(AND($AM1810&lt;&gt;"",$AS1810&lt;&gt;"✓"),SUMPRODUCT(($AM$11:$AM1810&lt;&gt;"")*($AS$11:$AS1810&lt;&gt;"✓")),"")</f>
        <v/>
      </c>
      <c r="AZ1810" s="21" t="str">
        <f>IF(AND($AM1810&lt;&gt;"",$AS1810="✓"),SUMPRODUCT(($AM$11:$AM1810&lt;&gt;"")*($AS$11:$AS1810="✓")),"")</f>
        <v/>
      </c>
      <c r="BA1810" s="21" t="str">
        <f>IF($AL1810="","",$AL1810&amp;"|"&amp;COUNTIF($AL$11:$AL1810,$AL1810))</f>
        <v/>
      </c>
    </row>
    <row r="1811" spans="38:53" ht="15" customHeight="1" x14ac:dyDescent="0.25">
      <c r="AL1811" s="17"/>
      <c r="AM1811" s="12"/>
      <c r="AN1811" s="18"/>
      <c r="AO1811" s="18"/>
      <c r="AP1811" s="10"/>
      <c r="AQ1811" s="10"/>
      <c r="AR1811" s="19"/>
      <c r="AS1811" s="20"/>
      <c r="AT1811" s="19"/>
      <c r="AV1811" s="21">
        <f>IF(AND($AL1811&lt;&gt;"",COUNTIF($AL$11:$AL1811,$AL1811)=1),1,0)</f>
        <v>0</v>
      </c>
      <c r="AW1811" s="21">
        <f t="shared" si="143"/>
        <v>0</v>
      </c>
      <c r="AX1811" s="21" t="str">
        <f t="shared" si="142"/>
        <v/>
      </c>
      <c r="AY1811" s="21" t="str">
        <f>IF(AND($AM1811&lt;&gt;"",$AS1811&lt;&gt;"✓"),SUMPRODUCT(($AM$11:$AM1811&lt;&gt;"")*($AS$11:$AS1811&lt;&gt;"✓")),"")</f>
        <v/>
      </c>
      <c r="AZ1811" s="21" t="str">
        <f>IF(AND($AM1811&lt;&gt;"",$AS1811="✓"),SUMPRODUCT(($AM$11:$AM1811&lt;&gt;"")*($AS$11:$AS1811="✓")),"")</f>
        <v/>
      </c>
      <c r="BA1811" s="21" t="str">
        <f>IF($AL1811="","",$AL1811&amp;"|"&amp;COUNTIF($AL$11:$AL1811,$AL1811))</f>
        <v/>
      </c>
    </row>
    <row r="1812" spans="38:53" ht="15" customHeight="1" x14ac:dyDescent="0.25">
      <c r="AL1812" s="31"/>
      <c r="AM1812" s="26"/>
      <c r="AN1812" s="32"/>
      <c r="AO1812" s="32"/>
      <c r="AP1812" s="24"/>
      <c r="AQ1812" s="24"/>
      <c r="AR1812" s="33"/>
      <c r="AS1812" s="34"/>
      <c r="AT1812" s="33"/>
      <c r="AV1812" s="21">
        <f>IF(AND($AL1812&lt;&gt;"",COUNTIF($AL$11:$AL1812,$AL1812)=1),1,0)</f>
        <v>0</v>
      </c>
      <c r="AW1812" s="21">
        <f t="shared" si="143"/>
        <v>0</v>
      </c>
      <c r="AX1812" s="21" t="str">
        <f t="shared" si="142"/>
        <v/>
      </c>
      <c r="AY1812" s="21" t="str">
        <f>IF(AND($AM1812&lt;&gt;"",$AS1812&lt;&gt;"✓"),SUMPRODUCT(($AM$11:$AM1812&lt;&gt;"")*($AS$11:$AS1812&lt;&gt;"✓")),"")</f>
        <v/>
      </c>
      <c r="AZ1812" s="21" t="str">
        <f>IF(AND($AM1812&lt;&gt;"",$AS1812="✓"),SUMPRODUCT(($AM$11:$AM1812&lt;&gt;"")*($AS$11:$AS1812="✓")),"")</f>
        <v/>
      </c>
      <c r="BA1812" s="21" t="str">
        <f>IF($AL1812="","",$AL1812&amp;"|"&amp;COUNTIF($AL$11:$AL1812,$AL1812))</f>
        <v/>
      </c>
    </row>
    <row r="1813" spans="38:53" ht="15" customHeight="1" x14ac:dyDescent="0.25">
      <c r="AL1813" s="17"/>
      <c r="AM1813" s="12"/>
      <c r="AN1813" s="18"/>
      <c r="AO1813" s="18"/>
      <c r="AP1813" s="10"/>
      <c r="AQ1813" s="10"/>
      <c r="AR1813" s="19"/>
      <c r="AS1813" s="20"/>
      <c r="AT1813" s="19"/>
      <c r="AV1813" s="21">
        <f>IF(AND($AL1813&lt;&gt;"",COUNTIF($AL$11:$AL1813,$AL1813)=1),1,0)</f>
        <v>0</v>
      </c>
      <c r="AW1813" s="21">
        <f t="shared" si="143"/>
        <v>0</v>
      </c>
      <c r="AX1813" s="21" t="str">
        <f t="shared" si="142"/>
        <v/>
      </c>
      <c r="AY1813" s="21" t="str">
        <f>IF(AND($AM1813&lt;&gt;"",$AS1813&lt;&gt;"✓"),SUMPRODUCT(($AM$11:$AM1813&lt;&gt;"")*($AS$11:$AS1813&lt;&gt;"✓")),"")</f>
        <v/>
      </c>
      <c r="AZ1813" s="21" t="str">
        <f>IF(AND($AM1813&lt;&gt;"",$AS1813="✓"),SUMPRODUCT(($AM$11:$AM1813&lt;&gt;"")*($AS$11:$AS1813="✓")),"")</f>
        <v/>
      </c>
      <c r="BA1813" s="21" t="str">
        <f>IF($AL1813="","",$AL1813&amp;"|"&amp;COUNTIF($AL$11:$AL1813,$AL1813))</f>
        <v/>
      </c>
    </row>
    <row r="1814" spans="38:53" ht="15" customHeight="1" x14ac:dyDescent="0.25">
      <c r="AL1814" s="31"/>
      <c r="AM1814" s="26"/>
      <c r="AN1814" s="32"/>
      <c r="AO1814" s="32"/>
      <c r="AP1814" s="24"/>
      <c r="AQ1814" s="24"/>
      <c r="AR1814" s="33"/>
      <c r="AS1814" s="34"/>
      <c r="AT1814" s="33"/>
      <c r="AV1814" s="21">
        <f>IF(AND($AL1814&lt;&gt;"",COUNTIF($AL$11:$AL1814,$AL1814)=1),1,0)</f>
        <v>0</v>
      </c>
      <c r="AW1814" s="21">
        <f t="shared" si="143"/>
        <v>0</v>
      </c>
      <c r="AX1814" s="21" t="str">
        <f t="shared" si="142"/>
        <v/>
      </c>
      <c r="AY1814" s="21" t="str">
        <f>IF(AND($AM1814&lt;&gt;"",$AS1814&lt;&gt;"✓"),SUMPRODUCT(($AM$11:$AM1814&lt;&gt;"")*($AS$11:$AS1814&lt;&gt;"✓")),"")</f>
        <v/>
      </c>
      <c r="AZ1814" s="21" t="str">
        <f>IF(AND($AM1814&lt;&gt;"",$AS1814="✓"),SUMPRODUCT(($AM$11:$AM1814&lt;&gt;"")*($AS$11:$AS1814="✓")),"")</f>
        <v/>
      </c>
      <c r="BA1814" s="21" t="str">
        <f>IF($AL1814="","",$AL1814&amp;"|"&amp;COUNTIF($AL$11:$AL1814,$AL1814))</f>
        <v/>
      </c>
    </row>
    <row r="1815" spans="38:53" ht="15" customHeight="1" x14ac:dyDescent="0.25">
      <c r="AL1815" s="17"/>
      <c r="AM1815" s="12"/>
      <c r="AN1815" s="18"/>
      <c r="AO1815" s="18"/>
      <c r="AP1815" s="10"/>
      <c r="AQ1815" s="10"/>
      <c r="AR1815" s="19"/>
      <c r="AS1815" s="20"/>
      <c r="AT1815" s="19"/>
      <c r="AV1815" s="21">
        <f>IF(AND($AL1815&lt;&gt;"",COUNTIF($AL$11:$AL1815,$AL1815)=1),1,0)</f>
        <v>0</v>
      </c>
      <c r="AW1815" s="21">
        <f t="shared" si="143"/>
        <v>0</v>
      </c>
      <c r="AX1815" s="21" t="str">
        <f t="shared" si="142"/>
        <v/>
      </c>
      <c r="AY1815" s="21" t="str">
        <f>IF(AND($AM1815&lt;&gt;"",$AS1815&lt;&gt;"✓"),SUMPRODUCT(($AM$11:$AM1815&lt;&gt;"")*($AS$11:$AS1815&lt;&gt;"✓")),"")</f>
        <v/>
      </c>
      <c r="AZ1815" s="21" t="str">
        <f>IF(AND($AM1815&lt;&gt;"",$AS1815="✓"),SUMPRODUCT(($AM$11:$AM1815&lt;&gt;"")*($AS$11:$AS1815="✓")),"")</f>
        <v/>
      </c>
      <c r="BA1815" s="21" t="str">
        <f>IF($AL1815="","",$AL1815&amp;"|"&amp;COUNTIF($AL$11:$AL1815,$AL1815))</f>
        <v/>
      </c>
    </row>
    <row r="1816" spans="38:53" ht="15" customHeight="1" x14ac:dyDescent="0.25">
      <c r="AL1816" s="31"/>
      <c r="AM1816" s="26"/>
      <c r="AN1816" s="32"/>
      <c r="AO1816" s="32"/>
      <c r="AP1816" s="24"/>
      <c r="AQ1816" s="24"/>
      <c r="AR1816" s="33"/>
      <c r="AS1816" s="34"/>
      <c r="AT1816" s="33"/>
      <c r="AV1816" s="21">
        <f>IF(AND($AL1816&lt;&gt;"",COUNTIF($AL$11:$AL1816,$AL1816)=1),1,0)</f>
        <v>0</v>
      </c>
      <c r="AW1816" s="21">
        <f t="shared" si="143"/>
        <v>0</v>
      </c>
      <c r="AX1816" s="21" t="str">
        <f t="shared" si="142"/>
        <v/>
      </c>
      <c r="AY1816" s="21" t="str">
        <f>IF(AND($AM1816&lt;&gt;"",$AS1816&lt;&gt;"✓"),SUMPRODUCT(($AM$11:$AM1816&lt;&gt;"")*($AS$11:$AS1816&lt;&gt;"✓")),"")</f>
        <v/>
      </c>
      <c r="AZ1816" s="21" t="str">
        <f>IF(AND($AM1816&lt;&gt;"",$AS1816="✓"),SUMPRODUCT(($AM$11:$AM1816&lt;&gt;"")*($AS$11:$AS1816="✓")),"")</f>
        <v/>
      </c>
      <c r="BA1816" s="21" t="str">
        <f>IF($AL1816="","",$AL1816&amp;"|"&amp;COUNTIF($AL$11:$AL1816,$AL1816))</f>
        <v/>
      </c>
    </row>
    <row r="1817" spans="38:53" ht="15" customHeight="1" x14ac:dyDescent="0.25">
      <c r="AL1817" s="17"/>
      <c r="AM1817" s="12"/>
      <c r="AN1817" s="18"/>
      <c r="AO1817" s="18"/>
      <c r="AP1817" s="10"/>
      <c r="AQ1817" s="10"/>
      <c r="AR1817" s="19"/>
      <c r="AS1817" s="20"/>
      <c r="AT1817" s="19"/>
      <c r="AV1817" s="21">
        <f>IF(AND($AL1817&lt;&gt;"",COUNTIF($AL$11:$AL1817,$AL1817)=1),1,0)</f>
        <v>0</v>
      </c>
      <c r="AW1817" s="21">
        <f t="shared" si="143"/>
        <v>0</v>
      </c>
      <c r="AX1817" s="21" t="str">
        <f t="shared" si="142"/>
        <v/>
      </c>
      <c r="AY1817" s="21" t="str">
        <f>IF(AND($AM1817&lt;&gt;"",$AS1817&lt;&gt;"✓"),SUMPRODUCT(($AM$11:$AM1817&lt;&gt;"")*($AS$11:$AS1817&lt;&gt;"✓")),"")</f>
        <v/>
      </c>
      <c r="AZ1817" s="21" t="str">
        <f>IF(AND($AM1817&lt;&gt;"",$AS1817="✓"),SUMPRODUCT(($AM$11:$AM1817&lt;&gt;"")*($AS$11:$AS1817="✓")),"")</f>
        <v/>
      </c>
      <c r="BA1817" s="21" t="str">
        <f>IF($AL1817="","",$AL1817&amp;"|"&amp;COUNTIF($AL$11:$AL1817,$AL1817))</f>
        <v/>
      </c>
    </row>
    <row r="1818" spans="38:53" ht="15" customHeight="1" x14ac:dyDescent="0.25">
      <c r="AL1818" s="31"/>
      <c r="AM1818" s="26"/>
      <c r="AN1818" s="32"/>
      <c r="AO1818" s="32"/>
      <c r="AP1818" s="24"/>
      <c r="AQ1818" s="24"/>
      <c r="AR1818" s="33"/>
      <c r="AS1818" s="34"/>
      <c r="AT1818" s="33"/>
      <c r="AV1818" s="21">
        <f>IF(AND($AL1818&lt;&gt;"",COUNTIF($AL$11:$AL1818,$AL1818)=1),1,0)</f>
        <v>0</v>
      </c>
      <c r="AW1818" s="21">
        <f t="shared" si="143"/>
        <v>0</v>
      </c>
      <c r="AX1818" s="21" t="str">
        <f t="shared" si="142"/>
        <v/>
      </c>
      <c r="AY1818" s="21" t="str">
        <f>IF(AND($AM1818&lt;&gt;"",$AS1818&lt;&gt;"✓"),SUMPRODUCT(($AM$11:$AM1818&lt;&gt;"")*($AS$11:$AS1818&lt;&gt;"✓")),"")</f>
        <v/>
      </c>
      <c r="AZ1818" s="21" t="str">
        <f>IF(AND($AM1818&lt;&gt;"",$AS1818="✓"),SUMPRODUCT(($AM$11:$AM1818&lt;&gt;"")*($AS$11:$AS1818="✓")),"")</f>
        <v/>
      </c>
      <c r="BA1818" s="21" t="str">
        <f>IF($AL1818="","",$AL1818&amp;"|"&amp;COUNTIF($AL$11:$AL1818,$AL1818))</f>
        <v/>
      </c>
    </row>
    <row r="1819" spans="38:53" ht="15" customHeight="1" x14ac:dyDescent="0.25">
      <c r="AL1819" s="17"/>
      <c r="AM1819" s="12"/>
      <c r="AN1819" s="18"/>
      <c r="AO1819" s="18"/>
      <c r="AP1819" s="10"/>
      <c r="AQ1819" s="10"/>
      <c r="AR1819" s="19"/>
      <c r="AS1819" s="20"/>
      <c r="AT1819" s="19"/>
      <c r="AV1819" s="21">
        <f>IF(AND($AL1819&lt;&gt;"",COUNTIF($AL$11:$AL1819,$AL1819)=1),1,0)</f>
        <v>0</v>
      </c>
      <c r="AW1819" s="21">
        <f t="shared" si="143"/>
        <v>0</v>
      </c>
      <c r="AX1819" s="21" t="str">
        <f t="shared" si="142"/>
        <v/>
      </c>
      <c r="AY1819" s="21" t="str">
        <f>IF(AND($AM1819&lt;&gt;"",$AS1819&lt;&gt;"✓"),SUMPRODUCT(($AM$11:$AM1819&lt;&gt;"")*($AS$11:$AS1819&lt;&gt;"✓")),"")</f>
        <v/>
      </c>
      <c r="AZ1819" s="21" t="str">
        <f>IF(AND($AM1819&lt;&gt;"",$AS1819="✓"),SUMPRODUCT(($AM$11:$AM1819&lt;&gt;"")*($AS$11:$AS1819="✓")),"")</f>
        <v/>
      </c>
      <c r="BA1819" s="21" t="str">
        <f>IF($AL1819="","",$AL1819&amp;"|"&amp;COUNTIF($AL$11:$AL1819,$AL1819))</f>
        <v/>
      </c>
    </row>
    <row r="1820" spans="38:53" ht="15" customHeight="1" x14ac:dyDescent="0.25">
      <c r="AL1820" s="31"/>
      <c r="AM1820" s="26"/>
      <c r="AN1820" s="32"/>
      <c r="AO1820" s="32"/>
      <c r="AP1820" s="24"/>
      <c r="AQ1820" s="24"/>
      <c r="AR1820" s="33"/>
      <c r="AS1820" s="34"/>
      <c r="AT1820" s="33"/>
      <c r="AV1820" s="21">
        <f>IF(AND($AL1820&lt;&gt;"",COUNTIF($AL$11:$AL1820,$AL1820)=1),1,0)</f>
        <v>0</v>
      </c>
      <c r="AW1820" s="21">
        <f t="shared" si="143"/>
        <v>0</v>
      </c>
      <c r="AX1820" s="21" t="str">
        <f t="shared" si="142"/>
        <v/>
      </c>
      <c r="AY1820" s="21" t="str">
        <f>IF(AND($AM1820&lt;&gt;"",$AS1820&lt;&gt;"✓"),SUMPRODUCT(($AM$11:$AM1820&lt;&gt;"")*($AS$11:$AS1820&lt;&gt;"✓")),"")</f>
        <v/>
      </c>
      <c r="AZ1820" s="21" t="str">
        <f>IF(AND($AM1820&lt;&gt;"",$AS1820="✓"),SUMPRODUCT(($AM$11:$AM1820&lt;&gt;"")*($AS$11:$AS1820="✓")),"")</f>
        <v/>
      </c>
      <c r="BA1820" s="21" t="str">
        <f>IF($AL1820="","",$AL1820&amp;"|"&amp;COUNTIF($AL$11:$AL1820,$AL1820))</f>
        <v/>
      </c>
    </row>
    <row r="1821" spans="38:53" ht="15" customHeight="1" x14ac:dyDescent="0.25">
      <c r="AL1821" s="17"/>
      <c r="AM1821" s="12"/>
      <c r="AN1821" s="18"/>
      <c r="AO1821" s="18"/>
      <c r="AP1821" s="10"/>
      <c r="AQ1821" s="10"/>
      <c r="AR1821" s="19"/>
      <c r="AS1821" s="20"/>
      <c r="AT1821" s="19"/>
      <c r="AV1821" s="21">
        <f>IF(AND($AL1821&lt;&gt;"",COUNTIF($AL$11:$AL1821,$AL1821)=1),1,0)</f>
        <v>0</v>
      </c>
      <c r="AW1821" s="21">
        <f t="shared" si="143"/>
        <v>0</v>
      </c>
      <c r="AX1821" s="21" t="str">
        <f t="shared" si="142"/>
        <v/>
      </c>
      <c r="AY1821" s="21" t="str">
        <f>IF(AND($AM1821&lt;&gt;"",$AS1821&lt;&gt;"✓"),SUMPRODUCT(($AM$11:$AM1821&lt;&gt;"")*($AS$11:$AS1821&lt;&gt;"✓")),"")</f>
        <v/>
      </c>
      <c r="AZ1821" s="21" t="str">
        <f>IF(AND($AM1821&lt;&gt;"",$AS1821="✓"),SUMPRODUCT(($AM$11:$AM1821&lt;&gt;"")*($AS$11:$AS1821="✓")),"")</f>
        <v/>
      </c>
      <c r="BA1821" s="21" t="str">
        <f>IF($AL1821="","",$AL1821&amp;"|"&amp;COUNTIF($AL$11:$AL1821,$AL1821))</f>
        <v/>
      </c>
    </row>
    <row r="1822" spans="38:53" ht="15" customHeight="1" x14ac:dyDescent="0.25">
      <c r="AL1822" s="31"/>
      <c r="AM1822" s="26"/>
      <c r="AN1822" s="32"/>
      <c r="AO1822" s="32"/>
      <c r="AP1822" s="24"/>
      <c r="AQ1822" s="24"/>
      <c r="AR1822" s="33"/>
      <c r="AS1822" s="34"/>
      <c r="AT1822" s="33"/>
      <c r="AV1822" s="21">
        <f>IF(AND($AL1822&lt;&gt;"",COUNTIF($AL$11:$AL1822,$AL1822)=1),1,0)</f>
        <v>0</v>
      </c>
      <c r="AW1822" s="21">
        <f t="shared" si="143"/>
        <v>0</v>
      </c>
      <c r="AX1822" s="21" t="str">
        <f t="shared" si="142"/>
        <v/>
      </c>
      <c r="AY1822" s="21" t="str">
        <f>IF(AND($AM1822&lt;&gt;"",$AS1822&lt;&gt;"✓"),SUMPRODUCT(($AM$11:$AM1822&lt;&gt;"")*($AS$11:$AS1822&lt;&gt;"✓")),"")</f>
        <v/>
      </c>
      <c r="AZ1822" s="21" t="str">
        <f>IF(AND($AM1822&lt;&gt;"",$AS1822="✓"),SUMPRODUCT(($AM$11:$AM1822&lt;&gt;"")*($AS$11:$AS1822="✓")),"")</f>
        <v/>
      </c>
      <c r="BA1822" s="21" t="str">
        <f>IF($AL1822="","",$AL1822&amp;"|"&amp;COUNTIF($AL$11:$AL1822,$AL1822))</f>
        <v/>
      </c>
    </row>
    <row r="1823" spans="38:53" ht="15" customHeight="1" x14ac:dyDescent="0.25">
      <c r="AL1823" s="17"/>
      <c r="AM1823" s="12"/>
      <c r="AN1823" s="18"/>
      <c r="AO1823" s="18"/>
      <c r="AP1823" s="10"/>
      <c r="AQ1823" s="10"/>
      <c r="AR1823" s="19"/>
      <c r="AS1823" s="20"/>
      <c r="AT1823" s="19"/>
      <c r="AV1823" s="21">
        <f>IF(AND($AL1823&lt;&gt;"",COUNTIF($AL$11:$AL1823,$AL1823)=1),1,0)</f>
        <v>0</v>
      </c>
      <c r="AW1823" s="21">
        <f t="shared" si="143"/>
        <v>0</v>
      </c>
      <c r="AX1823" s="21" t="str">
        <f t="shared" si="142"/>
        <v/>
      </c>
      <c r="AY1823" s="21" t="str">
        <f>IF(AND($AM1823&lt;&gt;"",$AS1823&lt;&gt;"✓"),SUMPRODUCT(($AM$11:$AM1823&lt;&gt;"")*($AS$11:$AS1823&lt;&gt;"✓")),"")</f>
        <v/>
      </c>
      <c r="AZ1823" s="21" t="str">
        <f>IF(AND($AM1823&lt;&gt;"",$AS1823="✓"),SUMPRODUCT(($AM$11:$AM1823&lt;&gt;"")*($AS$11:$AS1823="✓")),"")</f>
        <v/>
      </c>
      <c r="BA1823" s="21" t="str">
        <f>IF($AL1823="","",$AL1823&amp;"|"&amp;COUNTIF($AL$11:$AL1823,$AL1823))</f>
        <v/>
      </c>
    </row>
    <row r="1824" spans="38:53" ht="15" customHeight="1" x14ac:dyDescent="0.25">
      <c r="AL1824" s="31"/>
      <c r="AM1824" s="26"/>
      <c r="AN1824" s="32"/>
      <c r="AO1824" s="32"/>
      <c r="AP1824" s="24"/>
      <c r="AQ1824" s="24"/>
      <c r="AR1824" s="33"/>
      <c r="AS1824" s="34"/>
      <c r="AT1824" s="33"/>
      <c r="AV1824" s="21">
        <f>IF(AND($AL1824&lt;&gt;"",COUNTIF($AL$11:$AL1824,$AL1824)=1),1,0)</f>
        <v>0</v>
      </c>
      <c r="AW1824" s="21">
        <f t="shared" si="143"/>
        <v>0</v>
      </c>
      <c r="AX1824" s="21" t="str">
        <f t="shared" si="142"/>
        <v/>
      </c>
      <c r="AY1824" s="21" t="str">
        <f>IF(AND($AM1824&lt;&gt;"",$AS1824&lt;&gt;"✓"),SUMPRODUCT(($AM$11:$AM1824&lt;&gt;"")*($AS$11:$AS1824&lt;&gt;"✓")),"")</f>
        <v/>
      </c>
      <c r="AZ1824" s="21" t="str">
        <f>IF(AND($AM1824&lt;&gt;"",$AS1824="✓"),SUMPRODUCT(($AM$11:$AM1824&lt;&gt;"")*($AS$11:$AS1824="✓")),"")</f>
        <v/>
      </c>
      <c r="BA1824" s="21" t="str">
        <f>IF($AL1824="","",$AL1824&amp;"|"&amp;COUNTIF($AL$11:$AL1824,$AL1824))</f>
        <v/>
      </c>
    </row>
    <row r="1825" spans="38:53" ht="15" customHeight="1" x14ac:dyDescent="0.25">
      <c r="AL1825" s="17"/>
      <c r="AM1825" s="12"/>
      <c r="AN1825" s="18"/>
      <c r="AO1825" s="18"/>
      <c r="AP1825" s="10"/>
      <c r="AQ1825" s="10"/>
      <c r="AR1825" s="19"/>
      <c r="AS1825" s="20"/>
      <c r="AT1825" s="19"/>
      <c r="AV1825" s="21">
        <f>IF(AND($AL1825&lt;&gt;"",COUNTIF($AL$11:$AL1825,$AL1825)=1),1,0)</f>
        <v>0</v>
      </c>
      <c r="AW1825" s="21">
        <f t="shared" si="143"/>
        <v>0</v>
      </c>
      <c r="AX1825" s="21" t="str">
        <f t="shared" si="142"/>
        <v/>
      </c>
      <c r="AY1825" s="21" t="str">
        <f>IF(AND($AM1825&lt;&gt;"",$AS1825&lt;&gt;"✓"),SUMPRODUCT(($AM$11:$AM1825&lt;&gt;"")*($AS$11:$AS1825&lt;&gt;"✓")),"")</f>
        <v/>
      </c>
      <c r="AZ1825" s="21" t="str">
        <f>IF(AND($AM1825&lt;&gt;"",$AS1825="✓"),SUMPRODUCT(($AM$11:$AM1825&lt;&gt;"")*($AS$11:$AS1825="✓")),"")</f>
        <v/>
      </c>
      <c r="BA1825" s="21" t="str">
        <f>IF($AL1825="","",$AL1825&amp;"|"&amp;COUNTIF($AL$11:$AL1825,$AL1825))</f>
        <v/>
      </c>
    </row>
    <row r="1826" spans="38:53" ht="15" customHeight="1" x14ac:dyDescent="0.25">
      <c r="AL1826" s="31"/>
      <c r="AM1826" s="26"/>
      <c r="AN1826" s="32"/>
      <c r="AO1826" s="32"/>
      <c r="AP1826" s="24"/>
      <c r="AQ1826" s="24"/>
      <c r="AR1826" s="33"/>
      <c r="AS1826" s="34"/>
      <c r="AT1826" s="33"/>
      <c r="AV1826" s="21">
        <f>IF(AND($AL1826&lt;&gt;"",COUNTIF($AL$11:$AL1826,$AL1826)=1),1,0)</f>
        <v>0</v>
      </c>
      <c r="AW1826" s="21">
        <f t="shared" si="143"/>
        <v>0</v>
      </c>
      <c r="AX1826" s="21" t="str">
        <f t="shared" si="142"/>
        <v/>
      </c>
      <c r="AY1826" s="21" t="str">
        <f>IF(AND($AM1826&lt;&gt;"",$AS1826&lt;&gt;"✓"),SUMPRODUCT(($AM$11:$AM1826&lt;&gt;"")*($AS$11:$AS1826&lt;&gt;"✓")),"")</f>
        <v/>
      </c>
      <c r="AZ1826" s="21" t="str">
        <f>IF(AND($AM1826&lt;&gt;"",$AS1826="✓"),SUMPRODUCT(($AM$11:$AM1826&lt;&gt;"")*($AS$11:$AS1826="✓")),"")</f>
        <v/>
      </c>
      <c r="BA1826" s="21" t="str">
        <f>IF($AL1826="","",$AL1826&amp;"|"&amp;COUNTIF($AL$11:$AL1826,$AL1826))</f>
        <v/>
      </c>
    </row>
    <row r="1827" spans="38:53" ht="15" customHeight="1" x14ac:dyDescent="0.25">
      <c r="AL1827" s="17"/>
      <c r="AM1827" s="12"/>
      <c r="AN1827" s="18"/>
      <c r="AO1827" s="18"/>
      <c r="AP1827" s="10"/>
      <c r="AQ1827" s="10"/>
      <c r="AR1827" s="19"/>
      <c r="AS1827" s="20"/>
      <c r="AT1827" s="19"/>
      <c r="AV1827" s="21">
        <f>IF(AND($AL1827&lt;&gt;"",COUNTIF($AL$11:$AL1827,$AL1827)=1),1,0)</f>
        <v>0</v>
      </c>
      <c r="AW1827" s="21">
        <f t="shared" si="143"/>
        <v>0</v>
      </c>
      <c r="AX1827" s="21" t="str">
        <f t="shared" si="142"/>
        <v/>
      </c>
      <c r="AY1827" s="21" t="str">
        <f>IF(AND($AM1827&lt;&gt;"",$AS1827&lt;&gt;"✓"),SUMPRODUCT(($AM$11:$AM1827&lt;&gt;"")*($AS$11:$AS1827&lt;&gt;"✓")),"")</f>
        <v/>
      </c>
      <c r="AZ1827" s="21" t="str">
        <f>IF(AND($AM1827&lt;&gt;"",$AS1827="✓"),SUMPRODUCT(($AM$11:$AM1827&lt;&gt;"")*($AS$11:$AS1827="✓")),"")</f>
        <v/>
      </c>
      <c r="BA1827" s="21" t="str">
        <f>IF($AL1827="","",$AL1827&amp;"|"&amp;COUNTIF($AL$11:$AL1827,$AL1827))</f>
        <v/>
      </c>
    </row>
    <row r="1828" spans="38:53" ht="15" customHeight="1" x14ac:dyDescent="0.25">
      <c r="AL1828" s="31"/>
      <c r="AM1828" s="26"/>
      <c r="AN1828" s="32"/>
      <c r="AO1828" s="32"/>
      <c r="AP1828" s="24"/>
      <c r="AQ1828" s="24"/>
      <c r="AR1828" s="33"/>
      <c r="AS1828" s="34"/>
      <c r="AT1828" s="33"/>
      <c r="AV1828" s="21">
        <f>IF(AND($AL1828&lt;&gt;"",COUNTIF($AL$11:$AL1828,$AL1828)=1),1,0)</f>
        <v>0</v>
      </c>
      <c r="AW1828" s="21">
        <f t="shared" si="143"/>
        <v>0</v>
      </c>
      <c r="AX1828" s="21" t="str">
        <f t="shared" si="142"/>
        <v/>
      </c>
      <c r="AY1828" s="21" t="str">
        <f>IF(AND($AM1828&lt;&gt;"",$AS1828&lt;&gt;"✓"),SUMPRODUCT(($AM$11:$AM1828&lt;&gt;"")*($AS$11:$AS1828&lt;&gt;"✓")),"")</f>
        <v/>
      </c>
      <c r="AZ1828" s="21" t="str">
        <f>IF(AND($AM1828&lt;&gt;"",$AS1828="✓"),SUMPRODUCT(($AM$11:$AM1828&lt;&gt;"")*($AS$11:$AS1828="✓")),"")</f>
        <v/>
      </c>
      <c r="BA1828" s="21" t="str">
        <f>IF($AL1828="","",$AL1828&amp;"|"&amp;COUNTIF($AL$11:$AL1828,$AL1828))</f>
        <v/>
      </c>
    </row>
    <row r="1829" spans="38:53" ht="15" customHeight="1" x14ac:dyDescent="0.25">
      <c r="AL1829" s="17"/>
      <c r="AM1829" s="12"/>
      <c r="AN1829" s="18"/>
      <c r="AO1829" s="18"/>
      <c r="AP1829" s="10"/>
      <c r="AQ1829" s="10"/>
      <c r="AR1829" s="19"/>
      <c r="AS1829" s="20"/>
      <c r="AT1829" s="19"/>
      <c r="AV1829" s="21">
        <f>IF(AND($AL1829&lt;&gt;"",COUNTIF($AL$11:$AL1829,$AL1829)=1),1,0)</f>
        <v>0</v>
      </c>
      <c r="AW1829" s="21">
        <f t="shared" si="143"/>
        <v>0</v>
      </c>
      <c r="AX1829" s="21" t="str">
        <f t="shared" si="142"/>
        <v/>
      </c>
      <c r="AY1829" s="21" t="str">
        <f>IF(AND($AM1829&lt;&gt;"",$AS1829&lt;&gt;"✓"),SUMPRODUCT(($AM$11:$AM1829&lt;&gt;"")*($AS$11:$AS1829&lt;&gt;"✓")),"")</f>
        <v/>
      </c>
      <c r="AZ1829" s="21" t="str">
        <f>IF(AND($AM1829&lt;&gt;"",$AS1829="✓"),SUMPRODUCT(($AM$11:$AM1829&lt;&gt;"")*($AS$11:$AS1829="✓")),"")</f>
        <v/>
      </c>
      <c r="BA1829" s="21" t="str">
        <f>IF($AL1829="","",$AL1829&amp;"|"&amp;COUNTIF($AL$11:$AL1829,$AL1829))</f>
        <v/>
      </c>
    </row>
    <row r="1830" spans="38:53" ht="15" customHeight="1" x14ac:dyDescent="0.25">
      <c r="AL1830" s="31"/>
      <c r="AM1830" s="26"/>
      <c r="AN1830" s="32"/>
      <c r="AO1830" s="32"/>
      <c r="AP1830" s="24"/>
      <c r="AQ1830" s="24"/>
      <c r="AR1830" s="33"/>
      <c r="AS1830" s="34"/>
      <c r="AT1830" s="33"/>
      <c r="AV1830" s="21">
        <f>IF(AND($AL1830&lt;&gt;"",COUNTIF($AL$11:$AL1830,$AL1830)=1),1,0)</f>
        <v>0</v>
      </c>
      <c r="AW1830" s="21">
        <f t="shared" si="143"/>
        <v>0</v>
      </c>
      <c r="AX1830" s="21" t="str">
        <f t="shared" si="142"/>
        <v/>
      </c>
      <c r="AY1830" s="21" t="str">
        <f>IF(AND($AM1830&lt;&gt;"",$AS1830&lt;&gt;"✓"),SUMPRODUCT(($AM$11:$AM1830&lt;&gt;"")*($AS$11:$AS1830&lt;&gt;"✓")),"")</f>
        <v/>
      </c>
      <c r="AZ1830" s="21" t="str">
        <f>IF(AND($AM1830&lt;&gt;"",$AS1830="✓"),SUMPRODUCT(($AM$11:$AM1830&lt;&gt;"")*($AS$11:$AS1830="✓")),"")</f>
        <v/>
      </c>
      <c r="BA1830" s="21" t="str">
        <f>IF($AL1830="","",$AL1830&amp;"|"&amp;COUNTIF($AL$11:$AL1830,$AL1830))</f>
        <v/>
      </c>
    </row>
    <row r="1831" spans="38:53" ht="15" customHeight="1" x14ac:dyDescent="0.25">
      <c r="AL1831" s="17"/>
      <c r="AM1831" s="12"/>
      <c r="AN1831" s="18"/>
      <c r="AO1831" s="18"/>
      <c r="AP1831" s="10"/>
      <c r="AQ1831" s="10"/>
      <c r="AR1831" s="19"/>
      <c r="AS1831" s="20"/>
      <c r="AT1831" s="19"/>
      <c r="AV1831" s="21">
        <f>IF(AND($AL1831&lt;&gt;"",COUNTIF($AL$11:$AL1831,$AL1831)=1),1,0)</f>
        <v>0</v>
      </c>
      <c r="AW1831" s="21">
        <f t="shared" si="143"/>
        <v>0</v>
      </c>
      <c r="AX1831" s="21" t="str">
        <f t="shared" si="142"/>
        <v/>
      </c>
      <c r="AY1831" s="21" t="str">
        <f>IF(AND($AM1831&lt;&gt;"",$AS1831&lt;&gt;"✓"),SUMPRODUCT(($AM$11:$AM1831&lt;&gt;"")*($AS$11:$AS1831&lt;&gt;"✓")),"")</f>
        <v/>
      </c>
      <c r="AZ1831" s="21" t="str">
        <f>IF(AND($AM1831&lt;&gt;"",$AS1831="✓"),SUMPRODUCT(($AM$11:$AM1831&lt;&gt;"")*($AS$11:$AS1831="✓")),"")</f>
        <v/>
      </c>
      <c r="BA1831" s="21" t="str">
        <f>IF($AL1831="","",$AL1831&amp;"|"&amp;COUNTIF($AL$11:$AL1831,$AL1831))</f>
        <v/>
      </c>
    </row>
    <row r="1832" spans="38:53" ht="15" customHeight="1" x14ac:dyDescent="0.25">
      <c r="AL1832" s="31"/>
      <c r="AM1832" s="26"/>
      <c r="AN1832" s="32"/>
      <c r="AO1832" s="32"/>
      <c r="AP1832" s="24"/>
      <c r="AQ1832" s="24"/>
      <c r="AR1832" s="33"/>
      <c r="AS1832" s="34"/>
      <c r="AT1832" s="33"/>
      <c r="AV1832" s="21">
        <f>IF(AND($AL1832&lt;&gt;"",COUNTIF($AL$11:$AL1832,$AL1832)=1),1,0)</f>
        <v>0</v>
      </c>
      <c r="AW1832" s="21">
        <f t="shared" si="143"/>
        <v>0</v>
      </c>
      <c r="AX1832" s="21" t="str">
        <f t="shared" si="142"/>
        <v/>
      </c>
      <c r="AY1832" s="21" t="str">
        <f>IF(AND($AM1832&lt;&gt;"",$AS1832&lt;&gt;"✓"),SUMPRODUCT(($AM$11:$AM1832&lt;&gt;"")*($AS$11:$AS1832&lt;&gt;"✓")),"")</f>
        <v/>
      </c>
      <c r="AZ1832" s="21" t="str">
        <f>IF(AND($AM1832&lt;&gt;"",$AS1832="✓"),SUMPRODUCT(($AM$11:$AM1832&lt;&gt;"")*($AS$11:$AS1832="✓")),"")</f>
        <v/>
      </c>
      <c r="BA1832" s="21" t="str">
        <f>IF($AL1832="","",$AL1832&amp;"|"&amp;COUNTIF($AL$11:$AL1832,$AL1832))</f>
        <v/>
      </c>
    </row>
    <row r="1833" spans="38:53" ht="15" customHeight="1" x14ac:dyDescent="0.25">
      <c r="AL1833" s="17"/>
      <c r="AM1833" s="12"/>
      <c r="AN1833" s="18"/>
      <c r="AO1833" s="18"/>
      <c r="AP1833" s="10"/>
      <c r="AQ1833" s="10"/>
      <c r="AR1833" s="19"/>
      <c r="AS1833" s="20"/>
      <c r="AT1833" s="19"/>
      <c r="AV1833" s="21">
        <f>IF(AND($AL1833&lt;&gt;"",COUNTIF($AL$11:$AL1833,$AL1833)=1),1,0)</f>
        <v>0</v>
      </c>
      <c r="AW1833" s="21">
        <f t="shared" si="143"/>
        <v>0</v>
      </c>
      <c r="AX1833" s="21" t="str">
        <f t="shared" si="142"/>
        <v/>
      </c>
      <c r="AY1833" s="21" t="str">
        <f>IF(AND($AM1833&lt;&gt;"",$AS1833&lt;&gt;"✓"),SUMPRODUCT(($AM$11:$AM1833&lt;&gt;"")*($AS$11:$AS1833&lt;&gt;"✓")),"")</f>
        <v/>
      </c>
      <c r="AZ1833" s="21" t="str">
        <f>IF(AND($AM1833&lt;&gt;"",$AS1833="✓"),SUMPRODUCT(($AM$11:$AM1833&lt;&gt;"")*($AS$11:$AS1833="✓")),"")</f>
        <v/>
      </c>
      <c r="BA1833" s="21" t="str">
        <f>IF($AL1833="","",$AL1833&amp;"|"&amp;COUNTIF($AL$11:$AL1833,$AL1833))</f>
        <v/>
      </c>
    </row>
    <row r="1834" spans="38:53" ht="15" customHeight="1" x14ac:dyDescent="0.25">
      <c r="AL1834" s="31"/>
      <c r="AM1834" s="26"/>
      <c r="AN1834" s="32"/>
      <c r="AO1834" s="32"/>
      <c r="AP1834" s="24"/>
      <c r="AQ1834" s="24"/>
      <c r="AR1834" s="33"/>
      <c r="AS1834" s="34"/>
      <c r="AT1834" s="33"/>
      <c r="AV1834" s="21">
        <f>IF(AND($AL1834&lt;&gt;"",COUNTIF($AL$11:$AL1834,$AL1834)=1),1,0)</f>
        <v>0</v>
      </c>
      <c r="AW1834" s="21">
        <f t="shared" si="143"/>
        <v>0</v>
      </c>
      <c r="AX1834" s="21" t="str">
        <f t="shared" si="142"/>
        <v/>
      </c>
      <c r="AY1834" s="21" t="str">
        <f>IF(AND($AM1834&lt;&gt;"",$AS1834&lt;&gt;"✓"),SUMPRODUCT(($AM$11:$AM1834&lt;&gt;"")*($AS$11:$AS1834&lt;&gt;"✓")),"")</f>
        <v/>
      </c>
      <c r="AZ1834" s="21" t="str">
        <f>IF(AND($AM1834&lt;&gt;"",$AS1834="✓"),SUMPRODUCT(($AM$11:$AM1834&lt;&gt;"")*($AS$11:$AS1834="✓")),"")</f>
        <v/>
      </c>
      <c r="BA1834" s="21" t="str">
        <f>IF($AL1834="","",$AL1834&amp;"|"&amp;COUNTIF($AL$11:$AL1834,$AL1834))</f>
        <v/>
      </c>
    </row>
    <row r="1835" spans="38:53" ht="15" customHeight="1" x14ac:dyDescent="0.25">
      <c r="AL1835" s="17"/>
      <c r="AM1835" s="12"/>
      <c r="AN1835" s="18"/>
      <c r="AO1835" s="18"/>
      <c r="AP1835" s="10"/>
      <c r="AQ1835" s="10"/>
      <c r="AR1835" s="19"/>
      <c r="AS1835" s="20"/>
      <c r="AT1835" s="19"/>
      <c r="AV1835" s="21">
        <f>IF(AND($AL1835&lt;&gt;"",COUNTIF($AL$11:$AL1835,$AL1835)=1),1,0)</f>
        <v>0</v>
      </c>
      <c r="AW1835" s="21">
        <f t="shared" si="143"/>
        <v>0</v>
      </c>
      <c r="AX1835" s="21" t="str">
        <f t="shared" si="142"/>
        <v/>
      </c>
      <c r="AY1835" s="21" t="str">
        <f>IF(AND($AM1835&lt;&gt;"",$AS1835&lt;&gt;"✓"),SUMPRODUCT(($AM$11:$AM1835&lt;&gt;"")*($AS$11:$AS1835&lt;&gt;"✓")),"")</f>
        <v/>
      </c>
      <c r="AZ1835" s="21" t="str">
        <f>IF(AND($AM1835&lt;&gt;"",$AS1835="✓"),SUMPRODUCT(($AM$11:$AM1835&lt;&gt;"")*($AS$11:$AS1835="✓")),"")</f>
        <v/>
      </c>
      <c r="BA1835" s="21" t="str">
        <f>IF($AL1835="","",$AL1835&amp;"|"&amp;COUNTIF($AL$11:$AL1835,$AL1835))</f>
        <v/>
      </c>
    </row>
    <row r="1836" spans="38:53" ht="15" customHeight="1" x14ac:dyDescent="0.25">
      <c r="AL1836" s="31"/>
      <c r="AM1836" s="26"/>
      <c r="AN1836" s="32"/>
      <c r="AO1836" s="32"/>
      <c r="AP1836" s="24"/>
      <c r="AQ1836" s="24"/>
      <c r="AR1836" s="33"/>
      <c r="AS1836" s="34"/>
      <c r="AT1836" s="33"/>
      <c r="AV1836" s="21">
        <f>IF(AND($AL1836&lt;&gt;"",COUNTIF($AL$11:$AL1836,$AL1836)=1),1,0)</f>
        <v>0</v>
      </c>
      <c r="AW1836" s="21">
        <f t="shared" si="143"/>
        <v>0</v>
      </c>
      <c r="AX1836" s="21" t="str">
        <f t="shared" si="142"/>
        <v/>
      </c>
      <c r="AY1836" s="21" t="str">
        <f>IF(AND($AM1836&lt;&gt;"",$AS1836&lt;&gt;"✓"),SUMPRODUCT(($AM$11:$AM1836&lt;&gt;"")*($AS$11:$AS1836&lt;&gt;"✓")),"")</f>
        <v/>
      </c>
      <c r="AZ1836" s="21" t="str">
        <f>IF(AND($AM1836&lt;&gt;"",$AS1836="✓"),SUMPRODUCT(($AM$11:$AM1836&lt;&gt;"")*($AS$11:$AS1836="✓")),"")</f>
        <v/>
      </c>
      <c r="BA1836" s="21" t="str">
        <f>IF($AL1836="","",$AL1836&amp;"|"&amp;COUNTIF($AL$11:$AL1836,$AL1836))</f>
        <v/>
      </c>
    </row>
    <row r="1837" spans="38:53" ht="15" customHeight="1" x14ac:dyDescent="0.25">
      <c r="AL1837" s="17"/>
      <c r="AM1837" s="12"/>
      <c r="AN1837" s="18"/>
      <c r="AO1837" s="18"/>
      <c r="AP1837" s="10"/>
      <c r="AQ1837" s="10"/>
      <c r="AR1837" s="19"/>
      <c r="AS1837" s="20"/>
      <c r="AT1837" s="19"/>
      <c r="AV1837" s="21">
        <f>IF(AND($AL1837&lt;&gt;"",COUNTIF($AL$11:$AL1837,$AL1837)=1),1,0)</f>
        <v>0</v>
      </c>
      <c r="AW1837" s="21">
        <f t="shared" si="143"/>
        <v>0</v>
      </c>
      <c r="AX1837" s="21" t="str">
        <f t="shared" si="142"/>
        <v/>
      </c>
      <c r="AY1837" s="21" t="str">
        <f>IF(AND($AM1837&lt;&gt;"",$AS1837&lt;&gt;"✓"),SUMPRODUCT(($AM$11:$AM1837&lt;&gt;"")*($AS$11:$AS1837&lt;&gt;"✓")),"")</f>
        <v/>
      </c>
      <c r="AZ1837" s="21" t="str">
        <f>IF(AND($AM1837&lt;&gt;"",$AS1837="✓"),SUMPRODUCT(($AM$11:$AM1837&lt;&gt;"")*($AS$11:$AS1837="✓")),"")</f>
        <v/>
      </c>
      <c r="BA1837" s="21" t="str">
        <f>IF($AL1837="","",$AL1837&amp;"|"&amp;COUNTIF($AL$11:$AL1837,$AL1837))</f>
        <v/>
      </c>
    </row>
    <row r="1838" spans="38:53" ht="15" customHeight="1" x14ac:dyDescent="0.25">
      <c r="AL1838" s="31"/>
      <c r="AM1838" s="26"/>
      <c r="AN1838" s="32"/>
      <c r="AO1838" s="32"/>
      <c r="AP1838" s="24"/>
      <c r="AQ1838" s="24"/>
      <c r="AR1838" s="33"/>
      <c r="AS1838" s="34"/>
      <c r="AT1838" s="33"/>
      <c r="AV1838" s="21">
        <f>IF(AND($AL1838&lt;&gt;"",COUNTIF($AL$11:$AL1838,$AL1838)=1),1,0)</f>
        <v>0</v>
      </c>
      <c r="AW1838" s="21">
        <f t="shared" si="143"/>
        <v>0</v>
      </c>
      <c r="AX1838" s="21" t="str">
        <f t="shared" si="142"/>
        <v/>
      </c>
      <c r="AY1838" s="21" t="str">
        <f>IF(AND($AM1838&lt;&gt;"",$AS1838&lt;&gt;"✓"),SUMPRODUCT(($AM$11:$AM1838&lt;&gt;"")*($AS$11:$AS1838&lt;&gt;"✓")),"")</f>
        <v/>
      </c>
      <c r="AZ1838" s="21" t="str">
        <f>IF(AND($AM1838&lt;&gt;"",$AS1838="✓"),SUMPRODUCT(($AM$11:$AM1838&lt;&gt;"")*($AS$11:$AS1838="✓")),"")</f>
        <v/>
      </c>
      <c r="BA1838" s="21" t="str">
        <f>IF($AL1838="","",$AL1838&amp;"|"&amp;COUNTIF($AL$11:$AL1838,$AL1838))</f>
        <v/>
      </c>
    </row>
    <row r="1839" spans="38:53" ht="15" customHeight="1" x14ac:dyDescent="0.25">
      <c r="AL1839" s="17"/>
      <c r="AM1839" s="12"/>
      <c r="AN1839" s="18"/>
      <c r="AO1839" s="18"/>
      <c r="AP1839" s="10"/>
      <c r="AQ1839" s="10"/>
      <c r="AR1839" s="19"/>
      <c r="AS1839" s="20"/>
      <c r="AT1839" s="19"/>
      <c r="AV1839" s="21">
        <f>IF(AND($AL1839&lt;&gt;"",COUNTIF($AL$11:$AL1839,$AL1839)=1),1,0)</f>
        <v>0</v>
      </c>
      <c r="AW1839" s="21">
        <f t="shared" si="143"/>
        <v>0</v>
      </c>
      <c r="AX1839" s="21" t="str">
        <f t="shared" si="142"/>
        <v/>
      </c>
      <c r="AY1839" s="21" t="str">
        <f>IF(AND($AM1839&lt;&gt;"",$AS1839&lt;&gt;"✓"),SUMPRODUCT(($AM$11:$AM1839&lt;&gt;"")*($AS$11:$AS1839&lt;&gt;"✓")),"")</f>
        <v/>
      </c>
      <c r="AZ1839" s="21" t="str">
        <f>IF(AND($AM1839&lt;&gt;"",$AS1839="✓"),SUMPRODUCT(($AM$11:$AM1839&lt;&gt;"")*($AS$11:$AS1839="✓")),"")</f>
        <v/>
      </c>
      <c r="BA1839" s="21" t="str">
        <f>IF($AL1839="","",$AL1839&amp;"|"&amp;COUNTIF($AL$11:$AL1839,$AL1839))</f>
        <v/>
      </c>
    </row>
    <row r="1840" spans="38:53" ht="15" customHeight="1" x14ac:dyDescent="0.25">
      <c r="AL1840" s="31"/>
      <c r="AM1840" s="26"/>
      <c r="AN1840" s="32"/>
      <c r="AO1840" s="32"/>
      <c r="AP1840" s="24"/>
      <c r="AQ1840" s="24"/>
      <c r="AR1840" s="33"/>
      <c r="AS1840" s="34"/>
      <c r="AT1840" s="33"/>
      <c r="AV1840" s="21">
        <f>IF(AND($AL1840&lt;&gt;"",COUNTIF($AL$11:$AL1840,$AL1840)=1),1,0)</f>
        <v>0</v>
      </c>
      <c r="AW1840" s="21">
        <f t="shared" si="143"/>
        <v>0</v>
      </c>
      <c r="AX1840" s="21" t="str">
        <f t="shared" si="142"/>
        <v/>
      </c>
      <c r="AY1840" s="21" t="str">
        <f>IF(AND($AM1840&lt;&gt;"",$AS1840&lt;&gt;"✓"),SUMPRODUCT(($AM$11:$AM1840&lt;&gt;"")*($AS$11:$AS1840&lt;&gt;"✓")),"")</f>
        <v/>
      </c>
      <c r="AZ1840" s="21" t="str">
        <f>IF(AND($AM1840&lt;&gt;"",$AS1840="✓"),SUMPRODUCT(($AM$11:$AM1840&lt;&gt;"")*($AS$11:$AS1840="✓")),"")</f>
        <v/>
      </c>
      <c r="BA1840" s="21" t="str">
        <f>IF($AL1840="","",$AL1840&amp;"|"&amp;COUNTIF($AL$11:$AL1840,$AL1840))</f>
        <v/>
      </c>
    </row>
    <row r="1841" spans="38:53" ht="15" customHeight="1" x14ac:dyDescent="0.25">
      <c r="AL1841" s="17"/>
      <c r="AM1841" s="12"/>
      <c r="AN1841" s="18"/>
      <c r="AO1841" s="18"/>
      <c r="AP1841" s="10"/>
      <c r="AQ1841" s="10"/>
      <c r="AR1841" s="19"/>
      <c r="AS1841" s="20"/>
      <c r="AT1841" s="19"/>
      <c r="AV1841" s="21">
        <f>IF(AND($AL1841&lt;&gt;"",COUNTIF($AL$11:$AL1841,$AL1841)=1),1,0)</f>
        <v>0</v>
      </c>
      <c r="AW1841" s="21">
        <f t="shared" si="143"/>
        <v>0</v>
      </c>
      <c r="AX1841" s="21" t="str">
        <f t="shared" si="142"/>
        <v/>
      </c>
      <c r="AY1841" s="21" t="str">
        <f>IF(AND($AM1841&lt;&gt;"",$AS1841&lt;&gt;"✓"),SUMPRODUCT(($AM$11:$AM1841&lt;&gt;"")*($AS$11:$AS1841&lt;&gt;"✓")),"")</f>
        <v/>
      </c>
      <c r="AZ1841" s="21" t="str">
        <f>IF(AND($AM1841&lt;&gt;"",$AS1841="✓"),SUMPRODUCT(($AM$11:$AM1841&lt;&gt;"")*($AS$11:$AS1841="✓")),"")</f>
        <v/>
      </c>
      <c r="BA1841" s="21" t="str">
        <f>IF($AL1841="","",$AL1841&amp;"|"&amp;COUNTIF($AL$11:$AL1841,$AL1841))</f>
        <v/>
      </c>
    </row>
    <row r="1842" spans="38:53" ht="15" customHeight="1" x14ac:dyDescent="0.25">
      <c r="AL1842" s="31"/>
      <c r="AM1842" s="26"/>
      <c r="AN1842" s="32"/>
      <c r="AO1842" s="32"/>
      <c r="AP1842" s="24"/>
      <c r="AQ1842" s="24"/>
      <c r="AR1842" s="33"/>
      <c r="AS1842" s="34"/>
      <c r="AT1842" s="33"/>
      <c r="AV1842" s="21">
        <f>IF(AND($AL1842&lt;&gt;"",COUNTIF($AL$11:$AL1842,$AL1842)=1),1,0)</f>
        <v>0</v>
      </c>
      <c r="AW1842" s="21">
        <f t="shared" si="143"/>
        <v>0</v>
      </c>
      <c r="AX1842" s="21" t="str">
        <f t="shared" si="142"/>
        <v/>
      </c>
      <c r="AY1842" s="21" t="str">
        <f>IF(AND($AM1842&lt;&gt;"",$AS1842&lt;&gt;"✓"),SUMPRODUCT(($AM$11:$AM1842&lt;&gt;"")*($AS$11:$AS1842&lt;&gt;"✓")),"")</f>
        <v/>
      </c>
      <c r="AZ1842" s="21" t="str">
        <f>IF(AND($AM1842&lt;&gt;"",$AS1842="✓"),SUMPRODUCT(($AM$11:$AM1842&lt;&gt;"")*($AS$11:$AS1842="✓")),"")</f>
        <v/>
      </c>
      <c r="BA1842" s="21" t="str">
        <f>IF($AL1842="","",$AL1842&amp;"|"&amp;COUNTIF($AL$11:$AL1842,$AL1842))</f>
        <v/>
      </c>
    </row>
    <row r="1843" spans="38:53" ht="15" customHeight="1" x14ac:dyDescent="0.25">
      <c r="AL1843" s="17"/>
      <c r="AM1843" s="12"/>
      <c r="AN1843" s="18"/>
      <c r="AO1843" s="18"/>
      <c r="AP1843" s="10"/>
      <c r="AQ1843" s="10"/>
      <c r="AR1843" s="19"/>
      <c r="AS1843" s="20"/>
      <c r="AT1843" s="19"/>
      <c r="AV1843" s="21">
        <f>IF(AND($AL1843&lt;&gt;"",COUNTIF($AL$11:$AL1843,$AL1843)=1),1,0)</f>
        <v>0</v>
      </c>
      <c r="AW1843" s="21">
        <f t="shared" si="143"/>
        <v>0</v>
      </c>
      <c r="AX1843" s="21" t="str">
        <f t="shared" si="142"/>
        <v/>
      </c>
      <c r="AY1843" s="21" t="str">
        <f>IF(AND($AM1843&lt;&gt;"",$AS1843&lt;&gt;"✓"),SUMPRODUCT(($AM$11:$AM1843&lt;&gt;"")*($AS$11:$AS1843&lt;&gt;"✓")),"")</f>
        <v/>
      </c>
      <c r="AZ1843" s="21" t="str">
        <f>IF(AND($AM1843&lt;&gt;"",$AS1843="✓"),SUMPRODUCT(($AM$11:$AM1843&lt;&gt;"")*($AS$11:$AS1843="✓")),"")</f>
        <v/>
      </c>
      <c r="BA1843" s="21" t="str">
        <f>IF($AL1843="","",$AL1843&amp;"|"&amp;COUNTIF($AL$11:$AL1843,$AL1843))</f>
        <v/>
      </c>
    </row>
    <row r="1844" spans="38:53" ht="15" customHeight="1" x14ac:dyDescent="0.25">
      <c r="AL1844" s="31"/>
      <c r="AM1844" s="26"/>
      <c r="AN1844" s="32"/>
      <c r="AO1844" s="32"/>
      <c r="AP1844" s="24"/>
      <c r="AQ1844" s="24"/>
      <c r="AR1844" s="33"/>
      <c r="AS1844" s="34"/>
      <c r="AT1844" s="33"/>
      <c r="AV1844" s="21">
        <f>IF(AND($AL1844&lt;&gt;"",COUNTIF($AL$11:$AL1844,$AL1844)=1),1,0)</f>
        <v>0</v>
      </c>
      <c r="AW1844" s="21">
        <f t="shared" si="143"/>
        <v>0</v>
      </c>
      <c r="AX1844" s="21" t="str">
        <f t="shared" si="142"/>
        <v/>
      </c>
      <c r="AY1844" s="21" t="str">
        <f>IF(AND($AM1844&lt;&gt;"",$AS1844&lt;&gt;"✓"),SUMPRODUCT(($AM$11:$AM1844&lt;&gt;"")*($AS$11:$AS1844&lt;&gt;"✓")),"")</f>
        <v/>
      </c>
      <c r="AZ1844" s="21" t="str">
        <f>IF(AND($AM1844&lt;&gt;"",$AS1844="✓"),SUMPRODUCT(($AM$11:$AM1844&lt;&gt;"")*($AS$11:$AS1844="✓")),"")</f>
        <v/>
      </c>
      <c r="BA1844" s="21" t="str">
        <f>IF($AL1844="","",$AL1844&amp;"|"&amp;COUNTIF($AL$11:$AL1844,$AL1844))</f>
        <v/>
      </c>
    </row>
    <row r="1845" spans="38:53" ht="15" customHeight="1" x14ac:dyDescent="0.25">
      <c r="AL1845" s="17"/>
      <c r="AM1845" s="12"/>
      <c r="AN1845" s="18"/>
      <c r="AO1845" s="18"/>
      <c r="AP1845" s="10"/>
      <c r="AQ1845" s="10"/>
      <c r="AR1845" s="19"/>
      <c r="AS1845" s="20"/>
      <c r="AT1845" s="19"/>
      <c r="AV1845" s="21">
        <f>IF(AND($AL1845&lt;&gt;"",COUNTIF($AL$11:$AL1845,$AL1845)=1),1,0)</f>
        <v>0</v>
      </c>
      <c r="AW1845" s="21">
        <f t="shared" si="143"/>
        <v>0</v>
      </c>
      <c r="AX1845" s="21" t="str">
        <f t="shared" si="142"/>
        <v/>
      </c>
      <c r="AY1845" s="21" t="str">
        <f>IF(AND($AM1845&lt;&gt;"",$AS1845&lt;&gt;"✓"),SUMPRODUCT(($AM$11:$AM1845&lt;&gt;"")*($AS$11:$AS1845&lt;&gt;"✓")),"")</f>
        <v/>
      </c>
      <c r="AZ1845" s="21" t="str">
        <f>IF(AND($AM1845&lt;&gt;"",$AS1845="✓"),SUMPRODUCT(($AM$11:$AM1845&lt;&gt;"")*($AS$11:$AS1845="✓")),"")</f>
        <v/>
      </c>
      <c r="BA1845" s="21" t="str">
        <f>IF($AL1845="","",$AL1845&amp;"|"&amp;COUNTIF($AL$11:$AL1845,$AL1845))</f>
        <v/>
      </c>
    </row>
    <row r="1846" spans="38:53" ht="15" customHeight="1" x14ac:dyDescent="0.25">
      <c r="AL1846" s="31"/>
      <c r="AM1846" s="26"/>
      <c r="AN1846" s="32"/>
      <c r="AO1846" s="32"/>
      <c r="AP1846" s="24"/>
      <c r="AQ1846" s="24"/>
      <c r="AR1846" s="33"/>
      <c r="AS1846" s="34"/>
      <c r="AT1846" s="33"/>
      <c r="AV1846" s="21">
        <f>IF(AND($AL1846&lt;&gt;"",COUNTIF($AL$11:$AL1846,$AL1846)=1),1,0)</f>
        <v>0</v>
      </c>
      <c r="AW1846" s="21">
        <f t="shared" si="143"/>
        <v>0</v>
      </c>
      <c r="AX1846" s="21" t="str">
        <f t="shared" si="142"/>
        <v/>
      </c>
      <c r="AY1846" s="21" t="str">
        <f>IF(AND($AM1846&lt;&gt;"",$AS1846&lt;&gt;"✓"),SUMPRODUCT(($AM$11:$AM1846&lt;&gt;"")*($AS$11:$AS1846&lt;&gt;"✓")),"")</f>
        <v/>
      </c>
      <c r="AZ1846" s="21" t="str">
        <f>IF(AND($AM1846&lt;&gt;"",$AS1846="✓"),SUMPRODUCT(($AM$11:$AM1846&lt;&gt;"")*($AS$11:$AS1846="✓")),"")</f>
        <v/>
      </c>
      <c r="BA1846" s="21" t="str">
        <f>IF($AL1846="","",$AL1846&amp;"|"&amp;COUNTIF($AL$11:$AL1846,$AL1846))</f>
        <v/>
      </c>
    </row>
    <row r="1847" spans="38:53" ht="15" customHeight="1" x14ac:dyDescent="0.25">
      <c r="AL1847" s="17"/>
      <c r="AM1847" s="12"/>
      <c r="AN1847" s="18"/>
      <c r="AO1847" s="18"/>
      <c r="AP1847" s="10"/>
      <c r="AQ1847" s="10"/>
      <c r="AR1847" s="19"/>
      <c r="AS1847" s="20"/>
      <c r="AT1847" s="19"/>
      <c r="AV1847" s="21">
        <f>IF(AND($AL1847&lt;&gt;"",COUNTIF($AL$11:$AL1847,$AL1847)=1),1,0)</f>
        <v>0</v>
      </c>
      <c r="AW1847" s="21">
        <f t="shared" si="143"/>
        <v>0</v>
      </c>
      <c r="AX1847" s="21" t="str">
        <f t="shared" si="142"/>
        <v/>
      </c>
      <c r="AY1847" s="21" t="str">
        <f>IF(AND($AM1847&lt;&gt;"",$AS1847&lt;&gt;"✓"),SUMPRODUCT(($AM$11:$AM1847&lt;&gt;"")*($AS$11:$AS1847&lt;&gt;"✓")),"")</f>
        <v/>
      </c>
      <c r="AZ1847" s="21" t="str">
        <f>IF(AND($AM1847&lt;&gt;"",$AS1847="✓"),SUMPRODUCT(($AM$11:$AM1847&lt;&gt;"")*($AS$11:$AS1847="✓")),"")</f>
        <v/>
      </c>
      <c r="BA1847" s="21" t="str">
        <f>IF($AL1847="","",$AL1847&amp;"|"&amp;COUNTIF($AL$11:$AL1847,$AL1847))</f>
        <v/>
      </c>
    </row>
    <row r="1848" spans="38:53" ht="15" customHeight="1" x14ac:dyDescent="0.25">
      <c r="AL1848" s="31"/>
      <c r="AM1848" s="26"/>
      <c r="AN1848" s="32"/>
      <c r="AO1848" s="32"/>
      <c r="AP1848" s="24"/>
      <c r="AQ1848" s="24"/>
      <c r="AR1848" s="33"/>
      <c r="AS1848" s="34"/>
      <c r="AT1848" s="33"/>
      <c r="AV1848" s="21">
        <f>IF(AND($AL1848&lt;&gt;"",COUNTIF($AL$11:$AL1848,$AL1848)=1),1,0)</f>
        <v>0</v>
      </c>
      <c r="AW1848" s="21">
        <f t="shared" si="143"/>
        <v>0</v>
      </c>
      <c r="AX1848" s="21" t="str">
        <f t="shared" si="142"/>
        <v/>
      </c>
      <c r="AY1848" s="21" t="str">
        <f>IF(AND($AM1848&lt;&gt;"",$AS1848&lt;&gt;"✓"),SUMPRODUCT(($AM$11:$AM1848&lt;&gt;"")*($AS$11:$AS1848&lt;&gt;"✓")),"")</f>
        <v/>
      </c>
      <c r="AZ1848" s="21" t="str">
        <f>IF(AND($AM1848&lt;&gt;"",$AS1848="✓"),SUMPRODUCT(($AM$11:$AM1848&lt;&gt;"")*($AS$11:$AS1848="✓")),"")</f>
        <v/>
      </c>
      <c r="BA1848" s="21" t="str">
        <f>IF($AL1848="","",$AL1848&amp;"|"&amp;COUNTIF($AL$11:$AL1848,$AL1848))</f>
        <v/>
      </c>
    </row>
    <row r="1849" spans="38:53" ht="15" customHeight="1" x14ac:dyDescent="0.25">
      <c r="AL1849" s="17"/>
      <c r="AM1849" s="12"/>
      <c r="AN1849" s="18"/>
      <c r="AO1849" s="18"/>
      <c r="AP1849" s="10"/>
      <c r="AQ1849" s="10"/>
      <c r="AR1849" s="19"/>
      <c r="AS1849" s="20"/>
      <c r="AT1849" s="19"/>
      <c r="AV1849" s="21">
        <f>IF(AND($AL1849&lt;&gt;"",COUNTIF($AL$11:$AL1849,$AL1849)=1),1,0)</f>
        <v>0</v>
      </c>
      <c r="AW1849" s="21">
        <f t="shared" si="143"/>
        <v>0</v>
      </c>
      <c r="AX1849" s="21" t="str">
        <f t="shared" si="142"/>
        <v/>
      </c>
      <c r="AY1849" s="21" t="str">
        <f>IF(AND($AM1849&lt;&gt;"",$AS1849&lt;&gt;"✓"),SUMPRODUCT(($AM$11:$AM1849&lt;&gt;"")*($AS$11:$AS1849&lt;&gt;"✓")),"")</f>
        <v/>
      </c>
      <c r="AZ1849" s="21" t="str">
        <f>IF(AND($AM1849&lt;&gt;"",$AS1849="✓"),SUMPRODUCT(($AM$11:$AM1849&lt;&gt;"")*($AS$11:$AS1849="✓")),"")</f>
        <v/>
      </c>
      <c r="BA1849" s="21" t="str">
        <f>IF($AL1849="","",$AL1849&amp;"|"&amp;COUNTIF($AL$11:$AL1849,$AL1849))</f>
        <v/>
      </c>
    </row>
    <row r="1850" spans="38:53" ht="15" customHeight="1" x14ac:dyDescent="0.25">
      <c r="AL1850" s="31"/>
      <c r="AM1850" s="26"/>
      <c r="AN1850" s="32"/>
      <c r="AO1850" s="32"/>
      <c r="AP1850" s="24"/>
      <c r="AQ1850" s="24"/>
      <c r="AR1850" s="33"/>
      <c r="AS1850" s="34"/>
      <c r="AT1850" s="33"/>
      <c r="AV1850" s="21">
        <f>IF(AND($AL1850&lt;&gt;"",COUNTIF($AL$11:$AL1850,$AL1850)=1),1,0)</f>
        <v>0</v>
      </c>
      <c r="AW1850" s="21">
        <f t="shared" si="143"/>
        <v>0</v>
      </c>
      <c r="AX1850" s="21" t="str">
        <f t="shared" si="142"/>
        <v/>
      </c>
      <c r="AY1850" s="21" t="str">
        <f>IF(AND($AM1850&lt;&gt;"",$AS1850&lt;&gt;"✓"),SUMPRODUCT(($AM$11:$AM1850&lt;&gt;"")*($AS$11:$AS1850&lt;&gt;"✓")),"")</f>
        <v/>
      </c>
      <c r="AZ1850" s="21" t="str">
        <f>IF(AND($AM1850&lt;&gt;"",$AS1850="✓"),SUMPRODUCT(($AM$11:$AM1850&lt;&gt;"")*($AS$11:$AS1850="✓")),"")</f>
        <v/>
      </c>
      <c r="BA1850" s="21" t="str">
        <f>IF($AL1850="","",$AL1850&amp;"|"&amp;COUNTIF($AL$11:$AL1850,$AL1850))</f>
        <v/>
      </c>
    </row>
    <row r="1851" spans="38:53" ht="15" customHeight="1" x14ac:dyDescent="0.25">
      <c r="AL1851" s="17"/>
      <c r="AM1851" s="12"/>
      <c r="AN1851" s="18"/>
      <c r="AO1851" s="18"/>
      <c r="AP1851" s="10"/>
      <c r="AQ1851" s="10"/>
      <c r="AR1851" s="19"/>
      <c r="AS1851" s="20"/>
      <c r="AT1851" s="19"/>
      <c r="AV1851" s="21">
        <f>IF(AND($AL1851&lt;&gt;"",COUNTIF($AL$11:$AL1851,$AL1851)=1),1,0)</f>
        <v>0</v>
      </c>
      <c r="AW1851" s="21">
        <f t="shared" si="143"/>
        <v>0</v>
      </c>
      <c r="AX1851" s="21" t="str">
        <f t="shared" si="142"/>
        <v/>
      </c>
      <c r="AY1851" s="21" t="str">
        <f>IF(AND($AM1851&lt;&gt;"",$AS1851&lt;&gt;"✓"),SUMPRODUCT(($AM$11:$AM1851&lt;&gt;"")*($AS$11:$AS1851&lt;&gt;"✓")),"")</f>
        <v/>
      </c>
      <c r="AZ1851" s="21" t="str">
        <f>IF(AND($AM1851&lt;&gt;"",$AS1851="✓"),SUMPRODUCT(($AM$11:$AM1851&lt;&gt;"")*($AS$11:$AS1851="✓")),"")</f>
        <v/>
      </c>
      <c r="BA1851" s="21" t="str">
        <f>IF($AL1851="","",$AL1851&amp;"|"&amp;COUNTIF($AL$11:$AL1851,$AL1851))</f>
        <v/>
      </c>
    </row>
    <row r="1852" spans="38:53" ht="15" customHeight="1" x14ac:dyDescent="0.25">
      <c r="AL1852" s="31"/>
      <c r="AM1852" s="26"/>
      <c r="AN1852" s="32"/>
      <c r="AO1852" s="32"/>
      <c r="AP1852" s="24"/>
      <c r="AQ1852" s="24"/>
      <c r="AR1852" s="33"/>
      <c r="AS1852" s="34"/>
      <c r="AT1852" s="33"/>
      <c r="AV1852" s="21">
        <f>IF(AND($AL1852&lt;&gt;"",COUNTIF($AL$11:$AL1852,$AL1852)=1),1,0)</f>
        <v>0</v>
      </c>
      <c r="AW1852" s="21">
        <f t="shared" si="143"/>
        <v>0</v>
      </c>
      <c r="AX1852" s="21" t="str">
        <f t="shared" si="142"/>
        <v/>
      </c>
      <c r="AY1852" s="21" t="str">
        <f>IF(AND($AM1852&lt;&gt;"",$AS1852&lt;&gt;"✓"),SUMPRODUCT(($AM$11:$AM1852&lt;&gt;"")*($AS$11:$AS1852&lt;&gt;"✓")),"")</f>
        <v/>
      </c>
      <c r="AZ1852" s="21" t="str">
        <f>IF(AND($AM1852&lt;&gt;"",$AS1852="✓"),SUMPRODUCT(($AM$11:$AM1852&lt;&gt;"")*($AS$11:$AS1852="✓")),"")</f>
        <v/>
      </c>
      <c r="BA1852" s="21" t="str">
        <f>IF($AL1852="","",$AL1852&amp;"|"&amp;COUNTIF($AL$11:$AL1852,$AL1852))</f>
        <v/>
      </c>
    </row>
    <row r="1853" spans="38:53" ht="15" customHeight="1" x14ac:dyDescent="0.25">
      <c r="AL1853" s="17"/>
      <c r="AM1853" s="12"/>
      <c r="AN1853" s="18"/>
      <c r="AO1853" s="18"/>
      <c r="AP1853" s="10"/>
      <c r="AQ1853" s="10"/>
      <c r="AR1853" s="19"/>
      <c r="AS1853" s="20"/>
      <c r="AT1853" s="19"/>
      <c r="AV1853" s="21">
        <f>IF(AND($AL1853&lt;&gt;"",COUNTIF($AL$11:$AL1853,$AL1853)=1),1,0)</f>
        <v>0</v>
      </c>
      <c r="AW1853" s="21">
        <f t="shared" si="143"/>
        <v>0</v>
      </c>
      <c r="AX1853" s="21" t="str">
        <f t="shared" si="142"/>
        <v/>
      </c>
      <c r="AY1853" s="21" t="str">
        <f>IF(AND($AM1853&lt;&gt;"",$AS1853&lt;&gt;"✓"),SUMPRODUCT(($AM$11:$AM1853&lt;&gt;"")*($AS$11:$AS1853&lt;&gt;"✓")),"")</f>
        <v/>
      </c>
      <c r="AZ1853" s="21" t="str">
        <f>IF(AND($AM1853&lt;&gt;"",$AS1853="✓"),SUMPRODUCT(($AM$11:$AM1853&lt;&gt;"")*($AS$11:$AS1853="✓")),"")</f>
        <v/>
      </c>
      <c r="BA1853" s="21" t="str">
        <f>IF($AL1853="","",$AL1853&amp;"|"&amp;COUNTIF($AL$11:$AL1853,$AL1853))</f>
        <v/>
      </c>
    </row>
    <row r="1854" spans="38:53" ht="15" customHeight="1" x14ac:dyDescent="0.25">
      <c r="AL1854" s="31"/>
      <c r="AM1854" s="26"/>
      <c r="AN1854" s="32"/>
      <c r="AO1854" s="32"/>
      <c r="AP1854" s="24"/>
      <c r="AQ1854" s="24"/>
      <c r="AR1854" s="33"/>
      <c r="AS1854" s="34"/>
      <c r="AT1854" s="33"/>
      <c r="AV1854" s="21">
        <f>IF(AND($AL1854&lt;&gt;"",COUNTIF($AL$11:$AL1854,$AL1854)=1),1,0)</f>
        <v>0</v>
      </c>
      <c r="AW1854" s="21">
        <f t="shared" si="143"/>
        <v>0</v>
      </c>
      <c r="AX1854" s="21" t="str">
        <f t="shared" si="142"/>
        <v/>
      </c>
      <c r="AY1854" s="21" t="str">
        <f>IF(AND($AM1854&lt;&gt;"",$AS1854&lt;&gt;"✓"),SUMPRODUCT(($AM$11:$AM1854&lt;&gt;"")*($AS$11:$AS1854&lt;&gt;"✓")),"")</f>
        <v/>
      </c>
      <c r="AZ1854" s="21" t="str">
        <f>IF(AND($AM1854&lt;&gt;"",$AS1854="✓"),SUMPRODUCT(($AM$11:$AM1854&lt;&gt;"")*($AS$11:$AS1854="✓")),"")</f>
        <v/>
      </c>
      <c r="BA1854" s="21" t="str">
        <f>IF($AL1854="","",$AL1854&amp;"|"&amp;COUNTIF($AL$11:$AL1854,$AL1854))</f>
        <v/>
      </c>
    </row>
    <row r="1855" spans="38:53" ht="15" customHeight="1" x14ac:dyDescent="0.25">
      <c r="AL1855" s="17"/>
      <c r="AM1855" s="12"/>
      <c r="AN1855" s="18"/>
      <c r="AO1855" s="18"/>
      <c r="AP1855" s="10"/>
      <c r="AQ1855" s="10"/>
      <c r="AR1855" s="19"/>
      <c r="AS1855" s="20"/>
      <c r="AT1855" s="19"/>
      <c r="AV1855" s="21">
        <f>IF(AND($AL1855&lt;&gt;"",COUNTIF($AL$11:$AL1855,$AL1855)=1),1,0)</f>
        <v>0</v>
      </c>
      <c r="AW1855" s="21">
        <f t="shared" si="143"/>
        <v>0</v>
      </c>
      <c r="AX1855" s="21" t="str">
        <f t="shared" si="142"/>
        <v/>
      </c>
      <c r="AY1855" s="21" t="str">
        <f>IF(AND($AM1855&lt;&gt;"",$AS1855&lt;&gt;"✓"),SUMPRODUCT(($AM$11:$AM1855&lt;&gt;"")*($AS$11:$AS1855&lt;&gt;"✓")),"")</f>
        <v/>
      </c>
      <c r="AZ1855" s="21" t="str">
        <f>IF(AND($AM1855&lt;&gt;"",$AS1855="✓"),SUMPRODUCT(($AM$11:$AM1855&lt;&gt;"")*($AS$11:$AS1855="✓")),"")</f>
        <v/>
      </c>
      <c r="BA1855" s="21" t="str">
        <f>IF($AL1855="","",$AL1855&amp;"|"&amp;COUNTIF($AL$11:$AL1855,$AL1855))</f>
        <v/>
      </c>
    </row>
    <row r="1856" spans="38:53" ht="15" customHeight="1" x14ac:dyDescent="0.25">
      <c r="AL1856" s="31"/>
      <c r="AM1856" s="26"/>
      <c r="AN1856" s="32"/>
      <c r="AO1856" s="32"/>
      <c r="AP1856" s="24"/>
      <c r="AQ1856" s="24"/>
      <c r="AR1856" s="33"/>
      <c r="AS1856" s="34"/>
      <c r="AT1856" s="33"/>
      <c r="AV1856" s="21">
        <f>IF(AND($AL1856&lt;&gt;"",COUNTIF($AL$11:$AL1856,$AL1856)=1),1,0)</f>
        <v>0</v>
      </c>
      <c r="AW1856" s="21">
        <f t="shared" si="143"/>
        <v>0</v>
      </c>
      <c r="AX1856" s="21" t="str">
        <f t="shared" si="142"/>
        <v/>
      </c>
      <c r="AY1856" s="21" t="str">
        <f>IF(AND($AM1856&lt;&gt;"",$AS1856&lt;&gt;"✓"),SUMPRODUCT(($AM$11:$AM1856&lt;&gt;"")*($AS$11:$AS1856&lt;&gt;"✓")),"")</f>
        <v/>
      </c>
      <c r="AZ1856" s="21" t="str">
        <f>IF(AND($AM1856&lt;&gt;"",$AS1856="✓"),SUMPRODUCT(($AM$11:$AM1856&lt;&gt;"")*($AS$11:$AS1856="✓")),"")</f>
        <v/>
      </c>
      <c r="BA1856" s="21" t="str">
        <f>IF($AL1856="","",$AL1856&amp;"|"&amp;COUNTIF($AL$11:$AL1856,$AL1856))</f>
        <v/>
      </c>
    </row>
    <row r="1857" spans="38:53" ht="15" customHeight="1" x14ac:dyDescent="0.25">
      <c r="AL1857" s="17"/>
      <c r="AM1857" s="12"/>
      <c r="AN1857" s="18"/>
      <c r="AO1857" s="18"/>
      <c r="AP1857" s="10"/>
      <c r="AQ1857" s="10"/>
      <c r="AR1857" s="19"/>
      <c r="AS1857" s="20"/>
      <c r="AT1857" s="19"/>
      <c r="AV1857" s="21">
        <f>IF(AND($AL1857&lt;&gt;"",COUNTIF($AL$11:$AL1857,$AL1857)=1),1,0)</f>
        <v>0</v>
      </c>
      <c r="AW1857" s="21">
        <f t="shared" si="143"/>
        <v>0</v>
      </c>
      <c r="AX1857" s="21" t="str">
        <f t="shared" si="142"/>
        <v/>
      </c>
      <c r="AY1857" s="21" t="str">
        <f>IF(AND($AM1857&lt;&gt;"",$AS1857&lt;&gt;"✓"),SUMPRODUCT(($AM$11:$AM1857&lt;&gt;"")*($AS$11:$AS1857&lt;&gt;"✓")),"")</f>
        <v/>
      </c>
      <c r="AZ1857" s="21" t="str">
        <f>IF(AND($AM1857&lt;&gt;"",$AS1857="✓"),SUMPRODUCT(($AM$11:$AM1857&lt;&gt;"")*($AS$11:$AS1857="✓")),"")</f>
        <v/>
      </c>
      <c r="BA1857" s="21" t="str">
        <f>IF($AL1857="","",$AL1857&amp;"|"&amp;COUNTIF($AL$11:$AL1857,$AL1857))</f>
        <v/>
      </c>
    </row>
    <row r="1858" spans="38:53" ht="15" customHeight="1" x14ac:dyDescent="0.25">
      <c r="AL1858" s="31"/>
      <c r="AM1858" s="26"/>
      <c r="AN1858" s="32"/>
      <c r="AO1858" s="32"/>
      <c r="AP1858" s="24"/>
      <c r="AQ1858" s="24"/>
      <c r="AR1858" s="33"/>
      <c r="AS1858" s="34"/>
      <c r="AT1858" s="33"/>
      <c r="AV1858" s="21">
        <f>IF(AND($AL1858&lt;&gt;"",COUNTIF($AL$11:$AL1858,$AL1858)=1),1,0)</f>
        <v>0</v>
      </c>
      <c r="AW1858" s="21">
        <f t="shared" si="143"/>
        <v>0</v>
      </c>
      <c r="AX1858" s="21" t="str">
        <f t="shared" si="142"/>
        <v/>
      </c>
      <c r="AY1858" s="21" t="str">
        <f>IF(AND($AM1858&lt;&gt;"",$AS1858&lt;&gt;"✓"),SUMPRODUCT(($AM$11:$AM1858&lt;&gt;"")*($AS$11:$AS1858&lt;&gt;"✓")),"")</f>
        <v/>
      </c>
      <c r="AZ1858" s="21" t="str">
        <f>IF(AND($AM1858&lt;&gt;"",$AS1858="✓"),SUMPRODUCT(($AM$11:$AM1858&lt;&gt;"")*($AS$11:$AS1858="✓")),"")</f>
        <v/>
      </c>
      <c r="BA1858" s="21" t="str">
        <f>IF($AL1858="","",$AL1858&amp;"|"&amp;COUNTIF($AL$11:$AL1858,$AL1858))</f>
        <v/>
      </c>
    </row>
    <row r="1859" spans="38:53" ht="15" customHeight="1" x14ac:dyDescent="0.25">
      <c r="AL1859" s="17"/>
      <c r="AM1859" s="12"/>
      <c r="AN1859" s="18"/>
      <c r="AO1859" s="18"/>
      <c r="AP1859" s="10"/>
      <c r="AQ1859" s="10"/>
      <c r="AR1859" s="19"/>
      <c r="AS1859" s="20"/>
      <c r="AT1859" s="19"/>
      <c r="AV1859" s="21">
        <f>IF(AND($AL1859&lt;&gt;"",COUNTIF($AL$11:$AL1859,$AL1859)=1),1,0)</f>
        <v>0</v>
      </c>
      <c r="AW1859" s="21">
        <f t="shared" si="143"/>
        <v>0</v>
      </c>
      <c r="AX1859" s="21" t="str">
        <f t="shared" si="142"/>
        <v/>
      </c>
      <c r="AY1859" s="21" t="str">
        <f>IF(AND($AM1859&lt;&gt;"",$AS1859&lt;&gt;"✓"),SUMPRODUCT(($AM$11:$AM1859&lt;&gt;"")*($AS$11:$AS1859&lt;&gt;"✓")),"")</f>
        <v/>
      </c>
      <c r="AZ1859" s="21" t="str">
        <f>IF(AND($AM1859&lt;&gt;"",$AS1859="✓"),SUMPRODUCT(($AM$11:$AM1859&lt;&gt;"")*($AS$11:$AS1859="✓")),"")</f>
        <v/>
      </c>
      <c r="BA1859" s="21" t="str">
        <f>IF($AL1859="","",$AL1859&amp;"|"&amp;COUNTIF($AL$11:$AL1859,$AL1859))</f>
        <v/>
      </c>
    </row>
    <row r="1860" spans="38:53" ht="15" customHeight="1" x14ac:dyDescent="0.25">
      <c r="AL1860" s="31"/>
      <c r="AM1860" s="26"/>
      <c r="AN1860" s="32"/>
      <c r="AO1860" s="32"/>
      <c r="AP1860" s="24"/>
      <c r="AQ1860" s="24"/>
      <c r="AR1860" s="33"/>
      <c r="AS1860" s="34"/>
      <c r="AT1860" s="33"/>
      <c r="AV1860" s="21">
        <f>IF(AND($AL1860&lt;&gt;"",COUNTIF($AL$11:$AL1860,$AL1860)=1),1,0)</f>
        <v>0</v>
      </c>
      <c r="AW1860" s="21">
        <f t="shared" si="143"/>
        <v>0</v>
      </c>
      <c r="AX1860" s="21" t="str">
        <f t="shared" si="142"/>
        <v/>
      </c>
      <c r="AY1860" s="21" t="str">
        <f>IF(AND($AM1860&lt;&gt;"",$AS1860&lt;&gt;"✓"),SUMPRODUCT(($AM$11:$AM1860&lt;&gt;"")*($AS$11:$AS1860&lt;&gt;"✓")),"")</f>
        <v/>
      </c>
      <c r="AZ1860" s="21" t="str">
        <f>IF(AND($AM1860&lt;&gt;"",$AS1860="✓"),SUMPRODUCT(($AM$11:$AM1860&lt;&gt;"")*($AS$11:$AS1860="✓")),"")</f>
        <v/>
      </c>
      <c r="BA1860" s="21" t="str">
        <f>IF($AL1860="","",$AL1860&amp;"|"&amp;COUNTIF($AL$11:$AL1860,$AL1860))</f>
        <v/>
      </c>
    </row>
    <row r="1861" spans="38:53" ht="15" customHeight="1" x14ac:dyDescent="0.25">
      <c r="AL1861" s="17"/>
      <c r="AM1861" s="12"/>
      <c r="AN1861" s="18"/>
      <c r="AO1861" s="18"/>
      <c r="AP1861" s="10"/>
      <c r="AQ1861" s="10"/>
      <c r="AR1861" s="19"/>
      <c r="AS1861" s="20"/>
      <c r="AT1861" s="19"/>
      <c r="AV1861" s="21">
        <f>IF(AND($AL1861&lt;&gt;"",COUNTIF($AL$11:$AL1861,$AL1861)=1),1,0)</f>
        <v>0</v>
      </c>
      <c r="AW1861" s="21">
        <f t="shared" si="143"/>
        <v>0</v>
      </c>
      <c r="AX1861" s="21" t="str">
        <f t="shared" si="142"/>
        <v/>
      </c>
      <c r="AY1861" s="21" t="str">
        <f>IF(AND($AM1861&lt;&gt;"",$AS1861&lt;&gt;"✓"),SUMPRODUCT(($AM$11:$AM1861&lt;&gt;"")*($AS$11:$AS1861&lt;&gt;"✓")),"")</f>
        <v/>
      </c>
      <c r="AZ1861" s="21" t="str">
        <f>IF(AND($AM1861&lt;&gt;"",$AS1861="✓"),SUMPRODUCT(($AM$11:$AM1861&lt;&gt;"")*($AS$11:$AS1861="✓")),"")</f>
        <v/>
      </c>
      <c r="BA1861" s="21" t="str">
        <f>IF($AL1861="","",$AL1861&amp;"|"&amp;COUNTIF($AL$11:$AL1861,$AL1861))</f>
        <v/>
      </c>
    </row>
    <row r="1862" spans="38:53" ht="15" customHeight="1" x14ac:dyDescent="0.25">
      <c r="AL1862" s="31"/>
      <c r="AM1862" s="26"/>
      <c r="AN1862" s="32"/>
      <c r="AO1862" s="32"/>
      <c r="AP1862" s="24"/>
      <c r="AQ1862" s="24"/>
      <c r="AR1862" s="33"/>
      <c r="AS1862" s="34"/>
      <c r="AT1862" s="33"/>
      <c r="AV1862" s="21">
        <f>IF(AND($AL1862&lt;&gt;"",COUNTIF($AL$11:$AL1862,$AL1862)=1),1,0)</f>
        <v>0</v>
      </c>
      <c r="AW1862" s="21">
        <f t="shared" si="143"/>
        <v>0</v>
      </c>
      <c r="AX1862" s="21" t="str">
        <f t="shared" si="142"/>
        <v/>
      </c>
      <c r="AY1862" s="21" t="str">
        <f>IF(AND($AM1862&lt;&gt;"",$AS1862&lt;&gt;"✓"),SUMPRODUCT(($AM$11:$AM1862&lt;&gt;"")*($AS$11:$AS1862&lt;&gt;"✓")),"")</f>
        <v/>
      </c>
      <c r="AZ1862" s="21" t="str">
        <f>IF(AND($AM1862&lt;&gt;"",$AS1862="✓"),SUMPRODUCT(($AM$11:$AM1862&lt;&gt;"")*($AS$11:$AS1862="✓")),"")</f>
        <v/>
      </c>
      <c r="BA1862" s="21" t="str">
        <f>IF($AL1862="","",$AL1862&amp;"|"&amp;COUNTIF($AL$11:$AL1862,$AL1862))</f>
        <v/>
      </c>
    </row>
    <row r="1863" spans="38:53" ht="15" customHeight="1" x14ac:dyDescent="0.25">
      <c r="AL1863" s="17"/>
      <c r="AM1863" s="12"/>
      <c r="AN1863" s="18"/>
      <c r="AO1863" s="18"/>
      <c r="AP1863" s="10"/>
      <c r="AQ1863" s="10"/>
      <c r="AR1863" s="19"/>
      <c r="AS1863" s="20"/>
      <c r="AT1863" s="19"/>
      <c r="AV1863" s="21">
        <f>IF(AND($AL1863&lt;&gt;"",COUNTIF($AL$11:$AL1863,$AL1863)=1),1,0)</f>
        <v>0</v>
      </c>
      <c r="AW1863" s="21">
        <f t="shared" si="143"/>
        <v>0</v>
      </c>
      <c r="AX1863" s="21" t="str">
        <f t="shared" si="142"/>
        <v/>
      </c>
      <c r="AY1863" s="21" t="str">
        <f>IF(AND($AM1863&lt;&gt;"",$AS1863&lt;&gt;"✓"),SUMPRODUCT(($AM$11:$AM1863&lt;&gt;"")*($AS$11:$AS1863&lt;&gt;"✓")),"")</f>
        <v/>
      </c>
      <c r="AZ1863" s="21" t="str">
        <f>IF(AND($AM1863&lt;&gt;"",$AS1863="✓"),SUMPRODUCT(($AM$11:$AM1863&lt;&gt;"")*($AS$11:$AS1863="✓")),"")</f>
        <v/>
      </c>
      <c r="BA1863" s="21" t="str">
        <f>IF($AL1863="","",$AL1863&amp;"|"&amp;COUNTIF($AL$11:$AL1863,$AL1863))</f>
        <v/>
      </c>
    </row>
    <row r="1864" spans="38:53" ht="15" customHeight="1" x14ac:dyDescent="0.25">
      <c r="AL1864" s="31"/>
      <c r="AM1864" s="26"/>
      <c r="AN1864" s="32"/>
      <c r="AO1864" s="32"/>
      <c r="AP1864" s="24"/>
      <c r="AQ1864" s="24"/>
      <c r="AR1864" s="33"/>
      <c r="AS1864" s="34"/>
      <c r="AT1864" s="33"/>
      <c r="AV1864" s="21">
        <f>IF(AND($AL1864&lt;&gt;"",COUNTIF($AL$11:$AL1864,$AL1864)=1),1,0)</f>
        <v>0</v>
      </c>
      <c r="AW1864" s="21">
        <f t="shared" si="143"/>
        <v>0</v>
      </c>
      <c r="AX1864" s="21" t="str">
        <f t="shared" si="142"/>
        <v/>
      </c>
      <c r="AY1864" s="21" t="str">
        <f>IF(AND($AM1864&lt;&gt;"",$AS1864&lt;&gt;"✓"),SUMPRODUCT(($AM$11:$AM1864&lt;&gt;"")*($AS$11:$AS1864&lt;&gt;"✓")),"")</f>
        <v/>
      </c>
      <c r="AZ1864" s="21" t="str">
        <f>IF(AND($AM1864&lt;&gt;"",$AS1864="✓"),SUMPRODUCT(($AM$11:$AM1864&lt;&gt;"")*($AS$11:$AS1864="✓")),"")</f>
        <v/>
      </c>
      <c r="BA1864" s="21" t="str">
        <f>IF($AL1864="","",$AL1864&amp;"|"&amp;COUNTIF($AL$11:$AL1864,$AL1864))</f>
        <v/>
      </c>
    </row>
    <row r="1865" spans="38:53" ht="15" customHeight="1" x14ac:dyDescent="0.25">
      <c r="AL1865" s="17"/>
      <c r="AM1865" s="12"/>
      <c r="AN1865" s="18"/>
      <c r="AO1865" s="18"/>
      <c r="AP1865" s="10"/>
      <c r="AQ1865" s="10"/>
      <c r="AR1865" s="19"/>
      <c r="AS1865" s="20"/>
      <c r="AT1865" s="19"/>
      <c r="AV1865" s="21">
        <f>IF(AND($AL1865&lt;&gt;"",COUNTIF($AL$11:$AL1865,$AL1865)=1),1,0)</f>
        <v>0</v>
      </c>
      <c r="AW1865" s="21">
        <f t="shared" si="143"/>
        <v>0</v>
      </c>
      <c r="AX1865" s="21" t="str">
        <f t="shared" si="142"/>
        <v/>
      </c>
      <c r="AY1865" s="21" t="str">
        <f>IF(AND($AM1865&lt;&gt;"",$AS1865&lt;&gt;"✓"),SUMPRODUCT(($AM$11:$AM1865&lt;&gt;"")*($AS$11:$AS1865&lt;&gt;"✓")),"")</f>
        <v/>
      </c>
      <c r="AZ1865" s="21" t="str">
        <f>IF(AND($AM1865&lt;&gt;"",$AS1865="✓"),SUMPRODUCT(($AM$11:$AM1865&lt;&gt;"")*($AS$11:$AS1865="✓")),"")</f>
        <v/>
      </c>
      <c r="BA1865" s="21" t="str">
        <f>IF($AL1865="","",$AL1865&amp;"|"&amp;COUNTIF($AL$11:$AL1865,$AL1865))</f>
        <v/>
      </c>
    </row>
    <row r="1866" spans="38:53" ht="15" customHeight="1" x14ac:dyDescent="0.25">
      <c r="AL1866" s="31"/>
      <c r="AM1866" s="26"/>
      <c r="AN1866" s="32"/>
      <c r="AO1866" s="32"/>
      <c r="AP1866" s="24"/>
      <c r="AQ1866" s="24"/>
      <c r="AR1866" s="33"/>
      <c r="AS1866" s="34"/>
      <c r="AT1866" s="33"/>
      <c r="AV1866" s="21">
        <f>IF(AND($AL1866&lt;&gt;"",COUNTIF($AL$11:$AL1866,$AL1866)=1),1,0)</f>
        <v>0</v>
      </c>
      <c r="AW1866" s="21">
        <f t="shared" si="143"/>
        <v>0</v>
      </c>
      <c r="AX1866" s="21" t="str">
        <f t="shared" si="142"/>
        <v/>
      </c>
      <c r="AY1866" s="21" t="str">
        <f>IF(AND($AM1866&lt;&gt;"",$AS1866&lt;&gt;"✓"),SUMPRODUCT(($AM$11:$AM1866&lt;&gt;"")*($AS$11:$AS1866&lt;&gt;"✓")),"")</f>
        <v/>
      </c>
      <c r="AZ1866" s="21" t="str">
        <f>IF(AND($AM1866&lt;&gt;"",$AS1866="✓"),SUMPRODUCT(($AM$11:$AM1866&lt;&gt;"")*($AS$11:$AS1866="✓")),"")</f>
        <v/>
      </c>
      <c r="BA1866" s="21" t="str">
        <f>IF($AL1866="","",$AL1866&amp;"|"&amp;COUNTIF($AL$11:$AL1866,$AL1866))</f>
        <v/>
      </c>
    </row>
    <row r="1867" spans="38:53" ht="15" customHeight="1" x14ac:dyDescent="0.25">
      <c r="AL1867" s="17"/>
      <c r="AM1867" s="12"/>
      <c r="AN1867" s="18"/>
      <c r="AO1867" s="18"/>
      <c r="AP1867" s="10"/>
      <c r="AQ1867" s="10"/>
      <c r="AR1867" s="19"/>
      <c r="AS1867" s="20"/>
      <c r="AT1867" s="19"/>
      <c r="AV1867" s="21">
        <f>IF(AND($AL1867&lt;&gt;"",COUNTIF($AL$11:$AL1867,$AL1867)=1),1,0)</f>
        <v>0</v>
      </c>
      <c r="AW1867" s="21">
        <f t="shared" si="143"/>
        <v>0</v>
      </c>
      <c r="AX1867" s="21" t="str">
        <f t="shared" ref="AX1867:AX1930" si="144">IF(AV1867=1,AW1867,"")</f>
        <v/>
      </c>
      <c r="AY1867" s="21" t="str">
        <f>IF(AND($AM1867&lt;&gt;"",$AS1867&lt;&gt;"✓"),SUMPRODUCT(($AM$11:$AM1867&lt;&gt;"")*($AS$11:$AS1867&lt;&gt;"✓")),"")</f>
        <v/>
      </c>
      <c r="AZ1867" s="21" t="str">
        <f>IF(AND($AM1867&lt;&gt;"",$AS1867="✓"),SUMPRODUCT(($AM$11:$AM1867&lt;&gt;"")*($AS$11:$AS1867="✓")),"")</f>
        <v/>
      </c>
      <c r="BA1867" s="21" t="str">
        <f>IF($AL1867="","",$AL1867&amp;"|"&amp;COUNTIF($AL$11:$AL1867,$AL1867))</f>
        <v/>
      </c>
    </row>
    <row r="1868" spans="38:53" ht="15" customHeight="1" x14ac:dyDescent="0.25">
      <c r="AL1868" s="31"/>
      <c r="AM1868" s="26"/>
      <c r="AN1868" s="32"/>
      <c r="AO1868" s="32"/>
      <c r="AP1868" s="24"/>
      <c r="AQ1868" s="24"/>
      <c r="AR1868" s="33"/>
      <c r="AS1868" s="34"/>
      <c r="AT1868" s="33"/>
      <c r="AV1868" s="21">
        <f>IF(AND($AL1868&lt;&gt;"",COUNTIF($AL$11:$AL1868,$AL1868)=1),1,0)</f>
        <v>0</v>
      </c>
      <c r="AW1868" s="21">
        <f t="shared" ref="AW1868:AW1931" si="145">AW1867+AV1868</f>
        <v>0</v>
      </c>
      <c r="AX1868" s="21" t="str">
        <f t="shared" si="144"/>
        <v/>
      </c>
      <c r="AY1868" s="21" t="str">
        <f>IF(AND($AM1868&lt;&gt;"",$AS1868&lt;&gt;"✓"),SUMPRODUCT(($AM$11:$AM1868&lt;&gt;"")*($AS$11:$AS1868&lt;&gt;"✓")),"")</f>
        <v/>
      </c>
      <c r="AZ1868" s="21" t="str">
        <f>IF(AND($AM1868&lt;&gt;"",$AS1868="✓"),SUMPRODUCT(($AM$11:$AM1868&lt;&gt;"")*($AS$11:$AS1868="✓")),"")</f>
        <v/>
      </c>
      <c r="BA1868" s="21" t="str">
        <f>IF($AL1868="","",$AL1868&amp;"|"&amp;COUNTIF($AL$11:$AL1868,$AL1868))</f>
        <v/>
      </c>
    </row>
    <row r="1869" spans="38:53" ht="15" customHeight="1" x14ac:dyDescent="0.25">
      <c r="AL1869" s="17"/>
      <c r="AM1869" s="12"/>
      <c r="AN1869" s="18"/>
      <c r="AO1869" s="18"/>
      <c r="AP1869" s="10"/>
      <c r="AQ1869" s="10"/>
      <c r="AR1869" s="19"/>
      <c r="AS1869" s="20"/>
      <c r="AT1869" s="19"/>
      <c r="AV1869" s="21">
        <f>IF(AND($AL1869&lt;&gt;"",COUNTIF($AL$11:$AL1869,$AL1869)=1),1,0)</f>
        <v>0</v>
      </c>
      <c r="AW1869" s="21">
        <f t="shared" si="145"/>
        <v>0</v>
      </c>
      <c r="AX1869" s="21" t="str">
        <f t="shared" si="144"/>
        <v/>
      </c>
      <c r="AY1869" s="21" t="str">
        <f>IF(AND($AM1869&lt;&gt;"",$AS1869&lt;&gt;"✓"),SUMPRODUCT(($AM$11:$AM1869&lt;&gt;"")*($AS$11:$AS1869&lt;&gt;"✓")),"")</f>
        <v/>
      </c>
      <c r="AZ1869" s="21" t="str">
        <f>IF(AND($AM1869&lt;&gt;"",$AS1869="✓"),SUMPRODUCT(($AM$11:$AM1869&lt;&gt;"")*($AS$11:$AS1869="✓")),"")</f>
        <v/>
      </c>
      <c r="BA1869" s="21" t="str">
        <f>IF($AL1869="","",$AL1869&amp;"|"&amp;COUNTIF($AL$11:$AL1869,$AL1869))</f>
        <v/>
      </c>
    </row>
    <row r="1870" spans="38:53" ht="15" customHeight="1" x14ac:dyDescent="0.25">
      <c r="AL1870" s="31"/>
      <c r="AM1870" s="26"/>
      <c r="AN1870" s="32"/>
      <c r="AO1870" s="32"/>
      <c r="AP1870" s="24"/>
      <c r="AQ1870" s="24"/>
      <c r="AR1870" s="33"/>
      <c r="AS1870" s="34"/>
      <c r="AT1870" s="33"/>
      <c r="AV1870" s="21">
        <f>IF(AND($AL1870&lt;&gt;"",COUNTIF($AL$11:$AL1870,$AL1870)=1),1,0)</f>
        <v>0</v>
      </c>
      <c r="AW1870" s="21">
        <f t="shared" si="145"/>
        <v>0</v>
      </c>
      <c r="AX1870" s="21" t="str">
        <f t="shared" si="144"/>
        <v/>
      </c>
      <c r="AY1870" s="21" t="str">
        <f>IF(AND($AM1870&lt;&gt;"",$AS1870&lt;&gt;"✓"),SUMPRODUCT(($AM$11:$AM1870&lt;&gt;"")*($AS$11:$AS1870&lt;&gt;"✓")),"")</f>
        <v/>
      </c>
      <c r="AZ1870" s="21" t="str">
        <f>IF(AND($AM1870&lt;&gt;"",$AS1870="✓"),SUMPRODUCT(($AM$11:$AM1870&lt;&gt;"")*($AS$11:$AS1870="✓")),"")</f>
        <v/>
      </c>
      <c r="BA1870" s="21" t="str">
        <f>IF($AL1870="","",$AL1870&amp;"|"&amp;COUNTIF($AL$11:$AL1870,$AL1870))</f>
        <v/>
      </c>
    </row>
    <row r="1871" spans="38:53" ht="15" customHeight="1" x14ac:dyDescent="0.25">
      <c r="AL1871" s="17"/>
      <c r="AM1871" s="12"/>
      <c r="AN1871" s="18"/>
      <c r="AO1871" s="18"/>
      <c r="AP1871" s="10"/>
      <c r="AQ1871" s="10"/>
      <c r="AR1871" s="19"/>
      <c r="AS1871" s="20"/>
      <c r="AT1871" s="19"/>
      <c r="AV1871" s="21">
        <f>IF(AND($AL1871&lt;&gt;"",COUNTIF($AL$11:$AL1871,$AL1871)=1),1,0)</f>
        <v>0</v>
      </c>
      <c r="AW1871" s="21">
        <f t="shared" si="145"/>
        <v>0</v>
      </c>
      <c r="AX1871" s="21" t="str">
        <f t="shared" si="144"/>
        <v/>
      </c>
      <c r="AY1871" s="21" t="str">
        <f>IF(AND($AM1871&lt;&gt;"",$AS1871&lt;&gt;"✓"),SUMPRODUCT(($AM$11:$AM1871&lt;&gt;"")*($AS$11:$AS1871&lt;&gt;"✓")),"")</f>
        <v/>
      </c>
      <c r="AZ1871" s="21" t="str">
        <f>IF(AND($AM1871&lt;&gt;"",$AS1871="✓"),SUMPRODUCT(($AM$11:$AM1871&lt;&gt;"")*($AS$11:$AS1871="✓")),"")</f>
        <v/>
      </c>
      <c r="BA1871" s="21" t="str">
        <f>IF($AL1871="","",$AL1871&amp;"|"&amp;COUNTIF($AL$11:$AL1871,$AL1871))</f>
        <v/>
      </c>
    </row>
    <row r="1872" spans="38:53" ht="15" customHeight="1" x14ac:dyDescent="0.25">
      <c r="AL1872" s="31"/>
      <c r="AM1872" s="26"/>
      <c r="AN1872" s="32"/>
      <c r="AO1872" s="32"/>
      <c r="AP1872" s="24"/>
      <c r="AQ1872" s="24"/>
      <c r="AR1872" s="33"/>
      <c r="AS1872" s="34"/>
      <c r="AT1872" s="33"/>
      <c r="AV1872" s="21">
        <f>IF(AND($AL1872&lt;&gt;"",COUNTIF($AL$11:$AL1872,$AL1872)=1),1,0)</f>
        <v>0</v>
      </c>
      <c r="AW1872" s="21">
        <f t="shared" si="145"/>
        <v>0</v>
      </c>
      <c r="AX1872" s="21" t="str">
        <f t="shared" si="144"/>
        <v/>
      </c>
      <c r="AY1872" s="21" t="str">
        <f>IF(AND($AM1872&lt;&gt;"",$AS1872&lt;&gt;"✓"),SUMPRODUCT(($AM$11:$AM1872&lt;&gt;"")*($AS$11:$AS1872&lt;&gt;"✓")),"")</f>
        <v/>
      </c>
      <c r="AZ1872" s="21" t="str">
        <f>IF(AND($AM1872&lt;&gt;"",$AS1872="✓"),SUMPRODUCT(($AM$11:$AM1872&lt;&gt;"")*($AS$11:$AS1872="✓")),"")</f>
        <v/>
      </c>
      <c r="BA1872" s="21" t="str">
        <f>IF($AL1872="","",$AL1872&amp;"|"&amp;COUNTIF($AL$11:$AL1872,$AL1872))</f>
        <v/>
      </c>
    </row>
    <row r="1873" spans="38:53" ht="15" customHeight="1" x14ac:dyDescent="0.25">
      <c r="AL1873" s="17"/>
      <c r="AM1873" s="12"/>
      <c r="AN1873" s="18"/>
      <c r="AO1873" s="18"/>
      <c r="AP1873" s="10"/>
      <c r="AQ1873" s="10"/>
      <c r="AR1873" s="19"/>
      <c r="AS1873" s="20"/>
      <c r="AT1873" s="19"/>
      <c r="AV1873" s="21">
        <f>IF(AND($AL1873&lt;&gt;"",COUNTIF($AL$11:$AL1873,$AL1873)=1),1,0)</f>
        <v>0</v>
      </c>
      <c r="AW1873" s="21">
        <f t="shared" si="145"/>
        <v>0</v>
      </c>
      <c r="AX1873" s="21" t="str">
        <f t="shared" si="144"/>
        <v/>
      </c>
      <c r="AY1873" s="21" t="str">
        <f>IF(AND($AM1873&lt;&gt;"",$AS1873&lt;&gt;"✓"),SUMPRODUCT(($AM$11:$AM1873&lt;&gt;"")*($AS$11:$AS1873&lt;&gt;"✓")),"")</f>
        <v/>
      </c>
      <c r="AZ1873" s="21" t="str">
        <f>IF(AND($AM1873&lt;&gt;"",$AS1873="✓"),SUMPRODUCT(($AM$11:$AM1873&lt;&gt;"")*($AS$11:$AS1873="✓")),"")</f>
        <v/>
      </c>
      <c r="BA1873" s="21" t="str">
        <f>IF($AL1873="","",$AL1873&amp;"|"&amp;COUNTIF($AL$11:$AL1873,$AL1873))</f>
        <v/>
      </c>
    </row>
    <row r="1874" spans="38:53" ht="15" customHeight="1" x14ac:dyDescent="0.25">
      <c r="AL1874" s="31"/>
      <c r="AM1874" s="26"/>
      <c r="AN1874" s="32"/>
      <c r="AO1874" s="32"/>
      <c r="AP1874" s="24"/>
      <c r="AQ1874" s="24"/>
      <c r="AR1874" s="33"/>
      <c r="AS1874" s="34"/>
      <c r="AT1874" s="33"/>
      <c r="AV1874" s="21">
        <f>IF(AND($AL1874&lt;&gt;"",COUNTIF($AL$11:$AL1874,$AL1874)=1),1,0)</f>
        <v>0</v>
      </c>
      <c r="AW1874" s="21">
        <f t="shared" si="145"/>
        <v>0</v>
      </c>
      <c r="AX1874" s="21" t="str">
        <f t="shared" si="144"/>
        <v/>
      </c>
      <c r="AY1874" s="21" t="str">
        <f>IF(AND($AM1874&lt;&gt;"",$AS1874&lt;&gt;"✓"),SUMPRODUCT(($AM$11:$AM1874&lt;&gt;"")*($AS$11:$AS1874&lt;&gt;"✓")),"")</f>
        <v/>
      </c>
      <c r="AZ1874" s="21" t="str">
        <f>IF(AND($AM1874&lt;&gt;"",$AS1874="✓"),SUMPRODUCT(($AM$11:$AM1874&lt;&gt;"")*($AS$11:$AS1874="✓")),"")</f>
        <v/>
      </c>
      <c r="BA1874" s="21" t="str">
        <f>IF($AL1874="","",$AL1874&amp;"|"&amp;COUNTIF($AL$11:$AL1874,$AL1874))</f>
        <v/>
      </c>
    </row>
    <row r="1875" spans="38:53" ht="15" customHeight="1" x14ac:dyDescent="0.25">
      <c r="AL1875" s="17"/>
      <c r="AM1875" s="12"/>
      <c r="AN1875" s="18"/>
      <c r="AO1875" s="18"/>
      <c r="AP1875" s="10"/>
      <c r="AQ1875" s="10"/>
      <c r="AR1875" s="19"/>
      <c r="AS1875" s="20"/>
      <c r="AT1875" s="19"/>
      <c r="AV1875" s="21">
        <f>IF(AND($AL1875&lt;&gt;"",COUNTIF($AL$11:$AL1875,$AL1875)=1),1,0)</f>
        <v>0</v>
      </c>
      <c r="AW1875" s="21">
        <f t="shared" si="145"/>
        <v>0</v>
      </c>
      <c r="AX1875" s="21" t="str">
        <f t="shared" si="144"/>
        <v/>
      </c>
      <c r="AY1875" s="21" t="str">
        <f>IF(AND($AM1875&lt;&gt;"",$AS1875&lt;&gt;"✓"),SUMPRODUCT(($AM$11:$AM1875&lt;&gt;"")*($AS$11:$AS1875&lt;&gt;"✓")),"")</f>
        <v/>
      </c>
      <c r="AZ1875" s="21" t="str">
        <f>IF(AND($AM1875&lt;&gt;"",$AS1875="✓"),SUMPRODUCT(($AM$11:$AM1875&lt;&gt;"")*($AS$11:$AS1875="✓")),"")</f>
        <v/>
      </c>
      <c r="BA1875" s="21" t="str">
        <f>IF($AL1875="","",$AL1875&amp;"|"&amp;COUNTIF($AL$11:$AL1875,$AL1875))</f>
        <v/>
      </c>
    </row>
    <row r="1876" spans="38:53" ht="15" customHeight="1" x14ac:dyDescent="0.25">
      <c r="AL1876" s="31"/>
      <c r="AM1876" s="26"/>
      <c r="AN1876" s="32"/>
      <c r="AO1876" s="32"/>
      <c r="AP1876" s="24"/>
      <c r="AQ1876" s="24"/>
      <c r="AR1876" s="33"/>
      <c r="AS1876" s="34"/>
      <c r="AT1876" s="33"/>
      <c r="AV1876" s="21">
        <f>IF(AND($AL1876&lt;&gt;"",COUNTIF($AL$11:$AL1876,$AL1876)=1),1,0)</f>
        <v>0</v>
      </c>
      <c r="AW1876" s="21">
        <f t="shared" si="145"/>
        <v>0</v>
      </c>
      <c r="AX1876" s="21" t="str">
        <f t="shared" si="144"/>
        <v/>
      </c>
      <c r="AY1876" s="21" t="str">
        <f>IF(AND($AM1876&lt;&gt;"",$AS1876&lt;&gt;"✓"),SUMPRODUCT(($AM$11:$AM1876&lt;&gt;"")*($AS$11:$AS1876&lt;&gt;"✓")),"")</f>
        <v/>
      </c>
      <c r="AZ1876" s="21" t="str">
        <f>IF(AND($AM1876&lt;&gt;"",$AS1876="✓"),SUMPRODUCT(($AM$11:$AM1876&lt;&gt;"")*($AS$11:$AS1876="✓")),"")</f>
        <v/>
      </c>
      <c r="BA1876" s="21" t="str">
        <f>IF($AL1876="","",$AL1876&amp;"|"&amp;COUNTIF($AL$11:$AL1876,$AL1876))</f>
        <v/>
      </c>
    </row>
    <row r="1877" spans="38:53" ht="15" customHeight="1" x14ac:dyDescent="0.25">
      <c r="AL1877" s="17"/>
      <c r="AM1877" s="12"/>
      <c r="AN1877" s="18"/>
      <c r="AO1877" s="18"/>
      <c r="AP1877" s="10"/>
      <c r="AQ1877" s="10"/>
      <c r="AR1877" s="19"/>
      <c r="AS1877" s="20"/>
      <c r="AT1877" s="19"/>
      <c r="AV1877" s="21">
        <f>IF(AND($AL1877&lt;&gt;"",COUNTIF($AL$11:$AL1877,$AL1877)=1),1,0)</f>
        <v>0</v>
      </c>
      <c r="AW1877" s="21">
        <f t="shared" si="145"/>
        <v>0</v>
      </c>
      <c r="AX1877" s="21" t="str">
        <f t="shared" si="144"/>
        <v/>
      </c>
      <c r="AY1877" s="21" t="str">
        <f>IF(AND($AM1877&lt;&gt;"",$AS1877&lt;&gt;"✓"),SUMPRODUCT(($AM$11:$AM1877&lt;&gt;"")*($AS$11:$AS1877&lt;&gt;"✓")),"")</f>
        <v/>
      </c>
      <c r="AZ1877" s="21" t="str">
        <f>IF(AND($AM1877&lt;&gt;"",$AS1877="✓"),SUMPRODUCT(($AM$11:$AM1877&lt;&gt;"")*($AS$11:$AS1877="✓")),"")</f>
        <v/>
      </c>
      <c r="BA1877" s="21" t="str">
        <f>IF($AL1877="","",$AL1877&amp;"|"&amp;COUNTIF($AL$11:$AL1877,$AL1877))</f>
        <v/>
      </c>
    </row>
    <row r="1878" spans="38:53" ht="15" customHeight="1" x14ac:dyDescent="0.25">
      <c r="AL1878" s="31"/>
      <c r="AM1878" s="26"/>
      <c r="AN1878" s="32"/>
      <c r="AO1878" s="32"/>
      <c r="AP1878" s="24"/>
      <c r="AQ1878" s="24"/>
      <c r="AR1878" s="33"/>
      <c r="AS1878" s="34"/>
      <c r="AT1878" s="33"/>
      <c r="AV1878" s="21">
        <f>IF(AND($AL1878&lt;&gt;"",COUNTIF($AL$11:$AL1878,$AL1878)=1),1,0)</f>
        <v>0</v>
      </c>
      <c r="AW1878" s="21">
        <f t="shared" si="145"/>
        <v>0</v>
      </c>
      <c r="AX1878" s="21" t="str">
        <f t="shared" si="144"/>
        <v/>
      </c>
      <c r="AY1878" s="21" t="str">
        <f>IF(AND($AM1878&lt;&gt;"",$AS1878&lt;&gt;"✓"),SUMPRODUCT(($AM$11:$AM1878&lt;&gt;"")*($AS$11:$AS1878&lt;&gt;"✓")),"")</f>
        <v/>
      </c>
      <c r="AZ1878" s="21" t="str">
        <f>IF(AND($AM1878&lt;&gt;"",$AS1878="✓"),SUMPRODUCT(($AM$11:$AM1878&lt;&gt;"")*($AS$11:$AS1878="✓")),"")</f>
        <v/>
      </c>
      <c r="BA1878" s="21" t="str">
        <f>IF($AL1878="","",$AL1878&amp;"|"&amp;COUNTIF($AL$11:$AL1878,$AL1878))</f>
        <v/>
      </c>
    </row>
    <row r="1879" spans="38:53" ht="15" customHeight="1" x14ac:dyDescent="0.25">
      <c r="AL1879" s="17"/>
      <c r="AM1879" s="12"/>
      <c r="AN1879" s="18"/>
      <c r="AO1879" s="18"/>
      <c r="AP1879" s="10"/>
      <c r="AQ1879" s="10"/>
      <c r="AR1879" s="19"/>
      <c r="AS1879" s="20"/>
      <c r="AT1879" s="19"/>
      <c r="AV1879" s="21">
        <f>IF(AND($AL1879&lt;&gt;"",COUNTIF($AL$11:$AL1879,$AL1879)=1),1,0)</f>
        <v>0</v>
      </c>
      <c r="AW1879" s="21">
        <f t="shared" si="145"/>
        <v>0</v>
      </c>
      <c r="AX1879" s="21" t="str">
        <f t="shared" si="144"/>
        <v/>
      </c>
      <c r="AY1879" s="21" t="str">
        <f>IF(AND($AM1879&lt;&gt;"",$AS1879&lt;&gt;"✓"),SUMPRODUCT(($AM$11:$AM1879&lt;&gt;"")*($AS$11:$AS1879&lt;&gt;"✓")),"")</f>
        <v/>
      </c>
      <c r="AZ1879" s="21" t="str">
        <f>IF(AND($AM1879&lt;&gt;"",$AS1879="✓"),SUMPRODUCT(($AM$11:$AM1879&lt;&gt;"")*($AS$11:$AS1879="✓")),"")</f>
        <v/>
      </c>
      <c r="BA1879" s="21" t="str">
        <f>IF($AL1879="","",$AL1879&amp;"|"&amp;COUNTIF($AL$11:$AL1879,$AL1879))</f>
        <v/>
      </c>
    </row>
    <row r="1880" spans="38:53" ht="15" customHeight="1" x14ac:dyDescent="0.25">
      <c r="AL1880" s="31"/>
      <c r="AM1880" s="26"/>
      <c r="AN1880" s="32"/>
      <c r="AO1880" s="32"/>
      <c r="AP1880" s="24"/>
      <c r="AQ1880" s="24"/>
      <c r="AR1880" s="33"/>
      <c r="AS1880" s="34"/>
      <c r="AT1880" s="33"/>
      <c r="AV1880" s="21">
        <f>IF(AND($AL1880&lt;&gt;"",COUNTIF($AL$11:$AL1880,$AL1880)=1),1,0)</f>
        <v>0</v>
      </c>
      <c r="AW1880" s="21">
        <f t="shared" si="145"/>
        <v>0</v>
      </c>
      <c r="AX1880" s="21" t="str">
        <f t="shared" si="144"/>
        <v/>
      </c>
      <c r="AY1880" s="21" t="str">
        <f>IF(AND($AM1880&lt;&gt;"",$AS1880&lt;&gt;"✓"),SUMPRODUCT(($AM$11:$AM1880&lt;&gt;"")*($AS$11:$AS1880&lt;&gt;"✓")),"")</f>
        <v/>
      </c>
      <c r="AZ1880" s="21" t="str">
        <f>IF(AND($AM1880&lt;&gt;"",$AS1880="✓"),SUMPRODUCT(($AM$11:$AM1880&lt;&gt;"")*($AS$11:$AS1880="✓")),"")</f>
        <v/>
      </c>
      <c r="BA1880" s="21" t="str">
        <f>IF($AL1880="","",$AL1880&amp;"|"&amp;COUNTIF($AL$11:$AL1880,$AL1880))</f>
        <v/>
      </c>
    </row>
    <row r="1881" spans="38:53" ht="15" customHeight="1" x14ac:dyDescent="0.25">
      <c r="AL1881" s="17"/>
      <c r="AM1881" s="12"/>
      <c r="AN1881" s="18"/>
      <c r="AO1881" s="18"/>
      <c r="AP1881" s="10"/>
      <c r="AQ1881" s="10"/>
      <c r="AR1881" s="19"/>
      <c r="AS1881" s="20"/>
      <c r="AT1881" s="19"/>
      <c r="AV1881" s="21">
        <f>IF(AND($AL1881&lt;&gt;"",COUNTIF($AL$11:$AL1881,$AL1881)=1),1,0)</f>
        <v>0</v>
      </c>
      <c r="AW1881" s="21">
        <f t="shared" si="145"/>
        <v>0</v>
      </c>
      <c r="AX1881" s="21" t="str">
        <f t="shared" si="144"/>
        <v/>
      </c>
      <c r="AY1881" s="21" t="str">
        <f>IF(AND($AM1881&lt;&gt;"",$AS1881&lt;&gt;"✓"),SUMPRODUCT(($AM$11:$AM1881&lt;&gt;"")*($AS$11:$AS1881&lt;&gt;"✓")),"")</f>
        <v/>
      </c>
      <c r="AZ1881" s="21" t="str">
        <f>IF(AND($AM1881&lt;&gt;"",$AS1881="✓"),SUMPRODUCT(($AM$11:$AM1881&lt;&gt;"")*($AS$11:$AS1881="✓")),"")</f>
        <v/>
      </c>
      <c r="BA1881" s="21" t="str">
        <f>IF($AL1881="","",$AL1881&amp;"|"&amp;COUNTIF($AL$11:$AL1881,$AL1881))</f>
        <v/>
      </c>
    </row>
    <row r="1882" spans="38:53" ht="15" customHeight="1" x14ac:dyDescent="0.25">
      <c r="AL1882" s="31"/>
      <c r="AM1882" s="26"/>
      <c r="AN1882" s="32"/>
      <c r="AO1882" s="32"/>
      <c r="AP1882" s="24"/>
      <c r="AQ1882" s="24"/>
      <c r="AR1882" s="33"/>
      <c r="AS1882" s="34"/>
      <c r="AT1882" s="33"/>
      <c r="AV1882" s="21">
        <f>IF(AND($AL1882&lt;&gt;"",COUNTIF($AL$11:$AL1882,$AL1882)=1),1,0)</f>
        <v>0</v>
      </c>
      <c r="AW1882" s="21">
        <f t="shared" si="145"/>
        <v>0</v>
      </c>
      <c r="AX1882" s="21" t="str">
        <f t="shared" si="144"/>
        <v/>
      </c>
      <c r="AY1882" s="21" t="str">
        <f>IF(AND($AM1882&lt;&gt;"",$AS1882&lt;&gt;"✓"),SUMPRODUCT(($AM$11:$AM1882&lt;&gt;"")*($AS$11:$AS1882&lt;&gt;"✓")),"")</f>
        <v/>
      </c>
      <c r="AZ1882" s="21" t="str">
        <f>IF(AND($AM1882&lt;&gt;"",$AS1882="✓"),SUMPRODUCT(($AM$11:$AM1882&lt;&gt;"")*($AS$11:$AS1882="✓")),"")</f>
        <v/>
      </c>
      <c r="BA1882" s="21" t="str">
        <f>IF($AL1882="","",$AL1882&amp;"|"&amp;COUNTIF($AL$11:$AL1882,$AL1882))</f>
        <v/>
      </c>
    </row>
    <row r="1883" spans="38:53" ht="15" customHeight="1" x14ac:dyDescent="0.25">
      <c r="AL1883" s="17"/>
      <c r="AM1883" s="12"/>
      <c r="AN1883" s="18"/>
      <c r="AO1883" s="18"/>
      <c r="AP1883" s="10"/>
      <c r="AQ1883" s="10"/>
      <c r="AR1883" s="19"/>
      <c r="AS1883" s="20"/>
      <c r="AT1883" s="19"/>
      <c r="AV1883" s="21">
        <f>IF(AND($AL1883&lt;&gt;"",COUNTIF($AL$11:$AL1883,$AL1883)=1),1,0)</f>
        <v>0</v>
      </c>
      <c r="AW1883" s="21">
        <f t="shared" si="145"/>
        <v>0</v>
      </c>
      <c r="AX1883" s="21" t="str">
        <f t="shared" si="144"/>
        <v/>
      </c>
      <c r="AY1883" s="21" t="str">
        <f>IF(AND($AM1883&lt;&gt;"",$AS1883&lt;&gt;"✓"),SUMPRODUCT(($AM$11:$AM1883&lt;&gt;"")*($AS$11:$AS1883&lt;&gt;"✓")),"")</f>
        <v/>
      </c>
      <c r="AZ1883" s="21" t="str">
        <f>IF(AND($AM1883&lt;&gt;"",$AS1883="✓"),SUMPRODUCT(($AM$11:$AM1883&lt;&gt;"")*($AS$11:$AS1883="✓")),"")</f>
        <v/>
      </c>
      <c r="BA1883" s="21" t="str">
        <f>IF($AL1883="","",$AL1883&amp;"|"&amp;COUNTIF($AL$11:$AL1883,$AL1883))</f>
        <v/>
      </c>
    </row>
    <row r="1884" spans="38:53" ht="15" customHeight="1" x14ac:dyDescent="0.25">
      <c r="AL1884" s="31"/>
      <c r="AM1884" s="26"/>
      <c r="AN1884" s="32"/>
      <c r="AO1884" s="32"/>
      <c r="AP1884" s="24"/>
      <c r="AQ1884" s="24"/>
      <c r="AR1884" s="33"/>
      <c r="AS1884" s="34"/>
      <c r="AT1884" s="33"/>
      <c r="AV1884" s="21">
        <f>IF(AND($AL1884&lt;&gt;"",COUNTIF($AL$11:$AL1884,$AL1884)=1),1,0)</f>
        <v>0</v>
      </c>
      <c r="AW1884" s="21">
        <f t="shared" si="145"/>
        <v>0</v>
      </c>
      <c r="AX1884" s="21" t="str">
        <f t="shared" si="144"/>
        <v/>
      </c>
      <c r="AY1884" s="21" t="str">
        <f>IF(AND($AM1884&lt;&gt;"",$AS1884&lt;&gt;"✓"),SUMPRODUCT(($AM$11:$AM1884&lt;&gt;"")*($AS$11:$AS1884&lt;&gt;"✓")),"")</f>
        <v/>
      </c>
      <c r="AZ1884" s="21" t="str">
        <f>IF(AND($AM1884&lt;&gt;"",$AS1884="✓"),SUMPRODUCT(($AM$11:$AM1884&lt;&gt;"")*($AS$11:$AS1884="✓")),"")</f>
        <v/>
      </c>
      <c r="BA1884" s="21" t="str">
        <f>IF($AL1884="","",$AL1884&amp;"|"&amp;COUNTIF($AL$11:$AL1884,$AL1884))</f>
        <v/>
      </c>
    </row>
    <row r="1885" spans="38:53" ht="15" customHeight="1" x14ac:dyDescent="0.25">
      <c r="AL1885" s="17"/>
      <c r="AM1885" s="12"/>
      <c r="AN1885" s="18"/>
      <c r="AO1885" s="18"/>
      <c r="AP1885" s="10"/>
      <c r="AQ1885" s="10"/>
      <c r="AR1885" s="19"/>
      <c r="AS1885" s="20"/>
      <c r="AT1885" s="19"/>
      <c r="AV1885" s="21">
        <f>IF(AND($AL1885&lt;&gt;"",COUNTIF($AL$11:$AL1885,$AL1885)=1),1,0)</f>
        <v>0</v>
      </c>
      <c r="AW1885" s="21">
        <f t="shared" si="145"/>
        <v>0</v>
      </c>
      <c r="AX1885" s="21" t="str">
        <f t="shared" si="144"/>
        <v/>
      </c>
      <c r="AY1885" s="21" t="str">
        <f>IF(AND($AM1885&lt;&gt;"",$AS1885&lt;&gt;"✓"),SUMPRODUCT(($AM$11:$AM1885&lt;&gt;"")*($AS$11:$AS1885&lt;&gt;"✓")),"")</f>
        <v/>
      </c>
      <c r="AZ1885" s="21" t="str">
        <f>IF(AND($AM1885&lt;&gt;"",$AS1885="✓"),SUMPRODUCT(($AM$11:$AM1885&lt;&gt;"")*($AS$11:$AS1885="✓")),"")</f>
        <v/>
      </c>
      <c r="BA1885" s="21" t="str">
        <f>IF($AL1885="","",$AL1885&amp;"|"&amp;COUNTIF($AL$11:$AL1885,$AL1885))</f>
        <v/>
      </c>
    </row>
    <row r="1886" spans="38:53" ht="15" customHeight="1" x14ac:dyDescent="0.25">
      <c r="AL1886" s="31"/>
      <c r="AM1886" s="26"/>
      <c r="AN1886" s="32"/>
      <c r="AO1886" s="32"/>
      <c r="AP1886" s="24"/>
      <c r="AQ1886" s="24"/>
      <c r="AR1886" s="33"/>
      <c r="AS1886" s="34"/>
      <c r="AT1886" s="33"/>
      <c r="AV1886" s="21">
        <f>IF(AND($AL1886&lt;&gt;"",COUNTIF($AL$11:$AL1886,$AL1886)=1),1,0)</f>
        <v>0</v>
      </c>
      <c r="AW1886" s="21">
        <f t="shared" si="145"/>
        <v>0</v>
      </c>
      <c r="AX1886" s="21" t="str">
        <f t="shared" si="144"/>
        <v/>
      </c>
      <c r="AY1886" s="21" t="str">
        <f>IF(AND($AM1886&lt;&gt;"",$AS1886&lt;&gt;"✓"),SUMPRODUCT(($AM$11:$AM1886&lt;&gt;"")*($AS$11:$AS1886&lt;&gt;"✓")),"")</f>
        <v/>
      </c>
      <c r="AZ1886" s="21" t="str">
        <f>IF(AND($AM1886&lt;&gt;"",$AS1886="✓"),SUMPRODUCT(($AM$11:$AM1886&lt;&gt;"")*($AS$11:$AS1886="✓")),"")</f>
        <v/>
      </c>
      <c r="BA1886" s="21" t="str">
        <f>IF($AL1886="","",$AL1886&amp;"|"&amp;COUNTIF($AL$11:$AL1886,$AL1886))</f>
        <v/>
      </c>
    </row>
    <row r="1887" spans="38:53" ht="15" customHeight="1" x14ac:dyDescent="0.25">
      <c r="AL1887" s="17"/>
      <c r="AM1887" s="12"/>
      <c r="AN1887" s="18"/>
      <c r="AO1887" s="18"/>
      <c r="AP1887" s="10"/>
      <c r="AQ1887" s="10"/>
      <c r="AR1887" s="19"/>
      <c r="AS1887" s="20"/>
      <c r="AT1887" s="19"/>
      <c r="AV1887" s="21">
        <f>IF(AND($AL1887&lt;&gt;"",COUNTIF($AL$11:$AL1887,$AL1887)=1),1,0)</f>
        <v>0</v>
      </c>
      <c r="AW1887" s="21">
        <f t="shared" si="145"/>
        <v>0</v>
      </c>
      <c r="AX1887" s="21" t="str">
        <f t="shared" si="144"/>
        <v/>
      </c>
      <c r="AY1887" s="21" t="str">
        <f>IF(AND($AM1887&lt;&gt;"",$AS1887&lt;&gt;"✓"),SUMPRODUCT(($AM$11:$AM1887&lt;&gt;"")*($AS$11:$AS1887&lt;&gt;"✓")),"")</f>
        <v/>
      </c>
      <c r="AZ1887" s="21" t="str">
        <f>IF(AND($AM1887&lt;&gt;"",$AS1887="✓"),SUMPRODUCT(($AM$11:$AM1887&lt;&gt;"")*($AS$11:$AS1887="✓")),"")</f>
        <v/>
      </c>
      <c r="BA1887" s="21" t="str">
        <f>IF($AL1887="","",$AL1887&amp;"|"&amp;COUNTIF($AL$11:$AL1887,$AL1887))</f>
        <v/>
      </c>
    </row>
    <row r="1888" spans="38:53" ht="15" customHeight="1" x14ac:dyDescent="0.25">
      <c r="AL1888" s="31"/>
      <c r="AM1888" s="26"/>
      <c r="AN1888" s="32"/>
      <c r="AO1888" s="32"/>
      <c r="AP1888" s="24"/>
      <c r="AQ1888" s="24"/>
      <c r="AR1888" s="33"/>
      <c r="AS1888" s="34"/>
      <c r="AT1888" s="33"/>
      <c r="AV1888" s="21">
        <f>IF(AND($AL1888&lt;&gt;"",COUNTIF($AL$11:$AL1888,$AL1888)=1),1,0)</f>
        <v>0</v>
      </c>
      <c r="AW1888" s="21">
        <f t="shared" si="145"/>
        <v>0</v>
      </c>
      <c r="AX1888" s="21" t="str">
        <f t="shared" si="144"/>
        <v/>
      </c>
      <c r="AY1888" s="21" t="str">
        <f>IF(AND($AM1888&lt;&gt;"",$AS1888&lt;&gt;"✓"),SUMPRODUCT(($AM$11:$AM1888&lt;&gt;"")*($AS$11:$AS1888&lt;&gt;"✓")),"")</f>
        <v/>
      </c>
      <c r="AZ1888" s="21" t="str">
        <f>IF(AND($AM1888&lt;&gt;"",$AS1888="✓"),SUMPRODUCT(($AM$11:$AM1888&lt;&gt;"")*($AS$11:$AS1888="✓")),"")</f>
        <v/>
      </c>
      <c r="BA1888" s="21" t="str">
        <f>IF($AL1888="","",$AL1888&amp;"|"&amp;COUNTIF($AL$11:$AL1888,$AL1888))</f>
        <v/>
      </c>
    </row>
    <row r="1889" spans="38:53" ht="15" customHeight="1" x14ac:dyDescent="0.25">
      <c r="AL1889" s="17"/>
      <c r="AM1889" s="12"/>
      <c r="AN1889" s="18"/>
      <c r="AO1889" s="18"/>
      <c r="AP1889" s="10"/>
      <c r="AQ1889" s="10"/>
      <c r="AR1889" s="19"/>
      <c r="AS1889" s="20"/>
      <c r="AT1889" s="19"/>
      <c r="AV1889" s="21">
        <f>IF(AND($AL1889&lt;&gt;"",COUNTIF($AL$11:$AL1889,$AL1889)=1),1,0)</f>
        <v>0</v>
      </c>
      <c r="AW1889" s="21">
        <f t="shared" si="145"/>
        <v>0</v>
      </c>
      <c r="AX1889" s="21" t="str">
        <f t="shared" si="144"/>
        <v/>
      </c>
      <c r="AY1889" s="21" t="str">
        <f>IF(AND($AM1889&lt;&gt;"",$AS1889&lt;&gt;"✓"),SUMPRODUCT(($AM$11:$AM1889&lt;&gt;"")*($AS$11:$AS1889&lt;&gt;"✓")),"")</f>
        <v/>
      </c>
      <c r="AZ1889" s="21" t="str">
        <f>IF(AND($AM1889&lt;&gt;"",$AS1889="✓"),SUMPRODUCT(($AM$11:$AM1889&lt;&gt;"")*($AS$11:$AS1889="✓")),"")</f>
        <v/>
      </c>
      <c r="BA1889" s="21" t="str">
        <f>IF($AL1889="","",$AL1889&amp;"|"&amp;COUNTIF($AL$11:$AL1889,$AL1889))</f>
        <v/>
      </c>
    </row>
    <row r="1890" spans="38:53" ht="15" customHeight="1" x14ac:dyDescent="0.25">
      <c r="AL1890" s="31"/>
      <c r="AM1890" s="26"/>
      <c r="AN1890" s="32"/>
      <c r="AO1890" s="32"/>
      <c r="AP1890" s="24"/>
      <c r="AQ1890" s="24"/>
      <c r="AR1890" s="33"/>
      <c r="AS1890" s="34"/>
      <c r="AT1890" s="33"/>
      <c r="AV1890" s="21">
        <f>IF(AND($AL1890&lt;&gt;"",COUNTIF($AL$11:$AL1890,$AL1890)=1),1,0)</f>
        <v>0</v>
      </c>
      <c r="AW1890" s="21">
        <f t="shared" si="145"/>
        <v>0</v>
      </c>
      <c r="AX1890" s="21" t="str">
        <f t="shared" si="144"/>
        <v/>
      </c>
      <c r="AY1890" s="21" t="str">
        <f>IF(AND($AM1890&lt;&gt;"",$AS1890&lt;&gt;"✓"),SUMPRODUCT(($AM$11:$AM1890&lt;&gt;"")*($AS$11:$AS1890&lt;&gt;"✓")),"")</f>
        <v/>
      </c>
      <c r="AZ1890" s="21" t="str">
        <f>IF(AND($AM1890&lt;&gt;"",$AS1890="✓"),SUMPRODUCT(($AM$11:$AM1890&lt;&gt;"")*($AS$11:$AS1890="✓")),"")</f>
        <v/>
      </c>
      <c r="BA1890" s="21" t="str">
        <f>IF($AL1890="","",$AL1890&amp;"|"&amp;COUNTIF($AL$11:$AL1890,$AL1890))</f>
        <v/>
      </c>
    </row>
    <row r="1891" spans="38:53" ht="15" customHeight="1" x14ac:dyDescent="0.25">
      <c r="AL1891" s="17"/>
      <c r="AM1891" s="12"/>
      <c r="AN1891" s="18"/>
      <c r="AO1891" s="18"/>
      <c r="AP1891" s="10"/>
      <c r="AQ1891" s="10"/>
      <c r="AR1891" s="19"/>
      <c r="AS1891" s="20"/>
      <c r="AT1891" s="19"/>
      <c r="AV1891" s="21">
        <f>IF(AND($AL1891&lt;&gt;"",COUNTIF($AL$11:$AL1891,$AL1891)=1),1,0)</f>
        <v>0</v>
      </c>
      <c r="AW1891" s="21">
        <f t="shared" si="145"/>
        <v>0</v>
      </c>
      <c r="AX1891" s="21" t="str">
        <f t="shared" si="144"/>
        <v/>
      </c>
      <c r="AY1891" s="21" t="str">
        <f>IF(AND($AM1891&lt;&gt;"",$AS1891&lt;&gt;"✓"),SUMPRODUCT(($AM$11:$AM1891&lt;&gt;"")*($AS$11:$AS1891&lt;&gt;"✓")),"")</f>
        <v/>
      </c>
      <c r="AZ1891" s="21" t="str">
        <f>IF(AND($AM1891&lt;&gt;"",$AS1891="✓"),SUMPRODUCT(($AM$11:$AM1891&lt;&gt;"")*($AS$11:$AS1891="✓")),"")</f>
        <v/>
      </c>
      <c r="BA1891" s="21" t="str">
        <f>IF($AL1891="","",$AL1891&amp;"|"&amp;COUNTIF($AL$11:$AL1891,$AL1891))</f>
        <v/>
      </c>
    </row>
    <row r="1892" spans="38:53" ht="15" customHeight="1" x14ac:dyDescent="0.25">
      <c r="AL1892" s="31"/>
      <c r="AM1892" s="26"/>
      <c r="AN1892" s="32"/>
      <c r="AO1892" s="32"/>
      <c r="AP1892" s="24"/>
      <c r="AQ1892" s="24"/>
      <c r="AR1892" s="33"/>
      <c r="AS1892" s="34"/>
      <c r="AT1892" s="33"/>
      <c r="AV1892" s="21">
        <f>IF(AND($AL1892&lt;&gt;"",COUNTIF($AL$11:$AL1892,$AL1892)=1),1,0)</f>
        <v>0</v>
      </c>
      <c r="AW1892" s="21">
        <f t="shared" si="145"/>
        <v>0</v>
      </c>
      <c r="AX1892" s="21" t="str">
        <f t="shared" si="144"/>
        <v/>
      </c>
      <c r="AY1892" s="21" t="str">
        <f>IF(AND($AM1892&lt;&gt;"",$AS1892&lt;&gt;"✓"),SUMPRODUCT(($AM$11:$AM1892&lt;&gt;"")*($AS$11:$AS1892&lt;&gt;"✓")),"")</f>
        <v/>
      </c>
      <c r="AZ1892" s="21" t="str">
        <f>IF(AND($AM1892&lt;&gt;"",$AS1892="✓"),SUMPRODUCT(($AM$11:$AM1892&lt;&gt;"")*($AS$11:$AS1892="✓")),"")</f>
        <v/>
      </c>
      <c r="BA1892" s="21" t="str">
        <f>IF($AL1892="","",$AL1892&amp;"|"&amp;COUNTIF($AL$11:$AL1892,$AL1892))</f>
        <v/>
      </c>
    </row>
    <row r="1893" spans="38:53" ht="15" customHeight="1" x14ac:dyDescent="0.25">
      <c r="AL1893" s="17"/>
      <c r="AM1893" s="12"/>
      <c r="AN1893" s="18"/>
      <c r="AO1893" s="18"/>
      <c r="AP1893" s="10"/>
      <c r="AQ1893" s="10"/>
      <c r="AR1893" s="19"/>
      <c r="AS1893" s="20"/>
      <c r="AT1893" s="19"/>
      <c r="AV1893" s="21">
        <f>IF(AND($AL1893&lt;&gt;"",COUNTIF($AL$11:$AL1893,$AL1893)=1),1,0)</f>
        <v>0</v>
      </c>
      <c r="AW1893" s="21">
        <f t="shared" si="145"/>
        <v>0</v>
      </c>
      <c r="AX1893" s="21" t="str">
        <f t="shared" si="144"/>
        <v/>
      </c>
      <c r="AY1893" s="21" t="str">
        <f>IF(AND($AM1893&lt;&gt;"",$AS1893&lt;&gt;"✓"),SUMPRODUCT(($AM$11:$AM1893&lt;&gt;"")*($AS$11:$AS1893&lt;&gt;"✓")),"")</f>
        <v/>
      </c>
      <c r="AZ1893" s="21" t="str">
        <f>IF(AND($AM1893&lt;&gt;"",$AS1893="✓"),SUMPRODUCT(($AM$11:$AM1893&lt;&gt;"")*($AS$11:$AS1893="✓")),"")</f>
        <v/>
      </c>
      <c r="BA1893" s="21" t="str">
        <f>IF($AL1893="","",$AL1893&amp;"|"&amp;COUNTIF($AL$11:$AL1893,$AL1893))</f>
        <v/>
      </c>
    </row>
    <row r="1894" spans="38:53" ht="15" customHeight="1" x14ac:dyDescent="0.25">
      <c r="AL1894" s="31"/>
      <c r="AM1894" s="26"/>
      <c r="AN1894" s="32"/>
      <c r="AO1894" s="32"/>
      <c r="AP1894" s="24"/>
      <c r="AQ1894" s="24"/>
      <c r="AR1894" s="33"/>
      <c r="AS1894" s="34"/>
      <c r="AT1894" s="33"/>
      <c r="AV1894" s="21">
        <f>IF(AND($AL1894&lt;&gt;"",COUNTIF($AL$11:$AL1894,$AL1894)=1),1,0)</f>
        <v>0</v>
      </c>
      <c r="AW1894" s="21">
        <f t="shared" si="145"/>
        <v>0</v>
      </c>
      <c r="AX1894" s="21" t="str">
        <f t="shared" si="144"/>
        <v/>
      </c>
      <c r="AY1894" s="21" t="str">
        <f>IF(AND($AM1894&lt;&gt;"",$AS1894&lt;&gt;"✓"),SUMPRODUCT(($AM$11:$AM1894&lt;&gt;"")*($AS$11:$AS1894&lt;&gt;"✓")),"")</f>
        <v/>
      </c>
      <c r="AZ1894" s="21" t="str">
        <f>IF(AND($AM1894&lt;&gt;"",$AS1894="✓"),SUMPRODUCT(($AM$11:$AM1894&lt;&gt;"")*($AS$11:$AS1894="✓")),"")</f>
        <v/>
      </c>
      <c r="BA1894" s="21" t="str">
        <f>IF($AL1894="","",$AL1894&amp;"|"&amp;COUNTIF($AL$11:$AL1894,$AL1894))</f>
        <v/>
      </c>
    </row>
    <row r="1895" spans="38:53" ht="15" customHeight="1" x14ac:dyDescent="0.25">
      <c r="AL1895" s="17"/>
      <c r="AM1895" s="12"/>
      <c r="AN1895" s="18"/>
      <c r="AO1895" s="18"/>
      <c r="AP1895" s="10"/>
      <c r="AQ1895" s="10"/>
      <c r="AR1895" s="19"/>
      <c r="AS1895" s="20"/>
      <c r="AT1895" s="19"/>
      <c r="AV1895" s="21">
        <f>IF(AND($AL1895&lt;&gt;"",COUNTIF($AL$11:$AL1895,$AL1895)=1),1,0)</f>
        <v>0</v>
      </c>
      <c r="AW1895" s="21">
        <f t="shared" si="145"/>
        <v>0</v>
      </c>
      <c r="AX1895" s="21" t="str">
        <f t="shared" si="144"/>
        <v/>
      </c>
      <c r="AY1895" s="21" t="str">
        <f>IF(AND($AM1895&lt;&gt;"",$AS1895&lt;&gt;"✓"),SUMPRODUCT(($AM$11:$AM1895&lt;&gt;"")*($AS$11:$AS1895&lt;&gt;"✓")),"")</f>
        <v/>
      </c>
      <c r="AZ1895" s="21" t="str">
        <f>IF(AND($AM1895&lt;&gt;"",$AS1895="✓"),SUMPRODUCT(($AM$11:$AM1895&lt;&gt;"")*($AS$11:$AS1895="✓")),"")</f>
        <v/>
      </c>
      <c r="BA1895" s="21" t="str">
        <f>IF($AL1895="","",$AL1895&amp;"|"&amp;COUNTIF($AL$11:$AL1895,$AL1895))</f>
        <v/>
      </c>
    </row>
    <row r="1896" spans="38:53" ht="15" customHeight="1" x14ac:dyDescent="0.25">
      <c r="AL1896" s="31"/>
      <c r="AM1896" s="26"/>
      <c r="AN1896" s="32"/>
      <c r="AO1896" s="32"/>
      <c r="AP1896" s="24"/>
      <c r="AQ1896" s="24"/>
      <c r="AR1896" s="33"/>
      <c r="AS1896" s="34"/>
      <c r="AT1896" s="33"/>
      <c r="AV1896" s="21">
        <f>IF(AND($AL1896&lt;&gt;"",COUNTIF($AL$11:$AL1896,$AL1896)=1),1,0)</f>
        <v>0</v>
      </c>
      <c r="AW1896" s="21">
        <f t="shared" si="145"/>
        <v>0</v>
      </c>
      <c r="AX1896" s="21" t="str">
        <f t="shared" si="144"/>
        <v/>
      </c>
      <c r="AY1896" s="21" t="str">
        <f>IF(AND($AM1896&lt;&gt;"",$AS1896&lt;&gt;"✓"),SUMPRODUCT(($AM$11:$AM1896&lt;&gt;"")*($AS$11:$AS1896&lt;&gt;"✓")),"")</f>
        <v/>
      </c>
      <c r="AZ1896" s="21" t="str">
        <f>IF(AND($AM1896&lt;&gt;"",$AS1896="✓"),SUMPRODUCT(($AM$11:$AM1896&lt;&gt;"")*($AS$11:$AS1896="✓")),"")</f>
        <v/>
      </c>
      <c r="BA1896" s="21" t="str">
        <f>IF($AL1896="","",$AL1896&amp;"|"&amp;COUNTIF($AL$11:$AL1896,$AL1896))</f>
        <v/>
      </c>
    </row>
    <row r="1897" spans="38:53" ht="15" customHeight="1" x14ac:dyDescent="0.25">
      <c r="AL1897" s="17"/>
      <c r="AM1897" s="12"/>
      <c r="AN1897" s="18"/>
      <c r="AO1897" s="18"/>
      <c r="AP1897" s="10"/>
      <c r="AQ1897" s="10"/>
      <c r="AR1897" s="19"/>
      <c r="AS1897" s="20"/>
      <c r="AT1897" s="19"/>
      <c r="AV1897" s="21">
        <f>IF(AND($AL1897&lt;&gt;"",COUNTIF($AL$11:$AL1897,$AL1897)=1),1,0)</f>
        <v>0</v>
      </c>
      <c r="AW1897" s="21">
        <f t="shared" si="145"/>
        <v>0</v>
      </c>
      <c r="AX1897" s="21" t="str">
        <f t="shared" si="144"/>
        <v/>
      </c>
      <c r="AY1897" s="21" t="str">
        <f>IF(AND($AM1897&lt;&gt;"",$AS1897&lt;&gt;"✓"),SUMPRODUCT(($AM$11:$AM1897&lt;&gt;"")*($AS$11:$AS1897&lt;&gt;"✓")),"")</f>
        <v/>
      </c>
      <c r="AZ1897" s="21" t="str">
        <f>IF(AND($AM1897&lt;&gt;"",$AS1897="✓"),SUMPRODUCT(($AM$11:$AM1897&lt;&gt;"")*($AS$11:$AS1897="✓")),"")</f>
        <v/>
      </c>
      <c r="BA1897" s="21" t="str">
        <f>IF($AL1897="","",$AL1897&amp;"|"&amp;COUNTIF($AL$11:$AL1897,$AL1897))</f>
        <v/>
      </c>
    </row>
    <row r="1898" spans="38:53" ht="15" customHeight="1" x14ac:dyDescent="0.25">
      <c r="AL1898" s="31"/>
      <c r="AM1898" s="26"/>
      <c r="AN1898" s="32"/>
      <c r="AO1898" s="32"/>
      <c r="AP1898" s="24"/>
      <c r="AQ1898" s="24"/>
      <c r="AR1898" s="33"/>
      <c r="AS1898" s="34"/>
      <c r="AT1898" s="33"/>
      <c r="AV1898" s="21">
        <f>IF(AND($AL1898&lt;&gt;"",COUNTIF($AL$11:$AL1898,$AL1898)=1),1,0)</f>
        <v>0</v>
      </c>
      <c r="AW1898" s="21">
        <f t="shared" si="145"/>
        <v>0</v>
      </c>
      <c r="AX1898" s="21" t="str">
        <f t="shared" si="144"/>
        <v/>
      </c>
      <c r="AY1898" s="21" t="str">
        <f>IF(AND($AM1898&lt;&gt;"",$AS1898&lt;&gt;"✓"),SUMPRODUCT(($AM$11:$AM1898&lt;&gt;"")*($AS$11:$AS1898&lt;&gt;"✓")),"")</f>
        <v/>
      </c>
      <c r="AZ1898" s="21" t="str">
        <f>IF(AND($AM1898&lt;&gt;"",$AS1898="✓"),SUMPRODUCT(($AM$11:$AM1898&lt;&gt;"")*($AS$11:$AS1898="✓")),"")</f>
        <v/>
      </c>
      <c r="BA1898" s="21" t="str">
        <f>IF($AL1898="","",$AL1898&amp;"|"&amp;COUNTIF($AL$11:$AL1898,$AL1898))</f>
        <v/>
      </c>
    </row>
    <row r="1899" spans="38:53" ht="15" customHeight="1" x14ac:dyDescent="0.25">
      <c r="AL1899" s="17"/>
      <c r="AM1899" s="12"/>
      <c r="AN1899" s="18"/>
      <c r="AO1899" s="18"/>
      <c r="AP1899" s="10"/>
      <c r="AQ1899" s="10"/>
      <c r="AR1899" s="19"/>
      <c r="AS1899" s="20"/>
      <c r="AT1899" s="19"/>
      <c r="AV1899" s="21">
        <f>IF(AND($AL1899&lt;&gt;"",COUNTIF($AL$11:$AL1899,$AL1899)=1),1,0)</f>
        <v>0</v>
      </c>
      <c r="AW1899" s="21">
        <f t="shared" si="145"/>
        <v>0</v>
      </c>
      <c r="AX1899" s="21" t="str">
        <f t="shared" si="144"/>
        <v/>
      </c>
      <c r="AY1899" s="21" t="str">
        <f>IF(AND($AM1899&lt;&gt;"",$AS1899&lt;&gt;"✓"),SUMPRODUCT(($AM$11:$AM1899&lt;&gt;"")*($AS$11:$AS1899&lt;&gt;"✓")),"")</f>
        <v/>
      </c>
      <c r="AZ1899" s="21" t="str">
        <f>IF(AND($AM1899&lt;&gt;"",$AS1899="✓"),SUMPRODUCT(($AM$11:$AM1899&lt;&gt;"")*($AS$11:$AS1899="✓")),"")</f>
        <v/>
      </c>
      <c r="BA1899" s="21" t="str">
        <f>IF($AL1899="","",$AL1899&amp;"|"&amp;COUNTIF($AL$11:$AL1899,$AL1899))</f>
        <v/>
      </c>
    </row>
    <row r="1900" spans="38:53" ht="15" customHeight="1" x14ac:dyDescent="0.25">
      <c r="AL1900" s="31"/>
      <c r="AM1900" s="26"/>
      <c r="AN1900" s="32"/>
      <c r="AO1900" s="32"/>
      <c r="AP1900" s="24"/>
      <c r="AQ1900" s="24"/>
      <c r="AR1900" s="33"/>
      <c r="AS1900" s="34"/>
      <c r="AT1900" s="33"/>
      <c r="AV1900" s="21">
        <f>IF(AND($AL1900&lt;&gt;"",COUNTIF($AL$11:$AL1900,$AL1900)=1),1,0)</f>
        <v>0</v>
      </c>
      <c r="AW1900" s="21">
        <f t="shared" si="145"/>
        <v>0</v>
      </c>
      <c r="AX1900" s="21" t="str">
        <f t="shared" si="144"/>
        <v/>
      </c>
      <c r="AY1900" s="21" t="str">
        <f>IF(AND($AM1900&lt;&gt;"",$AS1900&lt;&gt;"✓"),SUMPRODUCT(($AM$11:$AM1900&lt;&gt;"")*($AS$11:$AS1900&lt;&gt;"✓")),"")</f>
        <v/>
      </c>
      <c r="AZ1900" s="21" t="str">
        <f>IF(AND($AM1900&lt;&gt;"",$AS1900="✓"),SUMPRODUCT(($AM$11:$AM1900&lt;&gt;"")*($AS$11:$AS1900="✓")),"")</f>
        <v/>
      </c>
      <c r="BA1900" s="21" t="str">
        <f>IF($AL1900="","",$AL1900&amp;"|"&amp;COUNTIF($AL$11:$AL1900,$AL1900))</f>
        <v/>
      </c>
    </row>
    <row r="1901" spans="38:53" ht="15" customHeight="1" x14ac:dyDescent="0.25">
      <c r="AL1901" s="17"/>
      <c r="AM1901" s="12"/>
      <c r="AN1901" s="18"/>
      <c r="AO1901" s="18"/>
      <c r="AP1901" s="10"/>
      <c r="AQ1901" s="10"/>
      <c r="AR1901" s="19"/>
      <c r="AS1901" s="20"/>
      <c r="AT1901" s="19"/>
      <c r="AV1901" s="21">
        <f>IF(AND($AL1901&lt;&gt;"",COUNTIF($AL$11:$AL1901,$AL1901)=1),1,0)</f>
        <v>0</v>
      </c>
      <c r="AW1901" s="21">
        <f t="shared" si="145"/>
        <v>0</v>
      </c>
      <c r="AX1901" s="21" t="str">
        <f t="shared" si="144"/>
        <v/>
      </c>
      <c r="AY1901" s="21" t="str">
        <f>IF(AND($AM1901&lt;&gt;"",$AS1901&lt;&gt;"✓"),SUMPRODUCT(($AM$11:$AM1901&lt;&gt;"")*($AS$11:$AS1901&lt;&gt;"✓")),"")</f>
        <v/>
      </c>
      <c r="AZ1901" s="21" t="str">
        <f>IF(AND($AM1901&lt;&gt;"",$AS1901="✓"),SUMPRODUCT(($AM$11:$AM1901&lt;&gt;"")*($AS$11:$AS1901="✓")),"")</f>
        <v/>
      </c>
      <c r="BA1901" s="21" t="str">
        <f>IF($AL1901="","",$AL1901&amp;"|"&amp;COUNTIF($AL$11:$AL1901,$AL1901))</f>
        <v/>
      </c>
    </row>
    <row r="1902" spans="38:53" ht="15" customHeight="1" x14ac:dyDescent="0.25">
      <c r="AL1902" s="31"/>
      <c r="AM1902" s="26"/>
      <c r="AN1902" s="32"/>
      <c r="AO1902" s="32"/>
      <c r="AP1902" s="24"/>
      <c r="AQ1902" s="24"/>
      <c r="AR1902" s="33"/>
      <c r="AS1902" s="34"/>
      <c r="AT1902" s="33"/>
      <c r="AV1902" s="21">
        <f>IF(AND($AL1902&lt;&gt;"",COUNTIF($AL$11:$AL1902,$AL1902)=1),1,0)</f>
        <v>0</v>
      </c>
      <c r="AW1902" s="21">
        <f t="shared" si="145"/>
        <v>0</v>
      </c>
      <c r="AX1902" s="21" t="str">
        <f t="shared" si="144"/>
        <v/>
      </c>
      <c r="AY1902" s="21" t="str">
        <f>IF(AND($AM1902&lt;&gt;"",$AS1902&lt;&gt;"✓"),SUMPRODUCT(($AM$11:$AM1902&lt;&gt;"")*($AS$11:$AS1902&lt;&gt;"✓")),"")</f>
        <v/>
      </c>
      <c r="AZ1902" s="21" t="str">
        <f>IF(AND($AM1902&lt;&gt;"",$AS1902="✓"),SUMPRODUCT(($AM$11:$AM1902&lt;&gt;"")*($AS$11:$AS1902="✓")),"")</f>
        <v/>
      </c>
      <c r="BA1902" s="21" t="str">
        <f>IF($AL1902="","",$AL1902&amp;"|"&amp;COUNTIF($AL$11:$AL1902,$AL1902))</f>
        <v/>
      </c>
    </row>
    <row r="1903" spans="38:53" ht="15" customHeight="1" x14ac:dyDescent="0.25">
      <c r="AL1903" s="17"/>
      <c r="AM1903" s="12"/>
      <c r="AN1903" s="18"/>
      <c r="AO1903" s="18"/>
      <c r="AP1903" s="10"/>
      <c r="AQ1903" s="10"/>
      <c r="AR1903" s="19"/>
      <c r="AS1903" s="20"/>
      <c r="AT1903" s="19"/>
      <c r="AV1903" s="21">
        <f>IF(AND($AL1903&lt;&gt;"",COUNTIF($AL$11:$AL1903,$AL1903)=1),1,0)</f>
        <v>0</v>
      </c>
      <c r="AW1903" s="21">
        <f t="shared" si="145"/>
        <v>0</v>
      </c>
      <c r="AX1903" s="21" t="str">
        <f t="shared" si="144"/>
        <v/>
      </c>
      <c r="AY1903" s="21" t="str">
        <f>IF(AND($AM1903&lt;&gt;"",$AS1903&lt;&gt;"✓"),SUMPRODUCT(($AM$11:$AM1903&lt;&gt;"")*($AS$11:$AS1903&lt;&gt;"✓")),"")</f>
        <v/>
      </c>
      <c r="AZ1903" s="21" t="str">
        <f>IF(AND($AM1903&lt;&gt;"",$AS1903="✓"),SUMPRODUCT(($AM$11:$AM1903&lt;&gt;"")*($AS$11:$AS1903="✓")),"")</f>
        <v/>
      </c>
      <c r="BA1903" s="21" t="str">
        <f>IF($AL1903="","",$AL1903&amp;"|"&amp;COUNTIF($AL$11:$AL1903,$AL1903))</f>
        <v/>
      </c>
    </row>
    <row r="1904" spans="38:53" ht="15" customHeight="1" x14ac:dyDescent="0.25">
      <c r="AL1904" s="31"/>
      <c r="AM1904" s="26"/>
      <c r="AN1904" s="32"/>
      <c r="AO1904" s="32"/>
      <c r="AP1904" s="24"/>
      <c r="AQ1904" s="24"/>
      <c r="AR1904" s="33"/>
      <c r="AS1904" s="34"/>
      <c r="AT1904" s="33"/>
      <c r="AV1904" s="21">
        <f>IF(AND($AL1904&lt;&gt;"",COUNTIF($AL$11:$AL1904,$AL1904)=1),1,0)</f>
        <v>0</v>
      </c>
      <c r="AW1904" s="21">
        <f t="shared" si="145"/>
        <v>0</v>
      </c>
      <c r="AX1904" s="21" t="str">
        <f t="shared" si="144"/>
        <v/>
      </c>
      <c r="AY1904" s="21" t="str">
        <f>IF(AND($AM1904&lt;&gt;"",$AS1904&lt;&gt;"✓"),SUMPRODUCT(($AM$11:$AM1904&lt;&gt;"")*($AS$11:$AS1904&lt;&gt;"✓")),"")</f>
        <v/>
      </c>
      <c r="AZ1904" s="21" t="str">
        <f>IF(AND($AM1904&lt;&gt;"",$AS1904="✓"),SUMPRODUCT(($AM$11:$AM1904&lt;&gt;"")*($AS$11:$AS1904="✓")),"")</f>
        <v/>
      </c>
      <c r="BA1904" s="21" t="str">
        <f>IF($AL1904="","",$AL1904&amp;"|"&amp;COUNTIF($AL$11:$AL1904,$AL1904))</f>
        <v/>
      </c>
    </row>
    <row r="1905" spans="38:53" ht="15" customHeight="1" x14ac:dyDescent="0.25">
      <c r="AL1905" s="17"/>
      <c r="AM1905" s="12"/>
      <c r="AN1905" s="18"/>
      <c r="AO1905" s="18"/>
      <c r="AP1905" s="10"/>
      <c r="AQ1905" s="10"/>
      <c r="AR1905" s="19"/>
      <c r="AS1905" s="20"/>
      <c r="AT1905" s="19"/>
      <c r="AV1905" s="21">
        <f>IF(AND($AL1905&lt;&gt;"",COUNTIF($AL$11:$AL1905,$AL1905)=1),1,0)</f>
        <v>0</v>
      </c>
      <c r="AW1905" s="21">
        <f t="shared" si="145"/>
        <v>0</v>
      </c>
      <c r="AX1905" s="21" t="str">
        <f t="shared" si="144"/>
        <v/>
      </c>
      <c r="AY1905" s="21" t="str">
        <f>IF(AND($AM1905&lt;&gt;"",$AS1905&lt;&gt;"✓"),SUMPRODUCT(($AM$11:$AM1905&lt;&gt;"")*($AS$11:$AS1905&lt;&gt;"✓")),"")</f>
        <v/>
      </c>
      <c r="AZ1905" s="21" t="str">
        <f>IF(AND($AM1905&lt;&gt;"",$AS1905="✓"),SUMPRODUCT(($AM$11:$AM1905&lt;&gt;"")*($AS$11:$AS1905="✓")),"")</f>
        <v/>
      </c>
      <c r="BA1905" s="21" t="str">
        <f>IF($AL1905="","",$AL1905&amp;"|"&amp;COUNTIF($AL$11:$AL1905,$AL1905))</f>
        <v/>
      </c>
    </row>
    <row r="1906" spans="38:53" ht="15" customHeight="1" x14ac:dyDescent="0.25">
      <c r="AL1906" s="31"/>
      <c r="AM1906" s="26"/>
      <c r="AN1906" s="32"/>
      <c r="AO1906" s="32"/>
      <c r="AP1906" s="24"/>
      <c r="AQ1906" s="24"/>
      <c r="AR1906" s="33"/>
      <c r="AS1906" s="34"/>
      <c r="AT1906" s="33"/>
      <c r="AV1906" s="21">
        <f>IF(AND($AL1906&lt;&gt;"",COUNTIF($AL$11:$AL1906,$AL1906)=1),1,0)</f>
        <v>0</v>
      </c>
      <c r="AW1906" s="21">
        <f t="shared" si="145"/>
        <v>0</v>
      </c>
      <c r="AX1906" s="21" t="str">
        <f t="shared" si="144"/>
        <v/>
      </c>
      <c r="AY1906" s="21" t="str">
        <f>IF(AND($AM1906&lt;&gt;"",$AS1906&lt;&gt;"✓"),SUMPRODUCT(($AM$11:$AM1906&lt;&gt;"")*($AS$11:$AS1906&lt;&gt;"✓")),"")</f>
        <v/>
      </c>
      <c r="AZ1906" s="21" t="str">
        <f>IF(AND($AM1906&lt;&gt;"",$AS1906="✓"),SUMPRODUCT(($AM$11:$AM1906&lt;&gt;"")*($AS$11:$AS1906="✓")),"")</f>
        <v/>
      </c>
      <c r="BA1906" s="21" t="str">
        <f>IF($AL1906="","",$AL1906&amp;"|"&amp;COUNTIF($AL$11:$AL1906,$AL1906))</f>
        <v/>
      </c>
    </row>
    <row r="1907" spans="38:53" ht="15" customHeight="1" x14ac:dyDescent="0.25">
      <c r="AL1907" s="17"/>
      <c r="AM1907" s="12"/>
      <c r="AN1907" s="18"/>
      <c r="AO1907" s="18"/>
      <c r="AP1907" s="10"/>
      <c r="AQ1907" s="10"/>
      <c r="AR1907" s="19"/>
      <c r="AS1907" s="20"/>
      <c r="AT1907" s="19"/>
      <c r="AV1907" s="21">
        <f>IF(AND($AL1907&lt;&gt;"",COUNTIF($AL$11:$AL1907,$AL1907)=1),1,0)</f>
        <v>0</v>
      </c>
      <c r="AW1907" s="21">
        <f t="shared" si="145"/>
        <v>0</v>
      </c>
      <c r="AX1907" s="21" t="str">
        <f t="shared" si="144"/>
        <v/>
      </c>
      <c r="AY1907" s="21" t="str">
        <f>IF(AND($AM1907&lt;&gt;"",$AS1907&lt;&gt;"✓"),SUMPRODUCT(($AM$11:$AM1907&lt;&gt;"")*($AS$11:$AS1907&lt;&gt;"✓")),"")</f>
        <v/>
      </c>
      <c r="AZ1907" s="21" t="str">
        <f>IF(AND($AM1907&lt;&gt;"",$AS1907="✓"),SUMPRODUCT(($AM$11:$AM1907&lt;&gt;"")*($AS$11:$AS1907="✓")),"")</f>
        <v/>
      </c>
      <c r="BA1907" s="21" t="str">
        <f>IF($AL1907="","",$AL1907&amp;"|"&amp;COUNTIF($AL$11:$AL1907,$AL1907))</f>
        <v/>
      </c>
    </row>
    <row r="1908" spans="38:53" ht="15" customHeight="1" x14ac:dyDescent="0.25">
      <c r="AL1908" s="31"/>
      <c r="AM1908" s="26"/>
      <c r="AN1908" s="32"/>
      <c r="AO1908" s="32"/>
      <c r="AP1908" s="24"/>
      <c r="AQ1908" s="24"/>
      <c r="AR1908" s="33"/>
      <c r="AS1908" s="34"/>
      <c r="AT1908" s="33"/>
      <c r="AV1908" s="21">
        <f>IF(AND($AL1908&lt;&gt;"",COUNTIF($AL$11:$AL1908,$AL1908)=1),1,0)</f>
        <v>0</v>
      </c>
      <c r="AW1908" s="21">
        <f t="shared" si="145"/>
        <v>0</v>
      </c>
      <c r="AX1908" s="21" t="str">
        <f t="shared" si="144"/>
        <v/>
      </c>
      <c r="AY1908" s="21" t="str">
        <f>IF(AND($AM1908&lt;&gt;"",$AS1908&lt;&gt;"✓"),SUMPRODUCT(($AM$11:$AM1908&lt;&gt;"")*($AS$11:$AS1908&lt;&gt;"✓")),"")</f>
        <v/>
      </c>
      <c r="AZ1908" s="21" t="str">
        <f>IF(AND($AM1908&lt;&gt;"",$AS1908="✓"),SUMPRODUCT(($AM$11:$AM1908&lt;&gt;"")*($AS$11:$AS1908="✓")),"")</f>
        <v/>
      </c>
      <c r="BA1908" s="21" t="str">
        <f>IF($AL1908="","",$AL1908&amp;"|"&amp;COUNTIF($AL$11:$AL1908,$AL1908))</f>
        <v/>
      </c>
    </row>
    <row r="1909" spans="38:53" ht="15" customHeight="1" x14ac:dyDescent="0.25">
      <c r="AL1909" s="17"/>
      <c r="AM1909" s="12"/>
      <c r="AN1909" s="18"/>
      <c r="AO1909" s="18"/>
      <c r="AP1909" s="10"/>
      <c r="AQ1909" s="10"/>
      <c r="AR1909" s="19"/>
      <c r="AS1909" s="20"/>
      <c r="AT1909" s="19"/>
      <c r="AV1909" s="21">
        <f>IF(AND($AL1909&lt;&gt;"",COUNTIF($AL$11:$AL1909,$AL1909)=1),1,0)</f>
        <v>0</v>
      </c>
      <c r="AW1909" s="21">
        <f t="shared" si="145"/>
        <v>0</v>
      </c>
      <c r="AX1909" s="21" t="str">
        <f t="shared" si="144"/>
        <v/>
      </c>
      <c r="AY1909" s="21" t="str">
        <f>IF(AND($AM1909&lt;&gt;"",$AS1909&lt;&gt;"✓"),SUMPRODUCT(($AM$11:$AM1909&lt;&gt;"")*($AS$11:$AS1909&lt;&gt;"✓")),"")</f>
        <v/>
      </c>
      <c r="AZ1909" s="21" t="str">
        <f>IF(AND($AM1909&lt;&gt;"",$AS1909="✓"),SUMPRODUCT(($AM$11:$AM1909&lt;&gt;"")*($AS$11:$AS1909="✓")),"")</f>
        <v/>
      </c>
      <c r="BA1909" s="21" t="str">
        <f>IF($AL1909="","",$AL1909&amp;"|"&amp;COUNTIF($AL$11:$AL1909,$AL1909))</f>
        <v/>
      </c>
    </row>
    <row r="1910" spans="38:53" ht="15" customHeight="1" x14ac:dyDescent="0.25">
      <c r="AL1910" s="31"/>
      <c r="AM1910" s="26"/>
      <c r="AN1910" s="32"/>
      <c r="AO1910" s="32"/>
      <c r="AP1910" s="24"/>
      <c r="AQ1910" s="24"/>
      <c r="AR1910" s="33"/>
      <c r="AS1910" s="34"/>
      <c r="AT1910" s="33"/>
      <c r="AV1910" s="21">
        <f>IF(AND($AL1910&lt;&gt;"",COUNTIF($AL$11:$AL1910,$AL1910)=1),1,0)</f>
        <v>0</v>
      </c>
      <c r="AW1910" s="21">
        <f t="shared" si="145"/>
        <v>0</v>
      </c>
      <c r="AX1910" s="21" t="str">
        <f t="shared" si="144"/>
        <v/>
      </c>
      <c r="AY1910" s="21" t="str">
        <f>IF(AND($AM1910&lt;&gt;"",$AS1910&lt;&gt;"✓"),SUMPRODUCT(($AM$11:$AM1910&lt;&gt;"")*($AS$11:$AS1910&lt;&gt;"✓")),"")</f>
        <v/>
      </c>
      <c r="AZ1910" s="21" t="str">
        <f>IF(AND($AM1910&lt;&gt;"",$AS1910="✓"),SUMPRODUCT(($AM$11:$AM1910&lt;&gt;"")*($AS$11:$AS1910="✓")),"")</f>
        <v/>
      </c>
      <c r="BA1910" s="21" t="str">
        <f>IF($AL1910="","",$AL1910&amp;"|"&amp;COUNTIF($AL$11:$AL1910,$AL1910))</f>
        <v/>
      </c>
    </row>
    <row r="1911" spans="38:53" ht="15" customHeight="1" x14ac:dyDescent="0.25">
      <c r="AL1911" s="17"/>
      <c r="AM1911" s="12"/>
      <c r="AN1911" s="18"/>
      <c r="AO1911" s="18"/>
      <c r="AP1911" s="10"/>
      <c r="AQ1911" s="10"/>
      <c r="AR1911" s="19"/>
      <c r="AS1911" s="20"/>
      <c r="AT1911" s="19"/>
      <c r="AV1911" s="21">
        <f>IF(AND($AL1911&lt;&gt;"",COUNTIF($AL$11:$AL1911,$AL1911)=1),1,0)</f>
        <v>0</v>
      </c>
      <c r="AW1911" s="21">
        <f t="shared" si="145"/>
        <v>0</v>
      </c>
      <c r="AX1911" s="21" t="str">
        <f t="shared" si="144"/>
        <v/>
      </c>
      <c r="AY1911" s="21" t="str">
        <f>IF(AND($AM1911&lt;&gt;"",$AS1911&lt;&gt;"✓"),SUMPRODUCT(($AM$11:$AM1911&lt;&gt;"")*($AS$11:$AS1911&lt;&gt;"✓")),"")</f>
        <v/>
      </c>
      <c r="AZ1911" s="21" t="str">
        <f>IF(AND($AM1911&lt;&gt;"",$AS1911="✓"),SUMPRODUCT(($AM$11:$AM1911&lt;&gt;"")*($AS$11:$AS1911="✓")),"")</f>
        <v/>
      </c>
      <c r="BA1911" s="21" t="str">
        <f>IF($AL1911="","",$AL1911&amp;"|"&amp;COUNTIF($AL$11:$AL1911,$AL1911))</f>
        <v/>
      </c>
    </row>
    <row r="1912" spans="38:53" ht="15" customHeight="1" x14ac:dyDescent="0.25">
      <c r="AL1912" s="31"/>
      <c r="AM1912" s="26"/>
      <c r="AN1912" s="32"/>
      <c r="AO1912" s="32"/>
      <c r="AP1912" s="24"/>
      <c r="AQ1912" s="24"/>
      <c r="AR1912" s="33"/>
      <c r="AS1912" s="34"/>
      <c r="AT1912" s="33"/>
      <c r="AV1912" s="21">
        <f>IF(AND($AL1912&lt;&gt;"",COUNTIF($AL$11:$AL1912,$AL1912)=1),1,0)</f>
        <v>0</v>
      </c>
      <c r="AW1912" s="21">
        <f t="shared" si="145"/>
        <v>0</v>
      </c>
      <c r="AX1912" s="21" t="str">
        <f t="shared" si="144"/>
        <v/>
      </c>
      <c r="AY1912" s="21" t="str">
        <f>IF(AND($AM1912&lt;&gt;"",$AS1912&lt;&gt;"✓"),SUMPRODUCT(($AM$11:$AM1912&lt;&gt;"")*($AS$11:$AS1912&lt;&gt;"✓")),"")</f>
        <v/>
      </c>
      <c r="AZ1912" s="21" t="str">
        <f>IF(AND($AM1912&lt;&gt;"",$AS1912="✓"),SUMPRODUCT(($AM$11:$AM1912&lt;&gt;"")*($AS$11:$AS1912="✓")),"")</f>
        <v/>
      </c>
      <c r="BA1912" s="21" t="str">
        <f>IF($AL1912="","",$AL1912&amp;"|"&amp;COUNTIF($AL$11:$AL1912,$AL1912))</f>
        <v/>
      </c>
    </row>
    <row r="1913" spans="38:53" ht="15" customHeight="1" x14ac:dyDescent="0.25">
      <c r="AL1913" s="17"/>
      <c r="AM1913" s="12"/>
      <c r="AN1913" s="18"/>
      <c r="AO1913" s="18"/>
      <c r="AP1913" s="10"/>
      <c r="AQ1913" s="10"/>
      <c r="AR1913" s="19"/>
      <c r="AS1913" s="20"/>
      <c r="AT1913" s="19"/>
      <c r="AV1913" s="21">
        <f>IF(AND($AL1913&lt;&gt;"",COUNTIF($AL$11:$AL1913,$AL1913)=1),1,0)</f>
        <v>0</v>
      </c>
      <c r="AW1913" s="21">
        <f t="shared" si="145"/>
        <v>0</v>
      </c>
      <c r="AX1913" s="21" t="str">
        <f t="shared" si="144"/>
        <v/>
      </c>
      <c r="AY1913" s="21" t="str">
        <f>IF(AND($AM1913&lt;&gt;"",$AS1913&lt;&gt;"✓"),SUMPRODUCT(($AM$11:$AM1913&lt;&gt;"")*($AS$11:$AS1913&lt;&gt;"✓")),"")</f>
        <v/>
      </c>
      <c r="AZ1913" s="21" t="str">
        <f>IF(AND($AM1913&lt;&gt;"",$AS1913="✓"),SUMPRODUCT(($AM$11:$AM1913&lt;&gt;"")*($AS$11:$AS1913="✓")),"")</f>
        <v/>
      </c>
      <c r="BA1913" s="21" t="str">
        <f>IF($AL1913="","",$AL1913&amp;"|"&amp;COUNTIF($AL$11:$AL1913,$AL1913))</f>
        <v/>
      </c>
    </row>
    <row r="1914" spans="38:53" ht="15" customHeight="1" x14ac:dyDescent="0.25">
      <c r="AL1914" s="31"/>
      <c r="AM1914" s="26"/>
      <c r="AN1914" s="32"/>
      <c r="AO1914" s="32"/>
      <c r="AP1914" s="24"/>
      <c r="AQ1914" s="24"/>
      <c r="AR1914" s="33"/>
      <c r="AS1914" s="34"/>
      <c r="AT1914" s="33"/>
      <c r="AV1914" s="21">
        <f>IF(AND($AL1914&lt;&gt;"",COUNTIF($AL$11:$AL1914,$AL1914)=1),1,0)</f>
        <v>0</v>
      </c>
      <c r="AW1914" s="21">
        <f t="shared" si="145"/>
        <v>0</v>
      </c>
      <c r="AX1914" s="21" t="str">
        <f t="shared" si="144"/>
        <v/>
      </c>
      <c r="AY1914" s="21" t="str">
        <f>IF(AND($AM1914&lt;&gt;"",$AS1914&lt;&gt;"✓"),SUMPRODUCT(($AM$11:$AM1914&lt;&gt;"")*($AS$11:$AS1914&lt;&gt;"✓")),"")</f>
        <v/>
      </c>
      <c r="AZ1914" s="21" t="str">
        <f>IF(AND($AM1914&lt;&gt;"",$AS1914="✓"),SUMPRODUCT(($AM$11:$AM1914&lt;&gt;"")*($AS$11:$AS1914="✓")),"")</f>
        <v/>
      </c>
      <c r="BA1914" s="21" t="str">
        <f>IF($AL1914="","",$AL1914&amp;"|"&amp;COUNTIF($AL$11:$AL1914,$AL1914))</f>
        <v/>
      </c>
    </row>
    <row r="1915" spans="38:53" ht="15" customHeight="1" x14ac:dyDescent="0.25">
      <c r="AL1915" s="17"/>
      <c r="AM1915" s="12"/>
      <c r="AN1915" s="18"/>
      <c r="AO1915" s="18"/>
      <c r="AP1915" s="10"/>
      <c r="AQ1915" s="10"/>
      <c r="AR1915" s="19"/>
      <c r="AS1915" s="20"/>
      <c r="AT1915" s="19"/>
      <c r="AV1915" s="21">
        <f>IF(AND($AL1915&lt;&gt;"",COUNTIF($AL$11:$AL1915,$AL1915)=1),1,0)</f>
        <v>0</v>
      </c>
      <c r="AW1915" s="21">
        <f t="shared" si="145"/>
        <v>0</v>
      </c>
      <c r="AX1915" s="21" t="str">
        <f t="shared" si="144"/>
        <v/>
      </c>
      <c r="AY1915" s="21" t="str">
        <f>IF(AND($AM1915&lt;&gt;"",$AS1915&lt;&gt;"✓"),SUMPRODUCT(($AM$11:$AM1915&lt;&gt;"")*($AS$11:$AS1915&lt;&gt;"✓")),"")</f>
        <v/>
      </c>
      <c r="AZ1915" s="21" t="str">
        <f>IF(AND($AM1915&lt;&gt;"",$AS1915="✓"),SUMPRODUCT(($AM$11:$AM1915&lt;&gt;"")*($AS$11:$AS1915="✓")),"")</f>
        <v/>
      </c>
      <c r="BA1915" s="21" t="str">
        <f>IF($AL1915="","",$AL1915&amp;"|"&amp;COUNTIF($AL$11:$AL1915,$AL1915))</f>
        <v/>
      </c>
    </row>
    <row r="1916" spans="38:53" ht="15" customHeight="1" x14ac:dyDescent="0.25">
      <c r="AL1916" s="31"/>
      <c r="AM1916" s="26"/>
      <c r="AN1916" s="32"/>
      <c r="AO1916" s="32"/>
      <c r="AP1916" s="24"/>
      <c r="AQ1916" s="24"/>
      <c r="AR1916" s="33"/>
      <c r="AS1916" s="34"/>
      <c r="AT1916" s="33"/>
      <c r="AV1916" s="21">
        <f>IF(AND($AL1916&lt;&gt;"",COUNTIF($AL$11:$AL1916,$AL1916)=1),1,0)</f>
        <v>0</v>
      </c>
      <c r="AW1916" s="21">
        <f t="shared" si="145"/>
        <v>0</v>
      </c>
      <c r="AX1916" s="21" t="str">
        <f t="shared" si="144"/>
        <v/>
      </c>
      <c r="AY1916" s="21" t="str">
        <f>IF(AND($AM1916&lt;&gt;"",$AS1916&lt;&gt;"✓"),SUMPRODUCT(($AM$11:$AM1916&lt;&gt;"")*($AS$11:$AS1916&lt;&gt;"✓")),"")</f>
        <v/>
      </c>
      <c r="AZ1916" s="21" t="str">
        <f>IF(AND($AM1916&lt;&gt;"",$AS1916="✓"),SUMPRODUCT(($AM$11:$AM1916&lt;&gt;"")*($AS$11:$AS1916="✓")),"")</f>
        <v/>
      </c>
      <c r="BA1916" s="21" t="str">
        <f>IF($AL1916="","",$AL1916&amp;"|"&amp;COUNTIF($AL$11:$AL1916,$AL1916))</f>
        <v/>
      </c>
    </row>
    <row r="1917" spans="38:53" ht="15" customHeight="1" x14ac:dyDescent="0.25">
      <c r="AL1917" s="17"/>
      <c r="AM1917" s="12"/>
      <c r="AN1917" s="18"/>
      <c r="AO1917" s="18"/>
      <c r="AP1917" s="10"/>
      <c r="AQ1917" s="10"/>
      <c r="AR1917" s="19"/>
      <c r="AS1917" s="20"/>
      <c r="AT1917" s="19"/>
      <c r="AV1917" s="21">
        <f>IF(AND($AL1917&lt;&gt;"",COUNTIF($AL$11:$AL1917,$AL1917)=1),1,0)</f>
        <v>0</v>
      </c>
      <c r="AW1917" s="21">
        <f t="shared" si="145"/>
        <v>0</v>
      </c>
      <c r="AX1917" s="21" t="str">
        <f t="shared" si="144"/>
        <v/>
      </c>
      <c r="AY1917" s="21" t="str">
        <f>IF(AND($AM1917&lt;&gt;"",$AS1917&lt;&gt;"✓"),SUMPRODUCT(($AM$11:$AM1917&lt;&gt;"")*($AS$11:$AS1917&lt;&gt;"✓")),"")</f>
        <v/>
      </c>
      <c r="AZ1917" s="21" t="str">
        <f>IF(AND($AM1917&lt;&gt;"",$AS1917="✓"),SUMPRODUCT(($AM$11:$AM1917&lt;&gt;"")*($AS$11:$AS1917="✓")),"")</f>
        <v/>
      </c>
      <c r="BA1917" s="21" t="str">
        <f>IF($AL1917="","",$AL1917&amp;"|"&amp;COUNTIF($AL$11:$AL1917,$AL1917))</f>
        <v/>
      </c>
    </row>
    <row r="1918" spans="38:53" ht="15" customHeight="1" x14ac:dyDescent="0.25">
      <c r="AL1918" s="31"/>
      <c r="AM1918" s="26"/>
      <c r="AN1918" s="32"/>
      <c r="AO1918" s="32"/>
      <c r="AP1918" s="24"/>
      <c r="AQ1918" s="24"/>
      <c r="AR1918" s="33"/>
      <c r="AS1918" s="34"/>
      <c r="AT1918" s="33"/>
      <c r="AV1918" s="21">
        <f>IF(AND($AL1918&lt;&gt;"",COUNTIF($AL$11:$AL1918,$AL1918)=1),1,0)</f>
        <v>0</v>
      </c>
      <c r="AW1918" s="21">
        <f t="shared" si="145"/>
        <v>0</v>
      </c>
      <c r="AX1918" s="21" t="str">
        <f t="shared" si="144"/>
        <v/>
      </c>
      <c r="AY1918" s="21" t="str">
        <f>IF(AND($AM1918&lt;&gt;"",$AS1918&lt;&gt;"✓"),SUMPRODUCT(($AM$11:$AM1918&lt;&gt;"")*($AS$11:$AS1918&lt;&gt;"✓")),"")</f>
        <v/>
      </c>
      <c r="AZ1918" s="21" t="str">
        <f>IF(AND($AM1918&lt;&gt;"",$AS1918="✓"),SUMPRODUCT(($AM$11:$AM1918&lt;&gt;"")*($AS$11:$AS1918="✓")),"")</f>
        <v/>
      </c>
      <c r="BA1918" s="21" t="str">
        <f>IF($AL1918="","",$AL1918&amp;"|"&amp;COUNTIF($AL$11:$AL1918,$AL1918))</f>
        <v/>
      </c>
    </row>
    <row r="1919" spans="38:53" ht="15" customHeight="1" x14ac:dyDescent="0.25">
      <c r="AL1919" s="17"/>
      <c r="AM1919" s="12"/>
      <c r="AN1919" s="18"/>
      <c r="AO1919" s="18"/>
      <c r="AP1919" s="10"/>
      <c r="AQ1919" s="10"/>
      <c r="AR1919" s="19"/>
      <c r="AS1919" s="20"/>
      <c r="AT1919" s="19"/>
      <c r="AV1919" s="21">
        <f>IF(AND($AL1919&lt;&gt;"",COUNTIF($AL$11:$AL1919,$AL1919)=1),1,0)</f>
        <v>0</v>
      </c>
      <c r="AW1919" s="21">
        <f t="shared" si="145"/>
        <v>0</v>
      </c>
      <c r="AX1919" s="21" t="str">
        <f t="shared" si="144"/>
        <v/>
      </c>
      <c r="AY1919" s="21" t="str">
        <f>IF(AND($AM1919&lt;&gt;"",$AS1919&lt;&gt;"✓"),SUMPRODUCT(($AM$11:$AM1919&lt;&gt;"")*($AS$11:$AS1919&lt;&gt;"✓")),"")</f>
        <v/>
      </c>
      <c r="AZ1919" s="21" t="str">
        <f>IF(AND($AM1919&lt;&gt;"",$AS1919="✓"),SUMPRODUCT(($AM$11:$AM1919&lt;&gt;"")*($AS$11:$AS1919="✓")),"")</f>
        <v/>
      </c>
      <c r="BA1919" s="21" t="str">
        <f>IF($AL1919="","",$AL1919&amp;"|"&amp;COUNTIF($AL$11:$AL1919,$AL1919))</f>
        <v/>
      </c>
    </row>
    <row r="1920" spans="38:53" ht="15" customHeight="1" x14ac:dyDescent="0.25">
      <c r="AL1920" s="31"/>
      <c r="AM1920" s="26"/>
      <c r="AN1920" s="32"/>
      <c r="AO1920" s="32"/>
      <c r="AP1920" s="24"/>
      <c r="AQ1920" s="24"/>
      <c r="AR1920" s="33"/>
      <c r="AS1920" s="34"/>
      <c r="AT1920" s="33"/>
      <c r="AV1920" s="21">
        <f>IF(AND($AL1920&lt;&gt;"",COUNTIF($AL$11:$AL1920,$AL1920)=1),1,0)</f>
        <v>0</v>
      </c>
      <c r="AW1920" s="21">
        <f t="shared" si="145"/>
        <v>0</v>
      </c>
      <c r="AX1920" s="21" t="str">
        <f t="shared" si="144"/>
        <v/>
      </c>
      <c r="AY1920" s="21" t="str">
        <f>IF(AND($AM1920&lt;&gt;"",$AS1920&lt;&gt;"✓"),SUMPRODUCT(($AM$11:$AM1920&lt;&gt;"")*($AS$11:$AS1920&lt;&gt;"✓")),"")</f>
        <v/>
      </c>
      <c r="AZ1920" s="21" t="str">
        <f>IF(AND($AM1920&lt;&gt;"",$AS1920="✓"),SUMPRODUCT(($AM$11:$AM1920&lt;&gt;"")*($AS$11:$AS1920="✓")),"")</f>
        <v/>
      </c>
      <c r="BA1920" s="21" t="str">
        <f>IF($AL1920="","",$AL1920&amp;"|"&amp;COUNTIF($AL$11:$AL1920,$AL1920))</f>
        <v/>
      </c>
    </row>
    <row r="1921" spans="38:53" ht="15" customHeight="1" x14ac:dyDescent="0.25">
      <c r="AL1921" s="17"/>
      <c r="AM1921" s="12"/>
      <c r="AN1921" s="18"/>
      <c r="AO1921" s="18"/>
      <c r="AP1921" s="10"/>
      <c r="AQ1921" s="10"/>
      <c r="AR1921" s="19"/>
      <c r="AS1921" s="20"/>
      <c r="AT1921" s="19"/>
      <c r="AV1921" s="21">
        <f>IF(AND($AL1921&lt;&gt;"",COUNTIF($AL$11:$AL1921,$AL1921)=1),1,0)</f>
        <v>0</v>
      </c>
      <c r="AW1921" s="21">
        <f t="shared" si="145"/>
        <v>0</v>
      </c>
      <c r="AX1921" s="21" t="str">
        <f t="shared" si="144"/>
        <v/>
      </c>
      <c r="AY1921" s="21" t="str">
        <f>IF(AND($AM1921&lt;&gt;"",$AS1921&lt;&gt;"✓"),SUMPRODUCT(($AM$11:$AM1921&lt;&gt;"")*($AS$11:$AS1921&lt;&gt;"✓")),"")</f>
        <v/>
      </c>
      <c r="AZ1921" s="21" t="str">
        <f>IF(AND($AM1921&lt;&gt;"",$AS1921="✓"),SUMPRODUCT(($AM$11:$AM1921&lt;&gt;"")*($AS$11:$AS1921="✓")),"")</f>
        <v/>
      </c>
      <c r="BA1921" s="21" t="str">
        <f>IF($AL1921="","",$AL1921&amp;"|"&amp;COUNTIF($AL$11:$AL1921,$AL1921))</f>
        <v/>
      </c>
    </row>
    <row r="1922" spans="38:53" ht="15" customHeight="1" x14ac:dyDescent="0.25">
      <c r="AL1922" s="31"/>
      <c r="AM1922" s="26"/>
      <c r="AN1922" s="32"/>
      <c r="AO1922" s="32"/>
      <c r="AP1922" s="24"/>
      <c r="AQ1922" s="24"/>
      <c r="AR1922" s="33"/>
      <c r="AS1922" s="34"/>
      <c r="AT1922" s="33"/>
      <c r="AV1922" s="21">
        <f>IF(AND($AL1922&lt;&gt;"",COUNTIF($AL$11:$AL1922,$AL1922)=1),1,0)</f>
        <v>0</v>
      </c>
      <c r="AW1922" s="21">
        <f t="shared" si="145"/>
        <v>0</v>
      </c>
      <c r="AX1922" s="21" t="str">
        <f t="shared" si="144"/>
        <v/>
      </c>
      <c r="AY1922" s="21" t="str">
        <f>IF(AND($AM1922&lt;&gt;"",$AS1922&lt;&gt;"✓"),SUMPRODUCT(($AM$11:$AM1922&lt;&gt;"")*($AS$11:$AS1922&lt;&gt;"✓")),"")</f>
        <v/>
      </c>
      <c r="AZ1922" s="21" t="str">
        <f>IF(AND($AM1922&lt;&gt;"",$AS1922="✓"),SUMPRODUCT(($AM$11:$AM1922&lt;&gt;"")*($AS$11:$AS1922="✓")),"")</f>
        <v/>
      </c>
      <c r="BA1922" s="21" t="str">
        <f>IF($AL1922="","",$AL1922&amp;"|"&amp;COUNTIF($AL$11:$AL1922,$AL1922))</f>
        <v/>
      </c>
    </row>
    <row r="1923" spans="38:53" ht="15" customHeight="1" x14ac:dyDescent="0.25">
      <c r="AL1923" s="17"/>
      <c r="AM1923" s="12"/>
      <c r="AN1923" s="18"/>
      <c r="AO1923" s="18"/>
      <c r="AP1923" s="10"/>
      <c r="AQ1923" s="10"/>
      <c r="AR1923" s="19"/>
      <c r="AS1923" s="20"/>
      <c r="AT1923" s="19"/>
      <c r="AV1923" s="21">
        <f>IF(AND($AL1923&lt;&gt;"",COUNTIF($AL$11:$AL1923,$AL1923)=1),1,0)</f>
        <v>0</v>
      </c>
      <c r="AW1923" s="21">
        <f t="shared" si="145"/>
        <v>0</v>
      </c>
      <c r="AX1923" s="21" t="str">
        <f t="shared" si="144"/>
        <v/>
      </c>
      <c r="AY1923" s="21" t="str">
        <f>IF(AND($AM1923&lt;&gt;"",$AS1923&lt;&gt;"✓"),SUMPRODUCT(($AM$11:$AM1923&lt;&gt;"")*($AS$11:$AS1923&lt;&gt;"✓")),"")</f>
        <v/>
      </c>
      <c r="AZ1923" s="21" t="str">
        <f>IF(AND($AM1923&lt;&gt;"",$AS1923="✓"),SUMPRODUCT(($AM$11:$AM1923&lt;&gt;"")*($AS$11:$AS1923="✓")),"")</f>
        <v/>
      </c>
      <c r="BA1923" s="21" t="str">
        <f>IF($AL1923="","",$AL1923&amp;"|"&amp;COUNTIF($AL$11:$AL1923,$AL1923))</f>
        <v/>
      </c>
    </row>
    <row r="1924" spans="38:53" ht="15" customHeight="1" x14ac:dyDescent="0.25">
      <c r="AL1924" s="31"/>
      <c r="AM1924" s="26"/>
      <c r="AN1924" s="32"/>
      <c r="AO1924" s="32"/>
      <c r="AP1924" s="24"/>
      <c r="AQ1924" s="24"/>
      <c r="AR1924" s="33"/>
      <c r="AS1924" s="34"/>
      <c r="AT1924" s="33"/>
      <c r="AV1924" s="21">
        <f>IF(AND($AL1924&lt;&gt;"",COUNTIF($AL$11:$AL1924,$AL1924)=1),1,0)</f>
        <v>0</v>
      </c>
      <c r="AW1924" s="21">
        <f t="shared" si="145"/>
        <v>0</v>
      </c>
      <c r="AX1924" s="21" t="str">
        <f t="shared" si="144"/>
        <v/>
      </c>
      <c r="AY1924" s="21" t="str">
        <f>IF(AND($AM1924&lt;&gt;"",$AS1924&lt;&gt;"✓"),SUMPRODUCT(($AM$11:$AM1924&lt;&gt;"")*($AS$11:$AS1924&lt;&gt;"✓")),"")</f>
        <v/>
      </c>
      <c r="AZ1924" s="21" t="str">
        <f>IF(AND($AM1924&lt;&gt;"",$AS1924="✓"),SUMPRODUCT(($AM$11:$AM1924&lt;&gt;"")*($AS$11:$AS1924="✓")),"")</f>
        <v/>
      </c>
      <c r="BA1924" s="21" t="str">
        <f>IF($AL1924="","",$AL1924&amp;"|"&amp;COUNTIF($AL$11:$AL1924,$AL1924))</f>
        <v/>
      </c>
    </row>
    <row r="1925" spans="38:53" ht="15" customHeight="1" x14ac:dyDescent="0.25">
      <c r="AL1925" s="17"/>
      <c r="AM1925" s="12"/>
      <c r="AN1925" s="18"/>
      <c r="AO1925" s="18"/>
      <c r="AP1925" s="10"/>
      <c r="AQ1925" s="10"/>
      <c r="AR1925" s="19"/>
      <c r="AS1925" s="20"/>
      <c r="AT1925" s="19"/>
      <c r="AV1925" s="21">
        <f>IF(AND($AL1925&lt;&gt;"",COUNTIF($AL$11:$AL1925,$AL1925)=1),1,0)</f>
        <v>0</v>
      </c>
      <c r="AW1925" s="21">
        <f t="shared" si="145"/>
        <v>0</v>
      </c>
      <c r="AX1925" s="21" t="str">
        <f t="shared" si="144"/>
        <v/>
      </c>
      <c r="AY1925" s="21" t="str">
        <f>IF(AND($AM1925&lt;&gt;"",$AS1925&lt;&gt;"✓"),SUMPRODUCT(($AM$11:$AM1925&lt;&gt;"")*($AS$11:$AS1925&lt;&gt;"✓")),"")</f>
        <v/>
      </c>
      <c r="AZ1925" s="21" t="str">
        <f>IF(AND($AM1925&lt;&gt;"",$AS1925="✓"),SUMPRODUCT(($AM$11:$AM1925&lt;&gt;"")*($AS$11:$AS1925="✓")),"")</f>
        <v/>
      </c>
      <c r="BA1925" s="21" t="str">
        <f>IF($AL1925="","",$AL1925&amp;"|"&amp;COUNTIF($AL$11:$AL1925,$AL1925))</f>
        <v/>
      </c>
    </row>
    <row r="1926" spans="38:53" ht="15" customHeight="1" x14ac:dyDescent="0.25">
      <c r="AL1926" s="31"/>
      <c r="AM1926" s="26"/>
      <c r="AN1926" s="32"/>
      <c r="AO1926" s="32"/>
      <c r="AP1926" s="24"/>
      <c r="AQ1926" s="24"/>
      <c r="AR1926" s="33"/>
      <c r="AS1926" s="34"/>
      <c r="AT1926" s="33"/>
      <c r="AV1926" s="21">
        <f>IF(AND($AL1926&lt;&gt;"",COUNTIF($AL$11:$AL1926,$AL1926)=1),1,0)</f>
        <v>0</v>
      </c>
      <c r="AW1926" s="21">
        <f t="shared" si="145"/>
        <v>0</v>
      </c>
      <c r="AX1926" s="21" t="str">
        <f t="shared" si="144"/>
        <v/>
      </c>
      <c r="AY1926" s="21" t="str">
        <f>IF(AND($AM1926&lt;&gt;"",$AS1926&lt;&gt;"✓"),SUMPRODUCT(($AM$11:$AM1926&lt;&gt;"")*($AS$11:$AS1926&lt;&gt;"✓")),"")</f>
        <v/>
      </c>
      <c r="AZ1926" s="21" t="str">
        <f>IF(AND($AM1926&lt;&gt;"",$AS1926="✓"),SUMPRODUCT(($AM$11:$AM1926&lt;&gt;"")*($AS$11:$AS1926="✓")),"")</f>
        <v/>
      </c>
      <c r="BA1926" s="21" t="str">
        <f>IF($AL1926="","",$AL1926&amp;"|"&amp;COUNTIF($AL$11:$AL1926,$AL1926))</f>
        <v/>
      </c>
    </row>
    <row r="1927" spans="38:53" ht="15" customHeight="1" x14ac:dyDescent="0.25">
      <c r="AL1927" s="17"/>
      <c r="AM1927" s="12"/>
      <c r="AN1927" s="18"/>
      <c r="AO1927" s="18"/>
      <c r="AP1927" s="10"/>
      <c r="AQ1927" s="10"/>
      <c r="AR1927" s="19"/>
      <c r="AS1927" s="20"/>
      <c r="AT1927" s="19"/>
      <c r="AV1927" s="21">
        <f>IF(AND($AL1927&lt;&gt;"",COUNTIF($AL$11:$AL1927,$AL1927)=1),1,0)</f>
        <v>0</v>
      </c>
      <c r="AW1927" s="21">
        <f t="shared" si="145"/>
        <v>0</v>
      </c>
      <c r="AX1927" s="21" t="str">
        <f t="shared" si="144"/>
        <v/>
      </c>
      <c r="AY1927" s="21" t="str">
        <f>IF(AND($AM1927&lt;&gt;"",$AS1927&lt;&gt;"✓"),SUMPRODUCT(($AM$11:$AM1927&lt;&gt;"")*($AS$11:$AS1927&lt;&gt;"✓")),"")</f>
        <v/>
      </c>
      <c r="AZ1927" s="21" t="str">
        <f>IF(AND($AM1927&lt;&gt;"",$AS1927="✓"),SUMPRODUCT(($AM$11:$AM1927&lt;&gt;"")*($AS$11:$AS1927="✓")),"")</f>
        <v/>
      </c>
      <c r="BA1927" s="21" t="str">
        <f>IF($AL1927="","",$AL1927&amp;"|"&amp;COUNTIF($AL$11:$AL1927,$AL1927))</f>
        <v/>
      </c>
    </row>
    <row r="1928" spans="38:53" ht="15" customHeight="1" x14ac:dyDescent="0.25">
      <c r="AL1928" s="31"/>
      <c r="AM1928" s="26"/>
      <c r="AN1928" s="32"/>
      <c r="AO1928" s="32"/>
      <c r="AP1928" s="24"/>
      <c r="AQ1928" s="24"/>
      <c r="AR1928" s="33"/>
      <c r="AS1928" s="34"/>
      <c r="AT1928" s="33"/>
      <c r="AV1928" s="21">
        <f>IF(AND($AL1928&lt;&gt;"",COUNTIF($AL$11:$AL1928,$AL1928)=1),1,0)</f>
        <v>0</v>
      </c>
      <c r="AW1928" s="21">
        <f t="shared" si="145"/>
        <v>0</v>
      </c>
      <c r="AX1928" s="21" t="str">
        <f t="shared" si="144"/>
        <v/>
      </c>
      <c r="AY1928" s="21" t="str">
        <f>IF(AND($AM1928&lt;&gt;"",$AS1928&lt;&gt;"✓"),SUMPRODUCT(($AM$11:$AM1928&lt;&gt;"")*($AS$11:$AS1928&lt;&gt;"✓")),"")</f>
        <v/>
      </c>
      <c r="AZ1928" s="21" t="str">
        <f>IF(AND($AM1928&lt;&gt;"",$AS1928="✓"),SUMPRODUCT(($AM$11:$AM1928&lt;&gt;"")*($AS$11:$AS1928="✓")),"")</f>
        <v/>
      </c>
      <c r="BA1928" s="21" t="str">
        <f>IF($AL1928="","",$AL1928&amp;"|"&amp;COUNTIF($AL$11:$AL1928,$AL1928))</f>
        <v/>
      </c>
    </row>
    <row r="1929" spans="38:53" ht="15" customHeight="1" x14ac:dyDescent="0.25">
      <c r="AL1929" s="17"/>
      <c r="AM1929" s="12"/>
      <c r="AN1929" s="18"/>
      <c r="AO1929" s="18"/>
      <c r="AP1929" s="10"/>
      <c r="AQ1929" s="10"/>
      <c r="AR1929" s="19"/>
      <c r="AS1929" s="20"/>
      <c r="AT1929" s="19"/>
      <c r="AV1929" s="21">
        <f>IF(AND($AL1929&lt;&gt;"",COUNTIF($AL$11:$AL1929,$AL1929)=1),1,0)</f>
        <v>0</v>
      </c>
      <c r="AW1929" s="21">
        <f t="shared" si="145"/>
        <v>0</v>
      </c>
      <c r="AX1929" s="21" t="str">
        <f t="shared" si="144"/>
        <v/>
      </c>
      <c r="AY1929" s="21" t="str">
        <f>IF(AND($AM1929&lt;&gt;"",$AS1929&lt;&gt;"✓"),SUMPRODUCT(($AM$11:$AM1929&lt;&gt;"")*($AS$11:$AS1929&lt;&gt;"✓")),"")</f>
        <v/>
      </c>
      <c r="AZ1929" s="21" t="str">
        <f>IF(AND($AM1929&lt;&gt;"",$AS1929="✓"),SUMPRODUCT(($AM$11:$AM1929&lt;&gt;"")*($AS$11:$AS1929="✓")),"")</f>
        <v/>
      </c>
      <c r="BA1929" s="21" t="str">
        <f>IF($AL1929="","",$AL1929&amp;"|"&amp;COUNTIF($AL$11:$AL1929,$AL1929))</f>
        <v/>
      </c>
    </row>
    <row r="1930" spans="38:53" ht="15" customHeight="1" x14ac:dyDescent="0.25">
      <c r="AL1930" s="31"/>
      <c r="AM1930" s="26"/>
      <c r="AN1930" s="32"/>
      <c r="AO1930" s="32"/>
      <c r="AP1930" s="24"/>
      <c r="AQ1930" s="24"/>
      <c r="AR1930" s="33"/>
      <c r="AS1930" s="34"/>
      <c r="AT1930" s="33"/>
      <c r="AV1930" s="21">
        <f>IF(AND($AL1930&lt;&gt;"",COUNTIF($AL$11:$AL1930,$AL1930)=1),1,0)</f>
        <v>0</v>
      </c>
      <c r="AW1930" s="21">
        <f t="shared" si="145"/>
        <v>0</v>
      </c>
      <c r="AX1930" s="21" t="str">
        <f t="shared" si="144"/>
        <v/>
      </c>
      <c r="AY1930" s="21" t="str">
        <f>IF(AND($AM1930&lt;&gt;"",$AS1930&lt;&gt;"✓"),SUMPRODUCT(($AM$11:$AM1930&lt;&gt;"")*($AS$11:$AS1930&lt;&gt;"✓")),"")</f>
        <v/>
      </c>
      <c r="AZ1930" s="21" t="str">
        <f>IF(AND($AM1930&lt;&gt;"",$AS1930="✓"),SUMPRODUCT(($AM$11:$AM1930&lt;&gt;"")*($AS$11:$AS1930="✓")),"")</f>
        <v/>
      </c>
      <c r="BA1930" s="21" t="str">
        <f>IF($AL1930="","",$AL1930&amp;"|"&amp;COUNTIF($AL$11:$AL1930,$AL1930))</f>
        <v/>
      </c>
    </row>
    <row r="1931" spans="38:53" ht="15" customHeight="1" x14ac:dyDescent="0.25">
      <c r="AL1931" s="17"/>
      <c r="AM1931" s="12"/>
      <c r="AN1931" s="18"/>
      <c r="AO1931" s="18"/>
      <c r="AP1931" s="10"/>
      <c r="AQ1931" s="10"/>
      <c r="AR1931" s="19"/>
      <c r="AS1931" s="20"/>
      <c r="AT1931" s="19"/>
      <c r="AV1931" s="21">
        <f>IF(AND($AL1931&lt;&gt;"",COUNTIF($AL$11:$AL1931,$AL1931)=1),1,0)</f>
        <v>0</v>
      </c>
      <c r="AW1931" s="21">
        <f t="shared" si="145"/>
        <v>0</v>
      </c>
      <c r="AX1931" s="21" t="str">
        <f t="shared" ref="AX1931:AX1994" si="146">IF(AV1931=1,AW1931,"")</f>
        <v/>
      </c>
      <c r="AY1931" s="21" t="str">
        <f>IF(AND($AM1931&lt;&gt;"",$AS1931&lt;&gt;"✓"),SUMPRODUCT(($AM$11:$AM1931&lt;&gt;"")*($AS$11:$AS1931&lt;&gt;"✓")),"")</f>
        <v/>
      </c>
      <c r="AZ1931" s="21" t="str">
        <f>IF(AND($AM1931&lt;&gt;"",$AS1931="✓"),SUMPRODUCT(($AM$11:$AM1931&lt;&gt;"")*($AS$11:$AS1931="✓")),"")</f>
        <v/>
      </c>
      <c r="BA1931" s="21" t="str">
        <f>IF($AL1931="","",$AL1931&amp;"|"&amp;COUNTIF($AL$11:$AL1931,$AL1931))</f>
        <v/>
      </c>
    </row>
    <row r="1932" spans="38:53" ht="15" customHeight="1" x14ac:dyDescent="0.25">
      <c r="AL1932" s="31"/>
      <c r="AM1932" s="26"/>
      <c r="AN1932" s="32"/>
      <c r="AO1932" s="32"/>
      <c r="AP1932" s="24"/>
      <c r="AQ1932" s="24"/>
      <c r="AR1932" s="33"/>
      <c r="AS1932" s="34"/>
      <c r="AT1932" s="33"/>
      <c r="AV1932" s="21">
        <f>IF(AND($AL1932&lt;&gt;"",COUNTIF($AL$11:$AL1932,$AL1932)=1),1,0)</f>
        <v>0</v>
      </c>
      <c r="AW1932" s="21">
        <f t="shared" ref="AW1932:AW1995" si="147">AW1931+AV1932</f>
        <v>0</v>
      </c>
      <c r="AX1932" s="21" t="str">
        <f t="shared" si="146"/>
        <v/>
      </c>
      <c r="AY1932" s="21" t="str">
        <f>IF(AND($AM1932&lt;&gt;"",$AS1932&lt;&gt;"✓"),SUMPRODUCT(($AM$11:$AM1932&lt;&gt;"")*($AS$11:$AS1932&lt;&gt;"✓")),"")</f>
        <v/>
      </c>
      <c r="AZ1932" s="21" t="str">
        <f>IF(AND($AM1932&lt;&gt;"",$AS1932="✓"),SUMPRODUCT(($AM$11:$AM1932&lt;&gt;"")*($AS$11:$AS1932="✓")),"")</f>
        <v/>
      </c>
      <c r="BA1932" s="21" t="str">
        <f>IF($AL1932="","",$AL1932&amp;"|"&amp;COUNTIF($AL$11:$AL1932,$AL1932))</f>
        <v/>
      </c>
    </row>
    <row r="1933" spans="38:53" ht="15" customHeight="1" x14ac:dyDescent="0.25">
      <c r="AL1933" s="17"/>
      <c r="AM1933" s="12"/>
      <c r="AN1933" s="18"/>
      <c r="AO1933" s="18"/>
      <c r="AP1933" s="10"/>
      <c r="AQ1933" s="10"/>
      <c r="AR1933" s="19"/>
      <c r="AS1933" s="20"/>
      <c r="AT1933" s="19"/>
      <c r="AV1933" s="21">
        <f>IF(AND($AL1933&lt;&gt;"",COUNTIF($AL$11:$AL1933,$AL1933)=1),1,0)</f>
        <v>0</v>
      </c>
      <c r="AW1933" s="21">
        <f t="shared" si="147"/>
        <v>0</v>
      </c>
      <c r="AX1933" s="21" t="str">
        <f t="shared" si="146"/>
        <v/>
      </c>
      <c r="AY1933" s="21" t="str">
        <f>IF(AND($AM1933&lt;&gt;"",$AS1933&lt;&gt;"✓"),SUMPRODUCT(($AM$11:$AM1933&lt;&gt;"")*($AS$11:$AS1933&lt;&gt;"✓")),"")</f>
        <v/>
      </c>
      <c r="AZ1933" s="21" t="str">
        <f>IF(AND($AM1933&lt;&gt;"",$AS1933="✓"),SUMPRODUCT(($AM$11:$AM1933&lt;&gt;"")*($AS$11:$AS1933="✓")),"")</f>
        <v/>
      </c>
      <c r="BA1933" s="21" t="str">
        <f>IF($AL1933="","",$AL1933&amp;"|"&amp;COUNTIF($AL$11:$AL1933,$AL1933))</f>
        <v/>
      </c>
    </row>
    <row r="1934" spans="38:53" ht="15" customHeight="1" x14ac:dyDescent="0.25">
      <c r="AL1934" s="31"/>
      <c r="AM1934" s="26"/>
      <c r="AN1934" s="32"/>
      <c r="AO1934" s="32"/>
      <c r="AP1934" s="24"/>
      <c r="AQ1934" s="24"/>
      <c r="AR1934" s="33"/>
      <c r="AS1934" s="34"/>
      <c r="AT1934" s="33"/>
      <c r="AV1934" s="21">
        <f>IF(AND($AL1934&lt;&gt;"",COUNTIF($AL$11:$AL1934,$AL1934)=1),1,0)</f>
        <v>0</v>
      </c>
      <c r="AW1934" s="21">
        <f t="shared" si="147"/>
        <v>0</v>
      </c>
      <c r="AX1934" s="21" t="str">
        <f t="shared" si="146"/>
        <v/>
      </c>
      <c r="AY1934" s="21" t="str">
        <f>IF(AND($AM1934&lt;&gt;"",$AS1934&lt;&gt;"✓"),SUMPRODUCT(($AM$11:$AM1934&lt;&gt;"")*($AS$11:$AS1934&lt;&gt;"✓")),"")</f>
        <v/>
      </c>
      <c r="AZ1934" s="21" t="str">
        <f>IF(AND($AM1934&lt;&gt;"",$AS1934="✓"),SUMPRODUCT(($AM$11:$AM1934&lt;&gt;"")*($AS$11:$AS1934="✓")),"")</f>
        <v/>
      </c>
      <c r="BA1934" s="21" t="str">
        <f>IF($AL1934="","",$AL1934&amp;"|"&amp;COUNTIF($AL$11:$AL1934,$AL1934))</f>
        <v/>
      </c>
    </row>
    <row r="1935" spans="38:53" ht="15" customHeight="1" x14ac:dyDescent="0.25">
      <c r="AL1935" s="17"/>
      <c r="AM1935" s="12"/>
      <c r="AN1935" s="18"/>
      <c r="AO1935" s="18"/>
      <c r="AP1935" s="10"/>
      <c r="AQ1935" s="10"/>
      <c r="AR1935" s="19"/>
      <c r="AS1935" s="20"/>
      <c r="AT1935" s="19"/>
      <c r="AV1935" s="21">
        <f>IF(AND($AL1935&lt;&gt;"",COUNTIF($AL$11:$AL1935,$AL1935)=1),1,0)</f>
        <v>0</v>
      </c>
      <c r="AW1935" s="21">
        <f t="shared" si="147"/>
        <v>0</v>
      </c>
      <c r="AX1935" s="21" t="str">
        <f t="shared" si="146"/>
        <v/>
      </c>
      <c r="AY1935" s="21" t="str">
        <f>IF(AND($AM1935&lt;&gt;"",$AS1935&lt;&gt;"✓"),SUMPRODUCT(($AM$11:$AM1935&lt;&gt;"")*($AS$11:$AS1935&lt;&gt;"✓")),"")</f>
        <v/>
      </c>
      <c r="AZ1935" s="21" t="str">
        <f>IF(AND($AM1935&lt;&gt;"",$AS1935="✓"),SUMPRODUCT(($AM$11:$AM1935&lt;&gt;"")*($AS$11:$AS1935="✓")),"")</f>
        <v/>
      </c>
      <c r="BA1935" s="21" t="str">
        <f>IF($AL1935="","",$AL1935&amp;"|"&amp;COUNTIF($AL$11:$AL1935,$AL1935))</f>
        <v/>
      </c>
    </row>
    <row r="1936" spans="38:53" ht="15" customHeight="1" x14ac:dyDescent="0.25">
      <c r="AL1936" s="31"/>
      <c r="AM1936" s="26"/>
      <c r="AN1936" s="32"/>
      <c r="AO1936" s="32"/>
      <c r="AP1936" s="24"/>
      <c r="AQ1936" s="24"/>
      <c r="AR1936" s="33"/>
      <c r="AS1936" s="34"/>
      <c r="AT1936" s="33"/>
      <c r="AV1936" s="21">
        <f>IF(AND($AL1936&lt;&gt;"",COUNTIF($AL$11:$AL1936,$AL1936)=1),1,0)</f>
        <v>0</v>
      </c>
      <c r="AW1936" s="21">
        <f t="shared" si="147"/>
        <v>0</v>
      </c>
      <c r="AX1936" s="21" t="str">
        <f t="shared" si="146"/>
        <v/>
      </c>
      <c r="AY1936" s="21" t="str">
        <f>IF(AND($AM1936&lt;&gt;"",$AS1936&lt;&gt;"✓"),SUMPRODUCT(($AM$11:$AM1936&lt;&gt;"")*($AS$11:$AS1936&lt;&gt;"✓")),"")</f>
        <v/>
      </c>
      <c r="AZ1936" s="21" t="str">
        <f>IF(AND($AM1936&lt;&gt;"",$AS1936="✓"),SUMPRODUCT(($AM$11:$AM1936&lt;&gt;"")*($AS$11:$AS1936="✓")),"")</f>
        <v/>
      </c>
      <c r="BA1936" s="21" t="str">
        <f>IF($AL1936="","",$AL1936&amp;"|"&amp;COUNTIF($AL$11:$AL1936,$AL1936))</f>
        <v/>
      </c>
    </row>
    <row r="1937" spans="38:53" ht="15" customHeight="1" x14ac:dyDescent="0.25">
      <c r="AL1937" s="17"/>
      <c r="AM1937" s="12"/>
      <c r="AN1937" s="18"/>
      <c r="AO1937" s="18"/>
      <c r="AP1937" s="10"/>
      <c r="AQ1937" s="10"/>
      <c r="AR1937" s="19"/>
      <c r="AS1937" s="20"/>
      <c r="AT1937" s="19"/>
      <c r="AV1937" s="21">
        <f>IF(AND($AL1937&lt;&gt;"",COUNTIF($AL$11:$AL1937,$AL1937)=1),1,0)</f>
        <v>0</v>
      </c>
      <c r="AW1937" s="21">
        <f t="shared" si="147"/>
        <v>0</v>
      </c>
      <c r="AX1937" s="21" t="str">
        <f t="shared" si="146"/>
        <v/>
      </c>
      <c r="AY1937" s="21" t="str">
        <f>IF(AND($AM1937&lt;&gt;"",$AS1937&lt;&gt;"✓"),SUMPRODUCT(($AM$11:$AM1937&lt;&gt;"")*($AS$11:$AS1937&lt;&gt;"✓")),"")</f>
        <v/>
      </c>
      <c r="AZ1937" s="21" t="str">
        <f>IF(AND($AM1937&lt;&gt;"",$AS1937="✓"),SUMPRODUCT(($AM$11:$AM1937&lt;&gt;"")*($AS$11:$AS1937="✓")),"")</f>
        <v/>
      </c>
      <c r="BA1937" s="21" t="str">
        <f>IF($AL1937="","",$AL1937&amp;"|"&amp;COUNTIF($AL$11:$AL1937,$AL1937))</f>
        <v/>
      </c>
    </row>
    <row r="1938" spans="38:53" ht="15" customHeight="1" x14ac:dyDescent="0.25">
      <c r="AL1938" s="31"/>
      <c r="AM1938" s="26"/>
      <c r="AN1938" s="32"/>
      <c r="AO1938" s="32"/>
      <c r="AP1938" s="24"/>
      <c r="AQ1938" s="24"/>
      <c r="AR1938" s="33"/>
      <c r="AS1938" s="34"/>
      <c r="AT1938" s="33"/>
      <c r="AV1938" s="21">
        <f>IF(AND($AL1938&lt;&gt;"",COUNTIF($AL$11:$AL1938,$AL1938)=1),1,0)</f>
        <v>0</v>
      </c>
      <c r="AW1938" s="21">
        <f t="shared" si="147"/>
        <v>0</v>
      </c>
      <c r="AX1938" s="21" t="str">
        <f t="shared" si="146"/>
        <v/>
      </c>
      <c r="AY1938" s="21" t="str">
        <f>IF(AND($AM1938&lt;&gt;"",$AS1938&lt;&gt;"✓"),SUMPRODUCT(($AM$11:$AM1938&lt;&gt;"")*($AS$11:$AS1938&lt;&gt;"✓")),"")</f>
        <v/>
      </c>
      <c r="AZ1938" s="21" t="str">
        <f>IF(AND($AM1938&lt;&gt;"",$AS1938="✓"),SUMPRODUCT(($AM$11:$AM1938&lt;&gt;"")*($AS$11:$AS1938="✓")),"")</f>
        <v/>
      </c>
      <c r="BA1938" s="21" t="str">
        <f>IF($AL1938="","",$AL1938&amp;"|"&amp;COUNTIF($AL$11:$AL1938,$AL1938))</f>
        <v/>
      </c>
    </row>
    <row r="1939" spans="38:53" ht="15" customHeight="1" x14ac:dyDescent="0.25">
      <c r="AL1939" s="17"/>
      <c r="AM1939" s="12"/>
      <c r="AN1939" s="18"/>
      <c r="AO1939" s="18"/>
      <c r="AP1939" s="10"/>
      <c r="AQ1939" s="10"/>
      <c r="AR1939" s="19"/>
      <c r="AS1939" s="20"/>
      <c r="AT1939" s="19"/>
      <c r="AV1939" s="21">
        <f>IF(AND($AL1939&lt;&gt;"",COUNTIF($AL$11:$AL1939,$AL1939)=1),1,0)</f>
        <v>0</v>
      </c>
      <c r="AW1939" s="21">
        <f t="shared" si="147"/>
        <v>0</v>
      </c>
      <c r="AX1939" s="21" t="str">
        <f t="shared" si="146"/>
        <v/>
      </c>
      <c r="AY1939" s="21" t="str">
        <f>IF(AND($AM1939&lt;&gt;"",$AS1939&lt;&gt;"✓"),SUMPRODUCT(($AM$11:$AM1939&lt;&gt;"")*($AS$11:$AS1939&lt;&gt;"✓")),"")</f>
        <v/>
      </c>
      <c r="AZ1939" s="21" t="str">
        <f>IF(AND($AM1939&lt;&gt;"",$AS1939="✓"),SUMPRODUCT(($AM$11:$AM1939&lt;&gt;"")*($AS$11:$AS1939="✓")),"")</f>
        <v/>
      </c>
      <c r="BA1939" s="21" t="str">
        <f>IF($AL1939="","",$AL1939&amp;"|"&amp;COUNTIF($AL$11:$AL1939,$AL1939))</f>
        <v/>
      </c>
    </row>
    <row r="1940" spans="38:53" ht="15" customHeight="1" x14ac:dyDescent="0.25">
      <c r="AL1940" s="31"/>
      <c r="AM1940" s="26"/>
      <c r="AN1940" s="32"/>
      <c r="AO1940" s="32"/>
      <c r="AP1940" s="24"/>
      <c r="AQ1940" s="24"/>
      <c r="AR1940" s="33"/>
      <c r="AS1940" s="34"/>
      <c r="AT1940" s="33"/>
      <c r="AV1940" s="21">
        <f>IF(AND($AL1940&lt;&gt;"",COUNTIF($AL$11:$AL1940,$AL1940)=1),1,0)</f>
        <v>0</v>
      </c>
      <c r="AW1940" s="21">
        <f t="shared" si="147"/>
        <v>0</v>
      </c>
      <c r="AX1940" s="21" t="str">
        <f t="shared" si="146"/>
        <v/>
      </c>
      <c r="AY1940" s="21" t="str">
        <f>IF(AND($AM1940&lt;&gt;"",$AS1940&lt;&gt;"✓"),SUMPRODUCT(($AM$11:$AM1940&lt;&gt;"")*($AS$11:$AS1940&lt;&gt;"✓")),"")</f>
        <v/>
      </c>
      <c r="AZ1940" s="21" t="str">
        <f>IF(AND($AM1940&lt;&gt;"",$AS1940="✓"),SUMPRODUCT(($AM$11:$AM1940&lt;&gt;"")*($AS$11:$AS1940="✓")),"")</f>
        <v/>
      </c>
      <c r="BA1940" s="21" t="str">
        <f>IF($AL1940="","",$AL1940&amp;"|"&amp;COUNTIF($AL$11:$AL1940,$AL1940))</f>
        <v/>
      </c>
    </row>
    <row r="1941" spans="38:53" ht="15" customHeight="1" x14ac:dyDescent="0.25">
      <c r="AL1941" s="17"/>
      <c r="AM1941" s="12"/>
      <c r="AN1941" s="18"/>
      <c r="AO1941" s="18"/>
      <c r="AP1941" s="10"/>
      <c r="AQ1941" s="10"/>
      <c r="AR1941" s="19"/>
      <c r="AS1941" s="20"/>
      <c r="AT1941" s="19"/>
      <c r="AV1941" s="21">
        <f>IF(AND($AL1941&lt;&gt;"",COUNTIF($AL$11:$AL1941,$AL1941)=1),1,0)</f>
        <v>0</v>
      </c>
      <c r="AW1941" s="21">
        <f t="shared" si="147"/>
        <v>0</v>
      </c>
      <c r="AX1941" s="21" t="str">
        <f t="shared" si="146"/>
        <v/>
      </c>
      <c r="AY1941" s="21" t="str">
        <f>IF(AND($AM1941&lt;&gt;"",$AS1941&lt;&gt;"✓"),SUMPRODUCT(($AM$11:$AM1941&lt;&gt;"")*($AS$11:$AS1941&lt;&gt;"✓")),"")</f>
        <v/>
      </c>
      <c r="AZ1941" s="21" t="str">
        <f>IF(AND($AM1941&lt;&gt;"",$AS1941="✓"),SUMPRODUCT(($AM$11:$AM1941&lt;&gt;"")*($AS$11:$AS1941="✓")),"")</f>
        <v/>
      </c>
      <c r="BA1941" s="21" t="str">
        <f>IF($AL1941="","",$AL1941&amp;"|"&amp;COUNTIF($AL$11:$AL1941,$AL1941))</f>
        <v/>
      </c>
    </row>
    <row r="1942" spans="38:53" ht="15" customHeight="1" x14ac:dyDescent="0.25">
      <c r="AL1942" s="31"/>
      <c r="AM1942" s="26"/>
      <c r="AN1942" s="32"/>
      <c r="AO1942" s="32"/>
      <c r="AP1942" s="24"/>
      <c r="AQ1942" s="24"/>
      <c r="AR1942" s="33"/>
      <c r="AS1942" s="34"/>
      <c r="AT1942" s="33"/>
      <c r="AV1942" s="21">
        <f>IF(AND($AL1942&lt;&gt;"",COUNTIF($AL$11:$AL1942,$AL1942)=1),1,0)</f>
        <v>0</v>
      </c>
      <c r="AW1942" s="21">
        <f t="shared" si="147"/>
        <v>0</v>
      </c>
      <c r="AX1942" s="21" t="str">
        <f t="shared" si="146"/>
        <v/>
      </c>
      <c r="AY1942" s="21" t="str">
        <f>IF(AND($AM1942&lt;&gt;"",$AS1942&lt;&gt;"✓"),SUMPRODUCT(($AM$11:$AM1942&lt;&gt;"")*($AS$11:$AS1942&lt;&gt;"✓")),"")</f>
        <v/>
      </c>
      <c r="AZ1942" s="21" t="str">
        <f>IF(AND($AM1942&lt;&gt;"",$AS1942="✓"),SUMPRODUCT(($AM$11:$AM1942&lt;&gt;"")*($AS$11:$AS1942="✓")),"")</f>
        <v/>
      </c>
      <c r="BA1942" s="21" t="str">
        <f>IF($AL1942="","",$AL1942&amp;"|"&amp;COUNTIF($AL$11:$AL1942,$AL1942))</f>
        <v/>
      </c>
    </row>
    <row r="1943" spans="38:53" ht="15" customHeight="1" x14ac:dyDescent="0.25">
      <c r="AL1943" s="17"/>
      <c r="AM1943" s="12"/>
      <c r="AN1943" s="18"/>
      <c r="AO1943" s="18"/>
      <c r="AP1943" s="10"/>
      <c r="AQ1943" s="10"/>
      <c r="AR1943" s="19"/>
      <c r="AS1943" s="20"/>
      <c r="AT1943" s="19"/>
      <c r="AV1943" s="21">
        <f>IF(AND($AL1943&lt;&gt;"",COUNTIF($AL$11:$AL1943,$AL1943)=1),1,0)</f>
        <v>0</v>
      </c>
      <c r="AW1943" s="21">
        <f t="shared" si="147"/>
        <v>0</v>
      </c>
      <c r="AX1943" s="21" t="str">
        <f t="shared" si="146"/>
        <v/>
      </c>
      <c r="AY1943" s="21" t="str">
        <f>IF(AND($AM1943&lt;&gt;"",$AS1943&lt;&gt;"✓"),SUMPRODUCT(($AM$11:$AM1943&lt;&gt;"")*($AS$11:$AS1943&lt;&gt;"✓")),"")</f>
        <v/>
      </c>
      <c r="AZ1943" s="21" t="str">
        <f>IF(AND($AM1943&lt;&gt;"",$AS1943="✓"),SUMPRODUCT(($AM$11:$AM1943&lt;&gt;"")*($AS$11:$AS1943="✓")),"")</f>
        <v/>
      </c>
      <c r="BA1943" s="21" t="str">
        <f>IF($AL1943="","",$AL1943&amp;"|"&amp;COUNTIF($AL$11:$AL1943,$AL1943))</f>
        <v/>
      </c>
    </row>
    <row r="1944" spans="38:53" ht="15" customHeight="1" x14ac:dyDescent="0.25">
      <c r="AL1944" s="31"/>
      <c r="AM1944" s="26"/>
      <c r="AN1944" s="32"/>
      <c r="AO1944" s="32"/>
      <c r="AP1944" s="24"/>
      <c r="AQ1944" s="24"/>
      <c r="AR1944" s="33"/>
      <c r="AS1944" s="34"/>
      <c r="AT1944" s="33"/>
      <c r="AV1944" s="21">
        <f>IF(AND($AL1944&lt;&gt;"",COUNTIF($AL$11:$AL1944,$AL1944)=1),1,0)</f>
        <v>0</v>
      </c>
      <c r="AW1944" s="21">
        <f t="shared" si="147"/>
        <v>0</v>
      </c>
      <c r="AX1944" s="21" t="str">
        <f t="shared" si="146"/>
        <v/>
      </c>
      <c r="AY1944" s="21" t="str">
        <f>IF(AND($AM1944&lt;&gt;"",$AS1944&lt;&gt;"✓"),SUMPRODUCT(($AM$11:$AM1944&lt;&gt;"")*($AS$11:$AS1944&lt;&gt;"✓")),"")</f>
        <v/>
      </c>
      <c r="AZ1944" s="21" t="str">
        <f>IF(AND($AM1944&lt;&gt;"",$AS1944="✓"),SUMPRODUCT(($AM$11:$AM1944&lt;&gt;"")*($AS$11:$AS1944="✓")),"")</f>
        <v/>
      </c>
      <c r="BA1944" s="21" t="str">
        <f>IF($AL1944="","",$AL1944&amp;"|"&amp;COUNTIF($AL$11:$AL1944,$AL1944))</f>
        <v/>
      </c>
    </row>
    <row r="1945" spans="38:53" ht="15" customHeight="1" x14ac:dyDescent="0.25">
      <c r="AL1945" s="17"/>
      <c r="AM1945" s="12"/>
      <c r="AN1945" s="18"/>
      <c r="AO1945" s="18"/>
      <c r="AP1945" s="10"/>
      <c r="AQ1945" s="10"/>
      <c r="AR1945" s="19"/>
      <c r="AS1945" s="20"/>
      <c r="AT1945" s="19"/>
      <c r="AV1945" s="21">
        <f>IF(AND($AL1945&lt;&gt;"",COUNTIF($AL$11:$AL1945,$AL1945)=1),1,0)</f>
        <v>0</v>
      </c>
      <c r="AW1945" s="21">
        <f t="shared" si="147"/>
        <v>0</v>
      </c>
      <c r="AX1945" s="21" t="str">
        <f t="shared" si="146"/>
        <v/>
      </c>
      <c r="AY1945" s="21" t="str">
        <f>IF(AND($AM1945&lt;&gt;"",$AS1945&lt;&gt;"✓"),SUMPRODUCT(($AM$11:$AM1945&lt;&gt;"")*($AS$11:$AS1945&lt;&gt;"✓")),"")</f>
        <v/>
      </c>
      <c r="AZ1945" s="21" t="str">
        <f>IF(AND($AM1945&lt;&gt;"",$AS1945="✓"),SUMPRODUCT(($AM$11:$AM1945&lt;&gt;"")*($AS$11:$AS1945="✓")),"")</f>
        <v/>
      </c>
      <c r="BA1945" s="21" t="str">
        <f>IF($AL1945="","",$AL1945&amp;"|"&amp;COUNTIF($AL$11:$AL1945,$AL1945))</f>
        <v/>
      </c>
    </row>
    <row r="1946" spans="38:53" ht="15" customHeight="1" x14ac:dyDescent="0.25">
      <c r="AL1946" s="31"/>
      <c r="AM1946" s="26"/>
      <c r="AN1946" s="32"/>
      <c r="AO1946" s="32"/>
      <c r="AP1946" s="24"/>
      <c r="AQ1946" s="24"/>
      <c r="AR1946" s="33"/>
      <c r="AS1946" s="34"/>
      <c r="AT1946" s="33"/>
      <c r="AV1946" s="21">
        <f>IF(AND($AL1946&lt;&gt;"",COUNTIF($AL$11:$AL1946,$AL1946)=1),1,0)</f>
        <v>0</v>
      </c>
      <c r="AW1946" s="21">
        <f t="shared" si="147"/>
        <v>0</v>
      </c>
      <c r="AX1946" s="21" t="str">
        <f t="shared" si="146"/>
        <v/>
      </c>
      <c r="AY1946" s="21" t="str">
        <f>IF(AND($AM1946&lt;&gt;"",$AS1946&lt;&gt;"✓"),SUMPRODUCT(($AM$11:$AM1946&lt;&gt;"")*($AS$11:$AS1946&lt;&gt;"✓")),"")</f>
        <v/>
      </c>
      <c r="AZ1946" s="21" t="str">
        <f>IF(AND($AM1946&lt;&gt;"",$AS1946="✓"),SUMPRODUCT(($AM$11:$AM1946&lt;&gt;"")*($AS$11:$AS1946="✓")),"")</f>
        <v/>
      </c>
      <c r="BA1946" s="21" t="str">
        <f>IF($AL1946="","",$AL1946&amp;"|"&amp;COUNTIF($AL$11:$AL1946,$AL1946))</f>
        <v/>
      </c>
    </row>
    <row r="1947" spans="38:53" ht="15" customHeight="1" x14ac:dyDescent="0.25">
      <c r="AL1947" s="17"/>
      <c r="AM1947" s="12"/>
      <c r="AN1947" s="18"/>
      <c r="AO1947" s="18"/>
      <c r="AP1947" s="10"/>
      <c r="AQ1947" s="10"/>
      <c r="AR1947" s="19"/>
      <c r="AS1947" s="20"/>
      <c r="AT1947" s="19"/>
      <c r="AV1947" s="21">
        <f>IF(AND($AL1947&lt;&gt;"",COUNTIF($AL$11:$AL1947,$AL1947)=1),1,0)</f>
        <v>0</v>
      </c>
      <c r="AW1947" s="21">
        <f t="shared" si="147"/>
        <v>0</v>
      </c>
      <c r="AX1947" s="21" t="str">
        <f t="shared" si="146"/>
        <v/>
      </c>
      <c r="AY1947" s="21" t="str">
        <f>IF(AND($AM1947&lt;&gt;"",$AS1947&lt;&gt;"✓"),SUMPRODUCT(($AM$11:$AM1947&lt;&gt;"")*($AS$11:$AS1947&lt;&gt;"✓")),"")</f>
        <v/>
      </c>
      <c r="AZ1947" s="21" t="str">
        <f>IF(AND($AM1947&lt;&gt;"",$AS1947="✓"),SUMPRODUCT(($AM$11:$AM1947&lt;&gt;"")*($AS$11:$AS1947="✓")),"")</f>
        <v/>
      </c>
      <c r="BA1947" s="21" t="str">
        <f>IF($AL1947="","",$AL1947&amp;"|"&amp;COUNTIF($AL$11:$AL1947,$AL1947))</f>
        <v/>
      </c>
    </row>
    <row r="1948" spans="38:53" ht="15" customHeight="1" x14ac:dyDescent="0.25">
      <c r="AL1948" s="31"/>
      <c r="AM1948" s="26"/>
      <c r="AN1948" s="32"/>
      <c r="AO1948" s="32"/>
      <c r="AP1948" s="24"/>
      <c r="AQ1948" s="24"/>
      <c r="AR1948" s="33"/>
      <c r="AS1948" s="34"/>
      <c r="AT1948" s="33"/>
      <c r="AV1948" s="21">
        <f>IF(AND($AL1948&lt;&gt;"",COUNTIF($AL$11:$AL1948,$AL1948)=1),1,0)</f>
        <v>0</v>
      </c>
      <c r="AW1948" s="21">
        <f t="shared" si="147"/>
        <v>0</v>
      </c>
      <c r="AX1948" s="21" t="str">
        <f t="shared" si="146"/>
        <v/>
      </c>
      <c r="AY1948" s="21" t="str">
        <f>IF(AND($AM1948&lt;&gt;"",$AS1948&lt;&gt;"✓"),SUMPRODUCT(($AM$11:$AM1948&lt;&gt;"")*($AS$11:$AS1948&lt;&gt;"✓")),"")</f>
        <v/>
      </c>
      <c r="AZ1948" s="21" t="str">
        <f>IF(AND($AM1948&lt;&gt;"",$AS1948="✓"),SUMPRODUCT(($AM$11:$AM1948&lt;&gt;"")*($AS$11:$AS1948="✓")),"")</f>
        <v/>
      </c>
      <c r="BA1948" s="21" t="str">
        <f>IF($AL1948="","",$AL1948&amp;"|"&amp;COUNTIF($AL$11:$AL1948,$AL1948))</f>
        <v/>
      </c>
    </row>
    <row r="1949" spans="38:53" ht="15" customHeight="1" x14ac:dyDescent="0.25">
      <c r="AL1949" s="17"/>
      <c r="AM1949" s="12"/>
      <c r="AN1949" s="18"/>
      <c r="AO1949" s="18"/>
      <c r="AP1949" s="10"/>
      <c r="AQ1949" s="10"/>
      <c r="AR1949" s="19"/>
      <c r="AS1949" s="20"/>
      <c r="AT1949" s="19"/>
      <c r="AV1949" s="21">
        <f>IF(AND($AL1949&lt;&gt;"",COUNTIF($AL$11:$AL1949,$AL1949)=1),1,0)</f>
        <v>0</v>
      </c>
      <c r="AW1949" s="21">
        <f t="shared" si="147"/>
        <v>0</v>
      </c>
      <c r="AX1949" s="21" t="str">
        <f t="shared" si="146"/>
        <v/>
      </c>
      <c r="AY1949" s="21" t="str">
        <f>IF(AND($AM1949&lt;&gt;"",$AS1949&lt;&gt;"✓"),SUMPRODUCT(($AM$11:$AM1949&lt;&gt;"")*($AS$11:$AS1949&lt;&gt;"✓")),"")</f>
        <v/>
      </c>
      <c r="AZ1949" s="21" t="str">
        <f>IF(AND($AM1949&lt;&gt;"",$AS1949="✓"),SUMPRODUCT(($AM$11:$AM1949&lt;&gt;"")*($AS$11:$AS1949="✓")),"")</f>
        <v/>
      </c>
      <c r="BA1949" s="21" t="str">
        <f>IF($AL1949="","",$AL1949&amp;"|"&amp;COUNTIF($AL$11:$AL1949,$AL1949))</f>
        <v/>
      </c>
    </row>
    <row r="1950" spans="38:53" ht="15" customHeight="1" x14ac:dyDescent="0.25">
      <c r="AL1950" s="31"/>
      <c r="AM1950" s="26"/>
      <c r="AN1950" s="32"/>
      <c r="AO1950" s="32"/>
      <c r="AP1950" s="24"/>
      <c r="AQ1950" s="24"/>
      <c r="AR1950" s="33"/>
      <c r="AS1950" s="34"/>
      <c r="AT1950" s="33"/>
      <c r="AV1950" s="21">
        <f>IF(AND($AL1950&lt;&gt;"",COUNTIF($AL$11:$AL1950,$AL1950)=1),1,0)</f>
        <v>0</v>
      </c>
      <c r="AW1950" s="21">
        <f t="shared" si="147"/>
        <v>0</v>
      </c>
      <c r="AX1950" s="21" t="str">
        <f t="shared" si="146"/>
        <v/>
      </c>
      <c r="AY1950" s="21" t="str">
        <f>IF(AND($AM1950&lt;&gt;"",$AS1950&lt;&gt;"✓"),SUMPRODUCT(($AM$11:$AM1950&lt;&gt;"")*($AS$11:$AS1950&lt;&gt;"✓")),"")</f>
        <v/>
      </c>
      <c r="AZ1950" s="21" t="str">
        <f>IF(AND($AM1950&lt;&gt;"",$AS1950="✓"),SUMPRODUCT(($AM$11:$AM1950&lt;&gt;"")*($AS$11:$AS1950="✓")),"")</f>
        <v/>
      </c>
      <c r="BA1950" s="21" t="str">
        <f>IF($AL1950="","",$AL1950&amp;"|"&amp;COUNTIF($AL$11:$AL1950,$AL1950))</f>
        <v/>
      </c>
    </row>
    <row r="1951" spans="38:53" ht="15" customHeight="1" x14ac:dyDescent="0.25">
      <c r="AL1951" s="17"/>
      <c r="AM1951" s="12"/>
      <c r="AN1951" s="18"/>
      <c r="AO1951" s="18"/>
      <c r="AP1951" s="10"/>
      <c r="AQ1951" s="10"/>
      <c r="AR1951" s="19"/>
      <c r="AS1951" s="20"/>
      <c r="AT1951" s="19"/>
      <c r="AV1951" s="21">
        <f>IF(AND($AL1951&lt;&gt;"",COUNTIF($AL$11:$AL1951,$AL1951)=1),1,0)</f>
        <v>0</v>
      </c>
      <c r="AW1951" s="21">
        <f t="shared" si="147"/>
        <v>0</v>
      </c>
      <c r="AX1951" s="21" t="str">
        <f t="shared" si="146"/>
        <v/>
      </c>
      <c r="AY1951" s="21" t="str">
        <f>IF(AND($AM1951&lt;&gt;"",$AS1951&lt;&gt;"✓"),SUMPRODUCT(($AM$11:$AM1951&lt;&gt;"")*($AS$11:$AS1951&lt;&gt;"✓")),"")</f>
        <v/>
      </c>
      <c r="AZ1951" s="21" t="str">
        <f>IF(AND($AM1951&lt;&gt;"",$AS1951="✓"),SUMPRODUCT(($AM$11:$AM1951&lt;&gt;"")*($AS$11:$AS1951="✓")),"")</f>
        <v/>
      </c>
      <c r="BA1951" s="21" t="str">
        <f>IF($AL1951="","",$AL1951&amp;"|"&amp;COUNTIF($AL$11:$AL1951,$AL1951))</f>
        <v/>
      </c>
    </row>
    <row r="1952" spans="38:53" ht="15" customHeight="1" x14ac:dyDescent="0.25">
      <c r="AL1952" s="31"/>
      <c r="AM1952" s="26"/>
      <c r="AN1952" s="32"/>
      <c r="AO1952" s="32"/>
      <c r="AP1952" s="24"/>
      <c r="AQ1952" s="24"/>
      <c r="AR1952" s="33"/>
      <c r="AS1952" s="34"/>
      <c r="AT1952" s="33"/>
      <c r="AV1952" s="21">
        <f>IF(AND($AL1952&lt;&gt;"",COUNTIF($AL$11:$AL1952,$AL1952)=1),1,0)</f>
        <v>0</v>
      </c>
      <c r="AW1952" s="21">
        <f t="shared" si="147"/>
        <v>0</v>
      </c>
      <c r="AX1952" s="21" t="str">
        <f t="shared" si="146"/>
        <v/>
      </c>
      <c r="AY1952" s="21" t="str">
        <f>IF(AND($AM1952&lt;&gt;"",$AS1952&lt;&gt;"✓"),SUMPRODUCT(($AM$11:$AM1952&lt;&gt;"")*($AS$11:$AS1952&lt;&gt;"✓")),"")</f>
        <v/>
      </c>
      <c r="AZ1952" s="21" t="str">
        <f>IF(AND($AM1952&lt;&gt;"",$AS1952="✓"),SUMPRODUCT(($AM$11:$AM1952&lt;&gt;"")*($AS$11:$AS1952="✓")),"")</f>
        <v/>
      </c>
      <c r="BA1952" s="21" t="str">
        <f>IF($AL1952="","",$AL1952&amp;"|"&amp;COUNTIF($AL$11:$AL1952,$AL1952))</f>
        <v/>
      </c>
    </row>
    <row r="1953" spans="38:53" ht="15" customHeight="1" x14ac:dyDescent="0.25">
      <c r="AL1953" s="17"/>
      <c r="AM1953" s="12"/>
      <c r="AN1953" s="18"/>
      <c r="AO1953" s="18"/>
      <c r="AP1953" s="10"/>
      <c r="AQ1953" s="10"/>
      <c r="AR1953" s="19"/>
      <c r="AS1953" s="20"/>
      <c r="AT1953" s="19"/>
      <c r="AV1953" s="21">
        <f>IF(AND($AL1953&lt;&gt;"",COUNTIF($AL$11:$AL1953,$AL1953)=1),1,0)</f>
        <v>0</v>
      </c>
      <c r="AW1953" s="21">
        <f t="shared" si="147"/>
        <v>0</v>
      </c>
      <c r="AX1953" s="21" t="str">
        <f t="shared" si="146"/>
        <v/>
      </c>
      <c r="AY1953" s="21" t="str">
        <f>IF(AND($AM1953&lt;&gt;"",$AS1953&lt;&gt;"✓"),SUMPRODUCT(($AM$11:$AM1953&lt;&gt;"")*($AS$11:$AS1953&lt;&gt;"✓")),"")</f>
        <v/>
      </c>
      <c r="AZ1953" s="21" t="str">
        <f>IF(AND($AM1953&lt;&gt;"",$AS1953="✓"),SUMPRODUCT(($AM$11:$AM1953&lt;&gt;"")*($AS$11:$AS1953="✓")),"")</f>
        <v/>
      </c>
      <c r="BA1953" s="21" t="str">
        <f>IF($AL1953="","",$AL1953&amp;"|"&amp;COUNTIF($AL$11:$AL1953,$AL1953))</f>
        <v/>
      </c>
    </row>
    <row r="1954" spans="38:53" ht="15" customHeight="1" x14ac:dyDescent="0.25">
      <c r="AL1954" s="31"/>
      <c r="AM1954" s="26"/>
      <c r="AN1954" s="32"/>
      <c r="AO1954" s="32"/>
      <c r="AP1954" s="24"/>
      <c r="AQ1954" s="24"/>
      <c r="AR1954" s="33"/>
      <c r="AS1954" s="34"/>
      <c r="AT1954" s="33"/>
      <c r="AV1954" s="21">
        <f>IF(AND($AL1954&lt;&gt;"",COUNTIF($AL$11:$AL1954,$AL1954)=1),1,0)</f>
        <v>0</v>
      </c>
      <c r="AW1954" s="21">
        <f t="shared" si="147"/>
        <v>0</v>
      </c>
      <c r="AX1954" s="21" t="str">
        <f t="shared" si="146"/>
        <v/>
      </c>
      <c r="AY1954" s="21" t="str">
        <f>IF(AND($AM1954&lt;&gt;"",$AS1954&lt;&gt;"✓"),SUMPRODUCT(($AM$11:$AM1954&lt;&gt;"")*($AS$11:$AS1954&lt;&gt;"✓")),"")</f>
        <v/>
      </c>
      <c r="AZ1954" s="21" t="str">
        <f>IF(AND($AM1954&lt;&gt;"",$AS1954="✓"),SUMPRODUCT(($AM$11:$AM1954&lt;&gt;"")*($AS$11:$AS1954="✓")),"")</f>
        <v/>
      </c>
      <c r="BA1954" s="21" t="str">
        <f>IF($AL1954="","",$AL1954&amp;"|"&amp;COUNTIF($AL$11:$AL1954,$AL1954))</f>
        <v/>
      </c>
    </row>
    <row r="1955" spans="38:53" ht="15" customHeight="1" x14ac:dyDescent="0.25">
      <c r="AL1955" s="17"/>
      <c r="AM1955" s="12"/>
      <c r="AN1955" s="18"/>
      <c r="AO1955" s="18"/>
      <c r="AP1955" s="10"/>
      <c r="AQ1955" s="10"/>
      <c r="AR1955" s="19"/>
      <c r="AS1955" s="20"/>
      <c r="AT1955" s="19"/>
      <c r="AV1955" s="21">
        <f>IF(AND($AL1955&lt;&gt;"",COUNTIF($AL$11:$AL1955,$AL1955)=1),1,0)</f>
        <v>0</v>
      </c>
      <c r="AW1955" s="21">
        <f t="shared" si="147"/>
        <v>0</v>
      </c>
      <c r="AX1955" s="21" t="str">
        <f t="shared" si="146"/>
        <v/>
      </c>
      <c r="AY1955" s="21" t="str">
        <f>IF(AND($AM1955&lt;&gt;"",$AS1955&lt;&gt;"✓"),SUMPRODUCT(($AM$11:$AM1955&lt;&gt;"")*($AS$11:$AS1955&lt;&gt;"✓")),"")</f>
        <v/>
      </c>
      <c r="AZ1955" s="21" t="str">
        <f>IF(AND($AM1955&lt;&gt;"",$AS1955="✓"),SUMPRODUCT(($AM$11:$AM1955&lt;&gt;"")*($AS$11:$AS1955="✓")),"")</f>
        <v/>
      </c>
      <c r="BA1955" s="21" t="str">
        <f>IF($AL1955="","",$AL1955&amp;"|"&amp;COUNTIF($AL$11:$AL1955,$AL1955))</f>
        <v/>
      </c>
    </row>
    <row r="1956" spans="38:53" ht="15" customHeight="1" x14ac:dyDescent="0.25">
      <c r="AL1956" s="31"/>
      <c r="AM1956" s="26"/>
      <c r="AN1956" s="32"/>
      <c r="AO1956" s="32"/>
      <c r="AP1956" s="24"/>
      <c r="AQ1956" s="24"/>
      <c r="AR1956" s="33"/>
      <c r="AS1956" s="34"/>
      <c r="AT1956" s="33"/>
      <c r="AV1956" s="21">
        <f>IF(AND($AL1956&lt;&gt;"",COUNTIF($AL$11:$AL1956,$AL1956)=1),1,0)</f>
        <v>0</v>
      </c>
      <c r="AW1956" s="21">
        <f t="shared" si="147"/>
        <v>0</v>
      </c>
      <c r="AX1956" s="21" t="str">
        <f t="shared" si="146"/>
        <v/>
      </c>
      <c r="AY1956" s="21" t="str">
        <f>IF(AND($AM1956&lt;&gt;"",$AS1956&lt;&gt;"✓"),SUMPRODUCT(($AM$11:$AM1956&lt;&gt;"")*($AS$11:$AS1956&lt;&gt;"✓")),"")</f>
        <v/>
      </c>
      <c r="AZ1956" s="21" t="str">
        <f>IF(AND($AM1956&lt;&gt;"",$AS1956="✓"),SUMPRODUCT(($AM$11:$AM1956&lt;&gt;"")*($AS$11:$AS1956="✓")),"")</f>
        <v/>
      </c>
      <c r="BA1956" s="21" t="str">
        <f>IF($AL1956="","",$AL1956&amp;"|"&amp;COUNTIF($AL$11:$AL1956,$AL1956))</f>
        <v/>
      </c>
    </row>
    <row r="1957" spans="38:53" ht="15" customHeight="1" x14ac:dyDescent="0.25">
      <c r="AL1957" s="17"/>
      <c r="AM1957" s="12"/>
      <c r="AN1957" s="18"/>
      <c r="AO1957" s="18"/>
      <c r="AP1957" s="10"/>
      <c r="AQ1957" s="10"/>
      <c r="AR1957" s="19"/>
      <c r="AS1957" s="20"/>
      <c r="AT1957" s="19"/>
      <c r="AV1957" s="21">
        <f>IF(AND($AL1957&lt;&gt;"",COUNTIF($AL$11:$AL1957,$AL1957)=1),1,0)</f>
        <v>0</v>
      </c>
      <c r="AW1957" s="21">
        <f t="shared" si="147"/>
        <v>0</v>
      </c>
      <c r="AX1957" s="21" t="str">
        <f t="shared" si="146"/>
        <v/>
      </c>
      <c r="AY1957" s="21" t="str">
        <f>IF(AND($AM1957&lt;&gt;"",$AS1957&lt;&gt;"✓"),SUMPRODUCT(($AM$11:$AM1957&lt;&gt;"")*($AS$11:$AS1957&lt;&gt;"✓")),"")</f>
        <v/>
      </c>
      <c r="AZ1957" s="21" t="str">
        <f>IF(AND($AM1957&lt;&gt;"",$AS1957="✓"),SUMPRODUCT(($AM$11:$AM1957&lt;&gt;"")*($AS$11:$AS1957="✓")),"")</f>
        <v/>
      </c>
      <c r="BA1957" s="21" t="str">
        <f>IF($AL1957="","",$AL1957&amp;"|"&amp;COUNTIF($AL$11:$AL1957,$AL1957))</f>
        <v/>
      </c>
    </row>
    <row r="1958" spans="38:53" ht="15" customHeight="1" x14ac:dyDescent="0.25">
      <c r="AL1958" s="31"/>
      <c r="AM1958" s="26"/>
      <c r="AN1958" s="32"/>
      <c r="AO1958" s="32"/>
      <c r="AP1958" s="24"/>
      <c r="AQ1958" s="24"/>
      <c r="AR1958" s="33"/>
      <c r="AS1958" s="34"/>
      <c r="AT1958" s="33"/>
      <c r="AV1958" s="21">
        <f>IF(AND($AL1958&lt;&gt;"",COUNTIF($AL$11:$AL1958,$AL1958)=1),1,0)</f>
        <v>0</v>
      </c>
      <c r="AW1958" s="21">
        <f t="shared" si="147"/>
        <v>0</v>
      </c>
      <c r="AX1958" s="21" t="str">
        <f t="shared" si="146"/>
        <v/>
      </c>
      <c r="AY1958" s="21" t="str">
        <f>IF(AND($AM1958&lt;&gt;"",$AS1958&lt;&gt;"✓"),SUMPRODUCT(($AM$11:$AM1958&lt;&gt;"")*($AS$11:$AS1958&lt;&gt;"✓")),"")</f>
        <v/>
      </c>
      <c r="AZ1958" s="21" t="str">
        <f>IF(AND($AM1958&lt;&gt;"",$AS1958="✓"),SUMPRODUCT(($AM$11:$AM1958&lt;&gt;"")*($AS$11:$AS1958="✓")),"")</f>
        <v/>
      </c>
      <c r="BA1958" s="21" t="str">
        <f>IF($AL1958="","",$AL1958&amp;"|"&amp;COUNTIF($AL$11:$AL1958,$AL1958))</f>
        <v/>
      </c>
    </row>
    <row r="1959" spans="38:53" ht="15" customHeight="1" x14ac:dyDescent="0.25">
      <c r="AL1959" s="17"/>
      <c r="AM1959" s="12"/>
      <c r="AN1959" s="18"/>
      <c r="AO1959" s="18"/>
      <c r="AP1959" s="10"/>
      <c r="AQ1959" s="10"/>
      <c r="AR1959" s="19"/>
      <c r="AS1959" s="20"/>
      <c r="AT1959" s="19"/>
      <c r="AV1959" s="21">
        <f>IF(AND($AL1959&lt;&gt;"",COUNTIF($AL$11:$AL1959,$AL1959)=1),1,0)</f>
        <v>0</v>
      </c>
      <c r="AW1959" s="21">
        <f t="shared" si="147"/>
        <v>0</v>
      </c>
      <c r="AX1959" s="21" t="str">
        <f t="shared" si="146"/>
        <v/>
      </c>
      <c r="AY1959" s="21" t="str">
        <f>IF(AND($AM1959&lt;&gt;"",$AS1959&lt;&gt;"✓"),SUMPRODUCT(($AM$11:$AM1959&lt;&gt;"")*($AS$11:$AS1959&lt;&gt;"✓")),"")</f>
        <v/>
      </c>
      <c r="AZ1959" s="21" t="str">
        <f>IF(AND($AM1959&lt;&gt;"",$AS1959="✓"),SUMPRODUCT(($AM$11:$AM1959&lt;&gt;"")*($AS$11:$AS1959="✓")),"")</f>
        <v/>
      </c>
      <c r="BA1959" s="21" t="str">
        <f>IF($AL1959="","",$AL1959&amp;"|"&amp;COUNTIF($AL$11:$AL1959,$AL1959))</f>
        <v/>
      </c>
    </row>
    <row r="1960" spans="38:53" ht="15" customHeight="1" x14ac:dyDescent="0.25">
      <c r="AL1960" s="31"/>
      <c r="AM1960" s="26"/>
      <c r="AN1960" s="32"/>
      <c r="AO1960" s="32"/>
      <c r="AP1960" s="24"/>
      <c r="AQ1960" s="24"/>
      <c r="AR1960" s="33"/>
      <c r="AS1960" s="34"/>
      <c r="AT1960" s="33"/>
      <c r="AV1960" s="21">
        <f>IF(AND($AL1960&lt;&gt;"",COUNTIF($AL$11:$AL1960,$AL1960)=1),1,0)</f>
        <v>0</v>
      </c>
      <c r="AW1960" s="21">
        <f t="shared" si="147"/>
        <v>0</v>
      </c>
      <c r="AX1960" s="21" t="str">
        <f t="shared" si="146"/>
        <v/>
      </c>
      <c r="AY1960" s="21" t="str">
        <f>IF(AND($AM1960&lt;&gt;"",$AS1960&lt;&gt;"✓"),SUMPRODUCT(($AM$11:$AM1960&lt;&gt;"")*($AS$11:$AS1960&lt;&gt;"✓")),"")</f>
        <v/>
      </c>
      <c r="AZ1960" s="21" t="str">
        <f>IF(AND($AM1960&lt;&gt;"",$AS1960="✓"),SUMPRODUCT(($AM$11:$AM1960&lt;&gt;"")*($AS$11:$AS1960="✓")),"")</f>
        <v/>
      </c>
      <c r="BA1960" s="21" t="str">
        <f>IF($AL1960="","",$AL1960&amp;"|"&amp;COUNTIF($AL$11:$AL1960,$AL1960))</f>
        <v/>
      </c>
    </row>
    <row r="1961" spans="38:53" ht="15" customHeight="1" x14ac:dyDescent="0.25">
      <c r="AL1961" s="17"/>
      <c r="AM1961" s="12"/>
      <c r="AN1961" s="18"/>
      <c r="AO1961" s="18"/>
      <c r="AP1961" s="10"/>
      <c r="AQ1961" s="10"/>
      <c r="AR1961" s="19"/>
      <c r="AS1961" s="20"/>
      <c r="AT1961" s="19"/>
      <c r="AV1961" s="21">
        <f>IF(AND($AL1961&lt;&gt;"",COUNTIF($AL$11:$AL1961,$AL1961)=1),1,0)</f>
        <v>0</v>
      </c>
      <c r="AW1961" s="21">
        <f t="shared" si="147"/>
        <v>0</v>
      </c>
      <c r="AX1961" s="21" t="str">
        <f t="shared" si="146"/>
        <v/>
      </c>
      <c r="AY1961" s="21" t="str">
        <f>IF(AND($AM1961&lt;&gt;"",$AS1961&lt;&gt;"✓"),SUMPRODUCT(($AM$11:$AM1961&lt;&gt;"")*($AS$11:$AS1961&lt;&gt;"✓")),"")</f>
        <v/>
      </c>
      <c r="AZ1961" s="21" t="str">
        <f>IF(AND($AM1961&lt;&gt;"",$AS1961="✓"),SUMPRODUCT(($AM$11:$AM1961&lt;&gt;"")*($AS$11:$AS1961="✓")),"")</f>
        <v/>
      </c>
      <c r="BA1961" s="21" t="str">
        <f>IF($AL1961="","",$AL1961&amp;"|"&amp;COUNTIF($AL$11:$AL1961,$AL1961))</f>
        <v/>
      </c>
    </row>
    <row r="1962" spans="38:53" ht="15" customHeight="1" x14ac:dyDescent="0.25">
      <c r="AL1962" s="31"/>
      <c r="AM1962" s="26"/>
      <c r="AN1962" s="32"/>
      <c r="AO1962" s="32"/>
      <c r="AP1962" s="24"/>
      <c r="AQ1962" s="24"/>
      <c r="AR1962" s="33"/>
      <c r="AS1962" s="34"/>
      <c r="AT1962" s="33"/>
      <c r="AV1962" s="21">
        <f>IF(AND($AL1962&lt;&gt;"",COUNTIF($AL$11:$AL1962,$AL1962)=1),1,0)</f>
        <v>0</v>
      </c>
      <c r="AW1962" s="21">
        <f t="shared" si="147"/>
        <v>0</v>
      </c>
      <c r="AX1962" s="21" t="str">
        <f t="shared" si="146"/>
        <v/>
      </c>
      <c r="AY1962" s="21" t="str">
        <f>IF(AND($AM1962&lt;&gt;"",$AS1962&lt;&gt;"✓"),SUMPRODUCT(($AM$11:$AM1962&lt;&gt;"")*($AS$11:$AS1962&lt;&gt;"✓")),"")</f>
        <v/>
      </c>
      <c r="AZ1962" s="21" t="str">
        <f>IF(AND($AM1962&lt;&gt;"",$AS1962="✓"),SUMPRODUCT(($AM$11:$AM1962&lt;&gt;"")*($AS$11:$AS1962="✓")),"")</f>
        <v/>
      </c>
      <c r="BA1962" s="21" t="str">
        <f>IF($AL1962="","",$AL1962&amp;"|"&amp;COUNTIF($AL$11:$AL1962,$AL1962))</f>
        <v/>
      </c>
    </row>
    <row r="1963" spans="38:53" ht="15" customHeight="1" x14ac:dyDescent="0.25">
      <c r="AL1963" s="17"/>
      <c r="AM1963" s="12"/>
      <c r="AN1963" s="18"/>
      <c r="AO1963" s="18"/>
      <c r="AP1963" s="10"/>
      <c r="AQ1963" s="10"/>
      <c r="AR1963" s="19"/>
      <c r="AS1963" s="20"/>
      <c r="AT1963" s="19"/>
      <c r="AV1963" s="21">
        <f>IF(AND($AL1963&lt;&gt;"",COUNTIF($AL$11:$AL1963,$AL1963)=1),1,0)</f>
        <v>0</v>
      </c>
      <c r="AW1963" s="21">
        <f t="shared" si="147"/>
        <v>0</v>
      </c>
      <c r="AX1963" s="21" t="str">
        <f t="shared" si="146"/>
        <v/>
      </c>
      <c r="AY1963" s="21" t="str">
        <f>IF(AND($AM1963&lt;&gt;"",$AS1963&lt;&gt;"✓"),SUMPRODUCT(($AM$11:$AM1963&lt;&gt;"")*($AS$11:$AS1963&lt;&gt;"✓")),"")</f>
        <v/>
      </c>
      <c r="AZ1963" s="21" t="str">
        <f>IF(AND($AM1963&lt;&gt;"",$AS1963="✓"),SUMPRODUCT(($AM$11:$AM1963&lt;&gt;"")*($AS$11:$AS1963="✓")),"")</f>
        <v/>
      </c>
      <c r="BA1963" s="21" t="str">
        <f>IF($AL1963="","",$AL1963&amp;"|"&amp;COUNTIF($AL$11:$AL1963,$AL1963))</f>
        <v/>
      </c>
    </row>
    <row r="1964" spans="38:53" ht="15" customHeight="1" x14ac:dyDescent="0.25">
      <c r="AL1964" s="31"/>
      <c r="AM1964" s="26"/>
      <c r="AN1964" s="32"/>
      <c r="AO1964" s="32"/>
      <c r="AP1964" s="24"/>
      <c r="AQ1964" s="24"/>
      <c r="AR1964" s="33"/>
      <c r="AS1964" s="34"/>
      <c r="AT1964" s="33"/>
      <c r="AV1964" s="21">
        <f>IF(AND($AL1964&lt;&gt;"",COUNTIF($AL$11:$AL1964,$AL1964)=1),1,0)</f>
        <v>0</v>
      </c>
      <c r="AW1964" s="21">
        <f t="shared" si="147"/>
        <v>0</v>
      </c>
      <c r="AX1964" s="21" t="str">
        <f t="shared" si="146"/>
        <v/>
      </c>
      <c r="AY1964" s="21" t="str">
        <f>IF(AND($AM1964&lt;&gt;"",$AS1964&lt;&gt;"✓"),SUMPRODUCT(($AM$11:$AM1964&lt;&gt;"")*($AS$11:$AS1964&lt;&gt;"✓")),"")</f>
        <v/>
      </c>
      <c r="AZ1964" s="21" t="str">
        <f>IF(AND($AM1964&lt;&gt;"",$AS1964="✓"),SUMPRODUCT(($AM$11:$AM1964&lt;&gt;"")*($AS$11:$AS1964="✓")),"")</f>
        <v/>
      </c>
      <c r="BA1964" s="21" t="str">
        <f>IF($AL1964="","",$AL1964&amp;"|"&amp;COUNTIF($AL$11:$AL1964,$AL1964))</f>
        <v/>
      </c>
    </row>
    <row r="1965" spans="38:53" ht="15" customHeight="1" x14ac:dyDescent="0.25">
      <c r="AL1965" s="17"/>
      <c r="AM1965" s="12"/>
      <c r="AN1965" s="18"/>
      <c r="AO1965" s="18"/>
      <c r="AP1965" s="10"/>
      <c r="AQ1965" s="10"/>
      <c r="AR1965" s="19"/>
      <c r="AS1965" s="20"/>
      <c r="AT1965" s="19"/>
      <c r="AV1965" s="21">
        <f>IF(AND($AL1965&lt;&gt;"",COUNTIF($AL$11:$AL1965,$AL1965)=1),1,0)</f>
        <v>0</v>
      </c>
      <c r="AW1965" s="21">
        <f t="shared" si="147"/>
        <v>0</v>
      </c>
      <c r="AX1965" s="21" t="str">
        <f t="shared" si="146"/>
        <v/>
      </c>
      <c r="AY1965" s="21" t="str">
        <f>IF(AND($AM1965&lt;&gt;"",$AS1965&lt;&gt;"✓"),SUMPRODUCT(($AM$11:$AM1965&lt;&gt;"")*($AS$11:$AS1965&lt;&gt;"✓")),"")</f>
        <v/>
      </c>
      <c r="AZ1965" s="21" t="str">
        <f>IF(AND($AM1965&lt;&gt;"",$AS1965="✓"),SUMPRODUCT(($AM$11:$AM1965&lt;&gt;"")*($AS$11:$AS1965="✓")),"")</f>
        <v/>
      </c>
      <c r="BA1965" s="21" t="str">
        <f>IF($AL1965="","",$AL1965&amp;"|"&amp;COUNTIF($AL$11:$AL1965,$AL1965))</f>
        <v/>
      </c>
    </row>
    <row r="1966" spans="38:53" ht="15" customHeight="1" x14ac:dyDescent="0.25">
      <c r="AL1966" s="31"/>
      <c r="AM1966" s="26"/>
      <c r="AN1966" s="32"/>
      <c r="AO1966" s="32"/>
      <c r="AP1966" s="24"/>
      <c r="AQ1966" s="24"/>
      <c r="AR1966" s="33"/>
      <c r="AS1966" s="34"/>
      <c r="AT1966" s="33"/>
      <c r="AV1966" s="21">
        <f>IF(AND($AL1966&lt;&gt;"",COUNTIF($AL$11:$AL1966,$AL1966)=1),1,0)</f>
        <v>0</v>
      </c>
      <c r="AW1966" s="21">
        <f t="shared" si="147"/>
        <v>0</v>
      </c>
      <c r="AX1966" s="21" t="str">
        <f t="shared" si="146"/>
        <v/>
      </c>
      <c r="AY1966" s="21" t="str">
        <f>IF(AND($AM1966&lt;&gt;"",$AS1966&lt;&gt;"✓"),SUMPRODUCT(($AM$11:$AM1966&lt;&gt;"")*($AS$11:$AS1966&lt;&gt;"✓")),"")</f>
        <v/>
      </c>
      <c r="AZ1966" s="21" t="str">
        <f>IF(AND($AM1966&lt;&gt;"",$AS1966="✓"),SUMPRODUCT(($AM$11:$AM1966&lt;&gt;"")*($AS$11:$AS1966="✓")),"")</f>
        <v/>
      </c>
      <c r="BA1966" s="21" t="str">
        <f>IF($AL1966="","",$AL1966&amp;"|"&amp;COUNTIF($AL$11:$AL1966,$AL1966))</f>
        <v/>
      </c>
    </row>
    <row r="1967" spans="38:53" ht="15" customHeight="1" x14ac:dyDescent="0.25">
      <c r="AL1967" s="17"/>
      <c r="AM1967" s="12"/>
      <c r="AN1967" s="18"/>
      <c r="AO1967" s="18"/>
      <c r="AP1967" s="10"/>
      <c r="AQ1967" s="10"/>
      <c r="AR1967" s="19"/>
      <c r="AS1967" s="20"/>
      <c r="AT1967" s="19"/>
      <c r="AV1967" s="21">
        <f>IF(AND($AL1967&lt;&gt;"",COUNTIF($AL$11:$AL1967,$AL1967)=1),1,0)</f>
        <v>0</v>
      </c>
      <c r="AW1967" s="21">
        <f t="shared" si="147"/>
        <v>0</v>
      </c>
      <c r="AX1967" s="21" t="str">
        <f t="shared" si="146"/>
        <v/>
      </c>
      <c r="AY1967" s="21" t="str">
        <f>IF(AND($AM1967&lt;&gt;"",$AS1967&lt;&gt;"✓"),SUMPRODUCT(($AM$11:$AM1967&lt;&gt;"")*($AS$11:$AS1967&lt;&gt;"✓")),"")</f>
        <v/>
      </c>
      <c r="AZ1967" s="21" t="str">
        <f>IF(AND($AM1967&lt;&gt;"",$AS1967="✓"),SUMPRODUCT(($AM$11:$AM1967&lt;&gt;"")*($AS$11:$AS1967="✓")),"")</f>
        <v/>
      </c>
      <c r="BA1967" s="21" t="str">
        <f>IF($AL1967="","",$AL1967&amp;"|"&amp;COUNTIF($AL$11:$AL1967,$AL1967))</f>
        <v/>
      </c>
    </row>
    <row r="1968" spans="38:53" ht="15" customHeight="1" x14ac:dyDescent="0.25">
      <c r="AL1968" s="31"/>
      <c r="AM1968" s="26"/>
      <c r="AN1968" s="32"/>
      <c r="AO1968" s="32"/>
      <c r="AP1968" s="24"/>
      <c r="AQ1968" s="24"/>
      <c r="AR1968" s="33"/>
      <c r="AS1968" s="34"/>
      <c r="AT1968" s="33"/>
      <c r="AV1968" s="21">
        <f>IF(AND($AL1968&lt;&gt;"",COUNTIF($AL$11:$AL1968,$AL1968)=1),1,0)</f>
        <v>0</v>
      </c>
      <c r="AW1968" s="21">
        <f t="shared" si="147"/>
        <v>0</v>
      </c>
      <c r="AX1968" s="21" t="str">
        <f t="shared" si="146"/>
        <v/>
      </c>
      <c r="AY1968" s="21" t="str">
        <f>IF(AND($AM1968&lt;&gt;"",$AS1968&lt;&gt;"✓"),SUMPRODUCT(($AM$11:$AM1968&lt;&gt;"")*($AS$11:$AS1968&lt;&gt;"✓")),"")</f>
        <v/>
      </c>
      <c r="AZ1968" s="21" t="str">
        <f>IF(AND($AM1968&lt;&gt;"",$AS1968="✓"),SUMPRODUCT(($AM$11:$AM1968&lt;&gt;"")*($AS$11:$AS1968="✓")),"")</f>
        <v/>
      </c>
      <c r="BA1968" s="21" t="str">
        <f>IF($AL1968="","",$AL1968&amp;"|"&amp;COUNTIF($AL$11:$AL1968,$AL1968))</f>
        <v/>
      </c>
    </row>
    <row r="1969" spans="38:53" ht="15" customHeight="1" x14ac:dyDescent="0.25">
      <c r="AL1969" s="17"/>
      <c r="AM1969" s="12"/>
      <c r="AN1969" s="18"/>
      <c r="AO1969" s="18"/>
      <c r="AP1969" s="10"/>
      <c r="AQ1969" s="10"/>
      <c r="AR1969" s="19"/>
      <c r="AS1969" s="20"/>
      <c r="AT1969" s="19"/>
      <c r="AV1969" s="21">
        <f>IF(AND($AL1969&lt;&gt;"",COUNTIF($AL$11:$AL1969,$AL1969)=1),1,0)</f>
        <v>0</v>
      </c>
      <c r="AW1969" s="21">
        <f t="shared" si="147"/>
        <v>0</v>
      </c>
      <c r="AX1969" s="21" t="str">
        <f t="shared" si="146"/>
        <v/>
      </c>
      <c r="AY1969" s="21" t="str">
        <f>IF(AND($AM1969&lt;&gt;"",$AS1969&lt;&gt;"✓"),SUMPRODUCT(($AM$11:$AM1969&lt;&gt;"")*($AS$11:$AS1969&lt;&gt;"✓")),"")</f>
        <v/>
      </c>
      <c r="AZ1969" s="21" t="str">
        <f>IF(AND($AM1969&lt;&gt;"",$AS1969="✓"),SUMPRODUCT(($AM$11:$AM1969&lt;&gt;"")*($AS$11:$AS1969="✓")),"")</f>
        <v/>
      </c>
      <c r="BA1969" s="21" t="str">
        <f>IF($AL1969="","",$AL1969&amp;"|"&amp;COUNTIF($AL$11:$AL1969,$AL1969))</f>
        <v/>
      </c>
    </row>
    <row r="1970" spans="38:53" ht="15" customHeight="1" x14ac:dyDescent="0.25">
      <c r="AL1970" s="31"/>
      <c r="AM1970" s="26"/>
      <c r="AN1970" s="32"/>
      <c r="AO1970" s="32"/>
      <c r="AP1970" s="24"/>
      <c r="AQ1970" s="24"/>
      <c r="AR1970" s="33"/>
      <c r="AS1970" s="34"/>
      <c r="AT1970" s="33"/>
      <c r="AV1970" s="21">
        <f>IF(AND($AL1970&lt;&gt;"",COUNTIF($AL$11:$AL1970,$AL1970)=1),1,0)</f>
        <v>0</v>
      </c>
      <c r="AW1970" s="21">
        <f t="shared" si="147"/>
        <v>0</v>
      </c>
      <c r="AX1970" s="21" t="str">
        <f t="shared" si="146"/>
        <v/>
      </c>
      <c r="AY1970" s="21" t="str">
        <f>IF(AND($AM1970&lt;&gt;"",$AS1970&lt;&gt;"✓"),SUMPRODUCT(($AM$11:$AM1970&lt;&gt;"")*($AS$11:$AS1970&lt;&gt;"✓")),"")</f>
        <v/>
      </c>
      <c r="AZ1970" s="21" t="str">
        <f>IF(AND($AM1970&lt;&gt;"",$AS1970="✓"),SUMPRODUCT(($AM$11:$AM1970&lt;&gt;"")*($AS$11:$AS1970="✓")),"")</f>
        <v/>
      </c>
      <c r="BA1970" s="21" t="str">
        <f>IF($AL1970="","",$AL1970&amp;"|"&amp;COUNTIF($AL$11:$AL1970,$AL1970))</f>
        <v/>
      </c>
    </row>
    <row r="1971" spans="38:53" ht="15" customHeight="1" x14ac:dyDescent="0.25">
      <c r="AL1971" s="17"/>
      <c r="AM1971" s="12"/>
      <c r="AN1971" s="18"/>
      <c r="AO1971" s="18"/>
      <c r="AP1971" s="10"/>
      <c r="AQ1971" s="10"/>
      <c r="AR1971" s="19"/>
      <c r="AS1971" s="20"/>
      <c r="AT1971" s="19"/>
      <c r="AV1971" s="21">
        <f>IF(AND($AL1971&lt;&gt;"",COUNTIF($AL$11:$AL1971,$AL1971)=1),1,0)</f>
        <v>0</v>
      </c>
      <c r="AW1971" s="21">
        <f t="shared" si="147"/>
        <v>0</v>
      </c>
      <c r="AX1971" s="21" t="str">
        <f t="shared" si="146"/>
        <v/>
      </c>
      <c r="AY1971" s="21" t="str">
        <f>IF(AND($AM1971&lt;&gt;"",$AS1971&lt;&gt;"✓"),SUMPRODUCT(($AM$11:$AM1971&lt;&gt;"")*($AS$11:$AS1971&lt;&gt;"✓")),"")</f>
        <v/>
      </c>
      <c r="AZ1971" s="21" t="str">
        <f>IF(AND($AM1971&lt;&gt;"",$AS1971="✓"),SUMPRODUCT(($AM$11:$AM1971&lt;&gt;"")*($AS$11:$AS1971="✓")),"")</f>
        <v/>
      </c>
      <c r="BA1971" s="21" t="str">
        <f>IF($AL1971="","",$AL1971&amp;"|"&amp;COUNTIF($AL$11:$AL1971,$AL1971))</f>
        <v/>
      </c>
    </row>
    <row r="1972" spans="38:53" ht="15" customHeight="1" x14ac:dyDescent="0.25">
      <c r="AL1972" s="31"/>
      <c r="AM1972" s="26"/>
      <c r="AN1972" s="32"/>
      <c r="AO1972" s="32"/>
      <c r="AP1972" s="24"/>
      <c r="AQ1972" s="24"/>
      <c r="AR1972" s="33"/>
      <c r="AS1972" s="34"/>
      <c r="AT1972" s="33"/>
      <c r="AV1972" s="21">
        <f>IF(AND($AL1972&lt;&gt;"",COUNTIF($AL$11:$AL1972,$AL1972)=1),1,0)</f>
        <v>0</v>
      </c>
      <c r="AW1972" s="21">
        <f t="shared" si="147"/>
        <v>0</v>
      </c>
      <c r="AX1972" s="21" t="str">
        <f t="shared" si="146"/>
        <v/>
      </c>
      <c r="AY1972" s="21" t="str">
        <f>IF(AND($AM1972&lt;&gt;"",$AS1972&lt;&gt;"✓"),SUMPRODUCT(($AM$11:$AM1972&lt;&gt;"")*($AS$11:$AS1972&lt;&gt;"✓")),"")</f>
        <v/>
      </c>
      <c r="AZ1972" s="21" t="str">
        <f>IF(AND($AM1972&lt;&gt;"",$AS1972="✓"),SUMPRODUCT(($AM$11:$AM1972&lt;&gt;"")*($AS$11:$AS1972="✓")),"")</f>
        <v/>
      </c>
      <c r="BA1972" s="21" t="str">
        <f>IF($AL1972="","",$AL1972&amp;"|"&amp;COUNTIF($AL$11:$AL1972,$AL1972))</f>
        <v/>
      </c>
    </row>
    <row r="1973" spans="38:53" ht="15" customHeight="1" x14ac:dyDescent="0.25">
      <c r="AL1973" s="17"/>
      <c r="AM1973" s="12"/>
      <c r="AN1973" s="18"/>
      <c r="AO1973" s="18"/>
      <c r="AP1973" s="10"/>
      <c r="AQ1973" s="10"/>
      <c r="AR1973" s="19"/>
      <c r="AS1973" s="20"/>
      <c r="AT1973" s="19"/>
      <c r="AV1973" s="21">
        <f>IF(AND($AL1973&lt;&gt;"",COUNTIF($AL$11:$AL1973,$AL1973)=1),1,0)</f>
        <v>0</v>
      </c>
      <c r="AW1973" s="21">
        <f t="shared" si="147"/>
        <v>0</v>
      </c>
      <c r="AX1973" s="21" t="str">
        <f t="shared" si="146"/>
        <v/>
      </c>
      <c r="AY1973" s="21" t="str">
        <f>IF(AND($AM1973&lt;&gt;"",$AS1973&lt;&gt;"✓"),SUMPRODUCT(($AM$11:$AM1973&lt;&gt;"")*($AS$11:$AS1973&lt;&gt;"✓")),"")</f>
        <v/>
      </c>
      <c r="AZ1973" s="21" t="str">
        <f>IF(AND($AM1973&lt;&gt;"",$AS1973="✓"),SUMPRODUCT(($AM$11:$AM1973&lt;&gt;"")*($AS$11:$AS1973="✓")),"")</f>
        <v/>
      </c>
      <c r="BA1973" s="21" t="str">
        <f>IF($AL1973="","",$AL1973&amp;"|"&amp;COUNTIF($AL$11:$AL1973,$AL1973))</f>
        <v/>
      </c>
    </row>
    <row r="1974" spans="38:53" ht="15" customHeight="1" x14ac:dyDescent="0.25">
      <c r="AL1974" s="31"/>
      <c r="AM1974" s="26"/>
      <c r="AN1974" s="32"/>
      <c r="AO1974" s="32"/>
      <c r="AP1974" s="24"/>
      <c r="AQ1974" s="24"/>
      <c r="AR1974" s="33"/>
      <c r="AS1974" s="34"/>
      <c r="AT1974" s="33"/>
      <c r="AV1974" s="21">
        <f>IF(AND($AL1974&lt;&gt;"",COUNTIF($AL$11:$AL1974,$AL1974)=1),1,0)</f>
        <v>0</v>
      </c>
      <c r="AW1974" s="21">
        <f t="shared" si="147"/>
        <v>0</v>
      </c>
      <c r="AX1974" s="21" t="str">
        <f t="shared" si="146"/>
        <v/>
      </c>
      <c r="AY1974" s="21" t="str">
        <f>IF(AND($AM1974&lt;&gt;"",$AS1974&lt;&gt;"✓"),SUMPRODUCT(($AM$11:$AM1974&lt;&gt;"")*($AS$11:$AS1974&lt;&gt;"✓")),"")</f>
        <v/>
      </c>
      <c r="AZ1974" s="21" t="str">
        <f>IF(AND($AM1974&lt;&gt;"",$AS1974="✓"),SUMPRODUCT(($AM$11:$AM1974&lt;&gt;"")*($AS$11:$AS1974="✓")),"")</f>
        <v/>
      </c>
      <c r="BA1974" s="21" t="str">
        <f>IF($AL1974="","",$AL1974&amp;"|"&amp;COUNTIF($AL$11:$AL1974,$AL1974))</f>
        <v/>
      </c>
    </row>
    <row r="1975" spans="38:53" ht="15" customHeight="1" x14ac:dyDescent="0.25">
      <c r="AL1975" s="17"/>
      <c r="AM1975" s="12"/>
      <c r="AN1975" s="18"/>
      <c r="AO1975" s="18"/>
      <c r="AP1975" s="10"/>
      <c r="AQ1975" s="10"/>
      <c r="AR1975" s="19"/>
      <c r="AS1975" s="20"/>
      <c r="AT1975" s="19"/>
      <c r="AV1975" s="21">
        <f>IF(AND($AL1975&lt;&gt;"",COUNTIF($AL$11:$AL1975,$AL1975)=1),1,0)</f>
        <v>0</v>
      </c>
      <c r="AW1975" s="21">
        <f t="shared" si="147"/>
        <v>0</v>
      </c>
      <c r="AX1975" s="21" t="str">
        <f t="shared" si="146"/>
        <v/>
      </c>
      <c r="AY1975" s="21" t="str">
        <f>IF(AND($AM1975&lt;&gt;"",$AS1975&lt;&gt;"✓"),SUMPRODUCT(($AM$11:$AM1975&lt;&gt;"")*($AS$11:$AS1975&lt;&gt;"✓")),"")</f>
        <v/>
      </c>
      <c r="AZ1975" s="21" t="str">
        <f>IF(AND($AM1975&lt;&gt;"",$AS1975="✓"),SUMPRODUCT(($AM$11:$AM1975&lt;&gt;"")*($AS$11:$AS1975="✓")),"")</f>
        <v/>
      </c>
      <c r="BA1975" s="21" t="str">
        <f>IF($AL1975="","",$AL1975&amp;"|"&amp;COUNTIF($AL$11:$AL1975,$AL1975))</f>
        <v/>
      </c>
    </row>
    <row r="1976" spans="38:53" ht="15" customHeight="1" x14ac:dyDescent="0.25">
      <c r="AL1976" s="31"/>
      <c r="AM1976" s="26"/>
      <c r="AN1976" s="32"/>
      <c r="AO1976" s="32"/>
      <c r="AP1976" s="24"/>
      <c r="AQ1976" s="24"/>
      <c r="AR1976" s="33"/>
      <c r="AS1976" s="34"/>
      <c r="AT1976" s="33"/>
      <c r="AV1976" s="21">
        <f>IF(AND($AL1976&lt;&gt;"",COUNTIF($AL$11:$AL1976,$AL1976)=1),1,0)</f>
        <v>0</v>
      </c>
      <c r="AW1976" s="21">
        <f t="shared" si="147"/>
        <v>0</v>
      </c>
      <c r="AX1976" s="21" t="str">
        <f t="shared" si="146"/>
        <v/>
      </c>
      <c r="AY1976" s="21" t="str">
        <f>IF(AND($AM1976&lt;&gt;"",$AS1976&lt;&gt;"✓"),SUMPRODUCT(($AM$11:$AM1976&lt;&gt;"")*($AS$11:$AS1976&lt;&gt;"✓")),"")</f>
        <v/>
      </c>
      <c r="AZ1976" s="21" t="str">
        <f>IF(AND($AM1976&lt;&gt;"",$AS1976="✓"),SUMPRODUCT(($AM$11:$AM1976&lt;&gt;"")*($AS$11:$AS1976="✓")),"")</f>
        <v/>
      </c>
      <c r="BA1976" s="21" t="str">
        <f>IF($AL1976="","",$AL1976&amp;"|"&amp;COUNTIF($AL$11:$AL1976,$AL1976))</f>
        <v/>
      </c>
    </row>
    <row r="1977" spans="38:53" ht="15" customHeight="1" x14ac:dyDescent="0.25">
      <c r="AL1977" s="17"/>
      <c r="AM1977" s="12"/>
      <c r="AN1977" s="18"/>
      <c r="AO1977" s="18"/>
      <c r="AP1977" s="10"/>
      <c r="AQ1977" s="10"/>
      <c r="AR1977" s="19"/>
      <c r="AS1977" s="20"/>
      <c r="AT1977" s="19"/>
      <c r="AV1977" s="21">
        <f>IF(AND($AL1977&lt;&gt;"",COUNTIF($AL$11:$AL1977,$AL1977)=1),1,0)</f>
        <v>0</v>
      </c>
      <c r="AW1977" s="21">
        <f t="shared" si="147"/>
        <v>0</v>
      </c>
      <c r="AX1977" s="21" t="str">
        <f t="shared" si="146"/>
        <v/>
      </c>
      <c r="AY1977" s="21" t="str">
        <f>IF(AND($AM1977&lt;&gt;"",$AS1977&lt;&gt;"✓"),SUMPRODUCT(($AM$11:$AM1977&lt;&gt;"")*($AS$11:$AS1977&lt;&gt;"✓")),"")</f>
        <v/>
      </c>
      <c r="AZ1977" s="21" t="str">
        <f>IF(AND($AM1977&lt;&gt;"",$AS1977="✓"),SUMPRODUCT(($AM$11:$AM1977&lt;&gt;"")*($AS$11:$AS1977="✓")),"")</f>
        <v/>
      </c>
      <c r="BA1977" s="21" t="str">
        <f>IF($AL1977="","",$AL1977&amp;"|"&amp;COUNTIF($AL$11:$AL1977,$AL1977))</f>
        <v/>
      </c>
    </row>
    <row r="1978" spans="38:53" ht="15" customHeight="1" x14ac:dyDescent="0.25">
      <c r="AL1978" s="31"/>
      <c r="AM1978" s="26"/>
      <c r="AN1978" s="32"/>
      <c r="AO1978" s="32"/>
      <c r="AP1978" s="24"/>
      <c r="AQ1978" s="24"/>
      <c r="AR1978" s="33"/>
      <c r="AS1978" s="34"/>
      <c r="AT1978" s="33"/>
      <c r="AV1978" s="21">
        <f>IF(AND($AL1978&lt;&gt;"",COUNTIF($AL$11:$AL1978,$AL1978)=1),1,0)</f>
        <v>0</v>
      </c>
      <c r="AW1978" s="21">
        <f t="shared" si="147"/>
        <v>0</v>
      </c>
      <c r="AX1978" s="21" t="str">
        <f t="shared" si="146"/>
        <v/>
      </c>
      <c r="AY1978" s="21" t="str">
        <f>IF(AND($AM1978&lt;&gt;"",$AS1978&lt;&gt;"✓"),SUMPRODUCT(($AM$11:$AM1978&lt;&gt;"")*($AS$11:$AS1978&lt;&gt;"✓")),"")</f>
        <v/>
      </c>
      <c r="AZ1978" s="21" t="str">
        <f>IF(AND($AM1978&lt;&gt;"",$AS1978="✓"),SUMPRODUCT(($AM$11:$AM1978&lt;&gt;"")*($AS$11:$AS1978="✓")),"")</f>
        <v/>
      </c>
      <c r="BA1978" s="21" t="str">
        <f>IF($AL1978="","",$AL1978&amp;"|"&amp;COUNTIF($AL$11:$AL1978,$AL1978))</f>
        <v/>
      </c>
    </row>
    <row r="1979" spans="38:53" ht="15" customHeight="1" x14ac:dyDescent="0.25">
      <c r="AL1979" s="17"/>
      <c r="AM1979" s="12"/>
      <c r="AN1979" s="18"/>
      <c r="AO1979" s="18"/>
      <c r="AP1979" s="10"/>
      <c r="AQ1979" s="10"/>
      <c r="AR1979" s="19"/>
      <c r="AS1979" s="20"/>
      <c r="AT1979" s="19"/>
      <c r="AV1979" s="21">
        <f>IF(AND($AL1979&lt;&gt;"",COUNTIF($AL$11:$AL1979,$AL1979)=1),1,0)</f>
        <v>0</v>
      </c>
      <c r="AW1979" s="21">
        <f t="shared" si="147"/>
        <v>0</v>
      </c>
      <c r="AX1979" s="21" t="str">
        <f t="shared" si="146"/>
        <v/>
      </c>
      <c r="AY1979" s="21" t="str">
        <f>IF(AND($AM1979&lt;&gt;"",$AS1979&lt;&gt;"✓"),SUMPRODUCT(($AM$11:$AM1979&lt;&gt;"")*($AS$11:$AS1979&lt;&gt;"✓")),"")</f>
        <v/>
      </c>
      <c r="AZ1979" s="21" t="str">
        <f>IF(AND($AM1979&lt;&gt;"",$AS1979="✓"),SUMPRODUCT(($AM$11:$AM1979&lt;&gt;"")*($AS$11:$AS1979="✓")),"")</f>
        <v/>
      </c>
      <c r="BA1979" s="21" t="str">
        <f>IF($AL1979="","",$AL1979&amp;"|"&amp;COUNTIF($AL$11:$AL1979,$AL1979))</f>
        <v/>
      </c>
    </row>
    <row r="1980" spans="38:53" ht="15" customHeight="1" x14ac:dyDescent="0.25">
      <c r="AL1980" s="31"/>
      <c r="AM1980" s="26"/>
      <c r="AN1980" s="32"/>
      <c r="AO1980" s="32"/>
      <c r="AP1980" s="24"/>
      <c r="AQ1980" s="24"/>
      <c r="AR1980" s="33"/>
      <c r="AS1980" s="34"/>
      <c r="AT1980" s="33"/>
      <c r="AV1980" s="21">
        <f>IF(AND($AL1980&lt;&gt;"",COUNTIF($AL$11:$AL1980,$AL1980)=1),1,0)</f>
        <v>0</v>
      </c>
      <c r="AW1980" s="21">
        <f t="shared" si="147"/>
        <v>0</v>
      </c>
      <c r="AX1980" s="21" t="str">
        <f t="shared" si="146"/>
        <v/>
      </c>
      <c r="AY1980" s="21" t="str">
        <f>IF(AND($AM1980&lt;&gt;"",$AS1980&lt;&gt;"✓"),SUMPRODUCT(($AM$11:$AM1980&lt;&gt;"")*($AS$11:$AS1980&lt;&gt;"✓")),"")</f>
        <v/>
      </c>
      <c r="AZ1980" s="21" t="str">
        <f>IF(AND($AM1980&lt;&gt;"",$AS1980="✓"),SUMPRODUCT(($AM$11:$AM1980&lt;&gt;"")*($AS$11:$AS1980="✓")),"")</f>
        <v/>
      </c>
      <c r="BA1980" s="21" t="str">
        <f>IF($AL1980="","",$AL1980&amp;"|"&amp;COUNTIF($AL$11:$AL1980,$AL1980))</f>
        <v/>
      </c>
    </row>
    <row r="1981" spans="38:53" ht="15" customHeight="1" x14ac:dyDescent="0.25">
      <c r="AL1981" s="17"/>
      <c r="AM1981" s="12"/>
      <c r="AN1981" s="18"/>
      <c r="AO1981" s="18"/>
      <c r="AP1981" s="10"/>
      <c r="AQ1981" s="10"/>
      <c r="AR1981" s="19"/>
      <c r="AS1981" s="20"/>
      <c r="AT1981" s="19"/>
      <c r="AV1981" s="21">
        <f>IF(AND($AL1981&lt;&gt;"",COUNTIF($AL$11:$AL1981,$AL1981)=1),1,0)</f>
        <v>0</v>
      </c>
      <c r="AW1981" s="21">
        <f t="shared" si="147"/>
        <v>0</v>
      </c>
      <c r="AX1981" s="21" t="str">
        <f t="shared" si="146"/>
        <v/>
      </c>
      <c r="AY1981" s="21" t="str">
        <f>IF(AND($AM1981&lt;&gt;"",$AS1981&lt;&gt;"✓"),SUMPRODUCT(($AM$11:$AM1981&lt;&gt;"")*($AS$11:$AS1981&lt;&gt;"✓")),"")</f>
        <v/>
      </c>
      <c r="AZ1981" s="21" t="str">
        <f>IF(AND($AM1981&lt;&gt;"",$AS1981="✓"),SUMPRODUCT(($AM$11:$AM1981&lt;&gt;"")*($AS$11:$AS1981="✓")),"")</f>
        <v/>
      </c>
      <c r="BA1981" s="21" t="str">
        <f>IF($AL1981="","",$AL1981&amp;"|"&amp;COUNTIF($AL$11:$AL1981,$AL1981))</f>
        <v/>
      </c>
    </row>
    <row r="1982" spans="38:53" ht="15" customHeight="1" x14ac:dyDescent="0.25">
      <c r="AL1982" s="31"/>
      <c r="AM1982" s="26"/>
      <c r="AN1982" s="32"/>
      <c r="AO1982" s="32"/>
      <c r="AP1982" s="24"/>
      <c r="AQ1982" s="24"/>
      <c r="AR1982" s="33"/>
      <c r="AS1982" s="34"/>
      <c r="AT1982" s="33"/>
      <c r="AV1982" s="21">
        <f>IF(AND($AL1982&lt;&gt;"",COUNTIF($AL$11:$AL1982,$AL1982)=1),1,0)</f>
        <v>0</v>
      </c>
      <c r="AW1982" s="21">
        <f t="shared" si="147"/>
        <v>0</v>
      </c>
      <c r="AX1982" s="21" t="str">
        <f t="shared" si="146"/>
        <v/>
      </c>
      <c r="AY1982" s="21" t="str">
        <f>IF(AND($AM1982&lt;&gt;"",$AS1982&lt;&gt;"✓"),SUMPRODUCT(($AM$11:$AM1982&lt;&gt;"")*($AS$11:$AS1982&lt;&gt;"✓")),"")</f>
        <v/>
      </c>
      <c r="AZ1982" s="21" t="str">
        <f>IF(AND($AM1982&lt;&gt;"",$AS1982="✓"),SUMPRODUCT(($AM$11:$AM1982&lt;&gt;"")*($AS$11:$AS1982="✓")),"")</f>
        <v/>
      </c>
      <c r="BA1982" s="21" t="str">
        <f>IF($AL1982="","",$AL1982&amp;"|"&amp;COUNTIF($AL$11:$AL1982,$AL1982))</f>
        <v/>
      </c>
    </row>
    <row r="1983" spans="38:53" ht="15" customHeight="1" x14ac:dyDescent="0.25">
      <c r="AL1983" s="17"/>
      <c r="AM1983" s="12"/>
      <c r="AN1983" s="18"/>
      <c r="AO1983" s="18"/>
      <c r="AP1983" s="10"/>
      <c r="AQ1983" s="10"/>
      <c r="AR1983" s="19"/>
      <c r="AS1983" s="20"/>
      <c r="AT1983" s="19"/>
      <c r="AV1983" s="21">
        <f>IF(AND($AL1983&lt;&gt;"",COUNTIF($AL$11:$AL1983,$AL1983)=1),1,0)</f>
        <v>0</v>
      </c>
      <c r="AW1983" s="21">
        <f t="shared" si="147"/>
        <v>0</v>
      </c>
      <c r="AX1983" s="21" t="str">
        <f t="shared" si="146"/>
        <v/>
      </c>
      <c r="AY1983" s="21" t="str">
        <f>IF(AND($AM1983&lt;&gt;"",$AS1983&lt;&gt;"✓"),SUMPRODUCT(($AM$11:$AM1983&lt;&gt;"")*($AS$11:$AS1983&lt;&gt;"✓")),"")</f>
        <v/>
      </c>
      <c r="AZ1983" s="21" t="str">
        <f>IF(AND($AM1983&lt;&gt;"",$AS1983="✓"),SUMPRODUCT(($AM$11:$AM1983&lt;&gt;"")*($AS$11:$AS1983="✓")),"")</f>
        <v/>
      </c>
      <c r="BA1983" s="21" t="str">
        <f>IF($AL1983="","",$AL1983&amp;"|"&amp;COUNTIF($AL$11:$AL1983,$AL1983))</f>
        <v/>
      </c>
    </row>
    <row r="1984" spans="38:53" ht="15" customHeight="1" x14ac:dyDescent="0.25">
      <c r="AL1984" s="31"/>
      <c r="AM1984" s="26"/>
      <c r="AN1984" s="32"/>
      <c r="AO1984" s="32"/>
      <c r="AP1984" s="24"/>
      <c r="AQ1984" s="24"/>
      <c r="AR1984" s="33"/>
      <c r="AS1984" s="34"/>
      <c r="AT1984" s="33"/>
      <c r="AV1984" s="21">
        <f>IF(AND($AL1984&lt;&gt;"",COUNTIF($AL$11:$AL1984,$AL1984)=1),1,0)</f>
        <v>0</v>
      </c>
      <c r="AW1984" s="21">
        <f t="shared" si="147"/>
        <v>0</v>
      </c>
      <c r="AX1984" s="21" t="str">
        <f t="shared" si="146"/>
        <v/>
      </c>
      <c r="AY1984" s="21" t="str">
        <f>IF(AND($AM1984&lt;&gt;"",$AS1984&lt;&gt;"✓"),SUMPRODUCT(($AM$11:$AM1984&lt;&gt;"")*($AS$11:$AS1984&lt;&gt;"✓")),"")</f>
        <v/>
      </c>
      <c r="AZ1984" s="21" t="str">
        <f>IF(AND($AM1984&lt;&gt;"",$AS1984="✓"),SUMPRODUCT(($AM$11:$AM1984&lt;&gt;"")*($AS$11:$AS1984="✓")),"")</f>
        <v/>
      </c>
      <c r="BA1984" s="21" t="str">
        <f>IF($AL1984="","",$AL1984&amp;"|"&amp;COUNTIF($AL$11:$AL1984,$AL1984))</f>
        <v/>
      </c>
    </row>
    <row r="1985" spans="38:53" ht="15" customHeight="1" x14ac:dyDescent="0.25">
      <c r="AL1985" s="17"/>
      <c r="AM1985" s="12"/>
      <c r="AN1985" s="18"/>
      <c r="AO1985" s="18"/>
      <c r="AP1985" s="10"/>
      <c r="AQ1985" s="10"/>
      <c r="AR1985" s="19"/>
      <c r="AS1985" s="20"/>
      <c r="AT1985" s="19"/>
      <c r="AV1985" s="21">
        <f>IF(AND($AL1985&lt;&gt;"",COUNTIF($AL$11:$AL1985,$AL1985)=1),1,0)</f>
        <v>0</v>
      </c>
      <c r="AW1985" s="21">
        <f t="shared" si="147"/>
        <v>0</v>
      </c>
      <c r="AX1985" s="21" t="str">
        <f t="shared" si="146"/>
        <v/>
      </c>
      <c r="AY1985" s="21" t="str">
        <f>IF(AND($AM1985&lt;&gt;"",$AS1985&lt;&gt;"✓"),SUMPRODUCT(($AM$11:$AM1985&lt;&gt;"")*($AS$11:$AS1985&lt;&gt;"✓")),"")</f>
        <v/>
      </c>
      <c r="AZ1985" s="21" t="str">
        <f>IF(AND($AM1985&lt;&gt;"",$AS1985="✓"),SUMPRODUCT(($AM$11:$AM1985&lt;&gt;"")*($AS$11:$AS1985="✓")),"")</f>
        <v/>
      </c>
      <c r="BA1985" s="21" t="str">
        <f>IF($AL1985="","",$AL1985&amp;"|"&amp;COUNTIF($AL$11:$AL1985,$AL1985))</f>
        <v/>
      </c>
    </row>
    <row r="1986" spans="38:53" ht="15" customHeight="1" x14ac:dyDescent="0.25">
      <c r="AL1986" s="31"/>
      <c r="AM1986" s="26"/>
      <c r="AN1986" s="32"/>
      <c r="AO1986" s="32"/>
      <c r="AP1986" s="24"/>
      <c r="AQ1986" s="24"/>
      <c r="AR1986" s="33"/>
      <c r="AS1986" s="34"/>
      <c r="AT1986" s="33"/>
      <c r="AV1986" s="21">
        <f>IF(AND($AL1986&lt;&gt;"",COUNTIF($AL$11:$AL1986,$AL1986)=1),1,0)</f>
        <v>0</v>
      </c>
      <c r="AW1986" s="21">
        <f t="shared" si="147"/>
        <v>0</v>
      </c>
      <c r="AX1986" s="21" t="str">
        <f t="shared" si="146"/>
        <v/>
      </c>
      <c r="AY1986" s="21" t="str">
        <f>IF(AND($AM1986&lt;&gt;"",$AS1986&lt;&gt;"✓"),SUMPRODUCT(($AM$11:$AM1986&lt;&gt;"")*($AS$11:$AS1986&lt;&gt;"✓")),"")</f>
        <v/>
      </c>
      <c r="AZ1986" s="21" t="str">
        <f>IF(AND($AM1986&lt;&gt;"",$AS1986="✓"),SUMPRODUCT(($AM$11:$AM1986&lt;&gt;"")*($AS$11:$AS1986="✓")),"")</f>
        <v/>
      </c>
      <c r="BA1986" s="21" t="str">
        <f>IF($AL1986="","",$AL1986&amp;"|"&amp;COUNTIF($AL$11:$AL1986,$AL1986))</f>
        <v/>
      </c>
    </row>
    <row r="1987" spans="38:53" ht="15" customHeight="1" x14ac:dyDescent="0.25">
      <c r="AL1987" s="17"/>
      <c r="AM1987" s="12"/>
      <c r="AN1987" s="18"/>
      <c r="AO1987" s="18"/>
      <c r="AP1987" s="10"/>
      <c r="AQ1987" s="10"/>
      <c r="AR1987" s="19"/>
      <c r="AS1987" s="20"/>
      <c r="AT1987" s="19"/>
      <c r="AV1987" s="21">
        <f>IF(AND($AL1987&lt;&gt;"",COUNTIF($AL$11:$AL1987,$AL1987)=1),1,0)</f>
        <v>0</v>
      </c>
      <c r="AW1987" s="21">
        <f t="shared" si="147"/>
        <v>0</v>
      </c>
      <c r="AX1987" s="21" t="str">
        <f t="shared" si="146"/>
        <v/>
      </c>
      <c r="AY1987" s="21" t="str">
        <f>IF(AND($AM1987&lt;&gt;"",$AS1987&lt;&gt;"✓"),SUMPRODUCT(($AM$11:$AM1987&lt;&gt;"")*($AS$11:$AS1987&lt;&gt;"✓")),"")</f>
        <v/>
      </c>
      <c r="AZ1987" s="21" t="str">
        <f>IF(AND($AM1987&lt;&gt;"",$AS1987="✓"),SUMPRODUCT(($AM$11:$AM1987&lt;&gt;"")*($AS$11:$AS1987="✓")),"")</f>
        <v/>
      </c>
      <c r="BA1987" s="21" t="str">
        <f>IF($AL1987="","",$AL1987&amp;"|"&amp;COUNTIF($AL$11:$AL1987,$AL1987))</f>
        <v/>
      </c>
    </row>
    <row r="1988" spans="38:53" ht="15" customHeight="1" x14ac:dyDescent="0.25">
      <c r="AL1988" s="31"/>
      <c r="AM1988" s="26"/>
      <c r="AN1988" s="32"/>
      <c r="AO1988" s="32"/>
      <c r="AP1988" s="24"/>
      <c r="AQ1988" s="24"/>
      <c r="AR1988" s="33"/>
      <c r="AS1988" s="34"/>
      <c r="AT1988" s="33"/>
      <c r="AV1988" s="21">
        <f>IF(AND($AL1988&lt;&gt;"",COUNTIF($AL$11:$AL1988,$AL1988)=1),1,0)</f>
        <v>0</v>
      </c>
      <c r="AW1988" s="21">
        <f t="shared" si="147"/>
        <v>0</v>
      </c>
      <c r="AX1988" s="21" t="str">
        <f t="shared" si="146"/>
        <v/>
      </c>
      <c r="AY1988" s="21" t="str">
        <f>IF(AND($AM1988&lt;&gt;"",$AS1988&lt;&gt;"✓"),SUMPRODUCT(($AM$11:$AM1988&lt;&gt;"")*($AS$11:$AS1988&lt;&gt;"✓")),"")</f>
        <v/>
      </c>
      <c r="AZ1988" s="21" t="str">
        <f>IF(AND($AM1988&lt;&gt;"",$AS1988="✓"),SUMPRODUCT(($AM$11:$AM1988&lt;&gt;"")*($AS$11:$AS1988="✓")),"")</f>
        <v/>
      </c>
      <c r="BA1988" s="21" t="str">
        <f>IF($AL1988="","",$AL1988&amp;"|"&amp;COUNTIF($AL$11:$AL1988,$AL1988))</f>
        <v/>
      </c>
    </row>
    <row r="1989" spans="38:53" ht="15" customHeight="1" x14ac:dyDescent="0.25">
      <c r="AL1989" s="17"/>
      <c r="AM1989" s="12"/>
      <c r="AN1989" s="18"/>
      <c r="AO1989" s="18"/>
      <c r="AP1989" s="10"/>
      <c r="AQ1989" s="10"/>
      <c r="AR1989" s="19"/>
      <c r="AS1989" s="20"/>
      <c r="AT1989" s="19"/>
      <c r="AV1989" s="21">
        <f>IF(AND($AL1989&lt;&gt;"",COUNTIF($AL$11:$AL1989,$AL1989)=1),1,0)</f>
        <v>0</v>
      </c>
      <c r="AW1989" s="21">
        <f t="shared" si="147"/>
        <v>0</v>
      </c>
      <c r="AX1989" s="21" t="str">
        <f t="shared" si="146"/>
        <v/>
      </c>
      <c r="AY1989" s="21" t="str">
        <f>IF(AND($AM1989&lt;&gt;"",$AS1989&lt;&gt;"✓"),SUMPRODUCT(($AM$11:$AM1989&lt;&gt;"")*($AS$11:$AS1989&lt;&gt;"✓")),"")</f>
        <v/>
      </c>
      <c r="AZ1989" s="21" t="str">
        <f>IF(AND($AM1989&lt;&gt;"",$AS1989="✓"),SUMPRODUCT(($AM$11:$AM1989&lt;&gt;"")*($AS$11:$AS1989="✓")),"")</f>
        <v/>
      </c>
      <c r="BA1989" s="21" t="str">
        <f>IF($AL1989="","",$AL1989&amp;"|"&amp;COUNTIF($AL$11:$AL1989,$AL1989))</f>
        <v/>
      </c>
    </row>
    <row r="1990" spans="38:53" ht="15" customHeight="1" x14ac:dyDescent="0.25">
      <c r="AL1990" s="31"/>
      <c r="AM1990" s="26"/>
      <c r="AN1990" s="32"/>
      <c r="AO1990" s="32"/>
      <c r="AP1990" s="24"/>
      <c r="AQ1990" s="24"/>
      <c r="AR1990" s="33"/>
      <c r="AS1990" s="34"/>
      <c r="AT1990" s="33"/>
      <c r="AV1990" s="21">
        <f>IF(AND($AL1990&lt;&gt;"",COUNTIF($AL$11:$AL1990,$AL1990)=1),1,0)</f>
        <v>0</v>
      </c>
      <c r="AW1990" s="21">
        <f t="shared" si="147"/>
        <v>0</v>
      </c>
      <c r="AX1990" s="21" t="str">
        <f t="shared" si="146"/>
        <v/>
      </c>
      <c r="AY1990" s="21" t="str">
        <f>IF(AND($AM1990&lt;&gt;"",$AS1990&lt;&gt;"✓"),SUMPRODUCT(($AM$11:$AM1990&lt;&gt;"")*($AS$11:$AS1990&lt;&gt;"✓")),"")</f>
        <v/>
      </c>
      <c r="AZ1990" s="21" t="str">
        <f>IF(AND($AM1990&lt;&gt;"",$AS1990="✓"),SUMPRODUCT(($AM$11:$AM1990&lt;&gt;"")*($AS$11:$AS1990="✓")),"")</f>
        <v/>
      </c>
      <c r="BA1990" s="21" t="str">
        <f>IF($AL1990="","",$AL1990&amp;"|"&amp;COUNTIF($AL$11:$AL1990,$AL1990))</f>
        <v/>
      </c>
    </row>
    <row r="1991" spans="38:53" ht="15" customHeight="1" x14ac:dyDescent="0.25">
      <c r="AL1991" s="17"/>
      <c r="AM1991" s="12"/>
      <c r="AN1991" s="18"/>
      <c r="AO1991" s="18"/>
      <c r="AP1991" s="10"/>
      <c r="AQ1991" s="10"/>
      <c r="AR1991" s="19"/>
      <c r="AS1991" s="20"/>
      <c r="AT1991" s="19"/>
      <c r="AV1991" s="21">
        <f>IF(AND($AL1991&lt;&gt;"",COUNTIF($AL$11:$AL1991,$AL1991)=1),1,0)</f>
        <v>0</v>
      </c>
      <c r="AW1991" s="21">
        <f t="shared" si="147"/>
        <v>0</v>
      </c>
      <c r="AX1991" s="21" t="str">
        <f t="shared" si="146"/>
        <v/>
      </c>
      <c r="AY1991" s="21" t="str">
        <f>IF(AND($AM1991&lt;&gt;"",$AS1991&lt;&gt;"✓"),SUMPRODUCT(($AM$11:$AM1991&lt;&gt;"")*($AS$11:$AS1991&lt;&gt;"✓")),"")</f>
        <v/>
      </c>
      <c r="AZ1991" s="21" t="str">
        <f>IF(AND($AM1991&lt;&gt;"",$AS1991="✓"),SUMPRODUCT(($AM$11:$AM1991&lt;&gt;"")*($AS$11:$AS1991="✓")),"")</f>
        <v/>
      </c>
      <c r="BA1991" s="21" t="str">
        <f>IF($AL1991="","",$AL1991&amp;"|"&amp;COUNTIF($AL$11:$AL1991,$AL1991))</f>
        <v/>
      </c>
    </row>
    <row r="1992" spans="38:53" ht="15" customHeight="1" x14ac:dyDescent="0.25">
      <c r="AL1992" s="31"/>
      <c r="AM1992" s="26"/>
      <c r="AN1992" s="32"/>
      <c r="AO1992" s="32"/>
      <c r="AP1992" s="24"/>
      <c r="AQ1992" s="24"/>
      <c r="AR1992" s="33"/>
      <c r="AS1992" s="34"/>
      <c r="AT1992" s="33"/>
      <c r="AV1992" s="21">
        <f>IF(AND($AL1992&lt;&gt;"",COUNTIF($AL$11:$AL1992,$AL1992)=1),1,0)</f>
        <v>0</v>
      </c>
      <c r="AW1992" s="21">
        <f t="shared" si="147"/>
        <v>0</v>
      </c>
      <c r="AX1992" s="21" t="str">
        <f t="shared" si="146"/>
        <v/>
      </c>
      <c r="AY1992" s="21" t="str">
        <f>IF(AND($AM1992&lt;&gt;"",$AS1992&lt;&gt;"✓"),SUMPRODUCT(($AM$11:$AM1992&lt;&gt;"")*($AS$11:$AS1992&lt;&gt;"✓")),"")</f>
        <v/>
      </c>
      <c r="AZ1992" s="21" t="str">
        <f>IF(AND($AM1992&lt;&gt;"",$AS1992="✓"),SUMPRODUCT(($AM$11:$AM1992&lt;&gt;"")*($AS$11:$AS1992="✓")),"")</f>
        <v/>
      </c>
      <c r="BA1992" s="21" t="str">
        <f>IF($AL1992="","",$AL1992&amp;"|"&amp;COUNTIF($AL$11:$AL1992,$AL1992))</f>
        <v/>
      </c>
    </row>
    <row r="1993" spans="38:53" ht="15" customHeight="1" x14ac:dyDescent="0.25">
      <c r="AL1993" s="17"/>
      <c r="AM1993" s="12"/>
      <c r="AN1993" s="18"/>
      <c r="AO1993" s="18"/>
      <c r="AP1993" s="10"/>
      <c r="AQ1993" s="10"/>
      <c r="AR1993" s="19"/>
      <c r="AS1993" s="20"/>
      <c r="AT1993" s="19"/>
      <c r="AV1993" s="21">
        <f>IF(AND($AL1993&lt;&gt;"",COUNTIF($AL$11:$AL1993,$AL1993)=1),1,0)</f>
        <v>0</v>
      </c>
      <c r="AW1993" s="21">
        <f t="shared" si="147"/>
        <v>0</v>
      </c>
      <c r="AX1993" s="21" t="str">
        <f t="shared" si="146"/>
        <v/>
      </c>
      <c r="AY1993" s="21" t="str">
        <f>IF(AND($AM1993&lt;&gt;"",$AS1993&lt;&gt;"✓"),SUMPRODUCT(($AM$11:$AM1993&lt;&gt;"")*($AS$11:$AS1993&lt;&gt;"✓")),"")</f>
        <v/>
      </c>
      <c r="AZ1993" s="21" t="str">
        <f>IF(AND($AM1993&lt;&gt;"",$AS1993="✓"),SUMPRODUCT(($AM$11:$AM1993&lt;&gt;"")*($AS$11:$AS1993="✓")),"")</f>
        <v/>
      </c>
      <c r="BA1993" s="21" t="str">
        <f>IF($AL1993="","",$AL1993&amp;"|"&amp;COUNTIF($AL$11:$AL1993,$AL1993))</f>
        <v/>
      </c>
    </row>
    <row r="1994" spans="38:53" ht="15" customHeight="1" x14ac:dyDescent="0.25">
      <c r="AL1994" s="31"/>
      <c r="AM1994" s="26"/>
      <c r="AN1994" s="32"/>
      <c r="AO1994" s="32"/>
      <c r="AP1994" s="24"/>
      <c r="AQ1994" s="24"/>
      <c r="AR1994" s="33"/>
      <c r="AS1994" s="34"/>
      <c r="AT1994" s="33"/>
      <c r="AV1994" s="21">
        <f>IF(AND($AL1994&lt;&gt;"",COUNTIF($AL$11:$AL1994,$AL1994)=1),1,0)</f>
        <v>0</v>
      </c>
      <c r="AW1994" s="21">
        <f t="shared" si="147"/>
        <v>0</v>
      </c>
      <c r="AX1994" s="21" t="str">
        <f t="shared" si="146"/>
        <v/>
      </c>
      <c r="AY1994" s="21" t="str">
        <f>IF(AND($AM1994&lt;&gt;"",$AS1994&lt;&gt;"✓"),SUMPRODUCT(($AM$11:$AM1994&lt;&gt;"")*($AS$11:$AS1994&lt;&gt;"✓")),"")</f>
        <v/>
      </c>
      <c r="AZ1994" s="21" t="str">
        <f>IF(AND($AM1994&lt;&gt;"",$AS1994="✓"),SUMPRODUCT(($AM$11:$AM1994&lt;&gt;"")*($AS$11:$AS1994="✓")),"")</f>
        <v/>
      </c>
      <c r="BA1994" s="21" t="str">
        <f>IF($AL1994="","",$AL1994&amp;"|"&amp;COUNTIF($AL$11:$AL1994,$AL1994))</f>
        <v/>
      </c>
    </row>
    <row r="1995" spans="38:53" ht="15" customHeight="1" x14ac:dyDescent="0.25">
      <c r="AL1995" s="17"/>
      <c r="AM1995" s="12"/>
      <c r="AN1995" s="18"/>
      <c r="AO1995" s="18"/>
      <c r="AP1995" s="10"/>
      <c r="AQ1995" s="10"/>
      <c r="AR1995" s="19"/>
      <c r="AS1995" s="20"/>
      <c r="AT1995" s="19"/>
      <c r="AV1995" s="21">
        <f>IF(AND($AL1995&lt;&gt;"",COUNTIF($AL$11:$AL1995,$AL1995)=1),1,0)</f>
        <v>0</v>
      </c>
      <c r="AW1995" s="21">
        <f t="shared" si="147"/>
        <v>0</v>
      </c>
      <c r="AX1995" s="21" t="str">
        <f t="shared" ref="AX1995:AX2058" si="148">IF(AV1995=1,AW1995,"")</f>
        <v/>
      </c>
      <c r="AY1995" s="21" t="str">
        <f>IF(AND($AM1995&lt;&gt;"",$AS1995&lt;&gt;"✓"),SUMPRODUCT(($AM$11:$AM1995&lt;&gt;"")*($AS$11:$AS1995&lt;&gt;"✓")),"")</f>
        <v/>
      </c>
      <c r="AZ1995" s="21" t="str">
        <f>IF(AND($AM1995&lt;&gt;"",$AS1995="✓"),SUMPRODUCT(($AM$11:$AM1995&lt;&gt;"")*($AS$11:$AS1995="✓")),"")</f>
        <v/>
      </c>
      <c r="BA1995" s="21" t="str">
        <f>IF($AL1995="","",$AL1995&amp;"|"&amp;COUNTIF($AL$11:$AL1995,$AL1995))</f>
        <v/>
      </c>
    </row>
    <row r="1996" spans="38:53" ht="15" customHeight="1" x14ac:dyDescent="0.25">
      <c r="AL1996" s="31"/>
      <c r="AM1996" s="26"/>
      <c r="AN1996" s="32"/>
      <c r="AO1996" s="32"/>
      <c r="AP1996" s="24"/>
      <c r="AQ1996" s="24"/>
      <c r="AR1996" s="33"/>
      <c r="AS1996" s="34"/>
      <c r="AT1996" s="33"/>
      <c r="AV1996" s="21">
        <f>IF(AND($AL1996&lt;&gt;"",COUNTIF($AL$11:$AL1996,$AL1996)=1),1,0)</f>
        <v>0</v>
      </c>
      <c r="AW1996" s="21">
        <f t="shared" ref="AW1996:AW2059" si="149">AW1995+AV1996</f>
        <v>0</v>
      </c>
      <c r="AX1996" s="21" t="str">
        <f t="shared" si="148"/>
        <v/>
      </c>
      <c r="AY1996" s="21" t="str">
        <f>IF(AND($AM1996&lt;&gt;"",$AS1996&lt;&gt;"✓"),SUMPRODUCT(($AM$11:$AM1996&lt;&gt;"")*($AS$11:$AS1996&lt;&gt;"✓")),"")</f>
        <v/>
      </c>
      <c r="AZ1996" s="21" t="str">
        <f>IF(AND($AM1996&lt;&gt;"",$AS1996="✓"),SUMPRODUCT(($AM$11:$AM1996&lt;&gt;"")*($AS$11:$AS1996="✓")),"")</f>
        <v/>
      </c>
      <c r="BA1996" s="21" t="str">
        <f>IF($AL1996="","",$AL1996&amp;"|"&amp;COUNTIF($AL$11:$AL1996,$AL1996))</f>
        <v/>
      </c>
    </row>
    <row r="1997" spans="38:53" ht="15" customHeight="1" x14ac:dyDescent="0.25">
      <c r="AL1997" s="17"/>
      <c r="AM1997" s="12"/>
      <c r="AN1997" s="18"/>
      <c r="AO1997" s="18"/>
      <c r="AP1997" s="10"/>
      <c r="AQ1997" s="10"/>
      <c r="AR1997" s="19"/>
      <c r="AS1997" s="20"/>
      <c r="AT1997" s="19"/>
      <c r="AV1997" s="21">
        <f>IF(AND($AL1997&lt;&gt;"",COUNTIF($AL$11:$AL1997,$AL1997)=1),1,0)</f>
        <v>0</v>
      </c>
      <c r="AW1997" s="21">
        <f t="shared" si="149"/>
        <v>0</v>
      </c>
      <c r="AX1997" s="21" t="str">
        <f t="shared" si="148"/>
        <v/>
      </c>
      <c r="AY1997" s="21" t="str">
        <f>IF(AND($AM1997&lt;&gt;"",$AS1997&lt;&gt;"✓"),SUMPRODUCT(($AM$11:$AM1997&lt;&gt;"")*($AS$11:$AS1997&lt;&gt;"✓")),"")</f>
        <v/>
      </c>
      <c r="AZ1997" s="21" t="str">
        <f>IF(AND($AM1997&lt;&gt;"",$AS1997="✓"),SUMPRODUCT(($AM$11:$AM1997&lt;&gt;"")*($AS$11:$AS1997="✓")),"")</f>
        <v/>
      </c>
      <c r="BA1997" s="21" t="str">
        <f>IF($AL1997="","",$AL1997&amp;"|"&amp;COUNTIF($AL$11:$AL1997,$AL1997))</f>
        <v/>
      </c>
    </row>
    <row r="1998" spans="38:53" ht="15" customHeight="1" x14ac:dyDescent="0.25">
      <c r="AL1998" s="31"/>
      <c r="AM1998" s="26"/>
      <c r="AN1998" s="32"/>
      <c r="AO1998" s="32"/>
      <c r="AP1998" s="24"/>
      <c r="AQ1998" s="24"/>
      <c r="AR1998" s="33"/>
      <c r="AS1998" s="34"/>
      <c r="AT1998" s="33"/>
      <c r="AV1998" s="21">
        <f>IF(AND($AL1998&lt;&gt;"",COUNTIF($AL$11:$AL1998,$AL1998)=1),1,0)</f>
        <v>0</v>
      </c>
      <c r="AW1998" s="21">
        <f t="shared" si="149"/>
        <v>0</v>
      </c>
      <c r="AX1998" s="21" t="str">
        <f t="shared" si="148"/>
        <v/>
      </c>
      <c r="AY1998" s="21" t="str">
        <f>IF(AND($AM1998&lt;&gt;"",$AS1998&lt;&gt;"✓"),SUMPRODUCT(($AM$11:$AM1998&lt;&gt;"")*($AS$11:$AS1998&lt;&gt;"✓")),"")</f>
        <v/>
      </c>
      <c r="AZ1998" s="21" t="str">
        <f>IF(AND($AM1998&lt;&gt;"",$AS1998="✓"),SUMPRODUCT(($AM$11:$AM1998&lt;&gt;"")*($AS$11:$AS1998="✓")),"")</f>
        <v/>
      </c>
      <c r="BA1998" s="21" t="str">
        <f>IF($AL1998="","",$AL1998&amp;"|"&amp;COUNTIF($AL$11:$AL1998,$AL1998))</f>
        <v/>
      </c>
    </row>
    <row r="1999" spans="38:53" ht="15" customHeight="1" x14ac:dyDescent="0.25">
      <c r="AL1999" s="17"/>
      <c r="AM1999" s="12"/>
      <c r="AN1999" s="18"/>
      <c r="AO1999" s="18"/>
      <c r="AP1999" s="10"/>
      <c r="AQ1999" s="10"/>
      <c r="AR1999" s="19"/>
      <c r="AS1999" s="20"/>
      <c r="AT1999" s="19"/>
      <c r="AV1999" s="21">
        <f>IF(AND($AL1999&lt;&gt;"",COUNTIF($AL$11:$AL1999,$AL1999)=1),1,0)</f>
        <v>0</v>
      </c>
      <c r="AW1999" s="21">
        <f t="shared" si="149"/>
        <v>0</v>
      </c>
      <c r="AX1999" s="21" t="str">
        <f t="shared" si="148"/>
        <v/>
      </c>
      <c r="AY1999" s="21" t="str">
        <f>IF(AND($AM1999&lt;&gt;"",$AS1999&lt;&gt;"✓"),SUMPRODUCT(($AM$11:$AM1999&lt;&gt;"")*($AS$11:$AS1999&lt;&gt;"✓")),"")</f>
        <v/>
      </c>
      <c r="AZ1999" s="21" t="str">
        <f>IF(AND($AM1999&lt;&gt;"",$AS1999="✓"),SUMPRODUCT(($AM$11:$AM1999&lt;&gt;"")*($AS$11:$AS1999="✓")),"")</f>
        <v/>
      </c>
      <c r="BA1999" s="21" t="str">
        <f>IF($AL1999="","",$AL1999&amp;"|"&amp;COUNTIF($AL$11:$AL1999,$AL1999))</f>
        <v/>
      </c>
    </row>
    <row r="2000" spans="38:53" ht="15" customHeight="1" x14ac:dyDescent="0.25">
      <c r="AL2000" s="31"/>
      <c r="AM2000" s="26"/>
      <c r="AN2000" s="32"/>
      <c r="AO2000" s="32"/>
      <c r="AP2000" s="24"/>
      <c r="AQ2000" s="24"/>
      <c r="AR2000" s="33"/>
      <c r="AS2000" s="34"/>
      <c r="AT2000" s="33"/>
      <c r="AV2000" s="21">
        <f>IF(AND($AL2000&lt;&gt;"",COUNTIF($AL$11:$AL2000,$AL2000)=1),1,0)</f>
        <v>0</v>
      </c>
      <c r="AW2000" s="21">
        <f t="shared" si="149"/>
        <v>0</v>
      </c>
      <c r="AX2000" s="21" t="str">
        <f t="shared" si="148"/>
        <v/>
      </c>
      <c r="AY2000" s="21" t="str">
        <f>IF(AND($AM2000&lt;&gt;"",$AS2000&lt;&gt;"✓"),SUMPRODUCT(($AM$11:$AM2000&lt;&gt;"")*($AS$11:$AS2000&lt;&gt;"✓")),"")</f>
        <v/>
      </c>
      <c r="AZ2000" s="21" t="str">
        <f>IF(AND($AM2000&lt;&gt;"",$AS2000="✓"),SUMPRODUCT(($AM$11:$AM2000&lt;&gt;"")*($AS$11:$AS2000="✓")),"")</f>
        <v/>
      </c>
      <c r="BA2000" s="21" t="str">
        <f>IF($AL2000="","",$AL2000&amp;"|"&amp;COUNTIF($AL$11:$AL2000,$AL2000))</f>
        <v/>
      </c>
    </row>
    <row r="2001" spans="38:53" ht="15" customHeight="1" x14ac:dyDescent="0.25">
      <c r="AL2001" s="17"/>
      <c r="AM2001" s="12"/>
      <c r="AN2001" s="18"/>
      <c r="AO2001" s="18"/>
      <c r="AP2001" s="10"/>
      <c r="AQ2001" s="10"/>
      <c r="AR2001" s="19"/>
      <c r="AS2001" s="20"/>
      <c r="AT2001" s="19"/>
      <c r="AV2001" s="21">
        <f>IF(AND($AL2001&lt;&gt;"",COUNTIF($AL$11:$AL2001,$AL2001)=1),1,0)</f>
        <v>0</v>
      </c>
      <c r="AW2001" s="21">
        <f t="shared" si="149"/>
        <v>0</v>
      </c>
      <c r="AX2001" s="21" t="str">
        <f t="shared" si="148"/>
        <v/>
      </c>
      <c r="AY2001" s="21" t="str">
        <f>IF(AND($AM2001&lt;&gt;"",$AS2001&lt;&gt;"✓"),SUMPRODUCT(($AM$11:$AM2001&lt;&gt;"")*($AS$11:$AS2001&lt;&gt;"✓")),"")</f>
        <v/>
      </c>
      <c r="AZ2001" s="21" t="str">
        <f>IF(AND($AM2001&lt;&gt;"",$AS2001="✓"),SUMPRODUCT(($AM$11:$AM2001&lt;&gt;"")*($AS$11:$AS2001="✓")),"")</f>
        <v/>
      </c>
      <c r="BA2001" s="21" t="str">
        <f>IF($AL2001="","",$AL2001&amp;"|"&amp;COUNTIF($AL$11:$AL2001,$AL2001))</f>
        <v/>
      </c>
    </row>
    <row r="2002" spans="38:53" ht="15" customHeight="1" x14ac:dyDescent="0.25">
      <c r="AL2002" s="31"/>
      <c r="AM2002" s="26"/>
      <c r="AN2002" s="32"/>
      <c r="AO2002" s="32"/>
      <c r="AP2002" s="24"/>
      <c r="AQ2002" s="24"/>
      <c r="AR2002" s="33"/>
      <c r="AS2002" s="34"/>
      <c r="AT2002" s="33"/>
      <c r="AV2002" s="21">
        <f>IF(AND($AL2002&lt;&gt;"",COUNTIF($AL$11:$AL2002,$AL2002)=1),1,0)</f>
        <v>0</v>
      </c>
      <c r="AW2002" s="21">
        <f t="shared" si="149"/>
        <v>0</v>
      </c>
      <c r="AX2002" s="21" t="str">
        <f t="shared" si="148"/>
        <v/>
      </c>
      <c r="AY2002" s="21" t="str">
        <f>IF(AND($AM2002&lt;&gt;"",$AS2002&lt;&gt;"✓"),SUMPRODUCT(($AM$11:$AM2002&lt;&gt;"")*($AS$11:$AS2002&lt;&gt;"✓")),"")</f>
        <v/>
      </c>
      <c r="AZ2002" s="21" t="str">
        <f>IF(AND($AM2002&lt;&gt;"",$AS2002="✓"),SUMPRODUCT(($AM$11:$AM2002&lt;&gt;"")*($AS$11:$AS2002="✓")),"")</f>
        <v/>
      </c>
      <c r="BA2002" s="21" t="str">
        <f>IF($AL2002="","",$AL2002&amp;"|"&amp;COUNTIF($AL$11:$AL2002,$AL2002))</f>
        <v/>
      </c>
    </row>
    <row r="2003" spans="38:53" ht="15" customHeight="1" x14ac:dyDescent="0.25">
      <c r="AL2003" s="17"/>
      <c r="AM2003" s="12"/>
      <c r="AN2003" s="18"/>
      <c r="AO2003" s="18"/>
      <c r="AP2003" s="10"/>
      <c r="AQ2003" s="10"/>
      <c r="AR2003" s="19"/>
      <c r="AS2003" s="20"/>
      <c r="AT2003" s="19"/>
      <c r="AV2003" s="21">
        <f>IF(AND($AL2003&lt;&gt;"",COUNTIF($AL$11:$AL2003,$AL2003)=1),1,0)</f>
        <v>0</v>
      </c>
      <c r="AW2003" s="21">
        <f t="shared" si="149"/>
        <v>0</v>
      </c>
      <c r="AX2003" s="21" t="str">
        <f t="shared" si="148"/>
        <v/>
      </c>
      <c r="AY2003" s="21" t="str">
        <f>IF(AND($AM2003&lt;&gt;"",$AS2003&lt;&gt;"✓"),SUMPRODUCT(($AM$11:$AM2003&lt;&gt;"")*($AS$11:$AS2003&lt;&gt;"✓")),"")</f>
        <v/>
      </c>
      <c r="AZ2003" s="21" t="str">
        <f>IF(AND($AM2003&lt;&gt;"",$AS2003="✓"),SUMPRODUCT(($AM$11:$AM2003&lt;&gt;"")*($AS$11:$AS2003="✓")),"")</f>
        <v/>
      </c>
      <c r="BA2003" s="21" t="str">
        <f>IF($AL2003="","",$AL2003&amp;"|"&amp;COUNTIF($AL$11:$AL2003,$AL2003))</f>
        <v/>
      </c>
    </row>
    <row r="2004" spans="38:53" ht="15" customHeight="1" x14ac:dyDescent="0.25">
      <c r="AL2004" s="31"/>
      <c r="AM2004" s="26"/>
      <c r="AN2004" s="32"/>
      <c r="AO2004" s="32"/>
      <c r="AP2004" s="24"/>
      <c r="AQ2004" s="24"/>
      <c r="AR2004" s="33"/>
      <c r="AS2004" s="34"/>
      <c r="AT2004" s="33"/>
      <c r="AV2004" s="21">
        <f>IF(AND($AL2004&lt;&gt;"",COUNTIF($AL$11:$AL2004,$AL2004)=1),1,0)</f>
        <v>0</v>
      </c>
      <c r="AW2004" s="21">
        <f t="shared" si="149"/>
        <v>0</v>
      </c>
      <c r="AX2004" s="21" t="str">
        <f t="shared" si="148"/>
        <v/>
      </c>
      <c r="AY2004" s="21" t="str">
        <f>IF(AND($AM2004&lt;&gt;"",$AS2004&lt;&gt;"✓"),SUMPRODUCT(($AM$11:$AM2004&lt;&gt;"")*($AS$11:$AS2004&lt;&gt;"✓")),"")</f>
        <v/>
      </c>
      <c r="AZ2004" s="21" t="str">
        <f>IF(AND($AM2004&lt;&gt;"",$AS2004="✓"),SUMPRODUCT(($AM$11:$AM2004&lt;&gt;"")*($AS$11:$AS2004="✓")),"")</f>
        <v/>
      </c>
      <c r="BA2004" s="21" t="str">
        <f>IF($AL2004="","",$AL2004&amp;"|"&amp;COUNTIF($AL$11:$AL2004,$AL2004))</f>
        <v/>
      </c>
    </row>
    <row r="2005" spans="38:53" ht="15" customHeight="1" x14ac:dyDescent="0.25">
      <c r="AL2005" s="17"/>
      <c r="AM2005" s="12"/>
      <c r="AN2005" s="18"/>
      <c r="AO2005" s="18"/>
      <c r="AP2005" s="10"/>
      <c r="AQ2005" s="10"/>
      <c r="AR2005" s="19"/>
      <c r="AS2005" s="20"/>
      <c r="AT2005" s="19"/>
      <c r="AV2005" s="21">
        <f>IF(AND($AL2005&lt;&gt;"",COUNTIF($AL$11:$AL2005,$AL2005)=1),1,0)</f>
        <v>0</v>
      </c>
      <c r="AW2005" s="21">
        <f t="shared" si="149"/>
        <v>0</v>
      </c>
      <c r="AX2005" s="21" t="str">
        <f t="shared" si="148"/>
        <v/>
      </c>
      <c r="AY2005" s="21" t="str">
        <f>IF(AND($AM2005&lt;&gt;"",$AS2005&lt;&gt;"✓"),SUMPRODUCT(($AM$11:$AM2005&lt;&gt;"")*($AS$11:$AS2005&lt;&gt;"✓")),"")</f>
        <v/>
      </c>
      <c r="AZ2005" s="21" t="str">
        <f>IF(AND($AM2005&lt;&gt;"",$AS2005="✓"),SUMPRODUCT(($AM$11:$AM2005&lt;&gt;"")*($AS$11:$AS2005="✓")),"")</f>
        <v/>
      </c>
      <c r="BA2005" s="21" t="str">
        <f>IF($AL2005="","",$AL2005&amp;"|"&amp;COUNTIF($AL$11:$AL2005,$AL2005))</f>
        <v/>
      </c>
    </row>
    <row r="2006" spans="38:53" ht="15" customHeight="1" x14ac:dyDescent="0.25">
      <c r="AL2006" s="31"/>
      <c r="AM2006" s="26"/>
      <c r="AN2006" s="32"/>
      <c r="AO2006" s="32"/>
      <c r="AP2006" s="24"/>
      <c r="AQ2006" s="24"/>
      <c r="AR2006" s="33"/>
      <c r="AS2006" s="34"/>
      <c r="AT2006" s="33"/>
      <c r="AV2006" s="21">
        <f>IF(AND($AL2006&lt;&gt;"",COUNTIF($AL$11:$AL2006,$AL2006)=1),1,0)</f>
        <v>0</v>
      </c>
      <c r="AW2006" s="21">
        <f t="shared" si="149"/>
        <v>0</v>
      </c>
      <c r="AX2006" s="21" t="str">
        <f t="shared" si="148"/>
        <v/>
      </c>
      <c r="AY2006" s="21" t="str">
        <f>IF(AND($AM2006&lt;&gt;"",$AS2006&lt;&gt;"✓"),SUMPRODUCT(($AM$11:$AM2006&lt;&gt;"")*($AS$11:$AS2006&lt;&gt;"✓")),"")</f>
        <v/>
      </c>
      <c r="AZ2006" s="21" t="str">
        <f>IF(AND($AM2006&lt;&gt;"",$AS2006="✓"),SUMPRODUCT(($AM$11:$AM2006&lt;&gt;"")*($AS$11:$AS2006="✓")),"")</f>
        <v/>
      </c>
      <c r="BA2006" s="21" t="str">
        <f>IF($AL2006="","",$AL2006&amp;"|"&amp;COUNTIF($AL$11:$AL2006,$AL2006))</f>
        <v/>
      </c>
    </row>
    <row r="2007" spans="38:53" ht="15" customHeight="1" x14ac:dyDescent="0.25">
      <c r="AL2007" s="17"/>
      <c r="AM2007" s="12"/>
      <c r="AN2007" s="18"/>
      <c r="AO2007" s="18"/>
      <c r="AP2007" s="10"/>
      <c r="AQ2007" s="10"/>
      <c r="AR2007" s="19"/>
      <c r="AS2007" s="20"/>
      <c r="AT2007" s="19"/>
      <c r="AV2007" s="21">
        <f>IF(AND($AL2007&lt;&gt;"",COUNTIF($AL$11:$AL2007,$AL2007)=1),1,0)</f>
        <v>0</v>
      </c>
      <c r="AW2007" s="21">
        <f t="shared" si="149"/>
        <v>0</v>
      </c>
      <c r="AX2007" s="21" t="str">
        <f t="shared" si="148"/>
        <v/>
      </c>
      <c r="AY2007" s="21" t="str">
        <f>IF(AND($AM2007&lt;&gt;"",$AS2007&lt;&gt;"✓"),SUMPRODUCT(($AM$11:$AM2007&lt;&gt;"")*($AS$11:$AS2007&lt;&gt;"✓")),"")</f>
        <v/>
      </c>
      <c r="AZ2007" s="21" t="str">
        <f>IF(AND($AM2007&lt;&gt;"",$AS2007="✓"),SUMPRODUCT(($AM$11:$AM2007&lt;&gt;"")*($AS$11:$AS2007="✓")),"")</f>
        <v/>
      </c>
      <c r="BA2007" s="21" t="str">
        <f>IF($AL2007="","",$AL2007&amp;"|"&amp;COUNTIF($AL$11:$AL2007,$AL2007))</f>
        <v/>
      </c>
    </row>
    <row r="2008" spans="38:53" ht="15" customHeight="1" x14ac:dyDescent="0.25">
      <c r="AL2008" s="31"/>
      <c r="AM2008" s="26"/>
      <c r="AN2008" s="32"/>
      <c r="AO2008" s="32"/>
      <c r="AP2008" s="24"/>
      <c r="AQ2008" s="24"/>
      <c r="AR2008" s="33"/>
      <c r="AS2008" s="34"/>
      <c r="AT2008" s="33"/>
      <c r="AV2008" s="21">
        <f>IF(AND($AL2008&lt;&gt;"",COUNTIF($AL$11:$AL2008,$AL2008)=1),1,0)</f>
        <v>0</v>
      </c>
      <c r="AW2008" s="21">
        <f t="shared" si="149"/>
        <v>0</v>
      </c>
      <c r="AX2008" s="21" t="str">
        <f t="shared" si="148"/>
        <v/>
      </c>
      <c r="AY2008" s="21" t="str">
        <f>IF(AND($AM2008&lt;&gt;"",$AS2008&lt;&gt;"✓"),SUMPRODUCT(($AM$11:$AM2008&lt;&gt;"")*($AS$11:$AS2008&lt;&gt;"✓")),"")</f>
        <v/>
      </c>
      <c r="AZ2008" s="21" t="str">
        <f>IF(AND($AM2008&lt;&gt;"",$AS2008="✓"),SUMPRODUCT(($AM$11:$AM2008&lt;&gt;"")*($AS$11:$AS2008="✓")),"")</f>
        <v/>
      </c>
      <c r="BA2008" s="21" t="str">
        <f>IF($AL2008="","",$AL2008&amp;"|"&amp;COUNTIF($AL$11:$AL2008,$AL2008))</f>
        <v/>
      </c>
    </row>
    <row r="2009" spans="38:53" ht="15" customHeight="1" x14ac:dyDescent="0.25">
      <c r="AL2009" s="17"/>
      <c r="AM2009" s="12"/>
      <c r="AN2009" s="18"/>
      <c r="AO2009" s="18"/>
      <c r="AP2009" s="10"/>
      <c r="AQ2009" s="10"/>
      <c r="AR2009" s="19"/>
      <c r="AS2009" s="20"/>
      <c r="AT2009" s="19"/>
      <c r="AV2009" s="21">
        <f>IF(AND($AL2009&lt;&gt;"",COUNTIF($AL$11:$AL2009,$AL2009)=1),1,0)</f>
        <v>0</v>
      </c>
      <c r="AW2009" s="21">
        <f t="shared" si="149"/>
        <v>0</v>
      </c>
      <c r="AX2009" s="21" t="str">
        <f t="shared" si="148"/>
        <v/>
      </c>
      <c r="AY2009" s="21" t="str">
        <f>IF(AND($AM2009&lt;&gt;"",$AS2009&lt;&gt;"✓"),SUMPRODUCT(($AM$11:$AM2009&lt;&gt;"")*($AS$11:$AS2009&lt;&gt;"✓")),"")</f>
        <v/>
      </c>
      <c r="AZ2009" s="21" t="str">
        <f>IF(AND($AM2009&lt;&gt;"",$AS2009="✓"),SUMPRODUCT(($AM$11:$AM2009&lt;&gt;"")*($AS$11:$AS2009="✓")),"")</f>
        <v/>
      </c>
      <c r="BA2009" s="21" t="str">
        <f>IF($AL2009="","",$AL2009&amp;"|"&amp;COUNTIF($AL$11:$AL2009,$AL2009))</f>
        <v/>
      </c>
    </row>
    <row r="2010" spans="38:53" ht="15" customHeight="1" x14ac:dyDescent="0.25">
      <c r="AL2010" s="31"/>
      <c r="AM2010" s="26"/>
      <c r="AN2010" s="32"/>
      <c r="AO2010" s="32"/>
      <c r="AP2010" s="24"/>
      <c r="AQ2010" s="24"/>
      <c r="AR2010" s="33"/>
      <c r="AS2010" s="34"/>
      <c r="AT2010" s="33"/>
      <c r="AV2010" s="21">
        <f>IF(AND($AL2010&lt;&gt;"",COUNTIF($AL$11:$AL2010,$AL2010)=1),1,0)</f>
        <v>0</v>
      </c>
      <c r="AW2010" s="21">
        <f t="shared" si="149"/>
        <v>0</v>
      </c>
      <c r="AX2010" s="21" t="str">
        <f t="shared" si="148"/>
        <v/>
      </c>
      <c r="AY2010" s="21" t="str">
        <f>IF(AND($AM2010&lt;&gt;"",$AS2010&lt;&gt;"✓"),SUMPRODUCT(($AM$11:$AM2010&lt;&gt;"")*($AS$11:$AS2010&lt;&gt;"✓")),"")</f>
        <v/>
      </c>
      <c r="AZ2010" s="21" t="str">
        <f>IF(AND($AM2010&lt;&gt;"",$AS2010="✓"),SUMPRODUCT(($AM$11:$AM2010&lt;&gt;"")*($AS$11:$AS2010="✓")),"")</f>
        <v/>
      </c>
      <c r="BA2010" s="21" t="str">
        <f>IF($AL2010="","",$AL2010&amp;"|"&amp;COUNTIF($AL$11:$AL2010,$AL2010))</f>
        <v/>
      </c>
    </row>
    <row r="2011" spans="38:53" ht="15" customHeight="1" x14ac:dyDescent="0.25">
      <c r="AL2011" s="17"/>
      <c r="AM2011" s="12"/>
      <c r="AN2011" s="18"/>
      <c r="AO2011" s="18"/>
      <c r="AP2011" s="10"/>
      <c r="AQ2011" s="10"/>
      <c r="AR2011" s="19"/>
      <c r="AS2011" s="20"/>
      <c r="AT2011" s="19"/>
      <c r="AV2011" s="21">
        <f>IF(AND($AL2011&lt;&gt;"",COUNTIF($AL$11:$AL2011,$AL2011)=1),1,0)</f>
        <v>0</v>
      </c>
      <c r="AW2011" s="21">
        <f t="shared" si="149"/>
        <v>0</v>
      </c>
      <c r="AX2011" s="21" t="str">
        <f t="shared" si="148"/>
        <v/>
      </c>
      <c r="AY2011" s="21" t="str">
        <f>IF(AND($AM2011&lt;&gt;"",$AS2011&lt;&gt;"✓"),SUMPRODUCT(($AM$11:$AM2011&lt;&gt;"")*($AS$11:$AS2011&lt;&gt;"✓")),"")</f>
        <v/>
      </c>
      <c r="AZ2011" s="21" t="str">
        <f>IF(AND($AM2011&lt;&gt;"",$AS2011="✓"),SUMPRODUCT(($AM$11:$AM2011&lt;&gt;"")*($AS$11:$AS2011="✓")),"")</f>
        <v/>
      </c>
      <c r="BA2011" s="21" t="str">
        <f>IF($AL2011="","",$AL2011&amp;"|"&amp;COUNTIF($AL$11:$AL2011,$AL2011))</f>
        <v/>
      </c>
    </row>
    <row r="2012" spans="38:53" ht="15" customHeight="1" x14ac:dyDescent="0.25">
      <c r="AL2012" s="31"/>
      <c r="AM2012" s="26"/>
      <c r="AN2012" s="32"/>
      <c r="AO2012" s="32"/>
      <c r="AP2012" s="24"/>
      <c r="AQ2012" s="24"/>
      <c r="AR2012" s="33"/>
      <c r="AS2012" s="34"/>
      <c r="AT2012" s="33"/>
      <c r="AV2012" s="21">
        <f>IF(AND($AL2012&lt;&gt;"",COUNTIF($AL$11:$AL2012,$AL2012)=1),1,0)</f>
        <v>0</v>
      </c>
      <c r="AW2012" s="21">
        <f t="shared" si="149"/>
        <v>0</v>
      </c>
      <c r="AX2012" s="21" t="str">
        <f t="shared" si="148"/>
        <v/>
      </c>
      <c r="AY2012" s="21" t="str">
        <f>IF(AND($AM2012&lt;&gt;"",$AS2012&lt;&gt;"✓"),SUMPRODUCT(($AM$11:$AM2012&lt;&gt;"")*($AS$11:$AS2012&lt;&gt;"✓")),"")</f>
        <v/>
      </c>
      <c r="AZ2012" s="21" t="str">
        <f>IF(AND($AM2012&lt;&gt;"",$AS2012="✓"),SUMPRODUCT(($AM$11:$AM2012&lt;&gt;"")*($AS$11:$AS2012="✓")),"")</f>
        <v/>
      </c>
      <c r="BA2012" s="21" t="str">
        <f>IF($AL2012="","",$AL2012&amp;"|"&amp;COUNTIF($AL$11:$AL2012,$AL2012))</f>
        <v/>
      </c>
    </row>
    <row r="2013" spans="38:53" ht="15" customHeight="1" x14ac:dyDescent="0.25">
      <c r="AL2013" s="17"/>
      <c r="AM2013" s="12"/>
      <c r="AN2013" s="18"/>
      <c r="AO2013" s="18"/>
      <c r="AP2013" s="10"/>
      <c r="AQ2013" s="10"/>
      <c r="AR2013" s="19"/>
      <c r="AS2013" s="20"/>
      <c r="AT2013" s="19"/>
      <c r="AV2013" s="21">
        <f>IF(AND($AL2013&lt;&gt;"",COUNTIF($AL$11:$AL2013,$AL2013)=1),1,0)</f>
        <v>0</v>
      </c>
      <c r="AW2013" s="21">
        <f t="shared" si="149"/>
        <v>0</v>
      </c>
      <c r="AX2013" s="21" t="str">
        <f t="shared" si="148"/>
        <v/>
      </c>
      <c r="AY2013" s="21" t="str">
        <f>IF(AND($AM2013&lt;&gt;"",$AS2013&lt;&gt;"✓"),SUMPRODUCT(($AM$11:$AM2013&lt;&gt;"")*($AS$11:$AS2013&lt;&gt;"✓")),"")</f>
        <v/>
      </c>
      <c r="AZ2013" s="21" t="str">
        <f>IF(AND($AM2013&lt;&gt;"",$AS2013="✓"),SUMPRODUCT(($AM$11:$AM2013&lt;&gt;"")*($AS$11:$AS2013="✓")),"")</f>
        <v/>
      </c>
      <c r="BA2013" s="21" t="str">
        <f>IF($AL2013="","",$AL2013&amp;"|"&amp;COUNTIF($AL$11:$AL2013,$AL2013))</f>
        <v/>
      </c>
    </row>
    <row r="2014" spans="38:53" ht="15" customHeight="1" x14ac:dyDescent="0.25">
      <c r="AL2014" s="31"/>
      <c r="AM2014" s="26"/>
      <c r="AN2014" s="32"/>
      <c r="AO2014" s="32"/>
      <c r="AP2014" s="24"/>
      <c r="AQ2014" s="24"/>
      <c r="AR2014" s="33"/>
      <c r="AS2014" s="34"/>
      <c r="AT2014" s="33"/>
      <c r="AV2014" s="21">
        <f>IF(AND($AL2014&lt;&gt;"",COUNTIF($AL$11:$AL2014,$AL2014)=1),1,0)</f>
        <v>0</v>
      </c>
      <c r="AW2014" s="21">
        <f t="shared" si="149"/>
        <v>0</v>
      </c>
      <c r="AX2014" s="21" t="str">
        <f t="shared" si="148"/>
        <v/>
      </c>
      <c r="AY2014" s="21" t="str">
        <f>IF(AND($AM2014&lt;&gt;"",$AS2014&lt;&gt;"✓"),SUMPRODUCT(($AM$11:$AM2014&lt;&gt;"")*($AS$11:$AS2014&lt;&gt;"✓")),"")</f>
        <v/>
      </c>
      <c r="AZ2014" s="21" t="str">
        <f>IF(AND($AM2014&lt;&gt;"",$AS2014="✓"),SUMPRODUCT(($AM$11:$AM2014&lt;&gt;"")*($AS$11:$AS2014="✓")),"")</f>
        <v/>
      </c>
      <c r="BA2014" s="21" t="str">
        <f>IF($AL2014="","",$AL2014&amp;"|"&amp;COUNTIF($AL$11:$AL2014,$AL2014))</f>
        <v/>
      </c>
    </row>
    <row r="2015" spans="38:53" ht="15" customHeight="1" x14ac:dyDescent="0.25">
      <c r="AL2015" s="17"/>
      <c r="AM2015" s="12"/>
      <c r="AN2015" s="18"/>
      <c r="AO2015" s="18"/>
      <c r="AP2015" s="10"/>
      <c r="AQ2015" s="10"/>
      <c r="AR2015" s="19"/>
      <c r="AS2015" s="20"/>
      <c r="AT2015" s="19"/>
      <c r="AV2015" s="21">
        <f>IF(AND($AL2015&lt;&gt;"",COUNTIF($AL$11:$AL2015,$AL2015)=1),1,0)</f>
        <v>0</v>
      </c>
      <c r="AW2015" s="21">
        <f t="shared" si="149"/>
        <v>0</v>
      </c>
      <c r="AX2015" s="21" t="str">
        <f t="shared" si="148"/>
        <v/>
      </c>
      <c r="AY2015" s="21" t="str">
        <f>IF(AND($AM2015&lt;&gt;"",$AS2015&lt;&gt;"✓"),SUMPRODUCT(($AM$11:$AM2015&lt;&gt;"")*($AS$11:$AS2015&lt;&gt;"✓")),"")</f>
        <v/>
      </c>
      <c r="AZ2015" s="21" t="str">
        <f>IF(AND($AM2015&lt;&gt;"",$AS2015="✓"),SUMPRODUCT(($AM$11:$AM2015&lt;&gt;"")*($AS$11:$AS2015="✓")),"")</f>
        <v/>
      </c>
      <c r="BA2015" s="21" t="str">
        <f>IF($AL2015="","",$AL2015&amp;"|"&amp;COUNTIF($AL$11:$AL2015,$AL2015))</f>
        <v/>
      </c>
    </row>
    <row r="2016" spans="38:53" ht="15" customHeight="1" x14ac:dyDescent="0.25">
      <c r="AL2016" s="31"/>
      <c r="AM2016" s="26"/>
      <c r="AN2016" s="32"/>
      <c r="AO2016" s="32"/>
      <c r="AP2016" s="24"/>
      <c r="AQ2016" s="24"/>
      <c r="AR2016" s="33"/>
      <c r="AS2016" s="34"/>
      <c r="AT2016" s="33"/>
      <c r="AV2016" s="21">
        <f>IF(AND($AL2016&lt;&gt;"",COUNTIF($AL$11:$AL2016,$AL2016)=1),1,0)</f>
        <v>0</v>
      </c>
      <c r="AW2016" s="21">
        <f t="shared" si="149"/>
        <v>0</v>
      </c>
      <c r="AX2016" s="21" t="str">
        <f t="shared" si="148"/>
        <v/>
      </c>
      <c r="AY2016" s="21" t="str">
        <f>IF(AND($AM2016&lt;&gt;"",$AS2016&lt;&gt;"✓"),SUMPRODUCT(($AM$11:$AM2016&lt;&gt;"")*($AS$11:$AS2016&lt;&gt;"✓")),"")</f>
        <v/>
      </c>
      <c r="AZ2016" s="21" t="str">
        <f>IF(AND($AM2016&lt;&gt;"",$AS2016="✓"),SUMPRODUCT(($AM$11:$AM2016&lt;&gt;"")*($AS$11:$AS2016="✓")),"")</f>
        <v/>
      </c>
      <c r="BA2016" s="21" t="str">
        <f>IF($AL2016="","",$AL2016&amp;"|"&amp;COUNTIF($AL$11:$AL2016,$AL2016))</f>
        <v/>
      </c>
    </row>
    <row r="2017" spans="38:53" ht="15" customHeight="1" x14ac:dyDescent="0.25">
      <c r="AL2017" s="17"/>
      <c r="AM2017" s="12"/>
      <c r="AN2017" s="18"/>
      <c r="AO2017" s="18"/>
      <c r="AP2017" s="10"/>
      <c r="AQ2017" s="10"/>
      <c r="AR2017" s="19"/>
      <c r="AS2017" s="20"/>
      <c r="AT2017" s="19"/>
      <c r="AV2017" s="21">
        <f>IF(AND($AL2017&lt;&gt;"",COUNTIF($AL$11:$AL2017,$AL2017)=1),1,0)</f>
        <v>0</v>
      </c>
      <c r="AW2017" s="21">
        <f t="shared" si="149"/>
        <v>0</v>
      </c>
      <c r="AX2017" s="21" t="str">
        <f t="shared" si="148"/>
        <v/>
      </c>
      <c r="AY2017" s="21" t="str">
        <f>IF(AND($AM2017&lt;&gt;"",$AS2017&lt;&gt;"✓"),SUMPRODUCT(($AM$11:$AM2017&lt;&gt;"")*($AS$11:$AS2017&lt;&gt;"✓")),"")</f>
        <v/>
      </c>
      <c r="AZ2017" s="21" t="str">
        <f>IF(AND($AM2017&lt;&gt;"",$AS2017="✓"),SUMPRODUCT(($AM$11:$AM2017&lt;&gt;"")*($AS$11:$AS2017="✓")),"")</f>
        <v/>
      </c>
      <c r="BA2017" s="21" t="str">
        <f>IF($AL2017="","",$AL2017&amp;"|"&amp;COUNTIF($AL$11:$AL2017,$AL2017))</f>
        <v/>
      </c>
    </row>
    <row r="2018" spans="38:53" ht="15" customHeight="1" x14ac:dyDescent="0.25">
      <c r="AL2018" s="31"/>
      <c r="AM2018" s="26"/>
      <c r="AN2018" s="32"/>
      <c r="AO2018" s="32"/>
      <c r="AP2018" s="24"/>
      <c r="AQ2018" s="24"/>
      <c r="AR2018" s="33"/>
      <c r="AS2018" s="34"/>
      <c r="AT2018" s="33"/>
      <c r="AV2018" s="21">
        <f>IF(AND($AL2018&lt;&gt;"",COUNTIF($AL$11:$AL2018,$AL2018)=1),1,0)</f>
        <v>0</v>
      </c>
      <c r="AW2018" s="21">
        <f t="shared" si="149"/>
        <v>0</v>
      </c>
      <c r="AX2018" s="21" t="str">
        <f t="shared" si="148"/>
        <v/>
      </c>
      <c r="AY2018" s="21" t="str">
        <f>IF(AND($AM2018&lt;&gt;"",$AS2018&lt;&gt;"✓"),SUMPRODUCT(($AM$11:$AM2018&lt;&gt;"")*($AS$11:$AS2018&lt;&gt;"✓")),"")</f>
        <v/>
      </c>
      <c r="AZ2018" s="21" t="str">
        <f>IF(AND($AM2018&lt;&gt;"",$AS2018="✓"),SUMPRODUCT(($AM$11:$AM2018&lt;&gt;"")*($AS$11:$AS2018="✓")),"")</f>
        <v/>
      </c>
      <c r="BA2018" s="21" t="str">
        <f>IF($AL2018="","",$AL2018&amp;"|"&amp;COUNTIF($AL$11:$AL2018,$AL2018))</f>
        <v/>
      </c>
    </row>
    <row r="2019" spans="38:53" ht="15" customHeight="1" x14ac:dyDescent="0.25">
      <c r="AL2019" s="17"/>
      <c r="AM2019" s="12"/>
      <c r="AN2019" s="18"/>
      <c r="AO2019" s="18"/>
      <c r="AP2019" s="10"/>
      <c r="AQ2019" s="10"/>
      <c r="AR2019" s="19"/>
      <c r="AS2019" s="20"/>
      <c r="AT2019" s="19"/>
      <c r="AV2019" s="21">
        <f>IF(AND($AL2019&lt;&gt;"",COUNTIF($AL$11:$AL2019,$AL2019)=1),1,0)</f>
        <v>0</v>
      </c>
      <c r="AW2019" s="21">
        <f t="shared" si="149"/>
        <v>0</v>
      </c>
      <c r="AX2019" s="21" t="str">
        <f t="shared" si="148"/>
        <v/>
      </c>
      <c r="AY2019" s="21" t="str">
        <f>IF(AND($AM2019&lt;&gt;"",$AS2019&lt;&gt;"✓"),SUMPRODUCT(($AM$11:$AM2019&lt;&gt;"")*($AS$11:$AS2019&lt;&gt;"✓")),"")</f>
        <v/>
      </c>
      <c r="AZ2019" s="21" t="str">
        <f>IF(AND($AM2019&lt;&gt;"",$AS2019="✓"),SUMPRODUCT(($AM$11:$AM2019&lt;&gt;"")*($AS$11:$AS2019="✓")),"")</f>
        <v/>
      </c>
      <c r="BA2019" s="21" t="str">
        <f>IF($AL2019="","",$AL2019&amp;"|"&amp;COUNTIF($AL$11:$AL2019,$AL2019))</f>
        <v/>
      </c>
    </row>
    <row r="2020" spans="38:53" ht="15" customHeight="1" x14ac:dyDescent="0.25">
      <c r="AL2020" s="31"/>
      <c r="AM2020" s="26"/>
      <c r="AN2020" s="32"/>
      <c r="AO2020" s="32"/>
      <c r="AP2020" s="24"/>
      <c r="AQ2020" s="24"/>
      <c r="AR2020" s="33"/>
      <c r="AS2020" s="34"/>
      <c r="AT2020" s="33"/>
      <c r="AV2020" s="21">
        <f>IF(AND($AL2020&lt;&gt;"",COUNTIF($AL$11:$AL2020,$AL2020)=1),1,0)</f>
        <v>0</v>
      </c>
      <c r="AW2020" s="21">
        <f t="shared" si="149"/>
        <v>0</v>
      </c>
      <c r="AX2020" s="21" t="str">
        <f t="shared" si="148"/>
        <v/>
      </c>
      <c r="AY2020" s="21" t="str">
        <f>IF(AND($AM2020&lt;&gt;"",$AS2020&lt;&gt;"✓"),SUMPRODUCT(($AM$11:$AM2020&lt;&gt;"")*($AS$11:$AS2020&lt;&gt;"✓")),"")</f>
        <v/>
      </c>
      <c r="AZ2020" s="21" t="str">
        <f>IF(AND($AM2020&lt;&gt;"",$AS2020="✓"),SUMPRODUCT(($AM$11:$AM2020&lt;&gt;"")*($AS$11:$AS2020="✓")),"")</f>
        <v/>
      </c>
      <c r="BA2020" s="21" t="str">
        <f>IF($AL2020="","",$AL2020&amp;"|"&amp;COUNTIF($AL$11:$AL2020,$AL2020))</f>
        <v/>
      </c>
    </row>
    <row r="2021" spans="38:53" ht="15" customHeight="1" x14ac:dyDescent="0.25">
      <c r="AL2021" s="17"/>
      <c r="AM2021" s="12"/>
      <c r="AN2021" s="18"/>
      <c r="AO2021" s="18"/>
      <c r="AP2021" s="10"/>
      <c r="AQ2021" s="10"/>
      <c r="AR2021" s="19"/>
      <c r="AS2021" s="20"/>
      <c r="AT2021" s="19"/>
      <c r="AV2021" s="21">
        <f>IF(AND($AL2021&lt;&gt;"",COUNTIF($AL$11:$AL2021,$AL2021)=1),1,0)</f>
        <v>0</v>
      </c>
      <c r="AW2021" s="21">
        <f t="shared" si="149"/>
        <v>0</v>
      </c>
      <c r="AX2021" s="21" t="str">
        <f t="shared" si="148"/>
        <v/>
      </c>
      <c r="AY2021" s="21" t="str">
        <f>IF(AND($AM2021&lt;&gt;"",$AS2021&lt;&gt;"✓"),SUMPRODUCT(($AM$11:$AM2021&lt;&gt;"")*($AS$11:$AS2021&lt;&gt;"✓")),"")</f>
        <v/>
      </c>
      <c r="AZ2021" s="21" t="str">
        <f>IF(AND($AM2021&lt;&gt;"",$AS2021="✓"),SUMPRODUCT(($AM$11:$AM2021&lt;&gt;"")*($AS$11:$AS2021="✓")),"")</f>
        <v/>
      </c>
      <c r="BA2021" s="21" t="str">
        <f>IF($AL2021="","",$AL2021&amp;"|"&amp;COUNTIF($AL$11:$AL2021,$AL2021))</f>
        <v/>
      </c>
    </row>
    <row r="2022" spans="38:53" ht="15" customHeight="1" x14ac:dyDescent="0.25">
      <c r="AL2022" s="31"/>
      <c r="AM2022" s="26"/>
      <c r="AN2022" s="32"/>
      <c r="AO2022" s="32"/>
      <c r="AP2022" s="24"/>
      <c r="AQ2022" s="24"/>
      <c r="AR2022" s="33"/>
      <c r="AS2022" s="34"/>
      <c r="AT2022" s="33"/>
      <c r="AV2022" s="21">
        <f>IF(AND($AL2022&lt;&gt;"",COUNTIF($AL$11:$AL2022,$AL2022)=1),1,0)</f>
        <v>0</v>
      </c>
      <c r="AW2022" s="21">
        <f t="shared" si="149"/>
        <v>0</v>
      </c>
      <c r="AX2022" s="21" t="str">
        <f t="shared" si="148"/>
        <v/>
      </c>
      <c r="AY2022" s="21" t="str">
        <f>IF(AND($AM2022&lt;&gt;"",$AS2022&lt;&gt;"✓"),SUMPRODUCT(($AM$11:$AM2022&lt;&gt;"")*($AS$11:$AS2022&lt;&gt;"✓")),"")</f>
        <v/>
      </c>
      <c r="AZ2022" s="21" t="str">
        <f>IF(AND($AM2022&lt;&gt;"",$AS2022="✓"),SUMPRODUCT(($AM$11:$AM2022&lt;&gt;"")*($AS$11:$AS2022="✓")),"")</f>
        <v/>
      </c>
      <c r="BA2022" s="21" t="str">
        <f>IF($AL2022="","",$AL2022&amp;"|"&amp;COUNTIF($AL$11:$AL2022,$AL2022))</f>
        <v/>
      </c>
    </row>
    <row r="2023" spans="38:53" ht="15" customHeight="1" x14ac:dyDescent="0.25">
      <c r="AL2023" s="17"/>
      <c r="AM2023" s="12"/>
      <c r="AN2023" s="18"/>
      <c r="AO2023" s="18"/>
      <c r="AP2023" s="10"/>
      <c r="AQ2023" s="10"/>
      <c r="AR2023" s="19"/>
      <c r="AS2023" s="20"/>
      <c r="AT2023" s="19"/>
      <c r="AV2023" s="21">
        <f>IF(AND($AL2023&lt;&gt;"",COUNTIF($AL$11:$AL2023,$AL2023)=1),1,0)</f>
        <v>0</v>
      </c>
      <c r="AW2023" s="21">
        <f t="shared" si="149"/>
        <v>0</v>
      </c>
      <c r="AX2023" s="21" t="str">
        <f t="shared" si="148"/>
        <v/>
      </c>
      <c r="AY2023" s="21" t="str">
        <f>IF(AND($AM2023&lt;&gt;"",$AS2023&lt;&gt;"✓"),SUMPRODUCT(($AM$11:$AM2023&lt;&gt;"")*($AS$11:$AS2023&lt;&gt;"✓")),"")</f>
        <v/>
      </c>
      <c r="AZ2023" s="21" t="str">
        <f>IF(AND($AM2023&lt;&gt;"",$AS2023="✓"),SUMPRODUCT(($AM$11:$AM2023&lt;&gt;"")*($AS$11:$AS2023="✓")),"")</f>
        <v/>
      </c>
      <c r="BA2023" s="21" t="str">
        <f>IF($AL2023="","",$AL2023&amp;"|"&amp;COUNTIF($AL$11:$AL2023,$AL2023))</f>
        <v/>
      </c>
    </row>
    <row r="2024" spans="38:53" ht="15" customHeight="1" x14ac:dyDescent="0.25">
      <c r="AL2024" s="31"/>
      <c r="AM2024" s="26"/>
      <c r="AN2024" s="32"/>
      <c r="AO2024" s="32"/>
      <c r="AP2024" s="24"/>
      <c r="AQ2024" s="24"/>
      <c r="AR2024" s="33"/>
      <c r="AS2024" s="34"/>
      <c r="AT2024" s="33"/>
      <c r="AV2024" s="21">
        <f>IF(AND($AL2024&lt;&gt;"",COUNTIF($AL$11:$AL2024,$AL2024)=1),1,0)</f>
        <v>0</v>
      </c>
      <c r="AW2024" s="21">
        <f t="shared" si="149"/>
        <v>0</v>
      </c>
      <c r="AX2024" s="21" t="str">
        <f t="shared" si="148"/>
        <v/>
      </c>
      <c r="AY2024" s="21" t="str">
        <f>IF(AND($AM2024&lt;&gt;"",$AS2024&lt;&gt;"✓"),SUMPRODUCT(($AM$11:$AM2024&lt;&gt;"")*($AS$11:$AS2024&lt;&gt;"✓")),"")</f>
        <v/>
      </c>
      <c r="AZ2024" s="21" t="str">
        <f>IF(AND($AM2024&lt;&gt;"",$AS2024="✓"),SUMPRODUCT(($AM$11:$AM2024&lt;&gt;"")*($AS$11:$AS2024="✓")),"")</f>
        <v/>
      </c>
      <c r="BA2024" s="21" t="str">
        <f>IF($AL2024="","",$AL2024&amp;"|"&amp;COUNTIF($AL$11:$AL2024,$AL2024))</f>
        <v/>
      </c>
    </row>
    <row r="2025" spans="38:53" ht="15" customHeight="1" x14ac:dyDescent="0.25">
      <c r="AL2025" s="17"/>
      <c r="AM2025" s="12"/>
      <c r="AN2025" s="18"/>
      <c r="AO2025" s="18"/>
      <c r="AP2025" s="10"/>
      <c r="AQ2025" s="10"/>
      <c r="AR2025" s="19"/>
      <c r="AS2025" s="20"/>
      <c r="AT2025" s="19"/>
      <c r="AV2025" s="21">
        <f>IF(AND($AL2025&lt;&gt;"",COUNTIF($AL$11:$AL2025,$AL2025)=1),1,0)</f>
        <v>0</v>
      </c>
      <c r="AW2025" s="21">
        <f t="shared" si="149"/>
        <v>0</v>
      </c>
      <c r="AX2025" s="21" t="str">
        <f t="shared" si="148"/>
        <v/>
      </c>
      <c r="AY2025" s="21" t="str">
        <f>IF(AND($AM2025&lt;&gt;"",$AS2025&lt;&gt;"✓"),SUMPRODUCT(($AM$11:$AM2025&lt;&gt;"")*($AS$11:$AS2025&lt;&gt;"✓")),"")</f>
        <v/>
      </c>
      <c r="AZ2025" s="21" t="str">
        <f>IF(AND($AM2025&lt;&gt;"",$AS2025="✓"),SUMPRODUCT(($AM$11:$AM2025&lt;&gt;"")*($AS$11:$AS2025="✓")),"")</f>
        <v/>
      </c>
      <c r="BA2025" s="21" t="str">
        <f>IF($AL2025="","",$AL2025&amp;"|"&amp;COUNTIF($AL$11:$AL2025,$AL2025))</f>
        <v/>
      </c>
    </row>
    <row r="2026" spans="38:53" ht="15" customHeight="1" x14ac:dyDescent="0.25">
      <c r="AL2026" s="31"/>
      <c r="AM2026" s="26"/>
      <c r="AN2026" s="32"/>
      <c r="AO2026" s="32"/>
      <c r="AP2026" s="24"/>
      <c r="AQ2026" s="24"/>
      <c r="AR2026" s="33"/>
      <c r="AS2026" s="34"/>
      <c r="AT2026" s="33"/>
      <c r="AV2026" s="21">
        <f>IF(AND($AL2026&lt;&gt;"",COUNTIF($AL$11:$AL2026,$AL2026)=1),1,0)</f>
        <v>0</v>
      </c>
      <c r="AW2026" s="21">
        <f t="shared" si="149"/>
        <v>0</v>
      </c>
      <c r="AX2026" s="21" t="str">
        <f t="shared" si="148"/>
        <v/>
      </c>
      <c r="AY2026" s="21" t="str">
        <f>IF(AND($AM2026&lt;&gt;"",$AS2026&lt;&gt;"✓"),SUMPRODUCT(($AM$11:$AM2026&lt;&gt;"")*($AS$11:$AS2026&lt;&gt;"✓")),"")</f>
        <v/>
      </c>
      <c r="AZ2026" s="21" t="str">
        <f>IF(AND($AM2026&lt;&gt;"",$AS2026="✓"),SUMPRODUCT(($AM$11:$AM2026&lt;&gt;"")*($AS$11:$AS2026="✓")),"")</f>
        <v/>
      </c>
      <c r="BA2026" s="21" t="str">
        <f>IF($AL2026="","",$AL2026&amp;"|"&amp;COUNTIF($AL$11:$AL2026,$AL2026))</f>
        <v/>
      </c>
    </row>
    <row r="2027" spans="38:53" ht="15" customHeight="1" x14ac:dyDescent="0.25">
      <c r="AL2027" s="17"/>
      <c r="AM2027" s="12"/>
      <c r="AN2027" s="18"/>
      <c r="AO2027" s="18"/>
      <c r="AP2027" s="10"/>
      <c r="AQ2027" s="10"/>
      <c r="AR2027" s="19"/>
      <c r="AS2027" s="20"/>
      <c r="AT2027" s="19"/>
      <c r="AV2027" s="21">
        <f>IF(AND($AL2027&lt;&gt;"",COUNTIF($AL$11:$AL2027,$AL2027)=1),1,0)</f>
        <v>0</v>
      </c>
      <c r="AW2027" s="21">
        <f t="shared" si="149"/>
        <v>0</v>
      </c>
      <c r="AX2027" s="21" t="str">
        <f t="shared" si="148"/>
        <v/>
      </c>
      <c r="AY2027" s="21" t="str">
        <f>IF(AND($AM2027&lt;&gt;"",$AS2027&lt;&gt;"✓"),SUMPRODUCT(($AM$11:$AM2027&lt;&gt;"")*($AS$11:$AS2027&lt;&gt;"✓")),"")</f>
        <v/>
      </c>
      <c r="AZ2027" s="21" t="str">
        <f>IF(AND($AM2027&lt;&gt;"",$AS2027="✓"),SUMPRODUCT(($AM$11:$AM2027&lt;&gt;"")*($AS$11:$AS2027="✓")),"")</f>
        <v/>
      </c>
      <c r="BA2027" s="21" t="str">
        <f>IF($AL2027="","",$AL2027&amp;"|"&amp;COUNTIF($AL$11:$AL2027,$AL2027))</f>
        <v/>
      </c>
    </row>
    <row r="2028" spans="38:53" ht="15" customHeight="1" x14ac:dyDescent="0.25">
      <c r="AL2028" s="31"/>
      <c r="AM2028" s="26"/>
      <c r="AN2028" s="32"/>
      <c r="AO2028" s="32"/>
      <c r="AP2028" s="24"/>
      <c r="AQ2028" s="24"/>
      <c r="AR2028" s="33"/>
      <c r="AS2028" s="34"/>
      <c r="AT2028" s="33"/>
      <c r="AV2028" s="21">
        <f>IF(AND($AL2028&lt;&gt;"",COUNTIF($AL$11:$AL2028,$AL2028)=1),1,0)</f>
        <v>0</v>
      </c>
      <c r="AW2028" s="21">
        <f t="shared" si="149"/>
        <v>0</v>
      </c>
      <c r="AX2028" s="21" t="str">
        <f t="shared" si="148"/>
        <v/>
      </c>
      <c r="AY2028" s="21" t="str">
        <f>IF(AND($AM2028&lt;&gt;"",$AS2028&lt;&gt;"✓"),SUMPRODUCT(($AM$11:$AM2028&lt;&gt;"")*($AS$11:$AS2028&lt;&gt;"✓")),"")</f>
        <v/>
      </c>
      <c r="AZ2028" s="21" t="str">
        <f>IF(AND($AM2028&lt;&gt;"",$AS2028="✓"),SUMPRODUCT(($AM$11:$AM2028&lt;&gt;"")*($AS$11:$AS2028="✓")),"")</f>
        <v/>
      </c>
      <c r="BA2028" s="21" t="str">
        <f>IF($AL2028="","",$AL2028&amp;"|"&amp;COUNTIF($AL$11:$AL2028,$AL2028))</f>
        <v/>
      </c>
    </row>
    <row r="2029" spans="38:53" ht="15" customHeight="1" x14ac:dyDescent="0.25">
      <c r="AL2029" s="17"/>
      <c r="AM2029" s="12"/>
      <c r="AN2029" s="18"/>
      <c r="AO2029" s="18"/>
      <c r="AP2029" s="10"/>
      <c r="AQ2029" s="10"/>
      <c r="AR2029" s="19"/>
      <c r="AS2029" s="20"/>
      <c r="AT2029" s="19"/>
      <c r="AV2029" s="21">
        <f>IF(AND($AL2029&lt;&gt;"",COUNTIF($AL$11:$AL2029,$AL2029)=1),1,0)</f>
        <v>0</v>
      </c>
      <c r="AW2029" s="21">
        <f t="shared" si="149"/>
        <v>0</v>
      </c>
      <c r="AX2029" s="21" t="str">
        <f t="shared" si="148"/>
        <v/>
      </c>
      <c r="AY2029" s="21" t="str">
        <f>IF(AND($AM2029&lt;&gt;"",$AS2029&lt;&gt;"✓"),SUMPRODUCT(($AM$11:$AM2029&lt;&gt;"")*($AS$11:$AS2029&lt;&gt;"✓")),"")</f>
        <v/>
      </c>
      <c r="AZ2029" s="21" t="str">
        <f>IF(AND($AM2029&lt;&gt;"",$AS2029="✓"),SUMPRODUCT(($AM$11:$AM2029&lt;&gt;"")*($AS$11:$AS2029="✓")),"")</f>
        <v/>
      </c>
      <c r="BA2029" s="21" t="str">
        <f>IF($AL2029="","",$AL2029&amp;"|"&amp;COUNTIF($AL$11:$AL2029,$AL2029))</f>
        <v/>
      </c>
    </row>
    <row r="2030" spans="38:53" ht="15" customHeight="1" x14ac:dyDescent="0.25">
      <c r="AL2030" s="31"/>
      <c r="AM2030" s="26"/>
      <c r="AN2030" s="32"/>
      <c r="AO2030" s="32"/>
      <c r="AP2030" s="24"/>
      <c r="AQ2030" s="24"/>
      <c r="AR2030" s="33"/>
      <c r="AS2030" s="34"/>
      <c r="AT2030" s="33"/>
      <c r="AV2030" s="21">
        <f>IF(AND($AL2030&lt;&gt;"",COUNTIF($AL$11:$AL2030,$AL2030)=1),1,0)</f>
        <v>0</v>
      </c>
      <c r="AW2030" s="21">
        <f t="shared" si="149"/>
        <v>0</v>
      </c>
      <c r="AX2030" s="21" t="str">
        <f t="shared" si="148"/>
        <v/>
      </c>
      <c r="AY2030" s="21" t="str">
        <f>IF(AND($AM2030&lt;&gt;"",$AS2030&lt;&gt;"✓"),SUMPRODUCT(($AM$11:$AM2030&lt;&gt;"")*($AS$11:$AS2030&lt;&gt;"✓")),"")</f>
        <v/>
      </c>
      <c r="AZ2030" s="21" t="str">
        <f>IF(AND($AM2030&lt;&gt;"",$AS2030="✓"),SUMPRODUCT(($AM$11:$AM2030&lt;&gt;"")*($AS$11:$AS2030="✓")),"")</f>
        <v/>
      </c>
      <c r="BA2030" s="21" t="str">
        <f>IF($AL2030="","",$AL2030&amp;"|"&amp;COUNTIF($AL$11:$AL2030,$AL2030))</f>
        <v/>
      </c>
    </row>
    <row r="2031" spans="38:53" ht="15" customHeight="1" x14ac:dyDescent="0.25">
      <c r="AL2031" s="17"/>
      <c r="AM2031" s="12"/>
      <c r="AN2031" s="18"/>
      <c r="AO2031" s="18"/>
      <c r="AP2031" s="10"/>
      <c r="AQ2031" s="10"/>
      <c r="AR2031" s="19"/>
      <c r="AS2031" s="20"/>
      <c r="AT2031" s="19"/>
      <c r="AV2031" s="21">
        <f>IF(AND($AL2031&lt;&gt;"",COUNTIF($AL$11:$AL2031,$AL2031)=1),1,0)</f>
        <v>0</v>
      </c>
      <c r="AW2031" s="21">
        <f t="shared" si="149"/>
        <v>0</v>
      </c>
      <c r="AX2031" s="21" t="str">
        <f t="shared" si="148"/>
        <v/>
      </c>
      <c r="AY2031" s="21" t="str">
        <f>IF(AND($AM2031&lt;&gt;"",$AS2031&lt;&gt;"✓"),SUMPRODUCT(($AM$11:$AM2031&lt;&gt;"")*($AS$11:$AS2031&lt;&gt;"✓")),"")</f>
        <v/>
      </c>
      <c r="AZ2031" s="21" t="str">
        <f>IF(AND($AM2031&lt;&gt;"",$AS2031="✓"),SUMPRODUCT(($AM$11:$AM2031&lt;&gt;"")*($AS$11:$AS2031="✓")),"")</f>
        <v/>
      </c>
      <c r="BA2031" s="21" t="str">
        <f>IF($AL2031="","",$AL2031&amp;"|"&amp;COUNTIF($AL$11:$AL2031,$AL2031))</f>
        <v/>
      </c>
    </row>
    <row r="2032" spans="38:53" ht="15" customHeight="1" x14ac:dyDescent="0.25">
      <c r="AL2032" s="31"/>
      <c r="AM2032" s="26"/>
      <c r="AN2032" s="32"/>
      <c r="AO2032" s="32"/>
      <c r="AP2032" s="24"/>
      <c r="AQ2032" s="24"/>
      <c r="AR2032" s="33"/>
      <c r="AS2032" s="34"/>
      <c r="AT2032" s="33"/>
      <c r="AV2032" s="21">
        <f>IF(AND($AL2032&lt;&gt;"",COUNTIF($AL$11:$AL2032,$AL2032)=1),1,0)</f>
        <v>0</v>
      </c>
      <c r="AW2032" s="21">
        <f t="shared" si="149"/>
        <v>0</v>
      </c>
      <c r="AX2032" s="21" t="str">
        <f t="shared" si="148"/>
        <v/>
      </c>
      <c r="AY2032" s="21" t="str">
        <f>IF(AND($AM2032&lt;&gt;"",$AS2032&lt;&gt;"✓"),SUMPRODUCT(($AM$11:$AM2032&lt;&gt;"")*($AS$11:$AS2032&lt;&gt;"✓")),"")</f>
        <v/>
      </c>
      <c r="AZ2032" s="21" t="str">
        <f>IF(AND($AM2032&lt;&gt;"",$AS2032="✓"),SUMPRODUCT(($AM$11:$AM2032&lt;&gt;"")*($AS$11:$AS2032="✓")),"")</f>
        <v/>
      </c>
      <c r="BA2032" s="21" t="str">
        <f>IF($AL2032="","",$AL2032&amp;"|"&amp;COUNTIF($AL$11:$AL2032,$AL2032))</f>
        <v/>
      </c>
    </row>
    <row r="2033" spans="38:53" ht="15" customHeight="1" x14ac:dyDescent="0.25">
      <c r="AL2033" s="17"/>
      <c r="AM2033" s="12"/>
      <c r="AN2033" s="18"/>
      <c r="AO2033" s="18"/>
      <c r="AP2033" s="10"/>
      <c r="AQ2033" s="10"/>
      <c r="AR2033" s="19"/>
      <c r="AS2033" s="20"/>
      <c r="AT2033" s="19"/>
      <c r="AV2033" s="21">
        <f>IF(AND($AL2033&lt;&gt;"",COUNTIF($AL$11:$AL2033,$AL2033)=1),1,0)</f>
        <v>0</v>
      </c>
      <c r="AW2033" s="21">
        <f t="shared" si="149"/>
        <v>0</v>
      </c>
      <c r="AX2033" s="21" t="str">
        <f t="shared" si="148"/>
        <v/>
      </c>
      <c r="AY2033" s="21" t="str">
        <f>IF(AND($AM2033&lt;&gt;"",$AS2033&lt;&gt;"✓"),SUMPRODUCT(($AM$11:$AM2033&lt;&gt;"")*($AS$11:$AS2033&lt;&gt;"✓")),"")</f>
        <v/>
      </c>
      <c r="AZ2033" s="21" t="str">
        <f>IF(AND($AM2033&lt;&gt;"",$AS2033="✓"),SUMPRODUCT(($AM$11:$AM2033&lt;&gt;"")*($AS$11:$AS2033="✓")),"")</f>
        <v/>
      </c>
      <c r="BA2033" s="21" t="str">
        <f>IF($AL2033="","",$AL2033&amp;"|"&amp;COUNTIF($AL$11:$AL2033,$AL2033))</f>
        <v/>
      </c>
    </row>
    <row r="2034" spans="38:53" ht="15" customHeight="1" x14ac:dyDescent="0.25">
      <c r="AL2034" s="31"/>
      <c r="AM2034" s="26"/>
      <c r="AN2034" s="32"/>
      <c r="AO2034" s="32"/>
      <c r="AP2034" s="24"/>
      <c r="AQ2034" s="24"/>
      <c r="AR2034" s="33"/>
      <c r="AS2034" s="34"/>
      <c r="AT2034" s="33"/>
      <c r="AV2034" s="21">
        <f>IF(AND($AL2034&lt;&gt;"",COUNTIF($AL$11:$AL2034,$AL2034)=1),1,0)</f>
        <v>0</v>
      </c>
      <c r="AW2034" s="21">
        <f t="shared" si="149"/>
        <v>0</v>
      </c>
      <c r="AX2034" s="21" t="str">
        <f t="shared" si="148"/>
        <v/>
      </c>
      <c r="AY2034" s="21" t="str">
        <f>IF(AND($AM2034&lt;&gt;"",$AS2034&lt;&gt;"✓"),SUMPRODUCT(($AM$11:$AM2034&lt;&gt;"")*($AS$11:$AS2034&lt;&gt;"✓")),"")</f>
        <v/>
      </c>
      <c r="AZ2034" s="21" t="str">
        <f>IF(AND($AM2034&lt;&gt;"",$AS2034="✓"),SUMPRODUCT(($AM$11:$AM2034&lt;&gt;"")*($AS$11:$AS2034="✓")),"")</f>
        <v/>
      </c>
      <c r="BA2034" s="21" t="str">
        <f>IF($AL2034="","",$AL2034&amp;"|"&amp;COUNTIF($AL$11:$AL2034,$AL2034))</f>
        <v/>
      </c>
    </row>
    <row r="2035" spans="38:53" ht="15" customHeight="1" x14ac:dyDescent="0.25">
      <c r="AL2035" s="17"/>
      <c r="AM2035" s="12"/>
      <c r="AN2035" s="18"/>
      <c r="AO2035" s="18"/>
      <c r="AP2035" s="10"/>
      <c r="AQ2035" s="10"/>
      <c r="AR2035" s="19"/>
      <c r="AS2035" s="20"/>
      <c r="AT2035" s="19"/>
      <c r="AV2035" s="21">
        <f>IF(AND($AL2035&lt;&gt;"",COUNTIF($AL$11:$AL2035,$AL2035)=1),1,0)</f>
        <v>0</v>
      </c>
      <c r="AW2035" s="21">
        <f t="shared" si="149"/>
        <v>0</v>
      </c>
      <c r="AX2035" s="21" t="str">
        <f t="shared" si="148"/>
        <v/>
      </c>
      <c r="AY2035" s="21" t="str">
        <f>IF(AND($AM2035&lt;&gt;"",$AS2035&lt;&gt;"✓"),SUMPRODUCT(($AM$11:$AM2035&lt;&gt;"")*($AS$11:$AS2035&lt;&gt;"✓")),"")</f>
        <v/>
      </c>
      <c r="AZ2035" s="21" t="str">
        <f>IF(AND($AM2035&lt;&gt;"",$AS2035="✓"),SUMPRODUCT(($AM$11:$AM2035&lt;&gt;"")*($AS$11:$AS2035="✓")),"")</f>
        <v/>
      </c>
      <c r="BA2035" s="21" t="str">
        <f>IF($AL2035="","",$AL2035&amp;"|"&amp;COUNTIF($AL$11:$AL2035,$AL2035))</f>
        <v/>
      </c>
    </row>
    <row r="2036" spans="38:53" ht="15" customHeight="1" x14ac:dyDescent="0.25">
      <c r="AL2036" s="31"/>
      <c r="AM2036" s="26"/>
      <c r="AN2036" s="32"/>
      <c r="AO2036" s="32"/>
      <c r="AP2036" s="24"/>
      <c r="AQ2036" s="24"/>
      <c r="AR2036" s="33"/>
      <c r="AS2036" s="34"/>
      <c r="AT2036" s="33"/>
      <c r="AV2036" s="21">
        <f>IF(AND($AL2036&lt;&gt;"",COUNTIF($AL$11:$AL2036,$AL2036)=1),1,0)</f>
        <v>0</v>
      </c>
      <c r="AW2036" s="21">
        <f t="shared" si="149"/>
        <v>0</v>
      </c>
      <c r="AX2036" s="21" t="str">
        <f t="shared" si="148"/>
        <v/>
      </c>
      <c r="AY2036" s="21" t="str">
        <f>IF(AND($AM2036&lt;&gt;"",$AS2036&lt;&gt;"✓"),SUMPRODUCT(($AM$11:$AM2036&lt;&gt;"")*($AS$11:$AS2036&lt;&gt;"✓")),"")</f>
        <v/>
      </c>
      <c r="AZ2036" s="21" t="str">
        <f>IF(AND($AM2036&lt;&gt;"",$AS2036="✓"),SUMPRODUCT(($AM$11:$AM2036&lt;&gt;"")*($AS$11:$AS2036="✓")),"")</f>
        <v/>
      </c>
      <c r="BA2036" s="21" t="str">
        <f>IF($AL2036="","",$AL2036&amp;"|"&amp;COUNTIF($AL$11:$AL2036,$AL2036))</f>
        <v/>
      </c>
    </row>
    <row r="2037" spans="38:53" ht="15" customHeight="1" x14ac:dyDescent="0.25">
      <c r="AL2037" s="17"/>
      <c r="AM2037" s="12"/>
      <c r="AN2037" s="18"/>
      <c r="AO2037" s="18"/>
      <c r="AP2037" s="10"/>
      <c r="AQ2037" s="10"/>
      <c r="AR2037" s="19"/>
      <c r="AS2037" s="20"/>
      <c r="AT2037" s="19"/>
      <c r="AV2037" s="21">
        <f>IF(AND($AL2037&lt;&gt;"",COUNTIF($AL$11:$AL2037,$AL2037)=1),1,0)</f>
        <v>0</v>
      </c>
      <c r="AW2037" s="21">
        <f t="shared" si="149"/>
        <v>0</v>
      </c>
      <c r="AX2037" s="21" t="str">
        <f t="shared" si="148"/>
        <v/>
      </c>
      <c r="AY2037" s="21" t="str">
        <f>IF(AND($AM2037&lt;&gt;"",$AS2037&lt;&gt;"✓"),SUMPRODUCT(($AM$11:$AM2037&lt;&gt;"")*($AS$11:$AS2037&lt;&gt;"✓")),"")</f>
        <v/>
      </c>
      <c r="AZ2037" s="21" t="str">
        <f>IF(AND($AM2037&lt;&gt;"",$AS2037="✓"),SUMPRODUCT(($AM$11:$AM2037&lt;&gt;"")*($AS$11:$AS2037="✓")),"")</f>
        <v/>
      </c>
      <c r="BA2037" s="21" t="str">
        <f>IF($AL2037="","",$AL2037&amp;"|"&amp;COUNTIF($AL$11:$AL2037,$AL2037))</f>
        <v/>
      </c>
    </row>
    <row r="2038" spans="38:53" ht="15" customHeight="1" x14ac:dyDescent="0.25">
      <c r="AL2038" s="31"/>
      <c r="AM2038" s="26"/>
      <c r="AN2038" s="32"/>
      <c r="AO2038" s="32"/>
      <c r="AP2038" s="24"/>
      <c r="AQ2038" s="24"/>
      <c r="AR2038" s="33"/>
      <c r="AS2038" s="34"/>
      <c r="AT2038" s="33"/>
      <c r="AV2038" s="21">
        <f>IF(AND($AL2038&lt;&gt;"",COUNTIF($AL$11:$AL2038,$AL2038)=1),1,0)</f>
        <v>0</v>
      </c>
      <c r="AW2038" s="21">
        <f t="shared" si="149"/>
        <v>0</v>
      </c>
      <c r="AX2038" s="21" t="str">
        <f t="shared" si="148"/>
        <v/>
      </c>
      <c r="AY2038" s="21" t="str">
        <f>IF(AND($AM2038&lt;&gt;"",$AS2038&lt;&gt;"✓"),SUMPRODUCT(($AM$11:$AM2038&lt;&gt;"")*($AS$11:$AS2038&lt;&gt;"✓")),"")</f>
        <v/>
      </c>
      <c r="AZ2038" s="21" t="str">
        <f>IF(AND($AM2038&lt;&gt;"",$AS2038="✓"),SUMPRODUCT(($AM$11:$AM2038&lt;&gt;"")*($AS$11:$AS2038="✓")),"")</f>
        <v/>
      </c>
      <c r="BA2038" s="21" t="str">
        <f>IF($AL2038="","",$AL2038&amp;"|"&amp;COUNTIF($AL$11:$AL2038,$AL2038))</f>
        <v/>
      </c>
    </row>
    <row r="2039" spans="38:53" ht="15" customHeight="1" x14ac:dyDescent="0.25">
      <c r="AL2039" s="17"/>
      <c r="AM2039" s="12"/>
      <c r="AN2039" s="18"/>
      <c r="AO2039" s="18"/>
      <c r="AP2039" s="10"/>
      <c r="AQ2039" s="10"/>
      <c r="AR2039" s="19"/>
      <c r="AS2039" s="20"/>
      <c r="AT2039" s="19"/>
      <c r="AV2039" s="21">
        <f>IF(AND($AL2039&lt;&gt;"",COUNTIF($AL$11:$AL2039,$AL2039)=1),1,0)</f>
        <v>0</v>
      </c>
      <c r="AW2039" s="21">
        <f t="shared" si="149"/>
        <v>0</v>
      </c>
      <c r="AX2039" s="21" t="str">
        <f t="shared" si="148"/>
        <v/>
      </c>
      <c r="AY2039" s="21" t="str">
        <f>IF(AND($AM2039&lt;&gt;"",$AS2039&lt;&gt;"✓"),SUMPRODUCT(($AM$11:$AM2039&lt;&gt;"")*($AS$11:$AS2039&lt;&gt;"✓")),"")</f>
        <v/>
      </c>
      <c r="AZ2039" s="21" t="str">
        <f>IF(AND($AM2039&lt;&gt;"",$AS2039="✓"),SUMPRODUCT(($AM$11:$AM2039&lt;&gt;"")*($AS$11:$AS2039="✓")),"")</f>
        <v/>
      </c>
      <c r="BA2039" s="21" t="str">
        <f>IF($AL2039="","",$AL2039&amp;"|"&amp;COUNTIF($AL$11:$AL2039,$AL2039))</f>
        <v/>
      </c>
    </row>
    <row r="2040" spans="38:53" ht="15" customHeight="1" x14ac:dyDescent="0.25">
      <c r="AL2040" s="31"/>
      <c r="AM2040" s="26"/>
      <c r="AN2040" s="32"/>
      <c r="AO2040" s="32"/>
      <c r="AP2040" s="24"/>
      <c r="AQ2040" s="24"/>
      <c r="AR2040" s="33"/>
      <c r="AS2040" s="34"/>
      <c r="AT2040" s="33"/>
      <c r="AV2040" s="21">
        <f>IF(AND($AL2040&lt;&gt;"",COUNTIF($AL$11:$AL2040,$AL2040)=1),1,0)</f>
        <v>0</v>
      </c>
      <c r="AW2040" s="21">
        <f t="shared" si="149"/>
        <v>0</v>
      </c>
      <c r="AX2040" s="21" t="str">
        <f t="shared" si="148"/>
        <v/>
      </c>
      <c r="AY2040" s="21" t="str">
        <f>IF(AND($AM2040&lt;&gt;"",$AS2040&lt;&gt;"✓"),SUMPRODUCT(($AM$11:$AM2040&lt;&gt;"")*($AS$11:$AS2040&lt;&gt;"✓")),"")</f>
        <v/>
      </c>
      <c r="AZ2040" s="21" t="str">
        <f>IF(AND($AM2040&lt;&gt;"",$AS2040="✓"),SUMPRODUCT(($AM$11:$AM2040&lt;&gt;"")*($AS$11:$AS2040="✓")),"")</f>
        <v/>
      </c>
      <c r="BA2040" s="21" t="str">
        <f>IF($AL2040="","",$AL2040&amp;"|"&amp;COUNTIF($AL$11:$AL2040,$AL2040))</f>
        <v/>
      </c>
    </row>
    <row r="2041" spans="38:53" ht="15" customHeight="1" x14ac:dyDescent="0.25">
      <c r="AL2041" s="17"/>
      <c r="AM2041" s="12"/>
      <c r="AN2041" s="18"/>
      <c r="AO2041" s="18"/>
      <c r="AP2041" s="10"/>
      <c r="AQ2041" s="10"/>
      <c r="AR2041" s="19"/>
      <c r="AS2041" s="20"/>
      <c r="AT2041" s="19"/>
      <c r="AV2041" s="21">
        <f>IF(AND($AL2041&lt;&gt;"",COUNTIF($AL$11:$AL2041,$AL2041)=1),1,0)</f>
        <v>0</v>
      </c>
      <c r="AW2041" s="21">
        <f t="shared" si="149"/>
        <v>0</v>
      </c>
      <c r="AX2041" s="21" t="str">
        <f t="shared" si="148"/>
        <v/>
      </c>
      <c r="AY2041" s="21" t="str">
        <f>IF(AND($AM2041&lt;&gt;"",$AS2041&lt;&gt;"✓"),SUMPRODUCT(($AM$11:$AM2041&lt;&gt;"")*($AS$11:$AS2041&lt;&gt;"✓")),"")</f>
        <v/>
      </c>
      <c r="AZ2041" s="21" t="str">
        <f>IF(AND($AM2041&lt;&gt;"",$AS2041="✓"),SUMPRODUCT(($AM$11:$AM2041&lt;&gt;"")*($AS$11:$AS2041="✓")),"")</f>
        <v/>
      </c>
      <c r="BA2041" s="21" t="str">
        <f>IF($AL2041="","",$AL2041&amp;"|"&amp;COUNTIF($AL$11:$AL2041,$AL2041))</f>
        <v/>
      </c>
    </row>
    <row r="2042" spans="38:53" ht="15" customHeight="1" x14ac:dyDescent="0.25">
      <c r="AL2042" s="31"/>
      <c r="AM2042" s="26"/>
      <c r="AN2042" s="32"/>
      <c r="AO2042" s="32"/>
      <c r="AP2042" s="24"/>
      <c r="AQ2042" s="24"/>
      <c r="AR2042" s="33"/>
      <c r="AS2042" s="34"/>
      <c r="AT2042" s="33"/>
      <c r="AV2042" s="21">
        <f>IF(AND($AL2042&lt;&gt;"",COUNTIF($AL$11:$AL2042,$AL2042)=1),1,0)</f>
        <v>0</v>
      </c>
      <c r="AW2042" s="21">
        <f t="shared" si="149"/>
        <v>0</v>
      </c>
      <c r="AX2042" s="21" t="str">
        <f t="shared" si="148"/>
        <v/>
      </c>
      <c r="AY2042" s="21" t="str">
        <f>IF(AND($AM2042&lt;&gt;"",$AS2042&lt;&gt;"✓"),SUMPRODUCT(($AM$11:$AM2042&lt;&gt;"")*($AS$11:$AS2042&lt;&gt;"✓")),"")</f>
        <v/>
      </c>
      <c r="AZ2042" s="21" t="str">
        <f>IF(AND($AM2042&lt;&gt;"",$AS2042="✓"),SUMPRODUCT(($AM$11:$AM2042&lt;&gt;"")*($AS$11:$AS2042="✓")),"")</f>
        <v/>
      </c>
      <c r="BA2042" s="21" t="str">
        <f>IF($AL2042="","",$AL2042&amp;"|"&amp;COUNTIF($AL$11:$AL2042,$AL2042))</f>
        <v/>
      </c>
    </row>
    <row r="2043" spans="38:53" ht="15" customHeight="1" x14ac:dyDescent="0.25">
      <c r="AL2043" s="17"/>
      <c r="AM2043" s="12"/>
      <c r="AN2043" s="18"/>
      <c r="AO2043" s="18"/>
      <c r="AP2043" s="10"/>
      <c r="AQ2043" s="10"/>
      <c r="AR2043" s="19"/>
      <c r="AS2043" s="20"/>
      <c r="AT2043" s="19"/>
      <c r="AV2043" s="21">
        <f>IF(AND($AL2043&lt;&gt;"",COUNTIF($AL$11:$AL2043,$AL2043)=1),1,0)</f>
        <v>0</v>
      </c>
      <c r="AW2043" s="21">
        <f t="shared" si="149"/>
        <v>0</v>
      </c>
      <c r="AX2043" s="21" t="str">
        <f t="shared" si="148"/>
        <v/>
      </c>
      <c r="AY2043" s="21" t="str">
        <f>IF(AND($AM2043&lt;&gt;"",$AS2043&lt;&gt;"✓"),SUMPRODUCT(($AM$11:$AM2043&lt;&gt;"")*($AS$11:$AS2043&lt;&gt;"✓")),"")</f>
        <v/>
      </c>
      <c r="AZ2043" s="21" t="str">
        <f>IF(AND($AM2043&lt;&gt;"",$AS2043="✓"),SUMPRODUCT(($AM$11:$AM2043&lt;&gt;"")*($AS$11:$AS2043="✓")),"")</f>
        <v/>
      </c>
      <c r="BA2043" s="21" t="str">
        <f>IF($AL2043="","",$AL2043&amp;"|"&amp;COUNTIF($AL$11:$AL2043,$AL2043))</f>
        <v/>
      </c>
    </row>
    <row r="2044" spans="38:53" ht="15" customHeight="1" x14ac:dyDescent="0.25">
      <c r="AL2044" s="31"/>
      <c r="AM2044" s="26"/>
      <c r="AN2044" s="32"/>
      <c r="AO2044" s="32"/>
      <c r="AP2044" s="24"/>
      <c r="AQ2044" s="24"/>
      <c r="AR2044" s="33"/>
      <c r="AS2044" s="34"/>
      <c r="AT2044" s="33"/>
      <c r="AV2044" s="21">
        <f>IF(AND($AL2044&lt;&gt;"",COUNTIF($AL$11:$AL2044,$AL2044)=1),1,0)</f>
        <v>0</v>
      </c>
      <c r="AW2044" s="21">
        <f t="shared" si="149"/>
        <v>0</v>
      </c>
      <c r="AX2044" s="21" t="str">
        <f t="shared" si="148"/>
        <v/>
      </c>
      <c r="AY2044" s="21" t="str">
        <f>IF(AND($AM2044&lt;&gt;"",$AS2044&lt;&gt;"✓"),SUMPRODUCT(($AM$11:$AM2044&lt;&gt;"")*($AS$11:$AS2044&lt;&gt;"✓")),"")</f>
        <v/>
      </c>
      <c r="AZ2044" s="21" t="str">
        <f>IF(AND($AM2044&lt;&gt;"",$AS2044="✓"),SUMPRODUCT(($AM$11:$AM2044&lt;&gt;"")*($AS$11:$AS2044="✓")),"")</f>
        <v/>
      </c>
      <c r="BA2044" s="21" t="str">
        <f>IF($AL2044="","",$AL2044&amp;"|"&amp;COUNTIF($AL$11:$AL2044,$AL2044))</f>
        <v/>
      </c>
    </row>
    <row r="2045" spans="38:53" ht="15" customHeight="1" x14ac:dyDescent="0.25">
      <c r="AL2045" s="17"/>
      <c r="AM2045" s="12"/>
      <c r="AN2045" s="18"/>
      <c r="AO2045" s="18"/>
      <c r="AP2045" s="10"/>
      <c r="AQ2045" s="10"/>
      <c r="AR2045" s="19"/>
      <c r="AS2045" s="20"/>
      <c r="AT2045" s="19"/>
      <c r="AV2045" s="21">
        <f>IF(AND($AL2045&lt;&gt;"",COUNTIF($AL$11:$AL2045,$AL2045)=1),1,0)</f>
        <v>0</v>
      </c>
      <c r="AW2045" s="21">
        <f t="shared" si="149"/>
        <v>0</v>
      </c>
      <c r="AX2045" s="21" t="str">
        <f t="shared" si="148"/>
        <v/>
      </c>
      <c r="AY2045" s="21" t="str">
        <f>IF(AND($AM2045&lt;&gt;"",$AS2045&lt;&gt;"✓"),SUMPRODUCT(($AM$11:$AM2045&lt;&gt;"")*($AS$11:$AS2045&lt;&gt;"✓")),"")</f>
        <v/>
      </c>
      <c r="AZ2045" s="21" t="str">
        <f>IF(AND($AM2045&lt;&gt;"",$AS2045="✓"),SUMPRODUCT(($AM$11:$AM2045&lt;&gt;"")*($AS$11:$AS2045="✓")),"")</f>
        <v/>
      </c>
      <c r="BA2045" s="21" t="str">
        <f>IF($AL2045="","",$AL2045&amp;"|"&amp;COUNTIF($AL$11:$AL2045,$AL2045))</f>
        <v/>
      </c>
    </row>
    <row r="2046" spans="38:53" ht="15" customHeight="1" x14ac:dyDescent="0.25">
      <c r="AL2046" s="31"/>
      <c r="AM2046" s="26"/>
      <c r="AN2046" s="32"/>
      <c r="AO2046" s="32"/>
      <c r="AP2046" s="24"/>
      <c r="AQ2046" s="24"/>
      <c r="AR2046" s="33"/>
      <c r="AS2046" s="34"/>
      <c r="AT2046" s="33"/>
      <c r="AV2046" s="21">
        <f>IF(AND($AL2046&lt;&gt;"",COUNTIF($AL$11:$AL2046,$AL2046)=1),1,0)</f>
        <v>0</v>
      </c>
      <c r="AW2046" s="21">
        <f t="shared" si="149"/>
        <v>0</v>
      </c>
      <c r="AX2046" s="21" t="str">
        <f t="shared" si="148"/>
        <v/>
      </c>
      <c r="AY2046" s="21" t="str">
        <f>IF(AND($AM2046&lt;&gt;"",$AS2046&lt;&gt;"✓"),SUMPRODUCT(($AM$11:$AM2046&lt;&gt;"")*($AS$11:$AS2046&lt;&gt;"✓")),"")</f>
        <v/>
      </c>
      <c r="AZ2046" s="21" t="str">
        <f>IF(AND($AM2046&lt;&gt;"",$AS2046="✓"),SUMPRODUCT(($AM$11:$AM2046&lt;&gt;"")*($AS$11:$AS2046="✓")),"")</f>
        <v/>
      </c>
      <c r="BA2046" s="21" t="str">
        <f>IF($AL2046="","",$AL2046&amp;"|"&amp;COUNTIF($AL$11:$AL2046,$AL2046))</f>
        <v/>
      </c>
    </row>
    <row r="2047" spans="38:53" ht="15" customHeight="1" x14ac:dyDescent="0.25">
      <c r="AL2047" s="17"/>
      <c r="AM2047" s="12"/>
      <c r="AN2047" s="18"/>
      <c r="AO2047" s="18"/>
      <c r="AP2047" s="10"/>
      <c r="AQ2047" s="10"/>
      <c r="AR2047" s="19"/>
      <c r="AS2047" s="20"/>
      <c r="AT2047" s="19"/>
      <c r="AV2047" s="21">
        <f>IF(AND($AL2047&lt;&gt;"",COUNTIF($AL$11:$AL2047,$AL2047)=1),1,0)</f>
        <v>0</v>
      </c>
      <c r="AW2047" s="21">
        <f t="shared" si="149"/>
        <v>0</v>
      </c>
      <c r="AX2047" s="21" t="str">
        <f t="shared" si="148"/>
        <v/>
      </c>
      <c r="AY2047" s="21" t="str">
        <f>IF(AND($AM2047&lt;&gt;"",$AS2047&lt;&gt;"✓"),SUMPRODUCT(($AM$11:$AM2047&lt;&gt;"")*($AS$11:$AS2047&lt;&gt;"✓")),"")</f>
        <v/>
      </c>
      <c r="AZ2047" s="21" t="str">
        <f>IF(AND($AM2047&lt;&gt;"",$AS2047="✓"),SUMPRODUCT(($AM$11:$AM2047&lt;&gt;"")*($AS$11:$AS2047="✓")),"")</f>
        <v/>
      </c>
      <c r="BA2047" s="21" t="str">
        <f>IF($AL2047="","",$AL2047&amp;"|"&amp;COUNTIF($AL$11:$AL2047,$AL2047))</f>
        <v/>
      </c>
    </row>
    <row r="2048" spans="38:53" ht="15" customHeight="1" x14ac:dyDescent="0.25">
      <c r="AL2048" s="31"/>
      <c r="AM2048" s="26"/>
      <c r="AN2048" s="32"/>
      <c r="AO2048" s="32"/>
      <c r="AP2048" s="24"/>
      <c r="AQ2048" s="24"/>
      <c r="AR2048" s="33"/>
      <c r="AS2048" s="34"/>
      <c r="AT2048" s="33"/>
      <c r="AV2048" s="21">
        <f>IF(AND($AL2048&lt;&gt;"",COUNTIF($AL$11:$AL2048,$AL2048)=1),1,0)</f>
        <v>0</v>
      </c>
      <c r="AW2048" s="21">
        <f t="shared" si="149"/>
        <v>0</v>
      </c>
      <c r="AX2048" s="21" t="str">
        <f t="shared" si="148"/>
        <v/>
      </c>
      <c r="AY2048" s="21" t="str">
        <f>IF(AND($AM2048&lt;&gt;"",$AS2048&lt;&gt;"✓"),SUMPRODUCT(($AM$11:$AM2048&lt;&gt;"")*($AS$11:$AS2048&lt;&gt;"✓")),"")</f>
        <v/>
      </c>
      <c r="AZ2048" s="21" t="str">
        <f>IF(AND($AM2048&lt;&gt;"",$AS2048="✓"),SUMPRODUCT(($AM$11:$AM2048&lt;&gt;"")*($AS$11:$AS2048="✓")),"")</f>
        <v/>
      </c>
      <c r="BA2048" s="21" t="str">
        <f>IF($AL2048="","",$AL2048&amp;"|"&amp;COUNTIF($AL$11:$AL2048,$AL2048))</f>
        <v/>
      </c>
    </row>
    <row r="2049" spans="38:53" ht="15" customHeight="1" x14ac:dyDescent="0.25">
      <c r="AL2049" s="17"/>
      <c r="AM2049" s="12"/>
      <c r="AN2049" s="18"/>
      <c r="AO2049" s="18"/>
      <c r="AP2049" s="10"/>
      <c r="AQ2049" s="10"/>
      <c r="AR2049" s="19"/>
      <c r="AS2049" s="20"/>
      <c r="AT2049" s="19"/>
      <c r="AV2049" s="21">
        <f>IF(AND($AL2049&lt;&gt;"",COUNTIF($AL$11:$AL2049,$AL2049)=1),1,0)</f>
        <v>0</v>
      </c>
      <c r="AW2049" s="21">
        <f t="shared" si="149"/>
        <v>0</v>
      </c>
      <c r="AX2049" s="21" t="str">
        <f t="shared" si="148"/>
        <v/>
      </c>
      <c r="AY2049" s="21" t="str">
        <f>IF(AND($AM2049&lt;&gt;"",$AS2049&lt;&gt;"✓"),SUMPRODUCT(($AM$11:$AM2049&lt;&gt;"")*($AS$11:$AS2049&lt;&gt;"✓")),"")</f>
        <v/>
      </c>
      <c r="AZ2049" s="21" t="str">
        <f>IF(AND($AM2049&lt;&gt;"",$AS2049="✓"),SUMPRODUCT(($AM$11:$AM2049&lt;&gt;"")*($AS$11:$AS2049="✓")),"")</f>
        <v/>
      </c>
      <c r="BA2049" s="21" t="str">
        <f>IF($AL2049="","",$AL2049&amp;"|"&amp;COUNTIF($AL$11:$AL2049,$AL2049))</f>
        <v/>
      </c>
    </row>
    <row r="2050" spans="38:53" ht="15" customHeight="1" x14ac:dyDescent="0.25">
      <c r="AL2050" s="31"/>
      <c r="AM2050" s="26"/>
      <c r="AN2050" s="32"/>
      <c r="AO2050" s="32"/>
      <c r="AP2050" s="24"/>
      <c r="AQ2050" s="24"/>
      <c r="AR2050" s="33"/>
      <c r="AS2050" s="34"/>
      <c r="AT2050" s="33"/>
      <c r="AV2050" s="21">
        <f>IF(AND($AL2050&lt;&gt;"",COUNTIF($AL$11:$AL2050,$AL2050)=1),1,0)</f>
        <v>0</v>
      </c>
      <c r="AW2050" s="21">
        <f t="shared" si="149"/>
        <v>0</v>
      </c>
      <c r="AX2050" s="21" t="str">
        <f t="shared" si="148"/>
        <v/>
      </c>
      <c r="AY2050" s="21" t="str">
        <f>IF(AND($AM2050&lt;&gt;"",$AS2050&lt;&gt;"✓"),SUMPRODUCT(($AM$11:$AM2050&lt;&gt;"")*($AS$11:$AS2050&lt;&gt;"✓")),"")</f>
        <v/>
      </c>
      <c r="AZ2050" s="21" t="str">
        <f>IF(AND($AM2050&lt;&gt;"",$AS2050="✓"),SUMPRODUCT(($AM$11:$AM2050&lt;&gt;"")*($AS$11:$AS2050="✓")),"")</f>
        <v/>
      </c>
      <c r="BA2050" s="21" t="str">
        <f>IF($AL2050="","",$AL2050&amp;"|"&amp;COUNTIF($AL$11:$AL2050,$AL2050))</f>
        <v/>
      </c>
    </row>
    <row r="2051" spans="38:53" ht="15" customHeight="1" x14ac:dyDescent="0.25">
      <c r="AL2051" s="17"/>
      <c r="AM2051" s="12"/>
      <c r="AN2051" s="18"/>
      <c r="AO2051" s="18"/>
      <c r="AP2051" s="10"/>
      <c r="AQ2051" s="10"/>
      <c r="AR2051" s="19"/>
      <c r="AS2051" s="20"/>
      <c r="AT2051" s="19"/>
      <c r="AV2051" s="21">
        <f>IF(AND($AL2051&lt;&gt;"",COUNTIF($AL$11:$AL2051,$AL2051)=1),1,0)</f>
        <v>0</v>
      </c>
      <c r="AW2051" s="21">
        <f t="shared" si="149"/>
        <v>0</v>
      </c>
      <c r="AX2051" s="21" t="str">
        <f t="shared" si="148"/>
        <v/>
      </c>
      <c r="AY2051" s="21" t="str">
        <f>IF(AND($AM2051&lt;&gt;"",$AS2051&lt;&gt;"✓"),SUMPRODUCT(($AM$11:$AM2051&lt;&gt;"")*($AS$11:$AS2051&lt;&gt;"✓")),"")</f>
        <v/>
      </c>
      <c r="AZ2051" s="21" t="str">
        <f>IF(AND($AM2051&lt;&gt;"",$AS2051="✓"),SUMPRODUCT(($AM$11:$AM2051&lt;&gt;"")*($AS$11:$AS2051="✓")),"")</f>
        <v/>
      </c>
      <c r="BA2051" s="21" t="str">
        <f>IF($AL2051="","",$AL2051&amp;"|"&amp;COUNTIF($AL$11:$AL2051,$AL2051))</f>
        <v/>
      </c>
    </row>
    <row r="2052" spans="38:53" ht="15" customHeight="1" x14ac:dyDescent="0.25">
      <c r="AL2052" s="31"/>
      <c r="AM2052" s="26"/>
      <c r="AN2052" s="32"/>
      <c r="AO2052" s="32"/>
      <c r="AP2052" s="24"/>
      <c r="AQ2052" s="24"/>
      <c r="AR2052" s="33"/>
      <c r="AS2052" s="34"/>
      <c r="AT2052" s="33"/>
      <c r="AV2052" s="21">
        <f>IF(AND($AL2052&lt;&gt;"",COUNTIF($AL$11:$AL2052,$AL2052)=1),1,0)</f>
        <v>0</v>
      </c>
      <c r="AW2052" s="21">
        <f t="shared" si="149"/>
        <v>0</v>
      </c>
      <c r="AX2052" s="21" t="str">
        <f t="shared" si="148"/>
        <v/>
      </c>
      <c r="AY2052" s="21" t="str">
        <f>IF(AND($AM2052&lt;&gt;"",$AS2052&lt;&gt;"✓"),SUMPRODUCT(($AM$11:$AM2052&lt;&gt;"")*($AS$11:$AS2052&lt;&gt;"✓")),"")</f>
        <v/>
      </c>
      <c r="AZ2052" s="21" t="str">
        <f>IF(AND($AM2052&lt;&gt;"",$AS2052="✓"),SUMPRODUCT(($AM$11:$AM2052&lt;&gt;"")*($AS$11:$AS2052="✓")),"")</f>
        <v/>
      </c>
      <c r="BA2052" s="21" t="str">
        <f>IF($AL2052="","",$AL2052&amp;"|"&amp;COUNTIF($AL$11:$AL2052,$AL2052))</f>
        <v/>
      </c>
    </row>
    <row r="2053" spans="38:53" ht="15" customHeight="1" x14ac:dyDescent="0.25">
      <c r="AL2053" s="17"/>
      <c r="AM2053" s="12"/>
      <c r="AN2053" s="18"/>
      <c r="AO2053" s="18"/>
      <c r="AP2053" s="10"/>
      <c r="AQ2053" s="10"/>
      <c r="AR2053" s="19"/>
      <c r="AS2053" s="20"/>
      <c r="AT2053" s="19"/>
      <c r="AV2053" s="21">
        <f>IF(AND($AL2053&lt;&gt;"",COUNTIF($AL$11:$AL2053,$AL2053)=1),1,0)</f>
        <v>0</v>
      </c>
      <c r="AW2053" s="21">
        <f t="shared" si="149"/>
        <v>0</v>
      </c>
      <c r="AX2053" s="21" t="str">
        <f t="shared" si="148"/>
        <v/>
      </c>
      <c r="AY2053" s="21" t="str">
        <f>IF(AND($AM2053&lt;&gt;"",$AS2053&lt;&gt;"✓"),SUMPRODUCT(($AM$11:$AM2053&lt;&gt;"")*($AS$11:$AS2053&lt;&gt;"✓")),"")</f>
        <v/>
      </c>
      <c r="AZ2053" s="21" t="str">
        <f>IF(AND($AM2053&lt;&gt;"",$AS2053="✓"),SUMPRODUCT(($AM$11:$AM2053&lt;&gt;"")*($AS$11:$AS2053="✓")),"")</f>
        <v/>
      </c>
      <c r="BA2053" s="21" t="str">
        <f>IF($AL2053="","",$AL2053&amp;"|"&amp;COUNTIF($AL$11:$AL2053,$AL2053))</f>
        <v/>
      </c>
    </row>
    <row r="2054" spans="38:53" ht="15" customHeight="1" x14ac:dyDescent="0.25">
      <c r="AL2054" s="31"/>
      <c r="AM2054" s="26"/>
      <c r="AN2054" s="32"/>
      <c r="AO2054" s="32"/>
      <c r="AP2054" s="24"/>
      <c r="AQ2054" s="24"/>
      <c r="AR2054" s="33"/>
      <c r="AS2054" s="34"/>
      <c r="AT2054" s="33"/>
      <c r="AV2054" s="21">
        <f>IF(AND($AL2054&lt;&gt;"",COUNTIF($AL$11:$AL2054,$AL2054)=1),1,0)</f>
        <v>0</v>
      </c>
      <c r="AW2054" s="21">
        <f t="shared" si="149"/>
        <v>0</v>
      </c>
      <c r="AX2054" s="21" t="str">
        <f t="shared" si="148"/>
        <v/>
      </c>
      <c r="AY2054" s="21" t="str">
        <f>IF(AND($AM2054&lt;&gt;"",$AS2054&lt;&gt;"✓"),SUMPRODUCT(($AM$11:$AM2054&lt;&gt;"")*($AS$11:$AS2054&lt;&gt;"✓")),"")</f>
        <v/>
      </c>
      <c r="AZ2054" s="21" t="str">
        <f>IF(AND($AM2054&lt;&gt;"",$AS2054="✓"),SUMPRODUCT(($AM$11:$AM2054&lt;&gt;"")*($AS$11:$AS2054="✓")),"")</f>
        <v/>
      </c>
      <c r="BA2054" s="21" t="str">
        <f>IF($AL2054="","",$AL2054&amp;"|"&amp;COUNTIF($AL$11:$AL2054,$AL2054))</f>
        <v/>
      </c>
    </row>
    <row r="2055" spans="38:53" ht="15" customHeight="1" x14ac:dyDescent="0.25">
      <c r="AL2055" s="17"/>
      <c r="AM2055" s="12"/>
      <c r="AN2055" s="18"/>
      <c r="AO2055" s="18"/>
      <c r="AP2055" s="10"/>
      <c r="AQ2055" s="10"/>
      <c r="AR2055" s="19"/>
      <c r="AS2055" s="20"/>
      <c r="AT2055" s="19"/>
      <c r="AV2055" s="21">
        <f>IF(AND($AL2055&lt;&gt;"",COUNTIF($AL$11:$AL2055,$AL2055)=1),1,0)</f>
        <v>0</v>
      </c>
      <c r="AW2055" s="21">
        <f t="shared" si="149"/>
        <v>0</v>
      </c>
      <c r="AX2055" s="21" t="str">
        <f t="shared" si="148"/>
        <v/>
      </c>
      <c r="AY2055" s="21" t="str">
        <f>IF(AND($AM2055&lt;&gt;"",$AS2055&lt;&gt;"✓"),SUMPRODUCT(($AM$11:$AM2055&lt;&gt;"")*($AS$11:$AS2055&lt;&gt;"✓")),"")</f>
        <v/>
      </c>
      <c r="AZ2055" s="21" t="str">
        <f>IF(AND($AM2055&lt;&gt;"",$AS2055="✓"),SUMPRODUCT(($AM$11:$AM2055&lt;&gt;"")*($AS$11:$AS2055="✓")),"")</f>
        <v/>
      </c>
      <c r="BA2055" s="21" t="str">
        <f>IF($AL2055="","",$AL2055&amp;"|"&amp;COUNTIF($AL$11:$AL2055,$AL2055))</f>
        <v/>
      </c>
    </row>
    <row r="2056" spans="38:53" ht="15" customHeight="1" x14ac:dyDescent="0.25">
      <c r="AL2056" s="31"/>
      <c r="AM2056" s="26"/>
      <c r="AN2056" s="32"/>
      <c r="AO2056" s="32"/>
      <c r="AP2056" s="24"/>
      <c r="AQ2056" s="24"/>
      <c r="AR2056" s="33"/>
      <c r="AS2056" s="34"/>
      <c r="AT2056" s="33"/>
      <c r="AV2056" s="21">
        <f>IF(AND($AL2056&lt;&gt;"",COUNTIF($AL$11:$AL2056,$AL2056)=1),1,0)</f>
        <v>0</v>
      </c>
      <c r="AW2056" s="21">
        <f t="shared" si="149"/>
        <v>0</v>
      </c>
      <c r="AX2056" s="21" t="str">
        <f t="shared" si="148"/>
        <v/>
      </c>
      <c r="AY2056" s="21" t="str">
        <f>IF(AND($AM2056&lt;&gt;"",$AS2056&lt;&gt;"✓"),SUMPRODUCT(($AM$11:$AM2056&lt;&gt;"")*($AS$11:$AS2056&lt;&gt;"✓")),"")</f>
        <v/>
      </c>
      <c r="AZ2056" s="21" t="str">
        <f>IF(AND($AM2056&lt;&gt;"",$AS2056="✓"),SUMPRODUCT(($AM$11:$AM2056&lt;&gt;"")*($AS$11:$AS2056="✓")),"")</f>
        <v/>
      </c>
      <c r="BA2056" s="21" t="str">
        <f>IF($AL2056="","",$AL2056&amp;"|"&amp;COUNTIF($AL$11:$AL2056,$AL2056))</f>
        <v/>
      </c>
    </row>
    <row r="2057" spans="38:53" ht="15" customHeight="1" x14ac:dyDescent="0.25">
      <c r="AL2057" s="17"/>
      <c r="AM2057" s="12"/>
      <c r="AN2057" s="18"/>
      <c r="AO2057" s="18"/>
      <c r="AP2057" s="10"/>
      <c r="AQ2057" s="10"/>
      <c r="AR2057" s="19"/>
      <c r="AS2057" s="20"/>
      <c r="AT2057" s="19"/>
      <c r="AV2057" s="21">
        <f>IF(AND($AL2057&lt;&gt;"",COUNTIF($AL$11:$AL2057,$AL2057)=1),1,0)</f>
        <v>0</v>
      </c>
      <c r="AW2057" s="21">
        <f t="shared" si="149"/>
        <v>0</v>
      </c>
      <c r="AX2057" s="21" t="str">
        <f t="shared" si="148"/>
        <v/>
      </c>
      <c r="AY2057" s="21" t="str">
        <f>IF(AND($AM2057&lt;&gt;"",$AS2057&lt;&gt;"✓"),SUMPRODUCT(($AM$11:$AM2057&lt;&gt;"")*($AS$11:$AS2057&lt;&gt;"✓")),"")</f>
        <v/>
      </c>
      <c r="AZ2057" s="21" t="str">
        <f>IF(AND($AM2057&lt;&gt;"",$AS2057="✓"),SUMPRODUCT(($AM$11:$AM2057&lt;&gt;"")*($AS$11:$AS2057="✓")),"")</f>
        <v/>
      </c>
      <c r="BA2057" s="21" t="str">
        <f>IF($AL2057="","",$AL2057&amp;"|"&amp;COUNTIF($AL$11:$AL2057,$AL2057))</f>
        <v/>
      </c>
    </row>
    <row r="2058" spans="38:53" ht="15" customHeight="1" x14ac:dyDescent="0.25">
      <c r="AL2058" s="31"/>
      <c r="AM2058" s="26"/>
      <c r="AN2058" s="32"/>
      <c r="AO2058" s="32"/>
      <c r="AP2058" s="24"/>
      <c r="AQ2058" s="24"/>
      <c r="AR2058" s="33"/>
      <c r="AS2058" s="34"/>
      <c r="AT2058" s="33"/>
      <c r="AV2058" s="21">
        <f>IF(AND($AL2058&lt;&gt;"",COUNTIF($AL$11:$AL2058,$AL2058)=1),1,0)</f>
        <v>0</v>
      </c>
      <c r="AW2058" s="21">
        <f t="shared" si="149"/>
        <v>0</v>
      </c>
      <c r="AX2058" s="21" t="str">
        <f t="shared" si="148"/>
        <v/>
      </c>
      <c r="AY2058" s="21" t="str">
        <f>IF(AND($AM2058&lt;&gt;"",$AS2058&lt;&gt;"✓"),SUMPRODUCT(($AM$11:$AM2058&lt;&gt;"")*($AS$11:$AS2058&lt;&gt;"✓")),"")</f>
        <v/>
      </c>
      <c r="AZ2058" s="21" t="str">
        <f>IF(AND($AM2058&lt;&gt;"",$AS2058="✓"),SUMPRODUCT(($AM$11:$AM2058&lt;&gt;"")*($AS$11:$AS2058="✓")),"")</f>
        <v/>
      </c>
      <c r="BA2058" s="21" t="str">
        <f>IF($AL2058="","",$AL2058&amp;"|"&amp;COUNTIF($AL$11:$AL2058,$AL2058))</f>
        <v/>
      </c>
    </row>
    <row r="2059" spans="38:53" ht="15" customHeight="1" x14ac:dyDescent="0.25">
      <c r="AL2059" s="17"/>
      <c r="AM2059" s="12"/>
      <c r="AN2059" s="18"/>
      <c r="AO2059" s="18"/>
      <c r="AP2059" s="10"/>
      <c r="AQ2059" s="10"/>
      <c r="AR2059" s="19"/>
      <c r="AS2059" s="20"/>
      <c r="AT2059" s="19"/>
      <c r="AV2059" s="21">
        <f>IF(AND($AL2059&lt;&gt;"",COUNTIF($AL$11:$AL2059,$AL2059)=1),1,0)</f>
        <v>0</v>
      </c>
      <c r="AW2059" s="21">
        <f t="shared" si="149"/>
        <v>0</v>
      </c>
      <c r="AX2059" s="21" t="str">
        <f t="shared" ref="AX2059:AX2122" si="150">IF(AV2059=1,AW2059,"")</f>
        <v/>
      </c>
      <c r="AY2059" s="21" t="str">
        <f>IF(AND($AM2059&lt;&gt;"",$AS2059&lt;&gt;"✓"),SUMPRODUCT(($AM$11:$AM2059&lt;&gt;"")*($AS$11:$AS2059&lt;&gt;"✓")),"")</f>
        <v/>
      </c>
      <c r="AZ2059" s="21" t="str">
        <f>IF(AND($AM2059&lt;&gt;"",$AS2059="✓"),SUMPRODUCT(($AM$11:$AM2059&lt;&gt;"")*($AS$11:$AS2059="✓")),"")</f>
        <v/>
      </c>
      <c r="BA2059" s="21" t="str">
        <f>IF($AL2059="","",$AL2059&amp;"|"&amp;COUNTIF($AL$11:$AL2059,$AL2059))</f>
        <v/>
      </c>
    </row>
    <row r="2060" spans="38:53" ht="15" customHeight="1" x14ac:dyDescent="0.25">
      <c r="AL2060" s="31"/>
      <c r="AM2060" s="26"/>
      <c r="AN2060" s="32"/>
      <c r="AO2060" s="32"/>
      <c r="AP2060" s="24"/>
      <c r="AQ2060" s="24"/>
      <c r="AR2060" s="33"/>
      <c r="AS2060" s="34"/>
      <c r="AT2060" s="33"/>
      <c r="AV2060" s="21">
        <f>IF(AND($AL2060&lt;&gt;"",COUNTIF($AL$11:$AL2060,$AL2060)=1),1,0)</f>
        <v>0</v>
      </c>
      <c r="AW2060" s="21">
        <f t="shared" ref="AW2060:AW2123" si="151">AW2059+AV2060</f>
        <v>0</v>
      </c>
      <c r="AX2060" s="21" t="str">
        <f t="shared" si="150"/>
        <v/>
      </c>
      <c r="AY2060" s="21" t="str">
        <f>IF(AND($AM2060&lt;&gt;"",$AS2060&lt;&gt;"✓"),SUMPRODUCT(($AM$11:$AM2060&lt;&gt;"")*($AS$11:$AS2060&lt;&gt;"✓")),"")</f>
        <v/>
      </c>
      <c r="AZ2060" s="21" t="str">
        <f>IF(AND($AM2060&lt;&gt;"",$AS2060="✓"),SUMPRODUCT(($AM$11:$AM2060&lt;&gt;"")*($AS$11:$AS2060="✓")),"")</f>
        <v/>
      </c>
      <c r="BA2060" s="21" t="str">
        <f>IF($AL2060="","",$AL2060&amp;"|"&amp;COUNTIF($AL$11:$AL2060,$AL2060))</f>
        <v/>
      </c>
    </row>
    <row r="2061" spans="38:53" ht="15" customHeight="1" x14ac:dyDescent="0.25">
      <c r="AL2061" s="17"/>
      <c r="AM2061" s="12"/>
      <c r="AN2061" s="18"/>
      <c r="AO2061" s="18"/>
      <c r="AP2061" s="10"/>
      <c r="AQ2061" s="10"/>
      <c r="AR2061" s="19"/>
      <c r="AS2061" s="20"/>
      <c r="AT2061" s="19"/>
      <c r="AV2061" s="21">
        <f>IF(AND($AL2061&lt;&gt;"",COUNTIF($AL$11:$AL2061,$AL2061)=1),1,0)</f>
        <v>0</v>
      </c>
      <c r="AW2061" s="21">
        <f t="shared" si="151"/>
        <v>0</v>
      </c>
      <c r="AX2061" s="21" t="str">
        <f t="shared" si="150"/>
        <v/>
      </c>
      <c r="AY2061" s="21" t="str">
        <f>IF(AND($AM2061&lt;&gt;"",$AS2061&lt;&gt;"✓"),SUMPRODUCT(($AM$11:$AM2061&lt;&gt;"")*($AS$11:$AS2061&lt;&gt;"✓")),"")</f>
        <v/>
      </c>
      <c r="AZ2061" s="21" t="str">
        <f>IF(AND($AM2061&lt;&gt;"",$AS2061="✓"),SUMPRODUCT(($AM$11:$AM2061&lt;&gt;"")*($AS$11:$AS2061="✓")),"")</f>
        <v/>
      </c>
      <c r="BA2061" s="21" t="str">
        <f>IF($AL2061="","",$AL2061&amp;"|"&amp;COUNTIF($AL$11:$AL2061,$AL2061))</f>
        <v/>
      </c>
    </row>
    <row r="2062" spans="38:53" ht="15" customHeight="1" x14ac:dyDescent="0.25">
      <c r="AL2062" s="31"/>
      <c r="AM2062" s="26"/>
      <c r="AN2062" s="32"/>
      <c r="AO2062" s="32"/>
      <c r="AP2062" s="24"/>
      <c r="AQ2062" s="24"/>
      <c r="AR2062" s="33"/>
      <c r="AS2062" s="34"/>
      <c r="AT2062" s="33"/>
      <c r="AV2062" s="21">
        <f>IF(AND($AL2062&lt;&gt;"",COUNTIF($AL$11:$AL2062,$AL2062)=1),1,0)</f>
        <v>0</v>
      </c>
      <c r="AW2062" s="21">
        <f t="shared" si="151"/>
        <v>0</v>
      </c>
      <c r="AX2062" s="21" t="str">
        <f t="shared" si="150"/>
        <v/>
      </c>
      <c r="AY2062" s="21" t="str">
        <f>IF(AND($AM2062&lt;&gt;"",$AS2062&lt;&gt;"✓"),SUMPRODUCT(($AM$11:$AM2062&lt;&gt;"")*($AS$11:$AS2062&lt;&gt;"✓")),"")</f>
        <v/>
      </c>
      <c r="AZ2062" s="21" t="str">
        <f>IF(AND($AM2062&lt;&gt;"",$AS2062="✓"),SUMPRODUCT(($AM$11:$AM2062&lt;&gt;"")*($AS$11:$AS2062="✓")),"")</f>
        <v/>
      </c>
      <c r="BA2062" s="21" t="str">
        <f>IF($AL2062="","",$AL2062&amp;"|"&amp;COUNTIF($AL$11:$AL2062,$AL2062))</f>
        <v/>
      </c>
    </row>
    <row r="2063" spans="38:53" ht="15" customHeight="1" x14ac:dyDescent="0.25">
      <c r="AL2063" s="17"/>
      <c r="AM2063" s="12"/>
      <c r="AN2063" s="18"/>
      <c r="AO2063" s="18"/>
      <c r="AP2063" s="10"/>
      <c r="AQ2063" s="10"/>
      <c r="AR2063" s="19"/>
      <c r="AS2063" s="20"/>
      <c r="AT2063" s="19"/>
      <c r="AV2063" s="21">
        <f>IF(AND($AL2063&lt;&gt;"",COUNTIF($AL$11:$AL2063,$AL2063)=1),1,0)</f>
        <v>0</v>
      </c>
      <c r="AW2063" s="21">
        <f t="shared" si="151"/>
        <v>0</v>
      </c>
      <c r="AX2063" s="21" t="str">
        <f t="shared" si="150"/>
        <v/>
      </c>
      <c r="AY2063" s="21" t="str">
        <f>IF(AND($AM2063&lt;&gt;"",$AS2063&lt;&gt;"✓"),SUMPRODUCT(($AM$11:$AM2063&lt;&gt;"")*($AS$11:$AS2063&lt;&gt;"✓")),"")</f>
        <v/>
      </c>
      <c r="AZ2063" s="21" t="str">
        <f>IF(AND($AM2063&lt;&gt;"",$AS2063="✓"),SUMPRODUCT(($AM$11:$AM2063&lt;&gt;"")*($AS$11:$AS2063="✓")),"")</f>
        <v/>
      </c>
      <c r="BA2063" s="21" t="str">
        <f>IF($AL2063="","",$AL2063&amp;"|"&amp;COUNTIF($AL$11:$AL2063,$AL2063))</f>
        <v/>
      </c>
    </row>
    <row r="2064" spans="38:53" ht="15" customHeight="1" x14ac:dyDescent="0.25">
      <c r="AL2064" s="31"/>
      <c r="AM2064" s="26"/>
      <c r="AN2064" s="32"/>
      <c r="AO2064" s="32"/>
      <c r="AP2064" s="24"/>
      <c r="AQ2064" s="24"/>
      <c r="AR2064" s="33"/>
      <c r="AS2064" s="34"/>
      <c r="AT2064" s="33"/>
      <c r="AV2064" s="21">
        <f>IF(AND($AL2064&lt;&gt;"",COUNTIF($AL$11:$AL2064,$AL2064)=1),1,0)</f>
        <v>0</v>
      </c>
      <c r="AW2064" s="21">
        <f t="shared" si="151"/>
        <v>0</v>
      </c>
      <c r="AX2064" s="21" t="str">
        <f t="shared" si="150"/>
        <v/>
      </c>
      <c r="AY2064" s="21" t="str">
        <f>IF(AND($AM2064&lt;&gt;"",$AS2064&lt;&gt;"✓"),SUMPRODUCT(($AM$11:$AM2064&lt;&gt;"")*($AS$11:$AS2064&lt;&gt;"✓")),"")</f>
        <v/>
      </c>
      <c r="AZ2064" s="21" t="str">
        <f>IF(AND($AM2064&lt;&gt;"",$AS2064="✓"),SUMPRODUCT(($AM$11:$AM2064&lt;&gt;"")*($AS$11:$AS2064="✓")),"")</f>
        <v/>
      </c>
      <c r="BA2064" s="21" t="str">
        <f>IF($AL2064="","",$AL2064&amp;"|"&amp;COUNTIF($AL$11:$AL2064,$AL2064))</f>
        <v/>
      </c>
    </row>
    <row r="2065" spans="38:53" ht="15" customHeight="1" x14ac:dyDescent="0.25">
      <c r="AL2065" s="17"/>
      <c r="AM2065" s="12"/>
      <c r="AN2065" s="18"/>
      <c r="AO2065" s="18"/>
      <c r="AP2065" s="10"/>
      <c r="AQ2065" s="10"/>
      <c r="AR2065" s="19"/>
      <c r="AS2065" s="20"/>
      <c r="AT2065" s="19"/>
      <c r="AV2065" s="21">
        <f>IF(AND($AL2065&lt;&gt;"",COUNTIF($AL$11:$AL2065,$AL2065)=1),1,0)</f>
        <v>0</v>
      </c>
      <c r="AW2065" s="21">
        <f t="shared" si="151"/>
        <v>0</v>
      </c>
      <c r="AX2065" s="21" t="str">
        <f t="shared" si="150"/>
        <v/>
      </c>
      <c r="AY2065" s="21" t="str">
        <f>IF(AND($AM2065&lt;&gt;"",$AS2065&lt;&gt;"✓"),SUMPRODUCT(($AM$11:$AM2065&lt;&gt;"")*($AS$11:$AS2065&lt;&gt;"✓")),"")</f>
        <v/>
      </c>
      <c r="AZ2065" s="21" t="str">
        <f>IF(AND($AM2065&lt;&gt;"",$AS2065="✓"),SUMPRODUCT(($AM$11:$AM2065&lt;&gt;"")*($AS$11:$AS2065="✓")),"")</f>
        <v/>
      </c>
      <c r="BA2065" s="21" t="str">
        <f>IF($AL2065="","",$AL2065&amp;"|"&amp;COUNTIF($AL$11:$AL2065,$AL2065))</f>
        <v/>
      </c>
    </row>
    <row r="2066" spans="38:53" ht="15" customHeight="1" x14ac:dyDescent="0.25">
      <c r="AL2066" s="31"/>
      <c r="AM2066" s="26"/>
      <c r="AN2066" s="32"/>
      <c r="AO2066" s="32"/>
      <c r="AP2066" s="24"/>
      <c r="AQ2066" s="24"/>
      <c r="AR2066" s="33"/>
      <c r="AS2066" s="34"/>
      <c r="AT2066" s="33"/>
      <c r="AV2066" s="21">
        <f>IF(AND($AL2066&lt;&gt;"",COUNTIF($AL$11:$AL2066,$AL2066)=1),1,0)</f>
        <v>0</v>
      </c>
      <c r="AW2066" s="21">
        <f t="shared" si="151"/>
        <v>0</v>
      </c>
      <c r="AX2066" s="21" t="str">
        <f t="shared" si="150"/>
        <v/>
      </c>
      <c r="AY2066" s="21" t="str">
        <f>IF(AND($AM2066&lt;&gt;"",$AS2066&lt;&gt;"✓"),SUMPRODUCT(($AM$11:$AM2066&lt;&gt;"")*($AS$11:$AS2066&lt;&gt;"✓")),"")</f>
        <v/>
      </c>
      <c r="AZ2066" s="21" t="str">
        <f>IF(AND($AM2066&lt;&gt;"",$AS2066="✓"),SUMPRODUCT(($AM$11:$AM2066&lt;&gt;"")*($AS$11:$AS2066="✓")),"")</f>
        <v/>
      </c>
      <c r="BA2066" s="21" t="str">
        <f>IF($AL2066="","",$AL2066&amp;"|"&amp;COUNTIF($AL$11:$AL2066,$AL2066))</f>
        <v/>
      </c>
    </row>
    <row r="2067" spans="38:53" ht="15" customHeight="1" x14ac:dyDescent="0.25">
      <c r="AL2067" s="17"/>
      <c r="AM2067" s="12"/>
      <c r="AN2067" s="18"/>
      <c r="AO2067" s="18"/>
      <c r="AP2067" s="10"/>
      <c r="AQ2067" s="10"/>
      <c r="AR2067" s="19"/>
      <c r="AS2067" s="20"/>
      <c r="AT2067" s="19"/>
      <c r="AV2067" s="21">
        <f>IF(AND($AL2067&lt;&gt;"",COUNTIF($AL$11:$AL2067,$AL2067)=1),1,0)</f>
        <v>0</v>
      </c>
      <c r="AW2067" s="21">
        <f t="shared" si="151"/>
        <v>0</v>
      </c>
      <c r="AX2067" s="21" t="str">
        <f t="shared" si="150"/>
        <v/>
      </c>
      <c r="AY2067" s="21" t="str">
        <f>IF(AND($AM2067&lt;&gt;"",$AS2067&lt;&gt;"✓"),SUMPRODUCT(($AM$11:$AM2067&lt;&gt;"")*($AS$11:$AS2067&lt;&gt;"✓")),"")</f>
        <v/>
      </c>
      <c r="AZ2067" s="21" t="str">
        <f>IF(AND($AM2067&lt;&gt;"",$AS2067="✓"),SUMPRODUCT(($AM$11:$AM2067&lt;&gt;"")*($AS$11:$AS2067="✓")),"")</f>
        <v/>
      </c>
      <c r="BA2067" s="21" t="str">
        <f>IF($AL2067="","",$AL2067&amp;"|"&amp;COUNTIF($AL$11:$AL2067,$AL2067))</f>
        <v/>
      </c>
    </row>
    <row r="2068" spans="38:53" ht="15" customHeight="1" x14ac:dyDescent="0.25">
      <c r="AL2068" s="31"/>
      <c r="AM2068" s="26"/>
      <c r="AN2068" s="32"/>
      <c r="AO2068" s="32"/>
      <c r="AP2068" s="24"/>
      <c r="AQ2068" s="24"/>
      <c r="AR2068" s="33"/>
      <c r="AS2068" s="34"/>
      <c r="AT2068" s="33"/>
      <c r="AV2068" s="21">
        <f>IF(AND($AL2068&lt;&gt;"",COUNTIF($AL$11:$AL2068,$AL2068)=1),1,0)</f>
        <v>0</v>
      </c>
      <c r="AW2068" s="21">
        <f t="shared" si="151"/>
        <v>0</v>
      </c>
      <c r="AX2068" s="21" t="str">
        <f t="shared" si="150"/>
        <v/>
      </c>
      <c r="AY2068" s="21" t="str">
        <f>IF(AND($AM2068&lt;&gt;"",$AS2068&lt;&gt;"✓"),SUMPRODUCT(($AM$11:$AM2068&lt;&gt;"")*($AS$11:$AS2068&lt;&gt;"✓")),"")</f>
        <v/>
      </c>
      <c r="AZ2068" s="21" t="str">
        <f>IF(AND($AM2068&lt;&gt;"",$AS2068="✓"),SUMPRODUCT(($AM$11:$AM2068&lt;&gt;"")*($AS$11:$AS2068="✓")),"")</f>
        <v/>
      </c>
      <c r="BA2068" s="21" t="str">
        <f>IF($AL2068="","",$AL2068&amp;"|"&amp;COUNTIF($AL$11:$AL2068,$AL2068))</f>
        <v/>
      </c>
    </row>
    <row r="2069" spans="38:53" ht="15" customHeight="1" x14ac:dyDescent="0.25">
      <c r="AL2069" s="17"/>
      <c r="AM2069" s="12"/>
      <c r="AN2069" s="18"/>
      <c r="AO2069" s="18"/>
      <c r="AP2069" s="10"/>
      <c r="AQ2069" s="10"/>
      <c r="AR2069" s="19"/>
      <c r="AS2069" s="20"/>
      <c r="AT2069" s="19"/>
      <c r="AV2069" s="21">
        <f>IF(AND($AL2069&lt;&gt;"",COUNTIF($AL$11:$AL2069,$AL2069)=1),1,0)</f>
        <v>0</v>
      </c>
      <c r="AW2069" s="21">
        <f t="shared" si="151"/>
        <v>0</v>
      </c>
      <c r="AX2069" s="21" t="str">
        <f t="shared" si="150"/>
        <v/>
      </c>
      <c r="AY2069" s="21" t="str">
        <f>IF(AND($AM2069&lt;&gt;"",$AS2069&lt;&gt;"✓"),SUMPRODUCT(($AM$11:$AM2069&lt;&gt;"")*($AS$11:$AS2069&lt;&gt;"✓")),"")</f>
        <v/>
      </c>
      <c r="AZ2069" s="21" t="str">
        <f>IF(AND($AM2069&lt;&gt;"",$AS2069="✓"),SUMPRODUCT(($AM$11:$AM2069&lt;&gt;"")*($AS$11:$AS2069="✓")),"")</f>
        <v/>
      </c>
      <c r="BA2069" s="21" t="str">
        <f>IF($AL2069="","",$AL2069&amp;"|"&amp;COUNTIF($AL$11:$AL2069,$AL2069))</f>
        <v/>
      </c>
    </row>
    <row r="2070" spans="38:53" ht="15" customHeight="1" x14ac:dyDescent="0.25">
      <c r="AL2070" s="31"/>
      <c r="AM2070" s="26"/>
      <c r="AN2070" s="32"/>
      <c r="AO2070" s="32"/>
      <c r="AP2070" s="24"/>
      <c r="AQ2070" s="24"/>
      <c r="AR2070" s="33"/>
      <c r="AS2070" s="34"/>
      <c r="AT2070" s="33"/>
      <c r="AV2070" s="21">
        <f>IF(AND($AL2070&lt;&gt;"",COUNTIF($AL$11:$AL2070,$AL2070)=1),1,0)</f>
        <v>0</v>
      </c>
      <c r="AW2070" s="21">
        <f t="shared" si="151"/>
        <v>0</v>
      </c>
      <c r="AX2070" s="21" t="str">
        <f t="shared" si="150"/>
        <v/>
      </c>
      <c r="AY2070" s="21" t="str">
        <f>IF(AND($AM2070&lt;&gt;"",$AS2070&lt;&gt;"✓"),SUMPRODUCT(($AM$11:$AM2070&lt;&gt;"")*($AS$11:$AS2070&lt;&gt;"✓")),"")</f>
        <v/>
      </c>
      <c r="AZ2070" s="21" t="str">
        <f>IF(AND($AM2070&lt;&gt;"",$AS2070="✓"),SUMPRODUCT(($AM$11:$AM2070&lt;&gt;"")*($AS$11:$AS2070="✓")),"")</f>
        <v/>
      </c>
      <c r="BA2070" s="21" t="str">
        <f>IF($AL2070="","",$AL2070&amp;"|"&amp;COUNTIF($AL$11:$AL2070,$AL2070))</f>
        <v/>
      </c>
    </row>
    <row r="2071" spans="38:53" ht="15" customHeight="1" x14ac:dyDescent="0.25">
      <c r="AL2071" s="17"/>
      <c r="AM2071" s="12"/>
      <c r="AN2071" s="18"/>
      <c r="AO2071" s="18"/>
      <c r="AP2071" s="10"/>
      <c r="AQ2071" s="10"/>
      <c r="AR2071" s="19"/>
      <c r="AS2071" s="20"/>
      <c r="AT2071" s="19"/>
      <c r="AV2071" s="21">
        <f>IF(AND($AL2071&lt;&gt;"",COUNTIF($AL$11:$AL2071,$AL2071)=1),1,0)</f>
        <v>0</v>
      </c>
      <c r="AW2071" s="21">
        <f t="shared" si="151"/>
        <v>0</v>
      </c>
      <c r="AX2071" s="21" t="str">
        <f t="shared" si="150"/>
        <v/>
      </c>
      <c r="AY2071" s="21" t="str">
        <f>IF(AND($AM2071&lt;&gt;"",$AS2071&lt;&gt;"✓"),SUMPRODUCT(($AM$11:$AM2071&lt;&gt;"")*($AS$11:$AS2071&lt;&gt;"✓")),"")</f>
        <v/>
      </c>
      <c r="AZ2071" s="21" t="str">
        <f>IF(AND($AM2071&lt;&gt;"",$AS2071="✓"),SUMPRODUCT(($AM$11:$AM2071&lt;&gt;"")*($AS$11:$AS2071="✓")),"")</f>
        <v/>
      </c>
      <c r="BA2071" s="21" t="str">
        <f>IF($AL2071="","",$AL2071&amp;"|"&amp;COUNTIF($AL$11:$AL2071,$AL2071))</f>
        <v/>
      </c>
    </row>
    <row r="2072" spans="38:53" ht="15" customHeight="1" x14ac:dyDescent="0.25">
      <c r="AL2072" s="31"/>
      <c r="AM2072" s="26"/>
      <c r="AN2072" s="32"/>
      <c r="AO2072" s="32"/>
      <c r="AP2072" s="24"/>
      <c r="AQ2072" s="24"/>
      <c r="AR2072" s="33"/>
      <c r="AS2072" s="34"/>
      <c r="AT2072" s="33"/>
      <c r="AV2072" s="21">
        <f>IF(AND($AL2072&lt;&gt;"",COUNTIF($AL$11:$AL2072,$AL2072)=1),1,0)</f>
        <v>0</v>
      </c>
      <c r="AW2072" s="21">
        <f t="shared" si="151"/>
        <v>0</v>
      </c>
      <c r="AX2072" s="21" t="str">
        <f t="shared" si="150"/>
        <v/>
      </c>
      <c r="AY2072" s="21" t="str">
        <f>IF(AND($AM2072&lt;&gt;"",$AS2072&lt;&gt;"✓"),SUMPRODUCT(($AM$11:$AM2072&lt;&gt;"")*($AS$11:$AS2072&lt;&gt;"✓")),"")</f>
        <v/>
      </c>
      <c r="AZ2072" s="21" t="str">
        <f>IF(AND($AM2072&lt;&gt;"",$AS2072="✓"),SUMPRODUCT(($AM$11:$AM2072&lt;&gt;"")*($AS$11:$AS2072="✓")),"")</f>
        <v/>
      </c>
      <c r="BA2072" s="21" t="str">
        <f>IF($AL2072="","",$AL2072&amp;"|"&amp;COUNTIF($AL$11:$AL2072,$AL2072))</f>
        <v/>
      </c>
    </row>
    <row r="2073" spans="38:53" ht="15" customHeight="1" x14ac:dyDescent="0.25">
      <c r="AL2073" s="17"/>
      <c r="AM2073" s="12"/>
      <c r="AN2073" s="18"/>
      <c r="AO2073" s="18"/>
      <c r="AP2073" s="10"/>
      <c r="AQ2073" s="10"/>
      <c r="AR2073" s="19"/>
      <c r="AS2073" s="20"/>
      <c r="AT2073" s="19"/>
      <c r="AV2073" s="21">
        <f>IF(AND($AL2073&lt;&gt;"",COUNTIF($AL$11:$AL2073,$AL2073)=1),1,0)</f>
        <v>0</v>
      </c>
      <c r="AW2073" s="21">
        <f t="shared" si="151"/>
        <v>0</v>
      </c>
      <c r="AX2073" s="21" t="str">
        <f t="shared" si="150"/>
        <v/>
      </c>
      <c r="AY2073" s="21" t="str">
        <f>IF(AND($AM2073&lt;&gt;"",$AS2073&lt;&gt;"✓"),SUMPRODUCT(($AM$11:$AM2073&lt;&gt;"")*($AS$11:$AS2073&lt;&gt;"✓")),"")</f>
        <v/>
      </c>
      <c r="AZ2073" s="21" t="str">
        <f>IF(AND($AM2073&lt;&gt;"",$AS2073="✓"),SUMPRODUCT(($AM$11:$AM2073&lt;&gt;"")*($AS$11:$AS2073="✓")),"")</f>
        <v/>
      </c>
      <c r="BA2073" s="21" t="str">
        <f>IF($AL2073="","",$AL2073&amp;"|"&amp;COUNTIF($AL$11:$AL2073,$AL2073))</f>
        <v/>
      </c>
    </row>
    <row r="2074" spans="38:53" ht="15" customHeight="1" x14ac:dyDescent="0.25">
      <c r="AL2074" s="31"/>
      <c r="AM2074" s="26"/>
      <c r="AN2074" s="32"/>
      <c r="AO2074" s="32"/>
      <c r="AP2074" s="24"/>
      <c r="AQ2074" s="24"/>
      <c r="AR2074" s="33"/>
      <c r="AS2074" s="34"/>
      <c r="AT2074" s="33"/>
      <c r="AV2074" s="21">
        <f>IF(AND($AL2074&lt;&gt;"",COUNTIF($AL$11:$AL2074,$AL2074)=1),1,0)</f>
        <v>0</v>
      </c>
      <c r="AW2074" s="21">
        <f t="shared" si="151"/>
        <v>0</v>
      </c>
      <c r="AX2074" s="21" t="str">
        <f t="shared" si="150"/>
        <v/>
      </c>
      <c r="AY2074" s="21" t="str">
        <f>IF(AND($AM2074&lt;&gt;"",$AS2074&lt;&gt;"✓"),SUMPRODUCT(($AM$11:$AM2074&lt;&gt;"")*($AS$11:$AS2074&lt;&gt;"✓")),"")</f>
        <v/>
      </c>
      <c r="AZ2074" s="21" t="str">
        <f>IF(AND($AM2074&lt;&gt;"",$AS2074="✓"),SUMPRODUCT(($AM$11:$AM2074&lt;&gt;"")*($AS$11:$AS2074="✓")),"")</f>
        <v/>
      </c>
      <c r="BA2074" s="21" t="str">
        <f>IF($AL2074="","",$AL2074&amp;"|"&amp;COUNTIF($AL$11:$AL2074,$AL2074))</f>
        <v/>
      </c>
    </row>
    <row r="2075" spans="38:53" ht="15" customHeight="1" x14ac:dyDescent="0.25">
      <c r="AL2075" s="17"/>
      <c r="AM2075" s="12"/>
      <c r="AN2075" s="18"/>
      <c r="AO2075" s="18"/>
      <c r="AP2075" s="10"/>
      <c r="AQ2075" s="10"/>
      <c r="AR2075" s="19"/>
      <c r="AS2075" s="20"/>
      <c r="AT2075" s="19"/>
      <c r="AV2075" s="21">
        <f>IF(AND($AL2075&lt;&gt;"",COUNTIF($AL$11:$AL2075,$AL2075)=1),1,0)</f>
        <v>0</v>
      </c>
      <c r="AW2075" s="21">
        <f t="shared" si="151"/>
        <v>0</v>
      </c>
      <c r="AX2075" s="21" t="str">
        <f t="shared" si="150"/>
        <v/>
      </c>
      <c r="AY2075" s="21" t="str">
        <f>IF(AND($AM2075&lt;&gt;"",$AS2075&lt;&gt;"✓"),SUMPRODUCT(($AM$11:$AM2075&lt;&gt;"")*($AS$11:$AS2075&lt;&gt;"✓")),"")</f>
        <v/>
      </c>
      <c r="AZ2075" s="21" t="str">
        <f>IF(AND($AM2075&lt;&gt;"",$AS2075="✓"),SUMPRODUCT(($AM$11:$AM2075&lt;&gt;"")*($AS$11:$AS2075="✓")),"")</f>
        <v/>
      </c>
      <c r="BA2075" s="21" t="str">
        <f>IF($AL2075="","",$AL2075&amp;"|"&amp;COUNTIF($AL$11:$AL2075,$AL2075))</f>
        <v/>
      </c>
    </row>
    <row r="2076" spans="38:53" ht="15" customHeight="1" x14ac:dyDescent="0.25">
      <c r="AL2076" s="31"/>
      <c r="AM2076" s="26"/>
      <c r="AN2076" s="32"/>
      <c r="AO2076" s="32"/>
      <c r="AP2076" s="24"/>
      <c r="AQ2076" s="24"/>
      <c r="AR2076" s="33"/>
      <c r="AS2076" s="34"/>
      <c r="AT2076" s="33"/>
      <c r="AV2076" s="21">
        <f>IF(AND($AL2076&lt;&gt;"",COUNTIF($AL$11:$AL2076,$AL2076)=1),1,0)</f>
        <v>0</v>
      </c>
      <c r="AW2076" s="21">
        <f t="shared" si="151"/>
        <v>0</v>
      </c>
      <c r="AX2076" s="21" t="str">
        <f t="shared" si="150"/>
        <v/>
      </c>
      <c r="AY2076" s="21" t="str">
        <f>IF(AND($AM2076&lt;&gt;"",$AS2076&lt;&gt;"✓"),SUMPRODUCT(($AM$11:$AM2076&lt;&gt;"")*($AS$11:$AS2076&lt;&gt;"✓")),"")</f>
        <v/>
      </c>
      <c r="AZ2076" s="21" t="str">
        <f>IF(AND($AM2076&lt;&gt;"",$AS2076="✓"),SUMPRODUCT(($AM$11:$AM2076&lt;&gt;"")*($AS$11:$AS2076="✓")),"")</f>
        <v/>
      </c>
      <c r="BA2076" s="21" t="str">
        <f>IF($AL2076="","",$AL2076&amp;"|"&amp;COUNTIF($AL$11:$AL2076,$AL2076))</f>
        <v/>
      </c>
    </row>
    <row r="2077" spans="38:53" ht="15" customHeight="1" x14ac:dyDescent="0.25">
      <c r="AL2077" s="17"/>
      <c r="AM2077" s="12"/>
      <c r="AN2077" s="18"/>
      <c r="AO2077" s="18"/>
      <c r="AP2077" s="10"/>
      <c r="AQ2077" s="10"/>
      <c r="AR2077" s="19"/>
      <c r="AS2077" s="20"/>
      <c r="AT2077" s="19"/>
      <c r="AV2077" s="21">
        <f>IF(AND($AL2077&lt;&gt;"",COUNTIF($AL$11:$AL2077,$AL2077)=1),1,0)</f>
        <v>0</v>
      </c>
      <c r="AW2077" s="21">
        <f t="shared" si="151"/>
        <v>0</v>
      </c>
      <c r="AX2077" s="21" t="str">
        <f t="shared" si="150"/>
        <v/>
      </c>
      <c r="AY2077" s="21" t="str">
        <f>IF(AND($AM2077&lt;&gt;"",$AS2077&lt;&gt;"✓"),SUMPRODUCT(($AM$11:$AM2077&lt;&gt;"")*($AS$11:$AS2077&lt;&gt;"✓")),"")</f>
        <v/>
      </c>
      <c r="AZ2077" s="21" t="str">
        <f>IF(AND($AM2077&lt;&gt;"",$AS2077="✓"),SUMPRODUCT(($AM$11:$AM2077&lt;&gt;"")*($AS$11:$AS2077="✓")),"")</f>
        <v/>
      </c>
      <c r="BA2077" s="21" t="str">
        <f>IF($AL2077="","",$AL2077&amp;"|"&amp;COUNTIF($AL$11:$AL2077,$AL2077))</f>
        <v/>
      </c>
    </row>
    <row r="2078" spans="38:53" ht="15" customHeight="1" x14ac:dyDescent="0.25">
      <c r="AL2078" s="31"/>
      <c r="AM2078" s="26"/>
      <c r="AN2078" s="32"/>
      <c r="AO2078" s="32"/>
      <c r="AP2078" s="24"/>
      <c r="AQ2078" s="24"/>
      <c r="AR2078" s="33"/>
      <c r="AS2078" s="34"/>
      <c r="AT2078" s="33"/>
      <c r="AV2078" s="21">
        <f>IF(AND($AL2078&lt;&gt;"",COUNTIF($AL$11:$AL2078,$AL2078)=1),1,0)</f>
        <v>0</v>
      </c>
      <c r="AW2078" s="21">
        <f t="shared" si="151"/>
        <v>0</v>
      </c>
      <c r="AX2078" s="21" t="str">
        <f t="shared" si="150"/>
        <v/>
      </c>
      <c r="AY2078" s="21" t="str">
        <f>IF(AND($AM2078&lt;&gt;"",$AS2078&lt;&gt;"✓"),SUMPRODUCT(($AM$11:$AM2078&lt;&gt;"")*($AS$11:$AS2078&lt;&gt;"✓")),"")</f>
        <v/>
      </c>
      <c r="AZ2078" s="21" t="str">
        <f>IF(AND($AM2078&lt;&gt;"",$AS2078="✓"),SUMPRODUCT(($AM$11:$AM2078&lt;&gt;"")*($AS$11:$AS2078="✓")),"")</f>
        <v/>
      </c>
      <c r="BA2078" s="21" t="str">
        <f>IF($AL2078="","",$AL2078&amp;"|"&amp;COUNTIF($AL$11:$AL2078,$AL2078))</f>
        <v/>
      </c>
    </row>
    <row r="2079" spans="38:53" ht="15" customHeight="1" x14ac:dyDescent="0.25">
      <c r="AL2079" s="17"/>
      <c r="AM2079" s="12"/>
      <c r="AN2079" s="18"/>
      <c r="AO2079" s="18"/>
      <c r="AP2079" s="10"/>
      <c r="AQ2079" s="10"/>
      <c r="AR2079" s="19"/>
      <c r="AS2079" s="20"/>
      <c r="AT2079" s="19"/>
      <c r="AV2079" s="21">
        <f>IF(AND($AL2079&lt;&gt;"",COUNTIF($AL$11:$AL2079,$AL2079)=1),1,0)</f>
        <v>0</v>
      </c>
      <c r="AW2079" s="21">
        <f t="shared" si="151"/>
        <v>0</v>
      </c>
      <c r="AX2079" s="21" t="str">
        <f t="shared" si="150"/>
        <v/>
      </c>
      <c r="AY2079" s="21" t="str">
        <f>IF(AND($AM2079&lt;&gt;"",$AS2079&lt;&gt;"✓"),SUMPRODUCT(($AM$11:$AM2079&lt;&gt;"")*($AS$11:$AS2079&lt;&gt;"✓")),"")</f>
        <v/>
      </c>
      <c r="AZ2079" s="21" t="str">
        <f>IF(AND($AM2079&lt;&gt;"",$AS2079="✓"),SUMPRODUCT(($AM$11:$AM2079&lt;&gt;"")*($AS$11:$AS2079="✓")),"")</f>
        <v/>
      </c>
      <c r="BA2079" s="21" t="str">
        <f>IF($AL2079="","",$AL2079&amp;"|"&amp;COUNTIF($AL$11:$AL2079,$AL2079))</f>
        <v/>
      </c>
    </row>
    <row r="2080" spans="38:53" ht="15" customHeight="1" x14ac:dyDescent="0.25">
      <c r="AL2080" s="31"/>
      <c r="AM2080" s="26"/>
      <c r="AN2080" s="32"/>
      <c r="AO2080" s="32"/>
      <c r="AP2080" s="24"/>
      <c r="AQ2080" s="24"/>
      <c r="AR2080" s="33"/>
      <c r="AS2080" s="34"/>
      <c r="AT2080" s="33"/>
      <c r="AV2080" s="21">
        <f>IF(AND($AL2080&lt;&gt;"",COUNTIF($AL$11:$AL2080,$AL2080)=1),1,0)</f>
        <v>0</v>
      </c>
      <c r="AW2080" s="21">
        <f t="shared" si="151"/>
        <v>0</v>
      </c>
      <c r="AX2080" s="21" t="str">
        <f t="shared" si="150"/>
        <v/>
      </c>
      <c r="AY2080" s="21" t="str">
        <f>IF(AND($AM2080&lt;&gt;"",$AS2080&lt;&gt;"✓"),SUMPRODUCT(($AM$11:$AM2080&lt;&gt;"")*($AS$11:$AS2080&lt;&gt;"✓")),"")</f>
        <v/>
      </c>
      <c r="AZ2080" s="21" t="str">
        <f>IF(AND($AM2080&lt;&gt;"",$AS2080="✓"),SUMPRODUCT(($AM$11:$AM2080&lt;&gt;"")*($AS$11:$AS2080="✓")),"")</f>
        <v/>
      </c>
      <c r="BA2080" s="21" t="str">
        <f>IF($AL2080="","",$AL2080&amp;"|"&amp;COUNTIF($AL$11:$AL2080,$AL2080))</f>
        <v/>
      </c>
    </row>
    <row r="2081" spans="38:53" ht="15" customHeight="1" x14ac:dyDescent="0.25">
      <c r="AL2081" s="17"/>
      <c r="AM2081" s="12"/>
      <c r="AN2081" s="18"/>
      <c r="AO2081" s="18"/>
      <c r="AP2081" s="10"/>
      <c r="AQ2081" s="10"/>
      <c r="AR2081" s="19"/>
      <c r="AS2081" s="20"/>
      <c r="AT2081" s="19"/>
      <c r="AV2081" s="21">
        <f>IF(AND($AL2081&lt;&gt;"",COUNTIF($AL$11:$AL2081,$AL2081)=1),1,0)</f>
        <v>0</v>
      </c>
      <c r="AW2081" s="21">
        <f t="shared" si="151"/>
        <v>0</v>
      </c>
      <c r="AX2081" s="21" t="str">
        <f t="shared" si="150"/>
        <v/>
      </c>
      <c r="AY2081" s="21" t="str">
        <f>IF(AND($AM2081&lt;&gt;"",$AS2081&lt;&gt;"✓"),SUMPRODUCT(($AM$11:$AM2081&lt;&gt;"")*($AS$11:$AS2081&lt;&gt;"✓")),"")</f>
        <v/>
      </c>
      <c r="AZ2081" s="21" t="str">
        <f>IF(AND($AM2081&lt;&gt;"",$AS2081="✓"),SUMPRODUCT(($AM$11:$AM2081&lt;&gt;"")*($AS$11:$AS2081="✓")),"")</f>
        <v/>
      </c>
      <c r="BA2081" s="21" t="str">
        <f>IF($AL2081="","",$AL2081&amp;"|"&amp;COUNTIF($AL$11:$AL2081,$AL2081))</f>
        <v/>
      </c>
    </row>
    <row r="2082" spans="38:53" ht="15" customHeight="1" x14ac:dyDescent="0.25">
      <c r="AL2082" s="31"/>
      <c r="AM2082" s="26"/>
      <c r="AN2082" s="32"/>
      <c r="AO2082" s="32"/>
      <c r="AP2082" s="24"/>
      <c r="AQ2082" s="24"/>
      <c r="AR2082" s="33"/>
      <c r="AS2082" s="34"/>
      <c r="AT2082" s="33"/>
      <c r="AV2082" s="21">
        <f>IF(AND($AL2082&lt;&gt;"",COUNTIF($AL$11:$AL2082,$AL2082)=1),1,0)</f>
        <v>0</v>
      </c>
      <c r="AW2082" s="21">
        <f t="shared" si="151"/>
        <v>0</v>
      </c>
      <c r="AX2082" s="21" t="str">
        <f t="shared" si="150"/>
        <v/>
      </c>
      <c r="AY2082" s="21" t="str">
        <f>IF(AND($AM2082&lt;&gt;"",$AS2082&lt;&gt;"✓"),SUMPRODUCT(($AM$11:$AM2082&lt;&gt;"")*($AS$11:$AS2082&lt;&gt;"✓")),"")</f>
        <v/>
      </c>
      <c r="AZ2082" s="21" t="str">
        <f>IF(AND($AM2082&lt;&gt;"",$AS2082="✓"),SUMPRODUCT(($AM$11:$AM2082&lt;&gt;"")*($AS$11:$AS2082="✓")),"")</f>
        <v/>
      </c>
      <c r="BA2082" s="21" t="str">
        <f>IF($AL2082="","",$AL2082&amp;"|"&amp;COUNTIF($AL$11:$AL2082,$AL2082))</f>
        <v/>
      </c>
    </row>
    <row r="2083" spans="38:53" ht="15" customHeight="1" x14ac:dyDescent="0.25">
      <c r="AL2083" s="17"/>
      <c r="AM2083" s="12"/>
      <c r="AN2083" s="18"/>
      <c r="AO2083" s="18"/>
      <c r="AP2083" s="10"/>
      <c r="AQ2083" s="10"/>
      <c r="AR2083" s="19"/>
      <c r="AS2083" s="20"/>
      <c r="AT2083" s="19"/>
      <c r="AV2083" s="21">
        <f>IF(AND($AL2083&lt;&gt;"",COUNTIF($AL$11:$AL2083,$AL2083)=1),1,0)</f>
        <v>0</v>
      </c>
      <c r="AW2083" s="21">
        <f t="shared" si="151"/>
        <v>0</v>
      </c>
      <c r="AX2083" s="21" t="str">
        <f t="shared" si="150"/>
        <v/>
      </c>
      <c r="AY2083" s="21" t="str">
        <f>IF(AND($AM2083&lt;&gt;"",$AS2083&lt;&gt;"✓"),SUMPRODUCT(($AM$11:$AM2083&lt;&gt;"")*($AS$11:$AS2083&lt;&gt;"✓")),"")</f>
        <v/>
      </c>
      <c r="AZ2083" s="21" t="str">
        <f>IF(AND($AM2083&lt;&gt;"",$AS2083="✓"),SUMPRODUCT(($AM$11:$AM2083&lt;&gt;"")*($AS$11:$AS2083="✓")),"")</f>
        <v/>
      </c>
      <c r="BA2083" s="21" t="str">
        <f>IF($AL2083="","",$AL2083&amp;"|"&amp;COUNTIF($AL$11:$AL2083,$AL2083))</f>
        <v/>
      </c>
    </row>
    <row r="2084" spans="38:53" ht="15" customHeight="1" x14ac:dyDescent="0.25">
      <c r="AL2084" s="31"/>
      <c r="AM2084" s="26"/>
      <c r="AN2084" s="32"/>
      <c r="AO2084" s="32"/>
      <c r="AP2084" s="24"/>
      <c r="AQ2084" s="24"/>
      <c r="AR2084" s="33"/>
      <c r="AS2084" s="34"/>
      <c r="AT2084" s="33"/>
      <c r="AV2084" s="21">
        <f>IF(AND($AL2084&lt;&gt;"",COUNTIF($AL$11:$AL2084,$AL2084)=1),1,0)</f>
        <v>0</v>
      </c>
      <c r="AW2084" s="21">
        <f t="shared" si="151"/>
        <v>0</v>
      </c>
      <c r="AX2084" s="21" t="str">
        <f t="shared" si="150"/>
        <v/>
      </c>
      <c r="AY2084" s="21" t="str">
        <f>IF(AND($AM2084&lt;&gt;"",$AS2084&lt;&gt;"✓"),SUMPRODUCT(($AM$11:$AM2084&lt;&gt;"")*($AS$11:$AS2084&lt;&gt;"✓")),"")</f>
        <v/>
      </c>
      <c r="AZ2084" s="21" t="str">
        <f>IF(AND($AM2084&lt;&gt;"",$AS2084="✓"),SUMPRODUCT(($AM$11:$AM2084&lt;&gt;"")*($AS$11:$AS2084="✓")),"")</f>
        <v/>
      </c>
      <c r="BA2084" s="21" t="str">
        <f>IF($AL2084="","",$AL2084&amp;"|"&amp;COUNTIF($AL$11:$AL2084,$AL2084))</f>
        <v/>
      </c>
    </row>
    <row r="2085" spans="38:53" ht="15" customHeight="1" x14ac:dyDescent="0.25">
      <c r="AL2085" s="17"/>
      <c r="AM2085" s="12"/>
      <c r="AN2085" s="18"/>
      <c r="AO2085" s="18"/>
      <c r="AP2085" s="10"/>
      <c r="AQ2085" s="10"/>
      <c r="AR2085" s="19"/>
      <c r="AS2085" s="20"/>
      <c r="AT2085" s="19"/>
      <c r="AV2085" s="21">
        <f>IF(AND($AL2085&lt;&gt;"",COUNTIF($AL$11:$AL2085,$AL2085)=1),1,0)</f>
        <v>0</v>
      </c>
      <c r="AW2085" s="21">
        <f t="shared" si="151"/>
        <v>0</v>
      </c>
      <c r="AX2085" s="21" t="str">
        <f t="shared" si="150"/>
        <v/>
      </c>
      <c r="AY2085" s="21" t="str">
        <f>IF(AND($AM2085&lt;&gt;"",$AS2085&lt;&gt;"✓"),SUMPRODUCT(($AM$11:$AM2085&lt;&gt;"")*($AS$11:$AS2085&lt;&gt;"✓")),"")</f>
        <v/>
      </c>
      <c r="AZ2085" s="21" t="str">
        <f>IF(AND($AM2085&lt;&gt;"",$AS2085="✓"),SUMPRODUCT(($AM$11:$AM2085&lt;&gt;"")*($AS$11:$AS2085="✓")),"")</f>
        <v/>
      </c>
      <c r="BA2085" s="21" t="str">
        <f>IF($AL2085="","",$AL2085&amp;"|"&amp;COUNTIF($AL$11:$AL2085,$AL2085))</f>
        <v/>
      </c>
    </row>
    <row r="2086" spans="38:53" ht="15" customHeight="1" x14ac:dyDescent="0.25">
      <c r="AL2086" s="31"/>
      <c r="AM2086" s="26"/>
      <c r="AN2086" s="32"/>
      <c r="AO2086" s="32"/>
      <c r="AP2086" s="24"/>
      <c r="AQ2086" s="24"/>
      <c r="AR2086" s="33"/>
      <c r="AS2086" s="34"/>
      <c r="AT2086" s="33"/>
      <c r="AV2086" s="21">
        <f>IF(AND($AL2086&lt;&gt;"",COUNTIF($AL$11:$AL2086,$AL2086)=1),1,0)</f>
        <v>0</v>
      </c>
      <c r="AW2086" s="21">
        <f t="shared" si="151"/>
        <v>0</v>
      </c>
      <c r="AX2086" s="21" t="str">
        <f t="shared" si="150"/>
        <v/>
      </c>
      <c r="AY2086" s="21" t="str">
        <f>IF(AND($AM2086&lt;&gt;"",$AS2086&lt;&gt;"✓"),SUMPRODUCT(($AM$11:$AM2086&lt;&gt;"")*($AS$11:$AS2086&lt;&gt;"✓")),"")</f>
        <v/>
      </c>
      <c r="AZ2086" s="21" t="str">
        <f>IF(AND($AM2086&lt;&gt;"",$AS2086="✓"),SUMPRODUCT(($AM$11:$AM2086&lt;&gt;"")*($AS$11:$AS2086="✓")),"")</f>
        <v/>
      </c>
      <c r="BA2086" s="21" t="str">
        <f>IF($AL2086="","",$AL2086&amp;"|"&amp;COUNTIF($AL$11:$AL2086,$AL2086))</f>
        <v/>
      </c>
    </row>
    <row r="2087" spans="38:53" ht="15" customHeight="1" x14ac:dyDescent="0.25">
      <c r="AL2087" s="17"/>
      <c r="AM2087" s="12"/>
      <c r="AN2087" s="18"/>
      <c r="AO2087" s="18"/>
      <c r="AP2087" s="10"/>
      <c r="AQ2087" s="10"/>
      <c r="AR2087" s="19"/>
      <c r="AS2087" s="20"/>
      <c r="AT2087" s="19"/>
      <c r="AV2087" s="21">
        <f>IF(AND($AL2087&lt;&gt;"",COUNTIF($AL$11:$AL2087,$AL2087)=1),1,0)</f>
        <v>0</v>
      </c>
      <c r="AW2087" s="21">
        <f t="shared" si="151"/>
        <v>0</v>
      </c>
      <c r="AX2087" s="21" t="str">
        <f t="shared" si="150"/>
        <v/>
      </c>
      <c r="AY2087" s="21" t="str">
        <f>IF(AND($AM2087&lt;&gt;"",$AS2087&lt;&gt;"✓"),SUMPRODUCT(($AM$11:$AM2087&lt;&gt;"")*($AS$11:$AS2087&lt;&gt;"✓")),"")</f>
        <v/>
      </c>
      <c r="AZ2087" s="21" t="str">
        <f>IF(AND($AM2087&lt;&gt;"",$AS2087="✓"),SUMPRODUCT(($AM$11:$AM2087&lt;&gt;"")*($AS$11:$AS2087="✓")),"")</f>
        <v/>
      </c>
      <c r="BA2087" s="21" t="str">
        <f>IF($AL2087="","",$AL2087&amp;"|"&amp;COUNTIF($AL$11:$AL2087,$AL2087))</f>
        <v/>
      </c>
    </row>
    <row r="2088" spans="38:53" ht="15" customHeight="1" x14ac:dyDescent="0.25">
      <c r="AL2088" s="31"/>
      <c r="AM2088" s="26"/>
      <c r="AN2088" s="32"/>
      <c r="AO2088" s="32"/>
      <c r="AP2088" s="24"/>
      <c r="AQ2088" s="24"/>
      <c r="AR2088" s="33"/>
      <c r="AS2088" s="34"/>
      <c r="AT2088" s="33"/>
      <c r="AV2088" s="21">
        <f>IF(AND($AL2088&lt;&gt;"",COUNTIF($AL$11:$AL2088,$AL2088)=1),1,0)</f>
        <v>0</v>
      </c>
      <c r="AW2088" s="21">
        <f t="shared" si="151"/>
        <v>0</v>
      </c>
      <c r="AX2088" s="21" t="str">
        <f t="shared" si="150"/>
        <v/>
      </c>
      <c r="AY2088" s="21" t="str">
        <f>IF(AND($AM2088&lt;&gt;"",$AS2088&lt;&gt;"✓"),SUMPRODUCT(($AM$11:$AM2088&lt;&gt;"")*($AS$11:$AS2088&lt;&gt;"✓")),"")</f>
        <v/>
      </c>
      <c r="AZ2088" s="21" t="str">
        <f>IF(AND($AM2088&lt;&gt;"",$AS2088="✓"),SUMPRODUCT(($AM$11:$AM2088&lt;&gt;"")*($AS$11:$AS2088="✓")),"")</f>
        <v/>
      </c>
      <c r="BA2088" s="21" t="str">
        <f>IF($AL2088="","",$AL2088&amp;"|"&amp;COUNTIF($AL$11:$AL2088,$AL2088))</f>
        <v/>
      </c>
    </row>
    <row r="2089" spans="38:53" ht="15" customHeight="1" x14ac:dyDescent="0.25">
      <c r="AL2089" s="17"/>
      <c r="AM2089" s="12"/>
      <c r="AN2089" s="18"/>
      <c r="AO2089" s="18"/>
      <c r="AP2089" s="10"/>
      <c r="AQ2089" s="10"/>
      <c r="AR2089" s="19"/>
      <c r="AS2089" s="20"/>
      <c r="AT2089" s="19"/>
      <c r="AV2089" s="21">
        <f>IF(AND($AL2089&lt;&gt;"",COUNTIF($AL$11:$AL2089,$AL2089)=1),1,0)</f>
        <v>0</v>
      </c>
      <c r="AW2089" s="21">
        <f t="shared" si="151"/>
        <v>0</v>
      </c>
      <c r="AX2089" s="21" t="str">
        <f t="shared" si="150"/>
        <v/>
      </c>
      <c r="AY2089" s="21" t="str">
        <f>IF(AND($AM2089&lt;&gt;"",$AS2089&lt;&gt;"✓"),SUMPRODUCT(($AM$11:$AM2089&lt;&gt;"")*($AS$11:$AS2089&lt;&gt;"✓")),"")</f>
        <v/>
      </c>
      <c r="AZ2089" s="21" t="str">
        <f>IF(AND($AM2089&lt;&gt;"",$AS2089="✓"),SUMPRODUCT(($AM$11:$AM2089&lt;&gt;"")*($AS$11:$AS2089="✓")),"")</f>
        <v/>
      </c>
      <c r="BA2089" s="21" t="str">
        <f>IF($AL2089="","",$AL2089&amp;"|"&amp;COUNTIF($AL$11:$AL2089,$AL2089))</f>
        <v/>
      </c>
    </row>
    <row r="2090" spans="38:53" ht="15" customHeight="1" x14ac:dyDescent="0.25">
      <c r="AL2090" s="31"/>
      <c r="AM2090" s="26"/>
      <c r="AN2090" s="32"/>
      <c r="AO2090" s="32"/>
      <c r="AP2090" s="24"/>
      <c r="AQ2090" s="24"/>
      <c r="AR2090" s="33"/>
      <c r="AS2090" s="34"/>
      <c r="AT2090" s="33"/>
      <c r="AV2090" s="21">
        <f>IF(AND($AL2090&lt;&gt;"",COUNTIF($AL$11:$AL2090,$AL2090)=1),1,0)</f>
        <v>0</v>
      </c>
      <c r="AW2090" s="21">
        <f t="shared" si="151"/>
        <v>0</v>
      </c>
      <c r="AX2090" s="21" t="str">
        <f t="shared" si="150"/>
        <v/>
      </c>
      <c r="AY2090" s="21" t="str">
        <f>IF(AND($AM2090&lt;&gt;"",$AS2090&lt;&gt;"✓"),SUMPRODUCT(($AM$11:$AM2090&lt;&gt;"")*($AS$11:$AS2090&lt;&gt;"✓")),"")</f>
        <v/>
      </c>
      <c r="AZ2090" s="21" t="str">
        <f>IF(AND($AM2090&lt;&gt;"",$AS2090="✓"),SUMPRODUCT(($AM$11:$AM2090&lt;&gt;"")*($AS$11:$AS2090="✓")),"")</f>
        <v/>
      </c>
      <c r="BA2090" s="21" t="str">
        <f>IF($AL2090="","",$AL2090&amp;"|"&amp;COUNTIF($AL$11:$AL2090,$AL2090))</f>
        <v/>
      </c>
    </row>
    <row r="2091" spans="38:53" ht="15" customHeight="1" x14ac:dyDescent="0.25">
      <c r="AL2091" s="17"/>
      <c r="AM2091" s="12"/>
      <c r="AN2091" s="18"/>
      <c r="AO2091" s="18"/>
      <c r="AP2091" s="10"/>
      <c r="AQ2091" s="10"/>
      <c r="AR2091" s="19"/>
      <c r="AS2091" s="20"/>
      <c r="AT2091" s="19"/>
      <c r="AV2091" s="21">
        <f>IF(AND($AL2091&lt;&gt;"",COUNTIF($AL$11:$AL2091,$AL2091)=1),1,0)</f>
        <v>0</v>
      </c>
      <c r="AW2091" s="21">
        <f t="shared" si="151"/>
        <v>0</v>
      </c>
      <c r="AX2091" s="21" t="str">
        <f t="shared" si="150"/>
        <v/>
      </c>
      <c r="AY2091" s="21" t="str">
        <f>IF(AND($AM2091&lt;&gt;"",$AS2091&lt;&gt;"✓"),SUMPRODUCT(($AM$11:$AM2091&lt;&gt;"")*($AS$11:$AS2091&lt;&gt;"✓")),"")</f>
        <v/>
      </c>
      <c r="AZ2091" s="21" t="str">
        <f>IF(AND($AM2091&lt;&gt;"",$AS2091="✓"),SUMPRODUCT(($AM$11:$AM2091&lt;&gt;"")*($AS$11:$AS2091="✓")),"")</f>
        <v/>
      </c>
      <c r="BA2091" s="21" t="str">
        <f>IF($AL2091="","",$AL2091&amp;"|"&amp;COUNTIF($AL$11:$AL2091,$AL2091))</f>
        <v/>
      </c>
    </row>
    <row r="2092" spans="38:53" ht="15" customHeight="1" x14ac:dyDescent="0.25">
      <c r="AL2092" s="31"/>
      <c r="AM2092" s="26"/>
      <c r="AN2092" s="32"/>
      <c r="AO2092" s="32"/>
      <c r="AP2092" s="24"/>
      <c r="AQ2092" s="24"/>
      <c r="AR2092" s="33"/>
      <c r="AS2092" s="34"/>
      <c r="AT2092" s="33"/>
      <c r="AV2092" s="21">
        <f>IF(AND($AL2092&lt;&gt;"",COUNTIF($AL$11:$AL2092,$AL2092)=1),1,0)</f>
        <v>0</v>
      </c>
      <c r="AW2092" s="21">
        <f t="shared" si="151"/>
        <v>0</v>
      </c>
      <c r="AX2092" s="21" t="str">
        <f t="shared" si="150"/>
        <v/>
      </c>
      <c r="AY2092" s="21" t="str">
        <f>IF(AND($AM2092&lt;&gt;"",$AS2092&lt;&gt;"✓"),SUMPRODUCT(($AM$11:$AM2092&lt;&gt;"")*($AS$11:$AS2092&lt;&gt;"✓")),"")</f>
        <v/>
      </c>
      <c r="AZ2092" s="21" t="str">
        <f>IF(AND($AM2092&lt;&gt;"",$AS2092="✓"),SUMPRODUCT(($AM$11:$AM2092&lt;&gt;"")*($AS$11:$AS2092="✓")),"")</f>
        <v/>
      </c>
      <c r="BA2092" s="21" t="str">
        <f>IF($AL2092="","",$AL2092&amp;"|"&amp;COUNTIF($AL$11:$AL2092,$AL2092))</f>
        <v/>
      </c>
    </row>
    <row r="2093" spans="38:53" ht="15" customHeight="1" x14ac:dyDescent="0.25">
      <c r="AL2093" s="17"/>
      <c r="AM2093" s="12"/>
      <c r="AN2093" s="18"/>
      <c r="AO2093" s="18"/>
      <c r="AP2093" s="10"/>
      <c r="AQ2093" s="10"/>
      <c r="AR2093" s="19"/>
      <c r="AS2093" s="20"/>
      <c r="AT2093" s="19"/>
      <c r="AV2093" s="21">
        <f>IF(AND($AL2093&lt;&gt;"",COUNTIF($AL$11:$AL2093,$AL2093)=1),1,0)</f>
        <v>0</v>
      </c>
      <c r="AW2093" s="21">
        <f t="shared" si="151"/>
        <v>0</v>
      </c>
      <c r="AX2093" s="21" t="str">
        <f t="shared" si="150"/>
        <v/>
      </c>
      <c r="AY2093" s="21" t="str">
        <f>IF(AND($AM2093&lt;&gt;"",$AS2093&lt;&gt;"✓"),SUMPRODUCT(($AM$11:$AM2093&lt;&gt;"")*($AS$11:$AS2093&lt;&gt;"✓")),"")</f>
        <v/>
      </c>
      <c r="AZ2093" s="21" t="str">
        <f>IF(AND($AM2093&lt;&gt;"",$AS2093="✓"),SUMPRODUCT(($AM$11:$AM2093&lt;&gt;"")*($AS$11:$AS2093="✓")),"")</f>
        <v/>
      </c>
      <c r="BA2093" s="21" t="str">
        <f>IF($AL2093="","",$AL2093&amp;"|"&amp;COUNTIF($AL$11:$AL2093,$AL2093))</f>
        <v/>
      </c>
    </row>
    <row r="2094" spans="38:53" ht="15" customHeight="1" x14ac:dyDescent="0.25">
      <c r="AL2094" s="31"/>
      <c r="AM2094" s="26"/>
      <c r="AN2094" s="32"/>
      <c r="AO2094" s="32"/>
      <c r="AP2094" s="24"/>
      <c r="AQ2094" s="24"/>
      <c r="AR2094" s="33"/>
      <c r="AS2094" s="34"/>
      <c r="AT2094" s="33"/>
      <c r="AV2094" s="21">
        <f>IF(AND($AL2094&lt;&gt;"",COUNTIF($AL$11:$AL2094,$AL2094)=1),1,0)</f>
        <v>0</v>
      </c>
      <c r="AW2094" s="21">
        <f t="shared" si="151"/>
        <v>0</v>
      </c>
      <c r="AX2094" s="21" t="str">
        <f t="shared" si="150"/>
        <v/>
      </c>
      <c r="AY2094" s="21" t="str">
        <f>IF(AND($AM2094&lt;&gt;"",$AS2094&lt;&gt;"✓"),SUMPRODUCT(($AM$11:$AM2094&lt;&gt;"")*($AS$11:$AS2094&lt;&gt;"✓")),"")</f>
        <v/>
      </c>
      <c r="AZ2094" s="21" t="str">
        <f>IF(AND($AM2094&lt;&gt;"",$AS2094="✓"),SUMPRODUCT(($AM$11:$AM2094&lt;&gt;"")*($AS$11:$AS2094="✓")),"")</f>
        <v/>
      </c>
      <c r="BA2094" s="21" t="str">
        <f>IF($AL2094="","",$AL2094&amp;"|"&amp;COUNTIF($AL$11:$AL2094,$AL2094))</f>
        <v/>
      </c>
    </row>
    <row r="2095" spans="38:53" ht="15" customHeight="1" x14ac:dyDescent="0.25">
      <c r="AL2095" s="17"/>
      <c r="AM2095" s="12"/>
      <c r="AN2095" s="18"/>
      <c r="AO2095" s="18"/>
      <c r="AP2095" s="10"/>
      <c r="AQ2095" s="10"/>
      <c r="AR2095" s="19"/>
      <c r="AS2095" s="20"/>
      <c r="AT2095" s="19"/>
      <c r="AV2095" s="21">
        <f>IF(AND($AL2095&lt;&gt;"",COUNTIF($AL$11:$AL2095,$AL2095)=1),1,0)</f>
        <v>0</v>
      </c>
      <c r="AW2095" s="21">
        <f t="shared" si="151"/>
        <v>0</v>
      </c>
      <c r="AX2095" s="21" t="str">
        <f t="shared" si="150"/>
        <v/>
      </c>
      <c r="AY2095" s="21" t="str">
        <f>IF(AND($AM2095&lt;&gt;"",$AS2095&lt;&gt;"✓"),SUMPRODUCT(($AM$11:$AM2095&lt;&gt;"")*($AS$11:$AS2095&lt;&gt;"✓")),"")</f>
        <v/>
      </c>
      <c r="AZ2095" s="21" t="str">
        <f>IF(AND($AM2095&lt;&gt;"",$AS2095="✓"),SUMPRODUCT(($AM$11:$AM2095&lt;&gt;"")*($AS$11:$AS2095="✓")),"")</f>
        <v/>
      </c>
      <c r="BA2095" s="21" t="str">
        <f>IF($AL2095="","",$AL2095&amp;"|"&amp;COUNTIF($AL$11:$AL2095,$AL2095))</f>
        <v/>
      </c>
    </row>
    <row r="2096" spans="38:53" ht="15" customHeight="1" x14ac:dyDescent="0.25">
      <c r="AL2096" s="31"/>
      <c r="AM2096" s="26"/>
      <c r="AN2096" s="32"/>
      <c r="AO2096" s="32"/>
      <c r="AP2096" s="24"/>
      <c r="AQ2096" s="24"/>
      <c r="AR2096" s="33"/>
      <c r="AS2096" s="34"/>
      <c r="AT2096" s="33"/>
      <c r="AV2096" s="21">
        <f>IF(AND($AL2096&lt;&gt;"",COUNTIF($AL$11:$AL2096,$AL2096)=1),1,0)</f>
        <v>0</v>
      </c>
      <c r="AW2096" s="21">
        <f t="shared" si="151"/>
        <v>0</v>
      </c>
      <c r="AX2096" s="21" t="str">
        <f t="shared" si="150"/>
        <v/>
      </c>
      <c r="AY2096" s="21" t="str">
        <f>IF(AND($AM2096&lt;&gt;"",$AS2096&lt;&gt;"✓"),SUMPRODUCT(($AM$11:$AM2096&lt;&gt;"")*($AS$11:$AS2096&lt;&gt;"✓")),"")</f>
        <v/>
      </c>
      <c r="AZ2096" s="21" t="str">
        <f>IF(AND($AM2096&lt;&gt;"",$AS2096="✓"),SUMPRODUCT(($AM$11:$AM2096&lt;&gt;"")*($AS$11:$AS2096="✓")),"")</f>
        <v/>
      </c>
      <c r="BA2096" s="21" t="str">
        <f>IF($AL2096="","",$AL2096&amp;"|"&amp;COUNTIF($AL$11:$AL2096,$AL2096))</f>
        <v/>
      </c>
    </row>
    <row r="2097" spans="38:53" ht="15" customHeight="1" x14ac:dyDescent="0.25">
      <c r="AL2097" s="17"/>
      <c r="AM2097" s="12"/>
      <c r="AN2097" s="18"/>
      <c r="AO2097" s="18"/>
      <c r="AP2097" s="10"/>
      <c r="AQ2097" s="10"/>
      <c r="AR2097" s="19"/>
      <c r="AS2097" s="20"/>
      <c r="AT2097" s="19"/>
      <c r="AV2097" s="21">
        <f>IF(AND($AL2097&lt;&gt;"",COUNTIF($AL$11:$AL2097,$AL2097)=1),1,0)</f>
        <v>0</v>
      </c>
      <c r="AW2097" s="21">
        <f t="shared" si="151"/>
        <v>0</v>
      </c>
      <c r="AX2097" s="21" t="str">
        <f t="shared" si="150"/>
        <v/>
      </c>
      <c r="AY2097" s="21" t="str">
        <f>IF(AND($AM2097&lt;&gt;"",$AS2097&lt;&gt;"✓"),SUMPRODUCT(($AM$11:$AM2097&lt;&gt;"")*($AS$11:$AS2097&lt;&gt;"✓")),"")</f>
        <v/>
      </c>
      <c r="AZ2097" s="21" t="str">
        <f>IF(AND($AM2097&lt;&gt;"",$AS2097="✓"),SUMPRODUCT(($AM$11:$AM2097&lt;&gt;"")*($AS$11:$AS2097="✓")),"")</f>
        <v/>
      </c>
      <c r="BA2097" s="21" t="str">
        <f>IF($AL2097="","",$AL2097&amp;"|"&amp;COUNTIF($AL$11:$AL2097,$AL2097))</f>
        <v/>
      </c>
    </row>
    <row r="2098" spans="38:53" ht="15" customHeight="1" x14ac:dyDescent="0.25">
      <c r="AL2098" s="31"/>
      <c r="AM2098" s="26"/>
      <c r="AN2098" s="32"/>
      <c r="AO2098" s="32"/>
      <c r="AP2098" s="24"/>
      <c r="AQ2098" s="24"/>
      <c r="AR2098" s="33"/>
      <c r="AS2098" s="34"/>
      <c r="AT2098" s="33"/>
      <c r="AV2098" s="21">
        <f>IF(AND($AL2098&lt;&gt;"",COUNTIF($AL$11:$AL2098,$AL2098)=1),1,0)</f>
        <v>0</v>
      </c>
      <c r="AW2098" s="21">
        <f t="shared" si="151"/>
        <v>0</v>
      </c>
      <c r="AX2098" s="21" t="str">
        <f t="shared" si="150"/>
        <v/>
      </c>
      <c r="AY2098" s="21" t="str">
        <f>IF(AND($AM2098&lt;&gt;"",$AS2098&lt;&gt;"✓"),SUMPRODUCT(($AM$11:$AM2098&lt;&gt;"")*($AS$11:$AS2098&lt;&gt;"✓")),"")</f>
        <v/>
      </c>
      <c r="AZ2098" s="21" t="str">
        <f>IF(AND($AM2098&lt;&gt;"",$AS2098="✓"),SUMPRODUCT(($AM$11:$AM2098&lt;&gt;"")*($AS$11:$AS2098="✓")),"")</f>
        <v/>
      </c>
      <c r="BA2098" s="21" t="str">
        <f>IF($AL2098="","",$AL2098&amp;"|"&amp;COUNTIF($AL$11:$AL2098,$AL2098))</f>
        <v/>
      </c>
    </row>
    <row r="2099" spans="38:53" ht="15" customHeight="1" x14ac:dyDescent="0.25">
      <c r="AL2099" s="17"/>
      <c r="AM2099" s="12"/>
      <c r="AN2099" s="18"/>
      <c r="AO2099" s="18"/>
      <c r="AP2099" s="10"/>
      <c r="AQ2099" s="10"/>
      <c r="AR2099" s="19"/>
      <c r="AS2099" s="20"/>
      <c r="AT2099" s="19"/>
      <c r="AV2099" s="21">
        <f>IF(AND($AL2099&lt;&gt;"",COUNTIF($AL$11:$AL2099,$AL2099)=1),1,0)</f>
        <v>0</v>
      </c>
      <c r="AW2099" s="21">
        <f t="shared" si="151"/>
        <v>0</v>
      </c>
      <c r="AX2099" s="21" t="str">
        <f t="shared" si="150"/>
        <v/>
      </c>
      <c r="AY2099" s="21" t="str">
        <f>IF(AND($AM2099&lt;&gt;"",$AS2099&lt;&gt;"✓"),SUMPRODUCT(($AM$11:$AM2099&lt;&gt;"")*($AS$11:$AS2099&lt;&gt;"✓")),"")</f>
        <v/>
      </c>
      <c r="AZ2099" s="21" t="str">
        <f>IF(AND($AM2099&lt;&gt;"",$AS2099="✓"),SUMPRODUCT(($AM$11:$AM2099&lt;&gt;"")*($AS$11:$AS2099="✓")),"")</f>
        <v/>
      </c>
      <c r="BA2099" s="21" t="str">
        <f>IF($AL2099="","",$AL2099&amp;"|"&amp;COUNTIF($AL$11:$AL2099,$AL2099))</f>
        <v/>
      </c>
    </row>
    <row r="2100" spans="38:53" ht="15" customHeight="1" x14ac:dyDescent="0.25">
      <c r="AL2100" s="31"/>
      <c r="AM2100" s="26"/>
      <c r="AN2100" s="32"/>
      <c r="AO2100" s="32"/>
      <c r="AP2100" s="24"/>
      <c r="AQ2100" s="24"/>
      <c r="AR2100" s="33"/>
      <c r="AS2100" s="34"/>
      <c r="AT2100" s="33"/>
      <c r="AV2100" s="21">
        <f>IF(AND($AL2100&lt;&gt;"",COUNTIF($AL$11:$AL2100,$AL2100)=1),1,0)</f>
        <v>0</v>
      </c>
      <c r="AW2100" s="21">
        <f t="shared" si="151"/>
        <v>0</v>
      </c>
      <c r="AX2100" s="21" t="str">
        <f t="shared" si="150"/>
        <v/>
      </c>
      <c r="AY2100" s="21" t="str">
        <f>IF(AND($AM2100&lt;&gt;"",$AS2100&lt;&gt;"✓"),SUMPRODUCT(($AM$11:$AM2100&lt;&gt;"")*($AS$11:$AS2100&lt;&gt;"✓")),"")</f>
        <v/>
      </c>
      <c r="AZ2100" s="21" t="str">
        <f>IF(AND($AM2100&lt;&gt;"",$AS2100="✓"),SUMPRODUCT(($AM$11:$AM2100&lt;&gt;"")*($AS$11:$AS2100="✓")),"")</f>
        <v/>
      </c>
      <c r="BA2100" s="21" t="str">
        <f>IF($AL2100="","",$AL2100&amp;"|"&amp;COUNTIF($AL$11:$AL2100,$AL2100))</f>
        <v/>
      </c>
    </row>
    <row r="2101" spans="38:53" ht="15" customHeight="1" x14ac:dyDescent="0.25">
      <c r="AL2101" s="17"/>
      <c r="AM2101" s="12"/>
      <c r="AN2101" s="18"/>
      <c r="AO2101" s="18"/>
      <c r="AP2101" s="10"/>
      <c r="AQ2101" s="10"/>
      <c r="AR2101" s="19"/>
      <c r="AS2101" s="20"/>
      <c r="AT2101" s="19"/>
      <c r="AV2101" s="21">
        <f>IF(AND($AL2101&lt;&gt;"",COUNTIF($AL$11:$AL2101,$AL2101)=1),1,0)</f>
        <v>0</v>
      </c>
      <c r="AW2101" s="21">
        <f t="shared" si="151"/>
        <v>0</v>
      </c>
      <c r="AX2101" s="21" t="str">
        <f t="shared" si="150"/>
        <v/>
      </c>
      <c r="AY2101" s="21" t="str">
        <f>IF(AND($AM2101&lt;&gt;"",$AS2101&lt;&gt;"✓"),SUMPRODUCT(($AM$11:$AM2101&lt;&gt;"")*($AS$11:$AS2101&lt;&gt;"✓")),"")</f>
        <v/>
      </c>
      <c r="AZ2101" s="21" t="str">
        <f>IF(AND($AM2101&lt;&gt;"",$AS2101="✓"),SUMPRODUCT(($AM$11:$AM2101&lt;&gt;"")*($AS$11:$AS2101="✓")),"")</f>
        <v/>
      </c>
      <c r="BA2101" s="21" t="str">
        <f>IF($AL2101="","",$AL2101&amp;"|"&amp;COUNTIF($AL$11:$AL2101,$AL2101))</f>
        <v/>
      </c>
    </row>
    <row r="2102" spans="38:53" ht="15" customHeight="1" x14ac:dyDescent="0.25">
      <c r="AL2102" s="31"/>
      <c r="AM2102" s="26"/>
      <c r="AN2102" s="32"/>
      <c r="AO2102" s="32"/>
      <c r="AP2102" s="24"/>
      <c r="AQ2102" s="24"/>
      <c r="AR2102" s="33"/>
      <c r="AS2102" s="34"/>
      <c r="AT2102" s="33"/>
      <c r="AV2102" s="21">
        <f>IF(AND($AL2102&lt;&gt;"",COUNTIF($AL$11:$AL2102,$AL2102)=1),1,0)</f>
        <v>0</v>
      </c>
      <c r="AW2102" s="21">
        <f t="shared" si="151"/>
        <v>0</v>
      </c>
      <c r="AX2102" s="21" t="str">
        <f t="shared" si="150"/>
        <v/>
      </c>
      <c r="AY2102" s="21" t="str">
        <f>IF(AND($AM2102&lt;&gt;"",$AS2102&lt;&gt;"✓"),SUMPRODUCT(($AM$11:$AM2102&lt;&gt;"")*($AS$11:$AS2102&lt;&gt;"✓")),"")</f>
        <v/>
      </c>
      <c r="AZ2102" s="21" t="str">
        <f>IF(AND($AM2102&lt;&gt;"",$AS2102="✓"),SUMPRODUCT(($AM$11:$AM2102&lt;&gt;"")*($AS$11:$AS2102="✓")),"")</f>
        <v/>
      </c>
      <c r="BA2102" s="21" t="str">
        <f>IF($AL2102="","",$AL2102&amp;"|"&amp;COUNTIF($AL$11:$AL2102,$AL2102))</f>
        <v/>
      </c>
    </row>
    <row r="2103" spans="38:53" ht="15" customHeight="1" x14ac:dyDescent="0.25">
      <c r="AL2103" s="17"/>
      <c r="AM2103" s="12"/>
      <c r="AN2103" s="18"/>
      <c r="AO2103" s="18"/>
      <c r="AP2103" s="10"/>
      <c r="AQ2103" s="10"/>
      <c r="AR2103" s="19"/>
      <c r="AS2103" s="20"/>
      <c r="AT2103" s="19"/>
      <c r="AV2103" s="21">
        <f>IF(AND($AL2103&lt;&gt;"",COUNTIF($AL$11:$AL2103,$AL2103)=1),1,0)</f>
        <v>0</v>
      </c>
      <c r="AW2103" s="21">
        <f t="shared" si="151"/>
        <v>0</v>
      </c>
      <c r="AX2103" s="21" t="str">
        <f t="shared" si="150"/>
        <v/>
      </c>
      <c r="AY2103" s="21" t="str">
        <f>IF(AND($AM2103&lt;&gt;"",$AS2103&lt;&gt;"✓"),SUMPRODUCT(($AM$11:$AM2103&lt;&gt;"")*($AS$11:$AS2103&lt;&gt;"✓")),"")</f>
        <v/>
      </c>
      <c r="AZ2103" s="21" t="str">
        <f>IF(AND($AM2103&lt;&gt;"",$AS2103="✓"),SUMPRODUCT(($AM$11:$AM2103&lt;&gt;"")*($AS$11:$AS2103="✓")),"")</f>
        <v/>
      </c>
      <c r="BA2103" s="21" t="str">
        <f>IF($AL2103="","",$AL2103&amp;"|"&amp;COUNTIF($AL$11:$AL2103,$AL2103))</f>
        <v/>
      </c>
    </row>
    <row r="2104" spans="38:53" ht="15" customHeight="1" x14ac:dyDescent="0.25">
      <c r="AL2104" s="31"/>
      <c r="AM2104" s="26"/>
      <c r="AN2104" s="32"/>
      <c r="AO2104" s="32"/>
      <c r="AP2104" s="24"/>
      <c r="AQ2104" s="24"/>
      <c r="AR2104" s="33"/>
      <c r="AS2104" s="34"/>
      <c r="AT2104" s="33"/>
      <c r="AV2104" s="21">
        <f>IF(AND($AL2104&lt;&gt;"",COUNTIF($AL$11:$AL2104,$AL2104)=1),1,0)</f>
        <v>0</v>
      </c>
      <c r="AW2104" s="21">
        <f t="shared" si="151"/>
        <v>0</v>
      </c>
      <c r="AX2104" s="21" t="str">
        <f t="shared" si="150"/>
        <v/>
      </c>
      <c r="AY2104" s="21" t="str">
        <f>IF(AND($AM2104&lt;&gt;"",$AS2104&lt;&gt;"✓"),SUMPRODUCT(($AM$11:$AM2104&lt;&gt;"")*($AS$11:$AS2104&lt;&gt;"✓")),"")</f>
        <v/>
      </c>
      <c r="AZ2104" s="21" t="str">
        <f>IF(AND($AM2104&lt;&gt;"",$AS2104="✓"),SUMPRODUCT(($AM$11:$AM2104&lt;&gt;"")*($AS$11:$AS2104="✓")),"")</f>
        <v/>
      </c>
      <c r="BA2104" s="21" t="str">
        <f>IF($AL2104="","",$AL2104&amp;"|"&amp;COUNTIF($AL$11:$AL2104,$AL2104))</f>
        <v/>
      </c>
    </row>
    <row r="2105" spans="38:53" ht="15" customHeight="1" x14ac:dyDescent="0.25">
      <c r="AL2105" s="17"/>
      <c r="AM2105" s="12"/>
      <c r="AN2105" s="18"/>
      <c r="AO2105" s="18"/>
      <c r="AP2105" s="10"/>
      <c r="AQ2105" s="10"/>
      <c r="AR2105" s="19"/>
      <c r="AS2105" s="20"/>
      <c r="AT2105" s="19"/>
      <c r="AV2105" s="21">
        <f>IF(AND($AL2105&lt;&gt;"",COUNTIF($AL$11:$AL2105,$AL2105)=1),1,0)</f>
        <v>0</v>
      </c>
      <c r="AW2105" s="21">
        <f t="shared" si="151"/>
        <v>0</v>
      </c>
      <c r="AX2105" s="21" t="str">
        <f t="shared" si="150"/>
        <v/>
      </c>
      <c r="AY2105" s="21" t="str">
        <f>IF(AND($AM2105&lt;&gt;"",$AS2105&lt;&gt;"✓"),SUMPRODUCT(($AM$11:$AM2105&lt;&gt;"")*($AS$11:$AS2105&lt;&gt;"✓")),"")</f>
        <v/>
      </c>
      <c r="AZ2105" s="21" t="str">
        <f>IF(AND($AM2105&lt;&gt;"",$AS2105="✓"),SUMPRODUCT(($AM$11:$AM2105&lt;&gt;"")*($AS$11:$AS2105="✓")),"")</f>
        <v/>
      </c>
      <c r="BA2105" s="21" t="str">
        <f>IF($AL2105="","",$AL2105&amp;"|"&amp;COUNTIF($AL$11:$AL2105,$AL2105))</f>
        <v/>
      </c>
    </row>
    <row r="2106" spans="38:53" ht="15" customHeight="1" x14ac:dyDescent="0.25">
      <c r="AL2106" s="31"/>
      <c r="AM2106" s="26"/>
      <c r="AN2106" s="32"/>
      <c r="AO2106" s="32"/>
      <c r="AP2106" s="24"/>
      <c r="AQ2106" s="24"/>
      <c r="AR2106" s="33"/>
      <c r="AS2106" s="34"/>
      <c r="AT2106" s="33"/>
      <c r="AV2106" s="21">
        <f>IF(AND($AL2106&lt;&gt;"",COUNTIF($AL$11:$AL2106,$AL2106)=1),1,0)</f>
        <v>0</v>
      </c>
      <c r="AW2106" s="21">
        <f t="shared" si="151"/>
        <v>0</v>
      </c>
      <c r="AX2106" s="21" t="str">
        <f t="shared" si="150"/>
        <v/>
      </c>
      <c r="AY2106" s="21" t="str">
        <f>IF(AND($AM2106&lt;&gt;"",$AS2106&lt;&gt;"✓"),SUMPRODUCT(($AM$11:$AM2106&lt;&gt;"")*($AS$11:$AS2106&lt;&gt;"✓")),"")</f>
        <v/>
      </c>
      <c r="AZ2106" s="21" t="str">
        <f>IF(AND($AM2106&lt;&gt;"",$AS2106="✓"),SUMPRODUCT(($AM$11:$AM2106&lt;&gt;"")*($AS$11:$AS2106="✓")),"")</f>
        <v/>
      </c>
      <c r="BA2106" s="21" t="str">
        <f>IF($AL2106="","",$AL2106&amp;"|"&amp;COUNTIF($AL$11:$AL2106,$AL2106))</f>
        <v/>
      </c>
    </row>
    <row r="2107" spans="38:53" ht="15" customHeight="1" x14ac:dyDescent="0.25">
      <c r="AL2107" s="17"/>
      <c r="AM2107" s="12"/>
      <c r="AN2107" s="18"/>
      <c r="AO2107" s="18"/>
      <c r="AP2107" s="10"/>
      <c r="AQ2107" s="10"/>
      <c r="AR2107" s="19"/>
      <c r="AS2107" s="20"/>
      <c r="AT2107" s="19"/>
      <c r="AV2107" s="21">
        <f>IF(AND($AL2107&lt;&gt;"",COUNTIF($AL$11:$AL2107,$AL2107)=1),1,0)</f>
        <v>0</v>
      </c>
      <c r="AW2107" s="21">
        <f t="shared" si="151"/>
        <v>0</v>
      </c>
      <c r="AX2107" s="21" t="str">
        <f t="shared" si="150"/>
        <v/>
      </c>
      <c r="AY2107" s="21" t="str">
        <f>IF(AND($AM2107&lt;&gt;"",$AS2107&lt;&gt;"✓"),SUMPRODUCT(($AM$11:$AM2107&lt;&gt;"")*($AS$11:$AS2107&lt;&gt;"✓")),"")</f>
        <v/>
      </c>
      <c r="AZ2107" s="21" t="str">
        <f>IF(AND($AM2107&lt;&gt;"",$AS2107="✓"),SUMPRODUCT(($AM$11:$AM2107&lt;&gt;"")*($AS$11:$AS2107="✓")),"")</f>
        <v/>
      </c>
      <c r="BA2107" s="21" t="str">
        <f>IF($AL2107="","",$AL2107&amp;"|"&amp;COUNTIF($AL$11:$AL2107,$AL2107))</f>
        <v/>
      </c>
    </row>
    <row r="2108" spans="38:53" ht="15" customHeight="1" x14ac:dyDescent="0.25">
      <c r="AL2108" s="31"/>
      <c r="AM2108" s="26"/>
      <c r="AN2108" s="32"/>
      <c r="AO2108" s="32"/>
      <c r="AP2108" s="24"/>
      <c r="AQ2108" s="24"/>
      <c r="AR2108" s="33"/>
      <c r="AS2108" s="34"/>
      <c r="AT2108" s="33"/>
      <c r="AV2108" s="21">
        <f>IF(AND($AL2108&lt;&gt;"",COUNTIF($AL$11:$AL2108,$AL2108)=1),1,0)</f>
        <v>0</v>
      </c>
      <c r="AW2108" s="21">
        <f t="shared" si="151"/>
        <v>0</v>
      </c>
      <c r="AX2108" s="21" t="str">
        <f t="shared" si="150"/>
        <v/>
      </c>
      <c r="AY2108" s="21" t="str">
        <f>IF(AND($AM2108&lt;&gt;"",$AS2108&lt;&gt;"✓"),SUMPRODUCT(($AM$11:$AM2108&lt;&gt;"")*($AS$11:$AS2108&lt;&gt;"✓")),"")</f>
        <v/>
      </c>
      <c r="AZ2108" s="21" t="str">
        <f>IF(AND($AM2108&lt;&gt;"",$AS2108="✓"),SUMPRODUCT(($AM$11:$AM2108&lt;&gt;"")*($AS$11:$AS2108="✓")),"")</f>
        <v/>
      </c>
      <c r="BA2108" s="21" t="str">
        <f>IF($AL2108="","",$AL2108&amp;"|"&amp;COUNTIF($AL$11:$AL2108,$AL2108))</f>
        <v/>
      </c>
    </row>
    <row r="2109" spans="38:53" ht="15" customHeight="1" x14ac:dyDescent="0.25">
      <c r="AL2109" s="17"/>
      <c r="AM2109" s="12"/>
      <c r="AN2109" s="18"/>
      <c r="AO2109" s="18"/>
      <c r="AP2109" s="10"/>
      <c r="AQ2109" s="10"/>
      <c r="AR2109" s="19"/>
      <c r="AS2109" s="20"/>
      <c r="AT2109" s="19"/>
      <c r="AV2109" s="21">
        <f>IF(AND($AL2109&lt;&gt;"",COUNTIF($AL$11:$AL2109,$AL2109)=1),1,0)</f>
        <v>0</v>
      </c>
      <c r="AW2109" s="21">
        <f t="shared" si="151"/>
        <v>0</v>
      </c>
      <c r="AX2109" s="21" t="str">
        <f t="shared" si="150"/>
        <v/>
      </c>
      <c r="AY2109" s="21" t="str">
        <f>IF(AND($AM2109&lt;&gt;"",$AS2109&lt;&gt;"✓"),SUMPRODUCT(($AM$11:$AM2109&lt;&gt;"")*($AS$11:$AS2109&lt;&gt;"✓")),"")</f>
        <v/>
      </c>
      <c r="AZ2109" s="21" t="str">
        <f>IF(AND($AM2109&lt;&gt;"",$AS2109="✓"),SUMPRODUCT(($AM$11:$AM2109&lt;&gt;"")*($AS$11:$AS2109="✓")),"")</f>
        <v/>
      </c>
      <c r="BA2109" s="21" t="str">
        <f>IF($AL2109="","",$AL2109&amp;"|"&amp;COUNTIF($AL$11:$AL2109,$AL2109))</f>
        <v/>
      </c>
    </row>
    <row r="2110" spans="38:53" ht="15" customHeight="1" x14ac:dyDescent="0.25">
      <c r="AL2110" s="31"/>
      <c r="AM2110" s="26"/>
      <c r="AN2110" s="32"/>
      <c r="AO2110" s="32"/>
      <c r="AP2110" s="24"/>
      <c r="AQ2110" s="24"/>
      <c r="AR2110" s="33"/>
      <c r="AS2110" s="34"/>
      <c r="AT2110" s="33"/>
      <c r="AV2110" s="21">
        <f>IF(AND($AL2110&lt;&gt;"",COUNTIF($AL$11:$AL2110,$AL2110)=1),1,0)</f>
        <v>0</v>
      </c>
      <c r="AW2110" s="21">
        <f t="shared" si="151"/>
        <v>0</v>
      </c>
      <c r="AX2110" s="21" t="str">
        <f t="shared" si="150"/>
        <v/>
      </c>
      <c r="AY2110" s="21" t="str">
        <f>IF(AND($AM2110&lt;&gt;"",$AS2110&lt;&gt;"✓"),SUMPRODUCT(($AM$11:$AM2110&lt;&gt;"")*($AS$11:$AS2110&lt;&gt;"✓")),"")</f>
        <v/>
      </c>
      <c r="AZ2110" s="21" t="str">
        <f>IF(AND($AM2110&lt;&gt;"",$AS2110="✓"),SUMPRODUCT(($AM$11:$AM2110&lt;&gt;"")*($AS$11:$AS2110="✓")),"")</f>
        <v/>
      </c>
      <c r="BA2110" s="21" t="str">
        <f>IF($AL2110="","",$AL2110&amp;"|"&amp;COUNTIF($AL$11:$AL2110,$AL2110))</f>
        <v/>
      </c>
    </row>
    <row r="2111" spans="38:53" ht="15" customHeight="1" x14ac:dyDescent="0.25">
      <c r="AL2111" s="17"/>
      <c r="AM2111" s="12"/>
      <c r="AN2111" s="18"/>
      <c r="AO2111" s="18"/>
      <c r="AP2111" s="10"/>
      <c r="AQ2111" s="10"/>
      <c r="AR2111" s="19"/>
      <c r="AS2111" s="20"/>
      <c r="AT2111" s="19"/>
      <c r="AV2111" s="21">
        <f>IF(AND($AL2111&lt;&gt;"",COUNTIF($AL$11:$AL2111,$AL2111)=1),1,0)</f>
        <v>0</v>
      </c>
      <c r="AW2111" s="21">
        <f t="shared" si="151"/>
        <v>0</v>
      </c>
      <c r="AX2111" s="21" t="str">
        <f t="shared" si="150"/>
        <v/>
      </c>
      <c r="AY2111" s="21" t="str">
        <f>IF(AND($AM2111&lt;&gt;"",$AS2111&lt;&gt;"✓"),SUMPRODUCT(($AM$11:$AM2111&lt;&gt;"")*($AS$11:$AS2111&lt;&gt;"✓")),"")</f>
        <v/>
      </c>
      <c r="AZ2111" s="21" t="str">
        <f>IF(AND($AM2111&lt;&gt;"",$AS2111="✓"),SUMPRODUCT(($AM$11:$AM2111&lt;&gt;"")*($AS$11:$AS2111="✓")),"")</f>
        <v/>
      </c>
      <c r="BA2111" s="21" t="str">
        <f>IF($AL2111="","",$AL2111&amp;"|"&amp;COUNTIF($AL$11:$AL2111,$AL2111))</f>
        <v/>
      </c>
    </row>
    <row r="2112" spans="38:53" ht="15" customHeight="1" x14ac:dyDescent="0.25">
      <c r="AL2112" s="31"/>
      <c r="AM2112" s="26"/>
      <c r="AN2112" s="32"/>
      <c r="AO2112" s="32"/>
      <c r="AP2112" s="24"/>
      <c r="AQ2112" s="24"/>
      <c r="AR2112" s="33"/>
      <c r="AS2112" s="34"/>
      <c r="AT2112" s="33"/>
      <c r="AV2112" s="21">
        <f>IF(AND($AL2112&lt;&gt;"",COUNTIF($AL$11:$AL2112,$AL2112)=1),1,0)</f>
        <v>0</v>
      </c>
      <c r="AW2112" s="21">
        <f t="shared" si="151"/>
        <v>0</v>
      </c>
      <c r="AX2112" s="21" t="str">
        <f t="shared" si="150"/>
        <v/>
      </c>
      <c r="AY2112" s="21" t="str">
        <f>IF(AND($AM2112&lt;&gt;"",$AS2112&lt;&gt;"✓"),SUMPRODUCT(($AM$11:$AM2112&lt;&gt;"")*($AS$11:$AS2112&lt;&gt;"✓")),"")</f>
        <v/>
      </c>
      <c r="AZ2112" s="21" t="str">
        <f>IF(AND($AM2112&lt;&gt;"",$AS2112="✓"),SUMPRODUCT(($AM$11:$AM2112&lt;&gt;"")*($AS$11:$AS2112="✓")),"")</f>
        <v/>
      </c>
      <c r="BA2112" s="21" t="str">
        <f>IF($AL2112="","",$AL2112&amp;"|"&amp;COUNTIF($AL$11:$AL2112,$AL2112))</f>
        <v/>
      </c>
    </row>
    <row r="2113" spans="38:53" ht="15" customHeight="1" x14ac:dyDescent="0.25">
      <c r="AL2113" s="17"/>
      <c r="AM2113" s="12"/>
      <c r="AN2113" s="18"/>
      <c r="AO2113" s="18"/>
      <c r="AP2113" s="10"/>
      <c r="AQ2113" s="10"/>
      <c r="AR2113" s="19"/>
      <c r="AS2113" s="20"/>
      <c r="AT2113" s="19"/>
      <c r="AV2113" s="21">
        <f>IF(AND($AL2113&lt;&gt;"",COUNTIF($AL$11:$AL2113,$AL2113)=1),1,0)</f>
        <v>0</v>
      </c>
      <c r="AW2113" s="21">
        <f t="shared" si="151"/>
        <v>0</v>
      </c>
      <c r="AX2113" s="21" t="str">
        <f t="shared" si="150"/>
        <v/>
      </c>
      <c r="AY2113" s="21" t="str">
        <f>IF(AND($AM2113&lt;&gt;"",$AS2113&lt;&gt;"✓"),SUMPRODUCT(($AM$11:$AM2113&lt;&gt;"")*($AS$11:$AS2113&lt;&gt;"✓")),"")</f>
        <v/>
      </c>
      <c r="AZ2113" s="21" t="str">
        <f>IF(AND($AM2113&lt;&gt;"",$AS2113="✓"),SUMPRODUCT(($AM$11:$AM2113&lt;&gt;"")*($AS$11:$AS2113="✓")),"")</f>
        <v/>
      </c>
      <c r="BA2113" s="21" t="str">
        <f>IF($AL2113="","",$AL2113&amp;"|"&amp;COUNTIF($AL$11:$AL2113,$AL2113))</f>
        <v/>
      </c>
    </row>
    <row r="2114" spans="38:53" ht="15" customHeight="1" x14ac:dyDescent="0.25">
      <c r="AL2114" s="31"/>
      <c r="AM2114" s="26"/>
      <c r="AN2114" s="32"/>
      <c r="AO2114" s="32"/>
      <c r="AP2114" s="24"/>
      <c r="AQ2114" s="24"/>
      <c r="AR2114" s="33"/>
      <c r="AS2114" s="34"/>
      <c r="AT2114" s="33"/>
      <c r="AV2114" s="21">
        <f>IF(AND($AL2114&lt;&gt;"",COUNTIF($AL$11:$AL2114,$AL2114)=1),1,0)</f>
        <v>0</v>
      </c>
      <c r="AW2114" s="21">
        <f t="shared" si="151"/>
        <v>0</v>
      </c>
      <c r="AX2114" s="21" t="str">
        <f t="shared" si="150"/>
        <v/>
      </c>
      <c r="AY2114" s="21" t="str">
        <f>IF(AND($AM2114&lt;&gt;"",$AS2114&lt;&gt;"✓"),SUMPRODUCT(($AM$11:$AM2114&lt;&gt;"")*($AS$11:$AS2114&lt;&gt;"✓")),"")</f>
        <v/>
      </c>
      <c r="AZ2114" s="21" t="str">
        <f>IF(AND($AM2114&lt;&gt;"",$AS2114="✓"),SUMPRODUCT(($AM$11:$AM2114&lt;&gt;"")*($AS$11:$AS2114="✓")),"")</f>
        <v/>
      </c>
      <c r="BA2114" s="21" t="str">
        <f>IF($AL2114="","",$AL2114&amp;"|"&amp;COUNTIF($AL$11:$AL2114,$AL2114))</f>
        <v/>
      </c>
    </row>
    <row r="2115" spans="38:53" ht="15" customHeight="1" x14ac:dyDescent="0.25">
      <c r="AL2115" s="17"/>
      <c r="AM2115" s="12"/>
      <c r="AN2115" s="18"/>
      <c r="AO2115" s="18"/>
      <c r="AP2115" s="10"/>
      <c r="AQ2115" s="10"/>
      <c r="AR2115" s="19"/>
      <c r="AS2115" s="20"/>
      <c r="AT2115" s="19"/>
      <c r="AV2115" s="21">
        <f>IF(AND($AL2115&lt;&gt;"",COUNTIF($AL$11:$AL2115,$AL2115)=1),1,0)</f>
        <v>0</v>
      </c>
      <c r="AW2115" s="21">
        <f t="shared" si="151"/>
        <v>0</v>
      </c>
      <c r="AX2115" s="21" t="str">
        <f t="shared" si="150"/>
        <v/>
      </c>
      <c r="AY2115" s="21" t="str">
        <f>IF(AND($AM2115&lt;&gt;"",$AS2115&lt;&gt;"✓"),SUMPRODUCT(($AM$11:$AM2115&lt;&gt;"")*($AS$11:$AS2115&lt;&gt;"✓")),"")</f>
        <v/>
      </c>
      <c r="AZ2115" s="21" t="str">
        <f>IF(AND($AM2115&lt;&gt;"",$AS2115="✓"),SUMPRODUCT(($AM$11:$AM2115&lt;&gt;"")*($AS$11:$AS2115="✓")),"")</f>
        <v/>
      </c>
      <c r="BA2115" s="21" t="str">
        <f>IF($AL2115="","",$AL2115&amp;"|"&amp;COUNTIF($AL$11:$AL2115,$AL2115))</f>
        <v/>
      </c>
    </row>
    <row r="2116" spans="38:53" ht="15" customHeight="1" x14ac:dyDescent="0.25">
      <c r="AL2116" s="31"/>
      <c r="AM2116" s="26"/>
      <c r="AN2116" s="32"/>
      <c r="AO2116" s="32"/>
      <c r="AP2116" s="24"/>
      <c r="AQ2116" s="24"/>
      <c r="AR2116" s="33"/>
      <c r="AS2116" s="34"/>
      <c r="AT2116" s="33"/>
      <c r="AV2116" s="21">
        <f>IF(AND($AL2116&lt;&gt;"",COUNTIF($AL$11:$AL2116,$AL2116)=1),1,0)</f>
        <v>0</v>
      </c>
      <c r="AW2116" s="21">
        <f t="shared" si="151"/>
        <v>0</v>
      </c>
      <c r="AX2116" s="21" t="str">
        <f t="shared" si="150"/>
        <v/>
      </c>
      <c r="AY2116" s="21" t="str">
        <f>IF(AND($AM2116&lt;&gt;"",$AS2116&lt;&gt;"✓"),SUMPRODUCT(($AM$11:$AM2116&lt;&gt;"")*($AS$11:$AS2116&lt;&gt;"✓")),"")</f>
        <v/>
      </c>
      <c r="AZ2116" s="21" t="str">
        <f>IF(AND($AM2116&lt;&gt;"",$AS2116="✓"),SUMPRODUCT(($AM$11:$AM2116&lt;&gt;"")*($AS$11:$AS2116="✓")),"")</f>
        <v/>
      </c>
      <c r="BA2116" s="21" t="str">
        <f>IF($AL2116="","",$AL2116&amp;"|"&amp;COUNTIF($AL$11:$AL2116,$AL2116))</f>
        <v/>
      </c>
    </row>
    <row r="2117" spans="38:53" ht="15" customHeight="1" x14ac:dyDescent="0.25">
      <c r="AL2117" s="17"/>
      <c r="AM2117" s="12"/>
      <c r="AN2117" s="18"/>
      <c r="AO2117" s="18"/>
      <c r="AP2117" s="10"/>
      <c r="AQ2117" s="10"/>
      <c r="AR2117" s="19"/>
      <c r="AS2117" s="20"/>
      <c r="AT2117" s="19"/>
      <c r="AV2117" s="21">
        <f>IF(AND($AL2117&lt;&gt;"",COUNTIF($AL$11:$AL2117,$AL2117)=1),1,0)</f>
        <v>0</v>
      </c>
      <c r="AW2117" s="21">
        <f t="shared" si="151"/>
        <v>0</v>
      </c>
      <c r="AX2117" s="21" t="str">
        <f t="shared" si="150"/>
        <v/>
      </c>
      <c r="AY2117" s="21" t="str">
        <f>IF(AND($AM2117&lt;&gt;"",$AS2117&lt;&gt;"✓"),SUMPRODUCT(($AM$11:$AM2117&lt;&gt;"")*($AS$11:$AS2117&lt;&gt;"✓")),"")</f>
        <v/>
      </c>
      <c r="AZ2117" s="21" t="str">
        <f>IF(AND($AM2117&lt;&gt;"",$AS2117="✓"),SUMPRODUCT(($AM$11:$AM2117&lt;&gt;"")*($AS$11:$AS2117="✓")),"")</f>
        <v/>
      </c>
      <c r="BA2117" s="21" t="str">
        <f>IF($AL2117="","",$AL2117&amp;"|"&amp;COUNTIF($AL$11:$AL2117,$AL2117))</f>
        <v/>
      </c>
    </row>
    <row r="2118" spans="38:53" ht="15" customHeight="1" x14ac:dyDescent="0.25">
      <c r="AL2118" s="31"/>
      <c r="AM2118" s="26"/>
      <c r="AN2118" s="32"/>
      <c r="AO2118" s="32"/>
      <c r="AP2118" s="24"/>
      <c r="AQ2118" s="24"/>
      <c r="AR2118" s="33"/>
      <c r="AS2118" s="34"/>
      <c r="AT2118" s="33"/>
      <c r="AV2118" s="21">
        <f>IF(AND($AL2118&lt;&gt;"",COUNTIF($AL$11:$AL2118,$AL2118)=1),1,0)</f>
        <v>0</v>
      </c>
      <c r="AW2118" s="21">
        <f t="shared" si="151"/>
        <v>0</v>
      </c>
      <c r="AX2118" s="21" t="str">
        <f t="shared" si="150"/>
        <v/>
      </c>
      <c r="AY2118" s="21" t="str">
        <f>IF(AND($AM2118&lt;&gt;"",$AS2118&lt;&gt;"✓"),SUMPRODUCT(($AM$11:$AM2118&lt;&gt;"")*($AS$11:$AS2118&lt;&gt;"✓")),"")</f>
        <v/>
      </c>
      <c r="AZ2118" s="21" t="str">
        <f>IF(AND($AM2118&lt;&gt;"",$AS2118="✓"),SUMPRODUCT(($AM$11:$AM2118&lt;&gt;"")*($AS$11:$AS2118="✓")),"")</f>
        <v/>
      </c>
      <c r="BA2118" s="21" t="str">
        <f>IF($AL2118="","",$AL2118&amp;"|"&amp;COUNTIF($AL$11:$AL2118,$AL2118))</f>
        <v/>
      </c>
    </row>
    <row r="2119" spans="38:53" ht="15" customHeight="1" x14ac:dyDescent="0.25">
      <c r="AL2119" s="17"/>
      <c r="AM2119" s="12"/>
      <c r="AN2119" s="18"/>
      <c r="AO2119" s="18"/>
      <c r="AP2119" s="10"/>
      <c r="AQ2119" s="10"/>
      <c r="AR2119" s="19"/>
      <c r="AS2119" s="20"/>
      <c r="AT2119" s="19"/>
      <c r="AV2119" s="21">
        <f>IF(AND($AL2119&lt;&gt;"",COUNTIF($AL$11:$AL2119,$AL2119)=1),1,0)</f>
        <v>0</v>
      </c>
      <c r="AW2119" s="21">
        <f t="shared" si="151"/>
        <v>0</v>
      </c>
      <c r="AX2119" s="21" t="str">
        <f t="shared" si="150"/>
        <v/>
      </c>
      <c r="AY2119" s="21" t="str">
        <f>IF(AND($AM2119&lt;&gt;"",$AS2119&lt;&gt;"✓"),SUMPRODUCT(($AM$11:$AM2119&lt;&gt;"")*($AS$11:$AS2119&lt;&gt;"✓")),"")</f>
        <v/>
      </c>
      <c r="AZ2119" s="21" t="str">
        <f>IF(AND($AM2119&lt;&gt;"",$AS2119="✓"),SUMPRODUCT(($AM$11:$AM2119&lt;&gt;"")*($AS$11:$AS2119="✓")),"")</f>
        <v/>
      </c>
      <c r="BA2119" s="21" t="str">
        <f>IF($AL2119="","",$AL2119&amp;"|"&amp;COUNTIF($AL$11:$AL2119,$AL2119))</f>
        <v/>
      </c>
    </row>
    <row r="2120" spans="38:53" ht="15" customHeight="1" x14ac:dyDescent="0.25">
      <c r="AL2120" s="31"/>
      <c r="AM2120" s="26"/>
      <c r="AN2120" s="32"/>
      <c r="AO2120" s="32"/>
      <c r="AP2120" s="24"/>
      <c r="AQ2120" s="24"/>
      <c r="AR2120" s="33"/>
      <c r="AS2120" s="34"/>
      <c r="AT2120" s="33"/>
      <c r="AV2120" s="21">
        <f>IF(AND($AL2120&lt;&gt;"",COUNTIF($AL$11:$AL2120,$AL2120)=1),1,0)</f>
        <v>0</v>
      </c>
      <c r="AW2120" s="21">
        <f t="shared" si="151"/>
        <v>0</v>
      </c>
      <c r="AX2120" s="21" t="str">
        <f t="shared" si="150"/>
        <v/>
      </c>
      <c r="AY2120" s="21" t="str">
        <f>IF(AND($AM2120&lt;&gt;"",$AS2120&lt;&gt;"✓"),SUMPRODUCT(($AM$11:$AM2120&lt;&gt;"")*($AS$11:$AS2120&lt;&gt;"✓")),"")</f>
        <v/>
      </c>
      <c r="AZ2120" s="21" t="str">
        <f>IF(AND($AM2120&lt;&gt;"",$AS2120="✓"),SUMPRODUCT(($AM$11:$AM2120&lt;&gt;"")*($AS$11:$AS2120="✓")),"")</f>
        <v/>
      </c>
      <c r="BA2120" s="21" t="str">
        <f>IF($AL2120="","",$AL2120&amp;"|"&amp;COUNTIF($AL$11:$AL2120,$AL2120))</f>
        <v/>
      </c>
    </row>
    <row r="2121" spans="38:53" ht="15" customHeight="1" x14ac:dyDescent="0.25">
      <c r="AL2121" s="17"/>
      <c r="AM2121" s="12"/>
      <c r="AN2121" s="18"/>
      <c r="AO2121" s="18"/>
      <c r="AP2121" s="10"/>
      <c r="AQ2121" s="10"/>
      <c r="AR2121" s="19"/>
      <c r="AS2121" s="20"/>
      <c r="AT2121" s="19"/>
      <c r="AV2121" s="21">
        <f>IF(AND($AL2121&lt;&gt;"",COUNTIF($AL$11:$AL2121,$AL2121)=1),1,0)</f>
        <v>0</v>
      </c>
      <c r="AW2121" s="21">
        <f t="shared" si="151"/>
        <v>0</v>
      </c>
      <c r="AX2121" s="21" t="str">
        <f t="shared" si="150"/>
        <v/>
      </c>
      <c r="AY2121" s="21" t="str">
        <f>IF(AND($AM2121&lt;&gt;"",$AS2121&lt;&gt;"✓"),SUMPRODUCT(($AM$11:$AM2121&lt;&gt;"")*($AS$11:$AS2121&lt;&gt;"✓")),"")</f>
        <v/>
      </c>
      <c r="AZ2121" s="21" t="str">
        <f>IF(AND($AM2121&lt;&gt;"",$AS2121="✓"),SUMPRODUCT(($AM$11:$AM2121&lt;&gt;"")*($AS$11:$AS2121="✓")),"")</f>
        <v/>
      </c>
      <c r="BA2121" s="21" t="str">
        <f>IF($AL2121="","",$AL2121&amp;"|"&amp;COUNTIF($AL$11:$AL2121,$AL2121))</f>
        <v/>
      </c>
    </row>
    <row r="2122" spans="38:53" ht="15" customHeight="1" x14ac:dyDescent="0.25">
      <c r="AL2122" s="31"/>
      <c r="AM2122" s="26"/>
      <c r="AN2122" s="32"/>
      <c r="AO2122" s="32"/>
      <c r="AP2122" s="24"/>
      <c r="AQ2122" s="24"/>
      <c r="AR2122" s="33"/>
      <c r="AS2122" s="34"/>
      <c r="AT2122" s="33"/>
      <c r="AV2122" s="21">
        <f>IF(AND($AL2122&lt;&gt;"",COUNTIF($AL$11:$AL2122,$AL2122)=1),1,0)</f>
        <v>0</v>
      </c>
      <c r="AW2122" s="21">
        <f t="shared" si="151"/>
        <v>0</v>
      </c>
      <c r="AX2122" s="21" t="str">
        <f t="shared" si="150"/>
        <v/>
      </c>
      <c r="AY2122" s="21" t="str">
        <f>IF(AND($AM2122&lt;&gt;"",$AS2122&lt;&gt;"✓"),SUMPRODUCT(($AM$11:$AM2122&lt;&gt;"")*($AS$11:$AS2122&lt;&gt;"✓")),"")</f>
        <v/>
      </c>
      <c r="AZ2122" s="21" t="str">
        <f>IF(AND($AM2122&lt;&gt;"",$AS2122="✓"),SUMPRODUCT(($AM$11:$AM2122&lt;&gt;"")*($AS$11:$AS2122="✓")),"")</f>
        <v/>
      </c>
      <c r="BA2122" s="21" t="str">
        <f>IF($AL2122="","",$AL2122&amp;"|"&amp;COUNTIF($AL$11:$AL2122,$AL2122))</f>
        <v/>
      </c>
    </row>
    <row r="2123" spans="38:53" ht="15" customHeight="1" x14ac:dyDescent="0.25">
      <c r="AL2123" s="17"/>
      <c r="AM2123" s="12"/>
      <c r="AN2123" s="18"/>
      <c r="AO2123" s="18"/>
      <c r="AP2123" s="10"/>
      <c r="AQ2123" s="10"/>
      <c r="AR2123" s="19"/>
      <c r="AS2123" s="20"/>
      <c r="AT2123" s="19"/>
      <c r="AV2123" s="21">
        <f>IF(AND($AL2123&lt;&gt;"",COUNTIF($AL$11:$AL2123,$AL2123)=1),1,0)</f>
        <v>0</v>
      </c>
      <c r="AW2123" s="21">
        <f t="shared" si="151"/>
        <v>0</v>
      </c>
      <c r="AX2123" s="21" t="str">
        <f t="shared" ref="AX2123:AX2186" si="152">IF(AV2123=1,AW2123,"")</f>
        <v/>
      </c>
      <c r="AY2123" s="21" t="str">
        <f>IF(AND($AM2123&lt;&gt;"",$AS2123&lt;&gt;"✓"),SUMPRODUCT(($AM$11:$AM2123&lt;&gt;"")*($AS$11:$AS2123&lt;&gt;"✓")),"")</f>
        <v/>
      </c>
      <c r="AZ2123" s="21" t="str">
        <f>IF(AND($AM2123&lt;&gt;"",$AS2123="✓"),SUMPRODUCT(($AM$11:$AM2123&lt;&gt;"")*($AS$11:$AS2123="✓")),"")</f>
        <v/>
      </c>
      <c r="BA2123" s="21" t="str">
        <f>IF($AL2123="","",$AL2123&amp;"|"&amp;COUNTIF($AL$11:$AL2123,$AL2123))</f>
        <v/>
      </c>
    </row>
    <row r="2124" spans="38:53" ht="15" customHeight="1" x14ac:dyDescent="0.25">
      <c r="AL2124" s="31"/>
      <c r="AM2124" s="26"/>
      <c r="AN2124" s="32"/>
      <c r="AO2124" s="32"/>
      <c r="AP2124" s="24"/>
      <c r="AQ2124" s="24"/>
      <c r="AR2124" s="33"/>
      <c r="AS2124" s="34"/>
      <c r="AT2124" s="33"/>
      <c r="AV2124" s="21">
        <f>IF(AND($AL2124&lt;&gt;"",COUNTIF($AL$11:$AL2124,$AL2124)=1),1,0)</f>
        <v>0</v>
      </c>
      <c r="AW2124" s="21">
        <f t="shared" ref="AW2124:AW2187" si="153">AW2123+AV2124</f>
        <v>0</v>
      </c>
      <c r="AX2124" s="21" t="str">
        <f t="shared" si="152"/>
        <v/>
      </c>
      <c r="AY2124" s="21" t="str">
        <f>IF(AND($AM2124&lt;&gt;"",$AS2124&lt;&gt;"✓"),SUMPRODUCT(($AM$11:$AM2124&lt;&gt;"")*($AS$11:$AS2124&lt;&gt;"✓")),"")</f>
        <v/>
      </c>
      <c r="AZ2124" s="21" t="str">
        <f>IF(AND($AM2124&lt;&gt;"",$AS2124="✓"),SUMPRODUCT(($AM$11:$AM2124&lt;&gt;"")*($AS$11:$AS2124="✓")),"")</f>
        <v/>
      </c>
      <c r="BA2124" s="21" t="str">
        <f>IF($AL2124="","",$AL2124&amp;"|"&amp;COUNTIF($AL$11:$AL2124,$AL2124))</f>
        <v/>
      </c>
    </row>
    <row r="2125" spans="38:53" ht="15" customHeight="1" x14ac:dyDescent="0.25">
      <c r="AL2125" s="17"/>
      <c r="AM2125" s="12"/>
      <c r="AN2125" s="18"/>
      <c r="AO2125" s="18"/>
      <c r="AP2125" s="10"/>
      <c r="AQ2125" s="10"/>
      <c r="AR2125" s="19"/>
      <c r="AS2125" s="20"/>
      <c r="AT2125" s="19"/>
      <c r="AV2125" s="21">
        <f>IF(AND($AL2125&lt;&gt;"",COUNTIF($AL$11:$AL2125,$AL2125)=1),1,0)</f>
        <v>0</v>
      </c>
      <c r="AW2125" s="21">
        <f t="shared" si="153"/>
        <v>0</v>
      </c>
      <c r="AX2125" s="21" t="str">
        <f t="shared" si="152"/>
        <v/>
      </c>
      <c r="AY2125" s="21" t="str">
        <f>IF(AND($AM2125&lt;&gt;"",$AS2125&lt;&gt;"✓"),SUMPRODUCT(($AM$11:$AM2125&lt;&gt;"")*($AS$11:$AS2125&lt;&gt;"✓")),"")</f>
        <v/>
      </c>
      <c r="AZ2125" s="21" t="str">
        <f>IF(AND($AM2125&lt;&gt;"",$AS2125="✓"),SUMPRODUCT(($AM$11:$AM2125&lt;&gt;"")*($AS$11:$AS2125="✓")),"")</f>
        <v/>
      </c>
      <c r="BA2125" s="21" t="str">
        <f>IF($AL2125="","",$AL2125&amp;"|"&amp;COUNTIF($AL$11:$AL2125,$AL2125))</f>
        <v/>
      </c>
    </row>
    <row r="2126" spans="38:53" ht="15" customHeight="1" x14ac:dyDescent="0.25">
      <c r="AL2126" s="31"/>
      <c r="AM2126" s="26"/>
      <c r="AN2126" s="32"/>
      <c r="AO2126" s="32"/>
      <c r="AP2126" s="24"/>
      <c r="AQ2126" s="24"/>
      <c r="AR2126" s="33"/>
      <c r="AS2126" s="34"/>
      <c r="AT2126" s="33"/>
      <c r="AV2126" s="21">
        <f>IF(AND($AL2126&lt;&gt;"",COUNTIF($AL$11:$AL2126,$AL2126)=1),1,0)</f>
        <v>0</v>
      </c>
      <c r="AW2126" s="21">
        <f t="shared" si="153"/>
        <v>0</v>
      </c>
      <c r="AX2126" s="21" t="str">
        <f t="shared" si="152"/>
        <v/>
      </c>
      <c r="AY2126" s="21" t="str">
        <f>IF(AND($AM2126&lt;&gt;"",$AS2126&lt;&gt;"✓"),SUMPRODUCT(($AM$11:$AM2126&lt;&gt;"")*($AS$11:$AS2126&lt;&gt;"✓")),"")</f>
        <v/>
      </c>
      <c r="AZ2126" s="21" t="str">
        <f>IF(AND($AM2126&lt;&gt;"",$AS2126="✓"),SUMPRODUCT(($AM$11:$AM2126&lt;&gt;"")*($AS$11:$AS2126="✓")),"")</f>
        <v/>
      </c>
      <c r="BA2126" s="21" t="str">
        <f>IF($AL2126="","",$AL2126&amp;"|"&amp;COUNTIF($AL$11:$AL2126,$AL2126))</f>
        <v/>
      </c>
    </row>
    <row r="2127" spans="38:53" ht="15" customHeight="1" x14ac:dyDescent="0.25">
      <c r="AL2127" s="17"/>
      <c r="AM2127" s="12"/>
      <c r="AN2127" s="18"/>
      <c r="AO2127" s="18"/>
      <c r="AP2127" s="10"/>
      <c r="AQ2127" s="10"/>
      <c r="AR2127" s="19"/>
      <c r="AS2127" s="20"/>
      <c r="AT2127" s="19"/>
      <c r="AV2127" s="21">
        <f>IF(AND($AL2127&lt;&gt;"",COUNTIF($AL$11:$AL2127,$AL2127)=1),1,0)</f>
        <v>0</v>
      </c>
      <c r="AW2127" s="21">
        <f t="shared" si="153"/>
        <v>0</v>
      </c>
      <c r="AX2127" s="21" t="str">
        <f t="shared" si="152"/>
        <v/>
      </c>
      <c r="AY2127" s="21" t="str">
        <f>IF(AND($AM2127&lt;&gt;"",$AS2127&lt;&gt;"✓"),SUMPRODUCT(($AM$11:$AM2127&lt;&gt;"")*($AS$11:$AS2127&lt;&gt;"✓")),"")</f>
        <v/>
      </c>
      <c r="AZ2127" s="21" t="str">
        <f>IF(AND($AM2127&lt;&gt;"",$AS2127="✓"),SUMPRODUCT(($AM$11:$AM2127&lt;&gt;"")*($AS$11:$AS2127="✓")),"")</f>
        <v/>
      </c>
      <c r="BA2127" s="21" t="str">
        <f>IF($AL2127="","",$AL2127&amp;"|"&amp;COUNTIF($AL$11:$AL2127,$AL2127))</f>
        <v/>
      </c>
    </row>
    <row r="2128" spans="38:53" ht="15" customHeight="1" x14ac:dyDescent="0.25">
      <c r="AL2128" s="31"/>
      <c r="AM2128" s="26"/>
      <c r="AN2128" s="32"/>
      <c r="AO2128" s="32"/>
      <c r="AP2128" s="24"/>
      <c r="AQ2128" s="24"/>
      <c r="AR2128" s="33"/>
      <c r="AS2128" s="34"/>
      <c r="AT2128" s="33"/>
      <c r="AV2128" s="21">
        <f>IF(AND($AL2128&lt;&gt;"",COUNTIF($AL$11:$AL2128,$AL2128)=1),1,0)</f>
        <v>0</v>
      </c>
      <c r="AW2128" s="21">
        <f t="shared" si="153"/>
        <v>0</v>
      </c>
      <c r="AX2128" s="21" t="str">
        <f t="shared" si="152"/>
        <v/>
      </c>
      <c r="AY2128" s="21" t="str">
        <f>IF(AND($AM2128&lt;&gt;"",$AS2128&lt;&gt;"✓"),SUMPRODUCT(($AM$11:$AM2128&lt;&gt;"")*($AS$11:$AS2128&lt;&gt;"✓")),"")</f>
        <v/>
      </c>
      <c r="AZ2128" s="21" t="str">
        <f>IF(AND($AM2128&lt;&gt;"",$AS2128="✓"),SUMPRODUCT(($AM$11:$AM2128&lt;&gt;"")*($AS$11:$AS2128="✓")),"")</f>
        <v/>
      </c>
      <c r="BA2128" s="21" t="str">
        <f>IF($AL2128="","",$AL2128&amp;"|"&amp;COUNTIF($AL$11:$AL2128,$AL2128))</f>
        <v/>
      </c>
    </row>
    <row r="2129" spans="38:53" ht="15" customHeight="1" x14ac:dyDescent="0.25">
      <c r="AL2129" s="17"/>
      <c r="AM2129" s="12"/>
      <c r="AN2129" s="18"/>
      <c r="AO2129" s="18"/>
      <c r="AP2129" s="10"/>
      <c r="AQ2129" s="10"/>
      <c r="AR2129" s="19"/>
      <c r="AS2129" s="20"/>
      <c r="AT2129" s="19"/>
      <c r="AV2129" s="21">
        <f>IF(AND($AL2129&lt;&gt;"",COUNTIF($AL$11:$AL2129,$AL2129)=1),1,0)</f>
        <v>0</v>
      </c>
      <c r="AW2129" s="21">
        <f t="shared" si="153"/>
        <v>0</v>
      </c>
      <c r="AX2129" s="21" t="str">
        <f t="shared" si="152"/>
        <v/>
      </c>
      <c r="AY2129" s="21" t="str">
        <f>IF(AND($AM2129&lt;&gt;"",$AS2129&lt;&gt;"✓"),SUMPRODUCT(($AM$11:$AM2129&lt;&gt;"")*($AS$11:$AS2129&lt;&gt;"✓")),"")</f>
        <v/>
      </c>
      <c r="AZ2129" s="21" t="str">
        <f>IF(AND($AM2129&lt;&gt;"",$AS2129="✓"),SUMPRODUCT(($AM$11:$AM2129&lt;&gt;"")*($AS$11:$AS2129="✓")),"")</f>
        <v/>
      </c>
      <c r="BA2129" s="21" t="str">
        <f>IF($AL2129="","",$AL2129&amp;"|"&amp;COUNTIF($AL$11:$AL2129,$AL2129))</f>
        <v/>
      </c>
    </row>
    <row r="2130" spans="38:53" ht="15" customHeight="1" x14ac:dyDescent="0.25">
      <c r="AL2130" s="31"/>
      <c r="AM2130" s="26"/>
      <c r="AN2130" s="32"/>
      <c r="AO2130" s="32"/>
      <c r="AP2130" s="24"/>
      <c r="AQ2130" s="24"/>
      <c r="AR2130" s="33"/>
      <c r="AS2130" s="34"/>
      <c r="AT2130" s="33"/>
      <c r="AV2130" s="21">
        <f>IF(AND($AL2130&lt;&gt;"",COUNTIF($AL$11:$AL2130,$AL2130)=1),1,0)</f>
        <v>0</v>
      </c>
      <c r="AW2130" s="21">
        <f t="shared" si="153"/>
        <v>0</v>
      </c>
      <c r="AX2130" s="21" t="str">
        <f t="shared" si="152"/>
        <v/>
      </c>
      <c r="AY2130" s="21" t="str">
        <f>IF(AND($AM2130&lt;&gt;"",$AS2130&lt;&gt;"✓"),SUMPRODUCT(($AM$11:$AM2130&lt;&gt;"")*($AS$11:$AS2130&lt;&gt;"✓")),"")</f>
        <v/>
      </c>
      <c r="AZ2130" s="21" t="str">
        <f>IF(AND($AM2130&lt;&gt;"",$AS2130="✓"),SUMPRODUCT(($AM$11:$AM2130&lt;&gt;"")*($AS$11:$AS2130="✓")),"")</f>
        <v/>
      </c>
      <c r="BA2130" s="21" t="str">
        <f>IF($AL2130="","",$AL2130&amp;"|"&amp;COUNTIF($AL$11:$AL2130,$AL2130))</f>
        <v/>
      </c>
    </row>
    <row r="2131" spans="38:53" ht="15" customHeight="1" x14ac:dyDescent="0.25">
      <c r="AL2131" s="17"/>
      <c r="AM2131" s="12"/>
      <c r="AN2131" s="18"/>
      <c r="AO2131" s="18"/>
      <c r="AP2131" s="10"/>
      <c r="AQ2131" s="10"/>
      <c r="AR2131" s="19"/>
      <c r="AS2131" s="20"/>
      <c r="AT2131" s="19"/>
      <c r="AV2131" s="21">
        <f>IF(AND($AL2131&lt;&gt;"",COUNTIF($AL$11:$AL2131,$AL2131)=1),1,0)</f>
        <v>0</v>
      </c>
      <c r="AW2131" s="21">
        <f t="shared" si="153"/>
        <v>0</v>
      </c>
      <c r="AX2131" s="21" t="str">
        <f t="shared" si="152"/>
        <v/>
      </c>
      <c r="AY2131" s="21" t="str">
        <f>IF(AND($AM2131&lt;&gt;"",$AS2131&lt;&gt;"✓"),SUMPRODUCT(($AM$11:$AM2131&lt;&gt;"")*($AS$11:$AS2131&lt;&gt;"✓")),"")</f>
        <v/>
      </c>
      <c r="AZ2131" s="21" t="str">
        <f>IF(AND($AM2131&lt;&gt;"",$AS2131="✓"),SUMPRODUCT(($AM$11:$AM2131&lt;&gt;"")*($AS$11:$AS2131="✓")),"")</f>
        <v/>
      </c>
      <c r="BA2131" s="21" t="str">
        <f>IF($AL2131="","",$AL2131&amp;"|"&amp;COUNTIF($AL$11:$AL2131,$AL2131))</f>
        <v/>
      </c>
    </row>
    <row r="2132" spans="38:53" ht="15" customHeight="1" x14ac:dyDescent="0.25">
      <c r="AL2132" s="31"/>
      <c r="AM2132" s="26"/>
      <c r="AN2132" s="32"/>
      <c r="AO2132" s="32"/>
      <c r="AP2132" s="24"/>
      <c r="AQ2132" s="24"/>
      <c r="AR2132" s="33"/>
      <c r="AS2132" s="34"/>
      <c r="AT2132" s="33"/>
      <c r="AV2132" s="21">
        <f>IF(AND($AL2132&lt;&gt;"",COUNTIF($AL$11:$AL2132,$AL2132)=1),1,0)</f>
        <v>0</v>
      </c>
      <c r="AW2132" s="21">
        <f t="shared" si="153"/>
        <v>0</v>
      </c>
      <c r="AX2132" s="21" t="str">
        <f t="shared" si="152"/>
        <v/>
      </c>
      <c r="AY2132" s="21" t="str">
        <f>IF(AND($AM2132&lt;&gt;"",$AS2132&lt;&gt;"✓"),SUMPRODUCT(($AM$11:$AM2132&lt;&gt;"")*($AS$11:$AS2132&lt;&gt;"✓")),"")</f>
        <v/>
      </c>
      <c r="AZ2132" s="21" t="str">
        <f>IF(AND($AM2132&lt;&gt;"",$AS2132="✓"),SUMPRODUCT(($AM$11:$AM2132&lt;&gt;"")*($AS$11:$AS2132="✓")),"")</f>
        <v/>
      </c>
      <c r="BA2132" s="21" t="str">
        <f>IF($AL2132="","",$AL2132&amp;"|"&amp;COUNTIF($AL$11:$AL2132,$AL2132))</f>
        <v/>
      </c>
    </row>
    <row r="2133" spans="38:53" ht="15" customHeight="1" x14ac:dyDescent="0.25">
      <c r="AL2133" s="17"/>
      <c r="AM2133" s="12"/>
      <c r="AN2133" s="18"/>
      <c r="AO2133" s="18"/>
      <c r="AP2133" s="10"/>
      <c r="AQ2133" s="10"/>
      <c r="AR2133" s="19"/>
      <c r="AS2133" s="20"/>
      <c r="AT2133" s="19"/>
      <c r="AV2133" s="21">
        <f>IF(AND($AL2133&lt;&gt;"",COUNTIF($AL$11:$AL2133,$AL2133)=1),1,0)</f>
        <v>0</v>
      </c>
      <c r="AW2133" s="21">
        <f t="shared" si="153"/>
        <v>0</v>
      </c>
      <c r="AX2133" s="21" t="str">
        <f t="shared" si="152"/>
        <v/>
      </c>
      <c r="AY2133" s="21" t="str">
        <f>IF(AND($AM2133&lt;&gt;"",$AS2133&lt;&gt;"✓"),SUMPRODUCT(($AM$11:$AM2133&lt;&gt;"")*($AS$11:$AS2133&lt;&gt;"✓")),"")</f>
        <v/>
      </c>
      <c r="AZ2133" s="21" t="str">
        <f>IF(AND($AM2133&lt;&gt;"",$AS2133="✓"),SUMPRODUCT(($AM$11:$AM2133&lt;&gt;"")*($AS$11:$AS2133="✓")),"")</f>
        <v/>
      </c>
      <c r="BA2133" s="21" t="str">
        <f>IF($AL2133="","",$AL2133&amp;"|"&amp;COUNTIF($AL$11:$AL2133,$AL2133))</f>
        <v/>
      </c>
    </row>
    <row r="2134" spans="38:53" ht="15" customHeight="1" x14ac:dyDescent="0.25">
      <c r="AL2134" s="31"/>
      <c r="AM2134" s="26"/>
      <c r="AN2134" s="32"/>
      <c r="AO2134" s="32"/>
      <c r="AP2134" s="24"/>
      <c r="AQ2134" s="24"/>
      <c r="AR2134" s="33"/>
      <c r="AS2134" s="34"/>
      <c r="AT2134" s="33"/>
      <c r="AV2134" s="21">
        <f>IF(AND($AL2134&lt;&gt;"",COUNTIF($AL$11:$AL2134,$AL2134)=1),1,0)</f>
        <v>0</v>
      </c>
      <c r="AW2134" s="21">
        <f t="shared" si="153"/>
        <v>0</v>
      </c>
      <c r="AX2134" s="21" t="str">
        <f t="shared" si="152"/>
        <v/>
      </c>
      <c r="AY2134" s="21" t="str">
        <f>IF(AND($AM2134&lt;&gt;"",$AS2134&lt;&gt;"✓"),SUMPRODUCT(($AM$11:$AM2134&lt;&gt;"")*($AS$11:$AS2134&lt;&gt;"✓")),"")</f>
        <v/>
      </c>
      <c r="AZ2134" s="21" t="str">
        <f>IF(AND($AM2134&lt;&gt;"",$AS2134="✓"),SUMPRODUCT(($AM$11:$AM2134&lt;&gt;"")*($AS$11:$AS2134="✓")),"")</f>
        <v/>
      </c>
      <c r="BA2134" s="21" t="str">
        <f>IF($AL2134="","",$AL2134&amp;"|"&amp;COUNTIF($AL$11:$AL2134,$AL2134))</f>
        <v/>
      </c>
    </row>
    <row r="2135" spans="38:53" ht="15" customHeight="1" x14ac:dyDescent="0.25">
      <c r="AL2135" s="17"/>
      <c r="AM2135" s="12"/>
      <c r="AN2135" s="18"/>
      <c r="AO2135" s="18"/>
      <c r="AP2135" s="10"/>
      <c r="AQ2135" s="10"/>
      <c r="AR2135" s="19"/>
      <c r="AS2135" s="20"/>
      <c r="AT2135" s="19"/>
      <c r="AV2135" s="21">
        <f>IF(AND($AL2135&lt;&gt;"",COUNTIF($AL$11:$AL2135,$AL2135)=1),1,0)</f>
        <v>0</v>
      </c>
      <c r="AW2135" s="21">
        <f t="shared" si="153"/>
        <v>0</v>
      </c>
      <c r="AX2135" s="21" t="str">
        <f t="shared" si="152"/>
        <v/>
      </c>
      <c r="AY2135" s="21" t="str">
        <f>IF(AND($AM2135&lt;&gt;"",$AS2135&lt;&gt;"✓"),SUMPRODUCT(($AM$11:$AM2135&lt;&gt;"")*($AS$11:$AS2135&lt;&gt;"✓")),"")</f>
        <v/>
      </c>
      <c r="AZ2135" s="21" t="str">
        <f>IF(AND($AM2135&lt;&gt;"",$AS2135="✓"),SUMPRODUCT(($AM$11:$AM2135&lt;&gt;"")*($AS$11:$AS2135="✓")),"")</f>
        <v/>
      </c>
      <c r="BA2135" s="21" t="str">
        <f>IF($AL2135="","",$AL2135&amp;"|"&amp;COUNTIF($AL$11:$AL2135,$AL2135))</f>
        <v/>
      </c>
    </row>
    <row r="2136" spans="38:53" ht="15" customHeight="1" x14ac:dyDescent="0.25">
      <c r="AL2136" s="31"/>
      <c r="AM2136" s="26"/>
      <c r="AN2136" s="32"/>
      <c r="AO2136" s="32"/>
      <c r="AP2136" s="24"/>
      <c r="AQ2136" s="24"/>
      <c r="AR2136" s="33"/>
      <c r="AS2136" s="34"/>
      <c r="AT2136" s="33"/>
      <c r="AV2136" s="21">
        <f>IF(AND($AL2136&lt;&gt;"",COUNTIF($AL$11:$AL2136,$AL2136)=1),1,0)</f>
        <v>0</v>
      </c>
      <c r="AW2136" s="21">
        <f t="shared" si="153"/>
        <v>0</v>
      </c>
      <c r="AX2136" s="21" t="str">
        <f t="shared" si="152"/>
        <v/>
      </c>
      <c r="AY2136" s="21" t="str">
        <f>IF(AND($AM2136&lt;&gt;"",$AS2136&lt;&gt;"✓"),SUMPRODUCT(($AM$11:$AM2136&lt;&gt;"")*($AS$11:$AS2136&lt;&gt;"✓")),"")</f>
        <v/>
      </c>
      <c r="AZ2136" s="21" t="str">
        <f>IF(AND($AM2136&lt;&gt;"",$AS2136="✓"),SUMPRODUCT(($AM$11:$AM2136&lt;&gt;"")*($AS$11:$AS2136="✓")),"")</f>
        <v/>
      </c>
      <c r="BA2136" s="21" t="str">
        <f>IF($AL2136="","",$AL2136&amp;"|"&amp;COUNTIF($AL$11:$AL2136,$AL2136))</f>
        <v/>
      </c>
    </row>
    <row r="2137" spans="38:53" ht="15" customHeight="1" x14ac:dyDescent="0.25">
      <c r="AL2137" s="17"/>
      <c r="AM2137" s="12"/>
      <c r="AN2137" s="18"/>
      <c r="AO2137" s="18"/>
      <c r="AP2137" s="10"/>
      <c r="AQ2137" s="10"/>
      <c r="AR2137" s="19"/>
      <c r="AS2137" s="20"/>
      <c r="AT2137" s="19"/>
      <c r="AV2137" s="21">
        <f>IF(AND($AL2137&lt;&gt;"",COUNTIF($AL$11:$AL2137,$AL2137)=1),1,0)</f>
        <v>0</v>
      </c>
      <c r="AW2137" s="21">
        <f t="shared" si="153"/>
        <v>0</v>
      </c>
      <c r="AX2137" s="21" t="str">
        <f t="shared" si="152"/>
        <v/>
      </c>
      <c r="AY2137" s="21" t="str">
        <f>IF(AND($AM2137&lt;&gt;"",$AS2137&lt;&gt;"✓"),SUMPRODUCT(($AM$11:$AM2137&lt;&gt;"")*($AS$11:$AS2137&lt;&gt;"✓")),"")</f>
        <v/>
      </c>
      <c r="AZ2137" s="21" t="str">
        <f>IF(AND($AM2137&lt;&gt;"",$AS2137="✓"),SUMPRODUCT(($AM$11:$AM2137&lt;&gt;"")*($AS$11:$AS2137="✓")),"")</f>
        <v/>
      </c>
      <c r="BA2137" s="21" t="str">
        <f>IF($AL2137="","",$AL2137&amp;"|"&amp;COUNTIF($AL$11:$AL2137,$AL2137))</f>
        <v/>
      </c>
    </row>
    <row r="2138" spans="38:53" ht="15" customHeight="1" x14ac:dyDescent="0.25">
      <c r="AL2138" s="31"/>
      <c r="AM2138" s="26"/>
      <c r="AN2138" s="32"/>
      <c r="AO2138" s="32"/>
      <c r="AP2138" s="24"/>
      <c r="AQ2138" s="24"/>
      <c r="AR2138" s="33"/>
      <c r="AS2138" s="34"/>
      <c r="AT2138" s="33"/>
      <c r="AV2138" s="21">
        <f>IF(AND($AL2138&lt;&gt;"",COUNTIF($AL$11:$AL2138,$AL2138)=1),1,0)</f>
        <v>0</v>
      </c>
      <c r="AW2138" s="21">
        <f t="shared" si="153"/>
        <v>0</v>
      </c>
      <c r="AX2138" s="21" t="str">
        <f t="shared" si="152"/>
        <v/>
      </c>
      <c r="AY2138" s="21" t="str">
        <f>IF(AND($AM2138&lt;&gt;"",$AS2138&lt;&gt;"✓"),SUMPRODUCT(($AM$11:$AM2138&lt;&gt;"")*($AS$11:$AS2138&lt;&gt;"✓")),"")</f>
        <v/>
      </c>
      <c r="AZ2138" s="21" t="str">
        <f>IF(AND($AM2138&lt;&gt;"",$AS2138="✓"),SUMPRODUCT(($AM$11:$AM2138&lt;&gt;"")*($AS$11:$AS2138="✓")),"")</f>
        <v/>
      </c>
      <c r="BA2138" s="21" t="str">
        <f>IF($AL2138="","",$AL2138&amp;"|"&amp;COUNTIF($AL$11:$AL2138,$AL2138))</f>
        <v/>
      </c>
    </row>
    <row r="2139" spans="38:53" ht="15" customHeight="1" x14ac:dyDescent="0.25">
      <c r="AL2139" s="17"/>
      <c r="AM2139" s="12"/>
      <c r="AN2139" s="18"/>
      <c r="AO2139" s="18"/>
      <c r="AP2139" s="10"/>
      <c r="AQ2139" s="10"/>
      <c r="AR2139" s="19"/>
      <c r="AS2139" s="20"/>
      <c r="AT2139" s="19"/>
      <c r="AV2139" s="21">
        <f>IF(AND($AL2139&lt;&gt;"",COUNTIF($AL$11:$AL2139,$AL2139)=1),1,0)</f>
        <v>0</v>
      </c>
      <c r="AW2139" s="21">
        <f t="shared" si="153"/>
        <v>0</v>
      </c>
      <c r="AX2139" s="21" t="str">
        <f t="shared" si="152"/>
        <v/>
      </c>
      <c r="AY2139" s="21" t="str">
        <f>IF(AND($AM2139&lt;&gt;"",$AS2139&lt;&gt;"✓"),SUMPRODUCT(($AM$11:$AM2139&lt;&gt;"")*($AS$11:$AS2139&lt;&gt;"✓")),"")</f>
        <v/>
      </c>
      <c r="AZ2139" s="21" t="str">
        <f>IF(AND($AM2139&lt;&gt;"",$AS2139="✓"),SUMPRODUCT(($AM$11:$AM2139&lt;&gt;"")*($AS$11:$AS2139="✓")),"")</f>
        <v/>
      </c>
      <c r="BA2139" s="21" t="str">
        <f>IF($AL2139="","",$AL2139&amp;"|"&amp;COUNTIF($AL$11:$AL2139,$AL2139))</f>
        <v/>
      </c>
    </row>
    <row r="2140" spans="38:53" ht="15" customHeight="1" x14ac:dyDescent="0.25">
      <c r="AL2140" s="31"/>
      <c r="AM2140" s="26"/>
      <c r="AN2140" s="32"/>
      <c r="AO2140" s="32"/>
      <c r="AP2140" s="24"/>
      <c r="AQ2140" s="24"/>
      <c r="AR2140" s="33"/>
      <c r="AS2140" s="34"/>
      <c r="AT2140" s="33"/>
      <c r="AV2140" s="21">
        <f>IF(AND($AL2140&lt;&gt;"",COUNTIF($AL$11:$AL2140,$AL2140)=1),1,0)</f>
        <v>0</v>
      </c>
      <c r="AW2140" s="21">
        <f t="shared" si="153"/>
        <v>0</v>
      </c>
      <c r="AX2140" s="21" t="str">
        <f t="shared" si="152"/>
        <v/>
      </c>
      <c r="AY2140" s="21" t="str">
        <f>IF(AND($AM2140&lt;&gt;"",$AS2140&lt;&gt;"✓"),SUMPRODUCT(($AM$11:$AM2140&lt;&gt;"")*($AS$11:$AS2140&lt;&gt;"✓")),"")</f>
        <v/>
      </c>
      <c r="AZ2140" s="21" t="str">
        <f>IF(AND($AM2140&lt;&gt;"",$AS2140="✓"),SUMPRODUCT(($AM$11:$AM2140&lt;&gt;"")*($AS$11:$AS2140="✓")),"")</f>
        <v/>
      </c>
      <c r="BA2140" s="21" t="str">
        <f>IF($AL2140="","",$AL2140&amp;"|"&amp;COUNTIF($AL$11:$AL2140,$AL2140))</f>
        <v/>
      </c>
    </row>
    <row r="2141" spans="38:53" ht="15" customHeight="1" x14ac:dyDescent="0.25">
      <c r="AL2141" s="17"/>
      <c r="AM2141" s="12"/>
      <c r="AN2141" s="18"/>
      <c r="AO2141" s="18"/>
      <c r="AP2141" s="10"/>
      <c r="AQ2141" s="10"/>
      <c r="AR2141" s="19"/>
      <c r="AS2141" s="20"/>
      <c r="AT2141" s="19"/>
      <c r="AV2141" s="21">
        <f>IF(AND($AL2141&lt;&gt;"",COUNTIF($AL$11:$AL2141,$AL2141)=1),1,0)</f>
        <v>0</v>
      </c>
      <c r="AW2141" s="21">
        <f t="shared" si="153"/>
        <v>0</v>
      </c>
      <c r="AX2141" s="21" t="str">
        <f t="shared" si="152"/>
        <v/>
      </c>
      <c r="AY2141" s="21" t="str">
        <f>IF(AND($AM2141&lt;&gt;"",$AS2141&lt;&gt;"✓"),SUMPRODUCT(($AM$11:$AM2141&lt;&gt;"")*($AS$11:$AS2141&lt;&gt;"✓")),"")</f>
        <v/>
      </c>
      <c r="AZ2141" s="21" t="str">
        <f>IF(AND($AM2141&lt;&gt;"",$AS2141="✓"),SUMPRODUCT(($AM$11:$AM2141&lt;&gt;"")*($AS$11:$AS2141="✓")),"")</f>
        <v/>
      </c>
      <c r="BA2141" s="21" t="str">
        <f>IF($AL2141="","",$AL2141&amp;"|"&amp;COUNTIF($AL$11:$AL2141,$AL2141))</f>
        <v/>
      </c>
    </row>
    <row r="2142" spans="38:53" ht="15" customHeight="1" x14ac:dyDescent="0.25">
      <c r="AL2142" s="31"/>
      <c r="AM2142" s="26"/>
      <c r="AN2142" s="32"/>
      <c r="AO2142" s="32"/>
      <c r="AP2142" s="24"/>
      <c r="AQ2142" s="24"/>
      <c r="AR2142" s="33"/>
      <c r="AS2142" s="34"/>
      <c r="AT2142" s="33"/>
      <c r="AV2142" s="21">
        <f>IF(AND($AL2142&lt;&gt;"",COUNTIF($AL$11:$AL2142,$AL2142)=1),1,0)</f>
        <v>0</v>
      </c>
      <c r="AW2142" s="21">
        <f t="shared" si="153"/>
        <v>0</v>
      </c>
      <c r="AX2142" s="21" t="str">
        <f t="shared" si="152"/>
        <v/>
      </c>
      <c r="AY2142" s="21" t="str">
        <f>IF(AND($AM2142&lt;&gt;"",$AS2142&lt;&gt;"✓"),SUMPRODUCT(($AM$11:$AM2142&lt;&gt;"")*($AS$11:$AS2142&lt;&gt;"✓")),"")</f>
        <v/>
      </c>
      <c r="AZ2142" s="21" t="str">
        <f>IF(AND($AM2142&lt;&gt;"",$AS2142="✓"),SUMPRODUCT(($AM$11:$AM2142&lt;&gt;"")*($AS$11:$AS2142="✓")),"")</f>
        <v/>
      </c>
      <c r="BA2142" s="21" t="str">
        <f>IF($AL2142="","",$AL2142&amp;"|"&amp;COUNTIF($AL$11:$AL2142,$AL2142))</f>
        <v/>
      </c>
    </row>
    <row r="2143" spans="38:53" ht="15" customHeight="1" x14ac:dyDescent="0.25">
      <c r="AL2143" s="17"/>
      <c r="AM2143" s="12"/>
      <c r="AN2143" s="18"/>
      <c r="AO2143" s="18"/>
      <c r="AP2143" s="10"/>
      <c r="AQ2143" s="10"/>
      <c r="AR2143" s="19"/>
      <c r="AS2143" s="20"/>
      <c r="AT2143" s="19"/>
      <c r="AV2143" s="21">
        <f>IF(AND($AL2143&lt;&gt;"",COUNTIF($AL$11:$AL2143,$AL2143)=1),1,0)</f>
        <v>0</v>
      </c>
      <c r="AW2143" s="21">
        <f t="shared" si="153"/>
        <v>0</v>
      </c>
      <c r="AX2143" s="21" t="str">
        <f t="shared" si="152"/>
        <v/>
      </c>
      <c r="AY2143" s="21" t="str">
        <f>IF(AND($AM2143&lt;&gt;"",$AS2143&lt;&gt;"✓"),SUMPRODUCT(($AM$11:$AM2143&lt;&gt;"")*($AS$11:$AS2143&lt;&gt;"✓")),"")</f>
        <v/>
      </c>
      <c r="AZ2143" s="21" t="str">
        <f>IF(AND($AM2143&lt;&gt;"",$AS2143="✓"),SUMPRODUCT(($AM$11:$AM2143&lt;&gt;"")*($AS$11:$AS2143="✓")),"")</f>
        <v/>
      </c>
      <c r="BA2143" s="21" t="str">
        <f>IF($AL2143="","",$AL2143&amp;"|"&amp;COUNTIF($AL$11:$AL2143,$AL2143))</f>
        <v/>
      </c>
    </row>
    <row r="2144" spans="38:53" ht="15" customHeight="1" x14ac:dyDescent="0.25">
      <c r="AL2144" s="31"/>
      <c r="AM2144" s="26"/>
      <c r="AN2144" s="32"/>
      <c r="AO2144" s="32"/>
      <c r="AP2144" s="24"/>
      <c r="AQ2144" s="24"/>
      <c r="AR2144" s="33"/>
      <c r="AS2144" s="34"/>
      <c r="AT2144" s="33"/>
      <c r="AV2144" s="21">
        <f>IF(AND($AL2144&lt;&gt;"",COUNTIF($AL$11:$AL2144,$AL2144)=1),1,0)</f>
        <v>0</v>
      </c>
      <c r="AW2144" s="21">
        <f t="shared" si="153"/>
        <v>0</v>
      </c>
      <c r="AX2144" s="21" t="str">
        <f t="shared" si="152"/>
        <v/>
      </c>
      <c r="AY2144" s="21" t="str">
        <f>IF(AND($AM2144&lt;&gt;"",$AS2144&lt;&gt;"✓"),SUMPRODUCT(($AM$11:$AM2144&lt;&gt;"")*($AS$11:$AS2144&lt;&gt;"✓")),"")</f>
        <v/>
      </c>
      <c r="AZ2144" s="21" t="str">
        <f>IF(AND($AM2144&lt;&gt;"",$AS2144="✓"),SUMPRODUCT(($AM$11:$AM2144&lt;&gt;"")*($AS$11:$AS2144="✓")),"")</f>
        <v/>
      </c>
      <c r="BA2144" s="21" t="str">
        <f>IF($AL2144="","",$AL2144&amp;"|"&amp;COUNTIF($AL$11:$AL2144,$AL2144))</f>
        <v/>
      </c>
    </row>
    <row r="2145" spans="38:53" ht="15" customHeight="1" x14ac:dyDescent="0.25">
      <c r="AL2145" s="17"/>
      <c r="AM2145" s="12"/>
      <c r="AN2145" s="18"/>
      <c r="AO2145" s="18"/>
      <c r="AP2145" s="10"/>
      <c r="AQ2145" s="10"/>
      <c r="AR2145" s="19"/>
      <c r="AS2145" s="20"/>
      <c r="AT2145" s="19"/>
      <c r="AV2145" s="21">
        <f>IF(AND($AL2145&lt;&gt;"",COUNTIF($AL$11:$AL2145,$AL2145)=1),1,0)</f>
        <v>0</v>
      </c>
      <c r="AW2145" s="21">
        <f t="shared" si="153"/>
        <v>0</v>
      </c>
      <c r="AX2145" s="21" t="str">
        <f t="shared" si="152"/>
        <v/>
      </c>
      <c r="AY2145" s="21" t="str">
        <f>IF(AND($AM2145&lt;&gt;"",$AS2145&lt;&gt;"✓"),SUMPRODUCT(($AM$11:$AM2145&lt;&gt;"")*($AS$11:$AS2145&lt;&gt;"✓")),"")</f>
        <v/>
      </c>
      <c r="AZ2145" s="21" t="str">
        <f>IF(AND($AM2145&lt;&gt;"",$AS2145="✓"),SUMPRODUCT(($AM$11:$AM2145&lt;&gt;"")*($AS$11:$AS2145="✓")),"")</f>
        <v/>
      </c>
      <c r="BA2145" s="21" t="str">
        <f>IF($AL2145="","",$AL2145&amp;"|"&amp;COUNTIF($AL$11:$AL2145,$AL2145))</f>
        <v/>
      </c>
    </row>
    <row r="2146" spans="38:53" ht="15" customHeight="1" x14ac:dyDescent="0.25">
      <c r="AL2146" s="31"/>
      <c r="AM2146" s="26"/>
      <c r="AN2146" s="32"/>
      <c r="AO2146" s="32"/>
      <c r="AP2146" s="24"/>
      <c r="AQ2146" s="24"/>
      <c r="AR2146" s="33"/>
      <c r="AS2146" s="34"/>
      <c r="AT2146" s="33"/>
      <c r="AV2146" s="21">
        <f>IF(AND($AL2146&lt;&gt;"",COUNTIF($AL$11:$AL2146,$AL2146)=1),1,0)</f>
        <v>0</v>
      </c>
      <c r="AW2146" s="21">
        <f t="shared" si="153"/>
        <v>0</v>
      </c>
      <c r="AX2146" s="21" t="str">
        <f t="shared" si="152"/>
        <v/>
      </c>
      <c r="AY2146" s="21" t="str">
        <f>IF(AND($AM2146&lt;&gt;"",$AS2146&lt;&gt;"✓"),SUMPRODUCT(($AM$11:$AM2146&lt;&gt;"")*($AS$11:$AS2146&lt;&gt;"✓")),"")</f>
        <v/>
      </c>
      <c r="AZ2146" s="21" t="str">
        <f>IF(AND($AM2146&lt;&gt;"",$AS2146="✓"),SUMPRODUCT(($AM$11:$AM2146&lt;&gt;"")*($AS$11:$AS2146="✓")),"")</f>
        <v/>
      </c>
      <c r="BA2146" s="21" t="str">
        <f>IF($AL2146="","",$AL2146&amp;"|"&amp;COUNTIF($AL$11:$AL2146,$AL2146))</f>
        <v/>
      </c>
    </row>
    <row r="2147" spans="38:53" ht="15" customHeight="1" x14ac:dyDescent="0.25">
      <c r="AL2147" s="17"/>
      <c r="AM2147" s="12"/>
      <c r="AN2147" s="18"/>
      <c r="AO2147" s="18"/>
      <c r="AP2147" s="10"/>
      <c r="AQ2147" s="10"/>
      <c r="AR2147" s="19"/>
      <c r="AS2147" s="20"/>
      <c r="AT2147" s="19"/>
      <c r="AV2147" s="21">
        <f>IF(AND($AL2147&lt;&gt;"",COUNTIF($AL$11:$AL2147,$AL2147)=1),1,0)</f>
        <v>0</v>
      </c>
      <c r="AW2147" s="21">
        <f t="shared" si="153"/>
        <v>0</v>
      </c>
      <c r="AX2147" s="21" t="str">
        <f t="shared" si="152"/>
        <v/>
      </c>
      <c r="AY2147" s="21" t="str">
        <f>IF(AND($AM2147&lt;&gt;"",$AS2147&lt;&gt;"✓"),SUMPRODUCT(($AM$11:$AM2147&lt;&gt;"")*($AS$11:$AS2147&lt;&gt;"✓")),"")</f>
        <v/>
      </c>
      <c r="AZ2147" s="21" t="str">
        <f>IF(AND($AM2147&lt;&gt;"",$AS2147="✓"),SUMPRODUCT(($AM$11:$AM2147&lt;&gt;"")*($AS$11:$AS2147="✓")),"")</f>
        <v/>
      </c>
      <c r="BA2147" s="21" t="str">
        <f>IF($AL2147="","",$AL2147&amp;"|"&amp;COUNTIF($AL$11:$AL2147,$AL2147))</f>
        <v/>
      </c>
    </row>
    <row r="2148" spans="38:53" ht="15" customHeight="1" x14ac:dyDescent="0.25">
      <c r="AL2148" s="31"/>
      <c r="AM2148" s="26"/>
      <c r="AN2148" s="32"/>
      <c r="AO2148" s="32"/>
      <c r="AP2148" s="24"/>
      <c r="AQ2148" s="24"/>
      <c r="AR2148" s="33"/>
      <c r="AS2148" s="34"/>
      <c r="AT2148" s="33"/>
      <c r="AV2148" s="21">
        <f>IF(AND($AL2148&lt;&gt;"",COUNTIF($AL$11:$AL2148,$AL2148)=1),1,0)</f>
        <v>0</v>
      </c>
      <c r="AW2148" s="21">
        <f t="shared" si="153"/>
        <v>0</v>
      </c>
      <c r="AX2148" s="21" t="str">
        <f t="shared" si="152"/>
        <v/>
      </c>
      <c r="AY2148" s="21" t="str">
        <f>IF(AND($AM2148&lt;&gt;"",$AS2148&lt;&gt;"✓"),SUMPRODUCT(($AM$11:$AM2148&lt;&gt;"")*($AS$11:$AS2148&lt;&gt;"✓")),"")</f>
        <v/>
      </c>
      <c r="AZ2148" s="21" t="str">
        <f>IF(AND($AM2148&lt;&gt;"",$AS2148="✓"),SUMPRODUCT(($AM$11:$AM2148&lt;&gt;"")*($AS$11:$AS2148="✓")),"")</f>
        <v/>
      </c>
      <c r="BA2148" s="21" t="str">
        <f>IF($AL2148="","",$AL2148&amp;"|"&amp;COUNTIF($AL$11:$AL2148,$AL2148))</f>
        <v/>
      </c>
    </row>
    <row r="2149" spans="38:53" ht="15" customHeight="1" x14ac:dyDescent="0.25">
      <c r="AL2149" s="17"/>
      <c r="AM2149" s="12"/>
      <c r="AN2149" s="18"/>
      <c r="AO2149" s="18"/>
      <c r="AP2149" s="10"/>
      <c r="AQ2149" s="10"/>
      <c r="AR2149" s="19"/>
      <c r="AS2149" s="20"/>
      <c r="AT2149" s="19"/>
      <c r="AV2149" s="21">
        <f>IF(AND($AL2149&lt;&gt;"",COUNTIF($AL$11:$AL2149,$AL2149)=1),1,0)</f>
        <v>0</v>
      </c>
      <c r="AW2149" s="21">
        <f t="shared" si="153"/>
        <v>0</v>
      </c>
      <c r="AX2149" s="21" t="str">
        <f t="shared" si="152"/>
        <v/>
      </c>
      <c r="AY2149" s="21" t="str">
        <f>IF(AND($AM2149&lt;&gt;"",$AS2149&lt;&gt;"✓"),SUMPRODUCT(($AM$11:$AM2149&lt;&gt;"")*($AS$11:$AS2149&lt;&gt;"✓")),"")</f>
        <v/>
      </c>
      <c r="AZ2149" s="21" t="str">
        <f>IF(AND($AM2149&lt;&gt;"",$AS2149="✓"),SUMPRODUCT(($AM$11:$AM2149&lt;&gt;"")*($AS$11:$AS2149="✓")),"")</f>
        <v/>
      </c>
      <c r="BA2149" s="21" t="str">
        <f>IF($AL2149="","",$AL2149&amp;"|"&amp;COUNTIF($AL$11:$AL2149,$AL2149))</f>
        <v/>
      </c>
    </row>
    <row r="2150" spans="38:53" ht="15" customHeight="1" x14ac:dyDescent="0.25">
      <c r="AL2150" s="31"/>
      <c r="AM2150" s="26"/>
      <c r="AN2150" s="32"/>
      <c r="AO2150" s="32"/>
      <c r="AP2150" s="24"/>
      <c r="AQ2150" s="24"/>
      <c r="AR2150" s="33"/>
      <c r="AS2150" s="34"/>
      <c r="AT2150" s="33"/>
      <c r="AV2150" s="21">
        <f>IF(AND($AL2150&lt;&gt;"",COUNTIF($AL$11:$AL2150,$AL2150)=1),1,0)</f>
        <v>0</v>
      </c>
      <c r="AW2150" s="21">
        <f t="shared" si="153"/>
        <v>0</v>
      </c>
      <c r="AX2150" s="21" t="str">
        <f t="shared" si="152"/>
        <v/>
      </c>
      <c r="AY2150" s="21" t="str">
        <f>IF(AND($AM2150&lt;&gt;"",$AS2150&lt;&gt;"✓"),SUMPRODUCT(($AM$11:$AM2150&lt;&gt;"")*($AS$11:$AS2150&lt;&gt;"✓")),"")</f>
        <v/>
      </c>
      <c r="AZ2150" s="21" t="str">
        <f>IF(AND($AM2150&lt;&gt;"",$AS2150="✓"),SUMPRODUCT(($AM$11:$AM2150&lt;&gt;"")*($AS$11:$AS2150="✓")),"")</f>
        <v/>
      </c>
      <c r="BA2150" s="21" t="str">
        <f>IF($AL2150="","",$AL2150&amp;"|"&amp;COUNTIF($AL$11:$AL2150,$AL2150))</f>
        <v/>
      </c>
    </row>
    <row r="2151" spans="38:53" ht="15" customHeight="1" x14ac:dyDescent="0.25">
      <c r="AL2151" s="17"/>
      <c r="AM2151" s="12"/>
      <c r="AN2151" s="18"/>
      <c r="AO2151" s="18"/>
      <c r="AP2151" s="10"/>
      <c r="AQ2151" s="10"/>
      <c r="AR2151" s="19"/>
      <c r="AS2151" s="20"/>
      <c r="AT2151" s="19"/>
      <c r="AV2151" s="21">
        <f>IF(AND($AL2151&lt;&gt;"",COUNTIF($AL$11:$AL2151,$AL2151)=1),1,0)</f>
        <v>0</v>
      </c>
      <c r="AW2151" s="21">
        <f t="shared" si="153"/>
        <v>0</v>
      </c>
      <c r="AX2151" s="21" t="str">
        <f t="shared" si="152"/>
        <v/>
      </c>
      <c r="AY2151" s="21" t="str">
        <f>IF(AND($AM2151&lt;&gt;"",$AS2151&lt;&gt;"✓"),SUMPRODUCT(($AM$11:$AM2151&lt;&gt;"")*($AS$11:$AS2151&lt;&gt;"✓")),"")</f>
        <v/>
      </c>
      <c r="AZ2151" s="21" t="str">
        <f>IF(AND($AM2151&lt;&gt;"",$AS2151="✓"),SUMPRODUCT(($AM$11:$AM2151&lt;&gt;"")*($AS$11:$AS2151="✓")),"")</f>
        <v/>
      </c>
      <c r="BA2151" s="21" t="str">
        <f>IF($AL2151="","",$AL2151&amp;"|"&amp;COUNTIF($AL$11:$AL2151,$AL2151))</f>
        <v/>
      </c>
    </row>
    <row r="2152" spans="38:53" ht="15" customHeight="1" x14ac:dyDescent="0.25">
      <c r="AL2152" s="31"/>
      <c r="AM2152" s="26"/>
      <c r="AN2152" s="32"/>
      <c r="AO2152" s="32"/>
      <c r="AP2152" s="24"/>
      <c r="AQ2152" s="24"/>
      <c r="AR2152" s="33"/>
      <c r="AS2152" s="34"/>
      <c r="AT2152" s="33"/>
      <c r="AV2152" s="21">
        <f>IF(AND($AL2152&lt;&gt;"",COUNTIF($AL$11:$AL2152,$AL2152)=1),1,0)</f>
        <v>0</v>
      </c>
      <c r="AW2152" s="21">
        <f t="shared" si="153"/>
        <v>0</v>
      </c>
      <c r="AX2152" s="21" t="str">
        <f t="shared" si="152"/>
        <v/>
      </c>
      <c r="AY2152" s="21" t="str">
        <f>IF(AND($AM2152&lt;&gt;"",$AS2152&lt;&gt;"✓"),SUMPRODUCT(($AM$11:$AM2152&lt;&gt;"")*($AS$11:$AS2152&lt;&gt;"✓")),"")</f>
        <v/>
      </c>
      <c r="AZ2152" s="21" t="str">
        <f>IF(AND($AM2152&lt;&gt;"",$AS2152="✓"),SUMPRODUCT(($AM$11:$AM2152&lt;&gt;"")*($AS$11:$AS2152="✓")),"")</f>
        <v/>
      </c>
      <c r="BA2152" s="21" t="str">
        <f>IF($AL2152="","",$AL2152&amp;"|"&amp;COUNTIF($AL$11:$AL2152,$AL2152))</f>
        <v/>
      </c>
    </row>
    <row r="2153" spans="38:53" ht="15" customHeight="1" x14ac:dyDescent="0.25">
      <c r="AL2153" s="17"/>
      <c r="AM2153" s="12"/>
      <c r="AN2153" s="18"/>
      <c r="AO2153" s="18"/>
      <c r="AP2153" s="10"/>
      <c r="AQ2153" s="10"/>
      <c r="AR2153" s="19"/>
      <c r="AS2153" s="20"/>
      <c r="AT2153" s="19"/>
      <c r="AV2153" s="21">
        <f>IF(AND($AL2153&lt;&gt;"",COUNTIF($AL$11:$AL2153,$AL2153)=1),1,0)</f>
        <v>0</v>
      </c>
      <c r="AW2153" s="21">
        <f t="shared" si="153"/>
        <v>0</v>
      </c>
      <c r="AX2153" s="21" t="str">
        <f t="shared" si="152"/>
        <v/>
      </c>
      <c r="AY2153" s="21" t="str">
        <f>IF(AND($AM2153&lt;&gt;"",$AS2153&lt;&gt;"✓"),SUMPRODUCT(($AM$11:$AM2153&lt;&gt;"")*($AS$11:$AS2153&lt;&gt;"✓")),"")</f>
        <v/>
      </c>
      <c r="AZ2153" s="21" t="str">
        <f>IF(AND($AM2153&lt;&gt;"",$AS2153="✓"),SUMPRODUCT(($AM$11:$AM2153&lt;&gt;"")*($AS$11:$AS2153="✓")),"")</f>
        <v/>
      </c>
      <c r="BA2153" s="21" t="str">
        <f>IF($AL2153="","",$AL2153&amp;"|"&amp;COUNTIF($AL$11:$AL2153,$AL2153))</f>
        <v/>
      </c>
    </row>
    <row r="2154" spans="38:53" ht="15" customHeight="1" x14ac:dyDescent="0.25">
      <c r="AL2154" s="31"/>
      <c r="AM2154" s="26"/>
      <c r="AN2154" s="32"/>
      <c r="AO2154" s="32"/>
      <c r="AP2154" s="24"/>
      <c r="AQ2154" s="24"/>
      <c r="AR2154" s="33"/>
      <c r="AS2154" s="34"/>
      <c r="AT2154" s="33"/>
      <c r="AV2154" s="21">
        <f>IF(AND($AL2154&lt;&gt;"",COUNTIF($AL$11:$AL2154,$AL2154)=1),1,0)</f>
        <v>0</v>
      </c>
      <c r="AW2154" s="21">
        <f t="shared" si="153"/>
        <v>0</v>
      </c>
      <c r="AX2154" s="21" t="str">
        <f t="shared" si="152"/>
        <v/>
      </c>
      <c r="AY2154" s="21" t="str">
        <f>IF(AND($AM2154&lt;&gt;"",$AS2154&lt;&gt;"✓"),SUMPRODUCT(($AM$11:$AM2154&lt;&gt;"")*($AS$11:$AS2154&lt;&gt;"✓")),"")</f>
        <v/>
      </c>
      <c r="AZ2154" s="21" t="str">
        <f>IF(AND($AM2154&lt;&gt;"",$AS2154="✓"),SUMPRODUCT(($AM$11:$AM2154&lt;&gt;"")*($AS$11:$AS2154="✓")),"")</f>
        <v/>
      </c>
      <c r="BA2154" s="21" t="str">
        <f>IF($AL2154="","",$AL2154&amp;"|"&amp;COUNTIF($AL$11:$AL2154,$AL2154))</f>
        <v/>
      </c>
    </row>
    <row r="2155" spans="38:53" ht="15" customHeight="1" x14ac:dyDescent="0.25">
      <c r="AL2155" s="17"/>
      <c r="AM2155" s="12"/>
      <c r="AN2155" s="18"/>
      <c r="AO2155" s="18"/>
      <c r="AP2155" s="10"/>
      <c r="AQ2155" s="10"/>
      <c r="AR2155" s="19"/>
      <c r="AS2155" s="20"/>
      <c r="AT2155" s="19"/>
      <c r="AV2155" s="21">
        <f>IF(AND($AL2155&lt;&gt;"",COUNTIF($AL$11:$AL2155,$AL2155)=1),1,0)</f>
        <v>0</v>
      </c>
      <c r="AW2155" s="21">
        <f t="shared" si="153"/>
        <v>0</v>
      </c>
      <c r="AX2155" s="21" t="str">
        <f t="shared" si="152"/>
        <v/>
      </c>
      <c r="AY2155" s="21" t="str">
        <f>IF(AND($AM2155&lt;&gt;"",$AS2155&lt;&gt;"✓"),SUMPRODUCT(($AM$11:$AM2155&lt;&gt;"")*($AS$11:$AS2155&lt;&gt;"✓")),"")</f>
        <v/>
      </c>
      <c r="AZ2155" s="21" t="str">
        <f>IF(AND($AM2155&lt;&gt;"",$AS2155="✓"),SUMPRODUCT(($AM$11:$AM2155&lt;&gt;"")*($AS$11:$AS2155="✓")),"")</f>
        <v/>
      </c>
      <c r="BA2155" s="21" t="str">
        <f>IF($AL2155="","",$AL2155&amp;"|"&amp;COUNTIF($AL$11:$AL2155,$AL2155))</f>
        <v/>
      </c>
    </row>
    <row r="2156" spans="38:53" ht="15" customHeight="1" x14ac:dyDescent="0.25">
      <c r="AL2156" s="31"/>
      <c r="AM2156" s="26"/>
      <c r="AN2156" s="32"/>
      <c r="AO2156" s="32"/>
      <c r="AP2156" s="24"/>
      <c r="AQ2156" s="24"/>
      <c r="AR2156" s="33"/>
      <c r="AS2156" s="34"/>
      <c r="AT2156" s="33"/>
      <c r="AV2156" s="21">
        <f>IF(AND($AL2156&lt;&gt;"",COUNTIF($AL$11:$AL2156,$AL2156)=1),1,0)</f>
        <v>0</v>
      </c>
      <c r="AW2156" s="21">
        <f t="shared" si="153"/>
        <v>0</v>
      </c>
      <c r="AX2156" s="21" t="str">
        <f t="shared" si="152"/>
        <v/>
      </c>
      <c r="AY2156" s="21" t="str">
        <f>IF(AND($AM2156&lt;&gt;"",$AS2156&lt;&gt;"✓"),SUMPRODUCT(($AM$11:$AM2156&lt;&gt;"")*($AS$11:$AS2156&lt;&gt;"✓")),"")</f>
        <v/>
      </c>
      <c r="AZ2156" s="21" t="str">
        <f>IF(AND($AM2156&lt;&gt;"",$AS2156="✓"),SUMPRODUCT(($AM$11:$AM2156&lt;&gt;"")*($AS$11:$AS2156="✓")),"")</f>
        <v/>
      </c>
      <c r="BA2156" s="21" t="str">
        <f>IF($AL2156="","",$AL2156&amp;"|"&amp;COUNTIF($AL$11:$AL2156,$AL2156))</f>
        <v/>
      </c>
    </row>
    <row r="2157" spans="38:53" ht="15" customHeight="1" x14ac:dyDescent="0.25">
      <c r="AL2157" s="17"/>
      <c r="AM2157" s="12"/>
      <c r="AN2157" s="18"/>
      <c r="AO2157" s="18"/>
      <c r="AP2157" s="10"/>
      <c r="AQ2157" s="10"/>
      <c r="AR2157" s="19"/>
      <c r="AS2157" s="20"/>
      <c r="AT2157" s="19"/>
      <c r="AV2157" s="21">
        <f>IF(AND($AL2157&lt;&gt;"",COUNTIF($AL$11:$AL2157,$AL2157)=1),1,0)</f>
        <v>0</v>
      </c>
      <c r="AW2157" s="21">
        <f t="shared" si="153"/>
        <v>0</v>
      </c>
      <c r="AX2157" s="21" t="str">
        <f t="shared" si="152"/>
        <v/>
      </c>
      <c r="AY2157" s="21" t="str">
        <f>IF(AND($AM2157&lt;&gt;"",$AS2157&lt;&gt;"✓"),SUMPRODUCT(($AM$11:$AM2157&lt;&gt;"")*($AS$11:$AS2157&lt;&gt;"✓")),"")</f>
        <v/>
      </c>
      <c r="AZ2157" s="21" t="str">
        <f>IF(AND($AM2157&lt;&gt;"",$AS2157="✓"),SUMPRODUCT(($AM$11:$AM2157&lt;&gt;"")*($AS$11:$AS2157="✓")),"")</f>
        <v/>
      </c>
      <c r="BA2157" s="21" t="str">
        <f>IF($AL2157="","",$AL2157&amp;"|"&amp;COUNTIF($AL$11:$AL2157,$AL2157))</f>
        <v/>
      </c>
    </row>
    <row r="2158" spans="38:53" ht="15" customHeight="1" x14ac:dyDescent="0.25">
      <c r="AL2158" s="31"/>
      <c r="AM2158" s="26"/>
      <c r="AN2158" s="32"/>
      <c r="AO2158" s="32"/>
      <c r="AP2158" s="24"/>
      <c r="AQ2158" s="24"/>
      <c r="AR2158" s="33"/>
      <c r="AS2158" s="34"/>
      <c r="AT2158" s="33"/>
      <c r="AV2158" s="21">
        <f>IF(AND($AL2158&lt;&gt;"",COUNTIF($AL$11:$AL2158,$AL2158)=1),1,0)</f>
        <v>0</v>
      </c>
      <c r="AW2158" s="21">
        <f t="shared" si="153"/>
        <v>0</v>
      </c>
      <c r="AX2158" s="21" t="str">
        <f t="shared" si="152"/>
        <v/>
      </c>
      <c r="AY2158" s="21" t="str">
        <f>IF(AND($AM2158&lt;&gt;"",$AS2158&lt;&gt;"✓"),SUMPRODUCT(($AM$11:$AM2158&lt;&gt;"")*($AS$11:$AS2158&lt;&gt;"✓")),"")</f>
        <v/>
      </c>
      <c r="AZ2158" s="21" t="str">
        <f>IF(AND($AM2158&lt;&gt;"",$AS2158="✓"),SUMPRODUCT(($AM$11:$AM2158&lt;&gt;"")*($AS$11:$AS2158="✓")),"")</f>
        <v/>
      </c>
      <c r="BA2158" s="21" t="str">
        <f>IF($AL2158="","",$AL2158&amp;"|"&amp;COUNTIF($AL$11:$AL2158,$AL2158))</f>
        <v/>
      </c>
    </row>
    <row r="2159" spans="38:53" ht="15" customHeight="1" x14ac:dyDescent="0.25">
      <c r="AL2159" s="17"/>
      <c r="AM2159" s="12"/>
      <c r="AN2159" s="18"/>
      <c r="AO2159" s="18"/>
      <c r="AP2159" s="10"/>
      <c r="AQ2159" s="10"/>
      <c r="AR2159" s="19"/>
      <c r="AS2159" s="20"/>
      <c r="AT2159" s="19"/>
      <c r="AV2159" s="21">
        <f>IF(AND($AL2159&lt;&gt;"",COUNTIF($AL$11:$AL2159,$AL2159)=1),1,0)</f>
        <v>0</v>
      </c>
      <c r="AW2159" s="21">
        <f t="shared" si="153"/>
        <v>0</v>
      </c>
      <c r="AX2159" s="21" t="str">
        <f t="shared" si="152"/>
        <v/>
      </c>
      <c r="AY2159" s="21" t="str">
        <f>IF(AND($AM2159&lt;&gt;"",$AS2159&lt;&gt;"✓"),SUMPRODUCT(($AM$11:$AM2159&lt;&gt;"")*($AS$11:$AS2159&lt;&gt;"✓")),"")</f>
        <v/>
      </c>
      <c r="AZ2159" s="21" t="str">
        <f>IF(AND($AM2159&lt;&gt;"",$AS2159="✓"),SUMPRODUCT(($AM$11:$AM2159&lt;&gt;"")*($AS$11:$AS2159="✓")),"")</f>
        <v/>
      </c>
      <c r="BA2159" s="21" t="str">
        <f>IF($AL2159="","",$AL2159&amp;"|"&amp;COUNTIF($AL$11:$AL2159,$AL2159))</f>
        <v/>
      </c>
    </row>
    <row r="2160" spans="38:53" ht="15" customHeight="1" x14ac:dyDescent="0.25">
      <c r="AL2160" s="31"/>
      <c r="AM2160" s="26"/>
      <c r="AN2160" s="32"/>
      <c r="AO2160" s="32"/>
      <c r="AP2160" s="24"/>
      <c r="AQ2160" s="24"/>
      <c r="AR2160" s="33"/>
      <c r="AS2160" s="34"/>
      <c r="AT2160" s="33"/>
      <c r="AV2160" s="21">
        <f>IF(AND($AL2160&lt;&gt;"",COUNTIF($AL$11:$AL2160,$AL2160)=1),1,0)</f>
        <v>0</v>
      </c>
      <c r="AW2160" s="21">
        <f t="shared" si="153"/>
        <v>0</v>
      </c>
      <c r="AX2160" s="21" t="str">
        <f t="shared" si="152"/>
        <v/>
      </c>
      <c r="AY2160" s="21" t="str">
        <f>IF(AND($AM2160&lt;&gt;"",$AS2160&lt;&gt;"✓"),SUMPRODUCT(($AM$11:$AM2160&lt;&gt;"")*($AS$11:$AS2160&lt;&gt;"✓")),"")</f>
        <v/>
      </c>
      <c r="AZ2160" s="21" t="str">
        <f>IF(AND($AM2160&lt;&gt;"",$AS2160="✓"),SUMPRODUCT(($AM$11:$AM2160&lt;&gt;"")*($AS$11:$AS2160="✓")),"")</f>
        <v/>
      </c>
      <c r="BA2160" s="21" t="str">
        <f>IF($AL2160="","",$AL2160&amp;"|"&amp;COUNTIF($AL$11:$AL2160,$AL2160))</f>
        <v/>
      </c>
    </row>
    <row r="2161" spans="38:53" ht="15" customHeight="1" x14ac:dyDescent="0.25">
      <c r="AL2161" s="17"/>
      <c r="AM2161" s="12"/>
      <c r="AN2161" s="18"/>
      <c r="AO2161" s="18"/>
      <c r="AP2161" s="10"/>
      <c r="AQ2161" s="10"/>
      <c r="AR2161" s="19"/>
      <c r="AS2161" s="20"/>
      <c r="AT2161" s="19"/>
      <c r="AV2161" s="21">
        <f>IF(AND($AL2161&lt;&gt;"",COUNTIF($AL$11:$AL2161,$AL2161)=1),1,0)</f>
        <v>0</v>
      </c>
      <c r="AW2161" s="21">
        <f t="shared" si="153"/>
        <v>0</v>
      </c>
      <c r="AX2161" s="21" t="str">
        <f t="shared" si="152"/>
        <v/>
      </c>
      <c r="AY2161" s="21" t="str">
        <f>IF(AND($AM2161&lt;&gt;"",$AS2161&lt;&gt;"✓"),SUMPRODUCT(($AM$11:$AM2161&lt;&gt;"")*($AS$11:$AS2161&lt;&gt;"✓")),"")</f>
        <v/>
      </c>
      <c r="AZ2161" s="21" t="str">
        <f>IF(AND($AM2161&lt;&gt;"",$AS2161="✓"),SUMPRODUCT(($AM$11:$AM2161&lt;&gt;"")*($AS$11:$AS2161="✓")),"")</f>
        <v/>
      </c>
      <c r="BA2161" s="21" t="str">
        <f>IF($AL2161="","",$AL2161&amp;"|"&amp;COUNTIF($AL$11:$AL2161,$AL2161))</f>
        <v/>
      </c>
    </row>
    <row r="2162" spans="38:53" ht="15" customHeight="1" x14ac:dyDescent="0.25">
      <c r="AL2162" s="31"/>
      <c r="AM2162" s="26"/>
      <c r="AN2162" s="32"/>
      <c r="AO2162" s="32"/>
      <c r="AP2162" s="24"/>
      <c r="AQ2162" s="24"/>
      <c r="AR2162" s="33"/>
      <c r="AS2162" s="34"/>
      <c r="AT2162" s="33"/>
      <c r="AV2162" s="21">
        <f>IF(AND($AL2162&lt;&gt;"",COUNTIF($AL$11:$AL2162,$AL2162)=1),1,0)</f>
        <v>0</v>
      </c>
      <c r="AW2162" s="21">
        <f t="shared" si="153"/>
        <v>0</v>
      </c>
      <c r="AX2162" s="21" t="str">
        <f t="shared" si="152"/>
        <v/>
      </c>
      <c r="AY2162" s="21" t="str">
        <f>IF(AND($AM2162&lt;&gt;"",$AS2162&lt;&gt;"✓"),SUMPRODUCT(($AM$11:$AM2162&lt;&gt;"")*($AS$11:$AS2162&lt;&gt;"✓")),"")</f>
        <v/>
      </c>
      <c r="AZ2162" s="21" t="str">
        <f>IF(AND($AM2162&lt;&gt;"",$AS2162="✓"),SUMPRODUCT(($AM$11:$AM2162&lt;&gt;"")*($AS$11:$AS2162="✓")),"")</f>
        <v/>
      </c>
      <c r="BA2162" s="21" t="str">
        <f>IF($AL2162="","",$AL2162&amp;"|"&amp;COUNTIF($AL$11:$AL2162,$AL2162))</f>
        <v/>
      </c>
    </row>
    <row r="2163" spans="38:53" ht="15" customHeight="1" x14ac:dyDescent="0.25">
      <c r="AL2163" s="17"/>
      <c r="AM2163" s="12"/>
      <c r="AN2163" s="18"/>
      <c r="AO2163" s="18"/>
      <c r="AP2163" s="10"/>
      <c r="AQ2163" s="10"/>
      <c r="AR2163" s="19"/>
      <c r="AS2163" s="20"/>
      <c r="AT2163" s="19"/>
      <c r="AV2163" s="21">
        <f>IF(AND($AL2163&lt;&gt;"",COUNTIF($AL$11:$AL2163,$AL2163)=1),1,0)</f>
        <v>0</v>
      </c>
      <c r="AW2163" s="21">
        <f t="shared" si="153"/>
        <v>0</v>
      </c>
      <c r="AX2163" s="21" t="str">
        <f t="shared" si="152"/>
        <v/>
      </c>
      <c r="AY2163" s="21" t="str">
        <f>IF(AND($AM2163&lt;&gt;"",$AS2163&lt;&gt;"✓"),SUMPRODUCT(($AM$11:$AM2163&lt;&gt;"")*($AS$11:$AS2163&lt;&gt;"✓")),"")</f>
        <v/>
      </c>
      <c r="AZ2163" s="21" t="str">
        <f>IF(AND($AM2163&lt;&gt;"",$AS2163="✓"),SUMPRODUCT(($AM$11:$AM2163&lt;&gt;"")*($AS$11:$AS2163="✓")),"")</f>
        <v/>
      </c>
      <c r="BA2163" s="21" t="str">
        <f>IF($AL2163="","",$AL2163&amp;"|"&amp;COUNTIF($AL$11:$AL2163,$AL2163))</f>
        <v/>
      </c>
    </row>
    <row r="2164" spans="38:53" ht="15" customHeight="1" x14ac:dyDescent="0.25">
      <c r="AL2164" s="31"/>
      <c r="AM2164" s="26"/>
      <c r="AN2164" s="32"/>
      <c r="AO2164" s="32"/>
      <c r="AP2164" s="24"/>
      <c r="AQ2164" s="24"/>
      <c r="AR2164" s="33"/>
      <c r="AS2164" s="34"/>
      <c r="AT2164" s="33"/>
      <c r="AV2164" s="21">
        <f>IF(AND($AL2164&lt;&gt;"",COUNTIF($AL$11:$AL2164,$AL2164)=1),1,0)</f>
        <v>0</v>
      </c>
      <c r="AW2164" s="21">
        <f t="shared" si="153"/>
        <v>0</v>
      </c>
      <c r="AX2164" s="21" t="str">
        <f t="shared" si="152"/>
        <v/>
      </c>
      <c r="AY2164" s="21" t="str">
        <f>IF(AND($AM2164&lt;&gt;"",$AS2164&lt;&gt;"✓"),SUMPRODUCT(($AM$11:$AM2164&lt;&gt;"")*($AS$11:$AS2164&lt;&gt;"✓")),"")</f>
        <v/>
      </c>
      <c r="AZ2164" s="21" t="str">
        <f>IF(AND($AM2164&lt;&gt;"",$AS2164="✓"),SUMPRODUCT(($AM$11:$AM2164&lt;&gt;"")*($AS$11:$AS2164="✓")),"")</f>
        <v/>
      </c>
      <c r="BA2164" s="21" t="str">
        <f>IF($AL2164="","",$AL2164&amp;"|"&amp;COUNTIF($AL$11:$AL2164,$AL2164))</f>
        <v/>
      </c>
    </row>
    <row r="2165" spans="38:53" ht="15" customHeight="1" x14ac:dyDescent="0.25">
      <c r="AL2165" s="17"/>
      <c r="AM2165" s="12"/>
      <c r="AN2165" s="18"/>
      <c r="AO2165" s="18"/>
      <c r="AP2165" s="10"/>
      <c r="AQ2165" s="10"/>
      <c r="AR2165" s="19"/>
      <c r="AS2165" s="20"/>
      <c r="AT2165" s="19"/>
      <c r="AV2165" s="21">
        <f>IF(AND($AL2165&lt;&gt;"",COUNTIF($AL$11:$AL2165,$AL2165)=1),1,0)</f>
        <v>0</v>
      </c>
      <c r="AW2165" s="21">
        <f t="shared" si="153"/>
        <v>0</v>
      </c>
      <c r="AX2165" s="21" t="str">
        <f t="shared" si="152"/>
        <v/>
      </c>
      <c r="AY2165" s="21" t="str">
        <f>IF(AND($AM2165&lt;&gt;"",$AS2165&lt;&gt;"✓"),SUMPRODUCT(($AM$11:$AM2165&lt;&gt;"")*($AS$11:$AS2165&lt;&gt;"✓")),"")</f>
        <v/>
      </c>
      <c r="AZ2165" s="21" t="str">
        <f>IF(AND($AM2165&lt;&gt;"",$AS2165="✓"),SUMPRODUCT(($AM$11:$AM2165&lt;&gt;"")*($AS$11:$AS2165="✓")),"")</f>
        <v/>
      </c>
      <c r="BA2165" s="21" t="str">
        <f>IF($AL2165="","",$AL2165&amp;"|"&amp;COUNTIF($AL$11:$AL2165,$AL2165))</f>
        <v/>
      </c>
    </row>
    <row r="2166" spans="38:53" ht="15" customHeight="1" x14ac:dyDescent="0.25">
      <c r="AL2166" s="31"/>
      <c r="AM2166" s="26"/>
      <c r="AN2166" s="32"/>
      <c r="AO2166" s="32"/>
      <c r="AP2166" s="24"/>
      <c r="AQ2166" s="24"/>
      <c r="AR2166" s="33"/>
      <c r="AS2166" s="34"/>
      <c r="AT2166" s="33"/>
      <c r="AV2166" s="21">
        <f>IF(AND($AL2166&lt;&gt;"",COUNTIF($AL$11:$AL2166,$AL2166)=1),1,0)</f>
        <v>0</v>
      </c>
      <c r="AW2166" s="21">
        <f t="shared" si="153"/>
        <v>0</v>
      </c>
      <c r="AX2166" s="21" t="str">
        <f t="shared" si="152"/>
        <v/>
      </c>
      <c r="AY2166" s="21" t="str">
        <f>IF(AND($AM2166&lt;&gt;"",$AS2166&lt;&gt;"✓"),SUMPRODUCT(($AM$11:$AM2166&lt;&gt;"")*($AS$11:$AS2166&lt;&gt;"✓")),"")</f>
        <v/>
      </c>
      <c r="AZ2166" s="21" t="str">
        <f>IF(AND($AM2166&lt;&gt;"",$AS2166="✓"),SUMPRODUCT(($AM$11:$AM2166&lt;&gt;"")*($AS$11:$AS2166="✓")),"")</f>
        <v/>
      </c>
      <c r="BA2166" s="21" t="str">
        <f>IF($AL2166="","",$AL2166&amp;"|"&amp;COUNTIF($AL$11:$AL2166,$AL2166))</f>
        <v/>
      </c>
    </row>
    <row r="2167" spans="38:53" ht="15" customHeight="1" x14ac:dyDescent="0.25">
      <c r="AL2167" s="17"/>
      <c r="AM2167" s="12"/>
      <c r="AN2167" s="18"/>
      <c r="AO2167" s="18"/>
      <c r="AP2167" s="10"/>
      <c r="AQ2167" s="10"/>
      <c r="AR2167" s="19"/>
      <c r="AS2167" s="20"/>
      <c r="AT2167" s="19"/>
      <c r="AV2167" s="21">
        <f>IF(AND($AL2167&lt;&gt;"",COUNTIF($AL$11:$AL2167,$AL2167)=1),1,0)</f>
        <v>0</v>
      </c>
      <c r="AW2167" s="21">
        <f t="shared" si="153"/>
        <v>0</v>
      </c>
      <c r="AX2167" s="21" t="str">
        <f t="shared" si="152"/>
        <v/>
      </c>
      <c r="AY2167" s="21" t="str">
        <f>IF(AND($AM2167&lt;&gt;"",$AS2167&lt;&gt;"✓"),SUMPRODUCT(($AM$11:$AM2167&lt;&gt;"")*($AS$11:$AS2167&lt;&gt;"✓")),"")</f>
        <v/>
      </c>
      <c r="AZ2167" s="21" t="str">
        <f>IF(AND($AM2167&lt;&gt;"",$AS2167="✓"),SUMPRODUCT(($AM$11:$AM2167&lt;&gt;"")*($AS$11:$AS2167="✓")),"")</f>
        <v/>
      </c>
      <c r="BA2167" s="21" t="str">
        <f>IF($AL2167="","",$AL2167&amp;"|"&amp;COUNTIF($AL$11:$AL2167,$AL2167))</f>
        <v/>
      </c>
    </row>
    <row r="2168" spans="38:53" ht="15" customHeight="1" x14ac:dyDescent="0.25">
      <c r="AL2168" s="31"/>
      <c r="AM2168" s="26"/>
      <c r="AN2168" s="32"/>
      <c r="AO2168" s="32"/>
      <c r="AP2168" s="24"/>
      <c r="AQ2168" s="24"/>
      <c r="AR2168" s="33"/>
      <c r="AS2168" s="34"/>
      <c r="AT2168" s="33"/>
      <c r="AV2168" s="21">
        <f>IF(AND($AL2168&lt;&gt;"",COUNTIF($AL$11:$AL2168,$AL2168)=1),1,0)</f>
        <v>0</v>
      </c>
      <c r="AW2168" s="21">
        <f t="shared" si="153"/>
        <v>0</v>
      </c>
      <c r="AX2168" s="21" t="str">
        <f t="shared" si="152"/>
        <v/>
      </c>
      <c r="AY2168" s="21" t="str">
        <f>IF(AND($AM2168&lt;&gt;"",$AS2168&lt;&gt;"✓"),SUMPRODUCT(($AM$11:$AM2168&lt;&gt;"")*($AS$11:$AS2168&lt;&gt;"✓")),"")</f>
        <v/>
      </c>
      <c r="AZ2168" s="21" t="str">
        <f>IF(AND($AM2168&lt;&gt;"",$AS2168="✓"),SUMPRODUCT(($AM$11:$AM2168&lt;&gt;"")*($AS$11:$AS2168="✓")),"")</f>
        <v/>
      </c>
      <c r="BA2168" s="21" t="str">
        <f>IF($AL2168="","",$AL2168&amp;"|"&amp;COUNTIF($AL$11:$AL2168,$AL2168))</f>
        <v/>
      </c>
    </row>
    <row r="2169" spans="38:53" ht="15" customHeight="1" x14ac:dyDescent="0.25">
      <c r="AL2169" s="17"/>
      <c r="AM2169" s="12"/>
      <c r="AN2169" s="18"/>
      <c r="AO2169" s="18"/>
      <c r="AP2169" s="10"/>
      <c r="AQ2169" s="10"/>
      <c r="AR2169" s="19"/>
      <c r="AS2169" s="20"/>
      <c r="AT2169" s="19"/>
      <c r="AV2169" s="21">
        <f>IF(AND($AL2169&lt;&gt;"",COUNTIF($AL$11:$AL2169,$AL2169)=1),1,0)</f>
        <v>0</v>
      </c>
      <c r="AW2169" s="21">
        <f t="shared" si="153"/>
        <v>0</v>
      </c>
      <c r="AX2169" s="21" t="str">
        <f t="shared" si="152"/>
        <v/>
      </c>
      <c r="AY2169" s="21" t="str">
        <f>IF(AND($AM2169&lt;&gt;"",$AS2169&lt;&gt;"✓"),SUMPRODUCT(($AM$11:$AM2169&lt;&gt;"")*($AS$11:$AS2169&lt;&gt;"✓")),"")</f>
        <v/>
      </c>
      <c r="AZ2169" s="21" t="str">
        <f>IF(AND($AM2169&lt;&gt;"",$AS2169="✓"),SUMPRODUCT(($AM$11:$AM2169&lt;&gt;"")*($AS$11:$AS2169="✓")),"")</f>
        <v/>
      </c>
      <c r="BA2169" s="21" t="str">
        <f>IF($AL2169="","",$AL2169&amp;"|"&amp;COUNTIF($AL$11:$AL2169,$AL2169))</f>
        <v/>
      </c>
    </row>
    <row r="2170" spans="38:53" ht="15" customHeight="1" x14ac:dyDescent="0.25">
      <c r="AL2170" s="31"/>
      <c r="AM2170" s="26"/>
      <c r="AN2170" s="32"/>
      <c r="AO2170" s="32"/>
      <c r="AP2170" s="24"/>
      <c r="AQ2170" s="24"/>
      <c r="AR2170" s="33"/>
      <c r="AS2170" s="34"/>
      <c r="AT2170" s="33"/>
      <c r="AV2170" s="21">
        <f>IF(AND($AL2170&lt;&gt;"",COUNTIF($AL$11:$AL2170,$AL2170)=1),1,0)</f>
        <v>0</v>
      </c>
      <c r="AW2170" s="21">
        <f t="shared" si="153"/>
        <v>0</v>
      </c>
      <c r="AX2170" s="21" t="str">
        <f t="shared" si="152"/>
        <v/>
      </c>
      <c r="AY2170" s="21" t="str">
        <f>IF(AND($AM2170&lt;&gt;"",$AS2170&lt;&gt;"✓"),SUMPRODUCT(($AM$11:$AM2170&lt;&gt;"")*($AS$11:$AS2170&lt;&gt;"✓")),"")</f>
        <v/>
      </c>
      <c r="AZ2170" s="21" t="str">
        <f>IF(AND($AM2170&lt;&gt;"",$AS2170="✓"),SUMPRODUCT(($AM$11:$AM2170&lt;&gt;"")*($AS$11:$AS2170="✓")),"")</f>
        <v/>
      </c>
      <c r="BA2170" s="21" t="str">
        <f>IF($AL2170="","",$AL2170&amp;"|"&amp;COUNTIF($AL$11:$AL2170,$AL2170))</f>
        <v/>
      </c>
    </row>
    <row r="2171" spans="38:53" ht="15" customHeight="1" x14ac:dyDescent="0.25">
      <c r="AL2171" s="17"/>
      <c r="AM2171" s="12"/>
      <c r="AN2171" s="18"/>
      <c r="AO2171" s="18"/>
      <c r="AP2171" s="10"/>
      <c r="AQ2171" s="10"/>
      <c r="AR2171" s="19"/>
      <c r="AS2171" s="20"/>
      <c r="AT2171" s="19"/>
      <c r="AV2171" s="21">
        <f>IF(AND($AL2171&lt;&gt;"",COUNTIF($AL$11:$AL2171,$AL2171)=1),1,0)</f>
        <v>0</v>
      </c>
      <c r="AW2171" s="21">
        <f t="shared" si="153"/>
        <v>0</v>
      </c>
      <c r="AX2171" s="21" t="str">
        <f t="shared" si="152"/>
        <v/>
      </c>
      <c r="AY2171" s="21" t="str">
        <f>IF(AND($AM2171&lt;&gt;"",$AS2171&lt;&gt;"✓"),SUMPRODUCT(($AM$11:$AM2171&lt;&gt;"")*($AS$11:$AS2171&lt;&gt;"✓")),"")</f>
        <v/>
      </c>
      <c r="AZ2171" s="21" t="str">
        <f>IF(AND($AM2171&lt;&gt;"",$AS2171="✓"),SUMPRODUCT(($AM$11:$AM2171&lt;&gt;"")*($AS$11:$AS2171="✓")),"")</f>
        <v/>
      </c>
      <c r="BA2171" s="21" t="str">
        <f>IF($AL2171="","",$AL2171&amp;"|"&amp;COUNTIF($AL$11:$AL2171,$AL2171))</f>
        <v/>
      </c>
    </row>
    <row r="2172" spans="38:53" ht="15" customHeight="1" x14ac:dyDescent="0.25">
      <c r="AL2172" s="31"/>
      <c r="AM2172" s="26"/>
      <c r="AN2172" s="32"/>
      <c r="AO2172" s="32"/>
      <c r="AP2172" s="24"/>
      <c r="AQ2172" s="24"/>
      <c r="AR2172" s="33"/>
      <c r="AS2172" s="34"/>
      <c r="AT2172" s="33"/>
      <c r="AV2172" s="21">
        <f>IF(AND($AL2172&lt;&gt;"",COUNTIF($AL$11:$AL2172,$AL2172)=1),1,0)</f>
        <v>0</v>
      </c>
      <c r="AW2172" s="21">
        <f t="shared" si="153"/>
        <v>0</v>
      </c>
      <c r="AX2172" s="21" t="str">
        <f t="shared" si="152"/>
        <v/>
      </c>
      <c r="AY2172" s="21" t="str">
        <f>IF(AND($AM2172&lt;&gt;"",$AS2172&lt;&gt;"✓"),SUMPRODUCT(($AM$11:$AM2172&lt;&gt;"")*($AS$11:$AS2172&lt;&gt;"✓")),"")</f>
        <v/>
      </c>
      <c r="AZ2172" s="21" t="str">
        <f>IF(AND($AM2172&lt;&gt;"",$AS2172="✓"),SUMPRODUCT(($AM$11:$AM2172&lt;&gt;"")*($AS$11:$AS2172="✓")),"")</f>
        <v/>
      </c>
      <c r="BA2172" s="21" t="str">
        <f>IF($AL2172="","",$AL2172&amp;"|"&amp;COUNTIF($AL$11:$AL2172,$AL2172))</f>
        <v/>
      </c>
    </row>
    <row r="2173" spans="38:53" ht="15" customHeight="1" x14ac:dyDescent="0.25">
      <c r="AL2173" s="17"/>
      <c r="AM2173" s="12"/>
      <c r="AN2173" s="18"/>
      <c r="AO2173" s="18"/>
      <c r="AP2173" s="10"/>
      <c r="AQ2173" s="10"/>
      <c r="AR2173" s="19"/>
      <c r="AS2173" s="20"/>
      <c r="AT2173" s="19"/>
      <c r="AV2173" s="21">
        <f>IF(AND($AL2173&lt;&gt;"",COUNTIF($AL$11:$AL2173,$AL2173)=1),1,0)</f>
        <v>0</v>
      </c>
      <c r="AW2173" s="21">
        <f t="shared" si="153"/>
        <v>0</v>
      </c>
      <c r="AX2173" s="21" t="str">
        <f t="shared" si="152"/>
        <v/>
      </c>
      <c r="AY2173" s="21" t="str">
        <f>IF(AND($AM2173&lt;&gt;"",$AS2173&lt;&gt;"✓"),SUMPRODUCT(($AM$11:$AM2173&lt;&gt;"")*($AS$11:$AS2173&lt;&gt;"✓")),"")</f>
        <v/>
      </c>
      <c r="AZ2173" s="21" t="str">
        <f>IF(AND($AM2173&lt;&gt;"",$AS2173="✓"),SUMPRODUCT(($AM$11:$AM2173&lt;&gt;"")*($AS$11:$AS2173="✓")),"")</f>
        <v/>
      </c>
      <c r="BA2173" s="21" t="str">
        <f>IF($AL2173="","",$AL2173&amp;"|"&amp;COUNTIF($AL$11:$AL2173,$AL2173))</f>
        <v/>
      </c>
    </row>
    <row r="2174" spans="38:53" ht="15" customHeight="1" x14ac:dyDescent="0.25">
      <c r="AL2174" s="31"/>
      <c r="AM2174" s="26"/>
      <c r="AN2174" s="32"/>
      <c r="AO2174" s="32"/>
      <c r="AP2174" s="24"/>
      <c r="AQ2174" s="24"/>
      <c r="AR2174" s="33"/>
      <c r="AS2174" s="34"/>
      <c r="AT2174" s="33"/>
      <c r="AV2174" s="21">
        <f>IF(AND($AL2174&lt;&gt;"",COUNTIF($AL$11:$AL2174,$AL2174)=1),1,0)</f>
        <v>0</v>
      </c>
      <c r="AW2174" s="21">
        <f t="shared" si="153"/>
        <v>0</v>
      </c>
      <c r="AX2174" s="21" t="str">
        <f t="shared" si="152"/>
        <v/>
      </c>
      <c r="AY2174" s="21" t="str">
        <f>IF(AND($AM2174&lt;&gt;"",$AS2174&lt;&gt;"✓"),SUMPRODUCT(($AM$11:$AM2174&lt;&gt;"")*($AS$11:$AS2174&lt;&gt;"✓")),"")</f>
        <v/>
      </c>
      <c r="AZ2174" s="21" t="str">
        <f>IF(AND($AM2174&lt;&gt;"",$AS2174="✓"),SUMPRODUCT(($AM$11:$AM2174&lt;&gt;"")*($AS$11:$AS2174="✓")),"")</f>
        <v/>
      </c>
      <c r="BA2174" s="21" t="str">
        <f>IF($AL2174="","",$AL2174&amp;"|"&amp;COUNTIF($AL$11:$AL2174,$AL2174))</f>
        <v/>
      </c>
    </row>
    <row r="2175" spans="38:53" ht="15" customHeight="1" x14ac:dyDescent="0.25">
      <c r="AL2175" s="17"/>
      <c r="AM2175" s="12"/>
      <c r="AN2175" s="18"/>
      <c r="AO2175" s="18"/>
      <c r="AP2175" s="10"/>
      <c r="AQ2175" s="10"/>
      <c r="AR2175" s="19"/>
      <c r="AS2175" s="20"/>
      <c r="AT2175" s="19"/>
      <c r="AV2175" s="21">
        <f>IF(AND($AL2175&lt;&gt;"",COUNTIF($AL$11:$AL2175,$AL2175)=1),1,0)</f>
        <v>0</v>
      </c>
      <c r="AW2175" s="21">
        <f t="shared" si="153"/>
        <v>0</v>
      </c>
      <c r="AX2175" s="21" t="str">
        <f t="shared" si="152"/>
        <v/>
      </c>
      <c r="AY2175" s="21" t="str">
        <f>IF(AND($AM2175&lt;&gt;"",$AS2175&lt;&gt;"✓"),SUMPRODUCT(($AM$11:$AM2175&lt;&gt;"")*($AS$11:$AS2175&lt;&gt;"✓")),"")</f>
        <v/>
      </c>
      <c r="AZ2175" s="21" t="str">
        <f>IF(AND($AM2175&lt;&gt;"",$AS2175="✓"),SUMPRODUCT(($AM$11:$AM2175&lt;&gt;"")*($AS$11:$AS2175="✓")),"")</f>
        <v/>
      </c>
      <c r="BA2175" s="21" t="str">
        <f>IF($AL2175="","",$AL2175&amp;"|"&amp;COUNTIF($AL$11:$AL2175,$AL2175))</f>
        <v/>
      </c>
    </row>
    <row r="2176" spans="38:53" ht="15" customHeight="1" x14ac:dyDescent="0.25">
      <c r="AL2176" s="31"/>
      <c r="AM2176" s="26"/>
      <c r="AN2176" s="32"/>
      <c r="AO2176" s="32"/>
      <c r="AP2176" s="24"/>
      <c r="AQ2176" s="24"/>
      <c r="AR2176" s="33"/>
      <c r="AS2176" s="34"/>
      <c r="AT2176" s="33"/>
      <c r="AV2176" s="21">
        <f>IF(AND($AL2176&lt;&gt;"",COUNTIF($AL$11:$AL2176,$AL2176)=1),1,0)</f>
        <v>0</v>
      </c>
      <c r="AW2176" s="21">
        <f t="shared" si="153"/>
        <v>0</v>
      </c>
      <c r="AX2176" s="21" t="str">
        <f t="shared" si="152"/>
        <v/>
      </c>
      <c r="AY2176" s="21" t="str">
        <f>IF(AND($AM2176&lt;&gt;"",$AS2176&lt;&gt;"✓"),SUMPRODUCT(($AM$11:$AM2176&lt;&gt;"")*($AS$11:$AS2176&lt;&gt;"✓")),"")</f>
        <v/>
      </c>
      <c r="AZ2176" s="21" t="str">
        <f>IF(AND($AM2176&lt;&gt;"",$AS2176="✓"),SUMPRODUCT(($AM$11:$AM2176&lt;&gt;"")*($AS$11:$AS2176="✓")),"")</f>
        <v/>
      </c>
      <c r="BA2176" s="21" t="str">
        <f>IF($AL2176="","",$AL2176&amp;"|"&amp;COUNTIF($AL$11:$AL2176,$AL2176))</f>
        <v/>
      </c>
    </row>
    <row r="2177" spans="38:53" ht="15" customHeight="1" x14ac:dyDescent="0.25">
      <c r="AL2177" s="17"/>
      <c r="AM2177" s="12"/>
      <c r="AN2177" s="18"/>
      <c r="AO2177" s="18"/>
      <c r="AP2177" s="10"/>
      <c r="AQ2177" s="10"/>
      <c r="AR2177" s="19"/>
      <c r="AS2177" s="20"/>
      <c r="AT2177" s="19"/>
      <c r="AV2177" s="21">
        <f>IF(AND($AL2177&lt;&gt;"",COUNTIF($AL$11:$AL2177,$AL2177)=1),1,0)</f>
        <v>0</v>
      </c>
      <c r="AW2177" s="21">
        <f t="shared" si="153"/>
        <v>0</v>
      </c>
      <c r="AX2177" s="21" t="str">
        <f t="shared" si="152"/>
        <v/>
      </c>
      <c r="AY2177" s="21" t="str">
        <f>IF(AND($AM2177&lt;&gt;"",$AS2177&lt;&gt;"✓"),SUMPRODUCT(($AM$11:$AM2177&lt;&gt;"")*($AS$11:$AS2177&lt;&gt;"✓")),"")</f>
        <v/>
      </c>
      <c r="AZ2177" s="21" t="str">
        <f>IF(AND($AM2177&lt;&gt;"",$AS2177="✓"),SUMPRODUCT(($AM$11:$AM2177&lt;&gt;"")*($AS$11:$AS2177="✓")),"")</f>
        <v/>
      </c>
      <c r="BA2177" s="21" t="str">
        <f>IF($AL2177="","",$AL2177&amp;"|"&amp;COUNTIF($AL$11:$AL2177,$AL2177))</f>
        <v/>
      </c>
    </row>
    <row r="2178" spans="38:53" ht="15" customHeight="1" x14ac:dyDescent="0.25">
      <c r="AL2178" s="31"/>
      <c r="AM2178" s="26"/>
      <c r="AN2178" s="32"/>
      <c r="AO2178" s="32"/>
      <c r="AP2178" s="24"/>
      <c r="AQ2178" s="24"/>
      <c r="AR2178" s="33"/>
      <c r="AS2178" s="34"/>
      <c r="AT2178" s="33"/>
      <c r="AV2178" s="21">
        <f>IF(AND($AL2178&lt;&gt;"",COUNTIF($AL$11:$AL2178,$AL2178)=1),1,0)</f>
        <v>0</v>
      </c>
      <c r="AW2178" s="21">
        <f t="shared" si="153"/>
        <v>0</v>
      </c>
      <c r="AX2178" s="21" t="str">
        <f t="shared" si="152"/>
        <v/>
      </c>
      <c r="AY2178" s="21" t="str">
        <f>IF(AND($AM2178&lt;&gt;"",$AS2178&lt;&gt;"✓"),SUMPRODUCT(($AM$11:$AM2178&lt;&gt;"")*($AS$11:$AS2178&lt;&gt;"✓")),"")</f>
        <v/>
      </c>
      <c r="AZ2178" s="21" t="str">
        <f>IF(AND($AM2178&lt;&gt;"",$AS2178="✓"),SUMPRODUCT(($AM$11:$AM2178&lt;&gt;"")*($AS$11:$AS2178="✓")),"")</f>
        <v/>
      </c>
      <c r="BA2178" s="21" t="str">
        <f>IF($AL2178="","",$AL2178&amp;"|"&amp;COUNTIF($AL$11:$AL2178,$AL2178))</f>
        <v/>
      </c>
    </row>
    <row r="2179" spans="38:53" ht="15" customHeight="1" x14ac:dyDescent="0.25">
      <c r="AL2179" s="17"/>
      <c r="AM2179" s="12"/>
      <c r="AN2179" s="18"/>
      <c r="AO2179" s="18"/>
      <c r="AP2179" s="10"/>
      <c r="AQ2179" s="10"/>
      <c r="AR2179" s="19"/>
      <c r="AS2179" s="20"/>
      <c r="AT2179" s="19"/>
      <c r="AV2179" s="21">
        <f>IF(AND($AL2179&lt;&gt;"",COUNTIF($AL$11:$AL2179,$AL2179)=1),1,0)</f>
        <v>0</v>
      </c>
      <c r="AW2179" s="21">
        <f t="shared" si="153"/>
        <v>0</v>
      </c>
      <c r="AX2179" s="21" t="str">
        <f t="shared" si="152"/>
        <v/>
      </c>
      <c r="AY2179" s="21" t="str">
        <f>IF(AND($AM2179&lt;&gt;"",$AS2179&lt;&gt;"✓"),SUMPRODUCT(($AM$11:$AM2179&lt;&gt;"")*($AS$11:$AS2179&lt;&gt;"✓")),"")</f>
        <v/>
      </c>
      <c r="AZ2179" s="21" t="str">
        <f>IF(AND($AM2179&lt;&gt;"",$AS2179="✓"),SUMPRODUCT(($AM$11:$AM2179&lt;&gt;"")*($AS$11:$AS2179="✓")),"")</f>
        <v/>
      </c>
      <c r="BA2179" s="21" t="str">
        <f>IF($AL2179="","",$AL2179&amp;"|"&amp;COUNTIF($AL$11:$AL2179,$AL2179))</f>
        <v/>
      </c>
    </row>
    <row r="2180" spans="38:53" ht="15" customHeight="1" x14ac:dyDescent="0.25">
      <c r="AL2180" s="31"/>
      <c r="AM2180" s="26"/>
      <c r="AN2180" s="32"/>
      <c r="AO2180" s="32"/>
      <c r="AP2180" s="24"/>
      <c r="AQ2180" s="24"/>
      <c r="AR2180" s="33"/>
      <c r="AS2180" s="34"/>
      <c r="AT2180" s="33"/>
      <c r="AV2180" s="21">
        <f>IF(AND($AL2180&lt;&gt;"",COUNTIF($AL$11:$AL2180,$AL2180)=1),1,0)</f>
        <v>0</v>
      </c>
      <c r="AW2180" s="21">
        <f t="shared" si="153"/>
        <v>0</v>
      </c>
      <c r="AX2180" s="21" t="str">
        <f t="shared" si="152"/>
        <v/>
      </c>
      <c r="AY2180" s="21" t="str">
        <f>IF(AND($AM2180&lt;&gt;"",$AS2180&lt;&gt;"✓"),SUMPRODUCT(($AM$11:$AM2180&lt;&gt;"")*($AS$11:$AS2180&lt;&gt;"✓")),"")</f>
        <v/>
      </c>
      <c r="AZ2180" s="21" t="str">
        <f>IF(AND($AM2180&lt;&gt;"",$AS2180="✓"),SUMPRODUCT(($AM$11:$AM2180&lt;&gt;"")*($AS$11:$AS2180="✓")),"")</f>
        <v/>
      </c>
      <c r="BA2180" s="21" t="str">
        <f>IF($AL2180="","",$AL2180&amp;"|"&amp;COUNTIF($AL$11:$AL2180,$AL2180))</f>
        <v/>
      </c>
    </row>
    <row r="2181" spans="38:53" ht="15" customHeight="1" x14ac:dyDescent="0.25">
      <c r="AL2181" s="17"/>
      <c r="AM2181" s="12"/>
      <c r="AN2181" s="18"/>
      <c r="AO2181" s="18"/>
      <c r="AP2181" s="10"/>
      <c r="AQ2181" s="10"/>
      <c r="AR2181" s="19"/>
      <c r="AS2181" s="20"/>
      <c r="AT2181" s="19"/>
      <c r="AV2181" s="21">
        <f>IF(AND($AL2181&lt;&gt;"",COUNTIF($AL$11:$AL2181,$AL2181)=1),1,0)</f>
        <v>0</v>
      </c>
      <c r="AW2181" s="21">
        <f t="shared" si="153"/>
        <v>0</v>
      </c>
      <c r="AX2181" s="21" t="str">
        <f t="shared" si="152"/>
        <v/>
      </c>
      <c r="AY2181" s="21" t="str">
        <f>IF(AND($AM2181&lt;&gt;"",$AS2181&lt;&gt;"✓"),SUMPRODUCT(($AM$11:$AM2181&lt;&gt;"")*($AS$11:$AS2181&lt;&gt;"✓")),"")</f>
        <v/>
      </c>
      <c r="AZ2181" s="21" t="str">
        <f>IF(AND($AM2181&lt;&gt;"",$AS2181="✓"),SUMPRODUCT(($AM$11:$AM2181&lt;&gt;"")*($AS$11:$AS2181="✓")),"")</f>
        <v/>
      </c>
      <c r="BA2181" s="21" t="str">
        <f>IF($AL2181="","",$AL2181&amp;"|"&amp;COUNTIF($AL$11:$AL2181,$AL2181))</f>
        <v/>
      </c>
    </row>
    <row r="2182" spans="38:53" ht="15" customHeight="1" x14ac:dyDescent="0.25">
      <c r="AL2182" s="31"/>
      <c r="AM2182" s="26"/>
      <c r="AN2182" s="32"/>
      <c r="AO2182" s="32"/>
      <c r="AP2182" s="24"/>
      <c r="AQ2182" s="24"/>
      <c r="AR2182" s="33"/>
      <c r="AS2182" s="34"/>
      <c r="AT2182" s="33"/>
      <c r="AV2182" s="21">
        <f>IF(AND($AL2182&lt;&gt;"",COUNTIF($AL$11:$AL2182,$AL2182)=1),1,0)</f>
        <v>0</v>
      </c>
      <c r="AW2182" s="21">
        <f t="shared" si="153"/>
        <v>0</v>
      </c>
      <c r="AX2182" s="21" t="str">
        <f t="shared" si="152"/>
        <v/>
      </c>
      <c r="AY2182" s="21" t="str">
        <f>IF(AND($AM2182&lt;&gt;"",$AS2182&lt;&gt;"✓"),SUMPRODUCT(($AM$11:$AM2182&lt;&gt;"")*($AS$11:$AS2182&lt;&gt;"✓")),"")</f>
        <v/>
      </c>
      <c r="AZ2182" s="21" t="str">
        <f>IF(AND($AM2182&lt;&gt;"",$AS2182="✓"),SUMPRODUCT(($AM$11:$AM2182&lt;&gt;"")*($AS$11:$AS2182="✓")),"")</f>
        <v/>
      </c>
      <c r="BA2182" s="21" t="str">
        <f>IF($AL2182="","",$AL2182&amp;"|"&amp;COUNTIF($AL$11:$AL2182,$AL2182))</f>
        <v/>
      </c>
    </row>
    <row r="2183" spans="38:53" ht="15" customHeight="1" x14ac:dyDescent="0.25">
      <c r="AL2183" s="17"/>
      <c r="AM2183" s="12"/>
      <c r="AN2183" s="18"/>
      <c r="AO2183" s="18"/>
      <c r="AP2183" s="10"/>
      <c r="AQ2183" s="10"/>
      <c r="AR2183" s="19"/>
      <c r="AS2183" s="20"/>
      <c r="AT2183" s="19"/>
      <c r="AV2183" s="21">
        <f>IF(AND($AL2183&lt;&gt;"",COUNTIF($AL$11:$AL2183,$AL2183)=1),1,0)</f>
        <v>0</v>
      </c>
      <c r="AW2183" s="21">
        <f t="shared" si="153"/>
        <v>0</v>
      </c>
      <c r="AX2183" s="21" t="str">
        <f t="shared" si="152"/>
        <v/>
      </c>
      <c r="AY2183" s="21" t="str">
        <f>IF(AND($AM2183&lt;&gt;"",$AS2183&lt;&gt;"✓"),SUMPRODUCT(($AM$11:$AM2183&lt;&gt;"")*($AS$11:$AS2183&lt;&gt;"✓")),"")</f>
        <v/>
      </c>
      <c r="AZ2183" s="21" t="str">
        <f>IF(AND($AM2183&lt;&gt;"",$AS2183="✓"),SUMPRODUCT(($AM$11:$AM2183&lt;&gt;"")*($AS$11:$AS2183="✓")),"")</f>
        <v/>
      </c>
      <c r="BA2183" s="21" t="str">
        <f>IF($AL2183="","",$AL2183&amp;"|"&amp;COUNTIF($AL$11:$AL2183,$AL2183))</f>
        <v/>
      </c>
    </row>
    <row r="2184" spans="38:53" ht="15" customHeight="1" x14ac:dyDescent="0.25">
      <c r="AL2184" s="31"/>
      <c r="AM2184" s="26"/>
      <c r="AN2184" s="32"/>
      <c r="AO2184" s="32"/>
      <c r="AP2184" s="24"/>
      <c r="AQ2184" s="24"/>
      <c r="AR2184" s="33"/>
      <c r="AS2184" s="34"/>
      <c r="AT2184" s="33"/>
      <c r="AV2184" s="21">
        <f>IF(AND($AL2184&lt;&gt;"",COUNTIF($AL$11:$AL2184,$AL2184)=1),1,0)</f>
        <v>0</v>
      </c>
      <c r="AW2184" s="21">
        <f t="shared" si="153"/>
        <v>0</v>
      </c>
      <c r="AX2184" s="21" t="str">
        <f t="shared" si="152"/>
        <v/>
      </c>
      <c r="AY2184" s="21" t="str">
        <f>IF(AND($AM2184&lt;&gt;"",$AS2184&lt;&gt;"✓"),SUMPRODUCT(($AM$11:$AM2184&lt;&gt;"")*($AS$11:$AS2184&lt;&gt;"✓")),"")</f>
        <v/>
      </c>
      <c r="AZ2184" s="21" t="str">
        <f>IF(AND($AM2184&lt;&gt;"",$AS2184="✓"),SUMPRODUCT(($AM$11:$AM2184&lt;&gt;"")*($AS$11:$AS2184="✓")),"")</f>
        <v/>
      </c>
      <c r="BA2184" s="21" t="str">
        <f>IF($AL2184="","",$AL2184&amp;"|"&amp;COUNTIF($AL$11:$AL2184,$AL2184))</f>
        <v/>
      </c>
    </row>
    <row r="2185" spans="38:53" ht="15" customHeight="1" x14ac:dyDescent="0.25">
      <c r="AL2185" s="17"/>
      <c r="AM2185" s="12"/>
      <c r="AN2185" s="18"/>
      <c r="AO2185" s="18"/>
      <c r="AP2185" s="10"/>
      <c r="AQ2185" s="10"/>
      <c r="AR2185" s="19"/>
      <c r="AS2185" s="20"/>
      <c r="AT2185" s="19"/>
      <c r="AV2185" s="21">
        <f>IF(AND($AL2185&lt;&gt;"",COUNTIF($AL$11:$AL2185,$AL2185)=1),1,0)</f>
        <v>0</v>
      </c>
      <c r="AW2185" s="21">
        <f t="shared" si="153"/>
        <v>0</v>
      </c>
      <c r="AX2185" s="21" t="str">
        <f t="shared" si="152"/>
        <v/>
      </c>
      <c r="AY2185" s="21" t="str">
        <f>IF(AND($AM2185&lt;&gt;"",$AS2185&lt;&gt;"✓"),SUMPRODUCT(($AM$11:$AM2185&lt;&gt;"")*($AS$11:$AS2185&lt;&gt;"✓")),"")</f>
        <v/>
      </c>
      <c r="AZ2185" s="21" t="str">
        <f>IF(AND($AM2185&lt;&gt;"",$AS2185="✓"),SUMPRODUCT(($AM$11:$AM2185&lt;&gt;"")*($AS$11:$AS2185="✓")),"")</f>
        <v/>
      </c>
      <c r="BA2185" s="21" t="str">
        <f>IF($AL2185="","",$AL2185&amp;"|"&amp;COUNTIF($AL$11:$AL2185,$AL2185))</f>
        <v/>
      </c>
    </row>
    <row r="2186" spans="38:53" ht="15" customHeight="1" x14ac:dyDescent="0.25">
      <c r="AL2186" s="31"/>
      <c r="AM2186" s="26"/>
      <c r="AN2186" s="32"/>
      <c r="AO2186" s="32"/>
      <c r="AP2186" s="24"/>
      <c r="AQ2186" s="24"/>
      <c r="AR2186" s="33"/>
      <c r="AS2186" s="34"/>
      <c r="AT2186" s="33"/>
      <c r="AV2186" s="21">
        <f>IF(AND($AL2186&lt;&gt;"",COUNTIF($AL$11:$AL2186,$AL2186)=1),1,0)</f>
        <v>0</v>
      </c>
      <c r="AW2186" s="21">
        <f t="shared" si="153"/>
        <v>0</v>
      </c>
      <c r="AX2186" s="21" t="str">
        <f t="shared" si="152"/>
        <v/>
      </c>
      <c r="AY2186" s="21" t="str">
        <f>IF(AND($AM2186&lt;&gt;"",$AS2186&lt;&gt;"✓"),SUMPRODUCT(($AM$11:$AM2186&lt;&gt;"")*($AS$11:$AS2186&lt;&gt;"✓")),"")</f>
        <v/>
      </c>
      <c r="AZ2186" s="21" t="str">
        <f>IF(AND($AM2186&lt;&gt;"",$AS2186="✓"),SUMPRODUCT(($AM$11:$AM2186&lt;&gt;"")*($AS$11:$AS2186="✓")),"")</f>
        <v/>
      </c>
      <c r="BA2186" s="21" t="str">
        <f>IF($AL2186="","",$AL2186&amp;"|"&amp;COUNTIF($AL$11:$AL2186,$AL2186))</f>
        <v/>
      </c>
    </row>
    <row r="2187" spans="38:53" ht="15" customHeight="1" x14ac:dyDescent="0.25">
      <c r="AL2187" s="17"/>
      <c r="AM2187" s="12"/>
      <c r="AN2187" s="18"/>
      <c r="AO2187" s="18"/>
      <c r="AP2187" s="10"/>
      <c r="AQ2187" s="10"/>
      <c r="AR2187" s="19"/>
      <c r="AS2187" s="20"/>
      <c r="AT2187" s="19"/>
      <c r="AV2187" s="21">
        <f>IF(AND($AL2187&lt;&gt;"",COUNTIF($AL$11:$AL2187,$AL2187)=1),1,0)</f>
        <v>0</v>
      </c>
      <c r="AW2187" s="21">
        <f t="shared" si="153"/>
        <v>0</v>
      </c>
      <c r="AX2187" s="21" t="str">
        <f t="shared" ref="AX2187:AX2250" si="154">IF(AV2187=1,AW2187,"")</f>
        <v/>
      </c>
      <c r="AY2187" s="21" t="str">
        <f>IF(AND($AM2187&lt;&gt;"",$AS2187&lt;&gt;"✓"),SUMPRODUCT(($AM$11:$AM2187&lt;&gt;"")*($AS$11:$AS2187&lt;&gt;"✓")),"")</f>
        <v/>
      </c>
      <c r="AZ2187" s="21" t="str">
        <f>IF(AND($AM2187&lt;&gt;"",$AS2187="✓"),SUMPRODUCT(($AM$11:$AM2187&lt;&gt;"")*($AS$11:$AS2187="✓")),"")</f>
        <v/>
      </c>
      <c r="BA2187" s="21" t="str">
        <f>IF($AL2187="","",$AL2187&amp;"|"&amp;COUNTIF($AL$11:$AL2187,$AL2187))</f>
        <v/>
      </c>
    </row>
    <row r="2188" spans="38:53" ht="15" customHeight="1" x14ac:dyDescent="0.25">
      <c r="AL2188" s="31"/>
      <c r="AM2188" s="26"/>
      <c r="AN2188" s="32"/>
      <c r="AO2188" s="32"/>
      <c r="AP2188" s="24"/>
      <c r="AQ2188" s="24"/>
      <c r="AR2188" s="33"/>
      <c r="AS2188" s="34"/>
      <c r="AT2188" s="33"/>
      <c r="AV2188" s="21">
        <f>IF(AND($AL2188&lt;&gt;"",COUNTIF($AL$11:$AL2188,$AL2188)=1),1,0)</f>
        <v>0</v>
      </c>
      <c r="AW2188" s="21">
        <f t="shared" ref="AW2188:AW2251" si="155">AW2187+AV2188</f>
        <v>0</v>
      </c>
      <c r="AX2188" s="21" t="str">
        <f t="shared" si="154"/>
        <v/>
      </c>
      <c r="AY2188" s="21" t="str">
        <f>IF(AND($AM2188&lt;&gt;"",$AS2188&lt;&gt;"✓"),SUMPRODUCT(($AM$11:$AM2188&lt;&gt;"")*($AS$11:$AS2188&lt;&gt;"✓")),"")</f>
        <v/>
      </c>
      <c r="AZ2188" s="21" t="str">
        <f>IF(AND($AM2188&lt;&gt;"",$AS2188="✓"),SUMPRODUCT(($AM$11:$AM2188&lt;&gt;"")*($AS$11:$AS2188="✓")),"")</f>
        <v/>
      </c>
      <c r="BA2188" s="21" t="str">
        <f>IF($AL2188="","",$AL2188&amp;"|"&amp;COUNTIF($AL$11:$AL2188,$AL2188))</f>
        <v/>
      </c>
    </row>
    <row r="2189" spans="38:53" ht="15" customHeight="1" x14ac:dyDescent="0.25">
      <c r="AL2189" s="17"/>
      <c r="AM2189" s="12"/>
      <c r="AN2189" s="18"/>
      <c r="AO2189" s="18"/>
      <c r="AP2189" s="10"/>
      <c r="AQ2189" s="10"/>
      <c r="AR2189" s="19"/>
      <c r="AS2189" s="20"/>
      <c r="AT2189" s="19"/>
      <c r="AV2189" s="21">
        <f>IF(AND($AL2189&lt;&gt;"",COUNTIF($AL$11:$AL2189,$AL2189)=1),1,0)</f>
        <v>0</v>
      </c>
      <c r="AW2189" s="21">
        <f t="shared" si="155"/>
        <v>0</v>
      </c>
      <c r="AX2189" s="21" t="str">
        <f t="shared" si="154"/>
        <v/>
      </c>
      <c r="AY2189" s="21" t="str">
        <f>IF(AND($AM2189&lt;&gt;"",$AS2189&lt;&gt;"✓"),SUMPRODUCT(($AM$11:$AM2189&lt;&gt;"")*($AS$11:$AS2189&lt;&gt;"✓")),"")</f>
        <v/>
      </c>
      <c r="AZ2189" s="21" t="str">
        <f>IF(AND($AM2189&lt;&gt;"",$AS2189="✓"),SUMPRODUCT(($AM$11:$AM2189&lt;&gt;"")*($AS$11:$AS2189="✓")),"")</f>
        <v/>
      </c>
      <c r="BA2189" s="21" t="str">
        <f>IF($AL2189="","",$AL2189&amp;"|"&amp;COUNTIF($AL$11:$AL2189,$AL2189))</f>
        <v/>
      </c>
    </row>
    <row r="2190" spans="38:53" ht="15" customHeight="1" x14ac:dyDescent="0.25">
      <c r="AL2190" s="31"/>
      <c r="AM2190" s="26"/>
      <c r="AN2190" s="32"/>
      <c r="AO2190" s="32"/>
      <c r="AP2190" s="24"/>
      <c r="AQ2190" s="24"/>
      <c r="AR2190" s="33"/>
      <c r="AS2190" s="34"/>
      <c r="AT2190" s="33"/>
      <c r="AV2190" s="21">
        <f>IF(AND($AL2190&lt;&gt;"",COUNTIF($AL$11:$AL2190,$AL2190)=1),1,0)</f>
        <v>0</v>
      </c>
      <c r="AW2190" s="21">
        <f t="shared" si="155"/>
        <v>0</v>
      </c>
      <c r="AX2190" s="21" t="str">
        <f t="shared" si="154"/>
        <v/>
      </c>
      <c r="AY2190" s="21" t="str">
        <f>IF(AND($AM2190&lt;&gt;"",$AS2190&lt;&gt;"✓"),SUMPRODUCT(($AM$11:$AM2190&lt;&gt;"")*($AS$11:$AS2190&lt;&gt;"✓")),"")</f>
        <v/>
      </c>
      <c r="AZ2190" s="21" t="str">
        <f>IF(AND($AM2190&lt;&gt;"",$AS2190="✓"),SUMPRODUCT(($AM$11:$AM2190&lt;&gt;"")*($AS$11:$AS2190="✓")),"")</f>
        <v/>
      </c>
      <c r="BA2190" s="21" t="str">
        <f>IF($AL2190="","",$AL2190&amp;"|"&amp;COUNTIF($AL$11:$AL2190,$AL2190))</f>
        <v/>
      </c>
    </row>
    <row r="2191" spans="38:53" ht="15" customHeight="1" x14ac:dyDescent="0.25">
      <c r="AL2191" s="17"/>
      <c r="AM2191" s="12"/>
      <c r="AN2191" s="18"/>
      <c r="AO2191" s="18"/>
      <c r="AP2191" s="10"/>
      <c r="AQ2191" s="10"/>
      <c r="AR2191" s="19"/>
      <c r="AS2191" s="20"/>
      <c r="AT2191" s="19"/>
      <c r="AV2191" s="21">
        <f>IF(AND($AL2191&lt;&gt;"",COUNTIF($AL$11:$AL2191,$AL2191)=1),1,0)</f>
        <v>0</v>
      </c>
      <c r="AW2191" s="21">
        <f t="shared" si="155"/>
        <v>0</v>
      </c>
      <c r="AX2191" s="21" t="str">
        <f t="shared" si="154"/>
        <v/>
      </c>
      <c r="AY2191" s="21" t="str">
        <f>IF(AND($AM2191&lt;&gt;"",$AS2191&lt;&gt;"✓"),SUMPRODUCT(($AM$11:$AM2191&lt;&gt;"")*($AS$11:$AS2191&lt;&gt;"✓")),"")</f>
        <v/>
      </c>
      <c r="AZ2191" s="21" t="str">
        <f>IF(AND($AM2191&lt;&gt;"",$AS2191="✓"),SUMPRODUCT(($AM$11:$AM2191&lt;&gt;"")*($AS$11:$AS2191="✓")),"")</f>
        <v/>
      </c>
      <c r="BA2191" s="21" t="str">
        <f>IF($AL2191="","",$AL2191&amp;"|"&amp;COUNTIF($AL$11:$AL2191,$AL2191))</f>
        <v/>
      </c>
    </row>
    <row r="2192" spans="38:53" ht="15" customHeight="1" x14ac:dyDescent="0.25">
      <c r="AL2192" s="31"/>
      <c r="AM2192" s="26"/>
      <c r="AN2192" s="32"/>
      <c r="AO2192" s="32"/>
      <c r="AP2192" s="24"/>
      <c r="AQ2192" s="24"/>
      <c r="AR2192" s="33"/>
      <c r="AS2192" s="34"/>
      <c r="AT2192" s="33"/>
      <c r="AV2192" s="21">
        <f>IF(AND($AL2192&lt;&gt;"",COUNTIF($AL$11:$AL2192,$AL2192)=1),1,0)</f>
        <v>0</v>
      </c>
      <c r="AW2192" s="21">
        <f t="shared" si="155"/>
        <v>0</v>
      </c>
      <c r="AX2192" s="21" t="str">
        <f t="shared" si="154"/>
        <v/>
      </c>
      <c r="AY2192" s="21" t="str">
        <f>IF(AND($AM2192&lt;&gt;"",$AS2192&lt;&gt;"✓"),SUMPRODUCT(($AM$11:$AM2192&lt;&gt;"")*($AS$11:$AS2192&lt;&gt;"✓")),"")</f>
        <v/>
      </c>
      <c r="AZ2192" s="21" t="str">
        <f>IF(AND($AM2192&lt;&gt;"",$AS2192="✓"),SUMPRODUCT(($AM$11:$AM2192&lt;&gt;"")*($AS$11:$AS2192="✓")),"")</f>
        <v/>
      </c>
      <c r="BA2192" s="21" t="str">
        <f>IF($AL2192="","",$AL2192&amp;"|"&amp;COUNTIF($AL$11:$AL2192,$AL2192))</f>
        <v/>
      </c>
    </row>
    <row r="2193" spans="38:53" ht="15" customHeight="1" x14ac:dyDescent="0.25">
      <c r="AL2193" s="17"/>
      <c r="AM2193" s="12"/>
      <c r="AN2193" s="18"/>
      <c r="AO2193" s="18"/>
      <c r="AP2193" s="10"/>
      <c r="AQ2193" s="10"/>
      <c r="AR2193" s="19"/>
      <c r="AS2193" s="20"/>
      <c r="AT2193" s="19"/>
      <c r="AV2193" s="21">
        <f>IF(AND($AL2193&lt;&gt;"",COUNTIF($AL$11:$AL2193,$AL2193)=1),1,0)</f>
        <v>0</v>
      </c>
      <c r="AW2193" s="21">
        <f t="shared" si="155"/>
        <v>0</v>
      </c>
      <c r="AX2193" s="21" t="str">
        <f t="shared" si="154"/>
        <v/>
      </c>
      <c r="AY2193" s="21" t="str">
        <f>IF(AND($AM2193&lt;&gt;"",$AS2193&lt;&gt;"✓"),SUMPRODUCT(($AM$11:$AM2193&lt;&gt;"")*($AS$11:$AS2193&lt;&gt;"✓")),"")</f>
        <v/>
      </c>
      <c r="AZ2193" s="21" t="str">
        <f>IF(AND($AM2193&lt;&gt;"",$AS2193="✓"),SUMPRODUCT(($AM$11:$AM2193&lt;&gt;"")*($AS$11:$AS2193="✓")),"")</f>
        <v/>
      </c>
      <c r="BA2193" s="21" t="str">
        <f>IF($AL2193="","",$AL2193&amp;"|"&amp;COUNTIF($AL$11:$AL2193,$AL2193))</f>
        <v/>
      </c>
    </row>
    <row r="2194" spans="38:53" ht="15" customHeight="1" x14ac:dyDescent="0.25">
      <c r="AL2194" s="31"/>
      <c r="AM2194" s="26"/>
      <c r="AN2194" s="32"/>
      <c r="AO2194" s="32"/>
      <c r="AP2194" s="24"/>
      <c r="AQ2194" s="24"/>
      <c r="AR2194" s="33"/>
      <c r="AS2194" s="34"/>
      <c r="AT2194" s="33"/>
      <c r="AV2194" s="21">
        <f>IF(AND($AL2194&lt;&gt;"",COUNTIF($AL$11:$AL2194,$AL2194)=1),1,0)</f>
        <v>0</v>
      </c>
      <c r="AW2194" s="21">
        <f t="shared" si="155"/>
        <v>0</v>
      </c>
      <c r="AX2194" s="21" t="str">
        <f t="shared" si="154"/>
        <v/>
      </c>
      <c r="AY2194" s="21" t="str">
        <f>IF(AND($AM2194&lt;&gt;"",$AS2194&lt;&gt;"✓"),SUMPRODUCT(($AM$11:$AM2194&lt;&gt;"")*($AS$11:$AS2194&lt;&gt;"✓")),"")</f>
        <v/>
      </c>
      <c r="AZ2194" s="21" t="str">
        <f>IF(AND($AM2194&lt;&gt;"",$AS2194="✓"),SUMPRODUCT(($AM$11:$AM2194&lt;&gt;"")*($AS$11:$AS2194="✓")),"")</f>
        <v/>
      </c>
      <c r="BA2194" s="21" t="str">
        <f>IF($AL2194="","",$AL2194&amp;"|"&amp;COUNTIF($AL$11:$AL2194,$AL2194))</f>
        <v/>
      </c>
    </row>
    <row r="2195" spans="38:53" ht="15" customHeight="1" x14ac:dyDescent="0.25">
      <c r="AL2195" s="17"/>
      <c r="AM2195" s="12"/>
      <c r="AN2195" s="18"/>
      <c r="AO2195" s="18"/>
      <c r="AP2195" s="10"/>
      <c r="AQ2195" s="10"/>
      <c r="AR2195" s="19"/>
      <c r="AS2195" s="20"/>
      <c r="AT2195" s="19"/>
      <c r="AV2195" s="21">
        <f>IF(AND($AL2195&lt;&gt;"",COUNTIF($AL$11:$AL2195,$AL2195)=1),1,0)</f>
        <v>0</v>
      </c>
      <c r="AW2195" s="21">
        <f t="shared" si="155"/>
        <v>0</v>
      </c>
      <c r="AX2195" s="21" t="str">
        <f t="shared" si="154"/>
        <v/>
      </c>
      <c r="AY2195" s="21" t="str">
        <f>IF(AND($AM2195&lt;&gt;"",$AS2195&lt;&gt;"✓"),SUMPRODUCT(($AM$11:$AM2195&lt;&gt;"")*($AS$11:$AS2195&lt;&gt;"✓")),"")</f>
        <v/>
      </c>
      <c r="AZ2195" s="21" t="str">
        <f>IF(AND($AM2195&lt;&gt;"",$AS2195="✓"),SUMPRODUCT(($AM$11:$AM2195&lt;&gt;"")*($AS$11:$AS2195="✓")),"")</f>
        <v/>
      </c>
      <c r="BA2195" s="21" t="str">
        <f>IF($AL2195="","",$AL2195&amp;"|"&amp;COUNTIF($AL$11:$AL2195,$AL2195))</f>
        <v/>
      </c>
    </row>
    <row r="2196" spans="38:53" ht="15" customHeight="1" x14ac:dyDescent="0.25">
      <c r="AL2196" s="31"/>
      <c r="AM2196" s="26"/>
      <c r="AN2196" s="32"/>
      <c r="AO2196" s="32"/>
      <c r="AP2196" s="24"/>
      <c r="AQ2196" s="24"/>
      <c r="AR2196" s="33"/>
      <c r="AS2196" s="34"/>
      <c r="AT2196" s="33"/>
      <c r="AV2196" s="21">
        <f>IF(AND($AL2196&lt;&gt;"",COUNTIF($AL$11:$AL2196,$AL2196)=1),1,0)</f>
        <v>0</v>
      </c>
      <c r="AW2196" s="21">
        <f t="shared" si="155"/>
        <v>0</v>
      </c>
      <c r="AX2196" s="21" t="str">
        <f t="shared" si="154"/>
        <v/>
      </c>
      <c r="AY2196" s="21" t="str">
        <f>IF(AND($AM2196&lt;&gt;"",$AS2196&lt;&gt;"✓"),SUMPRODUCT(($AM$11:$AM2196&lt;&gt;"")*($AS$11:$AS2196&lt;&gt;"✓")),"")</f>
        <v/>
      </c>
      <c r="AZ2196" s="21" t="str">
        <f>IF(AND($AM2196&lt;&gt;"",$AS2196="✓"),SUMPRODUCT(($AM$11:$AM2196&lt;&gt;"")*($AS$11:$AS2196="✓")),"")</f>
        <v/>
      </c>
      <c r="BA2196" s="21" t="str">
        <f>IF($AL2196="","",$AL2196&amp;"|"&amp;COUNTIF($AL$11:$AL2196,$AL2196))</f>
        <v/>
      </c>
    </row>
    <row r="2197" spans="38:53" ht="15" customHeight="1" x14ac:dyDescent="0.25">
      <c r="AL2197" s="17"/>
      <c r="AM2197" s="12"/>
      <c r="AN2197" s="18"/>
      <c r="AO2197" s="18"/>
      <c r="AP2197" s="10"/>
      <c r="AQ2197" s="10"/>
      <c r="AR2197" s="19"/>
      <c r="AS2197" s="20"/>
      <c r="AT2197" s="19"/>
      <c r="AV2197" s="21">
        <f>IF(AND($AL2197&lt;&gt;"",COUNTIF($AL$11:$AL2197,$AL2197)=1),1,0)</f>
        <v>0</v>
      </c>
      <c r="AW2197" s="21">
        <f t="shared" si="155"/>
        <v>0</v>
      </c>
      <c r="AX2197" s="21" t="str">
        <f t="shared" si="154"/>
        <v/>
      </c>
      <c r="AY2197" s="21" t="str">
        <f>IF(AND($AM2197&lt;&gt;"",$AS2197&lt;&gt;"✓"),SUMPRODUCT(($AM$11:$AM2197&lt;&gt;"")*($AS$11:$AS2197&lt;&gt;"✓")),"")</f>
        <v/>
      </c>
      <c r="AZ2197" s="21" t="str">
        <f>IF(AND($AM2197&lt;&gt;"",$AS2197="✓"),SUMPRODUCT(($AM$11:$AM2197&lt;&gt;"")*($AS$11:$AS2197="✓")),"")</f>
        <v/>
      </c>
      <c r="BA2197" s="21" t="str">
        <f>IF($AL2197="","",$AL2197&amp;"|"&amp;COUNTIF($AL$11:$AL2197,$AL2197))</f>
        <v/>
      </c>
    </row>
    <row r="2198" spans="38:53" ht="15" customHeight="1" x14ac:dyDescent="0.25">
      <c r="AL2198" s="31"/>
      <c r="AM2198" s="26"/>
      <c r="AN2198" s="32"/>
      <c r="AO2198" s="32"/>
      <c r="AP2198" s="24"/>
      <c r="AQ2198" s="24"/>
      <c r="AR2198" s="33"/>
      <c r="AS2198" s="34"/>
      <c r="AT2198" s="33"/>
      <c r="AV2198" s="21">
        <f>IF(AND($AL2198&lt;&gt;"",COUNTIF($AL$11:$AL2198,$AL2198)=1),1,0)</f>
        <v>0</v>
      </c>
      <c r="AW2198" s="21">
        <f t="shared" si="155"/>
        <v>0</v>
      </c>
      <c r="AX2198" s="21" t="str">
        <f t="shared" si="154"/>
        <v/>
      </c>
      <c r="AY2198" s="21" t="str">
        <f>IF(AND($AM2198&lt;&gt;"",$AS2198&lt;&gt;"✓"),SUMPRODUCT(($AM$11:$AM2198&lt;&gt;"")*($AS$11:$AS2198&lt;&gt;"✓")),"")</f>
        <v/>
      </c>
      <c r="AZ2198" s="21" t="str">
        <f>IF(AND($AM2198&lt;&gt;"",$AS2198="✓"),SUMPRODUCT(($AM$11:$AM2198&lt;&gt;"")*($AS$11:$AS2198="✓")),"")</f>
        <v/>
      </c>
      <c r="BA2198" s="21" t="str">
        <f>IF($AL2198="","",$AL2198&amp;"|"&amp;COUNTIF($AL$11:$AL2198,$AL2198))</f>
        <v/>
      </c>
    </row>
    <row r="2199" spans="38:53" ht="15" customHeight="1" x14ac:dyDescent="0.25">
      <c r="AL2199" s="17"/>
      <c r="AM2199" s="12"/>
      <c r="AN2199" s="18"/>
      <c r="AO2199" s="18"/>
      <c r="AP2199" s="10"/>
      <c r="AQ2199" s="10"/>
      <c r="AR2199" s="19"/>
      <c r="AS2199" s="20"/>
      <c r="AT2199" s="19"/>
      <c r="AV2199" s="21">
        <f>IF(AND($AL2199&lt;&gt;"",COUNTIF($AL$11:$AL2199,$AL2199)=1),1,0)</f>
        <v>0</v>
      </c>
      <c r="AW2199" s="21">
        <f t="shared" si="155"/>
        <v>0</v>
      </c>
      <c r="AX2199" s="21" t="str">
        <f t="shared" si="154"/>
        <v/>
      </c>
      <c r="AY2199" s="21" t="str">
        <f>IF(AND($AM2199&lt;&gt;"",$AS2199&lt;&gt;"✓"),SUMPRODUCT(($AM$11:$AM2199&lt;&gt;"")*($AS$11:$AS2199&lt;&gt;"✓")),"")</f>
        <v/>
      </c>
      <c r="AZ2199" s="21" t="str">
        <f>IF(AND($AM2199&lt;&gt;"",$AS2199="✓"),SUMPRODUCT(($AM$11:$AM2199&lt;&gt;"")*($AS$11:$AS2199="✓")),"")</f>
        <v/>
      </c>
      <c r="BA2199" s="21" t="str">
        <f>IF($AL2199="","",$AL2199&amp;"|"&amp;COUNTIF($AL$11:$AL2199,$AL2199))</f>
        <v/>
      </c>
    </row>
    <row r="2200" spans="38:53" ht="15" customHeight="1" x14ac:dyDescent="0.25">
      <c r="AL2200" s="31"/>
      <c r="AM2200" s="26"/>
      <c r="AN2200" s="32"/>
      <c r="AO2200" s="32"/>
      <c r="AP2200" s="24"/>
      <c r="AQ2200" s="24"/>
      <c r="AR2200" s="33"/>
      <c r="AS2200" s="34"/>
      <c r="AT2200" s="33"/>
      <c r="AV2200" s="21">
        <f>IF(AND($AL2200&lt;&gt;"",COUNTIF($AL$11:$AL2200,$AL2200)=1),1,0)</f>
        <v>0</v>
      </c>
      <c r="AW2200" s="21">
        <f t="shared" si="155"/>
        <v>0</v>
      </c>
      <c r="AX2200" s="21" t="str">
        <f t="shared" si="154"/>
        <v/>
      </c>
      <c r="AY2200" s="21" t="str">
        <f>IF(AND($AM2200&lt;&gt;"",$AS2200&lt;&gt;"✓"),SUMPRODUCT(($AM$11:$AM2200&lt;&gt;"")*($AS$11:$AS2200&lt;&gt;"✓")),"")</f>
        <v/>
      </c>
      <c r="AZ2200" s="21" t="str">
        <f>IF(AND($AM2200&lt;&gt;"",$AS2200="✓"),SUMPRODUCT(($AM$11:$AM2200&lt;&gt;"")*($AS$11:$AS2200="✓")),"")</f>
        <v/>
      </c>
      <c r="BA2200" s="21" t="str">
        <f>IF($AL2200="","",$AL2200&amp;"|"&amp;COUNTIF($AL$11:$AL2200,$AL2200))</f>
        <v/>
      </c>
    </row>
    <row r="2201" spans="38:53" ht="15" customHeight="1" x14ac:dyDescent="0.25">
      <c r="AL2201" s="17"/>
      <c r="AM2201" s="12"/>
      <c r="AN2201" s="18"/>
      <c r="AO2201" s="18"/>
      <c r="AP2201" s="10"/>
      <c r="AQ2201" s="10"/>
      <c r="AR2201" s="19"/>
      <c r="AS2201" s="20"/>
      <c r="AT2201" s="19"/>
      <c r="AV2201" s="21">
        <f>IF(AND($AL2201&lt;&gt;"",COUNTIF($AL$11:$AL2201,$AL2201)=1),1,0)</f>
        <v>0</v>
      </c>
      <c r="AW2201" s="21">
        <f t="shared" si="155"/>
        <v>0</v>
      </c>
      <c r="AX2201" s="21" t="str">
        <f t="shared" si="154"/>
        <v/>
      </c>
      <c r="AY2201" s="21" t="str">
        <f>IF(AND($AM2201&lt;&gt;"",$AS2201&lt;&gt;"✓"),SUMPRODUCT(($AM$11:$AM2201&lt;&gt;"")*($AS$11:$AS2201&lt;&gt;"✓")),"")</f>
        <v/>
      </c>
      <c r="AZ2201" s="21" t="str">
        <f>IF(AND($AM2201&lt;&gt;"",$AS2201="✓"),SUMPRODUCT(($AM$11:$AM2201&lt;&gt;"")*($AS$11:$AS2201="✓")),"")</f>
        <v/>
      </c>
      <c r="BA2201" s="21" t="str">
        <f>IF($AL2201="","",$AL2201&amp;"|"&amp;COUNTIF($AL$11:$AL2201,$AL2201))</f>
        <v/>
      </c>
    </row>
    <row r="2202" spans="38:53" ht="15" customHeight="1" x14ac:dyDescent="0.25">
      <c r="AL2202" s="31"/>
      <c r="AM2202" s="26"/>
      <c r="AN2202" s="32"/>
      <c r="AO2202" s="32"/>
      <c r="AP2202" s="24"/>
      <c r="AQ2202" s="24"/>
      <c r="AR2202" s="33"/>
      <c r="AS2202" s="34"/>
      <c r="AT2202" s="33"/>
      <c r="AV2202" s="21">
        <f>IF(AND($AL2202&lt;&gt;"",COUNTIF($AL$11:$AL2202,$AL2202)=1),1,0)</f>
        <v>0</v>
      </c>
      <c r="AW2202" s="21">
        <f t="shared" si="155"/>
        <v>0</v>
      </c>
      <c r="AX2202" s="21" t="str">
        <f t="shared" si="154"/>
        <v/>
      </c>
      <c r="AY2202" s="21" t="str">
        <f>IF(AND($AM2202&lt;&gt;"",$AS2202&lt;&gt;"✓"),SUMPRODUCT(($AM$11:$AM2202&lt;&gt;"")*($AS$11:$AS2202&lt;&gt;"✓")),"")</f>
        <v/>
      </c>
      <c r="AZ2202" s="21" t="str">
        <f>IF(AND($AM2202&lt;&gt;"",$AS2202="✓"),SUMPRODUCT(($AM$11:$AM2202&lt;&gt;"")*($AS$11:$AS2202="✓")),"")</f>
        <v/>
      </c>
      <c r="BA2202" s="21" t="str">
        <f>IF($AL2202="","",$AL2202&amp;"|"&amp;COUNTIF($AL$11:$AL2202,$AL2202))</f>
        <v/>
      </c>
    </row>
    <row r="2203" spans="38:53" ht="15" customHeight="1" x14ac:dyDescent="0.25">
      <c r="AL2203" s="17"/>
      <c r="AM2203" s="12"/>
      <c r="AN2203" s="18"/>
      <c r="AO2203" s="18"/>
      <c r="AP2203" s="10"/>
      <c r="AQ2203" s="10"/>
      <c r="AR2203" s="19"/>
      <c r="AS2203" s="20"/>
      <c r="AT2203" s="19"/>
      <c r="AV2203" s="21">
        <f>IF(AND($AL2203&lt;&gt;"",COUNTIF($AL$11:$AL2203,$AL2203)=1),1,0)</f>
        <v>0</v>
      </c>
      <c r="AW2203" s="21">
        <f t="shared" si="155"/>
        <v>0</v>
      </c>
      <c r="AX2203" s="21" t="str">
        <f t="shared" si="154"/>
        <v/>
      </c>
      <c r="AY2203" s="21" t="str">
        <f>IF(AND($AM2203&lt;&gt;"",$AS2203&lt;&gt;"✓"),SUMPRODUCT(($AM$11:$AM2203&lt;&gt;"")*($AS$11:$AS2203&lt;&gt;"✓")),"")</f>
        <v/>
      </c>
      <c r="AZ2203" s="21" t="str">
        <f>IF(AND($AM2203&lt;&gt;"",$AS2203="✓"),SUMPRODUCT(($AM$11:$AM2203&lt;&gt;"")*($AS$11:$AS2203="✓")),"")</f>
        <v/>
      </c>
      <c r="BA2203" s="21" t="str">
        <f>IF($AL2203="","",$AL2203&amp;"|"&amp;COUNTIF($AL$11:$AL2203,$AL2203))</f>
        <v/>
      </c>
    </row>
    <row r="2204" spans="38:53" ht="15" customHeight="1" x14ac:dyDescent="0.25">
      <c r="AL2204" s="31"/>
      <c r="AM2204" s="26"/>
      <c r="AN2204" s="32"/>
      <c r="AO2204" s="32"/>
      <c r="AP2204" s="24"/>
      <c r="AQ2204" s="24"/>
      <c r="AR2204" s="33"/>
      <c r="AS2204" s="34"/>
      <c r="AT2204" s="33"/>
      <c r="AV2204" s="21">
        <f>IF(AND($AL2204&lt;&gt;"",COUNTIF($AL$11:$AL2204,$AL2204)=1),1,0)</f>
        <v>0</v>
      </c>
      <c r="AW2204" s="21">
        <f t="shared" si="155"/>
        <v>0</v>
      </c>
      <c r="AX2204" s="21" t="str">
        <f t="shared" si="154"/>
        <v/>
      </c>
      <c r="AY2204" s="21" t="str">
        <f>IF(AND($AM2204&lt;&gt;"",$AS2204&lt;&gt;"✓"),SUMPRODUCT(($AM$11:$AM2204&lt;&gt;"")*($AS$11:$AS2204&lt;&gt;"✓")),"")</f>
        <v/>
      </c>
      <c r="AZ2204" s="21" t="str">
        <f>IF(AND($AM2204&lt;&gt;"",$AS2204="✓"),SUMPRODUCT(($AM$11:$AM2204&lt;&gt;"")*($AS$11:$AS2204="✓")),"")</f>
        <v/>
      </c>
      <c r="BA2204" s="21" t="str">
        <f>IF($AL2204="","",$AL2204&amp;"|"&amp;COUNTIF($AL$11:$AL2204,$AL2204))</f>
        <v/>
      </c>
    </row>
    <row r="2205" spans="38:53" ht="15" customHeight="1" x14ac:dyDescent="0.25">
      <c r="AL2205" s="17"/>
      <c r="AM2205" s="12"/>
      <c r="AN2205" s="18"/>
      <c r="AO2205" s="18"/>
      <c r="AP2205" s="10"/>
      <c r="AQ2205" s="10"/>
      <c r="AR2205" s="19"/>
      <c r="AS2205" s="20"/>
      <c r="AT2205" s="19"/>
      <c r="AV2205" s="21">
        <f>IF(AND($AL2205&lt;&gt;"",COUNTIF($AL$11:$AL2205,$AL2205)=1),1,0)</f>
        <v>0</v>
      </c>
      <c r="AW2205" s="21">
        <f t="shared" si="155"/>
        <v>0</v>
      </c>
      <c r="AX2205" s="21" t="str">
        <f t="shared" si="154"/>
        <v/>
      </c>
      <c r="AY2205" s="21" t="str">
        <f>IF(AND($AM2205&lt;&gt;"",$AS2205&lt;&gt;"✓"),SUMPRODUCT(($AM$11:$AM2205&lt;&gt;"")*($AS$11:$AS2205&lt;&gt;"✓")),"")</f>
        <v/>
      </c>
      <c r="AZ2205" s="21" t="str">
        <f>IF(AND($AM2205&lt;&gt;"",$AS2205="✓"),SUMPRODUCT(($AM$11:$AM2205&lt;&gt;"")*($AS$11:$AS2205="✓")),"")</f>
        <v/>
      </c>
      <c r="BA2205" s="21" t="str">
        <f>IF($AL2205="","",$AL2205&amp;"|"&amp;COUNTIF($AL$11:$AL2205,$AL2205))</f>
        <v/>
      </c>
    </row>
    <row r="2206" spans="38:53" ht="15" customHeight="1" x14ac:dyDescent="0.25">
      <c r="AL2206" s="31"/>
      <c r="AM2206" s="26"/>
      <c r="AN2206" s="32"/>
      <c r="AO2206" s="32"/>
      <c r="AP2206" s="24"/>
      <c r="AQ2206" s="24"/>
      <c r="AR2206" s="33"/>
      <c r="AS2206" s="34"/>
      <c r="AT2206" s="33"/>
      <c r="AV2206" s="21">
        <f>IF(AND($AL2206&lt;&gt;"",COUNTIF($AL$11:$AL2206,$AL2206)=1),1,0)</f>
        <v>0</v>
      </c>
      <c r="AW2206" s="21">
        <f t="shared" si="155"/>
        <v>0</v>
      </c>
      <c r="AX2206" s="21" t="str">
        <f t="shared" si="154"/>
        <v/>
      </c>
      <c r="AY2206" s="21" t="str">
        <f>IF(AND($AM2206&lt;&gt;"",$AS2206&lt;&gt;"✓"),SUMPRODUCT(($AM$11:$AM2206&lt;&gt;"")*($AS$11:$AS2206&lt;&gt;"✓")),"")</f>
        <v/>
      </c>
      <c r="AZ2206" s="21" t="str">
        <f>IF(AND($AM2206&lt;&gt;"",$AS2206="✓"),SUMPRODUCT(($AM$11:$AM2206&lt;&gt;"")*($AS$11:$AS2206="✓")),"")</f>
        <v/>
      </c>
      <c r="BA2206" s="21" t="str">
        <f>IF($AL2206="","",$AL2206&amp;"|"&amp;COUNTIF($AL$11:$AL2206,$AL2206))</f>
        <v/>
      </c>
    </row>
    <row r="2207" spans="38:53" ht="15" customHeight="1" x14ac:dyDescent="0.25">
      <c r="AL2207" s="17"/>
      <c r="AM2207" s="12"/>
      <c r="AN2207" s="18"/>
      <c r="AO2207" s="18"/>
      <c r="AP2207" s="10"/>
      <c r="AQ2207" s="10"/>
      <c r="AR2207" s="19"/>
      <c r="AS2207" s="20"/>
      <c r="AT2207" s="19"/>
      <c r="AV2207" s="21">
        <f>IF(AND($AL2207&lt;&gt;"",COUNTIF($AL$11:$AL2207,$AL2207)=1),1,0)</f>
        <v>0</v>
      </c>
      <c r="AW2207" s="21">
        <f t="shared" si="155"/>
        <v>0</v>
      </c>
      <c r="AX2207" s="21" t="str">
        <f t="shared" si="154"/>
        <v/>
      </c>
      <c r="AY2207" s="21" t="str">
        <f>IF(AND($AM2207&lt;&gt;"",$AS2207&lt;&gt;"✓"),SUMPRODUCT(($AM$11:$AM2207&lt;&gt;"")*($AS$11:$AS2207&lt;&gt;"✓")),"")</f>
        <v/>
      </c>
      <c r="AZ2207" s="21" t="str">
        <f>IF(AND($AM2207&lt;&gt;"",$AS2207="✓"),SUMPRODUCT(($AM$11:$AM2207&lt;&gt;"")*($AS$11:$AS2207="✓")),"")</f>
        <v/>
      </c>
      <c r="BA2207" s="21" t="str">
        <f>IF($AL2207="","",$AL2207&amp;"|"&amp;COUNTIF($AL$11:$AL2207,$AL2207))</f>
        <v/>
      </c>
    </row>
    <row r="2208" spans="38:53" ht="15" customHeight="1" x14ac:dyDescent="0.25">
      <c r="AL2208" s="31"/>
      <c r="AM2208" s="26"/>
      <c r="AN2208" s="32"/>
      <c r="AO2208" s="32"/>
      <c r="AP2208" s="24"/>
      <c r="AQ2208" s="24"/>
      <c r="AR2208" s="33"/>
      <c r="AS2208" s="34"/>
      <c r="AT2208" s="33"/>
      <c r="AV2208" s="21">
        <f>IF(AND($AL2208&lt;&gt;"",COUNTIF($AL$11:$AL2208,$AL2208)=1),1,0)</f>
        <v>0</v>
      </c>
      <c r="AW2208" s="21">
        <f t="shared" si="155"/>
        <v>0</v>
      </c>
      <c r="AX2208" s="21" t="str">
        <f t="shared" si="154"/>
        <v/>
      </c>
      <c r="AY2208" s="21" t="str">
        <f>IF(AND($AM2208&lt;&gt;"",$AS2208&lt;&gt;"✓"),SUMPRODUCT(($AM$11:$AM2208&lt;&gt;"")*($AS$11:$AS2208&lt;&gt;"✓")),"")</f>
        <v/>
      </c>
      <c r="AZ2208" s="21" t="str">
        <f>IF(AND($AM2208&lt;&gt;"",$AS2208="✓"),SUMPRODUCT(($AM$11:$AM2208&lt;&gt;"")*($AS$11:$AS2208="✓")),"")</f>
        <v/>
      </c>
      <c r="BA2208" s="21" t="str">
        <f>IF($AL2208="","",$AL2208&amp;"|"&amp;COUNTIF($AL$11:$AL2208,$AL2208))</f>
        <v/>
      </c>
    </row>
    <row r="2209" spans="38:53" ht="15" customHeight="1" x14ac:dyDescent="0.25">
      <c r="AL2209" s="17"/>
      <c r="AM2209" s="12"/>
      <c r="AN2209" s="18"/>
      <c r="AO2209" s="18"/>
      <c r="AP2209" s="10"/>
      <c r="AQ2209" s="10"/>
      <c r="AR2209" s="19"/>
      <c r="AS2209" s="20"/>
      <c r="AT2209" s="19"/>
      <c r="AV2209" s="21">
        <f>IF(AND($AL2209&lt;&gt;"",COUNTIF($AL$11:$AL2209,$AL2209)=1),1,0)</f>
        <v>0</v>
      </c>
      <c r="AW2209" s="21">
        <f t="shared" si="155"/>
        <v>0</v>
      </c>
      <c r="AX2209" s="21" t="str">
        <f t="shared" si="154"/>
        <v/>
      </c>
      <c r="AY2209" s="21" t="str">
        <f>IF(AND($AM2209&lt;&gt;"",$AS2209&lt;&gt;"✓"),SUMPRODUCT(($AM$11:$AM2209&lt;&gt;"")*($AS$11:$AS2209&lt;&gt;"✓")),"")</f>
        <v/>
      </c>
      <c r="AZ2209" s="21" t="str">
        <f>IF(AND($AM2209&lt;&gt;"",$AS2209="✓"),SUMPRODUCT(($AM$11:$AM2209&lt;&gt;"")*($AS$11:$AS2209="✓")),"")</f>
        <v/>
      </c>
      <c r="BA2209" s="21" t="str">
        <f>IF($AL2209="","",$AL2209&amp;"|"&amp;COUNTIF($AL$11:$AL2209,$AL2209))</f>
        <v/>
      </c>
    </row>
    <row r="2210" spans="38:53" ht="15" customHeight="1" x14ac:dyDescent="0.25">
      <c r="AL2210" s="31"/>
      <c r="AM2210" s="26"/>
      <c r="AN2210" s="32"/>
      <c r="AO2210" s="32"/>
      <c r="AP2210" s="24"/>
      <c r="AQ2210" s="24"/>
      <c r="AR2210" s="33"/>
      <c r="AS2210" s="34"/>
      <c r="AT2210" s="33"/>
      <c r="AV2210" s="21">
        <f>IF(AND($AL2210&lt;&gt;"",COUNTIF($AL$11:$AL2210,$AL2210)=1),1,0)</f>
        <v>0</v>
      </c>
      <c r="AW2210" s="21">
        <f t="shared" si="155"/>
        <v>0</v>
      </c>
      <c r="AX2210" s="21" t="str">
        <f t="shared" si="154"/>
        <v/>
      </c>
      <c r="AY2210" s="21" t="str">
        <f>IF(AND($AM2210&lt;&gt;"",$AS2210&lt;&gt;"✓"),SUMPRODUCT(($AM$11:$AM2210&lt;&gt;"")*($AS$11:$AS2210&lt;&gt;"✓")),"")</f>
        <v/>
      </c>
      <c r="AZ2210" s="21" t="str">
        <f>IF(AND($AM2210&lt;&gt;"",$AS2210="✓"),SUMPRODUCT(($AM$11:$AM2210&lt;&gt;"")*($AS$11:$AS2210="✓")),"")</f>
        <v/>
      </c>
      <c r="BA2210" s="21" t="str">
        <f>IF($AL2210="","",$AL2210&amp;"|"&amp;COUNTIF($AL$11:$AL2210,$AL2210))</f>
        <v/>
      </c>
    </row>
    <row r="2211" spans="38:53" ht="15" customHeight="1" x14ac:dyDescent="0.25">
      <c r="AL2211" s="17"/>
      <c r="AM2211" s="12"/>
      <c r="AN2211" s="18"/>
      <c r="AO2211" s="18"/>
      <c r="AP2211" s="10"/>
      <c r="AQ2211" s="10"/>
      <c r="AR2211" s="19"/>
      <c r="AS2211" s="20"/>
      <c r="AT2211" s="19"/>
      <c r="AV2211" s="21">
        <f>IF(AND($AL2211&lt;&gt;"",COUNTIF($AL$11:$AL2211,$AL2211)=1),1,0)</f>
        <v>0</v>
      </c>
      <c r="AW2211" s="21">
        <f t="shared" si="155"/>
        <v>0</v>
      </c>
      <c r="AX2211" s="21" t="str">
        <f t="shared" si="154"/>
        <v/>
      </c>
      <c r="AY2211" s="21" t="str">
        <f>IF(AND($AM2211&lt;&gt;"",$AS2211&lt;&gt;"✓"),SUMPRODUCT(($AM$11:$AM2211&lt;&gt;"")*($AS$11:$AS2211&lt;&gt;"✓")),"")</f>
        <v/>
      </c>
      <c r="AZ2211" s="21" t="str">
        <f>IF(AND($AM2211&lt;&gt;"",$AS2211="✓"),SUMPRODUCT(($AM$11:$AM2211&lt;&gt;"")*($AS$11:$AS2211="✓")),"")</f>
        <v/>
      </c>
      <c r="BA2211" s="21" t="str">
        <f>IF($AL2211="","",$AL2211&amp;"|"&amp;COUNTIF($AL$11:$AL2211,$AL2211))</f>
        <v/>
      </c>
    </row>
    <row r="2212" spans="38:53" ht="15" customHeight="1" x14ac:dyDescent="0.25">
      <c r="AL2212" s="31"/>
      <c r="AM2212" s="26"/>
      <c r="AN2212" s="32"/>
      <c r="AO2212" s="32"/>
      <c r="AP2212" s="24"/>
      <c r="AQ2212" s="24"/>
      <c r="AR2212" s="33"/>
      <c r="AS2212" s="34"/>
      <c r="AT2212" s="33"/>
      <c r="AV2212" s="21">
        <f>IF(AND($AL2212&lt;&gt;"",COUNTIF($AL$11:$AL2212,$AL2212)=1),1,0)</f>
        <v>0</v>
      </c>
      <c r="AW2212" s="21">
        <f t="shared" si="155"/>
        <v>0</v>
      </c>
      <c r="AX2212" s="21" t="str">
        <f t="shared" si="154"/>
        <v/>
      </c>
      <c r="AY2212" s="21" t="str">
        <f>IF(AND($AM2212&lt;&gt;"",$AS2212&lt;&gt;"✓"),SUMPRODUCT(($AM$11:$AM2212&lt;&gt;"")*($AS$11:$AS2212&lt;&gt;"✓")),"")</f>
        <v/>
      </c>
      <c r="AZ2212" s="21" t="str">
        <f>IF(AND($AM2212&lt;&gt;"",$AS2212="✓"),SUMPRODUCT(($AM$11:$AM2212&lt;&gt;"")*($AS$11:$AS2212="✓")),"")</f>
        <v/>
      </c>
      <c r="BA2212" s="21" t="str">
        <f>IF($AL2212="","",$AL2212&amp;"|"&amp;COUNTIF($AL$11:$AL2212,$AL2212))</f>
        <v/>
      </c>
    </row>
    <row r="2213" spans="38:53" ht="15" customHeight="1" x14ac:dyDescent="0.25">
      <c r="AL2213" s="17"/>
      <c r="AM2213" s="12"/>
      <c r="AN2213" s="18"/>
      <c r="AO2213" s="18"/>
      <c r="AP2213" s="10"/>
      <c r="AQ2213" s="10"/>
      <c r="AR2213" s="19"/>
      <c r="AS2213" s="20"/>
      <c r="AT2213" s="19"/>
      <c r="AV2213" s="21">
        <f>IF(AND($AL2213&lt;&gt;"",COUNTIF($AL$11:$AL2213,$AL2213)=1),1,0)</f>
        <v>0</v>
      </c>
      <c r="AW2213" s="21">
        <f t="shared" si="155"/>
        <v>0</v>
      </c>
      <c r="AX2213" s="21" t="str">
        <f t="shared" si="154"/>
        <v/>
      </c>
      <c r="AY2213" s="21" t="str">
        <f>IF(AND($AM2213&lt;&gt;"",$AS2213&lt;&gt;"✓"),SUMPRODUCT(($AM$11:$AM2213&lt;&gt;"")*($AS$11:$AS2213&lt;&gt;"✓")),"")</f>
        <v/>
      </c>
      <c r="AZ2213" s="21" t="str">
        <f>IF(AND($AM2213&lt;&gt;"",$AS2213="✓"),SUMPRODUCT(($AM$11:$AM2213&lt;&gt;"")*($AS$11:$AS2213="✓")),"")</f>
        <v/>
      </c>
      <c r="BA2213" s="21" t="str">
        <f>IF($AL2213="","",$AL2213&amp;"|"&amp;COUNTIF($AL$11:$AL2213,$AL2213))</f>
        <v/>
      </c>
    </row>
    <row r="2214" spans="38:53" ht="15" customHeight="1" x14ac:dyDescent="0.25">
      <c r="AL2214" s="31"/>
      <c r="AM2214" s="26"/>
      <c r="AN2214" s="32"/>
      <c r="AO2214" s="32"/>
      <c r="AP2214" s="24"/>
      <c r="AQ2214" s="24"/>
      <c r="AR2214" s="33"/>
      <c r="AS2214" s="34"/>
      <c r="AT2214" s="33"/>
      <c r="AV2214" s="21">
        <f>IF(AND($AL2214&lt;&gt;"",COUNTIF($AL$11:$AL2214,$AL2214)=1),1,0)</f>
        <v>0</v>
      </c>
      <c r="AW2214" s="21">
        <f t="shared" si="155"/>
        <v>0</v>
      </c>
      <c r="AX2214" s="21" t="str">
        <f t="shared" si="154"/>
        <v/>
      </c>
      <c r="AY2214" s="21" t="str">
        <f>IF(AND($AM2214&lt;&gt;"",$AS2214&lt;&gt;"✓"),SUMPRODUCT(($AM$11:$AM2214&lt;&gt;"")*($AS$11:$AS2214&lt;&gt;"✓")),"")</f>
        <v/>
      </c>
      <c r="AZ2214" s="21" t="str">
        <f>IF(AND($AM2214&lt;&gt;"",$AS2214="✓"),SUMPRODUCT(($AM$11:$AM2214&lt;&gt;"")*($AS$11:$AS2214="✓")),"")</f>
        <v/>
      </c>
      <c r="BA2214" s="21" t="str">
        <f>IF($AL2214="","",$AL2214&amp;"|"&amp;COUNTIF($AL$11:$AL2214,$AL2214))</f>
        <v/>
      </c>
    </row>
    <row r="2215" spans="38:53" ht="15" customHeight="1" x14ac:dyDescent="0.25">
      <c r="AL2215" s="17"/>
      <c r="AM2215" s="12"/>
      <c r="AN2215" s="18"/>
      <c r="AO2215" s="18"/>
      <c r="AP2215" s="10"/>
      <c r="AQ2215" s="10"/>
      <c r="AR2215" s="19"/>
      <c r="AS2215" s="20"/>
      <c r="AT2215" s="19"/>
      <c r="AV2215" s="21">
        <f>IF(AND($AL2215&lt;&gt;"",COUNTIF($AL$11:$AL2215,$AL2215)=1),1,0)</f>
        <v>0</v>
      </c>
      <c r="AW2215" s="21">
        <f t="shared" si="155"/>
        <v>0</v>
      </c>
      <c r="AX2215" s="21" t="str">
        <f t="shared" si="154"/>
        <v/>
      </c>
      <c r="AY2215" s="21" t="str">
        <f>IF(AND($AM2215&lt;&gt;"",$AS2215&lt;&gt;"✓"),SUMPRODUCT(($AM$11:$AM2215&lt;&gt;"")*($AS$11:$AS2215&lt;&gt;"✓")),"")</f>
        <v/>
      </c>
      <c r="AZ2215" s="21" t="str">
        <f>IF(AND($AM2215&lt;&gt;"",$AS2215="✓"),SUMPRODUCT(($AM$11:$AM2215&lt;&gt;"")*($AS$11:$AS2215="✓")),"")</f>
        <v/>
      </c>
      <c r="BA2215" s="21" t="str">
        <f>IF($AL2215="","",$AL2215&amp;"|"&amp;COUNTIF($AL$11:$AL2215,$AL2215))</f>
        <v/>
      </c>
    </row>
    <row r="2216" spans="38:53" ht="15" customHeight="1" x14ac:dyDescent="0.25">
      <c r="AL2216" s="31"/>
      <c r="AM2216" s="26"/>
      <c r="AN2216" s="32"/>
      <c r="AO2216" s="32"/>
      <c r="AP2216" s="24"/>
      <c r="AQ2216" s="24"/>
      <c r="AR2216" s="33"/>
      <c r="AS2216" s="34"/>
      <c r="AT2216" s="33"/>
      <c r="AV2216" s="21">
        <f>IF(AND($AL2216&lt;&gt;"",COUNTIF($AL$11:$AL2216,$AL2216)=1),1,0)</f>
        <v>0</v>
      </c>
      <c r="AW2216" s="21">
        <f t="shared" si="155"/>
        <v>0</v>
      </c>
      <c r="AX2216" s="21" t="str">
        <f t="shared" si="154"/>
        <v/>
      </c>
      <c r="AY2216" s="21" t="str">
        <f>IF(AND($AM2216&lt;&gt;"",$AS2216&lt;&gt;"✓"),SUMPRODUCT(($AM$11:$AM2216&lt;&gt;"")*($AS$11:$AS2216&lt;&gt;"✓")),"")</f>
        <v/>
      </c>
      <c r="AZ2216" s="21" t="str">
        <f>IF(AND($AM2216&lt;&gt;"",$AS2216="✓"),SUMPRODUCT(($AM$11:$AM2216&lt;&gt;"")*($AS$11:$AS2216="✓")),"")</f>
        <v/>
      </c>
      <c r="BA2216" s="21" t="str">
        <f>IF($AL2216="","",$AL2216&amp;"|"&amp;COUNTIF($AL$11:$AL2216,$AL2216))</f>
        <v/>
      </c>
    </row>
    <row r="2217" spans="38:53" ht="15" customHeight="1" x14ac:dyDescent="0.25">
      <c r="AL2217" s="17"/>
      <c r="AM2217" s="12"/>
      <c r="AN2217" s="18"/>
      <c r="AO2217" s="18"/>
      <c r="AP2217" s="10"/>
      <c r="AQ2217" s="10"/>
      <c r="AR2217" s="19"/>
      <c r="AS2217" s="20"/>
      <c r="AT2217" s="19"/>
      <c r="AV2217" s="21">
        <f>IF(AND($AL2217&lt;&gt;"",COUNTIF($AL$11:$AL2217,$AL2217)=1),1,0)</f>
        <v>0</v>
      </c>
      <c r="AW2217" s="21">
        <f t="shared" si="155"/>
        <v>0</v>
      </c>
      <c r="AX2217" s="21" t="str">
        <f t="shared" si="154"/>
        <v/>
      </c>
      <c r="AY2217" s="21" t="str">
        <f>IF(AND($AM2217&lt;&gt;"",$AS2217&lt;&gt;"✓"),SUMPRODUCT(($AM$11:$AM2217&lt;&gt;"")*($AS$11:$AS2217&lt;&gt;"✓")),"")</f>
        <v/>
      </c>
      <c r="AZ2217" s="21" t="str">
        <f>IF(AND($AM2217&lt;&gt;"",$AS2217="✓"),SUMPRODUCT(($AM$11:$AM2217&lt;&gt;"")*($AS$11:$AS2217="✓")),"")</f>
        <v/>
      </c>
      <c r="BA2217" s="21" t="str">
        <f>IF($AL2217="","",$AL2217&amp;"|"&amp;COUNTIF($AL$11:$AL2217,$AL2217))</f>
        <v/>
      </c>
    </row>
    <row r="2218" spans="38:53" ht="15" customHeight="1" x14ac:dyDescent="0.25">
      <c r="AL2218" s="31"/>
      <c r="AM2218" s="26"/>
      <c r="AN2218" s="32"/>
      <c r="AO2218" s="32"/>
      <c r="AP2218" s="24"/>
      <c r="AQ2218" s="24"/>
      <c r="AR2218" s="33"/>
      <c r="AS2218" s="34"/>
      <c r="AT2218" s="33"/>
      <c r="AV2218" s="21">
        <f>IF(AND($AL2218&lt;&gt;"",COUNTIF($AL$11:$AL2218,$AL2218)=1),1,0)</f>
        <v>0</v>
      </c>
      <c r="AW2218" s="21">
        <f t="shared" si="155"/>
        <v>0</v>
      </c>
      <c r="AX2218" s="21" t="str">
        <f t="shared" si="154"/>
        <v/>
      </c>
      <c r="AY2218" s="21" t="str">
        <f>IF(AND($AM2218&lt;&gt;"",$AS2218&lt;&gt;"✓"),SUMPRODUCT(($AM$11:$AM2218&lt;&gt;"")*($AS$11:$AS2218&lt;&gt;"✓")),"")</f>
        <v/>
      </c>
      <c r="AZ2218" s="21" t="str">
        <f>IF(AND($AM2218&lt;&gt;"",$AS2218="✓"),SUMPRODUCT(($AM$11:$AM2218&lt;&gt;"")*($AS$11:$AS2218="✓")),"")</f>
        <v/>
      </c>
      <c r="BA2218" s="21" t="str">
        <f>IF($AL2218="","",$AL2218&amp;"|"&amp;COUNTIF($AL$11:$AL2218,$AL2218))</f>
        <v/>
      </c>
    </row>
    <row r="2219" spans="38:53" ht="15" customHeight="1" x14ac:dyDescent="0.25">
      <c r="AL2219" s="17"/>
      <c r="AM2219" s="12"/>
      <c r="AN2219" s="18"/>
      <c r="AO2219" s="18"/>
      <c r="AP2219" s="10"/>
      <c r="AQ2219" s="10"/>
      <c r="AR2219" s="19"/>
      <c r="AS2219" s="20"/>
      <c r="AT2219" s="19"/>
      <c r="AV2219" s="21">
        <f>IF(AND($AL2219&lt;&gt;"",COUNTIF($AL$11:$AL2219,$AL2219)=1),1,0)</f>
        <v>0</v>
      </c>
      <c r="AW2219" s="21">
        <f t="shared" si="155"/>
        <v>0</v>
      </c>
      <c r="AX2219" s="21" t="str">
        <f t="shared" si="154"/>
        <v/>
      </c>
      <c r="AY2219" s="21" t="str">
        <f>IF(AND($AM2219&lt;&gt;"",$AS2219&lt;&gt;"✓"),SUMPRODUCT(($AM$11:$AM2219&lt;&gt;"")*($AS$11:$AS2219&lt;&gt;"✓")),"")</f>
        <v/>
      </c>
      <c r="AZ2219" s="21" t="str">
        <f>IF(AND($AM2219&lt;&gt;"",$AS2219="✓"),SUMPRODUCT(($AM$11:$AM2219&lt;&gt;"")*($AS$11:$AS2219="✓")),"")</f>
        <v/>
      </c>
      <c r="BA2219" s="21" t="str">
        <f>IF($AL2219="","",$AL2219&amp;"|"&amp;COUNTIF($AL$11:$AL2219,$AL2219))</f>
        <v/>
      </c>
    </row>
    <row r="2220" spans="38:53" ht="15" customHeight="1" x14ac:dyDescent="0.25">
      <c r="AL2220" s="31"/>
      <c r="AM2220" s="26"/>
      <c r="AN2220" s="32"/>
      <c r="AO2220" s="32"/>
      <c r="AP2220" s="24"/>
      <c r="AQ2220" s="24"/>
      <c r="AR2220" s="33"/>
      <c r="AS2220" s="34"/>
      <c r="AT2220" s="33"/>
      <c r="AV2220" s="21">
        <f>IF(AND($AL2220&lt;&gt;"",COUNTIF($AL$11:$AL2220,$AL2220)=1),1,0)</f>
        <v>0</v>
      </c>
      <c r="AW2220" s="21">
        <f t="shared" si="155"/>
        <v>0</v>
      </c>
      <c r="AX2220" s="21" t="str">
        <f t="shared" si="154"/>
        <v/>
      </c>
      <c r="AY2220" s="21" t="str">
        <f>IF(AND($AM2220&lt;&gt;"",$AS2220&lt;&gt;"✓"),SUMPRODUCT(($AM$11:$AM2220&lt;&gt;"")*($AS$11:$AS2220&lt;&gt;"✓")),"")</f>
        <v/>
      </c>
      <c r="AZ2220" s="21" t="str">
        <f>IF(AND($AM2220&lt;&gt;"",$AS2220="✓"),SUMPRODUCT(($AM$11:$AM2220&lt;&gt;"")*($AS$11:$AS2220="✓")),"")</f>
        <v/>
      </c>
      <c r="BA2220" s="21" t="str">
        <f>IF($AL2220="","",$AL2220&amp;"|"&amp;COUNTIF($AL$11:$AL2220,$AL2220))</f>
        <v/>
      </c>
    </row>
    <row r="2221" spans="38:53" ht="15" customHeight="1" x14ac:dyDescent="0.25">
      <c r="AL2221" s="17"/>
      <c r="AM2221" s="12"/>
      <c r="AN2221" s="18"/>
      <c r="AO2221" s="18"/>
      <c r="AP2221" s="10"/>
      <c r="AQ2221" s="10"/>
      <c r="AR2221" s="19"/>
      <c r="AS2221" s="20"/>
      <c r="AT2221" s="19"/>
      <c r="AV2221" s="21">
        <f>IF(AND($AL2221&lt;&gt;"",COUNTIF($AL$11:$AL2221,$AL2221)=1),1,0)</f>
        <v>0</v>
      </c>
      <c r="AW2221" s="21">
        <f t="shared" si="155"/>
        <v>0</v>
      </c>
      <c r="AX2221" s="21" t="str">
        <f t="shared" si="154"/>
        <v/>
      </c>
      <c r="AY2221" s="21" t="str">
        <f>IF(AND($AM2221&lt;&gt;"",$AS2221&lt;&gt;"✓"),SUMPRODUCT(($AM$11:$AM2221&lt;&gt;"")*($AS$11:$AS2221&lt;&gt;"✓")),"")</f>
        <v/>
      </c>
      <c r="AZ2221" s="21" t="str">
        <f>IF(AND($AM2221&lt;&gt;"",$AS2221="✓"),SUMPRODUCT(($AM$11:$AM2221&lt;&gt;"")*($AS$11:$AS2221="✓")),"")</f>
        <v/>
      </c>
      <c r="BA2221" s="21" t="str">
        <f>IF($AL2221="","",$AL2221&amp;"|"&amp;COUNTIF($AL$11:$AL2221,$AL2221))</f>
        <v/>
      </c>
    </row>
    <row r="2222" spans="38:53" ht="15" customHeight="1" x14ac:dyDescent="0.25">
      <c r="AL2222" s="31"/>
      <c r="AM2222" s="26"/>
      <c r="AN2222" s="32"/>
      <c r="AO2222" s="32"/>
      <c r="AP2222" s="24"/>
      <c r="AQ2222" s="24"/>
      <c r="AR2222" s="33"/>
      <c r="AS2222" s="34"/>
      <c r="AT2222" s="33"/>
      <c r="AV2222" s="21">
        <f>IF(AND($AL2222&lt;&gt;"",COUNTIF($AL$11:$AL2222,$AL2222)=1),1,0)</f>
        <v>0</v>
      </c>
      <c r="AW2222" s="21">
        <f t="shared" si="155"/>
        <v>0</v>
      </c>
      <c r="AX2222" s="21" t="str">
        <f t="shared" si="154"/>
        <v/>
      </c>
      <c r="AY2222" s="21" t="str">
        <f>IF(AND($AM2222&lt;&gt;"",$AS2222&lt;&gt;"✓"),SUMPRODUCT(($AM$11:$AM2222&lt;&gt;"")*($AS$11:$AS2222&lt;&gt;"✓")),"")</f>
        <v/>
      </c>
      <c r="AZ2222" s="21" t="str">
        <f>IF(AND($AM2222&lt;&gt;"",$AS2222="✓"),SUMPRODUCT(($AM$11:$AM2222&lt;&gt;"")*($AS$11:$AS2222="✓")),"")</f>
        <v/>
      </c>
      <c r="BA2222" s="21" t="str">
        <f>IF($AL2222="","",$AL2222&amp;"|"&amp;COUNTIF($AL$11:$AL2222,$AL2222))</f>
        <v/>
      </c>
    </row>
    <row r="2223" spans="38:53" ht="15" customHeight="1" x14ac:dyDescent="0.25">
      <c r="AL2223" s="17"/>
      <c r="AM2223" s="12"/>
      <c r="AN2223" s="18"/>
      <c r="AO2223" s="18"/>
      <c r="AP2223" s="10"/>
      <c r="AQ2223" s="10"/>
      <c r="AR2223" s="19"/>
      <c r="AS2223" s="20"/>
      <c r="AT2223" s="19"/>
      <c r="AV2223" s="21">
        <f>IF(AND($AL2223&lt;&gt;"",COUNTIF($AL$11:$AL2223,$AL2223)=1),1,0)</f>
        <v>0</v>
      </c>
      <c r="AW2223" s="21">
        <f t="shared" si="155"/>
        <v>0</v>
      </c>
      <c r="AX2223" s="21" t="str">
        <f t="shared" si="154"/>
        <v/>
      </c>
      <c r="AY2223" s="21" t="str">
        <f>IF(AND($AM2223&lt;&gt;"",$AS2223&lt;&gt;"✓"),SUMPRODUCT(($AM$11:$AM2223&lt;&gt;"")*($AS$11:$AS2223&lt;&gt;"✓")),"")</f>
        <v/>
      </c>
      <c r="AZ2223" s="21" t="str">
        <f>IF(AND($AM2223&lt;&gt;"",$AS2223="✓"),SUMPRODUCT(($AM$11:$AM2223&lt;&gt;"")*($AS$11:$AS2223="✓")),"")</f>
        <v/>
      </c>
      <c r="BA2223" s="21" t="str">
        <f>IF($AL2223="","",$AL2223&amp;"|"&amp;COUNTIF($AL$11:$AL2223,$AL2223))</f>
        <v/>
      </c>
    </row>
    <row r="2224" spans="38:53" ht="15" customHeight="1" x14ac:dyDescent="0.25">
      <c r="AL2224" s="31"/>
      <c r="AM2224" s="26"/>
      <c r="AN2224" s="32"/>
      <c r="AO2224" s="32"/>
      <c r="AP2224" s="24"/>
      <c r="AQ2224" s="24"/>
      <c r="AR2224" s="33"/>
      <c r="AS2224" s="34"/>
      <c r="AT2224" s="33"/>
      <c r="AV2224" s="21">
        <f>IF(AND($AL2224&lt;&gt;"",COUNTIF($AL$11:$AL2224,$AL2224)=1),1,0)</f>
        <v>0</v>
      </c>
      <c r="AW2224" s="21">
        <f t="shared" si="155"/>
        <v>0</v>
      </c>
      <c r="AX2224" s="21" t="str">
        <f t="shared" si="154"/>
        <v/>
      </c>
      <c r="AY2224" s="21" t="str">
        <f>IF(AND($AM2224&lt;&gt;"",$AS2224&lt;&gt;"✓"),SUMPRODUCT(($AM$11:$AM2224&lt;&gt;"")*($AS$11:$AS2224&lt;&gt;"✓")),"")</f>
        <v/>
      </c>
      <c r="AZ2224" s="21" t="str">
        <f>IF(AND($AM2224&lt;&gt;"",$AS2224="✓"),SUMPRODUCT(($AM$11:$AM2224&lt;&gt;"")*($AS$11:$AS2224="✓")),"")</f>
        <v/>
      </c>
      <c r="BA2224" s="21" t="str">
        <f>IF($AL2224="","",$AL2224&amp;"|"&amp;COUNTIF($AL$11:$AL2224,$AL2224))</f>
        <v/>
      </c>
    </row>
    <row r="2225" spans="38:53" ht="15" customHeight="1" x14ac:dyDescent="0.25">
      <c r="AL2225" s="17"/>
      <c r="AM2225" s="12"/>
      <c r="AN2225" s="18"/>
      <c r="AO2225" s="18"/>
      <c r="AP2225" s="10"/>
      <c r="AQ2225" s="10"/>
      <c r="AR2225" s="19"/>
      <c r="AS2225" s="20"/>
      <c r="AT2225" s="19"/>
      <c r="AV2225" s="21">
        <f>IF(AND($AL2225&lt;&gt;"",COUNTIF($AL$11:$AL2225,$AL2225)=1),1,0)</f>
        <v>0</v>
      </c>
      <c r="AW2225" s="21">
        <f t="shared" si="155"/>
        <v>0</v>
      </c>
      <c r="AX2225" s="21" t="str">
        <f t="shared" si="154"/>
        <v/>
      </c>
      <c r="AY2225" s="21" t="str">
        <f>IF(AND($AM2225&lt;&gt;"",$AS2225&lt;&gt;"✓"),SUMPRODUCT(($AM$11:$AM2225&lt;&gt;"")*($AS$11:$AS2225&lt;&gt;"✓")),"")</f>
        <v/>
      </c>
      <c r="AZ2225" s="21" t="str">
        <f>IF(AND($AM2225&lt;&gt;"",$AS2225="✓"),SUMPRODUCT(($AM$11:$AM2225&lt;&gt;"")*($AS$11:$AS2225="✓")),"")</f>
        <v/>
      </c>
      <c r="BA2225" s="21" t="str">
        <f>IF($AL2225="","",$AL2225&amp;"|"&amp;COUNTIF($AL$11:$AL2225,$AL2225))</f>
        <v/>
      </c>
    </row>
    <row r="2226" spans="38:53" ht="15" customHeight="1" x14ac:dyDescent="0.25">
      <c r="AL2226" s="31"/>
      <c r="AM2226" s="26"/>
      <c r="AN2226" s="32"/>
      <c r="AO2226" s="32"/>
      <c r="AP2226" s="24"/>
      <c r="AQ2226" s="24"/>
      <c r="AR2226" s="33"/>
      <c r="AS2226" s="34"/>
      <c r="AT2226" s="33"/>
      <c r="AV2226" s="21">
        <f>IF(AND($AL2226&lt;&gt;"",COUNTIF($AL$11:$AL2226,$AL2226)=1),1,0)</f>
        <v>0</v>
      </c>
      <c r="AW2226" s="21">
        <f t="shared" si="155"/>
        <v>0</v>
      </c>
      <c r="AX2226" s="21" t="str">
        <f t="shared" si="154"/>
        <v/>
      </c>
      <c r="AY2226" s="21" t="str">
        <f>IF(AND($AM2226&lt;&gt;"",$AS2226&lt;&gt;"✓"),SUMPRODUCT(($AM$11:$AM2226&lt;&gt;"")*($AS$11:$AS2226&lt;&gt;"✓")),"")</f>
        <v/>
      </c>
      <c r="AZ2226" s="21" t="str">
        <f>IF(AND($AM2226&lt;&gt;"",$AS2226="✓"),SUMPRODUCT(($AM$11:$AM2226&lt;&gt;"")*($AS$11:$AS2226="✓")),"")</f>
        <v/>
      </c>
      <c r="BA2226" s="21" t="str">
        <f>IF($AL2226="","",$AL2226&amp;"|"&amp;COUNTIF($AL$11:$AL2226,$AL2226))</f>
        <v/>
      </c>
    </row>
    <row r="2227" spans="38:53" ht="15" customHeight="1" x14ac:dyDescent="0.25">
      <c r="AL2227" s="17"/>
      <c r="AM2227" s="12"/>
      <c r="AN2227" s="18"/>
      <c r="AO2227" s="18"/>
      <c r="AP2227" s="10"/>
      <c r="AQ2227" s="10"/>
      <c r="AR2227" s="19"/>
      <c r="AS2227" s="20"/>
      <c r="AT2227" s="19"/>
      <c r="AV2227" s="21">
        <f>IF(AND($AL2227&lt;&gt;"",COUNTIF($AL$11:$AL2227,$AL2227)=1),1,0)</f>
        <v>0</v>
      </c>
      <c r="AW2227" s="21">
        <f t="shared" si="155"/>
        <v>0</v>
      </c>
      <c r="AX2227" s="21" t="str">
        <f t="shared" si="154"/>
        <v/>
      </c>
      <c r="AY2227" s="21" t="str">
        <f>IF(AND($AM2227&lt;&gt;"",$AS2227&lt;&gt;"✓"),SUMPRODUCT(($AM$11:$AM2227&lt;&gt;"")*($AS$11:$AS2227&lt;&gt;"✓")),"")</f>
        <v/>
      </c>
      <c r="AZ2227" s="21" t="str">
        <f>IF(AND($AM2227&lt;&gt;"",$AS2227="✓"),SUMPRODUCT(($AM$11:$AM2227&lt;&gt;"")*($AS$11:$AS2227="✓")),"")</f>
        <v/>
      </c>
      <c r="BA2227" s="21" t="str">
        <f>IF($AL2227="","",$AL2227&amp;"|"&amp;COUNTIF($AL$11:$AL2227,$AL2227))</f>
        <v/>
      </c>
    </row>
    <row r="2228" spans="38:53" ht="15" customHeight="1" x14ac:dyDescent="0.25">
      <c r="AL2228" s="31"/>
      <c r="AM2228" s="26"/>
      <c r="AN2228" s="32"/>
      <c r="AO2228" s="32"/>
      <c r="AP2228" s="24"/>
      <c r="AQ2228" s="24"/>
      <c r="AR2228" s="33"/>
      <c r="AS2228" s="34"/>
      <c r="AT2228" s="33"/>
      <c r="AV2228" s="21">
        <f>IF(AND($AL2228&lt;&gt;"",COUNTIF($AL$11:$AL2228,$AL2228)=1),1,0)</f>
        <v>0</v>
      </c>
      <c r="AW2228" s="21">
        <f t="shared" si="155"/>
        <v>0</v>
      </c>
      <c r="AX2228" s="21" t="str">
        <f t="shared" si="154"/>
        <v/>
      </c>
      <c r="AY2228" s="21" t="str">
        <f>IF(AND($AM2228&lt;&gt;"",$AS2228&lt;&gt;"✓"),SUMPRODUCT(($AM$11:$AM2228&lt;&gt;"")*($AS$11:$AS2228&lt;&gt;"✓")),"")</f>
        <v/>
      </c>
      <c r="AZ2228" s="21" t="str">
        <f>IF(AND($AM2228&lt;&gt;"",$AS2228="✓"),SUMPRODUCT(($AM$11:$AM2228&lt;&gt;"")*($AS$11:$AS2228="✓")),"")</f>
        <v/>
      </c>
      <c r="BA2228" s="21" t="str">
        <f>IF($AL2228="","",$AL2228&amp;"|"&amp;COUNTIF($AL$11:$AL2228,$AL2228))</f>
        <v/>
      </c>
    </row>
    <row r="2229" spans="38:53" ht="15" customHeight="1" x14ac:dyDescent="0.25">
      <c r="AL2229" s="17"/>
      <c r="AM2229" s="12"/>
      <c r="AN2229" s="18"/>
      <c r="AO2229" s="18"/>
      <c r="AP2229" s="10"/>
      <c r="AQ2229" s="10"/>
      <c r="AR2229" s="19"/>
      <c r="AS2229" s="20"/>
      <c r="AT2229" s="19"/>
      <c r="AV2229" s="21">
        <f>IF(AND($AL2229&lt;&gt;"",COUNTIF($AL$11:$AL2229,$AL2229)=1),1,0)</f>
        <v>0</v>
      </c>
      <c r="AW2229" s="21">
        <f t="shared" si="155"/>
        <v>0</v>
      </c>
      <c r="AX2229" s="21" t="str">
        <f t="shared" si="154"/>
        <v/>
      </c>
      <c r="AY2229" s="21" t="str">
        <f>IF(AND($AM2229&lt;&gt;"",$AS2229&lt;&gt;"✓"),SUMPRODUCT(($AM$11:$AM2229&lt;&gt;"")*($AS$11:$AS2229&lt;&gt;"✓")),"")</f>
        <v/>
      </c>
      <c r="AZ2229" s="21" t="str">
        <f>IF(AND($AM2229&lt;&gt;"",$AS2229="✓"),SUMPRODUCT(($AM$11:$AM2229&lt;&gt;"")*($AS$11:$AS2229="✓")),"")</f>
        <v/>
      </c>
      <c r="BA2229" s="21" t="str">
        <f>IF($AL2229="","",$AL2229&amp;"|"&amp;COUNTIF($AL$11:$AL2229,$AL2229))</f>
        <v/>
      </c>
    </row>
    <row r="2230" spans="38:53" ht="15" customHeight="1" x14ac:dyDescent="0.25">
      <c r="AL2230" s="31"/>
      <c r="AM2230" s="26"/>
      <c r="AN2230" s="32"/>
      <c r="AO2230" s="32"/>
      <c r="AP2230" s="24"/>
      <c r="AQ2230" s="24"/>
      <c r="AR2230" s="33"/>
      <c r="AS2230" s="34"/>
      <c r="AT2230" s="33"/>
      <c r="AV2230" s="21">
        <f>IF(AND($AL2230&lt;&gt;"",COUNTIF($AL$11:$AL2230,$AL2230)=1),1,0)</f>
        <v>0</v>
      </c>
      <c r="AW2230" s="21">
        <f t="shared" si="155"/>
        <v>0</v>
      </c>
      <c r="AX2230" s="21" t="str">
        <f t="shared" si="154"/>
        <v/>
      </c>
      <c r="AY2230" s="21" t="str">
        <f>IF(AND($AM2230&lt;&gt;"",$AS2230&lt;&gt;"✓"),SUMPRODUCT(($AM$11:$AM2230&lt;&gt;"")*($AS$11:$AS2230&lt;&gt;"✓")),"")</f>
        <v/>
      </c>
      <c r="AZ2230" s="21" t="str">
        <f>IF(AND($AM2230&lt;&gt;"",$AS2230="✓"),SUMPRODUCT(($AM$11:$AM2230&lt;&gt;"")*($AS$11:$AS2230="✓")),"")</f>
        <v/>
      </c>
      <c r="BA2230" s="21" t="str">
        <f>IF($AL2230="","",$AL2230&amp;"|"&amp;COUNTIF($AL$11:$AL2230,$AL2230))</f>
        <v/>
      </c>
    </row>
    <row r="2231" spans="38:53" ht="15" customHeight="1" x14ac:dyDescent="0.25">
      <c r="AL2231" s="17"/>
      <c r="AM2231" s="12"/>
      <c r="AN2231" s="18"/>
      <c r="AO2231" s="18"/>
      <c r="AP2231" s="10"/>
      <c r="AQ2231" s="10"/>
      <c r="AR2231" s="19"/>
      <c r="AS2231" s="20"/>
      <c r="AT2231" s="19"/>
      <c r="AV2231" s="21">
        <f>IF(AND($AL2231&lt;&gt;"",COUNTIF($AL$11:$AL2231,$AL2231)=1),1,0)</f>
        <v>0</v>
      </c>
      <c r="AW2231" s="21">
        <f t="shared" si="155"/>
        <v>0</v>
      </c>
      <c r="AX2231" s="21" t="str">
        <f t="shared" si="154"/>
        <v/>
      </c>
      <c r="AY2231" s="21" t="str">
        <f>IF(AND($AM2231&lt;&gt;"",$AS2231&lt;&gt;"✓"),SUMPRODUCT(($AM$11:$AM2231&lt;&gt;"")*($AS$11:$AS2231&lt;&gt;"✓")),"")</f>
        <v/>
      </c>
      <c r="AZ2231" s="21" t="str">
        <f>IF(AND($AM2231&lt;&gt;"",$AS2231="✓"),SUMPRODUCT(($AM$11:$AM2231&lt;&gt;"")*($AS$11:$AS2231="✓")),"")</f>
        <v/>
      </c>
      <c r="BA2231" s="21" t="str">
        <f>IF($AL2231="","",$AL2231&amp;"|"&amp;COUNTIF($AL$11:$AL2231,$AL2231))</f>
        <v/>
      </c>
    </row>
    <row r="2232" spans="38:53" ht="15" customHeight="1" x14ac:dyDescent="0.25">
      <c r="AL2232" s="31"/>
      <c r="AM2232" s="26"/>
      <c r="AN2232" s="32"/>
      <c r="AO2232" s="32"/>
      <c r="AP2232" s="24"/>
      <c r="AQ2232" s="24"/>
      <c r="AR2232" s="33"/>
      <c r="AS2232" s="34"/>
      <c r="AT2232" s="33"/>
      <c r="AV2232" s="21">
        <f>IF(AND($AL2232&lt;&gt;"",COUNTIF($AL$11:$AL2232,$AL2232)=1),1,0)</f>
        <v>0</v>
      </c>
      <c r="AW2232" s="21">
        <f t="shared" si="155"/>
        <v>0</v>
      </c>
      <c r="AX2232" s="21" t="str">
        <f t="shared" si="154"/>
        <v/>
      </c>
      <c r="AY2232" s="21" t="str">
        <f>IF(AND($AM2232&lt;&gt;"",$AS2232&lt;&gt;"✓"),SUMPRODUCT(($AM$11:$AM2232&lt;&gt;"")*($AS$11:$AS2232&lt;&gt;"✓")),"")</f>
        <v/>
      </c>
      <c r="AZ2232" s="21" t="str">
        <f>IF(AND($AM2232&lt;&gt;"",$AS2232="✓"),SUMPRODUCT(($AM$11:$AM2232&lt;&gt;"")*($AS$11:$AS2232="✓")),"")</f>
        <v/>
      </c>
      <c r="BA2232" s="21" t="str">
        <f>IF($AL2232="","",$AL2232&amp;"|"&amp;COUNTIF($AL$11:$AL2232,$AL2232))</f>
        <v/>
      </c>
    </row>
    <row r="2233" spans="38:53" ht="15" customHeight="1" x14ac:dyDescent="0.25">
      <c r="AL2233" s="17"/>
      <c r="AM2233" s="12"/>
      <c r="AN2233" s="18"/>
      <c r="AO2233" s="18"/>
      <c r="AP2233" s="10"/>
      <c r="AQ2233" s="10"/>
      <c r="AR2233" s="19"/>
      <c r="AS2233" s="20"/>
      <c r="AT2233" s="19"/>
      <c r="AV2233" s="21">
        <f>IF(AND($AL2233&lt;&gt;"",COUNTIF($AL$11:$AL2233,$AL2233)=1),1,0)</f>
        <v>0</v>
      </c>
      <c r="AW2233" s="21">
        <f t="shared" si="155"/>
        <v>0</v>
      </c>
      <c r="AX2233" s="21" t="str">
        <f t="shared" si="154"/>
        <v/>
      </c>
      <c r="AY2233" s="21" t="str">
        <f>IF(AND($AM2233&lt;&gt;"",$AS2233&lt;&gt;"✓"),SUMPRODUCT(($AM$11:$AM2233&lt;&gt;"")*($AS$11:$AS2233&lt;&gt;"✓")),"")</f>
        <v/>
      </c>
      <c r="AZ2233" s="21" t="str">
        <f>IF(AND($AM2233&lt;&gt;"",$AS2233="✓"),SUMPRODUCT(($AM$11:$AM2233&lt;&gt;"")*($AS$11:$AS2233="✓")),"")</f>
        <v/>
      </c>
      <c r="BA2233" s="21" t="str">
        <f>IF($AL2233="","",$AL2233&amp;"|"&amp;COUNTIF($AL$11:$AL2233,$AL2233))</f>
        <v/>
      </c>
    </row>
    <row r="2234" spans="38:53" ht="15" customHeight="1" x14ac:dyDescent="0.25">
      <c r="AL2234" s="31"/>
      <c r="AM2234" s="26"/>
      <c r="AN2234" s="32"/>
      <c r="AO2234" s="32"/>
      <c r="AP2234" s="24"/>
      <c r="AQ2234" s="24"/>
      <c r="AR2234" s="33"/>
      <c r="AS2234" s="34"/>
      <c r="AT2234" s="33"/>
      <c r="AV2234" s="21">
        <f>IF(AND($AL2234&lt;&gt;"",COUNTIF($AL$11:$AL2234,$AL2234)=1),1,0)</f>
        <v>0</v>
      </c>
      <c r="AW2234" s="21">
        <f t="shared" si="155"/>
        <v>0</v>
      </c>
      <c r="AX2234" s="21" t="str">
        <f t="shared" si="154"/>
        <v/>
      </c>
      <c r="AY2234" s="21" t="str">
        <f>IF(AND($AM2234&lt;&gt;"",$AS2234&lt;&gt;"✓"),SUMPRODUCT(($AM$11:$AM2234&lt;&gt;"")*($AS$11:$AS2234&lt;&gt;"✓")),"")</f>
        <v/>
      </c>
      <c r="AZ2234" s="21" t="str">
        <f>IF(AND($AM2234&lt;&gt;"",$AS2234="✓"),SUMPRODUCT(($AM$11:$AM2234&lt;&gt;"")*($AS$11:$AS2234="✓")),"")</f>
        <v/>
      </c>
      <c r="BA2234" s="21" t="str">
        <f>IF($AL2234="","",$AL2234&amp;"|"&amp;COUNTIF($AL$11:$AL2234,$AL2234))</f>
        <v/>
      </c>
    </row>
    <row r="2235" spans="38:53" ht="15" customHeight="1" x14ac:dyDescent="0.25">
      <c r="AL2235" s="17"/>
      <c r="AM2235" s="12"/>
      <c r="AN2235" s="18"/>
      <c r="AO2235" s="18"/>
      <c r="AP2235" s="10"/>
      <c r="AQ2235" s="10"/>
      <c r="AR2235" s="19"/>
      <c r="AS2235" s="20"/>
      <c r="AT2235" s="19"/>
      <c r="AV2235" s="21">
        <f>IF(AND($AL2235&lt;&gt;"",COUNTIF($AL$11:$AL2235,$AL2235)=1),1,0)</f>
        <v>0</v>
      </c>
      <c r="AW2235" s="21">
        <f t="shared" si="155"/>
        <v>0</v>
      </c>
      <c r="AX2235" s="21" t="str">
        <f t="shared" si="154"/>
        <v/>
      </c>
      <c r="AY2235" s="21" t="str">
        <f>IF(AND($AM2235&lt;&gt;"",$AS2235&lt;&gt;"✓"),SUMPRODUCT(($AM$11:$AM2235&lt;&gt;"")*($AS$11:$AS2235&lt;&gt;"✓")),"")</f>
        <v/>
      </c>
      <c r="AZ2235" s="21" t="str">
        <f>IF(AND($AM2235&lt;&gt;"",$AS2235="✓"),SUMPRODUCT(($AM$11:$AM2235&lt;&gt;"")*($AS$11:$AS2235="✓")),"")</f>
        <v/>
      </c>
      <c r="BA2235" s="21" t="str">
        <f>IF($AL2235="","",$AL2235&amp;"|"&amp;COUNTIF($AL$11:$AL2235,$AL2235))</f>
        <v/>
      </c>
    </row>
    <row r="2236" spans="38:53" ht="15" customHeight="1" x14ac:dyDescent="0.25">
      <c r="AL2236" s="31"/>
      <c r="AM2236" s="26"/>
      <c r="AN2236" s="32"/>
      <c r="AO2236" s="32"/>
      <c r="AP2236" s="24"/>
      <c r="AQ2236" s="24"/>
      <c r="AR2236" s="33"/>
      <c r="AS2236" s="34"/>
      <c r="AT2236" s="33"/>
      <c r="AV2236" s="21">
        <f>IF(AND($AL2236&lt;&gt;"",COUNTIF($AL$11:$AL2236,$AL2236)=1),1,0)</f>
        <v>0</v>
      </c>
      <c r="AW2236" s="21">
        <f t="shared" si="155"/>
        <v>0</v>
      </c>
      <c r="AX2236" s="21" t="str">
        <f t="shared" si="154"/>
        <v/>
      </c>
      <c r="AY2236" s="21" t="str">
        <f>IF(AND($AM2236&lt;&gt;"",$AS2236&lt;&gt;"✓"),SUMPRODUCT(($AM$11:$AM2236&lt;&gt;"")*($AS$11:$AS2236&lt;&gt;"✓")),"")</f>
        <v/>
      </c>
      <c r="AZ2236" s="21" t="str">
        <f>IF(AND($AM2236&lt;&gt;"",$AS2236="✓"),SUMPRODUCT(($AM$11:$AM2236&lt;&gt;"")*($AS$11:$AS2236="✓")),"")</f>
        <v/>
      </c>
      <c r="BA2236" s="21" t="str">
        <f>IF($AL2236="","",$AL2236&amp;"|"&amp;COUNTIF($AL$11:$AL2236,$AL2236))</f>
        <v/>
      </c>
    </row>
    <row r="2237" spans="38:53" ht="15" customHeight="1" x14ac:dyDescent="0.25">
      <c r="AL2237" s="17"/>
      <c r="AM2237" s="12"/>
      <c r="AN2237" s="18"/>
      <c r="AO2237" s="18"/>
      <c r="AP2237" s="10"/>
      <c r="AQ2237" s="10"/>
      <c r="AR2237" s="19"/>
      <c r="AS2237" s="20"/>
      <c r="AT2237" s="19"/>
      <c r="AV2237" s="21">
        <f>IF(AND($AL2237&lt;&gt;"",COUNTIF($AL$11:$AL2237,$AL2237)=1),1,0)</f>
        <v>0</v>
      </c>
      <c r="AW2237" s="21">
        <f t="shared" si="155"/>
        <v>0</v>
      </c>
      <c r="AX2237" s="21" t="str">
        <f t="shared" si="154"/>
        <v/>
      </c>
      <c r="AY2237" s="21" t="str">
        <f>IF(AND($AM2237&lt;&gt;"",$AS2237&lt;&gt;"✓"),SUMPRODUCT(($AM$11:$AM2237&lt;&gt;"")*($AS$11:$AS2237&lt;&gt;"✓")),"")</f>
        <v/>
      </c>
      <c r="AZ2237" s="21" t="str">
        <f>IF(AND($AM2237&lt;&gt;"",$AS2237="✓"),SUMPRODUCT(($AM$11:$AM2237&lt;&gt;"")*($AS$11:$AS2237="✓")),"")</f>
        <v/>
      </c>
      <c r="BA2237" s="21" t="str">
        <f>IF($AL2237="","",$AL2237&amp;"|"&amp;COUNTIF($AL$11:$AL2237,$AL2237))</f>
        <v/>
      </c>
    </row>
    <row r="2238" spans="38:53" ht="15" customHeight="1" x14ac:dyDescent="0.25">
      <c r="AL2238" s="31"/>
      <c r="AM2238" s="26"/>
      <c r="AN2238" s="32"/>
      <c r="AO2238" s="32"/>
      <c r="AP2238" s="24"/>
      <c r="AQ2238" s="24"/>
      <c r="AR2238" s="33"/>
      <c r="AS2238" s="34"/>
      <c r="AT2238" s="33"/>
      <c r="AV2238" s="21">
        <f>IF(AND($AL2238&lt;&gt;"",COUNTIF($AL$11:$AL2238,$AL2238)=1),1,0)</f>
        <v>0</v>
      </c>
      <c r="AW2238" s="21">
        <f t="shared" si="155"/>
        <v>0</v>
      </c>
      <c r="AX2238" s="21" t="str">
        <f t="shared" si="154"/>
        <v/>
      </c>
      <c r="AY2238" s="21" t="str">
        <f>IF(AND($AM2238&lt;&gt;"",$AS2238&lt;&gt;"✓"),SUMPRODUCT(($AM$11:$AM2238&lt;&gt;"")*($AS$11:$AS2238&lt;&gt;"✓")),"")</f>
        <v/>
      </c>
      <c r="AZ2238" s="21" t="str">
        <f>IF(AND($AM2238&lt;&gt;"",$AS2238="✓"),SUMPRODUCT(($AM$11:$AM2238&lt;&gt;"")*($AS$11:$AS2238="✓")),"")</f>
        <v/>
      </c>
      <c r="BA2238" s="21" t="str">
        <f>IF($AL2238="","",$AL2238&amp;"|"&amp;COUNTIF($AL$11:$AL2238,$AL2238))</f>
        <v/>
      </c>
    </row>
    <row r="2239" spans="38:53" ht="15" customHeight="1" x14ac:dyDescent="0.25">
      <c r="AL2239" s="17"/>
      <c r="AM2239" s="12"/>
      <c r="AN2239" s="18"/>
      <c r="AO2239" s="18"/>
      <c r="AP2239" s="10"/>
      <c r="AQ2239" s="10"/>
      <c r="AR2239" s="19"/>
      <c r="AS2239" s="20"/>
      <c r="AT2239" s="19"/>
      <c r="AV2239" s="21">
        <f>IF(AND($AL2239&lt;&gt;"",COUNTIF($AL$11:$AL2239,$AL2239)=1),1,0)</f>
        <v>0</v>
      </c>
      <c r="AW2239" s="21">
        <f t="shared" si="155"/>
        <v>0</v>
      </c>
      <c r="AX2239" s="21" t="str">
        <f t="shared" si="154"/>
        <v/>
      </c>
      <c r="AY2239" s="21" t="str">
        <f>IF(AND($AM2239&lt;&gt;"",$AS2239&lt;&gt;"✓"),SUMPRODUCT(($AM$11:$AM2239&lt;&gt;"")*($AS$11:$AS2239&lt;&gt;"✓")),"")</f>
        <v/>
      </c>
      <c r="AZ2239" s="21" t="str">
        <f>IF(AND($AM2239&lt;&gt;"",$AS2239="✓"),SUMPRODUCT(($AM$11:$AM2239&lt;&gt;"")*($AS$11:$AS2239="✓")),"")</f>
        <v/>
      </c>
      <c r="BA2239" s="21" t="str">
        <f>IF($AL2239="","",$AL2239&amp;"|"&amp;COUNTIF($AL$11:$AL2239,$AL2239))</f>
        <v/>
      </c>
    </row>
    <row r="2240" spans="38:53" ht="15" customHeight="1" x14ac:dyDescent="0.25">
      <c r="AL2240" s="31"/>
      <c r="AM2240" s="26"/>
      <c r="AN2240" s="32"/>
      <c r="AO2240" s="32"/>
      <c r="AP2240" s="24"/>
      <c r="AQ2240" s="24"/>
      <c r="AR2240" s="33"/>
      <c r="AS2240" s="34"/>
      <c r="AT2240" s="33"/>
      <c r="AV2240" s="21">
        <f>IF(AND($AL2240&lt;&gt;"",COUNTIF($AL$11:$AL2240,$AL2240)=1),1,0)</f>
        <v>0</v>
      </c>
      <c r="AW2240" s="21">
        <f t="shared" si="155"/>
        <v>0</v>
      </c>
      <c r="AX2240" s="21" t="str">
        <f t="shared" si="154"/>
        <v/>
      </c>
      <c r="AY2240" s="21" t="str">
        <f>IF(AND($AM2240&lt;&gt;"",$AS2240&lt;&gt;"✓"),SUMPRODUCT(($AM$11:$AM2240&lt;&gt;"")*($AS$11:$AS2240&lt;&gt;"✓")),"")</f>
        <v/>
      </c>
      <c r="AZ2240" s="21" t="str">
        <f>IF(AND($AM2240&lt;&gt;"",$AS2240="✓"),SUMPRODUCT(($AM$11:$AM2240&lt;&gt;"")*($AS$11:$AS2240="✓")),"")</f>
        <v/>
      </c>
      <c r="BA2240" s="21" t="str">
        <f>IF($AL2240="","",$AL2240&amp;"|"&amp;COUNTIF($AL$11:$AL2240,$AL2240))</f>
        <v/>
      </c>
    </row>
    <row r="2241" spans="38:53" ht="15" customHeight="1" x14ac:dyDescent="0.25">
      <c r="AL2241" s="17"/>
      <c r="AM2241" s="12"/>
      <c r="AN2241" s="18"/>
      <c r="AO2241" s="18"/>
      <c r="AP2241" s="10"/>
      <c r="AQ2241" s="10"/>
      <c r="AR2241" s="19"/>
      <c r="AS2241" s="20"/>
      <c r="AT2241" s="19"/>
      <c r="AV2241" s="21">
        <f>IF(AND($AL2241&lt;&gt;"",COUNTIF($AL$11:$AL2241,$AL2241)=1),1,0)</f>
        <v>0</v>
      </c>
      <c r="AW2241" s="21">
        <f t="shared" si="155"/>
        <v>0</v>
      </c>
      <c r="AX2241" s="21" t="str">
        <f t="shared" si="154"/>
        <v/>
      </c>
      <c r="AY2241" s="21" t="str">
        <f>IF(AND($AM2241&lt;&gt;"",$AS2241&lt;&gt;"✓"),SUMPRODUCT(($AM$11:$AM2241&lt;&gt;"")*($AS$11:$AS2241&lt;&gt;"✓")),"")</f>
        <v/>
      </c>
      <c r="AZ2241" s="21" t="str">
        <f>IF(AND($AM2241&lt;&gt;"",$AS2241="✓"),SUMPRODUCT(($AM$11:$AM2241&lt;&gt;"")*($AS$11:$AS2241="✓")),"")</f>
        <v/>
      </c>
      <c r="BA2241" s="21" t="str">
        <f>IF($AL2241="","",$AL2241&amp;"|"&amp;COUNTIF($AL$11:$AL2241,$AL2241))</f>
        <v/>
      </c>
    </row>
    <row r="2242" spans="38:53" ht="15" customHeight="1" x14ac:dyDescent="0.25">
      <c r="AL2242" s="31"/>
      <c r="AM2242" s="26"/>
      <c r="AN2242" s="32"/>
      <c r="AO2242" s="32"/>
      <c r="AP2242" s="24"/>
      <c r="AQ2242" s="24"/>
      <c r="AR2242" s="33"/>
      <c r="AS2242" s="34"/>
      <c r="AT2242" s="33"/>
      <c r="AV2242" s="21">
        <f>IF(AND($AL2242&lt;&gt;"",COUNTIF($AL$11:$AL2242,$AL2242)=1),1,0)</f>
        <v>0</v>
      </c>
      <c r="AW2242" s="21">
        <f t="shared" si="155"/>
        <v>0</v>
      </c>
      <c r="AX2242" s="21" t="str">
        <f t="shared" si="154"/>
        <v/>
      </c>
      <c r="AY2242" s="21" t="str">
        <f>IF(AND($AM2242&lt;&gt;"",$AS2242&lt;&gt;"✓"),SUMPRODUCT(($AM$11:$AM2242&lt;&gt;"")*($AS$11:$AS2242&lt;&gt;"✓")),"")</f>
        <v/>
      </c>
      <c r="AZ2242" s="21" t="str">
        <f>IF(AND($AM2242&lt;&gt;"",$AS2242="✓"),SUMPRODUCT(($AM$11:$AM2242&lt;&gt;"")*($AS$11:$AS2242="✓")),"")</f>
        <v/>
      </c>
      <c r="BA2242" s="21" t="str">
        <f>IF($AL2242="","",$AL2242&amp;"|"&amp;COUNTIF($AL$11:$AL2242,$AL2242))</f>
        <v/>
      </c>
    </row>
    <row r="2243" spans="38:53" ht="15" customHeight="1" x14ac:dyDescent="0.25">
      <c r="AL2243" s="17"/>
      <c r="AM2243" s="12"/>
      <c r="AN2243" s="18"/>
      <c r="AO2243" s="18"/>
      <c r="AP2243" s="10"/>
      <c r="AQ2243" s="10"/>
      <c r="AR2243" s="19"/>
      <c r="AS2243" s="20"/>
      <c r="AT2243" s="19"/>
      <c r="AV2243" s="21">
        <f>IF(AND($AL2243&lt;&gt;"",COUNTIF($AL$11:$AL2243,$AL2243)=1),1,0)</f>
        <v>0</v>
      </c>
      <c r="AW2243" s="21">
        <f t="shared" si="155"/>
        <v>0</v>
      </c>
      <c r="AX2243" s="21" t="str">
        <f t="shared" si="154"/>
        <v/>
      </c>
      <c r="AY2243" s="21" t="str">
        <f>IF(AND($AM2243&lt;&gt;"",$AS2243&lt;&gt;"✓"),SUMPRODUCT(($AM$11:$AM2243&lt;&gt;"")*($AS$11:$AS2243&lt;&gt;"✓")),"")</f>
        <v/>
      </c>
      <c r="AZ2243" s="21" t="str">
        <f>IF(AND($AM2243&lt;&gt;"",$AS2243="✓"),SUMPRODUCT(($AM$11:$AM2243&lt;&gt;"")*($AS$11:$AS2243="✓")),"")</f>
        <v/>
      </c>
      <c r="BA2243" s="21" t="str">
        <f>IF($AL2243="","",$AL2243&amp;"|"&amp;COUNTIF($AL$11:$AL2243,$AL2243))</f>
        <v/>
      </c>
    </row>
    <row r="2244" spans="38:53" ht="15" customHeight="1" x14ac:dyDescent="0.25">
      <c r="AL2244" s="31"/>
      <c r="AM2244" s="26"/>
      <c r="AN2244" s="32"/>
      <c r="AO2244" s="32"/>
      <c r="AP2244" s="24"/>
      <c r="AQ2244" s="24"/>
      <c r="AR2244" s="33"/>
      <c r="AS2244" s="34"/>
      <c r="AT2244" s="33"/>
      <c r="AV2244" s="21">
        <f>IF(AND($AL2244&lt;&gt;"",COUNTIF($AL$11:$AL2244,$AL2244)=1),1,0)</f>
        <v>0</v>
      </c>
      <c r="AW2244" s="21">
        <f t="shared" si="155"/>
        <v>0</v>
      </c>
      <c r="AX2244" s="21" t="str">
        <f t="shared" si="154"/>
        <v/>
      </c>
      <c r="AY2244" s="21" t="str">
        <f>IF(AND($AM2244&lt;&gt;"",$AS2244&lt;&gt;"✓"),SUMPRODUCT(($AM$11:$AM2244&lt;&gt;"")*($AS$11:$AS2244&lt;&gt;"✓")),"")</f>
        <v/>
      </c>
      <c r="AZ2244" s="21" t="str">
        <f>IF(AND($AM2244&lt;&gt;"",$AS2244="✓"),SUMPRODUCT(($AM$11:$AM2244&lt;&gt;"")*($AS$11:$AS2244="✓")),"")</f>
        <v/>
      </c>
      <c r="BA2244" s="21" t="str">
        <f>IF($AL2244="","",$AL2244&amp;"|"&amp;COUNTIF($AL$11:$AL2244,$AL2244))</f>
        <v/>
      </c>
    </row>
    <row r="2245" spans="38:53" ht="15" customHeight="1" x14ac:dyDescent="0.25">
      <c r="AL2245" s="17"/>
      <c r="AM2245" s="12"/>
      <c r="AN2245" s="18"/>
      <c r="AO2245" s="18"/>
      <c r="AP2245" s="10"/>
      <c r="AQ2245" s="10"/>
      <c r="AR2245" s="19"/>
      <c r="AS2245" s="20"/>
      <c r="AT2245" s="19"/>
      <c r="AV2245" s="21">
        <f>IF(AND($AL2245&lt;&gt;"",COUNTIF($AL$11:$AL2245,$AL2245)=1),1,0)</f>
        <v>0</v>
      </c>
      <c r="AW2245" s="21">
        <f t="shared" si="155"/>
        <v>0</v>
      </c>
      <c r="AX2245" s="21" t="str">
        <f t="shared" si="154"/>
        <v/>
      </c>
      <c r="AY2245" s="21" t="str">
        <f>IF(AND($AM2245&lt;&gt;"",$AS2245&lt;&gt;"✓"),SUMPRODUCT(($AM$11:$AM2245&lt;&gt;"")*($AS$11:$AS2245&lt;&gt;"✓")),"")</f>
        <v/>
      </c>
      <c r="AZ2245" s="21" t="str">
        <f>IF(AND($AM2245&lt;&gt;"",$AS2245="✓"),SUMPRODUCT(($AM$11:$AM2245&lt;&gt;"")*($AS$11:$AS2245="✓")),"")</f>
        <v/>
      </c>
      <c r="BA2245" s="21" t="str">
        <f>IF($AL2245="","",$AL2245&amp;"|"&amp;COUNTIF($AL$11:$AL2245,$AL2245))</f>
        <v/>
      </c>
    </row>
    <row r="2246" spans="38:53" ht="15" customHeight="1" x14ac:dyDescent="0.25">
      <c r="AL2246" s="31"/>
      <c r="AM2246" s="26"/>
      <c r="AN2246" s="32"/>
      <c r="AO2246" s="32"/>
      <c r="AP2246" s="24"/>
      <c r="AQ2246" s="24"/>
      <c r="AR2246" s="33"/>
      <c r="AS2246" s="34"/>
      <c r="AT2246" s="33"/>
      <c r="AV2246" s="21">
        <f>IF(AND($AL2246&lt;&gt;"",COUNTIF($AL$11:$AL2246,$AL2246)=1),1,0)</f>
        <v>0</v>
      </c>
      <c r="AW2246" s="21">
        <f t="shared" si="155"/>
        <v>0</v>
      </c>
      <c r="AX2246" s="21" t="str">
        <f t="shared" si="154"/>
        <v/>
      </c>
      <c r="AY2246" s="21" t="str">
        <f>IF(AND($AM2246&lt;&gt;"",$AS2246&lt;&gt;"✓"),SUMPRODUCT(($AM$11:$AM2246&lt;&gt;"")*($AS$11:$AS2246&lt;&gt;"✓")),"")</f>
        <v/>
      </c>
      <c r="AZ2246" s="21" t="str">
        <f>IF(AND($AM2246&lt;&gt;"",$AS2246="✓"),SUMPRODUCT(($AM$11:$AM2246&lt;&gt;"")*($AS$11:$AS2246="✓")),"")</f>
        <v/>
      </c>
      <c r="BA2246" s="21" t="str">
        <f>IF($AL2246="","",$AL2246&amp;"|"&amp;COUNTIF($AL$11:$AL2246,$AL2246))</f>
        <v/>
      </c>
    </row>
    <row r="2247" spans="38:53" ht="15" customHeight="1" x14ac:dyDescent="0.25">
      <c r="AL2247" s="17"/>
      <c r="AM2247" s="12"/>
      <c r="AN2247" s="18"/>
      <c r="AO2247" s="18"/>
      <c r="AP2247" s="10"/>
      <c r="AQ2247" s="10"/>
      <c r="AR2247" s="19"/>
      <c r="AS2247" s="20"/>
      <c r="AT2247" s="19"/>
      <c r="AV2247" s="21">
        <f>IF(AND($AL2247&lt;&gt;"",COUNTIF($AL$11:$AL2247,$AL2247)=1),1,0)</f>
        <v>0</v>
      </c>
      <c r="AW2247" s="21">
        <f t="shared" si="155"/>
        <v>0</v>
      </c>
      <c r="AX2247" s="21" t="str">
        <f t="shared" si="154"/>
        <v/>
      </c>
      <c r="AY2247" s="21" t="str">
        <f>IF(AND($AM2247&lt;&gt;"",$AS2247&lt;&gt;"✓"),SUMPRODUCT(($AM$11:$AM2247&lt;&gt;"")*($AS$11:$AS2247&lt;&gt;"✓")),"")</f>
        <v/>
      </c>
      <c r="AZ2247" s="21" t="str">
        <f>IF(AND($AM2247&lt;&gt;"",$AS2247="✓"),SUMPRODUCT(($AM$11:$AM2247&lt;&gt;"")*($AS$11:$AS2247="✓")),"")</f>
        <v/>
      </c>
      <c r="BA2247" s="21" t="str">
        <f>IF($AL2247="","",$AL2247&amp;"|"&amp;COUNTIF($AL$11:$AL2247,$AL2247))</f>
        <v/>
      </c>
    </row>
    <row r="2248" spans="38:53" ht="15" customHeight="1" x14ac:dyDescent="0.25">
      <c r="AL2248" s="31"/>
      <c r="AM2248" s="26"/>
      <c r="AN2248" s="32"/>
      <c r="AO2248" s="32"/>
      <c r="AP2248" s="24"/>
      <c r="AQ2248" s="24"/>
      <c r="AR2248" s="33"/>
      <c r="AS2248" s="34"/>
      <c r="AT2248" s="33"/>
      <c r="AV2248" s="21">
        <f>IF(AND($AL2248&lt;&gt;"",COUNTIF($AL$11:$AL2248,$AL2248)=1),1,0)</f>
        <v>0</v>
      </c>
      <c r="AW2248" s="21">
        <f t="shared" si="155"/>
        <v>0</v>
      </c>
      <c r="AX2248" s="21" t="str">
        <f t="shared" si="154"/>
        <v/>
      </c>
      <c r="AY2248" s="21" t="str">
        <f>IF(AND($AM2248&lt;&gt;"",$AS2248&lt;&gt;"✓"),SUMPRODUCT(($AM$11:$AM2248&lt;&gt;"")*($AS$11:$AS2248&lt;&gt;"✓")),"")</f>
        <v/>
      </c>
      <c r="AZ2248" s="21" t="str">
        <f>IF(AND($AM2248&lt;&gt;"",$AS2248="✓"),SUMPRODUCT(($AM$11:$AM2248&lt;&gt;"")*($AS$11:$AS2248="✓")),"")</f>
        <v/>
      </c>
      <c r="BA2248" s="21" t="str">
        <f>IF($AL2248="","",$AL2248&amp;"|"&amp;COUNTIF($AL$11:$AL2248,$AL2248))</f>
        <v/>
      </c>
    </row>
    <row r="2249" spans="38:53" ht="15" customHeight="1" x14ac:dyDescent="0.25">
      <c r="AL2249" s="17"/>
      <c r="AM2249" s="12"/>
      <c r="AN2249" s="18"/>
      <c r="AO2249" s="18"/>
      <c r="AP2249" s="10"/>
      <c r="AQ2249" s="10"/>
      <c r="AR2249" s="19"/>
      <c r="AS2249" s="20"/>
      <c r="AT2249" s="19"/>
      <c r="AV2249" s="21">
        <f>IF(AND($AL2249&lt;&gt;"",COUNTIF($AL$11:$AL2249,$AL2249)=1),1,0)</f>
        <v>0</v>
      </c>
      <c r="AW2249" s="21">
        <f t="shared" si="155"/>
        <v>0</v>
      </c>
      <c r="AX2249" s="21" t="str">
        <f t="shared" si="154"/>
        <v/>
      </c>
      <c r="AY2249" s="21" t="str">
        <f>IF(AND($AM2249&lt;&gt;"",$AS2249&lt;&gt;"✓"),SUMPRODUCT(($AM$11:$AM2249&lt;&gt;"")*($AS$11:$AS2249&lt;&gt;"✓")),"")</f>
        <v/>
      </c>
      <c r="AZ2249" s="21" t="str">
        <f>IF(AND($AM2249&lt;&gt;"",$AS2249="✓"),SUMPRODUCT(($AM$11:$AM2249&lt;&gt;"")*($AS$11:$AS2249="✓")),"")</f>
        <v/>
      </c>
      <c r="BA2249" s="21" t="str">
        <f>IF($AL2249="","",$AL2249&amp;"|"&amp;COUNTIF($AL$11:$AL2249,$AL2249))</f>
        <v/>
      </c>
    </row>
    <row r="2250" spans="38:53" ht="15" customHeight="1" x14ac:dyDescent="0.25">
      <c r="AL2250" s="31"/>
      <c r="AM2250" s="26"/>
      <c r="AN2250" s="32"/>
      <c r="AO2250" s="32"/>
      <c r="AP2250" s="24"/>
      <c r="AQ2250" s="24"/>
      <c r="AR2250" s="33"/>
      <c r="AS2250" s="34"/>
      <c r="AT2250" s="33"/>
      <c r="AV2250" s="21">
        <f>IF(AND($AL2250&lt;&gt;"",COUNTIF($AL$11:$AL2250,$AL2250)=1),1,0)</f>
        <v>0</v>
      </c>
      <c r="AW2250" s="21">
        <f t="shared" si="155"/>
        <v>0</v>
      </c>
      <c r="AX2250" s="21" t="str">
        <f t="shared" si="154"/>
        <v/>
      </c>
      <c r="AY2250" s="21" t="str">
        <f>IF(AND($AM2250&lt;&gt;"",$AS2250&lt;&gt;"✓"),SUMPRODUCT(($AM$11:$AM2250&lt;&gt;"")*($AS$11:$AS2250&lt;&gt;"✓")),"")</f>
        <v/>
      </c>
      <c r="AZ2250" s="21" t="str">
        <f>IF(AND($AM2250&lt;&gt;"",$AS2250="✓"),SUMPRODUCT(($AM$11:$AM2250&lt;&gt;"")*($AS$11:$AS2250="✓")),"")</f>
        <v/>
      </c>
      <c r="BA2250" s="21" t="str">
        <f>IF($AL2250="","",$AL2250&amp;"|"&amp;COUNTIF($AL$11:$AL2250,$AL2250))</f>
        <v/>
      </c>
    </row>
    <row r="2251" spans="38:53" ht="15" customHeight="1" x14ac:dyDescent="0.25">
      <c r="AL2251" s="17"/>
      <c r="AM2251" s="12"/>
      <c r="AN2251" s="18"/>
      <c r="AO2251" s="18"/>
      <c r="AP2251" s="10"/>
      <c r="AQ2251" s="10"/>
      <c r="AR2251" s="19"/>
      <c r="AS2251" s="20"/>
      <c r="AT2251" s="19"/>
      <c r="AV2251" s="21">
        <f>IF(AND($AL2251&lt;&gt;"",COUNTIF($AL$11:$AL2251,$AL2251)=1),1,0)</f>
        <v>0</v>
      </c>
      <c r="AW2251" s="21">
        <f t="shared" si="155"/>
        <v>0</v>
      </c>
      <c r="AX2251" s="21" t="str">
        <f t="shared" ref="AX2251:AX2314" si="156">IF(AV2251=1,AW2251,"")</f>
        <v/>
      </c>
      <c r="AY2251" s="21" t="str">
        <f>IF(AND($AM2251&lt;&gt;"",$AS2251&lt;&gt;"✓"),SUMPRODUCT(($AM$11:$AM2251&lt;&gt;"")*($AS$11:$AS2251&lt;&gt;"✓")),"")</f>
        <v/>
      </c>
      <c r="AZ2251" s="21" t="str">
        <f>IF(AND($AM2251&lt;&gt;"",$AS2251="✓"),SUMPRODUCT(($AM$11:$AM2251&lt;&gt;"")*($AS$11:$AS2251="✓")),"")</f>
        <v/>
      </c>
      <c r="BA2251" s="21" t="str">
        <f>IF($AL2251="","",$AL2251&amp;"|"&amp;COUNTIF($AL$11:$AL2251,$AL2251))</f>
        <v/>
      </c>
    </row>
    <row r="2252" spans="38:53" ht="15" customHeight="1" x14ac:dyDescent="0.25">
      <c r="AL2252" s="31"/>
      <c r="AM2252" s="26"/>
      <c r="AN2252" s="32"/>
      <c r="AO2252" s="32"/>
      <c r="AP2252" s="24"/>
      <c r="AQ2252" s="24"/>
      <c r="AR2252" s="33"/>
      <c r="AS2252" s="34"/>
      <c r="AT2252" s="33"/>
      <c r="AV2252" s="21">
        <f>IF(AND($AL2252&lt;&gt;"",COUNTIF($AL$11:$AL2252,$AL2252)=1),1,0)</f>
        <v>0</v>
      </c>
      <c r="AW2252" s="21">
        <f t="shared" ref="AW2252:AW2315" si="157">AW2251+AV2252</f>
        <v>0</v>
      </c>
      <c r="AX2252" s="21" t="str">
        <f t="shared" si="156"/>
        <v/>
      </c>
      <c r="AY2252" s="21" t="str">
        <f>IF(AND($AM2252&lt;&gt;"",$AS2252&lt;&gt;"✓"),SUMPRODUCT(($AM$11:$AM2252&lt;&gt;"")*($AS$11:$AS2252&lt;&gt;"✓")),"")</f>
        <v/>
      </c>
      <c r="AZ2252" s="21" t="str">
        <f>IF(AND($AM2252&lt;&gt;"",$AS2252="✓"),SUMPRODUCT(($AM$11:$AM2252&lt;&gt;"")*($AS$11:$AS2252="✓")),"")</f>
        <v/>
      </c>
      <c r="BA2252" s="21" t="str">
        <f>IF($AL2252="","",$AL2252&amp;"|"&amp;COUNTIF($AL$11:$AL2252,$AL2252))</f>
        <v/>
      </c>
    </row>
    <row r="2253" spans="38:53" ht="15" customHeight="1" x14ac:dyDescent="0.25">
      <c r="AL2253" s="17"/>
      <c r="AM2253" s="12"/>
      <c r="AN2253" s="18"/>
      <c r="AO2253" s="18"/>
      <c r="AP2253" s="10"/>
      <c r="AQ2253" s="10"/>
      <c r="AR2253" s="19"/>
      <c r="AS2253" s="20"/>
      <c r="AT2253" s="19"/>
      <c r="AV2253" s="21">
        <f>IF(AND($AL2253&lt;&gt;"",COUNTIF($AL$11:$AL2253,$AL2253)=1),1,0)</f>
        <v>0</v>
      </c>
      <c r="AW2253" s="21">
        <f t="shared" si="157"/>
        <v>0</v>
      </c>
      <c r="AX2253" s="21" t="str">
        <f t="shared" si="156"/>
        <v/>
      </c>
      <c r="AY2253" s="21" t="str">
        <f>IF(AND($AM2253&lt;&gt;"",$AS2253&lt;&gt;"✓"),SUMPRODUCT(($AM$11:$AM2253&lt;&gt;"")*($AS$11:$AS2253&lt;&gt;"✓")),"")</f>
        <v/>
      </c>
      <c r="AZ2253" s="21" t="str">
        <f>IF(AND($AM2253&lt;&gt;"",$AS2253="✓"),SUMPRODUCT(($AM$11:$AM2253&lt;&gt;"")*($AS$11:$AS2253="✓")),"")</f>
        <v/>
      </c>
      <c r="BA2253" s="21" t="str">
        <f>IF($AL2253="","",$AL2253&amp;"|"&amp;COUNTIF($AL$11:$AL2253,$AL2253))</f>
        <v/>
      </c>
    </row>
    <row r="2254" spans="38:53" ht="15" customHeight="1" x14ac:dyDescent="0.25">
      <c r="AL2254" s="31"/>
      <c r="AM2254" s="26"/>
      <c r="AN2254" s="32"/>
      <c r="AO2254" s="32"/>
      <c r="AP2254" s="24"/>
      <c r="AQ2254" s="24"/>
      <c r="AR2254" s="33"/>
      <c r="AS2254" s="34"/>
      <c r="AT2254" s="33"/>
      <c r="AV2254" s="21">
        <f>IF(AND($AL2254&lt;&gt;"",COUNTIF($AL$11:$AL2254,$AL2254)=1),1,0)</f>
        <v>0</v>
      </c>
      <c r="AW2254" s="21">
        <f t="shared" si="157"/>
        <v>0</v>
      </c>
      <c r="AX2254" s="21" t="str">
        <f t="shared" si="156"/>
        <v/>
      </c>
      <c r="AY2254" s="21" t="str">
        <f>IF(AND($AM2254&lt;&gt;"",$AS2254&lt;&gt;"✓"),SUMPRODUCT(($AM$11:$AM2254&lt;&gt;"")*($AS$11:$AS2254&lt;&gt;"✓")),"")</f>
        <v/>
      </c>
      <c r="AZ2254" s="21" t="str">
        <f>IF(AND($AM2254&lt;&gt;"",$AS2254="✓"),SUMPRODUCT(($AM$11:$AM2254&lt;&gt;"")*($AS$11:$AS2254="✓")),"")</f>
        <v/>
      </c>
      <c r="BA2254" s="21" t="str">
        <f>IF($AL2254="","",$AL2254&amp;"|"&amp;COUNTIF($AL$11:$AL2254,$AL2254))</f>
        <v/>
      </c>
    </row>
    <row r="2255" spans="38:53" ht="15" customHeight="1" x14ac:dyDescent="0.25">
      <c r="AL2255" s="17"/>
      <c r="AM2255" s="12"/>
      <c r="AN2255" s="18"/>
      <c r="AO2255" s="18"/>
      <c r="AP2255" s="10"/>
      <c r="AQ2255" s="10"/>
      <c r="AR2255" s="19"/>
      <c r="AS2255" s="20"/>
      <c r="AT2255" s="19"/>
      <c r="AV2255" s="21">
        <f>IF(AND($AL2255&lt;&gt;"",COUNTIF($AL$11:$AL2255,$AL2255)=1),1,0)</f>
        <v>0</v>
      </c>
      <c r="AW2255" s="21">
        <f t="shared" si="157"/>
        <v>0</v>
      </c>
      <c r="AX2255" s="21" t="str">
        <f t="shared" si="156"/>
        <v/>
      </c>
      <c r="AY2255" s="21" t="str">
        <f>IF(AND($AM2255&lt;&gt;"",$AS2255&lt;&gt;"✓"),SUMPRODUCT(($AM$11:$AM2255&lt;&gt;"")*($AS$11:$AS2255&lt;&gt;"✓")),"")</f>
        <v/>
      </c>
      <c r="AZ2255" s="21" t="str">
        <f>IF(AND($AM2255&lt;&gt;"",$AS2255="✓"),SUMPRODUCT(($AM$11:$AM2255&lt;&gt;"")*($AS$11:$AS2255="✓")),"")</f>
        <v/>
      </c>
      <c r="BA2255" s="21" t="str">
        <f>IF($AL2255="","",$AL2255&amp;"|"&amp;COUNTIF($AL$11:$AL2255,$AL2255))</f>
        <v/>
      </c>
    </row>
    <row r="2256" spans="38:53" ht="15" customHeight="1" x14ac:dyDescent="0.25">
      <c r="AL2256" s="31"/>
      <c r="AM2256" s="26"/>
      <c r="AN2256" s="32"/>
      <c r="AO2256" s="32"/>
      <c r="AP2256" s="24"/>
      <c r="AQ2256" s="24"/>
      <c r="AR2256" s="33"/>
      <c r="AS2256" s="34"/>
      <c r="AT2256" s="33"/>
      <c r="AV2256" s="21">
        <f>IF(AND($AL2256&lt;&gt;"",COUNTIF($AL$11:$AL2256,$AL2256)=1),1,0)</f>
        <v>0</v>
      </c>
      <c r="AW2256" s="21">
        <f t="shared" si="157"/>
        <v>0</v>
      </c>
      <c r="AX2256" s="21" t="str">
        <f t="shared" si="156"/>
        <v/>
      </c>
      <c r="AY2256" s="21" t="str">
        <f>IF(AND($AM2256&lt;&gt;"",$AS2256&lt;&gt;"✓"),SUMPRODUCT(($AM$11:$AM2256&lt;&gt;"")*($AS$11:$AS2256&lt;&gt;"✓")),"")</f>
        <v/>
      </c>
      <c r="AZ2256" s="21" t="str">
        <f>IF(AND($AM2256&lt;&gt;"",$AS2256="✓"),SUMPRODUCT(($AM$11:$AM2256&lt;&gt;"")*($AS$11:$AS2256="✓")),"")</f>
        <v/>
      </c>
      <c r="BA2256" s="21" t="str">
        <f>IF($AL2256="","",$AL2256&amp;"|"&amp;COUNTIF($AL$11:$AL2256,$AL2256))</f>
        <v/>
      </c>
    </row>
    <row r="2257" spans="38:53" ht="15" customHeight="1" x14ac:dyDescent="0.25">
      <c r="AL2257" s="17"/>
      <c r="AM2257" s="12"/>
      <c r="AN2257" s="18"/>
      <c r="AO2257" s="18"/>
      <c r="AP2257" s="10"/>
      <c r="AQ2257" s="10"/>
      <c r="AR2257" s="19"/>
      <c r="AS2257" s="20"/>
      <c r="AT2257" s="19"/>
      <c r="AV2257" s="21">
        <f>IF(AND($AL2257&lt;&gt;"",COUNTIF($AL$11:$AL2257,$AL2257)=1),1,0)</f>
        <v>0</v>
      </c>
      <c r="AW2257" s="21">
        <f t="shared" si="157"/>
        <v>0</v>
      </c>
      <c r="AX2257" s="21" t="str">
        <f t="shared" si="156"/>
        <v/>
      </c>
      <c r="AY2257" s="21" t="str">
        <f>IF(AND($AM2257&lt;&gt;"",$AS2257&lt;&gt;"✓"),SUMPRODUCT(($AM$11:$AM2257&lt;&gt;"")*($AS$11:$AS2257&lt;&gt;"✓")),"")</f>
        <v/>
      </c>
      <c r="AZ2257" s="21" t="str">
        <f>IF(AND($AM2257&lt;&gt;"",$AS2257="✓"),SUMPRODUCT(($AM$11:$AM2257&lt;&gt;"")*($AS$11:$AS2257="✓")),"")</f>
        <v/>
      </c>
      <c r="BA2257" s="21" t="str">
        <f>IF($AL2257="","",$AL2257&amp;"|"&amp;COUNTIF($AL$11:$AL2257,$AL2257))</f>
        <v/>
      </c>
    </row>
    <row r="2258" spans="38:53" ht="15" customHeight="1" x14ac:dyDescent="0.25">
      <c r="AL2258" s="31"/>
      <c r="AM2258" s="26"/>
      <c r="AN2258" s="32"/>
      <c r="AO2258" s="32"/>
      <c r="AP2258" s="24"/>
      <c r="AQ2258" s="24"/>
      <c r="AR2258" s="33"/>
      <c r="AS2258" s="34"/>
      <c r="AT2258" s="33"/>
      <c r="AV2258" s="21">
        <f>IF(AND($AL2258&lt;&gt;"",COUNTIF($AL$11:$AL2258,$AL2258)=1),1,0)</f>
        <v>0</v>
      </c>
      <c r="AW2258" s="21">
        <f t="shared" si="157"/>
        <v>0</v>
      </c>
      <c r="AX2258" s="21" t="str">
        <f t="shared" si="156"/>
        <v/>
      </c>
      <c r="AY2258" s="21" t="str">
        <f>IF(AND($AM2258&lt;&gt;"",$AS2258&lt;&gt;"✓"),SUMPRODUCT(($AM$11:$AM2258&lt;&gt;"")*($AS$11:$AS2258&lt;&gt;"✓")),"")</f>
        <v/>
      </c>
      <c r="AZ2258" s="21" t="str">
        <f>IF(AND($AM2258&lt;&gt;"",$AS2258="✓"),SUMPRODUCT(($AM$11:$AM2258&lt;&gt;"")*($AS$11:$AS2258="✓")),"")</f>
        <v/>
      </c>
      <c r="BA2258" s="21" t="str">
        <f>IF($AL2258="","",$AL2258&amp;"|"&amp;COUNTIF($AL$11:$AL2258,$AL2258))</f>
        <v/>
      </c>
    </row>
    <row r="2259" spans="38:53" ht="15" customHeight="1" x14ac:dyDescent="0.25">
      <c r="AL2259" s="17"/>
      <c r="AM2259" s="12"/>
      <c r="AN2259" s="18"/>
      <c r="AO2259" s="18"/>
      <c r="AP2259" s="10"/>
      <c r="AQ2259" s="10"/>
      <c r="AR2259" s="19"/>
      <c r="AS2259" s="20"/>
      <c r="AT2259" s="19"/>
      <c r="AV2259" s="21">
        <f>IF(AND($AL2259&lt;&gt;"",COUNTIF($AL$11:$AL2259,$AL2259)=1),1,0)</f>
        <v>0</v>
      </c>
      <c r="AW2259" s="21">
        <f t="shared" si="157"/>
        <v>0</v>
      </c>
      <c r="AX2259" s="21" t="str">
        <f t="shared" si="156"/>
        <v/>
      </c>
      <c r="AY2259" s="21" t="str">
        <f>IF(AND($AM2259&lt;&gt;"",$AS2259&lt;&gt;"✓"),SUMPRODUCT(($AM$11:$AM2259&lt;&gt;"")*($AS$11:$AS2259&lt;&gt;"✓")),"")</f>
        <v/>
      </c>
      <c r="AZ2259" s="21" t="str">
        <f>IF(AND($AM2259&lt;&gt;"",$AS2259="✓"),SUMPRODUCT(($AM$11:$AM2259&lt;&gt;"")*($AS$11:$AS2259="✓")),"")</f>
        <v/>
      </c>
      <c r="BA2259" s="21" t="str">
        <f>IF($AL2259="","",$AL2259&amp;"|"&amp;COUNTIF($AL$11:$AL2259,$AL2259))</f>
        <v/>
      </c>
    </row>
    <row r="2260" spans="38:53" ht="15" customHeight="1" x14ac:dyDescent="0.25">
      <c r="AL2260" s="31"/>
      <c r="AM2260" s="26"/>
      <c r="AN2260" s="32"/>
      <c r="AO2260" s="32"/>
      <c r="AP2260" s="24"/>
      <c r="AQ2260" s="24"/>
      <c r="AR2260" s="33"/>
      <c r="AS2260" s="34"/>
      <c r="AT2260" s="33"/>
      <c r="AV2260" s="21">
        <f>IF(AND($AL2260&lt;&gt;"",COUNTIF($AL$11:$AL2260,$AL2260)=1),1,0)</f>
        <v>0</v>
      </c>
      <c r="AW2260" s="21">
        <f t="shared" si="157"/>
        <v>0</v>
      </c>
      <c r="AX2260" s="21" t="str">
        <f t="shared" si="156"/>
        <v/>
      </c>
      <c r="AY2260" s="21" t="str">
        <f>IF(AND($AM2260&lt;&gt;"",$AS2260&lt;&gt;"✓"),SUMPRODUCT(($AM$11:$AM2260&lt;&gt;"")*($AS$11:$AS2260&lt;&gt;"✓")),"")</f>
        <v/>
      </c>
      <c r="AZ2260" s="21" t="str">
        <f>IF(AND($AM2260&lt;&gt;"",$AS2260="✓"),SUMPRODUCT(($AM$11:$AM2260&lt;&gt;"")*($AS$11:$AS2260="✓")),"")</f>
        <v/>
      </c>
      <c r="BA2260" s="21" t="str">
        <f>IF($AL2260="","",$AL2260&amp;"|"&amp;COUNTIF($AL$11:$AL2260,$AL2260))</f>
        <v/>
      </c>
    </row>
    <row r="2261" spans="38:53" ht="15" customHeight="1" x14ac:dyDescent="0.25">
      <c r="AL2261" s="17"/>
      <c r="AM2261" s="12"/>
      <c r="AN2261" s="18"/>
      <c r="AO2261" s="18"/>
      <c r="AP2261" s="10"/>
      <c r="AQ2261" s="10"/>
      <c r="AR2261" s="19"/>
      <c r="AS2261" s="20"/>
      <c r="AT2261" s="19"/>
      <c r="AV2261" s="21">
        <f>IF(AND($AL2261&lt;&gt;"",COUNTIF($AL$11:$AL2261,$AL2261)=1),1,0)</f>
        <v>0</v>
      </c>
      <c r="AW2261" s="21">
        <f t="shared" si="157"/>
        <v>0</v>
      </c>
      <c r="AX2261" s="21" t="str">
        <f t="shared" si="156"/>
        <v/>
      </c>
      <c r="AY2261" s="21" t="str">
        <f>IF(AND($AM2261&lt;&gt;"",$AS2261&lt;&gt;"✓"),SUMPRODUCT(($AM$11:$AM2261&lt;&gt;"")*($AS$11:$AS2261&lt;&gt;"✓")),"")</f>
        <v/>
      </c>
      <c r="AZ2261" s="21" t="str">
        <f>IF(AND($AM2261&lt;&gt;"",$AS2261="✓"),SUMPRODUCT(($AM$11:$AM2261&lt;&gt;"")*($AS$11:$AS2261="✓")),"")</f>
        <v/>
      </c>
      <c r="BA2261" s="21" t="str">
        <f>IF($AL2261="","",$AL2261&amp;"|"&amp;COUNTIF($AL$11:$AL2261,$AL2261))</f>
        <v/>
      </c>
    </row>
    <row r="2262" spans="38:53" ht="15" customHeight="1" x14ac:dyDescent="0.25">
      <c r="AL2262" s="31"/>
      <c r="AM2262" s="26"/>
      <c r="AN2262" s="32"/>
      <c r="AO2262" s="32"/>
      <c r="AP2262" s="24"/>
      <c r="AQ2262" s="24"/>
      <c r="AR2262" s="33"/>
      <c r="AS2262" s="34"/>
      <c r="AT2262" s="33"/>
      <c r="AV2262" s="21">
        <f>IF(AND($AL2262&lt;&gt;"",COUNTIF($AL$11:$AL2262,$AL2262)=1),1,0)</f>
        <v>0</v>
      </c>
      <c r="AW2262" s="21">
        <f t="shared" si="157"/>
        <v>0</v>
      </c>
      <c r="AX2262" s="21" t="str">
        <f t="shared" si="156"/>
        <v/>
      </c>
      <c r="AY2262" s="21" t="str">
        <f>IF(AND($AM2262&lt;&gt;"",$AS2262&lt;&gt;"✓"),SUMPRODUCT(($AM$11:$AM2262&lt;&gt;"")*($AS$11:$AS2262&lt;&gt;"✓")),"")</f>
        <v/>
      </c>
      <c r="AZ2262" s="21" t="str">
        <f>IF(AND($AM2262&lt;&gt;"",$AS2262="✓"),SUMPRODUCT(($AM$11:$AM2262&lt;&gt;"")*($AS$11:$AS2262="✓")),"")</f>
        <v/>
      </c>
      <c r="BA2262" s="21" t="str">
        <f>IF($AL2262="","",$AL2262&amp;"|"&amp;COUNTIF($AL$11:$AL2262,$AL2262))</f>
        <v/>
      </c>
    </row>
    <row r="2263" spans="38:53" ht="15" customHeight="1" x14ac:dyDescent="0.25">
      <c r="AL2263" s="17"/>
      <c r="AM2263" s="12"/>
      <c r="AN2263" s="18"/>
      <c r="AO2263" s="18"/>
      <c r="AP2263" s="10"/>
      <c r="AQ2263" s="10"/>
      <c r="AR2263" s="19"/>
      <c r="AS2263" s="20"/>
      <c r="AT2263" s="19"/>
      <c r="AV2263" s="21">
        <f>IF(AND($AL2263&lt;&gt;"",COUNTIF($AL$11:$AL2263,$AL2263)=1),1,0)</f>
        <v>0</v>
      </c>
      <c r="AW2263" s="21">
        <f t="shared" si="157"/>
        <v>0</v>
      </c>
      <c r="AX2263" s="21" t="str">
        <f t="shared" si="156"/>
        <v/>
      </c>
      <c r="AY2263" s="21" t="str">
        <f>IF(AND($AM2263&lt;&gt;"",$AS2263&lt;&gt;"✓"),SUMPRODUCT(($AM$11:$AM2263&lt;&gt;"")*($AS$11:$AS2263&lt;&gt;"✓")),"")</f>
        <v/>
      </c>
      <c r="AZ2263" s="21" t="str">
        <f>IF(AND($AM2263&lt;&gt;"",$AS2263="✓"),SUMPRODUCT(($AM$11:$AM2263&lt;&gt;"")*($AS$11:$AS2263="✓")),"")</f>
        <v/>
      </c>
      <c r="BA2263" s="21" t="str">
        <f>IF($AL2263="","",$AL2263&amp;"|"&amp;COUNTIF($AL$11:$AL2263,$AL2263))</f>
        <v/>
      </c>
    </row>
    <row r="2264" spans="38:53" ht="15" customHeight="1" x14ac:dyDescent="0.25">
      <c r="AL2264" s="31"/>
      <c r="AM2264" s="26"/>
      <c r="AN2264" s="32"/>
      <c r="AO2264" s="32"/>
      <c r="AP2264" s="24"/>
      <c r="AQ2264" s="24"/>
      <c r="AR2264" s="33"/>
      <c r="AS2264" s="34"/>
      <c r="AT2264" s="33"/>
      <c r="AV2264" s="21">
        <f>IF(AND($AL2264&lt;&gt;"",COUNTIF($AL$11:$AL2264,$AL2264)=1),1,0)</f>
        <v>0</v>
      </c>
      <c r="AW2264" s="21">
        <f t="shared" si="157"/>
        <v>0</v>
      </c>
      <c r="AX2264" s="21" t="str">
        <f t="shared" si="156"/>
        <v/>
      </c>
      <c r="AY2264" s="21" t="str">
        <f>IF(AND($AM2264&lt;&gt;"",$AS2264&lt;&gt;"✓"),SUMPRODUCT(($AM$11:$AM2264&lt;&gt;"")*($AS$11:$AS2264&lt;&gt;"✓")),"")</f>
        <v/>
      </c>
      <c r="AZ2264" s="21" t="str">
        <f>IF(AND($AM2264&lt;&gt;"",$AS2264="✓"),SUMPRODUCT(($AM$11:$AM2264&lt;&gt;"")*($AS$11:$AS2264="✓")),"")</f>
        <v/>
      </c>
      <c r="BA2264" s="21" t="str">
        <f>IF($AL2264="","",$AL2264&amp;"|"&amp;COUNTIF($AL$11:$AL2264,$AL2264))</f>
        <v/>
      </c>
    </row>
    <row r="2265" spans="38:53" ht="15" customHeight="1" x14ac:dyDescent="0.25">
      <c r="AL2265" s="17"/>
      <c r="AM2265" s="12"/>
      <c r="AN2265" s="18"/>
      <c r="AO2265" s="18"/>
      <c r="AP2265" s="10"/>
      <c r="AQ2265" s="10"/>
      <c r="AR2265" s="19"/>
      <c r="AS2265" s="20"/>
      <c r="AT2265" s="19"/>
      <c r="AV2265" s="21">
        <f>IF(AND($AL2265&lt;&gt;"",COUNTIF($AL$11:$AL2265,$AL2265)=1),1,0)</f>
        <v>0</v>
      </c>
      <c r="AW2265" s="21">
        <f t="shared" si="157"/>
        <v>0</v>
      </c>
      <c r="AX2265" s="21" t="str">
        <f t="shared" si="156"/>
        <v/>
      </c>
      <c r="AY2265" s="21" t="str">
        <f>IF(AND($AM2265&lt;&gt;"",$AS2265&lt;&gt;"✓"),SUMPRODUCT(($AM$11:$AM2265&lt;&gt;"")*($AS$11:$AS2265&lt;&gt;"✓")),"")</f>
        <v/>
      </c>
      <c r="AZ2265" s="21" t="str">
        <f>IF(AND($AM2265&lt;&gt;"",$AS2265="✓"),SUMPRODUCT(($AM$11:$AM2265&lt;&gt;"")*($AS$11:$AS2265="✓")),"")</f>
        <v/>
      </c>
      <c r="BA2265" s="21" t="str">
        <f>IF($AL2265="","",$AL2265&amp;"|"&amp;COUNTIF($AL$11:$AL2265,$AL2265))</f>
        <v/>
      </c>
    </row>
    <row r="2266" spans="38:53" ht="15" customHeight="1" x14ac:dyDescent="0.25">
      <c r="AL2266" s="31"/>
      <c r="AM2266" s="26"/>
      <c r="AN2266" s="32"/>
      <c r="AO2266" s="32"/>
      <c r="AP2266" s="24"/>
      <c r="AQ2266" s="24"/>
      <c r="AR2266" s="33"/>
      <c r="AS2266" s="34"/>
      <c r="AT2266" s="33"/>
      <c r="AV2266" s="21">
        <f>IF(AND($AL2266&lt;&gt;"",COUNTIF($AL$11:$AL2266,$AL2266)=1),1,0)</f>
        <v>0</v>
      </c>
      <c r="AW2266" s="21">
        <f t="shared" si="157"/>
        <v>0</v>
      </c>
      <c r="AX2266" s="21" t="str">
        <f t="shared" si="156"/>
        <v/>
      </c>
      <c r="AY2266" s="21" t="str">
        <f>IF(AND($AM2266&lt;&gt;"",$AS2266&lt;&gt;"✓"),SUMPRODUCT(($AM$11:$AM2266&lt;&gt;"")*($AS$11:$AS2266&lt;&gt;"✓")),"")</f>
        <v/>
      </c>
      <c r="AZ2266" s="21" t="str">
        <f>IF(AND($AM2266&lt;&gt;"",$AS2266="✓"),SUMPRODUCT(($AM$11:$AM2266&lt;&gt;"")*($AS$11:$AS2266="✓")),"")</f>
        <v/>
      </c>
      <c r="BA2266" s="21" t="str">
        <f>IF($AL2266="","",$AL2266&amp;"|"&amp;COUNTIF($AL$11:$AL2266,$AL2266))</f>
        <v/>
      </c>
    </row>
    <row r="2267" spans="38:53" ht="15" customHeight="1" x14ac:dyDescent="0.25">
      <c r="AL2267" s="17"/>
      <c r="AM2267" s="12"/>
      <c r="AN2267" s="18"/>
      <c r="AO2267" s="18"/>
      <c r="AP2267" s="10"/>
      <c r="AQ2267" s="10"/>
      <c r="AR2267" s="19"/>
      <c r="AS2267" s="20"/>
      <c r="AT2267" s="19"/>
      <c r="AV2267" s="21">
        <f>IF(AND($AL2267&lt;&gt;"",COUNTIF($AL$11:$AL2267,$AL2267)=1),1,0)</f>
        <v>0</v>
      </c>
      <c r="AW2267" s="21">
        <f t="shared" si="157"/>
        <v>0</v>
      </c>
      <c r="AX2267" s="21" t="str">
        <f t="shared" si="156"/>
        <v/>
      </c>
      <c r="AY2267" s="21" t="str">
        <f>IF(AND($AM2267&lt;&gt;"",$AS2267&lt;&gt;"✓"),SUMPRODUCT(($AM$11:$AM2267&lt;&gt;"")*($AS$11:$AS2267&lt;&gt;"✓")),"")</f>
        <v/>
      </c>
      <c r="AZ2267" s="21" t="str">
        <f>IF(AND($AM2267&lt;&gt;"",$AS2267="✓"),SUMPRODUCT(($AM$11:$AM2267&lt;&gt;"")*($AS$11:$AS2267="✓")),"")</f>
        <v/>
      </c>
      <c r="BA2267" s="21" t="str">
        <f>IF($AL2267="","",$AL2267&amp;"|"&amp;COUNTIF($AL$11:$AL2267,$AL2267))</f>
        <v/>
      </c>
    </row>
    <row r="2268" spans="38:53" ht="15" customHeight="1" x14ac:dyDescent="0.25">
      <c r="AL2268" s="31"/>
      <c r="AM2268" s="26"/>
      <c r="AN2268" s="32"/>
      <c r="AO2268" s="32"/>
      <c r="AP2268" s="24"/>
      <c r="AQ2268" s="24"/>
      <c r="AR2268" s="33"/>
      <c r="AS2268" s="34"/>
      <c r="AT2268" s="33"/>
      <c r="AV2268" s="21">
        <f>IF(AND($AL2268&lt;&gt;"",COUNTIF($AL$11:$AL2268,$AL2268)=1),1,0)</f>
        <v>0</v>
      </c>
      <c r="AW2268" s="21">
        <f t="shared" si="157"/>
        <v>0</v>
      </c>
      <c r="AX2268" s="21" t="str">
        <f t="shared" si="156"/>
        <v/>
      </c>
      <c r="AY2268" s="21" t="str">
        <f>IF(AND($AM2268&lt;&gt;"",$AS2268&lt;&gt;"✓"),SUMPRODUCT(($AM$11:$AM2268&lt;&gt;"")*($AS$11:$AS2268&lt;&gt;"✓")),"")</f>
        <v/>
      </c>
      <c r="AZ2268" s="21" t="str">
        <f>IF(AND($AM2268&lt;&gt;"",$AS2268="✓"),SUMPRODUCT(($AM$11:$AM2268&lt;&gt;"")*($AS$11:$AS2268="✓")),"")</f>
        <v/>
      </c>
      <c r="BA2268" s="21" t="str">
        <f>IF($AL2268="","",$AL2268&amp;"|"&amp;COUNTIF($AL$11:$AL2268,$AL2268))</f>
        <v/>
      </c>
    </row>
    <row r="2269" spans="38:53" ht="15" customHeight="1" x14ac:dyDescent="0.25">
      <c r="AL2269" s="17"/>
      <c r="AM2269" s="12"/>
      <c r="AN2269" s="18"/>
      <c r="AO2269" s="18"/>
      <c r="AP2269" s="10"/>
      <c r="AQ2269" s="10"/>
      <c r="AR2269" s="19"/>
      <c r="AS2269" s="20"/>
      <c r="AT2269" s="19"/>
      <c r="AV2269" s="21">
        <f>IF(AND($AL2269&lt;&gt;"",COUNTIF($AL$11:$AL2269,$AL2269)=1),1,0)</f>
        <v>0</v>
      </c>
      <c r="AW2269" s="21">
        <f t="shared" si="157"/>
        <v>0</v>
      </c>
      <c r="AX2269" s="21" t="str">
        <f t="shared" si="156"/>
        <v/>
      </c>
      <c r="AY2269" s="21" t="str">
        <f>IF(AND($AM2269&lt;&gt;"",$AS2269&lt;&gt;"✓"),SUMPRODUCT(($AM$11:$AM2269&lt;&gt;"")*($AS$11:$AS2269&lt;&gt;"✓")),"")</f>
        <v/>
      </c>
      <c r="AZ2269" s="21" t="str">
        <f>IF(AND($AM2269&lt;&gt;"",$AS2269="✓"),SUMPRODUCT(($AM$11:$AM2269&lt;&gt;"")*($AS$11:$AS2269="✓")),"")</f>
        <v/>
      </c>
      <c r="BA2269" s="21" t="str">
        <f>IF($AL2269="","",$AL2269&amp;"|"&amp;COUNTIF($AL$11:$AL2269,$AL2269))</f>
        <v/>
      </c>
    </row>
    <row r="2270" spans="38:53" ht="15" customHeight="1" x14ac:dyDescent="0.25">
      <c r="AL2270" s="31"/>
      <c r="AM2270" s="26"/>
      <c r="AN2270" s="32"/>
      <c r="AO2270" s="32"/>
      <c r="AP2270" s="24"/>
      <c r="AQ2270" s="24"/>
      <c r="AR2270" s="33"/>
      <c r="AS2270" s="34"/>
      <c r="AT2270" s="33"/>
      <c r="AV2270" s="21">
        <f>IF(AND($AL2270&lt;&gt;"",COUNTIF($AL$11:$AL2270,$AL2270)=1),1,0)</f>
        <v>0</v>
      </c>
      <c r="AW2270" s="21">
        <f t="shared" si="157"/>
        <v>0</v>
      </c>
      <c r="AX2270" s="21" t="str">
        <f t="shared" si="156"/>
        <v/>
      </c>
      <c r="AY2270" s="21" t="str">
        <f>IF(AND($AM2270&lt;&gt;"",$AS2270&lt;&gt;"✓"),SUMPRODUCT(($AM$11:$AM2270&lt;&gt;"")*($AS$11:$AS2270&lt;&gt;"✓")),"")</f>
        <v/>
      </c>
      <c r="AZ2270" s="21" t="str">
        <f>IF(AND($AM2270&lt;&gt;"",$AS2270="✓"),SUMPRODUCT(($AM$11:$AM2270&lt;&gt;"")*($AS$11:$AS2270="✓")),"")</f>
        <v/>
      </c>
      <c r="BA2270" s="21" t="str">
        <f>IF($AL2270="","",$AL2270&amp;"|"&amp;COUNTIF($AL$11:$AL2270,$AL2270))</f>
        <v/>
      </c>
    </row>
    <row r="2271" spans="38:53" ht="15" customHeight="1" x14ac:dyDescent="0.25">
      <c r="AL2271" s="17"/>
      <c r="AM2271" s="12"/>
      <c r="AN2271" s="18"/>
      <c r="AO2271" s="18"/>
      <c r="AP2271" s="10"/>
      <c r="AQ2271" s="10"/>
      <c r="AR2271" s="19"/>
      <c r="AS2271" s="20"/>
      <c r="AT2271" s="19"/>
      <c r="AV2271" s="21">
        <f>IF(AND($AL2271&lt;&gt;"",COUNTIF($AL$11:$AL2271,$AL2271)=1),1,0)</f>
        <v>0</v>
      </c>
      <c r="AW2271" s="21">
        <f t="shared" si="157"/>
        <v>0</v>
      </c>
      <c r="AX2271" s="21" t="str">
        <f t="shared" si="156"/>
        <v/>
      </c>
      <c r="AY2271" s="21" t="str">
        <f>IF(AND($AM2271&lt;&gt;"",$AS2271&lt;&gt;"✓"),SUMPRODUCT(($AM$11:$AM2271&lt;&gt;"")*($AS$11:$AS2271&lt;&gt;"✓")),"")</f>
        <v/>
      </c>
      <c r="AZ2271" s="21" t="str">
        <f>IF(AND($AM2271&lt;&gt;"",$AS2271="✓"),SUMPRODUCT(($AM$11:$AM2271&lt;&gt;"")*($AS$11:$AS2271="✓")),"")</f>
        <v/>
      </c>
      <c r="BA2271" s="21" t="str">
        <f>IF($AL2271="","",$AL2271&amp;"|"&amp;COUNTIF($AL$11:$AL2271,$AL2271))</f>
        <v/>
      </c>
    </row>
    <row r="2272" spans="38:53" ht="15" customHeight="1" x14ac:dyDescent="0.25">
      <c r="AL2272" s="31"/>
      <c r="AM2272" s="26"/>
      <c r="AN2272" s="32"/>
      <c r="AO2272" s="32"/>
      <c r="AP2272" s="24"/>
      <c r="AQ2272" s="24"/>
      <c r="AR2272" s="33"/>
      <c r="AS2272" s="34"/>
      <c r="AT2272" s="33"/>
      <c r="AV2272" s="21">
        <f>IF(AND($AL2272&lt;&gt;"",COUNTIF($AL$11:$AL2272,$AL2272)=1),1,0)</f>
        <v>0</v>
      </c>
      <c r="AW2272" s="21">
        <f t="shared" si="157"/>
        <v>0</v>
      </c>
      <c r="AX2272" s="21" t="str">
        <f t="shared" si="156"/>
        <v/>
      </c>
      <c r="AY2272" s="21" t="str">
        <f>IF(AND($AM2272&lt;&gt;"",$AS2272&lt;&gt;"✓"),SUMPRODUCT(($AM$11:$AM2272&lt;&gt;"")*($AS$11:$AS2272&lt;&gt;"✓")),"")</f>
        <v/>
      </c>
      <c r="AZ2272" s="21" t="str">
        <f>IF(AND($AM2272&lt;&gt;"",$AS2272="✓"),SUMPRODUCT(($AM$11:$AM2272&lt;&gt;"")*($AS$11:$AS2272="✓")),"")</f>
        <v/>
      </c>
      <c r="BA2272" s="21" t="str">
        <f>IF($AL2272="","",$AL2272&amp;"|"&amp;COUNTIF($AL$11:$AL2272,$AL2272))</f>
        <v/>
      </c>
    </row>
    <row r="2273" spans="38:53" ht="15" customHeight="1" x14ac:dyDescent="0.25">
      <c r="AL2273" s="17"/>
      <c r="AM2273" s="12"/>
      <c r="AN2273" s="18"/>
      <c r="AO2273" s="18"/>
      <c r="AP2273" s="10"/>
      <c r="AQ2273" s="10"/>
      <c r="AR2273" s="19"/>
      <c r="AS2273" s="20"/>
      <c r="AT2273" s="19"/>
      <c r="AV2273" s="21">
        <f>IF(AND($AL2273&lt;&gt;"",COUNTIF($AL$11:$AL2273,$AL2273)=1),1,0)</f>
        <v>0</v>
      </c>
      <c r="AW2273" s="21">
        <f t="shared" si="157"/>
        <v>0</v>
      </c>
      <c r="AX2273" s="21" t="str">
        <f t="shared" si="156"/>
        <v/>
      </c>
      <c r="AY2273" s="21" t="str">
        <f>IF(AND($AM2273&lt;&gt;"",$AS2273&lt;&gt;"✓"),SUMPRODUCT(($AM$11:$AM2273&lt;&gt;"")*($AS$11:$AS2273&lt;&gt;"✓")),"")</f>
        <v/>
      </c>
      <c r="AZ2273" s="21" t="str">
        <f>IF(AND($AM2273&lt;&gt;"",$AS2273="✓"),SUMPRODUCT(($AM$11:$AM2273&lt;&gt;"")*($AS$11:$AS2273="✓")),"")</f>
        <v/>
      </c>
      <c r="BA2273" s="21" t="str">
        <f>IF($AL2273="","",$AL2273&amp;"|"&amp;COUNTIF($AL$11:$AL2273,$AL2273))</f>
        <v/>
      </c>
    </row>
    <row r="2274" spans="38:53" ht="15" customHeight="1" x14ac:dyDescent="0.25">
      <c r="AL2274" s="31"/>
      <c r="AM2274" s="26"/>
      <c r="AN2274" s="32"/>
      <c r="AO2274" s="32"/>
      <c r="AP2274" s="24"/>
      <c r="AQ2274" s="24"/>
      <c r="AR2274" s="33"/>
      <c r="AS2274" s="34"/>
      <c r="AT2274" s="33"/>
      <c r="AV2274" s="21">
        <f>IF(AND($AL2274&lt;&gt;"",COUNTIF($AL$11:$AL2274,$AL2274)=1),1,0)</f>
        <v>0</v>
      </c>
      <c r="AW2274" s="21">
        <f t="shared" si="157"/>
        <v>0</v>
      </c>
      <c r="AX2274" s="21" t="str">
        <f t="shared" si="156"/>
        <v/>
      </c>
      <c r="AY2274" s="21" t="str">
        <f>IF(AND($AM2274&lt;&gt;"",$AS2274&lt;&gt;"✓"),SUMPRODUCT(($AM$11:$AM2274&lt;&gt;"")*($AS$11:$AS2274&lt;&gt;"✓")),"")</f>
        <v/>
      </c>
      <c r="AZ2274" s="21" t="str">
        <f>IF(AND($AM2274&lt;&gt;"",$AS2274="✓"),SUMPRODUCT(($AM$11:$AM2274&lt;&gt;"")*($AS$11:$AS2274="✓")),"")</f>
        <v/>
      </c>
      <c r="BA2274" s="21" t="str">
        <f>IF($AL2274="","",$AL2274&amp;"|"&amp;COUNTIF($AL$11:$AL2274,$AL2274))</f>
        <v/>
      </c>
    </row>
    <row r="2275" spans="38:53" ht="15" customHeight="1" x14ac:dyDescent="0.25">
      <c r="AL2275" s="17"/>
      <c r="AM2275" s="12"/>
      <c r="AN2275" s="18"/>
      <c r="AO2275" s="18"/>
      <c r="AP2275" s="10"/>
      <c r="AQ2275" s="10"/>
      <c r="AR2275" s="19"/>
      <c r="AS2275" s="20"/>
      <c r="AT2275" s="19"/>
      <c r="AV2275" s="21">
        <f>IF(AND($AL2275&lt;&gt;"",COUNTIF($AL$11:$AL2275,$AL2275)=1),1,0)</f>
        <v>0</v>
      </c>
      <c r="AW2275" s="21">
        <f t="shared" si="157"/>
        <v>0</v>
      </c>
      <c r="AX2275" s="21" t="str">
        <f t="shared" si="156"/>
        <v/>
      </c>
      <c r="AY2275" s="21" t="str">
        <f>IF(AND($AM2275&lt;&gt;"",$AS2275&lt;&gt;"✓"),SUMPRODUCT(($AM$11:$AM2275&lt;&gt;"")*($AS$11:$AS2275&lt;&gt;"✓")),"")</f>
        <v/>
      </c>
      <c r="AZ2275" s="21" t="str">
        <f>IF(AND($AM2275&lt;&gt;"",$AS2275="✓"),SUMPRODUCT(($AM$11:$AM2275&lt;&gt;"")*($AS$11:$AS2275="✓")),"")</f>
        <v/>
      </c>
      <c r="BA2275" s="21" t="str">
        <f>IF($AL2275="","",$AL2275&amp;"|"&amp;COUNTIF($AL$11:$AL2275,$AL2275))</f>
        <v/>
      </c>
    </row>
    <row r="2276" spans="38:53" ht="15" customHeight="1" x14ac:dyDescent="0.25">
      <c r="AL2276" s="31"/>
      <c r="AM2276" s="26"/>
      <c r="AN2276" s="32"/>
      <c r="AO2276" s="32"/>
      <c r="AP2276" s="24"/>
      <c r="AQ2276" s="24"/>
      <c r="AR2276" s="33"/>
      <c r="AS2276" s="34"/>
      <c r="AT2276" s="33"/>
      <c r="AV2276" s="21">
        <f>IF(AND($AL2276&lt;&gt;"",COUNTIF($AL$11:$AL2276,$AL2276)=1),1,0)</f>
        <v>0</v>
      </c>
      <c r="AW2276" s="21">
        <f t="shared" si="157"/>
        <v>0</v>
      </c>
      <c r="AX2276" s="21" t="str">
        <f t="shared" si="156"/>
        <v/>
      </c>
      <c r="AY2276" s="21" t="str">
        <f>IF(AND($AM2276&lt;&gt;"",$AS2276&lt;&gt;"✓"),SUMPRODUCT(($AM$11:$AM2276&lt;&gt;"")*($AS$11:$AS2276&lt;&gt;"✓")),"")</f>
        <v/>
      </c>
      <c r="AZ2276" s="21" t="str">
        <f>IF(AND($AM2276&lt;&gt;"",$AS2276="✓"),SUMPRODUCT(($AM$11:$AM2276&lt;&gt;"")*($AS$11:$AS2276="✓")),"")</f>
        <v/>
      </c>
      <c r="BA2276" s="21" t="str">
        <f>IF($AL2276="","",$AL2276&amp;"|"&amp;COUNTIF($AL$11:$AL2276,$AL2276))</f>
        <v/>
      </c>
    </row>
    <row r="2277" spans="38:53" ht="15" customHeight="1" x14ac:dyDescent="0.25">
      <c r="AL2277" s="17"/>
      <c r="AM2277" s="12"/>
      <c r="AN2277" s="18"/>
      <c r="AO2277" s="18"/>
      <c r="AP2277" s="10"/>
      <c r="AQ2277" s="10"/>
      <c r="AR2277" s="19"/>
      <c r="AS2277" s="20"/>
      <c r="AT2277" s="19"/>
      <c r="AV2277" s="21">
        <f>IF(AND($AL2277&lt;&gt;"",COUNTIF($AL$11:$AL2277,$AL2277)=1),1,0)</f>
        <v>0</v>
      </c>
      <c r="AW2277" s="21">
        <f t="shared" si="157"/>
        <v>0</v>
      </c>
      <c r="AX2277" s="21" t="str">
        <f t="shared" si="156"/>
        <v/>
      </c>
      <c r="AY2277" s="21" t="str">
        <f>IF(AND($AM2277&lt;&gt;"",$AS2277&lt;&gt;"✓"),SUMPRODUCT(($AM$11:$AM2277&lt;&gt;"")*($AS$11:$AS2277&lt;&gt;"✓")),"")</f>
        <v/>
      </c>
      <c r="AZ2277" s="21" t="str">
        <f>IF(AND($AM2277&lt;&gt;"",$AS2277="✓"),SUMPRODUCT(($AM$11:$AM2277&lt;&gt;"")*($AS$11:$AS2277="✓")),"")</f>
        <v/>
      </c>
      <c r="BA2277" s="21" t="str">
        <f>IF($AL2277="","",$AL2277&amp;"|"&amp;COUNTIF($AL$11:$AL2277,$AL2277))</f>
        <v/>
      </c>
    </row>
    <row r="2278" spans="38:53" ht="15" customHeight="1" x14ac:dyDescent="0.25">
      <c r="AL2278" s="31"/>
      <c r="AM2278" s="26"/>
      <c r="AN2278" s="32"/>
      <c r="AO2278" s="32"/>
      <c r="AP2278" s="24"/>
      <c r="AQ2278" s="24"/>
      <c r="AR2278" s="33"/>
      <c r="AS2278" s="34"/>
      <c r="AT2278" s="33"/>
      <c r="AV2278" s="21">
        <f>IF(AND($AL2278&lt;&gt;"",COUNTIF($AL$11:$AL2278,$AL2278)=1),1,0)</f>
        <v>0</v>
      </c>
      <c r="AW2278" s="21">
        <f t="shared" si="157"/>
        <v>0</v>
      </c>
      <c r="AX2278" s="21" t="str">
        <f t="shared" si="156"/>
        <v/>
      </c>
      <c r="AY2278" s="21" t="str">
        <f>IF(AND($AM2278&lt;&gt;"",$AS2278&lt;&gt;"✓"),SUMPRODUCT(($AM$11:$AM2278&lt;&gt;"")*($AS$11:$AS2278&lt;&gt;"✓")),"")</f>
        <v/>
      </c>
      <c r="AZ2278" s="21" t="str">
        <f>IF(AND($AM2278&lt;&gt;"",$AS2278="✓"),SUMPRODUCT(($AM$11:$AM2278&lt;&gt;"")*($AS$11:$AS2278="✓")),"")</f>
        <v/>
      </c>
      <c r="BA2278" s="21" t="str">
        <f>IF($AL2278="","",$AL2278&amp;"|"&amp;COUNTIF($AL$11:$AL2278,$AL2278))</f>
        <v/>
      </c>
    </row>
    <row r="2279" spans="38:53" ht="15" customHeight="1" x14ac:dyDescent="0.25">
      <c r="AL2279" s="17"/>
      <c r="AM2279" s="12"/>
      <c r="AN2279" s="18"/>
      <c r="AO2279" s="18"/>
      <c r="AP2279" s="10"/>
      <c r="AQ2279" s="10"/>
      <c r="AR2279" s="19"/>
      <c r="AS2279" s="20"/>
      <c r="AT2279" s="19"/>
      <c r="AV2279" s="21">
        <f>IF(AND($AL2279&lt;&gt;"",COUNTIF($AL$11:$AL2279,$AL2279)=1),1,0)</f>
        <v>0</v>
      </c>
      <c r="AW2279" s="21">
        <f t="shared" si="157"/>
        <v>0</v>
      </c>
      <c r="AX2279" s="21" t="str">
        <f t="shared" si="156"/>
        <v/>
      </c>
      <c r="AY2279" s="21" t="str">
        <f>IF(AND($AM2279&lt;&gt;"",$AS2279&lt;&gt;"✓"),SUMPRODUCT(($AM$11:$AM2279&lt;&gt;"")*($AS$11:$AS2279&lt;&gt;"✓")),"")</f>
        <v/>
      </c>
      <c r="AZ2279" s="21" t="str">
        <f>IF(AND($AM2279&lt;&gt;"",$AS2279="✓"),SUMPRODUCT(($AM$11:$AM2279&lt;&gt;"")*($AS$11:$AS2279="✓")),"")</f>
        <v/>
      </c>
      <c r="BA2279" s="21" t="str">
        <f>IF($AL2279="","",$AL2279&amp;"|"&amp;COUNTIF($AL$11:$AL2279,$AL2279))</f>
        <v/>
      </c>
    </row>
    <row r="2280" spans="38:53" ht="15" customHeight="1" x14ac:dyDescent="0.25">
      <c r="AL2280" s="31"/>
      <c r="AM2280" s="26"/>
      <c r="AN2280" s="32"/>
      <c r="AO2280" s="32"/>
      <c r="AP2280" s="24"/>
      <c r="AQ2280" s="24"/>
      <c r="AR2280" s="33"/>
      <c r="AS2280" s="34"/>
      <c r="AT2280" s="33"/>
      <c r="AV2280" s="21">
        <f>IF(AND($AL2280&lt;&gt;"",COUNTIF($AL$11:$AL2280,$AL2280)=1),1,0)</f>
        <v>0</v>
      </c>
      <c r="AW2280" s="21">
        <f t="shared" si="157"/>
        <v>0</v>
      </c>
      <c r="AX2280" s="21" t="str">
        <f t="shared" si="156"/>
        <v/>
      </c>
      <c r="AY2280" s="21" t="str">
        <f>IF(AND($AM2280&lt;&gt;"",$AS2280&lt;&gt;"✓"),SUMPRODUCT(($AM$11:$AM2280&lt;&gt;"")*($AS$11:$AS2280&lt;&gt;"✓")),"")</f>
        <v/>
      </c>
      <c r="AZ2280" s="21" t="str">
        <f>IF(AND($AM2280&lt;&gt;"",$AS2280="✓"),SUMPRODUCT(($AM$11:$AM2280&lt;&gt;"")*($AS$11:$AS2280="✓")),"")</f>
        <v/>
      </c>
      <c r="BA2280" s="21" t="str">
        <f>IF($AL2280="","",$AL2280&amp;"|"&amp;COUNTIF($AL$11:$AL2280,$AL2280))</f>
        <v/>
      </c>
    </row>
    <row r="2281" spans="38:53" ht="15" customHeight="1" x14ac:dyDescent="0.25">
      <c r="AL2281" s="17"/>
      <c r="AM2281" s="12"/>
      <c r="AN2281" s="18"/>
      <c r="AO2281" s="18"/>
      <c r="AP2281" s="10"/>
      <c r="AQ2281" s="10"/>
      <c r="AR2281" s="19"/>
      <c r="AS2281" s="20"/>
      <c r="AT2281" s="19"/>
      <c r="AV2281" s="21">
        <f>IF(AND($AL2281&lt;&gt;"",COUNTIF($AL$11:$AL2281,$AL2281)=1),1,0)</f>
        <v>0</v>
      </c>
      <c r="AW2281" s="21">
        <f t="shared" si="157"/>
        <v>0</v>
      </c>
      <c r="AX2281" s="21" t="str">
        <f t="shared" si="156"/>
        <v/>
      </c>
      <c r="AY2281" s="21" t="str">
        <f>IF(AND($AM2281&lt;&gt;"",$AS2281&lt;&gt;"✓"),SUMPRODUCT(($AM$11:$AM2281&lt;&gt;"")*($AS$11:$AS2281&lt;&gt;"✓")),"")</f>
        <v/>
      </c>
      <c r="AZ2281" s="21" t="str">
        <f>IF(AND($AM2281&lt;&gt;"",$AS2281="✓"),SUMPRODUCT(($AM$11:$AM2281&lt;&gt;"")*($AS$11:$AS2281="✓")),"")</f>
        <v/>
      </c>
      <c r="BA2281" s="21" t="str">
        <f>IF($AL2281="","",$AL2281&amp;"|"&amp;COUNTIF($AL$11:$AL2281,$AL2281))</f>
        <v/>
      </c>
    </row>
    <row r="2282" spans="38:53" ht="15" customHeight="1" x14ac:dyDescent="0.25">
      <c r="AL2282" s="31"/>
      <c r="AM2282" s="26"/>
      <c r="AN2282" s="32"/>
      <c r="AO2282" s="32"/>
      <c r="AP2282" s="24"/>
      <c r="AQ2282" s="24"/>
      <c r="AR2282" s="33"/>
      <c r="AS2282" s="34"/>
      <c r="AT2282" s="33"/>
      <c r="AV2282" s="21">
        <f>IF(AND($AL2282&lt;&gt;"",COUNTIF($AL$11:$AL2282,$AL2282)=1),1,0)</f>
        <v>0</v>
      </c>
      <c r="AW2282" s="21">
        <f t="shared" si="157"/>
        <v>0</v>
      </c>
      <c r="AX2282" s="21" t="str">
        <f t="shared" si="156"/>
        <v/>
      </c>
      <c r="AY2282" s="21" t="str">
        <f>IF(AND($AM2282&lt;&gt;"",$AS2282&lt;&gt;"✓"),SUMPRODUCT(($AM$11:$AM2282&lt;&gt;"")*($AS$11:$AS2282&lt;&gt;"✓")),"")</f>
        <v/>
      </c>
      <c r="AZ2282" s="21" t="str">
        <f>IF(AND($AM2282&lt;&gt;"",$AS2282="✓"),SUMPRODUCT(($AM$11:$AM2282&lt;&gt;"")*($AS$11:$AS2282="✓")),"")</f>
        <v/>
      </c>
      <c r="BA2282" s="21" t="str">
        <f>IF($AL2282="","",$AL2282&amp;"|"&amp;COUNTIF($AL$11:$AL2282,$AL2282))</f>
        <v/>
      </c>
    </row>
    <row r="2283" spans="38:53" ht="15" customHeight="1" x14ac:dyDescent="0.25">
      <c r="AL2283" s="17"/>
      <c r="AM2283" s="12"/>
      <c r="AN2283" s="18"/>
      <c r="AO2283" s="18"/>
      <c r="AP2283" s="10"/>
      <c r="AQ2283" s="10"/>
      <c r="AR2283" s="19"/>
      <c r="AS2283" s="20"/>
      <c r="AT2283" s="19"/>
      <c r="AV2283" s="21">
        <f>IF(AND($AL2283&lt;&gt;"",COUNTIF($AL$11:$AL2283,$AL2283)=1),1,0)</f>
        <v>0</v>
      </c>
      <c r="AW2283" s="21">
        <f t="shared" si="157"/>
        <v>0</v>
      </c>
      <c r="AX2283" s="21" t="str">
        <f t="shared" si="156"/>
        <v/>
      </c>
      <c r="AY2283" s="21" t="str">
        <f>IF(AND($AM2283&lt;&gt;"",$AS2283&lt;&gt;"✓"),SUMPRODUCT(($AM$11:$AM2283&lt;&gt;"")*($AS$11:$AS2283&lt;&gt;"✓")),"")</f>
        <v/>
      </c>
      <c r="AZ2283" s="21" t="str">
        <f>IF(AND($AM2283&lt;&gt;"",$AS2283="✓"),SUMPRODUCT(($AM$11:$AM2283&lt;&gt;"")*($AS$11:$AS2283="✓")),"")</f>
        <v/>
      </c>
      <c r="BA2283" s="21" t="str">
        <f>IF($AL2283="","",$AL2283&amp;"|"&amp;COUNTIF($AL$11:$AL2283,$AL2283))</f>
        <v/>
      </c>
    </row>
    <row r="2284" spans="38:53" ht="15" customHeight="1" x14ac:dyDescent="0.25">
      <c r="AL2284" s="31"/>
      <c r="AM2284" s="26"/>
      <c r="AN2284" s="32"/>
      <c r="AO2284" s="32"/>
      <c r="AP2284" s="24"/>
      <c r="AQ2284" s="24"/>
      <c r="AR2284" s="33"/>
      <c r="AS2284" s="34"/>
      <c r="AT2284" s="33"/>
      <c r="AV2284" s="21">
        <f>IF(AND($AL2284&lt;&gt;"",COUNTIF($AL$11:$AL2284,$AL2284)=1),1,0)</f>
        <v>0</v>
      </c>
      <c r="AW2284" s="21">
        <f t="shared" si="157"/>
        <v>0</v>
      </c>
      <c r="AX2284" s="21" t="str">
        <f t="shared" si="156"/>
        <v/>
      </c>
      <c r="AY2284" s="21" t="str">
        <f>IF(AND($AM2284&lt;&gt;"",$AS2284&lt;&gt;"✓"),SUMPRODUCT(($AM$11:$AM2284&lt;&gt;"")*($AS$11:$AS2284&lt;&gt;"✓")),"")</f>
        <v/>
      </c>
      <c r="AZ2284" s="21" t="str">
        <f>IF(AND($AM2284&lt;&gt;"",$AS2284="✓"),SUMPRODUCT(($AM$11:$AM2284&lt;&gt;"")*($AS$11:$AS2284="✓")),"")</f>
        <v/>
      </c>
      <c r="BA2284" s="21" t="str">
        <f>IF($AL2284="","",$AL2284&amp;"|"&amp;COUNTIF($AL$11:$AL2284,$AL2284))</f>
        <v/>
      </c>
    </row>
    <row r="2285" spans="38:53" ht="15" customHeight="1" x14ac:dyDescent="0.25">
      <c r="AL2285" s="17"/>
      <c r="AM2285" s="12"/>
      <c r="AN2285" s="18"/>
      <c r="AO2285" s="18"/>
      <c r="AP2285" s="10"/>
      <c r="AQ2285" s="10"/>
      <c r="AR2285" s="19"/>
      <c r="AS2285" s="20"/>
      <c r="AT2285" s="19"/>
      <c r="AV2285" s="21">
        <f>IF(AND($AL2285&lt;&gt;"",COUNTIF($AL$11:$AL2285,$AL2285)=1),1,0)</f>
        <v>0</v>
      </c>
      <c r="AW2285" s="21">
        <f t="shared" si="157"/>
        <v>0</v>
      </c>
      <c r="AX2285" s="21" t="str">
        <f t="shared" si="156"/>
        <v/>
      </c>
      <c r="AY2285" s="21" t="str">
        <f>IF(AND($AM2285&lt;&gt;"",$AS2285&lt;&gt;"✓"),SUMPRODUCT(($AM$11:$AM2285&lt;&gt;"")*($AS$11:$AS2285&lt;&gt;"✓")),"")</f>
        <v/>
      </c>
      <c r="AZ2285" s="21" t="str">
        <f>IF(AND($AM2285&lt;&gt;"",$AS2285="✓"),SUMPRODUCT(($AM$11:$AM2285&lt;&gt;"")*($AS$11:$AS2285="✓")),"")</f>
        <v/>
      </c>
      <c r="BA2285" s="21" t="str">
        <f>IF($AL2285="","",$AL2285&amp;"|"&amp;COUNTIF($AL$11:$AL2285,$AL2285))</f>
        <v/>
      </c>
    </row>
    <row r="2286" spans="38:53" ht="15" customHeight="1" x14ac:dyDescent="0.25">
      <c r="AL2286" s="31"/>
      <c r="AM2286" s="26"/>
      <c r="AN2286" s="32"/>
      <c r="AO2286" s="32"/>
      <c r="AP2286" s="24"/>
      <c r="AQ2286" s="24"/>
      <c r="AR2286" s="33"/>
      <c r="AS2286" s="34"/>
      <c r="AT2286" s="33"/>
      <c r="AV2286" s="21">
        <f>IF(AND($AL2286&lt;&gt;"",COUNTIF($AL$11:$AL2286,$AL2286)=1),1,0)</f>
        <v>0</v>
      </c>
      <c r="AW2286" s="21">
        <f t="shared" si="157"/>
        <v>0</v>
      </c>
      <c r="AX2286" s="21" t="str">
        <f t="shared" si="156"/>
        <v/>
      </c>
      <c r="AY2286" s="21" t="str">
        <f>IF(AND($AM2286&lt;&gt;"",$AS2286&lt;&gt;"✓"),SUMPRODUCT(($AM$11:$AM2286&lt;&gt;"")*($AS$11:$AS2286&lt;&gt;"✓")),"")</f>
        <v/>
      </c>
      <c r="AZ2286" s="21" t="str">
        <f>IF(AND($AM2286&lt;&gt;"",$AS2286="✓"),SUMPRODUCT(($AM$11:$AM2286&lt;&gt;"")*($AS$11:$AS2286="✓")),"")</f>
        <v/>
      </c>
      <c r="BA2286" s="21" t="str">
        <f>IF($AL2286="","",$AL2286&amp;"|"&amp;COUNTIF($AL$11:$AL2286,$AL2286))</f>
        <v/>
      </c>
    </row>
    <row r="2287" spans="38:53" ht="15" customHeight="1" x14ac:dyDescent="0.25">
      <c r="AL2287" s="17"/>
      <c r="AM2287" s="12"/>
      <c r="AN2287" s="18"/>
      <c r="AO2287" s="18"/>
      <c r="AP2287" s="10"/>
      <c r="AQ2287" s="10"/>
      <c r="AR2287" s="19"/>
      <c r="AS2287" s="20"/>
      <c r="AT2287" s="19"/>
      <c r="AV2287" s="21">
        <f>IF(AND($AL2287&lt;&gt;"",COUNTIF($AL$11:$AL2287,$AL2287)=1),1,0)</f>
        <v>0</v>
      </c>
      <c r="AW2287" s="21">
        <f t="shared" si="157"/>
        <v>0</v>
      </c>
      <c r="AX2287" s="21" t="str">
        <f t="shared" si="156"/>
        <v/>
      </c>
      <c r="AY2287" s="21" t="str">
        <f>IF(AND($AM2287&lt;&gt;"",$AS2287&lt;&gt;"✓"),SUMPRODUCT(($AM$11:$AM2287&lt;&gt;"")*($AS$11:$AS2287&lt;&gt;"✓")),"")</f>
        <v/>
      </c>
      <c r="AZ2287" s="21" t="str">
        <f>IF(AND($AM2287&lt;&gt;"",$AS2287="✓"),SUMPRODUCT(($AM$11:$AM2287&lt;&gt;"")*($AS$11:$AS2287="✓")),"")</f>
        <v/>
      </c>
      <c r="BA2287" s="21" t="str">
        <f>IF($AL2287="","",$AL2287&amp;"|"&amp;COUNTIF($AL$11:$AL2287,$AL2287))</f>
        <v/>
      </c>
    </row>
    <row r="2288" spans="38:53" ht="15" customHeight="1" x14ac:dyDescent="0.25">
      <c r="AL2288" s="31"/>
      <c r="AM2288" s="26"/>
      <c r="AN2288" s="32"/>
      <c r="AO2288" s="32"/>
      <c r="AP2288" s="24"/>
      <c r="AQ2288" s="24"/>
      <c r="AR2288" s="33"/>
      <c r="AS2288" s="34"/>
      <c r="AT2288" s="33"/>
      <c r="AV2288" s="21">
        <f>IF(AND($AL2288&lt;&gt;"",COUNTIF($AL$11:$AL2288,$AL2288)=1),1,0)</f>
        <v>0</v>
      </c>
      <c r="AW2288" s="21">
        <f t="shared" si="157"/>
        <v>0</v>
      </c>
      <c r="AX2288" s="21" t="str">
        <f t="shared" si="156"/>
        <v/>
      </c>
      <c r="AY2288" s="21" t="str">
        <f>IF(AND($AM2288&lt;&gt;"",$AS2288&lt;&gt;"✓"),SUMPRODUCT(($AM$11:$AM2288&lt;&gt;"")*($AS$11:$AS2288&lt;&gt;"✓")),"")</f>
        <v/>
      </c>
      <c r="AZ2288" s="21" t="str">
        <f>IF(AND($AM2288&lt;&gt;"",$AS2288="✓"),SUMPRODUCT(($AM$11:$AM2288&lt;&gt;"")*($AS$11:$AS2288="✓")),"")</f>
        <v/>
      </c>
      <c r="BA2288" s="21" t="str">
        <f>IF($AL2288="","",$AL2288&amp;"|"&amp;COUNTIF($AL$11:$AL2288,$AL2288))</f>
        <v/>
      </c>
    </row>
    <row r="2289" spans="38:53" ht="15" customHeight="1" x14ac:dyDescent="0.25">
      <c r="AL2289" s="17"/>
      <c r="AM2289" s="12"/>
      <c r="AN2289" s="18"/>
      <c r="AO2289" s="18"/>
      <c r="AP2289" s="10"/>
      <c r="AQ2289" s="10"/>
      <c r="AR2289" s="19"/>
      <c r="AS2289" s="20"/>
      <c r="AT2289" s="19"/>
      <c r="AV2289" s="21">
        <f>IF(AND($AL2289&lt;&gt;"",COUNTIF($AL$11:$AL2289,$AL2289)=1),1,0)</f>
        <v>0</v>
      </c>
      <c r="AW2289" s="21">
        <f t="shared" si="157"/>
        <v>0</v>
      </c>
      <c r="AX2289" s="21" t="str">
        <f t="shared" si="156"/>
        <v/>
      </c>
      <c r="AY2289" s="21" t="str">
        <f>IF(AND($AM2289&lt;&gt;"",$AS2289&lt;&gt;"✓"),SUMPRODUCT(($AM$11:$AM2289&lt;&gt;"")*($AS$11:$AS2289&lt;&gt;"✓")),"")</f>
        <v/>
      </c>
      <c r="AZ2289" s="21" t="str">
        <f>IF(AND($AM2289&lt;&gt;"",$AS2289="✓"),SUMPRODUCT(($AM$11:$AM2289&lt;&gt;"")*($AS$11:$AS2289="✓")),"")</f>
        <v/>
      </c>
      <c r="BA2289" s="21" t="str">
        <f>IF($AL2289="","",$AL2289&amp;"|"&amp;COUNTIF($AL$11:$AL2289,$AL2289))</f>
        <v/>
      </c>
    </row>
    <row r="2290" spans="38:53" ht="15" customHeight="1" x14ac:dyDescent="0.25">
      <c r="AL2290" s="31"/>
      <c r="AM2290" s="26"/>
      <c r="AN2290" s="32"/>
      <c r="AO2290" s="32"/>
      <c r="AP2290" s="24"/>
      <c r="AQ2290" s="24"/>
      <c r="AR2290" s="33"/>
      <c r="AS2290" s="34"/>
      <c r="AT2290" s="33"/>
      <c r="AV2290" s="21">
        <f>IF(AND($AL2290&lt;&gt;"",COUNTIF($AL$11:$AL2290,$AL2290)=1),1,0)</f>
        <v>0</v>
      </c>
      <c r="AW2290" s="21">
        <f t="shared" si="157"/>
        <v>0</v>
      </c>
      <c r="AX2290" s="21" t="str">
        <f t="shared" si="156"/>
        <v/>
      </c>
      <c r="AY2290" s="21" t="str">
        <f>IF(AND($AM2290&lt;&gt;"",$AS2290&lt;&gt;"✓"),SUMPRODUCT(($AM$11:$AM2290&lt;&gt;"")*($AS$11:$AS2290&lt;&gt;"✓")),"")</f>
        <v/>
      </c>
      <c r="AZ2290" s="21" t="str">
        <f>IF(AND($AM2290&lt;&gt;"",$AS2290="✓"),SUMPRODUCT(($AM$11:$AM2290&lt;&gt;"")*($AS$11:$AS2290="✓")),"")</f>
        <v/>
      </c>
      <c r="BA2290" s="21" t="str">
        <f>IF($AL2290="","",$AL2290&amp;"|"&amp;COUNTIF($AL$11:$AL2290,$AL2290))</f>
        <v/>
      </c>
    </row>
    <row r="2291" spans="38:53" ht="15" customHeight="1" x14ac:dyDescent="0.25">
      <c r="AL2291" s="17"/>
      <c r="AM2291" s="12"/>
      <c r="AN2291" s="18"/>
      <c r="AO2291" s="18"/>
      <c r="AP2291" s="10"/>
      <c r="AQ2291" s="10"/>
      <c r="AR2291" s="19"/>
      <c r="AS2291" s="20"/>
      <c r="AT2291" s="19"/>
      <c r="AV2291" s="21">
        <f>IF(AND($AL2291&lt;&gt;"",COUNTIF($AL$11:$AL2291,$AL2291)=1),1,0)</f>
        <v>0</v>
      </c>
      <c r="AW2291" s="21">
        <f t="shared" si="157"/>
        <v>0</v>
      </c>
      <c r="AX2291" s="21" t="str">
        <f t="shared" si="156"/>
        <v/>
      </c>
      <c r="AY2291" s="21" t="str">
        <f>IF(AND($AM2291&lt;&gt;"",$AS2291&lt;&gt;"✓"),SUMPRODUCT(($AM$11:$AM2291&lt;&gt;"")*($AS$11:$AS2291&lt;&gt;"✓")),"")</f>
        <v/>
      </c>
      <c r="AZ2291" s="21" t="str">
        <f>IF(AND($AM2291&lt;&gt;"",$AS2291="✓"),SUMPRODUCT(($AM$11:$AM2291&lt;&gt;"")*($AS$11:$AS2291="✓")),"")</f>
        <v/>
      </c>
      <c r="BA2291" s="21" t="str">
        <f>IF($AL2291="","",$AL2291&amp;"|"&amp;COUNTIF($AL$11:$AL2291,$AL2291))</f>
        <v/>
      </c>
    </row>
    <row r="2292" spans="38:53" ht="15" customHeight="1" x14ac:dyDescent="0.25">
      <c r="AL2292" s="31"/>
      <c r="AM2292" s="26"/>
      <c r="AN2292" s="32"/>
      <c r="AO2292" s="32"/>
      <c r="AP2292" s="24"/>
      <c r="AQ2292" s="24"/>
      <c r="AR2292" s="33"/>
      <c r="AS2292" s="34"/>
      <c r="AT2292" s="33"/>
      <c r="AV2292" s="21">
        <f>IF(AND($AL2292&lt;&gt;"",COUNTIF($AL$11:$AL2292,$AL2292)=1),1,0)</f>
        <v>0</v>
      </c>
      <c r="AW2292" s="21">
        <f t="shared" si="157"/>
        <v>0</v>
      </c>
      <c r="AX2292" s="21" t="str">
        <f t="shared" si="156"/>
        <v/>
      </c>
      <c r="AY2292" s="21" t="str">
        <f>IF(AND($AM2292&lt;&gt;"",$AS2292&lt;&gt;"✓"),SUMPRODUCT(($AM$11:$AM2292&lt;&gt;"")*($AS$11:$AS2292&lt;&gt;"✓")),"")</f>
        <v/>
      </c>
      <c r="AZ2292" s="21" t="str">
        <f>IF(AND($AM2292&lt;&gt;"",$AS2292="✓"),SUMPRODUCT(($AM$11:$AM2292&lt;&gt;"")*($AS$11:$AS2292="✓")),"")</f>
        <v/>
      </c>
      <c r="BA2292" s="21" t="str">
        <f>IF($AL2292="","",$AL2292&amp;"|"&amp;COUNTIF($AL$11:$AL2292,$AL2292))</f>
        <v/>
      </c>
    </row>
    <row r="2293" spans="38:53" ht="15" customHeight="1" x14ac:dyDescent="0.25">
      <c r="AL2293" s="17"/>
      <c r="AM2293" s="12"/>
      <c r="AN2293" s="18"/>
      <c r="AO2293" s="18"/>
      <c r="AP2293" s="10"/>
      <c r="AQ2293" s="10"/>
      <c r="AR2293" s="19"/>
      <c r="AS2293" s="20"/>
      <c r="AT2293" s="19"/>
      <c r="AV2293" s="21">
        <f>IF(AND($AL2293&lt;&gt;"",COUNTIF($AL$11:$AL2293,$AL2293)=1),1,0)</f>
        <v>0</v>
      </c>
      <c r="AW2293" s="21">
        <f t="shared" si="157"/>
        <v>0</v>
      </c>
      <c r="AX2293" s="21" t="str">
        <f t="shared" si="156"/>
        <v/>
      </c>
      <c r="AY2293" s="21" t="str">
        <f>IF(AND($AM2293&lt;&gt;"",$AS2293&lt;&gt;"✓"),SUMPRODUCT(($AM$11:$AM2293&lt;&gt;"")*($AS$11:$AS2293&lt;&gt;"✓")),"")</f>
        <v/>
      </c>
      <c r="AZ2293" s="21" t="str">
        <f>IF(AND($AM2293&lt;&gt;"",$AS2293="✓"),SUMPRODUCT(($AM$11:$AM2293&lt;&gt;"")*($AS$11:$AS2293="✓")),"")</f>
        <v/>
      </c>
      <c r="BA2293" s="21" t="str">
        <f>IF($AL2293="","",$AL2293&amp;"|"&amp;COUNTIF($AL$11:$AL2293,$AL2293))</f>
        <v/>
      </c>
    </row>
    <row r="2294" spans="38:53" ht="15" customHeight="1" x14ac:dyDescent="0.25">
      <c r="AL2294" s="31"/>
      <c r="AM2294" s="26"/>
      <c r="AN2294" s="32"/>
      <c r="AO2294" s="32"/>
      <c r="AP2294" s="24"/>
      <c r="AQ2294" s="24"/>
      <c r="AR2294" s="33"/>
      <c r="AS2294" s="34"/>
      <c r="AT2294" s="33"/>
      <c r="AV2294" s="21">
        <f>IF(AND($AL2294&lt;&gt;"",COUNTIF($AL$11:$AL2294,$AL2294)=1),1,0)</f>
        <v>0</v>
      </c>
      <c r="AW2294" s="21">
        <f t="shared" si="157"/>
        <v>0</v>
      </c>
      <c r="AX2294" s="21" t="str">
        <f t="shared" si="156"/>
        <v/>
      </c>
      <c r="AY2294" s="21" t="str">
        <f>IF(AND($AM2294&lt;&gt;"",$AS2294&lt;&gt;"✓"),SUMPRODUCT(($AM$11:$AM2294&lt;&gt;"")*($AS$11:$AS2294&lt;&gt;"✓")),"")</f>
        <v/>
      </c>
      <c r="AZ2294" s="21" t="str">
        <f>IF(AND($AM2294&lt;&gt;"",$AS2294="✓"),SUMPRODUCT(($AM$11:$AM2294&lt;&gt;"")*($AS$11:$AS2294="✓")),"")</f>
        <v/>
      </c>
      <c r="BA2294" s="21" t="str">
        <f>IF($AL2294="","",$AL2294&amp;"|"&amp;COUNTIF($AL$11:$AL2294,$AL2294))</f>
        <v/>
      </c>
    </row>
    <row r="2295" spans="38:53" ht="15" customHeight="1" x14ac:dyDescent="0.25">
      <c r="AL2295" s="17"/>
      <c r="AM2295" s="12"/>
      <c r="AN2295" s="18"/>
      <c r="AO2295" s="18"/>
      <c r="AP2295" s="10"/>
      <c r="AQ2295" s="10"/>
      <c r="AR2295" s="19"/>
      <c r="AS2295" s="20"/>
      <c r="AT2295" s="19"/>
      <c r="AV2295" s="21">
        <f>IF(AND($AL2295&lt;&gt;"",COUNTIF($AL$11:$AL2295,$AL2295)=1),1,0)</f>
        <v>0</v>
      </c>
      <c r="AW2295" s="21">
        <f t="shared" si="157"/>
        <v>0</v>
      </c>
      <c r="AX2295" s="21" t="str">
        <f t="shared" si="156"/>
        <v/>
      </c>
      <c r="AY2295" s="21" t="str">
        <f>IF(AND($AM2295&lt;&gt;"",$AS2295&lt;&gt;"✓"),SUMPRODUCT(($AM$11:$AM2295&lt;&gt;"")*($AS$11:$AS2295&lt;&gt;"✓")),"")</f>
        <v/>
      </c>
      <c r="AZ2295" s="21" t="str">
        <f>IF(AND($AM2295&lt;&gt;"",$AS2295="✓"),SUMPRODUCT(($AM$11:$AM2295&lt;&gt;"")*($AS$11:$AS2295="✓")),"")</f>
        <v/>
      </c>
      <c r="BA2295" s="21" t="str">
        <f>IF($AL2295="","",$AL2295&amp;"|"&amp;COUNTIF($AL$11:$AL2295,$AL2295))</f>
        <v/>
      </c>
    </row>
    <row r="2296" spans="38:53" ht="15" customHeight="1" x14ac:dyDescent="0.25">
      <c r="AL2296" s="31"/>
      <c r="AM2296" s="26"/>
      <c r="AN2296" s="32"/>
      <c r="AO2296" s="32"/>
      <c r="AP2296" s="24"/>
      <c r="AQ2296" s="24"/>
      <c r="AR2296" s="33"/>
      <c r="AS2296" s="34"/>
      <c r="AT2296" s="33"/>
      <c r="AV2296" s="21">
        <f>IF(AND($AL2296&lt;&gt;"",COUNTIF($AL$11:$AL2296,$AL2296)=1),1,0)</f>
        <v>0</v>
      </c>
      <c r="AW2296" s="21">
        <f t="shared" si="157"/>
        <v>0</v>
      </c>
      <c r="AX2296" s="21" t="str">
        <f t="shared" si="156"/>
        <v/>
      </c>
      <c r="AY2296" s="21" t="str">
        <f>IF(AND($AM2296&lt;&gt;"",$AS2296&lt;&gt;"✓"),SUMPRODUCT(($AM$11:$AM2296&lt;&gt;"")*($AS$11:$AS2296&lt;&gt;"✓")),"")</f>
        <v/>
      </c>
      <c r="AZ2296" s="21" t="str">
        <f>IF(AND($AM2296&lt;&gt;"",$AS2296="✓"),SUMPRODUCT(($AM$11:$AM2296&lt;&gt;"")*($AS$11:$AS2296="✓")),"")</f>
        <v/>
      </c>
      <c r="BA2296" s="21" t="str">
        <f>IF($AL2296="","",$AL2296&amp;"|"&amp;COUNTIF($AL$11:$AL2296,$AL2296))</f>
        <v/>
      </c>
    </row>
    <row r="2297" spans="38:53" ht="15" customHeight="1" x14ac:dyDescent="0.25">
      <c r="AL2297" s="17"/>
      <c r="AM2297" s="12"/>
      <c r="AN2297" s="18"/>
      <c r="AO2297" s="18"/>
      <c r="AP2297" s="10"/>
      <c r="AQ2297" s="10"/>
      <c r="AR2297" s="19"/>
      <c r="AS2297" s="20"/>
      <c r="AT2297" s="19"/>
      <c r="AV2297" s="21">
        <f>IF(AND($AL2297&lt;&gt;"",COUNTIF($AL$11:$AL2297,$AL2297)=1),1,0)</f>
        <v>0</v>
      </c>
      <c r="AW2297" s="21">
        <f t="shared" si="157"/>
        <v>0</v>
      </c>
      <c r="AX2297" s="21" t="str">
        <f t="shared" si="156"/>
        <v/>
      </c>
      <c r="AY2297" s="21" t="str">
        <f>IF(AND($AM2297&lt;&gt;"",$AS2297&lt;&gt;"✓"),SUMPRODUCT(($AM$11:$AM2297&lt;&gt;"")*($AS$11:$AS2297&lt;&gt;"✓")),"")</f>
        <v/>
      </c>
      <c r="AZ2297" s="21" t="str">
        <f>IF(AND($AM2297&lt;&gt;"",$AS2297="✓"),SUMPRODUCT(($AM$11:$AM2297&lt;&gt;"")*($AS$11:$AS2297="✓")),"")</f>
        <v/>
      </c>
      <c r="BA2297" s="21" t="str">
        <f>IF($AL2297="","",$AL2297&amp;"|"&amp;COUNTIF($AL$11:$AL2297,$AL2297))</f>
        <v/>
      </c>
    </row>
    <row r="2298" spans="38:53" ht="15" customHeight="1" x14ac:dyDescent="0.25">
      <c r="AL2298" s="31"/>
      <c r="AM2298" s="26"/>
      <c r="AN2298" s="32"/>
      <c r="AO2298" s="32"/>
      <c r="AP2298" s="24"/>
      <c r="AQ2298" s="24"/>
      <c r="AR2298" s="33"/>
      <c r="AS2298" s="34"/>
      <c r="AT2298" s="33"/>
      <c r="AV2298" s="21">
        <f>IF(AND($AL2298&lt;&gt;"",COUNTIF($AL$11:$AL2298,$AL2298)=1),1,0)</f>
        <v>0</v>
      </c>
      <c r="AW2298" s="21">
        <f t="shared" si="157"/>
        <v>0</v>
      </c>
      <c r="AX2298" s="21" t="str">
        <f t="shared" si="156"/>
        <v/>
      </c>
      <c r="AY2298" s="21" t="str">
        <f>IF(AND($AM2298&lt;&gt;"",$AS2298&lt;&gt;"✓"),SUMPRODUCT(($AM$11:$AM2298&lt;&gt;"")*($AS$11:$AS2298&lt;&gt;"✓")),"")</f>
        <v/>
      </c>
      <c r="AZ2298" s="21" t="str">
        <f>IF(AND($AM2298&lt;&gt;"",$AS2298="✓"),SUMPRODUCT(($AM$11:$AM2298&lt;&gt;"")*($AS$11:$AS2298="✓")),"")</f>
        <v/>
      </c>
      <c r="BA2298" s="21" t="str">
        <f>IF($AL2298="","",$AL2298&amp;"|"&amp;COUNTIF($AL$11:$AL2298,$AL2298))</f>
        <v/>
      </c>
    </row>
    <row r="2299" spans="38:53" ht="15" customHeight="1" x14ac:dyDescent="0.25">
      <c r="AL2299" s="17"/>
      <c r="AM2299" s="12"/>
      <c r="AN2299" s="18"/>
      <c r="AO2299" s="18"/>
      <c r="AP2299" s="10"/>
      <c r="AQ2299" s="10"/>
      <c r="AR2299" s="19"/>
      <c r="AS2299" s="20"/>
      <c r="AT2299" s="19"/>
      <c r="AV2299" s="21">
        <f>IF(AND($AL2299&lt;&gt;"",COUNTIF($AL$11:$AL2299,$AL2299)=1),1,0)</f>
        <v>0</v>
      </c>
      <c r="AW2299" s="21">
        <f t="shared" si="157"/>
        <v>0</v>
      </c>
      <c r="AX2299" s="21" t="str">
        <f t="shared" si="156"/>
        <v/>
      </c>
      <c r="AY2299" s="21" t="str">
        <f>IF(AND($AM2299&lt;&gt;"",$AS2299&lt;&gt;"✓"),SUMPRODUCT(($AM$11:$AM2299&lt;&gt;"")*($AS$11:$AS2299&lt;&gt;"✓")),"")</f>
        <v/>
      </c>
      <c r="AZ2299" s="21" t="str">
        <f>IF(AND($AM2299&lt;&gt;"",$AS2299="✓"),SUMPRODUCT(($AM$11:$AM2299&lt;&gt;"")*($AS$11:$AS2299="✓")),"")</f>
        <v/>
      </c>
      <c r="BA2299" s="21" t="str">
        <f>IF($AL2299="","",$AL2299&amp;"|"&amp;COUNTIF($AL$11:$AL2299,$AL2299))</f>
        <v/>
      </c>
    </row>
    <row r="2300" spans="38:53" ht="15" customHeight="1" x14ac:dyDescent="0.25">
      <c r="AL2300" s="31"/>
      <c r="AM2300" s="26"/>
      <c r="AN2300" s="32"/>
      <c r="AO2300" s="32"/>
      <c r="AP2300" s="24"/>
      <c r="AQ2300" s="24"/>
      <c r="AR2300" s="33"/>
      <c r="AS2300" s="34"/>
      <c r="AT2300" s="33"/>
      <c r="AV2300" s="21">
        <f>IF(AND($AL2300&lt;&gt;"",COUNTIF($AL$11:$AL2300,$AL2300)=1),1,0)</f>
        <v>0</v>
      </c>
      <c r="AW2300" s="21">
        <f t="shared" si="157"/>
        <v>0</v>
      </c>
      <c r="AX2300" s="21" t="str">
        <f t="shared" si="156"/>
        <v/>
      </c>
      <c r="AY2300" s="21" t="str">
        <f>IF(AND($AM2300&lt;&gt;"",$AS2300&lt;&gt;"✓"),SUMPRODUCT(($AM$11:$AM2300&lt;&gt;"")*($AS$11:$AS2300&lt;&gt;"✓")),"")</f>
        <v/>
      </c>
      <c r="AZ2300" s="21" t="str">
        <f>IF(AND($AM2300&lt;&gt;"",$AS2300="✓"),SUMPRODUCT(($AM$11:$AM2300&lt;&gt;"")*($AS$11:$AS2300="✓")),"")</f>
        <v/>
      </c>
      <c r="BA2300" s="21" t="str">
        <f>IF($AL2300="","",$AL2300&amp;"|"&amp;COUNTIF($AL$11:$AL2300,$AL2300))</f>
        <v/>
      </c>
    </row>
    <row r="2301" spans="38:53" ht="15" customHeight="1" x14ac:dyDescent="0.25">
      <c r="AL2301" s="17"/>
      <c r="AM2301" s="12"/>
      <c r="AN2301" s="18"/>
      <c r="AO2301" s="18"/>
      <c r="AP2301" s="10"/>
      <c r="AQ2301" s="10"/>
      <c r="AR2301" s="19"/>
      <c r="AS2301" s="20"/>
      <c r="AT2301" s="19"/>
      <c r="AV2301" s="21">
        <f>IF(AND($AL2301&lt;&gt;"",COUNTIF($AL$11:$AL2301,$AL2301)=1),1,0)</f>
        <v>0</v>
      </c>
      <c r="AW2301" s="21">
        <f t="shared" si="157"/>
        <v>0</v>
      </c>
      <c r="AX2301" s="21" t="str">
        <f t="shared" si="156"/>
        <v/>
      </c>
      <c r="AY2301" s="21" t="str">
        <f>IF(AND($AM2301&lt;&gt;"",$AS2301&lt;&gt;"✓"),SUMPRODUCT(($AM$11:$AM2301&lt;&gt;"")*($AS$11:$AS2301&lt;&gt;"✓")),"")</f>
        <v/>
      </c>
      <c r="AZ2301" s="21" t="str">
        <f>IF(AND($AM2301&lt;&gt;"",$AS2301="✓"),SUMPRODUCT(($AM$11:$AM2301&lt;&gt;"")*($AS$11:$AS2301="✓")),"")</f>
        <v/>
      </c>
      <c r="BA2301" s="21" t="str">
        <f>IF($AL2301="","",$AL2301&amp;"|"&amp;COUNTIF($AL$11:$AL2301,$AL2301))</f>
        <v/>
      </c>
    </row>
    <row r="2302" spans="38:53" ht="15" customHeight="1" x14ac:dyDescent="0.25">
      <c r="AL2302" s="31"/>
      <c r="AM2302" s="26"/>
      <c r="AN2302" s="32"/>
      <c r="AO2302" s="32"/>
      <c r="AP2302" s="24"/>
      <c r="AQ2302" s="24"/>
      <c r="AR2302" s="33"/>
      <c r="AS2302" s="34"/>
      <c r="AT2302" s="33"/>
      <c r="AV2302" s="21">
        <f>IF(AND($AL2302&lt;&gt;"",COUNTIF($AL$11:$AL2302,$AL2302)=1),1,0)</f>
        <v>0</v>
      </c>
      <c r="AW2302" s="21">
        <f t="shared" si="157"/>
        <v>0</v>
      </c>
      <c r="AX2302" s="21" t="str">
        <f t="shared" si="156"/>
        <v/>
      </c>
      <c r="AY2302" s="21" t="str">
        <f>IF(AND($AM2302&lt;&gt;"",$AS2302&lt;&gt;"✓"),SUMPRODUCT(($AM$11:$AM2302&lt;&gt;"")*($AS$11:$AS2302&lt;&gt;"✓")),"")</f>
        <v/>
      </c>
      <c r="AZ2302" s="21" t="str">
        <f>IF(AND($AM2302&lt;&gt;"",$AS2302="✓"),SUMPRODUCT(($AM$11:$AM2302&lt;&gt;"")*($AS$11:$AS2302="✓")),"")</f>
        <v/>
      </c>
      <c r="BA2302" s="21" t="str">
        <f>IF($AL2302="","",$AL2302&amp;"|"&amp;COUNTIF($AL$11:$AL2302,$AL2302))</f>
        <v/>
      </c>
    </row>
    <row r="2303" spans="38:53" ht="15" customHeight="1" x14ac:dyDescent="0.25">
      <c r="AL2303" s="17"/>
      <c r="AM2303" s="12"/>
      <c r="AN2303" s="18"/>
      <c r="AO2303" s="18"/>
      <c r="AP2303" s="10"/>
      <c r="AQ2303" s="10"/>
      <c r="AR2303" s="19"/>
      <c r="AS2303" s="20"/>
      <c r="AT2303" s="19"/>
      <c r="AV2303" s="21">
        <f>IF(AND($AL2303&lt;&gt;"",COUNTIF($AL$11:$AL2303,$AL2303)=1),1,0)</f>
        <v>0</v>
      </c>
      <c r="AW2303" s="21">
        <f t="shared" si="157"/>
        <v>0</v>
      </c>
      <c r="AX2303" s="21" t="str">
        <f t="shared" si="156"/>
        <v/>
      </c>
      <c r="AY2303" s="21" t="str">
        <f>IF(AND($AM2303&lt;&gt;"",$AS2303&lt;&gt;"✓"),SUMPRODUCT(($AM$11:$AM2303&lt;&gt;"")*($AS$11:$AS2303&lt;&gt;"✓")),"")</f>
        <v/>
      </c>
      <c r="AZ2303" s="21" t="str">
        <f>IF(AND($AM2303&lt;&gt;"",$AS2303="✓"),SUMPRODUCT(($AM$11:$AM2303&lt;&gt;"")*($AS$11:$AS2303="✓")),"")</f>
        <v/>
      </c>
      <c r="BA2303" s="21" t="str">
        <f>IF($AL2303="","",$AL2303&amp;"|"&amp;COUNTIF($AL$11:$AL2303,$AL2303))</f>
        <v/>
      </c>
    </row>
    <row r="2304" spans="38:53" ht="15" customHeight="1" x14ac:dyDescent="0.25">
      <c r="AL2304" s="31"/>
      <c r="AM2304" s="26"/>
      <c r="AN2304" s="32"/>
      <c r="AO2304" s="32"/>
      <c r="AP2304" s="24"/>
      <c r="AQ2304" s="24"/>
      <c r="AR2304" s="33"/>
      <c r="AS2304" s="34"/>
      <c r="AT2304" s="33"/>
      <c r="AV2304" s="21">
        <f>IF(AND($AL2304&lt;&gt;"",COUNTIF($AL$11:$AL2304,$AL2304)=1),1,0)</f>
        <v>0</v>
      </c>
      <c r="AW2304" s="21">
        <f t="shared" si="157"/>
        <v>0</v>
      </c>
      <c r="AX2304" s="21" t="str">
        <f t="shared" si="156"/>
        <v/>
      </c>
      <c r="AY2304" s="21" t="str">
        <f>IF(AND($AM2304&lt;&gt;"",$AS2304&lt;&gt;"✓"),SUMPRODUCT(($AM$11:$AM2304&lt;&gt;"")*($AS$11:$AS2304&lt;&gt;"✓")),"")</f>
        <v/>
      </c>
      <c r="AZ2304" s="21" t="str">
        <f>IF(AND($AM2304&lt;&gt;"",$AS2304="✓"),SUMPRODUCT(($AM$11:$AM2304&lt;&gt;"")*($AS$11:$AS2304="✓")),"")</f>
        <v/>
      </c>
      <c r="BA2304" s="21" t="str">
        <f>IF($AL2304="","",$AL2304&amp;"|"&amp;COUNTIF($AL$11:$AL2304,$AL2304))</f>
        <v/>
      </c>
    </row>
    <row r="2305" spans="38:53" ht="15" customHeight="1" x14ac:dyDescent="0.25">
      <c r="AL2305" s="17"/>
      <c r="AM2305" s="12"/>
      <c r="AN2305" s="18"/>
      <c r="AO2305" s="18"/>
      <c r="AP2305" s="10"/>
      <c r="AQ2305" s="10"/>
      <c r="AR2305" s="19"/>
      <c r="AS2305" s="20"/>
      <c r="AT2305" s="19"/>
      <c r="AV2305" s="21">
        <f>IF(AND($AL2305&lt;&gt;"",COUNTIF($AL$11:$AL2305,$AL2305)=1),1,0)</f>
        <v>0</v>
      </c>
      <c r="AW2305" s="21">
        <f t="shared" si="157"/>
        <v>0</v>
      </c>
      <c r="AX2305" s="21" t="str">
        <f t="shared" si="156"/>
        <v/>
      </c>
      <c r="AY2305" s="21" t="str">
        <f>IF(AND($AM2305&lt;&gt;"",$AS2305&lt;&gt;"✓"),SUMPRODUCT(($AM$11:$AM2305&lt;&gt;"")*($AS$11:$AS2305&lt;&gt;"✓")),"")</f>
        <v/>
      </c>
      <c r="AZ2305" s="21" t="str">
        <f>IF(AND($AM2305&lt;&gt;"",$AS2305="✓"),SUMPRODUCT(($AM$11:$AM2305&lt;&gt;"")*($AS$11:$AS2305="✓")),"")</f>
        <v/>
      </c>
      <c r="BA2305" s="21" t="str">
        <f>IF($AL2305="","",$AL2305&amp;"|"&amp;COUNTIF($AL$11:$AL2305,$AL2305))</f>
        <v/>
      </c>
    </row>
    <row r="2306" spans="38:53" ht="15" customHeight="1" x14ac:dyDescent="0.25">
      <c r="AL2306" s="31"/>
      <c r="AM2306" s="26"/>
      <c r="AN2306" s="32"/>
      <c r="AO2306" s="32"/>
      <c r="AP2306" s="24"/>
      <c r="AQ2306" s="24"/>
      <c r="AR2306" s="33"/>
      <c r="AS2306" s="34"/>
      <c r="AT2306" s="33"/>
      <c r="AV2306" s="21">
        <f>IF(AND($AL2306&lt;&gt;"",COUNTIF($AL$11:$AL2306,$AL2306)=1),1,0)</f>
        <v>0</v>
      </c>
      <c r="AW2306" s="21">
        <f t="shared" si="157"/>
        <v>0</v>
      </c>
      <c r="AX2306" s="21" t="str">
        <f t="shared" si="156"/>
        <v/>
      </c>
      <c r="AY2306" s="21" t="str">
        <f>IF(AND($AM2306&lt;&gt;"",$AS2306&lt;&gt;"✓"),SUMPRODUCT(($AM$11:$AM2306&lt;&gt;"")*($AS$11:$AS2306&lt;&gt;"✓")),"")</f>
        <v/>
      </c>
      <c r="AZ2306" s="21" t="str">
        <f>IF(AND($AM2306&lt;&gt;"",$AS2306="✓"),SUMPRODUCT(($AM$11:$AM2306&lt;&gt;"")*($AS$11:$AS2306="✓")),"")</f>
        <v/>
      </c>
      <c r="BA2306" s="21" t="str">
        <f>IF($AL2306="","",$AL2306&amp;"|"&amp;COUNTIF($AL$11:$AL2306,$AL2306))</f>
        <v/>
      </c>
    </row>
    <row r="2307" spans="38:53" ht="15" customHeight="1" x14ac:dyDescent="0.25">
      <c r="AL2307" s="17"/>
      <c r="AM2307" s="12"/>
      <c r="AN2307" s="18"/>
      <c r="AO2307" s="18"/>
      <c r="AP2307" s="10"/>
      <c r="AQ2307" s="10"/>
      <c r="AR2307" s="19"/>
      <c r="AS2307" s="20"/>
      <c r="AT2307" s="19"/>
      <c r="AV2307" s="21">
        <f>IF(AND($AL2307&lt;&gt;"",COUNTIF($AL$11:$AL2307,$AL2307)=1),1,0)</f>
        <v>0</v>
      </c>
      <c r="AW2307" s="21">
        <f t="shared" si="157"/>
        <v>0</v>
      </c>
      <c r="AX2307" s="21" t="str">
        <f t="shared" si="156"/>
        <v/>
      </c>
      <c r="AY2307" s="21" t="str">
        <f>IF(AND($AM2307&lt;&gt;"",$AS2307&lt;&gt;"✓"),SUMPRODUCT(($AM$11:$AM2307&lt;&gt;"")*($AS$11:$AS2307&lt;&gt;"✓")),"")</f>
        <v/>
      </c>
      <c r="AZ2307" s="21" t="str">
        <f>IF(AND($AM2307&lt;&gt;"",$AS2307="✓"),SUMPRODUCT(($AM$11:$AM2307&lt;&gt;"")*($AS$11:$AS2307="✓")),"")</f>
        <v/>
      </c>
      <c r="BA2307" s="21" t="str">
        <f>IF($AL2307="","",$AL2307&amp;"|"&amp;COUNTIF($AL$11:$AL2307,$AL2307))</f>
        <v/>
      </c>
    </row>
    <row r="2308" spans="38:53" ht="15" customHeight="1" x14ac:dyDescent="0.25">
      <c r="AL2308" s="31"/>
      <c r="AM2308" s="26"/>
      <c r="AN2308" s="32"/>
      <c r="AO2308" s="32"/>
      <c r="AP2308" s="24"/>
      <c r="AQ2308" s="24"/>
      <c r="AR2308" s="33"/>
      <c r="AS2308" s="34"/>
      <c r="AT2308" s="33"/>
      <c r="AV2308" s="21">
        <f>IF(AND($AL2308&lt;&gt;"",COUNTIF($AL$11:$AL2308,$AL2308)=1),1,0)</f>
        <v>0</v>
      </c>
      <c r="AW2308" s="21">
        <f t="shared" si="157"/>
        <v>0</v>
      </c>
      <c r="AX2308" s="21" t="str">
        <f t="shared" si="156"/>
        <v/>
      </c>
      <c r="AY2308" s="21" t="str">
        <f>IF(AND($AM2308&lt;&gt;"",$AS2308&lt;&gt;"✓"),SUMPRODUCT(($AM$11:$AM2308&lt;&gt;"")*($AS$11:$AS2308&lt;&gt;"✓")),"")</f>
        <v/>
      </c>
      <c r="AZ2308" s="21" t="str">
        <f>IF(AND($AM2308&lt;&gt;"",$AS2308="✓"),SUMPRODUCT(($AM$11:$AM2308&lt;&gt;"")*($AS$11:$AS2308="✓")),"")</f>
        <v/>
      </c>
      <c r="BA2308" s="21" t="str">
        <f>IF($AL2308="","",$AL2308&amp;"|"&amp;COUNTIF($AL$11:$AL2308,$AL2308))</f>
        <v/>
      </c>
    </row>
    <row r="2309" spans="38:53" ht="15" customHeight="1" x14ac:dyDescent="0.25">
      <c r="AL2309" s="17"/>
      <c r="AM2309" s="12"/>
      <c r="AN2309" s="18"/>
      <c r="AO2309" s="18"/>
      <c r="AP2309" s="10"/>
      <c r="AQ2309" s="10"/>
      <c r="AR2309" s="19"/>
      <c r="AS2309" s="20"/>
      <c r="AT2309" s="19"/>
      <c r="AV2309" s="21">
        <f>IF(AND($AL2309&lt;&gt;"",COUNTIF($AL$11:$AL2309,$AL2309)=1),1,0)</f>
        <v>0</v>
      </c>
      <c r="AW2309" s="21">
        <f t="shared" si="157"/>
        <v>0</v>
      </c>
      <c r="AX2309" s="21" t="str">
        <f t="shared" si="156"/>
        <v/>
      </c>
      <c r="AY2309" s="21" t="str">
        <f>IF(AND($AM2309&lt;&gt;"",$AS2309&lt;&gt;"✓"),SUMPRODUCT(($AM$11:$AM2309&lt;&gt;"")*($AS$11:$AS2309&lt;&gt;"✓")),"")</f>
        <v/>
      </c>
      <c r="AZ2309" s="21" t="str">
        <f>IF(AND($AM2309&lt;&gt;"",$AS2309="✓"),SUMPRODUCT(($AM$11:$AM2309&lt;&gt;"")*($AS$11:$AS2309="✓")),"")</f>
        <v/>
      </c>
      <c r="BA2309" s="21" t="str">
        <f>IF($AL2309="","",$AL2309&amp;"|"&amp;COUNTIF($AL$11:$AL2309,$AL2309))</f>
        <v/>
      </c>
    </row>
    <row r="2310" spans="38:53" ht="15" customHeight="1" x14ac:dyDescent="0.25">
      <c r="AL2310" s="31"/>
      <c r="AM2310" s="26"/>
      <c r="AN2310" s="32"/>
      <c r="AO2310" s="32"/>
      <c r="AP2310" s="24"/>
      <c r="AQ2310" s="24"/>
      <c r="AR2310" s="33"/>
      <c r="AS2310" s="34"/>
      <c r="AT2310" s="33"/>
      <c r="AV2310" s="21">
        <f>IF(AND($AL2310&lt;&gt;"",COUNTIF($AL$11:$AL2310,$AL2310)=1),1,0)</f>
        <v>0</v>
      </c>
      <c r="AW2310" s="21">
        <f t="shared" si="157"/>
        <v>0</v>
      </c>
      <c r="AX2310" s="21" t="str">
        <f t="shared" si="156"/>
        <v/>
      </c>
      <c r="AY2310" s="21" t="str">
        <f>IF(AND($AM2310&lt;&gt;"",$AS2310&lt;&gt;"✓"),SUMPRODUCT(($AM$11:$AM2310&lt;&gt;"")*($AS$11:$AS2310&lt;&gt;"✓")),"")</f>
        <v/>
      </c>
      <c r="AZ2310" s="21" t="str">
        <f>IF(AND($AM2310&lt;&gt;"",$AS2310="✓"),SUMPRODUCT(($AM$11:$AM2310&lt;&gt;"")*($AS$11:$AS2310="✓")),"")</f>
        <v/>
      </c>
      <c r="BA2310" s="21" t="str">
        <f>IF($AL2310="","",$AL2310&amp;"|"&amp;COUNTIF($AL$11:$AL2310,$AL2310))</f>
        <v/>
      </c>
    </row>
    <row r="2311" spans="38:53" ht="15" customHeight="1" x14ac:dyDescent="0.25">
      <c r="AL2311" s="17"/>
      <c r="AM2311" s="12"/>
      <c r="AN2311" s="18"/>
      <c r="AO2311" s="18"/>
      <c r="AP2311" s="10"/>
      <c r="AQ2311" s="10"/>
      <c r="AR2311" s="19"/>
      <c r="AS2311" s="20"/>
      <c r="AT2311" s="19"/>
      <c r="AV2311" s="21">
        <f>IF(AND($AL2311&lt;&gt;"",COUNTIF($AL$11:$AL2311,$AL2311)=1),1,0)</f>
        <v>0</v>
      </c>
      <c r="AW2311" s="21">
        <f t="shared" si="157"/>
        <v>0</v>
      </c>
      <c r="AX2311" s="21" t="str">
        <f t="shared" si="156"/>
        <v/>
      </c>
      <c r="AY2311" s="21" t="str">
        <f>IF(AND($AM2311&lt;&gt;"",$AS2311&lt;&gt;"✓"),SUMPRODUCT(($AM$11:$AM2311&lt;&gt;"")*($AS$11:$AS2311&lt;&gt;"✓")),"")</f>
        <v/>
      </c>
      <c r="AZ2311" s="21" t="str">
        <f>IF(AND($AM2311&lt;&gt;"",$AS2311="✓"),SUMPRODUCT(($AM$11:$AM2311&lt;&gt;"")*($AS$11:$AS2311="✓")),"")</f>
        <v/>
      </c>
      <c r="BA2311" s="21" t="str">
        <f>IF($AL2311="","",$AL2311&amp;"|"&amp;COUNTIF($AL$11:$AL2311,$AL2311))</f>
        <v/>
      </c>
    </row>
    <row r="2312" spans="38:53" ht="15" customHeight="1" x14ac:dyDescent="0.25">
      <c r="AL2312" s="31"/>
      <c r="AM2312" s="26"/>
      <c r="AN2312" s="32"/>
      <c r="AO2312" s="32"/>
      <c r="AP2312" s="24"/>
      <c r="AQ2312" s="24"/>
      <c r="AR2312" s="33"/>
      <c r="AS2312" s="34"/>
      <c r="AT2312" s="33"/>
      <c r="AV2312" s="21">
        <f>IF(AND($AL2312&lt;&gt;"",COUNTIF($AL$11:$AL2312,$AL2312)=1),1,0)</f>
        <v>0</v>
      </c>
      <c r="AW2312" s="21">
        <f t="shared" si="157"/>
        <v>0</v>
      </c>
      <c r="AX2312" s="21" t="str">
        <f t="shared" si="156"/>
        <v/>
      </c>
      <c r="AY2312" s="21" t="str">
        <f>IF(AND($AM2312&lt;&gt;"",$AS2312&lt;&gt;"✓"),SUMPRODUCT(($AM$11:$AM2312&lt;&gt;"")*($AS$11:$AS2312&lt;&gt;"✓")),"")</f>
        <v/>
      </c>
      <c r="AZ2312" s="21" t="str">
        <f>IF(AND($AM2312&lt;&gt;"",$AS2312="✓"),SUMPRODUCT(($AM$11:$AM2312&lt;&gt;"")*($AS$11:$AS2312="✓")),"")</f>
        <v/>
      </c>
      <c r="BA2312" s="21" t="str">
        <f>IF($AL2312="","",$AL2312&amp;"|"&amp;COUNTIF($AL$11:$AL2312,$AL2312))</f>
        <v/>
      </c>
    </row>
    <row r="2313" spans="38:53" ht="15" customHeight="1" x14ac:dyDescent="0.25">
      <c r="AL2313" s="17"/>
      <c r="AM2313" s="12"/>
      <c r="AN2313" s="18"/>
      <c r="AO2313" s="18"/>
      <c r="AP2313" s="10"/>
      <c r="AQ2313" s="10"/>
      <c r="AR2313" s="19"/>
      <c r="AS2313" s="20"/>
      <c r="AT2313" s="19"/>
      <c r="AV2313" s="21">
        <f>IF(AND($AL2313&lt;&gt;"",COUNTIF($AL$11:$AL2313,$AL2313)=1),1,0)</f>
        <v>0</v>
      </c>
      <c r="AW2313" s="21">
        <f t="shared" si="157"/>
        <v>0</v>
      </c>
      <c r="AX2313" s="21" t="str">
        <f t="shared" si="156"/>
        <v/>
      </c>
      <c r="AY2313" s="21" t="str">
        <f>IF(AND($AM2313&lt;&gt;"",$AS2313&lt;&gt;"✓"),SUMPRODUCT(($AM$11:$AM2313&lt;&gt;"")*($AS$11:$AS2313&lt;&gt;"✓")),"")</f>
        <v/>
      </c>
      <c r="AZ2313" s="21" t="str">
        <f>IF(AND($AM2313&lt;&gt;"",$AS2313="✓"),SUMPRODUCT(($AM$11:$AM2313&lt;&gt;"")*($AS$11:$AS2313="✓")),"")</f>
        <v/>
      </c>
      <c r="BA2313" s="21" t="str">
        <f>IF($AL2313="","",$AL2313&amp;"|"&amp;COUNTIF($AL$11:$AL2313,$AL2313))</f>
        <v/>
      </c>
    </row>
    <row r="2314" spans="38:53" ht="15" customHeight="1" x14ac:dyDescent="0.25">
      <c r="AL2314" s="31"/>
      <c r="AM2314" s="26"/>
      <c r="AN2314" s="32"/>
      <c r="AO2314" s="32"/>
      <c r="AP2314" s="24"/>
      <c r="AQ2314" s="24"/>
      <c r="AR2314" s="33"/>
      <c r="AS2314" s="34"/>
      <c r="AT2314" s="33"/>
      <c r="AV2314" s="21">
        <f>IF(AND($AL2314&lt;&gt;"",COUNTIF($AL$11:$AL2314,$AL2314)=1),1,0)</f>
        <v>0</v>
      </c>
      <c r="AW2314" s="21">
        <f t="shared" si="157"/>
        <v>0</v>
      </c>
      <c r="AX2314" s="21" t="str">
        <f t="shared" si="156"/>
        <v/>
      </c>
      <c r="AY2314" s="21" t="str">
        <f>IF(AND($AM2314&lt;&gt;"",$AS2314&lt;&gt;"✓"),SUMPRODUCT(($AM$11:$AM2314&lt;&gt;"")*($AS$11:$AS2314&lt;&gt;"✓")),"")</f>
        <v/>
      </c>
      <c r="AZ2314" s="21" t="str">
        <f>IF(AND($AM2314&lt;&gt;"",$AS2314="✓"),SUMPRODUCT(($AM$11:$AM2314&lt;&gt;"")*($AS$11:$AS2314="✓")),"")</f>
        <v/>
      </c>
      <c r="BA2314" s="21" t="str">
        <f>IF($AL2314="","",$AL2314&amp;"|"&amp;COUNTIF($AL$11:$AL2314,$AL2314))</f>
        <v/>
      </c>
    </row>
    <row r="2315" spans="38:53" ht="15" customHeight="1" x14ac:dyDescent="0.25">
      <c r="AL2315" s="17"/>
      <c r="AM2315" s="12"/>
      <c r="AN2315" s="18"/>
      <c r="AO2315" s="18"/>
      <c r="AP2315" s="10"/>
      <c r="AQ2315" s="10"/>
      <c r="AR2315" s="19"/>
      <c r="AS2315" s="20"/>
      <c r="AT2315" s="19"/>
      <c r="AV2315" s="21">
        <f>IF(AND($AL2315&lt;&gt;"",COUNTIF($AL$11:$AL2315,$AL2315)=1),1,0)</f>
        <v>0</v>
      </c>
      <c r="AW2315" s="21">
        <f t="shared" si="157"/>
        <v>0</v>
      </c>
      <c r="AX2315" s="21" t="str">
        <f t="shared" ref="AX2315:AX2378" si="158">IF(AV2315=1,AW2315,"")</f>
        <v/>
      </c>
      <c r="AY2315" s="21" t="str">
        <f>IF(AND($AM2315&lt;&gt;"",$AS2315&lt;&gt;"✓"),SUMPRODUCT(($AM$11:$AM2315&lt;&gt;"")*($AS$11:$AS2315&lt;&gt;"✓")),"")</f>
        <v/>
      </c>
      <c r="AZ2315" s="21" t="str">
        <f>IF(AND($AM2315&lt;&gt;"",$AS2315="✓"),SUMPRODUCT(($AM$11:$AM2315&lt;&gt;"")*($AS$11:$AS2315="✓")),"")</f>
        <v/>
      </c>
      <c r="BA2315" s="21" t="str">
        <f>IF($AL2315="","",$AL2315&amp;"|"&amp;COUNTIF($AL$11:$AL2315,$AL2315))</f>
        <v/>
      </c>
    </row>
    <row r="2316" spans="38:53" ht="15" customHeight="1" x14ac:dyDescent="0.25">
      <c r="AL2316" s="31"/>
      <c r="AM2316" s="26"/>
      <c r="AN2316" s="32"/>
      <c r="AO2316" s="32"/>
      <c r="AP2316" s="24"/>
      <c r="AQ2316" s="24"/>
      <c r="AR2316" s="33"/>
      <c r="AS2316" s="34"/>
      <c r="AT2316" s="33"/>
      <c r="AV2316" s="21">
        <f>IF(AND($AL2316&lt;&gt;"",COUNTIF($AL$11:$AL2316,$AL2316)=1),1,0)</f>
        <v>0</v>
      </c>
      <c r="AW2316" s="21">
        <f t="shared" ref="AW2316:AW2379" si="159">AW2315+AV2316</f>
        <v>0</v>
      </c>
      <c r="AX2316" s="21" t="str">
        <f t="shared" si="158"/>
        <v/>
      </c>
      <c r="AY2316" s="21" t="str">
        <f>IF(AND($AM2316&lt;&gt;"",$AS2316&lt;&gt;"✓"),SUMPRODUCT(($AM$11:$AM2316&lt;&gt;"")*($AS$11:$AS2316&lt;&gt;"✓")),"")</f>
        <v/>
      </c>
      <c r="AZ2316" s="21" t="str">
        <f>IF(AND($AM2316&lt;&gt;"",$AS2316="✓"),SUMPRODUCT(($AM$11:$AM2316&lt;&gt;"")*($AS$11:$AS2316="✓")),"")</f>
        <v/>
      </c>
      <c r="BA2316" s="21" t="str">
        <f>IF($AL2316="","",$AL2316&amp;"|"&amp;COUNTIF($AL$11:$AL2316,$AL2316))</f>
        <v/>
      </c>
    </row>
    <row r="2317" spans="38:53" ht="15" customHeight="1" x14ac:dyDescent="0.25">
      <c r="AL2317" s="17"/>
      <c r="AM2317" s="12"/>
      <c r="AN2317" s="18"/>
      <c r="AO2317" s="18"/>
      <c r="AP2317" s="10"/>
      <c r="AQ2317" s="10"/>
      <c r="AR2317" s="19"/>
      <c r="AS2317" s="20"/>
      <c r="AT2317" s="19"/>
      <c r="AV2317" s="21">
        <f>IF(AND($AL2317&lt;&gt;"",COUNTIF($AL$11:$AL2317,$AL2317)=1),1,0)</f>
        <v>0</v>
      </c>
      <c r="AW2317" s="21">
        <f t="shared" si="159"/>
        <v>0</v>
      </c>
      <c r="AX2317" s="21" t="str">
        <f t="shared" si="158"/>
        <v/>
      </c>
      <c r="AY2317" s="21" t="str">
        <f>IF(AND($AM2317&lt;&gt;"",$AS2317&lt;&gt;"✓"),SUMPRODUCT(($AM$11:$AM2317&lt;&gt;"")*($AS$11:$AS2317&lt;&gt;"✓")),"")</f>
        <v/>
      </c>
      <c r="AZ2317" s="21" t="str">
        <f>IF(AND($AM2317&lt;&gt;"",$AS2317="✓"),SUMPRODUCT(($AM$11:$AM2317&lt;&gt;"")*($AS$11:$AS2317="✓")),"")</f>
        <v/>
      </c>
      <c r="BA2317" s="21" t="str">
        <f>IF($AL2317="","",$AL2317&amp;"|"&amp;COUNTIF($AL$11:$AL2317,$AL2317))</f>
        <v/>
      </c>
    </row>
    <row r="2318" spans="38:53" ht="15" customHeight="1" x14ac:dyDescent="0.25">
      <c r="AL2318" s="31"/>
      <c r="AM2318" s="26"/>
      <c r="AN2318" s="32"/>
      <c r="AO2318" s="32"/>
      <c r="AP2318" s="24"/>
      <c r="AQ2318" s="24"/>
      <c r="AR2318" s="33"/>
      <c r="AS2318" s="34"/>
      <c r="AT2318" s="33"/>
      <c r="AV2318" s="21">
        <f>IF(AND($AL2318&lt;&gt;"",COUNTIF($AL$11:$AL2318,$AL2318)=1),1,0)</f>
        <v>0</v>
      </c>
      <c r="AW2318" s="21">
        <f t="shared" si="159"/>
        <v>0</v>
      </c>
      <c r="AX2318" s="21" t="str">
        <f t="shared" si="158"/>
        <v/>
      </c>
      <c r="AY2318" s="21" t="str">
        <f>IF(AND($AM2318&lt;&gt;"",$AS2318&lt;&gt;"✓"),SUMPRODUCT(($AM$11:$AM2318&lt;&gt;"")*($AS$11:$AS2318&lt;&gt;"✓")),"")</f>
        <v/>
      </c>
      <c r="AZ2318" s="21" t="str">
        <f>IF(AND($AM2318&lt;&gt;"",$AS2318="✓"),SUMPRODUCT(($AM$11:$AM2318&lt;&gt;"")*($AS$11:$AS2318="✓")),"")</f>
        <v/>
      </c>
      <c r="BA2318" s="21" t="str">
        <f>IF($AL2318="","",$AL2318&amp;"|"&amp;COUNTIF($AL$11:$AL2318,$AL2318))</f>
        <v/>
      </c>
    </row>
    <row r="2319" spans="38:53" ht="15" customHeight="1" x14ac:dyDescent="0.25">
      <c r="AL2319" s="17"/>
      <c r="AM2319" s="12"/>
      <c r="AN2319" s="18"/>
      <c r="AO2319" s="18"/>
      <c r="AP2319" s="10"/>
      <c r="AQ2319" s="10"/>
      <c r="AR2319" s="19"/>
      <c r="AS2319" s="20"/>
      <c r="AT2319" s="19"/>
      <c r="AV2319" s="21">
        <f>IF(AND($AL2319&lt;&gt;"",COUNTIF($AL$11:$AL2319,$AL2319)=1),1,0)</f>
        <v>0</v>
      </c>
      <c r="AW2319" s="21">
        <f t="shared" si="159"/>
        <v>0</v>
      </c>
      <c r="AX2319" s="21" t="str">
        <f t="shared" si="158"/>
        <v/>
      </c>
      <c r="AY2319" s="21" t="str">
        <f>IF(AND($AM2319&lt;&gt;"",$AS2319&lt;&gt;"✓"),SUMPRODUCT(($AM$11:$AM2319&lt;&gt;"")*($AS$11:$AS2319&lt;&gt;"✓")),"")</f>
        <v/>
      </c>
      <c r="AZ2319" s="21" t="str">
        <f>IF(AND($AM2319&lt;&gt;"",$AS2319="✓"),SUMPRODUCT(($AM$11:$AM2319&lt;&gt;"")*($AS$11:$AS2319="✓")),"")</f>
        <v/>
      </c>
      <c r="BA2319" s="21" t="str">
        <f>IF($AL2319="","",$AL2319&amp;"|"&amp;COUNTIF($AL$11:$AL2319,$AL2319))</f>
        <v/>
      </c>
    </row>
    <row r="2320" spans="38:53" ht="15" customHeight="1" x14ac:dyDescent="0.25">
      <c r="AL2320" s="31"/>
      <c r="AM2320" s="26"/>
      <c r="AN2320" s="32"/>
      <c r="AO2320" s="32"/>
      <c r="AP2320" s="24"/>
      <c r="AQ2320" s="24"/>
      <c r="AR2320" s="33"/>
      <c r="AS2320" s="34"/>
      <c r="AT2320" s="33"/>
      <c r="AV2320" s="21">
        <f>IF(AND($AL2320&lt;&gt;"",COUNTIF($AL$11:$AL2320,$AL2320)=1),1,0)</f>
        <v>0</v>
      </c>
      <c r="AW2320" s="21">
        <f t="shared" si="159"/>
        <v>0</v>
      </c>
      <c r="AX2320" s="21" t="str">
        <f t="shared" si="158"/>
        <v/>
      </c>
      <c r="AY2320" s="21" t="str">
        <f>IF(AND($AM2320&lt;&gt;"",$AS2320&lt;&gt;"✓"),SUMPRODUCT(($AM$11:$AM2320&lt;&gt;"")*($AS$11:$AS2320&lt;&gt;"✓")),"")</f>
        <v/>
      </c>
      <c r="AZ2320" s="21" t="str">
        <f>IF(AND($AM2320&lt;&gt;"",$AS2320="✓"),SUMPRODUCT(($AM$11:$AM2320&lt;&gt;"")*($AS$11:$AS2320="✓")),"")</f>
        <v/>
      </c>
      <c r="BA2320" s="21" t="str">
        <f>IF($AL2320="","",$AL2320&amp;"|"&amp;COUNTIF($AL$11:$AL2320,$AL2320))</f>
        <v/>
      </c>
    </row>
    <row r="2321" spans="38:53" ht="15" customHeight="1" x14ac:dyDescent="0.25">
      <c r="AL2321" s="17"/>
      <c r="AM2321" s="12"/>
      <c r="AN2321" s="18"/>
      <c r="AO2321" s="18"/>
      <c r="AP2321" s="10"/>
      <c r="AQ2321" s="10"/>
      <c r="AR2321" s="19"/>
      <c r="AS2321" s="20"/>
      <c r="AT2321" s="19"/>
      <c r="AV2321" s="21">
        <f>IF(AND($AL2321&lt;&gt;"",COUNTIF($AL$11:$AL2321,$AL2321)=1),1,0)</f>
        <v>0</v>
      </c>
      <c r="AW2321" s="21">
        <f t="shared" si="159"/>
        <v>0</v>
      </c>
      <c r="AX2321" s="21" t="str">
        <f t="shared" si="158"/>
        <v/>
      </c>
      <c r="AY2321" s="21" t="str">
        <f>IF(AND($AM2321&lt;&gt;"",$AS2321&lt;&gt;"✓"),SUMPRODUCT(($AM$11:$AM2321&lt;&gt;"")*($AS$11:$AS2321&lt;&gt;"✓")),"")</f>
        <v/>
      </c>
      <c r="AZ2321" s="21" t="str">
        <f>IF(AND($AM2321&lt;&gt;"",$AS2321="✓"),SUMPRODUCT(($AM$11:$AM2321&lt;&gt;"")*($AS$11:$AS2321="✓")),"")</f>
        <v/>
      </c>
      <c r="BA2321" s="21" t="str">
        <f>IF($AL2321="","",$AL2321&amp;"|"&amp;COUNTIF($AL$11:$AL2321,$AL2321))</f>
        <v/>
      </c>
    </row>
    <row r="2322" spans="38:53" ht="15" customHeight="1" x14ac:dyDescent="0.25">
      <c r="AL2322" s="31"/>
      <c r="AM2322" s="26"/>
      <c r="AN2322" s="32"/>
      <c r="AO2322" s="32"/>
      <c r="AP2322" s="24"/>
      <c r="AQ2322" s="24"/>
      <c r="AR2322" s="33"/>
      <c r="AS2322" s="34"/>
      <c r="AT2322" s="33"/>
      <c r="AV2322" s="21">
        <f>IF(AND($AL2322&lt;&gt;"",COUNTIF($AL$11:$AL2322,$AL2322)=1),1,0)</f>
        <v>0</v>
      </c>
      <c r="AW2322" s="21">
        <f t="shared" si="159"/>
        <v>0</v>
      </c>
      <c r="AX2322" s="21" t="str">
        <f t="shared" si="158"/>
        <v/>
      </c>
      <c r="AY2322" s="21" t="str">
        <f>IF(AND($AM2322&lt;&gt;"",$AS2322&lt;&gt;"✓"),SUMPRODUCT(($AM$11:$AM2322&lt;&gt;"")*($AS$11:$AS2322&lt;&gt;"✓")),"")</f>
        <v/>
      </c>
      <c r="AZ2322" s="21" t="str">
        <f>IF(AND($AM2322&lt;&gt;"",$AS2322="✓"),SUMPRODUCT(($AM$11:$AM2322&lt;&gt;"")*($AS$11:$AS2322="✓")),"")</f>
        <v/>
      </c>
      <c r="BA2322" s="21" t="str">
        <f>IF($AL2322="","",$AL2322&amp;"|"&amp;COUNTIF($AL$11:$AL2322,$AL2322))</f>
        <v/>
      </c>
    </row>
    <row r="2323" spans="38:53" ht="15" customHeight="1" x14ac:dyDescent="0.25">
      <c r="AL2323" s="17"/>
      <c r="AM2323" s="12"/>
      <c r="AN2323" s="18"/>
      <c r="AO2323" s="18"/>
      <c r="AP2323" s="10"/>
      <c r="AQ2323" s="10"/>
      <c r="AR2323" s="19"/>
      <c r="AS2323" s="20"/>
      <c r="AT2323" s="19"/>
      <c r="AV2323" s="21">
        <f>IF(AND($AL2323&lt;&gt;"",COUNTIF($AL$11:$AL2323,$AL2323)=1),1,0)</f>
        <v>0</v>
      </c>
      <c r="AW2323" s="21">
        <f t="shared" si="159"/>
        <v>0</v>
      </c>
      <c r="AX2323" s="21" t="str">
        <f t="shared" si="158"/>
        <v/>
      </c>
      <c r="AY2323" s="21" t="str">
        <f>IF(AND($AM2323&lt;&gt;"",$AS2323&lt;&gt;"✓"),SUMPRODUCT(($AM$11:$AM2323&lt;&gt;"")*($AS$11:$AS2323&lt;&gt;"✓")),"")</f>
        <v/>
      </c>
      <c r="AZ2323" s="21" t="str">
        <f>IF(AND($AM2323&lt;&gt;"",$AS2323="✓"),SUMPRODUCT(($AM$11:$AM2323&lt;&gt;"")*($AS$11:$AS2323="✓")),"")</f>
        <v/>
      </c>
      <c r="BA2323" s="21" t="str">
        <f>IF($AL2323="","",$AL2323&amp;"|"&amp;COUNTIF($AL$11:$AL2323,$AL2323))</f>
        <v/>
      </c>
    </row>
    <row r="2324" spans="38:53" ht="15" customHeight="1" x14ac:dyDescent="0.25">
      <c r="AL2324" s="31"/>
      <c r="AM2324" s="26"/>
      <c r="AN2324" s="32"/>
      <c r="AO2324" s="32"/>
      <c r="AP2324" s="24"/>
      <c r="AQ2324" s="24"/>
      <c r="AR2324" s="33"/>
      <c r="AS2324" s="34"/>
      <c r="AT2324" s="33"/>
      <c r="AV2324" s="21">
        <f>IF(AND($AL2324&lt;&gt;"",COUNTIF($AL$11:$AL2324,$AL2324)=1),1,0)</f>
        <v>0</v>
      </c>
      <c r="AW2324" s="21">
        <f t="shared" si="159"/>
        <v>0</v>
      </c>
      <c r="AX2324" s="21" t="str">
        <f t="shared" si="158"/>
        <v/>
      </c>
      <c r="AY2324" s="21" t="str">
        <f>IF(AND($AM2324&lt;&gt;"",$AS2324&lt;&gt;"✓"),SUMPRODUCT(($AM$11:$AM2324&lt;&gt;"")*($AS$11:$AS2324&lt;&gt;"✓")),"")</f>
        <v/>
      </c>
      <c r="AZ2324" s="21" t="str">
        <f>IF(AND($AM2324&lt;&gt;"",$AS2324="✓"),SUMPRODUCT(($AM$11:$AM2324&lt;&gt;"")*($AS$11:$AS2324="✓")),"")</f>
        <v/>
      </c>
      <c r="BA2324" s="21" t="str">
        <f>IF($AL2324="","",$AL2324&amp;"|"&amp;COUNTIF($AL$11:$AL2324,$AL2324))</f>
        <v/>
      </c>
    </row>
    <row r="2325" spans="38:53" ht="15" customHeight="1" x14ac:dyDescent="0.25">
      <c r="AL2325" s="17"/>
      <c r="AM2325" s="12"/>
      <c r="AN2325" s="18"/>
      <c r="AO2325" s="18"/>
      <c r="AP2325" s="10"/>
      <c r="AQ2325" s="10"/>
      <c r="AR2325" s="19"/>
      <c r="AS2325" s="20"/>
      <c r="AT2325" s="19"/>
      <c r="AV2325" s="21">
        <f>IF(AND($AL2325&lt;&gt;"",COUNTIF($AL$11:$AL2325,$AL2325)=1),1,0)</f>
        <v>0</v>
      </c>
      <c r="AW2325" s="21">
        <f t="shared" si="159"/>
        <v>0</v>
      </c>
      <c r="AX2325" s="21" t="str">
        <f t="shared" si="158"/>
        <v/>
      </c>
      <c r="AY2325" s="21" t="str">
        <f>IF(AND($AM2325&lt;&gt;"",$AS2325&lt;&gt;"✓"),SUMPRODUCT(($AM$11:$AM2325&lt;&gt;"")*($AS$11:$AS2325&lt;&gt;"✓")),"")</f>
        <v/>
      </c>
      <c r="AZ2325" s="21" t="str">
        <f>IF(AND($AM2325&lt;&gt;"",$AS2325="✓"),SUMPRODUCT(($AM$11:$AM2325&lt;&gt;"")*($AS$11:$AS2325="✓")),"")</f>
        <v/>
      </c>
      <c r="BA2325" s="21" t="str">
        <f>IF($AL2325="","",$AL2325&amp;"|"&amp;COUNTIF($AL$11:$AL2325,$AL2325))</f>
        <v/>
      </c>
    </row>
    <row r="2326" spans="38:53" ht="15" customHeight="1" x14ac:dyDescent="0.25">
      <c r="AL2326" s="31"/>
      <c r="AM2326" s="26"/>
      <c r="AN2326" s="32"/>
      <c r="AO2326" s="32"/>
      <c r="AP2326" s="24"/>
      <c r="AQ2326" s="24"/>
      <c r="AR2326" s="33"/>
      <c r="AS2326" s="34"/>
      <c r="AT2326" s="33"/>
      <c r="AV2326" s="21">
        <f>IF(AND($AL2326&lt;&gt;"",COUNTIF($AL$11:$AL2326,$AL2326)=1),1,0)</f>
        <v>0</v>
      </c>
      <c r="AW2326" s="21">
        <f t="shared" si="159"/>
        <v>0</v>
      </c>
      <c r="AX2326" s="21" t="str">
        <f t="shared" si="158"/>
        <v/>
      </c>
      <c r="AY2326" s="21" t="str">
        <f>IF(AND($AM2326&lt;&gt;"",$AS2326&lt;&gt;"✓"),SUMPRODUCT(($AM$11:$AM2326&lt;&gt;"")*($AS$11:$AS2326&lt;&gt;"✓")),"")</f>
        <v/>
      </c>
      <c r="AZ2326" s="21" t="str">
        <f>IF(AND($AM2326&lt;&gt;"",$AS2326="✓"),SUMPRODUCT(($AM$11:$AM2326&lt;&gt;"")*($AS$11:$AS2326="✓")),"")</f>
        <v/>
      </c>
      <c r="BA2326" s="21" t="str">
        <f>IF($AL2326="","",$AL2326&amp;"|"&amp;COUNTIF($AL$11:$AL2326,$AL2326))</f>
        <v/>
      </c>
    </row>
    <row r="2327" spans="38:53" ht="15" customHeight="1" x14ac:dyDescent="0.25">
      <c r="AL2327" s="17"/>
      <c r="AM2327" s="12"/>
      <c r="AN2327" s="18"/>
      <c r="AO2327" s="18"/>
      <c r="AP2327" s="10"/>
      <c r="AQ2327" s="10"/>
      <c r="AR2327" s="19"/>
      <c r="AS2327" s="20"/>
      <c r="AT2327" s="19"/>
      <c r="AV2327" s="21">
        <f>IF(AND($AL2327&lt;&gt;"",COUNTIF($AL$11:$AL2327,$AL2327)=1),1,0)</f>
        <v>0</v>
      </c>
      <c r="AW2327" s="21">
        <f t="shared" si="159"/>
        <v>0</v>
      </c>
      <c r="AX2327" s="21" t="str">
        <f t="shared" si="158"/>
        <v/>
      </c>
      <c r="AY2327" s="21" t="str">
        <f>IF(AND($AM2327&lt;&gt;"",$AS2327&lt;&gt;"✓"),SUMPRODUCT(($AM$11:$AM2327&lt;&gt;"")*($AS$11:$AS2327&lt;&gt;"✓")),"")</f>
        <v/>
      </c>
      <c r="AZ2327" s="21" t="str">
        <f>IF(AND($AM2327&lt;&gt;"",$AS2327="✓"),SUMPRODUCT(($AM$11:$AM2327&lt;&gt;"")*($AS$11:$AS2327="✓")),"")</f>
        <v/>
      </c>
      <c r="BA2327" s="21" t="str">
        <f>IF($AL2327="","",$AL2327&amp;"|"&amp;COUNTIF($AL$11:$AL2327,$AL2327))</f>
        <v/>
      </c>
    </row>
    <row r="2328" spans="38:53" ht="15" customHeight="1" x14ac:dyDescent="0.25">
      <c r="AL2328" s="31"/>
      <c r="AM2328" s="26"/>
      <c r="AN2328" s="32"/>
      <c r="AO2328" s="32"/>
      <c r="AP2328" s="24"/>
      <c r="AQ2328" s="24"/>
      <c r="AR2328" s="33"/>
      <c r="AS2328" s="34"/>
      <c r="AT2328" s="33"/>
      <c r="AV2328" s="21">
        <f>IF(AND($AL2328&lt;&gt;"",COUNTIF($AL$11:$AL2328,$AL2328)=1),1,0)</f>
        <v>0</v>
      </c>
      <c r="AW2328" s="21">
        <f t="shared" si="159"/>
        <v>0</v>
      </c>
      <c r="AX2328" s="21" t="str">
        <f t="shared" si="158"/>
        <v/>
      </c>
      <c r="AY2328" s="21" t="str">
        <f>IF(AND($AM2328&lt;&gt;"",$AS2328&lt;&gt;"✓"),SUMPRODUCT(($AM$11:$AM2328&lt;&gt;"")*($AS$11:$AS2328&lt;&gt;"✓")),"")</f>
        <v/>
      </c>
      <c r="AZ2328" s="21" t="str">
        <f>IF(AND($AM2328&lt;&gt;"",$AS2328="✓"),SUMPRODUCT(($AM$11:$AM2328&lt;&gt;"")*($AS$11:$AS2328="✓")),"")</f>
        <v/>
      </c>
      <c r="BA2328" s="21" t="str">
        <f>IF($AL2328="","",$AL2328&amp;"|"&amp;COUNTIF($AL$11:$AL2328,$AL2328))</f>
        <v/>
      </c>
    </row>
    <row r="2329" spans="38:53" ht="15" customHeight="1" x14ac:dyDescent="0.25">
      <c r="AL2329" s="17"/>
      <c r="AM2329" s="12"/>
      <c r="AN2329" s="18"/>
      <c r="AO2329" s="18"/>
      <c r="AP2329" s="10"/>
      <c r="AQ2329" s="10"/>
      <c r="AR2329" s="19"/>
      <c r="AS2329" s="20"/>
      <c r="AT2329" s="19"/>
      <c r="AV2329" s="21">
        <f>IF(AND($AL2329&lt;&gt;"",COUNTIF($AL$11:$AL2329,$AL2329)=1),1,0)</f>
        <v>0</v>
      </c>
      <c r="AW2329" s="21">
        <f t="shared" si="159"/>
        <v>0</v>
      </c>
      <c r="AX2329" s="21" t="str">
        <f t="shared" si="158"/>
        <v/>
      </c>
      <c r="AY2329" s="21" t="str">
        <f>IF(AND($AM2329&lt;&gt;"",$AS2329&lt;&gt;"✓"),SUMPRODUCT(($AM$11:$AM2329&lt;&gt;"")*($AS$11:$AS2329&lt;&gt;"✓")),"")</f>
        <v/>
      </c>
      <c r="AZ2329" s="21" t="str">
        <f>IF(AND($AM2329&lt;&gt;"",$AS2329="✓"),SUMPRODUCT(($AM$11:$AM2329&lt;&gt;"")*($AS$11:$AS2329="✓")),"")</f>
        <v/>
      </c>
      <c r="BA2329" s="21" t="str">
        <f>IF($AL2329="","",$AL2329&amp;"|"&amp;COUNTIF($AL$11:$AL2329,$AL2329))</f>
        <v/>
      </c>
    </row>
    <row r="2330" spans="38:53" ht="15" customHeight="1" x14ac:dyDescent="0.25">
      <c r="AL2330" s="31"/>
      <c r="AM2330" s="26"/>
      <c r="AN2330" s="32"/>
      <c r="AO2330" s="32"/>
      <c r="AP2330" s="24"/>
      <c r="AQ2330" s="24"/>
      <c r="AR2330" s="33"/>
      <c r="AS2330" s="34"/>
      <c r="AT2330" s="33"/>
      <c r="AV2330" s="21">
        <f>IF(AND($AL2330&lt;&gt;"",COUNTIF($AL$11:$AL2330,$AL2330)=1),1,0)</f>
        <v>0</v>
      </c>
      <c r="AW2330" s="21">
        <f t="shared" si="159"/>
        <v>0</v>
      </c>
      <c r="AX2330" s="21" t="str">
        <f t="shared" si="158"/>
        <v/>
      </c>
      <c r="AY2330" s="21" t="str">
        <f>IF(AND($AM2330&lt;&gt;"",$AS2330&lt;&gt;"✓"),SUMPRODUCT(($AM$11:$AM2330&lt;&gt;"")*($AS$11:$AS2330&lt;&gt;"✓")),"")</f>
        <v/>
      </c>
      <c r="AZ2330" s="21" t="str">
        <f>IF(AND($AM2330&lt;&gt;"",$AS2330="✓"),SUMPRODUCT(($AM$11:$AM2330&lt;&gt;"")*($AS$11:$AS2330="✓")),"")</f>
        <v/>
      </c>
      <c r="BA2330" s="21" t="str">
        <f>IF($AL2330="","",$AL2330&amp;"|"&amp;COUNTIF($AL$11:$AL2330,$AL2330))</f>
        <v/>
      </c>
    </row>
    <row r="2331" spans="38:53" ht="15" customHeight="1" x14ac:dyDescent="0.25">
      <c r="AL2331" s="17"/>
      <c r="AM2331" s="12"/>
      <c r="AN2331" s="18"/>
      <c r="AO2331" s="18"/>
      <c r="AP2331" s="10"/>
      <c r="AQ2331" s="10"/>
      <c r="AR2331" s="19"/>
      <c r="AS2331" s="20"/>
      <c r="AT2331" s="19"/>
      <c r="AV2331" s="21">
        <f>IF(AND($AL2331&lt;&gt;"",COUNTIF($AL$11:$AL2331,$AL2331)=1),1,0)</f>
        <v>0</v>
      </c>
      <c r="AW2331" s="21">
        <f t="shared" si="159"/>
        <v>0</v>
      </c>
      <c r="AX2331" s="21" t="str">
        <f t="shared" si="158"/>
        <v/>
      </c>
      <c r="AY2331" s="21" t="str">
        <f>IF(AND($AM2331&lt;&gt;"",$AS2331&lt;&gt;"✓"),SUMPRODUCT(($AM$11:$AM2331&lt;&gt;"")*($AS$11:$AS2331&lt;&gt;"✓")),"")</f>
        <v/>
      </c>
      <c r="AZ2331" s="21" t="str">
        <f>IF(AND($AM2331&lt;&gt;"",$AS2331="✓"),SUMPRODUCT(($AM$11:$AM2331&lt;&gt;"")*($AS$11:$AS2331="✓")),"")</f>
        <v/>
      </c>
      <c r="BA2331" s="21" t="str">
        <f>IF($AL2331="","",$AL2331&amp;"|"&amp;COUNTIF($AL$11:$AL2331,$AL2331))</f>
        <v/>
      </c>
    </row>
    <row r="2332" spans="38:53" ht="15" customHeight="1" x14ac:dyDescent="0.25">
      <c r="AL2332" s="31"/>
      <c r="AM2332" s="26"/>
      <c r="AN2332" s="32"/>
      <c r="AO2332" s="32"/>
      <c r="AP2332" s="24"/>
      <c r="AQ2332" s="24"/>
      <c r="AR2332" s="33"/>
      <c r="AS2332" s="34"/>
      <c r="AT2332" s="33"/>
      <c r="AV2332" s="21">
        <f>IF(AND($AL2332&lt;&gt;"",COUNTIF($AL$11:$AL2332,$AL2332)=1),1,0)</f>
        <v>0</v>
      </c>
      <c r="AW2332" s="21">
        <f t="shared" si="159"/>
        <v>0</v>
      </c>
      <c r="AX2332" s="21" t="str">
        <f t="shared" si="158"/>
        <v/>
      </c>
      <c r="AY2332" s="21" t="str">
        <f>IF(AND($AM2332&lt;&gt;"",$AS2332&lt;&gt;"✓"),SUMPRODUCT(($AM$11:$AM2332&lt;&gt;"")*($AS$11:$AS2332&lt;&gt;"✓")),"")</f>
        <v/>
      </c>
      <c r="AZ2332" s="21" t="str">
        <f>IF(AND($AM2332&lt;&gt;"",$AS2332="✓"),SUMPRODUCT(($AM$11:$AM2332&lt;&gt;"")*($AS$11:$AS2332="✓")),"")</f>
        <v/>
      </c>
      <c r="BA2332" s="21" t="str">
        <f>IF($AL2332="","",$AL2332&amp;"|"&amp;COUNTIF($AL$11:$AL2332,$AL2332))</f>
        <v/>
      </c>
    </row>
    <row r="2333" spans="38:53" ht="15" customHeight="1" x14ac:dyDescent="0.25">
      <c r="AL2333" s="17"/>
      <c r="AM2333" s="12"/>
      <c r="AN2333" s="18"/>
      <c r="AO2333" s="18"/>
      <c r="AP2333" s="10"/>
      <c r="AQ2333" s="10"/>
      <c r="AR2333" s="19"/>
      <c r="AS2333" s="20"/>
      <c r="AT2333" s="19"/>
      <c r="AV2333" s="21">
        <f>IF(AND($AL2333&lt;&gt;"",COUNTIF($AL$11:$AL2333,$AL2333)=1),1,0)</f>
        <v>0</v>
      </c>
      <c r="AW2333" s="21">
        <f t="shared" si="159"/>
        <v>0</v>
      </c>
      <c r="AX2333" s="21" t="str">
        <f t="shared" si="158"/>
        <v/>
      </c>
      <c r="AY2333" s="21" t="str">
        <f>IF(AND($AM2333&lt;&gt;"",$AS2333&lt;&gt;"✓"),SUMPRODUCT(($AM$11:$AM2333&lt;&gt;"")*($AS$11:$AS2333&lt;&gt;"✓")),"")</f>
        <v/>
      </c>
      <c r="AZ2333" s="21" t="str">
        <f>IF(AND($AM2333&lt;&gt;"",$AS2333="✓"),SUMPRODUCT(($AM$11:$AM2333&lt;&gt;"")*($AS$11:$AS2333="✓")),"")</f>
        <v/>
      </c>
      <c r="BA2333" s="21" t="str">
        <f>IF($AL2333="","",$AL2333&amp;"|"&amp;COUNTIF($AL$11:$AL2333,$AL2333))</f>
        <v/>
      </c>
    </row>
    <row r="2334" spans="38:53" ht="15" customHeight="1" x14ac:dyDescent="0.25">
      <c r="AL2334" s="31"/>
      <c r="AM2334" s="26"/>
      <c r="AN2334" s="32"/>
      <c r="AO2334" s="32"/>
      <c r="AP2334" s="24"/>
      <c r="AQ2334" s="24"/>
      <c r="AR2334" s="33"/>
      <c r="AS2334" s="34"/>
      <c r="AT2334" s="33"/>
      <c r="AV2334" s="21">
        <f>IF(AND($AL2334&lt;&gt;"",COUNTIF($AL$11:$AL2334,$AL2334)=1),1,0)</f>
        <v>0</v>
      </c>
      <c r="AW2334" s="21">
        <f t="shared" si="159"/>
        <v>0</v>
      </c>
      <c r="AX2334" s="21" t="str">
        <f t="shared" si="158"/>
        <v/>
      </c>
      <c r="AY2334" s="21" t="str">
        <f>IF(AND($AM2334&lt;&gt;"",$AS2334&lt;&gt;"✓"),SUMPRODUCT(($AM$11:$AM2334&lt;&gt;"")*($AS$11:$AS2334&lt;&gt;"✓")),"")</f>
        <v/>
      </c>
      <c r="AZ2334" s="21" t="str">
        <f>IF(AND($AM2334&lt;&gt;"",$AS2334="✓"),SUMPRODUCT(($AM$11:$AM2334&lt;&gt;"")*($AS$11:$AS2334="✓")),"")</f>
        <v/>
      </c>
      <c r="BA2334" s="21" t="str">
        <f>IF($AL2334="","",$AL2334&amp;"|"&amp;COUNTIF($AL$11:$AL2334,$AL2334))</f>
        <v/>
      </c>
    </row>
    <row r="2335" spans="38:53" ht="15" customHeight="1" x14ac:dyDescent="0.25">
      <c r="AL2335" s="17"/>
      <c r="AM2335" s="12"/>
      <c r="AN2335" s="18"/>
      <c r="AO2335" s="18"/>
      <c r="AP2335" s="10"/>
      <c r="AQ2335" s="10"/>
      <c r="AR2335" s="19"/>
      <c r="AS2335" s="20"/>
      <c r="AT2335" s="19"/>
      <c r="AV2335" s="21">
        <f>IF(AND($AL2335&lt;&gt;"",COUNTIF($AL$11:$AL2335,$AL2335)=1),1,0)</f>
        <v>0</v>
      </c>
      <c r="AW2335" s="21">
        <f t="shared" si="159"/>
        <v>0</v>
      </c>
      <c r="AX2335" s="21" t="str">
        <f t="shared" si="158"/>
        <v/>
      </c>
      <c r="AY2335" s="21" t="str">
        <f>IF(AND($AM2335&lt;&gt;"",$AS2335&lt;&gt;"✓"),SUMPRODUCT(($AM$11:$AM2335&lt;&gt;"")*($AS$11:$AS2335&lt;&gt;"✓")),"")</f>
        <v/>
      </c>
      <c r="AZ2335" s="21" t="str">
        <f>IF(AND($AM2335&lt;&gt;"",$AS2335="✓"),SUMPRODUCT(($AM$11:$AM2335&lt;&gt;"")*($AS$11:$AS2335="✓")),"")</f>
        <v/>
      </c>
      <c r="BA2335" s="21" t="str">
        <f>IF($AL2335="","",$AL2335&amp;"|"&amp;COUNTIF($AL$11:$AL2335,$AL2335))</f>
        <v/>
      </c>
    </row>
    <row r="2336" spans="38:53" ht="15" customHeight="1" x14ac:dyDescent="0.25">
      <c r="AL2336" s="31"/>
      <c r="AM2336" s="26"/>
      <c r="AN2336" s="32"/>
      <c r="AO2336" s="32"/>
      <c r="AP2336" s="24"/>
      <c r="AQ2336" s="24"/>
      <c r="AR2336" s="33"/>
      <c r="AS2336" s="34"/>
      <c r="AT2336" s="33"/>
      <c r="AV2336" s="21">
        <f>IF(AND($AL2336&lt;&gt;"",COUNTIF($AL$11:$AL2336,$AL2336)=1),1,0)</f>
        <v>0</v>
      </c>
      <c r="AW2336" s="21">
        <f t="shared" si="159"/>
        <v>0</v>
      </c>
      <c r="AX2336" s="21" t="str">
        <f t="shared" si="158"/>
        <v/>
      </c>
      <c r="AY2336" s="21" t="str">
        <f>IF(AND($AM2336&lt;&gt;"",$AS2336&lt;&gt;"✓"),SUMPRODUCT(($AM$11:$AM2336&lt;&gt;"")*($AS$11:$AS2336&lt;&gt;"✓")),"")</f>
        <v/>
      </c>
      <c r="AZ2336" s="21" t="str">
        <f>IF(AND($AM2336&lt;&gt;"",$AS2336="✓"),SUMPRODUCT(($AM$11:$AM2336&lt;&gt;"")*($AS$11:$AS2336="✓")),"")</f>
        <v/>
      </c>
      <c r="BA2336" s="21" t="str">
        <f>IF($AL2336="","",$AL2336&amp;"|"&amp;COUNTIF($AL$11:$AL2336,$AL2336))</f>
        <v/>
      </c>
    </row>
    <row r="2337" spans="38:53" ht="15" customHeight="1" x14ac:dyDescent="0.25">
      <c r="AL2337" s="17"/>
      <c r="AM2337" s="12"/>
      <c r="AN2337" s="18"/>
      <c r="AO2337" s="18"/>
      <c r="AP2337" s="10"/>
      <c r="AQ2337" s="10"/>
      <c r="AR2337" s="19"/>
      <c r="AS2337" s="20"/>
      <c r="AT2337" s="19"/>
      <c r="AV2337" s="21">
        <f>IF(AND($AL2337&lt;&gt;"",COUNTIF($AL$11:$AL2337,$AL2337)=1),1,0)</f>
        <v>0</v>
      </c>
      <c r="AW2337" s="21">
        <f t="shared" si="159"/>
        <v>0</v>
      </c>
      <c r="AX2337" s="21" t="str">
        <f t="shared" si="158"/>
        <v/>
      </c>
      <c r="AY2337" s="21" t="str">
        <f>IF(AND($AM2337&lt;&gt;"",$AS2337&lt;&gt;"✓"),SUMPRODUCT(($AM$11:$AM2337&lt;&gt;"")*($AS$11:$AS2337&lt;&gt;"✓")),"")</f>
        <v/>
      </c>
      <c r="AZ2337" s="21" t="str">
        <f>IF(AND($AM2337&lt;&gt;"",$AS2337="✓"),SUMPRODUCT(($AM$11:$AM2337&lt;&gt;"")*($AS$11:$AS2337="✓")),"")</f>
        <v/>
      </c>
      <c r="BA2337" s="21" t="str">
        <f>IF($AL2337="","",$AL2337&amp;"|"&amp;COUNTIF($AL$11:$AL2337,$AL2337))</f>
        <v/>
      </c>
    </row>
    <row r="2338" spans="38:53" ht="15" customHeight="1" x14ac:dyDescent="0.25">
      <c r="AL2338" s="31"/>
      <c r="AM2338" s="26"/>
      <c r="AN2338" s="32"/>
      <c r="AO2338" s="32"/>
      <c r="AP2338" s="24"/>
      <c r="AQ2338" s="24"/>
      <c r="AR2338" s="33"/>
      <c r="AS2338" s="34"/>
      <c r="AT2338" s="33"/>
      <c r="AV2338" s="21">
        <f>IF(AND($AL2338&lt;&gt;"",COUNTIF($AL$11:$AL2338,$AL2338)=1),1,0)</f>
        <v>0</v>
      </c>
      <c r="AW2338" s="21">
        <f t="shared" si="159"/>
        <v>0</v>
      </c>
      <c r="AX2338" s="21" t="str">
        <f t="shared" si="158"/>
        <v/>
      </c>
      <c r="AY2338" s="21" t="str">
        <f>IF(AND($AM2338&lt;&gt;"",$AS2338&lt;&gt;"✓"),SUMPRODUCT(($AM$11:$AM2338&lt;&gt;"")*($AS$11:$AS2338&lt;&gt;"✓")),"")</f>
        <v/>
      </c>
      <c r="AZ2338" s="21" t="str">
        <f>IF(AND($AM2338&lt;&gt;"",$AS2338="✓"),SUMPRODUCT(($AM$11:$AM2338&lt;&gt;"")*($AS$11:$AS2338="✓")),"")</f>
        <v/>
      </c>
      <c r="BA2338" s="21" t="str">
        <f>IF($AL2338="","",$AL2338&amp;"|"&amp;COUNTIF($AL$11:$AL2338,$AL2338))</f>
        <v/>
      </c>
    </row>
    <row r="2339" spans="38:53" ht="15" customHeight="1" x14ac:dyDescent="0.25">
      <c r="AL2339" s="17"/>
      <c r="AM2339" s="12"/>
      <c r="AN2339" s="18"/>
      <c r="AO2339" s="18"/>
      <c r="AP2339" s="10"/>
      <c r="AQ2339" s="10"/>
      <c r="AR2339" s="19"/>
      <c r="AS2339" s="20"/>
      <c r="AT2339" s="19"/>
      <c r="AV2339" s="21">
        <f>IF(AND($AL2339&lt;&gt;"",COUNTIF($AL$11:$AL2339,$AL2339)=1),1,0)</f>
        <v>0</v>
      </c>
      <c r="AW2339" s="21">
        <f t="shared" si="159"/>
        <v>0</v>
      </c>
      <c r="AX2339" s="21" t="str">
        <f t="shared" si="158"/>
        <v/>
      </c>
      <c r="AY2339" s="21" t="str">
        <f>IF(AND($AM2339&lt;&gt;"",$AS2339&lt;&gt;"✓"),SUMPRODUCT(($AM$11:$AM2339&lt;&gt;"")*($AS$11:$AS2339&lt;&gt;"✓")),"")</f>
        <v/>
      </c>
      <c r="AZ2339" s="21" t="str">
        <f>IF(AND($AM2339&lt;&gt;"",$AS2339="✓"),SUMPRODUCT(($AM$11:$AM2339&lt;&gt;"")*($AS$11:$AS2339="✓")),"")</f>
        <v/>
      </c>
      <c r="BA2339" s="21" t="str">
        <f>IF($AL2339="","",$AL2339&amp;"|"&amp;COUNTIF($AL$11:$AL2339,$AL2339))</f>
        <v/>
      </c>
    </row>
    <row r="2340" spans="38:53" ht="15" customHeight="1" x14ac:dyDescent="0.25">
      <c r="AL2340" s="31"/>
      <c r="AM2340" s="26"/>
      <c r="AN2340" s="32"/>
      <c r="AO2340" s="32"/>
      <c r="AP2340" s="24"/>
      <c r="AQ2340" s="24"/>
      <c r="AR2340" s="33"/>
      <c r="AS2340" s="34"/>
      <c r="AT2340" s="33"/>
      <c r="AV2340" s="21">
        <f>IF(AND($AL2340&lt;&gt;"",COUNTIF($AL$11:$AL2340,$AL2340)=1),1,0)</f>
        <v>0</v>
      </c>
      <c r="AW2340" s="21">
        <f t="shared" si="159"/>
        <v>0</v>
      </c>
      <c r="AX2340" s="21" t="str">
        <f t="shared" si="158"/>
        <v/>
      </c>
      <c r="AY2340" s="21" t="str">
        <f>IF(AND($AM2340&lt;&gt;"",$AS2340&lt;&gt;"✓"),SUMPRODUCT(($AM$11:$AM2340&lt;&gt;"")*($AS$11:$AS2340&lt;&gt;"✓")),"")</f>
        <v/>
      </c>
      <c r="AZ2340" s="21" t="str">
        <f>IF(AND($AM2340&lt;&gt;"",$AS2340="✓"),SUMPRODUCT(($AM$11:$AM2340&lt;&gt;"")*($AS$11:$AS2340="✓")),"")</f>
        <v/>
      </c>
      <c r="BA2340" s="21" t="str">
        <f>IF($AL2340="","",$AL2340&amp;"|"&amp;COUNTIF($AL$11:$AL2340,$AL2340))</f>
        <v/>
      </c>
    </row>
    <row r="2341" spans="38:53" ht="15" customHeight="1" x14ac:dyDescent="0.25">
      <c r="AL2341" s="17"/>
      <c r="AM2341" s="12"/>
      <c r="AN2341" s="18"/>
      <c r="AO2341" s="18"/>
      <c r="AP2341" s="10"/>
      <c r="AQ2341" s="10"/>
      <c r="AR2341" s="19"/>
      <c r="AS2341" s="20"/>
      <c r="AT2341" s="19"/>
      <c r="AV2341" s="21">
        <f>IF(AND($AL2341&lt;&gt;"",COUNTIF($AL$11:$AL2341,$AL2341)=1),1,0)</f>
        <v>0</v>
      </c>
      <c r="AW2341" s="21">
        <f t="shared" si="159"/>
        <v>0</v>
      </c>
      <c r="AX2341" s="21" t="str">
        <f t="shared" si="158"/>
        <v/>
      </c>
      <c r="AY2341" s="21" t="str">
        <f>IF(AND($AM2341&lt;&gt;"",$AS2341&lt;&gt;"✓"),SUMPRODUCT(($AM$11:$AM2341&lt;&gt;"")*($AS$11:$AS2341&lt;&gt;"✓")),"")</f>
        <v/>
      </c>
      <c r="AZ2341" s="21" t="str">
        <f>IF(AND($AM2341&lt;&gt;"",$AS2341="✓"),SUMPRODUCT(($AM$11:$AM2341&lt;&gt;"")*($AS$11:$AS2341="✓")),"")</f>
        <v/>
      </c>
      <c r="BA2341" s="21" t="str">
        <f>IF($AL2341="","",$AL2341&amp;"|"&amp;COUNTIF($AL$11:$AL2341,$AL2341))</f>
        <v/>
      </c>
    </row>
    <row r="2342" spans="38:53" ht="15" customHeight="1" x14ac:dyDescent="0.25">
      <c r="AL2342" s="31"/>
      <c r="AM2342" s="26"/>
      <c r="AN2342" s="32"/>
      <c r="AO2342" s="32"/>
      <c r="AP2342" s="24"/>
      <c r="AQ2342" s="24"/>
      <c r="AR2342" s="33"/>
      <c r="AS2342" s="34"/>
      <c r="AT2342" s="33"/>
      <c r="AV2342" s="21">
        <f>IF(AND($AL2342&lt;&gt;"",COUNTIF($AL$11:$AL2342,$AL2342)=1),1,0)</f>
        <v>0</v>
      </c>
      <c r="AW2342" s="21">
        <f t="shared" si="159"/>
        <v>0</v>
      </c>
      <c r="AX2342" s="21" t="str">
        <f t="shared" si="158"/>
        <v/>
      </c>
      <c r="AY2342" s="21" t="str">
        <f>IF(AND($AM2342&lt;&gt;"",$AS2342&lt;&gt;"✓"),SUMPRODUCT(($AM$11:$AM2342&lt;&gt;"")*($AS$11:$AS2342&lt;&gt;"✓")),"")</f>
        <v/>
      </c>
      <c r="AZ2342" s="21" t="str">
        <f>IF(AND($AM2342&lt;&gt;"",$AS2342="✓"),SUMPRODUCT(($AM$11:$AM2342&lt;&gt;"")*($AS$11:$AS2342="✓")),"")</f>
        <v/>
      </c>
      <c r="BA2342" s="21" t="str">
        <f>IF($AL2342="","",$AL2342&amp;"|"&amp;COUNTIF($AL$11:$AL2342,$AL2342))</f>
        <v/>
      </c>
    </row>
    <row r="2343" spans="38:53" ht="15" customHeight="1" x14ac:dyDescent="0.25">
      <c r="AL2343" s="17"/>
      <c r="AM2343" s="12"/>
      <c r="AN2343" s="18"/>
      <c r="AO2343" s="18"/>
      <c r="AP2343" s="10"/>
      <c r="AQ2343" s="10"/>
      <c r="AR2343" s="19"/>
      <c r="AS2343" s="20"/>
      <c r="AT2343" s="19"/>
      <c r="AV2343" s="21">
        <f>IF(AND($AL2343&lt;&gt;"",COUNTIF($AL$11:$AL2343,$AL2343)=1),1,0)</f>
        <v>0</v>
      </c>
      <c r="AW2343" s="21">
        <f t="shared" si="159"/>
        <v>0</v>
      </c>
      <c r="AX2343" s="21" t="str">
        <f t="shared" si="158"/>
        <v/>
      </c>
      <c r="AY2343" s="21" t="str">
        <f>IF(AND($AM2343&lt;&gt;"",$AS2343&lt;&gt;"✓"),SUMPRODUCT(($AM$11:$AM2343&lt;&gt;"")*($AS$11:$AS2343&lt;&gt;"✓")),"")</f>
        <v/>
      </c>
      <c r="AZ2343" s="21" t="str">
        <f>IF(AND($AM2343&lt;&gt;"",$AS2343="✓"),SUMPRODUCT(($AM$11:$AM2343&lt;&gt;"")*($AS$11:$AS2343="✓")),"")</f>
        <v/>
      </c>
      <c r="BA2343" s="21" t="str">
        <f>IF($AL2343="","",$AL2343&amp;"|"&amp;COUNTIF($AL$11:$AL2343,$AL2343))</f>
        <v/>
      </c>
    </row>
    <row r="2344" spans="38:53" ht="15" customHeight="1" x14ac:dyDescent="0.25">
      <c r="AL2344" s="31"/>
      <c r="AM2344" s="26"/>
      <c r="AN2344" s="32"/>
      <c r="AO2344" s="32"/>
      <c r="AP2344" s="24"/>
      <c r="AQ2344" s="24"/>
      <c r="AR2344" s="33"/>
      <c r="AS2344" s="34"/>
      <c r="AT2344" s="33"/>
      <c r="AV2344" s="21">
        <f>IF(AND($AL2344&lt;&gt;"",COUNTIF($AL$11:$AL2344,$AL2344)=1),1,0)</f>
        <v>0</v>
      </c>
      <c r="AW2344" s="21">
        <f t="shared" si="159"/>
        <v>0</v>
      </c>
      <c r="AX2344" s="21" t="str">
        <f t="shared" si="158"/>
        <v/>
      </c>
      <c r="AY2344" s="21" t="str">
        <f>IF(AND($AM2344&lt;&gt;"",$AS2344&lt;&gt;"✓"),SUMPRODUCT(($AM$11:$AM2344&lt;&gt;"")*($AS$11:$AS2344&lt;&gt;"✓")),"")</f>
        <v/>
      </c>
      <c r="AZ2344" s="21" t="str">
        <f>IF(AND($AM2344&lt;&gt;"",$AS2344="✓"),SUMPRODUCT(($AM$11:$AM2344&lt;&gt;"")*($AS$11:$AS2344="✓")),"")</f>
        <v/>
      </c>
      <c r="BA2344" s="21" t="str">
        <f>IF($AL2344="","",$AL2344&amp;"|"&amp;COUNTIF($AL$11:$AL2344,$AL2344))</f>
        <v/>
      </c>
    </row>
    <row r="2345" spans="38:53" ht="15" customHeight="1" x14ac:dyDescent="0.25">
      <c r="AL2345" s="17"/>
      <c r="AM2345" s="12"/>
      <c r="AN2345" s="18"/>
      <c r="AO2345" s="18"/>
      <c r="AP2345" s="10"/>
      <c r="AQ2345" s="10"/>
      <c r="AR2345" s="19"/>
      <c r="AS2345" s="20"/>
      <c r="AT2345" s="19"/>
      <c r="AV2345" s="21">
        <f>IF(AND($AL2345&lt;&gt;"",COUNTIF($AL$11:$AL2345,$AL2345)=1),1,0)</f>
        <v>0</v>
      </c>
      <c r="AW2345" s="21">
        <f t="shared" si="159"/>
        <v>0</v>
      </c>
      <c r="AX2345" s="21" t="str">
        <f t="shared" si="158"/>
        <v/>
      </c>
      <c r="AY2345" s="21" t="str">
        <f>IF(AND($AM2345&lt;&gt;"",$AS2345&lt;&gt;"✓"),SUMPRODUCT(($AM$11:$AM2345&lt;&gt;"")*($AS$11:$AS2345&lt;&gt;"✓")),"")</f>
        <v/>
      </c>
      <c r="AZ2345" s="21" t="str">
        <f>IF(AND($AM2345&lt;&gt;"",$AS2345="✓"),SUMPRODUCT(($AM$11:$AM2345&lt;&gt;"")*($AS$11:$AS2345="✓")),"")</f>
        <v/>
      </c>
      <c r="BA2345" s="21" t="str">
        <f>IF($AL2345="","",$AL2345&amp;"|"&amp;COUNTIF($AL$11:$AL2345,$AL2345))</f>
        <v/>
      </c>
    </row>
    <row r="2346" spans="38:53" ht="15" customHeight="1" x14ac:dyDescent="0.25">
      <c r="AL2346" s="31"/>
      <c r="AM2346" s="26"/>
      <c r="AN2346" s="32"/>
      <c r="AO2346" s="32"/>
      <c r="AP2346" s="24"/>
      <c r="AQ2346" s="24"/>
      <c r="AR2346" s="33"/>
      <c r="AS2346" s="34"/>
      <c r="AT2346" s="33"/>
      <c r="AV2346" s="21">
        <f>IF(AND($AL2346&lt;&gt;"",COUNTIF($AL$11:$AL2346,$AL2346)=1),1,0)</f>
        <v>0</v>
      </c>
      <c r="AW2346" s="21">
        <f t="shared" si="159"/>
        <v>0</v>
      </c>
      <c r="AX2346" s="21" t="str">
        <f t="shared" si="158"/>
        <v/>
      </c>
      <c r="AY2346" s="21" t="str">
        <f>IF(AND($AM2346&lt;&gt;"",$AS2346&lt;&gt;"✓"),SUMPRODUCT(($AM$11:$AM2346&lt;&gt;"")*($AS$11:$AS2346&lt;&gt;"✓")),"")</f>
        <v/>
      </c>
      <c r="AZ2346" s="21" t="str">
        <f>IF(AND($AM2346&lt;&gt;"",$AS2346="✓"),SUMPRODUCT(($AM$11:$AM2346&lt;&gt;"")*($AS$11:$AS2346="✓")),"")</f>
        <v/>
      </c>
      <c r="BA2346" s="21" t="str">
        <f>IF($AL2346="","",$AL2346&amp;"|"&amp;COUNTIF($AL$11:$AL2346,$AL2346))</f>
        <v/>
      </c>
    </row>
    <row r="2347" spans="38:53" ht="15" customHeight="1" x14ac:dyDescent="0.25">
      <c r="AL2347" s="17"/>
      <c r="AM2347" s="12"/>
      <c r="AN2347" s="18"/>
      <c r="AO2347" s="18"/>
      <c r="AP2347" s="10"/>
      <c r="AQ2347" s="10"/>
      <c r="AR2347" s="19"/>
      <c r="AS2347" s="20"/>
      <c r="AT2347" s="19"/>
      <c r="AV2347" s="21">
        <f>IF(AND($AL2347&lt;&gt;"",COUNTIF($AL$11:$AL2347,$AL2347)=1),1,0)</f>
        <v>0</v>
      </c>
      <c r="AW2347" s="21">
        <f t="shared" si="159"/>
        <v>0</v>
      </c>
      <c r="AX2347" s="21" t="str">
        <f t="shared" si="158"/>
        <v/>
      </c>
      <c r="AY2347" s="21" t="str">
        <f>IF(AND($AM2347&lt;&gt;"",$AS2347&lt;&gt;"✓"),SUMPRODUCT(($AM$11:$AM2347&lt;&gt;"")*($AS$11:$AS2347&lt;&gt;"✓")),"")</f>
        <v/>
      </c>
      <c r="AZ2347" s="21" t="str">
        <f>IF(AND($AM2347&lt;&gt;"",$AS2347="✓"),SUMPRODUCT(($AM$11:$AM2347&lt;&gt;"")*($AS$11:$AS2347="✓")),"")</f>
        <v/>
      </c>
      <c r="BA2347" s="21" t="str">
        <f>IF($AL2347="","",$AL2347&amp;"|"&amp;COUNTIF($AL$11:$AL2347,$AL2347))</f>
        <v/>
      </c>
    </row>
    <row r="2348" spans="38:53" ht="15" customHeight="1" x14ac:dyDescent="0.25">
      <c r="AL2348" s="31"/>
      <c r="AM2348" s="26"/>
      <c r="AN2348" s="32"/>
      <c r="AO2348" s="32"/>
      <c r="AP2348" s="24"/>
      <c r="AQ2348" s="24"/>
      <c r="AR2348" s="33"/>
      <c r="AS2348" s="34"/>
      <c r="AT2348" s="33"/>
      <c r="AV2348" s="21">
        <f>IF(AND($AL2348&lt;&gt;"",COUNTIF($AL$11:$AL2348,$AL2348)=1),1,0)</f>
        <v>0</v>
      </c>
      <c r="AW2348" s="21">
        <f t="shared" si="159"/>
        <v>0</v>
      </c>
      <c r="AX2348" s="21" t="str">
        <f t="shared" si="158"/>
        <v/>
      </c>
      <c r="AY2348" s="21" t="str">
        <f>IF(AND($AM2348&lt;&gt;"",$AS2348&lt;&gt;"✓"),SUMPRODUCT(($AM$11:$AM2348&lt;&gt;"")*($AS$11:$AS2348&lt;&gt;"✓")),"")</f>
        <v/>
      </c>
      <c r="AZ2348" s="21" t="str">
        <f>IF(AND($AM2348&lt;&gt;"",$AS2348="✓"),SUMPRODUCT(($AM$11:$AM2348&lt;&gt;"")*($AS$11:$AS2348="✓")),"")</f>
        <v/>
      </c>
      <c r="BA2348" s="21" t="str">
        <f>IF($AL2348="","",$AL2348&amp;"|"&amp;COUNTIF($AL$11:$AL2348,$AL2348))</f>
        <v/>
      </c>
    </row>
    <row r="2349" spans="38:53" ht="15" customHeight="1" x14ac:dyDescent="0.25">
      <c r="AL2349" s="17"/>
      <c r="AM2349" s="12"/>
      <c r="AN2349" s="18"/>
      <c r="AO2349" s="18"/>
      <c r="AP2349" s="10"/>
      <c r="AQ2349" s="10"/>
      <c r="AR2349" s="19"/>
      <c r="AS2349" s="20"/>
      <c r="AT2349" s="19"/>
      <c r="AV2349" s="21">
        <f>IF(AND($AL2349&lt;&gt;"",COUNTIF($AL$11:$AL2349,$AL2349)=1),1,0)</f>
        <v>0</v>
      </c>
      <c r="AW2349" s="21">
        <f t="shared" si="159"/>
        <v>0</v>
      </c>
      <c r="AX2349" s="21" t="str">
        <f t="shared" si="158"/>
        <v/>
      </c>
      <c r="AY2349" s="21" t="str">
        <f>IF(AND($AM2349&lt;&gt;"",$AS2349&lt;&gt;"✓"),SUMPRODUCT(($AM$11:$AM2349&lt;&gt;"")*($AS$11:$AS2349&lt;&gt;"✓")),"")</f>
        <v/>
      </c>
      <c r="AZ2349" s="21" t="str">
        <f>IF(AND($AM2349&lt;&gt;"",$AS2349="✓"),SUMPRODUCT(($AM$11:$AM2349&lt;&gt;"")*($AS$11:$AS2349="✓")),"")</f>
        <v/>
      </c>
      <c r="BA2349" s="21" t="str">
        <f>IF($AL2349="","",$AL2349&amp;"|"&amp;COUNTIF($AL$11:$AL2349,$AL2349))</f>
        <v/>
      </c>
    </row>
    <row r="2350" spans="38:53" ht="15" customHeight="1" x14ac:dyDescent="0.25">
      <c r="AL2350" s="31"/>
      <c r="AM2350" s="26"/>
      <c r="AN2350" s="32"/>
      <c r="AO2350" s="32"/>
      <c r="AP2350" s="24"/>
      <c r="AQ2350" s="24"/>
      <c r="AR2350" s="33"/>
      <c r="AS2350" s="34"/>
      <c r="AT2350" s="33"/>
      <c r="AV2350" s="21">
        <f>IF(AND($AL2350&lt;&gt;"",COUNTIF($AL$11:$AL2350,$AL2350)=1),1,0)</f>
        <v>0</v>
      </c>
      <c r="AW2350" s="21">
        <f t="shared" si="159"/>
        <v>0</v>
      </c>
      <c r="AX2350" s="21" t="str">
        <f t="shared" si="158"/>
        <v/>
      </c>
      <c r="AY2350" s="21" t="str">
        <f>IF(AND($AM2350&lt;&gt;"",$AS2350&lt;&gt;"✓"),SUMPRODUCT(($AM$11:$AM2350&lt;&gt;"")*($AS$11:$AS2350&lt;&gt;"✓")),"")</f>
        <v/>
      </c>
      <c r="AZ2350" s="21" t="str">
        <f>IF(AND($AM2350&lt;&gt;"",$AS2350="✓"),SUMPRODUCT(($AM$11:$AM2350&lt;&gt;"")*($AS$11:$AS2350="✓")),"")</f>
        <v/>
      </c>
      <c r="BA2350" s="21" t="str">
        <f>IF($AL2350="","",$AL2350&amp;"|"&amp;COUNTIF($AL$11:$AL2350,$AL2350))</f>
        <v/>
      </c>
    </row>
    <row r="2351" spans="38:53" ht="15" customHeight="1" x14ac:dyDescent="0.25">
      <c r="AL2351" s="17"/>
      <c r="AM2351" s="12"/>
      <c r="AN2351" s="18"/>
      <c r="AO2351" s="18"/>
      <c r="AP2351" s="10"/>
      <c r="AQ2351" s="10"/>
      <c r="AR2351" s="19"/>
      <c r="AS2351" s="20"/>
      <c r="AT2351" s="19"/>
      <c r="AV2351" s="21">
        <f>IF(AND($AL2351&lt;&gt;"",COUNTIF($AL$11:$AL2351,$AL2351)=1),1,0)</f>
        <v>0</v>
      </c>
      <c r="AW2351" s="21">
        <f t="shared" si="159"/>
        <v>0</v>
      </c>
      <c r="AX2351" s="21" t="str">
        <f t="shared" si="158"/>
        <v/>
      </c>
      <c r="AY2351" s="21" t="str">
        <f>IF(AND($AM2351&lt;&gt;"",$AS2351&lt;&gt;"✓"),SUMPRODUCT(($AM$11:$AM2351&lt;&gt;"")*($AS$11:$AS2351&lt;&gt;"✓")),"")</f>
        <v/>
      </c>
      <c r="AZ2351" s="21" t="str">
        <f>IF(AND($AM2351&lt;&gt;"",$AS2351="✓"),SUMPRODUCT(($AM$11:$AM2351&lt;&gt;"")*($AS$11:$AS2351="✓")),"")</f>
        <v/>
      </c>
      <c r="BA2351" s="21" t="str">
        <f>IF($AL2351="","",$AL2351&amp;"|"&amp;COUNTIF($AL$11:$AL2351,$AL2351))</f>
        <v/>
      </c>
    </row>
    <row r="2352" spans="38:53" ht="15" customHeight="1" x14ac:dyDescent="0.25">
      <c r="AL2352" s="31"/>
      <c r="AM2352" s="26"/>
      <c r="AN2352" s="32"/>
      <c r="AO2352" s="32"/>
      <c r="AP2352" s="24"/>
      <c r="AQ2352" s="24"/>
      <c r="AR2352" s="33"/>
      <c r="AS2352" s="34"/>
      <c r="AT2352" s="33"/>
      <c r="AV2352" s="21">
        <f>IF(AND($AL2352&lt;&gt;"",COUNTIF($AL$11:$AL2352,$AL2352)=1),1,0)</f>
        <v>0</v>
      </c>
      <c r="AW2352" s="21">
        <f t="shared" si="159"/>
        <v>0</v>
      </c>
      <c r="AX2352" s="21" t="str">
        <f t="shared" si="158"/>
        <v/>
      </c>
      <c r="AY2352" s="21" t="str">
        <f>IF(AND($AM2352&lt;&gt;"",$AS2352&lt;&gt;"✓"),SUMPRODUCT(($AM$11:$AM2352&lt;&gt;"")*($AS$11:$AS2352&lt;&gt;"✓")),"")</f>
        <v/>
      </c>
      <c r="AZ2352" s="21" t="str">
        <f>IF(AND($AM2352&lt;&gt;"",$AS2352="✓"),SUMPRODUCT(($AM$11:$AM2352&lt;&gt;"")*($AS$11:$AS2352="✓")),"")</f>
        <v/>
      </c>
      <c r="BA2352" s="21" t="str">
        <f>IF($AL2352="","",$AL2352&amp;"|"&amp;COUNTIF($AL$11:$AL2352,$AL2352))</f>
        <v/>
      </c>
    </row>
    <row r="2353" spans="38:53" ht="15" customHeight="1" x14ac:dyDescent="0.25">
      <c r="AL2353" s="17"/>
      <c r="AM2353" s="12"/>
      <c r="AN2353" s="18"/>
      <c r="AO2353" s="18"/>
      <c r="AP2353" s="10"/>
      <c r="AQ2353" s="10"/>
      <c r="AR2353" s="19"/>
      <c r="AS2353" s="20"/>
      <c r="AT2353" s="19"/>
      <c r="AV2353" s="21">
        <f>IF(AND($AL2353&lt;&gt;"",COUNTIF($AL$11:$AL2353,$AL2353)=1),1,0)</f>
        <v>0</v>
      </c>
      <c r="AW2353" s="21">
        <f t="shared" si="159"/>
        <v>0</v>
      </c>
      <c r="AX2353" s="21" t="str">
        <f t="shared" si="158"/>
        <v/>
      </c>
      <c r="AY2353" s="21" t="str">
        <f>IF(AND($AM2353&lt;&gt;"",$AS2353&lt;&gt;"✓"),SUMPRODUCT(($AM$11:$AM2353&lt;&gt;"")*($AS$11:$AS2353&lt;&gt;"✓")),"")</f>
        <v/>
      </c>
      <c r="AZ2353" s="21" t="str">
        <f>IF(AND($AM2353&lt;&gt;"",$AS2353="✓"),SUMPRODUCT(($AM$11:$AM2353&lt;&gt;"")*($AS$11:$AS2353="✓")),"")</f>
        <v/>
      </c>
      <c r="BA2353" s="21" t="str">
        <f>IF($AL2353="","",$AL2353&amp;"|"&amp;COUNTIF($AL$11:$AL2353,$AL2353))</f>
        <v/>
      </c>
    </row>
    <row r="2354" spans="38:53" ht="15" customHeight="1" x14ac:dyDescent="0.25">
      <c r="AL2354" s="31"/>
      <c r="AM2354" s="26"/>
      <c r="AN2354" s="32"/>
      <c r="AO2354" s="32"/>
      <c r="AP2354" s="24"/>
      <c r="AQ2354" s="24"/>
      <c r="AR2354" s="33"/>
      <c r="AS2354" s="34"/>
      <c r="AT2354" s="33"/>
      <c r="AV2354" s="21">
        <f>IF(AND($AL2354&lt;&gt;"",COUNTIF($AL$11:$AL2354,$AL2354)=1),1,0)</f>
        <v>0</v>
      </c>
      <c r="AW2354" s="21">
        <f t="shared" si="159"/>
        <v>0</v>
      </c>
      <c r="AX2354" s="21" t="str">
        <f t="shared" si="158"/>
        <v/>
      </c>
      <c r="AY2354" s="21" t="str">
        <f>IF(AND($AM2354&lt;&gt;"",$AS2354&lt;&gt;"✓"),SUMPRODUCT(($AM$11:$AM2354&lt;&gt;"")*($AS$11:$AS2354&lt;&gt;"✓")),"")</f>
        <v/>
      </c>
      <c r="AZ2354" s="21" t="str">
        <f>IF(AND($AM2354&lt;&gt;"",$AS2354="✓"),SUMPRODUCT(($AM$11:$AM2354&lt;&gt;"")*($AS$11:$AS2354="✓")),"")</f>
        <v/>
      </c>
      <c r="BA2354" s="21" t="str">
        <f>IF($AL2354="","",$AL2354&amp;"|"&amp;COUNTIF($AL$11:$AL2354,$AL2354))</f>
        <v/>
      </c>
    </row>
    <row r="2355" spans="38:53" ht="15" customHeight="1" x14ac:dyDescent="0.25">
      <c r="AL2355" s="17"/>
      <c r="AM2355" s="12"/>
      <c r="AN2355" s="18"/>
      <c r="AO2355" s="18"/>
      <c r="AP2355" s="10"/>
      <c r="AQ2355" s="10"/>
      <c r="AR2355" s="19"/>
      <c r="AS2355" s="20"/>
      <c r="AT2355" s="19"/>
      <c r="AV2355" s="21">
        <f>IF(AND($AL2355&lt;&gt;"",COUNTIF($AL$11:$AL2355,$AL2355)=1),1,0)</f>
        <v>0</v>
      </c>
      <c r="AW2355" s="21">
        <f t="shared" si="159"/>
        <v>0</v>
      </c>
      <c r="AX2355" s="21" t="str">
        <f t="shared" si="158"/>
        <v/>
      </c>
      <c r="AY2355" s="21" t="str">
        <f>IF(AND($AM2355&lt;&gt;"",$AS2355&lt;&gt;"✓"),SUMPRODUCT(($AM$11:$AM2355&lt;&gt;"")*($AS$11:$AS2355&lt;&gt;"✓")),"")</f>
        <v/>
      </c>
      <c r="AZ2355" s="21" t="str">
        <f>IF(AND($AM2355&lt;&gt;"",$AS2355="✓"),SUMPRODUCT(($AM$11:$AM2355&lt;&gt;"")*($AS$11:$AS2355="✓")),"")</f>
        <v/>
      </c>
      <c r="BA2355" s="21" t="str">
        <f>IF($AL2355="","",$AL2355&amp;"|"&amp;COUNTIF($AL$11:$AL2355,$AL2355))</f>
        <v/>
      </c>
    </row>
    <row r="2356" spans="38:53" ht="15" customHeight="1" x14ac:dyDescent="0.25">
      <c r="AL2356" s="31"/>
      <c r="AM2356" s="26"/>
      <c r="AN2356" s="32"/>
      <c r="AO2356" s="32"/>
      <c r="AP2356" s="24"/>
      <c r="AQ2356" s="24"/>
      <c r="AR2356" s="33"/>
      <c r="AS2356" s="34"/>
      <c r="AT2356" s="33"/>
      <c r="AV2356" s="21">
        <f>IF(AND($AL2356&lt;&gt;"",COUNTIF($AL$11:$AL2356,$AL2356)=1),1,0)</f>
        <v>0</v>
      </c>
      <c r="AW2356" s="21">
        <f t="shared" si="159"/>
        <v>0</v>
      </c>
      <c r="AX2356" s="21" t="str">
        <f t="shared" si="158"/>
        <v/>
      </c>
      <c r="AY2356" s="21" t="str">
        <f>IF(AND($AM2356&lt;&gt;"",$AS2356&lt;&gt;"✓"),SUMPRODUCT(($AM$11:$AM2356&lt;&gt;"")*($AS$11:$AS2356&lt;&gt;"✓")),"")</f>
        <v/>
      </c>
      <c r="AZ2356" s="21" t="str">
        <f>IF(AND($AM2356&lt;&gt;"",$AS2356="✓"),SUMPRODUCT(($AM$11:$AM2356&lt;&gt;"")*($AS$11:$AS2356="✓")),"")</f>
        <v/>
      </c>
      <c r="BA2356" s="21" t="str">
        <f>IF($AL2356="","",$AL2356&amp;"|"&amp;COUNTIF($AL$11:$AL2356,$AL2356))</f>
        <v/>
      </c>
    </row>
    <row r="2357" spans="38:53" ht="15" customHeight="1" x14ac:dyDescent="0.25">
      <c r="AL2357" s="17"/>
      <c r="AM2357" s="12"/>
      <c r="AN2357" s="18"/>
      <c r="AO2357" s="18"/>
      <c r="AP2357" s="10"/>
      <c r="AQ2357" s="10"/>
      <c r="AR2357" s="19"/>
      <c r="AS2357" s="20"/>
      <c r="AT2357" s="19"/>
      <c r="AV2357" s="21">
        <f>IF(AND($AL2357&lt;&gt;"",COUNTIF($AL$11:$AL2357,$AL2357)=1),1,0)</f>
        <v>0</v>
      </c>
      <c r="AW2357" s="21">
        <f t="shared" si="159"/>
        <v>0</v>
      </c>
      <c r="AX2357" s="21" t="str">
        <f t="shared" si="158"/>
        <v/>
      </c>
      <c r="AY2357" s="21" t="str">
        <f>IF(AND($AM2357&lt;&gt;"",$AS2357&lt;&gt;"✓"),SUMPRODUCT(($AM$11:$AM2357&lt;&gt;"")*($AS$11:$AS2357&lt;&gt;"✓")),"")</f>
        <v/>
      </c>
      <c r="AZ2357" s="21" t="str">
        <f>IF(AND($AM2357&lt;&gt;"",$AS2357="✓"),SUMPRODUCT(($AM$11:$AM2357&lt;&gt;"")*($AS$11:$AS2357="✓")),"")</f>
        <v/>
      </c>
      <c r="BA2357" s="21" t="str">
        <f>IF($AL2357="","",$AL2357&amp;"|"&amp;COUNTIF($AL$11:$AL2357,$AL2357))</f>
        <v/>
      </c>
    </row>
    <row r="2358" spans="38:53" ht="15" customHeight="1" x14ac:dyDescent="0.25">
      <c r="AL2358" s="31"/>
      <c r="AM2358" s="26"/>
      <c r="AN2358" s="32"/>
      <c r="AO2358" s="32"/>
      <c r="AP2358" s="24"/>
      <c r="AQ2358" s="24"/>
      <c r="AR2358" s="33"/>
      <c r="AS2358" s="34"/>
      <c r="AT2358" s="33"/>
      <c r="AV2358" s="21">
        <f>IF(AND($AL2358&lt;&gt;"",COUNTIF($AL$11:$AL2358,$AL2358)=1),1,0)</f>
        <v>0</v>
      </c>
      <c r="AW2358" s="21">
        <f t="shared" si="159"/>
        <v>0</v>
      </c>
      <c r="AX2358" s="21" t="str">
        <f t="shared" si="158"/>
        <v/>
      </c>
      <c r="AY2358" s="21" t="str">
        <f>IF(AND($AM2358&lt;&gt;"",$AS2358&lt;&gt;"✓"),SUMPRODUCT(($AM$11:$AM2358&lt;&gt;"")*($AS$11:$AS2358&lt;&gt;"✓")),"")</f>
        <v/>
      </c>
      <c r="AZ2358" s="21" t="str">
        <f>IF(AND($AM2358&lt;&gt;"",$AS2358="✓"),SUMPRODUCT(($AM$11:$AM2358&lt;&gt;"")*($AS$11:$AS2358="✓")),"")</f>
        <v/>
      </c>
      <c r="BA2358" s="21" t="str">
        <f>IF($AL2358="","",$AL2358&amp;"|"&amp;COUNTIF($AL$11:$AL2358,$AL2358))</f>
        <v/>
      </c>
    </row>
    <row r="2359" spans="38:53" ht="15" customHeight="1" x14ac:dyDescent="0.25">
      <c r="AL2359" s="17"/>
      <c r="AM2359" s="12"/>
      <c r="AN2359" s="18"/>
      <c r="AO2359" s="18"/>
      <c r="AP2359" s="10"/>
      <c r="AQ2359" s="10"/>
      <c r="AR2359" s="19"/>
      <c r="AS2359" s="20"/>
      <c r="AT2359" s="19"/>
      <c r="AV2359" s="21">
        <f>IF(AND($AL2359&lt;&gt;"",COUNTIF($AL$11:$AL2359,$AL2359)=1),1,0)</f>
        <v>0</v>
      </c>
      <c r="AW2359" s="21">
        <f t="shared" si="159"/>
        <v>0</v>
      </c>
      <c r="AX2359" s="21" t="str">
        <f t="shared" si="158"/>
        <v/>
      </c>
      <c r="AY2359" s="21" t="str">
        <f>IF(AND($AM2359&lt;&gt;"",$AS2359&lt;&gt;"✓"),SUMPRODUCT(($AM$11:$AM2359&lt;&gt;"")*($AS$11:$AS2359&lt;&gt;"✓")),"")</f>
        <v/>
      </c>
      <c r="AZ2359" s="21" t="str">
        <f>IF(AND($AM2359&lt;&gt;"",$AS2359="✓"),SUMPRODUCT(($AM$11:$AM2359&lt;&gt;"")*($AS$11:$AS2359="✓")),"")</f>
        <v/>
      </c>
      <c r="BA2359" s="21" t="str">
        <f>IF($AL2359="","",$AL2359&amp;"|"&amp;COUNTIF($AL$11:$AL2359,$AL2359))</f>
        <v/>
      </c>
    </row>
    <row r="2360" spans="38:53" ht="15" customHeight="1" x14ac:dyDescent="0.25">
      <c r="AL2360" s="31"/>
      <c r="AM2360" s="26"/>
      <c r="AN2360" s="32"/>
      <c r="AO2360" s="32"/>
      <c r="AP2360" s="24"/>
      <c r="AQ2360" s="24"/>
      <c r="AR2360" s="33"/>
      <c r="AS2360" s="34"/>
      <c r="AT2360" s="33"/>
      <c r="AV2360" s="21">
        <f>IF(AND($AL2360&lt;&gt;"",COUNTIF($AL$11:$AL2360,$AL2360)=1),1,0)</f>
        <v>0</v>
      </c>
      <c r="AW2360" s="21">
        <f t="shared" si="159"/>
        <v>0</v>
      </c>
      <c r="AX2360" s="21" t="str">
        <f t="shared" si="158"/>
        <v/>
      </c>
      <c r="AY2360" s="21" t="str">
        <f>IF(AND($AM2360&lt;&gt;"",$AS2360&lt;&gt;"✓"),SUMPRODUCT(($AM$11:$AM2360&lt;&gt;"")*($AS$11:$AS2360&lt;&gt;"✓")),"")</f>
        <v/>
      </c>
      <c r="AZ2360" s="21" t="str">
        <f>IF(AND($AM2360&lt;&gt;"",$AS2360="✓"),SUMPRODUCT(($AM$11:$AM2360&lt;&gt;"")*($AS$11:$AS2360="✓")),"")</f>
        <v/>
      </c>
      <c r="BA2360" s="21" t="str">
        <f>IF($AL2360="","",$AL2360&amp;"|"&amp;COUNTIF($AL$11:$AL2360,$AL2360))</f>
        <v/>
      </c>
    </row>
    <row r="2361" spans="38:53" ht="15" customHeight="1" x14ac:dyDescent="0.25">
      <c r="AL2361" s="17"/>
      <c r="AM2361" s="12"/>
      <c r="AN2361" s="18"/>
      <c r="AO2361" s="18"/>
      <c r="AP2361" s="10"/>
      <c r="AQ2361" s="10"/>
      <c r="AR2361" s="19"/>
      <c r="AS2361" s="20"/>
      <c r="AT2361" s="19"/>
      <c r="AV2361" s="21">
        <f>IF(AND($AL2361&lt;&gt;"",COUNTIF($AL$11:$AL2361,$AL2361)=1),1,0)</f>
        <v>0</v>
      </c>
      <c r="AW2361" s="21">
        <f t="shared" si="159"/>
        <v>0</v>
      </c>
      <c r="AX2361" s="21" t="str">
        <f t="shared" si="158"/>
        <v/>
      </c>
      <c r="AY2361" s="21" t="str">
        <f>IF(AND($AM2361&lt;&gt;"",$AS2361&lt;&gt;"✓"),SUMPRODUCT(($AM$11:$AM2361&lt;&gt;"")*($AS$11:$AS2361&lt;&gt;"✓")),"")</f>
        <v/>
      </c>
      <c r="AZ2361" s="21" t="str">
        <f>IF(AND($AM2361&lt;&gt;"",$AS2361="✓"),SUMPRODUCT(($AM$11:$AM2361&lt;&gt;"")*($AS$11:$AS2361="✓")),"")</f>
        <v/>
      </c>
      <c r="BA2361" s="21" t="str">
        <f>IF($AL2361="","",$AL2361&amp;"|"&amp;COUNTIF($AL$11:$AL2361,$AL2361))</f>
        <v/>
      </c>
    </row>
    <row r="2362" spans="38:53" ht="15" customHeight="1" x14ac:dyDescent="0.25">
      <c r="AL2362" s="31"/>
      <c r="AM2362" s="26"/>
      <c r="AN2362" s="32"/>
      <c r="AO2362" s="32"/>
      <c r="AP2362" s="24"/>
      <c r="AQ2362" s="24"/>
      <c r="AR2362" s="33"/>
      <c r="AS2362" s="34"/>
      <c r="AT2362" s="33"/>
      <c r="AV2362" s="21">
        <f>IF(AND($AL2362&lt;&gt;"",COUNTIF($AL$11:$AL2362,$AL2362)=1),1,0)</f>
        <v>0</v>
      </c>
      <c r="AW2362" s="21">
        <f t="shared" si="159"/>
        <v>0</v>
      </c>
      <c r="AX2362" s="21" t="str">
        <f t="shared" si="158"/>
        <v/>
      </c>
      <c r="AY2362" s="21" t="str">
        <f>IF(AND($AM2362&lt;&gt;"",$AS2362&lt;&gt;"✓"),SUMPRODUCT(($AM$11:$AM2362&lt;&gt;"")*($AS$11:$AS2362&lt;&gt;"✓")),"")</f>
        <v/>
      </c>
      <c r="AZ2362" s="21" t="str">
        <f>IF(AND($AM2362&lt;&gt;"",$AS2362="✓"),SUMPRODUCT(($AM$11:$AM2362&lt;&gt;"")*($AS$11:$AS2362="✓")),"")</f>
        <v/>
      </c>
      <c r="BA2362" s="21" t="str">
        <f>IF($AL2362="","",$AL2362&amp;"|"&amp;COUNTIF($AL$11:$AL2362,$AL2362))</f>
        <v/>
      </c>
    </row>
    <row r="2363" spans="38:53" ht="15" customHeight="1" x14ac:dyDescent="0.25">
      <c r="AL2363" s="17"/>
      <c r="AM2363" s="12"/>
      <c r="AN2363" s="18"/>
      <c r="AO2363" s="18"/>
      <c r="AP2363" s="10"/>
      <c r="AQ2363" s="10"/>
      <c r="AR2363" s="19"/>
      <c r="AS2363" s="20"/>
      <c r="AT2363" s="19"/>
      <c r="AV2363" s="21">
        <f>IF(AND($AL2363&lt;&gt;"",COUNTIF($AL$11:$AL2363,$AL2363)=1),1,0)</f>
        <v>0</v>
      </c>
      <c r="AW2363" s="21">
        <f t="shared" si="159"/>
        <v>0</v>
      </c>
      <c r="AX2363" s="21" t="str">
        <f t="shared" si="158"/>
        <v/>
      </c>
      <c r="AY2363" s="21" t="str">
        <f>IF(AND($AM2363&lt;&gt;"",$AS2363&lt;&gt;"✓"),SUMPRODUCT(($AM$11:$AM2363&lt;&gt;"")*($AS$11:$AS2363&lt;&gt;"✓")),"")</f>
        <v/>
      </c>
      <c r="AZ2363" s="21" t="str">
        <f>IF(AND($AM2363&lt;&gt;"",$AS2363="✓"),SUMPRODUCT(($AM$11:$AM2363&lt;&gt;"")*($AS$11:$AS2363="✓")),"")</f>
        <v/>
      </c>
      <c r="BA2363" s="21" t="str">
        <f>IF($AL2363="","",$AL2363&amp;"|"&amp;COUNTIF($AL$11:$AL2363,$AL2363))</f>
        <v/>
      </c>
    </row>
    <row r="2364" spans="38:53" ht="15" customHeight="1" x14ac:dyDescent="0.25">
      <c r="AL2364" s="31"/>
      <c r="AM2364" s="26"/>
      <c r="AN2364" s="32"/>
      <c r="AO2364" s="32"/>
      <c r="AP2364" s="24"/>
      <c r="AQ2364" s="24"/>
      <c r="AR2364" s="33"/>
      <c r="AS2364" s="34"/>
      <c r="AT2364" s="33"/>
      <c r="AV2364" s="21">
        <f>IF(AND($AL2364&lt;&gt;"",COUNTIF($AL$11:$AL2364,$AL2364)=1),1,0)</f>
        <v>0</v>
      </c>
      <c r="AW2364" s="21">
        <f t="shared" si="159"/>
        <v>0</v>
      </c>
      <c r="AX2364" s="21" t="str">
        <f t="shared" si="158"/>
        <v/>
      </c>
      <c r="AY2364" s="21" t="str">
        <f>IF(AND($AM2364&lt;&gt;"",$AS2364&lt;&gt;"✓"),SUMPRODUCT(($AM$11:$AM2364&lt;&gt;"")*($AS$11:$AS2364&lt;&gt;"✓")),"")</f>
        <v/>
      </c>
      <c r="AZ2364" s="21" t="str">
        <f>IF(AND($AM2364&lt;&gt;"",$AS2364="✓"),SUMPRODUCT(($AM$11:$AM2364&lt;&gt;"")*($AS$11:$AS2364="✓")),"")</f>
        <v/>
      </c>
      <c r="BA2364" s="21" t="str">
        <f>IF($AL2364="","",$AL2364&amp;"|"&amp;COUNTIF($AL$11:$AL2364,$AL2364))</f>
        <v/>
      </c>
    </row>
    <row r="2365" spans="38:53" ht="15" customHeight="1" x14ac:dyDescent="0.25">
      <c r="AL2365" s="17"/>
      <c r="AM2365" s="12"/>
      <c r="AN2365" s="18"/>
      <c r="AO2365" s="18"/>
      <c r="AP2365" s="10"/>
      <c r="AQ2365" s="10"/>
      <c r="AR2365" s="19"/>
      <c r="AS2365" s="20"/>
      <c r="AT2365" s="19"/>
      <c r="AV2365" s="21">
        <f>IF(AND($AL2365&lt;&gt;"",COUNTIF($AL$11:$AL2365,$AL2365)=1),1,0)</f>
        <v>0</v>
      </c>
      <c r="AW2365" s="21">
        <f t="shared" si="159"/>
        <v>0</v>
      </c>
      <c r="AX2365" s="21" t="str">
        <f t="shared" si="158"/>
        <v/>
      </c>
      <c r="AY2365" s="21" t="str">
        <f>IF(AND($AM2365&lt;&gt;"",$AS2365&lt;&gt;"✓"),SUMPRODUCT(($AM$11:$AM2365&lt;&gt;"")*($AS$11:$AS2365&lt;&gt;"✓")),"")</f>
        <v/>
      </c>
      <c r="AZ2365" s="21" t="str">
        <f>IF(AND($AM2365&lt;&gt;"",$AS2365="✓"),SUMPRODUCT(($AM$11:$AM2365&lt;&gt;"")*($AS$11:$AS2365="✓")),"")</f>
        <v/>
      </c>
      <c r="BA2365" s="21" t="str">
        <f>IF($AL2365="","",$AL2365&amp;"|"&amp;COUNTIF($AL$11:$AL2365,$AL2365))</f>
        <v/>
      </c>
    </row>
    <row r="2366" spans="38:53" ht="15" customHeight="1" x14ac:dyDescent="0.25">
      <c r="AL2366" s="31"/>
      <c r="AM2366" s="26"/>
      <c r="AN2366" s="32"/>
      <c r="AO2366" s="32"/>
      <c r="AP2366" s="24"/>
      <c r="AQ2366" s="24"/>
      <c r="AR2366" s="33"/>
      <c r="AS2366" s="34"/>
      <c r="AT2366" s="33"/>
      <c r="AV2366" s="21">
        <f>IF(AND($AL2366&lt;&gt;"",COUNTIF($AL$11:$AL2366,$AL2366)=1),1,0)</f>
        <v>0</v>
      </c>
      <c r="AW2366" s="21">
        <f t="shared" si="159"/>
        <v>0</v>
      </c>
      <c r="AX2366" s="21" t="str">
        <f t="shared" si="158"/>
        <v/>
      </c>
      <c r="AY2366" s="21" t="str">
        <f>IF(AND($AM2366&lt;&gt;"",$AS2366&lt;&gt;"✓"),SUMPRODUCT(($AM$11:$AM2366&lt;&gt;"")*($AS$11:$AS2366&lt;&gt;"✓")),"")</f>
        <v/>
      </c>
      <c r="AZ2366" s="21" t="str">
        <f>IF(AND($AM2366&lt;&gt;"",$AS2366="✓"),SUMPRODUCT(($AM$11:$AM2366&lt;&gt;"")*($AS$11:$AS2366="✓")),"")</f>
        <v/>
      </c>
      <c r="BA2366" s="21" t="str">
        <f>IF($AL2366="","",$AL2366&amp;"|"&amp;COUNTIF($AL$11:$AL2366,$AL2366))</f>
        <v/>
      </c>
    </row>
    <row r="2367" spans="38:53" ht="15" customHeight="1" x14ac:dyDescent="0.25">
      <c r="AL2367" s="17"/>
      <c r="AM2367" s="12"/>
      <c r="AN2367" s="18"/>
      <c r="AO2367" s="18"/>
      <c r="AP2367" s="10"/>
      <c r="AQ2367" s="10"/>
      <c r="AR2367" s="19"/>
      <c r="AS2367" s="20"/>
      <c r="AT2367" s="19"/>
      <c r="AV2367" s="21">
        <f>IF(AND($AL2367&lt;&gt;"",COUNTIF($AL$11:$AL2367,$AL2367)=1),1,0)</f>
        <v>0</v>
      </c>
      <c r="AW2367" s="21">
        <f t="shared" si="159"/>
        <v>0</v>
      </c>
      <c r="AX2367" s="21" t="str">
        <f t="shared" si="158"/>
        <v/>
      </c>
      <c r="AY2367" s="21" t="str">
        <f>IF(AND($AM2367&lt;&gt;"",$AS2367&lt;&gt;"✓"),SUMPRODUCT(($AM$11:$AM2367&lt;&gt;"")*($AS$11:$AS2367&lt;&gt;"✓")),"")</f>
        <v/>
      </c>
      <c r="AZ2367" s="21" t="str">
        <f>IF(AND($AM2367&lt;&gt;"",$AS2367="✓"),SUMPRODUCT(($AM$11:$AM2367&lt;&gt;"")*($AS$11:$AS2367="✓")),"")</f>
        <v/>
      </c>
      <c r="BA2367" s="21" t="str">
        <f>IF($AL2367="","",$AL2367&amp;"|"&amp;COUNTIF($AL$11:$AL2367,$AL2367))</f>
        <v/>
      </c>
    </row>
    <row r="2368" spans="38:53" ht="15" customHeight="1" x14ac:dyDescent="0.25">
      <c r="AL2368" s="31"/>
      <c r="AM2368" s="26"/>
      <c r="AN2368" s="32"/>
      <c r="AO2368" s="32"/>
      <c r="AP2368" s="24"/>
      <c r="AQ2368" s="24"/>
      <c r="AR2368" s="33"/>
      <c r="AS2368" s="34"/>
      <c r="AT2368" s="33"/>
      <c r="AV2368" s="21">
        <f>IF(AND($AL2368&lt;&gt;"",COUNTIF($AL$11:$AL2368,$AL2368)=1),1,0)</f>
        <v>0</v>
      </c>
      <c r="AW2368" s="21">
        <f t="shared" si="159"/>
        <v>0</v>
      </c>
      <c r="AX2368" s="21" t="str">
        <f t="shared" si="158"/>
        <v/>
      </c>
      <c r="AY2368" s="21" t="str">
        <f>IF(AND($AM2368&lt;&gt;"",$AS2368&lt;&gt;"✓"),SUMPRODUCT(($AM$11:$AM2368&lt;&gt;"")*($AS$11:$AS2368&lt;&gt;"✓")),"")</f>
        <v/>
      </c>
      <c r="AZ2368" s="21" t="str">
        <f>IF(AND($AM2368&lt;&gt;"",$AS2368="✓"),SUMPRODUCT(($AM$11:$AM2368&lt;&gt;"")*($AS$11:$AS2368="✓")),"")</f>
        <v/>
      </c>
      <c r="BA2368" s="21" t="str">
        <f>IF($AL2368="","",$AL2368&amp;"|"&amp;COUNTIF($AL$11:$AL2368,$AL2368))</f>
        <v/>
      </c>
    </row>
    <row r="2369" spans="38:53" ht="15" customHeight="1" x14ac:dyDescent="0.25">
      <c r="AL2369" s="17"/>
      <c r="AM2369" s="12"/>
      <c r="AN2369" s="18"/>
      <c r="AO2369" s="18"/>
      <c r="AP2369" s="10"/>
      <c r="AQ2369" s="10"/>
      <c r="AR2369" s="19"/>
      <c r="AS2369" s="20"/>
      <c r="AT2369" s="19"/>
      <c r="AV2369" s="21">
        <f>IF(AND($AL2369&lt;&gt;"",COUNTIF($AL$11:$AL2369,$AL2369)=1),1,0)</f>
        <v>0</v>
      </c>
      <c r="AW2369" s="21">
        <f t="shared" si="159"/>
        <v>0</v>
      </c>
      <c r="AX2369" s="21" t="str">
        <f t="shared" si="158"/>
        <v/>
      </c>
      <c r="AY2369" s="21" t="str">
        <f>IF(AND($AM2369&lt;&gt;"",$AS2369&lt;&gt;"✓"),SUMPRODUCT(($AM$11:$AM2369&lt;&gt;"")*($AS$11:$AS2369&lt;&gt;"✓")),"")</f>
        <v/>
      </c>
      <c r="AZ2369" s="21" t="str">
        <f>IF(AND($AM2369&lt;&gt;"",$AS2369="✓"),SUMPRODUCT(($AM$11:$AM2369&lt;&gt;"")*($AS$11:$AS2369="✓")),"")</f>
        <v/>
      </c>
      <c r="BA2369" s="21" t="str">
        <f>IF($AL2369="","",$AL2369&amp;"|"&amp;COUNTIF($AL$11:$AL2369,$AL2369))</f>
        <v/>
      </c>
    </row>
    <row r="2370" spans="38:53" ht="15" customHeight="1" x14ac:dyDescent="0.25">
      <c r="AL2370" s="31"/>
      <c r="AM2370" s="26"/>
      <c r="AN2370" s="32"/>
      <c r="AO2370" s="32"/>
      <c r="AP2370" s="24"/>
      <c r="AQ2370" s="24"/>
      <c r="AR2370" s="33"/>
      <c r="AS2370" s="34"/>
      <c r="AT2370" s="33"/>
      <c r="AV2370" s="21">
        <f>IF(AND($AL2370&lt;&gt;"",COUNTIF($AL$11:$AL2370,$AL2370)=1),1,0)</f>
        <v>0</v>
      </c>
      <c r="AW2370" s="21">
        <f t="shared" si="159"/>
        <v>0</v>
      </c>
      <c r="AX2370" s="21" t="str">
        <f t="shared" si="158"/>
        <v/>
      </c>
      <c r="AY2370" s="21" t="str">
        <f>IF(AND($AM2370&lt;&gt;"",$AS2370&lt;&gt;"✓"),SUMPRODUCT(($AM$11:$AM2370&lt;&gt;"")*($AS$11:$AS2370&lt;&gt;"✓")),"")</f>
        <v/>
      </c>
      <c r="AZ2370" s="21" t="str">
        <f>IF(AND($AM2370&lt;&gt;"",$AS2370="✓"),SUMPRODUCT(($AM$11:$AM2370&lt;&gt;"")*($AS$11:$AS2370="✓")),"")</f>
        <v/>
      </c>
      <c r="BA2370" s="21" t="str">
        <f>IF($AL2370="","",$AL2370&amp;"|"&amp;COUNTIF($AL$11:$AL2370,$AL2370))</f>
        <v/>
      </c>
    </row>
    <row r="2371" spans="38:53" ht="15" customHeight="1" x14ac:dyDescent="0.25">
      <c r="AL2371" s="17"/>
      <c r="AM2371" s="12"/>
      <c r="AN2371" s="18"/>
      <c r="AO2371" s="18"/>
      <c r="AP2371" s="10"/>
      <c r="AQ2371" s="10"/>
      <c r="AR2371" s="19"/>
      <c r="AS2371" s="20"/>
      <c r="AT2371" s="19"/>
      <c r="AV2371" s="21">
        <f>IF(AND($AL2371&lt;&gt;"",COUNTIF($AL$11:$AL2371,$AL2371)=1),1,0)</f>
        <v>0</v>
      </c>
      <c r="AW2371" s="21">
        <f t="shared" si="159"/>
        <v>0</v>
      </c>
      <c r="AX2371" s="21" t="str">
        <f t="shared" si="158"/>
        <v/>
      </c>
      <c r="AY2371" s="21" t="str">
        <f>IF(AND($AM2371&lt;&gt;"",$AS2371&lt;&gt;"✓"),SUMPRODUCT(($AM$11:$AM2371&lt;&gt;"")*($AS$11:$AS2371&lt;&gt;"✓")),"")</f>
        <v/>
      </c>
      <c r="AZ2371" s="21" t="str">
        <f>IF(AND($AM2371&lt;&gt;"",$AS2371="✓"),SUMPRODUCT(($AM$11:$AM2371&lt;&gt;"")*($AS$11:$AS2371="✓")),"")</f>
        <v/>
      </c>
      <c r="BA2371" s="21" t="str">
        <f>IF($AL2371="","",$AL2371&amp;"|"&amp;COUNTIF($AL$11:$AL2371,$AL2371))</f>
        <v/>
      </c>
    </row>
    <row r="2372" spans="38:53" ht="15" customHeight="1" x14ac:dyDescent="0.25">
      <c r="AL2372" s="31"/>
      <c r="AM2372" s="26"/>
      <c r="AN2372" s="32"/>
      <c r="AO2372" s="32"/>
      <c r="AP2372" s="24"/>
      <c r="AQ2372" s="24"/>
      <c r="AR2372" s="33"/>
      <c r="AS2372" s="34"/>
      <c r="AT2372" s="33"/>
      <c r="AV2372" s="21">
        <f>IF(AND($AL2372&lt;&gt;"",COUNTIF($AL$11:$AL2372,$AL2372)=1),1,0)</f>
        <v>0</v>
      </c>
      <c r="AW2372" s="21">
        <f t="shared" si="159"/>
        <v>0</v>
      </c>
      <c r="AX2372" s="21" t="str">
        <f t="shared" si="158"/>
        <v/>
      </c>
      <c r="AY2372" s="21" t="str">
        <f>IF(AND($AM2372&lt;&gt;"",$AS2372&lt;&gt;"✓"),SUMPRODUCT(($AM$11:$AM2372&lt;&gt;"")*($AS$11:$AS2372&lt;&gt;"✓")),"")</f>
        <v/>
      </c>
      <c r="AZ2372" s="21" t="str">
        <f>IF(AND($AM2372&lt;&gt;"",$AS2372="✓"),SUMPRODUCT(($AM$11:$AM2372&lt;&gt;"")*($AS$11:$AS2372="✓")),"")</f>
        <v/>
      </c>
      <c r="BA2372" s="21" t="str">
        <f>IF($AL2372="","",$AL2372&amp;"|"&amp;COUNTIF($AL$11:$AL2372,$AL2372))</f>
        <v/>
      </c>
    </row>
    <row r="2373" spans="38:53" ht="15" customHeight="1" x14ac:dyDescent="0.25">
      <c r="AL2373" s="17"/>
      <c r="AM2373" s="12"/>
      <c r="AN2373" s="18"/>
      <c r="AO2373" s="18"/>
      <c r="AP2373" s="10"/>
      <c r="AQ2373" s="10"/>
      <c r="AR2373" s="19"/>
      <c r="AS2373" s="20"/>
      <c r="AT2373" s="19"/>
      <c r="AV2373" s="21">
        <f>IF(AND($AL2373&lt;&gt;"",COUNTIF($AL$11:$AL2373,$AL2373)=1),1,0)</f>
        <v>0</v>
      </c>
      <c r="AW2373" s="21">
        <f t="shared" si="159"/>
        <v>0</v>
      </c>
      <c r="AX2373" s="21" t="str">
        <f t="shared" si="158"/>
        <v/>
      </c>
      <c r="AY2373" s="21" t="str">
        <f>IF(AND($AM2373&lt;&gt;"",$AS2373&lt;&gt;"✓"),SUMPRODUCT(($AM$11:$AM2373&lt;&gt;"")*($AS$11:$AS2373&lt;&gt;"✓")),"")</f>
        <v/>
      </c>
      <c r="AZ2373" s="21" t="str">
        <f>IF(AND($AM2373&lt;&gt;"",$AS2373="✓"),SUMPRODUCT(($AM$11:$AM2373&lt;&gt;"")*($AS$11:$AS2373="✓")),"")</f>
        <v/>
      </c>
      <c r="BA2373" s="21" t="str">
        <f>IF($AL2373="","",$AL2373&amp;"|"&amp;COUNTIF($AL$11:$AL2373,$AL2373))</f>
        <v/>
      </c>
    </row>
    <row r="2374" spans="38:53" ht="15" customHeight="1" x14ac:dyDescent="0.25">
      <c r="AL2374" s="31"/>
      <c r="AM2374" s="26"/>
      <c r="AN2374" s="32"/>
      <c r="AO2374" s="32"/>
      <c r="AP2374" s="24"/>
      <c r="AQ2374" s="24"/>
      <c r="AR2374" s="33"/>
      <c r="AS2374" s="34"/>
      <c r="AT2374" s="33"/>
      <c r="AV2374" s="21">
        <f>IF(AND($AL2374&lt;&gt;"",COUNTIF($AL$11:$AL2374,$AL2374)=1),1,0)</f>
        <v>0</v>
      </c>
      <c r="AW2374" s="21">
        <f t="shared" si="159"/>
        <v>0</v>
      </c>
      <c r="AX2374" s="21" t="str">
        <f t="shared" si="158"/>
        <v/>
      </c>
      <c r="AY2374" s="21" t="str">
        <f>IF(AND($AM2374&lt;&gt;"",$AS2374&lt;&gt;"✓"),SUMPRODUCT(($AM$11:$AM2374&lt;&gt;"")*($AS$11:$AS2374&lt;&gt;"✓")),"")</f>
        <v/>
      </c>
      <c r="AZ2374" s="21" t="str">
        <f>IF(AND($AM2374&lt;&gt;"",$AS2374="✓"),SUMPRODUCT(($AM$11:$AM2374&lt;&gt;"")*($AS$11:$AS2374="✓")),"")</f>
        <v/>
      </c>
      <c r="BA2374" s="21" t="str">
        <f>IF($AL2374="","",$AL2374&amp;"|"&amp;COUNTIF($AL$11:$AL2374,$AL2374))</f>
        <v/>
      </c>
    </row>
    <row r="2375" spans="38:53" ht="15" customHeight="1" x14ac:dyDescent="0.25">
      <c r="AL2375" s="17"/>
      <c r="AM2375" s="12"/>
      <c r="AN2375" s="18"/>
      <c r="AO2375" s="18"/>
      <c r="AP2375" s="10"/>
      <c r="AQ2375" s="10"/>
      <c r="AR2375" s="19"/>
      <c r="AS2375" s="20"/>
      <c r="AT2375" s="19"/>
      <c r="AV2375" s="21">
        <f>IF(AND($AL2375&lt;&gt;"",COUNTIF($AL$11:$AL2375,$AL2375)=1),1,0)</f>
        <v>0</v>
      </c>
      <c r="AW2375" s="21">
        <f t="shared" si="159"/>
        <v>0</v>
      </c>
      <c r="AX2375" s="21" t="str">
        <f t="shared" si="158"/>
        <v/>
      </c>
      <c r="AY2375" s="21" t="str">
        <f>IF(AND($AM2375&lt;&gt;"",$AS2375&lt;&gt;"✓"),SUMPRODUCT(($AM$11:$AM2375&lt;&gt;"")*($AS$11:$AS2375&lt;&gt;"✓")),"")</f>
        <v/>
      </c>
      <c r="AZ2375" s="21" t="str">
        <f>IF(AND($AM2375&lt;&gt;"",$AS2375="✓"),SUMPRODUCT(($AM$11:$AM2375&lt;&gt;"")*($AS$11:$AS2375="✓")),"")</f>
        <v/>
      </c>
      <c r="BA2375" s="21" t="str">
        <f>IF($AL2375="","",$AL2375&amp;"|"&amp;COUNTIF($AL$11:$AL2375,$AL2375))</f>
        <v/>
      </c>
    </row>
    <row r="2376" spans="38:53" ht="15" customHeight="1" x14ac:dyDescent="0.25">
      <c r="AL2376" s="31"/>
      <c r="AM2376" s="26"/>
      <c r="AN2376" s="32"/>
      <c r="AO2376" s="32"/>
      <c r="AP2376" s="24"/>
      <c r="AQ2376" s="24"/>
      <c r="AR2376" s="33"/>
      <c r="AS2376" s="34"/>
      <c r="AT2376" s="33"/>
      <c r="AV2376" s="21">
        <f>IF(AND($AL2376&lt;&gt;"",COUNTIF($AL$11:$AL2376,$AL2376)=1),1,0)</f>
        <v>0</v>
      </c>
      <c r="AW2376" s="21">
        <f t="shared" si="159"/>
        <v>0</v>
      </c>
      <c r="AX2376" s="21" t="str">
        <f t="shared" si="158"/>
        <v/>
      </c>
      <c r="AY2376" s="21" t="str">
        <f>IF(AND($AM2376&lt;&gt;"",$AS2376&lt;&gt;"✓"),SUMPRODUCT(($AM$11:$AM2376&lt;&gt;"")*($AS$11:$AS2376&lt;&gt;"✓")),"")</f>
        <v/>
      </c>
      <c r="AZ2376" s="21" t="str">
        <f>IF(AND($AM2376&lt;&gt;"",$AS2376="✓"),SUMPRODUCT(($AM$11:$AM2376&lt;&gt;"")*($AS$11:$AS2376="✓")),"")</f>
        <v/>
      </c>
      <c r="BA2376" s="21" t="str">
        <f>IF($AL2376="","",$AL2376&amp;"|"&amp;COUNTIF($AL$11:$AL2376,$AL2376))</f>
        <v/>
      </c>
    </row>
    <row r="2377" spans="38:53" ht="15" customHeight="1" x14ac:dyDescent="0.25">
      <c r="AL2377" s="17"/>
      <c r="AM2377" s="12"/>
      <c r="AN2377" s="18"/>
      <c r="AO2377" s="18"/>
      <c r="AP2377" s="10"/>
      <c r="AQ2377" s="10"/>
      <c r="AR2377" s="19"/>
      <c r="AS2377" s="20"/>
      <c r="AT2377" s="19"/>
      <c r="AV2377" s="21">
        <f>IF(AND($AL2377&lt;&gt;"",COUNTIF($AL$11:$AL2377,$AL2377)=1),1,0)</f>
        <v>0</v>
      </c>
      <c r="AW2377" s="21">
        <f t="shared" si="159"/>
        <v>0</v>
      </c>
      <c r="AX2377" s="21" t="str">
        <f t="shared" si="158"/>
        <v/>
      </c>
      <c r="AY2377" s="21" t="str">
        <f>IF(AND($AM2377&lt;&gt;"",$AS2377&lt;&gt;"✓"),SUMPRODUCT(($AM$11:$AM2377&lt;&gt;"")*($AS$11:$AS2377&lt;&gt;"✓")),"")</f>
        <v/>
      </c>
      <c r="AZ2377" s="21" t="str">
        <f>IF(AND($AM2377&lt;&gt;"",$AS2377="✓"),SUMPRODUCT(($AM$11:$AM2377&lt;&gt;"")*($AS$11:$AS2377="✓")),"")</f>
        <v/>
      </c>
      <c r="BA2377" s="21" t="str">
        <f>IF($AL2377="","",$AL2377&amp;"|"&amp;COUNTIF($AL$11:$AL2377,$AL2377))</f>
        <v/>
      </c>
    </row>
    <row r="2378" spans="38:53" ht="15" customHeight="1" x14ac:dyDescent="0.25">
      <c r="AL2378" s="31"/>
      <c r="AM2378" s="26"/>
      <c r="AN2378" s="32"/>
      <c r="AO2378" s="32"/>
      <c r="AP2378" s="24"/>
      <c r="AQ2378" s="24"/>
      <c r="AR2378" s="33"/>
      <c r="AS2378" s="34"/>
      <c r="AT2378" s="33"/>
      <c r="AV2378" s="21">
        <f>IF(AND($AL2378&lt;&gt;"",COUNTIF($AL$11:$AL2378,$AL2378)=1),1,0)</f>
        <v>0</v>
      </c>
      <c r="AW2378" s="21">
        <f t="shared" si="159"/>
        <v>0</v>
      </c>
      <c r="AX2378" s="21" t="str">
        <f t="shared" si="158"/>
        <v/>
      </c>
      <c r="AY2378" s="21" t="str">
        <f>IF(AND($AM2378&lt;&gt;"",$AS2378&lt;&gt;"✓"),SUMPRODUCT(($AM$11:$AM2378&lt;&gt;"")*($AS$11:$AS2378&lt;&gt;"✓")),"")</f>
        <v/>
      </c>
      <c r="AZ2378" s="21" t="str">
        <f>IF(AND($AM2378&lt;&gt;"",$AS2378="✓"),SUMPRODUCT(($AM$11:$AM2378&lt;&gt;"")*($AS$11:$AS2378="✓")),"")</f>
        <v/>
      </c>
      <c r="BA2378" s="21" t="str">
        <f>IF($AL2378="","",$AL2378&amp;"|"&amp;COUNTIF($AL$11:$AL2378,$AL2378))</f>
        <v/>
      </c>
    </row>
    <row r="2379" spans="38:53" ht="15" customHeight="1" x14ac:dyDescent="0.25">
      <c r="AL2379" s="17"/>
      <c r="AM2379" s="12"/>
      <c r="AN2379" s="18"/>
      <c r="AO2379" s="18"/>
      <c r="AP2379" s="10"/>
      <c r="AQ2379" s="10"/>
      <c r="AR2379" s="19"/>
      <c r="AS2379" s="20"/>
      <c r="AT2379" s="19"/>
      <c r="AV2379" s="21">
        <f>IF(AND($AL2379&lt;&gt;"",COUNTIF($AL$11:$AL2379,$AL2379)=1),1,0)</f>
        <v>0</v>
      </c>
      <c r="AW2379" s="21">
        <f t="shared" si="159"/>
        <v>0</v>
      </c>
      <c r="AX2379" s="21" t="str">
        <f t="shared" ref="AX2379:AX2442" si="160">IF(AV2379=1,AW2379,"")</f>
        <v/>
      </c>
      <c r="AY2379" s="21" t="str">
        <f>IF(AND($AM2379&lt;&gt;"",$AS2379&lt;&gt;"✓"),SUMPRODUCT(($AM$11:$AM2379&lt;&gt;"")*($AS$11:$AS2379&lt;&gt;"✓")),"")</f>
        <v/>
      </c>
      <c r="AZ2379" s="21" t="str">
        <f>IF(AND($AM2379&lt;&gt;"",$AS2379="✓"),SUMPRODUCT(($AM$11:$AM2379&lt;&gt;"")*($AS$11:$AS2379="✓")),"")</f>
        <v/>
      </c>
      <c r="BA2379" s="21" t="str">
        <f>IF($AL2379="","",$AL2379&amp;"|"&amp;COUNTIF($AL$11:$AL2379,$AL2379))</f>
        <v/>
      </c>
    </row>
    <row r="2380" spans="38:53" ht="15" customHeight="1" x14ac:dyDescent="0.25">
      <c r="AL2380" s="31"/>
      <c r="AM2380" s="26"/>
      <c r="AN2380" s="32"/>
      <c r="AO2380" s="32"/>
      <c r="AP2380" s="24"/>
      <c r="AQ2380" s="24"/>
      <c r="AR2380" s="33"/>
      <c r="AS2380" s="34"/>
      <c r="AT2380" s="33"/>
      <c r="AV2380" s="21">
        <f>IF(AND($AL2380&lt;&gt;"",COUNTIF($AL$11:$AL2380,$AL2380)=1),1,0)</f>
        <v>0</v>
      </c>
      <c r="AW2380" s="21">
        <f t="shared" ref="AW2380:AW2443" si="161">AW2379+AV2380</f>
        <v>0</v>
      </c>
      <c r="AX2380" s="21" t="str">
        <f t="shared" si="160"/>
        <v/>
      </c>
      <c r="AY2380" s="21" t="str">
        <f>IF(AND($AM2380&lt;&gt;"",$AS2380&lt;&gt;"✓"),SUMPRODUCT(($AM$11:$AM2380&lt;&gt;"")*($AS$11:$AS2380&lt;&gt;"✓")),"")</f>
        <v/>
      </c>
      <c r="AZ2380" s="21" t="str">
        <f>IF(AND($AM2380&lt;&gt;"",$AS2380="✓"),SUMPRODUCT(($AM$11:$AM2380&lt;&gt;"")*($AS$11:$AS2380="✓")),"")</f>
        <v/>
      </c>
      <c r="BA2380" s="21" t="str">
        <f>IF($AL2380="","",$AL2380&amp;"|"&amp;COUNTIF($AL$11:$AL2380,$AL2380))</f>
        <v/>
      </c>
    </row>
    <row r="2381" spans="38:53" ht="15" customHeight="1" x14ac:dyDescent="0.25">
      <c r="AL2381" s="17"/>
      <c r="AM2381" s="12"/>
      <c r="AN2381" s="18"/>
      <c r="AO2381" s="18"/>
      <c r="AP2381" s="10"/>
      <c r="AQ2381" s="10"/>
      <c r="AR2381" s="19"/>
      <c r="AS2381" s="20"/>
      <c r="AT2381" s="19"/>
      <c r="AV2381" s="21">
        <f>IF(AND($AL2381&lt;&gt;"",COUNTIF($AL$11:$AL2381,$AL2381)=1),1,0)</f>
        <v>0</v>
      </c>
      <c r="AW2381" s="21">
        <f t="shared" si="161"/>
        <v>0</v>
      </c>
      <c r="AX2381" s="21" t="str">
        <f t="shared" si="160"/>
        <v/>
      </c>
      <c r="AY2381" s="21" t="str">
        <f>IF(AND($AM2381&lt;&gt;"",$AS2381&lt;&gt;"✓"),SUMPRODUCT(($AM$11:$AM2381&lt;&gt;"")*($AS$11:$AS2381&lt;&gt;"✓")),"")</f>
        <v/>
      </c>
      <c r="AZ2381" s="21" t="str">
        <f>IF(AND($AM2381&lt;&gt;"",$AS2381="✓"),SUMPRODUCT(($AM$11:$AM2381&lt;&gt;"")*($AS$11:$AS2381="✓")),"")</f>
        <v/>
      </c>
      <c r="BA2381" s="21" t="str">
        <f>IF($AL2381="","",$AL2381&amp;"|"&amp;COUNTIF($AL$11:$AL2381,$AL2381))</f>
        <v/>
      </c>
    </row>
    <row r="2382" spans="38:53" ht="15" customHeight="1" x14ac:dyDescent="0.25">
      <c r="AL2382" s="31"/>
      <c r="AM2382" s="26"/>
      <c r="AN2382" s="32"/>
      <c r="AO2382" s="32"/>
      <c r="AP2382" s="24"/>
      <c r="AQ2382" s="24"/>
      <c r="AR2382" s="33"/>
      <c r="AS2382" s="34"/>
      <c r="AT2382" s="33"/>
      <c r="AV2382" s="21">
        <f>IF(AND($AL2382&lt;&gt;"",COUNTIF($AL$11:$AL2382,$AL2382)=1),1,0)</f>
        <v>0</v>
      </c>
      <c r="AW2382" s="21">
        <f t="shared" si="161"/>
        <v>0</v>
      </c>
      <c r="AX2382" s="21" t="str">
        <f t="shared" si="160"/>
        <v/>
      </c>
      <c r="AY2382" s="21" t="str">
        <f>IF(AND($AM2382&lt;&gt;"",$AS2382&lt;&gt;"✓"),SUMPRODUCT(($AM$11:$AM2382&lt;&gt;"")*($AS$11:$AS2382&lt;&gt;"✓")),"")</f>
        <v/>
      </c>
      <c r="AZ2382" s="21" t="str">
        <f>IF(AND($AM2382&lt;&gt;"",$AS2382="✓"),SUMPRODUCT(($AM$11:$AM2382&lt;&gt;"")*($AS$11:$AS2382="✓")),"")</f>
        <v/>
      </c>
      <c r="BA2382" s="21" t="str">
        <f>IF($AL2382="","",$AL2382&amp;"|"&amp;COUNTIF($AL$11:$AL2382,$AL2382))</f>
        <v/>
      </c>
    </row>
    <row r="2383" spans="38:53" ht="15" customHeight="1" x14ac:dyDescent="0.25">
      <c r="AL2383" s="17"/>
      <c r="AM2383" s="12"/>
      <c r="AN2383" s="18"/>
      <c r="AO2383" s="18"/>
      <c r="AP2383" s="10"/>
      <c r="AQ2383" s="10"/>
      <c r="AR2383" s="19"/>
      <c r="AS2383" s="20"/>
      <c r="AT2383" s="19"/>
      <c r="AV2383" s="21">
        <f>IF(AND($AL2383&lt;&gt;"",COUNTIF($AL$11:$AL2383,$AL2383)=1),1,0)</f>
        <v>0</v>
      </c>
      <c r="AW2383" s="21">
        <f t="shared" si="161"/>
        <v>0</v>
      </c>
      <c r="AX2383" s="21" t="str">
        <f t="shared" si="160"/>
        <v/>
      </c>
      <c r="AY2383" s="21" t="str">
        <f>IF(AND($AM2383&lt;&gt;"",$AS2383&lt;&gt;"✓"),SUMPRODUCT(($AM$11:$AM2383&lt;&gt;"")*($AS$11:$AS2383&lt;&gt;"✓")),"")</f>
        <v/>
      </c>
      <c r="AZ2383" s="21" t="str">
        <f>IF(AND($AM2383&lt;&gt;"",$AS2383="✓"),SUMPRODUCT(($AM$11:$AM2383&lt;&gt;"")*($AS$11:$AS2383="✓")),"")</f>
        <v/>
      </c>
      <c r="BA2383" s="21" t="str">
        <f>IF($AL2383="","",$AL2383&amp;"|"&amp;COUNTIF($AL$11:$AL2383,$AL2383))</f>
        <v/>
      </c>
    </row>
    <row r="2384" spans="38:53" ht="15" customHeight="1" x14ac:dyDescent="0.25">
      <c r="AL2384" s="31"/>
      <c r="AM2384" s="26"/>
      <c r="AN2384" s="32"/>
      <c r="AO2384" s="32"/>
      <c r="AP2384" s="24"/>
      <c r="AQ2384" s="24"/>
      <c r="AR2384" s="33"/>
      <c r="AS2384" s="34"/>
      <c r="AT2384" s="33"/>
      <c r="AV2384" s="21">
        <f>IF(AND($AL2384&lt;&gt;"",COUNTIF($AL$11:$AL2384,$AL2384)=1),1,0)</f>
        <v>0</v>
      </c>
      <c r="AW2384" s="21">
        <f t="shared" si="161"/>
        <v>0</v>
      </c>
      <c r="AX2384" s="21" t="str">
        <f t="shared" si="160"/>
        <v/>
      </c>
      <c r="AY2384" s="21" t="str">
        <f>IF(AND($AM2384&lt;&gt;"",$AS2384&lt;&gt;"✓"),SUMPRODUCT(($AM$11:$AM2384&lt;&gt;"")*($AS$11:$AS2384&lt;&gt;"✓")),"")</f>
        <v/>
      </c>
      <c r="AZ2384" s="21" t="str">
        <f>IF(AND($AM2384&lt;&gt;"",$AS2384="✓"),SUMPRODUCT(($AM$11:$AM2384&lt;&gt;"")*($AS$11:$AS2384="✓")),"")</f>
        <v/>
      </c>
      <c r="BA2384" s="21" t="str">
        <f>IF($AL2384="","",$AL2384&amp;"|"&amp;COUNTIF($AL$11:$AL2384,$AL2384))</f>
        <v/>
      </c>
    </row>
    <row r="2385" spans="38:53" ht="15" customHeight="1" x14ac:dyDescent="0.25">
      <c r="AL2385" s="17"/>
      <c r="AM2385" s="12"/>
      <c r="AN2385" s="18"/>
      <c r="AO2385" s="18"/>
      <c r="AP2385" s="10"/>
      <c r="AQ2385" s="10"/>
      <c r="AR2385" s="19"/>
      <c r="AS2385" s="20"/>
      <c r="AT2385" s="19"/>
      <c r="AV2385" s="21">
        <f>IF(AND($AL2385&lt;&gt;"",COUNTIF($AL$11:$AL2385,$AL2385)=1),1,0)</f>
        <v>0</v>
      </c>
      <c r="AW2385" s="21">
        <f t="shared" si="161"/>
        <v>0</v>
      </c>
      <c r="AX2385" s="21" t="str">
        <f t="shared" si="160"/>
        <v/>
      </c>
      <c r="AY2385" s="21" t="str">
        <f>IF(AND($AM2385&lt;&gt;"",$AS2385&lt;&gt;"✓"),SUMPRODUCT(($AM$11:$AM2385&lt;&gt;"")*($AS$11:$AS2385&lt;&gt;"✓")),"")</f>
        <v/>
      </c>
      <c r="AZ2385" s="21" t="str">
        <f>IF(AND($AM2385&lt;&gt;"",$AS2385="✓"),SUMPRODUCT(($AM$11:$AM2385&lt;&gt;"")*($AS$11:$AS2385="✓")),"")</f>
        <v/>
      </c>
      <c r="BA2385" s="21" t="str">
        <f>IF($AL2385="","",$AL2385&amp;"|"&amp;COUNTIF($AL$11:$AL2385,$AL2385))</f>
        <v/>
      </c>
    </row>
    <row r="2386" spans="38:53" ht="15" customHeight="1" x14ac:dyDescent="0.25">
      <c r="AL2386" s="31"/>
      <c r="AM2386" s="26"/>
      <c r="AN2386" s="32"/>
      <c r="AO2386" s="32"/>
      <c r="AP2386" s="24"/>
      <c r="AQ2386" s="24"/>
      <c r="AR2386" s="33"/>
      <c r="AS2386" s="34"/>
      <c r="AT2386" s="33"/>
      <c r="AV2386" s="21">
        <f>IF(AND($AL2386&lt;&gt;"",COUNTIF($AL$11:$AL2386,$AL2386)=1),1,0)</f>
        <v>0</v>
      </c>
      <c r="AW2386" s="21">
        <f t="shared" si="161"/>
        <v>0</v>
      </c>
      <c r="AX2386" s="21" t="str">
        <f t="shared" si="160"/>
        <v/>
      </c>
      <c r="AY2386" s="21" t="str">
        <f>IF(AND($AM2386&lt;&gt;"",$AS2386&lt;&gt;"✓"),SUMPRODUCT(($AM$11:$AM2386&lt;&gt;"")*($AS$11:$AS2386&lt;&gt;"✓")),"")</f>
        <v/>
      </c>
      <c r="AZ2386" s="21" t="str">
        <f>IF(AND($AM2386&lt;&gt;"",$AS2386="✓"),SUMPRODUCT(($AM$11:$AM2386&lt;&gt;"")*($AS$11:$AS2386="✓")),"")</f>
        <v/>
      </c>
      <c r="BA2386" s="21" t="str">
        <f>IF($AL2386="","",$AL2386&amp;"|"&amp;COUNTIF($AL$11:$AL2386,$AL2386))</f>
        <v/>
      </c>
    </row>
    <row r="2387" spans="38:53" ht="15" customHeight="1" x14ac:dyDescent="0.25">
      <c r="AL2387" s="17"/>
      <c r="AM2387" s="12"/>
      <c r="AN2387" s="18"/>
      <c r="AO2387" s="18"/>
      <c r="AP2387" s="10"/>
      <c r="AQ2387" s="10"/>
      <c r="AR2387" s="19"/>
      <c r="AS2387" s="20"/>
      <c r="AT2387" s="19"/>
      <c r="AV2387" s="21">
        <f>IF(AND($AL2387&lt;&gt;"",COUNTIF($AL$11:$AL2387,$AL2387)=1),1,0)</f>
        <v>0</v>
      </c>
      <c r="AW2387" s="21">
        <f t="shared" si="161"/>
        <v>0</v>
      </c>
      <c r="AX2387" s="21" t="str">
        <f t="shared" si="160"/>
        <v/>
      </c>
      <c r="AY2387" s="21" t="str">
        <f>IF(AND($AM2387&lt;&gt;"",$AS2387&lt;&gt;"✓"),SUMPRODUCT(($AM$11:$AM2387&lt;&gt;"")*($AS$11:$AS2387&lt;&gt;"✓")),"")</f>
        <v/>
      </c>
      <c r="AZ2387" s="21" t="str">
        <f>IF(AND($AM2387&lt;&gt;"",$AS2387="✓"),SUMPRODUCT(($AM$11:$AM2387&lt;&gt;"")*($AS$11:$AS2387="✓")),"")</f>
        <v/>
      </c>
      <c r="BA2387" s="21" t="str">
        <f>IF($AL2387="","",$AL2387&amp;"|"&amp;COUNTIF($AL$11:$AL2387,$AL2387))</f>
        <v/>
      </c>
    </row>
    <row r="2388" spans="38:53" ht="15" customHeight="1" x14ac:dyDescent="0.25">
      <c r="AL2388" s="31"/>
      <c r="AM2388" s="26"/>
      <c r="AN2388" s="32"/>
      <c r="AO2388" s="32"/>
      <c r="AP2388" s="24"/>
      <c r="AQ2388" s="24"/>
      <c r="AR2388" s="33"/>
      <c r="AS2388" s="34"/>
      <c r="AT2388" s="33"/>
      <c r="AV2388" s="21">
        <f>IF(AND($AL2388&lt;&gt;"",COUNTIF($AL$11:$AL2388,$AL2388)=1),1,0)</f>
        <v>0</v>
      </c>
      <c r="AW2388" s="21">
        <f t="shared" si="161"/>
        <v>0</v>
      </c>
      <c r="AX2388" s="21" t="str">
        <f t="shared" si="160"/>
        <v/>
      </c>
      <c r="AY2388" s="21" t="str">
        <f>IF(AND($AM2388&lt;&gt;"",$AS2388&lt;&gt;"✓"),SUMPRODUCT(($AM$11:$AM2388&lt;&gt;"")*($AS$11:$AS2388&lt;&gt;"✓")),"")</f>
        <v/>
      </c>
      <c r="AZ2388" s="21" t="str">
        <f>IF(AND($AM2388&lt;&gt;"",$AS2388="✓"),SUMPRODUCT(($AM$11:$AM2388&lt;&gt;"")*($AS$11:$AS2388="✓")),"")</f>
        <v/>
      </c>
      <c r="BA2388" s="21" t="str">
        <f>IF($AL2388="","",$AL2388&amp;"|"&amp;COUNTIF($AL$11:$AL2388,$AL2388))</f>
        <v/>
      </c>
    </row>
    <row r="2389" spans="38:53" ht="15" customHeight="1" x14ac:dyDescent="0.25">
      <c r="AL2389" s="17"/>
      <c r="AM2389" s="12"/>
      <c r="AN2389" s="18"/>
      <c r="AO2389" s="18"/>
      <c r="AP2389" s="10"/>
      <c r="AQ2389" s="10"/>
      <c r="AR2389" s="19"/>
      <c r="AS2389" s="20"/>
      <c r="AT2389" s="19"/>
      <c r="AV2389" s="21">
        <f>IF(AND($AL2389&lt;&gt;"",COUNTIF($AL$11:$AL2389,$AL2389)=1),1,0)</f>
        <v>0</v>
      </c>
      <c r="AW2389" s="21">
        <f t="shared" si="161"/>
        <v>0</v>
      </c>
      <c r="AX2389" s="21" t="str">
        <f t="shared" si="160"/>
        <v/>
      </c>
      <c r="AY2389" s="21" t="str">
        <f>IF(AND($AM2389&lt;&gt;"",$AS2389&lt;&gt;"✓"),SUMPRODUCT(($AM$11:$AM2389&lt;&gt;"")*($AS$11:$AS2389&lt;&gt;"✓")),"")</f>
        <v/>
      </c>
      <c r="AZ2389" s="21" t="str">
        <f>IF(AND($AM2389&lt;&gt;"",$AS2389="✓"),SUMPRODUCT(($AM$11:$AM2389&lt;&gt;"")*($AS$11:$AS2389="✓")),"")</f>
        <v/>
      </c>
      <c r="BA2389" s="21" t="str">
        <f>IF($AL2389="","",$AL2389&amp;"|"&amp;COUNTIF($AL$11:$AL2389,$AL2389))</f>
        <v/>
      </c>
    </row>
    <row r="2390" spans="38:53" ht="15" customHeight="1" x14ac:dyDescent="0.25">
      <c r="AL2390" s="31"/>
      <c r="AM2390" s="26"/>
      <c r="AN2390" s="32"/>
      <c r="AO2390" s="32"/>
      <c r="AP2390" s="24"/>
      <c r="AQ2390" s="24"/>
      <c r="AR2390" s="33"/>
      <c r="AS2390" s="34"/>
      <c r="AT2390" s="33"/>
      <c r="AV2390" s="21">
        <f>IF(AND($AL2390&lt;&gt;"",COUNTIF($AL$11:$AL2390,$AL2390)=1),1,0)</f>
        <v>0</v>
      </c>
      <c r="AW2390" s="21">
        <f t="shared" si="161"/>
        <v>0</v>
      </c>
      <c r="AX2390" s="21" t="str">
        <f t="shared" si="160"/>
        <v/>
      </c>
      <c r="AY2390" s="21" t="str">
        <f>IF(AND($AM2390&lt;&gt;"",$AS2390&lt;&gt;"✓"),SUMPRODUCT(($AM$11:$AM2390&lt;&gt;"")*($AS$11:$AS2390&lt;&gt;"✓")),"")</f>
        <v/>
      </c>
      <c r="AZ2390" s="21" t="str">
        <f>IF(AND($AM2390&lt;&gt;"",$AS2390="✓"),SUMPRODUCT(($AM$11:$AM2390&lt;&gt;"")*($AS$11:$AS2390="✓")),"")</f>
        <v/>
      </c>
      <c r="BA2390" s="21" t="str">
        <f>IF($AL2390="","",$AL2390&amp;"|"&amp;COUNTIF($AL$11:$AL2390,$AL2390))</f>
        <v/>
      </c>
    </row>
    <row r="2391" spans="38:53" ht="15" customHeight="1" x14ac:dyDescent="0.25">
      <c r="AL2391" s="17"/>
      <c r="AM2391" s="12"/>
      <c r="AN2391" s="18"/>
      <c r="AO2391" s="18"/>
      <c r="AP2391" s="10"/>
      <c r="AQ2391" s="10"/>
      <c r="AR2391" s="19"/>
      <c r="AS2391" s="20"/>
      <c r="AT2391" s="19"/>
      <c r="AV2391" s="21">
        <f>IF(AND($AL2391&lt;&gt;"",COUNTIF($AL$11:$AL2391,$AL2391)=1),1,0)</f>
        <v>0</v>
      </c>
      <c r="AW2391" s="21">
        <f t="shared" si="161"/>
        <v>0</v>
      </c>
      <c r="AX2391" s="21" t="str">
        <f t="shared" si="160"/>
        <v/>
      </c>
      <c r="AY2391" s="21" t="str">
        <f>IF(AND($AM2391&lt;&gt;"",$AS2391&lt;&gt;"✓"),SUMPRODUCT(($AM$11:$AM2391&lt;&gt;"")*($AS$11:$AS2391&lt;&gt;"✓")),"")</f>
        <v/>
      </c>
      <c r="AZ2391" s="21" t="str">
        <f>IF(AND($AM2391&lt;&gt;"",$AS2391="✓"),SUMPRODUCT(($AM$11:$AM2391&lt;&gt;"")*($AS$11:$AS2391="✓")),"")</f>
        <v/>
      </c>
      <c r="BA2391" s="21" t="str">
        <f>IF($AL2391="","",$AL2391&amp;"|"&amp;COUNTIF($AL$11:$AL2391,$AL2391))</f>
        <v/>
      </c>
    </row>
    <row r="2392" spans="38:53" ht="15" customHeight="1" x14ac:dyDescent="0.25">
      <c r="AL2392" s="31"/>
      <c r="AM2392" s="26"/>
      <c r="AN2392" s="32"/>
      <c r="AO2392" s="32"/>
      <c r="AP2392" s="24"/>
      <c r="AQ2392" s="24"/>
      <c r="AR2392" s="33"/>
      <c r="AS2392" s="34"/>
      <c r="AT2392" s="33"/>
      <c r="AV2392" s="21">
        <f>IF(AND($AL2392&lt;&gt;"",COUNTIF($AL$11:$AL2392,$AL2392)=1),1,0)</f>
        <v>0</v>
      </c>
      <c r="AW2392" s="21">
        <f t="shared" si="161"/>
        <v>0</v>
      </c>
      <c r="AX2392" s="21" t="str">
        <f t="shared" si="160"/>
        <v/>
      </c>
      <c r="AY2392" s="21" t="str">
        <f>IF(AND($AM2392&lt;&gt;"",$AS2392&lt;&gt;"✓"),SUMPRODUCT(($AM$11:$AM2392&lt;&gt;"")*($AS$11:$AS2392&lt;&gt;"✓")),"")</f>
        <v/>
      </c>
      <c r="AZ2392" s="21" t="str">
        <f>IF(AND($AM2392&lt;&gt;"",$AS2392="✓"),SUMPRODUCT(($AM$11:$AM2392&lt;&gt;"")*($AS$11:$AS2392="✓")),"")</f>
        <v/>
      </c>
      <c r="BA2392" s="21" t="str">
        <f>IF($AL2392="","",$AL2392&amp;"|"&amp;COUNTIF($AL$11:$AL2392,$AL2392))</f>
        <v/>
      </c>
    </row>
    <row r="2393" spans="38:53" ht="15" customHeight="1" x14ac:dyDescent="0.25">
      <c r="AL2393" s="17"/>
      <c r="AM2393" s="12"/>
      <c r="AN2393" s="18"/>
      <c r="AO2393" s="18"/>
      <c r="AP2393" s="10"/>
      <c r="AQ2393" s="10"/>
      <c r="AR2393" s="19"/>
      <c r="AS2393" s="20"/>
      <c r="AT2393" s="19"/>
      <c r="AV2393" s="21">
        <f>IF(AND($AL2393&lt;&gt;"",COUNTIF($AL$11:$AL2393,$AL2393)=1),1,0)</f>
        <v>0</v>
      </c>
      <c r="AW2393" s="21">
        <f t="shared" si="161"/>
        <v>0</v>
      </c>
      <c r="AX2393" s="21" t="str">
        <f t="shared" si="160"/>
        <v/>
      </c>
      <c r="AY2393" s="21" t="str">
        <f>IF(AND($AM2393&lt;&gt;"",$AS2393&lt;&gt;"✓"),SUMPRODUCT(($AM$11:$AM2393&lt;&gt;"")*($AS$11:$AS2393&lt;&gt;"✓")),"")</f>
        <v/>
      </c>
      <c r="AZ2393" s="21" t="str">
        <f>IF(AND($AM2393&lt;&gt;"",$AS2393="✓"),SUMPRODUCT(($AM$11:$AM2393&lt;&gt;"")*($AS$11:$AS2393="✓")),"")</f>
        <v/>
      </c>
      <c r="BA2393" s="21" t="str">
        <f>IF($AL2393="","",$AL2393&amp;"|"&amp;COUNTIF($AL$11:$AL2393,$AL2393))</f>
        <v/>
      </c>
    </row>
    <row r="2394" spans="38:53" ht="15" customHeight="1" x14ac:dyDescent="0.25">
      <c r="AL2394" s="31"/>
      <c r="AM2394" s="26"/>
      <c r="AN2394" s="32"/>
      <c r="AO2394" s="32"/>
      <c r="AP2394" s="24"/>
      <c r="AQ2394" s="24"/>
      <c r="AR2394" s="33"/>
      <c r="AS2394" s="34"/>
      <c r="AT2394" s="33"/>
      <c r="AV2394" s="21">
        <f>IF(AND($AL2394&lt;&gt;"",COUNTIF($AL$11:$AL2394,$AL2394)=1),1,0)</f>
        <v>0</v>
      </c>
      <c r="AW2394" s="21">
        <f t="shared" si="161"/>
        <v>0</v>
      </c>
      <c r="AX2394" s="21" t="str">
        <f t="shared" si="160"/>
        <v/>
      </c>
      <c r="AY2394" s="21" t="str">
        <f>IF(AND($AM2394&lt;&gt;"",$AS2394&lt;&gt;"✓"),SUMPRODUCT(($AM$11:$AM2394&lt;&gt;"")*($AS$11:$AS2394&lt;&gt;"✓")),"")</f>
        <v/>
      </c>
      <c r="AZ2394" s="21" t="str">
        <f>IF(AND($AM2394&lt;&gt;"",$AS2394="✓"),SUMPRODUCT(($AM$11:$AM2394&lt;&gt;"")*($AS$11:$AS2394="✓")),"")</f>
        <v/>
      </c>
      <c r="BA2394" s="21" t="str">
        <f>IF($AL2394="","",$AL2394&amp;"|"&amp;COUNTIF($AL$11:$AL2394,$AL2394))</f>
        <v/>
      </c>
    </row>
    <row r="2395" spans="38:53" ht="15" customHeight="1" x14ac:dyDescent="0.25">
      <c r="AL2395" s="17"/>
      <c r="AM2395" s="12"/>
      <c r="AN2395" s="18"/>
      <c r="AO2395" s="18"/>
      <c r="AP2395" s="10"/>
      <c r="AQ2395" s="10"/>
      <c r="AR2395" s="19"/>
      <c r="AS2395" s="20"/>
      <c r="AT2395" s="19"/>
      <c r="AV2395" s="21">
        <f>IF(AND($AL2395&lt;&gt;"",COUNTIF($AL$11:$AL2395,$AL2395)=1),1,0)</f>
        <v>0</v>
      </c>
      <c r="AW2395" s="21">
        <f t="shared" si="161"/>
        <v>0</v>
      </c>
      <c r="AX2395" s="21" t="str">
        <f t="shared" si="160"/>
        <v/>
      </c>
      <c r="AY2395" s="21" t="str">
        <f>IF(AND($AM2395&lt;&gt;"",$AS2395&lt;&gt;"✓"),SUMPRODUCT(($AM$11:$AM2395&lt;&gt;"")*($AS$11:$AS2395&lt;&gt;"✓")),"")</f>
        <v/>
      </c>
      <c r="AZ2395" s="21" t="str">
        <f>IF(AND($AM2395&lt;&gt;"",$AS2395="✓"),SUMPRODUCT(($AM$11:$AM2395&lt;&gt;"")*($AS$11:$AS2395="✓")),"")</f>
        <v/>
      </c>
      <c r="BA2395" s="21" t="str">
        <f>IF($AL2395="","",$AL2395&amp;"|"&amp;COUNTIF($AL$11:$AL2395,$AL2395))</f>
        <v/>
      </c>
    </row>
    <row r="2396" spans="38:53" ht="15" customHeight="1" x14ac:dyDescent="0.25">
      <c r="AL2396" s="31"/>
      <c r="AM2396" s="26"/>
      <c r="AN2396" s="32"/>
      <c r="AO2396" s="32"/>
      <c r="AP2396" s="24"/>
      <c r="AQ2396" s="24"/>
      <c r="AR2396" s="33"/>
      <c r="AS2396" s="34"/>
      <c r="AT2396" s="33"/>
      <c r="AV2396" s="21">
        <f>IF(AND($AL2396&lt;&gt;"",COUNTIF($AL$11:$AL2396,$AL2396)=1),1,0)</f>
        <v>0</v>
      </c>
      <c r="AW2396" s="21">
        <f t="shared" si="161"/>
        <v>0</v>
      </c>
      <c r="AX2396" s="21" t="str">
        <f t="shared" si="160"/>
        <v/>
      </c>
      <c r="AY2396" s="21" t="str">
        <f>IF(AND($AM2396&lt;&gt;"",$AS2396&lt;&gt;"✓"),SUMPRODUCT(($AM$11:$AM2396&lt;&gt;"")*($AS$11:$AS2396&lt;&gt;"✓")),"")</f>
        <v/>
      </c>
      <c r="AZ2396" s="21" t="str">
        <f>IF(AND($AM2396&lt;&gt;"",$AS2396="✓"),SUMPRODUCT(($AM$11:$AM2396&lt;&gt;"")*($AS$11:$AS2396="✓")),"")</f>
        <v/>
      </c>
      <c r="BA2396" s="21" t="str">
        <f>IF($AL2396="","",$AL2396&amp;"|"&amp;COUNTIF($AL$11:$AL2396,$AL2396))</f>
        <v/>
      </c>
    </row>
    <row r="2397" spans="38:53" ht="15" customHeight="1" x14ac:dyDescent="0.25">
      <c r="AL2397" s="17"/>
      <c r="AM2397" s="12"/>
      <c r="AN2397" s="18"/>
      <c r="AO2397" s="18"/>
      <c r="AP2397" s="10"/>
      <c r="AQ2397" s="10"/>
      <c r="AR2397" s="19"/>
      <c r="AS2397" s="20"/>
      <c r="AT2397" s="19"/>
      <c r="AV2397" s="21">
        <f>IF(AND($AL2397&lt;&gt;"",COUNTIF($AL$11:$AL2397,$AL2397)=1),1,0)</f>
        <v>0</v>
      </c>
      <c r="AW2397" s="21">
        <f t="shared" si="161"/>
        <v>0</v>
      </c>
      <c r="AX2397" s="21" t="str">
        <f t="shared" si="160"/>
        <v/>
      </c>
      <c r="AY2397" s="21" t="str">
        <f>IF(AND($AM2397&lt;&gt;"",$AS2397&lt;&gt;"✓"),SUMPRODUCT(($AM$11:$AM2397&lt;&gt;"")*($AS$11:$AS2397&lt;&gt;"✓")),"")</f>
        <v/>
      </c>
      <c r="AZ2397" s="21" t="str">
        <f>IF(AND($AM2397&lt;&gt;"",$AS2397="✓"),SUMPRODUCT(($AM$11:$AM2397&lt;&gt;"")*($AS$11:$AS2397="✓")),"")</f>
        <v/>
      </c>
      <c r="BA2397" s="21" t="str">
        <f>IF($AL2397="","",$AL2397&amp;"|"&amp;COUNTIF($AL$11:$AL2397,$AL2397))</f>
        <v/>
      </c>
    </row>
    <row r="2398" spans="38:53" ht="15" customHeight="1" x14ac:dyDescent="0.25">
      <c r="AL2398" s="31"/>
      <c r="AM2398" s="26"/>
      <c r="AN2398" s="32"/>
      <c r="AO2398" s="32"/>
      <c r="AP2398" s="24"/>
      <c r="AQ2398" s="24"/>
      <c r="AR2398" s="33"/>
      <c r="AS2398" s="34"/>
      <c r="AT2398" s="33"/>
      <c r="AV2398" s="21">
        <f>IF(AND($AL2398&lt;&gt;"",COUNTIF($AL$11:$AL2398,$AL2398)=1),1,0)</f>
        <v>0</v>
      </c>
      <c r="AW2398" s="21">
        <f t="shared" si="161"/>
        <v>0</v>
      </c>
      <c r="AX2398" s="21" t="str">
        <f t="shared" si="160"/>
        <v/>
      </c>
      <c r="AY2398" s="21" t="str">
        <f>IF(AND($AM2398&lt;&gt;"",$AS2398&lt;&gt;"✓"),SUMPRODUCT(($AM$11:$AM2398&lt;&gt;"")*($AS$11:$AS2398&lt;&gt;"✓")),"")</f>
        <v/>
      </c>
      <c r="AZ2398" s="21" t="str">
        <f>IF(AND($AM2398&lt;&gt;"",$AS2398="✓"),SUMPRODUCT(($AM$11:$AM2398&lt;&gt;"")*($AS$11:$AS2398="✓")),"")</f>
        <v/>
      </c>
      <c r="BA2398" s="21" t="str">
        <f>IF($AL2398="","",$AL2398&amp;"|"&amp;COUNTIF($AL$11:$AL2398,$AL2398))</f>
        <v/>
      </c>
    </row>
    <row r="2399" spans="38:53" ht="15" customHeight="1" x14ac:dyDescent="0.25">
      <c r="AL2399" s="17"/>
      <c r="AM2399" s="12"/>
      <c r="AN2399" s="18"/>
      <c r="AO2399" s="18"/>
      <c r="AP2399" s="10"/>
      <c r="AQ2399" s="10"/>
      <c r="AR2399" s="19"/>
      <c r="AS2399" s="20"/>
      <c r="AT2399" s="19"/>
      <c r="AV2399" s="21">
        <f>IF(AND($AL2399&lt;&gt;"",COUNTIF($AL$11:$AL2399,$AL2399)=1),1,0)</f>
        <v>0</v>
      </c>
      <c r="AW2399" s="21">
        <f t="shared" si="161"/>
        <v>0</v>
      </c>
      <c r="AX2399" s="21" t="str">
        <f t="shared" si="160"/>
        <v/>
      </c>
      <c r="AY2399" s="21" t="str">
        <f>IF(AND($AM2399&lt;&gt;"",$AS2399&lt;&gt;"✓"),SUMPRODUCT(($AM$11:$AM2399&lt;&gt;"")*($AS$11:$AS2399&lt;&gt;"✓")),"")</f>
        <v/>
      </c>
      <c r="AZ2399" s="21" t="str">
        <f>IF(AND($AM2399&lt;&gt;"",$AS2399="✓"),SUMPRODUCT(($AM$11:$AM2399&lt;&gt;"")*($AS$11:$AS2399="✓")),"")</f>
        <v/>
      </c>
      <c r="BA2399" s="21" t="str">
        <f>IF($AL2399="","",$AL2399&amp;"|"&amp;COUNTIF($AL$11:$AL2399,$AL2399))</f>
        <v/>
      </c>
    </row>
    <row r="2400" spans="38:53" ht="15" customHeight="1" x14ac:dyDescent="0.25">
      <c r="AL2400" s="31"/>
      <c r="AM2400" s="26"/>
      <c r="AN2400" s="32"/>
      <c r="AO2400" s="32"/>
      <c r="AP2400" s="24"/>
      <c r="AQ2400" s="24"/>
      <c r="AR2400" s="33"/>
      <c r="AS2400" s="34"/>
      <c r="AT2400" s="33"/>
      <c r="AV2400" s="21">
        <f>IF(AND($AL2400&lt;&gt;"",COUNTIF($AL$11:$AL2400,$AL2400)=1),1,0)</f>
        <v>0</v>
      </c>
      <c r="AW2400" s="21">
        <f t="shared" si="161"/>
        <v>0</v>
      </c>
      <c r="AX2400" s="21" t="str">
        <f t="shared" si="160"/>
        <v/>
      </c>
      <c r="AY2400" s="21" t="str">
        <f>IF(AND($AM2400&lt;&gt;"",$AS2400&lt;&gt;"✓"),SUMPRODUCT(($AM$11:$AM2400&lt;&gt;"")*($AS$11:$AS2400&lt;&gt;"✓")),"")</f>
        <v/>
      </c>
      <c r="AZ2400" s="21" t="str">
        <f>IF(AND($AM2400&lt;&gt;"",$AS2400="✓"),SUMPRODUCT(($AM$11:$AM2400&lt;&gt;"")*($AS$11:$AS2400="✓")),"")</f>
        <v/>
      </c>
      <c r="BA2400" s="21" t="str">
        <f>IF($AL2400="","",$AL2400&amp;"|"&amp;COUNTIF($AL$11:$AL2400,$AL2400))</f>
        <v/>
      </c>
    </row>
    <row r="2401" spans="38:53" ht="15" customHeight="1" x14ac:dyDescent="0.25">
      <c r="AL2401" s="17"/>
      <c r="AM2401" s="12"/>
      <c r="AN2401" s="18"/>
      <c r="AO2401" s="18"/>
      <c r="AP2401" s="10"/>
      <c r="AQ2401" s="10"/>
      <c r="AR2401" s="19"/>
      <c r="AS2401" s="20"/>
      <c r="AT2401" s="19"/>
      <c r="AV2401" s="21">
        <f>IF(AND($AL2401&lt;&gt;"",COUNTIF($AL$11:$AL2401,$AL2401)=1),1,0)</f>
        <v>0</v>
      </c>
      <c r="AW2401" s="21">
        <f t="shared" si="161"/>
        <v>0</v>
      </c>
      <c r="AX2401" s="21" t="str">
        <f t="shared" si="160"/>
        <v/>
      </c>
      <c r="AY2401" s="21" t="str">
        <f>IF(AND($AM2401&lt;&gt;"",$AS2401&lt;&gt;"✓"),SUMPRODUCT(($AM$11:$AM2401&lt;&gt;"")*($AS$11:$AS2401&lt;&gt;"✓")),"")</f>
        <v/>
      </c>
      <c r="AZ2401" s="21" t="str">
        <f>IF(AND($AM2401&lt;&gt;"",$AS2401="✓"),SUMPRODUCT(($AM$11:$AM2401&lt;&gt;"")*($AS$11:$AS2401="✓")),"")</f>
        <v/>
      </c>
      <c r="BA2401" s="21" t="str">
        <f>IF($AL2401="","",$AL2401&amp;"|"&amp;COUNTIF($AL$11:$AL2401,$AL2401))</f>
        <v/>
      </c>
    </row>
    <row r="2402" spans="38:53" ht="15" customHeight="1" x14ac:dyDescent="0.25">
      <c r="AL2402" s="31"/>
      <c r="AM2402" s="26"/>
      <c r="AN2402" s="32"/>
      <c r="AO2402" s="32"/>
      <c r="AP2402" s="24"/>
      <c r="AQ2402" s="24"/>
      <c r="AR2402" s="33"/>
      <c r="AS2402" s="34"/>
      <c r="AT2402" s="33"/>
      <c r="AV2402" s="21">
        <f>IF(AND($AL2402&lt;&gt;"",COUNTIF($AL$11:$AL2402,$AL2402)=1),1,0)</f>
        <v>0</v>
      </c>
      <c r="AW2402" s="21">
        <f t="shared" si="161"/>
        <v>0</v>
      </c>
      <c r="AX2402" s="21" t="str">
        <f t="shared" si="160"/>
        <v/>
      </c>
      <c r="AY2402" s="21" t="str">
        <f>IF(AND($AM2402&lt;&gt;"",$AS2402&lt;&gt;"✓"),SUMPRODUCT(($AM$11:$AM2402&lt;&gt;"")*($AS$11:$AS2402&lt;&gt;"✓")),"")</f>
        <v/>
      </c>
      <c r="AZ2402" s="21" t="str">
        <f>IF(AND($AM2402&lt;&gt;"",$AS2402="✓"),SUMPRODUCT(($AM$11:$AM2402&lt;&gt;"")*($AS$11:$AS2402="✓")),"")</f>
        <v/>
      </c>
      <c r="BA2402" s="21" t="str">
        <f>IF($AL2402="","",$AL2402&amp;"|"&amp;COUNTIF($AL$11:$AL2402,$AL2402))</f>
        <v/>
      </c>
    </row>
    <row r="2403" spans="38:53" ht="15" customHeight="1" x14ac:dyDescent="0.25">
      <c r="AL2403" s="17"/>
      <c r="AM2403" s="12"/>
      <c r="AN2403" s="18"/>
      <c r="AO2403" s="18"/>
      <c r="AP2403" s="10"/>
      <c r="AQ2403" s="10"/>
      <c r="AR2403" s="19"/>
      <c r="AS2403" s="20"/>
      <c r="AT2403" s="19"/>
      <c r="AV2403" s="21">
        <f>IF(AND($AL2403&lt;&gt;"",COUNTIF($AL$11:$AL2403,$AL2403)=1),1,0)</f>
        <v>0</v>
      </c>
      <c r="AW2403" s="21">
        <f t="shared" si="161"/>
        <v>0</v>
      </c>
      <c r="AX2403" s="21" t="str">
        <f t="shared" si="160"/>
        <v/>
      </c>
      <c r="AY2403" s="21" t="str">
        <f>IF(AND($AM2403&lt;&gt;"",$AS2403&lt;&gt;"✓"),SUMPRODUCT(($AM$11:$AM2403&lt;&gt;"")*($AS$11:$AS2403&lt;&gt;"✓")),"")</f>
        <v/>
      </c>
      <c r="AZ2403" s="21" t="str">
        <f>IF(AND($AM2403&lt;&gt;"",$AS2403="✓"),SUMPRODUCT(($AM$11:$AM2403&lt;&gt;"")*($AS$11:$AS2403="✓")),"")</f>
        <v/>
      </c>
      <c r="BA2403" s="21" t="str">
        <f>IF($AL2403="","",$AL2403&amp;"|"&amp;COUNTIF($AL$11:$AL2403,$AL2403))</f>
        <v/>
      </c>
    </row>
    <row r="2404" spans="38:53" ht="15" customHeight="1" x14ac:dyDescent="0.25">
      <c r="AL2404" s="31"/>
      <c r="AM2404" s="26"/>
      <c r="AN2404" s="32"/>
      <c r="AO2404" s="32"/>
      <c r="AP2404" s="24"/>
      <c r="AQ2404" s="24"/>
      <c r="AR2404" s="33"/>
      <c r="AS2404" s="34"/>
      <c r="AT2404" s="33"/>
      <c r="AV2404" s="21">
        <f>IF(AND($AL2404&lt;&gt;"",COUNTIF($AL$11:$AL2404,$AL2404)=1),1,0)</f>
        <v>0</v>
      </c>
      <c r="AW2404" s="21">
        <f t="shared" si="161"/>
        <v>0</v>
      </c>
      <c r="AX2404" s="21" t="str">
        <f t="shared" si="160"/>
        <v/>
      </c>
      <c r="AY2404" s="21" t="str">
        <f>IF(AND($AM2404&lt;&gt;"",$AS2404&lt;&gt;"✓"),SUMPRODUCT(($AM$11:$AM2404&lt;&gt;"")*($AS$11:$AS2404&lt;&gt;"✓")),"")</f>
        <v/>
      </c>
      <c r="AZ2404" s="21" t="str">
        <f>IF(AND($AM2404&lt;&gt;"",$AS2404="✓"),SUMPRODUCT(($AM$11:$AM2404&lt;&gt;"")*($AS$11:$AS2404="✓")),"")</f>
        <v/>
      </c>
      <c r="BA2404" s="21" t="str">
        <f>IF($AL2404="","",$AL2404&amp;"|"&amp;COUNTIF($AL$11:$AL2404,$AL2404))</f>
        <v/>
      </c>
    </row>
    <row r="2405" spans="38:53" ht="15" customHeight="1" x14ac:dyDescent="0.25">
      <c r="AL2405" s="17"/>
      <c r="AM2405" s="12"/>
      <c r="AN2405" s="18"/>
      <c r="AO2405" s="18"/>
      <c r="AP2405" s="10"/>
      <c r="AQ2405" s="10"/>
      <c r="AR2405" s="19"/>
      <c r="AS2405" s="20"/>
      <c r="AT2405" s="19"/>
      <c r="AV2405" s="21">
        <f>IF(AND($AL2405&lt;&gt;"",COUNTIF($AL$11:$AL2405,$AL2405)=1),1,0)</f>
        <v>0</v>
      </c>
      <c r="AW2405" s="21">
        <f t="shared" si="161"/>
        <v>0</v>
      </c>
      <c r="AX2405" s="21" t="str">
        <f t="shared" si="160"/>
        <v/>
      </c>
      <c r="AY2405" s="21" t="str">
        <f>IF(AND($AM2405&lt;&gt;"",$AS2405&lt;&gt;"✓"),SUMPRODUCT(($AM$11:$AM2405&lt;&gt;"")*($AS$11:$AS2405&lt;&gt;"✓")),"")</f>
        <v/>
      </c>
      <c r="AZ2405" s="21" t="str">
        <f>IF(AND($AM2405&lt;&gt;"",$AS2405="✓"),SUMPRODUCT(($AM$11:$AM2405&lt;&gt;"")*($AS$11:$AS2405="✓")),"")</f>
        <v/>
      </c>
      <c r="BA2405" s="21" t="str">
        <f>IF($AL2405="","",$AL2405&amp;"|"&amp;COUNTIF($AL$11:$AL2405,$AL2405))</f>
        <v/>
      </c>
    </row>
    <row r="2406" spans="38:53" ht="15" customHeight="1" x14ac:dyDescent="0.25">
      <c r="AL2406" s="31"/>
      <c r="AM2406" s="26"/>
      <c r="AN2406" s="32"/>
      <c r="AO2406" s="32"/>
      <c r="AP2406" s="24"/>
      <c r="AQ2406" s="24"/>
      <c r="AR2406" s="33"/>
      <c r="AS2406" s="34"/>
      <c r="AT2406" s="33"/>
      <c r="AV2406" s="21">
        <f>IF(AND($AL2406&lt;&gt;"",COUNTIF($AL$11:$AL2406,$AL2406)=1),1,0)</f>
        <v>0</v>
      </c>
      <c r="AW2406" s="21">
        <f t="shared" si="161"/>
        <v>0</v>
      </c>
      <c r="AX2406" s="21" t="str">
        <f t="shared" si="160"/>
        <v/>
      </c>
      <c r="AY2406" s="21" t="str">
        <f>IF(AND($AM2406&lt;&gt;"",$AS2406&lt;&gt;"✓"),SUMPRODUCT(($AM$11:$AM2406&lt;&gt;"")*($AS$11:$AS2406&lt;&gt;"✓")),"")</f>
        <v/>
      </c>
      <c r="AZ2406" s="21" t="str">
        <f>IF(AND($AM2406&lt;&gt;"",$AS2406="✓"),SUMPRODUCT(($AM$11:$AM2406&lt;&gt;"")*($AS$11:$AS2406="✓")),"")</f>
        <v/>
      </c>
      <c r="BA2406" s="21" t="str">
        <f>IF($AL2406="","",$AL2406&amp;"|"&amp;COUNTIF($AL$11:$AL2406,$AL2406))</f>
        <v/>
      </c>
    </row>
    <row r="2407" spans="38:53" ht="15" customHeight="1" x14ac:dyDescent="0.25">
      <c r="AL2407" s="17"/>
      <c r="AM2407" s="12"/>
      <c r="AN2407" s="18"/>
      <c r="AO2407" s="18"/>
      <c r="AP2407" s="10"/>
      <c r="AQ2407" s="10"/>
      <c r="AR2407" s="19"/>
      <c r="AS2407" s="20"/>
      <c r="AT2407" s="19"/>
      <c r="AV2407" s="21">
        <f>IF(AND($AL2407&lt;&gt;"",COUNTIF($AL$11:$AL2407,$AL2407)=1),1,0)</f>
        <v>0</v>
      </c>
      <c r="AW2407" s="21">
        <f t="shared" si="161"/>
        <v>0</v>
      </c>
      <c r="AX2407" s="21" t="str">
        <f t="shared" si="160"/>
        <v/>
      </c>
      <c r="AY2407" s="21" t="str">
        <f>IF(AND($AM2407&lt;&gt;"",$AS2407&lt;&gt;"✓"),SUMPRODUCT(($AM$11:$AM2407&lt;&gt;"")*($AS$11:$AS2407&lt;&gt;"✓")),"")</f>
        <v/>
      </c>
      <c r="AZ2407" s="21" t="str">
        <f>IF(AND($AM2407&lt;&gt;"",$AS2407="✓"),SUMPRODUCT(($AM$11:$AM2407&lt;&gt;"")*($AS$11:$AS2407="✓")),"")</f>
        <v/>
      </c>
      <c r="BA2407" s="21" t="str">
        <f>IF($AL2407="","",$AL2407&amp;"|"&amp;COUNTIF($AL$11:$AL2407,$AL2407))</f>
        <v/>
      </c>
    </row>
    <row r="2408" spans="38:53" ht="15" customHeight="1" x14ac:dyDescent="0.25">
      <c r="AL2408" s="31"/>
      <c r="AM2408" s="26"/>
      <c r="AN2408" s="32"/>
      <c r="AO2408" s="32"/>
      <c r="AP2408" s="24"/>
      <c r="AQ2408" s="24"/>
      <c r="AR2408" s="33"/>
      <c r="AS2408" s="34"/>
      <c r="AT2408" s="33"/>
      <c r="AV2408" s="21">
        <f>IF(AND($AL2408&lt;&gt;"",COUNTIF($AL$11:$AL2408,$AL2408)=1),1,0)</f>
        <v>0</v>
      </c>
      <c r="AW2408" s="21">
        <f t="shared" si="161"/>
        <v>0</v>
      </c>
      <c r="AX2408" s="21" t="str">
        <f t="shared" si="160"/>
        <v/>
      </c>
      <c r="AY2408" s="21" t="str">
        <f>IF(AND($AM2408&lt;&gt;"",$AS2408&lt;&gt;"✓"),SUMPRODUCT(($AM$11:$AM2408&lt;&gt;"")*($AS$11:$AS2408&lt;&gt;"✓")),"")</f>
        <v/>
      </c>
      <c r="AZ2408" s="21" t="str">
        <f>IF(AND($AM2408&lt;&gt;"",$AS2408="✓"),SUMPRODUCT(($AM$11:$AM2408&lt;&gt;"")*($AS$11:$AS2408="✓")),"")</f>
        <v/>
      </c>
      <c r="BA2408" s="21" t="str">
        <f>IF($AL2408="","",$AL2408&amp;"|"&amp;COUNTIF($AL$11:$AL2408,$AL2408))</f>
        <v/>
      </c>
    </row>
    <row r="2409" spans="38:53" ht="15" customHeight="1" x14ac:dyDescent="0.25">
      <c r="AL2409" s="17"/>
      <c r="AM2409" s="12"/>
      <c r="AN2409" s="18"/>
      <c r="AO2409" s="18"/>
      <c r="AP2409" s="10"/>
      <c r="AQ2409" s="10"/>
      <c r="AR2409" s="19"/>
      <c r="AS2409" s="20"/>
      <c r="AT2409" s="19"/>
      <c r="AV2409" s="21">
        <f>IF(AND($AL2409&lt;&gt;"",COUNTIF($AL$11:$AL2409,$AL2409)=1),1,0)</f>
        <v>0</v>
      </c>
      <c r="AW2409" s="21">
        <f t="shared" si="161"/>
        <v>0</v>
      </c>
      <c r="AX2409" s="21" t="str">
        <f t="shared" si="160"/>
        <v/>
      </c>
      <c r="AY2409" s="21" t="str">
        <f>IF(AND($AM2409&lt;&gt;"",$AS2409&lt;&gt;"✓"),SUMPRODUCT(($AM$11:$AM2409&lt;&gt;"")*($AS$11:$AS2409&lt;&gt;"✓")),"")</f>
        <v/>
      </c>
      <c r="AZ2409" s="21" t="str">
        <f>IF(AND($AM2409&lt;&gt;"",$AS2409="✓"),SUMPRODUCT(($AM$11:$AM2409&lt;&gt;"")*($AS$11:$AS2409="✓")),"")</f>
        <v/>
      </c>
      <c r="BA2409" s="21" t="str">
        <f>IF($AL2409="","",$AL2409&amp;"|"&amp;COUNTIF($AL$11:$AL2409,$AL2409))</f>
        <v/>
      </c>
    </row>
    <row r="2410" spans="38:53" ht="15" customHeight="1" x14ac:dyDescent="0.25">
      <c r="AL2410" s="31"/>
      <c r="AM2410" s="26"/>
      <c r="AN2410" s="32"/>
      <c r="AO2410" s="32"/>
      <c r="AP2410" s="24"/>
      <c r="AQ2410" s="24"/>
      <c r="AR2410" s="33"/>
      <c r="AS2410" s="34"/>
      <c r="AT2410" s="33"/>
      <c r="AV2410" s="21">
        <f>IF(AND($AL2410&lt;&gt;"",COUNTIF($AL$11:$AL2410,$AL2410)=1),1,0)</f>
        <v>0</v>
      </c>
      <c r="AW2410" s="21">
        <f t="shared" si="161"/>
        <v>0</v>
      </c>
      <c r="AX2410" s="21" t="str">
        <f t="shared" si="160"/>
        <v/>
      </c>
      <c r="AY2410" s="21" t="str">
        <f>IF(AND($AM2410&lt;&gt;"",$AS2410&lt;&gt;"✓"),SUMPRODUCT(($AM$11:$AM2410&lt;&gt;"")*($AS$11:$AS2410&lt;&gt;"✓")),"")</f>
        <v/>
      </c>
      <c r="AZ2410" s="21" t="str">
        <f>IF(AND($AM2410&lt;&gt;"",$AS2410="✓"),SUMPRODUCT(($AM$11:$AM2410&lt;&gt;"")*($AS$11:$AS2410="✓")),"")</f>
        <v/>
      </c>
      <c r="BA2410" s="21" t="str">
        <f>IF($AL2410="","",$AL2410&amp;"|"&amp;COUNTIF($AL$11:$AL2410,$AL2410))</f>
        <v/>
      </c>
    </row>
    <row r="2411" spans="38:53" ht="15" customHeight="1" x14ac:dyDescent="0.25">
      <c r="AL2411" s="17"/>
      <c r="AM2411" s="12"/>
      <c r="AN2411" s="18"/>
      <c r="AO2411" s="18"/>
      <c r="AP2411" s="10"/>
      <c r="AQ2411" s="10"/>
      <c r="AR2411" s="19"/>
      <c r="AS2411" s="20"/>
      <c r="AT2411" s="19"/>
      <c r="AV2411" s="21">
        <f>IF(AND($AL2411&lt;&gt;"",COUNTIF($AL$11:$AL2411,$AL2411)=1),1,0)</f>
        <v>0</v>
      </c>
      <c r="AW2411" s="21">
        <f t="shared" si="161"/>
        <v>0</v>
      </c>
      <c r="AX2411" s="21" t="str">
        <f t="shared" si="160"/>
        <v/>
      </c>
      <c r="AY2411" s="21" t="str">
        <f>IF(AND($AM2411&lt;&gt;"",$AS2411&lt;&gt;"✓"),SUMPRODUCT(($AM$11:$AM2411&lt;&gt;"")*($AS$11:$AS2411&lt;&gt;"✓")),"")</f>
        <v/>
      </c>
      <c r="AZ2411" s="21" t="str">
        <f>IF(AND($AM2411&lt;&gt;"",$AS2411="✓"),SUMPRODUCT(($AM$11:$AM2411&lt;&gt;"")*($AS$11:$AS2411="✓")),"")</f>
        <v/>
      </c>
      <c r="BA2411" s="21" t="str">
        <f>IF($AL2411="","",$AL2411&amp;"|"&amp;COUNTIF($AL$11:$AL2411,$AL2411))</f>
        <v/>
      </c>
    </row>
    <row r="2412" spans="38:53" ht="15" customHeight="1" x14ac:dyDescent="0.25">
      <c r="AL2412" s="31"/>
      <c r="AM2412" s="26"/>
      <c r="AN2412" s="32"/>
      <c r="AO2412" s="32"/>
      <c r="AP2412" s="24"/>
      <c r="AQ2412" s="24"/>
      <c r="AR2412" s="33"/>
      <c r="AS2412" s="34"/>
      <c r="AT2412" s="33"/>
      <c r="AV2412" s="21">
        <f>IF(AND($AL2412&lt;&gt;"",COUNTIF($AL$11:$AL2412,$AL2412)=1),1,0)</f>
        <v>0</v>
      </c>
      <c r="AW2412" s="21">
        <f t="shared" si="161"/>
        <v>0</v>
      </c>
      <c r="AX2412" s="21" t="str">
        <f t="shared" si="160"/>
        <v/>
      </c>
      <c r="AY2412" s="21" t="str">
        <f>IF(AND($AM2412&lt;&gt;"",$AS2412&lt;&gt;"✓"),SUMPRODUCT(($AM$11:$AM2412&lt;&gt;"")*($AS$11:$AS2412&lt;&gt;"✓")),"")</f>
        <v/>
      </c>
      <c r="AZ2412" s="21" t="str">
        <f>IF(AND($AM2412&lt;&gt;"",$AS2412="✓"),SUMPRODUCT(($AM$11:$AM2412&lt;&gt;"")*($AS$11:$AS2412="✓")),"")</f>
        <v/>
      </c>
      <c r="BA2412" s="21" t="str">
        <f>IF($AL2412="","",$AL2412&amp;"|"&amp;COUNTIF($AL$11:$AL2412,$AL2412))</f>
        <v/>
      </c>
    </row>
    <row r="2413" spans="38:53" ht="15" customHeight="1" x14ac:dyDescent="0.25">
      <c r="AL2413" s="17"/>
      <c r="AM2413" s="12"/>
      <c r="AN2413" s="18"/>
      <c r="AO2413" s="18"/>
      <c r="AP2413" s="10"/>
      <c r="AQ2413" s="10"/>
      <c r="AR2413" s="19"/>
      <c r="AS2413" s="20"/>
      <c r="AT2413" s="19"/>
      <c r="AV2413" s="21">
        <f>IF(AND($AL2413&lt;&gt;"",COUNTIF($AL$11:$AL2413,$AL2413)=1),1,0)</f>
        <v>0</v>
      </c>
      <c r="AW2413" s="21">
        <f t="shared" si="161"/>
        <v>0</v>
      </c>
      <c r="AX2413" s="21" t="str">
        <f t="shared" si="160"/>
        <v/>
      </c>
      <c r="AY2413" s="21" t="str">
        <f>IF(AND($AM2413&lt;&gt;"",$AS2413&lt;&gt;"✓"),SUMPRODUCT(($AM$11:$AM2413&lt;&gt;"")*($AS$11:$AS2413&lt;&gt;"✓")),"")</f>
        <v/>
      </c>
      <c r="AZ2413" s="21" t="str">
        <f>IF(AND($AM2413&lt;&gt;"",$AS2413="✓"),SUMPRODUCT(($AM$11:$AM2413&lt;&gt;"")*($AS$11:$AS2413="✓")),"")</f>
        <v/>
      </c>
      <c r="BA2413" s="21" t="str">
        <f>IF($AL2413="","",$AL2413&amp;"|"&amp;COUNTIF($AL$11:$AL2413,$AL2413))</f>
        <v/>
      </c>
    </row>
    <row r="2414" spans="38:53" ht="15" customHeight="1" x14ac:dyDescent="0.25">
      <c r="AL2414" s="31"/>
      <c r="AM2414" s="26"/>
      <c r="AN2414" s="32"/>
      <c r="AO2414" s="32"/>
      <c r="AP2414" s="24"/>
      <c r="AQ2414" s="24"/>
      <c r="AR2414" s="33"/>
      <c r="AS2414" s="34"/>
      <c r="AT2414" s="33"/>
      <c r="AV2414" s="21">
        <f>IF(AND($AL2414&lt;&gt;"",COUNTIF($AL$11:$AL2414,$AL2414)=1),1,0)</f>
        <v>0</v>
      </c>
      <c r="AW2414" s="21">
        <f t="shared" si="161"/>
        <v>0</v>
      </c>
      <c r="AX2414" s="21" t="str">
        <f t="shared" si="160"/>
        <v/>
      </c>
      <c r="AY2414" s="21" t="str">
        <f>IF(AND($AM2414&lt;&gt;"",$AS2414&lt;&gt;"✓"),SUMPRODUCT(($AM$11:$AM2414&lt;&gt;"")*($AS$11:$AS2414&lt;&gt;"✓")),"")</f>
        <v/>
      </c>
      <c r="AZ2414" s="21" t="str">
        <f>IF(AND($AM2414&lt;&gt;"",$AS2414="✓"),SUMPRODUCT(($AM$11:$AM2414&lt;&gt;"")*($AS$11:$AS2414="✓")),"")</f>
        <v/>
      </c>
      <c r="BA2414" s="21" t="str">
        <f>IF($AL2414="","",$AL2414&amp;"|"&amp;COUNTIF($AL$11:$AL2414,$AL2414))</f>
        <v/>
      </c>
    </row>
    <row r="2415" spans="38:53" ht="15" customHeight="1" x14ac:dyDescent="0.25">
      <c r="AL2415" s="17"/>
      <c r="AM2415" s="12"/>
      <c r="AN2415" s="18"/>
      <c r="AO2415" s="18"/>
      <c r="AP2415" s="10"/>
      <c r="AQ2415" s="10"/>
      <c r="AR2415" s="19"/>
      <c r="AS2415" s="20"/>
      <c r="AT2415" s="19"/>
      <c r="AV2415" s="21">
        <f>IF(AND($AL2415&lt;&gt;"",COUNTIF($AL$11:$AL2415,$AL2415)=1),1,0)</f>
        <v>0</v>
      </c>
      <c r="AW2415" s="21">
        <f t="shared" si="161"/>
        <v>0</v>
      </c>
      <c r="AX2415" s="21" t="str">
        <f t="shared" si="160"/>
        <v/>
      </c>
      <c r="AY2415" s="21" t="str">
        <f>IF(AND($AM2415&lt;&gt;"",$AS2415&lt;&gt;"✓"),SUMPRODUCT(($AM$11:$AM2415&lt;&gt;"")*($AS$11:$AS2415&lt;&gt;"✓")),"")</f>
        <v/>
      </c>
      <c r="AZ2415" s="21" t="str">
        <f>IF(AND($AM2415&lt;&gt;"",$AS2415="✓"),SUMPRODUCT(($AM$11:$AM2415&lt;&gt;"")*($AS$11:$AS2415="✓")),"")</f>
        <v/>
      </c>
      <c r="BA2415" s="21" t="str">
        <f>IF($AL2415="","",$AL2415&amp;"|"&amp;COUNTIF($AL$11:$AL2415,$AL2415))</f>
        <v/>
      </c>
    </row>
    <row r="2416" spans="38:53" ht="15" customHeight="1" x14ac:dyDescent="0.25">
      <c r="AL2416" s="31"/>
      <c r="AM2416" s="26"/>
      <c r="AN2416" s="32"/>
      <c r="AO2416" s="32"/>
      <c r="AP2416" s="24"/>
      <c r="AQ2416" s="24"/>
      <c r="AR2416" s="33"/>
      <c r="AS2416" s="34"/>
      <c r="AT2416" s="33"/>
      <c r="AV2416" s="21">
        <f>IF(AND($AL2416&lt;&gt;"",COUNTIF($AL$11:$AL2416,$AL2416)=1),1,0)</f>
        <v>0</v>
      </c>
      <c r="AW2416" s="21">
        <f t="shared" si="161"/>
        <v>0</v>
      </c>
      <c r="AX2416" s="21" t="str">
        <f t="shared" si="160"/>
        <v/>
      </c>
      <c r="AY2416" s="21" t="str">
        <f>IF(AND($AM2416&lt;&gt;"",$AS2416&lt;&gt;"✓"),SUMPRODUCT(($AM$11:$AM2416&lt;&gt;"")*($AS$11:$AS2416&lt;&gt;"✓")),"")</f>
        <v/>
      </c>
      <c r="AZ2416" s="21" t="str">
        <f>IF(AND($AM2416&lt;&gt;"",$AS2416="✓"),SUMPRODUCT(($AM$11:$AM2416&lt;&gt;"")*($AS$11:$AS2416="✓")),"")</f>
        <v/>
      </c>
      <c r="BA2416" s="21" t="str">
        <f>IF($AL2416="","",$AL2416&amp;"|"&amp;COUNTIF($AL$11:$AL2416,$AL2416))</f>
        <v/>
      </c>
    </row>
    <row r="2417" spans="38:53" ht="15" customHeight="1" x14ac:dyDescent="0.25">
      <c r="AL2417" s="17"/>
      <c r="AM2417" s="12"/>
      <c r="AN2417" s="18"/>
      <c r="AO2417" s="18"/>
      <c r="AP2417" s="10"/>
      <c r="AQ2417" s="10"/>
      <c r="AR2417" s="19"/>
      <c r="AS2417" s="20"/>
      <c r="AT2417" s="19"/>
      <c r="AV2417" s="21">
        <f>IF(AND($AL2417&lt;&gt;"",COUNTIF($AL$11:$AL2417,$AL2417)=1),1,0)</f>
        <v>0</v>
      </c>
      <c r="AW2417" s="21">
        <f t="shared" si="161"/>
        <v>0</v>
      </c>
      <c r="AX2417" s="21" t="str">
        <f t="shared" si="160"/>
        <v/>
      </c>
      <c r="AY2417" s="21" t="str">
        <f>IF(AND($AM2417&lt;&gt;"",$AS2417&lt;&gt;"✓"),SUMPRODUCT(($AM$11:$AM2417&lt;&gt;"")*($AS$11:$AS2417&lt;&gt;"✓")),"")</f>
        <v/>
      </c>
      <c r="AZ2417" s="21" t="str">
        <f>IF(AND($AM2417&lt;&gt;"",$AS2417="✓"),SUMPRODUCT(($AM$11:$AM2417&lt;&gt;"")*($AS$11:$AS2417="✓")),"")</f>
        <v/>
      </c>
      <c r="BA2417" s="21" t="str">
        <f>IF($AL2417="","",$AL2417&amp;"|"&amp;COUNTIF($AL$11:$AL2417,$AL2417))</f>
        <v/>
      </c>
    </row>
    <row r="2418" spans="38:53" ht="15" customHeight="1" x14ac:dyDescent="0.25">
      <c r="AL2418" s="31"/>
      <c r="AM2418" s="26"/>
      <c r="AN2418" s="32"/>
      <c r="AO2418" s="32"/>
      <c r="AP2418" s="24"/>
      <c r="AQ2418" s="24"/>
      <c r="AR2418" s="33"/>
      <c r="AS2418" s="34"/>
      <c r="AT2418" s="33"/>
      <c r="AV2418" s="21">
        <f>IF(AND($AL2418&lt;&gt;"",COUNTIF($AL$11:$AL2418,$AL2418)=1),1,0)</f>
        <v>0</v>
      </c>
      <c r="AW2418" s="21">
        <f t="shared" si="161"/>
        <v>0</v>
      </c>
      <c r="AX2418" s="21" t="str">
        <f t="shared" si="160"/>
        <v/>
      </c>
      <c r="AY2418" s="21" t="str">
        <f>IF(AND($AM2418&lt;&gt;"",$AS2418&lt;&gt;"✓"),SUMPRODUCT(($AM$11:$AM2418&lt;&gt;"")*($AS$11:$AS2418&lt;&gt;"✓")),"")</f>
        <v/>
      </c>
      <c r="AZ2418" s="21" t="str">
        <f>IF(AND($AM2418&lt;&gt;"",$AS2418="✓"),SUMPRODUCT(($AM$11:$AM2418&lt;&gt;"")*($AS$11:$AS2418="✓")),"")</f>
        <v/>
      </c>
      <c r="BA2418" s="21" t="str">
        <f>IF($AL2418="","",$AL2418&amp;"|"&amp;COUNTIF($AL$11:$AL2418,$AL2418))</f>
        <v/>
      </c>
    </row>
    <row r="2419" spans="38:53" ht="15" customHeight="1" x14ac:dyDescent="0.25">
      <c r="AL2419" s="17"/>
      <c r="AM2419" s="12"/>
      <c r="AN2419" s="18"/>
      <c r="AO2419" s="18"/>
      <c r="AP2419" s="10"/>
      <c r="AQ2419" s="10"/>
      <c r="AR2419" s="19"/>
      <c r="AS2419" s="20"/>
      <c r="AT2419" s="19"/>
      <c r="AV2419" s="21">
        <f>IF(AND($AL2419&lt;&gt;"",COUNTIF($AL$11:$AL2419,$AL2419)=1),1,0)</f>
        <v>0</v>
      </c>
      <c r="AW2419" s="21">
        <f t="shared" si="161"/>
        <v>0</v>
      </c>
      <c r="AX2419" s="21" t="str">
        <f t="shared" si="160"/>
        <v/>
      </c>
      <c r="AY2419" s="21" t="str">
        <f>IF(AND($AM2419&lt;&gt;"",$AS2419&lt;&gt;"✓"),SUMPRODUCT(($AM$11:$AM2419&lt;&gt;"")*($AS$11:$AS2419&lt;&gt;"✓")),"")</f>
        <v/>
      </c>
      <c r="AZ2419" s="21" t="str">
        <f>IF(AND($AM2419&lt;&gt;"",$AS2419="✓"),SUMPRODUCT(($AM$11:$AM2419&lt;&gt;"")*($AS$11:$AS2419="✓")),"")</f>
        <v/>
      </c>
      <c r="BA2419" s="21" t="str">
        <f>IF($AL2419="","",$AL2419&amp;"|"&amp;COUNTIF($AL$11:$AL2419,$AL2419))</f>
        <v/>
      </c>
    </row>
    <row r="2420" spans="38:53" ht="15" customHeight="1" x14ac:dyDescent="0.25">
      <c r="AL2420" s="31"/>
      <c r="AM2420" s="26"/>
      <c r="AN2420" s="32"/>
      <c r="AO2420" s="32"/>
      <c r="AP2420" s="24"/>
      <c r="AQ2420" s="24"/>
      <c r="AR2420" s="33"/>
      <c r="AS2420" s="34"/>
      <c r="AT2420" s="33"/>
      <c r="AV2420" s="21">
        <f>IF(AND($AL2420&lt;&gt;"",COUNTIF($AL$11:$AL2420,$AL2420)=1),1,0)</f>
        <v>0</v>
      </c>
      <c r="AW2420" s="21">
        <f t="shared" si="161"/>
        <v>0</v>
      </c>
      <c r="AX2420" s="21" t="str">
        <f t="shared" si="160"/>
        <v/>
      </c>
      <c r="AY2420" s="21" t="str">
        <f>IF(AND($AM2420&lt;&gt;"",$AS2420&lt;&gt;"✓"),SUMPRODUCT(($AM$11:$AM2420&lt;&gt;"")*($AS$11:$AS2420&lt;&gt;"✓")),"")</f>
        <v/>
      </c>
      <c r="AZ2420" s="21" t="str">
        <f>IF(AND($AM2420&lt;&gt;"",$AS2420="✓"),SUMPRODUCT(($AM$11:$AM2420&lt;&gt;"")*($AS$11:$AS2420="✓")),"")</f>
        <v/>
      </c>
      <c r="BA2420" s="21" t="str">
        <f>IF($AL2420="","",$AL2420&amp;"|"&amp;COUNTIF($AL$11:$AL2420,$AL2420))</f>
        <v/>
      </c>
    </row>
    <row r="2421" spans="38:53" ht="15" customHeight="1" x14ac:dyDescent="0.25">
      <c r="AL2421" s="17"/>
      <c r="AM2421" s="12"/>
      <c r="AN2421" s="18"/>
      <c r="AO2421" s="18"/>
      <c r="AP2421" s="10"/>
      <c r="AQ2421" s="10"/>
      <c r="AR2421" s="19"/>
      <c r="AS2421" s="20"/>
      <c r="AT2421" s="19"/>
      <c r="AV2421" s="21">
        <f>IF(AND($AL2421&lt;&gt;"",COUNTIF($AL$11:$AL2421,$AL2421)=1),1,0)</f>
        <v>0</v>
      </c>
      <c r="AW2421" s="21">
        <f t="shared" si="161"/>
        <v>0</v>
      </c>
      <c r="AX2421" s="21" t="str">
        <f t="shared" si="160"/>
        <v/>
      </c>
      <c r="AY2421" s="21" t="str">
        <f>IF(AND($AM2421&lt;&gt;"",$AS2421&lt;&gt;"✓"),SUMPRODUCT(($AM$11:$AM2421&lt;&gt;"")*($AS$11:$AS2421&lt;&gt;"✓")),"")</f>
        <v/>
      </c>
      <c r="AZ2421" s="21" t="str">
        <f>IF(AND($AM2421&lt;&gt;"",$AS2421="✓"),SUMPRODUCT(($AM$11:$AM2421&lt;&gt;"")*($AS$11:$AS2421="✓")),"")</f>
        <v/>
      </c>
      <c r="BA2421" s="21" t="str">
        <f>IF($AL2421="","",$AL2421&amp;"|"&amp;COUNTIF($AL$11:$AL2421,$AL2421))</f>
        <v/>
      </c>
    </row>
    <row r="2422" spans="38:53" ht="15" customHeight="1" x14ac:dyDescent="0.25">
      <c r="AL2422" s="31"/>
      <c r="AM2422" s="26"/>
      <c r="AN2422" s="32"/>
      <c r="AO2422" s="32"/>
      <c r="AP2422" s="24"/>
      <c r="AQ2422" s="24"/>
      <c r="AR2422" s="33"/>
      <c r="AS2422" s="34"/>
      <c r="AT2422" s="33"/>
      <c r="AV2422" s="21">
        <f>IF(AND($AL2422&lt;&gt;"",COUNTIF($AL$11:$AL2422,$AL2422)=1),1,0)</f>
        <v>0</v>
      </c>
      <c r="AW2422" s="21">
        <f t="shared" si="161"/>
        <v>0</v>
      </c>
      <c r="AX2422" s="21" t="str">
        <f t="shared" si="160"/>
        <v/>
      </c>
      <c r="AY2422" s="21" t="str">
        <f>IF(AND($AM2422&lt;&gt;"",$AS2422&lt;&gt;"✓"),SUMPRODUCT(($AM$11:$AM2422&lt;&gt;"")*($AS$11:$AS2422&lt;&gt;"✓")),"")</f>
        <v/>
      </c>
      <c r="AZ2422" s="21" t="str">
        <f>IF(AND($AM2422&lt;&gt;"",$AS2422="✓"),SUMPRODUCT(($AM$11:$AM2422&lt;&gt;"")*($AS$11:$AS2422="✓")),"")</f>
        <v/>
      </c>
      <c r="BA2422" s="21" t="str">
        <f>IF($AL2422="","",$AL2422&amp;"|"&amp;COUNTIF($AL$11:$AL2422,$AL2422))</f>
        <v/>
      </c>
    </row>
    <row r="2423" spans="38:53" ht="15" customHeight="1" x14ac:dyDescent="0.25">
      <c r="AL2423" s="17"/>
      <c r="AM2423" s="12"/>
      <c r="AN2423" s="18"/>
      <c r="AO2423" s="18"/>
      <c r="AP2423" s="10"/>
      <c r="AQ2423" s="10"/>
      <c r="AR2423" s="19"/>
      <c r="AS2423" s="20"/>
      <c r="AT2423" s="19"/>
      <c r="AV2423" s="21">
        <f>IF(AND($AL2423&lt;&gt;"",COUNTIF($AL$11:$AL2423,$AL2423)=1),1,0)</f>
        <v>0</v>
      </c>
      <c r="AW2423" s="21">
        <f t="shared" si="161"/>
        <v>0</v>
      </c>
      <c r="AX2423" s="21" t="str">
        <f t="shared" si="160"/>
        <v/>
      </c>
      <c r="AY2423" s="21" t="str">
        <f>IF(AND($AM2423&lt;&gt;"",$AS2423&lt;&gt;"✓"),SUMPRODUCT(($AM$11:$AM2423&lt;&gt;"")*($AS$11:$AS2423&lt;&gt;"✓")),"")</f>
        <v/>
      </c>
      <c r="AZ2423" s="21" t="str">
        <f>IF(AND($AM2423&lt;&gt;"",$AS2423="✓"),SUMPRODUCT(($AM$11:$AM2423&lt;&gt;"")*($AS$11:$AS2423="✓")),"")</f>
        <v/>
      </c>
      <c r="BA2423" s="21" t="str">
        <f>IF($AL2423="","",$AL2423&amp;"|"&amp;COUNTIF($AL$11:$AL2423,$AL2423))</f>
        <v/>
      </c>
    </row>
    <row r="2424" spans="38:53" ht="15" customHeight="1" x14ac:dyDescent="0.25">
      <c r="AL2424" s="31"/>
      <c r="AM2424" s="26"/>
      <c r="AN2424" s="32"/>
      <c r="AO2424" s="32"/>
      <c r="AP2424" s="24"/>
      <c r="AQ2424" s="24"/>
      <c r="AR2424" s="33"/>
      <c r="AS2424" s="34"/>
      <c r="AT2424" s="33"/>
      <c r="AV2424" s="21">
        <f>IF(AND($AL2424&lt;&gt;"",COUNTIF($AL$11:$AL2424,$AL2424)=1),1,0)</f>
        <v>0</v>
      </c>
      <c r="AW2424" s="21">
        <f t="shared" si="161"/>
        <v>0</v>
      </c>
      <c r="AX2424" s="21" t="str">
        <f t="shared" si="160"/>
        <v/>
      </c>
      <c r="AY2424" s="21" t="str">
        <f>IF(AND($AM2424&lt;&gt;"",$AS2424&lt;&gt;"✓"),SUMPRODUCT(($AM$11:$AM2424&lt;&gt;"")*($AS$11:$AS2424&lt;&gt;"✓")),"")</f>
        <v/>
      </c>
      <c r="AZ2424" s="21" t="str">
        <f>IF(AND($AM2424&lt;&gt;"",$AS2424="✓"),SUMPRODUCT(($AM$11:$AM2424&lt;&gt;"")*($AS$11:$AS2424="✓")),"")</f>
        <v/>
      </c>
      <c r="BA2424" s="21" t="str">
        <f>IF($AL2424="","",$AL2424&amp;"|"&amp;COUNTIF($AL$11:$AL2424,$AL2424))</f>
        <v/>
      </c>
    </row>
    <row r="2425" spans="38:53" ht="15" customHeight="1" x14ac:dyDescent="0.25">
      <c r="AL2425" s="17"/>
      <c r="AM2425" s="12"/>
      <c r="AN2425" s="18"/>
      <c r="AO2425" s="18"/>
      <c r="AP2425" s="10"/>
      <c r="AQ2425" s="10"/>
      <c r="AR2425" s="19"/>
      <c r="AS2425" s="20"/>
      <c r="AT2425" s="19"/>
      <c r="AV2425" s="21">
        <f>IF(AND($AL2425&lt;&gt;"",COUNTIF($AL$11:$AL2425,$AL2425)=1),1,0)</f>
        <v>0</v>
      </c>
      <c r="AW2425" s="21">
        <f t="shared" si="161"/>
        <v>0</v>
      </c>
      <c r="AX2425" s="21" t="str">
        <f t="shared" si="160"/>
        <v/>
      </c>
      <c r="AY2425" s="21" t="str">
        <f>IF(AND($AM2425&lt;&gt;"",$AS2425&lt;&gt;"✓"),SUMPRODUCT(($AM$11:$AM2425&lt;&gt;"")*($AS$11:$AS2425&lt;&gt;"✓")),"")</f>
        <v/>
      </c>
      <c r="AZ2425" s="21" t="str">
        <f>IF(AND($AM2425&lt;&gt;"",$AS2425="✓"),SUMPRODUCT(($AM$11:$AM2425&lt;&gt;"")*($AS$11:$AS2425="✓")),"")</f>
        <v/>
      </c>
      <c r="BA2425" s="21" t="str">
        <f>IF($AL2425="","",$AL2425&amp;"|"&amp;COUNTIF($AL$11:$AL2425,$AL2425))</f>
        <v/>
      </c>
    </row>
    <row r="2426" spans="38:53" ht="15" customHeight="1" x14ac:dyDescent="0.25">
      <c r="AL2426" s="31"/>
      <c r="AM2426" s="26"/>
      <c r="AN2426" s="32"/>
      <c r="AO2426" s="32"/>
      <c r="AP2426" s="24"/>
      <c r="AQ2426" s="24"/>
      <c r="AR2426" s="33"/>
      <c r="AS2426" s="34"/>
      <c r="AT2426" s="33"/>
      <c r="AV2426" s="21">
        <f>IF(AND($AL2426&lt;&gt;"",COUNTIF($AL$11:$AL2426,$AL2426)=1),1,0)</f>
        <v>0</v>
      </c>
      <c r="AW2426" s="21">
        <f t="shared" si="161"/>
        <v>0</v>
      </c>
      <c r="AX2426" s="21" t="str">
        <f t="shared" si="160"/>
        <v/>
      </c>
      <c r="AY2426" s="21" t="str">
        <f>IF(AND($AM2426&lt;&gt;"",$AS2426&lt;&gt;"✓"),SUMPRODUCT(($AM$11:$AM2426&lt;&gt;"")*($AS$11:$AS2426&lt;&gt;"✓")),"")</f>
        <v/>
      </c>
      <c r="AZ2426" s="21" t="str">
        <f>IF(AND($AM2426&lt;&gt;"",$AS2426="✓"),SUMPRODUCT(($AM$11:$AM2426&lt;&gt;"")*($AS$11:$AS2426="✓")),"")</f>
        <v/>
      </c>
      <c r="BA2426" s="21" t="str">
        <f>IF($AL2426="","",$AL2426&amp;"|"&amp;COUNTIF($AL$11:$AL2426,$AL2426))</f>
        <v/>
      </c>
    </row>
    <row r="2427" spans="38:53" ht="15" customHeight="1" x14ac:dyDescent="0.25">
      <c r="AL2427" s="17"/>
      <c r="AM2427" s="12"/>
      <c r="AN2427" s="18"/>
      <c r="AO2427" s="18"/>
      <c r="AP2427" s="10"/>
      <c r="AQ2427" s="10"/>
      <c r="AR2427" s="19"/>
      <c r="AS2427" s="20"/>
      <c r="AT2427" s="19"/>
      <c r="AV2427" s="21">
        <f>IF(AND($AL2427&lt;&gt;"",COUNTIF($AL$11:$AL2427,$AL2427)=1),1,0)</f>
        <v>0</v>
      </c>
      <c r="AW2427" s="21">
        <f t="shared" si="161"/>
        <v>0</v>
      </c>
      <c r="AX2427" s="21" t="str">
        <f t="shared" si="160"/>
        <v/>
      </c>
      <c r="AY2427" s="21" t="str">
        <f>IF(AND($AM2427&lt;&gt;"",$AS2427&lt;&gt;"✓"),SUMPRODUCT(($AM$11:$AM2427&lt;&gt;"")*($AS$11:$AS2427&lt;&gt;"✓")),"")</f>
        <v/>
      </c>
      <c r="AZ2427" s="21" t="str">
        <f>IF(AND($AM2427&lt;&gt;"",$AS2427="✓"),SUMPRODUCT(($AM$11:$AM2427&lt;&gt;"")*($AS$11:$AS2427="✓")),"")</f>
        <v/>
      </c>
      <c r="BA2427" s="21" t="str">
        <f>IF($AL2427="","",$AL2427&amp;"|"&amp;COUNTIF($AL$11:$AL2427,$AL2427))</f>
        <v/>
      </c>
    </row>
    <row r="2428" spans="38:53" ht="15" customHeight="1" x14ac:dyDescent="0.25">
      <c r="AL2428" s="31"/>
      <c r="AM2428" s="26"/>
      <c r="AN2428" s="32"/>
      <c r="AO2428" s="32"/>
      <c r="AP2428" s="24"/>
      <c r="AQ2428" s="24"/>
      <c r="AR2428" s="33"/>
      <c r="AS2428" s="34"/>
      <c r="AT2428" s="33"/>
      <c r="AV2428" s="21">
        <f>IF(AND($AL2428&lt;&gt;"",COUNTIF($AL$11:$AL2428,$AL2428)=1),1,0)</f>
        <v>0</v>
      </c>
      <c r="AW2428" s="21">
        <f t="shared" si="161"/>
        <v>0</v>
      </c>
      <c r="AX2428" s="21" t="str">
        <f t="shared" si="160"/>
        <v/>
      </c>
      <c r="AY2428" s="21" t="str">
        <f>IF(AND($AM2428&lt;&gt;"",$AS2428&lt;&gt;"✓"),SUMPRODUCT(($AM$11:$AM2428&lt;&gt;"")*($AS$11:$AS2428&lt;&gt;"✓")),"")</f>
        <v/>
      </c>
      <c r="AZ2428" s="21" t="str">
        <f>IF(AND($AM2428&lt;&gt;"",$AS2428="✓"),SUMPRODUCT(($AM$11:$AM2428&lt;&gt;"")*($AS$11:$AS2428="✓")),"")</f>
        <v/>
      </c>
      <c r="BA2428" s="21" t="str">
        <f>IF($AL2428="","",$AL2428&amp;"|"&amp;COUNTIF($AL$11:$AL2428,$AL2428))</f>
        <v/>
      </c>
    </row>
    <row r="2429" spans="38:53" ht="15" customHeight="1" x14ac:dyDescent="0.25">
      <c r="AL2429" s="17"/>
      <c r="AM2429" s="12"/>
      <c r="AN2429" s="18"/>
      <c r="AO2429" s="18"/>
      <c r="AP2429" s="10"/>
      <c r="AQ2429" s="10"/>
      <c r="AR2429" s="19"/>
      <c r="AS2429" s="20"/>
      <c r="AT2429" s="19"/>
      <c r="AV2429" s="21">
        <f>IF(AND($AL2429&lt;&gt;"",COUNTIF($AL$11:$AL2429,$AL2429)=1),1,0)</f>
        <v>0</v>
      </c>
      <c r="AW2429" s="21">
        <f t="shared" si="161"/>
        <v>0</v>
      </c>
      <c r="AX2429" s="21" t="str">
        <f t="shared" si="160"/>
        <v/>
      </c>
      <c r="AY2429" s="21" t="str">
        <f>IF(AND($AM2429&lt;&gt;"",$AS2429&lt;&gt;"✓"),SUMPRODUCT(($AM$11:$AM2429&lt;&gt;"")*($AS$11:$AS2429&lt;&gt;"✓")),"")</f>
        <v/>
      </c>
      <c r="AZ2429" s="21" t="str">
        <f>IF(AND($AM2429&lt;&gt;"",$AS2429="✓"),SUMPRODUCT(($AM$11:$AM2429&lt;&gt;"")*($AS$11:$AS2429="✓")),"")</f>
        <v/>
      </c>
      <c r="BA2429" s="21" t="str">
        <f>IF($AL2429="","",$AL2429&amp;"|"&amp;COUNTIF($AL$11:$AL2429,$AL2429))</f>
        <v/>
      </c>
    </row>
    <row r="2430" spans="38:53" ht="15" customHeight="1" x14ac:dyDescent="0.25">
      <c r="AL2430" s="31"/>
      <c r="AM2430" s="26"/>
      <c r="AN2430" s="32"/>
      <c r="AO2430" s="32"/>
      <c r="AP2430" s="24"/>
      <c r="AQ2430" s="24"/>
      <c r="AR2430" s="33"/>
      <c r="AS2430" s="34"/>
      <c r="AT2430" s="33"/>
      <c r="AV2430" s="21">
        <f>IF(AND($AL2430&lt;&gt;"",COUNTIF($AL$11:$AL2430,$AL2430)=1),1,0)</f>
        <v>0</v>
      </c>
      <c r="AW2430" s="21">
        <f t="shared" si="161"/>
        <v>0</v>
      </c>
      <c r="AX2430" s="21" t="str">
        <f t="shared" si="160"/>
        <v/>
      </c>
      <c r="AY2430" s="21" t="str">
        <f>IF(AND($AM2430&lt;&gt;"",$AS2430&lt;&gt;"✓"),SUMPRODUCT(($AM$11:$AM2430&lt;&gt;"")*($AS$11:$AS2430&lt;&gt;"✓")),"")</f>
        <v/>
      </c>
      <c r="AZ2430" s="21" t="str">
        <f>IF(AND($AM2430&lt;&gt;"",$AS2430="✓"),SUMPRODUCT(($AM$11:$AM2430&lt;&gt;"")*($AS$11:$AS2430="✓")),"")</f>
        <v/>
      </c>
      <c r="BA2430" s="21" t="str">
        <f>IF($AL2430="","",$AL2430&amp;"|"&amp;COUNTIF($AL$11:$AL2430,$AL2430))</f>
        <v/>
      </c>
    </row>
    <row r="2431" spans="38:53" ht="15" customHeight="1" x14ac:dyDescent="0.25">
      <c r="AL2431" s="17"/>
      <c r="AM2431" s="12"/>
      <c r="AN2431" s="18"/>
      <c r="AO2431" s="18"/>
      <c r="AP2431" s="10"/>
      <c r="AQ2431" s="10"/>
      <c r="AR2431" s="19"/>
      <c r="AS2431" s="20"/>
      <c r="AT2431" s="19"/>
      <c r="AV2431" s="21">
        <f>IF(AND($AL2431&lt;&gt;"",COUNTIF($AL$11:$AL2431,$AL2431)=1),1,0)</f>
        <v>0</v>
      </c>
      <c r="AW2431" s="21">
        <f t="shared" si="161"/>
        <v>0</v>
      </c>
      <c r="AX2431" s="21" t="str">
        <f t="shared" si="160"/>
        <v/>
      </c>
      <c r="AY2431" s="21" t="str">
        <f>IF(AND($AM2431&lt;&gt;"",$AS2431&lt;&gt;"✓"),SUMPRODUCT(($AM$11:$AM2431&lt;&gt;"")*($AS$11:$AS2431&lt;&gt;"✓")),"")</f>
        <v/>
      </c>
      <c r="AZ2431" s="21" t="str">
        <f>IF(AND($AM2431&lt;&gt;"",$AS2431="✓"),SUMPRODUCT(($AM$11:$AM2431&lt;&gt;"")*($AS$11:$AS2431="✓")),"")</f>
        <v/>
      </c>
      <c r="BA2431" s="21" t="str">
        <f>IF($AL2431="","",$AL2431&amp;"|"&amp;COUNTIF($AL$11:$AL2431,$AL2431))</f>
        <v/>
      </c>
    </row>
    <row r="2432" spans="38:53" ht="15" customHeight="1" x14ac:dyDescent="0.25">
      <c r="AL2432" s="31"/>
      <c r="AM2432" s="26"/>
      <c r="AN2432" s="32"/>
      <c r="AO2432" s="32"/>
      <c r="AP2432" s="24"/>
      <c r="AQ2432" s="24"/>
      <c r="AR2432" s="33"/>
      <c r="AS2432" s="34"/>
      <c r="AT2432" s="33"/>
      <c r="AV2432" s="21">
        <f>IF(AND($AL2432&lt;&gt;"",COUNTIF($AL$11:$AL2432,$AL2432)=1),1,0)</f>
        <v>0</v>
      </c>
      <c r="AW2432" s="21">
        <f t="shared" si="161"/>
        <v>0</v>
      </c>
      <c r="AX2432" s="21" t="str">
        <f t="shared" si="160"/>
        <v/>
      </c>
      <c r="AY2432" s="21" t="str">
        <f>IF(AND($AM2432&lt;&gt;"",$AS2432&lt;&gt;"✓"),SUMPRODUCT(($AM$11:$AM2432&lt;&gt;"")*($AS$11:$AS2432&lt;&gt;"✓")),"")</f>
        <v/>
      </c>
      <c r="AZ2432" s="21" t="str">
        <f>IF(AND($AM2432&lt;&gt;"",$AS2432="✓"),SUMPRODUCT(($AM$11:$AM2432&lt;&gt;"")*($AS$11:$AS2432="✓")),"")</f>
        <v/>
      </c>
      <c r="BA2432" s="21" t="str">
        <f>IF($AL2432="","",$AL2432&amp;"|"&amp;COUNTIF($AL$11:$AL2432,$AL2432))</f>
        <v/>
      </c>
    </row>
    <row r="2433" spans="38:53" ht="15" customHeight="1" x14ac:dyDescent="0.25">
      <c r="AL2433" s="17"/>
      <c r="AM2433" s="12"/>
      <c r="AN2433" s="18"/>
      <c r="AO2433" s="18"/>
      <c r="AP2433" s="10"/>
      <c r="AQ2433" s="10"/>
      <c r="AR2433" s="19"/>
      <c r="AS2433" s="20"/>
      <c r="AT2433" s="19"/>
      <c r="AV2433" s="21">
        <f>IF(AND($AL2433&lt;&gt;"",COUNTIF($AL$11:$AL2433,$AL2433)=1),1,0)</f>
        <v>0</v>
      </c>
      <c r="AW2433" s="21">
        <f t="shared" si="161"/>
        <v>0</v>
      </c>
      <c r="AX2433" s="21" t="str">
        <f t="shared" si="160"/>
        <v/>
      </c>
      <c r="AY2433" s="21" t="str">
        <f>IF(AND($AM2433&lt;&gt;"",$AS2433&lt;&gt;"✓"),SUMPRODUCT(($AM$11:$AM2433&lt;&gt;"")*($AS$11:$AS2433&lt;&gt;"✓")),"")</f>
        <v/>
      </c>
      <c r="AZ2433" s="21" t="str">
        <f>IF(AND($AM2433&lt;&gt;"",$AS2433="✓"),SUMPRODUCT(($AM$11:$AM2433&lt;&gt;"")*($AS$11:$AS2433="✓")),"")</f>
        <v/>
      </c>
      <c r="BA2433" s="21" t="str">
        <f>IF($AL2433="","",$AL2433&amp;"|"&amp;COUNTIF($AL$11:$AL2433,$AL2433))</f>
        <v/>
      </c>
    </row>
    <row r="2434" spans="38:53" ht="15" customHeight="1" x14ac:dyDescent="0.25">
      <c r="AL2434" s="31"/>
      <c r="AM2434" s="26"/>
      <c r="AN2434" s="32"/>
      <c r="AO2434" s="32"/>
      <c r="AP2434" s="24"/>
      <c r="AQ2434" s="24"/>
      <c r="AR2434" s="33"/>
      <c r="AS2434" s="34"/>
      <c r="AT2434" s="33"/>
      <c r="AV2434" s="21">
        <f>IF(AND($AL2434&lt;&gt;"",COUNTIF($AL$11:$AL2434,$AL2434)=1),1,0)</f>
        <v>0</v>
      </c>
      <c r="AW2434" s="21">
        <f t="shared" si="161"/>
        <v>0</v>
      </c>
      <c r="AX2434" s="21" t="str">
        <f t="shared" si="160"/>
        <v/>
      </c>
      <c r="AY2434" s="21" t="str">
        <f>IF(AND($AM2434&lt;&gt;"",$AS2434&lt;&gt;"✓"),SUMPRODUCT(($AM$11:$AM2434&lt;&gt;"")*($AS$11:$AS2434&lt;&gt;"✓")),"")</f>
        <v/>
      </c>
      <c r="AZ2434" s="21" t="str">
        <f>IF(AND($AM2434&lt;&gt;"",$AS2434="✓"),SUMPRODUCT(($AM$11:$AM2434&lt;&gt;"")*($AS$11:$AS2434="✓")),"")</f>
        <v/>
      </c>
      <c r="BA2434" s="21" t="str">
        <f>IF($AL2434="","",$AL2434&amp;"|"&amp;COUNTIF($AL$11:$AL2434,$AL2434))</f>
        <v/>
      </c>
    </row>
    <row r="2435" spans="38:53" ht="15" customHeight="1" x14ac:dyDescent="0.25">
      <c r="AL2435" s="17"/>
      <c r="AM2435" s="12"/>
      <c r="AN2435" s="18"/>
      <c r="AO2435" s="18"/>
      <c r="AP2435" s="10"/>
      <c r="AQ2435" s="10"/>
      <c r="AR2435" s="19"/>
      <c r="AS2435" s="20"/>
      <c r="AT2435" s="19"/>
      <c r="AV2435" s="21">
        <f>IF(AND($AL2435&lt;&gt;"",COUNTIF($AL$11:$AL2435,$AL2435)=1),1,0)</f>
        <v>0</v>
      </c>
      <c r="AW2435" s="21">
        <f t="shared" si="161"/>
        <v>0</v>
      </c>
      <c r="AX2435" s="21" t="str">
        <f t="shared" si="160"/>
        <v/>
      </c>
      <c r="AY2435" s="21" t="str">
        <f>IF(AND($AM2435&lt;&gt;"",$AS2435&lt;&gt;"✓"),SUMPRODUCT(($AM$11:$AM2435&lt;&gt;"")*($AS$11:$AS2435&lt;&gt;"✓")),"")</f>
        <v/>
      </c>
      <c r="AZ2435" s="21" t="str">
        <f>IF(AND($AM2435&lt;&gt;"",$AS2435="✓"),SUMPRODUCT(($AM$11:$AM2435&lt;&gt;"")*($AS$11:$AS2435="✓")),"")</f>
        <v/>
      </c>
      <c r="BA2435" s="21" t="str">
        <f>IF($AL2435="","",$AL2435&amp;"|"&amp;COUNTIF($AL$11:$AL2435,$AL2435))</f>
        <v/>
      </c>
    </row>
    <row r="2436" spans="38:53" ht="15" customHeight="1" x14ac:dyDescent="0.25">
      <c r="AL2436" s="31"/>
      <c r="AM2436" s="26"/>
      <c r="AN2436" s="32"/>
      <c r="AO2436" s="32"/>
      <c r="AP2436" s="24"/>
      <c r="AQ2436" s="24"/>
      <c r="AR2436" s="33"/>
      <c r="AS2436" s="34"/>
      <c r="AT2436" s="33"/>
      <c r="AV2436" s="21">
        <f>IF(AND($AL2436&lt;&gt;"",COUNTIF($AL$11:$AL2436,$AL2436)=1),1,0)</f>
        <v>0</v>
      </c>
      <c r="AW2436" s="21">
        <f t="shared" si="161"/>
        <v>0</v>
      </c>
      <c r="AX2436" s="21" t="str">
        <f t="shared" si="160"/>
        <v/>
      </c>
      <c r="AY2436" s="21" t="str">
        <f>IF(AND($AM2436&lt;&gt;"",$AS2436&lt;&gt;"✓"),SUMPRODUCT(($AM$11:$AM2436&lt;&gt;"")*($AS$11:$AS2436&lt;&gt;"✓")),"")</f>
        <v/>
      </c>
      <c r="AZ2436" s="21" t="str">
        <f>IF(AND($AM2436&lt;&gt;"",$AS2436="✓"),SUMPRODUCT(($AM$11:$AM2436&lt;&gt;"")*($AS$11:$AS2436="✓")),"")</f>
        <v/>
      </c>
      <c r="BA2436" s="21" t="str">
        <f>IF($AL2436="","",$AL2436&amp;"|"&amp;COUNTIF($AL$11:$AL2436,$AL2436))</f>
        <v/>
      </c>
    </row>
    <row r="2437" spans="38:53" ht="15" customHeight="1" x14ac:dyDescent="0.25">
      <c r="AL2437" s="17"/>
      <c r="AM2437" s="12"/>
      <c r="AN2437" s="18"/>
      <c r="AO2437" s="18"/>
      <c r="AP2437" s="10"/>
      <c r="AQ2437" s="10"/>
      <c r="AR2437" s="19"/>
      <c r="AS2437" s="20"/>
      <c r="AT2437" s="19"/>
      <c r="AV2437" s="21">
        <f>IF(AND($AL2437&lt;&gt;"",COUNTIF($AL$11:$AL2437,$AL2437)=1),1,0)</f>
        <v>0</v>
      </c>
      <c r="AW2437" s="21">
        <f t="shared" si="161"/>
        <v>0</v>
      </c>
      <c r="AX2437" s="21" t="str">
        <f t="shared" si="160"/>
        <v/>
      </c>
      <c r="AY2437" s="21" t="str">
        <f>IF(AND($AM2437&lt;&gt;"",$AS2437&lt;&gt;"✓"),SUMPRODUCT(($AM$11:$AM2437&lt;&gt;"")*($AS$11:$AS2437&lt;&gt;"✓")),"")</f>
        <v/>
      </c>
      <c r="AZ2437" s="21" t="str">
        <f>IF(AND($AM2437&lt;&gt;"",$AS2437="✓"),SUMPRODUCT(($AM$11:$AM2437&lt;&gt;"")*($AS$11:$AS2437="✓")),"")</f>
        <v/>
      </c>
      <c r="BA2437" s="21" t="str">
        <f>IF($AL2437="","",$AL2437&amp;"|"&amp;COUNTIF($AL$11:$AL2437,$AL2437))</f>
        <v/>
      </c>
    </row>
    <row r="2438" spans="38:53" ht="15" customHeight="1" x14ac:dyDescent="0.25">
      <c r="AL2438" s="31"/>
      <c r="AM2438" s="26"/>
      <c r="AN2438" s="32"/>
      <c r="AO2438" s="32"/>
      <c r="AP2438" s="24"/>
      <c r="AQ2438" s="24"/>
      <c r="AR2438" s="33"/>
      <c r="AS2438" s="34"/>
      <c r="AT2438" s="33"/>
      <c r="AV2438" s="21">
        <f>IF(AND($AL2438&lt;&gt;"",COUNTIF($AL$11:$AL2438,$AL2438)=1),1,0)</f>
        <v>0</v>
      </c>
      <c r="AW2438" s="21">
        <f t="shared" si="161"/>
        <v>0</v>
      </c>
      <c r="AX2438" s="21" t="str">
        <f t="shared" si="160"/>
        <v/>
      </c>
      <c r="AY2438" s="21" t="str">
        <f>IF(AND($AM2438&lt;&gt;"",$AS2438&lt;&gt;"✓"),SUMPRODUCT(($AM$11:$AM2438&lt;&gt;"")*($AS$11:$AS2438&lt;&gt;"✓")),"")</f>
        <v/>
      </c>
      <c r="AZ2438" s="21" t="str">
        <f>IF(AND($AM2438&lt;&gt;"",$AS2438="✓"),SUMPRODUCT(($AM$11:$AM2438&lt;&gt;"")*($AS$11:$AS2438="✓")),"")</f>
        <v/>
      </c>
      <c r="BA2438" s="21" t="str">
        <f>IF($AL2438="","",$AL2438&amp;"|"&amp;COUNTIF($AL$11:$AL2438,$AL2438))</f>
        <v/>
      </c>
    </row>
    <row r="2439" spans="38:53" ht="15" customHeight="1" x14ac:dyDescent="0.25">
      <c r="AL2439" s="17"/>
      <c r="AM2439" s="12"/>
      <c r="AN2439" s="18"/>
      <c r="AO2439" s="18"/>
      <c r="AP2439" s="10"/>
      <c r="AQ2439" s="10"/>
      <c r="AR2439" s="19"/>
      <c r="AS2439" s="20"/>
      <c r="AT2439" s="19"/>
      <c r="AV2439" s="21">
        <f>IF(AND($AL2439&lt;&gt;"",COUNTIF($AL$11:$AL2439,$AL2439)=1),1,0)</f>
        <v>0</v>
      </c>
      <c r="AW2439" s="21">
        <f t="shared" si="161"/>
        <v>0</v>
      </c>
      <c r="AX2439" s="21" t="str">
        <f t="shared" si="160"/>
        <v/>
      </c>
      <c r="AY2439" s="21" t="str">
        <f>IF(AND($AM2439&lt;&gt;"",$AS2439&lt;&gt;"✓"),SUMPRODUCT(($AM$11:$AM2439&lt;&gt;"")*($AS$11:$AS2439&lt;&gt;"✓")),"")</f>
        <v/>
      </c>
      <c r="AZ2439" s="21" t="str">
        <f>IF(AND($AM2439&lt;&gt;"",$AS2439="✓"),SUMPRODUCT(($AM$11:$AM2439&lt;&gt;"")*($AS$11:$AS2439="✓")),"")</f>
        <v/>
      </c>
      <c r="BA2439" s="21" t="str">
        <f>IF($AL2439="","",$AL2439&amp;"|"&amp;COUNTIF($AL$11:$AL2439,$AL2439))</f>
        <v/>
      </c>
    </row>
    <row r="2440" spans="38:53" ht="15" customHeight="1" x14ac:dyDescent="0.25">
      <c r="AL2440" s="31"/>
      <c r="AM2440" s="26"/>
      <c r="AN2440" s="32"/>
      <c r="AO2440" s="32"/>
      <c r="AP2440" s="24"/>
      <c r="AQ2440" s="24"/>
      <c r="AR2440" s="33"/>
      <c r="AS2440" s="34"/>
      <c r="AT2440" s="33"/>
      <c r="AV2440" s="21">
        <f>IF(AND($AL2440&lt;&gt;"",COUNTIF($AL$11:$AL2440,$AL2440)=1),1,0)</f>
        <v>0</v>
      </c>
      <c r="AW2440" s="21">
        <f t="shared" si="161"/>
        <v>0</v>
      </c>
      <c r="AX2440" s="21" t="str">
        <f t="shared" si="160"/>
        <v/>
      </c>
      <c r="AY2440" s="21" t="str">
        <f>IF(AND($AM2440&lt;&gt;"",$AS2440&lt;&gt;"✓"),SUMPRODUCT(($AM$11:$AM2440&lt;&gt;"")*($AS$11:$AS2440&lt;&gt;"✓")),"")</f>
        <v/>
      </c>
      <c r="AZ2440" s="21" t="str">
        <f>IF(AND($AM2440&lt;&gt;"",$AS2440="✓"),SUMPRODUCT(($AM$11:$AM2440&lt;&gt;"")*($AS$11:$AS2440="✓")),"")</f>
        <v/>
      </c>
      <c r="BA2440" s="21" t="str">
        <f>IF($AL2440="","",$AL2440&amp;"|"&amp;COUNTIF($AL$11:$AL2440,$AL2440))</f>
        <v/>
      </c>
    </row>
    <row r="2441" spans="38:53" ht="15" customHeight="1" x14ac:dyDescent="0.25">
      <c r="AL2441" s="17"/>
      <c r="AM2441" s="12"/>
      <c r="AN2441" s="18"/>
      <c r="AO2441" s="18"/>
      <c r="AP2441" s="10"/>
      <c r="AQ2441" s="10"/>
      <c r="AR2441" s="19"/>
      <c r="AS2441" s="20"/>
      <c r="AT2441" s="19"/>
      <c r="AV2441" s="21">
        <f>IF(AND($AL2441&lt;&gt;"",COUNTIF($AL$11:$AL2441,$AL2441)=1),1,0)</f>
        <v>0</v>
      </c>
      <c r="AW2441" s="21">
        <f t="shared" si="161"/>
        <v>0</v>
      </c>
      <c r="AX2441" s="21" t="str">
        <f t="shared" si="160"/>
        <v/>
      </c>
      <c r="AY2441" s="21" t="str">
        <f>IF(AND($AM2441&lt;&gt;"",$AS2441&lt;&gt;"✓"),SUMPRODUCT(($AM$11:$AM2441&lt;&gt;"")*($AS$11:$AS2441&lt;&gt;"✓")),"")</f>
        <v/>
      </c>
      <c r="AZ2441" s="21" t="str">
        <f>IF(AND($AM2441&lt;&gt;"",$AS2441="✓"),SUMPRODUCT(($AM$11:$AM2441&lt;&gt;"")*($AS$11:$AS2441="✓")),"")</f>
        <v/>
      </c>
      <c r="BA2441" s="21" t="str">
        <f>IF($AL2441="","",$AL2441&amp;"|"&amp;COUNTIF($AL$11:$AL2441,$AL2441))</f>
        <v/>
      </c>
    </row>
    <row r="2442" spans="38:53" ht="15" customHeight="1" x14ac:dyDescent="0.25">
      <c r="AL2442" s="31"/>
      <c r="AM2442" s="26"/>
      <c r="AN2442" s="32"/>
      <c r="AO2442" s="32"/>
      <c r="AP2442" s="24"/>
      <c r="AQ2442" s="24"/>
      <c r="AR2442" s="33"/>
      <c r="AS2442" s="34"/>
      <c r="AT2442" s="33"/>
      <c r="AV2442" s="21">
        <f>IF(AND($AL2442&lt;&gt;"",COUNTIF($AL$11:$AL2442,$AL2442)=1),1,0)</f>
        <v>0</v>
      </c>
      <c r="AW2442" s="21">
        <f t="shared" si="161"/>
        <v>0</v>
      </c>
      <c r="AX2442" s="21" t="str">
        <f t="shared" si="160"/>
        <v/>
      </c>
      <c r="AY2442" s="21" t="str">
        <f>IF(AND($AM2442&lt;&gt;"",$AS2442&lt;&gt;"✓"),SUMPRODUCT(($AM$11:$AM2442&lt;&gt;"")*($AS$11:$AS2442&lt;&gt;"✓")),"")</f>
        <v/>
      </c>
      <c r="AZ2442" s="21" t="str">
        <f>IF(AND($AM2442&lt;&gt;"",$AS2442="✓"),SUMPRODUCT(($AM$11:$AM2442&lt;&gt;"")*($AS$11:$AS2442="✓")),"")</f>
        <v/>
      </c>
      <c r="BA2442" s="21" t="str">
        <f>IF($AL2442="","",$AL2442&amp;"|"&amp;COUNTIF($AL$11:$AL2442,$AL2442))</f>
        <v/>
      </c>
    </row>
    <row r="2443" spans="38:53" ht="15" customHeight="1" x14ac:dyDescent="0.25">
      <c r="AL2443" s="17"/>
      <c r="AM2443" s="12"/>
      <c r="AN2443" s="18"/>
      <c r="AO2443" s="18"/>
      <c r="AP2443" s="10"/>
      <c r="AQ2443" s="10"/>
      <c r="AR2443" s="19"/>
      <c r="AS2443" s="20"/>
      <c r="AT2443" s="19"/>
      <c r="AV2443" s="21">
        <f>IF(AND($AL2443&lt;&gt;"",COUNTIF($AL$11:$AL2443,$AL2443)=1),1,0)</f>
        <v>0</v>
      </c>
      <c r="AW2443" s="21">
        <f t="shared" si="161"/>
        <v>0</v>
      </c>
      <c r="AX2443" s="21" t="str">
        <f t="shared" ref="AX2443:AX2506" si="162">IF(AV2443=1,AW2443,"")</f>
        <v/>
      </c>
      <c r="AY2443" s="21" t="str">
        <f>IF(AND($AM2443&lt;&gt;"",$AS2443&lt;&gt;"✓"),SUMPRODUCT(($AM$11:$AM2443&lt;&gt;"")*($AS$11:$AS2443&lt;&gt;"✓")),"")</f>
        <v/>
      </c>
      <c r="AZ2443" s="21" t="str">
        <f>IF(AND($AM2443&lt;&gt;"",$AS2443="✓"),SUMPRODUCT(($AM$11:$AM2443&lt;&gt;"")*($AS$11:$AS2443="✓")),"")</f>
        <v/>
      </c>
      <c r="BA2443" s="21" t="str">
        <f>IF($AL2443="","",$AL2443&amp;"|"&amp;COUNTIF($AL$11:$AL2443,$AL2443))</f>
        <v/>
      </c>
    </row>
    <row r="2444" spans="38:53" ht="15" customHeight="1" x14ac:dyDescent="0.25">
      <c r="AL2444" s="31"/>
      <c r="AM2444" s="26"/>
      <c r="AN2444" s="32"/>
      <c r="AO2444" s="32"/>
      <c r="AP2444" s="24"/>
      <c r="AQ2444" s="24"/>
      <c r="AR2444" s="33"/>
      <c r="AS2444" s="34"/>
      <c r="AT2444" s="33"/>
      <c r="AV2444" s="21">
        <f>IF(AND($AL2444&lt;&gt;"",COUNTIF($AL$11:$AL2444,$AL2444)=1),1,0)</f>
        <v>0</v>
      </c>
      <c r="AW2444" s="21">
        <f t="shared" ref="AW2444:AW2507" si="163">AW2443+AV2444</f>
        <v>0</v>
      </c>
      <c r="AX2444" s="21" t="str">
        <f t="shared" si="162"/>
        <v/>
      </c>
      <c r="AY2444" s="21" t="str">
        <f>IF(AND($AM2444&lt;&gt;"",$AS2444&lt;&gt;"✓"),SUMPRODUCT(($AM$11:$AM2444&lt;&gt;"")*($AS$11:$AS2444&lt;&gt;"✓")),"")</f>
        <v/>
      </c>
      <c r="AZ2444" s="21" t="str">
        <f>IF(AND($AM2444&lt;&gt;"",$AS2444="✓"),SUMPRODUCT(($AM$11:$AM2444&lt;&gt;"")*($AS$11:$AS2444="✓")),"")</f>
        <v/>
      </c>
      <c r="BA2444" s="21" t="str">
        <f>IF($AL2444="","",$AL2444&amp;"|"&amp;COUNTIF($AL$11:$AL2444,$AL2444))</f>
        <v/>
      </c>
    </row>
    <row r="2445" spans="38:53" ht="15" customHeight="1" x14ac:dyDescent="0.25">
      <c r="AL2445" s="17"/>
      <c r="AM2445" s="12"/>
      <c r="AN2445" s="18"/>
      <c r="AO2445" s="18"/>
      <c r="AP2445" s="10"/>
      <c r="AQ2445" s="10"/>
      <c r="AR2445" s="19"/>
      <c r="AS2445" s="20"/>
      <c r="AT2445" s="19"/>
      <c r="AV2445" s="21">
        <f>IF(AND($AL2445&lt;&gt;"",COUNTIF($AL$11:$AL2445,$AL2445)=1),1,0)</f>
        <v>0</v>
      </c>
      <c r="AW2445" s="21">
        <f t="shared" si="163"/>
        <v>0</v>
      </c>
      <c r="AX2445" s="21" t="str">
        <f t="shared" si="162"/>
        <v/>
      </c>
      <c r="AY2445" s="21" t="str">
        <f>IF(AND($AM2445&lt;&gt;"",$AS2445&lt;&gt;"✓"),SUMPRODUCT(($AM$11:$AM2445&lt;&gt;"")*($AS$11:$AS2445&lt;&gt;"✓")),"")</f>
        <v/>
      </c>
      <c r="AZ2445" s="21" t="str">
        <f>IF(AND($AM2445&lt;&gt;"",$AS2445="✓"),SUMPRODUCT(($AM$11:$AM2445&lt;&gt;"")*($AS$11:$AS2445="✓")),"")</f>
        <v/>
      </c>
      <c r="BA2445" s="21" t="str">
        <f>IF($AL2445="","",$AL2445&amp;"|"&amp;COUNTIF($AL$11:$AL2445,$AL2445))</f>
        <v/>
      </c>
    </row>
    <row r="2446" spans="38:53" ht="15" customHeight="1" x14ac:dyDescent="0.25">
      <c r="AL2446" s="31"/>
      <c r="AM2446" s="26"/>
      <c r="AN2446" s="32"/>
      <c r="AO2446" s="32"/>
      <c r="AP2446" s="24"/>
      <c r="AQ2446" s="24"/>
      <c r="AR2446" s="33"/>
      <c r="AS2446" s="34"/>
      <c r="AT2446" s="33"/>
      <c r="AV2446" s="21">
        <f>IF(AND($AL2446&lt;&gt;"",COUNTIF($AL$11:$AL2446,$AL2446)=1),1,0)</f>
        <v>0</v>
      </c>
      <c r="AW2446" s="21">
        <f t="shared" si="163"/>
        <v>0</v>
      </c>
      <c r="AX2446" s="21" t="str">
        <f t="shared" si="162"/>
        <v/>
      </c>
      <c r="AY2446" s="21" t="str">
        <f>IF(AND($AM2446&lt;&gt;"",$AS2446&lt;&gt;"✓"),SUMPRODUCT(($AM$11:$AM2446&lt;&gt;"")*($AS$11:$AS2446&lt;&gt;"✓")),"")</f>
        <v/>
      </c>
      <c r="AZ2446" s="21" t="str">
        <f>IF(AND($AM2446&lt;&gt;"",$AS2446="✓"),SUMPRODUCT(($AM$11:$AM2446&lt;&gt;"")*($AS$11:$AS2446="✓")),"")</f>
        <v/>
      </c>
      <c r="BA2446" s="21" t="str">
        <f>IF($AL2446="","",$AL2446&amp;"|"&amp;COUNTIF($AL$11:$AL2446,$AL2446))</f>
        <v/>
      </c>
    </row>
    <row r="2447" spans="38:53" ht="15" customHeight="1" x14ac:dyDescent="0.25">
      <c r="AL2447" s="17"/>
      <c r="AM2447" s="12"/>
      <c r="AN2447" s="18"/>
      <c r="AO2447" s="18"/>
      <c r="AP2447" s="10"/>
      <c r="AQ2447" s="10"/>
      <c r="AR2447" s="19"/>
      <c r="AS2447" s="20"/>
      <c r="AT2447" s="19"/>
      <c r="AV2447" s="21">
        <f>IF(AND($AL2447&lt;&gt;"",COUNTIF($AL$11:$AL2447,$AL2447)=1),1,0)</f>
        <v>0</v>
      </c>
      <c r="AW2447" s="21">
        <f t="shared" si="163"/>
        <v>0</v>
      </c>
      <c r="AX2447" s="21" t="str">
        <f t="shared" si="162"/>
        <v/>
      </c>
      <c r="AY2447" s="21" t="str">
        <f>IF(AND($AM2447&lt;&gt;"",$AS2447&lt;&gt;"✓"),SUMPRODUCT(($AM$11:$AM2447&lt;&gt;"")*($AS$11:$AS2447&lt;&gt;"✓")),"")</f>
        <v/>
      </c>
      <c r="AZ2447" s="21" t="str">
        <f>IF(AND($AM2447&lt;&gt;"",$AS2447="✓"),SUMPRODUCT(($AM$11:$AM2447&lt;&gt;"")*($AS$11:$AS2447="✓")),"")</f>
        <v/>
      </c>
      <c r="BA2447" s="21" t="str">
        <f>IF($AL2447="","",$AL2447&amp;"|"&amp;COUNTIF($AL$11:$AL2447,$AL2447))</f>
        <v/>
      </c>
    </row>
    <row r="2448" spans="38:53" ht="15" customHeight="1" x14ac:dyDescent="0.25">
      <c r="AL2448" s="31"/>
      <c r="AM2448" s="26"/>
      <c r="AN2448" s="32"/>
      <c r="AO2448" s="32"/>
      <c r="AP2448" s="24"/>
      <c r="AQ2448" s="24"/>
      <c r="AR2448" s="33"/>
      <c r="AS2448" s="34"/>
      <c r="AT2448" s="33"/>
      <c r="AV2448" s="21">
        <f>IF(AND($AL2448&lt;&gt;"",COUNTIF($AL$11:$AL2448,$AL2448)=1),1,0)</f>
        <v>0</v>
      </c>
      <c r="AW2448" s="21">
        <f t="shared" si="163"/>
        <v>0</v>
      </c>
      <c r="AX2448" s="21" t="str">
        <f t="shared" si="162"/>
        <v/>
      </c>
      <c r="AY2448" s="21" t="str">
        <f>IF(AND($AM2448&lt;&gt;"",$AS2448&lt;&gt;"✓"),SUMPRODUCT(($AM$11:$AM2448&lt;&gt;"")*($AS$11:$AS2448&lt;&gt;"✓")),"")</f>
        <v/>
      </c>
      <c r="AZ2448" s="21" t="str">
        <f>IF(AND($AM2448&lt;&gt;"",$AS2448="✓"),SUMPRODUCT(($AM$11:$AM2448&lt;&gt;"")*($AS$11:$AS2448="✓")),"")</f>
        <v/>
      </c>
      <c r="BA2448" s="21" t="str">
        <f>IF($AL2448="","",$AL2448&amp;"|"&amp;COUNTIF($AL$11:$AL2448,$AL2448))</f>
        <v/>
      </c>
    </row>
    <row r="2449" spans="38:53" ht="15" customHeight="1" x14ac:dyDescent="0.25">
      <c r="AL2449" s="17"/>
      <c r="AM2449" s="12"/>
      <c r="AN2449" s="18"/>
      <c r="AO2449" s="18"/>
      <c r="AP2449" s="10"/>
      <c r="AQ2449" s="10"/>
      <c r="AR2449" s="19"/>
      <c r="AS2449" s="20"/>
      <c r="AT2449" s="19"/>
      <c r="AV2449" s="21">
        <f>IF(AND($AL2449&lt;&gt;"",COUNTIF($AL$11:$AL2449,$AL2449)=1),1,0)</f>
        <v>0</v>
      </c>
      <c r="AW2449" s="21">
        <f t="shared" si="163"/>
        <v>0</v>
      </c>
      <c r="AX2449" s="21" t="str">
        <f t="shared" si="162"/>
        <v/>
      </c>
      <c r="AY2449" s="21" t="str">
        <f>IF(AND($AM2449&lt;&gt;"",$AS2449&lt;&gt;"✓"),SUMPRODUCT(($AM$11:$AM2449&lt;&gt;"")*($AS$11:$AS2449&lt;&gt;"✓")),"")</f>
        <v/>
      </c>
      <c r="AZ2449" s="21" t="str">
        <f>IF(AND($AM2449&lt;&gt;"",$AS2449="✓"),SUMPRODUCT(($AM$11:$AM2449&lt;&gt;"")*($AS$11:$AS2449="✓")),"")</f>
        <v/>
      </c>
      <c r="BA2449" s="21" t="str">
        <f>IF($AL2449="","",$AL2449&amp;"|"&amp;COUNTIF($AL$11:$AL2449,$AL2449))</f>
        <v/>
      </c>
    </row>
    <row r="2450" spans="38:53" ht="15" customHeight="1" x14ac:dyDescent="0.25">
      <c r="AL2450" s="31"/>
      <c r="AM2450" s="26"/>
      <c r="AN2450" s="32"/>
      <c r="AO2450" s="32"/>
      <c r="AP2450" s="24"/>
      <c r="AQ2450" s="24"/>
      <c r="AR2450" s="33"/>
      <c r="AS2450" s="34"/>
      <c r="AT2450" s="33"/>
      <c r="AV2450" s="21">
        <f>IF(AND($AL2450&lt;&gt;"",COUNTIF($AL$11:$AL2450,$AL2450)=1),1,0)</f>
        <v>0</v>
      </c>
      <c r="AW2450" s="21">
        <f t="shared" si="163"/>
        <v>0</v>
      </c>
      <c r="AX2450" s="21" t="str">
        <f t="shared" si="162"/>
        <v/>
      </c>
      <c r="AY2450" s="21" t="str">
        <f>IF(AND($AM2450&lt;&gt;"",$AS2450&lt;&gt;"✓"),SUMPRODUCT(($AM$11:$AM2450&lt;&gt;"")*($AS$11:$AS2450&lt;&gt;"✓")),"")</f>
        <v/>
      </c>
      <c r="AZ2450" s="21" t="str">
        <f>IF(AND($AM2450&lt;&gt;"",$AS2450="✓"),SUMPRODUCT(($AM$11:$AM2450&lt;&gt;"")*($AS$11:$AS2450="✓")),"")</f>
        <v/>
      </c>
      <c r="BA2450" s="21" t="str">
        <f>IF($AL2450="","",$AL2450&amp;"|"&amp;COUNTIF($AL$11:$AL2450,$AL2450))</f>
        <v/>
      </c>
    </row>
    <row r="2451" spans="38:53" ht="15" customHeight="1" x14ac:dyDescent="0.25">
      <c r="AL2451" s="17"/>
      <c r="AM2451" s="12"/>
      <c r="AN2451" s="18"/>
      <c r="AO2451" s="18"/>
      <c r="AP2451" s="10"/>
      <c r="AQ2451" s="10"/>
      <c r="AR2451" s="19"/>
      <c r="AS2451" s="20"/>
      <c r="AT2451" s="19"/>
      <c r="AV2451" s="21">
        <f>IF(AND($AL2451&lt;&gt;"",COUNTIF($AL$11:$AL2451,$AL2451)=1),1,0)</f>
        <v>0</v>
      </c>
      <c r="AW2451" s="21">
        <f t="shared" si="163"/>
        <v>0</v>
      </c>
      <c r="AX2451" s="21" t="str">
        <f t="shared" si="162"/>
        <v/>
      </c>
      <c r="AY2451" s="21" t="str">
        <f>IF(AND($AM2451&lt;&gt;"",$AS2451&lt;&gt;"✓"),SUMPRODUCT(($AM$11:$AM2451&lt;&gt;"")*($AS$11:$AS2451&lt;&gt;"✓")),"")</f>
        <v/>
      </c>
      <c r="AZ2451" s="21" t="str">
        <f>IF(AND($AM2451&lt;&gt;"",$AS2451="✓"),SUMPRODUCT(($AM$11:$AM2451&lt;&gt;"")*($AS$11:$AS2451="✓")),"")</f>
        <v/>
      </c>
      <c r="BA2451" s="21" t="str">
        <f>IF($AL2451="","",$AL2451&amp;"|"&amp;COUNTIF($AL$11:$AL2451,$AL2451))</f>
        <v/>
      </c>
    </row>
    <row r="2452" spans="38:53" ht="15" customHeight="1" x14ac:dyDescent="0.25">
      <c r="AL2452" s="31"/>
      <c r="AM2452" s="26"/>
      <c r="AN2452" s="32"/>
      <c r="AO2452" s="32"/>
      <c r="AP2452" s="24"/>
      <c r="AQ2452" s="24"/>
      <c r="AR2452" s="33"/>
      <c r="AS2452" s="34"/>
      <c r="AT2452" s="33"/>
      <c r="AV2452" s="21">
        <f>IF(AND($AL2452&lt;&gt;"",COUNTIF($AL$11:$AL2452,$AL2452)=1),1,0)</f>
        <v>0</v>
      </c>
      <c r="AW2452" s="21">
        <f t="shared" si="163"/>
        <v>0</v>
      </c>
      <c r="AX2452" s="21" t="str">
        <f t="shared" si="162"/>
        <v/>
      </c>
      <c r="AY2452" s="21" t="str">
        <f>IF(AND($AM2452&lt;&gt;"",$AS2452&lt;&gt;"✓"),SUMPRODUCT(($AM$11:$AM2452&lt;&gt;"")*($AS$11:$AS2452&lt;&gt;"✓")),"")</f>
        <v/>
      </c>
      <c r="AZ2452" s="21" t="str">
        <f>IF(AND($AM2452&lt;&gt;"",$AS2452="✓"),SUMPRODUCT(($AM$11:$AM2452&lt;&gt;"")*($AS$11:$AS2452="✓")),"")</f>
        <v/>
      </c>
      <c r="BA2452" s="21" t="str">
        <f>IF($AL2452="","",$AL2452&amp;"|"&amp;COUNTIF($AL$11:$AL2452,$AL2452))</f>
        <v/>
      </c>
    </row>
    <row r="2453" spans="38:53" ht="15" customHeight="1" x14ac:dyDescent="0.25">
      <c r="AL2453" s="17"/>
      <c r="AM2453" s="12"/>
      <c r="AN2453" s="18"/>
      <c r="AO2453" s="18"/>
      <c r="AP2453" s="10"/>
      <c r="AQ2453" s="10"/>
      <c r="AR2453" s="19"/>
      <c r="AS2453" s="20"/>
      <c r="AT2453" s="19"/>
      <c r="AV2453" s="21">
        <f>IF(AND($AL2453&lt;&gt;"",COUNTIF($AL$11:$AL2453,$AL2453)=1),1,0)</f>
        <v>0</v>
      </c>
      <c r="AW2453" s="21">
        <f t="shared" si="163"/>
        <v>0</v>
      </c>
      <c r="AX2453" s="21" t="str">
        <f t="shared" si="162"/>
        <v/>
      </c>
      <c r="AY2453" s="21" t="str">
        <f>IF(AND($AM2453&lt;&gt;"",$AS2453&lt;&gt;"✓"),SUMPRODUCT(($AM$11:$AM2453&lt;&gt;"")*($AS$11:$AS2453&lt;&gt;"✓")),"")</f>
        <v/>
      </c>
      <c r="AZ2453" s="21" t="str">
        <f>IF(AND($AM2453&lt;&gt;"",$AS2453="✓"),SUMPRODUCT(($AM$11:$AM2453&lt;&gt;"")*($AS$11:$AS2453="✓")),"")</f>
        <v/>
      </c>
      <c r="BA2453" s="21" t="str">
        <f>IF($AL2453="","",$AL2453&amp;"|"&amp;COUNTIF($AL$11:$AL2453,$AL2453))</f>
        <v/>
      </c>
    </row>
    <row r="2454" spans="38:53" ht="15" customHeight="1" x14ac:dyDescent="0.25">
      <c r="AL2454" s="31"/>
      <c r="AM2454" s="26"/>
      <c r="AN2454" s="32"/>
      <c r="AO2454" s="32"/>
      <c r="AP2454" s="24"/>
      <c r="AQ2454" s="24"/>
      <c r="AR2454" s="33"/>
      <c r="AS2454" s="34"/>
      <c r="AT2454" s="33"/>
      <c r="AV2454" s="21">
        <f>IF(AND($AL2454&lt;&gt;"",COUNTIF($AL$11:$AL2454,$AL2454)=1),1,0)</f>
        <v>0</v>
      </c>
      <c r="AW2454" s="21">
        <f t="shared" si="163"/>
        <v>0</v>
      </c>
      <c r="AX2454" s="21" t="str">
        <f t="shared" si="162"/>
        <v/>
      </c>
      <c r="AY2454" s="21" t="str">
        <f>IF(AND($AM2454&lt;&gt;"",$AS2454&lt;&gt;"✓"),SUMPRODUCT(($AM$11:$AM2454&lt;&gt;"")*($AS$11:$AS2454&lt;&gt;"✓")),"")</f>
        <v/>
      </c>
      <c r="AZ2454" s="21" t="str">
        <f>IF(AND($AM2454&lt;&gt;"",$AS2454="✓"),SUMPRODUCT(($AM$11:$AM2454&lt;&gt;"")*($AS$11:$AS2454="✓")),"")</f>
        <v/>
      </c>
      <c r="BA2454" s="21" t="str">
        <f>IF($AL2454="","",$AL2454&amp;"|"&amp;COUNTIF($AL$11:$AL2454,$AL2454))</f>
        <v/>
      </c>
    </row>
    <row r="2455" spans="38:53" ht="15" customHeight="1" x14ac:dyDescent="0.25">
      <c r="AL2455" s="17"/>
      <c r="AM2455" s="12"/>
      <c r="AN2455" s="18"/>
      <c r="AO2455" s="18"/>
      <c r="AP2455" s="10"/>
      <c r="AQ2455" s="10"/>
      <c r="AR2455" s="19"/>
      <c r="AS2455" s="20"/>
      <c r="AT2455" s="19"/>
      <c r="AV2455" s="21">
        <f>IF(AND($AL2455&lt;&gt;"",COUNTIF($AL$11:$AL2455,$AL2455)=1),1,0)</f>
        <v>0</v>
      </c>
      <c r="AW2455" s="21">
        <f t="shared" si="163"/>
        <v>0</v>
      </c>
      <c r="AX2455" s="21" t="str">
        <f t="shared" si="162"/>
        <v/>
      </c>
      <c r="AY2455" s="21" t="str">
        <f>IF(AND($AM2455&lt;&gt;"",$AS2455&lt;&gt;"✓"),SUMPRODUCT(($AM$11:$AM2455&lt;&gt;"")*($AS$11:$AS2455&lt;&gt;"✓")),"")</f>
        <v/>
      </c>
      <c r="AZ2455" s="21" t="str">
        <f>IF(AND($AM2455&lt;&gt;"",$AS2455="✓"),SUMPRODUCT(($AM$11:$AM2455&lt;&gt;"")*($AS$11:$AS2455="✓")),"")</f>
        <v/>
      </c>
      <c r="BA2455" s="21" t="str">
        <f>IF($AL2455="","",$AL2455&amp;"|"&amp;COUNTIF($AL$11:$AL2455,$AL2455))</f>
        <v/>
      </c>
    </row>
    <row r="2456" spans="38:53" ht="15" customHeight="1" x14ac:dyDescent="0.25">
      <c r="AL2456" s="31"/>
      <c r="AM2456" s="26"/>
      <c r="AN2456" s="32"/>
      <c r="AO2456" s="32"/>
      <c r="AP2456" s="24"/>
      <c r="AQ2456" s="24"/>
      <c r="AR2456" s="33"/>
      <c r="AS2456" s="34"/>
      <c r="AT2456" s="33"/>
      <c r="AV2456" s="21">
        <f>IF(AND($AL2456&lt;&gt;"",COUNTIF($AL$11:$AL2456,$AL2456)=1),1,0)</f>
        <v>0</v>
      </c>
      <c r="AW2456" s="21">
        <f t="shared" si="163"/>
        <v>0</v>
      </c>
      <c r="AX2456" s="21" t="str">
        <f t="shared" si="162"/>
        <v/>
      </c>
      <c r="AY2456" s="21" t="str">
        <f>IF(AND($AM2456&lt;&gt;"",$AS2456&lt;&gt;"✓"),SUMPRODUCT(($AM$11:$AM2456&lt;&gt;"")*($AS$11:$AS2456&lt;&gt;"✓")),"")</f>
        <v/>
      </c>
      <c r="AZ2456" s="21" t="str">
        <f>IF(AND($AM2456&lt;&gt;"",$AS2456="✓"),SUMPRODUCT(($AM$11:$AM2456&lt;&gt;"")*($AS$11:$AS2456="✓")),"")</f>
        <v/>
      </c>
      <c r="BA2456" s="21" t="str">
        <f>IF($AL2456="","",$AL2456&amp;"|"&amp;COUNTIF($AL$11:$AL2456,$AL2456))</f>
        <v/>
      </c>
    </row>
    <row r="2457" spans="38:53" ht="15" customHeight="1" x14ac:dyDescent="0.25">
      <c r="AL2457" s="17"/>
      <c r="AM2457" s="12"/>
      <c r="AN2457" s="18"/>
      <c r="AO2457" s="18"/>
      <c r="AP2457" s="10"/>
      <c r="AQ2457" s="10"/>
      <c r="AR2457" s="19"/>
      <c r="AS2457" s="20"/>
      <c r="AT2457" s="19"/>
      <c r="AV2457" s="21">
        <f>IF(AND($AL2457&lt;&gt;"",COUNTIF($AL$11:$AL2457,$AL2457)=1),1,0)</f>
        <v>0</v>
      </c>
      <c r="AW2457" s="21">
        <f t="shared" si="163"/>
        <v>0</v>
      </c>
      <c r="AX2457" s="21" t="str">
        <f t="shared" si="162"/>
        <v/>
      </c>
      <c r="AY2457" s="21" t="str">
        <f>IF(AND($AM2457&lt;&gt;"",$AS2457&lt;&gt;"✓"),SUMPRODUCT(($AM$11:$AM2457&lt;&gt;"")*($AS$11:$AS2457&lt;&gt;"✓")),"")</f>
        <v/>
      </c>
      <c r="AZ2457" s="21" t="str">
        <f>IF(AND($AM2457&lt;&gt;"",$AS2457="✓"),SUMPRODUCT(($AM$11:$AM2457&lt;&gt;"")*($AS$11:$AS2457="✓")),"")</f>
        <v/>
      </c>
      <c r="BA2457" s="21" t="str">
        <f>IF($AL2457="","",$AL2457&amp;"|"&amp;COUNTIF($AL$11:$AL2457,$AL2457))</f>
        <v/>
      </c>
    </row>
    <row r="2458" spans="38:53" ht="15" customHeight="1" x14ac:dyDescent="0.25">
      <c r="AL2458" s="31"/>
      <c r="AM2458" s="26"/>
      <c r="AN2458" s="32"/>
      <c r="AO2458" s="32"/>
      <c r="AP2458" s="24"/>
      <c r="AQ2458" s="24"/>
      <c r="AR2458" s="33"/>
      <c r="AS2458" s="34"/>
      <c r="AT2458" s="33"/>
      <c r="AV2458" s="21">
        <f>IF(AND($AL2458&lt;&gt;"",COUNTIF($AL$11:$AL2458,$AL2458)=1),1,0)</f>
        <v>0</v>
      </c>
      <c r="AW2458" s="21">
        <f t="shared" si="163"/>
        <v>0</v>
      </c>
      <c r="AX2458" s="21" t="str">
        <f t="shared" si="162"/>
        <v/>
      </c>
      <c r="AY2458" s="21" t="str">
        <f>IF(AND($AM2458&lt;&gt;"",$AS2458&lt;&gt;"✓"),SUMPRODUCT(($AM$11:$AM2458&lt;&gt;"")*($AS$11:$AS2458&lt;&gt;"✓")),"")</f>
        <v/>
      </c>
      <c r="AZ2458" s="21" t="str">
        <f>IF(AND($AM2458&lt;&gt;"",$AS2458="✓"),SUMPRODUCT(($AM$11:$AM2458&lt;&gt;"")*($AS$11:$AS2458="✓")),"")</f>
        <v/>
      </c>
      <c r="BA2458" s="21" t="str">
        <f>IF($AL2458="","",$AL2458&amp;"|"&amp;COUNTIF($AL$11:$AL2458,$AL2458))</f>
        <v/>
      </c>
    </row>
    <row r="2459" spans="38:53" ht="15" customHeight="1" x14ac:dyDescent="0.25">
      <c r="AL2459" s="17"/>
      <c r="AM2459" s="12"/>
      <c r="AN2459" s="18"/>
      <c r="AO2459" s="18"/>
      <c r="AP2459" s="10"/>
      <c r="AQ2459" s="10"/>
      <c r="AR2459" s="19"/>
      <c r="AS2459" s="20"/>
      <c r="AT2459" s="19"/>
      <c r="AV2459" s="21">
        <f>IF(AND($AL2459&lt;&gt;"",COUNTIF($AL$11:$AL2459,$AL2459)=1),1,0)</f>
        <v>0</v>
      </c>
      <c r="AW2459" s="21">
        <f t="shared" si="163"/>
        <v>0</v>
      </c>
      <c r="AX2459" s="21" t="str">
        <f t="shared" si="162"/>
        <v/>
      </c>
      <c r="AY2459" s="21" t="str">
        <f>IF(AND($AM2459&lt;&gt;"",$AS2459&lt;&gt;"✓"),SUMPRODUCT(($AM$11:$AM2459&lt;&gt;"")*($AS$11:$AS2459&lt;&gt;"✓")),"")</f>
        <v/>
      </c>
      <c r="AZ2459" s="21" t="str">
        <f>IF(AND($AM2459&lt;&gt;"",$AS2459="✓"),SUMPRODUCT(($AM$11:$AM2459&lt;&gt;"")*($AS$11:$AS2459="✓")),"")</f>
        <v/>
      </c>
      <c r="BA2459" s="21" t="str">
        <f>IF($AL2459="","",$AL2459&amp;"|"&amp;COUNTIF($AL$11:$AL2459,$AL2459))</f>
        <v/>
      </c>
    </row>
    <row r="2460" spans="38:53" ht="15" customHeight="1" x14ac:dyDescent="0.25">
      <c r="AL2460" s="31"/>
      <c r="AM2460" s="26"/>
      <c r="AN2460" s="32"/>
      <c r="AO2460" s="32"/>
      <c r="AP2460" s="24"/>
      <c r="AQ2460" s="24"/>
      <c r="AR2460" s="33"/>
      <c r="AS2460" s="34"/>
      <c r="AT2460" s="33"/>
      <c r="AV2460" s="21">
        <f>IF(AND($AL2460&lt;&gt;"",COUNTIF($AL$11:$AL2460,$AL2460)=1),1,0)</f>
        <v>0</v>
      </c>
      <c r="AW2460" s="21">
        <f t="shared" si="163"/>
        <v>0</v>
      </c>
      <c r="AX2460" s="21" t="str">
        <f t="shared" si="162"/>
        <v/>
      </c>
      <c r="AY2460" s="21" t="str">
        <f>IF(AND($AM2460&lt;&gt;"",$AS2460&lt;&gt;"✓"),SUMPRODUCT(($AM$11:$AM2460&lt;&gt;"")*($AS$11:$AS2460&lt;&gt;"✓")),"")</f>
        <v/>
      </c>
      <c r="AZ2460" s="21" t="str">
        <f>IF(AND($AM2460&lt;&gt;"",$AS2460="✓"),SUMPRODUCT(($AM$11:$AM2460&lt;&gt;"")*($AS$11:$AS2460="✓")),"")</f>
        <v/>
      </c>
      <c r="BA2460" s="21" t="str">
        <f>IF($AL2460="","",$AL2460&amp;"|"&amp;COUNTIF($AL$11:$AL2460,$AL2460))</f>
        <v/>
      </c>
    </row>
    <row r="2461" spans="38:53" ht="15" customHeight="1" x14ac:dyDescent="0.25">
      <c r="AL2461" s="17"/>
      <c r="AM2461" s="12"/>
      <c r="AN2461" s="18"/>
      <c r="AO2461" s="18"/>
      <c r="AP2461" s="10"/>
      <c r="AQ2461" s="10"/>
      <c r="AR2461" s="19"/>
      <c r="AS2461" s="20"/>
      <c r="AT2461" s="19"/>
      <c r="AV2461" s="21">
        <f>IF(AND($AL2461&lt;&gt;"",COUNTIF($AL$11:$AL2461,$AL2461)=1),1,0)</f>
        <v>0</v>
      </c>
      <c r="AW2461" s="21">
        <f t="shared" si="163"/>
        <v>0</v>
      </c>
      <c r="AX2461" s="21" t="str">
        <f t="shared" si="162"/>
        <v/>
      </c>
      <c r="AY2461" s="21" t="str">
        <f>IF(AND($AM2461&lt;&gt;"",$AS2461&lt;&gt;"✓"),SUMPRODUCT(($AM$11:$AM2461&lt;&gt;"")*($AS$11:$AS2461&lt;&gt;"✓")),"")</f>
        <v/>
      </c>
      <c r="AZ2461" s="21" t="str">
        <f>IF(AND($AM2461&lt;&gt;"",$AS2461="✓"),SUMPRODUCT(($AM$11:$AM2461&lt;&gt;"")*($AS$11:$AS2461="✓")),"")</f>
        <v/>
      </c>
      <c r="BA2461" s="21" t="str">
        <f>IF($AL2461="","",$AL2461&amp;"|"&amp;COUNTIF($AL$11:$AL2461,$AL2461))</f>
        <v/>
      </c>
    </row>
    <row r="2462" spans="38:53" ht="15" customHeight="1" x14ac:dyDescent="0.25">
      <c r="AL2462" s="31"/>
      <c r="AM2462" s="26"/>
      <c r="AN2462" s="32"/>
      <c r="AO2462" s="32"/>
      <c r="AP2462" s="24"/>
      <c r="AQ2462" s="24"/>
      <c r="AR2462" s="33"/>
      <c r="AS2462" s="34"/>
      <c r="AT2462" s="33"/>
      <c r="AV2462" s="21">
        <f>IF(AND($AL2462&lt;&gt;"",COUNTIF($AL$11:$AL2462,$AL2462)=1),1,0)</f>
        <v>0</v>
      </c>
      <c r="AW2462" s="21">
        <f t="shared" si="163"/>
        <v>0</v>
      </c>
      <c r="AX2462" s="21" t="str">
        <f t="shared" si="162"/>
        <v/>
      </c>
      <c r="AY2462" s="21" t="str">
        <f>IF(AND($AM2462&lt;&gt;"",$AS2462&lt;&gt;"✓"),SUMPRODUCT(($AM$11:$AM2462&lt;&gt;"")*($AS$11:$AS2462&lt;&gt;"✓")),"")</f>
        <v/>
      </c>
      <c r="AZ2462" s="21" t="str">
        <f>IF(AND($AM2462&lt;&gt;"",$AS2462="✓"),SUMPRODUCT(($AM$11:$AM2462&lt;&gt;"")*($AS$11:$AS2462="✓")),"")</f>
        <v/>
      </c>
      <c r="BA2462" s="21" t="str">
        <f>IF($AL2462="","",$AL2462&amp;"|"&amp;COUNTIF($AL$11:$AL2462,$AL2462))</f>
        <v/>
      </c>
    </row>
    <row r="2463" spans="38:53" ht="15" customHeight="1" x14ac:dyDescent="0.25">
      <c r="AL2463" s="17"/>
      <c r="AM2463" s="12"/>
      <c r="AN2463" s="18"/>
      <c r="AO2463" s="18"/>
      <c r="AP2463" s="10"/>
      <c r="AQ2463" s="10"/>
      <c r="AR2463" s="19"/>
      <c r="AS2463" s="20"/>
      <c r="AT2463" s="19"/>
      <c r="AV2463" s="21">
        <f>IF(AND($AL2463&lt;&gt;"",COUNTIF($AL$11:$AL2463,$AL2463)=1),1,0)</f>
        <v>0</v>
      </c>
      <c r="AW2463" s="21">
        <f t="shared" si="163"/>
        <v>0</v>
      </c>
      <c r="AX2463" s="21" t="str">
        <f t="shared" si="162"/>
        <v/>
      </c>
      <c r="AY2463" s="21" t="str">
        <f>IF(AND($AM2463&lt;&gt;"",$AS2463&lt;&gt;"✓"),SUMPRODUCT(($AM$11:$AM2463&lt;&gt;"")*($AS$11:$AS2463&lt;&gt;"✓")),"")</f>
        <v/>
      </c>
      <c r="AZ2463" s="21" t="str">
        <f>IF(AND($AM2463&lt;&gt;"",$AS2463="✓"),SUMPRODUCT(($AM$11:$AM2463&lt;&gt;"")*($AS$11:$AS2463="✓")),"")</f>
        <v/>
      </c>
      <c r="BA2463" s="21" t="str">
        <f>IF($AL2463="","",$AL2463&amp;"|"&amp;COUNTIF($AL$11:$AL2463,$AL2463))</f>
        <v/>
      </c>
    </row>
    <row r="2464" spans="38:53" ht="15" customHeight="1" x14ac:dyDescent="0.25">
      <c r="AL2464" s="31"/>
      <c r="AM2464" s="26"/>
      <c r="AN2464" s="32"/>
      <c r="AO2464" s="32"/>
      <c r="AP2464" s="24"/>
      <c r="AQ2464" s="24"/>
      <c r="AR2464" s="33"/>
      <c r="AS2464" s="34"/>
      <c r="AT2464" s="33"/>
      <c r="AV2464" s="21">
        <f>IF(AND($AL2464&lt;&gt;"",COUNTIF($AL$11:$AL2464,$AL2464)=1),1,0)</f>
        <v>0</v>
      </c>
      <c r="AW2464" s="21">
        <f t="shared" si="163"/>
        <v>0</v>
      </c>
      <c r="AX2464" s="21" t="str">
        <f t="shared" si="162"/>
        <v/>
      </c>
      <c r="AY2464" s="21" t="str">
        <f>IF(AND($AM2464&lt;&gt;"",$AS2464&lt;&gt;"✓"),SUMPRODUCT(($AM$11:$AM2464&lt;&gt;"")*($AS$11:$AS2464&lt;&gt;"✓")),"")</f>
        <v/>
      </c>
      <c r="AZ2464" s="21" t="str">
        <f>IF(AND($AM2464&lt;&gt;"",$AS2464="✓"),SUMPRODUCT(($AM$11:$AM2464&lt;&gt;"")*($AS$11:$AS2464="✓")),"")</f>
        <v/>
      </c>
      <c r="BA2464" s="21" t="str">
        <f>IF($AL2464="","",$AL2464&amp;"|"&amp;COUNTIF($AL$11:$AL2464,$AL2464))</f>
        <v/>
      </c>
    </row>
    <row r="2465" spans="38:53" ht="15" customHeight="1" x14ac:dyDescent="0.25">
      <c r="AL2465" s="17"/>
      <c r="AM2465" s="12"/>
      <c r="AN2465" s="18"/>
      <c r="AO2465" s="18"/>
      <c r="AP2465" s="10"/>
      <c r="AQ2465" s="10"/>
      <c r="AR2465" s="19"/>
      <c r="AS2465" s="20"/>
      <c r="AT2465" s="19"/>
      <c r="AV2465" s="21">
        <f>IF(AND($AL2465&lt;&gt;"",COUNTIF($AL$11:$AL2465,$AL2465)=1),1,0)</f>
        <v>0</v>
      </c>
      <c r="AW2465" s="21">
        <f t="shared" si="163"/>
        <v>0</v>
      </c>
      <c r="AX2465" s="21" t="str">
        <f t="shared" si="162"/>
        <v/>
      </c>
      <c r="AY2465" s="21" t="str">
        <f>IF(AND($AM2465&lt;&gt;"",$AS2465&lt;&gt;"✓"),SUMPRODUCT(($AM$11:$AM2465&lt;&gt;"")*($AS$11:$AS2465&lt;&gt;"✓")),"")</f>
        <v/>
      </c>
      <c r="AZ2465" s="21" t="str">
        <f>IF(AND($AM2465&lt;&gt;"",$AS2465="✓"),SUMPRODUCT(($AM$11:$AM2465&lt;&gt;"")*($AS$11:$AS2465="✓")),"")</f>
        <v/>
      </c>
      <c r="BA2465" s="21" t="str">
        <f>IF($AL2465="","",$AL2465&amp;"|"&amp;COUNTIF($AL$11:$AL2465,$AL2465))</f>
        <v/>
      </c>
    </row>
    <row r="2466" spans="38:53" ht="15" customHeight="1" x14ac:dyDescent="0.25">
      <c r="AL2466" s="31"/>
      <c r="AM2466" s="26"/>
      <c r="AN2466" s="32"/>
      <c r="AO2466" s="32"/>
      <c r="AP2466" s="24"/>
      <c r="AQ2466" s="24"/>
      <c r="AR2466" s="33"/>
      <c r="AS2466" s="34"/>
      <c r="AT2466" s="33"/>
      <c r="AV2466" s="21">
        <f>IF(AND($AL2466&lt;&gt;"",COUNTIF($AL$11:$AL2466,$AL2466)=1),1,0)</f>
        <v>0</v>
      </c>
      <c r="AW2466" s="21">
        <f t="shared" si="163"/>
        <v>0</v>
      </c>
      <c r="AX2466" s="21" t="str">
        <f t="shared" si="162"/>
        <v/>
      </c>
      <c r="AY2466" s="21" t="str">
        <f>IF(AND($AM2466&lt;&gt;"",$AS2466&lt;&gt;"✓"),SUMPRODUCT(($AM$11:$AM2466&lt;&gt;"")*($AS$11:$AS2466&lt;&gt;"✓")),"")</f>
        <v/>
      </c>
      <c r="AZ2466" s="21" t="str">
        <f>IF(AND($AM2466&lt;&gt;"",$AS2466="✓"),SUMPRODUCT(($AM$11:$AM2466&lt;&gt;"")*($AS$11:$AS2466="✓")),"")</f>
        <v/>
      </c>
      <c r="BA2466" s="21" t="str">
        <f>IF($AL2466="","",$AL2466&amp;"|"&amp;COUNTIF($AL$11:$AL2466,$AL2466))</f>
        <v/>
      </c>
    </row>
    <row r="2467" spans="38:53" ht="15" customHeight="1" x14ac:dyDescent="0.25">
      <c r="AL2467" s="17"/>
      <c r="AM2467" s="12"/>
      <c r="AN2467" s="18"/>
      <c r="AO2467" s="18"/>
      <c r="AP2467" s="10"/>
      <c r="AQ2467" s="10"/>
      <c r="AR2467" s="19"/>
      <c r="AS2467" s="20"/>
      <c r="AT2467" s="19"/>
      <c r="AV2467" s="21">
        <f>IF(AND($AL2467&lt;&gt;"",COUNTIF($AL$11:$AL2467,$AL2467)=1),1,0)</f>
        <v>0</v>
      </c>
      <c r="AW2467" s="21">
        <f t="shared" si="163"/>
        <v>0</v>
      </c>
      <c r="AX2467" s="21" t="str">
        <f t="shared" si="162"/>
        <v/>
      </c>
      <c r="AY2467" s="21" t="str">
        <f>IF(AND($AM2467&lt;&gt;"",$AS2467&lt;&gt;"✓"),SUMPRODUCT(($AM$11:$AM2467&lt;&gt;"")*($AS$11:$AS2467&lt;&gt;"✓")),"")</f>
        <v/>
      </c>
      <c r="AZ2467" s="21" t="str">
        <f>IF(AND($AM2467&lt;&gt;"",$AS2467="✓"),SUMPRODUCT(($AM$11:$AM2467&lt;&gt;"")*($AS$11:$AS2467="✓")),"")</f>
        <v/>
      </c>
      <c r="BA2467" s="21" t="str">
        <f>IF($AL2467="","",$AL2467&amp;"|"&amp;COUNTIF($AL$11:$AL2467,$AL2467))</f>
        <v/>
      </c>
    </row>
    <row r="2468" spans="38:53" ht="15" customHeight="1" x14ac:dyDescent="0.25">
      <c r="AL2468" s="31"/>
      <c r="AM2468" s="26"/>
      <c r="AN2468" s="32"/>
      <c r="AO2468" s="32"/>
      <c r="AP2468" s="24"/>
      <c r="AQ2468" s="24"/>
      <c r="AR2468" s="33"/>
      <c r="AS2468" s="34"/>
      <c r="AT2468" s="33"/>
      <c r="AV2468" s="21">
        <f>IF(AND($AL2468&lt;&gt;"",COUNTIF($AL$11:$AL2468,$AL2468)=1),1,0)</f>
        <v>0</v>
      </c>
      <c r="AW2468" s="21">
        <f t="shared" si="163"/>
        <v>0</v>
      </c>
      <c r="AX2468" s="21" t="str">
        <f t="shared" si="162"/>
        <v/>
      </c>
      <c r="AY2468" s="21" t="str">
        <f>IF(AND($AM2468&lt;&gt;"",$AS2468&lt;&gt;"✓"),SUMPRODUCT(($AM$11:$AM2468&lt;&gt;"")*($AS$11:$AS2468&lt;&gt;"✓")),"")</f>
        <v/>
      </c>
      <c r="AZ2468" s="21" t="str">
        <f>IF(AND($AM2468&lt;&gt;"",$AS2468="✓"),SUMPRODUCT(($AM$11:$AM2468&lt;&gt;"")*($AS$11:$AS2468="✓")),"")</f>
        <v/>
      </c>
      <c r="BA2468" s="21" t="str">
        <f>IF($AL2468="","",$AL2468&amp;"|"&amp;COUNTIF($AL$11:$AL2468,$AL2468))</f>
        <v/>
      </c>
    </row>
    <row r="2469" spans="38:53" ht="15" customHeight="1" x14ac:dyDescent="0.25">
      <c r="AL2469" s="17"/>
      <c r="AM2469" s="12"/>
      <c r="AN2469" s="18"/>
      <c r="AO2469" s="18"/>
      <c r="AP2469" s="10"/>
      <c r="AQ2469" s="10"/>
      <c r="AR2469" s="19"/>
      <c r="AS2469" s="20"/>
      <c r="AT2469" s="19"/>
      <c r="AV2469" s="21">
        <f>IF(AND($AL2469&lt;&gt;"",COUNTIF($AL$11:$AL2469,$AL2469)=1),1,0)</f>
        <v>0</v>
      </c>
      <c r="AW2469" s="21">
        <f t="shared" si="163"/>
        <v>0</v>
      </c>
      <c r="AX2469" s="21" t="str">
        <f t="shared" si="162"/>
        <v/>
      </c>
      <c r="AY2469" s="21" t="str">
        <f>IF(AND($AM2469&lt;&gt;"",$AS2469&lt;&gt;"✓"),SUMPRODUCT(($AM$11:$AM2469&lt;&gt;"")*($AS$11:$AS2469&lt;&gt;"✓")),"")</f>
        <v/>
      </c>
      <c r="AZ2469" s="21" t="str">
        <f>IF(AND($AM2469&lt;&gt;"",$AS2469="✓"),SUMPRODUCT(($AM$11:$AM2469&lt;&gt;"")*($AS$11:$AS2469="✓")),"")</f>
        <v/>
      </c>
      <c r="BA2469" s="21" t="str">
        <f>IF($AL2469="","",$AL2469&amp;"|"&amp;COUNTIF($AL$11:$AL2469,$AL2469))</f>
        <v/>
      </c>
    </row>
    <row r="2470" spans="38:53" ht="15" customHeight="1" x14ac:dyDescent="0.25">
      <c r="AL2470" s="31"/>
      <c r="AM2470" s="26"/>
      <c r="AN2470" s="32"/>
      <c r="AO2470" s="32"/>
      <c r="AP2470" s="24"/>
      <c r="AQ2470" s="24"/>
      <c r="AR2470" s="33"/>
      <c r="AS2470" s="34"/>
      <c r="AT2470" s="33"/>
      <c r="AV2470" s="21">
        <f>IF(AND($AL2470&lt;&gt;"",COUNTIF($AL$11:$AL2470,$AL2470)=1),1,0)</f>
        <v>0</v>
      </c>
      <c r="AW2470" s="21">
        <f t="shared" si="163"/>
        <v>0</v>
      </c>
      <c r="AX2470" s="21" t="str">
        <f t="shared" si="162"/>
        <v/>
      </c>
      <c r="AY2470" s="21" t="str">
        <f>IF(AND($AM2470&lt;&gt;"",$AS2470&lt;&gt;"✓"),SUMPRODUCT(($AM$11:$AM2470&lt;&gt;"")*($AS$11:$AS2470&lt;&gt;"✓")),"")</f>
        <v/>
      </c>
      <c r="AZ2470" s="21" t="str">
        <f>IF(AND($AM2470&lt;&gt;"",$AS2470="✓"),SUMPRODUCT(($AM$11:$AM2470&lt;&gt;"")*($AS$11:$AS2470="✓")),"")</f>
        <v/>
      </c>
      <c r="BA2470" s="21" t="str">
        <f>IF($AL2470="","",$AL2470&amp;"|"&amp;COUNTIF($AL$11:$AL2470,$AL2470))</f>
        <v/>
      </c>
    </row>
    <row r="2471" spans="38:53" ht="15" customHeight="1" x14ac:dyDescent="0.25">
      <c r="AL2471" s="17"/>
      <c r="AM2471" s="12"/>
      <c r="AN2471" s="18"/>
      <c r="AO2471" s="18"/>
      <c r="AP2471" s="10"/>
      <c r="AQ2471" s="10"/>
      <c r="AR2471" s="19"/>
      <c r="AS2471" s="20"/>
      <c r="AT2471" s="19"/>
      <c r="AV2471" s="21">
        <f>IF(AND($AL2471&lt;&gt;"",COUNTIF($AL$11:$AL2471,$AL2471)=1),1,0)</f>
        <v>0</v>
      </c>
      <c r="AW2471" s="21">
        <f t="shared" si="163"/>
        <v>0</v>
      </c>
      <c r="AX2471" s="21" t="str">
        <f t="shared" si="162"/>
        <v/>
      </c>
      <c r="AY2471" s="21" t="str">
        <f>IF(AND($AM2471&lt;&gt;"",$AS2471&lt;&gt;"✓"),SUMPRODUCT(($AM$11:$AM2471&lt;&gt;"")*($AS$11:$AS2471&lt;&gt;"✓")),"")</f>
        <v/>
      </c>
      <c r="AZ2471" s="21" t="str">
        <f>IF(AND($AM2471&lt;&gt;"",$AS2471="✓"),SUMPRODUCT(($AM$11:$AM2471&lt;&gt;"")*($AS$11:$AS2471="✓")),"")</f>
        <v/>
      </c>
      <c r="BA2471" s="21" t="str">
        <f>IF($AL2471="","",$AL2471&amp;"|"&amp;COUNTIF($AL$11:$AL2471,$AL2471))</f>
        <v/>
      </c>
    </row>
    <row r="2472" spans="38:53" ht="15" customHeight="1" x14ac:dyDescent="0.25">
      <c r="AL2472" s="31"/>
      <c r="AM2472" s="26"/>
      <c r="AN2472" s="32"/>
      <c r="AO2472" s="32"/>
      <c r="AP2472" s="24"/>
      <c r="AQ2472" s="24"/>
      <c r="AR2472" s="33"/>
      <c r="AS2472" s="34"/>
      <c r="AT2472" s="33"/>
      <c r="AV2472" s="21">
        <f>IF(AND($AL2472&lt;&gt;"",COUNTIF($AL$11:$AL2472,$AL2472)=1),1,0)</f>
        <v>0</v>
      </c>
      <c r="AW2472" s="21">
        <f t="shared" si="163"/>
        <v>0</v>
      </c>
      <c r="AX2472" s="21" t="str">
        <f t="shared" si="162"/>
        <v/>
      </c>
      <c r="AY2472" s="21" t="str">
        <f>IF(AND($AM2472&lt;&gt;"",$AS2472&lt;&gt;"✓"),SUMPRODUCT(($AM$11:$AM2472&lt;&gt;"")*($AS$11:$AS2472&lt;&gt;"✓")),"")</f>
        <v/>
      </c>
      <c r="AZ2472" s="21" t="str">
        <f>IF(AND($AM2472&lt;&gt;"",$AS2472="✓"),SUMPRODUCT(($AM$11:$AM2472&lt;&gt;"")*($AS$11:$AS2472="✓")),"")</f>
        <v/>
      </c>
      <c r="BA2472" s="21" t="str">
        <f>IF($AL2472="","",$AL2472&amp;"|"&amp;COUNTIF($AL$11:$AL2472,$AL2472))</f>
        <v/>
      </c>
    </row>
    <row r="2473" spans="38:53" ht="15" customHeight="1" x14ac:dyDescent="0.25">
      <c r="AL2473" s="17"/>
      <c r="AM2473" s="12"/>
      <c r="AN2473" s="18"/>
      <c r="AO2473" s="18"/>
      <c r="AP2473" s="10"/>
      <c r="AQ2473" s="10"/>
      <c r="AR2473" s="19"/>
      <c r="AS2473" s="20"/>
      <c r="AT2473" s="19"/>
      <c r="AV2473" s="21">
        <f>IF(AND($AL2473&lt;&gt;"",COUNTIF($AL$11:$AL2473,$AL2473)=1),1,0)</f>
        <v>0</v>
      </c>
      <c r="AW2473" s="21">
        <f t="shared" si="163"/>
        <v>0</v>
      </c>
      <c r="AX2473" s="21" t="str">
        <f t="shared" si="162"/>
        <v/>
      </c>
      <c r="AY2473" s="21" t="str">
        <f>IF(AND($AM2473&lt;&gt;"",$AS2473&lt;&gt;"✓"),SUMPRODUCT(($AM$11:$AM2473&lt;&gt;"")*($AS$11:$AS2473&lt;&gt;"✓")),"")</f>
        <v/>
      </c>
      <c r="AZ2473" s="21" t="str">
        <f>IF(AND($AM2473&lt;&gt;"",$AS2473="✓"),SUMPRODUCT(($AM$11:$AM2473&lt;&gt;"")*($AS$11:$AS2473="✓")),"")</f>
        <v/>
      </c>
      <c r="BA2473" s="21" t="str">
        <f>IF($AL2473="","",$AL2473&amp;"|"&amp;COUNTIF($AL$11:$AL2473,$AL2473))</f>
        <v/>
      </c>
    </row>
    <row r="2474" spans="38:53" ht="15" customHeight="1" x14ac:dyDescent="0.25">
      <c r="AL2474" s="31"/>
      <c r="AM2474" s="26"/>
      <c r="AN2474" s="32"/>
      <c r="AO2474" s="32"/>
      <c r="AP2474" s="24"/>
      <c r="AQ2474" s="24"/>
      <c r="AR2474" s="33"/>
      <c r="AS2474" s="34"/>
      <c r="AT2474" s="33"/>
      <c r="AV2474" s="21">
        <f>IF(AND($AL2474&lt;&gt;"",COUNTIF($AL$11:$AL2474,$AL2474)=1),1,0)</f>
        <v>0</v>
      </c>
      <c r="AW2474" s="21">
        <f t="shared" si="163"/>
        <v>0</v>
      </c>
      <c r="AX2474" s="21" t="str">
        <f t="shared" si="162"/>
        <v/>
      </c>
      <c r="AY2474" s="21" t="str">
        <f>IF(AND($AM2474&lt;&gt;"",$AS2474&lt;&gt;"✓"),SUMPRODUCT(($AM$11:$AM2474&lt;&gt;"")*($AS$11:$AS2474&lt;&gt;"✓")),"")</f>
        <v/>
      </c>
      <c r="AZ2474" s="21" t="str">
        <f>IF(AND($AM2474&lt;&gt;"",$AS2474="✓"),SUMPRODUCT(($AM$11:$AM2474&lt;&gt;"")*($AS$11:$AS2474="✓")),"")</f>
        <v/>
      </c>
      <c r="BA2474" s="21" t="str">
        <f>IF($AL2474="","",$AL2474&amp;"|"&amp;COUNTIF($AL$11:$AL2474,$AL2474))</f>
        <v/>
      </c>
    </row>
    <row r="2475" spans="38:53" ht="15" customHeight="1" x14ac:dyDescent="0.25">
      <c r="AL2475" s="17"/>
      <c r="AM2475" s="12"/>
      <c r="AN2475" s="18"/>
      <c r="AO2475" s="18"/>
      <c r="AP2475" s="10"/>
      <c r="AQ2475" s="10"/>
      <c r="AR2475" s="19"/>
      <c r="AS2475" s="20"/>
      <c r="AT2475" s="19"/>
      <c r="AV2475" s="21">
        <f>IF(AND($AL2475&lt;&gt;"",COUNTIF($AL$11:$AL2475,$AL2475)=1),1,0)</f>
        <v>0</v>
      </c>
      <c r="AW2475" s="21">
        <f t="shared" si="163"/>
        <v>0</v>
      </c>
      <c r="AX2475" s="21" t="str">
        <f t="shared" si="162"/>
        <v/>
      </c>
      <c r="AY2475" s="21" t="str">
        <f>IF(AND($AM2475&lt;&gt;"",$AS2475&lt;&gt;"✓"),SUMPRODUCT(($AM$11:$AM2475&lt;&gt;"")*($AS$11:$AS2475&lt;&gt;"✓")),"")</f>
        <v/>
      </c>
      <c r="AZ2475" s="21" t="str">
        <f>IF(AND($AM2475&lt;&gt;"",$AS2475="✓"),SUMPRODUCT(($AM$11:$AM2475&lt;&gt;"")*($AS$11:$AS2475="✓")),"")</f>
        <v/>
      </c>
      <c r="BA2475" s="21" t="str">
        <f>IF($AL2475="","",$AL2475&amp;"|"&amp;COUNTIF($AL$11:$AL2475,$AL2475))</f>
        <v/>
      </c>
    </row>
    <row r="2476" spans="38:53" ht="15" customHeight="1" x14ac:dyDescent="0.25">
      <c r="AL2476" s="31"/>
      <c r="AM2476" s="26"/>
      <c r="AN2476" s="32"/>
      <c r="AO2476" s="32"/>
      <c r="AP2476" s="24"/>
      <c r="AQ2476" s="24"/>
      <c r="AR2476" s="33"/>
      <c r="AS2476" s="34"/>
      <c r="AT2476" s="33"/>
      <c r="AV2476" s="21">
        <f>IF(AND($AL2476&lt;&gt;"",COUNTIF($AL$11:$AL2476,$AL2476)=1),1,0)</f>
        <v>0</v>
      </c>
      <c r="AW2476" s="21">
        <f t="shared" si="163"/>
        <v>0</v>
      </c>
      <c r="AX2476" s="21" t="str">
        <f t="shared" si="162"/>
        <v/>
      </c>
      <c r="AY2476" s="21" t="str">
        <f>IF(AND($AM2476&lt;&gt;"",$AS2476&lt;&gt;"✓"),SUMPRODUCT(($AM$11:$AM2476&lt;&gt;"")*($AS$11:$AS2476&lt;&gt;"✓")),"")</f>
        <v/>
      </c>
      <c r="AZ2476" s="21" t="str">
        <f>IF(AND($AM2476&lt;&gt;"",$AS2476="✓"),SUMPRODUCT(($AM$11:$AM2476&lt;&gt;"")*($AS$11:$AS2476="✓")),"")</f>
        <v/>
      </c>
      <c r="BA2476" s="21" t="str">
        <f>IF($AL2476="","",$AL2476&amp;"|"&amp;COUNTIF($AL$11:$AL2476,$AL2476))</f>
        <v/>
      </c>
    </row>
    <row r="2477" spans="38:53" ht="15" customHeight="1" x14ac:dyDescent="0.25">
      <c r="AL2477" s="17"/>
      <c r="AM2477" s="12"/>
      <c r="AN2477" s="18"/>
      <c r="AO2477" s="18"/>
      <c r="AP2477" s="10"/>
      <c r="AQ2477" s="10"/>
      <c r="AR2477" s="19"/>
      <c r="AS2477" s="20"/>
      <c r="AT2477" s="19"/>
      <c r="AV2477" s="21">
        <f>IF(AND($AL2477&lt;&gt;"",COUNTIF($AL$11:$AL2477,$AL2477)=1),1,0)</f>
        <v>0</v>
      </c>
      <c r="AW2477" s="21">
        <f t="shared" si="163"/>
        <v>0</v>
      </c>
      <c r="AX2477" s="21" t="str">
        <f t="shared" si="162"/>
        <v/>
      </c>
      <c r="AY2477" s="21" t="str">
        <f>IF(AND($AM2477&lt;&gt;"",$AS2477&lt;&gt;"✓"),SUMPRODUCT(($AM$11:$AM2477&lt;&gt;"")*($AS$11:$AS2477&lt;&gt;"✓")),"")</f>
        <v/>
      </c>
      <c r="AZ2477" s="21" t="str">
        <f>IF(AND($AM2477&lt;&gt;"",$AS2477="✓"),SUMPRODUCT(($AM$11:$AM2477&lt;&gt;"")*($AS$11:$AS2477="✓")),"")</f>
        <v/>
      </c>
      <c r="BA2477" s="21" t="str">
        <f>IF($AL2477="","",$AL2477&amp;"|"&amp;COUNTIF($AL$11:$AL2477,$AL2477))</f>
        <v/>
      </c>
    </row>
    <row r="2478" spans="38:53" ht="15" customHeight="1" x14ac:dyDescent="0.25">
      <c r="AL2478" s="31"/>
      <c r="AM2478" s="26"/>
      <c r="AN2478" s="32"/>
      <c r="AO2478" s="32"/>
      <c r="AP2478" s="24"/>
      <c r="AQ2478" s="24"/>
      <c r="AR2478" s="33"/>
      <c r="AS2478" s="34"/>
      <c r="AT2478" s="33"/>
      <c r="AV2478" s="21">
        <f>IF(AND($AL2478&lt;&gt;"",COUNTIF($AL$11:$AL2478,$AL2478)=1),1,0)</f>
        <v>0</v>
      </c>
      <c r="AW2478" s="21">
        <f t="shared" si="163"/>
        <v>0</v>
      </c>
      <c r="AX2478" s="21" t="str">
        <f t="shared" si="162"/>
        <v/>
      </c>
      <c r="AY2478" s="21" t="str">
        <f>IF(AND($AM2478&lt;&gt;"",$AS2478&lt;&gt;"✓"),SUMPRODUCT(($AM$11:$AM2478&lt;&gt;"")*($AS$11:$AS2478&lt;&gt;"✓")),"")</f>
        <v/>
      </c>
      <c r="AZ2478" s="21" t="str">
        <f>IF(AND($AM2478&lt;&gt;"",$AS2478="✓"),SUMPRODUCT(($AM$11:$AM2478&lt;&gt;"")*($AS$11:$AS2478="✓")),"")</f>
        <v/>
      </c>
      <c r="BA2478" s="21" t="str">
        <f>IF($AL2478="","",$AL2478&amp;"|"&amp;COUNTIF($AL$11:$AL2478,$AL2478))</f>
        <v/>
      </c>
    </row>
    <row r="2479" spans="38:53" ht="15" customHeight="1" x14ac:dyDescent="0.25">
      <c r="AL2479" s="17"/>
      <c r="AM2479" s="12"/>
      <c r="AN2479" s="18"/>
      <c r="AO2479" s="18"/>
      <c r="AP2479" s="10"/>
      <c r="AQ2479" s="10"/>
      <c r="AR2479" s="19"/>
      <c r="AS2479" s="20"/>
      <c r="AT2479" s="19"/>
      <c r="AV2479" s="21">
        <f>IF(AND($AL2479&lt;&gt;"",COUNTIF($AL$11:$AL2479,$AL2479)=1),1,0)</f>
        <v>0</v>
      </c>
      <c r="AW2479" s="21">
        <f t="shared" si="163"/>
        <v>0</v>
      </c>
      <c r="AX2479" s="21" t="str">
        <f t="shared" si="162"/>
        <v/>
      </c>
      <c r="AY2479" s="21" t="str">
        <f>IF(AND($AM2479&lt;&gt;"",$AS2479&lt;&gt;"✓"),SUMPRODUCT(($AM$11:$AM2479&lt;&gt;"")*($AS$11:$AS2479&lt;&gt;"✓")),"")</f>
        <v/>
      </c>
      <c r="AZ2479" s="21" t="str">
        <f>IF(AND($AM2479&lt;&gt;"",$AS2479="✓"),SUMPRODUCT(($AM$11:$AM2479&lt;&gt;"")*($AS$11:$AS2479="✓")),"")</f>
        <v/>
      </c>
      <c r="BA2479" s="21" t="str">
        <f>IF($AL2479="","",$AL2479&amp;"|"&amp;COUNTIF($AL$11:$AL2479,$AL2479))</f>
        <v/>
      </c>
    </row>
    <row r="2480" spans="38:53" ht="15" customHeight="1" x14ac:dyDescent="0.25">
      <c r="AL2480" s="31"/>
      <c r="AM2480" s="26"/>
      <c r="AN2480" s="32"/>
      <c r="AO2480" s="32"/>
      <c r="AP2480" s="24"/>
      <c r="AQ2480" s="24"/>
      <c r="AR2480" s="33"/>
      <c r="AS2480" s="34"/>
      <c r="AT2480" s="33"/>
      <c r="AV2480" s="21">
        <f>IF(AND($AL2480&lt;&gt;"",COUNTIF($AL$11:$AL2480,$AL2480)=1),1,0)</f>
        <v>0</v>
      </c>
      <c r="AW2480" s="21">
        <f t="shared" si="163"/>
        <v>0</v>
      </c>
      <c r="AX2480" s="21" t="str">
        <f t="shared" si="162"/>
        <v/>
      </c>
      <c r="AY2480" s="21" t="str">
        <f>IF(AND($AM2480&lt;&gt;"",$AS2480&lt;&gt;"✓"),SUMPRODUCT(($AM$11:$AM2480&lt;&gt;"")*($AS$11:$AS2480&lt;&gt;"✓")),"")</f>
        <v/>
      </c>
      <c r="AZ2480" s="21" t="str">
        <f>IF(AND($AM2480&lt;&gt;"",$AS2480="✓"),SUMPRODUCT(($AM$11:$AM2480&lt;&gt;"")*($AS$11:$AS2480="✓")),"")</f>
        <v/>
      </c>
      <c r="BA2480" s="21" t="str">
        <f>IF($AL2480="","",$AL2480&amp;"|"&amp;COUNTIF($AL$11:$AL2480,$AL2480))</f>
        <v/>
      </c>
    </row>
    <row r="2481" spans="38:53" ht="15" customHeight="1" x14ac:dyDescent="0.25">
      <c r="AL2481" s="17"/>
      <c r="AM2481" s="12"/>
      <c r="AN2481" s="18"/>
      <c r="AO2481" s="18"/>
      <c r="AP2481" s="10"/>
      <c r="AQ2481" s="10"/>
      <c r="AR2481" s="19"/>
      <c r="AS2481" s="20"/>
      <c r="AT2481" s="19"/>
      <c r="AV2481" s="21">
        <f>IF(AND($AL2481&lt;&gt;"",COUNTIF($AL$11:$AL2481,$AL2481)=1),1,0)</f>
        <v>0</v>
      </c>
      <c r="AW2481" s="21">
        <f t="shared" si="163"/>
        <v>0</v>
      </c>
      <c r="AX2481" s="21" t="str">
        <f t="shared" si="162"/>
        <v/>
      </c>
      <c r="AY2481" s="21" t="str">
        <f>IF(AND($AM2481&lt;&gt;"",$AS2481&lt;&gt;"✓"),SUMPRODUCT(($AM$11:$AM2481&lt;&gt;"")*($AS$11:$AS2481&lt;&gt;"✓")),"")</f>
        <v/>
      </c>
      <c r="AZ2481" s="21" t="str">
        <f>IF(AND($AM2481&lt;&gt;"",$AS2481="✓"),SUMPRODUCT(($AM$11:$AM2481&lt;&gt;"")*($AS$11:$AS2481="✓")),"")</f>
        <v/>
      </c>
      <c r="BA2481" s="21" t="str">
        <f>IF($AL2481="","",$AL2481&amp;"|"&amp;COUNTIF($AL$11:$AL2481,$AL2481))</f>
        <v/>
      </c>
    </row>
    <row r="2482" spans="38:53" ht="15" customHeight="1" x14ac:dyDescent="0.25">
      <c r="AL2482" s="31"/>
      <c r="AM2482" s="26"/>
      <c r="AN2482" s="32"/>
      <c r="AO2482" s="32"/>
      <c r="AP2482" s="24"/>
      <c r="AQ2482" s="24"/>
      <c r="AR2482" s="33"/>
      <c r="AS2482" s="34"/>
      <c r="AT2482" s="33"/>
      <c r="AV2482" s="21">
        <f>IF(AND($AL2482&lt;&gt;"",COUNTIF($AL$11:$AL2482,$AL2482)=1),1,0)</f>
        <v>0</v>
      </c>
      <c r="AW2482" s="21">
        <f t="shared" si="163"/>
        <v>0</v>
      </c>
      <c r="AX2482" s="21" t="str">
        <f t="shared" si="162"/>
        <v/>
      </c>
      <c r="AY2482" s="21" t="str">
        <f>IF(AND($AM2482&lt;&gt;"",$AS2482&lt;&gt;"✓"),SUMPRODUCT(($AM$11:$AM2482&lt;&gt;"")*($AS$11:$AS2482&lt;&gt;"✓")),"")</f>
        <v/>
      </c>
      <c r="AZ2482" s="21" t="str">
        <f>IF(AND($AM2482&lt;&gt;"",$AS2482="✓"),SUMPRODUCT(($AM$11:$AM2482&lt;&gt;"")*($AS$11:$AS2482="✓")),"")</f>
        <v/>
      </c>
      <c r="BA2482" s="21" t="str">
        <f>IF($AL2482="","",$AL2482&amp;"|"&amp;COUNTIF($AL$11:$AL2482,$AL2482))</f>
        <v/>
      </c>
    </row>
    <row r="2483" spans="38:53" ht="15" customHeight="1" x14ac:dyDescent="0.25">
      <c r="AL2483" s="17"/>
      <c r="AM2483" s="12"/>
      <c r="AN2483" s="18"/>
      <c r="AO2483" s="18"/>
      <c r="AP2483" s="10"/>
      <c r="AQ2483" s="10"/>
      <c r="AR2483" s="19"/>
      <c r="AS2483" s="20"/>
      <c r="AT2483" s="19"/>
      <c r="AV2483" s="21">
        <f>IF(AND($AL2483&lt;&gt;"",COUNTIF($AL$11:$AL2483,$AL2483)=1),1,0)</f>
        <v>0</v>
      </c>
      <c r="AW2483" s="21">
        <f t="shared" si="163"/>
        <v>0</v>
      </c>
      <c r="AX2483" s="21" t="str">
        <f t="shared" si="162"/>
        <v/>
      </c>
      <c r="AY2483" s="21" t="str">
        <f>IF(AND($AM2483&lt;&gt;"",$AS2483&lt;&gt;"✓"),SUMPRODUCT(($AM$11:$AM2483&lt;&gt;"")*($AS$11:$AS2483&lt;&gt;"✓")),"")</f>
        <v/>
      </c>
      <c r="AZ2483" s="21" t="str">
        <f>IF(AND($AM2483&lt;&gt;"",$AS2483="✓"),SUMPRODUCT(($AM$11:$AM2483&lt;&gt;"")*($AS$11:$AS2483="✓")),"")</f>
        <v/>
      </c>
      <c r="BA2483" s="21" t="str">
        <f>IF($AL2483="","",$AL2483&amp;"|"&amp;COUNTIF($AL$11:$AL2483,$AL2483))</f>
        <v/>
      </c>
    </row>
    <row r="2484" spans="38:53" ht="15" customHeight="1" x14ac:dyDescent="0.25">
      <c r="AL2484" s="31"/>
      <c r="AM2484" s="26"/>
      <c r="AN2484" s="32"/>
      <c r="AO2484" s="32"/>
      <c r="AP2484" s="24"/>
      <c r="AQ2484" s="24"/>
      <c r="AR2484" s="33"/>
      <c r="AS2484" s="34"/>
      <c r="AT2484" s="33"/>
      <c r="AV2484" s="21">
        <f>IF(AND($AL2484&lt;&gt;"",COUNTIF($AL$11:$AL2484,$AL2484)=1),1,0)</f>
        <v>0</v>
      </c>
      <c r="AW2484" s="21">
        <f t="shared" si="163"/>
        <v>0</v>
      </c>
      <c r="AX2484" s="21" t="str">
        <f t="shared" si="162"/>
        <v/>
      </c>
      <c r="AY2484" s="21" t="str">
        <f>IF(AND($AM2484&lt;&gt;"",$AS2484&lt;&gt;"✓"),SUMPRODUCT(($AM$11:$AM2484&lt;&gt;"")*($AS$11:$AS2484&lt;&gt;"✓")),"")</f>
        <v/>
      </c>
      <c r="AZ2484" s="21" t="str">
        <f>IF(AND($AM2484&lt;&gt;"",$AS2484="✓"),SUMPRODUCT(($AM$11:$AM2484&lt;&gt;"")*($AS$11:$AS2484="✓")),"")</f>
        <v/>
      </c>
      <c r="BA2484" s="21" t="str">
        <f>IF($AL2484="","",$AL2484&amp;"|"&amp;COUNTIF($AL$11:$AL2484,$AL2484))</f>
        <v/>
      </c>
    </row>
    <row r="2485" spans="38:53" ht="15" customHeight="1" x14ac:dyDescent="0.25">
      <c r="AL2485" s="17"/>
      <c r="AM2485" s="12"/>
      <c r="AN2485" s="18"/>
      <c r="AO2485" s="18"/>
      <c r="AP2485" s="10"/>
      <c r="AQ2485" s="10"/>
      <c r="AR2485" s="19"/>
      <c r="AS2485" s="20"/>
      <c r="AT2485" s="19"/>
      <c r="AV2485" s="21">
        <f>IF(AND($AL2485&lt;&gt;"",COUNTIF($AL$11:$AL2485,$AL2485)=1),1,0)</f>
        <v>0</v>
      </c>
      <c r="AW2485" s="21">
        <f t="shared" si="163"/>
        <v>0</v>
      </c>
      <c r="AX2485" s="21" t="str">
        <f t="shared" si="162"/>
        <v/>
      </c>
      <c r="AY2485" s="21" t="str">
        <f>IF(AND($AM2485&lt;&gt;"",$AS2485&lt;&gt;"✓"),SUMPRODUCT(($AM$11:$AM2485&lt;&gt;"")*($AS$11:$AS2485&lt;&gt;"✓")),"")</f>
        <v/>
      </c>
      <c r="AZ2485" s="21" t="str">
        <f>IF(AND($AM2485&lt;&gt;"",$AS2485="✓"),SUMPRODUCT(($AM$11:$AM2485&lt;&gt;"")*($AS$11:$AS2485="✓")),"")</f>
        <v/>
      </c>
      <c r="BA2485" s="21" t="str">
        <f>IF($AL2485="","",$AL2485&amp;"|"&amp;COUNTIF($AL$11:$AL2485,$AL2485))</f>
        <v/>
      </c>
    </row>
    <row r="2486" spans="38:53" ht="15" customHeight="1" x14ac:dyDescent="0.25">
      <c r="AL2486" s="31"/>
      <c r="AM2486" s="26"/>
      <c r="AN2486" s="32"/>
      <c r="AO2486" s="32"/>
      <c r="AP2486" s="24"/>
      <c r="AQ2486" s="24"/>
      <c r="AR2486" s="33"/>
      <c r="AS2486" s="34"/>
      <c r="AT2486" s="33"/>
      <c r="AV2486" s="21">
        <f>IF(AND($AL2486&lt;&gt;"",COUNTIF($AL$11:$AL2486,$AL2486)=1),1,0)</f>
        <v>0</v>
      </c>
      <c r="AW2486" s="21">
        <f t="shared" si="163"/>
        <v>0</v>
      </c>
      <c r="AX2486" s="21" t="str">
        <f t="shared" si="162"/>
        <v/>
      </c>
      <c r="AY2486" s="21" t="str">
        <f>IF(AND($AM2486&lt;&gt;"",$AS2486&lt;&gt;"✓"),SUMPRODUCT(($AM$11:$AM2486&lt;&gt;"")*($AS$11:$AS2486&lt;&gt;"✓")),"")</f>
        <v/>
      </c>
      <c r="AZ2486" s="21" t="str">
        <f>IF(AND($AM2486&lt;&gt;"",$AS2486="✓"),SUMPRODUCT(($AM$11:$AM2486&lt;&gt;"")*($AS$11:$AS2486="✓")),"")</f>
        <v/>
      </c>
      <c r="BA2486" s="21" t="str">
        <f>IF($AL2486="","",$AL2486&amp;"|"&amp;COUNTIF($AL$11:$AL2486,$AL2486))</f>
        <v/>
      </c>
    </row>
    <row r="2487" spans="38:53" ht="15" customHeight="1" x14ac:dyDescent="0.25">
      <c r="AL2487" s="17"/>
      <c r="AM2487" s="12"/>
      <c r="AN2487" s="18"/>
      <c r="AO2487" s="18"/>
      <c r="AP2487" s="10"/>
      <c r="AQ2487" s="10"/>
      <c r="AR2487" s="19"/>
      <c r="AS2487" s="20"/>
      <c r="AT2487" s="19"/>
      <c r="AV2487" s="21">
        <f>IF(AND($AL2487&lt;&gt;"",COUNTIF($AL$11:$AL2487,$AL2487)=1),1,0)</f>
        <v>0</v>
      </c>
      <c r="AW2487" s="21">
        <f t="shared" si="163"/>
        <v>0</v>
      </c>
      <c r="AX2487" s="21" t="str">
        <f t="shared" si="162"/>
        <v/>
      </c>
      <c r="AY2487" s="21" t="str">
        <f>IF(AND($AM2487&lt;&gt;"",$AS2487&lt;&gt;"✓"),SUMPRODUCT(($AM$11:$AM2487&lt;&gt;"")*($AS$11:$AS2487&lt;&gt;"✓")),"")</f>
        <v/>
      </c>
      <c r="AZ2487" s="21" t="str">
        <f>IF(AND($AM2487&lt;&gt;"",$AS2487="✓"),SUMPRODUCT(($AM$11:$AM2487&lt;&gt;"")*($AS$11:$AS2487="✓")),"")</f>
        <v/>
      </c>
      <c r="BA2487" s="21" t="str">
        <f>IF($AL2487="","",$AL2487&amp;"|"&amp;COUNTIF($AL$11:$AL2487,$AL2487))</f>
        <v/>
      </c>
    </row>
    <row r="2488" spans="38:53" ht="15" customHeight="1" x14ac:dyDescent="0.25">
      <c r="AL2488" s="31"/>
      <c r="AM2488" s="26"/>
      <c r="AN2488" s="32"/>
      <c r="AO2488" s="32"/>
      <c r="AP2488" s="24"/>
      <c r="AQ2488" s="24"/>
      <c r="AR2488" s="33"/>
      <c r="AS2488" s="34"/>
      <c r="AT2488" s="33"/>
      <c r="AV2488" s="21">
        <f>IF(AND($AL2488&lt;&gt;"",COUNTIF($AL$11:$AL2488,$AL2488)=1),1,0)</f>
        <v>0</v>
      </c>
      <c r="AW2488" s="21">
        <f t="shared" si="163"/>
        <v>0</v>
      </c>
      <c r="AX2488" s="21" t="str">
        <f t="shared" si="162"/>
        <v/>
      </c>
      <c r="AY2488" s="21" t="str">
        <f>IF(AND($AM2488&lt;&gt;"",$AS2488&lt;&gt;"✓"),SUMPRODUCT(($AM$11:$AM2488&lt;&gt;"")*($AS$11:$AS2488&lt;&gt;"✓")),"")</f>
        <v/>
      </c>
      <c r="AZ2488" s="21" t="str">
        <f>IF(AND($AM2488&lt;&gt;"",$AS2488="✓"),SUMPRODUCT(($AM$11:$AM2488&lt;&gt;"")*($AS$11:$AS2488="✓")),"")</f>
        <v/>
      </c>
      <c r="BA2488" s="21" t="str">
        <f>IF($AL2488="","",$AL2488&amp;"|"&amp;COUNTIF($AL$11:$AL2488,$AL2488))</f>
        <v/>
      </c>
    </row>
    <row r="2489" spans="38:53" ht="15" customHeight="1" x14ac:dyDescent="0.25">
      <c r="AL2489" s="17"/>
      <c r="AM2489" s="12"/>
      <c r="AN2489" s="18"/>
      <c r="AO2489" s="18"/>
      <c r="AP2489" s="10"/>
      <c r="AQ2489" s="10"/>
      <c r="AR2489" s="19"/>
      <c r="AS2489" s="20"/>
      <c r="AT2489" s="19"/>
      <c r="AV2489" s="21">
        <f>IF(AND($AL2489&lt;&gt;"",COUNTIF($AL$11:$AL2489,$AL2489)=1),1,0)</f>
        <v>0</v>
      </c>
      <c r="AW2489" s="21">
        <f t="shared" si="163"/>
        <v>0</v>
      </c>
      <c r="AX2489" s="21" t="str">
        <f t="shared" si="162"/>
        <v/>
      </c>
      <c r="AY2489" s="21" t="str">
        <f>IF(AND($AM2489&lt;&gt;"",$AS2489&lt;&gt;"✓"),SUMPRODUCT(($AM$11:$AM2489&lt;&gt;"")*($AS$11:$AS2489&lt;&gt;"✓")),"")</f>
        <v/>
      </c>
      <c r="AZ2489" s="21" t="str">
        <f>IF(AND($AM2489&lt;&gt;"",$AS2489="✓"),SUMPRODUCT(($AM$11:$AM2489&lt;&gt;"")*($AS$11:$AS2489="✓")),"")</f>
        <v/>
      </c>
      <c r="BA2489" s="21" t="str">
        <f>IF($AL2489="","",$AL2489&amp;"|"&amp;COUNTIF($AL$11:$AL2489,$AL2489))</f>
        <v/>
      </c>
    </row>
    <row r="2490" spans="38:53" ht="15" customHeight="1" x14ac:dyDescent="0.25">
      <c r="AL2490" s="31"/>
      <c r="AM2490" s="26"/>
      <c r="AN2490" s="32"/>
      <c r="AO2490" s="32"/>
      <c r="AP2490" s="24"/>
      <c r="AQ2490" s="24"/>
      <c r="AR2490" s="33"/>
      <c r="AS2490" s="34"/>
      <c r="AT2490" s="33"/>
      <c r="AV2490" s="21">
        <f>IF(AND($AL2490&lt;&gt;"",COUNTIF($AL$11:$AL2490,$AL2490)=1),1,0)</f>
        <v>0</v>
      </c>
      <c r="AW2490" s="21">
        <f t="shared" si="163"/>
        <v>0</v>
      </c>
      <c r="AX2490" s="21" t="str">
        <f t="shared" si="162"/>
        <v/>
      </c>
      <c r="AY2490" s="21" t="str">
        <f>IF(AND($AM2490&lt;&gt;"",$AS2490&lt;&gt;"✓"),SUMPRODUCT(($AM$11:$AM2490&lt;&gt;"")*($AS$11:$AS2490&lt;&gt;"✓")),"")</f>
        <v/>
      </c>
      <c r="AZ2490" s="21" t="str">
        <f>IF(AND($AM2490&lt;&gt;"",$AS2490="✓"),SUMPRODUCT(($AM$11:$AM2490&lt;&gt;"")*($AS$11:$AS2490="✓")),"")</f>
        <v/>
      </c>
      <c r="BA2490" s="21" t="str">
        <f>IF($AL2490="","",$AL2490&amp;"|"&amp;COUNTIF($AL$11:$AL2490,$AL2490))</f>
        <v/>
      </c>
    </row>
    <row r="2491" spans="38:53" ht="15" customHeight="1" x14ac:dyDescent="0.25">
      <c r="AL2491" s="17"/>
      <c r="AM2491" s="12"/>
      <c r="AN2491" s="18"/>
      <c r="AO2491" s="18"/>
      <c r="AP2491" s="10"/>
      <c r="AQ2491" s="10"/>
      <c r="AR2491" s="19"/>
      <c r="AS2491" s="20"/>
      <c r="AT2491" s="19"/>
      <c r="AV2491" s="21">
        <f>IF(AND($AL2491&lt;&gt;"",COUNTIF($AL$11:$AL2491,$AL2491)=1),1,0)</f>
        <v>0</v>
      </c>
      <c r="AW2491" s="21">
        <f t="shared" si="163"/>
        <v>0</v>
      </c>
      <c r="AX2491" s="21" t="str">
        <f t="shared" si="162"/>
        <v/>
      </c>
      <c r="AY2491" s="21" t="str">
        <f>IF(AND($AM2491&lt;&gt;"",$AS2491&lt;&gt;"✓"),SUMPRODUCT(($AM$11:$AM2491&lt;&gt;"")*($AS$11:$AS2491&lt;&gt;"✓")),"")</f>
        <v/>
      </c>
      <c r="AZ2491" s="21" t="str">
        <f>IF(AND($AM2491&lt;&gt;"",$AS2491="✓"),SUMPRODUCT(($AM$11:$AM2491&lt;&gt;"")*($AS$11:$AS2491="✓")),"")</f>
        <v/>
      </c>
      <c r="BA2491" s="21" t="str">
        <f>IF($AL2491="","",$AL2491&amp;"|"&amp;COUNTIF($AL$11:$AL2491,$AL2491))</f>
        <v/>
      </c>
    </row>
    <row r="2492" spans="38:53" ht="15" customHeight="1" x14ac:dyDescent="0.25">
      <c r="AL2492" s="31"/>
      <c r="AM2492" s="26"/>
      <c r="AN2492" s="32"/>
      <c r="AO2492" s="32"/>
      <c r="AP2492" s="24"/>
      <c r="AQ2492" s="24"/>
      <c r="AR2492" s="33"/>
      <c r="AS2492" s="34"/>
      <c r="AT2492" s="33"/>
      <c r="AV2492" s="21">
        <f>IF(AND($AL2492&lt;&gt;"",COUNTIF($AL$11:$AL2492,$AL2492)=1),1,0)</f>
        <v>0</v>
      </c>
      <c r="AW2492" s="21">
        <f t="shared" si="163"/>
        <v>0</v>
      </c>
      <c r="AX2492" s="21" t="str">
        <f t="shared" si="162"/>
        <v/>
      </c>
      <c r="AY2492" s="21" t="str">
        <f>IF(AND($AM2492&lt;&gt;"",$AS2492&lt;&gt;"✓"),SUMPRODUCT(($AM$11:$AM2492&lt;&gt;"")*($AS$11:$AS2492&lt;&gt;"✓")),"")</f>
        <v/>
      </c>
      <c r="AZ2492" s="21" t="str">
        <f>IF(AND($AM2492&lt;&gt;"",$AS2492="✓"),SUMPRODUCT(($AM$11:$AM2492&lt;&gt;"")*($AS$11:$AS2492="✓")),"")</f>
        <v/>
      </c>
      <c r="BA2492" s="21" t="str">
        <f>IF($AL2492="","",$AL2492&amp;"|"&amp;COUNTIF($AL$11:$AL2492,$AL2492))</f>
        <v/>
      </c>
    </row>
    <row r="2493" spans="38:53" ht="15" customHeight="1" x14ac:dyDescent="0.25">
      <c r="AL2493" s="17"/>
      <c r="AM2493" s="12"/>
      <c r="AN2493" s="18"/>
      <c r="AO2493" s="18"/>
      <c r="AP2493" s="10"/>
      <c r="AQ2493" s="10"/>
      <c r="AR2493" s="19"/>
      <c r="AS2493" s="20"/>
      <c r="AT2493" s="19"/>
      <c r="AV2493" s="21">
        <f>IF(AND($AL2493&lt;&gt;"",COUNTIF($AL$11:$AL2493,$AL2493)=1),1,0)</f>
        <v>0</v>
      </c>
      <c r="AW2493" s="21">
        <f t="shared" si="163"/>
        <v>0</v>
      </c>
      <c r="AX2493" s="21" t="str">
        <f t="shared" si="162"/>
        <v/>
      </c>
      <c r="AY2493" s="21" t="str">
        <f>IF(AND($AM2493&lt;&gt;"",$AS2493&lt;&gt;"✓"),SUMPRODUCT(($AM$11:$AM2493&lt;&gt;"")*($AS$11:$AS2493&lt;&gt;"✓")),"")</f>
        <v/>
      </c>
      <c r="AZ2493" s="21" t="str">
        <f>IF(AND($AM2493&lt;&gt;"",$AS2493="✓"),SUMPRODUCT(($AM$11:$AM2493&lt;&gt;"")*($AS$11:$AS2493="✓")),"")</f>
        <v/>
      </c>
      <c r="BA2493" s="21" t="str">
        <f>IF($AL2493="","",$AL2493&amp;"|"&amp;COUNTIF($AL$11:$AL2493,$AL2493))</f>
        <v/>
      </c>
    </row>
    <row r="2494" spans="38:53" ht="15" customHeight="1" x14ac:dyDescent="0.25">
      <c r="AL2494" s="31"/>
      <c r="AM2494" s="26"/>
      <c r="AN2494" s="32"/>
      <c r="AO2494" s="32"/>
      <c r="AP2494" s="24"/>
      <c r="AQ2494" s="24"/>
      <c r="AR2494" s="33"/>
      <c r="AS2494" s="34"/>
      <c r="AT2494" s="33"/>
      <c r="AV2494" s="21">
        <f>IF(AND($AL2494&lt;&gt;"",COUNTIF($AL$11:$AL2494,$AL2494)=1),1,0)</f>
        <v>0</v>
      </c>
      <c r="AW2494" s="21">
        <f t="shared" si="163"/>
        <v>0</v>
      </c>
      <c r="AX2494" s="21" t="str">
        <f t="shared" si="162"/>
        <v/>
      </c>
      <c r="AY2494" s="21" t="str">
        <f>IF(AND($AM2494&lt;&gt;"",$AS2494&lt;&gt;"✓"),SUMPRODUCT(($AM$11:$AM2494&lt;&gt;"")*($AS$11:$AS2494&lt;&gt;"✓")),"")</f>
        <v/>
      </c>
      <c r="AZ2494" s="21" t="str">
        <f>IF(AND($AM2494&lt;&gt;"",$AS2494="✓"),SUMPRODUCT(($AM$11:$AM2494&lt;&gt;"")*($AS$11:$AS2494="✓")),"")</f>
        <v/>
      </c>
      <c r="BA2494" s="21" t="str">
        <f>IF($AL2494="","",$AL2494&amp;"|"&amp;COUNTIF($AL$11:$AL2494,$AL2494))</f>
        <v/>
      </c>
    </row>
    <row r="2495" spans="38:53" ht="15" customHeight="1" x14ac:dyDescent="0.25">
      <c r="AL2495" s="17"/>
      <c r="AM2495" s="12"/>
      <c r="AN2495" s="18"/>
      <c r="AO2495" s="18"/>
      <c r="AP2495" s="10"/>
      <c r="AQ2495" s="10"/>
      <c r="AR2495" s="19"/>
      <c r="AS2495" s="20"/>
      <c r="AT2495" s="19"/>
      <c r="AV2495" s="21">
        <f>IF(AND($AL2495&lt;&gt;"",COUNTIF($AL$11:$AL2495,$AL2495)=1),1,0)</f>
        <v>0</v>
      </c>
      <c r="AW2495" s="21">
        <f t="shared" si="163"/>
        <v>0</v>
      </c>
      <c r="AX2495" s="21" t="str">
        <f t="shared" si="162"/>
        <v/>
      </c>
      <c r="AY2495" s="21" t="str">
        <f>IF(AND($AM2495&lt;&gt;"",$AS2495&lt;&gt;"✓"),SUMPRODUCT(($AM$11:$AM2495&lt;&gt;"")*($AS$11:$AS2495&lt;&gt;"✓")),"")</f>
        <v/>
      </c>
      <c r="AZ2495" s="21" t="str">
        <f>IF(AND($AM2495&lt;&gt;"",$AS2495="✓"),SUMPRODUCT(($AM$11:$AM2495&lt;&gt;"")*($AS$11:$AS2495="✓")),"")</f>
        <v/>
      </c>
      <c r="BA2495" s="21" t="str">
        <f>IF($AL2495="","",$AL2495&amp;"|"&amp;COUNTIF($AL$11:$AL2495,$AL2495))</f>
        <v/>
      </c>
    </row>
    <row r="2496" spans="38:53" ht="15" customHeight="1" x14ac:dyDescent="0.25">
      <c r="AL2496" s="31"/>
      <c r="AM2496" s="26"/>
      <c r="AN2496" s="32"/>
      <c r="AO2496" s="32"/>
      <c r="AP2496" s="24"/>
      <c r="AQ2496" s="24"/>
      <c r="AR2496" s="33"/>
      <c r="AS2496" s="34"/>
      <c r="AT2496" s="33"/>
      <c r="AV2496" s="21">
        <f>IF(AND($AL2496&lt;&gt;"",COUNTIF($AL$11:$AL2496,$AL2496)=1),1,0)</f>
        <v>0</v>
      </c>
      <c r="AW2496" s="21">
        <f t="shared" si="163"/>
        <v>0</v>
      </c>
      <c r="AX2496" s="21" t="str">
        <f t="shared" si="162"/>
        <v/>
      </c>
      <c r="AY2496" s="21" t="str">
        <f>IF(AND($AM2496&lt;&gt;"",$AS2496&lt;&gt;"✓"),SUMPRODUCT(($AM$11:$AM2496&lt;&gt;"")*($AS$11:$AS2496&lt;&gt;"✓")),"")</f>
        <v/>
      </c>
      <c r="AZ2496" s="21" t="str">
        <f>IF(AND($AM2496&lt;&gt;"",$AS2496="✓"),SUMPRODUCT(($AM$11:$AM2496&lt;&gt;"")*($AS$11:$AS2496="✓")),"")</f>
        <v/>
      </c>
      <c r="BA2496" s="21" t="str">
        <f>IF($AL2496="","",$AL2496&amp;"|"&amp;COUNTIF($AL$11:$AL2496,$AL2496))</f>
        <v/>
      </c>
    </row>
    <row r="2497" spans="38:53" ht="15" customHeight="1" x14ac:dyDescent="0.25">
      <c r="AL2497" s="17"/>
      <c r="AM2497" s="12"/>
      <c r="AN2497" s="18"/>
      <c r="AO2497" s="18"/>
      <c r="AP2497" s="10"/>
      <c r="AQ2497" s="10"/>
      <c r="AR2497" s="19"/>
      <c r="AS2497" s="20"/>
      <c r="AT2497" s="19"/>
      <c r="AV2497" s="21">
        <f>IF(AND($AL2497&lt;&gt;"",COUNTIF($AL$11:$AL2497,$AL2497)=1),1,0)</f>
        <v>0</v>
      </c>
      <c r="AW2497" s="21">
        <f t="shared" si="163"/>
        <v>0</v>
      </c>
      <c r="AX2497" s="21" t="str">
        <f t="shared" si="162"/>
        <v/>
      </c>
      <c r="AY2497" s="21" t="str">
        <f>IF(AND($AM2497&lt;&gt;"",$AS2497&lt;&gt;"✓"),SUMPRODUCT(($AM$11:$AM2497&lt;&gt;"")*($AS$11:$AS2497&lt;&gt;"✓")),"")</f>
        <v/>
      </c>
      <c r="AZ2497" s="21" t="str">
        <f>IF(AND($AM2497&lt;&gt;"",$AS2497="✓"),SUMPRODUCT(($AM$11:$AM2497&lt;&gt;"")*($AS$11:$AS2497="✓")),"")</f>
        <v/>
      </c>
      <c r="BA2497" s="21" t="str">
        <f>IF($AL2497="","",$AL2497&amp;"|"&amp;COUNTIF($AL$11:$AL2497,$AL2497))</f>
        <v/>
      </c>
    </row>
    <row r="2498" spans="38:53" ht="15" customHeight="1" x14ac:dyDescent="0.25">
      <c r="AL2498" s="31"/>
      <c r="AM2498" s="26"/>
      <c r="AN2498" s="32"/>
      <c r="AO2498" s="32"/>
      <c r="AP2498" s="24"/>
      <c r="AQ2498" s="24"/>
      <c r="AR2498" s="33"/>
      <c r="AS2498" s="34"/>
      <c r="AT2498" s="33"/>
      <c r="AV2498" s="21">
        <f>IF(AND($AL2498&lt;&gt;"",COUNTIF($AL$11:$AL2498,$AL2498)=1),1,0)</f>
        <v>0</v>
      </c>
      <c r="AW2498" s="21">
        <f t="shared" si="163"/>
        <v>0</v>
      </c>
      <c r="AX2498" s="21" t="str">
        <f t="shared" si="162"/>
        <v/>
      </c>
      <c r="AY2498" s="21" t="str">
        <f>IF(AND($AM2498&lt;&gt;"",$AS2498&lt;&gt;"✓"),SUMPRODUCT(($AM$11:$AM2498&lt;&gt;"")*($AS$11:$AS2498&lt;&gt;"✓")),"")</f>
        <v/>
      </c>
      <c r="AZ2498" s="21" t="str">
        <f>IF(AND($AM2498&lt;&gt;"",$AS2498="✓"),SUMPRODUCT(($AM$11:$AM2498&lt;&gt;"")*($AS$11:$AS2498="✓")),"")</f>
        <v/>
      </c>
      <c r="BA2498" s="21" t="str">
        <f>IF($AL2498="","",$AL2498&amp;"|"&amp;COUNTIF($AL$11:$AL2498,$AL2498))</f>
        <v/>
      </c>
    </row>
    <row r="2499" spans="38:53" ht="15" customHeight="1" x14ac:dyDescent="0.25">
      <c r="AL2499" s="17"/>
      <c r="AM2499" s="12"/>
      <c r="AN2499" s="18"/>
      <c r="AO2499" s="18"/>
      <c r="AP2499" s="10"/>
      <c r="AQ2499" s="10"/>
      <c r="AR2499" s="19"/>
      <c r="AS2499" s="20"/>
      <c r="AT2499" s="19"/>
      <c r="AV2499" s="21">
        <f>IF(AND($AL2499&lt;&gt;"",COUNTIF($AL$11:$AL2499,$AL2499)=1),1,0)</f>
        <v>0</v>
      </c>
      <c r="AW2499" s="21">
        <f t="shared" si="163"/>
        <v>0</v>
      </c>
      <c r="AX2499" s="21" t="str">
        <f t="shared" si="162"/>
        <v/>
      </c>
      <c r="AY2499" s="21" t="str">
        <f>IF(AND($AM2499&lt;&gt;"",$AS2499&lt;&gt;"✓"),SUMPRODUCT(($AM$11:$AM2499&lt;&gt;"")*($AS$11:$AS2499&lt;&gt;"✓")),"")</f>
        <v/>
      </c>
      <c r="AZ2499" s="21" t="str">
        <f>IF(AND($AM2499&lt;&gt;"",$AS2499="✓"),SUMPRODUCT(($AM$11:$AM2499&lt;&gt;"")*($AS$11:$AS2499="✓")),"")</f>
        <v/>
      </c>
      <c r="BA2499" s="21" t="str">
        <f>IF($AL2499="","",$AL2499&amp;"|"&amp;COUNTIF($AL$11:$AL2499,$AL2499))</f>
        <v/>
      </c>
    </row>
    <row r="2500" spans="38:53" ht="15" customHeight="1" x14ac:dyDescent="0.25">
      <c r="AL2500" s="31"/>
      <c r="AM2500" s="26"/>
      <c r="AN2500" s="32"/>
      <c r="AO2500" s="32"/>
      <c r="AP2500" s="24"/>
      <c r="AQ2500" s="24"/>
      <c r="AR2500" s="33"/>
      <c r="AS2500" s="34"/>
      <c r="AT2500" s="33"/>
      <c r="AV2500" s="21">
        <f>IF(AND($AL2500&lt;&gt;"",COUNTIF($AL$11:$AL2500,$AL2500)=1),1,0)</f>
        <v>0</v>
      </c>
      <c r="AW2500" s="21">
        <f t="shared" si="163"/>
        <v>0</v>
      </c>
      <c r="AX2500" s="21" t="str">
        <f t="shared" si="162"/>
        <v/>
      </c>
      <c r="AY2500" s="21" t="str">
        <f>IF(AND($AM2500&lt;&gt;"",$AS2500&lt;&gt;"✓"),SUMPRODUCT(($AM$11:$AM2500&lt;&gt;"")*($AS$11:$AS2500&lt;&gt;"✓")),"")</f>
        <v/>
      </c>
      <c r="AZ2500" s="21" t="str">
        <f>IF(AND($AM2500&lt;&gt;"",$AS2500="✓"),SUMPRODUCT(($AM$11:$AM2500&lt;&gt;"")*($AS$11:$AS2500="✓")),"")</f>
        <v/>
      </c>
      <c r="BA2500" s="21" t="str">
        <f>IF($AL2500="","",$AL2500&amp;"|"&amp;COUNTIF($AL$11:$AL2500,$AL2500))</f>
        <v/>
      </c>
    </row>
    <row r="2501" spans="38:53" ht="15" customHeight="1" x14ac:dyDescent="0.25">
      <c r="AL2501" s="17"/>
      <c r="AM2501" s="12"/>
      <c r="AN2501" s="18"/>
      <c r="AO2501" s="18"/>
      <c r="AP2501" s="10"/>
      <c r="AQ2501" s="10"/>
      <c r="AR2501" s="19"/>
      <c r="AS2501" s="20"/>
      <c r="AT2501" s="19"/>
      <c r="AV2501" s="21">
        <f>IF(AND($AL2501&lt;&gt;"",COUNTIF($AL$11:$AL2501,$AL2501)=1),1,0)</f>
        <v>0</v>
      </c>
      <c r="AW2501" s="21">
        <f t="shared" si="163"/>
        <v>0</v>
      </c>
      <c r="AX2501" s="21" t="str">
        <f t="shared" si="162"/>
        <v/>
      </c>
      <c r="AY2501" s="21" t="str">
        <f>IF(AND($AM2501&lt;&gt;"",$AS2501&lt;&gt;"✓"),SUMPRODUCT(($AM$11:$AM2501&lt;&gt;"")*($AS$11:$AS2501&lt;&gt;"✓")),"")</f>
        <v/>
      </c>
      <c r="AZ2501" s="21" t="str">
        <f>IF(AND($AM2501&lt;&gt;"",$AS2501="✓"),SUMPRODUCT(($AM$11:$AM2501&lt;&gt;"")*($AS$11:$AS2501="✓")),"")</f>
        <v/>
      </c>
      <c r="BA2501" s="21" t="str">
        <f>IF($AL2501="","",$AL2501&amp;"|"&amp;COUNTIF($AL$11:$AL2501,$AL2501))</f>
        <v/>
      </c>
    </row>
    <row r="2502" spans="38:53" ht="15" customHeight="1" x14ac:dyDescent="0.25">
      <c r="AL2502" s="31"/>
      <c r="AM2502" s="26"/>
      <c r="AN2502" s="32"/>
      <c r="AO2502" s="32"/>
      <c r="AP2502" s="24"/>
      <c r="AQ2502" s="24"/>
      <c r="AR2502" s="33"/>
      <c r="AS2502" s="34"/>
      <c r="AT2502" s="33"/>
      <c r="AV2502" s="21">
        <f>IF(AND($AL2502&lt;&gt;"",COUNTIF($AL$11:$AL2502,$AL2502)=1),1,0)</f>
        <v>0</v>
      </c>
      <c r="AW2502" s="21">
        <f t="shared" si="163"/>
        <v>0</v>
      </c>
      <c r="AX2502" s="21" t="str">
        <f t="shared" si="162"/>
        <v/>
      </c>
      <c r="AY2502" s="21" t="str">
        <f>IF(AND($AM2502&lt;&gt;"",$AS2502&lt;&gt;"✓"),SUMPRODUCT(($AM$11:$AM2502&lt;&gt;"")*($AS$11:$AS2502&lt;&gt;"✓")),"")</f>
        <v/>
      </c>
      <c r="AZ2502" s="21" t="str">
        <f>IF(AND($AM2502&lt;&gt;"",$AS2502="✓"),SUMPRODUCT(($AM$11:$AM2502&lt;&gt;"")*($AS$11:$AS2502="✓")),"")</f>
        <v/>
      </c>
      <c r="BA2502" s="21" t="str">
        <f>IF($AL2502="","",$AL2502&amp;"|"&amp;COUNTIF($AL$11:$AL2502,$AL2502))</f>
        <v/>
      </c>
    </row>
    <row r="2503" spans="38:53" ht="15" customHeight="1" x14ac:dyDescent="0.25">
      <c r="AL2503" s="17"/>
      <c r="AM2503" s="12"/>
      <c r="AN2503" s="18"/>
      <c r="AO2503" s="18"/>
      <c r="AP2503" s="10"/>
      <c r="AQ2503" s="10"/>
      <c r="AR2503" s="19"/>
      <c r="AS2503" s="20"/>
      <c r="AT2503" s="19"/>
      <c r="AV2503" s="21">
        <f>IF(AND($AL2503&lt;&gt;"",COUNTIF($AL$11:$AL2503,$AL2503)=1),1,0)</f>
        <v>0</v>
      </c>
      <c r="AW2503" s="21">
        <f t="shared" si="163"/>
        <v>0</v>
      </c>
      <c r="AX2503" s="21" t="str">
        <f t="shared" si="162"/>
        <v/>
      </c>
      <c r="AY2503" s="21" t="str">
        <f>IF(AND($AM2503&lt;&gt;"",$AS2503&lt;&gt;"✓"),SUMPRODUCT(($AM$11:$AM2503&lt;&gt;"")*($AS$11:$AS2503&lt;&gt;"✓")),"")</f>
        <v/>
      </c>
      <c r="AZ2503" s="21" t="str">
        <f>IF(AND($AM2503&lt;&gt;"",$AS2503="✓"),SUMPRODUCT(($AM$11:$AM2503&lt;&gt;"")*($AS$11:$AS2503="✓")),"")</f>
        <v/>
      </c>
      <c r="BA2503" s="21" t="str">
        <f>IF($AL2503="","",$AL2503&amp;"|"&amp;COUNTIF($AL$11:$AL2503,$AL2503))</f>
        <v/>
      </c>
    </row>
    <row r="2504" spans="38:53" ht="15" customHeight="1" x14ac:dyDescent="0.25">
      <c r="AL2504" s="31"/>
      <c r="AM2504" s="26"/>
      <c r="AN2504" s="32"/>
      <c r="AO2504" s="32"/>
      <c r="AP2504" s="24"/>
      <c r="AQ2504" s="24"/>
      <c r="AR2504" s="33"/>
      <c r="AS2504" s="34"/>
      <c r="AT2504" s="33"/>
      <c r="AV2504" s="21">
        <f>IF(AND($AL2504&lt;&gt;"",COUNTIF($AL$11:$AL2504,$AL2504)=1),1,0)</f>
        <v>0</v>
      </c>
      <c r="AW2504" s="21">
        <f t="shared" si="163"/>
        <v>0</v>
      </c>
      <c r="AX2504" s="21" t="str">
        <f t="shared" si="162"/>
        <v/>
      </c>
      <c r="AY2504" s="21" t="str">
        <f>IF(AND($AM2504&lt;&gt;"",$AS2504&lt;&gt;"✓"),SUMPRODUCT(($AM$11:$AM2504&lt;&gt;"")*($AS$11:$AS2504&lt;&gt;"✓")),"")</f>
        <v/>
      </c>
      <c r="AZ2504" s="21" t="str">
        <f>IF(AND($AM2504&lt;&gt;"",$AS2504="✓"),SUMPRODUCT(($AM$11:$AM2504&lt;&gt;"")*($AS$11:$AS2504="✓")),"")</f>
        <v/>
      </c>
      <c r="BA2504" s="21" t="str">
        <f>IF($AL2504="","",$AL2504&amp;"|"&amp;COUNTIF($AL$11:$AL2504,$AL2504))</f>
        <v/>
      </c>
    </row>
    <row r="2505" spans="38:53" ht="15" customHeight="1" x14ac:dyDescent="0.25">
      <c r="AL2505" s="17"/>
      <c r="AM2505" s="12"/>
      <c r="AN2505" s="18"/>
      <c r="AO2505" s="18"/>
      <c r="AP2505" s="10"/>
      <c r="AQ2505" s="10"/>
      <c r="AR2505" s="19"/>
      <c r="AS2505" s="20"/>
      <c r="AT2505" s="19"/>
      <c r="AV2505" s="21">
        <f>IF(AND($AL2505&lt;&gt;"",COUNTIF($AL$11:$AL2505,$AL2505)=1),1,0)</f>
        <v>0</v>
      </c>
      <c r="AW2505" s="21">
        <f t="shared" si="163"/>
        <v>0</v>
      </c>
      <c r="AX2505" s="21" t="str">
        <f t="shared" si="162"/>
        <v/>
      </c>
      <c r="AY2505" s="21" t="str">
        <f>IF(AND($AM2505&lt;&gt;"",$AS2505&lt;&gt;"✓"),SUMPRODUCT(($AM$11:$AM2505&lt;&gt;"")*($AS$11:$AS2505&lt;&gt;"✓")),"")</f>
        <v/>
      </c>
      <c r="AZ2505" s="21" t="str">
        <f>IF(AND($AM2505&lt;&gt;"",$AS2505="✓"),SUMPRODUCT(($AM$11:$AM2505&lt;&gt;"")*($AS$11:$AS2505="✓")),"")</f>
        <v/>
      </c>
      <c r="BA2505" s="21" t="str">
        <f>IF($AL2505="","",$AL2505&amp;"|"&amp;COUNTIF($AL$11:$AL2505,$AL2505))</f>
        <v/>
      </c>
    </row>
    <row r="2506" spans="38:53" ht="15" customHeight="1" x14ac:dyDescent="0.25">
      <c r="AL2506" s="31"/>
      <c r="AM2506" s="26"/>
      <c r="AN2506" s="32"/>
      <c r="AO2506" s="32"/>
      <c r="AP2506" s="24"/>
      <c r="AQ2506" s="24"/>
      <c r="AR2506" s="33"/>
      <c r="AS2506" s="34"/>
      <c r="AT2506" s="33"/>
      <c r="AV2506" s="21">
        <f>IF(AND($AL2506&lt;&gt;"",COUNTIF($AL$11:$AL2506,$AL2506)=1),1,0)</f>
        <v>0</v>
      </c>
      <c r="AW2506" s="21">
        <f t="shared" si="163"/>
        <v>0</v>
      </c>
      <c r="AX2506" s="21" t="str">
        <f t="shared" si="162"/>
        <v/>
      </c>
      <c r="AY2506" s="21" t="str">
        <f>IF(AND($AM2506&lt;&gt;"",$AS2506&lt;&gt;"✓"),SUMPRODUCT(($AM$11:$AM2506&lt;&gt;"")*($AS$11:$AS2506&lt;&gt;"✓")),"")</f>
        <v/>
      </c>
      <c r="AZ2506" s="21" t="str">
        <f>IF(AND($AM2506&lt;&gt;"",$AS2506="✓"),SUMPRODUCT(($AM$11:$AM2506&lt;&gt;"")*($AS$11:$AS2506="✓")),"")</f>
        <v/>
      </c>
      <c r="BA2506" s="21" t="str">
        <f>IF($AL2506="","",$AL2506&amp;"|"&amp;COUNTIF($AL$11:$AL2506,$AL2506))</f>
        <v/>
      </c>
    </row>
    <row r="2507" spans="38:53" ht="15" customHeight="1" x14ac:dyDescent="0.25">
      <c r="AL2507" s="17"/>
      <c r="AM2507" s="12"/>
      <c r="AN2507" s="18"/>
      <c r="AO2507" s="18"/>
      <c r="AP2507" s="10"/>
      <c r="AQ2507" s="10"/>
      <c r="AR2507" s="19"/>
      <c r="AS2507" s="20"/>
      <c r="AT2507" s="19"/>
      <c r="AV2507" s="21">
        <f>IF(AND($AL2507&lt;&gt;"",COUNTIF($AL$11:$AL2507,$AL2507)=1),1,0)</f>
        <v>0</v>
      </c>
      <c r="AW2507" s="21">
        <f t="shared" si="163"/>
        <v>0</v>
      </c>
      <c r="AX2507" s="21" t="str">
        <f t="shared" ref="AX2507:AX2570" si="164">IF(AV2507=1,AW2507,"")</f>
        <v/>
      </c>
      <c r="AY2507" s="21" t="str">
        <f>IF(AND($AM2507&lt;&gt;"",$AS2507&lt;&gt;"✓"),SUMPRODUCT(($AM$11:$AM2507&lt;&gt;"")*($AS$11:$AS2507&lt;&gt;"✓")),"")</f>
        <v/>
      </c>
      <c r="AZ2507" s="21" t="str">
        <f>IF(AND($AM2507&lt;&gt;"",$AS2507="✓"),SUMPRODUCT(($AM$11:$AM2507&lt;&gt;"")*($AS$11:$AS2507="✓")),"")</f>
        <v/>
      </c>
      <c r="BA2507" s="21" t="str">
        <f>IF($AL2507="","",$AL2507&amp;"|"&amp;COUNTIF($AL$11:$AL2507,$AL2507))</f>
        <v/>
      </c>
    </row>
    <row r="2508" spans="38:53" ht="15" customHeight="1" x14ac:dyDescent="0.25">
      <c r="AL2508" s="31"/>
      <c r="AM2508" s="26"/>
      <c r="AN2508" s="32"/>
      <c r="AO2508" s="32"/>
      <c r="AP2508" s="24"/>
      <c r="AQ2508" s="24"/>
      <c r="AR2508" s="33"/>
      <c r="AS2508" s="34"/>
      <c r="AT2508" s="33"/>
      <c r="AV2508" s="21">
        <f>IF(AND($AL2508&lt;&gt;"",COUNTIF($AL$11:$AL2508,$AL2508)=1),1,0)</f>
        <v>0</v>
      </c>
      <c r="AW2508" s="21">
        <f t="shared" ref="AW2508:AW2571" si="165">AW2507+AV2508</f>
        <v>0</v>
      </c>
      <c r="AX2508" s="21" t="str">
        <f t="shared" si="164"/>
        <v/>
      </c>
      <c r="AY2508" s="21" t="str">
        <f>IF(AND($AM2508&lt;&gt;"",$AS2508&lt;&gt;"✓"),SUMPRODUCT(($AM$11:$AM2508&lt;&gt;"")*($AS$11:$AS2508&lt;&gt;"✓")),"")</f>
        <v/>
      </c>
      <c r="AZ2508" s="21" t="str">
        <f>IF(AND($AM2508&lt;&gt;"",$AS2508="✓"),SUMPRODUCT(($AM$11:$AM2508&lt;&gt;"")*($AS$11:$AS2508="✓")),"")</f>
        <v/>
      </c>
      <c r="BA2508" s="21" t="str">
        <f>IF($AL2508="","",$AL2508&amp;"|"&amp;COUNTIF($AL$11:$AL2508,$AL2508))</f>
        <v/>
      </c>
    </row>
    <row r="2509" spans="38:53" ht="15" customHeight="1" x14ac:dyDescent="0.25">
      <c r="AL2509" s="17"/>
      <c r="AM2509" s="12"/>
      <c r="AN2509" s="18"/>
      <c r="AO2509" s="18"/>
      <c r="AP2509" s="10"/>
      <c r="AQ2509" s="10"/>
      <c r="AR2509" s="19"/>
      <c r="AS2509" s="20"/>
      <c r="AT2509" s="19"/>
      <c r="AV2509" s="21">
        <f>IF(AND($AL2509&lt;&gt;"",COUNTIF($AL$11:$AL2509,$AL2509)=1),1,0)</f>
        <v>0</v>
      </c>
      <c r="AW2509" s="21">
        <f t="shared" si="165"/>
        <v>0</v>
      </c>
      <c r="AX2509" s="21" t="str">
        <f t="shared" si="164"/>
        <v/>
      </c>
      <c r="AY2509" s="21" t="str">
        <f>IF(AND($AM2509&lt;&gt;"",$AS2509&lt;&gt;"✓"),SUMPRODUCT(($AM$11:$AM2509&lt;&gt;"")*($AS$11:$AS2509&lt;&gt;"✓")),"")</f>
        <v/>
      </c>
      <c r="AZ2509" s="21" t="str">
        <f>IF(AND($AM2509&lt;&gt;"",$AS2509="✓"),SUMPRODUCT(($AM$11:$AM2509&lt;&gt;"")*($AS$11:$AS2509="✓")),"")</f>
        <v/>
      </c>
      <c r="BA2509" s="21" t="str">
        <f>IF($AL2509="","",$AL2509&amp;"|"&amp;COUNTIF($AL$11:$AL2509,$AL2509))</f>
        <v/>
      </c>
    </row>
    <row r="2510" spans="38:53" ht="15" customHeight="1" x14ac:dyDescent="0.25">
      <c r="AL2510" s="31"/>
      <c r="AM2510" s="26"/>
      <c r="AN2510" s="32"/>
      <c r="AO2510" s="32"/>
      <c r="AP2510" s="24"/>
      <c r="AQ2510" s="24"/>
      <c r="AR2510" s="33"/>
      <c r="AS2510" s="34"/>
      <c r="AT2510" s="33"/>
      <c r="AV2510" s="21">
        <f>IF(AND($AL2510&lt;&gt;"",COUNTIF($AL$11:$AL2510,$AL2510)=1),1,0)</f>
        <v>0</v>
      </c>
      <c r="AW2510" s="21">
        <f t="shared" si="165"/>
        <v>0</v>
      </c>
      <c r="AX2510" s="21" t="str">
        <f t="shared" si="164"/>
        <v/>
      </c>
      <c r="AY2510" s="21" t="str">
        <f>IF(AND($AM2510&lt;&gt;"",$AS2510&lt;&gt;"✓"),SUMPRODUCT(($AM$11:$AM2510&lt;&gt;"")*($AS$11:$AS2510&lt;&gt;"✓")),"")</f>
        <v/>
      </c>
      <c r="AZ2510" s="21" t="str">
        <f>IF(AND($AM2510&lt;&gt;"",$AS2510="✓"),SUMPRODUCT(($AM$11:$AM2510&lt;&gt;"")*($AS$11:$AS2510="✓")),"")</f>
        <v/>
      </c>
      <c r="BA2510" s="21" t="str">
        <f>IF($AL2510="","",$AL2510&amp;"|"&amp;COUNTIF($AL$11:$AL2510,$AL2510))</f>
        <v/>
      </c>
    </row>
    <row r="2511" spans="38:53" ht="15" customHeight="1" x14ac:dyDescent="0.25">
      <c r="AL2511" s="17"/>
      <c r="AM2511" s="12"/>
      <c r="AN2511" s="18"/>
      <c r="AO2511" s="18"/>
      <c r="AP2511" s="10"/>
      <c r="AQ2511" s="10"/>
      <c r="AR2511" s="19"/>
      <c r="AS2511" s="20"/>
      <c r="AT2511" s="19"/>
      <c r="AV2511" s="21">
        <f>IF(AND($AL2511&lt;&gt;"",COUNTIF($AL$11:$AL2511,$AL2511)=1),1,0)</f>
        <v>0</v>
      </c>
      <c r="AW2511" s="21">
        <f t="shared" si="165"/>
        <v>0</v>
      </c>
      <c r="AX2511" s="21" t="str">
        <f t="shared" si="164"/>
        <v/>
      </c>
      <c r="AY2511" s="21" t="str">
        <f>IF(AND($AM2511&lt;&gt;"",$AS2511&lt;&gt;"✓"),SUMPRODUCT(($AM$11:$AM2511&lt;&gt;"")*($AS$11:$AS2511&lt;&gt;"✓")),"")</f>
        <v/>
      </c>
      <c r="AZ2511" s="21" t="str">
        <f>IF(AND($AM2511&lt;&gt;"",$AS2511="✓"),SUMPRODUCT(($AM$11:$AM2511&lt;&gt;"")*($AS$11:$AS2511="✓")),"")</f>
        <v/>
      </c>
      <c r="BA2511" s="21" t="str">
        <f>IF($AL2511="","",$AL2511&amp;"|"&amp;COUNTIF($AL$11:$AL2511,$AL2511))</f>
        <v/>
      </c>
    </row>
    <row r="2512" spans="38:53" ht="15" customHeight="1" x14ac:dyDescent="0.25">
      <c r="AL2512" s="31"/>
      <c r="AM2512" s="26"/>
      <c r="AN2512" s="32"/>
      <c r="AO2512" s="32"/>
      <c r="AP2512" s="24"/>
      <c r="AQ2512" s="24"/>
      <c r="AR2512" s="33"/>
      <c r="AS2512" s="34"/>
      <c r="AT2512" s="33"/>
      <c r="AV2512" s="21">
        <f>IF(AND($AL2512&lt;&gt;"",COUNTIF($AL$11:$AL2512,$AL2512)=1),1,0)</f>
        <v>0</v>
      </c>
      <c r="AW2512" s="21">
        <f t="shared" si="165"/>
        <v>0</v>
      </c>
      <c r="AX2512" s="21" t="str">
        <f t="shared" si="164"/>
        <v/>
      </c>
      <c r="AY2512" s="21" t="str">
        <f>IF(AND($AM2512&lt;&gt;"",$AS2512&lt;&gt;"✓"),SUMPRODUCT(($AM$11:$AM2512&lt;&gt;"")*($AS$11:$AS2512&lt;&gt;"✓")),"")</f>
        <v/>
      </c>
      <c r="AZ2512" s="21" t="str">
        <f>IF(AND($AM2512&lt;&gt;"",$AS2512="✓"),SUMPRODUCT(($AM$11:$AM2512&lt;&gt;"")*($AS$11:$AS2512="✓")),"")</f>
        <v/>
      </c>
      <c r="BA2512" s="21" t="str">
        <f>IF($AL2512="","",$AL2512&amp;"|"&amp;COUNTIF($AL$11:$AL2512,$AL2512))</f>
        <v/>
      </c>
    </row>
    <row r="2513" spans="38:53" ht="15" customHeight="1" x14ac:dyDescent="0.25">
      <c r="AL2513" s="17"/>
      <c r="AM2513" s="12"/>
      <c r="AN2513" s="18"/>
      <c r="AO2513" s="18"/>
      <c r="AP2513" s="10"/>
      <c r="AQ2513" s="10"/>
      <c r="AR2513" s="19"/>
      <c r="AS2513" s="20"/>
      <c r="AT2513" s="19"/>
      <c r="AV2513" s="21">
        <f>IF(AND($AL2513&lt;&gt;"",COUNTIF($AL$11:$AL2513,$AL2513)=1),1,0)</f>
        <v>0</v>
      </c>
      <c r="AW2513" s="21">
        <f t="shared" si="165"/>
        <v>0</v>
      </c>
      <c r="AX2513" s="21" t="str">
        <f t="shared" si="164"/>
        <v/>
      </c>
      <c r="AY2513" s="21" t="str">
        <f>IF(AND($AM2513&lt;&gt;"",$AS2513&lt;&gt;"✓"),SUMPRODUCT(($AM$11:$AM2513&lt;&gt;"")*($AS$11:$AS2513&lt;&gt;"✓")),"")</f>
        <v/>
      </c>
      <c r="AZ2513" s="21" t="str">
        <f>IF(AND($AM2513&lt;&gt;"",$AS2513="✓"),SUMPRODUCT(($AM$11:$AM2513&lt;&gt;"")*($AS$11:$AS2513="✓")),"")</f>
        <v/>
      </c>
      <c r="BA2513" s="21" t="str">
        <f>IF($AL2513="","",$AL2513&amp;"|"&amp;COUNTIF($AL$11:$AL2513,$AL2513))</f>
        <v/>
      </c>
    </row>
    <row r="2514" spans="38:53" ht="15" customHeight="1" x14ac:dyDescent="0.25">
      <c r="AL2514" s="31"/>
      <c r="AM2514" s="26"/>
      <c r="AN2514" s="32"/>
      <c r="AO2514" s="32"/>
      <c r="AP2514" s="24"/>
      <c r="AQ2514" s="24"/>
      <c r="AR2514" s="33"/>
      <c r="AS2514" s="34"/>
      <c r="AT2514" s="33"/>
      <c r="AV2514" s="21">
        <f>IF(AND($AL2514&lt;&gt;"",COUNTIF($AL$11:$AL2514,$AL2514)=1),1,0)</f>
        <v>0</v>
      </c>
      <c r="AW2514" s="21">
        <f t="shared" si="165"/>
        <v>0</v>
      </c>
      <c r="AX2514" s="21" t="str">
        <f t="shared" si="164"/>
        <v/>
      </c>
      <c r="AY2514" s="21" t="str">
        <f>IF(AND($AM2514&lt;&gt;"",$AS2514&lt;&gt;"✓"),SUMPRODUCT(($AM$11:$AM2514&lt;&gt;"")*($AS$11:$AS2514&lt;&gt;"✓")),"")</f>
        <v/>
      </c>
      <c r="AZ2514" s="21" t="str">
        <f>IF(AND($AM2514&lt;&gt;"",$AS2514="✓"),SUMPRODUCT(($AM$11:$AM2514&lt;&gt;"")*($AS$11:$AS2514="✓")),"")</f>
        <v/>
      </c>
      <c r="BA2514" s="21" t="str">
        <f>IF($AL2514="","",$AL2514&amp;"|"&amp;COUNTIF($AL$11:$AL2514,$AL2514))</f>
        <v/>
      </c>
    </row>
    <row r="2515" spans="38:53" ht="15" customHeight="1" x14ac:dyDescent="0.25">
      <c r="AL2515" s="17"/>
      <c r="AM2515" s="12"/>
      <c r="AN2515" s="18"/>
      <c r="AO2515" s="18"/>
      <c r="AP2515" s="10"/>
      <c r="AQ2515" s="10"/>
      <c r="AR2515" s="19"/>
      <c r="AS2515" s="20"/>
      <c r="AT2515" s="19"/>
      <c r="AV2515" s="21">
        <f>IF(AND($AL2515&lt;&gt;"",COUNTIF($AL$11:$AL2515,$AL2515)=1),1,0)</f>
        <v>0</v>
      </c>
      <c r="AW2515" s="21">
        <f t="shared" si="165"/>
        <v>0</v>
      </c>
      <c r="AX2515" s="21" t="str">
        <f t="shared" si="164"/>
        <v/>
      </c>
      <c r="AY2515" s="21" t="str">
        <f>IF(AND($AM2515&lt;&gt;"",$AS2515&lt;&gt;"✓"),SUMPRODUCT(($AM$11:$AM2515&lt;&gt;"")*($AS$11:$AS2515&lt;&gt;"✓")),"")</f>
        <v/>
      </c>
      <c r="AZ2515" s="21" t="str">
        <f>IF(AND($AM2515&lt;&gt;"",$AS2515="✓"),SUMPRODUCT(($AM$11:$AM2515&lt;&gt;"")*($AS$11:$AS2515="✓")),"")</f>
        <v/>
      </c>
      <c r="BA2515" s="21" t="str">
        <f>IF($AL2515="","",$AL2515&amp;"|"&amp;COUNTIF($AL$11:$AL2515,$AL2515))</f>
        <v/>
      </c>
    </row>
    <row r="2516" spans="38:53" ht="15" customHeight="1" x14ac:dyDescent="0.25">
      <c r="AL2516" s="31"/>
      <c r="AM2516" s="26"/>
      <c r="AN2516" s="32"/>
      <c r="AO2516" s="32"/>
      <c r="AP2516" s="24"/>
      <c r="AQ2516" s="24"/>
      <c r="AR2516" s="33"/>
      <c r="AS2516" s="34"/>
      <c r="AT2516" s="33"/>
      <c r="AV2516" s="21">
        <f>IF(AND($AL2516&lt;&gt;"",COUNTIF($AL$11:$AL2516,$AL2516)=1),1,0)</f>
        <v>0</v>
      </c>
      <c r="AW2516" s="21">
        <f t="shared" si="165"/>
        <v>0</v>
      </c>
      <c r="AX2516" s="21" t="str">
        <f t="shared" si="164"/>
        <v/>
      </c>
      <c r="AY2516" s="21" t="str">
        <f>IF(AND($AM2516&lt;&gt;"",$AS2516&lt;&gt;"✓"),SUMPRODUCT(($AM$11:$AM2516&lt;&gt;"")*($AS$11:$AS2516&lt;&gt;"✓")),"")</f>
        <v/>
      </c>
      <c r="AZ2516" s="21" t="str">
        <f>IF(AND($AM2516&lt;&gt;"",$AS2516="✓"),SUMPRODUCT(($AM$11:$AM2516&lt;&gt;"")*($AS$11:$AS2516="✓")),"")</f>
        <v/>
      </c>
      <c r="BA2516" s="21" t="str">
        <f>IF($AL2516="","",$AL2516&amp;"|"&amp;COUNTIF($AL$11:$AL2516,$AL2516))</f>
        <v/>
      </c>
    </row>
    <row r="2517" spans="38:53" ht="15" customHeight="1" x14ac:dyDescent="0.25">
      <c r="AL2517" s="17"/>
      <c r="AM2517" s="12"/>
      <c r="AN2517" s="18"/>
      <c r="AO2517" s="18"/>
      <c r="AP2517" s="10"/>
      <c r="AQ2517" s="10"/>
      <c r="AR2517" s="19"/>
      <c r="AS2517" s="20"/>
      <c r="AT2517" s="19"/>
      <c r="AV2517" s="21">
        <f>IF(AND($AL2517&lt;&gt;"",COUNTIF($AL$11:$AL2517,$AL2517)=1),1,0)</f>
        <v>0</v>
      </c>
      <c r="AW2517" s="21">
        <f t="shared" si="165"/>
        <v>0</v>
      </c>
      <c r="AX2517" s="21" t="str">
        <f t="shared" si="164"/>
        <v/>
      </c>
      <c r="AY2517" s="21" t="str">
        <f>IF(AND($AM2517&lt;&gt;"",$AS2517&lt;&gt;"✓"),SUMPRODUCT(($AM$11:$AM2517&lt;&gt;"")*($AS$11:$AS2517&lt;&gt;"✓")),"")</f>
        <v/>
      </c>
      <c r="AZ2517" s="21" t="str">
        <f>IF(AND($AM2517&lt;&gt;"",$AS2517="✓"),SUMPRODUCT(($AM$11:$AM2517&lt;&gt;"")*($AS$11:$AS2517="✓")),"")</f>
        <v/>
      </c>
      <c r="BA2517" s="21" t="str">
        <f>IF($AL2517="","",$AL2517&amp;"|"&amp;COUNTIF($AL$11:$AL2517,$AL2517))</f>
        <v/>
      </c>
    </row>
    <row r="2518" spans="38:53" ht="15" customHeight="1" x14ac:dyDescent="0.25">
      <c r="AL2518" s="31"/>
      <c r="AM2518" s="26"/>
      <c r="AN2518" s="32"/>
      <c r="AO2518" s="32"/>
      <c r="AP2518" s="24"/>
      <c r="AQ2518" s="24"/>
      <c r="AR2518" s="33"/>
      <c r="AS2518" s="34"/>
      <c r="AT2518" s="33"/>
      <c r="AV2518" s="21">
        <f>IF(AND($AL2518&lt;&gt;"",COUNTIF($AL$11:$AL2518,$AL2518)=1),1,0)</f>
        <v>0</v>
      </c>
      <c r="AW2518" s="21">
        <f t="shared" si="165"/>
        <v>0</v>
      </c>
      <c r="AX2518" s="21" t="str">
        <f t="shared" si="164"/>
        <v/>
      </c>
      <c r="AY2518" s="21" t="str">
        <f>IF(AND($AM2518&lt;&gt;"",$AS2518&lt;&gt;"✓"),SUMPRODUCT(($AM$11:$AM2518&lt;&gt;"")*($AS$11:$AS2518&lt;&gt;"✓")),"")</f>
        <v/>
      </c>
      <c r="AZ2518" s="21" t="str">
        <f>IF(AND($AM2518&lt;&gt;"",$AS2518="✓"),SUMPRODUCT(($AM$11:$AM2518&lt;&gt;"")*($AS$11:$AS2518="✓")),"")</f>
        <v/>
      </c>
      <c r="BA2518" s="21" t="str">
        <f>IF($AL2518="","",$AL2518&amp;"|"&amp;COUNTIF($AL$11:$AL2518,$AL2518))</f>
        <v/>
      </c>
    </row>
    <row r="2519" spans="38:53" ht="15" customHeight="1" x14ac:dyDescent="0.25">
      <c r="AL2519" s="17"/>
      <c r="AM2519" s="12"/>
      <c r="AN2519" s="18"/>
      <c r="AO2519" s="18"/>
      <c r="AP2519" s="10"/>
      <c r="AQ2519" s="10"/>
      <c r="AR2519" s="19"/>
      <c r="AS2519" s="20"/>
      <c r="AT2519" s="19"/>
      <c r="AV2519" s="21">
        <f>IF(AND($AL2519&lt;&gt;"",COUNTIF($AL$11:$AL2519,$AL2519)=1),1,0)</f>
        <v>0</v>
      </c>
      <c r="AW2519" s="21">
        <f t="shared" si="165"/>
        <v>0</v>
      </c>
      <c r="AX2519" s="21" t="str">
        <f t="shared" si="164"/>
        <v/>
      </c>
      <c r="AY2519" s="21" t="str">
        <f>IF(AND($AM2519&lt;&gt;"",$AS2519&lt;&gt;"✓"),SUMPRODUCT(($AM$11:$AM2519&lt;&gt;"")*($AS$11:$AS2519&lt;&gt;"✓")),"")</f>
        <v/>
      </c>
      <c r="AZ2519" s="21" t="str">
        <f>IF(AND($AM2519&lt;&gt;"",$AS2519="✓"),SUMPRODUCT(($AM$11:$AM2519&lt;&gt;"")*($AS$11:$AS2519="✓")),"")</f>
        <v/>
      </c>
      <c r="BA2519" s="21" t="str">
        <f>IF($AL2519="","",$AL2519&amp;"|"&amp;COUNTIF($AL$11:$AL2519,$AL2519))</f>
        <v/>
      </c>
    </row>
    <row r="2520" spans="38:53" ht="15" customHeight="1" x14ac:dyDescent="0.25">
      <c r="AL2520" s="31"/>
      <c r="AM2520" s="26"/>
      <c r="AN2520" s="32"/>
      <c r="AO2520" s="32"/>
      <c r="AP2520" s="24"/>
      <c r="AQ2520" s="24"/>
      <c r="AR2520" s="33"/>
      <c r="AS2520" s="34"/>
      <c r="AT2520" s="33"/>
      <c r="AV2520" s="21">
        <f>IF(AND($AL2520&lt;&gt;"",COUNTIF($AL$11:$AL2520,$AL2520)=1),1,0)</f>
        <v>0</v>
      </c>
      <c r="AW2520" s="21">
        <f t="shared" si="165"/>
        <v>0</v>
      </c>
      <c r="AX2520" s="21" t="str">
        <f t="shared" si="164"/>
        <v/>
      </c>
      <c r="AY2520" s="21" t="str">
        <f>IF(AND($AM2520&lt;&gt;"",$AS2520&lt;&gt;"✓"),SUMPRODUCT(($AM$11:$AM2520&lt;&gt;"")*($AS$11:$AS2520&lt;&gt;"✓")),"")</f>
        <v/>
      </c>
      <c r="AZ2520" s="21" t="str">
        <f>IF(AND($AM2520&lt;&gt;"",$AS2520="✓"),SUMPRODUCT(($AM$11:$AM2520&lt;&gt;"")*($AS$11:$AS2520="✓")),"")</f>
        <v/>
      </c>
      <c r="BA2520" s="21" t="str">
        <f>IF($AL2520="","",$AL2520&amp;"|"&amp;COUNTIF($AL$11:$AL2520,$AL2520))</f>
        <v/>
      </c>
    </row>
    <row r="2521" spans="38:53" ht="15" customHeight="1" x14ac:dyDescent="0.25">
      <c r="AL2521" s="17"/>
      <c r="AM2521" s="12"/>
      <c r="AN2521" s="18"/>
      <c r="AO2521" s="18"/>
      <c r="AP2521" s="10"/>
      <c r="AQ2521" s="10"/>
      <c r="AR2521" s="19"/>
      <c r="AS2521" s="20"/>
      <c r="AT2521" s="19"/>
      <c r="AV2521" s="21">
        <f>IF(AND($AL2521&lt;&gt;"",COUNTIF($AL$11:$AL2521,$AL2521)=1),1,0)</f>
        <v>0</v>
      </c>
      <c r="AW2521" s="21">
        <f t="shared" si="165"/>
        <v>0</v>
      </c>
      <c r="AX2521" s="21" t="str">
        <f t="shared" si="164"/>
        <v/>
      </c>
      <c r="AY2521" s="21" t="str">
        <f>IF(AND($AM2521&lt;&gt;"",$AS2521&lt;&gt;"✓"),SUMPRODUCT(($AM$11:$AM2521&lt;&gt;"")*($AS$11:$AS2521&lt;&gt;"✓")),"")</f>
        <v/>
      </c>
      <c r="AZ2521" s="21" t="str">
        <f>IF(AND($AM2521&lt;&gt;"",$AS2521="✓"),SUMPRODUCT(($AM$11:$AM2521&lt;&gt;"")*($AS$11:$AS2521="✓")),"")</f>
        <v/>
      </c>
      <c r="BA2521" s="21" t="str">
        <f>IF($AL2521="","",$AL2521&amp;"|"&amp;COUNTIF($AL$11:$AL2521,$AL2521))</f>
        <v/>
      </c>
    </row>
    <row r="2522" spans="38:53" ht="15" customHeight="1" x14ac:dyDescent="0.25">
      <c r="AL2522" s="31"/>
      <c r="AM2522" s="26"/>
      <c r="AN2522" s="32"/>
      <c r="AO2522" s="32"/>
      <c r="AP2522" s="24"/>
      <c r="AQ2522" s="24"/>
      <c r="AR2522" s="33"/>
      <c r="AS2522" s="34"/>
      <c r="AT2522" s="33"/>
      <c r="AV2522" s="21">
        <f>IF(AND($AL2522&lt;&gt;"",COUNTIF($AL$11:$AL2522,$AL2522)=1),1,0)</f>
        <v>0</v>
      </c>
      <c r="AW2522" s="21">
        <f t="shared" si="165"/>
        <v>0</v>
      </c>
      <c r="AX2522" s="21" t="str">
        <f t="shared" si="164"/>
        <v/>
      </c>
      <c r="AY2522" s="21" t="str">
        <f>IF(AND($AM2522&lt;&gt;"",$AS2522&lt;&gt;"✓"),SUMPRODUCT(($AM$11:$AM2522&lt;&gt;"")*($AS$11:$AS2522&lt;&gt;"✓")),"")</f>
        <v/>
      </c>
      <c r="AZ2522" s="21" t="str">
        <f>IF(AND($AM2522&lt;&gt;"",$AS2522="✓"),SUMPRODUCT(($AM$11:$AM2522&lt;&gt;"")*($AS$11:$AS2522="✓")),"")</f>
        <v/>
      </c>
      <c r="BA2522" s="21" t="str">
        <f>IF($AL2522="","",$AL2522&amp;"|"&amp;COUNTIF($AL$11:$AL2522,$AL2522))</f>
        <v/>
      </c>
    </row>
    <row r="2523" spans="38:53" ht="15" customHeight="1" x14ac:dyDescent="0.25">
      <c r="AL2523" s="17"/>
      <c r="AM2523" s="12"/>
      <c r="AN2523" s="18"/>
      <c r="AO2523" s="18"/>
      <c r="AP2523" s="10"/>
      <c r="AQ2523" s="10"/>
      <c r="AR2523" s="19"/>
      <c r="AS2523" s="20"/>
      <c r="AT2523" s="19"/>
      <c r="AV2523" s="21">
        <f>IF(AND($AL2523&lt;&gt;"",COUNTIF($AL$11:$AL2523,$AL2523)=1),1,0)</f>
        <v>0</v>
      </c>
      <c r="AW2523" s="21">
        <f t="shared" si="165"/>
        <v>0</v>
      </c>
      <c r="AX2523" s="21" t="str">
        <f t="shared" si="164"/>
        <v/>
      </c>
      <c r="AY2523" s="21" t="str">
        <f>IF(AND($AM2523&lt;&gt;"",$AS2523&lt;&gt;"✓"),SUMPRODUCT(($AM$11:$AM2523&lt;&gt;"")*($AS$11:$AS2523&lt;&gt;"✓")),"")</f>
        <v/>
      </c>
      <c r="AZ2523" s="21" t="str">
        <f>IF(AND($AM2523&lt;&gt;"",$AS2523="✓"),SUMPRODUCT(($AM$11:$AM2523&lt;&gt;"")*($AS$11:$AS2523="✓")),"")</f>
        <v/>
      </c>
      <c r="BA2523" s="21" t="str">
        <f>IF($AL2523="","",$AL2523&amp;"|"&amp;COUNTIF($AL$11:$AL2523,$AL2523))</f>
        <v/>
      </c>
    </row>
    <row r="2524" spans="38:53" ht="15" customHeight="1" x14ac:dyDescent="0.25">
      <c r="AL2524" s="31"/>
      <c r="AM2524" s="26"/>
      <c r="AN2524" s="32"/>
      <c r="AO2524" s="32"/>
      <c r="AP2524" s="24"/>
      <c r="AQ2524" s="24"/>
      <c r="AR2524" s="33"/>
      <c r="AS2524" s="34"/>
      <c r="AT2524" s="33"/>
      <c r="AV2524" s="21">
        <f>IF(AND($AL2524&lt;&gt;"",COUNTIF($AL$11:$AL2524,$AL2524)=1),1,0)</f>
        <v>0</v>
      </c>
      <c r="AW2524" s="21">
        <f t="shared" si="165"/>
        <v>0</v>
      </c>
      <c r="AX2524" s="21" t="str">
        <f t="shared" si="164"/>
        <v/>
      </c>
      <c r="AY2524" s="21" t="str">
        <f>IF(AND($AM2524&lt;&gt;"",$AS2524&lt;&gt;"✓"),SUMPRODUCT(($AM$11:$AM2524&lt;&gt;"")*($AS$11:$AS2524&lt;&gt;"✓")),"")</f>
        <v/>
      </c>
      <c r="AZ2524" s="21" t="str">
        <f>IF(AND($AM2524&lt;&gt;"",$AS2524="✓"),SUMPRODUCT(($AM$11:$AM2524&lt;&gt;"")*($AS$11:$AS2524="✓")),"")</f>
        <v/>
      </c>
      <c r="BA2524" s="21" t="str">
        <f>IF($AL2524="","",$AL2524&amp;"|"&amp;COUNTIF($AL$11:$AL2524,$AL2524))</f>
        <v/>
      </c>
    </row>
    <row r="2525" spans="38:53" ht="15" customHeight="1" x14ac:dyDescent="0.25">
      <c r="AL2525" s="17"/>
      <c r="AM2525" s="12"/>
      <c r="AN2525" s="18"/>
      <c r="AO2525" s="18"/>
      <c r="AP2525" s="10"/>
      <c r="AQ2525" s="10"/>
      <c r="AR2525" s="19"/>
      <c r="AS2525" s="20"/>
      <c r="AT2525" s="19"/>
      <c r="AV2525" s="21">
        <f>IF(AND($AL2525&lt;&gt;"",COUNTIF($AL$11:$AL2525,$AL2525)=1),1,0)</f>
        <v>0</v>
      </c>
      <c r="AW2525" s="21">
        <f t="shared" si="165"/>
        <v>0</v>
      </c>
      <c r="AX2525" s="21" t="str">
        <f t="shared" si="164"/>
        <v/>
      </c>
      <c r="AY2525" s="21" t="str">
        <f>IF(AND($AM2525&lt;&gt;"",$AS2525&lt;&gt;"✓"),SUMPRODUCT(($AM$11:$AM2525&lt;&gt;"")*($AS$11:$AS2525&lt;&gt;"✓")),"")</f>
        <v/>
      </c>
      <c r="AZ2525" s="21" t="str">
        <f>IF(AND($AM2525&lt;&gt;"",$AS2525="✓"),SUMPRODUCT(($AM$11:$AM2525&lt;&gt;"")*($AS$11:$AS2525="✓")),"")</f>
        <v/>
      </c>
      <c r="BA2525" s="21" t="str">
        <f>IF($AL2525="","",$AL2525&amp;"|"&amp;COUNTIF($AL$11:$AL2525,$AL2525))</f>
        <v/>
      </c>
    </row>
    <row r="2526" spans="38:53" ht="15" customHeight="1" x14ac:dyDescent="0.25">
      <c r="AL2526" s="31"/>
      <c r="AM2526" s="26"/>
      <c r="AN2526" s="32"/>
      <c r="AO2526" s="32"/>
      <c r="AP2526" s="24"/>
      <c r="AQ2526" s="24"/>
      <c r="AR2526" s="33"/>
      <c r="AS2526" s="34"/>
      <c r="AT2526" s="33"/>
      <c r="AV2526" s="21">
        <f>IF(AND($AL2526&lt;&gt;"",COUNTIF($AL$11:$AL2526,$AL2526)=1),1,0)</f>
        <v>0</v>
      </c>
      <c r="AW2526" s="21">
        <f t="shared" si="165"/>
        <v>0</v>
      </c>
      <c r="AX2526" s="21" t="str">
        <f t="shared" si="164"/>
        <v/>
      </c>
      <c r="AY2526" s="21" t="str">
        <f>IF(AND($AM2526&lt;&gt;"",$AS2526&lt;&gt;"✓"),SUMPRODUCT(($AM$11:$AM2526&lt;&gt;"")*($AS$11:$AS2526&lt;&gt;"✓")),"")</f>
        <v/>
      </c>
      <c r="AZ2526" s="21" t="str">
        <f>IF(AND($AM2526&lt;&gt;"",$AS2526="✓"),SUMPRODUCT(($AM$11:$AM2526&lt;&gt;"")*($AS$11:$AS2526="✓")),"")</f>
        <v/>
      </c>
      <c r="BA2526" s="21" t="str">
        <f>IF($AL2526="","",$AL2526&amp;"|"&amp;COUNTIF($AL$11:$AL2526,$AL2526))</f>
        <v/>
      </c>
    </row>
    <row r="2527" spans="38:53" ht="15" customHeight="1" x14ac:dyDescent="0.25">
      <c r="AL2527" s="17"/>
      <c r="AM2527" s="12"/>
      <c r="AN2527" s="18"/>
      <c r="AO2527" s="18"/>
      <c r="AP2527" s="10"/>
      <c r="AQ2527" s="10"/>
      <c r="AR2527" s="19"/>
      <c r="AS2527" s="20"/>
      <c r="AT2527" s="19"/>
      <c r="AV2527" s="21">
        <f>IF(AND($AL2527&lt;&gt;"",COUNTIF($AL$11:$AL2527,$AL2527)=1),1,0)</f>
        <v>0</v>
      </c>
      <c r="AW2527" s="21">
        <f t="shared" si="165"/>
        <v>0</v>
      </c>
      <c r="AX2527" s="21" t="str">
        <f t="shared" si="164"/>
        <v/>
      </c>
      <c r="AY2527" s="21" t="str">
        <f>IF(AND($AM2527&lt;&gt;"",$AS2527&lt;&gt;"✓"),SUMPRODUCT(($AM$11:$AM2527&lt;&gt;"")*($AS$11:$AS2527&lt;&gt;"✓")),"")</f>
        <v/>
      </c>
      <c r="AZ2527" s="21" t="str">
        <f>IF(AND($AM2527&lt;&gt;"",$AS2527="✓"),SUMPRODUCT(($AM$11:$AM2527&lt;&gt;"")*($AS$11:$AS2527="✓")),"")</f>
        <v/>
      </c>
      <c r="BA2527" s="21" t="str">
        <f>IF($AL2527="","",$AL2527&amp;"|"&amp;COUNTIF($AL$11:$AL2527,$AL2527))</f>
        <v/>
      </c>
    </row>
    <row r="2528" spans="38:53" ht="15" customHeight="1" x14ac:dyDescent="0.25">
      <c r="AL2528" s="31"/>
      <c r="AM2528" s="26"/>
      <c r="AN2528" s="32"/>
      <c r="AO2528" s="32"/>
      <c r="AP2528" s="24"/>
      <c r="AQ2528" s="24"/>
      <c r="AR2528" s="33"/>
      <c r="AS2528" s="34"/>
      <c r="AT2528" s="33"/>
      <c r="AV2528" s="21">
        <f>IF(AND($AL2528&lt;&gt;"",COUNTIF($AL$11:$AL2528,$AL2528)=1),1,0)</f>
        <v>0</v>
      </c>
      <c r="AW2528" s="21">
        <f t="shared" si="165"/>
        <v>0</v>
      </c>
      <c r="AX2528" s="21" t="str">
        <f t="shared" si="164"/>
        <v/>
      </c>
      <c r="AY2528" s="21" t="str">
        <f>IF(AND($AM2528&lt;&gt;"",$AS2528&lt;&gt;"✓"),SUMPRODUCT(($AM$11:$AM2528&lt;&gt;"")*($AS$11:$AS2528&lt;&gt;"✓")),"")</f>
        <v/>
      </c>
      <c r="AZ2528" s="21" t="str">
        <f>IF(AND($AM2528&lt;&gt;"",$AS2528="✓"),SUMPRODUCT(($AM$11:$AM2528&lt;&gt;"")*($AS$11:$AS2528="✓")),"")</f>
        <v/>
      </c>
      <c r="BA2528" s="21" t="str">
        <f>IF($AL2528="","",$AL2528&amp;"|"&amp;COUNTIF($AL$11:$AL2528,$AL2528))</f>
        <v/>
      </c>
    </row>
    <row r="2529" spans="38:53" ht="15" customHeight="1" x14ac:dyDescent="0.25">
      <c r="AL2529" s="17"/>
      <c r="AM2529" s="12"/>
      <c r="AN2529" s="18"/>
      <c r="AO2529" s="18"/>
      <c r="AP2529" s="10"/>
      <c r="AQ2529" s="10"/>
      <c r="AR2529" s="19"/>
      <c r="AS2529" s="20"/>
      <c r="AT2529" s="19"/>
      <c r="AV2529" s="21">
        <f>IF(AND($AL2529&lt;&gt;"",COUNTIF($AL$11:$AL2529,$AL2529)=1),1,0)</f>
        <v>0</v>
      </c>
      <c r="AW2529" s="21">
        <f t="shared" si="165"/>
        <v>0</v>
      </c>
      <c r="AX2529" s="21" t="str">
        <f t="shared" si="164"/>
        <v/>
      </c>
      <c r="AY2529" s="21" t="str">
        <f>IF(AND($AM2529&lt;&gt;"",$AS2529&lt;&gt;"✓"),SUMPRODUCT(($AM$11:$AM2529&lt;&gt;"")*($AS$11:$AS2529&lt;&gt;"✓")),"")</f>
        <v/>
      </c>
      <c r="AZ2529" s="21" t="str">
        <f>IF(AND($AM2529&lt;&gt;"",$AS2529="✓"),SUMPRODUCT(($AM$11:$AM2529&lt;&gt;"")*($AS$11:$AS2529="✓")),"")</f>
        <v/>
      </c>
      <c r="BA2529" s="21" t="str">
        <f>IF($AL2529="","",$AL2529&amp;"|"&amp;COUNTIF($AL$11:$AL2529,$AL2529))</f>
        <v/>
      </c>
    </row>
    <row r="2530" spans="38:53" ht="15" customHeight="1" x14ac:dyDescent="0.25">
      <c r="AL2530" s="31"/>
      <c r="AM2530" s="26"/>
      <c r="AN2530" s="32"/>
      <c r="AO2530" s="32"/>
      <c r="AP2530" s="24"/>
      <c r="AQ2530" s="24"/>
      <c r="AR2530" s="33"/>
      <c r="AS2530" s="34"/>
      <c r="AT2530" s="33"/>
      <c r="AV2530" s="21">
        <f>IF(AND($AL2530&lt;&gt;"",COUNTIF($AL$11:$AL2530,$AL2530)=1),1,0)</f>
        <v>0</v>
      </c>
      <c r="AW2530" s="21">
        <f t="shared" si="165"/>
        <v>0</v>
      </c>
      <c r="AX2530" s="21" t="str">
        <f t="shared" si="164"/>
        <v/>
      </c>
      <c r="AY2530" s="21" t="str">
        <f>IF(AND($AM2530&lt;&gt;"",$AS2530&lt;&gt;"✓"),SUMPRODUCT(($AM$11:$AM2530&lt;&gt;"")*($AS$11:$AS2530&lt;&gt;"✓")),"")</f>
        <v/>
      </c>
      <c r="AZ2530" s="21" t="str">
        <f>IF(AND($AM2530&lt;&gt;"",$AS2530="✓"),SUMPRODUCT(($AM$11:$AM2530&lt;&gt;"")*($AS$11:$AS2530="✓")),"")</f>
        <v/>
      </c>
      <c r="BA2530" s="21" t="str">
        <f>IF($AL2530="","",$AL2530&amp;"|"&amp;COUNTIF($AL$11:$AL2530,$AL2530))</f>
        <v/>
      </c>
    </row>
    <row r="2531" spans="38:53" ht="15" customHeight="1" x14ac:dyDescent="0.25">
      <c r="AL2531" s="17"/>
      <c r="AM2531" s="12"/>
      <c r="AN2531" s="18"/>
      <c r="AO2531" s="18"/>
      <c r="AP2531" s="10"/>
      <c r="AQ2531" s="10"/>
      <c r="AR2531" s="19"/>
      <c r="AS2531" s="20"/>
      <c r="AT2531" s="19"/>
      <c r="AV2531" s="21">
        <f>IF(AND($AL2531&lt;&gt;"",COUNTIF($AL$11:$AL2531,$AL2531)=1),1,0)</f>
        <v>0</v>
      </c>
      <c r="AW2531" s="21">
        <f t="shared" si="165"/>
        <v>0</v>
      </c>
      <c r="AX2531" s="21" t="str">
        <f t="shared" si="164"/>
        <v/>
      </c>
      <c r="AY2531" s="21" t="str">
        <f>IF(AND($AM2531&lt;&gt;"",$AS2531&lt;&gt;"✓"),SUMPRODUCT(($AM$11:$AM2531&lt;&gt;"")*($AS$11:$AS2531&lt;&gt;"✓")),"")</f>
        <v/>
      </c>
      <c r="AZ2531" s="21" t="str">
        <f>IF(AND($AM2531&lt;&gt;"",$AS2531="✓"),SUMPRODUCT(($AM$11:$AM2531&lt;&gt;"")*($AS$11:$AS2531="✓")),"")</f>
        <v/>
      </c>
      <c r="BA2531" s="21" t="str">
        <f>IF($AL2531="","",$AL2531&amp;"|"&amp;COUNTIF($AL$11:$AL2531,$AL2531))</f>
        <v/>
      </c>
    </row>
    <row r="2532" spans="38:53" ht="15" customHeight="1" x14ac:dyDescent="0.25">
      <c r="AL2532" s="31"/>
      <c r="AM2532" s="26"/>
      <c r="AN2532" s="32"/>
      <c r="AO2532" s="32"/>
      <c r="AP2532" s="24"/>
      <c r="AQ2532" s="24"/>
      <c r="AR2532" s="33"/>
      <c r="AS2532" s="34"/>
      <c r="AT2532" s="33"/>
      <c r="AV2532" s="21">
        <f>IF(AND($AL2532&lt;&gt;"",COUNTIF($AL$11:$AL2532,$AL2532)=1),1,0)</f>
        <v>0</v>
      </c>
      <c r="AW2532" s="21">
        <f t="shared" si="165"/>
        <v>0</v>
      </c>
      <c r="AX2532" s="21" t="str">
        <f t="shared" si="164"/>
        <v/>
      </c>
      <c r="AY2532" s="21" t="str">
        <f>IF(AND($AM2532&lt;&gt;"",$AS2532&lt;&gt;"✓"),SUMPRODUCT(($AM$11:$AM2532&lt;&gt;"")*($AS$11:$AS2532&lt;&gt;"✓")),"")</f>
        <v/>
      </c>
      <c r="AZ2532" s="21" t="str">
        <f>IF(AND($AM2532&lt;&gt;"",$AS2532="✓"),SUMPRODUCT(($AM$11:$AM2532&lt;&gt;"")*($AS$11:$AS2532="✓")),"")</f>
        <v/>
      </c>
      <c r="BA2532" s="21" t="str">
        <f>IF($AL2532="","",$AL2532&amp;"|"&amp;COUNTIF($AL$11:$AL2532,$AL2532))</f>
        <v/>
      </c>
    </row>
    <row r="2533" spans="38:53" ht="15" customHeight="1" x14ac:dyDescent="0.25">
      <c r="AL2533" s="17"/>
      <c r="AM2533" s="12"/>
      <c r="AN2533" s="18"/>
      <c r="AO2533" s="18"/>
      <c r="AP2533" s="10"/>
      <c r="AQ2533" s="10"/>
      <c r="AR2533" s="19"/>
      <c r="AS2533" s="20"/>
      <c r="AT2533" s="19"/>
      <c r="AV2533" s="21">
        <f>IF(AND($AL2533&lt;&gt;"",COUNTIF($AL$11:$AL2533,$AL2533)=1),1,0)</f>
        <v>0</v>
      </c>
      <c r="AW2533" s="21">
        <f t="shared" si="165"/>
        <v>0</v>
      </c>
      <c r="AX2533" s="21" t="str">
        <f t="shared" si="164"/>
        <v/>
      </c>
      <c r="AY2533" s="21" t="str">
        <f>IF(AND($AM2533&lt;&gt;"",$AS2533&lt;&gt;"✓"),SUMPRODUCT(($AM$11:$AM2533&lt;&gt;"")*($AS$11:$AS2533&lt;&gt;"✓")),"")</f>
        <v/>
      </c>
      <c r="AZ2533" s="21" t="str">
        <f>IF(AND($AM2533&lt;&gt;"",$AS2533="✓"),SUMPRODUCT(($AM$11:$AM2533&lt;&gt;"")*($AS$11:$AS2533="✓")),"")</f>
        <v/>
      </c>
      <c r="BA2533" s="21" t="str">
        <f>IF($AL2533="","",$AL2533&amp;"|"&amp;COUNTIF($AL$11:$AL2533,$AL2533))</f>
        <v/>
      </c>
    </row>
    <row r="2534" spans="38:53" ht="15" customHeight="1" x14ac:dyDescent="0.25">
      <c r="AL2534" s="31"/>
      <c r="AM2534" s="26"/>
      <c r="AN2534" s="32"/>
      <c r="AO2534" s="32"/>
      <c r="AP2534" s="24"/>
      <c r="AQ2534" s="24"/>
      <c r="AR2534" s="33"/>
      <c r="AS2534" s="34"/>
      <c r="AT2534" s="33"/>
      <c r="AV2534" s="21">
        <f>IF(AND($AL2534&lt;&gt;"",COUNTIF($AL$11:$AL2534,$AL2534)=1),1,0)</f>
        <v>0</v>
      </c>
      <c r="AW2534" s="21">
        <f t="shared" si="165"/>
        <v>0</v>
      </c>
      <c r="AX2534" s="21" t="str">
        <f t="shared" si="164"/>
        <v/>
      </c>
      <c r="AY2534" s="21" t="str">
        <f>IF(AND($AM2534&lt;&gt;"",$AS2534&lt;&gt;"✓"),SUMPRODUCT(($AM$11:$AM2534&lt;&gt;"")*($AS$11:$AS2534&lt;&gt;"✓")),"")</f>
        <v/>
      </c>
      <c r="AZ2534" s="21" t="str">
        <f>IF(AND($AM2534&lt;&gt;"",$AS2534="✓"),SUMPRODUCT(($AM$11:$AM2534&lt;&gt;"")*($AS$11:$AS2534="✓")),"")</f>
        <v/>
      </c>
      <c r="BA2534" s="21" t="str">
        <f>IF($AL2534="","",$AL2534&amp;"|"&amp;COUNTIF($AL$11:$AL2534,$AL2534))</f>
        <v/>
      </c>
    </row>
    <row r="2535" spans="38:53" ht="15" customHeight="1" x14ac:dyDescent="0.25">
      <c r="AL2535" s="17"/>
      <c r="AM2535" s="12"/>
      <c r="AN2535" s="18"/>
      <c r="AO2535" s="18"/>
      <c r="AP2535" s="10"/>
      <c r="AQ2535" s="10"/>
      <c r="AR2535" s="19"/>
      <c r="AS2535" s="20"/>
      <c r="AT2535" s="19"/>
      <c r="AV2535" s="21">
        <f>IF(AND($AL2535&lt;&gt;"",COUNTIF($AL$11:$AL2535,$AL2535)=1),1,0)</f>
        <v>0</v>
      </c>
      <c r="AW2535" s="21">
        <f t="shared" si="165"/>
        <v>0</v>
      </c>
      <c r="AX2535" s="21" t="str">
        <f t="shared" si="164"/>
        <v/>
      </c>
      <c r="AY2535" s="21" t="str">
        <f>IF(AND($AM2535&lt;&gt;"",$AS2535&lt;&gt;"✓"),SUMPRODUCT(($AM$11:$AM2535&lt;&gt;"")*($AS$11:$AS2535&lt;&gt;"✓")),"")</f>
        <v/>
      </c>
      <c r="AZ2535" s="21" t="str">
        <f>IF(AND($AM2535&lt;&gt;"",$AS2535="✓"),SUMPRODUCT(($AM$11:$AM2535&lt;&gt;"")*($AS$11:$AS2535="✓")),"")</f>
        <v/>
      </c>
      <c r="BA2535" s="21" t="str">
        <f>IF($AL2535="","",$AL2535&amp;"|"&amp;COUNTIF($AL$11:$AL2535,$AL2535))</f>
        <v/>
      </c>
    </row>
    <row r="2536" spans="38:53" ht="15" customHeight="1" x14ac:dyDescent="0.25">
      <c r="AL2536" s="31"/>
      <c r="AM2536" s="26"/>
      <c r="AN2536" s="32"/>
      <c r="AO2536" s="32"/>
      <c r="AP2536" s="24"/>
      <c r="AQ2536" s="24"/>
      <c r="AR2536" s="33"/>
      <c r="AS2536" s="34"/>
      <c r="AT2536" s="33"/>
      <c r="AV2536" s="21">
        <f>IF(AND($AL2536&lt;&gt;"",COUNTIF($AL$11:$AL2536,$AL2536)=1),1,0)</f>
        <v>0</v>
      </c>
      <c r="AW2536" s="21">
        <f t="shared" si="165"/>
        <v>0</v>
      </c>
      <c r="AX2536" s="21" t="str">
        <f t="shared" si="164"/>
        <v/>
      </c>
      <c r="AY2536" s="21" t="str">
        <f>IF(AND($AM2536&lt;&gt;"",$AS2536&lt;&gt;"✓"),SUMPRODUCT(($AM$11:$AM2536&lt;&gt;"")*($AS$11:$AS2536&lt;&gt;"✓")),"")</f>
        <v/>
      </c>
      <c r="AZ2536" s="21" t="str">
        <f>IF(AND($AM2536&lt;&gt;"",$AS2536="✓"),SUMPRODUCT(($AM$11:$AM2536&lt;&gt;"")*($AS$11:$AS2536="✓")),"")</f>
        <v/>
      </c>
      <c r="BA2536" s="21" t="str">
        <f>IF($AL2536="","",$AL2536&amp;"|"&amp;COUNTIF($AL$11:$AL2536,$AL2536))</f>
        <v/>
      </c>
    </row>
    <row r="2537" spans="38:53" ht="15" customHeight="1" x14ac:dyDescent="0.25">
      <c r="AL2537" s="17"/>
      <c r="AM2537" s="12"/>
      <c r="AN2537" s="18"/>
      <c r="AO2537" s="18"/>
      <c r="AP2537" s="10"/>
      <c r="AQ2537" s="10"/>
      <c r="AR2537" s="19"/>
      <c r="AS2537" s="20"/>
      <c r="AT2537" s="19"/>
      <c r="AV2537" s="21">
        <f>IF(AND($AL2537&lt;&gt;"",COUNTIF($AL$11:$AL2537,$AL2537)=1),1,0)</f>
        <v>0</v>
      </c>
      <c r="AW2537" s="21">
        <f t="shared" si="165"/>
        <v>0</v>
      </c>
      <c r="AX2537" s="21" t="str">
        <f t="shared" si="164"/>
        <v/>
      </c>
      <c r="AY2537" s="21" t="str">
        <f>IF(AND($AM2537&lt;&gt;"",$AS2537&lt;&gt;"✓"),SUMPRODUCT(($AM$11:$AM2537&lt;&gt;"")*($AS$11:$AS2537&lt;&gt;"✓")),"")</f>
        <v/>
      </c>
      <c r="AZ2537" s="21" t="str">
        <f>IF(AND($AM2537&lt;&gt;"",$AS2537="✓"),SUMPRODUCT(($AM$11:$AM2537&lt;&gt;"")*($AS$11:$AS2537="✓")),"")</f>
        <v/>
      </c>
      <c r="BA2537" s="21" t="str">
        <f>IF($AL2537="","",$AL2537&amp;"|"&amp;COUNTIF($AL$11:$AL2537,$AL2537))</f>
        <v/>
      </c>
    </row>
    <row r="2538" spans="38:53" ht="15" customHeight="1" x14ac:dyDescent="0.25">
      <c r="AL2538" s="31"/>
      <c r="AM2538" s="26"/>
      <c r="AN2538" s="32"/>
      <c r="AO2538" s="32"/>
      <c r="AP2538" s="24"/>
      <c r="AQ2538" s="24"/>
      <c r="AR2538" s="33"/>
      <c r="AS2538" s="34"/>
      <c r="AT2538" s="33"/>
      <c r="AV2538" s="21">
        <f>IF(AND($AL2538&lt;&gt;"",COUNTIF($AL$11:$AL2538,$AL2538)=1),1,0)</f>
        <v>0</v>
      </c>
      <c r="AW2538" s="21">
        <f t="shared" si="165"/>
        <v>0</v>
      </c>
      <c r="AX2538" s="21" t="str">
        <f t="shared" si="164"/>
        <v/>
      </c>
      <c r="AY2538" s="21" t="str">
        <f>IF(AND($AM2538&lt;&gt;"",$AS2538&lt;&gt;"✓"),SUMPRODUCT(($AM$11:$AM2538&lt;&gt;"")*($AS$11:$AS2538&lt;&gt;"✓")),"")</f>
        <v/>
      </c>
      <c r="AZ2538" s="21" t="str">
        <f>IF(AND($AM2538&lt;&gt;"",$AS2538="✓"),SUMPRODUCT(($AM$11:$AM2538&lt;&gt;"")*($AS$11:$AS2538="✓")),"")</f>
        <v/>
      </c>
      <c r="BA2538" s="21" t="str">
        <f>IF($AL2538="","",$AL2538&amp;"|"&amp;COUNTIF($AL$11:$AL2538,$AL2538))</f>
        <v/>
      </c>
    </row>
    <row r="2539" spans="38:53" ht="15" customHeight="1" x14ac:dyDescent="0.25">
      <c r="AL2539" s="17"/>
      <c r="AM2539" s="12"/>
      <c r="AN2539" s="18"/>
      <c r="AO2539" s="18"/>
      <c r="AP2539" s="10"/>
      <c r="AQ2539" s="10"/>
      <c r="AR2539" s="19"/>
      <c r="AS2539" s="20"/>
      <c r="AT2539" s="19"/>
      <c r="AV2539" s="21">
        <f>IF(AND($AL2539&lt;&gt;"",COUNTIF($AL$11:$AL2539,$AL2539)=1),1,0)</f>
        <v>0</v>
      </c>
      <c r="AW2539" s="21">
        <f t="shared" si="165"/>
        <v>0</v>
      </c>
      <c r="AX2539" s="21" t="str">
        <f t="shared" si="164"/>
        <v/>
      </c>
      <c r="AY2539" s="21" t="str">
        <f>IF(AND($AM2539&lt;&gt;"",$AS2539&lt;&gt;"✓"),SUMPRODUCT(($AM$11:$AM2539&lt;&gt;"")*($AS$11:$AS2539&lt;&gt;"✓")),"")</f>
        <v/>
      </c>
      <c r="AZ2539" s="21" t="str">
        <f>IF(AND($AM2539&lt;&gt;"",$AS2539="✓"),SUMPRODUCT(($AM$11:$AM2539&lt;&gt;"")*($AS$11:$AS2539="✓")),"")</f>
        <v/>
      </c>
      <c r="BA2539" s="21" t="str">
        <f>IF($AL2539="","",$AL2539&amp;"|"&amp;COUNTIF($AL$11:$AL2539,$AL2539))</f>
        <v/>
      </c>
    </row>
    <row r="2540" spans="38:53" ht="15" customHeight="1" x14ac:dyDescent="0.25">
      <c r="AL2540" s="31"/>
      <c r="AM2540" s="26"/>
      <c r="AN2540" s="32"/>
      <c r="AO2540" s="32"/>
      <c r="AP2540" s="24"/>
      <c r="AQ2540" s="24"/>
      <c r="AR2540" s="33"/>
      <c r="AS2540" s="34"/>
      <c r="AT2540" s="33"/>
      <c r="AV2540" s="21">
        <f>IF(AND($AL2540&lt;&gt;"",COUNTIF($AL$11:$AL2540,$AL2540)=1),1,0)</f>
        <v>0</v>
      </c>
      <c r="AW2540" s="21">
        <f t="shared" si="165"/>
        <v>0</v>
      </c>
      <c r="AX2540" s="21" t="str">
        <f t="shared" si="164"/>
        <v/>
      </c>
      <c r="AY2540" s="21" t="str">
        <f>IF(AND($AM2540&lt;&gt;"",$AS2540&lt;&gt;"✓"),SUMPRODUCT(($AM$11:$AM2540&lt;&gt;"")*($AS$11:$AS2540&lt;&gt;"✓")),"")</f>
        <v/>
      </c>
      <c r="AZ2540" s="21" t="str">
        <f>IF(AND($AM2540&lt;&gt;"",$AS2540="✓"),SUMPRODUCT(($AM$11:$AM2540&lt;&gt;"")*($AS$11:$AS2540="✓")),"")</f>
        <v/>
      </c>
      <c r="BA2540" s="21" t="str">
        <f>IF($AL2540="","",$AL2540&amp;"|"&amp;COUNTIF($AL$11:$AL2540,$AL2540))</f>
        <v/>
      </c>
    </row>
    <row r="2541" spans="38:53" ht="15" customHeight="1" x14ac:dyDescent="0.25">
      <c r="AL2541" s="17"/>
      <c r="AM2541" s="12"/>
      <c r="AN2541" s="18"/>
      <c r="AO2541" s="18"/>
      <c r="AP2541" s="10"/>
      <c r="AQ2541" s="10"/>
      <c r="AR2541" s="19"/>
      <c r="AS2541" s="20"/>
      <c r="AT2541" s="19"/>
      <c r="AV2541" s="21">
        <f>IF(AND($AL2541&lt;&gt;"",COUNTIF($AL$11:$AL2541,$AL2541)=1),1,0)</f>
        <v>0</v>
      </c>
      <c r="AW2541" s="21">
        <f t="shared" si="165"/>
        <v>0</v>
      </c>
      <c r="AX2541" s="21" t="str">
        <f t="shared" si="164"/>
        <v/>
      </c>
      <c r="AY2541" s="21" t="str">
        <f>IF(AND($AM2541&lt;&gt;"",$AS2541&lt;&gt;"✓"),SUMPRODUCT(($AM$11:$AM2541&lt;&gt;"")*($AS$11:$AS2541&lt;&gt;"✓")),"")</f>
        <v/>
      </c>
      <c r="AZ2541" s="21" t="str">
        <f>IF(AND($AM2541&lt;&gt;"",$AS2541="✓"),SUMPRODUCT(($AM$11:$AM2541&lt;&gt;"")*($AS$11:$AS2541="✓")),"")</f>
        <v/>
      </c>
      <c r="BA2541" s="21" t="str">
        <f>IF($AL2541="","",$AL2541&amp;"|"&amp;COUNTIF($AL$11:$AL2541,$AL2541))</f>
        <v/>
      </c>
    </row>
    <row r="2542" spans="38:53" ht="15" customHeight="1" x14ac:dyDescent="0.25">
      <c r="AL2542" s="31"/>
      <c r="AM2542" s="26"/>
      <c r="AN2542" s="32"/>
      <c r="AO2542" s="32"/>
      <c r="AP2542" s="24"/>
      <c r="AQ2542" s="24"/>
      <c r="AR2542" s="33"/>
      <c r="AS2542" s="34"/>
      <c r="AT2542" s="33"/>
      <c r="AV2542" s="21">
        <f>IF(AND($AL2542&lt;&gt;"",COUNTIF($AL$11:$AL2542,$AL2542)=1),1,0)</f>
        <v>0</v>
      </c>
      <c r="AW2542" s="21">
        <f t="shared" si="165"/>
        <v>0</v>
      </c>
      <c r="AX2542" s="21" t="str">
        <f t="shared" si="164"/>
        <v/>
      </c>
      <c r="AY2542" s="21" t="str">
        <f>IF(AND($AM2542&lt;&gt;"",$AS2542&lt;&gt;"✓"),SUMPRODUCT(($AM$11:$AM2542&lt;&gt;"")*($AS$11:$AS2542&lt;&gt;"✓")),"")</f>
        <v/>
      </c>
      <c r="AZ2542" s="21" t="str">
        <f>IF(AND($AM2542&lt;&gt;"",$AS2542="✓"),SUMPRODUCT(($AM$11:$AM2542&lt;&gt;"")*($AS$11:$AS2542="✓")),"")</f>
        <v/>
      </c>
      <c r="BA2542" s="21" t="str">
        <f>IF($AL2542="","",$AL2542&amp;"|"&amp;COUNTIF($AL$11:$AL2542,$AL2542))</f>
        <v/>
      </c>
    </row>
    <row r="2543" spans="38:53" ht="15" customHeight="1" x14ac:dyDescent="0.25">
      <c r="AL2543" s="17"/>
      <c r="AM2543" s="12"/>
      <c r="AN2543" s="18"/>
      <c r="AO2543" s="18"/>
      <c r="AP2543" s="10"/>
      <c r="AQ2543" s="10"/>
      <c r="AR2543" s="19"/>
      <c r="AS2543" s="20"/>
      <c r="AT2543" s="19"/>
      <c r="AV2543" s="21">
        <f>IF(AND($AL2543&lt;&gt;"",COUNTIF($AL$11:$AL2543,$AL2543)=1),1,0)</f>
        <v>0</v>
      </c>
      <c r="AW2543" s="21">
        <f t="shared" si="165"/>
        <v>0</v>
      </c>
      <c r="AX2543" s="21" t="str">
        <f t="shared" si="164"/>
        <v/>
      </c>
      <c r="AY2543" s="21" t="str">
        <f>IF(AND($AM2543&lt;&gt;"",$AS2543&lt;&gt;"✓"),SUMPRODUCT(($AM$11:$AM2543&lt;&gt;"")*($AS$11:$AS2543&lt;&gt;"✓")),"")</f>
        <v/>
      </c>
      <c r="AZ2543" s="21" t="str">
        <f>IF(AND($AM2543&lt;&gt;"",$AS2543="✓"),SUMPRODUCT(($AM$11:$AM2543&lt;&gt;"")*($AS$11:$AS2543="✓")),"")</f>
        <v/>
      </c>
      <c r="BA2543" s="21" t="str">
        <f>IF($AL2543="","",$AL2543&amp;"|"&amp;COUNTIF($AL$11:$AL2543,$AL2543))</f>
        <v/>
      </c>
    </row>
    <row r="2544" spans="38:53" ht="15" customHeight="1" x14ac:dyDescent="0.25">
      <c r="AL2544" s="31"/>
      <c r="AM2544" s="26"/>
      <c r="AN2544" s="32"/>
      <c r="AO2544" s="32"/>
      <c r="AP2544" s="24"/>
      <c r="AQ2544" s="24"/>
      <c r="AR2544" s="33"/>
      <c r="AS2544" s="34"/>
      <c r="AT2544" s="33"/>
      <c r="AV2544" s="21">
        <f>IF(AND($AL2544&lt;&gt;"",COUNTIF($AL$11:$AL2544,$AL2544)=1),1,0)</f>
        <v>0</v>
      </c>
      <c r="AW2544" s="21">
        <f t="shared" si="165"/>
        <v>0</v>
      </c>
      <c r="AX2544" s="21" t="str">
        <f t="shared" si="164"/>
        <v/>
      </c>
      <c r="AY2544" s="21" t="str">
        <f>IF(AND($AM2544&lt;&gt;"",$AS2544&lt;&gt;"✓"),SUMPRODUCT(($AM$11:$AM2544&lt;&gt;"")*($AS$11:$AS2544&lt;&gt;"✓")),"")</f>
        <v/>
      </c>
      <c r="AZ2544" s="21" t="str">
        <f>IF(AND($AM2544&lt;&gt;"",$AS2544="✓"),SUMPRODUCT(($AM$11:$AM2544&lt;&gt;"")*($AS$11:$AS2544="✓")),"")</f>
        <v/>
      </c>
      <c r="BA2544" s="21" t="str">
        <f>IF($AL2544="","",$AL2544&amp;"|"&amp;COUNTIF($AL$11:$AL2544,$AL2544))</f>
        <v/>
      </c>
    </row>
    <row r="2545" spans="38:53" ht="15" customHeight="1" x14ac:dyDescent="0.25">
      <c r="AL2545" s="17"/>
      <c r="AM2545" s="12"/>
      <c r="AN2545" s="18"/>
      <c r="AO2545" s="18"/>
      <c r="AP2545" s="10"/>
      <c r="AQ2545" s="10"/>
      <c r="AR2545" s="19"/>
      <c r="AS2545" s="20"/>
      <c r="AT2545" s="19"/>
      <c r="AV2545" s="21">
        <f>IF(AND($AL2545&lt;&gt;"",COUNTIF($AL$11:$AL2545,$AL2545)=1),1,0)</f>
        <v>0</v>
      </c>
      <c r="AW2545" s="21">
        <f t="shared" si="165"/>
        <v>0</v>
      </c>
      <c r="AX2545" s="21" t="str">
        <f t="shared" si="164"/>
        <v/>
      </c>
      <c r="AY2545" s="21" t="str">
        <f>IF(AND($AM2545&lt;&gt;"",$AS2545&lt;&gt;"✓"),SUMPRODUCT(($AM$11:$AM2545&lt;&gt;"")*($AS$11:$AS2545&lt;&gt;"✓")),"")</f>
        <v/>
      </c>
      <c r="AZ2545" s="21" t="str">
        <f>IF(AND($AM2545&lt;&gt;"",$AS2545="✓"),SUMPRODUCT(($AM$11:$AM2545&lt;&gt;"")*($AS$11:$AS2545="✓")),"")</f>
        <v/>
      </c>
      <c r="BA2545" s="21" t="str">
        <f>IF($AL2545="","",$AL2545&amp;"|"&amp;COUNTIF($AL$11:$AL2545,$AL2545))</f>
        <v/>
      </c>
    </row>
    <row r="2546" spans="38:53" ht="15" customHeight="1" x14ac:dyDescent="0.25">
      <c r="AL2546" s="31"/>
      <c r="AM2546" s="26"/>
      <c r="AN2546" s="32"/>
      <c r="AO2546" s="32"/>
      <c r="AP2546" s="24"/>
      <c r="AQ2546" s="24"/>
      <c r="AR2546" s="33"/>
      <c r="AS2546" s="34"/>
      <c r="AT2546" s="33"/>
      <c r="AV2546" s="21">
        <f>IF(AND($AL2546&lt;&gt;"",COUNTIF($AL$11:$AL2546,$AL2546)=1),1,0)</f>
        <v>0</v>
      </c>
      <c r="AW2546" s="21">
        <f t="shared" si="165"/>
        <v>0</v>
      </c>
      <c r="AX2546" s="21" t="str">
        <f t="shared" si="164"/>
        <v/>
      </c>
      <c r="AY2546" s="21" t="str">
        <f>IF(AND($AM2546&lt;&gt;"",$AS2546&lt;&gt;"✓"),SUMPRODUCT(($AM$11:$AM2546&lt;&gt;"")*($AS$11:$AS2546&lt;&gt;"✓")),"")</f>
        <v/>
      </c>
      <c r="AZ2546" s="21" t="str">
        <f>IF(AND($AM2546&lt;&gt;"",$AS2546="✓"),SUMPRODUCT(($AM$11:$AM2546&lt;&gt;"")*($AS$11:$AS2546="✓")),"")</f>
        <v/>
      </c>
      <c r="BA2546" s="21" t="str">
        <f>IF($AL2546="","",$AL2546&amp;"|"&amp;COUNTIF($AL$11:$AL2546,$AL2546))</f>
        <v/>
      </c>
    </row>
    <row r="2547" spans="38:53" ht="15" customHeight="1" x14ac:dyDescent="0.25">
      <c r="AL2547" s="17"/>
      <c r="AM2547" s="12"/>
      <c r="AN2547" s="18"/>
      <c r="AO2547" s="18"/>
      <c r="AP2547" s="10"/>
      <c r="AQ2547" s="10"/>
      <c r="AR2547" s="19"/>
      <c r="AS2547" s="20"/>
      <c r="AT2547" s="19"/>
      <c r="AV2547" s="21">
        <f>IF(AND($AL2547&lt;&gt;"",COUNTIF($AL$11:$AL2547,$AL2547)=1),1,0)</f>
        <v>0</v>
      </c>
      <c r="AW2547" s="21">
        <f t="shared" si="165"/>
        <v>0</v>
      </c>
      <c r="AX2547" s="21" t="str">
        <f t="shared" si="164"/>
        <v/>
      </c>
      <c r="AY2547" s="21" t="str">
        <f>IF(AND($AM2547&lt;&gt;"",$AS2547&lt;&gt;"✓"),SUMPRODUCT(($AM$11:$AM2547&lt;&gt;"")*($AS$11:$AS2547&lt;&gt;"✓")),"")</f>
        <v/>
      </c>
      <c r="AZ2547" s="21" t="str">
        <f>IF(AND($AM2547&lt;&gt;"",$AS2547="✓"),SUMPRODUCT(($AM$11:$AM2547&lt;&gt;"")*($AS$11:$AS2547="✓")),"")</f>
        <v/>
      </c>
      <c r="BA2547" s="21" t="str">
        <f>IF($AL2547="","",$AL2547&amp;"|"&amp;COUNTIF($AL$11:$AL2547,$AL2547))</f>
        <v/>
      </c>
    </row>
    <row r="2548" spans="38:53" ht="15" customHeight="1" x14ac:dyDescent="0.25">
      <c r="AL2548" s="31"/>
      <c r="AM2548" s="26"/>
      <c r="AN2548" s="32"/>
      <c r="AO2548" s="32"/>
      <c r="AP2548" s="24"/>
      <c r="AQ2548" s="24"/>
      <c r="AR2548" s="33"/>
      <c r="AS2548" s="34"/>
      <c r="AT2548" s="33"/>
      <c r="AV2548" s="21">
        <f>IF(AND($AL2548&lt;&gt;"",COUNTIF($AL$11:$AL2548,$AL2548)=1),1,0)</f>
        <v>0</v>
      </c>
      <c r="AW2548" s="21">
        <f t="shared" si="165"/>
        <v>0</v>
      </c>
      <c r="AX2548" s="21" t="str">
        <f t="shared" si="164"/>
        <v/>
      </c>
      <c r="AY2548" s="21" t="str">
        <f>IF(AND($AM2548&lt;&gt;"",$AS2548&lt;&gt;"✓"),SUMPRODUCT(($AM$11:$AM2548&lt;&gt;"")*($AS$11:$AS2548&lt;&gt;"✓")),"")</f>
        <v/>
      </c>
      <c r="AZ2548" s="21" t="str">
        <f>IF(AND($AM2548&lt;&gt;"",$AS2548="✓"),SUMPRODUCT(($AM$11:$AM2548&lt;&gt;"")*($AS$11:$AS2548="✓")),"")</f>
        <v/>
      </c>
      <c r="BA2548" s="21" t="str">
        <f>IF($AL2548="","",$AL2548&amp;"|"&amp;COUNTIF($AL$11:$AL2548,$AL2548))</f>
        <v/>
      </c>
    </row>
    <row r="2549" spans="38:53" ht="15" customHeight="1" x14ac:dyDescent="0.25">
      <c r="AL2549" s="17"/>
      <c r="AM2549" s="12"/>
      <c r="AN2549" s="18"/>
      <c r="AO2549" s="18"/>
      <c r="AP2549" s="10"/>
      <c r="AQ2549" s="10"/>
      <c r="AR2549" s="19"/>
      <c r="AS2549" s="20"/>
      <c r="AT2549" s="19"/>
      <c r="AV2549" s="21">
        <f>IF(AND($AL2549&lt;&gt;"",COUNTIF($AL$11:$AL2549,$AL2549)=1),1,0)</f>
        <v>0</v>
      </c>
      <c r="AW2549" s="21">
        <f t="shared" si="165"/>
        <v>0</v>
      </c>
      <c r="AX2549" s="21" t="str">
        <f t="shared" si="164"/>
        <v/>
      </c>
      <c r="AY2549" s="21" t="str">
        <f>IF(AND($AM2549&lt;&gt;"",$AS2549&lt;&gt;"✓"),SUMPRODUCT(($AM$11:$AM2549&lt;&gt;"")*($AS$11:$AS2549&lt;&gt;"✓")),"")</f>
        <v/>
      </c>
      <c r="AZ2549" s="21" t="str">
        <f>IF(AND($AM2549&lt;&gt;"",$AS2549="✓"),SUMPRODUCT(($AM$11:$AM2549&lt;&gt;"")*($AS$11:$AS2549="✓")),"")</f>
        <v/>
      </c>
      <c r="BA2549" s="21" t="str">
        <f>IF($AL2549="","",$AL2549&amp;"|"&amp;COUNTIF($AL$11:$AL2549,$AL2549))</f>
        <v/>
      </c>
    </row>
    <row r="2550" spans="38:53" ht="15" customHeight="1" x14ac:dyDescent="0.25">
      <c r="AL2550" s="31"/>
      <c r="AM2550" s="26"/>
      <c r="AN2550" s="32"/>
      <c r="AO2550" s="32"/>
      <c r="AP2550" s="24"/>
      <c r="AQ2550" s="24"/>
      <c r="AR2550" s="33"/>
      <c r="AS2550" s="34"/>
      <c r="AT2550" s="33"/>
      <c r="AV2550" s="21">
        <f>IF(AND($AL2550&lt;&gt;"",COUNTIF($AL$11:$AL2550,$AL2550)=1),1,0)</f>
        <v>0</v>
      </c>
      <c r="AW2550" s="21">
        <f t="shared" si="165"/>
        <v>0</v>
      </c>
      <c r="AX2550" s="21" t="str">
        <f t="shared" si="164"/>
        <v/>
      </c>
      <c r="AY2550" s="21" t="str">
        <f>IF(AND($AM2550&lt;&gt;"",$AS2550&lt;&gt;"✓"),SUMPRODUCT(($AM$11:$AM2550&lt;&gt;"")*($AS$11:$AS2550&lt;&gt;"✓")),"")</f>
        <v/>
      </c>
      <c r="AZ2550" s="21" t="str">
        <f>IF(AND($AM2550&lt;&gt;"",$AS2550="✓"),SUMPRODUCT(($AM$11:$AM2550&lt;&gt;"")*($AS$11:$AS2550="✓")),"")</f>
        <v/>
      </c>
      <c r="BA2550" s="21" t="str">
        <f>IF($AL2550="","",$AL2550&amp;"|"&amp;COUNTIF($AL$11:$AL2550,$AL2550))</f>
        <v/>
      </c>
    </row>
    <row r="2551" spans="38:53" ht="15" customHeight="1" x14ac:dyDescent="0.25">
      <c r="AL2551" s="17"/>
      <c r="AM2551" s="12"/>
      <c r="AN2551" s="18"/>
      <c r="AO2551" s="18"/>
      <c r="AP2551" s="10"/>
      <c r="AQ2551" s="10"/>
      <c r="AR2551" s="19"/>
      <c r="AS2551" s="20"/>
      <c r="AT2551" s="19"/>
      <c r="AV2551" s="21">
        <f>IF(AND($AL2551&lt;&gt;"",COUNTIF($AL$11:$AL2551,$AL2551)=1),1,0)</f>
        <v>0</v>
      </c>
      <c r="AW2551" s="21">
        <f t="shared" si="165"/>
        <v>0</v>
      </c>
      <c r="AX2551" s="21" t="str">
        <f t="shared" si="164"/>
        <v/>
      </c>
      <c r="AY2551" s="21" t="str">
        <f>IF(AND($AM2551&lt;&gt;"",$AS2551&lt;&gt;"✓"),SUMPRODUCT(($AM$11:$AM2551&lt;&gt;"")*($AS$11:$AS2551&lt;&gt;"✓")),"")</f>
        <v/>
      </c>
      <c r="AZ2551" s="21" t="str">
        <f>IF(AND($AM2551&lt;&gt;"",$AS2551="✓"),SUMPRODUCT(($AM$11:$AM2551&lt;&gt;"")*($AS$11:$AS2551="✓")),"")</f>
        <v/>
      </c>
      <c r="BA2551" s="21" t="str">
        <f>IF($AL2551="","",$AL2551&amp;"|"&amp;COUNTIF($AL$11:$AL2551,$AL2551))</f>
        <v/>
      </c>
    </row>
    <row r="2552" spans="38:53" ht="15" customHeight="1" x14ac:dyDescent="0.25">
      <c r="AL2552" s="31"/>
      <c r="AM2552" s="26"/>
      <c r="AN2552" s="32"/>
      <c r="AO2552" s="32"/>
      <c r="AP2552" s="24"/>
      <c r="AQ2552" s="24"/>
      <c r="AR2552" s="33"/>
      <c r="AS2552" s="34"/>
      <c r="AT2552" s="33"/>
      <c r="AV2552" s="21">
        <f>IF(AND($AL2552&lt;&gt;"",COUNTIF($AL$11:$AL2552,$AL2552)=1),1,0)</f>
        <v>0</v>
      </c>
      <c r="AW2552" s="21">
        <f t="shared" si="165"/>
        <v>0</v>
      </c>
      <c r="AX2552" s="21" t="str">
        <f t="shared" si="164"/>
        <v/>
      </c>
      <c r="AY2552" s="21" t="str">
        <f>IF(AND($AM2552&lt;&gt;"",$AS2552&lt;&gt;"✓"),SUMPRODUCT(($AM$11:$AM2552&lt;&gt;"")*($AS$11:$AS2552&lt;&gt;"✓")),"")</f>
        <v/>
      </c>
      <c r="AZ2552" s="21" t="str">
        <f>IF(AND($AM2552&lt;&gt;"",$AS2552="✓"),SUMPRODUCT(($AM$11:$AM2552&lt;&gt;"")*($AS$11:$AS2552="✓")),"")</f>
        <v/>
      </c>
      <c r="BA2552" s="21" t="str">
        <f>IF($AL2552="","",$AL2552&amp;"|"&amp;COUNTIF($AL$11:$AL2552,$AL2552))</f>
        <v/>
      </c>
    </row>
    <row r="2553" spans="38:53" ht="15" customHeight="1" x14ac:dyDescent="0.25">
      <c r="AL2553" s="17"/>
      <c r="AM2553" s="12"/>
      <c r="AN2553" s="18"/>
      <c r="AO2553" s="18"/>
      <c r="AP2553" s="10"/>
      <c r="AQ2553" s="10"/>
      <c r="AR2553" s="19"/>
      <c r="AS2553" s="20"/>
      <c r="AT2553" s="19"/>
      <c r="AV2553" s="21">
        <f>IF(AND($AL2553&lt;&gt;"",COUNTIF($AL$11:$AL2553,$AL2553)=1),1,0)</f>
        <v>0</v>
      </c>
      <c r="AW2553" s="21">
        <f t="shared" si="165"/>
        <v>0</v>
      </c>
      <c r="AX2553" s="21" t="str">
        <f t="shared" si="164"/>
        <v/>
      </c>
      <c r="AY2553" s="21" t="str">
        <f>IF(AND($AM2553&lt;&gt;"",$AS2553&lt;&gt;"✓"),SUMPRODUCT(($AM$11:$AM2553&lt;&gt;"")*($AS$11:$AS2553&lt;&gt;"✓")),"")</f>
        <v/>
      </c>
      <c r="AZ2553" s="21" t="str">
        <f>IF(AND($AM2553&lt;&gt;"",$AS2553="✓"),SUMPRODUCT(($AM$11:$AM2553&lt;&gt;"")*($AS$11:$AS2553="✓")),"")</f>
        <v/>
      </c>
      <c r="BA2553" s="21" t="str">
        <f>IF($AL2553="","",$AL2553&amp;"|"&amp;COUNTIF($AL$11:$AL2553,$AL2553))</f>
        <v/>
      </c>
    </row>
    <row r="2554" spans="38:53" ht="15" customHeight="1" x14ac:dyDescent="0.25">
      <c r="AL2554" s="31"/>
      <c r="AM2554" s="26"/>
      <c r="AN2554" s="32"/>
      <c r="AO2554" s="32"/>
      <c r="AP2554" s="24"/>
      <c r="AQ2554" s="24"/>
      <c r="AR2554" s="33"/>
      <c r="AS2554" s="34"/>
      <c r="AT2554" s="33"/>
      <c r="AV2554" s="21">
        <f>IF(AND($AL2554&lt;&gt;"",COUNTIF($AL$11:$AL2554,$AL2554)=1),1,0)</f>
        <v>0</v>
      </c>
      <c r="AW2554" s="21">
        <f t="shared" si="165"/>
        <v>0</v>
      </c>
      <c r="AX2554" s="21" t="str">
        <f t="shared" si="164"/>
        <v/>
      </c>
      <c r="AY2554" s="21" t="str">
        <f>IF(AND($AM2554&lt;&gt;"",$AS2554&lt;&gt;"✓"),SUMPRODUCT(($AM$11:$AM2554&lt;&gt;"")*($AS$11:$AS2554&lt;&gt;"✓")),"")</f>
        <v/>
      </c>
      <c r="AZ2554" s="21" t="str">
        <f>IF(AND($AM2554&lt;&gt;"",$AS2554="✓"),SUMPRODUCT(($AM$11:$AM2554&lt;&gt;"")*($AS$11:$AS2554="✓")),"")</f>
        <v/>
      </c>
      <c r="BA2554" s="21" t="str">
        <f>IF($AL2554="","",$AL2554&amp;"|"&amp;COUNTIF($AL$11:$AL2554,$AL2554))</f>
        <v/>
      </c>
    </row>
    <row r="2555" spans="38:53" ht="15" customHeight="1" x14ac:dyDescent="0.25">
      <c r="AL2555" s="17"/>
      <c r="AM2555" s="12"/>
      <c r="AN2555" s="18"/>
      <c r="AO2555" s="18"/>
      <c r="AP2555" s="10"/>
      <c r="AQ2555" s="10"/>
      <c r="AR2555" s="19"/>
      <c r="AS2555" s="20"/>
      <c r="AT2555" s="19"/>
      <c r="AV2555" s="21">
        <f>IF(AND($AL2555&lt;&gt;"",COUNTIF($AL$11:$AL2555,$AL2555)=1),1,0)</f>
        <v>0</v>
      </c>
      <c r="AW2555" s="21">
        <f t="shared" si="165"/>
        <v>0</v>
      </c>
      <c r="AX2555" s="21" t="str">
        <f t="shared" si="164"/>
        <v/>
      </c>
      <c r="AY2555" s="21" t="str">
        <f>IF(AND($AM2555&lt;&gt;"",$AS2555&lt;&gt;"✓"),SUMPRODUCT(($AM$11:$AM2555&lt;&gt;"")*($AS$11:$AS2555&lt;&gt;"✓")),"")</f>
        <v/>
      </c>
      <c r="AZ2555" s="21" t="str">
        <f>IF(AND($AM2555&lt;&gt;"",$AS2555="✓"),SUMPRODUCT(($AM$11:$AM2555&lt;&gt;"")*($AS$11:$AS2555="✓")),"")</f>
        <v/>
      </c>
      <c r="BA2555" s="21" t="str">
        <f>IF($AL2555="","",$AL2555&amp;"|"&amp;COUNTIF($AL$11:$AL2555,$AL2555))</f>
        <v/>
      </c>
    </row>
    <row r="2556" spans="38:53" ht="15" customHeight="1" x14ac:dyDescent="0.25">
      <c r="AL2556" s="31"/>
      <c r="AM2556" s="26"/>
      <c r="AN2556" s="32"/>
      <c r="AO2556" s="32"/>
      <c r="AP2556" s="24"/>
      <c r="AQ2556" s="24"/>
      <c r="AR2556" s="33"/>
      <c r="AS2556" s="34"/>
      <c r="AT2556" s="33"/>
      <c r="AV2556" s="21">
        <f>IF(AND($AL2556&lt;&gt;"",COUNTIF($AL$11:$AL2556,$AL2556)=1),1,0)</f>
        <v>0</v>
      </c>
      <c r="AW2556" s="21">
        <f t="shared" si="165"/>
        <v>0</v>
      </c>
      <c r="AX2556" s="21" t="str">
        <f t="shared" si="164"/>
        <v/>
      </c>
      <c r="AY2556" s="21" t="str">
        <f>IF(AND($AM2556&lt;&gt;"",$AS2556&lt;&gt;"✓"),SUMPRODUCT(($AM$11:$AM2556&lt;&gt;"")*($AS$11:$AS2556&lt;&gt;"✓")),"")</f>
        <v/>
      </c>
      <c r="AZ2556" s="21" t="str">
        <f>IF(AND($AM2556&lt;&gt;"",$AS2556="✓"),SUMPRODUCT(($AM$11:$AM2556&lt;&gt;"")*($AS$11:$AS2556="✓")),"")</f>
        <v/>
      </c>
      <c r="BA2556" s="21" t="str">
        <f>IF($AL2556="","",$AL2556&amp;"|"&amp;COUNTIF($AL$11:$AL2556,$AL2556))</f>
        <v/>
      </c>
    </row>
    <row r="2557" spans="38:53" ht="15" customHeight="1" x14ac:dyDescent="0.25">
      <c r="AL2557" s="17"/>
      <c r="AM2557" s="12"/>
      <c r="AN2557" s="18"/>
      <c r="AO2557" s="18"/>
      <c r="AP2557" s="10"/>
      <c r="AQ2557" s="10"/>
      <c r="AR2557" s="19"/>
      <c r="AS2557" s="20"/>
      <c r="AT2557" s="19"/>
      <c r="AV2557" s="21">
        <f>IF(AND($AL2557&lt;&gt;"",COUNTIF($AL$11:$AL2557,$AL2557)=1),1,0)</f>
        <v>0</v>
      </c>
      <c r="AW2557" s="21">
        <f t="shared" si="165"/>
        <v>0</v>
      </c>
      <c r="AX2557" s="21" t="str">
        <f t="shared" si="164"/>
        <v/>
      </c>
      <c r="AY2557" s="21" t="str">
        <f>IF(AND($AM2557&lt;&gt;"",$AS2557&lt;&gt;"✓"),SUMPRODUCT(($AM$11:$AM2557&lt;&gt;"")*($AS$11:$AS2557&lt;&gt;"✓")),"")</f>
        <v/>
      </c>
      <c r="AZ2557" s="21" t="str">
        <f>IF(AND($AM2557&lt;&gt;"",$AS2557="✓"),SUMPRODUCT(($AM$11:$AM2557&lt;&gt;"")*($AS$11:$AS2557="✓")),"")</f>
        <v/>
      </c>
      <c r="BA2557" s="21" t="str">
        <f>IF($AL2557="","",$AL2557&amp;"|"&amp;COUNTIF($AL$11:$AL2557,$AL2557))</f>
        <v/>
      </c>
    </row>
    <row r="2558" spans="38:53" ht="15" customHeight="1" x14ac:dyDescent="0.25">
      <c r="AL2558" s="31"/>
      <c r="AM2558" s="26"/>
      <c r="AN2558" s="32"/>
      <c r="AO2558" s="32"/>
      <c r="AP2558" s="24"/>
      <c r="AQ2558" s="24"/>
      <c r="AR2558" s="33"/>
      <c r="AS2558" s="34"/>
      <c r="AT2558" s="33"/>
      <c r="AV2558" s="21">
        <f>IF(AND($AL2558&lt;&gt;"",COUNTIF($AL$11:$AL2558,$AL2558)=1),1,0)</f>
        <v>0</v>
      </c>
      <c r="AW2558" s="21">
        <f t="shared" si="165"/>
        <v>0</v>
      </c>
      <c r="AX2558" s="21" t="str">
        <f t="shared" si="164"/>
        <v/>
      </c>
      <c r="AY2558" s="21" t="str">
        <f>IF(AND($AM2558&lt;&gt;"",$AS2558&lt;&gt;"✓"),SUMPRODUCT(($AM$11:$AM2558&lt;&gt;"")*($AS$11:$AS2558&lt;&gt;"✓")),"")</f>
        <v/>
      </c>
      <c r="AZ2558" s="21" t="str">
        <f>IF(AND($AM2558&lt;&gt;"",$AS2558="✓"),SUMPRODUCT(($AM$11:$AM2558&lt;&gt;"")*($AS$11:$AS2558="✓")),"")</f>
        <v/>
      </c>
      <c r="BA2558" s="21" t="str">
        <f>IF($AL2558="","",$AL2558&amp;"|"&amp;COUNTIF($AL$11:$AL2558,$AL2558))</f>
        <v/>
      </c>
    </row>
    <row r="2559" spans="38:53" ht="15" customHeight="1" x14ac:dyDescent="0.25">
      <c r="AL2559" s="17"/>
      <c r="AM2559" s="12"/>
      <c r="AN2559" s="18"/>
      <c r="AO2559" s="18"/>
      <c r="AP2559" s="10"/>
      <c r="AQ2559" s="10"/>
      <c r="AR2559" s="19"/>
      <c r="AS2559" s="20"/>
      <c r="AT2559" s="19"/>
      <c r="AV2559" s="21">
        <f>IF(AND($AL2559&lt;&gt;"",COUNTIF($AL$11:$AL2559,$AL2559)=1),1,0)</f>
        <v>0</v>
      </c>
      <c r="AW2559" s="21">
        <f t="shared" si="165"/>
        <v>0</v>
      </c>
      <c r="AX2559" s="21" t="str">
        <f t="shared" si="164"/>
        <v/>
      </c>
      <c r="AY2559" s="21" t="str">
        <f>IF(AND($AM2559&lt;&gt;"",$AS2559&lt;&gt;"✓"),SUMPRODUCT(($AM$11:$AM2559&lt;&gt;"")*($AS$11:$AS2559&lt;&gt;"✓")),"")</f>
        <v/>
      </c>
      <c r="AZ2559" s="21" t="str">
        <f>IF(AND($AM2559&lt;&gt;"",$AS2559="✓"),SUMPRODUCT(($AM$11:$AM2559&lt;&gt;"")*($AS$11:$AS2559="✓")),"")</f>
        <v/>
      </c>
      <c r="BA2559" s="21" t="str">
        <f>IF($AL2559="","",$AL2559&amp;"|"&amp;COUNTIF($AL$11:$AL2559,$AL2559))</f>
        <v/>
      </c>
    </row>
    <row r="2560" spans="38:53" ht="15" customHeight="1" x14ac:dyDescent="0.25">
      <c r="AL2560" s="31"/>
      <c r="AM2560" s="26"/>
      <c r="AN2560" s="32"/>
      <c r="AO2560" s="32"/>
      <c r="AP2560" s="24"/>
      <c r="AQ2560" s="24"/>
      <c r="AR2560" s="33"/>
      <c r="AS2560" s="34"/>
      <c r="AT2560" s="33"/>
      <c r="AV2560" s="21">
        <f>IF(AND($AL2560&lt;&gt;"",COUNTIF($AL$11:$AL2560,$AL2560)=1),1,0)</f>
        <v>0</v>
      </c>
      <c r="AW2560" s="21">
        <f t="shared" si="165"/>
        <v>0</v>
      </c>
      <c r="AX2560" s="21" t="str">
        <f t="shared" si="164"/>
        <v/>
      </c>
      <c r="AY2560" s="21" t="str">
        <f>IF(AND($AM2560&lt;&gt;"",$AS2560&lt;&gt;"✓"),SUMPRODUCT(($AM$11:$AM2560&lt;&gt;"")*($AS$11:$AS2560&lt;&gt;"✓")),"")</f>
        <v/>
      </c>
      <c r="AZ2560" s="21" t="str">
        <f>IF(AND($AM2560&lt;&gt;"",$AS2560="✓"),SUMPRODUCT(($AM$11:$AM2560&lt;&gt;"")*($AS$11:$AS2560="✓")),"")</f>
        <v/>
      </c>
      <c r="BA2560" s="21" t="str">
        <f>IF($AL2560="","",$AL2560&amp;"|"&amp;COUNTIF($AL$11:$AL2560,$AL2560))</f>
        <v/>
      </c>
    </row>
    <row r="2561" spans="38:53" ht="15" customHeight="1" x14ac:dyDescent="0.25">
      <c r="AL2561" s="17"/>
      <c r="AM2561" s="12"/>
      <c r="AN2561" s="18"/>
      <c r="AO2561" s="18"/>
      <c r="AP2561" s="10"/>
      <c r="AQ2561" s="10"/>
      <c r="AR2561" s="19"/>
      <c r="AS2561" s="20"/>
      <c r="AT2561" s="19"/>
      <c r="AV2561" s="21">
        <f>IF(AND($AL2561&lt;&gt;"",COUNTIF($AL$11:$AL2561,$AL2561)=1),1,0)</f>
        <v>0</v>
      </c>
      <c r="AW2561" s="21">
        <f t="shared" si="165"/>
        <v>0</v>
      </c>
      <c r="AX2561" s="21" t="str">
        <f t="shared" si="164"/>
        <v/>
      </c>
      <c r="AY2561" s="21" t="str">
        <f>IF(AND($AM2561&lt;&gt;"",$AS2561&lt;&gt;"✓"),SUMPRODUCT(($AM$11:$AM2561&lt;&gt;"")*($AS$11:$AS2561&lt;&gt;"✓")),"")</f>
        <v/>
      </c>
      <c r="AZ2561" s="21" t="str">
        <f>IF(AND($AM2561&lt;&gt;"",$AS2561="✓"),SUMPRODUCT(($AM$11:$AM2561&lt;&gt;"")*($AS$11:$AS2561="✓")),"")</f>
        <v/>
      </c>
      <c r="BA2561" s="21" t="str">
        <f>IF($AL2561="","",$AL2561&amp;"|"&amp;COUNTIF($AL$11:$AL2561,$AL2561))</f>
        <v/>
      </c>
    </row>
    <row r="2562" spans="38:53" ht="15" customHeight="1" x14ac:dyDescent="0.25">
      <c r="AL2562" s="31"/>
      <c r="AM2562" s="26"/>
      <c r="AN2562" s="32"/>
      <c r="AO2562" s="32"/>
      <c r="AP2562" s="24"/>
      <c r="AQ2562" s="24"/>
      <c r="AR2562" s="33"/>
      <c r="AS2562" s="34"/>
      <c r="AT2562" s="33"/>
      <c r="AV2562" s="21">
        <f>IF(AND($AL2562&lt;&gt;"",COUNTIF($AL$11:$AL2562,$AL2562)=1),1,0)</f>
        <v>0</v>
      </c>
      <c r="AW2562" s="21">
        <f t="shared" si="165"/>
        <v>0</v>
      </c>
      <c r="AX2562" s="21" t="str">
        <f t="shared" si="164"/>
        <v/>
      </c>
      <c r="AY2562" s="21" t="str">
        <f>IF(AND($AM2562&lt;&gt;"",$AS2562&lt;&gt;"✓"),SUMPRODUCT(($AM$11:$AM2562&lt;&gt;"")*($AS$11:$AS2562&lt;&gt;"✓")),"")</f>
        <v/>
      </c>
      <c r="AZ2562" s="21" t="str">
        <f>IF(AND($AM2562&lt;&gt;"",$AS2562="✓"),SUMPRODUCT(($AM$11:$AM2562&lt;&gt;"")*($AS$11:$AS2562="✓")),"")</f>
        <v/>
      </c>
      <c r="BA2562" s="21" t="str">
        <f>IF($AL2562="","",$AL2562&amp;"|"&amp;COUNTIF($AL$11:$AL2562,$AL2562))</f>
        <v/>
      </c>
    </row>
    <row r="2563" spans="38:53" ht="15" customHeight="1" x14ac:dyDescent="0.25">
      <c r="AL2563" s="17"/>
      <c r="AM2563" s="12"/>
      <c r="AN2563" s="18"/>
      <c r="AO2563" s="18"/>
      <c r="AP2563" s="10"/>
      <c r="AQ2563" s="10"/>
      <c r="AR2563" s="19"/>
      <c r="AS2563" s="20"/>
      <c r="AT2563" s="19"/>
      <c r="AV2563" s="21">
        <f>IF(AND($AL2563&lt;&gt;"",COUNTIF($AL$11:$AL2563,$AL2563)=1),1,0)</f>
        <v>0</v>
      </c>
      <c r="AW2563" s="21">
        <f t="shared" si="165"/>
        <v>0</v>
      </c>
      <c r="AX2563" s="21" t="str">
        <f t="shared" si="164"/>
        <v/>
      </c>
      <c r="AY2563" s="21" t="str">
        <f>IF(AND($AM2563&lt;&gt;"",$AS2563&lt;&gt;"✓"),SUMPRODUCT(($AM$11:$AM2563&lt;&gt;"")*($AS$11:$AS2563&lt;&gt;"✓")),"")</f>
        <v/>
      </c>
      <c r="AZ2563" s="21" t="str">
        <f>IF(AND($AM2563&lt;&gt;"",$AS2563="✓"),SUMPRODUCT(($AM$11:$AM2563&lt;&gt;"")*($AS$11:$AS2563="✓")),"")</f>
        <v/>
      </c>
      <c r="BA2563" s="21" t="str">
        <f>IF($AL2563="","",$AL2563&amp;"|"&amp;COUNTIF($AL$11:$AL2563,$AL2563))</f>
        <v/>
      </c>
    </row>
    <row r="2564" spans="38:53" ht="15" customHeight="1" x14ac:dyDescent="0.25">
      <c r="AL2564" s="31"/>
      <c r="AM2564" s="26"/>
      <c r="AN2564" s="32"/>
      <c r="AO2564" s="32"/>
      <c r="AP2564" s="24"/>
      <c r="AQ2564" s="24"/>
      <c r="AR2564" s="33"/>
      <c r="AS2564" s="34"/>
      <c r="AT2564" s="33"/>
      <c r="AV2564" s="21">
        <f>IF(AND($AL2564&lt;&gt;"",COUNTIF($AL$11:$AL2564,$AL2564)=1),1,0)</f>
        <v>0</v>
      </c>
      <c r="AW2564" s="21">
        <f t="shared" si="165"/>
        <v>0</v>
      </c>
      <c r="AX2564" s="21" t="str">
        <f t="shared" si="164"/>
        <v/>
      </c>
      <c r="AY2564" s="21" t="str">
        <f>IF(AND($AM2564&lt;&gt;"",$AS2564&lt;&gt;"✓"),SUMPRODUCT(($AM$11:$AM2564&lt;&gt;"")*($AS$11:$AS2564&lt;&gt;"✓")),"")</f>
        <v/>
      </c>
      <c r="AZ2564" s="21" t="str">
        <f>IF(AND($AM2564&lt;&gt;"",$AS2564="✓"),SUMPRODUCT(($AM$11:$AM2564&lt;&gt;"")*($AS$11:$AS2564="✓")),"")</f>
        <v/>
      </c>
      <c r="BA2564" s="21" t="str">
        <f>IF($AL2564="","",$AL2564&amp;"|"&amp;COUNTIF($AL$11:$AL2564,$AL2564))</f>
        <v/>
      </c>
    </row>
    <row r="2565" spans="38:53" ht="15" customHeight="1" x14ac:dyDescent="0.25">
      <c r="AL2565" s="17"/>
      <c r="AM2565" s="12"/>
      <c r="AN2565" s="18"/>
      <c r="AO2565" s="18"/>
      <c r="AP2565" s="10"/>
      <c r="AQ2565" s="10"/>
      <c r="AR2565" s="19"/>
      <c r="AS2565" s="20"/>
      <c r="AT2565" s="19"/>
      <c r="AV2565" s="21">
        <f>IF(AND($AL2565&lt;&gt;"",COUNTIF($AL$11:$AL2565,$AL2565)=1),1,0)</f>
        <v>0</v>
      </c>
      <c r="AW2565" s="21">
        <f t="shared" si="165"/>
        <v>0</v>
      </c>
      <c r="AX2565" s="21" t="str">
        <f t="shared" si="164"/>
        <v/>
      </c>
      <c r="AY2565" s="21" t="str">
        <f>IF(AND($AM2565&lt;&gt;"",$AS2565&lt;&gt;"✓"),SUMPRODUCT(($AM$11:$AM2565&lt;&gt;"")*($AS$11:$AS2565&lt;&gt;"✓")),"")</f>
        <v/>
      </c>
      <c r="AZ2565" s="21" t="str">
        <f>IF(AND($AM2565&lt;&gt;"",$AS2565="✓"),SUMPRODUCT(($AM$11:$AM2565&lt;&gt;"")*($AS$11:$AS2565="✓")),"")</f>
        <v/>
      </c>
      <c r="BA2565" s="21" t="str">
        <f>IF($AL2565="","",$AL2565&amp;"|"&amp;COUNTIF($AL$11:$AL2565,$AL2565))</f>
        <v/>
      </c>
    </row>
    <row r="2566" spans="38:53" ht="15" customHeight="1" x14ac:dyDescent="0.25">
      <c r="AL2566" s="31"/>
      <c r="AM2566" s="26"/>
      <c r="AN2566" s="32"/>
      <c r="AO2566" s="32"/>
      <c r="AP2566" s="24"/>
      <c r="AQ2566" s="24"/>
      <c r="AR2566" s="33"/>
      <c r="AS2566" s="34"/>
      <c r="AT2566" s="33"/>
      <c r="AV2566" s="21">
        <f>IF(AND($AL2566&lt;&gt;"",COUNTIF($AL$11:$AL2566,$AL2566)=1),1,0)</f>
        <v>0</v>
      </c>
      <c r="AW2566" s="21">
        <f t="shared" si="165"/>
        <v>0</v>
      </c>
      <c r="AX2566" s="21" t="str">
        <f t="shared" si="164"/>
        <v/>
      </c>
      <c r="AY2566" s="21" t="str">
        <f>IF(AND($AM2566&lt;&gt;"",$AS2566&lt;&gt;"✓"),SUMPRODUCT(($AM$11:$AM2566&lt;&gt;"")*($AS$11:$AS2566&lt;&gt;"✓")),"")</f>
        <v/>
      </c>
      <c r="AZ2566" s="21" t="str">
        <f>IF(AND($AM2566&lt;&gt;"",$AS2566="✓"),SUMPRODUCT(($AM$11:$AM2566&lt;&gt;"")*($AS$11:$AS2566="✓")),"")</f>
        <v/>
      </c>
      <c r="BA2566" s="21" t="str">
        <f>IF($AL2566="","",$AL2566&amp;"|"&amp;COUNTIF($AL$11:$AL2566,$AL2566))</f>
        <v/>
      </c>
    </row>
    <row r="2567" spans="38:53" ht="15" customHeight="1" x14ac:dyDescent="0.25">
      <c r="AL2567" s="17"/>
      <c r="AM2567" s="12"/>
      <c r="AN2567" s="18"/>
      <c r="AO2567" s="18"/>
      <c r="AP2567" s="10"/>
      <c r="AQ2567" s="10"/>
      <c r="AR2567" s="19"/>
      <c r="AS2567" s="20"/>
      <c r="AT2567" s="19"/>
      <c r="AV2567" s="21">
        <f>IF(AND($AL2567&lt;&gt;"",COUNTIF($AL$11:$AL2567,$AL2567)=1),1,0)</f>
        <v>0</v>
      </c>
      <c r="AW2567" s="21">
        <f t="shared" si="165"/>
        <v>0</v>
      </c>
      <c r="AX2567" s="21" t="str">
        <f t="shared" si="164"/>
        <v/>
      </c>
      <c r="AY2567" s="21" t="str">
        <f>IF(AND($AM2567&lt;&gt;"",$AS2567&lt;&gt;"✓"),SUMPRODUCT(($AM$11:$AM2567&lt;&gt;"")*($AS$11:$AS2567&lt;&gt;"✓")),"")</f>
        <v/>
      </c>
      <c r="AZ2567" s="21" t="str">
        <f>IF(AND($AM2567&lt;&gt;"",$AS2567="✓"),SUMPRODUCT(($AM$11:$AM2567&lt;&gt;"")*($AS$11:$AS2567="✓")),"")</f>
        <v/>
      </c>
      <c r="BA2567" s="21" t="str">
        <f>IF($AL2567="","",$AL2567&amp;"|"&amp;COUNTIF($AL$11:$AL2567,$AL2567))</f>
        <v/>
      </c>
    </row>
    <row r="2568" spans="38:53" ht="15" customHeight="1" x14ac:dyDescent="0.25">
      <c r="AL2568" s="31"/>
      <c r="AM2568" s="26"/>
      <c r="AN2568" s="32"/>
      <c r="AO2568" s="32"/>
      <c r="AP2568" s="24"/>
      <c r="AQ2568" s="24"/>
      <c r="AR2568" s="33"/>
      <c r="AS2568" s="34"/>
      <c r="AT2568" s="33"/>
      <c r="AV2568" s="21">
        <f>IF(AND($AL2568&lt;&gt;"",COUNTIF($AL$11:$AL2568,$AL2568)=1),1,0)</f>
        <v>0</v>
      </c>
      <c r="AW2568" s="21">
        <f t="shared" si="165"/>
        <v>0</v>
      </c>
      <c r="AX2568" s="21" t="str">
        <f t="shared" si="164"/>
        <v/>
      </c>
      <c r="AY2568" s="21" t="str">
        <f>IF(AND($AM2568&lt;&gt;"",$AS2568&lt;&gt;"✓"),SUMPRODUCT(($AM$11:$AM2568&lt;&gt;"")*($AS$11:$AS2568&lt;&gt;"✓")),"")</f>
        <v/>
      </c>
      <c r="AZ2568" s="21" t="str">
        <f>IF(AND($AM2568&lt;&gt;"",$AS2568="✓"),SUMPRODUCT(($AM$11:$AM2568&lt;&gt;"")*($AS$11:$AS2568="✓")),"")</f>
        <v/>
      </c>
      <c r="BA2568" s="21" t="str">
        <f>IF($AL2568="","",$AL2568&amp;"|"&amp;COUNTIF($AL$11:$AL2568,$AL2568))</f>
        <v/>
      </c>
    </row>
    <row r="2569" spans="38:53" ht="15" customHeight="1" x14ac:dyDescent="0.25">
      <c r="AL2569" s="17"/>
      <c r="AM2569" s="12"/>
      <c r="AN2569" s="18"/>
      <c r="AO2569" s="18"/>
      <c r="AP2569" s="10"/>
      <c r="AQ2569" s="10"/>
      <c r="AR2569" s="19"/>
      <c r="AS2569" s="20"/>
      <c r="AT2569" s="19"/>
      <c r="AV2569" s="21">
        <f>IF(AND($AL2569&lt;&gt;"",COUNTIF($AL$11:$AL2569,$AL2569)=1),1,0)</f>
        <v>0</v>
      </c>
      <c r="AW2569" s="21">
        <f t="shared" si="165"/>
        <v>0</v>
      </c>
      <c r="AX2569" s="21" t="str">
        <f t="shared" si="164"/>
        <v/>
      </c>
      <c r="AY2569" s="21" t="str">
        <f>IF(AND($AM2569&lt;&gt;"",$AS2569&lt;&gt;"✓"),SUMPRODUCT(($AM$11:$AM2569&lt;&gt;"")*($AS$11:$AS2569&lt;&gt;"✓")),"")</f>
        <v/>
      </c>
      <c r="AZ2569" s="21" t="str">
        <f>IF(AND($AM2569&lt;&gt;"",$AS2569="✓"),SUMPRODUCT(($AM$11:$AM2569&lt;&gt;"")*($AS$11:$AS2569="✓")),"")</f>
        <v/>
      </c>
      <c r="BA2569" s="21" t="str">
        <f>IF($AL2569="","",$AL2569&amp;"|"&amp;COUNTIF($AL$11:$AL2569,$AL2569))</f>
        <v/>
      </c>
    </row>
    <row r="2570" spans="38:53" ht="15" customHeight="1" x14ac:dyDescent="0.25">
      <c r="AL2570" s="31"/>
      <c r="AM2570" s="26"/>
      <c r="AN2570" s="32"/>
      <c r="AO2570" s="32"/>
      <c r="AP2570" s="24"/>
      <c r="AQ2570" s="24"/>
      <c r="AR2570" s="33"/>
      <c r="AS2570" s="34"/>
      <c r="AT2570" s="33"/>
      <c r="AV2570" s="21">
        <f>IF(AND($AL2570&lt;&gt;"",COUNTIF($AL$11:$AL2570,$AL2570)=1),1,0)</f>
        <v>0</v>
      </c>
      <c r="AW2570" s="21">
        <f t="shared" si="165"/>
        <v>0</v>
      </c>
      <c r="AX2570" s="21" t="str">
        <f t="shared" si="164"/>
        <v/>
      </c>
      <c r="AY2570" s="21" t="str">
        <f>IF(AND($AM2570&lt;&gt;"",$AS2570&lt;&gt;"✓"),SUMPRODUCT(($AM$11:$AM2570&lt;&gt;"")*($AS$11:$AS2570&lt;&gt;"✓")),"")</f>
        <v/>
      </c>
      <c r="AZ2570" s="21" t="str">
        <f>IF(AND($AM2570&lt;&gt;"",$AS2570="✓"),SUMPRODUCT(($AM$11:$AM2570&lt;&gt;"")*($AS$11:$AS2570="✓")),"")</f>
        <v/>
      </c>
      <c r="BA2570" s="21" t="str">
        <f>IF($AL2570="","",$AL2570&amp;"|"&amp;COUNTIF($AL$11:$AL2570,$AL2570))</f>
        <v/>
      </c>
    </row>
    <row r="2571" spans="38:53" ht="15" customHeight="1" x14ac:dyDescent="0.25">
      <c r="AL2571" s="17"/>
      <c r="AM2571" s="12"/>
      <c r="AN2571" s="18"/>
      <c r="AO2571" s="18"/>
      <c r="AP2571" s="10"/>
      <c r="AQ2571" s="10"/>
      <c r="AR2571" s="19"/>
      <c r="AS2571" s="20"/>
      <c r="AT2571" s="19"/>
      <c r="AV2571" s="21">
        <f>IF(AND($AL2571&lt;&gt;"",COUNTIF($AL$11:$AL2571,$AL2571)=1),1,0)</f>
        <v>0</v>
      </c>
      <c r="AW2571" s="21">
        <f t="shared" si="165"/>
        <v>0</v>
      </c>
      <c r="AX2571" s="21" t="str">
        <f t="shared" ref="AX2571:AX2634" si="166">IF(AV2571=1,AW2571,"")</f>
        <v/>
      </c>
      <c r="AY2571" s="21" t="str">
        <f>IF(AND($AM2571&lt;&gt;"",$AS2571&lt;&gt;"✓"),SUMPRODUCT(($AM$11:$AM2571&lt;&gt;"")*($AS$11:$AS2571&lt;&gt;"✓")),"")</f>
        <v/>
      </c>
      <c r="AZ2571" s="21" t="str">
        <f>IF(AND($AM2571&lt;&gt;"",$AS2571="✓"),SUMPRODUCT(($AM$11:$AM2571&lt;&gt;"")*($AS$11:$AS2571="✓")),"")</f>
        <v/>
      </c>
      <c r="BA2571" s="21" t="str">
        <f>IF($AL2571="","",$AL2571&amp;"|"&amp;COUNTIF($AL$11:$AL2571,$AL2571))</f>
        <v/>
      </c>
    </row>
    <row r="2572" spans="38:53" ht="15" customHeight="1" x14ac:dyDescent="0.25">
      <c r="AL2572" s="31"/>
      <c r="AM2572" s="26"/>
      <c r="AN2572" s="32"/>
      <c r="AO2572" s="32"/>
      <c r="AP2572" s="24"/>
      <c r="AQ2572" s="24"/>
      <c r="AR2572" s="33"/>
      <c r="AS2572" s="34"/>
      <c r="AT2572" s="33"/>
      <c r="AV2572" s="21">
        <f>IF(AND($AL2572&lt;&gt;"",COUNTIF($AL$11:$AL2572,$AL2572)=1),1,0)</f>
        <v>0</v>
      </c>
      <c r="AW2572" s="21">
        <f t="shared" ref="AW2572:AW2635" si="167">AW2571+AV2572</f>
        <v>0</v>
      </c>
      <c r="AX2572" s="21" t="str">
        <f t="shared" si="166"/>
        <v/>
      </c>
      <c r="AY2572" s="21" t="str">
        <f>IF(AND($AM2572&lt;&gt;"",$AS2572&lt;&gt;"✓"),SUMPRODUCT(($AM$11:$AM2572&lt;&gt;"")*($AS$11:$AS2572&lt;&gt;"✓")),"")</f>
        <v/>
      </c>
      <c r="AZ2572" s="21" t="str">
        <f>IF(AND($AM2572&lt;&gt;"",$AS2572="✓"),SUMPRODUCT(($AM$11:$AM2572&lt;&gt;"")*($AS$11:$AS2572="✓")),"")</f>
        <v/>
      </c>
      <c r="BA2572" s="21" t="str">
        <f>IF($AL2572="","",$AL2572&amp;"|"&amp;COUNTIF($AL$11:$AL2572,$AL2572))</f>
        <v/>
      </c>
    </row>
    <row r="2573" spans="38:53" ht="15" customHeight="1" x14ac:dyDescent="0.25">
      <c r="AL2573" s="17"/>
      <c r="AM2573" s="12"/>
      <c r="AN2573" s="18"/>
      <c r="AO2573" s="18"/>
      <c r="AP2573" s="10"/>
      <c r="AQ2573" s="10"/>
      <c r="AR2573" s="19"/>
      <c r="AS2573" s="20"/>
      <c r="AT2573" s="19"/>
      <c r="AV2573" s="21">
        <f>IF(AND($AL2573&lt;&gt;"",COUNTIF($AL$11:$AL2573,$AL2573)=1),1,0)</f>
        <v>0</v>
      </c>
      <c r="AW2573" s="21">
        <f t="shared" si="167"/>
        <v>0</v>
      </c>
      <c r="AX2573" s="21" t="str">
        <f t="shared" si="166"/>
        <v/>
      </c>
      <c r="AY2573" s="21" t="str">
        <f>IF(AND($AM2573&lt;&gt;"",$AS2573&lt;&gt;"✓"),SUMPRODUCT(($AM$11:$AM2573&lt;&gt;"")*($AS$11:$AS2573&lt;&gt;"✓")),"")</f>
        <v/>
      </c>
      <c r="AZ2573" s="21" t="str">
        <f>IF(AND($AM2573&lt;&gt;"",$AS2573="✓"),SUMPRODUCT(($AM$11:$AM2573&lt;&gt;"")*($AS$11:$AS2573="✓")),"")</f>
        <v/>
      </c>
      <c r="BA2573" s="21" t="str">
        <f>IF($AL2573="","",$AL2573&amp;"|"&amp;COUNTIF($AL$11:$AL2573,$AL2573))</f>
        <v/>
      </c>
    </row>
    <row r="2574" spans="38:53" ht="15" customHeight="1" x14ac:dyDescent="0.25">
      <c r="AL2574" s="31"/>
      <c r="AM2574" s="26"/>
      <c r="AN2574" s="32"/>
      <c r="AO2574" s="32"/>
      <c r="AP2574" s="24"/>
      <c r="AQ2574" s="24"/>
      <c r="AR2574" s="33"/>
      <c r="AS2574" s="34"/>
      <c r="AT2574" s="33"/>
      <c r="AV2574" s="21">
        <f>IF(AND($AL2574&lt;&gt;"",COUNTIF($AL$11:$AL2574,$AL2574)=1),1,0)</f>
        <v>0</v>
      </c>
      <c r="AW2574" s="21">
        <f t="shared" si="167"/>
        <v>0</v>
      </c>
      <c r="AX2574" s="21" t="str">
        <f t="shared" si="166"/>
        <v/>
      </c>
      <c r="AY2574" s="21" t="str">
        <f>IF(AND($AM2574&lt;&gt;"",$AS2574&lt;&gt;"✓"),SUMPRODUCT(($AM$11:$AM2574&lt;&gt;"")*($AS$11:$AS2574&lt;&gt;"✓")),"")</f>
        <v/>
      </c>
      <c r="AZ2574" s="21" t="str">
        <f>IF(AND($AM2574&lt;&gt;"",$AS2574="✓"),SUMPRODUCT(($AM$11:$AM2574&lt;&gt;"")*($AS$11:$AS2574="✓")),"")</f>
        <v/>
      </c>
      <c r="BA2574" s="21" t="str">
        <f>IF($AL2574="","",$AL2574&amp;"|"&amp;COUNTIF($AL$11:$AL2574,$AL2574))</f>
        <v/>
      </c>
    </row>
    <row r="2575" spans="38:53" ht="15" customHeight="1" x14ac:dyDescent="0.25">
      <c r="AL2575" s="17"/>
      <c r="AM2575" s="12"/>
      <c r="AN2575" s="18"/>
      <c r="AO2575" s="18"/>
      <c r="AP2575" s="10"/>
      <c r="AQ2575" s="10"/>
      <c r="AR2575" s="19"/>
      <c r="AS2575" s="20"/>
      <c r="AT2575" s="19"/>
      <c r="AV2575" s="21">
        <f>IF(AND($AL2575&lt;&gt;"",COUNTIF($AL$11:$AL2575,$AL2575)=1),1,0)</f>
        <v>0</v>
      </c>
      <c r="AW2575" s="21">
        <f t="shared" si="167"/>
        <v>0</v>
      </c>
      <c r="AX2575" s="21" t="str">
        <f t="shared" si="166"/>
        <v/>
      </c>
      <c r="AY2575" s="21" t="str">
        <f>IF(AND($AM2575&lt;&gt;"",$AS2575&lt;&gt;"✓"),SUMPRODUCT(($AM$11:$AM2575&lt;&gt;"")*($AS$11:$AS2575&lt;&gt;"✓")),"")</f>
        <v/>
      </c>
      <c r="AZ2575" s="21" t="str">
        <f>IF(AND($AM2575&lt;&gt;"",$AS2575="✓"),SUMPRODUCT(($AM$11:$AM2575&lt;&gt;"")*($AS$11:$AS2575="✓")),"")</f>
        <v/>
      </c>
      <c r="BA2575" s="21" t="str">
        <f>IF($AL2575="","",$AL2575&amp;"|"&amp;COUNTIF($AL$11:$AL2575,$AL2575))</f>
        <v/>
      </c>
    </row>
    <row r="2576" spans="38:53" ht="15" customHeight="1" x14ac:dyDescent="0.25">
      <c r="AL2576" s="31"/>
      <c r="AM2576" s="26"/>
      <c r="AN2576" s="32"/>
      <c r="AO2576" s="32"/>
      <c r="AP2576" s="24"/>
      <c r="AQ2576" s="24"/>
      <c r="AR2576" s="33"/>
      <c r="AS2576" s="34"/>
      <c r="AT2576" s="33"/>
      <c r="AV2576" s="21">
        <f>IF(AND($AL2576&lt;&gt;"",COUNTIF($AL$11:$AL2576,$AL2576)=1),1,0)</f>
        <v>0</v>
      </c>
      <c r="AW2576" s="21">
        <f t="shared" si="167"/>
        <v>0</v>
      </c>
      <c r="AX2576" s="21" t="str">
        <f t="shared" si="166"/>
        <v/>
      </c>
      <c r="AY2576" s="21" t="str">
        <f>IF(AND($AM2576&lt;&gt;"",$AS2576&lt;&gt;"✓"),SUMPRODUCT(($AM$11:$AM2576&lt;&gt;"")*($AS$11:$AS2576&lt;&gt;"✓")),"")</f>
        <v/>
      </c>
      <c r="AZ2576" s="21" t="str">
        <f>IF(AND($AM2576&lt;&gt;"",$AS2576="✓"),SUMPRODUCT(($AM$11:$AM2576&lt;&gt;"")*($AS$11:$AS2576="✓")),"")</f>
        <v/>
      </c>
      <c r="BA2576" s="21" t="str">
        <f>IF($AL2576="","",$AL2576&amp;"|"&amp;COUNTIF($AL$11:$AL2576,$AL2576))</f>
        <v/>
      </c>
    </row>
    <row r="2577" spans="38:53" ht="15" customHeight="1" x14ac:dyDescent="0.25">
      <c r="AL2577" s="17"/>
      <c r="AM2577" s="12"/>
      <c r="AN2577" s="18"/>
      <c r="AO2577" s="18"/>
      <c r="AP2577" s="10"/>
      <c r="AQ2577" s="10"/>
      <c r="AR2577" s="19"/>
      <c r="AS2577" s="20"/>
      <c r="AT2577" s="19"/>
      <c r="AV2577" s="21">
        <f>IF(AND($AL2577&lt;&gt;"",COUNTIF($AL$11:$AL2577,$AL2577)=1),1,0)</f>
        <v>0</v>
      </c>
      <c r="AW2577" s="21">
        <f t="shared" si="167"/>
        <v>0</v>
      </c>
      <c r="AX2577" s="21" t="str">
        <f t="shared" si="166"/>
        <v/>
      </c>
      <c r="AY2577" s="21" t="str">
        <f>IF(AND($AM2577&lt;&gt;"",$AS2577&lt;&gt;"✓"),SUMPRODUCT(($AM$11:$AM2577&lt;&gt;"")*($AS$11:$AS2577&lt;&gt;"✓")),"")</f>
        <v/>
      </c>
      <c r="AZ2577" s="21" t="str">
        <f>IF(AND($AM2577&lt;&gt;"",$AS2577="✓"),SUMPRODUCT(($AM$11:$AM2577&lt;&gt;"")*($AS$11:$AS2577="✓")),"")</f>
        <v/>
      </c>
      <c r="BA2577" s="21" t="str">
        <f>IF($AL2577="","",$AL2577&amp;"|"&amp;COUNTIF($AL$11:$AL2577,$AL2577))</f>
        <v/>
      </c>
    </row>
    <row r="2578" spans="38:53" ht="15" customHeight="1" x14ac:dyDescent="0.25">
      <c r="AL2578" s="31"/>
      <c r="AM2578" s="26"/>
      <c r="AN2578" s="32"/>
      <c r="AO2578" s="32"/>
      <c r="AP2578" s="24"/>
      <c r="AQ2578" s="24"/>
      <c r="AR2578" s="33"/>
      <c r="AS2578" s="34"/>
      <c r="AT2578" s="33"/>
      <c r="AV2578" s="21">
        <f>IF(AND($AL2578&lt;&gt;"",COUNTIF($AL$11:$AL2578,$AL2578)=1),1,0)</f>
        <v>0</v>
      </c>
      <c r="AW2578" s="21">
        <f t="shared" si="167"/>
        <v>0</v>
      </c>
      <c r="AX2578" s="21" t="str">
        <f t="shared" si="166"/>
        <v/>
      </c>
      <c r="AY2578" s="21" t="str">
        <f>IF(AND($AM2578&lt;&gt;"",$AS2578&lt;&gt;"✓"),SUMPRODUCT(($AM$11:$AM2578&lt;&gt;"")*($AS$11:$AS2578&lt;&gt;"✓")),"")</f>
        <v/>
      </c>
      <c r="AZ2578" s="21" t="str">
        <f>IF(AND($AM2578&lt;&gt;"",$AS2578="✓"),SUMPRODUCT(($AM$11:$AM2578&lt;&gt;"")*($AS$11:$AS2578="✓")),"")</f>
        <v/>
      </c>
      <c r="BA2578" s="21" t="str">
        <f>IF($AL2578="","",$AL2578&amp;"|"&amp;COUNTIF($AL$11:$AL2578,$AL2578))</f>
        <v/>
      </c>
    </row>
    <row r="2579" spans="38:53" ht="15" customHeight="1" x14ac:dyDescent="0.25">
      <c r="AL2579" s="17"/>
      <c r="AM2579" s="12"/>
      <c r="AN2579" s="18"/>
      <c r="AO2579" s="18"/>
      <c r="AP2579" s="10"/>
      <c r="AQ2579" s="10"/>
      <c r="AR2579" s="19"/>
      <c r="AS2579" s="20"/>
      <c r="AT2579" s="19"/>
      <c r="AV2579" s="21">
        <f>IF(AND($AL2579&lt;&gt;"",COUNTIF($AL$11:$AL2579,$AL2579)=1),1,0)</f>
        <v>0</v>
      </c>
      <c r="AW2579" s="21">
        <f t="shared" si="167"/>
        <v>0</v>
      </c>
      <c r="AX2579" s="21" t="str">
        <f t="shared" si="166"/>
        <v/>
      </c>
      <c r="AY2579" s="21" t="str">
        <f>IF(AND($AM2579&lt;&gt;"",$AS2579&lt;&gt;"✓"),SUMPRODUCT(($AM$11:$AM2579&lt;&gt;"")*($AS$11:$AS2579&lt;&gt;"✓")),"")</f>
        <v/>
      </c>
      <c r="AZ2579" s="21" t="str">
        <f>IF(AND($AM2579&lt;&gt;"",$AS2579="✓"),SUMPRODUCT(($AM$11:$AM2579&lt;&gt;"")*($AS$11:$AS2579="✓")),"")</f>
        <v/>
      </c>
      <c r="BA2579" s="21" t="str">
        <f>IF($AL2579="","",$AL2579&amp;"|"&amp;COUNTIF($AL$11:$AL2579,$AL2579))</f>
        <v/>
      </c>
    </row>
    <row r="2580" spans="38:53" ht="15" customHeight="1" x14ac:dyDescent="0.25">
      <c r="AL2580" s="31"/>
      <c r="AM2580" s="26"/>
      <c r="AN2580" s="32"/>
      <c r="AO2580" s="32"/>
      <c r="AP2580" s="24"/>
      <c r="AQ2580" s="24"/>
      <c r="AR2580" s="33"/>
      <c r="AS2580" s="34"/>
      <c r="AT2580" s="33"/>
      <c r="AV2580" s="21">
        <f>IF(AND($AL2580&lt;&gt;"",COUNTIF($AL$11:$AL2580,$AL2580)=1),1,0)</f>
        <v>0</v>
      </c>
      <c r="AW2580" s="21">
        <f t="shared" si="167"/>
        <v>0</v>
      </c>
      <c r="AX2580" s="21" t="str">
        <f t="shared" si="166"/>
        <v/>
      </c>
      <c r="AY2580" s="21" t="str">
        <f>IF(AND($AM2580&lt;&gt;"",$AS2580&lt;&gt;"✓"),SUMPRODUCT(($AM$11:$AM2580&lt;&gt;"")*($AS$11:$AS2580&lt;&gt;"✓")),"")</f>
        <v/>
      </c>
      <c r="AZ2580" s="21" t="str">
        <f>IF(AND($AM2580&lt;&gt;"",$AS2580="✓"),SUMPRODUCT(($AM$11:$AM2580&lt;&gt;"")*($AS$11:$AS2580="✓")),"")</f>
        <v/>
      </c>
      <c r="BA2580" s="21" t="str">
        <f>IF($AL2580="","",$AL2580&amp;"|"&amp;COUNTIF($AL$11:$AL2580,$AL2580))</f>
        <v/>
      </c>
    </row>
    <row r="2581" spans="38:53" ht="15" customHeight="1" x14ac:dyDescent="0.25">
      <c r="AL2581" s="17"/>
      <c r="AM2581" s="12"/>
      <c r="AN2581" s="18"/>
      <c r="AO2581" s="18"/>
      <c r="AP2581" s="10"/>
      <c r="AQ2581" s="10"/>
      <c r="AR2581" s="19"/>
      <c r="AS2581" s="20"/>
      <c r="AT2581" s="19"/>
      <c r="AV2581" s="21">
        <f>IF(AND($AL2581&lt;&gt;"",COUNTIF($AL$11:$AL2581,$AL2581)=1),1,0)</f>
        <v>0</v>
      </c>
      <c r="AW2581" s="21">
        <f t="shared" si="167"/>
        <v>0</v>
      </c>
      <c r="AX2581" s="21" t="str">
        <f t="shared" si="166"/>
        <v/>
      </c>
      <c r="AY2581" s="21" t="str">
        <f>IF(AND($AM2581&lt;&gt;"",$AS2581&lt;&gt;"✓"),SUMPRODUCT(($AM$11:$AM2581&lt;&gt;"")*($AS$11:$AS2581&lt;&gt;"✓")),"")</f>
        <v/>
      </c>
      <c r="AZ2581" s="21" t="str">
        <f>IF(AND($AM2581&lt;&gt;"",$AS2581="✓"),SUMPRODUCT(($AM$11:$AM2581&lt;&gt;"")*($AS$11:$AS2581="✓")),"")</f>
        <v/>
      </c>
      <c r="BA2581" s="21" t="str">
        <f>IF($AL2581="","",$AL2581&amp;"|"&amp;COUNTIF($AL$11:$AL2581,$AL2581))</f>
        <v/>
      </c>
    </row>
    <row r="2582" spans="38:53" ht="15" customHeight="1" x14ac:dyDescent="0.25">
      <c r="AL2582" s="31"/>
      <c r="AM2582" s="26"/>
      <c r="AN2582" s="32"/>
      <c r="AO2582" s="32"/>
      <c r="AP2582" s="24"/>
      <c r="AQ2582" s="24"/>
      <c r="AR2582" s="33"/>
      <c r="AS2582" s="34"/>
      <c r="AT2582" s="33"/>
      <c r="AV2582" s="21">
        <f>IF(AND($AL2582&lt;&gt;"",COUNTIF($AL$11:$AL2582,$AL2582)=1),1,0)</f>
        <v>0</v>
      </c>
      <c r="AW2582" s="21">
        <f t="shared" si="167"/>
        <v>0</v>
      </c>
      <c r="AX2582" s="21" t="str">
        <f t="shared" si="166"/>
        <v/>
      </c>
      <c r="AY2582" s="21" t="str">
        <f>IF(AND($AM2582&lt;&gt;"",$AS2582&lt;&gt;"✓"),SUMPRODUCT(($AM$11:$AM2582&lt;&gt;"")*($AS$11:$AS2582&lt;&gt;"✓")),"")</f>
        <v/>
      </c>
      <c r="AZ2582" s="21" t="str">
        <f>IF(AND($AM2582&lt;&gt;"",$AS2582="✓"),SUMPRODUCT(($AM$11:$AM2582&lt;&gt;"")*($AS$11:$AS2582="✓")),"")</f>
        <v/>
      </c>
      <c r="BA2582" s="21" t="str">
        <f>IF($AL2582="","",$AL2582&amp;"|"&amp;COUNTIF($AL$11:$AL2582,$AL2582))</f>
        <v/>
      </c>
    </row>
    <row r="2583" spans="38:53" ht="15" customHeight="1" x14ac:dyDescent="0.25">
      <c r="AL2583" s="17"/>
      <c r="AM2583" s="12"/>
      <c r="AN2583" s="18"/>
      <c r="AO2583" s="18"/>
      <c r="AP2583" s="10"/>
      <c r="AQ2583" s="10"/>
      <c r="AR2583" s="19"/>
      <c r="AS2583" s="20"/>
      <c r="AT2583" s="19"/>
      <c r="AV2583" s="21">
        <f>IF(AND($AL2583&lt;&gt;"",COUNTIF($AL$11:$AL2583,$AL2583)=1),1,0)</f>
        <v>0</v>
      </c>
      <c r="AW2583" s="21">
        <f t="shared" si="167"/>
        <v>0</v>
      </c>
      <c r="AX2583" s="21" t="str">
        <f t="shared" si="166"/>
        <v/>
      </c>
      <c r="AY2583" s="21" t="str">
        <f>IF(AND($AM2583&lt;&gt;"",$AS2583&lt;&gt;"✓"),SUMPRODUCT(($AM$11:$AM2583&lt;&gt;"")*($AS$11:$AS2583&lt;&gt;"✓")),"")</f>
        <v/>
      </c>
      <c r="AZ2583" s="21" t="str">
        <f>IF(AND($AM2583&lt;&gt;"",$AS2583="✓"),SUMPRODUCT(($AM$11:$AM2583&lt;&gt;"")*($AS$11:$AS2583="✓")),"")</f>
        <v/>
      </c>
      <c r="BA2583" s="21" t="str">
        <f>IF($AL2583="","",$AL2583&amp;"|"&amp;COUNTIF($AL$11:$AL2583,$AL2583))</f>
        <v/>
      </c>
    </row>
    <row r="2584" spans="38:53" ht="15" customHeight="1" x14ac:dyDescent="0.25">
      <c r="AL2584" s="31"/>
      <c r="AM2584" s="26"/>
      <c r="AN2584" s="32"/>
      <c r="AO2584" s="32"/>
      <c r="AP2584" s="24"/>
      <c r="AQ2584" s="24"/>
      <c r="AR2584" s="33"/>
      <c r="AS2584" s="34"/>
      <c r="AT2584" s="33"/>
      <c r="AV2584" s="21">
        <f>IF(AND($AL2584&lt;&gt;"",COUNTIF($AL$11:$AL2584,$AL2584)=1),1,0)</f>
        <v>0</v>
      </c>
      <c r="AW2584" s="21">
        <f t="shared" si="167"/>
        <v>0</v>
      </c>
      <c r="AX2584" s="21" t="str">
        <f t="shared" si="166"/>
        <v/>
      </c>
      <c r="AY2584" s="21" t="str">
        <f>IF(AND($AM2584&lt;&gt;"",$AS2584&lt;&gt;"✓"),SUMPRODUCT(($AM$11:$AM2584&lt;&gt;"")*($AS$11:$AS2584&lt;&gt;"✓")),"")</f>
        <v/>
      </c>
      <c r="AZ2584" s="21" t="str">
        <f>IF(AND($AM2584&lt;&gt;"",$AS2584="✓"),SUMPRODUCT(($AM$11:$AM2584&lt;&gt;"")*($AS$11:$AS2584="✓")),"")</f>
        <v/>
      </c>
      <c r="BA2584" s="21" t="str">
        <f>IF($AL2584="","",$AL2584&amp;"|"&amp;COUNTIF($AL$11:$AL2584,$AL2584))</f>
        <v/>
      </c>
    </row>
    <row r="2585" spans="38:53" ht="15" customHeight="1" x14ac:dyDescent="0.25">
      <c r="AL2585" s="17"/>
      <c r="AM2585" s="12"/>
      <c r="AN2585" s="18"/>
      <c r="AO2585" s="18"/>
      <c r="AP2585" s="10"/>
      <c r="AQ2585" s="10"/>
      <c r="AR2585" s="19"/>
      <c r="AS2585" s="20"/>
      <c r="AT2585" s="19"/>
      <c r="AV2585" s="21">
        <f>IF(AND($AL2585&lt;&gt;"",COUNTIF($AL$11:$AL2585,$AL2585)=1),1,0)</f>
        <v>0</v>
      </c>
      <c r="AW2585" s="21">
        <f t="shared" si="167"/>
        <v>0</v>
      </c>
      <c r="AX2585" s="21" t="str">
        <f t="shared" si="166"/>
        <v/>
      </c>
      <c r="AY2585" s="21" t="str">
        <f>IF(AND($AM2585&lt;&gt;"",$AS2585&lt;&gt;"✓"),SUMPRODUCT(($AM$11:$AM2585&lt;&gt;"")*($AS$11:$AS2585&lt;&gt;"✓")),"")</f>
        <v/>
      </c>
      <c r="AZ2585" s="21" t="str">
        <f>IF(AND($AM2585&lt;&gt;"",$AS2585="✓"),SUMPRODUCT(($AM$11:$AM2585&lt;&gt;"")*($AS$11:$AS2585="✓")),"")</f>
        <v/>
      </c>
      <c r="BA2585" s="21" t="str">
        <f>IF($AL2585="","",$AL2585&amp;"|"&amp;COUNTIF($AL$11:$AL2585,$AL2585))</f>
        <v/>
      </c>
    </row>
    <row r="2586" spans="38:53" ht="15" customHeight="1" x14ac:dyDescent="0.25">
      <c r="AL2586" s="31"/>
      <c r="AM2586" s="26"/>
      <c r="AN2586" s="32"/>
      <c r="AO2586" s="32"/>
      <c r="AP2586" s="24"/>
      <c r="AQ2586" s="24"/>
      <c r="AR2586" s="33"/>
      <c r="AS2586" s="34"/>
      <c r="AT2586" s="33"/>
      <c r="AV2586" s="21">
        <f>IF(AND($AL2586&lt;&gt;"",COUNTIF($AL$11:$AL2586,$AL2586)=1),1,0)</f>
        <v>0</v>
      </c>
      <c r="AW2586" s="21">
        <f t="shared" si="167"/>
        <v>0</v>
      </c>
      <c r="AX2586" s="21" t="str">
        <f t="shared" si="166"/>
        <v/>
      </c>
      <c r="AY2586" s="21" t="str">
        <f>IF(AND($AM2586&lt;&gt;"",$AS2586&lt;&gt;"✓"),SUMPRODUCT(($AM$11:$AM2586&lt;&gt;"")*($AS$11:$AS2586&lt;&gt;"✓")),"")</f>
        <v/>
      </c>
      <c r="AZ2586" s="21" t="str">
        <f>IF(AND($AM2586&lt;&gt;"",$AS2586="✓"),SUMPRODUCT(($AM$11:$AM2586&lt;&gt;"")*($AS$11:$AS2586="✓")),"")</f>
        <v/>
      </c>
      <c r="BA2586" s="21" t="str">
        <f>IF($AL2586="","",$AL2586&amp;"|"&amp;COUNTIF($AL$11:$AL2586,$AL2586))</f>
        <v/>
      </c>
    </row>
    <row r="2587" spans="38:53" ht="15" customHeight="1" x14ac:dyDescent="0.25">
      <c r="AL2587" s="17"/>
      <c r="AM2587" s="12"/>
      <c r="AN2587" s="18"/>
      <c r="AO2587" s="18"/>
      <c r="AP2587" s="10"/>
      <c r="AQ2587" s="10"/>
      <c r="AR2587" s="19"/>
      <c r="AS2587" s="20"/>
      <c r="AT2587" s="19"/>
      <c r="AV2587" s="21">
        <f>IF(AND($AL2587&lt;&gt;"",COUNTIF($AL$11:$AL2587,$AL2587)=1),1,0)</f>
        <v>0</v>
      </c>
      <c r="AW2587" s="21">
        <f t="shared" si="167"/>
        <v>0</v>
      </c>
      <c r="AX2587" s="21" t="str">
        <f t="shared" si="166"/>
        <v/>
      </c>
      <c r="AY2587" s="21" t="str">
        <f>IF(AND($AM2587&lt;&gt;"",$AS2587&lt;&gt;"✓"),SUMPRODUCT(($AM$11:$AM2587&lt;&gt;"")*($AS$11:$AS2587&lt;&gt;"✓")),"")</f>
        <v/>
      </c>
      <c r="AZ2587" s="21" t="str">
        <f>IF(AND($AM2587&lt;&gt;"",$AS2587="✓"),SUMPRODUCT(($AM$11:$AM2587&lt;&gt;"")*($AS$11:$AS2587="✓")),"")</f>
        <v/>
      </c>
      <c r="BA2587" s="21" t="str">
        <f>IF($AL2587="","",$AL2587&amp;"|"&amp;COUNTIF($AL$11:$AL2587,$AL2587))</f>
        <v/>
      </c>
    </row>
    <row r="2588" spans="38:53" ht="15" customHeight="1" x14ac:dyDescent="0.25">
      <c r="AL2588" s="31"/>
      <c r="AM2588" s="26"/>
      <c r="AN2588" s="32"/>
      <c r="AO2588" s="32"/>
      <c r="AP2588" s="24"/>
      <c r="AQ2588" s="24"/>
      <c r="AR2588" s="33"/>
      <c r="AS2588" s="34"/>
      <c r="AT2588" s="33"/>
      <c r="AV2588" s="21">
        <f>IF(AND($AL2588&lt;&gt;"",COUNTIF($AL$11:$AL2588,$AL2588)=1),1,0)</f>
        <v>0</v>
      </c>
      <c r="AW2588" s="21">
        <f t="shared" si="167"/>
        <v>0</v>
      </c>
      <c r="AX2588" s="21" t="str">
        <f t="shared" si="166"/>
        <v/>
      </c>
      <c r="AY2588" s="21" t="str">
        <f>IF(AND($AM2588&lt;&gt;"",$AS2588&lt;&gt;"✓"),SUMPRODUCT(($AM$11:$AM2588&lt;&gt;"")*($AS$11:$AS2588&lt;&gt;"✓")),"")</f>
        <v/>
      </c>
      <c r="AZ2588" s="21" t="str">
        <f>IF(AND($AM2588&lt;&gt;"",$AS2588="✓"),SUMPRODUCT(($AM$11:$AM2588&lt;&gt;"")*($AS$11:$AS2588="✓")),"")</f>
        <v/>
      </c>
      <c r="BA2588" s="21" t="str">
        <f>IF($AL2588="","",$AL2588&amp;"|"&amp;COUNTIF($AL$11:$AL2588,$AL2588))</f>
        <v/>
      </c>
    </row>
    <row r="2589" spans="38:53" ht="15" customHeight="1" x14ac:dyDescent="0.25">
      <c r="AL2589" s="17"/>
      <c r="AM2589" s="12"/>
      <c r="AN2589" s="18"/>
      <c r="AO2589" s="18"/>
      <c r="AP2589" s="10"/>
      <c r="AQ2589" s="10"/>
      <c r="AR2589" s="19"/>
      <c r="AS2589" s="20"/>
      <c r="AT2589" s="19"/>
      <c r="AV2589" s="21">
        <f>IF(AND($AL2589&lt;&gt;"",COUNTIF($AL$11:$AL2589,$AL2589)=1),1,0)</f>
        <v>0</v>
      </c>
      <c r="AW2589" s="21">
        <f t="shared" si="167"/>
        <v>0</v>
      </c>
      <c r="AX2589" s="21" t="str">
        <f t="shared" si="166"/>
        <v/>
      </c>
      <c r="AY2589" s="21" t="str">
        <f>IF(AND($AM2589&lt;&gt;"",$AS2589&lt;&gt;"✓"),SUMPRODUCT(($AM$11:$AM2589&lt;&gt;"")*($AS$11:$AS2589&lt;&gt;"✓")),"")</f>
        <v/>
      </c>
      <c r="AZ2589" s="21" t="str">
        <f>IF(AND($AM2589&lt;&gt;"",$AS2589="✓"),SUMPRODUCT(($AM$11:$AM2589&lt;&gt;"")*($AS$11:$AS2589="✓")),"")</f>
        <v/>
      </c>
      <c r="BA2589" s="21" t="str">
        <f>IF($AL2589="","",$AL2589&amp;"|"&amp;COUNTIF($AL$11:$AL2589,$AL2589))</f>
        <v/>
      </c>
    </row>
    <row r="2590" spans="38:53" ht="15" customHeight="1" x14ac:dyDescent="0.25">
      <c r="AL2590" s="31"/>
      <c r="AM2590" s="26"/>
      <c r="AN2590" s="32"/>
      <c r="AO2590" s="32"/>
      <c r="AP2590" s="24"/>
      <c r="AQ2590" s="24"/>
      <c r="AR2590" s="33"/>
      <c r="AS2590" s="34"/>
      <c r="AT2590" s="33"/>
      <c r="AV2590" s="21">
        <f>IF(AND($AL2590&lt;&gt;"",COUNTIF($AL$11:$AL2590,$AL2590)=1),1,0)</f>
        <v>0</v>
      </c>
      <c r="AW2590" s="21">
        <f t="shared" si="167"/>
        <v>0</v>
      </c>
      <c r="AX2590" s="21" t="str">
        <f t="shared" si="166"/>
        <v/>
      </c>
      <c r="AY2590" s="21" t="str">
        <f>IF(AND($AM2590&lt;&gt;"",$AS2590&lt;&gt;"✓"),SUMPRODUCT(($AM$11:$AM2590&lt;&gt;"")*($AS$11:$AS2590&lt;&gt;"✓")),"")</f>
        <v/>
      </c>
      <c r="AZ2590" s="21" t="str">
        <f>IF(AND($AM2590&lt;&gt;"",$AS2590="✓"),SUMPRODUCT(($AM$11:$AM2590&lt;&gt;"")*($AS$11:$AS2590="✓")),"")</f>
        <v/>
      </c>
      <c r="BA2590" s="21" t="str">
        <f>IF($AL2590="","",$AL2590&amp;"|"&amp;COUNTIF($AL$11:$AL2590,$AL2590))</f>
        <v/>
      </c>
    </row>
    <row r="2591" spans="38:53" ht="15" customHeight="1" x14ac:dyDescent="0.25">
      <c r="AL2591" s="17"/>
      <c r="AM2591" s="12"/>
      <c r="AN2591" s="18"/>
      <c r="AO2591" s="18"/>
      <c r="AP2591" s="10"/>
      <c r="AQ2591" s="10"/>
      <c r="AR2591" s="19"/>
      <c r="AS2591" s="20"/>
      <c r="AT2591" s="19"/>
      <c r="AV2591" s="21">
        <f>IF(AND($AL2591&lt;&gt;"",COUNTIF($AL$11:$AL2591,$AL2591)=1),1,0)</f>
        <v>0</v>
      </c>
      <c r="AW2591" s="21">
        <f t="shared" si="167"/>
        <v>0</v>
      </c>
      <c r="AX2591" s="21" t="str">
        <f t="shared" si="166"/>
        <v/>
      </c>
      <c r="AY2591" s="21" t="str">
        <f>IF(AND($AM2591&lt;&gt;"",$AS2591&lt;&gt;"✓"),SUMPRODUCT(($AM$11:$AM2591&lt;&gt;"")*($AS$11:$AS2591&lt;&gt;"✓")),"")</f>
        <v/>
      </c>
      <c r="AZ2591" s="21" t="str">
        <f>IF(AND($AM2591&lt;&gt;"",$AS2591="✓"),SUMPRODUCT(($AM$11:$AM2591&lt;&gt;"")*($AS$11:$AS2591="✓")),"")</f>
        <v/>
      </c>
      <c r="BA2591" s="21" t="str">
        <f>IF($AL2591="","",$AL2591&amp;"|"&amp;COUNTIF($AL$11:$AL2591,$AL2591))</f>
        <v/>
      </c>
    </row>
    <row r="2592" spans="38:53" ht="15" customHeight="1" x14ac:dyDescent="0.25">
      <c r="AL2592" s="31"/>
      <c r="AM2592" s="26"/>
      <c r="AN2592" s="32"/>
      <c r="AO2592" s="32"/>
      <c r="AP2592" s="24"/>
      <c r="AQ2592" s="24"/>
      <c r="AR2592" s="33"/>
      <c r="AS2592" s="34"/>
      <c r="AT2592" s="33"/>
      <c r="AV2592" s="21">
        <f>IF(AND($AL2592&lt;&gt;"",COUNTIF($AL$11:$AL2592,$AL2592)=1),1,0)</f>
        <v>0</v>
      </c>
      <c r="AW2592" s="21">
        <f t="shared" si="167"/>
        <v>0</v>
      </c>
      <c r="AX2592" s="21" t="str">
        <f t="shared" si="166"/>
        <v/>
      </c>
      <c r="AY2592" s="21" t="str">
        <f>IF(AND($AM2592&lt;&gt;"",$AS2592&lt;&gt;"✓"),SUMPRODUCT(($AM$11:$AM2592&lt;&gt;"")*($AS$11:$AS2592&lt;&gt;"✓")),"")</f>
        <v/>
      </c>
      <c r="AZ2592" s="21" t="str">
        <f>IF(AND($AM2592&lt;&gt;"",$AS2592="✓"),SUMPRODUCT(($AM$11:$AM2592&lt;&gt;"")*($AS$11:$AS2592="✓")),"")</f>
        <v/>
      </c>
      <c r="BA2592" s="21" t="str">
        <f>IF($AL2592="","",$AL2592&amp;"|"&amp;COUNTIF($AL$11:$AL2592,$AL2592))</f>
        <v/>
      </c>
    </row>
    <row r="2593" spans="38:53" ht="15" customHeight="1" x14ac:dyDescent="0.25">
      <c r="AL2593" s="17"/>
      <c r="AM2593" s="12"/>
      <c r="AN2593" s="18"/>
      <c r="AO2593" s="18"/>
      <c r="AP2593" s="10"/>
      <c r="AQ2593" s="10"/>
      <c r="AR2593" s="19"/>
      <c r="AS2593" s="20"/>
      <c r="AT2593" s="19"/>
      <c r="AV2593" s="21">
        <f>IF(AND($AL2593&lt;&gt;"",COUNTIF($AL$11:$AL2593,$AL2593)=1),1,0)</f>
        <v>0</v>
      </c>
      <c r="AW2593" s="21">
        <f t="shared" si="167"/>
        <v>0</v>
      </c>
      <c r="AX2593" s="21" t="str">
        <f t="shared" si="166"/>
        <v/>
      </c>
      <c r="AY2593" s="21" t="str">
        <f>IF(AND($AM2593&lt;&gt;"",$AS2593&lt;&gt;"✓"),SUMPRODUCT(($AM$11:$AM2593&lt;&gt;"")*($AS$11:$AS2593&lt;&gt;"✓")),"")</f>
        <v/>
      </c>
      <c r="AZ2593" s="21" t="str">
        <f>IF(AND($AM2593&lt;&gt;"",$AS2593="✓"),SUMPRODUCT(($AM$11:$AM2593&lt;&gt;"")*($AS$11:$AS2593="✓")),"")</f>
        <v/>
      </c>
      <c r="BA2593" s="21" t="str">
        <f>IF($AL2593="","",$AL2593&amp;"|"&amp;COUNTIF($AL$11:$AL2593,$AL2593))</f>
        <v/>
      </c>
    </row>
    <row r="2594" spans="38:53" ht="15" customHeight="1" x14ac:dyDescent="0.25">
      <c r="AL2594" s="31"/>
      <c r="AM2594" s="26"/>
      <c r="AN2594" s="32"/>
      <c r="AO2594" s="32"/>
      <c r="AP2594" s="24"/>
      <c r="AQ2594" s="24"/>
      <c r="AR2594" s="33"/>
      <c r="AS2594" s="34"/>
      <c r="AT2594" s="33"/>
      <c r="AV2594" s="21">
        <f>IF(AND($AL2594&lt;&gt;"",COUNTIF($AL$11:$AL2594,$AL2594)=1),1,0)</f>
        <v>0</v>
      </c>
      <c r="AW2594" s="21">
        <f t="shared" si="167"/>
        <v>0</v>
      </c>
      <c r="AX2594" s="21" t="str">
        <f t="shared" si="166"/>
        <v/>
      </c>
      <c r="AY2594" s="21" t="str">
        <f>IF(AND($AM2594&lt;&gt;"",$AS2594&lt;&gt;"✓"),SUMPRODUCT(($AM$11:$AM2594&lt;&gt;"")*($AS$11:$AS2594&lt;&gt;"✓")),"")</f>
        <v/>
      </c>
      <c r="AZ2594" s="21" t="str">
        <f>IF(AND($AM2594&lt;&gt;"",$AS2594="✓"),SUMPRODUCT(($AM$11:$AM2594&lt;&gt;"")*($AS$11:$AS2594="✓")),"")</f>
        <v/>
      </c>
      <c r="BA2594" s="21" t="str">
        <f>IF($AL2594="","",$AL2594&amp;"|"&amp;COUNTIF($AL$11:$AL2594,$AL2594))</f>
        <v/>
      </c>
    </row>
    <row r="2595" spans="38:53" ht="15" customHeight="1" x14ac:dyDescent="0.25">
      <c r="AL2595" s="17"/>
      <c r="AM2595" s="12"/>
      <c r="AN2595" s="18"/>
      <c r="AO2595" s="18"/>
      <c r="AP2595" s="10"/>
      <c r="AQ2595" s="10"/>
      <c r="AR2595" s="19"/>
      <c r="AS2595" s="20"/>
      <c r="AT2595" s="19"/>
      <c r="AV2595" s="21">
        <f>IF(AND($AL2595&lt;&gt;"",COUNTIF($AL$11:$AL2595,$AL2595)=1),1,0)</f>
        <v>0</v>
      </c>
      <c r="AW2595" s="21">
        <f t="shared" si="167"/>
        <v>0</v>
      </c>
      <c r="AX2595" s="21" t="str">
        <f t="shared" si="166"/>
        <v/>
      </c>
      <c r="AY2595" s="21" t="str">
        <f>IF(AND($AM2595&lt;&gt;"",$AS2595&lt;&gt;"✓"),SUMPRODUCT(($AM$11:$AM2595&lt;&gt;"")*($AS$11:$AS2595&lt;&gt;"✓")),"")</f>
        <v/>
      </c>
      <c r="AZ2595" s="21" t="str">
        <f>IF(AND($AM2595&lt;&gt;"",$AS2595="✓"),SUMPRODUCT(($AM$11:$AM2595&lt;&gt;"")*($AS$11:$AS2595="✓")),"")</f>
        <v/>
      </c>
      <c r="BA2595" s="21" t="str">
        <f>IF($AL2595="","",$AL2595&amp;"|"&amp;COUNTIF($AL$11:$AL2595,$AL2595))</f>
        <v/>
      </c>
    </row>
    <row r="2596" spans="38:53" ht="15" customHeight="1" x14ac:dyDescent="0.25">
      <c r="AL2596" s="31"/>
      <c r="AM2596" s="26"/>
      <c r="AN2596" s="32"/>
      <c r="AO2596" s="32"/>
      <c r="AP2596" s="24"/>
      <c r="AQ2596" s="24"/>
      <c r="AR2596" s="33"/>
      <c r="AS2596" s="34"/>
      <c r="AT2596" s="33"/>
      <c r="AV2596" s="21">
        <f>IF(AND($AL2596&lt;&gt;"",COUNTIF($AL$11:$AL2596,$AL2596)=1),1,0)</f>
        <v>0</v>
      </c>
      <c r="AW2596" s="21">
        <f t="shared" si="167"/>
        <v>0</v>
      </c>
      <c r="AX2596" s="21" t="str">
        <f t="shared" si="166"/>
        <v/>
      </c>
      <c r="AY2596" s="21" t="str">
        <f>IF(AND($AM2596&lt;&gt;"",$AS2596&lt;&gt;"✓"),SUMPRODUCT(($AM$11:$AM2596&lt;&gt;"")*($AS$11:$AS2596&lt;&gt;"✓")),"")</f>
        <v/>
      </c>
      <c r="AZ2596" s="21" t="str">
        <f>IF(AND($AM2596&lt;&gt;"",$AS2596="✓"),SUMPRODUCT(($AM$11:$AM2596&lt;&gt;"")*($AS$11:$AS2596="✓")),"")</f>
        <v/>
      </c>
      <c r="BA2596" s="21" t="str">
        <f>IF($AL2596="","",$AL2596&amp;"|"&amp;COUNTIF($AL$11:$AL2596,$AL2596))</f>
        <v/>
      </c>
    </row>
    <row r="2597" spans="38:53" ht="15" customHeight="1" x14ac:dyDescent="0.25">
      <c r="AL2597" s="17"/>
      <c r="AM2597" s="12"/>
      <c r="AN2597" s="18"/>
      <c r="AO2597" s="18"/>
      <c r="AP2597" s="10"/>
      <c r="AQ2597" s="10"/>
      <c r="AR2597" s="19"/>
      <c r="AS2597" s="20"/>
      <c r="AT2597" s="19"/>
      <c r="AV2597" s="21">
        <f>IF(AND($AL2597&lt;&gt;"",COUNTIF($AL$11:$AL2597,$AL2597)=1),1,0)</f>
        <v>0</v>
      </c>
      <c r="AW2597" s="21">
        <f t="shared" si="167"/>
        <v>0</v>
      </c>
      <c r="AX2597" s="21" t="str">
        <f t="shared" si="166"/>
        <v/>
      </c>
      <c r="AY2597" s="21" t="str">
        <f>IF(AND($AM2597&lt;&gt;"",$AS2597&lt;&gt;"✓"),SUMPRODUCT(($AM$11:$AM2597&lt;&gt;"")*($AS$11:$AS2597&lt;&gt;"✓")),"")</f>
        <v/>
      </c>
      <c r="AZ2597" s="21" t="str">
        <f>IF(AND($AM2597&lt;&gt;"",$AS2597="✓"),SUMPRODUCT(($AM$11:$AM2597&lt;&gt;"")*($AS$11:$AS2597="✓")),"")</f>
        <v/>
      </c>
      <c r="BA2597" s="21" t="str">
        <f>IF($AL2597="","",$AL2597&amp;"|"&amp;COUNTIF($AL$11:$AL2597,$AL2597))</f>
        <v/>
      </c>
    </row>
    <row r="2598" spans="38:53" ht="15" customHeight="1" x14ac:dyDescent="0.25">
      <c r="AL2598" s="31"/>
      <c r="AM2598" s="26"/>
      <c r="AN2598" s="32"/>
      <c r="AO2598" s="32"/>
      <c r="AP2598" s="24"/>
      <c r="AQ2598" s="24"/>
      <c r="AR2598" s="33"/>
      <c r="AS2598" s="34"/>
      <c r="AT2598" s="33"/>
      <c r="AV2598" s="21">
        <f>IF(AND($AL2598&lt;&gt;"",COUNTIF($AL$11:$AL2598,$AL2598)=1),1,0)</f>
        <v>0</v>
      </c>
      <c r="AW2598" s="21">
        <f t="shared" si="167"/>
        <v>0</v>
      </c>
      <c r="AX2598" s="21" t="str">
        <f t="shared" si="166"/>
        <v/>
      </c>
      <c r="AY2598" s="21" t="str">
        <f>IF(AND($AM2598&lt;&gt;"",$AS2598&lt;&gt;"✓"),SUMPRODUCT(($AM$11:$AM2598&lt;&gt;"")*($AS$11:$AS2598&lt;&gt;"✓")),"")</f>
        <v/>
      </c>
      <c r="AZ2598" s="21" t="str">
        <f>IF(AND($AM2598&lt;&gt;"",$AS2598="✓"),SUMPRODUCT(($AM$11:$AM2598&lt;&gt;"")*($AS$11:$AS2598="✓")),"")</f>
        <v/>
      </c>
      <c r="BA2598" s="21" t="str">
        <f>IF($AL2598="","",$AL2598&amp;"|"&amp;COUNTIF($AL$11:$AL2598,$AL2598))</f>
        <v/>
      </c>
    </row>
    <row r="2599" spans="38:53" ht="15" customHeight="1" x14ac:dyDescent="0.25">
      <c r="AL2599" s="17"/>
      <c r="AM2599" s="12"/>
      <c r="AN2599" s="18"/>
      <c r="AO2599" s="18"/>
      <c r="AP2599" s="10"/>
      <c r="AQ2599" s="10"/>
      <c r="AR2599" s="19"/>
      <c r="AS2599" s="20"/>
      <c r="AT2599" s="19"/>
      <c r="AV2599" s="21">
        <f>IF(AND($AL2599&lt;&gt;"",COUNTIF($AL$11:$AL2599,$AL2599)=1),1,0)</f>
        <v>0</v>
      </c>
      <c r="AW2599" s="21">
        <f t="shared" si="167"/>
        <v>0</v>
      </c>
      <c r="AX2599" s="21" t="str">
        <f t="shared" si="166"/>
        <v/>
      </c>
      <c r="AY2599" s="21" t="str">
        <f>IF(AND($AM2599&lt;&gt;"",$AS2599&lt;&gt;"✓"),SUMPRODUCT(($AM$11:$AM2599&lt;&gt;"")*($AS$11:$AS2599&lt;&gt;"✓")),"")</f>
        <v/>
      </c>
      <c r="AZ2599" s="21" t="str">
        <f>IF(AND($AM2599&lt;&gt;"",$AS2599="✓"),SUMPRODUCT(($AM$11:$AM2599&lt;&gt;"")*($AS$11:$AS2599="✓")),"")</f>
        <v/>
      </c>
      <c r="BA2599" s="21" t="str">
        <f>IF($AL2599="","",$AL2599&amp;"|"&amp;COUNTIF($AL$11:$AL2599,$AL2599))</f>
        <v/>
      </c>
    </row>
    <row r="2600" spans="38:53" ht="15" customHeight="1" x14ac:dyDescent="0.25">
      <c r="AL2600" s="31"/>
      <c r="AM2600" s="26"/>
      <c r="AN2600" s="32"/>
      <c r="AO2600" s="32"/>
      <c r="AP2600" s="24"/>
      <c r="AQ2600" s="24"/>
      <c r="AR2600" s="33"/>
      <c r="AS2600" s="34"/>
      <c r="AT2600" s="33"/>
      <c r="AV2600" s="21">
        <f>IF(AND($AL2600&lt;&gt;"",COUNTIF($AL$11:$AL2600,$AL2600)=1),1,0)</f>
        <v>0</v>
      </c>
      <c r="AW2600" s="21">
        <f t="shared" si="167"/>
        <v>0</v>
      </c>
      <c r="AX2600" s="21" t="str">
        <f t="shared" si="166"/>
        <v/>
      </c>
      <c r="AY2600" s="21" t="str">
        <f>IF(AND($AM2600&lt;&gt;"",$AS2600&lt;&gt;"✓"),SUMPRODUCT(($AM$11:$AM2600&lt;&gt;"")*($AS$11:$AS2600&lt;&gt;"✓")),"")</f>
        <v/>
      </c>
      <c r="AZ2600" s="21" t="str">
        <f>IF(AND($AM2600&lt;&gt;"",$AS2600="✓"),SUMPRODUCT(($AM$11:$AM2600&lt;&gt;"")*($AS$11:$AS2600="✓")),"")</f>
        <v/>
      </c>
      <c r="BA2600" s="21" t="str">
        <f>IF($AL2600="","",$AL2600&amp;"|"&amp;COUNTIF($AL$11:$AL2600,$AL2600))</f>
        <v/>
      </c>
    </row>
    <row r="2601" spans="38:53" ht="15" customHeight="1" x14ac:dyDescent="0.25">
      <c r="AL2601" s="17"/>
      <c r="AM2601" s="12"/>
      <c r="AN2601" s="18"/>
      <c r="AO2601" s="18"/>
      <c r="AP2601" s="10"/>
      <c r="AQ2601" s="10"/>
      <c r="AR2601" s="19"/>
      <c r="AS2601" s="20"/>
      <c r="AT2601" s="19"/>
      <c r="AV2601" s="21">
        <f>IF(AND($AL2601&lt;&gt;"",COUNTIF($AL$11:$AL2601,$AL2601)=1),1,0)</f>
        <v>0</v>
      </c>
      <c r="AW2601" s="21">
        <f t="shared" si="167"/>
        <v>0</v>
      </c>
      <c r="AX2601" s="21" t="str">
        <f t="shared" si="166"/>
        <v/>
      </c>
      <c r="AY2601" s="21" t="str">
        <f>IF(AND($AM2601&lt;&gt;"",$AS2601&lt;&gt;"✓"),SUMPRODUCT(($AM$11:$AM2601&lt;&gt;"")*($AS$11:$AS2601&lt;&gt;"✓")),"")</f>
        <v/>
      </c>
      <c r="AZ2601" s="21" t="str">
        <f>IF(AND($AM2601&lt;&gt;"",$AS2601="✓"),SUMPRODUCT(($AM$11:$AM2601&lt;&gt;"")*($AS$11:$AS2601="✓")),"")</f>
        <v/>
      </c>
      <c r="BA2601" s="21" t="str">
        <f>IF($AL2601="","",$AL2601&amp;"|"&amp;COUNTIF($AL$11:$AL2601,$AL2601))</f>
        <v/>
      </c>
    </row>
    <row r="2602" spans="38:53" ht="15" customHeight="1" x14ac:dyDescent="0.25">
      <c r="AL2602" s="31"/>
      <c r="AM2602" s="26"/>
      <c r="AN2602" s="32"/>
      <c r="AO2602" s="32"/>
      <c r="AP2602" s="24"/>
      <c r="AQ2602" s="24"/>
      <c r="AR2602" s="33"/>
      <c r="AS2602" s="34"/>
      <c r="AT2602" s="33"/>
      <c r="AV2602" s="21">
        <f>IF(AND($AL2602&lt;&gt;"",COUNTIF($AL$11:$AL2602,$AL2602)=1),1,0)</f>
        <v>0</v>
      </c>
      <c r="AW2602" s="21">
        <f t="shared" si="167"/>
        <v>0</v>
      </c>
      <c r="AX2602" s="21" t="str">
        <f t="shared" si="166"/>
        <v/>
      </c>
      <c r="AY2602" s="21" t="str">
        <f>IF(AND($AM2602&lt;&gt;"",$AS2602&lt;&gt;"✓"),SUMPRODUCT(($AM$11:$AM2602&lt;&gt;"")*($AS$11:$AS2602&lt;&gt;"✓")),"")</f>
        <v/>
      </c>
      <c r="AZ2602" s="21" t="str">
        <f>IF(AND($AM2602&lt;&gt;"",$AS2602="✓"),SUMPRODUCT(($AM$11:$AM2602&lt;&gt;"")*($AS$11:$AS2602="✓")),"")</f>
        <v/>
      </c>
      <c r="BA2602" s="21" t="str">
        <f>IF($AL2602="","",$AL2602&amp;"|"&amp;COUNTIF($AL$11:$AL2602,$AL2602))</f>
        <v/>
      </c>
    </row>
    <row r="2603" spans="38:53" ht="15" customHeight="1" x14ac:dyDescent="0.25">
      <c r="AL2603" s="17"/>
      <c r="AM2603" s="12"/>
      <c r="AN2603" s="18"/>
      <c r="AO2603" s="18"/>
      <c r="AP2603" s="10"/>
      <c r="AQ2603" s="10"/>
      <c r="AR2603" s="19"/>
      <c r="AS2603" s="20"/>
      <c r="AT2603" s="19"/>
      <c r="AV2603" s="21">
        <f>IF(AND($AL2603&lt;&gt;"",COUNTIF($AL$11:$AL2603,$AL2603)=1),1,0)</f>
        <v>0</v>
      </c>
      <c r="AW2603" s="21">
        <f t="shared" si="167"/>
        <v>0</v>
      </c>
      <c r="AX2603" s="21" t="str">
        <f t="shared" si="166"/>
        <v/>
      </c>
      <c r="AY2603" s="21" t="str">
        <f>IF(AND($AM2603&lt;&gt;"",$AS2603&lt;&gt;"✓"),SUMPRODUCT(($AM$11:$AM2603&lt;&gt;"")*($AS$11:$AS2603&lt;&gt;"✓")),"")</f>
        <v/>
      </c>
      <c r="AZ2603" s="21" t="str">
        <f>IF(AND($AM2603&lt;&gt;"",$AS2603="✓"),SUMPRODUCT(($AM$11:$AM2603&lt;&gt;"")*($AS$11:$AS2603="✓")),"")</f>
        <v/>
      </c>
      <c r="BA2603" s="21" t="str">
        <f>IF($AL2603="","",$AL2603&amp;"|"&amp;COUNTIF($AL$11:$AL2603,$AL2603))</f>
        <v/>
      </c>
    </row>
    <row r="2604" spans="38:53" ht="15" customHeight="1" x14ac:dyDescent="0.25">
      <c r="AL2604" s="31"/>
      <c r="AM2604" s="26"/>
      <c r="AN2604" s="32"/>
      <c r="AO2604" s="32"/>
      <c r="AP2604" s="24"/>
      <c r="AQ2604" s="24"/>
      <c r="AR2604" s="33"/>
      <c r="AS2604" s="34"/>
      <c r="AT2604" s="33"/>
      <c r="AV2604" s="21">
        <f>IF(AND($AL2604&lt;&gt;"",COUNTIF($AL$11:$AL2604,$AL2604)=1),1,0)</f>
        <v>0</v>
      </c>
      <c r="AW2604" s="21">
        <f t="shared" si="167"/>
        <v>0</v>
      </c>
      <c r="AX2604" s="21" t="str">
        <f t="shared" si="166"/>
        <v/>
      </c>
      <c r="AY2604" s="21" t="str">
        <f>IF(AND($AM2604&lt;&gt;"",$AS2604&lt;&gt;"✓"),SUMPRODUCT(($AM$11:$AM2604&lt;&gt;"")*($AS$11:$AS2604&lt;&gt;"✓")),"")</f>
        <v/>
      </c>
      <c r="AZ2604" s="21" t="str">
        <f>IF(AND($AM2604&lt;&gt;"",$AS2604="✓"),SUMPRODUCT(($AM$11:$AM2604&lt;&gt;"")*($AS$11:$AS2604="✓")),"")</f>
        <v/>
      </c>
      <c r="BA2604" s="21" t="str">
        <f>IF($AL2604="","",$AL2604&amp;"|"&amp;COUNTIF($AL$11:$AL2604,$AL2604))</f>
        <v/>
      </c>
    </row>
    <row r="2605" spans="38:53" ht="15" customHeight="1" x14ac:dyDescent="0.25">
      <c r="AL2605" s="17"/>
      <c r="AM2605" s="12"/>
      <c r="AN2605" s="18"/>
      <c r="AO2605" s="18"/>
      <c r="AP2605" s="10"/>
      <c r="AQ2605" s="10"/>
      <c r="AR2605" s="19"/>
      <c r="AS2605" s="20"/>
      <c r="AT2605" s="19"/>
      <c r="AV2605" s="21">
        <f>IF(AND($AL2605&lt;&gt;"",COUNTIF($AL$11:$AL2605,$AL2605)=1),1,0)</f>
        <v>0</v>
      </c>
      <c r="AW2605" s="21">
        <f t="shared" si="167"/>
        <v>0</v>
      </c>
      <c r="AX2605" s="21" t="str">
        <f t="shared" si="166"/>
        <v/>
      </c>
      <c r="AY2605" s="21" t="str">
        <f>IF(AND($AM2605&lt;&gt;"",$AS2605&lt;&gt;"✓"),SUMPRODUCT(($AM$11:$AM2605&lt;&gt;"")*($AS$11:$AS2605&lt;&gt;"✓")),"")</f>
        <v/>
      </c>
      <c r="AZ2605" s="21" t="str">
        <f>IF(AND($AM2605&lt;&gt;"",$AS2605="✓"),SUMPRODUCT(($AM$11:$AM2605&lt;&gt;"")*($AS$11:$AS2605="✓")),"")</f>
        <v/>
      </c>
      <c r="BA2605" s="21" t="str">
        <f>IF($AL2605="","",$AL2605&amp;"|"&amp;COUNTIF($AL$11:$AL2605,$AL2605))</f>
        <v/>
      </c>
    </row>
    <row r="2606" spans="38:53" ht="15" customHeight="1" x14ac:dyDescent="0.25">
      <c r="AL2606" s="31"/>
      <c r="AM2606" s="26"/>
      <c r="AN2606" s="32"/>
      <c r="AO2606" s="32"/>
      <c r="AP2606" s="24"/>
      <c r="AQ2606" s="24"/>
      <c r="AR2606" s="33"/>
      <c r="AS2606" s="34"/>
      <c r="AT2606" s="33"/>
      <c r="AV2606" s="21">
        <f>IF(AND($AL2606&lt;&gt;"",COUNTIF($AL$11:$AL2606,$AL2606)=1),1,0)</f>
        <v>0</v>
      </c>
      <c r="AW2606" s="21">
        <f t="shared" si="167"/>
        <v>0</v>
      </c>
      <c r="AX2606" s="21" t="str">
        <f t="shared" si="166"/>
        <v/>
      </c>
      <c r="AY2606" s="21" t="str">
        <f>IF(AND($AM2606&lt;&gt;"",$AS2606&lt;&gt;"✓"),SUMPRODUCT(($AM$11:$AM2606&lt;&gt;"")*($AS$11:$AS2606&lt;&gt;"✓")),"")</f>
        <v/>
      </c>
      <c r="AZ2606" s="21" t="str">
        <f>IF(AND($AM2606&lt;&gt;"",$AS2606="✓"),SUMPRODUCT(($AM$11:$AM2606&lt;&gt;"")*($AS$11:$AS2606="✓")),"")</f>
        <v/>
      </c>
      <c r="BA2606" s="21" t="str">
        <f>IF($AL2606="","",$AL2606&amp;"|"&amp;COUNTIF($AL$11:$AL2606,$AL2606))</f>
        <v/>
      </c>
    </row>
    <row r="2607" spans="38:53" ht="15" customHeight="1" x14ac:dyDescent="0.25">
      <c r="AL2607" s="17"/>
      <c r="AM2607" s="12"/>
      <c r="AN2607" s="18"/>
      <c r="AO2607" s="18"/>
      <c r="AP2607" s="10"/>
      <c r="AQ2607" s="10"/>
      <c r="AR2607" s="19"/>
      <c r="AS2607" s="20"/>
      <c r="AT2607" s="19"/>
      <c r="AV2607" s="21">
        <f>IF(AND($AL2607&lt;&gt;"",COUNTIF($AL$11:$AL2607,$AL2607)=1),1,0)</f>
        <v>0</v>
      </c>
      <c r="AW2607" s="21">
        <f t="shared" si="167"/>
        <v>0</v>
      </c>
      <c r="AX2607" s="21" t="str">
        <f t="shared" si="166"/>
        <v/>
      </c>
      <c r="AY2607" s="21" t="str">
        <f>IF(AND($AM2607&lt;&gt;"",$AS2607&lt;&gt;"✓"),SUMPRODUCT(($AM$11:$AM2607&lt;&gt;"")*($AS$11:$AS2607&lt;&gt;"✓")),"")</f>
        <v/>
      </c>
      <c r="AZ2607" s="21" t="str">
        <f>IF(AND($AM2607&lt;&gt;"",$AS2607="✓"),SUMPRODUCT(($AM$11:$AM2607&lt;&gt;"")*($AS$11:$AS2607="✓")),"")</f>
        <v/>
      </c>
      <c r="BA2607" s="21" t="str">
        <f>IF($AL2607="","",$AL2607&amp;"|"&amp;COUNTIF($AL$11:$AL2607,$AL2607))</f>
        <v/>
      </c>
    </row>
    <row r="2608" spans="38:53" ht="15" customHeight="1" x14ac:dyDescent="0.25">
      <c r="AL2608" s="31"/>
      <c r="AM2608" s="26"/>
      <c r="AN2608" s="32"/>
      <c r="AO2608" s="32"/>
      <c r="AP2608" s="24"/>
      <c r="AQ2608" s="24"/>
      <c r="AR2608" s="33"/>
      <c r="AS2608" s="34"/>
      <c r="AT2608" s="33"/>
      <c r="AV2608" s="21">
        <f>IF(AND($AL2608&lt;&gt;"",COUNTIF($AL$11:$AL2608,$AL2608)=1),1,0)</f>
        <v>0</v>
      </c>
      <c r="AW2608" s="21">
        <f t="shared" si="167"/>
        <v>0</v>
      </c>
      <c r="AX2608" s="21" t="str">
        <f t="shared" si="166"/>
        <v/>
      </c>
      <c r="AY2608" s="21" t="str">
        <f>IF(AND($AM2608&lt;&gt;"",$AS2608&lt;&gt;"✓"),SUMPRODUCT(($AM$11:$AM2608&lt;&gt;"")*($AS$11:$AS2608&lt;&gt;"✓")),"")</f>
        <v/>
      </c>
      <c r="AZ2608" s="21" t="str">
        <f>IF(AND($AM2608&lt;&gt;"",$AS2608="✓"),SUMPRODUCT(($AM$11:$AM2608&lt;&gt;"")*($AS$11:$AS2608="✓")),"")</f>
        <v/>
      </c>
      <c r="BA2608" s="21" t="str">
        <f>IF($AL2608="","",$AL2608&amp;"|"&amp;COUNTIF($AL$11:$AL2608,$AL2608))</f>
        <v/>
      </c>
    </row>
    <row r="2609" spans="38:53" ht="15" customHeight="1" x14ac:dyDescent="0.25">
      <c r="AL2609" s="17"/>
      <c r="AM2609" s="12"/>
      <c r="AN2609" s="18"/>
      <c r="AO2609" s="18"/>
      <c r="AP2609" s="10"/>
      <c r="AQ2609" s="10"/>
      <c r="AR2609" s="19"/>
      <c r="AS2609" s="20"/>
      <c r="AT2609" s="19"/>
      <c r="AV2609" s="21">
        <f>IF(AND($AL2609&lt;&gt;"",COUNTIF($AL$11:$AL2609,$AL2609)=1),1,0)</f>
        <v>0</v>
      </c>
      <c r="AW2609" s="21">
        <f t="shared" si="167"/>
        <v>0</v>
      </c>
      <c r="AX2609" s="21" t="str">
        <f t="shared" si="166"/>
        <v/>
      </c>
      <c r="AY2609" s="21" t="str">
        <f>IF(AND($AM2609&lt;&gt;"",$AS2609&lt;&gt;"✓"),SUMPRODUCT(($AM$11:$AM2609&lt;&gt;"")*($AS$11:$AS2609&lt;&gt;"✓")),"")</f>
        <v/>
      </c>
      <c r="AZ2609" s="21" t="str">
        <f>IF(AND($AM2609&lt;&gt;"",$AS2609="✓"),SUMPRODUCT(($AM$11:$AM2609&lt;&gt;"")*($AS$11:$AS2609="✓")),"")</f>
        <v/>
      </c>
      <c r="BA2609" s="21" t="str">
        <f>IF($AL2609="","",$AL2609&amp;"|"&amp;COUNTIF($AL$11:$AL2609,$AL2609))</f>
        <v/>
      </c>
    </row>
    <row r="2610" spans="38:53" ht="15" customHeight="1" x14ac:dyDescent="0.25">
      <c r="AL2610" s="31"/>
      <c r="AM2610" s="26"/>
      <c r="AN2610" s="32"/>
      <c r="AO2610" s="32"/>
      <c r="AP2610" s="24"/>
      <c r="AQ2610" s="24"/>
      <c r="AR2610" s="33"/>
      <c r="AS2610" s="34"/>
      <c r="AT2610" s="33"/>
      <c r="AV2610" s="21">
        <f>IF(AND($AL2610&lt;&gt;"",COUNTIF($AL$11:$AL2610,$AL2610)=1),1,0)</f>
        <v>0</v>
      </c>
      <c r="AW2610" s="21">
        <f t="shared" si="167"/>
        <v>0</v>
      </c>
      <c r="AX2610" s="21" t="str">
        <f t="shared" si="166"/>
        <v/>
      </c>
      <c r="AY2610" s="21" t="str">
        <f>IF(AND($AM2610&lt;&gt;"",$AS2610&lt;&gt;"✓"),SUMPRODUCT(($AM$11:$AM2610&lt;&gt;"")*($AS$11:$AS2610&lt;&gt;"✓")),"")</f>
        <v/>
      </c>
      <c r="AZ2610" s="21" t="str">
        <f>IF(AND($AM2610&lt;&gt;"",$AS2610="✓"),SUMPRODUCT(($AM$11:$AM2610&lt;&gt;"")*($AS$11:$AS2610="✓")),"")</f>
        <v/>
      </c>
      <c r="BA2610" s="21" t="str">
        <f>IF($AL2610="","",$AL2610&amp;"|"&amp;COUNTIF($AL$11:$AL2610,$AL2610))</f>
        <v/>
      </c>
    </row>
    <row r="2611" spans="38:53" ht="15" customHeight="1" x14ac:dyDescent="0.25">
      <c r="AL2611" s="17"/>
      <c r="AM2611" s="12"/>
      <c r="AN2611" s="18"/>
      <c r="AO2611" s="18"/>
      <c r="AP2611" s="10"/>
      <c r="AQ2611" s="10"/>
      <c r="AR2611" s="19"/>
      <c r="AS2611" s="20"/>
      <c r="AT2611" s="19"/>
      <c r="AV2611" s="21">
        <f>IF(AND($AL2611&lt;&gt;"",COUNTIF($AL$11:$AL2611,$AL2611)=1),1,0)</f>
        <v>0</v>
      </c>
      <c r="AW2611" s="21">
        <f t="shared" si="167"/>
        <v>0</v>
      </c>
      <c r="AX2611" s="21" t="str">
        <f t="shared" si="166"/>
        <v/>
      </c>
      <c r="AY2611" s="21" t="str">
        <f>IF(AND($AM2611&lt;&gt;"",$AS2611&lt;&gt;"✓"),SUMPRODUCT(($AM$11:$AM2611&lt;&gt;"")*($AS$11:$AS2611&lt;&gt;"✓")),"")</f>
        <v/>
      </c>
      <c r="AZ2611" s="21" t="str">
        <f>IF(AND($AM2611&lt;&gt;"",$AS2611="✓"),SUMPRODUCT(($AM$11:$AM2611&lt;&gt;"")*($AS$11:$AS2611="✓")),"")</f>
        <v/>
      </c>
      <c r="BA2611" s="21" t="str">
        <f>IF($AL2611="","",$AL2611&amp;"|"&amp;COUNTIF($AL$11:$AL2611,$AL2611))</f>
        <v/>
      </c>
    </row>
    <row r="2612" spans="38:53" ht="15" customHeight="1" x14ac:dyDescent="0.25">
      <c r="AL2612" s="31"/>
      <c r="AM2612" s="26"/>
      <c r="AN2612" s="32"/>
      <c r="AO2612" s="32"/>
      <c r="AP2612" s="24"/>
      <c r="AQ2612" s="24"/>
      <c r="AR2612" s="33"/>
      <c r="AS2612" s="34"/>
      <c r="AT2612" s="33"/>
      <c r="AV2612" s="21">
        <f>IF(AND($AL2612&lt;&gt;"",COUNTIF($AL$11:$AL2612,$AL2612)=1),1,0)</f>
        <v>0</v>
      </c>
      <c r="AW2612" s="21">
        <f t="shared" si="167"/>
        <v>0</v>
      </c>
      <c r="AX2612" s="21" t="str">
        <f t="shared" si="166"/>
        <v/>
      </c>
      <c r="AY2612" s="21" t="str">
        <f>IF(AND($AM2612&lt;&gt;"",$AS2612&lt;&gt;"✓"),SUMPRODUCT(($AM$11:$AM2612&lt;&gt;"")*($AS$11:$AS2612&lt;&gt;"✓")),"")</f>
        <v/>
      </c>
      <c r="AZ2612" s="21" t="str">
        <f>IF(AND($AM2612&lt;&gt;"",$AS2612="✓"),SUMPRODUCT(($AM$11:$AM2612&lt;&gt;"")*($AS$11:$AS2612="✓")),"")</f>
        <v/>
      </c>
      <c r="BA2612" s="21" t="str">
        <f>IF($AL2612="","",$AL2612&amp;"|"&amp;COUNTIF($AL$11:$AL2612,$AL2612))</f>
        <v/>
      </c>
    </row>
    <row r="2613" spans="38:53" ht="15" customHeight="1" x14ac:dyDescent="0.25">
      <c r="AL2613" s="17"/>
      <c r="AM2613" s="12"/>
      <c r="AN2613" s="18"/>
      <c r="AO2613" s="18"/>
      <c r="AP2613" s="10"/>
      <c r="AQ2613" s="10"/>
      <c r="AR2613" s="19"/>
      <c r="AS2613" s="20"/>
      <c r="AT2613" s="19"/>
      <c r="AV2613" s="21">
        <f>IF(AND($AL2613&lt;&gt;"",COUNTIF($AL$11:$AL2613,$AL2613)=1),1,0)</f>
        <v>0</v>
      </c>
      <c r="AW2613" s="21">
        <f t="shared" si="167"/>
        <v>0</v>
      </c>
      <c r="AX2613" s="21" t="str">
        <f t="shared" si="166"/>
        <v/>
      </c>
      <c r="AY2613" s="21" t="str">
        <f>IF(AND($AM2613&lt;&gt;"",$AS2613&lt;&gt;"✓"),SUMPRODUCT(($AM$11:$AM2613&lt;&gt;"")*($AS$11:$AS2613&lt;&gt;"✓")),"")</f>
        <v/>
      </c>
      <c r="AZ2613" s="21" t="str">
        <f>IF(AND($AM2613&lt;&gt;"",$AS2613="✓"),SUMPRODUCT(($AM$11:$AM2613&lt;&gt;"")*($AS$11:$AS2613="✓")),"")</f>
        <v/>
      </c>
      <c r="BA2613" s="21" t="str">
        <f>IF($AL2613="","",$AL2613&amp;"|"&amp;COUNTIF($AL$11:$AL2613,$AL2613))</f>
        <v/>
      </c>
    </row>
    <row r="2614" spans="38:53" ht="15" customHeight="1" x14ac:dyDescent="0.25">
      <c r="AL2614" s="31"/>
      <c r="AM2614" s="26"/>
      <c r="AN2614" s="32"/>
      <c r="AO2614" s="32"/>
      <c r="AP2614" s="24"/>
      <c r="AQ2614" s="24"/>
      <c r="AR2614" s="33"/>
      <c r="AS2614" s="34"/>
      <c r="AT2614" s="33"/>
      <c r="AV2614" s="21">
        <f>IF(AND($AL2614&lt;&gt;"",COUNTIF($AL$11:$AL2614,$AL2614)=1),1,0)</f>
        <v>0</v>
      </c>
      <c r="AW2614" s="21">
        <f t="shared" si="167"/>
        <v>0</v>
      </c>
      <c r="AX2614" s="21" t="str">
        <f t="shared" si="166"/>
        <v/>
      </c>
      <c r="AY2614" s="21" t="str">
        <f>IF(AND($AM2614&lt;&gt;"",$AS2614&lt;&gt;"✓"),SUMPRODUCT(($AM$11:$AM2614&lt;&gt;"")*($AS$11:$AS2614&lt;&gt;"✓")),"")</f>
        <v/>
      </c>
      <c r="AZ2614" s="21" t="str">
        <f>IF(AND($AM2614&lt;&gt;"",$AS2614="✓"),SUMPRODUCT(($AM$11:$AM2614&lt;&gt;"")*($AS$11:$AS2614="✓")),"")</f>
        <v/>
      </c>
      <c r="BA2614" s="21" t="str">
        <f>IF($AL2614="","",$AL2614&amp;"|"&amp;COUNTIF($AL$11:$AL2614,$AL2614))</f>
        <v/>
      </c>
    </row>
    <row r="2615" spans="38:53" ht="15" customHeight="1" x14ac:dyDescent="0.25">
      <c r="AL2615" s="17"/>
      <c r="AM2615" s="12"/>
      <c r="AN2615" s="18"/>
      <c r="AO2615" s="18"/>
      <c r="AP2615" s="10"/>
      <c r="AQ2615" s="10"/>
      <c r="AR2615" s="19"/>
      <c r="AS2615" s="20"/>
      <c r="AT2615" s="19"/>
      <c r="AV2615" s="21">
        <f>IF(AND($AL2615&lt;&gt;"",COUNTIF($AL$11:$AL2615,$AL2615)=1),1,0)</f>
        <v>0</v>
      </c>
      <c r="AW2615" s="21">
        <f t="shared" si="167"/>
        <v>0</v>
      </c>
      <c r="AX2615" s="21" t="str">
        <f t="shared" si="166"/>
        <v/>
      </c>
      <c r="AY2615" s="21" t="str">
        <f>IF(AND($AM2615&lt;&gt;"",$AS2615&lt;&gt;"✓"),SUMPRODUCT(($AM$11:$AM2615&lt;&gt;"")*($AS$11:$AS2615&lt;&gt;"✓")),"")</f>
        <v/>
      </c>
      <c r="AZ2615" s="21" t="str">
        <f>IF(AND($AM2615&lt;&gt;"",$AS2615="✓"),SUMPRODUCT(($AM$11:$AM2615&lt;&gt;"")*($AS$11:$AS2615="✓")),"")</f>
        <v/>
      </c>
      <c r="BA2615" s="21" t="str">
        <f>IF($AL2615="","",$AL2615&amp;"|"&amp;COUNTIF($AL$11:$AL2615,$AL2615))</f>
        <v/>
      </c>
    </row>
    <row r="2616" spans="38:53" ht="15" customHeight="1" x14ac:dyDescent="0.25">
      <c r="AL2616" s="31"/>
      <c r="AM2616" s="26"/>
      <c r="AN2616" s="32"/>
      <c r="AO2616" s="32"/>
      <c r="AP2616" s="24"/>
      <c r="AQ2616" s="24"/>
      <c r="AR2616" s="33"/>
      <c r="AS2616" s="34"/>
      <c r="AT2616" s="33"/>
      <c r="AV2616" s="21">
        <f>IF(AND($AL2616&lt;&gt;"",COUNTIF($AL$11:$AL2616,$AL2616)=1),1,0)</f>
        <v>0</v>
      </c>
      <c r="AW2616" s="21">
        <f t="shared" si="167"/>
        <v>0</v>
      </c>
      <c r="AX2616" s="21" t="str">
        <f t="shared" si="166"/>
        <v/>
      </c>
      <c r="AY2616" s="21" t="str">
        <f>IF(AND($AM2616&lt;&gt;"",$AS2616&lt;&gt;"✓"),SUMPRODUCT(($AM$11:$AM2616&lt;&gt;"")*($AS$11:$AS2616&lt;&gt;"✓")),"")</f>
        <v/>
      </c>
      <c r="AZ2616" s="21" t="str">
        <f>IF(AND($AM2616&lt;&gt;"",$AS2616="✓"),SUMPRODUCT(($AM$11:$AM2616&lt;&gt;"")*($AS$11:$AS2616="✓")),"")</f>
        <v/>
      </c>
      <c r="BA2616" s="21" t="str">
        <f>IF($AL2616="","",$AL2616&amp;"|"&amp;COUNTIF($AL$11:$AL2616,$AL2616))</f>
        <v/>
      </c>
    </row>
    <row r="2617" spans="38:53" ht="15" customHeight="1" x14ac:dyDescent="0.25">
      <c r="AL2617" s="17"/>
      <c r="AM2617" s="12"/>
      <c r="AN2617" s="18"/>
      <c r="AO2617" s="18"/>
      <c r="AP2617" s="10"/>
      <c r="AQ2617" s="10"/>
      <c r="AR2617" s="19"/>
      <c r="AS2617" s="20"/>
      <c r="AT2617" s="19"/>
      <c r="AV2617" s="21">
        <f>IF(AND($AL2617&lt;&gt;"",COUNTIF($AL$11:$AL2617,$AL2617)=1),1,0)</f>
        <v>0</v>
      </c>
      <c r="AW2617" s="21">
        <f t="shared" si="167"/>
        <v>0</v>
      </c>
      <c r="AX2617" s="21" t="str">
        <f t="shared" si="166"/>
        <v/>
      </c>
      <c r="AY2617" s="21" t="str">
        <f>IF(AND($AM2617&lt;&gt;"",$AS2617&lt;&gt;"✓"),SUMPRODUCT(($AM$11:$AM2617&lt;&gt;"")*($AS$11:$AS2617&lt;&gt;"✓")),"")</f>
        <v/>
      </c>
      <c r="AZ2617" s="21" t="str">
        <f>IF(AND($AM2617&lt;&gt;"",$AS2617="✓"),SUMPRODUCT(($AM$11:$AM2617&lt;&gt;"")*($AS$11:$AS2617="✓")),"")</f>
        <v/>
      </c>
      <c r="BA2617" s="21" t="str">
        <f>IF($AL2617="","",$AL2617&amp;"|"&amp;COUNTIF($AL$11:$AL2617,$AL2617))</f>
        <v/>
      </c>
    </row>
    <row r="2618" spans="38:53" ht="15" customHeight="1" x14ac:dyDescent="0.25">
      <c r="AL2618" s="31"/>
      <c r="AM2618" s="26"/>
      <c r="AN2618" s="32"/>
      <c r="AO2618" s="32"/>
      <c r="AP2618" s="24"/>
      <c r="AQ2618" s="24"/>
      <c r="AR2618" s="33"/>
      <c r="AS2618" s="34"/>
      <c r="AT2618" s="33"/>
      <c r="AV2618" s="21">
        <f>IF(AND($AL2618&lt;&gt;"",COUNTIF($AL$11:$AL2618,$AL2618)=1),1,0)</f>
        <v>0</v>
      </c>
      <c r="AW2618" s="21">
        <f t="shared" si="167"/>
        <v>0</v>
      </c>
      <c r="AX2618" s="21" t="str">
        <f t="shared" si="166"/>
        <v/>
      </c>
      <c r="AY2618" s="21" t="str">
        <f>IF(AND($AM2618&lt;&gt;"",$AS2618&lt;&gt;"✓"),SUMPRODUCT(($AM$11:$AM2618&lt;&gt;"")*($AS$11:$AS2618&lt;&gt;"✓")),"")</f>
        <v/>
      </c>
      <c r="AZ2618" s="21" t="str">
        <f>IF(AND($AM2618&lt;&gt;"",$AS2618="✓"),SUMPRODUCT(($AM$11:$AM2618&lt;&gt;"")*($AS$11:$AS2618="✓")),"")</f>
        <v/>
      </c>
      <c r="BA2618" s="21" t="str">
        <f>IF($AL2618="","",$AL2618&amp;"|"&amp;COUNTIF($AL$11:$AL2618,$AL2618))</f>
        <v/>
      </c>
    </row>
    <row r="2619" spans="38:53" ht="15" customHeight="1" x14ac:dyDescent="0.25">
      <c r="AL2619" s="17"/>
      <c r="AM2619" s="12"/>
      <c r="AN2619" s="18"/>
      <c r="AO2619" s="18"/>
      <c r="AP2619" s="10"/>
      <c r="AQ2619" s="10"/>
      <c r="AR2619" s="19"/>
      <c r="AS2619" s="20"/>
      <c r="AT2619" s="19"/>
      <c r="AV2619" s="21">
        <f>IF(AND($AL2619&lt;&gt;"",COUNTIF($AL$11:$AL2619,$AL2619)=1),1,0)</f>
        <v>0</v>
      </c>
      <c r="AW2619" s="21">
        <f t="shared" si="167"/>
        <v>0</v>
      </c>
      <c r="AX2619" s="21" t="str">
        <f t="shared" si="166"/>
        <v/>
      </c>
      <c r="AY2619" s="21" t="str">
        <f>IF(AND($AM2619&lt;&gt;"",$AS2619&lt;&gt;"✓"),SUMPRODUCT(($AM$11:$AM2619&lt;&gt;"")*($AS$11:$AS2619&lt;&gt;"✓")),"")</f>
        <v/>
      </c>
      <c r="AZ2619" s="21" t="str">
        <f>IF(AND($AM2619&lt;&gt;"",$AS2619="✓"),SUMPRODUCT(($AM$11:$AM2619&lt;&gt;"")*($AS$11:$AS2619="✓")),"")</f>
        <v/>
      </c>
      <c r="BA2619" s="21" t="str">
        <f>IF($AL2619="","",$AL2619&amp;"|"&amp;COUNTIF($AL$11:$AL2619,$AL2619))</f>
        <v/>
      </c>
    </row>
    <row r="2620" spans="38:53" ht="15" customHeight="1" x14ac:dyDescent="0.25">
      <c r="AL2620" s="31"/>
      <c r="AM2620" s="26"/>
      <c r="AN2620" s="32"/>
      <c r="AO2620" s="32"/>
      <c r="AP2620" s="24"/>
      <c r="AQ2620" s="24"/>
      <c r="AR2620" s="33"/>
      <c r="AS2620" s="34"/>
      <c r="AT2620" s="33"/>
      <c r="AV2620" s="21">
        <f>IF(AND($AL2620&lt;&gt;"",COUNTIF($AL$11:$AL2620,$AL2620)=1),1,0)</f>
        <v>0</v>
      </c>
      <c r="AW2620" s="21">
        <f t="shared" si="167"/>
        <v>0</v>
      </c>
      <c r="AX2620" s="21" t="str">
        <f t="shared" si="166"/>
        <v/>
      </c>
      <c r="AY2620" s="21" t="str">
        <f>IF(AND($AM2620&lt;&gt;"",$AS2620&lt;&gt;"✓"),SUMPRODUCT(($AM$11:$AM2620&lt;&gt;"")*($AS$11:$AS2620&lt;&gt;"✓")),"")</f>
        <v/>
      </c>
      <c r="AZ2620" s="21" t="str">
        <f>IF(AND($AM2620&lt;&gt;"",$AS2620="✓"),SUMPRODUCT(($AM$11:$AM2620&lt;&gt;"")*($AS$11:$AS2620="✓")),"")</f>
        <v/>
      </c>
      <c r="BA2620" s="21" t="str">
        <f>IF($AL2620="","",$AL2620&amp;"|"&amp;COUNTIF($AL$11:$AL2620,$AL2620))</f>
        <v/>
      </c>
    </row>
    <row r="2621" spans="38:53" ht="15" customHeight="1" x14ac:dyDescent="0.25">
      <c r="AL2621" s="17"/>
      <c r="AM2621" s="12"/>
      <c r="AN2621" s="18"/>
      <c r="AO2621" s="18"/>
      <c r="AP2621" s="10"/>
      <c r="AQ2621" s="10"/>
      <c r="AR2621" s="19"/>
      <c r="AS2621" s="20"/>
      <c r="AT2621" s="19"/>
      <c r="AV2621" s="21">
        <f>IF(AND($AL2621&lt;&gt;"",COUNTIF($AL$11:$AL2621,$AL2621)=1),1,0)</f>
        <v>0</v>
      </c>
      <c r="AW2621" s="21">
        <f t="shared" si="167"/>
        <v>0</v>
      </c>
      <c r="AX2621" s="21" t="str">
        <f t="shared" si="166"/>
        <v/>
      </c>
      <c r="AY2621" s="21" t="str">
        <f>IF(AND($AM2621&lt;&gt;"",$AS2621&lt;&gt;"✓"),SUMPRODUCT(($AM$11:$AM2621&lt;&gt;"")*($AS$11:$AS2621&lt;&gt;"✓")),"")</f>
        <v/>
      </c>
      <c r="AZ2621" s="21" t="str">
        <f>IF(AND($AM2621&lt;&gt;"",$AS2621="✓"),SUMPRODUCT(($AM$11:$AM2621&lt;&gt;"")*($AS$11:$AS2621="✓")),"")</f>
        <v/>
      </c>
      <c r="BA2621" s="21" t="str">
        <f>IF($AL2621="","",$AL2621&amp;"|"&amp;COUNTIF($AL$11:$AL2621,$AL2621))</f>
        <v/>
      </c>
    </row>
    <row r="2622" spans="38:53" ht="15" customHeight="1" x14ac:dyDescent="0.25">
      <c r="AL2622" s="31"/>
      <c r="AM2622" s="26"/>
      <c r="AN2622" s="32"/>
      <c r="AO2622" s="32"/>
      <c r="AP2622" s="24"/>
      <c r="AQ2622" s="24"/>
      <c r="AR2622" s="33"/>
      <c r="AS2622" s="34"/>
      <c r="AT2622" s="33"/>
      <c r="AV2622" s="21">
        <f>IF(AND($AL2622&lt;&gt;"",COUNTIF($AL$11:$AL2622,$AL2622)=1),1,0)</f>
        <v>0</v>
      </c>
      <c r="AW2622" s="21">
        <f t="shared" si="167"/>
        <v>0</v>
      </c>
      <c r="AX2622" s="21" t="str">
        <f t="shared" si="166"/>
        <v/>
      </c>
      <c r="AY2622" s="21" t="str">
        <f>IF(AND($AM2622&lt;&gt;"",$AS2622&lt;&gt;"✓"),SUMPRODUCT(($AM$11:$AM2622&lt;&gt;"")*($AS$11:$AS2622&lt;&gt;"✓")),"")</f>
        <v/>
      </c>
      <c r="AZ2622" s="21" t="str">
        <f>IF(AND($AM2622&lt;&gt;"",$AS2622="✓"),SUMPRODUCT(($AM$11:$AM2622&lt;&gt;"")*($AS$11:$AS2622="✓")),"")</f>
        <v/>
      </c>
      <c r="BA2622" s="21" t="str">
        <f>IF($AL2622="","",$AL2622&amp;"|"&amp;COUNTIF($AL$11:$AL2622,$AL2622))</f>
        <v/>
      </c>
    </row>
    <row r="2623" spans="38:53" ht="15" customHeight="1" x14ac:dyDescent="0.25">
      <c r="AL2623" s="17"/>
      <c r="AM2623" s="12"/>
      <c r="AN2623" s="18"/>
      <c r="AO2623" s="18"/>
      <c r="AP2623" s="10"/>
      <c r="AQ2623" s="10"/>
      <c r="AR2623" s="19"/>
      <c r="AS2623" s="20"/>
      <c r="AT2623" s="19"/>
      <c r="AV2623" s="21">
        <f>IF(AND($AL2623&lt;&gt;"",COUNTIF($AL$11:$AL2623,$AL2623)=1),1,0)</f>
        <v>0</v>
      </c>
      <c r="AW2623" s="21">
        <f t="shared" si="167"/>
        <v>0</v>
      </c>
      <c r="AX2623" s="21" t="str">
        <f t="shared" si="166"/>
        <v/>
      </c>
      <c r="AY2623" s="21" t="str">
        <f>IF(AND($AM2623&lt;&gt;"",$AS2623&lt;&gt;"✓"),SUMPRODUCT(($AM$11:$AM2623&lt;&gt;"")*($AS$11:$AS2623&lt;&gt;"✓")),"")</f>
        <v/>
      </c>
      <c r="AZ2623" s="21" t="str">
        <f>IF(AND($AM2623&lt;&gt;"",$AS2623="✓"),SUMPRODUCT(($AM$11:$AM2623&lt;&gt;"")*($AS$11:$AS2623="✓")),"")</f>
        <v/>
      </c>
      <c r="BA2623" s="21" t="str">
        <f>IF($AL2623="","",$AL2623&amp;"|"&amp;COUNTIF($AL$11:$AL2623,$AL2623))</f>
        <v/>
      </c>
    </row>
    <row r="2624" spans="38:53" ht="15" customHeight="1" x14ac:dyDescent="0.25">
      <c r="AL2624" s="31"/>
      <c r="AM2624" s="26"/>
      <c r="AN2624" s="32"/>
      <c r="AO2624" s="32"/>
      <c r="AP2624" s="24"/>
      <c r="AQ2624" s="24"/>
      <c r="AR2624" s="33"/>
      <c r="AS2624" s="34"/>
      <c r="AT2624" s="33"/>
      <c r="AV2624" s="21">
        <f>IF(AND($AL2624&lt;&gt;"",COUNTIF($AL$11:$AL2624,$AL2624)=1),1,0)</f>
        <v>0</v>
      </c>
      <c r="AW2624" s="21">
        <f t="shared" si="167"/>
        <v>0</v>
      </c>
      <c r="AX2624" s="21" t="str">
        <f t="shared" si="166"/>
        <v/>
      </c>
      <c r="AY2624" s="21" t="str">
        <f>IF(AND($AM2624&lt;&gt;"",$AS2624&lt;&gt;"✓"),SUMPRODUCT(($AM$11:$AM2624&lt;&gt;"")*($AS$11:$AS2624&lt;&gt;"✓")),"")</f>
        <v/>
      </c>
      <c r="AZ2624" s="21" t="str">
        <f>IF(AND($AM2624&lt;&gt;"",$AS2624="✓"),SUMPRODUCT(($AM$11:$AM2624&lt;&gt;"")*($AS$11:$AS2624="✓")),"")</f>
        <v/>
      </c>
      <c r="BA2624" s="21" t="str">
        <f>IF($AL2624="","",$AL2624&amp;"|"&amp;COUNTIF($AL$11:$AL2624,$AL2624))</f>
        <v/>
      </c>
    </row>
    <row r="2625" spans="38:53" ht="15" customHeight="1" x14ac:dyDescent="0.25">
      <c r="AL2625" s="17"/>
      <c r="AM2625" s="12"/>
      <c r="AN2625" s="18"/>
      <c r="AO2625" s="18"/>
      <c r="AP2625" s="10"/>
      <c r="AQ2625" s="10"/>
      <c r="AR2625" s="19"/>
      <c r="AS2625" s="20"/>
      <c r="AT2625" s="19"/>
      <c r="AV2625" s="21">
        <f>IF(AND($AL2625&lt;&gt;"",COUNTIF($AL$11:$AL2625,$AL2625)=1),1,0)</f>
        <v>0</v>
      </c>
      <c r="AW2625" s="21">
        <f t="shared" si="167"/>
        <v>0</v>
      </c>
      <c r="AX2625" s="21" t="str">
        <f t="shared" si="166"/>
        <v/>
      </c>
      <c r="AY2625" s="21" t="str">
        <f>IF(AND($AM2625&lt;&gt;"",$AS2625&lt;&gt;"✓"),SUMPRODUCT(($AM$11:$AM2625&lt;&gt;"")*($AS$11:$AS2625&lt;&gt;"✓")),"")</f>
        <v/>
      </c>
      <c r="AZ2625" s="21" t="str">
        <f>IF(AND($AM2625&lt;&gt;"",$AS2625="✓"),SUMPRODUCT(($AM$11:$AM2625&lt;&gt;"")*($AS$11:$AS2625="✓")),"")</f>
        <v/>
      </c>
      <c r="BA2625" s="21" t="str">
        <f>IF($AL2625="","",$AL2625&amp;"|"&amp;COUNTIF($AL$11:$AL2625,$AL2625))</f>
        <v/>
      </c>
    </row>
    <row r="2626" spans="38:53" ht="15" customHeight="1" x14ac:dyDescent="0.25">
      <c r="AL2626" s="31"/>
      <c r="AM2626" s="26"/>
      <c r="AN2626" s="32"/>
      <c r="AO2626" s="32"/>
      <c r="AP2626" s="24"/>
      <c r="AQ2626" s="24"/>
      <c r="AR2626" s="33"/>
      <c r="AS2626" s="34"/>
      <c r="AT2626" s="33"/>
      <c r="AV2626" s="21">
        <f>IF(AND($AL2626&lt;&gt;"",COUNTIF($AL$11:$AL2626,$AL2626)=1),1,0)</f>
        <v>0</v>
      </c>
      <c r="AW2626" s="21">
        <f t="shared" si="167"/>
        <v>0</v>
      </c>
      <c r="AX2626" s="21" t="str">
        <f t="shared" si="166"/>
        <v/>
      </c>
      <c r="AY2626" s="21" t="str">
        <f>IF(AND($AM2626&lt;&gt;"",$AS2626&lt;&gt;"✓"),SUMPRODUCT(($AM$11:$AM2626&lt;&gt;"")*($AS$11:$AS2626&lt;&gt;"✓")),"")</f>
        <v/>
      </c>
      <c r="AZ2626" s="21" t="str">
        <f>IF(AND($AM2626&lt;&gt;"",$AS2626="✓"),SUMPRODUCT(($AM$11:$AM2626&lt;&gt;"")*($AS$11:$AS2626="✓")),"")</f>
        <v/>
      </c>
      <c r="BA2626" s="21" t="str">
        <f>IF($AL2626="","",$AL2626&amp;"|"&amp;COUNTIF($AL$11:$AL2626,$AL2626))</f>
        <v/>
      </c>
    </row>
    <row r="2627" spans="38:53" ht="15" customHeight="1" x14ac:dyDescent="0.25">
      <c r="AL2627" s="17"/>
      <c r="AM2627" s="12"/>
      <c r="AN2627" s="18"/>
      <c r="AO2627" s="18"/>
      <c r="AP2627" s="10"/>
      <c r="AQ2627" s="10"/>
      <c r="AR2627" s="19"/>
      <c r="AS2627" s="20"/>
      <c r="AT2627" s="19"/>
      <c r="AV2627" s="21">
        <f>IF(AND($AL2627&lt;&gt;"",COUNTIF($AL$11:$AL2627,$AL2627)=1),1,0)</f>
        <v>0</v>
      </c>
      <c r="AW2627" s="21">
        <f t="shared" si="167"/>
        <v>0</v>
      </c>
      <c r="AX2627" s="21" t="str">
        <f t="shared" si="166"/>
        <v/>
      </c>
      <c r="AY2627" s="21" t="str">
        <f>IF(AND($AM2627&lt;&gt;"",$AS2627&lt;&gt;"✓"),SUMPRODUCT(($AM$11:$AM2627&lt;&gt;"")*($AS$11:$AS2627&lt;&gt;"✓")),"")</f>
        <v/>
      </c>
      <c r="AZ2627" s="21" t="str">
        <f>IF(AND($AM2627&lt;&gt;"",$AS2627="✓"),SUMPRODUCT(($AM$11:$AM2627&lt;&gt;"")*($AS$11:$AS2627="✓")),"")</f>
        <v/>
      </c>
      <c r="BA2627" s="21" t="str">
        <f>IF($AL2627="","",$AL2627&amp;"|"&amp;COUNTIF($AL$11:$AL2627,$AL2627))</f>
        <v/>
      </c>
    </row>
    <row r="2628" spans="38:53" ht="15" customHeight="1" x14ac:dyDescent="0.25">
      <c r="AL2628" s="31"/>
      <c r="AM2628" s="26"/>
      <c r="AN2628" s="32"/>
      <c r="AO2628" s="32"/>
      <c r="AP2628" s="24"/>
      <c r="AQ2628" s="24"/>
      <c r="AR2628" s="33"/>
      <c r="AS2628" s="34"/>
      <c r="AT2628" s="33"/>
      <c r="AV2628" s="21">
        <f>IF(AND($AL2628&lt;&gt;"",COUNTIF($AL$11:$AL2628,$AL2628)=1),1,0)</f>
        <v>0</v>
      </c>
      <c r="AW2628" s="21">
        <f t="shared" si="167"/>
        <v>0</v>
      </c>
      <c r="AX2628" s="21" t="str">
        <f t="shared" si="166"/>
        <v/>
      </c>
      <c r="AY2628" s="21" t="str">
        <f>IF(AND($AM2628&lt;&gt;"",$AS2628&lt;&gt;"✓"),SUMPRODUCT(($AM$11:$AM2628&lt;&gt;"")*($AS$11:$AS2628&lt;&gt;"✓")),"")</f>
        <v/>
      </c>
      <c r="AZ2628" s="21" t="str">
        <f>IF(AND($AM2628&lt;&gt;"",$AS2628="✓"),SUMPRODUCT(($AM$11:$AM2628&lt;&gt;"")*($AS$11:$AS2628="✓")),"")</f>
        <v/>
      </c>
      <c r="BA2628" s="21" t="str">
        <f>IF($AL2628="","",$AL2628&amp;"|"&amp;COUNTIF($AL$11:$AL2628,$AL2628))</f>
        <v/>
      </c>
    </row>
    <row r="2629" spans="38:53" ht="15" customHeight="1" x14ac:dyDescent="0.25">
      <c r="AL2629" s="17"/>
      <c r="AM2629" s="12"/>
      <c r="AN2629" s="18"/>
      <c r="AO2629" s="18"/>
      <c r="AP2629" s="10"/>
      <c r="AQ2629" s="10"/>
      <c r="AR2629" s="19"/>
      <c r="AS2629" s="20"/>
      <c r="AT2629" s="19"/>
      <c r="AV2629" s="21">
        <f>IF(AND($AL2629&lt;&gt;"",COUNTIF($AL$11:$AL2629,$AL2629)=1),1,0)</f>
        <v>0</v>
      </c>
      <c r="AW2629" s="21">
        <f t="shared" si="167"/>
        <v>0</v>
      </c>
      <c r="AX2629" s="21" t="str">
        <f t="shared" si="166"/>
        <v/>
      </c>
      <c r="AY2629" s="21" t="str">
        <f>IF(AND($AM2629&lt;&gt;"",$AS2629&lt;&gt;"✓"),SUMPRODUCT(($AM$11:$AM2629&lt;&gt;"")*($AS$11:$AS2629&lt;&gt;"✓")),"")</f>
        <v/>
      </c>
      <c r="AZ2629" s="21" t="str">
        <f>IF(AND($AM2629&lt;&gt;"",$AS2629="✓"),SUMPRODUCT(($AM$11:$AM2629&lt;&gt;"")*($AS$11:$AS2629="✓")),"")</f>
        <v/>
      </c>
      <c r="BA2629" s="21" t="str">
        <f>IF($AL2629="","",$AL2629&amp;"|"&amp;COUNTIF($AL$11:$AL2629,$AL2629))</f>
        <v/>
      </c>
    </row>
    <row r="2630" spans="38:53" ht="15" customHeight="1" x14ac:dyDescent="0.25">
      <c r="AL2630" s="31"/>
      <c r="AM2630" s="26"/>
      <c r="AN2630" s="32"/>
      <c r="AO2630" s="32"/>
      <c r="AP2630" s="24"/>
      <c r="AQ2630" s="24"/>
      <c r="AR2630" s="33"/>
      <c r="AS2630" s="34"/>
      <c r="AT2630" s="33"/>
      <c r="AV2630" s="21">
        <f>IF(AND($AL2630&lt;&gt;"",COUNTIF($AL$11:$AL2630,$AL2630)=1),1,0)</f>
        <v>0</v>
      </c>
      <c r="AW2630" s="21">
        <f t="shared" si="167"/>
        <v>0</v>
      </c>
      <c r="AX2630" s="21" t="str">
        <f t="shared" si="166"/>
        <v/>
      </c>
      <c r="AY2630" s="21" t="str">
        <f>IF(AND($AM2630&lt;&gt;"",$AS2630&lt;&gt;"✓"),SUMPRODUCT(($AM$11:$AM2630&lt;&gt;"")*($AS$11:$AS2630&lt;&gt;"✓")),"")</f>
        <v/>
      </c>
      <c r="AZ2630" s="21" t="str">
        <f>IF(AND($AM2630&lt;&gt;"",$AS2630="✓"),SUMPRODUCT(($AM$11:$AM2630&lt;&gt;"")*($AS$11:$AS2630="✓")),"")</f>
        <v/>
      </c>
      <c r="BA2630" s="21" t="str">
        <f>IF($AL2630="","",$AL2630&amp;"|"&amp;COUNTIF($AL$11:$AL2630,$AL2630))</f>
        <v/>
      </c>
    </row>
    <row r="2631" spans="38:53" ht="15" customHeight="1" x14ac:dyDescent="0.25">
      <c r="AL2631" s="17"/>
      <c r="AM2631" s="12"/>
      <c r="AN2631" s="18"/>
      <c r="AO2631" s="18"/>
      <c r="AP2631" s="10"/>
      <c r="AQ2631" s="10"/>
      <c r="AR2631" s="19"/>
      <c r="AS2631" s="20"/>
      <c r="AT2631" s="19"/>
      <c r="AV2631" s="21">
        <f>IF(AND($AL2631&lt;&gt;"",COUNTIF($AL$11:$AL2631,$AL2631)=1),1,0)</f>
        <v>0</v>
      </c>
      <c r="AW2631" s="21">
        <f t="shared" si="167"/>
        <v>0</v>
      </c>
      <c r="AX2631" s="21" t="str">
        <f t="shared" si="166"/>
        <v/>
      </c>
      <c r="AY2631" s="21" t="str">
        <f>IF(AND($AM2631&lt;&gt;"",$AS2631&lt;&gt;"✓"),SUMPRODUCT(($AM$11:$AM2631&lt;&gt;"")*($AS$11:$AS2631&lt;&gt;"✓")),"")</f>
        <v/>
      </c>
      <c r="AZ2631" s="21" t="str">
        <f>IF(AND($AM2631&lt;&gt;"",$AS2631="✓"),SUMPRODUCT(($AM$11:$AM2631&lt;&gt;"")*($AS$11:$AS2631="✓")),"")</f>
        <v/>
      </c>
      <c r="BA2631" s="21" t="str">
        <f>IF($AL2631="","",$AL2631&amp;"|"&amp;COUNTIF($AL$11:$AL2631,$AL2631))</f>
        <v/>
      </c>
    </row>
    <row r="2632" spans="38:53" ht="15" customHeight="1" x14ac:dyDescent="0.25">
      <c r="AL2632" s="31"/>
      <c r="AM2632" s="26"/>
      <c r="AN2632" s="32"/>
      <c r="AO2632" s="32"/>
      <c r="AP2632" s="24"/>
      <c r="AQ2632" s="24"/>
      <c r="AR2632" s="33"/>
      <c r="AS2632" s="34"/>
      <c r="AT2632" s="33"/>
      <c r="AV2632" s="21">
        <f>IF(AND($AL2632&lt;&gt;"",COUNTIF($AL$11:$AL2632,$AL2632)=1),1,0)</f>
        <v>0</v>
      </c>
      <c r="AW2632" s="21">
        <f t="shared" si="167"/>
        <v>0</v>
      </c>
      <c r="AX2632" s="21" t="str">
        <f t="shared" si="166"/>
        <v/>
      </c>
      <c r="AY2632" s="21" t="str">
        <f>IF(AND($AM2632&lt;&gt;"",$AS2632&lt;&gt;"✓"),SUMPRODUCT(($AM$11:$AM2632&lt;&gt;"")*($AS$11:$AS2632&lt;&gt;"✓")),"")</f>
        <v/>
      </c>
      <c r="AZ2632" s="21" t="str">
        <f>IF(AND($AM2632&lt;&gt;"",$AS2632="✓"),SUMPRODUCT(($AM$11:$AM2632&lt;&gt;"")*($AS$11:$AS2632="✓")),"")</f>
        <v/>
      </c>
      <c r="BA2632" s="21" t="str">
        <f>IF($AL2632="","",$AL2632&amp;"|"&amp;COUNTIF($AL$11:$AL2632,$AL2632))</f>
        <v/>
      </c>
    </row>
    <row r="2633" spans="38:53" ht="15" customHeight="1" x14ac:dyDescent="0.25">
      <c r="AL2633" s="17"/>
      <c r="AM2633" s="12"/>
      <c r="AN2633" s="18"/>
      <c r="AO2633" s="18"/>
      <c r="AP2633" s="10"/>
      <c r="AQ2633" s="10"/>
      <c r="AR2633" s="19"/>
      <c r="AS2633" s="20"/>
      <c r="AT2633" s="19"/>
      <c r="AV2633" s="21">
        <f>IF(AND($AL2633&lt;&gt;"",COUNTIF($AL$11:$AL2633,$AL2633)=1),1,0)</f>
        <v>0</v>
      </c>
      <c r="AW2633" s="21">
        <f t="shared" si="167"/>
        <v>0</v>
      </c>
      <c r="AX2633" s="21" t="str">
        <f t="shared" si="166"/>
        <v/>
      </c>
      <c r="AY2633" s="21" t="str">
        <f>IF(AND($AM2633&lt;&gt;"",$AS2633&lt;&gt;"✓"),SUMPRODUCT(($AM$11:$AM2633&lt;&gt;"")*($AS$11:$AS2633&lt;&gt;"✓")),"")</f>
        <v/>
      </c>
      <c r="AZ2633" s="21" t="str">
        <f>IF(AND($AM2633&lt;&gt;"",$AS2633="✓"),SUMPRODUCT(($AM$11:$AM2633&lt;&gt;"")*($AS$11:$AS2633="✓")),"")</f>
        <v/>
      </c>
      <c r="BA2633" s="21" t="str">
        <f>IF($AL2633="","",$AL2633&amp;"|"&amp;COUNTIF($AL$11:$AL2633,$AL2633))</f>
        <v/>
      </c>
    </row>
    <row r="2634" spans="38:53" ht="15" customHeight="1" x14ac:dyDescent="0.25">
      <c r="AL2634" s="31"/>
      <c r="AM2634" s="26"/>
      <c r="AN2634" s="32"/>
      <c r="AO2634" s="32"/>
      <c r="AP2634" s="24"/>
      <c r="AQ2634" s="24"/>
      <c r="AR2634" s="33"/>
      <c r="AS2634" s="34"/>
      <c r="AT2634" s="33"/>
      <c r="AV2634" s="21">
        <f>IF(AND($AL2634&lt;&gt;"",COUNTIF($AL$11:$AL2634,$AL2634)=1),1,0)</f>
        <v>0</v>
      </c>
      <c r="AW2634" s="21">
        <f t="shared" si="167"/>
        <v>0</v>
      </c>
      <c r="AX2634" s="21" t="str">
        <f t="shared" si="166"/>
        <v/>
      </c>
      <c r="AY2634" s="21" t="str">
        <f>IF(AND($AM2634&lt;&gt;"",$AS2634&lt;&gt;"✓"),SUMPRODUCT(($AM$11:$AM2634&lt;&gt;"")*($AS$11:$AS2634&lt;&gt;"✓")),"")</f>
        <v/>
      </c>
      <c r="AZ2634" s="21" t="str">
        <f>IF(AND($AM2634&lt;&gt;"",$AS2634="✓"),SUMPRODUCT(($AM$11:$AM2634&lt;&gt;"")*($AS$11:$AS2634="✓")),"")</f>
        <v/>
      </c>
      <c r="BA2634" s="21" t="str">
        <f>IF($AL2634="","",$AL2634&amp;"|"&amp;COUNTIF($AL$11:$AL2634,$AL2634))</f>
        <v/>
      </c>
    </row>
    <row r="2635" spans="38:53" ht="15" customHeight="1" x14ac:dyDescent="0.25">
      <c r="AL2635" s="17"/>
      <c r="AM2635" s="12"/>
      <c r="AN2635" s="18"/>
      <c r="AO2635" s="18"/>
      <c r="AP2635" s="10"/>
      <c r="AQ2635" s="10"/>
      <c r="AR2635" s="19"/>
      <c r="AS2635" s="20"/>
      <c r="AT2635" s="19"/>
      <c r="AV2635" s="21">
        <f>IF(AND($AL2635&lt;&gt;"",COUNTIF($AL$11:$AL2635,$AL2635)=1),1,0)</f>
        <v>0</v>
      </c>
      <c r="AW2635" s="21">
        <f t="shared" si="167"/>
        <v>0</v>
      </c>
      <c r="AX2635" s="21" t="str">
        <f t="shared" ref="AX2635:AX2698" si="168">IF(AV2635=1,AW2635,"")</f>
        <v/>
      </c>
      <c r="AY2635" s="21" t="str">
        <f>IF(AND($AM2635&lt;&gt;"",$AS2635&lt;&gt;"✓"),SUMPRODUCT(($AM$11:$AM2635&lt;&gt;"")*($AS$11:$AS2635&lt;&gt;"✓")),"")</f>
        <v/>
      </c>
      <c r="AZ2635" s="21" t="str">
        <f>IF(AND($AM2635&lt;&gt;"",$AS2635="✓"),SUMPRODUCT(($AM$11:$AM2635&lt;&gt;"")*($AS$11:$AS2635="✓")),"")</f>
        <v/>
      </c>
      <c r="BA2635" s="21" t="str">
        <f>IF($AL2635="","",$AL2635&amp;"|"&amp;COUNTIF($AL$11:$AL2635,$AL2635))</f>
        <v/>
      </c>
    </row>
    <row r="2636" spans="38:53" ht="15" customHeight="1" x14ac:dyDescent="0.25">
      <c r="AL2636" s="31"/>
      <c r="AM2636" s="26"/>
      <c r="AN2636" s="32"/>
      <c r="AO2636" s="32"/>
      <c r="AP2636" s="24"/>
      <c r="AQ2636" s="24"/>
      <c r="AR2636" s="33"/>
      <c r="AS2636" s="34"/>
      <c r="AT2636" s="33"/>
      <c r="AV2636" s="21">
        <f>IF(AND($AL2636&lt;&gt;"",COUNTIF($AL$11:$AL2636,$AL2636)=1),1,0)</f>
        <v>0</v>
      </c>
      <c r="AW2636" s="21">
        <f t="shared" ref="AW2636:AW2699" si="169">AW2635+AV2636</f>
        <v>0</v>
      </c>
      <c r="AX2636" s="21" t="str">
        <f t="shared" si="168"/>
        <v/>
      </c>
      <c r="AY2636" s="21" t="str">
        <f>IF(AND($AM2636&lt;&gt;"",$AS2636&lt;&gt;"✓"),SUMPRODUCT(($AM$11:$AM2636&lt;&gt;"")*($AS$11:$AS2636&lt;&gt;"✓")),"")</f>
        <v/>
      </c>
      <c r="AZ2636" s="21" t="str">
        <f>IF(AND($AM2636&lt;&gt;"",$AS2636="✓"),SUMPRODUCT(($AM$11:$AM2636&lt;&gt;"")*($AS$11:$AS2636="✓")),"")</f>
        <v/>
      </c>
      <c r="BA2636" s="21" t="str">
        <f>IF($AL2636="","",$AL2636&amp;"|"&amp;COUNTIF($AL$11:$AL2636,$AL2636))</f>
        <v/>
      </c>
    </row>
    <row r="2637" spans="38:53" ht="15" customHeight="1" x14ac:dyDescent="0.25">
      <c r="AL2637" s="17"/>
      <c r="AM2637" s="12"/>
      <c r="AN2637" s="18"/>
      <c r="AO2637" s="18"/>
      <c r="AP2637" s="10"/>
      <c r="AQ2637" s="10"/>
      <c r="AR2637" s="19"/>
      <c r="AS2637" s="20"/>
      <c r="AT2637" s="19"/>
      <c r="AV2637" s="21">
        <f>IF(AND($AL2637&lt;&gt;"",COUNTIF($AL$11:$AL2637,$AL2637)=1),1,0)</f>
        <v>0</v>
      </c>
      <c r="AW2637" s="21">
        <f t="shared" si="169"/>
        <v>0</v>
      </c>
      <c r="AX2637" s="21" t="str">
        <f t="shared" si="168"/>
        <v/>
      </c>
      <c r="AY2637" s="21" t="str">
        <f>IF(AND($AM2637&lt;&gt;"",$AS2637&lt;&gt;"✓"),SUMPRODUCT(($AM$11:$AM2637&lt;&gt;"")*($AS$11:$AS2637&lt;&gt;"✓")),"")</f>
        <v/>
      </c>
      <c r="AZ2637" s="21" t="str">
        <f>IF(AND($AM2637&lt;&gt;"",$AS2637="✓"),SUMPRODUCT(($AM$11:$AM2637&lt;&gt;"")*($AS$11:$AS2637="✓")),"")</f>
        <v/>
      </c>
      <c r="BA2637" s="21" t="str">
        <f>IF($AL2637="","",$AL2637&amp;"|"&amp;COUNTIF($AL$11:$AL2637,$AL2637))</f>
        <v/>
      </c>
    </row>
    <row r="2638" spans="38:53" ht="15" customHeight="1" x14ac:dyDescent="0.25">
      <c r="AL2638" s="31"/>
      <c r="AM2638" s="26"/>
      <c r="AN2638" s="32"/>
      <c r="AO2638" s="32"/>
      <c r="AP2638" s="24"/>
      <c r="AQ2638" s="24"/>
      <c r="AR2638" s="33"/>
      <c r="AS2638" s="34"/>
      <c r="AT2638" s="33"/>
      <c r="AV2638" s="21">
        <f>IF(AND($AL2638&lt;&gt;"",COUNTIF($AL$11:$AL2638,$AL2638)=1),1,0)</f>
        <v>0</v>
      </c>
      <c r="AW2638" s="21">
        <f t="shared" si="169"/>
        <v>0</v>
      </c>
      <c r="AX2638" s="21" t="str">
        <f t="shared" si="168"/>
        <v/>
      </c>
      <c r="AY2638" s="21" t="str">
        <f>IF(AND($AM2638&lt;&gt;"",$AS2638&lt;&gt;"✓"),SUMPRODUCT(($AM$11:$AM2638&lt;&gt;"")*($AS$11:$AS2638&lt;&gt;"✓")),"")</f>
        <v/>
      </c>
      <c r="AZ2638" s="21" t="str">
        <f>IF(AND($AM2638&lt;&gt;"",$AS2638="✓"),SUMPRODUCT(($AM$11:$AM2638&lt;&gt;"")*($AS$11:$AS2638="✓")),"")</f>
        <v/>
      </c>
      <c r="BA2638" s="21" t="str">
        <f>IF($AL2638="","",$AL2638&amp;"|"&amp;COUNTIF($AL$11:$AL2638,$AL2638))</f>
        <v/>
      </c>
    </row>
    <row r="2639" spans="38:53" ht="15" customHeight="1" x14ac:dyDescent="0.25">
      <c r="AL2639" s="17"/>
      <c r="AM2639" s="12"/>
      <c r="AN2639" s="18"/>
      <c r="AO2639" s="18"/>
      <c r="AP2639" s="10"/>
      <c r="AQ2639" s="10"/>
      <c r="AR2639" s="19"/>
      <c r="AS2639" s="20"/>
      <c r="AT2639" s="19"/>
      <c r="AV2639" s="21">
        <f>IF(AND($AL2639&lt;&gt;"",COUNTIF($AL$11:$AL2639,$AL2639)=1),1,0)</f>
        <v>0</v>
      </c>
      <c r="AW2639" s="21">
        <f t="shared" si="169"/>
        <v>0</v>
      </c>
      <c r="AX2639" s="21" t="str">
        <f t="shared" si="168"/>
        <v/>
      </c>
      <c r="AY2639" s="21" t="str">
        <f>IF(AND($AM2639&lt;&gt;"",$AS2639&lt;&gt;"✓"),SUMPRODUCT(($AM$11:$AM2639&lt;&gt;"")*($AS$11:$AS2639&lt;&gt;"✓")),"")</f>
        <v/>
      </c>
      <c r="AZ2639" s="21" t="str">
        <f>IF(AND($AM2639&lt;&gt;"",$AS2639="✓"),SUMPRODUCT(($AM$11:$AM2639&lt;&gt;"")*($AS$11:$AS2639="✓")),"")</f>
        <v/>
      </c>
      <c r="BA2639" s="21" t="str">
        <f>IF($AL2639="","",$AL2639&amp;"|"&amp;COUNTIF($AL$11:$AL2639,$AL2639))</f>
        <v/>
      </c>
    </row>
    <row r="2640" spans="38:53" ht="15" customHeight="1" x14ac:dyDescent="0.25">
      <c r="AL2640" s="31"/>
      <c r="AM2640" s="26"/>
      <c r="AN2640" s="32"/>
      <c r="AO2640" s="32"/>
      <c r="AP2640" s="24"/>
      <c r="AQ2640" s="24"/>
      <c r="AR2640" s="33"/>
      <c r="AS2640" s="34"/>
      <c r="AT2640" s="33"/>
      <c r="AV2640" s="21">
        <f>IF(AND($AL2640&lt;&gt;"",COUNTIF($AL$11:$AL2640,$AL2640)=1),1,0)</f>
        <v>0</v>
      </c>
      <c r="AW2640" s="21">
        <f t="shared" si="169"/>
        <v>0</v>
      </c>
      <c r="AX2640" s="21" t="str">
        <f t="shared" si="168"/>
        <v/>
      </c>
      <c r="AY2640" s="21" t="str">
        <f>IF(AND($AM2640&lt;&gt;"",$AS2640&lt;&gt;"✓"),SUMPRODUCT(($AM$11:$AM2640&lt;&gt;"")*($AS$11:$AS2640&lt;&gt;"✓")),"")</f>
        <v/>
      </c>
      <c r="AZ2640" s="21" t="str">
        <f>IF(AND($AM2640&lt;&gt;"",$AS2640="✓"),SUMPRODUCT(($AM$11:$AM2640&lt;&gt;"")*($AS$11:$AS2640="✓")),"")</f>
        <v/>
      </c>
      <c r="BA2640" s="21" t="str">
        <f>IF($AL2640="","",$AL2640&amp;"|"&amp;COUNTIF($AL$11:$AL2640,$AL2640))</f>
        <v/>
      </c>
    </row>
    <row r="2641" spans="38:53" ht="15" customHeight="1" x14ac:dyDescent="0.25">
      <c r="AL2641" s="17"/>
      <c r="AM2641" s="12"/>
      <c r="AN2641" s="18"/>
      <c r="AO2641" s="18"/>
      <c r="AP2641" s="10"/>
      <c r="AQ2641" s="10"/>
      <c r="AR2641" s="19"/>
      <c r="AS2641" s="20"/>
      <c r="AT2641" s="19"/>
      <c r="AV2641" s="21">
        <f>IF(AND($AL2641&lt;&gt;"",COUNTIF($AL$11:$AL2641,$AL2641)=1),1,0)</f>
        <v>0</v>
      </c>
      <c r="AW2641" s="21">
        <f t="shared" si="169"/>
        <v>0</v>
      </c>
      <c r="AX2641" s="21" t="str">
        <f t="shared" si="168"/>
        <v/>
      </c>
      <c r="AY2641" s="21" t="str">
        <f>IF(AND($AM2641&lt;&gt;"",$AS2641&lt;&gt;"✓"),SUMPRODUCT(($AM$11:$AM2641&lt;&gt;"")*($AS$11:$AS2641&lt;&gt;"✓")),"")</f>
        <v/>
      </c>
      <c r="AZ2641" s="21" t="str">
        <f>IF(AND($AM2641&lt;&gt;"",$AS2641="✓"),SUMPRODUCT(($AM$11:$AM2641&lt;&gt;"")*($AS$11:$AS2641="✓")),"")</f>
        <v/>
      </c>
      <c r="BA2641" s="21" t="str">
        <f>IF($AL2641="","",$AL2641&amp;"|"&amp;COUNTIF($AL$11:$AL2641,$AL2641))</f>
        <v/>
      </c>
    </row>
    <row r="2642" spans="38:53" ht="15" customHeight="1" x14ac:dyDescent="0.25">
      <c r="AL2642" s="31"/>
      <c r="AM2642" s="26"/>
      <c r="AN2642" s="32"/>
      <c r="AO2642" s="32"/>
      <c r="AP2642" s="24"/>
      <c r="AQ2642" s="24"/>
      <c r="AR2642" s="33"/>
      <c r="AS2642" s="34"/>
      <c r="AT2642" s="33"/>
      <c r="AV2642" s="21">
        <f>IF(AND($AL2642&lt;&gt;"",COUNTIF($AL$11:$AL2642,$AL2642)=1),1,0)</f>
        <v>0</v>
      </c>
      <c r="AW2642" s="21">
        <f t="shared" si="169"/>
        <v>0</v>
      </c>
      <c r="AX2642" s="21" t="str">
        <f t="shared" si="168"/>
        <v/>
      </c>
      <c r="AY2642" s="21" t="str">
        <f>IF(AND($AM2642&lt;&gt;"",$AS2642&lt;&gt;"✓"),SUMPRODUCT(($AM$11:$AM2642&lt;&gt;"")*($AS$11:$AS2642&lt;&gt;"✓")),"")</f>
        <v/>
      </c>
      <c r="AZ2642" s="21" t="str">
        <f>IF(AND($AM2642&lt;&gt;"",$AS2642="✓"),SUMPRODUCT(($AM$11:$AM2642&lt;&gt;"")*($AS$11:$AS2642="✓")),"")</f>
        <v/>
      </c>
      <c r="BA2642" s="21" t="str">
        <f>IF($AL2642="","",$AL2642&amp;"|"&amp;COUNTIF($AL$11:$AL2642,$AL2642))</f>
        <v/>
      </c>
    </row>
    <row r="2643" spans="38:53" ht="15" customHeight="1" x14ac:dyDescent="0.25">
      <c r="AL2643" s="17"/>
      <c r="AM2643" s="12"/>
      <c r="AN2643" s="18"/>
      <c r="AO2643" s="18"/>
      <c r="AP2643" s="10"/>
      <c r="AQ2643" s="10"/>
      <c r="AR2643" s="19"/>
      <c r="AS2643" s="20"/>
      <c r="AT2643" s="19"/>
      <c r="AV2643" s="21">
        <f>IF(AND($AL2643&lt;&gt;"",COUNTIF($AL$11:$AL2643,$AL2643)=1),1,0)</f>
        <v>0</v>
      </c>
      <c r="AW2643" s="21">
        <f t="shared" si="169"/>
        <v>0</v>
      </c>
      <c r="AX2643" s="21" t="str">
        <f t="shared" si="168"/>
        <v/>
      </c>
      <c r="AY2643" s="21" t="str">
        <f>IF(AND($AM2643&lt;&gt;"",$AS2643&lt;&gt;"✓"),SUMPRODUCT(($AM$11:$AM2643&lt;&gt;"")*($AS$11:$AS2643&lt;&gt;"✓")),"")</f>
        <v/>
      </c>
      <c r="AZ2643" s="21" t="str">
        <f>IF(AND($AM2643&lt;&gt;"",$AS2643="✓"),SUMPRODUCT(($AM$11:$AM2643&lt;&gt;"")*($AS$11:$AS2643="✓")),"")</f>
        <v/>
      </c>
      <c r="BA2643" s="21" t="str">
        <f>IF($AL2643="","",$AL2643&amp;"|"&amp;COUNTIF($AL$11:$AL2643,$AL2643))</f>
        <v/>
      </c>
    </row>
    <row r="2644" spans="38:53" ht="15" customHeight="1" x14ac:dyDescent="0.25">
      <c r="AL2644" s="31"/>
      <c r="AM2644" s="26"/>
      <c r="AN2644" s="32"/>
      <c r="AO2644" s="32"/>
      <c r="AP2644" s="24"/>
      <c r="AQ2644" s="24"/>
      <c r="AR2644" s="33"/>
      <c r="AS2644" s="34"/>
      <c r="AT2644" s="33"/>
      <c r="AV2644" s="21">
        <f>IF(AND($AL2644&lt;&gt;"",COUNTIF($AL$11:$AL2644,$AL2644)=1),1,0)</f>
        <v>0</v>
      </c>
      <c r="AW2644" s="21">
        <f t="shared" si="169"/>
        <v>0</v>
      </c>
      <c r="AX2644" s="21" t="str">
        <f t="shared" si="168"/>
        <v/>
      </c>
      <c r="AY2644" s="21" t="str">
        <f>IF(AND($AM2644&lt;&gt;"",$AS2644&lt;&gt;"✓"),SUMPRODUCT(($AM$11:$AM2644&lt;&gt;"")*($AS$11:$AS2644&lt;&gt;"✓")),"")</f>
        <v/>
      </c>
      <c r="AZ2644" s="21" t="str">
        <f>IF(AND($AM2644&lt;&gt;"",$AS2644="✓"),SUMPRODUCT(($AM$11:$AM2644&lt;&gt;"")*($AS$11:$AS2644="✓")),"")</f>
        <v/>
      </c>
      <c r="BA2644" s="21" t="str">
        <f>IF($AL2644="","",$AL2644&amp;"|"&amp;COUNTIF($AL$11:$AL2644,$AL2644))</f>
        <v/>
      </c>
    </row>
    <row r="2645" spans="38:53" ht="15" customHeight="1" x14ac:dyDescent="0.25">
      <c r="AL2645" s="17"/>
      <c r="AM2645" s="12"/>
      <c r="AN2645" s="18"/>
      <c r="AO2645" s="18"/>
      <c r="AP2645" s="10"/>
      <c r="AQ2645" s="10"/>
      <c r="AR2645" s="19"/>
      <c r="AS2645" s="20"/>
      <c r="AT2645" s="19"/>
      <c r="AV2645" s="21">
        <f>IF(AND($AL2645&lt;&gt;"",COUNTIF($AL$11:$AL2645,$AL2645)=1),1,0)</f>
        <v>0</v>
      </c>
      <c r="AW2645" s="21">
        <f t="shared" si="169"/>
        <v>0</v>
      </c>
      <c r="AX2645" s="21" t="str">
        <f t="shared" si="168"/>
        <v/>
      </c>
      <c r="AY2645" s="21" t="str">
        <f>IF(AND($AM2645&lt;&gt;"",$AS2645&lt;&gt;"✓"),SUMPRODUCT(($AM$11:$AM2645&lt;&gt;"")*($AS$11:$AS2645&lt;&gt;"✓")),"")</f>
        <v/>
      </c>
      <c r="AZ2645" s="21" t="str">
        <f>IF(AND($AM2645&lt;&gt;"",$AS2645="✓"),SUMPRODUCT(($AM$11:$AM2645&lt;&gt;"")*($AS$11:$AS2645="✓")),"")</f>
        <v/>
      </c>
      <c r="BA2645" s="21" t="str">
        <f>IF($AL2645="","",$AL2645&amp;"|"&amp;COUNTIF($AL$11:$AL2645,$AL2645))</f>
        <v/>
      </c>
    </row>
    <row r="2646" spans="38:53" ht="15" customHeight="1" x14ac:dyDescent="0.25">
      <c r="AL2646" s="31"/>
      <c r="AM2646" s="26"/>
      <c r="AN2646" s="32"/>
      <c r="AO2646" s="32"/>
      <c r="AP2646" s="24"/>
      <c r="AQ2646" s="24"/>
      <c r="AR2646" s="33"/>
      <c r="AS2646" s="34"/>
      <c r="AT2646" s="33"/>
      <c r="AV2646" s="21">
        <f>IF(AND($AL2646&lt;&gt;"",COUNTIF($AL$11:$AL2646,$AL2646)=1),1,0)</f>
        <v>0</v>
      </c>
      <c r="AW2646" s="21">
        <f t="shared" si="169"/>
        <v>0</v>
      </c>
      <c r="AX2646" s="21" t="str">
        <f t="shared" si="168"/>
        <v/>
      </c>
      <c r="AY2646" s="21" t="str">
        <f>IF(AND($AM2646&lt;&gt;"",$AS2646&lt;&gt;"✓"),SUMPRODUCT(($AM$11:$AM2646&lt;&gt;"")*($AS$11:$AS2646&lt;&gt;"✓")),"")</f>
        <v/>
      </c>
      <c r="AZ2646" s="21" t="str">
        <f>IF(AND($AM2646&lt;&gt;"",$AS2646="✓"),SUMPRODUCT(($AM$11:$AM2646&lt;&gt;"")*($AS$11:$AS2646="✓")),"")</f>
        <v/>
      </c>
      <c r="BA2646" s="21" t="str">
        <f>IF($AL2646="","",$AL2646&amp;"|"&amp;COUNTIF($AL$11:$AL2646,$AL2646))</f>
        <v/>
      </c>
    </row>
    <row r="2647" spans="38:53" ht="15" customHeight="1" x14ac:dyDescent="0.25">
      <c r="AL2647" s="17"/>
      <c r="AM2647" s="12"/>
      <c r="AN2647" s="18"/>
      <c r="AO2647" s="18"/>
      <c r="AP2647" s="10"/>
      <c r="AQ2647" s="10"/>
      <c r="AR2647" s="19"/>
      <c r="AS2647" s="20"/>
      <c r="AT2647" s="19"/>
      <c r="AV2647" s="21">
        <f>IF(AND($AL2647&lt;&gt;"",COUNTIF($AL$11:$AL2647,$AL2647)=1),1,0)</f>
        <v>0</v>
      </c>
      <c r="AW2647" s="21">
        <f t="shared" si="169"/>
        <v>0</v>
      </c>
      <c r="AX2647" s="21" t="str">
        <f t="shared" si="168"/>
        <v/>
      </c>
      <c r="AY2647" s="21" t="str">
        <f>IF(AND($AM2647&lt;&gt;"",$AS2647&lt;&gt;"✓"),SUMPRODUCT(($AM$11:$AM2647&lt;&gt;"")*($AS$11:$AS2647&lt;&gt;"✓")),"")</f>
        <v/>
      </c>
      <c r="AZ2647" s="21" t="str">
        <f>IF(AND($AM2647&lt;&gt;"",$AS2647="✓"),SUMPRODUCT(($AM$11:$AM2647&lt;&gt;"")*($AS$11:$AS2647="✓")),"")</f>
        <v/>
      </c>
      <c r="BA2647" s="21" t="str">
        <f>IF($AL2647="","",$AL2647&amp;"|"&amp;COUNTIF($AL$11:$AL2647,$AL2647))</f>
        <v/>
      </c>
    </row>
    <row r="2648" spans="38:53" ht="15" customHeight="1" x14ac:dyDescent="0.25">
      <c r="AL2648" s="31"/>
      <c r="AM2648" s="26"/>
      <c r="AN2648" s="32"/>
      <c r="AO2648" s="32"/>
      <c r="AP2648" s="24"/>
      <c r="AQ2648" s="24"/>
      <c r="AR2648" s="33"/>
      <c r="AS2648" s="34"/>
      <c r="AT2648" s="33"/>
      <c r="AV2648" s="21">
        <f>IF(AND($AL2648&lt;&gt;"",COUNTIF($AL$11:$AL2648,$AL2648)=1),1,0)</f>
        <v>0</v>
      </c>
      <c r="AW2648" s="21">
        <f t="shared" si="169"/>
        <v>0</v>
      </c>
      <c r="AX2648" s="21" t="str">
        <f t="shared" si="168"/>
        <v/>
      </c>
      <c r="AY2648" s="21" t="str">
        <f>IF(AND($AM2648&lt;&gt;"",$AS2648&lt;&gt;"✓"),SUMPRODUCT(($AM$11:$AM2648&lt;&gt;"")*($AS$11:$AS2648&lt;&gt;"✓")),"")</f>
        <v/>
      </c>
      <c r="AZ2648" s="21" t="str">
        <f>IF(AND($AM2648&lt;&gt;"",$AS2648="✓"),SUMPRODUCT(($AM$11:$AM2648&lt;&gt;"")*($AS$11:$AS2648="✓")),"")</f>
        <v/>
      </c>
      <c r="BA2648" s="21" t="str">
        <f>IF($AL2648="","",$AL2648&amp;"|"&amp;COUNTIF($AL$11:$AL2648,$AL2648))</f>
        <v/>
      </c>
    </row>
    <row r="2649" spans="38:53" ht="15" customHeight="1" x14ac:dyDescent="0.25">
      <c r="AL2649" s="17"/>
      <c r="AM2649" s="12"/>
      <c r="AN2649" s="18"/>
      <c r="AO2649" s="18"/>
      <c r="AP2649" s="10"/>
      <c r="AQ2649" s="10"/>
      <c r="AR2649" s="19"/>
      <c r="AS2649" s="20"/>
      <c r="AT2649" s="19"/>
      <c r="AV2649" s="21">
        <f>IF(AND($AL2649&lt;&gt;"",COUNTIF($AL$11:$AL2649,$AL2649)=1),1,0)</f>
        <v>0</v>
      </c>
      <c r="AW2649" s="21">
        <f t="shared" si="169"/>
        <v>0</v>
      </c>
      <c r="AX2649" s="21" t="str">
        <f t="shared" si="168"/>
        <v/>
      </c>
      <c r="AY2649" s="21" t="str">
        <f>IF(AND($AM2649&lt;&gt;"",$AS2649&lt;&gt;"✓"),SUMPRODUCT(($AM$11:$AM2649&lt;&gt;"")*($AS$11:$AS2649&lt;&gt;"✓")),"")</f>
        <v/>
      </c>
      <c r="AZ2649" s="21" t="str">
        <f>IF(AND($AM2649&lt;&gt;"",$AS2649="✓"),SUMPRODUCT(($AM$11:$AM2649&lt;&gt;"")*($AS$11:$AS2649="✓")),"")</f>
        <v/>
      </c>
      <c r="BA2649" s="21" t="str">
        <f>IF($AL2649="","",$AL2649&amp;"|"&amp;COUNTIF($AL$11:$AL2649,$AL2649))</f>
        <v/>
      </c>
    </row>
    <row r="2650" spans="38:53" ht="15" customHeight="1" x14ac:dyDescent="0.25">
      <c r="AL2650" s="31"/>
      <c r="AM2650" s="26"/>
      <c r="AN2650" s="32"/>
      <c r="AO2650" s="32"/>
      <c r="AP2650" s="24"/>
      <c r="AQ2650" s="24"/>
      <c r="AR2650" s="33"/>
      <c r="AS2650" s="34"/>
      <c r="AT2650" s="33"/>
      <c r="AV2650" s="21">
        <f>IF(AND($AL2650&lt;&gt;"",COUNTIF($AL$11:$AL2650,$AL2650)=1),1,0)</f>
        <v>0</v>
      </c>
      <c r="AW2650" s="21">
        <f t="shared" si="169"/>
        <v>0</v>
      </c>
      <c r="AX2650" s="21" t="str">
        <f t="shared" si="168"/>
        <v/>
      </c>
      <c r="AY2650" s="21" t="str">
        <f>IF(AND($AM2650&lt;&gt;"",$AS2650&lt;&gt;"✓"),SUMPRODUCT(($AM$11:$AM2650&lt;&gt;"")*($AS$11:$AS2650&lt;&gt;"✓")),"")</f>
        <v/>
      </c>
      <c r="AZ2650" s="21" t="str">
        <f>IF(AND($AM2650&lt;&gt;"",$AS2650="✓"),SUMPRODUCT(($AM$11:$AM2650&lt;&gt;"")*($AS$11:$AS2650="✓")),"")</f>
        <v/>
      </c>
      <c r="BA2650" s="21" t="str">
        <f>IF($AL2650="","",$AL2650&amp;"|"&amp;COUNTIF($AL$11:$AL2650,$AL2650))</f>
        <v/>
      </c>
    </row>
    <row r="2651" spans="38:53" ht="15" customHeight="1" x14ac:dyDescent="0.25">
      <c r="AL2651" s="17"/>
      <c r="AM2651" s="12"/>
      <c r="AN2651" s="18"/>
      <c r="AO2651" s="18"/>
      <c r="AP2651" s="10"/>
      <c r="AQ2651" s="10"/>
      <c r="AR2651" s="19"/>
      <c r="AS2651" s="20"/>
      <c r="AT2651" s="19"/>
      <c r="AV2651" s="21">
        <f>IF(AND($AL2651&lt;&gt;"",COUNTIF($AL$11:$AL2651,$AL2651)=1),1,0)</f>
        <v>0</v>
      </c>
      <c r="AW2651" s="21">
        <f t="shared" si="169"/>
        <v>0</v>
      </c>
      <c r="AX2651" s="21" t="str">
        <f t="shared" si="168"/>
        <v/>
      </c>
      <c r="AY2651" s="21" t="str">
        <f>IF(AND($AM2651&lt;&gt;"",$AS2651&lt;&gt;"✓"),SUMPRODUCT(($AM$11:$AM2651&lt;&gt;"")*($AS$11:$AS2651&lt;&gt;"✓")),"")</f>
        <v/>
      </c>
      <c r="AZ2651" s="21" t="str">
        <f>IF(AND($AM2651&lt;&gt;"",$AS2651="✓"),SUMPRODUCT(($AM$11:$AM2651&lt;&gt;"")*($AS$11:$AS2651="✓")),"")</f>
        <v/>
      </c>
      <c r="BA2651" s="21" t="str">
        <f>IF($AL2651="","",$AL2651&amp;"|"&amp;COUNTIF($AL$11:$AL2651,$AL2651))</f>
        <v/>
      </c>
    </row>
    <row r="2652" spans="38:53" ht="15" customHeight="1" x14ac:dyDescent="0.25">
      <c r="AL2652" s="31"/>
      <c r="AM2652" s="26"/>
      <c r="AN2652" s="32"/>
      <c r="AO2652" s="32"/>
      <c r="AP2652" s="24"/>
      <c r="AQ2652" s="24"/>
      <c r="AR2652" s="33"/>
      <c r="AS2652" s="34"/>
      <c r="AT2652" s="33"/>
      <c r="AV2652" s="21">
        <f>IF(AND($AL2652&lt;&gt;"",COUNTIF($AL$11:$AL2652,$AL2652)=1),1,0)</f>
        <v>0</v>
      </c>
      <c r="AW2652" s="21">
        <f t="shared" si="169"/>
        <v>0</v>
      </c>
      <c r="AX2652" s="21" t="str">
        <f t="shared" si="168"/>
        <v/>
      </c>
      <c r="AY2652" s="21" t="str">
        <f>IF(AND($AM2652&lt;&gt;"",$AS2652&lt;&gt;"✓"),SUMPRODUCT(($AM$11:$AM2652&lt;&gt;"")*($AS$11:$AS2652&lt;&gt;"✓")),"")</f>
        <v/>
      </c>
      <c r="AZ2652" s="21" t="str">
        <f>IF(AND($AM2652&lt;&gt;"",$AS2652="✓"),SUMPRODUCT(($AM$11:$AM2652&lt;&gt;"")*($AS$11:$AS2652="✓")),"")</f>
        <v/>
      </c>
      <c r="BA2652" s="21" t="str">
        <f>IF($AL2652="","",$AL2652&amp;"|"&amp;COUNTIF($AL$11:$AL2652,$AL2652))</f>
        <v/>
      </c>
    </row>
    <row r="2653" spans="38:53" ht="15" customHeight="1" x14ac:dyDescent="0.25">
      <c r="AL2653" s="17"/>
      <c r="AM2653" s="12"/>
      <c r="AN2653" s="18"/>
      <c r="AO2653" s="18"/>
      <c r="AP2653" s="10"/>
      <c r="AQ2653" s="10"/>
      <c r="AR2653" s="19"/>
      <c r="AS2653" s="20"/>
      <c r="AT2653" s="19"/>
      <c r="AV2653" s="21">
        <f>IF(AND($AL2653&lt;&gt;"",COUNTIF($AL$11:$AL2653,$AL2653)=1),1,0)</f>
        <v>0</v>
      </c>
      <c r="AW2653" s="21">
        <f t="shared" si="169"/>
        <v>0</v>
      </c>
      <c r="AX2653" s="21" t="str">
        <f t="shared" si="168"/>
        <v/>
      </c>
      <c r="AY2653" s="21" t="str">
        <f>IF(AND($AM2653&lt;&gt;"",$AS2653&lt;&gt;"✓"),SUMPRODUCT(($AM$11:$AM2653&lt;&gt;"")*($AS$11:$AS2653&lt;&gt;"✓")),"")</f>
        <v/>
      </c>
      <c r="AZ2653" s="21" t="str">
        <f>IF(AND($AM2653&lt;&gt;"",$AS2653="✓"),SUMPRODUCT(($AM$11:$AM2653&lt;&gt;"")*($AS$11:$AS2653="✓")),"")</f>
        <v/>
      </c>
      <c r="BA2653" s="21" t="str">
        <f>IF($AL2653="","",$AL2653&amp;"|"&amp;COUNTIF($AL$11:$AL2653,$AL2653))</f>
        <v/>
      </c>
    </row>
    <row r="2654" spans="38:53" ht="15" customHeight="1" x14ac:dyDescent="0.25">
      <c r="AL2654" s="31"/>
      <c r="AM2654" s="26"/>
      <c r="AN2654" s="32"/>
      <c r="AO2654" s="32"/>
      <c r="AP2654" s="24"/>
      <c r="AQ2654" s="24"/>
      <c r="AR2654" s="33"/>
      <c r="AS2654" s="34"/>
      <c r="AT2654" s="33"/>
      <c r="AV2654" s="21">
        <f>IF(AND($AL2654&lt;&gt;"",COUNTIF($AL$11:$AL2654,$AL2654)=1),1,0)</f>
        <v>0</v>
      </c>
      <c r="AW2654" s="21">
        <f t="shared" si="169"/>
        <v>0</v>
      </c>
      <c r="AX2654" s="21" t="str">
        <f t="shared" si="168"/>
        <v/>
      </c>
      <c r="AY2654" s="21" t="str">
        <f>IF(AND($AM2654&lt;&gt;"",$AS2654&lt;&gt;"✓"),SUMPRODUCT(($AM$11:$AM2654&lt;&gt;"")*($AS$11:$AS2654&lt;&gt;"✓")),"")</f>
        <v/>
      </c>
      <c r="AZ2654" s="21" t="str">
        <f>IF(AND($AM2654&lt;&gt;"",$AS2654="✓"),SUMPRODUCT(($AM$11:$AM2654&lt;&gt;"")*($AS$11:$AS2654="✓")),"")</f>
        <v/>
      </c>
      <c r="BA2654" s="21" t="str">
        <f>IF($AL2654="","",$AL2654&amp;"|"&amp;COUNTIF($AL$11:$AL2654,$AL2654))</f>
        <v/>
      </c>
    </row>
    <row r="2655" spans="38:53" ht="15" customHeight="1" x14ac:dyDescent="0.25">
      <c r="AL2655" s="17"/>
      <c r="AM2655" s="12"/>
      <c r="AN2655" s="18"/>
      <c r="AO2655" s="18"/>
      <c r="AP2655" s="10"/>
      <c r="AQ2655" s="10"/>
      <c r="AR2655" s="19"/>
      <c r="AS2655" s="20"/>
      <c r="AT2655" s="19"/>
      <c r="AV2655" s="21">
        <f>IF(AND($AL2655&lt;&gt;"",COUNTIF($AL$11:$AL2655,$AL2655)=1),1,0)</f>
        <v>0</v>
      </c>
      <c r="AW2655" s="21">
        <f t="shared" si="169"/>
        <v>0</v>
      </c>
      <c r="AX2655" s="21" t="str">
        <f t="shared" si="168"/>
        <v/>
      </c>
      <c r="AY2655" s="21" t="str">
        <f>IF(AND($AM2655&lt;&gt;"",$AS2655&lt;&gt;"✓"),SUMPRODUCT(($AM$11:$AM2655&lt;&gt;"")*($AS$11:$AS2655&lt;&gt;"✓")),"")</f>
        <v/>
      </c>
      <c r="AZ2655" s="21" t="str">
        <f>IF(AND($AM2655&lt;&gt;"",$AS2655="✓"),SUMPRODUCT(($AM$11:$AM2655&lt;&gt;"")*($AS$11:$AS2655="✓")),"")</f>
        <v/>
      </c>
      <c r="BA2655" s="21" t="str">
        <f>IF($AL2655="","",$AL2655&amp;"|"&amp;COUNTIF($AL$11:$AL2655,$AL2655))</f>
        <v/>
      </c>
    </row>
    <row r="2656" spans="38:53" ht="15" customHeight="1" x14ac:dyDescent="0.25">
      <c r="AL2656" s="31"/>
      <c r="AM2656" s="26"/>
      <c r="AN2656" s="32"/>
      <c r="AO2656" s="32"/>
      <c r="AP2656" s="24"/>
      <c r="AQ2656" s="24"/>
      <c r="AR2656" s="33"/>
      <c r="AS2656" s="34"/>
      <c r="AT2656" s="33"/>
      <c r="AV2656" s="21">
        <f>IF(AND($AL2656&lt;&gt;"",COUNTIF($AL$11:$AL2656,$AL2656)=1),1,0)</f>
        <v>0</v>
      </c>
      <c r="AW2656" s="21">
        <f t="shared" si="169"/>
        <v>0</v>
      </c>
      <c r="AX2656" s="21" t="str">
        <f t="shared" si="168"/>
        <v/>
      </c>
      <c r="AY2656" s="21" t="str">
        <f>IF(AND($AM2656&lt;&gt;"",$AS2656&lt;&gt;"✓"),SUMPRODUCT(($AM$11:$AM2656&lt;&gt;"")*($AS$11:$AS2656&lt;&gt;"✓")),"")</f>
        <v/>
      </c>
      <c r="AZ2656" s="21" t="str">
        <f>IF(AND($AM2656&lt;&gt;"",$AS2656="✓"),SUMPRODUCT(($AM$11:$AM2656&lt;&gt;"")*($AS$11:$AS2656="✓")),"")</f>
        <v/>
      </c>
      <c r="BA2656" s="21" t="str">
        <f>IF($AL2656="","",$AL2656&amp;"|"&amp;COUNTIF($AL$11:$AL2656,$AL2656))</f>
        <v/>
      </c>
    </row>
    <row r="2657" spans="38:53" ht="15" customHeight="1" x14ac:dyDescent="0.25">
      <c r="AL2657" s="17"/>
      <c r="AM2657" s="12"/>
      <c r="AN2657" s="18"/>
      <c r="AO2657" s="18"/>
      <c r="AP2657" s="10"/>
      <c r="AQ2657" s="10"/>
      <c r="AR2657" s="19"/>
      <c r="AS2657" s="20"/>
      <c r="AT2657" s="19"/>
      <c r="AV2657" s="21">
        <f>IF(AND($AL2657&lt;&gt;"",COUNTIF($AL$11:$AL2657,$AL2657)=1),1,0)</f>
        <v>0</v>
      </c>
      <c r="AW2657" s="21">
        <f t="shared" si="169"/>
        <v>0</v>
      </c>
      <c r="AX2657" s="21" t="str">
        <f t="shared" si="168"/>
        <v/>
      </c>
      <c r="AY2657" s="21" t="str">
        <f>IF(AND($AM2657&lt;&gt;"",$AS2657&lt;&gt;"✓"),SUMPRODUCT(($AM$11:$AM2657&lt;&gt;"")*($AS$11:$AS2657&lt;&gt;"✓")),"")</f>
        <v/>
      </c>
      <c r="AZ2657" s="21" t="str">
        <f>IF(AND($AM2657&lt;&gt;"",$AS2657="✓"),SUMPRODUCT(($AM$11:$AM2657&lt;&gt;"")*($AS$11:$AS2657="✓")),"")</f>
        <v/>
      </c>
      <c r="BA2657" s="21" t="str">
        <f>IF($AL2657="","",$AL2657&amp;"|"&amp;COUNTIF($AL$11:$AL2657,$AL2657))</f>
        <v/>
      </c>
    </row>
    <row r="2658" spans="38:53" ht="15" customHeight="1" x14ac:dyDescent="0.25">
      <c r="AL2658" s="31"/>
      <c r="AM2658" s="26"/>
      <c r="AN2658" s="32"/>
      <c r="AO2658" s="32"/>
      <c r="AP2658" s="24"/>
      <c r="AQ2658" s="24"/>
      <c r="AR2658" s="33"/>
      <c r="AS2658" s="34"/>
      <c r="AT2658" s="33"/>
      <c r="AV2658" s="21">
        <f>IF(AND($AL2658&lt;&gt;"",COUNTIF($AL$11:$AL2658,$AL2658)=1),1,0)</f>
        <v>0</v>
      </c>
      <c r="AW2658" s="21">
        <f t="shared" si="169"/>
        <v>0</v>
      </c>
      <c r="AX2658" s="21" t="str">
        <f t="shared" si="168"/>
        <v/>
      </c>
      <c r="AY2658" s="21" t="str">
        <f>IF(AND($AM2658&lt;&gt;"",$AS2658&lt;&gt;"✓"),SUMPRODUCT(($AM$11:$AM2658&lt;&gt;"")*($AS$11:$AS2658&lt;&gt;"✓")),"")</f>
        <v/>
      </c>
      <c r="AZ2658" s="21" t="str">
        <f>IF(AND($AM2658&lt;&gt;"",$AS2658="✓"),SUMPRODUCT(($AM$11:$AM2658&lt;&gt;"")*($AS$11:$AS2658="✓")),"")</f>
        <v/>
      </c>
      <c r="BA2658" s="21" t="str">
        <f>IF($AL2658="","",$AL2658&amp;"|"&amp;COUNTIF($AL$11:$AL2658,$AL2658))</f>
        <v/>
      </c>
    </row>
    <row r="2659" spans="38:53" ht="15" customHeight="1" x14ac:dyDescent="0.25">
      <c r="AL2659" s="17"/>
      <c r="AM2659" s="12"/>
      <c r="AN2659" s="18"/>
      <c r="AO2659" s="18"/>
      <c r="AP2659" s="10"/>
      <c r="AQ2659" s="10"/>
      <c r="AR2659" s="19"/>
      <c r="AS2659" s="20"/>
      <c r="AT2659" s="19"/>
      <c r="AV2659" s="21">
        <f>IF(AND($AL2659&lt;&gt;"",COUNTIF($AL$11:$AL2659,$AL2659)=1),1,0)</f>
        <v>0</v>
      </c>
      <c r="AW2659" s="21">
        <f t="shared" si="169"/>
        <v>0</v>
      </c>
      <c r="AX2659" s="21" t="str">
        <f t="shared" si="168"/>
        <v/>
      </c>
      <c r="AY2659" s="21" t="str">
        <f>IF(AND($AM2659&lt;&gt;"",$AS2659&lt;&gt;"✓"),SUMPRODUCT(($AM$11:$AM2659&lt;&gt;"")*($AS$11:$AS2659&lt;&gt;"✓")),"")</f>
        <v/>
      </c>
      <c r="AZ2659" s="21" t="str">
        <f>IF(AND($AM2659&lt;&gt;"",$AS2659="✓"),SUMPRODUCT(($AM$11:$AM2659&lt;&gt;"")*($AS$11:$AS2659="✓")),"")</f>
        <v/>
      </c>
      <c r="BA2659" s="21" t="str">
        <f>IF($AL2659="","",$AL2659&amp;"|"&amp;COUNTIF($AL$11:$AL2659,$AL2659))</f>
        <v/>
      </c>
    </row>
    <row r="2660" spans="38:53" ht="15" customHeight="1" x14ac:dyDescent="0.25">
      <c r="AL2660" s="31"/>
      <c r="AM2660" s="26"/>
      <c r="AN2660" s="32"/>
      <c r="AO2660" s="32"/>
      <c r="AP2660" s="24"/>
      <c r="AQ2660" s="24"/>
      <c r="AR2660" s="33"/>
      <c r="AS2660" s="34"/>
      <c r="AT2660" s="33"/>
      <c r="AV2660" s="21">
        <f>IF(AND($AL2660&lt;&gt;"",COUNTIF($AL$11:$AL2660,$AL2660)=1),1,0)</f>
        <v>0</v>
      </c>
      <c r="AW2660" s="21">
        <f t="shared" si="169"/>
        <v>0</v>
      </c>
      <c r="AX2660" s="21" t="str">
        <f t="shared" si="168"/>
        <v/>
      </c>
      <c r="AY2660" s="21" t="str">
        <f>IF(AND($AM2660&lt;&gt;"",$AS2660&lt;&gt;"✓"),SUMPRODUCT(($AM$11:$AM2660&lt;&gt;"")*($AS$11:$AS2660&lt;&gt;"✓")),"")</f>
        <v/>
      </c>
      <c r="AZ2660" s="21" t="str">
        <f>IF(AND($AM2660&lt;&gt;"",$AS2660="✓"),SUMPRODUCT(($AM$11:$AM2660&lt;&gt;"")*($AS$11:$AS2660="✓")),"")</f>
        <v/>
      </c>
      <c r="BA2660" s="21" t="str">
        <f>IF($AL2660="","",$AL2660&amp;"|"&amp;COUNTIF($AL$11:$AL2660,$AL2660))</f>
        <v/>
      </c>
    </row>
    <row r="2661" spans="38:53" ht="15" customHeight="1" x14ac:dyDescent="0.25">
      <c r="AL2661" s="17"/>
      <c r="AM2661" s="12"/>
      <c r="AN2661" s="18"/>
      <c r="AO2661" s="18"/>
      <c r="AP2661" s="10"/>
      <c r="AQ2661" s="10"/>
      <c r="AR2661" s="19"/>
      <c r="AS2661" s="20"/>
      <c r="AT2661" s="19"/>
      <c r="AV2661" s="21">
        <f>IF(AND($AL2661&lt;&gt;"",COUNTIF($AL$11:$AL2661,$AL2661)=1),1,0)</f>
        <v>0</v>
      </c>
      <c r="AW2661" s="21">
        <f t="shared" si="169"/>
        <v>0</v>
      </c>
      <c r="AX2661" s="21" t="str">
        <f t="shared" si="168"/>
        <v/>
      </c>
      <c r="AY2661" s="21" t="str">
        <f>IF(AND($AM2661&lt;&gt;"",$AS2661&lt;&gt;"✓"),SUMPRODUCT(($AM$11:$AM2661&lt;&gt;"")*($AS$11:$AS2661&lt;&gt;"✓")),"")</f>
        <v/>
      </c>
      <c r="AZ2661" s="21" t="str">
        <f>IF(AND($AM2661&lt;&gt;"",$AS2661="✓"),SUMPRODUCT(($AM$11:$AM2661&lt;&gt;"")*($AS$11:$AS2661="✓")),"")</f>
        <v/>
      </c>
      <c r="BA2661" s="21" t="str">
        <f>IF($AL2661="","",$AL2661&amp;"|"&amp;COUNTIF($AL$11:$AL2661,$AL2661))</f>
        <v/>
      </c>
    </row>
    <row r="2662" spans="38:53" ht="15" customHeight="1" x14ac:dyDescent="0.25">
      <c r="AL2662" s="31"/>
      <c r="AM2662" s="26"/>
      <c r="AN2662" s="32"/>
      <c r="AO2662" s="32"/>
      <c r="AP2662" s="24"/>
      <c r="AQ2662" s="24"/>
      <c r="AR2662" s="33"/>
      <c r="AS2662" s="34"/>
      <c r="AT2662" s="33"/>
      <c r="AV2662" s="21">
        <f>IF(AND($AL2662&lt;&gt;"",COUNTIF($AL$11:$AL2662,$AL2662)=1),1,0)</f>
        <v>0</v>
      </c>
      <c r="AW2662" s="21">
        <f t="shared" si="169"/>
        <v>0</v>
      </c>
      <c r="AX2662" s="21" t="str">
        <f t="shared" si="168"/>
        <v/>
      </c>
      <c r="AY2662" s="21" t="str">
        <f>IF(AND($AM2662&lt;&gt;"",$AS2662&lt;&gt;"✓"),SUMPRODUCT(($AM$11:$AM2662&lt;&gt;"")*($AS$11:$AS2662&lt;&gt;"✓")),"")</f>
        <v/>
      </c>
      <c r="AZ2662" s="21" t="str">
        <f>IF(AND($AM2662&lt;&gt;"",$AS2662="✓"),SUMPRODUCT(($AM$11:$AM2662&lt;&gt;"")*($AS$11:$AS2662="✓")),"")</f>
        <v/>
      </c>
      <c r="BA2662" s="21" t="str">
        <f>IF($AL2662="","",$AL2662&amp;"|"&amp;COUNTIF($AL$11:$AL2662,$AL2662))</f>
        <v/>
      </c>
    </row>
    <row r="2663" spans="38:53" ht="15" customHeight="1" x14ac:dyDescent="0.25">
      <c r="AL2663" s="17"/>
      <c r="AM2663" s="12"/>
      <c r="AN2663" s="18"/>
      <c r="AO2663" s="18"/>
      <c r="AP2663" s="10"/>
      <c r="AQ2663" s="10"/>
      <c r="AR2663" s="19"/>
      <c r="AS2663" s="20"/>
      <c r="AT2663" s="19"/>
      <c r="AV2663" s="21">
        <f>IF(AND($AL2663&lt;&gt;"",COUNTIF($AL$11:$AL2663,$AL2663)=1),1,0)</f>
        <v>0</v>
      </c>
      <c r="AW2663" s="21">
        <f t="shared" si="169"/>
        <v>0</v>
      </c>
      <c r="AX2663" s="21" t="str">
        <f t="shared" si="168"/>
        <v/>
      </c>
      <c r="AY2663" s="21" t="str">
        <f>IF(AND($AM2663&lt;&gt;"",$AS2663&lt;&gt;"✓"),SUMPRODUCT(($AM$11:$AM2663&lt;&gt;"")*($AS$11:$AS2663&lt;&gt;"✓")),"")</f>
        <v/>
      </c>
      <c r="AZ2663" s="21" t="str">
        <f>IF(AND($AM2663&lt;&gt;"",$AS2663="✓"),SUMPRODUCT(($AM$11:$AM2663&lt;&gt;"")*($AS$11:$AS2663="✓")),"")</f>
        <v/>
      </c>
      <c r="BA2663" s="21" t="str">
        <f>IF($AL2663="","",$AL2663&amp;"|"&amp;COUNTIF($AL$11:$AL2663,$AL2663))</f>
        <v/>
      </c>
    </row>
    <row r="2664" spans="38:53" ht="15" customHeight="1" x14ac:dyDescent="0.25">
      <c r="AL2664" s="31"/>
      <c r="AM2664" s="26"/>
      <c r="AN2664" s="32"/>
      <c r="AO2664" s="32"/>
      <c r="AP2664" s="24"/>
      <c r="AQ2664" s="24"/>
      <c r="AR2664" s="33"/>
      <c r="AS2664" s="34"/>
      <c r="AT2664" s="33"/>
      <c r="AV2664" s="21">
        <f>IF(AND($AL2664&lt;&gt;"",COUNTIF($AL$11:$AL2664,$AL2664)=1),1,0)</f>
        <v>0</v>
      </c>
      <c r="AW2664" s="21">
        <f t="shared" si="169"/>
        <v>0</v>
      </c>
      <c r="AX2664" s="21" t="str">
        <f t="shared" si="168"/>
        <v/>
      </c>
      <c r="AY2664" s="21" t="str">
        <f>IF(AND($AM2664&lt;&gt;"",$AS2664&lt;&gt;"✓"),SUMPRODUCT(($AM$11:$AM2664&lt;&gt;"")*($AS$11:$AS2664&lt;&gt;"✓")),"")</f>
        <v/>
      </c>
      <c r="AZ2664" s="21" t="str">
        <f>IF(AND($AM2664&lt;&gt;"",$AS2664="✓"),SUMPRODUCT(($AM$11:$AM2664&lt;&gt;"")*($AS$11:$AS2664="✓")),"")</f>
        <v/>
      </c>
      <c r="BA2664" s="21" t="str">
        <f>IF($AL2664="","",$AL2664&amp;"|"&amp;COUNTIF($AL$11:$AL2664,$AL2664))</f>
        <v/>
      </c>
    </row>
    <row r="2665" spans="38:53" ht="15" customHeight="1" x14ac:dyDescent="0.25">
      <c r="AL2665" s="17"/>
      <c r="AM2665" s="12"/>
      <c r="AN2665" s="18"/>
      <c r="AO2665" s="18"/>
      <c r="AP2665" s="10"/>
      <c r="AQ2665" s="10"/>
      <c r="AR2665" s="19"/>
      <c r="AS2665" s="20"/>
      <c r="AT2665" s="19"/>
      <c r="AV2665" s="21">
        <f>IF(AND($AL2665&lt;&gt;"",COUNTIF($AL$11:$AL2665,$AL2665)=1),1,0)</f>
        <v>0</v>
      </c>
      <c r="AW2665" s="21">
        <f t="shared" si="169"/>
        <v>0</v>
      </c>
      <c r="AX2665" s="21" t="str">
        <f t="shared" si="168"/>
        <v/>
      </c>
      <c r="AY2665" s="21" t="str">
        <f>IF(AND($AM2665&lt;&gt;"",$AS2665&lt;&gt;"✓"),SUMPRODUCT(($AM$11:$AM2665&lt;&gt;"")*($AS$11:$AS2665&lt;&gt;"✓")),"")</f>
        <v/>
      </c>
      <c r="AZ2665" s="21" t="str">
        <f>IF(AND($AM2665&lt;&gt;"",$AS2665="✓"),SUMPRODUCT(($AM$11:$AM2665&lt;&gt;"")*($AS$11:$AS2665="✓")),"")</f>
        <v/>
      </c>
      <c r="BA2665" s="21" t="str">
        <f>IF($AL2665="","",$AL2665&amp;"|"&amp;COUNTIF($AL$11:$AL2665,$AL2665))</f>
        <v/>
      </c>
    </row>
    <row r="2666" spans="38:53" ht="15" customHeight="1" x14ac:dyDescent="0.25">
      <c r="AL2666" s="31"/>
      <c r="AM2666" s="26"/>
      <c r="AN2666" s="32"/>
      <c r="AO2666" s="32"/>
      <c r="AP2666" s="24"/>
      <c r="AQ2666" s="24"/>
      <c r="AR2666" s="33"/>
      <c r="AS2666" s="34"/>
      <c r="AT2666" s="33"/>
      <c r="AV2666" s="21">
        <f>IF(AND($AL2666&lt;&gt;"",COUNTIF($AL$11:$AL2666,$AL2666)=1),1,0)</f>
        <v>0</v>
      </c>
      <c r="AW2666" s="21">
        <f t="shared" si="169"/>
        <v>0</v>
      </c>
      <c r="AX2666" s="21" t="str">
        <f t="shared" si="168"/>
        <v/>
      </c>
      <c r="AY2666" s="21" t="str">
        <f>IF(AND($AM2666&lt;&gt;"",$AS2666&lt;&gt;"✓"),SUMPRODUCT(($AM$11:$AM2666&lt;&gt;"")*($AS$11:$AS2666&lt;&gt;"✓")),"")</f>
        <v/>
      </c>
      <c r="AZ2666" s="21" t="str">
        <f>IF(AND($AM2666&lt;&gt;"",$AS2666="✓"),SUMPRODUCT(($AM$11:$AM2666&lt;&gt;"")*($AS$11:$AS2666="✓")),"")</f>
        <v/>
      </c>
      <c r="BA2666" s="21" t="str">
        <f>IF($AL2666="","",$AL2666&amp;"|"&amp;COUNTIF($AL$11:$AL2666,$AL2666))</f>
        <v/>
      </c>
    </row>
    <row r="2667" spans="38:53" ht="15" customHeight="1" x14ac:dyDescent="0.25">
      <c r="AL2667" s="17"/>
      <c r="AM2667" s="12"/>
      <c r="AN2667" s="18"/>
      <c r="AO2667" s="18"/>
      <c r="AP2667" s="10"/>
      <c r="AQ2667" s="10"/>
      <c r="AR2667" s="19"/>
      <c r="AS2667" s="20"/>
      <c r="AT2667" s="19"/>
      <c r="AV2667" s="21">
        <f>IF(AND($AL2667&lt;&gt;"",COUNTIF($AL$11:$AL2667,$AL2667)=1),1,0)</f>
        <v>0</v>
      </c>
      <c r="AW2667" s="21">
        <f t="shared" si="169"/>
        <v>0</v>
      </c>
      <c r="AX2667" s="21" t="str">
        <f t="shared" si="168"/>
        <v/>
      </c>
      <c r="AY2667" s="21" t="str">
        <f>IF(AND($AM2667&lt;&gt;"",$AS2667&lt;&gt;"✓"),SUMPRODUCT(($AM$11:$AM2667&lt;&gt;"")*($AS$11:$AS2667&lt;&gt;"✓")),"")</f>
        <v/>
      </c>
      <c r="AZ2667" s="21" t="str">
        <f>IF(AND($AM2667&lt;&gt;"",$AS2667="✓"),SUMPRODUCT(($AM$11:$AM2667&lt;&gt;"")*($AS$11:$AS2667="✓")),"")</f>
        <v/>
      </c>
      <c r="BA2667" s="21" t="str">
        <f>IF($AL2667="","",$AL2667&amp;"|"&amp;COUNTIF($AL$11:$AL2667,$AL2667))</f>
        <v/>
      </c>
    </row>
    <row r="2668" spans="38:53" ht="15" customHeight="1" x14ac:dyDescent="0.25">
      <c r="AL2668" s="31"/>
      <c r="AM2668" s="26"/>
      <c r="AN2668" s="32"/>
      <c r="AO2668" s="32"/>
      <c r="AP2668" s="24"/>
      <c r="AQ2668" s="24"/>
      <c r="AR2668" s="33"/>
      <c r="AS2668" s="34"/>
      <c r="AT2668" s="33"/>
      <c r="AV2668" s="21">
        <f>IF(AND($AL2668&lt;&gt;"",COUNTIF($AL$11:$AL2668,$AL2668)=1),1,0)</f>
        <v>0</v>
      </c>
      <c r="AW2668" s="21">
        <f t="shared" si="169"/>
        <v>0</v>
      </c>
      <c r="AX2668" s="21" t="str">
        <f t="shared" si="168"/>
        <v/>
      </c>
      <c r="AY2668" s="21" t="str">
        <f>IF(AND($AM2668&lt;&gt;"",$AS2668&lt;&gt;"✓"),SUMPRODUCT(($AM$11:$AM2668&lt;&gt;"")*($AS$11:$AS2668&lt;&gt;"✓")),"")</f>
        <v/>
      </c>
      <c r="AZ2668" s="21" t="str">
        <f>IF(AND($AM2668&lt;&gt;"",$AS2668="✓"),SUMPRODUCT(($AM$11:$AM2668&lt;&gt;"")*($AS$11:$AS2668="✓")),"")</f>
        <v/>
      </c>
      <c r="BA2668" s="21" t="str">
        <f>IF($AL2668="","",$AL2668&amp;"|"&amp;COUNTIF($AL$11:$AL2668,$AL2668))</f>
        <v/>
      </c>
    </row>
    <row r="2669" spans="38:53" ht="15" customHeight="1" x14ac:dyDescent="0.25">
      <c r="AL2669" s="17"/>
      <c r="AM2669" s="12"/>
      <c r="AN2669" s="18"/>
      <c r="AO2669" s="18"/>
      <c r="AP2669" s="10"/>
      <c r="AQ2669" s="10"/>
      <c r="AR2669" s="19"/>
      <c r="AS2669" s="20"/>
      <c r="AT2669" s="19"/>
      <c r="AV2669" s="21">
        <f>IF(AND($AL2669&lt;&gt;"",COUNTIF($AL$11:$AL2669,$AL2669)=1),1,0)</f>
        <v>0</v>
      </c>
      <c r="AW2669" s="21">
        <f t="shared" si="169"/>
        <v>0</v>
      </c>
      <c r="AX2669" s="21" t="str">
        <f t="shared" si="168"/>
        <v/>
      </c>
      <c r="AY2669" s="21" t="str">
        <f>IF(AND($AM2669&lt;&gt;"",$AS2669&lt;&gt;"✓"),SUMPRODUCT(($AM$11:$AM2669&lt;&gt;"")*($AS$11:$AS2669&lt;&gt;"✓")),"")</f>
        <v/>
      </c>
      <c r="AZ2669" s="21" t="str">
        <f>IF(AND($AM2669&lt;&gt;"",$AS2669="✓"),SUMPRODUCT(($AM$11:$AM2669&lt;&gt;"")*($AS$11:$AS2669="✓")),"")</f>
        <v/>
      </c>
      <c r="BA2669" s="21" t="str">
        <f>IF($AL2669="","",$AL2669&amp;"|"&amp;COUNTIF($AL$11:$AL2669,$AL2669))</f>
        <v/>
      </c>
    </row>
    <row r="2670" spans="38:53" ht="15" customHeight="1" x14ac:dyDescent="0.25">
      <c r="AL2670" s="31"/>
      <c r="AM2670" s="26"/>
      <c r="AN2670" s="32"/>
      <c r="AO2670" s="32"/>
      <c r="AP2670" s="24"/>
      <c r="AQ2670" s="24"/>
      <c r="AR2670" s="33"/>
      <c r="AS2670" s="34"/>
      <c r="AT2670" s="33"/>
      <c r="AV2670" s="21">
        <f>IF(AND($AL2670&lt;&gt;"",COUNTIF($AL$11:$AL2670,$AL2670)=1),1,0)</f>
        <v>0</v>
      </c>
      <c r="AW2670" s="21">
        <f t="shared" si="169"/>
        <v>0</v>
      </c>
      <c r="AX2670" s="21" t="str">
        <f t="shared" si="168"/>
        <v/>
      </c>
      <c r="AY2670" s="21" t="str">
        <f>IF(AND($AM2670&lt;&gt;"",$AS2670&lt;&gt;"✓"),SUMPRODUCT(($AM$11:$AM2670&lt;&gt;"")*($AS$11:$AS2670&lt;&gt;"✓")),"")</f>
        <v/>
      </c>
      <c r="AZ2670" s="21" t="str">
        <f>IF(AND($AM2670&lt;&gt;"",$AS2670="✓"),SUMPRODUCT(($AM$11:$AM2670&lt;&gt;"")*($AS$11:$AS2670="✓")),"")</f>
        <v/>
      </c>
      <c r="BA2670" s="21" t="str">
        <f>IF($AL2670="","",$AL2670&amp;"|"&amp;COUNTIF($AL$11:$AL2670,$AL2670))</f>
        <v/>
      </c>
    </row>
    <row r="2671" spans="38:53" ht="15" customHeight="1" x14ac:dyDescent="0.25">
      <c r="AL2671" s="17"/>
      <c r="AM2671" s="12"/>
      <c r="AN2671" s="18"/>
      <c r="AO2671" s="18"/>
      <c r="AP2671" s="10"/>
      <c r="AQ2671" s="10"/>
      <c r="AR2671" s="19"/>
      <c r="AS2671" s="20"/>
      <c r="AT2671" s="19"/>
      <c r="AV2671" s="21">
        <f>IF(AND($AL2671&lt;&gt;"",COUNTIF($AL$11:$AL2671,$AL2671)=1),1,0)</f>
        <v>0</v>
      </c>
      <c r="AW2671" s="21">
        <f t="shared" si="169"/>
        <v>0</v>
      </c>
      <c r="AX2671" s="21" t="str">
        <f t="shared" si="168"/>
        <v/>
      </c>
      <c r="AY2671" s="21" t="str">
        <f>IF(AND($AM2671&lt;&gt;"",$AS2671&lt;&gt;"✓"),SUMPRODUCT(($AM$11:$AM2671&lt;&gt;"")*($AS$11:$AS2671&lt;&gt;"✓")),"")</f>
        <v/>
      </c>
      <c r="AZ2671" s="21" t="str">
        <f>IF(AND($AM2671&lt;&gt;"",$AS2671="✓"),SUMPRODUCT(($AM$11:$AM2671&lt;&gt;"")*($AS$11:$AS2671="✓")),"")</f>
        <v/>
      </c>
      <c r="BA2671" s="21" t="str">
        <f>IF($AL2671="","",$AL2671&amp;"|"&amp;COUNTIF($AL$11:$AL2671,$AL2671))</f>
        <v/>
      </c>
    </row>
    <row r="2672" spans="38:53" ht="15" customHeight="1" x14ac:dyDescent="0.25">
      <c r="AL2672" s="31"/>
      <c r="AM2672" s="26"/>
      <c r="AN2672" s="32"/>
      <c r="AO2672" s="32"/>
      <c r="AP2672" s="24"/>
      <c r="AQ2672" s="24"/>
      <c r="AR2672" s="33"/>
      <c r="AS2672" s="34"/>
      <c r="AT2672" s="33"/>
      <c r="AV2672" s="21">
        <f>IF(AND($AL2672&lt;&gt;"",COUNTIF($AL$11:$AL2672,$AL2672)=1),1,0)</f>
        <v>0</v>
      </c>
      <c r="AW2672" s="21">
        <f t="shared" si="169"/>
        <v>0</v>
      </c>
      <c r="AX2672" s="21" t="str">
        <f t="shared" si="168"/>
        <v/>
      </c>
      <c r="AY2672" s="21" t="str">
        <f>IF(AND($AM2672&lt;&gt;"",$AS2672&lt;&gt;"✓"),SUMPRODUCT(($AM$11:$AM2672&lt;&gt;"")*($AS$11:$AS2672&lt;&gt;"✓")),"")</f>
        <v/>
      </c>
      <c r="AZ2672" s="21" t="str">
        <f>IF(AND($AM2672&lt;&gt;"",$AS2672="✓"),SUMPRODUCT(($AM$11:$AM2672&lt;&gt;"")*($AS$11:$AS2672="✓")),"")</f>
        <v/>
      </c>
      <c r="BA2672" s="21" t="str">
        <f>IF($AL2672="","",$AL2672&amp;"|"&amp;COUNTIF($AL$11:$AL2672,$AL2672))</f>
        <v/>
      </c>
    </row>
    <row r="2673" spans="38:53" ht="15" customHeight="1" x14ac:dyDescent="0.25">
      <c r="AL2673" s="17"/>
      <c r="AM2673" s="12"/>
      <c r="AN2673" s="18"/>
      <c r="AO2673" s="18"/>
      <c r="AP2673" s="10"/>
      <c r="AQ2673" s="10"/>
      <c r="AR2673" s="19"/>
      <c r="AS2673" s="20"/>
      <c r="AT2673" s="19"/>
      <c r="AV2673" s="21">
        <f>IF(AND($AL2673&lt;&gt;"",COUNTIF($AL$11:$AL2673,$AL2673)=1),1,0)</f>
        <v>0</v>
      </c>
      <c r="AW2673" s="21">
        <f t="shared" si="169"/>
        <v>0</v>
      </c>
      <c r="AX2673" s="21" t="str">
        <f t="shared" si="168"/>
        <v/>
      </c>
      <c r="AY2673" s="21" t="str">
        <f>IF(AND($AM2673&lt;&gt;"",$AS2673&lt;&gt;"✓"),SUMPRODUCT(($AM$11:$AM2673&lt;&gt;"")*($AS$11:$AS2673&lt;&gt;"✓")),"")</f>
        <v/>
      </c>
      <c r="AZ2673" s="21" t="str">
        <f>IF(AND($AM2673&lt;&gt;"",$AS2673="✓"),SUMPRODUCT(($AM$11:$AM2673&lt;&gt;"")*($AS$11:$AS2673="✓")),"")</f>
        <v/>
      </c>
      <c r="BA2673" s="21" t="str">
        <f>IF($AL2673="","",$AL2673&amp;"|"&amp;COUNTIF($AL$11:$AL2673,$AL2673))</f>
        <v/>
      </c>
    </row>
    <row r="2674" spans="38:53" ht="15" customHeight="1" x14ac:dyDescent="0.25">
      <c r="AL2674" s="31"/>
      <c r="AM2674" s="26"/>
      <c r="AN2674" s="32"/>
      <c r="AO2674" s="32"/>
      <c r="AP2674" s="24"/>
      <c r="AQ2674" s="24"/>
      <c r="AR2674" s="33"/>
      <c r="AS2674" s="34"/>
      <c r="AT2674" s="33"/>
      <c r="AV2674" s="21">
        <f>IF(AND($AL2674&lt;&gt;"",COUNTIF($AL$11:$AL2674,$AL2674)=1),1,0)</f>
        <v>0</v>
      </c>
      <c r="AW2674" s="21">
        <f t="shared" si="169"/>
        <v>0</v>
      </c>
      <c r="AX2674" s="21" t="str">
        <f t="shared" si="168"/>
        <v/>
      </c>
      <c r="AY2674" s="21" t="str">
        <f>IF(AND($AM2674&lt;&gt;"",$AS2674&lt;&gt;"✓"),SUMPRODUCT(($AM$11:$AM2674&lt;&gt;"")*($AS$11:$AS2674&lt;&gt;"✓")),"")</f>
        <v/>
      </c>
      <c r="AZ2674" s="21" t="str">
        <f>IF(AND($AM2674&lt;&gt;"",$AS2674="✓"),SUMPRODUCT(($AM$11:$AM2674&lt;&gt;"")*($AS$11:$AS2674="✓")),"")</f>
        <v/>
      </c>
      <c r="BA2674" s="21" t="str">
        <f>IF($AL2674="","",$AL2674&amp;"|"&amp;COUNTIF($AL$11:$AL2674,$AL2674))</f>
        <v/>
      </c>
    </row>
    <row r="2675" spans="38:53" ht="15" customHeight="1" x14ac:dyDescent="0.25">
      <c r="AL2675" s="17"/>
      <c r="AM2675" s="12"/>
      <c r="AN2675" s="18"/>
      <c r="AO2675" s="18"/>
      <c r="AP2675" s="10"/>
      <c r="AQ2675" s="10"/>
      <c r="AR2675" s="19"/>
      <c r="AS2675" s="20"/>
      <c r="AT2675" s="19"/>
      <c r="AV2675" s="21">
        <f>IF(AND($AL2675&lt;&gt;"",COUNTIF($AL$11:$AL2675,$AL2675)=1),1,0)</f>
        <v>0</v>
      </c>
      <c r="AW2675" s="21">
        <f t="shared" si="169"/>
        <v>0</v>
      </c>
      <c r="AX2675" s="21" t="str">
        <f t="shared" si="168"/>
        <v/>
      </c>
      <c r="AY2675" s="21" t="str">
        <f>IF(AND($AM2675&lt;&gt;"",$AS2675&lt;&gt;"✓"),SUMPRODUCT(($AM$11:$AM2675&lt;&gt;"")*($AS$11:$AS2675&lt;&gt;"✓")),"")</f>
        <v/>
      </c>
      <c r="AZ2675" s="21" t="str">
        <f>IF(AND($AM2675&lt;&gt;"",$AS2675="✓"),SUMPRODUCT(($AM$11:$AM2675&lt;&gt;"")*($AS$11:$AS2675="✓")),"")</f>
        <v/>
      </c>
      <c r="BA2675" s="21" t="str">
        <f>IF($AL2675="","",$AL2675&amp;"|"&amp;COUNTIF($AL$11:$AL2675,$AL2675))</f>
        <v/>
      </c>
    </row>
    <row r="2676" spans="38:53" ht="15" customHeight="1" x14ac:dyDescent="0.25">
      <c r="AL2676" s="31"/>
      <c r="AM2676" s="26"/>
      <c r="AN2676" s="32"/>
      <c r="AO2676" s="32"/>
      <c r="AP2676" s="24"/>
      <c r="AQ2676" s="24"/>
      <c r="AR2676" s="33"/>
      <c r="AS2676" s="34"/>
      <c r="AT2676" s="33"/>
      <c r="AV2676" s="21">
        <f>IF(AND($AL2676&lt;&gt;"",COUNTIF($AL$11:$AL2676,$AL2676)=1),1,0)</f>
        <v>0</v>
      </c>
      <c r="AW2676" s="21">
        <f t="shared" si="169"/>
        <v>0</v>
      </c>
      <c r="AX2676" s="21" t="str">
        <f t="shared" si="168"/>
        <v/>
      </c>
      <c r="AY2676" s="21" t="str">
        <f>IF(AND($AM2676&lt;&gt;"",$AS2676&lt;&gt;"✓"),SUMPRODUCT(($AM$11:$AM2676&lt;&gt;"")*($AS$11:$AS2676&lt;&gt;"✓")),"")</f>
        <v/>
      </c>
      <c r="AZ2676" s="21" t="str">
        <f>IF(AND($AM2676&lt;&gt;"",$AS2676="✓"),SUMPRODUCT(($AM$11:$AM2676&lt;&gt;"")*($AS$11:$AS2676="✓")),"")</f>
        <v/>
      </c>
      <c r="BA2676" s="21" t="str">
        <f>IF($AL2676="","",$AL2676&amp;"|"&amp;COUNTIF($AL$11:$AL2676,$AL2676))</f>
        <v/>
      </c>
    </row>
    <row r="2677" spans="38:53" ht="15" customHeight="1" x14ac:dyDescent="0.25">
      <c r="AL2677" s="17"/>
      <c r="AM2677" s="12"/>
      <c r="AN2677" s="18"/>
      <c r="AO2677" s="18"/>
      <c r="AP2677" s="10"/>
      <c r="AQ2677" s="10"/>
      <c r="AR2677" s="19"/>
      <c r="AS2677" s="20"/>
      <c r="AT2677" s="19"/>
      <c r="AV2677" s="21">
        <f>IF(AND($AL2677&lt;&gt;"",COUNTIF($AL$11:$AL2677,$AL2677)=1),1,0)</f>
        <v>0</v>
      </c>
      <c r="AW2677" s="21">
        <f t="shared" si="169"/>
        <v>0</v>
      </c>
      <c r="AX2677" s="21" t="str">
        <f t="shared" si="168"/>
        <v/>
      </c>
      <c r="AY2677" s="21" t="str">
        <f>IF(AND($AM2677&lt;&gt;"",$AS2677&lt;&gt;"✓"),SUMPRODUCT(($AM$11:$AM2677&lt;&gt;"")*($AS$11:$AS2677&lt;&gt;"✓")),"")</f>
        <v/>
      </c>
      <c r="AZ2677" s="21" t="str">
        <f>IF(AND($AM2677&lt;&gt;"",$AS2677="✓"),SUMPRODUCT(($AM$11:$AM2677&lt;&gt;"")*($AS$11:$AS2677="✓")),"")</f>
        <v/>
      </c>
      <c r="BA2677" s="21" t="str">
        <f>IF($AL2677="","",$AL2677&amp;"|"&amp;COUNTIF($AL$11:$AL2677,$AL2677))</f>
        <v/>
      </c>
    </row>
    <row r="2678" spans="38:53" ht="15" customHeight="1" x14ac:dyDescent="0.25">
      <c r="AL2678" s="31"/>
      <c r="AM2678" s="26"/>
      <c r="AN2678" s="32"/>
      <c r="AO2678" s="32"/>
      <c r="AP2678" s="24"/>
      <c r="AQ2678" s="24"/>
      <c r="AR2678" s="33"/>
      <c r="AS2678" s="34"/>
      <c r="AT2678" s="33"/>
      <c r="AV2678" s="21">
        <f>IF(AND($AL2678&lt;&gt;"",COUNTIF($AL$11:$AL2678,$AL2678)=1),1,0)</f>
        <v>0</v>
      </c>
      <c r="AW2678" s="21">
        <f t="shared" si="169"/>
        <v>0</v>
      </c>
      <c r="AX2678" s="21" t="str">
        <f t="shared" si="168"/>
        <v/>
      </c>
      <c r="AY2678" s="21" t="str">
        <f>IF(AND($AM2678&lt;&gt;"",$AS2678&lt;&gt;"✓"),SUMPRODUCT(($AM$11:$AM2678&lt;&gt;"")*($AS$11:$AS2678&lt;&gt;"✓")),"")</f>
        <v/>
      </c>
      <c r="AZ2678" s="21" t="str">
        <f>IF(AND($AM2678&lt;&gt;"",$AS2678="✓"),SUMPRODUCT(($AM$11:$AM2678&lt;&gt;"")*($AS$11:$AS2678="✓")),"")</f>
        <v/>
      </c>
      <c r="BA2678" s="21" t="str">
        <f>IF($AL2678="","",$AL2678&amp;"|"&amp;COUNTIF($AL$11:$AL2678,$AL2678))</f>
        <v/>
      </c>
    </row>
    <row r="2679" spans="38:53" ht="15" customHeight="1" x14ac:dyDescent="0.25">
      <c r="AL2679" s="17"/>
      <c r="AM2679" s="12"/>
      <c r="AN2679" s="18"/>
      <c r="AO2679" s="18"/>
      <c r="AP2679" s="10"/>
      <c r="AQ2679" s="10"/>
      <c r="AR2679" s="19"/>
      <c r="AS2679" s="20"/>
      <c r="AT2679" s="19"/>
      <c r="AV2679" s="21">
        <f>IF(AND($AL2679&lt;&gt;"",COUNTIF($AL$11:$AL2679,$AL2679)=1),1,0)</f>
        <v>0</v>
      </c>
      <c r="AW2679" s="21">
        <f t="shared" si="169"/>
        <v>0</v>
      </c>
      <c r="AX2679" s="21" t="str">
        <f t="shared" si="168"/>
        <v/>
      </c>
      <c r="AY2679" s="21" t="str">
        <f>IF(AND($AM2679&lt;&gt;"",$AS2679&lt;&gt;"✓"),SUMPRODUCT(($AM$11:$AM2679&lt;&gt;"")*($AS$11:$AS2679&lt;&gt;"✓")),"")</f>
        <v/>
      </c>
      <c r="AZ2679" s="21" t="str">
        <f>IF(AND($AM2679&lt;&gt;"",$AS2679="✓"),SUMPRODUCT(($AM$11:$AM2679&lt;&gt;"")*($AS$11:$AS2679="✓")),"")</f>
        <v/>
      </c>
      <c r="BA2679" s="21" t="str">
        <f>IF($AL2679="","",$AL2679&amp;"|"&amp;COUNTIF($AL$11:$AL2679,$AL2679))</f>
        <v/>
      </c>
    </row>
    <row r="2680" spans="38:53" ht="15" customHeight="1" x14ac:dyDescent="0.25">
      <c r="AL2680" s="31"/>
      <c r="AM2680" s="26"/>
      <c r="AN2680" s="32"/>
      <c r="AO2680" s="32"/>
      <c r="AP2680" s="24"/>
      <c r="AQ2680" s="24"/>
      <c r="AR2680" s="33"/>
      <c r="AS2680" s="34"/>
      <c r="AT2680" s="33"/>
      <c r="AV2680" s="21">
        <f>IF(AND($AL2680&lt;&gt;"",COUNTIF($AL$11:$AL2680,$AL2680)=1),1,0)</f>
        <v>0</v>
      </c>
      <c r="AW2680" s="21">
        <f t="shared" si="169"/>
        <v>0</v>
      </c>
      <c r="AX2680" s="21" t="str">
        <f t="shared" si="168"/>
        <v/>
      </c>
      <c r="AY2680" s="21" t="str">
        <f>IF(AND($AM2680&lt;&gt;"",$AS2680&lt;&gt;"✓"),SUMPRODUCT(($AM$11:$AM2680&lt;&gt;"")*($AS$11:$AS2680&lt;&gt;"✓")),"")</f>
        <v/>
      </c>
      <c r="AZ2680" s="21" t="str">
        <f>IF(AND($AM2680&lt;&gt;"",$AS2680="✓"),SUMPRODUCT(($AM$11:$AM2680&lt;&gt;"")*($AS$11:$AS2680="✓")),"")</f>
        <v/>
      </c>
      <c r="BA2680" s="21" t="str">
        <f>IF($AL2680="","",$AL2680&amp;"|"&amp;COUNTIF($AL$11:$AL2680,$AL2680))</f>
        <v/>
      </c>
    </row>
    <row r="2681" spans="38:53" ht="15" customHeight="1" x14ac:dyDescent="0.25">
      <c r="AL2681" s="17"/>
      <c r="AM2681" s="12"/>
      <c r="AN2681" s="18"/>
      <c r="AO2681" s="18"/>
      <c r="AP2681" s="10"/>
      <c r="AQ2681" s="10"/>
      <c r="AR2681" s="19"/>
      <c r="AS2681" s="20"/>
      <c r="AT2681" s="19"/>
      <c r="AV2681" s="21">
        <f>IF(AND($AL2681&lt;&gt;"",COUNTIF($AL$11:$AL2681,$AL2681)=1),1,0)</f>
        <v>0</v>
      </c>
      <c r="AW2681" s="21">
        <f t="shared" si="169"/>
        <v>0</v>
      </c>
      <c r="AX2681" s="21" t="str">
        <f t="shared" si="168"/>
        <v/>
      </c>
      <c r="AY2681" s="21" t="str">
        <f>IF(AND($AM2681&lt;&gt;"",$AS2681&lt;&gt;"✓"),SUMPRODUCT(($AM$11:$AM2681&lt;&gt;"")*($AS$11:$AS2681&lt;&gt;"✓")),"")</f>
        <v/>
      </c>
      <c r="AZ2681" s="21" t="str">
        <f>IF(AND($AM2681&lt;&gt;"",$AS2681="✓"),SUMPRODUCT(($AM$11:$AM2681&lt;&gt;"")*($AS$11:$AS2681="✓")),"")</f>
        <v/>
      </c>
      <c r="BA2681" s="21" t="str">
        <f>IF($AL2681="","",$AL2681&amp;"|"&amp;COUNTIF($AL$11:$AL2681,$AL2681))</f>
        <v/>
      </c>
    </row>
    <row r="2682" spans="38:53" ht="15" customHeight="1" x14ac:dyDescent="0.25">
      <c r="AL2682" s="31"/>
      <c r="AM2682" s="26"/>
      <c r="AN2682" s="32"/>
      <c r="AO2682" s="32"/>
      <c r="AP2682" s="24"/>
      <c r="AQ2682" s="24"/>
      <c r="AR2682" s="33"/>
      <c r="AS2682" s="34"/>
      <c r="AT2682" s="33"/>
      <c r="AV2682" s="21">
        <f>IF(AND($AL2682&lt;&gt;"",COUNTIF($AL$11:$AL2682,$AL2682)=1),1,0)</f>
        <v>0</v>
      </c>
      <c r="AW2682" s="21">
        <f t="shared" si="169"/>
        <v>0</v>
      </c>
      <c r="AX2682" s="21" t="str">
        <f t="shared" si="168"/>
        <v/>
      </c>
      <c r="AY2682" s="21" t="str">
        <f>IF(AND($AM2682&lt;&gt;"",$AS2682&lt;&gt;"✓"),SUMPRODUCT(($AM$11:$AM2682&lt;&gt;"")*($AS$11:$AS2682&lt;&gt;"✓")),"")</f>
        <v/>
      </c>
      <c r="AZ2682" s="21" t="str">
        <f>IF(AND($AM2682&lt;&gt;"",$AS2682="✓"),SUMPRODUCT(($AM$11:$AM2682&lt;&gt;"")*($AS$11:$AS2682="✓")),"")</f>
        <v/>
      </c>
      <c r="BA2682" s="21" t="str">
        <f>IF($AL2682="","",$AL2682&amp;"|"&amp;COUNTIF($AL$11:$AL2682,$AL2682))</f>
        <v/>
      </c>
    </row>
    <row r="2683" spans="38:53" ht="15" customHeight="1" x14ac:dyDescent="0.25">
      <c r="AL2683" s="17"/>
      <c r="AM2683" s="12"/>
      <c r="AN2683" s="18"/>
      <c r="AO2683" s="18"/>
      <c r="AP2683" s="10"/>
      <c r="AQ2683" s="10"/>
      <c r="AR2683" s="19"/>
      <c r="AS2683" s="20"/>
      <c r="AT2683" s="19"/>
      <c r="AV2683" s="21">
        <f>IF(AND($AL2683&lt;&gt;"",COUNTIF($AL$11:$AL2683,$AL2683)=1),1,0)</f>
        <v>0</v>
      </c>
      <c r="AW2683" s="21">
        <f t="shared" si="169"/>
        <v>0</v>
      </c>
      <c r="AX2683" s="21" t="str">
        <f t="shared" si="168"/>
        <v/>
      </c>
      <c r="AY2683" s="21" t="str">
        <f>IF(AND($AM2683&lt;&gt;"",$AS2683&lt;&gt;"✓"),SUMPRODUCT(($AM$11:$AM2683&lt;&gt;"")*($AS$11:$AS2683&lt;&gt;"✓")),"")</f>
        <v/>
      </c>
      <c r="AZ2683" s="21" t="str">
        <f>IF(AND($AM2683&lt;&gt;"",$AS2683="✓"),SUMPRODUCT(($AM$11:$AM2683&lt;&gt;"")*($AS$11:$AS2683="✓")),"")</f>
        <v/>
      </c>
      <c r="BA2683" s="21" t="str">
        <f>IF($AL2683="","",$AL2683&amp;"|"&amp;COUNTIF($AL$11:$AL2683,$AL2683))</f>
        <v/>
      </c>
    </row>
    <row r="2684" spans="38:53" ht="15" customHeight="1" x14ac:dyDescent="0.25">
      <c r="AL2684" s="31"/>
      <c r="AM2684" s="26"/>
      <c r="AN2684" s="32"/>
      <c r="AO2684" s="32"/>
      <c r="AP2684" s="24"/>
      <c r="AQ2684" s="24"/>
      <c r="AR2684" s="33"/>
      <c r="AS2684" s="34"/>
      <c r="AT2684" s="33"/>
      <c r="AV2684" s="21">
        <f>IF(AND($AL2684&lt;&gt;"",COUNTIF($AL$11:$AL2684,$AL2684)=1),1,0)</f>
        <v>0</v>
      </c>
      <c r="AW2684" s="21">
        <f t="shared" si="169"/>
        <v>0</v>
      </c>
      <c r="AX2684" s="21" t="str">
        <f t="shared" si="168"/>
        <v/>
      </c>
      <c r="AY2684" s="21" t="str">
        <f>IF(AND($AM2684&lt;&gt;"",$AS2684&lt;&gt;"✓"),SUMPRODUCT(($AM$11:$AM2684&lt;&gt;"")*($AS$11:$AS2684&lt;&gt;"✓")),"")</f>
        <v/>
      </c>
      <c r="AZ2684" s="21" t="str">
        <f>IF(AND($AM2684&lt;&gt;"",$AS2684="✓"),SUMPRODUCT(($AM$11:$AM2684&lt;&gt;"")*($AS$11:$AS2684="✓")),"")</f>
        <v/>
      </c>
      <c r="BA2684" s="21" t="str">
        <f>IF($AL2684="","",$AL2684&amp;"|"&amp;COUNTIF($AL$11:$AL2684,$AL2684))</f>
        <v/>
      </c>
    </row>
    <row r="2685" spans="38:53" ht="15" customHeight="1" x14ac:dyDescent="0.25">
      <c r="AL2685" s="17"/>
      <c r="AM2685" s="12"/>
      <c r="AN2685" s="18"/>
      <c r="AO2685" s="18"/>
      <c r="AP2685" s="10"/>
      <c r="AQ2685" s="10"/>
      <c r="AR2685" s="19"/>
      <c r="AS2685" s="20"/>
      <c r="AT2685" s="19"/>
      <c r="AV2685" s="21">
        <f>IF(AND($AL2685&lt;&gt;"",COUNTIF($AL$11:$AL2685,$AL2685)=1),1,0)</f>
        <v>0</v>
      </c>
      <c r="AW2685" s="21">
        <f t="shared" si="169"/>
        <v>0</v>
      </c>
      <c r="AX2685" s="21" t="str">
        <f t="shared" si="168"/>
        <v/>
      </c>
      <c r="AY2685" s="21" t="str">
        <f>IF(AND($AM2685&lt;&gt;"",$AS2685&lt;&gt;"✓"),SUMPRODUCT(($AM$11:$AM2685&lt;&gt;"")*($AS$11:$AS2685&lt;&gt;"✓")),"")</f>
        <v/>
      </c>
      <c r="AZ2685" s="21" t="str">
        <f>IF(AND($AM2685&lt;&gt;"",$AS2685="✓"),SUMPRODUCT(($AM$11:$AM2685&lt;&gt;"")*($AS$11:$AS2685="✓")),"")</f>
        <v/>
      </c>
      <c r="BA2685" s="21" t="str">
        <f>IF($AL2685="","",$AL2685&amp;"|"&amp;COUNTIF($AL$11:$AL2685,$AL2685))</f>
        <v/>
      </c>
    </row>
    <row r="2686" spans="38:53" ht="15" customHeight="1" x14ac:dyDescent="0.25">
      <c r="AL2686" s="31"/>
      <c r="AM2686" s="26"/>
      <c r="AN2686" s="32"/>
      <c r="AO2686" s="32"/>
      <c r="AP2686" s="24"/>
      <c r="AQ2686" s="24"/>
      <c r="AR2686" s="33"/>
      <c r="AS2686" s="34"/>
      <c r="AT2686" s="33"/>
      <c r="AV2686" s="21">
        <f>IF(AND($AL2686&lt;&gt;"",COUNTIF($AL$11:$AL2686,$AL2686)=1),1,0)</f>
        <v>0</v>
      </c>
      <c r="AW2686" s="21">
        <f t="shared" si="169"/>
        <v>0</v>
      </c>
      <c r="AX2686" s="21" t="str">
        <f t="shared" si="168"/>
        <v/>
      </c>
      <c r="AY2686" s="21" t="str">
        <f>IF(AND($AM2686&lt;&gt;"",$AS2686&lt;&gt;"✓"),SUMPRODUCT(($AM$11:$AM2686&lt;&gt;"")*($AS$11:$AS2686&lt;&gt;"✓")),"")</f>
        <v/>
      </c>
      <c r="AZ2686" s="21" t="str">
        <f>IF(AND($AM2686&lt;&gt;"",$AS2686="✓"),SUMPRODUCT(($AM$11:$AM2686&lt;&gt;"")*($AS$11:$AS2686="✓")),"")</f>
        <v/>
      </c>
      <c r="BA2686" s="21" t="str">
        <f>IF($AL2686="","",$AL2686&amp;"|"&amp;COUNTIF($AL$11:$AL2686,$AL2686))</f>
        <v/>
      </c>
    </row>
    <row r="2687" spans="38:53" ht="15" customHeight="1" x14ac:dyDescent="0.25">
      <c r="AL2687" s="17"/>
      <c r="AM2687" s="12"/>
      <c r="AN2687" s="18"/>
      <c r="AO2687" s="18"/>
      <c r="AP2687" s="10"/>
      <c r="AQ2687" s="10"/>
      <c r="AR2687" s="19"/>
      <c r="AS2687" s="20"/>
      <c r="AT2687" s="19"/>
      <c r="AV2687" s="21">
        <f>IF(AND($AL2687&lt;&gt;"",COUNTIF($AL$11:$AL2687,$AL2687)=1),1,0)</f>
        <v>0</v>
      </c>
      <c r="AW2687" s="21">
        <f t="shared" si="169"/>
        <v>0</v>
      </c>
      <c r="AX2687" s="21" t="str">
        <f t="shared" si="168"/>
        <v/>
      </c>
      <c r="AY2687" s="21" t="str">
        <f>IF(AND($AM2687&lt;&gt;"",$AS2687&lt;&gt;"✓"),SUMPRODUCT(($AM$11:$AM2687&lt;&gt;"")*($AS$11:$AS2687&lt;&gt;"✓")),"")</f>
        <v/>
      </c>
      <c r="AZ2687" s="21" t="str">
        <f>IF(AND($AM2687&lt;&gt;"",$AS2687="✓"),SUMPRODUCT(($AM$11:$AM2687&lt;&gt;"")*($AS$11:$AS2687="✓")),"")</f>
        <v/>
      </c>
      <c r="BA2687" s="21" t="str">
        <f>IF($AL2687="","",$AL2687&amp;"|"&amp;COUNTIF($AL$11:$AL2687,$AL2687))</f>
        <v/>
      </c>
    </row>
    <row r="2688" spans="38:53" ht="15" customHeight="1" x14ac:dyDescent="0.25">
      <c r="AL2688" s="31"/>
      <c r="AM2688" s="26"/>
      <c r="AN2688" s="32"/>
      <c r="AO2688" s="32"/>
      <c r="AP2688" s="24"/>
      <c r="AQ2688" s="24"/>
      <c r="AR2688" s="33"/>
      <c r="AS2688" s="34"/>
      <c r="AT2688" s="33"/>
      <c r="AV2688" s="21">
        <f>IF(AND($AL2688&lt;&gt;"",COUNTIF($AL$11:$AL2688,$AL2688)=1),1,0)</f>
        <v>0</v>
      </c>
      <c r="AW2688" s="21">
        <f t="shared" si="169"/>
        <v>0</v>
      </c>
      <c r="AX2688" s="21" t="str">
        <f t="shared" si="168"/>
        <v/>
      </c>
      <c r="AY2688" s="21" t="str">
        <f>IF(AND($AM2688&lt;&gt;"",$AS2688&lt;&gt;"✓"),SUMPRODUCT(($AM$11:$AM2688&lt;&gt;"")*($AS$11:$AS2688&lt;&gt;"✓")),"")</f>
        <v/>
      </c>
      <c r="AZ2688" s="21" t="str">
        <f>IF(AND($AM2688&lt;&gt;"",$AS2688="✓"),SUMPRODUCT(($AM$11:$AM2688&lt;&gt;"")*($AS$11:$AS2688="✓")),"")</f>
        <v/>
      </c>
      <c r="BA2688" s="21" t="str">
        <f>IF($AL2688="","",$AL2688&amp;"|"&amp;COUNTIF($AL$11:$AL2688,$AL2688))</f>
        <v/>
      </c>
    </row>
    <row r="2689" spans="38:53" ht="15" customHeight="1" x14ac:dyDescent="0.25">
      <c r="AL2689" s="17"/>
      <c r="AM2689" s="12"/>
      <c r="AN2689" s="18"/>
      <c r="AO2689" s="18"/>
      <c r="AP2689" s="10"/>
      <c r="AQ2689" s="10"/>
      <c r="AR2689" s="19"/>
      <c r="AS2689" s="20"/>
      <c r="AT2689" s="19"/>
      <c r="AV2689" s="21">
        <f>IF(AND($AL2689&lt;&gt;"",COUNTIF($AL$11:$AL2689,$AL2689)=1),1,0)</f>
        <v>0</v>
      </c>
      <c r="AW2689" s="21">
        <f t="shared" si="169"/>
        <v>0</v>
      </c>
      <c r="AX2689" s="21" t="str">
        <f t="shared" si="168"/>
        <v/>
      </c>
      <c r="AY2689" s="21" t="str">
        <f>IF(AND($AM2689&lt;&gt;"",$AS2689&lt;&gt;"✓"),SUMPRODUCT(($AM$11:$AM2689&lt;&gt;"")*($AS$11:$AS2689&lt;&gt;"✓")),"")</f>
        <v/>
      </c>
      <c r="AZ2689" s="21" t="str">
        <f>IF(AND($AM2689&lt;&gt;"",$AS2689="✓"),SUMPRODUCT(($AM$11:$AM2689&lt;&gt;"")*($AS$11:$AS2689="✓")),"")</f>
        <v/>
      </c>
      <c r="BA2689" s="21" t="str">
        <f>IF($AL2689="","",$AL2689&amp;"|"&amp;COUNTIF($AL$11:$AL2689,$AL2689))</f>
        <v/>
      </c>
    </row>
    <row r="2690" spans="38:53" ht="15" customHeight="1" x14ac:dyDescent="0.25">
      <c r="AL2690" s="31"/>
      <c r="AM2690" s="26"/>
      <c r="AN2690" s="32"/>
      <c r="AO2690" s="32"/>
      <c r="AP2690" s="24"/>
      <c r="AQ2690" s="24"/>
      <c r="AR2690" s="33"/>
      <c r="AS2690" s="34"/>
      <c r="AT2690" s="33"/>
      <c r="AV2690" s="21">
        <f>IF(AND($AL2690&lt;&gt;"",COUNTIF($AL$11:$AL2690,$AL2690)=1),1,0)</f>
        <v>0</v>
      </c>
      <c r="AW2690" s="21">
        <f t="shared" si="169"/>
        <v>0</v>
      </c>
      <c r="AX2690" s="21" t="str">
        <f t="shared" si="168"/>
        <v/>
      </c>
      <c r="AY2690" s="21" t="str">
        <f>IF(AND($AM2690&lt;&gt;"",$AS2690&lt;&gt;"✓"),SUMPRODUCT(($AM$11:$AM2690&lt;&gt;"")*($AS$11:$AS2690&lt;&gt;"✓")),"")</f>
        <v/>
      </c>
      <c r="AZ2690" s="21" t="str">
        <f>IF(AND($AM2690&lt;&gt;"",$AS2690="✓"),SUMPRODUCT(($AM$11:$AM2690&lt;&gt;"")*($AS$11:$AS2690="✓")),"")</f>
        <v/>
      </c>
      <c r="BA2690" s="21" t="str">
        <f>IF($AL2690="","",$AL2690&amp;"|"&amp;COUNTIF($AL$11:$AL2690,$AL2690))</f>
        <v/>
      </c>
    </row>
    <row r="2691" spans="38:53" ht="15" customHeight="1" x14ac:dyDescent="0.25">
      <c r="AL2691" s="17"/>
      <c r="AM2691" s="12"/>
      <c r="AN2691" s="18"/>
      <c r="AO2691" s="18"/>
      <c r="AP2691" s="10"/>
      <c r="AQ2691" s="10"/>
      <c r="AR2691" s="19"/>
      <c r="AS2691" s="20"/>
      <c r="AT2691" s="19"/>
      <c r="AV2691" s="21">
        <f>IF(AND($AL2691&lt;&gt;"",COUNTIF($AL$11:$AL2691,$AL2691)=1),1,0)</f>
        <v>0</v>
      </c>
      <c r="AW2691" s="21">
        <f t="shared" si="169"/>
        <v>0</v>
      </c>
      <c r="AX2691" s="21" t="str">
        <f t="shared" si="168"/>
        <v/>
      </c>
      <c r="AY2691" s="21" t="str">
        <f>IF(AND($AM2691&lt;&gt;"",$AS2691&lt;&gt;"✓"),SUMPRODUCT(($AM$11:$AM2691&lt;&gt;"")*($AS$11:$AS2691&lt;&gt;"✓")),"")</f>
        <v/>
      </c>
      <c r="AZ2691" s="21" t="str">
        <f>IF(AND($AM2691&lt;&gt;"",$AS2691="✓"),SUMPRODUCT(($AM$11:$AM2691&lt;&gt;"")*($AS$11:$AS2691="✓")),"")</f>
        <v/>
      </c>
      <c r="BA2691" s="21" t="str">
        <f>IF($AL2691="","",$AL2691&amp;"|"&amp;COUNTIF($AL$11:$AL2691,$AL2691))</f>
        <v/>
      </c>
    </row>
    <row r="2692" spans="38:53" ht="15" customHeight="1" x14ac:dyDescent="0.25">
      <c r="AL2692" s="31"/>
      <c r="AM2692" s="26"/>
      <c r="AN2692" s="32"/>
      <c r="AO2692" s="32"/>
      <c r="AP2692" s="24"/>
      <c r="AQ2692" s="24"/>
      <c r="AR2692" s="33"/>
      <c r="AS2692" s="34"/>
      <c r="AT2692" s="33"/>
      <c r="AV2692" s="21">
        <f>IF(AND($AL2692&lt;&gt;"",COUNTIF($AL$11:$AL2692,$AL2692)=1),1,0)</f>
        <v>0</v>
      </c>
      <c r="AW2692" s="21">
        <f t="shared" si="169"/>
        <v>0</v>
      </c>
      <c r="AX2692" s="21" t="str">
        <f t="shared" si="168"/>
        <v/>
      </c>
      <c r="AY2692" s="21" t="str">
        <f>IF(AND($AM2692&lt;&gt;"",$AS2692&lt;&gt;"✓"),SUMPRODUCT(($AM$11:$AM2692&lt;&gt;"")*($AS$11:$AS2692&lt;&gt;"✓")),"")</f>
        <v/>
      </c>
      <c r="AZ2692" s="21" t="str">
        <f>IF(AND($AM2692&lt;&gt;"",$AS2692="✓"),SUMPRODUCT(($AM$11:$AM2692&lt;&gt;"")*($AS$11:$AS2692="✓")),"")</f>
        <v/>
      </c>
      <c r="BA2692" s="21" t="str">
        <f>IF($AL2692="","",$AL2692&amp;"|"&amp;COUNTIF($AL$11:$AL2692,$AL2692))</f>
        <v/>
      </c>
    </row>
    <row r="2693" spans="38:53" ht="15" customHeight="1" x14ac:dyDescent="0.25">
      <c r="AL2693" s="17"/>
      <c r="AM2693" s="12"/>
      <c r="AN2693" s="18"/>
      <c r="AO2693" s="18"/>
      <c r="AP2693" s="10"/>
      <c r="AQ2693" s="10"/>
      <c r="AR2693" s="19"/>
      <c r="AS2693" s="20"/>
      <c r="AT2693" s="19"/>
      <c r="AV2693" s="21">
        <f>IF(AND($AL2693&lt;&gt;"",COUNTIF($AL$11:$AL2693,$AL2693)=1),1,0)</f>
        <v>0</v>
      </c>
      <c r="AW2693" s="21">
        <f t="shared" si="169"/>
        <v>0</v>
      </c>
      <c r="AX2693" s="21" t="str">
        <f t="shared" si="168"/>
        <v/>
      </c>
      <c r="AY2693" s="21" t="str">
        <f>IF(AND($AM2693&lt;&gt;"",$AS2693&lt;&gt;"✓"),SUMPRODUCT(($AM$11:$AM2693&lt;&gt;"")*($AS$11:$AS2693&lt;&gt;"✓")),"")</f>
        <v/>
      </c>
      <c r="AZ2693" s="21" t="str">
        <f>IF(AND($AM2693&lt;&gt;"",$AS2693="✓"),SUMPRODUCT(($AM$11:$AM2693&lt;&gt;"")*($AS$11:$AS2693="✓")),"")</f>
        <v/>
      </c>
      <c r="BA2693" s="21" t="str">
        <f>IF($AL2693="","",$AL2693&amp;"|"&amp;COUNTIF($AL$11:$AL2693,$AL2693))</f>
        <v/>
      </c>
    </row>
    <row r="2694" spans="38:53" ht="15" customHeight="1" x14ac:dyDescent="0.25">
      <c r="AL2694" s="31"/>
      <c r="AM2694" s="26"/>
      <c r="AN2694" s="32"/>
      <c r="AO2694" s="32"/>
      <c r="AP2694" s="24"/>
      <c r="AQ2694" s="24"/>
      <c r="AR2694" s="33"/>
      <c r="AS2694" s="34"/>
      <c r="AT2694" s="33"/>
      <c r="AV2694" s="21">
        <f>IF(AND($AL2694&lt;&gt;"",COUNTIF($AL$11:$AL2694,$AL2694)=1),1,0)</f>
        <v>0</v>
      </c>
      <c r="AW2694" s="21">
        <f t="shared" si="169"/>
        <v>0</v>
      </c>
      <c r="AX2694" s="21" t="str">
        <f t="shared" si="168"/>
        <v/>
      </c>
      <c r="AY2694" s="21" t="str">
        <f>IF(AND($AM2694&lt;&gt;"",$AS2694&lt;&gt;"✓"),SUMPRODUCT(($AM$11:$AM2694&lt;&gt;"")*($AS$11:$AS2694&lt;&gt;"✓")),"")</f>
        <v/>
      </c>
      <c r="AZ2694" s="21" t="str">
        <f>IF(AND($AM2694&lt;&gt;"",$AS2694="✓"),SUMPRODUCT(($AM$11:$AM2694&lt;&gt;"")*($AS$11:$AS2694="✓")),"")</f>
        <v/>
      </c>
      <c r="BA2694" s="21" t="str">
        <f>IF($AL2694="","",$AL2694&amp;"|"&amp;COUNTIF($AL$11:$AL2694,$AL2694))</f>
        <v/>
      </c>
    </row>
    <row r="2695" spans="38:53" ht="15" customHeight="1" x14ac:dyDescent="0.25">
      <c r="AL2695" s="17"/>
      <c r="AM2695" s="12"/>
      <c r="AN2695" s="18"/>
      <c r="AO2695" s="18"/>
      <c r="AP2695" s="10"/>
      <c r="AQ2695" s="10"/>
      <c r="AR2695" s="19"/>
      <c r="AS2695" s="20"/>
      <c r="AT2695" s="19"/>
      <c r="AV2695" s="21">
        <f>IF(AND($AL2695&lt;&gt;"",COUNTIF($AL$11:$AL2695,$AL2695)=1),1,0)</f>
        <v>0</v>
      </c>
      <c r="AW2695" s="21">
        <f t="shared" si="169"/>
        <v>0</v>
      </c>
      <c r="AX2695" s="21" t="str">
        <f t="shared" si="168"/>
        <v/>
      </c>
      <c r="AY2695" s="21" t="str">
        <f>IF(AND($AM2695&lt;&gt;"",$AS2695&lt;&gt;"✓"),SUMPRODUCT(($AM$11:$AM2695&lt;&gt;"")*($AS$11:$AS2695&lt;&gt;"✓")),"")</f>
        <v/>
      </c>
      <c r="AZ2695" s="21" t="str">
        <f>IF(AND($AM2695&lt;&gt;"",$AS2695="✓"),SUMPRODUCT(($AM$11:$AM2695&lt;&gt;"")*($AS$11:$AS2695="✓")),"")</f>
        <v/>
      </c>
      <c r="BA2695" s="21" t="str">
        <f>IF($AL2695="","",$AL2695&amp;"|"&amp;COUNTIF($AL$11:$AL2695,$AL2695))</f>
        <v/>
      </c>
    </row>
    <row r="2696" spans="38:53" ht="15" customHeight="1" x14ac:dyDescent="0.25">
      <c r="AL2696" s="31"/>
      <c r="AM2696" s="26"/>
      <c r="AN2696" s="32"/>
      <c r="AO2696" s="32"/>
      <c r="AP2696" s="24"/>
      <c r="AQ2696" s="24"/>
      <c r="AR2696" s="33"/>
      <c r="AS2696" s="34"/>
      <c r="AT2696" s="33"/>
      <c r="AV2696" s="21">
        <f>IF(AND($AL2696&lt;&gt;"",COUNTIF($AL$11:$AL2696,$AL2696)=1),1,0)</f>
        <v>0</v>
      </c>
      <c r="AW2696" s="21">
        <f t="shared" si="169"/>
        <v>0</v>
      </c>
      <c r="AX2696" s="21" t="str">
        <f t="shared" si="168"/>
        <v/>
      </c>
      <c r="AY2696" s="21" t="str">
        <f>IF(AND($AM2696&lt;&gt;"",$AS2696&lt;&gt;"✓"),SUMPRODUCT(($AM$11:$AM2696&lt;&gt;"")*($AS$11:$AS2696&lt;&gt;"✓")),"")</f>
        <v/>
      </c>
      <c r="AZ2696" s="21" t="str">
        <f>IF(AND($AM2696&lt;&gt;"",$AS2696="✓"),SUMPRODUCT(($AM$11:$AM2696&lt;&gt;"")*($AS$11:$AS2696="✓")),"")</f>
        <v/>
      </c>
      <c r="BA2696" s="21" t="str">
        <f>IF($AL2696="","",$AL2696&amp;"|"&amp;COUNTIF($AL$11:$AL2696,$AL2696))</f>
        <v/>
      </c>
    </row>
    <row r="2697" spans="38:53" ht="15" customHeight="1" x14ac:dyDescent="0.25">
      <c r="AL2697" s="17"/>
      <c r="AM2697" s="12"/>
      <c r="AN2697" s="18"/>
      <c r="AO2697" s="18"/>
      <c r="AP2697" s="10"/>
      <c r="AQ2697" s="10"/>
      <c r="AR2697" s="19"/>
      <c r="AS2697" s="20"/>
      <c r="AT2697" s="19"/>
      <c r="AV2697" s="21">
        <f>IF(AND($AL2697&lt;&gt;"",COUNTIF($AL$11:$AL2697,$AL2697)=1),1,0)</f>
        <v>0</v>
      </c>
      <c r="AW2697" s="21">
        <f t="shared" si="169"/>
        <v>0</v>
      </c>
      <c r="AX2697" s="21" t="str">
        <f t="shared" si="168"/>
        <v/>
      </c>
      <c r="AY2697" s="21" t="str">
        <f>IF(AND($AM2697&lt;&gt;"",$AS2697&lt;&gt;"✓"),SUMPRODUCT(($AM$11:$AM2697&lt;&gt;"")*($AS$11:$AS2697&lt;&gt;"✓")),"")</f>
        <v/>
      </c>
      <c r="AZ2697" s="21" t="str">
        <f>IF(AND($AM2697&lt;&gt;"",$AS2697="✓"),SUMPRODUCT(($AM$11:$AM2697&lt;&gt;"")*($AS$11:$AS2697="✓")),"")</f>
        <v/>
      </c>
      <c r="BA2697" s="21" t="str">
        <f>IF($AL2697="","",$AL2697&amp;"|"&amp;COUNTIF($AL$11:$AL2697,$AL2697))</f>
        <v/>
      </c>
    </row>
    <row r="2698" spans="38:53" ht="15" customHeight="1" x14ac:dyDescent="0.25">
      <c r="AL2698" s="31"/>
      <c r="AM2698" s="26"/>
      <c r="AN2698" s="32"/>
      <c r="AO2698" s="32"/>
      <c r="AP2698" s="24"/>
      <c r="AQ2698" s="24"/>
      <c r="AR2698" s="33"/>
      <c r="AS2698" s="34"/>
      <c r="AT2698" s="33"/>
      <c r="AV2698" s="21">
        <f>IF(AND($AL2698&lt;&gt;"",COUNTIF($AL$11:$AL2698,$AL2698)=1),1,0)</f>
        <v>0</v>
      </c>
      <c r="AW2698" s="21">
        <f t="shared" si="169"/>
        <v>0</v>
      </c>
      <c r="AX2698" s="21" t="str">
        <f t="shared" si="168"/>
        <v/>
      </c>
      <c r="AY2698" s="21" t="str">
        <f>IF(AND($AM2698&lt;&gt;"",$AS2698&lt;&gt;"✓"),SUMPRODUCT(($AM$11:$AM2698&lt;&gt;"")*($AS$11:$AS2698&lt;&gt;"✓")),"")</f>
        <v/>
      </c>
      <c r="AZ2698" s="21" t="str">
        <f>IF(AND($AM2698&lt;&gt;"",$AS2698="✓"),SUMPRODUCT(($AM$11:$AM2698&lt;&gt;"")*($AS$11:$AS2698="✓")),"")</f>
        <v/>
      </c>
      <c r="BA2698" s="21" t="str">
        <f>IF($AL2698="","",$AL2698&amp;"|"&amp;COUNTIF($AL$11:$AL2698,$AL2698))</f>
        <v/>
      </c>
    </row>
    <row r="2699" spans="38:53" ht="15" customHeight="1" x14ac:dyDescent="0.25">
      <c r="AL2699" s="17"/>
      <c r="AM2699" s="12"/>
      <c r="AN2699" s="18"/>
      <c r="AO2699" s="18"/>
      <c r="AP2699" s="10"/>
      <c r="AQ2699" s="10"/>
      <c r="AR2699" s="19"/>
      <c r="AS2699" s="20"/>
      <c r="AT2699" s="19"/>
      <c r="AV2699" s="21">
        <f>IF(AND($AL2699&lt;&gt;"",COUNTIF($AL$11:$AL2699,$AL2699)=1),1,0)</f>
        <v>0</v>
      </c>
      <c r="AW2699" s="21">
        <f t="shared" si="169"/>
        <v>0</v>
      </c>
      <c r="AX2699" s="21" t="str">
        <f t="shared" ref="AX2699:AX2762" si="170">IF(AV2699=1,AW2699,"")</f>
        <v/>
      </c>
      <c r="AY2699" s="21" t="str">
        <f>IF(AND($AM2699&lt;&gt;"",$AS2699&lt;&gt;"✓"),SUMPRODUCT(($AM$11:$AM2699&lt;&gt;"")*($AS$11:$AS2699&lt;&gt;"✓")),"")</f>
        <v/>
      </c>
      <c r="AZ2699" s="21" t="str">
        <f>IF(AND($AM2699&lt;&gt;"",$AS2699="✓"),SUMPRODUCT(($AM$11:$AM2699&lt;&gt;"")*($AS$11:$AS2699="✓")),"")</f>
        <v/>
      </c>
      <c r="BA2699" s="21" t="str">
        <f>IF($AL2699="","",$AL2699&amp;"|"&amp;COUNTIF($AL$11:$AL2699,$AL2699))</f>
        <v/>
      </c>
    </row>
    <row r="2700" spans="38:53" ht="15" customHeight="1" x14ac:dyDescent="0.25">
      <c r="AL2700" s="31"/>
      <c r="AM2700" s="26"/>
      <c r="AN2700" s="32"/>
      <c r="AO2700" s="32"/>
      <c r="AP2700" s="24"/>
      <c r="AQ2700" s="24"/>
      <c r="AR2700" s="33"/>
      <c r="AS2700" s="34"/>
      <c r="AT2700" s="33"/>
      <c r="AV2700" s="21">
        <f>IF(AND($AL2700&lt;&gt;"",COUNTIF($AL$11:$AL2700,$AL2700)=1),1,0)</f>
        <v>0</v>
      </c>
      <c r="AW2700" s="21">
        <f t="shared" ref="AW2700:AW2763" si="171">AW2699+AV2700</f>
        <v>0</v>
      </c>
      <c r="AX2700" s="21" t="str">
        <f t="shared" si="170"/>
        <v/>
      </c>
      <c r="AY2700" s="21" t="str">
        <f>IF(AND($AM2700&lt;&gt;"",$AS2700&lt;&gt;"✓"),SUMPRODUCT(($AM$11:$AM2700&lt;&gt;"")*($AS$11:$AS2700&lt;&gt;"✓")),"")</f>
        <v/>
      </c>
      <c r="AZ2700" s="21" t="str">
        <f>IF(AND($AM2700&lt;&gt;"",$AS2700="✓"),SUMPRODUCT(($AM$11:$AM2700&lt;&gt;"")*($AS$11:$AS2700="✓")),"")</f>
        <v/>
      </c>
      <c r="BA2700" s="21" t="str">
        <f>IF($AL2700="","",$AL2700&amp;"|"&amp;COUNTIF($AL$11:$AL2700,$AL2700))</f>
        <v/>
      </c>
    </row>
    <row r="2701" spans="38:53" ht="15" customHeight="1" x14ac:dyDescent="0.25">
      <c r="AL2701" s="17"/>
      <c r="AM2701" s="12"/>
      <c r="AN2701" s="18"/>
      <c r="AO2701" s="18"/>
      <c r="AP2701" s="10"/>
      <c r="AQ2701" s="10"/>
      <c r="AR2701" s="19"/>
      <c r="AS2701" s="20"/>
      <c r="AT2701" s="19"/>
      <c r="AV2701" s="21">
        <f>IF(AND($AL2701&lt;&gt;"",COUNTIF($AL$11:$AL2701,$AL2701)=1),1,0)</f>
        <v>0</v>
      </c>
      <c r="AW2701" s="21">
        <f t="shared" si="171"/>
        <v>0</v>
      </c>
      <c r="AX2701" s="21" t="str">
        <f t="shared" si="170"/>
        <v/>
      </c>
      <c r="AY2701" s="21" t="str">
        <f>IF(AND($AM2701&lt;&gt;"",$AS2701&lt;&gt;"✓"),SUMPRODUCT(($AM$11:$AM2701&lt;&gt;"")*($AS$11:$AS2701&lt;&gt;"✓")),"")</f>
        <v/>
      </c>
      <c r="AZ2701" s="21" t="str">
        <f>IF(AND($AM2701&lt;&gt;"",$AS2701="✓"),SUMPRODUCT(($AM$11:$AM2701&lt;&gt;"")*($AS$11:$AS2701="✓")),"")</f>
        <v/>
      </c>
      <c r="BA2701" s="21" t="str">
        <f>IF($AL2701="","",$AL2701&amp;"|"&amp;COUNTIF($AL$11:$AL2701,$AL2701))</f>
        <v/>
      </c>
    </row>
    <row r="2702" spans="38:53" ht="15" customHeight="1" x14ac:dyDescent="0.25">
      <c r="AL2702" s="31"/>
      <c r="AM2702" s="26"/>
      <c r="AN2702" s="32"/>
      <c r="AO2702" s="32"/>
      <c r="AP2702" s="24"/>
      <c r="AQ2702" s="24"/>
      <c r="AR2702" s="33"/>
      <c r="AS2702" s="34"/>
      <c r="AT2702" s="33"/>
      <c r="AV2702" s="21">
        <f>IF(AND($AL2702&lt;&gt;"",COUNTIF($AL$11:$AL2702,$AL2702)=1),1,0)</f>
        <v>0</v>
      </c>
      <c r="AW2702" s="21">
        <f t="shared" si="171"/>
        <v>0</v>
      </c>
      <c r="AX2702" s="21" t="str">
        <f t="shared" si="170"/>
        <v/>
      </c>
      <c r="AY2702" s="21" t="str">
        <f>IF(AND($AM2702&lt;&gt;"",$AS2702&lt;&gt;"✓"),SUMPRODUCT(($AM$11:$AM2702&lt;&gt;"")*($AS$11:$AS2702&lt;&gt;"✓")),"")</f>
        <v/>
      </c>
      <c r="AZ2702" s="21" t="str">
        <f>IF(AND($AM2702&lt;&gt;"",$AS2702="✓"),SUMPRODUCT(($AM$11:$AM2702&lt;&gt;"")*($AS$11:$AS2702="✓")),"")</f>
        <v/>
      </c>
      <c r="BA2702" s="21" t="str">
        <f>IF($AL2702="","",$AL2702&amp;"|"&amp;COUNTIF($AL$11:$AL2702,$AL2702))</f>
        <v/>
      </c>
    </row>
    <row r="2703" spans="38:53" ht="15" customHeight="1" x14ac:dyDescent="0.25">
      <c r="AL2703" s="17"/>
      <c r="AM2703" s="12"/>
      <c r="AN2703" s="18"/>
      <c r="AO2703" s="18"/>
      <c r="AP2703" s="10"/>
      <c r="AQ2703" s="10"/>
      <c r="AR2703" s="19"/>
      <c r="AS2703" s="20"/>
      <c r="AT2703" s="19"/>
      <c r="AV2703" s="21">
        <f>IF(AND($AL2703&lt;&gt;"",COUNTIF($AL$11:$AL2703,$AL2703)=1),1,0)</f>
        <v>0</v>
      </c>
      <c r="AW2703" s="21">
        <f t="shared" si="171"/>
        <v>0</v>
      </c>
      <c r="AX2703" s="21" t="str">
        <f t="shared" si="170"/>
        <v/>
      </c>
      <c r="AY2703" s="21" t="str">
        <f>IF(AND($AM2703&lt;&gt;"",$AS2703&lt;&gt;"✓"),SUMPRODUCT(($AM$11:$AM2703&lt;&gt;"")*($AS$11:$AS2703&lt;&gt;"✓")),"")</f>
        <v/>
      </c>
      <c r="AZ2703" s="21" t="str">
        <f>IF(AND($AM2703&lt;&gt;"",$AS2703="✓"),SUMPRODUCT(($AM$11:$AM2703&lt;&gt;"")*($AS$11:$AS2703="✓")),"")</f>
        <v/>
      </c>
      <c r="BA2703" s="21" t="str">
        <f>IF($AL2703="","",$AL2703&amp;"|"&amp;COUNTIF($AL$11:$AL2703,$AL2703))</f>
        <v/>
      </c>
    </row>
    <row r="2704" spans="38:53" ht="15" customHeight="1" x14ac:dyDescent="0.25">
      <c r="AL2704" s="31"/>
      <c r="AM2704" s="26"/>
      <c r="AN2704" s="32"/>
      <c r="AO2704" s="32"/>
      <c r="AP2704" s="24"/>
      <c r="AQ2704" s="24"/>
      <c r="AR2704" s="33"/>
      <c r="AS2704" s="34"/>
      <c r="AT2704" s="33"/>
      <c r="AV2704" s="21">
        <f>IF(AND($AL2704&lt;&gt;"",COUNTIF($AL$11:$AL2704,$AL2704)=1),1,0)</f>
        <v>0</v>
      </c>
      <c r="AW2704" s="21">
        <f t="shared" si="171"/>
        <v>0</v>
      </c>
      <c r="AX2704" s="21" t="str">
        <f t="shared" si="170"/>
        <v/>
      </c>
      <c r="AY2704" s="21" t="str">
        <f>IF(AND($AM2704&lt;&gt;"",$AS2704&lt;&gt;"✓"),SUMPRODUCT(($AM$11:$AM2704&lt;&gt;"")*($AS$11:$AS2704&lt;&gt;"✓")),"")</f>
        <v/>
      </c>
      <c r="AZ2704" s="21" t="str">
        <f>IF(AND($AM2704&lt;&gt;"",$AS2704="✓"),SUMPRODUCT(($AM$11:$AM2704&lt;&gt;"")*($AS$11:$AS2704="✓")),"")</f>
        <v/>
      </c>
      <c r="BA2704" s="21" t="str">
        <f>IF($AL2704="","",$AL2704&amp;"|"&amp;COUNTIF($AL$11:$AL2704,$AL2704))</f>
        <v/>
      </c>
    </row>
    <row r="2705" spans="38:53" ht="15" customHeight="1" x14ac:dyDescent="0.25">
      <c r="AL2705" s="17"/>
      <c r="AM2705" s="12"/>
      <c r="AN2705" s="18"/>
      <c r="AO2705" s="18"/>
      <c r="AP2705" s="10"/>
      <c r="AQ2705" s="10"/>
      <c r="AR2705" s="19"/>
      <c r="AS2705" s="20"/>
      <c r="AT2705" s="19"/>
      <c r="AV2705" s="21">
        <f>IF(AND($AL2705&lt;&gt;"",COUNTIF($AL$11:$AL2705,$AL2705)=1),1,0)</f>
        <v>0</v>
      </c>
      <c r="AW2705" s="21">
        <f t="shared" si="171"/>
        <v>0</v>
      </c>
      <c r="AX2705" s="21" t="str">
        <f t="shared" si="170"/>
        <v/>
      </c>
      <c r="AY2705" s="21" t="str">
        <f>IF(AND($AM2705&lt;&gt;"",$AS2705&lt;&gt;"✓"),SUMPRODUCT(($AM$11:$AM2705&lt;&gt;"")*($AS$11:$AS2705&lt;&gt;"✓")),"")</f>
        <v/>
      </c>
      <c r="AZ2705" s="21" t="str">
        <f>IF(AND($AM2705&lt;&gt;"",$AS2705="✓"),SUMPRODUCT(($AM$11:$AM2705&lt;&gt;"")*($AS$11:$AS2705="✓")),"")</f>
        <v/>
      </c>
      <c r="BA2705" s="21" t="str">
        <f>IF($AL2705="","",$AL2705&amp;"|"&amp;COUNTIF($AL$11:$AL2705,$AL2705))</f>
        <v/>
      </c>
    </row>
    <row r="2706" spans="38:53" ht="15" customHeight="1" x14ac:dyDescent="0.25">
      <c r="AL2706" s="31"/>
      <c r="AM2706" s="26"/>
      <c r="AN2706" s="32"/>
      <c r="AO2706" s="32"/>
      <c r="AP2706" s="24"/>
      <c r="AQ2706" s="24"/>
      <c r="AR2706" s="33"/>
      <c r="AS2706" s="34"/>
      <c r="AT2706" s="33"/>
      <c r="AV2706" s="21">
        <f>IF(AND($AL2706&lt;&gt;"",COUNTIF($AL$11:$AL2706,$AL2706)=1),1,0)</f>
        <v>0</v>
      </c>
      <c r="AW2706" s="21">
        <f t="shared" si="171"/>
        <v>0</v>
      </c>
      <c r="AX2706" s="21" t="str">
        <f t="shared" si="170"/>
        <v/>
      </c>
      <c r="AY2706" s="21" t="str">
        <f>IF(AND($AM2706&lt;&gt;"",$AS2706&lt;&gt;"✓"),SUMPRODUCT(($AM$11:$AM2706&lt;&gt;"")*($AS$11:$AS2706&lt;&gt;"✓")),"")</f>
        <v/>
      </c>
      <c r="AZ2706" s="21" t="str">
        <f>IF(AND($AM2706&lt;&gt;"",$AS2706="✓"),SUMPRODUCT(($AM$11:$AM2706&lt;&gt;"")*($AS$11:$AS2706="✓")),"")</f>
        <v/>
      </c>
      <c r="BA2706" s="21" t="str">
        <f>IF($AL2706="","",$AL2706&amp;"|"&amp;COUNTIF($AL$11:$AL2706,$AL2706))</f>
        <v/>
      </c>
    </row>
    <row r="2707" spans="38:53" ht="15" customHeight="1" x14ac:dyDescent="0.25">
      <c r="AL2707" s="17"/>
      <c r="AM2707" s="12"/>
      <c r="AN2707" s="18"/>
      <c r="AO2707" s="18"/>
      <c r="AP2707" s="10"/>
      <c r="AQ2707" s="10"/>
      <c r="AR2707" s="19"/>
      <c r="AS2707" s="20"/>
      <c r="AT2707" s="19"/>
      <c r="AV2707" s="21">
        <f>IF(AND($AL2707&lt;&gt;"",COUNTIF($AL$11:$AL2707,$AL2707)=1),1,0)</f>
        <v>0</v>
      </c>
      <c r="AW2707" s="21">
        <f t="shared" si="171"/>
        <v>0</v>
      </c>
      <c r="AX2707" s="21" t="str">
        <f t="shared" si="170"/>
        <v/>
      </c>
      <c r="AY2707" s="21" t="str">
        <f>IF(AND($AM2707&lt;&gt;"",$AS2707&lt;&gt;"✓"),SUMPRODUCT(($AM$11:$AM2707&lt;&gt;"")*($AS$11:$AS2707&lt;&gt;"✓")),"")</f>
        <v/>
      </c>
      <c r="AZ2707" s="21" t="str">
        <f>IF(AND($AM2707&lt;&gt;"",$AS2707="✓"),SUMPRODUCT(($AM$11:$AM2707&lt;&gt;"")*($AS$11:$AS2707="✓")),"")</f>
        <v/>
      </c>
      <c r="BA2707" s="21" t="str">
        <f>IF($AL2707="","",$AL2707&amp;"|"&amp;COUNTIF($AL$11:$AL2707,$AL2707))</f>
        <v/>
      </c>
    </row>
    <row r="2708" spans="38:53" ht="15" customHeight="1" x14ac:dyDescent="0.25">
      <c r="AL2708" s="31"/>
      <c r="AM2708" s="26"/>
      <c r="AN2708" s="32"/>
      <c r="AO2708" s="32"/>
      <c r="AP2708" s="24"/>
      <c r="AQ2708" s="24"/>
      <c r="AR2708" s="33"/>
      <c r="AS2708" s="34"/>
      <c r="AT2708" s="33"/>
      <c r="AV2708" s="21">
        <f>IF(AND($AL2708&lt;&gt;"",COUNTIF($AL$11:$AL2708,$AL2708)=1),1,0)</f>
        <v>0</v>
      </c>
      <c r="AW2708" s="21">
        <f t="shared" si="171"/>
        <v>0</v>
      </c>
      <c r="AX2708" s="21" t="str">
        <f t="shared" si="170"/>
        <v/>
      </c>
      <c r="AY2708" s="21" t="str">
        <f>IF(AND($AM2708&lt;&gt;"",$AS2708&lt;&gt;"✓"),SUMPRODUCT(($AM$11:$AM2708&lt;&gt;"")*($AS$11:$AS2708&lt;&gt;"✓")),"")</f>
        <v/>
      </c>
      <c r="AZ2708" s="21" t="str">
        <f>IF(AND($AM2708&lt;&gt;"",$AS2708="✓"),SUMPRODUCT(($AM$11:$AM2708&lt;&gt;"")*($AS$11:$AS2708="✓")),"")</f>
        <v/>
      </c>
      <c r="BA2708" s="21" t="str">
        <f>IF($AL2708="","",$AL2708&amp;"|"&amp;COUNTIF($AL$11:$AL2708,$AL2708))</f>
        <v/>
      </c>
    </row>
    <row r="2709" spans="38:53" ht="15" customHeight="1" x14ac:dyDescent="0.25">
      <c r="AL2709" s="17"/>
      <c r="AM2709" s="12"/>
      <c r="AN2709" s="18"/>
      <c r="AO2709" s="18"/>
      <c r="AP2709" s="10"/>
      <c r="AQ2709" s="10"/>
      <c r="AR2709" s="19"/>
      <c r="AS2709" s="20"/>
      <c r="AT2709" s="19"/>
      <c r="AV2709" s="21">
        <f>IF(AND($AL2709&lt;&gt;"",COUNTIF($AL$11:$AL2709,$AL2709)=1),1,0)</f>
        <v>0</v>
      </c>
      <c r="AW2709" s="21">
        <f t="shared" si="171"/>
        <v>0</v>
      </c>
      <c r="AX2709" s="21" t="str">
        <f t="shared" si="170"/>
        <v/>
      </c>
      <c r="AY2709" s="21" t="str">
        <f>IF(AND($AM2709&lt;&gt;"",$AS2709&lt;&gt;"✓"),SUMPRODUCT(($AM$11:$AM2709&lt;&gt;"")*($AS$11:$AS2709&lt;&gt;"✓")),"")</f>
        <v/>
      </c>
      <c r="AZ2709" s="21" t="str">
        <f>IF(AND($AM2709&lt;&gt;"",$AS2709="✓"),SUMPRODUCT(($AM$11:$AM2709&lt;&gt;"")*($AS$11:$AS2709="✓")),"")</f>
        <v/>
      </c>
      <c r="BA2709" s="21" t="str">
        <f>IF($AL2709="","",$AL2709&amp;"|"&amp;COUNTIF($AL$11:$AL2709,$AL2709))</f>
        <v/>
      </c>
    </row>
    <row r="2710" spans="38:53" ht="15" customHeight="1" x14ac:dyDescent="0.25">
      <c r="AL2710" s="31"/>
      <c r="AM2710" s="26"/>
      <c r="AN2710" s="32"/>
      <c r="AO2710" s="32"/>
      <c r="AP2710" s="24"/>
      <c r="AQ2710" s="24"/>
      <c r="AR2710" s="33"/>
      <c r="AS2710" s="34"/>
      <c r="AT2710" s="33"/>
      <c r="AV2710" s="21">
        <f>IF(AND($AL2710&lt;&gt;"",COUNTIF($AL$11:$AL2710,$AL2710)=1),1,0)</f>
        <v>0</v>
      </c>
      <c r="AW2710" s="21">
        <f t="shared" si="171"/>
        <v>0</v>
      </c>
      <c r="AX2710" s="21" t="str">
        <f t="shared" si="170"/>
        <v/>
      </c>
      <c r="AY2710" s="21" t="str">
        <f>IF(AND($AM2710&lt;&gt;"",$AS2710&lt;&gt;"✓"),SUMPRODUCT(($AM$11:$AM2710&lt;&gt;"")*($AS$11:$AS2710&lt;&gt;"✓")),"")</f>
        <v/>
      </c>
      <c r="AZ2710" s="21" t="str">
        <f>IF(AND($AM2710&lt;&gt;"",$AS2710="✓"),SUMPRODUCT(($AM$11:$AM2710&lt;&gt;"")*($AS$11:$AS2710="✓")),"")</f>
        <v/>
      </c>
      <c r="BA2710" s="21" t="str">
        <f>IF($AL2710="","",$AL2710&amp;"|"&amp;COUNTIF($AL$11:$AL2710,$AL2710))</f>
        <v/>
      </c>
    </row>
    <row r="2711" spans="38:53" ht="15" customHeight="1" x14ac:dyDescent="0.25">
      <c r="AL2711" s="17"/>
      <c r="AM2711" s="12"/>
      <c r="AN2711" s="18"/>
      <c r="AO2711" s="18"/>
      <c r="AP2711" s="10"/>
      <c r="AQ2711" s="10"/>
      <c r="AR2711" s="19"/>
      <c r="AS2711" s="20"/>
      <c r="AT2711" s="19"/>
      <c r="AV2711" s="21">
        <f>IF(AND($AL2711&lt;&gt;"",COUNTIF($AL$11:$AL2711,$AL2711)=1),1,0)</f>
        <v>0</v>
      </c>
      <c r="AW2711" s="21">
        <f t="shared" si="171"/>
        <v>0</v>
      </c>
      <c r="AX2711" s="21" t="str">
        <f t="shared" si="170"/>
        <v/>
      </c>
      <c r="AY2711" s="21" t="str">
        <f>IF(AND($AM2711&lt;&gt;"",$AS2711&lt;&gt;"✓"),SUMPRODUCT(($AM$11:$AM2711&lt;&gt;"")*($AS$11:$AS2711&lt;&gt;"✓")),"")</f>
        <v/>
      </c>
      <c r="AZ2711" s="21" t="str">
        <f>IF(AND($AM2711&lt;&gt;"",$AS2711="✓"),SUMPRODUCT(($AM$11:$AM2711&lt;&gt;"")*($AS$11:$AS2711="✓")),"")</f>
        <v/>
      </c>
      <c r="BA2711" s="21" t="str">
        <f>IF($AL2711="","",$AL2711&amp;"|"&amp;COUNTIF($AL$11:$AL2711,$AL2711))</f>
        <v/>
      </c>
    </row>
    <row r="2712" spans="38:53" ht="15" customHeight="1" x14ac:dyDescent="0.25">
      <c r="AL2712" s="31"/>
      <c r="AM2712" s="26"/>
      <c r="AN2712" s="32"/>
      <c r="AO2712" s="32"/>
      <c r="AP2712" s="24"/>
      <c r="AQ2712" s="24"/>
      <c r="AR2712" s="33"/>
      <c r="AS2712" s="34"/>
      <c r="AT2712" s="33"/>
      <c r="AV2712" s="21">
        <f>IF(AND($AL2712&lt;&gt;"",COUNTIF($AL$11:$AL2712,$AL2712)=1),1,0)</f>
        <v>0</v>
      </c>
      <c r="AW2712" s="21">
        <f t="shared" si="171"/>
        <v>0</v>
      </c>
      <c r="AX2712" s="21" t="str">
        <f t="shared" si="170"/>
        <v/>
      </c>
      <c r="AY2712" s="21" t="str">
        <f>IF(AND($AM2712&lt;&gt;"",$AS2712&lt;&gt;"✓"),SUMPRODUCT(($AM$11:$AM2712&lt;&gt;"")*($AS$11:$AS2712&lt;&gt;"✓")),"")</f>
        <v/>
      </c>
      <c r="AZ2712" s="21" t="str">
        <f>IF(AND($AM2712&lt;&gt;"",$AS2712="✓"),SUMPRODUCT(($AM$11:$AM2712&lt;&gt;"")*($AS$11:$AS2712="✓")),"")</f>
        <v/>
      </c>
      <c r="BA2712" s="21" t="str">
        <f>IF($AL2712="","",$AL2712&amp;"|"&amp;COUNTIF($AL$11:$AL2712,$AL2712))</f>
        <v/>
      </c>
    </row>
    <row r="2713" spans="38:53" ht="15" customHeight="1" x14ac:dyDescent="0.25">
      <c r="AL2713" s="17"/>
      <c r="AM2713" s="12"/>
      <c r="AN2713" s="18"/>
      <c r="AO2713" s="18"/>
      <c r="AP2713" s="10"/>
      <c r="AQ2713" s="10"/>
      <c r="AR2713" s="19"/>
      <c r="AS2713" s="20"/>
      <c r="AT2713" s="19"/>
      <c r="AV2713" s="21">
        <f>IF(AND($AL2713&lt;&gt;"",COUNTIF($AL$11:$AL2713,$AL2713)=1),1,0)</f>
        <v>0</v>
      </c>
      <c r="AW2713" s="21">
        <f t="shared" si="171"/>
        <v>0</v>
      </c>
      <c r="AX2713" s="21" t="str">
        <f t="shared" si="170"/>
        <v/>
      </c>
      <c r="AY2713" s="21" t="str">
        <f>IF(AND($AM2713&lt;&gt;"",$AS2713&lt;&gt;"✓"),SUMPRODUCT(($AM$11:$AM2713&lt;&gt;"")*($AS$11:$AS2713&lt;&gt;"✓")),"")</f>
        <v/>
      </c>
      <c r="AZ2713" s="21" t="str">
        <f>IF(AND($AM2713&lt;&gt;"",$AS2713="✓"),SUMPRODUCT(($AM$11:$AM2713&lt;&gt;"")*($AS$11:$AS2713="✓")),"")</f>
        <v/>
      </c>
      <c r="BA2713" s="21" t="str">
        <f>IF($AL2713="","",$AL2713&amp;"|"&amp;COUNTIF($AL$11:$AL2713,$AL2713))</f>
        <v/>
      </c>
    </row>
    <row r="2714" spans="38:53" ht="15" customHeight="1" x14ac:dyDescent="0.25">
      <c r="AL2714" s="31"/>
      <c r="AM2714" s="26"/>
      <c r="AN2714" s="32"/>
      <c r="AO2714" s="32"/>
      <c r="AP2714" s="24"/>
      <c r="AQ2714" s="24"/>
      <c r="AR2714" s="33"/>
      <c r="AS2714" s="34"/>
      <c r="AT2714" s="33"/>
      <c r="AV2714" s="21">
        <f>IF(AND($AL2714&lt;&gt;"",COUNTIF($AL$11:$AL2714,$AL2714)=1),1,0)</f>
        <v>0</v>
      </c>
      <c r="AW2714" s="21">
        <f t="shared" si="171"/>
        <v>0</v>
      </c>
      <c r="AX2714" s="21" t="str">
        <f t="shared" si="170"/>
        <v/>
      </c>
      <c r="AY2714" s="21" t="str">
        <f>IF(AND($AM2714&lt;&gt;"",$AS2714&lt;&gt;"✓"),SUMPRODUCT(($AM$11:$AM2714&lt;&gt;"")*($AS$11:$AS2714&lt;&gt;"✓")),"")</f>
        <v/>
      </c>
      <c r="AZ2714" s="21" t="str">
        <f>IF(AND($AM2714&lt;&gt;"",$AS2714="✓"),SUMPRODUCT(($AM$11:$AM2714&lt;&gt;"")*($AS$11:$AS2714="✓")),"")</f>
        <v/>
      </c>
      <c r="BA2714" s="21" t="str">
        <f>IF($AL2714="","",$AL2714&amp;"|"&amp;COUNTIF($AL$11:$AL2714,$AL2714))</f>
        <v/>
      </c>
    </row>
    <row r="2715" spans="38:53" ht="15" customHeight="1" x14ac:dyDescent="0.25">
      <c r="AL2715" s="17"/>
      <c r="AM2715" s="12"/>
      <c r="AN2715" s="18"/>
      <c r="AO2715" s="18"/>
      <c r="AP2715" s="10"/>
      <c r="AQ2715" s="10"/>
      <c r="AR2715" s="19"/>
      <c r="AS2715" s="20"/>
      <c r="AT2715" s="19"/>
      <c r="AV2715" s="21">
        <f>IF(AND($AL2715&lt;&gt;"",COUNTIF($AL$11:$AL2715,$AL2715)=1),1,0)</f>
        <v>0</v>
      </c>
      <c r="AW2715" s="21">
        <f t="shared" si="171"/>
        <v>0</v>
      </c>
      <c r="AX2715" s="21" t="str">
        <f t="shared" si="170"/>
        <v/>
      </c>
      <c r="AY2715" s="21" t="str">
        <f>IF(AND($AM2715&lt;&gt;"",$AS2715&lt;&gt;"✓"),SUMPRODUCT(($AM$11:$AM2715&lt;&gt;"")*($AS$11:$AS2715&lt;&gt;"✓")),"")</f>
        <v/>
      </c>
      <c r="AZ2715" s="21" t="str">
        <f>IF(AND($AM2715&lt;&gt;"",$AS2715="✓"),SUMPRODUCT(($AM$11:$AM2715&lt;&gt;"")*($AS$11:$AS2715="✓")),"")</f>
        <v/>
      </c>
      <c r="BA2715" s="21" t="str">
        <f>IF($AL2715="","",$AL2715&amp;"|"&amp;COUNTIF($AL$11:$AL2715,$AL2715))</f>
        <v/>
      </c>
    </row>
    <row r="2716" spans="38:53" ht="15" customHeight="1" x14ac:dyDescent="0.25">
      <c r="AL2716" s="31"/>
      <c r="AM2716" s="26"/>
      <c r="AN2716" s="32"/>
      <c r="AO2716" s="32"/>
      <c r="AP2716" s="24"/>
      <c r="AQ2716" s="24"/>
      <c r="AR2716" s="33"/>
      <c r="AS2716" s="34"/>
      <c r="AT2716" s="33"/>
      <c r="AV2716" s="21">
        <f>IF(AND($AL2716&lt;&gt;"",COUNTIF($AL$11:$AL2716,$AL2716)=1),1,0)</f>
        <v>0</v>
      </c>
      <c r="AW2716" s="21">
        <f t="shared" si="171"/>
        <v>0</v>
      </c>
      <c r="AX2716" s="21" t="str">
        <f t="shared" si="170"/>
        <v/>
      </c>
      <c r="AY2716" s="21" t="str">
        <f>IF(AND($AM2716&lt;&gt;"",$AS2716&lt;&gt;"✓"),SUMPRODUCT(($AM$11:$AM2716&lt;&gt;"")*($AS$11:$AS2716&lt;&gt;"✓")),"")</f>
        <v/>
      </c>
      <c r="AZ2716" s="21" t="str">
        <f>IF(AND($AM2716&lt;&gt;"",$AS2716="✓"),SUMPRODUCT(($AM$11:$AM2716&lt;&gt;"")*($AS$11:$AS2716="✓")),"")</f>
        <v/>
      </c>
      <c r="BA2716" s="21" t="str">
        <f>IF($AL2716="","",$AL2716&amp;"|"&amp;COUNTIF($AL$11:$AL2716,$AL2716))</f>
        <v/>
      </c>
    </row>
    <row r="2717" spans="38:53" ht="15" customHeight="1" x14ac:dyDescent="0.25">
      <c r="AL2717" s="17"/>
      <c r="AM2717" s="12"/>
      <c r="AN2717" s="18"/>
      <c r="AO2717" s="18"/>
      <c r="AP2717" s="10"/>
      <c r="AQ2717" s="10"/>
      <c r="AR2717" s="19"/>
      <c r="AS2717" s="20"/>
      <c r="AT2717" s="19"/>
      <c r="AV2717" s="21">
        <f>IF(AND($AL2717&lt;&gt;"",COUNTIF($AL$11:$AL2717,$AL2717)=1),1,0)</f>
        <v>0</v>
      </c>
      <c r="AW2717" s="21">
        <f t="shared" si="171"/>
        <v>0</v>
      </c>
      <c r="AX2717" s="21" t="str">
        <f t="shared" si="170"/>
        <v/>
      </c>
      <c r="AY2717" s="21" t="str">
        <f>IF(AND($AM2717&lt;&gt;"",$AS2717&lt;&gt;"✓"),SUMPRODUCT(($AM$11:$AM2717&lt;&gt;"")*($AS$11:$AS2717&lt;&gt;"✓")),"")</f>
        <v/>
      </c>
      <c r="AZ2717" s="21" t="str">
        <f>IF(AND($AM2717&lt;&gt;"",$AS2717="✓"),SUMPRODUCT(($AM$11:$AM2717&lt;&gt;"")*($AS$11:$AS2717="✓")),"")</f>
        <v/>
      </c>
      <c r="BA2717" s="21" t="str">
        <f>IF($AL2717="","",$AL2717&amp;"|"&amp;COUNTIF($AL$11:$AL2717,$AL2717))</f>
        <v/>
      </c>
    </row>
    <row r="2718" spans="38:53" ht="15" customHeight="1" x14ac:dyDescent="0.25">
      <c r="AL2718" s="31"/>
      <c r="AM2718" s="26"/>
      <c r="AN2718" s="32"/>
      <c r="AO2718" s="32"/>
      <c r="AP2718" s="24"/>
      <c r="AQ2718" s="24"/>
      <c r="AR2718" s="33"/>
      <c r="AS2718" s="34"/>
      <c r="AT2718" s="33"/>
      <c r="AV2718" s="21">
        <f>IF(AND($AL2718&lt;&gt;"",COUNTIF($AL$11:$AL2718,$AL2718)=1),1,0)</f>
        <v>0</v>
      </c>
      <c r="AW2718" s="21">
        <f t="shared" si="171"/>
        <v>0</v>
      </c>
      <c r="AX2718" s="21" t="str">
        <f t="shared" si="170"/>
        <v/>
      </c>
      <c r="AY2718" s="21" t="str">
        <f>IF(AND($AM2718&lt;&gt;"",$AS2718&lt;&gt;"✓"),SUMPRODUCT(($AM$11:$AM2718&lt;&gt;"")*($AS$11:$AS2718&lt;&gt;"✓")),"")</f>
        <v/>
      </c>
      <c r="AZ2718" s="21" t="str">
        <f>IF(AND($AM2718&lt;&gt;"",$AS2718="✓"),SUMPRODUCT(($AM$11:$AM2718&lt;&gt;"")*($AS$11:$AS2718="✓")),"")</f>
        <v/>
      </c>
      <c r="BA2718" s="21" t="str">
        <f>IF($AL2718="","",$AL2718&amp;"|"&amp;COUNTIF($AL$11:$AL2718,$AL2718))</f>
        <v/>
      </c>
    </row>
    <row r="2719" spans="38:53" ht="15" customHeight="1" x14ac:dyDescent="0.25">
      <c r="AL2719" s="17"/>
      <c r="AM2719" s="12"/>
      <c r="AN2719" s="18"/>
      <c r="AO2719" s="18"/>
      <c r="AP2719" s="10"/>
      <c r="AQ2719" s="10"/>
      <c r="AR2719" s="19"/>
      <c r="AS2719" s="20"/>
      <c r="AT2719" s="19"/>
      <c r="AV2719" s="21">
        <f>IF(AND($AL2719&lt;&gt;"",COUNTIF($AL$11:$AL2719,$AL2719)=1),1,0)</f>
        <v>0</v>
      </c>
      <c r="AW2719" s="21">
        <f t="shared" si="171"/>
        <v>0</v>
      </c>
      <c r="AX2719" s="21" t="str">
        <f t="shared" si="170"/>
        <v/>
      </c>
      <c r="AY2719" s="21" t="str">
        <f>IF(AND($AM2719&lt;&gt;"",$AS2719&lt;&gt;"✓"),SUMPRODUCT(($AM$11:$AM2719&lt;&gt;"")*($AS$11:$AS2719&lt;&gt;"✓")),"")</f>
        <v/>
      </c>
      <c r="AZ2719" s="21" t="str">
        <f>IF(AND($AM2719&lt;&gt;"",$AS2719="✓"),SUMPRODUCT(($AM$11:$AM2719&lt;&gt;"")*($AS$11:$AS2719="✓")),"")</f>
        <v/>
      </c>
      <c r="BA2719" s="21" t="str">
        <f>IF($AL2719="","",$AL2719&amp;"|"&amp;COUNTIF($AL$11:$AL2719,$AL2719))</f>
        <v/>
      </c>
    </row>
    <row r="2720" spans="38:53" ht="15" customHeight="1" x14ac:dyDescent="0.25">
      <c r="AL2720" s="31"/>
      <c r="AM2720" s="26"/>
      <c r="AN2720" s="32"/>
      <c r="AO2720" s="32"/>
      <c r="AP2720" s="24"/>
      <c r="AQ2720" s="24"/>
      <c r="AR2720" s="33"/>
      <c r="AS2720" s="34"/>
      <c r="AT2720" s="33"/>
      <c r="AV2720" s="21">
        <f>IF(AND($AL2720&lt;&gt;"",COUNTIF($AL$11:$AL2720,$AL2720)=1),1,0)</f>
        <v>0</v>
      </c>
      <c r="AW2720" s="21">
        <f t="shared" si="171"/>
        <v>0</v>
      </c>
      <c r="AX2720" s="21" t="str">
        <f t="shared" si="170"/>
        <v/>
      </c>
      <c r="AY2720" s="21" t="str">
        <f>IF(AND($AM2720&lt;&gt;"",$AS2720&lt;&gt;"✓"),SUMPRODUCT(($AM$11:$AM2720&lt;&gt;"")*($AS$11:$AS2720&lt;&gt;"✓")),"")</f>
        <v/>
      </c>
      <c r="AZ2720" s="21" t="str">
        <f>IF(AND($AM2720&lt;&gt;"",$AS2720="✓"),SUMPRODUCT(($AM$11:$AM2720&lt;&gt;"")*($AS$11:$AS2720="✓")),"")</f>
        <v/>
      </c>
      <c r="BA2720" s="21" t="str">
        <f>IF($AL2720="","",$AL2720&amp;"|"&amp;COUNTIF($AL$11:$AL2720,$AL2720))</f>
        <v/>
      </c>
    </row>
    <row r="2721" spans="38:53" ht="15" customHeight="1" x14ac:dyDescent="0.25">
      <c r="AL2721" s="17"/>
      <c r="AM2721" s="12"/>
      <c r="AN2721" s="18"/>
      <c r="AO2721" s="18"/>
      <c r="AP2721" s="10"/>
      <c r="AQ2721" s="10"/>
      <c r="AR2721" s="19"/>
      <c r="AS2721" s="20"/>
      <c r="AT2721" s="19"/>
      <c r="AV2721" s="21">
        <f>IF(AND($AL2721&lt;&gt;"",COUNTIF($AL$11:$AL2721,$AL2721)=1),1,0)</f>
        <v>0</v>
      </c>
      <c r="AW2721" s="21">
        <f t="shared" si="171"/>
        <v>0</v>
      </c>
      <c r="AX2721" s="21" t="str">
        <f t="shared" si="170"/>
        <v/>
      </c>
      <c r="AY2721" s="21" t="str">
        <f>IF(AND($AM2721&lt;&gt;"",$AS2721&lt;&gt;"✓"),SUMPRODUCT(($AM$11:$AM2721&lt;&gt;"")*($AS$11:$AS2721&lt;&gt;"✓")),"")</f>
        <v/>
      </c>
      <c r="AZ2721" s="21" t="str">
        <f>IF(AND($AM2721&lt;&gt;"",$AS2721="✓"),SUMPRODUCT(($AM$11:$AM2721&lt;&gt;"")*($AS$11:$AS2721="✓")),"")</f>
        <v/>
      </c>
      <c r="BA2721" s="21" t="str">
        <f>IF($AL2721="","",$AL2721&amp;"|"&amp;COUNTIF($AL$11:$AL2721,$AL2721))</f>
        <v/>
      </c>
    </row>
    <row r="2722" spans="38:53" ht="15" customHeight="1" x14ac:dyDescent="0.25">
      <c r="AL2722" s="31"/>
      <c r="AM2722" s="26"/>
      <c r="AN2722" s="32"/>
      <c r="AO2722" s="32"/>
      <c r="AP2722" s="24"/>
      <c r="AQ2722" s="24"/>
      <c r="AR2722" s="33"/>
      <c r="AS2722" s="34"/>
      <c r="AT2722" s="33"/>
      <c r="AV2722" s="21">
        <f>IF(AND($AL2722&lt;&gt;"",COUNTIF($AL$11:$AL2722,$AL2722)=1),1,0)</f>
        <v>0</v>
      </c>
      <c r="AW2722" s="21">
        <f t="shared" si="171"/>
        <v>0</v>
      </c>
      <c r="AX2722" s="21" t="str">
        <f t="shared" si="170"/>
        <v/>
      </c>
      <c r="AY2722" s="21" t="str">
        <f>IF(AND($AM2722&lt;&gt;"",$AS2722&lt;&gt;"✓"),SUMPRODUCT(($AM$11:$AM2722&lt;&gt;"")*($AS$11:$AS2722&lt;&gt;"✓")),"")</f>
        <v/>
      </c>
      <c r="AZ2722" s="21" t="str">
        <f>IF(AND($AM2722&lt;&gt;"",$AS2722="✓"),SUMPRODUCT(($AM$11:$AM2722&lt;&gt;"")*($AS$11:$AS2722="✓")),"")</f>
        <v/>
      </c>
      <c r="BA2722" s="21" t="str">
        <f>IF($AL2722="","",$AL2722&amp;"|"&amp;COUNTIF($AL$11:$AL2722,$AL2722))</f>
        <v/>
      </c>
    </row>
    <row r="2723" spans="38:53" ht="15" customHeight="1" x14ac:dyDescent="0.25">
      <c r="AL2723" s="17"/>
      <c r="AM2723" s="12"/>
      <c r="AN2723" s="18"/>
      <c r="AO2723" s="18"/>
      <c r="AP2723" s="10"/>
      <c r="AQ2723" s="10"/>
      <c r="AR2723" s="19"/>
      <c r="AS2723" s="20"/>
      <c r="AT2723" s="19"/>
      <c r="AV2723" s="21">
        <f>IF(AND($AL2723&lt;&gt;"",COUNTIF($AL$11:$AL2723,$AL2723)=1),1,0)</f>
        <v>0</v>
      </c>
      <c r="AW2723" s="21">
        <f t="shared" si="171"/>
        <v>0</v>
      </c>
      <c r="AX2723" s="21" t="str">
        <f t="shared" si="170"/>
        <v/>
      </c>
      <c r="AY2723" s="21" t="str">
        <f>IF(AND($AM2723&lt;&gt;"",$AS2723&lt;&gt;"✓"),SUMPRODUCT(($AM$11:$AM2723&lt;&gt;"")*($AS$11:$AS2723&lt;&gt;"✓")),"")</f>
        <v/>
      </c>
      <c r="AZ2723" s="21" t="str">
        <f>IF(AND($AM2723&lt;&gt;"",$AS2723="✓"),SUMPRODUCT(($AM$11:$AM2723&lt;&gt;"")*($AS$11:$AS2723="✓")),"")</f>
        <v/>
      </c>
      <c r="BA2723" s="21" t="str">
        <f>IF($AL2723="","",$AL2723&amp;"|"&amp;COUNTIF($AL$11:$AL2723,$AL2723))</f>
        <v/>
      </c>
    </row>
    <row r="2724" spans="38:53" ht="15" customHeight="1" x14ac:dyDescent="0.25">
      <c r="AL2724" s="31"/>
      <c r="AM2724" s="26"/>
      <c r="AN2724" s="32"/>
      <c r="AO2724" s="32"/>
      <c r="AP2724" s="24"/>
      <c r="AQ2724" s="24"/>
      <c r="AR2724" s="33"/>
      <c r="AS2724" s="34"/>
      <c r="AT2724" s="33"/>
      <c r="AV2724" s="21">
        <f>IF(AND($AL2724&lt;&gt;"",COUNTIF($AL$11:$AL2724,$AL2724)=1),1,0)</f>
        <v>0</v>
      </c>
      <c r="AW2724" s="21">
        <f t="shared" si="171"/>
        <v>0</v>
      </c>
      <c r="AX2724" s="21" t="str">
        <f t="shared" si="170"/>
        <v/>
      </c>
      <c r="AY2724" s="21" t="str">
        <f>IF(AND($AM2724&lt;&gt;"",$AS2724&lt;&gt;"✓"),SUMPRODUCT(($AM$11:$AM2724&lt;&gt;"")*($AS$11:$AS2724&lt;&gt;"✓")),"")</f>
        <v/>
      </c>
      <c r="AZ2724" s="21" t="str">
        <f>IF(AND($AM2724&lt;&gt;"",$AS2724="✓"),SUMPRODUCT(($AM$11:$AM2724&lt;&gt;"")*($AS$11:$AS2724="✓")),"")</f>
        <v/>
      </c>
      <c r="BA2724" s="21" t="str">
        <f>IF($AL2724="","",$AL2724&amp;"|"&amp;COUNTIF($AL$11:$AL2724,$AL2724))</f>
        <v/>
      </c>
    </row>
    <row r="2725" spans="38:53" ht="15" customHeight="1" x14ac:dyDescent="0.25">
      <c r="AL2725" s="17"/>
      <c r="AM2725" s="12"/>
      <c r="AN2725" s="18"/>
      <c r="AO2725" s="18"/>
      <c r="AP2725" s="10"/>
      <c r="AQ2725" s="10"/>
      <c r="AR2725" s="19"/>
      <c r="AS2725" s="20"/>
      <c r="AT2725" s="19"/>
      <c r="AV2725" s="21">
        <f>IF(AND($AL2725&lt;&gt;"",COUNTIF($AL$11:$AL2725,$AL2725)=1),1,0)</f>
        <v>0</v>
      </c>
      <c r="AW2725" s="21">
        <f t="shared" si="171"/>
        <v>0</v>
      </c>
      <c r="AX2725" s="21" t="str">
        <f t="shared" si="170"/>
        <v/>
      </c>
      <c r="AY2725" s="21" t="str">
        <f>IF(AND($AM2725&lt;&gt;"",$AS2725&lt;&gt;"✓"),SUMPRODUCT(($AM$11:$AM2725&lt;&gt;"")*($AS$11:$AS2725&lt;&gt;"✓")),"")</f>
        <v/>
      </c>
      <c r="AZ2725" s="21" t="str">
        <f>IF(AND($AM2725&lt;&gt;"",$AS2725="✓"),SUMPRODUCT(($AM$11:$AM2725&lt;&gt;"")*($AS$11:$AS2725="✓")),"")</f>
        <v/>
      </c>
      <c r="BA2725" s="21" t="str">
        <f>IF($AL2725="","",$AL2725&amp;"|"&amp;COUNTIF($AL$11:$AL2725,$AL2725))</f>
        <v/>
      </c>
    </row>
    <row r="2726" spans="38:53" ht="15" customHeight="1" x14ac:dyDescent="0.25">
      <c r="AL2726" s="31"/>
      <c r="AM2726" s="26"/>
      <c r="AN2726" s="32"/>
      <c r="AO2726" s="32"/>
      <c r="AP2726" s="24"/>
      <c r="AQ2726" s="24"/>
      <c r="AR2726" s="33"/>
      <c r="AS2726" s="34"/>
      <c r="AT2726" s="33"/>
      <c r="AV2726" s="21">
        <f>IF(AND($AL2726&lt;&gt;"",COUNTIF($AL$11:$AL2726,$AL2726)=1),1,0)</f>
        <v>0</v>
      </c>
      <c r="AW2726" s="21">
        <f t="shared" si="171"/>
        <v>0</v>
      </c>
      <c r="AX2726" s="21" t="str">
        <f t="shared" si="170"/>
        <v/>
      </c>
      <c r="AY2726" s="21" t="str">
        <f>IF(AND($AM2726&lt;&gt;"",$AS2726&lt;&gt;"✓"),SUMPRODUCT(($AM$11:$AM2726&lt;&gt;"")*($AS$11:$AS2726&lt;&gt;"✓")),"")</f>
        <v/>
      </c>
      <c r="AZ2726" s="21" t="str">
        <f>IF(AND($AM2726&lt;&gt;"",$AS2726="✓"),SUMPRODUCT(($AM$11:$AM2726&lt;&gt;"")*($AS$11:$AS2726="✓")),"")</f>
        <v/>
      </c>
      <c r="BA2726" s="21" t="str">
        <f>IF($AL2726="","",$AL2726&amp;"|"&amp;COUNTIF($AL$11:$AL2726,$AL2726))</f>
        <v/>
      </c>
    </row>
    <row r="2727" spans="38:53" ht="15" customHeight="1" x14ac:dyDescent="0.25">
      <c r="AL2727" s="17"/>
      <c r="AM2727" s="12"/>
      <c r="AN2727" s="18"/>
      <c r="AO2727" s="18"/>
      <c r="AP2727" s="10"/>
      <c r="AQ2727" s="10"/>
      <c r="AR2727" s="19"/>
      <c r="AS2727" s="20"/>
      <c r="AT2727" s="19"/>
      <c r="AV2727" s="21">
        <f>IF(AND($AL2727&lt;&gt;"",COUNTIF($AL$11:$AL2727,$AL2727)=1),1,0)</f>
        <v>0</v>
      </c>
      <c r="AW2727" s="21">
        <f t="shared" si="171"/>
        <v>0</v>
      </c>
      <c r="AX2727" s="21" t="str">
        <f t="shared" si="170"/>
        <v/>
      </c>
      <c r="AY2727" s="21" t="str">
        <f>IF(AND($AM2727&lt;&gt;"",$AS2727&lt;&gt;"✓"),SUMPRODUCT(($AM$11:$AM2727&lt;&gt;"")*($AS$11:$AS2727&lt;&gt;"✓")),"")</f>
        <v/>
      </c>
      <c r="AZ2727" s="21" t="str">
        <f>IF(AND($AM2727&lt;&gt;"",$AS2727="✓"),SUMPRODUCT(($AM$11:$AM2727&lt;&gt;"")*($AS$11:$AS2727="✓")),"")</f>
        <v/>
      </c>
      <c r="BA2727" s="21" t="str">
        <f>IF($AL2727="","",$AL2727&amp;"|"&amp;COUNTIF($AL$11:$AL2727,$AL2727))</f>
        <v/>
      </c>
    </row>
    <row r="2728" spans="38:53" ht="15" customHeight="1" x14ac:dyDescent="0.25">
      <c r="AL2728" s="31"/>
      <c r="AM2728" s="26"/>
      <c r="AN2728" s="32"/>
      <c r="AO2728" s="32"/>
      <c r="AP2728" s="24"/>
      <c r="AQ2728" s="24"/>
      <c r="AR2728" s="33"/>
      <c r="AS2728" s="34"/>
      <c r="AT2728" s="33"/>
      <c r="AV2728" s="21">
        <f>IF(AND($AL2728&lt;&gt;"",COUNTIF($AL$11:$AL2728,$AL2728)=1),1,0)</f>
        <v>0</v>
      </c>
      <c r="AW2728" s="21">
        <f t="shared" si="171"/>
        <v>0</v>
      </c>
      <c r="AX2728" s="21" t="str">
        <f t="shared" si="170"/>
        <v/>
      </c>
      <c r="AY2728" s="21" t="str">
        <f>IF(AND($AM2728&lt;&gt;"",$AS2728&lt;&gt;"✓"),SUMPRODUCT(($AM$11:$AM2728&lt;&gt;"")*($AS$11:$AS2728&lt;&gt;"✓")),"")</f>
        <v/>
      </c>
      <c r="AZ2728" s="21" t="str">
        <f>IF(AND($AM2728&lt;&gt;"",$AS2728="✓"),SUMPRODUCT(($AM$11:$AM2728&lt;&gt;"")*($AS$11:$AS2728="✓")),"")</f>
        <v/>
      </c>
      <c r="BA2728" s="21" t="str">
        <f>IF($AL2728="","",$AL2728&amp;"|"&amp;COUNTIF($AL$11:$AL2728,$AL2728))</f>
        <v/>
      </c>
    </row>
    <row r="2729" spans="38:53" ht="15" customHeight="1" x14ac:dyDescent="0.25">
      <c r="AL2729" s="17"/>
      <c r="AM2729" s="12"/>
      <c r="AN2729" s="18"/>
      <c r="AO2729" s="18"/>
      <c r="AP2729" s="10"/>
      <c r="AQ2729" s="10"/>
      <c r="AR2729" s="19"/>
      <c r="AS2729" s="20"/>
      <c r="AT2729" s="19"/>
      <c r="AV2729" s="21">
        <f>IF(AND($AL2729&lt;&gt;"",COUNTIF($AL$11:$AL2729,$AL2729)=1),1,0)</f>
        <v>0</v>
      </c>
      <c r="AW2729" s="21">
        <f t="shared" si="171"/>
        <v>0</v>
      </c>
      <c r="AX2729" s="21" t="str">
        <f t="shared" si="170"/>
        <v/>
      </c>
      <c r="AY2729" s="21" t="str">
        <f>IF(AND($AM2729&lt;&gt;"",$AS2729&lt;&gt;"✓"),SUMPRODUCT(($AM$11:$AM2729&lt;&gt;"")*($AS$11:$AS2729&lt;&gt;"✓")),"")</f>
        <v/>
      </c>
      <c r="AZ2729" s="21" t="str">
        <f>IF(AND($AM2729&lt;&gt;"",$AS2729="✓"),SUMPRODUCT(($AM$11:$AM2729&lt;&gt;"")*($AS$11:$AS2729="✓")),"")</f>
        <v/>
      </c>
      <c r="BA2729" s="21" t="str">
        <f>IF($AL2729="","",$AL2729&amp;"|"&amp;COUNTIF($AL$11:$AL2729,$AL2729))</f>
        <v/>
      </c>
    </row>
    <row r="2730" spans="38:53" ht="15" customHeight="1" x14ac:dyDescent="0.25">
      <c r="AL2730" s="31"/>
      <c r="AM2730" s="26"/>
      <c r="AN2730" s="32"/>
      <c r="AO2730" s="32"/>
      <c r="AP2730" s="24"/>
      <c r="AQ2730" s="24"/>
      <c r="AR2730" s="33"/>
      <c r="AS2730" s="34"/>
      <c r="AT2730" s="33"/>
      <c r="AV2730" s="21">
        <f>IF(AND($AL2730&lt;&gt;"",COUNTIF($AL$11:$AL2730,$AL2730)=1),1,0)</f>
        <v>0</v>
      </c>
      <c r="AW2730" s="21">
        <f t="shared" si="171"/>
        <v>0</v>
      </c>
      <c r="AX2730" s="21" t="str">
        <f t="shared" si="170"/>
        <v/>
      </c>
      <c r="AY2730" s="21" t="str">
        <f>IF(AND($AM2730&lt;&gt;"",$AS2730&lt;&gt;"✓"),SUMPRODUCT(($AM$11:$AM2730&lt;&gt;"")*($AS$11:$AS2730&lt;&gt;"✓")),"")</f>
        <v/>
      </c>
      <c r="AZ2730" s="21" t="str">
        <f>IF(AND($AM2730&lt;&gt;"",$AS2730="✓"),SUMPRODUCT(($AM$11:$AM2730&lt;&gt;"")*($AS$11:$AS2730="✓")),"")</f>
        <v/>
      </c>
      <c r="BA2730" s="21" t="str">
        <f>IF($AL2730="","",$AL2730&amp;"|"&amp;COUNTIF($AL$11:$AL2730,$AL2730))</f>
        <v/>
      </c>
    </row>
    <row r="2731" spans="38:53" ht="15" customHeight="1" x14ac:dyDescent="0.25">
      <c r="AL2731" s="17"/>
      <c r="AM2731" s="12"/>
      <c r="AN2731" s="18"/>
      <c r="AO2731" s="18"/>
      <c r="AP2731" s="10"/>
      <c r="AQ2731" s="10"/>
      <c r="AR2731" s="19"/>
      <c r="AS2731" s="20"/>
      <c r="AT2731" s="19"/>
      <c r="AV2731" s="21">
        <f>IF(AND($AL2731&lt;&gt;"",COUNTIF($AL$11:$AL2731,$AL2731)=1),1,0)</f>
        <v>0</v>
      </c>
      <c r="AW2731" s="21">
        <f t="shared" si="171"/>
        <v>0</v>
      </c>
      <c r="AX2731" s="21" t="str">
        <f t="shared" si="170"/>
        <v/>
      </c>
      <c r="AY2731" s="21" t="str">
        <f>IF(AND($AM2731&lt;&gt;"",$AS2731&lt;&gt;"✓"),SUMPRODUCT(($AM$11:$AM2731&lt;&gt;"")*($AS$11:$AS2731&lt;&gt;"✓")),"")</f>
        <v/>
      </c>
      <c r="AZ2731" s="21" t="str">
        <f>IF(AND($AM2731&lt;&gt;"",$AS2731="✓"),SUMPRODUCT(($AM$11:$AM2731&lt;&gt;"")*($AS$11:$AS2731="✓")),"")</f>
        <v/>
      </c>
      <c r="BA2731" s="21" t="str">
        <f>IF($AL2731="","",$AL2731&amp;"|"&amp;COUNTIF($AL$11:$AL2731,$AL2731))</f>
        <v/>
      </c>
    </row>
    <row r="2732" spans="38:53" ht="15" customHeight="1" x14ac:dyDescent="0.25">
      <c r="AL2732" s="31"/>
      <c r="AM2732" s="26"/>
      <c r="AN2732" s="32"/>
      <c r="AO2732" s="32"/>
      <c r="AP2732" s="24"/>
      <c r="AQ2732" s="24"/>
      <c r="AR2732" s="33"/>
      <c r="AS2732" s="34"/>
      <c r="AT2732" s="33"/>
      <c r="AV2732" s="21">
        <f>IF(AND($AL2732&lt;&gt;"",COUNTIF($AL$11:$AL2732,$AL2732)=1),1,0)</f>
        <v>0</v>
      </c>
      <c r="AW2732" s="21">
        <f t="shared" si="171"/>
        <v>0</v>
      </c>
      <c r="AX2732" s="21" t="str">
        <f t="shared" si="170"/>
        <v/>
      </c>
      <c r="AY2732" s="21" t="str">
        <f>IF(AND($AM2732&lt;&gt;"",$AS2732&lt;&gt;"✓"),SUMPRODUCT(($AM$11:$AM2732&lt;&gt;"")*($AS$11:$AS2732&lt;&gt;"✓")),"")</f>
        <v/>
      </c>
      <c r="AZ2732" s="21" t="str">
        <f>IF(AND($AM2732&lt;&gt;"",$AS2732="✓"),SUMPRODUCT(($AM$11:$AM2732&lt;&gt;"")*($AS$11:$AS2732="✓")),"")</f>
        <v/>
      </c>
      <c r="BA2732" s="21" t="str">
        <f>IF($AL2732="","",$AL2732&amp;"|"&amp;COUNTIF($AL$11:$AL2732,$AL2732))</f>
        <v/>
      </c>
    </row>
    <row r="2733" spans="38:53" ht="15" customHeight="1" x14ac:dyDescent="0.25">
      <c r="AL2733" s="17"/>
      <c r="AM2733" s="12"/>
      <c r="AN2733" s="18"/>
      <c r="AO2733" s="18"/>
      <c r="AP2733" s="10"/>
      <c r="AQ2733" s="10"/>
      <c r="AR2733" s="19"/>
      <c r="AS2733" s="20"/>
      <c r="AT2733" s="19"/>
      <c r="AV2733" s="21">
        <f>IF(AND($AL2733&lt;&gt;"",COUNTIF($AL$11:$AL2733,$AL2733)=1),1,0)</f>
        <v>0</v>
      </c>
      <c r="AW2733" s="21">
        <f t="shared" si="171"/>
        <v>0</v>
      </c>
      <c r="AX2733" s="21" t="str">
        <f t="shared" si="170"/>
        <v/>
      </c>
      <c r="AY2733" s="21" t="str">
        <f>IF(AND($AM2733&lt;&gt;"",$AS2733&lt;&gt;"✓"),SUMPRODUCT(($AM$11:$AM2733&lt;&gt;"")*($AS$11:$AS2733&lt;&gt;"✓")),"")</f>
        <v/>
      </c>
      <c r="AZ2733" s="21" t="str">
        <f>IF(AND($AM2733&lt;&gt;"",$AS2733="✓"),SUMPRODUCT(($AM$11:$AM2733&lt;&gt;"")*($AS$11:$AS2733="✓")),"")</f>
        <v/>
      </c>
      <c r="BA2733" s="21" t="str">
        <f>IF($AL2733="","",$AL2733&amp;"|"&amp;COUNTIF($AL$11:$AL2733,$AL2733))</f>
        <v/>
      </c>
    </row>
    <row r="2734" spans="38:53" ht="15" customHeight="1" x14ac:dyDescent="0.25">
      <c r="AL2734" s="31"/>
      <c r="AM2734" s="26"/>
      <c r="AN2734" s="32"/>
      <c r="AO2734" s="32"/>
      <c r="AP2734" s="24"/>
      <c r="AQ2734" s="24"/>
      <c r="AR2734" s="33"/>
      <c r="AS2734" s="34"/>
      <c r="AT2734" s="33"/>
      <c r="AV2734" s="21">
        <f>IF(AND($AL2734&lt;&gt;"",COUNTIF($AL$11:$AL2734,$AL2734)=1),1,0)</f>
        <v>0</v>
      </c>
      <c r="AW2734" s="21">
        <f t="shared" si="171"/>
        <v>0</v>
      </c>
      <c r="AX2734" s="21" t="str">
        <f t="shared" si="170"/>
        <v/>
      </c>
      <c r="AY2734" s="21" t="str">
        <f>IF(AND($AM2734&lt;&gt;"",$AS2734&lt;&gt;"✓"),SUMPRODUCT(($AM$11:$AM2734&lt;&gt;"")*($AS$11:$AS2734&lt;&gt;"✓")),"")</f>
        <v/>
      </c>
      <c r="AZ2734" s="21" t="str">
        <f>IF(AND($AM2734&lt;&gt;"",$AS2734="✓"),SUMPRODUCT(($AM$11:$AM2734&lt;&gt;"")*($AS$11:$AS2734="✓")),"")</f>
        <v/>
      </c>
      <c r="BA2734" s="21" t="str">
        <f>IF($AL2734="","",$AL2734&amp;"|"&amp;COUNTIF($AL$11:$AL2734,$AL2734))</f>
        <v/>
      </c>
    </row>
    <row r="2735" spans="38:53" ht="15" customHeight="1" x14ac:dyDescent="0.25">
      <c r="AL2735" s="17"/>
      <c r="AM2735" s="12"/>
      <c r="AN2735" s="18"/>
      <c r="AO2735" s="18"/>
      <c r="AP2735" s="10"/>
      <c r="AQ2735" s="10"/>
      <c r="AR2735" s="19"/>
      <c r="AS2735" s="20"/>
      <c r="AT2735" s="19"/>
      <c r="AV2735" s="21">
        <f>IF(AND($AL2735&lt;&gt;"",COUNTIF($AL$11:$AL2735,$AL2735)=1),1,0)</f>
        <v>0</v>
      </c>
      <c r="AW2735" s="21">
        <f t="shared" si="171"/>
        <v>0</v>
      </c>
      <c r="AX2735" s="21" t="str">
        <f t="shared" si="170"/>
        <v/>
      </c>
      <c r="AY2735" s="21" t="str">
        <f>IF(AND($AM2735&lt;&gt;"",$AS2735&lt;&gt;"✓"),SUMPRODUCT(($AM$11:$AM2735&lt;&gt;"")*($AS$11:$AS2735&lt;&gt;"✓")),"")</f>
        <v/>
      </c>
      <c r="AZ2735" s="21" t="str">
        <f>IF(AND($AM2735&lt;&gt;"",$AS2735="✓"),SUMPRODUCT(($AM$11:$AM2735&lt;&gt;"")*($AS$11:$AS2735="✓")),"")</f>
        <v/>
      </c>
      <c r="BA2735" s="21" t="str">
        <f>IF($AL2735="","",$AL2735&amp;"|"&amp;COUNTIF($AL$11:$AL2735,$AL2735))</f>
        <v/>
      </c>
    </row>
    <row r="2736" spans="38:53" ht="15" customHeight="1" x14ac:dyDescent="0.25">
      <c r="AL2736" s="31"/>
      <c r="AM2736" s="26"/>
      <c r="AN2736" s="32"/>
      <c r="AO2736" s="32"/>
      <c r="AP2736" s="24"/>
      <c r="AQ2736" s="24"/>
      <c r="AR2736" s="33"/>
      <c r="AS2736" s="34"/>
      <c r="AT2736" s="33"/>
      <c r="AV2736" s="21">
        <f>IF(AND($AL2736&lt;&gt;"",COUNTIF($AL$11:$AL2736,$AL2736)=1),1,0)</f>
        <v>0</v>
      </c>
      <c r="AW2736" s="21">
        <f t="shared" si="171"/>
        <v>0</v>
      </c>
      <c r="AX2736" s="21" t="str">
        <f t="shared" si="170"/>
        <v/>
      </c>
      <c r="AY2736" s="21" t="str">
        <f>IF(AND($AM2736&lt;&gt;"",$AS2736&lt;&gt;"✓"),SUMPRODUCT(($AM$11:$AM2736&lt;&gt;"")*($AS$11:$AS2736&lt;&gt;"✓")),"")</f>
        <v/>
      </c>
      <c r="AZ2736" s="21" t="str">
        <f>IF(AND($AM2736&lt;&gt;"",$AS2736="✓"),SUMPRODUCT(($AM$11:$AM2736&lt;&gt;"")*($AS$11:$AS2736="✓")),"")</f>
        <v/>
      </c>
      <c r="BA2736" s="21" t="str">
        <f>IF($AL2736="","",$AL2736&amp;"|"&amp;COUNTIF($AL$11:$AL2736,$AL2736))</f>
        <v/>
      </c>
    </row>
    <row r="2737" spans="38:53" ht="15" customHeight="1" x14ac:dyDescent="0.25">
      <c r="AL2737" s="17"/>
      <c r="AM2737" s="12"/>
      <c r="AN2737" s="18"/>
      <c r="AO2737" s="18"/>
      <c r="AP2737" s="10"/>
      <c r="AQ2737" s="10"/>
      <c r="AR2737" s="19"/>
      <c r="AS2737" s="20"/>
      <c r="AT2737" s="19"/>
      <c r="AV2737" s="21">
        <f>IF(AND($AL2737&lt;&gt;"",COUNTIF($AL$11:$AL2737,$AL2737)=1),1,0)</f>
        <v>0</v>
      </c>
      <c r="AW2737" s="21">
        <f t="shared" si="171"/>
        <v>0</v>
      </c>
      <c r="AX2737" s="21" t="str">
        <f t="shared" si="170"/>
        <v/>
      </c>
      <c r="AY2737" s="21" t="str">
        <f>IF(AND($AM2737&lt;&gt;"",$AS2737&lt;&gt;"✓"),SUMPRODUCT(($AM$11:$AM2737&lt;&gt;"")*($AS$11:$AS2737&lt;&gt;"✓")),"")</f>
        <v/>
      </c>
      <c r="AZ2737" s="21" t="str">
        <f>IF(AND($AM2737&lt;&gt;"",$AS2737="✓"),SUMPRODUCT(($AM$11:$AM2737&lt;&gt;"")*($AS$11:$AS2737="✓")),"")</f>
        <v/>
      </c>
      <c r="BA2737" s="21" t="str">
        <f>IF($AL2737="","",$AL2737&amp;"|"&amp;COUNTIF($AL$11:$AL2737,$AL2737))</f>
        <v/>
      </c>
    </row>
    <row r="2738" spans="38:53" ht="15" customHeight="1" x14ac:dyDescent="0.25">
      <c r="AL2738" s="31"/>
      <c r="AM2738" s="26"/>
      <c r="AN2738" s="32"/>
      <c r="AO2738" s="32"/>
      <c r="AP2738" s="24"/>
      <c r="AQ2738" s="24"/>
      <c r="AR2738" s="33"/>
      <c r="AS2738" s="34"/>
      <c r="AT2738" s="33"/>
      <c r="AV2738" s="21">
        <f>IF(AND($AL2738&lt;&gt;"",COUNTIF($AL$11:$AL2738,$AL2738)=1),1,0)</f>
        <v>0</v>
      </c>
      <c r="AW2738" s="21">
        <f t="shared" si="171"/>
        <v>0</v>
      </c>
      <c r="AX2738" s="21" t="str">
        <f t="shared" si="170"/>
        <v/>
      </c>
      <c r="AY2738" s="21" t="str">
        <f>IF(AND($AM2738&lt;&gt;"",$AS2738&lt;&gt;"✓"),SUMPRODUCT(($AM$11:$AM2738&lt;&gt;"")*($AS$11:$AS2738&lt;&gt;"✓")),"")</f>
        <v/>
      </c>
      <c r="AZ2738" s="21" t="str">
        <f>IF(AND($AM2738&lt;&gt;"",$AS2738="✓"),SUMPRODUCT(($AM$11:$AM2738&lt;&gt;"")*($AS$11:$AS2738="✓")),"")</f>
        <v/>
      </c>
      <c r="BA2738" s="21" t="str">
        <f>IF($AL2738="","",$AL2738&amp;"|"&amp;COUNTIF($AL$11:$AL2738,$AL2738))</f>
        <v/>
      </c>
    </row>
    <row r="2739" spans="38:53" ht="15" customHeight="1" x14ac:dyDescent="0.25">
      <c r="AL2739" s="17"/>
      <c r="AM2739" s="12"/>
      <c r="AN2739" s="18"/>
      <c r="AO2739" s="18"/>
      <c r="AP2739" s="10"/>
      <c r="AQ2739" s="10"/>
      <c r="AR2739" s="19"/>
      <c r="AS2739" s="20"/>
      <c r="AT2739" s="19"/>
      <c r="AV2739" s="21">
        <f>IF(AND($AL2739&lt;&gt;"",COUNTIF($AL$11:$AL2739,$AL2739)=1),1,0)</f>
        <v>0</v>
      </c>
      <c r="AW2739" s="21">
        <f t="shared" si="171"/>
        <v>0</v>
      </c>
      <c r="AX2739" s="21" t="str">
        <f t="shared" si="170"/>
        <v/>
      </c>
      <c r="AY2739" s="21" t="str">
        <f>IF(AND($AM2739&lt;&gt;"",$AS2739&lt;&gt;"✓"),SUMPRODUCT(($AM$11:$AM2739&lt;&gt;"")*($AS$11:$AS2739&lt;&gt;"✓")),"")</f>
        <v/>
      </c>
      <c r="AZ2739" s="21" t="str">
        <f>IF(AND($AM2739&lt;&gt;"",$AS2739="✓"),SUMPRODUCT(($AM$11:$AM2739&lt;&gt;"")*($AS$11:$AS2739="✓")),"")</f>
        <v/>
      </c>
      <c r="BA2739" s="21" t="str">
        <f>IF($AL2739="","",$AL2739&amp;"|"&amp;COUNTIF($AL$11:$AL2739,$AL2739))</f>
        <v/>
      </c>
    </row>
    <row r="2740" spans="38:53" ht="15" customHeight="1" x14ac:dyDescent="0.25">
      <c r="AL2740" s="31"/>
      <c r="AM2740" s="26"/>
      <c r="AN2740" s="32"/>
      <c r="AO2740" s="32"/>
      <c r="AP2740" s="24"/>
      <c r="AQ2740" s="24"/>
      <c r="AR2740" s="33"/>
      <c r="AS2740" s="34"/>
      <c r="AT2740" s="33"/>
      <c r="AV2740" s="21">
        <f>IF(AND($AL2740&lt;&gt;"",COUNTIF($AL$11:$AL2740,$AL2740)=1),1,0)</f>
        <v>0</v>
      </c>
      <c r="AW2740" s="21">
        <f t="shared" si="171"/>
        <v>0</v>
      </c>
      <c r="AX2740" s="21" t="str">
        <f t="shared" si="170"/>
        <v/>
      </c>
      <c r="AY2740" s="21" t="str">
        <f>IF(AND($AM2740&lt;&gt;"",$AS2740&lt;&gt;"✓"),SUMPRODUCT(($AM$11:$AM2740&lt;&gt;"")*($AS$11:$AS2740&lt;&gt;"✓")),"")</f>
        <v/>
      </c>
      <c r="AZ2740" s="21" t="str">
        <f>IF(AND($AM2740&lt;&gt;"",$AS2740="✓"),SUMPRODUCT(($AM$11:$AM2740&lt;&gt;"")*($AS$11:$AS2740="✓")),"")</f>
        <v/>
      </c>
      <c r="BA2740" s="21" t="str">
        <f>IF($AL2740="","",$AL2740&amp;"|"&amp;COUNTIF($AL$11:$AL2740,$AL2740))</f>
        <v/>
      </c>
    </row>
    <row r="2741" spans="38:53" ht="15" customHeight="1" x14ac:dyDescent="0.25">
      <c r="AL2741" s="17"/>
      <c r="AM2741" s="12"/>
      <c r="AN2741" s="18"/>
      <c r="AO2741" s="18"/>
      <c r="AP2741" s="10"/>
      <c r="AQ2741" s="10"/>
      <c r="AR2741" s="19"/>
      <c r="AS2741" s="20"/>
      <c r="AT2741" s="19"/>
      <c r="AV2741" s="21">
        <f>IF(AND($AL2741&lt;&gt;"",COUNTIF($AL$11:$AL2741,$AL2741)=1),1,0)</f>
        <v>0</v>
      </c>
      <c r="AW2741" s="21">
        <f t="shared" si="171"/>
        <v>0</v>
      </c>
      <c r="AX2741" s="21" t="str">
        <f t="shared" si="170"/>
        <v/>
      </c>
      <c r="AY2741" s="21" t="str">
        <f>IF(AND($AM2741&lt;&gt;"",$AS2741&lt;&gt;"✓"),SUMPRODUCT(($AM$11:$AM2741&lt;&gt;"")*($AS$11:$AS2741&lt;&gt;"✓")),"")</f>
        <v/>
      </c>
      <c r="AZ2741" s="21" t="str">
        <f>IF(AND($AM2741&lt;&gt;"",$AS2741="✓"),SUMPRODUCT(($AM$11:$AM2741&lt;&gt;"")*($AS$11:$AS2741="✓")),"")</f>
        <v/>
      </c>
      <c r="BA2741" s="21" t="str">
        <f>IF($AL2741="","",$AL2741&amp;"|"&amp;COUNTIF($AL$11:$AL2741,$AL2741))</f>
        <v/>
      </c>
    </row>
    <row r="2742" spans="38:53" ht="15" customHeight="1" x14ac:dyDescent="0.25">
      <c r="AL2742" s="31"/>
      <c r="AM2742" s="26"/>
      <c r="AN2742" s="32"/>
      <c r="AO2742" s="32"/>
      <c r="AP2742" s="24"/>
      <c r="AQ2742" s="24"/>
      <c r="AR2742" s="33"/>
      <c r="AS2742" s="34"/>
      <c r="AT2742" s="33"/>
      <c r="AV2742" s="21">
        <f>IF(AND($AL2742&lt;&gt;"",COUNTIF($AL$11:$AL2742,$AL2742)=1),1,0)</f>
        <v>0</v>
      </c>
      <c r="AW2742" s="21">
        <f t="shared" si="171"/>
        <v>0</v>
      </c>
      <c r="AX2742" s="21" t="str">
        <f t="shared" si="170"/>
        <v/>
      </c>
      <c r="AY2742" s="21" t="str">
        <f>IF(AND($AM2742&lt;&gt;"",$AS2742&lt;&gt;"✓"),SUMPRODUCT(($AM$11:$AM2742&lt;&gt;"")*($AS$11:$AS2742&lt;&gt;"✓")),"")</f>
        <v/>
      </c>
      <c r="AZ2742" s="21" t="str">
        <f>IF(AND($AM2742&lt;&gt;"",$AS2742="✓"),SUMPRODUCT(($AM$11:$AM2742&lt;&gt;"")*($AS$11:$AS2742="✓")),"")</f>
        <v/>
      </c>
      <c r="BA2742" s="21" t="str">
        <f>IF($AL2742="","",$AL2742&amp;"|"&amp;COUNTIF($AL$11:$AL2742,$AL2742))</f>
        <v/>
      </c>
    </row>
    <row r="2743" spans="38:53" ht="15" customHeight="1" x14ac:dyDescent="0.25">
      <c r="AL2743" s="17"/>
      <c r="AM2743" s="12"/>
      <c r="AN2743" s="18"/>
      <c r="AO2743" s="18"/>
      <c r="AP2743" s="10"/>
      <c r="AQ2743" s="10"/>
      <c r="AR2743" s="19"/>
      <c r="AS2743" s="20"/>
      <c r="AT2743" s="19"/>
      <c r="AV2743" s="21">
        <f>IF(AND($AL2743&lt;&gt;"",COUNTIF($AL$11:$AL2743,$AL2743)=1),1,0)</f>
        <v>0</v>
      </c>
      <c r="AW2743" s="21">
        <f t="shared" si="171"/>
        <v>0</v>
      </c>
      <c r="AX2743" s="21" t="str">
        <f t="shared" si="170"/>
        <v/>
      </c>
      <c r="AY2743" s="21" t="str">
        <f>IF(AND($AM2743&lt;&gt;"",$AS2743&lt;&gt;"✓"),SUMPRODUCT(($AM$11:$AM2743&lt;&gt;"")*($AS$11:$AS2743&lt;&gt;"✓")),"")</f>
        <v/>
      </c>
      <c r="AZ2743" s="21" t="str">
        <f>IF(AND($AM2743&lt;&gt;"",$AS2743="✓"),SUMPRODUCT(($AM$11:$AM2743&lt;&gt;"")*($AS$11:$AS2743="✓")),"")</f>
        <v/>
      </c>
      <c r="BA2743" s="21" t="str">
        <f>IF($AL2743="","",$AL2743&amp;"|"&amp;COUNTIF($AL$11:$AL2743,$AL2743))</f>
        <v/>
      </c>
    </row>
    <row r="2744" spans="38:53" ht="15" customHeight="1" x14ac:dyDescent="0.25">
      <c r="AL2744" s="31"/>
      <c r="AM2744" s="26"/>
      <c r="AN2744" s="32"/>
      <c r="AO2744" s="32"/>
      <c r="AP2744" s="24"/>
      <c r="AQ2744" s="24"/>
      <c r="AR2744" s="33"/>
      <c r="AS2744" s="34"/>
      <c r="AT2744" s="33"/>
      <c r="AV2744" s="21">
        <f>IF(AND($AL2744&lt;&gt;"",COUNTIF($AL$11:$AL2744,$AL2744)=1),1,0)</f>
        <v>0</v>
      </c>
      <c r="AW2744" s="21">
        <f t="shared" si="171"/>
        <v>0</v>
      </c>
      <c r="AX2744" s="21" t="str">
        <f t="shared" si="170"/>
        <v/>
      </c>
      <c r="AY2744" s="21" t="str">
        <f>IF(AND($AM2744&lt;&gt;"",$AS2744&lt;&gt;"✓"),SUMPRODUCT(($AM$11:$AM2744&lt;&gt;"")*($AS$11:$AS2744&lt;&gt;"✓")),"")</f>
        <v/>
      </c>
      <c r="AZ2744" s="21" t="str">
        <f>IF(AND($AM2744&lt;&gt;"",$AS2744="✓"),SUMPRODUCT(($AM$11:$AM2744&lt;&gt;"")*($AS$11:$AS2744="✓")),"")</f>
        <v/>
      </c>
      <c r="BA2744" s="21" t="str">
        <f>IF($AL2744="","",$AL2744&amp;"|"&amp;COUNTIF($AL$11:$AL2744,$AL2744))</f>
        <v/>
      </c>
    </row>
    <row r="2745" spans="38:53" ht="15" customHeight="1" x14ac:dyDescent="0.25">
      <c r="AL2745" s="17"/>
      <c r="AM2745" s="12"/>
      <c r="AN2745" s="18"/>
      <c r="AO2745" s="18"/>
      <c r="AP2745" s="10"/>
      <c r="AQ2745" s="10"/>
      <c r="AR2745" s="19"/>
      <c r="AS2745" s="20"/>
      <c r="AT2745" s="19"/>
      <c r="AV2745" s="21">
        <f>IF(AND($AL2745&lt;&gt;"",COUNTIF($AL$11:$AL2745,$AL2745)=1),1,0)</f>
        <v>0</v>
      </c>
      <c r="AW2745" s="21">
        <f t="shared" si="171"/>
        <v>0</v>
      </c>
      <c r="AX2745" s="21" t="str">
        <f t="shared" si="170"/>
        <v/>
      </c>
      <c r="AY2745" s="21" t="str">
        <f>IF(AND($AM2745&lt;&gt;"",$AS2745&lt;&gt;"✓"),SUMPRODUCT(($AM$11:$AM2745&lt;&gt;"")*($AS$11:$AS2745&lt;&gt;"✓")),"")</f>
        <v/>
      </c>
      <c r="AZ2745" s="21" t="str">
        <f>IF(AND($AM2745&lt;&gt;"",$AS2745="✓"),SUMPRODUCT(($AM$11:$AM2745&lt;&gt;"")*($AS$11:$AS2745="✓")),"")</f>
        <v/>
      </c>
      <c r="BA2745" s="21" t="str">
        <f>IF($AL2745="","",$AL2745&amp;"|"&amp;COUNTIF($AL$11:$AL2745,$AL2745))</f>
        <v/>
      </c>
    </row>
    <row r="2746" spans="38:53" ht="15" customHeight="1" x14ac:dyDescent="0.25">
      <c r="AL2746" s="31"/>
      <c r="AM2746" s="26"/>
      <c r="AN2746" s="32"/>
      <c r="AO2746" s="32"/>
      <c r="AP2746" s="24"/>
      <c r="AQ2746" s="24"/>
      <c r="AR2746" s="33"/>
      <c r="AS2746" s="34"/>
      <c r="AT2746" s="33"/>
      <c r="AV2746" s="21">
        <f>IF(AND($AL2746&lt;&gt;"",COUNTIF($AL$11:$AL2746,$AL2746)=1),1,0)</f>
        <v>0</v>
      </c>
      <c r="AW2746" s="21">
        <f t="shared" si="171"/>
        <v>0</v>
      </c>
      <c r="AX2746" s="21" t="str">
        <f t="shared" si="170"/>
        <v/>
      </c>
      <c r="AY2746" s="21" t="str">
        <f>IF(AND($AM2746&lt;&gt;"",$AS2746&lt;&gt;"✓"),SUMPRODUCT(($AM$11:$AM2746&lt;&gt;"")*($AS$11:$AS2746&lt;&gt;"✓")),"")</f>
        <v/>
      </c>
      <c r="AZ2746" s="21" t="str">
        <f>IF(AND($AM2746&lt;&gt;"",$AS2746="✓"),SUMPRODUCT(($AM$11:$AM2746&lt;&gt;"")*($AS$11:$AS2746="✓")),"")</f>
        <v/>
      </c>
      <c r="BA2746" s="21" t="str">
        <f>IF($AL2746="","",$AL2746&amp;"|"&amp;COUNTIF($AL$11:$AL2746,$AL2746))</f>
        <v/>
      </c>
    </row>
    <row r="2747" spans="38:53" ht="15" customHeight="1" x14ac:dyDescent="0.25">
      <c r="AL2747" s="17"/>
      <c r="AM2747" s="12"/>
      <c r="AN2747" s="18"/>
      <c r="AO2747" s="18"/>
      <c r="AP2747" s="10"/>
      <c r="AQ2747" s="10"/>
      <c r="AR2747" s="19"/>
      <c r="AS2747" s="20"/>
      <c r="AT2747" s="19"/>
      <c r="AV2747" s="21">
        <f>IF(AND($AL2747&lt;&gt;"",COUNTIF($AL$11:$AL2747,$AL2747)=1),1,0)</f>
        <v>0</v>
      </c>
      <c r="AW2747" s="21">
        <f t="shared" si="171"/>
        <v>0</v>
      </c>
      <c r="AX2747" s="21" t="str">
        <f t="shared" si="170"/>
        <v/>
      </c>
      <c r="AY2747" s="21" t="str">
        <f>IF(AND($AM2747&lt;&gt;"",$AS2747&lt;&gt;"✓"),SUMPRODUCT(($AM$11:$AM2747&lt;&gt;"")*($AS$11:$AS2747&lt;&gt;"✓")),"")</f>
        <v/>
      </c>
      <c r="AZ2747" s="21" t="str">
        <f>IF(AND($AM2747&lt;&gt;"",$AS2747="✓"),SUMPRODUCT(($AM$11:$AM2747&lt;&gt;"")*($AS$11:$AS2747="✓")),"")</f>
        <v/>
      </c>
      <c r="BA2747" s="21" t="str">
        <f>IF($AL2747="","",$AL2747&amp;"|"&amp;COUNTIF($AL$11:$AL2747,$AL2747))</f>
        <v/>
      </c>
    </row>
    <row r="2748" spans="38:53" ht="15" customHeight="1" x14ac:dyDescent="0.25">
      <c r="AL2748" s="31"/>
      <c r="AM2748" s="26"/>
      <c r="AN2748" s="32"/>
      <c r="AO2748" s="32"/>
      <c r="AP2748" s="24"/>
      <c r="AQ2748" s="24"/>
      <c r="AR2748" s="33"/>
      <c r="AS2748" s="34"/>
      <c r="AT2748" s="33"/>
      <c r="AV2748" s="21">
        <f>IF(AND($AL2748&lt;&gt;"",COUNTIF($AL$11:$AL2748,$AL2748)=1),1,0)</f>
        <v>0</v>
      </c>
      <c r="AW2748" s="21">
        <f t="shared" si="171"/>
        <v>0</v>
      </c>
      <c r="AX2748" s="21" t="str">
        <f t="shared" si="170"/>
        <v/>
      </c>
      <c r="AY2748" s="21" t="str">
        <f>IF(AND($AM2748&lt;&gt;"",$AS2748&lt;&gt;"✓"),SUMPRODUCT(($AM$11:$AM2748&lt;&gt;"")*($AS$11:$AS2748&lt;&gt;"✓")),"")</f>
        <v/>
      </c>
      <c r="AZ2748" s="21" t="str">
        <f>IF(AND($AM2748&lt;&gt;"",$AS2748="✓"),SUMPRODUCT(($AM$11:$AM2748&lt;&gt;"")*($AS$11:$AS2748="✓")),"")</f>
        <v/>
      </c>
      <c r="BA2748" s="21" t="str">
        <f>IF($AL2748="","",$AL2748&amp;"|"&amp;COUNTIF($AL$11:$AL2748,$AL2748))</f>
        <v/>
      </c>
    </row>
    <row r="2749" spans="38:53" ht="15" customHeight="1" x14ac:dyDescent="0.25">
      <c r="AL2749" s="17"/>
      <c r="AM2749" s="12"/>
      <c r="AN2749" s="18"/>
      <c r="AO2749" s="18"/>
      <c r="AP2749" s="10"/>
      <c r="AQ2749" s="10"/>
      <c r="AR2749" s="19"/>
      <c r="AS2749" s="20"/>
      <c r="AT2749" s="19"/>
      <c r="AV2749" s="21">
        <f>IF(AND($AL2749&lt;&gt;"",COUNTIF($AL$11:$AL2749,$AL2749)=1),1,0)</f>
        <v>0</v>
      </c>
      <c r="AW2749" s="21">
        <f t="shared" si="171"/>
        <v>0</v>
      </c>
      <c r="AX2749" s="21" t="str">
        <f t="shared" si="170"/>
        <v/>
      </c>
      <c r="AY2749" s="21" t="str">
        <f>IF(AND($AM2749&lt;&gt;"",$AS2749&lt;&gt;"✓"),SUMPRODUCT(($AM$11:$AM2749&lt;&gt;"")*($AS$11:$AS2749&lt;&gt;"✓")),"")</f>
        <v/>
      </c>
      <c r="AZ2749" s="21" t="str">
        <f>IF(AND($AM2749&lt;&gt;"",$AS2749="✓"),SUMPRODUCT(($AM$11:$AM2749&lt;&gt;"")*($AS$11:$AS2749="✓")),"")</f>
        <v/>
      </c>
      <c r="BA2749" s="21" t="str">
        <f>IF($AL2749="","",$AL2749&amp;"|"&amp;COUNTIF($AL$11:$AL2749,$AL2749))</f>
        <v/>
      </c>
    </row>
    <row r="2750" spans="38:53" ht="15" customHeight="1" x14ac:dyDescent="0.25">
      <c r="AL2750" s="31"/>
      <c r="AM2750" s="26"/>
      <c r="AN2750" s="32"/>
      <c r="AO2750" s="32"/>
      <c r="AP2750" s="24"/>
      <c r="AQ2750" s="24"/>
      <c r="AR2750" s="33"/>
      <c r="AS2750" s="34"/>
      <c r="AT2750" s="33"/>
      <c r="AV2750" s="21">
        <f>IF(AND($AL2750&lt;&gt;"",COUNTIF($AL$11:$AL2750,$AL2750)=1),1,0)</f>
        <v>0</v>
      </c>
      <c r="AW2750" s="21">
        <f t="shared" si="171"/>
        <v>0</v>
      </c>
      <c r="AX2750" s="21" t="str">
        <f t="shared" si="170"/>
        <v/>
      </c>
      <c r="AY2750" s="21" t="str">
        <f>IF(AND($AM2750&lt;&gt;"",$AS2750&lt;&gt;"✓"),SUMPRODUCT(($AM$11:$AM2750&lt;&gt;"")*($AS$11:$AS2750&lt;&gt;"✓")),"")</f>
        <v/>
      </c>
      <c r="AZ2750" s="21" t="str">
        <f>IF(AND($AM2750&lt;&gt;"",$AS2750="✓"),SUMPRODUCT(($AM$11:$AM2750&lt;&gt;"")*($AS$11:$AS2750="✓")),"")</f>
        <v/>
      </c>
      <c r="BA2750" s="21" t="str">
        <f>IF($AL2750="","",$AL2750&amp;"|"&amp;COUNTIF($AL$11:$AL2750,$AL2750))</f>
        <v/>
      </c>
    </row>
    <row r="2751" spans="38:53" ht="15" customHeight="1" x14ac:dyDescent="0.25">
      <c r="AL2751" s="17"/>
      <c r="AM2751" s="12"/>
      <c r="AN2751" s="18"/>
      <c r="AO2751" s="18"/>
      <c r="AP2751" s="10"/>
      <c r="AQ2751" s="10"/>
      <c r="AR2751" s="19"/>
      <c r="AS2751" s="20"/>
      <c r="AT2751" s="19"/>
      <c r="AV2751" s="21">
        <f>IF(AND($AL2751&lt;&gt;"",COUNTIF($AL$11:$AL2751,$AL2751)=1),1,0)</f>
        <v>0</v>
      </c>
      <c r="AW2751" s="21">
        <f t="shared" si="171"/>
        <v>0</v>
      </c>
      <c r="AX2751" s="21" t="str">
        <f t="shared" si="170"/>
        <v/>
      </c>
      <c r="AY2751" s="21" t="str">
        <f>IF(AND($AM2751&lt;&gt;"",$AS2751&lt;&gt;"✓"),SUMPRODUCT(($AM$11:$AM2751&lt;&gt;"")*($AS$11:$AS2751&lt;&gt;"✓")),"")</f>
        <v/>
      </c>
      <c r="AZ2751" s="21" t="str">
        <f>IF(AND($AM2751&lt;&gt;"",$AS2751="✓"),SUMPRODUCT(($AM$11:$AM2751&lt;&gt;"")*($AS$11:$AS2751="✓")),"")</f>
        <v/>
      </c>
      <c r="BA2751" s="21" t="str">
        <f>IF($AL2751="","",$AL2751&amp;"|"&amp;COUNTIF($AL$11:$AL2751,$AL2751))</f>
        <v/>
      </c>
    </row>
    <row r="2752" spans="38:53" ht="15" customHeight="1" x14ac:dyDescent="0.25">
      <c r="AL2752" s="31"/>
      <c r="AM2752" s="26"/>
      <c r="AN2752" s="32"/>
      <c r="AO2752" s="32"/>
      <c r="AP2752" s="24"/>
      <c r="AQ2752" s="24"/>
      <c r="AR2752" s="33"/>
      <c r="AS2752" s="34"/>
      <c r="AT2752" s="33"/>
      <c r="AV2752" s="21">
        <f>IF(AND($AL2752&lt;&gt;"",COUNTIF($AL$11:$AL2752,$AL2752)=1),1,0)</f>
        <v>0</v>
      </c>
      <c r="AW2752" s="21">
        <f t="shared" si="171"/>
        <v>0</v>
      </c>
      <c r="AX2752" s="21" t="str">
        <f t="shared" si="170"/>
        <v/>
      </c>
      <c r="AY2752" s="21" t="str">
        <f>IF(AND($AM2752&lt;&gt;"",$AS2752&lt;&gt;"✓"),SUMPRODUCT(($AM$11:$AM2752&lt;&gt;"")*($AS$11:$AS2752&lt;&gt;"✓")),"")</f>
        <v/>
      </c>
      <c r="AZ2752" s="21" t="str">
        <f>IF(AND($AM2752&lt;&gt;"",$AS2752="✓"),SUMPRODUCT(($AM$11:$AM2752&lt;&gt;"")*($AS$11:$AS2752="✓")),"")</f>
        <v/>
      </c>
      <c r="BA2752" s="21" t="str">
        <f>IF($AL2752="","",$AL2752&amp;"|"&amp;COUNTIF($AL$11:$AL2752,$AL2752))</f>
        <v/>
      </c>
    </row>
    <row r="2753" spans="38:53" ht="15" customHeight="1" x14ac:dyDescent="0.25">
      <c r="AL2753" s="17"/>
      <c r="AM2753" s="12"/>
      <c r="AN2753" s="18"/>
      <c r="AO2753" s="18"/>
      <c r="AP2753" s="10"/>
      <c r="AQ2753" s="10"/>
      <c r="AR2753" s="19"/>
      <c r="AS2753" s="20"/>
      <c r="AT2753" s="19"/>
      <c r="AV2753" s="21">
        <f>IF(AND($AL2753&lt;&gt;"",COUNTIF($AL$11:$AL2753,$AL2753)=1),1,0)</f>
        <v>0</v>
      </c>
      <c r="AW2753" s="21">
        <f t="shared" si="171"/>
        <v>0</v>
      </c>
      <c r="AX2753" s="21" t="str">
        <f t="shared" si="170"/>
        <v/>
      </c>
      <c r="AY2753" s="21" t="str">
        <f>IF(AND($AM2753&lt;&gt;"",$AS2753&lt;&gt;"✓"),SUMPRODUCT(($AM$11:$AM2753&lt;&gt;"")*($AS$11:$AS2753&lt;&gt;"✓")),"")</f>
        <v/>
      </c>
      <c r="AZ2753" s="21" t="str">
        <f>IF(AND($AM2753&lt;&gt;"",$AS2753="✓"),SUMPRODUCT(($AM$11:$AM2753&lt;&gt;"")*($AS$11:$AS2753="✓")),"")</f>
        <v/>
      </c>
      <c r="BA2753" s="21" t="str">
        <f>IF($AL2753="","",$AL2753&amp;"|"&amp;COUNTIF($AL$11:$AL2753,$AL2753))</f>
        <v/>
      </c>
    </row>
    <row r="2754" spans="38:53" ht="15" customHeight="1" x14ac:dyDescent="0.25">
      <c r="AL2754" s="31"/>
      <c r="AM2754" s="26"/>
      <c r="AN2754" s="32"/>
      <c r="AO2754" s="32"/>
      <c r="AP2754" s="24"/>
      <c r="AQ2754" s="24"/>
      <c r="AR2754" s="33"/>
      <c r="AS2754" s="34"/>
      <c r="AT2754" s="33"/>
      <c r="AV2754" s="21">
        <f>IF(AND($AL2754&lt;&gt;"",COUNTIF($AL$11:$AL2754,$AL2754)=1),1,0)</f>
        <v>0</v>
      </c>
      <c r="AW2754" s="21">
        <f t="shared" si="171"/>
        <v>0</v>
      </c>
      <c r="AX2754" s="21" t="str">
        <f t="shared" si="170"/>
        <v/>
      </c>
      <c r="AY2754" s="21" t="str">
        <f>IF(AND($AM2754&lt;&gt;"",$AS2754&lt;&gt;"✓"),SUMPRODUCT(($AM$11:$AM2754&lt;&gt;"")*($AS$11:$AS2754&lt;&gt;"✓")),"")</f>
        <v/>
      </c>
      <c r="AZ2754" s="21" t="str">
        <f>IF(AND($AM2754&lt;&gt;"",$AS2754="✓"),SUMPRODUCT(($AM$11:$AM2754&lt;&gt;"")*($AS$11:$AS2754="✓")),"")</f>
        <v/>
      </c>
      <c r="BA2754" s="21" t="str">
        <f>IF($AL2754="","",$AL2754&amp;"|"&amp;COUNTIF($AL$11:$AL2754,$AL2754))</f>
        <v/>
      </c>
    </row>
    <row r="2755" spans="38:53" ht="15" customHeight="1" x14ac:dyDescent="0.25">
      <c r="AL2755" s="17"/>
      <c r="AM2755" s="12"/>
      <c r="AN2755" s="18"/>
      <c r="AO2755" s="18"/>
      <c r="AP2755" s="10"/>
      <c r="AQ2755" s="10"/>
      <c r="AR2755" s="19"/>
      <c r="AS2755" s="20"/>
      <c r="AT2755" s="19"/>
      <c r="AV2755" s="21">
        <f>IF(AND($AL2755&lt;&gt;"",COUNTIF($AL$11:$AL2755,$AL2755)=1),1,0)</f>
        <v>0</v>
      </c>
      <c r="AW2755" s="21">
        <f t="shared" si="171"/>
        <v>0</v>
      </c>
      <c r="AX2755" s="21" t="str">
        <f t="shared" si="170"/>
        <v/>
      </c>
      <c r="AY2755" s="21" t="str">
        <f>IF(AND($AM2755&lt;&gt;"",$AS2755&lt;&gt;"✓"),SUMPRODUCT(($AM$11:$AM2755&lt;&gt;"")*($AS$11:$AS2755&lt;&gt;"✓")),"")</f>
        <v/>
      </c>
      <c r="AZ2755" s="21" t="str">
        <f>IF(AND($AM2755&lt;&gt;"",$AS2755="✓"),SUMPRODUCT(($AM$11:$AM2755&lt;&gt;"")*($AS$11:$AS2755="✓")),"")</f>
        <v/>
      </c>
      <c r="BA2755" s="21" t="str">
        <f>IF($AL2755="","",$AL2755&amp;"|"&amp;COUNTIF($AL$11:$AL2755,$AL2755))</f>
        <v/>
      </c>
    </row>
    <row r="2756" spans="38:53" ht="15" customHeight="1" x14ac:dyDescent="0.25">
      <c r="AL2756" s="31"/>
      <c r="AM2756" s="26"/>
      <c r="AN2756" s="32"/>
      <c r="AO2756" s="32"/>
      <c r="AP2756" s="24"/>
      <c r="AQ2756" s="24"/>
      <c r="AR2756" s="33"/>
      <c r="AS2756" s="34"/>
      <c r="AT2756" s="33"/>
      <c r="AV2756" s="21">
        <f>IF(AND($AL2756&lt;&gt;"",COUNTIF($AL$11:$AL2756,$AL2756)=1),1,0)</f>
        <v>0</v>
      </c>
      <c r="AW2756" s="21">
        <f t="shared" si="171"/>
        <v>0</v>
      </c>
      <c r="AX2756" s="21" t="str">
        <f t="shared" si="170"/>
        <v/>
      </c>
      <c r="AY2756" s="21" t="str">
        <f>IF(AND($AM2756&lt;&gt;"",$AS2756&lt;&gt;"✓"),SUMPRODUCT(($AM$11:$AM2756&lt;&gt;"")*($AS$11:$AS2756&lt;&gt;"✓")),"")</f>
        <v/>
      </c>
      <c r="AZ2756" s="21" t="str">
        <f>IF(AND($AM2756&lt;&gt;"",$AS2756="✓"),SUMPRODUCT(($AM$11:$AM2756&lt;&gt;"")*($AS$11:$AS2756="✓")),"")</f>
        <v/>
      </c>
      <c r="BA2756" s="21" t="str">
        <f>IF($AL2756="","",$AL2756&amp;"|"&amp;COUNTIF($AL$11:$AL2756,$AL2756))</f>
        <v/>
      </c>
    </row>
    <row r="2757" spans="38:53" ht="15" customHeight="1" x14ac:dyDescent="0.25">
      <c r="AL2757" s="17"/>
      <c r="AM2757" s="12"/>
      <c r="AN2757" s="18"/>
      <c r="AO2757" s="18"/>
      <c r="AP2757" s="10"/>
      <c r="AQ2757" s="10"/>
      <c r="AR2757" s="19"/>
      <c r="AS2757" s="20"/>
      <c r="AT2757" s="19"/>
      <c r="AV2757" s="21">
        <f>IF(AND($AL2757&lt;&gt;"",COUNTIF($AL$11:$AL2757,$AL2757)=1),1,0)</f>
        <v>0</v>
      </c>
      <c r="AW2757" s="21">
        <f t="shared" si="171"/>
        <v>0</v>
      </c>
      <c r="AX2757" s="21" t="str">
        <f t="shared" si="170"/>
        <v/>
      </c>
      <c r="AY2757" s="21" t="str">
        <f>IF(AND($AM2757&lt;&gt;"",$AS2757&lt;&gt;"✓"),SUMPRODUCT(($AM$11:$AM2757&lt;&gt;"")*($AS$11:$AS2757&lt;&gt;"✓")),"")</f>
        <v/>
      </c>
      <c r="AZ2757" s="21" t="str">
        <f>IF(AND($AM2757&lt;&gt;"",$AS2757="✓"),SUMPRODUCT(($AM$11:$AM2757&lt;&gt;"")*($AS$11:$AS2757="✓")),"")</f>
        <v/>
      </c>
      <c r="BA2757" s="21" t="str">
        <f>IF($AL2757="","",$AL2757&amp;"|"&amp;COUNTIF($AL$11:$AL2757,$AL2757))</f>
        <v/>
      </c>
    </row>
    <row r="2758" spans="38:53" ht="15" customHeight="1" x14ac:dyDescent="0.25">
      <c r="AL2758" s="31"/>
      <c r="AM2758" s="26"/>
      <c r="AN2758" s="32"/>
      <c r="AO2758" s="32"/>
      <c r="AP2758" s="24"/>
      <c r="AQ2758" s="24"/>
      <c r="AR2758" s="33"/>
      <c r="AS2758" s="34"/>
      <c r="AT2758" s="33"/>
      <c r="AV2758" s="21">
        <f>IF(AND($AL2758&lt;&gt;"",COUNTIF($AL$11:$AL2758,$AL2758)=1),1,0)</f>
        <v>0</v>
      </c>
      <c r="AW2758" s="21">
        <f t="shared" si="171"/>
        <v>0</v>
      </c>
      <c r="AX2758" s="21" t="str">
        <f t="shared" si="170"/>
        <v/>
      </c>
      <c r="AY2758" s="21" t="str">
        <f>IF(AND($AM2758&lt;&gt;"",$AS2758&lt;&gt;"✓"),SUMPRODUCT(($AM$11:$AM2758&lt;&gt;"")*($AS$11:$AS2758&lt;&gt;"✓")),"")</f>
        <v/>
      </c>
      <c r="AZ2758" s="21" t="str">
        <f>IF(AND($AM2758&lt;&gt;"",$AS2758="✓"),SUMPRODUCT(($AM$11:$AM2758&lt;&gt;"")*($AS$11:$AS2758="✓")),"")</f>
        <v/>
      </c>
      <c r="BA2758" s="21" t="str">
        <f>IF($AL2758="","",$AL2758&amp;"|"&amp;COUNTIF($AL$11:$AL2758,$AL2758))</f>
        <v/>
      </c>
    </row>
    <row r="2759" spans="38:53" ht="15" customHeight="1" x14ac:dyDescent="0.25">
      <c r="AL2759" s="17"/>
      <c r="AM2759" s="12"/>
      <c r="AN2759" s="18"/>
      <c r="AO2759" s="18"/>
      <c r="AP2759" s="10"/>
      <c r="AQ2759" s="10"/>
      <c r="AR2759" s="19"/>
      <c r="AS2759" s="20"/>
      <c r="AT2759" s="19"/>
      <c r="AV2759" s="21">
        <f>IF(AND($AL2759&lt;&gt;"",COUNTIF($AL$11:$AL2759,$AL2759)=1),1,0)</f>
        <v>0</v>
      </c>
      <c r="AW2759" s="21">
        <f t="shared" si="171"/>
        <v>0</v>
      </c>
      <c r="AX2759" s="21" t="str">
        <f t="shared" si="170"/>
        <v/>
      </c>
      <c r="AY2759" s="21" t="str">
        <f>IF(AND($AM2759&lt;&gt;"",$AS2759&lt;&gt;"✓"),SUMPRODUCT(($AM$11:$AM2759&lt;&gt;"")*($AS$11:$AS2759&lt;&gt;"✓")),"")</f>
        <v/>
      </c>
      <c r="AZ2759" s="21" t="str">
        <f>IF(AND($AM2759&lt;&gt;"",$AS2759="✓"),SUMPRODUCT(($AM$11:$AM2759&lt;&gt;"")*($AS$11:$AS2759="✓")),"")</f>
        <v/>
      </c>
      <c r="BA2759" s="21" t="str">
        <f>IF($AL2759="","",$AL2759&amp;"|"&amp;COUNTIF($AL$11:$AL2759,$AL2759))</f>
        <v/>
      </c>
    </row>
    <row r="2760" spans="38:53" ht="15" customHeight="1" x14ac:dyDescent="0.25">
      <c r="AL2760" s="31"/>
      <c r="AM2760" s="26"/>
      <c r="AN2760" s="32"/>
      <c r="AO2760" s="32"/>
      <c r="AP2760" s="24"/>
      <c r="AQ2760" s="24"/>
      <c r="AR2760" s="33"/>
      <c r="AS2760" s="34"/>
      <c r="AT2760" s="33"/>
      <c r="AV2760" s="21">
        <f>IF(AND($AL2760&lt;&gt;"",COUNTIF($AL$11:$AL2760,$AL2760)=1),1,0)</f>
        <v>0</v>
      </c>
      <c r="AW2760" s="21">
        <f t="shared" si="171"/>
        <v>0</v>
      </c>
      <c r="AX2760" s="21" t="str">
        <f t="shared" si="170"/>
        <v/>
      </c>
      <c r="AY2760" s="21" t="str">
        <f>IF(AND($AM2760&lt;&gt;"",$AS2760&lt;&gt;"✓"),SUMPRODUCT(($AM$11:$AM2760&lt;&gt;"")*($AS$11:$AS2760&lt;&gt;"✓")),"")</f>
        <v/>
      </c>
      <c r="AZ2760" s="21" t="str">
        <f>IF(AND($AM2760&lt;&gt;"",$AS2760="✓"),SUMPRODUCT(($AM$11:$AM2760&lt;&gt;"")*($AS$11:$AS2760="✓")),"")</f>
        <v/>
      </c>
      <c r="BA2760" s="21" t="str">
        <f>IF($AL2760="","",$AL2760&amp;"|"&amp;COUNTIF($AL$11:$AL2760,$AL2760))</f>
        <v/>
      </c>
    </row>
    <row r="2761" spans="38:53" ht="15" customHeight="1" x14ac:dyDescent="0.25">
      <c r="AL2761" s="17"/>
      <c r="AM2761" s="12"/>
      <c r="AN2761" s="18"/>
      <c r="AO2761" s="18"/>
      <c r="AP2761" s="10"/>
      <c r="AQ2761" s="10"/>
      <c r="AR2761" s="19"/>
      <c r="AS2761" s="20"/>
      <c r="AT2761" s="19"/>
      <c r="AV2761" s="21">
        <f>IF(AND($AL2761&lt;&gt;"",COUNTIF($AL$11:$AL2761,$AL2761)=1),1,0)</f>
        <v>0</v>
      </c>
      <c r="AW2761" s="21">
        <f t="shared" si="171"/>
        <v>0</v>
      </c>
      <c r="AX2761" s="21" t="str">
        <f t="shared" si="170"/>
        <v/>
      </c>
      <c r="AY2761" s="21" t="str">
        <f>IF(AND($AM2761&lt;&gt;"",$AS2761&lt;&gt;"✓"),SUMPRODUCT(($AM$11:$AM2761&lt;&gt;"")*($AS$11:$AS2761&lt;&gt;"✓")),"")</f>
        <v/>
      </c>
      <c r="AZ2761" s="21" t="str">
        <f>IF(AND($AM2761&lt;&gt;"",$AS2761="✓"),SUMPRODUCT(($AM$11:$AM2761&lt;&gt;"")*($AS$11:$AS2761="✓")),"")</f>
        <v/>
      </c>
      <c r="BA2761" s="21" t="str">
        <f>IF($AL2761="","",$AL2761&amp;"|"&amp;COUNTIF($AL$11:$AL2761,$AL2761))</f>
        <v/>
      </c>
    </row>
    <row r="2762" spans="38:53" ht="15" customHeight="1" x14ac:dyDescent="0.25">
      <c r="AL2762" s="31"/>
      <c r="AM2762" s="26"/>
      <c r="AN2762" s="32"/>
      <c r="AO2762" s="32"/>
      <c r="AP2762" s="24"/>
      <c r="AQ2762" s="24"/>
      <c r="AR2762" s="33"/>
      <c r="AS2762" s="34"/>
      <c r="AT2762" s="33"/>
      <c r="AV2762" s="21">
        <f>IF(AND($AL2762&lt;&gt;"",COUNTIF($AL$11:$AL2762,$AL2762)=1),1,0)</f>
        <v>0</v>
      </c>
      <c r="AW2762" s="21">
        <f t="shared" si="171"/>
        <v>0</v>
      </c>
      <c r="AX2762" s="21" t="str">
        <f t="shared" si="170"/>
        <v/>
      </c>
      <c r="AY2762" s="21" t="str">
        <f>IF(AND($AM2762&lt;&gt;"",$AS2762&lt;&gt;"✓"),SUMPRODUCT(($AM$11:$AM2762&lt;&gt;"")*($AS$11:$AS2762&lt;&gt;"✓")),"")</f>
        <v/>
      </c>
      <c r="AZ2762" s="21" t="str">
        <f>IF(AND($AM2762&lt;&gt;"",$AS2762="✓"),SUMPRODUCT(($AM$11:$AM2762&lt;&gt;"")*($AS$11:$AS2762="✓")),"")</f>
        <v/>
      </c>
      <c r="BA2762" s="21" t="str">
        <f>IF($AL2762="","",$AL2762&amp;"|"&amp;COUNTIF($AL$11:$AL2762,$AL2762))</f>
        <v/>
      </c>
    </row>
    <row r="2763" spans="38:53" ht="15" customHeight="1" x14ac:dyDescent="0.25">
      <c r="AL2763" s="17"/>
      <c r="AM2763" s="12"/>
      <c r="AN2763" s="18"/>
      <c r="AO2763" s="18"/>
      <c r="AP2763" s="10"/>
      <c r="AQ2763" s="10"/>
      <c r="AR2763" s="19"/>
      <c r="AS2763" s="20"/>
      <c r="AT2763" s="19"/>
      <c r="AV2763" s="21">
        <f>IF(AND($AL2763&lt;&gt;"",COUNTIF($AL$11:$AL2763,$AL2763)=1),1,0)</f>
        <v>0</v>
      </c>
      <c r="AW2763" s="21">
        <f t="shared" si="171"/>
        <v>0</v>
      </c>
      <c r="AX2763" s="21" t="str">
        <f t="shared" ref="AX2763:AX2826" si="172">IF(AV2763=1,AW2763,"")</f>
        <v/>
      </c>
      <c r="AY2763" s="21" t="str">
        <f>IF(AND($AM2763&lt;&gt;"",$AS2763&lt;&gt;"✓"),SUMPRODUCT(($AM$11:$AM2763&lt;&gt;"")*($AS$11:$AS2763&lt;&gt;"✓")),"")</f>
        <v/>
      </c>
      <c r="AZ2763" s="21" t="str">
        <f>IF(AND($AM2763&lt;&gt;"",$AS2763="✓"),SUMPRODUCT(($AM$11:$AM2763&lt;&gt;"")*($AS$11:$AS2763="✓")),"")</f>
        <v/>
      </c>
      <c r="BA2763" s="21" t="str">
        <f>IF($AL2763="","",$AL2763&amp;"|"&amp;COUNTIF($AL$11:$AL2763,$AL2763))</f>
        <v/>
      </c>
    </row>
    <row r="2764" spans="38:53" ht="15" customHeight="1" x14ac:dyDescent="0.25">
      <c r="AL2764" s="31"/>
      <c r="AM2764" s="26"/>
      <c r="AN2764" s="32"/>
      <c r="AO2764" s="32"/>
      <c r="AP2764" s="24"/>
      <c r="AQ2764" s="24"/>
      <c r="AR2764" s="33"/>
      <c r="AS2764" s="34"/>
      <c r="AT2764" s="33"/>
      <c r="AV2764" s="21">
        <f>IF(AND($AL2764&lt;&gt;"",COUNTIF($AL$11:$AL2764,$AL2764)=1),1,0)</f>
        <v>0</v>
      </c>
      <c r="AW2764" s="21">
        <f t="shared" ref="AW2764:AW2827" si="173">AW2763+AV2764</f>
        <v>0</v>
      </c>
      <c r="AX2764" s="21" t="str">
        <f t="shared" si="172"/>
        <v/>
      </c>
      <c r="AY2764" s="21" t="str">
        <f>IF(AND($AM2764&lt;&gt;"",$AS2764&lt;&gt;"✓"),SUMPRODUCT(($AM$11:$AM2764&lt;&gt;"")*($AS$11:$AS2764&lt;&gt;"✓")),"")</f>
        <v/>
      </c>
      <c r="AZ2764" s="21" t="str">
        <f>IF(AND($AM2764&lt;&gt;"",$AS2764="✓"),SUMPRODUCT(($AM$11:$AM2764&lt;&gt;"")*($AS$11:$AS2764="✓")),"")</f>
        <v/>
      </c>
      <c r="BA2764" s="21" t="str">
        <f>IF($AL2764="","",$AL2764&amp;"|"&amp;COUNTIF($AL$11:$AL2764,$AL2764))</f>
        <v/>
      </c>
    </row>
    <row r="2765" spans="38:53" ht="15" customHeight="1" x14ac:dyDescent="0.25">
      <c r="AL2765" s="17"/>
      <c r="AM2765" s="12"/>
      <c r="AN2765" s="18"/>
      <c r="AO2765" s="18"/>
      <c r="AP2765" s="10"/>
      <c r="AQ2765" s="10"/>
      <c r="AR2765" s="19"/>
      <c r="AS2765" s="20"/>
      <c r="AT2765" s="19"/>
      <c r="AV2765" s="21">
        <f>IF(AND($AL2765&lt;&gt;"",COUNTIF($AL$11:$AL2765,$AL2765)=1),1,0)</f>
        <v>0</v>
      </c>
      <c r="AW2765" s="21">
        <f t="shared" si="173"/>
        <v>0</v>
      </c>
      <c r="AX2765" s="21" t="str">
        <f t="shared" si="172"/>
        <v/>
      </c>
      <c r="AY2765" s="21" t="str">
        <f>IF(AND($AM2765&lt;&gt;"",$AS2765&lt;&gt;"✓"),SUMPRODUCT(($AM$11:$AM2765&lt;&gt;"")*($AS$11:$AS2765&lt;&gt;"✓")),"")</f>
        <v/>
      </c>
      <c r="AZ2765" s="21" t="str">
        <f>IF(AND($AM2765&lt;&gt;"",$AS2765="✓"),SUMPRODUCT(($AM$11:$AM2765&lt;&gt;"")*($AS$11:$AS2765="✓")),"")</f>
        <v/>
      </c>
      <c r="BA2765" s="21" t="str">
        <f>IF($AL2765="","",$AL2765&amp;"|"&amp;COUNTIF($AL$11:$AL2765,$AL2765))</f>
        <v/>
      </c>
    </row>
    <row r="2766" spans="38:53" ht="15" customHeight="1" x14ac:dyDescent="0.25">
      <c r="AL2766" s="31"/>
      <c r="AM2766" s="26"/>
      <c r="AN2766" s="32"/>
      <c r="AO2766" s="32"/>
      <c r="AP2766" s="24"/>
      <c r="AQ2766" s="24"/>
      <c r="AR2766" s="33"/>
      <c r="AS2766" s="34"/>
      <c r="AT2766" s="33"/>
      <c r="AV2766" s="21">
        <f>IF(AND($AL2766&lt;&gt;"",COUNTIF($AL$11:$AL2766,$AL2766)=1),1,0)</f>
        <v>0</v>
      </c>
      <c r="AW2766" s="21">
        <f t="shared" si="173"/>
        <v>0</v>
      </c>
      <c r="AX2766" s="21" t="str">
        <f t="shared" si="172"/>
        <v/>
      </c>
      <c r="AY2766" s="21" t="str">
        <f>IF(AND($AM2766&lt;&gt;"",$AS2766&lt;&gt;"✓"),SUMPRODUCT(($AM$11:$AM2766&lt;&gt;"")*($AS$11:$AS2766&lt;&gt;"✓")),"")</f>
        <v/>
      </c>
      <c r="AZ2766" s="21" t="str">
        <f>IF(AND($AM2766&lt;&gt;"",$AS2766="✓"),SUMPRODUCT(($AM$11:$AM2766&lt;&gt;"")*($AS$11:$AS2766="✓")),"")</f>
        <v/>
      </c>
      <c r="BA2766" s="21" t="str">
        <f>IF($AL2766="","",$AL2766&amp;"|"&amp;COUNTIF($AL$11:$AL2766,$AL2766))</f>
        <v/>
      </c>
    </row>
    <row r="2767" spans="38:53" ht="15" customHeight="1" x14ac:dyDescent="0.25">
      <c r="AL2767" s="17"/>
      <c r="AM2767" s="12"/>
      <c r="AN2767" s="18"/>
      <c r="AO2767" s="18"/>
      <c r="AP2767" s="10"/>
      <c r="AQ2767" s="10"/>
      <c r="AR2767" s="19"/>
      <c r="AS2767" s="20"/>
      <c r="AT2767" s="19"/>
      <c r="AV2767" s="21">
        <f>IF(AND($AL2767&lt;&gt;"",COUNTIF($AL$11:$AL2767,$AL2767)=1),1,0)</f>
        <v>0</v>
      </c>
      <c r="AW2767" s="21">
        <f t="shared" si="173"/>
        <v>0</v>
      </c>
      <c r="AX2767" s="21" t="str">
        <f t="shared" si="172"/>
        <v/>
      </c>
      <c r="AY2767" s="21" t="str">
        <f>IF(AND($AM2767&lt;&gt;"",$AS2767&lt;&gt;"✓"),SUMPRODUCT(($AM$11:$AM2767&lt;&gt;"")*($AS$11:$AS2767&lt;&gt;"✓")),"")</f>
        <v/>
      </c>
      <c r="AZ2767" s="21" t="str">
        <f>IF(AND($AM2767&lt;&gt;"",$AS2767="✓"),SUMPRODUCT(($AM$11:$AM2767&lt;&gt;"")*($AS$11:$AS2767="✓")),"")</f>
        <v/>
      </c>
      <c r="BA2767" s="21" t="str">
        <f>IF($AL2767="","",$AL2767&amp;"|"&amp;COUNTIF($AL$11:$AL2767,$AL2767))</f>
        <v/>
      </c>
    </row>
    <row r="2768" spans="38:53" ht="15" customHeight="1" x14ac:dyDescent="0.25">
      <c r="AL2768" s="31"/>
      <c r="AM2768" s="26"/>
      <c r="AN2768" s="32"/>
      <c r="AO2768" s="32"/>
      <c r="AP2768" s="24"/>
      <c r="AQ2768" s="24"/>
      <c r="AR2768" s="33"/>
      <c r="AS2768" s="34"/>
      <c r="AT2768" s="33"/>
      <c r="AV2768" s="21">
        <f>IF(AND($AL2768&lt;&gt;"",COUNTIF($AL$11:$AL2768,$AL2768)=1),1,0)</f>
        <v>0</v>
      </c>
      <c r="AW2768" s="21">
        <f t="shared" si="173"/>
        <v>0</v>
      </c>
      <c r="AX2768" s="21" t="str">
        <f t="shared" si="172"/>
        <v/>
      </c>
      <c r="AY2768" s="21" t="str">
        <f>IF(AND($AM2768&lt;&gt;"",$AS2768&lt;&gt;"✓"),SUMPRODUCT(($AM$11:$AM2768&lt;&gt;"")*($AS$11:$AS2768&lt;&gt;"✓")),"")</f>
        <v/>
      </c>
      <c r="AZ2768" s="21" t="str">
        <f>IF(AND($AM2768&lt;&gt;"",$AS2768="✓"),SUMPRODUCT(($AM$11:$AM2768&lt;&gt;"")*($AS$11:$AS2768="✓")),"")</f>
        <v/>
      </c>
      <c r="BA2768" s="21" t="str">
        <f>IF($AL2768="","",$AL2768&amp;"|"&amp;COUNTIF($AL$11:$AL2768,$AL2768))</f>
        <v/>
      </c>
    </row>
    <row r="2769" spans="38:53" ht="15" customHeight="1" x14ac:dyDescent="0.25">
      <c r="AL2769" s="17"/>
      <c r="AM2769" s="12"/>
      <c r="AN2769" s="18"/>
      <c r="AO2769" s="18"/>
      <c r="AP2769" s="10"/>
      <c r="AQ2769" s="10"/>
      <c r="AR2769" s="19"/>
      <c r="AS2769" s="20"/>
      <c r="AT2769" s="19"/>
      <c r="AV2769" s="21">
        <f>IF(AND($AL2769&lt;&gt;"",COUNTIF($AL$11:$AL2769,$AL2769)=1),1,0)</f>
        <v>0</v>
      </c>
      <c r="AW2769" s="21">
        <f t="shared" si="173"/>
        <v>0</v>
      </c>
      <c r="AX2769" s="21" t="str">
        <f t="shared" si="172"/>
        <v/>
      </c>
      <c r="AY2769" s="21" t="str">
        <f>IF(AND($AM2769&lt;&gt;"",$AS2769&lt;&gt;"✓"),SUMPRODUCT(($AM$11:$AM2769&lt;&gt;"")*($AS$11:$AS2769&lt;&gt;"✓")),"")</f>
        <v/>
      </c>
      <c r="AZ2769" s="21" t="str">
        <f>IF(AND($AM2769&lt;&gt;"",$AS2769="✓"),SUMPRODUCT(($AM$11:$AM2769&lt;&gt;"")*($AS$11:$AS2769="✓")),"")</f>
        <v/>
      </c>
      <c r="BA2769" s="21" t="str">
        <f>IF($AL2769="","",$AL2769&amp;"|"&amp;COUNTIF($AL$11:$AL2769,$AL2769))</f>
        <v/>
      </c>
    </row>
    <row r="2770" spans="38:53" ht="15" customHeight="1" x14ac:dyDescent="0.25">
      <c r="AL2770" s="31"/>
      <c r="AM2770" s="26"/>
      <c r="AN2770" s="32"/>
      <c r="AO2770" s="32"/>
      <c r="AP2770" s="24"/>
      <c r="AQ2770" s="24"/>
      <c r="AR2770" s="33"/>
      <c r="AS2770" s="34"/>
      <c r="AT2770" s="33"/>
      <c r="AV2770" s="21">
        <f>IF(AND($AL2770&lt;&gt;"",COUNTIF($AL$11:$AL2770,$AL2770)=1),1,0)</f>
        <v>0</v>
      </c>
      <c r="AW2770" s="21">
        <f t="shared" si="173"/>
        <v>0</v>
      </c>
      <c r="AX2770" s="21" t="str">
        <f t="shared" si="172"/>
        <v/>
      </c>
      <c r="AY2770" s="21" t="str">
        <f>IF(AND($AM2770&lt;&gt;"",$AS2770&lt;&gt;"✓"),SUMPRODUCT(($AM$11:$AM2770&lt;&gt;"")*($AS$11:$AS2770&lt;&gt;"✓")),"")</f>
        <v/>
      </c>
      <c r="AZ2770" s="21" t="str">
        <f>IF(AND($AM2770&lt;&gt;"",$AS2770="✓"),SUMPRODUCT(($AM$11:$AM2770&lt;&gt;"")*($AS$11:$AS2770="✓")),"")</f>
        <v/>
      </c>
      <c r="BA2770" s="21" t="str">
        <f>IF($AL2770="","",$AL2770&amp;"|"&amp;COUNTIF($AL$11:$AL2770,$AL2770))</f>
        <v/>
      </c>
    </row>
    <row r="2771" spans="38:53" ht="15" customHeight="1" x14ac:dyDescent="0.25">
      <c r="AL2771" s="17"/>
      <c r="AM2771" s="12"/>
      <c r="AN2771" s="18"/>
      <c r="AO2771" s="18"/>
      <c r="AP2771" s="10"/>
      <c r="AQ2771" s="10"/>
      <c r="AR2771" s="19"/>
      <c r="AS2771" s="20"/>
      <c r="AT2771" s="19"/>
      <c r="AV2771" s="21">
        <f>IF(AND($AL2771&lt;&gt;"",COUNTIF($AL$11:$AL2771,$AL2771)=1),1,0)</f>
        <v>0</v>
      </c>
      <c r="AW2771" s="21">
        <f t="shared" si="173"/>
        <v>0</v>
      </c>
      <c r="AX2771" s="21" t="str">
        <f t="shared" si="172"/>
        <v/>
      </c>
      <c r="AY2771" s="21" t="str">
        <f>IF(AND($AM2771&lt;&gt;"",$AS2771&lt;&gt;"✓"),SUMPRODUCT(($AM$11:$AM2771&lt;&gt;"")*($AS$11:$AS2771&lt;&gt;"✓")),"")</f>
        <v/>
      </c>
      <c r="AZ2771" s="21" t="str">
        <f>IF(AND($AM2771&lt;&gt;"",$AS2771="✓"),SUMPRODUCT(($AM$11:$AM2771&lt;&gt;"")*($AS$11:$AS2771="✓")),"")</f>
        <v/>
      </c>
      <c r="BA2771" s="21" t="str">
        <f>IF($AL2771="","",$AL2771&amp;"|"&amp;COUNTIF($AL$11:$AL2771,$AL2771))</f>
        <v/>
      </c>
    </row>
    <row r="2772" spans="38:53" ht="15" customHeight="1" x14ac:dyDescent="0.25">
      <c r="AL2772" s="31"/>
      <c r="AM2772" s="26"/>
      <c r="AN2772" s="32"/>
      <c r="AO2772" s="32"/>
      <c r="AP2772" s="24"/>
      <c r="AQ2772" s="24"/>
      <c r="AR2772" s="33"/>
      <c r="AS2772" s="34"/>
      <c r="AT2772" s="33"/>
      <c r="AV2772" s="21">
        <f>IF(AND($AL2772&lt;&gt;"",COUNTIF($AL$11:$AL2772,$AL2772)=1),1,0)</f>
        <v>0</v>
      </c>
      <c r="AW2772" s="21">
        <f t="shared" si="173"/>
        <v>0</v>
      </c>
      <c r="AX2772" s="21" t="str">
        <f t="shared" si="172"/>
        <v/>
      </c>
      <c r="AY2772" s="21" t="str">
        <f>IF(AND($AM2772&lt;&gt;"",$AS2772&lt;&gt;"✓"),SUMPRODUCT(($AM$11:$AM2772&lt;&gt;"")*($AS$11:$AS2772&lt;&gt;"✓")),"")</f>
        <v/>
      </c>
      <c r="AZ2772" s="21" t="str">
        <f>IF(AND($AM2772&lt;&gt;"",$AS2772="✓"),SUMPRODUCT(($AM$11:$AM2772&lt;&gt;"")*($AS$11:$AS2772="✓")),"")</f>
        <v/>
      </c>
      <c r="BA2772" s="21" t="str">
        <f>IF($AL2772="","",$AL2772&amp;"|"&amp;COUNTIF($AL$11:$AL2772,$AL2772))</f>
        <v/>
      </c>
    </row>
    <row r="2773" spans="38:53" ht="15" customHeight="1" x14ac:dyDescent="0.25">
      <c r="AL2773" s="17"/>
      <c r="AM2773" s="12"/>
      <c r="AN2773" s="18"/>
      <c r="AO2773" s="18"/>
      <c r="AP2773" s="10"/>
      <c r="AQ2773" s="10"/>
      <c r="AR2773" s="19"/>
      <c r="AS2773" s="20"/>
      <c r="AT2773" s="19"/>
      <c r="AV2773" s="21">
        <f>IF(AND($AL2773&lt;&gt;"",COUNTIF($AL$11:$AL2773,$AL2773)=1),1,0)</f>
        <v>0</v>
      </c>
      <c r="AW2773" s="21">
        <f t="shared" si="173"/>
        <v>0</v>
      </c>
      <c r="AX2773" s="21" t="str">
        <f t="shared" si="172"/>
        <v/>
      </c>
      <c r="AY2773" s="21" t="str">
        <f>IF(AND($AM2773&lt;&gt;"",$AS2773&lt;&gt;"✓"),SUMPRODUCT(($AM$11:$AM2773&lt;&gt;"")*($AS$11:$AS2773&lt;&gt;"✓")),"")</f>
        <v/>
      </c>
      <c r="AZ2773" s="21" t="str">
        <f>IF(AND($AM2773&lt;&gt;"",$AS2773="✓"),SUMPRODUCT(($AM$11:$AM2773&lt;&gt;"")*($AS$11:$AS2773="✓")),"")</f>
        <v/>
      </c>
      <c r="BA2773" s="21" t="str">
        <f>IF($AL2773="","",$AL2773&amp;"|"&amp;COUNTIF($AL$11:$AL2773,$AL2773))</f>
        <v/>
      </c>
    </row>
    <row r="2774" spans="38:53" ht="15" customHeight="1" x14ac:dyDescent="0.25">
      <c r="AL2774" s="31"/>
      <c r="AM2774" s="26"/>
      <c r="AN2774" s="32"/>
      <c r="AO2774" s="32"/>
      <c r="AP2774" s="24"/>
      <c r="AQ2774" s="24"/>
      <c r="AR2774" s="33"/>
      <c r="AS2774" s="34"/>
      <c r="AT2774" s="33"/>
      <c r="AV2774" s="21">
        <f>IF(AND($AL2774&lt;&gt;"",COUNTIF($AL$11:$AL2774,$AL2774)=1),1,0)</f>
        <v>0</v>
      </c>
      <c r="AW2774" s="21">
        <f t="shared" si="173"/>
        <v>0</v>
      </c>
      <c r="AX2774" s="21" t="str">
        <f t="shared" si="172"/>
        <v/>
      </c>
      <c r="AY2774" s="21" t="str">
        <f>IF(AND($AM2774&lt;&gt;"",$AS2774&lt;&gt;"✓"),SUMPRODUCT(($AM$11:$AM2774&lt;&gt;"")*($AS$11:$AS2774&lt;&gt;"✓")),"")</f>
        <v/>
      </c>
      <c r="AZ2774" s="21" t="str">
        <f>IF(AND($AM2774&lt;&gt;"",$AS2774="✓"),SUMPRODUCT(($AM$11:$AM2774&lt;&gt;"")*($AS$11:$AS2774="✓")),"")</f>
        <v/>
      </c>
      <c r="BA2774" s="21" t="str">
        <f>IF($AL2774="","",$AL2774&amp;"|"&amp;COUNTIF($AL$11:$AL2774,$AL2774))</f>
        <v/>
      </c>
    </row>
    <row r="2775" spans="38:53" ht="15" customHeight="1" x14ac:dyDescent="0.25">
      <c r="AL2775" s="17"/>
      <c r="AM2775" s="12"/>
      <c r="AN2775" s="18"/>
      <c r="AO2775" s="18"/>
      <c r="AP2775" s="10"/>
      <c r="AQ2775" s="10"/>
      <c r="AR2775" s="19"/>
      <c r="AS2775" s="20"/>
      <c r="AT2775" s="19"/>
      <c r="AV2775" s="21">
        <f>IF(AND($AL2775&lt;&gt;"",COUNTIF($AL$11:$AL2775,$AL2775)=1),1,0)</f>
        <v>0</v>
      </c>
      <c r="AW2775" s="21">
        <f t="shared" si="173"/>
        <v>0</v>
      </c>
      <c r="AX2775" s="21" t="str">
        <f t="shared" si="172"/>
        <v/>
      </c>
      <c r="AY2775" s="21" t="str">
        <f>IF(AND($AM2775&lt;&gt;"",$AS2775&lt;&gt;"✓"),SUMPRODUCT(($AM$11:$AM2775&lt;&gt;"")*($AS$11:$AS2775&lt;&gt;"✓")),"")</f>
        <v/>
      </c>
      <c r="AZ2775" s="21" t="str">
        <f>IF(AND($AM2775&lt;&gt;"",$AS2775="✓"),SUMPRODUCT(($AM$11:$AM2775&lt;&gt;"")*($AS$11:$AS2775="✓")),"")</f>
        <v/>
      </c>
      <c r="BA2775" s="21" t="str">
        <f>IF($AL2775="","",$AL2775&amp;"|"&amp;COUNTIF($AL$11:$AL2775,$AL2775))</f>
        <v/>
      </c>
    </row>
    <row r="2776" spans="38:53" ht="15" customHeight="1" x14ac:dyDescent="0.25">
      <c r="AL2776" s="31"/>
      <c r="AM2776" s="26"/>
      <c r="AN2776" s="32"/>
      <c r="AO2776" s="32"/>
      <c r="AP2776" s="24"/>
      <c r="AQ2776" s="24"/>
      <c r="AR2776" s="33"/>
      <c r="AS2776" s="34"/>
      <c r="AT2776" s="33"/>
      <c r="AV2776" s="21">
        <f>IF(AND($AL2776&lt;&gt;"",COUNTIF($AL$11:$AL2776,$AL2776)=1),1,0)</f>
        <v>0</v>
      </c>
      <c r="AW2776" s="21">
        <f t="shared" si="173"/>
        <v>0</v>
      </c>
      <c r="AX2776" s="21" t="str">
        <f t="shared" si="172"/>
        <v/>
      </c>
      <c r="AY2776" s="21" t="str">
        <f>IF(AND($AM2776&lt;&gt;"",$AS2776&lt;&gt;"✓"),SUMPRODUCT(($AM$11:$AM2776&lt;&gt;"")*($AS$11:$AS2776&lt;&gt;"✓")),"")</f>
        <v/>
      </c>
      <c r="AZ2776" s="21" t="str">
        <f>IF(AND($AM2776&lt;&gt;"",$AS2776="✓"),SUMPRODUCT(($AM$11:$AM2776&lt;&gt;"")*($AS$11:$AS2776="✓")),"")</f>
        <v/>
      </c>
      <c r="BA2776" s="21" t="str">
        <f>IF($AL2776="","",$AL2776&amp;"|"&amp;COUNTIF($AL$11:$AL2776,$AL2776))</f>
        <v/>
      </c>
    </row>
    <row r="2777" spans="38:53" ht="15" customHeight="1" x14ac:dyDescent="0.25">
      <c r="AL2777" s="17"/>
      <c r="AM2777" s="12"/>
      <c r="AN2777" s="18"/>
      <c r="AO2777" s="18"/>
      <c r="AP2777" s="10"/>
      <c r="AQ2777" s="10"/>
      <c r="AR2777" s="19"/>
      <c r="AS2777" s="20"/>
      <c r="AT2777" s="19"/>
      <c r="AV2777" s="21">
        <f>IF(AND($AL2777&lt;&gt;"",COUNTIF($AL$11:$AL2777,$AL2777)=1),1,0)</f>
        <v>0</v>
      </c>
      <c r="AW2777" s="21">
        <f t="shared" si="173"/>
        <v>0</v>
      </c>
      <c r="AX2777" s="21" t="str">
        <f t="shared" si="172"/>
        <v/>
      </c>
      <c r="AY2777" s="21" t="str">
        <f>IF(AND($AM2777&lt;&gt;"",$AS2777&lt;&gt;"✓"),SUMPRODUCT(($AM$11:$AM2777&lt;&gt;"")*($AS$11:$AS2777&lt;&gt;"✓")),"")</f>
        <v/>
      </c>
      <c r="AZ2777" s="21" t="str">
        <f>IF(AND($AM2777&lt;&gt;"",$AS2777="✓"),SUMPRODUCT(($AM$11:$AM2777&lt;&gt;"")*($AS$11:$AS2777="✓")),"")</f>
        <v/>
      </c>
      <c r="BA2777" s="21" t="str">
        <f>IF($AL2777="","",$AL2777&amp;"|"&amp;COUNTIF($AL$11:$AL2777,$AL2777))</f>
        <v/>
      </c>
    </row>
    <row r="2778" spans="38:53" ht="15" customHeight="1" x14ac:dyDescent="0.25">
      <c r="AL2778" s="31"/>
      <c r="AM2778" s="26"/>
      <c r="AN2778" s="32"/>
      <c r="AO2778" s="32"/>
      <c r="AP2778" s="24"/>
      <c r="AQ2778" s="24"/>
      <c r="AR2778" s="33"/>
      <c r="AS2778" s="34"/>
      <c r="AT2778" s="33"/>
      <c r="AV2778" s="21">
        <f>IF(AND($AL2778&lt;&gt;"",COUNTIF($AL$11:$AL2778,$AL2778)=1),1,0)</f>
        <v>0</v>
      </c>
      <c r="AW2778" s="21">
        <f t="shared" si="173"/>
        <v>0</v>
      </c>
      <c r="AX2778" s="21" t="str">
        <f t="shared" si="172"/>
        <v/>
      </c>
      <c r="AY2778" s="21" t="str">
        <f>IF(AND($AM2778&lt;&gt;"",$AS2778&lt;&gt;"✓"),SUMPRODUCT(($AM$11:$AM2778&lt;&gt;"")*($AS$11:$AS2778&lt;&gt;"✓")),"")</f>
        <v/>
      </c>
      <c r="AZ2778" s="21" t="str">
        <f>IF(AND($AM2778&lt;&gt;"",$AS2778="✓"),SUMPRODUCT(($AM$11:$AM2778&lt;&gt;"")*($AS$11:$AS2778="✓")),"")</f>
        <v/>
      </c>
      <c r="BA2778" s="21" t="str">
        <f>IF($AL2778="","",$AL2778&amp;"|"&amp;COUNTIF($AL$11:$AL2778,$AL2778))</f>
        <v/>
      </c>
    </row>
    <row r="2779" spans="38:53" ht="15" customHeight="1" x14ac:dyDescent="0.25">
      <c r="AL2779" s="17"/>
      <c r="AM2779" s="12"/>
      <c r="AN2779" s="18"/>
      <c r="AO2779" s="18"/>
      <c r="AP2779" s="10"/>
      <c r="AQ2779" s="10"/>
      <c r="AR2779" s="19"/>
      <c r="AS2779" s="20"/>
      <c r="AT2779" s="19"/>
      <c r="AV2779" s="21">
        <f>IF(AND($AL2779&lt;&gt;"",COUNTIF($AL$11:$AL2779,$AL2779)=1),1,0)</f>
        <v>0</v>
      </c>
      <c r="AW2779" s="21">
        <f t="shared" si="173"/>
        <v>0</v>
      </c>
      <c r="AX2779" s="21" t="str">
        <f t="shared" si="172"/>
        <v/>
      </c>
      <c r="AY2779" s="21" t="str">
        <f>IF(AND($AM2779&lt;&gt;"",$AS2779&lt;&gt;"✓"),SUMPRODUCT(($AM$11:$AM2779&lt;&gt;"")*($AS$11:$AS2779&lt;&gt;"✓")),"")</f>
        <v/>
      </c>
      <c r="AZ2779" s="21" t="str">
        <f>IF(AND($AM2779&lt;&gt;"",$AS2779="✓"),SUMPRODUCT(($AM$11:$AM2779&lt;&gt;"")*($AS$11:$AS2779="✓")),"")</f>
        <v/>
      </c>
      <c r="BA2779" s="21" t="str">
        <f>IF($AL2779="","",$AL2779&amp;"|"&amp;COUNTIF($AL$11:$AL2779,$AL2779))</f>
        <v/>
      </c>
    </row>
    <row r="2780" spans="38:53" ht="15" customHeight="1" x14ac:dyDescent="0.25">
      <c r="AL2780" s="31"/>
      <c r="AM2780" s="26"/>
      <c r="AN2780" s="32"/>
      <c r="AO2780" s="32"/>
      <c r="AP2780" s="24"/>
      <c r="AQ2780" s="24"/>
      <c r="AR2780" s="33"/>
      <c r="AS2780" s="34"/>
      <c r="AT2780" s="33"/>
      <c r="AV2780" s="21">
        <f>IF(AND($AL2780&lt;&gt;"",COUNTIF($AL$11:$AL2780,$AL2780)=1),1,0)</f>
        <v>0</v>
      </c>
      <c r="AW2780" s="21">
        <f t="shared" si="173"/>
        <v>0</v>
      </c>
      <c r="AX2780" s="21" t="str">
        <f t="shared" si="172"/>
        <v/>
      </c>
      <c r="AY2780" s="21" t="str">
        <f>IF(AND($AM2780&lt;&gt;"",$AS2780&lt;&gt;"✓"),SUMPRODUCT(($AM$11:$AM2780&lt;&gt;"")*($AS$11:$AS2780&lt;&gt;"✓")),"")</f>
        <v/>
      </c>
      <c r="AZ2780" s="21" t="str">
        <f>IF(AND($AM2780&lt;&gt;"",$AS2780="✓"),SUMPRODUCT(($AM$11:$AM2780&lt;&gt;"")*($AS$11:$AS2780="✓")),"")</f>
        <v/>
      </c>
      <c r="BA2780" s="21" t="str">
        <f>IF($AL2780="","",$AL2780&amp;"|"&amp;COUNTIF($AL$11:$AL2780,$AL2780))</f>
        <v/>
      </c>
    </row>
    <row r="2781" spans="38:53" ht="15" customHeight="1" x14ac:dyDescent="0.25">
      <c r="AL2781" s="17"/>
      <c r="AM2781" s="12"/>
      <c r="AN2781" s="18"/>
      <c r="AO2781" s="18"/>
      <c r="AP2781" s="10"/>
      <c r="AQ2781" s="10"/>
      <c r="AR2781" s="19"/>
      <c r="AS2781" s="20"/>
      <c r="AT2781" s="19"/>
      <c r="AV2781" s="21">
        <f>IF(AND($AL2781&lt;&gt;"",COUNTIF($AL$11:$AL2781,$AL2781)=1),1,0)</f>
        <v>0</v>
      </c>
      <c r="AW2781" s="21">
        <f t="shared" si="173"/>
        <v>0</v>
      </c>
      <c r="AX2781" s="21" t="str">
        <f t="shared" si="172"/>
        <v/>
      </c>
      <c r="AY2781" s="21" t="str">
        <f>IF(AND($AM2781&lt;&gt;"",$AS2781&lt;&gt;"✓"),SUMPRODUCT(($AM$11:$AM2781&lt;&gt;"")*($AS$11:$AS2781&lt;&gt;"✓")),"")</f>
        <v/>
      </c>
      <c r="AZ2781" s="21" t="str">
        <f>IF(AND($AM2781&lt;&gt;"",$AS2781="✓"),SUMPRODUCT(($AM$11:$AM2781&lt;&gt;"")*($AS$11:$AS2781="✓")),"")</f>
        <v/>
      </c>
      <c r="BA2781" s="21" t="str">
        <f>IF($AL2781="","",$AL2781&amp;"|"&amp;COUNTIF($AL$11:$AL2781,$AL2781))</f>
        <v/>
      </c>
    </row>
    <row r="2782" spans="38:53" ht="15" customHeight="1" x14ac:dyDescent="0.25">
      <c r="AL2782" s="31"/>
      <c r="AM2782" s="26"/>
      <c r="AN2782" s="32"/>
      <c r="AO2782" s="32"/>
      <c r="AP2782" s="24"/>
      <c r="AQ2782" s="24"/>
      <c r="AR2782" s="33"/>
      <c r="AS2782" s="34"/>
      <c r="AT2782" s="33"/>
      <c r="AV2782" s="21">
        <f>IF(AND($AL2782&lt;&gt;"",COUNTIF($AL$11:$AL2782,$AL2782)=1),1,0)</f>
        <v>0</v>
      </c>
      <c r="AW2782" s="21">
        <f t="shared" si="173"/>
        <v>0</v>
      </c>
      <c r="AX2782" s="21" t="str">
        <f t="shared" si="172"/>
        <v/>
      </c>
      <c r="AY2782" s="21" t="str">
        <f>IF(AND($AM2782&lt;&gt;"",$AS2782&lt;&gt;"✓"),SUMPRODUCT(($AM$11:$AM2782&lt;&gt;"")*($AS$11:$AS2782&lt;&gt;"✓")),"")</f>
        <v/>
      </c>
      <c r="AZ2782" s="21" t="str">
        <f>IF(AND($AM2782&lt;&gt;"",$AS2782="✓"),SUMPRODUCT(($AM$11:$AM2782&lt;&gt;"")*($AS$11:$AS2782="✓")),"")</f>
        <v/>
      </c>
      <c r="BA2782" s="21" t="str">
        <f>IF($AL2782="","",$AL2782&amp;"|"&amp;COUNTIF($AL$11:$AL2782,$AL2782))</f>
        <v/>
      </c>
    </row>
    <row r="2783" spans="38:53" ht="15" customHeight="1" x14ac:dyDescent="0.25">
      <c r="AL2783" s="17"/>
      <c r="AM2783" s="12"/>
      <c r="AN2783" s="18"/>
      <c r="AO2783" s="18"/>
      <c r="AP2783" s="10"/>
      <c r="AQ2783" s="10"/>
      <c r="AR2783" s="19"/>
      <c r="AS2783" s="20"/>
      <c r="AT2783" s="19"/>
      <c r="AV2783" s="21">
        <f>IF(AND($AL2783&lt;&gt;"",COUNTIF($AL$11:$AL2783,$AL2783)=1),1,0)</f>
        <v>0</v>
      </c>
      <c r="AW2783" s="21">
        <f t="shared" si="173"/>
        <v>0</v>
      </c>
      <c r="AX2783" s="21" t="str">
        <f t="shared" si="172"/>
        <v/>
      </c>
      <c r="AY2783" s="21" t="str">
        <f>IF(AND($AM2783&lt;&gt;"",$AS2783&lt;&gt;"✓"),SUMPRODUCT(($AM$11:$AM2783&lt;&gt;"")*($AS$11:$AS2783&lt;&gt;"✓")),"")</f>
        <v/>
      </c>
      <c r="AZ2783" s="21" t="str">
        <f>IF(AND($AM2783&lt;&gt;"",$AS2783="✓"),SUMPRODUCT(($AM$11:$AM2783&lt;&gt;"")*($AS$11:$AS2783="✓")),"")</f>
        <v/>
      </c>
      <c r="BA2783" s="21" t="str">
        <f>IF($AL2783="","",$AL2783&amp;"|"&amp;COUNTIF($AL$11:$AL2783,$AL2783))</f>
        <v/>
      </c>
    </row>
    <row r="2784" spans="38:53" ht="15" customHeight="1" x14ac:dyDescent="0.25">
      <c r="AL2784" s="31"/>
      <c r="AM2784" s="26"/>
      <c r="AN2784" s="32"/>
      <c r="AO2784" s="32"/>
      <c r="AP2784" s="24"/>
      <c r="AQ2784" s="24"/>
      <c r="AR2784" s="33"/>
      <c r="AS2784" s="34"/>
      <c r="AT2784" s="33"/>
      <c r="AV2784" s="21">
        <f>IF(AND($AL2784&lt;&gt;"",COUNTIF($AL$11:$AL2784,$AL2784)=1),1,0)</f>
        <v>0</v>
      </c>
      <c r="AW2784" s="21">
        <f t="shared" si="173"/>
        <v>0</v>
      </c>
      <c r="AX2784" s="21" t="str">
        <f t="shared" si="172"/>
        <v/>
      </c>
      <c r="AY2784" s="21" t="str">
        <f>IF(AND($AM2784&lt;&gt;"",$AS2784&lt;&gt;"✓"),SUMPRODUCT(($AM$11:$AM2784&lt;&gt;"")*($AS$11:$AS2784&lt;&gt;"✓")),"")</f>
        <v/>
      </c>
      <c r="AZ2784" s="21" t="str">
        <f>IF(AND($AM2784&lt;&gt;"",$AS2784="✓"),SUMPRODUCT(($AM$11:$AM2784&lt;&gt;"")*($AS$11:$AS2784="✓")),"")</f>
        <v/>
      </c>
      <c r="BA2784" s="21" t="str">
        <f>IF($AL2784="","",$AL2784&amp;"|"&amp;COUNTIF($AL$11:$AL2784,$AL2784))</f>
        <v/>
      </c>
    </row>
    <row r="2785" spans="38:53" ht="15" customHeight="1" x14ac:dyDescent="0.25">
      <c r="AL2785" s="17"/>
      <c r="AM2785" s="12"/>
      <c r="AN2785" s="18"/>
      <c r="AO2785" s="18"/>
      <c r="AP2785" s="10"/>
      <c r="AQ2785" s="10"/>
      <c r="AR2785" s="19"/>
      <c r="AS2785" s="20"/>
      <c r="AT2785" s="19"/>
      <c r="AV2785" s="21">
        <f>IF(AND($AL2785&lt;&gt;"",COUNTIF($AL$11:$AL2785,$AL2785)=1),1,0)</f>
        <v>0</v>
      </c>
      <c r="AW2785" s="21">
        <f t="shared" si="173"/>
        <v>0</v>
      </c>
      <c r="AX2785" s="21" t="str">
        <f t="shared" si="172"/>
        <v/>
      </c>
      <c r="AY2785" s="21" t="str">
        <f>IF(AND($AM2785&lt;&gt;"",$AS2785&lt;&gt;"✓"),SUMPRODUCT(($AM$11:$AM2785&lt;&gt;"")*($AS$11:$AS2785&lt;&gt;"✓")),"")</f>
        <v/>
      </c>
      <c r="AZ2785" s="21" t="str">
        <f>IF(AND($AM2785&lt;&gt;"",$AS2785="✓"),SUMPRODUCT(($AM$11:$AM2785&lt;&gt;"")*($AS$11:$AS2785="✓")),"")</f>
        <v/>
      </c>
      <c r="BA2785" s="21" t="str">
        <f>IF($AL2785="","",$AL2785&amp;"|"&amp;COUNTIF($AL$11:$AL2785,$AL2785))</f>
        <v/>
      </c>
    </row>
    <row r="2786" spans="38:53" ht="15" customHeight="1" x14ac:dyDescent="0.25">
      <c r="AL2786" s="31"/>
      <c r="AM2786" s="26"/>
      <c r="AN2786" s="32"/>
      <c r="AO2786" s="32"/>
      <c r="AP2786" s="24"/>
      <c r="AQ2786" s="24"/>
      <c r="AR2786" s="33"/>
      <c r="AS2786" s="34"/>
      <c r="AT2786" s="33"/>
      <c r="AV2786" s="21">
        <f>IF(AND($AL2786&lt;&gt;"",COUNTIF($AL$11:$AL2786,$AL2786)=1),1,0)</f>
        <v>0</v>
      </c>
      <c r="AW2786" s="21">
        <f t="shared" si="173"/>
        <v>0</v>
      </c>
      <c r="AX2786" s="21" t="str">
        <f t="shared" si="172"/>
        <v/>
      </c>
      <c r="AY2786" s="21" t="str">
        <f>IF(AND($AM2786&lt;&gt;"",$AS2786&lt;&gt;"✓"),SUMPRODUCT(($AM$11:$AM2786&lt;&gt;"")*($AS$11:$AS2786&lt;&gt;"✓")),"")</f>
        <v/>
      </c>
      <c r="AZ2786" s="21" t="str">
        <f>IF(AND($AM2786&lt;&gt;"",$AS2786="✓"),SUMPRODUCT(($AM$11:$AM2786&lt;&gt;"")*($AS$11:$AS2786="✓")),"")</f>
        <v/>
      </c>
      <c r="BA2786" s="21" t="str">
        <f>IF($AL2786="","",$AL2786&amp;"|"&amp;COUNTIF($AL$11:$AL2786,$AL2786))</f>
        <v/>
      </c>
    </row>
    <row r="2787" spans="38:53" ht="15" customHeight="1" x14ac:dyDescent="0.25">
      <c r="AL2787" s="17"/>
      <c r="AM2787" s="12"/>
      <c r="AN2787" s="18"/>
      <c r="AO2787" s="18"/>
      <c r="AP2787" s="10"/>
      <c r="AQ2787" s="10"/>
      <c r="AR2787" s="19"/>
      <c r="AS2787" s="20"/>
      <c r="AT2787" s="19"/>
      <c r="AV2787" s="21">
        <f>IF(AND($AL2787&lt;&gt;"",COUNTIF($AL$11:$AL2787,$AL2787)=1),1,0)</f>
        <v>0</v>
      </c>
      <c r="AW2787" s="21">
        <f t="shared" si="173"/>
        <v>0</v>
      </c>
      <c r="AX2787" s="21" t="str">
        <f t="shared" si="172"/>
        <v/>
      </c>
      <c r="AY2787" s="21" t="str">
        <f>IF(AND($AM2787&lt;&gt;"",$AS2787&lt;&gt;"✓"),SUMPRODUCT(($AM$11:$AM2787&lt;&gt;"")*($AS$11:$AS2787&lt;&gt;"✓")),"")</f>
        <v/>
      </c>
      <c r="AZ2787" s="21" t="str">
        <f>IF(AND($AM2787&lt;&gt;"",$AS2787="✓"),SUMPRODUCT(($AM$11:$AM2787&lt;&gt;"")*($AS$11:$AS2787="✓")),"")</f>
        <v/>
      </c>
      <c r="BA2787" s="21" t="str">
        <f>IF($AL2787="","",$AL2787&amp;"|"&amp;COUNTIF($AL$11:$AL2787,$AL2787))</f>
        <v/>
      </c>
    </row>
    <row r="2788" spans="38:53" ht="15" customHeight="1" x14ac:dyDescent="0.25">
      <c r="AL2788" s="31"/>
      <c r="AM2788" s="26"/>
      <c r="AN2788" s="32"/>
      <c r="AO2788" s="32"/>
      <c r="AP2788" s="24"/>
      <c r="AQ2788" s="24"/>
      <c r="AR2788" s="33"/>
      <c r="AS2788" s="34"/>
      <c r="AT2788" s="33"/>
      <c r="AV2788" s="21">
        <f>IF(AND($AL2788&lt;&gt;"",COUNTIF($AL$11:$AL2788,$AL2788)=1),1,0)</f>
        <v>0</v>
      </c>
      <c r="AW2788" s="21">
        <f t="shared" si="173"/>
        <v>0</v>
      </c>
      <c r="AX2788" s="21" t="str">
        <f t="shared" si="172"/>
        <v/>
      </c>
      <c r="AY2788" s="21" t="str">
        <f>IF(AND($AM2788&lt;&gt;"",$AS2788&lt;&gt;"✓"),SUMPRODUCT(($AM$11:$AM2788&lt;&gt;"")*($AS$11:$AS2788&lt;&gt;"✓")),"")</f>
        <v/>
      </c>
      <c r="AZ2788" s="21" t="str">
        <f>IF(AND($AM2788&lt;&gt;"",$AS2788="✓"),SUMPRODUCT(($AM$11:$AM2788&lt;&gt;"")*($AS$11:$AS2788="✓")),"")</f>
        <v/>
      </c>
      <c r="BA2788" s="21" t="str">
        <f>IF($AL2788="","",$AL2788&amp;"|"&amp;COUNTIF($AL$11:$AL2788,$AL2788))</f>
        <v/>
      </c>
    </row>
    <row r="2789" spans="38:53" ht="15" customHeight="1" x14ac:dyDescent="0.25">
      <c r="AL2789" s="17"/>
      <c r="AM2789" s="12"/>
      <c r="AN2789" s="18"/>
      <c r="AO2789" s="18"/>
      <c r="AP2789" s="10"/>
      <c r="AQ2789" s="10"/>
      <c r="AR2789" s="19"/>
      <c r="AS2789" s="20"/>
      <c r="AT2789" s="19"/>
      <c r="AV2789" s="21">
        <f>IF(AND($AL2789&lt;&gt;"",COUNTIF($AL$11:$AL2789,$AL2789)=1),1,0)</f>
        <v>0</v>
      </c>
      <c r="AW2789" s="21">
        <f t="shared" si="173"/>
        <v>0</v>
      </c>
      <c r="AX2789" s="21" t="str">
        <f t="shared" si="172"/>
        <v/>
      </c>
      <c r="AY2789" s="21" t="str">
        <f>IF(AND($AM2789&lt;&gt;"",$AS2789&lt;&gt;"✓"),SUMPRODUCT(($AM$11:$AM2789&lt;&gt;"")*($AS$11:$AS2789&lt;&gt;"✓")),"")</f>
        <v/>
      </c>
      <c r="AZ2789" s="21" t="str">
        <f>IF(AND($AM2789&lt;&gt;"",$AS2789="✓"),SUMPRODUCT(($AM$11:$AM2789&lt;&gt;"")*($AS$11:$AS2789="✓")),"")</f>
        <v/>
      </c>
      <c r="BA2789" s="21" t="str">
        <f>IF($AL2789="","",$AL2789&amp;"|"&amp;COUNTIF($AL$11:$AL2789,$AL2789))</f>
        <v/>
      </c>
    </row>
    <row r="2790" spans="38:53" ht="15" customHeight="1" x14ac:dyDescent="0.25">
      <c r="AL2790" s="31"/>
      <c r="AM2790" s="26"/>
      <c r="AN2790" s="32"/>
      <c r="AO2790" s="32"/>
      <c r="AP2790" s="24"/>
      <c r="AQ2790" s="24"/>
      <c r="AR2790" s="33"/>
      <c r="AS2790" s="34"/>
      <c r="AT2790" s="33"/>
      <c r="AV2790" s="21">
        <f>IF(AND($AL2790&lt;&gt;"",COUNTIF($AL$11:$AL2790,$AL2790)=1),1,0)</f>
        <v>0</v>
      </c>
      <c r="AW2790" s="21">
        <f t="shared" si="173"/>
        <v>0</v>
      </c>
      <c r="AX2790" s="21" t="str">
        <f t="shared" si="172"/>
        <v/>
      </c>
      <c r="AY2790" s="21" t="str">
        <f>IF(AND($AM2790&lt;&gt;"",$AS2790&lt;&gt;"✓"),SUMPRODUCT(($AM$11:$AM2790&lt;&gt;"")*($AS$11:$AS2790&lt;&gt;"✓")),"")</f>
        <v/>
      </c>
      <c r="AZ2790" s="21" t="str">
        <f>IF(AND($AM2790&lt;&gt;"",$AS2790="✓"),SUMPRODUCT(($AM$11:$AM2790&lt;&gt;"")*($AS$11:$AS2790="✓")),"")</f>
        <v/>
      </c>
      <c r="BA2790" s="21" t="str">
        <f>IF($AL2790="","",$AL2790&amp;"|"&amp;COUNTIF($AL$11:$AL2790,$AL2790))</f>
        <v/>
      </c>
    </row>
    <row r="2791" spans="38:53" ht="15" customHeight="1" x14ac:dyDescent="0.25">
      <c r="AL2791" s="17"/>
      <c r="AM2791" s="12"/>
      <c r="AN2791" s="18"/>
      <c r="AO2791" s="18"/>
      <c r="AP2791" s="10"/>
      <c r="AQ2791" s="10"/>
      <c r="AR2791" s="19"/>
      <c r="AS2791" s="20"/>
      <c r="AT2791" s="19"/>
      <c r="AV2791" s="21">
        <f>IF(AND($AL2791&lt;&gt;"",COUNTIF($AL$11:$AL2791,$AL2791)=1),1,0)</f>
        <v>0</v>
      </c>
      <c r="AW2791" s="21">
        <f t="shared" si="173"/>
        <v>0</v>
      </c>
      <c r="AX2791" s="21" t="str">
        <f t="shared" si="172"/>
        <v/>
      </c>
      <c r="AY2791" s="21" t="str">
        <f>IF(AND($AM2791&lt;&gt;"",$AS2791&lt;&gt;"✓"),SUMPRODUCT(($AM$11:$AM2791&lt;&gt;"")*($AS$11:$AS2791&lt;&gt;"✓")),"")</f>
        <v/>
      </c>
      <c r="AZ2791" s="21" t="str">
        <f>IF(AND($AM2791&lt;&gt;"",$AS2791="✓"),SUMPRODUCT(($AM$11:$AM2791&lt;&gt;"")*($AS$11:$AS2791="✓")),"")</f>
        <v/>
      </c>
      <c r="BA2791" s="21" t="str">
        <f>IF($AL2791="","",$AL2791&amp;"|"&amp;COUNTIF($AL$11:$AL2791,$AL2791))</f>
        <v/>
      </c>
    </row>
    <row r="2792" spans="38:53" ht="15" customHeight="1" x14ac:dyDescent="0.25">
      <c r="AL2792" s="31"/>
      <c r="AM2792" s="26"/>
      <c r="AN2792" s="32"/>
      <c r="AO2792" s="32"/>
      <c r="AP2792" s="24"/>
      <c r="AQ2792" s="24"/>
      <c r="AR2792" s="33"/>
      <c r="AS2792" s="34"/>
      <c r="AT2792" s="33"/>
      <c r="AV2792" s="21">
        <f>IF(AND($AL2792&lt;&gt;"",COUNTIF($AL$11:$AL2792,$AL2792)=1),1,0)</f>
        <v>0</v>
      </c>
      <c r="AW2792" s="21">
        <f t="shared" si="173"/>
        <v>0</v>
      </c>
      <c r="AX2792" s="21" t="str">
        <f t="shared" si="172"/>
        <v/>
      </c>
      <c r="AY2792" s="21" t="str">
        <f>IF(AND($AM2792&lt;&gt;"",$AS2792&lt;&gt;"✓"),SUMPRODUCT(($AM$11:$AM2792&lt;&gt;"")*($AS$11:$AS2792&lt;&gt;"✓")),"")</f>
        <v/>
      </c>
      <c r="AZ2792" s="21" t="str">
        <f>IF(AND($AM2792&lt;&gt;"",$AS2792="✓"),SUMPRODUCT(($AM$11:$AM2792&lt;&gt;"")*($AS$11:$AS2792="✓")),"")</f>
        <v/>
      </c>
      <c r="BA2792" s="21" t="str">
        <f>IF($AL2792="","",$AL2792&amp;"|"&amp;COUNTIF($AL$11:$AL2792,$AL2792))</f>
        <v/>
      </c>
    </row>
    <row r="2793" spans="38:53" ht="15" customHeight="1" x14ac:dyDescent="0.25">
      <c r="AL2793" s="17"/>
      <c r="AM2793" s="12"/>
      <c r="AN2793" s="18"/>
      <c r="AO2793" s="18"/>
      <c r="AP2793" s="10"/>
      <c r="AQ2793" s="10"/>
      <c r="AR2793" s="19"/>
      <c r="AS2793" s="20"/>
      <c r="AT2793" s="19"/>
      <c r="AV2793" s="21">
        <f>IF(AND($AL2793&lt;&gt;"",COUNTIF($AL$11:$AL2793,$AL2793)=1),1,0)</f>
        <v>0</v>
      </c>
      <c r="AW2793" s="21">
        <f t="shared" si="173"/>
        <v>0</v>
      </c>
      <c r="AX2793" s="21" t="str">
        <f t="shared" si="172"/>
        <v/>
      </c>
      <c r="AY2793" s="21" t="str">
        <f>IF(AND($AM2793&lt;&gt;"",$AS2793&lt;&gt;"✓"),SUMPRODUCT(($AM$11:$AM2793&lt;&gt;"")*($AS$11:$AS2793&lt;&gt;"✓")),"")</f>
        <v/>
      </c>
      <c r="AZ2793" s="21" t="str">
        <f>IF(AND($AM2793&lt;&gt;"",$AS2793="✓"),SUMPRODUCT(($AM$11:$AM2793&lt;&gt;"")*($AS$11:$AS2793="✓")),"")</f>
        <v/>
      </c>
      <c r="BA2793" s="21" t="str">
        <f>IF($AL2793="","",$AL2793&amp;"|"&amp;COUNTIF($AL$11:$AL2793,$AL2793))</f>
        <v/>
      </c>
    </row>
    <row r="2794" spans="38:53" ht="15" customHeight="1" x14ac:dyDescent="0.25">
      <c r="AL2794" s="31"/>
      <c r="AM2794" s="26"/>
      <c r="AN2794" s="32"/>
      <c r="AO2794" s="32"/>
      <c r="AP2794" s="24"/>
      <c r="AQ2794" s="24"/>
      <c r="AR2794" s="33"/>
      <c r="AS2794" s="34"/>
      <c r="AT2794" s="33"/>
      <c r="AV2794" s="21">
        <f>IF(AND($AL2794&lt;&gt;"",COUNTIF($AL$11:$AL2794,$AL2794)=1),1,0)</f>
        <v>0</v>
      </c>
      <c r="AW2794" s="21">
        <f t="shared" si="173"/>
        <v>0</v>
      </c>
      <c r="AX2794" s="21" t="str">
        <f t="shared" si="172"/>
        <v/>
      </c>
      <c r="AY2794" s="21" t="str">
        <f>IF(AND($AM2794&lt;&gt;"",$AS2794&lt;&gt;"✓"),SUMPRODUCT(($AM$11:$AM2794&lt;&gt;"")*($AS$11:$AS2794&lt;&gt;"✓")),"")</f>
        <v/>
      </c>
      <c r="AZ2794" s="21" t="str">
        <f>IF(AND($AM2794&lt;&gt;"",$AS2794="✓"),SUMPRODUCT(($AM$11:$AM2794&lt;&gt;"")*($AS$11:$AS2794="✓")),"")</f>
        <v/>
      </c>
      <c r="BA2794" s="21" t="str">
        <f>IF($AL2794="","",$AL2794&amp;"|"&amp;COUNTIF($AL$11:$AL2794,$AL2794))</f>
        <v/>
      </c>
    </row>
    <row r="2795" spans="38:53" ht="15" customHeight="1" x14ac:dyDescent="0.25">
      <c r="AL2795" s="17"/>
      <c r="AM2795" s="12"/>
      <c r="AN2795" s="18"/>
      <c r="AO2795" s="18"/>
      <c r="AP2795" s="10"/>
      <c r="AQ2795" s="10"/>
      <c r="AR2795" s="19"/>
      <c r="AS2795" s="20"/>
      <c r="AT2795" s="19"/>
      <c r="AV2795" s="21">
        <f>IF(AND($AL2795&lt;&gt;"",COUNTIF($AL$11:$AL2795,$AL2795)=1),1,0)</f>
        <v>0</v>
      </c>
      <c r="AW2795" s="21">
        <f t="shared" si="173"/>
        <v>0</v>
      </c>
      <c r="AX2795" s="21" t="str">
        <f t="shared" si="172"/>
        <v/>
      </c>
      <c r="AY2795" s="21" t="str">
        <f>IF(AND($AM2795&lt;&gt;"",$AS2795&lt;&gt;"✓"),SUMPRODUCT(($AM$11:$AM2795&lt;&gt;"")*($AS$11:$AS2795&lt;&gt;"✓")),"")</f>
        <v/>
      </c>
      <c r="AZ2795" s="21" t="str">
        <f>IF(AND($AM2795&lt;&gt;"",$AS2795="✓"),SUMPRODUCT(($AM$11:$AM2795&lt;&gt;"")*($AS$11:$AS2795="✓")),"")</f>
        <v/>
      </c>
      <c r="BA2795" s="21" t="str">
        <f>IF($AL2795="","",$AL2795&amp;"|"&amp;COUNTIF($AL$11:$AL2795,$AL2795))</f>
        <v/>
      </c>
    </row>
    <row r="2796" spans="38:53" ht="15" customHeight="1" x14ac:dyDescent="0.25">
      <c r="AL2796" s="31"/>
      <c r="AM2796" s="26"/>
      <c r="AN2796" s="32"/>
      <c r="AO2796" s="32"/>
      <c r="AP2796" s="24"/>
      <c r="AQ2796" s="24"/>
      <c r="AR2796" s="33"/>
      <c r="AS2796" s="34"/>
      <c r="AT2796" s="33"/>
      <c r="AV2796" s="21">
        <f>IF(AND($AL2796&lt;&gt;"",COUNTIF($AL$11:$AL2796,$AL2796)=1),1,0)</f>
        <v>0</v>
      </c>
      <c r="AW2796" s="21">
        <f t="shared" si="173"/>
        <v>0</v>
      </c>
      <c r="AX2796" s="21" t="str">
        <f t="shared" si="172"/>
        <v/>
      </c>
      <c r="AY2796" s="21" t="str">
        <f>IF(AND($AM2796&lt;&gt;"",$AS2796&lt;&gt;"✓"),SUMPRODUCT(($AM$11:$AM2796&lt;&gt;"")*($AS$11:$AS2796&lt;&gt;"✓")),"")</f>
        <v/>
      </c>
      <c r="AZ2796" s="21" t="str">
        <f>IF(AND($AM2796&lt;&gt;"",$AS2796="✓"),SUMPRODUCT(($AM$11:$AM2796&lt;&gt;"")*($AS$11:$AS2796="✓")),"")</f>
        <v/>
      </c>
      <c r="BA2796" s="21" t="str">
        <f>IF($AL2796="","",$AL2796&amp;"|"&amp;COUNTIF($AL$11:$AL2796,$AL2796))</f>
        <v/>
      </c>
    </row>
    <row r="2797" spans="38:53" ht="15" customHeight="1" x14ac:dyDescent="0.25">
      <c r="AL2797" s="17"/>
      <c r="AM2797" s="12"/>
      <c r="AN2797" s="18"/>
      <c r="AO2797" s="18"/>
      <c r="AP2797" s="10"/>
      <c r="AQ2797" s="10"/>
      <c r="AR2797" s="19"/>
      <c r="AS2797" s="20"/>
      <c r="AT2797" s="19"/>
      <c r="AV2797" s="21">
        <f>IF(AND($AL2797&lt;&gt;"",COUNTIF($AL$11:$AL2797,$AL2797)=1),1,0)</f>
        <v>0</v>
      </c>
      <c r="AW2797" s="21">
        <f t="shared" si="173"/>
        <v>0</v>
      </c>
      <c r="AX2797" s="21" t="str">
        <f t="shared" si="172"/>
        <v/>
      </c>
      <c r="AY2797" s="21" t="str">
        <f>IF(AND($AM2797&lt;&gt;"",$AS2797&lt;&gt;"✓"),SUMPRODUCT(($AM$11:$AM2797&lt;&gt;"")*($AS$11:$AS2797&lt;&gt;"✓")),"")</f>
        <v/>
      </c>
      <c r="AZ2797" s="21" t="str">
        <f>IF(AND($AM2797&lt;&gt;"",$AS2797="✓"),SUMPRODUCT(($AM$11:$AM2797&lt;&gt;"")*($AS$11:$AS2797="✓")),"")</f>
        <v/>
      </c>
      <c r="BA2797" s="21" t="str">
        <f>IF($AL2797="","",$AL2797&amp;"|"&amp;COUNTIF($AL$11:$AL2797,$AL2797))</f>
        <v/>
      </c>
    </row>
    <row r="2798" spans="38:53" ht="15" customHeight="1" x14ac:dyDescent="0.25">
      <c r="AL2798" s="31"/>
      <c r="AM2798" s="26"/>
      <c r="AN2798" s="32"/>
      <c r="AO2798" s="32"/>
      <c r="AP2798" s="24"/>
      <c r="AQ2798" s="24"/>
      <c r="AR2798" s="33"/>
      <c r="AS2798" s="34"/>
      <c r="AT2798" s="33"/>
      <c r="AV2798" s="21">
        <f>IF(AND($AL2798&lt;&gt;"",COUNTIF($AL$11:$AL2798,$AL2798)=1),1,0)</f>
        <v>0</v>
      </c>
      <c r="AW2798" s="21">
        <f t="shared" si="173"/>
        <v>0</v>
      </c>
      <c r="AX2798" s="21" t="str">
        <f t="shared" si="172"/>
        <v/>
      </c>
      <c r="AY2798" s="21" t="str">
        <f>IF(AND($AM2798&lt;&gt;"",$AS2798&lt;&gt;"✓"),SUMPRODUCT(($AM$11:$AM2798&lt;&gt;"")*($AS$11:$AS2798&lt;&gt;"✓")),"")</f>
        <v/>
      </c>
      <c r="AZ2798" s="21" t="str">
        <f>IF(AND($AM2798&lt;&gt;"",$AS2798="✓"),SUMPRODUCT(($AM$11:$AM2798&lt;&gt;"")*($AS$11:$AS2798="✓")),"")</f>
        <v/>
      </c>
      <c r="BA2798" s="21" t="str">
        <f>IF($AL2798="","",$AL2798&amp;"|"&amp;COUNTIF($AL$11:$AL2798,$AL2798))</f>
        <v/>
      </c>
    </row>
    <row r="2799" spans="38:53" ht="15" customHeight="1" x14ac:dyDescent="0.25">
      <c r="AL2799" s="17"/>
      <c r="AM2799" s="12"/>
      <c r="AN2799" s="18"/>
      <c r="AO2799" s="18"/>
      <c r="AP2799" s="10"/>
      <c r="AQ2799" s="10"/>
      <c r="AR2799" s="19"/>
      <c r="AS2799" s="20"/>
      <c r="AT2799" s="19"/>
      <c r="AV2799" s="21">
        <f>IF(AND($AL2799&lt;&gt;"",COUNTIF($AL$11:$AL2799,$AL2799)=1),1,0)</f>
        <v>0</v>
      </c>
      <c r="AW2799" s="21">
        <f t="shared" si="173"/>
        <v>0</v>
      </c>
      <c r="AX2799" s="21" t="str">
        <f t="shared" si="172"/>
        <v/>
      </c>
      <c r="AY2799" s="21" t="str">
        <f>IF(AND($AM2799&lt;&gt;"",$AS2799&lt;&gt;"✓"),SUMPRODUCT(($AM$11:$AM2799&lt;&gt;"")*($AS$11:$AS2799&lt;&gt;"✓")),"")</f>
        <v/>
      </c>
      <c r="AZ2799" s="21" t="str">
        <f>IF(AND($AM2799&lt;&gt;"",$AS2799="✓"),SUMPRODUCT(($AM$11:$AM2799&lt;&gt;"")*($AS$11:$AS2799="✓")),"")</f>
        <v/>
      </c>
      <c r="BA2799" s="21" t="str">
        <f>IF($AL2799="","",$AL2799&amp;"|"&amp;COUNTIF($AL$11:$AL2799,$AL2799))</f>
        <v/>
      </c>
    </row>
    <row r="2800" spans="38:53" ht="15" customHeight="1" x14ac:dyDescent="0.25">
      <c r="AL2800" s="31"/>
      <c r="AM2800" s="26"/>
      <c r="AN2800" s="32"/>
      <c r="AO2800" s="32"/>
      <c r="AP2800" s="24"/>
      <c r="AQ2800" s="24"/>
      <c r="AR2800" s="33"/>
      <c r="AS2800" s="34"/>
      <c r="AT2800" s="33"/>
      <c r="AV2800" s="21">
        <f>IF(AND($AL2800&lt;&gt;"",COUNTIF($AL$11:$AL2800,$AL2800)=1),1,0)</f>
        <v>0</v>
      </c>
      <c r="AW2800" s="21">
        <f t="shared" si="173"/>
        <v>0</v>
      </c>
      <c r="AX2800" s="21" t="str">
        <f t="shared" si="172"/>
        <v/>
      </c>
      <c r="AY2800" s="21" t="str">
        <f>IF(AND($AM2800&lt;&gt;"",$AS2800&lt;&gt;"✓"),SUMPRODUCT(($AM$11:$AM2800&lt;&gt;"")*($AS$11:$AS2800&lt;&gt;"✓")),"")</f>
        <v/>
      </c>
      <c r="AZ2800" s="21" t="str">
        <f>IF(AND($AM2800&lt;&gt;"",$AS2800="✓"),SUMPRODUCT(($AM$11:$AM2800&lt;&gt;"")*($AS$11:$AS2800="✓")),"")</f>
        <v/>
      </c>
      <c r="BA2800" s="21" t="str">
        <f>IF($AL2800="","",$AL2800&amp;"|"&amp;COUNTIF($AL$11:$AL2800,$AL2800))</f>
        <v/>
      </c>
    </row>
    <row r="2801" spans="38:53" ht="15" customHeight="1" x14ac:dyDescent="0.25">
      <c r="AL2801" s="17"/>
      <c r="AM2801" s="12"/>
      <c r="AN2801" s="18"/>
      <c r="AO2801" s="18"/>
      <c r="AP2801" s="10"/>
      <c r="AQ2801" s="10"/>
      <c r="AR2801" s="19"/>
      <c r="AS2801" s="20"/>
      <c r="AT2801" s="19"/>
      <c r="AV2801" s="21">
        <f>IF(AND($AL2801&lt;&gt;"",COUNTIF($AL$11:$AL2801,$AL2801)=1),1,0)</f>
        <v>0</v>
      </c>
      <c r="AW2801" s="21">
        <f t="shared" si="173"/>
        <v>0</v>
      </c>
      <c r="AX2801" s="21" t="str">
        <f t="shared" si="172"/>
        <v/>
      </c>
      <c r="AY2801" s="21" t="str">
        <f>IF(AND($AM2801&lt;&gt;"",$AS2801&lt;&gt;"✓"),SUMPRODUCT(($AM$11:$AM2801&lt;&gt;"")*($AS$11:$AS2801&lt;&gt;"✓")),"")</f>
        <v/>
      </c>
      <c r="AZ2801" s="21" t="str">
        <f>IF(AND($AM2801&lt;&gt;"",$AS2801="✓"),SUMPRODUCT(($AM$11:$AM2801&lt;&gt;"")*($AS$11:$AS2801="✓")),"")</f>
        <v/>
      </c>
      <c r="BA2801" s="21" t="str">
        <f>IF($AL2801="","",$AL2801&amp;"|"&amp;COUNTIF($AL$11:$AL2801,$AL2801))</f>
        <v/>
      </c>
    </row>
    <row r="2802" spans="38:53" ht="15" customHeight="1" x14ac:dyDescent="0.25">
      <c r="AL2802" s="31"/>
      <c r="AM2802" s="26"/>
      <c r="AN2802" s="32"/>
      <c r="AO2802" s="32"/>
      <c r="AP2802" s="24"/>
      <c r="AQ2802" s="24"/>
      <c r="AR2802" s="33"/>
      <c r="AS2802" s="34"/>
      <c r="AT2802" s="33"/>
      <c r="AV2802" s="21">
        <f>IF(AND($AL2802&lt;&gt;"",COUNTIF($AL$11:$AL2802,$AL2802)=1),1,0)</f>
        <v>0</v>
      </c>
      <c r="AW2802" s="21">
        <f t="shared" si="173"/>
        <v>0</v>
      </c>
      <c r="AX2802" s="21" t="str">
        <f t="shared" si="172"/>
        <v/>
      </c>
      <c r="AY2802" s="21" t="str">
        <f>IF(AND($AM2802&lt;&gt;"",$AS2802&lt;&gt;"✓"),SUMPRODUCT(($AM$11:$AM2802&lt;&gt;"")*($AS$11:$AS2802&lt;&gt;"✓")),"")</f>
        <v/>
      </c>
      <c r="AZ2802" s="21" t="str">
        <f>IF(AND($AM2802&lt;&gt;"",$AS2802="✓"),SUMPRODUCT(($AM$11:$AM2802&lt;&gt;"")*($AS$11:$AS2802="✓")),"")</f>
        <v/>
      </c>
      <c r="BA2802" s="21" t="str">
        <f>IF($AL2802="","",$AL2802&amp;"|"&amp;COUNTIF($AL$11:$AL2802,$AL2802))</f>
        <v/>
      </c>
    </row>
    <row r="2803" spans="38:53" ht="15" customHeight="1" x14ac:dyDescent="0.25">
      <c r="AL2803" s="17"/>
      <c r="AM2803" s="12"/>
      <c r="AN2803" s="18"/>
      <c r="AO2803" s="18"/>
      <c r="AP2803" s="10"/>
      <c r="AQ2803" s="10"/>
      <c r="AR2803" s="19"/>
      <c r="AS2803" s="20"/>
      <c r="AT2803" s="19"/>
      <c r="AV2803" s="21">
        <f>IF(AND($AL2803&lt;&gt;"",COUNTIF($AL$11:$AL2803,$AL2803)=1),1,0)</f>
        <v>0</v>
      </c>
      <c r="AW2803" s="21">
        <f t="shared" si="173"/>
        <v>0</v>
      </c>
      <c r="AX2803" s="21" t="str">
        <f t="shared" si="172"/>
        <v/>
      </c>
      <c r="AY2803" s="21" t="str">
        <f>IF(AND($AM2803&lt;&gt;"",$AS2803&lt;&gt;"✓"),SUMPRODUCT(($AM$11:$AM2803&lt;&gt;"")*($AS$11:$AS2803&lt;&gt;"✓")),"")</f>
        <v/>
      </c>
      <c r="AZ2803" s="21" t="str">
        <f>IF(AND($AM2803&lt;&gt;"",$AS2803="✓"),SUMPRODUCT(($AM$11:$AM2803&lt;&gt;"")*($AS$11:$AS2803="✓")),"")</f>
        <v/>
      </c>
      <c r="BA2803" s="21" t="str">
        <f>IF($AL2803="","",$AL2803&amp;"|"&amp;COUNTIF($AL$11:$AL2803,$AL2803))</f>
        <v/>
      </c>
    </row>
    <row r="2804" spans="38:53" ht="15" customHeight="1" x14ac:dyDescent="0.25">
      <c r="AL2804" s="31"/>
      <c r="AM2804" s="26"/>
      <c r="AN2804" s="32"/>
      <c r="AO2804" s="32"/>
      <c r="AP2804" s="24"/>
      <c r="AQ2804" s="24"/>
      <c r="AR2804" s="33"/>
      <c r="AS2804" s="34"/>
      <c r="AT2804" s="33"/>
      <c r="AV2804" s="21">
        <f>IF(AND($AL2804&lt;&gt;"",COUNTIF($AL$11:$AL2804,$AL2804)=1),1,0)</f>
        <v>0</v>
      </c>
      <c r="AW2804" s="21">
        <f t="shared" si="173"/>
        <v>0</v>
      </c>
      <c r="AX2804" s="21" t="str">
        <f t="shared" si="172"/>
        <v/>
      </c>
      <c r="AY2804" s="21" t="str">
        <f>IF(AND($AM2804&lt;&gt;"",$AS2804&lt;&gt;"✓"),SUMPRODUCT(($AM$11:$AM2804&lt;&gt;"")*($AS$11:$AS2804&lt;&gt;"✓")),"")</f>
        <v/>
      </c>
      <c r="AZ2804" s="21" t="str">
        <f>IF(AND($AM2804&lt;&gt;"",$AS2804="✓"),SUMPRODUCT(($AM$11:$AM2804&lt;&gt;"")*($AS$11:$AS2804="✓")),"")</f>
        <v/>
      </c>
      <c r="BA2804" s="21" t="str">
        <f>IF($AL2804="","",$AL2804&amp;"|"&amp;COUNTIF($AL$11:$AL2804,$AL2804))</f>
        <v/>
      </c>
    </row>
    <row r="2805" spans="38:53" ht="15" customHeight="1" x14ac:dyDescent="0.25">
      <c r="AL2805" s="17"/>
      <c r="AM2805" s="12"/>
      <c r="AN2805" s="18"/>
      <c r="AO2805" s="18"/>
      <c r="AP2805" s="10"/>
      <c r="AQ2805" s="10"/>
      <c r="AR2805" s="19"/>
      <c r="AS2805" s="20"/>
      <c r="AT2805" s="19"/>
      <c r="AV2805" s="21">
        <f>IF(AND($AL2805&lt;&gt;"",COUNTIF($AL$11:$AL2805,$AL2805)=1),1,0)</f>
        <v>0</v>
      </c>
      <c r="AW2805" s="21">
        <f t="shared" si="173"/>
        <v>0</v>
      </c>
      <c r="AX2805" s="21" t="str">
        <f t="shared" si="172"/>
        <v/>
      </c>
      <c r="AY2805" s="21" t="str">
        <f>IF(AND($AM2805&lt;&gt;"",$AS2805&lt;&gt;"✓"),SUMPRODUCT(($AM$11:$AM2805&lt;&gt;"")*($AS$11:$AS2805&lt;&gt;"✓")),"")</f>
        <v/>
      </c>
      <c r="AZ2805" s="21" t="str">
        <f>IF(AND($AM2805&lt;&gt;"",$AS2805="✓"),SUMPRODUCT(($AM$11:$AM2805&lt;&gt;"")*($AS$11:$AS2805="✓")),"")</f>
        <v/>
      </c>
      <c r="BA2805" s="21" t="str">
        <f>IF($AL2805="","",$AL2805&amp;"|"&amp;COUNTIF($AL$11:$AL2805,$AL2805))</f>
        <v/>
      </c>
    </row>
    <row r="2806" spans="38:53" ht="15" customHeight="1" x14ac:dyDescent="0.25">
      <c r="AL2806" s="31"/>
      <c r="AM2806" s="26"/>
      <c r="AN2806" s="32"/>
      <c r="AO2806" s="32"/>
      <c r="AP2806" s="24"/>
      <c r="AQ2806" s="24"/>
      <c r="AR2806" s="33"/>
      <c r="AS2806" s="34"/>
      <c r="AT2806" s="33"/>
      <c r="AV2806" s="21">
        <f>IF(AND($AL2806&lt;&gt;"",COUNTIF($AL$11:$AL2806,$AL2806)=1),1,0)</f>
        <v>0</v>
      </c>
      <c r="AW2806" s="21">
        <f t="shared" si="173"/>
        <v>0</v>
      </c>
      <c r="AX2806" s="21" t="str">
        <f t="shared" si="172"/>
        <v/>
      </c>
      <c r="AY2806" s="21" t="str">
        <f>IF(AND($AM2806&lt;&gt;"",$AS2806&lt;&gt;"✓"),SUMPRODUCT(($AM$11:$AM2806&lt;&gt;"")*($AS$11:$AS2806&lt;&gt;"✓")),"")</f>
        <v/>
      </c>
      <c r="AZ2806" s="21" t="str">
        <f>IF(AND($AM2806&lt;&gt;"",$AS2806="✓"),SUMPRODUCT(($AM$11:$AM2806&lt;&gt;"")*($AS$11:$AS2806="✓")),"")</f>
        <v/>
      </c>
      <c r="BA2806" s="21" t="str">
        <f>IF($AL2806="","",$AL2806&amp;"|"&amp;COUNTIF($AL$11:$AL2806,$AL2806))</f>
        <v/>
      </c>
    </row>
    <row r="2807" spans="38:53" ht="15" customHeight="1" x14ac:dyDescent="0.25">
      <c r="AL2807" s="17"/>
      <c r="AM2807" s="12"/>
      <c r="AN2807" s="18"/>
      <c r="AO2807" s="18"/>
      <c r="AP2807" s="10"/>
      <c r="AQ2807" s="10"/>
      <c r="AR2807" s="19"/>
      <c r="AS2807" s="20"/>
      <c r="AT2807" s="19"/>
      <c r="AV2807" s="21">
        <f>IF(AND($AL2807&lt;&gt;"",COUNTIF($AL$11:$AL2807,$AL2807)=1),1,0)</f>
        <v>0</v>
      </c>
      <c r="AW2807" s="21">
        <f t="shared" si="173"/>
        <v>0</v>
      </c>
      <c r="AX2807" s="21" t="str">
        <f t="shared" si="172"/>
        <v/>
      </c>
      <c r="AY2807" s="21" t="str">
        <f>IF(AND($AM2807&lt;&gt;"",$AS2807&lt;&gt;"✓"),SUMPRODUCT(($AM$11:$AM2807&lt;&gt;"")*($AS$11:$AS2807&lt;&gt;"✓")),"")</f>
        <v/>
      </c>
      <c r="AZ2807" s="21" t="str">
        <f>IF(AND($AM2807&lt;&gt;"",$AS2807="✓"),SUMPRODUCT(($AM$11:$AM2807&lt;&gt;"")*($AS$11:$AS2807="✓")),"")</f>
        <v/>
      </c>
      <c r="BA2807" s="21" t="str">
        <f>IF($AL2807="","",$AL2807&amp;"|"&amp;COUNTIF($AL$11:$AL2807,$AL2807))</f>
        <v/>
      </c>
    </row>
    <row r="2808" spans="38:53" ht="15" customHeight="1" x14ac:dyDescent="0.25">
      <c r="AL2808" s="31"/>
      <c r="AM2808" s="26"/>
      <c r="AN2808" s="32"/>
      <c r="AO2808" s="32"/>
      <c r="AP2808" s="24"/>
      <c r="AQ2808" s="24"/>
      <c r="AR2808" s="33"/>
      <c r="AS2808" s="34"/>
      <c r="AT2808" s="33"/>
      <c r="AV2808" s="21">
        <f>IF(AND($AL2808&lt;&gt;"",COUNTIF($AL$11:$AL2808,$AL2808)=1),1,0)</f>
        <v>0</v>
      </c>
      <c r="AW2808" s="21">
        <f t="shared" si="173"/>
        <v>0</v>
      </c>
      <c r="AX2808" s="21" t="str">
        <f t="shared" si="172"/>
        <v/>
      </c>
      <c r="AY2808" s="21" t="str">
        <f>IF(AND($AM2808&lt;&gt;"",$AS2808&lt;&gt;"✓"),SUMPRODUCT(($AM$11:$AM2808&lt;&gt;"")*($AS$11:$AS2808&lt;&gt;"✓")),"")</f>
        <v/>
      </c>
      <c r="AZ2808" s="21" t="str">
        <f>IF(AND($AM2808&lt;&gt;"",$AS2808="✓"),SUMPRODUCT(($AM$11:$AM2808&lt;&gt;"")*($AS$11:$AS2808="✓")),"")</f>
        <v/>
      </c>
      <c r="BA2808" s="21" t="str">
        <f>IF($AL2808="","",$AL2808&amp;"|"&amp;COUNTIF($AL$11:$AL2808,$AL2808))</f>
        <v/>
      </c>
    </row>
    <row r="2809" spans="38:53" ht="15" customHeight="1" x14ac:dyDescent="0.25">
      <c r="AL2809" s="17"/>
      <c r="AM2809" s="12"/>
      <c r="AN2809" s="18"/>
      <c r="AO2809" s="18"/>
      <c r="AP2809" s="10"/>
      <c r="AQ2809" s="10"/>
      <c r="AR2809" s="19"/>
      <c r="AS2809" s="20"/>
      <c r="AT2809" s="19"/>
      <c r="AV2809" s="21">
        <f>IF(AND($AL2809&lt;&gt;"",COUNTIF($AL$11:$AL2809,$AL2809)=1),1,0)</f>
        <v>0</v>
      </c>
      <c r="AW2809" s="21">
        <f t="shared" si="173"/>
        <v>0</v>
      </c>
      <c r="AX2809" s="21" t="str">
        <f t="shared" si="172"/>
        <v/>
      </c>
      <c r="AY2809" s="21" t="str">
        <f>IF(AND($AM2809&lt;&gt;"",$AS2809&lt;&gt;"✓"),SUMPRODUCT(($AM$11:$AM2809&lt;&gt;"")*($AS$11:$AS2809&lt;&gt;"✓")),"")</f>
        <v/>
      </c>
      <c r="AZ2809" s="21" t="str">
        <f>IF(AND($AM2809&lt;&gt;"",$AS2809="✓"),SUMPRODUCT(($AM$11:$AM2809&lt;&gt;"")*($AS$11:$AS2809="✓")),"")</f>
        <v/>
      </c>
      <c r="BA2809" s="21" t="str">
        <f>IF($AL2809="","",$AL2809&amp;"|"&amp;COUNTIF($AL$11:$AL2809,$AL2809))</f>
        <v/>
      </c>
    </row>
    <row r="2810" spans="38:53" ht="15" customHeight="1" x14ac:dyDescent="0.25">
      <c r="AL2810" s="31"/>
      <c r="AM2810" s="26"/>
      <c r="AN2810" s="32"/>
      <c r="AO2810" s="32"/>
      <c r="AP2810" s="24"/>
      <c r="AQ2810" s="24"/>
      <c r="AR2810" s="33"/>
      <c r="AS2810" s="34"/>
      <c r="AT2810" s="33"/>
      <c r="AV2810" s="21">
        <f>IF(AND($AL2810&lt;&gt;"",COUNTIF($AL$11:$AL2810,$AL2810)=1),1,0)</f>
        <v>0</v>
      </c>
      <c r="AW2810" s="21">
        <f t="shared" si="173"/>
        <v>0</v>
      </c>
      <c r="AX2810" s="21" t="str">
        <f t="shared" si="172"/>
        <v/>
      </c>
      <c r="AY2810" s="21" t="str">
        <f>IF(AND($AM2810&lt;&gt;"",$AS2810&lt;&gt;"✓"),SUMPRODUCT(($AM$11:$AM2810&lt;&gt;"")*($AS$11:$AS2810&lt;&gt;"✓")),"")</f>
        <v/>
      </c>
      <c r="AZ2810" s="21" t="str">
        <f>IF(AND($AM2810&lt;&gt;"",$AS2810="✓"),SUMPRODUCT(($AM$11:$AM2810&lt;&gt;"")*($AS$11:$AS2810="✓")),"")</f>
        <v/>
      </c>
      <c r="BA2810" s="21" t="str">
        <f>IF($AL2810="","",$AL2810&amp;"|"&amp;COUNTIF($AL$11:$AL2810,$AL2810))</f>
        <v/>
      </c>
    </row>
    <row r="2811" spans="38:53" ht="15" customHeight="1" x14ac:dyDescent="0.25">
      <c r="AL2811" s="17"/>
      <c r="AM2811" s="12"/>
      <c r="AN2811" s="18"/>
      <c r="AO2811" s="18"/>
      <c r="AP2811" s="10"/>
      <c r="AQ2811" s="10"/>
      <c r="AR2811" s="19"/>
      <c r="AS2811" s="20"/>
      <c r="AT2811" s="19"/>
      <c r="AV2811" s="21">
        <f>IF(AND($AL2811&lt;&gt;"",COUNTIF($AL$11:$AL2811,$AL2811)=1),1,0)</f>
        <v>0</v>
      </c>
      <c r="AW2811" s="21">
        <f t="shared" si="173"/>
        <v>0</v>
      </c>
      <c r="AX2811" s="21" t="str">
        <f t="shared" si="172"/>
        <v/>
      </c>
      <c r="AY2811" s="21" t="str">
        <f>IF(AND($AM2811&lt;&gt;"",$AS2811&lt;&gt;"✓"),SUMPRODUCT(($AM$11:$AM2811&lt;&gt;"")*($AS$11:$AS2811&lt;&gt;"✓")),"")</f>
        <v/>
      </c>
      <c r="AZ2811" s="21" t="str">
        <f>IF(AND($AM2811&lt;&gt;"",$AS2811="✓"),SUMPRODUCT(($AM$11:$AM2811&lt;&gt;"")*($AS$11:$AS2811="✓")),"")</f>
        <v/>
      </c>
      <c r="BA2811" s="21" t="str">
        <f>IF($AL2811="","",$AL2811&amp;"|"&amp;COUNTIF($AL$11:$AL2811,$AL2811))</f>
        <v/>
      </c>
    </row>
    <row r="2812" spans="38:53" ht="15" customHeight="1" x14ac:dyDescent="0.25">
      <c r="AL2812" s="31"/>
      <c r="AM2812" s="26"/>
      <c r="AN2812" s="32"/>
      <c r="AO2812" s="32"/>
      <c r="AP2812" s="24"/>
      <c r="AQ2812" s="24"/>
      <c r="AR2812" s="33"/>
      <c r="AS2812" s="34"/>
      <c r="AT2812" s="33"/>
      <c r="AV2812" s="21">
        <f>IF(AND($AL2812&lt;&gt;"",COUNTIF($AL$11:$AL2812,$AL2812)=1),1,0)</f>
        <v>0</v>
      </c>
      <c r="AW2812" s="21">
        <f t="shared" si="173"/>
        <v>0</v>
      </c>
      <c r="AX2812" s="21" t="str">
        <f t="shared" si="172"/>
        <v/>
      </c>
      <c r="AY2812" s="21" t="str">
        <f>IF(AND($AM2812&lt;&gt;"",$AS2812&lt;&gt;"✓"),SUMPRODUCT(($AM$11:$AM2812&lt;&gt;"")*($AS$11:$AS2812&lt;&gt;"✓")),"")</f>
        <v/>
      </c>
      <c r="AZ2812" s="21" t="str">
        <f>IF(AND($AM2812&lt;&gt;"",$AS2812="✓"),SUMPRODUCT(($AM$11:$AM2812&lt;&gt;"")*($AS$11:$AS2812="✓")),"")</f>
        <v/>
      </c>
      <c r="BA2812" s="21" t="str">
        <f>IF($AL2812="","",$AL2812&amp;"|"&amp;COUNTIF($AL$11:$AL2812,$AL2812))</f>
        <v/>
      </c>
    </row>
    <row r="2813" spans="38:53" ht="15" customHeight="1" x14ac:dyDescent="0.25">
      <c r="AL2813" s="17"/>
      <c r="AM2813" s="12"/>
      <c r="AN2813" s="18"/>
      <c r="AO2813" s="18"/>
      <c r="AP2813" s="10"/>
      <c r="AQ2813" s="10"/>
      <c r="AR2813" s="19"/>
      <c r="AS2813" s="20"/>
      <c r="AT2813" s="19"/>
      <c r="AV2813" s="21">
        <f>IF(AND($AL2813&lt;&gt;"",COUNTIF($AL$11:$AL2813,$AL2813)=1),1,0)</f>
        <v>0</v>
      </c>
      <c r="AW2813" s="21">
        <f t="shared" si="173"/>
        <v>0</v>
      </c>
      <c r="AX2813" s="21" t="str">
        <f t="shared" si="172"/>
        <v/>
      </c>
      <c r="AY2813" s="21" t="str">
        <f>IF(AND($AM2813&lt;&gt;"",$AS2813&lt;&gt;"✓"),SUMPRODUCT(($AM$11:$AM2813&lt;&gt;"")*($AS$11:$AS2813&lt;&gt;"✓")),"")</f>
        <v/>
      </c>
      <c r="AZ2813" s="21" t="str">
        <f>IF(AND($AM2813&lt;&gt;"",$AS2813="✓"),SUMPRODUCT(($AM$11:$AM2813&lt;&gt;"")*($AS$11:$AS2813="✓")),"")</f>
        <v/>
      </c>
      <c r="BA2813" s="21" t="str">
        <f>IF($AL2813="","",$AL2813&amp;"|"&amp;COUNTIF($AL$11:$AL2813,$AL2813))</f>
        <v/>
      </c>
    </row>
    <row r="2814" spans="38:53" ht="15" customHeight="1" x14ac:dyDescent="0.25">
      <c r="AL2814" s="31"/>
      <c r="AM2814" s="26"/>
      <c r="AN2814" s="32"/>
      <c r="AO2814" s="32"/>
      <c r="AP2814" s="24"/>
      <c r="AQ2814" s="24"/>
      <c r="AR2814" s="33"/>
      <c r="AS2814" s="34"/>
      <c r="AT2814" s="33"/>
      <c r="AV2814" s="21">
        <f>IF(AND($AL2814&lt;&gt;"",COUNTIF($AL$11:$AL2814,$AL2814)=1),1,0)</f>
        <v>0</v>
      </c>
      <c r="AW2814" s="21">
        <f t="shared" si="173"/>
        <v>0</v>
      </c>
      <c r="AX2814" s="21" t="str">
        <f t="shared" si="172"/>
        <v/>
      </c>
      <c r="AY2814" s="21" t="str">
        <f>IF(AND($AM2814&lt;&gt;"",$AS2814&lt;&gt;"✓"),SUMPRODUCT(($AM$11:$AM2814&lt;&gt;"")*($AS$11:$AS2814&lt;&gt;"✓")),"")</f>
        <v/>
      </c>
      <c r="AZ2814" s="21" t="str">
        <f>IF(AND($AM2814&lt;&gt;"",$AS2814="✓"),SUMPRODUCT(($AM$11:$AM2814&lt;&gt;"")*($AS$11:$AS2814="✓")),"")</f>
        <v/>
      </c>
      <c r="BA2814" s="21" t="str">
        <f>IF($AL2814="","",$AL2814&amp;"|"&amp;COUNTIF($AL$11:$AL2814,$AL2814))</f>
        <v/>
      </c>
    </row>
    <row r="2815" spans="38:53" ht="15" customHeight="1" x14ac:dyDescent="0.25">
      <c r="AL2815" s="17"/>
      <c r="AM2815" s="12"/>
      <c r="AN2815" s="18"/>
      <c r="AO2815" s="18"/>
      <c r="AP2815" s="10"/>
      <c r="AQ2815" s="10"/>
      <c r="AR2815" s="19"/>
      <c r="AS2815" s="20"/>
      <c r="AT2815" s="19"/>
      <c r="AV2815" s="21">
        <f>IF(AND($AL2815&lt;&gt;"",COUNTIF($AL$11:$AL2815,$AL2815)=1),1,0)</f>
        <v>0</v>
      </c>
      <c r="AW2815" s="21">
        <f t="shared" si="173"/>
        <v>0</v>
      </c>
      <c r="AX2815" s="21" t="str">
        <f t="shared" si="172"/>
        <v/>
      </c>
      <c r="AY2815" s="21" t="str">
        <f>IF(AND($AM2815&lt;&gt;"",$AS2815&lt;&gt;"✓"),SUMPRODUCT(($AM$11:$AM2815&lt;&gt;"")*($AS$11:$AS2815&lt;&gt;"✓")),"")</f>
        <v/>
      </c>
      <c r="AZ2815" s="21" t="str">
        <f>IF(AND($AM2815&lt;&gt;"",$AS2815="✓"),SUMPRODUCT(($AM$11:$AM2815&lt;&gt;"")*($AS$11:$AS2815="✓")),"")</f>
        <v/>
      </c>
      <c r="BA2815" s="21" t="str">
        <f>IF($AL2815="","",$AL2815&amp;"|"&amp;COUNTIF($AL$11:$AL2815,$AL2815))</f>
        <v/>
      </c>
    </row>
    <row r="2816" spans="38:53" ht="15" customHeight="1" x14ac:dyDescent="0.25">
      <c r="AL2816" s="31"/>
      <c r="AM2816" s="26"/>
      <c r="AN2816" s="32"/>
      <c r="AO2816" s="32"/>
      <c r="AP2816" s="24"/>
      <c r="AQ2816" s="24"/>
      <c r="AR2816" s="33"/>
      <c r="AS2816" s="34"/>
      <c r="AT2816" s="33"/>
      <c r="AV2816" s="21">
        <f>IF(AND($AL2816&lt;&gt;"",COUNTIF($AL$11:$AL2816,$AL2816)=1),1,0)</f>
        <v>0</v>
      </c>
      <c r="AW2816" s="21">
        <f t="shared" si="173"/>
        <v>0</v>
      </c>
      <c r="AX2816" s="21" t="str">
        <f t="shared" si="172"/>
        <v/>
      </c>
      <c r="AY2816" s="21" t="str">
        <f>IF(AND($AM2816&lt;&gt;"",$AS2816&lt;&gt;"✓"),SUMPRODUCT(($AM$11:$AM2816&lt;&gt;"")*($AS$11:$AS2816&lt;&gt;"✓")),"")</f>
        <v/>
      </c>
      <c r="AZ2816" s="21" t="str">
        <f>IF(AND($AM2816&lt;&gt;"",$AS2816="✓"),SUMPRODUCT(($AM$11:$AM2816&lt;&gt;"")*($AS$11:$AS2816="✓")),"")</f>
        <v/>
      </c>
      <c r="BA2816" s="21" t="str">
        <f>IF($AL2816="","",$AL2816&amp;"|"&amp;COUNTIF($AL$11:$AL2816,$AL2816))</f>
        <v/>
      </c>
    </row>
    <row r="2817" spans="38:53" ht="15" customHeight="1" x14ac:dyDescent="0.25">
      <c r="AL2817" s="17"/>
      <c r="AM2817" s="12"/>
      <c r="AN2817" s="18"/>
      <c r="AO2817" s="18"/>
      <c r="AP2817" s="10"/>
      <c r="AQ2817" s="10"/>
      <c r="AR2817" s="19"/>
      <c r="AS2817" s="20"/>
      <c r="AT2817" s="19"/>
      <c r="AV2817" s="21">
        <f>IF(AND($AL2817&lt;&gt;"",COUNTIF($AL$11:$AL2817,$AL2817)=1),1,0)</f>
        <v>0</v>
      </c>
      <c r="AW2817" s="21">
        <f t="shared" si="173"/>
        <v>0</v>
      </c>
      <c r="AX2817" s="21" t="str">
        <f t="shared" si="172"/>
        <v/>
      </c>
      <c r="AY2817" s="21" t="str">
        <f>IF(AND($AM2817&lt;&gt;"",$AS2817&lt;&gt;"✓"),SUMPRODUCT(($AM$11:$AM2817&lt;&gt;"")*($AS$11:$AS2817&lt;&gt;"✓")),"")</f>
        <v/>
      </c>
      <c r="AZ2817" s="21" t="str">
        <f>IF(AND($AM2817&lt;&gt;"",$AS2817="✓"),SUMPRODUCT(($AM$11:$AM2817&lt;&gt;"")*($AS$11:$AS2817="✓")),"")</f>
        <v/>
      </c>
      <c r="BA2817" s="21" t="str">
        <f>IF($AL2817="","",$AL2817&amp;"|"&amp;COUNTIF($AL$11:$AL2817,$AL2817))</f>
        <v/>
      </c>
    </row>
    <row r="2818" spans="38:53" ht="15" customHeight="1" x14ac:dyDescent="0.25">
      <c r="AL2818" s="31"/>
      <c r="AM2818" s="26"/>
      <c r="AN2818" s="32"/>
      <c r="AO2818" s="32"/>
      <c r="AP2818" s="24"/>
      <c r="AQ2818" s="24"/>
      <c r="AR2818" s="33"/>
      <c r="AS2818" s="34"/>
      <c r="AT2818" s="33"/>
      <c r="AV2818" s="21">
        <f>IF(AND($AL2818&lt;&gt;"",COUNTIF($AL$11:$AL2818,$AL2818)=1),1,0)</f>
        <v>0</v>
      </c>
      <c r="AW2818" s="21">
        <f t="shared" si="173"/>
        <v>0</v>
      </c>
      <c r="AX2818" s="21" t="str">
        <f t="shared" si="172"/>
        <v/>
      </c>
      <c r="AY2818" s="21" t="str">
        <f>IF(AND($AM2818&lt;&gt;"",$AS2818&lt;&gt;"✓"),SUMPRODUCT(($AM$11:$AM2818&lt;&gt;"")*($AS$11:$AS2818&lt;&gt;"✓")),"")</f>
        <v/>
      </c>
      <c r="AZ2818" s="21" t="str">
        <f>IF(AND($AM2818&lt;&gt;"",$AS2818="✓"),SUMPRODUCT(($AM$11:$AM2818&lt;&gt;"")*($AS$11:$AS2818="✓")),"")</f>
        <v/>
      </c>
      <c r="BA2818" s="21" t="str">
        <f>IF($AL2818="","",$AL2818&amp;"|"&amp;COUNTIF($AL$11:$AL2818,$AL2818))</f>
        <v/>
      </c>
    </row>
    <row r="2819" spans="38:53" ht="15" customHeight="1" x14ac:dyDescent="0.25">
      <c r="AL2819" s="17"/>
      <c r="AM2819" s="12"/>
      <c r="AN2819" s="18"/>
      <c r="AO2819" s="18"/>
      <c r="AP2819" s="10"/>
      <c r="AQ2819" s="10"/>
      <c r="AR2819" s="19"/>
      <c r="AS2819" s="20"/>
      <c r="AT2819" s="19"/>
      <c r="AV2819" s="21">
        <f>IF(AND($AL2819&lt;&gt;"",COUNTIF($AL$11:$AL2819,$AL2819)=1),1,0)</f>
        <v>0</v>
      </c>
      <c r="AW2819" s="21">
        <f t="shared" si="173"/>
        <v>0</v>
      </c>
      <c r="AX2819" s="21" t="str">
        <f t="shared" si="172"/>
        <v/>
      </c>
      <c r="AY2819" s="21" t="str">
        <f>IF(AND($AM2819&lt;&gt;"",$AS2819&lt;&gt;"✓"),SUMPRODUCT(($AM$11:$AM2819&lt;&gt;"")*($AS$11:$AS2819&lt;&gt;"✓")),"")</f>
        <v/>
      </c>
      <c r="AZ2819" s="21" t="str">
        <f>IF(AND($AM2819&lt;&gt;"",$AS2819="✓"),SUMPRODUCT(($AM$11:$AM2819&lt;&gt;"")*($AS$11:$AS2819="✓")),"")</f>
        <v/>
      </c>
      <c r="BA2819" s="21" t="str">
        <f>IF($AL2819="","",$AL2819&amp;"|"&amp;COUNTIF($AL$11:$AL2819,$AL2819))</f>
        <v/>
      </c>
    </row>
    <row r="2820" spans="38:53" ht="15" customHeight="1" x14ac:dyDescent="0.25">
      <c r="AL2820" s="31"/>
      <c r="AM2820" s="26"/>
      <c r="AN2820" s="32"/>
      <c r="AO2820" s="32"/>
      <c r="AP2820" s="24"/>
      <c r="AQ2820" s="24"/>
      <c r="AR2820" s="33"/>
      <c r="AS2820" s="34"/>
      <c r="AT2820" s="33"/>
      <c r="AV2820" s="21">
        <f>IF(AND($AL2820&lt;&gt;"",COUNTIF($AL$11:$AL2820,$AL2820)=1),1,0)</f>
        <v>0</v>
      </c>
      <c r="AW2820" s="21">
        <f t="shared" si="173"/>
        <v>0</v>
      </c>
      <c r="AX2820" s="21" t="str">
        <f t="shared" si="172"/>
        <v/>
      </c>
      <c r="AY2820" s="21" t="str">
        <f>IF(AND($AM2820&lt;&gt;"",$AS2820&lt;&gt;"✓"),SUMPRODUCT(($AM$11:$AM2820&lt;&gt;"")*($AS$11:$AS2820&lt;&gt;"✓")),"")</f>
        <v/>
      </c>
      <c r="AZ2820" s="21" t="str">
        <f>IF(AND($AM2820&lt;&gt;"",$AS2820="✓"),SUMPRODUCT(($AM$11:$AM2820&lt;&gt;"")*($AS$11:$AS2820="✓")),"")</f>
        <v/>
      </c>
      <c r="BA2820" s="21" t="str">
        <f>IF($AL2820="","",$AL2820&amp;"|"&amp;COUNTIF($AL$11:$AL2820,$AL2820))</f>
        <v/>
      </c>
    </row>
    <row r="2821" spans="38:53" ht="15" customHeight="1" x14ac:dyDescent="0.25">
      <c r="AL2821" s="17"/>
      <c r="AM2821" s="12"/>
      <c r="AN2821" s="18"/>
      <c r="AO2821" s="18"/>
      <c r="AP2821" s="10"/>
      <c r="AQ2821" s="10"/>
      <c r="AR2821" s="19"/>
      <c r="AS2821" s="20"/>
      <c r="AT2821" s="19"/>
      <c r="AV2821" s="21">
        <f>IF(AND($AL2821&lt;&gt;"",COUNTIF($AL$11:$AL2821,$AL2821)=1),1,0)</f>
        <v>0</v>
      </c>
      <c r="AW2821" s="21">
        <f t="shared" si="173"/>
        <v>0</v>
      </c>
      <c r="AX2821" s="21" t="str">
        <f t="shared" si="172"/>
        <v/>
      </c>
      <c r="AY2821" s="21" t="str">
        <f>IF(AND($AM2821&lt;&gt;"",$AS2821&lt;&gt;"✓"),SUMPRODUCT(($AM$11:$AM2821&lt;&gt;"")*($AS$11:$AS2821&lt;&gt;"✓")),"")</f>
        <v/>
      </c>
      <c r="AZ2821" s="21" t="str">
        <f>IF(AND($AM2821&lt;&gt;"",$AS2821="✓"),SUMPRODUCT(($AM$11:$AM2821&lt;&gt;"")*($AS$11:$AS2821="✓")),"")</f>
        <v/>
      </c>
      <c r="BA2821" s="21" t="str">
        <f>IF($AL2821="","",$AL2821&amp;"|"&amp;COUNTIF($AL$11:$AL2821,$AL2821))</f>
        <v/>
      </c>
    </row>
    <row r="2822" spans="38:53" ht="15" customHeight="1" x14ac:dyDescent="0.25">
      <c r="AL2822" s="31"/>
      <c r="AM2822" s="26"/>
      <c r="AN2822" s="32"/>
      <c r="AO2822" s="32"/>
      <c r="AP2822" s="24"/>
      <c r="AQ2822" s="24"/>
      <c r="AR2822" s="33"/>
      <c r="AS2822" s="34"/>
      <c r="AT2822" s="33"/>
      <c r="AV2822" s="21">
        <f>IF(AND($AL2822&lt;&gt;"",COUNTIF($AL$11:$AL2822,$AL2822)=1),1,0)</f>
        <v>0</v>
      </c>
      <c r="AW2822" s="21">
        <f t="shared" si="173"/>
        <v>0</v>
      </c>
      <c r="AX2822" s="21" t="str">
        <f t="shared" si="172"/>
        <v/>
      </c>
      <c r="AY2822" s="21" t="str">
        <f>IF(AND($AM2822&lt;&gt;"",$AS2822&lt;&gt;"✓"),SUMPRODUCT(($AM$11:$AM2822&lt;&gt;"")*($AS$11:$AS2822&lt;&gt;"✓")),"")</f>
        <v/>
      </c>
      <c r="AZ2822" s="21" t="str">
        <f>IF(AND($AM2822&lt;&gt;"",$AS2822="✓"),SUMPRODUCT(($AM$11:$AM2822&lt;&gt;"")*($AS$11:$AS2822="✓")),"")</f>
        <v/>
      </c>
      <c r="BA2822" s="21" t="str">
        <f>IF($AL2822="","",$AL2822&amp;"|"&amp;COUNTIF($AL$11:$AL2822,$AL2822))</f>
        <v/>
      </c>
    </row>
    <row r="2823" spans="38:53" ht="15" customHeight="1" x14ac:dyDescent="0.25">
      <c r="AL2823" s="17"/>
      <c r="AM2823" s="12"/>
      <c r="AN2823" s="18"/>
      <c r="AO2823" s="18"/>
      <c r="AP2823" s="10"/>
      <c r="AQ2823" s="10"/>
      <c r="AR2823" s="19"/>
      <c r="AS2823" s="20"/>
      <c r="AT2823" s="19"/>
      <c r="AV2823" s="21">
        <f>IF(AND($AL2823&lt;&gt;"",COUNTIF($AL$11:$AL2823,$AL2823)=1),1,0)</f>
        <v>0</v>
      </c>
      <c r="AW2823" s="21">
        <f t="shared" si="173"/>
        <v>0</v>
      </c>
      <c r="AX2823" s="21" t="str">
        <f t="shared" si="172"/>
        <v/>
      </c>
      <c r="AY2823" s="21" t="str">
        <f>IF(AND($AM2823&lt;&gt;"",$AS2823&lt;&gt;"✓"),SUMPRODUCT(($AM$11:$AM2823&lt;&gt;"")*($AS$11:$AS2823&lt;&gt;"✓")),"")</f>
        <v/>
      </c>
      <c r="AZ2823" s="21" t="str">
        <f>IF(AND($AM2823&lt;&gt;"",$AS2823="✓"),SUMPRODUCT(($AM$11:$AM2823&lt;&gt;"")*($AS$11:$AS2823="✓")),"")</f>
        <v/>
      </c>
      <c r="BA2823" s="21" t="str">
        <f>IF($AL2823="","",$AL2823&amp;"|"&amp;COUNTIF($AL$11:$AL2823,$AL2823))</f>
        <v/>
      </c>
    </row>
    <row r="2824" spans="38:53" ht="15" customHeight="1" x14ac:dyDescent="0.25">
      <c r="AL2824" s="31"/>
      <c r="AM2824" s="26"/>
      <c r="AN2824" s="32"/>
      <c r="AO2824" s="32"/>
      <c r="AP2824" s="24"/>
      <c r="AQ2824" s="24"/>
      <c r="AR2824" s="33"/>
      <c r="AS2824" s="34"/>
      <c r="AT2824" s="33"/>
      <c r="AV2824" s="21">
        <f>IF(AND($AL2824&lt;&gt;"",COUNTIF($AL$11:$AL2824,$AL2824)=1),1,0)</f>
        <v>0</v>
      </c>
      <c r="AW2824" s="21">
        <f t="shared" si="173"/>
        <v>0</v>
      </c>
      <c r="AX2824" s="21" t="str">
        <f t="shared" si="172"/>
        <v/>
      </c>
      <c r="AY2824" s="21" t="str">
        <f>IF(AND($AM2824&lt;&gt;"",$AS2824&lt;&gt;"✓"),SUMPRODUCT(($AM$11:$AM2824&lt;&gt;"")*($AS$11:$AS2824&lt;&gt;"✓")),"")</f>
        <v/>
      </c>
      <c r="AZ2824" s="21" t="str">
        <f>IF(AND($AM2824&lt;&gt;"",$AS2824="✓"),SUMPRODUCT(($AM$11:$AM2824&lt;&gt;"")*($AS$11:$AS2824="✓")),"")</f>
        <v/>
      </c>
      <c r="BA2824" s="21" t="str">
        <f>IF($AL2824="","",$AL2824&amp;"|"&amp;COUNTIF($AL$11:$AL2824,$AL2824))</f>
        <v/>
      </c>
    </row>
    <row r="2825" spans="38:53" ht="15" customHeight="1" x14ac:dyDescent="0.25">
      <c r="AL2825" s="17"/>
      <c r="AM2825" s="12"/>
      <c r="AN2825" s="18"/>
      <c r="AO2825" s="18"/>
      <c r="AP2825" s="10"/>
      <c r="AQ2825" s="10"/>
      <c r="AR2825" s="19"/>
      <c r="AS2825" s="20"/>
      <c r="AT2825" s="19"/>
      <c r="AV2825" s="21">
        <f>IF(AND($AL2825&lt;&gt;"",COUNTIF($AL$11:$AL2825,$AL2825)=1),1,0)</f>
        <v>0</v>
      </c>
      <c r="AW2825" s="21">
        <f t="shared" si="173"/>
        <v>0</v>
      </c>
      <c r="AX2825" s="21" t="str">
        <f t="shared" si="172"/>
        <v/>
      </c>
      <c r="AY2825" s="21" t="str">
        <f>IF(AND($AM2825&lt;&gt;"",$AS2825&lt;&gt;"✓"),SUMPRODUCT(($AM$11:$AM2825&lt;&gt;"")*($AS$11:$AS2825&lt;&gt;"✓")),"")</f>
        <v/>
      </c>
      <c r="AZ2825" s="21" t="str">
        <f>IF(AND($AM2825&lt;&gt;"",$AS2825="✓"),SUMPRODUCT(($AM$11:$AM2825&lt;&gt;"")*($AS$11:$AS2825="✓")),"")</f>
        <v/>
      </c>
      <c r="BA2825" s="21" t="str">
        <f>IF($AL2825="","",$AL2825&amp;"|"&amp;COUNTIF($AL$11:$AL2825,$AL2825))</f>
        <v/>
      </c>
    </row>
    <row r="2826" spans="38:53" ht="15" customHeight="1" x14ac:dyDescent="0.25">
      <c r="AL2826" s="31"/>
      <c r="AM2826" s="26"/>
      <c r="AN2826" s="32"/>
      <c r="AO2826" s="32"/>
      <c r="AP2826" s="24"/>
      <c r="AQ2826" s="24"/>
      <c r="AR2826" s="33"/>
      <c r="AS2826" s="34"/>
      <c r="AT2826" s="33"/>
      <c r="AV2826" s="21">
        <f>IF(AND($AL2826&lt;&gt;"",COUNTIF($AL$11:$AL2826,$AL2826)=1),1,0)</f>
        <v>0</v>
      </c>
      <c r="AW2826" s="21">
        <f t="shared" si="173"/>
        <v>0</v>
      </c>
      <c r="AX2826" s="21" t="str">
        <f t="shared" si="172"/>
        <v/>
      </c>
      <c r="AY2826" s="21" t="str">
        <f>IF(AND($AM2826&lt;&gt;"",$AS2826&lt;&gt;"✓"),SUMPRODUCT(($AM$11:$AM2826&lt;&gt;"")*($AS$11:$AS2826&lt;&gt;"✓")),"")</f>
        <v/>
      </c>
      <c r="AZ2826" s="21" t="str">
        <f>IF(AND($AM2826&lt;&gt;"",$AS2826="✓"),SUMPRODUCT(($AM$11:$AM2826&lt;&gt;"")*($AS$11:$AS2826="✓")),"")</f>
        <v/>
      </c>
      <c r="BA2826" s="21" t="str">
        <f>IF($AL2826="","",$AL2826&amp;"|"&amp;COUNTIF($AL$11:$AL2826,$AL2826))</f>
        <v/>
      </c>
    </row>
    <row r="2827" spans="38:53" ht="15" customHeight="1" x14ac:dyDescent="0.25">
      <c r="AL2827" s="17"/>
      <c r="AM2827" s="12"/>
      <c r="AN2827" s="18"/>
      <c r="AO2827" s="18"/>
      <c r="AP2827" s="10"/>
      <c r="AQ2827" s="10"/>
      <c r="AR2827" s="19"/>
      <c r="AS2827" s="20"/>
      <c r="AT2827" s="19"/>
      <c r="AV2827" s="21">
        <f>IF(AND($AL2827&lt;&gt;"",COUNTIF($AL$11:$AL2827,$AL2827)=1),1,0)</f>
        <v>0</v>
      </c>
      <c r="AW2827" s="21">
        <f t="shared" si="173"/>
        <v>0</v>
      </c>
      <c r="AX2827" s="21" t="str">
        <f t="shared" ref="AX2827:AX2890" si="174">IF(AV2827=1,AW2827,"")</f>
        <v/>
      </c>
      <c r="AY2827" s="21" t="str">
        <f>IF(AND($AM2827&lt;&gt;"",$AS2827&lt;&gt;"✓"),SUMPRODUCT(($AM$11:$AM2827&lt;&gt;"")*($AS$11:$AS2827&lt;&gt;"✓")),"")</f>
        <v/>
      </c>
      <c r="AZ2827" s="21" t="str">
        <f>IF(AND($AM2827&lt;&gt;"",$AS2827="✓"),SUMPRODUCT(($AM$11:$AM2827&lt;&gt;"")*($AS$11:$AS2827="✓")),"")</f>
        <v/>
      </c>
      <c r="BA2827" s="21" t="str">
        <f>IF($AL2827="","",$AL2827&amp;"|"&amp;COUNTIF($AL$11:$AL2827,$AL2827))</f>
        <v/>
      </c>
    </row>
    <row r="2828" spans="38:53" ht="15" customHeight="1" x14ac:dyDescent="0.25">
      <c r="AL2828" s="31"/>
      <c r="AM2828" s="26"/>
      <c r="AN2828" s="32"/>
      <c r="AO2828" s="32"/>
      <c r="AP2828" s="24"/>
      <c r="AQ2828" s="24"/>
      <c r="AR2828" s="33"/>
      <c r="AS2828" s="34"/>
      <c r="AT2828" s="33"/>
      <c r="AV2828" s="21">
        <f>IF(AND($AL2828&lt;&gt;"",COUNTIF($AL$11:$AL2828,$AL2828)=1),1,0)</f>
        <v>0</v>
      </c>
      <c r="AW2828" s="21">
        <f t="shared" ref="AW2828:AW2891" si="175">AW2827+AV2828</f>
        <v>0</v>
      </c>
      <c r="AX2828" s="21" t="str">
        <f t="shared" si="174"/>
        <v/>
      </c>
      <c r="AY2828" s="21" t="str">
        <f>IF(AND($AM2828&lt;&gt;"",$AS2828&lt;&gt;"✓"),SUMPRODUCT(($AM$11:$AM2828&lt;&gt;"")*($AS$11:$AS2828&lt;&gt;"✓")),"")</f>
        <v/>
      </c>
      <c r="AZ2828" s="21" t="str">
        <f>IF(AND($AM2828&lt;&gt;"",$AS2828="✓"),SUMPRODUCT(($AM$11:$AM2828&lt;&gt;"")*($AS$11:$AS2828="✓")),"")</f>
        <v/>
      </c>
      <c r="BA2828" s="21" t="str">
        <f>IF($AL2828="","",$AL2828&amp;"|"&amp;COUNTIF($AL$11:$AL2828,$AL2828))</f>
        <v/>
      </c>
    </row>
    <row r="2829" spans="38:53" ht="15" customHeight="1" x14ac:dyDescent="0.25">
      <c r="AL2829" s="17"/>
      <c r="AM2829" s="12"/>
      <c r="AN2829" s="18"/>
      <c r="AO2829" s="18"/>
      <c r="AP2829" s="10"/>
      <c r="AQ2829" s="10"/>
      <c r="AR2829" s="19"/>
      <c r="AS2829" s="20"/>
      <c r="AT2829" s="19"/>
      <c r="AV2829" s="21">
        <f>IF(AND($AL2829&lt;&gt;"",COUNTIF($AL$11:$AL2829,$AL2829)=1),1,0)</f>
        <v>0</v>
      </c>
      <c r="AW2829" s="21">
        <f t="shared" si="175"/>
        <v>0</v>
      </c>
      <c r="AX2829" s="21" t="str">
        <f t="shared" si="174"/>
        <v/>
      </c>
      <c r="AY2829" s="21" t="str">
        <f>IF(AND($AM2829&lt;&gt;"",$AS2829&lt;&gt;"✓"),SUMPRODUCT(($AM$11:$AM2829&lt;&gt;"")*($AS$11:$AS2829&lt;&gt;"✓")),"")</f>
        <v/>
      </c>
      <c r="AZ2829" s="21" t="str">
        <f>IF(AND($AM2829&lt;&gt;"",$AS2829="✓"),SUMPRODUCT(($AM$11:$AM2829&lt;&gt;"")*($AS$11:$AS2829="✓")),"")</f>
        <v/>
      </c>
      <c r="BA2829" s="21" t="str">
        <f>IF($AL2829="","",$AL2829&amp;"|"&amp;COUNTIF($AL$11:$AL2829,$AL2829))</f>
        <v/>
      </c>
    </row>
    <row r="2830" spans="38:53" ht="15" customHeight="1" x14ac:dyDescent="0.25">
      <c r="AL2830" s="31"/>
      <c r="AM2830" s="26"/>
      <c r="AN2830" s="32"/>
      <c r="AO2830" s="32"/>
      <c r="AP2830" s="24"/>
      <c r="AQ2830" s="24"/>
      <c r="AR2830" s="33"/>
      <c r="AS2830" s="34"/>
      <c r="AT2830" s="33"/>
      <c r="AV2830" s="21">
        <f>IF(AND($AL2830&lt;&gt;"",COUNTIF($AL$11:$AL2830,$AL2830)=1),1,0)</f>
        <v>0</v>
      </c>
      <c r="AW2830" s="21">
        <f t="shared" si="175"/>
        <v>0</v>
      </c>
      <c r="AX2830" s="21" t="str">
        <f t="shared" si="174"/>
        <v/>
      </c>
      <c r="AY2830" s="21" t="str">
        <f>IF(AND($AM2830&lt;&gt;"",$AS2830&lt;&gt;"✓"),SUMPRODUCT(($AM$11:$AM2830&lt;&gt;"")*($AS$11:$AS2830&lt;&gt;"✓")),"")</f>
        <v/>
      </c>
      <c r="AZ2830" s="21" t="str">
        <f>IF(AND($AM2830&lt;&gt;"",$AS2830="✓"),SUMPRODUCT(($AM$11:$AM2830&lt;&gt;"")*($AS$11:$AS2830="✓")),"")</f>
        <v/>
      </c>
      <c r="BA2830" s="21" t="str">
        <f>IF($AL2830="","",$AL2830&amp;"|"&amp;COUNTIF($AL$11:$AL2830,$AL2830))</f>
        <v/>
      </c>
    </row>
    <row r="2831" spans="38:53" ht="15" customHeight="1" x14ac:dyDescent="0.25">
      <c r="AL2831" s="17"/>
      <c r="AM2831" s="12"/>
      <c r="AN2831" s="18"/>
      <c r="AO2831" s="18"/>
      <c r="AP2831" s="10"/>
      <c r="AQ2831" s="10"/>
      <c r="AR2831" s="19"/>
      <c r="AS2831" s="20"/>
      <c r="AT2831" s="19"/>
      <c r="AV2831" s="21">
        <f>IF(AND($AL2831&lt;&gt;"",COUNTIF($AL$11:$AL2831,$AL2831)=1),1,0)</f>
        <v>0</v>
      </c>
      <c r="AW2831" s="21">
        <f t="shared" si="175"/>
        <v>0</v>
      </c>
      <c r="AX2831" s="21" t="str">
        <f t="shared" si="174"/>
        <v/>
      </c>
      <c r="AY2831" s="21" t="str">
        <f>IF(AND($AM2831&lt;&gt;"",$AS2831&lt;&gt;"✓"),SUMPRODUCT(($AM$11:$AM2831&lt;&gt;"")*($AS$11:$AS2831&lt;&gt;"✓")),"")</f>
        <v/>
      </c>
      <c r="AZ2831" s="21" t="str">
        <f>IF(AND($AM2831&lt;&gt;"",$AS2831="✓"),SUMPRODUCT(($AM$11:$AM2831&lt;&gt;"")*($AS$11:$AS2831="✓")),"")</f>
        <v/>
      </c>
      <c r="BA2831" s="21" t="str">
        <f>IF($AL2831="","",$AL2831&amp;"|"&amp;COUNTIF($AL$11:$AL2831,$AL2831))</f>
        <v/>
      </c>
    </row>
    <row r="2832" spans="38:53" ht="15" customHeight="1" x14ac:dyDescent="0.25">
      <c r="AL2832" s="31"/>
      <c r="AM2832" s="26"/>
      <c r="AN2832" s="32"/>
      <c r="AO2832" s="32"/>
      <c r="AP2832" s="24"/>
      <c r="AQ2832" s="24"/>
      <c r="AR2832" s="33"/>
      <c r="AS2832" s="34"/>
      <c r="AT2832" s="33"/>
      <c r="AV2832" s="21">
        <f>IF(AND($AL2832&lt;&gt;"",COUNTIF($AL$11:$AL2832,$AL2832)=1),1,0)</f>
        <v>0</v>
      </c>
      <c r="AW2832" s="21">
        <f t="shared" si="175"/>
        <v>0</v>
      </c>
      <c r="AX2832" s="21" t="str">
        <f t="shared" si="174"/>
        <v/>
      </c>
      <c r="AY2832" s="21" t="str">
        <f>IF(AND($AM2832&lt;&gt;"",$AS2832&lt;&gt;"✓"),SUMPRODUCT(($AM$11:$AM2832&lt;&gt;"")*($AS$11:$AS2832&lt;&gt;"✓")),"")</f>
        <v/>
      </c>
      <c r="AZ2832" s="21" t="str">
        <f>IF(AND($AM2832&lt;&gt;"",$AS2832="✓"),SUMPRODUCT(($AM$11:$AM2832&lt;&gt;"")*($AS$11:$AS2832="✓")),"")</f>
        <v/>
      </c>
      <c r="BA2832" s="21" t="str">
        <f>IF($AL2832="","",$AL2832&amp;"|"&amp;COUNTIF($AL$11:$AL2832,$AL2832))</f>
        <v/>
      </c>
    </row>
    <row r="2833" spans="38:53" ht="15" customHeight="1" x14ac:dyDescent="0.25">
      <c r="AL2833" s="17"/>
      <c r="AM2833" s="12"/>
      <c r="AN2833" s="18"/>
      <c r="AO2833" s="18"/>
      <c r="AP2833" s="10"/>
      <c r="AQ2833" s="10"/>
      <c r="AR2833" s="19"/>
      <c r="AS2833" s="20"/>
      <c r="AT2833" s="19"/>
      <c r="AV2833" s="21">
        <f>IF(AND($AL2833&lt;&gt;"",COUNTIF($AL$11:$AL2833,$AL2833)=1),1,0)</f>
        <v>0</v>
      </c>
      <c r="AW2833" s="21">
        <f t="shared" si="175"/>
        <v>0</v>
      </c>
      <c r="AX2833" s="21" t="str">
        <f t="shared" si="174"/>
        <v/>
      </c>
      <c r="AY2833" s="21" t="str">
        <f>IF(AND($AM2833&lt;&gt;"",$AS2833&lt;&gt;"✓"),SUMPRODUCT(($AM$11:$AM2833&lt;&gt;"")*($AS$11:$AS2833&lt;&gt;"✓")),"")</f>
        <v/>
      </c>
      <c r="AZ2833" s="21" t="str">
        <f>IF(AND($AM2833&lt;&gt;"",$AS2833="✓"),SUMPRODUCT(($AM$11:$AM2833&lt;&gt;"")*($AS$11:$AS2833="✓")),"")</f>
        <v/>
      </c>
      <c r="BA2833" s="21" t="str">
        <f>IF($AL2833="","",$AL2833&amp;"|"&amp;COUNTIF($AL$11:$AL2833,$AL2833))</f>
        <v/>
      </c>
    </row>
    <row r="2834" spans="38:53" ht="15" customHeight="1" x14ac:dyDescent="0.25">
      <c r="AL2834" s="31"/>
      <c r="AM2834" s="26"/>
      <c r="AN2834" s="32"/>
      <c r="AO2834" s="32"/>
      <c r="AP2834" s="24"/>
      <c r="AQ2834" s="24"/>
      <c r="AR2834" s="33"/>
      <c r="AS2834" s="34"/>
      <c r="AT2834" s="33"/>
      <c r="AV2834" s="21">
        <f>IF(AND($AL2834&lt;&gt;"",COUNTIF($AL$11:$AL2834,$AL2834)=1),1,0)</f>
        <v>0</v>
      </c>
      <c r="AW2834" s="21">
        <f t="shared" si="175"/>
        <v>0</v>
      </c>
      <c r="AX2834" s="21" t="str">
        <f t="shared" si="174"/>
        <v/>
      </c>
      <c r="AY2834" s="21" t="str">
        <f>IF(AND($AM2834&lt;&gt;"",$AS2834&lt;&gt;"✓"),SUMPRODUCT(($AM$11:$AM2834&lt;&gt;"")*($AS$11:$AS2834&lt;&gt;"✓")),"")</f>
        <v/>
      </c>
      <c r="AZ2834" s="21" t="str">
        <f>IF(AND($AM2834&lt;&gt;"",$AS2834="✓"),SUMPRODUCT(($AM$11:$AM2834&lt;&gt;"")*($AS$11:$AS2834="✓")),"")</f>
        <v/>
      </c>
      <c r="BA2834" s="21" t="str">
        <f>IF($AL2834="","",$AL2834&amp;"|"&amp;COUNTIF($AL$11:$AL2834,$AL2834))</f>
        <v/>
      </c>
    </row>
    <row r="2835" spans="38:53" ht="15" customHeight="1" x14ac:dyDescent="0.25">
      <c r="AL2835" s="17"/>
      <c r="AM2835" s="12"/>
      <c r="AN2835" s="18"/>
      <c r="AO2835" s="18"/>
      <c r="AP2835" s="10"/>
      <c r="AQ2835" s="10"/>
      <c r="AR2835" s="19"/>
      <c r="AS2835" s="20"/>
      <c r="AT2835" s="19"/>
      <c r="AV2835" s="21">
        <f>IF(AND($AL2835&lt;&gt;"",COUNTIF($AL$11:$AL2835,$AL2835)=1),1,0)</f>
        <v>0</v>
      </c>
      <c r="AW2835" s="21">
        <f t="shared" si="175"/>
        <v>0</v>
      </c>
      <c r="AX2835" s="21" t="str">
        <f t="shared" si="174"/>
        <v/>
      </c>
      <c r="AY2835" s="21" t="str">
        <f>IF(AND($AM2835&lt;&gt;"",$AS2835&lt;&gt;"✓"),SUMPRODUCT(($AM$11:$AM2835&lt;&gt;"")*($AS$11:$AS2835&lt;&gt;"✓")),"")</f>
        <v/>
      </c>
      <c r="AZ2835" s="21" t="str">
        <f>IF(AND($AM2835&lt;&gt;"",$AS2835="✓"),SUMPRODUCT(($AM$11:$AM2835&lt;&gt;"")*($AS$11:$AS2835="✓")),"")</f>
        <v/>
      </c>
      <c r="BA2835" s="21" t="str">
        <f>IF($AL2835="","",$AL2835&amp;"|"&amp;COUNTIF($AL$11:$AL2835,$AL2835))</f>
        <v/>
      </c>
    </row>
    <row r="2836" spans="38:53" ht="15" customHeight="1" x14ac:dyDescent="0.25">
      <c r="AL2836" s="31"/>
      <c r="AM2836" s="26"/>
      <c r="AN2836" s="32"/>
      <c r="AO2836" s="32"/>
      <c r="AP2836" s="24"/>
      <c r="AQ2836" s="24"/>
      <c r="AR2836" s="33"/>
      <c r="AS2836" s="34"/>
      <c r="AT2836" s="33"/>
      <c r="AV2836" s="21">
        <f>IF(AND($AL2836&lt;&gt;"",COUNTIF($AL$11:$AL2836,$AL2836)=1),1,0)</f>
        <v>0</v>
      </c>
      <c r="AW2836" s="21">
        <f t="shared" si="175"/>
        <v>0</v>
      </c>
      <c r="AX2836" s="21" t="str">
        <f t="shared" si="174"/>
        <v/>
      </c>
      <c r="AY2836" s="21" t="str">
        <f>IF(AND($AM2836&lt;&gt;"",$AS2836&lt;&gt;"✓"),SUMPRODUCT(($AM$11:$AM2836&lt;&gt;"")*($AS$11:$AS2836&lt;&gt;"✓")),"")</f>
        <v/>
      </c>
      <c r="AZ2836" s="21" t="str">
        <f>IF(AND($AM2836&lt;&gt;"",$AS2836="✓"),SUMPRODUCT(($AM$11:$AM2836&lt;&gt;"")*($AS$11:$AS2836="✓")),"")</f>
        <v/>
      </c>
      <c r="BA2836" s="21" t="str">
        <f>IF($AL2836="","",$AL2836&amp;"|"&amp;COUNTIF($AL$11:$AL2836,$AL2836))</f>
        <v/>
      </c>
    </row>
    <row r="2837" spans="38:53" ht="15" customHeight="1" x14ac:dyDescent="0.25">
      <c r="AL2837" s="17"/>
      <c r="AM2837" s="12"/>
      <c r="AN2837" s="18"/>
      <c r="AO2837" s="18"/>
      <c r="AP2837" s="10"/>
      <c r="AQ2837" s="10"/>
      <c r="AR2837" s="19"/>
      <c r="AS2837" s="20"/>
      <c r="AT2837" s="19"/>
      <c r="AV2837" s="21">
        <f>IF(AND($AL2837&lt;&gt;"",COUNTIF($AL$11:$AL2837,$AL2837)=1),1,0)</f>
        <v>0</v>
      </c>
      <c r="AW2837" s="21">
        <f t="shared" si="175"/>
        <v>0</v>
      </c>
      <c r="AX2837" s="21" t="str">
        <f t="shared" si="174"/>
        <v/>
      </c>
      <c r="AY2837" s="21" t="str">
        <f>IF(AND($AM2837&lt;&gt;"",$AS2837&lt;&gt;"✓"),SUMPRODUCT(($AM$11:$AM2837&lt;&gt;"")*($AS$11:$AS2837&lt;&gt;"✓")),"")</f>
        <v/>
      </c>
      <c r="AZ2837" s="21" t="str">
        <f>IF(AND($AM2837&lt;&gt;"",$AS2837="✓"),SUMPRODUCT(($AM$11:$AM2837&lt;&gt;"")*($AS$11:$AS2837="✓")),"")</f>
        <v/>
      </c>
      <c r="BA2837" s="21" t="str">
        <f>IF($AL2837="","",$AL2837&amp;"|"&amp;COUNTIF($AL$11:$AL2837,$AL2837))</f>
        <v/>
      </c>
    </row>
    <row r="2838" spans="38:53" ht="15" customHeight="1" x14ac:dyDescent="0.25">
      <c r="AL2838" s="31"/>
      <c r="AM2838" s="26"/>
      <c r="AN2838" s="32"/>
      <c r="AO2838" s="32"/>
      <c r="AP2838" s="24"/>
      <c r="AQ2838" s="24"/>
      <c r="AR2838" s="33"/>
      <c r="AS2838" s="34"/>
      <c r="AT2838" s="33"/>
      <c r="AV2838" s="21">
        <f>IF(AND($AL2838&lt;&gt;"",COUNTIF($AL$11:$AL2838,$AL2838)=1),1,0)</f>
        <v>0</v>
      </c>
      <c r="AW2838" s="21">
        <f t="shared" si="175"/>
        <v>0</v>
      </c>
      <c r="AX2838" s="21" t="str">
        <f t="shared" si="174"/>
        <v/>
      </c>
      <c r="AY2838" s="21" t="str">
        <f>IF(AND($AM2838&lt;&gt;"",$AS2838&lt;&gt;"✓"),SUMPRODUCT(($AM$11:$AM2838&lt;&gt;"")*($AS$11:$AS2838&lt;&gt;"✓")),"")</f>
        <v/>
      </c>
      <c r="AZ2838" s="21" t="str">
        <f>IF(AND($AM2838&lt;&gt;"",$AS2838="✓"),SUMPRODUCT(($AM$11:$AM2838&lt;&gt;"")*($AS$11:$AS2838="✓")),"")</f>
        <v/>
      </c>
      <c r="BA2838" s="21" t="str">
        <f>IF($AL2838="","",$AL2838&amp;"|"&amp;COUNTIF($AL$11:$AL2838,$AL2838))</f>
        <v/>
      </c>
    </row>
    <row r="2839" spans="38:53" ht="15" customHeight="1" x14ac:dyDescent="0.25">
      <c r="AL2839" s="17"/>
      <c r="AM2839" s="12"/>
      <c r="AN2839" s="18"/>
      <c r="AO2839" s="18"/>
      <c r="AP2839" s="10"/>
      <c r="AQ2839" s="10"/>
      <c r="AR2839" s="19"/>
      <c r="AS2839" s="20"/>
      <c r="AT2839" s="19"/>
      <c r="AV2839" s="21">
        <f>IF(AND($AL2839&lt;&gt;"",COUNTIF($AL$11:$AL2839,$AL2839)=1),1,0)</f>
        <v>0</v>
      </c>
      <c r="AW2839" s="21">
        <f t="shared" si="175"/>
        <v>0</v>
      </c>
      <c r="AX2839" s="21" t="str">
        <f t="shared" si="174"/>
        <v/>
      </c>
      <c r="AY2839" s="21" t="str">
        <f>IF(AND($AM2839&lt;&gt;"",$AS2839&lt;&gt;"✓"),SUMPRODUCT(($AM$11:$AM2839&lt;&gt;"")*($AS$11:$AS2839&lt;&gt;"✓")),"")</f>
        <v/>
      </c>
      <c r="AZ2839" s="21" t="str">
        <f>IF(AND($AM2839&lt;&gt;"",$AS2839="✓"),SUMPRODUCT(($AM$11:$AM2839&lt;&gt;"")*($AS$11:$AS2839="✓")),"")</f>
        <v/>
      </c>
      <c r="BA2839" s="21" t="str">
        <f>IF($AL2839="","",$AL2839&amp;"|"&amp;COUNTIF($AL$11:$AL2839,$AL2839))</f>
        <v/>
      </c>
    </row>
    <row r="2840" spans="38:53" ht="15" customHeight="1" x14ac:dyDescent="0.25">
      <c r="AL2840" s="31"/>
      <c r="AM2840" s="26"/>
      <c r="AN2840" s="32"/>
      <c r="AO2840" s="32"/>
      <c r="AP2840" s="24"/>
      <c r="AQ2840" s="24"/>
      <c r="AR2840" s="33"/>
      <c r="AS2840" s="34"/>
      <c r="AT2840" s="33"/>
      <c r="AV2840" s="21">
        <f>IF(AND($AL2840&lt;&gt;"",COUNTIF($AL$11:$AL2840,$AL2840)=1),1,0)</f>
        <v>0</v>
      </c>
      <c r="AW2840" s="21">
        <f t="shared" si="175"/>
        <v>0</v>
      </c>
      <c r="AX2840" s="21" t="str">
        <f t="shared" si="174"/>
        <v/>
      </c>
      <c r="AY2840" s="21" t="str">
        <f>IF(AND($AM2840&lt;&gt;"",$AS2840&lt;&gt;"✓"),SUMPRODUCT(($AM$11:$AM2840&lt;&gt;"")*($AS$11:$AS2840&lt;&gt;"✓")),"")</f>
        <v/>
      </c>
      <c r="AZ2840" s="21" t="str">
        <f>IF(AND($AM2840&lt;&gt;"",$AS2840="✓"),SUMPRODUCT(($AM$11:$AM2840&lt;&gt;"")*($AS$11:$AS2840="✓")),"")</f>
        <v/>
      </c>
      <c r="BA2840" s="21" t="str">
        <f>IF($AL2840="","",$AL2840&amp;"|"&amp;COUNTIF($AL$11:$AL2840,$AL2840))</f>
        <v/>
      </c>
    </row>
    <row r="2841" spans="38:53" ht="15" customHeight="1" x14ac:dyDescent="0.25">
      <c r="AL2841" s="17"/>
      <c r="AM2841" s="12"/>
      <c r="AN2841" s="18"/>
      <c r="AO2841" s="18"/>
      <c r="AP2841" s="10"/>
      <c r="AQ2841" s="10"/>
      <c r="AR2841" s="19"/>
      <c r="AS2841" s="20"/>
      <c r="AT2841" s="19"/>
      <c r="AV2841" s="21">
        <f>IF(AND($AL2841&lt;&gt;"",COUNTIF($AL$11:$AL2841,$AL2841)=1),1,0)</f>
        <v>0</v>
      </c>
      <c r="AW2841" s="21">
        <f t="shared" si="175"/>
        <v>0</v>
      </c>
      <c r="AX2841" s="21" t="str">
        <f t="shared" si="174"/>
        <v/>
      </c>
      <c r="AY2841" s="21" t="str">
        <f>IF(AND($AM2841&lt;&gt;"",$AS2841&lt;&gt;"✓"),SUMPRODUCT(($AM$11:$AM2841&lt;&gt;"")*($AS$11:$AS2841&lt;&gt;"✓")),"")</f>
        <v/>
      </c>
      <c r="AZ2841" s="21" t="str">
        <f>IF(AND($AM2841&lt;&gt;"",$AS2841="✓"),SUMPRODUCT(($AM$11:$AM2841&lt;&gt;"")*($AS$11:$AS2841="✓")),"")</f>
        <v/>
      </c>
      <c r="BA2841" s="21" t="str">
        <f>IF($AL2841="","",$AL2841&amp;"|"&amp;COUNTIF($AL$11:$AL2841,$AL2841))</f>
        <v/>
      </c>
    </row>
    <row r="2842" spans="38:53" ht="15" customHeight="1" x14ac:dyDescent="0.25">
      <c r="AL2842" s="31"/>
      <c r="AM2842" s="26"/>
      <c r="AN2842" s="32"/>
      <c r="AO2842" s="32"/>
      <c r="AP2842" s="24"/>
      <c r="AQ2842" s="24"/>
      <c r="AR2842" s="33"/>
      <c r="AS2842" s="34"/>
      <c r="AT2842" s="33"/>
      <c r="AV2842" s="21">
        <f>IF(AND($AL2842&lt;&gt;"",COUNTIF($AL$11:$AL2842,$AL2842)=1),1,0)</f>
        <v>0</v>
      </c>
      <c r="AW2842" s="21">
        <f t="shared" si="175"/>
        <v>0</v>
      </c>
      <c r="AX2842" s="21" t="str">
        <f t="shared" si="174"/>
        <v/>
      </c>
      <c r="AY2842" s="21" t="str">
        <f>IF(AND($AM2842&lt;&gt;"",$AS2842&lt;&gt;"✓"),SUMPRODUCT(($AM$11:$AM2842&lt;&gt;"")*($AS$11:$AS2842&lt;&gt;"✓")),"")</f>
        <v/>
      </c>
      <c r="AZ2842" s="21" t="str">
        <f>IF(AND($AM2842&lt;&gt;"",$AS2842="✓"),SUMPRODUCT(($AM$11:$AM2842&lt;&gt;"")*($AS$11:$AS2842="✓")),"")</f>
        <v/>
      </c>
      <c r="BA2842" s="21" t="str">
        <f>IF($AL2842="","",$AL2842&amp;"|"&amp;COUNTIF($AL$11:$AL2842,$AL2842))</f>
        <v/>
      </c>
    </row>
    <row r="2843" spans="38:53" ht="15" customHeight="1" x14ac:dyDescent="0.25">
      <c r="AL2843" s="17"/>
      <c r="AM2843" s="12"/>
      <c r="AN2843" s="18"/>
      <c r="AO2843" s="18"/>
      <c r="AP2843" s="10"/>
      <c r="AQ2843" s="10"/>
      <c r="AR2843" s="19"/>
      <c r="AS2843" s="20"/>
      <c r="AT2843" s="19"/>
      <c r="AV2843" s="21">
        <f>IF(AND($AL2843&lt;&gt;"",COUNTIF($AL$11:$AL2843,$AL2843)=1),1,0)</f>
        <v>0</v>
      </c>
      <c r="AW2843" s="21">
        <f t="shared" si="175"/>
        <v>0</v>
      </c>
      <c r="AX2843" s="21" t="str">
        <f t="shared" si="174"/>
        <v/>
      </c>
      <c r="AY2843" s="21" t="str">
        <f>IF(AND($AM2843&lt;&gt;"",$AS2843&lt;&gt;"✓"),SUMPRODUCT(($AM$11:$AM2843&lt;&gt;"")*($AS$11:$AS2843&lt;&gt;"✓")),"")</f>
        <v/>
      </c>
      <c r="AZ2843" s="21" t="str">
        <f>IF(AND($AM2843&lt;&gt;"",$AS2843="✓"),SUMPRODUCT(($AM$11:$AM2843&lt;&gt;"")*($AS$11:$AS2843="✓")),"")</f>
        <v/>
      </c>
      <c r="BA2843" s="21" t="str">
        <f>IF($AL2843="","",$AL2843&amp;"|"&amp;COUNTIF($AL$11:$AL2843,$AL2843))</f>
        <v/>
      </c>
    </row>
    <row r="2844" spans="38:53" ht="15" customHeight="1" x14ac:dyDescent="0.25">
      <c r="AL2844" s="31"/>
      <c r="AM2844" s="26"/>
      <c r="AN2844" s="32"/>
      <c r="AO2844" s="32"/>
      <c r="AP2844" s="24"/>
      <c r="AQ2844" s="24"/>
      <c r="AR2844" s="33"/>
      <c r="AS2844" s="34"/>
      <c r="AT2844" s="33"/>
      <c r="AV2844" s="21">
        <f>IF(AND($AL2844&lt;&gt;"",COUNTIF($AL$11:$AL2844,$AL2844)=1),1,0)</f>
        <v>0</v>
      </c>
      <c r="AW2844" s="21">
        <f t="shared" si="175"/>
        <v>0</v>
      </c>
      <c r="AX2844" s="21" t="str">
        <f t="shared" si="174"/>
        <v/>
      </c>
      <c r="AY2844" s="21" t="str">
        <f>IF(AND($AM2844&lt;&gt;"",$AS2844&lt;&gt;"✓"),SUMPRODUCT(($AM$11:$AM2844&lt;&gt;"")*($AS$11:$AS2844&lt;&gt;"✓")),"")</f>
        <v/>
      </c>
      <c r="AZ2844" s="21" t="str">
        <f>IF(AND($AM2844&lt;&gt;"",$AS2844="✓"),SUMPRODUCT(($AM$11:$AM2844&lt;&gt;"")*($AS$11:$AS2844="✓")),"")</f>
        <v/>
      </c>
      <c r="BA2844" s="21" t="str">
        <f>IF($AL2844="","",$AL2844&amp;"|"&amp;COUNTIF($AL$11:$AL2844,$AL2844))</f>
        <v/>
      </c>
    </row>
    <row r="2845" spans="38:53" ht="15" customHeight="1" x14ac:dyDescent="0.25">
      <c r="AL2845" s="17"/>
      <c r="AM2845" s="12"/>
      <c r="AN2845" s="18"/>
      <c r="AO2845" s="18"/>
      <c r="AP2845" s="10"/>
      <c r="AQ2845" s="10"/>
      <c r="AR2845" s="19"/>
      <c r="AS2845" s="20"/>
      <c r="AT2845" s="19"/>
      <c r="AV2845" s="21">
        <f>IF(AND($AL2845&lt;&gt;"",COUNTIF($AL$11:$AL2845,$AL2845)=1),1,0)</f>
        <v>0</v>
      </c>
      <c r="AW2845" s="21">
        <f t="shared" si="175"/>
        <v>0</v>
      </c>
      <c r="AX2845" s="21" t="str">
        <f t="shared" si="174"/>
        <v/>
      </c>
      <c r="AY2845" s="21" t="str">
        <f>IF(AND($AM2845&lt;&gt;"",$AS2845&lt;&gt;"✓"),SUMPRODUCT(($AM$11:$AM2845&lt;&gt;"")*($AS$11:$AS2845&lt;&gt;"✓")),"")</f>
        <v/>
      </c>
      <c r="AZ2845" s="21" t="str">
        <f>IF(AND($AM2845&lt;&gt;"",$AS2845="✓"),SUMPRODUCT(($AM$11:$AM2845&lt;&gt;"")*($AS$11:$AS2845="✓")),"")</f>
        <v/>
      </c>
      <c r="BA2845" s="21" t="str">
        <f>IF($AL2845="","",$AL2845&amp;"|"&amp;COUNTIF($AL$11:$AL2845,$AL2845))</f>
        <v/>
      </c>
    </row>
    <row r="2846" spans="38:53" ht="15" customHeight="1" x14ac:dyDescent="0.25">
      <c r="AL2846" s="31"/>
      <c r="AM2846" s="26"/>
      <c r="AN2846" s="32"/>
      <c r="AO2846" s="32"/>
      <c r="AP2846" s="24"/>
      <c r="AQ2846" s="24"/>
      <c r="AR2846" s="33"/>
      <c r="AS2846" s="34"/>
      <c r="AT2846" s="33"/>
      <c r="AV2846" s="21">
        <f>IF(AND($AL2846&lt;&gt;"",COUNTIF($AL$11:$AL2846,$AL2846)=1),1,0)</f>
        <v>0</v>
      </c>
      <c r="AW2846" s="21">
        <f t="shared" si="175"/>
        <v>0</v>
      </c>
      <c r="AX2846" s="21" t="str">
        <f t="shared" si="174"/>
        <v/>
      </c>
      <c r="AY2846" s="21" t="str">
        <f>IF(AND($AM2846&lt;&gt;"",$AS2846&lt;&gt;"✓"),SUMPRODUCT(($AM$11:$AM2846&lt;&gt;"")*($AS$11:$AS2846&lt;&gt;"✓")),"")</f>
        <v/>
      </c>
      <c r="AZ2846" s="21" t="str">
        <f>IF(AND($AM2846&lt;&gt;"",$AS2846="✓"),SUMPRODUCT(($AM$11:$AM2846&lt;&gt;"")*($AS$11:$AS2846="✓")),"")</f>
        <v/>
      </c>
      <c r="BA2846" s="21" t="str">
        <f>IF($AL2846="","",$AL2846&amp;"|"&amp;COUNTIF($AL$11:$AL2846,$AL2846))</f>
        <v/>
      </c>
    </row>
    <row r="2847" spans="38:53" ht="15" customHeight="1" x14ac:dyDescent="0.25">
      <c r="AL2847" s="17"/>
      <c r="AM2847" s="12"/>
      <c r="AN2847" s="18"/>
      <c r="AO2847" s="18"/>
      <c r="AP2847" s="10"/>
      <c r="AQ2847" s="10"/>
      <c r="AR2847" s="19"/>
      <c r="AS2847" s="20"/>
      <c r="AT2847" s="19"/>
      <c r="AV2847" s="21">
        <f>IF(AND($AL2847&lt;&gt;"",COUNTIF($AL$11:$AL2847,$AL2847)=1),1,0)</f>
        <v>0</v>
      </c>
      <c r="AW2847" s="21">
        <f t="shared" si="175"/>
        <v>0</v>
      </c>
      <c r="AX2847" s="21" t="str">
        <f t="shared" si="174"/>
        <v/>
      </c>
      <c r="AY2847" s="21" t="str">
        <f>IF(AND($AM2847&lt;&gt;"",$AS2847&lt;&gt;"✓"),SUMPRODUCT(($AM$11:$AM2847&lt;&gt;"")*($AS$11:$AS2847&lt;&gt;"✓")),"")</f>
        <v/>
      </c>
      <c r="AZ2847" s="21" t="str">
        <f>IF(AND($AM2847&lt;&gt;"",$AS2847="✓"),SUMPRODUCT(($AM$11:$AM2847&lt;&gt;"")*($AS$11:$AS2847="✓")),"")</f>
        <v/>
      </c>
      <c r="BA2847" s="21" t="str">
        <f>IF($AL2847="","",$AL2847&amp;"|"&amp;COUNTIF($AL$11:$AL2847,$AL2847))</f>
        <v/>
      </c>
    </row>
    <row r="2848" spans="38:53" ht="15" customHeight="1" x14ac:dyDescent="0.25">
      <c r="AL2848" s="31"/>
      <c r="AM2848" s="26"/>
      <c r="AN2848" s="32"/>
      <c r="AO2848" s="32"/>
      <c r="AP2848" s="24"/>
      <c r="AQ2848" s="24"/>
      <c r="AR2848" s="33"/>
      <c r="AS2848" s="34"/>
      <c r="AT2848" s="33"/>
      <c r="AV2848" s="21">
        <f>IF(AND($AL2848&lt;&gt;"",COUNTIF($AL$11:$AL2848,$AL2848)=1),1,0)</f>
        <v>0</v>
      </c>
      <c r="AW2848" s="21">
        <f t="shared" si="175"/>
        <v>0</v>
      </c>
      <c r="AX2848" s="21" t="str">
        <f t="shared" si="174"/>
        <v/>
      </c>
      <c r="AY2848" s="21" t="str">
        <f>IF(AND($AM2848&lt;&gt;"",$AS2848&lt;&gt;"✓"),SUMPRODUCT(($AM$11:$AM2848&lt;&gt;"")*($AS$11:$AS2848&lt;&gt;"✓")),"")</f>
        <v/>
      </c>
      <c r="AZ2848" s="21" t="str">
        <f>IF(AND($AM2848&lt;&gt;"",$AS2848="✓"),SUMPRODUCT(($AM$11:$AM2848&lt;&gt;"")*($AS$11:$AS2848="✓")),"")</f>
        <v/>
      </c>
      <c r="BA2848" s="21" t="str">
        <f>IF($AL2848="","",$AL2848&amp;"|"&amp;COUNTIF($AL$11:$AL2848,$AL2848))</f>
        <v/>
      </c>
    </row>
    <row r="2849" spans="38:53" ht="15" customHeight="1" x14ac:dyDescent="0.25">
      <c r="AL2849" s="17"/>
      <c r="AM2849" s="12"/>
      <c r="AN2849" s="18"/>
      <c r="AO2849" s="18"/>
      <c r="AP2849" s="10"/>
      <c r="AQ2849" s="10"/>
      <c r="AR2849" s="19"/>
      <c r="AS2849" s="20"/>
      <c r="AT2849" s="19"/>
      <c r="AV2849" s="21">
        <f>IF(AND($AL2849&lt;&gt;"",COUNTIF($AL$11:$AL2849,$AL2849)=1),1,0)</f>
        <v>0</v>
      </c>
      <c r="AW2849" s="21">
        <f t="shared" si="175"/>
        <v>0</v>
      </c>
      <c r="AX2849" s="21" t="str">
        <f t="shared" si="174"/>
        <v/>
      </c>
      <c r="AY2849" s="21" t="str">
        <f>IF(AND($AM2849&lt;&gt;"",$AS2849&lt;&gt;"✓"),SUMPRODUCT(($AM$11:$AM2849&lt;&gt;"")*($AS$11:$AS2849&lt;&gt;"✓")),"")</f>
        <v/>
      </c>
      <c r="AZ2849" s="21" t="str">
        <f>IF(AND($AM2849&lt;&gt;"",$AS2849="✓"),SUMPRODUCT(($AM$11:$AM2849&lt;&gt;"")*($AS$11:$AS2849="✓")),"")</f>
        <v/>
      </c>
      <c r="BA2849" s="21" t="str">
        <f>IF($AL2849="","",$AL2849&amp;"|"&amp;COUNTIF($AL$11:$AL2849,$AL2849))</f>
        <v/>
      </c>
    </row>
    <row r="2850" spans="38:53" ht="15" customHeight="1" x14ac:dyDescent="0.25">
      <c r="AL2850" s="31"/>
      <c r="AM2850" s="26"/>
      <c r="AN2850" s="32"/>
      <c r="AO2850" s="32"/>
      <c r="AP2850" s="24"/>
      <c r="AQ2850" s="24"/>
      <c r="AR2850" s="33"/>
      <c r="AS2850" s="34"/>
      <c r="AT2850" s="33"/>
      <c r="AV2850" s="21">
        <f>IF(AND($AL2850&lt;&gt;"",COUNTIF($AL$11:$AL2850,$AL2850)=1),1,0)</f>
        <v>0</v>
      </c>
      <c r="AW2850" s="21">
        <f t="shared" si="175"/>
        <v>0</v>
      </c>
      <c r="AX2850" s="21" t="str">
        <f t="shared" si="174"/>
        <v/>
      </c>
      <c r="AY2850" s="21" t="str">
        <f>IF(AND($AM2850&lt;&gt;"",$AS2850&lt;&gt;"✓"),SUMPRODUCT(($AM$11:$AM2850&lt;&gt;"")*($AS$11:$AS2850&lt;&gt;"✓")),"")</f>
        <v/>
      </c>
      <c r="AZ2850" s="21" t="str">
        <f>IF(AND($AM2850&lt;&gt;"",$AS2850="✓"),SUMPRODUCT(($AM$11:$AM2850&lt;&gt;"")*($AS$11:$AS2850="✓")),"")</f>
        <v/>
      </c>
      <c r="BA2850" s="21" t="str">
        <f>IF($AL2850="","",$AL2850&amp;"|"&amp;COUNTIF($AL$11:$AL2850,$AL2850))</f>
        <v/>
      </c>
    </row>
    <row r="2851" spans="38:53" ht="15" customHeight="1" x14ac:dyDescent="0.25">
      <c r="AL2851" s="17"/>
      <c r="AM2851" s="12"/>
      <c r="AN2851" s="18"/>
      <c r="AO2851" s="18"/>
      <c r="AP2851" s="10"/>
      <c r="AQ2851" s="10"/>
      <c r="AR2851" s="19"/>
      <c r="AS2851" s="20"/>
      <c r="AT2851" s="19"/>
      <c r="AV2851" s="21">
        <f>IF(AND($AL2851&lt;&gt;"",COUNTIF($AL$11:$AL2851,$AL2851)=1),1,0)</f>
        <v>0</v>
      </c>
      <c r="AW2851" s="21">
        <f t="shared" si="175"/>
        <v>0</v>
      </c>
      <c r="AX2851" s="21" t="str">
        <f t="shared" si="174"/>
        <v/>
      </c>
      <c r="AY2851" s="21" t="str">
        <f>IF(AND($AM2851&lt;&gt;"",$AS2851&lt;&gt;"✓"),SUMPRODUCT(($AM$11:$AM2851&lt;&gt;"")*($AS$11:$AS2851&lt;&gt;"✓")),"")</f>
        <v/>
      </c>
      <c r="AZ2851" s="21" t="str">
        <f>IF(AND($AM2851&lt;&gt;"",$AS2851="✓"),SUMPRODUCT(($AM$11:$AM2851&lt;&gt;"")*($AS$11:$AS2851="✓")),"")</f>
        <v/>
      </c>
      <c r="BA2851" s="21" t="str">
        <f>IF($AL2851="","",$AL2851&amp;"|"&amp;COUNTIF($AL$11:$AL2851,$AL2851))</f>
        <v/>
      </c>
    </row>
    <row r="2852" spans="38:53" ht="15" customHeight="1" x14ac:dyDescent="0.25">
      <c r="AL2852" s="31"/>
      <c r="AM2852" s="26"/>
      <c r="AN2852" s="32"/>
      <c r="AO2852" s="32"/>
      <c r="AP2852" s="24"/>
      <c r="AQ2852" s="24"/>
      <c r="AR2852" s="33"/>
      <c r="AS2852" s="34"/>
      <c r="AT2852" s="33"/>
      <c r="AV2852" s="21">
        <f>IF(AND($AL2852&lt;&gt;"",COUNTIF($AL$11:$AL2852,$AL2852)=1),1,0)</f>
        <v>0</v>
      </c>
      <c r="AW2852" s="21">
        <f t="shared" si="175"/>
        <v>0</v>
      </c>
      <c r="AX2852" s="21" t="str">
        <f t="shared" si="174"/>
        <v/>
      </c>
      <c r="AY2852" s="21" t="str">
        <f>IF(AND($AM2852&lt;&gt;"",$AS2852&lt;&gt;"✓"),SUMPRODUCT(($AM$11:$AM2852&lt;&gt;"")*($AS$11:$AS2852&lt;&gt;"✓")),"")</f>
        <v/>
      </c>
      <c r="AZ2852" s="21" t="str">
        <f>IF(AND($AM2852&lt;&gt;"",$AS2852="✓"),SUMPRODUCT(($AM$11:$AM2852&lt;&gt;"")*($AS$11:$AS2852="✓")),"")</f>
        <v/>
      </c>
      <c r="BA2852" s="21" t="str">
        <f>IF($AL2852="","",$AL2852&amp;"|"&amp;COUNTIF($AL$11:$AL2852,$AL2852))</f>
        <v/>
      </c>
    </row>
    <row r="2853" spans="38:53" ht="15" customHeight="1" x14ac:dyDescent="0.25">
      <c r="AL2853" s="17"/>
      <c r="AM2853" s="12"/>
      <c r="AN2853" s="18"/>
      <c r="AO2853" s="18"/>
      <c r="AP2853" s="10"/>
      <c r="AQ2853" s="10"/>
      <c r="AR2853" s="19"/>
      <c r="AS2853" s="20"/>
      <c r="AT2853" s="19"/>
      <c r="AV2853" s="21">
        <f>IF(AND($AL2853&lt;&gt;"",COUNTIF($AL$11:$AL2853,$AL2853)=1),1,0)</f>
        <v>0</v>
      </c>
      <c r="AW2853" s="21">
        <f t="shared" si="175"/>
        <v>0</v>
      </c>
      <c r="AX2853" s="21" t="str">
        <f t="shared" si="174"/>
        <v/>
      </c>
      <c r="AY2853" s="21" t="str">
        <f>IF(AND($AM2853&lt;&gt;"",$AS2853&lt;&gt;"✓"),SUMPRODUCT(($AM$11:$AM2853&lt;&gt;"")*($AS$11:$AS2853&lt;&gt;"✓")),"")</f>
        <v/>
      </c>
      <c r="AZ2853" s="21" t="str">
        <f>IF(AND($AM2853&lt;&gt;"",$AS2853="✓"),SUMPRODUCT(($AM$11:$AM2853&lt;&gt;"")*($AS$11:$AS2853="✓")),"")</f>
        <v/>
      </c>
      <c r="BA2853" s="21" t="str">
        <f>IF($AL2853="","",$AL2853&amp;"|"&amp;COUNTIF($AL$11:$AL2853,$AL2853))</f>
        <v/>
      </c>
    </row>
    <row r="2854" spans="38:53" ht="15" customHeight="1" x14ac:dyDescent="0.25">
      <c r="AL2854" s="31"/>
      <c r="AM2854" s="26"/>
      <c r="AN2854" s="32"/>
      <c r="AO2854" s="32"/>
      <c r="AP2854" s="24"/>
      <c r="AQ2854" s="24"/>
      <c r="AR2854" s="33"/>
      <c r="AS2854" s="34"/>
      <c r="AT2854" s="33"/>
      <c r="AV2854" s="21">
        <f>IF(AND($AL2854&lt;&gt;"",COUNTIF($AL$11:$AL2854,$AL2854)=1),1,0)</f>
        <v>0</v>
      </c>
      <c r="AW2854" s="21">
        <f t="shared" si="175"/>
        <v>0</v>
      </c>
      <c r="AX2854" s="21" t="str">
        <f t="shared" si="174"/>
        <v/>
      </c>
      <c r="AY2854" s="21" t="str">
        <f>IF(AND($AM2854&lt;&gt;"",$AS2854&lt;&gt;"✓"),SUMPRODUCT(($AM$11:$AM2854&lt;&gt;"")*($AS$11:$AS2854&lt;&gt;"✓")),"")</f>
        <v/>
      </c>
      <c r="AZ2854" s="21" t="str">
        <f>IF(AND($AM2854&lt;&gt;"",$AS2854="✓"),SUMPRODUCT(($AM$11:$AM2854&lt;&gt;"")*($AS$11:$AS2854="✓")),"")</f>
        <v/>
      </c>
      <c r="BA2854" s="21" t="str">
        <f>IF($AL2854="","",$AL2854&amp;"|"&amp;COUNTIF($AL$11:$AL2854,$AL2854))</f>
        <v/>
      </c>
    </row>
    <row r="2855" spans="38:53" ht="15" customHeight="1" x14ac:dyDescent="0.25">
      <c r="AL2855" s="17"/>
      <c r="AM2855" s="12"/>
      <c r="AN2855" s="18"/>
      <c r="AO2855" s="18"/>
      <c r="AP2855" s="10"/>
      <c r="AQ2855" s="10"/>
      <c r="AR2855" s="19"/>
      <c r="AS2855" s="20"/>
      <c r="AT2855" s="19"/>
      <c r="AV2855" s="21">
        <f>IF(AND($AL2855&lt;&gt;"",COUNTIF($AL$11:$AL2855,$AL2855)=1),1,0)</f>
        <v>0</v>
      </c>
      <c r="AW2855" s="21">
        <f t="shared" si="175"/>
        <v>0</v>
      </c>
      <c r="AX2855" s="21" t="str">
        <f t="shared" si="174"/>
        <v/>
      </c>
      <c r="AY2855" s="21" t="str">
        <f>IF(AND($AM2855&lt;&gt;"",$AS2855&lt;&gt;"✓"),SUMPRODUCT(($AM$11:$AM2855&lt;&gt;"")*($AS$11:$AS2855&lt;&gt;"✓")),"")</f>
        <v/>
      </c>
      <c r="AZ2855" s="21" t="str">
        <f>IF(AND($AM2855&lt;&gt;"",$AS2855="✓"),SUMPRODUCT(($AM$11:$AM2855&lt;&gt;"")*($AS$11:$AS2855="✓")),"")</f>
        <v/>
      </c>
      <c r="BA2855" s="21" t="str">
        <f>IF($AL2855="","",$AL2855&amp;"|"&amp;COUNTIF($AL$11:$AL2855,$AL2855))</f>
        <v/>
      </c>
    </row>
    <row r="2856" spans="38:53" ht="15" customHeight="1" x14ac:dyDescent="0.25">
      <c r="AL2856" s="31"/>
      <c r="AM2856" s="26"/>
      <c r="AN2856" s="32"/>
      <c r="AO2856" s="32"/>
      <c r="AP2856" s="24"/>
      <c r="AQ2856" s="24"/>
      <c r="AR2856" s="33"/>
      <c r="AS2856" s="34"/>
      <c r="AT2856" s="33"/>
      <c r="AV2856" s="21">
        <f>IF(AND($AL2856&lt;&gt;"",COUNTIF($AL$11:$AL2856,$AL2856)=1),1,0)</f>
        <v>0</v>
      </c>
      <c r="AW2856" s="21">
        <f t="shared" si="175"/>
        <v>0</v>
      </c>
      <c r="AX2856" s="21" t="str">
        <f t="shared" si="174"/>
        <v/>
      </c>
      <c r="AY2856" s="21" t="str">
        <f>IF(AND($AM2856&lt;&gt;"",$AS2856&lt;&gt;"✓"),SUMPRODUCT(($AM$11:$AM2856&lt;&gt;"")*($AS$11:$AS2856&lt;&gt;"✓")),"")</f>
        <v/>
      </c>
      <c r="AZ2856" s="21" t="str">
        <f>IF(AND($AM2856&lt;&gt;"",$AS2856="✓"),SUMPRODUCT(($AM$11:$AM2856&lt;&gt;"")*($AS$11:$AS2856="✓")),"")</f>
        <v/>
      </c>
      <c r="BA2856" s="21" t="str">
        <f>IF($AL2856="","",$AL2856&amp;"|"&amp;COUNTIF($AL$11:$AL2856,$AL2856))</f>
        <v/>
      </c>
    </row>
    <row r="2857" spans="38:53" ht="15" customHeight="1" x14ac:dyDescent="0.25">
      <c r="AL2857" s="17"/>
      <c r="AM2857" s="12"/>
      <c r="AN2857" s="18"/>
      <c r="AO2857" s="18"/>
      <c r="AP2857" s="10"/>
      <c r="AQ2857" s="10"/>
      <c r="AR2857" s="19"/>
      <c r="AS2857" s="20"/>
      <c r="AT2857" s="19"/>
      <c r="AV2857" s="21">
        <f>IF(AND($AL2857&lt;&gt;"",COUNTIF($AL$11:$AL2857,$AL2857)=1),1,0)</f>
        <v>0</v>
      </c>
      <c r="AW2857" s="21">
        <f t="shared" si="175"/>
        <v>0</v>
      </c>
      <c r="AX2857" s="21" t="str">
        <f t="shared" si="174"/>
        <v/>
      </c>
      <c r="AY2857" s="21" t="str">
        <f>IF(AND($AM2857&lt;&gt;"",$AS2857&lt;&gt;"✓"),SUMPRODUCT(($AM$11:$AM2857&lt;&gt;"")*($AS$11:$AS2857&lt;&gt;"✓")),"")</f>
        <v/>
      </c>
      <c r="AZ2857" s="21" t="str">
        <f>IF(AND($AM2857&lt;&gt;"",$AS2857="✓"),SUMPRODUCT(($AM$11:$AM2857&lt;&gt;"")*($AS$11:$AS2857="✓")),"")</f>
        <v/>
      </c>
      <c r="BA2857" s="21" t="str">
        <f>IF($AL2857="","",$AL2857&amp;"|"&amp;COUNTIF($AL$11:$AL2857,$AL2857))</f>
        <v/>
      </c>
    </row>
    <row r="2858" spans="38:53" ht="15" customHeight="1" x14ac:dyDescent="0.25">
      <c r="AL2858" s="31"/>
      <c r="AM2858" s="26"/>
      <c r="AN2858" s="32"/>
      <c r="AO2858" s="32"/>
      <c r="AP2858" s="24"/>
      <c r="AQ2858" s="24"/>
      <c r="AR2858" s="33"/>
      <c r="AS2858" s="34"/>
      <c r="AT2858" s="33"/>
      <c r="AV2858" s="21">
        <f>IF(AND($AL2858&lt;&gt;"",COUNTIF($AL$11:$AL2858,$AL2858)=1),1,0)</f>
        <v>0</v>
      </c>
      <c r="AW2858" s="21">
        <f t="shared" si="175"/>
        <v>0</v>
      </c>
      <c r="AX2858" s="21" t="str">
        <f t="shared" si="174"/>
        <v/>
      </c>
      <c r="AY2858" s="21" t="str">
        <f>IF(AND($AM2858&lt;&gt;"",$AS2858&lt;&gt;"✓"),SUMPRODUCT(($AM$11:$AM2858&lt;&gt;"")*($AS$11:$AS2858&lt;&gt;"✓")),"")</f>
        <v/>
      </c>
      <c r="AZ2858" s="21" t="str">
        <f>IF(AND($AM2858&lt;&gt;"",$AS2858="✓"),SUMPRODUCT(($AM$11:$AM2858&lt;&gt;"")*($AS$11:$AS2858="✓")),"")</f>
        <v/>
      </c>
      <c r="BA2858" s="21" t="str">
        <f>IF($AL2858="","",$AL2858&amp;"|"&amp;COUNTIF($AL$11:$AL2858,$AL2858))</f>
        <v/>
      </c>
    </row>
    <row r="2859" spans="38:53" ht="15" customHeight="1" x14ac:dyDescent="0.25">
      <c r="AL2859" s="17"/>
      <c r="AM2859" s="12"/>
      <c r="AN2859" s="18"/>
      <c r="AO2859" s="18"/>
      <c r="AP2859" s="10"/>
      <c r="AQ2859" s="10"/>
      <c r="AR2859" s="19"/>
      <c r="AS2859" s="20"/>
      <c r="AT2859" s="19"/>
      <c r="AV2859" s="21">
        <f>IF(AND($AL2859&lt;&gt;"",COUNTIF($AL$11:$AL2859,$AL2859)=1),1,0)</f>
        <v>0</v>
      </c>
      <c r="AW2859" s="21">
        <f t="shared" si="175"/>
        <v>0</v>
      </c>
      <c r="AX2859" s="21" t="str">
        <f t="shared" si="174"/>
        <v/>
      </c>
      <c r="AY2859" s="21" t="str">
        <f>IF(AND($AM2859&lt;&gt;"",$AS2859&lt;&gt;"✓"),SUMPRODUCT(($AM$11:$AM2859&lt;&gt;"")*($AS$11:$AS2859&lt;&gt;"✓")),"")</f>
        <v/>
      </c>
      <c r="AZ2859" s="21" t="str">
        <f>IF(AND($AM2859&lt;&gt;"",$AS2859="✓"),SUMPRODUCT(($AM$11:$AM2859&lt;&gt;"")*($AS$11:$AS2859="✓")),"")</f>
        <v/>
      </c>
      <c r="BA2859" s="21" t="str">
        <f>IF($AL2859="","",$AL2859&amp;"|"&amp;COUNTIF($AL$11:$AL2859,$AL2859))</f>
        <v/>
      </c>
    </row>
    <row r="2860" spans="38:53" ht="15" customHeight="1" x14ac:dyDescent="0.25">
      <c r="AL2860" s="31"/>
      <c r="AM2860" s="26"/>
      <c r="AN2860" s="32"/>
      <c r="AO2860" s="32"/>
      <c r="AP2860" s="24"/>
      <c r="AQ2860" s="24"/>
      <c r="AR2860" s="33"/>
      <c r="AS2860" s="34"/>
      <c r="AT2860" s="33"/>
      <c r="AV2860" s="21">
        <f>IF(AND($AL2860&lt;&gt;"",COUNTIF($AL$11:$AL2860,$AL2860)=1),1,0)</f>
        <v>0</v>
      </c>
      <c r="AW2860" s="21">
        <f t="shared" si="175"/>
        <v>0</v>
      </c>
      <c r="AX2860" s="21" t="str">
        <f t="shared" si="174"/>
        <v/>
      </c>
      <c r="AY2860" s="21" t="str">
        <f>IF(AND($AM2860&lt;&gt;"",$AS2860&lt;&gt;"✓"),SUMPRODUCT(($AM$11:$AM2860&lt;&gt;"")*($AS$11:$AS2860&lt;&gt;"✓")),"")</f>
        <v/>
      </c>
      <c r="AZ2860" s="21" t="str">
        <f>IF(AND($AM2860&lt;&gt;"",$AS2860="✓"),SUMPRODUCT(($AM$11:$AM2860&lt;&gt;"")*($AS$11:$AS2860="✓")),"")</f>
        <v/>
      </c>
      <c r="BA2860" s="21" t="str">
        <f>IF($AL2860="","",$AL2860&amp;"|"&amp;COUNTIF($AL$11:$AL2860,$AL2860))</f>
        <v/>
      </c>
    </row>
    <row r="2861" spans="38:53" ht="15" customHeight="1" x14ac:dyDescent="0.25">
      <c r="AL2861" s="17"/>
      <c r="AM2861" s="12"/>
      <c r="AN2861" s="18"/>
      <c r="AO2861" s="18"/>
      <c r="AP2861" s="10"/>
      <c r="AQ2861" s="10"/>
      <c r="AR2861" s="19"/>
      <c r="AS2861" s="20"/>
      <c r="AT2861" s="19"/>
      <c r="AV2861" s="21">
        <f>IF(AND($AL2861&lt;&gt;"",COUNTIF($AL$11:$AL2861,$AL2861)=1),1,0)</f>
        <v>0</v>
      </c>
      <c r="AW2861" s="21">
        <f t="shared" si="175"/>
        <v>0</v>
      </c>
      <c r="AX2861" s="21" t="str">
        <f t="shared" si="174"/>
        <v/>
      </c>
      <c r="AY2861" s="21" t="str">
        <f>IF(AND($AM2861&lt;&gt;"",$AS2861&lt;&gt;"✓"),SUMPRODUCT(($AM$11:$AM2861&lt;&gt;"")*($AS$11:$AS2861&lt;&gt;"✓")),"")</f>
        <v/>
      </c>
      <c r="AZ2861" s="21" t="str">
        <f>IF(AND($AM2861&lt;&gt;"",$AS2861="✓"),SUMPRODUCT(($AM$11:$AM2861&lt;&gt;"")*($AS$11:$AS2861="✓")),"")</f>
        <v/>
      </c>
      <c r="BA2861" s="21" t="str">
        <f>IF($AL2861="","",$AL2861&amp;"|"&amp;COUNTIF($AL$11:$AL2861,$AL2861))</f>
        <v/>
      </c>
    </row>
    <row r="2862" spans="38:53" ht="15" customHeight="1" x14ac:dyDescent="0.25">
      <c r="AL2862" s="31"/>
      <c r="AM2862" s="26"/>
      <c r="AN2862" s="32"/>
      <c r="AO2862" s="32"/>
      <c r="AP2862" s="24"/>
      <c r="AQ2862" s="24"/>
      <c r="AR2862" s="33"/>
      <c r="AS2862" s="34"/>
      <c r="AT2862" s="33"/>
      <c r="AV2862" s="21">
        <f>IF(AND($AL2862&lt;&gt;"",COUNTIF($AL$11:$AL2862,$AL2862)=1),1,0)</f>
        <v>0</v>
      </c>
      <c r="AW2862" s="21">
        <f t="shared" si="175"/>
        <v>0</v>
      </c>
      <c r="AX2862" s="21" t="str">
        <f t="shared" si="174"/>
        <v/>
      </c>
      <c r="AY2862" s="21" t="str">
        <f>IF(AND($AM2862&lt;&gt;"",$AS2862&lt;&gt;"✓"),SUMPRODUCT(($AM$11:$AM2862&lt;&gt;"")*($AS$11:$AS2862&lt;&gt;"✓")),"")</f>
        <v/>
      </c>
      <c r="AZ2862" s="21" t="str">
        <f>IF(AND($AM2862&lt;&gt;"",$AS2862="✓"),SUMPRODUCT(($AM$11:$AM2862&lt;&gt;"")*($AS$11:$AS2862="✓")),"")</f>
        <v/>
      </c>
      <c r="BA2862" s="21" t="str">
        <f>IF($AL2862="","",$AL2862&amp;"|"&amp;COUNTIF($AL$11:$AL2862,$AL2862))</f>
        <v/>
      </c>
    </row>
    <row r="2863" spans="38:53" ht="15" customHeight="1" x14ac:dyDescent="0.25">
      <c r="AL2863" s="17"/>
      <c r="AM2863" s="12"/>
      <c r="AN2863" s="18"/>
      <c r="AO2863" s="18"/>
      <c r="AP2863" s="10"/>
      <c r="AQ2863" s="10"/>
      <c r="AR2863" s="19"/>
      <c r="AS2863" s="20"/>
      <c r="AT2863" s="19"/>
      <c r="AV2863" s="21">
        <f>IF(AND($AL2863&lt;&gt;"",COUNTIF($AL$11:$AL2863,$AL2863)=1),1,0)</f>
        <v>0</v>
      </c>
      <c r="AW2863" s="21">
        <f t="shared" si="175"/>
        <v>0</v>
      </c>
      <c r="AX2863" s="21" t="str">
        <f t="shared" si="174"/>
        <v/>
      </c>
      <c r="AY2863" s="21" t="str">
        <f>IF(AND($AM2863&lt;&gt;"",$AS2863&lt;&gt;"✓"),SUMPRODUCT(($AM$11:$AM2863&lt;&gt;"")*($AS$11:$AS2863&lt;&gt;"✓")),"")</f>
        <v/>
      </c>
      <c r="AZ2863" s="21" t="str">
        <f>IF(AND($AM2863&lt;&gt;"",$AS2863="✓"),SUMPRODUCT(($AM$11:$AM2863&lt;&gt;"")*($AS$11:$AS2863="✓")),"")</f>
        <v/>
      </c>
      <c r="BA2863" s="21" t="str">
        <f>IF($AL2863="","",$AL2863&amp;"|"&amp;COUNTIF($AL$11:$AL2863,$AL2863))</f>
        <v/>
      </c>
    </row>
    <row r="2864" spans="38:53" ht="15" customHeight="1" x14ac:dyDescent="0.25">
      <c r="AL2864" s="31"/>
      <c r="AM2864" s="26"/>
      <c r="AN2864" s="32"/>
      <c r="AO2864" s="32"/>
      <c r="AP2864" s="24"/>
      <c r="AQ2864" s="24"/>
      <c r="AR2864" s="33"/>
      <c r="AS2864" s="34"/>
      <c r="AT2864" s="33"/>
      <c r="AV2864" s="21">
        <f>IF(AND($AL2864&lt;&gt;"",COUNTIF($AL$11:$AL2864,$AL2864)=1),1,0)</f>
        <v>0</v>
      </c>
      <c r="AW2864" s="21">
        <f t="shared" si="175"/>
        <v>0</v>
      </c>
      <c r="AX2864" s="21" t="str">
        <f t="shared" si="174"/>
        <v/>
      </c>
      <c r="AY2864" s="21" t="str">
        <f>IF(AND($AM2864&lt;&gt;"",$AS2864&lt;&gt;"✓"),SUMPRODUCT(($AM$11:$AM2864&lt;&gt;"")*($AS$11:$AS2864&lt;&gt;"✓")),"")</f>
        <v/>
      </c>
      <c r="AZ2864" s="21" t="str">
        <f>IF(AND($AM2864&lt;&gt;"",$AS2864="✓"),SUMPRODUCT(($AM$11:$AM2864&lt;&gt;"")*($AS$11:$AS2864="✓")),"")</f>
        <v/>
      </c>
      <c r="BA2864" s="21" t="str">
        <f>IF($AL2864="","",$AL2864&amp;"|"&amp;COUNTIF($AL$11:$AL2864,$AL2864))</f>
        <v/>
      </c>
    </row>
    <row r="2865" spans="38:53" ht="15" customHeight="1" x14ac:dyDescent="0.25">
      <c r="AL2865" s="17"/>
      <c r="AM2865" s="12"/>
      <c r="AN2865" s="18"/>
      <c r="AO2865" s="18"/>
      <c r="AP2865" s="10"/>
      <c r="AQ2865" s="10"/>
      <c r="AR2865" s="19"/>
      <c r="AS2865" s="20"/>
      <c r="AT2865" s="19"/>
      <c r="AV2865" s="21">
        <f>IF(AND($AL2865&lt;&gt;"",COUNTIF($AL$11:$AL2865,$AL2865)=1),1,0)</f>
        <v>0</v>
      </c>
      <c r="AW2865" s="21">
        <f t="shared" si="175"/>
        <v>0</v>
      </c>
      <c r="AX2865" s="21" t="str">
        <f t="shared" si="174"/>
        <v/>
      </c>
      <c r="AY2865" s="21" t="str">
        <f>IF(AND($AM2865&lt;&gt;"",$AS2865&lt;&gt;"✓"),SUMPRODUCT(($AM$11:$AM2865&lt;&gt;"")*($AS$11:$AS2865&lt;&gt;"✓")),"")</f>
        <v/>
      </c>
      <c r="AZ2865" s="21" t="str">
        <f>IF(AND($AM2865&lt;&gt;"",$AS2865="✓"),SUMPRODUCT(($AM$11:$AM2865&lt;&gt;"")*($AS$11:$AS2865="✓")),"")</f>
        <v/>
      </c>
      <c r="BA2865" s="21" t="str">
        <f>IF($AL2865="","",$AL2865&amp;"|"&amp;COUNTIF($AL$11:$AL2865,$AL2865))</f>
        <v/>
      </c>
    </row>
    <row r="2866" spans="38:53" ht="15" customHeight="1" x14ac:dyDescent="0.25">
      <c r="AL2866" s="31"/>
      <c r="AM2866" s="26"/>
      <c r="AN2866" s="32"/>
      <c r="AO2866" s="32"/>
      <c r="AP2866" s="24"/>
      <c r="AQ2866" s="24"/>
      <c r="AR2866" s="33"/>
      <c r="AS2866" s="34"/>
      <c r="AT2866" s="33"/>
      <c r="AV2866" s="21">
        <f>IF(AND($AL2866&lt;&gt;"",COUNTIF($AL$11:$AL2866,$AL2866)=1),1,0)</f>
        <v>0</v>
      </c>
      <c r="AW2866" s="21">
        <f t="shared" si="175"/>
        <v>0</v>
      </c>
      <c r="AX2866" s="21" t="str">
        <f t="shared" si="174"/>
        <v/>
      </c>
      <c r="AY2866" s="21" t="str">
        <f>IF(AND($AM2866&lt;&gt;"",$AS2866&lt;&gt;"✓"),SUMPRODUCT(($AM$11:$AM2866&lt;&gt;"")*($AS$11:$AS2866&lt;&gt;"✓")),"")</f>
        <v/>
      </c>
      <c r="AZ2866" s="21" t="str">
        <f>IF(AND($AM2866&lt;&gt;"",$AS2866="✓"),SUMPRODUCT(($AM$11:$AM2866&lt;&gt;"")*($AS$11:$AS2866="✓")),"")</f>
        <v/>
      </c>
      <c r="BA2866" s="21" t="str">
        <f>IF($AL2866="","",$AL2866&amp;"|"&amp;COUNTIF($AL$11:$AL2866,$AL2866))</f>
        <v/>
      </c>
    </row>
    <row r="2867" spans="38:53" ht="15" customHeight="1" x14ac:dyDescent="0.25">
      <c r="AL2867" s="17"/>
      <c r="AM2867" s="12"/>
      <c r="AN2867" s="18"/>
      <c r="AO2867" s="18"/>
      <c r="AP2867" s="10"/>
      <c r="AQ2867" s="10"/>
      <c r="AR2867" s="19"/>
      <c r="AS2867" s="20"/>
      <c r="AT2867" s="19"/>
      <c r="AV2867" s="21">
        <f>IF(AND($AL2867&lt;&gt;"",COUNTIF($AL$11:$AL2867,$AL2867)=1),1,0)</f>
        <v>0</v>
      </c>
      <c r="AW2867" s="21">
        <f t="shared" si="175"/>
        <v>0</v>
      </c>
      <c r="AX2867" s="21" t="str">
        <f t="shared" si="174"/>
        <v/>
      </c>
      <c r="AY2867" s="21" t="str">
        <f>IF(AND($AM2867&lt;&gt;"",$AS2867&lt;&gt;"✓"),SUMPRODUCT(($AM$11:$AM2867&lt;&gt;"")*($AS$11:$AS2867&lt;&gt;"✓")),"")</f>
        <v/>
      </c>
      <c r="AZ2867" s="21" t="str">
        <f>IF(AND($AM2867&lt;&gt;"",$AS2867="✓"),SUMPRODUCT(($AM$11:$AM2867&lt;&gt;"")*($AS$11:$AS2867="✓")),"")</f>
        <v/>
      </c>
      <c r="BA2867" s="21" t="str">
        <f>IF($AL2867="","",$AL2867&amp;"|"&amp;COUNTIF($AL$11:$AL2867,$AL2867))</f>
        <v/>
      </c>
    </row>
    <row r="2868" spans="38:53" ht="15" customHeight="1" x14ac:dyDescent="0.25">
      <c r="AL2868" s="31"/>
      <c r="AM2868" s="26"/>
      <c r="AN2868" s="32"/>
      <c r="AO2868" s="32"/>
      <c r="AP2868" s="24"/>
      <c r="AQ2868" s="24"/>
      <c r="AR2868" s="33"/>
      <c r="AS2868" s="34"/>
      <c r="AT2868" s="33"/>
      <c r="AV2868" s="21">
        <f>IF(AND($AL2868&lt;&gt;"",COUNTIF($AL$11:$AL2868,$AL2868)=1),1,0)</f>
        <v>0</v>
      </c>
      <c r="AW2868" s="21">
        <f t="shared" si="175"/>
        <v>0</v>
      </c>
      <c r="AX2868" s="21" t="str">
        <f t="shared" si="174"/>
        <v/>
      </c>
      <c r="AY2868" s="21" t="str">
        <f>IF(AND($AM2868&lt;&gt;"",$AS2868&lt;&gt;"✓"),SUMPRODUCT(($AM$11:$AM2868&lt;&gt;"")*($AS$11:$AS2868&lt;&gt;"✓")),"")</f>
        <v/>
      </c>
      <c r="AZ2868" s="21" t="str">
        <f>IF(AND($AM2868&lt;&gt;"",$AS2868="✓"),SUMPRODUCT(($AM$11:$AM2868&lt;&gt;"")*($AS$11:$AS2868="✓")),"")</f>
        <v/>
      </c>
      <c r="BA2868" s="21" t="str">
        <f>IF($AL2868="","",$AL2868&amp;"|"&amp;COUNTIF($AL$11:$AL2868,$AL2868))</f>
        <v/>
      </c>
    </row>
    <row r="2869" spans="38:53" ht="15" customHeight="1" x14ac:dyDescent="0.25">
      <c r="AL2869" s="17"/>
      <c r="AM2869" s="12"/>
      <c r="AN2869" s="18"/>
      <c r="AO2869" s="18"/>
      <c r="AP2869" s="10"/>
      <c r="AQ2869" s="10"/>
      <c r="AR2869" s="19"/>
      <c r="AS2869" s="20"/>
      <c r="AT2869" s="19"/>
      <c r="AV2869" s="21">
        <f>IF(AND($AL2869&lt;&gt;"",COUNTIF($AL$11:$AL2869,$AL2869)=1),1,0)</f>
        <v>0</v>
      </c>
      <c r="AW2869" s="21">
        <f t="shared" si="175"/>
        <v>0</v>
      </c>
      <c r="AX2869" s="21" t="str">
        <f t="shared" si="174"/>
        <v/>
      </c>
      <c r="AY2869" s="21" t="str">
        <f>IF(AND($AM2869&lt;&gt;"",$AS2869&lt;&gt;"✓"),SUMPRODUCT(($AM$11:$AM2869&lt;&gt;"")*($AS$11:$AS2869&lt;&gt;"✓")),"")</f>
        <v/>
      </c>
      <c r="AZ2869" s="21" t="str">
        <f>IF(AND($AM2869&lt;&gt;"",$AS2869="✓"),SUMPRODUCT(($AM$11:$AM2869&lt;&gt;"")*($AS$11:$AS2869="✓")),"")</f>
        <v/>
      </c>
      <c r="BA2869" s="21" t="str">
        <f>IF($AL2869="","",$AL2869&amp;"|"&amp;COUNTIF($AL$11:$AL2869,$AL2869))</f>
        <v/>
      </c>
    </row>
    <row r="2870" spans="38:53" ht="15" customHeight="1" x14ac:dyDescent="0.25">
      <c r="AL2870" s="31"/>
      <c r="AM2870" s="26"/>
      <c r="AN2870" s="32"/>
      <c r="AO2870" s="32"/>
      <c r="AP2870" s="24"/>
      <c r="AQ2870" s="24"/>
      <c r="AR2870" s="33"/>
      <c r="AS2870" s="34"/>
      <c r="AT2870" s="33"/>
      <c r="AV2870" s="21">
        <f>IF(AND($AL2870&lt;&gt;"",COUNTIF($AL$11:$AL2870,$AL2870)=1),1,0)</f>
        <v>0</v>
      </c>
      <c r="AW2870" s="21">
        <f t="shared" si="175"/>
        <v>0</v>
      </c>
      <c r="AX2870" s="21" t="str">
        <f t="shared" si="174"/>
        <v/>
      </c>
      <c r="AY2870" s="21" t="str">
        <f>IF(AND($AM2870&lt;&gt;"",$AS2870&lt;&gt;"✓"),SUMPRODUCT(($AM$11:$AM2870&lt;&gt;"")*($AS$11:$AS2870&lt;&gt;"✓")),"")</f>
        <v/>
      </c>
      <c r="AZ2870" s="21" t="str">
        <f>IF(AND($AM2870&lt;&gt;"",$AS2870="✓"),SUMPRODUCT(($AM$11:$AM2870&lt;&gt;"")*($AS$11:$AS2870="✓")),"")</f>
        <v/>
      </c>
      <c r="BA2870" s="21" t="str">
        <f>IF($AL2870="","",$AL2870&amp;"|"&amp;COUNTIF($AL$11:$AL2870,$AL2870))</f>
        <v/>
      </c>
    </row>
    <row r="2871" spans="38:53" ht="15" customHeight="1" x14ac:dyDescent="0.25">
      <c r="AL2871" s="17"/>
      <c r="AM2871" s="12"/>
      <c r="AN2871" s="18"/>
      <c r="AO2871" s="18"/>
      <c r="AP2871" s="10"/>
      <c r="AQ2871" s="10"/>
      <c r="AR2871" s="19"/>
      <c r="AS2871" s="20"/>
      <c r="AT2871" s="19"/>
      <c r="AV2871" s="21">
        <f>IF(AND($AL2871&lt;&gt;"",COUNTIF($AL$11:$AL2871,$AL2871)=1),1,0)</f>
        <v>0</v>
      </c>
      <c r="AW2871" s="21">
        <f t="shared" si="175"/>
        <v>0</v>
      </c>
      <c r="AX2871" s="21" t="str">
        <f t="shared" si="174"/>
        <v/>
      </c>
      <c r="AY2871" s="21" t="str">
        <f>IF(AND($AM2871&lt;&gt;"",$AS2871&lt;&gt;"✓"),SUMPRODUCT(($AM$11:$AM2871&lt;&gt;"")*($AS$11:$AS2871&lt;&gt;"✓")),"")</f>
        <v/>
      </c>
      <c r="AZ2871" s="21" t="str">
        <f>IF(AND($AM2871&lt;&gt;"",$AS2871="✓"),SUMPRODUCT(($AM$11:$AM2871&lt;&gt;"")*($AS$11:$AS2871="✓")),"")</f>
        <v/>
      </c>
      <c r="BA2871" s="21" t="str">
        <f>IF($AL2871="","",$AL2871&amp;"|"&amp;COUNTIF($AL$11:$AL2871,$AL2871))</f>
        <v/>
      </c>
    </row>
    <row r="2872" spans="38:53" ht="15" customHeight="1" x14ac:dyDescent="0.25">
      <c r="AL2872" s="31"/>
      <c r="AM2872" s="26"/>
      <c r="AN2872" s="32"/>
      <c r="AO2872" s="32"/>
      <c r="AP2872" s="24"/>
      <c r="AQ2872" s="24"/>
      <c r="AR2872" s="33"/>
      <c r="AS2872" s="34"/>
      <c r="AT2872" s="33"/>
      <c r="AV2872" s="21">
        <f>IF(AND($AL2872&lt;&gt;"",COUNTIF($AL$11:$AL2872,$AL2872)=1),1,0)</f>
        <v>0</v>
      </c>
      <c r="AW2872" s="21">
        <f t="shared" si="175"/>
        <v>0</v>
      </c>
      <c r="AX2872" s="21" t="str">
        <f t="shared" si="174"/>
        <v/>
      </c>
      <c r="AY2872" s="21" t="str">
        <f>IF(AND($AM2872&lt;&gt;"",$AS2872&lt;&gt;"✓"),SUMPRODUCT(($AM$11:$AM2872&lt;&gt;"")*($AS$11:$AS2872&lt;&gt;"✓")),"")</f>
        <v/>
      </c>
      <c r="AZ2872" s="21" t="str">
        <f>IF(AND($AM2872&lt;&gt;"",$AS2872="✓"),SUMPRODUCT(($AM$11:$AM2872&lt;&gt;"")*($AS$11:$AS2872="✓")),"")</f>
        <v/>
      </c>
      <c r="BA2872" s="21" t="str">
        <f>IF($AL2872="","",$AL2872&amp;"|"&amp;COUNTIF($AL$11:$AL2872,$AL2872))</f>
        <v/>
      </c>
    </row>
    <row r="2873" spans="38:53" ht="15" customHeight="1" x14ac:dyDescent="0.25">
      <c r="AL2873" s="17"/>
      <c r="AM2873" s="12"/>
      <c r="AN2873" s="18"/>
      <c r="AO2873" s="18"/>
      <c r="AP2873" s="10"/>
      <c r="AQ2873" s="10"/>
      <c r="AR2873" s="19"/>
      <c r="AS2873" s="20"/>
      <c r="AT2873" s="19"/>
      <c r="AV2873" s="21">
        <f>IF(AND($AL2873&lt;&gt;"",COUNTIF($AL$11:$AL2873,$AL2873)=1),1,0)</f>
        <v>0</v>
      </c>
      <c r="AW2873" s="21">
        <f t="shared" si="175"/>
        <v>0</v>
      </c>
      <c r="AX2873" s="21" t="str">
        <f t="shared" si="174"/>
        <v/>
      </c>
      <c r="AY2873" s="21" t="str">
        <f>IF(AND($AM2873&lt;&gt;"",$AS2873&lt;&gt;"✓"),SUMPRODUCT(($AM$11:$AM2873&lt;&gt;"")*($AS$11:$AS2873&lt;&gt;"✓")),"")</f>
        <v/>
      </c>
      <c r="AZ2873" s="21" t="str">
        <f>IF(AND($AM2873&lt;&gt;"",$AS2873="✓"),SUMPRODUCT(($AM$11:$AM2873&lt;&gt;"")*($AS$11:$AS2873="✓")),"")</f>
        <v/>
      </c>
      <c r="BA2873" s="21" t="str">
        <f>IF($AL2873="","",$AL2873&amp;"|"&amp;COUNTIF($AL$11:$AL2873,$AL2873))</f>
        <v/>
      </c>
    </row>
    <row r="2874" spans="38:53" ht="15" customHeight="1" x14ac:dyDescent="0.25">
      <c r="AL2874" s="31"/>
      <c r="AM2874" s="26"/>
      <c r="AN2874" s="32"/>
      <c r="AO2874" s="32"/>
      <c r="AP2874" s="24"/>
      <c r="AQ2874" s="24"/>
      <c r="AR2874" s="33"/>
      <c r="AS2874" s="34"/>
      <c r="AT2874" s="33"/>
      <c r="AV2874" s="21">
        <f>IF(AND($AL2874&lt;&gt;"",COUNTIF($AL$11:$AL2874,$AL2874)=1),1,0)</f>
        <v>0</v>
      </c>
      <c r="AW2874" s="21">
        <f t="shared" si="175"/>
        <v>0</v>
      </c>
      <c r="AX2874" s="21" t="str">
        <f t="shared" si="174"/>
        <v/>
      </c>
      <c r="AY2874" s="21" t="str">
        <f>IF(AND($AM2874&lt;&gt;"",$AS2874&lt;&gt;"✓"),SUMPRODUCT(($AM$11:$AM2874&lt;&gt;"")*($AS$11:$AS2874&lt;&gt;"✓")),"")</f>
        <v/>
      </c>
      <c r="AZ2874" s="21" t="str">
        <f>IF(AND($AM2874&lt;&gt;"",$AS2874="✓"),SUMPRODUCT(($AM$11:$AM2874&lt;&gt;"")*($AS$11:$AS2874="✓")),"")</f>
        <v/>
      </c>
      <c r="BA2874" s="21" t="str">
        <f>IF($AL2874="","",$AL2874&amp;"|"&amp;COUNTIF($AL$11:$AL2874,$AL2874))</f>
        <v/>
      </c>
    </row>
    <row r="2875" spans="38:53" ht="15" customHeight="1" x14ac:dyDescent="0.25">
      <c r="AL2875" s="17"/>
      <c r="AM2875" s="12"/>
      <c r="AN2875" s="18"/>
      <c r="AO2875" s="18"/>
      <c r="AP2875" s="10"/>
      <c r="AQ2875" s="10"/>
      <c r="AR2875" s="19"/>
      <c r="AS2875" s="20"/>
      <c r="AT2875" s="19"/>
      <c r="AV2875" s="21">
        <f>IF(AND($AL2875&lt;&gt;"",COUNTIF($AL$11:$AL2875,$AL2875)=1),1,0)</f>
        <v>0</v>
      </c>
      <c r="AW2875" s="21">
        <f t="shared" si="175"/>
        <v>0</v>
      </c>
      <c r="AX2875" s="21" t="str">
        <f t="shared" si="174"/>
        <v/>
      </c>
      <c r="AY2875" s="21" t="str">
        <f>IF(AND($AM2875&lt;&gt;"",$AS2875&lt;&gt;"✓"),SUMPRODUCT(($AM$11:$AM2875&lt;&gt;"")*($AS$11:$AS2875&lt;&gt;"✓")),"")</f>
        <v/>
      </c>
      <c r="AZ2875" s="21" t="str">
        <f>IF(AND($AM2875&lt;&gt;"",$AS2875="✓"),SUMPRODUCT(($AM$11:$AM2875&lt;&gt;"")*($AS$11:$AS2875="✓")),"")</f>
        <v/>
      </c>
      <c r="BA2875" s="21" t="str">
        <f>IF($AL2875="","",$AL2875&amp;"|"&amp;COUNTIF($AL$11:$AL2875,$AL2875))</f>
        <v/>
      </c>
    </row>
    <row r="2876" spans="38:53" ht="15" customHeight="1" x14ac:dyDescent="0.25">
      <c r="AL2876" s="31"/>
      <c r="AM2876" s="26"/>
      <c r="AN2876" s="32"/>
      <c r="AO2876" s="32"/>
      <c r="AP2876" s="24"/>
      <c r="AQ2876" s="24"/>
      <c r="AR2876" s="33"/>
      <c r="AS2876" s="34"/>
      <c r="AT2876" s="33"/>
      <c r="AV2876" s="21">
        <f>IF(AND($AL2876&lt;&gt;"",COUNTIF($AL$11:$AL2876,$AL2876)=1),1,0)</f>
        <v>0</v>
      </c>
      <c r="AW2876" s="21">
        <f t="shared" si="175"/>
        <v>0</v>
      </c>
      <c r="AX2876" s="21" t="str">
        <f t="shared" si="174"/>
        <v/>
      </c>
      <c r="AY2876" s="21" t="str">
        <f>IF(AND($AM2876&lt;&gt;"",$AS2876&lt;&gt;"✓"),SUMPRODUCT(($AM$11:$AM2876&lt;&gt;"")*($AS$11:$AS2876&lt;&gt;"✓")),"")</f>
        <v/>
      </c>
      <c r="AZ2876" s="21" t="str">
        <f>IF(AND($AM2876&lt;&gt;"",$AS2876="✓"),SUMPRODUCT(($AM$11:$AM2876&lt;&gt;"")*($AS$11:$AS2876="✓")),"")</f>
        <v/>
      </c>
      <c r="BA2876" s="21" t="str">
        <f>IF($AL2876="","",$AL2876&amp;"|"&amp;COUNTIF($AL$11:$AL2876,$AL2876))</f>
        <v/>
      </c>
    </row>
    <row r="2877" spans="38:53" ht="15" customHeight="1" x14ac:dyDescent="0.25">
      <c r="AL2877" s="17"/>
      <c r="AM2877" s="12"/>
      <c r="AN2877" s="18"/>
      <c r="AO2877" s="18"/>
      <c r="AP2877" s="10"/>
      <c r="AQ2877" s="10"/>
      <c r="AR2877" s="19"/>
      <c r="AS2877" s="20"/>
      <c r="AT2877" s="19"/>
      <c r="AV2877" s="21">
        <f>IF(AND($AL2877&lt;&gt;"",COUNTIF($AL$11:$AL2877,$AL2877)=1),1,0)</f>
        <v>0</v>
      </c>
      <c r="AW2877" s="21">
        <f t="shared" si="175"/>
        <v>0</v>
      </c>
      <c r="AX2877" s="21" t="str">
        <f t="shared" si="174"/>
        <v/>
      </c>
      <c r="AY2877" s="21" t="str">
        <f>IF(AND($AM2877&lt;&gt;"",$AS2877&lt;&gt;"✓"),SUMPRODUCT(($AM$11:$AM2877&lt;&gt;"")*($AS$11:$AS2877&lt;&gt;"✓")),"")</f>
        <v/>
      </c>
      <c r="AZ2877" s="21" t="str">
        <f>IF(AND($AM2877&lt;&gt;"",$AS2877="✓"),SUMPRODUCT(($AM$11:$AM2877&lt;&gt;"")*($AS$11:$AS2877="✓")),"")</f>
        <v/>
      </c>
      <c r="BA2877" s="21" t="str">
        <f>IF($AL2877="","",$AL2877&amp;"|"&amp;COUNTIF($AL$11:$AL2877,$AL2877))</f>
        <v/>
      </c>
    </row>
    <row r="2878" spans="38:53" ht="15" customHeight="1" x14ac:dyDescent="0.25">
      <c r="AL2878" s="31"/>
      <c r="AM2878" s="26"/>
      <c r="AN2878" s="32"/>
      <c r="AO2878" s="32"/>
      <c r="AP2878" s="24"/>
      <c r="AQ2878" s="24"/>
      <c r="AR2878" s="33"/>
      <c r="AS2878" s="34"/>
      <c r="AT2878" s="33"/>
      <c r="AV2878" s="21">
        <f>IF(AND($AL2878&lt;&gt;"",COUNTIF($AL$11:$AL2878,$AL2878)=1),1,0)</f>
        <v>0</v>
      </c>
      <c r="AW2878" s="21">
        <f t="shared" si="175"/>
        <v>0</v>
      </c>
      <c r="AX2878" s="21" t="str">
        <f t="shared" si="174"/>
        <v/>
      </c>
      <c r="AY2878" s="21" t="str">
        <f>IF(AND($AM2878&lt;&gt;"",$AS2878&lt;&gt;"✓"),SUMPRODUCT(($AM$11:$AM2878&lt;&gt;"")*($AS$11:$AS2878&lt;&gt;"✓")),"")</f>
        <v/>
      </c>
      <c r="AZ2878" s="21" t="str">
        <f>IF(AND($AM2878&lt;&gt;"",$AS2878="✓"),SUMPRODUCT(($AM$11:$AM2878&lt;&gt;"")*($AS$11:$AS2878="✓")),"")</f>
        <v/>
      </c>
      <c r="BA2878" s="21" t="str">
        <f>IF($AL2878="","",$AL2878&amp;"|"&amp;COUNTIF($AL$11:$AL2878,$AL2878))</f>
        <v/>
      </c>
    </row>
    <row r="2879" spans="38:53" ht="15" customHeight="1" x14ac:dyDescent="0.25">
      <c r="AL2879" s="17"/>
      <c r="AM2879" s="12"/>
      <c r="AN2879" s="18"/>
      <c r="AO2879" s="18"/>
      <c r="AP2879" s="10"/>
      <c r="AQ2879" s="10"/>
      <c r="AR2879" s="19"/>
      <c r="AS2879" s="20"/>
      <c r="AT2879" s="19"/>
      <c r="AV2879" s="21">
        <f>IF(AND($AL2879&lt;&gt;"",COUNTIF($AL$11:$AL2879,$AL2879)=1),1,0)</f>
        <v>0</v>
      </c>
      <c r="AW2879" s="21">
        <f t="shared" si="175"/>
        <v>0</v>
      </c>
      <c r="AX2879" s="21" t="str">
        <f t="shared" si="174"/>
        <v/>
      </c>
      <c r="AY2879" s="21" t="str">
        <f>IF(AND($AM2879&lt;&gt;"",$AS2879&lt;&gt;"✓"),SUMPRODUCT(($AM$11:$AM2879&lt;&gt;"")*($AS$11:$AS2879&lt;&gt;"✓")),"")</f>
        <v/>
      </c>
      <c r="AZ2879" s="21" t="str">
        <f>IF(AND($AM2879&lt;&gt;"",$AS2879="✓"),SUMPRODUCT(($AM$11:$AM2879&lt;&gt;"")*($AS$11:$AS2879="✓")),"")</f>
        <v/>
      </c>
      <c r="BA2879" s="21" t="str">
        <f>IF($AL2879="","",$AL2879&amp;"|"&amp;COUNTIF($AL$11:$AL2879,$AL2879))</f>
        <v/>
      </c>
    </row>
    <row r="2880" spans="38:53" ht="15" customHeight="1" x14ac:dyDescent="0.25">
      <c r="AL2880" s="31"/>
      <c r="AM2880" s="26"/>
      <c r="AN2880" s="32"/>
      <c r="AO2880" s="32"/>
      <c r="AP2880" s="24"/>
      <c r="AQ2880" s="24"/>
      <c r="AR2880" s="33"/>
      <c r="AS2880" s="34"/>
      <c r="AT2880" s="33"/>
      <c r="AV2880" s="21">
        <f>IF(AND($AL2880&lt;&gt;"",COUNTIF($AL$11:$AL2880,$AL2880)=1),1,0)</f>
        <v>0</v>
      </c>
      <c r="AW2880" s="21">
        <f t="shared" si="175"/>
        <v>0</v>
      </c>
      <c r="AX2880" s="21" t="str">
        <f t="shared" si="174"/>
        <v/>
      </c>
      <c r="AY2880" s="21" t="str">
        <f>IF(AND($AM2880&lt;&gt;"",$AS2880&lt;&gt;"✓"),SUMPRODUCT(($AM$11:$AM2880&lt;&gt;"")*($AS$11:$AS2880&lt;&gt;"✓")),"")</f>
        <v/>
      </c>
      <c r="AZ2880" s="21" t="str">
        <f>IF(AND($AM2880&lt;&gt;"",$AS2880="✓"),SUMPRODUCT(($AM$11:$AM2880&lt;&gt;"")*($AS$11:$AS2880="✓")),"")</f>
        <v/>
      </c>
      <c r="BA2880" s="21" t="str">
        <f>IF($AL2880="","",$AL2880&amp;"|"&amp;COUNTIF($AL$11:$AL2880,$AL2880))</f>
        <v/>
      </c>
    </row>
    <row r="2881" spans="38:53" ht="15" customHeight="1" x14ac:dyDescent="0.25">
      <c r="AL2881" s="17"/>
      <c r="AM2881" s="12"/>
      <c r="AN2881" s="18"/>
      <c r="AO2881" s="18"/>
      <c r="AP2881" s="10"/>
      <c r="AQ2881" s="10"/>
      <c r="AR2881" s="19"/>
      <c r="AS2881" s="20"/>
      <c r="AT2881" s="19"/>
      <c r="AV2881" s="21">
        <f>IF(AND($AL2881&lt;&gt;"",COUNTIF($AL$11:$AL2881,$AL2881)=1),1,0)</f>
        <v>0</v>
      </c>
      <c r="AW2881" s="21">
        <f t="shared" si="175"/>
        <v>0</v>
      </c>
      <c r="AX2881" s="21" t="str">
        <f t="shared" si="174"/>
        <v/>
      </c>
      <c r="AY2881" s="21" t="str">
        <f>IF(AND($AM2881&lt;&gt;"",$AS2881&lt;&gt;"✓"),SUMPRODUCT(($AM$11:$AM2881&lt;&gt;"")*($AS$11:$AS2881&lt;&gt;"✓")),"")</f>
        <v/>
      </c>
      <c r="AZ2881" s="21" t="str">
        <f>IF(AND($AM2881&lt;&gt;"",$AS2881="✓"),SUMPRODUCT(($AM$11:$AM2881&lt;&gt;"")*($AS$11:$AS2881="✓")),"")</f>
        <v/>
      </c>
      <c r="BA2881" s="21" t="str">
        <f>IF($AL2881="","",$AL2881&amp;"|"&amp;COUNTIF($AL$11:$AL2881,$AL2881))</f>
        <v/>
      </c>
    </row>
    <row r="2882" spans="38:53" ht="15" customHeight="1" x14ac:dyDescent="0.25">
      <c r="AL2882" s="31"/>
      <c r="AM2882" s="26"/>
      <c r="AN2882" s="32"/>
      <c r="AO2882" s="32"/>
      <c r="AP2882" s="24"/>
      <c r="AQ2882" s="24"/>
      <c r="AR2882" s="33"/>
      <c r="AS2882" s="34"/>
      <c r="AT2882" s="33"/>
      <c r="AV2882" s="21">
        <f>IF(AND($AL2882&lt;&gt;"",COUNTIF($AL$11:$AL2882,$AL2882)=1),1,0)</f>
        <v>0</v>
      </c>
      <c r="AW2882" s="21">
        <f t="shared" si="175"/>
        <v>0</v>
      </c>
      <c r="AX2882" s="21" t="str">
        <f t="shared" si="174"/>
        <v/>
      </c>
      <c r="AY2882" s="21" t="str">
        <f>IF(AND($AM2882&lt;&gt;"",$AS2882&lt;&gt;"✓"),SUMPRODUCT(($AM$11:$AM2882&lt;&gt;"")*($AS$11:$AS2882&lt;&gt;"✓")),"")</f>
        <v/>
      </c>
      <c r="AZ2882" s="21" t="str">
        <f>IF(AND($AM2882&lt;&gt;"",$AS2882="✓"),SUMPRODUCT(($AM$11:$AM2882&lt;&gt;"")*($AS$11:$AS2882="✓")),"")</f>
        <v/>
      </c>
      <c r="BA2882" s="21" t="str">
        <f>IF($AL2882="","",$AL2882&amp;"|"&amp;COUNTIF($AL$11:$AL2882,$AL2882))</f>
        <v/>
      </c>
    </row>
    <row r="2883" spans="38:53" ht="15" customHeight="1" x14ac:dyDescent="0.25">
      <c r="AL2883" s="17"/>
      <c r="AM2883" s="12"/>
      <c r="AN2883" s="18"/>
      <c r="AO2883" s="18"/>
      <c r="AP2883" s="10"/>
      <c r="AQ2883" s="10"/>
      <c r="AR2883" s="19"/>
      <c r="AS2883" s="20"/>
      <c r="AT2883" s="19"/>
      <c r="AV2883" s="21">
        <f>IF(AND($AL2883&lt;&gt;"",COUNTIF($AL$11:$AL2883,$AL2883)=1),1,0)</f>
        <v>0</v>
      </c>
      <c r="AW2883" s="21">
        <f t="shared" si="175"/>
        <v>0</v>
      </c>
      <c r="AX2883" s="21" t="str">
        <f t="shared" si="174"/>
        <v/>
      </c>
      <c r="AY2883" s="21" t="str">
        <f>IF(AND($AM2883&lt;&gt;"",$AS2883&lt;&gt;"✓"),SUMPRODUCT(($AM$11:$AM2883&lt;&gt;"")*($AS$11:$AS2883&lt;&gt;"✓")),"")</f>
        <v/>
      </c>
      <c r="AZ2883" s="21" t="str">
        <f>IF(AND($AM2883&lt;&gt;"",$AS2883="✓"),SUMPRODUCT(($AM$11:$AM2883&lt;&gt;"")*($AS$11:$AS2883="✓")),"")</f>
        <v/>
      </c>
      <c r="BA2883" s="21" t="str">
        <f>IF($AL2883="","",$AL2883&amp;"|"&amp;COUNTIF($AL$11:$AL2883,$AL2883))</f>
        <v/>
      </c>
    </row>
    <row r="2884" spans="38:53" ht="15" customHeight="1" x14ac:dyDescent="0.25">
      <c r="AL2884" s="31"/>
      <c r="AM2884" s="26"/>
      <c r="AN2884" s="32"/>
      <c r="AO2884" s="32"/>
      <c r="AP2884" s="24"/>
      <c r="AQ2884" s="24"/>
      <c r="AR2884" s="33"/>
      <c r="AS2884" s="34"/>
      <c r="AT2884" s="33"/>
      <c r="AV2884" s="21">
        <f>IF(AND($AL2884&lt;&gt;"",COUNTIF($AL$11:$AL2884,$AL2884)=1),1,0)</f>
        <v>0</v>
      </c>
      <c r="AW2884" s="21">
        <f t="shared" si="175"/>
        <v>0</v>
      </c>
      <c r="AX2884" s="21" t="str">
        <f t="shared" si="174"/>
        <v/>
      </c>
      <c r="AY2884" s="21" t="str">
        <f>IF(AND($AM2884&lt;&gt;"",$AS2884&lt;&gt;"✓"),SUMPRODUCT(($AM$11:$AM2884&lt;&gt;"")*($AS$11:$AS2884&lt;&gt;"✓")),"")</f>
        <v/>
      </c>
      <c r="AZ2884" s="21" t="str">
        <f>IF(AND($AM2884&lt;&gt;"",$AS2884="✓"),SUMPRODUCT(($AM$11:$AM2884&lt;&gt;"")*($AS$11:$AS2884="✓")),"")</f>
        <v/>
      </c>
      <c r="BA2884" s="21" t="str">
        <f>IF($AL2884="","",$AL2884&amp;"|"&amp;COUNTIF($AL$11:$AL2884,$AL2884))</f>
        <v/>
      </c>
    </row>
    <row r="2885" spans="38:53" ht="15" customHeight="1" x14ac:dyDescent="0.25">
      <c r="AL2885" s="17"/>
      <c r="AM2885" s="12"/>
      <c r="AN2885" s="18"/>
      <c r="AO2885" s="18"/>
      <c r="AP2885" s="10"/>
      <c r="AQ2885" s="10"/>
      <c r="AR2885" s="19"/>
      <c r="AS2885" s="20"/>
      <c r="AT2885" s="19"/>
      <c r="AV2885" s="21">
        <f>IF(AND($AL2885&lt;&gt;"",COUNTIF($AL$11:$AL2885,$AL2885)=1),1,0)</f>
        <v>0</v>
      </c>
      <c r="AW2885" s="21">
        <f t="shared" si="175"/>
        <v>0</v>
      </c>
      <c r="AX2885" s="21" t="str">
        <f t="shared" si="174"/>
        <v/>
      </c>
      <c r="AY2885" s="21" t="str">
        <f>IF(AND($AM2885&lt;&gt;"",$AS2885&lt;&gt;"✓"),SUMPRODUCT(($AM$11:$AM2885&lt;&gt;"")*($AS$11:$AS2885&lt;&gt;"✓")),"")</f>
        <v/>
      </c>
      <c r="AZ2885" s="21" t="str">
        <f>IF(AND($AM2885&lt;&gt;"",$AS2885="✓"),SUMPRODUCT(($AM$11:$AM2885&lt;&gt;"")*($AS$11:$AS2885="✓")),"")</f>
        <v/>
      </c>
      <c r="BA2885" s="21" t="str">
        <f>IF($AL2885="","",$AL2885&amp;"|"&amp;COUNTIF($AL$11:$AL2885,$AL2885))</f>
        <v/>
      </c>
    </row>
    <row r="2886" spans="38:53" ht="15" customHeight="1" x14ac:dyDescent="0.25">
      <c r="AL2886" s="31"/>
      <c r="AM2886" s="26"/>
      <c r="AN2886" s="32"/>
      <c r="AO2886" s="32"/>
      <c r="AP2886" s="24"/>
      <c r="AQ2886" s="24"/>
      <c r="AR2886" s="33"/>
      <c r="AS2886" s="34"/>
      <c r="AT2886" s="33"/>
      <c r="AV2886" s="21">
        <f>IF(AND($AL2886&lt;&gt;"",COUNTIF($AL$11:$AL2886,$AL2886)=1),1,0)</f>
        <v>0</v>
      </c>
      <c r="AW2886" s="21">
        <f t="shared" si="175"/>
        <v>0</v>
      </c>
      <c r="AX2886" s="21" t="str">
        <f t="shared" si="174"/>
        <v/>
      </c>
      <c r="AY2886" s="21" t="str">
        <f>IF(AND($AM2886&lt;&gt;"",$AS2886&lt;&gt;"✓"),SUMPRODUCT(($AM$11:$AM2886&lt;&gt;"")*($AS$11:$AS2886&lt;&gt;"✓")),"")</f>
        <v/>
      </c>
      <c r="AZ2886" s="21" t="str">
        <f>IF(AND($AM2886&lt;&gt;"",$AS2886="✓"),SUMPRODUCT(($AM$11:$AM2886&lt;&gt;"")*($AS$11:$AS2886="✓")),"")</f>
        <v/>
      </c>
      <c r="BA2886" s="21" t="str">
        <f>IF($AL2886="","",$AL2886&amp;"|"&amp;COUNTIF($AL$11:$AL2886,$AL2886))</f>
        <v/>
      </c>
    </row>
    <row r="2887" spans="38:53" ht="15" customHeight="1" x14ac:dyDescent="0.25">
      <c r="AL2887" s="17"/>
      <c r="AM2887" s="12"/>
      <c r="AN2887" s="18"/>
      <c r="AO2887" s="18"/>
      <c r="AP2887" s="10"/>
      <c r="AQ2887" s="10"/>
      <c r="AR2887" s="19"/>
      <c r="AS2887" s="20"/>
      <c r="AT2887" s="19"/>
      <c r="AV2887" s="21">
        <f>IF(AND($AL2887&lt;&gt;"",COUNTIF($AL$11:$AL2887,$AL2887)=1),1,0)</f>
        <v>0</v>
      </c>
      <c r="AW2887" s="21">
        <f t="shared" si="175"/>
        <v>0</v>
      </c>
      <c r="AX2887" s="21" t="str">
        <f t="shared" si="174"/>
        <v/>
      </c>
      <c r="AY2887" s="21" t="str">
        <f>IF(AND($AM2887&lt;&gt;"",$AS2887&lt;&gt;"✓"),SUMPRODUCT(($AM$11:$AM2887&lt;&gt;"")*($AS$11:$AS2887&lt;&gt;"✓")),"")</f>
        <v/>
      </c>
      <c r="AZ2887" s="21" t="str">
        <f>IF(AND($AM2887&lt;&gt;"",$AS2887="✓"),SUMPRODUCT(($AM$11:$AM2887&lt;&gt;"")*($AS$11:$AS2887="✓")),"")</f>
        <v/>
      </c>
      <c r="BA2887" s="21" t="str">
        <f>IF($AL2887="","",$AL2887&amp;"|"&amp;COUNTIF($AL$11:$AL2887,$AL2887))</f>
        <v/>
      </c>
    </row>
    <row r="2888" spans="38:53" ht="15" customHeight="1" x14ac:dyDescent="0.25">
      <c r="AL2888" s="31"/>
      <c r="AM2888" s="26"/>
      <c r="AN2888" s="32"/>
      <c r="AO2888" s="32"/>
      <c r="AP2888" s="24"/>
      <c r="AQ2888" s="24"/>
      <c r="AR2888" s="33"/>
      <c r="AS2888" s="34"/>
      <c r="AT2888" s="33"/>
      <c r="AV2888" s="21">
        <f>IF(AND($AL2888&lt;&gt;"",COUNTIF($AL$11:$AL2888,$AL2888)=1),1,0)</f>
        <v>0</v>
      </c>
      <c r="AW2888" s="21">
        <f t="shared" si="175"/>
        <v>0</v>
      </c>
      <c r="AX2888" s="21" t="str">
        <f t="shared" si="174"/>
        <v/>
      </c>
      <c r="AY2888" s="21" t="str">
        <f>IF(AND($AM2888&lt;&gt;"",$AS2888&lt;&gt;"✓"),SUMPRODUCT(($AM$11:$AM2888&lt;&gt;"")*($AS$11:$AS2888&lt;&gt;"✓")),"")</f>
        <v/>
      </c>
      <c r="AZ2888" s="21" t="str">
        <f>IF(AND($AM2888&lt;&gt;"",$AS2888="✓"),SUMPRODUCT(($AM$11:$AM2888&lt;&gt;"")*($AS$11:$AS2888="✓")),"")</f>
        <v/>
      </c>
      <c r="BA2888" s="21" t="str">
        <f>IF($AL2888="","",$AL2888&amp;"|"&amp;COUNTIF($AL$11:$AL2888,$AL2888))</f>
        <v/>
      </c>
    </row>
    <row r="2889" spans="38:53" ht="15" customHeight="1" x14ac:dyDescent="0.25">
      <c r="AL2889" s="17"/>
      <c r="AM2889" s="12"/>
      <c r="AN2889" s="18"/>
      <c r="AO2889" s="18"/>
      <c r="AP2889" s="10"/>
      <c r="AQ2889" s="10"/>
      <c r="AR2889" s="19"/>
      <c r="AS2889" s="20"/>
      <c r="AT2889" s="19"/>
      <c r="AV2889" s="21">
        <f>IF(AND($AL2889&lt;&gt;"",COUNTIF($AL$11:$AL2889,$AL2889)=1),1,0)</f>
        <v>0</v>
      </c>
      <c r="AW2889" s="21">
        <f t="shared" si="175"/>
        <v>0</v>
      </c>
      <c r="AX2889" s="21" t="str">
        <f t="shared" si="174"/>
        <v/>
      </c>
      <c r="AY2889" s="21" t="str">
        <f>IF(AND($AM2889&lt;&gt;"",$AS2889&lt;&gt;"✓"),SUMPRODUCT(($AM$11:$AM2889&lt;&gt;"")*($AS$11:$AS2889&lt;&gt;"✓")),"")</f>
        <v/>
      </c>
      <c r="AZ2889" s="21" t="str">
        <f>IF(AND($AM2889&lt;&gt;"",$AS2889="✓"),SUMPRODUCT(($AM$11:$AM2889&lt;&gt;"")*($AS$11:$AS2889="✓")),"")</f>
        <v/>
      </c>
      <c r="BA2889" s="21" t="str">
        <f>IF($AL2889="","",$AL2889&amp;"|"&amp;COUNTIF($AL$11:$AL2889,$AL2889))</f>
        <v/>
      </c>
    </row>
    <row r="2890" spans="38:53" ht="15" customHeight="1" x14ac:dyDescent="0.25">
      <c r="AL2890" s="31"/>
      <c r="AM2890" s="26"/>
      <c r="AN2890" s="32"/>
      <c r="AO2890" s="32"/>
      <c r="AP2890" s="24"/>
      <c r="AQ2890" s="24"/>
      <c r="AR2890" s="33"/>
      <c r="AS2890" s="34"/>
      <c r="AT2890" s="33"/>
      <c r="AV2890" s="21">
        <f>IF(AND($AL2890&lt;&gt;"",COUNTIF($AL$11:$AL2890,$AL2890)=1),1,0)</f>
        <v>0</v>
      </c>
      <c r="AW2890" s="21">
        <f t="shared" si="175"/>
        <v>0</v>
      </c>
      <c r="AX2890" s="21" t="str">
        <f t="shared" si="174"/>
        <v/>
      </c>
      <c r="AY2890" s="21" t="str">
        <f>IF(AND($AM2890&lt;&gt;"",$AS2890&lt;&gt;"✓"),SUMPRODUCT(($AM$11:$AM2890&lt;&gt;"")*($AS$11:$AS2890&lt;&gt;"✓")),"")</f>
        <v/>
      </c>
      <c r="AZ2890" s="21" t="str">
        <f>IF(AND($AM2890&lt;&gt;"",$AS2890="✓"),SUMPRODUCT(($AM$11:$AM2890&lt;&gt;"")*($AS$11:$AS2890="✓")),"")</f>
        <v/>
      </c>
      <c r="BA2890" s="21" t="str">
        <f>IF($AL2890="","",$AL2890&amp;"|"&amp;COUNTIF($AL$11:$AL2890,$AL2890))</f>
        <v/>
      </c>
    </row>
    <row r="2891" spans="38:53" ht="15" customHeight="1" x14ac:dyDescent="0.25">
      <c r="AL2891" s="17"/>
      <c r="AM2891" s="12"/>
      <c r="AN2891" s="18"/>
      <c r="AO2891" s="18"/>
      <c r="AP2891" s="10"/>
      <c r="AQ2891" s="10"/>
      <c r="AR2891" s="19"/>
      <c r="AS2891" s="20"/>
      <c r="AT2891" s="19"/>
      <c r="AV2891" s="21">
        <f>IF(AND($AL2891&lt;&gt;"",COUNTIF($AL$11:$AL2891,$AL2891)=1),1,0)</f>
        <v>0</v>
      </c>
      <c r="AW2891" s="21">
        <f t="shared" si="175"/>
        <v>0</v>
      </c>
      <c r="AX2891" s="21" t="str">
        <f t="shared" ref="AX2891:AX2954" si="176">IF(AV2891=1,AW2891,"")</f>
        <v/>
      </c>
      <c r="AY2891" s="21" t="str">
        <f>IF(AND($AM2891&lt;&gt;"",$AS2891&lt;&gt;"✓"),SUMPRODUCT(($AM$11:$AM2891&lt;&gt;"")*($AS$11:$AS2891&lt;&gt;"✓")),"")</f>
        <v/>
      </c>
      <c r="AZ2891" s="21" t="str">
        <f>IF(AND($AM2891&lt;&gt;"",$AS2891="✓"),SUMPRODUCT(($AM$11:$AM2891&lt;&gt;"")*($AS$11:$AS2891="✓")),"")</f>
        <v/>
      </c>
      <c r="BA2891" s="21" t="str">
        <f>IF($AL2891="","",$AL2891&amp;"|"&amp;COUNTIF($AL$11:$AL2891,$AL2891))</f>
        <v/>
      </c>
    </row>
    <row r="2892" spans="38:53" ht="15" customHeight="1" x14ac:dyDescent="0.25">
      <c r="AL2892" s="31"/>
      <c r="AM2892" s="26"/>
      <c r="AN2892" s="32"/>
      <c r="AO2892" s="32"/>
      <c r="AP2892" s="24"/>
      <c r="AQ2892" s="24"/>
      <c r="AR2892" s="33"/>
      <c r="AS2892" s="34"/>
      <c r="AT2892" s="33"/>
      <c r="AV2892" s="21">
        <f>IF(AND($AL2892&lt;&gt;"",COUNTIF($AL$11:$AL2892,$AL2892)=1),1,0)</f>
        <v>0</v>
      </c>
      <c r="AW2892" s="21">
        <f t="shared" ref="AW2892:AW2955" si="177">AW2891+AV2892</f>
        <v>0</v>
      </c>
      <c r="AX2892" s="21" t="str">
        <f t="shared" si="176"/>
        <v/>
      </c>
      <c r="AY2892" s="21" t="str">
        <f>IF(AND($AM2892&lt;&gt;"",$AS2892&lt;&gt;"✓"),SUMPRODUCT(($AM$11:$AM2892&lt;&gt;"")*($AS$11:$AS2892&lt;&gt;"✓")),"")</f>
        <v/>
      </c>
      <c r="AZ2892" s="21" t="str">
        <f>IF(AND($AM2892&lt;&gt;"",$AS2892="✓"),SUMPRODUCT(($AM$11:$AM2892&lt;&gt;"")*($AS$11:$AS2892="✓")),"")</f>
        <v/>
      </c>
      <c r="BA2892" s="21" t="str">
        <f>IF($AL2892="","",$AL2892&amp;"|"&amp;COUNTIF($AL$11:$AL2892,$AL2892))</f>
        <v/>
      </c>
    </row>
    <row r="2893" spans="38:53" ht="15" customHeight="1" x14ac:dyDescent="0.25">
      <c r="AL2893" s="17"/>
      <c r="AM2893" s="12"/>
      <c r="AN2893" s="18"/>
      <c r="AO2893" s="18"/>
      <c r="AP2893" s="10"/>
      <c r="AQ2893" s="10"/>
      <c r="AR2893" s="19"/>
      <c r="AS2893" s="20"/>
      <c r="AT2893" s="19"/>
      <c r="AV2893" s="21">
        <f>IF(AND($AL2893&lt;&gt;"",COUNTIF($AL$11:$AL2893,$AL2893)=1),1,0)</f>
        <v>0</v>
      </c>
      <c r="AW2893" s="21">
        <f t="shared" si="177"/>
        <v>0</v>
      </c>
      <c r="AX2893" s="21" t="str">
        <f t="shared" si="176"/>
        <v/>
      </c>
      <c r="AY2893" s="21" t="str">
        <f>IF(AND($AM2893&lt;&gt;"",$AS2893&lt;&gt;"✓"),SUMPRODUCT(($AM$11:$AM2893&lt;&gt;"")*($AS$11:$AS2893&lt;&gt;"✓")),"")</f>
        <v/>
      </c>
      <c r="AZ2893" s="21" t="str">
        <f>IF(AND($AM2893&lt;&gt;"",$AS2893="✓"),SUMPRODUCT(($AM$11:$AM2893&lt;&gt;"")*($AS$11:$AS2893="✓")),"")</f>
        <v/>
      </c>
      <c r="BA2893" s="21" t="str">
        <f>IF($AL2893="","",$AL2893&amp;"|"&amp;COUNTIF($AL$11:$AL2893,$AL2893))</f>
        <v/>
      </c>
    </row>
    <row r="2894" spans="38:53" ht="15" customHeight="1" x14ac:dyDescent="0.25">
      <c r="AL2894" s="31"/>
      <c r="AM2894" s="26"/>
      <c r="AN2894" s="32"/>
      <c r="AO2894" s="32"/>
      <c r="AP2894" s="24"/>
      <c r="AQ2894" s="24"/>
      <c r="AR2894" s="33"/>
      <c r="AS2894" s="34"/>
      <c r="AT2894" s="33"/>
      <c r="AV2894" s="21">
        <f>IF(AND($AL2894&lt;&gt;"",COUNTIF($AL$11:$AL2894,$AL2894)=1),1,0)</f>
        <v>0</v>
      </c>
      <c r="AW2894" s="21">
        <f t="shared" si="177"/>
        <v>0</v>
      </c>
      <c r="AX2894" s="21" t="str">
        <f t="shared" si="176"/>
        <v/>
      </c>
      <c r="AY2894" s="21" t="str">
        <f>IF(AND($AM2894&lt;&gt;"",$AS2894&lt;&gt;"✓"),SUMPRODUCT(($AM$11:$AM2894&lt;&gt;"")*($AS$11:$AS2894&lt;&gt;"✓")),"")</f>
        <v/>
      </c>
      <c r="AZ2894" s="21" t="str">
        <f>IF(AND($AM2894&lt;&gt;"",$AS2894="✓"),SUMPRODUCT(($AM$11:$AM2894&lt;&gt;"")*($AS$11:$AS2894="✓")),"")</f>
        <v/>
      </c>
      <c r="BA2894" s="21" t="str">
        <f>IF($AL2894="","",$AL2894&amp;"|"&amp;COUNTIF($AL$11:$AL2894,$AL2894))</f>
        <v/>
      </c>
    </row>
    <row r="2895" spans="38:53" ht="15" customHeight="1" x14ac:dyDescent="0.25">
      <c r="AL2895" s="17"/>
      <c r="AM2895" s="12"/>
      <c r="AN2895" s="18"/>
      <c r="AO2895" s="18"/>
      <c r="AP2895" s="10"/>
      <c r="AQ2895" s="10"/>
      <c r="AR2895" s="19"/>
      <c r="AS2895" s="20"/>
      <c r="AT2895" s="19"/>
      <c r="AV2895" s="21">
        <f>IF(AND($AL2895&lt;&gt;"",COUNTIF($AL$11:$AL2895,$AL2895)=1),1,0)</f>
        <v>0</v>
      </c>
      <c r="AW2895" s="21">
        <f t="shared" si="177"/>
        <v>0</v>
      </c>
      <c r="AX2895" s="21" t="str">
        <f t="shared" si="176"/>
        <v/>
      </c>
      <c r="AY2895" s="21" t="str">
        <f>IF(AND($AM2895&lt;&gt;"",$AS2895&lt;&gt;"✓"),SUMPRODUCT(($AM$11:$AM2895&lt;&gt;"")*($AS$11:$AS2895&lt;&gt;"✓")),"")</f>
        <v/>
      </c>
      <c r="AZ2895" s="21" t="str">
        <f>IF(AND($AM2895&lt;&gt;"",$AS2895="✓"),SUMPRODUCT(($AM$11:$AM2895&lt;&gt;"")*($AS$11:$AS2895="✓")),"")</f>
        <v/>
      </c>
      <c r="BA2895" s="21" t="str">
        <f>IF($AL2895="","",$AL2895&amp;"|"&amp;COUNTIF($AL$11:$AL2895,$AL2895))</f>
        <v/>
      </c>
    </row>
    <row r="2896" spans="38:53" ht="15" customHeight="1" x14ac:dyDescent="0.25">
      <c r="AL2896" s="31"/>
      <c r="AM2896" s="26"/>
      <c r="AN2896" s="32"/>
      <c r="AO2896" s="32"/>
      <c r="AP2896" s="24"/>
      <c r="AQ2896" s="24"/>
      <c r="AR2896" s="33"/>
      <c r="AS2896" s="34"/>
      <c r="AT2896" s="33"/>
      <c r="AV2896" s="21">
        <f>IF(AND($AL2896&lt;&gt;"",COUNTIF($AL$11:$AL2896,$AL2896)=1),1,0)</f>
        <v>0</v>
      </c>
      <c r="AW2896" s="21">
        <f t="shared" si="177"/>
        <v>0</v>
      </c>
      <c r="AX2896" s="21" t="str">
        <f t="shared" si="176"/>
        <v/>
      </c>
      <c r="AY2896" s="21" t="str">
        <f>IF(AND($AM2896&lt;&gt;"",$AS2896&lt;&gt;"✓"),SUMPRODUCT(($AM$11:$AM2896&lt;&gt;"")*($AS$11:$AS2896&lt;&gt;"✓")),"")</f>
        <v/>
      </c>
      <c r="AZ2896" s="21" t="str">
        <f>IF(AND($AM2896&lt;&gt;"",$AS2896="✓"),SUMPRODUCT(($AM$11:$AM2896&lt;&gt;"")*($AS$11:$AS2896="✓")),"")</f>
        <v/>
      </c>
      <c r="BA2896" s="21" t="str">
        <f>IF($AL2896="","",$AL2896&amp;"|"&amp;COUNTIF($AL$11:$AL2896,$AL2896))</f>
        <v/>
      </c>
    </row>
    <row r="2897" spans="38:53" ht="15" customHeight="1" x14ac:dyDescent="0.25">
      <c r="AL2897" s="17"/>
      <c r="AM2897" s="12"/>
      <c r="AN2897" s="18"/>
      <c r="AO2897" s="18"/>
      <c r="AP2897" s="10"/>
      <c r="AQ2897" s="10"/>
      <c r="AR2897" s="19"/>
      <c r="AS2897" s="20"/>
      <c r="AT2897" s="19"/>
      <c r="AV2897" s="21">
        <f>IF(AND($AL2897&lt;&gt;"",COUNTIF($AL$11:$AL2897,$AL2897)=1),1,0)</f>
        <v>0</v>
      </c>
      <c r="AW2897" s="21">
        <f t="shared" si="177"/>
        <v>0</v>
      </c>
      <c r="AX2897" s="21" t="str">
        <f t="shared" si="176"/>
        <v/>
      </c>
      <c r="AY2897" s="21" t="str">
        <f>IF(AND($AM2897&lt;&gt;"",$AS2897&lt;&gt;"✓"),SUMPRODUCT(($AM$11:$AM2897&lt;&gt;"")*($AS$11:$AS2897&lt;&gt;"✓")),"")</f>
        <v/>
      </c>
      <c r="AZ2897" s="21" t="str">
        <f>IF(AND($AM2897&lt;&gt;"",$AS2897="✓"),SUMPRODUCT(($AM$11:$AM2897&lt;&gt;"")*($AS$11:$AS2897="✓")),"")</f>
        <v/>
      </c>
      <c r="BA2897" s="21" t="str">
        <f>IF($AL2897="","",$AL2897&amp;"|"&amp;COUNTIF($AL$11:$AL2897,$AL2897))</f>
        <v/>
      </c>
    </row>
    <row r="2898" spans="38:53" ht="15" customHeight="1" x14ac:dyDescent="0.25">
      <c r="AL2898" s="31"/>
      <c r="AM2898" s="26"/>
      <c r="AN2898" s="32"/>
      <c r="AO2898" s="32"/>
      <c r="AP2898" s="24"/>
      <c r="AQ2898" s="24"/>
      <c r="AR2898" s="33"/>
      <c r="AS2898" s="34"/>
      <c r="AT2898" s="33"/>
      <c r="AV2898" s="21">
        <f>IF(AND($AL2898&lt;&gt;"",COUNTIF($AL$11:$AL2898,$AL2898)=1),1,0)</f>
        <v>0</v>
      </c>
      <c r="AW2898" s="21">
        <f t="shared" si="177"/>
        <v>0</v>
      </c>
      <c r="AX2898" s="21" t="str">
        <f t="shared" si="176"/>
        <v/>
      </c>
      <c r="AY2898" s="21" t="str">
        <f>IF(AND($AM2898&lt;&gt;"",$AS2898&lt;&gt;"✓"),SUMPRODUCT(($AM$11:$AM2898&lt;&gt;"")*($AS$11:$AS2898&lt;&gt;"✓")),"")</f>
        <v/>
      </c>
      <c r="AZ2898" s="21" t="str">
        <f>IF(AND($AM2898&lt;&gt;"",$AS2898="✓"),SUMPRODUCT(($AM$11:$AM2898&lt;&gt;"")*($AS$11:$AS2898="✓")),"")</f>
        <v/>
      </c>
      <c r="BA2898" s="21" t="str">
        <f>IF($AL2898="","",$AL2898&amp;"|"&amp;COUNTIF($AL$11:$AL2898,$AL2898))</f>
        <v/>
      </c>
    </row>
    <row r="2899" spans="38:53" ht="15" customHeight="1" x14ac:dyDescent="0.25">
      <c r="AL2899" s="17"/>
      <c r="AM2899" s="12"/>
      <c r="AN2899" s="18"/>
      <c r="AO2899" s="18"/>
      <c r="AP2899" s="10"/>
      <c r="AQ2899" s="10"/>
      <c r="AR2899" s="19"/>
      <c r="AS2899" s="20"/>
      <c r="AT2899" s="19"/>
      <c r="AV2899" s="21">
        <f>IF(AND($AL2899&lt;&gt;"",COUNTIF($AL$11:$AL2899,$AL2899)=1),1,0)</f>
        <v>0</v>
      </c>
      <c r="AW2899" s="21">
        <f t="shared" si="177"/>
        <v>0</v>
      </c>
      <c r="AX2899" s="21" t="str">
        <f t="shared" si="176"/>
        <v/>
      </c>
      <c r="AY2899" s="21" t="str">
        <f>IF(AND($AM2899&lt;&gt;"",$AS2899&lt;&gt;"✓"),SUMPRODUCT(($AM$11:$AM2899&lt;&gt;"")*($AS$11:$AS2899&lt;&gt;"✓")),"")</f>
        <v/>
      </c>
      <c r="AZ2899" s="21" t="str">
        <f>IF(AND($AM2899&lt;&gt;"",$AS2899="✓"),SUMPRODUCT(($AM$11:$AM2899&lt;&gt;"")*($AS$11:$AS2899="✓")),"")</f>
        <v/>
      </c>
      <c r="BA2899" s="21" t="str">
        <f>IF($AL2899="","",$AL2899&amp;"|"&amp;COUNTIF($AL$11:$AL2899,$AL2899))</f>
        <v/>
      </c>
    </row>
    <row r="2900" spans="38:53" ht="15" customHeight="1" x14ac:dyDescent="0.25">
      <c r="AL2900" s="31"/>
      <c r="AM2900" s="26"/>
      <c r="AN2900" s="32"/>
      <c r="AO2900" s="32"/>
      <c r="AP2900" s="24"/>
      <c r="AQ2900" s="24"/>
      <c r="AR2900" s="33"/>
      <c r="AS2900" s="34"/>
      <c r="AT2900" s="33"/>
      <c r="AV2900" s="21">
        <f>IF(AND($AL2900&lt;&gt;"",COUNTIF($AL$11:$AL2900,$AL2900)=1),1,0)</f>
        <v>0</v>
      </c>
      <c r="AW2900" s="21">
        <f t="shared" si="177"/>
        <v>0</v>
      </c>
      <c r="AX2900" s="21" t="str">
        <f t="shared" si="176"/>
        <v/>
      </c>
      <c r="AY2900" s="21" t="str">
        <f>IF(AND($AM2900&lt;&gt;"",$AS2900&lt;&gt;"✓"),SUMPRODUCT(($AM$11:$AM2900&lt;&gt;"")*($AS$11:$AS2900&lt;&gt;"✓")),"")</f>
        <v/>
      </c>
      <c r="AZ2900" s="21" t="str">
        <f>IF(AND($AM2900&lt;&gt;"",$AS2900="✓"),SUMPRODUCT(($AM$11:$AM2900&lt;&gt;"")*($AS$11:$AS2900="✓")),"")</f>
        <v/>
      </c>
      <c r="BA2900" s="21" t="str">
        <f>IF($AL2900="","",$AL2900&amp;"|"&amp;COUNTIF($AL$11:$AL2900,$AL2900))</f>
        <v/>
      </c>
    </row>
    <row r="2901" spans="38:53" ht="15" customHeight="1" x14ac:dyDescent="0.25">
      <c r="AL2901" s="17"/>
      <c r="AM2901" s="12"/>
      <c r="AN2901" s="18"/>
      <c r="AO2901" s="18"/>
      <c r="AP2901" s="10"/>
      <c r="AQ2901" s="10"/>
      <c r="AR2901" s="19"/>
      <c r="AS2901" s="20"/>
      <c r="AT2901" s="19"/>
      <c r="AV2901" s="21">
        <f>IF(AND($AL2901&lt;&gt;"",COUNTIF($AL$11:$AL2901,$AL2901)=1),1,0)</f>
        <v>0</v>
      </c>
      <c r="AW2901" s="21">
        <f t="shared" si="177"/>
        <v>0</v>
      </c>
      <c r="AX2901" s="21" t="str">
        <f t="shared" si="176"/>
        <v/>
      </c>
      <c r="AY2901" s="21" t="str">
        <f>IF(AND($AM2901&lt;&gt;"",$AS2901&lt;&gt;"✓"),SUMPRODUCT(($AM$11:$AM2901&lt;&gt;"")*($AS$11:$AS2901&lt;&gt;"✓")),"")</f>
        <v/>
      </c>
      <c r="AZ2901" s="21" t="str">
        <f>IF(AND($AM2901&lt;&gt;"",$AS2901="✓"),SUMPRODUCT(($AM$11:$AM2901&lt;&gt;"")*($AS$11:$AS2901="✓")),"")</f>
        <v/>
      </c>
      <c r="BA2901" s="21" t="str">
        <f>IF($AL2901="","",$AL2901&amp;"|"&amp;COUNTIF($AL$11:$AL2901,$AL2901))</f>
        <v/>
      </c>
    </row>
    <row r="2902" spans="38:53" ht="15" customHeight="1" x14ac:dyDescent="0.25">
      <c r="AL2902" s="31"/>
      <c r="AM2902" s="26"/>
      <c r="AN2902" s="32"/>
      <c r="AO2902" s="32"/>
      <c r="AP2902" s="24"/>
      <c r="AQ2902" s="24"/>
      <c r="AR2902" s="33"/>
      <c r="AS2902" s="34"/>
      <c r="AT2902" s="33"/>
      <c r="AV2902" s="21">
        <f>IF(AND($AL2902&lt;&gt;"",COUNTIF($AL$11:$AL2902,$AL2902)=1),1,0)</f>
        <v>0</v>
      </c>
      <c r="AW2902" s="21">
        <f t="shared" si="177"/>
        <v>0</v>
      </c>
      <c r="AX2902" s="21" t="str">
        <f t="shared" si="176"/>
        <v/>
      </c>
      <c r="AY2902" s="21" t="str">
        <f>IF(AND($AM2902&lt;&gt;"",$AS2902&lt;&gt;"✓"),SUMPRODUCT(($AM$11:$AM2902&lt;&gt;"")*($AS$11:$AS2902&lt;&gt;"✓")),"")</f>
        <v/>
      </c>
      <c r="AZ2902" s="21" t="str">
        <f>IF(AND($AM2902&lt;&gt;"",$AS2902="✓"),SUMPRODUCT(($AM$11:$AM2902&lt;&gt;"")*($AS$11:$AS2902="✓")),"")</f>
        <v/>
      </c>
      <c r="BA2902" s="21" t="str">
        <f>IF($AL2902="","",$AL2902&amp;"|"&amp;COUNTIF($AL$11:$AL2902,$AL2902))</f>
        <v/>
      </c>
    </row>
    <row r="2903" spans="38:53" ht="15" customHeight="1" x14ac:dyDescent="0.25">
      <c r="AL2903" s="17"/>
      <c r="AM2903" s="12"/>
      <c r="AN2903" s="18"/>
      <c r="AO2903" s="18"/>
      <c r="AP2903" s="10"/>
      <c r="AQ2903" s="10"/>
      <c r="AR2903" s="19"/>
      <c r="AS2903" s="20"/>
      <c r="AT2903" s="19"/>
      <c r="AV2903" s="21">
        <f>IF(AND($AL2903&lt;&gt;"",COUNTIF($AL$11:$AL2903,$AL2903)=1),1,0)</f>
        <v>0</v>
      </c>
      <c r="AW2903" s="21">
        <f t="shared" si="177"/>
        <v>0</v>
      </c>
      <c r="AX2903" s="21" t="str">
        <f t="shared" si="176"/>
        <v/>
      </c>
      <c r="AY2903" s="21" t="str">
        <f>IF(AND($AM2903&lt;&gt;"",$AS2903&lt;&gt;"✓"),SUMPRODUCT(($AM$11:$AM2903&lt;&gt;"")*($AS$11:$AS2903&lt;&gt;"✓")),"")</f>
        <v/>
      </c>
      <c r="AZ2903" s="21" t="str">
        <f>IF(AND($AM2903&lt;&gt;"",$AS2903="✓"),SUMPRODUCT(($AM$11:$AM2903&lt;&gt;"")*($AS$11:$AS2903="✓")),"")</f>
        <v/>
      </c>
      <c r="BA2903" s="21" t="str">
        <f>IF($AL2903="","",$AL2903&amp;"|"&amp;COUNTIF($AL$11:$AL2903,$AL2903))</f>
        <v/>
      </c>
    </row>
    <row r="2904" spans="38:53" ht="15" customHeight="1" x14ac:dyDescent="0.25">
      <c r="AL2904" s="31"/>
      <c r="AM2904" s="26"/>
      <c r="AN2904" s="32"/>
      <c r="AO2904" s="32"/>
      <c r="AP2904" s="24"/>
      <c r="AQ2904" s="24"/>
      <c r="AR2904" s="33"/>
      <c r="AS2904" s="34"/>
      <c r="AT2904" s="33"/>
      <c r="AV2904" s="21">
        <f>IF(AND($AL2904&lt;&gt;"",COUNTIF($AL$11:$AL2904,$AL2904)=1),1,0)</f>
        <v>0</v>
      </c>
      <c r="AW2904" s="21">
        <f t="shared" si="177"/>
        <v>0</v>
      </c>
      <c r="AX2904" s="21" t="str">
        <f t="shared" si="176"/>
        <v/>
      </c>
      <c r="AY2904" s="21" t="str">
        <f>IF(AND($AM2904&lt;&gt;"",$AS2904&lt;&gt;"✓"),SUMPRODUCT(($AM$11:$AM2904&lt;&gt;"")*($AS$11:$AS2904&lt;&gt;"✓")),"")</f>
        <v/>
      </c>
      <c r="AZ2904" s="21" t="str">
        <f>IF(AND($AM2904&lt;&gt;"",$AS2904="✓"),SUMPRODUCT(($AM$11:$AM2904&lt;&gt;"")*($AS$11:$AS2904="✓")),"")</f>
        <v/>
      </c>
      <c r="BA2904" s="21" t="str">
        <f>IF($AL2904="","",$AL2904&amp;"|"&amp;COUNTIF($AL$11:$AL2904,$AL2904))</f>
        <v/>
      </c>
    </row>
    <row r="2905" spans="38:53" ht="15" customHeight="1" x14ac:dyDescent="0.25">
      <c r="AL2905" s="17"/>
      <c r="AM2905" s="12"/>
      <c r="AN2905" s="18"/>
      <c r="AO2905" s="18"/>
      <c r="AP2905" s="10"/>
      <c r="AQ2905" s="10"/>
      <c r="AR2905" s="19"/>
      <c r="AS2905" s="20"/>
      <c r="AT2905" s="19"/>
      <c r="AV2905" s="21">
        <f>IF(AND($AL2905&lt;&gt;"",COUNTIF($AL$11:$AL2905,$AL2905)=1),1,0)</f>
        <v>0</v>
      </c>
      <c r="AW2905" s="21">
        <f t="shared" si="177"/>
        <v>0</v>
      </c>
      <c r="AX2905" s="21" t="str">
        <f t="shared" si="176"/>
        <v/>
      </c>
      <c r="AY2905" s="21" t="str">
        <f>IF(AND($AM2905&lt;&gt;"",$AS2905&lt;&gt;"✓"),SUMPRODUCT(($AM$11:$AM2905&lt;&gt;"")*($AS$11:$AS2905&lt;&gt;"✓")),"")</f>
        <v/>
      </c>
      <c r="AZ2905" s="21" t="str">
        <f>IF(AND($AM2905&lt;&gt;"",$AS2905="✓"),SUMPRODUCT(($AM$11:$AM2905&lt;&gt;"")*($AS$11:$AS2905="✓")),"")</f>
        <v/>
      </c>
      <c r="BA2905" s="21" t="str">
        <f>IF($AL2905="","",$AL2905&amp;"|"&amp;COUNTIF($AL$11:$AL2905,$AL2905))</f>
        <v/>
      </c>
    </row>
    <row r="2906" spans="38:53" ht="15" customHeight="1" x14ac:dyDescent="0.25">
      <c r="AL2906" s="31"/>
      <c r="AM2906" s="26"/>
      <c r="AN2906" s="32"/>
      <c r="AO2906" s="32"/>
      <c r="AP2906" s="24"/>
      <c r="AQ2906" s="24"/>
      <c r="AR2906" s="33"/>
      <c r="AS2906" s="34"/>
      <c r="AT2906" s="33"/>
      <c r="AV2906" s="21">
        <f>IF(AND($AL2906&lt;&gt;"",COUNTIF($AL$11:$AL2906,$AL2906)=1),1,0)</f>
        <v>0</v>
      </c>
      <c r="AW2906" s="21">
        <f t="shared" si="177"/>
        <v>0</v>
      </c>
      <c r="AX2906" s="21" t="str">
        <f t="shared" si="176"/>
        <v/>
      </c>
      <c r="AY2906" s="21" t="str">
        <f>IF(AND($AM2906&lt;&gt;"",$AS2906&lt;&gt;"✓"),SUMPRODUCT(($AM$11:$AM2906&lt;&gt;"")*($AS$11:$AS2906&lt;&gt;"✓")),"")</f>
        <v/>
      </c>
      <c r="AZ2906" s="21" t="str">
        <f>IF(AND($AM2906&lt;&gt;"",$AS2906="✓"),SUMPRODUCT(($AM$11:$AM2906&lt;&gt;"")*($AS$11:$AS2906="✓")),"")</f>
        <v/>
      </c>
      <c r="BA2906" s="21" t="str">
        <f>IF($AL2906="","",$AL2906&amp;"|"&amp;COUNTIF($AL$11:$AL2906,$AL2906))</f>
        <v/>
      </c>
    </row>
    <row r="2907" spans="38:53" ht="15" customHeight="1" x14ac:dyDescent="0.25">
      <c r="AL2907" s="17"/>
      <c r="AM2907" s="12"/>
      <c r="AN2907" s="18"/>
      <c r="AO2907" s="18"/>
      <c r="AP2907" s="10"/>
      <c r="AQ2907" s="10"/>
      <c r="AR2907" s="19"/>
      <c r="AS2907" s="20"/>
      <c r="AT2907" s="19"/>
      <c r="AV2907" s="21">
        <f>IF(AND($AL2907&lt;&gt;"",COUNTIF($AL$11:$AL2907,$AL2907)=1),1,0)</f>
        <v>0</v>
      </c>
      <c r="AW2907" s="21">
        <f t="shared" si="177"/>
        <v>0</v>
      </c>
      <c r="AX2907" s="21" t="str">
        <f t="shared" si="176"/>
        <v/>
      </c>
      <c r="AY2907" s="21" t="str">
        <f>IF(AND($AM2907&lt;&gt;"",$AS2907&lt;&gt;"✓"),SUMPRODUCT(($AM$11:$AM2907&lt;&gt;"")*($AS$11:$AS2907&lt;&gt;"✓")),"")</f>
        <v/>
      </c>
      <c r="AZ2907" s="21" t="str">
        <f>IF(AND($AM2907&lt;&gt;"",$AS2907="✓"),SUMPRODUCT(($AM$11:$AM2907&lt;&gt;"")*($AS$11:$AS2907="✓")),"")</f>
        <v/>
      </c>
      <c r="BA2907" s="21" t="str">
        <f>IF($AL2907="","",$AL2907&amp;"|"&amp;COUNTIF($AL$11:$AL2907,$AL2907))</f>
        <v/>
      </c>
    </row>
    <row r="2908" spans="38:53" ht="15" customHeight="1" x14ac:dyDescent="0.25">
      <c r="AL2908" s="31"/>
      <c r="AM2908" s="26"/>
      <c r="AN2908" s="32"/>
      <c r="AO2908" s="32"/>
      <c r="AP2908" s="24"/>
      <c r="AQ2908" s="24"/>
      <c r="AR2908" s="33"/>
      <c r="AS2908" s="34"/>
      <c r="AT2908" s="33"/>
      <c r="AV2908" s="21">
        <f>IF(AND($AL2908&lt;&gt;"",COUNTIF($AL$11:$AL2908,$AL2908)=1),1,0)</f>
        <v>0</v>
      </c>
      <c r="AW2908" s="21">
        <f t="shared" si="177"/>
        <v>0</v>
      </c>
      <c r="AX2908" s="21" t="str">
        <f t="shared" si="176"/>
        <v/>
      </c>
      <c r="AY2908" s="21" t="str">
        <f>IF(AND($AM2908&lt;&gt;"",$AS2908&lt;&gt;"✓"),SUMPRODUCT(($AM$11:$AM2908&lt;&gt;"")*($AS$11:$AS2908&lt;&gt;"✓")),"")</f>
        <v/>
      </c>
      <c r="AZ2908" s="21" t="str">
        <f>IF(AND($AM2908&lt;&gt;"",$AS2908="✓"),SUMPRODUCT(($AM$11:$AM2908&lt;&gt;"")*($AS$11:$AS2908="✓")),"")</f>
        <v/>
      </c>
      <c r="BA2908" s="21" t="str">
        <f>IF($AL2908="","",$AL2908&amp;"|"&amp;COUNTIF($AL$11:$AL2908,$AL2908))</f>
        <v/>
      </c>
    </row>
    <row r="2909" spans="38:53" ht="15" customHeight="1" x14ac:dyDescent="0.25">
      <c r="AL2909" s="17"/>
      <c r="AM2909" s="12"/>
      <c r="AN2909" s="18"/>
      <c r="AO2909" s="18"/>
      <c r="AP2909" s="10"/>
      <c r="AQ2909" s="10"/>
      <c r="AR2909" s="19"/>
      <c r="AS2909" s="20"/>
      <c r="AT2909" s="19"/>
      <c r="AV2909" s="21">
        <f>IF(AND($AL2909&lt;&gt;"",COUNTIF($AL$11:$AL2909,$AL2909)=1),1,0)</f>
        <v>0</v>
      </c>
      <c r="AW2909" s="21">
        <f t="shared" si="177"/>
        <v>0</v>
      </c>
      <c r="AX2909" s="21" t="str">
        <f t="shared" si="176"/>
        <v/>
      </c>
      <c r="AY2909" s="21" t="str">
        <f>IF(AND($AM2909&lt;&gt;"",$AS2909&lt;&gt;"✓"),SUMPRODUCT(($AM$11:$AM2909&lt;&gt;"")*($AS$11:$AS2909&lt;&gt;"✓")),"")</f>
        <v/>
      </c>
      <c r="AZ2909" s="21" t="str">
        <f>IF(AND($AM2909&lt;&gt;"",$AS2909="✓"),SUMPRODUCT(($AM$11:$AM2909&lt;&gt;"")*($AS$11:$AS2909="✓")),"")</f>
        <v/>
      </c>
      <c r="BA2909" s="21" t="str">
        <f>IF($AL2909="","",$AL2909&amp;"|"&amp;COUNTIF($AL$11:$AL2909,$AL2909))</f>
        <v/>
      </c>
    </row>
    <row r="2910" spans="38:53" ht="15" customHeight="1" x14ac:dyDescent="0.25">
      <c r="AL2910" s="31"/>
      <c r="AM2910" s="26"/>
      <c r="AN2910" s="32"/>
      <c r="AO2910" s="32"/>
      <c r="AP2910" s="24"/>
      <c r="AQ2910" s="24"/>
      <c r="AR2910" s="33"/>
      <c r="AS2910" s="34"/>
      <c r="AT2910" s="33"/>
      <c r="AV2910" s="21">
        <f>IF(AND($AL2910&lt;&gt;"",COUNTIF($AL$11:$AL2910,$AL2910)=1),1,0)</f>
        <v>0</v>
      </c>
      <c r="AW2910" s="21">
        <f t="shared" si="177"/>
        <v>0</v>
      </c>
      <c r="AX2910" s="21" t="str">
        <f t="shared" si="176"/>
        <v/>
      </c>
      <c r="AY2910" s="21" t="str">
        <f>IF(AND($AM2910&lt;&gt;"",$AS2910&lt;&gt;"✓"),SUMPRODUCT(($AM$11:$AM2910&lt;&gt;"")*($AS$11:$AS2910&lt;&gt;"✓")),"")</f>
        <v/>
      </c>
      <c r="AZ2910" s="21" t="str">
        <f>IF(AND($AM2910&lt;&gt;"",$AS2910="✓"),SUMPRODUCT(($AM$11:$AM2910&lt;&gt;"")*($AS$11:$AS2910="✓")),"")</f>
        <v/>
      </c>
      <c r="BA2910" s="21" t="str">
        <f>IF($AL2910="","",$AL2910&amp;"|"&amp;COUNTIF($AL$11:$AL2910,$AL2910))</f>
        <v/>
      </c>
    </row>
    <row r="2911" spans="38:53" ht="15" customHeight="1" x14ac:dyDescent="0.25">
      <c r="AL2911" s="17"/>
      <c r="AM2911" s="12"/>
      <c r="AN2911" s="18"/>
      <c r="AO2911" s="18"/>
      <c r="AP2911" s="10"/>
      <c r="AQ2911" s="10"/>
      <c r="AR2911" s="19"/>
      <c r="AS2911" s="20"/>
      <c r="AT2911" s="19"/>
      <c r="AV2911" s="21">
        <f>IF(AND($AL2911&lt;&gt;"",COUNTIF($AL$11:$AL2911,$AL2911)=1),1,0)</f>
        <v>0</v>
      </c>
      <c r="AW2911" s="21">
        <f t="shared" si="177"/>
        <v>0</v>
      </c>
      <c r="AX2911" s="21" t="str">
        <f t="shared" si="176"/>
        <v/>
      </c>
      <c r="AY2911" s="21" t="str">
        <f>IF(AND($AM2911&lt;&gt;"",$AS2911&lt;&gt;"✓"),SUMPRODUCT(($AM$11:$AM2911&lt;&gt;"")*($AS$11:$AS2911&lt;&gt;"✓")),"")</f>
        <v/>
      </c>
      <c r="AZ2911" s="21" t="str">
        <f>IF(AND($AM2911&lt;&gt;"",$AS2911="✓"),SUMPRODUCT(($AM$11:$AM2911&lt;&gt;"")*($AS$11:$AS2911="✓")),"")</f>
        <v/>
      </c>
      <c r="BA2911" s="21" t="str">
        <f>IF($AL2911="","",$AL2911&amp;"|"&amp;COUNTIF($AL$11:$AL2911,$AL2911))</f>
        <v/>
      </c>
    </row>
    <row r="2912" spans="38:53" ht="15" customHeight="1" x14ac:dyDescent="0.25">
      <c r="AL2912" s="31"/>
      <c r="AM2912" s="26"/>
      <c r="AN2912" s="32"/>
      <c r="AO2912" s="32"/>
      <c r="AP2912" s="24"/>
      <c r="AQ2912" s="24"/>
      <c r="AR2912" s="33"/>
      <c r="AS2912" s="34"/>
      <c r="AT2912" s="33"/>
      <c r="AV2912" s="21">
        <f>IF(AND($AL2912&lt;&gt;"",COUNTIF($AL$11:$AL2912,$AL2912)=1),1,0)</f>
        <v>0</v>
      </c>
      <c r="AW2912" s="21">
        <f t="shared" si="177"/>
        <v>0</v>
      </c>
      <c r="AX2912" s="21" t="str">
        <f t="shared" si="176"/>
        <v/>
      </c>
      <c r="AY2912" s="21" t="str">
        <f>IF(AND($AM2912&lt;&gt;"",$AS2912&lt;&gt;"✓"),SUMPRODUCT(($AM$11:$AM2912&lt;&gt;"")*($AS$11:$AS2912&lt;&gt;"✓")),"")</f>
        <v/>
      </c>
      <c r="AZ2912" s="21" t="str">
        <f>IF(AND($AM2912&lt;&gt;"",$AS2912="✓"),SUMPRODUCT(($AM$11:$AM2912&lt;&gt;"")*($AS$11:$AS2912="✓")),"")</f>
        <v/>
      </c>
      <c r="BA2912" s="21" t="str">
        <f>IF($AL2912="","",$AL2912&amp;"|"&amp;COUNTIF($AL$11:$AL2912,$AL2912))</f>
        <v/>
      </c>
    </row>
    <row r="2913" spans="38:53" ht="15" customHeight="1" x14ac:dyDescent="0.25">
      <c r="AL2913" s="17"/>
      <c r="AM2913" s="12"/>
      <c r="AN2913" s="18"/>
      <c r="AO2913" s="18"/>
      <c r="AP2913" s="10"/>
      <c r="AQ2913" s="10"/>
      <c r="AR2913" s="19"/>
      <c r="AS2913" s="20"/>
      <c r="AT2913" s="19"/>
      <c r="AV2913" s="21">
        <f>IF(AND($AL2913&lt;&gt;"",COUNTIF($AL$11:$AL2913,$AL2913)=1),1,0)</f>
        <v>0</v>
      </c>
      <c r="AW2913" s="21">
        <f t="shared" si="177"/>
        <v>0</v>
      </c>
      <c r="AX2913" s="21" t="str">
        <f t="shared" si="176"/>
        <v/>
      </c>
      <c r="AY2913" s="21" t="str">
        <f>IF(AND($AM2913&lt;&gt;"",$AS2913&lt;&gt;"✓"),SUMPRODUCT(($AM$11:$AM2913&lt;&gt;"")*($AS$11:$AS2913&lt;&gt;"✓")),"")</f>
        <v/>
      </c>
      <c r="AZ2913" s="21" t="str">
        <f>IF(AND($AM2913&lt;&gt;"",$AS2913="✓"),SUMPRODUCT(($AM$11:$AM2913&lt;&gt;"")*($AS$11:$AS2913="✓")),"")</f>
        <v/>
      </c>
      <c r="BA2913" s="21" t="str">
        <f>IF($AL2913="","",$AL2913&amp;"|"&amp;COUNTIF($AL$11:$AL2913,$AL2913))</f>
        <v/>
      </c>
    </row>
    <row r="2914" spans="38:53" ht="15" customHeight="1" x14ac:dyDescent="0.25">
      <c r="AL2914" s="31"/>
      <c r="AM2914" s="26"/>
      <c r="AN2914" s="32"/>
      <c r="AO2914" s="32"/>
      <c r="AP2914" s="24"/>
      <c r="AQ2914" s="24"/>
      <c r="AR2914" s="33"/>
      <c r="AS2914" s="34"/>
      <c r="AT2914" s="33"/>
      <c r="AV2914" s="21">
        <f>IF(AND($AL2914&lt;&gt;"",COUNTIF($AL$11:$AL2914,$AL2914)=1),1,0)</f>
        <v>0</v>
      </c>
      <c r="AW2914" s="21">
        <f t="shared" si="177"/>
        <v>0</v>
      </c>
      <c r="AX2914" s="21" t="str">
        <f t="shared" si="176"/>
        <v/>
      </c>
      <c r="AY2914" s="21" t="str">
        <f>IF(AND($AM2914&lt;&gt;"",$AS2914&lt;&gt;"✓"),SUMPRODUCT(($AM$11:$AM2914&lt;&gt;"")*($AS$11:$AS2914&lt;&gt;"✓")),"")</f>
        <v/>
      </c>
      <c r="AZ2914" s="21" t="str">
        <f>IF(AND($AM2914&lt;&gt;"",$AS2914="✓"),SUMPRODUCT(($AM$11:$AM2914&lt;&gt;"")*($AS$11:$AS2914="✓")),"")</f>
        <v/>
      </c>
      <c r="BA2914" s="21" t="str">
        <f>IF($AL2914="","",$AL2914&amp;"|"&amp;COUNTIF($AL$11:$AL2914,$AL2914))</f>
        <v/>
      </c>
    </row>
    <row r="2915" spans="38:53" ht="15" customHeight="1" x14ac:dyDescent="0.25">
      <c r="AL2915" s="17"/>
      <c r="AM2915" s="12"/>
      <c r="AN2915" s="18"/>
      <c r="AO2915" s="18"/>
      <c r="AP2915" s="10"/>
      <c r="AQ2915" s="10"/>
      <c r="AR2915" s="19"/>
      <c r="AS2915" s="20"/>
      <c r="AT2915" s="19"/>
      <c r="AV2915" s="21">
        <f>IF(AND($AL2915&lt;&gt;"",COUNTIF($AL$11:$AL2915,$AL2915)=1),1,0)</f>
        <v>0</v>
      </c>
      <c r="AW2915" s="21">
        <f t="shared" si="177"/>
        <v>0</v>
      </c>
      <c r="AX2915" s="21" t="str">
        <f t="shared" si="176"/>
        <v/>
      </c>
      <c r="AY2915" s="21" t="str">
        <f>IF(AND($AM2915&lt;&gt;"",$AS2915&lt;&gt;"✓"),SUMPRODUCT(($AM$11:$AM2915&lt;&gt;"")*($AS$11:$AS2915&lt;&gt;"✓")),"")</f>
        <v/>
      </c>
      <c r="AZ2915" s="21" t="str">
        <f>IF(AND($AM2915&lt;&gt;"",$AS2915="✓"),SUMPRODUCT(($AM$11:$AM2915&lt;&gt;"")*($AS$11:$AS2915="✓")),"")</f>
        <v/>
      </c>
      <c r="BA2915" s="21" t="str">
        <f>IF($AL2915="","",$AL2915&amp;"|"&amp;COUNTIF($AL$11:$AL2915,$AL2915))</f>
        <v/>
      </c>
    </row>
    <row r="2916" spans="38:53" ht="15" customHeight="1" x14ac:dyDescent="0.25">
      <c r="AL2916" s="31"/>
      <c r="AM2916" s="26"/>
      <c r="AN2916" s="32"/>
      <c r="AO2916" s="32"/>
      <c r="AP2916" s="24"/>
      <c r="AQ2916" s="24"/>
      <c r="AR2916" s="33"/>
      <c r="AS2916" s="34"/>
      <c r="AT2916" s="33"/>
      <c r="AV2916" s="21">
        <f>IF(AND($AL2916&lt;&gt;"",COUNTIF($AL$11:$AL2916,$AL2916)=1),1,0)</f>
        <v>0</v>
      </c>
      <c r="AW2916" s="21">
        <f t="shared" si="177"/>
        <v>0</v>
      </c>
      <c r="AX2916" s="21" t="str">
        <f t="shared" si="176"/>
        <v/>
      </c>
      <c r="AY2916" s="21" t="str">
        <f>IF(AND($AM2916&lt;&gt;"",$AS2916&lt;&gt;"✓"),SUMPRODUCT(($AM$11:$AM2916&lt;&gt;"")*($AS$11:$AS2916&lt;&gt;"✓")),"")</f>
        <v/>
      </c>
      <c r="AZ2916" s="21" t="str">
        <f>IF(AND($AM2916&lt;&gt;"",$AS2916="✓"),SUMPRODUCT(($AM$11:$AM2916&lt;&gt;"")*($AS$11:$AS2916="✓")),"")</f>
        <v/>
      </c>
      <c r="BA2916" s="21" t="str">
        <f>IF($AL2916="","",$AL2916&amp;"|"&amp;COUNTIF($AL$11:$AL2916,$AL2916))</f>
        <v/>
      </c>
    </row>
    <row r="2917" spans="38:53" ht="15" customHeight="1" x14ac:dyDescent="0.25">
      <c r="AL2917" s="17"/>
      <c r="AM2917" s="12"/>
      <c r="AN2917" s="18"/>
      <c r="AO2917" s="18"/>
      <c r="AP2917" s="10"/>
      <c r="AQ2917" s="10"/>
      <c r="AR2917" s="19"/>
      <c r="AS2917" s="20"/>
      <c r="AT2917" s="19"/>
      <c r="AV2917" s="21">
        <f>IF(AND($AL2917&lt;&gt;"",COUNTIF($AL$11:$AL2917,$AL2917)=1),1,0)</f>
        <v>0</v>
      </c>
      <c r="AW2917" s="21">
        <f t="shared" si="177"/>
        <v>0</v>
      </c>
      <c r="AX2917" s="21" t="str">
        <f t="shared" si="176"/>
        <v/>
      </c>
      <c r="AY2917" s="21" t="str">
        <f>IF(AND($AM2917&lt;&gt;"",$AS2917&lt;&gt;"✓"),SUMPRODUCT(($AM$11:$AM2917&lt;&gt;"")*($AS$11:$AS2917&lt;&gt;"✓")),"")</f>
        <v/>
      </c>
      <c r="AZ2917" s="21" t="str">
        <f>IF(AND($AM2917&lt;&gt;"",$AS2917="✓"),SUMPRODUCT(($AM$11:$AM2917&lt;&gt;"")*($AS$11:$AS2917="✓")),"")</f>
        <v/>
      </c>
      <c r="BA2917" s="21" t="str">
        <f>IF($AL2917="","",$AL2917&amp;"|"&amp;COUNTIF($AL$11:$AL2917,$AL2917))</f>
        <v/>
      </c>
    </row>
    <row r="2918" spans="38:53" ht="15" customHeight="1" x14ac:dyDescent="0.25">
      <c r="AL2918" s="31"/>
      <c r="AM2918" s="26"/>
      <c r="AN2918" s="32"/>
      <c r="AO2918" s="32"/>
      <c r="AP2918" s="24"/>
      <c r="AQ2918" s="24"/>
      <c r="AR2918" s="33"/>
      <c r="AS2918" s="34"/>
      <c r="AT2918" s="33"/>
      <c r="AV2918" s="21">
        <f>IF(AND($AL2918&lt;&gt;"",COUNTIF($AL$11:$AL2918,$AL2918)=1),1,0)</f>
        <v>0</v>
      </c>
      <c r="AW2918" s="21">
        <f t="shared" si="177"/>
        <v>0</v>
      </c>
      <c r="AX2918" s="21" t="str">
        <f t="shared" si="176"/>
        <v/>
      </c>
      <c r="AY2918" s="21" t="str">
        <f>IF(AND($AM2918&lt;&gt;"",$AS2918&lt;&gt;"✓"),SUMPRODUCT(($AM$11:$AM2918&lt;&gt;"")*($AS$11:$AS2918&lt;&gt;"✓")),"")</f>
        <v/>
      </c>
      <c r="AZ2918" s="21" t="str">
        <f>IF(AND($AM2918&lt;&gt;"",$AS2918="✓"),SUMPRODUCT(($AM$11:$AM2918&lt;&gt;"")*($AS$11:$AS2918="✓")),"")</f>
        <v/>
      </c>
      <c r="BA2918" s="21" t="str">
        <f>IF($AL2918="","",$AL2918&amp;"|"&amp;COUNTIF($AL$11:$AL2918,$AL2918))</f>
        <v/>
      </c>
    </row>
    <row r="2919" spans="38:53" ht="15" customHeight="1" x14ac:dyDescent="0.25">
      <c r="AL2919" s="17"/>
      <c r="AM2919" s="12"/>
      <c r="AN2919" s="18"/>
      <c r="AO2919" s="18"/>
      <c r="AP2919" s="10"/>
      <c r="AQ2919" s="10"/>
      <c r="AR2919" s="19"/>
      <c r="AS2919" s="20"/>
      <c r="AT2919" s="19"/>
      <c r="AV2919" s="21">
        <f>IF(AND($AL2919&lt;&gt;"",COUNTIF($AL$11:$AL2919,$AL2919)=1),1,0)</f>
        <v>0</v>
      </c>
      <c r="AW2919" s="21">
        <f t="shared" si="177"/>
        <v>0</v>
      </c>
      <c r="AX2919" s="21" t="str">
        <f t="shared" si="176"/>
        <v/>
      </c>
      <c r="AY2919" s="21" t="str">
        <f>IF(AND($AM2919&lt;&gt;"",$AS2919&lt;&gt;"✓"),SUMPRODUCT(($AM$11:$AM2919&lt;&gt;"")*($AS$11:$AS2919&lt;&gt;"✓")),"")</f>
        <v/>
      </c>
      <c r="AZ2919" s="21" t="str">
        <f>IF(AND($AM2919&lt;&gt;"",$AS2919="✓"),SUMPRODUCT(($AM$11:$AM2919&lt;&gt;"")*($AS$11:$AS2919="✓")),"")</f>
        <v/>
      </c>
      <c r="BA2919" s="21" t="str">
        <f>IF($AL2919="","",$AL2919&amp;"|"&amp;COUNTIF($AL$11:$AL2919,$AL2919))</f>
        <v/>
      </c>
    </row>
    <row r="2920" spans="38:53" ht="15" customHeight="1" x14ac:dyDescent="0.25">
      <c r="AL2920" s="31"/>
      <c r="AM2920" s="26"/>
      <c r="AN2920" s="32"/>
      <c r="AO2920" s="32"/>
      <c r="AP2920" s="24"/>
      <c r="AQ2920" s="24"/>
      <c r="AR2920" s="33"/>
      <c r="AS2920" s="34"/>
      <c r="AT2920" s="33"/>
      <c r="AV2920" s="21">
        <f>IF(AND($AL2920&lt;&gt;"",COUNTIF($AL$11:$AL2920,$AL2920)=1),1,0)</f>
        <v>0</v>
      </c>
      <c r="AW2920" s="21">
        <f t="shared" si="177"/>
        <v>0</v>
      </c>
      <c r="AX2920" s="21" t="str">
        <f t="shared" si="176"/>
        <v/>
      </c>
      <c r="AY2920" s="21" t="str">
        <f>IF(AND($AM2920&lt;&gt;"",$AS2920&lt;&gt;"✓"),SUMPRODUCT(($AM$11:$AM2920&lt;&gt;"")*($AS$11:$AS2920&lt;&gt;"✓")),"")</f>
        <v/>
      </c>
      <c r="AZ2920" s="21" t="str">
        <f>IF(AND($AM2920&lt;&gt;"",$AS2920="✓"),SUMPRODUCT(($AM$11:$AM2920&lt;&gt;"")*($AS$11:$AS2920="✓")),"")</f>
        <v/>
      </c>
      <c r="BA2920" s="21" t="str">
        <f>IF($AL2920="","",$AL2920&amp;"|"&amp;COUNTIF($AL$11:$AL2920,$AL2920))</f>
        <v/>
      </c>
    </row>
    <row r="2921" spans="38:53" ht="15" customHeight="1" x14ac:dyDescent="0.25">
      <c r="AL2921" s="17"/>
      <c r="AM2921" s="12"/>
      <c r="AN2921" s="18"/>
      <c r="AO2921" s="18"/>
      <c r="AP2921" s="10"/>
      <c r="AQ2921" s="10"/>
      <c r="AR2921" s="19"/>
      <c r="AS2921" s="20"/>
      <c r="AT2921" s="19"/>
      <c r="AV2921" s="21">
        <f>IF(AND($AL2921&lt;&gt;"",COUNTIF($AL$11:$AL2921,$AL2921)=1),1,0)</f>
        <v>0</v>
      </c>
      <c r="AW2921" s="21">
        <f t="shared" si="177"/>
        <v>0</v>
      </c>
      <c r="AX2921" s="21" t="str">
        <f t="shared" si="176"/>
        <v/>
      </c>
      <c r="AY2921" s="21" t="str">
        <f>IF(AND($AM2921&lt;&gt;"",$AS2921&lt;&gt;"✓"),SUMPRODUCT(($AM$11:$AM2921&lt;&gt;"")*($AS$11:$AS2921&lt;&gt;"✓")),"")</f>
        <v/>
      </c>
      <c r="AZ2921" s="21" t="str">
        <f>IF(AND($AM2921&lt;&gt;"",$AS2921="✓"),SUMPRODUCT(($AM$11:$AM2921&lt;&gt;"")*($AS$11:$AS2921="✓")),"")</f>
        <v/>
      </c>
      <c r="BA2921" s="21" t="str">
        <f>IF($AL2921="","",$AL2921&amp;"|"&amp;COUNTIF($AL$11:$AL2921,$AL2921))</f>
        <v/>
      </c>
    </row>
    <row r="2922" spans="38:53" ht="15" customHeight="1" x14ac:dyDescent="0.25">
      <c r="AL2922" s="31"/>
      <c r="AM2922" s="26"/>
      <c r="AN2922" s="32"/>
      <c r="AO2922" s="32"/>
      <c r="AP2922" s="24"/>
      <c r="AQ2922" s="24"/>
      <c r="AR2922" s="33"/>
      <c r="AS2922" s="34"/>
      <c r="AT2922" s="33"/>
      <c r="AV2922" s="21">
        <f>IF(AND($AL2922&lt;&gt;"",COUNTIF($AL$11:$AL2922,$AL2922)=1),1,0)</f>
        <v>0</v>
      </c>
      <c r="AW2922" s="21">
        <f t="shared" si="177"/>
        <v>0</v>
      </c>
      <c r="AX2922" s="21" t="str">
        <f t="shared" si="176"/>
        <v/>
      </c>
      <c r="AY2922" s="21" t="str">
        <f>IF(AND($AM2922&lt;&gt;"",$AS2922&lt;&gt;"✓"),SUMPRODUCT(($AM$11:$AM2922&lt;&gt;"")*($AS$11:$AS2922&lt;&gt;"✓")),"")</f>
        <v/>
      </c>
      <c r="AZ2922" s="21" t="str">
        <f>IF(AND($AM2922&lt;&gt;"",$AS2922="✓"),SUMPRODUCT(($AM$11:$AM2922&lt;&gt;"")*($AS$11:$AS2922="✓")),"")</f>
        <v/>
      </c>
      <c r="BA2922" s="21" t="str">
        <f>IF($AL2922="","",$AL2922&amp;"|"&amp;COUNTIF($AL$11:$AL2922,$AL2922))</f>
        <v/>
      </c>
    </row>
    <row r="2923" spans="38:53" ht="15" customHeight="1" x14ac:dyDescent="0.25">
      <c r="AL2923" s="17"/>
      <c r="AM2923" s="12"/>
      <c r="AN2923" s="18"/>
      <c r="AO2923" s="18"/>
      <c r="AP2923" s="10"/>
      <c r="AQ2923" s="10"/>
      <c r="AR2923" s="19"/>
      <c r="AS2923" s="20"/>
      <c r="AT2923" s="19"/>
      <c r="AV2923" s="21">
        <f>IF(AND($AL2923&lt;&gt;"",COUNTIF($AL$11:$AL2923,$AL2923)=1),1,0)</f>
        <v>0</v>
      </c>
      <c r="AW2923" s="21">
        <f t="shared" si="177"/>
        <v>0</v>
      </c>
      <c r="AX2923" s="21" t="str">
        <f t="shared" si="176"/>
        <v/>
      </c>
      <c r="AY2923" s="21" t="str">
        <f>IF(AND($AM2923&lt;&gt;"",$AS2923&lt;&gt;"✓"),SUMPRODUCT(($AM$11:$AM2923&lt;&gt;"")*($AS$11:$AS2923&lt;&gt;"✓")),"")</f>
        <v/>
      </c>
      <c r="AZ2923" s="21" t="str">
        <f>IF(AND($AM2923&lt;&gt;"",$AS2923="✓"),SUMPRODUCT(($AM$11:$AM2923&lt;&gt;"")*($AS$11:$AS2923="✓")),"")</f>
        <v/>
      </c>
      <c r="BA2923" s="21" t="str">
        <f>IF($AL2923="","",$AL2923&amp;"|"&amp;COUNTIF($AL$11:$AL2923,$AL2923))</f>
        <v/>
      </c>
    </row>
    <row r="2924" spans="38:53" ht="15" customHeight="1" x14ac:dyDescent="0.25">
      <c r="AL2924" s="31"/>
      <c r="AM2924" s="26"/>
      <c r="AN2924" s="32"/>
      <c r="AO2924" s="32"/>
      <c r="AP2924" s="24"/>
      <c r="AQ2924" s="24"/>
      <c r="AR2924" s="33"/>
      <c r="AS2924" s="34"/>
      <c r="AT2924" s="33"/>
      <c r="AV2924" s="21">
        <f>IF(AND($AL2924&lt;&gt;"",COUNTIF($AL$11:$AL2924,$AL2924)=1),1,0)</f>
        <v>0</v>
      </c>
      <c r="AW2924" s="21">
        <f t="shared" si="177"/>
        <v>0</v>
      </c>
      <c r="AX2924" s="21" t="str">
        <f t="shared" si="176"/>
        <v/>
      </c>
      <c r="AY2924" s="21" t="str">
        <f>IF(AND($AM2924&lt;&gt;"",$AS2924&lt;&gt;"✓"),SUMPRODUCT(($AM$11:$AM2924&lt;&gt;"")*($AS$11:$AS2924&lt;&gt;"✓")),"")</f>
        <v/>
      </c>
      <c r="AZ2924" s="21" t="str">
        <f>IF(AND($AM2924&lt;&gt;"",$AS2924="✓"),SUMPRODUCT(($AM$11:$AM2924&lt;&gt;"")*($AS$11:$AS2924="✓")),"")</f>
        <v/>
      </c>
      <c r="BA2924" s="21" t="str">
        <f>IF($AL2924="","",$AL2924&amp;"|"&amp;COUNTIF($AL$11:$AL2924,$AL2924))</f>
        <v/>
      </c>
    </row>
    <row r="2925" spans="38:53" ht="15" customHeight="1" x14ac:dyDescent="0.25">
      <c r="AL2925" s="17"/>
      <c r="AM2925" s="12"/>
      <c r="AN2925" s="18"/>
      <c r="AO2925" s="18"/>
      <c r="AP2925" s="10"/>
      <c r="AQ2925" s="10"/>
      <c r="AR2925" s="19"/>
      <c r="AS2925" s="20"/>
      <c r="AT2925" s="19"/>
      <c r="AV2925" s="21">
        <f>IF(AND($AL2925&lt;&gt;"",COUNTIF($AL$11:$AL2925,$AL2925)=1),1,0)</f>
        <v>0</v>
      </c>
      <c r="AW2925" s="21">
        <f t="shared" si="177"/>
        <v>0</v>
      </c>
      <c r="AX2925" s="21" t="str">
        <f t="shared" si="176"/>
        <v/>
      </c>
      <c r="AY2925" s="21" t="str">
        <f>IF(AND($AM2925&lt;&gt;"",$AS2925&lt;&gt;"✓"),SUMPRODUCT(($AM$11:$AM2925&lt;&gt;"")*($AS$11:$AS2925&lt;&gt;"✓")),"")</f>
        <v/>
      </c>
      <c r="AZ2925" s="21" t="str">
        <f>IF(AND($AM2925&lt;&gt;"",$AS2925="✓"),SUMPRODUCT(($AM$11:$AM2925&lt;&gt;"")*($AS$11:$AS2925="✓")),"")</f>
        <v/>
      </c>
      <c r="BA2925" s="21" t="str">
        <f>IF($AL2925="","",$AL2925&amp;"|"&amp;COUNTIF($AL$11:$AL2925,$AL2925))</f>
        <v/>
      </c>
    </row>
    <row r="2926" spans="38:53" ht="15" customHeight="1" x14ac:dyDescent="0.25">
      <c r="AL2926" s="31"/>
      <c r="AM2926" s="26"/>
      <c r="AN2926" s="32"/>
      <c r="AO2926" s="32"/>
      <c r="AP2926" s="24"/>
      <c r="AQ2926" s="24"/>
      <c r="AR2926" s="33"/>
      <c r="AS2926" s="34"/>
      <c r="AT2926" s="33"/>
      <c r="AV2926" s="21">
        <f>IF(AND($AL2926&lt;&gt;"",COUNTIF($AL$11:$AL2926,$AL2926)=1),1,0)</f>
        <v>0</v>
      </c>
      <c r="AW2926" s="21">
        <f t="shared" si="177"/>
        <v>0</v>
      </c>
      <c r="AX2926" s="21" t="str">
        <f t="shared" si="176"/>
        <v/>
      </c>
      <c r="AY2926" s="21" t="str">
        <f>IF(AND($AM2926&lt;&gt;"",$AS2926&lt;&gt;"✓"),SUMPRODUCT(($AM$11:$AM2926&lt;&gt;"")*($AS$11:$AS2926&lt;&gt;"✓")),"")</f>
        <v/>
      </c>
      <c r="AZ2926" s="21" t="str">
        <f>IF(AND($AM2926&lt;&gt;"",$AS2926="✓"),SUMPRODUCT(($AM$11:$AM2926&lt;&gt;"")*($AS$11:$AS2926="✓")),"")</f>
        <v/>
      </c>
      <c r="BA2926" s="21" t="str">
        <f>IF($AL2926="","",$AL2926&amp;"|"&amp;COUNTIF($AL$11:$AL2926,$AL2926))</f>
        <v/>
      </c>
    </row>
    <row r="2927" spans="38:53" ht="15" customHeight="1" x14ac:dyDescent="0.25">
      <c r="AL2927" s="17"/>
      <c r="AM2927" s="12"/>
      <c r="AN2927" s="18"/>
      <c r="AO2927" s="18"/>
      <c r="AP2927" s="10"/>
      <c r="AQ2927" s="10"/>
      <c r="AR2927" s="19"/>
      <c r="AS2927" s="20"/>
      <c r="AT2927" s="19"/>
      <c r="AV2927" s="21">
        <f>IF(AND($AL2927&lt;&gt;"",COUNTIF($AL$11:$AL2927,$AL2927)=1),1,0)</f>
        <v>0</v>
      </c>
      <c r="AW2927" s="21">
        <f t="shared" si="177"/>
        <v>0</v>
      </c>
      <c r="AX2927" s="21" t="str">
        <f t="shared" si="176"/>
        <v/>
      </c>
      <c r="AY2927" s="21" t="str">
        <f>IF(AND($AM2927&lt;&gt;"",$AS2927&lt;&gt;"✓"),SUMPRODUCT(($AM$11:$AM2927&lt;&gt;"")*($AS$11:$AS2927&lt;&gt;"✓")),"")</f>
        <v/>
      </c>
      <c r="AZ2927" s="21" t="str">
        <f>IF(AND($AM2927&lt;&gt;"",$AS2927="✓"),SUMPRODUCT(($AM$11:$AM2927&lt;&gt;"")*($AS$11:$AS2927="✓")),"")</f>
        <v/>
      </c>
      <c r="BA2927" s="21" t="str">
        <f>IF($AL2927="","",$AL2927&amp;"|"&amp;COUNTIF($AL$11:$AL2927,$AL2927))</f>
        <v/>
      </c>
    </row>
    <row r="2928" spans="38:53" ht="15" customHeight="1" x14ac:dyDescent="0.25">
      <c r="AL2928" s="31"/>
      <c r="AM2928" s="26"/>
      <c r="AN2928" s="32"/>
      <c r="AO2928" s="32"/>
      <c r="AP2928" s="24"/>
      <c r="AQ2928" s="24"/>
      <c r="AR2928" s="33"/>
      <c r="AS2928" s="34"/>
      <c r="AT2928" s="33"/>
      <c r="AV2928" s="21">
        <f>IF(AND($AL2928&lt;&gt;"",COUNTIF($AL$11:$AL2928,$AL2928)=1),1,0)</f>
        <v>0</v>
      </c>
      <c r="AW2928" s="21">
        <f t="shared" si="177"/>
        <v>0</v>
      </c>
      <c r="AX2928" s="21" t="str">
        <f t="shared" si="176"/>
        <v/>
      </c>
      <c r="AY2928" s="21" t="str">
        <f>IF(AND($AM2928&lt;&gt;"",$AS2928&lt;&gt;"✓"),SUMPRODUCT(($AM$11:$AM2928&lt;&gt;"")*($AS$11:$AS2928&lt;&gt;"✓")),"")</f>
        <v/>
      </c>
      <c r="AZ2928" s="21" t="str">
        <f>IF(AND($AM2928&lt;&gt;"",$AS2928="✓"),SUMPRODUCT(($AM$11:$AM2928&lt;&gt;"")*($AS$11:$AS2928="✓")),"")</f>
        <v/>
      </c>
      <c r="BA2928" s="21" t="str">
        <f>IF($AL2928="","",$AL2928&amp;"|"&amp;COUNTIF($AL$11:$AL2928,$AL2928))</f>
        <v/>
      </c>
    </row>
    <row r="2929" spans="38:53" ht="15" customHeight="1" x14ac:dyDescent="0.25">
      <c r="AL2929" s="17"/>
      <c r="AM2929" s="12"/>
      <c r="AN2929" s="18"/>
      <c r="AO2929" s="18"/>
      <c r="AP2929" s="10"/>
      <c r="AQ2929" s="10"/>
      <c r="AR2929" s="19"/>
      <c r="AS2929" s="20"/>
      <c r="AT2929" s="19"/>
      <c r="AV2929" s="21">
        <f>IF(AND($AL2929&lt;&gt;"",COUNTIF($AL$11:$AL2929,$AL2929)=1),1,0)</f>
        <v>0</v>
      </c>
      <c r="AW2929" s="21">
        <f t="shared" si="177"/>
        <v>0</v>
      </c>
      <c r="AX2929" s="21" t="str">
        <f t="shared" si="176"/>
        <v/>
      </c>
      <c r="AY2929" s="21" t="str">
        <f>IF(AND($AM2929&lt;&gt;"",$AS2929&lt;&gt;"✓"),SUMPRODUCT(($AM$11:$AM2929&lt;&gt;"")*($AS$11:$AS2929&lt;&gt;"✓")),"")</f>
        <v/>
      </c>
      <c r="AZ2929" s="21" t="str">
        <f>IF(AND($AM2929&lt;&gt;"",$AS2929="✓"),SUMPRODUCT(($AM$11:$AM2929&lt;&gt;"")*($AS$11:$AS2929="✓")),"")</f>
        <v/>
      </c>
      <c r="BA2929" s="21" t="str">
        <f>IF($AL2929="","",$AL2929&amp;"|"&amp;COUNTIF($AL$11:$AL2929,$AL2929))</f>
        <v/>
      </c>
    </row>
    <row r="2930" spans="38:53" ht="15" customHeight="1" x14ac:dyDescent="0.25">
      <c r="AL2930" s="31"/>
      <c r="AM2930" s="26"/>
      <c r="AN2930" s="32"/>
      <c r="AO2930" s="32"/>
      <c r="AP2930" s="24"/>
      <c r="AQ2930" s="24"/>
      <c r="AR2930" s="33"/>
      <c r="AS2930" s="34"/>
      <c r="AT2930" s="33"/>
      <c r="AV2930" s="21">
        <f>IF(AND($AL2930&lt;&gt;"",COUNTIF($AL$11:$AL2930,$AL2930)=1),1,0)</f>
        <v>0</v>
      </c>
      <c r="AW2930" s="21">
        <f t="shared" si="177"/>
        <v>0</v>
      </c>
      <c r="AX2930" s="21" t="str">
        <f t="shared" si="176"/>
        <v/>
      </c>
      <c r="AY2930" s="21" t="str">
        <f>IF(AND($AM2930&lt;&gt;"",$AS2930&lt;&gt;"✓"),SUMPRODUCT(($AM$11:$AM2930&lt;&gt;"")*($AS$11:$AS2930&lt;&gt;"✓")),"")</f>
        <v/>
      </c>
      <c r="AZ2930" s="21" t="str">
        <f>IF(AND($AM2930&lt;&gt;"",$AS2930="✓"),SUMPRODUCT(($AM$11:$AM2930&lt;&gt;"")*($AS$11:$AS2930="✓")),"")</f>
        <v/>
      </c>
      <c r="BA2930" s="21" t="str">
        <f>IF($AL2930="","",$AL2930&amp;"|"&amp;COUNTIF($AL$11:$AL2930,$AL2930))</f>
        <v/>
      </c>
    </row>
    <row r="2931" spans="38:53" ht="15" customHeight="1" x14ac:dyDescent="0.25">
      <c r="AL2931" s="17"/>
      <c r="AM2931" s="12"/>
      <c r="AN2931" s="18"/>
      <c r="AO2931" s="18"/>
      <c r="AP2931" s="10"/>
      <c r="AQ2931" s="10"/>
      <c r="AR2931" s="19"/>
      <c r="AS2931" s="20"/>
      <c r="AT2931" s="19"/>
      <c r="AV2931" s="21">
        <f>IF(AND($AL2931&lt;&gt;"",COUNTIF($AL$11:$AL2931,$AL2931)=1),1,0)</f>
        <v>0</v>
      </c>
      <c r="AW2931" s="21">
        <f t="shared" si="177"/>
        <v>0</v>
      </c>
      <c r="AX2931" s="21" t="str">
        <f t="shared" si="176"/>
        <v/>
      </c>
      <c r="AY2931" s="21" t="str">
        <f>IF(AND($AM2931&lt;&gt;"",$AS2931&lt;&gt;"✓"),SUMPRODUCT(($AM$11:$AM2931&lt;&gt;"")*($AS$11:$AS2931&lt;&gt;"✓")),"")</f>
        <v/>
      </c>
      <c r="AZ2931" s="21" t="str">
        <f>IF(AND($AM2931&lt;&gt;"",$AS2931="✓"),SUMPRODUCT(($AM$11:$AM2931&lt;&gt;"")*($AS$11:$AS2931="✓")),"")</f>
        <v/>
      </c>
      <c r="BA2931" s="21" t="str">
        <f>IF($AL2931="","",$AL2931&amp;"|"&amp;COUNTIF($AL$11:$AL2931,$AL2931))</f>
        <v/>
      </c>
    </row>
    <row r="2932" spans="38:53" ht="15" customHeight="1" x14ac:dyDescent="0.25">
      <c r="AL2932" s="31"/>
      <c r="AM2932" s="26"/>
      <c r="AN2932" s="32"/>
      <c r="AO2932" s="32"/>
      <c r="AP2932" s="24"/>
      <c r="AQ2932" s="24"/>
      <c r="AR2932" s="33"/>
      <c r="AS2932" s="34"/>
      <c r="AT2932" s="33"/>
      <c r="AV2932" s="21">
        <f>IF(AND($AL2932&lt;&gt;"",COUNTIF($AL$11:$AL2932,$AL2932)=1),1,0)</f>
        <v>0</v>
      </c>
      <c r="AW2932" s="21">
        <f t="shared" si="177"/>
        <v>0</v>
      </c>
      <c r="AX2932" s="21" t="str">
        <f t="shared" si="176"/>
        <v/>
      </c>
      <c r="AY2932" s="21" t="str">
        <f>IF(AND($AM2932&lt;&gt;"",$AS2932&lt;&gt;"✓"),SUMPRODUCT(($AM$11:$AM2932&lt;&gt;"")*($AS$11:$AS2932&lt;&gt;"✓")),"")</f>
        <v/>
      </c>
      <c r="AZ2932" s="21" t="str">
        <f>IF(AND($AM2932&lt;&gt;"",$AS2932="✓"),SUMPRODUCT(($AM$11:$AM2932&lt;&gt;"")*($AS$11:$AS2932="✓")),"")</f>
        <v/>
      </c>
      <c r="BA2932" s="21" t="str">
        <f>IF($AL2932="","",$AL2932&amp;"|"&amp;COUNTIF($AL$11:$AL2932,$AL2932))</f>
        <v/>
      </c>
    </row>
    <row r="2933" spans="38:53" ht="15" customHeight="1" x14ac:dyDescent="0.25">
      <c r="AL2933" s="17"/>
      <c r="AM2933" s="12"/>
      <c r="AN2933" s="18"/>
      <c r="AO2933" s="18"/>
      <c r="AP2933" s="10"/>
      <c r="AQ2933" s="10"/>
      <c r="AR2933" s="19"/>
      <c r="AS2933" s="20"/>
      <c r="AT2933" s="19"/>
      <c r="AV2933" s="21">
        <f>IF(AND($AL2933&lt;&gt;"",COUNTIF($AL$11:$AL2933,$AL2933)=1),1,0)</f>
        <v>0</v>
      </c>
      <c r="AW2933" s="21">
        <f t="shared" si="177"/>
        <v>0</v>
      </c>
      <c r="AX2933" s="21" t="str">
        <f t="shared" si="176"/>
        <v/>
      </c>
      <c r="AY2933" s="21" t="str">
        <f>IF(AND($AM2933&lt;&gt;"",$AS2933&lt;&gt;"✓"),SUMPRODUCT(($AM$11:$AM2933&lt;&gt;"")*($AS$11:$AS2933&lt;&gt;"✓")),"")</f>
        <v/>
      </c>
      <c r="AZ2933" s="21" t="str">
        <f>IF(AND($AM2933&lt;&gt;"",$AS2933="✓"),SUMPRODUCT(($AM$11:$AM2933&lt;&gt;"")*($AS$11:$AS2933="✓")),"")</f>
        <v/>
      </c>
      <c r="BA2933" s="21" t="str">
        <f>IF($AL2933="","",$AL2933&amp;"|"&amp;COUNTIF($AL$11:$AL2933,$AL2933))</f>
        <v/>
      </c>
    </row>
    <row r="2934" spans="38:53" ht="15" customHeight="1" x14ac:dyDescent="0.25">
      <c r="AL2934" s="31"/>
      <c r="AM2934" s="26"/>
      <c r="AN2934" s="32"/>
      <c r="AO2934" s="32"/>
      <c r="AP2934" s="24"/>
      <c r="AQ2934" s="24"/>
      <c r="AR2934" s="33"/>
      <c r="AS2934" s="34"/>
      <c r="AT2934" s="33"/>
      <c r="AV2934" s="21">
        <f>IF(AND($AL2934&lt;&gt;"",COUNTIF($AL$11:$AL2934,$AL2934)=1),1,0)</f>
        <v>0</v>
      </c>
      <c r="AW2934" s="21">
        <f t="shared" si="177"/>
        <v>0</v>
      </c>
      <c r="AX2934" s="21" t="str">
        <f t="shared" si="176"/>
        <v/>
      </c>
      <c r="AY2934" s="21" t="str">
        <f>IF(AND($AM2934&lt;&gt;"",$AS2934&lt;&gt;"✓"),SUMPRODUCT(($AM$11:$AM2934&lt;&gt;"")*($AS$11:$AS2934&lt;&gt;"✓")),"")</f>
        <v/>
      </c>
      <c r="AZ2934" s="21" t="str">
        <f>IF(AND($AM2934&lt;&gt;"",$AS2934="✓"),SUMPRODUCT(($AM$11:$AM2934&lt;&gt;"")*($AS$11:$AS2934="✓")),"")</f>
        <v/>
      </c>
      <c r="BA2934" s="21" t="str">
        <f>IF($AL2934="","",$AL2934&amp;"|"&amp;COUNTIF($AL$11:$AL2934,$AL2934))</f>
        <v/>
      </c>
    </row>
    <row r="2935" spans="38:53" ht="15" customHeight="1" x14ac:dyDescent="0.25">
      <c r="AL2935" s="17"/>
      <c r="AM2935" s="12"/>
      <c r="AN2935" s="18"/>
      <c r="AO2935" s="18"/>
      <c r="AP2935" s="10"/>
      <c r="AQ2935" s="10"/>
      <c r="AR2935" s="19"/>
      <c r="AS2935" s="20"/>
      <c r="AT2935" s="19"/>
      <c r="AV2935" s="21">
        <f>IF(AND($AL2935&lt;&gt;"",COUNTIF($AL$11:$AL2935,$AL2935)=1),1,0)</f>
        <v>0</v>
      </c>
      <c r="AW2935" s="21">
        <f t="shared" si="177"/>
        <v>0</v>
      </c>
      <c r="AX2935" s="21" t="str">
        <f t="shared" si="176"/>
        <v/>
      </c>
      <c r="AY2935" s="21" t="str">
        <f>IF(AND($AM2935&lt;&gt;"",$AS2935&lt;&gt;"✓"),SUMPRODUCT(($AM$11:$AM2935&lt;&gt;"")*($AS$11:$AS2935&lt;&gt;"✓")),"")</f>
        <v/>
      </c>
      <c r="AZ2935" s="21" t="str">
        <f>IF(AND($AM2935&lt;&gt;"",$AS2935="✓"),SUMPRODUCT(($AM$11:$AM2935&lt;&gt;"")*($AS$11:$AS2935="✓")),"")</f>
        <v/>
      </c>
      <c r="BA2935" s="21" t="str">
        <f>IF($AL2935="","",$AL2935&amp;"|"&amp;COUNTIF($AL$11:$AL2935,$AL2935))</f>
        <v/>
      </c>
    </row>
    <row r="2936" spans="38:53" ht="15" customHeight="1" x14ac:dyDescent="0.25">
      <c r="AL2936" s="31"/>
      <c r="AM2936" s="26"/>
      <c r="AN2936" s="32"/>
      <c r="AO2936" s="32"/>
      <c r="AP2936" s="24"/>
      <c r="AQ2936" s="24"/>
      <c r="AR2936" s="33"/>
      <c r="AS2936" s="34"/>
      <c r="AT2936" s="33"/>
      <c r="AV2936" s="21">
        <f>IF(AND($AL2936&lt;&gt;"",COUNTIF($AL$11:$AL2936,$AL2936)=1),1,0)</f>
        <v>0</v>
      </c>
      <c r="AW2936" s="21">
        <f t="shared" si="177"/>
        <v>0</v>
      </c>
      <c r="AX2936" s="21" t="str">
        <f t="shared" si="176"/>
        <v/>
      </c>
      <c r="AY2936" s="21" t="str">
        <f>IF(AND($AM2936&lt;&gt;"",$AS2936&lt;&gt;"✓"),SUMPRODUCT(($AM$11:$AM2936&lt;&gt;"")*($AS$11:$AS2936&lt;&gt;"✓")),"")</f>
        <v/>
      </c>
      <c r="AZ2936" s="21" t="str">
        <f>IF(AND($AM2936&lt;&gt;"",$AS2936="✓"),SUMPRODUCT(($AM$11:$AM2936&lt;&gt;"")*($AS$11:$AS2936="✓")),"")</f>
        <v/>
      </c>
      <c r="BA2936" s="21" t="str">
        <f>IF($AL2936="","",$AL2936&amp;"|"&amp;COUNTIF($AL$11:$AL2936,$AL2936))</f>
        <v/>
      </c>
    </row>
    <row r="2937" spans="38:53" ht="15" customHeight="1" x14ac:dyDescent="0.25">
      <c r="AL2937" s="17"/>
      <c r="AM2937" s="12"/>
      <c r="AN2937" s="18"/>
      <c r="AO2937" s="18"/>
      <c r="AP2937" s="10"/>
      <c r="AQ2937" s="10"/>
      <c r="AR2937" s="19"/>
      <c r="AS2937" s="20"/>
      <c r="AT2937" s="19"/>
      <c r="AV2937" s="21">
        <f>IF(AND($AL2937&lt;&gt;"",COUNTIF($AL$11:$AL2937,$AL2937)=1),1,0)</f>
        <v>0</v>
      </c>
      <c r="AW2937" s="21">
        <f t="shared" si="177"/>
        <v>0</v>
      </c>
      <c r="AX2937" s="21" t="str">
        <f t="shared" si="176"/>
        <v/>
      </c>
      <c r="AY2937" s="21" t="str">
        <f>IF(AND($AM2937&lt;&gt;"",$AS2937&lt;&gt;"✓"),SUMPRODUCT(($AM$11:$AM2937&lt;&gt;"")*($AS$11:$AS2937&lt;&gt;"✓")),"")</f>
        <v/>
      </c>
      <c r="AZ2937" s="21" t="str">
        <f>IF(AND($AM2937&lt;&gt;"",$AS2937="✓"),SUMPRODUCT(($AM$11:$AM2937&lt;&gt;"")*($AS$11:$AS2937="✓")),"")</f>
        <v/>
      </c>
      <c r="BA2937" s="21" t="str">
        <f>IF($AL2937="","",$AL2937&amp;"|"&amp;COUNTIF($AL$11:$AL2937,$AL2937))</f>
        <v/>
      </c>
    </row>
    <row r="2938" spans="38:53" ht="15" customHeight="1" x14ac:dyDescent="0.25">
      <c r="AL2938" s="31"/>
      <c r="AM2938" s="26"/>
      <c r="AN2938" s="32"/>
      <c r="AO2938" s="32"/>
      <c r="AP2938" s="24"/>
      <c r="AQ2938" s="24"/>
      <c r="AR2938" s="33"/>
      <c r="AS2938" s="34"/>
      <c r="AT2938" s="33"/>
      <c r="AV2938" s="21">
        <f>IF(AND($AL2938&lt;&gt;"",COUNTIF($AL$11:$AL2938,$AL2938)=1),1,0)</f>
        <v>0</v>
      </c>
      <c r="AW2938" s="21">
        <f t="shared" si="177"/>
        <v>0</v>
      </c>
      <c r="AX2938" s="21" t="str">
        <f t="shared" si="176"/>
        <v/>
      </c>
      <c r="AY2938" s="21" t="str">
        <f>IF(AND($AM2938&lt;&gt;"",$AS2938&lt;&gt;"✓"),SUMPRODUCT(($AM$11:$AM2938&lt;&gt;"")*($AS$11:$AS2938&lt;&gt;"✓")),"")</f>
        <v/>
      </c>
      <c r="AZ2938" s="21" t="str">
        <f>IF(AND($AM2938&lt;&gt;"",$AS2938="✓"),SUMPRODUCT(($AM$11:$AM2938&lt;&gt;"")*($AS$11:$AS2938="✓")),"")</f>
        <v/>
      </c>
      <c r="BA2938" s="21" t="str">
        <f>IF($AL2938="","",$AL2938&amp;"|"&amp;COUNTIF($AL$11:$AL2938,$AL2938))</f>
        <v/>
      </c>
    </row>
    <row r="2939" spans="38:53" ht="15" customHeight="1" x14ac:dyDescent="0.25">
      <c r="AL2939" s="17"/>
      <c r="AM2939" s="12"/>
      <c r="AN2939" s="18"/>
      <c r="AO2939" s="18"/>
      <c r="AP2939" s="10"/>
      <c r="AQ2939" s="10"/>
      <c r="AR2939" s="19"/>
      <c r="AS2939" s="20"/>
      <c r="AT2939" s="19"/>
      <c r="AV2939" s="21">
        <f>IF(AND($AL2939&lt;&gt;"",COUNTIF($AL$11:$AL2939,$AL2939)=1),1,0)</f>
        <v>0</v>
      </c>
      <c r="AW2939" s="21">
        <f t="shared" si="177"/>
        <v>0</v>
      </c>
      <c r="AX2939" s="21" t="str">
        <f t="shared" si="176"/>
        <v/>
      </c>
      <c r="AY2939" s="21" t="str">
        <f>IF(AND($AM2939&lt;&gt;"",$AS2939&lt;&gt;"✓"),SUMPRODUCT(($AM$11:$AM2939&lt;&gt;"")*($AS$11:$AS2939&lt;&gt;"✓")),"")</f>
        <v/>
      </c>
      <c r="AZ2939" s="21" t="str">
        <f>IF(AND($AM2939&lt;&gt;"",$AS2939="✓"),SUMPRODUCT(($AM$11:$AM2939&lt;&gt;"")*($AS$11:$AS2939="✓")),"")</f>
        <v/>
      </c>
      <c r="BA2939" s="21" t="str">
        <f>IF($AL2939="","",$AL2939&amp;"|"&amp;COUNTIF($AL$11:$AL2939,$AL2939))</f>
        <v/>
      </c>
    </row>
    <row r="2940" spans="38:53" ht="15" customHeight="1" x14ac:dyDescent="0.25">
      <c r="AL2940" s="31"/>
      <c r="AM2940" s="26"/>
      <c r="AN2940" s="32"/>
      <c r="AO2940" s="32"/>
      <c r="AP2940" s="24"/>
      <c r="AQ2940" s="24"/>
      <c r="AR2940" s="33"/>
      <c r="AS2940" s="34"/>
      <c r="AT2940" s="33"/>
      <c r="AV2940" s="21">
        <f>IF(AND($AL2940&lt;&gt;"",COUNTIF($AL$11:$AL2940,$AL2940)=1),1,0)</f>
        <v>0</v>
      </c>
      <c r="AW2940" s="21">
        <f t="shared" si="177"/>
        <v>0</v>
      </c>
      <c r="AX2940" s="21" t="str">
        <f t="shared" si="176"/>
        <v/>
      </c>
      <c r="AY2940" s="21" t="str">
        <f>IF(AND($AM2940&lt;&gt;"",$AS2940&lt;&gt;"✓"),SUMPRODUCT(($AM$11:$AM2940&lt;&gt;"")*($AS$11:$AS2940&lt;&gt;"✓")),"")</f>
        <v/>
      </c>
      <c r="AZ2940" s="21" t="str">
        <f>IF(AND($AM2940&lt;&gt;"",$AS2940="✓"),SUMPRODUCT(($AM$11:$AM2940&lt;&gt;"")*($AS$11:$AS2940="✓")),"")</f>
        <v/>
      </c>
      <c r="BA2940" s="21" t="str">
        <f>IF($AL2940="","",$AL2940&amp;"|"&amp;COUNTIF($AL$11:$AL2940,$AL2940))</f>
        <v/>
      </c>
    </row>
    <row r="2941" spans="38:53" ht="15" customHeight="1" x14ac:dyDescent="0.25">
      <c r="AL2941" s="17"/>
      <c r="AM2941" s="12"/>
      <c r="AN2941" s="18"/>
      <c r="AO2941" s="18"/>
      <c r="AP2941" s="10"/>
      <c r="AQ2941" s="10"/>
      <c r="AR2941" s="19"/>
      <c r="AS2941" s="20"/>
      <c r="AT2941" s="19"/>
      <c r="AV2941" s="21">
        <f>IF(AND($AL2941&lt;&gt;"",COUNTIF($AL$11:$AL2941,$AL2941)=1),1,0)</f>
        <v>0</v>
      </c>
      <c r="AW2941" s="21">
        <f t="shared" si="177"/>
        <v>0</v>
      </c>
      <c r="AX2941" s="21" t="str">
        <f t="shared" si="176"/>
        <v/>
      </c>
      <c r="AY2941" s="21" t="str">
        <f>IF(AND($AM2941&lt;&gt;"",$AS2941&lt;&gt;"✓"),SUMPRODUCT(($AM$11:$AM2941&lt;&gt;"")*($AS$11:$AS2941&lt;&gt;"✓")),"")</f>
        <v/>
      </c>
      <c r="AZ2941" s="21" t="str">
        <f>IF(AND($AM2941&lt;&gt;"",$AS2941="✓"),SUMPRODUCT(($AM$11:$AM2941&lt;&gt;"")*($AS$11:$AS2941="✓")),"")</f>
        <v/>
      </c>
      <c r="BA2941" s="21" t="str">
        <f>IF($AL2941="","",$AL2941&amp;"|"&amp;COUNTIF($AL$11:$AL2941,$AL2941))</f>
        <v/>
      </c>
    </row>
    <row r="2942" spans="38:53" ht="15" customHeight="1" x14ac:dyDescent="0.25">
      <c r="AL2942" s="31"/>
      <c r="AM2942" s="26"/>
      <c r="AN2942" s="32"/>
      <c r="AO2942" s="32"/>
      <c r="AP2942" s="24"/>
      <c r="AQ2942" s="24"/>
      <c r="AR2942" s="33"/>
      <c r="AS2942" s="34"/>
      <c r="AT2942" s="33"/>
      <c r="AV2942" s="21">
        <f>IF(AND($AL2942&lt;&gt;"",COUNTIF($AL$11:$AL2942,$AL2942)=1),1,0)</f>
        <v>0</v>
      </c>
      <c r="AW2942" s="21">
        <f t="shared" si="177"/>
        <v>0</v>
      </c>
      <c r="AX2942" s="21" t="str">
        <f t="shared" si="176"/>
        <v/>
      </c>
      <c r="AY2942" s="21" t="str">
        <f>IF(AND($AM2942&lt;&gt;"",$AS2942&lt;&gt;"✓"),SUMPRODUCT(($AM$11:$AM2942&lt;&gt;"")*($AS$11:$AS2942&lt;&gt;"✓")),"")</f>
        <v/>
      </c>
      <c r="AZ2942" s="21" t="str">
        <f>IF(AND($AM2942&lt;&gt;"",$AS2942="✓"),SUMPRODUCT(($AM$11:$AM2942&lt;&gt;"")*($AS$11:$AS2942="✓")),"")</f>
        <v/>
      </c>
      <c r="BA2942" s="21" t="str">
        <f>IF($AL2942="","",$AL2942&amp;"|"&amp;COUNTIF($AL$11:$AL2942,$AL2942))</f>
        <v/>
      </c>
    </row>
    <row r="2943" spans="38:53" ht="15" customHeight="1" x14ac:dyDescent="0.25">
      <c r="AL2943" s="17"/>
      <c r="AM2943" s="12"/>
      <c r="AN2943" s="18"/>
      <c r="AO2943" s="18"/>
      <c r="AP2943" s="10"/>
      <c r="AQ2943" s="10"/>
      <c r="AR2943" s="19"/>
      <c r="AS2943" s="20"/>
      <c r="AT2943" s="19"/>
      <c r="AV2943" s="21">
        <f>IF(AND($AL2943&lt;&gt;"",COUNTIF($AL$11:$AL2943,$AL2943)=1),1,0)</f>
        <v>0</v>
      </c>
      <c r="AW2943" s="21">
        <f t="shared" si="177"/>
        <v>0</v>
      </c>
      <c r="AX2943" s="21" t="str">
        <f t="shared" si="176"/>
        <v/>
      </c>
      <c r="AY2943" s="21" t="str">
        <f>IF(AND($AM2943&lt;&gt;"",$AS2943&lt;&gt;"✓"),SUMPRODUCT(($AM$11:$AM2943&lt;&gt;"")*($AS$11:$AS2943&lt;&gt;"✓")),"")</f>
        <v/>
      </c>
      <c r="AZ2943" s="21" t="str">
        <f>IF(AND($AM2943&lt;&gt;"",$AS2943="✓"),SUMPRODUCT(($AM$11:$AM2943&lt;&gt;"")*($AS$11:$AS2943="✓")),"")</f>
        <v/>
      </c>
      <c r="BA2943" s="21" t="str">
        <f>IF($AL2943="","",$AL2943&amp;"|"&amp;COUNTIF($AL$11:$AL2943,$AL2943))</f>
        <v/>
      </c>
    </row>
    <row r="2944" spans="38:53" ht="15" customHeight="1" x14ac:dyDescent="0.25">
      <c r="AL2944" s="31"/>
      <c r="AM2944" s="26"/>
      <c r="AN2944" s="32"/>
      <c r="AO2944" s="32"/>
      <c r="AP2944" s="24"/>
      <c r="AQ2944" s="24"/>
      <c r="AR2944" s="33"/>
      <c r="AS2944" s="34"/>
      <c r="AT2944" s="33"/>
      <c r="AV2944" s="21">
        <f>IF(AND($AL2944&lt;&gt;"",COUNTIF($AL$11:$AL2944,$AL2944)=1),1,0)</f>
        <v>0</v>
      </c>
      <c r="AW2944" s="21">
        <f t="shared" si="177"/>
        <v>0</v>
      </c>
      <c r="AX2944" s="21" t="str">
        <f t="shared" si="176"/>
        <v/>
      </c>
      <c r="AY2944" s="21" t="str">
        <f>IF(AND($AM2944&lt;&gt;"",$AS2944&lt;&gt;"✓"),SUMPRODUCT(($AM$11:$AM2944&lt;&gt;"")*($AS$11:$AS2944&lt;&gt;"✓")),"")</f>
        <v/>
      </c>
      <c r="AZ2944" s="21" t="str">
        <f>IF(AND($AM2944&lt;&gt;"",$AS2944="✓"),SUMPRODUCT(($AM$11:$AM2944&lt;&gt;"")*($AS$11:$AS2944="✓")),"")</f>
        <v/>
      </c>
      <c r="BA2944" s="21" t="str">
        <f>IF($AL2944="","",$AL2944&amp;"|"&amp;COUNTIF($AL$11:$AL2944,$AL2944))</f>
        <v/>
      </c>
    </row>
    <row r="2945" spans="38:53" ht="15" customHeight="1" x14ac:dyDescent="0.25">
      <c r="AL2945" s="17"/>
      <c r="AM2945" s="12"/>
      <c r="AN2945" s="18"/>
      <c r="AO2945" s="18"/>
      <c r="AP2945" s="10"/>
      <c r="AQ2945" s="10"/>
      <c r="AR2945" s="19"/>
      <c r="AS2945" s="20"/>
      <c r="AT2945" s="19"/>
      <c r="AV2945" s="21">
        <f>IF(AND($AL2945&lt;&gt;"",COUNTIF($AL$11:$AL2945,$AL2945)=1),1,0)</f>
        <v>0</v>
      </c>
      <c r="AW2945" s="21">
        <f t="shared" si="177"/>
        <v>0</v>
      </c>
      <c r="AX2945" s="21" t="str">
        <f t="shared" si="176"/>
        <v/>
      </c>
      <c r="AY2945" s="21" t="str">
        <f>IF(AND($AM2945&lt;&gt;"",$AS2945&lt;&gt;"✓"),SUMPRODUCT(($AM$11:$AM2945&lt;&gt;"")*($AS$11:$AS2945&lt;&gt;"✓")),"")</f>
        <v/>
      </c>
      <c r="AZ2945" s="21" t="str">
        <f>IF(AND($AM2945&lt;&gt;"",$AS2945="✓"),SUMPRODUCT(($AM$11:$AM2945&lt;&gt;"")*($AS$11:$AS2945="✓")),"")</f>
        <v/>
      </c>
      <c r="BA2945" s="21" t="str">
        <f>IF($AL2945="","",$AL2945&amp;"|"&amp;COUNTIF($AL$11:$AL2945,$AL2945))</f>
        <v/>
      </c>
    </row>
    <row r="2946" spans="38:53" ht="15" customHeight="1" x14ac:dyDescent="0.25">
      <c r="AL2946" s="31"/>
      <c r="AM2946" s="26"/>
      <c r="AN2946" s="32"/>
      <c r="AO2946" s="32"/>
      <c r="AP2946" s="24"/>
      <c r="AQ2946" s="24"/>
      <c r="AR2946" s="33"/>
      <c r="AS2946" s="34"/>
      <c r="AT2946" s="33"/>
      <c r="AV2946" s="21">
        <f>IF(AND($AL2946&lt;&gt;"",COUNTIF($AL$11:$AL2946,$AL2946)=1),1,0)</f>
        <v>0</v>
      </c>
      <c r="AW2946" s="21">
        <f t="shared" si="177"/>
        <v>0</v>
      </c>
      <c r="AX2946" s="21" t="str">
        <f t="shared" si="176"/>
        <v/>
      </c>
      <c r="AY2946" s="21" t="str">
        <f>IF(AND($AM2946&lt;&gt;"",$AS2946&lt;&gt;"✓"),SUMPRODUCT(($AM$11:$AM2946&lt;&gt;"")*($AS$11:$AS2946&lt;&gt;"✓")),"")</f>
        <v/>
      </c>
      <c r="AZ2946" s="21" t="str">
        <f>IF(AND($AM2946&lt;&gt;"",$AS2946="✓"),SUMPRODUCT(($AM$11:$AM2946&lt;&gt;"")*($AS$11:$AS2946="✓")),"")</f>
        <v/>
      </c>
      <c r="BA2946" s="21" t="str">
        <f>IF($AL2946="","",$AL2946&amp;"|"&amp;COUNTIF($AL$11:$AL2946,$AL2946))</f>
        <v/>
      </c>
    </row>
    <row r="2947" spans="38:53" ht="15" customHeight="1" x14ac:dyDescent="0.25">
      <c r="AL2947" s="17"/>
      <c r="AM2947" s="12"/>
      <c r="AN2947" s="18"/>
      <c r="AO2947" s="18"/>
      <c r="AP2947" s="10"/>
      <c r="AQ2947" s="10"/>
      <c r="AR2947" s="19"/>
      <c r="AS2947" s="20"/>
      <c r="AT2947" s="19"/>
      <c r="AV2947" s="21">
        <f>IF(AND($AL2947&lt;&gt;"",COUNTIF($AL$11:$AL2947,$AL2947)=1),1,0)</f>
        <v>0</v>
      </c>
      <c r="AW2947" s="21">
        <f t="shared" si="177"/>
        <v>0</v>
      </c>
      <c r="AX2947" s="21" t="str">
        <f t="shared" si="176"/>
        <v/>
      </c>
      <c r="AY2947" s="21" t="str">
        <f>IF(AND($AM2947&lt;&gt;"",$AS2947&lt;&gt;"✓"),SUMPRODUCT(($AM$11:$AM2947&lt;&gt;"")*($AS$11:$AS2947&lt;&gt;"✓")),"")</f>
        <v/>
      </c>
      <c r="AZ2947" s="21" t="str">
        <f>IF(AND($AM2947&lt;&gt;"",$AS2947="✓"),SUMPRODUCT(($AM$11:$AM2947&lt;&gt;"")*($AS$11:$AS2947="✓")),"")</f>
        <v/>
      </c>
      <c r="BA2947" s="21" t="str">
        <f>IF($AL2947="","",$AL2947&amp;"|"&amp;COUNTIF($AL$11:$AL2947,$AL2947))</f>
        <v/>
      </c>
    </row>
    <row r="2948" spans="38:53" ht="15" customHeight="1" x14ac:dyDescent="0.25">
      <c r="AL2948" s="31"/>
      <c r="AM2948" s="26"/>
      <c r="AN2948" s="32"/>
      <c r="AO2948" s="32"/>
      <c r="AP2948" s="24"/>
      <c r="AQ2948" s="24"/>
      <c r="AR2948" s="33"/>
      <c r="AS2948" s="34"/>
      <c r="AT2948" s="33"/>
      <c r="AV2948" s="21">
        <f>IF(AND($AL2948&lt;&gt;"",COUNTIF($AL$11:$AL2948,$AL2948)=1),1,0)</f>
        <v>0</v>
      </c>
      <c r="AW2948" s="21">
        <f t="shared" si="177"/>
        <v>0</v>
      </c>
      <c r="AX2948" s="21" t="str">
        <f t="shared" si="176"/>
        <v/>
      </c>
      <c r="AY2948" s="21" t="str">
        <f>IF(AND($AM2948&lt;&gt;"",$AS2948&lt;&gt;"✓"),SUMPRODUCT(($AM$11:$AM2948&lt;&gt;"")*($AS$11:$AS2948&lt;&gt;"✓")),"")</f>
        <v/>
      </c>
      <c r="AZ2948" s="21" t="str">
        <f>IF(AND($AM2948&lt;&gt;"",$AS2948="✓"),SUMPRODUCT(($AM$11:$AM2948&lt;&gt;"")*($AS$11:$AS2948="✓")),"")</f>
        <v/>
      </c>
      <c r="BA2948" s="21" t="str">
        <f>IF($AL2948="","",$AL2948&amp;"|"&amp;COUNTIF($AL$11:$AL2948,$AL2948))</f>
        <v/>
      </c>
    </row>
    <row r="2949" spans="38:53" ht="15" customHeight="1" x14ac:dyDescent="0.25">
      <c r="AL2949" s="17"/>
      <c r="AM2949" s="12"/>
      <c r="AN2949" s="18"/>
      <c r="AO2949" s="18"/>
      <c r="AP2949" s="10"/>
      <c r="AQ2949" s="10"/>
      <c r="AR2949" s="19"/>
      <c r="AS2949" s="20"/>
      <c r="AT2949" s="19"/>
      <c r="AV2949" s="21">
        <f>IF(AND($AL2949&lt;&gt;"",COUNTIF($AL$11:$AL2949,$AL2949)=1),1,0)</f>
        <v>0</v>
      </c>
      <c r="AW2949" s="21">
        <f t="shared" si="177"/>
        <v>0</v>
      </c>
      <c r="AX2949" s="21" t="str">
        <f t="shared" si="176"/>
        <v/>
      </c>
      <c r="AY2949" s="21" t="str">
        <f>IF(AND($AM2949&lt;&gt;"",$AS2949&lt;&gt;"✓"),SUMPRODUCT(($AM$11:$AM2949&lt;&gt;"")*($AS$11:$AS2949&lt;&gt;"✓")),"")</f>
        <v/>
      </c>
      <c r="AZ2949" s="21" t="str">
        <f>IF(AND($AM2949&lt;&gt;"",$AS2949="✓"),SUMPRODUCT(($AM$11:$AM2949&lt;&gt;"")*($AS$11:$AS2949="✓")),"")</f>
        <v/>
      </c>
      <c r="BA2949" s="21" t="str">
        <f>IF($AL2949="","",$AL2949&amp;"|"&amp;COUNTIF($AL$11:$AL2949,$AL2949))</f>
        <v/>
      </c>
    </row>
    <row r="2950" spans="38:53" ht="15" customHeight="1" x14ac:dyDescent="0.25">
      <c r="AL2950" s="31"/>
      <c r="AM2950" s="26"/>
      <c r="AN2950" s="32"/>
      <c r="AO2950" s="32"/>
      <c r="AP2950" s="24"/>
      <c r="AQ2950" s="24"/>
      <c r="AR2950" s="33"/>
      <c r="AS2950" s="34"/>
      <c r="AT2950" s="33"/>
      <c r="AV2950" s="21">
        <f>IF(AND($AL2950&lt;&gt;"",COUNTIF($AL$11:$AL2950,$AL2950)=1),1,0)</f>
        <v>0</v>
      </c>
      <c r="AW2950" s="21">
        <f t="shared" si="177"/>
        <v>0</v>
      </c>
      <c r="AX2950" s="21" t="str">
        <f t="shared" si="176"/>
        <v/>
      </c>
      <c r="AY2950" s="21" t="str">
        <f>IF(AND($AM2950&lt;&gt;"",$AS2950&lt;&gt;"✓"),SUMPRODUCT(($AM$11:$AM2950&lt;&gt;"")*($AS$11:$AS2950&lt;&gt;"✓")),"")</f>
        <v/>
      </c>
      <c r="AZ2950" s="21" t="str">
        <f>IF(AND($AM2950&lt;&gt;"",$AS2950="✓"),SUMPRODUCT(($AM$11:$AM2950&lt;&gt;"")*($AS$11:$AS2950="✓")),"")</f>
        <v/>
      </c>
      <c r="BA2950" s="21" t="str">
        <f>IF($AL2950="","",$AL2950&amp;"|"&amp;COUNTIF($AL$11:$AL2950,$AL2950))</f>
        <v/>
      </c>
    </row>
    <row r="2951" spans="38:53" ht="15" customHeight="1" x14ac:dyDescent="0.25">
      <c r="AL2951" s="17"/>
      <c r="AM2951" s="12"/>
      <c r="AN2951" s="18"/>
      <c r="AO2951" s="18"/>
      <c r="AP2951" s="10"/>
      <c r="AQ2951" s="10"/>
      <c r="AR2951" s="19"/>
      <c r="AS2951" s="20"/>
      <c r="AT2951" s="19"/>
      <c r="AV2951" s="21">
        <f>IF(AND($AL2951&lt;&gt;"",COUNTIF($AL$11:$AL2951,$AL2951)=1),1,0)</f>
        <v>0</v>
      </c>
      <c r="AW2951" s="21">
        <f t="shared" si="177"/>
        <v>0</v>
      </c>
      <c r="AX2951" s="21" t="str">
        <f t="shared" si="176"/>
        <v/>
      </c>
      <c r="AY2951" s="21" t="str">
        <f>IF(AND($AM2951&lt;&gt;"",$AS2951&lt;&gt;"✓"),SUMPRODUCT(($AM$11:$AM2951&lt;&gt;"")*($AS$11:$AS2951&lt;&gt;"✓")),"")</f>
        <v/>
      </c>
      <c r="AZ2951" s="21" t="str">
        <f>IF(AND($AM2951&lt;&gt;"",$AS2951="✓"),SUMPRODUCT(($AM$11:$AM2951&lt;&gt;"")*($AS$11:$AS2951="✓")),"")</f>
        <v/>
      </c>
      <c r="BA2951" s="21" t="str">
        <f>IF($AL2951="","",$AL2951&amp;"|"&amp;COUNTIF($AL$11:$AL2951,$AL2951))</f>
        <v/>
      </c>
    </row>
    <row r="2952" spans="38:53" ht="15" customHeight="1" x14ac:dyDescent="0.25">
      <c r="AL2952" s="31"/>
      <c r="AM2952" s="26"/>
      <c r="AN2952" s="32"/>
      <c r="AO2952" s="32"/>
      <c r="AP2952" s="24"/>
      <c r="AQ2952" s="24"/>
      <c r="AR2952" s="33"/>
      <c r="AS2952" s="34"/>
      <c r="AT2952" s="33"/>
      <c r="AV2952" s="21">
        <f>IF(AND($AL2952&lt;&gt;"",COUNTIF($AL$11:$AL2952,$AL2952)=1),1,0)</f>
        <v>0</v>
      </c>
      <c r="AW2952" s="21">
        <f t="shared" si="177"/>
        <v>0</v>
      </c>
      <c r="AX2952" s="21" t="str">
        <f t="shared" si="176"/>
        <v/>
      </c>
      <c r="AY2952" s="21" t="str">
        <f>IF(AND($AM2952&lt;&gt;"",$AS2952&lt;&gt;"✓"),SUMPRODUCT(($AM$11:$AM2952&lt;&gt;"")*($AS$11:$AS2952&lt;&gt;"✓")),"")</f>
        <v/>
      </c>
      <c r="AZ2952" s="21" t="str">
        <f>IF(AND($AM2952&lt;&gt;"",$AS2952="✓"),SUMPRODUCT(($AM$11:$AM2952&lt;&gt;"")*($AS$11:$AS2952="✓")),"")</f>
        <v/>
      </c>
      <c r="BA2952" s="21" t="str">
        <f>IF($AL2952="","",$AL2952&amp;"|"&amp;COUNTIF($AL$11:$AL2952,$AL2952))</f>
        <v/>
      </c>
    </row>
    <row r="2953" spans="38:53" ht="15" customHeight="1" x14ac:dyDescent="0.25">
      <c r="AL2953" s="17"/>
      <c r="AM2953" s="12"/>
      <c r="AN2953" s="18"/>
      <c r="AO2953" s="18"/>
      <c r="AP2953" s="10"/>
      <c r="AQ2953" s="10"/>
      <c r="AR2953" s="19"/>
      <c r="AS2953" s="20"/>
      <c r="AT2953" s="19"/>
      <c r="AV2953" s="21">
        <f>IF(AND($AL2953&lt;&gt;"",COUNTIF($AL$11:$AL2953,$AL2953)=1),1,0)</f>
        <v>0</v>
      </c>
      <c r="AW2953" s="21">
        <f t="shared" si="177"/>
        <v>0</v>
      </c>
      <c r="AX2953" s="21" t="str">
        <f t="shared" si="176"/>
        <v/>
      </c>
      <c r="AY2953" s="21" t="str">
        <f>IF(AND($AM2953&lt;&gt;"",$AS2953&lt;&gt;"✓"),SUMPRODUCT(($AM$11:$AM2953&lt;&gt;"")*($AS$11:$AS2953&lt;&gt;"✓")),"")</f>
        <v/>
      </c>
      <c r="AZ2953" s="21" t="str">
        <f>IF(AND($AM2953&lt;&gt;"",$AS2953="✓"),SUMPRODUCT(($AM$11:$AM2953&lt;&gt;"")*($AS$11:$AS2953="✓")),"")</f>
        <v/>
      </c>
      <c r="BA2953" s="21" t="str">
        <f>IF($AL2953="","",$AL2953&amp;"|"&amp;COUNTIF($AL$11:$AL2953,$AL2953))</f>
        <v/>
      </c>
    </row>
    <row r="2954" spans="38:53" ht="15" customHeight="1" x14ac:dyDescent="0.25">
      <c r="AL2954" s="31"/>
      <c r="AM2954" s="26"/>
      <c r="AN2954" s="32"/>
      <c r="AO2954" s="32"/>
      <c r="AP2954" s="24"/>
      <c r="AQ2954" s="24"/>
      <c r="AR2954" s="33"/>
      <c r="AS2954" s="34"/>
      <c r="AT2954" s="33"/>
      <c r="AV2954" s="21">
        <f>IF(AND($AL2954&lt;&gt;"",COUNTIF($AL$11:$AL2954,$AL2954)=1),1,0)</f>
        <v>0</v>
      </c>
      <c r="AW2954" s="21">
        <f t="shared" si="177"/>
        <v>0</v>
      </c>
      <c r="AX2954" s="21" t="str">
        <f t="shared" si="176"/>
        <v/>
      </c>
      <c r="AY2954" s="21" t="str">
        <f>IF(AND($AM2954&lt;&gt;"",$AS2954&lt;&gt;"✓"),SUMPRODUCT(($AM$11:$AM2954&lt;&gt;"")*($AS$11:$AS2954&lt;&gt;"✓")),"")</f>
        <v/>
      </c>
      <c r="AZ2954" s="21" t="str">
        <f>IF(AND($AM2954&lt;&gt;"",$AS2954="✓"),SUMPRODUCT(($AM$11:$AM2954&lt;&gt;"")*($AS$11:$AS2954="✓")),"")</f>
        <v/>
      </c>
      <c r="BA2954" s="21" t="str">
        <f>IF($AL2954="","",$AL2954&amp;"|"&amp;COUNTIF($AL$11:$AL2954,$AL2954))</f>
        <v/>
      </c>
    </row>
    <row r="2955" spans="38:53" ht="15" customHeight="1" x14ac:dyDescent="0.25">
      <c r="AL2955" s="17"/>
      <c r="AM2955" s="12"/>
      <c r="AN2955" s="18"/>
      <c r="AO2955" s="18"/>
      <c r="AP2955" s="10"/>
      <c r="AQ2955" s="10"/>
      <c r="AR2955" s="19"/>
      <c r="AS2955" s="20"/>
      <c r="AT2955" s="19"/>
      <c r="AV2955" s="21">
        <f>IF(AND($AL2955&lt;&gt;"",COUNTIF($AL$11:$AL2955,$AL2955)=1),1,0)</f>
        <v>0</v>
      </c>
      <c r="AW2955" s="21">
        <f t="shared" si="177"/>
        <v>0</v>
      </c>
      <c r="AX2955" s="21" t="str">
        <f t="shared" ref="AX2955:AX3018" si="178">IF(AV2955=1,AW2955,"")</f>
        <v/>
      </c>
      <c r="AY2955" s="21" t="str">
        <f>IF(AND($AM2955&lt;&gt;"",$AS2955&lt;&gt;"✓"),SUMPRODUCT(($AM$11:$AM2955&lt;&gt;"")*($AS$11:$AS2955&lt;&gt;"✓")),"")</f>
        <v/>
      </c>
      <c r="AZ2955" s="21" t="str">
        <f>IF(AND($AM2955&lt;&gt;"",$AS2955="✓"),SUMPRODUCT(($AM$11:$AM2955&lt;&gt;"")*($AS$11:$AS2955="✓")),"")</f>
        <v/>
      </c>
      <c r="BA2955" s="21" t="str">
        <f>IF($AL2955="","",$AL2955&amp;"|"&amp;COUNTIF($AL$11:$AL2955,$AL2955))</f>
        <v/>
      </c>
    </row>
    <row r="2956" spans="38:53" ht="15" customHeight="1" x14ac:dyDescent="0.25">
      <c r="AL2956" s="31"/>
      <c r="AM2956" s="26"/>
      <c r="AN2956" s="32"/>
      <c r="AO2956" s="32"/>
      <c r="AP2956" s="24"/>
      <c r="AQ2956" s="24"/>
      <c r="AR2956" s="33"/>
      <c r="AS2956" s="34"/>
      <c r="AT2956" s="33"/>
      <c r="AV2956" s="21">
        <f>IF(AND($AL2956&lt;&gt;"",COUNTIF($AL$11:$AL2956,$AL2956)=1),1,0)</f>
        <v>0</v>
      </c>
      <c r="AW2956" s="21">
        <f t="shared" ref="AW2956:AW3019" si="179">AW2955+AV2956</f>
        <v>0</v>
      </c>
      <c r="AX2956" s="21" t="str">
        <f t="shared" si="178"/>
        <v/>
      </c>
      <c r="AY2956" s="21" t="str">
        <f>IF(AND($AM2956&lt;&gt;"",$AS2956&lt;&gt;"✓"),SUMPRODUCT(($AM$11:$AM2956&lt;&gt;"")*($AS$11:$AS2956&lt;&gt;"✓")),"")</f>
        <v/>
      </c>
      <c r="AZ2956" s="21" t="str">
        <f>IF(AND($AM2956&lt;&gt;"",$AS2956="✓"),SUMPRODUCT(($AM$11:$AM2956&lt;&gt;"")*($AS$11:$AS2956="✓")),"")</f>
        <v/>
      </c>
      <c r="BA2956" s="21" t="str">
        <f>IF($AL2956="","",$AL2956&amp;"|"&amp;COUNTIF($AL$11:$AL2956,$AL2956))</f>
        <v/>
      </c>
    </row>
    <row r="2957" spans="38:53" ht="15" customHeight="1" x14ac:dyDescent="0.25">
      <c r="AL2957" s="17"/>
      <c r="AM2957" s="12"/>
      <c r="AN2957" s="18"/>
      <c r="AO2957" s="18"/>
      <c r="AP2957" s="10"/>
      <c r="AQ2957" s="10"/>
      <c r="AR2957" s="19"/>
      <c r="AS2957" s="20"/>
      <c r="AT2957" s="19"/>
      <c r="AV2957" s="21">
        <f>IF(AND($AL2957&lt;&gt;"",COUNTIF($AL$11:$AL2957,$AL2957)=1),1,0)</f>
        <v>0</v>
      </c>
      <c r="AW2957" s="21">
        <f t="shared" si="179"/>
        <v>0</v>
      </c>
      <c r="AX2957" s="21" t="str">
        <f t="shared" si="178"/>
        <v/>
      </c>
      <c r="AY2957" s="21" t="str">
        <f>IF(AND($AM2957&lt;&gt;"",$AS2957&lt;&gt;"✓"),SUMPRODUCT(($AM$11:$AM2957&lt;&gt;"")*($AS$11:$AS2957&lt;&gt;"✓")),"")</f>
        <v/>
      </c>
      <c r="AZ2957" s="21" t="str">
        <f>IF(AND($AM2957&lt;&gt;"",$AS2957="✓"),SUMPRODUCT(($AM$11:$AM2957&lt;&gt;"")*($AS$11:$AS2957="✓")),"")</f>
        <v/>
      </c>
      <c r="BA2957" s="21" t="str">
        <f>IF($AL2957="","",$AL2957&amp;"|"&amp;COUNTIF($AL$11:$AL2957,$AL2957))</f>
        <v/>
      </c>
    </row>
    <row r="2958" spans="38:53" ht="15" customHeight="1" x14ac:dyDescent="0.25">
      <c r="AL2958" s="31"/>
      <c r="AM2958" s="26"/>
      <c r="AN2958" s="32"/>
      <c r="AO2958" s="32"/>
      <c r="AP2958" s="24"/>
      <c r="AQ2958" s="24"/>
      <c r="AR2958" s="33"/>
      <c r="AS2958" s="34"/>
      <c r="AT2958" s="33"/>
      <c r="AV2958" s="21">
        <f>IF(AND($AL2958&lt;&gt;"",COUNTIF($AL$11:$AL2958,$AL2958)=1),1,0)</f>
        <v>0</v>
      </c>
      <c r="AW2958" s="21">
        <f t="shared" si="179"/>
        <v>0</v>
      </c>
      <c r="AX2958" s="21" t="str">
        <f t="shared" si="178"/>
        <v/>
      </c>
      <c r="AY2958" s="21" t="str">
        <f>IF(AND($AM2958&lt;&gt;"",$AS2958&lt;&gt;"✓"),SUMPRODUCT(($AM$11:$AM2958&lt;&gt;"")*($AS$11:$AS2958&lt;&gt;"✓")),"")</f>
        <v/>
      </c>
      <c r="AZ2958" s="21" t="str">
        <f>IF(AND($AM2958&lt;&gt;"",$AS2958="✓"),SUMPRODUCT(($AM$11:$AM2958&lt;&gt;"")*($AS$11:$AS2958="✓")),"")</f>
        <v/>
      </c>
      <c r="BA2958" s="21" t="str">
        <f>IF($AL2958="","",$AL2958&amp;"|"&amp;COUNTIF($AL$11:$AL2958,$AL2958))</f>
        <v/>
      </c>
    </row>
    <row r="2959" spans="38:53" ht="15" customHeight="1" x14ac:dyDescent="0.25">
      <c r="AL2959" s="17"/>
      <c r="AM2959" s="12"/>
      <c r="AN2959" s="18"/>
      <c r="AO2959" s="18"/>
      <c r="AP2959" s="10"/>
      <c r="AQ2959" s="10"/>
      <c r="AR2959" s="19"/>
      <c r="AS2959" s="20"/>
      <c r="AT2959" s="19"/>
      <c r="AV2959" s="21">
        <f>IF(AND($AL2959&lt;&gt;"",COUNTIF($AL$11:$AL2959,$AL2959)=1),1,0)</f>
        <v>0</v>
      </c>
      <c r="AW2959" s="21">
        <f t="shared" si="179"/>
        <v>0</v>
      </c>
      <c r="AX2959" s="21" t="str">
        <f t="shared" si="178"/>
        <v/>
      </c>
      <c r="AY2959" s="21" t="str">
        <f>IF(AND($AM2959&lt;&gt;"",$AS2959&lt;&gt;"✓"),SUMPRODUCT(($AM$11:$AM2959&lt;&gt;"")*($AS$11:$AS2959&lt;&gt;"✓")),"")</f>
        <v/>
      </c>
      <c r="AZ2959" s="21" t="str">
        <f>IF(AND($AM2959&lt;&gt;"",$AS2959="✓"),SUMPRODUCT(($AM$11:$AM2959&lt;&gt;"")*($AS$11:$AS2959="✓")),"")</f>
        <v/>
      </c>
      <c r="BA2959" s="21" t="str">
        <f>IF($AL2959="","",$AL2959&amp;"|"&amp;COUNTIF($AL$11:$AL2959,$AL2959))</f>
        <v/>
      </c>
    </row>
    <row r="2960" spans="38:53" ht="15" customHeight="1" x14ac:dyDescent="0.25">
      <c r="AL2960" s="31"/>
      <c r="AM2960" s="26"/>
      <c r="AN2960" s="32"/>
      <c r="AO2960" s="32"/>
      <c r="AP2960" s="24"/>
      <c r="AQ2960" s="24"/>
      <c r="AR2960" s="33"/>
      <c r="AS2960" s="34"/>
      <c r="AT2960" s="33"/>
      <c r="AV2960" s="21">
        <f>IF(AND($AL2960&lt;&gt;"",COUNTIF($AL$11:$AL2960,$AL2960)=1),1,0)</f>
        <v>0</v>
      </c>
      <c r="AW2960" s="21">
        <f t="shared" si="179"/>
        <v>0</v>
      </c>
      <c r="AX2960" s="21" t="str">
        <f t="shared" si="178"/>
        <v/>
      </c>
      <c r="AY2960" s="21" t="str">
        <f>IF(AND($AM2960&lt;&gt;"",$AS2960&lt;&gt;"✓"),SUMPRODUCT(($AM$11:$AM2960&lt;&gt;"")*($AS$11:$AS2960&lt;&gt;"✓")),"")</f>
        <v/>
      </c>
      <c r="AZ2960" s="21" t="str">
        <f>IF(AND($AM2960&lt;&gt;"",$AS2960="✓"),SUMPRODUCT(($AM$11:$AM2960&lt;&gt;"")*($AS$11:$AS2960="✓")),"")</f>
        <v/>
      </c>
      <c r="BA2960" s="21" t="str">
        <f>IF($AL2960="","",$AL2960&amp;"|"&amp;COUNTIF($AL$11:$AL2960,$AL2960))</f>
        <v/>
      </c>
    </row>
    <row r="2961" spans="38:53" ht="15" customHeight="1" x14ac:dyDescent="0.25">
      <c r="AL2961" s="17"/>
      <c r="AM2961" s="12"/>
      <c r="AN2961" s="18"/>
      <c r="AO2961" s="18"/>
      <c r="AP2961" s="10"/>
      <c r="AQ2961" s="10"/>
      <c r="AR2961" s="19"/>
      <c r="AS2961" s="20"/>
      <c r="AT2961" s="19"/>
      <c r="AV2961" s="21">
        <f>IF(AND($AL2961&lt;&gt;"",COUNTIF($AL$11:$AL2961,$AL2961)=1),1,0)</f>
        <v>0</v>
      </c>
      <c r="AW2961" s="21">
        <f t="shared" si="179"/>
        <v>0</v>
      </c>
      <c r="AX2961" s="21" t="str">
        <f t="shared" si="178"/>
        <v/>
      </c>
      <c r="AY2961" s="21" t="str">
        <f>IF(AND($AM2961&lt;&gt;"",$AS2961&lt;&gt;"✓"),SUMPRODUCT(($AM$11:$AM2961&lt;&gt;"")*($AS$11:$AS2961&lt;&gt;"✓")),"")</f>
        <v/>
      </c>
      <c r="AZ2961" s="21" t="str">
        <f>IF(AND($AM2961&lt;&gt;"",$AS2961="✓"),SUMPRODUCT(($AM$11:$AM2961&lt;&gt;"")*($AS$11:$AS2961="✓")),"")</f>
        <v/>
      </c>
      <c r="BA2961" s="21" t="str">
        <f>IF($AL2961="","",$AL2961&amp;"|"&amp;COUNTIF($AL$11:$AL2961,$AL2961))</f>
        <v/>
      </c>
    </row>
    <row r="2962" spans="38:53" ht="15" customHeight="1" x14ac:dyDescent="0.25">
      <c r="AL2962" s="31"/>
      <c r="AM2962" s="26"/>
      <c r="AN2962" s="32"/>
      <c r="AO2962" s="32"/>
      <c r="AP2962" s="24"/>
      <c r="AQ2962" s="24"/>
      <c r="AR2962" s="33"/>
      <c r="AS2962" s="34"/>
      <c r="AT2962" s="33"/>
      <c r="AV2962" s="21">
        <f>IF(AND($AL2962&lt;&gt;"",COUNTIF($AL$11:$AL2962,$AL2962)=1),1,0)</f>
        <v>0</v>
      </c>
      <c r="AW2962" s="21">
        <f t="shared" si="179"/>
        <v>0</v>
      </c>
      <c r="AX2962" s="21" t="str">
        <f t="shared" si="178"/>
        <v/>
      </c>
      <c r="AY2962" s="21" t="str">
        <f>IF(AND($AM2962&lt;&gt;"",$AS2962&lt;&gt;"✓"),SUMPRODUCT(($AM$11:$AM2962&lt;&gt;"")*($AS$11:$AS2962&lt;&gt;"✓")),"")</f>
        <v/>
      </c>
      <c r="AZ2962" s="21" t="str">
        <f>IF(AND($AM2962&lt;&gt;"",$AS2962="✓"),SUMPRODUCT(($AM$11:$AM2962&lt;&gt;"")*($AS$11:$AS2962="✓")),"")</f>
        <v/>
      </c>
      <c r="BA2962" s="21" t="str">
        <f>IF($AL2962="","",$AL2962&amp;"|"&amp;COUNTIF($AL$11:$AL2962,$AL2962))</f>
        <v/>
      </c>
    </row>
    <row r="2963" spans="38:53" ht="15" customHeight="1" x14ac:dyDescent="0.25">
      <c r="AL2963" s="17"/>
      <c r="AM2963" s="12"/>
      <c r="AN2963" s="18"/>
      <c r="AO2963" s="18"/>
      <c r="AP2963" s="10"/>
      <c r="AQ2963" s="10"/>
      <c r="AR2963" s="19"/>
      <c r="AS2963" s="20"/>
      <c r="AT2963" s="19"/>
      <c r="AV2963" s="21">
        <f>IF(AND($AL2963&lt;&gt;"",COUNTIF($AL$11:$AL2963,$AL2963)=1),1,0)</f>
        <v>0</v>
      </c>
      <c r="AW2963" s="21">
        <f t="shared" si="179"/>
        <v>0</v>
      </c>
      <c r="AX2963" s="21" t="str">
        <f t="shared" si="178"/>
        <v/>
      </c>
      <c r="AY2963" s="21" t="str">
        <f>IF(AND($AM2963&lt;&gt;"",$AS2963&lt;&gt;"✓"),SUMPRODUCT(($AM$11:$AM2963&lt;&gt;"")*($AS$11:$AS2963&lt;&gt;"✓")),"")</f>
        <v/>
      </c>
      <c r="AZ2963" s="21" t="str">
        <f>IF(AND($AM2963&lt;&gt;"",$AS2963="✓"),SUMPRODUCT(($AM$11:$AM2963&lt;&gt;"")*($AS$11:$AS2963="✓")),"")</f>
        <v/>
      </c>
      <c r="BA2963" s="21" t="str">
        <f>IF($AL2963="","",$AL2963&amp;"|"&amp;COUNTIF($AL$11:$AL2963,$AL2963))</f>
        <v/>
      </c>
    </row>
    <row r="2964" spans="38:53" ht="15" customHeight="1" x14ac:dyDescent="0.25">
      <c r="AL2964" s="31"/>
      <c r="AM2964" s="26"/>
      <c r="AN2964" s="32"/>
      <c r="AO2964" s="32"/>
      <c r="AP2964" s="24"/>
      <c r="AQ2964" s="24"/>
      <c r="AR2964" s="33"/>
      <c r="AS2964" s="34"/>
      <c r="AT2964" s="33"/>
      <c r="AV2964" s="21">
        <f>IF(AND($AL2964&lt;&gt;"",COUNTIF($AL$11:$AL2964,$AL2964)=1),1,0)</f>
        <v>0</v>
      </c>
      <c r="AW2964" s="21">
        <f t="shared" si="179"/>
        <v>0</v>
      </c>
      <c r="AX2964" s="21" t="str">
        <f t="shared" si="178"/>
        <v/>
      </c>
      <c r="AY2964" s="21" t="str">
        <f>IF(AND($AM2964&lt;&gt;"",$AS2964&lt;&gt;"✓"),SUMPRODUCT(($AM$11:$AM2964&lt;&gt;"")*($AS$11:$AS2964&lt;&gt;"✓")),"")</f>
        <v/>
      </c>
      <c r="AZ2964" s="21" t="str">
        <f>IF(AND($AM2964&lt;&gt;"",$AS2964="✓"),SUMPRODUCT(($AM$11:$AM2964&lt;&gt;"")*($AS$11:$AS2964="✓")),"")</f>
        <v/>
      </c>
      <c r="BA2964" s="21" t="str">
        <f>IF($AL2964="","",$AL2964&amp;"|"&amp;COUNTIF($AL$11:$AL2964,$AL2964))</f>
        <v/>
      </c>
    </row>
    <row r="2965" spans="38:53" ht="15" customHeight="1" x14ac:dyDescent="0.25">
      <c r="AL2965" s="17"/>
      <c r="AM2965" s="12"/>
      <c r="AN2965" s="18"/>
      <c r="AO2965" s="18"/>
      <c r="AP2965" s="10"/>
      <c r="AQ2965" s="10"/>
      <c r="AR2965" s="19"/>
      <c r="AS2965" s="20"/>
      <c r="AT2965" s="19"/>
      <c r="AV2965" s="21">
        <f>IF(AND($AL2965&lt;&gt;"",COUNTIF($AL$11:$AL2965,$AL2965)=1),1,0)</f>
        <v>0</v>
      </c>
      <c r="AW2965" s="21">
        <f t="shared" si="179"/>
        <v>0</v>
      </c>
      <c r="AX2965" s="21" t="str">
        <f t="shared" si="178"/>
        <v/>
      </c>
      <c r="AY2965" s="21" t="str">
        <f>IF(AND($AM2965&lt;&gt;"",$AS2965&lt;&gt;"✓"),SUMPRODUCT(($AM$11:$AM2965&lt;&gt;"")*($AS$11:$AS2965&lt;&gt;"✓")),"")</f>
        <v/>
      </c>
      <c r="AZ2965" s="21" t="str">
        <f>IF(AND($AM2965&lt;&gt;"",$AS2965="✓"),SUMPRODUCT(($AM$11:$AM2965&lt;&gt;"")*($AS$11:$AS2965="✓")),"")</f>
        <v/>
      </c>
      <c r="BA2965" s="21" t="str">
        <f>IF($AL2965="","",$AL2965&amp;"|"&amp;COUNTIF($AL$11:$AL2965,$AL2965))</f>
        <v/>
      </c>
    </row>
    <row r="2966" spans="38:53" ht="15" customHeight="1" x14ac:dyDescent="0.25">
      <c r="AL2966" s="31"/>
      <c r="AM2966" s="26"/>
      <c r="AN2966" s="32"/>
      <c r="AO2966" s="32"/>
      <c r="AP2966" s="24"/>
      <c r="AQ2966" s="24"/>
      <c r="AR2966" s="33"/>
      <c r="AS2966" s="34"/>
      <c r="AT2966" s="33"/>
      <c r="AV2966" s="21">
        <f>IF(AND($AL2966&lt;&gt;"",COUNTIF($AL$11:$AL2966,$AL2966)=1),1,0)</f>
        <v>0</v>
      </c>
      <c r="AW2966" s="21">
        <f t="shared" si="179"/>
        <v>0</v>
      </c>
      <c r="AX2966" s="21" t="str">
        <f t="shared" si="178"/>
        <v/>
      </c>
      <c r="AY2966" s="21" t="str">
        <f>IF(AND($AM2966&lt;&gt;"",$AS2966&lt;&gt;"✓"),SUMPRODUCT(($AM$11:$AM2966&lt;&gt;"")*($AS$11:$AS2966&lt;&gt;"✓")),"")</f>
        <v/>
      </c>
      <c r="AZ2966" s="21" t="str">
        <f>IF(AND($AM2966&lt;&gt;"",$AS2966="✓"),SUMPRODUCT(($AM$11:$AM2966&lt;&gt;"")*($AS$11:$AS2966="✓")),"")</f>
        <v/>
      </c>
      <c r="BA2966" s="21" t="str">
        <f>IF($AL2966="","",$AL2966&amp;"|"&amp;COUNTIF($AL$11:$AL2966,$AL2966))</f>
        <v/>
      </c>
    </row>
    <row r="2967" spans="38:53" ht="15" customHeight="1" x14ac:dyDescent="0.25">
      <c r="AL2967" s="17"/>
      <c r="AM2967" s="12"/>
      <c r="AN2967" s="18"/>
      <c r="AO2967" s="18"/>
      <c r="AP2967" s="10"/>
      <c r="AQ2967" s="10"/>
      <c r="AR2967" s="19"/>
      <c r="AS2967" s="20"/>
      <c r="AT2967" s="19"/>
      <c r="AV2967" s="21">
        <f>IF(AND($AL2967&lt;&gt;"",COUNTIF($AL$11:$AL2967,$AL2967)=1),1,0)</f>
        <v>0</v>
      </c>
      <c r="AW2967" s="21">
        <f t="shared" si="179"/>
        <v>0</v>
      </c>
      <c r="AX2967" s="21" t="str">
        <f t="shared" si="178"/>
        <v/>
      </c>
      <c r="AY2967" s="21" t="str">
        <f>IF(AND($AM2967&lt;&gt;"",$AS2967&lt;&gt;"✓"),SUMPRODUCT(($AM$11:$AM2967&lt;&gt;"")*($AS$11:$AS2967&lt;&gt;"✓")),"")</f>
        <v/>
      </c>
      <c r="AZ2967" s="21" t="str">
        <f>IF(AND($AM2967&lt;&gt;"",$AS2967="✓"),SUMPRODUCT(($AM$11:$AM2967&lt;&gt;"")*($AS$11:$AS2967="✓")),"")</f>
        <v/>
      </c>
      <c r="BA2967" s="21" t="str">
        <f>IF($AL2967="","",$AL2967&amp;"|"&amp;COUNTIF($AL$11:$AL2967,$AL2967))</f>
        <v/>
      </c>
    </row>
    <row r="2968" spans="38:53" ht="15" customHeight="1" x14ac:dyDescent="0.25">
      <c r="AL2968" s="31"/>
      <c r="AM2968" s="26"/>
      <c r="AN2968" s="32"/>
      <c r="AO2968" s="32"/>
      <c r="AP2968" s="24"/>
      <c r="AQ2968" s="24"/>
      <c r="AR2968" s="33"/>
      <c r="AS2968" s="34"/>
      <c r="AT2968" s="33"/>
      <c r="AV2968" s="21">
        <f>IF(AND($AL2968&lt;&gt;"",COUNTIF($AL$11:$AL2968,$AL2968)=1),1,0)</f>
        <v>0</v>
      </c>
      <c r="AW2968" s="21">
        <f t="shared" si="179"/>
        <v>0</v>
      </c>
      <c r="AX2968" s="21" t="str">
        <f t="shared" si="178"/>
        <v/>
      </c>
      <c r="AY2968" s="21" t="str">
        <f>IF(AND($AM2968&lt;&gt;"",$AS2968&lt;&gt;"✓"),SUMPRODUCT(($AM$11:$AM2968&lt;&gt;"")*($AS$11:$AS2968&lt;&gt;"✓")),"")</f>
        <v/>
      </c>
      <c r="AZ2968" s="21" t="str">
        <f>IF(AND($AM2968&lt;&gt;"",$AS2968="✓"),SUMPRODUCT(($AM$11:$AM2968&lt;&gt;"")*($AS$11:$AS2968="✓")),"")</f>
        <v/>
      </c>
      <c r="BA2968" s="21" t="str">
        <f>IF($AL2968="","",$AL2968&amp;"|"&amp;COUNTIF($AL$11:$AL2968,$AL2968))</f>
        <v/>
      </c>
    </row>
    <row r="2969" spans="38:53" ht="15" customHeight="1" x14ac:dyDescent="0.25">
      <c r="AL2969" s="17"/>
      <c r="AM2969" s="12"/>
      <c r="AN2969" s="18"/>
      <c r="AO2969" s="18"/>
      <c r="AP2969" s="10"/>
      <c r="AQ2969" s="10"/>
      <c r="AR2969" s="19"/>
      <c r="AS2969" s="20"/>
      <c r="AT2969" s="19"/>
      <c r="AV2969" s="21">
        <f>IF(AND($AL2969&lt;&gt;"",COUNTIF($AL$11:$AL2969,$AL2969)=1),1,0)</f>
        <v>0</v>
      </c>
      <c r="AW2969" s="21">
        <f t="shared" si="179"/>
        <v>0</v>
      </c>
      <c r="AX2969" s="21" t="str">
        <f t="shared" si="178"/>
        <v/>
      </c>
      <c r="AY2969" s="21" t="str">
        <f>IF(AND($AM2969&lt;&gt;"",$AS2969&lt;&gt;"✓"),SUMPRODUCT(($AM$11:$AM2969&lt;&gt;"")*($AS$11:$AS2969&lt;&gt;"✓")),"")</f>
        <v/>
      </c>
      <c r="AZ2969" s="21" t="str">
        <f>IF(AND($AM2969&lt;&gt;"",$AS2969="✓"),SUMPRODUCT(($AM$11:$AM2969&lt;&gt;"")*($AS$11:$AS2969="✓")),"")</f>
        <v/>
      </c>
      <c r="BA2969" s="21" t="str">
        <f>IF($AL2969="","",$AL2969&amp;"|"&amp;COUNTIF($AL$11:$AL2969,$AL2969))</f>
        <v/>
      </c>
    </row>
    <row r="2970" spans="38:53" ht="15" customHeight="1" x14ac:dyDescent="0.25">
      <c r="AL2970" s="31"/>
      <c r="AM2970" s="26"/>
      <c r="AN2970" s="32"/>
      <c r="AO2970" s="32"/>
      <c r="AP2970" s="24"/>
      <c r="AQ2970" s="24"/>
      <c r="AR2970" s="33"/>
      <c r="AS2970" s="34"/>
      <c r="AT2970" s="33"/>
      <c r="AV2970" s="21">
        <f>IF(AND($AL2970&lt;&gt;"",COUNTIF($AL$11:$AL2970,$AL2970)=1),1,0)</f>
        <v>0</v>
      </c>
      <c r="AW2970" s="21">
        <f t="shared" si="179"/>
        <v>0</v>
      </c>
      <c r="AX2970" s="21" t="str">
        <f t="shared" si="178"/>
        <v/>
      </c>
      <c r="AY2970" s="21" t="str">
        <f>IF(AND($AM2970&lt;&gt;"",$AS2970&lt;&gt;"✓"),SUMPRODUCT(($AM$11:$AM2970&lt;&gt;"")*($AS$11:$AS2970&lt;&gt;"✓")),"")</f>
        <v/>
      </c>
      <c r="AZ2970" s="21" t="str">
        <f>IF(AND($AM2970&lt;&gt;"",$AS2970="✓"),SUMPRODUCT(($AM$11:$AM2970&lt;&gt;"")*($AS$11:$AS2970="✓")),"")</f>
        <v/>
      </c>
      <c r="BA2970" s="21" t="str">
        <f>IF($AL2970="","",$AL2970&amp;"|"&amp;COUNTIF($AL$11:$AL2970,$AL2970))</f>
        <v/>
      </c>
    </row>
    <row r="2971" spans="38:53" ht="15" customHeight="1" x14ac:dyDescent="0.25">
      <c r="AL2971" s="17"/>
      <c r="AM2971" s="12"/>
      <c r="AN2971" s="18"/>
      <c r="AO2971" s="18"/>
      <c r="AP2971" s="10"/>
      <c r="AQ2971" s="10"/>
      <c r="AR2971" s="19"/>
      <c r="AS2971" s="20"/>
      <c r="AT2971" s="19"/>
      <c r="AV2971" s="21">
        <f>IF(AND($AL2971&lt;&gt;"",COUNTIF($AL$11:$AL2971,$AL2971)=1),1,0)</f>
        <v>0</v>
      </c>
      <c r="AW2971" s="21">
        <f t="shared" si="179"/>
        <v>0</v>
      </c>
      <c r="AX2971" s="21" t="str">
        <f t="shared" si="178"/>
        <v/>
      </c>
      <c r="AY2971" s="21" t="str">
        <f>IF(AND($AM2971&lt;&gt;"",$AS2971&lt;&gt;"✓"),SUMPRODUCT(($AM$11:$AM2971&lt;&gt;"")*($AS$11:$AS2971&lt;&gt;"✓")),"")</f>
        <v/>
      </c>
      <c r="AZ2971" s="21" t="str">
        <f>IF(AND($AM2971&lt;&gt;"",$AS2971="✓"),SUMPRODUCT(($AM$11:$AM2971&lt;&gt;"")*($AS$11:$AS2971="✓")),"")</f>
        <v/>
      </c>
      <c r="BA2971" s="21" t="str">
        <f>IF($AL2971="","",$AL2971&amp;"|"&amp;COUNTIF($AL$11:$AL2971,$AL2971))</f>
        <v/>
      </c>
    </row>
    <row r="2972" spans="38:53" ht="15" customHeight="1" x14ac:dyDescent="0.25">
      <c r="AL2972" s="31"/>
      <c r="AM2972" s="26"/>
      <c r="AN2972" s="32"/>
      <c r="AO2972" s="32"/>
      <c r="AP2972" s="24"/>
      <c r="AQ2972" s="24"/>
      <c r="AR2972" s="33"/>
      <c r="AS2972" s="34"/>
      <c r="AT2972" s="33"/>
      <c r="AV2972" s="21">
        <f>IF(AND($AL2972&lt;&gt;"",COUNTIF($AL$11:$AL2972,$AL2972)=1),1,0)</f>
        <v>0</v>
      </c>
      <c r="AW2972" s="21">
        <f t="shared" si="179"/>
        <v>0</v>
      </c>
      <c r="AX2972" s="21" t="str">
        <f t="shared" si="178"/>
        <v/>
      </c>
      <c r="AY2972" s="21" t="str">
        <f>IF(AND($AM2972&lt;&gt;"",$AS2972&lt;&gt;"✓"),SUMPRODUCT(($AM$11:$AM2972&lt;&gt;"")*($AS$11:$AS2972&lt;&gt;"✓")),"")</f>
        <v/>
      </c>
      <c r="AZ2972" s="21" t="str">
        <f>IF(AND($AM2972&lt;&gt;"",$AS2972="✓"),SUMPRODUCT(($AM$11:$AM2972&lt;&gt;"")*($AS$11:$AS2972="✓")),"")</f>
        <v/>
      </c>
      <c r="BA2972" s="21" t="str">
        <f>IF($AL2972="","",$AL2972&amp;"|"&amp;COUNTIF($AL$11:$AL2972,$AL2972))</f>
        <v/>
      </c>
    </row>
    <row r="2973" spans="38:53" ht="15" customHeight="1" x14ac:dyDescent="0.25">
      <c r="AL2973" s="17"/>
      <c r="AM2973" s="12"/>
      <c r="AN2973" s="18"/>
      <c r="AO2973" s="18"/>
      <c r="AP2973" s="10"/>
      <c r="AQ2973" s="10"/>
      <c r="AR2973" s="19"/>
      <c r="AS2973" s="20"/>
      <c r="AT2973" s="19"/>
      <c r="AV2973" s="21">
        <f>IF(AND($AL2973&lt;&gt;"",COUNTIF($AL$11:$AL2973,$AL2973)=1),1,0)</f>
        <v>0</v>
      </c>
      <c r="AW2973" s="21">
        <f t="shared" si="179"/>
        <v>0</v>
      </c>
      <c r="AX2973" s="21" t="str">
        <f t="shared" si="178"/>
        <v/>
      </c>
      <c r="AY2973" s="21" t="str">
        <f>IF(AND($AM2973&lt;&gt;"",$AS2973&lt;&gt;"✓"),SUMPRODUCT(($AM$11:$AM2973&lt;&gt;"")*($AS$11:$AS2973&lt;&gt;"✓")),"")</f>
        <v/>
      </c>
      <c r="AZ2973" s="21" t="str">
        <f>IF(AND($AM2973&lt;&gt;"",$AS2973="✓"),SUMPRODUCT(($AM$11:$AM2973&lt;&gt;"")*($AS$11:$AS2973="✓")),"")</f>
        <v/>
      </c>
      <c r="BA2973" s="21" t="str">
        <f>IF($AL2973="","",$AL2973&amp;"|"&amp;COUNTIF($AL$11:$AL2973,$AL2973))</f>
        <v/>
      </c>
    </row>
    <row r="2974" spans="38:53" ht="15" customHeight="1" x14ac:dyDescent="0.25">
      <c r="AL2974" s="31"/>
      <c r="AM2974" s="26"/>
      <c r="AN2974" s="32"/>
      <c r="AO2974" s="32"/>
      <c r="AP2974" s="24"/>
      <c r="AQ2974" s="24"/>
      <c r="AR2974" s="33"/>
      <c r="AS2974" s="34"/>
      <c r="AT2974" s="33"/>
      <c r="AV2974" s="21">
        <f>IF(AND($AL2974&lt;&gt;"",COUNTIF($AL$11:$AL2974,$AL2974)=1),1,0)</f>
        <v>0</v>
      </c>
      <c r="AW2974" s="21">
        <f t="shared" si="179"/>
        <v>0</v>
      </c>
      <c r="AX2974" s="21" t="str">
        <f t="shared" si="178"/>
        <v/>
      </c>
      <c r="AY2974" s="21" t="str">
        <f>IF(AND($AM2974&lt;&gt;"",$AS2974&lt;&gt;"✓"),SUMPRODUCT(($AM$11:$AM2974&lt;&gt;"")*($AS$11:$AS2974&lt;&gt;"✓")),"")</f>
        <v/>
      </c>
      <c r="AZ2974" s="21" t="str">
        <f>IF(AND($AM2974&lt;&gt;"",$AS2974="✓"),SUMPRODUCT(($AM$11:$AM2974&lt;&gt;"")*($AS$11:$AS2974="✓")),"")</f>
        <v/>
      </c>
      <c r="BA2974" s="21" t="str">
        <f>IF($AL2974="","",$AL2974&amp;"|"&amp;COUNTIF($AL$11:$AL2974,$AL2974))</f>
        <v/>
      </c>
    </row>
    <row r="2975" spans="38:53" ht="15" customHeight="1" x14ac:dyDescent="0.25">
      <c r="AL2975" s="17"/>
      <c r="AM2975" s="12"/>
      <c r="AN2975" s="18"/>
      <c r="AO2975" s="18"/>
      <c r="AP2975" s="10"/>
      <c r="AQ2975" s="10"/>
      <c r="AR2975" s="19"/>
      <c r="AS2975" s="20"/>
      <c r="AT2975" s="19"/>
      <c r="AV2975" s="21">
        <f>IF(AND($AL2975&lt;&gt;"",COUNTIF($AL$11:$AL2975,$AL2975)=1),1,0)</f>
        <v>0</v>
      </c>
      <c r="AW2975" s="21">
        <f t="shared" si="179"/>
        <v>0</v>
      </c>
      <c r="AX2975" s="21" t="str">
        <f t="shared" si="178"/>
        <v/>
      </c>
      <c r="AY2975" s="21" t="str">
        <f>IF(AND($AM2975&lt;&gt;"",$AS2975&lt;&gt;"✓"),SUMPRODUCT(($AM$11:$AM2975&lt;&gt;"")*($AS$11:$AS2975&lt;&gt;"✓")),"")</f>
        <v/>
      </c>
      <c r="AZ2975" s="21" t="str">
        <f>IF(AND($AM2975&lt;&gt;"",$AS2975="✓"),SUMPRODUCT(($AM$11:$AM2975&lt;&gt;"")*($AS$11:$AS2975="✓")),"")</f>
        <v/>
      </c>
      <c r="BA2975" s="21" t="str">
        <f>IF($AL2975="","",$AL2975&amp;"|"&amp;COUNTIF($AL$11:$AL2975,$AL2975))</f>
        <v/>
      </c>
    </row>
    <row r="2976" spans="38:53" ht="15" customHeight="1" x14ac:dyDescent="0.25">
      <c r="AL2976" s="31"/>
      <c r="AM2976" s="26"/>
      <c r="AN2976" s="32"/>
      <c r="AO2976" s="32"/>
      <c r="AP2976" s="24"/>
      <c r="AQ2976" s="24"/>
      <c r="AR2976" s="33"/>
      <c r="AS2976" s="34"/>
      <c r="AT2976" s="33"/>
      <c r="AV2976" s="21">
        <f>IF(AND($AL2976&lt;&gt;"",COUNTIF($AL$11:$AL2976,$AL2976)=1),1,0)</f>
        <v>0</v>
      </c>
      <c r="AW2976" s="21">
        <f t="shared" si="179"/>
        <v>0</v>
      </c>
      <c r="AX2976" s="21" t="str">
        <f t="shared" si="178"/>
        <v/>
      </c>
      <c r="AY2976" s="21" t="str">
        <f>IF(AND($AM2976&lt;&gt;"",$AS2976&lt;&gt;"✓"),SUMPRODUCT(($AM$11:$AM2976&lt;&gt;"")*($AS$11:$AS2976&lt;&gt;"✓")),"")</f>
        <v/>
      </c>
      <c r="AZ2976" s="21" t="str">
        <f>IF(AND($AM2976&lt;&gt;"",$AS2976="✓"),SUMPRODUCT(($AM$11:$AM2976&lt;&gt;"")*($AS$11:$AS2976="✓")),"")</f>
        <v/>
      </c>
      <c r="BA2976" s="21" t="str">
        <f>IF($AL2976="","",$AL2976&amp;"|"&amp;COUNTIF($AL$11:$AL2976,$AL2976))</f>
        <v/>
      </c>
    </row>
    <row r="2977" spans="38:53" ht="15" customHeight="1" x14ac:dyDescent="0.25">
      <c r="AL2977" s="17"/>
      <c r="AM2977" s="12"/>
      <c r="AN2977" s="18"/>
      <c r="AO2977" s="18"/>
      <c r="AP2977" s="10"/>
      <c r="AQ2977" s="10"/>
      <c r="AR2977" s="19"/>
      <c r="AS2977" s="20"/>
      <c r="AT2977" s="19"/>
      <c r="AV2977" s="21">
        <f>IF(AND($AL2977&lt;&gt;"",COUNTIF($AL$11:$AL2977,$AL2977)=1),1,0)</f>
        <v>0</v>
      </c>
      <c r="AW2977" s="21">
        <f t="shared" si="179"/>
        <v>0</v>
      </c>
      <c r="AX2977" s="21" t="str">
        <f t="shared" si="178"/>
        <v/>
      </c>
      <c r="AY2977" s="21" t="str">
        <f>IF(AND($AM2977&lt;&gt;"",$AS2977&lt;&gt;"✓"),SUMPRODUCT(($AM$11:$AM2977&lt;&gt;"")*($AS$11:$AS2977&lt;&gt;"✓")),"")</f>
        <v/>
      </c>
      <c r="AZ2977" s="21" t="str">
        <f>IF(AND($AM2977&lt;&gt;"",$AS2977="✓"),SUMPRODUCT(($AM$11:$AM2977&lt;&gt;"")*($AS$11:$AS2977="✓")),"")</f>
        <v/>
      </c>
      <c r="BA2977" s="21" t="str">
        <f>IF($AL2977="","",$AL2977&amp;"|"&amp;COUNTIF($AL$11:$AL2977,$AL2977))</f>
        <v/>
      </c>
    </row>
    <row r="2978" spans="38:53" ht="15" customHeight="1" x14ac:dyDescent="0.25">
      <c r="AL2978" s="31"/>
      <c r="AM2978" s="26"/>
      <c r="AN2978" s="32"/>
      <c r="AO2978" s="32"/>
      <c r="AP2978" s="24"/>
      <c r="AQ2978" s="24"/>
      <c r="AR2978" s="33"/>
      <c r="AS2978" s="34"/>
      <c r="AT2978" s="33"/>
      <c r="AV2978" s="21">
        <f>IF(AND($AL2978&lt;&gt;"",COUNTIF($AL$11:$AL2978,$AL2978)=1),1,0)</f>
        <v>0</v>
      </c>
      <c r="AW2978" s="21">
        <f t="shared" si="179"/>
        <v>0</v>
      </c>
      <c r="AX2978" s="21" t="str">
        <f t="shared" si="178"/>
        <v/>
      </c>
      <c r="AY2978" s="21" t="str">
        <f>IF(AND($AM2978&lt;&gt;"",$AS2978&lt;&gt;"✓"),SUMPRODUCT(($AM$11:$AM2978&lt;&gt;"")*($AS$11:$AS2978&lt;&gt;"✓")),"")</f>
        <v/>
      </c>
      <c r="AZ2978" s="21" t="str">
        <f>IF(AND($AM2978&lt;&gt;"",$AS2978="✓"),SUMPRODUCT(($AM$11:$AM2978&lt;&gt;"")*($AS$11:$AS2978="✓")),"")</f>
        <v/>
      </c>
      <c r="BA2978" s="21" t="str">
        <f>IF($AL2978="","",$AL2978&amp;"|"&amp;COUNTIF($AL$11:$AL2978,$AL2978))</f>
        <v/>
      </c>
    </row>
    <row r="2979" spans="38:53" ht="15" customHeight="1" x14ac:dyDescent="0.25">
      <c r="AL2979" s="17"/>
      <c r="AM2979" s="12"/>
      <c r="AN2979" s="18"/>
      <c r="AO2979" s="18"/>
      <c r="AP2979" s="10"/>
      <c r="AQ2979" s="10"/>
      <c r="AR2979" s="19"/>
      <c r="AS2979" s="20"/>
      <c r="AT2979" s="19"/>
      <c r="AV2979" s="21">
        <f>IF(AND($AL2979&lt;&gt;"",COUNTIF($AL$11:$AL2979,$AL2979)=1),1,0)</f>
        <v>0</v>
      </c>
      <c r="AW2979" s="21">
        <f t="shared" si="179"/>
        <v>0</v>
      </c>
      <c r="AX2979" s="21" t="str">
        <f t="shared" si="178"/>
        <v/>
      </c>
      <c r="AY2979" s="21" t="str">
        <f>IF(AND($AM2979&lt;&gt;"",$AS2979&lt;&gt;"✓"),SUMPRODUCT(($AM$11:$AM2979&lt;&gt;"")*($AS$11:$AS2979&lt;&gt;"✓")),"")</f>
        <v/>
      </c>
      <c r="AZ2979" s="21" t="str">
        <f>IF(AND($AM2979&lt;&gt;"",$AS2979="✓"),SUMPRODUCT(($AM$11:$AM2979&lt;&gt;"")*($AS$11:$AS2979="✓")),"")</f>
        <v/>
      </c>
      <c r="BA2979" s="21" t="str">
        <f>IF($AL2979="","",$AL2979&amp;"|"&amp;COUNTIF($AL$11:$AL2979,$AL2979))</f>
        <v/>
      </c>
    </row>
    <row r="2980" spans="38:53" ht="15" customHeight="1" x14ac:dyDescent="0.25">
      <c r="AL2980" s="31"/>
      <c r="AM2980" s="26"/>
      <c r="AN2980" s="32"/>
      <c r="AO2980" s="32"/>
      <c r="AP2980" s="24"/>
      <c r="AQ2980" s="24"/>
      <c r="AR2980" s="33"/>
      <c r="AS2980" s="34"/>
      <c r="AT2980" s="33"/>
      <c r="AV2980" s="21">
        <f>IF(AND($AL2980&lt;&gt;"",COUNTIF($AL$11:$AL2980,$AL2980)=1),1,0)</f>
        <v>0</v>
      </c>
      <c r="AW2980" s="21">
        <f t="shared" si="179"/>
        <v>0</v>
      </c>
      <c r="AX2980" s="21" t="str">
        <f t="shared" si="178"/>
        <v/>
      </c>
      <c r="AY2980" s="21" t="str">
        <f>IF(AND($AM2980&lt;&gt;"",$AS2980&lt;&gt;"✓"),SUMPRODUCT(($AM$11:$AM2980&lt;&gt;"")*($AS$11:$AS2980&lt;&gt;"✓")),"")</f>
        <v/>
      </c>
      <c r="AZ2980" s="21" t="str">
        <f>IF(AND($AM2980&lt;&gt;"",$AS2980="✓"),SUMPRODUCT(($AM$11:$AM2980&lt;&gt;"")*($AS$11:$AS2980="✓")),"")</f>
        <v/>
      </c>
      <c r="BA2980" s="21" t="str">
        <f>IF($AL2980="","",$AL2980&amp;"|"&amp;COUNTIF($AL$11:$AL2980,$AL2980))</f>
        <v/>
      </c>
    </row>
    <row r="2981" spans="38:53" ht="15" customHeight="1" x14ac:dyDescent="0.25">
      <c r="AL2981" s="17"/>
      <c r="AM2981" s="12"/>
      <c r="AN2981" s="18"/>
      <c r="AO2981" s="18"/>
      <c r="AP2981" s="10"/>
      <c r="AQ2981" s="10"/>
      <c r="AR2981" s="19"/>
      <c r="AS2981" s="20"/>
      <c r="AT2981" s="19"/>
      <c r="AV2981" s="21">
        <f>IF(AND($AL2981&lt;&gt;"",COUNTIF($AL$11:$AL2981,$AL2981)=1),1,0)</f>
        <v>0</v>
      </c>
      <c r="AW2981" s="21">
        <f t="shared" si="179"/>
        <v>0</v>
      </c>
      <c r="AX2981" s="21" t="str">
        <f t="shared" si="178"/>
        <v/>
      </c>
      <c r="AY2981" s="21" t="str">
        <f>IF(AND($AM2981&lt;&gt;"",$AS2981&lt;&gt;"✓"),SUMPRODUCT(($AM$11:$AM2981&lt;&gt;"")*($AS$11:$AS2981&lt;&gt;"✓")),"")</f>
        <v/>
      </c>
      <c r="AZ2981" s="21" t="str">
        <f>IF(AND($AM2981&lt;&gt;"",$AS2981="✓"),SUMPRODUCT(($AM$11:$AM2981&lt;&gt;"")*($AS$11:$AS2981="✓")),"")</f>
        <v/>
      </c>
      <c r="BA2981" s="21" t="str">
        <f>IF($AL2981="","",$AL2981&amp;"|"&amp;COUNTIF($AL$11:$AL2981,$AL2981))</f>
        <v/>
      </c>
    </row>
    <row r="2982" spans="38:53" ht="15" customHeight="1" x14ac:dyDescent="0.25">
      <c r="AL2982" s="31"/>
      <c r="AM2982" s="26"/>
      <c r="AN2982" s="32"/>
      <c r="AO2982" s="32"/>
      <c r="AP2982" s="24"/>
      <c r="AQ2982" s="24"/>
      <c r="AR2982" s="33"/>
      <c r="AS2982" s="34"/>
      <c r="AT2982" s="33"/>
      <c r="AV2982" s="21">
        <f>IF(AND($AL2982&lt;&gt;"",COUNTIF($AL$11:$AL2982,$AL2982)=1),1,0)</f>
        <v>0</v>
      </c>
      <c r="AW2982" s="21">
        <f t="shared" si="179"/>
        <v>0</v>
      </c>
      <c r="AX2982" s="21" t="str">
        <f t="shared" si="178"/>
        <v/>
      </c>
      <c r="AY2982" s="21" t="str">
        <f>IF(AND($AM2982&lt;&gt;"",$AS2982&lt;&gt;"✓"),SUMPRODUCT(($AM$11:$AM2982&lt;&gt;"")*($AS$11:$AS2982&lt;&gt;"✓")),"")</f>
        <v/>
      </c>
      <c r="AZ2982" s="21" t="str">
        <f>IF(AND($AM2982&lt;&gt;"",$AS2982="✓"),SUMPRODUCT(($AM$11:$AM2982&lt;&gt;"")*($AS$11:$AS2982="✓")),"")</f>
        <v/>
      </c>
      <c r="BA2982" s="21" t="str">
        <f>IF($AL2982="","",$AL2982&amp;"|"&amp;COUNTIF($AL$11:$AL2982,$AL2982))</f>
        <v/>
      </c>
    </row>
    <row r="2983" spans="38:53" ht="15" customHeight="1" x14ac:dyDescent="0.25">
      <c r="AL2983" s="17"/>
      <c r="AM2983" s="12"/>
      <c r="AN2983" s="18"/>
      <c r="AO2983" s="18"/>
      <c r="AP2983" s="10"/>
      <c r="AQ2983" s="10"/>
      <c r="AR2983" s="19"/>
      <c r="AS2983" s="20"/>
      <c r="AT2983" s="19"/>
      <c r="AV2983" s="21">
        <f>IF(AND($AL2983&lt;&gt;"",COUNTIF($AL$11:$AL2983,$AL2983)=1),1,0)</f>
        <v>0</v>
      </c>
      <c r="AW2983" s="21">
        <f t="shared" si="179"/>
        <v>0</v>
      </c>
      <c r="AX2983" s="21" t="str">
        <f t="shared" si="178"/>
        <v/>
      </c>
      <c r="AY2983" s="21" t="str">
        <f>IF(AND($AM2983&lt;&gt;"",$AS2983&lt;&gt;"✓"),SUMPRODUCT(($AM$11:$AM2983&lt;&gt;"")*($AS$11:$AS2983&lt;&gt;"✓")),"")</f>
        <v/>
      </c>
      <c r="AZ2983" s="21" t="str">
        <f>IF(AND($AM2983&lt;&gt;"",$AS2983="✓"),SUMPRODUCT(($AM$11:$AM2983&lt;&gt;"")*($AS$11:$AS2983="✓")),"")</f>
        <v/>
      </c>
      <c r="BA2983" s="21" t="str">
        <f>IF($AL2983="","",$AL2983&amp;"|"&amp;COUNTIF($AL$11:$AL2983,$AL2983))</f>
        <v/>
      </c>
    </row>
    <row r="2984" spans="38:53" ht="15" customHeight="1" x14ac:dyDescent="0.25">
      <c r="AL2984" s="31"/>
      <c r="AM2984" s="26"/>
      <c r="AN2984" s="32"/>
      <c r="AO2984" s="32"/>
      <c r="AP2984" s="24"/>
      <c r="AQ2984" s="24"/>
      <c r="AR2984" s="33"/>
      <c r="AS2984" s="34"/>
      <c r="AT2984" s="33"/>
      <c r="AV2984" s="21">
        <f>IF(AND($AL2984&lt;&gt;"",COUNTIF($AL$11:$AL2984,$AL2984)=1),1,0)</f>
        <v>0</v>
      </c>
      <c r="AW2984" s="21">
        <f t="shared" si="179"/>
        <v>0</v>
      </c>
      <c r="AX2984" s="21" t="str">
        <f t="shared" si="178"/>
        <v/>
      </c>
      <c r="AY2984" s="21" t="str">
        <f>IF(AND($AM2984&lt;&gt;"",$AS2984&lt;&gt;"✓"),SUMPRODUCT(($AM$11:$AM2984&lt;&gt;"")*($AS$11:$AS2984&lt;&gt;"✓")),"")</f>
        <v/>
      </c>
      <c r="AZ2984" s="21" t="str">
        <f>IF(AND($AM2984&lt;&gt;"",$AS2984="✓"),SUMPRODUCT(($AM$11:$AM2984&lt;&gt;"")*($AS$11:$AS2984="✓")),"")</f>
        <v/>
      </c>
      <c r="BA2984" s="21" t="str">
        <f>IF($AL2984="","",$AL2984&amp;"|"&amp;COUNTIF($AL$11:$AL2984,$AL2984))</f>
        <v/>
      </c>
    </row>
    <row r="2985" spans="38:53" ht="15" customHeight="1" x14ac:dyDescent="0.25">
      <c r="AL2985" s="17"/>
      <c r="AM2985" s="12"/>
      <c r="AN2985" s="18"/>
      <c r="AO2985" s="18"/>
      <c r="AP2985" s="10"/>
      <c r="AQ2985" s="10"/>
      <c r="AR2985" s="19"/>
      <c r="AS2985" s="20"/>
      <c r="AT2985" s="19"/>
      <c r="AV2985" s="21">
        <f>IF(AND($AL2985&lt;&gt;"",COUNTIF($AL$11:$AL2985,$AL2985)=1),1,0)</f>
        <v>0</v>
      </c>
      <c r="AW2985" s="21">
        <f t="shared" si="179"/>
        <v>0</v>
      </c>
      <c r="AX2985" s="21" t="str">
        <f t="shared" si="178"/>
        <v/>
      </c>
      <c r="AY2985" s="21" t="str">
        <f>IF(AND($AM2985&lt;&gt;"",$AS2985&lt;&gt;"✓"),SUMPRODUCT(($AM$11:$AM2985&lt;&gt;"")*($AS$11:$AS2985&lt;&gt;"✓")),"")</f>
        <v/>
      </c>
      <c r="AZ2985" s="21" t="str">
        <f>IF(AND($AM2985&lt;&gt;"",$AS2985="✓"),SUMPRODUCT(($AM$11:$AM2985&lt;&gt;"")*($AS$11:$AS2985="✓")),"")</f>
        <v/>
      </c>
      <c r="BA2985" s="21" t="str">
        <f>IF($AL2985="","",$AL2985&amp;"|"&amp;COUNTIF($AL$11:$AL2985,$AL2985))</f>
        <v/>
      </c>
    </row>
    <row r="2986" spans="38:53" ht="15" customHeight="1" x14ac:dyDescent="0.25">
      <c r="AL2986" s="31"/>
      <c r="AM2986" s="26"/>
      <c r="AN2986" s="32"/>
      <c r="AO2986" s="32"/>
      <c r="AP2986" s="24"/>
      <c r="AQ2986" s="24"/>
      <c r="AR2986" s="33"/>
      <c r="AS2986" s="34"/>
      <c r="AT2986" s="33"/>
      <c r="AV2986" s="21">
        <f>IF(AND($AL2986&lt;&gt;"",COUNTIF($AL$11:$AL2986,$AL2986)=1),1,0)</f>
        <v>0</v>
      </c>
      <c r="AW2986" s="21">
        <f t="shared" si="179"/>
        <v>0</v>
      </c>
      <c r="AX2986" s="21" t="str">
        <f t="shared" si="178"/>
        <v/>
      </c>
      <c r="AY2986" s="21" t="str">
        <f>IF(AND($AM2986&lt;&gt;"",$AS2986&lt;&gt;"✓"),SUMPRODUCT(($AM$11:$AM2986&lt;&gt;"")*($AS$11:$AS2986&lt;&gt;"✓")),"")</f>
        <v/>
      </c>
      <c r="AZ2986" s="21" t="str">
        <f>IF(AND($AM2986&lt;&gt;"",$AS2986="✓"),SUMPRODUCT(($AM$11:$AM2986&lt;&gt;"")*($AS$11:$AS2986="✓")),"")</f>
        <v/>
      </c>
      <c r="BA2986" s="21" t="str">
        <f>IF($AL2986="","",$AL2986&amp;"|"&amp;COUNTIF($AL$11:$AL2986,$AL2986))</f>
        <v/>
      </c>
    </row>
    <row r="2987" spans="38:53" ht="15" customHeight="1" x14ac:dyDescent="0.25">
      <c r="AL2987" s="17"/>
      <c r="AM2987" s="12"/>
      <c r="AN2987" s="18"/>
      <c r="AO2987" s="18"/>
      <c r="AP2987" s="10"/>
      <c r="AQ2987" s="10"/>
      <c r="AR2987" s="19"/>
      <c r="AS2987" s="20"/>
      <c r="AT2987" s="19"/>
      <c r="AV2987" s="21">
        <f>IF(AND($AL2987&lt;&gt;"",COUNTIF($AL$11:$AL2987,$AL2987)=1),1,0)</f>
        <v>0</v>
      </c>
      <c r="AW2987" s="21">
        <f t="shared" si="179"/>
        <v>0</v>
      </c>
      <c r="AX2987" s="21" t="str">
        <f t="shared" si="178"/>
        <v/>
      </c>
      <c r="AY2987" s="21" t="str">
        <f>IF(AND($AM2987&lt;&gt;"",$AS2987&lt;&gt;"✓"),SUMPRODUCT(($AM$11:$AM2987&lt;&gt;"")*($AS$11:$AS2987&lt;&gt;"✓")),"")</f>
        <v/>
      </c>
      <c r="AZ2987" s="21" t="str">
        <f>IF(AND($AM2987&lt;&gt;"",$AS2987="✓"),SUMPRODUCT(($AM$11:$AM2987&lt;&gt;"")*($AS$11:$AS2987="✓")),"")</f>
        <v/>
      </c>
      <c r="BA2987" s="21" t="str">
        <f>IF($AL2987="","",$AL2987&amp;"|"&amp;COUNTIF($AL$11:$AL2987,$AL2987))</f>
        <v/>
      </c>
    </row>
    <row r="2988" spans="38:53" ht="15" customHeight="1" x14ac:dyDescent="0.25">
      <c r="AL2988" s="31"/>
      <c r="AM2988" s="26"/>
      <c r="AN2988" s="32"/>
      <c r="AO2988" s="32"/>
      <c r="AP2988" s="24"/>
      <c r="AQ2988" s="24"/>
      <c r="AR2988" s="33"/>
      <c r="AS2988" s="34"/>
      <c r="AT2988" s="33"/>
      <c r="AV2988" s="21">
        <f>IF(AND($AL2988&lt;&gt;"",COUNTIF($AL$11:$AL2988,$AL2988)=1),1,0)</f>
        <v>0</v>
      </c>
      <c r="AW2988" s="21">
        <f t="shared" si="179"/>
        <v>0</v>
      </c>
      <c r="AX2988" s="21" t="str">
        <f t="shared" si="178"/>
        <v/>
      </c>
      <c r="AY2988" s="21" t="str">
        <f>IF(AND($AM2988&lt;&gt;"",$AS2988&lt;&gt;"✓"),SUMPRODUCT(($AM$11:$AM2988&lt;&gt;"")*($AS$11:$AS2988&lt;&gt;"✓")),"")</f>
        <v/>
      </c>
      <c r="AZ2988" s="21" t="str">
        <f>IF(AND($AM2988&lt;&gt;"",$AS2988="✓"),SUMPRODUCT(($AM$11:$AM2988&lt;&gt;"")*($AS$11:$AS2988="✓")),"")</f>
        <v/>
      </c>
      <c r="BA2988" s="21" t="str">
        <f>IF($AL2988="","",$AL2988&amp;"|"&amp;COUNTIF($AL$11:$AL2988,$AL2988))</f>
        <v/>
      </c>
    </row>
    <row r="2989" spans="38:53" ht="15" customHeight="1" x14ac:dyDescent="0.25">
      <c r="AL2989" s="17"/>
      <c r="AM2989" s="12"/>
      <c r="AN2989" s="18"/>
      <c r="AO2989" s="18"/>
      <c r="AP2989" s="10"/>
      <c r="AQ2989" s="10"/>
      <c r="AR2989" s="19"/>
      <c r="AS2989" s="20"/>
      <c r="AT2989" s="19"/>
      <c r="AV2989" s="21">
        <f>IF(AND($AL2989&lt;&gt;"",COUNTIF($AL$11:$AL2989,$AL2989)=1),1,0)</f>
        <v>0</v>
      </c>
      <c r="AW2989" s="21">
        <f t="shared" si="179"/>
        <v>0</v>
      </c>
      <c r="AX2989" s="21" t="str">
        <f t="shared" si="178"/>
        <v/>
      </c>
      <c r="AY2989" s="21" t="str">
        <f>IF(AND($AM2989&lt;&gt;"",$AS2989&lt;&gt;"✓"),SUMPRODUCT(($AM$11:$AM2989&lt;&gt;"")*($AS$11:$AS2989&lt;&gt;"✓")),"")</f>
        <v/>
      </c>
      <c r="AZ2989" s="21" t="str">
        <f>IF(AND($AM2989&lt;&gt;"",$AS2989="✓"),SUMPRODUCT(($AM$11:$AM2989&lt;&gt;"")*($AS$11:$AS2989="✓")),"")</f>
        <v/>
      </c>
      <c r="BA2989" s="21" t="str">
        <f>IF($AL2989="","",$AL2989&amp;"|"&amp;COUNTIF($AL$11:$AL2989,$AL2989))</f>
        <v/>
      </c>
    </row>
    <row r="2990" spans="38:53" ht="15" customHeight="1" x14ac:dyDescent="0.25">
      <c r="AL2990" s="31"/>
      <c r="AM2990" s="26"/>
      <c r="AN2990" s="32"/>
      <c r="AO2990" s="32"/>
      <c r="AP2990" s="24"/>
      <c r="AQ2990" s="24"/>
      <c r="AR2990" s="33"/>
      <c r="AS2990" s="34"/>
      <c r="AT2990" s="33"/>
      <c r="AV2990" s="21">
        <f>IF(AND($AL2990&lt;&gt;"",COUNTIF($AL$11:$AL2990,$AL2990)=1),1,0)</f>
        <v>0</v>
      </c>
      <c r="AW2990" s="21">
        <f t="shared" si="179"/>
        <v>0</v>
      </c>
      <c r="AX2990" s="21" t="str">
        <f t="shared" si="178"/>
        <v/>
      </c>
      <c r="AY2990" s="21" t="str">
        <f>IF(AND($AM2990&lt;&gt;"",$AS2990&lt;&gt;"✓"),SUMPRODUCT(($AM$11:$AM2990&lt;&gt;"")*($AS$11:$AS2990&lt;&gt;"✓")),"")</f>
        <v/>
      </c>
      <c r="AZ2990" s="21" t="str">
        <f>IF(AND($AM2990&lt;&gt;"",$AS2990="✓"),SUMPRODUCT(($AM$11:$AM2990&lt;&gt;"")*($AS$11:$AS2990="✓")),"")</f>
        <v/>
      </c>
      <c r="BA2990" s="21" t="str">
        <f>IF($AL2990="","",$AL2990&amp;"|"&amp;COUNTIF($AL$11:$AL2990,$AL2990))</f>
        <v/>
      </c>
    </row>
    <row r="2991" spans="38:53" ht="15" customHeight="1" x14ac:dyDescent="0.25">
      <c r="AL2991" s="17"/>
      <c r="AM2991" s="12"/>
      <c r="AN2991" s="18"/>
      <c r="AO2991" s="18"/>
      <c r="AP2991" s="10"/>
      <c r="AQ2991" s="10"/>
      <c r="AR2991" s="19"/>
      <c r="AS2991" s="20"/>
      <c r="AT2991" s="19"/>
      <c r="AV2991" s="21">
        <f>IF(AND($AL2991&lt;&gt;"",COUNTIF($AL$11:$AL2991,$AL2991)=1),1,0)</f>
        <v>0</v>
      </c>
      <c r="AW2991" s="21">
        <f t="shared" si="179"/>
        <v>0</v>
      </c>
      <c r="AX2991" s="21" t="str">
        <f t="shared" si="178"/>
        <v/>
      </c>
      <c r="AY2991" s="21" t="str">
        <f>IF(AND($AM2991&lt;&gt;"",$AS2991&lt;&gt;"✓"),SUMPRODUCT(($AM$11:$AM2991&lt;&gt;"")*($AS$11:$AS2991&lt;&gt;"✓")),"")</f>
        <v/>
      </c>
      <c r="AZ2991" s="21" t="str">
        <f>IF(AND($AM2991&lt;&gt;"",$AS2991="✓"),SUMPRODUCT(($AM$11:$AM2991&lt;&gt;"")*($AS$11:$AS2991="✓")),"")</f>
        <v/>
      </c>
      <c r="BA2991" s="21" t="str">
        <f>IF($AL2991="","",$AL2991&amp;"|"&amp;COUNTIF($AL$11:$AL2991,$AL2991))</f>
        <v/>
      </c>
    </row>
    <row r="2992" spans="38:53" ht="15" customHeight="1" x14ac:dyDescent="0.25">
      <c r="AL2992" s="31"/>
      <c r="AM2992" s="26"/>
      <c r="AN2992" s="32"/>
      <c r="AO2992" s="32"/>
      <c r="AP2992" s="24"/>
      <c r="AQ2992" s="24"/>
      <c r="AR2992" s="33"/>
      <c r="AS2992" s="34"/>
      <c r="AT2992" s="33"/>
      <c r="AV2992" s="21">
        <f>IF(AND($AL2992&lt;&gt;"",COUNTIF($AL$11:$AL2992,$AL2992)=1),1,0)</f>
        <v>0</v>
      </c>
      <c r="AW2992" s="21">
        <f t="shared" si="179"/>
        <v>0</v>
      </c>
      <c r="AX2992" s="21" t="str">
        <f t="shared" si="178"/>
        <v/>
      </c>
      <c r="AY2992" s="21" t="str">
        <f>IF(AND($AM2992&lt;&gt;"",$AS2992&lt;&gt;"✓"),SUMPRODUCT(($AM$11:$AM2992&lt;&gt;"")*($AS$11:$AS2992&lt;&gt;"✓")),"")</f>
        <v/>
      </c>
      <c r="AZ2992" s="21" t="str">
        <f>IF(AND($AM2992&lt;&gt;"",$AS2992="✓"),SUMPRODUCT(($AM$11:$AM2992&lt;&gt;"")*($AS$11:$AS2992="✓")),"")</f>
        <v/>
      </c>
      <c r="BA2992" s="21" t="str">
        <f>IF($AL2992="","",$AL2992&amp;"|"&amp;COUNTIF($AL$11:$AL2992,$AL2992))</f>
        <v/>
      </c>
    </row>
    <row r="2993" spans="38:53" ht="15" customHeight="1" x14ac:dyDescent="0.25">
      <c r="AL2993" s="17"/>
      <c r="AM2993" s="12"/>
      <c r="AN2993" s="18"/>
      <c r="AO2993" s="18"/>
      <c r="AP2993" s="10"/>
      <c r="AQ2993" s="10"/>
      <c r="AR2993" s="19"/>
      <c r="AS2993" s="20"/>
      <c r="AT2993" s="19"/>
      <c r="AV2993" s="21">
        <f>IF(AND($AL2993&lt;&gt;"",COUNTIF($AL$11:$AL2993,$AL2993)=1),1,0)</f>
        <v>0</v>
      </c>
      <c r="AW2993" s="21">
        <f t="shared" si="179"/>
        <v>0</v>
      </c>
      <c r="AX2993" s="21" t="str">
        <f t="shared" si="178"/>
        <v/>
      </c>
      <c r="AY2993" s="21" t="str">
        <f>IF(AND($AM2993&lt;&gt;"",$AS2993&lt;&gt;"✓"),SUMPRODUCT(($AM$11:$AM2993&lt;&gt;"")*($AS$11:$AS2993&lt;&gt;"✓")),"")</f>
        <v/>
      </c>
      <c r="AZ2993" s="21" t="str">
        <f>IF(AND($AM2993&lt;&gt;"",$AS2993="✓"),SUMPRODUCT(($AM$11:$AM2993&lt;&gt;"")*($AS$11:$AS2993="✓")),"")</f>
        <v/>
      </c>
      <c r="BA2993" s="21" t="str">
        <f>IF($AL2993="","",$AL2993&amp;"|"&amp;COUNTIF($AL$11:$AL2993,$AL2993))</f>
        <v/>
      </c>
    </row>
    <row r="2994" spans="38:53" ht="15" customHeight="1" x14ac:dyDescent="0.25">
      <c r="AL2994" s="31"/>
      <c r="AM2994" s="26"/>
      <c r="AN2994" s="32"/>
      <c r="AO2994" s="32"/>
      <c r="AP2994" s="24"/>
      <c r="AQ2994" s="24"/>
      <c r="AR2994" s="33"/>
      <c r="AS2994" s="34"/>
      <c r="AT2994" s="33"/>
      <c r="AV2994" s="21">
        <f>IF(AND($AL2994&lt;&gt;"",COUNTIF($AL$11:$AL2994,$AL2994)=1),1,0)</f>
        <v>0</v>
      </c>
      <c r="AW2994" s="21">
        <f t="shared" si="179"/>
        <v>0</v>
      </c>
      <c r="AX2994" s="21" t="str">
        <f t="shared" si="178"/>
        <v/>
      </c>
      <c r="AY2994" s="21" t="str">
        <f>IF(AND($AM2994&lt;&gt;"",$AS2994&lt;&gt;"✓"),SUMPRODUCT(($AM$11:$AM2994&lt;&gt;"")*($AS$11:$AS2994&lt;&gt;"✓")),"")</f>
        <v/>
      </c>
      <c r="AZ2994" s="21" t="str">
        <f>IF(AND($AM2994&lt;&gt;"",$AS2994="✓"),SUMPRODUCT(($AM$11:$AM2994&lt;&gt;"")*($AS$11:$AS2994="✓")),"")</f>
        <v/>
      </c>
      <c r="BA2994" s="21" t="str">
        <f>IF($AL2994="","",$AL2994&amp;"|"&amp;COUNTIF($AL$11:$AL2994,$AL2994))</f>
        <v/>
      </c>
    </row>
    <row r="2995" spans="38:53" ht="15" customHeight="1" x14ac:dyDescent="0.25">
      <c r="AL2995" s="17"/>
      <c r="AM2995" s="12"/>
      <c r="AN2995" s="18"/>
      <c r="AO2995" s="18"/>
      <c r="AP2995" s="10"/>
      <c r="AQ2995" s="10"/>
      <c r="AR2995" s="19"/>
      <c r="AS2995" s="20"/>
      <c r="AT2995" s="19"/>
      <c r="AV2995" s="21">
        <f>IF(AND($AL2995&lt;&gt;"",COUNTIF($AL$11:$AL2995,$AL2995)=1),1,0)</f>
        <v>0</v>
      </c>
      <c r="AW2995" s="21">
        <f t="shared" si="179"/>
        <v>0</v>
      </c>
      <c r="AX2995" s="21" t="str">
        <f t="shared" si="178"/>
        <v/>
      </c>
      <c r="AY2995" s="21" t="str">
        <f>IF(AND($AM2995&lt;&gt;"",$AS2995&lt;&gt;"✓"),SUMPRODUCT(($AM$11:$AM2995&lt;&gt;"")*($AS$11:$AS2995&lt;&gt;"✓")),"")</f>
        <v/>
      </c>
      <c r="AZ2995" s="21" t="str">
        <f>IF(AND($AM2995&lt;&gt;"",$AS2995="✓"),SUMPRODUCT(($AM$11:$AM2995&lt;&gt;"")*($AS$11:$AS2995="✓")),"")</f>
        <v/>
      </c>
      <c r="BA2995" s="21" t="str">
        <f>IF($AL2995="","",$AL2995&amp;"|"&amp;COUNTIF($AL$11:$AL2995,$AL2995))</f>
        <v/>
      </c>
    </row>
    <row r="2996" spans="38:53" ht="15" customHeight="1" x14ac:dyDescent="0.25">
      <c r="AL2996" s="31"/>
      <c r="AM2996" s="26"/>
      <c r="AN2996" s="32"/>
      <c r="AO2996" s="32"/>
      <c r="AP2996" s="24"/>
      <c r="AQ2996" s="24"/>
      <c r="AR2996" s="33"/>
      <c r="AS2996" s="34"/>
      <c r="AT2996" s="33"/>
      <c r="AV2996" s="21">
        <f>IF(AND($AL2996&lt;&gt;"",COUNTIF($AL$11:$AL2996,$AL2996)=1),1,0)</f>
        <v>0</v>
      </c>
      <c r="AW2996" s="21">
        <f t="shared" si="179"/>
        <v>0</v>
      </c>
      <c r="AX2996" s="21" t="str">
        <f t="shared" si="178"/>
        <v/>
      </c>
      <c r="AY2996" s="21" t="str">
        <f>IF(AND($AM2996&lt;&gt;"",$AS2996&lt;&gt;"✓"),SUMPRODUCT(($AM$11:$AM2996&lt;&gt;"")*($AS$11:$AS2996&lt;&gt;"✓")),"")</f>
        <v/>
      </c>
      <c r="AZ2996" s="21" t="str">
        <f>IF(AND($AM2996&lt;&gt;"",$AS2996="✓"),SUMPRODUCT(($AM$11:$AM2996&lt;&gt;"")*($AS$11:$AS2996="✓")),"")</f>
        <v/>
      </c>
      <c r="BA2996" s="21" t="str">
        <f>IF($AL2996="","",$AL2996&amp;"|"&amp;COUNTIF($AL$11:$AL2996,$AL2996))</f>
        <v/>
      </c>
    </row>
    <row r="2997" spans="38:53" ht="15" customHeight="1" x14ac:dyDescent="0.25">
      <c r="AL2997" s="17"/>
      <c r="AM2997" s="12"/>
      <c r="AN2997" s="18"/>
      <c r="AO2997" s="18"/>
      <c r="AP2997" s="10"/>
      <c r="AQ2997" s="10"/>
      <c r="AR2997" s="19"/>
      <c r="AS2997" s="20"/>
      <c r="AT2997" s="19"/>
      <c r="AV2997" s="21">
        <f>IF(AND($AL2997&lt;&gt;"",COUNTIF($AL$11:$AL2997,$AL2997)=1),1,0)</f>
        <v>0</v>
      </c>
      <c r="AW2997" s="21">
        <f t="shared" si="179"/>
        <v>0</v>
      </c>
      <c r="AX2997" s="21" t="str">
        <f t="shared" si="178"/>
        <v/>
      </c>
      <c r="AY2997" s="21" t="str">
        <f>IF(AND($AM2997&lt;&gt;"",$AS2997&lt;&gt;"✓"),SUMPRODUCT(($AM$11:$AM2997&lt;&gt;"")*($AS$11:$AS2997&lt;&gt;"✓")),"")</f>
        <v/>
      </c>
      <c r="AZ2997" s="21" t="str">
        <f>IF(AND($AM2997&lt;&gt;"",$AS2997="✓"),SUMPRODUCT(($AM$11:$AM2997&lt;&gt;"")*($AS$11:$AS2997="✓")),"")</f>
        <v/>
      </c>
      <c r="BA2997" s="21" t="str">
        <f>IF($AL2997="","",$AL2997&amp;"|"&amp;COUNTIF($AL$11:$AL2997,$AL2997))</f>
        <v/>
      </c>
    </row>
    <row r="2998" spans="38:53" ht="15" customHeight="1" x14ac:dyDescent="0.25">
      <c r="AL2998" s="31"/>
      <c r="AM2998" s="26"/>
      <c r="AN2998" s="32"/>
      <c r="AO2998" s="32"/>
      <c r="AP2998" s="24"/>
      <c r="AQ2998" s="24"/>
      <c r="AR2998" s="33"/>
      <c r="AS2998" s="34"/>
      <c r="AT2998" s="33"/>
      <c r="AV2998" s="21">
        <f>IF(AND($AL2998&lt;&gt;"",COUNTIF($AL$11:$AL2998,$AL2998)=1),1,0)</f>
        <v>0</v>
      </c>
      <c r="AW2998" s="21">
        <f t="shared" si="179"/>
        <v>0</v>
      </c>
      <c r="AX2998" s="21" t="str">
        <f t="shared" si="178"/>
        <v/>
      </c>
      <c r="AY2998" s="21" t="str">
        <f>IF(AND($AM2998&lt;&gt;"",$AS2998&lt;&gt;"✓"),SUMPRODUCT(($AM$11:$AM2998&lt;&gt;"")*($AS$11:$AS2998&lt;&gt;"✓")),"")</f>
        <v/>
      </c>
      <c r="AZ2998" s="21" t="str">
        <f>IF(AND($AM2998&lt;&gt;"",$AS2998="✓"),SUMPRODUCT(($AM$11:$AM2998&lt;&gt;"")*($AS$11:$AS2998="✓")),"")</f>
        <v/>
      </c>
      <c r="BA2998" s="21" t="str">
        <f>IF($AL2998="","",$AL2998&amp;"|"&amp;COUNTIF($AL$11:$AL2998,$AL2998))</f>
        <v/>
      </c>
    </row>
    <row r="2999" spans="38:53" ht="15" customHeight="1" x14ac:dyDescent="0.25">
      <c r="AL2999" s="17"/>
      <c r="AM2999" s="12"/>
      <c r="AN2999" s="18"/>
      <c r="AO2999" s="18"/>
      <c r="AP2999" s="10"/>
      <c r="AQ2999" s="10"/>
      <c r="AR2999" s="19"/>
      <c r="AS2999" s="20"/>
      <c r="AT2999" s="19"/>
      <c r="AV2999" s="21">
        <f>IF(AND($AL2999&lt;&gt;"",COUNTIF($AL$11:$AL2999,$AL2999)=1),1,0)</f>
        <v>0</v>
      </c>
      <c r="AW2999" s="21">
        <f t="shared" si="179"/>
        <v>0</v>
      </c>
      <c r="AX2999" s="21" t="str">
        <f t="shared" si="178"/>
        <v/>
      </c>
      <c r="AY2999" s="21" t="str">
        <f>IF(AND($AM2999&lt;&gt;"",$AS2999&lt;&gt;"✓"),SUMPRODUCT(($AM$11:$AM2999&lt;&gt;"")*($AS$11:$AS2999&lt;&gt;"✓")),"")</f>
        <v/>
      </c>
      <c r="AZ2999" s="21" t="str">
        <f>IF(AND($AM2999&lt;&gt;"",$AS2999="✓"),SUMPRODUCT(($AM$11:$AM2999&lt;&gt;"")*($AS$11:$AS2999="✓")),"")</f>
        <v/>
      </c>
      <c r="BA2999" s="21" t="str">
        <f>IF($AL2999="","",$AL2999&amp;"|"&amp;COUNTIF($AL$11:$AL2999,$AL2999))</f>
        <v/>
      </c>
    </row>
    <row r="3000" spans="38:53" ht="15" customHeight="1" x14ac:dyDescent="0.25">
      <c r="AL3000" s="31"/>
      <c r="AM3000" s="26"/>
      <c r="AN3000" s="32"/>
      <c r="AO3000" s="32"/>
      <c r="AP3000" s="24"/>
      <c r="AQ3000" s="24"/>
      <c r="AR3000" s="33"/>
      <c r="AS3000" s="34"/>
      <c r="AT3000" s="33"/>
      <c r="AV3000" s="21">
        <f>IF(AND($AL3000&lt;&gt;"",COUNTIF($AL$11:$AL3000,$AL3000)=1),1,0)</f>
        <v>0</v>
      </c>
      <c r="AW3000" s="21">
        <f t="shared" si="179"/>
        <v>0</v>
      </c>
      <c r="AX3000" s="21" t="str">
        <f t="shared" si="178"/>
        <v/>
      </c>
      <c r="AY3000" s="21" t="str">
        <f>IF(AND($AM3000&lt;&gt;"",$AS3000&lt;&gt;"✓"),SUMPRODUCT(($AM$11:$AM3000&lt;&gt;"")*($AS$11:$AS3000&lt;&gt;"✓")),"")</f>
        <v/>
      </c>
      <c r="AZ3000" s="21" t="str">
        <f>IF(AND($AM3000&lt;&gt;"",$AS3000="✓"),SUMPRODUCT(($AM$11:$AM3000&lt;&gt;"")*($AS$11:$AS3000="✓")),"")</f>
        <v/>
      </c>
      <c r="BA3000" s="21" t="str">
        <f>IF($AL3000="","",$AL3000&amp;"|"&amp;COUNTIF($AL$11:$AL3000,$AL3000))</f>
        <v/>
      </c>
    </row>
    <row r="3001" spans="38:53" ht="15" customHeight="1" x14ac:dyDescent="0.25">
      <c r="AL3001" s="17"/>
      <c r="AM3001" s="12"/>
      <c r="AN3001" s="18"/>
      <c r="AO3001" s="18"/>
      <c r="AP3001" s="10"/>
      <c r="AQ3001" s="10"/>
      <c r="AR3001" s="19"/>
      <c r="AS3001" s="20"/>
      <c r="AT3001" s="19"/>
      <c r="AV3001" s="21">
        <f>IF(AND($AL3001&lt;&gt;"",COUNTIF($AL$11:$AL3001,$AL3001)=1),1,0)</f>
        <v>0</v>
      </c>
      <c r="AW3001" s="21">
        <f t="shared" si="179"/>
        <v>0</v>
      </c>
      <c r="AX3001" s="21" t="str">
        <f t="shared" si="178"/>
        <v/>
      </c>
      <c r="AY3001" s="21" t="str">
        <f>IF(AND($AM3001&lt;&gt;"",$AS3001&lt;&gt;"✓"),SUMPRODUCT(($AM$11:$AM3001&lt;&gt;"")*($AS$11:$AS3001&lt;&gt;"✓")),"")</f>
        <v/>
      </c>
      <c r="AZ3001" s="21" t="str">
        <f>IF(AND($AM3001&lt;&gt;"",$AS3001="✓"),SUMPRODUCT(($AM$11:$AM3001&lt;&gt;"")*($AS$11:$AS3001="✓")),"")</f>
        <v/>
      </c>
      <c r="BA3001" s="21" t="str">
        <f>IF($AL3001="","",$AL3001&amp;"|"&amp;COUNTIF($AL$11:$AL3001,$AL3001))</f>
        <v/>
      </c>
    </row>
    <row r="3002" spans="38:53" ht="15" customHeight="1" x14ac:dyDescent="0.25">
      <c r="AL3002" s="31"/>
      <c r="AM3002" s="26"/>
      <c r="AN3002" s="32"/>
      <c r="AO3002" s="32"/>
      <c r="AP3002" s="24"/>
      <c r="AQ3002" s="24"/>
      <c r="AR3002" s="33"/>
      <c r="AS3002" s="34"/>
      <c r="AT3002" s="33"/>
      <c r="AV3002" s="21">
        <f>IF(AND($AL3002&lt;&gt;"",COUNTIF($AL$11:$AL3002,$AL3002)=1),1,0)</f>
        <v>0</v>
      </c>
      <c r="AW3002" s="21">
        <f t="shared" si="179"/>
        <v>0</v>
      </c>
      <c r="AX3002" s="21" t="str">
        <f t="shared" si="178"/>
        <v/>
      </c>
      <c r="AY3002" s="21" t="str">
        <f>IF(AND($AM3002&lt;&gt;"",$AS3002&lt;&gt;"✓"),SUMPRODUCT(($AM$11:$AM3002&lt;&gt;"")*($AS$11:$AS3002&lt;&gt;"✓")),"")</f>
        <v/>
      </c>
      <c r="AZ3002" s="21" t="str">
        <f>IF(AND($AM3002&lt;&gt;"",$AS3002="✓"),SUMPRODUCT(($AM$11:$AM3002&lt;&gt;"")*($AS$11:$AS3002="✓")),"")</f>
        <v/>
      </c>
      <c r="BA3002" s="21" t="str">
        <f>IF($AL3002="","",$AL3002&amp;"|"&amp;COUNTIF($AL$11:$AL3002,$AL3002))</f>
        <v/>
      </c>
    </row>
    <row r="3003" spans="38:53" ht="15" customHeight="1" x14ac:dyDescent="0.25">
      <c r="AL3003" s="17"/>
      <c r="AM3003" s="12"/>
      <c r="AN3003" s="18"/>
      <c r="AO3003" s="18"/>
      <c r="AP3003" s="10"/>
      <c r="AQ3003" s="10"/>
      <c r="AR3003" s="19"/>
      <c r="AS3003" s="20"/>
      <c r="AT3003" s="19"/>
      <c r="AV3003" s="21">
        <f>IF(AND($AL3003&lt;&gt;"",COUNTIF($AL$11:$AL3003,$AL3003)=1),1,0)</f>
        <v>0</v>
      </c>
      <c r="AW3003" s="21">
        <f t="shared" si="179"/>
        <v>0</v>
      </c>
      <c r="AX3003" s="21" t="str">
        <f t="shared" si="178"/>
        <v/>
      </c>
      <c r="AY3003" s="21" t="str">
        <f>IF(AND($AM3003&lt;&gt;"",$AS3003&lt;&gt;"✓"),SUMPRODUCT(($AM$11:$AM3003&lt;&gt;"")*($AS$11:$AS3003&lt;&gt;"✓")),"")</f>
        <v/>
      </c>
      <c r="AZ3003" s="21" t="str">
        <f>IF(AND($AM3003&lt;&gt;"",$AS3003="✓"),SUMPRODUCT(($AM$11:$AM3003&lt;&gt;"")*($AS$11:$AS3003="✓")),"")</f>
        <v/>
      </c>
      <c r="BA3003" s="21" t="str">
        <f>IF($AL3003="","",$AL3003&amp;"|"&amp;COUNTIF($AL$11:$AL3003,$AL3003))</f>
        <v/>
      </c>
    </row>
    <row r="3004" spans="38:53" ht="15" customHeight="1" x14ac:dyDescent="0.25">
      <c r="AL3004" s="31"/>
      <c r="AM3004" s="26"/>
      <c r="AN3004" s="32"/>
      <c r="AO3004" s="32"/>
      <c r="AP3004" s="24"/>
      <c r="AQ3004" s="24"/>
      <c r="AR3004" s="33"/>
      <c r="AS3004" s="34"/>
      <c r="AT3004" s="33"/>
      <c r="AV3004" s="21">
        <f>IF(AND($AL3004&lt;&gt;"",COUNTIF($AL$11:$AL3004,$AL3004)=1),1,0)</f>
        <v>0</v>
      </c>
      <c r="AW3004" s="21">
        <f t="shared" si="179"/>
        <v>0</v>
      </c>
      <c r="AX3004" s="21" t="str">
        <f t="shared" si="178"/>
        <v/>
      </c>
      <c r="AY3004" s="21" t="str">
        <f>IF(AND($AM3004&lt;&gt;"",$AS3004&lt;&gt;"✓"),SUMPRODUCT(($AM$11:$AM3004&lt;&gt;"")*($AS$11:$AS3004&lt;&gt;"✓")),"")</f>
        <v/>
      </c>
      <c r="AZ3004" s="21" t="str">
        <f>IF(AND($AM3004&lt;&gt;"",$AS3004="✓"),SUMPRODUCT(($AM$11:$AM3004&lt;&gt;"")*($AS$11:$AS3004="✓")),"")</f>
        <v/>
      </c>
      <c r="BA3004" s="21" t="str">
        <f>IF($AL3004="","",$AL3004&amp;"|"&amp;COUNTIF($AL$11:$AL3004,$AL3004))</f>
        <v/>
      </c>
    </row>
    <row r="3005" spans="38:53" ht="15" customHeight="1" x14ac:dyDescent="0.25">
      <c r="AL3005" s="17"/>
      <c r="AM3005" s="12"/>
      <c r="AN3005" s="18"/>
      <c r="AO3005" s="18"/>
      <c r="AP3005" s="10"/>
      <c r="AQ3005" s="10"/>
      <c r="AR3005" s="19"/>
      <c r="AS3005" s="20"/>
      <c r="AT3005" s="19"/>
      <c r="AV3005" s="21">
        <f>IF(AND($AL3005&lt;&gt;"",COUNTIF($AL$11:$AL3005,$AL3005)=1),1,0)</f>
        <v>0</v>
      </c>
      <c r="AW3005" s="21">
        <f t="shared" si="179"/>
        <v>0</v>
      </c>
      <c r="AX3005" s="21" t="str">
        <f t="shared" si="178"/>
        <v/>
      </c>
      <c r="AY3005" s="21" t="str">
        <f>IF(AND($AM3005&lt;&gt;"",$AS3005&lt;&gt;"✓"),SUMPRODUCT(($AM$11:$AM3005&lt;&gt;"")*($AS$11:$AS3005&lt;&gt;"✓")),"")</f>
        <v/>
      </c>
      <c r="AZ3005" s="21" t="str">
        <f>IF(AND($AM3005&lt;&gt;"",$AS3005="✓"),SUMPRODUCT(($AM$11:$AM3005&lt;&gt;"")*($AS$11:$AS3005="✓")),"")</f>
        <v/>
      </c>
      <c r="BA3005" s="21" t="str">
        <f>IF($AL3005="","",$AL3005&amp;"|"&amp;COUNTIF($AL$11:$AL3005,$AL3005))</f>
        <v/>
      </c>
    </row>
    <row r="3006" spans="38:53" ht="15" customHeight="1" x14ac:dyDescent="0.25">
      <c r="AL3006" s="31"/>
      <c r="AM3006" s="26"/>
      <c r="AN3006" s="32"/>
      <c r="AO3006" s="32"/>
      <c r="AP3006" s="24"/>
      <c r="AQ3006" s="24"/>
      <c r="AR3006" s="33"/>
      <c r="AS3006" s="34"/>
      <c r="AT3006" s="33"/>
      <c r="AV3006" s="21">
        <f>IF(AND($AL3006&lt;&gt;"",COUNTIF($AL$11:$AL3006,$AL3006)=1),1,0)</f>
        <v>0</v>
      </c>
      <c r="AW3006" s="21">
        <f t="shared" si="179"/>
        <v>0</v>
      </c>
      <c r="AX3006" s="21" t="str">
        <f t="shared" si="178"/>
        <v/>
      </c>
      <c r="AY3006" s="21" t="str">
        <f>IF(AND($AM3006&lt;&gt;"",$AS3006&lt;&gt;"✓"),SUMPRODUCT(($AM$11:$AM3006&lt;&gt;"")*($AS$11:$AS3006&lt;&gt;"✓")),"")</f>
        <v/>
      </c>
      <c r="AZ3006" s="21" t="str">
        <f>IF(AND($AM3006&lt;&gt;"",$AS3006="✓"),SUMPRODUCT(($AM$11:$AM3006&lt;&gt;"")*($AS$11:$AS3006="✓")),"")</f>
        <v/>
      </c>
      <c r="BA3006" s="21" t="str">
        <f>IF($AL3006="","",$AL3006&amp;"|"&amp;COUNTIF($AL$11:$AL3006,$AL3006))</f>
        <v/>
      </c>
    </row>
    <row r="3007" spans="38:53" ht="15" customHeight="1" x14ac:dyDescent="0.25">
      <c r="AL3007" s="17"/>
      <c r="AM3007" s="12"/>
      <c r="AN3007" s="18"/>
      <c r="AO3007" s="18"/>
      <c r="AP3007" s="10"/>
      <c r="AQ3007" s="10"/>
      <c r="AR3007" s="19"/>
      <c r="AS3007" s="20"/>
      <c r="AT3007" s="19"/>
      <c r="AV3007" s="21">
        <f>IF(AND($AL3007&lt;&gt;"",COUNTIF($AL$11:$AL3007,$AL3007)=1),1,0)</f>
        <v>0</v>
      </c>
      <c r="AW3007" s="21">
        <f t="shared" si="179"/>
        <v>0</v>
      </c>
      <c r="AX3007" s="21" t="str">
        <f t="shared" si="178"/>
        <v/>
      </c>
      <c r="AY3007" s="21" t="str">
        <f>IF(AND($AM3007&lt;&gt;"",$AS3007&lt;&gt;"✓"),SUMPRODUCT(($AM$11:$AM3007&lt;&gt;"")*($AS$11:$AS3007&lt;&gt;"✓")),"")</f>
        <v/>
      </c>
      <c r="AZ3007" s="21" t="str">
        <f>IF(AND($AM3007&lt;&gt;"",$AS3007="✓"),SUMPRODUCT(($AM$11:$AM3007&lt;&gt;"")*($AS$11:$AS3007="✓")),"")</f>
        <v/>
      </c>
      <c r="BA3007" s="21" t="str">
        <f>IF($AL3007="","",$AL3007&amp;"|"&amp;COUNTIF($AL$11:$AL3007,$AL3007))</f>
        <v/>
      </c>
    </row>
    <row r="3008" spans="38:53" ht="15" customHeight="1" x14ac:dyDescent="0.25">
      <c r="AL3008" s="31"/>
      <c r="AM3008" s="26"/>
      <c r="AN3008" s="32"/>
      <c r="AO3008" s="32"/>
      <c r="AP3008" s="24"/>
      <c r="AQ3008" s="24"/>
      <c r="AR3008" s="33"/>
      <c r="AS3008" s="34"/>
      <c r="AT3008" s="33"/>
      <c r="AV3008" s="21">
        <f>IF(AND($AL3008&lt;&gt;"",COUNTIF($AL$11:$AL3008,$AL3008)=1),1,0)</f>
        <v>0</v>
      </c>
      <c r="AW3008" s="21">
        <f t="shared" si="179"/>
        <v>0</v>
      </c>
      <c r="AX3008" s="21" t="str">
        <f t="shared" si="178"/>
        <v/>
      </c>
      <c r="AY3008" s="21" t="str">
        <f>IF(AND($AM3008&lt;&gt;"",$AS3008&lt;&gt;"✓"),SUMPRODUCT(($AM$11:$AM3008&lt;&gt;"")*($AS$11:$AS3008&lt;&gt;"✓")),"")</f>
        <v/>
      </c>
      <c r="AZ3008" s="21" t="str">
        <f>IF(AND($AM3008&lt;&gt;"",$AS3008="✓"),SUMPRODUCT(($AM$11:$AM3008&lt;&gt;"")*($AS$11:$AS3008="✓")),"")</f>
        <v/>
      </c>
      <c r="BA3008" s="21" t="str">
        <f>IF($AL3008="","",$AL3008&amp;"|"&amp;COUNTIF($AL$11:$AL3008,$AL3008))</f>
        <v/>
      </c>
    </row>
    <row r="3009" spans="38:53" ht="15" customHeight="1" x14ac:dyDescent="0.25">
      <c r="AL3009" s="17"/>
      <c r="AM3009" s="12"/>
      <c r="AN3009" s="18"/>
      <c r="AO3009" s="18"/>
      <c r="AP3009" s="10"/>
      <c r="AQ3009" s="10"/>
      <c r="AR3009" s="19"/>
      <c r="AS3009" s="20"/>
      <c r="AT3009" s="19"/>
      <c r="AV3009" s="21">
        <f>IF(AND($AL3009&lt;&gt;"",COUNTIF($AL$11:$AL3009,$AL3009)=1),1,0)</f>
        <v>0</v>
      </c>
      <c r="AW3009" s="21">
        <f t="shared" si="179"/>
        <v>0</v>
      </c>
      <c r="AX3009" s="21" t="str">
        <f t="shared" si="178"/>
        <v/>
      </c>
      <c r="AY3009" s="21" t="str">
        <f>IF(AND($AM3009&lt;&gt;"",$AS3009&lt;&gt;"✓"),SUMPRODUCT(($AM$11:$AM3009&lt;&gt;"")*($AS$11:$AS3009&lt;&gt;"✓")),"")</f>
        <v/>
      </c>
      <c r="AZ3009" s="21" t="str">
        <f>IF(AND($AM3009&lt;&gt;"",$AS3009="✓"),SUMPRODUCT(($AM$11:$AM3009&lt;&gt;"")*($AS$11:$AS3009="✓")),"")</f>
        <v/>
      </c>
      <c r="BA3009" s="21" t="str">
        <f>IF($AL3009="","",$AL3009&amp;"|"&amp;COUNTIF($AL$11:$AL3009,$AL3009))</f>
        <v/>
      </c>
    </row>
    <row r="3010" spans="38:53" ht="15" customHeight="1" x14ac:dyDescent="0.25">
      <c r="AL3010" s="31"/>
      <c r="AM3010" s="26"/>
      <c r="AN3010" s="32"/>
      <c r="AO3010" s="32"/>
      <c r="AP3010" s="24"/>
      <c r="AQ3010" s="24"/>
      <c r="AR3010" s="33"/>
      <c r="AS3010" s="34"/>
      <c r="AT3010" s="33"/>
      <c r="AV3010" s="21">
        <f>IF(AND($AL3010&lt;&gt;"",COUNTIF($AL$11:$AL3010,$AL3010)=1),1,0)</f>
        <v>0</v>
      </c>
      <c r="AW3010" s="21">
        <f t="shared" si="179"/>
        <v>0</v>
      </c>
      <c r="AX3010" s="21" t="str">
        <f t="shared" si="178"/>
        <v/>
      </c>
      <c r="AY3010" s="21" t="str">
        <f>IF(AND($AM3010&lt;&gt;"",$AS3010&lt;&gt;"✓"),SUMPRODUCT(($AM$11:$AM3010&lt;&gt;"")*($AS$11:$AS3010&lt;&gt;"✓")),"")</f>
        <v/>
      </c>
      <c r="AZ3010" s="21" t="str">
        <f>IF(AND($AM3010&lt;&gt;"",$AS3010="✓"),SUMPRODUCT(($AM$11:$AM3010&lt;&gt;"")*($AS$11:$AS3010="✓")),"")</f>
        <v/>
      </c>
      <c r="BA3010" s="21" t="str">
        <f>IF($AL3010="","",$AL3010&amp;"|"&amp;COUNTIF($AL$11:$AL3010,$AL3010))</f>
        <v/>
      </c>
    </row>
    <row r="3011" spans="38:53" ht="15" customHeight="1" x14ac:dyDescent="0.25">
      <c r="AL3011" s="17"/>
      <c r="AM3011" s="12"/>
      <c r="AN3011" s="18"/>
      <c r="AO3011" s="18"/>
      <c r="AP3011" s="10"/>
      <c r="AQ3011" s="10"/>
      <c r="AR3011" s="19"/>
      <c r="AS3011" s="20"/>
      <c r="AT3011" s="19"/>
      <c r="AV3011" s="21">
        <f>IF(AND($AL3011&lt;&gt;"",COUNTIF($AL$11:$AL3011,$AL3011)=1),1,0)</f>
        <v>0</v>
      </c>
      <c r="AW3011" s="21">
        <f t="shared" si="179"/>
        <v>0</v>
      </c>
      <c r="AX3011" s="21" t="str">
        <f t="shared" si="178"/>
        <v/>
      </c>
      <c r="AY3011" s="21" t="str">
        <f>IF(AND($AM3011&lt;&gt;"",$AS3011&lt;&gt;"✓"),SUMPRODUCT(($AM$11:$AM3011&lt;&gt;"")*($AS$11:$AS3011&lt;&gt;"✓")),"")</f>
        <v/>
      </c>
      <c r="AZ3011" s="21" t="str">
        <f>IF(AND($AM3011&lt;&gt;"",$AS3011="✓"),SUMPRODUCT(($AM$11:$AM3011&lt;&gt;"")*($AS$11:$AS3011="✓")),"")</f>
        <v/>
      </c>
      <c r="BA3011" s="21" t="str">
        <f>IF($AL3011="","",$AL3011&amp;"|"&amp;COUNTIF($AL$11:$AL3011,$AL3011))</f>
        <v/>
      </c>
    </row>
    <row r="3012" spans="38:53" ht="15" customHeight="1" x14ac:dyDescent="0.25">
      <c r="AL3012" s="31"/>
      <c r="AM3012" s="26"/>
      <c r="AN3012" s="32"/>
      <c r="AO3012" s="32"/>
      <c r="AP3012" s="24"/>
      <c r="AQ3012" s="24"/>
      <c r="AR3012" s="33"/>
      <c r="AS3012" s="34"/>
      <c r="AT3012" s="33"/>
      <c r="AV3012" s="21">
        <f>IF(AND($AL3012&lt;&gt;"",COUNTIF($AL$11:$AL3012,$AL3012)=1),1,0)</f>
        <v>0</v>
      </c>
      <c r="AW3012" s="21">
        <f t="shared" si="179"/>
        <v>0</v>
      </c>
      <c r="AX3012" s="21" t="str">
        <f t="shared" si="178"/>
        <v/>
      </c>
      <c r="AY3012" s="21" t="str">
        <f>IF(AND($AM3012&lt;&gt;"",$AS3012&lt;&gt;"✓"),SUMPRODUCT(($AM$11:$AM3012&lt;&gt;"")*($AS$11:$AS3012&lt;&gt;"✓")),"")</f>
        <v/>
      </c>
      <c r="AZ3012" s="21" t="str">
        <f>IF(AND($AM3012&lt;&gt;"",$AS3012="✓"),SUMPRODUCT(($AM$11:$AM3012&lt;&gt;"")*($AS$11:$AS3012="✓")),"")</f>
        <v/>
      </c>
      <c r="BA3012" s="21" t="str">
        <f>IF($AL3012="","",$AL3012&amp;"|"&amp;COUNTIF($AL$11:$AL3012,$AL3012))</f>
        <v/>
      </c>
    </row>
    <row r="3013" spans="38:53" ht="15" customHeight="1" x14ac:dyDescent="0.25">
      <c r="AL3013" s="17"/>
      <c r="AM3013" s="12"/>
      <c r="AN3013" s="18"/>
      <c r="AO3013" s="18"/>
      <c r="AP3013" s="10"/>
      <c r="AQ3013" s="10"/>
      <c r="AR3013" s="19"/>
      <c r="AS3013" s="20"/>
      <c r="AT3013" s="19"/>
      <c r="AV3013" s="21">
        <f>IF(AND($AL3013&lt;&gt;"",COUNTIF($AL$11:$AL3013,$AL3013)=1),1,0)</f>
        <v>0</v>
      </c>
      <c r="AW3013" s="21">
        <f t="shared" si="179"/>
        <v>0</v>
      </c>
      <c r="AX3013" s="21" t="str">
        <f t="shared" si="178"/>
        <v/>
      </c>
      <c r="AY3013" s="21" t="str">
        <f>IF(AND($AM3013&lt;&gt;"",$AS3013&lt;&gt;"✓"),SUMPRODUCT(($AM$11:$AM3013&lt;&gt;"")*($AS$11:$AS3013&lt;&gt;"✓")),"")</f>
        <v/>
      </c>
      <c r="AZ3013" s="21" t="str">
        <f>IF(AND($AM3013&lt;&gt;"",$AS3013="✓"),SUMPRODUCT(($AM$11:$AM3013&lt;&gt;"")*($AS$11:$AS3013="✓")),"")</f>
        <v/>
      </c>
      <c r="BA3013" s="21" t="str">
        <f>IF($AL3013="","",$AL3013&amp;"|"&amp;COUNTIF($AL$11:$AL3013,$AL3013))</f>
        <v/>
      </c>
    </row>
    <row r="3014" spans="38:53" ht="15" customHeight="1" x14ac:dyDescent="0.25">
      <c r="AL3014" s="31"/>
      <c r="AM3014" s="26"/>
      <c r="AN3014" s="32"/>
      <c r="AO3014" s="32"/>
      <c r="AP3014" s="24"/>
      <c r="AQ3014" s="24"/>
      <c r="AR3014" s="33"/>
      <c r="AS3014" s="34"/>
      <c r="AT3014" s="33"/>
      <c r="AV3014" s="21">
        <f>IF(AND($AL3014&lt;&gt;"",COUNTIF($AL$11:$AL3014,$AL3014)=1),1,0)</f>
        <v>0</v>
      </c>
      <c r="AW3014" s="21">
        <f t="shared" si="179"/>
        <v>0</v>
      </c>
      <c r="AX3014" s="21" t="str">
        <f t="shared" si="178"/>
        <v/>
      </c>
      <c r="AY3014" s="21" t="str">
        <f>IF(AND($AM3014&lt;&gt;"",$AS3014&lt;&gt;"✓"),SUMPRODUCT(($AM$11:$AM3014&lt;&gt;"")*($AS$11:$AS3014&lt;&gt;"✓")),"")</f>
        <v/>
      </c>
      <c r="AZ3014" s="21" t="str">
        <f>IF(AND($AM3014&lt;&gt;"",$AS3014="✓"),SUMPRODUCT(($AM$11:$AM3014&lt;&gt;"")*($AS$11:$AS3014="✓")),"")</f>
        <v/>
      </c>
      <c r="BA3014" s="21" t="str">
        <f>IF($AL3014="","",$AL3014&amp;"|"&amp;COUNTIF($AL$11:$AL3014,$AL3014))</f>
        <v/>
      </c>
    </row>
    <row r="3015" spans="38:53" ht="15" customHeight="1" x14ac:dyDescent="0.25">
      <c r="AL3015" s="17"/>
      <c r="AM3015" s="12"/>
      <c r="AN3015" s="18"/>
      <c r="AO3015" s="18"/>
      <c r="AP3015" s="10"/>
      <c r="AQ3015" s="10"/>
      <c r="AR3015" s="19"/>
      <c r="AS3015" s="20"/>
      <c r="AT3015" s="19"/>
      <c r="AV3015" s="21">
        <f>IF(AND($AL3015&lt;&gt;"",COUNTIF($AL$11:$AL3015,$AL3015)=1),1,0)</f>
        <v>0</v>
      </c>
      <c r="AW3015" s="21">
        <f t="shared" si="179"/>
        <v>0</v>
      </c>
      <c r="AX3015" s="21" t="str">
        <f t="shared" si="178"/>
        <v/>
      </c>
      <c r="AY3015" s="21" t="str">
        <f>IF(AND($AM3015&lt;&gt;"",$AS3015&lt;&gt;"✓"),SUMPRODUCT(($AM$11:$AM3015&lt;&gt;"")*($AS$11:$AS3015&lt;&gt;"✓")),"")</f>
        <v/>
      </c>
      <c r="AZ3015" s="21" t="str">
        <f>IF(AND($AM3015&lt;&gt;"",$AS3015="✓"),SUMPRODUCT(($AM$11:$AM3015&lt;&gt;"")*($AS$11:$AS3015="✓")),"")</f>
        <v/>
      </c>
      <c r="BA3015" s="21" t="str">
        <f>IF($AL3015="","",$AL3015&amp;"|"&amp;COUNTIF($AL$11:$AL3015,$AL3015))</f>
        <v/>
      </c>
    </row>
    <row r="3016" spans="38:53" ht="15" customHeight="1" x14ac:dyDescent="0.25">
      <c r="AL3016" s="31"/>
      <c r="AM3016" s="26"/>
      <c r="AN3016" s="32"/>
      <c r="AO3016" s="32"/>
      <c r="AP3016" s="24"/>
      <c r="AQ3016" s="24"/>
      <c r="AR3016" s="33"/>
      <c r="AS3016" s="34"/>
      <c r="AT3016" s="33"/>
      <c r="AV3016" s="21">
        <f>IF(AND($AL3016&lt;&gt;"",COUNTIF($AL$11:$AL3016,$AL3016)=1),1,0)</f>
        <v>0</v>
      </c>
      <c r="AW3016" s="21">
        <f t="shared" si="179"/>
        <v>0</v>
      </c>
      <c r="AX3016" s="21" t="str">
        <f t="shared" si="178"/>
        <v/>
      </c>
      <c r="AY3016" s="21" t="str">
        <f>IF(AND($AM3016&lt;&gt;"",$AS3016&lt;&gt;"✓"),SUMPRODUCT(($AM$11:$AM3016&lt;&gt;"")*($AS$11:$AS3016&lt;&gt;"✓")),"")</f>
        <v/>
      </c>
      <c r="AZ3016" s="21" t="str">
        <f>IF(AND($AM3016&lt;&gt;"",$AS3016="✓"),SUMPRODUCT(($AM$11:$AM3016&lt;&gt;"")*($AS$11:$AS3016="✓")),"")</f>
        <v/>
      </c>
      <c r="BA3016" s="21" t="str">
        <f>IF($AL3016="","",$AL3016&amp;"|"&amp;COUNTIF($AL$11:$AL3016,$AL3016))</f>
        <v/>
      </c>
    </row>
    <row r="3017" spans="38:53" ht="15" customHeight="1" x14ac:dyDescent="0.25">
      <c r="AL3017" s="17"/>
      <c r="AM3017" s="12"/>
      <c r="AN3017" s="18"/>
      <c r="AO3017" s="18"/>
      <c r="AP3017" s="10"/>
      <c r="AQ3017" s="10"/>
      <c r="AR3017" s="19"/>
      <c r="AS3017" s="20"/>
      <c r="AT3017" s="19"/>
      <c r="AV3017" s="21">
        <f>IF(AND($AL3017&lt;&gt;"",COUNTIF($AL$11:$AL3017,$AL3017)=1),1,0)</f>
        <v>0</v>
      </c>
      <c r="AW3017" s="21">
        <f t="shared" si="179"/>
        <v>0</v>
      </c>
      <c r="AX3017" s="21" t="str">
        <f t="shared" si="178"/>
        <v/>
      </c>
      <c r="AY3017" s="21" t="str">
        <f>IF(AND($AM3017&lt;&gt;"",$AS3017&lt;&gt;"✓"),SUMPRODUCT(($AM$11:$AM3017&lt;&gt;"")*($AS$11:$AS3017&lt;&gt;"✓")),"")</f>
        <v/>
      </c>
      <c r="AZ3017" s="21" t="str">
        <f>IF(AND($AM3017&lt;&gt;"",$AS3017="✓"),SUMPRODUCT(($AM$11:$AM3017&lt;&gt;"")*($AS$11:$AS3017="✓")),"")</f>
        <v/>
      </c>
      <c r="BA3017" s="21" t="str">
        <f>IF($AL3017="","",$AL3017&amp;"|"&amp;COUNTIF($AL$11:$AL3017,$AL3017))</f>
        <v/>
      </c>
    </row>
    <row r="3018" spans="38:53" ht="15" customHeight="1" x14ac:dyDescent="0.25">
      <c r="AL3018" s="31"/>
      <c r="AM3018" s="26"/>
      <c r="AN3018" s="32"/>
      <c r="AO3018" s="32"/>
      <c r="AP3018" s="24"/>
      <c r="AQ3018" s="24"/>
      <c r="AR3018" s="33"/>
      <c r="AS3018" s="34"/>
      <c r="AT3018" s="33"/>
      <c r="AV3018" s="21">
        <f>IF(AND($AL3018&lt;&gt;"",COUNTIF($AL$11:$AL3018,$AL3018)=1),1,0)</f>
        <v>0</v>
      </c>
      <c r="AW3018" s="21">
        <f t="shared" si="179"/>
        <v>0</v>
      </c>
      <c r="AX3018" s="21" t="str">
        <f t="shared" si="178"/>
        <v/>
      </c>
      <c r="AY3018" s="21" t="str">
        <f>IF(AND($AM3018&lt;&gt;"",$AS3018&lt;&gt;"✓"),SUMPRODUCT(($AM$11:$AM3018&lt;&gt;"")*($AS$11:$AS3018&lt;&gt;"✓")),"")</f>
        <v/>
      </c>
      <c r="AZ3018" s="21" t="str">
        <f>IF(AND($AM3018&lt;&gt;"",$AS3018="✓"),SUMPRODUCT(($AM$11:$AM3018&lt;&gt;"")*($AS$11:$AS3018="✓")),"")</f>
        <v/>
      </c>
      <c r="BA3018" s="21" t="str">
        <f>IF($AL3018="","",$AL3018&amp;"|"&amp;COUNTIF($AL$11:$AL3018,$AL3018))</f>
        <v/>
      </c>
    </row>
    <row r="3019" spans="38:53" ht="15" customHeight="1" x14ac:dyDescent="0.25">
      <c r="AL3019" s="17"/>
      <c r="AM3019" s="12"/>
      <c r="AN3019" s="18"/>
      <c r="AO3019" s="18"/>
      <c r="AP3019" s="10"/>
      <c r="AQ3019" s="10"/>
      <c r="AR3019" s="19"/>
      <c r="AS3019" s="20"/>
      <c r="AT3019" s="19"/>
      <c r="AV3019" s="21">
        <f>IF(AND($AL3019&lt;&gt;"",COUNTIF($AL$11:$AL3019,$AL3019)=1),1,0)</f>
        <v>0</v>
      </c>
      <c r="AW3019" s="21">
        <f t="shared" si="179"/>
        <v>0</v>
      </c>
      <c r="AX3019" s="21" t="str">
        <f t="shared" ref="AX3019:AX3082" si="180">IF(AV3019=1,AW3019,"")</f>
        <v/>
      </c>
      <c r="AY3019" s="21" t="str">
        <f>IF(AND($AM3019&lt;&gt;"",$AS3019&lt;&gt;"✓"),SUMPRODUCT(($AM$11:$AM3019&lt;&gt;"")*($AS$11:$AS3019&lt;&gt;"✓")),"")</f>
        <v/>
      </c>
      <c r="AZ3019" s="21" t="str">
        <f>IF(AND($AM3019&lt;&gt;"",$AS3019="✓"),SUMPRODUCT(($AM$11:$AM3019&lt;&gt;"")*($AS$11:$AS3019="✓")),"")</f>
        <v/>
      </c>
      <c r="BA3019" s="21" t="str">
        <f>IF($AL3019="","",$AL3019&amp;"|"&amp;COUNTIF($AL$11:$AL3019,$AL3019))</f>
        <v/>
      </c>
    </row>
    <row r="3020" spans="38:53" ht="15" customHeight="1" x14ac:dyDescent="0.25">
      <c r="AL3020" s="31"/>
      <c r="AM3020" s="26"/>
      <c r="AN3020" s="32"/>
      <c r="AO3020" s="32"/>
      <c r="AP3020" s="24"/>
      <c r="AQ3020" s="24"/>
      <c r="AR3020" s="33"/>
      <c r="AS3020" s="34"/>
      <c r="AT3020" s="33"/>
      <c r="AV3020" s="21">
        <f>IF(AND($AL3020&lt;&gt;"",COUNTIF($AL$11:$AL3020,$AL3020)=1),1,0)</f>
        <v>0</v>
      </c>
      <c r="AW3020" s="21">
        <f t="shared" ref="AW3020:AW3083" si="181">AW3019+AV3020</f>
        <v>0</v>
      </c>
      <c r="AX3020" s="21" t="str">
        <f t="shared" si="180"/>
        <v/>
      </c>
      <c r="AY3020" s="21" t="str">
        <f>IF(AND($AM3020&lt;&gt;"",$AS3020&lt;&gt;"✓"),SUMPRODUCT(($AM$11:$AM3020&lt;&gt;"")*($AS$11:$AS3020&lt;&gt;"✓")),"")</f>
        <v/>
      </c>
      <c r="AZ3020" s="21" t="str">
        <f>IF(AND($AM3020&lt;&gt;"",$AS3020="✓"),SUMPRODUCT(($AM$11:$AM3020&lt;&gt;"")*($AS$11:$AS3020="✓")),"")</f>
        <v/>
      </c>
      <c r="BA3020" s="21" t="str">
        <f>IF($AL3020="","",$AL3020&amp;"|"&amp;COUNTIF($AL$11:$AL3020,$AL3020))</f>
        <v/>
      </c>
    </row>
    <row r="3021" spans="38:53" ht="15" customHeight="1" x14ac:dyDescent="0.25">
      <c r="AL3021" s="17"/>
      <c r="AM3021" s="12"/>
      <c r="AN3021" s="18"/>
      <c r="AO3021" s="18"/>
      <c r="AP3021" s="10"/>
      <c r="AQ3021" s="10"/>
      <c r="AR3021" s="19"/>
      <c r="AS3021" s="20"/>
      <c r="AT3021" s="19"/>
      <c r="AV3021" s="21">
        <f>IF(AND($AL3021&lt;&gt;"",COUNTIF($AL$11:$AL3021,$AL3021)=1),1,0)</f>
        <v>0</v>
      </c>
      <c r="AW3021" s="21">
        <f t="shared" si="181"/>
        <v>0</v>
      </c>
      <c r="AX3021" s="21" t="str">
        <f t="shared" si="180"/>
        <v/>
      </c>
      <c r="AY3021" s="21" t="str">
        <f>IF(AND($AM3021&lt;&gt;"",$AS3021&lt;&gt;"✓"),SUMPRODUCT(($AM$11:$AM3021&lt;&gt;"")*($AS$11:$AS3021&lt;&gt;"✓")),"")</f>
        <v/>
      </c>
      <c r="AZ3021" s="21" t="str">
        <f>IF(AND($AM3021&lt;&gt;"",$AS3021="✓"),SUMPRODUCT(($AM$11:$AM3021&lt;&gt;"")*($AS$11:$AS3021="✓")),"")</f>
        <v/>
      </c>
      <c r="BA3021" s="21" t="str">
        <f>IF($AL3021="","",$AL3021&amp;"|"&amp;COUNTIF($AL$11:$AL3021,$AL3021))</f>
        <v/>
      </c>
    </row>
    <row r="3022" spans="38:53" ht="15" customHeight="1" x14ac:dyDescent="0.25">
      <c r="AL3022" s="31"/>
      <c r="AM3022" s="26"/>
      <c r="AN3022" s="32"/>
      <c r="AO3022" s="32"/>
      <c r="AP3022" s="24"/>
      <c r="AQ3022" s="24"/>
      <c r="AR3022" s="33"/>
      <c r="AS3022" s="34"/>
      <c r="AT3022" s="33"/>
      <c r="AV3022" s="21">
        <f>IF(AND($AL3022&lt;&gt;"",COUNTIF($AL$11:$AL3022,$AL3022)=1),1,0)</f>
        <v>0</v>
      </c>
      <c r="AW3022" s="21">
        <f t="shared" si="181"/>
        <v>0</v>
      </c>
      <c r="AX3022" s="21" t="str">
        <f t="shared" si="180"/>
        <v/>
      </c>
      <c r="AY3022" s="21" t="str">
        <f>IF(AND($AM3022&lt;&gt;"",$AS3022&lt;&gt;"✓"),SUMPRODUCT(($AM$11:$AM3022&lt;&gt;"")*($AS$11:$AS3022&lt;&gt;"✓")),"")</f>
        <v/>
      </c>
      <c r="AZ3022" s="21" t="str">
        <f>IF(AND($AM3022&lt;&gt;"",$AS3022="✓"),SUMPRODUCT(($AM$11:$AM3022&lt;&gt;"")*($AS$11:$AS3022="✓")),"")</f>
        <v/>
      </c>
      <c r="BA3022" s="21" t="str">
        <f>IF($AL3022="","",$AL3022&amp;"|"&amp;COUNTIF($AL$11:$AL3022,$AL3022))</f>
        <v/>
      </c>
    </row>
    <row r="3023" spans="38:53" ht="15" customHeight="1" x14ac:dyDescent="0.25">
      <c r="AL3023" s="17"/>
      <c r="AM3023" s="12"/>
      <c r="AN3023" s="18"/>
      <c r="AO3023" s="18"/>
      <c r="AP3023" s="10"/>
      <c r="AQ3023" s="10"/>
      <c r="AR3023" s="19"/>
      <c r="AS3023" s="20"/>
      <c r="AT3023" s="19"/>
      <c r="AV3023" s="21">
        <f>IF(AND($AL3023&lt;&gt;"",COUNTIF($AL$11:$AL3023,$AL3023)=1),1,0)</f>
        <v>0</v>
      </c>
      <c r="AW3023" s="21">
        <f t="shared" si="181"/>
        <v>0</v>
      </c>
      <c r="AX3023" s="21" t="str">
        <f t="shared" si="180"/>
        <v/>
      </c>
      <c r="AY3023" s="21" t="str">
        <f>IF(AND($AM3023&lt;&gt;"",$AS3023&lt;&gt;"✓"),SUMPRODUCT(($AM$11:$AM3023&lt;&gt;"")*($AS$11:$AS3023&lt;&gt;"✓")),"")</f>
        <v/>
      </c>
      <c r="AZ3023" s="21" t="str">
        <f>IF(AND($AM3023&lt;&gt;"",$AS3023="✓"),SUMPRODUCT(($AM$11:$AM3023&lt;&gt;"")*($AS$11:$AS3023="✓")),"")</f>
        <v/>
      </c>
      <c r="BA3023" s="21" t="str">
        <f>IF($AL3023="","",$AL3023&amp;"|"&amp;COUNTIF($AL$11:$AL3023,$AL3023))</f>
        <v/>
      </c>
    </row>
    <row r="3024" spans="38:53" ht="15" customHeight="1" x14ac:dyDescent="0.25">
      <c r="AL3024" s="31"/>
      <c r="AM3024" s="26"/>
      <c r="AN3024" s="32"/>
      <c r="AO3024" s="32"/>
      <c r="AP3024" s="24"/>
      <c r="AQ3024" s="24"/>
      <c r="AR3024" s="33"/>
      <c r="AS3024" s="34"/>
      <c r="AT3024" s="33"/>
      <c r="AV3024" s="21">
        <f>IF(AND($AL3024&lt;&gt;"",COUNTIF($AL$11:$AL3024,$AL3024)=1),1,0)</f>
        <v>0</v>
      </c>
      <c r="AW3024" s="21">
        <f t="shared" si="181"/>
        <v>0</v>
      </c>
      <c r="AX3024" s="21" t="str">
        <f t="shared" si="180"/>
        <v/>
      </c>
      <c r="AY3024" s="21" t="str">
        <f>IF(AND($AM3024&lt;&gt;"",$AS3024&lt;&gt;"✓"),SUMPRODUCT(($AM$11:$AM3024&lt;&gt;"")*($AS$11:$AS3024&lt;&gt;"✓")),"")</f>
        <v/>
      </c>
      <c r="AZ3024" s="21" t="str">
        <f>IF(AND($AM3024&lt;&gt;"",$AS3024="✓"),SUMPRODUCT(($AM$11:$AM3024&lt;&gt;"")*($AS$11:$AS3024="✓")),"")</f>
        <v/>
      </c>
      <c r="BA3024" s="21" t="str">
        <f>IF($AL3024="","",$AL3024&amp;"|"&amp;COUNTIF($AL$11:$AL3024,$AL3024))</f>
        <v/>
      </c>
    </row>
    <row r="3025" spans="38:53" ht="15" customHeight="1" x14ac:dyDescent="0.25">
      <c r="AL3025" s="17"/>
      <c r="AM3025" s="12"/>
      <c r="AN3025" s="18"/>
      <c r="AO3025" s="18"/>
      <c r="AP3025" s="10"/>
      <c r="AQ3025" s="10"/>
      <c r="AR3025" s="19"/>
      <c r="AS3025" s="20"/>
      <c r="AT3025" s="19"/>
      <c r="AV3025" s="21">
        <f>IF(AND($AL3025&lt;&gt;"",COUNTIF($AL$11:$AL3025,$AL3025)=1),1,0)</f>
        <v>0</v>
      </c>
      <c r="AW3025" s="21">
        <f t="shared" si="181"/>
        <v>0</v>
      </c>
      <c r="AX3025" s="21" t="str">
        <f t="shared" si="180"/>
        <v/>
      </c>
      <c r="AY3025" s="21" t="str">
        <f>IF(AND($AM3025&lt;&gt;"",$AS3025&lt;&gt;"✓"),SUMPRODUCT(($AM$11:$AM3025&lt;&gt;"")*($AS$11:$AS3025&lt;&gt;"✓")),"")</f>
        <v/>
      </c>
      <c r="AZ3025" s="21" t="str">
        <f>IF(AND($AM3025&lt;&gt;"",$AS3025="✓"),SUMPRODUCT(($AM$11:$AM3025&lt;&gt;"")*($AS$11:$AS3025="✓")),"")</f>
        <v/>
      </c>
      <c r="BA3025" s="21" t="str">
        <f>IF($AL3025="","",$AL3025&amp;"|"&amp;COUNTIF($AL$11:$AL3025,$AL3025))</f>
        <v/>
      </c>
    </row>
    <row r="3026" spans="38:53" ht="15" customHeight="1" x14ac:dyDescent="0.25">
      <c r="AL3026" s="31"/>
      <c r="AM3026" s="26"/>
      <c r="AN3026" s="32"/>
      <c r="AO3026" s="32"/>
      <c r="AP3026" s="24"/>
      <c r="AQ3026" s="24"/>
      <c r="AR3026" s="33"/>
      <c r="AS3026" s="34"/>
      <c r="AT3026" s="33"/>
      <c r="AV3026" s="21">
        <f>IF(AND($AL3026&lt;&gt;"",COUNTIF($AL$11:$AL3026,$AL3026)=1),1,0)</f>
        <v>0</v>
      </c>
      <c r="AW3026" s="21">
        <f t="shared" si="181"/>
        <v>0</v>
      </c>
      <c r="AX3026" s="21" t="str">
        <f t="shared" si="180"/>
        <v/>
      </c>
      <c r="AY3026" s="21" t="str">
        <f>IF(AND($AM3026&lt;&gt;"",$AS3026&lt;&gt;"✓"),SUMPRODUCT(($AM$11:$AM3026&lt;&gt;"")*($AS$11:$AS3026&lt;&gt;"✓")),"")</f>
        <v/>
      </c>
      <c r="AZ3026" s="21" t="str">
        <f>IF(AND($AM3026&lt;&gt;"",$AS3026="✓"),SUMPRODUCT(($AM$11:$AM3026&lt;&gt;"")*($AS$11:$AS3026="✓")),"")</f>
        <v/>
      </c>
      <c r="BA3026" s="21" t="str">
        <f>IF($AL3026="","",$AL3026&amp;"|"&amp;COUNTIF($AL$11:$AL3026,$AL3026))</f>
        <v/>
      </c>
    </row>
    <row r="3027" spans="38:53" ht="15" customHeight="1" x14ac:dyDescent="0.25">
      <c r="AL3027" s="17"/>
      <c r="AM3027" s="12"/>
      <c r="AN3027" s="18"/>
      <c r="AO3027" s="18"/>
      <c r="AP3027" s="10"/>
      <c r="AQ3027" s="10"/>
      <c r="AR3027" s="19"/>
      <c r="AS3027" s="20"/>
      <c r="AT3027" s="19"/>
      <c r="AV3027" s="21">
        <f>IF(AND($AL3027&lt;&gt;"",COUNTIF($AL$11:$AL3027,$AL3027)=1),1,0)</f>
        <v>0</v>
      </c>
      <c r="AW3027" s="21">
        <f t="shared" si="181"/>
        <v>0</v>
      </c>
      <c r="AX3027" s="21" t="str">
        <f t="shared" si="180"/>
        <v/>
      </c>
      <c r="AY3027" s="21" t="str">
        <f>IF(AND($AM3027&lt;&gt;"",$AS3027&lt;&gt;"✓"),SUMPRODUCT(($AM$11:$AM3027&lt;&gt;"")*($AS$11:$AS3027&lt;&gt;"✓")),"")</f>
        <v/>
      </c>
      <c r="AZ3027" s="21" t="str">
        <f>IF(AND($AM3027&lt;&gt;"",$AS3027="✓"),SUMPRODUCT(($AM$11:$AM3027&lt;&gt;"")*($AS$11:$AS3027="✓")),"")</f>
        <v/>
      </c>
      <c r="BA3027" s="21" t="str">
        <f>IF($AL3027="","",$AL3027&amp;"|"&amp;COUNTIF($AL$11:$AL3027,$AL3027))</f>
        <v/>
      </c>
    </row>
    <row r="3028" spans="38:53" ht="15" customHeight="1" x14ac:dyDescent="0.25">
      <c r="AL3028" s="31"/>
      <c r="AM3028" s="26"/>
      <c r="AN3028" s="32"/>
      <c r="AO3028" s="32"/>
      <c r="AP3028" s="24"/>
      <c r="AQ3028" s="24"/>
      <c r="AR3028" s="33"/>
      <c r="AS3028" s="34"/>
      <c r="AT3028" s="33"/>
      <c r="AV3028" s="21">
        <f>IF(AND($AL3028&lt;&gt;"",COUNTIF($AL$11:$AL3028,$AL3028)=1),1,0)</f>
        <v>0</v>
      </c>
      <c r="AW3028" s="21">
        <f t="shared" si="181"/>
        <v>0</v>
      </c>
      <c r="AX3028" s="21" t="str">
        <f t="shared" si="180"/>
        <v/>
      </c>
      <c r="AY3028" s="21" t="str">
        <f>IF(AND($AM3028&lt;&gt;"",$AS3028&lt;&gt;"✓"),SUMPRODUCT(($AM$11:$AM3028&lt;&gt;"")*($AS$11:$AS3028&lt;&gt;"✓")),"")</f>
        <v/>
      </c>
      <c r="AZ3028" s="21" t="str">
        <f>IF(AND($AM3028&lt;&gt;"",$AS3028="✓"),SUMPRODUCT(($AM$11:$AM3028&lt;&gt;"")*($AS$11:$AS3028="✓")),"")</f>
        <v/>
      </c>
      <c r="BA3028" s="21" t="str">
        <f>IF($AL3028="","",$AL3028&amp;"|"&amp;COUNTIF($AL$11:$AL3028,$AL3028))</f>
        <v/>
      </c>
    </row>
    <row r="3029" spans="38:53" ht="15" customHeight="1" x14ac:dyDescent="0.25">
      <c r="AL3029" s="17"/>
      <c r="AM3029" s="12"/>
      <c r="AN3029" s="18"/>
      <c r="AO3029" s="18"/>
      <c r="AP3029" s="10"/>
      <c r="AQ3029" s="10"/>
      <c r="AR3029" s="19"/>
      <c r="AS3029" s="20"/>
      <c r="AT3029" s="19"/>
      <c r="AV3029" s="21">
        <f>IF(AND($AL3029&lt;&gt;"",COUNTIF($AL$11:$AL3029,$AL3029)=1),1,0)</f>
        <v>0</v>
      </c>
      <c r="AW3029" s="21">
        <f t="shared" si="181"/>
        <v>0</v>
      </c>
      <c r="AX3029" s="21" t="str">
        <f t="shared" si="180"/>
        <v/>
      </c>
      <c r="AY3029" s="21" t="str">
        <f>IF(AND($AM3029&lt;&gt;"",$AS3029&lt;&gt;"✓"),SUMPRODUCT(($AM$11:$AM3029&lt;&gt;"")*($AS$11:$AS3029&lt;&gt;"✓")),"")</f>
        <v/>
      </c>
      <c r="AZ3029" s="21" t="str">
        <f>IF(AND($AM3029&lt;&gt;"",$AS3029="✓"),SUMPRODUCT(($AM$11:$AM3029&lt;&gt;"")*($AS$11:$AS3029="✓")),"")</f>
        <v/>
      </c>
      <c r="BA3029" s="21" t="str">
        <f>IF($AL3029="","",$AL3029&amp;"|"&amp;COUNTIF($AL$11:$AL3029,$AL3029))</f>
        <v/>
      </c>
    </row>
    <row r="3030" spans="38:53" ht="15" customHeight="1" x14ac:dyDescent="0.25">
      <c r="AL3030" s="31"/>
      <c r="AM3030" s="26"/>
      <c r="AN3030" s="32"/>
      <c r="AO3030" s="32"/>
      <c r="AP3030" s="24"/>
      <c r="AQ3030" s="24"/>
      <c r="AR3030" s="33"/>
      <c r="AS3030" s="34"/>
      <c r="AT3030" s="33"/>
      <c r="AV3030" s="21">
        <f>IF(AND($AL3030&lt;&gt;"",COUNTIF($AL$11:$AL3030,$AL3030)=1),1,0)</f>
        <v>0</v>
      </c>
      <c r="AW3030" s="21">
        <f t="shared" si="181"/>
        <v>0</v>
      </c>
      <c r="AX3030" s="21" t="str">
        <f t="shared" si="180"/>
        <v/>
      </c>
      <c r="AY3030" s="21" t="str">
        <f>IF(AND($AM3030&lt;&gt;"",$AS3030&lt;&gt;"✓"),SUMPRODUCT(($AM$11:$AM3030&lt;&gt;"")*($AS$11:$AS3030&lt;&gt;"✓")),"")</f>
        <v/>
      </c>
      <c r="AZ3030" s="21" t="str">
        <f>IF(AND($AM3030&lt;&gt;"",$AS3030="✓"),SUMPRODUCT(($AM$11:$AM3030&lt;&gt;"")*($AS$11:$AS3030="✓")),"")</f>
        <v/>
      </c>
      <c r="BA3030" s="21" t="str">
        <f>IF($AL3030="","",$AL3030&amp;"|"&amp;COUNTIF($AL$11:$AL3030,$AL3030))</f>
        <v/>
      </c>
    </row>
    <row r="3031" spans="38:53" ht="15" customHeight="1" x14ac:dyDescent="0.25">
      <c r="AL3031" s="17"/>
      <c r="AM3031" s="12"/>
      <c r="AN3031" s="18"/>
      <c r="AO3031" s="18"/>
      <c r="AP3031" s="10"/>
      <c r="AQ3031" s="10"/>
      <c r="AR3031" s="19"/>
      <c r="AS3031" s="20"/>
      <c r="AT3031" s="19"/>
      <c r="AV3031" s="21">
        <f>IF(AND($AL3031&lt;&gt;"",COUNTIF($AL$11:$AL3031,$AL3031)=1),1,0)</f>
        <v>0</v>
      </c>
      <c r="AW3031" s="21">
        <f t="shared" si="181"/>
        <v>0</v>
      </c>
      <c r="AX3031" s="21" t="str">
        <f t="shared" si="180"/>
        <v/>
      </c>
      <c r="AY3031" s="21" t="str">
        <f>IF(AND($AM3031&lt;&gt;"",$AS3031&lt;&gt;"✓"),SUMPRODUCT(($AM$11:$AM3031&lt;&gt;"")*($AS$11:$AS3031&lt;&gt;"✓")),"")</f>
        <v/>
      </c>
      <c r="AZ3031" s="21" t="str">
        <f>IF(AND($AM3031&lt;&gt;"",$AS3031="✓"),SUMPRODUCT(($AM$11:$AM3031&lt;&gt;"")*($AS$11:$AS3031="✓")),"")</f>
        <v/>
      </c>
      <c r="BA3031" s="21" t="str">
        <f>IF($AL3031="","",$AL3031&amp;"|"&amp;COUNTIF($AL$11:$AL3031,$AL3031))</f>
        <v/>
      </c>
    </row>
    <row r="3032" spans="38:53" ht="15" customHeight="1" x14ac:dyDescent="0.25">
      <c r="AL3032" s="31"/>
      <c r="AM3032" s="26"/>
      <c r="AN3032" s="32"/>
      <c r="AO3032" s="32"/>
      <c r="AP3032" s="24"/>
      <c r="AQ3032" s="24"/>
      <c r="AR3032" s="33"/>
      <c r="AS3032" s="34"/>
      <c r="AT3032" s="33"/>
      <c r="AV3032" s="21">
        <f>IF(AND($AL3032&lt;&gt;"",COUNTIF($AL$11:$AL3032,$AL3032)=1),1,0)</f>
        <v>0</v>
      </c>
      <c r="AW3032" s="21">
        <f t="shared" si="181"/>
        <v>0</v>
      </c>
      <c r="AX3032" s="21" t="str">
        <f t="shared" si="180"/>
        <v/>
      </c>
      <c r="AY3032" s="21" t="str">
        <f>IF(AND($AM3032&lt;&gt;"",$AS3032&lt;&gt;"✓"),SUMPRODUCT(($AM$11:$AM3032&lt;&gt;"")*($AS$11:$AS3032&lt;&gt;"✓")),"")</f>
        <v/>
      </c>
      <c r="AZ3032" s="21" t="str">
        <f>IF(AND($AM3032&lt;&gt;"",$AS3032="✓"),SUMPRODUCT(($AM$11:$AM3032&lt;&gt;"")*($AS$11:$AS3032="✓")),"")</f>
        <v/>
      </c>
      <c r="BA3032" s="21" t="str">
        <f>IF($AL3032="","",$AL3032&amp;"|"&amp;COUNTIF($AL$11:$AL3032,$AL3032))</f>
        <v/>
      </c>
    </row>
    <row r="3033" spans="38:53" ht="15" customHeight="1" x14ac:dyDescent="0.25">
      <c r="AL3033" s="17"/>
      <c r="AM3033" s="12"/>
      <c r="AN3033" s="18"/>
      <c r="AO3033" s="18"/>
      <c r="AP3033" s="10"/>
      <c r="AQ3033" s="10"/>
      <c r="AR3033" s="19"/>
      <c r="AS3033" s="20"/>
      <c r="AT3033" s="19"/>
      <c r="AV3033" s="21">
        <f>IF(AND($AL3033&lt;&gt;"",COUNTIF($AL$11:$AL3033,$AL3033)=1),1,0)</f>
        <v>0</v>
      </c>
      <c r="AW3033" s="21">
        <f t="shared" si="181"/>
        <v>0</v>
      </c>
      <c r="AX3033" s="21" t="str">
        <f t="shared" si="180"/>
        <v/>
      </c>
      <c r="AY3033" s="21" t="str">
        <f>IF(AND($AM3033&lt;&gt;"",$AS3033&lt;&gt;"✓"),SUMPRODUCT(($AM$11:$AM3033&lt;&gt;"")*($AS$11:$AS3033&lt;&gt;"✓")),"")</f>
        <v/>
      </c>
      <c r="AZ3033" s="21" t="str">
        <f>IF(AND($AM3033&lt;&gt;"",$AS3033="✓"),SUMPRODUCT(($AM$11:$AM3033&lt;&gt;"")*($AS$11:$AS3033="✓")),"")</f>
        <v/>
      </c>
      <c r="BA3033" s="21" t="str">
        <f>IF($AL3033="","",$AL3033&amp;"|"&amp;COUNTIF($AL$11:$AL3033,$AL3033))</f>
        <v/>
      </c>
    </row>
    <row r="3034" spans="38:53" ht="15" customHeight="1" x14ac:dyDescent="0.25">
      <c r="AL3034" s="31"/>
      <c r="AM3034" s="26"/>
      <c r="AN3034" s="32"/>
      <c r="AO3034" s="32"/>
      <c r="AP3034" s="24"/>
      <c r="AQ3034" s="24"/>
      <c r="AR3034" s="33"/>
      <c r="AS3034" s="34"/>
      <c r="AT3034" s="33"/>
      <c r="AV3034" s="21">
        <f>IF(AND($AL3034&lt;&gt;"",COUNTIF($AL$11:$AL3034,$AL3034)=1),1,0)</f>
        <v>0</v>
      </c>
      <c r="AW3034" s="21">
        <f t="shared" si="181"/>
        <v>0</v>
      </c>
      <c r="AX3034" s="21" t="str">
        <f t="shared" si="180"/>
        <v/>
      </c>
      <c r="AY3034" s="21" t="str">
        <f>IF(AND($AM3034&lt;&gt;"",$AS3034&lt;&gt;"✓"),SUMPRODUCT(($AM$11:$AM3034&lt;&gt;"")*($AS$11:$AS3034&lt;&gt;"✓")),"")</f>
        <v/>
      </c>
      <c r="AZ3034" s="21" t="str">
        <f>IF(AND($AM3034&lt;&gt;"",$AS3034="✓"),SUMPRODUCT(($AM$11:$AM3034&lt;&gt;"")*($AS$11:$AS3034="✓")),"")</f>
        <v/>
      </c>
      <c r="BA3034" s="21" t="str">
        <f>IF($AL3034="","",$AL3034&amp;"|"&amp;COUNTIF($AL$11:$AL3034,$AL3034))</f>
        <v/>
      </c>
    </row>
    <row r="3035" spans="38:53" ht="15" customHeight="1" x14ac:dyDescent="0.25">
      <c r="AL3035" s="17"/>
      <c r="AM3035" s="12"/>
      <c r="AN3035" s="18"/>
      <c r="AO3035" s="18"/>
      <c r="AP3035" s="10"/>
      <c r="AQ3035" s="10"/>
      <c r="AR3035" s="19"/>
      <c r="AS3035" s="20"/>
      <c r="AT3035" s="19"/>
      <c r="AV3035" s="21">
        <f>IF(AND($AL3035&lt;&gt;"",COUNTIF($AL$11:$AL3035,$AL3035)=1),1,0)</f>
        <v>0</v>
      </c>
      <c r="AW3035" s="21">
        <f t="shared" si="181"/>
        <v>0</v>
      </c>
      <c r="AX3035" s="21" t="str">
        <f t="shared" si="180"/>
        <v/>
      </c>
      <c r="AY3035" s="21" t="str">
        <f>IF(AND($AM3035&lt;&gt;"",$AS3035&lt;&gt;"✓"),SUMPRODUCT(($AM$11:$AM3035&lt;&gt;"")*($AS$11:$AS3035&lt;&gt;"✓")),"")</f>
        <v/>
      </c>
      <c r="AZ3035" s="21" t="str">
        <f>IF(AND($AM3035&lt;&gt;"",$AS3035="✓"),SUMPRODUCT(($AM$11:$AM3035&lt;&gt;"")*($AS$11:$AS3035="✓")),"")</f>
        <v/>
      </c>
      <c r="BA3035" s="21" t="str">
        <f>IF($AL3035="","",$AL3035&amp;"|"&amp;COUNTIF($AL$11:$AL3035,$AL3035))</f>
        <v/>
      </c>
    </row>
    <row r="3036" spans="38:53" ht="15" customHeight="1" x14ac:dyDescent="0.25">
      <c r="AL3036" s="31"/>
      <c r="AM3036" s="26"/>
      <c r="AN3036" s="32"/>
      <c r="AO3036" s="32"/>
      <c r="AP3036" s="24"/>
      <c r="AQ3036" s="24"/>
      <c r="AR3036" s="33"/>
      <c r="AS3036" s="34"/>
      <c r="AT3036" s="33"/>
      <c r="AV3036" s="21">
        <f>IF(AND($AL3036&lt;&gt;"",COUNTIF($AL$11:$AL3036,$AL3036)=1),1,0)</f>
        <v>0</v>
      </c>
      <c r="AW3036" s="21">
        <f t="shared" si="181"/>
        <v>0</v>
      </c>
      <c r="AX3036" s="21" t="str">
        <f t="shared" si="180"/>
        <v/>
      </c>
      <c r="AY3036" s="21" t="str">
        <f>IF(AND($AM3036&lt;&gt;"",$AS3036&lt;&gt;"✓"),SUMPRODUCT(($AM$11:$AM3036&lt;&gt;"")*($AS$11:$AS3036&lt;&gt;"✓")),"")</f>
        <v/>
      </c>
      <c r="AZ3036" s="21" t="str">
        <f>IF(AND($AM3036&lt;&gt;"",$AS3036="✓"),SUMPRODUCT(($AM$11:$AM3036&lt;&gt;"")*($AS$11:$AS3036="✓")),"")</f>
        <v/>
      </c>
      <c r="BA3036" s="21" t="str">
        <f>IF($AL3036="","",$AL3036&amp;"|"&amp;COUNTIF($AL$11:$AL3036,$AL3036))</f>
        <v/>
      </c>
    </row>
    <row r="3037" spans="38:53" ht="15" customHeight="1" x14ac:dyDescent="0.25">
      <c r="AL3037" s="17"/>
      <c r="AM3037" s="12"/>
      <c r="AN3037" s="18"/>
      <c r="AO3037" s="18"/>
      <c r="AP3037" s="10"/>
      <c r="AQ3037" s="10"/>
      <c r="AR3037" s="19"/>
      <c r="AS3037" s="20"/>
      <c r="AT3037" s="19"/>
      <c r="AV3037" s="21">
        <f>IF(AND($AL3037&lt;&gt;"",COUNTIF($AL$11:$AL3037,$AL3037)=1),1,0)</f>
        <v>0</v>
      </c>
      <c r="AW3037" s="21">
        <f t="shared" si="181"/>
        <v>0</v>
      </c>
      <c r="AX3037" s="21" t="str">
        <f t="shared" si="180"/>
        <v/>
      </c>
      <c r="AY3037" s="21" t="str">
        <f>IF(AND($AM3037&lt;&gt;"",$AS3037&lt;&gt;"✓"),SUMPRODUCT(($AM$11:$AM3037&lt;&gt;"")*($AS$11:$AS3037&lt;&gt;"✓")),"")</f>
        <v/>
      </c>
      <c r="AZ3037" s="21" t="str">
        <f>IF(AND($AM3037&lt;&gt;"",$AS3037="✓"),SUMPRODUCT(($AM$11:$AM3037&lt;&gt;"")*($AS$11:$AS3037="✓")),"")</f>
        <v/>
      </c>
      <c r="BA3037" s="21" t="str">
        <f>IF($AL3037="","",$AL3037&amp;"|"&amp;COUNTIF($AL$11:$AL3037,$AL3037))</f>
        <v/>
      </c>
    </row>
    <row r="3038" spans="38:53" ht="15" customHeight="1" x14ac:dyDescent="0.25">
      <c r="AL3038" s="31"/>
      <c r="AM3038" s="26"/>
      <c r="AN3038" s="32"/>
      <c r="AO3038" s="32"/>
      <c r="AP3038" s="24"/>
      <c r="AQ3038" s="24"/>
      <c r="AR3038" s="33"/>
      <c r="AS3038" s="34"/>
      <c r="AT3038" s="33"/>
      <c r="AV3038" s="21">
        <f>IF(AND($AL3038&lt;&gt;"",COUNTIF($AL$11:$AL3038,$AL3038)=1),1,0)</f>
        <v>0</v>
      </c>
      <c r="AW3038" s="21">
        <f t="shared" si="181"/>
        <v>0</v>
      </c>
      <c r="AX3038" s="21" t="str">
        <f t="shared" si="180"/>
        <v/>
      </c>
      <c r="AY3038" s="21" t="str">
        <f>IF(AND($AM3038&lt;&gt;"",$AS3038&lt;&gt;"✓"),SUMPRODUCT(($AM$11:$AM3038&lt;&gt;"")*($AS$11:$AS3038&lt;&gt;"✓")),"")</f>
        <v/>
      </c>
      <c r="AZ3038" s="21" t="str">
        <f>IF(AND($AM3038&lt;&gt;"",$AS3038="✓"),SUMPRODUCT(($AM$11:$AM3038&lt;&gt;"")*($AS$11:$AS3038="✓")),"")</f>
        <v/>
      </c>
      <c r="BA3038" s="21" t="str">
        <f>IF($AL3038="","",$AL3038&amp;"|"&amp;COUNTIF($AL$11:$AL3038,$AL3038))</f>
        <v/>
      </c>
    </row>
    <row r="3039" spans="38:53" ht="15" customHeight="1" x14ac:dyDescent="0.25">
      <c r="AL3039" s="17"/>
      <c r="AM3039" s="12"/>
      <c r="AN3039" s="18"/>
      <c r="AO3039" s="18"/>
      <c r="AP3039" s="10"/>
      <c r="AQ3039" s="10"/>
      <c r="AR3039" s="19"/>
      <c r="AS3039" s="20"/>
      <c r="AT3039" s="19"/>
      <c r="AV3039" s="21">
        <f>IF(AND($AL3039&lt;&gt;"",COUNTIF($AL$11:$AL3039,$AL3039)=1),1,0)</f>
        <v>0</v>
      </c>
      <c r="AW3039" s="21">
        <f t="shared" si="181"/>
        <v>0</v>
      </c>
      <c r="AX3039" s="21" t="str">
        <f t="shared" si="180"/>
        <v/>
      </c>
      <c r="AY3039" s="21" t="str">
        <f>IF(AND($AM3039&lt;&gt;"",$AS3039&lt;&gt;"✓"),SUMPRODUCT(($AM$11:$AM3039&lt;&gt;"")*($AS$11:$AS3039&lt;&gt;"✓")),"")</f>
        <v/>
      </c>
      <c r="AZ3039" s="21" t="str">
        <f>IF(AND($AM3039&lt;&gt;"",$AS3039="✓"),SUMPRODUCT(($AM$11:$AM3039&lt;&gt;"")*($AS$11:$AS3039="✓")),"")</f>
        <v/>
      </c>
      <c r="BA3039" s="21" t="str">
        <f>IF($AL3039="","",$AL3039&amp;"|"&amp;COUNTIF($AL$11:$AL3039,$AL3039))</f>
        <v/>
      </c>
    </row>
    <row r="3040" spans="38:53" ht="15" customHeight="1" x14ac:dyDescent="0.25">
      <c r="AL3040" s="31"/>
      <c r="AM3040" s="26"/>
      <c r="AN3040" s="32"/>
      <c r="AO3040" s="32"/>
      <c r="AP3040" s="24"/>
      <c r="AQ3040" s="24"/>
      <c r="AR3040" s="33"/>
      <c r="AS3040" s="34"/>
      <c r="AT3040" s="33"/>
      <c r="AV3040" s="21">
        <f>IF(AND($AL3040&lt;&gt;"",COUNTIF($AL$11:$AL3040,$AL3040)=1),1,0)</f>
        <v>0</v>
      </c>
      <c r="AW3040" s="21">
        <f t="shared" si="181"/>
        <v>0</v>
      </c>
      <c r="AX3040" s="21" t="str">
        <f t="shared" si="180"/>
        <v/>
      </c>
      <c r="AY3040" s="21" t="str">
        <f>IF(AND($AM3040&lt;&gt;"",$AS3040&lt;&gt;"✓"),SUMPRODUCT(($AM$11:$AM3040&lt;&gt;"")*($AS$11:$AS3040&lt;&gt;"✓")),"")</f>
        <v/>
      </c>
      <c r="AZ3040" s="21" t="str">
        <f>IF(AND($AM3040&lt;&gt;"",$AS3040="✓"),SUMPRODUCT(($AM$11:$AM3040&lt;&gt;"")*($AS$11:$AS3040="✓")),"")</f>
        <v/>
      </c>
      <c r="BA3040" s="21" t="str">
        <f>IF($AL3040="","",$AL3040&amp;"|"&amp;COUNTIF($AL$11:$AL3040,$AL3040))</f>
        <v/>
      </c>
    </row>
    <row r="3041" spans="38:53" ht="15" customHeight="1" x14ac:dyDescent="0.25">
      <c r="AL3041" s="17"/>
      <c r="AM3041" s="12"/>
      <c r="AN3041" s="18"/>
      <c r="AO3041" s="18"/>
      <c r="AP3041" s="10"/>
      <c r="AQ3041" s="10"/>
      <c r="AR3041" s="19"/>
      <c r="AS3041" s="20"/>
      <c r="AT3041" s="19"/>
      <c r="AV3041" s="21">
        <f>IF(AND($AL3041&lt;&gt;"",COUNTIF($AL$11:$AL3041,$AL3041)=1),1,0)</f>
        <v>0</v>
      </c>
      <c r="AW3041" s="21">
        <f t="shared" si="181"/>
        <v>0</v>
      </c>
      <c r="AX3041" s="21" t="str">
        <f t="shared" si="180"/>
        <v/>
      </c>
      <c r="AY3041" s="21" t="str">
        <f>IF(AND($AM3041&lt;&gt;"",$AS3041&lt;&gt;"✓"),SUMPRODUCT(($AM$11:$AM3041&lt;&gt;"")*($AS$11:$AS3041&lt;&gt;"✓")),"")</f>
        <v/>
      </c>
      <c r="AZ3041" s="21" t="str">
        <f>IF(AND($AM3041&lt;&gt;"",$AS3041="✓"),SUMPRODUCT(($AM$11:$AM3041&lt;&gt;"")*($AS$11:$AS3041="✓")),"")</f>
        <v/>
      </c>
      <c r="BA3041" s="21" t="str">
        <f>IF($AL3041="","",$AL3041&amp;"|"&amp;COUNTIF($AL$11:$AL3041,$AL3041))</f>
        <v/>
      </c>
    </row>
    <row r="3042" spans="38:53" ht="15" customHeight="1" x14ac:dyDescent="0.25">
      <c r="AL3042" s="31"/>
      <c r="AM3042" s="26"/>
      <c r="AN3042" s="32"/>
      <c r="AO3042" s="32"/>
      <c r="AP3042" s="24"/>
      <c r="AQ3042" s="24"/>
      <c r="AR3042" s="33"/>
      <c r="AS3042" s="34"/>
      <c r="AT3042" s="33"/>
      <c r="AV3042" s="21">
        <f>IF(AND($AL3042&lt;&gt;"",COUNTIF($AL$11:$AL3042,$AL3042)=1),1,0)</f>
        <v>0</v>
      </c>
      <c r="AW3042" s="21">
        <f t="shared" si="181"/>
        <v>0</v>
      </c>
      <c r="AX3042" s="21" t="str">
        <f t="shared" si="180"/>
        <v/>
      </c>
      <c r="AY3042" s="21" t="str">
        <f>IF(AND($AM3042&lt;&gt;"",$AS3042&lt;&gt;"✓"),SUMPRODUCT(($AM$11:$AM3042&lt;&gt;"")*($AS$11:$AS3042&lt;&gt;"✓")),"")</f>
        <v/>
      </c>
      <c r="AZ3042" s="21" t="str">
        <f>IF(AND($AM3042&lt;&gt;"",$AS3042="✓"),SUMPRODUCT(($AM$11:$AM3042&lt;&gt;"")*($AS$11:$AS3042="✓")),"")</f>
        <v/>
      </c>
      <c r="BA3042" s="21" t="str">
        <f>IF($AL3042="","",$AL3042&amp;"|"&amp;COUNTIF($AL$11:$AL3042,$AL3042))</f>
        <v/>
      </c>
    </row>
    <row r="3043" spans="38:53" ht="15" customHeight="1" x14ac:dyDescent="0.25">
      <c r="AL3043" s="17"/>
      <c r="AM3043" s="12"/>
      <c r="AN3043" s="18"/>
      <c r="AO3043" s="18"/>
      <c r="AP3043" s="10"/>
      <c r="AQ3043" s="10"/>
      <c r="AR3043" s="19"/>
      <c r="AS3043" s="20"/>
      <c r="AT3043" s="19"/>
      <c r="AV3043" s="21">
        <f>IF(AND($AL3043&lt;&gt;"",COUNTIF($AL$11:$AL3043,$AL3043)=1),1,0)</f>
        <v>0</v>
      </c>
      <c r="AW3043" s="21">
        <f t="shared" si="181"/>
        <v>0</v>
      </c>
      <c r="AX3043" s="21" t="str">
        <f t="shared" si="180"/>
        <v/>
      </c>
      <c r="AY3043" s="21" t="str">
        <f>IF(AND($AM3043&lt;&gt;"",$AS3043&lt;&gt;"✓"),SUMPRODUCT(($AM$11:$AM3043&lt;&gt;"")*($AS$11:$AS3043&lt;&gt;"✓")),"")</f>
        <v/>
      </c>
      <c r="AZ3043" s="21" t="str">
        <f>IF(AND($AM3043&lt;&gt;"",$AS3043="✓"),SUMPRODUCT(($AM$11:$AM3043&lt;&gt;"")*($AS$11:$AS3043="✓")),"")</f>
        <v/>
      </c>
      <c r="BA3043" s="21" t="str">
        <f>IF($AL3043="","",$AL3043&amp;"|"&amp;COUNTIF($AL$11:$AL3043,$AL3043))</f>
        <v/>
      </c>
    </row>
    <row r="3044" spans="38:53" ht="15" customHeight="1" x14ac:dyDescent="0.25">
      <c r="AL3044" s="31"/>
      <c r="AM3044" s="26"/>
      <c r="AN3044" s="32"/>
      <c r="AO3044" s="32"/>
      <c r="AP3044" s="24"/>
      <c r="AQ3044" s="24"/>
      <c r="AR3044" s="33"/>
      <c r="AS3044" s="34"/>
      <c r="AT3044" s="33"/>
      <c r="AV3044" s="21">
        <f>IF(AND($AL3044&lt;&gt;"",COUNTIF($AL$11:$AL3044,$AL3044)=1),1,0)</f>
        <v>0</v>
      </c>
      <c r="AW3044" s="21">
        <f t="shared" si="181"/>
        <v>0</v>
      </c>
      <c r="AX3044" s="21" t="str">
        <f t="shared" si="180"/>
        <v/>
      </c>
      <c r="AY3044" s="21" t="str">
        <f>IF(AND($AM3044&lt;&gt;"",$AS3044&lt;&gt;"✓"),SUMPRODUCT(($AM$11:$AM3044&lt;&gt;"")*($AS$11:$AS3044&lt;&gt;"✓")),"")</f>
        <v/>
      </c>
      <c r="AZ3044" s="21" t="str">
        <f>IF(AND($AM3044&lt;&gt;"",$AS3044="✓"),SUMPRODUCT(($AM$11:$AM3044&lt;&gt;"")*($AS$11:$AS3044="✓")),"")</f>
        <v/>
      </c>
      <c r="BA3044" s="21" t="str">
        <f>IF($AL3044="","",$AL3044&amp;"|"&amp;COUNTIF($AL$11:$AL3044,$AL3044))</f>
        <v/>
      </c>
    </row>
    <row r="3045" spans="38:53" ht="15" customHeight="1" x14ac:dyDescent="0.25">
      <c r="AL3045" s="17"/>
      <c r="AM3045" s="12"/>
      <c r="AN3045" s="18"/>
      <c r="AO3045" s="18"/>
      <c r="AP3045" s="10"/>
      <c r="AQ3045" s="10"/>
      <c r="AR3045" s="19"/>
      <c r="AS3045" s="20"/>
      <c r="AT3045" s="19"/>
      <c r="AV3045" s="21">
        <f>IF(AND($AL3045&lt;&gt;"",COUNTIF($AL$11:$AL3045,$AL3045)=1),1,0)</f>
        <v>0</v>
      </c>
      <c r="AW3045" s="21">
        <f t="shared" si="181"/>
        <v>0</v>
      </c>
      <c r="AX3045" s="21" t="str">
        <f t="shared" si="180"/>
        <v/>
      </c>
      <c r="AY3045" s="21" t="str">
        <f>IF(AND($AM3045&lt;&gt;"",$AS3045&lt;&gt;"✓"),SUMPRODUCT(($AM$11:$AM3045&lt;&gt;"")*($AS$11:$AS3045&lt;&gt;"✓")),"")</f>
        <v/>
      </c>
      <c r="AZ3045" s="21" t="str">
        <f>IF(AND($AM3045&lt;&gt;"",$AS3045="✓"),SUMPRODUCT(($AM$11:$AM3045&lt;&gt;"")*($AS$11:$AS3045="✓")),"")</f>
        <v/>
      </c>
      <c r="BA3045" s="21" t="str">
        <f>IF($AL3045="","",$AL3045&amp;"|"&amp;COUNTIF($AL$11:$AL3045,$AL3045))</f>
        <v/>
      </c>
    </row>
    <row r="3046" spans="38:53" ht="15" customHeight="1" x14ac:dyDescent="0.25">
      <c r="AL3046" s="31"/>
      <c r="AM3046" s="26"/>
      <c r="AN3046" s="32"/>
      <c r="AO3046" s="32"/>
      <c r="AP3046" s="24"/>
      <c r="AQ3046" s="24"/>
      <c r="AR3046" s="33"/>
      <c r="AS3046" s="34"/>
      <c r="AT3046" s="33"/>
      <c r="AV3046" s="21">
        <f>IF(AND($AL3046&lt;&gt;"",COUNTIF($AL$11:$AL3046,$AL3046)=1),1,0)</f>
        <v>0</v>
      </c>
      <c r="AW3046" s="21">
        <f t="shared" si="181"/>
        <v>0</v>
      </c>
      <c r="AX3046" s="21" t="str">
        <f t="shared" si="180"/>
        <v/>
      </c>
      <c r="AY3046" s="21" t="str">
        <f>IF(AND($AM3046&lt;&gt;"",$AS3046&lt;&gt;"✓"),SUMPRODUCT(($AM$11:$AM3046&lt;&gt;"")*($AS$11:$AS3046&lt;&gt;"✓")),"")</f>
        <v/>
      </c>
      <c r="AZ3046" s="21" t="str">
        <f>IF(AND($AM3046&lt;&gt;"",$AS3046="✓"),SUMPRODUCT(($AM$11:$AM3046&lt;&gt;"")*($AS$11:$AS3046="✓")),"")</f>
        <v/>
      </c>
      <c r="BA3046" s="21" t="str">
        <f>IF($AL3046="","",$AL3046&amp;"|"&amp;COUNTIF($AL$11:$AL3046,$AL3046))</f>
        <v/>
      </c>
    </row>
    <row r="3047" spans="38:53" ht="15" customHeight="1" x14ac:dyDescent="0.25">
      <c r="AL3047" s="17"/>
      <c r="AM3047" s="12"/>
      <c r="AN3047" s="18"/>
      <c r="AO3047" s="18"/>
      <c r="AP3047" s="10"/>
      <c r="AQ3047" s="10"/>
      <c r="AR3047" s="19"/>
      <c r="AS3047" s="20"/>
      <c r="AT3047" s="19"/>
      <c r="AV3047" s="21">
        <f>IF(AND($AL3047&lt;&gt;"",COUNTIF($AL$11:$AL3047,$AL3047)=1),1,0)</f>
        <v>0</v>
      </c>
      <c r="AW3047" s="21">
        <f t="shared" si="181"/>
        <v>0</v>
      </c>
      <c r="AX3047" s="21" t="str">
        <f t="shared" si="180"/>
        <v/>
      </c>
      <c r="AY3047" s="21" t="str">
        <f>IF(AND($AM3047&lt;&gt;"",$AS3047&lt;&gt;"✓"),SUMPRODUCT(($AM$11:$AM3047&lt;&gt;"")*($AS$11:$AS3047&lt;&gt;"✓")),"")</f>
        <v/>
      </c>
      <c r="AZ3047" s="21" t="str">
        <f>IF(AND($AM3047&lt;&gt;"",$AS3047="✓"),SUMPRODUCT(($AM$11:$AM3047&lt;&gt;"")*($AS$11:$AS3047="✓")),"")</f>
        <v/>
      </c>
      <c r="BA3047" s="21" t="str">
        <f>IF($AL3047="","",$AL3047&amp;"|"&amp;COUNTIF($AL$11:$AL3047,$AL3047))</f>
        <v/>
      </c>
    </row>
    <row r="3048" spans="38:53" ht="15" customHeight="1" x14ac:dyDescent="0.25">
      <c r="AL3048" s="31"/>
      <c r="AM3048" s="26"/>
      <c r="AN3048" s="32"/>
      <c r="AO3048" s="32"/>
      <c r="AP3048" s="24"/>
      <c r="AQ3048" s="24"/>
      <c r="AR3048" s="33"/>
      <c r="AS3048" s="34"/>
      <c r="AT3048" s="33"/>
      <c r="AV3048" s="21">
        <f>IF(AND($AL3048&lt;&gt;"",COUNTIF($AL$11:$AL3048,$AL3048)=1),1,0)</f>
        <v>0</v>
      </c>
      <c r="AW3048" s="21">
        <f t="shared" si="181"/>
        <v>0</v>
      </c>
      <c r="AX3048" s="21" t="str">
        <f t="shared" si="180"/>
        <v/>
      </c>
      <c r="AY3048" s="21" t="str">
        <f>IF(AND($AM3048&lt;&gt;"",$AS3048&lt;&gt;"✓"),SUMPRODUCT(($AM$11:$AM3048&lt;&gt;"")*($AS$11:$AS3048&lt;&gt;"✓")),"")</f>
        <v/>
      </c>
      <c r="AZ3048" s="21" t="str">
        <f>IF(AND($AM3048&lt;&gt;"",$AS3048="✓"),SUMPRODUCT(($AM$11:$AM3048&lt;&gt;"")*($AS$11:$AS3048="✓")),"")</f>
        <v/>
      </c>
      <c r="BA3048" s="21" t="str">
        <f>IF($AL3048="","",$AL3048&amp;"|"&amp;COUNTIF($AL$11:$AL3048,$AL3048))</f>
        <v/>
      </c>
    </row>
    <row r="3049" spans="38:53" ht="15" customHeight="1" x14ac:dyDescent="0.25">
      <c r="AL3049" s="17"/>
      <c r="AM3049" s="12"/>
      <c r="AN3049" s="18"/>
      <c r="AO3049" s="18"/>
      <c r="AP3049" s="10"/>
      <c r="AQ3049" s="10"/>
      <c r="AR3049" s="19"/>
      <c r="AS3049" s="20"/>
      <c r="AT3049" s="19"/>
      <c r="AV3049" s="21">
        <f>IF(AND($AL3049&lt;&gt;"",COUNTIF($AL$11:$AL3049,$AL3049)=1),1,0)</f>
        <v>0</v>
      </c>
      <c r="AW3049" s="21">
        <f t="shared" si="181"/>
        <v>0</v>
      </c>
      <c r="AX3049" s="21" t="str">
        <f t="shared" si="180"/>
        <v/>
      </c>
      <c r="AY3049" s="21" t="str">
        <f>IF(AND($AM3049&lt;&gt;"",$AS3049&lt;&gt;"✓"),SUMPRODUCT(($AM$11:$AM3049&lt;&gt;"")*($AS$11:$AS3049&lt;&gt;"✓")),"")</f>
        <v/>
      </c>
      <c r="AZ3049" s="21" t="str">
        <f>IF(AND($AM3049&lt;&gt;"",$AS3049="✓"),SUMPRODUCT(($AM$11:$AM3049&lt;&gt;"")*($AS$11:$AS3049="✓")),"")</f>
        <v/>
      </c>
      <c r="BA3049" s="21" t="str">
        <f>IF($AL3049="","",$AL3049&amp;"|"&amp;COUNTIF($AL$11:$AL3049,$AL3049))</f>
        <v/>
      </c>
    </row>
    <row r="3050" spans="38:53" ht="15" customHeight="1" x14ac:dyDescent="0.25">
      <c r="AL3050" s="31"/>
      <c r="AM3050" s="26"/>
      <c r="AN3050" s="32"/>
      <c r="AO3050" s="32"/>
      <c r="AP3050" s="24"/>
      <c r="AQ3050" s="24"/>
      <c r="AR3050" s="33"/>
      <c r="AS3050" s="34"/>
      <c r="AT3050" s="33"/>
      <c r="AV3050" s="21">
        <f>IF(AND($AL3050&lt;&gt;"",COUNTIF($AL$11:$AL3050,$AL3050)=1),1,0)</f>
        <v>0</v>
      </c>
      <c r="AW3050" s="21">
        <f t="shared" si="181"/>
        <v>0</v>
      </c>
      <c r="AX3050" s="21" t="str">
        <f t="shared" si="180"/>
        <v/>
      </c>
      <c r="AY3050" s="21" t="str">
        <f>IF(AND($AM3050&lt;&gt;"",$AS3050&lt;&gt;"✓"),SUMPRODUCT(($AM$11:$AM3050&lt;&gt;"")*($AS$11:$AS3050&lt;&gt;"✓")),"")</f>
        <v/>
      </c>
      <c r="AZ3050" s="21" t="str">
        <f>IF(AND($AM3050&lt;&gt;"",$AS3050="✓"),SUMPRODUCT(($AM$11:$AM3050&lt;&gt;"")*($AS$11:$AS3050="✓")),"")</f>
        <v/>
      </c>
      <c r="BA3050" s="21" t="str">
        <f>IF($AL3050="","",$AL3050&amp;"|"&amp;COUNTIF($AL$11:$AL3050,$AL3050))</f>
        <v/>
      </c>
    </row>
    <row r="3051" spans="38:53" ht="15" customHeight="1" x14ac:dyDescent="0.25">
      <c r="AL3051" s="17"/>
      <c r="AM3051" s="12"/>
      <c r="AN3051" s="18"/>
      <c r="AO3051" s="18"/>
      <c r="AP3051" s="10"/>
      <c r="AQ3051" s="10"/>
      <c r="AR3051" s="19"/>
      <c r="AS3051" s="20"/>
      <c r="AT3051" s="19"/>
      <c r="AV3051" s="21">
        <f>IF(AND($AL3051&lt;&gt;"",COUNTIF($AL$11:$AL3051,$AL3051)=1),1,0)</f>
        <v>0</v>
      </c>
      <c r="AW3051" s="21">
        <f t="shared" si="181"/>
        <v>0</v>
      </c>
      <c r="AX3051" s="21" t="str">
        <f t="shared" si="180"/>
        <v/>
      </c>
      <c r="AY3051" s="21" t="str">
        <f>IF(AND($AM3051&lt;&gt;"",$AS3051&lt;&gt;"✓"),SUMPRODUCT(($AM$11:$AM3051&lt;&gt;"")*($AS$11:$AS3051&lt;&gt;"✓")),"")</f>
        <v/>
      </c>
      <c r="AZ3051" s="21" t="str">
        <f>IF(AND($AM3051&lt;&gt;"",$AS3051="✓"),SUMPRODUCT(($AM$11:$AM3051&lt;&gt;"")*($AS$11:$AS3051="✓")),"")</f>
        <v/>
      </c>
      <c r="BA3051" s="21" t="str">
        <f>IF($AL3051="","",$AL3051&amp;"|"&amp;COUNTIF($AL$11:$AL3051,$AL3051))</f>
        <v/>
      </c>
    </row>
    <row r="3052" spans="38:53" ht="15" customHeight="1" x14ac:dyDescent="0.25">
      <c r="AL3052" s="31"/>
      <c r="AM3052" s="26"/>
      <c r="AN3052" s="32"/>
      <c r="AO3052" s="32"/>
      <c r="AP3052" s="24"/>
      <c r="AQ3052" s="24"/>
      <c r="AR3052" s="33"/>
      <c r="AS3052" s="34"/>
      <c r="AT3052" s="33"/>
      <c r="AV3052" s="21">
        <f>IF(AND($AL3052&lt;&gt;"",COUNTIF($AL$11:$AL3052,$AL3052)=1),1,0)</f>
        <v>0</v>
      </c>
      <c r="AW3052" s="21">
        <f t="shared" si="181"/>
        <v>0</v>
      </c>
      <c r="AX3052" s="21" t="str">
        <f t="shared" si="180"/>
        <v/>
      </c>
      <c r="AY3052" s="21" t="str">
        <f>IF(AND($AM3052&lt;&gt;"",$AS3052&lt;&gt;"✓"),SUMPRODUCT(($AM$11:$AM3052&lt;&gt;"")*($AS$11:$AS3052&lt;&gt;"✓")),"")</f>
        <v/>
      </c>
      <c r="AZ3052" s="21" t="str">
        <f>IF(AND($AM3052&lt;&gt;"",$AS3052="✓"),SUMPRODUCT(($AM$11:$AM3052&lt;&gt;"")*($AS$11:$AS3052="✓")),"")</f>
        <v/>
      </c>
      <c r="BA3052" s="21" t="str">
        <f>IF($AL3052="","",$AL3052&amp;"|"&amp;COUNTIF($AL$11:$AL3052,$AL3052))</f>
        <v/>
      </c>
    </row>
    <row r="3053" spans="38:53" ht="15" customHeight="1" x14ac:dyDescent="0.25">
      <c r="AL3053" s="17"/>
      <c r="AM3053" s="12"/>
      <c r="AN3053" s="18"/>
      <c r="AO3053" s="18"/>
      <c r="AP3053" s="10"/>
      <c r="AQ3053" s="10"/>
      <c r="AR3053" s="19"/>
      <c r="AS3053" s="20"/>
      <c r="AT3053" s="19"/>
      <c r="AV3053" s="21">
        <f>IF(AND($AL3053&lt;&gt;"",COUNTIF($AL$11:$AL3053,$AL3053)=1),1,0)</f>
        <v>0</v>
      </c>
      <c r="AW3053" s="21">
        <f t="shared" si="181"/>
        <v>0</v>
      </c>
      <c r="AX3053" s="21" t="str">
        <f t="shared" si="180"/>
        <v/>
      </c>
      <c r="AY3053" s="21" t="str">
        <f>IF(AND($AM3053&lt;&gt;"",$AS3053&lt;&gt;"✓"),SUMPRODUCT(($AM$11:$AM3053&lt;&gt;"")*($AS$11:$AS3053&lt;&gt;"✓")),"")</f>
        <v/>
      </c>
      <c r="AZ3053" s="21" t="str">
        <f>IF(AND($AM3053&lt;&gt;"",$AS3053="✓"),SUMPRODUCT(($AM$11:$AM3053&lt;&gt;"")*($AS$11:$AS3053="✓")),"")</f>
        <v/>
      </c>
      <c r="BA3053" s="21" t="str">
        <f>IF($AL3053="","",$AL3053&amp;"|"&amp;COUNTIF($AL$11:$AL3053,$AL3053))</f>
        <v/>
      </c>
    </row>
    <row r="3054" spans="38:53" ht="15" customHeight="1" x14ac:dyDescent="0.25">
      <c r="AL3054" s="31"/>
      <c r="AM3054" s="26"/>
      <c r="AN3054" s="32"/>
      <c r="AO3054" s="32"/>
      <c r="AP3054" s="24"/>
      <c r="AQ3054" s="24"/>
      <c r="AR3054" s="33"/>
      <c r="AS3054" s="34"/>
      <c r="AT3054" s="33"/>
      <c r="AV3054" s="21">
        <f>IF(AND($AL3054&lt;&gt;"",COUNTIF($AL$11:$AL3054,$AL3054)=1),1,0)</f>
        <v>0</v>
      </c>
      <c r="AW3054" s="21">
        <f t="shared" si="181"/>
        <v>0</v>
      </c>
      <c r="AX3054" s="21" t="str">
        <f t="shared" si="180"/>
        <v/>
      </c>
      <c r="AY3054" s="21" t="str">
        <f>IF(AND($AM3054&lt;&gt;"",$AS3054&lt;&gt;"✓"),SUMPRODUCT(($AM$11:$AM3054&lt;&gt;"")*($AS$11:$AS3054&lt;&gt;"✓")),"")</f>
        <v/>
      </c>
      <c r="AZ3054" s="21" t="str">
        <f>IF(AND($AM3054&lt;&gt;"",$AS3054="✓"),SUMPRODUCT(($AM$11:$AM3054&lt;&gt;"")*($AS$11:$AS3054="✓")),"")</f>
        <v/>
      </c>
      <c r="BA3054" s="21" t="str">
        <f>IF($AL3054="","",$AL3054&amp;"|"&amp;COUNTIF($AL$11:$AL3054,$AL3054))</f>
        <v/>
      </c>
    </row>
    <row r="3055" spans="38:53" ht="15" customHeight="1" x14ac:dyDescent="0.25">
      <c r="AL3055" s="17"/>
      <c r="AM3055" s="12"/>
      <c r="AN3055" s="18"/>
      <c r="AO3055" s="18"/>
      <c r="AP3055" s="10"/>
      <c r="AQ3055" s="10"/>
      <c r="AR3055" s="19"/>
      <c r="AS3055" s="20"/>
      <c r="AT3055" s="19"/>
      <c r="AV3055" s="21">
        <f>IF(AND($AL3055&lt;&gt;"",COUNTIF($AL$11:$AL3055,$AL3055)=1),1,0)</f>
        <v>0</v>
      </c>
      <c r="AW3055" s="21">
        <f t="shared" si="181"/>
        <v>0</v>
      </c>
      <c r="AX3055" s="21" t="str">
        <f t="shared" si="180"/>
        <v/>
      </c>
      <c r="AY3055" s="21" t="str">
        <f>IF(AND($AM3055&lt;&gt;"",$AS3055&lt;&gt;"✓"),SUMPRODUCT(($AM$11:$AM3055&lt;&gt;"")*($AS$11:$AS3055&lt;&gt;"✓")),"")</f>
        <v/>
      </c>
      <c r="AZ3055" s="21" t="str">
        <f>IF(AND($AM3055&lt;&gt;"",$AS3055="✓"),SUMPRODUCT(($AM$11:$AM3055&lt;&gt;"")*($AS$11:$AS3055="✓")),"")</f>
        <v/>
      </c>
      <c r="BA3055" s="21" t="str">
        <f>IF($AL3055="","",$AL3055&amp;"|"&amp;COUNTIF($AL$11:$AL3055,$AL3055))</f>
        <v/>
      </c>
    </row>
    <row r="3056" spans="38:53" ht="15" customHeight="1" x14ac:dyDescent="0.25">
      <c r="AL3056" s="31"/>
      <c r="AM3056" s="26"/>
      <c r="AN3056" s="32"/>
      <c r="AO3056" s="32"/>
      <c r="AP3056" s="24"/>
      <c r="AQ3056" s="24"/>
      <c r="AR3056" s="33"/>
      <c r="AS3056" s="34"/>
      <c r="AT3056" s="33"/>
      <c r="AV3056" s="21">
        <f>IF(AND($AL3056&lt;&gt;"",COUNTIF($AL$11:$AL3056,$AL3056)=1),1,0)</f>
        <v>0</v>
      </c>
      <c r="AW3056" s="21">
        <f t="shared" si="181"/>
        <v>0</v>
      </c>
      <c r="AX3056" s="21" t="str">
        <f t="shared" si="180"/>
        <v/>
      </c>
      <c r="AY3056" s="21" t="str">
        <f>IF(AND($AM3056&lt;&gt;"",$AS3056&lt;&gt;"✓"),SUMPRODUCT(($AM$11:$AM3056&lt;&gt;"")*($AS$11:$AS3056&lt;&gt;"✓")),"")</f>
        <v/>
      </c>
      <c r="AZ3056" s="21" t="str">
        <f>IF(AND($AM3056&lt;&gt;"",$AS3056="✓"),SUMPRODUCT(($AM$11:$AM3056&lt;&gt;"")*($AS$11:$AS3056="✓")),"")</f>
        <v/>
      </c>
      <c r="BA3056" s="21" t="str">
        <f>IF($AL3056="","",$AL3056&amp;"|"&amp;COUNTIF($AL$11:$AL3056,$AL3056))</f>
        <v/>
      </c>
    </row>
    <row r="3057" spans="38:53" ht="15" customHeight="1" x14ac:dyDescent="0.25">
      <c r="AL3057" s="17"/>
      <c r="AM3057" s="12"/>
      <c r="AN3057" s="18"/>
      <c r="AO3057" s="18"/>
      <c r="AP3057" s="10"/>
      <c r="AQ3057" s="10"/>
      <c r="AR3057" s="19"/>
      <c r="AS3057" s="20"/>
      <c r="AT3057" s="19"/>
      <c r="AV3057" s="21">
        <f>IF(AND($AL3057&lt;&gt;"",COUNTIF($AL$11:$AL3057,$AL3057)=1),1,0)</f>
        <v>0</v>
      </c>
      <c r="AW3057" s="21">
        <f t="shared" si="181"/>
        <v>0</v>
      </c>
      <c r="AX3057" s="21" t="str">
        <f t="shared" si="180"/>
        <v/>
      </c>
      <c r="AY3057" s="21" t="str">
        <f>IF(AND($AM3057&lt;&gt;"",$AS3057&lt;&gt;"✓"),SUMPRODUCT(($AM$11:$AM3057&lt;&gt;"")*($AS$11:$AS3057&lt;&gt;"✓")),"")</f>
        <v/>
      </c>
      <c r="AZ3057" s="21" t="str">
        <f>IF(AND($AM3057&lt;&gt;"",$AS3057="✓"),SUMPRODUCT(($AM$11:$AM3057&lt;&gt;"")*($AS$11:$AS3057="✓")),"")</f>
        <v/>
      </c>
      <c r="BA3057" s="21" t="str">
        <f>IF($AL3057="","",$AL3057&amp;"|"&amp;COUNTIF($AL$11:$AL3057,$AL3057))</f>
        <v/>
      </c>
    </row>
    <row r="3058" spans="38:53" ht="15" customHeight="1" x14ac:dyDescent="0.25">
      <c r="AL3058" s="31"/>
      <c r="AM3058" s="26"/>
      <c r="AN3058" s="32"/>
      <c r="AO3058" s="32"/>
      <c r="AP3058" s="24"/>
      <c r="AQ3058" s="24"/>
      <c r="AR3058" s="33"/>
      <c r="AS3058" s="34"/>
      <c r="AT3058" s="33"/>
      <c r="AV3058" s="21">
        <f>IF(AND($AL3058&lt;&gt;"",COUNTIF($AL$11:$AL3058,$AL3058)=1),1,0)</f>
        <v>0</v>
      </c>
      <c r="AW3058" s="21">
        <f t="shared" si="181"/>
        <v>0</v>
      </c>
      <c r="AX3058" s="21" t="str">
        <f t="shared" si="180"/>
        <v/>
      </c>
      <c r="AY3058" s="21" t="str">
        <f>IF(AND($AM3058&lt;&gt;"",$AS3058&lt;&gt;"✓"),SUMPRODUCT(($AM$11:$AM3058&lt;&gt;"")*($AS$11:$AS3058&lt;&gt;"✓")),"")</f>
        <v/>
      </c>
      <c r="AZ3058" s="21" t="str">
        <f>IF(AND($AM3058&lt;&gt;"",$AS3058="✓"),SUMPRODUCT(($AM$11:$AM3058&lt;&gt;"")*($AS$11:$AS3058="✓")),"")</f>
        <v/>
      </c>
      <c r="BA3058" s="21" t="str">
        <f>IF($AL3058="","",$AL3058&amp;"|"&amp;COUNTIF($AL$11:$AL3058,$AL3058))</f>
        <v/>
      </c>
    </row>
    <row r="3059" spans="38:53" ht="15" customHeight="1" x14ac:dyDescent="0.25">
      <c r="AL3059" s="17"/>
      <c r="AM3059" s="12"/>
      <c r="AN3059" s="18"/>
      <c r="AO3059" s="18"/>
      <c r="AP3059" s="10"/>
      <c r="AQ3059" s="10"/>
      <c r="AR3059" s="19"/>
      <c r="AS3059" s="20"/>
      <c r="AT3059" s="19"/>
      <c r="AV3059" s="21">
        <f>IF(AND($AL3059&lt;&gt;"",COUNTIF($AL$11:$AL3059,$AL3059)=1),1,0)</f>
        <v>0</v>
      </c>
      <c r="AW3059" s="21">
        <f t="shared" si="181"/>
        <v>0</v>
      </c>
      <c r="AX3059" s="21" t="str">
        <f t="shared" si="180"/>
        <v/>
      </c>
      <c r="AY3059" s="21" t="str">
        <f>IF(AND($AM3059&lt;&gt;"",$AS3059&lt;&gt;"✓"),SUMPRODUCT(($AM$11:$AM3059&lt;&gt;"")*($AS$11:$AS3059&lt;&gt;"✓")),"")</f>
        <v/>
      </c>
      <c r="AZ3059" s="21" t="str">
        <f>IF(AND($AM3059&lt;&gt;"",$AS3059="✓"),SUMPRODUCT(($AM$11:$AM3059&lt;&gt;"")*($AS$11:$AS3059="✓")),"")</f>
        <v/>
      </c>
      <c r="BA3059" s="21" t="str">
        <f>IF($AL3059="","",$AL3059&amp;"|"&amp;COUNTIF($AL$11:$AL3059,$AL3059))</f>
        <v/>
      </c>
    </row>
    <row r="3060" spans="38:53" ht="15" customHeight="1" x14ac:dyDescent="0.25">
      <c r="AL3060" s="31"/>
      <c r="AM3060" s="26"/>
      <c r="AN3060" s="32"/>
      <c r="AO3060" s="32"/>
      <c r="AP3060" s="24"/>
      <c r="AQ3060" s="24"/>
      <c r="AR3060" s="33"/>
      <c r="AS3060" s="34"/>
      <c r="AT3060" s="33"/>
      <c r="AV3060" s="21">
        <f>IF(AND($AL3060&lt;&gt;"",COUNTIF($AL$11:$AL3060,$AL3060)=1),1,0)</f>
        <v>0</v>
      </c>
      <c r="AW3060" s="21">
        <f t="shared" si="181"/>
        <v>0</v>
      </c>
      <c r="AX3060" s="21" t="str">
        <f t="shared" si="180"/>
        <v/>
      </c>
      <c r="AY3060" s="21" t="str">
        <f>IF(AND($AM3060&lt;&gt;"",$AS3060&lt;&gt;"✓"),SUMPRODUCT(($AM$11:$AM3060&lt;&gt;"")*($AS$11:$AS3060&lt;&gt;"✓")),"")</f>
        <v/>
      </c>
      <c r="AZ3060" s="21" t="str">
        <f>IF(AND($AM3060&lt;&gt;"",$AS3060="✓"),SUMPRODUCT(($AM$11:$AM3060&lt;&gt;"")*($AS$11:$AS3060="✓")),"")</f>
        <v/>
      </c>
      <c r="BA3060" s="21" t="str">
        <f>IF($AL3060="","",$AL3060&amp;"|"&amp;COUNTIF($AL$11:$AL3060,$AL3060))</f>
        <v/>
      </c>
    </row>
    <row r="3061" spans="38:53" ht="15" customHeight="1" x14ac:dyDescent="0.25">
      <c r="AL3061" s="17"/>
      <c r="AM3061" s="12"/>
      <c r="AN3061" s="18"/>
      <c r="AO3061" s="18"/>
      <c r="AP3061" s="10"/>
      <c r="AQ3061" s="10"/>
      <c r="AR3061" s="19"/>
      <c r="AS3061" s="20"/>
      <c r="AT3061" s="19"/>
      <c r="AV3061" s="21">
        <f>IF(AND($AL3061&lt;&gt;"",COUNTIF($AL$11:$AL3061,$AL3061)=1),1,0)</f>
        <v>0</v>
      </c>
      <c r="AW3061" s="21">
        <f t="shared" si="181"/>
        <v>0</v>
      </c>
      <c r="AX3061" s="21" t="str">
        <f t="shared" si="180"/>
        <v/>
      </c>
      <c r="AY3061" s="21" t="str">
        <f>IF(AND($AM3061&lt;&gt;"",$AS3061&lt;&gt;"✓"),SUMPRODUCT(($AM$11:$AM3061&lt;&gt;"")*($AS$11:$AS3061&lt;&gt;"✓")),"")</f>
        <v/>
      </c>
      <c r="AZ3061" s="21" t="str">
        <f>IF(AND($AM3061&lt;&gt;"",$AS3061="✓"),SUMPRODUCT(($AM$11:$AM3061&lt;&gt;"")*($AS$11:$AS3061="✓")),"")</f>
        <v/>
      </c>
      <c r="BA3061" s="21" t="str">
        <f>IF($AL3061="","",$AL3061&amp;"|"&amp;COUNTIF($AL$11:$AL3061,$AL3061))</f>
        <v/>
      </c>
    </row>
    <row r="3062" spans="38:53" ht="15" customHeight="1" x14ac:dyDescent="0.25">
      <c r="AL3062" s="31"/>
      <c r="AM3062" s="26"/>
      <c r="AN3062" s="32"/>
      <c r="AO3062" s="32"/>
      <c r="AP3062" s="24"/>
      <c r="AQ3062" s="24"/>
      <c r="AR3062" s="33"/>
      <c r="AS3062" s="34"/>
      <c r="AT3062" s="33"/>
      <c r="AV3062" s="21">
        <f>IF(AND($AL3062&lt;&gt;"",COUNTIF($AL$11:$AL3062,$AL3062)=1),1,0)</f>
        <v>0</v>
      </c>
      <c r="AW3062" s="21">
        <f t="shared" si="181"/>
        <v>0</v>
      </c>
      <c r="AX3062" s="21" t="str">
        <f t="shared" si="180"/>
        <v/>
      </c>
      <c r="AY3062" s="21" t="str">
        <f>IF(AND($AM3062&lt;&gt;"",$AS3062&lt;&gt;"✓"),SUMPRODUCT(($AM$11:$AM3062&lt;&gt;"")*($AS$11:$AS3062&lt;&gt;"✓")),"")</f>
        <v/>
      </c>
      <c r="AZ3062" s="21" t="str">
        <f>IF(AND($AM3062&lt;&gt;"",$AS3062="✓"),SUMPRODUCT(($AM$11:$AM3062&lt;&gt;"")*($AS$11:$AS3062="✓")),"")</f>
        <v/>
      </c>
      <c r="BA3062" s="21" t="str">
        <f>IF($AL3062="","",$AL3062&amp;"|"&amp;COUNTIF($AL$11:$AL3062,$AL3062))</f>
        <v/>
      </c>
    </row>
    <row r="3063" spans="38:53" ht="15" customHeight="1" x14ac:dyDescent="0.25">
      <c r="AL3063" s="17"/>
      <c r="AM3063" s="12"/>
      <c r="AN3063" s="18"/>
      <c r="AO3063" s="18"/>
      <c r="AP3063" s="10"/>
      <c r="AQ3063" s="10"/>
      <c r="AR3063" s="19"/>
      <c r="AS3063" s="20"/>
      <c r="AT3063" s="19"/>
      <c r="AV3063" s="21">
        <f>IF(AND($AL3063&lt;&gt;"",COUNTIF($AL$11:$AL3063,$AL3063)=1),1,0)</f>
        <v>0</v>
      </c>
      <c r="AW3063" s="21">
        <f t="shared" si="181"/>
        <v>0</v>
      </c>
      <c r="AX3063" s="21" t="str">
        <f t="shared" si="180"/>
        <v/>
      </c>
      <c r="AY3063" s="21" t="str">
        <f>IF(AND($AM3063&lt;&gt;"",$AS3063&lt;&gt;"✓"),SUMPRODUCT(($AM$11:$AM3063&lt;&gt;"")*($AS$11:$AS3063&lt;&gt;"✓")),"")</f>
        <v/>
      </c>
      <c r="AZ3063" s="21" t="str">
        <f>IF(AND($AM3063&lt;&gt;"",$AS3063="✓"),SUMPRODUCT(($AM$11:$AM3063&lt;&gt;"")*($AS$11:$AS3063="✓")),"")</f>
        <v/>
      </c>
      <c r="BA3063" s="21" t="str">
        <f>IF($AL3063="","",$AL3063&amp;"|"&amp;COUNTIF($AL$11:$AL3063,$AL3063))</f>
        <v/>
      </c>
    </row>
    <row r="3064" spans="38:53" ht="15" customHeight="1" x14ac:dyDescent="0.25">
      <c r="AL3064" s="31"/>
      <c r="AM3064" s="26"/>
      <c r="AN3064" s="32"/>
      <c r="AO3064" s="32"/>
      <c r="AP3064" s="24"/>
      <c r="AQ3064" s="24"/>
      <c r="AR3064" s="33"/>
      <c r="AS3064" s="34"/>
      <c r="AT3064" s="33"/>
      <c r="AV3064" s="21">
        <f>IF(AND($AL3064&lt;&gt;"",COUNTIF($AL$11:$AL3064,$AL3064)=1),1,0)</f>
        <v>0</v>
      </c>
      <c r="AW3064" s="21">
        <f t="shared" si="181"/>
        <v>0</v>
      </c>
      <c r="AX3064" s="21" t="str">
        <f t="shared" si="180"/>
        <v/>
      </c>
      <c r="AY3064" s="21" t="str">
        <f>IF(AND($AM3064&lt;&gt;"",$AS3064&lt;&gt;"✓"),SUMPRODUCT(($AM$11:$AM3064&lt;&gt;"")*($AS$11:$AS3064&lt;&gt;"✓")),"")</f>
        <v/>
      </c>
      <c r="AZ3064" s="21" t="str">
        <f>IF(AND($AM3064&lt;&gt;"",$AS3064="✓"),SUMPRODUCT(($AM$11:$AM3064&lt;&gt;"")*($AS$11:$AS3064="✓")),"")</f>
        <v/>
      </c>
      <c r="BA3064" s="21" t="str">
        <f>IF($AL3064="","",$AL3064&amp;"|"&amp;COUNTIF($AL$11:$AL3064,$AL3064))</f>
        <v/>
      </c>
    </row>
    <row r="3065" spans="38:53" ht="15" customHeight="1" x14ac:dyDescent="0.25">
      <c r="AL3065" s="17"/>
      <c r="AM3065" s="12"/>
      <c r="AN3065" s="18"/>
      <c r="AO3065" s="18"/>
      <c r="AP3065" s="10"/>
      <c r="AQ3065" s="10"/>
      <c r="AR3065" s="19"/>
      <c r="AS3065" s="20"/>
      <c r="AT3065" s="19"/>
      <c r="AV3065" s="21">
        <f>IF(AND($AL3065&lt;&gt;"",COUNTIF($AL$11:$AL3065,$AL3065)=1),1,0)</f>
        <v>0</v>
      </c>
      <c r="AW3065" s="21">
        <f t="shared" si="181"/>
        <v>0</v>
      </c>
      <c r="AX3065" s="21" t="str">
        <f t="shared" si="180"/>
        <v/>
      </c>
      <c r="AY3065" s="21" t="str">
        <f>IF(AND($AM3065&lt;&gt;"",$AS3065&lt;&gt;"✓"),SUMPRODUCT(($AM$11:$AM3065&lt;&gt;"")*($AS$11:$AS3065&lt;&gt;"✓")),"")</f>
        <v/>
      </c>
      <c r="AZ3065" s="21" t="str">
        <f>IF(AND($AM3065&lt;&gt;"",$AS3065="✓"),SUMPRODUCT(($AM$11:$AM3065&lt;&gt;"")*($AS$11:$AS3065="✓")),"")</f>
        <v/>
      </c>
      <c r="BA3065" s="21" t="str">
        <f>IF($AL3065="","",$AL3065&amp;"|"&amp;COUNTIF($AL$11:$AL3065,$AL3065))</f>
        <v/>
      </c>
    </row>
    <row r="3066" spans="38:53" ht="15" customHeight="1" x14ac:dyDescent="0.25">
      <c r="AL3066" s="31"/>
      <c r="AM3066" s="26"/>
      <c r="AN3066" s="32"/>
      <c r="AO3066" s="32"/>
      <c r="AP3066" s="24"/>
      <c r="AQ3066" s="24"/>
      <c r="AR3066" s="33"/>
      <c r="AS3066" s="34"/>
      <c r="AT3066" s="33"/>
      <c r="AV3066" s="21">
        <f>IF(AND($AL3066&lt;&gt;"",COUNTIF($AL$11:$AL3066,$AL3066)=1),1,0)</f>
        <v>0</v>
      </c>
      <c r="AW3066" s="21">
        <f t="shared" si="181"/>
        <v>0</v>
      </c>
      <c r="AX3066" s="21" t="str">
        <f t="shared" si="180"/>
        <v/>
      </c>
      <c r="AY3066" s="21" t="str">
        <f>IF(AND($AM3066&lt;&gt;"",$AS3066&lt;&gt;"✓"),SUMPRODUCT(($AM$11:$AM3066&lt;&gt;"")*($AS$11:$AS3066&lt;&gt;"✓")),"")</f>
        <v/>
      </c>
      <c r="AZ3066" s="21" t="str">
        <f>IF(AND($AM3066&lt;&gt;"",$AS3066="✓"),SUMPRODUCT(($AM$11:$AM3066&lt;&gt;"")*($AS$11:$AS3066="✓")),"")</f>
        <v/>
      </c>
      <c r="BA3066" s="21" t="str">
        <f>IF($AL3066="","",$AL3066&amp;"|"&amp;COUNTIF($AL$11:$AL3066,$AL3066))</f>
        <v/>
      </c>
    </row>
    <row r="3067" spans="38:53" ht="15" customHeight="1" x14ac:dyDescent="0.25">
      <c r="AL3067" s="17"/>
      <c r="AM3067" s="12"/>
      <c r="AN3067" s="18"/>
      <c r="AO3067" s="18"/>
      <c r="AP3067" s="10"/>
      <c r="AQ3067" s="10"/>
      <c r="AR3067" s="19"/>
      <c r="AS3067" s="20"/>
      <c r="AT3067" s="19"/>
      <c r="AV3067" s="21">
        <f>IF(AND($AL3067&lt;&gt;"",COUNTIF($AL$11:$AL3067,$AL3067)=1),1,0)</f>
        <v>0</v>
      </c>
      <c r="AW3067" s="21">
        <f t="shared" si="181"/>
        <v>0</v>
      </c>
      <c r="AX3067" s="21" t="str">
        <f t="shared" si="180"/>
        <v/>
      </c>
      <c r="AY3067" s="21" t="str">
        <f>IF(AND($AM3067&lt;&gt;"",$AS3067&lt;&gt;"✓"),SUMPRODUCT(($AM$11:$AM3067&lt;&gt;"")*($AS$11:$AS3067&lt;&gt;"✓")),"")</f>
        <v/>
      </c>
      <c r="AZ3067" s="21" t="str">
        <f>IF(AND($AM3067&lt;&gt;"",$AS3067="✓"),SUMPRODUCT(($AM$11:$AM3067&lt;&gt;"")*($AS$11:$AS3067="✓")),"")</f>
        <v/>
      </c>
      <c r="BA3067" s="21" t="str">
        <f>IF($AL3067="","",$AL3067&amp;"|"&amp;COUNTIF($AL$11:$AL3067,$AL3067))</f>
        <v/>
      </c>
    </row>
    <row r="3068" spans="38:53" ht="15" customHeight="1" x14ac:dyDescent="0.25">
      <c r="AL3068" s="31"/>
      <c r="AM3068" s="26"/>
      <c r="AN3068" s="32"/>
      <c r="AO3068" s="32"/>
      <c r="AP3068" s="24"/>
      <c r="AQ3068" s="24"/>
      <c r="AR3068" s="33"/>
      <c r="AS3068" s="34"/>
      <c r="AT3068" s="33"/>
      <c r="AV3068" s="21">
        <f>IF(AND($AL3068&lt;&gt;"",COUNTIF($AL$11:$AL3068,$AL3068)=1),1,0)</f>
        <v>0</v>
      </c>
      <c r="AW3068" s="21">
        <f t="shared" si="181"/>
        <v>0</v>
      </c>
      <c r="AX3068" s="21" t="str">
        <f t="shared" si="180"/>
        <v/>
      </c>
      <c r="AY3068" s="21" t="str">
        <f>IF(AND($AM3068&lt;&gt;"",$AS3068&lt;&gt;"✓"),SUMPRODUCT(($AM$11:$AM3068&lt;&gt;"")*($AS$11:$AS3068&lt;&gt;"✓")),"")</f>
        <v/>
      </c>
      <c r="AZ3068" s="21" t="str">
        <f>IF(AND($AM3068&lt;&gt;"",$AS3068="✓"),SUMPRODUCT(($AM$11:$AM3068&lt;&gt;"")*($AS$11:$AS3068="✓")),"")</f>
        <v/>
      </c>
      <c r="BA3068" s="21" t="str">
        <f>IF($AL3068="","",$AL3068&amp;"|"&amp;COUNTIF($AL$11:$AL3068,$AL3068))</f>
        <v/>
      </c>
    </row>
    <row r="3069" spans="38:53" ht="15" customHeight="1" x14ac:dyDescent="0.25">
      <c r="AL3069" s="17"/>
      <c r="AM3069" s="12"/>
      <c r="AN3069" s="18"/>
      <c r="AO3069" s="18"/>
      <c r="AP3069" s="10"/>
      <c r="AQ3069" s="10"/>
      <c r="AR3069" s="19"/>
      <c r="AS3069" s="20"/>
      <c r="AT3069" s="19"/>
      <c r="AV3069" s="21">
        <f>IF(AND($AL3069&lt;&gt;"",COUNTIF($AL$11:$AL3069,$AL3069)=1),1,0)</f>
        <v>0</v>
      </c>
      <c r="AW3069" s="21">
        <f t="shared" si="181"/>
        <v>0</v>
      </c>
      <c r="AX3069" s="21" t="str">
        <f t="shared" si="180"/>
        <v/>
      </c>
      <c r="AY3069" s="21" t="str">
        <f>IF(AND($AM3069&lt;&gt;"",$AS3069&lt;&gt;"✓"),SUMPRODUCT(($AM$11:$AM3069&lt;&gt;"")*($AS$11:$AS3069&lt;&gt;"✓")),"")</f>
        <v/>
      </c>
      <c r="AZ3069" s="21" t="str">
        <f>IF(AND($AM3069&lt;&gt;"",$AS3069="✓"),SUMPRODUCT(($AM$11:$AM3069&lt;&gt;"")*($AS$11:$AS3069="✓")),"")</f>
        <v/>
      </c>
      <c r="BA3069" s="21" t="str">
        <f>IF($AL3069="","",$AL3069&amp;"|"&amp;COUNTIF($AL$11:$AL3069,$AL3069))</f>
        <v/>
      </c>
    </row>
    <row r="3070" spans="38:53" ht="15" customHeight="1" x14ac:dyDescent="0.25">
      <c r="AL3070" s="31"/>
      <c r="AM3070" s="26"/>
      <c r="AN3070" s="32"/>
      <c r="AO3070" s="32"/>
      <c r="AP3070" s="24"/>
      <c r="AQ3070" s="24"/>
      <c r="AR3070" s="33"/>
      <c r="AS3070" s="34"/>
      <c r="AT3070" s="33"/>
      <c r="AV3070" s="21">
        <f>IF(AND($AL3070&lt;&gt;"",COUNTIF($AL$11:$AL3070,$AL3070)=1),1,0)</f>
        <v>0</v>
      </c>
      <c r="AW3070" s="21">
        <f t="shared" si="181"/>
        <v>0</v>
      </c>
      <c r="AX3070" s="21" t="str">
        <f t="shared" si="180"/>
        <v/>
      </c>
      <c r="AY3070" s="21" t="str">
        <f>IF(AND($AM3070&lt;&gt;"",$AS3070&lt;&gt;"✓"),SUMPRODUCT(($AM$11:$AM3070&lt;&gt;"")*($AS$11:$AS3070&lt;&gt;"✓")),"")</f>
        <v/>
      </c>
      <c r="AZ3070" s="21" t="str">
        <f>IF(AND($AM3070&lt;&gt;"",$AS3070="✓"),SUMPRODUCT(($AM$11:$AM3070&lt;&gt;"")*($AS$11:$AS3070="✓")),"")</f>
        <v/>
      </c>
      <c r="BA3070" s="21" t="str">
        <f>IF($AL3070="","",$AL3070&amp;"|"&amp;COUNTIF($AL$11:$AL3070,$AL3070))</f>
        <v/>
      </c>
    </row>
    <row r="3071" spans="38:53" ht="15" customHeight="1" x14ac:dyDescent="0.25">
      <c r="AL3071" s="17"/>
      <c r="AM3071" s="12"/>
      <c r="AN3071" s="18"/>
      <c r="AO3071" s="18"/>
      <c r="AP3071" s="10"/>
      <c r="AQ3071" s="10"/>
      <c r="AR3071" s="19"/>
      <c r="AS3071" s="20"/>
      <c r="AT3071" s="19"/>
      <c r="AV3071" s="21">
        <f>IF(AND($AL3071&lt;&gt;"",COUNTIF($AL$11:$AL3071,$AL3071)=1),1,0)</f>
        <v>0</v>
      </c>
      <c r="AW3071" s="21">
        <f t="shared" si="181"/>
        <v>0</v>
      </c>
      <c r="AX3071" s="21" t="str">
        <f t="shared" si="180"/>
        <v/>
      </c>
      <c r="AY3071" s="21" t="str">
        <f>IF(AND($AM3071&lt;&gt;"",$AS3071&lt;&gt;"✓"),SUMPRODUCT(($AM$11:$AM3071&lt;&gt;"")*($AS$11:$AS3071&lt;&gt;"✓")),"")</f>
        <v/>
      </c>
      <c r="AZ3071" s="21" t="str">
        <f>IF(AND($AM3071&lt;&gt;"",$AS3071="✓"),SUMPRODUCT(($AM$11:$AM3071&lt;&gt;"")*($AS$11:$AS3071="✓")),"")</f>
        <v/>
      </c>
      <c r="BA3071" s="21" t="str">
        <f>IF($AL3071="","",$AL3071&amp;"|"&amp;COUNTIF($AL$11:$AL3071,$AL3071))</f>
        <v/>
      </c>
    </row>
    <row r="3072" spans="38:53" ht="15" customHeight="1" x14ac:dyDescent="0.25">
      <c r="AL3072" s="31"/>
      <c r="AM3072" s="26"/>
      <c r="AN3072" s="32"/>
      <c r="AO3072" s="32"/>
      <c r="AP3072" s="24"/>
      <c r="AQ3072" s="24"/>
      <c r="AR3072" s="33"/>
      <c r="AS3072" s="34"/>
      <c r="AT3072" s="33"/>
      <c r="AV3072" s="21">
        <f>IF(AND($AL3072&lt;&gt;"",COUNTIF($AL$11:$AL3072,$AL3072)=1),1,0)</f>
        <v>0</v>
      </c>
      <c r="AW3072" s="21">
        <f t="shared" si="181"/>
        <v>0</v>
      </c>
      <c r="AX3072" s="21" t="str">
        <f t="shared" si="180"/>
        <v/>
      </c>
      <c r="AY3072" s="21" t="str">
        <f>IF(AND($AM3072&lt;&gt;"",$AS3072&lt;&gt;"✓"),SUMPRODUCT(($AM$11:$AM3072&lt;&gt;"")*($AS$11:$AS3072&lt;&gt;"✓")),"")</f>
        <v/>
      </c>
      <c r="AZ3072" s="21" t="str">
        <f>IF(AND($AM3072&lt;&gt;"",$AS3072="✓"),SUMPRODUCT(($AM$11:$AM3072&lt;&gt;"")*($AS$11:$AS3072="✓")),"")</f>
        <v/>
      </c>
      <c r="BA3072" s="21" t="str">
        <f>IF($AL3072="","",$AL3072&amp;"|"&amp;COUNTIF($AL$11:$AL3072,$AL3072))</f>
        <v/>
      </c>
    </row>
    <row r="3073" spans="38:53" ht="15" customHeight="1" x14ac:dyDescent="0.25">
      <c r="AL3073" s="17"/>
      <c r="AM3073" s="12"/>
      <c r="AN3073" s="18"/>
      <c r="AO3073" s="18"/>
      <c r="AP3073" s="10"/>
      <c r="AQ3073" s="10"/>
      <c r="AR3073" s="19"/>
      <c r="AS3073" s="20"/>
      <c r="AT3073" s="19"/>
      <c r="AV3073" s="21">
        <f>IF(AND($AL3073&lt;&gt;"",COUNTIF($AL$11:$AL3073,$AL3073)=1),1,0)</f>
        <v>0</v>
      </c>
      <c r="AW3073" s="21">
        <f t="shared" si="181"/>
        <v>0</v>
      </c>
      <c r="AX3073" s="21" t="str">
        <f t="shared" si="180"/>
        <v/>
      </c>
      <c r="AY3073" s="21" t="str">
        <f>IF(AND($AM3073&lt;&gt;"",$AS3073&lt;&gt;"✓"),SUMPRODUCT(($AM$11:$AM3073&lt;&gt;"")*($AS$11:$AS3073&lt;&gt;"✓")),"")</f>
        <v/>
      </c>
      <c r="AZ3073" s="21" t="str">
        <f>IF(AND($AM3073&lt;&gt;"",$AS3073="✓"),SUMPRODUCT(($AM$11:$AM3073&lt;&gt;"")*($AS$11:$AS3073="✓")),"")</f>
        <v/>
      </c>
      <c r="BA3073" s="21" t="str">
        <f>IF($AL3073="","",$AL3073&amp;"|"&amp;COUNTIF($AL$11:$AL3073,$AL3073))</f>
        <v/>
      </c>
    </row>
    <row r="3074" spans="38:53" ht="15" customHeight="1" x14ac:dyDescent="0.25">
      <c r="AL3074" s="31"/>
      <c r="AM3074" s="26"/>
      <c r="AN3074" s="32"/>
      <c r="AO3074" s="32"/>
      <c r="AP3074" s="24"/>
      <c r="AQ3074" s="24"/>
      <c r="AR3074" s="33"/>
      <c r="AS3074" s="34"/>
      <c r="AT3074" s="33"/>
      <c r="AV3074" s="21">
        <f>IF(AND($AL3074&lt;&gt;"",COUNTIF($AL$11:$AL3074,$AL3074)=1),1,0)</f>
        <v>0</v>
      </c>
      <c r="AW3074" s="21">
        <f t="shared" si="181"/>
        <v>0</v>
      </c>
      <c r="AX3074" s="21" t="str">
        <f t="shared" si="180"/>
        <v/>
      </c>
      <c r="AY3074" s="21" t="str">
        <f>IF(AND($AM3074&lt;&gt;"",$AS3074&lt;&gt;"✓"),SUMPRODUCT(($AM$11:$AM3074&lt;&gt;"")*($AS$11:$AS3074&lt;&gt;"✓")),"")</f>
        <v/>
      </c>
      <c r="AZ3074" s="21" t="str">
        <f>IF(AND($AM3074&lt;&gt;"",$AS3074="✓"),SUMPRODUCT(($AM$11:$AM3074&lt;&gt;"")*($AS$11:$AS3074="✓")),"")</f>
        <v/>
      </c>
      <c r="BA3074" s="21" t="str">
        <f>IF($AL3074="","",$AL3074&amp;"|"&amp;COUNTIF($AL$11:$AL3074,$AL3074))</f>
        <v/>
      </c>
    </row>
    <row r="3075" spans="38:53" ht="15" customHeight="1" x14ac:dyDescent="0.25">
      <c r="AL3075" s="17"/>
      <c r="AM3075" s="12"/>
      <c r="AN3075" s="18"/>
      <c r="AO3075" s="18"/>
      <c r="AP3075" s="10"/>
      <c r="AQ3075" s="10"/>
      <c r="AR3075" s="19"/>
      <c r="AS3075" s="20"/>
      <c r="AT3075" s="19"/>
      <c r="AV3075" s="21">
        <f>IF(AND($AL3075&lt;&gt;"",COUNTIF($AL$11:$AL3075,$AL3075)=1),1,0)</f>
        <v>0</v>
      </c>
      <c r="AW3075" s="21">
        <f t="shared" si="181"/>
        <v>0</v>
      </c>
      <c r="AX3075" s="21" t="str">
        <f t="shared" si="180"/>
        <v/>
      </c>
      <c r="AY3075" s="21" t="str">
        <f>IF(AND($AM3075&lt;&gt;"",$AS3075&lt;&gt;"✓"),SUMPRODUCT(($AM$11:$AM3075&lt;&gt;"")*($AS$11:$AS3075&lt;&gt;"✓")),"")</f>
        <v/>
      </c>
      <c r="AZ3075" s="21" t="str">
        <f>IF(AND($AM3075&lt;&gt;"",$AS3075="✓"),SUMPRODUCT(($AM$11:$AM3075&lt;&gt;"")*($AS$11:$AS3075="✓")),"")</f>
        <v/>
      </c>
      <c r="BA3075" s="21" t="str">
        <f>IF($AL3075="","",$AL3075&amp;"|"&amp;COUNTIF($AL$11:$AL3075,$AL3075))</f>
        <v/>
      </c>
    </row>
    <row r="3076" spans="38:53" ht="15" customHeight="1" x14ac:dyDescent="0.25">
      <c r="AL3076" s="31"/>
      <c r="AM3076" s="26"/>
      <c r="AN3076" s="32"/>
      <c r="AO3076" s="32"/>
      <c r="AP3076" s="24"/>
      <c r="AQ3076" s="24"/>
      <c r="AR3076" s="33"/>
      <c r="AS3076" s="34"/>
      <c r="AT3076" s="33"/>
      <c r="AV3076" s="21">
        <f>IF(AND($AL3076&lt;&gt;"",COUNTIF($AL$11:$AL3076,$AL3076)=1),1,0)</f>
        <v>0</v>
      </c>
      <c r="AW3076" s="21">
        <f t="shared" si="181"/>
        <v>0</v>
      </c>
      <c r="AX3076" s="21" t="str">
        <f t="shared" si="180"/>
        <v/>
      </c>
      <c r="AY3076" s="21" t="str">
        <f>IF(AND($AM3076&lt;&gt;"",$AS3076&lt;&gt;"✓"),SUMPRODUCT(($AM$11:$AM3076&lt;&gt;"")*($AS$11:$AS3076&lt;&gt;"✓")),"")</f>
        <v/>
      </c>
      <c r="AZ3076" s="21" t="str">
        <f>IF(AND($AM3076&lt;&gt;"",$AS3076="✓"),SUMPRODUCT(($AM$11:$AM3076&lt;&gt;"")*($AS$11:$AS3076="✓")),"")</f>
        <v/>
      </c>
      <c r="BA3076" s="21" t="str">
        <f>IF($AL3076="","",$AL3076&amp;"|"&amp;COUNTIF($AL$11:$AL3076,$AL3076))</f>
        <v/>
      </c>
    </row>
    <row r="3077" spans="38:53" ht="15" customHeight="1" x14ac:dyDescent="0.25">
      <c r="AL3077" s="17"/>
      <c r="AM3077" s="12"/>
      <c r="AN3077" s="18"/>
      <c r="AO3077" s="18"/>
      <c r="AP3077" s="10"/>
      <c r="AQ3077" s="10"/>
      <c r="AR3077" s="19"/>
      <c r="AS3077" s="20"/>
      <c r="AT3077" s="19"/>
      <c r="AV3077" s="21">
        <f>IF(AND($AL3077&lt;&gt;"",COUNTIF($AL$11:$AL3077,$AL3077)=1),1,0)</f>
        <v>0</v>
      </c>
      <c r="AW3077" s="21">
        <f t="shared" si="181"/>
        <v>0</v>
      </c>
      <c r="AX3077" s="21" t="str">
        <f t="shared" si="180"/>
        <v/>
      </c>
      <c r="AY3077" s="21" t="str">
        <f>IF(AND($AM3077&lt;&gt;"",$AS3077&lt;&gt;"✓"),SUMPRODUCT(($AM$11:$AM3077&lt;&gt;"")*($AS$11:$AS3077&lt;&gt;"✓")),"")</f>
        <v/>
      </c>
      <c r="AZ3077" s="21" t="str">
        <f>IF(AND($AM3077&lt;&gt;"",$AS3077="✓"),SUMPRODUCT(($AM$11:$AM3077&lt;&gt;"")*($AS$11:$AS3077="✓")),"")</f>
        <v/>
      </c>
      <c r="BA3077" s="21" t="str">
        <f>IF($AL3077="","",$AL3077&amp;"|"&amp;COUNTIF($AL$11:$AL3077,$AL3077))</f>
        <v/>
      </c>
    </row>
    <row r="3078" spans="38:53" ht="15" customHeight="1" x14ac:dyDescent="0.25">
      <c r="AL3078" s="31"/>
      <c r="AM3078" s="26"/>
      <c r="AN3078" s="32"/>
      <c r="AO3078" s="32"/>
      <c r="AP3078" s="24"/>
      <c r="AQ3078" s="24"/>
      <c r="AR3078" s="33"/>
      <c r="AS3078" s="34"/>
      <c r="AT3078" s="33"/>
      <c r="AV3078" s="21">
        <f>IF(AND($AL3078&lt;&gt;"",COUNTIF($AL$11:$AL3078,$AL3078)=1),1,0)</f>
        <v>0</v>
      </c>
      <c r="AW3078" s="21">
        <f t="shared" si="181"/>
        <v>0</v>
      </c>
      <c r="AX3078" s="21" t="str">
        <f t="shared" si="180"/>
        <v/>
      </c>
      <c r="AY3078" s="21" t="str">
        <f>IF(AND($AM3078&lt;&gt;"",$AS3078&lt;&gt;"✓"),SUMPRODUCT(($AM$11:$AM3078&lt;&gt;"")*($AS$11:$AS3078&lt;&gt;"✓")),"")</f>
        <v/>
      </c>
      <c r="AZ3078" s="21" t="str">
        <f>IF(AND($AM3078&lt;&gt;"",$AS3078="✓"),SUMPRODUCT(($AM$11:$AM3078&lt;&gt;"")*($AS$11:$AS3078="✓")),"")</f>
        <v/>
      </c>
      <c r="BA3078" s="21" t="str">
        <f>IF($AL3078="","",$AL3078&amp;"|"&amp;COUNTIF($AL$11:$AL3078,$AL3078))</f>
        <v/>
      </c>
    </row>
    <row r="3079" spans="38:53" ht="15" customHeight="1" x14ac:dyDescent="0.25">
      <c r="AL3079" s="17"/>
      <c r="AM3079" s="12"/>
      <c r="AN3079" s="18"/>
      <c r="AO3079" s="18"/>
      <c r="AP3079" s="10"/>
      <c r="AQ3079" s="10"/>
      <c r="AR3079" s="19"/>
      <c r="AS3079" s="20"/>
      <c r="AT3079" s="19"/>
      <c r="AV3079" s="21">
        <f>IF(AND($AL3079&lt;&gt;"",COUNTIF($AL$11:$AL3079,$AL3079)=1),1,0)</f>
        <v>0</v>
      </c>
      <c r="AW3079" s="21">
        <f t="shared" si="181"/>
        <v>0</v>
      </c>
      <c r="AX3079" s="21" t="str">
        <f t="shared" si="180"/>
        <v/>
      </c>
      <c r="AY3079" s="21" t="str">
        <f>IF(AND($AM3079&lt;&gt;"",$AS3079&lt;&gt;"✓"),SUMPRODUCT(($AM$11:$AM3079&lt;&gt;"")*($AS$11:$AS3079&lt;&gt;"✓")),"")</f>
        <v/>
      </c>
      <c r="AZ3079" s="21" t="str">
        <f>IF(AND($AM3079&lt;&gt;"",$AS3079="✓"),SUMPRODUCT(($AM$11:$AM3079&lt;&gt;"")*($AS$11:$AS3079="✓")),"")</f>
        <v/>
      </c>
      <c r="BA3079" s="21" t="str">
        <f>IF($AL3079="","",$AL3079&amp;"|"&amp;COUNTIF($AL$11:$AL3079,$AL3079))</f>
        <v/>
      </c>
    </row>
    <row r="3080" spans="38:53" ht="15" customHeight="1" x14ac:dyDescent="0.25">
      <c r="AL3080" s="31"/>
      <c r="AM3080" s="26"/>
      <c r="AN3080" s="32"/>
      <c r="AO3080" s="32"/>
      <c r="AP3080" s="24"/>
      <c r="AQ3080" s="24"/>
      <c r="AR3080" s="33"/>
      <c r="AS3080" s="34"/>
      <c r="AT3080" s="33"/>
      <c r="AV3080" s="21">
        <f>IF(AND($AL3080&lt;&gt;"",COUNTIF($AL$11:$AL3080,$AL3080)=1),1,0)</f>
        <v>0</v>
      </c>
      <c r="AW3080" s="21">
        <f t="shared" si="181"/>
        <v>0</v>
      </c>
      <c r="AX3080" s="21" t="str">
        <f t="shared" si="180"/>
        <v/>
      </c>
      <c r="AY3080" s="21" t="str">
        <f>IF(AND($AM3080&lt;&gt;"",$AS3080&lt;&gt;"✓"),SUMPRODUCT(($AM$11:$AM3080&lt;&gt;"")*($AS$11:$AS3080&lt;&gt;"✓")),"")</f>
        <v/>
      </c>
      <c r="AZ3080" s="21" t="str">
        <f>IF(AND($AM3080&lt;&gt;"",$AS3080="✓"),SUMPRODUCT(($AM$11:$AM3080&lt;&gt;"")*($AS$11:$AS3080="✓")),"")</f>
        <v/>
      </c>
      <c r="BA3080" s="21" t="str">
        <f>IF($AL3080="","",$AL3080&amp;"|"&amp;COUNTIF($AL$11:$AL3080,$AL3080))</f>
        <v/>
      </c>
    </row>
    <row r="3081" spans="38:53" ht="15" customHeight="1" x14ac:dyDescent="0.25">
      <c r="AL3081" s="17"/>
      <c r="AM3081" s="12"/>
      <c r="AN3081" s="18"/>
      <c r="AO3081" s="18"/>
      <c r="AP3081" s="10"/>
      <c r="AQ3081" s="10"/>
      <c r="AR3081" s="19"/>
      <c r="AS3081" s="20"/>
      <c r="AT3081" s="19"/>
      <c r="AV3081" s="21">
        <f>IF(AND($AL3081&lt;&gt;"",COUNTIF($AL$11:$AL3081,$AL3081)=1),1,0)</f>
        <v>0</v>
      </c>
      <c r="AW3081" s="21">
        <f t="shared" si="181"/>
        <v>0</v>
      </c>
      <c r="AX3081" s="21" t="str">
        <f t="shared" si="180"/>
        <v/>
      </c>
      <c r="AY3081" s="21" t="str">
        <f>IF(AND($AM3081&lt;&gt;"",$AS3081&lt;&gt;"✓"),SUMPRODUCT(($AM$11:$AM3081&lt;&gt;"")*($AS$11:$AS3081&lt;&gt;"✓")),"")</f>
        <v/>
      </c>
      <c r="AZ3081" s="21" t="str">
        <f>IF(AND($AM3081&lt;&gt;"",$AS3081="✓"),SUMPRODUCT(($AM$11:$AM3081&lt;&gt;"")*($AS$11:$AS3081="✓")),"")</f>
        <v/>
      </c>
      <c r="BA3081" s="21" t="str">
        <f>IF($AL3081="","",$AL3081&amp;"|"&amp;COUNTIF($AL$11:$AL3081,$AL3081))</f>
        <v/>
      </c>
    </row>
    <row r="3082" spans="38:53" ht="15" customHeight="1" x14ac:dyDescent="0.25">
      <c r="AL3082" s="31"/>
      <c r="AM3082" s="26"/>
      <c r="AN3082" s="32"/>
      <c r="AO3082" s="32"/>
      <c r="AP3082" s="24"/>
      <c r="AQ3082" s="24"/>
      <c r="AR3082" s="33"/>
      <c r="AS3082" s="34"/>
      <c r="AT3082" s="33"/>
      <c r="AV3082" s="21">
        <f>IF(AND($AL3082&lt;&gt;"",COUNTIF($AL$11:$AL3082,$AL3082)=1),1,0)</f>
        <v>0</v>
      </c>
      <c r="AW3082" s="21">
        <f t="shared" si="181"/>
        <v>0</v>
      </c>
      <c r="AX3082" s="21" t="str">
        <f t="shared" si="180"/>
        <v/>
      </c>
      <c r="AY3082" s="21" t="str">
        <f>IF(AND($AM3082&lt;&gt;"",$AS3082&lt;&gt;"✓"),SUMPRODUCT(($AM$11:$AM3082&lt;&gt;"")*($AS$11:$AS3082&lt;&gt;"✓")),"")</f>
        <v/>
      </c>
      <c r="AZ3082" s="21" t="str">
        <f>IF(AND($AM3082&lt;&gt;"",$AS3082="✓"),SUMPRODUCT(($AM$11:$AM3082&lt;&gt;"")*($AS$11:$AS3082="✓")),"")</f>
        <v/>
      </c>
      <c r="BA3082" s="21" t="str">
        <f>IF($AL3082="","",$AL3082&amp;"|"&amp;COUNTIF($AL$11:$AL3082,$AL3082))</f>
        <v/>
      </c>
    </row>
    <row r="3083" spans="38:53" ht="15" customHeight="1" x14ac:dyDescent="0.25">
      <c r="AL3083" s="17"/>
      <c r="AM3083" s="12"/>
      <c r="AN3083" s="18"/>
      <c r="AO3083" s="18"/>
      <c r="AP3083" s="10"/>
      <c r="AQ3083" s="10"/>
      <c r="AR3083" s="19"/>
      <c r="AS3083" s="20"/>
      <c r="AT3083" s="19"/>
      <c r="AV3083" s="21">
        <f>IF(AND($AL3083&lt;&gt;"",COUNTIF($AL$11:$AL3083,$AL3083)=1),1,0)</f>
        <v>0</v>
      </c>
      <c r="AW3083" s="21">
        <f t="shared" si="181"/>
        <v>0</v>
      </c>
      <c r="AX3083" s="21" t="str">
        <f t="shared" ref="AX3083:AX3146" si="182">IF(AV3083=1,AW3083,"")</f>
        <v/>
      </c>
      <c r="AY3083" s="21" t="str">
        <f>IF(AND($AM3083&lt;&gt;"",$AS3083&lt;&gt;"✓"),SUMPRODUCT(($AM$11:$AM3083&lt;&gt;"")*($AS$11:$AS3083&lt;&gt;"✓")),"")</f>
        <v/>
      </c>
      <c r="AZ3083" s="21" t="str">
        <f>IF(AND($AM3083&lt;&gt;"",$AS3083="✓"),SUMPRODUCT(($AM$11:$AM3083&lt;&gt;"")*($AS$11:$AS3083="✓")),"")</f>
        <v/>
      </c>
      <c r="BA3083" s="21" t="str">
        <f>IF($AL3083="","",$AL3083&amp;"|"&amp;COUNTIF($AL$11:$AL3083,$AL3083))</f>
        <v/>
      </c>
    </row>
    <row r="3084" spans="38:53" ht="15" customHeight="1" x14ac:dyDescent="0.25">
      <c r="AL3084" s="31"/>
      <c r="AM3084" s="26"/>
      <c r="AN3084" s="32"/>
      <c r="AO3084" s="32"/>
      <c r="AP3084" s="24"/>
      <c r="AQ3084" s="24"/>
      <c r="AR3084" s="33"/>
      <c r="AS3084" s="34"/>
      <c r="AT3084" s="33"/>
      <c r="AV3084" s="21">
        <f>IF(AND($AL3084&lt;&gt;"",COUNTIF($AL$11:$AL3084,$AL3084)=1),1,0)</f>
        <v>0</v>
      </c>
      <c r="AW3084" s="21">
        <f t="shared" ref="AW3084:AW3147" si="183">AW3083+AV3084</f>
        <v>0</v>
      </c>
      <c r="AX3084" s="21" t="str">
        <f t="shared" si="182"/>
        <v/>
      </c>
      <c r="AY3084" s="21" t="str">
        <f>IF(AND($AM3084&lt;&gt;"",$AS3084&lt;&gt;"✓"),SUMPRODUCT(($AM$11:$AM3084&lt;&gt;"")*($AS$11:$AS3084&lt;&gt;"✓")),"")</f>
        <v/>
      </c>
      <c r="AZ3084" s="21" t="str">
        <f>IF(AND($AM3084&lt;&gt;"",$AS3084="✓"),SUMPRODUCT(($AM$11:$AM3084&lt;&gt;"")*($AS$11:$AS3084="✓")),"")</f>
        <v/>
      </c>
      <c r="BA3084" s="21" t="str">
        <f>IF($AL3084="","",$AL3084&amp;"|"&amp;COUNTIF($AL$11:$AL3084,$AL3084))</f>
        <v/>
      </c>
    </row>
    <row r="3085" spans="38:53" ht="15" customHeight="1" x14ac:dyDescent="0.25">
      <c r="AL3085" s="17"/>
      <c r="AM3085" s="12"/>
      <c r="AN3085" s="18"/>
      <c r="AO3085" s="18"/>
      <c r="AP3085" s="10"/>
      <c r="AQ3085" s="10"/>
      <c r="AR3085" s="19"/>
      <c r="AS3085" s="20"/>
      <c r="AT3085" s="19"/>
      <c r="AV3085" s="21">
        <f>IF(AND($AL3085&lt;&gt;"",COUNTIF($AL$11:$AL3085,$AL3085)=1),1,0)</f>
        <v>0</v>
      </c>
      <c r="AW3085" s="21">
        <f t="shared" si="183"/>
        <v>0</v>
      </c>
      <c r="AX3085" s="21" t="str">
        <f t="shared" si="182"/>
        <v/>
      </c>
      <c r="AY3085" s="21" t="str">
        <f>IF(AND($AM3085&lt;&gt;"",$AS3085&lt;&gt;"✓"),SUMPRODUCT(($AM$11:$AM3085&lt;&gt;"")*($AS$11:$AS3085&lt;&gt;"✓")),"")</f>
        <v/>
      </c>
      <c r="AZ3085" s="21" t="str">
        <f>IF(AND($AM3085&lt;&gt;"",$AS3085="✓"),SUMPRODUCT(($AM$11:$AM3085&lt;&gt;"")*($AS$11:$AS3085="✓")),"")</f>
        <v/>
      </c>
      <c r="BA3085" s="21" t="str">
        <f>IF($AL3085="","",$AL3085&amp;"|"&amp;COUNTIF($AL$11:$AL3085,$AL3085))</f>
        <v/>
      </c>
    </row>
    <row r="3086" spans="38:53" ht="15" customHeight="1" x14ac:dyDescent="0.25">
      <c r="AL3086" s="31"/>
      <c r="AM3086" s="26"/>
      <c r="AN3086" s="32"/>
      <c r="AO3086" s="32"/>
      <c r="AP3086" s="24"/>
      <c r="AQ3086" s="24"/>
      <c r="AR3086" s="33"/>
      <c r="AS3086" s="34"/>
      <c r="AT3086" s="33"/>
      <c r="AV3086" s="21">
        <f>IF(AND($AL3086&lt;&gt;"",COUNTIF($AL$11:$AL3086,$AL3086)=1),1,0)</f>
        <v>0</v>
      </c>
      <c r="AW3086" s="21">
        <f t="shared" si="183"/>
        <v>0</v>
      </c>
      <c r="AX3086" s="21" t="str">
        <f t="shared" si="182"/>
        <v/>
      </c>
      <c r="AY3086" s="21" t="str">
        <f>IF(AND($AM3086&lt;&gt;"",$AS3086&lt;&gt;"✓"),SUMPRODUCT(($AM$11:$AM3086&lt;&gt;"")*($AS$11:$AS3086&lt;&gt;"✓")),"")</f>
        <v/>
      </c>
      <c r="AZ3086" s="21" t="str">
        <f>IF(AND($AM3086&lt;&gt;"",$AS3086="✓"),SUMPRODUCT(($AM$11:$AM3086&lt;&gt;"")*($AS$11:$AS3086="✓")),"")</f>
        <v/>
      </c>
      <c r="BA3086" s="21" t="str">
        <f>IF($AL3086="","",$AL3086&amp;"|"&amp;COUNTIF($AL$11:$AL3086,$AL3086))</f>
        <v/>
      </c>
    </row>
    <row r="3087" spans="38:53" ht="15" customHeight="1" x14ac:dyDescent="0.25">
      <c r="AL3087" s="17"/>
      <c r="AM3087" s="12"/>
      <c r="AN3087" s="18"/>
      <c r="AO3087" s="18"/>
      <c r="AP3087" s="10"/>
      <c r="AQ3087" s="10"/>
      <c r="AR3087" s="19"/>
      <c r="AS3087" s="20"/>
      <c r="AT3087" s="19"/>
      <c r="AV3087" s="21">
        <f>IF(AND($AL3087&lt;&gt;"",COUNTIF($AL$11:$AL3087,$AL3087)=1),1,0)</f>
        <v>0</v>
      </c>
      <c r="AW3087" s="21">
        <f t="shared" si="183"/>
        <v>0</v>
      </c>
      <c r="AX3087" s="21" t="str">
        <f t="shared" si="182"/>
        <v/>
      </c>
      <c r="AY3087" s="21" t="str">
        <f>IF(AND($AM3087&lt;&gt;"",$AS3087&lt;&gt;"✓"),SUMPRODUCT(($AM$11:$AM3087&lt;&gt;"")*($AS$11:$AS3087&lt;&gt;"✓")),"")</f>
        <v/>
      </c>
      <c r="AZ3087" s="21" t="str">
        <f>IF(AND($AM3087&lt;&gt;"",$AS3087="✓"),SUMPRODUCT(($AM$11:$AM3087&lt;&gt;"")*($AS$11:$AS3087="✓")),"")</f>
        <v/>
      </c>
      <c r="BA3087" s="21" t="str">
        <f>IF($AL3087="","",$AL3087&amp;"|"&amp;COUNTIF($AL$11:$AL3087,$AL3087))</f>
        <v/>
      </c>
    </row>
    <row r="3088" spans="38:53" ht="15" customHeight="1" x14ac:dyDescent="0.25">
      <c r="AL3088" s="31"/>
      <c r="AM3088" s="26"/>
      <c r="AN3088" s="32"/>
      <c r="AO3088" s="32"/>
      <c r="AP3088" s="24"/>
      <c r="AQ3088" s="24"/>
      <c r="AR3088" s="33"/>
      <c r="AS3088" s="34"/>
      <c r="AT3088" s="33"/>
      <c r="AV3088" s="21">
        <f>IF(AND($AL3088&lt;&gt;"",COUNTIF($AL$11:$AL3088,$AL3088)=1),1,0)</f>
        <v>0</v>
      </c>
      <c r="AW3088" s="21">
        <f t="shared" si="183"/>
        <v>0</v>
      </c>
      <c r="AX3088" s="21" t="str">
        <f t="shared" si="182"/>
        <v/>
      </c>
      <c r="AY3088" s="21" t="str">
        <f>IF(AND($AM3088&lt;&gt;"",$AS3088&lt;&gt;"✓"),SUMPRODUCT(($AM$11:$AM3088&lt;&gt;"")*($AS$11:$AS3088&lt;&gt;"✓")),"")</f>
        <v/>
      </c>
      <c r="AZ3088" s="21" t="str">
        <f>IF(AND($AM3088&lt;&gt;"",$AS3088="✓"),SUMPRODUCT(($AM$11:$AM3088&lt;&gt;"")*($AS$11:$AS3088="✓")),"")</f>
        <v/>
      </c>
      <c r="BA3088" s="21" t="str">
        <f>IF($AL3088="","",$AL3088&amp;"|"&amp;COUNTIF($AL$11:$AL3088,$AL3088))</f>
        <v/>
      </c>
    </row>
    <row r="3089" spans="38:53" ht="15" customHeight="1" x14ac:dyDescent="0.25">
      <c r="AL3089" s="17"/>
      <c r="AM3089" s="12"/>
      <c r="AN3089" s="18"/>
      <c r="AO3089" s="18"/>
      <c r="AP3089" s="10"/>
      <c r="AQ3089" s="10"/>
      <c r="AR3089" s="19"/>
      <c r="AS3089" s="20"/>
      <c r="AT3089" s="19"/>
      <c r="AV3089" s="21">
        <f>IF(AND($AL3089&lt;&gt;"",COUNTIF($AL$11:$AL3089,$AL3089)=1),1,0)</f>
        <v>0</v>
      </c>
      <c r="AW3089" s="21">
        <f t="shared" si="183"/>
        <v>0</v>
      </c>
      <c r="AX3089" s="21" t="str">
        <f t="shared" si="182"/>
        <v/>
      </c>
      <c r="AY3089" s="21" t="str">
        <f>IF(AND($AM3089&lt;&gt;"",$AS3089&lt;&gt;"✓"),SUMPRODUCT(($AM$11:$AM3089&lt;&gt;"")*($AS$11:$AS3089&lt;&gt;"✓")),"")</f>
        <v/>
      </c>
      <c r="AZ3089" s="21" t="str">
        <f>IF(AND($AM3089&lt;&gt;"",$AS3089="✓"),SUMPRODUCT(($AM$11:$AM3089&lt;&gt;"")*($AS$11:$AS3089="✓")),"")</f>
        <v/>
      </c>
      <c r="BA3089" s="21" t="str">
        <f>IF($AL3089="","",$AL3089&amp;"|"&amp;COUNTIF($AL$11:$AL3089,$AL3089))</f>
        <v/>
      </c>
    </row>
    <row r="3090" spans="38:53" ht="15" customHeight="1" x14ac:dyDescent="0.25">
      <c r="AL3090" s="31"/>
      <c r="AM3090" s="26"/>
      <c r="AN3090" s="32"/>
      <c r="AO3090" s="32"/>
      <c r="AP3090" s="24"/>
      <c r="AQ3090" s="24"/>
      <c r="AR3090" s="33"/>
      <c r="AS3090" s="34"/>
      <c r="AT3090" s="33"/>
      <c r="AV3090" s="21">
        <f>IF(AND($AL3090&lt;&gt;"",COUNTIF($AL$11:$AL3090,$AL3090)=1),1,0)</f>
        <v>0</v>
      </c>
      <c r="AW3090" s="21">
        <f t="shared" si="183"/>
        <v>0</v>
      </c>
      <c r="AX3090" s="21" t="str">
        <f t="shared" si="182"/>
        <v/>
      </c>
      <c r="AY3090" s="21" t="str">
        <f>IF(AND($AM3090&lt;&gt;"",$AS3090&lt;&gt;"✓"),SUMPRODUCT(($AM$11:$AM3090&lt;&gt;"")*($AS$11:$AS3090&lt;&gt;"✓")),"")</f>
        <v/>
      </c>
      <c r="AZ3090" s="21" t="str">
        <f>IF(AND($AM3090&lt;&gt;"",$AS3090="✓"),SUMPRODUCT(($AM$11:$AM3090&lt;&gt;"")*($AS$11:$AS3090="✓")),"")</f>
        <v/>
      </c>
      <c r="BA3090" s="21" t="str">
        <f>IF($AL3090="","",$AL3090&amp;"|"&amp;COUNTIF($AL$11:$AL3090,$AL3090))</f>
        <v/>
      </c>
    </row>
    <row r="3091" spans="38:53" ht="15" customHeight="1" x14ac:dyDescent="0.25">
      <c r="AL3091" s="17"/>
      <c r="AM3091" s="12"/>
      <c r="AN3091" s="18"/>
      <c r="AO3091" s="18"/>
      <c r="AP3091" s="10"/>
      <c r="AQ3091" s="10"/>
      <c r="AR3091" s="19"/>
      <c r="AS3091" s="20"/>
      <c r="AT3091" s="19"/>
      <c r="AV3091" s="21">
        <f>IF(AND($AL3091&lt;&gt;"",COUNTIF($AL$11:$AL3091,$AL3091)=1),1,0)</f>
        <v>0</v>
      </c>
      <c r="AW3091" s="21">
        <f t="shared" si="183"/>
        <v>0</v>
      </c>
      <c r="AX3091" s="21" t="str">
        <f t="shared" si="182"/>
        <v/>
      </c>
      <c r="AY3091" s="21" t="str">
        <f>IF(AND($AM3091&lt;&gt;"",$AS3091&lt;&gt;"✓"),SUMPRODUCT(($AM$11:$AM3091&lt;&gt;"")*($AS$11:$AS3091&lt;&gt;"✓")),"")</f>
        <v/>
      </c>
      <c r="AZ3091" s="21" t="str">
        <f>IF(AND($AM3091&lt;&gt;"",$AS3091="✓"),SUMPRODUCT(($AM$11:$AM3091&lt;&gt;"")*($AS$11:$AS3091="✓")),"")</f>
        <v/>
      </c>
      <c r="BA3091" s="21" t="str">
        <f>IF($AL3091="","",$AL3091&amp;"|"&amp;COUNTIF($AL$11:$AL3091,$AL3091))</f>
        <v/>
      </c>
    </row>
    <row r="3092" spans="38:53" ht="15" customHeight="1" x14ac:dyDescent="0.25">
      <c r="AL3092" s="31"/>
      <c r="AM3092" s="26"/>
      <c r="AN3092" s="32"/>
      <c r="AO3092" s="32"/>
      <c r="AP3092" s="24"/>
      <c r="AQ3092" s="24"/>
      <c r="AR3092" s="33"/>
      <c r="AS3092" s="34"/>
      <c r="AT3092" s="33"/>
      <c r="AV3092" s="21">
        <f>IF(AND($AL3092&lt;&gt;"",COUNTIF($AL$11:$AL3092,$AL3092)=1),1,0)</f>
        <v>0</v>
      </c>
      <c r="AW3092" s="21">
        <f t="shared" si="183"/>
        <v>0</v>
      </c>
      <c r="AX3092" s="21" t="str">
        <f t="shared" si="182"/>
        <v/>
      </c>
      <c r="AY3092" s="21" t="str">
        <f>IF(AND($AM3092&lt;&gt;"",$AS3092&lt;&gt;"✓"),SUMPRODUCT(($AM$11:$AM3092&lt;&gt;"")*($AS$11:$AS3092&lt;&gt;"✓")),"")</f>
        <v/>
      </c>
      <c r="AZ3092" s="21" t="str">
        <f>IF(AND($AM3092&lt;&gt;"",$AS3092="✓"),SUMPRODUCT(($AM$11:$AM3092&lt;&gt;"")*($AS$11:$AS3092="✓")),"")</f>
        <v/>
      </c>
      <c r="BA3092" s="21" t="str">
        <f>IF($AL3092="","",$AL3092&amp;"|"&amp;COUNTIF($AL$11:$AL3092,$AL3092))</f>
        <v/>
      </c>
    </row>
    <row r="3093" spans="38:53" ht="15" customHeight="1" x14ac:dyDescent="0.25">
      <c r="AL3093" s="17"/>
      <c r="AM3093" s="12"/>
      <c r="AN3093" s="18"/>
      <c r="AO3093" s="18"/>
      <c r="AP3093" s="10"/>
      <c r="AQ3093" s="10"/>
      <c r="AR3093" s="19"/>
      <c r="AS3093" s="20"/>
      <c r="AT3093" s="19"/>
      <c r="AV3093" s="21">
        <f>IF(AND($AL3093&lt;&gt;"",COUNTIF($AL$11:$AL3093,$AL3093)=1),1,0)</f>
        <v>0</v>
      </c>
      <c r="AW3093" s="21">
        <f t="shared" si="183"/>
        <v>0</v>
      </c>
      <c r="AX3093" s="21" t="str">
        <f t="shared" si="182"/>
        <v/>
      </c>
      <c r="AY3093" s="21" t="str">
        <f>IF(AND($AM3093&lt;&gt;"",$AS3093&lt;&gt;"✓"),SUMPRODUCT(($AM$11:$AM3093&lt;&gt;"")*($AS$11:$AS3093&lt;&gt;"✓")),"")</f>
        <v/>
      </c>
      <c r="AZ3093" s="21" t="str">
        <f>IF(AND($AM3093&lt;&gt;"",$AS3093="✓"),SUMPRODUCT(($AM$11:$AM3093&lt;&gt;"")*($AS$11:$AS3093="✓")),"")</f>
        <v/>
      </c>
      <c r="BA3093" s="21" t="str">
        <f>IF($AL3093="","",$AL3093&amp;"|"&amp;COUNTIF($AL$11:$AL3093,$AL3093))</f>
        <v/>
      </c>
    </row>
    <row r="3094" spans="38:53" ht="15" customHeight="1" x14ac:dyDescent="0.25">
      <c r="AL3094" s="31"/>
      <c r="AM3094" s="26"/>
      <c r="AN3094" s="32"/>
      <c r="AO3094" s="32"/>
      <c r="AP3094" s="24"/>
      <c r="AQ3094" s="24"/>
      <c r="AR3094" s="33"/>
      <c r="AS3094" s="34"/>
      <c r="AT3094" s="33"/>
      <c r="AV3094" s="21">
        <f>IF(AND($AL3094&lt;&gt;"",COUNTIF($AL$11:$AL3094,$AL3094)=1),1,0)</f>
        <v>0</v>
      </c>
      <c r="AW3094" s="21">
        <f t="shared" si="183"/>
        <v>0</v>
      </c>
      <c r="AX3094" s="21" t="str">
        <f t="shared" si="182"/>
        <v/>
      </c>
      <c r="AY3094" s="21" t="str">
        <f>IF(AND($AM3094&lt;&gt;"",$AS3094&lt;&gt;"✓"),SUMPRODUCT(($AM$11:$AM3094&lt;&gt;"")*($AS$11:$AS3094&lt;&gt;"✓")),"")</f>
        <v/>
      </c>
      <c r="AZ3094" s="21" t="str">
        <f>IF(AND($AM3094&lt;&gt;"",$AS3094="✓"),SUMPRODUCT(($AM$11:$AM3094&lt;&gt;"")*($AS$11:$AS3094="✓")),"")</f>
        <v/>
      </c>
      <c r="BA3094" s="21" t="str">
        <f>IF($AL3094="","",$AL3094&amp;"|"&amp;COUNTIF($AL$11:$AL3094,$AL3094))</f>
        <v/>
      </c>
    </row>
    <row r="3095" spans="38:53" ht="15" customHeight="1" x14ac:dyDescent="0.25">
      <c r="AL3095" s="17"/>
      <c r="AM3095" s="12"/>
      <c r="AN3095" s="18"/>
      <c r="AO3095" s="18"/>
      <c r="AP3095" s="10"/>
      <c r="AQ3095" s="10"/>
      <c r="AR3095" s="19"/>
      <c r="AS3095" s="20"/>
      <c r="AT3095" s="19"/>
      <c r="AV3095" s="21">
        <f>IF(AND($AL3095&lt;&gt;"",COUNTIF($AL$11:$AL3095,$AL3095)=1),1,0)</f>
        <v>0</v>
      </c>
      <c r="AW3095" s="21">
        <f t="shared" si="183"/>
        <v>0</v>
      </c>
      <c r="AX3095" s="21" t="str">
        <f t="shared" si="182"/>
        <v/>
      </c>
      <c r="AY3095" s="21" t="str">
        <f>IF(AND($AM3095&lt;&gt;"",$AS3095&lt;&gt;"✓"),SUMPRODUCT(($AM$11:$AM3095&lt;&gt;"")*($AS$11:$AS3095&lt;&gt;"✓")),"")</f>
        <v/>
      </c>
      <c r="AZ3095" s="21" t="str">
        <f>IF(AND($AM3095&lt;&gt;"",$AS3095="✓"),SUMPRODUCT(($AM$11:$AM3095&lt;&gt;"")*($AS$11:$AS3095="✓")),"")</f>
        <v/>
      </c>
      <c r="BA3095" s="21" t="str">
        <f>IF($AL3095="","",$AL3095&amp;"|"&amp;COUNTIF($AL$11:$AL3095,$AL3095))</f>
        <v/>
      </c>
    </row>
    <row r="3096" spans="38:53" ht="15" customHeight="1" x14ac:dyDescent="0.25">
      <c r="AL3096" s="31"/>
      <c r="AM3096" s="26"/>
      <c r="AN3096" s="32"/>
      <c r="AO3096" s="32"/>
      <c r="AP3096" s="24"/>
      <c r="AQ3096" s="24"/>
      <c r="AR3096" s="33"/>
      <c r="AS3096" s="34"/>
      <c r="AT3096" s="33"/>
      <c r="AV3096" s="21">
        <f>IF(AND($AL3096&lt;&gt;"",COUNTIF($AL$11:$AL3096,$AL3096)=1),1,0)</f>
        <v>0</v>
      </c>
      <c r="AW3096" s="21">
        <f t="shared" si="183"/>
        <v>0</v>
      </c>
      <c r="AX3096" s="21" t="str">
        <f t="shared" si="182"/>
        <v/>
      </c>
      <c r="AY3096" s="21" t="str">
        <f>IF(AND($AM3096&lt;&gt;"",$AS3096&lt;&gt;"✓"),SUMPRODUCT(($AM$11:$AM3096&lt;&gt;"")*($AS$11:$AS3096&lt;&gt;"✓")),"")</f>
        <v/>
      </c>
      <c r="AZ3096" s="21" t="str">
        <f>IF(AND($AM3096&lt;&gt;"",$AS3096="✓"),SUMPRODUCT(($AM$11:$AM3096&lt;&gt;"")*($AS$11:$AS3096="✓")),"")</f>
        <v/>
      </c>
      <c r="BA3096" s="21" t="str">
        <f>IF($AL3096="","",$AL3096&amp;"|"&amp;COUNTIF($AL$11:$AL3096,$AL3096))</f>
        <v/>
      </c>
    </row>
    <row r="3097" spans="38:53" ht="15" customHeight="1" x14ac:dyDescent="0.25">
      <c r="AL3097" s="17"/>
      <c r="AM3097" s="12"/>
      <c r="AN3097" s="18"/>
      <c r="AO3097" s="18"/>
      <c r="AP3097" s="10"/>
      <c r="AQ3097" s="10"/>
      <c r="AR3097" s="19"/>
      <c r="AS3097" s="20"/>
      <c r="AT3097" s="19"/>
      <c r="AV3097" s="21">
        <f>IF(AND($AL3097&lt;&gt;"",COUNTIF($AL$11:$AL3097,$AL3097)=1),1,0)</f>
        <v>0</v>
      </c>
      <c r="AW3097" s="21">
        <f t="shared" si="183"/>
        <v>0</v>
      </c>
      <c r="AX3097" s="21" t="str">
        <f t="shared" si="182"/>
        <v/>
      </c>
      <c r="AY3097" s="21" t="str">
        <f>IF(AND($AM3097&lt;&gt;"",$AS3097&lt;&gt;"✓"),SUMPRODUCT(($AM$11:$AM3097&lt;&gt;"")*($AS$11:$AS3097&lt;&gt;"✓")),"")</f>
        <v/>
      </c>
      <c r="AZ3097" s="21" t="str">
        <f>IF(AND($AM3097&lt;&gt;"",$AS3097="✓"),SUMPRODUCT(($AM$11:$AM3097&lt;&gt;"")*($AS$11:$AS3097="✓")),"")</f>
        <v/>
      </c>
      <c r="BA3097" s="21" t="str">
        <f>IF($AL3097="","",$AL3097&amp;"|"&amp;COUNTIF($AL$11:$AL3097,$AL3097))</f>
        <v/>
      </c>
    </row>
    <row r="3098" spans="38:53" ht="15" customHeight="1" x14ac:dyDescent="0.25">
      <c r="AL3098" s="31"/>
      <c r="AM3098" s="26"/>
      <c r="AN3098" s="32"/>
      <c r="AO3098" s="32"/>
      <c r="AP3098" s="24"/>
      <c r="AQ3098" s="24"/>
      <c r="AR3098" s="33"/>
      <c r="AS3098" s="34"/>
      <c r="AT3098" s="33"/>
      <c r="AV3098" s="21">
        <f>IF(AND($AL3098&lt;&gt;"",COUNTIF($AL$11:$AL3098,$AL3098)=1),1,0)</f>
        <v>0</v>
      </c>
      <c r="AW3098" s="21">
        <f t="shared" si="183"/>
        <v>0</v>
      </c>
      <c r="AX3098" s="21" t="str">
        <f t="shared" si="182"/>
        <v/>
      </c>
      <c r="AY3098" s="21" t="str">
        <f>IF(AND($AM3098&lt;&gt;"",$AS3098&lt;&gt;"✓"),SUMPRODUCT(($AM$11:$AM3098&lt;&gt;"")*($AS$11:$AS3098&lt;&gt;"✓")),"")</f>
        <v/>
      </c>
      <c r="AZ3098" s="21" t="str">
        <f>IF(AND($AM3098&lt;&gt;"",$AS3098="✓"),SUMPRODUCT(($AM$11:$AM3098&lt;&gt;"")*($AS$11:$AS3098="✓")),"")</f>
        <v/>
      </c>
      <c r="BA3098" s="21" t="str">
        <f>IF($AL3098="","",$AL3098&amp;"|"&amp;COUNTIF($AL$11:$AL3098,$AL3098))</f>
        <v/>
      </c>
    </row>
    <row r="3099" spans="38:53" ht="15" customHeight="1" x14ac:dyDescent="0.25">
      <c r="AL3099" s="17"/>
      <c r="AM3099" s="12"/>
      <c r="AN3099" s="18"/>
      <c r="AO3099" s="18"/>
      <c r="AP3099" s="10"/>
      <c r="AQ3099" s="10"/>
      <c r="AR3099" s="19"/>
      <c r="AS3099" s="20"/>
      <c r="AT3099" s="19"/>
      <c r="AV3099" s="21">
        <f>IF(AND($AL3099&lt;&gt;"",COUNTIF($AL$11:$AL3099,$AL3099)=1),1,0)</f>
        <v>0</v>
      </c>
      <c r="AW3099" s="21">
        <f t="shared" si="183"/>
        <v>0</v>
      </c>
      <c r="AX3099" s="21" t="str">
        <f t="shared" si="182"/>
        <v/>
      </c>
      <c r="AY3099" s="21" t="str">
        <f>IF(AND($AM3099&lt;&gt;"",$AS3099&lt;&gt;"✓"),SUMPRODUCT(($AM$11:$AM3099&lt;&gt;"")*($AS$11:$AS3099&lt;&gt;"✓")),"")</f>
        <v/>
      </c>
      <c r="AZ3099" s="21" t="str">
        <f>IF(AND($AM3099&lt;&gt;"",$AS3099="✓"),SUMPRODUCT(($AM$11:$AM3099&lt;&gt;"")*($AS$11:$AS3099="✓")),"")</f>
        <v/>
      </c>
      <c r="BA3099" s="21" t="str">
        <f>IF($AL3099="","",$AL3099&amp;"|"&amp;COUNTIF($AL$11:$AL3099,$AL3099))</f>
        <v/>
      </c>
    </row>
    <row r="3100" spans="38:53" ht="15" customHeight="1" x14ac:dyDescent="0.25">
      <c r="AL3100" s="31"/>
      <c r="AM3100" s="26"/>
      <c r="AN3100" s="32"/>
      <c r="AO3100" s="32"/>
      <c r="AP3100" s="24"/>
      <c r="AQ3100" s="24"/>
      <c r="AR3100" s="33"/>
      <c r="AS3100" s="34"/>
      <c r="AT3100" s="33"/>
      <c r="AV3100" s="21">
        <f>IF(AND($AL3100&lt;&gt;"",COUNTIF($AL$11:$AL3100,$AL3100)=1),1,0)</f>
        <v>0</v>
      </c>
      <c r="AW3100" s="21">
        <f t="shared" si="183"/>
        <v>0</v>
      </c>
      <c r="AX3100" s="21" t="str">
        <f t="shared" si="182"/>
        <v/>
      </c>
      <c r="AY3100" s="21" t="str">
        <f>IF(AND($AM3100&lt;&gt;"",$AS3100&lt;&gt;"✓"),SUMPRODUCT(($AM$11:$AM3100&lt;&gt;"")*($AS$11:$AS3100&lt;&gt;"✓")),"")</f>
        <v/>
      </c>
      <c r="AZ3100" s="21" t="str">
        <f>IF(AND($AM3100&lt;&gt;"",$AS3100="✓"),SUMPRODUCT(($AM$11:$AM3100&lt;&gt;"")*($AS$11:$AS3100="✓")),"")</f>
        <v/>
      </c>
      <c r="BA3100" s="21" t="str">
        <f>IF($AL3100="","",$AL3100&amp;"|"&amp;COUNTIF($AL$11:$AL3100,$AL3100))</f>
        <v/>
      </c>
    </row>
    <row r="3101" spans="38:53" ht="15" customHeight="1" x14ac:dyDescent="0.25">
      <c r="AL3101" s="17"/>
      <c r="AM3101" s="12"/>
      <c r="AN3101" s="18"/>
      <c r="AO3101" s="18"/>
      <c r="AP3101" s="10"/>
      <c r="AQ3101" s="10"/>
      <c r="AR3101" s="19"/>
      <c r="AS3101" s="20"/>
      <c r="AT3101" s="19"/>
      <c r="AV3101" s="21">
        <f>IF(AND($AL3101&lt;&gt;"",COUNTIF($AL$11:$AL3101,$AL3101)=1),1,0)</f>
        <v>0</v>
      </c>
      <c r="AW3101" s="21">
        <f t="shared" si="183"/>
        <v>0</v>
      </c>
      <c r="AX3101" s="21" t="str">
        <f t="shared" si="182"/>
        <v/>
      </c>
      <c r="AY3101" s="21" t="str">
        <f>IF(AND($AM3101&lt;&gt;"",$AS3101&lt;&gt;"✓"),SUMPRODUCT(($AM$11:$AM3101&lt;&gt;"")*($AS$11:$AS3101&lt;&gt;"✓")),"")</f>
        <v/>
      </c>
      <c r="AZ3101" s="21" t="str">
        <f>IF(AND($AM3101&lt;&gt;"",$AS3101="✓"),SUMPRODUCT(($AM$11:$AM3101&lt;&gt;"")*($AS$11:$AS3101="✓")),"")</f>
        <v/>
      </c>
      <c r="BA3101" s="21" t="str">
        <f>IF($AL3101="","",$AL3101&amp;"|"&amp;COUNTIF($AL$11:$AL3101,$AL3101))</f>
        <v/>
      </c>
    </row>
    <row r="3102" spans="38:53" ht="15" customHeight="1" x14ac:dyDescent="0.25">
      <c r="AL3102" s="31"/>
      <c r="AM3102" s="26"/>
      <c r="AN3102" s="32"/>
      <c r="AO3102" s="32"/>
      <c r="AP3102" s="24"/>
      <c r="AQ3102" s="24"/>
      <c r="AR3102" s="33"/>
      <c r="AS3102" s="34"/>
      <c r="AT3102" s="33"/>
      <c r="AV3102" s="21">
        <f>IF(AND($AL3102&lt;&gt;"",COUNTIF($AL$11:$AL3102,$AL3102)=1),1,0)</f>
        <v>0</v>
      </c>
      <c r="AW3102" s="21">
        <f t="shared" si="183"/>
        <v>0</v>
      </c>
      <c r="AX3102" s="21" t="str">
        <f t="shared" si="182"/>
        <v/>
      </c>
      <c r="AY3102" s="21" t="str">
        <f>IF(AND($AM3102&lt;&gt;"",$AS3102&lt;&gt;"✓"),SUMPRODUCT(($AM$11:$AM3102&lt;&gt;"")*($AS$11:$AS3102&lt;&gt;"✓")),"")</f>
        <v/>
      </c>
      <c r="AZ3102" s="21" t="str">
        <f>IF(AND($AM3102&lt;&gt;"",$AS3102="✓"),SUMPRODUCT(($AM$11:$AM3102&lt;&gt;"")*($AS$11:$AS3102="✓")),"")</f>
        <v/>
      </c>
      <c r="BA3102" s="21" t="str">
        <f>IF($AL3102="","",$AL3102&amp;"|"&amp;COUNTIF($AL$11:$AL3102,$AL3102))</f>
        <v/>
      </c>
    </row>
    <row r="3103" spans="38:53" ht="15" customHeight="1" x14ac:dyDescent="0.25">
      <c r="AL3103" s="17"/>
      <c r="AM3103" s="12"/>
      <c r="AN3103" s="18"/>
      <c r="AO3103" s="18"/>
      <c r="AP3103" s="10"/>
      <c r="AQ3103" s="10"/>
      <c r="AR3103" s="19"/>
      <c r="AS3103" s="20"/>
      <c r="AT3103" s="19"/>
      <c r="AV3103" s="21">
        <f>IF(AND($AL3103&lt;&gt;"",COUNTIF($AL$11:$AL3103,$AL3103)=1),1,0)</f>
        <v>0</v>
      </c>
      <c r="AW3103" s="21">
        <f t="shared" si="183"/>
        <v>0</v>
      </c>
      <c r="AX3103" s="21" t="str">
        <f t="shared" si="182"/>
        <v/>
      </c>
      <c r="AY3103" s="21" t="str">
        <f>IF(AND($AM3103&lt;&gt;"",$AS3103&lt;&gt;"✓"),SUMPRODUCT(($AM$11:$AM3103&lt;&gt;"")*($AS$11:$AS3103&lt;&gt;"✓")),"")</f>
        <v/>
      </c>
      <c r="AZ3103" s="21" t="str">
        <f>IF(AND($AM3103&lt;&gt;"",$AS3103="✓"),SUMPRODUCT(($AM$11:$AM3103&lt;&gt;"")*($AS$11:$AS3103="✓")),"")</f>
        <v/>
      </c>
      <c r="BA3103" s="21" t="str">
        <f>IF($AL3103="","",$AL3103&amp;"|"&amp;COUNTIF($AL$11:$AL3103,$AL3103))</f>
        <v/>
      </c>
    </row>
    <row r="3104" spans="38:53" ht="15" customHeight="1" x14ac:dyDescent="0.25">
      <c r="AL3104" s="31"/>
      <c r="AM3104" s="26"/>
      <c r="AN3104" s="32"/>
      <c r="AO3104" s="32"/>
      <c r="AP3104" s="24"/>
      <c r="AQ3104" s="24"/>
      <c r="AR3104" s="33"/>
      <c r="AS3104" s="34"/>
      <c r="AT3104" s="33"/>
      <c r="AV3104" s="21">
        <f>IF(AND($AL3104&lt;&gt;"",COUNTIF($AL$11:$AL3104,$AL3104)=1),1,0)</f>
        <v>0</v>
      </c>
      <c r="AW3104" s="21">
        <f t="shared" si="183"/>
        <v>0</v>
      </c>
      <c r="AX3104" s="21" t="str">
        <f t="shared" si="182"/>
        <v/>
      </c>
      <c r="AY3104" s="21" t="str">
        <f>IF(AND($AM3104&lt;&gt;"",$AS3104&lt;&gt;"✓"),SUMPRODUCT(($AM$11:$AM3104&lt;&gt;"")*($AS$11:$AS3104&lt;&gt;"✓")),"")</f>
        <v/>
      </c>
      <c r="AZ3104" s="21" t="str">
        <f>IF(AND($AM3104&lt;&gt;"",$AS3104="✓"),SUMPRODUCT(($AM$11:$AM3104&lt;&gt;"")*($AS$11:$AS3104="✓")),"")</f>
        <v/>
      </c>
      <c r="BA3104" s="21" t="str">
        <f>IF($AL3104="","",$AL3104&amp;"|"&amp;COUNTIF($AL$11:$AL3104,$AL3104))</f>
        <v/>
      </c>
    </row>
    <row r="3105" spans="38:53" ht="15" customHeight="1" x14ac:dyDescent="0.25">
      <c r="AL3105" s="17"/>
      <c r="AM3105" s="12"/>
      <c r="AN3105" s="18"/>
      <c r="AO3105" s="18"/>
      <c r="AP3105" s="10"/>
      <c r="AQ3105" s="10"/>
      <c r="AR3105" s="19"/>
      <c r="AS3105" s="20"/>
      <c r="AT3105" s="19"/>
      <c r="AV3105" s="21">
        <f>IF(AND($AL3105&lt;&gt;"",COUNTIF($AL$11:$AL3105,$AL3105)=1),1,0)</f>
        <v>0</v>
      </c>
      <c r="AW3105" s="21">
        <f t="shared" si="183"/>
        <v>0</v>
      </c>
      <c r="AX3105" s="21" t="str">
        <f t="shared" si="182"/>
        <v/>
      </c>
      <c r="AY3105" s="21" t="str">
        <f>IF(AND($AM3105&lt;&gt;"",$AS3105&lt;&gt;"✓"),SUMPRODUCT(($AM$11:$AM3105&lt;&gt;"")*($AS$11:$AS3105&lt;&gt;"✓")),"")</f>
        <v/>
      </c>
      <c r="AZ3105" s="21" t="str">
        <f>IF(AND($AM3105&lt;&gt;"",$AS3105="✓"),SUMPRODUCT(($AM$11:$AM3105&lt;&gt;"")*($AS$11:$AS3105="✓")),"")</f>
        <v/>
      </c>
      <c r="BA3105" s="21" t="str">
        <f>IF($AL3105="","",$AL3105&amp;"|"&amp;COUNTIF($AL$11:$AL3105,$AL3105))</f>
        <v/>
      </c>
    </row>
    <row r="3106" spans="38:53" ht="15" customHeight="1" x14ac:dyDescent="0.25">
      <c r="AL3106" s="31"/>
      <c r="AM3106" s="26"/>
      <c r="AN3106" s="32"/>
      <c r="AO3106" s="32"/>
      <c r="AP3106" s="24"/>
      <c r="AQ3106" s="24"/>
      <c r="AR3106" s="33"/>
      <c r="AS3106" s="34"/>
      <c r="AT3106" s="33"/>
      <c r="AV3106" s="21">
        <f>IF(AND($AL3106&lt;&gt;"",COUNTIF($AL$11:$AL3106,$AL3106)=1),1,0)</f>
        <v>0</v>
      </c>
      <c r="AW3106" s="21">
        <f t="shared" si="183"/>
        <v>0</v>
      </c>
      <c r="AX3106" s="21" t="str">
        <f t="shared" si="182"/>
        <v/>
      </c>
      <c r="AY3106" s="21" t="str">
        <f>IF(AND($AM3106&lt;&gt;"",$AS3106&lt;&gt;"✓"),SUMPRODUCT(($AM$11:$AM3106&lt;&gt;"")*($AS$11:$AS3106&lt;&gt;"✓")),"")</f>
        <v/>
      </c>
      <c r="AZ3106" s="21" t="str">
        <f>IF(AND($AM3106&lt;&gt;"",$AS3106="✓"),SUMPRODUCT(($AM$11:$AM3106&lt;&gt;"")*($AS$11:$AS3106="✓")),"")</f>
        <v/>
      </c>
      <c r="BA3106" s="21" t="str">
        <f>IF($AL3106="","",$AL3106&amp;"|"&amp;COUNTIF($AL$11:$AL3106,$AL3106))</f>
        <v/>
      </c>
    </row>
    <row r="3107" spans="38:53" ht="15" customHeight="1" x14ac:dyDescent="0.25">
      <c r="AL3107" s="17"/>
      <c r="AM3107" s="12"/>
      <c r="AN3107" s="18"/>
      <c r="AO3107" s="18"/>
      <c r="AP3107" s="10"/>
      <c r="AQ3107" s="10"/>
      <c r="AR3107" s="19"/>
      <c r="AS3107" s="20"/>
      <c r="AT3107" s="19"/>
      <c r="AV3107" s="21">
        <f>IF(AND($AL3107&lt;&gt;"",COUNTIF($AL$11:$AL3107,$AL3107)=1),1,0)</f>
        <v>0</v>
      </c>
      <c r="AW3107" s="21">
        <f t="shared" si="183"/>
        <v>0</v>
      </c>
      <c r="AX3107" s="21" t="str">
        <f t="shared" si="182"/>
        <v/>
      </c>
      <c r="AY3107" s="21" t="str">
        <f>IF(AND($AM3107&lt;&gt;"",$AS3107&lt;&gt;"✓"),SUMPRODUCT(($AM$11:$AM3107&lt;&gt;"")*($AS$11:$AS3107&lt;&gt;"✓")),"")</f>
        <v/>
      </c>
      <c r="AZ3107" s="21" t="str">
        <f>IF(AND($AM3107&lt;&gt;"",$AS3107="✓"),SUMPRODUCT(($AM$11:$AM3107&lt;&gt;"")*($AS$11:$AS3107="✓")),"")</f>
        <v/>
      </c>
      <c r="BA3107" s="21" t="str">
        <f>IF($AL3107="","",$AL3107&amp;"|"&amp;COUNTIF($AL$11:$AL3107,$AL3107))</f>
        <v/>
      </c>
    </row>
    <row r="3108" spans="38:53" ht="15" customHeight="1" x14ac:dyDescent="0.25">
      <c r="AL3108" s="31"/>
      <c r="AM3108" s="26"/>
      <c r="AN3108" s="32"/>
      <c r="AO3108" s="32"/>
      <c r="AP3108" s="24"/>
      <c r="AQ3108" s="24"/>
      <c r="AR3108" s="33"/>
      <c r="AS3108" s="34"/>
      <c r="AT3108" s="33"/>
      <c r="AV3108" s="21">
        <f>IF(AND($AL3108&lt;&gt;"",COUNTIF($AL$11:$AL3108,$AL3108)=1),1,0)</f>
        <v>0</v>
      </c>
      <c r="AW3108" s="21">
        <f t="shared" si="183"/>
        <v>0</v>
      </c>
      <c r="AX3108" s="21" t="str">
        <f t="shared" si="182"/>
        <v/>
      </c>
      <c r="AY3108" s="21" t="str">
        <f>IF(AND($AM3108&lt;&gt;"",$AS3108&lt;&gt;"✓"),SUMPRODUCT(($AM$11:$AM3108&lt;&gt;"")*($AS$11:$AS3108&lt;&gt;"✓")),"")</f>
        <v/>
      </c>
      <c r="AZ3108" s="21" t="str">
        <f>IF(AND($AM3108&lt;&gt;"",$AS3108="✓"),SUMPRODUCT(($AM$11:$AM3108&lt;&gt;"")*($AS$11:$AS3108="✓")),"")</f>
        <v/>
      </c>
      <c r="BA3108" s="21" t="str">
        <f>IF($AL3108="","",$AL3108&amp;"|"&amp;COUNTIF($AL$11:$AL3108,$AL3108))</f>
        <v/>
      </c>
    </row>
    <row r="3109" spans="38:53" ht="15" customHeight="1" x14ac:dyDescent="0.25">
      <c r="AL3109" s="17"/>
      <c r="AM3109" s="12"/>
      <c r="AN3109" s="18"/>
      <c r="AO3109" s="18"/>
      <c r="AP3109" s="10"/>
      <c r="AQ3109" s="10"/>
      <c r="AR3109" s="19"/>
      <c r="AS3109" s="20"/>
      <c r="AT3109" s="19"/>
      <c r="AV3109" s="21">
        <f>IF(AND($AL3109&lt;&gt;"",COUNTIF($AL$11:$AL3109,$AL3109)=1),1,0)</f>
        <v>0</v>
      </c>
      <c r="AW3109" s="21">
        <f t="shared" si="183"/>
        <v>0</v>
      </c>
      <c r="AX3109" s="21" t="str">
        <f t="shared" si="182"/>
        <v/>
      </c>
      <c r="AY3109" s="21" t="str">
        <f>IF(AND($AM3109&lt;&gt;"",$AS3109&lt;&gt;"✓"),SUMPRODUCT(($AM$11:$AM3109&lt;&gt;"")*($AS$11:$AS3109&lt;&gt;"✓")),"")</f>
        <v/>
      </c>
      <c r="AZ3109" s="21" t="str">
        <f>IF(AND($AM3109&lt;&gt;"",$AS3109="✓"),SUMPRODUCT(($AM$11:$AM3109&lt;&gt;"")*($AS$11:$AS3109="✓")),"")</f>
        <v/>
      </c>
      <c r="BA3109" s="21" t="str">
        <f>IF($AL3109="","",$AL3109&amp;"|"&amp;COUNTIF($AL$11:$AL3109,$AL3109))</f>
        <v/>
      </c>
    </row>
    <row r="3110" spans="38:53" ht="15" customHeight="1" x14ac:dyDescent="0.25">
      <c r="AL3110" s="31"/>
      <c r="AM3110" s="26"/>
      <c r="AN3110" s="32"/>
      <c r="AO3110" s="32"/>
      <c r="AP3110" s="24"/>
      <c r="AQ3110" s="24"/>
      <c r="AR3110" s="33"/>
      <c r="AS3110" s="34"/>
      <c r="AT3110" s="33"/>
      <c r="AV3110" s="21">
        <f>IF(AND($AL3110&lt;&gt;"",COUNTIF($AL$11:$AL3110,$AL3110)=1),1,0)</f>
        <v>0</v>
      </c>
      <c r="AW3110" s="21">
        <f t="shared" si="183"/>
        <v>0</v>
      </c>
      <c r="AX3110" s="21" t="str">
        <f t="shared" si="182"/>
        <v/>
      </c>
      <c r="AY3110" s="21" t="str">
        <f>IF(AND($AM3110&lt;&gt;"",$AS3110&lt;&gt;"✓"),SUMPRODUCT(($AM$11:$AM3110&lt;&gt;"")*($AS$11:$AS3110&lt;&gt;"✓")),"")</f>
        <v/>
      </c>
      <c r="AZ3110" s="21" t="str">
        <f>IF(AND($AM3110&lt;&gt;"",$AS3110="✓"),SUMPRODUCT(($AM$11:$AM3110&lt;&gt;"")*($AS$11:$AS3110="✓")),"")</f>
        <v/>
      </c>
      <c r="BA3110" s="21" t="str">
        <f>IF($AL3110="","",$AL3110&amp;"|"&amp;COUNTIF($AL$11:$AL3110,$AL3110))</f>
        <v/>
      </c>
    </row>
    <row r="3111" spans="38:53" ht="15" customHeight="1" x14ac:dyDescent="0.25">
      <c r="AL3111" s="17"/>
      <c r="AM3111" s="12"/>
      <c r="AN3111" s="18"/>
      <c r="AO3111" s="18"/>
      <c r="AP3111" s="10"/>
      <c r="AQ3111" s="10"/>
      <c r="AR3111" s="19"/>
      <c r="AS3111" s="20"/>
      <c r="AT3111" s="19"/>
      <c r="AV3111" s="21">
        <f>IF(AND($AL3111&lt;&gt;"",COUNTIF($AL$11:$AL3111,$AL3111)=1),1,0)</f>
        <v>0</v>
      </c>
      <c r="AW3111" s="21">
        <f t="shared" si="183"/>
        <v>0</v>
      </c>
      <c r="AX3111" s="21" t="str">
        <f t="shared" si="182"/>
        <v/>
      </c>
      <c r="AY3111" s="21" t="str">
        <f>IF(AND($AM3111&lt;&gt;"",$AS3111&lt;&gt;"✓"),SUMPRODUCT(($AM$11:$AM3111&lt;&gt;"")*($AS$11:$AS3111&lt;&gt;"✓")),"")</f>
        <v/>
      </c>
      <c r="AZ3111" s="21" t="str">
        <f>IF(AND($AM3111&lt;&gt;"",$AS3111="✓"),SUMPRODUCT(($AM$11:$AM3111&lt;&gt;"")*($AS$11:$AS3111="✓")),"")</f>
        <v/>
      </c>
      <c r="BA3111" s="21" t="str">
        <f>IF($AL3111="","",$AL3111&amp;"|"&amp;COUNTIF($AL$11:$AL3111,$AL3111))</f>
        <v/>
      </c>
    </row>
    <row r="3112" spans="38:53" ht="15" customHeight="1" x14ac:dyDescent="0.25">
      <c r="AL3112" s="31"/>
      <c r="AM3112" s="26"/>
      <c r="AN3112" s="32"/>
      <c r="AO3112" s="32"/>
      <c r="AP3112" s="24"/>
      <c r="AQ3112" s="24"/>
      <c r="AR3112" s="33"/>
      <c r="AS3112" s="34"/>
      <c r="AT3112" s="33"/>
      <c r="AV3112" s="21">
        <f>IF(AND($AL3112&lt;&gt;"",COUNTIF($AL$11:$AL3112,$AL3112)=1),1,0)</f>
        <v>0</v>
      </c>
      <c r="AW3112" s="21">
        <f t="shared" si="183"/>
        <v>0</v>
      </c>
      <c r="AX3112" s="21" t="str">
        <f t="shared" si="182"/>
        <v/>
      </c>
      <c r="AY3112" s="21" t="str">
        <f>IF(AND($AM3112&lt;&gt;"",$AS3112&lt;&gt;"✓"),SUMPRODUCT(($AM$11:$AM3112&lt;&gt;"")*($AS$11:$AS3112&lt;&gt;"✓")),"")</f>
        <v/>
      </c>
      <c r="AZ3112" s="21" t="str">
        <f>IF(AND($AM3112&lt;&gt;"",$AS3112="✓"),SUMPRODUCT(($AM$11:$AM3112&lt;&gt;"")*($AS$11:$AS3112="✓")),"")</f>
        <v/>
      </c>
      <c r="BA3112" s="21" t="str">
        <f>IF($AL3112="","",$AL3112&amp;"|"&amp;COUNTIF($AL$11:$AL3112,$AL3112))</f>
        <v/>
      </c>
    </row>
    <row r="3113" spans="38:53" ht="15" customHeight="1" x14ac:dyDescent="0.25">
      <c r="AL3113" s="17"/>
      <c r="AM3113" s="12"/>
      <c r="AN3113" s="18"/>
      <c r="AO3113" s="18"/>
      <c r="AP3113" s="10"/>
      <c r="AQ3113" s="10"/>
      <c r="AR3113" s="19"/>
      <c r="AS3113" s="20"/>
      <c r="AT3113" s="19"/>
      <c r="AV3113" s="21">
        <f>IF(AND($AL3113&lt;&gt;"",COUNTIF($AL$11:$AL3113,$AL3113)=1),1,0)</f>
        <v>0</v>
      </c>
      <c r="AW3113" s="21">
        <f t="shared" si="183"/>
        <v>0</v>
      </c>
      <c r="AX3113" s="21" t="str">
        <f t="shared" si="182"/>
        <v/>
      </c>
      <c r="AY3113" s="21" t="str">
        <f>IF(AND($AM3113&lt;&gt;"",$AS3113&lt;&gt;"✓"),SUMPRODUCT(($AM$11:$AM3113&lt;&gt;"")*($AS$11:$AS3113&lt;&gt;"✓")),"")</f>
        <v/>
      </c>
      <c r="AZ3113" s="21" t="str">
        <f>IF(AND($AM3113&lt;&gt;"",$AS3113="✓"),SUMPRODUCT(($AM$11:$AM3113&lt;&gt;"")*($AS$11:$AS3113="✓")),"")</f>
        <v/>
      </c>
      <c r="BA3113" s="21" t="str">
        <f>IF($AL3113="","",$AL3113&amp;"|"&amp;COUNTIF($AL$11:$AL3113,$AL3113))</f>
        <v/>
      </c>
    </row>
    <row r="3114" spans="38:53" ht="15" customHeight="1" x14ac:dyDescent="0.25">
      <c r="AL3114" s="31"/>
      <c r="AM3114" s="26"/>
      <c r="AN3114" s="32"/>
      <c r="AO3114" s="32"/>
      <c r="AP3114" s="24"/>
      <c r="AQ3114" s="24"/>
      <c r="AR3114" s="33"/>
      <c r="AS3114" s="34"/>
      <c r="AT3114" s="33"/>
      <c r="AV3114" s="21">
        <f>IF(AND($AL3114&lt;&gt;"",COUNTIF($AL$11:$AL3114,$AL3114)=1),1,0)</f>
        <v>0</v>
      </c>
      <c r="AW3114" s="21">
        <f t="shared" si="183"/>
        <v>0</v>
      </c>
      <c r="AX3114" s="21" t="str">
        <f t="shared" si="182"/>
        <v/>
      </c>
      <c r="AY3114" s="21" t="str">
        <f>IF(AND($AM3114&lt;&gt;"",$AS3114&lt;&gt;"✓"),SUMPRODUCT(($AM$11:$AM3114&lt;&gt;"")*($AS$11:$AS3114&lt;&gt;"✓")),"")</f>
        <v/>
      </c>
      <c r="AZ3114" s="21" t="str">
        <f>IF(AND($AM3114&lt;&gt;"",$AS3114="✓"),SUMPRODUCT(($AM$11:$AM3114&lt;&gt;"")*($AS$11:$AS3114="✓")),"")</f>
        <v/>
      </c>
      <c r="BA3114" s="21" t="str">
        <f>IF($AL3114="","",$AL3114&amp;"|"&amp;COUNTIF($AL$11:$AL3114,$AL3114))</f>
        <v/>
      </c>
    </row>
    <row r="3115" spans="38:53" ht="15" customHeight="1" x14ac:dyDescent="0.25">
      <c r="AL3115" s="17"/>
      <c r="AM3115" s="12"/>
      <c r="AN3115" s="18"/>
      <c r="AO3115" s="18"/>
      <c r="AP3115" s="10"/>
      <c r="AQ3115" s="10"/>
      <c r="AR3115" s="19"/>
      <c r="AS3115" s="20"/>
      <c r="AT3115" s="19"/>
      <c r="AV3115" s="21">
        <f>IF(AND($AL3115&lt;&gt;"",COUNTIF($AL$11:$AL3115,$AL3115)=1),1,0)</f>
        <v>0</v>
      </c>
      <c r="AW3115" s="21">
        <f t="shared" si="183"/>
        <v>0</v>
      </c>
      <c r="AX3115" s="21" t="str">
        <f t="shared" si="182"/>
        <v/>
      </c>
      <c r="AY3115" s="21" t="str">
        <f>IF(AND($AM3115&lt;&gt;"",$AS3115&lt;&gt;"✓"),SUMPRODUCT(($AM$11:$AM3115&lt;&gt;"")*($AS$11:$AS3115&lt;&gt;"✓")),"")</f>
        <v/>
      </c>
      <c r="AZ3115" s="21" t="str">
        <f>IF(AND($AM3115&lt;&gt;"",$AS3115="✓"),SUMPRODUCT(($AM$11:$AM3115&lt;&gt;"")*($AS$11:$AS3115="✓")),"")</f>
        <v/>
      </c>
      <c r="BA3115" s="21" t="str">
        <f>IF($AL3115="","",$AL3115&amp;"|"&amp;COUNTIF($AL$11:$AL3115,$AL3115))</f>
        <v/>
      </c>
    </row>
    <row r="3116" spans="38:53" ht="15" customHeight="1" x14ac:dyDescent="0.25">
      <c r="AL3116" s="31"/>
      <c r="AM3116" s="26"/>
      <c r="AN3116" s="32"/>
      <c r="AO3116" s="32"/>
      <c r="AP3116" s="24"/>
      <c r="AQ3116" s="24"/>
      <c r="AR3116" s="33"/>
      <c r="AS3116" s="34"/>
      <c r="AT3116" s="33"/>
      <c r="AV3116" s="21">
        <f>IF(AND($AL3116&lt;&gt;"",COUNTIF($AL$11:$AL3116,$AL3116)=1),1,0)</f>
        <v>0</v>
      </c>
      <c r="AW3116" s="21">
        <f t="shared" si="183"/>
        <v>0</v>
      </c>
      <c r="AX3116" s="21" t="str">
        <f t="shared" si="182"/>
        <v/>
      </c>
      <c r="AY3116" s="21" t="str">
        <f>IF(AND($AM3116&lt;&gt;"",$AS3116&lt;&gt;"✓"),SUMPRODUCT(($AM$11:$AM3116&lt;&gt;"")*($AS$11:$AS3116&lt;&gt;"✓")),"")</f>
        <v/>
      </c>
      <c r="AZ3116" s="21" t="str">
        <f>IF(AND($AM3116&lt;&gt;"",$AS3116="✓"),SUMPRODUCT(($AM$11:$AM3116&lt;&gt;"")*($AS$11:$AS3116="✓")),"")</f>
        <v/>
      </c>
      <c r="BA3116" s="21" t="str">
        <f>IF($AL3116="","",$AL3116&amp;"|"&amp;COUNTIF($AL$11:$AL3116,$AL3116))</f>
        <v/>
      </c>
    </row>
    <row r="3117" spans="38:53" ht="15" customHeight="1" x14ac:dyDescent="0.25">
      <c r="AL3117" s="17"/>
      <c r="AM3117" s="12"/>
      <c r="AN3117" s="18"/>
      <c r="AO3117" s="18"/>
      <c r="AP3117" s="10"/>
      <c r="AQ3117" s="10"/>
      <c r="AR3117" s="19"/>
      <c r="AS3117" s="20"/>
      <c r="AT3117" s="19"/>
      <c r="AV3117" s="21">
        <f>IF(AND($AL3117&lt;&gt;"",COUNTIF($AL$11:$AL3117,$AL3117)=1),1,0)</f>
        <v>0</v>
      </c>
      <c r="AW3117" s="21">
        <f t="shared" si="183"/>
        <v>0</v>
      </c>
      <c r="AX3117" s="21" t="str">
        <f t="shared" si="182"/>
        <v/>
      </c>
      <c r="AY3117" s="21" t="str">
        <f>IF(AND($AM3117&lt;&gt;"",$AS3117&lt;&gt;"✓"),SUMPRODUCT(($AM$11:$AM3117&lt;&gt;"")*($AS$11:$AS3117&lt;&gt;"✓")),"")</f>
        <v/>
      </c>
      <c r="AZ3117" s="21" t="str">
        <f>IF(AND($AM3117&lt;&gt;"",$AS3117="✓"),SUMPRODUCT(($AM$11:$AM3117&lt;&gt;"")*($AS$11:$AS3117="✓")),"")</f>
        <v/>
      </c>
      <c r="BA3117" s="21" t="str">
        <f>IF($AL3117="","",$AL3117&amp;"|"&amp;COUNTIF($AL$11:$AL3117,$AL3117))</f>
        <v/>
      </c>
    </row>
    <row r="3118" spans="38:53" ht="15" customHeight="1" x14ac:dyDescent="0.25">
      <c r="AL3118" s="31"/>
      <c r="AM3118" s="26"/>
      <c r="AN3118" s="32"/>
      <c r="AO3118" s="32"/>
      <c r="AP3118" s="24"/>
      <c r="AQ3118" s="24"/>
      <c r="AR3118" s="33"/>
      <c r="AS3118" s="34"/>
      <c r="AT3118" s="33"/>
      <c r="AV3118" s="21">
        <f>IF(AND($AL3118&lt;&gt;"",COUNTIF($AL$11:$AL3118,$AL3118)=1),1,0)</f>
        <v>0</v>
      </c>
      <c r="AW3118" s="21">
        <f t="shared" si="183"/>
        <v>0</v>
      </c>
      <c r="AX3118" s="21" t="str">
        <f t="shared" si="182"/>
        <v/>
      </c>
      <c r="AY3118" s="21" t="str">
        <f>IF(AND($AM3118&lt;&gt;"",$AS3118&lt;&gt;"✓"),SUMPRODUCT(($AM$11:$AM3118&lt;&gt;"")*($AS$11:$AS3118&lt;&gt;"✓")),"")</f>
        <v/>
      </c>
      <c r="AZ3118" s="21" t="str">
        <f>IF(AND($AM3118&lt;&gt;"",$AS3118="✓"),SUMPRODUCT(($AM$11:$AM3118&lt;&gt;"")*($AS$11:$AS3118="✓")),"")</f>
        <v/>
      </c>
      <c r="BA3118" s="21" t="str">
        <f>IF($AL3118="","",$AL3118&amp;"|"&amp;COUNTIF($AL$11:$AL3118,$AL3118))</f>
        <v/>
      </c>
    </row>
    <row r="3119" spans="38:53" ht="15" customHeight="1" x14ac:dyDescent="0.25">
      <c r="AL3119" s="17"/>
      <c r="AM3119" s="12"/>
      <c r="AN3119" s="18"/>
      <c r="AO3119" s="18"/>
      <c r="AP3119" s="10"/>
      <c r="AQ3119" s="10"/>
      <c r="AR3119" s="19"/>
      <c r="AS3119" s="20"/>
      <c r="AT3119" s="19"/>
      <c r="AV3119" s="21">
        <f>IF(AND($AL3119&lt;&gt;"",COUNTIF($AL$11:$AL3119,$AL3119)=1),1,0)</f>
        <v>0</v>
      </c>
      <c r="AW3119" s="21">
        <f t="shared" si="183"/>
        <v>0</v>
      </c>
      <c r="AX3119" s="21" t="str">
        <f t="shared" si="182"/>
        <v/>
      </c>
      <c r="AY3119" s="21" t="str">
        <f>IF(AND($AM3119&lt;&gt;"",$AS3119&lt;&gt;"✓"),SUMPRODUCT(($AM$11:$AM3119&lt;&gt;"")*($AS$11:$AS3119&lt;&gt;"✓")),"")</f>
        <v/>
      </c>
      <c r="AZ3119" s="21" t="str">
        <f>IF(AND($AM3119&lt;&gt;"",$AS3119="✓"),SUMPRODUCT(($AM$11:$AM3119&lt;&gt;"")*($AS$11:$AS3119="✓")),"")</f>
        <v/>
      </c>
      <c r="BA3119" s="21" t="str">
        <f>IF($AL3119="","",$AL3119&amp;"|"&amp;COUNTIF($AL$11:$AL3119,$AL3119))</f>
        <v/>
      </c>
    </row>
    <row r="3120" spans="38:53" ht="15" customHeight="1" x14ac:dyDescent="0.25">
      <c r="AL3120" s="31"/>
      <c r="AM3120" s="26"/>
      <c r="AN3120" s="32"/>
      <c r="AO3120" s="32"/>
      <c r="AP3120" s="24"/>
      <c r="AQ3120" s="24"/>
      <c r="AR3120" s="33"/>
      <c r="AS3120" s="34"/>
      <c r="AT3120" s="33"/>
      <c r="AV3120" s="21">
        <f>IF(AND($AL3120&lt;&gt;"",COUNTIF($AL$11:$AL3120,$AL3120)=1),1,0)</f>
        <v>0</v>
      </c>
      <c r="AW3120" s="21">
        <f t="shared" si="183"/>
        <v>0</v>
      </c>
      <c r="AX3120" s="21" t="str">
        <f t="shared" si="182"/>
        <v/>
      </c>
      <c r="AY3120" s="21" t="str">
        <f>IF(AND($AM3120&lt;&gt;"",$AS3120&lt;&gt;"✓"),SUMPRODUCT(($AM$11:$AM3120&lt;&gt;"")*($AS$11:$AS3120&lt;&gt;"✓")),"")</f>
        <v/>
      </c>
      <c r="AZ3120" s="21" t="str">
        <f>IF(AND($AM3120&lt;&gt;"",$AS3120="✓"),SUMPRODUCT(($AM$11:$AM3120&lt;&gt;"")*($AS$11:$AS3120="✓")),"")</f>
        <v/>
      </c>
      <c r="BA3120" s="21" t="str">
        <f>IF($AL3120="","",$AL3120&amp;"|"&amp;COUNTIF($AL$11:$AL3120,$AL3120))</f>
        <v/>
      </c>
    </row>
    <row r="3121" spans="38:53" ht="15" customHeight="1" x14ac:dyDescent="0.25">
      <c r="AL3121" s="17"/>
      <c r="AM3121" s="12"/>
      <c r="AN3121" s="18"/>
      <c r="AO3121" s="18"/>
      <c r="AP3121" s="10"/>
      <c r="AQ3121" s="10"/>
      <c r="AR3121" s="19"/>
      <c r="AS3121" s="20"/>
      <c r="AT3121" s="19"/>
      <c r="AV3121" s="21">
        <f>IF(AND($AL3121&lt;&gt;"",COUNTIF($AL$11:$AL3121,$AL3121)=1),1,0)</f>
        <v>0</v>
      </c>
      <c r="AW3121" s="21">
        <f t="shared" si="183"/>
        <v>0</v>
      </c>
      <c r="AX3121" s="21" t="str">
        <f t="shared" si="182"/>
        <v/>
      </c>
      <c r="AY3121" s="21" t="str">
        <f>IF(AND($AM3121&lt;&gt;"",$AS3121&lt;&gt;"✓"),SUMPRODUCT(($AM$11:$AM3121&lt;&gt;"")*($AS$11:$AS3121&lt;&gt;"✓")),"")</f>
        <v/>
      </c>
      <c r="AZ3121" s="21" t="str">
        <f>IF(AND($AM3121&lt;&gt;"",$AS3121="✓"),SUMPRODUCT(($AM$11:$AM3121&lt;&gt;"")*($AS$11:$AS3121="✓")),"")</f>
        <v/>
      </c>
      <c r="BA3121" s="21" t="str">
        <f>IF($AL3121="","",$AL3121&amp;"|"&amp;COUNTIF($AL$11:$AL3121,$AL3121))</f>
        <v/>
      </c>
    </row>
    <row r="3122" spans="38:53" ht="15" customHeight="1" x14ac:dyDescent="0.25">
      <c r="AL3122" s="31"/>
      <c r="AM3122" s="26"/>
      <c r="AN3122" s="32"/>
      <c r="AO3122" s="32"/>
      <c r="AP3122" s="24"/>
      <c r="AQ3122" s="24"/>
      <c r="AR3122" s="33"/>
      <c r="AS3122" s="34"/>
      <c r="AT3122" s="33"/>
      <c r="AV3122" s="21">
        <f>IF(AND($AL3122&lt;&gt;"",COUNTIF($AL$11:$AL3122,$AL3122)=1),1,0)</f>
        <v>0</v>
      </c>
      <c r="AW3122" s="21">
        <f t="shared" si="183"/>
        <v>0</v>
      </c>
      <c r="AX3122" s="21" t="str">
        <f t="shared" si="182"/>
        <v/>
      </c>
      <c r="AY3122" s="21" t="str">
        <f>IF(AND($AM3122&lt;&gt;"",$AS3122&lt;&gt;"✓"),SUMPRODUCT(($AM$11:$AM3122&lt;&gt;"")*($AS$11:$AS3122&lt;&gt;"✓")),"")</f>
        <v/>
      </c>
      <c r="AZ3122" s="21" t="str">
        <f>IF(AND($AM3122&lt;&gt;"",$AS3122="✓"),SUMPRODUCT(($AM$11:$AM3122&lt;&gt;"")*($AS$11:$AS3122="✓")),"")</f>
        <v/>
      </c>
      <c r="BA3122" s="21" t="str">
        <f>IF($AL3122="","",$AL3122&amp;"|"&amp;COUNTIF($AL$11:$AL3122,$AL3122))</f>
        <v/>
      </c>
    </row>
    <row r="3123" spans="38:53" ht="15" customHeight="1" x14ac:dyDescent="0.25">
      <c r="AL3123" s="17"/>
      <c r="AM3123" s="12"/>
      <c r="AN3123" s="18"/>
      <c r="AO3123" s="18"/>
      <c r="AP3123" s="10"/>
      <c r="AQ3123" s="10"/>
      <c r="AR3123" s="19"/>
      <c r="AS3123" s="20"/>
      <c r="AT3123" s="19"/>
      <c r="AV3123" s="21">
        <f>IF(AND($AL3123&lt;&gt;"",COUNTIF($AL$11:$AL3123,$AL3123)=1),1,0)</f>
        <v>0</v>
      </c>
      <c r="AW3123" s="21">
        <f t="shared" si="183"/>
        <v>0</v>
      </c>
      <c r="AX3123" s="21" t="str">
        <f t="shared" si="182"/>
        <v/>
      </c>
      <c r="AY3123" s="21" t="str">
        <f>IF(AND($AM3123&lt;&gt;"",$AS3123&lt;&gt;"✓"),SUMPRODUCT(($AM$11:$AM3123&lt;&gt;"")*($AS$11:$AS3123&lt;&gt;"✓")),"")</f>
        <v/>
      </c>
      <c r="AZ3123" s="21" t="str">
        <f>IF(AND($AM3123&lt;&gt;"",$AS3123="✓"),SUMPRODUCT(($AM$11:$AM3123&lt;&gt;"")*($AS$11:$AS3123="✓")),"")</f>
        <v/>
      </c>
      <c r="BA3123" s="21" t="str">
        <f>IF($AL3123="","",$AL3123&amp;"|"&amp;COUNTIF($AL$11:$AL3123,$AL3123))</f>
        <v/>
      </c>
    </row>
    <row r="3124" spans="38:53" ht="15" customHeight="1" x14ac:dyDescent="0.25">
      <c r="AL3124" s="31"/>
      <c r="AM3124" s="26"/>
      <c r="AN3124" s="32"/>
      <c r="AO3124" s="32"/>
      <c r="AP3124" s="24"/>
      <c r="AQ3124" s="24"/>
      <c r="AR3124" s="33"/>
      <c r="AS3124" s="34"/>
      <c r="AT3124" s="33"/>
      <c r="AV3124" s="21">
        <f>IF(AND($AL3124&lt;&gt;"",COUNTIF($AL$11:$AL3124,$AL3124)=1),1,0)</f>
        <v>0</v>
      </c>
      <c r="AW3124" s="21">
        <f t="shared" si="183"/>
        <v>0</v>
      </c>
      <c r="AX3124" s="21" t="str">
        <f t="shared" si="182"/>
        <v/>
      </c>
      <c r="AY3124" s="21" t="str">
        <f>IF(AND($AM3124&lt;&gt;"",$AS3124&lt;&gt;"✓"),SUMPRODUCT(($AM$11:$AM3124&lt;&gt;"")*($AS$11:$AS3124&lt;&gt;"✓")),"")</f>
        <v/>
      </c>
      <c r="AZ3124" s="21" t="str">
        <f>IF(AND($AM3124&lt;&gt;"",$AS3124="✓"),SUMPRODUCT(($AM$11:$AM3124&lt;&gt;"")*($AS$11:$AS3124="✓")),"")</f>
        <v/>
      </c>
      <c r="BA3124" s="21" t="str">
        <f>IF($AL3124="","",$AL3124&amp;"|"&amp;COUNTIF($AL$11:$AL3124,$AL3124))</f>
        <v/>
      </c>
    </row>
    <row r="3125" spans="38:53" ht="15" customHeight="1" x14ac:dyDescent="0.25">
      <c r="AL3125" s="17"/>
      <c r="AM3125" s="12"/>
      <c r="AN3125" s="18"/>
      <c r="AO3125" s="18"/>
      <c r="AP3125" s="10"/>
      <c r="AQ3125" s="10"/>
      <c r="AR3125" s="19"/>
      <c r="AS3125" s="20"/>
      <c r="AT3125" s="19"/>
      <c r="AV3125" s="21">
        <f>IF(AND($AL3125&lt;&gt;"",COUNTIF($AL$11:$AL3125,$AL3125)=1),1,0)</f>
        <v>0</v>
      </c>
      <c r="AW3125" s="21">
        <f t="shared" si="183"/>
        <v>0</v>
      </c>
      <c r="AX3125" s="21" t="str">
        <f t="shared" si="182"/>
        <v/>
      </c>
      <c r="AY3125" s="21" t="str">
        <f>IF(AND($AM3125&lt;&gt;"",$AS3125&lt;&gt;"✓"),SUMPRODUCT(($AM$11:$AM3125&lt;&gt;"")*($AS$11:$AS3125&lt;&gt;"✓")),"")</f>
        <v/>
      </c>
      <c r="AZ3125" s="21" t="str">
        <f>IF(AND($AM3125&lt;&gt;"",$AS3125="✓"),SUMPRODUCT(($AM$11:$AM3125&lt;&gt;"")*($AS$11:$AS3125="✓")),"")</f>
        <v/>
      </c>
      <c r="BA3125" s="21" t="str">
        <f>IF($AL3125="","",$AL3125&amp;"|"&amp;COUNTIF($AL$11:$AL3125,$AL3125))</f>
        <v/>
      </c>
    </row>
    <row r="3126" spans="38:53" ht="15" customHeight="1" x14ac:dyDescent="0.25">
      <c r="AL3126" s="31"/>
      <c r="AM3126" s="26"/>
      <c r="AN3126" s="32"/>
      <c r="AO3126" s="32"/>
      <c r="AP3126" s="24"/>
      <c r="AQ3126" s="24"/>
      <c r="AR3126" s="33"/>
      <c r="AS3126" s="34"/>
      <c r="AT3126" s="33"/>
      <c r="AV3126" s="21">
        <f>IF(AND($AL3126&lt;&gt;"",COUNTIF($AL$11:$AL3126,$AL3126)=1),1,0)</f>
        <v>0</v>
      </c>
      <c r="AW3126" s="21">
        <f t="shared" si="183"/>
        <v>0</v>
      </c>
      <c r="AX3126" s="21" t="str">
        <f t="shared" si="182"/>
        <v/>
      </c>
      <c r="AY3126" s="21" t="str">
        <f>IF(AND($AM3126&lt;&gt;"",$AS3126&lt;&gt;"✓"),SUMPRODUCT(($AM$11:$AM3126&lt;&gt;"")*($AS$11:$AS3126&lt;&gt;"✓")),"")</f>
        <v/>
      </c>
      <c r="AZ3126" s="21" t="str">
        <f>IF(AND($AM3126&lt;&gt;"",$AS3126="✓"),SUMPRODUCT(($AM$11:$AM3126&lt;&gt;"")*($AS$11:$AS3126="✓")),"")</f>
        <v/>
      </c>
      <c r="BA3126" s="21" t="str">
        <f>IF($AL3126="","",$AL3126&amp;"|"&amp;COUNTIF($AL$11:$AL3126,$AL3126))</f>
        <v/>
      </c>
    </row>
    <row r="3127" spans="38:53" ht="15" customHeight="1" x14ac:dyDescent="0.25">
      <c r="AL3127" s="17"/>
      <c r="AM3127" s="12"/>
      <c r="AN3127" s="18"/>
      <c r="AO3127" s="18"/>
      <c r="AP3127" s="10"/>
      <c r="AQ3127" s="10"/>
      <c r="AR3127" s="19"/>
      <c r="AS3127" s="20"/>
      <c r="AT3127" s="19"/>
      <c r="AV3127" s="21">
        <f>IF(AND($AL3127&lt;&gt;"",COUNTIF($AL$11:$AL3127,$AL3127)=1),1,0)</f>
        <v>0</v>
      </c>
      <c r="AW3127" s="21">
        <f t="shared" si="183"/>
        <v>0</v>
      </c>
      <c r="AX3127" s="21" t="str">
        <f t="shared" si="182"/>
        <v/>
      </c>
      <c r="AY3127" s="21" t="str">
        <f>IF(AND($AM3127&lt;&gt;"",$AS3127&lt;&gt;"✓"),SUMPRODUCT(($AM$11:$AM3127&lt;&gt;"")*($AS$11:$AS3127&lt;&gt;"✓")),"")</f>
        <v/>
      </c>
      <c r="AZ3127" s="21" t="str">
        <f>IF(AND($AM3127&lt;&gt;"",$AS3127="✓"),SUMPRODUCT(($AM$11:$AM3127&lt;&gt;"")*($AS$11:$AS3127="✓")),"")</f>
        <v/>
      </c>
      <c r="BA3127" s="21" t="str">
        <f>IF($AL3127="","",$AL3127&amp;"|"&amp;COUNTIF($AL$11:$AL3127,$AL3127))</f>
        <v/>
      </c>
    </row>
    <row r="3128" spans="38:53" ht="15" customHeight="1" x14ac:dyDescent="0.25">
      <c r="AL3128" s="31"/>
      <c r="AM3128" s="26"/>
      <c r="AN3128" s="32"/>
      <c r="AO3128" s="32"/>
      <c r="AP3128" s="24"/>
      <c r="AQ3128" s="24"/>
      <c r="AR3128" s="33"/>
      <c r="AS3128" s="34"/>
      <c r="AT3128" s="33"/>
      <c r="AV3128" s="21">
        <f>IF(AND($AL3128&lt;&gt;"",COUNTIF($AL$11:$AL3128,$AL3128)=1),1,0)</f>
        <v>0</v>
      </c>
      <c r="AW3128" s="21">
        <f t="shared" si="183"/>
        <v>0</v>
      </c>
      <c r="AX3128" s="21" t="str">
        <f t="shared" si="182"/>
        <v/>
      </c>
      <c r="AY3128" s="21" t="str">
        <f>IF(AND($AM3128&lt;&gt;"",$AS3128&lt;&gt;"✓"),SUMPRODUCT(($AM$11:$AM3128&lt;&gt;"")*($AS$11:$AS3128&lt;&gt;"✓")),"")</f>
        <v/>
      </c>
      <c r="AZ3128" s="21" t="str">
        <f>IF(AND($AM3128&lt;&gt;"",$AS3128="✓"),SUMPRODUCT(($AM$11:$AM3128&lt;&gt;"")*($AS$11:$AS3128="✓")),"")</f>
        <v/>
      </c>
      <c r="BA3128" s="21" t="str">
        <f>IF($AL3128="","",$AL3128&amp;"|"&amp;COUNTIF($AL$11:$AL3128,$AL3128))</f>
        <v/>
      </c>
    </row>
    <row r="3129" spans="38:53" ht="15" customHeight="1" x14ac:dyDescent="0.25">
      <c r="AL3129" s="17"/>
      <c r="AM3129" s="12"/>
      <c r="AN3129" s="18"/>
      <c r="AO3129" s="18"/>
      <c r="AP3129" s="10"/>
      <c r="AQ3129" s="10"/>
      <c r="AR3129" s="19"/>
      <c r="AS3129" s="20"/>
      <c r="AT3129" s="19"/>
      <c r="AV3129" s="21">
        <f>IF(AND($AL3129&lt;&gt;"",COUNTIF($AL$11:$AL3129,$AL3129)=1),1,0)</f>
        <v>0</v>
      </c>
      <c r="AW3129" s="21">
        <f t="shared" si="183"/>
        <v>0</v>
      </c>
      <c r="AX3129" s="21" t="str">
        <f t="shared" si="182"/>
        <v/>
      </c>
      <c r="AY3129" s="21" t="str">
        <f>IF(AND($AM3129&lt;&gt;"",$AS3129&lt;&gt;"✓"),SUMPRODUCT(($AM$11:$AM3129&lt;&gt;"")*($AS$11:$AS3129&lt;&gt;"✓")),"")</f>
        <v/>
      </c>
      <c r="AZ3129" s="21" t="str">
        <f>IF(AND($AM3129&lt;&gt;"",$AS3129="✓"),SUMPRODUCT(($AM$11:$AM3129&lt;&gt;"")*($AS$11:$AS3129="✓")),"")</f>
        <v/>
      </c>
      <c r="BA3129" s="21" t="str">
        <f>IF($AL3129="","",$AL3129&amp;"|"&amp;COUNTIF($AL$11:$AL3129,$AL3129))</f>
        <v/>
      </c>
    </row>
    <row r="3130" spans="38:53" ht="15" customHeight="1" x14ac:dyDescent="0.25">
      <c r="AL3130" s="31"/>
      <c r="AM3130" s="26"/>
      <c r="AN3130" s="32"/>
      <c r="AO3130" s="32"/>
      <c r="AP3130" s="24"/>
      <c r="AQ3130" s="24"/>
      <c r="AR3130" s="33"/>
      <c r="AS3130" s="34"/>
      <c r="AT3130" s="33"/>
      <c r="AV3130" s="21">
        <f>IF(AND($AL3130&lt;&gt;"",COUNTIF($AL$11:$AL3130,$AL3130)=1),1,0)</f>
        <v>0</v>
      </c>
      <c r="AW3130" s="21">
        <f t="shared" si="183"/>
        <v>0</v>
      </c>
      <c r="AX3130" s="21" t="str">
        <f t="shared" si="182"/>
        <v/>
      </c>
      <c r="AY3130" s="21" t="str">
        <f>IF(AND($AM3130&lt;&gt;"",$AS3130&lt;&gt;"✓"),SUMPRODUCT(($AM$11:$AM3130&lt;&gt;"")*($AS$11:$AS3130&lt;&gt;"✓")),"")</f>
        <v/>
      </c>
      <c r="AZ3130" s="21" t="str">
        <f>IF(AND($AM3130&lt;&gt;"",$AS3130="✓"),SUMPRODUCT(($AM$11:$AM3130&lt;&gt;"")*($AS$11:$AS3130="✓")),"")</f>
        <v/>
      </c>
      <c r="BA3130" s="21" t="str">
        <f>IF($AL3130="","",$AL3130&amp;"|"&amp;COUNTIF($AL$11:$AL3130,$AL3130))</f>
        <v/>
      </c>
    </row>
    <row r="3131" spans="38:53" ht="15" customHeight="1" x14ac:dyDescent="0.25">
      <c r="AL3131" s="17"/>
      <c r="AM3131" s="12"/>
      <c r="AN3131" s="18"/>
      <c r="AO3131" s="18"/>
      <c r="AP3131" s="10"/>
      <c r="AQ3131" s="10"/>
      <c r="AR3131" s="19"/>
      <c r="AS3131" s="20"/>
      <c r="AT3131" s="19"/>
      <c r="AV3131" s="21">
        <f>IF(AND($AL3131&lt;&gt;"",COUNTIF($AL$11:$AL3131,$AL3131)=1),1,0)</f>
        <v>0</v>
      </c>
      <c r="AW3131" s="21">
        <f t="shared" si="183"/>
        <v>0</v>
      </c>
      <c r="AX3131" s="21" t="str">
        <f t="shared" si="182"/>
        <v/>
      </c>
      <c r="AY3131" s="21" t="str">
        <f>IF(AND($AM3131&lt;&gt;"",$AS3131&lt;&gt;"✓"),SUMPRODUCT(($AM$11:$AM3131&lt;&gt;"")*($AS$11:$AS3131&lt;&gt;"✓")),"")</f>
        <v/>
      </c>
      <c r="AZ3131" s="21" t="str">
        <f>IF(AND($AM3131&lt;&gt;"",$AS3131="✓"),SUMPRODUCT(($AM$11:$AM3131&lt;&gt;"")*($AS$11:$AS3131="✓")),"")</f>
        <v/>
      </c>
      <c r="BA3131" s="21" t="str">
        <f>IF($AL3131="","",$AL3131&amp;"|"&amp;COUNTIF($AL$11:$AL3131,$AL3131))</f>
        <v/>
      </c>
    </row>
    <row r="3132" spans="38:53" ht="15" customHeight="1" x14ac:dyDescent="0.25">
      <c r="AL3132" s="31"/>
      <c r="AM3132" s="26"/>
      <c r="AN3132" s="32"/>
      <c r="AO3132" s="32"/>
      <c r="AP3132" s="24"/>
      <c r="AQ3132" s="24"/>
      <c r="AR3132" s="33"/>
      <c r="AS3132" s="34"/>
      <c r="AT3132" s="33"/>
      <c r="AV3132" s="21">
        <f>IF(AND($AL3132&lt;&gt;"",COUNTIF($AL$11:$AL3132,$AL3132)=1),1,0)</f>
        <v>0</v>
      </c>
      <c r="AW3132" s="21">
        <f t="shared" si="183"/>
        <v>0</v>
      </c>
      <c r="AX3132" s="21" t="str">
        <f t="shared" si="182"/>
        <v/>
      </c>
      <c r="AY3132" s="21" t="str">
        <f>IF(AND($AM3132&lt;&gt;"",$AS3132&lt;&gt;"✓"),SUMPRODUCT(($AM$11:$AM3132&lt;&gt;"")*($AS$11:$AS3132&lt;&gt;"✓")),"")</f>
        <v/>
      </c>
      <c r="AZ3132" s="21" t="str">
        <f>IF(AND($AM3132&lt;&gt;"",$AS3132="✓"),SUMPRODUCT(($AM$11:$AM3132&lt;&gt;"")*($AS$11:$AS3132="✓")),"")</f>
        <v/>
      </c>
      <c r="BA3132" s="21" t="str">
        <f>IF($AL3132="","",$AL3132&amp;"|"&amp;COUNTIF($AL$11:$AL3132,$AL3132))</f>
        <v/>
      </c>
    </row>
    <row r="3133" spans="38:53" ht="15" customHeight="1" x14ac:dyDescent="0.25">
      <c r="AL3133" s="17"/>
      <c r="AM3133" s="12"/>
      <c r="AN3133" s="18"/>
      <c r="AO3133" s="18"/>
      <c r="AP3133" s="10"/>
      <c r="AQ3133" s="10"/>
      <c r="AR3133" s="19"/>
      <c r="AS3133" s="20"/>
      <c r="AT3133" s="19"/>
      <c r="AV3133" s="21">
        <f>IF(AND($AL3133&lt;&gt;"",COUNTIF($AL$11:$AL3133,$AL3133)=1),1,0)</f>
        <v>0</v>
      </c>
      <c r="AW3133" s="21">
        <f t="shared" si="183"/>
        <v>0</v>
      </c>
      <c r="AX3133" s="21" t="str">
        <f t="shared" si="182"/>
        <v/>
      </c>
      <c r="AY3133" s="21" t="str">
        <f>IF(AND($AM3133&lt;&gt;"",$AS3133&lt;&gt;"✓"),SUMPRODUCT(($AM$11:$AM3133&lt;&gt;"")*($AS$11:$AS3133&lt;&gt;"✓")),"")</f>
        <v/>
      </c>
      <c r="AZ3133" s="21" t="str">
        <f>IF(AND($AM3133&lt;&gt;"",$AS3133="✓"),SUMPRODUCT(($AM$11:$AM3133&lt;&gt;"")*($AS$11:$AS3133="✓")),"")</f>
        <v/>
      </c>
      <c r="BA3133" s="21" t="str">
        <f>IF($AL3133="","",$AL3133&amp;"|"&amp;COUNTIF($AL$11:$AL3133,$AL3133))</f>
        <v/>
      </c>
    </row>
    <row r="3134" spans="38:53" ht="15" customHeight="1" x14ac:dyDescent="0.25">
      <c r="AL3134" s="31"/>
      <c r="AM3134" s="26"/>
      <c r="AN3134" s="32"/>
      <c r="AO3134" s="32"/>
      <c r="AP3134" s="24"/>
      <c r="AQ3134" s="24"/>
      <c r="AR3134" s="33"/>
      <c r="AS3134" s="34"/>
      <c r="AT3134" s="33"/>
      <c r="AV3134" s="21">
        <f>IF(AND($AL3134&lt;&gt;"",COUNTIF($AL$11:$AL3134,$AL3134)=1),1,0)</f>
        <v>0</v>
      </c>
      <c r="AW3134" s="21">
        <f t="shared" si="183"/>
        <v>0</v>
      </c>
      <c r="AX3134" s="21" t="str">
        <f t="shared" si="182"/>
        <v/>
      </c>
      <c r="AY3134" s="21" t="str">
        <f>IF(AND($AM3134&lt;&gt;"",$AS3134&lt;&gt;"✓"),SUMPRODUCT(($AM$11:$AM3134&lt;&gt;"")*($AS$11:$AS3134&lt;&gt;"✓")),"")</f>
        <v/>
      </c>
      <c r="AZ3134" s="21" t="str">
        <f>IF(AND($AM3134&lt;&gt;"",$AS3134="✓"),SUMPRODUCT(($AM$11:$AM3134&lt;&gt;"")*($AS$11:$AS3134="✓")),"")</f>
        <v/>
      </c>
      <c r="BA3134" s="21" t="str">
        <f>IF($AL3134="","",$AL3134&amp;"|"&amp;COUNTIF($AL$11:$AL3134,$AL3134))</f>
        <v/>
      </c>
    </row>
    <row r="3135" spans="38:53" ht="15" customHeight="1" x14ac:dyDescent="0.25">
      <c r="AL3135" s="17"/>
      <c r="AM3135" s="12"/>
      <c r="AN3135" s="18"/>
      <c r="AO3135" s="18"/>
      <c r="AP3135" s="10"/>
      <c r="AQ3135" s="10"/>
      <c r="AR3135" s="19"/>
      <c r="AS3135" s="20"/>
      <c r="AT3135" s="19"/>
      <c r="AV3135" s="21">
        <f>IF(AND($AL3135&lt;&gt;"",COUNTIF($AL$11:$AL3135,$AL3135)=1),1,0)</f>
        <v>0</v>
      </c>
      <c r="AW3135" s="21">
        <f t="shared" si="183"/>
        <v>0</v>
      </c>
      <c r="AX3135" s="21" t="str">
        <f t="shared" si="182"/>
        <v/>
      </c>
      <c r="AY3135" s="21" t="str">
        <f>IF(AND($AM3135&lt;&gt;"",$AS3135&lt;&gt;"✓"),SUMPRODUCT(($AM$11:$AM3135&lt;&gt;"")*($AS$11:$AS3135&lt;&gt;"✓")),"")</f>
        <v/>
      </c>
      <c r="AZ3135" s="21" t="str">
        <f>IF(AND($AM3135&lt;&gt;"",$AS3135="✓"),SUMPRODUCT(($AM$11:$AM3135&lt;&gt;"")*($AS$11:$AS3135="✓")),"")</f>
        <v/>
      </c>
      <c r="BA3135" s="21" t="str">
        <f>IF($AL3135="","",$AL3135&amp;"|"&amp;COUNTIF($AL$11:$AL3135,$AL3135))</f>
        <v/>
      </c>
    </row>
    <row r="3136" spans="38:53" ht="15" customHeight="1" x14ac:dyDescent="0.25">
      <c r="AL3136" s="31"/>
      <c r="AM3136" s="26"/>
      <c r="AN3136" s="32"/>
      <c r="AO3136" s="32"/>
      <c r="AP3136" s="24"/>
      <c r="AQ3136" s="24"/>
      <c r="AR3136" s="33"/>
      <c r="AS3136" s="34"/>
      <c r="AT3136" s="33"/>
      <c r="AV3136" s="21">
        <f>IF(AND($AL3136&lt;&gt;"",COUNTIF($AL$11:$AL3136,$AL3136)=1),1,0)</f>
        <v>0</v>
      </c>
      <c r="AW3136" s="21">
        <f t="shared" si="183"/>
        <v>0</v>
      </c>
      <c r="AX3136" s="21" t="str">
        <f t="shared" si="182"/>
        <v/>
      </c>
      <c r="AY3136" s="21" t="str">
        <f>IF(AND($AM3136&lt;&gt;"",$AS3136&lt;&gt;"✓"),SUMPRODUCT(($AM$11:$AM3136&lt;&gt;"")*($AS$11:$AS3136&lt;&gt;"✓")),"")</f>
        <v/>
      </c>
      <c r="AZ3136" s="21" t="str">
        <f>IF(AND($AM3136&lt;&gt;"",$AS3136="✓"),SUMPRODUCT(($AM$11:$AM3136&lt;&gt;"")*($AS$11:$AS3136="✓")),"")</f>
        <v/>
      </c>
      <c r="BA3136" s="21" t="str">
        <f>IF($AL3136="","",$AL3136&amp;"|"&amp;COUNTIF($AL$11:$AL3136,$AL3136))</f>
        <v/>
      </c>
    </row>
    <row r="3137" spans="38:53" ht="15" customHeight="1" x14ac:dyDescent="0.25">
      <c r="AL3137" s="17"/>
      <c r="AM3137" s="12"/>
      <c r="AN3137" s="18"/>
      <c r="AO3137" s="18"/>
      <c r="AP3137" s="10"/>
      <c r="AQ3137" s="10"/>
      <c r="AR3137" s="19"/>
      <c r="AS3137" s="20"/>
      <c r="AT3137" s="19"/>
      <c r="AV3137" s="21">
        <f>IF(AND($AL3137&lt;&gt;"",COUNTIF($AL$11:$AL3137,$AL3137)=1),1,0)</f>
        <v>0</v>
      </c>
      <c r="AW3137" s="21">
        <f t="shared" si="183"/>
        <v>0</v>
      </c>
      <c r="AX3137" s="21" t="str">
        <f t="shared" si="182"/>
        <v/>
      </c>
      <c r="AY3137" s="21" t="str">
        <f>IF(AND($AM3137&lt;&gt;"",$AS3137&lt;&gt;"✓"),SUMPRODUCT(($AM$11:$AM3137&lt;&gt;"")*($AS$11:$AS3137&lt;&gt;"✓")),"")</f>
        <v/>
      </c>
      <c r="AZ3137" s="21" t="str">
        <f>IF(AND($AM3137&lt;&gt;"",$AS3137="✓"),SUMPRODUCT(($AM$11:$AM3137&lt;&gt;"")*($AS$11:$AS3137="✓")),"")</f>
        <v/>
      </c>
      <c r="BA3137" s="21" t="str">
        <f>IF($AL3137="","",$AL3137&amp;"|"&amp;COUNTIF($AL$11:$AL3137,$AL3137))</f>
        <v/>
      </c>
    </row>
    <row r="3138" spans="38:53" ht="15" customHeight="1" x14ac:dyDescent="0.25">
      <c r="AL3138" s="31"/>
      <c r="AM3138" s="26"/>
      <c r="AN3138" s="32"/>
      <c r="AO3138" s="32"/>
      <c r="AP3138" s="24"/>
      <c r="AQ3138" s="24"/>
      <c r="AR3138" s="33"/>
      <c r="AS3138" s="34"/>
      <c r="AT3138" s="33"/>
      <c r="AV3138" s="21">
        <f>IF(AND($AL3138&lt;&gt;"",COUNTIF($AL$11:$AL3138,$AL3138)=1),1,0)</f>
        <v>0</v>
      </c>
      <c r="AW3138" s="21">
        <f t="shared" si="183"/>
        <v>0</v>
      </c>
      <c r="AX3138" s="21" t="str">
        <f t="shared" si="182"/>
        <v/>
      </c>
      <c r="AY3138" s="21" t="str">
        <f>IF(AND($AM3138&lt;&gt;"",$AS3138&lt;&gt;"✓"),SUMPRODUCT(($AM$11:$AM3138&lt;&gt;"")*($AS$11:$AS3138&lt;&gt;"✓")),"")</f>
        <v/>
      </c>
      <c r="AZ3138" s="21" t="str">
        <f>IF(AND($AM3138&lt;&gt;"",$AS3138="✓"),SUMPRODUCT(($AM$11:$AM3138&lt;&gt;"")*($AS$11:$AS3138="✓")),"")</f>
        <v/>
      </c>
      <c r="BA3138" s="21" t="str">
        <f>IF($AL3138="","",$AL3138&amp;"|"&amp;COUNTIF($AL$11:$AL3138,$AL3138))</f>
        <v/>
      </c>
    </row>
    <row r="3139" spans="38:53" ht="15" customHeight="1" x14ac:dyDescent="0.25">
      <c r="AL3139" s="17"/>
      <c r="AM3139" s="12"/>
      <c r="AN3139" s="18"/>
      <c r="AO3139" s="18"/>
      <c r="AP3139" s="10"/>
      <c r="AQ3139" s="10"/>
      <c r="AR3139" s="19"/>
      <c r="AS3139" s="20"/>
      <c r="AT3139" s="19"/>
      <c r="AV3139" s="21">
        <f>IF(AND($AL3139&lt;&gt;"",COUNTIF($AL$11:$AL3139,$AL3139)=1),1,0)</f>
        <v>0</v>
      </c>
      <c r="AW3139" s="21">
        <f t="shared" si="183"/>
        <v>0</v>
      </c>
      <c r="AX3139" s="21" t="str">
        <f t="shared" si="182"/>
        <v/>
      </c>
      <c r="AY3139" s="21" t="str">
        <f>IF(AND($AM3139&lt;&gt;"",$AS3139&lt;&gt;"✓"),SUMPRODUCT(($AM$11:$AM3139&lt;&gt;"")*($AS$11:$AS3139&lt;&gt;"✓")),"")</f>
        <v/>
      </c>
      <c r="AZ3139" s="21" t="str">
        <f>IF(AND($AM3139&lt;&gt;"",$AS3139="✓"),SUMPRODUCT(($AM$11:$AM3139&lt;&gt;"")*($AS$11:$AS3139="✓")),"")</f>
        <v/>
      </c>
      <c r="BA3139" s="21" t="str">
        <f>IF($AL3139="","",$AL3139&amp;"|"&amp;COUNTIF($AL$11:$AL3139,$AL3139))</f>
        <v/>
      </c>
    </row>
    <row r="3140" spans="38:53" ht="15" customHeight="1" x14ac:dyDescent="0.25">
      <c r="AL3140" s="31"/>
      <c r="AM3140" s="26"/>
      <c r="AN3140" s="32"/>
      <c r="AO3140" s="32"/>
      <c r="AP3140" s="24"/>
      <c r="AQ3140" s="24"/>
      <c r="AR3140" s="33"/>
      <c r="AS3140" s="34"/>
      <c r="AT3140" s="33"/>
      <c r="AV3140" s="21">
        <f>IF(AND($AL3140&lt;&gt;"",COUNTIF($AL$11:$AL3140,$AL3140)=1),1,0)</f>
        <v>0</v>
      </c>
      <c r="AW3140" s="21">
        <f t="shared" si="183"/>
        <v>0</v>
      </c>
      <c r="AX3140" s="21" t="str">
        <f t="shared" si="182"/>
        <v/>
      </c>
      <c r="AY3140" s="21" t="str">
        <f>IF(AND($AM3140&lt;&gt;"",$AS3140&lt;&gt;"✓"),SUMPRODUCT(($AM$11:$AM3140&lt;&gt;"")*($AS$11:$AS3140&lt;&gt;"✓")),"")</f>
        <v/>
      </c>
      <c r="AZ3140" s="21" t="str">
        <f>IF(AND($AM3140&lt;&gt;"",$AS3140="✓"),SUMPRODUCT(($AM$11:$AM3140&lt;&gt;"")*($AS$11:$AS3140="✓")),"")</f>
        <v/>
      </c>
      <c r="BA3140" s="21" t="str">
        <f>IF($AL3140="","",$AL3140&amp;"|"&amp;COUNTIF($AL$11:$AL3140,$AL3140))</f>
        <v/>
      </c>
    </row>
    <row r="3141" spans="38:53" ht="15" customHeight="1" x14ac:dyDescent="0.25">
      <c r="AL3141" s="17"/>
      <c r="AM3141" s="12"/>
      <c r="AN3141" s="18"/>
      <c r="AO3141" s="18"/>
      <c r="AP3141" s="10"/>
      <c r="AQ3141" s="10"/>
      <c r="AR3141" s="19"/>
      <c r="AS3141" s="20"/>
      <c r="AT3141" s="19"/>
      <c r="AV3141" s="21">
        <f>IF(AND($AL3141&lt;&gt;"",COUNTIF($AL$11:$AL3141,$AL3141)=1),1,0)</f>
        <v>0</v>
      </c>
      <c r="AW3141" s="21">
        <f t="shared" si="183"/>
        <v>0</v>
      </c>
      <c r="AX3141" s="21" t="str">
        <f t="shared" si="182"/>
        <v/>
      </c>
      <c r="AY3141" s="21" t="str">
        <f>IF(AND($AM3141&lt;&gt;"",$AS3141&lt;&gt;"✓"),SUMPRODUCT(($AM$11:$AM3141&lt;&gt;"")*($AS$11:$AS3141&lt;&gt;"✓")),"")</f>
        <v/>
      </c>
      <c r="AZ3141" s="21" t="str">
        <f>IF(AND($AM3141&lt;&gt;"",$AS3141="✓"),SUMPRODUCT(($AM$11:$AM3141&lt;&gt;"")*($AS$11:$AS3141="✓")),"")</f>
        <v/>
      </c>
      <c r="BA3141" s="21" t="str">
        <f>IF($AL3141="","",$AL3141&amp;"|"&amp;COUNTIF($AL$11:$AL3141,$AL3141))</f>
        <v/>
      </c>
    </row>
    <row r="3142" spans="38:53" ht="15" customHeight="1" x14ac:dyDescent="0.25">
      <c r="AL3142" s="31"/>
      <c r="AM3142" s="26"/>
      <c r="AN3142" s="32"/>
      <c r="AO3142" s="32"/>
      <c r="AP3142" s="24"/>
      <c r="AQ3142" s="24"/>
      <c r="AR3142" s="33"/>
      <c r="AS3142" s="34"/>
      <c r="AT3142" s="33"/>
      <c r="AV3142" s="21">
        <f>IF(AND($AL3142&lt;&gt;"",COUNTIF($AL$11:$AL3142,$AL3142)=1),1,0)</f>
        <v>0</v>
      </c>
      <c r="AW3142" s="21">
        <f t="shared" si="183"/>
        <v>0</v>
      </c>
      <c r="AX3142" s="21" t="str">
        <f t="shared" si="182"/>
        <v/>
      </c>
      <c r="AY3142" s="21" t="str">
        <f>IF(AND($AM3142&lt;&gt;"",$AS3142&lt;&gt;"✓"),SUMPRODUCT(($AM$11:$AM3142&lt;&gt;"")*($AS$11:$AS3142&lt;&gt;"✓")),"")</f>
        <v/>
      </c>
      <c r="AZ3142" s="21" t="str">
        <f>IF(AND($AM3142&lt;&gt;"",$AS3142="✓"),SUMPRODUCT(($AM$11:$AM3142&lt;&gt;"")*($AS$11:$AS3142="✓")),"")</f>
        <v/>
      </c>
      <c r="BA3142" s="21" t="str">
        <f>IF($AL3142="","",$AL3142&amp;"|"&amp;COUNTIF($AL$11:$AL3142,$AL3142))</f>
        <v/>
      </c>
    </row>
    <row r="3143" spans="38:53" ht="15" customHeight="1" x14ac:dyDescent="0.25">
      <c r="AL3143" s="17"/>
      <c r="AM3143" s="12"/>
      <c r="AN3143" s="18"/>
      <c r="AO3143" s="18"/>
      <c r="AP3143" s="10"/>
      <c r="AQ3143" s="10"/>
      <c r="AR3143" s="19"/>
      <c r="AS3143" s="20"/>
      <c r="AT3143" s="19"/>
      <c r="AV3143" s="21">
        <f>IF(AND($AL3143&lt;&gt;"",COUNTIF($AL$11:$AL3143,$AL3143)=1),1,0)</f>
        <v>0</v>
      </c>
      <c r="AW3143" s="21">
        <f t="shared" si="183"/>
        <v>0</v>
      </c>
      <c r="AX3143" s="21" t="str">
        <f t="shared" si="182"/>
        <v/>
      </c>
      <c r="AY3143" s="21" t="str">
        <f>IF(AND($AM3143&lt;&gt;"",$AS3143&lt;&gt;"✓"),SUMPRODUCT(($AM$11:$AM3143&lt;&gt;"")*($AS$11:$AS3143&lt;&gt;"✓")),"")</f>
        <v/>
      </c>
      <c r="AZ3143" s="21" t="str">
        <f>IF(AND($AM3143&lt;&gt;"",$AS3143="✓"),SUMPRODUCT(($AM$11:$AM3143&lt;&gt;"")*($AS$11:$AS3143="✓")),"")</f>
        <v/>
      </c>
      <c r="BA3143" s="21" t="str">
        <f>IF($AL3143="","",$AL3143&amp;"|"&amp;COUNTIF($AL$11:$AL3143,$AL3143))</f>
        <v/>
      </c>
    </row>
    <row r="3144" spans="38:53" ht="15" customHeight="1" x14ac:dyDescent="0.25">
      <c r="AL3144" s="31"/>
      <c r="AM3144" s="26"/>
      <c r="AN3144" s="32"/>
      <c r="AO3144" s="32"/>
      <c r="AP3144" s="24"/>
      <c r="AQ3144" s="24"/>
      <c r="AR3144" s="33"/>
      <c r="AS3144" s="34"/>
      <c r="AT3144" s="33"/>
      <c r="AV3144" s="21">
        <f>IF(AND($AL3144&lt;&gt;"",COUNTIF($AL$11:$AL3144,$AL3144)=1),1,0)</f>
        <v>0</v>
      </c>
      <c r="AW3144" s="21">
        <f t="shared" si="183"/>
        <v>0</v>
      </c>
      <c r="AX3144" s="21" t="str">
        <f t="shared" si="182"/>
        <v/>
      </c>
      <c r="AY3144" s="21" t="str">
        <f>IF(AND($AM3144&lt;&gt;"",$AS3144&lt;&gt;"✓"),SUMPRODUCT(($AM$11:$AM3144&lt;&gt;"")*($AS$11:$AS3144&lt;&gt;"✓")),"")</f>
        <v/>
      </c>
      <c r="AZ3144" s="21" t="str">
        <f>IF(AND($AM3144&lt;&gt;"",$AS3144="✓"),SUMPRODUCT(($AM$11:$AM3144&lt;&gt;"")*($AS$11:$AS3144="✓")),"")</f>
        <v/>
      </c>
      <c r="BA3144" s="21" t="str">
        <f>IF($AL3144="","",$AL3144&amp;"|"&amp;COUNTIF($AL$11:$AL3144,$AL3144))</f>
        <v/>
      </c>
    </row>
    <row r="3145" spans="38:53" ht="15" customHeight="1" x14ac:dyDescent="0.25">
      <c r="AL3145" s="17"/>
      <c r="AM3145" s="12"/>
      <c r="AN3145" s="18"/>
      <c r="AO3145" s="18"/>
      <c r="AP3145" s="10"/>
      <c r="AQ3145" s="10"/>
      <c r="AR3145" s="19"/>
      <c r="AS3145" s="20"/>
      <c r="AT3145" s="19"/>
      <c r="AV3145" s="21">
        <f>IF(AND($AL3145&lt;&gt;"",COUNTIF($AL$11:$AL3145,$AL3145)=1),1,0)</f>
        <v>0</v>
      </c>
      <c r="AW3145" s="21">
        <f t="shared" si="183"/>
        <v>0</v>
      </c>
      <c r="AX3145" s="21" t="str">
        <f t="shared" si="182"/>
        <v/>
      </c>
      <c r="AY3145" s="21" t="str">
        <f>IF(AND($AM3145&lt;&gt;"",$AS3145&lt;&gt;"✓"),SUMPRODUCT(($AM$11:$AM3145&lt;&gt;"")*($AS$11:$AS3145&lt;&gt;"✓")),"")</f>
        <v/>
      </c>
      <c r="AZ3145" s="21" t="str">
        <f>IF(AND($AM3145&lt;&gt;"",$AS3145="✓"),SUMPRODUCT(($AM$11:$AM3145&lt;&gt;"")*($AS$11:$AS3145="✓")),"")</f>
        <v/>
      </c>
      <c r="BA3145" s="21" t="str">
        <f>IF($AL3145="","",$AL3145&amp;"|"&amp;COUNTIF($AL$11:$AL3145,$AL3145))</f>
        <v/>
      </c>
    </row>
    <row r="3146" spans="38:53" ht="15" customHeight="1" x14ac:dyDescent="0.25">
      <c r="AL3146" s="31"/>
      <c r="AM3146" s="26"/>
      <c r="AN3146" s="32"/>
      <c r="AO3146" s="32"/>
      <c r="AP3146" s="24"/>
      <c r="AQ3146" s="24"/>
      <c r="AR3146" s="33"/>
      <c r="AS3146" s="34"/>
      <c r="AT3146" s="33"/>
      <c r="AV3146" s="21">
        <f>IF(AND($AL3146&lt;&gt;"",COUNTIF($AL$11:$AL3146,$AL3146)=1),1,0)</f>
        <v>0</v>
      </c>
      <c r="AW3146" s="21">
        <f t="shared" si="183"/>
        <v>0</v>
      </c>
      <c r="AX3146" s="21" t="str">
        <f t="shared" si="182"/>
        <v/>
      </c>
      <c r="AY3146" s="21" t="str">
        <f>IF(AND($AM3146&lt;&gt;"",$AS3146&lt;&gt;"✓"),SUMPRODUCT(($AM$11:$AM3146&lt;&gt;"")*($AS$11:$AS3146&lt;&gt;"✓")),"")</f>
        <v/>
      </c>
      <c r="AZ3146" s="21" t="str">
        <f>IF(AND($AM3146&lt;&gt;"",$AS3146="✓"),SUMPRODUCT(($AM$11:$AM3146&lt;&gt;"")*($AS$11:$AS3146="✓")),"")</f>
        <v/>
      </c>
      <c r="BA3146" s="21" t="str">
        <f>IF($AL3146="","",$AL3146&amp;"|"&amp;COUNTIF($AL$11:$AL3146,$AL3146))</f>
        <v/>
      </c>
    </row>
    <row r="3147" spans="38:53" ht="15" customHeight="1" x14ac:dyDescent="0.25">
      <c r="AL3147" s="17"/>
      <c r="AM3147" s="12"/>
      <c r="AN3147" s="18"/>
      <c r="AO3147" s="18"/>
      <c r="AP3147" s="10"/>
      <c r="AQ3147" s="10"/>
      <c r="AR3147" s="19"/>
      <c r="AS3147" s="20"/>
      <c r="AT3147" s="19"/>
      <c r="AV3147" s="21">
        <f>IF(AND($AL3147&lt;&gt;"",COUNTIF($AL$11:$AL3147,$AL3147)=1),1,0)</f>
        <v>0</v>
      </c>
      <c r="AW3147" s="21">
        <f t="shared" si="183"/>
        <v>0</v>
      </c>
      <c r="AX3147" s="21" t="str">
        <f t="shared" ref="AX3147:AX3210" si="184">IF(AV3147=1,AW3147,"")</f>
        <v/>
      </c>
      <c r="AY3147" s="21" t="str">
        <f>IF(AND($AM3147&lt;&gt;"",$AS3147&lt;&gt;"✓"),SUMPRODUCT(($AM$11:$AM3147&lt;&gt;"")*($AS$11:$AS3147&lt;&gt;"✓")),"")</f>
        <v/>
      </c>
      <c r="AZ3147" s="21" t="str">
        <f>IF(AND($AM3147&lt;&gt;"",$AS3147="✓"),SUMPRODUCT(($AM$11:$AM3147&lt;&gt;"")*($AS$11:$AS3147="✓")),"")</f>
        <v/>
      </c>
      <c r="BA3147" s="21" t="str">
        <f>IF($AL3147="","",$AL3147&amp;"|"&amp;COUNTIF($AL$11:$AL3147,$AL3147))</f>
        <v/>
      </c>
    </row>
    <row r="3148" spans="38:53" ht="15" customHeight="1" x14ac:dyDescent="0.25">
      <c r="AL3148" s="31"/>
      <c r="AM3148" s="26"/>
      <c r="AN3148" s="32"/>
      <c r="AO3148" s="32"/>
      <c r="AP3148" s="24"/>
      <c r="AQ3148" s="24"/>
      <c r="AR3148" s="33"/>
      <c r="AS3148" s="34"/>
      <c r="AT3148" s="33"/>
      <c r="AV3148" s="21">
        <f>IF(AND($AL3148&lt;&gt;"",COUNTIF($AL$11:$AL3148,$AL3148)=1),1,0)</f>
        <v>0</v>
      </c>
      <c r="AW3148" s="21">
        <f t="shared" ref="AW3148:AW3211" si="185">AW3147+AV3148</f>
        <v>0</v>
      </c>
      <c r="AX3148" s="21" t="str">
        <f t="shared" si="184"/>
        <v/>
      </c>
      <c r="AY3148" s="21" t="str">
        <f>IF(AND($AM3148&lt;&gt;"",$AS3148&lt;&gt;"✓"),SUMPRODUCT(($AM$11:$AM3148&lt;&gt;"")*($AS$11:$AS3148&lt;&gt;"✓")),"")</f>
        <v/>
      </c>
      <c r="AZ3148" s="21" t="str">
        <f>IF(AND($AM3148&lt;&gt;"",$AS3148="✓"),SUMPRODUCT(($AM$11:$AM3148&lt;&gt;"")*($AS$11:$AS3148="✓")),"")</f>
        <v/>
      </c>
      <c r="BA3148" s="21" t="str">
        <f>IF($AL3148="","",$AL3148&amp;"|"&amp;COUNTIF($AL$11:$AL3148,$AL3148))</f>
        <v/>
      </c>
    </row>
    <row r="3149" spans="38:53" ht="15" customHeight="1" x14ac:dyDescent="0.25">
      <c r="AL3149" s="17"/>
      <c r="AM3149" s="12"/>
      <c r="AN3149" s="18"/>
      <c r="AO3149" s="18"/>
      <c r="AP3149" s="10"/>
      <c r="AQ3149" s="10"/>
      <c r="AR3149" s="19"/>
      <c r="AS3149" s="20"/>
      <c r="AT3149" s="19"/>
      <c r="AV3149" s="21">
        <f>IF(AND($AL3149&lt;&gt;"",COUNTIF($AL$11:$AL3149,$AL3149)=1),1,0)</f>
        <v>0</v>
      </c>
      <c r="AW3149" s="21">
        <f t="shared" si="185"/>
        <v>0</v>
      </c>
      <c r="AX3149" s="21" t="str">
        <f t="shared" si="184"/>
        <v/>
      </c>
      <c r="AY3149" s="21" t="str">
        <f>IF(AND($AM3149&lt;&gt;"",$AS3149&lt;&gt;"✓"),SUMPRODUCT(($AM$11:$AM3149&lt;&gt;"")*($AS$11:$AS3149&lt;&gt;"✓")),"")</f>
        <v/>
      </c>
      <c r="AZ3149" s="21" t="str">
        <f>IF(AND($AM3149&lt;&gt;"",$AS3149="✓"),SUMPRODUCT(($AM$11:$AM3149&lt;&gt;"")*($AS$11:$AS3149="✓")),"")</f>
        <v/>
      </c>
      <c r="BA3149" s="21" t="str">
        <f>IF($AL3149="","",$AL3149&amp;"|"&amp;COUNTIF($AL$11:$AL3149,$AL3149))</f>
        <v/>
      </c>
    </row>
    <row r="3150" spans="38:53" ht="15" customHeight="1" x14ac:dyDescent="0.25">
      <c r="AL3150" s="31"/>
      <c r="AM3150" s="26"/>
      <c r="AN3150" s="32"/>
      <c r="AO3150" s="32"/>
      <c r="AP3150" s="24"/>
      <c r="AQ3150" s="24"/>
      <c r="AR3150" s="33"/>
      <c r="AS3150" s="34"/>
      <c r="AT3150" s="33"/>
      <c r="AV3150" s="21">
        <f>IF(AND($AL3150&lt;&gt;"",COUNTIF($AL$11:$AL3150,$AL3150)=1),1,0)</f>
        <v>0</v>
      </c>
      <c r="AW3150" s="21">
        <f t="shared" si="185"/>
        <v>0</v>
      </c>
      <c r="AX3150" s="21" t="str">
        <f t="shared" si="184"/>
        <v/>
      </c>
      <c r="AY3150" s="21" t="str">
        <f>IF(AND($AM3150&lt;&gt;"",$AS3150&lt;&gt;"✓"),SUMPRODUCT(($AM$11:$AM3150&lt;&gt;"")*($AS$11:$AS3150&lt;&gt;"✓")),"")</f>
        <v/>
      </c>
      <c r="AZ3150" s="21" t="str">
        <f>IF(AND($AM3150&lt;&gt;"",$AS3150="✓"),SUMPRODUCT(($AM$11:$AM3150&lt;&gt;"")*($AS$11:$AS3150="✓")),"")</f>
        <v/>
      </c>
      <c r="BA3150" s="21" t="str">
        <f>IF($AL3150="","",$AL3150&amp;"|"&amp;COUNTIF($AL$11:$AL3150,$AL3150))</f>
        <v/>
      </c>
    </row>
    <row r="3151" spans="38:53" ht="15" customHeight="1" x14ac:dyDescent="0.25">
      <c r="AL3151" s="17"/>
      <c r="AM3151" s="12"/>
      <c r="AN3151" s="18"/>
      <c r="AO3151" s="18"/>
      <c r="AP3151" s="10"/>
      <c r="AQ3151" s="10"/>
      <c r="AR3151" s="19"/>
      <c r="AS3151" s="20"/>
      <c r="AT3151" s="19"/>
      <c r="AV3151" s="21">
        <f>IF(AND($AL3151&lt;&gt;"",COUNTIF($AL$11:$AL3151,$AL3151)=1),1,0)</f>
        <v>0</v>
      </c>
      <c r="AW3151" s="21">
        <f t="shared" si="185"/>
        <v>0</v>
      </c>
      <c r="AX3151" s="21" t="str">
        <f t="shared" si="184"/>
        <v/>
      </c>
      <c r="AY3151" s="21" t="str">
        <f>IF(AND($AM3151&lt;&gt;"",$AS3151&lt;&gt;"✓"),SUMPRODUCT(($AM$11:$AM3151&lt;&gt;"")*($AS$11:$AS3151&lt;&gt;"✓")),"")</f>
        <v/>
      </c>
      <c r="AZ3151" s="21" t="str">
        <f>IF(AND($AM3151&lt;&gt;"",$AS3151="✓"),SUMPRODUCT(($AM$11:$AM3151&lt;&gt;"")*($AS$11:$AS3151="✓")),"")</f>
        <v/>
      </c>
      <c r="BA3151" s="21" t="str">
        <f>IF($AL3151="","",$AL3151&amp;"|"&amp;COUNTIF($AL$11:$AL3151,$AL3151))</f>
        <v/>
      </c>
    </row>
    <row r="3152" spans="38:53" ht="15" customHeight="1" x14ac:dyDescent="0.25">
      <c r="AL3152" s="31"/>
      <c r="AM3152" s="26"/>
      <c r="AN3152" s="32"/>
      <c r="AO3152" s="32"/>
      <c r="AP3152" s="24"/>
      <c r="AQ3152" s="24"/>
      <c r="AR3152" s="33"/>
      <c r="AS3152" s="34"/>
      <c r="AT3152" s="33"/>
      <c r="AV3152" s="21">
        <f>IF(AND($AL3152&lt;&gt;"",COUNTIF($AL$11:$AL3152,$AL3152)=1),1,0)</f>
        <v>0</v>
      </c>
      <c r="AW3152" s="21">
        <f t="shared" si="185"/>
        <v>0</v>
      </c>
      <c r="AX3152" s="21" t="str">
        <f t="shared" si="184"/>
        <v/>
      </c>
      <c r="AY3152" s="21" t="str">
        <f>IF(AND($AM3152&lt;&gt;"",$AS3152&lt;&gt;"✓"),SUMPRODUCT(($AM$11:$AM3152&lt;&gt;"")*($AS$11:$AS3152&lt;&gt;"✓")),"")</f>
        <v/>
      </c>
      <c r="AZ3152" s="21" t="str">
        <f>IF(AND($AM3152&lt;&gt;"",$AS3152="✓"),SUMPRODUCT(($AM$11:$AM3152&lt;&gt;"")*($AS$11:$AS3152="✓")),"")</f>
        <v/>
      </c>
      <c r="BA3152" s="21" t="str">
        <f>IF($AL3152="","",$AL3152&amp;"|"&amp;COUNTIF($AL$11:$AL3152,$AL3152))</f>
        <v/>
      </c>
    </row>
    <row r="3153" spans="38:53" ht="15" customHeight="1" x14ac:dyDescent="0.25">
      <c r="AL3153" s="17"/>
      <c r="AM3153" s="12"/>
      <c r="AN3153" s="18"/>
      <c r="AO3153" s="18"/>
      <c r="AP3153" s="10"/>
      <c r="AQ3153" s="10"/>
      <c r="AR3153" s="19"/>
      <c r="AS3153" s="20"/>
      <c r="AT3153" s="19"/>
      <c r="AV3153" s="21">
        <f>IF(AND($AL3153&lt;&gt;"",COUNTIF($AL$11:$AL3153,$AL3153)=1),1,0)</f>
        <v>0</v>
      </c>
      <c r="AW3153" s="21">
        <f t="shared" si="185"/>
        <v>0</v>
      </c>
      <c r="AX3153" s="21" t="str">
        <f t="shared" si="184"/>
        <v/>
      </c>
      <c r="AY3153" s="21" t="str">
        <f>IF(AND($AM3153&lt;&gt;"",$AS3153&lt;&gt;"✓"),SUMPRODUCT(($AM$11:$AM3153&lt;&gt;"")*($AS$11:$AS3153&lt;&gt;"✓")),"")</f>
        <v/>
      </c>
      <c r="AZ3153" s="21" t="str">
        <f>IF(AND($AM3153&lt;&gt;"",$AS3153="✓"),SUMPRODUCT(($AM$11:$AM3153&lt;&gt;"")*($AS$11:$AS3153="✓")),"")</f>
        <v/>
      </c>
      <c r="BA3153" s="21" t="str">
        <f>IF($AL3153="","",$AL3153&amp;"|"&amp;COUNTIF($AL$11:$AL3153,$AL3153))</f>
        <v/>
      </c>
    </row>
    <row r="3154" spans="38:53" ht="15" customHeight="1" x14ac:dyDescent="0.25">
      <c r="AL3154" s="31"/>
      <c r="AM3154" s="26"/>
      <c r="AN3154" s="32"/>
      <c r="AO3154" s="32"/>
      <c r="AP3154" s="24"/>
      <c r="AQ3154" s="24"/>
      <c r="AR3154" s="33"/>
      <c r="AS3154" s="34"/>
      <c r="AT3154" s="33"/>
      <c r="AV3154" s="21">
        <f>IF(AND($AL3154&lt;&gt;"",COUNTIF($AL$11:$AL3154,$AL3154)=1),1,0)</f>
        <v>0</v>
      </c>
      <c r="AW3154" s="21">
        <f t="shared" si="185"/>
        <v>0</v>
      </c>
      <c r="AX3154" s="21" t="str">
        <f t="shared" si="184"/>
        <v/>
      </c>
      <c r="AY3154" s="21" t="str">
        <f>IF(AND($AM3154&lt;&gt;"",$AS3154&lt;&gt;"✓"),SUMPRODUCT(($AM$11:$AM3154&lt;&gt;"")*($AS$11:$AS3154&lt;&gt;"✓")),"")</f>
        <v/>
      </c>
      <c r="AZ3154" s="21" t="str">
        <f>IF(AND($AM3154&lt;&gt;"",$AS3154="✓"),SUMPRODUCT(($AM$11:$AM3154&lt;&gt;"")*($AS$11:$AS3154="✓")),"")</f>
        <v/>
      </c>
      <c r="BA3154" s="21" t="str">
        <f>IF($AL3154="","",$AL3154&amp;"|"&amp;COUNTIF($AL$11:$AL3154,$AL3154))</f>
        <v/>
      </c>
    </row>
    <row r="3155" spans="38:53" ht="15" customHeight="1" x14ac:dyDescent="0.25">
      <c r="AL3155" s="17"/>
      <c r="AM3155" s="12"/>
      <c r="AN3155" s="18"/>
      <c r="AO3155" s="18"/>
      <c r="AP3155" s="10"/>
      <c r="AQ3155" s="10"/>
      <c r="AR3155" s="19"/>
      <c r="AS3155" s="20"/>
      <c r="AT3155" s="19"/>
      <c r="AV3155" s="21">
        <f>IF(AND($AL3155&lt;&gt;"",COUNTIF($AL$11:$AL3155,$AL3155)=1),1,0)</f>
        <v>0</v>
      </c>
      <c r="AW3155" s="21">
        <f t="shared" si="185"/>
        <v>0</v>
      </c>
      <c r="AX3155" s="21" t="str">
        <f t="shared" si="184"/>
        <v/>
      </c>
      <c r="AY3155" s="21" t="str">
        <f>IF(AND($AM3155&lt;&gt;"",$AS3155&lt;&gt;"✓"),SUMPRODUCT(($AM$11:$AM3155&lt;&gt;"")*($AS$11:$AS3155&lt;&gt;"✓")),"")</f>
        <v/>
      </c>
      <c r="AZ3155" s="21" t="str">
        <f>IF(AND($AM3155&lt;&gt;"",$AS3155="✓"),SUMPRODUCT(($AM$11:$AM3155&lt;&gt;"")*($AS$11:$AS3155="✓")),"")</f>
        <v/>
      </c>
      <c r="BA3155" s="21" t="str">
        <f>IF($AL3155="","",$AL3155&amp;"|"&amp;COUNTIF($AL$11:$AL3155,$AL3155))</f>
        <v/>
      </c>
    </row>
    <row r="3156" spans="38:53" ht="15" customHeight="1" x14ac:dyDescent="0.25">
      <c r="AL3156" s="31"/>
      <c r="AM3156" s="26"/>
      <c r="AN3156" s="32"/>
      <c r="AO3156" s="32"/>
      <c r="AP3156" s="24"/>
      <c r="AQ3156" s="24"/>
      <c r="AR3156" s="33"/>
      <c r="AS3156" s="34"/>
      <c r="AT3156" s="33"/>
      <c r="AV3156" s="21">
        <f>IF(AND($AL3156&lt;&gt;"",COUNTIF($AL$11:$AL3156,$AL3156)=1),1,0)</f>
        <v>0</v>
      </c>
      <c r="AW3156" s="21">
        <f t="shared" si="185"/>
        <v>0</v>
      </c>
      <c r="AX3156" s="21" t="str">
        <f t="shared" si="184"/>
        <v/>
      </c>
      <c r="AY3156" s="21" t="str">
        <f>IF(AND($AM3156&lt;&gt;"",$AS3156&lt;&gt;"✓"),SUMPRODUCT(($AM$11:$AM3156&lt;&gt;"")*($AS$11:$AS3156&lt;&gt;"✓")),"")</f>
        <v/>
      </c>
      <c r="AZ3156" s="21" t="str">
        <f>IF(AND($AM3156&lt;&gt;"",$AS3156="✓"),SUMPRODUCT(($AM$11:$AM3156&lt;&gt;"")*($AS$11:$AS3156="✓")),"")</f>
        <v/>
      </c>
      <c r="BA3156" s="21" t="str">
        <f>IF($AL3156="","",$AL3156&amp;"|"&amp;COUNTIF($AL$11:$AL3156,$AL3156))</f>
        <v/>
      </c>
    </row>
    <row r="3157" spans="38:53" ht="15" customHeight="1" x14ac:dyDescent="0.25">
      <c r="AL3157" s="17"/>
      <c r="AM3157" s="12"/>
      <c r="AN3157" s="18"/>
      <c r="AO3157" s="18"/>
      <c r="AP3157" s="10"/>
      <c r="AQ3157" s="10"/>
      <c r="AR3157" s="19"/>
      <c r="AS3157" s="20"/>
      <c r="AT3157" s="19"/>
      <c r="AV3157" s="21">
        <f>IF(AND($AL3157&lt;&gt;"",COUNTIF($AL$11:$AL3157,$AL3157)=1),1,0)</f>
        <v>0</v>
      </c>
      <c r="AW3157" s="21">
        <f t="shared" si="185"/>
        <v>0</v>
      </c>
      <c r="AX3157" s="21" t="str">
        <f t="shared" si="184"/>
        <v/>
      </c>
      <c r="AY3157" s="21" t="str">
        <f>IF(AND($AM3157&lt;&gt;"",$AS3157&lt;&gt;"✓"),SUMPRODUCT(($AM$11:$AM3157&lt;&gt;"")*($AS$11:$AS3157&lt;&gt;"✓")),"")</f>
        <v/>
      </c>
      <c r="AZ3157" s="21" t="str">
        <f>IF(AND($AM3157&lt;&gt;"",$AS3157="✓"),SUMPRODUCT(($AM$11:$AM3157&lt;&gt;"")*($AS$11:$AS3157="✓")),"")</f>
        <v/>
      </c>
      <c r="BA3157" s="21" t="str">
        <f>IF($AL3157="","",$AL3157&amp;"|"&amp;COUNTIF($AL$11:$AL3157,$AL3157))</f>
        <v/>
      </c>
    </row>
    <row r="3158" spans="38:53" ht="15" customHeight="1" x14ac:dyDescent="0.25">
      <c r="AL3158" s="31"/>
      <c r="AM3158" s="26"/>
      <c r="AN3158" s="32"/>
      <c r="AO3158" s="32"/>
      <c r="AP3158" s="24"/>
      <c r="AQ3158" s="24"/>
      <c r="AR3158" s="33"/>
      <c r="AS3158" s="34"/>
      <c r="AT3158" s="33"/>
      <c r="AV3158" s="21">
        <f>IF(AND($AL3158&lt;&gt;"",COUNTIF($AL$11:$AL3158,$AL3158)=1),1,0)</f>
        <v>0</v>
      </c>
      <c r="AW3158" s="21">
        <f t="shared" si="185"/>
        <v>0</v>
      </c>
      <c r="AX3158" s="21" t="str">
        <f t="shared" si="184"/>
        <v/>
      </c>
      <c r="AY3158" s="21" t="str">
        <f>IF(AND($AM3158&lt;&gt;"",$AS3158&lt;&gt;"✓"),SUMPRODUCT(($AM$11:$AM3158&lt;&gt;"")*($AS$11:$AS3158&lt;&gt;"✓")),"")</f>
        <v/>
      </c>
      <c r="AZ3158" s="21" t="str">
        <f>IF(AND($AM3158&lt;&gt;"",$AS3158="✓"),SUMPRODUCT(($AM$11:$AM3158&lt;&gt;"")*($AS$11:$AS3158="✓")),"")</f>
        <v/>
      </c>
      <c r="BA3158" s="21" t="str">
        <f>IF($AL3158="","",$AL3158&amp;"|"&amp;COUNTIF($AL$11:$AL3158,$AL3158))</f>
        <v/>
      </c>
    </row>
    <row r="3159" spans="38:53" ht="15" customHeight="1" x14ac:dyDescent="0.25">
      <c r="AL3159" s="17"/>
      <c r="AM3159" s="12"/>
      <c r="AN3159" s="18"/>
      <c r="AO3159" s="18"/>
      <c r="AP3159" s="10"/>
      <c r="AQ3159" s="10"/>
      <c r="AR3159" s="19"/>
      <c r="AS3159" s="20"/>
      <c r="AT3159" s="19"/>
      <c r="AV3159" s="21">
        <f>IF(AND($AL3159&lt;&gt;"",COUNTIF($AL$11:$AL3159,$AL3159)=1),1,0)</f>
        <v>0</v>
      </c>
      <c r="AW3159" s="21">
        <f t="shared" si="185"/>
        <v>0</v>
      </c>
      <c r="AX3159" s="21" t="str">
        <f t="shared" si="184"/>
        <v/>
      </c>
      <c r="AY3159" s="21" t="str">
        <f>IF(AND($AM3159&lt;&gt;"",$AS3159&lt;&gt;"✓"),SUMPRODUCT(($AM$11:$AM3159&lt;&gt;"")*($AS$11:$AS3159&lt;&gt;"✓")),"")</f>
        <v/>
      </c>
      <c r="AZ3159" s="21" t="str">
        <f>IF(AND($AM3159&lt;&gt;"",$AS3159="✓"),SUMPRODUCT(($AM$11:$AM3159&lt;&gt;"")*($AS$11:$AS3159="✓")),"")</f>
        <v/>
      </c>
      <c r="BA3159" s="21" t="str">
        <f>IF($AL3159="","",$AL3159&amp;"|"&amp;COUNTIF($AL$11:$AL3159,$AL3159))</f>
        <v/>
      </c>
    </row>
    <row r="3160" spans="38:53" ht="15" customHeight="1" x14ac:dyDescent="0.25">
      <c r="AL3160" s="31"/>
      <c r="AM3160" s="26"/>
      <c r="AN3160" s="32"/>
      <c r="AO3160" s="32"/>
      <c r="AP3160" s="24"/>
      <c r="AQ3160" s="24"/>
      <c r="AR3160" s="33"/>
      <c r="AS3160" s="34"/>
      <c r="AT3160" s="33"/>
      <c r="AV3160" s="21">
        <f>IF(AND($AL3160&lt;&gt;"",COUNTIF($AL$11:$AL3160,$AL3160)=1),1,0)</f>
        <v>0</v>
      </c>
      <c r="AW3160" s="21">
        <f t="shared" si="185"/>
        <v>0</v>
      </c>
      <c r="AX3160" s="21" t="str">
        <f t="shared" si="184"/>
        <v/>
      </c>
      <c r="AY3160" s="21" t="str">
        <f>IF(AND($AM3160&lt;&gt;"",$AS3160&lt;&gt;"✓"),SUMPRODUCT(($AM$11:$AM3160&lt;&gt;"")*($AS$11:$AS3160&lt;&gt;"✓")),"")</f>
        <v/>
      </c>
      <c r="AZ3160" s="21" t="str">
        <f>IF(AND($AM3160&lt;&gt;"",$AS3160="✓"),SUMPRODUCT(($AM$11:$AM3160&lt;&gt;"")*($AS$11:$AS3160="✓")),"")</f>
        <v/>
      </c>
      <c r="BA3160" s="21" t="str">
        <f>IF($AL3160="","",$AL3160&amp;"|"&amp;COUNTIF($AL$11:$AL3160,$AL3160))</f>
        <v/>
      </c>
    </row>
    <row r="3161" spans="38:53" ht="15" customHeight="1" x14ac:dyDescent="0.25">
      <c r="AL3161" s="17"/>
      <c r="AM3161" s="12"/>
      <c r="AN3161" s="18"/>
      <c r="AO3161" s="18"/>
      <c r="AP3161" s="10"/>
      <c r="AQ3161" s="10"/>
      <c r="AR3161" s="19"/>
      <c r="AS3161" s="20"/>
      <c r="AT3161" s="19"/>
      <c r="AV3161" s="21">
        <f>IF(AND($AL3161&lt;&gt;"",COUNTIF($AL$11:$AL3161,$AL3161)=1),1,0)</f>
        <v>0</v>
      </c>
      <c r="AW3161" s="21">
        <f t="shared" si="185"/>
        <v>0</v>
      </c>
      <c r="AX3161" s="21" t="str">
        <f t="shared" si="184"/>
        <v/>
      </c>
      <c r="AY3161" s="21" t="str">
        <f>IF(AND($AM3161&lt;&gt;"",$AS3161&lt;&gt;"✓"),SUMPRODUCT(($AM$11:$AM3161&lt;&gt;"")*($AS$11:$AS3161&lt;&gt;"✓")),"")</f>
        <v/>
      </c>
      <c r="AZ3161" s="21" t="str">
        <f>IF(AND($AM3161&lt;&gt;"",$AS3161="✓"),SUMPRODUCT(($AM$11:$AM3161&lt;&gt;"")*($AS$11:$AS3161="✓")),"")</f>
        <v/>
      </c>
      <c r="BA3161" s="21" t="str">
        <f>IF($AL3161="","",$AL3161&amp;"|"&amp;COUNTIF($AL$11:$AL3161,$AL3161))</f>
        <v/>
      </c>
    </row>
    <row r="3162" spans="38:53" ht="15" customHeight="1" x14ac:dyDescent="0.25">
      <c r="AL3162" s="31"/>
      <c r="AM3162" s="26"/>
      <c r="AN3162" s="32"/>
      <c r="AO3162" s="32"/>
      <c r="AP3162" s="24"/>
      <c r="AQ3162" s="24"/>
      <c r="AR3162" s="33"/>
      <c r="AS3162" s="34"/>
      <c r="AT3162" s="33"/>
      <c r="AV3162" s="21">
        <f>IF(AND($AL3162&lt;&gt;"",COUNTIF($AL$11:$AL3162,$AL3162)=1),1,0)</f>
        <v>0</v>
      </c>
      <c r="AW3162" s="21">
        <f t="shared" si="185"/>
        <v>0</v>
      </c>
      <c r="AX3162" s="21" t="str">
        <f t="shared" si="184"/>
        <v/>
      </c>
      <c r="AY3162" s="21" t="str">
        <f>IF(AND($AM3162&lt;&gt;"",$AS3162&lt;&gt;"✓"),SUMPRODUCT(($AM$11:$AM3162&lt;&gt;"")*($AS$11:$AS3162&lt;&gt;"✓")),"")</f>
        <v/>
      </c>
      <c r="AZ3162" s="21" t="str">
        <f>IF(AND($AM3162&lt;&gt;"",$AS3162="✓"),SUMPRODUCT(($AM$11:$AM3162&lt;&gt;"")*($AS$11:$AS3162="✓")),"")</f>
        <v/>
      </c>
      <c r="BA3162" s="21" t="str">
        <f>IF($AL3162="","",$AL3162&amp;"|"&amp;COUNTIF($AL$11:$AL3162,$AL3162))</f>
        <v/>
      </c>
    </row>
    <row r="3163" spans="38:53" ht="15" customHeight="1" x14ac:dyDescent="0.25">
      <c r="AL3163" s="17"/>
      <c r="AM3163" s="12"/>
      <c r="AN3163" s="18"/>
      <c r="AO3163" s="18"/>
      <c r="AP3163" s="10"/>
      <c r="AQ3163" s="10"/>
      <c r="AR3163" s="19"/>
      <c r="AS3163" s="20"/>
      <c r="AT3163" s="19"/>
      <c r="AV3163" s="21">
        <f>IF(AND($AL3163&lt;&gt;"",COUNTIF($AL$11:$AL3163,$AL3163)=1),1,0)</f>
        <v>0</v>
      </c>
      <c r="AW3163" s="21">
        <f t="shared" si="185"/>
        <v>0</v>
      </c>
      <c r="AX3163" s="21" t="str">
        <f t="shared" si="184"/>
        <v/>
      </c>
      <c r="AY3163" s="21" t="str">
        <f>IF(AND($AM3163&lt;&gt;"",$AS3163&lt;&gt;"✓"),SUMPRODUCT(($AM$11:$AM3163&lt;&gt;"")*($AS$11:$AS3163&lt;&gt;"✓")),"")</f>
        <v/>
      </c>
      <c r="AZ3163" s="21" t="str">
        <f>IF(AND($AM3163&lt;&gt;"",$AS3163="✓"),SUMPRODUCT(($AM$11:$AM3163&lt;&gt;"")*($AS$11:$AS3163="✓")),"")</f>
        <v/>
      </c>
      <c r="BA3163" s="21" t="str">
        <f>IF($AL3163="","",$AL3163&amp;"|"&amp;COUNTIF($AL$11:$AL3163,$AL3163))</f>
        <v/>
      </c>
    </row>
    <row r="3164" spans="38:53" ht="15" customHeight="1" x14ac:dyDescent="0.25">
      <c r="AL3164" s="31"/>
      <c r="AM3164" s="26"/>
      <c r="AN3164" s="32"/>
      <c r="AO3164" s="32"/>
      <c r="AP3164" s="24"/>
      <c r="AQ3164" s="24"/>
      <c r="AR3164" s="33"/>
      <c r="AS3164" s="34"/>
      <c r="AT3164" s="33"/>
      <c r="AV3164" s="21">
        <f>IF(AND($AL3164&lt;&gt;"",COUNTIF($AL$11:$AL3164,$AL3164)=1),1,0)</f>
        <v>0</v>
      </c>
      <c r="AW3164" s="21">
        <f t="shared" si="185"/>
        <v>0</v>
      </c>
      <c r="AX3164" s="21" t="str">
        <f t="shared" si="184"/>
        <v/>
      </c>
      <c r="AY3164" s="21" t="str">
        <f>IF(AND($AM3164&lt;&gt;"",$AS3164&lt;&gt;"✓"),SUMPRODUCT(($AM$11:$AM3164&lt;&gt;"")*($AS$11:$AS3164&lt;&gt;"✓")),"")</f>
        <v/>
      </c>
      <c r="AZ3164" s="21" t="str">
        <f>IF(AND($AM3164&lt;&gt;"",$AS3164="✓"),SUMPRODUCT(($AM$11:$AM3164&lt;&gt;"")*($AS$11:$AS3164="✓")),"")</f>
        <v/>
      </c>
      <c r="BA3164" s="21" t="str">
        <f>IF($AL3164="","",$AL3164&amp;"|"&amp;COUNTIF($AL$11:$AL3164,$AL3164))</f>
        <v/>
      </c>
    </row>
    <row r="3165" spans="38:53" ht="15" customHeight="1" x14ac:dyDescent="0.25">
      <c r="AL3165" s="17"/>
      <c r="AM3165" s="12"/>
      <c r="AN3165" s="18"/>
      <c r="AO3165" s="18"/>
      <c r="AP3165" s="10"/>
      <c r="AQ3165" s="10"/>
      <c r="AR3165" s="19"/>
      <c r="AS3165" s="20"/>
      <c r="AT3165" s="19"/>
      <c r="AV3165" s="21">
        <f>IF(AND($AL3165&lt;&gt;"",COUNTIF($AL$11:$AL3165,$AL3165)=1),1,0)</f>
        <v>0</v>
      </c>
      <c r="AW3165" s="21">
        <f t="shared" si="185"/>
        <v>0</v>
      </c>
      <c r="AX3165" s="21" t="str">
        <f t="shared" si="184"/>
        <v/>
      </c>
      <c r="AY3165" s="21" t="str">
        <f>IF(AND($AM3165&lt;&gt;"",$AS3165&lt;&gt;"✓"),SUMPRODUCT(($AM$11:$AM3165&lt;&gt;"")*($AS$11:$AS3165&lt;&gt;"✓")),"")</f>
        <v/>
      </c>
      <c r="AZ3165" s="21" t="str">
        <f>IF(AND($AM3165&lt;&gt;"",$AS3165="✓"),SUMPRODUCT(($AM$11:$AM3165&lt;&gt;"")*($AS$11:$AS3165="✓")),"")</f>
        <v/>
      </c>
      <c r="BA3165" s="21" t="str">
        <f>IF($AL3165="","",$AL3165&amp;"|"&amp;COUNTIF($AL$11:$AL3165,$AL3165))</f>
        <v/>
      </c>
    </row>
    <row r="3166" spans="38:53" ht="15" customHeight="1" x14ac:dyDescent="0.25">
      <c r="AL3166" s="31"/>
      <c r="AM3166" s="26"/>
      <c r="AN3166" s="32"/>
      <c r="AO3166" s="32"/>
      <c r="AP3166" s="24"/>
      <c r="AQ3166" s="24"/>
      <c r="AR3166" s="33"/>
      <c r="AS3166" s="34"/>
      <c r="AT3166" s="33"/>
      <c r="AV3166" s="21">
        <f>IF(AND($AL3166&lt;&gt;"",COUNTIF($AL$11:$AL3166,$AL3166)=1),1,0)</f>
        <v>0</v>
      </c>
      <c r="AW3166" s="21">
        <f t="shared" si="185"/>
        <v>0</v>
      </c>
      <c r="AX3166" s="21" t="str">
        <f t="shared" si="184"/>
        <v/>
      </c>
      <c r="AY3166" s="21" t="str">
        <f>IF(AND($AM3166&lt;&gt;"",$AS3166&lt;&gt;"✓"),SUMPRODUCT(($AM$11:$AM3166&lt;&gt;"")*($AS$11:$AS3166&lt;&gt;"✓")),"")</f>
        <v/>
      </c>
      <c r="AZ3166" s="21" t="str">
        <f>IF(AND($AM3166&lt;&gt;"",$AS3166="✓"),SUMPRODUCT(($AM$11:$AM3166&lt;&gt;"")*($AS$11:$AS3166="✓")),"")</f>
        <v/>
      </c>
      <c r="BA3166" s="21" t="str">
        <f>IF($AL3166="","",$AL3166&amp;"|"&amp;COUNTIF($AL$11:$AL3166,$AL3166))</f>
        <v/>
      </c>
    </row>
    <row r="3167" spans="38:53" ht="15" customHeight="1" x14ac:dyDescent="0.25">
      <c r="AL3167" s="17"/>
      <c r="AM3167" s="12"/>
      <c r="AN3167" s="18"/>
      <c r="AO3167" s="18"/>
      <c r="AP3167" s="10"/>
      <c r="AQ3167" s="10"/>
      <c r="AR3167" s="19"/>
      <c r="AS3167" s="20"/>
      <c r="AT3167" s="19"/>
      <c r="AV3167" s="21">
        <f>IF(AND($AL3167&lt;&gt;"",COUNTIF($AL$11:$AL3167,$AL3167)=1),1,0)</f>
        <v>0</v>
      </c>
      <c r="AW3167" s="21">
        <f t="shared" si="185"/>
        <v>0</v>
      </c>
      <c r="AX3167" s="21" t="str">
        <f t="shared" si="184"/>
        <v/>
      </c>
      <c r="AY3167" s="21" t="str">
        <f>IF(AND($AM3167&lt;&gt;"",$AS3167&lt;&gt;"✓"),SUMPRODUCT(($AM$11:$AM3167&lt;&gt;"")*($AS$11:$AS3167&lt;&gt;"✓")),"")</f>
        <v/>
      </c>
      <c r="AZ3167" s="21" t="str">
        <f>IF(AND($AM3167&lt;&gt;"",$AS3167="✓"),SUMPRODUCT(($AM$11:$AM3167&lt;&gt;"")*($AS$11:$AS3167="✓")),"")</f>
        <v/>
      </c>
      <c r="BA3167" s="21" t="str">
        <f>IF($AL3167="","",$AL3167&amp;"|"&amp;COUNTIF($AL$11:$AL3167,$AL3167))</f>
        <v/>
      </c>
    </row>
    <row r="3168" spans="38:53" ht="15" customHeight="1" x14ac:dyDescent="0.25">
      <c r="AL3168" s="31"/>
      <c r="AM3168" s="26"/>
      <c r="AN3168" s="32"/>
      <c r="AO3168" s="32"/>
      <c r="AP3168" s="24"/>
      <c r="AQ3168" s="24"/>
      <c r="AR3168" s="33"/>
      <c r="AS3168" s="34"/>
      <c r="AT3168" s="33"/>
      <c r="AV3168" s="21">
        <f>IF(AND($AL3168&lt;&gt;"",COUNTIF($AL$11:$AL3168,$AL3168)=1),1,0)</f>
        <v>0</v>
      </c>
      <c r="AW3168" s="21">
        <f t="shared" si="185"/>
        <v>0</v>
      </c>
      <c r="AX3168" s="21" t="str">
        <f t="shared" si="184"/>
        <v/>
      </c>
      <c r="AY3168" s="21" t="str">
        <f>IF(AND($AM3168&lt;&gt;"",$AS3168&lt;&gt;"✓"),SUMPRODUCT(($AM$11:$AM3168&lt;&gt;"")*($AS$11:$AS3168&lt;&gt;"✓")),"")</f>
        <v/>
      </c>
      <c r="AZ3168" s="21" t="str">
        <f>IF(AND($AM3168&lt;&gt;"",$AS3168="✓"),SUMPRODUCT(($AM$11:$AM3168&lt;&gt;"")*($AS$11:$AS3168="✓")),"")</f>
        <v/>
      </c>
      <c r="BA3168" s="21" t="str">
        <f>IF($AL3168="","",$AL3168&amp;"|"&amp;COUNTIF($AL$11:$AL3168,$AL3168))</f>
        <v/>
      </c>
    </row>
    <row r="3169" spans="38:53" ht="15" customHeight="1" x14ac:dyDescent="0.25">
      <c r="AL3169" s="17"/>
      <c r="AM3169" s="12"/>
      <c r="AN3169" s="18"/>
      <c r="AO3169" s="18"/>
      <c r="AP3169" s="10"/>
      <c r="AQ3169" s="10"/>
      <c r="AR3169" s="19"/>
      <c r="AS3169" s="20"/>
      <c r="AT3169" s="19"/>
      <c r="AV3169" s="21">
        <f>IF(AND($AL3169&lt;&gt;"",COUNTIF($AL$11:$AL3169,$AL3169)=1),1,0)</f>
        <v>0</v>
      </c>
      <c r="AW3169" s="21">
        <f t="shared" si="185"/>
        <v>0</v>
      </c>
      <c r="AX3169" s="21" t="str">
        <f t="shared" si="184"/>
        <v/>
      </c>
      <c r="AY3169" s="21" t="str">
        <f>IF(AND($AM3169&lt;&gt;"",$AS3169&lt;&gt;"✓"),SUMPRODUCT(($AM$11:$AM3169&lt;&gt;"")*($AS$11:$AS3169&lt;&gt;"✓")),"")</f>
        <v/>
      </c>
      <c r="AZ3169" s="21" t="str">
        <f>IF(AND($AM3169&lt;&gt;"",$AS3169="✓"),SUMPRODUCT(($AM$11:$AM3169&lt;&gt;"")*($AS$11:$AS3169="✓")),"")</f>
        <v/>
      </c>
      <c r="BA3169" s="21" t="str">
        <f>IF($AL3169="","",$AL3169&amp;"|"&amp;COUNTIF($AL$11:$AL3169,$AL3169))</f>
        <v/>
      </c>
    </row>
    <row r="3170" spans="38:53" ht="15" customHeight="1" x14ac:dyDescent="0.25">
      <c r="AL3170" s="31"/>
      <c r="AM3170" s="26"/>
      <c r="AN3170" s="32"/>
      <c r="AO3170" s="32"/>
      <c r="AP3170" s="24"/>
      <c r="AQ3170" s="24"/>
      <c r="AR3170" s="33"/>
      <c r="AS3170" s="34"/>
      <c r="AT3170" s="33"/>
      <c r="AV3170" s="21">
        <f>IF(AND($AL3170&lt;&gt;"",COUNTIF($AL$11:$AL3170,$AL3170)=1),1,0)</f>
        <v>0</v>
      </c>
      <c r="AW3170" s="21">
        <f t="shared" si="185"/>
        <v>0</v>
      </c>
      <c r="AX3170" s="21" t="str">
        <f t="shared" si="184"/>
        <v/>
      </c>
      <c r="AY3170" s="21" t="str">
        <f>IF(AND($AM3170&lt;&gt;"",$AS3170&lt;&gt;"✓"),SUMPRODUCT(($AM$11:$AM3170&lt;&gt;"")*($AS$11:$AS3170&lt;&gt;"✓")),"")</f>
        <v/>
      </c>
      <c r="AZ3170" s="21" t="str">
        <f>IF(AND($AM3170&lt;&gt;"",$AS3170="✓"),SUMPRODUCT(($AM$11:$AM3170&lt;&gt;"")*($AS$11:$AS3170="✓")),"")</f>
        <v/>
      </c>
      <c r="BA3170" s="21" t="str">
        <f>IF($AL3170="","",$AL3170&amp;"|"&amp;COUNTIF($AL$11:$AL3170,$AL3170))</f>
        <v/>
      </c>
    </row>
    <row r="3171" spans="38:53" ht="15" customHeight="1" x14ac:dyDescent="0.25">
      <c r="AL3171" s="17"/>
      <c r="AM3171" s="12"/>
      <c r="AN3171" s="18"/>
      <c r="AO3171" s="18"/>
      <c r="AP3171" s="10"/>
      <c r="AQ3171" s="10"/>
      <c r="AR3171" s="19"/>
      <c r="AS3171" s="20"/>
      <c r="AT3171" s="19"/>
      <c r="AV3171" s="21">
        <f>IF(AND($AL3171&lt;&gt;"",COUNTIF($AL$11:$AL3171,$AL3171)=1),1,0)</f>
        <v>0</v>
      </c>
      <c r="AW3171" s="21">
        <f t="shared" si="185"/>
        <v>0</v>
      </c>
      <c r="AX3171" s="21" t="str">
        <f t="shared" si="184"/>
        <v/>
      </c>
      <c r="AY3171" s="21" t="str">
        <f>IF(AND($AM3171&lt;&gt;"",$AS3171&lt;&gt;"✓"),SUMPRODUCT(($AM$11:$AM3171&lt;&gt;"")*($AS$11:$AS3171&lt;&gt;"✓")),"")</f>
        <v/>
      </c>
      <c r="AZ3171" s="21" t="str">
        <f>IF(AND($AM3171&lt;&gt;"",$AS3171="✓"),SUMPRODUCT(($AM$11:$AM3171&lt;&gt;"")*($AS$11:$AS3171="✓")),"")</f>
        <v/>
      </c>
      <c r="BA3171" s="21" t="str">
        <f>IF($AL3171="","",$AL3171&amp;"|"&amp;COUNTIF($AL$11:$AL3171,$AL3171))</f>
        <v/>
      </c>
    </row>
    <row r="3172" spans="38:53" ht="15" customHeight="1" x14ac:dyDescent="0.25">
      <c r="AL3172" s="31"/>
      <c r="AM3172" s="26"/>
      <c r="AN3172" s="32"/>
      <c r="AO3172" s="32"/>
      <c r="AP3172" s="24"/>
      <c r="AQ3172" s="24"/>
      <c r="AR3172" s="33"/>
      <c r="AS3172" s="34"/>
      <c r="AT3172" s="33"/>
      <c r="AV3172" s="21">
        <f>IF(AND($AL3172&lt;&gt;"",COUNTIF($AL$11:$AL3172,$AL3172)=1),1,0)</f>
        <v>0</v>
      </c>
      <c r="AW3172" s="21">
        <f t="shared" si="185"/>
        <v>0</v>
      </c>
      <c r="AX3172" s="21" t="str">
        <f t="shared" si="184"/>
        <v/>
      </c>
      <c r="AY3172" s="21" t="str">
        <f>IF(AND($AM3172&lt;&gt;"",$AS3172&lt;&gt;"✓"),SUMPRODUCT(($AM$11:$AM3172&lt;&gt;"")*($AS$11:$AS3172&lt;&gt;"✓")),"")</f>
        <v/>
      </c>
      <c r="AZ3172" s="21" t="str">
        <f>IF(AND($AM3172&lt;&gt;"",$AS3172="✓"),SUMPRODUCT(($AM$11:$AM3172&lt;&gt;"")*($AS$11:$AS3172="✓")),"")</f>
        <v/>
      </c>
      <c r="BA3172" s="21" t="str">
        <f>IF($AL3172="","",$AL3172&amp;"|"&amp;COUNTIF($AL$11:$AL3172,$AL3172))</f>
        <v/>
      </c>
    </row>
    <row r="3173" spans="38:53" ht="15" customHeight="1" x14ac:dyDescent="0.25">
      <c r="AL3173" s="17"/>
      <c r="AM3173" s="12"/>
      <c r="AN3173" s="18"/>
      <c r="AO3173" s="18"/>
      <c r="AP3173" s="10"/>
      <c r="AQ3173" s="10"/>
      <c r="AR3173" s="19"/>
      <c r="AS3173" s="20"/>
      <c r="AT3173" s="19"/>
      <c r="AV3173" s="21">
        <f>IF(AND($AL3173&lt;&gt;"",COUNTIF($AL$11:$AL3173,$AL3173)=1),1,0)</f>
        <v>0</v>
      </c>
      <c r="AW3173" s="21">
        <f t="shared" si="185"/>
        <v>0</v>
      </c>
      <c r="AX3173" s="21" t="str">
        <f t="shared" si="184"/>
        <v/>
      </c>
      <c r="AY3173" s="21" t="str">
        <f>IF(AND($AM3173&lt;&gt;"",$AS3173&lt;&gt;"✓"),SUMPRODUCT(($AM$11:$AM3173&lt;&gt;"")*($AS$11:$AS3173&lt;&gt;"✓")),"")</f>
        <v/>
      </c>
      <c r="AZ3173" s="21" t="str">
        <f>IF(AND($AM3173&lt;&gt;"",$AS3173="✓"),SUMPRODUCT(($AM$11:$AM3173&lt;&gt;"")*($AS$11:$AS3173="✓")),"")</f>
        <v/>
      </c>
      <c r="BA3173" s="21" t="str">
        <f>IF($AL3173="","",$AL3173&amp;"|"&amp;COUNTIF($AL$11:$AL3173,$AL3173))</f>
        <v/>
      </c>
    </row>
    <row r="3174" spans="38:53" ht="15" customHeight="1" x14ac:dyDescent="0.25">
      <c r="AL3174" s="31"/>
      <c r="AM3174" s="26"/>
      <c r="AN3174" s="32"/>
      <c r="AO3174" s="32"/>
      <c r="AP3174" s="24"/>
      <c r="AQ3174" s="24"/>
      <c r="AR3174" s="33"/>
      <c r="AS3174" s="34"/>
      <c r="AT3174" s="33"/>
      <c r="AV3174" s="21">
        <f>IF(AND($AL3174&lt;&gt;"",COUNTIF($AL$11:$AL3174,$AL3174)=1),1,0)</f>
        <v>0</v>
      </c>
      <c r="AW3174" s="21">
        <f t="shared" si="185"/>
        <v>0</v>
      </c>
      <c r="AX3174" s="21" t="str">
        <f t="shared" si="184"/>
        <v/>
      </c>
      <c r="AY3174" s="21" t="str">
        <f>IF(AND($AM3174&lt;&gt;"",$AS3174&lt;&gt;"✓"),SUMPRODUCT(($AM$11:$AM3174&lt;&gt;"")*($AS$11:$AS3174&lt;&gt;"✓")),"")</f>
        <v/>
      </c>
      <c r="AZ3174" s="21" t="str">
        <f>IF(AND($AM3174&lt;&gt;"",$AS3174="✓"),SUMPRODUCT(($AM$11:$AM3174&lt;&gt;"")*($AS$11:$AS3174="✓")),"")</f>
        <v/>
      </c>
      <c r="BA3174" s="21" t="str">
        <f>IF($AL3174="","",$AL3174&amp;"|"&amp;COUNTIF($AL$11:$AL3174,$AL3174))</f>
        <v/>
      </c>
    </row>
    <row r="3175" spans="38:53" ht="15" customHeight="1" x14ac:dyDescent="0.25">
      <c r="AL3175" s="17"/>
      <c r="AM3175" s="12"/>
      <c r="AN3175" s="18"/>
      <c r="AO3175" s="18"/>
      <c r="AP3175" s="10"/>
      <c r="AQ3175" s="10"/>
      <c r="AR3175" s="19"/>
      <c r="AS3175" s="20"/>
      <c r="AT3175" s="19"/>
      <c r="AV3175" s="21">
        <f>IF(AND($AL3175&lt;&gt;"",COUNTIF($AL$11:$AL3175,$AL3175)=1),1,0)</f>
        <v>0</v>
      </c>
      <c r="AW3175" s="21">
        <f t="shared" si="185"/>
        <v>0</v>
      </c>
      <c r="AX3175" s="21" t="str">
        <f t="shared" si="184"/>
        <v/>
      </c>
      <c r="AY3175" s="21" t="str">
        <f>IF(AND($AM3175&lt;&gt;"",$AS3175&lt;&gt;"✓"),SUMPRODUCT(($AM$11:$AM3175&lt;&gt;"")*($AS$11:$AS3175&lt;&gt;"✓")),"")</f>
        <v/>
      </c>
      <c r="AZ3175" s="21" t="str">
        <f>IF(AND($AM3175&lt;&gt;"",$AS3175="✓"),SUMPRODUCT(($AM$11:$AM3175&lt;&gt;"")*($AS$11:$AS3175="✓")),"")</f>
        <v/>
      </c>
      <c r="BA3175" s="21" t="str">
        <f>IF($AL3175="","",$AL3175&amp;"|"&amp;COUNTIF($AL$11:$AL3175,$AL3175))</f>
        <v/>
      </c>
    </row>
    <row r="3176" spans="38:53" ht="15" customHeight="1" x14ac:dyDescent="0.25">
      <c r="AL3176" s="31"/>
      <c r="AM3176" s="26"/>
      <c r="AN3176" s="32"/>
      <c r="AO3176" s="32"/>
      <c r="AP3176" s="24"/>
      <c r="AQ3176" s="24"/>
      <c r="AR3176" s="33"/>
      <c r="AS3176" s="34"/>
      <c r="AT3176" s="33"/>
      <c r="AV3176" s="21">
        <f>IF(AND($AL3176&lt;&gt;"",COUNTIF($AL$11:$AL3176,$AL3176)=1),1,0)</f>
        <v>0</v>
      </c>
      <c r="AW3176" s="21">
        <f t="shared" si="185"/>
        <v>0</v>
      </c>
      <c r="AX3176" s="21" t="str">
        <f t="shared" si="184"/>
        <v/>
      </c>
      <c r="AY3176" s="21" t="str">
        <f>IF(AND($AM3176&lt;&gt;"",$AS3176&lt;&gt;"✓"),SUMPRODUCT(($AM$11:$AM3176&lt;&gt;"")*($AS$11:$AS3176&lt;&gt;"✓")),"")</f>
        <v/>
      </c>
      <c r="AZ3176" s="21" t="str">
        <f>IF(AND($AM3176&lt;&gt;"",$AS3176="✓"),SUMPRODUCT(($AM$11:$AM3176&lt;&gt;"")*($AS$11:$AS3176="✓")),"")</f>
        <v/>
      </c>
      <c r="BA3176" s="21" t="str">
        <f>IF($AL3176="","",$AL3176&amp;"|"&amp;COUNTIF($AL$11:$AL3176,$AL3176))</f>
        <v/>
      </c>
    </row>
    <row r="3177" spans="38:53" ht="15" customHeight="1" x14ac:dyDescent="0.25">
      <c r="AL3177" s="17"/>
      <c r="AM3177" s="12"/>
      <c r="AN3177" s="18"/>
      <c r="AO3177" s="18"/>
      <c r="AP3177" s="10"/>
      <c r="AQ3177" s="10"/>
      <c r="AR3177" s="19"/>
      <c r="AS3177" s="20"/>
      <c r="AT3177" s="19"/>
      <c r="AV3177" s="21">
        <f>IF(AND($AL3177&lt;&gt;"",COUNTIF($AL$11:$AL3177,$AL3177)=1),1,0)</f>
        <v>0</v>
      </c>
      <c r="AW3177" s="21">
        <f t="shared" si="185"/>
        <v>0</v>
      </c>
      <c r="AX3177" s="21" t="str">
        <f t="shared" si="184"/>
        <v/>
      </c>
      <c r="AY3177" s="21" t="str">
        <f>IF(AND($AM3177&lt;&gt;"",$AS3177&lt;&gt;"✓"),SUMPRODUCT(($AM$11:$AM3177&lt;&gt;"")*($AS$11:$AS3177&lt;&gt;"✓")),"")</f>
        <v/>
      </c>
      <c r="AZ3177" s="21" t="str">
        <f>IF(AND($AM3177&lt;&gt;"",$AS3177="✓"),SUMPRODUCT(($AM$11:$AM3177&lt;&gt;"")*($AS$11:$AS3177="✓")),"")</f>
        <v/>
      </c>
      <c r="BA3177" s="21" t="str">
        <f>IF($AL3177="","",$AL3177&amp;"|"&amp;COUNTIF($AL$11:$AL3177,$AL3177))</f>
        <v/>
      </c>
    </row>
    <row r="3178" spans="38:53" ht="15" customHeight="1" x14ac:dyDescent="0.25">
      <c r="AL3178" s="31"/>
      <c r="AM3178" s="26"/>
      <c r="AN3178" s="32"/>
      <c r="AO3178" s="32"/>
      <c r="AP3178" s="24"/>
      <c r="AQ3178" s="24"/>
      <c r="AR3178" s="33"/>
      <c r="AS3178" s="34"/>
      <c r="AT3178" s="33"/>
      <c r="AV3178" s="21">
        <f>IF(AND($AL3178&lt;&gt;"",COUNTIF($AL$11:$AL3178,$AL3178)=1),1,0)</f>
        <v>0</v>
      </c>
      <c r="AW3178" s="21">
        <f t="shared" si="185"/>
        <v>0</v>
      </c>
      <c r="AX3178" s="21" t="str">
        <f t="shared" si="184"/>
        <v/>
      </c>
      <c r="AY3178" s="21" t="str">
        <f>IF(AND($AM3178&lt;&gt;"",$AS3178&lt;&gt;"✓"),SUMPRODUCT(($AM$11:$AM3178&lt;&gt;"")*($AS$11:$AS3178&lt;&gt;"✓")),"")</f>
        <v/>
      </c>
      <c r="AZ3178" s="21" t="str">
        <f>IF(AND($AM3178&lt;&gt;"",$AS3178="✓"),SUMPRODUCT(($AM$11:$AM3178&lt;&gt;"")*($AS$11:$AS3178="✓")),"")</f>
        <v/>
      </c>
      <c r="BA3178" s="21" t="str">
        <f>IF($AL3178="","",$AL3178&amp;"|"&amp;COUNTIF($AL$11:$AL3178,$AL3178))</f>
        <v/>
      </c>
    </row>
    <row r="3179" spans="38:53" ht="15" customHeight="1" x14ac:dyDescent="0.25">
      <c r="AL3179" s="17"/>
      <c r="AM3179" s="12"/>
      <c r="AN3179" s="18"/>
      <c r="AO3179" s="18"/>
      <c r="AP3179" s="10"/>
      <c r="AQ3179" s="10"/>
      <c r="AR3179" s="19"/>
      <c r="AS3179" s="20"/>
      <c r="AT3179" s="19"/>
      <c r="AV3179" s="21">
        <f>IF(AND($AL3179&lt;&gt;"",COUNTIF($AL$11:$AL3179,$AL3179)=1),1,0)</f>
        <v>0</v>
      </c>
      <c r="AW3179" s="21">
        <f t="shared" si="185"/>
        <v>0</v>
      </c>
      <c r="AX3179" s="21" t="str">
        <f t="shared" si="184"/>
        <v/>
      </c>
      <c r="AY3179" s="21" t="str">
        <f>IF(AND($AM3179&lt;&gt;"",$AS3179&lt;&gt;"✓"),SUMPRODUCT(($AM$11:$AM3179&lt;&gt;"")*($AS$11:$AS3179&lt;&gt;"✓")),"")</f>
        <v/>
      </c>
      <c r="AZ3179" s="21" t="str">
        <f>IF(AND($AM3179&lt;&gt;"",$AS3179="✓"),SUMPRODUCT(($AM$11:$AM3179&lt;&gt;"")*($AS$11:$AS3179="✓")),"")</f>
        <v/>
      </c>
      <c r="BA3179" s="21" t="str">
        <f>IF($AL3179="","",$AL3179&amp;"|"&amp;COUNTIF($AL$11:$AL3179,$AL3179))</f>
        <v/>
      </c>
    </row>
    <row r="3180" spans="38:53" ht="15" customHeight="1" x14ac:dyDescent="0.25">
      <c r="AL3180" s="31"/>
      <c r="AM3180" s="26"/>
      <c r="AN3180" s="32"/>
      <c r="AO3180" s="32"/>
      <c r="AP3180" s="24"/>
      <c r="AQ3180" s="24"/>
      <c r="AR3180" s="33"/>
      <c r="AS3180" s="34"/>
      <c r="AT3180" s="33"/>
      <c r="AV3180" s="21">
        <f>IF(AND($AL3180&lt;&gt;"",COUNTIF($AL$11:$AL3180,$AL3180)=1),1,0)</f>
        <v>0</v>
      </c>
      <c r="AW3180" s="21">
        <f t="shared" si="185"/>
        <v>0</v>
      </c>
      <c r="AX3180" s="21" t="str">
        <f t="shared" si="184"/>
        <v/>
      </c>
      <c r="AY3180" s="21" t="str">
        <f>IF(AND($AM3180&lt;&gt;"",$AS3180&lt;&gt;"✓"),SUMPRODUCT(($AM$11:$AM3180&lt;&gt;"")*($AS$11:$AS3180&lt;&gt;"✓")),"")</f>
        <v/>
      </c>
      <c r="AZ3180" s="21" t="str">
        <f>IF(AND($AM3180&lt;&gt;"",$AS3180="✓"),SUMPRODUCT(($AM$11:$AM3180&lt;&gt;"")*($AS$11:$AS3180="✓")),"")</f>
        <v/>
      </c>
      <c r="BA3180" s="21" t="str">
        <f>IF($AL3180="","",$AL3180&amp;"|"&amp;COUNTIF($AL$11:$AL3180,$AL3180))</f>
        <v/>
      </c>
    </row>
    <row r="3181" spans="38:53" ht="15" customHeight="1" x14ac:dyDescent="0.25">
      <c r="AL3181" s="17"/>
      <c r="AM3181" s="12"/>
      <c r="AN3181" s="18"/>
      <c r="AO3181" s="18"/>
      <c r="AP3181" s="10"/>
      <c r="AQ3181" s="10"/>
      <c r="AR3181" s="19"/>
      <c r="AS3181" s="20"/>
      <c r="AT3181" s="19"/>
      <c r="AV3181" s="21">
        <f>IF(AND($AL3181&lt;&gt;"",COUNTIF($AL$11:$AL3181,$AL3181)=1),1,0)</f>
        <v>0</v>
      </c>
      <c r="AW3181" s="21">
        <f t="shared" si="185"/>
        <v>0</v>
      </c>
      <c r="AX3181" s="21" t="str">
        <f t="shared" si="184"/>
        <v/>
      </c>
      <c r="AY3181" s="21" t="str">
        <f>IF(AND($AM3181&lt;&gt;"",$AS3181&lt;&gt;"✓"),SUMPRODUCT(($AM$11:$AM3181&lt;&gt;"")*($AS$11:$AS3181&lt;&gt;"✓")),"")</f>
        <v/>
      </c>
      <c r="AZ3181" s="21" t="str">
        <f>IF(AND($AM3181&lt;&gt;"",$AS3181="✓"),SUMPRODUCT(($AM$11:$AM3181&lt;&gt;"")*($AS$11:$AS3181="✓")),"")</f>
        <v/>
      </c>
      <c r="BA3181" s="21" t="str">
        <f>IF($AL3181="","",$AL3181&amp;"|"&amp;COUNTIF($AL$11:$AL3181,$AL3181))</f>
        <v/>
      </c>
    </row>
    <row r="3182" spans="38:53" ht="15" customHeight="1" x14ac:dyDescent="0.25">
      <c r="AL3182" s="31"/>
      <c r="AM3182" s="26"/>
      <c r="AN3182" s="32"/>
      <c r="AO3182" s="32"/>
      <c r="AP3182" s="24"/>
      <c r="AQ3182" s="24"/>
      <c r="AR3182" s="33"/>
      <c r="AS3182" s="34"/>
      <c r="AT3182" s="33"/>
      <c r="AV3182" s="21">
        <f>IF(AND($AL3182&lt;&gt;"",COUNTIF($AL$11:$AL3182,$AL3182)=1),1,0)</f>
        <v>0</v>
      </c>
      <c r="AW3182" s="21">
        <f t="shared" si="185"/>
        <v>0</v>
      </c>
      <c r="AX3182" s="21" t="str">
        <f t="shared" si="184"/>
        <v/>
      </c>
      <c r="AY3182" s="21" t="str">
        <f>IF(AND($AM3182&lt;&gt;"",$AS3182&lt;&gt;"✓"),SUMPRODUCT(($AM$11:$AM3182&lt;&gt;"")*($AS$11:$AS3182&lt;&gt;"✓")),"")</f>
        <v/>
      </c>
      <c r="AZ3182" s="21" t="str">
        <f>IF(AND($AM3182&lt;&gt;"",$AS3182="✓"),SUMPRODUCT(($AM$11:$AM3182&lt;&gt;"")*($AS$11:$AS3182="✓")),"")</f>
        <v/>
      </c>
      <c r="BA3182" s="21" t="str">
        <f>IF($AL3182="","",$AL3182&amp;"|"&amp;COUNTIF($AL$11:$AL3182,$AL3182))</f>
        <v/>
      </c>
    </row>
    <row r="3183" spans="38:53" ht="15" customHeight="1" x14ac:dyDescent="0.25">
      <c r="AL3183" s="17"/>
      <c r="AM3183" s="12"/>
      <c r="AN3183" s="18"/>
      <c r="AO3183" s="18"/>
      <c r="AP3183" s="10"/>
      <c r="AQ3183" s="10"/>
      <c r="AR3183" s="19"/>
      <c r="AS3183" s="20"/>
      <c r="AT3183" s="19"/>
      <c r="AV3183" s="21">
        <f>IF(AND($AL3183&lt;&gt;"",COUNTIF($AL$11:$AL3183,$AL3183)=1),1,0)</f>
        <v>0</v>
      </c>
      <c r="AW3183" s="21">
        <f t="shared" si="185"/>
        <v>0</v>
      </c>
      <c r="AX3183" s="21" t="str">
        <f t="shared" si="184"/>
        <v/>
      </c>
      <c r="AY3183" s="21" t="str">
        <f>IF(AND($AM3183&lt;&gt;"",$AS3183&lt;&gt;"✓"),SUMPRODUCT(($AM$11:$AM3183&lt;&gt;"")*($AS$11:$AS3183&lt;&gt;"✓")),"")</f>
        <v/>
      </c>
      <c r="AZ3183" s="21" t="str">
        <f>IF(AND($AM3183&lt;&gt;"",$AS3183="✓"),SUMPRODUCT(($AM$11:$AM3183&lt;&gt;"")*($AS$11:$AS3183="✓")),"")</f>
        <v/>
      </c>
      <c r="BA3183" s="21" t="str">
        <f>IF($AL3183="","",$AL3183&amp;"|"&amp;COUNTIF($AL$11:$AL3183,$AL3183))</f>
        <v/>
      </c>
    </row>
    <row r="3184" spans="38:53" ht="15" customHeight="1" x14ac:dyDescent="0.25">
      <c r="AL3184" s="31"/>
      <c r="AM3184" s="26"/>
      <c r="AN3184" s="32"/>
      <c r="AO3184" s="32"/>
      <c r="AP3184" s="24"/>
      <c r="AQ3184" s="24"/>
      <c r="AR3184" s="33"/>
      <c r="AS3184" s="34"/>
      <c r="AT3184" s="33"/>
      <c r="AV3184" s="21">
        <f>IF(AND($AL3184&lt;&gt;"",COUNTIF($AL$11:$AL3184,$AL3184)=1),1,0)</f>
        <v>0</v>
      </c>
      <c r="AW3184" s="21">
        <f t="shared" si="185"/>
        <v>0</v>
      </c>
      <c r="AX3184" s="21" t="str">
        <f t="shared" si="184"/>
        <v/>
      </c>
      <c r="AY3184" s="21" t="str">
        <f>IF(AND($AM3184&lt;&gt;"",$AS3184&lt;&gt;"✓"),SUMPRODUCT(($AM$11:$AM3184&lt;&gt;"")*($AS$11:$AS3184&lt;&gt;"✓")),"")</f>
        <v/>
      </c>
      <c r="AZ3184" s="21" t="str">
        <f>IF(AND($AM3184&lt;&gt;"",$AS3184="✓"),SUMPRODUCT(($AM$11:$AM3184&lt;&gt;"")*($AS$11:$AS3184="✓")),"")</f>
        <v/>
      </c>
      <c r="BA3184" s="21" t="str">
        <f>IF($AL3184="","",$AL3184&amp;"|"&amp;COUNTIF($AL$11:$AL3184,$AL3184))</f>
        <v/>
      </c>
    </row>
    <row r="3185" spans="38:53" ht="15" customHeight="1" x14ac:dyDescent="0.25">
      <c r="AL3185" s="17"/>
      <c r="AM3185" s="12"/>
      <c r="AN3185" s="18"/>
      <c r="AO3185" s="18"/>
      <c r="AP3185" s="10"/>
      <c r="AQ3185" s="10"/>
      <c r="AR3185" s="19"/>
      <c r="AS3185" s="20"/>
      <c r="AT3185" s="19"/>
      <c r="AV3185" s="21">
        <f>IF(AND($AL3185&lt;&gt;"",COUNTIF($AL$11:$AL3185,$AL3185)=1),1,0)</f>
        <v>0</v>
      </c>
      <c r="AW3185" s="21">
        <f t="shared" si="185"/>
        <v>0</v>
      </c>
      <c r="AX3185" s="21" t="str">
        <f t="shared" si="184"/>
        <v/>
      </c>
      <c r="AY3185" s="21" t="str">
        <f>IF(AND($AM3185&lt;&gt;"",$AS3185&lt;&gt;"✓"),SUMPRODUCT(($AM$11:$AM3185&lt;&gt;"")*($AS$11:$AS3185&lt;&gt;"✓")),"")</f>
        <v/>
      </c>
      <c r="AZ3185" s="21" t="str">
        <f>IF(AND($AM3185&lt;&gt;"",$AS3185="✓"),SUMPRODUCT(($AM$11:$AM3185&lt;&gt;"")*($AS$11:$AS3185="✓")),"")</f>
        <v/>
      </c>
      <c r="BA3185" s="21" t="str">
        <f>IF($AL3185="","",$AL3185&amp;"|"&amp;COUNTIF($AL$11:$AL3185,$AL3185))</f>
        <v/>
      </c>
    </row>
    <row r="3186" spans="38:53" ht="15" customHeight="1" x14ac:dyDescent="0.25">
      <c r="AL3186" s="31"/>
      <c r="AM3186" s="26"/>
      <c r="AN3186" s="32"/>
      <c r="AO3186" s="32"/>
      <c r="AP3186" s="24"/>
      <c r="AQ3186" s="24"/>
      <c r="AR3186" s="33"/>
      <c r="AS3186" s="34"/>
      <c r="AT3186" s="33"/>
      <c r="AV3186" s="21">
        <f>IF(AND($AL3186&lt;&gt;"",COUNTIF($AL$11:$AL3186,$AL3186)=1),1,0)</f>
        <v>0</v>
      </c>
      <c r="AW3186" s="21">
        <f t="shared" si="185"/>
        <v>0</v>
      </c>
      <c r="AX3186" s="21" t="str">
        <f t="shared" si="184"/>
        <v/>
      </c>
      <c r="AY3186" s="21" t="str">
        <f>IF(AND($AM3186&lt;&gt;"",$AS3186&lt;&gt;"✓"),SUMPRODUCT(($AM$11:$AM3186&lt;&gt;"")*($AS$11:$AS3186&lt;&gt;"✓")),"")</f>
        <v/>
      </c>
      <c r="AZ3186" s="21" t="str">
        <f>IF(AND($AM3186&lt;&gt;"",$AS3186="✓"),SUMPRODUCT(($AM$11:$AM3186&lt;&gt;"")*($AS$11:$AS3186="✓")),"")</f>
        <v/>
      </c>
      <c r="BA3186" s="21" t="str">
        <f>IF($AL3186="","",$AL3186&amp;"|"&amp;COUNTIF($AL$11:$AL3186,$AL3186))</f>
        <v/>
      </c>
    </row>
    <row r="3187" spans="38:53" ht="15" customHeight="1" x14ac:dyDescent="0.25">
      <c r="AL3187" s="17"/>
      <c r="AM3187" s="12"/>
      <c r="AN3187" s="18"/>
      <c r="AO3187" s="18"/>
      <c r="AP3187" s="10"/>
      <c r="AQ3187" s="10"/>
      <c r="AR3187" s="19"/>
      <c r="AS3187" s="20"/>
      <c r="AT3187" s="19"/>
      <c r="AV3187" s="21">
        <f>IF(AND($AL3187&lt;&gt;"",COUNTIF($AL$11:$AL3187,$AL3187)=1),1,0)</f>
        <v>0</v>
      </c>
      <c r="AW3187" s="21">
        <f t="shared" si="185"/>
        <v>0</v>
      </c>
      <c r="AX3187" s="21" t="str">
        <f t="shared" si="184"/>
        <v/>
      </c>
      <c r="AY3187" s="21" t="str">
        <f>IF(AND($AM3187&lt;&gt;"",$AS3187&lt;&gt;"✓"),SUMPRODUCT(($AM$11:$AM3187&lt;&gt;"")*($AS$11:$AS3187&lt;&gt;"✓")),"")</f>
        <v/>
      </c>
      <c r="AZ3187" s="21" t="str">
        <f>IF(AND($AM3187&lt;&gt;"",$AS3187="✓"),SUMPRODUCT(($AM$11:$AM3187&lt;&gt;"")*($AS$11:$AS3187="✓")),"")</f>
        <v/>
      </c>
      <c r="BA3187" s="21" t="str">
        <f>IF($AL3187="","",$AL3187&amp;"|"&amp;COUNTIF($AL$11:$AL3187,$AL3187))</f>
        <v/>
      </c>
    </row>
    <row r="3188" spans="38:53" ht="15" customHeight="1" x14ac:dyDescent="0.25">
      <c r="AL3188" s="31"/>
      <c r="AM3188" s="26"/>
      <c r="AN3188" s="32"/>
      <c r="AO3188" s="32"/>
      <c r="AP3188" s="24"/>
      <c r="AQ3188" s="24"/>
      <c r="AR3188" s="33"/>
      <c r="AS3188" s="34"/>
      <c r="AT3188" s="33"/>
      <c r="AV3188" s="21">
        <f>IF(AND($AL3188&lt;&gt;"",COUNTIF($AL$11:$AL3188,$AL3188)=1),1,0)</f>
        <v>0</v>
      </c>
      <c r="AW3188" s="21">
        <f t="shared" si="185"/>
        <v>0</v>
      </c>
      <c r="AX3188" s="21" t="str">
        <f t="shared" si="184"/>
        <v/>
      </c>
      <c r="AY3188" s="21" t="str">
        <f>IF(AND($AM3188&lt;&gt;"",$AS3188&lt;&gt;"✓"),SUMPRODUCT(($AM$11:$AM3188&lt;&gt;"")*($AS$11:$AS3188&lt;&gt;"✓")),"")</f>
        <v/>
      </c>
      <c r="AZ3188" s="21" t="str">
        <f>IF(AND($AM3188&lt;&gt;"",$AS3188="✓"),SUMPRODUCT(($AM$11:$AM3188&lt;&gt;"")*($AS$11:$AS3188="✓")),"")</f>
        <v/>
      </c>
      <c r="BA3188" s="21" t="str">
        <f>IF($AL3188="","",$AL3188&amp;"|"&amp;COUNTIF($AL$11:$AL3188,$AL3188))</f>
        <v/>
      </c>
    </row>
    <row r="3189" spans="38:53" ht="15" customHeight="1" x14ac:dyDescent="0.25">
      <c r="AL3189" s="17"/>
      <c r="AM3189" s="12"/>
      <c r="AN3189" s="18"/>
      <c r="AO3189" s="18"/>
      <c r="AP3189" s="10"/>
      <c r="AQ3189" s="10"/>
      <c r="AR3189" s="19"/>
      <c r="AS3189" s="20"/>
      <c r="AT3189" s="19"/>
      <c r="AV3189" s="21">
        <f>IF(AND($AL3189&lt;&gt;"",COUNTIF($AL$11:$AL3189,$AL3189)=1),1,0)</f>
        <v>0</v>
      </c>
      <c r="AW3189" s="21">
        <f t="shared" si="185"/>
        <v>0</v>
      </c>
      <c r="AX3189" s="21" t="str">
        <f t="shared" si="184"/>
        <v/>
      </c>
      <c r="AY3189" s="21" t="str">
        <f>IF(AND($AM3189&lt;&gt;"",$AS3189&lt;&gt;"✓"),SUMPRODUCT(($AM$11:$AM3189&lt;&gt;"")*($AS$11:$AS3189&lt;&gt;"✓")),"")</f>
        <v/>
      </c>
      <c r="AZ3189" s="21" t="str">
        <f>IF(AND($AM3189&lt;&gt;"",$AS3189="✓"),SUMPRODUCT(($AM$11:$AM3189&lt;&gt;"")*($AS$11:$AS3189="✓")),"")</f>
        <v/>
      </c>
      <c r="BA3189" s="21" t="str">
        <f>IF($AL3189="","",$AL3189&amp;"|"&amp;COUNTIF($AL$11:$AL3189,$AL3189))</f>
        <v/>
      </c>
    </row>
    <row r="3190" spans="38:53" ht="15" customHeight="1" x14ac:dyDescent="0.25">
      <c r="AL3190" s="31"/>
      <c r="AM3190" s="26"/>
      <c r="AN3190" s="32"/>
      <c r="AO3190" s="32"/>
      <c r="AP3190" s="24"/>
      <c r="AQ3190" s="24"/>
      <c r="AR3190" s="33"/>
      <c r="AS3190" s="34"/>
      <c r="AT3190" s="33"/>
      <c r="AV3190" s="21">
        <f>IF(AND($AL3190&lt;&gt;"",COUNTIF($AL$11:$AL3190,$AL3190)=1),1,0)</f>
        <v>0</v>
      </c>
      <c r="AW3190" s="21">
        <f t="shared" si="185"/>
        <v>0</v>
      </c>
      <c r="AX3190" s="21" t="str">
        <f t="shared" si="184"/>
        <v/>
      </c>
      <c r="AY3190" s="21" t="str">
        <f>IF(AND($AM3190&lt;&gt;"",$AS3190&lt;&gt;"✓"),SUMPRODUCT(($AM$11:$AM3190&lt;&gt;"")*($AS$11:$AS3190&lt;&gt;"✓")),"")</f>
        <v/>
      </c>
      <c r="AZ3190" s="21" t="str">
        <f>IF(AND($AM3190&lt;&gt;"",$AS3190="✓"),SUMPRODUCT(($AM$11:$AM3190&lt;&gt;"")*($AS$11:$AS3190="✓")),"")</f>
        <v/>
      </c>
      <c r="BA3190" s="21" t="str">
        <f>IF($AL3190="","",$AL3190&amp;"|"&amp;COUNTIF($AL$11:$AL3190,$AL3190))</f>
        <v/>
      </c>
    </row>
    <row r="3191" spans="38:53" ht="15" customHeight="1" x14ac:dyDescent="0.25">
      <c r="AL3191" s="17"/>
      <c r="AM3191" s="12"/>
      <c r="AN3191" s="18"/>
      <c r="AO3191" s="18"/>
      <c r="AP3191" s="10"/>
      <c r="AQ3191" s="10"/>
      <c r="AR3191" s="19"/>
      <c r="AS3191" s="20"/>
      <c r="AT3191" s="19"/>
      <c r="AV3191" s="21">
        <f>IF(AND($AL3191&lt;&gt;"",COUNTIF($AL$11:$AL3191,$AL3191)=1),1,0)</f>
        <v>0</v>
      </c>
      <c r="AW3191" s="21">
        <f t="shared" si="185"/>
        <v>0</v>
      </c>
      <c r="AX3191" s="21" t="str">
        <f t="shared" si="184"/>
        <v/>
      </c>
      <c r="AY3191" s="21" t="str">
        <f>IF(AND($AM3191&lt;&gt;"",$AS3191&lt;&gt;"✓"),SUMPRODUCT(($AM$11:$AM3191&lt;&gt;"")*($AS$11:$AS3191&lt;&gt;"✓")),"")</f>
        <v/>
      </c>
      <c r="AZ3191" s="21" t="str">
        <f>IF(AND($AM3191&lt;&gt;"",$AS3191="✓"),SUMPRODUCT(($AM$11:$AM3191&lt;&gt;"")*($AS$11:$AS3191="✓")),"")</f>
        <v/>
      </c>
      <c r="BA3191" s="21" t="str">
        <f>IF($AL3191="","",$AL3191&amp;"|"&amp;COUNTIF($AL$11:$AL3191,$AL3191))</f>
        <v/>
      </c>
    </row>
    <row r="3192" spans="38:53" ht="15" customHeight="1" x14ac:dyDescent="0.25">
      <c r="AL3192" s="31"/>
      <c r="AM3192" s="26"/>
      <c r="AN3192" s="32"/>
      <c r="AO3192" s="32"/>
      <c r="AP3192" s="24"/>
      <c r="AQ3192" s="24"/>
      <c r="AR3192" s="33"/>
      <c r="AS3192" s="34"/>
      <c r="AT3192" s="33"/>
      <c r="AV3192" s="21">
        <f>IF(AND($AL3192&lt;&gt;"",COUNTIF($AL$11:$AL3192,$AL3192)=1),1,0)</f>
        <v>0</v>
      </c>
      <c r="AW3192" s="21">
        <f t="shared" si="185"/>
        <v>0</v>
      </c>
      <c r="AX3192" s="21" t="str">
        <f t="shared" si="184"/>
        <v/>
      </c>
      <c r="AY3192" s="21" t="str">
        <f>IF(AND($AM3192&lt;&gt;"",$AS3192&lt;&gt;"✓"),SUMPRODUCT(($AM$11:$AM3192&lt;&gt;"")*($AS$11:$AS3192&lt;&gt;"✓")),"")</f>
        <v/>
      </c>
      <c r="AZ3192" s="21" t="str">
        <f>IF(AND($AM3192&lt;&gt;"",$AS3192="✓"),SUMPRODUCT(($AM$11:$AM3192&lt;&gt;"")*($AS$11:$AS3192="✓")),"")</f>
        <v/>
      </c>
      <c r="BA3192" s="21" t="str">
        <f>IF($AL3192="","",$AL3192&amp;"|"&amp;COUNTIF($AL$11:$AL3192,$AL3192))</f>
        <v/>
      </c>
    </row>
    <row r="3193" spans="38:53" ht="15" customHeight="1" x14ac:dyDescent="0.25">
      <c r="AL3193" s="17"/>
      <c r="AM3193" s="12"/>
      <c r="AN3193" s="18"/>
      <c r="AO3193" s="18"/>
      <c r="AP3193" s="10"/>
      <c r="AQ3193" s="10"/>
      <c r="AR3193" s="19"/>
      <c r="AS3193" s="20"/>
      <c r="AT3193" s="19"/>
      <c r="AV3193" s="21">
        <f>IF(AND($AL3193&lt;&gt;"",COUNTIF($AL$11:$AL3193,$AL3193)=1),1,0)</f>
        <v>0</v>
      </c>
      <c r="AW3193" s="21">
        <f t="shared" si="185"/>
        <v>0</v>
      </c>
      <c r="AX3193" s="21" t="str">
        <f t="shared" si="184"/>
        <v/>
      </c>
      <c r="AY3193" s="21" t="str">
        <f>IF(AND($AM3193&lt;&gt;"",$AS3193&lt;&gt;"✓"),SUMPRODUCT(($AM$11:$AM3193&lt;&gt;"")*($AS$11:$AS3193&lt;&gt;"✓")),"")</f>
        <v/>
      </c>
      <c r="AZ3193" s="21" t="str">
        <f>IF(AND($AM3193&lt;&gt;"",$AS3193="✓"),SUMPRODUCT(($AM$11:$AM3193&lt;&gt;"")*($AS$11:$AS3193="✓")),"")</f>
        <v/>
      </c>
      <c r="BA3193" s="21" t="str">
        <f>IF($AL3193="","",$AL3193&amp;"|"&amp;COUNTIF($AL$11:$AL3193,$AL3193))</f>
        <v/>
      </c>
    </row>
    <row r="3194" spans="38:53" ht="15" customHeight="1" x14ac:dyDescent="0.25">
      <c r="AL3194" s="31"/>
      <c r="AM3194" s="26"/>
      <c r="AN3194" s="32"/>
      <c r="AO3194" s="32"/>
      <c r="AP3194" s="24"/>
      <c r="AQ3194" s="24"/>
      <c r="AR3194" s="33"/>
      <c r="AS3194" s="34"/>
      <c r="AT3194" s="33"/>
      <c r="AV3194" s="21">
        <f>IF(AND($AL3194&lt;&gt;"",COUNTIF($AL$11:$AL3194,$AL3194)=1),1,0)</f>
        <v>0</v>
      </c>
      <c r="AW3194" s="21">
        <f t="shared" si="185"/>
        <v>0</v>
      </c>
      <c r="AX3194" s="21" t="str">
        <f t="shared" si="184"/>
        <v/>
      </c>
      <c r="AY3194" s="21" t="str">
        <f>IF(AND($AM3194&lt;&gt;"",$AS3194&lt;&gt;"✓"),SUMPRODUCT(($AM$11:$AM3194&lt;&gt;"")*($AS$11:$AS3194&lt;&gt;"✓")),"")</f>
        <v/>
      </c>
      <c r="AZ3194" s="21" t="str">
        <f>IF(AND($AM3194&lt;&gt;"",$AS3194="✓"),SUMPRODUCT(($AM$11:$AM3194&lt;&gt;"")*($AS$11:$AS3194="✓")),"")</f>
        <v/>
      </c>
      <c r="BA3194" s="21" t="str">
        <f>IF($AL3194="","",$AL3194&amp;"|"&amp;COUNTIF($AL$11:$AL3194,$AL3194))</f>
        <v/>
      </c>
    </row>
    <row r="3195" spans="38:53" ht="15" customHeight="1" x14ac:dyDescent="0.25">
      <c r="AL3195" s="17"/>
      <c r="AM3195" s="12"/>
      <c r="AN3195" s="18"/>
      <c r="AO3195" s="18"/>
      <c r="AP3195" s="10"/>
      <c r="AQ3195" s="10"/>
      <c r="AR3195" s="19"/>
      <c r="AS3195" s="20"/>
      <c r="AT3195" s="19"/>
      <c r="AV3195" s="21">
        <f>IF(AND($AL3195&lt;&gt;"",COUNTIF($AL$11:$AL3195,$AL3195)=1),1,0)</f>
        <v>0</v>
      </c>
      <c r="AW3195" s="21">
        <f t="shared" si="185"/>
        <v>0</v>
      </c>
      <c r="AX3195" s="21" t="str">
        <f t="shared" si="184"/>
        <v/>
      </c>
      <c r="AY3195" s="21" t="str">
        <f>IF(AND($AM3195&lt;&gt;"",$AS3195&lt;&gt;"✓"),SUMPRODUCT(($AM$11:$AM3195&lt;&gt;"")*($AS$11:$AS3195&lt;&gt;"✓")),"")</f>
        <v/>
      </c>
      <c r="AZ3195" s="21" t="str">
        <f>IF(AND($AM3195&lt;&gt;"",$AS3195="✓"),SUMPRODUCT(($AM$11:$AM3195&lt;&gt;"")*($AS$11:$AS3195="✓")),"")</f>
        <v/>
      </c>
      <c r="BA3195" s="21" t="str">
        <f>IF($AL3195="","",$AL3195&amp;"|"&amp;COUNTIF($AL$11:$AL3195,$AL3195))</f>
        <v/>
      </c>
    </row>
    <row r="3196" spans="38:53" ht="15" customHeight="1" x14ac:dyDescent="0.25">
      <c r="AL3196" s="31"/>
      <c r="AM3196" s="26"/>
      <c r="AN3196" s="32"/>
      <c r="AO3196" s="32"/>
      <c r="AP3196" s="24"/>
      <c r="AQ3196" s="24"/>
      <c r="AR3196" s="33"/>
      <c r="AS3196" s="34"/>
      <c r="AT3196" s="33"/>
      <c r="AV3196" s="21">
        <f>IF(AND($AL3196&lt;&gt;"",COUNTIF($AL$11:$AL3196,$AL3196)=1),1,0)</f>
        <v>0</v>
      </c>
      <c r="AW3196" s="21">
        <f t="shared" si="185"/>
        <v>0</v>
      </c>
      <c r="AX3196" s="21" t="str">
        <f t="shared" si="184"/>
        <v/>
      </c>
      <c r="AY3196" s="21" t="str">
        <f>IF(AND($AM3196&lt;&gt;"",$AS3196&lt;&gt;"✓"),SUMPRODUCT(($AM$11:$AM3196&lt;&gt;"")*($AS$11:$AS3196&lt;&gt;"✓")),"")</f>
        <v/>
      </c>
      <c r="AZ3196" s="21" t="str">
        <f>IF(AND($AM3196&lt;&gt;"",$AS3196="✓"),SUMPRODUCT(($AM$11:$AM3196&lt;&gt;"")*($AS$11:$AS3196="✓")),"")</f>
        <v/>
      </c>
      <c r="BA3196" s="21" t="str">
        <f>IF($AL3196="","",$AL3196&amp;"|"&amp;COUNTIF($AL$11:$AL3196,$AL3196))</f>
        <v/>
      </c>
    </row>
    <row r="3197" spans="38:53" ht="15" customHeight="1" x14ac:dyDescent="0.25">
      <c r="AL3197" s="17"/>
      <c r="AM3197" s="12"/>
      <c r="AN3197" s="18"/>
      <c r="AO3197" s="18"/>
      <c r="AP3197" s="10"/>
      <c r="AQ3197" s="10"/>
      <c r="AR3197" s="19"/>
      <c r="AS3197" s="20"/>
      <c r="AT3197" s="19"/>
      <c r="AV3197" s="21">
        <f>IF(AND($AL3197&lt;&gt;"",COUNTIF($AL$11:$AL3197,$AL3197)=1),1,0)</f>
        <v>0</v>
      </c>
      <c r="AW3197" s="21">
        <f t="shared" si="185"/>
        <v>0</v>
      </c>
      <c r="AX3197" s="21" t="str">
        <f t="shared" si="184"/>
        <v/>
      </c>
      <c r="AY3197" s="21" t="str">
        <f>IF(AND($AM3197&lt;&gt;"",$AS3197&lt;&gt;"✓"),SUMPRODUCT(($AM$11:$AM3197&lt;&gt;"")*($AS$11:$AS3197&lt;&gt;"✓")),"")</f>
        <v/>
      </c>
      <c r="AZ3197" s="21" t="str">
        <f>IF(AND($AM3197&lt;&gt;"",$AS3197="✓"),SUMPRODUCT(($AM$11:$AM3197&lt;&gt;"")*($AS$11:$AS3197="✓")),"")</f>
        <v/>
      </c>
      <c r="BA3197" s="21" t="str">
        <f>IF($AL3197="","",$AL3197&amp;"|"&amp;COUNTIF($AL$11:$AL3197,$AL3197))</f>
        <v/>
      </c>
    </row>
    <row r="3198" spans="38:53" ht="15" customHeight="1" x14ac:dyDescent="0.25">
      <c r="AL3198" s="31"/>
      <c r="AM3198" s="26"/>
      <c r="AN3198" s="32"/>
      <c r="AO3198" s="32"/>
      <c r="AP3198" s="24"/>
      <c r="AQ3198" s="24"/>
      <c r="AR3198" s="33"/>
      <c r="AS3198" s="34"/>
      <c r="AT3198" s="33"/>
      <c r="AV3198" s="21">
        <f>IF(AND($AL3198&lt;&gt;"",COUNTIF($AL$11:$AL3198,$AL3198)=1),1,0)</f>
        <v>0</v>
      </c>
      <c r="AW3198" s="21">
        <f t="shared" si="185"/>
        <v>0</v>
      </c>
      <c r="AX3198" s="21" t="str">
        <f t="shared" si="184"/>
        <v/>
      </c>
      <c r="AY3198" s="21" t="str">
        <f>IF(AND($AM3198&lt;&gt;"",$AS3198&lt;&gt;"✓"),SUMPRODUCT(($AM$11:$AM3198&lt;&gt;"")*($AS$11:$AS3198&lt;&gt;"✓")),"")</f>
        <v/>
      </c>
      <c r="AZ3198" s="21" t="str">
        <f>IF(AND($AM3198&lt;&gt;"",$AS3198="✓"),SUMPRODUCT(($AM$11:$AM3198&lt;&gt;"")*($AS$11:$AS3198="✓")),"")</f>
        <v/>
      </c>
      <c r="BA3198" s="21" t="str">
        <f>IF($AL3198="","",$AL3198&amp;"|"&amp;COUNTIF($AL$11:$AL3198,$AL3198))</f>
        <v/>
      </c>
    </row>
    <row r="3199" spans="38:53" ht="15" customHeight="1" x14ac:dyDescent="0.25">
      <c r="AL3199" s="17"/>
      <c r="AM3199" s="12"/>
      <c r="AN3199" s="18"/>
      <c r="AO3199" s="18"/>
      <c r="AP3199" s="10"/>
      <c r="AQ3199" s="10"/>
      <c r="AR3199" s="19"/>
      <c r="AS3199" s="20"/>
      <c r="AT3199" s="19"/>
      <c r="AV3199" s="21">
        <f>IF(AND($AL3199&lt;&gt;"",COUNTIF($AL$11:$AL3199,$AL3199)=1),1,0)</f>
        <v>0</v>
      </c>
      <c r="AW3199" s="21">
        <f t="shared" si="185"/>
        <v>0</v>
      </c>
      <c r="AX3199" s="21" t="str">
        <f t="shared" si="184"/>
        <v/>
      </c>
      <c r="AY3199" s="21" t="str">
        <f>IF(AND($AM3199&lt;&gt;"",$AS3199&lt;&gt;"✓"),SUMPRODUCT(($AM$11:$AM3199&lt;&gt;"")*($AS$11:$AS3199&lt;&gt;"✓")),"")</f>
        <v/>
      </c>
      <c r="AZ3199" s="21" t="str">
        <f>IF(AND($AM3199&lt;&gt;"",$AS3199="✓"),SUMPRODUCT(($AM$11:$AM3199&lt;&gt;"")*($AS$11:$AS3199="✓")),"")</f>
        <v/>
      </c>
      <c r="BA3199" s="21" t="str">
        <f>IF($AL3199="","",$AL3199&amp;"|"&amp;COUNTIF($AL$11:$AL3199,$AL3199))</f>
        <v/>
      </c>
    </row>
    <row r="3200" spans="38:53" ht="15" customHeight="1" x14ac:dyDescent="0.25">
      <c r="AL3200" s="31"/>
      <c r="AM3200" s="26"/>
      <c r="AN3200" s="32"/>
      <c r="AO3200" s="32"/>
      <c r="AP3200" s="24"/>
      <c r="AQ3200" s="24"/>
      <c r="AR3200" s="33"/>
      <c r="AS3200" s="34"/>
      <c r="AT3200" s="33"/>
      <c r="AV3200" s="21">
        <f>IF(AND($AL3200&lt;&gt;"",COUNTIF($AL$11:$AL3200,$AL3200)=1),1,0)</f>
        <v>0</v>
      </c>
      <c r="AW3200" s="21">
        <f t="shared" si="185"/>
        <v>0</v>
      </c>
      <c r="AX3200" s="21" t="str">
        <f t="shared" si="184"/>
        <v/>
      </c>
      <c r="AY3200" s="21" t="str">
        <f>IF(AND($AM3200&lt;&gt;"",$AS3200&lt;&gt;"✓"),SUMPRODUCT(($AM$11:$AM3200&lt;&gt;"")*($AS$11:$AS3200&lt;&gt;"✓")),"")</f>
        <v/>
      </c>
      <c r="AZ3200" s="21" t="str">
        <f>IF(AND($AM3200&lt;&gt;"",$AS3200="✓"),SUMPRODUCT(($AM$11:$AM3200&lt;&gt;"")*($AS$11:$AS3200="✓")),"")</f>
        <v/>
      </c>
      <c r="BA3200" s="21" t="str">
        <f>IF($AL3200="","",$AL3200&amp;"|"&amp;COUNTIF($AL$11:$AL3200,$AL3200))</f>
        <v/>
      </c>
    </row>
    <row r="3201" spans="38:53" ht="15" customHeight="1" x14ac:dyDescent="0.25">
      <c r="AL3201" s="17"/>
      <c r="AM3201" s="12"/>
      <c r="AN3201" s="18"/>
      <c r="AO3201" s="18"/>
      <c r="AP3201" s="10"/>
      <c r="AQ3201" s="10"/>
      <c r="AR3201" s="19"/>
      <c r="AS3201" s="20"/>
      <c r="AT3201" s="19"/>
      <c r="AV3201" s="21">
        <f>IF(AND($AL3201&lt;&gt;"",COUNTIF($AL$11:$AL3201,$AL3201)=1),1,0)</f>
        <v>0</v>
      </c>
      <c r="AW3201" s="21">
        <f t="shared" si="185"/>
        <v>0</v>
      </c>
      <c r="AX3201" s="21" t="str">
        <f t="shared" si="184"/>
        <v/>
      </c>
      <c r="AY3201" s="21" t="str">
        <f>IF(AND($AM3201&lt;&gt;"",$AS3201&lt;&gt;"✓"),SUMPRODUCT(($AM$11:$AM3201&lt;&gt;"")*($AS$11:$AS3201&lt;&gt;"✓")),"")</f>
        <v/>
      </c>
      <c r="AZ3201" s="21" t="str">
        <f>IF(AND($AM3201&lt;&gt;"",$AS3201="✓"),SUMPRODUCT(($AM$11:$AM3201&lt;&gt;"")*($AS$11:$AS3201="✓")),"")</f>
        <v/>
      </c>
      <c r="BA3201" s="21" t="str">
        <f>IF($AL3201="","",$AL3201&amp;"|"&amp;COUNTIF($AL$11:$AL3201,$AL3201))</f>
        <v/>
      </c>
    </row>
    <row r="3202" spans="38:53" ht="15" customHeight="1" x14ac:dyDescent="0.25">
      <c r="AL3202" s="31"/>
      <c r="AM3202" s="26"/>
      <c r="AN3202" s="32"/>
      <c r="AO3202" s="32"/>
      <c r="AP3202" s="24"/>
      <c r="AQ3202" s="24"/>
      <c r="AR3202" s="33"/>
      <c r="AS3202" s="34"/>
      <c r="AT3202" s="33"/>
      <c r="AV3202" s="21">
        <f>IF(AND($AL3202&lt;&gt;"",COUNTIF($AL$11:$AL3202,$AL3202)=1),1,0)</f>
        <v>0</v>
      </c>
      <c r="AW3202" s="21">
        <f t="shared" si="185"/>
        <v>0</v>
      </c>
      <c r="AX3202" s="21" t="str">
        <f t="shared" si="184"/>
        <v/>
      </c>
      <c r="AY3202" s="21" t="str">
        <f>IF(AND($AM3202&lt;&gt;"",$AS3202&lt;&gt;"✓"),SUMPRODUCT(($AM$11:$AM3202&lt;&gt;"")*($AS$11:$AS3202&lt;&gt;"✓")),"")</f>
        <v/>
      </c>
      <c r="AZ3202" s="21" t="str">
        <f>IF(AND($AM3202&lt;&gt;"",$AS3202="✓"),SUMPRODUCT(($AM$11:$AM3202&lt;&gt;"")*($AS$11:$AS3202="✓")),"")</f>
        <v/>
      </c>
      <c r="BA3202" s="21" t="str">
        <f>IF($AL3202="","",$AL3202&amp;"|"&amp;COUNTIF($AL$11:$AL3202,$AL3202))</f>
        <v/>
      </c>
    </row>
    <row r="3203" spans="38:53" ht="15" customHeight="1" x14ac:dyDescent="0.25">
      <c r="AL3203" s="17"/>
      <c r="AM3203" s="12"/>
      <c r="AN3203" s="18"/>
      <c r="AO3203" s="18"/>
      <c r="AP3203" s="10"/>
      <c r="AQ3203" s="10"/>
      <c r="AR3203" s="19"/>
      <c r="AS3203" s="20"/>
      <c r="AT3203" s="19"/>
      <c r="AV3203" s="21">
        <f>IF(AND($AL3203&lt;&gt;"",COUNTIF($AL$11:$AL3203,$AL3203)=1),1,0)</f>
        <v>0</v>
      </c>
      <c r="AW3203" s="21">
        <f t="shared" si="185"/>
        <v>0</v>
      </c>
      <c r="AX3203" s="21" t="str">
        <f t="shared" si="184"/>
        <v/>
      </c>
      <c r="AY3203" s="21" t="str">
        <f>IF(AND($AM3203&lt;&gt;"",$AS3203&lt;&gt;"✓"),SUMPRODUCT(($AM$11:$AM3203&lt;&gt;"")*($AS$11:$AS3203&lt;&gt;"✓")),"")</f>
        <v/>
      </c>
      <c r="AZ3203" s="21" t="str">
        <f>IF(AND($AM3203&lt;&gt;"",$AS3203="✓"),SUMPRODUCT(($AM$11:$AM3203&lt;&gt;"")*($AS$11:$AS3203="✓")),"")</f>
        <v/>
      </c>
      <c r="BA3203" s="21" t="str">
        <f>IF($AL3203="","",$AL3203&amp;"|"&amp;COUNTIF($AL$11:$AL3203,$AL3203))</f>
        <v/>
      </c>
    </row>
    <row r="3204" spans="38:53" ht="15" customHeight="1" x14ac:dyDescent="0.25">
      <c r="AL3204" s="31"/>
      <c r="AM3204" s="26"/>
      <c r="AN3204" s="32"/>
      <c r="AO3204" s="32"/>
      <c r="AP3204" s="24"/>
      <c r="AQ3204" s="24"/>
      <c r="AR3204" s="33"/>
      <c r="AS3204" s="34"/>
      <c r="AT3204" s="33"/>
      <c r="AV3204" s="21">
        <f>IF(AND($AL3204&lt;&gt;"",COUNTIF($AL$11:$AL3204,$AL3204)=1),1,0)</f>
        <v>0</v>
      </c>
      <c r="AW3204" s="21">
        <f t="shared" si="185"/>
        <v>0</v>
      </c>
      <c r="AX3204" s="21" t="str">
        <f t="shared" si="184"/>
        <v/>
      </c>
      <c r="AY3204" s="21" t="str">
        <f>IF(AND($AM3204&lt;&gt;"",$AS3204&lt;&gt;"✓"),SUMPRODUCT(($AM$11:$AM3204&lt;&gt;"")*($AS$11:$AS3204&lt;&gt;"✓")),"")</f>
        <v/>
      </c>
      <c r="AZ3204" s="21" t="str">
        <f>IF(AND($AM3204&lt;&gt;"",$AS3204="✓"),SUMPRODUCT(($AM$11:$AM3204&lt;&gt;"")*($AS$11:$AS3204="✓")),"")</f>
        <v/>
      </c>
      <c r="BA3204" s="21" t="str">
        <f>IF($AL3204="","",$AL3204&amp;"|"&amp;COUNTIF($AL$11:$AL3204,$AL3204))</f>
        <v/>
      </c>
    </row>
    <row r="3205" spans="38:53" ht="15" customHeight="1" x14ac:dyDescent="0.25">
      <c r="AL3205" s="17"/>
      <c r="AM3205" s="12"/>
      <c r="AN3205" s="18"/>
      <c r="AO3205" s="18"/>
      <c r="AP3205" s="10"/>
      <c r="AQ3205" s="10"/>
      <c r="AR3205" s="19"/>
      <c r="AS3205" s="20"/>
      <c r="AT3205" s="19"/>
      <c r="AV3205" s="21">
        <f>IF(AND($AL3205&lt;&gt;"",COUNTIF($AL$11:$AL3205,$AL3205)=1),1,0)</f>
        <v>0</v>
      </c>
      <c r="AW3205" s="21">
        <f t="shared" si="185"/>
        <v>0</v>
      </c>
      <c r="AX3205" s="21" t="str">
        <f t="shared" si="184"/>
        <v/>
      </c>
      <c r="AY3205" s="21" t="str">
        <f>IF(AND($AM3205&lt;&gt;"",$AS3205&lt;&gt;"✓"),SUMPRODUCT(($AM$11:$AM3205&lt;&gt;"")*($AS$11:$AS3205&lt;&gt;"✓")),"")</f>
        <v/>
      </c>
      <c r="AZ3205" s="21" t="str">
        <f>IF(AND($AM3205&lt;&gt;"",$AS3205="✓"),SUMPRODUCT(($AM$11:$AM3205&lt;&gt;"")*($AS$11:$AS3205="✓")),"")</f>
        <v/>
      </c>
      <c r="BA3205" s="21" t="str">
        <f>IF($AL3205="","",$AL3205&amp;"|"&amp;COUNTIF($AL$11:$AL3205,$AL3205))</f>
        <v/>
      </c>
    </row>
    <row r="3206" spans="38:53" ht="15" customHeight="1" x14ac:dyDescent="0.25">
      <c r="AL3206" s="31"/>
      <c r="AM3206" s="26"/>
      <c r="AN3206" s="32"/>
      <c r="AO3206" s="32"/>
      <c r="AP3206" s="24"/>
      <c r="AQ3206" s="24"/>
      <c r="AR3206" s="33"/>
      <c r="AS3206" s="34"/>
      <c r="AT3206" s="33"/>
      <c r="AV3206" s="21">
        <f>IF(AND($AL3206&lt;&gt;"",COUNTIF($AL$11:$AL3206,$AL3206)=1),1,0)</f>
        <v>0</v>
      </c>
      <c r="AW3206" s="21">
        <f t="shared" si="185"/>
        <v>0</v>
      </c>
      <c r="AX3206" s="21" t="str">
        <f t="shared" si="184"/>
        <v/>
      </c>
      <c r="AY3206" s="21" t="str">
        <f>IF(AND($AM3206&lt;&gt;"",$AS3206&lt;&gt;"✓"),SUMPRODUCT(($AM$11:$AM3206&lt;&gt;"")*($AS$11:$AS3206&lt;&gt;"✓")),"")</f>
        <v/>
      </c>
      <c r="AZ3206" s="21" t="str">
        <f>IF(AND($AM3206&lt;&gt;"",$AS3206="✓"),SUMPRODUCT(($AM$11:$AM3206&lt;&gt;"")*($AS$11:$AS3206="✓")),"")</f>
        <v/>
      </c>
      <c r="BA3206" s="21" t="str">
        <f>IF($AL3206="","",$AL3206&amp;"|"&amp;COUNTIF($AL$11:$AL3206,$AL3206))</f>
        <v/>
      </c>
    </row>
    <row r="3207" spans="38:53" ht="15" customHeight="1" x14ac:dyDescent="0.25">
      <c r="AL3207" s="17"/>
      <c r="AM3207" s="12"/>
      <c r="AN3207" s="18"/>
      <c r="AO3207" s="18"/>
      <c r="AP3207" s="10"/>
      <c r="AQ3207" s="10"/>
      <c r="AR3207" s="19"/>
      <c r="AS3207" s="20"/>
      <c r="AT3207" s="19"/>
      <c r="AV3207" s="21">
        <f>IF(AND($AL3207&lt;&gt;"",COUNTIF($AL$11:$AL3207,$AL3207)=1),1,0)</f>
        <v>0</v>
      </c>
      <c r="AW3207" s="21">
        <f t="shared" si="185"/>
        <v>0</v>
      </c>
      <c r="AX3207" s="21" t="str">
        <f t="shared" si="184"/>
        <v/>
      </c>
      <c r="AY3207" s="21" t="str">
        <f>IF(AND($AM3207&lt;&gt;"",$AS3207&lt;&gt;"✓"),SUMPRODUCT(($AM$11:$AM3207&lt;&gt;"")*($AS$11:$AS3207&lt;&gt;"✓")),"")</f>
        <v/>
      </c>
      <c r="AZ3207" s="21" t="str">
        <f>IF(AND($AM3207&lt;&gt;"",$AS3207="✓"),SUMPRODUCT(($AM$11:$AM3207&lt;&gt;"")*($AS$11:$AS3207="✓")),"")</f>
        <v/>
      </c>
      <c r="BA3207" s="21" t="str">
        <f>IF($AL3207="","",$AL3207&amp;"|"&amp;COUNTIF($AL$11:$AL3207,$AL3207))</f>
        <v/>
      </c>
    </row>
    <row r="3208" spans="38:53" ht="15" customHeight="1" x14ac:dyDescent="0.25">
      <c r="AL3208" s="31"/>
      <c r="AM3208" s="26"/>
      <c r="AN3208" s="32"/>
      <c r="AO3208" s="32"/>
      <c r="AP3208" s="24"/>
      <c r="AQ3208" s="24"/>
      <c r="AR3208" s="33"/>
      <c r="AS3208" s="34"/>
      <c r="AT3208" s="33"/>
      <c r="AV3208" s="21">
        <f>IF(AND($AL3208&lt;&gt;"",COUNTIF($AL$11:$AL3208,$AL3208)=1),1,0)</f>
        <v>0</v>
      </c>
      <c r="AW3208" s="21">
        <f t="shared" si="185"/>
        <v>0</v>
      </c>
      <c r="AX3208" s="21" t="str">
        <f t="shared" si="184"/>
        <v/>
      </c>
      <c r="AY3208" s="21" t="str">
        <f>IF(AND($AM3208&lt;&gt;"",$AS3208&lt;&gt;"✓"),SUMPRODUCT(($AM$11:$AM3208&lt;&gt;"")*($AS$11:$AS3208&lt;&gt;"✓")),"")</f>
        <v/>
      </c>
      <c r="AZ3208" s="21" t="str">
        <f>IF(AND($AM3208&lt;&gt;"",$AS3208="✓"),SUMPRODUCT(($AM$11:$AM3208&lt;&gt;"")*($AS$11:$AS3208="✓")),"")</f>
        <v/>
      </c>
      <c r="BA3208" s="21" t="str">
        <f>IF($AL3208="","",$AL3208&amp;"|"&amp;COUNTIF($AL$11:$AL3208,$AL3208))</f>
        <v/>
      </c>
    </row>
    <row r="3209" spans="38:53" ht="15" customHeight="1" x14ac:dyDescent="0.25">
      <c r="AL3209" s="17"/>
      <c r="AM3209" s="12"/>
      <c r="AN3209" s="18"/>
      <c r="AO3209" s="18"/>
      <c r="AP3209" s="10"/>
      <c r="AQ3209" s="10"/>
      <c r="AR3209" s="19"/>
      <c r="AS3209" s="20"/>
      <c r="AT3209" s="19"/>
      <c r="AV3209" s="21">
        <f>IF(AND($AL3209&lt;&gt;"",COUNTIF($AL$11:$AL3209,$AL3209)=1),1,0)</f>
        <v>0</v>
      </c>
      <c r="AW3209" s="21">
        <f t="shared" si="185"/>
        <v>0</v>
      </c>
      <c r="AX3209" s="21" t="str">
        <f t="shared" si="184"/>
        <v/>
      </c>
      <c r="AY3209" s="21" t="str">
        <f>IF(AND($AM3209&lt;&gt;"",$AS3209&lt;&gt;"✓"),SUMPRODUCT(($AM$11:$AM3209&lt;&gt;"")*($AS$11:$AS3209&lt;&gt;"✓")),"")</f>
        <v/>
      </c>
      <c r="AZ3209" s="21" t="str">
        <f>IF(AND($AM3209&lt;&gt;"",$AS3209="✓"),SUMPRODUCT(($AM$11:$AM3209&lt;&gt;"")*($AS$11:$AS3209="✓")),"")</f>
        <v/>
      </c>
      <c r="BA3209" s="21" t="str">
        <f>IF($AL3209="","",$AL3209&amp;"|"&amp;COUNTIF($AL$11:$AL3209,$AL3209))</f>
        <v/>
      </c>
    </row>
    <row r="3210" spans="38:53" ht="15" customHeight="1" x14ac:dyDescent="0.25">
      <c r="AL3210" s="31"/>
      <c r="AM3210" s="26"/>
      <c r="AN3210" s="32"/>
      <c r="AO3210" s="32"/>
      <c r="AP3210" s="24"/>
      <c r="AQ3210" s="24"/>
      <c r="AR3210" s="33"/>
      <c r="AS3210" s="34"/>
      <c r="AT3210" s="33"/>
      <c r="AV3210" s="21">
        <f>IF(AND($AL3210&lt;&gt;"",COUNTIF($AL$11:$AL3210,$AL3210)=1),1,0)</f>
        <v>0</v>
      </c>
      <c r="AW3210" s="21">
        <f t="shared" si="185"/>
        <v>0</v>
      </c>
      <c r="AX3210" s="21" t="str">
        <f t="shared" si="184"/>
        <v/>
      </c>
      <c r="AY3210" s="21" t="str">
        <f>IF(AND($AM3210&lt;&gt;"",$AS3210&lt;&gt;"✓"),SUMPRODUCT(($AM$11:$AM3210&lt;&gt;"")*($AS$11:$AS3210&lt;&gt;"✓")),"")</f>
        <v/>
      </c>
      <c r="AZ3210" s="21" t="str">
        <f>IF(AND($AM3210&lt;&gt;"",$AS3210="✓"),SUMPRODUCT(($AM$11:$AM3210&lt;&gt;"")*($AS$11:$AS3210="✓")),"")</f>
        <v/>
      </c>
      <c r="BA3210" s="21" t="str">
        <f>IF($AL3210="","",$AL3210&amp;"|"&amp;COUNTIF($AL$11:$AL3210,$AL3210))</f>
        <v/>
      </c>
    </row>
    <row r="3211" spans="38:53" ht="15" customHeight="1" x14ac:dyDescent="0.25">
      <c r="AL3211" s="17"/>
      <c r="AM3211" s="12"/>
      <c r="AN3211" s="18"/>
      <c r="AO3211" s="18"/>
      <c r="AP3211" s="10"/>
      <c r="AQ3211" s="10"/>
      <c r="AR3211" s="19"/>
      <c r="AS3211" s="20"/>
      <c r="AT3211" s="19"/>
      <c r="AV3211" s="21">
        <f>IF(AND($AL3211&lt;&gt;"",COUNTIF($AL$11:$AL3211,$AL3211)=1),1,0)</f>
        <v>0</v>
      </c>
      <c r="AW3211" s="21">
        <f t="shared" si="185"/>
        <v>0</v>
      </c>
      <c r="AX3211" s="21" t="str">
        <f t="shared" ref="AX3211:AX3274" si="186">IF(AV3211=1,AW3211,"")</f>
        <v/>
      </c>
      <c r="AY3211" s="21" t="str">
        <f>IF(AND($AM3211&lt;&gt;"",$AS3211&lt;&gt;"✓"),SUMPRODUCT(($AM$11:$AM3211&lt;&gt;"")*($AS$11:$AS3211&lt;&gt;"✓")),"")</f>
        <v/>
      </c>
      <c r="AZ3211" s="21" t="str">
        <f>IF(AND($AM3211&lt;&gt;"",$AS3211="✓"),SUMPRODUCT(($AM$11:$AM3211&lt;&gt;"")*($AS$11:$AS3211="✓")),"")</f>
        <v/>
      </c>
      <c r="BA3211" s="21" t="str">
        <f>IF($AL3211="","",$AL3211&amp;"|"&amp;COUNTIF($AL$11:$AL3211,$AL3211))</f>
        <v/>
      </c>
    </row>
    <row r="3212" spans="38:53" ht="15" customHeight="1" x14ac:dyDescent="0.25">
      <c r="AL3212" s="31"/>
      <c r="AM3212" s="26"/>
      <c r="AN3212" s="32"/>
      <c r="AO3212" s="32"/>
      <c r="AP3212" s="24"/>
      <c r="AQ3212" s="24"/>
      <c r="AR3212" s="33"/>
      <c r="AS3212" s="34"/>
      <c r="AT3212" s="33"/>
      <c r="AV3212" s="21">
        <f>IF(AND($AL3212&lt;&gt;"",COUNTIF($AL$11:$AL3212,$AL3212)=1),1,0)</f>
        <v>0</v>
      </c>
      <c r="AW3212" s="21">
        <f t="shared" ref="AW3212:AW3275" si="187">AW3211+AV3212</f>
        <v>0</v>
      </c>
      <c r="AX3212" s="21" t="str">
        <f t="shared" si="186"/>
        <v/>
      </c>
      <c r="AY3212" s="21" t="str">
        <f>IF(AND($AM3212&lt;&gt;"",$AS3212&lt;&gt;"✓"),SUMPRODUCT(($AM$11:$AM3212&lt;&gt;"")*($AS$11:$AS3212&lt;&gt;"✓")),"")</f>
        <v/>
      </c>
      <c r="AZ3212" s="21" t="str">
        <f>IF(AND($AM3212&lt;&gt;"",$AS3212="✓"),SUMPRODUCT(($AM$11:$AM3212&lt;&gt;"")*($AS$11:$AS3212="✓")),"")</f>
        <v/>
      </c>
      <c r="BA3212" s="21" t="str">
        <f>IF($AL3212="","",$AL3212&amp;"|"&amp;COUNTIF($AL$11:$AL3212,$AL3212))</f>
        <v/>
      </c>
    </row>
    <row r="3213" spans="38:53" ht="15" customHeight="1" x14ac:dyDescent="0.25">
      <c r="AL3213" s="17"/>
      <c r="AM3213" s="12"/>
      <c r="AN3213" s="18"/>
      <c r="AO3213" s="18"/>
      <c r="AP3213" s="10"/>
      <c r="AQ3213" s="10"/>
      <c r="AR3213" s="19"/>
      <c r="AS3213" s="20"/>
      <c r="AT3213" s="19"/>
      <c r="AV3213" s="21">
        <f>IF(AND($AL3213&lt;&gt;"",COUNTIF($AL$11:$AL3213,$AL3213)=1),1,0)</f>
        <v>0</v>
      </c>
      <c r="AW3213" s="21">
        <f t="shared" si="187"/>
        <v>0</v>
      </c>
      <c r="AX3213" s="21" t="str">
        <f t="shared" si="186"/>
        <v/>
      </c>
      <c r="AY3213" s="21" t="str">
        <f>IF(AND($AM3213&lt;&gt;"",$AS3213&lt;&gt;"✓"),SUMPRODUCT(($AM$11:$AM3213&lt;&gt;"")*($AS$11:$AS3213&lt;&gt;"✓")),"")</f>
        <v/>
      </c>
      <c r="AZ3213" s="21" t="str">
        <f>IF(AND($AM3213&lt;&gt;"",$AS3213="✓"),SUMPRODUCT(($AM$11:$AM3213&lt;&gt;"")*($AS$11:$AS3213="✓")),"")</f>
        <v/>
      </c>
      <c r="BA3213" s="21" t="str">
        <f>IF($AL3213="","",$AL3213&amp;"|"&amp;COUNTIF($AL$11:$AL3213,$AL3213))</f>
        <v/>
      </c>
    </row>
    <row r="3214" spans="38:53" ht="15" customHeight="1" x14ac:dyDescent="0.25">
      <c r="AL3214" s="31"/>
      <c r="AM3214" s="26"/>
      <c r="AN3214" s="32"/>
      <c r="AO3214" s="32"/>
      <c r="AP3214" s="24"/>
      <c r="AQ3214" s="24"/>
      <c r="AR3214" s="33"/>
      <c r="AS3214" s="34"/>
      <c r="AT3214" s="33"/>
      <c r="AV3214" s="21">
        <f>IF(AND($AL3214&lt;&gt;"",COUNTIF($AL$11:$AL3214,$AL3214)=1),1,0)</f>
        <v>0</v>
      </c>
      <c r="AW3214" s="21">
        <f t="shared" si="187"/>
        <v>0</v>
      </c>
      <c r="AX3214" s="21" t="str">
        <f t="shared" si="186"/>
        <v/>
      </c>
      <c r="AY3214" s="21" t="str">
        <f>IF(AND($AM3214&lt;&gt;"",$AS3214&lt;&gt;"✓"),SUMPRODUCT(($AM$11:$AM3214&lt;&gt;"")*($AS$11:$AS3214&lt;&gt;"✓")),"")</f>
        <v/>
      </c>
      <c r="AZ3214" s="21" t="str">
        <f>IF(AND($AM3214&lt;&gt;"",$AS3214="✓"),SUMPRODUCT(($AM$11:$AM3214&lt;&gt;"")*($AS$11:$AS3214="✓")),"")</f>
        <v/>
      </c>
      <c r="BA3214" s="21" t="str">
        <f>IF($AL3214="","",$AL3214&amp;"|"&amp;COUNTIF($AL$11:$AL3214,$AL3214))</f>
        <v/>
      </c>
    </row>
    <row r="3215" spans="38:53" ht="15" customHeight="1" x14ac:dyDescent="0.25">
      <c r="AL3215" s="17"/>
      <c r="AM3215" s="12"/>
      <c r="AN3215" s="18"/>
      <c r="AO3215" s="18"/>
      <c r="AP3215" s="10"/>
      <c r="AQ3215" s="10"/>
      <c r="AR3215" s="19"/>
      <c r="AS3215" s="20"/>
      <c r="AT3215" s="19"/>
      <c r="AV3215" s="21">
        <f>IF(AND($AL3215&lt;&gt;"",COUNTIF($AL$11:$AL3215,$AL3215)=1),1,0)</f>
        <v>0</v>
      </c>
      <c r="AW3215" s="21">
        <f t="shared" si="187"/>
        <v>0</v>
      </c>
      <c r="AX3215" s="21" t="str">
        <f t="shared" si="186"/>
        <v/>
      </c>
      <c r="AY3215" s="21" t="str">
        <f>IF(AND($AM3215&lt;&gt;"",$AS3215&lt;&gt;"✓"),SUMPRODUCT(($AM$11:$AM3215&lt;&gt;"")*($AS$11:$AS3215&lt;&gt;"✓")),"")</f>
        <v/>
      </c>
      <c r="AZ3215" s="21" t="str">
        <f>IF(AND($AM3215&lt;&gt;"",$AS3215="✓"),SUMPRODUCT(($AM$11:$AM3215&lt;&gt;"")*($AS$11:$AS3215="✓")),"")</f>
        <v/>
      </c>
      <c r="BA3215" s="21" t="str">
        <f>IF($AL3215="","",$AL3215&amp;"|"&amp;COUNTIF($AL$11:$AL3215,$AL3215))</f>
        <v/>
      </c>
    </row>
    <row r="3216" spans="38:53" ht="15" customHeight="1" x14ac:dyDescent="0.25">
      <c r="AL3216" s="31"/>
      <c r="AM3216" s="26"/>
      <c r="AN3216" s="32"/>
      <c r="AO3216" s="32"/>
      <c r="AP3216" s="24"/>
      <c r="AQ3216" s="24"/>
      <c r="AR3216" s="33"/>
      <c r="AS3216" s="34"/>
      <c r="AT3216" s="33"/>
      <c r="AV3216" s="21">
        <f>IF(AND($AL3216&lt;&gt;"",COUNTIF($AL$11:$AL3216,$AL3216)=1),1,0)</f>
        <v>0</v>
      </c>
      <c r="AW3216" s="21">
        <f t="shared" si="187"/>
        <v>0</v>
      </c>
      <c r="AX3216" s="21" t="str">
        <f t="shared" si="186"/>
        <v/>
      </c>
      <c r="AY3216" s="21" t="str">
        <f>IF(AND($AM3216&lt;&gt;"",$AS3216&lt;&gt;"✓"),SUMPRODUCT(($AM$11:$AM3216&lt;&gt;"")*($AS$11:$AS3216&lt;&gt;"✓")),"")</f>
        <v/>
      </c>
      <c r="AZ3216" s="21" t="str">
        <f>IF(AND($AM3216&lt;&gt;"",$AS3216="✓"),SUMPRODUCT(($AM$11:$AM3216&lt;&gt;"")*($AS$11:$AS3216="✓")),"")</f>
        <v/>
      </c>
      <c r="BA3216" s="21" t="str">
        <f>IF($AL3216="","",$AL3216&amp;"|"&amp;COUNTIF($AL$11:$AL3216,$AL3216))</f>
        <v/>
      </c>
    </row>
    <row r="3217" spans="38:53" ht="15" customHeight="1" x14ac:dyDescent="0.25">
      <c r="AL3217" s="17"/>
      <c r="AM3217" s="12"/>
      <c r="AN3217" s="18"/>
      <c r="AO3217" s="18"/>
      <c r="AP3217" s="10"/>
      <c r="AQ3217" s="10"/>
      <c r="AR3217" s="19"/>
      <c r="AS3217" s="20"/>
      <c r="AT3217" s="19"/>
      <c r="AV3217" s="21">
        <f>IF(AND($AL3217&lt;&gt;"",COUNTIF($AL$11:$AL3217,$AL3217)=1),1,0)</f>
        <v>0</v>
      </c>
      <c r="AW3217" s="21">
        <f t="shared" si="187"/>
        <v>0</v>
      </c>
      <c r="AX3217" s="21" t="str">
        <f t="shared" si="186"/>
        <v/>
      </c>
      <c r="AY3217" s="21" t="str">
        <f>IF(AND($AM3217&lt;&gt;"",$AS3217&lt;&gt;"✓"),SUMPRODUCT(($AM$11:$AM3217&lt;&gt;"")*($AS$11:$AS3217&lt;&gt;"✓")),"")</f>
        <v/>
      </c>
      <c r="AZ3217" s="21" t="str">
        <f>IF(AND($AM3217&lt;&gt;"",$AS3217="✓"),SUMPRODUCT(($AM$11:$AM3217&lt;&gt;"")*($AS$11:$AS3217="✓")),"")</f>
        <v/>
      </c>
      <c r="BA3217" s="21" t="str">
        <f>IF($AL3217="","",$AL3217&amp;"|"&amp;COUNTIF($AL$11:$AL3217,$AL3217))</f>
        <v/>
      </c>
    </row>
    <row r="3218" spans="38:53" ht="15" customHeight="1" x14ac:dyDescent="0.25">
      <c r="AL3218" s="31"/>
      <c r="AM3218" s="26"/>
      <c r="AN3218" s="32"/>
      <c r="AO3218" s="32"/>
      <c r="AP3218" s="24"/>
      <c r="AQ3218" s="24"/>
      <c r="AR3218" s="33"/>
      <c r="AS3218" s="34"/>
      <c r="AT3218" s="33"/>
      <c r="AV3218" s="21">
        <f>IF(AND($AL3218&lt;&gt;"",COUNTIF($AL$11:$AL3218,$AL3218)=1),1,0)</f>
        <v>0</v>
      </c>
      <c r="AW3218" s="21">
        <f t="shared" si="187"/>
        <v>0</v>
      </c>
      <c r="AX3218" s="21" t="str">
        <f t="shared" si="186"/>
        <v/>
      </c>
      <c r="AY3218" s="21" t="str">
        <f>IF(AND($AM3218&lt;&gt;"",$AS3218&lt;&gt;"✓"),SUMPRODUCT(($AM$11:$AM3218&lt;&gt;"")*($AS$11:$AS3218&lt;&gt;"✓")),"")</f>
        <v/>
      </c>
      <c r="AZ3218" s="21" t="str">
        <f>IF(AND($AM3218&lt;&gt;"",$AS3218="✓"),SUMPRODUCT(($AM$11:$AM3218&lt;&gt;"")*($AS$11:$AS3218="✓")),"")</f>
        <v/>
      </c>
      <c r="BA3218" s="21" t="str">
        <f>IF($AL3218="","",$AL3218&amp;"|"&amp;COUNTIF($AL$11:$AL3218,$AL3218))</f>
        <v/>
      </c>
    </row>
    <row r="3219" spans="38:53" ht="15" customHeight="1" x14ac:dyDescent="0.25">
      <c r="AL3219" s="17"/>
      <c r="AM3219" s="12"/>
      <c r="AN3219" s="18"/>
      <c r="AO3219" s="18"/>
      <c r="AP3219" s="10"/>
      <c r="AQ3219" s="10"/>
      <c r="AR3219" s="19"/>
      <c r="AS3219" s="20"/>
      <c r="AT3219" s="19"/>
      <c r="AV3219" s="21">
        <f>IF(AND($AL3219&lt;&gt;"",COUNTIF($AL$11:$AL3219,$AL3219)=1),1,0)</f>
        <v>0</v>
      </c>
      <c r="AW3219" s="21">
        <f t="shared" si="187"/>
        <v>0</v>
      </c>
      <c r="AX3219" s="21" t="str">
        <f t="shared" si="186"/>
        <v/>
      </c>
      <c r="AY3219" s="21" t="str">
        <f>IF(AND($AM3219&lt;&gt;"",$AS3219&lt;&gt;"✓"),SUMPRODUCT(($AM$11:$AM3219&lt;&gt;"")*($AS$11:$AS3219&lt;&gt;"✓")),"")</f>
        <v/>
      </c>
      <c r="AZ3219" s="21" t="str">
        <f>IF(AND($AM3219&lt;&gt;"",$AS3219="✓"),SUMPRODUCT(($AM$11:$AM3219&lt;&gt;"")*($AS$11:$AS3219="✓")),"")</f>
        <v/>
      </c>
      <c r="BA3219" s="21" t="str">
        <f>IF($AL3219="","",$AL3219&amp;"|"&amp;COUNTIF($AL$11:$AL3219,$AL3219))</f>
        <v/>
      </c>
    </row>
    <row r="3220" spans="38:53" ht="15" customHeight="1" x14ac:dyDescent="0.25">
      <c r="AL3220" s="31"/>
      <c r="AM3220" s="26"/>
      <c r="AN3220" s="32"/>
      <c r="AO3220" s="32"/>
      <c r="AP3220" s="24"/>
      <c r="AQ3220" s="24"/>
      <c r="AR3220" s="33"/>
      <c r="AS3220" s="34"/>
      <c r="AT3220" s="33"/>
      <c r="AV3220" s="21">
        <f>IF(AND($AL3220&lt;&gt;"",COUNTIF($AL$11:$AL3220,$AL3220)=1),1,0)</f>
        <v>0</v>
      </c>
      <c r="AW3220" s="21">
        <f t="shared" si="187"/>
        <v>0</v>
      </c>
      <c r="AX3220" s="21" t="str">
        <f t="shared" si="186"/>
        <v/>
      </c>
      <c r="AY3220" s="21" t="str">
        <f>IF(AND($AM3220&lt;&gt;"",$AS3220&lt;&gt;"✓"),SUMPRODUCT(($AM$11:$AM3220&lt;&gt;"")*($AS$11:$AS3220&lt;&gt;"✓")),"")</f>
        <v/>
      </c>
      <c r="AZ3220" s="21" t="str">
        <f>IF(AND($AM3220&lt;&gt;"",$AS3220="✓"),SUMPRODUCT(($AM$11:$AM3220&lt;&gt;"")*($AS$11:$AS3220="✓")),"")</f>
        <v/>
      </c>
      <c r="BA3220" s="21" t="str">
        <f>IF($AL3220="","",$AL3220&amp;"|"&amp;COUNTIF($AL$11:$AL3220,$AL3220))</f>
        <v/>
      </c>
    </row>
    <row r="3221" spans="38:53" ht="15" customHeight="1" x14ac:dyDescent="0.25">
      <c r="AL3221" s="17"/>
      <c r="AM3221" s="12"/>
      <c r="AN3221" s="18"/>
      <c r="AO3221" s="18"/>
      <c r="AP3221" s="10"/>
      <c r="AQ3221" s="10"/>
      <c r="AR3221" s="19"/>
      <c r="AS3221" s="20"/>
      <c r="AT3221" s="19"/>
      <c r="AV3221" s="21">
        <f>IF(AND($AL3221&lt;&gt;"",COUNTIF($AL$11:$AL3221,$AL3221)=1),1,0)</f>
        <v>0</v>
      </c>
      <c r="AW3221" s="21">
        <f t="shared" si="187"/>
        <v>0</v>
      </c>
      <c r="AX3221" s="21" t="str">
        <f t="shared" si="186"/>
        <v/>
      </c>
      <c r="AY3221" s="21" t="str">
        <f>IF(AND($AM3221&lt;&gt;"",$AS3221&lt;&gt;"✓"),SUMPRODUCT(($AM$11:$AM3221&lt;&gt;"")*($AS$11:$AS3221&lt;&gt;"✓")),"")</f>
        <v/>
      </c>
      <c r="AZ3221" s="21" t="str">
        <f>IF(AND($AM3221&lt;&gt;"",$AS3221="✓"),SUMPRODUCT(($AM$11:$AM3221&lt;&gt;"")*($AS$11:$AS3221="✓")),"")</f>
        <v/>
      </c>
      <c r="BA3221" s="21" t="str">
        <f>IF($AL3221="","",$AL3221&amp;"|"&amp;COUNTIF($AL$11:$AL3221,$AL3221))</f>
        <v/>
      </c>
    </row>
    <row r="3222" spans="38:53" ht="15" customHeight="1" x14ac:dyDescent="0.25">
      <c r="AL3222" s="31"/>
      <c r="AM3222" s="26"/>
      <c r="AN3222" s="32"/>
      <c r="AO3222" s="32"/>
      <c r="AP3222" s="24"/>
      <c r="AQ3222" s="24"/>
      <c r="AR3222" s="33"/>
      <c r="AS3222" s="34"/>
      <c r="AT3222" s="33"/>
      <c r="AV3222" s="21">
        <f>IF(AND($AL3222&lt;&gt;"",COUNTIF($AL$11:$AL3222,$AL3222)=1),1,0)</f>
        <v>0</v>
      </c>
      <c r="AW3222" s="21">
        <f t="shared" si="187"/>
        <v>0</v>
      </c>
      <c r="AX3222" s="21" t="str">
        <f t="shared" si="186"/>
        <v/>
      </c>
      <c r="AY3222" s="21" t="str">
        <f>IF(AND($AM3222&lt;&gt;"",$AS3222&lt;&gt;"✓"),SUMPRODUCT(($AM$11:$AM3222&lt;&gt;"")*($AS$11:$AS3222&lt;&gt;"✓")),"")</f>
        <v/>
      </c>
      <c r="AZ3222" s="21" t="str">
        <f>IF(AND($AM3222&lt;&gt;"",$AS3222="✓"),SUMPRODUCT(($AM$11:$AM3222&lt;&gt;"")*($AS$11:$AS3222="✓")),"")</f>
        <v/>
      </c>
      <c r="BA3222" s="21" t="str">
        <f>IF($AL3222="","",$AL3222&amp;"|"&amp;COUNTIF($AL$11:$AL3222,$AL3222))</f>
        <v/>
      </c>
    </row>
    <row r="3223" spans="38:53" ht="15" customHeight="1" x14ac:dyDescent="0.25">
      <c r="AL3223" s="17"/>
      <c r="AM3223" s="12"/>
      <c r="AN3223" s="18"/>
      <c r="AO3223" s="18"/>
      <c r="AP3223" s="10"/>
      <c r="AQ3223" s="10"/>
      <c r="AR3223" s="19"/>
      <c r="AS3223" s="20"/>
      <c r="AT3223" s="19"/>
      <c r="AV3223" s="21">
        <f>IF(AND($AL3223&lt;&gt;"",COUNTIF($AL$11:$AL3223,$AL3223)=1),1,0)</f>
        <v>0</v>
      </c>
      <c r="AW3223" s="21">
        <f t="shared" si="187"/>
        <v>0</v>
      </c>
      <c r="AX3223" s="21" t="str">
        <f t="shared" si="186"/>
        <v/>
      </c>
      <c r="AY3223" s="21" t="str">
        <f>IF(AND($AM3223&lt;&gt;"",$AS3223&lt;&gt;"✓"),SUMPRODUCT(($AM$11:$AM3223&lt;&gt;"")*($AS$11:$AS3223&lt;&gt;"✓")),"")</f>
        <v/>
      </c>
      <c r="AZ3223" s="21" t="str">
        <f>IF(AND($AM3223&lt;&gt;"",$AS3223="✓"),SUMPRODUCT(($AM$11:$AM3223&lt;&gt;"")*($AS$11:$AS3223="✓")),"")</f>
        <v/>
      </c>
      <c r="BA3223" s="21" t="str">
        <f>IF($AL3223="","",$AL3223&amp;"|"&amp;COUNTIF($AL$11:$AL3223,$AL3223))</f>
        <v/>
      </c>
    </row>
    <row r="3224" spans="38:53" ht="15" customHeight="1" x14ac:dyDescent="0.25">
      <c r="AL3224" s="31"/>
      <c r="AM3224" s="26"/>
      <c r="AN3224" s="32"/>
      <c r="AO3224" s="32"/>
      <c r="AP3224" s="24"/>
      <c r="AQ3224" s="24"/>
      <c r="AR3224" s="33"/>
      <c r="AS3224" s="34"/>
      <c r="AT3224" s="33"/>
      <c r="AV3224" s="21">
        <f>IF(AND($AL3224&lt;&gt;"",COUNTIF($AL$11:$AL3224,$AL3224)=1),1,0)</f>
        <v>0</v>
      </c>
      <c r="AW3224" s="21">
        <f t="shared" si="187"/>
        <v>0</v>
      </c>
      <c r="AX3224" s="21" t="str">
        <f t="shared" si="186"/>
        <v/>
      </c>
      <c r="AY3224" s="21" t="str">
        <f>IF(AND($AM3224&lt;&gt;"",$AS3224&lt;&gt;"✓"),SUMPRODUCT(($AM$11:$AM3224&lt;&gt;"")*($AS$11:$AS3224&lt;&gt;"✓")),"")</f>
        <v/>
      </c>
      <c r="AZ3224" s="21" t="str">
        <f>IF(AND($AM3224&lt;&gt;"",$AS3224="✓"),SUMPRODUCT(($AM$11:$AM3224&lt;&gt;"")*($AS$11:$AS3224="✓")),"")</f>
        <v/>
      </c>
      <c r="BA3224" s="21" t="str">
        <f>IF($AL3224="","",$AL3224&amp;"|"&amp;COUNTIF($AL$11:$AL3224,$AL3224))</f>
        <v/>
      </c>
    </row>
    <row r="3225" spans="38:53" ht="15" customHeight="1" x14ac:dyDescent="0.25">
      <c r="AL3225" s="17"/>
      <c r="AM3225" s="12"/>
      <c r="AN3225" s="18"/>
      <c r="AO3225" s="18"/>
      <c r="AP3225" s="10"/>
      <c r="AQ3225" s="10"/>
      <c r="AR3225" s="19"/>
      <c r="AS3225" s="20"/>
      <c r="AT3225" s="19"/>
      <c r="AV3225" s="21">
        <f>IF(AND($AL3225&lt;&gt;"",COUNTIF($AL$11:$AL3225,$AL3225)=1),1,0)</f>
        <v>0</v>
      </c>
      <c r="AW3225" s="21">
        <f t="shared" si="187"/>
        <v>0</v>
      </c>
      <c r="AX3225" s="21" t="str">
        <f t="shared" si="186"/>
        <v/>
      </c>
      <c r="AY3225" s="21" t="str">
        <f>IF(AND($AM3225&lt;&gt;"",$AS3225&lt;&gt;"✓"),SUMPRODUCT(($AM$11:$AM3225&lt;&gt;"")*($AS$11:$AS3225&lt;&gt;"✓")),"")</f>
        <v/>
      </c>
      <c r="AZ3225" s="21" t="str">
        <f>IF(AND($AM3225&lt;&gt;"",$AS3225="✓"),SUMPRODUCT(($AM$11:$AM3225&lt;&gt;"")*($AS$11:$AS3225="✓")),"")</f>
        <v/>
      </c>
      <c r="BA3225" s="21" t="str">
        <f>IF($AL3225="","",$AL3225&amp;"|"&amp;COUNTIF($AL$11:$AL3225,$AL3225))</f>
        <v/>
      </c>
    </row>
    <row r="3226" spans="38:53" ht="15" customHeight="1" x14ac:dyDescent="0.25">
      <c r="AL3226" s="31"/>
      <c r="AM3226" s="26"/>
      <c r="AN3226" s="32"/>
      <c r="AO3226" s="32"/>
      <c r="AP3226" s="24"/>
      <c r="AQ3226" s="24"/>
      <c r="AR3226" s="33"/>
      <c r="AS3226" s="34"/>
      <c r="AT3226" s="33"/>
      <c r="AV3226" s="21">
        <f>IF(AND($AL3226&lt;&gt;"",COUNTIF($AL$11:$AL3226,$AL3226)=1),1,0)</f>
        <v>0</v>
      </c>
      <c r="AW3226" s="21">
        <f t="shared" si="187"/>
        <v>0</v>
      </c>
      <c r="AX3226" s="21" t="str">
        <f t="shared" si="186"/>
        <v/>
      </c>
      <c r="AY3226" s="21" t="str">
        <f>IF(AND($AM3226&lt;&gt;"",$AS3226&lt;&gt;"✓"),SUMPRODUCT(($AM$11:$AM3226&lt;&gt;"")*($AS$11:$AS3226&lt;&gt;"✓")),"")</f>
        <v/>
      </c>
      <c r="AZ3226" s="21" t="str">
        <f>IF(AND($AM3226&lt;&gt;"",$AS3226="✓"),SUMPRODUCT(($AM$11:$AM3226&lt;&gt;"")*($AS$11:$AS3226="✓")),"")</f>
        <v/>
      </c>
      <c r="BA3226" s="21" t="str">
        <f>IF($AL3226="","",$AL3226&amp;"|"&amp;COUNTIF($AL$11:$AL3226,$AL3226))</f>
        <v/>
      </c>
    </row>
    <row r="3227" spans="38:53" ht="15" customHeight="1" x14ac:dyDescent="0.25">
      <c r="AL3227" s="17"/>
      <c r="AM3227" s="12"/>
      <c r="AN3227" s="18"/>
      <c r="AO3227" s="18"/>
      <c r="AP3227" s="10"/>
      <c r="AQ3227" s="10"/>
      <c r="AR3227" s="19"/>
      <c r="AS3227" s="20"/>
      <c r="AT3227" s="19"/>
      <c r="AV3227" s="21">
        <f>IF(AND($AL3227&lt;&gt;"",COUNTIF($AL$11:$AL3227,$AL3227)=1),1,0)</f>
        <v>0</v>
      </c>
      <c r="AW3227" s="21">
        <f t="shared" si="187"/>
        <v>0</v>
      </c>
      <c r="AX3227" s="21" t="str">
        <f t="shared" si="186"/>
        <v/>
      </c>
      <c r="AY3227" s="21" t="str">
        <f>IF(AND($AM3227&lt;&gt;"",$AS3227&lt;&gt;"✓"),SUMPRODUCT(($AM$11:$AM3227&lt;&gt;"")*($AS$11:$AS3227&lt;&gt;"✓")),"")</f>
        <v/>
      </c>
      <c r="AZ3227" s="21" t="str">
        <f>IF(AND($AM3227&lt;&gt;"",$AS3227="✓"),SUMPRODUCT(($AM$11:$AM3227&lt;&gt;"")*($AS$11:$AS3227="✓")),"")</f>
        <v/>
      </c>
      <c r="BA3227" s="21" t="str">
        <f>IF($AL3227="","",$AL3227&amp;"|"&amp;COUNTIF($AL$11:$AL3227,$AL3227))</f>
        <v/>
      </c>
    </row>
    <row r="3228" spans="38:53" ht="15" customHeight="1" x14ac:dyDescent="0.25">
      <c r="AL3228" s="31"/>
      <c r="AM3228" s="26"/>
      <c r="AN3228" s="32"/>
      <c r="AO3228" s="32"/>
      <c r="AP3228" s="24"/>
      <c r="AQ3228" s="24"/>
      <c r="AR3228" s="33"/>
      <c r="AS3228" s="34"/>
      <c r="AT3228" s="33"/>
      <c r="AV3228" s="21">
        <f>IF(AND($AL3228&lt;&gt;"",COUNTIF($AL$11:$AL3228,$AL3228)=1),1,0)</f>
        <v>0</v>
      </c>
      <c r="AW3228" s="21">
        <f t="shared" si="187"/>
        <v>0</v>
      </c>
      <c r="AX3228" s="21" t="str">
        <f t="shared" si="186"/>
        <v/>
      </c>
      <c r="AY3228" s="21" t="str">
        <f>IF(AND($AM3228&lt;&gt;"",$AS3228&lt;&gt;"✓"),SUMPRODUCT(($AM$11:$AM3228&lt;&gt;"")*($AS$11:$AS3228&lt;&gt;"✓")),"")</f>
        <v/>
      </c>
      <c r="AZ3228" s="21" t="str">
        <f>IF(AND($AM3228&lt;&gt;"",$AS3228="✓"),SUMPRODUCT(($AM$11:$AM3228&lt;&gt;"")*($AS$11:$AS3228="✓")),"")</f>
        <v/>
      </c>
      <c r="BA3228" s="21" t="str">
        <f>IF($AL3228="","",$AL3228&amp;"|"&amp;COUNTIF($AL$11:$AL3228,$AL3228))</f>
        <v/>
      </c>
    </row>
    <row r="3229" spans="38:53" ht="15" customHeight="1" x14ac:dyDescent="0.25">
      <c r="AL3229" s="17"/>
      <c r="AM3229" s="12"/>
      <c r="AN3229" s="18"/>
      <c r="AO3229" s="18"/>
      <c r="AP3229" s="10"/>
      <c r="AQ3229" s="10"/>
      <c r="AR3229" s="19"/>
      <c r="AS3229" s="20"/>
      <c r="AT3229" s="19"/>
      <c r="AV3229" s="21">
        <f>IF(AND($AL3229&lt;&gt;"",COUNTIF($AL$11:$AL3229,$AL3229)=1),1,0)</f>
        <v>0</v>
      </c>
      <c r="AW3229" s="21">
        <f t="shared" si="187"/>
        <v>0</v>
      </c>
      <c r="AX3229" s="21" t="str">
        <f t="shared" si="186"/>
        <v/>
      </c>
      <c r="AY3229" s="21" t="str">
        <f>IF(AND($AM3229&lt;&gt;"",$AS3229&lt;&gt;"✓"),SUMPRODUCT(($AM$11:$AM3229&lt;&gt;"")*($AS$11:$AS3229&lt;&gt;"✓")),"")</f>
        <v/>
      </c>
      <c r="AZ3229" s="21" t="str">
        <f>IF(AND($AM3229&lt;&gt;"",$AS3229="✓"),SUMPRODUCT(($AM$11:$AM3229&lt;&gt;"")*($AS$11:$AS3229="✓")),"")</f>
        <v/>
      </c>
      <c r="BA3229" s="21" t="str">
        <f>IF($AL3229="","",$AL3229&amp;"|"&amp;COUNTIF($AL$11:$AL3229,$AL3229))</f>
        <v/>
      </c>
    </row>
    <row r="3230" spans="38:53" ht="15" customHeight="1" x14ac:dyDescent="0.25">
      <c r="AL3230" s="31"/>
      <c r="AM3230" s="26"/>
      <c r="AN3230" s="32"/>
      <c r="AO3230" s="32"/>
      <c r="AP3230" s="24"/>
      <c r="AQ3230" s="24"/>
      <c r="AR3230" s="33"/>
      <c r="AS3230" s="34"/>
      <c r="AT3230" s="33"/>
      <c r="AV3230" s="21">
        <f>IF(AND($AL3230&lt;&gt;"",COUNTIF($AL$11:$AL3230,$AL3230)=1),1,0)</f>
        <v>0</v>
      </c>
      <c r="AW3230" s="21">
        <f t="shared" si="187"/>
        <v>0</v>
      </c>
      <c r="AX3230" s="21" t="str">
        <f t="shared" si="186"/>
        <v/>
      </c>
      <c r="AY3230" s="21" t="str">
        <f>IF(AND($AM3230&lt;&gt;"",$AS3230&lt;&gt;"✓"),SUMPRODUCT(($AM$11:$AM3230&lt;&gt;"")*($AS$11:$AS3230&lt;&gt;"✓")),"")</f>
        <v/>
      </c>
      <c r="AZ3230" s="21" t="str">
        <f>IF(AND($AM3230&lt;&gt;"",$AS3230="✓"),SUMPRODUCT(($AM$11:$AM3230&lt;&gt;"")*($AS$11:$AS3230="✓")),"")</f>
        <v/>
      </c>
      <c r="BA3230" s="21" t="str">
        <f>IF($AL3230="","",$AL3230&amp;"|"&amp;COUNTIF($AL$11:$AL3230,$AL3230))</f>
        <v/>
      </c>
    </row>
    <row r="3231" spans="38:53" ht="15" customHeight="1" x14ac:dyDescent="0.25">
      <c r="AL3231" s="17"/>
      <c r="AM3231" s="12"/>
      <c r="AN3231" s="18"/>
      <c r="AO3231" s="18"/>
      <c r="AP3231" s="10"/>
      <c r="AQ3231" s="10"/>
      <c r="AR3231" s="19"/>
      <c r="AS3231" s="20"/>
      <c r="AT3231" s="19"/>
      <c r="AV3231" s="21">
        <f>IF(AND($AL3231&lt;&gt;"",COUNTIF($AL$11:$AL3231,$AL3231)=1),1,0)</f>
        <v>0</v>
      </c>
      <c r="AW3231" s="21">
        <f t="shared" si="187"/>
        <v>0</v>
      </c>
      <c r="AX3231" s="21" t="str">
        <f t="shared" si="186"/>
        <v/>
      </c>
      <c r="AY3231" s="21" t="str">
        <f>IF(AND($AM3231&lt;&gt;"",$AS3231&lt;&gt;"✓"),SUMPRODUCT(($AM$11:$AM3231&lt;&gt;"")*($AS$11:$AS3231&lt;&gt;"✓")),"")</f>
        <v/>
      </c>
      <c r="AZ3231" s="21" t="str">
        <f>IF(AND($AM3231&lt;&gt;"",$AS3231="✓"),SUMPRODUCT(($AM$11:$AM3231&lt;&gt;"")*($AS$11:$AS3231="✓")),"")</f>
        <v/>
      </c>
      <c r="BA3231" s="21" t="str">
        <f>IF($AL3231="","",$AL3231&amp;"|"&amp;COUNTIF($AL$11:$AL3231,$AL3231))</f>
        <v/>
      </c>
    </row>
    <row r="3232" spans="38:53" ht="15" customHeight="1" x14ac:dyDescent="0.25">
      <c r="AL3232" s="31"/>
      <c r="AM3232" s="26"/>
      <c r="AN3232" s="32"/>
      <c r="AO3232" s="32"/>
      <c r="AP3232" s="24"/>
      <c r="AQ3232" s="24"/>
      <c r="AR3232" s="33"/>
      <c r="AS3232" s="34"/>
      <c r="AT3232" s="33"/>
      <c r="AV3232" s="21">
        <f>IF(AND($AL3232&lt;&gt;"",COUNTIF($AL$11:$AL3232,$AL3232)=1),1,0)</f>
        <v>0</v>
      </c>
      <c r="AW3232" s="21">
        <f t="shared" si="187"/>
        <v>0</v>
      </c>
      <c r="AX3232" s="21" t="str">
        <f t="shared" si="186"/>
        <v/>
      </c>
      <c r="AY3232" s="21" t="str">
        <f>IF(AND($AM3232&lt;&gt;"",$AS3232&lt;&gt;"✓"),SUMPRODUCT(($AM$11:$AM3232&lt;&gt;"")*($AS$11:$AS3232&lt;&gt;"✓")),"")</f>
        <v/>
      </c>
      <c r="AZ3232" s="21" t="str">
        <f>IF(AND($AM3232&lt;&gt;"",$AS3232="✓"),SUMPRODUCT(($AM$11:$AM3232&lt;&gt;"")*($AS$11:$AS3232="✓")),"")</f>
        <v/>
      </c>
      <c r="BA3232" s="21" t="str">
        <f>IF($AL3232="","",$AL3232&amp;"|"&amp;COUNTIF($AL$11:$AL3232,$AL3232))</f>
        <v/>
      </c>
    </row>
    <row r="3233" spans="38:53" ht="15" customHeight="1" x14ac:dyDescent="0.25">
      <c r="AL3233" s="17"/>
      <c r="AM3233" s="12"/>
      <c r="AN3233" s="18"/>
      <c r="AO3233" s="18"/>
      <c r="AP3233" s="10"/>
      <c r="AQ3233" s="10"/>
      <c r="AR3233" s="19"/>
      <c r="AS3233" s="20"/>
      <c r="AT3233" s="19"/>
      <c r="AV3233" s="21">
        <f>IF(AND($AL3233&lt;&gt;"",COUNTIF($AL$11:$AL3233,$AL3233)=1),1,0)</f>
        <v>0</v>
      </c>
      <c r="AW3233" s="21">
        <f t="shared" si="187"/>
        <v>0</v>
      </c>
      <c r="AX3233" s="21" t="str">
        <f t="shared" si="186"/>
        <v/>
      </c>
      <c r="AY3233" s="21" t="str">
        <f>IF(AND($AM3233&lt;&gt;"",$AS3233&lt;&gt;"✓"),SUMPRODUCT(($AM$11:$AM3233&lt;&gt;"")*($AS$11:$AS3233&lt;&gt;"✓")),"")</f>
        <v/>
      </c>
      <c r="AZ3233" s="21" t="str">
        <f>IF(AND($AM3233&lt;&gt;"",$AS3233="✓"),SUMPRODUCT(($AM$11:$AM3233&lt;&gt;"")*($AS$11:$AS3233="✓")),"")</f>
        <v/>
      </c>
      <c r="BA3233" s="21" t="str">
        <f>IF($AL3233="","",$AL3233&amp;"|"&amp;COUNTIF($AL$11:$AL3233,$AL3233))</f>
        <v/>
      </c>
    </row>
    <row r="3234" spans="38:53" ht="15" customHeight="1" x14ac:dyDescent="0.25">
      <c r="AL3234" s="31"/>
      <c r="AM3234" s="26"/>
      <c r="AN3234" s="32"/>
      <c r="AO3234" s="32"/>
      <c r="AP3234" s="24"/>
      <c r="AQ3234" s="24"/>
      <c r="AR3234" s="33"/>
      <c r="AS3234" s="34"/>
      <c r="AT3234" s="33"/>
      <c r="AV3234" s="21">
        <f>IF(AND($AL3234&lt;&gt;"",COUNTIF($AL$11:$AL3234,$AL3234)=1),1,0)</f>
        <v>0</v>
      </c>
      <c r="AW3234" s="21">
        <f t="shared" si="187"/>
        <v>0</v>
      </c>
      <c r="AX3234" s="21" t="str">
        <f t="shared" si="186"/>
        <v/>
      </c>
      <c r="AY3234" s="21" t="str">
        <f>IF(AND($AM3234&lt;&gt;"",$AS3234&lt;&gt;"✓"),SUMPRODUCT(($AM$11:$AM3234&lt;&gt;"")*($AS$11:$AS3234&lt;&gt;"✓")),"")</f>
        <v/>
      </c>
      <c r="AZ3234" s="21" t="str">
        <f>IF(AND($AM3234&lt;&gt;"",$AS3234="✓"),SUMPRODUCT(($AM$11:$AM3234&lt;&gt;"")*($AS$11:$AS3234="✓")),"")</f>
        <v/>
      </c>
      <c r="BA3234" s="21" t="str">
        <f>IF($AL3234="","",$AL3234&amp;"|"&amp;COUNTIF($AL$11:$AL3234,$AL3234))</f>
        <v/>
      </c>
    </row>
    <row r="3235" spans="38:53" ht="15" customHeight="1" x14ac:dyDescent="0.25">
      <c r="AL3235" s="17"/>
      <c r="AM3235" s="12"/>
      <c r="AN3235" s="18"/>
      <c r="AO3235" s="18"/>
      <c r="AP3235" s="10"/>
      <c r="AQ3235" s="10"/>
      <c r="AR3235" s="19"/>
      <c r="AS3235" s="20"/>
      <c r="AT3235" s="19"/>
      <c r="AV3235" s="21">
        <f>IF(AND($AL3235&lt;&gt;"",COUNTIF($AL$11:$AL3235,$AL3235)=1),1,0)</f>
        <v>0</v>
      </c>
      <c r="AW3235" s="21">
        <f t="shared" si="187"/>
        <v>0</v>
      </c>
      <c r="AX3235" s="21" t="str">
        <f t="shared" si="186"/>
        <v/>
      </c>
      <c r="AY3235" s="21" t="str">
        <f>IF(AND($AM3235&lt;&gt;"",$AS3235&lt;&gt;"✓"),SUMPRODUCT(($AM$11:$AM3235&lt;&gt;"")*($AS$11:$AS3235&lt;&gt;"✓")),"")</f>
        <v/>
      </c>
      <c r="AZ3235" s="21" t="str">
        <f>IF(AND($AM3235&lt;&gt;"",$AS3235="✓"),SUMPRODUCT(($AM$11:$AM3235&lt;&gt;"")*($AS$11:$AS3235="✓")),"")</f>
        <v/>
      </c>
      <c r="BA3235" s="21" t="str">
        <f>IF($AL3235="","",$AL3235&amp;"|"&amp;COUNTIF($AL$11:$AL3235,$AL3235))</f>
        <v/>
      </c>
    </row>
    <row r="3236" spans="38:53" ht="15" customHeight="1" x14ac:dyDescent="0.25">
      <c r="AL3236" s="31"/>
      <c r="AM3236" s="26"/>
      <c r="AN3236" s="32"/>
      <c r="AO3236" s="32"/>
      <c r="AP3236" s="24"/>
      <c r="AQ3236" s="24"/>
      <c r="AR3236" s="33"/>
      <c r="AS3236" s="34"/>
      <c r="AT3236" s="33"/>
      <c r="AV3236" s="21">
        <f>IF(AND($AL3236&lt;&gt;"",COUNTIF($AL$11:$AL3236,$AL3236)=1),1,0)</f>
        <v>0</v>
      </c>
      <c r="AW3236" s="21">
        <f t="shared" si="187"/>
        <v>0</v>
      </c>
      <c r="AX3236" s="21" t="str">
        <f t="shared" si="186"/>
        <v/>
      </c>
      <c r="AY3236" s="21" t="str">
        <f>IF(AND($AM3236&lt;&gt;"",$AS3236&lt;&gt;"✓"),SUMPRODUCT(($AM$11:$AM3236&lt;&gt;"")*($AS$11:$AS3236&lt;&gt;"✓")),"")</f>
        <v/>
      </c>
      <c r="AZ3236" s="21" t="str">
        <f>IF(AND($AM3236&lt;&gt;"",$AS3236="✓"),SUMPRODUCT(($AM$11:$AM3236&lt;&gt;"")*($AS$11:$AS3236="✓")),"")</f>
        <v/>
      </c>
      <c r="BA3236" s="21" t="str">
        <f>IF($AL3236="","",$AL3236&amp;"|"&amp;COUNTIF($AL$11:$AL3236,$AL3236))</f>
        <v/>
      </c>
    </row>
    <row r="3237" spans="38:53" ht="15" customHeight="1" x14ac:dyDescent="0.25">
      <c r="AL3237" s="17"/>
      <c r="AM3237" s="12"/>
      <c r="AN3237" s="18"/>
      <c r="AO3237" s="18"/>
      <c r="AP3237" s="10"/>
      <c r="AQ3237" s="10"/>
      <c r="AR3237" s="19"/>
      <c r="AS3237" s="20"/>
      <c r="AT3237" s="19"/>
      <c r="AV3237" s="21">
        <f>IF(AND($AL3237&lt;&gt;"",COUNTIF($AL$11:$AL3237,$AL3237)=1),1,0)</f>
        <v>0</v>
      </c>
      <c r="AW3237" s="21">
        <f t="shared" si="187"/>
        <v>0</v>
      </c>
      <c r="AX3237" s="21" t="str">
        <f t="shared" si="186"/>
        <v/>
      </c>
      <c r="AY3237" s="21" t="str">
        <f>IF(AND($AM3237&lt;&gt;"",$AS3237&lt;&gt;"✓"),SUMPRODUCT(($AM$11:$AM3237&lt;&gt;"")*($AS$11:$AS3237&lt;&gt;"✓")),"")</f>
        <v/>
      </c>
      <c r="AZ3237" s="21" t="str">
        <f>IF(AND($AM3237&lt;&gt;"",$AS3237="✓"),SUMPRODUCT(($AM$11:$AM3237&lt;&gt;"")*($AS$11:$AS3237="✓")),"")</f>
        <v/>
      </c>
      <c r="BA3237" s="21" t="str">
        <f>IF($AL3237="","",$AL3237&amp;"|"&amp;COUNTIF($AL$11:$AL3237,$AL3237))</f>
        <v/>
      </c>
    </row>
    <row r="3238" spans="38:53" ht="15" customHeight="1" x14ac:dyDescent="0.25">
      <c r="AL3238" s="31"/>
      <c r="AM3238" s="26"/>
      <c r="AN3238" s="32"/>
      <c r="AO3238" s="32"/>
      <c r="AP3238" s="24"/>
      <c r="AQ3238" s="24"/>
      <c r="AR3238" s="33"/>
      <c r="AS3238" s="34"/>
      <c r="AT3238" s="33"/>
      <c r="AV3238" s="21">
        <f>IF(AND($AL3238&lt;&gt;"",COUNTIF($AL$11:$AL3238,$AL3238)=1),1,0)</f>
        <v>0</v>
      </c>
      <c r="AW3238" s="21">
        <f t="shared" si="187"/>
        <v>0</v>
      </c>
      <c r="AX3238" s="21" t="str">
        <f t="shared" si="186"/>
        <v/>
      </c>
      <c r="AY3238" s="21" t="str">
        <f>IF(AND($AM3238&lt;&gt;"",$AS3238&lt;&gt;"✓"),SUMPRODUCT(($AM$11:$AM3238&lt;&gt;"")*($AS$11:$AS3238&lt;&gt;"✓")),"")</f>
        <v/>
      </c>
      <c r="AZ3238" s="21" t="str">
        <f>IF(AND($AM3238&lt;&gt;"",$AS3238="✓"),SUMPRODUCT(($AM$11:$AM3238&lt;&gt;"")*($AS$11:$AS3238="✓")),"")</f>
        <v/>
      </c>
      <c r="BA3238" s="21" t="str">
        <f>IF($AL3238="","",$AL3238&amp;"|"&amp;COUNTIF($AL$11:$AL3238,$AL3238))</f>
        <v/>
      </c>
    </row>
    <row r="3239" spans="38:53" ht="15" customHeight="1" x14ac:dyDescent="0.25">
      <c r="AL3239" s="17"/>
      <c r="AM3239" s="12"/>
      <c r="AN3239" s="18"/>
      <c r="AO3239" s="18"/>
      <c r="AP3239" s="10"/>
      <c r="AQ3239" s="10"/>
      <c r="AR3239" s="19"/>
      <c r="AS3239" s="20"/>
      <c r="AT3239" s="19"/>
      <c r="AV3239" s="21">
        <f>IF(AND($AL3239&lt;&gt;"",COUNTIF($AL$11:$AL3239,$AL3239)=1),1,0)</f>
        <v>0</v>
      </c>
      <c r="AW3239" s="21">
        <f t="shared" si="187"/>
        <v>0</v>
      </c>
      <c r="AX3239" s="21" t="str">
        <f t="shared" si="186"/>
        <v/>
      </c>
      <c r="AY3239" s="21" t="str">
        <f>IF(AND($AM3239&lt;&gt;"",$AS3239&lt;&gt;"✓"),SUMPRODUCT(($AM$11:$AM3239&lt;&gt;"")*($AS$11:$AS3239&lt;&gt;"✓")),"")</f>
        <v/>
      </c>
      <c r="AZ3239" s="21" t="str">
        <f>IF(AND($AM3239&lt;&gt;"",$AS3239="✓"),SUMPRODUCT(($AM$11:$AM3239&lt;&gt;"")*($AS$11:$AS3239="✓")),"")</f>
        <v/>
      </c>
      <c r="BA3239" s="21" t="str">
        <f>IF($AL3239="","",$AL3239&amp;"|"&amp;COUNTIF($AL$11:$AL3239,$AL3239))</f>
        <v/>
      </c>
    </row>
    <row r="3240" spans="38:53" ht="15" customHeight="1" x14ac:dyDescent="0.25">
      <c r="AL3240" s="31"/>
      <c r="AM3240" s="26"/>
      <c r="AN3240" s="32"/>
      <c r="AO3240" s="32"/>
      <c r="AP3240" s="24"/>
      <c r="AQ3240" s="24"/>
      <c r="AR3240" s="33"/>
      <c r="AS3240" s="34"/>
      <c r="AT3240" s="33"/>
      <c r="AV3240" s="21">
        <f>IF(AND($AL3240&lt;&gt;"",COUNTIF($AL$11:$AL3240,$AL3240)=1),1,0)</f>
        <v>0</v>
      </c>
      <c r="AW3240" s="21">
        <f t="shared" si="187"/>
        <v>0</v>
      </c>
      <c r="AX3240" s="21" t="str">
        <f t="shared" si="186"/>
        <v/>
      </c>
      <c r="AY3240" s="21" t="str">
        <f>IF(AND($AM3240&lt;&gt;"",$AS3240&lt;&gt;"✓"),SUMPRODUCT(($AM$11:$AM3240&lt;&gt;"")*($AS$11:$AS3240&lt;&gt;"✓")),"")</f>
        <v/>
      </c>
      <c r="AZ3240" s="21" t="str">
        <f>IF(AND($AM3240&lt;&gt;"",$AS3240="✓"),SUMPRODUCT(($AM$11:$AM3240&lt;&gt;"")*($AS$11:$AS3240="✓")),"")</f>
        <v/>
      </c>
      <c r="BA3240" s="21" t="str">
        <f>IF($AL3240="","",$AL3240&amp;"|"&amp;COUNTIF($AL$11:$AL3240,$AL3240))</f>
        <v/>
      </c>
    </row>
    <row r="3241" spans="38:53" ht="15" customHeight="1" x14ac:dyDescent="0.25">
      <c r="AL3241" s="17"/>
      <c r="AM3241" s="12"/>
      <c r="AN3241" s="18"/>
      <c r="AO3241" s="18"/>
      <c r="AP3241" s="10"/>
      <c r="AQ3241" s="10"/>
      <c r="AR3241" s="19"/>
      <c r="AS3241" s="20"/>
      <c r="AT3241" s="19"/>
      <c r="AV3241" s="21">
        <f>IF(AND($AL3241&lt;&gt;"",COUNTIF($AL$11:$AL3241,$AL3241)=1),1,0)</f>
        <v>0</v>
      </c>
      <c r="AW3241" s="21">
        <f t="shared" si="187"/>
        <v>0</v>
      </c>
      <c r="AX3241" s="21" t="str">
        <f t="shared" si="186"/>
        <v/>
      </c>
      <c r="AY3241" s="21" t="str">
        <f>IF(AND($AM3241&lt;&gt;"",$AS3241&lt;&gt;"✓"),SUMPRODUCT(($AM$11:$AM3241&lt;&gt;"")*($AS$11:$AS3241&lt;&gt;"✓")),"")</f>
        <v/>
      </c>
      <c r="AZ3241" s="21" t="str">
        <f>IF(AND($AM3241&lt;&gt;"",$AS3241="✓"),SUMPRODUCT(($AM$11:$AM3241&lt;&gt;"")*($AS$11:$AS3241="✓")),"")</f>
        <v/>
      </c>
      <c r="BA3241" s="21" t="str">
        <f>IF($AL3241="","",$AL3241&amp;"|"&amp;COUNTIF($AL$11:$AL3241,$AL3241))</f>
        <v/>
      </c>
    </row>
    <row r="3242" spans="38:53" ht="15" customHeight="1" x14ac:dyDescent="0.25">
      <c r="AL3242" s="31"/>
      <c r="AM3242" s="26"/>
      <c r="AN3242" s="32"/>
      <c r="AO3242" s="32"/>
      <c r="AP3242" s="24"/>
      <c r="AQ3242" s="24"/>
      <c r="AR3242" s="33"/>
      <c r="AS3242" s="34"/>
      <c r="AT3242" s="33"/>
      <c r="AV3242" s="21">
        <f>IF(AND($AL3242&lt;&gt;"",COUNTIF($AL$11:$AL3242,$AL3242)=1),1,0)</f>
        <v>0</v>
      </c>
      <c r="AW3242" s="21">
        <f t="shared" si="187"/>
        <v>0</v>
      </c>
      <c r="AX3242" s="21" t="str">
        <f t="shared" si="186"/>
        <v/>
      </c>
      <c r="AY3242" s="21" t="str">
        <f>IF(AND($AM3242&lt;&gt;"",$AS3242&lt;&gt;"✓"),SUMPRODUCT(($AM$11:$AM3242&lt;&gt;"")*($AS$11:$AS3242&lt;&gt;"✓")),"")</f>
        <v/>
      </c>
      <c r="AZ3242" s="21" t="str">
        <f>IF(AND($AM3242&lt;&gt;"",$AS3242="✓"),SUMPRODUCT(($AM$11:$AM3242&lt;&gt;"")*($AS$11:$AS3242="✓")),"")</f>
        <v/>
      </c>
      <c r="BA3242" s="21" t="str">
        <f>IF($AL3242="","",$AL3242&amp;"|"&amp;COUNTIF($AL$11:$AL3242,$AL3242))</f>
        <v/>
      </c>
    </row>
    <row r="3243" spans="38:53" ht="15" customHeight="1" x14ac:dyDescent="0.25">
      <c r="AL3243" s="17"/>
      <c r="AM3243" s="12"/>
      <c r="AN3243" s="18"/>
      <c r="AO3243" s="18"/>
      <c r="AP3243" s="10"/>
      <c r="AQ3243" s="10"/>
      <c r="AR3243" s="19"/>
      <c r="AS3243" s="20"/>
      <c r="AT3243" s="19"/>
      <c r="AV3243" s="21">
        <f>IF(AND($AL3243&lt;&gt;"",COUNTIF($AL$11:$AL3243,$AL3243)=1),1,0)</f>
        <v>0</v>
      </c>
      <c r="AW3243" s="21">
        <f t="shared" si="187"/>
        <v>0</v>
      </c>
      <c r="AX3243" s="21" t="str">
        <f t="shared" si="186"/>
        <v/>
      </c>
      <c r="AY3243" s="21" t="str">
        <f>IF(AND($AM3243&lt;&gt;"",$AS3243&lt;&gt;"✓"),SUMPRODUCT(($AM$11:$AM3243&lt;&gt;"")*($AS$11:$AS3243&lt;&gt;"✓")),"")</f>
        <v/>
      </c>
      <c r="AZ3243" s="21" t="str">
        <f>IF(AND($AM3243&lt;&gt;"",$AS3243="✓"),SUMPRODUCT(($AM$11:$AM3243&lt;&gt;"")*($AS$11:$AS3243="✓")),"")</f>
        <v/>
      </c>
      <c r="BA3243" s="21" t="str">
        <f>IF($AL3243="","",$AL3243&amp;"|"&amp;COUNTIF($AL$11:$AL3243,$AL3243))</f>
        <v/>
      </c>
    </row>
    <row r="3244" spans="38:53" ht="15" customHeight="1" x14ac:dyDescent="0.25">
      <c r="AL3244" s="31"/>
      <c r="AM3244" s="26"/>
      <c r="AN3244" s="32"/>
      <c r="AO3244" s="32"/>
      <c r="AP3244" s="24"/>
      <c r="AQ3244" s="24"/>
      <c r="AR3244" s="33"/>
      <c r="AS3244" s="34"/>
      <c r="AT3244" s="33"/>
      <c r="AV3244" s="21">
        <f>IF(AND($AL3244&lt;&gt;"",COUNTIF($AL$11:$AL3244,$AL3244)=1),1,0)</f>
        <v>0</v>
      </c>
      <c r="AW3244" s="21">
        <f t="shared" si="187"/>
        <v>0</v>
      </c>
      <c r="AX3244" s="21" t="str">
        <f t="shared" si="186"/>
        <v/>
      </c>
      <c r="AY3244" s="21" t="str">
        <f>IF(AND($AM3244&lt;&gt;"",$AS3244&lt;&gt;"✓"),SUMPRODUCT(($AM$11:$AM3244&lt;&gt;"")*($AS$11:$AS3244&lt;&gt;"✓")),"")</f>
        <v/>
      </c>
      <c r="AZ3244" s="21" t="str">
        <f>IF(AND($AM3244&lt;&gt;"",$AS3244="✓"),SUMPRODUCT(($AM$11:$AM3244&lt;&gt;"")*($AS$11:$AS3244="✓")),"")</f>
        <v/>
      </c>
      <c r="BA3244" s="21" t="str">
        <f>IF($AL3244="","",$AL3244&amp;"|"&amp;COUNTIF($AL$11:$AL3244,$AL3244))</f>
        <v/>
      </c>
    </row>
    <row r="3245" spans="38:53" ht="15" customHeight="1" x14ac:dyDescent="0.25">
      <c r="AL3245" s="17"/>
      <c r="AM3245" s="12"/>
      <c r="AN3245" s="18"/>
      <c r="AO3245" s="18"/>
      <c r="AP3245" s="10"/>
      <c r="AQ3245" s="10"/>
      <c r="AR3245" s="19"/>
      <c r="AS3245" s="20"/>
      <c r="AT3245" s="19"/>
      <c r="AV3245" s="21">
        <f>IF(AND($AL3245&lt;&gt;"",COUNTIF($AL$11:$AL3245,$AL3245)=1),1,0)</f>
        <v>0</v>
      </c>
      <c r="AW3245" s="21">
        <f t="shared" si="187"/>
        <v>0</v>
      </c>
      <c r="AX3245" s="21" t="str">
        <f t="shared" si="186"/>
        <v/>
      </c>
      <c r="AY3245" s="21" t="str">
        <f>IF(AND($AM3245&lt;&gt;"",$AS3245&lt;&gt;"✓"),SUMPRODUCT(($AM$11:$AM3245&lt;&gt;"")*($AS$11:$AS3245&lt;&gt;"✓")),"")</f>
        <v/>
      </c>
      <c r="AZ3245" s="21" t="str">
        <f>IF(AND($AM3245&lt;&gt;"",$AS3245="✓"),SUMPRODUCT(($AM$11:$AM3245&lt;&gt;"")*($AS$11:$AS3245="✓")),"")</f>
        <v/>
      </c>
      <c r="BA3245" s="21" t="str">
        <f>IF($AL3245="","",$AL3245&amp;"|"&amp;COUNTIF($AL$11:$AL3245,$AL3245))</f>
        <v/>
      </c>
    </row>
    <row r="3246" spans="38:53" ht="15" customHeight="1" x14ac:dyDescent="0.25">
      <c r="AL3246" s="31"/>
      <c r="AM3246" s="26"/>
      <c r="AN3246" s="32"/>
      <c r="AO3246" s="32"/>
      <c r="AP3246" s="24"/>
      <c r="AQ3246" s="24"/>
      <c r="AR3246" s="33"/>
      <c r="AS3246" s="34"/>
      <c r="AT3246" s="33"/>
      <c r="AV3246" s="21">
        <f>IF(AND($AL3246&lt;&gt;"",COUNTIF($AL$11:$AL3246,$AL3246)=1),1,0)</f>
        <v>0</v>
      </c>
      <c r="AW3246" s="21">
        <f t="shared" si="187"/>
        <v>0</v>
      </c>
      <c r="AX3246" s="21" t="str">
        <f t="shared" si="186"/>
        <v/>
      </c>
      <c r="AY3246" s="21" t="str">
        <f>IF(AND($AM3246&lt;&gt;"",$AS3246&lt;&gt;"✓"),SUMPRODUCT(($AM$11:$AM3246&lt;&gt;"")*($AS$11:$AS3246&lt;&gt;"✓")),"")</f>
        <v/>
      </c>
      <c r="AZ3246" s="21" t="str">
        <f>IF(AND($AM3246&lt;&gt;"",$AS3246="✓"),SUMPRODUCT(($AM$11:$AM3246&lt;&gt;"")*($AS$11:$AS3246="✓")),"")</f>
        <v/>
      </c>
      <c r="BA3246" s="21" t="str">
        <f>IF($AL3246="","",$AL3246&amp;"|"&amp;COUNTIF($AL$11:$AL3246,$AL3246))</f>
        <v/>
      </c>
    </row>
    <row r="3247" spans="38:53" ht="15" customHeight="1" x14ac:dyDescent="0.25">
      <c r="AL3247" s="17"/>
      <c r="AM3247" s="12"/>
      <c r="AN3247" s="18"/>
      <c r="AO3247" s="18"/>
      <c r="AP3247" s="10"/>
      <c r="AQ3247" s="10"/>
      <c r="AR3247" s="19"/>
      <c r="AS3247" s="20"/>
      <c r="AT3247" s="19"/>
      <c r="AV3247" s="21">
        <f>IF(AND($AL3247&lt;&gt;"",COUNTIF($AL$11:$AL3247,$AL3247)=1),1,0)</f>
        <v>0</v>
      </c>
      <c r="AW3247" s="21">
        <f t="shared" si="187"/>
        <v>0</v>
      </c>
      <c r="AX3247" s="21" t="str">
        <f t="shared" si="186"/>
        <v/>
      </c>
      <c r="AY3247" s="21" t="str">
        <f>IF(AND($AM3247&lt;&gt;"",$AS3247&lt;&gt;"✓"),SUMPRODUCT(($AM$11:$AM3247&lt;&gt;"")*($AS$11:$AS3247&lt;&gt;"✓")),"")</f>
        <v/>
      </c>
      <c r="AZ3247" s="21" t="str">
        <f>IF(AND($AM3247&lt;&gt;"",$AS3247="✓"),SUMPRODUCT(($AM$11:$AM3247&lt;&gt;"")*($AS$11:$AS3247="✓")),"")</f>
        <v/>
      </c>
      <c r="BA3247" s="21" t="str">
        <f>IF($AL3247="","",$AL3247&amp;"|"&amp;COUNTIF($AL$11:$AL3247,$AL3247))</f>
        <v/>
      </c>
    </row>
    <row r="3248" spans="38:53" ht="15" customHeight="1" x14ac:dyDescent="0.25">
      <c r="AL3248" s="31"/>
      <c r="AM3248" s="26"/>
      <c r="AN3248" s="32"/>
      <c r="AO3248" s="32"/>
      <c r="AP3248" s="24"/>
      <c r="AQ3248" s="24"/>
      <c r="AR3248" s="33"/>
      <c r="AS3248" s="34"/>
      <c r="AT3248" s="33"/>
      <c r="AV3248" s="21">
        <f>IF(AND($AL3248&lt;&gt;"",COUNTIF($AL$11:$AL3248,$AL3248)=1),1,0)</f>
        <v>0</v>
      </c>
      <c r="AW3248" s="21">
        <f t="shared" si="187"/>
        <v>0</v>
      </c>
      <c r="AX3248" s="21" t="str">
        <f t="shared" si="186"/>
        <v/>
      </c>
      <c r="AY3248" s="21" t="str">
        <f>IF(AND($AM3248&lt;&gt;"",$AS3248&lt;&gt;"✓"),SUMPRODUCT(($AM$11:$AM3248&lt;&gt;"")*($AS$11:$AS3248&lt;&gt;"✓")),"")</f>
        <v/>
      </c>
      <c r="AZ3248" s="21" t="str">
        <f>IF(AND($AM3248&lt;&gt;"",$AS3248="✓"),SUMPRODUCT(($AM$11:$AM3248&lt;&gt;"")*($AS$11:$AS3248="✓")),"")</f>
        <v/>
      </c>
      <c r="BA3248" s="21" t="str">
        <f>IF($AL3248="","",$AL3248&amp;"|"&amp;COUNTIF($AL$11:$AL3248,$AL3248))</f>
        <v/>
      </c>
    </row>
    <row r="3249" spans="38:53" ht="15" customHeight="1" x14ac:dyDescent="0.25">
      <c r="AL3249" s="17"/>
      <c r="AM3249" s="12"/>
      <c r="AN3249" s="18"/>
      <c r="AO3249" s="18"/>
      <c r="AP3249" s="10"/>
      <c r="AQ3249" s="10"/>
      <c r="AR3249" s="19"/>
      <c r="AS3249" s="20"/>
      <c r="AT3249" s="19"/>
      <c r="AV3249" s="21">
        <f>IF(AND($AL3249&lt;&gt;"",COUNTIF($AL$11:$AL3249,$AL3249)=1),1,0)</f>
        <v>0</v>
      </c>
      <c r="AW3249" s="21">
        <f t="shared" si="187"/>
        <v>0</v>
      </c>
      <c r="AX3249" s="21" t="str">
        <f t="shared" si="186"/>
        <v/>
      </c>
      <c r="AY3249" s="21" t="str">
        <f>IF(AND($AM3249&lt;&gt;"",$AS3249&lt;&gt;"✓"),SUMPRODUCT(($AM$11:$AM3249&lt;&gt;"")*($AS$11:$AS3249&lt;&gt;"✓")),"")</f>
        <v/>
      </c>
      <c r="AZ3249" s="21" t="str">
        <f>IF(AND($AM3249&lt;&gt;"",$AS3249="✓"),SUMPRODUCT(($AM$11:$AM3249&lt;&gt;"")*($AS$11:$AS3249="✓")),"")</f>
        <v/>
      </c>
      <c r="BA3249" s="21" t="str">
        <f>IF($AL3249="","",$AL3249&amp;"|"&amp;COUNTIF($AL$11:$AL3249,$AL3249))</f>
        <v/>
      </c>
    </row>
    <row r="3250" spans="38:53" ht="15" customHeight="1" x14ac:dyDescent="0.25">
      <c r="AL3250" s="31"/>
      <c r="AM3250" s="26"/>
      <c r="AN3250" s="32"/>
      <c r="AO3250" s="32"/>
      <c r="AP3250" s="24"/>
      <c r="AQ3250" s="24"/>
      <c r="AR3250" s="33"/>
      <c r="AS3250" s="34"/>
      <c r="AT3250" s="33"/>
      <c r="AV3250" s="21">
        <f>IF(AND($AL3250&lt;&gt;"",COUNTIF($AL$11:$AL3250,$AL3250)=1),1,0)</f>
        <v>0</v>
      </c>
      <c r="AW3250" s="21">
        <f t="shared" si="187"/>
        <v>0</v>
      </c>
      <c r="AX3250" s="21" t="str">
        <f t="shared" si="186"/>
        <v/>
      </c>
      <c r="AY3250" s="21" t="str">
        <f>IF(AND($AM3250&lt;&gt;"",$AS3250&lt;&gt;"✓"),SUMPRODUCT(($AM$11:$AM3250&lt;&gt;"")*($AS$11:$AS3250&lt;&gt;"✓")),"")</f>
        <v/>
      </c>
      <c r="AZ3250" s="21" t="str">
        <f>IF(AND($AM3250&lt;&gt;"",$AS3250="✓"),SUMPRODUCT(($AM$11:$AM3250&lt;&gt;"")*($AS$11:$AS3250="✓")),"")</f>
        <v/>
      </c>
      <c r="BA3250" s="21" t="str">
        <f>IF($AL3250="","",$AL3250&amp;"|"&amp;COUNTIF($AL$11:$AL3250,$AL3250))</f>
        <v/>
      </c>
    </row>
    <row r="3251" spans="38:53" ht="15" customHeight="1" x14ac:dyDescent="0.25">
      <c r="AL3251" s="17"/>
      <c r="AM3251" s="12"/>
      <c r="AN3251" s="18"/>
      <c r="AO3251" s="18"/>
      <c r="AP3251" s="10"/>
      <c r="AQ3251" s="10"/>
      <c r="AR3251" s="19"/>
      <c r="AS3251" s="20"/>
      <c r="AT3251" s="19"/>
      <c r="AV3251" s="21">
        <f>IF(AND($AL3251&lt;&gt;"",COUNTIF($AL$11:$AL3251,$AL3251)=1),1,0)</f>
        <v>0</v>
      </c>
      <c r="AW3251" s="21">
        <f t="shared" si="187"/>
        <v>0</v>
      </c>
      <c r="AX3251" s="21" t="str">
        <f t="shared" si="186"/>
        <v/>
      </c>
      <c r="AY3251" s="21" t="str">
        <f>IF(AND($AM3251&lt;&gt;"",$AS3251&lt;&gt;"✓"),SUMPRODUCT(($AM$11:$AM3251&lt;&gt;"")*($AS$11:$AS3251&lt;&gt;"✓")),"")</f>
        <v/>
      </c>
      <c r="AZ3251" s="21" t="str">
        <f>IF(AND($AM3251&lt;&gt;"",$AS3251="✓"),SUMPRODUCT(($AM$11:$AM3251&lt;&gt;"")*($AS$11:$AS3251="✓")),"")</f>
        <v/>
      </c>
      <c r="BA3251" s="21" t="str">
        <f>IF($AL3251="","",$AL3251&amp;"|"&amp;COUNTIF($AL$11:$AL3251,$AL3251))</f>
        <v/>
      </c>
    </row>
    <row r="3252" spans="38:53" ht="15" customHeight="1" x14ac:dyDescent="0.25">
      <c r="AL3252" s="31"/>
      <c r="AM3252" s="26"/>
      <c r="AN3252" s="32"/>
      <c r="AO3252" s="32"/>
      <c r="AP3252" s="24"/>
      <c r="AQ3252" s="24"/>
      <c r="AR3252" s="33"/>
      <c r="AS3252" s="34"/>
      <c r="AT3252" s="33"/>
      <c r="AV3252" s="21">
        <f>IF(AND($AL3252&lt;&gt;"",COUNTIF($AL$11:$AL3252,$AL3252)=1),1,0)</f>
        <v>0</v>
      </c>
      <c r="AW3252" s="21">
        <f t="shared" si="187"/>
        <v>0</v>
      </c>
      <c r="AX3252" s="21" t="str">
        <f t="shared" si="186"/>
        <v/>
      </c>
      <c r="AY3252" s="21" t="str">
        <f>IF(AND($AM3252&lt;&gt;"",$AS3252&lt;&gt;"✓"),SUMPRODUCT(($AM$11:$AM3252&lt;&gt;"")*($AS$11:$AS3252&lt;&gt;"✓")),"")</f>
        <v/>
      </c>
      <c r="AZ3252" s="21" t="str">
        <f>IF(AND($AM3252&lt;&gt;"",$AS3252="✓"),SUMPRODUCT(($AM$11:$AM3252&lt;&gt;"")*($AS$11:$AS3252="✓")),"")</f>
        <v/>
      </c>
      <c r="BA3252" s="21" t="str">
        <f>IF($AL3252="","",$AL3252&amp;"|"&amp;COUNTIF($AL$11:$AL3252,$AL3252))</f>
        <v/>
      </c>
    </row>
    <row r="3253" spans="38:53" ht="15" customHeight="1" x14ac:dyDescent="0.25">
      <c r="AL3253" s="17"/>
      <c r="AM3253" s="12"/>
      <c r="AN3253" s="18"/>
      <c r="AO3253" s="18"/>
      <c r="AP3253" s="10"/>
      <c r="AQ3253" s="10"/>
      <c r="AR3253" s="19"/>
      <c r="AS3253" s="20"/>
      <c r="AT3253" s="19"/>
      <c r="AV3253" s="21">
        <f>IF(AND($AL3253&lt;&gt;"",COUNTIF($AL$11:$AL3253,$AL3253)=1),1,0)</f>
        <v>0</v>
      </c>
      <c r="AW3253" s="21">
        <f t="shared" si="187"/>
        <v>0</v>
      </c>
      <c r="AX3253" s="21" t="str">
        <f t="shared" si="186"/>
        <v/>
      </c>
      <c r="AY3253" s="21" t="str">
        <f>IF(AND($AM3253&lt;&gt;"",$AS3253&lt;&gt;"✓"),SUMPRODUCT(($AM$11:$AM3253&lt;&gt;"")*($AS$11:$AS3253&lt;&gt;"✓")),"")</f>
        <v/>
      </c>
      <c r="AZ3253" s="21" t="str">
        <f>IF(AND($AM3253&lt;&gt;"",$AS3253="✓"),SUMPRODUCT(($AM$11:$AM3253&lt;&gt;"")*($AS$11:$AS3253="✓")),"")</f>
        <v/>
      </c>
      <c r="BA3253" s="21" t="str">
        <f>IF($AL3253="","",$AL3253&amp;"|"&amp;COUNTIF($AL$11:$AL3253,$AL3253))</f>
        <v/>
      </c>
    </row>
    <row r="3254" spans="38:53" ht="15" customHeight="1" x14ac:dyDescent="0.25">
      <c r="AL3254" s="31"/>
      <c r="AM3254" s="26"/>
      <c r="AN3254" s="32"/>
      <c r="AO3254" s="32"/>
      <c r="AP3254" s="24"/>
      <c r="AQ3254" s="24"/>
      <c r="AR3254" s="33"/>
      <c r="AS3254" s="34"/>
      <c r="AT3254" s="33"/>
      <c r="AV3254" s="21">
        <f>IF(AND($AL3254&lt;&gt;"",COUNTIF($AL$11:$AL3254,$AL3254)=1),1,0)</f>
        <v>0</v>
      </c>
      <c r="AW3254" s="21">
        <f t="shared" si="187"/>
        <v>0</v>
      </c>
      <c r="AX3254" s="21" t="str">
        <f t="shared" si="186"/>
        <v/>
      </c>
      <c r="AY3254" s="21" t="str">
        <f>IF(AND($AM3254&lt;&gt;"",$AS3254&lt;&gt;"✓"),SUMPRODUCT(($AM$11:$AM3254&lt;&gt;"")*($AS$11:$AS3254&lt;&gt;"✓")),"")</f>
        <v/>
      </c>
      <c r="AZ3254" s="21" t="str">
        <f>IF(AND($AM3254&lt;&gt;"",$AS3254="✓"),SUMPRODUCT(($AM$11:$AM3254&lt;&gt;"")*($AS$11:$AS3254="✓")),"")</f>
        <v/>
      </c>
      <c r="BA3254" s="21" t="str">
        <f>IF($AL3254="","",$AL3254&amp;"|"&amp;COUNTIF($AL$11:$AL3254,$AL3254))</f>
        <v/>
      </c>
    </row>
    <row r="3255" spans="38:53" ht="15" customHeight="1" x14ac:dyDescent="0.25">
      <c r="AL3255" s="17"/>
      <c r="AM3255" s="12"/>
      <c r="AN3255" s="18"/>
      <c r="AO3255" s="18"/>
      <c r="AP3255" s="10"/>
      <c r="AQ3255" s="10"/>
      <c r="AR3255" s="19"/>
      <c r="AS3255" s="20"/>
      <c r="AT3255" s="19"/>
      <c r="AV3255" s="21">
        <f>IF(AND($AL3255&lt;&gt;"",COUNTIF($AL$11:$AL3255,$AL3255)=1),1,0)</f>
        <v>0</v>
      </c>
      <c r="AW3255" s="21">
        <f t="shared" si="187"/>
        <v>0</v>
      </c>
      <c r="AX3255" s="21" t="str">
        <f t="shared" si="186"/>
        <v/>
      </c>
      <c r="AY3255" s="21" t="str">
        <f>IF(AND($AM3255&lt;&gt;"",$AS3255&lt;&gt;"✓"),SUMPRODUCT(($AM$11:$AM3255&lt;&gt;"")*($AS$11:$AS3255&lt;&gt;"✓")),"")</f>
        <v/>
      </c>
      <c r="AZ3255" s="21" t="str">
        <f>IF(AND($AM3255&lt;&gt;"",$AS3255="✓"),SUMPRODUCT(($AM$11:$AM3255&lt;&gt;"")*($AS$11:$AS3255="✓")),"")</f>
        <v/>
      </c>
      <c r="BA3255" s="21" t="str">
        <f>IF($AL3255="","",$AL3255&amp;"|"&amp;COUNTIF($AL$11:$AL3255,$AL3255))</f>
        <v/>
      </c>
    </row>
    <row r="3256" spans="38:53" ht="15" customHeight="1" x14ac:dyDescent="0.25">
      <c r="AL3256" s="31"/>
      <c r="AM3256" s="26"/>
      <c r="AN3256" s="32"/>
      <c r="AO3256" s="32"/>
      <c r="AP3256" s="24"/>
      <c r="AQ3256" s="24"/>
      <c r="AR3256" s="33"/>
      <c r="AS3256" s="34"/>
      <c r="AT3256" s="33"/>
      <c r="AV3256" s="21">
        <f>IF(AND($AL3256&lt;&gt;"",COUNTIF($AL$11:$AL3256,$AL3256)=1),1,0)</f>
        <v>0</v>
      </c>
      <c r="AW3256" s="21">
        <f t="shared" si="187"/>
        <v>0</v>
      </c>
      <c r="AX3256" s="21" t="str">
        <f t="shared" si="186"/>
        <v/>
      </c>
      <c r="AY3256" s="21" t="str">
        <f>IF(AND($AM3256&lt;&gt;"",$AS3256&lt;&gt;"✓"),SUMPRODUCT(($AM$11:$AM3256&lt;&gt;"")*($AS$11:$AS3256&lt;&gt;"✓")),"")</f>
        <v/>
      </c>
      <c r="AZ3256" s="21" t="str">
        <f>IF(AND($AM3256&lt;&gt;"",$AS3256="✓"),SUMPRODUCT(($AM$11:$AM3256&lt;&gt;"")*($AS$11:$AS3256="✓")),"")</f>
        <v/>
      </c>
      <c r="BA3256" s="21" t="str">
        <f>IF($AL3256="","",$AL3256&amp;"|"&amp;COUNTIF($AL$11:$AL3256,$AL3256))</f>
        <v/>
      </c>
    </row>
    <row r="3257" spans="38:53" ht="15" customHeight="1" x14ac:dyDescent="0.25">
      <c r="AL3257" s="17"/>
      <c r="AM3257" s="12"/>
      <c r="AN3257" s="18"/>
      <c r="AO3257" s="18"/>
      <c r="AP3257" s="10"/>
      <c r="AQ3257" s="10"/>
      <c r="AR3257" s="19"/>
      <c r="AS3257" s="20"/>
      <c r="AT3257" s="19"/>
      <c r="AV3257" s="21">
        <f>IF(AND($AL3257&lt;&gt;"",COUNTIF($AL$11:$AL3257,$AL3257)=1),1,0)</f>
        <v>0</v>
      </c>
      <c r="AW3257" s="21">
        <f t="shared" si="187"/>
        <v>0</v>
      </c>
      <c r="AX3257" s="21" t="str">
        <f t="shared" si="186"/>
        <v/>
      </c>
      <c r="AY3257" s="21" t="str">
        <f>IF(AND($AM3257&lt;&gt;"",$AS3257&lt;&gt;"✓"),SUMPRODUCT(($AM$11:$AM3257&lt;&gt;"")*($AS$11:$AS3257&lt;&gt;"✓")),"")</f>
        <v/>
      </c>
      <c r="AZ3257" s="21" t="str">
        <f>IF(AND($AM3257&lt;&gt;"",$AS3257="✓"),SUMPRODUCT(($AM$11:$AM3257&lt;&gt;"")*($AS$11:$AS3257="✓")),"")</f>
        <v/>
      </c>
      <c r="BA3257" s="21" t="str">
        <f>IF($AL3257="","",$AL3257&amp;"|"&amp;COUNTIF($AL$11:$AL3257,$AL3257))</f>
        <v/>
      </c>
    </row>
    <row r="3258" spans="38:53" ht="15" customHeight="1" x14ac:dyDescent="0.25">
      <c r="AL3258" s="31"/>
      <c r="AM3258" s="26"/>
      <c r="AN3258" s="32"/>
      <c r="AO3258" s="32"/>
      <c r="AP3258" s="24"/>
      <c r="AQ3258" s="24"/>
      <c r="AR3258" s="33"/>
      <c r="AS3258" s="34"/>
      <c r="AT3258" s="33"/>
      <c r="AV3258" s="21">
        <f>IF(AND($AL3258&lt;&gt;"",COUNTIF($AL$11:$AL3258,$AL3258)=1),1,0)</f>
        <v>0</v>
      </c>
      <c r="AW3258" s="21">
        <f t="shared" si="187"/>
        <v>0</v>
      </c>
      <c r="AX3258" s="21" t="str">
        <f t="shared" si="186"/>
        <v/>
      </c>
      <c r="AY3258" s="21" t="str">
        <f>IF(AND($AM3258&lt;&gt;"",$AS3258&lt;&gt;"✓"),SUMPRODUCT(($AM$11:$AM3258&lt;&gt;"")*($AS$11:$AS3258&lt;&gt;"✓")),"")</f>
        <v/>
      </c>
      <c r="AZ3258" s="21" t="str">
        <f>IF(AND($AM3258&lt;&gt;"",$AS3258="✓"),SUMPRODUCT(($AM$11:$AM3258&lt;&gt;"")*($AS$11:$AS3258="✓")),"")</f>
        <v/>
      </c>
      <c r="BA3258" s="21" t="str">
        <f>IF($AL3258="","",$AL3258&amp;"|"&amp;COUNTIF($AL$11:$AL3258,$AL3258))</f>
        <v/>
      </c>
    </row>
    <row r="3259" spans="38:53" ht="15" customHeight="1" x14ac:dyDescent="0.25">
      <c r="AL3259" s="17"/>
      <c r="AM3259" s="12"/>
      <c r="AN3259" s="18"/>
      <c r="AO3259" s="18"/>
      <c r="AP3259" s="10"/>
      <c r="AQ3259" s="10"/>
      <c r="AR3259" s="19"/>
      <c r="AS3259" s="20"/>
      <c r="AT3259" s="19"/>
      <c r="AV3259" s="21">
        <f>IF(AND($AL3259&lt;&gt;"",COUNTIF($AL$11:$AL3259,$AL3259)=1),1,0)</f>
        <v>0</v>
      </c>
      <c r="AW3259" s="21">
        <f t="shared" si="187"/>
        <v>0</v>
      </c>
      <c r="AX3259" s="21" t="str">
        <f t="shared" si="186"/>
        <v/>
      </c>
      <c r="AY3259" s="21" t="str">
        <f>IF(AND($AM3259&lt;&gt;"",$AS3259&lt;&gt;"✓"),SUMPRODUCT(($AM$11:$AM3259&lt;&gt;"")*($AS$11:$AS3259&lt;&gt;"✓")),"")</f>
        <v/>
      </c>
      <c r="AZ3259" s="21" t="str">
        <f>IF(AND($AM3259&lt;&gt;"",$AS3259="✓"),SUMPRODUCT(($AM$11:$AM3259&lt;&gt;"")*($AS$11:$AS3259="✓")),"")</f>
        <v/>
      </c>
      <c r="BA3259" s="21" t="str">
        <f>IF($AL3259="","",$AL3259&amp;"|"&amp;COUNTIF($AL$11:$AL3259,$AL3259))</f>
        <v/>
      </c>
    </row>
    <row r="3260" spans="38:53" ht="15" customHeight="1" x14ac:dyDescent="0.25">
      <c r="AL3260" s="31"/>
      <c r="AM3260" s="26"/>
      <c r="AN3260" s="32"/>
      <c r="AO3260" s="32"/>
      <c r="AP3260" s="24"/>
      <c r="AQ3260" s="24"/>
      <c r="AR3260" s="33"/>
      <c r="AS3260" s="34"/>
      <c r="AT3260" s="33"/>
      <c r="AV3260" s="21">
        <f>IF(AND($AL3260&lt;&gt;"",COUNTIF($AL$11:$AL3260,$AL3260)=1),1,0)</f>
        <v>0</v>
      </c>
      <c r="AW3260" s="21">
        <f t="shared" si="187"/>
        <v>0</v>
      </c>
      <c r="AX3260" s="21" t="str">
        <f t="shared" si="186"/>
        <v/>
      </c>
      <c r="AY3260" s="21" t="str">
        <f>IF(AND($AM3260&lt;&gt;"",$AS3260&lt;&gt;"✓"),SUMPRODUCT(($AM$11:$AM3260&lt;&gt;"")*($AS$11:$AS3260&lt;&gt;"✓")),"")</f>
        <v/>
      </c>
      <c r="AZ3260" s="21" t="str">
        <f>IF(AND($AM3260&lt;&gt;"",$AS3260="✓"),SUMPRODUCT(($AM$11:$AM3260&lt;&gt;"")*($AS$11:$AS3260="✓")),"")</f>
        <v/>
      </c>
      <c r="BA3260" s="21" t="str">
        <f>IF($AL3260="","",$AL3260&amp;"|"&amp;COUNTIF($AL$11:$AL3260,$AL3260))</f>
        <v/>
      </c>
    </row>
    <row r="3261" spans="38:53" ht="15" customHeight="1" x14ac:dyDescent="0.25">
      <c r="AL3261" s="17"/>
      <c r="AM3261" s="12"/>
      <c r="AN3261" s="18"/>
      <c r="AO3261" s="18"/>
      <c r="AP3261" s="10"/>
      <c r="AQ3261" s="10"/>
      <c r="AR3261" s="19"/>
      <c r="AS3261" s="20"/>
      <c r="AT3261" s="19"/>
      <c r="AV3261" s="21">
        <f>IF(AND($AL3261&lt;&gt;"",COUNTIF($AL$11:$AL3261,$AL3261)=1),1,0)</f>
        <v>0</v>
      </c>
      <c r="AW3261" s="21">
        <f t="shared" si="187"/>
        <v>0</v>
      </c>
      <c r="AX3261" s="21" t="str">
        <f t="shared" si="186"/>
        <v/>
      </c>
      <c r="AY3261" s="21" t="str">
        <f>IF(AND($AM3261&lt;&gt;"",$AS3261&lt;&gt;"✓"),SUMPRODUCT(($AM$11:$AM3261&lt;&gt;"")*($AS$11:$AS3261&lt;&gt;"✓")),"")</f>
        <v/>
      </c>
      <c r="AZ3261" s="21" t="str">
        <f>IF(AND($AM3261&lt;&gt;"",$AS3261="✓"),SUMPRODUCT(($AM$11:$AM3261&lt;&gt;"")*($AS$11:$AS3261="✓")),"")</f>
        <v/>
      </c>
      <c r="BA3261" s="21" t="str">
        <f>IF($AL3261="","",$AL3261&amp;"|"&amp;COUNTIF($AL$11:$AL3261,$AL3261))</f>
        <v/>
      </c>
    </row>
    <row r="3262" spans="38:53" ht="15" customHeight="1" x14ac:dyDescent="0.25">
      <c r="AL3262" s="31"/>
      <c r="AM3262" s="26"/>
      <c r="AN3262" s="32"/>
      <c r="AO3262" s="32"/>
      <c r="AP3262" s="24"/>
      <c r="AQ3262" s="24"/>
      <c r="AR3262" s="33"/>
      <c r="AS3262" s="34"/>
      <c r="AT3262" s="33"/>
      <c r="AV3262" s="21">
        <f>IF(AND($AL3262&lt;&gt;"",COUNTIF($AL$11:$AL3262,$AL3262)=1),1,0)</f>
        <v>0</v>
      </c>
      <c r="AW3262" s="21">
        <f t="shared" si="187"/>
        <v>0</v>
      </c>
      <c r="AX3262" s="21" t="str">
        <f t="shared" si="186"/>
        <v/>
      </c>
      <c r="AY3262" s="21" t="str">
        <f>IF(AND($AM3262&lt;&gt;"",$AS3262&lt;&gt;"✓"),SUMPRODUCT(($AM$11:$AM3262&lt;&gt;"")*($AS$11:$AS3262&lt;&gt;"✓")),"")</f>
        <v/>
      </c>
      <c r="AZ3262" s="21" t="str">
        <f>IF(AND($AM3262&lt;&gt;"",$AS3262="✓"),SUMPRODUCT(($AM$11:$AM3262&lt;&gt;"")*($AS$11:$AS3262="✓")),"")</f>
        <v/>
      </c>
      <c r="BA3262" s="21" t="str">
        <f>IF($AL3262="","",$AL3262&amp;"|"&amp;COUNTIF($AL$11:$AL3262,$AL3262))</f>
        <v/>
      </c>
    </row>
    <row r="3263" spans="38:53" ht="15" customHeight="1" x14ac:dyDescent="0.25">
      <c r="AL3263" s="17"/>
      <c r="AM3263" s="12"/>
      <c r="AN3263" s="18"/>
      <c r="AO3263" s="18"/>
      <c r="AP3263" s="10"/>
      <c r="AQ3263" s="10"/>
      <c r="AR3263" s="19"/>
      <c r="AS3263" s="20"/>
      <c r="AT3263" s="19"/>
      <c r="AV3263" s="21">
        <f>IF(AND($AL3263&lt;&gt;"",COUNTIF($AL$11:$AL3263,$AL3263)=1),1,0)</f>
        <v>0</v>
      </c>
      <c r="AW3263" s="21">
        <f t="shared" si="187"/>
        <v>0</v>
      </c>
      <c r="AX3263" s="21" t="str">
        <f t="shared" si="186"/>
        <v/>
      </c>
      <c r="AY3263" s="21" t="str">
        <f>IF(AND($AM3263&lt;&gt;"",$AS3263&lt;&gt;"✓"),SUMPRODUCT(($AM$11:$AM3263&lt;&gt;"")*($AS$11:$AS3263&lt;&gt;"✓")),"")</f>
        <v/>
      </c>
      <c r="AZ3263" s="21" t="str">
        <f>IF(AND($AM3263&lt;&gt;"",$AS3263="✓"),SUMPRODUCT(($AM$11:$AM3263&lt;&gt;"")*($AS$11:$AS3263="✓")),"")</f>
        <v/>
      </c>
      <c r="BA3263" s="21" t="str">
        <f>IF($AL3263="","",$AL3263&amp;"|"&amp;COUNTIF($AL$11:$AL3263,$AL3263))</f>
        <v/>
      </c>
    </row>
    <row r="3264" spans="38:53" ht="15" customHeight="1" x14ac:dyDescent="0.25">
      <c r="AL3264" s="31"/>
      <c r="AM3264" s="26"/>
      <c r="AN3264" s="32"/>
      <c r="AO3264" s="32"/>
      <c r="AP3264" s="24"/>
      <c r="AQ3264" s="24"/>
      <c r="AR3264" s="33"/>
      <c r="AS3264" s="34"/>
      <c r="AT3264" s="33"/>
      <c r="AV3264" s="21">
        <f>IF(AND($AL3264&lt;&gt;"",COUNTIF($AL$11:$AL3264,$AL3264)=1),1,0)</f>
        <v>0</v>
      </c>
      <c r="AW3264" s="21">
        <f t="shared" si="187"/>
        <v>0</v>
      </c>
      <c r="AX3264" s="21" t="str">
        <f t="shared" si="186"/>
        <v/>
      </c>
      <c r="AY3264" s="21" t="str">
        <f>IF(AND($AM3264&lt;&gt;"",$AS3264&lt;&gt;"✓"),SUMPRODUCT(($AM$11:$AM3264&lt;&gt;"")*($AS$11:$AS3264&lt;&gt;"✓")),"")</f>
        <v/>
      </c>
      <c r="AZ3264" s="21" t="str">
        <f>IF(AND($AM3264&lt;&gt;"",$AS3264="✓"),SUMPRODUCT(($AM$11:$AM3264&lt;&gt;"")*($AS$11:$AS3264="✓")),"")</f>
        <v/>
      </c>
      <c r="BA3264" s="21" t="str">
        <f>IF($AL3264="","",$AL3264&amp;"|"&amp;COUNTIF($AL$11:$AL3264,$AL3264))</f>
        <v/>
      </c>
    </row>
    <row r="3265" spans="38:53" ht="15" customHeight="1" x14ac:dyDescent="0.25">
      <c r="AL3265" s="17"/>
      <c r="AM3265" s="12"/>
      <c r="AN3265" s="18"/>
      <c r="AO3265" s="18"/>
      <c r="AP3265" s="10"/>
      <c r="AQ3265" s="10"/>
      <c r="AR3265" s="19"/>
      <c r="AS3265" s="20"/>
      <c r="AT3265" s="19"/>
      <c r="AV3265" s="21">
        <f>IF(AND($AL3265&lt;&gt;"",COUNTIF($AL$11:$AL3265,$AL3265)=1),1,0)</f>
        <v>0</v>
      </c>
      <c r="AW3265" s="21">
        <f t="shared" si="187"/>
        <v>0</v>
      </c>
      <c r="AX3265" s="21" t="str">
        <f t="shared" si="186"/>
        <v/>
      </c>
      <c r="AY3265" s="21" t="str">
        <f>IF(AND($AM3265&lt;&gt;"",$AS3265&lt;&gt;"✓"),SUMPRODUCT(($AM$11:$AM3265&lt;&gt;"")*($AS$11:$AS3265&lt;&gt;"✓")),"")</f>
        <v/>
      </c>
      <c r="AZ3265" s="21" t="str">
        <f>IF(AND($AM3265&lt;&gt;"",$AS3265="✓"),SUMPRODUCT(($AM$11:$AM3265&lt;&gt;"")*($AS$11:$AS3265="✓")),"")</f>
        <v/>
      </c>
      <c r="BA3265" s="21" t="str">
        <f>IF($AL3265="","",$AL3265&amp;"|"&amp;COUNTIF($AL$11:$AL3265,$AL3265))</f>
        <v/>
      </c>
    </row>
    <row r="3266" spans="38:53" ht="15" customHeight="1" x14ac:dyDescent="0.25">
      <c r="AL3266" s="31"/>
      <c r="AM3266" s="26"/>
      <c r="AN3266" s="32"/>
      <c r="AO3266" s="32"/>
      <c r="AP3266" s="24"/>
      <c r="AQ3266" s="24"/>
      <c r="AR3266" s="33"/>
      <c r="AS3266" s="34"/>
      <c r="AT3266" s="33"/>
      <c r="AV3266" s="21">
        <f>IF(AND($AL3266&lt;&gt;"",COUNTIF($AL$11:$AL3266,$AL3266)=1),1,0)</f>
        <v>0</v>
      </c>
      <c r="AW3266" s="21">
        <f t="shared" si="187"/>
        <v>0</v>
      </c>
      <c r="AX3266" s="21" t="str">
        <f t="shared" si="186"/>
        <v/>
      </c>
      <c r="AY3266" s="21" t="str">
        <f>IF(AND($AM3266&lt;&gt;"",$AS3266&lt;&gt;"✓"),SUMPRODUCT(($AM$11:$AM3266&lt;&gt;"")*($AS$11:$AS3266&lt;&gt;"✓")),"")</f>
        <v/>
      </c>
      <c r="AZ3266" s="21" t="str">
        <f>IF(AND($AM3266&lt;&gt;"",$AS3266="✓"),SUMPRODUCT(($AM$11:$AM3266&lt;&gt;"")*($AS$11:$AS3266="✓")),"")</f>
        <v/>
      </c>
      <c r="BA3266" s="21" t="str">
        <f>IF($AL3266="","",$AL3266&amp;"|"&amp;COUNTIF($AL$11:$AL3266,$AL3266))</f>
        <v/>
      </c>
    </row>
    <row r="3267" spans="38:53" ht="15" customHeight="1" x14ac:dyDescent="0.25">
      <c r="AL3267" s="17"/>
      <c r="AM3267" s="12"/>
      <c r="AN3267" s="18"/>
      <c r="AO3267" s="18"/>
      <c r="AP3267" s="10"/>
      <c r="AQ3267" s="10"/>
      <c r="AR3267" s="19"/>
      <c r="AS3267" s="20"/>
      <c r="AT3267" s="19"/>
      <c r="AV3267" s="21">
        <f>IF(AND($AL3267&lt;&gt;"",COUNTIF($AL$11:$AL3267,$AL3267)=1),1,0)</f>
        <v>0</v>
      </c>
      <c r="AW3267" s="21">
        <f t="shared" si="187"/>
        <v>0</v>
      </c>
      <c r="AX3267" s="21" t="str">
        <f t="shared" si="186"/>
        <v/>
      </c>
      <c r="AY3267" s="21" t="str">
        <f>IF(AND($AM3267&lt;&gt;"",$AS3267&lt;&gt;"✓"),SUMPRODUCT(($AM$11:$AM3267&lt;&gt;"")*($AS$11:$AS3267&lt;&gt;"✓")),"")</f>
        <v/>
      </c>
      <c r="AZ3267" s="21" t="str">
        <f>IF(AND($AM3267&lt;&gt;"",$AS3267="✓"),SUMPRODUCT(($AM$11:$AM3267&lt;&gt;"")*($AS$11:$AS3267="✓")),"")</f>
        <v/>
      </c>
      <c r="BA3267" s="21" t="str">
        <f>IF($AL3267="","",$AL3267&amp;"|"&amp;COUNTIF($AL$11:$AL3267,$AL3267))</f>
        <v/>
      </c>
    </row>
    <row r="3268" spans="38:53" ht="15" customHeight="1" x14ac:dyDescent="0.25">
      <c r="AL3268" s="31"/>
      <c r="AM3268" s="26"/>
      <c r="AN3268" s="32"/>
      <c r="AO3268" s="32"/>
      <c r="AP3268" s="24"/>
      <c r="AQ3268" s="24"/>
      <c r="AR3268" s="33"/>
      <c r="AS3268" s="34"/>
      <c r="AT3268" s="33"/>
      <c r="AV3268" s="21">
        <f>IF(AND($AL3268&lt;&gt;"",COUNTIF($AL$11:$AL3268,$AL3268)=1),1,0)</f>
        <v>0</v>
      </c>
      <c r="AW3268" s="21">
        <f t="shared" si="187"/>
        <v>0</v>
      </c>
      <c r="AX3268" s="21" t="str">
        <f t="shared" si="186"/>
        <v/>
      </c>
      <c r="AY3268" s="21" t="str">
        <f>IF(AND($AM3268&lt;&gt;"",$AS3268&lt;&gt;"✓"),SUMPRODUCT(($AM$11:$AM3268&lt;&gt;"")*($AS$11:$AS3268&lt;&gt;"✓")),"")</f>
        <v/>
      </c>
      <c r="AZ3268" s="21" t="str">
        <f>IF(AND($AM3268&lt;&gt;"",$AS3268="✓"),SUMPRODUCT(($AM$11:$AM3268&lt;&gt;"")*($AS$11:$AS3268="✓")),"")</f>
        <v/>
      </c>
      <c r="BA3268" s="21" t="str">
        <f>IF($AL3268="","",$AL3268&amp;"|"&amp;COUNTIF($AL$11:$AL3268,$AL3268))</f>
        <v/>
      </c>
    </row>
    <row r="3269" spans="38:53" ht="15" customHeight="1" x14ac:dyDescent="0.25">
      <c r="AL3269" s="17"/>
      <c r="AM3269" s="12"/>
      <c r="AN3269" s="18"/>
      <c r="AO3269" s="18"/>
      <c r="AP3269" s="10"/>
      <c r="AQ3269" s="10"/>
      <c r="AR3269" s="19"/>
      <c r="AS3269" s="20"/>
      <c r="AT3269" s="19"/>
      <c r="AV3269" s="21">
        <f>IF(AND($AL3269&lt;&gt;"",COUNTIF($AL$11:$AL3269,$AL3269)=1),1,0)</f>
        <v>0</v>
      </c>
      <c r="AW3269" s="21">
        <f t="shared" si="187"/>
        <v>0</v>
      </c>
      <c r="AX3269" s="21" t="str">
        <f t="shared" si="186"/>
        <v/>
      </c>
      <c r="AY3269" s="21" t="str">
        <f>IF(AND($AM3269&lt;&gt;"",$AS3269&lt;&gt;"✓"),SUMPRODUCT(($AM$11:$AM3269&lt;&gt;"")*($AS$11:$AS3269&lt;&gt;"✓")),"")</f>
        <v/>
      </c>
      <c r="AZ3269" s="21" t="str">
        <f>IF(AND($AM3269&lt;&gt;"",$AS3269="✓"),SUMPRODUCT(($AM$11:$AM3269&lt;&gt;"")*($AS$11:$AS3269="✓")),"")</f>
        <v/>
      </c>
      <c r="BA3269" s="21" t="str">
        <f>IF($AL3269="","",$AL3269&amp;"|"&amp;COUNTIF($AL$11:$AL3269,$AL3269))</f>
        <v/>
      </c>
    </row>
    <row r="3270" spans="38:53" ht="15" customHeight="1" x14ac:dyDescent="0.25">
      <c r="AL3270" s="31"/>
      <c r="AM3270" s="26"/>
      <c r="AN3270" s="32"/>
      <c r="AO3270" s="32"/>
      <c r="AP3270" s="24"/>
      <c r="AQ3270" s="24"/>
      <c r="AR3270" s="33"/>
      <c r="AS3270" s="34"/>
      <c r="AT3270" s="33"/>
      <c r="AV3270" s="21">
        <f>IF(AND($AL3270&lt;&gt;"",COUNTIF($AL$11:$AL3270,$AL3270)=1),1,0)</f>
        <v>0</v>
      </c>
      <c r="AW3270" s="21">
        <f t="shared" si="187"/>
        <v>0</v>
      </c>
      <c r="AX3270" s="21" t="str">
        <f t="shared" si="186"/>
        <v/>
      </c>
      <c r="AY3270" s="21" t="str">
        <f>IF(AND($AM3270&lt;&gt;"",$AS3270&lt;&gt;"✓"),SUMPRODUCT(($AM$11:$AM3270&lt;&gt;"")*($AS$11:$AS3270&lt;&gt;"✓")),"")</f>
        <v/>
      </c>
      <c r="AZ3270" s="21" t="str">
        <f>IF(AND($AM3270&lt;&gt;"",$AS3270="✓"),SUMPRODUCT(($AM$11:$AM3270&lt;&gt;"")*($AS$11:$AS3270="✓")),"")</f>
        <v/>
      </c>
      <c r="BA3270" s="21" t="str">
        <f>IF($AL3270="","",$AL3270&amp;"|"&amp;COUNTIF($AL$11:$AL3270,$AL3270))</f>
        <v/>
      </c>
    </row>
    <row r="3271" spans="38:53" ht="15" customHeight="1" x14ac:dyDescent="0.25">
      <c r="AL3271" s="17"/>
      <c r="AM3271" s="12"/>
      <c r="AN3271" s="18"/>
      <c r="AO3271" s="18"/>
      <c r="AP3271" s="10"/>
      <c r="AQ3271" s="10"/>
      <c r="AR3271" s="19"/>
      <c r="AS3271" s="20"/>
      <c r="AT3271" s="19"/>
      <c r="AV3271" s="21">
        <f>IF(AND($AL3271&lt;&gt;"",COUNTIF($AL$11:$AL3271,$AL3271)=1),1,0)</f>
        <v>0</v>
      </c>
      <c r="AW3271" s="21">
        <f t="shared" si="187"/>
        <v>0</v>
      </c>
      <c r="AX3271" s="21" t="str">
        <f t="shared" si="186"/>
        <v/>
      </c>
      <c r="AY3271" s="21" t="str">
        <f>IF(AND($AM3271&lt;&gt;"",$AS3271&lt;&gt;"✓"),SUMPRODUCT(($AM$11:$AM3271&lt;&gt;"")*($AS$11:$AS3271&lt;&gt;"✓")),"")</f>
        <v/>
      </c>
      <c r="AZ3271" s="21" t="str">
        <f>IF(AND($AM3271&lt;&gt;"",$AS3271="✓"),SUMPRODUCT(($AM$11:$AM3271&lt;&gt;"")*($AS$11:$AS3271="✓")),"")</f>
        <v/>
      </c>
      <c r="BA3271" s="21" t="str">
        <f>IF($AL3271="","",$AL3271&amp;"|"&amp;COUNTIF($AL$11:$AL3271,$AL3271))</f>
        <v/>
      </c>
    </row>
    <row r="3272" spans="38:53" ht="15" customHeight="1" x14ac:dyDescent="0.25">
      <c r="AL3272" s="31"/>
      <c r="AM3272" s="26"/>
      <c r="AN3272" s="32"/>
      <c r="AO3272" s="32"/>
      <c r="AP3272" s="24"/>
      <c r="AQ3272" s="24"/>
      <c r="AR3272" s="33"/>
      <c r="AS3272" s="34"/>
      <c r="AT3272" s="33"/>
      <c r="AV3272" s="21">
        <f>IF(AND($AL3272&lt;&gt;"",COUNTIF($AL$11:$AL3272,$AL3272)=1),1,0)</f>
        <v>0</v>
      </c>
      <c r="AW3272" s="21">
        <f t="shared" si="187"/>
        <v>0</v>
      </c>
      <c r="AX3272" s="21" t="str">
        <f t="shared" si="186"/>
        <v/>
      </c>
      <c r="AY3272" s="21" t="str">
        <f>IF(AND($AM3272&lt;&gt;"",$AS3272&lt;&gt;"✓"),SUMPRODUCT(($AM$11:$AM3272&lt;&gt;"")*($AS$11:$AS3272&lt;&gt;"✓")),"")</f>
        <v/>
      </c>
      <c r="AZ3272" s="21" t="str">
        <f>IF(AND($AM3272&lt;&gt;"",$AS3272="✓"),SUMPRODUCT(($AM$11:$AM3272&lt;&gt;"")*($AS$11:$AS3272="✓")),"")</f>
        <v/>
      </c>
      <c r="BA3272" s="21" t="str">
        <f>IF($AL3272="","",$AL3272&amp;"|"&amp;COUNTIF($AL$11:$AL3272,$AL3272))</f>
        <v/>
      </c>
    </row>
    <row r="3273" spans="38:53" ht="15" customHeight="1" x14ac:dyDescent="0.25">
      <c r="AL3273" s="17"/>
      <c r="AM3273" s="12"/>
      <c r="AN3273" s="18"/>
      <c r="AO3273" s="18"/>
      <c r="AP3273" s="10"/>
      <c r="AQ3273" s="10"/>
      <c r="AR3273" s="19"/>
      <c r="AS3273" s="20"/>
      <c r="AT3273" s="19"/>
      <c r="AV3273" s="21">
        <f>IF(AND($AL3273&lt;&gt;"",COUNTIF($AL$11:$AL3273,$AL3273)=1),1,0)</f>
        <v>0</v>
      </c>
      <c r="AW3273" s="21">
        <f t="shared" si="187"/>
        <v>0</v>
      </c>
      <c r="AX3273" s="21" t="str">
        <f t="shared" si="186"/>
        <v/>
      </c>
      <c r="AY3273" s="21" t="str">
        <f>IF(AND($AM3273&lt;&gt;"",$AS3273&lt;&gt;"✓"),SUMPRODUCT(($AM$11:$AM3273&lt;&gt;"")*($AS$11:$AS3273&lt;&gt;"✓")),"")</f>
        <v/>
      </c>
      <c r="AZ3273" s="21" t="str">
        <f>IF(AND($AM3273&lt;&gt;"",$AS3273="✓"),SUMPRODUCT(($AM$11:$AM3273&lt;&gt;"")*($AS$11:$AS3273="✓")),"")</f>
        <v/>
      </c>
      <c r="BA3273" s="21" t="str">
        <f>IF($AL3273="","",$AL3273&amp;"|"&amp;COUNTIF($AL$11:$AL3273,$AL3273))</f>
        <v/>
      </c>
    </row>
    <row r="3274" spans="38:53" ht="15" customHeight="1" x14ac:dyDescent="0.25">
      <c r="AL3274" s="31"/>
      <c r="AM3274" s="26"/>
      <c r="AN3274" s="32"/>
      <c r="AO3274" s="32"/>
      <c r="AP3274" s="24"/>
      <c r="AQ3274" s="24"/>
      <c r="AR3274" s="33"/>
      <c r="AS3274" s="34"/>
      <c r="AT3274" s="33"/>
      <c r="AV3274" s="21">
        <f>IF(AND($AL3274&lt;&gt;"",COUNTIF($AL$11:$AL3274,$AL3274)=1),1,0)</f>
        <v>0</v>
      </c>
      <c r="AW3274" s="21">
        <f t="shared" si="187"/>
        <v>0</v>
      </c>
      <c r="AX3274" s="21" t="str">
        <f t="shared" si="186"/>
        <v/>
      </c>
      <c r="AY3274" s="21" t="str">
        <f>IF(AND($AM3274&lt;&gt;"",$AS3274&lt;&gt;"✓"),SUMPRODUCT(($AM$11:$AM3274&lt;&gt;"")*($AS$11:$AS3274&lt;&gt;"✓")),"")</f>
        <v/>
      </c>
      <c r="AZ3274" s="21" t="str">
        <f>IF(AND($AM3274&lt;&gt;"",$AS3274="✓"),SUMPRODUCT(($AM$11:$AM3274&lt;&gt;"")*($AS$11:$AS3274="✓")),"")</f>
        <v/>
      </c>
      <c r="BA3274" s="21" t="str">
        <f>IF($AL3274="","",$AL3274&amp;"|"&amp;COUNTIF($AL$11:$AL3274,$AL3274))</f>
        <v/>
      </c>
    </row>
    <row r="3275" spans="38:53" ht="15" customHeight="1" x14ac:dyDescent="0.25">
      <c r="AL3275" s="17"/>
      <c r="AM3275" s="12"/>
      <c r="AN3275" s="18"/>
      <c r="AO3275" s="18"/>
      <c r="AP3275" s="10"/>
      <c r="AQ3275" s="10"/>
      <c r="AR3275" s="19"/>
      <c r="AS3275" s="20"/>
      <c r="AT3275" s="19"/>
      <c r="AV3275" s="21">
        <f>IF(AND($AL3275&lt;&gt;"",COUNTIF($AL$11:$AL3275,$AL3275)=1),1,0)</f>
        <v>0</v>
      </c>
      <c r="AW3275" s="21">
        <f t="shared" si="187"/>
        <v>0</v>
      </c>
      <c r="AX3275" s="21" t="str">
        <f t="shared" ref="AX3275:AX3338" si="188">IF(AV3275=1,AW3275,"")</f>
        <v/>
      </c>
      <c r="AY3275" s="21" t="str">
        <f>IF(AND($AM3275&lt;&gt;"",$AS3275&lt;&gt;"✓"),SUMPRODUCT(($AM$11:$AM3275&lt;&gt;"")*($AS$11:$AS3275&lt;&gt;"✓")),"")</f>
        <v/>
      </c>
      <c r="AZ3275" s="21" t="str">
        <f>IF(AND($AM3275&lt;&gt;"",$AS3275="✓"),SUMPRODUCT(($AM$11:$AM3275&lt;&gt;"")*($AS$11:$AS3275="✓")),"")</f>
        <v/>
      </c>
      <c r="BA3275" s="21" t="str">
        <f>IF($AL3275="","",$AL3275&amp;"|"&amp;COUNTIF($AL$11:$AL3275,$AL3275))</f>
        <v/>
      </c>
    </row>
    <row r="3276" spans="38:53" ht="15" customHeight="1" x14ac:dyDescent="0.25">
      <c r="AL3276" s="31"/>
      <c r="AM3276" s="26"/>
      <c r="AN3276" s="32"/>
      <c r="AO3276" s="32"/>
      <c r="AP3276" s="24"/>
      <c r="AQ3276" s="24"/>
      <c r="AR3276" s="33"/>
      <c r="AS3276" s="34"/>
      <c r="AT3276" s="33"/>
      <c r="AV3276" s="21">
        <f>IF(AND($AL3276&lt;&gt;"",COUNTIF($AL$11:$AL3276,$AL3276)=1),1,0)</f>
        <v>0</v>
      </c>
      <c r="AW3276" s="21">
        <f t="shared" ref="AW3276:AW3339" si="189">AW3275+AV3276</f>
        <v>0</v>
      </c>
      <c r="AX3276" s="21" t="str">
        <f t="shared" si="188"/>
        <v/>
      </c>
      <c r="AY3276" s="21" t="str">
        <f>IF(AND($AM3276&lt;&gt;"",$AS3276&lt;&gt;"✓"),SUMPRODUCT(($AM$11:$AM3276&lt;&gt;"")*($AS$11:$AS3276&lt;&gt;"✓")),"")</f>
        <v/>
      </c>
      <c r="AZ3276" s="21" t="str">
        <f>IF(AND($AM3276&lt;&gt;"",$AS3276="✓"),SUMPRODUCT(($AM$11:$AM3276&lt;&gt;"")*($AS$11:$AS3276="✓")),"")</f>
        <v/>
      </c>
      <c r="BA3276" s="21" t="str">
        <f>IF($AL3276="","",$AL3276&amp;"|"&amp;COUNTIF($AL$11:$AL3276,$AL3276))</f>
        <v/>
      </c>
    </row>
    <row r="3277" spans="38:53" ht="15" customHeight="1" x14ac:dyDescent="0.25">
      <c r="AL3277" s="17"/>
      <c r="AM3277" s="12"/>
      <c r="AN3277" s="18"/>
      <c r="AO3277" s="18"/>
      <c r="AP3277" s="10"/>
      <c r="AQ3277" s="10"/>
      <c r="AR3277" s="19"/>
      <c r="AS3277" s="20"/>
      <c r="AT3277" s="19"/>
      <c r="AV3277" s="21">
        <f>IF(AND($AL3277&lt;&gt;"",COUNTIF($AL$11:$AL3277,$AL3277)=1),1,0)</f>
        <v>0</v>
      </c>
      <c r="AW3277" s="21">
        <f t="shared" si="189"/>
        <v>0</v>
      </c>
      <c r="AX3277" s="21" t="str">
        <f t="shared" si="188"/>
        <v/>
      </c>
      <c r="AY3277" s="21" t="str">
        <f>IF(AND($AM3277&lt;&gt;"",$AS3277&lt;&gt;"✓"),SUMPRODUCT(($AM$11:$AM3277&lt;&gt;"")*($AS$11:$AS3277&lt;&gt;"✓")),"")</f>
        <v/>
      </c>
      <c r="AZ3277" s="21" t="str">
        <f>IF(AND($AM3277&lt;&gt;"",$AS3277="✓"),SUMPRODUCT(($AM$11:$AM3277&lt;&gt;"")*($AS$11:$AS3277="✓")),"")</f>
        <v/>
      </c>
      <c r="BA3277" s="21" t="str">
        <f>IF($AL3277="","",$AL3277&amp;"|"&amp;COUNTIF($AL$11:$AL3277,$AL3277))</f>
        <v/>
      </c>
    </row>
    <row r="3278" spans="38:53" ht="15" customHeight="1" x14ac:dyDescent="0.25">
      <c r="AL3278" s="31"/>
      <c r="AM3278" s="26"/>
      <c r="AN3278" s="32"/>
      <c r="AO3278" s="32"/>
      <c r="AP3278" s="24"/>
      <c r="AQ3278" s="24"/>
      <c r="AR3278" s="33"/>
      <c r="AS3278" s="34"/>
      <c r="AT3278" s="33"/>
      <c r="AV3278" s="21">
        <f>IF(AND($AL3278&lt;&gt;"",COUNTIF($AL$11:$AL3278,$AL3278)=1),1,0)</f>
        <v>0</v>
      </c>
      <c r="AW3278" s="21">
        <f t="shared" si="189"/>
        <v>0</v>
      </c>
      <c r="AX3278" s="21" t="str">
        <f t="shared" si="188"/>
        <v/>
      </c>
      <c r="AY3278" s="21" t="str">
        <f>IF(AND($AM3278&lt;&gt;"",$AS3278&lt;&gt;"✓"),SUMPRODUCT(($AM$11:$AM3278&lt;&gt;"")*($AS$11:$AS3278&lt;&gt;"✓")),"")</f>
        <v/>
      </c>
      <c r="AZ3278" s="21" t="str">
        <f>IF(AND($AM3278&lt;&gt;"",$AS3278="✓"),SUMPRODUCT(($AM$11:$AM3278&lt;&gt;"")*($AS$11:$AS3278="✓")),"")</f>
        <v/>
      </c>
      <c r="BA3278" s="21" t="str">
        <f>IF($AL3278="","",$AL3278&amp;"|"&amp;COUNTIF($AL$11:$AL3278,$AL3278))</f>
        <v/>
      </c>
    </row>
    <row r="3279" spans="38:53" ht="15" customHeight="1" x14ac:dyDescent="0.25">
      <c r="AL3279" s="17"/>
      <c r="AM3279" s="12"/>
      <c r="AN3279" s="18"/>
      <c r="AO3279" s="18"/>
      <c r="AP3279" s="10"/>
      <c r="AQ3279" s="10"/>
      <c r="AR3279" s="19"/>
      <c r="AS3279" s="20"/>
      <c r="AT3279" s="19"/>
      <c r="AV3279" s="21">
        <f>IF(AND($AL3279&lt;&gt;"",COUNTIF($AL$11:$AL3279,$AL3279)=1),1,0)</f>
        <v>0</v>
      </c>
      <c r="AW3279" s="21">
        <f t="shared" si="189"/>
        <v>0</v>
      </c>
      <c r="AX3279" s="21" t="str">
        <f t="shared" si="188"/>
        <v/>
      </c>
      <c r="AY3279" s="21" t="str">
        <f>IF(AND($AM3279&lt;&gt;"",$AS3279&lt;&gt;"✓"),SUMPRODUCT(($AM$11:$AM3279&lt;&gt;"")*($AS$11:$AS3279&lt;&gt;"✓")),"")</f>
        <v/>
      </c>
      <c r="AZ3279" s="21" t="str">
        <f>IF(AND($AM3279&lt;&gt;"",$AS3279="✓"),SUMPRODUCT(($AM$11:$AM3279&lt;&gt;"")*($AS$11:$AS3279="✓")),"")</f>
        <v/>
      </c>
      <c r="BA3279" s="21" t="str">
        <f>IF($AL3279="","",$AL3279&amp;"|"&amp;COUNTIF($AL$11:$AL3279,$AL3279))</f>
        <v/>
      </c>
    </row>
    <row r="3280" spans="38:53" ht="15" customHeight="1" x14ac:dyDescent="0.25">
      <c r="AL3280" s="31"/>
      <c r="AM3280" s="26"/>
      <c r="AN3280" s="32"/>
      <c r="AO3280" s="32"/>
      <c r="AP3280" s="24"/>
      <c r="AQ3280" s="24"/>
      <c r="AR3280" s="33"/>
      <c r="AS3280" s="34"/>
      <c r="AT3280" s="33"/>
      <c r="AV3280" s="21">
        <f>IF(AND($AL3280&lt;&gt;"",COUNTIF($AL$11:$AL3280,$AL3280)=1),1,0)</f>
        <v>0</v>
      </c>
      <c r="AW3280" s="21">
        <f t="shared" si="189"/>
        <v>0</v>
      </c>
      <c r="AX3280" s="21" t="str">
        <f t="shared" si="188"/>
        <v/>
      </c>
      <c r="AY3280" s="21" t="str">
        <f>IF(AND($AM3280&lt;&gt;"",$AS3280&lt;&gt;"✓"),SUMPRODUCT(($AM$11:$AM3280&lt;&gt;"")*($AS$11:$AS3280&lt;&gt;"✓")),"")</f>
        <v/>
      </c>
      <c r="AZ3280" s="21" t="str">
        <f>IF(AND($AM3280&lt;&gt;"",$AS3280="✓"),SUMPRODUCT(($AM$11:$AM3280&lt;&gt;"")*($AS$11:$AS3280="✓")),"")</f>
        <v/>
      </c>
      <c r="BA3280" s="21" t="str">
        <f>IF($AL3280="","",$AL3280&amp;"|"&amp;COUNTIF($AL$11:$AL3280,$AL3280))</f>
        <v/>
      </c>
    </row>
    <row r="3281" spans="38:53" ht="15" customHeight="1" x14ac:dyDescent="0.25">
      <c r="AL3281" s="17"/>
      <c r="AM3281" s="12"/>
      <c r="AN3281" s="18"/>
      <c r="AO3281" s="18"/>
      <c r="AP3281" s="10"/>
      <c r="AQ3281" s="10"/>
      <c r="AR3281" s="19"/>
      <c r="AS3281" s="20"/>
      <c r="AT3281" s="19"/>
      <c r="AV3281" s="21">
        <f>IF(AND($AL3281&lt;&gt;"",COUNTIF($AL$11:$AL3281,$AL3281)=1),1,0)</f>
        <v>0</v>
      </c>
      <c r="AW3281" s="21">
        <f t="shared" si="189"/>
        <v>0</v>
      </c>
      <c r="AX3281" s="21" t="str">
        <f t="shared" si="188"/>
        <v/>
      </c>
      <c r="AY3281" s="21" t="str">
        <f>IF(AND($AM3281&lt;&gt;"",$AS3281&lt;&gt;"✓"),SUMPRODUCT(($AM$11:$AM3281&lt;&gt;"")*($AS$11:$AS3281&lt;&gt;"✓")),"")</f>
        <v/>
      </c>
      <c r="AZ3281" s="21" t="str">
        <f>IF(AND($AM3281&lt;&gt;"",$AS3281="✓"),SUMPRODUCT(($AM$11:$AM3281&lt;&gt;"")*($AS$11:$AS3281="✓")),"")</f>
        <v/>
      </c>
      <c r="BA3281" s="21" t="str">
        <f>IF($AL3281="","",$AL3281&amp;"|"&amp;COUNTIF($AL$11:$AL3281,$AL3281))</f>
        <v/>
      </c>
    </row>
    <row r="3282" spans="38:53" ht="15" customHeight="1" x14ac:dyDescent="0.25">
      <c r="AL3282" s="31"/>
      <c r="AM3282" s="26"/>
      <c r="AN3282" s="32"/>
      <c r="AO3282" s="32"/>
      <c r="AP3282" s="24"/>
      <c r="AQ3282" s="24"/>
      <c r="AR3282" s="33"/>
      <c r="AS3282" s="34"/>
      <c r="AT3282" s="33"/>
      <c r="AV3282" s="21">
        <f>IF(AND($AL3282&lt;&gt;"",COUNTIF($AL$11:$AL3282,$AL3282)=1),1,0)</f>
        <v>0</v>
      </c>
      <c r="AW3282" s="21">
        <f t="shared" si="189"/>
        <v>0</v>
      </c>
      <c r="AX3282" s="21" t="str">
        <f t="shared" si="188"/>
        <v/>
      </c>
      <c r="AY3282" s="21" t="str">
        <f>IF(AND($AM3282&lt;&gt;"",$AS3282&lt;&gt;"✓"),SUMPRODUCT(($AM$11:$AM3282&lt;&gt;"")*($AS$11:$AS3282&lt;&gt;"✓")),"")</f>
        <v/>
      </c>
      <c r="AZ3282" s="21" t="str">
        <f>IF(AND($AM3282&lt;&gt;"",$AS3282="✓"),SUMPRODUCT(($AM$11:$AM3282&lt;&gt;"")*($AS$11:$AS3282="✓")),"")</f>
        <v/>
      </c>
      <c r="BA3282" s="21" t="str">
        <f>IF($AL3282="","",$AL3282&amp;"|"&amp;COUNTIF($AL$11:$AL3282,$AL3282))</f>
        <v/>
      </c>
    </row>
    <row r="3283" spans="38:53" ht="15" customHeight="1" x14ac:dyDescent="0.25">
      <c r="AL3283" s="17"/>
      <c r="AM3283" s="12"/>
      <c r="AN3283" s="18"/>
      <c r="AO3283" s="18"/>
      <c r="AP3283" s="10"/>
      <c r="AQ3283" s="10"/>
      <c r="AR3283" s="19"/>
      <c r="AS3283" s="20"/>
      <c r="AT3283" s="19"/>
      <c r="AV3283" s="21">
        <f>IF(AND($AL3283&lt;&gt;"",COUNTIF($AL$11:$AL3283,$AL3283)=1),1,0)</f>
        <v>0</v>
      </c>
      <c r="AW3283" s="21">
        <f t="shared" si="189"/>
        <v>0</v>
      </c>
      <c r="AX3283" s="21" t="str">
        <f t="shared" si="188"/>
        <v/>
      </c>
      <c r="AY3283" s="21" t="str">
        <f>IF(AND($AM3283&lt;&gt;"",$AS3283&lt;&gt;"✓"),SUMPRODUCT(($AM$11:$AM3283&lt;&gt;"")*($AS$11:$AS3283&lt;&gt;"✓")),"")</f>
        <v/>
      </c>
      <c r="AZ3283" s="21" t="str">
        <f>IF(AND($AM3283&lt;&gt;"",$AS3283="✓"),SUMPRODUCT(($AM$11:$AM3283&lt;&gt;"")*($AS$11:$AS3283="✓")),"")</f>
        <v/>
      </c>
      <c r="BA3283" s="21" t="str">
        <f>IF($AL3283="","",$AL3283&amp;"|"&amp;COUNTIF($AL$11:$AL3283,$AL3283))</f>
        <v/>
      </c>
    </row>
    <row r="3284" spans="38:53" ht="15" customHeight="1" x14ac:dyDescent="0.25">
      <c r="AL3284" s="31"/>
      <c r="AM3284" s="26"/>
      <c r="AN3284" s="32"/>
      <c r="AO3284" s="32"/>
      <c r="AP3284" s="24"/>
      <c r="AQ3284" s="24"/>
      <c r="AR3284" s="33"/>
      <c r="AS3284" s="34"/>
      <c r="AT3284" s="33"/>
      <c r="AV3284" s="21">
        <f>IF(AND($AL3284&lt;&gt;"",COUNTIF($AL$11:$AL3284,$AL3284)=1),1,0)</f>
        <v>0</v>
      </c>
      <c r="AW3284" s="21">
        <f t="shared" si="189"/>
        <v>0</v>
      </c>
      <c r="AX3284" s="21" t="str">
        <f t="shared" si="188"/>
        <v/>
      </c>
      <c r="AY3284" s="21" t="str">
        <f>IF(AND($AM3284&lt;&gt;"",$AS3284&lt;&gt;"✓"),SUMPRODUCT(($AM$11:$AM3284&lt;&gt;"")*($AS$11:$AS3284&lt;&gt;"✓")),"")</f>
        <v/>
      </c>
      <c r="AZ3284" s="21" t="str">
        <f>IF(AND($AM3284&lt;&gt;"",$AS3284="✓"),SUMPRODUCT(($AM$11:$AM3284&lt;&gt;"")*($AS$11:$AS3284="✓")),"")</f>
        <v/>
      </c>
      <c r="BA3284" s="21" t="str">
        <f>IF($AL3284="","",$AL3284&amp;"|"&amp;COUNTIF($AL$11:$AL3284,$AL3284))</f>
        <v/>
      </c>
    </row>
    <row r="3285" spans="38:53" ht="15" customHeight="1" x14ac:dyDescent="0.25">
      <c r="AL3285" s="17"/>
      <c r="AM3285" s="12"/>
      <c r="AN3285" s="18"/>
      <c r="AO3285" s="18"/>
      <c r="AP3285" s="10"/>
      <c r="AQ3285" s="10"/>
      <c r="AR3285" s="19"/>
      <c r="AS3285" s="20"/>
      <c r="AT3285" s="19"/>
      <c r="AV3285" s="21">
        <f>IF(AND($AL3285&lt;&gt;"",COUNTIF($AL$11:$AL3285,$AL3285)=1),1,0)</f>
        <v>0</v>
      </c>
      <c r="AW3285" s="21">
        <f t="shared" si="189"/>
        <v>0</v>
      </c>
      <c r="AX3285" s="21" t="str">
        <f t="shared" si="188"/>
        <v/>
      </c>
      <c r="AY3285" s="21" t="str">
        <f>IF(AND($AM3285&lt;&gt;"",$AS3285&lt;&gt;"✓"),SUMPRODUCT(($AM$11:$AM3285&lt;&gt;"")*($AS$11:$AS3285&lt;&gt;"✓")),"")</f>
        <v/>
      </c>
      <c r="AZ3285" s="21" t="str">
        <f>IF(AND($AM3285&lt;&gt;"",$AS3285="✓"),SUMPRODUCT(($AM$11:$AM3285&lt;&gt;"")*($AS$11:$AS3285="✓")),"")</f>
        <v/>
      </c>
      <c r="BA3285" s="21" t="str">
        <f>IF($AL3285="","",$AL3285&amp;"|"&amp;COUNTIF($AL$11:$AL3285,$AL3285))</f>
        <v/>
      </c>
    </row>
    <row r="3286" spans="38:53" ht="15" customHeight="1" x14ac:dyDescent="0.25">
      <c r="AL3286" s="31"/>
      <c r="AM3286" s="26"/>
      <c r="AN3286" s="32"/>
      <c r="AO3286" s="32"/>
      <c r="AP3286" s="24"/>
      <c r="AQ3286" s="24"/>
      <c r="AR3286" s="33"/>
      <c r="AS3286" s="34"/>
      <c r="AT3286" s="33"/>
      <c r="AV3286" s="21">
        <f>IF(AND($AL3286&lt;&gt;"",COUNTIF($AL$11:$AL3286,$AL3286)=1),1,0)</f>
        <v>0</v>
      </c>
      <c r="AW3286" s="21">
        <f t="shared" si="189"/>
        <v>0</v>
      </c>
      <c r="AX3286" s="21" t="str">
        <f t="shared" si="188"/>
        <v/>
      </c>
      <c r="AY3286" s="21" t="str">
        <f>IF(AND($AM3286&lt;&gt;"",$AS3286&lt;&gt;"✓"),SUMPRODUCT(($AM$11:$AM3286&lt;&gt;"")*($AS$11:$AS3286&lt;&gt;"✓")),"")</f>
        <v/>
      </c>
      <c r="AZ3286" s="21" t="str">
        <f>IF(AND($AM3286&lt;&gt;"",$AS3286="✓"),SUMPRODUCT(($AM$11:$AM3286&lt;&gt;"")*($AS$11:$AS3286="✓")),"")</f>
        <v/>
      </c>
      <c r="BA3286" s="21" t="str">
        <f>IF($AL3286="","",$AL3286&amp;"|"&amp;COUNTIF($AL$11:$AL3286,$AL3286))</f>
        <v/>
      </c>
    </row>
    <row r="3287" spans="38:53" ht="15" customHeight="1" x14ac:dyDescent="0.25">
      <c r="AL3287" s="17"/>
      <c r="AM3287" s="12"/>
      <c r="AN3287" s="18"/>
      <c r="AO3287" s="18"/>
      <c r="AP3287" s="10"/>
      <c r="AQ3287" s="10"/>
      <c r="AR3287" s="19"/>
      <c r="AS3287" s="20"/>
      <c r="AT3287" s="19"/>
      <c r="AV3287" s="21">
        <f>IF(AND($AL3287&lt;&gt;"",COUNTIF($AL$11:$AL3287,$AL3287)=1),1,0)</f>
        <v>0</v>
      </c>
      <c r="AW3287" s="21">
        <f t="shared" si="189"/>
        <v>0</v>
      </c>
      <c r="AX3287" s="21" t="str">
        <f t="shared" si="188"/>
        <v/>
      </c>
      <c r="AY3287" s="21" t="str">
        <f>IF(AND($AM3287&lt;&gt;"",$AS3287&lt;&gt;"✓"),SUMPRODUCT(($AM$11:$AM3287&lt;&gt;"")*($AS$11:$AS3287&lt;&gt;"✓")),"")</f>
        <v/>
      </c>
      <c r="AZ3287" s="21" t="str">
        <f>IF(AND($AM3287&lt;&gt;"",$AS3287="✓"),SUMPRODUCT(($AM$11:$AM3287&lt;&gt;"")*($AS$11:$AS3287="✓")),"")</f>
        <v/>
      </c>
      <c r="BA3287" s="21" t="str">
        <f>IF($AL3287="","",$AL3287&amp;"|"&amp;COUNTIF($AL$11:$AL3287,$AL3287))</f>
        <v/>
      </c>
    </row>
    <row r="3288" spans="38:53" ht="15" customHeight="1" x14ac:dyDescent="0.25">
      <c r="AL3288" s="31"/>
      <c r="AM3288" s="26"/>
      <c r="AN3288" s="32"/>
      <c r="AO3288" s="32"/>
      <c r="AP3288" s="24"/>
      <c r="AQ3288" s="24"/>
      <c r="AR3288" s="33"/>
      <c r="AS3288" s="34"/>
      <c r="AT3288" s="33"/>
      <c r="AV3288" s="21">
        <f>IF(AND($AL3288&lt;&gt;"",COUNTIF($AL$11:$AL3288,$AL3288)=1),1,0)</f>
        <v>0</v>
      </c>
      <c r="AW3288" s="21">
        <f t="shared" si="189"/>
        <v>0</v>
      </c>
      <c r="AX3288" s="21" t="str">
        <f t="shared" si="188"/>
        <v/>
      </c>
      <c r="AY3288" s="21" t="str">
        <f>IF(AND($AM3288&lt;&gt;"",$AS3288&lt;&gt;"✓"),SUMPRODUCT(($AM$11:$AM3288&lt;&gt;"")*($AS$11:$AS3288&lt;&gt;"✓")),"")</f>
        <v/>
      </c>
      <c r="AZ3288" s="21" t="str">
        <f>IF(AND($AM3288&lt;&gt;"",$AS3288="✓"),SUMPRODUCT(($AM$11:$AM3288&lt;&gt;"")*($AS$11:$AS3288="✓")),"")</f>
        <v/>
      </c>
      <c r="BA3288" s="21" t="str">
        <f>IF($AL3288="","",$AL3288&amp;"|"&amp;COUNTIF($AL$11:$AL3288,$AL3288))</f>
        <v/>
      </c>
    </row>
    <row r="3289" spans="38:53" ht="15" customHeight="1" x14ac:dyDescent="0.25">
      <c r="AL3289" s="17"/>
      <c r="AM3289" s="12"/>
      <c r="AN3289" s="18"/>
      <c r="AO3289" s="18"/>
      <c r="AP3289" s="10"/>
      <c r="AQ3289" s="10"/>
      <c r="AR3289" s="19"/>
      <c r="AS3289" s="20"/>
      <c r="AT3289" s="19"/>
      <c r="AV3289" s="21">
        <f>IF(AND($AL3289&lt;&gt;"",COUNTIF($AL$11:$AL3289,$AL3289)=1),1,0)</f>
        <v>0</v>
      </c>
      <c r="AW3289" s="21">
        <f t="shared" si="189"/>
        <v>0</v>
      </c>
      <c r="AX3289" s="21" t="str">
        <f t="shared" si="188"/>
        <v/>
      </c>
      <c r="AY3289" s="21" t="str">
        <f>IF(AND($AM3289&lt;&gt;"",$AS3289&lt;&gt;"✓"),SUMPRODUCT(($AM$11:$AM3289&lt;&gt;"")*($AS$11:$AS3289&lt;&gt;"✓")),"")</f>
        <v/>
      </c>
      <c r="AZ3289" s="21" t="str">
        <f>IF(AND($AM3289&lt;&gt;"",$AS3289="✓"),SUMPRODUCT(($AM$11:$AM3289&lt;&gt;"")*($AS$11:$AS3289="✓")),"")</f>
        <v/>
      </c>
      <c r="BA3289" s="21" t="str">
        <f>IF($AL3289="","",$AL3289&amp;"|"&amp;COUNTIF($AL$11:$AL3289,$AL3289))</f>
        <v/>
      </c>
    </row>
    <row r="3290" spans="38:53" ht="15" customHeight="1" x14ac:dyDescent="0.25">
      <c r="AL3290" s="31"/>
      <c r="AM3290" s="26"/>
      <c r="AN3290" s="32"/>
      <c r="AO3290" s="32"/>
      <c r="AP3290" s="24"/>
      <c r="AQ3290" s="24"/>
      <c r="AR3290" s="33"/>
      <c r="AS3290" s="34"/>
      <c r="AT3290" s="33"/>
      <c r="AV3290" s="21">
        <f>IF(AND($AL3290&lt;&gt;"",COUNTIF($AL$11:$AL3290,$AL3290)=1),1,0)</f>
        <v>0</v>
      </c>
      <c r="AW3290" s="21">
        <f t="shared" si="189"/>
        <v>0</v>
      </c>
      <c r="AX3290" s="21" t="str">
        <f t="shared" si="188"/>
        <v/>
      </c>
      <c r="AY3290" s="21" t="str">
        <f>IF(AND($AM3290&lt;&gt;"",$AS3290&lt;&gt;"✓"),SUMPRODUCT(($AM$11:$AM3290&lt;&gt;"")*($AS$11:$AS3290&lt;&gt;"✓")),"")</f>
        <v/>
      </c>
      <c r="AZ3290" s="21" t="str">
        <f>IF(AND($AM3290&lt;&gt;"",$AS3290="✓"),SUMPRODUCT(($AM$11:$AM3290&lt;&gt;"")*($AS$11:$AS3290="✓")),"")</f>
        <v/>
      </c>
      <c r="BA3290" s="21" t="str">
        <f>IF($AL3290="","",$AL3290&amp;"|"&amp;COUNTIF($AL$11:$AL3290,$AL3290))</f>
        <v/>
      </c>
    </row>
    <row r="3291" spans="38:53" ht="15" customHeight="1" x14ac:dyDescent="0.25">
      <c r="AL3291" s="17"/>
      <c r="AM3291" s="12"/>
      <c r="AN3291" s="18"/>
      <c r="AO3291" s="18"/>
      <c r="AP3291" s="10"/>
      <c r="AQ3291" s="10"/>
      <c r="AR3291" s="19"/>
      <c r="AS3291" s="20"/>
      <c r="AT3291" s="19"/>
      <c r="AV3291" s="21">
        <f>IF(AND($AL3291&lt;&gt;"",COUNTIF($AL$11:$AL3291,$AL3291)=1),1,0)</f>
        <v>0</v>
      </c>
      <c r="AW3291" s="21">
        <f t="shared" si="189"/>
        <v>0</v>
      </c>
      <c r="AX3291" s="21" t="str">
        <f t="shared" si="188"/>
        <v/>
      </c>
      <c r="AY3291" s="21" t="str">
        <f>IF(AND($AM3291&lt;&gt;"",$AS3291&lt;&gt;"✓"),SUMPRODUCT(($AM$11:$AM3291&lt;&gt;"")*($AS$11:$AS3291&lt;&gt;"✓")),"")</f>
        <v/>
      </c>
      <c r="AZ3291" s="21" t="str">
        <f>IF(AND($AM3291&lt;&gt;"",$AS3291="✓"),SUMPRODUCT(($AM$11:$AM3291&lt;&gt;"")*($AS$11:$AS3291="✓")),"")</f>
        <v/>
      </c>
      <c r="BA3291" s="21" t="str">
        <f>IF($AL3291="","",$AL3291&amp;"|"&amp;COUNTIF($AL$11:$AL3291,$AL3291))</f>
        <v/>
      </c>
    </row>
    <row r="3292" spans="38:53" ht="15" customHeight="1" x14ac:dyDescent="0.25">
      <c r="AL3292" s="31"/>
      <c r="AM3292" s="26"/>
      <c r="AN3292" s="32"/>
      <c r="AO3292" s="32"/>
      <c r="AP3292" s="24"/>
      <c r="AQ3292" s="24"/>
      <c r="AR3292" s="33"/>
      <c r="AS3292" s="34"/>
      <c r="AT3292" s="33"/>
      <c r="AV3292" s="21">
        <f>IF(AND($AL3292&lt;&gt;"",COUNTIF($AL$11:$AL3292,$AL3292)=1),1,0)</f>
        <v>0</v>
      </c>
      <c r="AW3292" s="21">
        <f t="shared" si="189"/>
        <v>0</v>
      </c>
      <c r="AX3292" s="21" t="str">
        <f t="shared" si="188"/>
        <v/>
      </c>
      <c r="AY3292" s="21" t="str">
        <f>IF(AND($AM3292&lt;&gt;"",$AS3292&lt;&gt;"✓"),SUMPRODUCT(($AM$11:$AM3292&lt;&gt;"")*($AS$11:$AS3292&lt;&gt;"✓")),"")</f>
        <v/>
      </c>
      <c r="AZ3292" s="21" t="str">
        <f>IF(AND($AM3292&lt;&gt;"",$AS3292="✓"),SUMPRODUCT(($AM$11:$AM3292&lt;&gt;"")*($AS$11:$AS3292="✓")),"")</f>
        <v/>
      </c>
      <c r="BA3292" s="21" t="str">
        <f>IF($AL3292="","",$AL3292&amp;"|"&amp;COUNTIF($AL$11:$AL3292,$AL3292))</f>
        <v/>
      </c>
    </row>
    <row r="3293" spans="38:53" ht="15" customHeight="1" x14ac:dyDescent="0.25">
      <c r="AL3293" s="17"/>
      <c r="AM3293" s="12"/>
      <c r="AN3293" s="18"/>
      <c r="AO3293" s="18"/>
      <c r="AP3293" s="10"/>
      <c r="AQ3293" s="10"/>
      <c r="AR3293" s="19"/>
      <c r="AS3293" s="20"/>
      <c r="AT3293" s="19"/>
      <c r="AV3293" s="21">
        <f>IF(AND($AL3293&lt;&gt;"",COUNTIF($AL$11:$AL3293,$AL3293)=1),1,0)</f>
        <v>0</v>
      </c>
      <c r="AW3293" s="21">
        <f t="shared" si="189"/>
        <v>0</v>
      </c>
      <c r="AX3293" s="21" t="str">
        <f t="shared" si="188"/>
        <v/>
      </c>
      <c r="AY3293" s="21" t="str">
        <f>IF(AND($AM3293&lt;&gt;"",$AS3293&lt;&gt;"✓"),SUMPRODUCT(($AM$11:$AM3293&lt;&gt;"")*($AS$11:$AS3293&lt;&gt;"✓")),"")</f>
        <v/>
      </c>
      <c r="AZ3293" s="21" t="str">
        <f>IF(AND($AM3293&lt;&gt;"",$AS3293="✓"),SUMPRODUCT(($AM$11:$AM3293&lt;&gt;"")*($AS$11:$AS3293="✓")),"")</f>
        <v/>
      </c>
      <c r="BA3293" s="21" t="str">
        <f>IF($AL3293="","",$AL3293&amp;"|"&amp;COUNTIF($AL$11:$AL3293,$AL3293))</f>
        <v/>
      </c>
    </row>
    <row r="3294" spans="38:53" ht="15" customHeight="1" x14ac:dyDescent="0.25">
      <c r="AL3294" s="31"/>
      <c r="AM3294" s="26"/>
      <c r="AN3294" s="32"/>
      <c r="AO3294" s="32"/>
      <c r="AP3294" s="24"/>
      <c r="AQ3294" s="24"/>
      <c r="AR3294" s="33"/>
      <c r="AS3294" s="34"/>
      <c r="AT3294" s="33"/>
      <c r="AV3294" s="21">
        <f>IF(AND($AL3294&lt;&gt;"",COUNTIF($AL$11:$AL3294,$AL3294)=1),1,0)</f>
        <v>0</v>
      </c>
      <c r="AW3294" s="21">
        <f t="shared" si="189"/>
        <v>0</v>
      </c>
      <c r="AX3294" s="21" t="str">
        <f t="shared" si="188"/>
        <v/>
      </c>
      <c r="AY3294" s="21" t="str">
        <f>IF(AND($AM3294&lt;&gt;"",$AS3294&lt;&gt;"✓"),SUMPRODUCT(($AM$11:$AM3294&lt;&gt;"")*($AS$11:$AS3294&lt;&gt;"✓")),"")</f>
        <v/>
      </c>
      <c r="AZ3294" s="21" t="str">
        <f>IF(AND($AM3294&lt;&gt;"",$AS3294="✓"),SUMPRODUCT(($AM$11:$AM3294&lt;&gt;"")*($AS$11:$AS3294="✓")),"")</f>
        <v/>
      </c>
      <c r="BA3294" s="21" t="str">
        <f>IF($AL3294="","",$AL3294&amp;"|"&amp;COUNTIF($AL$11:$AL3294,$AL3294))</f>
        <v/>
      </c>
    </row>
    <row r="3295" spans="38:53" ht="15" customHeight="1" x14ac:dyDescent="0.25">
      <c r="AL3295" s="17"/>
      <c r="AM3295" s="12"/>
      <c r="AN3295" s="18"/>
      <c r="AO3295" s="18"/>
      <c r="AP3295" s="10"/>
      <c r="AQ3295" s="10"/>
      <c r="AR3295" s="19"/>
      <c r="AS3295" s="20"/>
      <c r="AT3295" s="19"/>
      <c r="AV3295" s="21">
        <f>IF(AND($AL3295&lt;&gt;"",COUNTIF($AL$11:$AL3295,$AL3295)=1),1,0)</f>
        <v>0</v>
      </c>
      <c r="AW3295" s="21">
        <f t="shared" si="189"/>
        <v>0</v>
      </c>
      <c r="AX3295" s="21" t="str">
        <f t="shared" si="188"/>
        <v/>
      </c>
      <c r="AY3295" s="21" t="str">
        <f>IF(AND($AM3295&lt;&gt;"",$AS3295&lt;&gt;"✓"),SUMPRODUCT(($AM$11:$AM3295&lt;&gt;"")*($AS$11:$AS3295&lt;&gt;"✓")),"")</f>
        <v/>
      </c>
      <c r="AZ3295" s="21" t="str">
        <f>IF(AND($AM3295&lt;&gt;"",$AS3295="✓"),SUMPRODUCT(($AM$11:$AM3295&lt;&gt;"")*($AS$11:$AS3295="✓")),"")</f>
        <v/>
      </c>
      <c r="BA3295" s="21" t="str">
        <f>IF($AL3295="","",$AL3295&amp;"|"&amp;COUNTIF($AL$11:$AL3295,$AL3295))</f>
        <v/>
      </c>
    </row>
    <row r="3296" spans="38:53" ht="15" customHeight="1" x14ac:dyDescent="0.25">
      <c r="AL3296" s="31"/>
      <c r="AM3296" s="26"/>
      <c r="AN3296" s="32"/>
      <c r="AO3296" s="32"/>
      <c r="AP3296" s="24"/>
      <c r="AQ3296" s="24"/>
      <c r="AR3296" s="33"/>
      <c r="AS3296" s="34"/>
      <c r="AT3296" s="33"/>
      <c r="AV3296" s="21">
        <f>IF(AND($AL3296&lt;&gt;"",COUNTIF($AL$11:$AL3296,$AL3296)=1),1,0)</f>
        <v>0</v>
      </c>
      <c r="AW3296" s="21">
        <f t="shared" si="189"/>
        <v>0</v>
      </c>
      <c r="AX3296" s="21" t="str">
        <f t="shared" si="188"/>
        <v/>
      </c>
      <c r="AY3296" s="21" t="str">
        <f>IF(AND($AM3296&lt;&gt;"",$AS3296&lt;&gt;"✓"),SUMPRODUCT(($AM$11:$AM3296&lt;&gt;"")*($AS$11:$AS3296&lt;&gt;"✓")),"")</f>
        <v/>
      </c>
      <c r="AZ3296" s="21" t="str">
        <f>IF(AND($AM3296&lt;&gt;"",$AS3296="✓"),SUMPRODUCT(($AM$11:$AM3296&lt;&gt;"")*($AS$11:$AS3296="✓")),"")</f>
        <v/>
      </c>
      <c r="BA3296" s="21" t="str">
        <f>IF($AL3296="","",$AL3296&amp;"|"&amp;COUNTIF($AL$11:$AL3296,$AL3296))</f>
        <v/>
      </c>
    </row>
    <row r="3297" spans="38:53" ht="15" customHeight="1" x14ac:dyDescent="0.25">
      <c r="AL3297" s="17"/>
      <c r="AM3297" s="12"/>
      <c r="AN3297" s="18"/>
      <c r="AO3297" s="18"/>
      <c r="AP3297" s="10"/>
      <c r="AQ3297" s="10"/>
      <c r="AR3297" s="19"/>
      <c r="AS3297" s="20"/>
      <c r="AT3297" s="19"/>
      <c r="AV3297" s="21">
        <f>IF(AND($AL3297&lt;&gt;"",COUNTIF($AL$11:$AL3297,$AL3297)=1),1,0)</f>
        <v>0</v>
      </c>
      <c r="AW3297" s="21">
        <f t="shared" si="189"/>
        <v>0</v>
      </c>
      <c r="AX3297" s="21" t="str">
        <f t="shared" si="188"/>
        <v/>
      </c>
      <c r="AY3297" s="21" t="str">
        <f>IF(AND($AM3297&lt;&gt;"",$AS3297&lt;&gt;"✓"),SUMPRODUCT(($AM$11:$AM3297&lt;&gt;"")*($AS$11:$AS3297&lt;&gt;"✓")),"")</f>
        <v/>
      </c>
      <c r="AZ3297" s="21" t="str">
        <f>IF(AND($AM3297&lt;&gt;"",$AS3297="✓"),SUMPRODUCT(($AM$11:$AM3297&lt;&gt;"")*($AS$11:$AS3297="✓")),"")</f>
        <v/>
      </c>
      <c r="BA3297" s="21" t="str">
        <f>IF($AL3297="","",$AL3297&amp;"|"&amp;COUNTIF($AL$11:$AL3297,$AL3297))</f>
        <v/>
      </c>
    </row>
    <row r="3298" spans="38:53" ht="15" customHeight="1" x14ac:dyDescent="0.25">
      <c r="AL3298" s="31"/>
      <c r="AM3298" s="26"/>
      <c r="AN3298" s="32"/>
      <c r="AO3298" s="32"/>
      <c r="AP3298" s="24"/>
      <c r="AQ3298" s="24"/>
      <c r="AR3298" s="33"/>
      <c r="AS3298" s="34"/>
      <c r="AT3298" s="33"/>
      <c r="AV3298" s="21">
        <f>IF(AND($AL3298&lt;&gt;"",COUNTIF($AL$11:$AL3298,$AL3298)=1),1,0)</f>
        <v>0</v>
      </c>
      <c r="AW3298" s="21">
        <f t="shared" si="189"/>
        <v>0</v>
      </c>
      <c r="AX3298" s="21" t="str">
        <f t="shared" si="188"/>
        <v/>
      </c>
      <c r="AY3298" s="21" t="str">
        <f>IF(AND($AM3298&lt;&gt;"",$AS3298&lt;&gt;"✓"),SUMPRODUCT(($AM$11:$AM3298&lt;&gt;"")*($AS$11:$AS3298&lt;&gt;"✓")),"")</f>
        <v/>
      </c>
      <c r="AZ3298" s="21" t="str">
        <f>IF(AND($AM3298&lt;&gt;"",$AS3298="✓"),SUMPRODUCT(($AM$11:$AM3298&lt;&gt;"")*($AS$11:$AS3298="✓")),"")</f>
        <v/>
      </c>
      <c r="BA3298" s="21" t="str">
        <f>IF($AL3298="","",$AL3298&amp;"|"&amp;COUNTIF($AL$11:$AL3298,$AL3298))</f>
        <v/>
      </c>
    </row>
    <row r="3299" spans="38:53" ht="15" customHeight="1" x14ac:dyDescent="0.25">
      <c r="AL3299" s="17"/>
      <c r="AM3299" s="12"/>
      <c r="AN3299" s="18"/>
      <c r="AO3299" s="18"/>
      <c r="AP3299" s="10"/>
      <c r="AQ3299" s="10"/>
      <c r="AR3299" s="19"/>
      <c r="AS3299" s="20"/>
      <c r="AT3299" s="19"/>
      <c r="AV3299" s="21">
        <f>IF(AND($AL3299&lt;&gt;"",COUNTIF($AL$11:$AL3299,$AL3299)=1),1,0)</f>
        <v>0</v>
      </c>
      <c r="AW3299" s="21">
        <f t="shared" si="189"/>
        <v>0</v>
      </c>
      <c r="AX3299" s="21" t="str">
        <f t="shared" si="188"/>
        <v/>
      </c>
      <c r="AY3299" s="21" t="str">
        <f>IF(AND($AM3299&lt;&gt;"",$AS3299&lt;&gt;"✓"),SUMPRODUCT(($AM$11:$AM3299&lt;&gt;"")*($AS$11:$AS3299&lt;&gt;"✓")),"")</f>
        <v/>
      </c>
      <c r="AZ3299" s="21" t="str">
        <f>IF(AND($AM3299&lt;&gt;"",$AS3299="✓"),SUMPRODUCT(($AM$11:$AM3299&lt;&gt;"")*($AS$11:$AS3299="✓")),"")</f>
        <v/>
      </c>
      <c r="BA3299" s="21" t="str">
        <f>IF($AL3299="","",$AL3299&amp;"|"&amp;COUNTIF($AL$11:$AL3299,$AL3299))</f>
        <v/>
      </c>
    </row>
    <row r="3300" spans="38:53" ht="15" customHeight="1" x14ac:dyDescent="0.25">
      <c r="AL3300" s="31"/>
      <c r="AM3300" s="26"/>
      <c r="AN3300" s="32"/>
      <c r="AO3300" s="32"/>
      <c r="AP3300" s="24"/>
      <c r="AQ3300" s="24"/>
      <c r="AR3300" s="33"/>
      <c r="AS3300" s="34"/>
      <c r="AT3300" s="33"/>
      <c r="AV3300" s="21">
        <f>IF(AND($AL3300&lt;&gt;"",COUNTIF($AL$11:$AL3300,$AL3300)=1),1,0)</f>
        <v>0</v>
      </c>
      <c r="AW3300" s="21">
        <f t="shared" si="189"/>
        <v>0</v>
      </c>
      <c r="AX3300" s="21" t="str">
        <f t="shared" si="188"/>
        <v/>
      </c>
      <c r="AY3300" s="21" t="str">
        <f>IF(AND($AM3300&lt;&gt;"",$AS3300&lt;&gt;"✓"),SUMPRODUCT(($AM$11:$AM3300&lt;&gt;"")*($AS$11:$AS3300&lt;&gt;"✓")),"")</f>
        <v/>
      </c>
      <c r="AZ3300" s="21" t="str">
        <f>IF(AND($AM3300&lt;&gt;"",$AS3300="✓"),SUMPRODUCT(($AM$11:$AM3300&lt;&gt;"")*($AS$11:$AS3300="✓")),"")</f>
        <v/>
      </c>
      <c r="BA3300" s="21" t="str">
        <f>IF($AL3300="","",$AL3300&amp;"|"&amp;COUNTIF($AL$11:$AL3300,$AL3300))</f>
        <v/>
      </c>
    </row>
    <row r="3301" spans="38:53" ht="15" customHeight="1" x14ac:dyDescent="0.25">
      <c r="AL3301" s="17"/>
      <c r="AM3301" s="12"/>
      <c r="AN3301" s="18"/>
      <c r="AO3301" s="18"/>
      <c r="AP3301" s="10"/>
      <c r="AQ3301" s="10"/>
      <c r="AR3301" s="19"/>
      <c r="AS3301" s="20"/>
      <c r="AT3301" s="19"/>
      <c r="AV3301" s="21">
        <f>IF(AND($AL3301&lt;&gt;"",COUNTIF($AL$11:$AL3301,$AL3301)=1),1,0)</f>
        <v>0</v>
      </c>
      <c r="AW3301" s="21">
        <f t="shared" si="189"/>
        <v>0</v>
      </c>
      <c r="AX3301" s="21" t="str">
        <f t="shared" si="188"/>
        <v/>
      </c>
      <c r="AY3301" s="21" t="str">
        <f>IF(AND($AM3301&lt;&gt;"",$AS3301&lt;&gt;"✓"),SUMPRODUCT(($AM$11:$AM3301&lt;&gt;"")*($AS$11:$AS3301&lt;&gt;"✓")),"")</f>
        <v/>
      </c>
      <c r="AZ3301" s="21" t="str">
        <f>IF(AND($AM3301&lt;&gt;"",$AS3301="✓"),SUMPRODUCT(($AM$11:$AM3301&lt;&gt;"")*($AS$11:$AS3301="✓")),"")</f>
        <v/>
      </c>
      <c r="BA3301" s="21" t="str">
        <f>IF($AL3301="","",$AL3301&amp;"|"&amp;COUNTIF($AL$11:$AL3301,$AL3301))</f>
        <v/>
      </c>
    </row>
    <row r="3302" spans="38:53" ht="15" customHeight="1" x14ac:dyDescent="0.25">
      <c r="AL3302" s="31"/>
      <c r="AM3302" s="26"/>
      <c r="AN3302" s="32"/>
      <c r="AO3302" s="32"/>
      <c r="AP3302" s="24"/>
      <c r="AQ3302" s="24"/>
      <c r="AR3302" s="33"/>
      <c r="AS3302" s="34"/>
      <c r="AT3302" s="33"/>
      <c r="AV3302" s="21">
        <f>IF(AND($AL3302&lt;&gt;"",COUNTIF($AL$11:$AL3302,$AL3302)=1),1,0)</f>
        <v>0</v>
      </c>
      <c r="AW3302" s="21">
        <f t="shared" si="189"/>
        <v>0</v>
      </c>
      <c r="AX3302" s="21" t="str">
        <f t="shared" si="188"/>
        <v/>
      </c>
      <c r="AY3302" s="21" t="str">
        <f>IF(AND($AM3302&lt;&gt;"",$AS3302&lt;&gt;"✓"),SUMPRODUCT(($AM$11:$AM3302&lt;&gt;"")*($AS$11:$AS3302&lt;&gt;"✓")),"")</f>
        <v/>
      </c>
      <c r="AZ3302" s="21" t="str">
        <f>IF(AND($AM3302&lt;&gt;"",$AS3302="✓"),SUMPRODUCT(($AM$11:$AM3302&lt;&gt;"")*($AS$11:$AS3302="✓")),"")</f>
        <v/>
      </c>
      <c r="BA3302" s="21" t="str">
        <f>IF($AL3302="","",$AL3302&amp;"|"&amp;COUNTIF($AL$11:$AL3302,$AL3302))</f>
        <v/>
      </c>
    </row>
    <row r="3303" spans="38:53" ht="15" customHeight="1" x14ac:dyDescent="0.25">
      <c r="AL3303" s="17"/>
      <c r="AM3303" s="12"/>
      <c r="AN3303" s="18"/>
      <c r="AO3303" s="18"/>
      <c r="AP3303" s="10"/>
      <c r="AQ3303" s="10"/>
      <c r="AR3303" s="19"/>
      <c r="AS3303" s="20"/>
      <c r="AT3303" s="19"/>
      <c r="AV3303" s="21">
        <f>IF(AND($AL3303&lt;&gt;"",COUNTIF($AL$11:$AL3303,$AL3303)=1),1,0)</f>
        <v>0</v>
      </c>
      <c r="AW3303" s="21">
        <f t="shared" si="189"/>
        <v>0</v>
      </c>
      <c r="AX3303" s="21" t="str">
        <f t="shared" si="188"/>
        <v/>
      </c>
      <c r="AY3303" s="21" t="str">
        <f>IF(AND($AM3303&lt;&gt;"",$AS3303&lt;&gt;"✓"),SUMPRODUCT(($AM$11:$AM3303&lt;&gt;"")*($AS$11:$AS3303&lt;&gt;"✓")),"")</f>
        <v/>
      </c>
      <c r="AZ3303" s="21" t="str">
        <f>IF(AND($AM3303&lt;&gt;"",$AS3303="✓"),SUMPRODUCT(($AM$11:$AM3303&lt;&gt;"")*($AS$11:$AS3303="✓")),"")</f>
        <v/>
      </c>
      <c r="BA3303" s="21" t="str">
        <f>IF($AL3303="","",$AL3303&amp;"|"&amp;COUNTIF($AL$11:$AL3303,$AL3303))</f>
        <v/>
      </c>
    </row>
    <row r="3304" spans="38:53" ht="15" customHeight="1" x14ac:dyDescent="0.25">
      <c r="AL3304" s="31"/>
      <c r="AM3304" s="26"/>
      <c r="AN3304" s="32"/>
      <c r="AO3304" s="32"/>
      <c r="AP3304" s="24"/>
      <c r="AQ3304" s="24"/>
      <c r="AR3304" s="33"/>
      <c r="AS3304" s="34"/>
      <c r="AT3304" s="33"/>
      <c r="AV3304" s="21">
        <f>IF(AND($AL3304&lt;&gt;"",COUNTIF($AL$11:$AL3304,$AL3304)=1),1,0)</f>
        <v>0</v>
      </c>
      <c r="AW3304" s="21">
        <f t="shared" si="189"/>
        <v>0</v>
      </c>
      <c r="AX3304" s="21" t="str">
        <f t="shared" si="188"/>
        <v/>
      </c>
      <c r="AY3304" s="21" t="str">
        <f>IF(AND($AM3304&lt;&gt;"",$AS3304&lt;&gt;"✓"),SUMPRODUCT(($AM$11:$AM3304&lt;&gt;"")*($AS$11:$AS3304&lt;&gt;"✓")),"")</f>
        <v/>
      </c>
      <c r="AZ3304" s="21" t="str">
        <f>IF(AND($AM3304&lt;&gt;"",$AS3304="✓"),SUMPRODUCT(($AM$11:$AM3304&lt;&gt;"")*($AS$11:$AS3304="✓")),"")</f>
        <v/>
      </c>
      <c r="BA3304" s="21" t="str">
        <f>IF($AL3304="","",$AL3304&amp;"|"&amp;COUNTIF($AL$11:$AL3304,$AL3304))</f>
        <v/>
      </c>
    </row>
    <row r="3305" spans="38:53" ht="15" customHeight="1" x14ac:dyDescent="0.25">
      <c r="AL3305" s="17"/>
      <c r="AM3305" s="12"/>
      <c r="AN3305" s="18"/>
      <c r="AO3305" s="18"/>
      <c r="AP3305" s="10"/>
      <c r="AQ3305" s="10"/>
      <c r="AR3305" s="19"/>
      <c r="AS3305" s="20"/>
      <c r="AT3305" s="19"/>
      <c r="AV3305" s="21">
        <f>IF(AND($AL3305&lt;&gt;"",COUNTIF($AL$11:$AL3305,$AL3305)=1),1,0)</f>
        <v>0</v>
      </c>
      <c r="AW3305" s="21">
        <f t="shared" si="189"/>
        <v>0</v>
      </c>
      <c r="AX3305" s="21" t="str">
        <f t="shared" si="188"/>
        <v/>
      </c>
      <c r="AY3305" s="21" t="str">
        <f>IF(AND($AM3305&lt;&gt;"",$AS3305&lt;&gt;"✓"),SUMPRODUCT(($AM$11:$AM3305&lt;&gt;"")*($AS$11:$AS3305&lt;&gt;"✓")),"")</f>
        <v/>
      </c>
      <c r="AZ3305" s="21" t="str">
        <f>IF(AND($AM3305&lt;&gt;"",$AS3305="✓"),SUMPRODUCT(($AM$11:$AM3305&lt;&gt;"")*($AS$11:$AS3305="✓")),"")</f>
        <v/>
      </c>
      <c r="BA3305" s="21" t="str">
        <f>IF($AL3305="","",$AL3305&amp;"|"&amp;COUNTIF($AL$11:$AL3305,$AL3305))</f>
        <v/>
      </c>
    </row>
    <row r="3306" spans="38:53" ht="15" customHeight="1" x14ac:dyDescent="0.25">
      <c r="AL3306" s="31"/>
      <c r="AM3306" s="26"/>
      <c r="AN3306" s="32"/>
      <c r="AO3306" s="32"/>
      <c r="AP3306" s="24"/>
      <c r="AQ3306" s="24"/>
      <c r="AR3306" s="33"/>
      <c r="AS3306" s="34"/>
      <c r="AT3306" s="33"/>
      <c r="AV3306" s="21">
        <f>IF(AND($AL3306&lt;&gt;"",COUNTIF($AL$11:$AL3306,$AL3306)=1),1,0)</f>
        <v>0</v>
      </c>
      <c r="AW3306" s="21">
        <f t="shared" si="189"/>
        <v>0</v>
      </c>
      <c r="AX3306" s="21" t="str">
        <f t="shared" si="188"/>
        <v/>
      </c>
      <c r="AY3306" s="21" t="str">
        <f>IF(AND($AM3306&lt;&gt;"",$AS3306&lt;&gt;"✓"),SUMPRODUCT(($AM$11:$AM3306&lt;&gt;"")*($AS$11:$AS3306&lt;&gt;"✓")),"")</f>
        <v/>
      </c>
      <c r="AZ3306" s="21" t="str">
        <f>IF(AND($AM3306&lt;&gt;"",$AS3306="✓"),SUMPRODUCT(($AM$11:$AM3306&lt;&gt;"")*($AS$11:$AS3306="✓")),"")</f>
        <v/>
      </c>
      <c r="BA3306" s="21" t="str">
        <f>IF($AL3306="","",$AL3306&amp;"|"&amp;COUNTIF($AL$11:$AL3306,$AL3306))</f>
        <v/>
      </c>
    </row>
    <row r="3307" spans="38:53" ht="15" customHeight="1" x14ac:dyDescent="0.25">
      <c r="AL3307" s="17"/>
      <c r="AM3307" s="12"/>
      <c r="AN3307" s="18"/>
      <c r="AO3307" s="18"/>
      <c r="AP3307" s="10"/>
      <c r="AQ3307" s="10"/>
      <c r="AR3307" s="19"/>
      <c r="AS3307" s="20"/>
      <c r="AT3307" s="19"/>
      <c r="AV3307" s="21">
        <f>IF(AND($AL3307&lt;&gt;"",COUNTIF($AL$11:$AL3307,$AL3307)=1),1,0)</f>
        <v>0</v>
      </c>
      <c r="AW3307" s="21">
        <f t="shared" si="189"/>
        <v>0</v>
      </c>
      <c r="AX3307" s="21" t="str">
        <f t="shared" si="188"/>
        <v/>
      </c>
      <c r="AY3307" s="21" t="str">
        <f>IF(AND($AM3307&lt;&gt;"",$AS3307&lt;&gt;"✓"),SUMPRODUCT(($AM$11:$AM3307&lt;&gt;"")*($AS$11:$AS3307&lt;&gt;"✓")),"")</f>
        <v/>
      </c>
      <c r="AZ3307" s="21" t="str">
        <f>IF(AND($AM3307&lt;&gt;"",$AS3307="✓"),SUMPRODUCT(($AM$11:$AM3307&lt;&gt;"")*($AS$11:$AS3307="✓")),"")</f>
        <v/>
      </c>
      <c r="BA3307" s="21" t="str">
        <f>IF($AL3307="","",$AL3307&amp;"|"&amp;COUNTIF($AL$11:$AL3307,$AL3307))</f>
        <v/>
      </c>
    </row>
    <row r="3308" spans="38:53" ht="15" customHeight="1" x14ac:dyDescent="0.25">
      <c r="AL3308" s="31"/>
      <c r="AM3308" s="26"/>
      <c r="AN3308" s="32"/>
      <c r="AO3308" s="32"/>
      <c r="AP3308" s="24"/>
      <c r="AQ3308" s="24"/>
      <c r="AR3308" s="33"/>
      <c r="AS3308" s="34"/>
      <c r="AT3308" s="33"/>
      <c r="AV3308" s="21">
        <f>IF(AND($AL3308&lt;&gt;"",COUNTIF($AL$11:$AL3308,$AL3308)=1),1,0)</f>
        <v>0</v>
      </c>
      <c r="AW3308" s="21">
        <f t="shared" si="189"/>
        <v>0</v>
      </c>
      <c r="AX3308" s="21" t="str">
        <f t="shared" si="188"/>
        <v/>
      </c>
      <c r="AY3308" s="21" t="str">
        <f>IF(AND($AM3308&lt;&gt;"",$AS3308&lt;&gt;"✓"),SUMPRODUCT(($AM$11:$AM3308&lt;&gt;"")*($AS$11:$AS3308&lt;&gt;"✓")),"")</f>
        <v/>
      </c>
      <c r="AZ3308" s="21" t="str">
        <f>IF(AND($AM3308&lt;&gt;"",$AS3308="✓"),SUMPRODUCT(($AM$11:$AM3308&lt;&gt;"")*($AS$11:$AS3308="✓")),"")</f>
        <v/>
      </c>
      <c r="BA3308" s="21" t="str">
        <f>IF($AL3308="","",$AL3308&amp;"|"&amp;COUNTIF($AL$11:$AL3308,$AL3308))</f>
        <v/>
      </c>
    </row>
    <row r="3309" spans="38:53" ht="15" customHeight="1" x14ac:dyDescent="0.25">
      <c r="AL3309" s="17"/>
      <c r="AM3309" s="12"/>
      <c r="AN3309" s="18"/>
      <c r="AO3309" s="18"/>
      <c r="AP3309" s="10"/>
      <c r="AQ3309" s="10"/>
      <c r="AR3309" s="19"/>
      <c r="AS3309" s="20"/>
      <c r="AT3309" s="19"/>
      <c r="AV3309" s="21">
        <f>IF(AND($AL3309&lt;&gt;"",COUNTIF($AL$11:$AL3309,$AL3309)=1),1,0)</f>
        <v>0</v>
      </c>
      <c r="AW3309" s="21">
        <f t="shared" si="189"/>
        <v>0</v>
      </c>
      <c r="AX3309" s="21" t="str">
        <f t="shared" si="188"/>
        <v/>
      </c>
      <c r="AY3309" s="21" t="str">
        <f>IF(AND($AM3309&lt;&gt;"",$AS3309&lt;&gt;"✓"),SUMPRODUCT(($AM$11:$AM3309&lt;&gt;"")*($AS$11:$AS3309&lt;&gt;"✓")),"")</f>
        <v/>
      </c>
      <c r="AZ3309" s="21" t="str">
        <f>IF(AND($AM3309&lt;&gt;"",$AS3309="✓"),SUMPRODUCT(($AM$11:$AM3309&lt;&gt;"")*($AS$11:$AS3309="✓")),"")</f>
        <v/>
      </c>
      <c r="BA3309" s="21" t="str">
        <f>IF($AL3309="","",$AL3309&amp;"|"&amp;COUNTIF($AL$11:$AL3309,$AL3309))</f>
        <v/>
      </c>
    </row>
    <row r="3310" spans="38:53" ht="15" customHeight="1" x14ac:dyDescent="0.25">
      <c r="AL3310" s="31"/>
      <c r="AM3310" s="26"/>
      <c r="AN3310" s="32"/>
      <c r="AO3310" s="32"/>
      <c r="AP3310" s="24"/>
      <c r="AQ3310" s="24"/>
      <c r="AR3310" s="33"/>
      <c r="AS3310" s="34"/>
      <c r="AT3310" s="33"/>
      <c r="AV3310" s="21">
        <f>IF(AND($AL3310&lt;&gt;"",COUNTIF($AL$11:$AL3310,$AL3310)=1),1,0)</f>
        <v>0</v>
      </c>
      <c r="AW3310" s="21">
        <f t="shared" si="189"/>
        <v>0</v>
      </c>
      <c r="AX3310" s="21" t="str">
        <f t="shared" si="188"/>
        <v/>
      </c>
      <c r="AY3310" s="21" t="str">
        <f>IF(AND($AM3310&lt;&gt;"",$AS3310&lt;&gt;"✓"),SUMPRODUCT(($AM$11:$AM3310&lt;&gt;"")*($AS$11:$AS3310&lt;&gt;"✓")),"")</f>
        <v/>
      </c>
      <c r="AZ3310" s="21" t="str">
        <f>IF(AND($AM3310&lt;&gt;"",$AS3310="✓"),SUMPRODUCT(($AM$11:$AM3310&lt;&gt;"")*($AS$11:$AS3310="✓")),"")</f>
        <v/>
      </c>
      <c r="BA3310" s="21" t="str">
        <f>IF($AL3310="","",$AL3310&amp;"|"&amp;COUNTIF($AL$11:$AL3310,$AL3310))</f>
        <v/>
      </c>
    </row>
    <row r="3311" spans="38:53" ht="15" customHeight="1" x14ac:dyDescent="0.25">
      <c r="AL3311" s="17"/>
      <c r="AM3311" s="12"/>
      <c r="AN3311" s="18"/>
      <c r="AO3311" s="18"/>
      <c r="AP3311" s="10"/>
      <c r="AQ3311" s="10"/>
      <c r="AR3311" s="19"/>
      <c r="AS3311" s="20"/>
      <c r="AT3311" s="19"/>
      <c r="AV3311" s="21">
        <f>IF(AND($AL3311&lt;&gt;"",COUNTIF($AL$11:$AL3311,$AL3311)=1),1,0)</f>
        <v>0</v>
      </c>
      <c r="AW3311" s="21">
        <f t="shared" si="189"/>
        <v>0</v>
      </c>
      <c r="AX3311" s="21" t="str">
        <f t="shared" si="188"/>
        <v/>
      </c>
      <c r="AY3311" s="21" t="str">
        <f>IF(AND($AM3311&lt;&gt;"",$AS3311&lt;&gt;"✓"),SUMPRODUCT(($AM$11:$AM3311&lt;&gt;"")*($AS$11:$AS3311&lt;&gt;"✓")),"")</f>
        <v/>
      </c>
      <c r="AZ3311" s="21" t="str">
        <f>IF(AND($AM3311&lt;&gt;"",$AS3311="✓"),SUMPRODUCT(($AM$11:$AM3311&lt;&gt;"")*($AS$11:$AS3311="✓")),"")</f>
        <v/>
      </c>
      <c r="BA3311" s="21" t="str">
        <f>IF($AL3311="","",$AL3311&amp;"|"&amp;COUNTIF($AL$11:$AL3311,$AL3311))</f>
        <v/>
      </c>
    </row>
    <row r="3312" spans="38:53" ht="15" customHeight="1" x14ac:dyDescent="0.25">
      <c r="AL3312" s="31"/>
      <c r="AM3312" s="26"/>
      <c r="AN3312" s="32"/>
      <c r="AO3312" s="32"/>
      <c r="AP3312" s="24"/>
      <c r="AQ3312" s="24"/>
      <c r="AR3312" s="33"/>
      <c r="AS3312" s="34"/>
      <c r="AT3312" s="33"/>
      <c r="AV3312" s="21">
        <f>IF(AND($AL3312&lt;&gt;"",COUNTIF($AL$11:$AL3312,$AL3312)=1),1,0)</f>
        <v>0</v>
      </c>
      <c r="AW3312" s="21">
        <f t="shared" si="189"/>
        <v>0</v>
      </c>
      <c r="AX3312" s="21" t="str">
        <f t="shared" si="188"/>
        <v/>
      </c>
      <c r="AY3312" s="21" t="str">
        <f>IF(AND($AM3312&lt;&gt;"",$AS3312&lt;&gt;"✓"),SUMPRODUCT(($AM$11:$AM3312&lt;&gt;"")*($AS$11:$AS3312&lt;&gt;"✓")),"")</f>
        <v/>
      </c>
      <c r="AZ3312" s="21" t="str">
        <f>IF(AND($AM3312&lt;&gt;"",$AS3312="✓"),SUMPRODUCT(($AM$11:$AM3312&lt;&gt;"")*($AS$11:$AS3312="✓")),"")</f>
        <v/>
      </c>
      <c r="BA3312" s="21" t="str">
        <f>IF($AL3312="","",$AL3312&amp;"|"&amp;COUNTIF($AL$11:$AL3312,$AL3312))</f>
        <v/>
      </c>
    </row>
    <row r="3313" spans="38:53" ht="15" customHeight="1" x14ac:dyDescent="0.25">
      <c r="AL3313" s="17"/>
      <c r="AM3313" s="12"/>
      <c r="AN3313" s="18"/>
      <c r="AO3313" s="18"/>
      <c r="AP3313" s="10"/>
      <c r="AQ3313" s="10"/>
      <c r="AR3313" s="19"/>
      <c r="AS3313" s="20"/>
      <c r="AT3313" s="19"/>
      <c r="AV3313" s="21">
        <f>IF(AND($AL3313&lt;&gt;"",COUNTIF($AL$11:$AL3313,$AL3313)=1),1,0)</f>
        <v>0</v>
      </c>
      <c r="AW3313" s="21">
        <f t="shared" si="189"/>
        <v>0</v>
      </c>
      <c r="AX3313" s="21" t="str">
        <f t="shared" si="188"/>
        <v/>
      </c>
      <c r="AY3313" s="21" t="str">
        <f>IF(AND($AM3313&lt;&gt;"",$AS3313&lt;&gt;"✓"),SUMPRODUCT(($AM$11:$AM3313&lt;&gt;"")*($AS$11:$AS3313&lt;&gt;"✓")),"")</f>
        <v/>
      </c>
      <c r="AZ3313" s="21" t="str">
        <f>IF(AND($AM3313&lt;&gt;"",$AS3313="✓"),SUMPRODUCT(($AM$11:$AM3313&lt;&gt;"")*($AS$11:$AS3313="✓")),"")</f>
        <v/>
      </c>
      <c r="BA3313" s="21" t="str">
        <f>IF($AL3313="","",$AL3313&amp;"|"&amp;COUNTIF($AL$11:$AL3313,$AL3313))</f>
        <v/>
      </c>
    </row>
    <row r="3314" spans="38:53" ht="15" customHeight="1" x14ac:dyDescent="0.25">
      <c r="AL3314" s="31"/>
      <c r="AM3314" s="26"/>
      <c r="AN3314" s="32"/>
      <c r="AO3314" s="32"/>
      <c r="AP3314" s="24"/>
      <c r="AQ3314" s="24"/>
      <c r="AR3314" s="33"/>
      <c r="AS3314" s="34"/>
      <c r="AT3314" s="33"/>
      <c r="AV3314" s="21">
        <f>IF(AND($AL3314&lt;&gt;"",COUNTIF($AL$11:$AL3314,$AL3314)=1),1,0)</f>
        <v>0</v>
      </c>
      <c r="AW3314" s="21">
        <f t="shared" si="189"/>
        <v>0</v>
      </c>
      <c r="AX3314" s="21" t="str">
        <f t="shared" si="188"/>
        <v/>
      </c>
      <c r="AY3314" s="21" t="str">
        <f>IF(AND($AM3314&lt;&gt;"",$AS3314&lt;&gt;"✓"),SUMPRODUCT(($AM$11:$AM3314&lt;&gt;"")*($AS$11:$AS3314&lt;&gt;"✓")),"")</f>
        <v/>
      </c>
      <c r="AZ3314" s="21" t="str">
        <f>IF(AND($AM3314&lt;&gt;"",$AS3314="✓"),SUMPRODUCT(($AM$11:$AM3314&lt;&gt;"")*($AS$11:$AS3314="✓")),"")</f>
        <v/>
      </c>
      <c r="BA3314" s="21" t="str">
        <f>IF($AL3314="","",$AL3314&amp;"|"&amp;COUNTIF($AL$11:$AL3314,$AL3314))</f>
        <v/>
      </c>
    </row>
    <row r="3315" spans="38:53" ht="15" customHeight="1" x14ac:dyDescent="0.25">
      <c r="AL3315" s="17"/>
      <c r="AM3315" s="12"/>
      <c r="AN3315" s="18"/>
      <c r="AO3315" s="18"/>
      <c r="AP3315" s="10"/>
      <c r="AQ3315" s="10"/>
      <c r="AR3315" s="19"/>
      <c r="AS3315" s="20"/>
      <c r="AT3315" s="19"/>
      <c r="AV3315" s="21">
        <f>IF(AND($AL3315&lt;&gt;"",COUNTIF($AL$11:$AL3315,$AL3315)=1),1,0)</f>
        <v>0</v>
      </c>
      <c r="AW3315" s="21">
        <f t="shared" si="189"/>
        <v>0</v>
      </c>
      <c r="AX3315" s="21" t="str">
        <f t="shared" si="188"/>
        <v/>
      </c>
      <c r="AY3315" s="21" t="str">
        <f>IF(AND($AM3315&lt;&gt;"",$AS3315&lt;&gt;"✓"),SUMPRODUCT(($AM$11:$AM3315&lt;&gt;"")*($AS$11:$AS3315&lt;&gt;"✓")),"")</f>
        <v/>
      </c>
      <c r="AZ3315" s="21" t="str">
        <f>IF(AND($AM3315&lt;&gt;"",$AS3315="✓"),SUMPRODUCT(($AM$11:$AM3315&lt;&gt;"")*($AS$11:$AS3315="✓")),"")</f>
        <v/>
      </c>
      <c r="BA3315" s="21" t="str">
        <f>IF($AL3315="","",$AL3315&amp;"|"&amp;COUNTIF($AL$11:$AL3315,$AL3315))</f>
        <v/>
      </c>
    </row>
    <row r="3316" spans="38:53" ht="15" customHeight="1" x14ac:dyDescent="0.25">
      <c r="AL3316" s="31"/>
      <c r="AM3316" s="26"/>
      <c r="AN3316" s="32"/>
      <c r="AO3316" s="32"/>
      <c r="AP3316" s="24"/>
      <c r="AQ3316" s="24"/>
      <c r="AR3316" s="33"/>
      <c r="AS3316" s="34"/>
      <c r="AT3316" s="33"/>
      <c r="AV3316" s="21">
        <f>IF(AND($AL3316&lt;&gt;"",COUNTIF($AL$11:$AL3316,$AL3316)=1),1,0)</f>
        <v>0</v>
      </c>
      <c r="AW3316" s="21">
        <f t="shared" si="189"/>
        <v>0</v>
      </c>
      <c r="AX3316" s="21" t="str">
        <f t="shared" si="188"/>
        <v/>
      </c>
      <c r="AY3316" s="21" t="str">
        <f>IF(AND($AM3316&lt;&gt;"",$AS3316&lt;&gt;"✓"),SUMPRODUCT(($AM$11:$AM3316&lt;&gt;"")*($AS$11:$AS3316&lt;&gt;"✓")),"")</f>
        <v/>
      </c>
      <c r="AZ3316" s="21" t="str">
        <f>IF(AND($AM3316&lt;&gt;"",$AS3316="✓"),SUMPRODUCT(($AM$11:$AM3316&lt;&gt;"")*($AS$11:$AS3316="✓")),"")</f>
        <v/>
      </c>
      <c r="BA3316" s="21" t="str">
        <f>IF($AL3316="","",$AL3316&amp;"|"&amp;COUNTIF($AL$11:$AL3316,$AL3316))</f>
        <v/>
      </c>
    </row>
    <row r="3317" spans="38:53" ht="15" customHeight="1" x14ac:dyDescent="0.25">
      <c r="AL3317" s="17"/>
      <c r="AM3317" s="12"/>
      <c r="AN3317" s="18"/>
      <c r="AO3317" s="18"/>
      <c r="AP3317" s="10"/>
      <c r="AQ3317" s="10"/>
      <c r="AR3317" s="19"/>
      <c r="AS3317" s="20"/>
      <c r="AT3317" s="19"/>
      <c r="AV3317" s="21">
        <f>IF(AND($AL3317&lt;&gt;"",COUNTIF($AL$11:$AL3317,$AL3317)=1),1,0)</f>
        <v>0</v>
      </c>
      <c r="AW3317" s="21">
        <f t="shared" si="189"/>
        <v>0</v>
      </c>
      <c r="AX3317" s="21" t="str">
        <f t="shared" si="188"/>
        <v/>
      </c>
      <c r="AY3317" s="21" t="str">
        <f>IF(AND($AM3317&lt;&gt;"",$AS3317&lt;&gt;"✓"),SUMPRODUCT(($AM$11:$AM3317&lt;&gt;"")*($AS$11:$AS3317&lt;&gt;"✓")),"")</f>
        <v/>
      </c>
      <c r="AZ3317" s="21" t="str">
        <f>IF(AND($AM3317&lt;&gt;"",$AS3317="✓"),SUMPRODUCT(($AM$11:$AM3317&lt;&gt;"")*($AS$11:$AS3317="✓")),"")</f>
        <v/>
      </c>
      <c r="BA3317" s="21" t="str">
        <f>IF($AL3317="","",$AL3317&amp;"|"&amp;COUNTIF($AL$11:$AL3317,$AL3317))</f>
        <v/>
      </c>
    </row>
    <row r="3318" spans="38:53" ht="15" customHeight="1" x14ac:dyDescent="0.25">
      <c r="AL3318" s="31"/>
      <c r="AM3318" s="26"/>
      <c r="AN3318" s="32"/>
      <c r="AO3318" s="32"/>
      <c r="AP3318" s="24"/>
      <c r="AQ3318" s="24"/>
      <c r="AR3318" s="33"/>
      <c r="AS3318" s="34"/>
      <c r="AT3318" s="33"/>
      <c r="AV3318" s="21">
        <f>IF(AND($AL3318&lt;&gt;"",COUNTIF($AL$11:$AL3318,$AL3318)=1),1,0)</f>
        <v>0</v>
      </c>
      <c r="AW3318" s="21">
        <f t="shared" si="189"/>
        <v>0</v>
      </c>
      <c r="AX3318" s="21" t="str">
        <f t="shared" si="188"/>
        <v/>
      </c>
      <c r="AY3318" s="21" t="str">
        <f>IF(AND($AM3318&lt;&gt;"",$AS3318&lt;&gt;"✓"),SUMPRODUCT(($AM$11:$AM3318&lt;&gt;"")*($AS$11:$AS3318&lt;&gt;"✓")),"")</f>
        <v/>
      </c>
      <c r="AZ3318" s="21" t="str">
        <f>IF(AND($AM3318&lt;&gt;"",$AS3318="✓"),SUMPRODUCT(($AM$11:$AM3318&lt;&gt;"")*($AS$11:$AS3318="✓")),"")</f>
        <v/>
      </c>
      <c r="BA3318" s="21" t="str">
        <f>IF($AL3318="","",$AL3318&amp;"|"&amp;COUNTIF($AL$11:$AL3318,$AL3318))</f>
        <v/>
      </c>
    </row>
    <row r="3319" spans="38:53" ht="15" customHeight="1" x14ac:dyDescent="0.25">
      <c r="AL3319" s="17"/>
      <c r="AM3319" s="12"/>
      <c r="AN3319" s="18"/>
      <c r="AO3319" s="18"/>
      <c r="AP3319" s="10"/>
      <c r="AQ3319" s="10"/>
      <c r="AR3319" s="19"/>
      <c r="AS3319" s="20"/>
      <c r="AT3319" s="19"/>
      <c r="AV3319" s="21">
        <f>IF(AND($AL3319&lt;&gt;"",COUNTIF($AL$11:$AL3319,$AL3319)=1),1,0)</f>
        <v>0</v>
      </c>
      <c r="AW3319" s="21">
        <f t="shared" si="189"/>
        <v>0</v>
      </c>
      <c r="AX3319" s="21" t="str">
        <f t="shared" si="188"/>
        <v/>
      </c>
      <c r="AY3319" s="21" t="str">
        <f>IF(AND($AM3319&lt;&gt;"",$AS3319&lt;&gt;"✓"),SUMPRODUCT(($AM$11:$AM3319&lt;&gt;"")*($AS$11:$AS3319&lt;&gt;"✓")),"")</f>
        <v/>
      </c>
      <c r="AZ3319" s="21" t="str">
        <f>IF(AND($AM3319&lt;&gt;"",$AS3319="✓"),SUMPRODUCT(($AM$11:$AM3319&lt;&gt;"")*($AS$11:$AS3319="✓")),"")</f>
        <v/>
      </c>
      <c r="BA3319" s="21" t="str">
        <f>IF($AL3319="","",$AL3319&amp;"|"&amp;COUNTIF($AL$11:$AL3319,$AL3319))</f>
        <v/>
      </c>
    </row>
    <row r="3320" spans="38:53" ht="15" customHeight="1" x14ac:dyDescent="0.25">
      <c r="AL3320" s="31"/>
      <c r="AM3320" s="26"/>
      <c r="AN3320" s="32"/>
      <c r="AO3320" s="32"/>
      <c r="AP3320" s="24"/>
      <c r="AQ3320" s="24"/>
      <c r="AR3320" s="33"/>
      <c r="AS3320" s="34"/>
      <c r="AT3320" s="33"/>
      <c r="AV3320" s="21">
        <f>IF(AND($AL3320&lt;&gt;"",COUNTIF($AL$11:$AL3320,$AL3320)=1),1,0)</f>
        <v>0</v>
      </c>
      <c r="AW3320" s="21">
        <f t="shared" si="189"/>
        <v>0</v>
      </c>
      <c r="AX3320" s="21" t="str">
        <f t="shared" si="188"/>
        <v/>
      </c>
      <c r="AY3320" s="21" t="str">
        <f>IF(AND($AM3320&lt;&gt;"",$AS3320&lt;&gt;"✓"),SUMPRODUCT(($AM$11:$AM3320&lt;&gt;"")*($AS$11:$AS3320&lt;&gt;"✓")),"")</f>
        <v/>
      </c>
      <c r="AZ3320" s="21" t="str">
        <f>IF(AND($AM3320&lt;&gt;"",$AS3320="✓"),SUMPRODUCT(($AM$11:$AM3320&lt;&gt;"")*($AS$11:$AS3320="✓")),"")</f>
        <v/>
      </c>
      <c r="BA3320" s="21" t="str">
        <f>IF($AL3320="","",$AL3320&amp;"|"&amp;COUNTIF($AL$11:$AL3320,$AL3320))</f>
        <v/>
      </c>
    </row>
    <row r="3321" spans="38:53" ht="15" customHeight="1" x14ac:dyDescent="0.25">
      <c r="AL3321" s="17"/>
      <c r="AM3321" s="12"/>
      <c r="AN3321" s="18"/>
      <c r="AO3321" s="18"/>
      <c r="AP3321" s="10"/>
      <c r="AQ3321" s="10"/>
      <c r="AR3321" s="19"/>
      <c r="AS3321" s="20"/>
      <c r="AT3321" s="19"/>
      <c r="AV3321" s="21">
        <f>IF(AND($AL3321&lt;&gt;"",COUNTIF($AL$11:$AL3321,$AL3321)=1),1,0)</f>
        <v>0</v>
      </c>
      <c r="AW3321" s="21">
        <f t="shared" si="189"/>
        <v>0</v>
      </c>
      <c r="AX3321" s="21" t="str">
        <f t="shared" si="188"/>
        <v/>
      </c>
      <c r="AY3321" s="21" t="str">
        <f>IF(AND($AM3321&lt;&gt;"",$AS3321&lt;&gt;"✓"),SUMPRODUCT(($AM$11:$AM3321&lt;&gt;"")*($AS$11:$AS3321&lt;&gt;"✓")),"")</f>
        <v/>
      </c>
      <c r="AZ3321" s="21" t="str">
        <f>IF(AND($AM3321&lt;&gt;"",$AS3321="✓"),SUMPRODUCT(($AM$11:$AM3321&lt;&gt;"")*($AS$11:$AS3321="✓")),"")</f>
        <v/>
      </c>
      <c r="BA3321" s="21" t="str">
        <f>IF($AL3321="","",$AL3321&amp;"|"&amp;COUNTIF($AL$11:$AL3321,$AL3321))</f>
        <v/>
      </c>
    </row>
    <row r="3322" spans="38:53" ht="15" customHeight="1" x14ac:dyDescent="0.25">
      <c r="AL3322" s="31"/>
      <c r="AM3322" s="26"/>
      <c r="AN3322" s="32"/>
      <c r="AO3322" s="32"/>
      <c r="AP3322" s="24"/>
      <c r="AQ3322" s="24"/>
      <c r="AR3322" s="33"/>
      <c r="AS3322" s="34"/>
      <c r="AT3322" s="33"/>
      <c r="AV3322" s="21">
        <f>IF(AND($AL3322&lt;&gt;"",COUNTIF($AL$11:$AL3322,$AL3322)=1),1,0)</f>
        <v>0</v>
      </c>
      <c r="AW3322" s="21">
        <f t="shared" si="189"/>
        <v>0</v>
      </c>
      <c r="AX3322" s="21" t="str">
        <f t="shared" si="188"/>
        <v/>
      </c>
      <c r="AY3322" s="21" t="str">
        <f>IF(AND($AM3322&lt;&gt;"",$AS3322&lt;&gt;"✓"),SUMPRODUCT(($AM$11:$AM3322&lt;&gt;"")*($AS$11:$AS3322&lt;&gt;"✓")),"")</f>
        <v/>
      </c>
      <c r="AZ3322" s="21" t="str">
        <f>IF(AND($AM3322&lt;&gt;"",$AS3322="✓"),SUMPRODUCT(($AM$11:$AM3322&lt;&gt;"")*($AS$11:$AS3322="✓")),"")</f>
        <v/>
      </c>
      <c r="BA3322" s="21" t="str">
        <f>IF($AL3322="","",$AL3322&amp;"|"&amp;COUNTIF($AL$11:$AL3322,$AL3322))</f>
        <v/>
      </c>
    </row>
    <row r="3323" spans="38:53" ht="15" customHeight="1" x14ac:dyDescent="0.25">
      <c r="AL3323" s="17"/>
      <c r="AM3323" s="12"/>
      <c r="AN3323" s="18"/>
      <c r="AO3323" s="18"/>
      <c r="AP3323" s="10"/>
      <c r="AQ3323" s="10"/>
      <c r="AR3323" s="19"/>
      <c r="AS3323" s="20"/>
      <c r="AT3323" s="19"/>
      <c r="AV3323" s="21">
        <f>IF(AND($AL3323&lt;&gt;"",COUNTIF($AL$11:$AL3323,$AL3323)=1),1,0)</f>
        <v>0</v>
      </c>
      <c r="AW3323" s="21">
        <f t="shared" si="189"/>
        <v>0</v>
      </c>
      <c r="AX3323" s="21" t="str">
        <f t="shared" si="188"/>
        <v/>
      </c>
      <c r="AY3323" s="21" t="str">
        <f>IF(AND($AM3323&lt;&gt;"",$AS3323&lt;&gt;"✓"),SUMPRODUCT(($AM$11:$AM3323&lt;&gt;"")*($AS$11:$AS3323&lt;&gt;"✓")),"")</f>
        <v/>
      </c>
      <c r="AZ3323" s="21" t="str">
        <f>IF(AND($AM3323&lt;&gt;"",$AS3323="✓"),SUMPRODUCT(($AM$11:$AM3323&lt;&gt;"")*($AS$11:$AS3323="✓")),"")</f>
        <v/>
      </c>
      <c r="BA3323" s="21" t="str">
        <f>IF($AL3323="","",$AL3323&amp;"|"&amp;COUNTIF($AL$11:$AL3323,$AL3323))</f>
        <v/>
      </c>
    </row>
    <row r="3324" spans="38:53" ht="15" customHeight="1" x14ac:dyDescent="0.25">
      <c r="AL3324" s="31"/>
      <c r="AM3324" s="26"/>
      <c r="AN3324" s="32"/>
      <c r="AO3324" s="32"/>
      <c r="AP3324" s="24"/>
      <c r="AQ3324" s="24"/>
      <c r="AR3324" s="33"/>
      <c r="AS3324" s="34"/>
      <c r="AT3324" s="33"/>
      <c r="AV3324" s="21">
        <f>IF(AND($AL3324&lt;&gt;"",COUNTIF($AL$11:$AL3324,$AL3324)=1),1,0)</f>
        <v>0</v>
      </c>
      <c r="AW3324" s="21">
        <f t="shared" si="189"/>
        <v>0</v>
      </c>
      <c r="AX3324" s="21" t="str">
        <f t="shared" si="188"/>
        <v/>
      </c>
      <c r="AY3324" s="21" t="str">
        <f>IF(AND($AM3324&lt;&gt;"",$AS3324&lt;&gt;"✓"),SUMPRODUCT(($AM$11:$AM3324&lt;&gt;"")*($AS$11:$AS3324&lt;&gt;"✓")),"")</f>
        <v/>
      </c>
      <c r="AZ3324" s="21" t="str">
        <f>IF(AND($AM3324&lt;&gt;"",$AS3324="✓"),SUMPRODUCT(($AM$11:$AM3324&lt;&gt;"")*($AS$11:$AS3324="✓")),"")</f>
        <v/>
      </c>
      <c r="BA3324" s="21" t="str">
        <f>IF($AL3324="","",$AL3324&amp;"|"&amp;COUNTIF($AL$11:$AL3324,$AL3324))</f>
        <v/>
      </c>
    </row>
    <row r="3325" spans="38:53" ht="15" customHeight="1" x14ac:dyDescent="0.25">
      <c r="AL3325" s="17"/>
      <c r="AM3325" s="12"/>
      <c r="AN3325" s="18"/>
      <c r="AO3325" s="18"/>
      <c r="AP3325" s="10"/>
      <c r="AQ3325" s="10"/>
      <c r="AR3325" s="19"/>
      <c r="AS3325" s="20"/>
      <c r="AT3325" s="19"/>
      <c r="AV3325" s="21">
        <f>IF(AND($AL3325&lt;&gt;"",COUNTIF($AL$11:$AL3325,$AL3325)=1),1,0)</f>
        <v>0</v>
      </c>
      <c r="AW3325" s="21">
        <f t="shared" si="189"/>
        <v>0</v>
      </c>
      <c r="AX3325" s="21" t="str">
        <f t="shared" si="188"/>
        <v/>
      </c>
      <c r="AY3325" s="21" t="str">
        <f>IF(AND($AM3325&lt;&gt;"",$AS3325&lt;&gt;"✓"),SUMPRODUCT(($AM$11:$AM3325&lt;&gt;"")*($AS$11:$AS3325&lt;&gt;"✓")),"")</f>
        <v/>
      </c>
      <c r="AZ3325" s="21" t="str">
        <f>IF(AND($AM3325&lt;&gt;"",$AS3325="✓"),SUMPRODUCT(($AM$11:$AM3325&lt;&gt;"")*($AS$11:$AS3325="✓")),"")</f>
        <v/>
      </c>
      <c r="BA3325" s="21" t="str">
        <f>IF($AL3325="","",$AL3325&amp;"|"&amp;COUNTIF($AL$11:$AL3325,$AL3325))</f>
        <v/>
      </c>
    </row>
    <row r="3326" spans="38:53" ht="15" customHeight="1" x14ac:dyDescent="0.25">
      <c r="AL3326" s="31"/>
      <c r="AM3326" s="26"/>
      <c r="AN3326" s="32"/>
      <c r="AO3326" s="32"/>
      <c r="AP3326" s="24"/>
      <c r="AQ3326" s="24"/>
      <c r="AR3326" s="33"/>
      <c r="AS3326" s="34"/>
      <c r="AT3326" s="33"/>
      <c r="AV3326" s="21">
        <f>IF(AND($AL3326&lt;&gt;"",COUNTIF($AL$11:$AL3326,$AL3326)=1),1,0)</f>
        <v>0</v>
      </c>
      <c r="AW3326" s="21">
        <f t="shared" si="189"/>
        <v>0</v>
      </c>
      <c r="AX3326" s="21" t="str">
        <f t="shared" si="188"/>
        <v/>
      </c>
      <c r="AY3326" s="21" t="str">
        <f>IF(AND($AM3326&lt;&gt;"",$AS3326&lt;&gt;"✓"),SUMPRODUCT(($AM$11:$AM3326&lt;&gt;"")*($AS$11:$AS3326&lt;&gt;"✓")),"")</f>
        <v/>
      </c>
      <c r="AZ3326" s="21" t="str">
        <f>IF(AND($AM3326&lt;&gt;"",$AS3326="✓"),SUMPRODUCT(($AM$11:$AM3326&lt;&gt;"")*($AS$11:$AS3326="✓")),"")</f>
        <v/>
      </c>
      <c r="BA3326" s="21" t="str">
        <f>IF($AL3326="","",$AL3326&amp;"|"&amp;COUNTIF($AL$11:$AL3326,$AL3326))</f>
        <v/>
      </c>
    </row>
    <row r="3327" spans="38:53" ht="15" customHeight="1" x14ac:dyDescent="0.25">
      <c r="AL3327" s="17"/>
      <c r="AM3327" s="12"/>
      <c r="AN3327" s="18"/>
      <c r="AO3327" s="18"/>
      <c r="AP3327" s="10"/>
      <c r="AQ3327" s="10"/>
      <c r="AR3327" s="19"/>
      <c r="AS3327" s="20"/>
      <c r="AT3327" s="19"/>
      <c r="AV3327" s="21">
        <f>IF(AND($AL3327&lt;&gt;"",COUNTIF($AL$11:$AL3327,$AL3327)=1),1,0)</f>
        <v>0</v>
      </c>
      <c r="AW3327" s="21">
        <f t="shared" si="189"/>
        <v>0</v>
      </c>
      <c r="AX3327" s="21" t="str">
        <f t="shared" si="188"/>
        <v/>
      </c>
      <c r="AY3327" s="21" t="str">
        <f>IF(AND($AM3327&lt;&gt;"",$AS3327&lt;&gt;"✓"),SUMPRODUCT(($AM$11:$AM3327&lt;&gt;"")*($AS$11:$AS3327&lt;&gt;"✓")),"")</f>
        <v/>
      </c>
      <c r="AZ3327" s="21" t="str">
        <f>IF(AND($AM3327&lt;&gt;"",$AS3327="✓"),SUMPRODUCT(($AM$11:$AM3327&lt;&gt;"")*($AS$11:$AS3327="✓")),"")</f>
        <v/>
      </c>
      <c r="BA3327" s="21" t="str">
        <f>IF($AL3327="","",$AL3327&amp;"|"&amp;COUNTIF($AL$11:$AL3327,$AL3327))</f>
        <v/>
      </c>
    </row>
    <row r="3328" spans="38:53" ht="15" customHeight="1" x14ac:dyDescent="0.25">
      <c r="AL3328" s="31"/>
      <c r="AM3328" s="26"/>
      <c r="AN3328" s="32"/>
      <c r="AO3328" s="32"/>
      <c r="AP3328" s="24"/>
      <c r="AQ3328" s="24"/>
      <c r="AR3328" s="33"/>
      <c r="AS3328" s="34"/>
      <c r="AT3328" s="33"/>
      <c r="AV3328" s="21">
        <f>IF(AND($AL3328&lt;&gt;"",COUNTIF($AL$11:$AL3328,$AL3328)=1),1,0)</f>
        <v>0</v>
      </c>
      <c r="AW3328" s="21">
        <f t="shared" si="189"/>
        <v>0</v>
      </c>
      <c r="AX3328" s="21" t="str">
        <f t="shared" si="188"/>
        <v/>
      </c>
      <c r="AY3328" s="21" t="str">
        <f>IF(AND($AM3328&lt;&gt;"",$AS3328&lt;&gt;"✓"),SUMPRODUCT(($AM$11:$AM3328&lt;&gt;"")*($AS$11:$AS3328&lt;&gt;"✓")),"")</f>
        <v/>
      </c>
      <c r="AZ3328" s="21" t="str">
        <f>IF(AND($AM3328&lt;&gt;"",$AS3328="✓"),SUMPRODUCT(($AM$11:$AM3328&lt;&gt;"")*($AS$11:$AS3328="✓")),"")</f>
        <v/>
      </c>
      <c r="BA3328" s="21" t="str">
        <f>IF($AL3328="","",$AL3328&amp;"|"&amp;COUNTIF($AL$11:$AL3328,$AL3328))</f>
        <v/>
      </c>
    </row>
    <row r="3329" spans="38:53" ht="15" customHeight="1" x14ac:dyDescent="0.25">
      <c r="AL3329" s="17"/>
      <c r="AM3329" s="12"/>
      <c r="AN3329" s="18"/>
      <c r="AO3329" s="18"/>
      <c r="AP3329" s="10"/>
      <c r="AQ3329" s="10"/>
      <c r="AR3329" s="19"/>
      <c r="AS3329" s="20"/>
      <c r="AT3329" s="19"/>
      <c r="AV3329" s="21">
        <f>IF(AND($AL3329&lt;&gt;"",COUNTIF($AL$11:$AL3329,$AL3329)=1),1,0)</f>
        <v>0</v>
      </c>
      <c r="AW3329" s="21">
        <f t="shared" si="189"/>
        <v>0</v>
      </c>
      <c r="AX3329" s="21" t="str">
        <f t="shared" si="188"/>
        <v/>
      </c>
      <c r="AY3329" s="21" t="str">
        <f>IF(AND($AM3329&lt;&gt;"",$AS3329&lt;&gt;"✓"),SUMPRODUCT(($AM$11:$AM3329&lt;&gt;"")*($AS$11:$AS3329&lt;&gt;"✓")),"")</f>
        <v/>
      </c>
      <c r="AZ3329" s="21" t="str">
        <f>IF(AND($AM3329&lt;&gt;"",$AS3329="✓"),SUMPRODUCT(($AM$11:$AM3329&lt;&gt;"")*($AS$11:$AS3329="✓")),"")</f>
        <v/>
      </c>
      <c r="BA3329" s="21" t="str">
        <f>IF($AL3329="","",$AL3329&amp;"|"&amp;COUNTIF($AL$11:$AL3329,$AL3329))</f>
        <v/>
      </c>
    </row>
    <row r="3330" spans="38:53" ht="15" customHeight="1" x14ac:dyDescent="0.25">
      <c r="AL3330" s="31"/>
      <c r="AM3330" s="26"/>
      <c r="AN3330" s="32"/>
      <c r="AO3330" s="32"/>
      <c r="AP3330" s="24"/>
      <c r="AQ3330" s="24"/>
      <c r="AR3330" s="33"/>
      <c r="AS3330" s="34"/>
      <c r="AT3330" s="33"/>
      <c r="AV3330" s="21">
        <f>IF(AND($AL3330&lt;&gt;"",COUNTIF($AL$11:$AL3330,$AL3330)=1),1,0)</f>
        <v>0</v>
      </c>
      <c r="AW3330" s="21">
        <f t="shared" si="189"/>
        <v>0</v>
      </c>
      <c r="AX3330" s="21" t="str">
        <f t="shared" si="188"/>
        <v/>
      </c>
      <c r="AY3330" s="21" t="str">
        <f>IF(AND($AM3330&lt;&gt;"",$AS3330&lt;&gt;"✓"),SUMPRODUCT(($AM$11:$AM3330&lt;&gt;"")*($AS$11:$AS3330&lt;&gt;"✓")),"")</f>
        <v/>
      </c>
      <c r="AZ3330" s="21" t="str">
        <f>IF(AND($AM3330&lt;&gt;"",$AS3330="✓"),SUMPRODUCT(($AM$11:$AM3330&lt;&gt;"")*($AS$11:$AS3330="✓")),"")</f>
        <v/>
      </c>
      <c r="BA3330" s="21" t="str">
        <f>IF($AL3330="","",$AL3330&amp;"|"&amp;COUNTIF($AL$11:$AL3330,$AL3330))</f>
        <v/>
      </c>
    </row>
    <row r="3331" spans="38:53" ht="15" customHeight="1" x14ac:dyDescent="0.25">
      <c r="AL3331" s="17"/>
      <c r="AM3331" s="12"/>
      <c r="AN3331" s="18"/>
      <c r="AO3331" s="18"/>
      <c r="AP3331" s="10"/>
      <c r="AQ3331" s="10"/>
      <c r="AR3331" s="19"/>
      <c r="AS3331" s="20"/>
      <c r="AT3331" s="19"/>
      <c r="AV3331" s="21">
        <f>IF(AND($AL3331&lt;&gt;"",COUNTIF($AL$11:$AL3331,$AL3331)=1),1,0)</f>
        <v>0</v>
      </c>
      <c r="AW3331" s="21">
        <f t="shared" si="189"/>
        <v>0</v>
      </c>
      <c r="AX3331" s="21" t="str">
        <f t="shared" si="188"/>
        <v/>
      </c>
      <c r="AY3331" s="21" t="str">
        <f>IF(AND($AM3331&lt;&gt;"",$AS3331&lt;&gt;"✓"),SUMPRODUCT(($AM$11:$AM3331&lt;&gt;"")*($AS$11:$AS3331&lt;&gt;"✓")),"")</f>
        <v/>
      </c>
      <c r="AZ3331" s="21" t="str">
        <f>IF(AND($AM3331&lt;&gt;"",$AS3331="✓"),SUMPRODUCT(($AM$11:$AM3331&lt;&gt;"")*($AS$11:$AS3331="✓")),"")</f>
        <v/>
      </c>
      <c r="BA3331" s="21" t="str">
        <f>IF($AL3331="","",$AL3331&amp;"|"&amp;COUNTIF($AL$11:$AL3331,$AL3331))</f>
        <v/>
      </c>
    </row>
    <row r="3332" spans="38:53" ht="15" customHeight="1" x14ac:dyDescent="0.25">
      <c r="AL3332" s="31"/>
      <c r="AM3332" s="26"/>
      <c r="AN3332" s="32"/>
      <c r="AO3332" s="32"/>
      <c r="AP3332" s="24"/>
      <c r="AQ3332" s="24"/>
      <c r="AR3332" s="33"/>
      <c r="AS3332" s="34"/>
      <c r="AT3332" s="33"/>
      <c r="AV3332" s="21">
        <f>IF(AND($AL3332&lt;&gt;"",COUNTIF($AL$11:$AL3332,$AL3332)=1),1,0)</f>
        <v>0</v>
      </c>
      <c r="AW3332" s="21">
        <f t="shared" si="189"/>
        <v>0</v>
      </c>
      <c r="AX3332" s="21" t="str">
        <f t="shared" si="188"/>
        <v/>
      </c>
      <c r="AY3332" s="21" t="str">
        <f>IF(AND($AM3332&lt;&gt;"",$AS3332&lt;&gt;"✓"),SUMPRODUCT(($AM$11:$AM3332&lt;&gt;"")*($AS$11:$AS3332&lt;&gt;"✓")),"")</f>
        <v/>
      </c>
      <c r="AZ3332" s="21" t="str">
        <f>IF(AND($AM3332&lt;&gt;"",$AS3332="✓"),SUMPRODUCT(($AM$11:$AM3332&lt;&gt;"")*($AS$11:$AS3332="✓")),"")</f>
        <v/>
      </c>
      <c r="BA3332" s="21" t="str">
        <f>IF($AL3332="","",$AL3332&amp;"|"&amp;COUNTIF($AL$11:$AL3332,$AL3332))</f>
        <v/>
      </c>
    </row>
    <row r="3333" spans="38:53" ht="15" customHeight="1" x14ac:dyDescent="0.25">
      <c r="AL3333" s="17"/>
      <c r="AM3333" s="12"/>
      <c r="AN3333" s="18"/>
      <c r="AO3333" s="18"/>
      <c r="AP3333" s="10"/>
      <c r="AQ3333" s="10"/>
      <c r="AR3333" s="19"/>
      <c r="AS3333" s="20"/>
      <c r="AT3333" s="19"/>
      <c r="AV3333" s="21">
        <f>IF(AND($AL3333&lt;&gt;"",COUNTIF($AL$11:$AL3333,$AL3333)=1),1,0)</f>
        <v>0</v>
      </c>
      <c r="AW3333" s="21">
        <f t="shared" si="189"/>
        <v>0</v>
      </c>
      <c r="AX3333" s="21" t="str">
        <f t="shared" si="188"/>
        <v/>
      </c>
      <c r="AY3333" s="21" t="str">
        <f>IF(AND($AM3333&lt;&gt;"",$AS3333&lt;&gt;"✓"),SUMPRODUCT(($AM$11:$AM3333&lt;&gt;"")*($AS$11:$AS3333&lt;&gt;"✓")),"")</f>
        <v/>
      </c>
      <c r="AZ3333" s="21" t="str">
        <f>IF(AND($AM3333&lt;&gt;"",$AS3333="✓"),SUMPRODUCT(($AM$11:$AM3333&lt;&gt;"")*($AS$11:$AS3333="✓")),"")</f>
        <v/>
      </c>
      <c r="BA3333" s="21" t="str">
        <f>IF($AL3333="","",$AL3333&amp;"|"&amp;COUNTIF($AL$11:$AL3333,$AL3333))</f>
        <v/>
      </c>
    </row>
    <row r="3334" spans="38:53" ht="15" customHeight="1" x14ac:dyDescent="0.25">
      <c r="AL3334" s="31"/>
      <c r="AM3334" s="26"/>
      <c r="AN3334" s="32"/>
      <c r="AO3334" s="32"/>
      <c r="AP3334" s="24"/>
      <c r="AQ3334" s="24"/>
      <c r="AR3334" s="33"/>
      <c r="AS3334" s="34"/>
      <c r="AT3334" s="33"/>
      <c r="AV3334" s="21">
        <f>IF(AND($AL3334&lt;&gt;"",COUNTIF($AL$11:$AL3334,$AL3334)=1),1,0)</f>
        <v>0</v>
      </c>
      <c r="AW3334" s="21">
        <f t="shared" si="189"/>
        <v>0</v>
      </c>
      <c r="AX3334" s="21" t="str">
        <f t="shared" si="188"/>
        <v/>
      </c>
      <c r="AY3334" s="21" t="str">
        <f>IF(AND($AM3334&lt;&gt;"",$AS3334&lt;&gt;"✓"),SUMPRODUCT(($AM$11:$AM3334&lt;&gt;"")*($AS$11:$AS3334&lt;&gt;"✓")),"")</f>
        <v/>
      </c>
      <c r="AZ3334" s="21" t="str">
        <f>IF(AND($AM3334&lt;&gt;"",$AS3334="✓"),SUMPRODUCT(($AM$11:$AM3334&lt;&gt;"")*($AS$11:$AS3334="✓")),"")</f>
        <v/>
      </c>
      <c r="BA3334" s="21" t="str">
        <f>IF($AL3334="","",$AL3334&amp;"|"&amp;COUNTIF($AL$11:$AL3334,$AL3334))</f>
        <v/>
      </c>
    </row>
    <row r="3335" spans="38:53" ht="15" customHeight="1" x14ac:dyDescent="0.25">
      <c r="AL3335" s="17"/>
      <c r="AM3335" s="12"/>
      <c r="AN3335" s="18"/>
      <c r="AO3335" s="18"/>
      <c r="AP3335" s="10"/>
      <c r="AQ3335" s="10"/>
      <c r="AR3335" s="19"/>
      <c r="AS3335" s="20"/>
      <c r="AT3335" s="19"/>
      <c r="AV3335" s="21">
        <f>IF(AND($AL3335&lt;&gt;"",COUNTIF($AL$11:$AL3335,$AL3335)=1),1,0)</f>
        <v>0</v>
      </c>
      <c r="AW3335" s="21">
        <f t="shared" si="189"/>
        <v>0</v>
      </c>
      <c r="AX3335" s="21" t="str">
        <f t="shared" si="188"/>
        <v/>
      </c>
      <c r="AY3335" s="21" t="str">
        <f>IF(AND($AM3335&lt;&gt;"",$AS3335&lt;&gt;"✓"),SUMPRODUCT(($AM$11:$AM3335&lt;&gt;"")*($AS$11:$AS3335&lt;&gt;"✓")),"")</f>
        <v/>
      </c>
      <c r="AZ3335" s="21" t="str">
        <f>IF(AND($AM3335&lt;&gt;"",$AS3335="✓"),SUMPRODUCT(($AM$11:$AM3335&lt;&gt;"")*($AS$11:$AS3335="✓")),"")</f>
        <v/>
      </c>
      <c r="BA3335" s="21" t="str">
        <f>IF($AL3335="","",$AL3335&amp;"|"&amp;COUNTIF($AL$11:$AL3335,$AL3335))</f>
        <v/>
      </c>
    </row>
    <row r="3336" spans="38:53" ht="15" customHeight="1" x14ac:dyDescent="0.25">
      <c r="AL3336" s="31"/>
      <c r="AM3336" s="26"/>
      <c r="AN3336" s="32"/>
      <c r="AO3336" s="32"/>
      <c r="AP3336" s="24"/>
      <c r="AQ3336" s="24"/>
      <c r="AR3336" s="33"/>
      <c r="AS3336" s="34"/>
      <c r="AT3336" s="33"/>
      <c r="AV3336" s="21">
        <f>IF(AND($AL3336&lt;&gt;"",COUNTIF($AL$11:$AL3336,$AL3336)=1),1,0)</f>
        <v>0</v>
      </c>
      <c r="AW3336" s="21">
        <f t="shared" si="189"/>
        <v>0</v>
      </c>
      <c r="AX3336" s="21" t="str">
        <f t="shared" si="188"/>
        <v/>
      </c>
      <c r="AY3336" s="21" t="str">
        <f>IF(AND($AM3336&lt;&gt;"",$AS3336&lt;&gt;"✓"),SUMPRODUCT(($AM$11:$AM3336&lt;&gt;"")*($AS$11:$AS3336&lt;&gt;"✓")),"")</f>
        <v/>
      </c>
      <c r="AZ3336" s="21" t="str">
        <f>IF(AND($AM3336&lt;&gt;"",$AS3336="✓"),SUMPRODUCT(($AM$11:$AM3336&lt;&gt;"")*($AS$11:$AS3336="✓")),"")</f>
        <v/>
      </c>
      <c r="BA3336" s="21" t="str">
        <f>IF($AL3336="","",$AL3336&amp;"|"&amp;COUNTIF($AL$11:$AL3336,$AL3336))</f>
        <v/>
      </c>
    </row>
    <row r="3337" spans="38:53" ht="15" customHeight="1" x14ac:dyDescent="0.25">
      <c r="AL3337" s="17"/>
      <c r="AM3337" s="12"/>
      <c r="AN3337" s="18"/>
      <c r="AO3337" s="18"/>
      <c r="AP3337" s="10"/>
      <c r="AQ3337" s="10"/>
      <c r="AR3337" s="19"/>
      <c r="AS3337" s="20"/>
      <c r="AT3337" s="19"/>
      <c r="AV3337" s="21">
        <f>IF(AND($AL3337&lt;&gt;"",COUNTIF($AL$11:$AL3337,$AL3337)=1),1,0)</f>
        <v>0</v>
      </c>
      <c r="AW3337" s="21">
        <f t="shared" si="189"/>
        <v>0</v>
      </c>
      <c r="AX3337" s="21" t="str">
        <f t="shared" si="188"/>
        <v/>
      </c>
      <c r="AY3337" s="21" t="str">
        <f>IF(AND($AM3337&lt;&gt;"",$AS3337&lt;&gt;"✓"),SUMPRODUCT(($AM$11:$AM3337&lt;&gt;"")*($AS$11:$AS3337&lt;&gt;"✓")),"")</f>
        <v/>
      </c>
      <c r="AZ3337" s="21" t="str">
        <f>IF(AND($AM3337&lt;&gt;"",$AS3337="✓"),SUMPRODUCT(($AM$11:$AM3337&lt;&gt;"")*($AS$11:$AS3337="✓")),"")</f>
        <v/>
      </c>
      <c r="BA3337" s="21" t="str">
        <f>IF($AL3337="","",$AL3337&amp;"|"&amp;COUNTIF($AL$11:$AL3337,$AL3337))</f>
        <v/>
      </c>
    </row>
    <row r="3338" spans="38:53" ht="15" customHeight="1" x14ac:dyDescent="0.25">
      <c r="AL3338" s="31"/>
      <c r="AM3338" s="26"/>
      <c r="AN3338" s="32"/>
      <c r="AO3338" s="32"/>
      <c r="AP3338" s="24"/>
      <c r="AQ3338" s="24"/>
      <c r="AR3338" s="33"/>
      <c r="AS3338" s="34"/>
      <c r="AT3338" s="33"/>
      <c r="AV3338" s="21">
        <f>IF(AND($AL3338&lt;&gt;"",COUNTIF($AL$11:$AL3338,$AL3338)=1),1,0)</f>
        <v>0</v>
      </c>
      <c r="AW3338" s="21">
        <f t="shared" si="189"/>
        <v>0</v>
      </c>
      <c r="AX3338" s="21" t="str">
        <f t="shared" si="188"/>
        <v/>
      </c>
      <c r="AY3338" s="21" t="str">
        <f>IF(AND($AM3338&lt;&gt;"",$AS3338&lt;&gt;"✓"),SUMPRODUCT(($AM$11:$AM3338&lt;&gt;"")*($AS$11:$AS3338&lt;&gt;"✓")),"")</f>
        <v/>
      </c>
      <c r="AZ3338" s="21" t="str">
        <f>IF(AND($AM3338&lt;&gt;"",$AS3338="✓"),SUMPRODUCT(($AM$11:$AM3338&lt;&gt;"")*($AS$11:$AS3338="✓")),"")</f>
        <v/>
      </c>
      <c r="BA3338" s="21" t="str">
        <f>IF($AL3338="","",$AL3338&amp;"|"&amp;COUNTIF($AL$11:$AL3338,$AL3338))</f>
        <v/>
      </c>
    </row>
    <row r="3339" spans="38:53" ht="15" customHeight="1" x14ac:dyDescent="0.25">
      <c r="AL3339" s="17"/>
      <c r="AM3339" s="12"/>
      <c r="AN3339" s="18"/>
      <c r="AO3339" s="18"/>
      <c r="AP3339" s="10"/>
      <c r="AQ3339" s="10"/>
      <c r="AR3339" s="19"/>
      <c r="AS3339" s="20"/>
      <c r="AT3339" s="19"/>
      <c r="AV3339" s="21">
        <f>IF(AND($AL3339&lt;&gt;"",COUNTIF($AL$11:$AL3339,$AL3339)=1),1,0)</f>
        <v>0</v>
      </c>
      <c r="AW3339" s="21">
        <f t="shared" si="189"/>
        <v>0</v>
      </c>
      <c r="AX3339" s="21" t="str">
        <f t="shared" ref="AX3339:AX3402" si="190">IF(AV3339=1,AW3339,"")</f>
        <v/>
      </c>
      <c r="AY3339" s="21" t="str">
        <f>IF(AND($AM3339&lt;&gt;"",$AS3339&lt;&gt;"✓"),SUMPRODUCT(($AM$11:$AM3339&lt;&gt;"")*($AS$11:$AS3339&lt;&gt;"✓")),"")</f>
        <v/>
      </c>
      <c r="AZ3339" s="21" t="str">
        <f>IF(AND($AM3339&lt;&gt;"",$AS3339="✓"),SUMPRODUCT(($AM$11:$AM3339&lt;&gt;"")*($AS$11:$AS3339="✓")),"")</f>
        <v/>
      </c>
      <c r="BA3339" s="21" t="str">
        <f>IF($AL3339="","",$AL3339&amp;"|"&amp;COUNTIF($AL$11:$AL3339,$AL3339))</f>
        <v/>
      </c>
    </row>
    <row r="3340" spans="38:53" ht="15" customHeight="1" x14ac:dyDescent="0.25">
      <c r="AL3340" s="31"/>
      <c r="AM3340" s="26"/>
      <c r="AN3340" s="32"/>
      <c r="AO3340" s="32"/>
      <c r="AP3340" s="24"/>
      <c r="AQ3340" s="24"/>
      <c r="AR3340" s="33"/>
      <c r="AS3340" s="34"/>
      <c r="AT3340" s="33"/>
      <c r="AV3340" s="21">
        <f>IF(AND($AL3340&lt;&gt;"",COUNTIF($AL$11:$AL3340,$AL3340)=1),1,0)</f>
        <v>0</v>
      </c>
      <c r="AW3340" s="21">
        <f t="shared" ref="AW3340:AW3403" si="191">AW3339+AV3340</f>
        <v>0</v>
      </c>
      <c r="AX3340" s="21" t="str">
        <f t="shared" si="190"/>
        <v/>
      </c>
      <c r="AY3340" s="21" t="str">
        <f>IF(AND($AM3340&lt;&gt;"",$AS3340&lt;&gt;"✓"),SUMPRODUCT(($AM$11:$AM3340&lt;&gt;"")*($AS$11:$AS3340&lt;&gt;"✓")),"")</f>
        <v/>
      </c>
      <c r="AZ3340" s="21" t="str">
        <f>IF(AND($AM3340&lt;&gt;"",$AS3340="✓"),SUMPRODUCT(($AM$11:$AM3340&lt;&gt;"")*($AS$11:$AS3340="✓")),"")</f>
        <v/>
      </c>
      <c r="BA3340" s="21" t="str">
        <f>IF($AL3340="","",$AL3340&amp;"|"&amp;COUNTIF($AL$11:$AL3340,$AL3340))</f>
        <v/>
      </c>
    </row>
    <row r="3341" spans="38:53" ht="15" customHeight="1" x14ac:dyDescent="0.25">
      <c r="AL3341" s="17"/>
      <c r="AM3341" s="12"/>
      <c r="AN3341" s="18"/>
      <c r="AO3341" s="18"/>
      <c r="AP3341" s="10"/>
      <c r="AQ3341" s="10"/>
      <c r="AR3341" s="19"/>
      <c r="AS3341" s="20"/>
      <c r="AT3341" s="19"/>
      <c r="AV3341" s="21">
        <f>IF(AND($AL3341&lt;&gt;"",COUNTIF($AL$11:$AL3341,$AL3341)=1),1,0)</f>
        <v>0</v>
      </c>
      <c r="AW3341" s="21">
        <f t="shared" si="191"/>
        <v>0</v>
      </c>
      <c r="AX3341" s="21" t="str">
        <f t="shared" si="190"/>
        <v/>
      </c>
      <c r="AY3341" s="21" t="str">
        <f>IF(AND($AM3341&lt;&gt;"",$AS3341&lt;&gt;"✓"),SUMPRODUCT(($AM$11:$AM3341&lt;&gt;"")*($AS$11:$AS3341&lt;&gt;"✓")),"")</f>
        <v/>
      </c>
      <c r="AZ3341" s="21" t="str">
        <f>IF(AND($AM3341&lt;&gt;"",$AS3341="✓"),SUMPRODUCT(($AM$11:$AM3341&lt;&gt;"")*($AS$11:$AS3341="✓")),"")</f>
        <v/>
      </c>
      <c r="BA3341" s="21" t="str">
        <f>IF($AL3341="","",$AL3341&amp;"|"&amp;COUNTIF($AL$11:$AL3341,$AL3341))</f>
        <v/>
      </c>
    </row>
    <row r="3342" spans="38:53" ht="15" customHeight="1" x14ac:dyDescent="0.25">
      <c r="AL3342" s="31"/>
      <c r="AM3342" s="26"/>
      <c r="AN3342" s="32"/>
      <c r="AO3342" s="32"/>
      <c r="AP3342" s="24"/>
      <c r="AQ3342" s="24"/>
      <c r="AR3342" s="33"/>
      <c r="AS3342" s="34"/>
      <c r="AT3342" s="33"/>
      <c r="AV3342" s="21">
        <f>IF(AND($AL3342&lt;&gt;"",COUNTIF($AL$11:$AL3342,$AL3342)=1),1,0)</f>
        <v>0</v>
      </c>
      <c r="AW3342" s="21">
        <f t="shared" si="191"/>
        <v>0</v>
      </c>
      <c r="AX3342" s="21" t="str">
        <f t="shared" si="190"/>
        <v/>
      </c>
      <c r="AY3342" s="21" t="str">
        <f>IF(AND($AM3342&lt;&gt;"",$AS3342&lt;&gt;"✓"),SUMPRODUCT(($AM$11:$AM3342&lt;&gt;"")*($AS$11:$AS3342&lt;&gt;"✓")),"")</f>
        <v/>
      </c>
      <c r="AZ3342" s="21" t="str">
        <f>IF(AND($AM3342&lt;&gt;"",$AS3342="✓"),SUMPRODUCT(($AM$11:$AM3342&lt;&gt;"")*($AS$11:$AS3342="✓")),"")</f>
        <v/>
      </c>
      <c r="BA3342" s="21" t="str">
        <f>IF($AL3342="","",$AL3342&amp;"|"&amp;COUNTIF($AL$11:$AL3342,$AL3342))</f>
        <v/>
      </c>
    </row>
    <row r="3343" spans="38:53" ht="15" customHeight="1" x14ac:dyDescent="0.25">
      <c r="AL3343" s="17"/>
      <c r="AM3343" s="12"/>
      <c r="AN3343" s="18"/>
      <c r="AO3343" s="18"/>
      <c r="AP3343" s="10"/>
      <c r="AQ3343" s="10"/>
      <c r="AR3343" s="19"/>
      <c r="AS3343" s="20"/>
      <c r="AT3343" s="19"/>
      <c r="AV3343" s="21">
        <f>IF(AND($AL3343&lt;&gt;"",COUNTIF($AL$11:$AL3343,$AL3343)=1),1,0)</f>
        <v>0</v>
      </c>
      <c r="AW3343" s="21">
        <f t="shared" si="191"/>
        <v>0</v>
      </c>
      <c r="AX3343" s="21" t="str">
        <f t="shared" si="190"/>
        <v/>
      </c>
      <c r="AY3343" s="21" t="str">
        <f>IF(AND($AM3343&lt;&gt;"",$AS3343&lt;&gt;"✓"),SUMPRODUCT(($AM$11:$AM3343&lt;&gt;"")*($AS$11:$AS3343&lt;&gt;"✓")),"")</f>
        <v/>
      </c>
      <c r="AZ3343" s="21" t="str">
        <f>IF(AND($AM3343&lt;&gt;"",$AS3343="✓"),SUMPRODUCT(($AM$11:$AM3343&lt;&gt;"")*($AS$11:$AS3343="✓")),"")</f>
        <v/>
      </c>
      <c r="BA3343" s="21" t="str">
        <f>IF($AL3343="","",$AL3343&amp;"|"&amp;COUNTIF($AL$11:$AL3343,$AL3343))</f>
        <v/>
      </c>
    </row>
    <row r="3344" spans="38:53" ht="15" customHeight="1" x14ac:dyDescent="0.25">
      <c r="AL3344" s="31"/>
      <c r="AM3344" s="26"/>
      <c r="AN3344" s="32"/>
      <c r="AO3344" s="32"/>
      <c r="AP3344" s="24"/>
      <c r="AQ3344" s="24"/>
      <c r="AR3344" s="33"/>
      <c r="AS3344" s="34"/>
      <c r="AT3344" s="33"/>
      <c r="AV3344" s="21">
        <f>IF(AND($AL3344&lt;&gt;"",COUNTIF($AL$11:$AL3344,$AL3344)=1),1,0)</f>
        <v>0</v>
      </c>
      <c r="AW3344" s="21">
        <f t="shared" si="191"/>
        <v>0</v>
      </c>
      <c r="AX3344" s="21" t="str">
        <f t="shared" si="190"/>
        <v/>
      </c>
      <c r="AY3344" s="21" t="str">
        <f>IF(AND($AM3344&lt;&gt;"",$AS3344&lt;&gt;"✓"),SUMPRODUCT(($AM$11:$AM3344&lt;&gt;"")*($AS$11:$AS3344&lt;&gt;"✓")),"")</f>
        <v/>
      </c>
      <c r="AZ3344" s="21" t="str">
        <f>IF(AND($AM3344&lt;&gt;"",$AS3344="✓"),SUMPRODUCT(($AM$11:$AM3344&lt;&gt;"")*($AS$11:$AS3344="✓")),"")</f>
        <v/>
      </c>
      <c r="BA3344" s="21" t="str">
        <f>IF($AL3344="","",$AL3344&amp;"|"&amp;COUNTIF($AL$11:$AL3344,$AL3344))</f>
        <v/>
      </c>
    </row>
    <row r="3345" spans="38:53" ht="15" customHeight="1" x14ac:dyDescent="0.25">
      <c r="AL3345" s="17"/>
      <c r="AM3345" s="12"/>
      <c r="AN3345" s="18"/>
      <c r="AO3345" s="18"/>
      <c r="AP3345" s="10"/>
      <c r="AQ3345" s="10"/>
      <c r="AR3345" s="19"/>
      <c r="AS3345" s="20"/>
      <c r="AT3345" s="19"/>
      <c r="AV3345" s="21">
        <f>IF(AND($AL3345&lt;&gt;"",COUNTIF($AL$11:$AL3345,$AL3345)=1),1,0)</f>
        <v>0</v>
      </c>
      <c r="AW3345" s="21">
        <f t="shared" si="191"/>
        <v>0</v>
      </c>
      <c r="AX3345" s="21" t="str">
        <f t="shared" si="190"/>
        <v/>
      </c>
      <c r="AY3345" s="21" t="str">
        <f>IF(AND($AM3345&lt;&gt;"",$AS3345&lt;&gt;"✓"),SUMPRODUCT(($AM$11:$AM3345&lt;&gt;"")*($AS$11:$AS3345&lt;&gt;"✓")),"")</f>
        <v/>
      </c>
      <c r="AZ3345" s="21" t="str">
        <f>IF(AND($AM3345&lt;&gt;"",$AS3345="✓"),SUMPRODUCT(($AM$11:$AM3345&lt;&gt;"")*($AS$11:$AS3345="✓")),"")</f>
        <v/>
      </c>
      <c r="BA3345" s="21" t="str">
        <f>IF($AL3345="","",$AL3345&amp;"|"&amp;COUNTIF($AL$11:$AL3345,$AL3345))</f>
        <v/>
      </c>
    </row>
    <row r="3346" spans="38:53" ht="15" customHeight="1" x14ac:dyDescent="0.25">
      <c r="AL3346" s="31"/>
      <c r="AM3346" s="26"/>
      <c r="AN3346" s="32"/>
      <c r="AO3346" s="32"/>
      <c r="AP3346" s="24"/>
      <c r="AQ3346" s="24"/>
      <c r="AR3346" s="33"/>
      <c r="AS3346" s="34"/>
      <c r="AT3346" s="33"/>
      <c r="AV3346" s="21">
        <f>IF(AND($AL3346&lt;&gt;"",COUNTIF($AL$11:$AL3346,$AL3346)=1),1,0)</f>
        <v>0</v>
      </c>
      <c r="AW3346" s="21">
        <f t="shared" si="191"/>
        <v>0</v>
      </c>
      <c r="AX3346" s="21" t="str">
        <f t="shared" si="190"/>
        <v/>
      </c>
      <c r="AY3346" s="21" t="str">
        <f>IF(AND($AM3346&lt;&gt;"",$AS3346&lt;&gt;"✓"),SUMPRODUCT(($AM$11:$AM3346&lt;&gt;"")*($AS$11:$AS3346&lt;&gt;"✓")),"")</f>
        <v/>
      </c>
      <c r="AZ3346" s="21" t="str">
        <f>IF(AND($AM3346&lt;&gt;"",$AS3346="✓"),SUMPRODUCT(($AM$11:$AM3346&lt;&gt;"")*($AS$11:$AS3346="✓")),"")</f>
        <v/>
      </c>
      <c r="BA3346" s="21" t="str">
        <f>IF($AL3346="","",$AL3346&amp;"|"&amp;COUNTIF($AL$11:$AL3346,$AL3346))</f>
        <v/>
      </c>
    </row>
    <row r="3347" spans="38:53" ht="15" customHeight="1" x14ac:dyDescent="0.25">
      <c r="AL3347" s="17"/>
      <c r="AM3347" s="12"/>
      <c r="AN3347" s="18"/>
      <c r="AO3347" s="18"/>
      <c r="AP3347" s="10"/>
      <c r="AQ3347" s="10"/>
      <c r="AR3347" s="19"/>
      <c r="AS3347" s="20"/>
      <c r="AT3347" s="19"/>
      <c r="AV3347" s="21">
        <f>IF(AND($AL3347&lt;&gt;"",COUNTIF($AL$11:$AL3347,$AL3347)=1),1,0)</f>
        <v>0</v>
      </c>
      <c r="AW3347" s="21">
        <f t="shared" si="191"/>
        <v>0</v>
      </c>
      <c r="AX3347" s="21" t="str">
        <f t="shared" si="190"/>
        <v/>
      </c>
      <c r="AY3347" s="21" t="str">
        <f>IF(AND($AM3347&lt;&gt;"",$AS3347&lt;&gt;"✓"),SUMPRODUCT(($AM$11:$AM3347&lt;&gt;"")*($AS$11:$AS3347&lt;&gt;"✓")),"")</f>
        <v/>
      </c>
      <c r="AZ3347" s="21" t="str">
        <f>IF(AND($AM3347&lt;&gt;"",$AS3347="✓"),SUMPRODUCT(($AM$11:$AM3347&lt;&gt;"")*($AS$11:$AS3347="✓")),"")</f>
        <v/>
      </c>
      <c r="BA3347" s="21" t="str">
        <f>IF($AL3347="","",$AL3347&amp;"|"&amp;COUNTIF($AL$11:$AL3347,$AL3347))</f>
        <v/>
      </c>
    </row>
    <row r="3348" spans="38:53" ht="15" customHeight="1" x14ac:dyDescent="0.25">
      <c r="AL3348" s="31"/>
      <c r="AM3348" s="26"/>
      <c r="AN3348" s="32"/>
      <c r="AO3348" s="32"/>
      <c r="AP3348" s="24"/>
      <c r="AQ3348" s="24"/>
      <c r="AR3348" s="33"/>
      <c r="AS3348" s="34"/>
      <c r="AT3348" s="33"/>
      <c r="AV3348" s="21">
        <f>IF(AND($AL3348&lt;&gt;"",COUNTIF($AL$11:$AL3348,$AL3348)=1),1,0)</f>
        <v>0</v>
      </c>
      <c r="AW3348" s="21">
        <f t="shared" si="191"/>
        <v>0</v>
      </c>
      <c r="AX3348" s="21" t="str">
        <f t="shared" si="190"/>
        <v/>
      </c>
      <c r="AY3348" s="21" t="str">
        <f>IF(AND($AM3348&lt;&gt;"",$AS3348&lt;&gt;"✓"),SUMPRODUCT(($AM$11:$AM3348&lt;&gt;"")*($AS$11:$AS3348&lt;&gt;"✓")),"")</f>
        <v/>
      </c>
      <c r="AZ3348" s="21" t="str">
        <f>IF(AND($AM3348&lt;&gt;"",$AS3348="✓"),SUMPRODUCT(($AM$11:$AM3348&lt;&gt;"")*($AS$11:$AS3348="✓")),"")</f>
        <v/>
      </c>
      <c r="BA3348" s="21" t="str">
        <f>IF($AL3348="","",$AL3348&amp;"|"&amp;COUNTIF($AL$11:$AL3348,$AL3348))</f>
        <v/>
      </c>
    </row>
    <row r="3349" spans="38:53" ht="15" customHeight="1" x14ac:dyDescent="0.25">
      <c r="AL3349" s="17"/>
      <c r="AM3349" s="12"/>
      <c r="AN3349" s="18"/>
      <c r="AO3349" s="18"/>
      <c r="AP3349" s="10"/>
      <c r="AQ3349" s="10"/>
      <c r="AR3349" s="19"/>
      <c r="AS3349" s="20"/>
      <c r="AT3349" s="19"/>
      <c r="AV3349" s="21">
        <f>IF(AND($AL3349&lt;&gt;"",COUNTIF($AL$11:$AL3349,$AL3349)=1),1,0)</f>
        <v>0</v>
      </c>
      <c r="AW3349" s="21">
        <f t="shared" si="191"/>
        <v>0</v>
      </c>
      <c r="AX3349" s="21" t="str">
        <f t="shared" si="190"/>
        <v/>
      </c>
      <c r="AY3349" s="21" t="str">
        <f>IF(AND($AM3349&lt;&gt;"",$AS3349&lt;&gt;"✓"),SUMPRODUCT(($AM$11:$AM3349&lt;&gt;"")*($AS$11:$AS3349&lt;&gt;"✓")),"")</f>
        <v/>
      </c>
      <c r="AZ3349" s="21" t="str">
        <f>IF(AND($AM3349&lt;&gt;"",$AS3349="✓"),SUMPRODUCT(($AM$11:$AM3349&lt;&gt;"")*($AS$11:$AS3349="✓")),"")</f>
        <v/>
      </c>
      <c r="BA3349" s="21" t="str">
        <f>IF($AL3349="","",$AL3349&amp;"|"&amp;COUNTIF($AL$11:$AL3349,$AL3349))</f>
        <v/>
      </c>
    </row>
    <row r="3350" spans="38:53" ht="15" customHeight="1" x14ac:dyDescent="0.25">
      <c r="AL3350" s="31"/>
      <c r="AM3350" s="26"/>
      <c r="AN3350" s="32"/>
      <c r="AO3350" s="32"/>
      <c r="AP3350" s="24"/>
      <c r="AQ3350" s="24"/>
      <c r="AR3350" s="33"/>
      <c r="AS3350" s="34"/>
      <c r="AT3350" s="33"/>
      <c r="AV3350" s="21">
        <f>IF(AND($AL3350&lt;&gt;"",COUNTIF($AL$11:$AL3350,$AL3350)=1),1,0)</f>
        <v>0</v>
      </c>
      <c r="AW3350" s="21">
        <f t="shared" si="191"/>
        <v>0</v>
      </c>
      <c r="AX3350" s="21" t="str">
        <f t="shared" si="190"/>
        <v/>
      </c>
      <c r="AY3350" s="21" t="str">
        <f>IF(AND($AM3350&lt;&gt;"",$AS3350&lt;&gt;"✓"),SUMPRODUCT(($AM$11:$AM3350&lt;&gt;"")*($AS$11:$AS3350&lt;&gt;"✓")),"")</f>
        <v/>
      </c>
      <c r="AZ3350" s="21" t="str">
        <f>IF(AND($AM3350&lt;&gt;"",$AS3350="✓"),SUMPRODUCT(($AM$11:$AM3350&lt;&gt;"")*($AS$11:$AS3350="✓")),"")</f>
        <v/>
      </c>
      <c r="BA3350" s="21" t="str">
        <f>IF($AL3350="","",$AL3350&amp;"|"&amp;COUNTIF($AL$11:$AL3350,$AL3350))</f>
        <v/>
      </c>
    </row>
    <row r="3351" spans="38:53" ht="15" customHeight="1" x14ac:dyDescent="0.25">
      <c r="AL3351" s="17"/>
      <c r="AM3351" s="12"/>
      <c r="AN3351" s="18"/>
      <c r="AO3351" s="18"/>
      <c r="AP3351" s="10"/>
      <c r="AQ3351" s="10"/>
      <c r="AR3351" s="19"/>
      <c r="AS3351" s="20"/>
      <c r="AT3351" s="19"/>
      <c r="AV3351" s="21">
        <f>IF(AND($AL3351&lt;&gt;"",COUNTIF($AL$11:$AL3351,$AL3351)=1),1,0)</f>
        <v>0</v>
      </c>
      <c r="AW3351" s="21">
        <f t="shared" si="191"/>
        <v>0</v>
      </c>
      <c r="AX3351" s="21" t="str">
        <f t="shared" si="190"/>
        <v/>
      </c>
      <c r="AY3351" s="21" t="str">
        <f>IF(AND($AM3351&lt;&gt;"",$AS3351&lt;&gt;"✓"),SUMPRODUCT(($AM$11:$AM3351&lt;&gt;"")*($AS$11:$AS3351&lt;&gt;"✓")),"")</f>
        <v/>
      </c>
      <c r="AZ3351" s="21" t="str">
        <f>IF(AND($AM3351&lt;&gt;"",$AS3351="✓"),SUMPRODUCT(($AM$11:$AM3351&lt;&gt;"")*($AS$11:$AS3351="✓")),"")</f>
        <v/>
      </c>
      <c r="BA3351" s="21" t="str">
        <f>IF($AL3351="","",$AL3351&amp;"|"&amp;COUNTIF($AL$11:$AL3351,$AL3351))</f>
        <v/>
      </c>
    </row>
    <row r="3352" spans="38:53" ht="15" customHeight="1" x14ac:dyDescent="0.25">
      <c r="AL3352" s="31"/>
      <c r="AM3352" s="26"/>
      <c r="AN3352" s="32"/>
      <c r="AO3352" s="32"/>
      <c r="AP3352" s="24"/>
      <c r="AQ3352" s="24"/>
      <c r="AR3352" s="33"/>
      <c r="AS3352" s="34"/>
      <c r="AT3352" s="33"/>
      <c r="AV3352" s="21">
        <f>IF(AND($AL3352&lt;&gt;"",COUNTIF($AL$11:$AL3352,$AL3352)=1),1,0)</f>
        <v>0</v>
      </c>
      <c r="AW3352" s="21">
        <f t="shared" si="191"/>
        <v>0</v>
      </c>
      <c r="AX3352" s="21" t="str">
        <f t="shared" si="190"/>
        <v/>
      </c>
      <c r="AY3352" s="21" t="str">
        <f>IF(AND($AM3352&lt;&gt;"",$AS3352&lt;&gt;"✓"),SUMPRODUCT(($AM$11:$AM3352&lt;&gt;"")*($AS$11:$AS3352&lt;&gt;"✓")),"")</f>
        <v/>
      </c>
      <c r="AZ3352" s="21" t="str">
        <f>IF(AND($AM3352&lt;&gt;"",$AS3352="✓"),SUMPRODUCT(($AM$11:$AM3352&lt;&gt;"")*($AS$11:$AS3352="✓")),"")</f>
        <v/>
      </c>
      <c r="BA3352" s="21" t="str">
        <f>IF($AL3352="","",$AL3352&amp;"|"&amp;COUNTIF($AL$11:$AL3352,$AL3352))</f>
        <v/>
      </c>
    </row>
    <row r="3353" spans="38:53" ht="15" customHeight="1" x14ac:dyDescent="0.25">
      <c r="AL3353" s="17"/>
      <c r="AM3353" s="12"/>
      <c r="AN3353" s="18"/>
      <c r="AO3353" s="18"/>
      <c r="AP3353" s="10"/>
      <c r="AQ3353" s="10"/>
      <c r="AR3353" s="19"/>
      <c r="AS3353" s="20"/>
      <c r="AT3353" s="19"/>
      <c r="AV3353" s="21">
        <f>IF(AND($AL3353&lt;&gt;"",COUNTIF($AL$11:$AL3353,$AL3353)=1),1,0)</f>
        <v>0</v>
      </c>
      <c r="AW3353" s="21">
        <f t="shared" si="191"/>
        <v>0</v>
      </c>
      <c r="AX3353" s="21" t="str">
        <f t="shared" si="190"/>
        <v/>
      </c>
      <c r="AY3353" s="21" t="str">
        <f>IF(AND($AM3353&lt;&gt;"",$AS3353&lt;&gt;"✓"),SUMPRODUCT(($AM$11:$AM3353&lt;&gt;"")*($AS$11:$AS3353&lt;&gt;"✓")),"")</f>
        <v/>
      </c>
      <c r="AZ3353" s="21" t="str">
        <f>IF(AND($AM3353&lt;&gt;"",$AS3353="✓"),SUMPRODUCT(($AM$11:$AM3353&lt;&gt;"")*($AS$11:$AS3353="✓")),"")</f>
        <v/>
      </c>
      <c r="BA3353" s="21" t="str">
        <f>IF($AL3353="","",$AL3353&amp;"|"&amp;COUNTIF($AL$11:$AL3353,$AL3353))</f>
        <v/>
      </c>
    </row>
    <row r="3354" spans="38:53" ht="15" customHeight="1" x14ac:dyDescent="0.25">
      <c r="AL3354" s="31"/>
      <c r="AM3354" s="26"/>
      <c r="AN3354" s="32"/>
      <c r="AO3354" s="32"/>
      <c r="AP3354" s="24"/>
      <c r="AQ3354" s="24"/>
      <c r="AR3354" s="33"/>
      <c r="AS3354" s="34"/>
      <c r="AT3354" s="33"/>
      <c r="AV3354" s="21">
        <f>IF(AND($AL3354&lt;&gt;"",COUNTIF($AL$11:$AL3354,$AL3354)=1),1,0)</f>
        <v>0</v>
      </c>
      <c r="AW3354" s="21">
        <f t="shared" si="191"/>
        <v>0</v>
      </c>
      <c r="AX3354" s="21" t="str">
        <f t="shared" si="190"/>
        <v/>
      </c>
      <c r="AY3354" s="21" t="str">
        <f>IF(AND($AM3354&lt;&gt;"",$AS3354&lt;&gt;"✓"),SUMPRODUCT(($AM$11:$AM3354&lt;&gt;"")*($AS$11:$AS3354&lt;&gt;"✓")),"")</f>
        <v/>
      </c>
      <c r="AZ3354" s="21" t="str">
        <f>IF(AND($AM3354&lt;&gt;"",$AS3354="✓"),SUMPRODUCT(($AM$11:$AM3354&lt;&gt;"")*($AS$11:$AS3354="✓")),"")</f>
        <v/>
      </c>
      <c r="BA3354" s="21" t="str">
        <f>IF($AL3354="","",$AL3354&amp;"|"&amp;COUNTIF($AL$11:$AL3354,$AL3354))</f>
        <v/>
      </c>
    </row>
    <row r="3355" spans="38:53" ht="15" customHeight="1" x14ac:dyDescent="0.25">
      <c r="AL3355" s="17"/>
      <c r="AM3355" s="12"/>
      <c r="AN3355" s="18"/>
      <c r="AO3355" s="18"/>
      <c r="AP3355" s="10"/>
      <c r="AQ3355" s="10"/>
      <c r="AR3355" s="19"/>
      <c r="AS3355" s="20"/>
      <c r="AT3355" s="19"/>
      <c r="AV3355" s="21">
        <f>IF(AND($AL3355&lt;&gt;"",COUNTIF($AL$11:$AL3355,$AL3355)=1),1,0)</f>
        <v>0</v>
      </c>
      <c r="AW3355" s="21">
        <f t="shared" si="191"/>
        <v>0</v>
      </c>
      <c r="AX3355" s="21" t="str">
        <f t="shared" si="190"/>
        <v/>
      </c>
      <c r="AY3355" s="21" t="str">
        <f>IF(AND($AM3355&lt;&gt;"",$AS3355&lt;&gt;"✓"),SUMPRODUCT(($AM$11:$AM3355&lt;&gt;"")*($AS$11:$AS3355&lt;&gt;"✓")),"")</f>
        <v/>
      </c>
      <c r="AZ3355" s="21" t="str">
        <f>IF(AND($AM3355&lt;&gt;"",$AS3355="✓"),SUMPRODUCT(($AM$11:$AM3355&lt;&gt;"")*($AS$11:$AS3355="✓")),"")</f>
        <v/>
      </c>
      <c r="BA3355" s="21" t="str">
        <f>IF($AL3355="","",$AL3355&amp;"|"&amp;COUNTIF($AL$11:$AL3355,$AL3355))</f>
        <v/>
      </c>
    </row>
    <row r="3356" spans="38:53" ht="15" customHeight="1" x14ac:dyDescent="0.25">
      <c r="AL3356" s="31"/>
      <c r="AM3356" s="26"/>
      <c r="AN3356" s="32"/>
      <c r="AO3356" s="32"/>
      <c r="AP3356" s="24"/>
      <c r="AQ3356" s="24"/>
      <c r="AR3356" s="33"/>
      <c r="AS3356" s="34"/>
      <c r="AT3356" s="33"/>
      <c r="AV3356" s="21">
        <f>IF(AND($AL3356&lt;&gt;"",COUNTIF($AL$11:$AL3356,$AL3356)=1),1,0)</f>
        <v>0</v>
      </c>
      <c r="AW3356" s="21">
        <f t="shared" si="191"/>
        <v>0</v>
      </c>
      <c r="AX3356" s="21" t="str">
        <f t="shared" si="190"/>
        <v/>
      </c>
      <c r="AY3356" s="21" t="str">
        <f>IF(AND($AM3356&lt;&gt;"",$AS3356&lt;&gt;"✓"),SUMPRODUCT(($AM$11:$AM3356&lt;&gt;"")*($AS$11:$AS3356&lt;&gt;"✓")),"")</f>
        <v/>
      </c>
      <c r="AZ3356" s="21" t="str">
        <f>IF(AND($AM3356&lt;&gt;"",$AS3356="✓"),SUMPRODUCT(($AM$11:$AM3356&lt;&gt;"")*($AS$11:$AS3356="✓")),"")</f>
        <v/>
      </c>
      <c r="BA3356" s="21" t="str">
        <f>IF($AL3356="","",$AL3356&amp;"|"&amp;COUNTIF($AL$11:$AL3356,$AL3356))</f>
        <v/>
      </c>
    </row>
    <row r="3357" spans="38:53" ht="15" customHeight="1" x14ac:dyDescent="0.25">
      <c r="AL3357" s="17"/>
      <c r="AM3357" s="12"/>
      <c r="AN3357" s="18"/>
      <c r="AO3357" s="18"/>
      <c r="AP3357" s="10"/>
      <c r="AQ3357" s="10"/>
      <c r="AR3357" s="19"/>
      <c r="AS3357" s="20"/>
      <c r="AT3357" s="19"/>
      <c r="AV3357" s="21">
        <f>IF(AND($AL3357&lt;&gt;"",COUNTIF($AL$11:$AL3357,$AL3357)=1),1,0)</f>
        <v>0</v>
      </c>
      <c r="AW3357" s="21">
        <f t="shared" si="191"/>
        <v>0</v>
      </c>
      <c r="AX3357" s="21" t="str">
        <f t="shared" si="190"/>
        <v/>
      </c>
      <c r="AY3357" s="21" t="str">
        <f>IF(AND($AM3357&lt;&gt;"",$AS3357&lt;&gt;"✓"),SUMPRODUCT(($AM$11:$AM3357&lt;&gt;"")*($AS$11:$AS3357&lt;&gt;"✓")),"")</f>
        <v/>
      </c>
      <c r="AZ3357" s="21" t="str">
        <f>IF(AND($AM3357&lt;&gt;"",$AS3357="✓"),SUMPRODUCT(($AM$11:$AM3357&lt;&gt;"")*($AS$11:$AS3357="✓")),"")</f>
        <v/>
      </c>
      <c r="BA3357" s="21" t="str">
        <f>IF($AL3357="","",$AL3357&amp;"|"&amp;COUNTIF($AL$11:$AL3357,$AL3357))</f>
        <v/>
      </c>
    </row>
    <row r="3358" spans="38:53" ht="15" customHeight="1" x14ac:dyDescent="0.25">
      <c r="AL3358" s="31"/>
      <c r="AM3358" s="26"/>
      <c r="AN3358" s="32"/>
      <c r="AO3358" s="32"/>
      <c r="AP3358" s="24"/>
      <c r="AQ3358" s="24"/>
      <c r="AR3358" s="33"/>
      <c r="AS3358" s="34"/>
      <c r="AT3358" s="33"/>
      <c r="AV3358" s="21">
        <f>IF(AND($AL3358&lt;&gt;"",COUNTIF($AL$11:$AL3358,$AL3358)=1),1,0)</f>
        <v>0</v>
      </c>
      <c r="AW3358" s="21">
        <f t="shared" si="191"/>
        <v>0</v>
      </c>
      <c r="AX3358" s="21" t="str">
        <f t="shared" si="190"/>
        <v/>
      </c>
      <c r="AY3358" s="21" t="str">
        <f>IF(AND($AM3358&lt;&gt;"",$AS3358&lt;&gt;"✓"),SUMPRODUCT(($AM$11:$AM3358&lt;&gt;"")*($AS$11:$AS3358&lt;&gt;"✓")),"")</f>
        <v/>
      </c>
      <c r="AZ3358" s="21" t="str">
        <f>IF(AND($AM3358&lt;&gt;"",$AS3358="✓"),SUMPRODUCT(($AM$11:$AM3358&lt;&gt;"")*($AS$11:$AS3358="✓")),"")</f>
        <v/>
      </c>
      <c r="BA3358" s="21" t="str">
        <f>IF($AL3358="","",$AL3358&amp;"|"&amp;COUNTIF($AL$11:$AL3358,$AL3358))</f>
        <v/>
      </c>
    </row>
    <row r="3359" spans="38:53" ht="15" customHeight="1" x14ac:dyDescent="0.25">
      <c r="AL3359" s="17"/>
      <c r="AM3359" s="12"/>
      <c r="AN3359" s="18"/>
      <c r="AO3359" s="18"/>
      <c r="AP3359" s="10"/>
      <c r="AQ3359" s="10"/>
      <c r="AR3359" s="19"/>
      <c r="AS3359" s="20"/>
      <c r="AT3359" s="19"/>
      <c r="AV3359" s="21">
        <f>IF(AND($AL3359&lt;&gt;"",COUNTIF($AL$11:$AL3359,$AL3359)=1),1,0)</f>
        <v>0</v>
      </c>
      <c r="AW3359" s="21">
        <f t="shared" si="191"/>
        <v>0</v>
      </c>
      <c r="AX3359" s="21" t="str">
        <f t="shared" si="190"/>
        <v/>
      </c>
      <c r="AY3359" s="21" t="str">
        <f>IF(AND($AM3359&lt;&gt;"",$AS3359&lt;&gt;"✓"),SUMPRODUCT(($AM$11:$AM3359&lt;&gt;"")*($AS$11:$AS3359&lt;&gt;"✓")),"")</f>
        <v/>
      </c>
      <c r="AZ3359" s="21" t="str">
        <f>IF(AND($AM3359&lt;&gt;"",$AS3359="✓"),SUMPRODUCT(($AM$11:$AM3359&lt;&gt;"")*($AS$11:$AS3359="✓")),"")</f>
        <v/>
      </c>
      <c r="BA3359" s="21" t="str">
        <f>IF($AL3359="","",$AL3359&amp;"|"&amp;COUNTIF($AL$11:$AL3359,$AL3359))</f>
        <v/>
      </c>
    </row>
    <row r="3360" spans="38:53" ht="15" customHeight="1" x14ac:dyDescent="0.25">
      <c r="AL3360" s="31"/>
      <c r="AM3360" s="26"/>
      <c r="AN3360" s="32"/>
      <c r="AO3360" s="32"/>
      <c r="AP3360" s="24"/>
      <c r="AQ3360" s="24"/>
      <c r="AR3360" s="33"/>
      <c r="AS3360" s="34"/>
      <c r="AT3360" s="33"/>
      <c r="AV3360" s="21">
        <f>IF(AND($AL3360&lt;&gt;"",COUNTIF($AL$11:$AL3360,$AL3360)=1),1,0)</f>
        <v>0</v>
      </c>
      <c r="AW3360" s="21">
        <f t="shared" si="191"/>
        <v>0</v>
      </c>
      <c r="AX3360" s="21" t="str">
        <f t="shared" si="190"/>
        <v/>
      </c>
      <c r="AY3360" s="21" t="str">
        <f>IF(AND($AM3360&lt;&gt;"",$AS3360&lt;&gt;"✓"),SUMPRODUCT(($AM$11:$AM3360&lt;&gt;"")*($AS$11:$AS3360&lt;&gt;"✓")),"")</f>
        <v/>
      </c>
      <c r="AZ3360" s="21" t="str">
        <f>IF(AND($AM3360&lt;&gt;"",$AS3360="✓"),SUMPRODUCT(($AM$11:$AM3360&lt;&gt;"")*($AS$11:$AS3360="✓")),"")</f>
        <v/>
      </c>
      <c r="BA3360" s="21" t="str">
        <f>IF($AL3360="","",$AL3360&amp;"|"&amp;COUNTIF($AL$11:$AL3360,$AL3360))</f>
        <v/>
      </c>
    </row>
    <row r="3361" spans="38:53" ht="15" customHeight="1" x14ac:dyDescent="0.25">
      <c r="AL3361" s="17"/>
      <c r="AM3361" s="12"/>
      <c r="AN3361" s="18"/>
      <c r="AO3361" s="18"/>
      <c r="AP3361" s="10"/>
      <c r="AQ3361" s="10"/>
      <c r="AR3361" s="19"/>
      <c r="AS3361" s="20"/>
      <c r="AT3361" s="19"/>
      <c r="AV3361" s="21">
        <f>IF(AND($AL3361&lt;&gt;"",COUNTIF($AL$11:$AL3361,$AL3361)=1),1,0)</f>
        <v>0</v>
      </c>
      <c r="AW3361" s="21">
        <f t="shared" si="191"/>
        <v>0</v>
      </c>
      <c r="AX3361" s="21" t="str">
        <f t="shared" si="190"/>
        <v/>
      </c>
      <c r="AY3361" s="21" t="str">
        <f>IF(AND($AM3361&lt;&gt;"",$AS3361&lt;&gt;"✓"),SUMPRODUCT(($AM$11:$AM3361&lt;&gt;"")*($AS$11:$AS3361&lt;&gt;"✓")),"")</f>
        <v/>
      </c>
      <c r="AZ3361" s="21" t="str">
        <f>IF(AND($AM3361&lt;&gt;"",$AS3361="✓"),SUMPRODUCT(($AM$11:$AM3361&lt;&gt;"")*($AS$11:$AS3361="✓")),"")</f>
        <v/>
      </c>
      <c r="BA3361" s="21" t="str">
        <f>IF($AL3361="","",$AL3361&amp;"|"&amp;COUNTIF($AL$11:$AL3361,$AL3361))</f>
        <v/>
      </c>
    </row>
    <row r="3362" spans="38:53" ht="15" customHeight="1" x14ac:dyDescent="0.25">
      <c r="AL3362" s="31"/>
      <c r="AM3362" s="26"/>
      <c r="AN3362" s="32"/>
      <c r="AO3362" s="32"/>
      <c r="AP3362" s="24"/>
      <c r="AQ3362" s="24"/>
      <c r="AR3362" s="33"/>
      <c r="AS3362" s="34"/>
      <c r="AT3362" s="33"/>
      <c r="AV3362" s="21">
        <f>IF(AND($AL3362&lt;&gt;"",COUNTIF($AL$11:$AL3362,$AL3362)=1),1,0)</f>
        <v>0</v>
      </c>
      <c r="AW3362" s="21">
        <f t="shared" si="191"/>
        <v>0</v>
      </c>
      <c r="AX3362" s="21" t="str">
        <f t="shared" si="190"/>
        <v/>
      </c>
      <c r="AY3362" s="21" t="str">
        <f>IF(AND($AM3362&lt;&gt;"",$AS3362&lt;&gt;"✓"),SUMPRODUCT(($AM$11:$AM3362&lt;&gt;"")*($AS$11:$AS3362&lt;&gt;"✓")),"")</f>
        <v/>
      </c>
      <c r="AZ3362" s="21" t="str">
        <f>IF(AND($AM3362&lt;&gt;"",$AS3362="✓"),SUMPRODUCT(($AM$11:$AM3362&lt;&gt;"")*($AS$11:$AS3362="✓")),"")</f>
        <v/>
      </c>
      <c r="BA3362" s="21" t="str">
        <f>IF($AL3362="","",$AL3362&amp;"|"&amp;COUNTIF($AL$11:$AL3362,$AL3362))</f>
        <v/>
      </c>
    </row>
    <row r="3363" spans="38:53" ht="15" customHeight="1" x14ac:dyDescent="0.25">
      <c r="AL3363" s="17"/>
      <c r="AM3363" s="12"/>
      <c r="AN3363" s="18"/>
      <c r="AO3363" s="18"/>
      <c r="AP3363" s="10"/>
      <c r="AQ3363" s="10"/>
      <c r="AR3363" s="19"/>
      <c r="AS3363" s="20"/>
      <c r="AT3363" s="19"/>
      <c r="AV3363" s="21">
        <f>IF(AND($AL3363&lt;&gt;"",COUNTIF($AL$11:$AL3363,$AL3363)=1),1,0)</f>
        <v>0</v>
      </c>
      <c r="AW3363" s="21">
        <f t="shared" si="191"/>
        <v>0</v>
      </c>
      <c r="AX3363" s="21" t="str">
        <f t="shared" si="190"/>
        <v/>
      </c>
      <c r="AY3363" s="21" t="str">
        <f>IF(AND($AM3363&lt;&gt;"",$AS3363&lt;&gt;"✓"),SUMPRODUCT(($AM$11:$AM3363&lt;&gt;"")*($AS$11:$AS3363&lt;&gt;"✓")),"")</f>
        <v/>
      </c>
      <c r="AZ3363" s="21" t="str">
        <f>IF(AND($AM3363&lt;&gt;"",$AS3363="✓"),SUMPRODUCT(($AM$11:$AM3363&lt;&gt;"")*($AS$11:$AS3363="✓")),"")</f>
        <v/>
      </c>
      <c r="BA3363" s="21" t="str">
        <f>IF($AL3363="","",$AL3363&amp;"|"&amp;COUNTIF($AL$11:$AL3363,$AL3363))</f>
        <v/>
      </c>
    </row>
    <row r="3364" spans="38:53" ht="15" customHeight="1" x14ac:dyDescent="0.25">
      <c r="AL3364" s="31"/>
      <c r="AM3364" s="26"/>
      <c r="AN3364" s="32"/>
      <c r="AO3364" s="32"/>
      <c r="AP3364" s="24"/>
      <c r="AQ3364" s="24"/>
      <c r="AR3364" s="33"/>
      <c r="AS3364" s="34"/>
      <c r="AT3364" s="33"/>
      <c r="AV3364" s="21">
        <f>IF(AND($AL3364&lt;&gt;"",COUNTIF($AL$11:$AL3364,$AL3364)=1),1,0)</f>
        <v>0</v>
      </c>
      <c r="AW3364" s="21">
        <f t="shared" si="191"/>
        <v>0</v>
      </c>
      <c r="AX3364" s="21" t="str">
        <f t="shared" si="190"/>
        <v/>
      </c>
      <c r="AY3364" s="21" t="str">
        <f>IF(AND($AM3364&lt;&gt;"",$AS3364&lt;&gt;"✓"),SUMPRODUCT(($AM$11:$AM3364&lt;&gt;"")*($AS$11:$AS3364&lt;&gt;"✓")),"")</f>
        <v/>
      </c>
      <c r="AZ3364" s="21" t="str">
        <f>IF(AND($AM3364&lt;&gt;"",$AS3364="✓"),SUMPRODUCT(($AM$11:$AM3364&lt;&gt;"")*($AS$11:$AS3364="✓")),"")</f>
        <v/>
      </c>
      <c r="BA3364" s="21" t="str">
        <f>IF($AL3364="","",$AL3364&amp;"|"&amp;COUNTIF($AL$11:$AL3364,$AL3364))</f>
        <v/>
      </c>
    </row>
    <row r="3365" spans="38:53" ht="15" customHeight="1" x14ac:dyDescent="0.25">
      <c r="AL3365" s="17"/>
      <c r="AM3365" s="12"/>
      <c r="AN3365" s="18"/>
      <c r="AO3365" s="18"/>
      <c r="AP3365" s="10"/>
      <c r="AQ3365" s="10"/>
      <c r="AR3365" s="19"/>
      <c r="AS3365" s="20"/>
      <c r="AT3365" s="19"/>
      <c r="AV3365" s="21">
        <f>IF(AND($AL3365&lt;&gt;"",COUNTIF($AL$11:$AL3365,$AL3365)=1),1,0)</f>
        <v>0</v>
      </c>
      <c r="AW3365" s="21">
        <f t="shared" si="191"/>
        <v>0</v>
      </c>
      <c r="AX3365" s="21" t="str">
        <f t="shared" si="190"/>
        <v/>
      </c>
      <c r="AY3365" s="21" t="str">
        <f>IF(AND($AM3365&lt;&gt;"",$AS3365&lt;&gt;"✓"),SUMPRODUCT(($AM$11:$AM3365&lt;&gt;"")*($AS$11:$AS3365&lt;&gt;"✓")),"")</f>
        <v/>
      </c>
      <c r="AZ3365" s="21" t="str">
        <f>IF(AND($AM3365&lt;&gt;"",$AS3365="✓"),SUMPRODUCT(($AM$11:$AM3365&lt;&gt;"")*($AS$11:$AS3365="✓")),"")</f>
        <v/>
      </c>
      <c r="BA3365" s="21" t="str">
        <f>IF($AL3365="","",$AL3365&amp;"|"&amp;COUNTIF($AL$11:$AL3365,$AL3365))</f>
        <v/>
      </c>
    </row>
    <row r="3366" spans="38:53" ht="15" customHeight="1" x14ac:dyDescent="0.25">
      <c r="AL3366" s="31"/>
      <c r="AM3366" s="26"/>
      <c r="AN3366" s="32"/>
      <c r="AO3366" s="32"/>
      <c r="AP3366" s="24"/>
      <c r="AQ3366" s="24"/>
      <c r="AR3366" s="33"/>
      <c r="AS3366" s="34"/>
      <c r="AT3366" s="33"/>
      <c r="AV3366" s="21">
        <f>IF(AND($AL3366&lt;&gt;"",COUNTIF($AL$11:$AL3366,$AL3366)=1),1,0)</f>
        <v>0</v>
      </c>
      <c r="AW3366" s="21">
        <f t="shared" si="191"/>
        <v>0</v>
      </c>
      <c r="AX3366" s="21" t="str">
        <f t="shared" si="190"/>
        <v/>
      </c>
      <c r="AY3366" s="21" t="str">
        <f>IF(AND($AM3366&lt;&gt;"",$AS3366&lt;&gt;"✓"),SUMPRODUCT(($AM$11:$AM3366&lt;&gt;"")*($AS$11:$AS3366&lt;&gt;"✓")),"")</f>
        <v/>
      </c>
      <c r="AZ3366" s="21" t="str">
        <f>IF(AND($AM3366&lt;&gt;"",$AS3366="✓"),SUMPRODUCT(($AM$11:$AM3366&lt;&gt;"")*($AS$11:$AS3366="✓")),"")</f>
        <v/>
      </c>
      <c r="BA3366" s="21" t="str">
        <f>IF($AL3366="","",$AL3366&amp;"|"&amp;COUNTIF($AL$11:$AL3366,$AL3366))</f>
        <v/>
      </c>
    </row>
    <row r="3367" spans="38:53" ht="15" customHeight="1" x14ac:dyDescent="0.25">
      <c r="AL3367" s="17"/>
      <c r="AM3367" s="12"/>
      <c r="AN3367" s="18"/>
      <c r="AO3367" s="18"/>
      <c r="AP3367" s="10"/>
      <c r="AQ3367" s="10"/>
      <c r="AR3367" s="19"/>
      <c r="AS3367" s="20"/>
      <c r="AT3367" s="19"/>
      <c r="AV3367" s="21">
        <f>IF(AND($AL3367&lt;&gt;"",COUNTIF($AL$11:$AL3367,$AL3367)=1),1,0)</f>
        <v>0</v>
      </c>
      <c r="AW3367" s="21">
        <f t="shared" si="191"/>
        <v>0</v>
      </c>
      <c r="AX3367" s="21" t="str">
        <f t="shared" si="190"/>
        <v/>
      </c>
      <c r="AY3367" s="21" t="str">
        <f>IF(AND($AM3367&lt;&gt;"",$AS3367&lt;&gt;"✓"),SUMPRODUCT(($AM$11:$AM3367&lt;&gt;"")*($AS$11:$AS3367&lt;&gt;"✓")),"")</f>
        <v/>
      </c>
      <c r="AZ3367" s="21" t="str">
        <f>IF(AND($AM3367&lt;&gt;"",$AS3367="✓"),SUMPRODUCT(($AM$11:$AM3367&lt;&gt;"")*($AS$11:$AS3367="✓")),"")</f>
        <v/>
      </c>
      <c r="BA3367" s="21" t="str">
        <f>IF($AL3367="","",$AL3367&amp;"|"&amp;COUNTIF($AL$11:$AL3367,$AL3367))</f>
        <v/>
      </c>
    </row>
    <row r="3368" spans="38:53" ht="15" customHeight="1" x14ac:dyDescent="0.25">
      <c r="AL3368" s="31"/>
      <c r="AM3368" s="26"/>
      <c r="AN3368" s="32"/>
      <c r="AO3368" s="32"/>
      <c r="AP3368" s="24"/>
      <c r="AQ3368" s="24"/>
      <c r="AR3368" s="33"/>
      <c r="AS3368" s="34"/>
      <c r="AT3368" s="33"/>
      <c r="AV3368" s="21">
        <f>IF(AND($AL3368&lt;&gt;"",COUNTIF($AL$11:$AL3368,$AL3368)=1),1,0)</f>
        <v>0</v>
      </c>
      <c r="AW3368" s="21">
        <f t="shared" si="191"/>
        <v>0</v>
      </c>
      <c r="AX3368" s="21" t="str">
        <f t="shared" si="190"/>
        <v/>
      </c>
      <c r="AY3368" s="21" t="str">
        <f>IF(AND($AM3368&lt;&gt;"",$AS3368&lt;&gt;"✓"),SUMPRODUCT(($AM$11:$AM3368&lt;&gt;"")*($AS$11:$AS3368&lt;&gt;"✓")),"")</f>
        <v/>
      </c>
      <c r="AZ3368" s="21" t="str">
        <f>IF(AND($AM3368&lt;&gt;"",$AS3368="✓"),SUMPRODUCT(($AM$11:$AM3368&lt;&gt;"")*($AS$11:$AS3368="✓")),"")</f>
        <v/>
      </c>
      <c r="BA3368" s="21" t="str">
        <f>IF($AL3368="","",$AL3368&amp;"|"&amp;COUNTIF($AL$11:$AL3368,$AL3368))</f>
        <v/>
      </c>
    </row>
    <row r="3369" spans="38:53" ht="15" customHeight="1" x14ac:dyDescent="0.25">
      <c r="AL3369" s="17"/>
      <c r="AM3369" s="12"/>
      <c r="AN3369" s="18"/>
      <c r="AO3369" s="18"/>
      <c r="AP3369" s="10"/>
      <c r="AQ3369" s="10"/>
      <c r="AR3369" s="19"/>
      <c r="AS3369" s="20"/>
      <c r="AT3369" s="19"/>
      <c r="AV3369" s="21">
        <f>IF(AND($AL3369&lt;&gt;"",COUNTIF($AL$11:$AL3369,$AL3369)=1),1,0)</f>
        <v>0</v>
      </c>
      <c r="AW3369" s="21">
        <f t="shared" si="191"/>
        <v>0</v>
      </c>
      <c r="AX3369" s="21" t="str">
        <f t="shared" si="190"/>
        <v/>
      </c>
      <c r="AY3369" s="21" t="str">
        <f>IF(AND($AM3369&lt;&gt;"",$AS3369&lt;&gt;"✓"),SUMPRODUCT(($AM$11:$AM3369&lt;&gt;"")*($AS$11:$AS3369&lt;&gt;"✓")),"")</f>
        <v/>
      </c>
      <c r="AZ3369" s="21" t="str">
        <f>IF(AND($AM3369&lt;&gt;"",$AS3369="✓"),SUMPRODUCT(($AM$11:$AM3369&lt;&gt;"")*($AS$11:$AS3369="✓")),"")</f>
        <v/>
      </c>
      <c r="BA3369" s="21" t="str">
        <f>IF($AL3369="","",$AL3369&amp;"|"&amp;COUNTIF($AL$11:$AL3369,$AL3369))</f>
        <v/>
      </c>
    </row>
    <row r="3370" spans="38:53" ht="15" customHeight="1" x14ac:dyDescent="0.25">
      <c r="AL3370" s="31"/>
      <c r="AM3370" s="26"/>
      <c r="AN3370" s="32"/>
      <c r="AO3370" s="32"/>
      <c r="AP3370" s="24"/>
      <c r="AQ3370" s="24"/>
      <c r="AR3370" s="33"/>
      <c r="AS3370" s="34"/>
      <c r="AT3370" s="33"/>
      <c r="AV3370" s="21">
        <f>IF(AND($AL3370&lt;&gt;"",COUNTIF($AL$11:$AL3370,$AL3370)=1),1,0)</f>
        <v>0</v>
      </c>
      <c r="AW3370" s="21">
        <f t="shared" si="191"/>
        <v>0</v>
      </c>
      <c r="AX3370" s="21" t="str">
        <f t="shared" si="190"/>
        <v/>
      </c>
      <c r="AY3370" s="21" t="str">
        <f>IF(AND($AM3370&lt;&gt;"",$AS3370&lt;&gt;"✓"),SUMPRODUCT(($AM$11:$AM3370&lt;&gt;"")*($AS$11:$AS3370&lt;&gt;"✓")),"")</f>
        <v/>
      </c>
      <c r="AZ3370" s="21" t="str">
        <f>IF(AND($AM3370&lt;&gt;"",$AS3370="✓"),SUMPRODUCT(($AM$11:$AM3370&lt;&gt;"")*($AS$11:$AS3370="✓")),"")</f>
        <v/>
      </c>
      <c r="BA3370" s="21" t="str">
        <f>IF($AL3370="","",$AL3370&amp;"|"&amp;COUNTIF($AL$11:$AL3370,$AL3370))</f>
        <v/>
      </c>
    </row>
    <row r="3371" spans="38:53" ht="15" customHeight="1" x14ac:dyDescent="0.25">
      <c r="AL3371" s="17"/>
      <c r="AM3371" s="12"/>
      <c r="AN3371" s="18"/>
      <c r="AO3371" s="18"/>
      <c r="AP3371" s="10"/>
      <c r="AQ3371" s="10"/>
      <c r="AR3371" s="19"/>
      <c r="AS3371" s="20"/>
      <c r="AT3371" s="19"/>
      <c r="AV3371" s="21">
        <f>IF(AND($AL3371&lt;&gt;"",COUNTIF($AL$11:$AL3371,$AL3371)=1),1,0)</f>
        <v>0</v>
      </c>
      <c r="AW3371" s="21">
        <f t="shared" si="191"/>
        <v>0</v>
      </c>
      <c r="AX3371" s="21" t="str">
        <f t="shared" si="190"/>
        <v/>
      </c>
      <c r="AY3371" s="21" t="str">
        <f>IF(AND($AM3371&lt;&gt;"",$AS3371&lt;&gt;"✓"),SUMPRODUCT(($AM$11:$AM3371&lt;&gt;"")*($AS$11:$AS3371&lt;&gt;"✓")),"")</f>
        <v/>
      </c>
      <c r="AZ3371" s="21" t="str">
        <f>IF(AND($AM3371&lt;&gt;"",$AS3371="✓"),SUMPRODUCT(($AM$11:$AM3371&lt;&gt;"")*($AS$11:$AS3371="✓")),"")</f>
        <v/>
      </c>
      <c r="BA3371" s="21" t="str">
        <f>IF($AL3371="","",$AL3371&amp;"|"&amp;COUNTIF($AL$11:$AL3371,$AL3371))</f>
        <v/>
      </c>
    </row>
    <row r="3372" spans="38:53" ht="15" customHeight="1" x14ac:dyDescent="0.25">
      <c r="AL3372" s="31"/>
      <c r="AM3372" s="26"/>
      <c r="AN3372" s="32"/>
      <c r="AO3372" s="32"/>
      <c r="AP3372" s="24"/>
      <c r="AQ3372" s="24"/>
      <c r="AR3372" s="33"/>
      <c r="AS3372" s="34"/>
      <c r="AT3372" s="33"/>
      <c r="AV3372" s="21">
        <f>IF(AND($AL3372&lt;&gt;"",COUNTIF($AL$11:$AL3372,$AL3372)=1),1,0)</f>
        <v>0</v>
      </c>
      <c r="AW3372" s="21">
        <f t="shared" si="191"/>
        <v>0</v>
      </c>
      <c r="AX3372" s="21" t="str">
        <f t="shared" si="190"/>
        <v/>
      </c>
      <c r="AY3372" s="21" t="str">
        <f>IF(AND($AM3372&lt;&gt;"",$AS3372&lt;&gt;"✓"),SUMPRODUCT(($AM$11:$AM3372&lt;&gt;"")*($AS$11:$AS3372&lt;&gt;"✓")),"")</f>
        <v/>
      </c>
      <c r="AZ3372" s="21" t="str">
        <f>IF(AND($AM3372&lt;&gt;"",$AS3372="✓"),SUMPRODUCT(($AM$11:$AM3372&lt;&gt;"")*($AS$11:$AS3372="✓")),"")</f>
        <v/>
      </c>
      <c r="BA3372" s="21" t="str">
        <f>IF($AL3372="","",$AL3372&amp;"|"&amp;COUNTIF($AL$11:$AL3372,$AL3372))</f>
        <v/>
      </c>
    </row>
    <row r="3373" spans="38:53" ht="15" customHeight="1" x14ac:dyDescent="0.25">
      <c r="AL3373" s="17"/>
      <c r="AM3373" s="12"/>
      <c r="AN3373" s="18"/>
      <c r="AO3373" s="18"/>
      <c r="AP3373" s="10"/>
      <c r="AQ3373" s="10"/>
      <c r="AR3373" s="19"/>
      <c r="AS3373" s="20"/>
      <c r="AT3373" s="19"/>
      <c r="AV3373" s="21">
        <f>IF(AND($AL3373&lt;&gt;"",COUNTIF($AL$11:$AL3373,$AL3373)=1),1,0)</f>
        <v>0</v>
      </c>
      <c r="AW3373" s="21">
        <f t="shared" si="191"/>
        <v>0</v>
      </c>
      <c r="AX3373" s="21" t="str">
        <f t="shared" si="190"/>
        <v/>
      </c>
      <c r="AY3373" s="21" t="str">
        <f>IF(AND($AM3373&lt;&gt;"",$AS3373&lt;&gt;"✓"),SUMPRODUCT(($AM$11:$AM3373&lt;&gt;"")*($AS$11:$AS3373&lt;&gt;"✓")),"")</f>
        <v/>
      </c>
      <c r="AZ3373" s="21" t="str">
        <f>IF(AND($AM3373&lt;&gt;"",$AS3373="✓"),SUMPRODUCT(($AM$11:$AM3373&lt;&gt;"")*($AS$11:$AS3373="✓")),"")</f>
        <v/>
      </c>
      <c r="BA3373" s="21" t="str">
        <f>IF($AL3373="","",$AL3373&amp;"|"&amp;COUNTIF($AL$11:$AL3373,$AL3373))</f>
        <v/>
      </c>
    </row>
    <row r="3374" spans="38:53" ht="15" customHeight="1" x14ac:dyDescent="0.25">
      <c r="AL3374" s="31"/>
      <c r="AM3374" s="26"/>
      <c r="AN3374" s="32"/>
      <c r="AO3374" s="32"/>
      <c r="AP3374" s="24"/>
      <c r="AQ3374" s="24"/>
      <c r="AR3374" s="33"/>
      <c r="AS3374" s="34"/>
      <c r="AT3374" s="33"/>
      <c r="AV3374" s="21">
        <f>IF(AND($AL3374&lt;&gt;"",COUNTIF($AL$11:$AL3374,$AL3374)=1),1,0)</f>
        <v>0</v>
      </c>
      <c r="AW3374" s="21">
        <f t="shared" si="191"/>
        <v>0</v>
      </c>
      <c r="AX3374" s="21" t="str">
        <f t="shared" si="190"/>
        <v/>
      </c>
      <c r="AY3374" s="21" t="str">
        <f>IF(AND($AM3374&lt;&gt;"",$AS3374&lt;&gt;"✓"),SUMPRODUCT(($AM$11:$AM3374&lt;&gt;"")*($AS$11:$AS3374&lt;&gt;"✓")),"")</f>
        <v/>
      </c>
      <c r="AZ3374" s="21" t="str">
        <f>IF(AND($AM3374&lt;&gt;"",$AS3374="✓"),SUMPRODUCT(($AM$11:$AM3374&lt;&gt;"")*($AS$11:$AS3374="✓")),"")</f>
        <v/>
      </c>
      <c r="BA3374" s="21" t="str">
        <f>IF($AL3374="","",$AL3374&amp;"|"&amp;COUNTIF($AL$11:$AL3374,$AL3374))</f>
        <v/>
      </c>
    </row>
    <row r="3375" spans="38:53" ht="15" customHeight="1" x14ac:dyDescent="0.25">
      <c r="AL3375" s="17"/>
      <c r="AM3375" s="12"/>
      <c r="AN3375" s="18"/>
      <c r="AO3375" s="18"/>
      <c r="AP3375" s="10"/>
      <c r="AQ3375" s="10"/>
      <c r="AR3375" s="19"/>
      <c r="AS3375" s="20"/>
      <c r="AT3375" s="19"/>
      <c r="AV3375" s="21">
        <f>IF(AND($AL3375&lt;&gt;"",COUNTIF($AL$11:$AL3375,$AL3375)=1),1,0)</f>
        <v>0</v>
      </c>
      <c r="AW3375" s="21">
        <f t="shared" si="191"/>
        <v>0</v>
      </c>
      <c r="AX3375" s="21" t="str">
        <f t="shared" si="190"/>
        <v/>
      </c>
      <c r="AY3375" s="21" t="str">
        <f>IF(AND($AM3375&lt;&gt;"",$AS3375&lt;&gt;"✓"),SUMPRODUCT(($AM$11:$AM3375&lt;&gt;"")*($AS$11:$AS3375&lt;&gt;"✓")),"")</f>
        <v/>
      </c>
      <c r="AZ3375" s="21" t="str">
        <f>IF(AND($AM3375&lt;&gt;"",$AS3375="✓"),SUMPRODUCT(($AM$11:$AM3375&lt;&gt;"")*($AS$11:$AS3375="✓")),"")</f>
        <v/>
      </c>
      <c r="BA3375" s="21" t="str">
        <f>IF($AL3375="","",$AL3375&amp;"|"&amp;COUNTIF($AL$11:$AL3375,$AL3375))</f>
        <v/>
      </c>
    </row>
    <row r="3376" spans="38:53" ht="15" customHeight="1" x14ac:dyDescent="0.25">
      <c r="AL3376" s="31"/>
      <c r="AM3376" s="26"/>
      <c r="AN3376" s="32"/>
      <c r="AO3376" s="32"/>
      <c r="AP3376" s="24"/>
      <c r="AQ3376" s="24"/>
      <c r="AR3376" s="33"/>
      <c r="AS3376" s="34"/>
      <c r="AT3376" s="33"/>
      <c r="AV3376" s="21">
        <f>IF(AND($AL3376&lt;&gt;"",COUNTIF($AL$11:$AL3376,$AL3376)=1),1,0)</f>
        <v>0</v>
      </c>
      <c r="AW3376" s="21">
        <f t="shared" si="191"/>
        <v>0</v>
      </c>
      <c r="AX3376" s="21" t="str">
        <f t="shared" si="190"/>
        <v/>
      </c>
      <c r="AY3376" s="21" t="str">
        <f>IF(AND($AM3376&lt;&gt;"",$AS3376&lt;&gt;"✓"),SUMPRODUCT(($AM$11:$AM3376&lt;&gt;"")*($AS$11:$AS3376&lt;&gt;"✓")),"")</f>
        <v/>
      </c>
      <c r="AZ3376" s="21" t="str">
        <f>IF(AND($AM3376&lt;&gt;"",$AS3376="✓"),SUMPRODUCT(($AM$11:$AM3376&lt;&gt;"")*($AS$11:$AS3376="✓")),"")</f>
        <v/>
      </c>
      <c r="BA3376" s="21" t="str">
        <f>IF($AL3376="","",$AL3376&amp;"|"&amp;COUNTIF($AL$11:$AL3376,$AL3376))</f>
        <v/>
      </c>
    </row>
    <row r="3377" spans="38:53" ht="15" customHeight="1" x14ac:dyDescent="0.25">
      <c r="AL3377" s="17"/>
      <c r="AM3377" s="12"/>
      <c r="AN3377" s="18"/>
      <c r="AO3377" s="18"/>
      <c r="AP3377" s="10"/>
      <c r="AQ3377" s="10"/>
      <c r="AR3377" s="19"/>
      <c r="AS3377" s="20"/>
      <c r="AT3377" s="19"/>
      <c r="AV3377" s="21">
        <f>IF(AND($AL3377&lt;&gt;"",COUNTIF($AL$11:$AL3377,$AL3377)=1),1,0)</f>
        <v>0</v>
      </c>
      <c r="AW3377" s="21">
        <f t="shared" si="191"/>
        <v>0</v>
      </c>
      <c r="AX3377" s="21" t="str">
        <f t="shared" si="190"/>
        <v/>
      </c>
      <c r="AY3377" s="21" t="str">
        <f>IF(AND($AM3377&lt;&gt;"",$AS3377&lt;&gt;"✓"),SUMPRODUCT(($AM$11:$AM3377&lt;&gt;"")*($AS$11:$AS3377&lt;&gt;"✓")),"")</f>
        <v/>
      </c>
      <c r="AZ3377" s="21" t="str">
        <f>IF(AND($AM3377&lt;&gt;"",$AS3377="✓"),SUMPRODUCT(($AM$11:$AM3377&lt;&gt;"")*($AS$11:$AS3377="✓")),"")</f>
        <v/>
      </c>
      <c r="BA3377" s="21" t="str">
        <f>IF($AL3377="","",$AL3377&amp;"|"&amp;COUNTIF($AL$11:$AL3377,$AL3377))</f>
        <v/>
      </c>
    </row>
    <row r="3378" spans="38:53" ht="15" customHeight="1" x14ac:dyDescent="0.25">
      <c r="AL3378" s="31"/>
      <c r="AM3378" s="26"/>
      <c r="AN3378" s="32"/>
      <c r="AO3378" s="32"/>
      <c r="AP3378" s="24"/>
      <c r="AQ3378" s="24"/>
      <c r="AR3378" s="33"/>
      <c r="AS3378" s="34"/>
      <c r="AT3378" s="33"/>
      <c r="AV3378" s="21">
        <f>IF(AND($AL3378&lt;&gt;"",COUNTIF($AL$11:$AL3378,$AL3378)=1),1,0)</f>
        <v>0</v>
      </c>
      <c r="AW3378" s="21">
        <f t="shared" si="191"/>
        <v>0</v>
      </c>
      <c r="AX3378" s="21" t="str">
        <f t="shared" si="190"/>
        <v/>
      </c>
      <c r="AY3378" s="21" t="str">
        <f>IF(AND($AM3378&lt;&gt;"",$AS3378&lt;&gt;"✓"),SUMPRODUCT(($AM$11:$AM3378&lt;&gt;"")*($AS$11:$AS3378&lt;&gt;"✓")),"")</f>
        <v/>
      </c>
      <c r="AZ3378" s="21" t="str">
        <f>IF(AND($AM3378&lt;&gt;"",$AS3378="✓"),SUMPRODUCT(($AM$11:$AM3378&lt;&gt;"")*($AS$11:$AS3378="✓")),"")</f>
        <v/>
      </c>
      <c r="BA3378" s="21" t="str">
        <f>IF($AL3378="","",$AL3378&amp;"|"&amp;COUNTIF($AL$11:$AL3378,$AL3378))</f>
        <v/>
      </c>
    </row>
    <row r="3379" spans="38:53" ht="15" customHeight="1" x14ac:dyDescent="0.25">
      <c r="AL3379" s="17"/>
      <c r="AM3379" s="12"/>
      <c r="AN3379" s="18"/>
      <c r="AO3379" s="18"/>
      <c r="AP3379" s="10"/>
      <c r="AQ3379" s="10"/>
      <c r="AR3379" s="19"/>
      <c r="AS3379" s="20"/>
      <c r="AT3379" s="19"/>
      <c r="AV3379" s="21">
        <f>IF(AND($AL3379&lt;&gt;"",COUNTIF($AL$11:$AL3379,$AL3379)=1),1,0)</f>
        <v>0</v>
      </c>
      <c r="AW3379" s="21">
        <f t="shared" si="191"/>
        <v>0</v>
      </c>
      <c r="AX3379" s="21" t="str">
        <f t="shared" si="190"/>
        <v/>
      </c>
      <c r="AY3379" s="21" t="str">
        <f>IF(AND($AM3379&lt;&gt;"",$AS3379&lt;&gt;"✓"),SUMPRODUCT(($AM$11:$AM3379&lt;&gt;"")*($AS$11:$AS3379&lt;&gt;"✓")),"")</f>
        <v/>
      </c>
      <c r="AZ3379" s="21" t="str">
        <f>IF(AND($AM3379&lt;&gt;"",$AS3379="✓"),SUMPRODUCT(($AM$11:$AM3379&lt;&gt;"")*($AS$11:$AS3379="✓")),"")</f>
        <v/>
      </c>
      <c r="BA3379" s="21" t="str">
        <f>IF($AL3379="","",$AL3379&amp;"|"&amp;COUNTIF($AL$11:$AL3379,$AL3379))</f>
        <v/>
      </c>
    </row>
    <row r="3380" spans="38:53" ht="15" customHeight="1" x14ac:dyDescent="0.25">
      <c r="AL3380" s="31"/>
      <c r="AM3380" s="26"/>
      <c r="AN3380" s="32"/>
      <c r="AO3380" s="32"/>
      <c r="AP3380" s="24"/>
      <c r="AQ3380" s="24"/>
      <c r="AR3380" s="33"/>
      <c r="AS3380" s="34"/>
      <c r="AT3380" s="33"/>
      <c r="AV3380" s="21">
        <f>IF(AND($AL3380&lt;&gt;"",COUNTIF($AL$11:$AL3380,$AL3380)=1),1,0)</f>
        <v>0</v>
      </c>
      <c r="AW3380" s="21">
        <f t="shared" si="191"/>
        <v>0</v>
      </c>
      <c r="AX3380" s="21" t="str">
        <f t="shared" si="190"/>
        <v/>
      </c>
      <c r="AY3380" s="21" t="str">
        <f>IF(AND($AM3380&lt;&gt;"",$AS3380&lt;&gt;"✓"),SUMPRODUCT(($AM$11:$AM3380&lt;&gt;"")*($AS$11:$AS3380&lt;&gt;"✓")),"")</f>
        <v/>
      </c>
      <c r="AZ3380" s="21" t="str">
        <f>IF(AND($AM3380&lt;&gt;"",$AS3380="✓"),SUMPRODUCT(($AM$11:$AM3380&lt;&gt;"")*($AS$11:$AS3380="✓")),"")</f>
        <v/>
      </c>
      <c r="BA3380" s="21" t="str">
        <f>IF($AL3380="","",$AL3380&amp;"|"&amp;COUNTIF($AL$11:$AL3380,$AL3380))</f>
        <v/>
      </c>
    </row>
    <row r="3381" spans="38:53" ht="15" customHeight="1" x14ac:dyDescent="0.25">
      <c r="AL3381" s="17"/>
      <c r="AM3381" s="12"/>
      <c r="AN3381" s="18"/>
      <c r="AO3381" s="18"/>
      <c r="AP3381" s="10"/>
      <c r="AQ3381" s="10"/>
      <c r="AR3381" s="19"/>
      <c r="AS3381" s="20"/>
      <c r="AT3381" s="19"/>
      <c r="AV3381" s="21">
        <f>IF(AND($AL3381&lt;&gt;"",COUNTIF($AL$11:$AL3381,$AL3381)=1),1,0)</f>
        <v>0</v>
      </c>
      <c r="AW3381" s="21">
        <f t="shared" si="191"/>
        <v>0</v>
      </c>
      <c r="AX3381" s="21" t="str">
        <f t="shared" si="190"/>
        <v/>
      </c>
      <c r="AY3381" s="21" t="str">
        <f>IF(AND($AM3381&lt;&gt;"",$AS3381&lt;&gt;"✓"),SUMPRODUCT(($AM$11:$AM3381&lt;&gt;"")*($AS$11:$AS3381&lt;&gt;"✓")),"")</f>
        <v/>
      </c>
      <c r="AZ3381" s="21" t="str">
        <f>IF(AND($AM3381&lt;&gt;"",$AS3381="✓"),SUMPRODUCT(($AM$11:$AM3381&lt;&gt;"")*($AS$11:$AS3381="✓")),"")</f>
        <v/>
      </c>
      <c r="BA3381" s="21" t="str">
        <f>IF($AL3381="","",$AL3381&amp;"|"&amp;COUNTIF($AL$11:$AL3381,$AL3381))</f>
        <v/>
      </c>
    </row>
    <row r="3382" spans="38:53" ht="15" customHeight="1" x14ac:dyDescent="0.25">
      <c r="AL3382" s="31"/>
      <c r="AM3382" s="26"/>
      <c r="AN3382" s="32"/>
      <c r="AO3382" s="32"/>
      <c r="AP3382" s="24"/>
      <c r="AQ3382" s="24"/>
      <c r="AR3382" s="33"/>
      <c r="AS3382" s="34"/>
      <c r="AT3382" s="33"/>
      <c r="AV3382" s="21">
        <f>IF(AND($AL3382&lt;&gt;"",COUNTIF($AL$11:$AL3382,$AL3382)=1),1,0)</f>
        <v>0</v>
      </c>
      <c r="AW3382" s="21">
        <f t="shared" si="191"/>
        <v>0</v>
      </c>
      <c r="AX3382" s="21" t="str">
        <f t="shared" si="190"/>
        <v/>
      </c>
      <c r="AY3382" s="21" t="str">
        <f>IF(AND($AM3382&lt;&gt;"",$AS3382&lt;&gt;"✓"),SUMPRODUCT(($AM$11:$AM3382&lt;&gt;"")*($AS$11:$AS3382&lt;&gt;"✓")),"")</f>
        <v/>
      </c>
      <c r="AZ3382" s="21" t="str">
        <f>IF(AND($AM3382&lt;&gt;"",$AS3382="✓"),SUMPRODUCT(($AM$11:$AM3382&lt;&gt;"")*($AS$11:$AS3382="✓")),"")</f>
        <v/>
      </c>
      <c r="BA3382" s="21" t="str">
        <f>IF($AL3382="","",$AL3382&amp;"|"&amp;COUNTIF($AL$11:$AL3382,$AL3382))</f>
        <v/>
      </c>
    </row>
    <row r="3383" spans="38:53" ht="15" customHeight="1" x14ac:dyDescent="0.25">
      <c r="AL3383" s="17"/>
      <c r="AM3383" s="12"/>
      <c r="AN3383" s="18"/>
      <c r="AO3383" s="18"/>
      <c r="AP3383" s="10"/>
      <c r="AQ3383" s="10"/>
      <c r="AR3383" s="19"/>
      <c r="AS3383" s="20"/>
      <c r="AT3383" s="19"/>
      <c r="AV3383" s="21">
        <f>IF(AND($AL3383&lt;&gt;"",COUNTIF($AL$11:$AL3383,$AL3383)=1),1,0)</f>
        <v>0</v>
      </c>
      <c r="AW3383" s="21">
        <f t="shared" si="191"/>
        <v>0</v>
      </c>
      <c r="AX3383" s="21" t="str">
        <f t="shared" si="190"/>
        <v/>
      </c>
      <c r="AY3383" s="21" t="str">
        <f>IF(AND($AM3383&lt;&gt;"",$AS3383&lt;&gt;"✓"),SUMPRODUCT(($AM$11:$AM3383&lt;&gt;"")*($AS$11:$AS3383&lt;&gt;"✓")),"")</f>
        <v/>
      </c>
      <c r="AZ3383" s="21" t="str">
        <f>IF(AND($AM3383&lt;&gt;"",$AS3383="✓"),SUMPRODUCT(($AM$11:$AM3383&lt;&gt;"")*($AS$11:$AS3383="✓")),"")</f>
        <v/>
      </c>
      <c r="BA3383" s="21" t="str">
        <f>IF($AL3383="","",$AL3383&amp;"|"&amp;COUNTIF($AL$11:$AL3383,$AL3383))</f>
        <v/>
      </c>
    </row>
    <row r="3384" spans="38:53" ht="15" customHeight="1" x14ac:dyDescent="0.25">
      <c r="AL3384" s="31"/>
      <c r="AM3384" s="26"/>
      <c r="AN3384" s="32"/>
      <c r="AO3384" s="32"/>
      <c r="AP3384" s="24"/>
      <c r="AQ3384" s="24"/>
      <c r="AR3384" s="33"/>
      <c r="AS3384" s="34"/>
      <c r="AT3384" s="33"/>
      <c r="AV3384" s="21">
        <f>IF(AND($AL3384&lt;&gt;"",COUNTIF($AL$11:$AL3384,$AL3384)=1),1,0)</f>
        <v>0</v>
      </c>
      <c r="AW3384" s="21">
        <f t="shared" si="191"/>
        <v>0</v>
      </c>
      <c r="AX3384" s="21" t="str">
        <f t="shared" si="190"/>
        <v/>
      </c>
      <c r="AY3384" s="21" t="str">
        <f>IF(AND($AM3384&lt;&gt;"",$AS3384&lt;&gt;"✓"),SUMPRODUCT(($AM$11:$AM3384&lt;&gt;"")*($AS$11:$AS3384&lt;&gt;"✓")),"")</f>
        <v/>
      </c>
      <c r="AZ3384" s="21" t="str">
        <f>IF(AND($AM3384&lt;&gt;"",$AS3384="✓"),SUMPRODUCT(($AM$11:$AM3384&lt;&gt;"")*($AS$11:$AS3384="✓")),"")</f>
        <v/>
      </c>
      <c r="BA3384" s="21" t="str">
        <f>IF($AL3384="","",$AL3384&amp;"|"&amp;COUNTIF($AL$11:$AL3384,$AL3384))</f>
        <v/>
      </c>
    </row>
    <row r="3385" spans="38:53" ht="15" customHeight="1" x14ac:dyDescent="0.25">
      <c r="AL3385" s="17"/>
      <c r="AM3385" s="12"/>
      <c r="AN3385" s="18"/>
      <c r="AO3385" s="18"/>
      <c r="AP3385" s="10"/>
      <c r="AQ3385" s="10"/>
      <c r="AR3385" s="19"/>
      <c r="AS3385" s="20"/>
      <c r="AT3385" s="19"/>
      <c r="AV3385" s="21">
        <f>IF(AND($AL3385&lt;&gt;"",COUNTIF($AL$11:$AL3385,$AL3385)=1),1,0)</f>
        <v>0</v>
      </c>
      <c r="AW3385" s="21">
        <f t="shared" si="191"/>
        <v>0</v>
      </c>
      <c r="AX3385" s="21" t="str">
        <f t="shared" si="190"/>
        <v/>
      </c>
      <c r="AY3385" s="21" t="str">
        <f>IF(AND($AM3385&lt;&gt;"",$AS3385&lt;&gt;"✓"),SUMPRODUCT(($AM$11:$AM3385&lt;&gt;"")*($AS$11:$AS3385&lt;&gt;"✓")),"")</f>
        <v/>
      </c>
      <c r="AZ3385" s="21" t="str">
        <f>IF(AND($AM3385&lt;&gt;"",$AS3385="✓"),SUMPRODUCT(($AM$11:$AM3385&lt;&gt;"")*($AS$11:$AS3385="✓")),"")</f>
        <v/>
      </c>
      <c r="BA3385" s="21" t="str">
        <f>IF($AL3385="","",$AL3385&amp;"|"&amp;COUNTIF($AL$11:$AL3385,$AL3385))</f>
        <v/>
      </c>
    </row>
    <row r="3386" spans="38:53" ht="15" customHeight="1" x14ac:dyDescent="0.25">
      <c r="AL3386" s="31"/>
      <c r="AM3386" s="26"/>
      <c r="AN3386" s="32"/>
      <c r="AO3386" s="32"/>
      <c r="AP3386" s="24"/>
      <c r="AQ3386" s="24"/>
      <c r="AR3386" s="33"/>
      <c r="AS3386" s="34"/>
      <c r="AT3386" s="33"/>
      <c r="AV3386" s="21">
        <f>IF(AND($AL3386&lt;&gt;"",COUNTIF($AL$11:$AL3386,$AL3386)=1),1,0)</f>
        <v>0</v>
      </c>
      <c r="AW3386" s="21">
        <f t="shared" si="191"/>
        <v>0</v>
      </c>
      <c r="AX3386" s="21" t="str">
        <f t="shared" si="190"/>
        <v/>
      </c>
      <c r="AY3386" s="21" t="str">
        <f>IF(AND($AM3386&lt;&gt;"",$AS3386&lt;&gt;"✓"),SUMPRODUCT(($AM$11:$AM3386&lt;&gt;"")*($AS$11:$AS3386&lt;&gt;"✓")),"")</f>
        <v/>
      </c>
      <c r="AZ3386" s="21" t="str">
        <f>IF(AND($AM3386&lt;&gt;"",$AS3386="✓"),SUMPRODUCT(($AM$11:$AM3386&lt;&gt;"")*($AS$11:$AS3386="✓")),"")</f>
        <v/>
      </c>
      <c r="BA3386" s="21" t="str">
        <f>IF($AL3386="","",$AL3386&amp;"|"&amp;COUNTIF($AL$11:$AL3386,$AL3386))</f>
        <v/>
      </c>
    </row>
    <row r="3387" spans="38:53" ht="15" customHeight="1" x14ac:dyDescent="0.25">
      <c r="AL3387" s="17"/>
      <c r="AM3387" s="12"/>
      <c r="AN3387" s="18"/>
      <c r="AO3387" s="18"/>
      <c r="AP3387" s="10"/>
      <c r="AQ3387" s="10"/>
      <c r="AR3387" s="19"/>
      <c r="AS3387" s="20"/>
      <c r="AT3387" s="19"/>
      <c r="AV3387" s="21">
        <f>IF(AND($AL3387&lt;&gt;"",COUNTIF($AL$11:$AL3387,$AL3387)=1),1,0)</f>
        <v>0</v>
      </c>
      <c r="AW3387" s="21">
        <f t="shared" si="191"/>
        <v>0</v>
      </c>
      <c r="AX3387" s="21" t="str">
        <f t="shared" si="190"/>
        <v/>
      </c>
      <c r="AY3387" s="21" t="str">
        <f>IF(AND($AM3387&lt;&gt;"",$AS3387&lt;&gt;"✓"),SUMPRODUCT(($AM$11:$AM3387&lt;&gt;"")*($AS$11:$AS3387&lt;&gt;"✓")),"")</f>
        <v/>
      </c>
      <c r="AZ3387" s="21" t="str">
        <f>IF(AND($AM3387&lt;&gt;"",$AS3387="✓"),SUMPRODUCT(($AM$11:$AM3387&lt;&gt;"")*($AS$11:$AS3387="✓")),"")</f>
        <v/>
      </c>
      <c r="BA3387" s="21" t="str">
        <f>IF($AL3387="","",$AL3387&amp;"|"&amp;COUNTIF($AL$11:$AL3387,$AL3387))</f>
        <v/>
      </c>
    </row>
    <row r="3388" spans="38:53" ht="15" customHeight="1" x14ac:dyDescent="0.25">
      <c r="AL3388" s="31"/>
      <c r="AM3388" s="26"/>
      <c r="AN3388" s="32"/>
      <c r="AO3388" s="32"/>
      <c r="AP3388" s="24"/>
      <c r="AQ3388" s="24"/>
      <c r="AR3388" s="33"/>
      <c r="AS3388" s="34"/>
      <c r="AT3388" s="33"/>
      <c r="AV3388" s="21">
        <f>IF(AND($AL3388&lt;&gt;"",COUNTIF($AL$11:$AL3388,$AL3388)=1),1,0)</f>
        <v>0</v>
      </c>
      <c r="AW3388" s="21">
        <f t="shared" si="191"/>
        <v>0</v>
      </c>
      <c r="AX3388" s="21" t="str">
        <f t="shared" si="190"/>
        <v/>
      </c>
      <c r="AY3388" s="21" t="str">
        <f>IF(AND($AM3388&lt;&gt;"",$AS3388&lt;&gt;"✓"),SUMPRODUCT(($AM$11:$AM3388&lt;&gt;"")*($AS$11:$AS3388&lt;&gt;"✓")),"")</f>
        <v/>
      </c>
      <c r="AZ3388" s="21" t="str">
        <f>IF(AND($AM3388&lt;&gt;"",$AS3388="✓"),SUMPRODUCT(($AM$11:$AM3388&lt;&gt;"")*($AS$11:$AS3388="✓")),"")</f>
        <v/>
      </c>
      <c r="BA3388" s="21" t="str">
        <f>IF($AL3388="","",$AL3388&amp;"|"&amp;COUNTIF($AL$11:$AL3388,$AL3388))</f>
        <v/>
      </c>
    </row>
    <row r="3389" spans="38:53" ht="15" customHeight="1" x14ac:dyDescent="0.25">
      <c r="AL3389" s="17"/>
      <c r="AM3389" s="12"/>
      <c r="AN3389" s="18"/>
      <c r="AO3389" s="18"/>
      <c r="AP3389" s="10"/>
      <c r="AQ3389" s="10"/>
      <c r="AR3389" s="19"/>
      <c r="AS3389" s="20"/>
      <c r="AT3389" s="19"/>
      <c r="AV3389" s="21">
        <f>IF(AND($AL3389&lt;&gt;"",COUNTIF($AL$11:$AL3389,$AL3389)=1),1,0)</f>
        <v>0</v>
      </c>
      <c r="AW3389" s="21">
        <f t="shared" si="191"/>
        <v>0</v>
      </c>
      <c r="AX3389" s="21" t="str">
        <f t="shared" si="190"/>
        <v/>
      </c>
      <c r="AY3389" s="21" t="str">
        <f>IF(AND($AM3389&lt;&gt;"",$AS3389&lt;&gt;"✓"),SUMPRODUCT(($AM$11:$AM3389&lt;&gt;"")*($AS$11:$AS3389&lt;&gt;"✓")),"")</f>
        <v/>
      </c>
      <c r="AZ3389" s="21" t="str">
        <f>IF(AND($AM3389&lt;&gt;"",$AS3389="✓"),SUMPRODUCT(($AM$11:$AM3389&lt;&gt;"")*($AS$11:$AS3389="✓")),"")</f>
        <v/>
      </c>
      <c r="BA3389" s="21" t="str">
        <f>IF($AL3389="","",$AL3389&amp;"|"&amp;COUNTIF($AL$11:$AL3389,$AL3389))</f>
        <v/>
      </c>
    </row>
    <row r="3390" spans="38:53" ht="15" customHeight="1" x14ac:dyDescent="0.25">
      <c r="AL3390" s="31"/>
      <c r="AM3390" s="26"/>
      <c r="AN3390" s="32"/>
      <c r="AO3390" s="32"/>
      <c r="AP3390" s="24"/>
      <c r="AQ3390" s="24"/>
      <c r="AR3390" s="33"/>
      <c r="AS3390" s="34"/>
      <c r="AT3390" s="33"/>
      <c r="AV3390" s="21">
        <f>IF(AND($AL3390&lt;&gt;"",COUNTIF($AL$11:$AL3390,$AL3390)=1),1,0)</f>
        <v>0</v>
      </c>
      <c r="AW3390" s="21">
        <f t="shared" si="191"/>
        <v>0</v>
      </c>
      <c r="AX3390" s="21" t="str">
        <f t="shared" si="190"/>
        <v/>
      </c>
      <c r="AY3390" s="21" t="str">
        <f>IF(AND($AM3390&lt;&gt;"",$AS3390&lt;&gt;"✓"),SUMPRODUCT(($AM$11:$AM3390&lt;&gt;"")*($AS$11:$AS3390&lt;&gt;"✓")),"")</f>
        <v/>
      </c>
      <c r="AZ3390" s="21" t="str">
        <f>IF(AND($AM3390&lt;&gt;"",$AS3390="✓"),SUMPRODUCT(($AM$11:$AM3390&lt;&gt;"")*($AS$11:$AS3390="✓")),"")</f>
        <v/>
      </c>
      <c r="BA3390" s="21" t="str">
        <f>IF($AL3390="","",$AL3390&amp;"|"&amp;COUNTIF($AL$11:$AL3390,$AL3390))</f>
        <v/>
      </c>
    </row>
    <row r="3391" spans="38:53" ht="15" customHeight="1" x14ac:dyDescent="0.25">
      <c r="AL3391" s="17"/>
      <c r="AM3391" s="12"/>
      <c r="AN3391" s="18"/>
      <c r="AO3391" s="18"/>
      <c r="AP3391" s="10"/>
      <c r="AQ3391" s="10"/>
      <c r="AR3391" s="19"/>
      <c r="AS3391" s="20"/>
      <c r="AT3391" s="19"/>
      <c r="AV3391" s="21">
        <f>IF(AND($AL3391&lt;&gt;"",COUNTIF($AL$11:$AL3391,$AL3391)=1),1,0)</f>
        <v>0</v>
      </c>
      <c r="AW3391" s="21">
        <f t="shared" si="191"/>
        <v>0</v>
      </c>
      <c r="AX3391" s="21" t="str">
        <f t="shared" si="190"/>
        <v/>
      </c>
      <c r="AY3391" s="21" t="str">
        <f>IF(AND($AM3391&lt;&gt;"",$AS3391&lt;&gt;"✓"),SUMPRODUCT(($AM$11:$AM3391&lt;&gt;"")*($AS$11:$AS3391&lt;&gt;"✓")),"")</f>
        <v/>
      </c>
      <c r="AZ3391" s="21" t="str">
        <f>IF(AND($AM3391&lt;&gt;"",$AS3391="✓"),SUMPRODUCT(($AM$11:$AM3391&lt;&gt;"")*($AS$11:$AS3391="✓")),"")</f>
        <v/>
      </c>
      <c r="BA3391" s="21" t="str">
        <f>IF($AL3391="","",$AL3391&amp;"|"&amp;COUNTIF($AL$11:$AL3391,$AL3391))</f>
        <v/>
      </c>
    </row>
    <row r="3392" spans="38:53" ht="15" customHeight="1" x14ac:dyDescent="0.25">
      <c r="AL3392" s="31"/>
      <c r="AM3392" s="26"/>
      <c r="AN3392" s="32"/>
      <c r="AO3392" s="32"/>
      <c r="AP3392" s="24"/>
      <c r="AQ3392" s="24"/>
      <c r="AR3392" s="33"/>
      <c r="AS3392" s="34"/>
      <c r="AT3392" s="33"/>
      <c r="AV3392" s="21">
        <f>IF(AND($AL3392&lt;&gt;"",COUNTIF($AL$11:$AL3392,$AL3392)=1),1,0)</f>
        <v>0</v>
      </c>
      <c r="AW3392" s="21">
        <f t="shared" si="191"/>
        <v>0</v>
      </c>
      <c r="AX3392" s="21" t="str">
        <f t="shared" si="190"/>
        <v/>
      </c>
      <c r="AY3392" s="21" t="str">
        <f>IF(AND($AM3392&lt;&gt;"",$AS3392&lt;&gt;"✓"),SUMPRODUCT(($AM$11:$AM3392&lt;&gt;"")*($AS$11:$AS3392&lt;&gt;"✓")),"")</f>
        <v/>
      </c>
      <c r="AZ3392" s="21" t="str">
        <f>IF(AND($AM3392&lt;&gt;"",$AS3392="✓"),SUMPRODUCT(($AM$11:$AM3392&lt;&gt;"")*($AS$11:$AS3392="✓")),"")</f>
        <v/>
      </c>
      <c r="BA3392" s="21" t="str">
        <f>IF($AL3392="","",$AL3392&amp;"|"&amp;COUNTIF($AL$11:$AL3392,$AL3392))</f>
        <v/>
      </c>
    </row>
    <row r="3393" spans="38:53" ht="15" customHeight="1" x14ac:dyDescent="0.25">
      <c r="AL3393" s="17"/>
      <c r="AM3393" s="12"/>
      <c r="AN3393" s="18"/>
      <c r="AO3393" s="18"/>
      <c r="AP3393" s="10"/>
      <c r="AQ3393" s="10"/>
      <c r="AR3393" s="19"/>
      <c r="AS3393" s="20"/>
      <c r="AT3393" s="19"/>
      <c r="AV3393" s="21">
        <f>IF(AND($AL3393&lt;&gt;"",COUNTIF($AL$11:$AL3393,$AL3393)=1),1,0)</f>
        <v>0</v>
      </c>
      <c r="AW3393" s="21">
        <f t="shared" si="191"/>
        <v>0</v>
      </c>
      <c r="AX3393" s="21" t="str">
        <f t="shared" si="190"/>
        <v/>
      </c>
      <c r="AY3393" s="21" t="str">
        <f>IF(AND($AM3393&lt;&gt;"",$AS3393&lt;&gt;"✓"),SUMPRODUCT(($AM$11:$AM3393&lt;&gt;"")*($AS$11:$AS3393&lt;&gt;"✓")),"")</f>
        <v/>
      </c>
      <c r="AZ3393" s="21" t="str">
        <f>IF(AND($AM3393&lt;&gt;"",$AS3393="✓"),SUMPRODUCT(($AM$11:$AM3393&lt;&gt;"")*($AS$11:$AS3393="✓")),"")</f>
        <v/>
      </c>
      <c r="BA3393" s="21" t="str">
        <f>IF($AL3393="","",$AL3393&amp;"|"&amp;COUNTIF($AL$11:$AL3393,$AL3393))</f>
        <v/>
      </c>
    </row>
    <row r="3394" spans="38:53" ht="15" customHeight="1" x14ac:dyDescent="0.25">
      <c r="AL3394" s="31"/>
      <c r="AM3394" s="26"/>
      <c r="AN3394" s="32"/>
      <c r="AO3394" s="32"/>
      <c r="AP3394" s="24"/>
      <c r="AQ3394" s="24"/>
      <c r="AR3394" s="33"/>
      <c r="AS3394" s="34"/>
      <c r="AT3394" s="33"/>
      <c r="AV3394" s="21">
        <f>IF(AND($AL3394&lt;&gt;"",COUNTIF($AL$11:$AL3394,$AL3394)=1),1,0)</f>
        <v>0</v>
      </c>
      <c r="AW3394" s="21">
        <f t="shared" si="191"/>
        <v>0</v>
      </c>
      <c r="AX3394" s="21" t="str">
        <f t="shared" si="190"/>
        <v/>
      </c>
      <c r="AY3394" s="21" t="str">
        <f>IF(AND($AM3394&lt;&gt;"",$AS3394&lt;&gt;"✓"),SUMPRODUCT(($AM$11:$AM3394&lt;&gt;"")*($AS$11:$AS3394&lt;&gt;"✓")),"")</f>
        <v/>
      </c>
      <c r="AZ3394" s="21" t="str">
        <f>IF(AND($AM3394&lt;&gt;"",$AS3394="✓"),SUMPRODUCT(($AM$11:$AM3394&lt;&gt;"")*($AS$11:$AS3394="✓")),"")</f>
        <v/>
      </c>
      <c r="BA3394" s="21" t="str">
        <f>IF($AL3394="","",$AL3394&amp;"|"&amp;COUNTIF($AL$11:$AL3394,$AL3394))</f>
        <v/>
      </c>
    </row>
    <row r="3395" spans="38:53" ht="15" customHeight="1" x14ac:dyDescent="0.25">
      <c r="AL3395" s="17"/>
      <c r="AM3395" s="12"/>
      <c r="AN3395" s="18"/>
      <c r="AO3395" s="18"/>
      <c r="AP3395" s="10"/>
      <c r="AQ3395" s="10"/>
      <c r="AR3395" s="19"/>
      <c r="AS3395" s="20"/>
      <c r="AT3395" s="19"/>
      <c r="AV3395" s="21">
        <f>IF(AND($AL3395&lt;&gt;"",COUNTIF($AL$11:$AL3395,$AL3395)=1),1,0)</f>
        <v>0</v>
      </c>
      <c r="AW3395" s="21">
        <f t="shared" si="191"/>
        <v>0</v>
      </c>
      <c r="AX3395" s="21" t="str">
        <f t="shared" si="190"/>
        <v/>
      </c>
      <c r="AY3395" s="21" t="str">
        <f>IF(AND($AM3395&lt;&gt;"",$AS3395&lt;&gt;"✓"),SUMPRODUCT(($AM$11:$AM3395&lt;&gt;"")*($AS$11:$AS3395&lt;&gt;"✓")),"")</f>
        <v/>
      </c>
      <c r="AZ3395" s="21" t="str">
        <f>IF(AND($AM3395&lt;&gt;"",$AS3395="✓"),SUMPRODUCT(($AM$11:$AM3395&lt;&gt;"")*($AS$11:$AS3395="✓")),"")</f>
        <v/>
      </c>
      <c r="BA3395" s="21" t="str">
        <f>IF($AL3395="","",$AL3395&amp;"|"&amp;COUNTIF($AL$11:$AL3395,$AL3395))</f>
        <v/>
      </c>
    </row>
    <row r="3396" spans="38:53" ht="15" customHeight="1" x14ac:dyDescent="0.25">
      <c r="AL3396" s="31"/>
      <c r="AM3396" s="26"/>
      <c r="AN3396" s="32"/>
      <c r="AO3396" s="32"/>
      <c r="AP3396" s="24"/>
      <c r="AQ3396" s="24"/>
      <c r="AR3396" s="33"/>
      <c r="AS3396" s="34"/>
      <c r="AT3396" s="33"/>
      <c r="AV3396" s="21">
        <f>IF(AND($AL3396&lt;&gt;"",COUNTIF($AL$11:$AL3396,$AL3396)=1),1,0)</f>
        <v>0</v>
      </c>
      <c r="AW3396" s="21">
        <f t="shared" si="191"/>
        <v>0</v>
      </c>
      <c r="AX3396" s="21" t="str">
        <f t="shared" si="190"/>
        <v/>
      </c>
      <c r="AY3396" s="21" t="str">
        <f>IF(AND($AM3396&lt;&gt;"",$AS3396&lt;&gt;"✓"),SUMPRODUCT(($AM$11:$AM3396&lt;&gt;"")*($AS$11:$AS3396&lt;&gt;"✓")),"")</f>
        <v/>
      </c>
      <c r="AZ3396" s="21" t="str">
        <f>IF(AND($AM3396&lt;&gt;"",$AS3396="✓"),SUMPRODUCT(($AM$11:$AM3396&lt;&gt;"")*($AS$11:$AS3396="✓")),"")</f>
        <v/>
      </c>
      <c r="BA3396" s="21" t="str">
        <f>IF($AL3396="","",$AL3396&amp;"|"&amp;COUNTIF($AL$11:$AL3396,$AL3396))</f>
        <v/>
      </c>
    </row>
    <row r="3397" spans="38:53" ht="15" customHeight="1" x14ac:dyDescent="0.25">
      <c r="AL3397" s="17"/>
      <c r="AM3397" s="12"/>
      <c r="AN3397" s="18"/>
      <c r="AO3397" s="18"/>
      <c r="AP3397" s="10"/>
      <c r="AQ3397" s="10"/>
      <c r="AR3397" s="19"/>
      <c r="AS3397" s="20"/>
      <c r="AT3397" s="19"/>
      <c r="AV3397" s="21">
        <f>IF(AND($AL3397&lt;&gt;"",COUNTIF($AL$11:$AL3397,$AL3397)=1),1,0)</f>
        <v>0</v>
      </c>
      <c r="AW3397" s="21">
        <f t="shared" si="191"/>
        <v>0</v>
      </c>
      <c r="AX3397" s="21" t="str">
        <f t="shared" si="190"/>
        <v/>
      </c>
      <c r="AY3397" s="21" t="str">
        <f>IF(AND($AM3397&lt;&gt;"",$AS3397&lt;&gt;"✓"),SUMPRODUCT(($AM$11:$AM3397&lt;&gt;"")*($AS$11:$AS3397&lt;&gt;"✓")),"")</f>
        <v/>
      </c>
      <c r="AZ3397" s="21" t="str">
        <f>IF(AND($AM3397&lt;&gt;"",$AS3397="✓"),SUMPRODUCT(($AM$11:$AM3397&lt;&gt;"")*($AS$11:$AS3397="✓")),"")</f>
        <v/>
      </c>
      <c r="BA3397" s="21" t="str">
        <f>IF($AL3397="","",$AL3397&amp;"|"&amp;COUNTIF($AL$11:$AL3397,$AL3397))</f>
        <v/>
      </c>
    </row>
    <row r="3398" spans="38:53" ht="15" customHeight="1" x14ac:dyDescent="0.25">
      <c r="AL3398" s="31"/>
      <c r="AM3398" s="26"/>
      <c r="AN3398" s="32"/>
      <c r="AO3398" s="32"/>
      <c r="AP3398" s="24"/>
      <c r="AQ3398" s="24"/>
      <c r="AR3398" s="33"/>
      <c r="AS3398" s="34"/>
      <c r="AT3398" s="33"/>
      <c r="AV3398" s="21">
        <f>IF(AND($AL3398&lt;&gt;"",COUNTIF($AL$11:$AL3398,$AL3398)=1),1,0)</f>
        <v>0</v>
      </c>
      <c r="AW3398" s="21">
        <f t="shared" si="191"/>
        <v>0</v>
      </c>
      <c r="AX3398" s="21" t="str">
        <f t="shared" si="190"/>
        <v/>
      </c>
      <c r="AY3398" s="21" t="str">
        <f>IF(AND($AM3398&lt;&gt;"",$AS3398&lt;&gt;"✓"),SUMPRODUCT(($AM$11:$AM3398&lt;&gt;"")*($AS$11:$AS3398&lt;&gt;"✓")),"")</f>
        <v/>
      </c>
      <c r="AZ3398" s="21" t="str">
        <f>IF(AND($AM3398&lt;&gt;"",$AS3398="✓"),SUMPRODUCT(($AM$11:$AM3398&lt;&gt;"")*($AS$11:$AS3398="✓")),"")</f>
        <v/>
      </c>
      <c r="BA3398" s="21" t="str">
        <f>IF($AL3398="","",$AL3398&amp;"|"&amp;COUNTIF($AL$11:$AL3398,$AL3398))</f>
        <v/>
      </c>
    </row>
    <row r="3399" spans="38:53" ht="15" customHeight="1" x14ac:dyDescent="0.25">
      <c r="AL3399" s="17"/>
      <c r="AM3399" s="12"/>
      <c r="AN3399" s="18"/>
      <c r="AO3399" s="18"/>
      <c r="AP3399" s="10"/>
      <c r="AQ3399" s="10"/>
      <c r="AR3399" s="19"/>
      <c r="AS3399" s="20"/>
      <c r="AT3399" s="19"/>
      <c r="AV3399" s="21">
        <f>IF(AND($AL3399&lt;&gt;"",COUNTIF($AL$11:$AL3399,$AL3399)=1),1,0)</f>
        <v>0</v>
      </c>
      <c r="AW3399" s="21">
        <f t="shared" si="191"/>
        <v>0</v>
      </c>
      <c r="AX3399" s="21" t="str">
        <f t="shared" si="190"/>
        <v/>
      </c>
      <c r="AY3399" s="21" t="str">
        <f>IF(AND($AM3399&lt;&gt;"",$AS3399&lt;&gt;"✓"),SUMPRODUCT(($AM$11:$AM3399&lt;&gt;"")*($AS$11:$AS3399&lt;&gt;"✓")),"")</f>
        <v/>
      </c>
      <c r="AZ3399" s="21" t="str">
        <f>IF(AND($AM3399&lt;&gt;"",$AS3399="✓"),SUMPRODUCT(($AM$11:$AM3399&lt;&gt;"")*($AS$11:$AS3399="✓")),"")</f>
        <v/>
      </c>
      <c r="BA3399" s="21" t="str">
        <f>IF($AL3399="","",$AL3399&amp;"|"&amp;COUNTIF($AL$11:$AL3399,$AL3399))</f>
        <v/>
      </c>
    </row>
    <row r="3400" spans="38:53" ht="15" customHeight="1" x14ac:dyDescent="0.25">
      <c r="AL3400" s="31"/>
      <c r="AM3400" s="26"/>
      <c r="AN3400" s="32"/>
      <c r="AO3400" s="32"/>
      <c r="AP3400" s="24"/>
      <c r="AQ3400" s="24"/>
      <c r="AR3400" s="33"/>
      <c r="AS3400" s="34"/>
      <c r="AT3400" s="33"/>
      <c r="AV3400" s="21">
        <f>IF(AND($AL3400&lt;&gt;"",COUNTIF($AL$11:$AL3400,$AL3400)=1),1,0)</f>
        <v>0</v>
      </c>
      <c r="AW3400" s="21">
        <f t="shared" si="191"/>
        <v>0</v>
      </c>
      <c r="AX3400" s="21" t="str">
        <f t="shared" si="190"/>
        <v/>
      </c>
      <c r="AY3400" s="21" t="str">
        <f>IF(AND($AM3400&lt;&gt;"",$AS3400&lt;&gt;"✓"),SUMPRODUCT(($AM$11:$AM3400&lt;&gt;"")*($AS$11:$AS3400&lt;&gt;"✓")),"")</f>
        <v/>
      </c>
      <c r="AZ3400" s="21" t="str">
        <f>IF(AND($AM3400&lt;&gt;"",$AS3400="✓"),SUMPRODUCT(($AM$11:$AM3400&lt;&gt;"")*($AS$11:$AS3400="✓")),"")</f>
        <v/>
      </c>
      <c r="BA3400" s="21" t="str">
        <f>IF($AL3400="","",$AL3400&amp;"|"&amp;COUNTIF($AL$11:$AL3400,$AL3400))</f>
        <v/>
      </c>
    </row>
    <row r="3401" spans="38:53" ht="15" customHeight="1" x14ac:dyDescent="0.25">
      <c r="AL3401" s="17"/>
      <c r="AM3401" s="12"/>
      <c r="AN3401" s="18"/>
      <c r="AO3401" s="18"/>
      <c r="AP3401" s="10"/>
      <c r="AQ3401" s="10"/>
      <c r="AR3401" s="19"/>
      <c r="AS3401" s="20"/>
      <c r="AT3401" s="19"/>
      <c r="AV3401" s="21">
        <f>IF(AND($AL3401&lt;&gt;"",COUNTIF($AL$11:$AL3401,$AL3401)=1),1,0)</f>
        <v>0</v>
      </c>
      <c r="AW3401" s="21">
        <f t="shared" si="191"/>
        <v>0</v>
      </c>
      <c r="AX3401" s="21" t="str">
        <f t="shared" si="190"/>
        <v/>
      </c>
      <c r="AY3401" s="21" t="str">
        <f>IF(AND($AM3401&lt;&gt;"",$AS3401&lt;&gt;"✓"),SUMPRODUCT(($AM$11:$AM3401&lt;&gt;"")*($AS$11:$AS3401&lt;&gt;"✓")),"")</f>
        <v/>
      </c>
      <c r="AZ3401" s="21" t="str">
        <f>IF(AND($AM3401&lt;&gt;"",$AS3401="✓"),SUMPRODUCT(($AM$11:$AM3401&lt;&gt;"")*($AS$11:$AS3401="✓")),"")</f>
        <v/>
      </c>
      <c r="BA3401" s="21" t="str">
        <f>IF($AL3401="","",$AL3401&amp;"|"&amp;COUNTIF($AL$11:$AL3401,$AL3401))</f>
        <v/>
      </c>
    </row>
    <row r="3402" spans="38:53" ht="15" customHeight="1" x14ac:dyDescent="0.25">
      <c r="AL3402" s="31"/>
      <c r="AM3402" s="26"/>
      <c r="AN3402" s="32"/>
      <c r="AO3402" s="32"/>
      <c r="AP3402" s="24"/>
      <c r="AQ3402" s="24"/>
      <c r="AR3402" s="33"/>
      <c r="AS3402" s="34"/>
      <c r="AT3402" s="33"/>
      <c r="AV3402" s="21">
        <f>IF(AND($AL3402&lt;&gt;"",COUNTIF($AL$11:$AL3402,$AL3402)=1),1,0)</f>
        <v>0</v>
      </c>
      <c r="AW3402" s="21">
        <f t="shared" si="191"/>
        <v>0</v>
      </c>
      <c r="AX3402" s="21" t="str">
        <f t="shared" si="190"/>
        <v/>
      </c>
      <c r="AY3402" s="21" t="str">
        <f>IF(AND($AM3402&lt;&gt;"",$AS3402&lt;&gt;"✓"),SUMPRODUCT(($AM$11:$AM3402&lt;&gt;"")*($AS$11:$AS3402&lt;&gt;"✓")),"")</f>
        <v/>
      </c>
      <c r="AZ3402" s="21" t="str">
        <f>IF(AND($AM3402&lt;&gt;"",$AS3402="✓"),SUMPRODUCT(($AM$11:$AM3402&lt;&gt;"")*($AS$11:$AS3402="✓")),"")</f>
        <v/>
      </c>
      <c r="BA3402" s="21" t="str">
        <f>IF($AL3402="","",$AL3402&amp;"|"&amp;COUNTIF($AL$11:$AL3402,$AL3402))</f>
        <v/>
      </c>
    </row>
    <row r="3403" spans="38:53" ht="15" customHeight="1" x14ac:dyDescent="0.25">
      <c r="AL3403" s="17"/>
      <c r="AM3403" s="12"/>
      <c r="AN3403" s="18"/>
      <c r="AO3403" s="18"/>
      <c r="AP3403" s="10"/>
      <c r="AQ3403" s="10"/>
      <c r="AR3403" s="19"/>
      <c r="AS3403" s="20"/>
      <c r="AT3403" s="19"/>
      <c r="AV3403" s="21">
        <f>IF(AND($AL3403&lt;&gt;"",COUNTIF($AL$11:$AL3403,$AL3403)=1),1,0)</f>
        <v>0</v>
      </c>
      <c r="AW3403" s="21">
        <f t="shared" si="191"/>
        <v>0</v>
      </c>
      <c r="AX3403" s="21" t="str">
        <f t="shared" ref="AX3403:AX3466" si="192">IF(AV3403=1,AW3403,"")</f>
        <v/>
      </c>
      <c r="AY3403" s="21" t="str">
        <f>IF(AND($AM3403&lt;&gt;"",$AS3403&lt;&gt;"✓"),SUMPRODUCT(($AM$11:$AM3403&lt;&gt;"")*($AS$11:$AS3403&lt;&gt;"✓")),"")</f>
        <v/>
      </c>
      <c r="AZ3403" s="21" t="str">
        <f>IF(AND($AM3403&lt;&gt;"",$AS3403="✓"),SUMPRODUCT(($AM$11:$AM3403&lt;&gt;"")*($AS$11:$AS3403="✓")),"")</f>
        <v/>
      </c>
      <c r="BA3403" s="21" t="str">
        <f>IF($AL3403="","",$AL3403&amp;"|"&amp;COUNTIF($AL$11:$AL3403,$AL3403))</f>
        <v/>
      </c>
    </row>
    <row r="3404" spans="38:53" ht="15" customHeight="1" x14ac:dyDescent="0.25">
      <c r="AL3404" s="31"/>
      <c r="AM3404" s="26"/>
      <c r="AN3404" s="32"/>
      <c r="AO3404" s="32"/>
      <c r="AP3404" s="24"/>
      <c r="AQ3404" s="24"/>
      <c r="AR3404" s="33"/>
      <c r="AS3404" s="34"/>
      <c r="AT3404" s="33"/>
      <c r="AV3404" s="21">
        <f>IF(AND($AL3404&lt;&gt;"",COUNTIF($AL$11:$AL3404,$AL3404)=1),1,0)</f>
        <v>0</v>
      </c>
      <c r="AW3404" s="21">
        <f t="shared" ref="AW3404:AW3467" si="193">AW3403+AV3404</f>
        <v>0</v>
      </c>
      <c r="AX3404" s="21" t="str">
        <f t="shared" si="192"/>
        <v/>
      </c>
      <c r="AY3404" s="21" t="str">
        <f>IF(AND($AM3404&lt;&gt;"",$AS3404&lt;&gt;"✓"),SUMPRODUCT(($AM$11:$AM3404&lt;&gt;"")*($AS$11:$AS3404&lt;&gt;"✓")),"")</f>
        <v/>
      </c>
      <c r="AZ3404" s="21" t="str">
        <f>IF(AND($AM3404&lt;&gt;"",$AS3404="✓"),SUMPRODUCT(($AM$11:$AM3404&lt;&gt;"")*($AS$11:$AS3404="✓")),"")</f>
        <v/>
      </c>
      <c r="BA3404" s="21" t="str">
        <f>IF($AL3404="","",$AL3404&amp;"|"&amp;COUNTIF($AL$11:$AL3404,$AL3404))</f>
        <v/>
      </c>
    </row>
    <row r="3405" spans="38:53" ht="15" customHeight="1" x14ac:dyDescent="0.25">
      <c r="AL3405" s="17"/>
      <c r="AM3405" s="12"/>
      <c r="AN3405" s="18"/>
      <c r="AO3405" s="18"/>
      <c r="AP3405" s="10"/>
      <c r="AQ3405" s="10"/>
      <c r="AR3405" s="19"/>
      <c r="AS3405" s="20"/>
      <c r="AT3405" s="19"/>
      <c r="AV3405" s="21">
        <f>IF(AND($AL3405&lt;&gt;"",COUNTIF($AL$11:$AL3405,$AL3405)=1),1,0)</f>
        <v>0</v>
      </c>
      <c r="AW3405" s="21">
        <f t="shared" si="193"/>
        <v>0</v>
      </c>
      <c r="AX3405" s="21" t="str">
        <f t="shared" si="192"/>
        <v/>
      </c>
      <c r="AY3405" s="21" t="str">
        <f>IF(AND($AM3405&lt;&gt;"",$AS3405&lt;&gt;"✓"),SUMPRODUCT(($AM$11:$AM3405&lt;&gt;"")*($AS$11:$AS3405&lt;&gt;"✓")),"")</f>
        <v/>
      </c>
      <c r="AZ3405" s="21" t="str">
        <f>IF(AND($AM3405&lt;&gt;"",$AS3405="✓"),SUMPRODUCT(($AM$11:$AM3405&lt;&gt;"")*($AS$11:$AS3405="✓")),"")</f>
        <v/>
      </c>
      <c r="BA3405" s="21" t="str">
        <f>IF($AL3405="","",$AL3405&amp;"|"&amp;COUNTIF($AL$11:$AL3405,$AL3405))</f>
        <v/>
      </c>
    </row>
    <row r="3406" spans="38:53" ht="15" customHeight="1" x14ac:dyDescent="0.25">
      <c r="AL3406" s="31"/>
      <c r="AM3406" s="26"/>
      <c r="AN3406" s="32"/>
      <c r="AO3406" s="32"/>
      <c r="AP3406" s="24"/>
      <c r="AQ3406" s="24"/>
      <c r="AR3406" s="33"/>
      <c r="AS3406" s="34"/>
      <c r="AT3406" s="33"/>
      <c r="AV3406" s="21">
        <f>IF(AND($AL3406&lt;&gt;"",COUNTIF($AL$11:$AL3406,$AL3406)=1),1,0)</f>
        <v>0</v>
      </c>
      <c r="AW3406" s="21">
        <f t="shared" si="193"/>
        <v>0</v>
      </c>
      <c r="AX3406" s="21" t="str">
        <f t="shared" si="192"/>
        <v/>
      </c>
      <c r="AY3406" s="21" t="str">
        <f>IF(AND($AM3406&lt;&gt;"",$AS3406&lt;&gt;"✓"),SUMPRODUCT(($AM$11:$AM3406&lt;&gt;"")*($AS$11:$AS3406&lt;&gt;"✓")),"")</f>
        <v/>
      </c>
      <c r="AZ3406" s="21" t="str">
        <f>IF(AND($AM3406&lt;&gt;"",$AS3406="✓"),SUMPRODUCT(($AM$11:$AM3406&lt;&gt;"")*($AS$11:$AS3406="✓")),"")</f>
        <v/>
      </c>
      <c r="BA3406" s="21" t="str">
        <f>IF($AL3406="","",$AL3406&amp;"|"&amp;COUNTIF($AL$11:$AL3406,$AL3406))</f>
        <v/>
      </c>
    </row>
    <row r="3407" spans="38:53" ht="15" customHeight="1" x14ac:dyDescent="0.25">
      <c r="AL3407" s="17"/>
      <c r="AM3407" s="12"/>
      <c r="AN3407" s="18"/>
      <c r="AO3407" s="18"/>
      <c r="AP3407" s="10"/>
      <c r="AQ3407" s="10"/>
      <c r="AR3407" s="19"/>
      <c r="AS3407" s="20"/>
      <c r="AT3407" s="19"/>
      <c r="AV3407" s="21">
        <f>IF(AND($AL3407&lt;&gt;"",COUNTIF($AL$11:$AL3407,$AL3407)=1),1,0)</f>
        <v>0</v>
      </c>
      <c r="AW3407" s="21">
        <f t="shared" si="193"/>
        <v>0</v>
      </c>
      <c r="AX3407" s="21" t="str">
        <f t="shared" si="192"/>
        <v/>
      </c>
      <c r="AY3407" s="21" t="str">
        <f>IF(AND($AM3407&lt;&gt;"",$AS3407&lt;&gt;"✓"),SUMPRODUCT(($AM$11:$AM3407&lt;&gt;"")*($AS$11:$AS3407&lt;&gt;"✓")),"")</f>
        <v/>
      </c>
      <c r="AZ3407" s="21" t="str">
        <f>IF(AND($AM3407&lt;&gt;"",$AS3407="✓"),SUMPRODUCT(($AM$11:$AM3407&lt;&gt;"")*($AS$11:$AS3407="✓")),"")</f>
        <v/>
      </c>
      <c r="BA3407" s="21" t="str">
        <f>IF($AL3407="","",$AL3407&amp;"|"&amp;COUNTIF($AL$11:$AL3407,$AL3407))</f>
        <v/>
      </c>
    </row>
    <row r="3408" spans="38:53" ht="15" customHeight="1" x14ac:dyDescent="0.25">
      <c r="AL3408" s="31"/>
      <c r="AM3408" s="26"/>
      <c r="AN3408" s="32"/>
      <c r="AO3408" s="32"/>
      <c r="AP3408" s="24"/>
      <c r="AQ3408" s="24"/>
      <c r="AR3408" s="33"/>
      <c r="AS3408" s="34"/>
      <c r="AT3408" s="33"/>
      <c r="AV3408" s="21">
        <f>IF(AND($AL3408&lt;&gt;"",COUNTIF($AL$11:$AL3408,$AL3408)=1),1,0)</f>
        <v>0</v>
      </c>
      <c r="AW3408" s="21">
        <f t="shared" si="193"/>
        <v>0</v>
      </c>
      <c r="AX3408" s="21" t="str">
        <f t="shared" si="192"/>
        <v/>
      </c>
      <c r="AY3408" s="21" t="str">
        <f>IF(AND($AM3408&lt;&gt;"",$AS3408&lt;&gt;"✓"),SUMPRODUCT(($AM$11:$AM3408&lt;&gt;"")*($AS$11:$AS3408&lt;&gt;"✓")),"")</f>
        <v/>
      </c>
      <c r="AZ3408" s="21" t="str">
        <f>IF(AND($AM3408&lt;&gt;"",$AS3408="✓"),SUMPRODUCT(($AM$11:$AM3408&lt;&gt;"")*($AS$11:$AS3408="✓")),"")</f>
        <v/>
      </c>
      <c r="BA3408" s="21" t="str">
        <f>IF($AL3408="","",$AL3408&amp;"|"&amp;COUNTIF($AL$11:$AL3408,$AL3408))</f>
        <v/>
      </c>
    </row>
    <row r="3409" spans="38:53" ht="15" customHeight="1" x14ac:dyDescent="0.25">
      <c r="AL3409" s="17"/>
      <c r="AM3409" s="12"/>
      <c r="AN3409" s="18"/>
      <c r="AO3409" s="18"/>
      <c r="AP3409" s="10"/>
      <c r="AQ3409" s="10"/>
      <c r="AR3409" s="19"/>
      <c r="AS3409" s="20"/>
      <c r="AT3409" s="19"/>
      <c r="AV3409" s="21">
        <f>IF(AND($AL3409&lt;&gt;"",COUNTIF($AL$11:$AL3409,$AL3409)=1),1,0)</f>
        <v>0</v>
      </c>
      <c r="AW3409" s="21">
        <f t="shared" si="193"/>
        <v>0</v>
      </c>
      <c r="AX3409" s="21" t="str">
        <f t="shared" si="192"/>
        <v/>
      </c>
      <c r="AY3409" s="21" t="str">
        <f>IF(AND($AM3409&lt;&gt;"",$AS3409&lt;&gt;"✓"),SUMPRODUCT(($AM$11:$AM3409&lt;&gt;"")*($AS$11:$AS3409&lt;&gt;"✓")),"")</f>
        <v/>
      </c>
      <c r="AZ3409" s="21" t="str">
        <f>IF(AND($AM3409&lt;&gt;"",$AS3409="✓"),SUMPRODUCT(($AM$11:$AM3409&lt;&gt;"")*($AS$11:$AS3409="✓")),"")</f>
        <v/>
      </c>
      <c r="BA3409" s="21" t="str">
        <f>IF($AL3409="","",$AL3409&amp;"|"&amp;COUNTIF($AL$11:$AL3409,$AL3409))</f>
        <v/>
      </c>
    </row>
    <row r="3410" spans="38:53" ht="15" customHeight="1" x14ac:dyDescent="0.25">
      <c r="AL3410" s="31"/>
      <c r="AM3410" s="26"/>
      <c r="AN3410" s="32"/>
      <c r="AO3410" s="32"/>
      <c r="AP3410" s="24"/>
      <c r="AQ3410" s="24"/>
      <c r="AR3410" s="33"/>
      <c r="AS3410" s="34"/>
      <c r="AT3410" s="33"/>
      <c r="AV3410" s="21">
        <f>IF(AND($AL3410&lt;&gt;"",COUNTIF($AL$11:$AL3410,$AL3410)=1),1,0)</f>
        <v>0</v>
      </c>
      <c r="AW3410" s="21">
        <f t="shared" si="193"/>
        <v>0</v>
      </c>
      <c r="AX3410" s="21" t="str">
        <f t="shared" si="192"/>
        <v/>
      </c>
      <c r="AY3410" s="21" t="str">
        <f>IF(AND($AM3410&lt;&gt;"",$AS3410&lt;&gt;"✓"),SUMPRODUCT(($AM$11:$AM3410&lt;&gt;"")*($AS$11:$AS3410&lt;&gt;"✓")),"")</f>
        <v/>
      </c>
      <c r="AZ3410" s="21" t="str">
        <f>IF(AND($AM3410&lt;&gt;"",$AS3410="✓"),SUMPRODUCT(($AM$11:$AM3410&lt;&gt;"")*($AS$11:$AS3410="✓")),"")</f>
        <v/>
      </c>
      <c r="BA3410" s="21" t="str">
        <f>IF($AL3410="","",$AL3410&amp;"|"&amp;COUNTIF($AL$11:$AL3410,$AL3410))</f>
        <v/>
      </c>
    </row>
    <row r="3411" spans="38:53" ht="15" customHeight="1" x14ac:dyDescent="0.25">
      <c r="AL3411" s="17"/>
      <c r="AM3411" s="12"/>
      <c r="AN3411" s="18"/>
      <c r="AO3411" s="18"/>
      <c r="AP3411" s="10"/>
      <c r="AQ3411" s="10"/>
      <c r="AR3411" s="19"/>
      <c r="AS3411" s="20"/>
      <c r="AT3411" s="19"/>
      <c r="AV3411" s="21">
        <f>IF(AND($AL3411&lt;&gt;"",COUNTIF($AL$11:$AL3411,$AL3411)=1),1,0)</f>
        <v>0</v>
      </c>
      <c r="AW3411" s="21">
        <f t="shared" si="193"/>
        <v>0</v>
      </c>
      <c r="AX3411" s="21" t="str">
        <f t="shared" si="192"/>
        <v/>
      </c>
      <c r="AY3411" s="21" t="str">
        <f>IF(AND($AM3411&lt;&gt;"",$AS3411&lt;&gt;"✓"),SUMPRODUCT(($AM$11:$AM3411&lt;&gt;"")*($AS$11:$AS3411&lt;&gt;"✓")),"")</f>
        <v/>
      </c>
      <c r="AZ3411" s="21" t="str">
        <f>IF(AND($AM3411&lt;&gt;"",$AS3411="✓"),SUMPRODUCT(($AM$11:$AM3411&lt;&gt;"")*($AS$11:$AS3411="✓")),"")</f>
        <v/>
      </c>
      <c r="BA3411" s="21" t="str">
        <f>IF($AL3411="","",$AL3411&amp;"|"&amp;COUNTIF($AL$11:$AL3411,$AL3411))</f>
        <v/>
      </c>
    </row>
    <row r="3412" spans="38:53" ht="15" customHeight="1" x14ac:dyDescent="0.25">
      <c r="AL3412" s="31"/>
      <c r="AM3412" s="26"/>
      <c r="AN3412" s="32"/>
      <c r="AO3412" s="32"/>
      <c r="AP3412" s="24"/>
      <c r="AQ3412" s="24"/>
      <c r="AR3412" s="33"/>
      <c r="AS3412" s="34"/>
      <c r="AT3412" s="33"/>
      <c r="AV3412" s="21">
        <f>IF(AND($AL3412&lt;&gt;"",COUNTIF($AL$11:$AL3412,$AL3412)=1),1,0)</f>
        <v>0</v>
      </c>
      <c r="AW3412" s="21">
        <f t="shared" si="193"/>
        <v>0</v>
      </c>
      <c r="AX3412" s="21" t="str">
        <f t="shared" si="192"/>
        <v/>
      </c>
      <c r="AY3412" s="21" t="str">
        <f>IF(AND($AM3412&lt;&gt;"",$AS3412&lt;&gt;"✓"),SUMPRODUCT(($AM$11:$AM3412&lt;&gt;"")*($AS$11:$AS3412&lt;&gt;"✓")),"")</f>
        <v/>
      </c>
      <c r="AZ3412" s="21" t="str">
        <f>IF(AND($AM3412&lt;&gt;"",$AS3412="✓"),SUMPRODUCT(($AM$11:$AM3412&lt;&gt;"")*($AS$11:$AS3412="✓")),"")</f>
        <v/>
      </c>
      <c r="BA3412" s="21" t="str">
        <f>IF($AL3412="","",$AL3412&amp;"|"&amp;COUNTIF($AL$11:$AL3412,$AL3412))</f>
        <v/>
      </c>
    </row>
    <row r="3413" spans="38:53" ht="15" customHeight="1" x14ac:dyDescent="0.25">
      <c r="AL3413" s="17"/>
      <c r="AM3413" s="12"/>
      <c r="AN3413" s="18"/>
      <c r="AO3413" s="18"/>
      <c r="AP3413" s="10"/>
      <c r="AQ3413" s="10"/>
      <c r="AR3413" s="19"/>
      <c r="AS3413" s="20"/>
      <c r="AT3413" s="19"/>
      <c r="AV3413" s="21">
        <f>IF(AND($AL3413&lt;&gt;"",COUNTIF($AL$11:$AL3413,$AL3413)=1),1,0)</f>
        <v>0</v>
      </c>
      <c r="AW3413" s="21">
        <f t="shared" si="193"/>
        <v>0</v>
      </c>
      <c r="AX3413" s="21" t="str">
        <f t="shared" si="192"/>
        <v/>
      </c>
      <c r="AY3413" s="21" t="str">
        <f>IF(AND($AM3413&lt;&gt;"",$AS3413&lt;&gt;"✓"),SUMPRODUCT(($AM$11:$AM3413&lt;&gt;"")*($AS$11:$AS3413&lt;&gt;"✓")),"")</f>
        <v/>
      </c>
      <c r="AZ3413" s="21" t="str">
        <f>IF(AND($AM3413&lt;&gt;"",$AS3413="✓"),SUMPRODUCT(($AM$11:$AM3413&lt;&gt;"")*($AS$11:$AS3413="✓")),"")</f>
        <v/>
      </c>
      <c r="BA3413" s="21" t="str">
        <f>IF($AL3413="","",$AL3413&amp;"|"&amp;COUNTIF($AL$11:$AL3413,$AL3413))</f>
        <v/>
      </c>
    </row>
    <row r="3414" spans="38:53" ht="15" customHeight="1" x14ac:dyDescent="0.25">
      <c r="AL3414" s="31"/>
      <c r="AM3414" s="26"/>
      <c r="AN3414" s="32"/>
      <c r="AO3414" s="32"/>
      <c r="AP3414" s="24"/>
      <c r="AQ3414" s="24"/>
      <c r="AR3414" s="33"/>
      <c r="AS3414" s="34"/>
      <c r="AT3414" s="33"/>
      <c r="AV3414" s="21">
        <f>IF(AND($AL3414&lt;&gt;"",COUNTIF($AL$11:$AL3414,$AL3414)=1),1,0)</f>
        <v>0</v>
      </c>
      <c r="AW3414" s="21">
        <f t="shared" si="193"/>
        <v>0</v>
      </c>
      <c r="AX3414" s="21" t="str">
        <f t="shared" si="192"/>
        <v/>
      </c>
      <c r="AY3414" s="21" t="str">
        <f>IF(AND($AM3414&lt;&gt;"",$AS3414&lt;&gt;"✓"),SUMPRODUCT(($AM$11:$AM3414&lt;&gt;"")*($AS$11:$AS3414&lt;&gt;"✓")),"")</f>
        <v/>
      </c>
      <c r="AZ3414" s="21" t="str">
        <f>IF(AND($AM3414&lt;&gt;"",$AS3414="✓"),SUMPRODUCT(($AM$11:$AM3414&lt;&gt;"")*($AS$11:$AS3414="✓")),"")</f>
        <v/>
      </c>
      <c r="BA3414" s="21" t="str">
        <f>IF($AL3414="","",$AL3414&amp;"|"&amp;COUNTIF($AL$11:$AL3414,$AL3414))</f>
        <v/>
      </c>
    </row>
    <row r="3415" spans="38:53" ht="15" customHeight="1" x14ac:dyDescent="0.25">
      <c r="AL3415" s="17"/>
      <c r="AM3415" s="12"/>
      <c r="AN3415" s="18"/>
      <c r="AO3415" s="18"/>
      <c r="AP3415" s="10"/>
      <c r="AQ3415" s="10"/>
      <c r="AR3415" s="19"/>
      <c r="AS3415" s="20"/>
      <c r="AT3415" s="19"/>
      <c r="AV3415" s="21">
        <f>IF(AND($AL3415&lt;&gt;"",COUNTIF($AL$11:$AL3415,$AL3415)=1),1,0)</f>
        <v>0</v>
      </c>
      <c r="AW3415" s="21">
        <f t="shared" si="193"/>
        <v>0</v>
      </c>
      <c r="AX3415" s="21" t="str">
        <f t="shared" si="192"/>
        <v/>
      </c>
      <c r="AY3415" s="21" t="str">
        <f>IF(AND($AM3415&lt;&gt;"",$AS3415&lt;&gt;"✓"),SUMPRODUCT(($AM$11:$AM3415&lt;&gt;"")*($AS$11:$AS3415&lt;&gt;"✓")),"")</f>
        <v/>
      </c>
      <c r="AZ3415" s="21" t="str">
        <f>IF(AND($AM3415&lt;&gt;"",$AS3415="✓"),SUMPRODUCT(($AM$11:$AM3415&lt;&gt;"")*($AS$11:$AS3415="✓")),"")</f>
        <v/>
      </c>
      <c r="BA3415" s="21" t="str">
        <f>IF($AL3415="","",$AL3415&amp;"|"&amp;COUNTIF($AL$11:$AL3415,$AL3415))</f>
        <v/>
      </c>
    </row>
    <row r="3416" spans="38:53" ht="15" customHeight="1" x14ac:dyDescent="0.25">
      <c r="AL3416" s="31"/>
      <c r="AM3416" s="26"/>
      <c r="AN3416" s="32"/>
      <c r="AO3416" s="32"/>
      <c r="AP3416" s="24"/>
      <c r="AQ3416" s="24"/>
      <c r="AR3416" s="33"/>
      <c r="AS3416" s="34"/>
      <c r="AT3416" s="33"/>
      <c r="AV3416" s="21">
        <f>IF(AND($AL3416&lt;&gt;"",COUNTIF($AL$11:$AL3416,$AL3416)=1),1,0)</f>
        <v>0</v>
      </c>
      <c r="AW3416" s="21">
        <f t="shared" si="193"/>
        <v>0</v>
      </c>
      <c r="AX3416" s="21" t="str">
        <f t="shared" si="192"/>
        <v/>
      </c>
      <c r="AY3416" s="21" t="str">
        <f>IF(AND($AM3416&lt;&gt;"",$AS3416&lt;&gt;"✓"),SUMPRODUCT(($AM$11:$AM3416&lt;&gt;"")*($AS$11:$AS3416&lt;&gt;"✓")),"")</f>
        <v/>
      </c>
      <c r="AZ3416" s="21" t="str">
        <f>IF(AND($AM3416&lt;&gt;"",$AS3416="✓"),SUMPRODUCT(($AM$11:$AM3416&lt;&gt;"")*($AS$11:$AS3416="✓")),"")</f>
        <v/>
      </c>
      <c r="BA3416" s="21" t="str">
        <f>IF($AL3416="","",$AL3416&amp;"|"&amp;COUNTIF($AL$11:$AL3416,$AL3416))</f>
        <v/>
      </c>
    </row>
    <row r="3417" spans="38:53" ht="15" customHeight="1" x14ac:dyDescent="0.25">
      <c r="AL3417" s="17"/>
      <c r="AM3417" s="12"/>
      <c r="AN3417" s="18"/>
      <c r="AO3417" s="18"/>
      <c r="AP3417" s="10"/>
      <c r="AQ3417" s="10"/>
      <c r="AR3417" s="19"/>
      <c r="AS3417" s="20"/>
      <c r="AT3417" s="19"/>
      <c r="AV3417" s="21">
        <f>IF(AND($AL3417&lt;&gt;"",COUNTIF($AL$11:$AL3417,$AL3417)=1),1,0)</f>
        <v>0</v>
      </c>
      <c r="AW3417" s="21">
        <f t="shared" si="193"/>
        <v>0</v>
      </c>
      <c r="AX3417" s="21" t="str">
        <f t="shared" si="192"/>
        <v/>
      </c>
      <c r="AY3417" s="21" t="str">
        <f>IF(AND($AM3417&lt;&gt;"",$AS3417&lt;&gt;"✓"),SUMPRODUCT(($AM$11:$AM3417&lt;&gt;"")*($AS$11:$AS3417&lt;&gt;"✓")),"")</f>
        <v/>
      </c>
      <c r="AZ3417" s="21" t="str">
        <f>IF(AND($AM3417&lt;&gt;"",$AS3417="✓"),SUMPRODUCT(($AM$11:$AM3417&lt;&gt;"")*($AS$11:$AS3417="✓")),"")</f>
        <v/>
      </c>
      <c r="BA3417" s="21" t="str">
        <f>IF($AL3417="","",$AL3417&amp;"|"&amp;COUNTIF($AL$11:$AL3417,$AL3417))</f>
        <v/>
      </c>
    </row>
    <row r="3418" spans="38:53" ht="15" customHeight="1" x14ac:dyDescent="0.25">
      <c r="AL3418" s="31"/>
      <c r="AM3418" s="26"/>
      <c r="AN3418" s="32"/>
      <c r="AO3418" s="32"/>
      <c r="AP3418" s="24"/>
      <c r="AQ3418" s="24"/>
      <c r="AR3418" s="33"/>
      <c r="AS3418" s="34"/>
      <c r="AT3418" s="33"/>
      <c r="AV3418" s="21">
        <f>IF(AND($AL3418&lt;&gt;"",COUNTIF($AL$11:$AL3418,$AL3418)=1),1,0)</f>
        <v>0</v>
      </c>
      <c r="AW3418" s="21">
        <f t="shared" si="193"/>
        <v>0</v>
      </c>
      <c r="AX3418" s="21" t="str">
        <f t="shared" si="192"/>
        <v/>
      </c>
      <c r="AY3418" s="21" t="str">
        <f>IF(AND($AM3418&lt;&gt;"",$AS3418&lt;&gt;"✓"),SUMPRODUCT(($AM$11:$AM3418&lt;&gt;"")*($AS$11:$AS3418&lt;&gt;"✓")),"")</f>
        <v/>
      </c>
      <c r="AZ3418" s="21" t="str">
        <f>IF(AND($AM3418&lt;&gt;"",$AS3418="✓"),SUMPRODUCT(($AM$11:$AM3418&lt;&gt;"")*($AS$11:$AS3418="✓")),"")</f>
        <v/>
      </c>
      <c r="BA3418" s="21" t="str">
        <f>IF($AL3418="","",$AL3418&amp;"|"&amp;COUNTIF($AL$11:$AL3418,$AL3418))</f>
        <v/>
      </c>
    </row>
    <row r="3419" spans="38:53" ht="15" customHeight="1" x14ac:dyDescent="0.25">
      <c r="AL3419" s="17"/>
      <c r="AM3419" s="12"/>
      <c r="AN3419" s="18"/>
      <c r="AO3419" s="18"/>
      <c r="AP3419" s="10"/>
      <c r="AQ3419" s="10"/>
      <c r="AR3419" s="19"/>
      <c r="AS3419" s="20"/>
      <c r="AT3419" s="19"/>
      <c r="AV3419" s="21">
        <f>IF(AND($AL3419&lt;&gt;"",COUNTIF($AL$11:$AL3419,$AL3419)=1),1,0)</f>
        <v>0</v>
      </c>
      <c r="AW3419" s="21">
        <f t="shared" si="193"/>
        <v>0</v>
      </c>
      <c r="AX3419" s="21" t="str">
        <f t="shared" si="192"/>
        <v/>
      </c>
      <c r="AY3419" s="21" t="str">
        <f>IF(AND($AM3419&lt;&gt;"",$AS3419&lt;&gt;"✓"),SUMPRODUCT(($AM$11:$AM3419&lt;&gt;"")*($AS$11:$AS3419&lt;&gt;"✓")),"")</f>
        <v/>
      </c>
      <c r="AZ3419" s="21" t="str">
        <f>IF(AND($AM3419&lt;&gt;"",$AS3419="✓"),SUMPRODUCT(($AM$11:$AM3419&lt;&gt;"")*($AS$11:$AS3419="✓")),"")</f>
        <v/>
      </c>
      <c r="BA3419" s="21" t="str">
        <f>IF($AL3419="","",$AL3419&amp;"|"&amp;COUNTIF($AL$11:$AL3419,$AL3419))</f>
        <v/>
      </c>
    </row>
    <row r="3420" spans="38:53" ht="15" customHeight="1" x14ac:dyDescent="0.25">
      <c r="AL3420" s="31"/>
      <c r="AM3420" s="26"/>
      <c r="AN3420" s="32"/>
      <c r="AO3420" s="32"/>
      <c r="AP3420" s="24"/>
      <c r="AQ3420" s="24"/>
      <c r="AR3420" s="33"/>
      <c r="AS3420" s="34"/>
      <c r="AT3420" s="33"/>
      <c r="AV3420" s="21">
        <f>IF(AND($AL3420&lt;&gt;"",COUNTIF($AL$11:$AL3420,$AL3420)=1),1,0)</f>
        <v>0</v>
      </c>
      <c r="AW3420" s="21">
        <f t="shared" si="193"/>
        <v>0</v>
      </c>
      <c r="AX3420" s="21" t="str">
        <f t="shared" si="192"/>
        <v/>
      </c>
      <c r="AY3420" s="21" t="str">
        <f>IF(AND($AM3420&lt;&gt;"",$AS3420&lt;&gt;"✓"),SUMPRODUCT(($AM$11:$AM3420&lt;&gt;"")*($AS$11:$AS3420&lt;&gt;"✓")),"")</f>
        <v/>
      </c>
      <c r="AZ3420" s="21" t="str">
        <f>IF(AND($AM3420&lt;&gt;"",$AS3420="✓"),SUMPRODUCT(($AM$11:$AM3420&lt;&gt;"")*($AS$11:$AS3420="✓")),"")</f>
        <v/>
      </c>
      <c r="BA3420" s="21" t="str">
        <f>IF($AL3420="","",$AL3420&amp;"|"&amp;COUNTIF($AL$11:$AL3420,$AL3420))</f>
        <v/>
      </c>
    </row>
    <row r="3421" spans="38:53" ht="15" customHeight="1" x14ac:dyDescent="0.25">
      <c r="AL3421" s="17"/>
      <c r="AM3421" s="12"/>
      <c r="AN3421" s="18"/>
      <c r="AO3421" s="18"/>
      <c r="AP3421" s="10"/>
      <c r="AQ3421" s="10"/>
      <c r="AR3421" s="19"/>
      <c r="AS3421" s="20"/>
      <c r="AT3421" s="19"/>
      <c r="AV3421" s="21">
        <f>IF(AND($AL3421&lt;&gt;"",COUNTIF($AL$11:$AL3421,$AL3421)=1),1,0)</f>
        <v>0</v>
      </c>
      <c r="AW3421" s="21">
        <f t="shared" si="193"/>
        <v>0</v>
      </c>
      <c r="AX3421" s="21" t="str">
        <f t="shared" si="192"/>
        <v/>
      </c>
      <c r="AY3421" s="21" t="str">
        <f>IF(AND($AM3421&lt;&gt;"",$AS3421&lt;&gt;"✓"),SUMPRODUCT(($AM$11:$AM3421&lt;&gt;"")*($AS$11:$AS3421&lt;&gt;"✓")),"")</f>
        <v/>
      </c>
      <c r="AZ3421" s="21" t="str">
        <f>IF(AND($AM3421&lt;&gt;"",$AS3421="✓"),SUMPRODUCT(($AM$11:$AM3421&lt;&gt;"")*($AS$11:$AS3421="✓")),"")</f>
        <v/>
      </c>
      <c r="BA3421" s="21" t="str">
        <f>IF($AL3421="","",$AL3421&amp;"|"&amp;COUNTIF($AL$11:$AL3421,$AL3421))</f>
        <v/>
      </c>
    </row>
    <row r="3422" spans="38:53" ht="15" customHeight="1" x14ac:dyDescent="0.25">
      <c r="AL3422" s="31"/>
      <c r="AM3422" s="26"/>
      <c r="AN3422" s="32"/>
      <c r="AO3422" s="32"/>
      <c r="AP3422" s="24"/>
      <c r="AQ3422" s="24"/>
      <c r="AR3422" s="33"/>
      <c r="AS3422" s="34"/>
      <c r="AT3422" s="33"/>
      <c r="AV3422" s="21">
        <f>IF(AND($AL3422&lt;&gt;"",COUNTIF($AL$11:$AL3422,$AL3422)=1),1,0)</f>
        <v>0</v>
      </c>
      <c r="AW3422" s="21">
        <f t="shared" si="193"/>
        <v>0</v>
      </c>
      <c r="AX3422" s="21" t="str">
        <f t="shared" si="192"/>
        <v/>
      </c>
      <c r="AY3422" s="21" t="str">
        <f>IF(AND($AM3422&lt;&gt;"",$AS3422&lt;&gt;"✓"),SUMPRODUCT(($AM$11:$AM3422&lt;&gt;"")*($AS$11:$AS3422&lt;&gt;"✓")),"")</f>
        <v/>
      </c>
      <c r="AZ3422" s="21" t="str">
        <f>IF(AND($AM3422&lt;&gt;"",$AS3422="✓"),SUMPRODUCT(($AM$11:$AM3422&lt;&gt;"")*($AS$11:$AS3422="✓")),"")</f>
        <v/>
      </c>
      <c r="BA3422" s="21" t="str">
        <f>IF($AL3422="","",$AL3422&amp;"|"&amp;COUNTIF($AL$11:$AL3422,$AL3422))</f>
        <v/>
      </c>
    </row>
    <row r="3423" spans="38:53" ht="15" customHeight="1" x14ac:dyDescent="0.25">
      <c r="AL3423" s="17"/>
      <c r="AM3423" s="12"/>
      <c r="AN3423" s="18"/>
      <c r="AO3423" s="18"/>
      <c r="AP3423" s="10"/>
      <c r="AQ3423" s="10"/>
      <c r="AR3423" s="19"/>
      <c r="AS3423" s="20"/>
      <c r="AT3423" s="19"/>
      <c r="AV3423" s="21">
        <f>IF(AND($AL3423&lt;&gt;"",COUNTIF($AL$11:$AL3423,$AL3423)=1),1,0)</f>
        <v>0</v>
      </c>
      <c r="AW3423" s="21">
        <f t="shared" si="193"/>
        <v>0</v>
      </c>
      <c r="AX3423" s="21" t="str">
        <f t="shared" si="192"/>
        <v/>
      </c>
      <c r="AY3423" s="21" t="str">
        <f>IF(AND($AM3423&lt;&gt;"",$AS3423&lt;&gt;"✓"),SUMPRODUCT(($AM$11:$AM3423&lt;&gt;"")*($AS$11:$AS3423&lt;&gt;"✓")),"")</f>
        <v/>
      </c>
      <c r="AZ3423" s="21" t="str">
        <f>IF(AND($AM3423&lt;&gt;"",$AS3423="✓"),SUMPRODUCT(($AM$11:$AM3423&lt;&gt;"")*($AS$11:$AS3423="✓")),"")</f>
        <v/>
      </c>
      <c r="BA3423" s="21" t="str">
        <f>IF($AL3423="","",$AL3423&amp;"|"&amp;COUNTIF($AL$11:$AL3423,$AL3423))</f>
        <v/>
      </c>
    </row>
    <row r="3424" spans="38:53" ht="15" customHeight="1" x14ac:dyDescent="0.25">
      <c r="AL3424" s="31"/>
      <c r="AM3424" s="26"/>
      <c r="AN3424" s="32"/>
      <c r="AO3424" s="32"/>
      <c r="AP3424" s="24"/>
      <c r="AQ3424" s="24"/>
      <c r="AR3424" s="33"/>
      <c r="AS3424" s="34"/>
      <c r="AT3424" s="33"/>
      <c r="AV3424" s="21">
        <f>IF(AND($AL3424&lt;&gt;"",COUNTIF($AL$11:$AL3424,$AL3424)=1),1,0)</f>
        <v>0</v>
      </c>
      <c r="AW3424" s="21">
        <f t="shared" si="193"/>
        <v>0</v>
      </c>
      <c r="AX3424" s="21" t="str">
        <f t="shared" si="192"/>
        <v/>
      </c>
      <c r="AY3424" s="21" t="str">
        <f>IF(AND($AM3424&lt;&gt;"",$AS3424&lt;&gt;"✓"),SUMPRODUCT(($AM$11:$AM3424&lt;&gt;"")*($AS$11:$AS3424&lt;&gt;"✓")),"")</f>
        <v/>
      </c>
      <c r="AZ3424" s="21" t="str">
        <f>IF(AND($AM3424&lt;&gt;"",$AS3424="✓"),SUMPRODUCT(($AM$11:$AM3424&lt;&gt;"")*($AS$11:$AS3424="✓")),"")</f>
        <v/>
      </c>
      <c r="BA3424" s="21" t="str">
        <f>IF($AL3424="","",$AL3424&amp;"|"&amp;COUNTIF($AL$11:$AL3424,$AL3424))</f>
        <v/>
      </c>
    </row>
    <row r="3425" spans="38:53" ht="15" customHeight="1" x14ac:dyDescent="0.25">
      <c r="AL3425" s="17"/>
      <c r="AM3425" s="12"/>
      <c r="AN3425" s="18"/>
      <c r="AO3425" s="18"/>
      <c r="AP3425" s="10"/>
      <c r="AQ3425" s="10"/>
      <c r="AR3425" s="19"/>
      <c r="AS3425" s="20"/>
      <c r="AT3425" s="19"/>
      <c r="AV3425" s="21">
        <f>IF(AND($AL3425&lt;&gt;"",COUNTIF($AL$11:$AL3425,$AL3425)=1),1,0)</f>
        <v>0</v>
      </c>
      <c r="AW3425" s="21">
        <f t="shared" si="193"/>
        <v>0</v>
      </c>
      <c r="AX3425" s="21" t="str">
        <f t="shared" si="192"/>
        <v/>
      </c>
      <c r="AY3425" s="21" t="str">
        <f>IF(AND($AM3425&lt;&gt;"",$AS3425&lt;&gt;"✓"),SUMPRODUCT(($AM$11:$AM3425&lt;&gt;"")*($AS$11:$AS3425&lt;&gt;"✓")),"")</f>
        <v/>
      </c>
      <c r="AZ3425" s="21" t="str">
        <f>IF(AND($AM3425&lt;&gt;"",$AS3425="✓"),SUMPRODUCT(($AM$11:$AM3425&lt;&gt;"")*($AS$11:$AS3425="✓")),"")</f>
        <v/>
      </c>
      <c r="BA3425" s="21" t="str">
        <f>IF($AL3425="","",$AL3425&amp;"|"&amp;COUNTIF($AL$11:$AL3425,$AL3425))</f>
        <v/>
      </c>
    </row>
    <row r="3426" spans="38:53" ht="15" customHeight="1" x14ac:dyDescent="0.25">
      <c r="AL3426" s="31"/>
      <c r="AM3426" s="26"/>
      <c r="AN3426" s="32"/>
      <c r="AO3426" s="32"/>
      <c r="AP3426" s="24"/>
      <c r="AQ3426" s="24"/>
      <c r="AR3426" s="33"/>
      <c r="AS3426" s="34"/>
      <c r="AT3426" s="33"/>
      <c r="AV3426" s="21">
        <f>IF(AND($AL3426&lt;&gt;"",COUNTIF($AL$11:$AL3426,$AL3426)=1),1,0)</f>
        <v>0</v>
      </c>
      <c r="AW3426" s="21">
        <f t="shared" si="193"/>
        <v>0</v>
      </c>
      <c r="AX3426" s="21" t="str">
        <f t="shared" si="192"/>
        <v/>
      </c>
      <c r="AY3426" s="21" t="str">
        <f>IF(AND($AM3426&lt;&gt;"",$AS3426&lt;&gt;"✓"),SUMPRODUCT(($AM$11:$AM3426&lt;&gt;"")*($AS$11:$AS3426&lt;&gt;"✓")),"")</f>
        <v/>
      </c>
      <c r="AZ3426" s="21" t="str">
        <f>IF(AND($AM3426&lt;&gt;"",$AS3426="✓"),SUMPRODUCT(($AM$11:$AM3426&lt;&gt;"")*($AS$11:$AS3426="✓")),"")</f>
        <v/>
      </c>
      <c r="BA3426" s="21" t="str">
        <f>IF($AL3426="","",$AL3426&amp;"|"&amp;COUNTIF($AL$11:$AL3426,$AL3426))</f>
        <v/>
      </c>
    </row>
    <row r="3427" spans="38:53" ht="15" customHeight="1" x14ac:dyDescent="0.25">
      <c r="AL3427" s="17"/>
      <c r="AM3427" s="12"/>
      <c r="AN3427" s="18"/>
      <c r="AO3427" s="18"/>
      <c r="AP3427" s="10"/>
      <c r="AQ3427" s="10"/>
      <c r="AR3427" s="19"/>
      <c r="AS3427" s="20"/>
      <c r="AT3427" s="19"/>
      <c r="AV3427" s="21">
        <f>IF(AND($AL3427&lt;&gt;"",COUNTIF($AL$11:$AL3427,$AL3427)=1),1,0)</f>
        <v>0</v>
      </c>
      <c r="AW3427" s="21">
        <f t="shared" si="193"/>
        <v>0</v>
      </c>
      <c r="AX3427" s="21" t="str">
        <f t="shared" si="192"/>
        <v/>
      </c>
      <c r="AY3427" s="21" t="str">
        <f>IF(AND($AM3427&lt;&gt;"",$AS3427&lt;&gt;"✓"),SUMPRODUCT(($AM$11:$AM3427&lt;&gt;"")*($AS$11:$AS3427&lt;&gt;"✓")),"")</f>
        <v/>
      </c>
      <c r="AZ3427" s="21" t="str">
        <f>IF(AND($AM3427&lt;&gt;"",$AS3427="✓"),SUMPRODUCT(($AM$11:$AM3427&lt;&gt;"")*($AS$11:$AS3427="✓")),"")</f>
        <v/>
      </c>
      <c r="BA3427" s="21" t="str">
        <f>IF($AL3427="","",$AL3427&amp;"|"&amp;COUNTIF($AL$11:$AL3427,$AL3427))</f>
        <v/>
      </c>
    </row>
    <row r="3428" spans="38:53" ht="15" customHeight="1" x14ac:dyDescent="0.25">
      <c r="AL3428" s="31"/>
      <c r="AM3428" s="26"/>
      <c r="AN3428" s="32"/>
      <c r="AO3428" s="32"/>
      <c r="AP3428" s="24"/>
      <c r="AQ3428" s="24"/>
      <c r="AR3428" s="33"/>
      <c r="AS3428" s="34"/>
      <c r="AT3428" s="33"/>
      <c r="AV3428" s="21">
        <f>IF(AND($AL3428&lt;&gt;"",COUNTIF($AL$11:$AL3428,$AL3428)=1),1,0)</f>
        <v>0</v>
      </c>
      <c r="AW3428" s="21">
        <f t="shared" si="193"/>
        <v>0</v>
      </c>
      <c r="AX3428" s="21" t="str">
        <f t="shared" si="192"/>
        <v/>
      </c>
      <c r="AY3428" s="21" t="str">
        <f>IF(AND($AM3428&lt;&gt;"",$AS3428&lt;&gt;"✓"),SUMPRODUCT(($AM$11:$AM3428&lt;&gt;"")*($AS$11:$AS3428&lt;&gt;"✓")),"")</f>
        <v/>
      </c>
      <c r="AZ3428" s="21" t="str">
        <f>IF(AND($AM3428&lt;&gt;"",$AS3428="✓"),SUMPRODUCT(($AM$11:$AM3428&lt;&gt;"")*($AS$11:$AS3428="✓")),"")</f>
        <v/>
      </c>
      <c r="BA3428" s="21" t="str">
        <f>IF($AL3428="","",$AL3428&amp;"|"&amp;COUNTIF($AL$11:$AL3428,$AL3428))</f>
        <v/>
      </c>
    </row>
    <row r="3429" spans="38:53" ht="15" customHeight="1" x14ac:dyDescent="0.25">
      <c r="AL3429" s="17"/>
      <c r="AM3429" s="12"/>
      <c r="AN3429" s="18"/>
      <c r="AO3429" s="18"/>
      <c r="AP3429" s="10"/>
      <c r="AQ3429" s="10"/>
      <c r="AR3429" s="19"/>
      <c r="AS3429" s="20"/>
      <c r="AT3429" s="19"/>
      <c r="AV3429" s="21">
        <f>IF(AND($AL3429&lt;&gt;"",COUNTIF($AL$11:$AL3429,$AL3429)=1),1,0)</f>
        <v>0</v>
      </c>
      <c r="AW3429" s="21">
        <f t="shared" si="193"/>
        <v>0</v>
      </c>
      <c r="AX3429" s="21" t="str">
        <f t="shared" si="192"/>
        <v/>
      </c>
      <c r="AY3429" s="21" t="str">
        <f>IF(AND($AM3429&lt;&gt;"",$AS3429&lt;&gt;"✓"),SUMPRODUCT(($AM$11:$AM3429&lt;&gt;"")*($AS$11:$AS3429&lt;&gt;"✓")),"")</f>
        <v/>
      </c>
      <c r="AZ3429" s="21" t="str">
        <f>IF(AND($AM3429&lt;&gt;"",$AS3429="✓"),SUMPRODUCT(($AM$11:$AM3429&lt;&gt;"")*($AS$11:$AS3429="✓")),"")</f>
        <v/>
      </c>
      <c r="BA3429" s="21" t="str">
        <f>IF($AL3429="","",$AL3429&amp;"|"&amp;COUNTIF($AL$11:$AL3429,$AL3429))</f>
        <v/>
      </c>
    </row>
    <row r="3430" spans="38:53" ht="15" customHeight="1" x14ac:dyDescent="0.25">
      <c r="AL3430" s="31"/>
      <c r="AM3430" s="26"/>
      <c r="AN3430" s="32"/>
      <c r="AO3430" s="32"/>
      <c r="AP3430" s="24"/>
      <c r="AQ3430" s="24"/>
      <c r="AR3430" s="33"/>
      <c r="AS3430" s="34"/>
      <c r="AT3430" s="33"/>
      <c r="AV3430" s="21">
        <f>IF(AND($AL3430&lt;&gt;"",COUNTIF($AL$11:$AL3430,$AL3430)=1),1,0)</f>
        <v>0</v>
      </c>
      <c r="AW3430" s="21">
        <f t="shared" si="193"/>
        <v>0</v>
      </c>
      <c r="AX3430" s="21" t="str">
        <f t="shared" si="192"/>
        <v/>
      </c>
      <c r="AY3430" s="21" t="str">
        <f>IF(AND($AM3430&lt;&gt;"",$AS3430&lt;&gt;"✓"),SUMPRODUCT(($AM$11:$AM3430&lt;&gt;"")*($AS$11:$AS3430&lt;&gt;"✓")),"")</f>
        <v/>
      </c>
      <c r="AZ3430" s="21" t="str">
        <f>IF(AND($AM3430&lt;&gt;"",$AS3430="✓"),SUMPRODUCT(($AM$11:$AM3430&lt;&gt;"")*($AS$11:$AS3430="✓")),"")</f>
        <v/>
      </c>
      <c r="BA3430" s="21" t="str">
        <f>IF($AL3430="","",$AL3430&amp;"|"&amp;COUNTIF($AL$11:$AL3430,$AL3430))</f>
        <v/>
      </c>
    </row>
    <row r="3431" spans="38:53" ht="15" customHeight="1" x14ac:dyDescent="0.25">
      <c r="AL3431" s="17"/>
      <c r="AM3431" s="12"/>
      <c r="AN3431" s="18"/>
      <c r="AO3431" s="18"/>
      <c r="AP3431" s="10"/>
      <c r="AQ3431" s="10"/>
      <c r="AR3431" s="19"/>
      <c r="AS3431" s="20"/>
      <c r="AT3431" s="19"/>
      <c r="AV3431" s="21">
        <f>IF(AND($AL3431&lt;&gt;"",COUNTIF($AL$11:$AL3431,$AL3431)=1),1,0)</f>
        <v>0</v>
      </c>
      <c r="AW3431" s="21">
        <f t="shared" si="193"/>
        <v>0</v>
      </c>
      <c r="AX3431" s="21" t="str">
        <f t="shared" si="192"/>
        <v/>
      </c>
      <c r="AY3431" s="21" t="str">
        <f>IF(AND($AM3431&lt;&gt;"",$AS3431&lt;&gt;"✓"),SUMPRODUCT(($AM$11:$AM3431&lt;&gt;"")*($AS$11:$AS3431&lt;&gt;"✓")),"")</f>
        <v/>
      </c>
      <c r="AZ3431" s="21" t="str">
        <f>IF(AND($AM3431&lt;&gt;"",$AS3431="✓"),SUMPRODUCT(($AM$11:$AM3431&lt;&gt;"")*($AS$11:$AS3431="✓")),"")</f>
        <v/>
      </c>
      <c r="BA3431" s="21" t="str">
        <f>IF($AL3431="","",$AL3431&amp;"|"&amp;COUNTIF($AL$11:$AL3431,$AL3431))</f>
        <v/>
      </c>
    </row>
    <row r="3432" spans="38:53" ht="15" customHeight="1" x14ac:dyDescent="0.25">
      <c r="AL3432" s="31"/>
      <c r="AM3432" s="26"/>
      <c r="AN3432" s="32"/>
      <c r="AO3432" s="32"/>
      <c r="AP3432" s="24"/>
      <c r="AQ3432" s="24"/>
      <c r="AR3432" s="33"/>
      <c r="AS3432" s="34"/>
      <c r="AT3432" s="33"/>
      <c r="AV3432" s="21">
        <f>IF(AND($AL3432&lt;&gt;"",COUNTIF($AL$11:$AL3432,$AL3432)=1),1,0)</f>
        <v>0</v>
      </c>
      <c r="AW3432" s="21">
        <f t="shared" si="193"/>
        <v>0</v>
      </c>
      <c r="AX3432" s="21" t="str">
        <f t="shared" si="192"/>
        <v/>
      </c>
      <c r="AY3432" s="21" t="str">
        <f>IF(AND($AM3432&lt;&gt;"",$AS3432&lt;&gt;"✓"),SUMPRODUCT(($AM$11:$AM3432&lt;&gt;"")*($AS$11:$AS3432&lt;&gt;"✓")),"")</f>
        <v/>
      </c>
      <c r="AZ3432" s="21" t="str">
        <f>IF(AND($AM3432&lt;&gt;"",$AS3432="✓"),SUMPRODUCT(($AM$11:$AM3432&lt;&gt;"")*($AS$11:$AS3432="✓")),"")</f>
        <v/>
      </c>
      <c r="BA3432" s="21" t="str">
        <f>IF($AL3432="","",$AL3432&amp;"|"&amp;COUNTIF($AL$11:$AL3432,$AL3432))</f>
        <v/>
      </c>
    </row>
    <row r="3433" spans="38:53" ht="15" customHeight="1" x14ac:dyDescent="0.25">
      <c r="AL3433" s="17"/>
      <c r="AM3433" s="12"/>
      <c r="AN3433" s="18"/>
      <c r="AO3433" s="18"/>
      <c r="AP3433" s="10"/>
      <c r="AQ3433" s="10"/>
      <c r="AR3433" s="19"/>
      <c r="AS3433" s="20"/>
      <c r="AT3433" s="19"/>
      <c r="AV3433" s="21">
        <f>IF(AND($AL3433&lt;&gt;"",COUNTIF($AL$11:$AL3433,$AL3433)=1),1,0)</f>
        <v>0</v>
      </c>
      <c r="AW3433" s="21">
        <f t="shared" si="193"/>
        <v>0</v>
      </c>
      <c r="AX3433" s="21" t="str">
        <f t="shared" si="192"/>
        <v/>
      </c>
      <c r="AY3433" s="21" t="str">
        <f>IF(AND($AM3433&lt;&gt;"",$AS3433&lt;&gt;"✓"),SUMPRODUCT(($AM$11:$AM3433&lt;&gt;"")*($AS$11:$AS3433&lt;&gt;"✓")),"")</f>
        <v/>
      </c>
      <c r="AZ3433" s="21" t="str">
        <f>IF(AND($AM3433&lt;&gt;"",$AS3433="✓"),SUMPRODUCT(($AM$11:$AM3433&lt;&gt;"")*($AS$11:$AS3433="✓")),"")</f>
        <v/>
      </c>
      <c r="BA3433" s="21" t="str">
        <f>IF($AL3433="","",$AL3433&amp;"|"&amp;COUNTIF($AL$11:$AL3433,$AL3433))</f>
        <v/>
      </c>
    </row>
    <row r="3434" spans="38:53" ht="15" customHeight="1" x14ac:dyDescent="0.25">
      <c r="AL3434" s="31"/>
      <c r="AM3434" s="26"/>
      <c r="AN3434" s="32"/>
      <c r="AO3434" s="32"/>
      <c r="AP3434" s="24"/>
      <c r="AQ3434" s="24"/>
      <c r="AR3434" s="33"/>
      <c r="AS3434" s="34"/>
      <c r="AT3434" s="33"/>
      <c r="AV3434" s="21">
        <f>IF(AND($AL3434&lt;&gt;"",COUNTIF($AL$11:$AL3434,$AL3434)=1),1,0)</f>
        <v>0</v>
      </c>
      <c r="AW3434" s="21">
        <f t="shared" si="193"/>
        <v>0</v>
      </c>
      <c r="AX3434" s="21" t="str">
        <f t="shared" si="192"/>
        <v/>
      </c>
      <c r="AY3434" s="21" t="str">
        <f>IF(AND($AM3434&lt;&gt;"",$AS3434&lt;&gt;"✓"),SUMPRODUCT(($AM$11:$AM3434&lt;&gt;"")*($AS$11:$AS3434&lt;&gt;"✓")),"")</f>
        <v/>
      </c>
      <c r="AZ3434" s="21" t="str">
        <f>IF(AND($AM3434&lt;&gt;"",$AS3434="✓"),SUMPRODUCT(($AM$11:$AM3434&lt;&gt;"")*($AS$11:$AS3434="✓")),"")</f>
        <v/>
      </c>
      <c r="BA3434" s="21" t="str">
        <f>IF($AL3434="","",$AL3434&amp;"|"&amp;COUNTIF($AL$11:$AL3434,$AL3434))</f>
        <v/>
      </c>
    </row>
    <row r="3435" spans="38:53" ht="15" customHeight="1" x14ac:dyDescent="0.25">
      <c r="AL3435" s="17"/>
      <c r="AM3435" s="12"/>
      <c r="AN3435" s="18"/>
      <c r="AO3435" s="18"/>
      <c r="AP3435" s="10"/>
      <c r="AQ3435" s="10"/>
      <c r="AR3435" s="19"/>
      <c r="AS3435" s="20"/>
      <c r="AT3435" s="19"/>
      <c r="AV3435" s="21">
        <f>IF(AND($AL3435&lt;&gt;"",COUNTIF($AL$11:$AL3435,$AL3435)=1),1,0)</f>
        <v>0</v>
      </c>
      <c r="AW3435" s="21">
        <f t="shared" si="193"/>
        <v>0</v>
      </c>
      <c r="AX3435" s="21" t="str">
        <f t="shared" si="192"/>
        <v/>
      </c>
      <c r="AY3435" s="21" t="str">
        <f>IF(AND($AM3435&lt;&gt;"",$AS3435&lt;&gt;"✓"),SUMPRODUCT(($AM$11:$AM3435&lt;&gt;"")*($AS$11:$AS3435&lt;&gt;"✓")),"")</f>
        <v/>
      </c>
      <c r="AZ3435" s="21" t="str">
        <f>IF(AND($AM3435&lt;&gt;"",$AS3435="✓"),SUMPRODUCT(($AM$11:$AM3435&lt;&gt;"")*($AS$11:$AS3435="✓")),"")</f>
        <v/>
      </c>
      <c r="BA3435" s="21" t="str">
        <f>IF($AL3435="","",$AL3435&amp;"|"&amp;COUNTIF($AL$11:$AL3435,$AL3435))</f>
        <v/>
      </c>
    </row>
    <row r="3436" spans="38:53" ht="15" customHeight="1" x14ac:dyDescent="0.25">
      <c r="AL3436" s="31"/>
      <c r="AM3436" s="26"/>
      <c r="AN3436" s="32"/>
      <c r="AO3436" s="32"/>
      <c r="AP3436" s="24"/>
      <c r="AQ3436" s="24"/>
      <c r="AR3436" s="33"/>
      <c r="AS3436" s="34"/>
      <c r="AT3436" s="33"/>
      <c r="AV3436" s="21">
        <f>IF(AND($AL3436&lt;&gt;"",COUNTIF($AL$11:$AL3436,$AL3436)=1),1,0)</f>
        <v>0</v>
      </c>
      <c r="AW3436" s="21">
        <f t="shared" si="193"/>
        <v>0</v>
      </c>
      <c r="AX3436" s="21" t="str">
        <f t="shared" si="192"/>
        <v/>
      </c>
      <c r="AY3436" s="21" t="str">
        <f>IF(AND($AM3436&lt;&gt;"",$AS3436&lt;&gt;"✓"),SUMPRODUCT(($AM$11:$AM3436&lt;&gt;"")*($AS$11:$AS3436&lt;&gt;"✓")),"")</f>
        <v/>
      </c>
      <c r="AZ3436" s="21" t="str">
        <f>IF(AND($AM3436&lt;&gt;"",$AS3436="✓"),SUMPRODUCT(($AM$11:$AM3436&lt;&gt;"")*($AS$11:$AS3436="✓")),"")</f>
        <v/>
      </c>
      <c r="BA3436" s="21" t="str">
        <f>IF($AL3436="","",$AL3436&amp;"|"&amp;COUNTIF($AL$11:$AL3436,$AL3436))</f>
        <v/>
      </c>
    </row>
    <row r="3437" spans="38:53" ht="15" customHeight="1" x14ac:dyDescent="0.25">
      <c r="AL3437" s="17"/>
      <c r="AM3437" s="12"/>
      <c r="AN3437" s="18"/>
      <c r="AO3437" s="18"/>
      <c r="AP3437" s="10"/>
      <c r="AQ3437" s="10"/>
      <c r="AR3437" s="19"/>
      <c r="AS3437" s="20"/>
      <c r="AT3437" s="19"/>
      <c r="AV3437" s="21">
        <f>IF(AND($AL3437&lt;&gt;"",COUNTIF($AL$11:$AL3437,$AL3437)=1),1,0)</f>
        <v>0</v>
      </c>
      <c r="AW3437" s="21">
        <f t="shared" si="193"/>
        <v>0</v>
      </c>
      <c r="AX3437" s="21" t="str">
        <f t="shared" si="192"/>
        <v/>
      </c>
      <c r="AY3437" s="21" t="str">
        <f>IF(AND($AM3437&lt;&gt;"",$AS3437&lt;&gt;"✓"),SUMPRODUCT(($AM$11:$AM3437&lt;&gt;"")*($AS$11:$AS3437&lt;&gt;"✓")),"")</f>
        <v/>
      </c>
      <c r="AZ3437" s="21" t="str">
        <f>IF(AND($AM3437&lt;&gt;"",$AS3437="✓"),SUMPRODUCT(($AM$11:$AM3437&lt;&gt;"")*($AS$11:$AS3437="✓")),"")</f>
        <v/>
      </c>
      <c r="BA3437" s="21" t="str">
        <f>IF($AL3437="","",$AL3437&amp;"|"&amp;COUNTIF($AL$11:$AL3437,$AL3437))</f>
        <v/>
      </c>
    </row>
    <row r="3438" spans="38:53" ht="15" customHeight="1" x14ac:dyDescent="0.25">
      <c r="AL3438" s="31"/>
      <c r="AM3438" s="26"/>
      <c r="AN3438" s="32"/>
      <c r="AO3438" s="32"/>
      <c r="AP3438" s="24"/>
      <c r="AQ3438" s="24"/>
      <c r="AR3438" s="33"/>
      <c r="AS3438" s="34"/>
      <c r="AT3438" s="33"/>
      <c r="AV3438" s="21">
        <f>IF(AND($AL3438&lt;&gt;"",COUNTIF($AL$11:$AL3438,$AL3438)=1),1,0)</f>
        <v>0</v>
      </c>
      <c r="AW3438" s="21">
        <f t="shared" si="193"/>
        <v>0</v>
      </c>
      <c r="AX3438" s="21" t="str">
        <f t="shared" si="192"/>
        <v/>
      </c>
      <c r="AY3438" s="21" t="str">
        <f>IF(AND($AM3438&lt;&gt;"",$AS3438&lt;&gt;"✓"),SUMPRODUCT(($AM$11:$AM3438&lt;&gt;"")*($AS$11:$AS3438&lt;&gt;"✓")),"")</f>
        <v/>
      </c>
      <c r="AZ3438" s="21" t="str">
        <f>IF(AND($AM3438&lt;&gt;"",$AS3438="✓"),SUMPRODUCT(($AM$11:$AM3438&lt;&gt;"")*($AS$11:$AS3438="✓")),"")</f>
        <v/>
      </c>
      <c r="BA3438" s="21" t="str">
        <f>IF($AL3438="","",$AL3438&amp;"|"&amp;COUNTIF($AL$11:$AL3438,$AL3438))</f>
        <v/>
      </c>
    </row>
    <row r="3439" spans="38:53" ht="15" customHeight="1" x14ac:dyDescent="0.25">
      <c r="AL3439" s="17"/>
      <c r="AM3439" s="12"/>
      <c r="AN3439" s="18"/>
      <c r="AO3439" s="18"/>
      <c r="AP3439" s="10"/>
      <c r="AQ3439" s="10"/>
      <c r="AR3439" s="19"/>
      <c r="AS3439" s="20"/>
      <c r="AT3439" s="19"/>
      <c r="AV3439" s="21">
        <f>IF(AND($AL3439&lt;&gt;"",COUNTIF($AL$11:$AL3439,$AL3439)=1),1,0)</f>
        <v>0</v>
      </c>
      <c r="AW3439" s="21">
        <f t="shared" si="193"/>
        <v>0</v>
      </c>
      <c r="AX3439" s="21" t="str">
        <f t="shared" si="192"/>
        <v/>
      </c>
      <c r="AY3439" s="21" t="str">
        <f>IF(AND($AM3439&lt;&gt;"",$AS3439&lt;&gt;"✓"),SUMPRODUCT(($AM$11:$AM3439&lt;&gt;"")*($AS$11:$AS3439&lt;&gt;"✓")),"")</f>
        <v/>
      </c>
      <c r="AZ3439" s="21" t="str">
        <f>IF(AND($AM3439&lt;&gt;"",$AS3439="✓"),SUMPRODUCT(($AM$11:$AM3439&lt;&gt;"")*($AS$11:$AS3439="✓")),"")</f>
        <v/>
      </c>
      <c r="BA3439" s="21" t="str">
        <f>IF($AL3439="","",$AL3439&amp;"|"&amp;COUNTIF($AL$11:$AL3439,$AL3439))</f>
        <v/>
      </c>
    </row>
    <row r="3440" spans="38:53" ht="15" customHeight="1" x14ac:dyDescent="0.25">
      <c r="AL3440" s="31"/>
      <c r="AM3440" s="26"/>
      <c r="AN3440" s="32"/>
      <c r="AO3440" s="32"/>
      <c r="AP3440" s="24"/>
      <c r="AQ3440" s="24"/>
      <c r="AR3440" s="33"/>
      <c r="AS3440" s="34"/>
      <c r="AT3440" s="33"/>
      <c r="AV3440" s="21">
        <f>IF(AND($AL3440&lt;&gt;"",COUNTIF($AL$11:$AL3440,$AL3440)=1),1,0)</f>
        <v>0</v>
      </c>
      <c r="AW3440" s="21">
        <f t="shared" si="193"/>
        <v>0</v>
      </c>
      <c r="AX3440" s="21" t="str">
        <f t="shared" si="192"/>
        <v/>
      </c>
      <c r="AY3440" s="21" t="str">
        <f>IF(AND($AM3440&lt;&gt;"",$AS3440&lt;&gt;"✓"),SUMPRODUCT(($AM$11:$AM3440&lt;&gt;"")*($AS$11:$AS3440&lt;&gt;"✓")),"")</f>
        <v/>
      </c>
      <c r="AZ3440" s="21" t="str">
        <f>IF(AND($AM3440&lt;&gt;"",$AS3440="✓"),SUMPRODUCT(($AM$11:$AM3440&lt;&gt;"")*($AS$11:$AS3440="✓")),"")</f>
        <v/>
      </c>
      <c r="BA3440" s="21" t="str">
        <f>IF($AL3440="","",$AL3440&amp;"|"&amp;COUNTIF($AL$11:$AL3440,$AL3440))</f>
        <v/>
      </c>
    </row>
    <row r="3441" spans="38:53" ht="15" customHeight="1" x14ac:dyDescent="0.25">
      <c r="AL3441" s="17"/>
      <c r="AM3441" s="12"/>
      <c r="AN3441" s="18"/>
      <c r="AO3441" s="18"/>
      <c r="AP3441" s="10"/>
      <c r="AQ3441" s="10"/>
      <c r="AR3441" s="19"/>
      <c r="AS3441" s="20"/>
      <c r="AT3441" s="19"/>
      <c r="AV3441" s="21">
        <f>IF(AND($AL3441&lt;&gt;"",COUNTIF($AL$11:$AL3441,$AL3441)=1),1,0)</f>
        <v>0</v>
      </c>
      <c r="AW3441" s="21">
        <f t="shared" si="193"/>
        <v>0</v>
      </c>
      <c r="AX3441" s="21" t="str">
        <f t="shared" si="192"/>
        <v/>
      </c>
      <c r="AY3441" s="21" t="str">
        <f>IF(AND($AM3441&lt;&gt;"",$AS3441&lt;&gt;"✓"),SUMPRODUCT(($AM$11:$AM3441&lt;&gt;"")*($AS$11:$AS3441&lt;&gt;"✓")),"")</f>
        <v/>
      </c>
      <c r="AZ3441" s="21" t="str">
        <f>IF(AND($AM3441&lt;&gt;"",$AS3441="✓"),SUMPRODUCT(($AM$11:$AM3441&lt;&gt;"")*($AS$11:$AS3441="✓")),"")</f>
        <v/>
      </c>
      <c r="BA3441" s="21" t="str">
        <f>IF($AL3441="","",$AL3441&amp;"|"&amp;COUNTIF($AL$11:$AL3441,$AL3441))</f>
        <v/>
      </c>
    </row>
    <row r="3442" spans="38:53" ht="15" customHeight="1" x14ac:dyDescent="0.25">
      <c r="AL3442" s="31"/>
      <c r="AM3442" s="26"/>
      <c r="AN3442" s="32"/>
      <c r="AO3442" s="32"/>
      <c r="AP3442" s="24"/>
      <c r="AQ3442" s="24"/>
      <c r="AR3442" s="33"/>
      <c r="AS3442" s="34"/>
      <c r="AT3442" s="33"/>
      <c r="AV3442" s="21">
        <f>IF(AND($AL3442&lt;&gt;"",COUNTIF($AL$11:$AL3442,$AL3442)=1),1,0)</f>
        <v>0</v>
      </c>
      <c r="AW3442" s="21">
        <f t="shared" si="193"/>
        <v>0</v>
      </c>
      <c r="AX3442" s="21" t="str">
        <f t="shared" si="192"/>
        <v/>
      </c>
      <c r="AY3442" s="21" t="str">
        <f>IF(AND($AM3442&lt;&gt;"",$AS3442&lt;&gt;"✓"),SUMPRODUCT(($AM$11:$AM3442&lt;&gt;"")*($AS$11:$AS3442&lt;&gt;"✓")),"")</f>
        <v/>
      </c>
      <c r="AZ3442" s="21" t="str">
        <f>IF(AND($AM3442&lt;&gt;"",$AS3442="✓"),SUMPRODUCT(($AM$11:$AM3442&lt;&gt;"")*($AS$11:$AS3442="✓")),"")</f>
        <v/>
      </c>
      <c r="BA3442" s="21" t="str">
        <f>IF($AL3442="","",$AL3442&amp;"|"&amp;COUNTIF($AL$11:$AL3442,$AL3442))</f>
        <v/>
      </c>
    </row>
    <row r="3443" spans="38:53" ht="15" customHeight="1" x14ac:dyDescent="0.25">
      <c r="AL3443" s="17"/>
      <c r="AM3443" s="12"/>
      <c r="AN3443" s="18"/>
      <c r="AO3443" s="18"/>
      <c r="AP3443" s="10"/>
      <c r="AQ3443" s="10"/>
      <c r="AR3443" s="19"/>
      <c r="AS3443" s="20"/>
      <c r="AT3443" s="19"/>
      <c r="AV3443" s="21">
        <f>IF(AND($AL3443&lt;&gt;"",COUNTIF($AL$11:$AL3443,$AL3443)=1),1,0)</f>
        <v>0</v>
      </c>
      <c r="AW3443" s="21">
        <f t="shared" si="193"/>
        <v>0</v>
      </c>
      <c r="AX3443" s="21" t="str">
        <f t="shared" si="192"/>
        <v/>
      </c>
      <c r="AY3443" s="21" t="str">
        <f>IF(AND($AM3443&lt;&gt;"",$AS3443&lt;&gt;"✓"),SUMPRODUCT(($AM$11:$AM3443&lt;&gt;"")*($AS$11:$AS3443&lt;&gt;"✓")),"")</f>
        <v/>
      </c>
      <c r="AZ3443" s="21" t="str">
        <f>IF(AND($AM3443&lt;&gt;"",$AS3443="✓"),SUMPRODUCT(($AM$11:$AM3443&lt;&gt;"")*($AS$11:$AS3443="✓")),"")</f>
        <v/>
      </c>
      <c r="BA3443" s="21" t="str">
        <f>IF($AL3443="","",$AL3443&amp;"|"&amp;COUNTIF($AL$11:$AL3443,$AL3443))</f>
        <v/>
      </c>
    </row>
    <row r="3444" spans="38:53" ht="15" customHeight="1" x14ac:dyDescent="0.25">
      <c r="AL3444" s="31"/>
      <c r="AM3444" s="26"/>
      <c r="AN3444" s="32"/>
      <c r="AO3444" s="32"/>
      <c r="AP3444" s="24"/>
      <c r="AQ3444" s="24"/>
      <c r="AR3444" s="33"/>
      <c r="AS3444" s="34"/>
      <c r="AT3444" s="33"/>
      <c r="AV3444" s="21">
        <f>IF(AND($AL3444&lt;&gt;"",COUNTIF($AL$11:$AL3444,$AL3444)=1),1,0)</f>
        <v>0</v>
      </c>
      <c r="AW3444" s="21">
        <f t="shared" si="193"/>
        <v>0</v>
      </c>
      <c r="AX3444" s="21" t="str">
        <f t="shared" si="192"/>
        <v/>
      </c>
      <c r="AY3444" s="21" t="str">
        <f>IF(AND($AM3444&lt;&gt;"",$AS3444&lt;&gt;"✓"),SUMPRODUCT(($AM$11:$AM3444&lt;&gt;"")*($AS$11:$AS3444&lt;&gt;"✓")),"")</f>
        <v/>
      </c>
      <c r="AZ3444" s="21" t="str">
        <f>IF(AND($AM3444&lt;&gt;"",$AS3444="✓"),SUMPRODUCT(($AM$11:$AM3444&lt;&gt;"")*($AS$11:$AS3444="✓")),"")</f>
        <v/>
      </c>
      <c r="BA3444" s="21" t="str">
        <f>IF($AL3444="","",$AL3444&amp;"|"&amp;COUNTIF($AL$11:$AL3444,$AL3444))</f>
        <v/>
      </c>
    </row>
    <row r="3445" spans="38:53" ht="15" customHeight="1" x14ac:dyDescent="0.25">
      <c r="AL3445" s="17"/>
      <c r="AM3445" s="12"/>
      <c r="AN3445" s="18"/>
      <c r="AO3445" s="18"/>
      <c r="AP3445" s="10"/>
      <c r="AQ3445" s="10"/>
      <c r="AR3445" s="19"/>
      <c r="AS3445" s="20"/>
      <c r="AT3445" s="19"/>
      <c r="AV3445" s="21">
        <f>IF(AND($AL3445&lt;&gt;"",COUNTIF($AL$11:$AL3445,$AL3445)=1),1,0)</f>
        <v>0</v>
      </c>
      <c r="AW3445" s="21">
        <f t="shared" si="193"/>
        <v>0</v>
      </c>
      <c r="AX3445" s="21" t="str">
        <f t="shared" si="192"/>
        <v/>
      </c>
      <c r="AY3445" s="21" t="str">
        <f>IF(AND($AM3445&lt;&gt;"",$AS3445&lt;&gt;"✓"),SUMPRODUCT(($AM$11:$AM3445&lt;&gt;"")*($AS$11:$AS3445&lt;&gt;"✓")),"")</f>
        <v/>
      </c>
      <c r="AZ3445" s="21" t="str">
        <f>IF(AND($AM3445&lt;&gt;"",$AS3445="✓"),SUMPRODUCT(($AM$11:$AM3445&lt;&gt;"")*($AS$11:$AS3445="✓")),"")</f>
        <v/>
      </c>
      <c r="BA3445" s="21" t="str">
        <f>IF($AL3445="","",$AL3445&amp;"|"&amp;COUNTIF($AL$11:$AL3445,$AL3445))</f>
        <v/>
      </c>
    </row>
    <row r="3446" spans="38:53" ht="15" customHeight="1" x14ac:dyDescent="0.25">
      <c r="AL3446" s="31"/>
      <c r="AM3446" s="26"/>
      <c r="AN3446" s="32"/>
      <c r="AO3446" s="32"/>
      <c r="AP3446" s="24"/>
      <c r="AQ3446" s="24"/>
      <c r="AR3446" s="33"/>
      <c r="AS3446" s="34"/>
      <c r="AT3446" s="33"/>
      <c r="AV3446" s="21">
        <f>IF(AND($AL3446&lt;&gt;"",COUNTIF($AL$11:$AL3446,$AL3446)=1),1,0)</f>
        <v>0</v>
      </c>
      <c r="AW3446" s="21">
        <f t="shared" si="193"/>
        <v>0</v>
      </c>
      <c r="AX3446" s="21" t="str">
        <f t="shared" si="192"/>
        <v/>
      </c>
      <c r="AY3446" s="21" t="str">
        <f>IF(AND($AM3446&lt;&gt;"",$AS3446&lt;&gt;"✓"),SUMPRODUCT(($AM$11:$AM3446&lt;&gt;"")*($AS$11:$AS3446&lt;&gt;"✓")),"")</f>
        <v/>
      </c>
      <c r="AZ3446" s="21" t="str">
        <f>IF(AND($AM3446&lt;&gt;"",$AS3446="✓"),SUMPRODUCT(($AM$11:$AM3446&lt;&gt;"")*($AS$11:$AS3446="✓")),"")</f>
        <v/>
      </c>
      <c r="BA3446" s="21" t="str">
        <f>IF($AL3446="","",$AL3446&amp;"|"&amp;COUNTIF($AL$11:$AL3446,$AL3446))</f>
        <v/>
      </c>
    </row>
    <row r="3447" spans="38:53" ht="15" customHeight="1" x14ac:dyDescent="0.25">
      <c r="AL3447" s="17"/>
      <c r="AM3447" s="12"/>
      <c r="AN3447" s="18"/>
      <c r="AO3447" s="18"/>
      <c r="AP3447" s="10"/>
      <c r="AQ3447" s="10"/>
      <c r="AR3447" s="19"/>
      <c r="AS3447" s="20"/>
      <c r="AT3447" s="19"/>
      <c r="AV3447" s="21">
        <f>IF(AND($AL3447&lt;&gt;"",COUNTIF($AL$11:$AL3447,$AL3447)=1),1,0)</f>
        <v>0</v>
      </c>
      <c r="AW3447" s="21">
        <f t="shared" si="193"/>
        <v>0</v>
      </c>
      <c r="AX3447" s="21" t="str">
        <f t="shared" si="192"/>
        <v/>
      </c>
      <c r="AY3447" s="21" t="str">
        <f>IF(AND($AM3447&lt;&gt;"",$AS3447&lt;&gt;"✓"),SUMPRODUCT(($AM$11:$AM3447&lt;&gt;"")*($AS$11:$AS3447&lt;&gt;"✓")),"")</f>
        <v/>
      </c>
      <c r="AZ3447" s="21" t="str">
        <f>IF(AND($AM3447&lt;&gt;"",$AS3447="✓"),SUMPRODUCT(($AM$11:$AM3447&lt;&gt;"")*($AS$11:$AS3447="✓")),"")</f>
        <v/>
      </c>
      <c r="BA3447" s="21" t="str">
        <f>IF($AL3447="","",$AL3447&amp;"|"&amp;COUNTIF($AL$11:$AL3447,$AL3447))</f>
        <v/>
      </c>
    </row>
    <row r="3448" spans="38:53" ht="15" customHeight="1" x14ac:dyDescent="0.25">
      <c r="AL3448" s="31"/>
      <c r="AM3448" s="26"/>
      <c r="AN3448" s="32"/>
      <c r="AO3448" s="32"/>
      <c r="AP3448" s="24"/>
      <c r="AQ3448" s="24"/>
      <c r="AR3448" s="33"/>
      <c r="AS3448" s="34"/>
      <c r="AT3448" s="33"/>
      <c r="AV3448" s="21">
        <f>IF(AND($AL3448&lt;&gt;"",COUNTIF($AL$11:$AL3448,$AL3448)=1),1,0)</f>
        <v>0</v>
      </c>
      <c r="AW3448" s="21">
        <f t="shared" si="193"/>
        <v>0</v>
      </c>
      <c r="AX3448" s="21" t="str">
        <f t="shared" si="192"/>
        <v/>
      </c>
      <c r="AY3448" s="21" t="str">
        <f>IF(AND($AM3448&lt;&gt;"",$AS3448&lt;&gt;"✓"),SUMPRODUCT(($AM$11:$AM3448&lt;&gt;"")*($AS$11:$AS3448&lt;&gt;"✓")),"")</f>
        <v/>
      </c>
      <c r="AZ3448" s="21" t="str">
        <f>IF(AND($AM3448&lt;&gt;"",$AS3448="✓"),SUMPRODUCT(($AM$11:$AM3448&lt;&gt;"")*($AS$11:$AS3448="✓")),"")</f>
        <v/>
      </c>
      <c r="BA3448" s="21" t="str">
        <f>IF($AL3448="","",$AL3448&amp;"|"&amp;COUNTIF($AL$11:$AL3448,$AL3448))</f>
        <v/>
      </c>
    </row>
    <row r="3449" spans="38:53" ht="15" customHeight="1" x14ac:dyDescent="0.25">
      <c r="AL3449" s="17"/>
      <c r="AM3449" s="12"/>
      <c r="AN3449" s="18"/>
      <c r="AO3449" s="18"/>
      <c r="AP3449" s="10"/>
      <c r="AQ3449" s="10"/>
      <c r="AR3449" s="19"/>
      <c r="AS3449" s="20"/>
      <c r="AT3449" s="19"/>
      <c r="AV3449" s="21">
        <f>IF(AND($AL3449&lt;&gt;"",COUNTIF($AL$11:$AL3449,$AL3449)=1),1,0)</f>
        <v>0</v>
      </c>
      <c r="AW3449" s="21">
        <f t="shared" si="193"/>
        <v>0</v>
      </c>
      <c r="AX3449" s="21" t="str">
        <f t="shared" si="192"/>
        <v/>
      </c>
      <c r="AY3449" s="21" t="str">
        <f>IF(AND($AM3449&lt;&gt;"",$AS3449&lt;&gt;"✓"),SUMPRODUCT(($AM$11:$AM3449&lt;&gt;"")*($AS$11:$AS3449&lt;&gt;"✓")),"")</f>
        <v/>
      </c>
      <c r="AZ3449" s="21" t="str">
        <f>IF(AND($AM3449&lt;&gt;"",$AS3449="✓"),SUMPRODUCT(($AM$11:$AM3449&lt;&gt;"")*($AS$11:$AS3449="✓")),"")</f>
        <v/>
      </c>
      <c r="BA3449" s="21" t="str">
        <f>IF($AL3449="","",$AL3449&amp;"|"&amp;COUNTIF($AL$11:$AL3449,$AL3449))</f>
        <v/>
      </c>
    </row>
    <row r="3450" spans="38:53" ht="15" customHeight="1" x14ac:dyDescent="0.25">
      <c r="AL3450" s="31"/>
      <c r="AM3450" s="26"/>
      <c r="AN3450" s="32"/>
      <c r="AO3450" s="32"/>
      <c r="AP3450" s="24"/>
      <c r="AQ3450" s="24"/>
      <c r="AR3450" s="33"/>
      <c r="AS3450" s="34"/>
      <c r="AT3450" s="33"/>
      <c r="AV3450" s="21">
        <f>IF(AND($AL3450&lt;&gt;"",COUNTIF($AL$11:$AL3450,$AL3450)=1),1,0)</f>
        <v>0</v>
      </c>
      <c r="AW3450" s="21">
        <f t="shared" si="193"/>
        <v>0</v>
      </c>
      <c r="AX3450" s="21" t="str">
        <f t="shared" si="192"/>
        <v/>
      </c>
      <c r="AY3450" s="21" t="str">
        <f>IF(AND($AM3450&lt;&gt;"",$AS3450&lt;&gt;"✓"),SUMPRODUCT(($AM$11:$AM3450&lt;&gt;"")*($AS$11:$AS3450&lt;&gt;"✓")),"")</f>
        <v/>
      </c>
      <c r="AZ3450" s="21" t="str">
        <f>IF(AND($AM3450&lt;&gt;"",$AS3450="✓"),SUMPRODUCT(($AM$11:$AM3450&lt;&gt;"")*($AS$11:$AS3450="✓")),"")</f>
        <v/>
      </c>
      <c r="BA3450" s="21" t="str">
        <f>IF($AL3450="","",$AL3450&amp;"|"&amp;COUNTIF($AL$11:$AL3450,$AL3450))</f>
        <v/>
      </c>
    </row>
    <row r="3451" spans="38:53" ht="15" customHeight="1" x14ac:dyDescent="0.25">
      <c r="AL3451" s="17"/>
      <c r="AM3451" s="12"/>
      <c r="AN3451" s="18"/>
      <c r="AO3451" s="18"/>
      <c r="AP3451" s="10"/>
      <c r="AQ3451" s="10"/>
      <c r="AR3451" s="19"/>
      <c r="AS3451" s="20"/>
      <c r="AT3451" s="19"/>
      <c r="AV3451" s="21">
        <f>IF(AND($AL3451&lt;&gt;"",COUNTIF($AL$11:$AL3451,$AL3451)=1),1,0)</f>
        <v>0</v>
      </c>
      <c r="AW3451" s="21">
        <f t="shared" si="193"/>
        <v>0</v>
      </c>
      <c r="AX3451" s="21" t="str">
        <f t="shared" si="192"/>
        <v/>
      </c>
      <c r="AY3451" s="21" t="str">
        <f>IF(AND($AM3451&lt;&gt;"",$AS3451&lt;&gt;"✓"),SUMPRODUCT(($AM$11:$AM3451&lt;&gt;"")*($AS$11:$AS3451&lt;&gt;"✓")),"")</f>
        <v/>
      </c>
      <c r="AZ3451" s="21" t="str">
        <f>IF(AND($AM3451&lt;&gt;"",$AS3451="✓"),SUMPRODUCT(($AM$11:$AM3451&lt;&gt;"")*($AS$11:$AS3451="✓")),"")</f>
        <v/>
      </c>
      <c r="BA3451" s="21" t="str">
        <f>IF($AL3451="","",$AL3451&amp;"|"&amp;COUNTIF($AL$11:$AL3451,$AL3451))</f>
        <v/>
      </c>
    </row>
    <row r="3452" spans="38:53" ht="15" customHeight="1" x14ac:dyDescent="0.25">
      <c r="AL3452" s="31"/>
      <c r="AM3452" s="26"/>
      <c r="AN3452" s="32"/>
      <c r="AO3452" s="32"/>
      <c r="AP3452" s="24"/>
      <c r="AQ3452" s="24"/>
      <c r="AR3452" s="33"/>
      <c r="AS3452" s="34"/>
      <c r="AT3452" s="33"/>
      <c r="AV3452" s="21">
        <f>IF(AND($AL3452&lt;&gt;"",COUNTIF($AL$11:$AL3452,$AL3452)=1),1,0)</f>
        <v>0</v>
      </c>
      <c r="AW3452" s="21">
        <f t="shared" si="193"/>
        <v>0</v>
      </c>
      <c r="AX3452" s="21" t="str">
        <f t="shared" si="192"/>
        <v/>
      </c>
      <c r="AY3452" s="21" t="str">
        <f>IF(AND($AM3452&lt;&gt;"",$AS3452&lt;&gt;"✓"),SUMPRODUCT(($AM$11:$AM3452&lt;&gt;"")*($AS$11:$AS3452&lt;&gt;"✓")),"")</f>
        <v/>
      </c>
      <c r="AZ3452" s="21" t="str">
        <f>IF(AND($AM3452&lt;&gt;"",$AS3452="✓"),SUMPRODUCT(($AM$11:$AM3452&lt;&gt;"")*($AS$11:$AS3452="✓")),"")</f>
        <v/>
      </c>
      <c r="BA3452" s="21" t="str">
        <f>IF($AL3452="","",$AL3452&amp;"|"&amp;COUNTIF($AL$11:$AL3452,$AL3452))</f>
        <v/>
      </c>
    </row>
    <row r="3453" spans="38:53" ht="15" customHeight="1" x14ac:dyDescent="0.25">
      <c r="AL3453" s="17"/>
      <c r="AM3453" s="12"/>
      <c r="AN3453" s="18"/>
      <c r="AO3453" s="18"/>
      <c r="AP3453" s="10"/>
      <c r="AQ3453" s="10"/>
      <c r="AR3453" s="19"/>
      <c r="AS3453" s="20"/>
      <c r="AT3453" s="19"/>
      <c r="AV3453" s="21">
        <f>IF(AND($AL3453&lt;&gt;"",COUNTIF($AL$11:$AL3453,$AL3453)=1),1,0)</f>
        <v>0</v>
      </c>
      <c r="AW3453" s="21">
        <f t="shared" si="193"/>
        <v>0</v>
      </c>
      <c r="AX3453" s="21" t="str">
        <f t="shared" si="192"/>
        <v/>
      </c>
      <c r="AY3453" s="21" t="str">
        <f>IF(AND($AM3453&lt;&gt;"",$AS3453&lt;&gt;"✓"),SUMPRODUCT(($AM$11:$AM3453&lt;&gt;"")*($AS$11:$AS3453&lt;&gt;"✓")),"")</f>
        <v/>
      </c>
      <c r="AZ3453" s="21" t="str">
        <f>IF(AND($AM3453&lt;&gt;"",$AS3453="✓"),SUMPRODUCT(($AM$11:$AM3453&lt;&gt;"")*($AS$11:$AS3453="✓")),"")</f>
        <v/>
      </c>
      <c r="BA3453" s="21" t="str">
        <f>IF($AL3453="","",$AL3453&amp;"|"&amp;COUNTIF($AL$11:$AL3453,$AL3453))</f>
        <v/>
      </c>
    </row>
    <row r="3454" spans="38:53" ht="15" customHeight="1" x14ac:dyDescent="0.25">
      <c r="AL3454" s="31"/>
      <c r="AM3454" s="26"/>
      <c r="AN3454" s="32"/>
      <c r="AO3454" s="32"/>
      <c r="AP3454" s="24"/>
      <c r="AQ3454" s="24"/>
      <c r="AR3454" s="33"/>
      <c r="AS3454" s="34"/>
      <c r="AT3454" s="33"/>
      <c r="AV3454" s="21">
        <f>IF(AND($AL3454&lt;&gt;"",COUNTIF($AL$11:$AL3454,$AL3454)=1),1,0)</f>
        <v>0</v>
      </c>
      <c r="AW3454" s="21">
        <f t="shared" si="193"/>
        <v>0</v>
      </c>
      <c r="AX3454" s="21" t="str">
        <f t="shared" si="192"/>
        <v/>
      </c>
      <c r="AY3454" s="21" t="str">
        <f>IF(AND($AM3454&lt;&gt;"",$AS3454&lt;&gt;"✓"),SUMPRODUCT(($AM$11:$AM3454&lt;&gt;"")*($AS$11:$AS3454&lt;&gt;"✓")),"")</f>
        <v/>
      </c>
      <c r="AZ3454" s="21" t="str">
        <f>IF(AND($AM3454&lt;&gt;"",$AS3454="✓"),SUMPRODUCT(($AM$11:$AM3454&lt;&gt;"")*($AS$11:$AS3454="✓")),"")</f>
        <v/>
      </c>
      <c r="BA3454" s="21" t="str">
        <f>IF($AL3454="","",$AL3454&amp;"|"&amp;COUNTIF($AL$11:$AL3454,$AL3454))</f>
        <v/>
      </c>
    </row>
    <row r="3455" spans="38:53" ht="15" customHeight="1" x14ac:dyDescent="0.25">
      <c r="AL3455" s="17"/>
      <c r="AM3455" s="12"/>
      <c r="AN3455" s="18"/>
      <c r="AO3455" s="18"/>
      <c r="AP3455" s="10"/>
      <c r="AQ3455" s="10"/>
      <c r="AR3455" s="19"/>
      <c r="AS3455" s="20"/>
      <c r="AT3455" s="19"/>
      <c r="AV3455" s="21">
        <f>IF(AND($AL3455&lt;&gt;"",COUNTIF($AL$11:$AL3455,$AL3455)=1),1,0)</f>
        <v>0</v>
      </c>
      <c r="AW3455" s="21">
        <f t="shared" si="193"/>
        <v>0</v>
      </c>
      <c r="AX3455" s="21" t="str">
        <f t="shared" si="192"/>
        <v/>
      </c>
      <c r="AY3455" s="21" t="str">
        <f>IF(AND($AM3455&lt;&gt;"",$AS3455&lt;&gt;"✓"),SUMPRODUCT(($AM$11:$AM3455&lt;&gt;"")*($AS$11:$AS3455&lt;&gt;"✓")),"")</f>
        <v/>
      </c>
      <c r="AZ3455" s="21" t="str">
        <f>IF(AND($AM3455&lt;&gt;"",$AS3455="✓"),SUMPRODUCT(($AM$11:$AM3455&lt;&gt;"")*($AS$11:$AS3455="✓")),"")</f>
        <v/>
      </c>
      <c r="BA3455" s="21" t="str">
        <f>IF($AL3455="","",$AL3455&amp;"|"&amp;COUNTIF($AL$11:$AL3455,$AL3455))</f>
        <v/>
      </c>
    </row>
    <row r="3456" spans="38:53" ht="15" customHeight="1" x14ac:dyDescent="0.25">
      <c r="AL3456" s="31"/>
      <c r="AM3456" s="26"/>
      <c r="AN3456" s="32"/>
      <c r="AO3456" s="32"/>
      <c r="AP3456" s="24"/>
      <c r="AQ3456" s="24"/>
      <c r="AR3456" s="33"/>
      <c r="AS3456" s="34"/>
      <c r="AT3456" s="33"/>
      <c r="AV3456" s="21">
        <f>IF(AND($AL3456&lt;&gt;"",COUNTIF($AL$11:$AL3456,$AL3456)=1),1,0)</f>
        <v>0</v>
      </c>
      <c r="AW3456" s="21">
        <f t="shared" si="193"/>
        <v>0</v>
      </c>
      <c r="AX3456" s="21" t="str">
        <f t="shared" si="192"/>
        <v/>
      </c>
      <c r="AY3456" s="21" t="str">
        <f>IF(AND($AM3456&lt;&gt;"",$AS3456&lt;&gt;"✓"),SUMPRODUCT(($AM$11:$AM3456&lt;&gt;"")*($AS$11:$AS3456&lt;&gt;"✓")),"")</f>
        <v/>
      </c>
      <c r="AZ3456" s="21" t="str">
        <f>IF(AND($AM3456&lt;&gt;"",$AS3456="✓"),SUMPRODUCT(($AM$11:$AM3456&lt;&gt;"")*($AS$11:$AS3456="✓")),"")</f>
        <v/>
      </c>
      <c r="BA3456" s="21" t="str">
        <f>IF($AL3456="","",$AL3456&amp;"|"&amp;COUNTIF($AL$11:$AL3456,$AL3456))</f>
        <v/>
      </c>
    </row>
    <row r="3457" spans="38:53" ht="15" customHeight="1" x14ac:dyDescent="0.25">
      <c r="AL3457" s="17"/>
      <c r="AM3457" s="12"/>
      <c r="AN3457" s="18"/>
      <c r="AO3457" s="18"/>
      <c r="AP3457" s="10"/>
      <c r="AQ3457" s="10"/>
      <c r="AR3457" s="19"/>
      <c r="AS3457" s="20"/>
      <c r="AT3457" s="19"/>
      <c r="AV3457" s="21">
        <f>IF(AND($AL3457&lt;&gt;"",COUNTIF($AL$11:$AL3457,$AL3457)=1),1,0)</f>
        <v>0</v>
      </c>
      <c r="AW3457" s="21">
        <f t="shared" si="193"/>
        <v>0</v>
      </c>
      <c r="AX3457" s="21" t="str">
        <f t="shared" si="192"/>
        <v/>
      </c>
      <c r="AY3457" s="21" t="str">
        <f>IF(AND($AM3457&lt;&gt;"",$AS3457&lt;&gt;"✓"),SUMPRODUCT(($AM$11:$AM3457&lt;&gt;"")*($AS$11:$AS3457&lt;&gt;"✓")),"")</f>
        <v/>
      </c>
      <c r="AZ3457" s="21" t="str">
        <f>IF(AND($AM3457&lt;&gt;"",$AS3457="✓"),SUMPRODUCT(($AM$11:$AM3457&lt;&gt;"")*($AS$11:$AS3457="✓")),"")</f>
        <v/>
      </c>
      <c r="BA3457" s="21" t="str">
        <f>IF($AL3457="","",$AL3457&amp;"|"&amp;COUNTIF($AL$11:$AL3457,$AL3457))</f>
        <v/>
      </c>
    </row>
    <row r="3458" spans="38:53" ht="15" customHeight="1" x14ac:dyDescent="0.25">
      <c r="AL3458" s="31"/>
      <c r="AM3458" s="26"/>
      <c r="AN3458" s="32"/>
      <c r="AO3458" s="32"/>
      <c r="AP3458" s="24"/>
      <c r="AQ3458" s="24"/>
      <c r="AR3458" s="33"/>
      <c r="AS3458" s="34"/>
      <c r="AT3458" s="33"/>
      <c r="AV3458" s="21">
        <f>IF(AND($AL3458&lt;&gt;"",COUNTIF($AL$11:$AL3458,$AL3458)=1),1,0)</f>
        <v>0</v>
      </c>
      <c r="AW3458" s="21">
        <f t="shared" si="193"/>
        <v>0</v>
      </c>
      <c r="AX3458" s="21" t="str">
        <f t="shared" si="192"/>
        <v/>
      </c>
      <c r="AY3458" s="21" t="str">
        <f>IF(AND($AM3458&lt;&gt;"",$AS3458&lt;&gt;"✓"),SUMPRODUCT(($AM$11:$AM3458&lt;&gt;"")*($AS$11:$AS3458&lt;&gt;"✓")),"")</f>
        <v/>
      </c>
      <c r="AZ3458" s="21" t="str">
        <f>IF(AND($AM3458&lt;&gt;"",$AS3458="✓"),SUMPRODUCT(($AM$11:$AM3458&lt;&gt;"")*($AS$11:$AS3458="✓")),"")</f>
        <v/>
      </c>
      <c r="BA3458" s="21" t="str">
        <f>IF($AL3458="","",$AL3458&amp;"|"&amp;COUNTIF($AL$11:$AL3458,$AL3458))</f>
        <v/>
      </c>
    </row>
    <row r="3459" spans="38:53" ht="15" customHeight="1" x14ac:dyDescent="0.25">
      <c r="AL3459" s="17"/>
      <c r="AM3459" s="12"/>
      <c r="AN3459" s="18"/>
      <c r="AO3459" s="18"/>
      <c r="AP3459" s="10"/>
      <c r="AQ3459" s="10"/>
      <c r="AR3459" s="19"/>
      <c r="AS3459" s="20"/>
      <c r="AT3459" s="19"/>
      <c r="AV3459" s="21">
        <f>IF(AND($AL3459&lt;&gt;"",COUNTIF($AL$11:$AL3459,$AL3459)=1),1,0)</f>
        <v>0</v>
      </c>
      <c r="AW3459" s="21">
        <f t="shared" si="193"/>
        <v>0</v>
      </c>
      <c r="AX3459" s="21" t="str">
        <f t="shared" si="192"/>
        <v/>
      </c>
      <c r="AY3459" s="21" t="str">
        <f>IF(AND($AM3459&lt;&gt;"",$AS3459&lt;&gt;"✓"),SUMPRODUCT(($AM$11:$AM3459&lt;&gt;"")*($AS$11:$AS3459&lt;&gt;"✓")),"")</f>
        <v/>
      </c>
      <c r="AZ3459" s="21" t="str">
        <f>IF(AND($AM3459&lt;&gt;"",$AS3459="✓"),SUMPRODUCT(($AM$11:$AM3459&lt;&gt;"")*($AS$11:$AS3459="✓")),"")</f>
        <v/>
      </c>
      <c r="BA3459" s="21" t="str">
        <f>IF($AL3459="","",$AL3459&amp;"|"&amp;COUNTIF($AL$11:$AL3459,$AL3459))</f>
        <v/>
      </c>
    </row>
    <row r="3460" spans="38:53" ht="15" customHeight="1" x14ac:dyDescent="0.25">
      <c r="AL3460" s="31"/>
      <c r="AM3460" s="26"/>
      <c r="AN3460" s="32"/>
      <c r="AO3460" s="32"/>
      <c r="AP3460" s="24"/>
      <c r="AQ3460" s="24"/>
      <c r="AR3460" s="33"/>
      <c r="AS3460" s="34"/>
      <c r="AT3460" s="33"/>
      <c r="AV3460" s="21">
        <f>IF(AND($AL3460&lt;&gt;"",COUNTIF($AL$11:$AL3460,$AL3460)=1),1,0)</f>
        <v>0</v>
      </c>
      <c r="AW3460" s="21">
        <f t="shared" si="193"/>
        <v>0</v>
      </c>
      <c r="AX3460" s="21" t="str">
        <f t="shared" si="192"/>
        <v/>
      </c>
      <c r="AY3460" s="21" t="str">
        <f>IF(AND($AM3460&lt;&gt;"",$AS3460&lt;&gt;"✓"),SUMPRODUCT(($AM$11:$AM3460&lt;&gt;"")*($AS$11:$AS3460&lt;&gt;"✓")),"")</f>
        <v/>
      </c>
      <c r="AZ3460" s="21" t="str">
        <f>IF(AND($AM3460&lt;&gt;"",$AS3460="✓"),SUMPRODUCT(($AM$11:$AM3460&lt;&gt;"")*($AS$11:$AS3460="✓")),"")</f>
        <v/>
      </c>
      <c r="BA3460" s="21" t="str">
        <f>IF($AL3460="","",$AL3460&amp;"|"&amp;COUNTIF($AL$11:$AL3460,$AL3460))</f>
        <v/>
      </c>
    </row>
    <row r="3461" spans="38:53" ht="15" customHeight="1" x14ac:dyDescent="0.25">
      <c r="AL3461" s="17"/>
      <c r="AM3461" s="12"/>
      <c r="AN3461" s="18"/>
      <c r="AO3461" s="18"/>
      <c r="AP3461" s="10"/>
      <c r="AQ3461" s="10"/>
      <c r="AR3461" s="19"/>
      <c r="AS3461" s="20"/>
      <c r="AT3461" s="19"/>
      <c r="AV3461" s="21">
        <f>IF(AND($AL3461&lt;&gt;"",COUNTIF($AL$11:$AL3461,$AL3461)=1),1,0)</f>
        <v>0</v>
      </c>
      <c r="AW3461" s="21">
        <f t="shared" si="193"/>
        <v>0</v>
      </c>
      <c r="AX3461" s="21" t="str">
        <f t="shared" si="192"/>
        <v/>
      </c>
      <c r="AY3461" s="21" t="str">
        <f>IF(AND($AM3461&lt;&gt;"",$AS3461&lt;&gt;"✓"),SUMPRODUCT(($AM$11:$AM3461&lt;&gt;"")*($AS$11:$AS3461&lt;&gt;"✓")),"")</f>
        <v/>
      </c>
      <c r="AZ3461" s="21" t="str">
        <f>IF(AND($AM3461&lt;&gt;"",$AS3461="✓"),SUMPRODUCT(($AM$11:$AM3461&lt;&gt;"")*($AS$11:$AS3461="✓")),"")</f>
        <v/>
      </c>
      <c r="BA3461" s="21" t="str">
        <f>IF($AL3461="","",$AL3461&amp;"|"&amp;COUNTIF($AL$11:$AL3461,$AL3461))</f>
        <v/>
      </c>
    </row>
    <row r="3462" spans="38:53" ht="15" customHeight="1" x14ac:dyDescent="0.25">
      <c r="AL3462" s="31"/>
      <c r="AM3462" s="26"/>
      <c r="AN3462" s="32"/>
      <c r="AO3462" s="32"/>
      <c r="AP3462" s="24"/>
      <c r="AQ3462" s="24"/>
      <c r="AR3462" s="33"/>
      <c r="AS3462" s="34"/>
      <c r="AT3462" s="33"/>
      <c r="AV3462" s="21">
        <f>IF(AND($AL3462&lt;&gt;"",COUNTIF($AL$11:$AL3462,$AL3462)=1),1,0)</f>
        <v>0</v>
      </c>
      <c r="AW3462" s="21">
        <f t="shared" si="193"/>
        <v>0</v>
      </c>
      <c r="AX3462" s="21" t="str">
        <f t="shared" si="192"/>
        <v/>
      </c>
      <c r="AY3462" s="21" t="str">
        <f>IF(AND($AM3462&lt;&gt;"",$AS3462&lt;&gt;"✓"),SUMPRODUCT(($AM$11:$AM3462&lt;&gt;"")*($AS$11:$AS3462&lt;&gt;"✓")),"")</f>
        <v/>
      </c>
      <c r="AZ3462" s="21" t="str">
        <f>IF(AND($AM3462&lt;&gt;"",$AS3462="✓"),SUMPRODUCT(($AM$11:$AM3462&lt;&gt;"")*($AS$11:$AS3462="✓")),"")</f>
        <v/>
      </c>
      <c r="BA3462" s="21" t="str">
        <f>IF($AL3462="","",$AL3462&amp;"|"&amp;COUNTIF($AL$11:$AL3462,$AL3462))</f>
        <v/>
      </c>
    </row>
    <row r="3463" spans="38:53" ht="15" customHeight="1" x14ac:dyDescent="0.25">
      <c r="AL3463" s="17"/>
      <c r="AM3463" s="12"/>
      <c r="AN3463" s="18"/>
      <c r="AO3463" s="18"/>
      <c r="AP3463" s="10"/>
      <c r="AQ3463" s="10"/>
      <c r="AR3463" s="19"/>
      <c r="AS3463" s="20"/>
      <c r="AT3463" s="19"/>
      <c r="AV3463" s="21">
        <f>IF(AND($AL3463&lt;&gt;"",COUNTIF($AL$11:$AL3463,$AL3463)=1),1,0)</f>
        <v>0</v>
      </c>
      <c r="AW3463" s="21">
        <f t="shared" si="193"/>
        <v>0</v>
      </c>
      <c r="AX3463" s="21" t="str">
        <f t="shared" si="192"/>
        <v/>
      </c>
      <c r="AY3463" s="21" t="str">
        <f>IF(AND($AM3463&lt;&gt;"",$AS3463&lt;&gt;"✓"),SUMPRODUCT(($AM$11:$AM3463&lt;&gt;"")*($AS$11:$AS3463&lt;&gt;"✓")),"")</f>
        <v/>
      </c>
      <c r="AZ3463" s="21" t="str">
        <f>IF(AND($AM3463&lt;&gt;"",$AS3463="✓"),SUMPRODUCT(($AM$11:$AM3463&lt;&gt;"")*($AS$11:$AS3463="✓")),"")</f>
        <v/>
      </c>
      <c r="BA3463" s="21" t="str">
        <f>IF($AL3463="","",$AL3463&amp;"|"&amp;COUNTIF($AL$11:$AL3463,$AL3463))</f>
        <v/>
      </c>
    </row>
    <row r="3464" spans="38:53" ht="15" customHeight="1" x14ac:dyDescent="0.25">
      <c r="AL3464" s="31"/>
      <c r="AM3464" s="26"/>
      <c r="AN3464" s="32"/>
      <c r="AO3464" s="32"/>
      <c r="AP3464" s="24"/>
      <c r="AQ3464" s="24"/>
      <c r="AR3464" s="33"/>
      <c r="AS3464" s="34"/>
      <c r="AT3464" s="33"/>
      <c r="AV3464" s="21">
        <f>IF(AND($AL3464&lt;&gt;"",COUNTIF($AL$11:$AL3464,$AL3464)=1),1,0)</f>
        <v>0</v>
      </c>
      <c r="AW3464" s="21">
        <f t="shared" si="193"/>
        <v>0</v>
      </c>
      <c r="AX3464" s="21" t="str">
        <f t="shared" si="192"/>
        <v/>
      </c>
      <c r="AY3464" s="21" t="str">
        <f>IF(AND($AM3464&lt;&gt;"",$AS3464&lt;&gt;"✓"),SUMPRODUCT(($AM$11:$AM3464&lt;&gt;"")*($AS$11:$AS3464&lt;&gt;"✓")),"")</f>
        <v/>
      </c>
      <c r="AZ3464" s="21" t="str">
        <f>IF(AND($AM3464&lt;&gt;"",$AS3464="✓"),SUMPRODUCT(($AM$11:$AM3464&lt;&gt;"")*($AS$11:$AS3464="✓")),"")</f>
        <v/>
      </c>
      <c r="BA3464" s="21" t="str">
        <f>IF($AL3464="","",$AL3464&amp;"|"&amp;COUNTIF($AL$11:$AL3464,$AL3464))</f>
        <v/>
      </c>
    </row>
    <row r="3465" spans="38:53" ht="15" customHeight="1" x14ac:dyDescent="0.25">
      <c r="AL3465" s="17"/>
      <c r="AM3465" s="12"/>
      <c r="AN3465" s="18"/>
      <c r="AO3465" s="18"/>
      <c r="AP3465" s="10"/>
      <c r="AQ3465" s="10"/>
      <c r="AR3465" s="19"/>
      <c r="AS3465" s="20"/>
      <c r="AT3465" s="19"/>
      <c r="AV3465" s="21">
        <f>IF(AND($AL3465&lt;&gt;"",COUNTIF($AL$11:$AL3465,$AL3465)=1),1,0)</f>
        <v>0</v>
      </c>
      <c r="AW3465" s="21">
        <f t="shared" si="193"/>
        <v>0</v>
      </c>
      <c r="AX3465" s="21" t="str">
        <f t="shared" si="192"/>
        <v/>
      </c>
      <c r="AY3465" s="21" t="str">
        <f>IF(AND($AM3465&lt;&gt;"",$AS3465&lt;&gt;"✓"),SUMPRODUCT(($AM$11:$AM3465&lt;&gt;"")*($AS$11:$AS3465&lt;&gt;"✓")),"")</f>
        <v/>
      </c>
      <c r="AZ3465" s="21" t="str">
        <f>IF(AND($AM3465&lt;&gt;"",$AS3465="✓"),SUMPRODUCT(($AM$11:$AM3465&lt;&gt;"")*($AS$11:$AS3465="✓")),"")</f>
        <v/>
      </c>
      <c r="BA3465" s="21" t="str">
        <f>IF($AL3465="","",$AL3465&amp;"|"&amp;COUNTIF($AL$11:$AL3465,$AL3465))</f>
        <v/>
      </c>
    </row>
    <row r="3466" spans="38:53" ht="15" customHeight="1" x14ac:dyDescent="0.25">
      <c r="AL3466" s="31"/>
      <c r="AM3466" s="26"/>
      <c r="AN3466" s="32"/>
      <c r="AO3466" s="32"/>
      <c r="AP3466" s="24"/>
      <c r="AQ3466" s="24"/>
      <c r="AR3466" s="33"/>
      <c r="AS3466" s="34"/>
      <c r="AT3466" s="33"/>
      <c r="AV3466" s="21">
        <f>IF(AND($AL3466&lt;&gt;"",COUNTIF($AL$11:$AL3466,$AL3466)=1),1,0)</f>
        <v>0</v>
      </c>
      <c r="AW3466" s="21">
        <f t="shared" si="193"/>
        <v>0</v>
      </c>
      <c r="AX3466" s="21" t="str">
        <f t="shared" si="192"/>
        <v/>
      </c>
      <c r="AY3466" s="21" t="str">
        <f>IF(AND($AM3466&lt;&gt;"",$AS3466&lt;&gt;"✓"),SUMPRODUCT(($AM$11:$AM3466&lt;&gt;"")*($AS$11:$AS3466&lt;&gt;"✓")),"")</f>
        <v/>
      </c>
      <c r="AZ3466" s="21" t="str">
        <f>IF(AND($AM3466&lt;&gt;"",$AS3466="✓"),SUMPRODUCT(($AM$11:$AM3466&lt;&gt;"")*($AS$11:$AS3466="✓")),"")</f>
        <v/>
      </c>
      <c r="BA3466" s="21" t="str">
        <f>IF($AL3466="","",$AL3466&amp;"|"&amp;COUNTIF($AL$11:$AL3466,$AL3466))</f>
        <v/>
      </c>
    </row>
    <row r="3467" spans="38:53" ht="15" customHeight="1" x14ac:dyDescent="0.25">
      <c r="AL3467" s="17"/>
      <c r="AM3467" s="12"/>
      <c r="AN3467" s="18"/>
      <c r="AO3467" s="18"/>
      <c r="AP3467" s="10"/>
      <c r="AQ3467" s="10"/>
      <c r="AR3467" s="19"/>
      <c r="AS3467" s="20"/>
      <c r="AT3467" s="19"/>
      <c r="AV3467" s="21">
        <f>IF(AND($AL3467&lt;&gt;"",COUNTIF($AL$11:$AL3467,$AL3467)=1),1,0)</f>
        <v>0</v>
      </c>
      <c r="AW3467" s="21">
        <f t="shared" si="193"/>
        <v>0</v>
      </c>
      <c r="AX3467" s="21" t="str">
        <f t="shared" ref="AX3467:AX3530" si="194">IF(AV3467=1,AW3467,"")</f>
        <v/>
      </c>
      <c r="AY3467" s="21" t="str">
        <f>IF(AND($AM3467&lt;&gt;"",$AS3467&lt;&gt;"✓"),SUMPRODUCT(($AM$11:$AM3467&lt;&gt;"")*($AS$11:$AS3467&lt;&gt;"✓")),"")</f>
        <v/>
      </c>
      <c r="AZ3467" s="21" t="str">
        <f>IF(AND($AM3467&lt;&gt;"",$AS3467="✓"),SUMPRODUCT(($AM$11:$AM3467&lt;&gt;"")*($AS$11:$AS3467="✓")),"")</f>
        <v/>
      </c>
      <c r="BA3467" s="21" t="str">
        <f>IF($AL3467="","",$AL3467&amp;"|"&amp;COUNTIF($AL$11:$AL3467,$AL3467))</f>
        <v/>
      </c>
    </row>
    <row r="3468" spans="38:53" ht="15" customHeight="1" x14ac:dyDescent="0.25">
      <c r="AL3468" s="31"/>
      <c r="AM3468" s="26"/>
      <c r="AN3468" s="32"/>
      <c r="AO3468" s="32"/>
      <c r="AP3468" s="24"/>
      <c r="AQ3468" s="24"/>
      <c r="AR3468" s="33"/>
      <c r="AS3468" s="34"/>
      <c r="AT3468" s="33"/>
      <c r="AV3468" s="21">
        <f>IF(AND($AL3468&lt;&gt;"",COUNTIF($AL$11:$AL3468,$AL3468)=1),1,0)</f>
        <v>0</v>
      </c>
      <c r="AW3468" s="21">
        <f t="shared" ref="AW3468:AW3531" si="195">AW3467+AV3468</f>
        <v>0</v>
      </c>
      <c r="AX3468" s="21" t="str">
        <f t="shared" si="194"/>
        <v/>
      </c>
      <c r="AY3468" s="21" t="str">
        <f>IF(AND($AM3468&lt;&gt;"",$AS3468&lt;&gt;"✓"),SUMPRODUCT(($AM$11:$AM3468&lt;&gt;"")*($AS$11:$AS3468&lt;&gt;"✓")),"")</f>
        <v/>
      </c>
      <c r="AZ3468" s="21" t="str">
        <f>IF(AND($AM3468&lt;&gt;"",$AS3468="✓"),SUMPRODUCT(($AM$11:$AM3468&lt;&gt;"")*($AS$11:$AS3468="✓")),"")</f>
        <v/>
      </c>
      <c r="BA3468" s="21" t="str">
        <f>IF($AL3468="","",$AL3468&amp;"|"&amp;COUNTIF($AL$11:$AL3468,$AL3468))</f>
        <v/>
      </c>
    </row>
    <row r="3469" spans="38:53" ht="15" customHeight="1" x14ac:dyDescent="0.25">
      <c r="AL3469" s="17"/>
      <c r="AM3469" s="12"/>
      <c r="AN3469" s="18"/>
      <c r="AO3469" s="18"/>
      <c r="AP3469" s="10"/>
      <c r="AQ3469" s="10"/>
      <c r="AR3469" s="19"/>
      <c r="AS3469" s="20"/>
      <c r="AT3469" s="19"/>
      <c r="AV3469" s="21">
        <f>IF(AND($AL3469&lt;&gt;"",COUNTIF($AL$11:$AL3469,$AL3469)=1),1,0)</f>
        <v>0</v>
      </c>
      <c r="AW3469" s="21">
        <f t="shared" si="195"/>
        <v>0</v>
      </c>
      <c r="AX3469" s="21" t="str">
        <f t="shared" si="194"/>
        <v/>
      </c>
      <c r="AY3469" s="21" t="str">
        <f>IF(AND($AM3469&lt;&gt;"",$AS3469&lt;&gt;"✓"),SUMPRODUCT(($AM$11:$AM3469&lt;&gt;"")*($AS$11:$AS3469&lt;&gt;"✓")),"")</f>
        <v/>
      </c>
      <c r="AZ3469" s="21" t="str">
        <f>IF(AND($AM3469&lt;&gt;"",$AS3469="✓"),SUMPRODUCT(($AM$11:$AM3469&lt;&gt;"")*($AS$11:$AS3469="✓")),"")</f>
        <v/>
      </c>
      <c r="BA3469" s="21" t="str">
        <f>IF($AL3469="","",$AL3469&amp;"|"&amp;COUNTIF($AL$11:$AL3469,$AL3469))</f>
        <v/>
      </c>
    </row>
    <row r="3470" spans="38:53" ht="15" customHeight="1" x14ac:dyDescent="0.25">
      <c r="AL3470" s="31"/>
      <c r="AM3470" s="26"/>
      <c r="AN3470" s="32"/>
      <c r="AO3470" s="32"/>
      <c r="AP3470" s="24"/>
      <c r="AQ3470" s="24"/>
      <c r="AR3470" s="33"/>
      <c r="AS3470" s="34"/>
      <c r="AT3470" s="33"/>
      <c r="AV3470" s="21">
        <f>IF(AND($AL3470&lt;&gt;"",COUNTIF($AL$11:$AL3470,$AL3470)=1),1,0)</f>
        <v>0</v>
      </c>
      <c r="AW3470" s="21">
        <f t="shared" si="195"/>
        <v>0</v>
      </c>
      <c r="AX3470" s="21" t="str">
        <f t="shared" si="194"/>
        <v/>
      </c>
      <c r="AY3470" s="21" t="str">
        <f>IF(AND($AM3470&lt;&gt;"",$AS3470&lt;&gt;"✓"),SUMPRODUCT(($AM$11:$AM3470&lt;&gt;"")*($AS$11:$AS3470&lt;&gt;"✓")),"")</f>
        <v/>
      </c>
      <c r="AZ3470" s="21" t="str">
        <f>IF(AND($AM3470&lt;&gt;"",$AS3470="✓"),SUMPRODUCT(($AM$11:$AM3470&lt;&gt;"")*($AS$11:$AS3470="✓")),"")</f>
        <v/>
      </c>
      <c r="BA3470" s="21" t="str">
        <f>IF($AL3470="","",$AL3470&amp;"|"&amp;COUNTIF($AL$11:$AL3470,$AL3470))</f>
        <v/>
      </c>
    </row>
    <row r="3471" spans="38:53" ht="15" customHeight="1" x14ac:dyDescent="0.25">
      <c r="AL3471" s="17"/>
      <c r="AM3471" s="12"/>
      <c r="AN3471" s="18"/>
      <c r="AO3471" s="18"/>
      <c r="AP3471" s="10"/>
      <c r="AQ3471" s="10"/>
      <c r="AR3471" s="19"/>
      <c r="AS3471" s="20"/>
      <c r="AT3471" s="19"/>
      <c r="AV3471" s="21">
        <f>IF(AND($AL3471&lt;&gt;"",COUNTIF($AL$11:$AL3471,$AL3471)=1),1,0)</f>
        <v>0</v>
      </c>
      <c r="AW3471" s="21">
        <f t="shared" si="195"/>
        <v>0</v>
      </c>
      <c r="AX3471" s="21" t="str">
        <f t="shared" si="194"/>
        <v/>
      </c>
      <c r="AY3471" s="21" t="str">
        <f>IF(AND($AM3471&lt;&gt;"",$AS3471&lt;&gt;"✓"),SUMPRODUCT(($AM$11:$AM3471&lt;&gt;"")*($AS$11:$AS3471&lt;&gt;"✓")),"")</f>
        <v/>
      </c>
      <c r="AZ3471" s="21" t="str">
        <f>IF(AND($AM3471&lt;&gt;"",$AS3471="✓"),SUMPRODUCT(($AM$11:$AM3471&lt;&gt;"")*($AS$11:$AS3471="✓")),"")</f>
        <v/>
      </c>
      <c r="BA3471" s="21" t="str">
        <f>IF($AL3471="","",$AL3471&amp;"|"&amp;COUNTIF($AL$11:$AL3471,$AL3471))</f>
        <v/>
      </c>
    </row>
    <row r="3472" spans="38:53" ht="15" customHeight="1" x14ac:dyDescent="0.25">
      <c r="AL3472" s="31"/>
      <c r="AM3472" s="26"/>
      <c r="AN3472" s="32"/>
      <c r="AO3472" s="32"/>
      <c r="AP3472" s="24"/>
      <c r="AQ3472" s="24"/>
      <c r="AR3472" s="33"/>
      <c r="AS3472" s="34"/>
      <c r="AT3472" s="33"/>
      <c r="AV3472" s="21">
        <f>IF(AND($AL3472&lt;&gt;"",COUNTIF($AL$11:$AL3472,$AL3472)=1),1,0)</f>
        <v>0</v>
      </c>
      <c r="AW3472" s="21">
        <f t="shared" si="195"/>
        <v>0</v>
      </c>
      <c r="AX3472" s="21" t="str">
        <f t="shared" si="194"/>
        <v/>
      </c>
      <c r="AY3472" s="21" t="str">
        <f>IF(AND($AM3472&lt;&gt;"",$AS3472&lt;&gt;"✓"),SUMPRODUCT(($AM$11:$AM3472&lt;&gt;"")*($AS$11:$AS3472&lt;&gt;"✓")),"")</f>
        <v/>
      </c>
      <c r="AZ3472" s="21" t="str">
        <f>IF(AND($AM3472&lt;&gt;"",$AS3472="✓"),SUMPRODUCT(($AM$11:$AM3472&lt;&gt;"")*($AS$11:$AS3472="✓")),"")</f>
        <v/>
      </c>
      <c r="BA3472" s="21" t="str">
        <f>IF($AL3472="","",$AL3472&amp;"|"&amp;COUNTIF($AL$11:$AL3472,$AL3472))</f>
        <v/>
      </c>
    </row>
    <row r="3473" spans="38:53" ht="15" customHeight="1" x14ac:dyDescent="0.25">
      <c r="AL3473" s="17"/>
      <c r="AM3473" s="12"/>
      <c r="AN3473" s="18"/>
      <c r="AO3473" s="18"/>
      <c r="AP3473" s="10"/>
      <c r="AQ3473" s="10"/>
      <c r="AR3473" s="19"/>
      <c r="AS3473" s="20"/>
      <c r="AT3473" s="19"/>
      <c r="AV3473" s="21">
        <f>IF(AND($AL3473&lt;&gt;"",COUNTIF($AL$11:$AL3473,$AL3473)=1),1,0)</f>
        <v>0</v>
      </c>
      <c r="AW3473" s="21">
        <f t="shared" si="195"/>
        <v>0</v>
      </c>
      <c r="AX3473" s="21" t="str">
        <f t="shared" si="194"/>
        <v/>
      </c>
      <c r="AY3473" s="21" t="str">
        <f>IF(AND($AM3473&lt;&gt;"",$AS3473&lt;&gt;"✓"),SUMPRODUCT(($AM$11:$AM3473&lt;&gt;"")*($AS$11:$AS3473&lt;&gt;"✓")),"")</f>
        <v/>
      </c>
      <c r="AZ3473" s="21" t="str">
        <f>IF(AND($AM3473&lt;&gt;"",$AS3473="✓"),SUMPRODUCT(($AM$11:$AM3473&lt;&gt;"")*($AS$11:$AS3473="✓")),"")</f>
        <v/>
      </c>
      <c r="BA3473" s="21" t="str">
        <f>IF($AL3473="","",$AL3473&amp;"|"&amp;COUNTIF($AL$11:$AL3473,$AL3473))</f>
        <v/>
      </c>
    </row>
    <row r="3474" spans="38:53" ht="15" customHeight="1" x14ac:dyDescent="0.25">
      <c r="AL3474" s="31"/>
      <c r="AM3474" s="26"/>
      <c r="AN3474" s="32"/>
      <c r="AO3474" s="32"/>
      <c r="AP3474" s="24"/>
      <c r="AQ3474" s="24"/>
      <c r="AR3474" s="33"/>
      <c r="AS3474" s="34"/>
      <c r="AT3474" s="33"/>
      <c r="AV3474" s="21">
        <f>IF(AND($AL3474&lt;&gt;"",COUNTIF($AL$11:$AL3474,$AL3474)=1),1,0)</f>
        <v>0</v>
      </c>
      <c r="AW3474" s="21">
        <f t="shared" si="195"/>
        <v>0</v>
      </c>
      <c r="AX3474" s="21" t="str">
        <f t="shared" si="194"/>
        <v/>
      </c>
      <c r="AY3474" s="21" t="str">
        <f>IF(AND($AM3474&lt;&gt;"",$AS3474&lt;&gt;"✓"),SUMPRODUCT(($AM$11:$AM3474&lt;&gt;"")*($AS$11:$AS3474&lt;&gt;"✓")),"")</f>
        <v/>
      </c>
      <c r="AZ3474" s="21" t="str">
        <f>IF(AND($AM3474&lt;&gt;"",$AS3474="✓"),SUMPRODUCT(($AM$11:$AM3474&lt;&gt;"")*($AS$11:$AS3474="✓")),"")</f>
        <v/>
      </c>
      <c r="BA3474" s="21" t="str">
        <f>IF($AL3474="","",$AL3474&amp;"|"&amp;COUNTIF($AL$11:$AL3474,$AL3474))</f>
        <v/>
      </c>
    </row>
    <row r="3475" spans="38:53" ht="15" customHeight="1" x14ac:dyDescent="0.25">
      <c r="AL3475" s="17"/>
      <c r="AM3475" s="12"/>
      <c r="AN3475" s="18"/>
      <c r="AO3475" s="18"/>
      <c r="AP3475" s="10"/>
      <c r="AQ3475" s="10"/>
      <c r="AR3475" s="19"/>
      <c r="AS3475" s="20"/>
      <c r="AT3475" s="19"/>
      <c r="AV3475" s="21">
        <f>IF(AND($AL3475&lt;&gt;"",COUNTIF($AL$11:$AL3475,$AL3475)=1),1,0)</f>
        <v>0</v>
      </c>
      <c r="AW3475" s="21">
        <f t="shared" si="195"/>
        <v>0</v>
      </c>
      <c r="AX3475" s="21" t="str">
        <f t="shared" si="194"/>
        <v/>
      </c>
      <c r="AY3475" s="21" t="str">
        <f>IF(AND($AM3475&lt;&gt;"",$AS3475&lt;&gt;"✓"),SUMPRODUCT(($AM$11:$AM3475&lt;&gt;"")*($AS$11:$AS3475&lt;&gt;"✓")),"")</f>
        <v/>
      </c>
      <c r="AZ3475" s="21" t="str">
        <f>IF(AND($AM3475&lt;&gt;"",$AS3475="✓"),SUMPRODUCT(($AM$11:$AM3475&lt;&gt;"")*($AS$11:$AS3475="✓")),"")</f>
        <v/>
      </c>
      <c r="BA3475" s="21" t="str">
        <f>IF($AL3475="","",$AL3475&amp;"|"&amp;COUNTIF($AL$11:$AL3475,$AL3475))</f>
        <v/>
      </c>
    </row>
    <row r="3476" spans="38:53" ht="15" customHeight="1" x14ac:dyDescent="0.25">
      <c r="AL3476" s="31"/>
      <c r="AM3476" s="26"/>
      <c r="AN3476" s="32"/>
      <c r="AO3476" s="32"/>
      <c r="AP3476" s="24"/>
      <c r="AQ3476" s="24"/>
      <c r="AR3476" s="33"/>
      <c r="AS3476" s="34"/>
      <c r="AT3476" s="33"/>
      <c r="AV3476" s="21">
        <f>IF(AND($AL3476&lt;&gt;"",COUNTIF($AL$11:$AL3476,$AL3476)=1),1,0)</f>
        <v>0</v>
      </c>
      <c r="AW3476" s="21">
        <f t="shared" si="195"/>
        <v>0</v>
      </c>
      <c r="AX3476" s="21" t="str">
        <f t="shared" si="194"/>
        <v/>
      </c>
      <c r="AY3476" s="21" t="str">
        <f>IF(AND($AM3476&lt;&gt;"",$AS3476&lt;&gt;"✓"),SUMPRODUCT(($AM$11:$AM3476&lt;&gt;"")*($AS$11:$AS3476&lt;&gt;"✓")),"")</f>
        <v/>
      </c>
      <c r="AZ3476" s="21" t="str">
        <f>IF(AND($AM3476&lt;&gt;"",$AS3476="✓"),SUMPRODUCT(($AM$11:$AM3476&lt;&gt;"")*($AS$11:$AS3476="✓")),"")</f>
        <v/>
      </c>
      <c r="BA3476" s="21" t="str">
        <f>IF($AL3476="","",$AL3476&amp;"|"&amp;COUNTIF($AL$11:$AL3476,$AL3476))</f>
        <v/>
      </c>
    </row>
    <row r="3477" spans="38:53" ht="15" customHeight="1" x14ac:dyDescent="0.25">
      <c r="AL3477" s="17"/>
      <c r="AM3477" s="12"/>
      <c r="AN3477" s="18"/>
      <c r="AO3477" s="18"/>
      <c r="AP3477" s="10"/>
      <c r="AQ3477" s="10"/>
      <c r="AR3477" s="19"/>
      <c r="AS3477" s="20"/>
      <c r="AT3477" s="19"/>
      <c r="AV3477" s="21">
        <f>IF(AND($AL3477&lt;&gt;"",COUNTIF($AL$11:$AL3477,$AL3477)=1),1,0)</f>
        <v>0</v>
      </c>
      <c r="AW3477" s="21">
        <f t="shared" si="195"/>
        <v>0</v>
      </c>
      <c r="AX3477" s="21" t="str">
        <f t="shared" si="194"/>
        <v/>
      </c>
      <c r="AY3477" s="21" t="str">
        <f>IF(AND($AM3477&lt;&gt;"",$AS3477&lt;&gt;"✓"),SUMPRODUCT(($AM$11:$AM3477&lt;&gt;"")*($AS$11:$AS3477&lt;&gt;"✓")),"")</f>
        <v/>
      </c>
      <c r="AZ3477" s="21" t="str">
        <f>IF(AND($AM3477&lt;&gt;"",$AS3477="✓"),SUMPRODUCT(($AM$11:$AM3477&lt;&gt;"")*($AS$11:$AS3477="✓")),"")</f>
        <v/>
      </c>
      <c r="BA3477" s="21" t="str">
        <f>IF($AL3477="","",$AL3477&amp;"|"&amp;COUNTIF($AL$11:$AL3477,$AL3477))</f>
        <v/>
      </c>
    </row>
    <row r="3478" spans="38:53" ht="15" customHeight="1" x14ac:dyDescent="0.25">
      <c r="AL3478" s="31"/>
      <c r="AM3478" s="26"/>
      <c r="AN3478" s="32"/>
      <c r="AO3478" s="32"/>
      <c r="AP3478" s="24"/>
      <c r="AQ3478" s="24"/>
      <c r="AR3478" s="33"/>
      <c r="AS3478" s="34"/>
      <c r="AT3478" s="33"/>
      <c r="AV3478" s="21">
        <f>IF(AND($AL3478&lt;&gt;"",COUNTIF($AL$11:$AL3478,$AL3478)=1),1,0)</f>
        <v>0</v>
      </c>
      <c r="AW3478" s="21">
        <f t="shared" si="195"/>
        <v>0</v>
      </c>
      <c r="AX3478" s="21" t="str">
        <f t="shared" si="194"/>
        <v/>
      </c>
      <c r="AY3478" s="21" t="str">
        <f>IF(AND($AM3478&lt;&gt;"",$AS3478&lt;&gt;"✓"),SUMPRODUCT(($AM$11:$AM3478&lt;&gt;"")*($AS$11:$AS3478&lt;&gt;"✓")),"")</f>
        <v/>
      </c>
      <c r="AZ3478" s="21" t="str">
        <f>IF(AND($AM3478&lt;&gt;"",$AS3478="✓"),SUMPRODUCT(($AM$11:$AM3478&lt;&gt;"")*($AS$11:$AS3478="✓")),"")</f>
        <v/>
      </c>
      <c r="BA3478" s="21" t="str">
        <f>IF($AL3478="","",$AL3478&amp;"|"&amp;COUNTIF($AL$11:$AL3478,$AL3478))</f>
        <v/>
      </c>
    </row>
    <row r="3479" spans="38:53" ht="15" customHeight="1" x14ac:dyDescent="0.25">
      <c r="AL3479" s="17"/>
      <c r="AM3479" s="12"/>
      <c r="AN3479" s="18"/>
      <c r="AO3479" s="18"/>
      <c r="AP3479" s="10"/>
      <c r="AQ3479" s="10"/>
      <c r="AR3479" s="19"/>
      <c r="AS3479" s="20"/>
      <c r="AT3479" s="19"/>
      <c r="AV3479" s="21">
        <f>IF(AND($AL3479&lt;&gt;"",COUNTIF($AL$11:$AL3479,$AL3479)=1),1,0)</f>
        <v>0</v>
      </c>
      <c r="AW3479" s="21">
        <f t="shared" si="195"/>
        <v>0</v>
      </c>
      <c r="AX3479" s="21" t="str">
        <f t="shared" si="194"/>
        <v/>
      </c>
      <c r="AY3479" s="21" t="str">
        <f>IF(AND($AM3479&lt;&gt;"",$AS3479&lt;&gt;"✓"),SUMPRODUCT(($AM$11:$AM3479&lt;&gt;"")*($AS$11:$AS3479&lt;&gt;"✓")),"")</f>
        <v/>
      </c>
      <c r="AZ3479" s="21" t="str">
        <f>IF(AND($AM3479&lt;&gt;"",$AS3479="✓"),SUMPRODUCT(($AM$11:$AM3479&lt;&gt;"")*($AS$11:$AS3479="✓")),"")</f>
        <v/>
      </c>
      <c r="BA3479" s="21" t="str">
        <f>IF($AL3479="","",$AL3479&amp;"|"&amp;COUNTIF($AL$11:$AL3479,$AL3479))</f>
        <v/>
      </c>
    </row>
    <row r="3480" spans="38:53" ht="15" customHeight="1" x14ac:dyDescent="0.25">
      <c r="AL3480" s="31"/>
      <c r="AM3480" s="26"/>
      <c r="AN3480" s="32"/>
      <c r="AO3480" s="32"/>
      <c r="AP3480" s="24"/>
      <c r="AQ3480" s="24"/>
      <c r="AR3480" s="33"/>
      <c r="AS3480" s="34"/>
      <c r="AT3480" s="33"/>
      <c r="AV3480" s="21">
        <f>IF(AND($AL3480&lt;&gt;"",COUNTIF($AL$11:$AL3480,$AL3480)=1),1,0)</f>
        <v>0</v>
      </c>
      <c r="AW3480" s="21">
        <f t="shared" si="195"/>
        <v>0</v>
      </c>
      <c r="AX3480" s="21" t="str">
        <f t="shared" si="194"/>
        <v/>
      </c>
      <c r="AY3480" s="21" t="str">
        <f>IF(AND($AM3480&lt;&gt;"",$AS3480&lt;&gt;"✓"),SUMPRODUCT(($AM$11:$AM3480&lt;&gt;"")*($AS$11:$AS3480&lt;&gt;"✓")),"")</f>
        <v/>
      </c>
      <c r="AZ3480" s="21" t="str">
        <f>IF(AND($AM3480&lt;&gt;"",$AS3480="✓"),SUMPRODUCT(($AM$11:$AM3480&lt;&gt;"")*($AS$11:$AS3480="✓")),"")</f>
        <v/>
      </c>
      <c r="BA3480" s="21" t="str">
        <f>IF($AL3480="","",$AL3480&amp;"|"&amp;COUNTIF($AL$11:$AL3480,$AL3480))</f>
        <v/>
      </c>
    </row>
    <row r="3481" spans="38:53" ht="15" customHeight="1" x14ac:dyDescent="0.25">
      <c r="AL3481" s="17"/>
      <c r="AM3481" s="12"/>
      <c r="AN3481" s="18"/>
      <c r="AO3481" s="18"/>
      <c r="AP3481" s="10"/>
      <c r="AQ3481" s="10"/>
      <c r="AR3481" s="19"/>
      <c r="AS3481" s="20"/>
      <c r="AT3481" s="19"/>
      <c r="AV3481" s="21">
        <f>IF(AND($AL3481&lt;&gt;"",COUNTIF($AL$11:$AL3481,$AL3481)=1),1,0)</f>
        <v>0</v>
      </c>
      <c r="AW3481" s="21">
        <f t="shared" si="195"/>
        <v>0</v>
      </c>
      <c r="AX3481" s="21" t="str">
        <f t="shared" si="194"/>
        <v/>
      </c>
      <c r="AY3481" s="21" t="str">
        <f>IF(AND($AM3481&lt;&gt;"",$AS3481&lt;&gt;"✓"),SUMPRODUCT(($AM$11:$AM3481&lt;&gt;"")*($AS$11:$AS3481&lt;&gt;"✓")),"")</f>
        <v/>
      </c>
      <c r="AZ3481" s="21" t="str">
        <f>IF(AND($AM3481&lt;&gt;"",$AS3481="✓"),SUMPRODUCT(($AM$11:$AM3481&lt;&gt;"")*($AS$11:$AS3481="✓")),"")</f>
        <v/>
      </c>
      <c r="BA3481" s="21" t="str">
        <f>IF($AL3481="","",$AL3481&amp;"|"&amp;COUNTIF($AL$11:$AL3481,$AL3481))</f>
        <v/>
      </c>
    </row>
    <row r="3482" spans="38:53" ht="15" customHeight="1" x14ac:dyDescent="0.25">
      <c r="AL3482" s="31"/>
      <c r="AM3482" s="26"/>
      <c r="AN3482" s="32"/>
      <c r="AO3482" s="32"/>
      <c r="AP3482" s="24"/>
      <c r="AQ3482" s="24"/>
      <c r="AR3482" s="33"/>
      <c r="AS3482" s="34"/>
      <c r="AT3482" s="33"/>
      <c r="AV3482" s="21">
        <f>IF(AND($AL3482&lt;&gt;"",COUNTIF($AL$11:$AL3482,$AL3482)=1),1,0)</f>
        <v>0</v>
      </c>
      <c r="AW3482" s="21">
        <f t="shared" si="195"/>
        <v>0</v>
      </c>
      <c r="AX3482" s="21" t="str">
        <f t="shared" si="194"/>
        <v/>
      </c>
      <c r="AY3482" s="21" t="str">
        <f>IF(AND($AM3482&lt;&gt;"",$AS3482&lt;&gt;"✓"),SUMPRODUCT(($AM$11:$AM3482&lt;&gt;"")*($AS$11:$AS3482&lt;&gt;"✓")),"")</f>
        <v/>
      </c>
      <c r="AZ3482" s="21" t="str">
        <f>IF(AND($AM3482&lt;&gt;"",$AS3482="✓"),SUMPRODUCT(($AM$11:$AM3482&lt;&gt;"")*($AS$11:$AS3482="✓")),"")</f>
        <v/>
      </c>
      <c r="BA3482" s="21" t="str">
        <f>IF($AL3482="","",$AL3482&amp;"|"&amp;COUNTIF($AL$11:$AL3482,$AL3482))</f>
        <v/>
      </c>
    </row>
    <row r="3483" spans="38:53" ht="15" customHeight="1" x14ac:dyDescent="0.25">
      <c r="AL3483" s="17"/>
      <c r="AM3483" s="12"/>
      <c r="AN3483" s="18"/>
      <c r="AO3483" s="18"/>
      <c r="AP3483" s="10"/>
      <c r="AQ3483" s="10"/>
      <c r="AR3483" s="19"/>
      <c r="AS3483" s="20"/>
      <c r="AT3483" s="19"/>
      <c r="AV3483" s="21">
        <f>IF(AND($AL3483&lt;&gt;"",COUNTIF($AL$11:$AL3483,$AL3483)=1),1,0)</f>
        <v>0</v>
      </c>
      <c r="AW3483" s="21">
        <f t="shared" si="195"/>
        <v>0</v>
      </c>
      <c r="AX3483" s="21" t="str">
        <f t="shared" si="194"/>
        <v/>
      </c>
      <c r="AY3483" s="21" t="str">
        <f>IF(AND($AM3483&lt;&gt;"",$AS3483&lt;&gt;"✓"),SUMPRODUCT(($AM$11:$AM3483&lt;&gt;"")*($AS$11:$AS3483&lt;&gt;"✓")),"")</f>
        <v/>
      </c>
      <c r="AZ3483" s="21" t="str">
        <f>IF(AND($AM3483&lt;&gt;"",$AS3483="✓"),SUMPRODUCT(($AM$11:$AM3483&lt;&gt;"")*($AS$11:$AS3483="✓")),"")</f>
        <v/>
      </c>
      <c r="BA3483" s="21" t="str">
        <f>IF($AL3483="","",$AL3483&amp;"|"&amp;COUNTIF($AL$11:$AL3483,$AL3483))</f>
        <v/>
      </c>
    </row>
    <row r="3484" spans="38:53" ht="15" customHeight="1" x14ac:dyDescent="0.25">
      <c r="AL3484" s="31"/>
      <c r="AM3484" s="26"/>
      <c r="AN3484" s="32"/>
      <c r="AO3484" s="32"/>
      <c r="AP3484" s="24"/>
      <c r="AQ3484" s="24"/>
      <c r="AR3484" s="33"/>
      <c r="AS3484" s="34"/>
      <c r="AT3484" s="33"/>
      <c r="AV3484" s="21">
        <f>IF(AND($AL3484&lt;&gt;"",COUNTIF($AL$11:$AL3484,$AL3484)=1),1,0)</f>
        <v>0</v>
      </c>
      <c r="AW3484" s="21">
        <f t="shared" si="195"/>
        <v>0</v>
      </c>
      <c r="AX3484" s="21" t="str">
        <f t="shared" si="194"/>
        <v/>
      </c>
      <c r="AY3484" s="21" t="str">
        <f>IF(AND($AM3484&lt;&gt;"",$AS3484&lt;&gt;"✓"),SUMPRODUCT(($AM$11:$AM3484&lt;&gt;"")*($AS$11:$AS3484&lt;&gt;"✓")),"")</f>
        <v/>
      </c>
      <c r="AZ3484" s="21" t="str">
        <f>IF(AND($AM3484&lt;&gt;"",$AS3484="✓"),SUMPRODUCT(($AM$11:$AM3484&lt;&gt;"")*($AS$11:$AS3484="✓")),"")</f>
        <v/>
      </c>
      <c r="BA3484" s="21" t="str">
        <f>IF($AL3484="","",$AL3484&amp;"|"&amp;COUNTIF($AL$11:$AL3484,$AL3484))</f>
        <v/>
      </c>
    </row>
    <row r="3485" spans="38:53" ht="15" customHeight="1" x14ac:dyDescent="0.25">
      <c r="AL3485" s="17"/>
      <c r="AM3485" s="12"/>
      <c r="AN3485" s="18"/>
      <c r="AO3485" s="18"/>
      <c r="AP3485" s="10"/>
      <c r="AQ3485" s="10"/>
      <c r="AR3485" s="19"/>
      <c r="AS3485" s="20"/>
      <c r="AT3485" s="19"/>
      <c r="AV3485" s="21">
        <f>IF(AND($AL3485&lt;&gt;"",COUNTIF($AL$11:$AL3485,$AL3485)=1),1,0)</f>
        <v>0</v>
      </c>
      <c r="AW3485" s="21">
        <f t="shared" si="195"/>
        <v>0</v>
      </c>
      <c r="AX3485" s="21" t="str">
        <f t="shared" si="194"/>
        <v/>
      </c>
      <c r="AY3485" s="21" t="str">
        <f>IF(AND($AM3485&lt;&gt;"",$AS3485&lt;&gt;"✓"),SUMPRODUCT(($AM$11:$AM3485&lt;&gt;"")*($AS$11:$AS3485&lt;&gt;"✓")),"")</f>
        <v/>
      </c>
      <c r="AZ3485" s="21" t="str">
        <f>IF(AND($AM3485&lt;&gt;"",$AS3485="✓"),SUMPRODUCT(($AM$11:$AM3485&lt;&gt;"")*($AS$11:$AS3485="✓")),"")</f>
        <v/>
      </c>
      <c r="BA3485" s="21" t="str">
        <f>IF($AL3485="","",$AL3485&amp;"|"&amp;COUNTIF($AL$11:$AL3485,$AL3485))</f>
        <v/>
      </c>
    </row>
    <row r="3486" spans="38:53" ht="15" customHeight="1" x14ac:dyDescent="0.25">
      <c r="AL3486" s="31"/>
      <c r="AM3486" s="26"/>
      <c r="AN3486" s="32"/>
      <c r="AO3486" s="32"/>
      <c r="AP3486" s="24"/>
      <c r="AQ3486" s="24"/>
      <c r="AR3486" s="33"/>
      <c r="AS3486" s="34"/>
      <c r="AT3486" s="33"/>
      <c r="AV3486" s="21">
        <f>IF(AND($AL3486&lt;&gt;"",COUNTIF($AL$11:$AL3486,$AL3486)=1),1,0)</f>
        <v>0</v>
      </c>
      <c r="AW3486" s="21">
        <f t="shared" si="195"/>
        <v>0</v>
      </c>
      <c r="AX3486" s="21" t="str">
        <f t="shared" si="194"/>
        <v/>
      </c>
      <c r="AY3486" s="21" t="str">
        <f>IF(AND($AM3486&lt;&gt;"",$AS3486&lt;&gt;"✓"),SUMPRODUCT(($AM$11:$AM3486&lt;&gt;"")*($AS$11:$AS3486&lt;&gt;"✓")),"")</f>
        <v/>
      </c>
      <c r="AZ3486" s="21" t="str">
        <f>IF(AND($AM3486&lt;&gt;"",$AS3486="✓"),SUMPRODUCT(($AM$11:$AM3486&lt;&gt;"")*($AS$11:$AS3486="✓")),"")</f>
        <v/>
      </c>
      <c r="BA3486" s="21" t="str">
        <f>IF($AL3486="","",$AL3486&amp;"|"&amp;COUNTIF($AL$11:$AL3486,$AL3486))</f>
        <v/>
      </c>
    </row>
    <row r="3487" spans="38:53" ht="15" customHeight="1" x14ac:dyDescent="0.25">
      <c r="AL3487" s="17"/>
      <c r="AM3487" s="12"/>
      <c r="AN3487" s="18"/>
      <c r="AO3487" s="18"/>
      <c r="AP3487" s="10"/>
      <c r="AQ3487" s="10"/>
      <c r="AR3487" s="19"/>
      <c r="AS3487" s="20"/>
      <c r="AT3487" s="19"/>
      <c r="AV3487" s="21">
        <f>IF(AND($AL3487&lt;&gt;"",COUNTIF($AL$11:$AL3487,$AL3487)=1),1,0)</f>
        <v>0</v>
      </c>
      <c r="AW3487" s="21">
        <f t="shared" si="195"/>
        <v>0</v>
      </c>
      <c r="AX3487" s="21" t="str">
        <f t="shared" si="194"/>
        <v/>
      </c>
      <c r="AY3487" s="21" t="str">
        <f>IF(AND($AM3487&lt;&gt;"",$AS3487&lt;&gt;"✓"),SUMPRODUCT(($AM$11:$AM3487&lt;&gt;"")*($AS$11:$AS3487&lt;&gt;"✓")),"")</f>
        <v/>
      </c>
      <c r="AZ3487" s="21" t="str">
        <f>IF(AND($AM3487&lt;&gt;"",$AS3487="✓"),SUMPRODUCT(($AM$11:$AM3487&lt;&gt;"")*($AS$11:$AS3487="✓")),"")</f>
        <v/>
      </c>
      <c r="BA3487" s="21" t="str">
        <f>IF($AL3487="","",$AL3487&amp;"|"&amp;COUNTIF($AL$11:$AL3487,$AL3487))</f>
        <v/>
      </c>
    </row>
    <row r="3488" spans="38:53" ht="15" customHeight="1" x14ac:dyDescent="0.25">
      <c r="AL3488" s="31"/>
      <c r="AM3488" s="26"/>
      <c r="AN3488" s="32"/>
      <c r="AO3488" s="32"/>
      <c r="AP3488" s="24"/>
      <c r="AQ3488" s="24"/>
      <c r="AR3488" s="33"/>
      <c r="AS3488" s="34"/>
      <c r="AT3488" s="33"/>
      <c r="AV3488" s="21">
        <f>IF(AND($AL3488&lt;&gt;"",COUNTIF($AL$11:$AL3488,$AL3488)=1),1,0)</f>
        <v>0</v>
      </c>
      <c r="AW3488" s="21">
        <f t="shared" si="195"/>
        <v>0</v>
      </c>
      <c r="AX3488" s="21" t="str">
        <f t="shared" si="194"/>
        <v/>
      </c>
      <c r="AY3488" s="21" t="str">
        <f>IF(AND($AM3488&lt;&gt;"",$AS3488&lt;&gt;"✓"),SUMPRODUCT(($AM$11:$AM3488&lt;&gt;"")*($AS$11:$AS3488&lt;&gt;"✓")),"")</f>
        <v/>
      </c>
      <c r="AZ3488" s="21" t="str">
        <f>IF(AND($AM3488&lt;&gt;"",$AS3488="✓"),SUMPRODUCT(($AM$11:$AM3488&lt;&gt;"")*($AS$11:$AS3488="✓")),"")</f>
        <v/>
      </c>
      <c r="BA3488" s="21" t="str">
        <f>IF($AL3488="","",$AL3488&amp;"|"&amp;COUNTIF($AL$11:$AL3488,$AL3488))</f>
        <v/>
      </c>
    </row>
    <row r="3489" spans="38:53" ht="15" customHeight="1" x14ac:dyDescent="0.25">
      <c r="AL3489" s="17"/>
      <c r="AM3489" s="12"/>
      <c r="AN3489" s="18"/>
      <c r="AO3489" s="18"/>
      <c r="AP3489" s="10"/>
      <c r="AQ3489" s="10"/>
      <c r="AR3489" s="19"/>
      <c r="AS3489" s="20"/>
      <c r="AT3489" s="19"/>
      <c r="AV3489" s="21">
        <f>IF(AND($AL3489&lt;&gt;"",COUNTIF($AL$11:$AL3489,$AL3489)=1),1,0)</f>
        <v>0</v>
      </c>
      <c r="AW3489" s="21">
        <f t="shared" si="195"/>
        <v>0</v>
      </c>
      <c r="AX3489" s="21" t="str">
        <f t="shared" si="194"/>
        <v/>
      </c>
      <c r="AY3489" s="21" t="str">
        <f>IF(AND($AM3489&lt;&gt;"",$AS3489&lt;&gt;"✓"),SUMPRODUCT(($AM$11:$AM3489&lt;&gt;"")*($AS$11:$AS3489&lt;&gt;"✓")),"")</f>
        <v/>
      </c>
      <c r="AZ3489" s="21" t="str">
        <f>IF(AND($AM3489&lt;&gt;"",$AS3489="✓"),SUMPRODUCT(($AM$11:$AM3489&lt;&gt;"")*($AS$11:$AS3489="✓")),"")</f>
        <v/>
      </c>
      <c r="BA3489" s="21" t="str">
        <f>IF($AL3489="","",$AL3489&amp;"|"&amp;COUNTIF($AL$11:$AL3489,$AL3489))</f>
        <v/>
      </c>
    </row>
    <row r="3490" spans="38:53" ht="15" customHeight="1" x14ac:dyDescent="0.25">
      <c r="AL3490" s="31"/>
      <c r="AM3490" s="26"/>
      <c r="AN3490" s="32"/>
      <c r="AO3490" s="32"/>
      <c r="AP3490" s="24"/>
      <c r="AQ3490" s="24"/>
      <c r="AR3490" s="33"/>
      <c r="AS3490" s="34"/>
      <c r="AT3490" s="33"/>
      <c r="AV3490" s="21">
        <f>IF(AND($AL3490&lt;&gt;"",COUNTIF($AL$11:$AL3490,$AL3490)=1),1,0)</f>
        <v>0</v>
      </c>
      <c r="AW3490" s="21">
        <f t="shared" si="195"/>
        <v>0</v>
      </c>
      <c r="AX3490" s="21" t="str">
        <f t="shared" si="194"/>
        <v/>
      </c>
      <c r="AY3490" s="21" t="str">
        <f>IF(AND($AM3490&lt;&gt;"",$AS3490&lt;&gt;"✓"),SUMPRODUCT(($AM$11:$AM3490&lt;&gt;"")*($AS$11:$AS3490&lt;&gt;"✓")),"")</f>
        <v/>
      </c>
      <c r="AZ3490" s="21" t="str">
        <f>IF(AND($AM3490&lt;&gt;"",$AS3490="✓"),SUMPRODUCT(($AM$11:$AM3490&lt;&gt;"")*($AS$11:$AS3490="✓")),"")</f>
        <v/>
      </c>
      <c r="BA3490" s="21" t="str">
        <f>IF($AL3490="","",$AL3490&amp;"|"&amp;COUNTIF($AL$11:$AL3490,$AL3490))</f>
        <v/>
      </c>
    </row>
    <row r="3491" spans="38:53" ht="15" customHeight="1" x14ac:dyDescent="0.25">
      <c r="AL3491" s="17"/>
      <c r="AM3491" s="12"/>
      <c r="AN3491" s="18"/>
      <c r="AO3491" s="18"/>
      <c r="AP3491" s="10"/>
      <c r="AQ3491" s="10"/>
      <c r="AR3491" s="19"/>
      <c r="AS3491" s="20"/>
      <c r="AT3491" s="19"/>
      <c r="AV3491" s="21">
        <f>IF(AND($AL3491&lt;&gt;"",COUNTIF($AL$11:$AL3491,$AL3491)=1),1,0)</f>
        <v>0</v>
      </c>
      <c r="AW3491" s="21">
        <f t="shared" si="195"/>
        <v>0</v>
      </c>
      <c r="AX3491" s="21" t="str">
        <f t="shared" si="194"/>
        <v/>
      </c>
      <c r="AY3491" s="21" t="str">
        <f>IF(AND($AM3491&lt;&gt;"",$AS3491&lt;&gt;"✓"),SUMPRODUCT(($AM$11:$AM3491&lt;&gt;"")*($AS$11:$AS3491&lt;&gt;"✓")),"")</f>
        <v/>
      </c>
      <c r="AZ3491" s="21" t="str">
        <f>IF(AND($AM3491&lt;&gt;"",$AS3491="✓"),SUMPRODUCT(($AM$11:$AM3491&lt;&gt;"")*($AS$11:$AS3491="✓")),"")</f>
        <v/>
      </c>
      <c r="BA3491" s="21" t="str">
        <f>IF($AL3491="","",$AL3491&amp;"|"&amp;COUNTIF($AL$11:$AL3491,$AL3491))</f>
        <v/>
      </c>
    </row>
    <row r="3492" spans="38:53" ht="15" customHeight="1" x14ac:dyDescent="0.25">
      <c r="AL3492" s="31"/>
      <c r="AM3492" s="26"/>
      <c r="AN3492" s="32"/>
      <c r="AO3492" s="32"/>
      <c r="AP3492" s="24"/>
      <c r="AQ3492" s="24"/>
      <c r="AR3492" s="33"/>
      <c r="AS3492" s="34"/>
      <c r="AT3492" s="33"/>
      <c r="AV3492" s="21">
        <f>IF(AND($AL3492&lt;&gt;"",COUNTIF($AL$11:$AL3492,$AL3492)=1),1,0)</f>
        <v>0</v>
      </c>
      <c r="AW3492" s="21">
        <f t="shared" si="195"/>
        <v>0</v>
      </c>
      <c r="AX3492" s="21" t="str">
        <f t="shared" si="194"/>
        <v/>
      </c>
      <c r="AY3492" s="21" t="str">
        <f>IF(AND($AM3492&lt;&gt;"",$AS3492&lt;&gt;"✓"),SUMPRODUCT(($AM$11:$AM3492&lt;&gt;"")*($AS$11:$AS3492&lt;&gt;"✓")),"")</f>
        <v/>
      </c>
      <c r="AZ3492" s="21" t="str">
        <f>IF(AND($AM3492&lt;&gt;"",$AS3492="✓"),SUMPRODUCT(($AM$11:$AM3492&lt;&gt;"")*($AS$11:$AS3492="✓")),"")</f>
        <v/>
      </c>
      <c r="BA3492" s="21" t="str">
        <f>IF($AL3492="","",$AL3492&amp;"|"&amp;COUNTIF($AL$11:$AL3492,$AL3492))</f>
        <v/>
      </c>
    </row>
    <row r="3493" spans="38:53" ht="15" customHeight="1" x14ac:dyDescent="0.25">
      <c r="AL3493" s="17"/>
      <c r="AM3493" s="12"/>
      <c r="AN3493" s="18"/>
      <c r="AO3493" s="18"/>
      <c r="AP3493" s="10"/>
      <c r="AQ3493" s="10"/>
      <c r="AR3493" s="19"/>
      <c r="AS3493" s="20"/>
      <c r="AT3493" s="19"/>
      <c r="AV3493" s="21">
        <f>IF(AND($AL3493&lt;&gt;"",COUNTIF($AL$11:$AL3493,$AL3493)=1),1,0)</f>
        <v>0</v>
      </c>
      <c r="AW3493" s="21">
        <f t="shared" si="195"/>
        <v>0</v>
      </c>
      <c r="AX3493" s="21" t="str">
        <f t="shared" si="194"/>
        <v/>
      </c>
      <c r="AY3493" s="21" t="str">
        <f>IF(AND($AM3493&lt;&gt;"",$AS3493&lt;&gt;"✓"),SUMPRODUCT(($AM$11:$AM3493&lt;&gt;"")*($AS$11:$AS3493&lt;&gt;"✓")),"")</f>
        <v/>
      </c>
      <c r="AZ3493" s="21" t="str">
        <f>IF(AND($AM3493&lt;&gt;"",$AS3493="✓"),SUMPRODUCT(($AM$11:$AM3493&lt;&gt;"")*($AS$11:$AS3493="✓")),"")</f>
        <v/>
      </c>
      <c r="BA3493" s="21" t="str">
        <f>IF($AL3493="","",$AL3493&amp;"|"&amp;COUNTIF($AL$11:$AL3493,$AL3493))</f>
        <v/>
      </c>
    </row>
    <row r="3494" spans="38:53" ht="15" customHeight="1" x14ac:dyDescent="0.25">
      <c r="AL3494" s="31"/>
      <c r="AM3494" s="26"/>
      <c r="AN3494" s="32"/>
      <c r="AO3494" s="32"/>
      <c r="AP3494" s="24"/>
      <c r="AQ3494" s="24"/>
      <c r="AR3494" s="33"/>
      <c r="AS3494" s="34"/>
      <c r="AT3494" s="33"/>
      <c r="AV3494" s="21">
        <f>IF(AND($AL3494&lt;&gt;"",COUNTIF($AL$11:$AL3494,$AL3494)=1),1,0)</f>
        <v>0</v>
      </c>
      <c r="AW3494" s="21">
        <f t="shared" si="195"/>
        <v>0</v>
      </c>
      <c r="AX3494" s="21" t="str">
        <f t="shared" si="194"/>
        <v/>
      </c>
      <c r="AY3494" s="21" t="str">
        <f>IF(AND($AM3494&lt;&gt;"",$AS3494&lt;&gt;"✓"),SUMPRODUCT(($AM$11:$AM3494&lt;&gt;"")*($AS$11:$AS3494&lt;&gt;"✓")),"")</f>
        <v/>
      </c>
      <c r="AZ3494" s="21" t="str">
        <f>IF(AND($AM3494&lt;&gt;"",$AS3494="✓"),SUMPRODUCT(($AM$11:$AM3494&lt;&gt;"")*($AS$11:$AS3494="✓")),"")</f>
        <v/>
      </c>
      <c r="BA3494" s="21" t="str">
        <f>IF($AL3494="","",$AL3494&amp;"|"&amp;COUNTIF($AL$11:$AL3494,$AL3494))</f>
        <v/>
      </c>
    </row>
    <row r="3495" spans="38:53" ht="15" customHeight="1" x14ac:dyDescent="0.25">
      <c r="AL3495" s="17"/>
      <c r="AM3495" s="12"/>
      <c r="AN3495" s="18"/>
      <c r="AO3495" s="18"/>
      <c r="AP3495" s="10"/>
      <c r="AQ3495" s="10"/>
      <c r="AR3495" s="19"/>
      <c r="AS3495" s="20"/>
      <c r="AT3495" s="19"/>
      <c r="AV3495" s="21">
        <f>IF(AND($AL3495&lt;&gt;"",COUNTIF($AL$11:$AL3495,$AL3495)=1),1,0)</f>
        <v>0</v>
      </c>
      <c r="AW3495" s="21">
        <f t="shared" si="195"/>
        <v>0</v>
      </c>
      <c r="AX3495" s="21" t="str">
        <f t="shared" si="194"/>
        <v/>
      </c>
      <c r="AY3495" s="21" t="str">
        <f>IF(AND($AM3495&lt;&gt;"",$AS3495&lt;&gt;"✓"),SUMPRODUCT(($AM$11:$AM3495&lt;&gt;"")*($AS$11:$AS3495&lt;&gt;"✓")),"")</f>
        <v/>
      </c>
      <c r="AZ3495" s="21" t="str">
        <f>IF(AND($AM3495&lt;&gt;"",$AS3495="✓"),SUMPRODUCT(($AM$11:$AM3495&lt;&gt;"")*($AS$11:$AS3495="✓")),"")</f>
        <v/>
      </c>
      <c r="BA3495" s="21" t="str">
        <f>IF($AL3495="","",$AL3495&amp;"|"&amp;COUNTIF($AL$11:$AL3495,$AL3495))</f>
        <v/>
      </c>
    </row>
    <row r="3496" spans="38:53" ht="15" customHeight="1" x14ac:dyDescent="0.25">
      <c r="AL3496" s="31"/>
      <c r="AM3496" s="26"/>
      <c r="AN3496" s="32"/>
      <c r="AO3496" s="32"/>
      <c r="AP3496" s="24"/>
      <c r="AQ3496" s="24"/>
      <c r="AR3496" s="33"/>
      <c r="AS3496" s="34"/>
      <c r="AT3496" s="33"/>
      <c r="AV3496" s="21">
        <f>IF(AND($AL3496&lt;&gt;"",COUNTIF($AL$11:$AL3496,$AL3496)=1),1,0)</f>
        <v>0</v>
      </c>
      <c r="AW3496" s="21">
        <f t="shared" si="195"/>
        <v>0</v>
      </c>
      <c r="AX3496" s="21" t="str">
        <f t="shared" si="194"/>
        <v/>
      </c>
      <c r="AY3496" s="21" t="str">
        <f>IF(AND($AM3496&lt;&gt;"",$AS3496&lt;&gt;"✓"),SUMPRODUCT(($AM$11:$AM3496&lt;&gt;"")*($AS$11:$AS3496&lt;&gt;"✓")),"")</f>
        <v/>
      </c>
      <c r="AZ3496" s="21" t="str">
        <f>IF(AND($AM3496&lt;&gt;"",$AS3496="✓"),SUMPRODUCT(($AM$11:$AM3496&lt;&gt;"")*($AS$11:$AS3496="✓")),"")</f>
        <v/>
      </c>
      <c r="BA3496" s="21" t="str">
        <f>IF($AL3496="","",$AL3496&amp;"|"&amp;COUNTIF($AL$11:$AL3496,$AL3496))</f>
        <v/>
      </c>
    </row>
    <row r="3497" spans="38:53" ht="15" customHeight="1" x14ac:dyDescent="0.25">
      <c r="AL3497" s="17"/>
      <c r="AM3497" s="12"/>
      <c r="AN3497" s="18"/>
      <c r="AO3497" s="18"/>
      <c r="AP3497" s="10"/>
      <c r="AQ3497" s="10"/>
      <c r="AR3497" s="19"/>
      <c r="AS3497" s="20"/>
      <c r="AT3497" s="19"/>
      <c r="AV3497" s="21">
        <f>IF(AND($AL3497&lt;&gt;"",COUNTIF($AL$11:$AL3497,$AL3497)=1),1,0)</f>
        <v>0</v>
      </c>
      <c r="AW3497" s="21">
        <f t="shared" si="195"/>
        <v>0</v>
      </c>
      <c r="AX3497" s="21" t="str">
        <f t="shared" si="194"/>
        <v/>
      </c>
      <c r="AY3497" s="21" t="str">
        <f>IF(AND($AM3497&lt;&gt;"",$AS3497&lt;&gt;"✓"),SUMPRODUCT(($AM$11:$AM3497&lt;&gt;"")*($AS$11:$AS3497&lt;&gt;"✓")),"")</f>
        <v/>
      </c>
      <c r="AZ3497" s="21" t="str">
        <f>IF(AND($AM3497&lt;&gt;"",$AS3497="✓"),SUMPRODUCT(($AM$11:$AM3497&lt;&gt;"")*($AS$11:$AS3497="✓")),"")</f>
        <v/>
      </c>
      <c r="BA3497" s="21" t="str">
        <f>IF($AL3497="","",$AL3497&amp;"|"&amp;COUNTIF($AL$11:$AL3497,$AL3497))</f>
        <v/>
      </c>
    </row>
    <row r="3498" spans="38:53" ht="15" customHeight="1" x14ac:dyDescent="0.25">
      <c r="AL3498" s="31"/>
      <c r="AM3498" s="26"/>
      <c r="AN3498" s="32"/>
      <c r="AO3498" s="32"/>
      <c r="AP3498" s="24"/>
      <c r="AQ3498" s="24"/>
      <c r="AR3498" s="33"/>
      <c r="AS3498" s="34"/>
      <c r="AT3498" s="33"/>
      <c r="AV3498" s="21">
        <f>IF(AND($AL3498&lt;&gt;"",COUNTIF($AL$11:$AL3498,$AL3498)=1),1,0)</f>
        <v>0</v>
      </c>
      <c r="AW3498" s="21">
        <f t="shared" si="195"/>
        <v>0</v>
      </c>
      <c r="AX3498" s="21" t="str">
        <f t="shared" si="194"/>
        <v/>
      </c>
      <c r="AY3498" s="21" t="str">
        <f>IF(AND($AM3498&lt;&gt;"",$AS3498&lt;&gt;"✓"),SUMPRODUCT(($AM$11:$AM3498&lt;&gt;"")*($AS$11:$AS3498&lt;&gt;"✓")),"")</f>
        <v/>
      </c>
      <c r="AZ3498" s="21" t="str">
        <f>IF(AND($AM3498&lt;&gt;"",$AS3498="✓"),SUMPRODUCT(($AM$11:$AM3498&lt;&gt;"")*($AS$11:$AS3498="✓")),"")</f>
        <v/>
      </c>
      <c r="BA3498" s="21" t="str">
        <f>IF($AL3498="","",$AL3498&amp;"|"&amp;COUNTIF($AL$11:$AL3498,$AL3498))</f>
        <v/>
      </c>
    </row>
    <row r="3499" spans="38:53" ht="15" customHeight="1" x14ac:dyDescent="0.25">
      <c r="AL3499" s="17"/>
      <c r="AM3499" s="12"/>
      <c r="AN3499" s="18"/>
      <c r="AO3499" s="18"/>
      <c r="AP3499" s="10"/>
      <c r="AQ3499" s="10"/>
      <c r="AR3499" s="19"/>
      <c r="AS3499" s="20"/>
      <c r="AT3499" s="19"/>
      <c r="AV3499" s="21">
        <f>IF(AND($AL3499&lt;&gt;"",COUNTIF($AL$11:$AL3499,$AL3499)=1),1,0)</f>
        <v>0</v>
      </c>
      <c r="AW3499" s="21">
        <f t="shared" si="195"/>
        <v>0</v>
      </c>
      <c r="AX3499" s="21" t="str">
        <f t="shared" si="194"/>
        <v/>
      </c>
      <c r="AY3499" s="21" t="str">
        <f>IF(AND($AM3499&lt;&gt;"",$AS3499&lt;&gt;"✓"),SUMPRODUCT(($AM$11:$AM3499&lt;&gt;"")*($AS$11:$AS3499&lt;&gt;"✓")),"")</f>
        <v/>
      </c>
      <c r="AZ3499" s="21" t="str">
        <f>IF(AND($AM3499&lt;&gt;"",$AS3499="✓"),SUMPRODUCT(($AM$11:$AM3499&lt;&gt;"")*($AS$11:$AS3499="✓")),"")</f>
        <v/>
      </c>
      <c r="BA3499" s="21" t="str">
        <f>IF($AL3499="","",$AL3499&amp;"|"&amp;COUNTIF($AL$11:$AL3499,$AL3499))</f>
        <v/>
      </c>
    </row>
    <row r="3500" spans="38:53" ht="15" customHeight="1" x14ac:dyDescent="0.25">
      <c r="AL3500" s="31"/>
      <c r="AM3500" s="26"/>
      <c r="AN3500" s="32"/>
      <c r="AO3500" s="32"/>
      <c r="AP3500" s="24"/>
      <c r="AQ3500" s="24"/>
      <c r="AR3500" s="33"/>
      <c r="AS3500" s="34"/>
      <c r="AT3500" s="33"/>
      <c r="AV3500" s="21">
        <f>IF(AND($AL3500&lt;&gt;"",COUNTIF($AL$11:$AL3500,$AL3500)=1),1,0)</f>
        <v>0</v>
      </c>
      <c r="AW3500" s="21">
        <f t="shared" si="195"/>
        <v>0</v>
      </c>
      <c r="AX3500" s="21" t="str">
        <f t="shared" si="194"/>
        <v/>
      </c>
      <c r="AY3500" s="21" t="str">
        <f>IF(AND($AM3500&lt;&gt;"",$AS3500&lt;&gt;"✓"),SUMPRODUCT(($AM$11:$AM3500&lt;&gt;"")*($AS$11:$AS3500&lt;&gt;"✓")),"")</f>
        <v/>
      </c>
      <c r="AZ3500" s="21" t="str">
        <f>IF(AND($AM3500&lt;&gt;"",$AS3500="✓"),SUMPRODUCT(($AM$11:$AM3500&lt;&gt;"")*($AS$11:$AS3500="✓")),"")</f>
        <v/>
      </c>
      <c r="BA3500" s="21" t="str">
        <f>IF($AL3500="","",$AL3500&amp;"|"&amp;COUNTIF($AL$11:$AL3500,$AL3500))</f>
        <v/>
      </c>
    </row>
    <row r="3501" spans="38:53" ht="15" customHeight="1" x14ac:dyDescent="0.25">
      <c r="AL3501" s="17"/>
      <c r="AM3501" s="12"/>
      <c r="AN3501" s="18"/>
      <c r="AO3501" s="18"/>
      <c r="AP3501" s="10"/>
      <c r="AQ3501" s="10"/>
      <c r="AR3501" s="19"/>
      <c r="AS3501" s="20"/>
      <c r="AT3501" s="19"/>
      <c r="AV3501" s="21">
        <f>IF(AND($AL3501&lt;&gt;"",COUNTIF($AL$11:$AL3501,$AL3501)=1),1,0)</f>
        <v>0</v>
      </c>
      <c r="AW3501" s="21">
        <f t="shared" si="195"/>
        <v>0</v>
      </c>
      <c r="AX3501" s="21" t="str">
        <f t="shared" si="194"/>
        <v/>
      </c>
      <c r="AY3501" s="21" t="str">
        <f>IF(AND($AM3501&lt;&gt;"",$AS3501&lt;&gt;"✓"),SUMPRODUCT(($AM$11:$AM3501&lt;&gt;"")*($AS$11:$AS3501&lt;&gt;"✓")),"")</f>
        <v/>
      </c>
      <c r="AZ3501" s="21" t="str">
        <f>IF(AND($AM3501&lt;&gt;"",$AS3501="✓"),SUMPRODUCT(($AM$11:$AM3501&lt;&gt;"")*($AS$11:$AS3501="✓")),"")</f>
        <v/>
      </c>
      <c r="BA3501" s="21" t="str">
        <f>IF($AL3501="","",$AL3501&amp;"|"&amp;COUNTIF($AL$11:$AL3501,$AL3501))</f>
        <v/>
      </c>
    </row>
    <row r="3502" spans="38:53" ht="15" customHeight="1" x14ac:dyDescent="0.25">
      <c r="AL3502" s="31"/>
      <c r="AM3502" s="26"/>
      <c r="AN3502" s="32"/>
      <c r="AO3502" s="32"/>
      <c r="AP3502" s="24"/>
      <c r="AQ3502" s="24"/>
      <c r="AR3502" s="33"/>
      <c r="AS3502" s="34"/>
      <c r="AT3502" s="33"/>
      <c r="AV3502" s="21">
        <f>IF(AND($AL3502&lt;&gt;"",COUNTIF($AL$11:$AL3502,$AL3502)=1),1,0)</f>
        <v>0</v>
      </c>
      <c r="AW3502" s="21">
        <f t="shared" si="195"/>
        <v>0</v>
      </c>
      <c r="AX3502" s="21" t="str">
        <f t="shared" si="194"/>
        <v/>
      </c>
      <c r="AY3502" s="21" t="str">
        <f>IF(AND($AM3502&lt;&gt;"",$AS3502&lt;&gt;"✓"),SUMPRODUCT(($AM$11:$AM3502&lt;&gt;"")*($AS$11:$AS3502&lt;&gt;"✓")),"")</f>
        <v/>
      </c>
      <c r="AZ3502" s="21" t="str">
        <f>IF(AND($AM3502&lt;&gt;"",$AS3502="✓"),SUMPRODUCT(($AM$11:$AM3502&lt;&gt;"")*($AS$11:$AS3502="✓")),"")</f>
        <v/>
      </c>
      <c r="BA3502" s="21" t="str">
        <f>IF($AL3502="","",$AL3502&amp;"|"&amp;COUNTIF($AL$11:$AL3502,$AL3502))</f>
        <v/>
      </c>
    </row>
    <row r="3503" spans="38:53" ht="15" customHeight="1" x14ac:dyDescent="0.25">
      <c r="AL3503" s="17"/>
      <c r="AM3503" s="12"/>
      <c r="AN3503" s="18"/>
      <c r="AO3503" s="18"/>
      <c r="AP3503" s="10"/>
      <c r="AQ3503" s="10"/>
      <c r="AR3503" s="19"/>
      <c r="AS3503" s="20"/>
      <c r="AT3503" s="19"/>
      <c r="AV3503" s="21">
        <f>IF(AND($AL3503&lt;&gt;"",COUNTIF($AL$11:$AL3503,$AL3503)=1),1,0)</f>
        <v>0</v>
      </c>
      <c r="AW3503" s="21">
        <f t="shared" si="195"/>
        <v>0</v>
      </c>
      <c r="AX3503" s="21" t="str">
        <f t="shared" si="194"/>
        <v/>
      </c>
      <c r="AY3503" s="21" t="str">
        <f>IF(AND($AM3503&lt;&gt;"",$AS3503&lt;&gt;"✓"),SUMPRODUCT(($AM$11:$AM3503&lt;&gt;"")*($AS$11:$AS3503&lt;&gt;"✓")),"")</f>
        <v/>
      </c>
      <c r="AZ3503" s="21" t="str">
        <f>IF(AND($AM3503&lt;&gt;"",$AS3503="✓"),SUMPRODUCT(($AM$11:$AM3503&lt;&gt;"")*($AS$11:$AS3503="✓")),"")</f>
        <v/>
      </c>
      <c r="BA3503" s="21" t="str">
        <f>IF($AL3503="","",$AL3503&amp;"|"&amp;COUNTIF($AL$11:$AL3503,$AL3503))</f>
        <v/>
      </c>
    </row>
    <row r="3504" spans="38:53" ht="15" customHeight="1" x14ac:dyDescent="0.25">
      <c r="AL3504" s="31"/>
      <c r="AM3504" s="26"/>
      <c r="AN3504" s="32"/>
      <c r="AO3504" s="32"/>
      <c r="AP3504" s="24"/>
      <c r="AQ3504" s="24"/>
      <c r="AR3504" s="33"/>
      <c r="AS3504" s="34"/>
      <c r="AT3504" s="33"/>
      <c r="AV3504" s="21">
        <f>IF(AND($AL3504&lt;&gt;"",COUNTIF($AL$11:$AL3504,$AL3504)=1),1,0)</f>
        <v>0</v>
      </c>
      <c r="AW3504" s="21">
        <f t="shared" si="195"/>
        <v>0</v>
      </c>
      <c r="AX3504" s="21" t="str">
        <f t="shared" si="194"/>
        <v/>
      </c>
      <c r="AY3504" s="21" t="str">
        <f>IF(AND($AM3504&lt;&gt;"",$AS3504&lt;&gt;"✓"),SUMPRODUCT(($AM$11:$AM3504&lt;&gt;"")*($AS$11:$AS3504&lt;&gt;"✓")),"")</f>
        <v/>
      </c>
      <c r="AZ3504" s="21" t="str">
        <f>IF(AND($AM3504&lt;&gt;"",$AS3504="✓"),SUMPRODUCT(($AM$11:$AM3504&lt;&gt;"")*($AS$11:$AS3504="✓")),"")</f>
        <v/>
      </c>
      <c r="BA3504" s="21" t="str">
        <f>IF($AL3504="","",$AL3504&amp;"|"&amp;COUNTIF($AL$11:$AL3504,$AL3504))</f>
        <v/>
      </c>
    </row>
    <row r="3505" spans="38:53" ht="15" customHeight="1" x14ac:dyDescent="0.25">
      <c r="AL3505" s="17"/>
      <c r="AM3505" s="12"/>
      <c r="AN3505" s="18"/>
      <c r="AO3505" s="18"/>
      <c r="AP3505" s="10"/>
      <c r="AQ3505" s="10"/>
      <c r="AR3505" s="19"/>
      <c r="AS3505" s="20"/>
      <c r="AT3505" s="19"/>
      <c r="AV3505" s="21">
        <f>IF(AND($AL3505&lt;&gt;"",COUNTIF($AL$11:$AL3505,$AL3505)=1),1,0)</f>
        <v>0</v>
      </c>
      <c r="AW3505" s="21">
        <f t="shared" si="195"/>
        <v>0</v>
      </c>
      <c r="AX3505" s="21" t="str">
        <f t="shared" si="194"/>
        <v/>
      </c>
      <c r="AY3505" s="21" t="str">
        <f>IF(AND($AM3505&lt;&gt;"",$AS3505&lt;&gt;"✓"),SUMPRODUCT(($AM$11:$AM3505&lt;&gt;"")*($AS$11:$AS3505&lt;&gt;"✓")),"")</f>
        <v/>
      </c>
      <c r="AZ3505" s="21" t="str">
        <f>IF(AND($AM3505&lt;&gt;"",$AS3505="✓"),SUMPRODUCT(($AM$11:$AM3505&lt;&gt;"")*($AS$11:$AS3505="✓")),"")</f>
        <v/>
      </c>
      <c r="BA3505" s="21" t="str">
        <f>IF($AL3505="","",$AL3505&amp;"|"&amp;COUNTIF($AL$11:$AL3505,$AL3505))</f>
        <v/>
      </c>
    </row>
    <row r="3506" spans="38:53" ht="15" customHeight="1" x14ac:dyDescent="0.25">
      <c r="AL3506" s="31"/>
      <c r="AM3506" s="26"/>
      <c r="AN3506" s="32"/>
      <c r="AO3506" s="32"/>
      <c r="AP3506" s="24"/>
      <c r="AQ3506" s="24"/>
      <c r="AR3506" s="33"/>
      <c r="AS3506" s="34"/>
      <c r="AT3506" s="33"/>
      <c r="AV3506" s="21">
        <f>IF(AND($AL3506&lt;&gt;"",COUNTIF($AL$11:$AL3506,$AL3506)=1),1,0)</f>
        <v>0</v>
      </c>
      <c r="AW3506" s="21">
        <f t="shared" si="195"/>
        <v>0</v>
      </c>
      <c r="AX3506" s="21" t="str">
        <f t="shared" si="194"/>
        <v/>
      </c>
      <c r="AY3506" s="21" t="str">
        <f>IF(AND($AM3506&lt;&gt;"",$AS3506&lt;&gt;"✓"),SUMPRODUCT(($AM$11:$AM3506&lt;&gt;"")*($AS$11:$AS3506&lt;&gt;"✓")),"")</f>
        <v/>
      </c>
      <c r="AZ3506" s="21" t="str">
        <f>IF(AND($AM3506&lt;&gt;"",$AS3506="✓"),SUMPRODUCT(($AM$11:$AM3506&lt;&gt;"")*($AS$11:$AS3506="✓")),"")</f>
        <v/>
      </c>
      <c r="BA3506" s="21" t="str">
        <f>IF($AL3506="","",$AL3506&amp;"|"&amp;COUNTIF($AL$11:$AL3506,$AL3506))</f>
        <v/>
      </c>
    </row>
    <row r="3507" spans="38:53" ht="15" customHeight="1" x14ac:dyDescent="0.25">
      <c r="AL3507" s="17"/>
      <c r="AM3507" s="12"/>
      <c r="AN3507" s="18"/>
      <c r="AO3507" s="18"/>
      <c r="AP3507" s="10"/>
      <c r="AQ3507" s="10"/>
      <c r="AR3507" s="19"/>
      <c r="AS3507" s="20"/>
      <c r="AT3507" s="19"/>
      <c r="AV3507" s="21">
        <f>IF(AND($AL3507&lt;&gt;"",COUNTIF($AL$11:$AL3507,$AL3507)=1),1,0)</f>
        <v>0</v>
      </c>
      <c r="AW3507" s="21">
        <f t="shared" si="195"/>
        <v>0</v>
      </c>
      <c r="AX3507" s="21" t="str">
        <f t="shared" si="194"/>
        <v/>
      </c>
      <c r="AY3507" s="21" t="str">
        <f>IF(AND($AM3507&lt;&gt;"",$AS3507&lt;&gt;"✓"),SUMPRODUCT(($AM$11:$AM3507&lt;&gt;"")*($AS$11:$AS3507&lt;&gt;"✓")),"")</f>
        <v/>
      </c>
      <c r="AZ3507" s="21" t="str">
        <f>IF(AND($AM3507&lt;&gt;"",$AS3507="✓"),SUMPRODUCT(($AM$11:$AM3507&lt;&gt;"")*($AS$11:$AS3507="✓")),"")</f>
        <v/>
      </c>
      <c r="BA3507" s="21" t="str">
        <f>IF($AL3507="","",$AL3507&amp;"|"&amp;COUNTIF($AL$11:$AL3507,$AL3507))</f>
        <v/>
      </c>
    </row>
    <row r="3508" spans="38:53" ht="15" customHeight="1" x14ac:dyDescent="0.25">
      <c r="AL3508" s="31"/>
      <c r="AM3508" s="26"/>
      <c r="AN3508" s="32"/>
      <c r="AO3508" s="32"/>
      <c r="AP3508" s="24"/>
      <c r="AQ3508" s="24"/>
      <c r="AR3508" s="33"/>
      <c r="AS3508" s="34"/>
      <c r="AT3508" s="33"/>
      <c r="AV3508" s="21">
        <f>IF(AND($AL3508&lt;&gt;"",COUNTIF($AL$11:$AL3508,$AL3508)=1),1,0)</f>
        <v>0</v>
      </c>
      <c r="AW3508" s="21">
        <f t="shared" si="195"/>
        <v>0</v>
      </c>
      <c r="AX3508" s="21" t="str">
        <f t="shared" si="194"/>
        <v/>
      </c>
      <c r="AY3508" s="21" t="str">
        <f>IF(AND($AM3508&lt;&gt;"",$AS3508&lt;&gt;"✓"),SUMPRODUCT(($AM$11:$AM3508&lt;&gt;"")*($AS$11:$AS3508&lt;&gt;"✓")),"")</f>
        <v/>
      </c>
      <c r="AZ3508" s="21" t="str">
        <f>IF(AND($AM3508&lt;&gt;"",$AS3508="✓"),SUMPRODUCT(($AM$11:$AM3508&lt;&gt;"")*($AS$11:$AS3508="✓")),"")</f>
        <v/>
      </c>
      <c r="BA3508" s="21" t="str">
        <f>IF($AL3508="","",$AL3508&amp;"|"&amp;COUNTIF($AL$11:$AL3508,$AL3508))</f>
        <v/>
      </c>
    </row>
    <row r="3509" spans="38:53" ht="15" customHeight="1" x14ac:dyDescent="0.25">
      <c r="AL3509" s="17"/>
      <c r="AM3509" s="12"/>
      <c r="AN3509" s="18"/>
      <c r="AO3509" s="18"/>
      <c r="AP3509" s="10"/>
      <c r="AQ3509" s="10"/>
      <c r="AR3509" s="19"/>
      <c r="AS3509" s="20"/>
      <c r="AT3509" s="19"/>
      <c r="AV3509" s="21">
        <f>IF(AND($AL3509&lt;&gt;"",COUNTIF($AL$11:$AL3509,$AL3509)=1),1,0)</f>
        <v>0</v>
      </c>
      <c r="AW3509" s="21">
        <f t="shared" si="195"/>
        <v>0</v>
      </c>
      <c r="AX3509" s="21" t="str">
        <f t="shared" si="194"/>
        <v/>
      </c>
      <c r="AY3509" s="21" t="str">
        <f>IF(AND($AM3509&lt;&gt;"",$AS3509&lt;&gt;"✓"),SUMPRODUCT(($AM$11:$AM3509&lt;&gt;"")*($AS$11:$AS3509&lt;&gt;"✓")),"")</f>
        <v/>
      </c>
      <c r="AZ3509" s="21" t="str">
        <f>IF(AND($AM3509&lt;&gt;"",$AS3509="✓"),SUMPRODUCT(($AM$11:$AM3509&lt;&gt;"")*($AS$11:$AS3509="✓")),"")</f>
        <v/>
      </c>
      <c r="BA3509" s="21" t="str">
        <f>IF($AL3509="","",$AL3509&amp;"|"&amp;COUNTIF($AL$11:$AL3509,$AL3509))</f>
        <v/>
      </c>
    </row>
    <row r="3510" spans="38:53" ht="15" customHeight="1" x14ac:dyDescent="0.25">
      <c r="AL3510" s="31"/>
      <c r="AM3510" s="26"/>
      <c r="AN3510" s="32"/>
      <c r="AO3510" s="32"/>
      <c r="AP3510" s="24"/>
      <c r="AQ3510" s="24"/>
      <c r="AR3510" s="33"/>
      <c r="AS3510" s="34"/>
      <c r="AT3510" s="33"/>
      <c r="AV3510" s="21">
        <f>IF(AND($AL3510&lt;&gt;"",COUNTIF($AL$11:$AL3510,$AL3510)=1),1,0)</f>
        <v>0</v>
      </c>
      <c r="AW3510" s="21">
        <f t="shared" si="195"/>
        <v>0</v>
      </c>
      <c r="AX3510" s="21" t="str">
        <f t="shared" si="194"/>
        <v/>
      </c>
      <c r="AY3510" s="21" t="str">
        <f>IF(AND($AM3510&lt;&gt;"",$AS3510&lt;&gt;"✓"),SUMPRODUCT(($AM$11:$AM3510&lt;&gt;"")*($AS$11:$AS3510&lt;&gt;"✓")),"")</f>
        <v/>
      </c>
      <c r="AZ3510" s="21" t="str">
        <f>IF(AND($AM3510&lt;&gt;"",$AS3510="✓"),SUMPRODUCT(($AM$11:$AM3510&lt;&gt;"")*($AS$11:$AS3510="✓")),"")</f>
        <v/>
      </c>
      <c r="BA3510" s="21" t="str">
        <f>IF($AL3510="","",$AL3510&amp;"|"&amp;COUNTIF($AL$11:$AL3510,$AL3510))</f>
        <v/>
      </c>
    </row>
    <row r="3511" spans="38:53" ht="15" customHeight="1" x14ac:dyDescent="0.25">
      <c r="AL3511" s="17"/>
      <c r="AM3511" s="12"/>
      <c r="AN3511" s="18"/>
      <c r="AO3511" s="18"/>
      <c r="AP3511" s="10"/>
      <c r="AQ3511" s="10"/>
      <c r="AR3511" s="19"/>
      <c r="AS3511" s="20"/>
      <c r="AT3511" s="19"/>
      <c r="AV3511" s="21">
        <f>IF(AND($AL3511&lt;&gt;"",COUNTIF($AL$11:$AL3511,$AL3511)=1),1,0)</f>
        <v>0</v>
      </c>
      <c r="AW3511" s="21">
        <f t="shared" si="195"/>
        <v>0</v>
      </c>
      <c r="AX3511" s="21" t="str">
        <f t="shared" si="194"/>
        <v/>
      </c>
      <c r="AY3511" s="21" t="str">
        <f>IF(AND($AM3511&lt;&gt;"",$AS3511&lt;&gt;"✓"),SUMPRODUCT(($AM$11:$AM3511&lt;&gt;"")*($AS$11:$AS3511&lt;&gt;"✓")),"")</f>
        <v/>
      </c>
      <c r="AZ3511" s="21" t="str">
        <f>IF(AND($AM3511&lt;&gt;"",$AS3511="✓"),SUMPRODUCT(($AM$11:$AM3511&lt;&gt;"")*($AS$11:$AS3511="✓")),"")</f>
        <v/>
      </c>
      <c r="BA3511" s="21" t="str">
        <f>IF($AL3511="","",$AL3511&amp;"|"&amp;COUNTIF($AL$11:$AL3511,$AL3511))</f>
        <v/>
      </c>
    </row>
    <row r="3512" spans="38:53" ht="15" customHeight="1" x14ac:dyDescent="0.25">
      <c r="AL3512" s="31"/>
      <c r="AM3512" s="26"/>
      <c r="AN3512" s="32"/>
      <c r="AO3512" s="32"/>
      <c r="AP3512" s="24"/>
      <c r="AQ3512" s="24"/>
      <c r="AR3512" s="33"/>
      <c r="AS3512" s="34"/>
      <c r="AT3512" s="33"/>
      <c r="AV3512" s="21">
        <f>IF(AND($AL3512&lt;&gt;"",COUNTIF($AL$11:$AL3512,$AL3512)=1),1,0)</f>
        <v>0</v>
      </c>
      <c r="AW3512" s="21">
        <f t="shared" si="195"/>
        <v>0</v>
      </c>
      <c r="AX3512" s="21" t="str">
        <f t="shared" si="194"/>
        <v/>
      </c>
      <c r="AY3512" s="21" t="str">
        <f>IF(AND($AM3512&lt;&gt;"",$AS3512&lt;&gt;"✓"),SUMPRODUCT(($AM$11:$AM3512&lt;&gt;"")*($AS$11:$AS3512&lt;&gt;"✓")),"")</f>
        <v/>
      </c>
      <c r="AZ3512" s="21" t="str">
        <f>IF(AND($AM3512&lt;&gt;"",$AS3512="✓"),SUMPRODUCT(($AM$11:$AM3512&lt;&gt;"")*($AS$11:$AS3512="✓")),"")</f>
        <v/>
      </c>
      <c r="BA3512" s="21" t="str">
        <f>IF($AL3512="","",$AL3512&amp;"|"&amp;COUNTIF($AL$11:$AL3512,$AL3512))</f>
        <v/>
      </c>
    </row>
    <row r="3513" spans="38:53" ht="15" customHeight="1" x14ac:dyDescent="0.25">
      <c r="AL3513" s="17"/>
      <c r="AM3513" s="12"/>
      <c r="AN3513" s="18"/>
      <c r="AO3513" s="18"/>
      <c r="AP3513" s="10"/>
      <c r="AQ3513" s="10"/>
      <c r="AR3513" s="19"/>
      <c r="AS3513" s="20"/>
      <c r="AT3513" s="19"/>
      <c r="AV3513" s="21">
        <f>IF(AND($AL3513&lt;&gt;"",COUNTIF($AL$11:$AL3513,$AL3513)=1),1,0)</f>
        <v>0</v>
      </c>
      <c r="AW3513" s="21">
        <f t="shared" si="195"/>
        <v>0</v>
      </c>
      <c r="AX3513" s="21" t="str">
        <f t="shared" si="194"/>
        <v/>
      </c>
      <c r="AY3513" s="21" t="str">
        <f>IF(AND($AM3513&lt;&gt;"",$AS3513&lt;&gt;"✓"),SUMPRODUCT(($AM$11:$AM3513&lt;&gt;"")*($AS$11:$AS3513&lt;&gt;"✓")),"")</f>
        <v/>
      </c>
      <c r="AZ3513" s="21" t="str">
        <f>IF(AND($AM3513&lt;&gt;"",$AS3513="✓"),SUMPRODUCT(($AM$11:$AM3513&lt;&gt;"")*($AS$11:$AS3513="✓")),"")</f>
        <v/>
      </c>
      <c r="BA3513" s="21" t="str">
        <f>IF($AL3513="","",$AL3513&amp;"|"&amp;COUNTIF($AL$11:$AL3513,$AL3513))</f>
        <v/>
      </c>
    </row>
    <row r="3514" spans="38:53" ht="15" customHeight="1" x14ac:dyDescent="0.25">
      <c r="AL3514" s="31"/>
      <c r="AM3514" s="26"/>
      <c r="AN3514" s="32"/>
      <c r="AO3514" s="32"/>
      <c r="AP3514" s="24"/>
      <c r="AQ3514" s="24"/>
      <c r="AR3514" s="33"/>
      <c r="AS3514" s="34"/>
      <c r="AT3514" s="33"/>
      <c r="AV3514" s="21">
        <f>IF(AND($AL3514&lt;&gt;"",COUNTIF($AL$11:$AL3514,$AL3514)=1),1,0)</f>
        <v>0</v>
      </c>
      <c r="AW3514" s="21">
        <f t="shared" si="195"/>
        <v>0</v>
      </c>
      <c r="AX3514" s="21" t="str">
        <f t="shared" si="194"/>
        <v/>
      </c>
      <c r="AY3514" s="21" t="str">
        <f>IF(AND($AM3514&lt;&gt;"",$AS3514&lt;&gt;"✓"),SUMPRODUCT(($AM$11:$AM3514&lt;&gt;"")*($AS$11:$AS3514&lt;&gt;"✓")),"")</f>
        <v/>
      </c>
      <c r="AZ3514" s="21" t="str">
        <f>IF(AND($AM3514&lt;&gt;"",$AS3514="✓"),SUMPRODUCT(($AM$11:$AM3514&lt;&gt;"")*($AS$11:$AS3514="✓")),"")</f>
        <v/>
      </c>
      <c r="BA3514" s="21" t="str">
        <f>IF($AL3514="","",$AL3514&amp;"|"&amp;COUNTIF($AL$11:$AL3514,$AL3514))</f>
        <v/>
      </c>
    </row>
    <row r="3515" spans="38:53" ht="15" customHeight="1" x14ac:dyDescent="0.25">
      <c r="AL3515" s="17"/>
      <c r="AM3515" s="12"/>
      <c r="AN3515" s="18"/>
      <c r="AO3515" s="18"/>
      <c r="AP3515" s="10"/>
      <c r="AQ3515" s="10"/>
      <c r="AR3515" s="19"/>
      <c r="AS3515" s="20"/>
      <c r="AT3515" s="19"/>
      <c r="AV3515" s="21">
        <f>IF(AND($AL3515&lt;&gt;"",COUNTIF($AL$11:$AL3515,$AL3515)=1),1,0)</f>
        <v>0</v>
      </c>
      <c r="AW3515" s="21">
        <f t="shared" si="195"/>
        <v>0</v>
      </c>
      <c r="AX3515" s="21" t="str">
        <f t="shared" si="194"/>
        <v/>
      </c>
      <c r="AY3515" s="21" t="str">
        <f>IF(AND($AM3515&lt;&gt;"",$AS3515&lt;&gt;"✓"),SUMPRODUCT(($AM$11:$AM3515&lt;&gt;"")*($AS$11:$AS3515&lt;&gt;"✓")),"")</f>
        <v/>
      </c>
      <c r="AZ3515" s="21" t="str">
        <f>IF(AND($AM3515&lt;&gt;"",$AS3515="✓"),SUMPRODUCT(($AM$11:$AM3515&lt;&gt;"")*($AS$11:$AS3515="✓")),"")</f>
        <v/>
      </c>
      <c r="BA3515" s="21" t="str">
        <f>IF($AL3515="","",$AL3515&amp;"|"&amp;COUNTIF($AL$11:$AL3515,$AL3515))</f>
        <v/>
      </c>
    </row>
    <row r="3516" spans="38:53" ht="15" customHeight="1" x14ac:dyDescent="0.25">
      <c r="AL3516" s="31"/>
      <c r="AM3516" s="26"/>
      <c r="AN3516" s="32"/>
      <c r="AO3516" s="32"/>
      <c r="AP3516" s="24"/>
      <c r="AQ3516" s="24"/>
      <c r="AR3516" s="33"/>
      <c r="AS3516" s="34"/>
      <c r="AT3516" s="33"/>
      <c r="AV3516" s="21">
        <f>IF(AND($AL3516&lt;&gt;"",COUNTIF($AL$11:$AL3516,$AL3516)=1),1,0)</f>
        <v>0</v>
      </c>
      <c r="AW3516" s="21">
        <f t="shared" si="195"/>
        <v>0</v>
      </c>
      <c r="AX3516" s="21" t="str">
        <f t="shared" si="194"/>
        <v/>
      </c>
      <c r="AY3516" s="21" t="str">
        <f>IF(AND($AM3516&lt;&gt;"",$AS3516&lt;&gt;"✓"),SUMPRODUCT(($AM$11:$AM3516&lt;&gt;"")*($AS$11:$AS3516&lt;&gt;"✓")),"")</f>
        <v/>
      </c>
      <c r="AZ3516" s="21" t="str">
        <f>IF(AND($AM3516&lt;&gt;"",$AS3516="✓"),SUMPRODUCT(($AM$11:$AM3516&lt;&gt;"")*($AS$11:$AS3516="✓")),"")</f>
        <v/>
      </c>
      <c r="BA3516" s="21" t="str">
        <f>IF($AL3516="","",$AL3516&amp;"|"&amp;COUNTIF($AL$11:$AL3516,$AL3516))</f>
        <v/>
      </c>
    </row>
    <row r="3517" spans="38:53" ht="15" customHeight="1" x14ac:dyDescent="0.25">
      <c r="AL3517" s="17"/>
      <c r="AM3517" s="12"/>
      <c r="AN3517" s="18"/>
      <c r="AO3517" s="18"/>
      <c r="AP3517" s="10"/>
      <c r="AQ3517" s="10"/>
      <c r="AR3517" s="19"/>
      <c r="AS3517" s="20"/>
      <c r="AT3517" s="19"/>
      <c r="AV3517" s="21">
        <f>IF(AND($AL3517&lt;&gt;"",COUNTIF($AL$11:$AL3517,$AL3517)=1),1,0)</f>
        <v>0</v>
      </c>
      <c r="AW3517" s="21">
        <f t="shared" si="195"/>
        <v>0</v>
      </c>
      <c r="AX3517" s="21" t="str">
        <f t="shared" si="194"/>
        <v/>
      </c>
      <c r="AY3517" s="21" t="str">
        <f>IF(AND($AM3517&lt;&gt;"",$AS3517&lt;&gt;"✓"),SUMPRODUCT(($AM$11:$AM3517&lt;&gt;"")*($AS$11:$AS3517&lt;&gt;"✓")),"")</f>
        <v/>
      </c>
      <c r="AZ3517" s="21" t="str">
        <f>IF(AND($AM3517&lt;&gt;"",$AS3517="✓"),SUMPRODUCT(($AM$11:$AM3517&lt;&gt;"")*($AS$11:$AS3517="✓")),"")</f>
        <v/>
      </c>
      <c r="BA3517" s="21" t="str">
        <f>IF($AL3517="","",$AL3517&amp;"|"&amp;COUNTIF($AL$11:$AL3517,$AL3517))</f>
        <v/>
      </c>
    </row>
    <row r="3518" spans="38:53" ht="15" customHeight="1" x14ac:dyDescent="0.25">
      <c r="AL3518" s="31"/>
      <c r="AM3518" s="26"/>
      <c r="AN3518" s="32"/>
      <c r="AO3518" s="32"/>
      <c r="AP3518" s="24"/>
      <c r="AQ3518" s="24"/>
      <c r="AR3518" s="33"/>
      <c r="AS3518" s="34"/>
      <c r="AT3518" s="33"/>
      <c r="AV3518" s="21">
        <f>IF(AND($AL3518&lt;&gt;"",COUNTIF($AL$11:$AL3518,$AL3518)=1),1,0)</f>
        <v>0</v>
      </c>
      <c r="AW3518" s="21">
        <f t="shared" si="195"/>
        <v>0</v>
      </c>
      <c r="AX3518" s="21" t="str">
        <f t="shared" si="194"/>
        <v/>
      </c>
      <c r="AY3518" s="21" t="str">
        <f>IF(AND($AM3518&lt;&gt;"",$AS3518&lt;&gt;"✓"),SUMPRODUCT(($AM$11:$AM3518&lt;&gt;"")*($AS$11:$AS3518&lt;&gt;"✓")),"")</f>
        <v/>
      </c>
      <c r="AZ3518" s="21" t="str">
        <f>IF(AND($AM3518&lt;&gt;"",$AS3518="✓"),SUMPRODUCT(($AM$11:$AM3518&lt;&gt;"")*($AS$11:$AS3518="✓")),"")</f>
        <v/>
      </c>
      <c r="BA3518" s="21" t="str">
        <f>IF($AL3518="","",$AL3518&amp;"|"&amp;COUNTIF($AL$11:$AL3518,$AL3518))</f>
        <v/>
      </c>
    </row>
    <row r="3519" spans="38:53" ht="15" customHeight="1" x14ac:dyDescent="0.25">
      <c r="AL3519" s="17"/>
      <c r="AM3519" s="12"/>
      <c r="AN3519" s="18"/>
      <c r="AO3519" s="18"/>
      <c r="AP3519" s="10"/>
      <c r="AQ3519" s="10"/>
      <c r="AR3519" s="19"/>
      <c r="AS3519" s="20"/>
      <c r="AT3519" s="19"/>
      <c r="AV3519" s="21">
        <f>IF(AND($AL3519&lt;&gt;"",COUNTIF($AL$11:$AL3519,$AL3519)=1),1,0)</f>
        <v>0</v>
      </c>
      <c r="AW3519" s="21">
        <f t="shared" si="195"/>
        <v>0</v>
      </c>
      <c r="AX3519" s="21" t="str">
        <f t="shared" si="194"/>
        <v/>
      </c>
      <c r="AY3519" s="21" t="str">
        <f>IF(AND($AM3519&lt;&gt;"",$AS3519&lt;&gt;"✓"),SUMPRODUCT(($AM$11:$AM3519&lt;&gt;"")*($AS$11:$AS3519&lt;&gt;"✓")),"")</f>
        <v/>
      </c>
      <c r="AZ3519" s="21" t="str">
        <f>IF(AND($AM3519&lt;&gt;"",$AS3519="✓"),SUMPRODUCT(($AM$11:$AM3519&lt;&gt;"")*($AS$11:$AS3519="✓")),"")</f>
        <v/>
      </c>
      <c r="BA3519" s="21" t="str">
        <f>IF($AL3519="","",$AL3519&amp;"|"&amp;COUNTIF($AL$11:$AL3519,$AL3519))</f>
        <v/>
      </c>
    </row>
    <row r="3520" spans="38:53" ht="15" customHeight="1" x14ac:dyDescent="0.25">
      <c r="AL3520" s="31"/>
      <c r="AM3520" s="26"/>
      <c r="AN3520" s="32"/>
      <c r="AO3520" s="32"/>
      <c r="AP3520" s="24"/>
      <c r="AQ3520" s="24"/>
      <c r="AR3520" s="33"/>
      <c r="AS3520" s="34"/>
      <c r="AT3520" s="33"/>
      <c r="AV3520" s="21">
        <f>IF(AND($AL3520&lt;&gt;"",COUNTIF($AL$11:$AL3520,$AL3520)=1),1,0)</f>
        <v>0</v>
      </c>
      <c r="AW3520" s="21">
        <f t="shared" si="195"/>
        <v>0</v>
      </c>
      <c r="AX3520" s="21" t="str">
        <f t="shared" si="194"/>
        <v/>
      </c>
      <c r="AY3520" s="21" t="str">
        <f>IF(AND($AM3520&lt;&gt;"",$AS3520&lt;&gt;"✓"),SUMPRODUCT(($AM$11:$AM3520&lt;&gt;"")*($AS$11:$AS3520&lt;&gt;"✓")),"")</f>
        <v/>
      </c>
      <c r="AZ3520" s="21" t="str">
        <f>IF(AND($AM3520&lt;&gt;"",$AS3520="✓"),SUMPRODUCT(($AM$11:$AM3520&lt;&gt;"")*($AS$11:$AS3520="✓")),"")</f>
        <v/>
      </c>
      <c r="BA3520" s="21" t="str">
        <f>IF($AL3520="","",$AL3520&amp;"|"&amp;COUNTIF($AL$11:$AL3520,$AL3520))</f>
        <v/>
      </c>
    </row>
    <row r="3521" spans="38:53" ht="15" customHeight="1" x14ac:dyDescent="0.25">
      <c r="AL3521" s="17"/>
      <c r="AM3521" s="12"/>
      <c r="AN3521" s="18"/>
      <c r="AO3521" s="18"/>
      <c r="AP3521" s="10"/>
      <c r="AQ3521" s="10"/>
      <c r="AR3521" s="19"/>
      <c r="AS3521" s="20"/>
      <c r="AT3521" s="19"/>
      <c r="AV3521" s="21">
        <f>IF(AND($AL3521&lt;&gt;"",COUNTIF($AL$11:$AL3521,$AL3521)=1),1,0)</f>
        <v>0</v>
      </c>
      <c r="AW3521" s="21">
        <f t="shared" si="195"/>
        <v>0</v>
      </c>
      <c r="AX3521" s="21" t="str">
        <f t="shared" si="194"/>
        <v/>
      </c>
      <c r="AY3521" s="21" t="str">
        <f>IF(AND($AM3521&lt;&gt;"",$AS3521&lt;&gt;"✓"),SUMPRODUCT(($AM$11:$AM3521&lt;&gt;"")*($AS$11:$AS3521&lt;&gt;"✓")),"")</f>
        <v/>
      </c>
      <c r="AZ3521" s="21" t="str">
        <f>IF(AND($AM3521&lt;&gt;"",$AS3521="✓"),SUMPRODUCT(($AM$11:$AM3521&lt;&gt;"")*($AS$11:$AS3521="✓")),"")</f>
        <v/>
      </c>
      <c r="BA3521" s="21" t="str">
        <f>IF($AL3521="","",$AL3521&amp;"|"&amp;COUNTIF($AL$11:$AL3521,$AL3521))</f>
        <v/>
      </c>
    </row>
    <row r="3522" spans="38:53" ht="15" customHeight="1" x14ac:dyDescent="0.25">
      <c r="AL3522" s="31"/>
      <c r="AM3522" s="26"/>
      <c r="AN3522" s="32"/>
      <c r="AO3522" s="32"/>
      <c r="AP3522" s="24"/>
      <c r="AQ3522" s="24"/>
      <c r="AR3522" s="33"/>
      <c r="AS3522" s="34"/>
      <c r="AT3522" s="33"/>
      <c r="AV3522" s="21">
        <f>IF(AND($AL3522&lt;&gt;"",COUNTIF($AL$11:$AL3522,$AL3522)=1),1,0)</f>
        <v>0</v>
      </c>
      <c r="AW3522" s="21">
        <f t="shared" si="195"/>
        <v>0</v>
      </c>
      <c r="AX3522" s="21" t="str">
        <f t="shared" si="194"/>
        <v/>
      </c>
      <c r="AY3522" s="21" t="str">
        <f>IF(AND($AM3522&lt;&gt;"",$AS3522&lt;&gt;"✓"),SUMPRODUCT(($AM$11:$AM3522&lt;&gt;"")*($AS$11:$AS3522&lt;&gt;"✓")),"")</f>
        <v/>
      </c>
      <c r="AZ3522" s="21" t="str">
        <f>IF(AND($AM3522&lt;&gt;"",$AS3522="✓"),SUMPRODUCT(($AM$11:$AM3522&lt;&gt;"")*($AS$11:$AS3522="✓")),"")</f>
        <v/>
      </c>
      <c r="BA3522" s="21" t="str">
        <f>IF($AL3522="","",$AL3522&amp;"|"&amp;COUNTIF($AL$11:$AL3522,$AL3522))</f>
        <v/>
      </c>
    </row>
    <row r="3523" spans="38:53" ht="15" customHeight="1" x14ac:dyDescent="0.25">
      <c r="AL3523" s="17"/>
      <c r="AM3523" s="12"/>
      <c r="AN3523" s="18"/>
      <c r="AO3523" s="18"/>
      <c r="AP3523" s="10"/>
      <c r="AQ3523" s="10"/>
      <c r="AR3523" s="19"/>
      <c r="AS3523" s="20"/>
      <c r="AT3523" s="19"/>
      <c r="AV3523" s="21">
        <f>IF(AND($AL3523&lt;&gt;"",COUNTIF($AL$11:$AL3523,$AL3523)=1),1,0)</f>
        <v>0</v>
      </c>
      <c r="AW3523" s="21">
        <f t="shared" si="195"/>
        <v>0</v>
      </c>
      <c r="AX3523" s="21" t="str">
        <f t="shared" si="194"/>
        <v/>
      </c>
      <c r="AY3523" s="21" t="str">
        <f>IF(AND($AM3523&lt;&gt;"",$AS3523&lt;&gt;"✓"),SUMPRODUCT(($AM$11:$AM3523&lt;&gt;"")*($AS$11:$AS3523&lt;&gt;"✓")),"")</f>
        <v/>
      </c>
      <c r="AZ3523" s="21" t="str">
        <f>IF(AND($AM3523&lt;&gt;"",$AS3523="✓"),SUMPRODUCT(($AM$11:$AM3523&lt;&gt;"")*($AS$11:$AS3523="✓")),"")</f>
        <v/>
      </c>
      <c r="BA3523" s="21" t="str">
        <f>IF($AL3523="","",$AL3523&amp;"|"&amp;COUNTIF($AL$11:$AL3523,$AL3523))</f>
        <v/>
      </c>
    </row>
    <row r="3524" spans="38:53" ht="15" customHeight="1" x14ac:dyDescent="0.25">
      <c r="AL3524" s="31"/>
      <c r="AM3524" s="26"/>
      <c r="AN3524" s="32"/>
      <c r="AO3524" s="32"/>
      <c r="AP3524" s="24"/>
      <c r="AQ3524" s="24"/>
      <c r="AR3524" s="33"/>
      <c r="AS3524" s="34"/>
      <c r="AT3524" s="33"/>
      <c r="AV3524" s="21">
        <f>IF(AND($AL3524&lt;&gt;"",COUNTIF($AL$11:$AL3524,$AL3524)=1),1,0)</f>
        <v>0</v>
      </c>
      <c r="AW3524" s="21">
        <f t="shared" si="195"/>
        <v>0</v>
      </c>
      <c r="AX3524" s="21" t="str">
        <f t="shared" si="194"/>
        <v/>
      </c>
      <c r="AY3524" s="21" t="str">
        <f>IF(AND($AM3524&lt;&gt;"",$AS3524&lt;&gt;"✓"),SUMPRODUCT(($AM$11:$AM3524&lt;&gt;"")*($AS$11:$AS3524&lt;&gt;"✓")),"")</f>
        <v/>
      </c>
      <c r="AZ3524" s="21" t="str">
        <f>IF(AND($AM3524&lt;&gt;"",$AS3524="✓"),SUMPRODUCT(($AM$11:$AM3524&lt;&gt;"")*($AS$11:$AS3524="✓")),"")</f>
        <v/>
      </c>
      <c r="BA3524" s="21" t="str">
        <f>IF($AL3524="","",$AL3524&amp;"|"&amp;COUNTIF($AL$11:$AL3524,$AL3524))</f>
        <v/>
      </c>
    </row>
    <row r="3525" spans="38:53" ht="15" customHeight="1" x14ac:dyDescent="0.25">
      <c r="AL3525" s="17"/>
      <c r="AM3525" s="12"/>
      <c r="AN3525" s="18"/>
      <c r="AO3525" s="18"/>
      <c r="AP3525" s="10"/>
      <c r="AQ3525" s="10"/>
      <c r="AR3525" s="19"/>
      <c r="AS3525" s="20"/>
      <c r="AT3525" s="19"/>
      <c r="AV3525" s="21">
        <f>IF(AND($AL3525&lt;&gt;"",COUNTIF($AL$11:$AL3525,$AL3525)=1),1,0)</f>
        <v>0</v>
      </c>
      <c r="AW3525" s="21">
        <f t="shared" si="195"/>
        <v>0</v>
      </c>
      <c r="AX3525" s="21" t="str">
        <f t="shared" si="194"/>
        <v/>
      </c>
      <c r="AY3525" s="21" t="str">
        <f>IF(AND($AM3525&lt;&gt;"",$AS3525&lt;&gt;"✓"),SUMPRODUCT(($AM$11:$AM3525&lt;&gt;"")*($AS$11:$AS3525&lt;&gt;"✓")),"")</f>
        <v/>
      </c>
      <c r="AZ3525" s="21" t="str">
        <f>IF(AND($AM3525&lt;&gt;"",$AS3525="✓"),SUMPRODUCT(($AM$11:$AM3525&lt;&gt;"")*($AS$11:$AS3525="✓")),"")</f>
        <v/>
      </c>
      <c r="BA3525" s="21" t="str">
        <f>IF($AL3525="","",$AL3525&amp;"|"&amp;COUNTIF($AL$11:$AL3525,$AL3525))</f>
        <v/>
      </c>
    </row>
    <row r="3526" spans="38:53" ht="15" customHeight="1" x14ac:dyDescent="0.25">
      <c r="AL3526" s="31"/>
      <c r="AM3526" s="26"/>
      <c r="AN3526" s="32"/>
      <c r="AO3526" s="32"/>
      <c r="AP3526" s="24"/>
      <c r="AQ3526" s="24"/>
      <c r="AR3526" s="33"/>
      <c r="AS3526" s="34"/>
      <c r="AT3526" s="33"/>
      <c r="AV3526" s="21">
        <f>IF(AND($AL3526&lt;&gt;"",COUNTIF($AL$11:$AL3526,$AL3526)=1),1,0)</f>
        <v>0</v>
      </c>
      <c r="AW3526" s="21">
        <f t="shared" si="195"/>
        <v>0</v>
      </c>
      <c r="AX3526" s="21" t="str">
        <f t="shared" si="194"/>
        <v/>
      </c>
      <c r="AY3526" s="21" t="str">
        <f>IF(AND($AM3526&lt;&gt;"",$AS3526&lt;&gt;"✓"),SUMPRODUCT(($AM$11:$AM3526&lt;&gt;"")*($AS$11:$AS3526&lt;&gt;"✓")),"")</f>
        <v/>
      </c>
      <c r="AZ3526" s="21" t="str">
        <f>IF(AND($AM3526&lt;&gt;"",$AS3526="✓"),SUMPRODUCT(($AM$11:$AM3526&lt;&gt;"")*($AS$11:$AS3526="✓")),"")</f>
        <v/>
      </c>
      <c r="BA3526" s="21" t="str">
        <f>IF($AL3526="","",$AL3526&amp;"|"&amp;COUNTIF($AL$11:$AL3526,$AL3526))</f>
        <v/>
      </c>
    </row>
    <row r="3527" spans="38:53" ht="15" customHeight="1" x14ac:dyDescent="0.25">
      <c r="AL3527" s="17"/>
      <c r="AM3527" s="12"/>
      <c r="AN3527" s="18"/>
      <c r="AO3527" s="18"/>
      <c r="AP3527" s="10"/>
      <c r="AQ3527" s="10"/>
      <c r="AR3527" s="19"/>
      <c r="AS3527" s="20"/>
      <c r="AT3527" s="19"/>
      <c r="AV3527" s="21">
        <f>IF(AND($AL3527&lt;&gt;"",COUNTIF($AL$11:$AL3527,$AL3527)=1),1,0)</f>
        <v>0</v>
      </c>
      <c r="AW3527" s="21">
        <f t="shared" si="195"/>
        <v>0</v>
      </c>
      <c r="AX3527" s="21" t="str">
        <f t="shared" si="194"/>
        <v/>
      </c>
      <c r="AY3527" s="21" t="str">
        <f>IF(AND($AM3527&lt;&gt;"",$AS3527&lt;&gt;"✓"),SUMPRODUCT(($AM$11:$AM3527&lt;&gt;"")*($AS$11:$AS3527&lt;&gt;"✓")),"")</f>
        <v/>
      </c>
      <c r="AZ3527" s="21" t="str">
        <f>IF(AND($AM3527&lt;&gt;"",$AS3527="✓"),SUMPRODUCT(($AM$11:$AM3527&lt;&gt;"")*($AS$11:$AS3527="✓")),"")</f>
        <v/>
      </c>
      <c r="BA3527" s="21" t="str">
        <f>IF($AL3527="","",$AL3527&amp;"|"&amp;COUNTIF($AL$11:$AL3527,$AL3527))</f>
        <v/>
      </c>
    </row>
    <row r="3528" spans="38:53" ht="15" customHeight="1" x14ac:dyDescent="0.25">
      <c r="AL3528" s="31"/>
      <c r="AM3528" s="26"/>
      <c r="AN3528" s="32"/>
      <c r="AO3528" s="32"/>
      <c r="AP3528" s="24"/>
      <c r="AQ3528" s="24"/>
      <c r="AR3528" s="33"/>
      <c r="AS3528" s="34"/>
      <c r="AT3528" s="33"/>
      <c r="AV3528" s="21">
        <f>IF(AND($AL3528&lt;&gt;"",COUNTIF($AL$11:$AL3528,$AL3528)=1),1,0)</f>
        <v>0</v>
      </c>
      <c r="AW3528" s="21">
        <f t="shared" si="195"/>
        <v>0</v>
      </c>
      <c r="AX3528" s="21" t="str">
        <f t="shared" si="194"/>
        <v/>
      </c>
      <c r="AY3528" s="21" t="str">
        <f>IF(AND($AM3528&lt;&gt;"",$AS3528&lt;&gt;"✓"),SUMPRODUCT(($AM$11:$AM3528&lt;&gt;"")*($AS$11:$AS3528&lt;&gt;"✓")),"")</f>
        <v/>
      </c>
      <c r="AZ3528" s="21" t="str">
        <f>IF(AND($AM3528&lt;&gt;"",$AS3528="✓"),SUMPRODUCT(($AM$11:$AM3528&lt;&gt;"")*($AS$11:$AS3528="✓")),"")</f>
        <v/>
      </c>
      <c r="BA3528" s="21" t="str">
        <f>IF($AL3528="","",$AL3528&amp;"|"&amp;COUNTIF($AL$11:$AL3528,$AL3528))</f>
        <v/>
      </c>
    </row>
    <row r="3529" spans="38:53" ht="15" customHeight="1" x14ac:dyDescent="0.25">
      <c r="AL3529" s="17"/>
      <c r="AM3529" s="12"/>
      <c r="AN3529" s="18"/>
      <c r="AO3529" s="18"/>
      <c r="AP3529" s="10"/>
      <c r="AQ3529" s="10"/>
      <c r="AR3529" s="19"/>
      <c r="AS3529" s="20"/>
      <c r="AT3529" s="19"/>
      <c r="AV3529" s="21">
        <f>IF(AND($AL3529&lt;&gt;"",COUNTIF($AL$11:$AL3529,$AL3529)=1),1,0)</f>
        <v>0</v>
      </c>
      <c r="AW3529" s="21">
        <f t="shared" si="195"/>
        <v>0</v>
      </c>
      <c r="AX3529" s="21" t="str">
        <f t="shared" si="194"/>
        <v/>
      </c>
      <c r="AY3529" s="21" t="str">
        <f>IF(AND($AM3529&lt;&gt;"",$AS3529&lt;&gt;"✓"),SUMPRODUCT(($AM$11:$AM3529&lt;&gt;"")*($AS$11:$AS3529&lt;&gt;"✓")),"")</f>
        <v/>
      </c>
      <c r="AZ3529" s="21" t="str">
        <f>IF(AND($AM3529&lt;&gt;"",$AS3529="✓"),SUMPRODUCT(($AM$11:$AM3529&lt;&gt;"")*($AS$11:$AS3529="✓")),"")</f>
        <v/>
      </c>
      <c r="BA3529" s="21" t="str">
        <f>IF($AL3529="","",$AL3529&amp;"|"&amp;COUNTIF($AL$11:$AL3529,$AL3529))</f>
        <v/>
      </c>
    </row>
    <row r="3530" spans="38:53" ht="15" customHeight="1" x14ac:dyDescent="0.25">
      <c r="AL3530" s="31"/>
      <c r="AM3530" s="26"/>
      <c r="AN3530" s="32"/>
      <c r="AO3530" s="32"/>
      <c r="AP3530" s="24"/>
      <c r="AQ3530" s="24"/>
      <c r="AR3530" s="33"/>
      <c r="AS3530" s="34"/>
      <c r="AT3530" s="33"/>
      <c r="AV3530" s="21">
        <f>IF(AND($AL3530&lt;&gt;"",COUNTIF($AL$11:$AL3530,$AL3530)=1),1,0)</f>
        <v>0</v>
      </c>
      <c r="AW3530" s="21">
        <f t="shared" si="195"/>
        <v>0</v>
      </c>
      <c r="AX3530" s="21" t="str">
        <f t="shared" si="194"/>
        <v/>
      </c>
      <c r="AY3530" s="21" t="str">
        <f>IF(AND($AM3530&lt;&gt;"",$AS3530&lt;&gt;"✓"),SUMPRODUCT(($AM$11:$AM3530&lt;&gt;"")*($AS$11:$AS3530&lt;&gt;"✓")),"")</f>
        <v/>
      </c>
      <c r="AZ3530" s="21" t="str">
        <f>IF(AND($AM3530&lt;&gt;"",$AS3530="✓"),SUMPRODUCT(($AM$11:$AM3530&lt;&gt;"")*($AS$11:$AS3530="✓")),"")</f>
        <v/>
      </c>
      <c r="BA3530" s="21" t="str">
        <f>IF($AL3530="","",$AL3530&amp;"|"&amp;COUNTIF($AL$11:$AL3530,$AL3530))</f>
        <v/>
      </c>
    </row>
    <row r="3531" spans="38:53" ht="15" customHeight="1" x14ac:dyDescent="0.25">
      <c r="AL3531" s="17"/>
      <c r="AM3531" s="12"/>
      <c r="AN3531" s="18"/>
      <c r="AO3531" s="18"/>
      <c r="AP3531" s="10"/>
      <c r="AQ3531" s="10"/>
      <c r="AR3531" s="19"/>
      <c r="AS3531" s="20"/>
      <c r="AT3531" s="19"/>
      <c r="AV3531" s="21">
        <f>IF(AND($AL3531&lt;&gt;"",COUNTIF($AL$11:$AL3531,$AL3531)=1),1,0)</f>
        <v>0</v>
      </c>
      <c r="AW3531" s="21">
        <f t="shared" si="195"/>
        <v>0</v>
      </c>
      <c r="AX3531" s="21" t="str">
        <f t="shared" ref="AX3531:AX3594" si="196">IF(AV3531=1,AW3531,"")</f>
        <v/>
      </c>
      <c r="AY3531" s="21" t="str">
        <f>IF(AND($AM3531&lt;&gt;"",$AS3531&lt;&gt;"✓"),SUMPRODUCT(($AM$11:$AM3531&lt;&gt;"")*($AS$11:$AS3531&lt;&gt;"✓")),"")</f>
        <v/>
      </c>
      <c r="AZ3531" s="21" t="str">
        <f>IF(AND($AM3531&lt;&gt;"",$AS3531="✓"),SUMPRODUCT(($AM$11:$AM3531&lt;&gt;"")*($AS$11:$AS3531="✓")),"")</f>
        <v/>
      </c>
      <c r="BA3531" s="21" t="str">
        <f>IF($AL3531="","",$AL3531&amp;"|"&amp;COUNTIF($AL$11:$AL3531,$AL3531))</f>
        <v/>
      </c>
    </row>
    <row r="3532" spans="38:53" ht="15" customHeight="1" x14ac:dyDescent="0.25">
      <c r="AL3532" s="31"/>
      <c r="AM3532" s="26"/>
      <c r="AN3532" s="32"/>
      <c r="AO3532" s="32"/>
      <c r="AP3532" s="24"/>
      <c r="AQ3532" s="24"/>
      <c r="AR3532" s="33"/>
      <c r="AS3532" s="34"/>
      <c r="AT3532" s="33"/>
      <c r="AV3532" s="21">
        <f>IF(AND($AL3532&lt;&gt;"",COUNTIF($AL$11:$AL3532,$AL3532)=1),1,0)</f>
        <v>0</v>
      </c>
      <c r="AW3532" s="21">
        <f t="shared" ref="AW3532:AW3595" si="197">AW3531+AV3532</f>
        <v>0</v>
      </c>
      <c r="AX3532" s="21" t="str">
        <f t="shared" si="196"/>
        <v/>
      </c>
      <c r="AY3532" s="21" t="str">
        <f>IF(AND($AM3532&lt;&gt;"",$AS3532&lt;&gt;"✓"),SUMPRODUCT(($AM$11:$AM3532&lt;&gt;"")*($AS$11:$AS3532&lt;&gt;"✓")),"")</f>
        <v/>
      </c>
      <c r="AZ3532" s="21" t="str">
        <f>IF(AND($AM3532&lt;&gt;"",$AS3532="✓"),SUMPRODUCT(($AM$11:$AM3532&lt;&gt;"")*($AS$11:$AS3532="✓")),"")</f>
        <v/>
      </c>
      <c r="BA3532" s="21" t="str">
        <f>IF($AL3532="","",$AL3532&amp;"|"&amp;COUNTIF($AL$11:$AL3532,$AL3532))</f>
        <v/>
      </c>
    </row>
    <row r="3533" spans="38:53" ht="15" customHeight="1" x14ac:dyDescent="0.25">
      <c r="AL3533" s="17"/>
      <c r="AM3533" s="12"/>
      <c r="AN3533" s="18"/>
      <c r="AO3533" s="18"/>
      <c r="AP3533" s="10"/>
      <c r="AQ3533" s="10"/>
      <c r="AR3533" s="19"/>
      <c r="AS3533" s="20"/>
      <c r="AT3533" s="19"/>
      <c r="AV3533" s="21">
        <f>IF(AND($AL3533&lt;&gt;"",COUNTIF($AL$11:$AL3533,$AL3533)=1),1,0)</f>
        <v>0</v>
      </c>
      <c r="AW3533" s="21">
        <f t="shared" si="197"/>
        <v>0</v>
      </c>
      <c r="AX3533" s="21" t="str">
        <f t="shared" si="196"/>
        <v/>
      </c>
      <c r="AY3533" s="21" t="str">
        <f>IF(AND($AM3533&lt;&gt;"",$AS3533&lt;&gt;"✓"),SUMPRODUCT(($AM$11:$AM3533&lt;&gt;"")*($AS$11:$AS3533&lt;&gt;"✓")),"")</f>
        <v/>
      </c>
      <c r="AZ3533" s="21" t="str">
        <f>IF(AND($AM3533&lt;&gt;"",$AS3533="✓"),SUMPRODUCT(($AM$11:$AM3533&lt;&gt;"")*($AS$11:$AS3533="✓")),"")</f>
        <v/>
      </c>
      <c r="BA3533" s="21" t="str">
        <f>IF($AL3533="","",$AL3533&amp;"|"&amp;COUNTIF($AL$11:$AL3533,$AL3533))</f>
        <v/>
      </c>
    </row>
    <row r="3534" spans="38:53" ht="15" customHeight="1" x14ac:dyDescent="0.25">
      <c r="AL3534" s="31"/>
      <c r="AM3534" s="26"/>
      <c r="AN3534" s="32"/>
      <c r="AO3534" s="32"/>
      <c r="AP3534" s="24"/>
      <c r="AQ3534" s="24"/>
      <c r="AR3534" s="33"/>
      <c r="AS3534" s="34"/>
      <c r="AT3534" s="33"/>
      <c r="AV3534" s="21">
        <f>IF(AND($AL3534&lt;&gt;"",COUNTIF($AL$11:$AL3534,$AL3534)=1),1,0)</f>
        <v>0</v>
      </c>
      <c r="AW3534" s="21">
        <f t="shared" si="197"/>
        <v>0</v>
      </c>
      <c r="AX3534" s="21" t="str">
        <f t="shared" si="196"/>
        <v/>
      </c>
      <c r="AY3534" s="21" t="str">
        <f>IF(AND($AM3534&lt;&gt;"",$AS3534&lt;&gt;"✓"),SUMPRODUCT(($AM$11:$AM3534&lt;&gt;"")*($AS$11:$AS3534&lt;&gt;"✓")),"")</f>
        <v/>
      </c>
      <c r="AZ3534" s="21" t="str">
        <f>IF(AND($AM3534&lt;&gt;"",$AS3534="✓"),SUMPRODUCT(($AM$11:$AM3534&lt;&gt;"")*($AS$11:$AS3534="✓")),"")</f>
        <v/>
      </c>
      <c r="BA3534" s="21" t="str">
        <f>IF($AL3534="","",$AL3534&amp;"|"&amp;COUNTIF($AL$11:$AL3534,$AL3534))</f>
        <v/>
      </c>
    </row>
    <row r="3535" spans="38:53" ht="15" customHeight="1" x14ac:dyDescent="0.25">
      <c r="AL3535" s="17"/>
      <c r="AM3535" s="12"/>
      <c r="AN3535" s="18"/>
      <c r="AO3535" s="18"/>
      <c r="AP3535" s="10"/>
      <c r="AQ3535" s="10"/>
      <c r="AR3535" s="19"/>
      <c r="AS3535" s="20"/>
      <c r="AT3535" s="19"/>
      <c r="AV3535" s="21">
        <f>IF(AND($AL3535&lt;&gt;"",COUNTIF($AL$11:$AL3535,$AL3535)=1),1,0)</f>
        <v>0</v>
      </c>
      <c r="AW3535" s="21">
        <f t="shared" si="197"/>
        <v>0</v>
      </c>
      <c r="AX3535" s="21" t="str">
        <f t="shared" si="196"/>
        <v/>
      </c>
      <c r="AY3535" s="21" t="str">
        <f>IF(AND($AM3535&lt;&gt;"",$AS3535&lt;&gt;"✓"),SUMPRODUCT(($AM$11:$AM3535&lt;&gt;"")*($AS$11:$AS3535&lt;&gt;"✓")),"")</f>
        <v/>
      </c>
      <c r="AZ3535" s="21" t="str">
        <f>IF(AND($AM3535&lt;&gt;"",$AS3535="✓"),SUMPRODUCT(($AM$11:$AM3535&lt;&gt;"")*($AS$11:$AS3535="✓")),"")</f>
        <v/>
      </c>
      <c r="BA3535" s="21" t="str">
        <f>IF($AL3535="","",$AL3535&amp;"|"&amp;COUNTIF($AL$11:$AL3535,$AL3535))</f>
        <v/>
      </c>
    </row>
    <row r="3536" spans="38:53" ht="15" customHeight="1" x14ac:dyDescent="0.25">
      <c r="AL3536" s="31"/>
      <c r="AM3536" s="26"/>
      <c r="AN3536" s="32"/>
      <c r="AO3536" s="32"/>
      <c r="AP3536" s="24"/>
      <c r="AQ3536" s="24"/>
      <c r="AR3536" s="33"/>
      <c r="AS3536" s="34"/>
      <c r="AT3536" s="33"/>
      <c r="AV3536" s="21">
        <f>IF(AND($AL3536&lt;&gt;"",COUNTIF($AL$11:$AL3536,$AL3536)=1),1,0)</f>
        <v>0</v>
      </c>
      <c r="AW3536" s="21">
        <f t="shared" si="197"/>
        <v>0</v>
      </c>
      <c r="AX3536" s="21" t="str">
        <f t="shared" si="196"/>
        <v/>
      </c>
      <c r="AY3536" s="21" t="str">
        <f>IF(AND($AM3536&lt;&gt;"",$AS3536&lt;&gt;"✓"),SUMPRODUCT(($AM$11:$AM3536&lt;&gt;"")*($AS$11:$AS3536&lt;&gt;"✓")),"")</f>
        <v/>
      </c>
      <c r="AZ3536" s="21" t="str">
        <f>IF(AND($AM3536&lt;&gt;"",$AS3536="✓"),SUMPRODUCT(($AM$11:$AM3536&lt;&gt;"")*($AS$11:$AS3536="✓")),"")</f>
        <v/>
      </c>
      <c r="BA3536" s="21" t="str">
        <f>IF($AL3536="","",$AL3536&amp;"|"&amp;COUNTIF($AL$11:$AL3536,$AL3536))</f>
        <v/>
      </c>
    </row>
    <row r="3537" spans="38:53" ht="15" customHeight="1" x14ac:dyDescent="0.25">
      <c r="AL3537" s="17"/>
      <c r="AM3537" s="12"/>
      <c r="AN3537" s="18"/>
      <c r="AO3537" s="18"/>
      <c r="AP3537" s="10"/>
      <c r="AQ3537" s="10"/>
      <c r="AR3537" s="19"/>
      <c r="AS3537" s="20"/>
      <c r="AT3537" s="19"/>
      <c r="AV3537" s="21">
        <f>IF(AND($AL3537&lt;&gt;"",COUNTIF($AL$11:$AL3537,$AL3537)=1),1,0)</f>
        <v>0</v>
      </c>
      <c r="AW3537" s="21">
        <f t="shared" si="197"/>
        <v>0</v>
      </c>
      <c r="AX3537" s="21" t="str">
        <f t="shared" si="196"/>
        <v/>
      </c>
      <c r="AY3537" s="21" t="str">
        <f>IF(AND($AM3537&lt;&gt;"",$AS3537&lt;&gt;"✓"),SUMPRODUCT(($AM$11:$AM3537&lt;&gt;"")*($AS$11:$AS3537&lt;&gt;"✓")),"")</f>
        <v/>
      </c>
      <c r="AZ3537" s="21" t="str">
        <f>IF(AND($AM3537&lt;&gt;"",$AS3537="✓"),SUMPRODUCT(($AM$11:$AM3537&lt;&gt;"")*($AS$11:$AS3537="✓")),"")</f>
        <v/>
      </c>
      <c r="BA3537" s="21" t="str">
        <f>IF($AL3537="","",$AL3537&amp;"|"&amp;COUNTIF($AL$11:$AL3537,$AL3537))</f>
        <v/>
      </c>
    </row>
    <row r="3538" spans="38:53" ht="15" customHeight="1" x14ac:dyDescent="0.25">
      <c r="AL3538" s="31"/>
      <c r="AM3538" s="26"/>
      <c r="AN3538" s="32"/>
      <c r="AO3538" s="32"/>
      <c r="AP3538" s="24"/>
      <c r="AQ3538" s="24"/>
      <c r="AR3538" s="33"/>
      <c r="AS3538" s="34"/>
      <c r="AT3538" s="33"/>
      <c r="AV3538" s="21">
        <f>IF(AND($AL3538&lt;&gt;"",COUNTIF($AL$11:$AL3538,$AL3538)=1),1,0)</f>
        <v>0</v>
      </c>
      <c r="AW3538" s="21">
        <f t="shared" si="197"/>
        <v>0</v>
      </c>
      <c r="AX3538" s="21" t="str">
        <f t="shared" si="196"/>
        <v/>
      </c>
      <c r="AY3538" s="21" t="str">
        <f>IF(AND($AM3538&lt;&gt;"",$AS3538&lt;&gt;"✓"),SUMPRODUCT(($AM$11:$AM3538&lt;&gt;"")*($AS$11:$AS3538&lt;&gt;"✓")),"")</f>
        <v/>
      </c>
      <c r="AZ3538" s="21" t="str">
        <f>IF(AND($AM3538&lt;&gt;"",$AS3538="✓"),SUMPRODUCT(($AM$11:$AM3538&lt;&gt;"")*($AS$11:$AS3538="✓")),"")</f>
        <v/>
      </c>
      <c r="BA3538" s="21" t="str">
        <f>IF($AL3538="","",$AL3538&amp;"|"&amp;COUNTIF($AL$11:$AL3538,$AL3538))</f>
        <v/>
      </c>
    </row>
    <row r="3539" spans="38:53" ht="15" customHeight="1" x14ac:dyDescent="0.25">
      <c r="AL3539" s="17"/>
      <c r="AM3539" s="12"/>
      <c r="AN3539" s="18"/>
      <c r="AO3539" s="18"/>
      <c r="AP3539" s="10"/>
      <c r="AQ3539" s="10"/>
      <c r="AR3539" s="19"/>
      <c r="AS3539" s="20"/>
      <c r="AT3539" s="19"/>
      <c r="AV3539" s="21">
        <f>IF(AND($AL3539&lt;&gt;"",COUNTIF($AL$11:$AL3539,$AL3539)=1),1,0)</f>
        <v>0</v>
      </c>
      <c r="AW3539" s="21">
        <f t="shared" si="197"/>
        <v>0</v>
      </c>
      <c r="AX3539" s="21" t="str">
        <f t="shared" si="196"/>
        <v/>
      </c>
      <c r="AY3539" s="21" t="str">
        <f>IF(AND($AM3539&lt;&gt;"",$AS3539&lt;&gt;"✓"),SUMPRODUCT(($AM$11:$AM3539&lt;&gt;"")*($AS$11:$AS3539&lt;&gt;"✓")),"")</f>
        <v/>
      </c>
      <c r="AZ3539" s="21" t="str">
        <f>IF(AND($AM3539&lt;&gt;"",$AS3539="✓"),SUMPRODUCT(($AM$11:$AM3539&lt;&gt;"")*($AS$11:$AS3539="✓")),"")</f>
        <v/>
      </c>
      <c r="BA3539" s="21" t="str">
        <f>IF($AL3539="","",$AL3539&amp;"|"&amp;COUNTIF($AL$11:$AL3539,$AL3539))</f>
        <v/>
      </c>
    </row>
    <row r="3540" spans="38:53" ht="15" customHeight="1" x14ac:dyDescent="0.25">
      <c r="AL3540" s="31"/>
      <c r="AM3540" s="26"/>
      <c r="AN3540" s="32"/>
      <c r="AO3540" s="32"/>
      <c r="AP3540" s="24"/>
      <c r="AQ3540" s="24"/>
      <c r="AR3540" s="33"/>
      <c r="AS3540" s="34"/>
      <c r="AT3540" s="33"/>
      <c r="AV3540" s="21">
        <f>IF(AND($AL3540&lt;&gt;"",COUNTIF($AL$11:$AL3540,$AL3540)=1),1,0)</f>
        <v>0</v>
      </c>
      <c r="AW3540" s="21">
        <f t="shared" si="197"/>
        <v>0</v>
      </c>
      <c r="AX3540" s="21" t="str">
        <f t="shared" si="196"/>
        <v/>
      </c>
      <c r="AY3540" s="21" t="str">
        <f>IF(AND($AM3540&lt;&gt;"",$AS3540&lt;&gt;"✓"),SUMPRODUCT(($AM$11:$AM3540&lt;&gt;"")*($AS$11:$AS3540&lt;&gt;"✓")),"")</f>
        <v/>
      </c>
      <c r="AZ3540" s="21" t="str">
        <f>IF(AND($AM3540&lt;&gt;"",$AS3540="✓"),SUMPRODUCT(($AM$11:$AM3540&lt;&gt;"")*($AS$11:$AS3540="✓")),"")</f>
        <v/>
      </c>
      <c r="BA3540" s="21" t="str">
        <f>IF($AL3540="","",$AL3540&amp;"|"&amp;COUNTIF($AL$11:$AL3540,$AL3540))</f>
        <v/>
      </c>
    </row>
    <row r="3541" spans="38:53" ht="15" customHeight="1" x14ac:dyDescent="0.25">
      <c r="AL3541" s="17"/>
      <c r="AM3541" s="12"/>
      <c r="AN3541" s="18"/>
      <c r="AO3541" s="18"/>
      <c r="AP3541" s="10"/>
      <c r="AQ3541" s="10"/>
      <c r="AR3541" s="19"/>
      <c r="AS3541" s="20"/>
      <c r="AT3541" s="19"/>
      <c r="AV3541" s="21">
        <f>IF(AND($AL3541&lt;&gt;"",COUNTIF($AL$11:$AL3541,$AL3541)=1),1,0)</f>
        <v>0</v>
      </c>
      <c r="AW3541" s="21">
        <f t="shared" si="197"/>
        <v>0</v>
      </c>
      <c r="AX3541" s="21" t="str">
        <f t="shared" si="196"/>
        <v/>
      </c>
      <c r="AY3541" s="21" t="str">
        <f>IF(AND($AM3541&lt;&gt;"",$AS3541&lt;&gt;"✓"),SUMPRODUCT(($AM$11:$AM3541&lt;&gt;"")*($AS$11:$AS3541&lt;&gt;"✓")),"")</f>
        <v/>
      </c>
      <c r="AZ3541" s="21" t="str">
        <f>IF(AND($AM3541&lt;&gt;"",$AS3541="✓"),SUMPRODUCT(($AM$11:$AM3541&lt;&gt;"")*($AS$11:$AS3541="✓")),"")</f>
        <v/>
      </c>
      <c r="BA3541" s="21" t="str">
        <f>IF($AL3541="","",$AL3541&amp;"|"&amp;COUNTIF($AL$11:$AL3541,$AL3541))</f>
        <v/>
      </c>
    </row>
    <row r="3542" spans="38:53" ht="15" customHeight="1" x14ac:dyDescent="0.25">
      <c r="AL3542" s="31"/>
      <c r="AM3542" s="26"/>
      <c r="AN3542" s="32"/>
      <c r="AO3542" s="32"/>
      <c r="AP3542" s="24"/>
      <c r="AQ3542" s="24"/>
      <c r="AR3542" s="33"/>
      <c r="AS3542" s="34"/>
      <c r="AT3542" s="33"/>
      <c r="AV3542" s="21">
        <f>IF(AND($AL3542&lt;&gt;"",COUNTIF($AL$11:$AL3542,$AL3542)=1),1,0)</f>
        <v>0</v>
      </c>
      <c r="AW3542" s="21">
        <f t="shared" si="197"/>
        <v>0</v>
      </c>
      <c r="AX3542" s="21" t="str">
        <f t="shared" si="196"/>
        <v/>
      </c>
      <c r="AY3542" s="21" t="str">
        <f>IF(AND($AM3542&lt;&gt;"",$AS3542&lt;&gt;"✓"),SUMPRODUCT(($AM$11:$AM3542&lt;&gt;"")*($AS$11:$AS3542&lt;&gt;"✓")),"")</f>
        <v/>
      </c>
      <c r="AZ3542" s="21" t="str">
        <f>IF(AND($AM3542&lt;&gt;"",$AS3542="✓"),SUMPRODUCT(($AM$11:$AM3542&lt;&gt;"")*($AS$11:$AS3542="✓")),"")</f>
        <v/>
      </c>
      <c r="BA3542" s="21" t="str">
        <f>IF($AL3542="","",$AL3542&amp;"|"&amp;COUNTIF($AL$11:$AL3542,$AL3542))</f>
        <v/>
      </c>
    </row>
    <row r="3543" spans="38:53" ht="15" customHeight="1" x14ac:dyDescent="0.25">
      <c r="AL3543" s="17"/>
      <c r="AM3543" s="12"/>
      <c r="AN3543" s="18"/>
      <c r="AO3543" s="18"/>
      <c r="AP3543" s="10"/>
      <c r="AQ3543" s="10"/>
      <c r="AR3543" s="19"/>
      <c r="AS3543" s="20"/>
      <c r="AT3543" s="19"/>
      <c r="AV3543" s="21">
        <f>IF(AND($AL3543&lt;&gt;"",COUNTIF($AL$11:$AL3543,$AL3543)=1),1,0)</f>
        <v>0</v>
      </c>
      <c r="AW3543" s="21">
        <f t="shared" si="197"/>
        <v>0</v>
      </c>
      <c r="AX3543" s="21" t="str">
        <f t="shared" si="196"/>
        <v/>
      </c>
      <c r="AY3543" s="21" t="str">
        <f>IF(AND($AM3543&lt;&gt;"",$AS3543&lt;&gt;"✓"),SUMPRODUCT(($AM$11:$AM3543&lt;&gt;"")*($AS$11:$AS3543&lt;&gt;"✓")),"")</f>
        <v/>
      </c>
      <c r="AZ3543" s="21" t="str">
        <f>IF(AND($AM3543&lt;&gt;"",$AS3543="✓"),SUMPRODUCT(($AM$11:$AM3543&lt;&gt;"")*($AS$11:$AS3543="✓")),"")</f>
        <v/>
      </c>
      <c r="BA3543" s="21" t="str">
        <f>IF($AL3543="","",$AL3543&amp;"|"&amp;COUNTIF($AL$11:$AL3543,$AL3543))</f>
        <v/>
      </c>
    </row>
    <row r="3544" spans="38:53" ht="15" customHeight="1" x14ac:dyDescent="0.25">
      <c r="AL3544" s="31"/>
      <c r="AM3544" s="26"/>
      <c r="AN3544" s="32"/>
      <c r="AO3544" s="32"/>
      <c r="AP3544" s="24"/>
      <c r="AQ3544" s="24"/>
      <c r="AR3544" s="33"/>
      <c r="AS3544" s="34"/>
      <c r="AT3544" s="33"/>
      <c r="AV3544" s="21">
        <f>IF(AND($AL3544&lt;&gt;"",COUNTIF($AL$11:$AL3544,$AL3544)=1),1,0)</f>
        <v>0</v>
      </c>
      <c r="AW3544" s="21">
        <f t="shared" si="197"/>
        <v>0</v>
      </c>
      <c r="AX3544" s="21" t="str">
        <f t="shared" si="196"/>
        <v/>
      </c>
      <c r="AY3544" s="21" t="str">
        <f>IF(AND($AM3544&lt;&gt;"",$AS3544&lt;&gt;"✓"),SUMPRODUCT(($AM$11:$AM3544&lt;&gt;"")*($AS$11:$AS3544&lt;&gt;"✓")),"")</f>
        <v/>
      </c>
      <c r="AZ3544" s="21" t="str">
        <f>IF(AND($AM3544&lt;&gt;"",$AS3544="✓"),SUMPRODUCT(($AM$11:$AM3544&lt;&gt;"")*($AS$11:$AS3544="✓")),"")</f>
        <v/>
      </c>
      <c r="BA3544" s="21" t="str">
        <f>IF($AL3544="","",$AL3544&amp;"|"&amp;COUNTIF($AL$11:$AL3544,$AL3544))</f>
        <v/>
      </c>
    </row>
    <row r="3545" spans="38:53" ht="15" customHeight="1" x14ac:dyDescent="0.25">
      <c r="AL3545" s="17"/>
      <c r="AM3545" s="12"/>
      <c r="AN3545" s="18"/>
      <c r="AO3545" s="18"/>
      <c r="AP3545" s="10"/>
      <c r="AQ3545" s="10"/>
      <c r="AR3545" s="19"/>
      <c r="AS3545" s="20"/>
      <c r="AT3545" s="19"/>
      <c r="AV3545" s="21">
        <f>IF(AND($AL3545&lt;&gt;"",COUNTIF($AL$11:$AL3545,$AL3545)=1),1,0)</f>
        <v>0</v>
      </c>
      <c r="AW3545" s="21">
        <f t="shared" si="197"/>
        <v>0</v>
      </c>
      <c r="AX3545" s="21" t="str">
        <f t="shared" si="196"/>
        <v/>
      </c>
      <c r="AY3545" s="21" t="str">
        <f>IF(AND($AM3545&lt;&gt;"",$AS3545&lt;&gt;"✓"),SUMPRODUCT(($AM$11:$AM3545&lt;&gt;"")*($AS$11:$AS3545&lt;&gt;"✓")),"")</f>
        <v/>
      </c>
      <c r="AZ3545" s="21" t="str">
        <f>IF(AND($AM3545&lt;&gt;"",$AS3545="✓"),SUMPRODUCT(($AM$11:$AM3545&lt;&gt;"")*($AS$11:$AS3545="✓")),"")</f>
        <v/>
      </c>
      <c r="BA3545" s="21" t="str">
        <f>IF($AL3545="","",$AL3545&amp;"|"&amp;COUNTIF($AL$11:$AL3545,$AL3545))</f>
        <v/>
      </c>
    </row>
    <row r="3546" spans="38:53" ht="15" customHeight="1" x14ac:dyDescent="0.25">
      <c r="AL3546" s="31"/>
      <c r="AM3546" s="26"/>
      <c r="AN3546" s="32"/>
      <c r="AO3546" s="32"/>
      <c r="AP3546" s="24"/>
      <c r="AQ3546" s="24"/>
      <c r="AR3546" s="33"/>
      <c r="AS3546" s="34"/>
      <c r="AT3546" s="33"/>
      <c r="AV3546" s="21">
        <f>IF(AND($AL3546&lt;&gt;"",COUNTIF($AL$11:$AL3546,$AL3546)=1),1,0)</f>
        <v>0</v>
      </c>
      <c r="AW3546" s="21">
        <f t="shared" si="197"/>
        <v>0</v>
      </c>
      <c r="AX3546" s="21" t="str">
        <f t="shared" si="196"/>
        <v/>
      </c>
      <c r="AY3546" s="21" t="str">
        <f>IF(AND($AM3546&lt;&gt;"",$AS3546&lt;&gt;"✓"),SUMPRODUCT(($AM$11:$AM3546&lt;&gt;"")*($AS$11:$AS3546&lt;&gt;"✓")),"")</f>
        <v/>
      </c>
      <c r="AZ3546" s="21" t="str">
        <f>IF(AND($AM3546&lt;&gt;"",$AS3546="✓"),SUMPRODUCT(($AM$11:$AM3546&lt;&gt;"")*($AS$11:$AS3546="✓")),"")</f>
        <v/>
      </c>
      <c r="BA3546" s="21" t="str">
        <f>IF($AL3546="","",$AL3546&amp;"|"&amp;COUNTIF($AL$11:$AL3546,$AL3546))</f>
        <v/>
      </c>
    </row>
    <row r="3547" spans="38:53" ht="15" customHeight="1" x14ac:dyDescent="0.25">
      <c r="AL3547" s="17"/>
      <c r="AM3547" s="12"/>
      <c r="AN3547" s="18"/>
      <c r="AO3547" s="18"/>
      <c r="AP3547" s="10"/>
      <c r="AQ3547" s="10"/>
      <c r="AR3547" s="19"/>
      <c r="AS3547" s="20"/>
      <c r="AT3547" s="19"/>
      <c r="AV3547" s="21">
        <f>IF(AND($AL3547&lt;&gt;"",COUNTIF($AL$11:$AL3547,$AL3547)=1),1,0)</f>
        <v>0</v>
      </c>
      <c r="AW3547" s="21">
        <f t="shared" si="197"/>
        <v>0</v>
      </c>
      <c r="AX3547" s="21" t="str">
        <f t="shared" si="196"/>
        <v/>
      </c>
      <c r="AY3547" s="21" t="str">
        <f>IF(AND($AM3547&lt;&gt;"",$AS3547&lt;&gt;"✓"),SUMPRODUCT(($AM$11:$AM3547&lt;&gt;"")*($AS$11:$AS3547&lt;&gt;"✓")),"")</f>
        <v/>
      </c>
      <c r="AZ3547" s="21" t="str">
        <f>IF(AND($AM3547&lt;&gt;"",$AS3547="✓"),SUMPRODUCT(($AM$11:$AM3547&lt;&gt;"")*($AS$11:$AS3547="✓")),"")</f>
        <v/>
      </c>
      <c r="BA3547" s="21" t="str">
        <f>IF($AL3547="","",$AL3547&amp;"|"&amp;COUNTIF($AL$11:$AL3547,$AL3547))</f>
        <v/>
      </c>
    </row>
    <row r="3548" spans="38:53" ht="15" customHeight="1" x14ac:dyDescent="0.25">
      <c r="AL3548" s="31"/>
      <c r="AM3548" s="26"/>
      <c r="AN3548" s="32"/>
      <c r="AO3548" s="32"/>
      <c r="AP3548" s="24"/>
      <c r="AQ3548" s="24"/>
      <c r="AR3548" s="33"/>
      <c r="AS3548" s="34"/>
      <c r="AT3548" s="33"/>
      <c r="AV3548" s="21">
        <f>IF(AND($AL3548&lt;&gt;"",COUNTIF($AL$11:$AL3548,$AL3548)=1),1,0)</f>
        <v>0</v>
      </c>
      <c r="AW3548" s="21">
        <f t="shared" si="197"/>
        <v>0</v>
      </c>
      <c r="AX3548" s="21" t="str">
        <f t="shared" si="196"/>
        <v/>
      </c>
      <c r="AY3548" s="21" t="str">
        <f>IF(AND($AM3548&lt;&gt;"",$AS3548&lt;&gt;"✓"),SUMPRODUCT(($AM$11:$AM3548&lt;&gt;"")*($AS$11:$AS3548&lt;&gt;"✓")),"")</f>
        <v/>
      </c>
      <c r="AZ3548" s="21" t="str">
        <f>IF(AND($AM3548&lt;&gt;"",$AS3548="✓"),SUMPRODUCT(($AM$11:$AM3548&lt;&gt;"")*($AS$11:$AS3548="✓")),"")</f>
        <v/>
      </c>
      <c r="BA3548" s="21" t="str">
        <f>IF($AL3548="","",$AL3548&amp;"|"&amp;COUNTIF($AL$11:$AL3548,$AL3548))</f>
        <v/>
      </c>
    </row>
    <row r="3549" spans="38:53" ht="15" customHeight="1" x14ac:dyDescent="0.25">
      <c r="AL3549" s="17"/>
      <c r="AM3549" s="12"/>
      <c r="AN3549" s="18"/>
      <c r="AO3549" s="18"/>
      <c r="AP3549" s="10"/>
      <c r="AQ3549" s="10"/>
      <c r="AR3549" s="19"/>
      <c r="AS3549" s="20"/>
      <c r="AT3549" s="19"/>
      <c r="AV3549" s="21">
        <f>IF(AND($AL3549&lt;&gt;"",COUNTIF($AL$11:$AL3549,$AL3549)=1),1,0)</f>
        <v>0</v>
      </c>
      <c r="AW3549" s="21">
        <f t="shared" si="197"/>
        <v>0</v>
      </c>
      <c r="AX3549" s="21" t="str">
        <f t="shared" si="196"/>
        <v/>
      </c>
      <c r="AY3549" s="21" t="str">
        <f>IF(AND($AM3549&lt;&gt;"",$AS3549&lt;&gt;"✓"),SUMPRODUCT(($AM$11:$AM3549&lt;&gt;"")*($AS$11:$AS3549&lt;&gt;"✓")),"")</f>
        <v/>
      </c>
      <c r="AZ3549" s="21" t="str">
        <f>IF(AND($AM3549&lt;&gt;"",$AS3549="✓"),SUMPRODUCT(($AM$11:$AM3549&lt;&gt;"")*($AS$11:$AS3549="✓")),"")</f>
        <v/>
      </c>
      <c r="BA3549" s="21" t="str">
        <f>IF($AL3549="","",$AL3549&amp;"|"&amp;COUNTIF($AL$11:$AL3549,$AL3549))</f>
        <v/>
      </c>
    </row>
    <row r="3550" spans="38:53" ht="15" customHeight="1" x14ac:dyDescent="0.25">
      <c r="AL3550" s="31"/>
      <c r="AM3550" s="26"/>
      <c r="AN3550" s="32"/>
      <c r="AO3550" s="32"/>
      <c r="AP3550" s="24"/>
      <c r="AQ3550" s="24"/>
      <c r="AR3550" s="33"/>
      <c r="AS3550" s="34"/>
      <c r="AT3550" s="33"/>
      <c r="AV3550" s="21">
        <f>IF(AND($AL3550&lt;&gt;"",COUNTIF($AL$11:$AL3550,$AL3550)=1),1,0)</f>
        <v>0</v>
      </c>
      <c r="AW3550" s="21">
        <f t="shared" si="197"/>
        <v>0</v>
      </c>
      <c r="AX3550" s="21" t="str">
        <f t="shared" si="196"/>
        <v/>
      </c>
      <c r="AY3550" s="21" t="str">
        <f>IF(AND($AM3550&lt;&gt;"",$AS3550&lt;&gt;"✓"),SUMPRODUCT(($AM$11:$AM3550&lt;&gt;"")*($AS$11:$AS3550&lt;&gt;"✓")),"")</f>
        <v/>
      </c>
      <c r="AZ3550" s="21" t="str">
        <f>IF(AND($AM3550&lt;&gt;"",$AS3550="✓"),SUMPRODUCT(($AM$11:$AM3550&lt;&gt;"")*($AS$11:$AS3550="✓")),"")</f>
        <v/>
      </c>
      <c r="BA3550" s="21" t="str">
        <f>IF($AL3550="","",$AL3550&amp;"|"&amp;COUNTIF($AL$11:$AL3550,$AL3550))</f>
        <v/>
      </c>
    </row>
    <row r="3551" spans="38:53" ht="15" customHeight="1" x14ac:dyDescent="0.25">
      <c r="AL3551" s="17"/>
      <c r="AM3551" s="12"/>
      <c r="AN3551" s="18"/>
      <c r="AO3551" s="18"/>
      <c r="AP3551" s="10"/>
      <c r="AQ3551" s="10"/>
      <c r="AR3551" s="19"/>
      <c r="AS3551" s="20"/>
      <c r="AT3551" s="19"/>
      <c r="AV3551" s="21">
        <f>IF(AND($AL3551&lt;&gt;"",COUNTIF($AL$11:$AL3551,$AL3551)=1),1,0)</f>
        <v>0</v>
      </c>
      <c r="AW3551" s="21">
        <f t="shared" si="197"/>
        <v>0</v>
      </c>
      <c r="AX3551" s="21" t="str">
        <f t="shared" si="196"/>
        <v/>
      </c>
      <c r="AY3551" s="21" t="str">
        <f>IF(AND($AM3551&lt;&gt;"",$AS3551&lt;&gt;"✓"),SUMPRODUCT(($AM$11:$AM3551&lt;&gt;"")*($AS$11:$AS3551&lt;&gt;"✓")),"")</f>
        <v/>
      </c>
      <c r="AZ3551" s="21" t="str">
        <f>IF(AND($AM3551&lt;&gt;"",$AS3551="✓"),SUMPRODUCT(($AM$11:$AM3551&lt;&gt;"")*($AS$11:$AS3551="✓")),"")</f>
        <v/>
      </c>
      <c r="BA3551" s="21" t="str">
        <f>IF($AL3551="","",$AL3551&amp;"|"&amp;COUNTIF($AL$11:$AL3551,$AL3551))</f>
        <v/>
      </c>
    </row>
    <row r="3552" spans="38:53" ht="15" customHeight="1" x14ac:dyDescent="0.25">
      <c r="AL3552" s="31"/>
      <c r="AM3552" s="26"/>
      <c r="AN3552" s="32"/>
      <c r="AO3552" s="32"/>
      <c r="AP3552" s="24"/>
      <c r="AQ3552" s="24"/>
      <c r="AR3552" s="33"/>
      <c r="AS3552" s="34"/>
      <c r="AT3552" s="33"/>
      <c r="AV3552" s="21">
        <f>IF(AND($AL3552&lt;&gt;"",COUNTIF($AL$11:$AL3552,$AL3552)=1),1,0)</f>
        <v>0</v>
      </c>
      <c r="AW3552" s="21">
        <f t="shared" si="197"/>
        <v>0</v>
      </c>
      <c r="AX3552" s="21" t="str">
        <f t="shared" si="196"/>
        <v/>
      </c>
      <c r="AY3552" s="21" t="str">
        <f>IF(AND($AM3552&lt;&gt;"",$AS3552&lt;&gt;"✓"),SUMPRODUCT(($AM$11:$AM3552&lt;&gt;"")*($AS$11:$AS3552&lt;&gt;"✓")),"")</f>
        <v/>
      </c>
      <c r="AZ3552" s="21" t="str">
        <f>IF(AND($AM3552&lt;&gt;"",$AS3552="✓"),SUMPRODUCT(($AM$11:$AM3552&lt;&gt;"")*($AS$11:$AS3552="✓")),"")</f>
        <v/>
      </c>
      <c r="BA3552" s="21" t="str">
        <f>IF($AL3552="","",$AL3552&amp;"|"&amp;COUNTIF($AL$11:$AL3552,$AL3552))</f>
        <v/>
      </c>
    </row>
    <row r="3553" spans="38:53" ht="15" customHeight="1" x14ac:dyDescent="0.25">
      <c r="AL3553" s="17"/>
      <c r="AM3553" s="12"/>
      <c r="AN3553" s="18"/>
      <c r="AO3553" s="18"/>
      <c r="AP3553" s="10"/>
      <c r="AQ3553" s="10"/>
      <c r="AR3553" s="19"/>
      <c r="AS3553" s="20"/>
      <c r="AT3553" s="19"/>
      <c r="AV3553" s="21">
        <f>IF(AND($AL3553&lt;&gt;"",COUNTIF($AL$11:$AL3553,$AL3553)=1),1,0)</f>
        <v>0</v>
      </c>
      <c r="AW3553" s="21">
        <f t="shared" si="197"/>
        <v>0</v>
      </c>
      <c r="AX3553" s="21" t="str">
        <f t="shared" si="196"/>
        <v/>
      </c>
      <c r="AY3553" s="21" t="str">
        <f>IF(AND($AM3553&lt;&gt;"",$AS3553&lt;&gt;"✓"),SUMPRODUCT(($AM$11:$AM3553&lt;&gt;"")*($AS$11:$AS3553&lt;&gt;"✓")),"")</f>
        <v/>
      </c>
      <c r="AZ3553" s="21" t="str">
        <f>IF(AND($AM3553&lt;&gt;"",$AS3553="✓"),SUMPRODUCT(($AM$11:$AM3553&lt;&gt;"")*($AS$11:$AS3553="✓")),"")</f>
        <v/>
      </c>
      <c r="BA3553" s="21" t="str">
        <f>IF($AL3553="","",$AL3553&amp;"|"&amp;COUNTIF($AL$11:$AL3553,$AL3553))</f>
        <v/>
      </c>
    </row>
    <row r="3554" spans="38:53" ht="15" customHeight="1" x14ac:dyDescent="0.25">
      <c r="AL3554" s="31"/>
      <c r="AM3554" s="26"/>
      <c r="AN3554" s="32"/>
      <c r="AO3554" s="32"/>
      <c r="AP3554" s="24"/>
      <c r="AQ3554" s="24"/>
      <c r="AR3554" s="33"/>
      <c r="AS3554" s="34"/>
      <c r="AT3554" s="33"/>
      <c r="AV3554" s="21">
        <f>IF(AND($AL3554&lt;&gt;"",COUNTIF($AL$11:$AL3554,$AL3554)=1),1,0)</f>
        <v>0</v>
      </c>
      <c r="AW3554" s="21">
        <f t="shared" si="197"/>
        <v>0</v>
      </c>
      <c r="AX3554" s="21" t="str">
        <f t="shared" si="196"/>
        <v/>
      </c>
      <c r="AY3554" s="21" t="str">
        <f>IF(AND($AM3554&lt;&gt;"",$AS3554&lt;&gt;"✓"),SUMPRODUCT(($AM$11:$AM3554&lt;&gt;"")*($AS$11:$AS3554&lt;&gt;"✓")),"")</f>
        <v/>
      </c>
      <c r="AZ3554" s="21" t="str">
        <f>IF(AND($AM3554&lt;&gt;"",$AS3554="✓"),SUMPRODUCT(($AM$11:$AM3554&lt;&gt;"")*($AS$11:$AS3554="✓")),"")</f>
        <v/>
      </c>
      <c r="BA3554" s="21" t="str">
        <f>IF($AL3554="","",$AL3554&amp;"|"&amp;COUNTIF($AL$11:$AL3554,$AL3554))</f>
        <v/>
      </c>
    </row>
    <row r="3555" spans="38:53" ht="15" customHeight="1" x14ac:dyDescent="0.25">
      <c r="AL3555" s="17"/>
      <c r="AM3555" s="12"/>
      <c r="AN3555" s="18"/>
      <c r="AO3555" s="18"/>
      <c r="AP3555" s="10"/>
      <c r="AQ3555" s="10"/>
      <c r="AR3555" s="19"/>
      <c r="AS3555" s="20"/>
      <c r="AT3555" s="19"/>
      <c r="AV3555" s="21">
        <f>IF(AND($AL3555&lt;&gt;"",COUNTIF($AL$11:$AL3555,$AL3555)=1),1,0)</f>
        <v>0</v>
      </c>
      <c r="AW3555" s="21">
        <f t="shared" si="197"/>
        <v>0</v>
      </c>
      <c r="AX3555" s="21" t="str">
        <f t="shared" si="196"/>
        <v/>
      </c>
      <c r="AY3555" s="21" t="str">
        <f>IF(AND($AM3555&lt;&gt;"",$AS3555&lt;&gt;"✓"),SUMPRODUCT(($AM$11:$AM3555&lt;&gt;"")*($AS$11:$AS3555&lt;&gt;"✓")),"")</f>
        <v/>
      </c>
      <c r="AZ3555" s="21" t="str">
        <f>IF(AND($AM3555&lt;&gt;"",$AS3555="✓"),SUMPRODUCT(($AM$11:$AM3555&lt;&gt;"")*($AS$11:$AS3555="✓")),"")</f>
        <v/>
      </c>
      <c r="BA3555" s="21" t="str">
        <f>IF($AL3555="","",$AL3555&amp;"|"&amp;COUNTIF($AL$11:$AL3555,$AL3555))</f>
        <v/>
      </c>
    </row>
    <row r="3556" spans="38:53" ht="15" customHeight="1" x14ac:dyDescent="0.25">
      <c r="AL3556" s="31"/>
      <c r="AM3556" s="26"/>
      <c r="AN3556" s="32"/>
      <c r="AO3556" s="32"/>
      <c r="AP3556" s="24"/>
      <c r="AQ3556" s="24"/>
      <c r="AR3556" s="33"/>
      <c r="AS3556" s="34"/>
      <c r="AT3556" s="33"/>
      <c r="AV3556" s="21">
        <f>IF(AND($AL3556&lt;&gt;"",COUNTIF($AL$11:$AL3556,$AL3556)=1),1,0)</f>
        <v>0</v>
      </c>
      <c r="AW3556" s="21">
        <f t="shared" si="197"/>
        <v>0</v>
      </c>
      <c r="AX3556" s="21" t="str">
        <f t="shared" si="196"/>
        <v/>
      </c>
      <c r="AY3556" s="21" t="str">
        <f>IF(AND($AM3556&lt;&gt;"",$AS3556&lt;&gt;"✓"),SUMPRODUCT(($AM$11:$AM3556&lt;&gt;"")*($AS$11:$AS3556&lt;&gt;"✓")),"")</f>
        <v/>
      </c>
      <c r="AZ3556" s="21" t="str">
        <f>IF(AND($AM3556&lt;&gt;"",$AS3556="✓"),SUMPRODUCT(($AM$11:$AM3556&lt;&gt;"")*($AS$11:$AS3556="✓")),"")</f>
        <v/>
      </c>
      <c r="BA3556" s="21" t="str">
        <f>IF($AL3556="","",$AL3556&amp;"|"&amp;COUNTIF($AL$11:$AL3556,$AL3556))</f>
        <v/>
      </c>
    </row>
    <row r="3557" spans="38:53" ht="15" customHeight="1" x14ac:dyDescent="0.25">
      <c r="AL3557" s="17"/>
      <c r="AM3557" s="12"/>
      <c r="AN3557" s="18"/>
      <c r="AO3557" s="18"/>
      <c r="AP3557" s="10"/>
      <c r="AQ3557" s="10"/>
      <c r="AR3557" s="19"/>
      <c r="AS3557" s="20"/>
      <c r="AT3557" s="19"/>
      <c r="AV3557" s="21">
        <f>IF(AND($AL3557&lt;&gt;"",COUNTIF($AL$11:$AL3557,$AL3557)=1),1,0)</f>
        <v>0</v>
      </c>
      <c r="AW3557" s="21">
        <f t="shared" si="197"/>
        <v>0</v>
      </c>
      <c r="AX3557" s="21" t="str">
        <f t="shared" si="196"/>
        <v/>
      </c>
      <c r="AY3557" s="21" t="str">
        <f>IF(AND($AM3557&lt;&gt;"",$AS3557&lt;&gt;"✓"),SUMPRODUCT(($AM$11:$AM3557&lt;&gt;"")*($AS$11:$AS3557&lt;&gt;"✓")),"")</f>
        <v/>
      </c>
      <c r="AZ3557" s="21" t="str">
        <f>IF(AND($AM3557&lt;&gt;"",$AS3557="✓"),SUMPRODUCT(($AM$11:$AM3557&lt;&gt;"")*($AS$11:$AS3557="✓")),"")</f>
        <v/>
      </c>
      <c r="BA3557" s="21" t="str">
        <f>IF($AL3557="","",$AL3557&amp;"|"&amp;COUNTIF($AL$11:$AL3557,$AL3557))</f>
        <v/>
      </c>
    </row>
    <row r="3558" spans="38:53" ht="15" customHeight="1" x14ac:dyDescent="0.25">
      <c r="AL3558" s="31"/>
      <c r="AM3558" s="26"/>
      <c r="AN3558" s="32"/>
      <c r="AO3558" s="32"/>
      <c r="AP3558" s="24"/>
      <c r="AQ3558" s="24"/>
      <c r="AR3558" s="33"/>
      <c r="AS3558" s="34"/>
      <c r="AT3558" s="33"/>
      <c r="AV3558" s="21">
        <f>IF(AND($AL3558&lt;&gt;"",COUNTIF($AL$11:$AL3558,$AL3558)=1),1,0)</f>
        <v>0</v>
      </c>
      <c r="AW3558" s="21">
        <f t="shared" si="197"/>
        <v>0</v>
      </c>
      <c r="AX3558" s="21" t="str">
        <f t="shared" si="196"/>
        <v/>
      </c>
      <c r="AY3558" s="21" t="str">
        <f>IF(AND($AM3558&lt;&gt;"",$AS3558&lt;&gt;"✓"),SUMPRODUCT(($AM$11:$AM3558&lt;&gt;"")*($AS$11:$AS3558&lt;&gt;"✓")),"")</f>
        <v/>
      </c>
      <c r="AZ3558" s="21" t="str">
        <f>IF(AND($AM3558&lt;&gt;"",$AS3558="✓"),SUMPRODUCT(($AM$11:$AM3558&lt;&gt;"")*($AS$11:$AS3558="✓")),"")</f>
        <v/>
      </c>
      <c r="BA3558" s="21" t="str">
        <f>IF($AL3558="","",$AL3558&amp;"|"&amp;COUNTIF($AL$11:$AL3558,$AL3558))</f>
        <v/>
      </c>
    </row>
    <row r="3559" spans="38:53" ht="15" customHeight="1" x14ac:dyDescent="0.25">
      <c r="AL3559" s="17"/>
      <c r="AM3559" s="12"/>
      <c r="AN3559" s="18"/>
      <c r="AO3559" s="18"/>
      <c r="AP3559" s="10"/>
      <c r="AQ3559" s="10"/>
      <c r="AR3559" s="19"/>
      <c r="AS3559" s="20"/>
      <c r="AT3559" s="19"/>
      <c r="AV3559" s="21">
        <f>IF(AND($AL3559&lt;&gt;"",COUNTIF($AL$11:$AL3559,$AL3559)=1),1,0)</f>
        <v>0</v>
      </c>
      <c r="AW3559" s="21">
        <f t="shared" si="197"/>
        <v>0</v>
      </c>
      <c r="AX3559" s="21" t="str">
        <f t="shared" si="196"/>
        <v/>
      </c>
      <c r="AY3559" s="21" t="str">
        <f>IF(AND($AM3559&lt;&gt;"",$AS3559&lt;&gt;"✓"),SUMPRODUCT(($AM$11:$AM3559&lt;&gt;"")*($AS$11:$AS3559&lt;&gt;"✓")),"")</f>
        <v/>
      </c>
      <c r="AZ3559" s="21" t="str">
        <f>IF(AND($AM3559&lt;&gt;"",$AS3559="✓"),SUMPRODUCT(($AM$11:$AM3559&lt;&gt;"")*($AS$11:$AS3559="✓")),"")</f>
        <v/>
      </c>
      <c r="BA3559" s="21" t="str">
        <f>IF($AL3559="","",$AL3559&amp;"|"&amp;COUNTIF($AL$11:$AL3559,$AL3559))</f>
        <v/>
      </c>
    </row>
    <row r="3560" spans="38:53" ht="15" customHeight="1" x14ac:dyDescent="0.25">
      <c r="AL3560" s="31"/>
      <c r="AM3560" s="26"/>
      <c r="AN3560" s="32"/>
      <c r="AO3560" s="32"/>
      <c r="AP3560" s="24"/>
      <c r="AQ3560" s="24"/>
      <c r="AR3560" s="33"/>
      <c r="AS3560" s="34"/>
      <c r="AT3560" s="33"/>
      <c r="AV3560" s="21">
        <f>IF(AND($AL3560&lt;&gt;"",COUNTIF($AL$11:$AL3560,$AL3560)=1),1,0)</f>
        <v>0</v>
      </c>
      <c r="AW3560" s="21">
        <f t="shared" si="197"/>
        <v>0</v>
      </c>
      <c r="AX3560" s="21" t="str">
        <f t="shared" si="196"/>
        <v/>
      </c>
      <c r="AY3560" s="21" t="str">
        <f>IF(AND($AM3560&lt;&gt;"",$AS3560&lt;&gt;"✓"),SUMPRODUCT(($AM$11:$AM3560&lt;&gt;"")*($AS$11:$AS3560&lt;&gt;"✓")),"")</f>
        <v/>
      </c>
      <c r="AZ3560" s="21" t="str">
        <f>IF(AND($AM3560&lt;&gt;"",$AS3560="✓"),SUMPRODUCT(($AM$11:$AM3560&lt;&gt;"")*($AS$11:$AS3560="✓")),"")</f>
        <v/>
      </c>
      <c r="BA3560" s="21" t="str">
        <f>IF($AL3560="","",$AL3560&amp;"|"&amp;COUNTIF($AL$11:$AL3560,$AL3560))</f>
        <v/>
      </c>
    </row>
    <row r="3561" spans="38:53" ht="15" customHeight="1" x14ac:dyDescent="0.25">
      <c r="AL3561" s="17"/>
      <c r="AM3561" s="12"/>
      <c r="AN3561" s="18"/>
      <c r="AO3561" s="18"/>
      <c r="AP3561" s="10"/>
      <c r="AQ3561" s="10"/>
      <c r="AR3561" s="19"/>
      <c r="AS3561" s="20"/>
      <c r="AT3561" s="19"/>
      <c r="AV3561" s="21">
        <f>IF(AND($AL3561&lt;&gt;"",COUNTIF($AL$11:$AL3561,$AL3561)=1),1,0)</f>
        <v>0</v>
      </c>
      <c r="AW3561" s="21">
        <f t="shared" si="197"/>
        <v>0</v>
      </c>
      <c r="AX3561" s="21" t="str">
        <f t="shared" si="196"/>
        <v/>
      </c>
      <c r="AY3561" s="21" t="str">
        <f>IF(AND($AM3561&lt;&gt;"",$AS3561&lt;&gt;"✓"),SUMPRODUCT(($AM$11:$AM3561&lt;&gt;"")*($AS$11:$AS3561&lt;&gt;"✓")),"")</f>
        <v/>
      </c>
      <c r="AZ3561" s="21" t="str">
        <f>IF(AND($AM3561&lt;&gt;"",$AS3561="✓"),SUMPRODUCT(($AM$11:$AM3561&lt;&gt;"")*($AS$11:$AS3561="✓")),"")</f>
        <v/>
      </c>
      <c r="BA3561" s="21" t="str">
        <f>IF($AL3561="","",$AL3561&amp;"|"&amp;COUNTIF($AL$11:$AL3561,$AL3561))</f>
        <v/>
      </c>
    </row>
    <row r="3562" spans="38:53" ht="15" customHeight="1" x14ac:dyDescent="0.25">
      <c r="AL3562" s="31"/>
      <c r="AM3562" s="26"/>
      <c r="AN3562" s="32"/>
      <c r="AO3562" s="32"/>
      <c r="AP3562" s="24"/>
      <c r="AQ3562" s="24"/>
      <c r="AR3562" s="33"/>
      <c r="AS3562" s="34"/>
      <c r="AT3562" s="33"/>
      <c r="AV3562" s="21">
        <f>IF(AND($AL3562&lt;&gt;"",COUNTIF($AL$11:$AL3562,$AL3562)=1),1,0)</f>
        <v>0</v>
      </c>
      <c r="AW3562" s="21">
        <f t="shared" si="197"/>
        <v>0</v>
      </c>
      <c r="AX3562" s="21" t="str">
        <f t="shared" si="196"/>
        <v/>
      </c>
      <c r="AY3562" s="21" t="str">
        <f>IF(AND($AM3562&lt;&gt;"",$AS3562&lt;&gt;"✓"),SUMPRODUCT(($AM$11:$AM3562&lt;&gt;"")*($AS$11:$AS3562&lt;&gt;"✓")),"")</f>
        <v/>
      </c>
      <c r="AZ3562" s="21" t="str">
        <f>IF(AND($AM3562&lt;&gt;"",$AS3562="✓"),SUMPRODUCT(($AM$11:$AM3562&lt;&gt;"")*($AS$11:$AS3562="✓")),"")</f>
        <v/>
      </c>
      <c r="BA3562" s="21" t="str">
        <f>IF($AL3562="","",$AL3562&amp;"|"&amp;COUNTIF($AL$11:$AL3562,$AL3562))</f>
        <v/>
      </c>
    </row>
    <row r="3563" spans="38:53" ht="15" customHeight="1" x14ac:dyDescent="0.25">
      <c r="AL3563" s="17"/>
      <c r="AM3563" s="12"/>
      <c r="AN3563" s="18"/>
      <c r="AO3563" s="18"/>
      <c r="AP3563" s="10"/>
      <c r="AQ3563" s="10"/>
      <c r="AR3563" s="19"/>
      <c r="AS3563" s="20"/>
      <c r="AT3563" s="19"/>
      <c r="AV3563" s="21">
        <f>IF(AND($AL3563&lt;&gt;"",COUNTIF($AL$11:$AL3563,$AL3563)=1),1,0)</f>
        <v>0</v>
      </c>
      <c r="AW3563" s="21">
        <f t="shared" si="197"/>
        <v>0</v>
      </c>
      <c r="AX3563" s="21" t="str">
        <f t="shared" si="196"/>
        <v/>
      </c>
      <c r="AY3563" s="21" t="str">
        <f>IF(AND($AM3563&lt;&gt;"",$AS3563&lt;&gt;"✓"),SUMPRODUCT(($AM$11:$AM3563&lt;&gt;"")*($AS$11:$AS3563&lt;&gt;"✓")),"")</f>
        <v/>
      </c>
      <c r="AZ3563" s="21" t="str">
        <f>IF(AND($AM3563&lt;&gt;"",$AS3563="✓"),SUMPRODUCT(($AM$11:$AM3563&lt;&gt;"")*($AS$11:$AS3563="✓")),"")</f>
        <v/>
      </c>
      <c r="BA3563" s="21" t="str">
        <f>IF($AL3563="","",$AL3563&amp;"|"&amp;COUNTIF($AL$11:$AL3563,$AL3563))</f>
        <v/>
      </c>
    </row>
    <row r="3564" spans="38:53" ht="15" customHeight="1" x14ac:dyDescent="0.25">
      <c r="AL3564" s="31"/>
      <c r="AM3564" s="26"/>
      <c r="AN3564" s="32"/>
      <c r="AO3564" s="32"/>
      <c r="AP3564" s="24"/>
      <c r="AQ3564" s="24"/>
      <c r="AR3564" s="33"/>
      <c r="AS3564" s="34"/>
      <c r="AT3564" s="33"/>
      <c r="AV3564" s="21">
        <f>IF(AND($AL3564&lt;&gt;"",COUNTIF($AL$11:$AL3564,$AL3564)=1),1,0)</f>
        <v>0</v>
      </c>
      <c r="AW3564" s="21">
        <f t="shared" si="197"/>
        <v>0</v>
      </c>
      <c r="AX3564" s="21" t="str">
        <f t="shared" si="196"/>
        <v/>
      </c>
      <c r="AY3564" s="21" t="str">
        <f>IF(AND($AM3564&lt;&gt;"",$AS3564&lt;&gt;"✓"),SUMPRODUCT(($AM$11:$AM3564&lt;&gt;"")*($AS$11:$AS3564&lt;&gt;"✓")),"")</f>
        <v/>
      </c>
      <c r="AZ3564" s="21" t="str">
        <f>IF(AND($AM3564&lt;&gt;"",$AS3564="✓"),SUMPRODUCT(($AM$11:$AM3564&lt;&gt;"")*($AS$11:$AS3564="✓")),"")</f>
        <v/>
      </c>
      <c r="BA3564" s="21" t="str">
        <f>IF($AL3564="","",$AL3564&amp;"|"&amp;COUNTIF($AL$11:$AL3564,$AL3564))</f>
        <v/>
      </c>
    </row>
    <row r="3565" spans="38:53" ht="15" customHeight="1" x14ac:dyDescent="0.25">
      <c r="AL3565" s="17"/>
      <c r="AM3565" s="12"/>
      <c r="AN3565" s="18"/>
      <c r="AO3565" s="18"/>
      <c r="AP3565" s="10"/>
      <c r="AQ3565" s="10"/>
      <c r="AR3565" s="19"/>
      <c r="AS3565" s="20"/>
      <c r="AT3565" s="19"/>
      <c r="AV3565" s="21">
        <f>IF(AND($AL3565&lt;&gt;"",COUNTIF($AL$11:$AL3565,$AL3565)=1),1,0)</f>
        <v>0</v>
      </c>
      <c r="AW3565" s="21">
        <f t="shared" si="197"/>
        <v>0</v>
      </c>
      <c r="AX3565" s="21" t="str">
        <f t="shared" si="196"/>
        <v/>
      </c>
      <c r="AY3565" s="21" t="str">
        <f>IF(AND($AM3565&lt;&gt;"",$AS3565&lt;&gt;"✓"),SUMPRODUCT(($AM$11:$AM3565&lt;&gt;"")*($AS$11:$AS3565&lt;&gt;"✓")),"")</f>
        <v/>
      </c>
      <c r="AZ3565" s="21" t="str">
        <f>IF(AND($AM3565&lt;&gt;"",$AS3565="✓"),SUMPRODUCT(($AM$11:$AM3565&lt;&gt;"")*($AS$11:$AS3565="✓")),"")</f>
        <v/>
      </c>
      <c r="BA3565" s="21" t="str">
        <f>IF($AL3565="","",$AL3565&amp;"|"&amp;COUNTIF($AL$11:$AL3565,$AL3565))</f>
        <v/>
      </c>
    </row>
    <row r="3566" spans="38:53" ht="15" customHeight="1" x14ac:dyDescent="0.25">
      <c r="AL3566" s="31"/>
      <c r="AM3566" s="26"/>
      <c r="AN3566" s="32"/>
      <c r="AO3566" s="32"/>
      <c r="AP3566" s="24"/>
      <c r="AQ3566" s="24"/>
      <c r="AR3566" s="33"/>
      <c r="AS3566" s="34"/>
      <c r="AT3566" s="33"/>
      <c r="AV3566" s="21">
        <f>IF(AND($AL3566&lt;&gt;"",COUNTIF($AL$11:$AL3566,$AL3566)=1),1,0)</f>
        <v>0</v>
      </c>
      <c r="AW3566" s="21">
        <f t="shared" si="197"/>
        <v>0</v>
      </c>
      <c r="AX3566" s="21" t="str">
        <f t="shared" si="196"/>
        <v/>
      </c>
      <c r="AY3566" s="21" t="str">
        <f>IF(AND($AM3566&lt;&gt;"",$AS3566&lt;&gt;"✓"),SUMPRODUCT(($AM$11:$AM3566&lt;&gt;"")*($AS$11:$AS3566&lt;&gt;"✓")),"")</f>
        <v/>
      </c>
      <c r="AZ3566" s="21" t="str">
        <f>IF(AND($AM3566&lt;&gt;"",$AS3566="✓"),SUMPRODUCT(($AM$11:$AM3566&lt;&gt;"")*($AS$11:$AS3566="✓")),"")</f>
        <v/>
      </c>
      <c r="BA3566" s="21" t="str">
        <f>IF($AL3566="","",$AL3566&amp;"|"&amp;COUNTIF($AL$11:$AL3566,$AL3566))</f>
        <v/>
      </c>
    </row>
    <row r="3567" spans="38:53" ht="15" customHeight="1" x14ac:dyDescent="0.25">
      <c r="AL3567" s="17"/>
      <c r="AM3567" s="12"/>
      <c r="AN3567" s="18"/>
      <c r="AO3567" s="18"/>
      <c r="AP3567" s="10"/>
      <c r="AQ3567" s="10"/>
      <c r="AR3567" s="19"/>
      <c r="AS3567" s="20"/>
      <c r="AT3567" s="19"/>
      <c r="AV3567" s="21">
        <f>IF(AND($AL3567&lt;&gt;"",COUNTIF($AL$11:$AL3567,$AL3567)=1),1,0)</f>
        <v>0</v>
      </c>
      <c r="AW3567" s="21">
        <f t="shared" si="197"/>
        <v>0</v>
      </c>
      <c r="AX3567" s="21" t="str">
        <f t="shared" si="196"/>
        <v/>
      </c>
      <c r="AY3567" s="21" t="str">
        <f>IF(AND($AM3567&lt;&gt;"",$AS3567&lt;&gt;"✓"),SUMPRODUCT(($AM$11:$AM3567&lt;&gt;"")*($AS$11:$AS3567&lt;&gt;"✓")),"")</f>
        <v/>
      </c>
      <c r="AZ3567" s="21" t="str">
        <f>IF(AND($AM3567&lt;&gt;"",$AS3567="✓"),SUMPRODUCT(($AM$11:$AM3567&lt;&gt;"")*($AS$11:$AS3567="✓")),"")</f>
        <v/>
      </c>
      <c r="BA3567" s="21" t="str">
        <f>IF($AL3567="","",$AL3567&amp;"|"&amp;COUNTIF($AL$11:$AL3567,$AL3567))</f>
        <v/>
      </c>
    </row>
    <row r="3568" spans="38:53" ht="15" customHeight="1" x14ac:dyDescent="0.25">
      <c r="AL3568" s="31"/>
      <c r="AM3568" s="26"/>
      <c r="AN3568" s="32"/>
      <c r="AO3568" s="32"/>
      <c r="AP3568" s="24"/>
      <c r="AQ3568" s="24"/>
      <c r="AR3568" s="33"/>
      <c r="AS3568" s="34"/>
      <c r="AT3568" s="33"/>
      <c r="AV3568" s="21">
        <f>IF(AND($AL3568&lt;&gt;"",COUNTIF($AL$11:$AL3568,$AL3568)=1),1,0)</f>
        <v>0</v>
      </c>
      <c r="AW3568" s="21">
        <f t="shared" si="197"/>
        <v>0</v>
      </c>
      <c r="AX3568" s="21" t="str">
        <f t="shared" si="196"/>
        <v/>
      </c>
      <c r="AY3568" s="21" t="str">
        <f>IF(AND($AM3568&lt;&gt;"",$AS3568&lt;&gt;"✓"),SUMPRODUCT(($AM$11:$AM3568&lt;&gt;"")*($AS$11:$AS3568&lt;&gt;"✓")),"")</f>
        <v/>
      </c>
      <c r="AZ3568" s="21" t="str">
        <f>IF(AND($AM3568&lt;&gt;"",$AS3568="✓"),SUMPRODUCT(($AM$11:$AM3568&lt;&gt;"")*($AS$11:$AS3568="✓")),"")</f>
        <v/>
      </c>
      <c r="BA3568" s="21" t="str">
        <f>IF($AL3568="","",$AL3568&amp;"|"&amp;COUNTIF($AL$11:$AL3568,$AL3568))</f>
        <v/>
      </c>
    </row>
    <row r="3569" spans="38:53" ht="15" customHeight="1" x14ac:dyDescent="0.25">
      <c r="AL3569" s="17"/>
      <c r="AM3569" s="12"/>
      <c r="AN3569" s="18"/>
      <c r="AO3569" s="18"/>
      <c r="AP3569" s="10"/>
      <c r="AQ3569" s="10"/>
      <c r="AR3569" s="19"/>
      <c r="AS3569" s="20"/>
      <c r="AT3569" s="19"/>
      <c r="AV3569" s="21">
        <f>IF(AND($AL3569&lt;&gt;"",COUNTIF($AL$11:$AL3569,$AL3569)=1),1,0)</f>
        <v>0</v>
      </c>
      <c r="AW3569" s="21">
        <f t="shared" si="197"/>
        <v>0</v>
      </c>
      <c r="AX3569" s="21" t="str">
        <f t="shared" si="196"/>
        <v/>
      </c>
      <c r="AY3569" s="21" t="str">
        <f>IF(AND($AM3569&lt;&gt;"",$AS3569&lt;&gt;"✓"),SUMPRODUCT(($AM$11:$AM3569&lt;&gt;"")*($AS$11:$AS3569&lt;&gt;"✓")),"")</f>
        <v/>
      </c>
      <c r="AZ3569" s="21" t="str">
        <f>IF(AND($AM3569&lt;&gt;"",$AS3569="✓"),SUMPRODUCT(($AM$11:$AM3569&lt;&gt;"")*($AS$11:$AS3569="✓")),"")</f>
        <v/>
      </c>
      <c r="BA3569" s="21" t="str">
        <f>IF($AL3569="","",$AL3569&amp;"|"&amp;COUNTIF($AL$11:$AL3569,$AL3569))</f>
        <v/>
      </c>
    </row>
    <row r="3570" spans="38:53" ht="15" customHeight="1" x14ac:dyDescent="0.25">
      <c r="AL3570" s="31"/>
      <c r="AM3570" s="26"/>
      <c r="AN3570" s="32"/>
      <c r="AO3570" s="32"/>
      <c r="AP3570" s="24"/>
      <c r="AQ3570" s="24"/>
      <c r="AR3570" s="33"/>
      <c r="AS3570" s="34"/>
      <c r="AT3570" s="33"/>
      <c r="AV3570" s="21">
        <f>IF(AND($AL3570&lt;&gt;"",COUNTIF($AL$11:$AL3570,$AL3570)=1),1,0)</f>
        <v>0</v>
      </c>
      <c r="AW3570" s="21">
        <f t="shared" si="197"/>
        <v>0</v>
      </c>
      <c r="AX3570" s="21" t="str">
        <f t="shared" si="196"/>
        <v/>
      </c>
      <c r="AY3570" s="21" t="str">
        <f>IF(AND($AM3570&lt;&gt;"",$AS3570&lt;&gt;"✓"),SUMPRODUCT(($AM$11:$AM3570&lt;&gt;"")*($AS$11:$AS3570&lt;&gt;"✓")),"")</f>
        <v/>
      </c>
      <c r="AZ3570" s="21" t="str">
        <f>IF(AND($AM3570&lt;&gt;"",$AS3570="✓"),SUMPRODUCT(($AM$11:$AM3570&lt;&gt;"")*($AS$11:$AS3570="✓")),"")</f>
        <v/>
      </c>
      <c r="BA3570" s="21" t="str">
        <f>IF($AL3570="","",$AL3570&amp;"|"&amp;COUNTIF($AL$11:$AL3570,$AL3570))</f>
        <v/>
      </c>
    </row>
    <row r="3571" spans="38:53" ht="15" customHeight="1" x14ac:dyDescent="0.25">
      <c r="AL3571" s="17"/>
      <c r="AM3571" s="12"/>
      <c r="AN3571" s="18"/>
      <c r="AO3571" s="18"/>
      <c r="AP3571" s="10"/>
      <c r="AQ3571" s="10"/>
      <c r="AR3571" s="19"/>
      <c r="AS3571" s="20"/>
      <c r="AT3571" s="19"/>
      <c r="AV3571" s="21">
        <f>IF(AND($AL3571&lt;&gt;"",COUNTIF($AL$11:$AL3571,$AL3571)=1),1,0)</f>
        <v>0</v>
      </c>
      <c r="AW3571" s="21">
        <f t="shared" si="197"/>
        <v>0</v>
      </c>
      <c r="AX3571" s="21" t="str">
        <f t="shared" si="196"/>
        <v/>
      </c>
      <c r="AY3571" s="21" t="str">
        <f>IF(AND($AM3571&lt;&gt;"",$AS3571&lt;&gt;"✓"),SUMPRODUCT(($AM$11:$AM3571&lt;&gt;"")*($AS$11:$AS3571&lt;&gt;"✓")),"")</f>
        <v/>
      </c>
      <c r="AZ3571" s="21" t="str">
        <f>IF(AND($AM3571&lt;&gt;"",$AS3571="✓"),SUMPRODUCT(($AM$11:$AM3571&lt;&gt;"")*($AS$11:$AS3571="✓")),"")</f>
        <v/>
      </c>
      <c r="BA3571" s="21" t="str">
        <f>IF($AL3571="","",$AL3571&amp;"|"&amp;COUNTIF($AL$11:$AL3571,$AL3571))</f>
        <v/>
      </c>
    </row>
    <row r="3572" spans="38:53" ht="15" customHeight="1" x14ac:dyDescent="0.25">
      <c r="AL3572" s="31"/>
      <c r="AM3572" s="26"/>
      <c r="AN3572" s="32"/>
      <c r="AO3572" s="32"/>
      <c r="AP3572" s="24"/>
      <c r="AQ3572" s="24"/>
      <c r="AR3572" s="33"/>
      <c r="AS3572" s="34"/>
      <c r="AT3572" s="33"/>
      <c r="AV3572" s="21">
        <f>IF(AND($AL3572&lt;&gt;"",COUNTIF($AL$11:$AL3572,$AL3572)=1),1,0)</f>
        <v>0</v>
      </c>
      <c r="AW3572" s="21">
        <f t="shared" si="197"/>
        <v>0</v>
      </c>
      <c r="AX3572" s="21" t="str">
        <f t="shared" si="196"/>
        <v/>
      </c>
      <c r="AY3572" s="21" t="str">
        <f>IF(AND($AM3572&lt;&gt;"",$AS3572&lt;&gt;"✓"),SUMPRODUCT(($AM$11:$AM3572&lt;&gt;"")*($AS$11:$AS3572&lt;&gt;"✓")),"")</f>
        <v/>
      </c>
      <c r="AZ3572" s="21" t="str">
        <f>IF(AND($AM3572&lt;&gt;"",$AS3572="✓"),SUMPRODUCT(($AM$11:$AM3572&lt;&gt;"")*($AS$11:$AS3572="✓")),"")</f>
        <v/>
      </c>
      <c r="BA3572" s="21" t="str">
        <f>IF($AL3572="","",$AL3572&amp;"|"&amp;COUNTIF($AL$11:$AL3572,$AL3572))</f>
        <v/>
      </c>
    </row>
    <row r="3573" spans="38:53" ht="15" customHeight="1" x14ac:dyDescent="0.25">
      <c r="AL3573" s="17"/>
      <c r="AM3573" s="12"/>
      <c r="AN3573" s="18"/>
      <c r="AO3573" s="18"/>
      <c r="AP3573" s="10"/>
      <c r="AQ3573" s="10"/>
      <c r="AR3573" s="19"/>
      <c r="AS3573" s="20"/>
      <c r="AT3573" s="19"/>
      <c r="AV3573" s="21">
        <f>IF(AND($AL3573&lt;&gt;"",COUNTIF($AL$11:$AL3573,$AL3573)=1),1,0)</f>
        <v>0</v>
      </c>
      <c r="AW3573" s="21">
        <f t="shared" si="197"/>
        <v>0</v>
      </c>
      <c r="AX3573" s="21" t="str">
        <f t="shared" si="196"/>
        <v/>
      </c>
      <c r="AY3573" s="21" t="str">
        <f>IF(AND($AM3573&lt;&gt;"",$AS3573&lt;&gt;"✓"),SUMPRODUCT(($AM$11:$AM3573&lt;&gt;"")*($AS$11:$AS3573&lt;&gt;"✓")),"")</f>
        <v/>
      </c>
      <c r="AZ3573" s="21" t="str">
        <f>IF(AND($AM3573&lt;&gt;"",$AS3573="✓"),SUMPRODUCT(($AM$11:$AM3573&lt;&gt;"")*($AS$11:$AS3573="✓")),"")</f>
        <v/>
      </c>
      <c r="BA3573" s="21" t="str">
        <f>IF($AL3573="","",$AL3573&amp;"|"&amp;COUNTIF($AL$11:$AL3573,$AL3573))</f>
        <v/>
      </c>
    </row>
    <row r="3574" spans="38:53" ht="15" customHeight="1" x14ac:dyDescent="0.25">
      <c r="AL3574" s="31"/>
      <c r="AM3574" s="26"/>
      <c r="AN3574" s="32"/>
      <c r="AO3574" s="32"/>
      <c r="AP3574" s="24"/>
      <c r="AQ3574" s="24"/>
      <c r="AR3574" s="33"/>
      <c r="AS3574" s="34"/>
      <c r="AT3574" s="33"/>
      <c r="AV3574" s="21">
        <f>IF(AND($AL3574&lt;&gt;"",COUNTIF($AL$11:$AL3574,$AL3574)=1),1,0)</f>
        <v>0</v>
      </c>
      <c r="AW3574" s="21">
        <f t="shared" si="197"/>
        <v>0</v>
      </c>
      <c r="AX3574" s="21" t="str">
        <f t="shared" si="196"/>
        <v/>
      </c>
      <c r="AY3574" s="21" t="str">
        <f>IF(AND($AM3574&lt;&gt;"",$AS3574&lt;&gt;"✓"),SUMPRODUCT(($AM$11:$AM3574&lt;&gt;"")*($AS$11:$AS3574&lt;&gt;"✓")),"")</f>
        <v/>
      </c>
      <c r="AZ3574" s="21" t="str">
        <f>IF(AND($AM3574&lt;&gt;"",$AS3574="✓"),SUMPRODUCT(($AM$11:$AM3574&lt;&gt;"")*($AS$11:$AS3574="✓")),"")</f>
        <v/>
      </c>
      <c r="BA3574" s="21" t="str">
        <f>IF($AL3574="","",$AL3574&amp;"|"&amp;COUNTIF($AL$11:$AL3574,$AL3574))</f>
        <v/>
      </c>
    </row>
    <row r="3575" spans="38:53" ht="15" customHeight="1" x14ac:dyDescent="0.25">
      <c r="AL3575" s="17"/>
      <c r="AM3575" s="12"/>
      <c r="AN3575" s="18"/>
      <c r="AO3575" s="18"/>
      <c r="AP3575" s="10"/>
      <c r="AQ3575" s="10"/>
      <c r="AR3575" s="19"/>
      <c r="AS3575" s="20"/>
      <c r="AT3575" s="19"/>
      <c r="AV3575" s="21">
        <f>IF(AND($AL3575&lt;&gt;"",COUNTIF($AL$11:$AL3575,$AL3575)=1),1,0)</f>
        <v>0</v>
      </c>
      <c r="AW3575" s="21">
        <f t="shared" si="197"/>
        <v>0</v>
      </c>
      <c r="AX3575" s="21" t="str">
        <f t="shared" si="196"/>
        <v/>
      </c>
      <c r="AY3575" s="21" t="str">
        <f>IF(AND($AM3575&lt;&gt;"",$AS3575&lt;&gt;"✓"),SUMPRODUCT(($AM$11:$AM3575&lt;&gt;"")*($AS$11:$AS3575&lt;&gt;"✓")),"")</f>
        <v/>
      </c>
      <c r="AZ3575" s="21" t="str">
        <f>IF(AND($AM3575&lt;&gt;"",$AS3575="✓"),SUMPRODUCT(($AM$11:$AM3575&lt;&gt;"")*($AS$11:$AS3575="✓")),"")</f>
        <v/>
      </c>
      <c r="BA3575" s="21" t="str">
        <f>IF($AL3575="","",$AL3575&amp;"|"&amp;COUNTIF($AL$11:$AL3575,$AL3575))</f>
        <v/>
      </c>
    </row>
    <row r="3576" spans="38:53" ht="15" customHeight="1" x14ac:dyDescent="0.25">
      <c r="AL3576" s="31"/>
      <c r="AM3576" s="26"/>
      <c r="AN3576" s="32"/>
      <c r="AO3576" s="32"/>
      <c r="AP3576" s="24"/>
      <c r="AQ3576" s="24"/>
      <c r="AR3576" s="33"/>
      <c r="AS3576" s="34"/>
      <c r="AT3576" s="33"/>
      <c r="AV3576" s="21">
        <f>IF(AND($AL3576&lt;&gt;"",COUNTIF($AL$11:$AL3576,$AL3576)=1),1,0)</f>
        <v>0</v>
      </c>
      <c r="AW3576" s="21">
        <f t="shared" si="197"/>
        <v>0</v>
      </c>
      <c r="AX3576" s="21" t="str">
        <f t="shared" si="196"/>
        <v/>
      </c>
      <c r="AY3576" s="21" t="str">
        <f>IF(AND($AM3576&lt;&gt;"",$AS3576&lt;&gt;"✓"),SUMPRODUCT(($AM$11:$AM3576&lt;&gt;"")*($AS$11:$AS3576&lt;&gt;"✓")),"")</f>
        <v/>
      </c>
      <c r="AZ3576" s="21" t="str">
        <f>IF(AND($AM3576&lt;&gt;"",$AS3576="✓"),SUMPRODUCT(($AM$11:$AM3576&lt;&gt;"")*($AS$11:$AS3576="✓")),"")</f>
        <v/>
      </c>
      <c r="BA3576" s="21" t="str">
        <f>IF($AL3576="","",$AL3576&amp;"|"&amp;COUNTIF($AL$11:$AL3576,$AL3576))</f>
        <v/>
      </c>
    </row>
    <row r="3577" spans="38:53" ht="15" customHeight="1" x14ac:dyDescent="0.25">
      <c r="AL3577" s="17"/>
      <c r="AM3577" s="12"/>
      <c r="AN3577" s="18"/>
      <c r="AO3577" s="18"/>
      <c r="AP3577" s="10"/>
      <c r="AQ3577" s="10"/>
      <c r="AR3577" s="19"/>
      <c r="AS3577" s="20"/>
      <c r="AT3577" s="19"/>
      <c r="AV3577" s="21">
        <f>IF(AND($AL3577&lt;&gt;"",COUNTIF($AL$11:$AL3577,$AL3577)=1),1,0)</f>
        <v>0</v>
      </c>
      <c r="AW3577" s="21">
        <f t="shared" si="197"/>
        <v>0</v>
      </c>
      <c r="AX3577" s="21" t="str">
        <f t="shared" si="196"/>
        <v/>
      </c>
      <c r="AY3577" s="21" t="str">
        <f>IF(AND($AM3577&lt;&gt;"",$AS3577&lt;&gt;"✓"),SUMPRODUCT(($AM$11:$AM3577&lt;&gt;"")*($AS$11:$AS3577&lt;&gt;"✓")),"")</f>
        <v/>
      </c>
      <c r="AZ3577" s="21" t="str">
        <f>IF(AND($AM3577&lt;&gt;"",$AS3577="✓"),SUMPRODUCT(($AM$11:$AM3577&lt;&gt;"")*($AS$11:$AS3577="✓")),"")</f>
        <v/>
      </c>
      <c r="BA3577" s="21" t="str">
        <f>IF($AL3577="","",$AL3577&amp;"|"&amp;COUNTIF($AL$11:$AL3577,$AL3577))</f>
        <v/>
      </c>
    </row>
    <row r="3578" spans="38:53" ht="15" customHeight="1" x14ac:dyDescent="0.25">
      <c r="AL3578" s="31"/>
      <c r="AM3578" s="26"/>
      <c r="AN3578" s="32"/>
      <c r="AO3578" s="32"/>
      <c r="AP3578" s="24"/>
      <c r="AQ3578" s="24"/>
      <c r="AR3578" s="33"/>
      <c r="AS3578" s="34"/>
      <c r="AT3578" s="33"/>
      <c r="AV3578" s="21">
        <f>IF(AND($AL3578&lt;&gt;"",COUNTIF($AL$11:$AL3578,$AL3578)=1),1,0)</f>
        <v>0</v>
      </c>
      <c r="AW3578" s="21">
        <f t="shared" si="197"/>
        <v>0</v>
      </c>
      <c r="AX3578" s="21" t="str">
        <f t="shared" si="196"/>
        <v/>
      </c>
      <c r="AY3578" s="21" t="str">
        <f>IF(AND($AM3578&lt;&gt;"",$AS3578&lt;&gt;"✓"),SUMPRODUCT(($AM$11:$AM3578&lt;&gt;"")*($AS$11:$AS3578&lt;&gt;"✓")),"")</f>
        <v/>
      </c>
      <c r="AZ3578" s="21" t="str">
        <f>IF(AND($AM3578&lt;&gt;"",$AS3578="✓"),SUMPRODUCT(($AM$11:$AM3578&lt;&gt;"")*($AS$11:$AS3578="✓")),"")</f>
        <v/>
      </c>
      <c r="BA3578" s="21" t="str">
        <f>IF($AL3578="","",$AL3578&amp;"|"&amp;COUNTIF($AL$11:$AL3578,$AL3578))</f>
        <v/>
      </c>
    </row>
    <row r="3579" spans="38:53" ht="15" customHeight="1" x14ac:dyDescent="0.25">
      <c r="AL3579" s="17"/>
      <c r="AM3579" s="12"/>
      <c r="AN3579" s="18"/>
      <c r="AO3579" s="18"/>
      <c r="AP3579" s="10"/>
      <c r="AQ3579" s="10"/>
      <c r="AR3579" s="19"/>
      <c r="AS3579" s="20"/>
      <c r="AT3579" s="19"/>
      <c r="AV3579" s="21">
        <f>IF(AND($AL3579&lt;&gt;"",COUNTIF($AL$11:$AL3579,$AL3579)=1),1,0)</f>
        <v>0</v>
      </c>
      <c r="AW3579" s="21">
        <f t="shared" si="197"/>
        <v>0</v>
      </c>
      <c r="AX3579" s="21" t="str">
        <f t="shared" si="196"/>
        <v/>
      </c>
      <c r="AY3579" s="21" t="str">
        <f>IF(AND($AM3579&lt;&gt;"",$AS3579&lt;&gt;"✓"),SUMPRODUCT(($AM$11:$AM3579&lt;&gt;"")*($AS$11:$AS3579&lt;&gt;"✓")),"")</f>
        <v/>
      </c>
      <c r="AZ3579" s="21" t="str">
        <f>IF(AND($AM3579&lt;&gt;"",$AS3579="✓"),SUMPRODUCT(($AM$11:$AM3579&lt;&gt;"")*($AS$11:$AS3579="✓")),"")</f>
        <v/>
      </c>
      <c r="BA3579" s="21" t="str">
        <f>IF($AL3579="","",$AL3579&amp;"|"&amp;COUNTIF($AL$11:$AL3579,$AL3579))</f>
        <v/>
      </c>
    </row>
    <row r="3580" spans="38:53" ht="15" customHeight="1" x14ac:dyDescent="0.25">
      <c r="AL3580" s="31"/>
      <c r="AM3580" s="26"/>
      <c r="AN3580" s="32"/>
      <c r="AO3580" s="32"/>
      <c r="AP3580" s="24"/>
      <c r="AQ3580" s="24"/>
      <c r="AR3580" s="33"/>
      <c r="AS3580" s="34"/>
      <c r="AT3580" s="33"/>
      <c r="AV3580" s="21">
        <f>IF(AND($AL3580&lt;&gt;"",COUNTIF($AL$11:$AL3580,$AL3580)=1),1,0)</f>
        <v>0</v>
      </c>
      <c r="AW3580" s="21">
        <f t="shared" si="197"/>
        <v>0</v>
      </c>
      <c r="AX3580" s="21" t="str">
        <f t="shared" si="196"/>
        <v/>
      </c>
      <c r="AY3580" s="21" t="str">
        <f>IF(AND($AM3580&lt;&gt;"",$AS3580&lt;&gt;"✓"),SUMPRODUCT(($AM$11:$AM3580&lt;&gt;"")*($AS$11:$AS3580&lt;&gt;"✓")),"")</f>
        <v/>
      </c>
      <c r="AZ3580" s="21" t="str">
        <f>IF(AND($AM3580&lt;&gt;"",$AS3580="✓"),SUMPRODUCT(($AM$11:$AM3580&lt;&gt;"")*($AS$11:$AS3580="✓")),"")</f>
        <v/>
      </c>
      <c r="BA3580" s="21" t="str">
        <f>IF($AL3580="","",$AL3580&amp;"|"&amp;COUNTIF($AL$11:$AL3580,$AL3580))</f>
        <v/>
      </c>
    </row>
    <row r="3581" spans="38:53" ht="15" customHeight="1" x14ac:dyDescent="0.25">
      <c r="AL3581" s="17"/>
      <c r="AM3581" s="12"/>
      <c r="AN3581" s="18"/>
      <c r="AO3581" s="18"/>
      <c r="AP3581" s="10"/>
      <c r="AQ3581" s="10"/>
      <c r="AR3581" s="19"/>
      <c r="AS3581" s="20"/>
      <c r="AT3581" s="19"/>
      <c r="AV3581" s="21">
        <f>IF(AND($AL3581&lt;&gt;"",COUNTIF($AL$11:$AL3581,$AL3581)=1),1,0)</f>
        <v>0</v>
      </c>
      <c r="AW3581" s="21">
        <f t="shared" si="197"/>
        <v>0</v>
      </c>
      <c r="AX3581" s="21" t="str">
        <f t="shared" si="196"/>
        <v/>
      </c>
      <c r="AY3581" s="21" t="str">
        <f>IF(AND($AM3581&lt;&gt;"",$AS3581&lt;&gt;"✓"),SUMPRODUCT(($AM$11:$AM3581&lt;&gt;"")*($AS$11:$AS3581&lt;&gt;"✓")),"")</f>
        <v/>
      </c>
      <c r="AZ3581" s="21" t="str">
        <f>IF(AND($AM3581&lt;&gt;"",$AS3581="✓"),SUMPRODUCT(($AM$11:$AM3581&lt;&gt;"")*($AS$11:$AS3581="✓")),"")</f>
        <v/>
      </c>
      <c r="BA3581" s="21" t="str">
        <f>IF($AL3581="","",$AL3581&amp;"|"&amp;COUNTIF($AL$11:$AL3581,$AL3581))</f>
        <v/>
      </c>
    </row>
    <row r="3582" spans="38:53" ht="15" customHeight="1" x14ac:dyDescent="0.25">
      <c r="AL3582" s="31"/>
      <c r="AM3582" s="26"/>
      <c r="AN3582" s="32"/>
      <c r="AO3582" s="32"/>
      <c r="AP3582" s="24"/>
      <c r="AQ3582" s="24"/>
      <c r="AR3582" s="33"/>
      <c r="AS3582" s="34"/>
      <c r="AT3582" s="33"/>
      <c r="AV3582" s="21">
        <f>IF(AND($AL3582&lt;&gt;"",COUNTIF($AL$11:$AL3582,$AL3582)=1),1,0)</f>
        <v>0</v>
      </c>
      <c r="AW3582" s="21">
        <f t="shared" si="197"/>
        <v>0</v>
      </c>
      <c r="AX3582" s="21" t="str">
        <f t="shared" si="196"/>
        <v/>
      </c>
      <c r="AY3582" s="21" t="str">
        <f>IF(AND($AM3582&lt;&gt;"",$AS3582&lt;&gt;"✓"),SUMPRODUCT(($AM$11:$AM3582&lt;&gt;"")*($AS$11:$AS3582&lt;&gt;"✓")),"")</f>
        <v/>
      </c>
      <c r="AZ3582" s="21" t="str">
        <f>IF(AND($AM3582&lt;&gt;"",$AS3582="✓"),SUMPRODUCT(($AM$11:$AM3582&lt;&gt;"")*($AS$11:$AS3582="✓")),"")</f>
        <v/>
      </c>
      <c r="BA3582" s="21" t="str">
        <f>IF($AL3582="","",$AL3582&amp;"|"&amp;COUNTIF($AL$11:$AL3582,$AL3582))</f>
        <v/>
      </c>
    </row>
    <row r="3583" spans="38:53" ht="15" customHeight="1" x14ac:dyDescent="0.25">
      <c r="AL3583" s="17"/>
      <c r="AM3583" s="12"/>
      <c r="AN3583" s="18"/>
      <c r="AO3583" s="18"/>
      <c r="AP3583" s="10"/>
      <c r="AQ3583" s="10"/>
      <c r="AR3583" s="19"/>
      <c r="AS3583" s="20"/>
      <c r="AT3583" s="19"/>
      <c r="AV3583" s="21">
        <f>IF(AND($AL3583&lt;&gt;"",COUNTIF($AL$11:$AL3583,$AL3583)=1),1,0)</f>
        <v>0</v>
      </c>
      <c r="AW3583" s="21">
        <f t="shared" si="197"/>
        <v>0</v>
      </c>
      <c r="AX3583" s="21" t="str">
        <f t="shared" si="196"/>
        <v/>
      </c>
      <c r="AY3583" s="21" t="str">
        <f>IF(AND($AM3583&lt;&gt;"",$AS3583&lt;&gt;"✓"),SUMPRODUCT(($AM$11:$AM3583&lt;&gt;"")*($AS$11:$AS3583&lt;&gt;"✓")),"")</f>
        <v/>
      </c>
      <c r="AZ3583" s="21" t="str">
        <f>IF(AND($AM3583&lt;&gt;"",$AS3583="✓"),SUMPRODUCT(($AM$11:$AM3583&lt;&gt;"")*($AS$11:$AS3583="✓")),"")</f>
        <v/>
      </c>
      <c r="BA3583" s="21" t="str">
        <f>IF($AL3583="","",$AL3583&amp;"|"&amp;COUNTIF($AL$11:$AL3583,$AL3583))</f>
        <v/>
      </c>
    </row>
    <row r="3584" spans="38:53" ht="15" customHeight="1" x14ac:dyDescent="0.25">
      <c r="AL3584" s="31"/>
      <c r="AM3584" s="26"/>
      <c r="AN3584" s="32"/>
      <c r="AO3584" s="32"/>
      <c r="AP3584" s="24"/>
      <c r="AQ3584" s="24"/>
      <c r="AR3584" s="33"/>
      <c r="AS3584" s="34"/>
      <c r="AT3584" s="33"/>
      <c r="AV3584" s="21">
        <f>IF(AND($AL3584&lt;&gt;"",COUNTIF($AL$11:$AL3584,$AL3584)=1),1,0)</f>
        <v>0</v>
      </c>
      <c r="AW3584" s="21">
        <f t="shared" si="197"/>
        <v>0</v>
      </c>
      <c r="AX3584" s="21" t="str">
        <f t="shared" si="196"/>
        <v/>
      </c>
      <c r="AY3584" s="21" t="str">
        <f>IF(AND($AM3584&lt;&gt;"",$AS3584&lt;&gt;"✓"),SUMPRODUCT(($AM$11:$AM3584&lt;&gt;"")*($AS$11:$AS3584&lt;&gt;"✓")),"")</f>
        <v/>
      </c>
      <c r="AZ3584" s="21" t="str">
        <f>IF(AND($AM3584&lt;&gt;"",$AS3584="✓"),SUMPRODUCT(($AM$11:$AM3584&lt;&gt;"")*($AS$11:$AS3584="✓")),"")</f>
        <v/>
      </c>
      <c r="BA3584" s="21" t="str">
        <f>IF($AL3584="","",$AL3584&amp;"|"&amp;COUNTIF($AL$11:$AL3584,$AL3584))</f>
        <v/>
      </c>
    </row>
    <row r="3585" spans="38:53" ht="15" customHeight="1" x14ac:dyDescent="0.25">
      <c r="AL3585" s="17"/>
      <c r="AM3585" s="12"/>
      <c r="AN3585" s="18"/>
      <c r="AO3585" s="18"/>
      <c r="AP3585" s="10"/>
      <c r="AQ3585" s="10"/>
      <c r="AR3585" s="19"/>
      <c r="AS3585" s="20"/>
      <c r="AT3585" s="19"/>
      <c r="AV3585" s="21">
        <f>IF(AND($AL3585&lt;&gt;"",COUNTIF($AL$11:$AL3585,$AL3585)=1),1,0)</f>
        <v>0</v>
      </c>
      <c r="AW3585" s="21">
        <f t="shared" si="197"/>
        <v>0</v>
      </c>
      <c r="AX3585" s="21" t="str">
        <f t="shared" si="196"/>
        <v/>
      </c>
      <c r="AY3585" s="21" t="str">
        <f>IF(AND($AM3585&lt;&gt;"",$AS3585&lt;&gt;"✓"),SUMPRODUCT(($AM$11:$AM3585&lt;&gt;"")*($AS$11:$AS3585&lt;&gt;"✓")),"")</f>
        <v/>
      </c>
      <c r="AZ3585" s="21" t="str">
        <f>IF(AND($AM3585&lt;&gt;"",$AS3585="✓"),SUMPRODUCT(($AM$11:$AM3585&lt;&gt;"")*($AS$11:$AS3585="✓")),"")</f>
        <v/>
      </c>
      <c r="BA3585" s="21" t="str">
        <f>IF($AL3585="","",$AL3585&amp;"|"&amp;COUNTIF($AL$11:$AL3585,$AL3585))</f>
        <v/>
      </c>
    </row>
    <row r="3586" spans="38:53" ht="15" customHeight="1" x14ac:dyDescent="0.25">
      <c r="AL3586" s="31"/>
      <c r="AM3586" s="26"/>
      <c r="AN3586" s="32"/>
      <c r="AO3586" s="32"/>
      <c r="AP3586" s="24"/>
      <c r="AQ3586" s="24"/>
      <c r="AR3586" s="33"/>
      <c r="AS3586" s="34"/>
      <c r="AT3586" s="33"/>
      <c r="AV3586" s="21">
        <f>IF(AND($AL3586&lt;&gt;"",COUNTIF($AL$11:$AL3586,$AL3586)=1),1,0)</f>
        <v>0</v>
      </c>
      <c r="AW3586" s="21">
        <f t="shared" si="197"/>
        <v>0</v>
      </c>
      <c r="AX3586" s="21" t="str">
        <f t="shared" si="196"/>
        <v/>
      </c>
      <c r="AY3586" s="21" t="str">
        <f>IF(AND($AM3586&lt;&gt;"",$AS3586&lt;&gt;"✓"),SUMPRODUCT(($AM$11:$AM3586&lt;&gt;"")*($AS$11:$AS3586&lt;&gt;"✓")),"")</f>
        <v/>
      </c>
      <c r="AZ3586" s="21" t="str">
        <f>IF(AND($AM3586&lt;&gt;"",$AS3586="✓"),SUMPRODUCT(($AM$11:$AM3586&lt;&gt;"")*($AS$11:$AS3586="✓")),"")</f>
        <v/>
      </c>
      <c r="BA3586" s="21" t="str">
        <f>IF($AL3586="","",$AL3586&amp;"|"&amp;COUNTIF($AL$11:$AL3586,$AL3586))</f>
        <v/>
      </c>
    </row>
    <row r="3587" spans="38:53" ht="15" customHeight="1" x14ac:dyDescent="0.25">
      <c r="AL3587" s="17"/>
      <c r="AM3587" s="12"/>
      <c r="AN3587" s="18"/>
      <c r="AO3587" s="18"/>
      <c r="AP3587" s="10"/>
      <c r="AQ3587" s="10"/>
      <c r="AR3587" s="19"/>
      <c r="AS3587" s="20"/>
      <c r="AT3587" s="19"/>
      <c r="AV3587" s="21">
        <f>IF(AND($AL3587&lt;&gt;"",COUNTIF($AL$11:$AL3587,$AL3587)=1),1,0)</f>
        <v>0</v>
      </c>
      <c r="AW3587" s="21">
        <f t="shared" si="197"/>
        <v>0</v>
      </c>
      <c r="AX3587" s="21" t="str">
        <f t="shared" si="196"/>
        <v/>
      </c>
      <c r="AY3587" s="21" t="str">
        <f>IF(AND($AM3587&lt;&gt;"",$AS3587&lt;&gt;"✓"),SUMPRODUCT(($AM$11:$AM3587&lt;&gt;"")*($AS$11:$AS3587&lt;&gt;"✓")),"")</f>
        <v/>
      </c>
      <c r="AZ3587" s="21" t="str">
        <f>IF(AND($AM3587&lt;&gt;"",$AS3587="✓"),SUMPRODUCT(($AM$11:$AM3587&lt;&gt;"")*($AS$11:$AS3587="✓")),"")</f>
        <v/>
      </c>
      <c r="BA3587" s="21" t="str">
        <f>IF($AL3587="","",$AL3587&amp;"|"&amp;COUNTIF($AL$11:$AL3587,$AL3587))</f>
        <v/>
      </c>
    </row>
    <row r="3588" spans="38:53" ht="15" customHeight="1" x14ac:dyDescent="0.25">
      <c r="AL3588" s="31"/>
      <c r="AM3588" s="26"/>
      <c r="AN3588" s="32"/>
      <c r="AO3588" s="32"/>
      <c r="AP3588" s="24"/>
      <c r="AQ3588" s="24"/>
      <c r="AR3588" s="33"/>
      <c r="AS3588" s="34"/>
      <c r="AT3588" s="33"/>
      <c r="AV3588" s="21">
        <f>IF(AND($AL3588&lt;&gt;"",COUNTIF($AL$11:$AL3588,$AL3588)=1),1,0)</f>
        <v>0</v>
      </c>
      <c r="AW3588" s="21">
        <f t="shared" si="197"/>
        <v>0</v>
      </c>
      <c r="AX3588" s="21" t="str">
        <f t="shared" si="196"/>
        <v/>
      </c>
      <c r="AY3588" s="21" t="str">
        <f>IF(AND($AM3588&lt;&gt;"",$AS3588&lt;&gt;"✓"),SUMPRODUCT(($AM$11:$AM3588&lt;&gt;"")*($AS$11:$AS3588&lt;&gt;"✓")),"")</f>
        <v/>
      </c>
      <c r="AZ3588" s="21" t="str">
        <f>IF(AND($AM3588&lt;&gt;"",$AS3588="✓"),SUMPRODUCT(($AM$11:$AM3588&lt;&gt;"")*($AS$11:$AS3588="✓")),"")</f>
        <v/>
      </c>
      <c r="BA3588" s="21" t="str">
        <f>IF($AL3588="","",$AL3588&amp;"|"&amp;COUNTIF($AL$11:$AL3588,$AL3588))</f>
        <v/>
      </c>
    </row>
    <row r="3589" spans="38:53" ht="15" customHeight="1" x14ac:dyDescent="0.25">
      <c r="AL3589" s="17"/>
      <c r="AM3589" s="12"/>
      <c r="AN3589" s="18"/>
      <c r="AO3589" s="18"/>
      <c r="AP3589" s="10"/>
      <c r="AQ3589" s="10"/>
      <c r="AR3589" s="19"/>
      <c r="AS3589" s="20"/>
      <c r="AT3589" s="19"/>
      <c r="AV3589" s="21">
        <f>IF(AND($AL3589&lt;&gt;"",COUNTIF($AL$11:$AL3589,$AL3589)=1),1,0)</f>
        <v>0</v>
      </c>
      <c r="AW3589" s="21">
        <f t="shared" si="197"/>
        <v>0</v>
      </c>
      <c r="AX3589" s="21" t="str">
        <f t="shared" si="196"/>
        <v/>
      </c>
      <c r="AY3589" s="21" t="str">
        <f>IF(AND($AM3589&lt;&gt;"",$AS3589&lt;&gt;"✓"),SUMPRODUCT(($AM$11:$AM3589&lt;&gt;"")*($AS$11:$AS3589&lt;&gt;"✓")),"")</f>
        <v/>
      </c>
      <c r="AZ3589" s="21" t="str">
        <f>IF(AND($AM3589&lt;&gt;"",$AS3589="✓"),SUMPRODUCT(($AM$11:$AM3589&lt;&gt;"")*($AS$11:$AS3589="✓")),"")</f>
        <v/>
      </c>
      <c r="BA3589" s="21" t="str">
        <f>IF($AL3589="","",$AL3589&amp;"|"&amp;COUNTIF($AL$11:$AL3589,$AL3589))</f>
        <v/>
      </c>
    </row>
    <row r="3590" spans="38:53" ht="15" customHeight="1" x14ac:dyDescent="0.25">
      <c r="AL3590" s="31"/>
      <c r="AM3590" s="26"/>
      <c r="AN3590" s="32"/>
      <c r="AO3590" s="32"/>
      <c r="AP3590" s="24"/>
      <c r="AQ3590" s="24"/>
      <c r="AR3590" s="33"/>
      <c r="AS3590" s="34"/>
      <c r="AT3590" s="33"/>
      <c r="AV3590" s="21">
        <f>IF(AND($AL3590&lt;&gt;"",COUNTIF($AL$11:$AL3590,$AL3590)=1),1,0)</f>
        <v>0</v>
      </c>
      <c r="AW3590" s="21">
        <f t="shared" si="197"/>
        <v>0</v>
      </c>
      <c r="AX3590" s="21" t="str">
        <f t="shared" si="196"/>
        <v/>
      </c>
      <c r="AY3590" s="21" t="str">
        <f>IF(AND($AM3590&lt;&gt;"",$AS3590&lt;&gt;"✓"),SUMPRODUCT(($AM$11:$AM3590&lt;&gt;"")*($AS$11:$AS3590&lt;&gt;"✓")),"")</f>
        <v/>
      </c>
      <c r="AZ3590" s="21" t="str">
        <f>IF(AND($AM3590&lt;&gt;"",$AS3590="✓"),SUMPRODUCT(($AM$11:$AM3590&lt;&gt;"")*($AS$11:$AS3590="✓")),"")</f>
        <v/>
      </c>
      <c r="BA3590" s="21" t="str">
        <f>IF($AL3590="","",$AL3590&amp;"|"&amp;COUNTIF($AL$11:$AL3590,$AL3590))</f>
        <v/>
      </c>
    </row>
    <row r="3591" spans="38:53" ht="15" customHeight="1" x14ac:dyDescent="0.25">
      <c r="AL3591" s="17"/>
      <c r="AM3591" s="12"/>
      <c r="AN3591" s="18"/>
      <c r="AO3591" s="18"/>
      <c r="AP3591" s="10"/>
      <c r="AQ3591" s="10"/>
      <c r="AR3591" s="19"/>
      <c r="AS3591" s="20"/>
      <c r="AT3591" s="19"/>
      <c r="AV3591" s="21">
        <f>IF(AND($AL3591&lt;&gt;"",COUNTIF($AL$11:$AL3591,$AL3591)=1),1,0)</f>
        <v>0</v>
      </c>
      <c r="AW3591" s="21">
        <f t="shared" si="197"/>
        <v>0</v>
      </c>
      <c r="AX3591" s="21" t="str">
        <f t="shared" si="196"/>
        <v/>
      </c>
      <c r="AY3591" s="21" t="str">
        <f>IF(AND($AM3591&lt;&gt;"",$AS3591&lt;&gt;"✓"),SUMPRODUCT(($AM$11:$AM3591&lt;&gt;"")*($AS$11:$AS3591&lt;&gt;"✓")),"")</f>
        <v/>
      </c>
      <c r="AZ3591" s="21" t="str">
        <f>IF(AND($AM3591&lt;&gt;"",$AS3591="✓"),SUMPRODUCT(($AM$11:$AM3591&lt;&gt;"")*($AS$11:$AS3591="✓")),"")</f>
        <v/>
      </c>
      <c r="BA3591" s="21" t="str">
        <f>IF($AL3591="","",$AL3591&amp;"|"&amp;COUNTIF($AL$11:$AL3591,$AL3591))</f>
        <v/>
      </c>
    </row>
    <row r="3592" spans="38:53" ht="15" customHeight="1" x14ac:dyDescent="0.25">
      <c r="AL3592" s="31"/>
      <c r="AM3592" s="26"/>
      <c r="AN3592" s="32"/>
      <c r="AO3592" s="32"/>
      <c r="AP3592" s="24"/>
      <c r="AQ3592" s="24"/>
      <c r="AR3592" s="33"/>
      <c r="AS3592" s="34"/>
      <c r="AT3592" s="33"/>
      <c r="AV3592" s="21">
        <f>IF(AND($AL3592&lt;&gt;"",COUNTIF($AL$11:$AL3592,$AL3592)=1),1,0)</f>
        <v>0</v>
      </c>
      <c r="AW3592" s="21">
        <f t="shared" si="197"/>
        <v>0</v>
      </c>
      <c r="AX3592" s="21" t="str">
        <f t="shared" si="196"/>
        <v/>
      </c>
      <c r="AY3592" s="21" t="str">
        <f>IF(AND($AM3592&lt;&gt;"",$AS3592&lt;&gt;"✓"),SUMPRODUCT(($AM$11:$AM3592&lt;&gt;"")*($AS$11:$AS3592&lt;&gt;"✓")),"")</f>
        <v/>
      </c>
      <c r="AZ3592" s="21" t="str">
        <f>IF(AND($AM3592&lt;&gt;"",$AS3592="✓"),SUMPRODUCT(($AM$11:$AM3592&lt;&gt;"")*($AS$11:$AS3592="✓")),"")</f>
        <v/>
      </c>
      <c r="BA3592" s="21" t="str">
        <f>IF($AL3592="","",$AL3592&amp;"|"&amp;COUNTIF($AL$11:$AL3592,$AL3592))</f>
        <v/>
      </c>
    </row>
    <row r="3593" spans="38:53" ht="15" customHeight="1" x14ac:dyDescent="0.25">
      <c r="AL3593" s="17"/>
      <c r="AM3593" s="12"/>
      <c r="AN3593" s="18"/>
      <c r="AO3593" s="18"/>
      <c r="AP3593" s="10"/>
      <c r="AQ3593" s="10"/>
      <c r="AR3593" s="19"/>
      <c r="AS3593" s="20"/>
      <c r="AT3593" s="19"/>
      <c r="AV3593" s="21">
        <f>IF(AND($AL3593&lt;&gt;"",COUNTIF($AL$11:$AL3593,$AL3593)=1),1,0)</f>
        <v>0</v>
      </c>
      <c r="AW3593" s="21">
        <f t="shared" si="197"/>
        <v>0</v>
      </c>
      <c r="AX3593" s="21" t="str">
        <f t="shared" si="196"/>
        <v/>
      </c>
      <c r="AY3593" s="21" t="str">
        <f>IF(AND($AM3593&lt;&gt;"",$AS3593&lt;&gt;"✓"),SUMPRODUCT(($AM$11:$AM3593&lt;&gt;"")*($AS$11:$AS3593&lt;&gt;"✓")),"")</f>
        <v/>
      </c>
      <c r="AZ3593" s="21" t="str">
        <f>IF(AND($AM3593&lt;&gt;"",$AS3593="✓"),SUMPRODUCT(($AM$11:$AM3593&lt;&gt;"")*($AS$11:$AS3593="✓")),"")</f>
        <v/>
      </c>
      <c r="BA3593" s="21" t="str">
        <f>IF($AL3593="","",$AL3593&amp;"|"&amp;COUNTIF($AL$11:$AL3593,$AL3593))</f>
        <v/>
      </c>
    </row>
    <row r="3594" spans="38:53" ht="15" customHeight="1" x14ac:dyDescent="0.25">
      <c r="AL3594" s="31"/>
      <c r="AM3594" s="26"/>
      <c r="AN3594" s="32"/>
      <c r="AO3594" s="32"/>
      <c r="AP3594" s="24"/>
      <c r="AQ3594" s="24"/>
      <c r="AR3594" s="33"/>
      <c r="AS3594" s="34"/>
      <c r="AT3594" s="33"/>
      <c r="AV3594" s="21">
        <f>IF(AND($AL3594&lt;&gt;"",COUNTIF($AL$11:$AL3594,$AL3594)=1),1,0)</f>
        <v>0</v>
      </c>
      <c r="AW3594" s="21">
        <f t="shared" si="197"/>
        <v>0</v>
      </c>
      <c r="AX3594" s="21" t="str">
        <f t="shared" si="196"/>
        <v/>
      </c>
      <c r="AY3594" s="21" t="str">
        <f>IF(AND($AM3594&lt;&gt;"",$AS3594&lt;&gt;"✓"),SUMPRODUCT(($AM$11:$AM3594&lt;&gt;"")*($AS$11:$AS3594&lt;&gt;"✓")),"")</f>
        <v/>
      </c>
      <c r="AZ3594" s="21" t="str">
        <f>IF(AND($AM3594&lt;&gt;"",$AS3594="✓"),SUMPRODUCT(($AM$11:$AM3594&lt;&gt;"")*($AS$11:$AS3594="✓")),"")</f>
        <v/>
      </c>
      <c r="BA3594" s="21" t="str">
        <f>IF($AL3594="","",$AL3594&amp;"|"&amp;COUNTIF($AL$11:$AL3594,$AL3594))</f>
        <v/>
      </c>
    </row>
    <row r="3595" spans="38:53" ht="15" customHeight="1" x14ac:dyDescent="0.25">
      <c r="AL3595" s="17"/>
      <c r="AM3595" s="12"/>
      <c r="AN3595" s="18"/>
      <c r="AO3595" s="18"/>
      <c r="AP3595" s="10"/>
      <c r="AQ3595" s="10"/>
      <c r="AR3595" s="19"/>
      <c r="AS3595" s="20"/>
      <c r="AT3595" s="19"/>
      <c r="AV3595" s="21">
        <f>IF(AND($AL3595&lt;&gt;"",COUNTIF($AL$11:$AL3595,$AL3595)=1),1,0)</f>
        <v>0</v>
      </c>
      <c r="AW3595" s="21">
        <f t="shared" si="197"/>
        <v>0</v>
      </c>
      <c r="AX3595" s="21" t="str">
        <f t="shared" ref="AX3595:AX3658" si="198">IF(AV3595=1,AW3595,"")</f>
        <v/>
      </c>
      <c r="AY3595" s="21" t="str">
        <f>IF(AND($AM3595&lt;&gt;"",$AS3595&lt;&gt;"✓"),SUMPRODUCT(($AM$11:$AM3595&lt;&gt;"")*($AS$11:$AS3595&lt;&gt;"✓")),"")</f>
        <v/>
      </c>
      <c r="AZ3595" s="21" t="str">
        <f>IF(AND($AM3595&lt;&gt;"",$AS3595="✓"),SUMPRODUCT(($AM$11:$AM3595&lt;&gt;"")*($AS$11:$AS3595="✓")),"")</f>
        <v/>
      </c>
      <c r="BA3595" s="21" t="str">
        <f>IF($AL3595="","",$AL3595&amp;"|"&amp;COUNTIF($AL$11:$AL3595,$AL3595))</f>
        <v/>
      </c>
    </row>
    <row r="3596" spans="38:53" ht="15" customHeight="1" x14ac:dyDescent="0.25">
      <c r="AL3596" s="31"/>
      <c r="AM3596" s="26"/>
      <c r="AN3596" s="32"/>
      <c r="AO3596" s="32"/>
      <c r="AP3596" s="24"/>
      <c r="AQ3596" s="24"/>
      <c r="AR3596" s="33"/>
      <c r="AS3596" s="34"/>
      <c r="AT3596" s="33"/>
      <c r="AV3596" s="21">
        <f>IF(AND($AL3596&lt;&gt;"",COUNTIF($AL$11:$AL3596,$AL3596)=1),1,0)</f>
        <v>0</v>
      </c>
      <c r="AW3596" s="21">
        <f t="shared" ref="AW3596:AW3659" si="199">AW3595+AV3596</f>
        <v>0</v>
      </c>
      <c r="AX3596" s="21" t="str">
        <f t="shared" si="198"/>
        <v/>
      </c>
      <c r="AY3596" s="21" t="str">
        <f>IF(AND($AM3596&lt;&gt;"",$AS3596&lt;&gt;"✓"),SUMPRODUCT(($AM$11:$AM3596&lt;&gt;"")*($AS$11:$AS3596&lt;&gt;"✓")),"")</f>
        <v/>
      </c>
      <c r="AZ3596" s="21" t="str">
        <f>IF(AND($AM3596&lt;&gt;"",$AS3596="✓"),SUMPRODUCT(($AM$11:$AM3596&lt;&gt;"")*($AS$11:$AS3596="✓")),"")</f>
        <v/>
      </c>
      <c r="BA3596" s="21" t="str">
        <f>IF($AL3596="","",$AL3596&amp;"|"&amp;COUNTIF($AL$11:$AL3596,$AL3596))</f>
        <v/>
      </c>
    </row>
    <row r="3597" spans="38:53" ht="15" customHeight="1" x14ac:dyDescent="0.25">
      <c r="AL3597" s="17"/>
      <c r="AM3597" s="12"/>
      <c r="AN3597" s="18"/>
      <c r="AO3597" s="18"/>
      <c r="AP3597" s="10"/>
      <c r="AQ3597" s="10"/>
      <c r="AR3597" s="19"/>
      <c r="AS3597" s="20"/>
      <c r="AT3597" s="19"/>
      <c r="AV3597" s="21">
        <f>IF(AND($AL3597&lt;&gt;"",COUNTIF($AL$11:$AL3597,$AL3597)=1),1,0)</f>
        <v>0</v>
      </c>
      <c r="AW3597" s="21">
        <f t="shared" si="199"/>
        <v>0</v>
      </c>
      <c r="AX3597" s="21" t="str">
        <f t="shared" si="198"/>
        <v/>
      </c>
      <c r="AY3597" s="21" t="str">
        <f>IF(AND($AM3597&lt;&gt;"",$AS3597&lt;&gt;"✓"),SUMPRODUCT(($AM$11:$AM3597&lt;&gt;"")*($AS$11:$AS3597&lt;&gt;"✓")),"")</f>
        <v/>
      </c>
      <c r="AZ3597" s="21" t="str">
        <f>IF(AND($AM3597&lt;&gt;"",$AS3597="✓"),SUMPRODUCT(($AM$11:$AM3597&lt;&gt;"")*($AS$11:$AS3597="✓")),"")</f>
        <v/>
      </c>
      <c r="BA3597" s="21" t="str">
        <f>IF($AL3597="","",$AL3597&amp;"|"&amp;COUNTIF($AL$11:$AL3597,$AL3597))</f>
        <v/>
      </c>
    </row>
    <row r="3598" spans="38:53" ht="15" customHeight="1" x14ac:dyDescent="0.25">
      <c r="AL3598" s="31"/>
      <c r="AM3598" s="26"/>
      <c r="AN3598" s="32"/>
      <c r="AO3598" s="32"/>
      <c r="AP3598" s="24"/>
      <c r="AQ3598" s="24"/>
      <c r="AR3598" s="33"/>
      <c r="AS3598" s="34"/>
      <c r="AT3598" s="33"/>
      <c r="AV3598" s="21">
        <f>IF(AND($AL3598&lt;&gt;"",COUNTIF($AL$11:$AL3598,$AL3598)=1),1,0)</f>
        <v>0</v>
      </c>
      <c r="AW3598" s="21">
        <f t="shared" si="199"/>
        <v>0</v>
      </c>
      <c r="AX3598" s="21" t="str">
        <f t="shared" si="198"/>
        <v/>
      </c>
      <c r="AY3598" s="21" t="str">
        <f>IF(AND($AM3598&lt;&gt;"",$AS3598&lt;&gt;"✓"),SUMPRODUCT(($AM$11:$AM3598&lt;&gt;"")*($AS$11:$AS3598&lt;&gt;"✓")),"")</f>
        <v/>
      </c>
      <c r="AZ3598" s="21" t="str">
        <f>IF(AND($AM3598&lt;&gt;"",$AS3598="✓"),SUMPRODUCT(($AM$11:$AM3598&lt;&gt;"")*($AS$11:$AS3598="✓")),"")</f>
        <v/>
      </c>
      <c r="BA3598" s="21" t="str">
        <f>IF($AL3598="","",$AL3598&amp;"|"&amp;COUNTIF($AL$11:$AL3598,$AL3598))</f>
        <v/>
      </c>
    </row>
    <row r="3599" spans="38:53" ht="15" customHeight="1" x14ac:dyDescent="0.25">
      <c r="AL3599" s="17"/>
      <c r="AM3599" s="12"/>
      <c r="AN3599" s="18"/>
      <c r="AO3599" s="18"/>
      <c r="AP3599" s="10"/>
      <c r="AQ3599" s="10"/>
      <c r="AR3599" s="19"/>
      <c r="AS3599" s="20"/>
      <c r="AT3599" s="19"/>
      <c r="AV3599" s="21">
        <f>IF(AND($AL3599&lt;&gt;"",COUNTIF($AL$11:$AL3599,$AL3599)=1),1,0)</f>
        <v>0</v>
      </c>
      <c r="AW3599" s="21">
        <f t="shared" si="199"/>
        <v>0</v>
      </c>
      <c r="AX3599" s="21" t="str">
        <f t="shared" si="198"/>
        <v/>
      </c>
      <c r="AY3599" s="21" t="str">
        <f>IF(AND($AM3599&lt;&gt;"",$AS3599&lt;&gt;"✓"),SUMPRODUCT(($AM$11:$AM3599&lt;&gt;"")*($AS$11:$AS3599&lt;&gt;"✓")),"")</f>
        <v/>
      </c>
      <c r="AZ3599" s="21" t="str">
        <f>IF(AND($AM3599&lt;&gt;"",$AS3599="✓"),SUMPRODUCT(($AM$11:$AM3599&lt;&gt;"")*($AS$11:$AS3599="✓")),"")</f>
        <v/>
      </c>
      <c r="BA3599" s="21" t="str">
        <f>IF($AL3599="","",$AL3599&amp;"|"&amp;COUNTIF($AL$11:$AL3599,$AL3599))</f>
        <v/>
      </c>
    </row>
    <row r="3600" spans="38:53" ht="15" customHeight="1" x14ac:dyDescent="0.25">
      <c r="AL3600" s="31"/>
      <c r="AM3600" s="26"/>
      <c r="AN3600" s="32"/>
      <c r="AO3600" s="32"/>
      <c r="AP3600" s="24"/>
      <c r="AQ3600" s="24"/>
      <c r="AR3600" s="33"/>
      <c r="AS3600" s="34"/>
      <c r="AT3600" s="33"/>
      <c r="AV3600" s="21">
        <f>IF(AND($AL3600&lt;&gt;"",COUNTIF($AL$11:$AL3600,$AL3600)=1),1,0)</f>
        <v>0</v>
      </c>
      <c r="AW3600" s="21">
        <f t="shared" si="199"/>
        <v>0</v>
      </c>
      <c r="AX3600" s="21" t="str">
        <f t="shared" si="198"/>
        <v/>
      </c>
      <c r="AY3600" s="21" t="str">
        <f>IF(AND($AM3600&lt;&gt;"",$AS3600&lt;&gt;"✓"),SUMPRODUCT(($AM$11:$AM3600&lt;&gt;"")*($AS$11:$AS3600&lt;&gt;"✓")),"")</f>
        <v/>
      </c>
      <c r="AZ3600" s="21" t="str">
        <f>IF(AND($AM3600&lt;&gt;"",$AS3600="✓"),SUMPRODUCT(($AM$11:$AM3600&lt;&gt;"")*($AS$11:$AS3600="✓")),"")</f>
        <v/>
      </c>
      <c r="BA3600" s="21" t="str">
        <f>IF($AL3600="","",$AL3600&amp;"|"&amp;COUNTIF($AL$11:$AL3600,$AL3600))</f>
        <v/>
      </c>
    </row>
    <row r="3601" spans="38:53" ht="15" customHeight="1" x14ac:dyDescent="0.25">
      <c r="AL3601" s="17"/>
      <c r="AM3601" s="12"/>
      <c r="AN3601" s="18"/>
      <c r="AO3601" s="18"/>
      <c r="AP3601" s="10"/>
      <c r="AQ3601" s="10"/>
      <c r="AR3601" s="19"/>
      <c r="AS3601" s="20"/>
      <c r="AT3601" s="19"/>
      <c r="AV3601" s="21">
        <f>IF(AND($AL3601&lt;&gt;"",COUNTIF($AL$11:$AL3601,$AL3601)=1),1,0)</f>
        <v>0</v>
      </c>
      <c r="AW3601" s="21">
        <f t="shared" si="199"/>
        <v>0</v>
      </c>
      <c r="AX3601" s="21" t="str">
        <f t="shared" si="198"/>
        <v/>
      </c>
      <c r="AY3601" s="21" t="str">
        <f>IF(AND($AM3601&lt;&gt;"",$AS3601&lt;&gt;"✓"),SUMPRODUCT(($AM$11:$AM3601&lt;&gt;"")*($AS$11:$AS3601&lt;&gt;"✓")),"")</f>
        <v/>
      </c>
      <c r="AZ3601" s="21" t="str">
        <f>IF(AND($AM3601&lt;&gt;"",$AS3601="✓"),SUMPRODUCT(($AM$11:$AM3601&lt;&gt;"")*($AS$11:$AS3601="✓")),"")</f>
        <v/>
      </c>
      <c r="BA3601" s="21" t="str">
        <f>IF($AL3601="","",$AL3601&amp;"|"&amp;COUNTIF($AL$11:$AL3601,$AL3601))</f>
        <v/>
      </c>
    </row>
    <row r="3602" spans="38:53" ht="15" customHeight="1" x14ac:dyDescent="0.25">
      <c r="AL3602" s="31"/>
      <c r="AM3602" s="26"/>
      <c r="AN3602" s="32"/>
      <c r="AO3602" s="32"/>
      <c r="AP3602" s="24"/>
      <c r="AQ3602" s="24"/>
      <c r="AR3602" s="33"/>
      <c r="AS3602" s="34"/>
      <c r="AT3602" s="33"/>
      <c r="AV3602" s="21">
        <f>IF(AND($AL3602&lt;&gt;"",COUNTIF($AL$11:$AL3602,$AL3602)=1),1,0)</f>
        <v>0</v>
      </c>
      <c r="AW3602" s="21">
        <f t="shared" si="199"/>
        <v>0</v>
      </c>
      <c r="AX3602" s="21" t="str">
        <f t="shared" si="198"/>
        <v/>
      </c>
      <c r="AY3602" s="21" t="str">
        <f>IF(AND($AM3602&lt;&gt;"",$AS3602&lt;&gt;"✓"),SUMPRODUCT(($AM$11:$AM3602&lt;&gt;"")*($AS$11:$AS3602&lt;&gt;"✓")),"")</f>
        <v/>
      </c>
      <c r="AZ3602" s="21" t="str">
        <f>IF(AND($AM3602&lt;&gt;"",$AS3602="✓"),SUMPRODUCT(($AM$11:$AM3602&lt;&gt;"")*($AS$11:$AS3602="✓")),"")</f>
        <v/>
      </c>
      <c r="BA3602" s="21" t="str">
        <f>IF($AL3602="","",$AL3602&amp;"|"&amp;COUNTIF($AL$11:$AL3602,$AL3602))</f>
        <v/>
      </c>
    </row>
    <row r="3603" spans="38:53" ht="15" customHeight="1" x14ac:dyDescent="0.25">
      <c r="AL3603" s="17"/>
      <c r="AM3603" s="12"/>
      <c r="AN3603" s="18"/>
      <c r="AO3603" s="18"/>
      <c r="AP3603" s="10"/>
      <c r="AQ3603" s="10"/>
      <c r="AR3603" s="19"/>
      <c r="AS3603" s="20"/>
      <c r="AT3603" s="19"/>
      <c r="AV3603" s="21">
        <f>IF(AND($AL3603&lt;&gt;"",COUNTIF($AL$11:$AL3603,$AL3603)=1),1,0)</f>
        <v>0</v>
      </c>
      <c r="AW3603" s="21">
        <f t="shared" si="199"/>
        <v>0</v>
      </c>
      <c r="AX3603" s="21" t="str">
        <f t="shared" si="198"/>
        <v/>
      </c>
      <c r="AY3603" s="21" t="str">
        <f>IF(AND($AM3603&lt;&gt;"",$AS3603&lt;&gt;"✓"),SUMPRODUCT(($AM$11:$AM3603&lt;&gt;"")*($AS$11:$AS3603&lt;&gt;"✓")),"")</f>
        <v/>
      </c>
      <c r="AZ3603" s="21" t="str">
        <f>IF(AND($AM3603&lt;&gt;"",$AS3603="✓"),SUMPRODUCT(($AM$11:$AM3603&lt;&gt;"")*($AS$11:$AS3603="✓")),"")</f>
        <v/>
      </c>
      <c r="BA3603" s="21" t="str">
        <f>IF($AL3603="","",$AL3603&amp;"|"&amp;COUNTIF($AL$11:$AL3603,$AL3603))</f>
        <v/>
      </c>
    </row>
    <row r="3604" spans="38:53" ht="15" customHeight="1" x14ac:dyDescent="0.25">
      <c r="AL3604" s="31"/>
      <c r="AM3604" s="26"/>
      <c r="AN3604" s="32"/>
      <c r="AO3604" s="32"/>
      <c r="AP3604" s="24"/>
      <c r="AQ3604" s="24"/>
      <c r="AR3604" s="33"/>
      <c r="AS3604" s="34"/>
      <c r="AT3604" s="33"/>
      <c r="AV3604" s="21">
        <f>IF(AND($AL3604&lt;&gt;"",COUNTIF($AL$11:$AL3604,$AL3604)=1),1,0)</f>
        <v>0</v>
      </c>
      <c r="AW3604" s="21">
        <f t="shared" si="199"/>
        <v>0</v>
      </c>
      <c r="AX3604" s="21" t="str">
        <f t="shared" si="198"/>
        <v/>
      </c>
      <c r="AY3604" s="21" t="str">
        <f>IF(AND($AM3604&lt;&gt;"",$AS3604&lt;&gt;"✓"),SUMPRODUCT(($AM$11:$AM3604&lt;&gt;"")*($AS$11:$AS3604&lt;&gt;"✓")),"")</f>
        <v/>
      </c>
      <c r="AZ3604" s="21" t="str">
        <f>IF(AND($AM3604&lt;&gt;"",$AS3604="✓"),SUMPRODUCT(($AM$11:$AM3604&lt;&gt;"")*($AS$11:$AS3604="✓")),"")</f>
        <v/>
      </c>
      <c r="BA3604" s="21" t="str">
        <f>IF($AL3604="","",$AL3604&amp;"|"&amp;COUNTIF($AL$11:$AL3604,$AL3604))</f>
        <v/>
      </c>
    </row>
    <row r="3605" spans="38:53" ht="15" customHeight="1" x14ac:dyDescent="0.25">
      <c r="AL3605" s="17"/>
      <c r="AM3605" s="12"/>
      <c r="AN3605" s="18"/>
      <c r="AO3605" s="18"/>
      <c r="AP3605" s="10"/>
      <c r="AQ3605" s="10"/>
      <c r="AR3605" s="19"/>
      <c r="AS3605" s="20"/>
      <c r="AT3605" s="19"/>
      <c r="AV3605" s="21">
        <f>IF(AND($AL3605&lt;&gt;"",COUNTIF($AL$11:$AL3605,$AL3605)=1),1,0)</f>
        <v>0</v>
      </c>
      <c r="AW3605" s="21">
        <f t="shared" si="199"/>
        <v>0</v>
      </c>
      <c r="AX3605" s="21" t="str">
        <f t="shared" si="198"/>
        <v/>
      </c>
      <c r="AY3605" s="21" t="str">
        <f>IF(AND($AM3605&lt;&gt;"",$AS3605&lt;&gt;"✓"),SUMPRODUCT(($AM$11:$AM3605&lt;&gt;"")*($AS$11:$AS3605&lt;&gt;"✓")),"")</f>
        <v/>
      </c>
      <c r="AZ3605" s="21" t="str">
        <f>IF(AND($AM3605&lt;&gt;"",$AS3605="✓"),SUMPRODUCT(($AM$11:$AM3605&lt;&gt;"")*($AS$11:$AS3605="✓")),"")</f>
        <v/>
      </c>
      <c r="BA3605" s="21" t="str">
        <f>IF($AL3605="","",$AL3605&amp;"|"&amp;COUNTIF($AL$11:$AL3605,$AL3605))</f>
        <v/>
      </c>
    </row>
    <row r="3606" spans="38:53" ht="15" customHeight="1" x14ac:dyDescent="0.25">
      <c r="AL3606" s="31"/>
      <c r="AM3606" s="26"/>
      <c r="AN3606" s="32"/>
      <c r="AO3606" s="32"/>
      <c r="AP3606" s="24"/>
      <c r="AQ3606" s="24"/>
      <c r="AR3606" s="33"/>
      <c r="AS3606" s="34"/>
      <c r="AT3606" s="33"/>
      <c r="AV3606" s="21">
        <f>IF(AND($AL3606&lt;&gt;"",COUNTIF($AL$11:$AL3606,$AL3606)=1),1,0)</f>
        <v>0</v>
      </c>
      <c r="AW3606" s="21">
        <f t="shared" si="199"/>
        <v>0</v>
      </c>
      <c r="AX3606" s="21" t="str">
        <f t="shared" si="198"/>
        <v/>
      </c>
      <c r="AY3606" s="21" t="str">
        <f>IF(AND($AM3606&lt;&gt;"",$AS3606&lt;&gt;"✓"),SUMPRODUCT(($AM$11:$AM3606&lt;&gt;"")*($AS$11:$AS3606&lt;&gt;"✓")),"")</f>
        <v/>
      </c>
      <c r="AZ3606" s="21" t="str">
        <f>IF(AND($AM3606&lt;&gt;"",$AS3606="✓"),SUMPRODUCT(($AM$11:$AM3606&lt;&gt;"")*($AS$11:$AS3606="✓")),"")</f>
        <v/>
      </c>
      <c r="BA3606" s="21" t="str">
        <f>IF($AL3606="","",$AL3606&amp;"|"&amp;COUNTIF($AL$11:$AL3606,$AL3606))</f>
        <v/>
      </c>
    </row>
    <row r="3607" spans="38:53" ht="15" customHeight="1" x14ac:dyDescent="0.25">
      <c r="AL3607" s="17"/>
      <c r="AM3607" s="12"/>
      <c r="AN3607" s="18"/>
      <c r="AO3607" s="18"/>
      <c r="AP3607" s="10"/>
      <c r="AQ3607" s="10"/>
      <c r="AR3607" s="19"/>
      <c r="AS3607" s="20"/>
      <c r="AT3607" s="19"/>
      <c r="AV3607" s="21">
        <f>IF(AND($AL3607&lt;&gt;"",COUNTIF($AL$11:$AL3607,$AL3607)=1),1,0)</f>
        <v>0</v>
      </c>
      <c r="AW3607" s="21">
        <f t="shared" si="199"/>
        <v>0</v>
      </c>
      <c r="AX3607" s="21" t="str">
        <f t="shared" si="198"/>
        <v/>
      </c>
      <c r="AY3607" s="21" t="str">
        <f>IF(AND($AM3607&lt;&gt;"",$AS3607&lt;&gt;"✓"),SUMPRODUCT(($AM$11:$AM3607&lt;&gt;"")*($AS$11:$AS3607&lt;&gt;"✓")),"")</f>
        <v/>
      </c>
      <c r="AZ3607" s="21" t="str">
        <f>IF(AND($AM3607&lt;&gt;"",$AS3607="✓"),SUMPRODUCT(($AM$11:$AM3607&lt;&gt;"")*($AS$11:$AS3607="✓")),"")</f>
        <v/>
      </c>
      <c r="BA3607" s="21" t="str">
        <f>IF($AL3607="","",$AL3607&amp;"|"&amp;COUNTIF($AL$11:$AL3607,$AL3607))</f>
        <v/>
      </c>
    </row>
    <row r="3608" spans="38:53" ht="15" customHeight="1" x14ac:dyDescent="0.25">
      <c r="AL3608" s="31"/>
      <c r="AM3608" s="26"/>
      <c r="AN3608" s="32"/>
      <c r="AO3608" s="32"/>
      <c r="AP3608" s="24"/>
      <c r="AQ3608" s="24"/>
      <c r="AR3608" s="33"/>
      <c r="AS3608" s="34"/>
      <c r="AT3608" s="33"/>
      <c r="AV3608" s="21">
        <f>IF(AND($AL3608&lt;&gt;"",COUNTIF($AL$11:$AL3608,$AL3608)=1),1,0)</f>
        <v>0</v>
      </c>
      <c r="AW3608" s="21">
        <f t="shared" si="199"/>
        <v>0</v>
      </c>
      <c r="AX3608" s="21" t="str">
        <f t="shared" si="198"/>
        <v/>
      </c>
      <c r="AY3608" s="21" t="str">
        <f>IF(AND($AM3608&lt;&gt;"",$AS3608&lt;&gt;"✓"),SUMPRODUCT(($AM$11:$AM3608&lt;&gt;"")*($AS$11:$AS3608&lt;&gt;"✓")),"")</f>
        <v/>
      </c>
      <c r="AZ3608" s="21" t="str">
        <f>IF(AND($AM3608&lt;&gt;"",$AS3608="✓"),SUMPRODUCT(($AM$11:$AM3608&lt;&gt;"")*($AS$11:$AS3608="✓")),"")</f>
        <v/>
      </c>
      <c r="BA3608" s="21" t="str">
        <f>IF($AL3608="","",$AL3608&amp;"|"&amp;COUNTIF($AL$11:$AL3608,$AL3608))</f>
        <v/>
      </c>
    </row>
    <row r="3609" spans="38:53" ht="15" customHeight="1" x14ac:dyDescent="0.25">
      <c r="AL3609" s="17"/>
      <c r="AM3609" s="12"/>
      <c r="AN3609" s="18"/>
      <c r="AO3609" s="18"/>
      <c r="AP3609" s="10"/>
      <c r="AQ3609" s="10"/>
      <c r="AR3609" s="19"/>
      <c r="AS3609" s="20"/>
      <c r="AT3609" s="19"/>
      <c r="AV3609" s="21">
        <f>IF(AND($AL3609&lt;&gt;"",COUNTIF($AL$11:$AL3609,$AL3609)=1),1,0)</f>
        <v>0</v>
      </c>
      <c r="AW3609" s="21">
        <f t="shared" si="199"/>
        <v>0</v>
      </c>
      <c r="AX3609" s="21" t="str">
        <f t="shared" si="198"/>
        <v/>
      </c>
      <c r="AY3609" s="21" t="str">
        <f>IF(AND($AM3609&lt;&gt;"",$AS3609&lt;&gt;"✓"),SUMPRODUCT(($AM$11:$AM3609&lt;&gt;"")*($AS$11:$AS3609&lt;&gt;"✓")),"")</f>
        <v/>
      </c>
      <c r="AZ3609" s="21" t="str">
        <f>IF(AND($AM3609&lt;&gt;"",$AS3609="✓"),SUMPRODUCT(($AM$11:$AM3609&lt;&gt;"")*($AS$11:$AS3609="✓")),"")</f>
        <v/>
      </c>
      <c r="BA3609" s="21" t="str">
        <f>IF($AL3609="","",$AL3609&amp;"|"&amp;COUNTIF($AL$11:$AL3609,$AL3609))</f>
        <v/>
      </c>
    </row>
    <row r="3610" spans="38:53" ht="15" customHeight="1" x14ac:dyDescent="0.25">
      <c r="AL3610" s="31"/>
      <c r="AM3610" s="26"/>
      <c r="AN3610" s="32"/>
      <c r="AO3610" s="32"/>
      <c r="AP3610" s="24"/>
      <c r="AQ3610" s="24"/>
      <c r="AR3610" s="33"/>
      <c r="AS3610" s="34"/>
      <c r="AT3610" s="33"/>
      <c r="AV3610" s="21">
        <f>IF(AND($AL3610&lt;&gt;"",COUNTIF($AL$11:$AL3610,$AL3610)=1),1,0)</f>
        <v>0</v>
      </c>
      <c r="AW3610" s="21">
        <f t="shared" si="199"/>
        <v>0</v>
      </c>
      <c r="AX3610" s="21" t="str">
        <f t="shared" si="198"/>
        <v/>
      </c>
      <c r="AY3610" s="21" t="str">
        <f>IF(AND($AM3610&lt;&gt;"",$AS3610&lt;&gt;"✓"),SUMPRODUCT(($AM$11:$AM3610&lt;&gt;"")*($AS$11:$AS3610&lt;&gt;"✓")),"")</f>
        <v/>
      </c>
      <c r="AZ3610" s="21" t="str">
        <f>IF(AND($AM3610&lt;&gt;"",$AS3610="✓"),SUMPRODUCT(($AM$11:$AM3610&lt;&gt;"")*($AS$11:$AS3610="✓")),"")</f>
        <v/>
      </c>
      <c r="BA3610" s="21" t="str">
        <f>IF($AL3610="","",$AL3610&amp;"|"&amp;COUNTIF($AL$11:$AL3610,$AL3610))</f>
        <v/>
      </c>
    </row>
    <row r="3611" spans="38:53" ht="15" customHeight="1" x14ac:dyDescent="0.25">
      <c r="AL3611" s="17"/>
      <c r="AM3611" s="12"/>
      <c r="AN3611" s="18"/>
      <c r="AO3611" s="18"/>
      <c r="AP3611" s="10"/>
      <c r="AQ3611" s="10"/>
      <c r="AR3611" s="19"/>
      <c r="AS3611" s="20"/>
      <c r="AT3611" s="19"/>
      <c r="AV3611" s="21">
        <f>IF(AND($AL3611&lt;&gt;"",COUNTIF($AL$11:$AL3611,$AL3611)=1),1,0)</f>
        <v>0</v>
      </c>
      <c r="AW3611" s="21">
        <f t="shared" si="199"/>
        <v>0</v>
      </c>
      <c r="AX3611" s="21" t="str">
        <f t="shared" si="198"/>
        <v/>
      </c>
      <c r="AY3611" s="21" t="str">
        <f>IF(AND($AM3611&lt;&gt;"",$AS3611&lt;&gt;"✓"),SUMPRODUCT(($AM$11:$AM3611&lt;&gt;"")*($AS$11:$AS3611&lt;&gt;"✓")),"")</f>
        <v/>
      </c>
      <c r="AZ3611" s="21" t="str">
        <f>IF(AND($AM3611&lt;&gt;"",$AS3611="✓"),SUMPRODUCT(($AM$11:$AM3611&lt;&gt;"")*($AS$11:$AS3611="✓")),"")</f>
        <v/>
      </c>
      <c r="BA3611" s="21" t="str">
        <f>IF($AL3611="","",$AL3611&amp;"|"&amp;COUNTIF($AL$11:$AL3611,$AL3611))</f>
        <v/>
      </c>
    </row>
    <row r="3612" spans="38:53" ht="15" customHeight="1" x14ac:dyDescent="0.25">
      <c r="AL3612" s="31"/>
      <c r="AM3612" s="26"/>
      <c r="AN3612" s="32"/>
      <c r="AO3612" s="32"/>
      <c r="AP3612" s="24"/>
      <c r="AQ3612" s="24"/>
      <c r="AR3612" s="33"/>
      <c r="AS3612" s="34"/>
      <c r="AT3612" s="33"/>
      <c r="AV3612" s="21">
        <f>IF(AND($AL3612&lt;&gt;"",COUNTIF($AL$11:$AL3612,$AL3612)=1),1,0)</f>
        <v>0</v>
      </c>
      <c r="AW3612" s="21">
        <f t="shared" si="199"/>
        <v>0</v>
      </c>
      <c r="AX3612" s="21" t="str">
        <f t="shared" si="198"/>
        <v/>
      </c>
      <c r="AY3612" s="21" t="str">
        <f>IF(AND($AM3612&lt;&gt;"",$AS3612&lt;&gt;"✓"),SUMPRODUCT(($AM$11:$AM3612&lt;&gt;"")*($AS$11:$AS3612&lt;&gt;"✓")),"")</f>
        <v/>
      </c>
      <c r="AZ3612" s="21" t="str">
        <f>IF(AND($AM3612&lt;&gt;"",$AS3612="✓"),SUMPRODUCT(($AM$11:$AM3612&lt;&gt;"")*($AS$11:$AS3612="✓")),"")</f>
        <v/>
      </c>
      <c r="BA3612" s="21" t="str">
        <f>IF($AL3612="","",$AL3612&amp;"|"&amp;COUNTIF($AL$11:$AL3612,$AL3612))</f>
        <v/>
      </c>
    </row>
    <row r="3613" spans="38:53" ht="15" customHeight="1" x14ac:dyDescent="0.25">
      <c r="AL3613" s="17"/>
      <c r="AM3613" s="12"/>
      <c r="AN3613" s="18"/>
      <c r="AO3613" s="18"/>
      <c r="AP3613" s="10"/>
      <c r="AQ3613" s="10"/>
      <c r="AR3613" s="19"/>
      <c r="AS3613" s="20"/>
      <c r="AT3613" s="19"/>
      <c r="AV3613" s="21">
        <f>IF(AND($AL3613&lt;&gt;"",COUNTIF($AL$11:$AL3613,$AL3613)=1),1,0)</f>
        <v>0</v>
      </c>
      <c r="AW3613" s="21">
        <f t="shared" si="199"/>
        <v>0</v>
      </c>
      <c r="AX3613" s="21" t="str">
        <f t="shared" si="198"/>
        <v/>
      </c>
      <c r="AY3613" s="21" t="str">
        <f>IF(AND($AM3613&lt;&gt;"",$AS3613&lt;&gt;"✓"),SUMPRODUCT(($AM$11:$AM3613&lt;&gt;"")*($AS$11:$AS3613&lt;&gt;"✓")),"")</f>
        <v/>
      </c>
      <c r="AZ3613" s="21" t="str">
        <f>IF(AND($AM3613&lt;&gt;"",$AS3613="✓"),SUMPRODUCT(($AM$11:$AM3613&lt;&gt;"")*($AS$11:$AS3613="✓")),"")</f>
        <v/>
      </c>
      <c r="BA3613" s="21" t="str">
        <f>IF($AL3613="","",$AL3613&amp;"|"&amp;COUNTIF($AL$11:$AL3613,$AL3613))</f>
        <v/>
      </c>
    </row>
    <row r="3614" spans="38:53" ht="15" customHeight="1" x14ac:dyDescent="0.25">
      <c r="AL3614" s="31"/>
      <c r="AM3614" s="26"/>
      <c r="AN3614" s="32"/>
      <c r="AO3614" s="32"/>
      <c r="AP3614" s="24"/>
      <c r="AQ3614" s="24"/>
      <c r="AR3614" s="33"/>
      <c r="AS3614" s="34"/>
      <c r="AT3614" s="33"/>
      <c r="AV3614" s="21">
        <f>IF(AND($AL3614&lt;&gt;"",COUNTIF($AL$11:$AL3614,$AL3614)=1),1,0)</f>
        <v>0</v>
      </c>
      <c r="AW3614" s="21">
        <f t="shared" si="199"/>
        <v>0</v>
      </c>
      <c r="AX3614" s="21" t="str">
        <f t="shared" si="198"/>
        <v/>
      </c>
      <c r="AY3614" s="21" t="str">
        <f>IF(AND($AM3614&lt;&gt;"",$AS3614&lt;&gt;"✓"),SUMPRODUCT(($AM$11:$AM3614&lt;&gt;"")*($AS$11:$AS3614&lt;&gt;"✓")),"")</f>
        <v/>
      </c>
      <c r="AZ3614" s="21" t="str">
        <f>IF(AND($AM3614&lt;&gt;"",$AS3614="✓"),SUMPRODUCT(($AM$11:$AM3614&lt;&gt;"")*($AS$11:$AS3614="✓")),"")</f>
        <v/>
      </c>
      <c r="BA3614" s="21" t="str">
        <f>IF($AL3614="","",$AL3614&amp;"|"&amp;COUNTIF($AL$11:$AL3614,$AL3614))</f>
        <v/>
      </c>
    </row>
    <row r="3615" spans="38:53" ht="15" customHeight="1" x14ac:dyDescent="0.25">
      <c r="AL3615" s="17"/>
      <c r="AM3615" s="12"/>
      <c r="AN3615" s="18"/>
      <c r="AO3615" s="18"/>
      <c r="AP3615" s="10"/>
      <c r="AQ3615" s="10"/>
      <c r="AR3615" s="19"/>
      <c r="AS3615" s="20"/>
      <c r="AT3615" s="19"/>
      <c r="AV3615" s="21">
        <f>IF(AND($AL3615&lt;&gt;"",COUNTIF($AL$11:$AL3615,$AL3615)=1),1,0)</f>
        <v>0</v>
      </c>
      <c r="AW3615" s="21">
        <f t="shared" si="199"/>
        <v>0</v>
      </c>
      <c r="AX3615" s="21" t="str">
        <f t="shared" si="198"/>
        <v/>
      </c>
      <c r="AY3615" s="21" t="str">
        <f>IF(AND($AM3615&lt;&gt;"",$AS3615&lt;&gt;"✓"),SUMPRODUCT(($AM$11:$AM3615&lt;&gt;"")*($AS$11:$AS3615&lt;&gt;"✓")),"")</f>
        <v/>
      </c>
      <c r="AZ3615" s="21" t="str">
        <f>IF(AND($AM3615&lt;&gt;"",$AS3615="✓"),SUMPRODUCT(($AM$11:$AM3615&lt;&gt;"")*($AS$11:$AS3615="✓")),"")</f>
        <v/>
      </c>
      <c r="BA3615" s="21" t="str">
        <f>IF($AL3615="","",$AL3615&amp;"|"&amp;COUNTIF($AL$11:$AL3615,$AL3615))</f>
        <v/>
      </c>
    </row>
    <row r="3616" spans="38:53" ht="15" customHeight="1" x14ac:dyDescent="0.25">
      <c r="AL3616" s="31"/>
      <c r="AM3616" s="26"/>
      <c r="AN3616" s="32"/>
      <c r="AO3616" s="32"/>
      <c r="AP3616" s="24"/>
      <c r="AQ3616" s="24"/>
      <c r="AR3616" s="33"/>
      <c r="AS3616" s="34"/>
      <c r="AT3616" s="33"/>
      <c r="AV3616" s="21">
        <f>IF(AND($AL3616&lt;&gt;"",COUNTIF($AL$11:$AL3616,$AL3616)=1),1,0)</f>
        <v>0</v>
      </c>
      <c r="AW3616" s="21">
        <f t="shared" si="199"/>
        <v>0</v>
      </c>
      <c r="AX3616" s="21" t="str">
        <f t="shared" si="198"/>
        <v/>
      </c>
      <c r="AY3616" s="21" t="str">
        <f>IF(AND($AM3616&lt;&gt;"",$AS3616&lt;&gt;"✓"),SUMPRODUCT(($AM$11:$AM3616&lt;&gt;"")*($AS$11:$AS3616&lt;&gt;"✓")),"")</f>
        <v/>
      </c>
      <c r="AZ3616" s="21" t="str">
        <f>IF(AND($AM3616&lt;&gt;"",$AS3616="✓"),SUMPRODUCT(($AM$11:$AM3616&lt;&gt;"")*($AS$11:$AS3616="✓")),"")</f>
        <v/>
      </c>
      <c r="BA3616" s="21" t="str">
        <f>IF($AL3616="","",$AL3616&amp;"|"&amp;COUNTIF($AL$11:$AL3616,$AL3616))</f>
        <v/>
      </c>
    </row>
    <row r="3617" spans="38:53" ht="15" customHeight="1" x14ac:dyDescent="0.25">
      <c r="AL3617" s="17"/>
      <c r="AM3617" s="12"/>
      <c r="AN3617" s="18"/>
      <c r="AO3617" s="18"/>
      <c r="AP3617" s="10"/>
      <c r="AQ3617" s="10"/>
      <c r="AR3617" s="19"/>
      <c r="AS3617" s="20"/>
      <c r="AT3617" s="19"/>
      <c r="AV3617" s="21">
        <f>IF(AND($AL3617&lt;&gt;"",COUNTIF($AL$11:$AL3617,$AL3617)=1),1,0)</f>
        <v>0</v>
      </c>
      <c r="AW3617" s="21">
        <f t="shared" si="199"/>
        <v>0</v>
      </c>
      <c r="AX3617" s="21" t="str">
        <f t="shared" si="198"/>
        <v/>
      </c>
      <c r="AY3617" s="21" t="str">
        <f>IF(AND($AM3617&lt;&gt;"",$AS3617&lt;&gt;"✓"),SUMPRODUCT(($AM$11:$AM3617&lt;&gt;"")*($AS$11:$AS3617&lt;&gt;"✓")),"")</f>
        <v/>
      </c>
      <c r="AZ3617" s="21" t="str">
        <f>IF(AND($AM3617&lt;&gt;"",$AS3617="✓"),SUMPRODUCT(($AM$11:$AM3617&lt;&gt;"")*($AS$11:$AS3617="✓")),"")</f>
        <v/>
      </c>
      <c r="BA3617" s="21" t="str">
        <f>IF($AL3617="","",$AL3617&amp;"|"&amp;COUNTIF($AL$11:$AL3617,$AL3617))</f>
        <v/>
      </c>
    </row>
    <row r="3618" spans="38:53" ht="15" customHeight="1" x14ac:dyDescent="0.25">
      <c r="AL3618" s="31"/>
      <c r="AM3618" s="26"/>
      <c r="AN3618" s="32"/>
      <c r="AO3618" s="32"/>
      <c r="AP3618" s="24"/>
      <c r="AQ3618" s="24"/>
      <c r="AR3618" s="33"/>
      <c r="AS3618" s="34"/>
      <c r="AT3618" s="33"/>
      <c r="AV3618" s="21">
        <f>IF(AND($AL3618&lt;&gt;"",COUNTIF($AL$11:$AL3618,$AL3618)=1),1,0)</f>
        <v>0</v>
      </c>
      <c r="AW3618" s="21">
        <f t="shared" si="199"/>
        <v>0</v>
      </c>
      <c r="AX3618" s="21" t="str">
        <f t="shared" si="198"/>
        <v/>
      </c>
      <c r="AY3618" s="21" t="str">
        <f>IF(AND($AM3618&lt;&gt;"",$AS3618&lt;&gt;"✓"),SUMPRODUCT(($AM$11:$AM3618&lt;&gt;"")*($AS$11:$AS3618&lt;&gt;"✓")),"")</f>
        <v/>
      </c>
      <c r="AZ3618" s="21" t="str">
        <f>IF(AND($AM3618&lt;&gt;"",$AS3618="✓"),SUMPRODUCT(($AM$11:$AM3618&lt;&gt;"")*($AS$11:$AS3618="✓")),"")</f>
        <v/>
      </c>
      <c r="BA3618" s="21" t="str">
        <f>IF($AL3618="","",$AL3618&amp;"|"&amp;COUNTIF($AL$11:$AL3618,$AL3618))</f>
        <v/>
      </c>
    </row>
    <row r="3619" spans="38:53" ht="15" customHeight="1" x14ac:dyDescent="0.25">
      <c r="AL3619" s="17"/>
      <c r="AM3619" s="12"/>
      <c r="AN3619" s="18"/>
      <c r="AO3619" s="18"/>
      <c r="AP3619" s="10"/>
      <c r="AQ3619" s="10"/>
      <c r="AR3619" s="19"/>
      <c r="AS3619" s="20"/>
      <c r="AT3619" s="19"/>
      <c r="AV3619" s="21">
        <f>IF(AND($AL3619&lt;&gt;"",COUNTIF($AL$11:$AL3619,$AL3619)=1),1,0)</f>
        <v>0</v>
      </c>
      <c r="AW3619" s="21">
        <f t="shared" si="199"/>
        <v>0</v>
      </c>
      <c r="AX3619" s="21" t="str">
        <f t="shared" si="198"/>
        <v/>
      </c>
      <c r="AY3619" s="21" t="str">
        <f>IF(AND($AM3619&lt;&gt;"",$AS3619&lt;&gt;"✓"),SUMPRODUCT(($AM$11:$AM3619&lt;&gt;"")*($AS$11:$AS3619&lt;&gt;"✓")),"")</f>
        <v/>
      </c>
      <c r="AZ3619" s="21" t="str">
        <f>IF(AND($AM3619&lt;&gt;"",$AS3619="✓"),SUMPRODUCT(($AM$11:$AM3619&lt;&gt;"")*($AS$11:$AS3619="✓")),"")</f>
        <v/>
      </c>
      <c r="BA3619" s="21" t="str">
        <f>IF($AL3619="","",$AL3619&amp;"|"&amp;COUNTIF($AL$11:$AL3619,$AL3619))</f>
        <v/>
      </c>
    </row>
    <row r="3620" spans="38:53" ht="15" customHeight="1" x14ac:dyDescent="0.25">
      <c r="AL3620" s="31"/>
      <c r="AM3620" s="26"/>
      <c r="AN3620" s="32"/>
      <c r="AO3620" s="32"/>
      <c r="AP3620" s="24"/>
      <c r="AQ3620" s="24"/>
      <c r="AR3620" s="33"/>
      <c r="AS3620" s="34"/>
      <c r="AT3620" s="33"/>
      <c r="AV3620" s="21">
        <f>IF(AND($AL3620&lt;&gt;"",COUNTIF($AL$11:$AL3620,$AL3620)=1),1,0)</f>
        <v>0</v>
      </c>
      <c r="AW3620" s="21">
        <f t="shared" si="199"/>
        <v>0</v>
      </c>
      <c r="AX3620" s="21" t="str">
        <f t="shared" si="198"/>
        <v/>
      </c>
      <c r="AY3620" s="21" t="str">
        <f>IF(AND($AM3620&lt;&gt;"",$AS3620&lt;&gt;"✓"),SUMPRODUCT(($AM$11:$AM3620&lt;&gt;"")*($AS$11:$AS3620&lt;&gt;"✓")),"")</f>
        <v/>
      </c>
      <c r="AZ3620" s="21" t="str">
        <f>IF(AND($AM3620&lt;&gt;"",$AS3620="✓"),SUMPRODUCT(($AM$11:$AM3620&lt;&gt;"")*($AS$11:$AS3620="✓")),"")</f>
        <v/>
      </c>
      <c r="BA3620" s="21" t="str">
        <f>IF($AL3620="","",$AL3620&amp;"|"&amp;COUNTIF($AL$11:$AL3620,$AL3620))</f>
        <v/>
      </c>
    </row>
    <row r="3621" spans="38:53" ht="15" customHeight="1" x14ac:dyDescent="0.25">
      <c r="AL3621" s="17"/>
      <c r="AM3621" s="12"/>
      <c r="AN3621" s="18"/>
      <c r="AO3621" s="18"/>
      <c r="AP3621" s="10"/>
      <c r="AQ3621" s="10"/>
      <c r="AR3621" s="19"/>
      <c r="AS3621" s="20"/>
      <c r="AT3621" s="19"/>
      <c r="AV3621" s="21">
        <f>IF(AND($AL3621&lt;&gt;"",COUNTIF($AL$11:$AL3621,$AL3621)=1),1,0)</f>
        <v>0</v>
      </c>
      <c r="AW3621" s="21">
        <f t="shared" si="199"/>
        <v>0</v>
      </c>
      <c r="AX3621" s="21" t="str">
        <f t="shared" si="198"/>
        <v/>
      </c>
      <c r="AY3621" s="21" t="str">
        <f>IF(AND($AM3621&lt;&gt;"",$AS3621&lt;&gt;"✓"),SUMPRODUCT(($AM$11:$AM3621&lt;&gt;"")*($AS$11:$AS3621&lt;&gt;"✓")),"")</f>
        <v/>
      </c>
      <c r="AZ3621" s="21" t="str">
        <f>IF(AND($AM3621&lt;&gt;"",$AS3621="✓"),SUMPRODUCT(($AM$11:$AM3621&lt;&gt;"")*($AS$11:$AS3621="✓")),"")</f>
        <v/>
      </c>
      <c r="BA3621" s="21" t="str">
        <f>IF($AL3621="","",$AL3621&amp;"|"&amp;COUNTIF($AL$11:$AL3621,$AL3621))</f>
        <v/>
      </c>
    </row>
    <row r="3622" spans="38:53" ht="15" customHeight="1" x14ac:dyDescent="0.25">
      <c r="AL3622" s="31"/>
      <c r="AM3622" s="26"/>
      <c r="AN3622" s="32"/>
      <c r="AO3622" s="32"/>
      <c r="AP3622" s="24"/>
      <c r="AQ3622" s="24"/>
      <c r="AR3622" s="33"/>
      <c r="AS3622" s="34"/>
      <c r="AT3622" s="33"/>
      <c r="AV3622" s="21">
        <f>IF(AND($AL3622&lt;&gt;"",COUNTIF($AL$11:$AL3622,$AL3622)=1),1,0)</f>
        <v>0</v>
      </c>
      <c r="AW3622" s="21">
        <f t="shared" si="199"/>
        <v>0</v>
      </c>
      <c r="AX3622" s="21" t="str">
        <f t="shared" si="198"/>
        <v/>
      </c>
      <c r="AY3622" s="21" t="str">
        <f>IF(AND($AM3622&lt;&gt;"",$AS3622&lt;&gt;"✓"),SUMPRODUCT(($AM$11:$AM3622&lt;&gt;"")*($AS$11:$AS3622&lt;&gt;"✓")),"")</f>
        <v/>
      </c>
      <c r="AZ3622" s="21" t="str">
        <f>IF(AND($AM3622&lt;&gt;"",$AS3622="✓"),SUMPRODUCT(($AM$11:$AM3622&lt;&gt;"")*($AS$11:$AS3622="✓")),"")</f>
        <v/>
      </c>
      <c r="BA3622" s="21" t="str">
        <f>IF($AL3622="","",$AL3622&amp;"|"&amp;COUNTIF($AL$11:$AL3622,$AL3622))</f>
        <v/>
      </c>
    </row>
    <row r="3623" spans="38:53" ht="15" customHeight="1" x14ac:dyDescent="0.25">
      <c r="AL3623" s="17"/>
      <c r="AM3623" s="12"/>
      <c r="AN3623" s="18"/>
      <c r="AO3623" s="18"/>
      <c r="AP3623" s="10"/>
      <c r="AQ3623" s="10"/>
      <c r="AR3623" s="19"/>
      <c r="AS3623" s="20"/>
      <c r="AT3623" s="19"/>
      <c r="AV3623" s="21">
        <f>IF(AND($AL3623&lt;&gt;"",COUNTIF($AL$11:$AL3623,$AL3623)=1),1,0)</f>
        <v>0</v>
      </c>
      <c r="AW3623" s="21">
        <f t="shared" si="199"/>
        <v>0</v>
      </c>
      <c r="AX3623" s="21" t="str">
        <f t="shared" si="198"/>
        <v/>
      </c>
      <c r="AY3623" s="21" t="str">
        <f>IF(AND($AM3623&lt;&gt;"",$AS3623&lt;&gt;"✓"),SUMPRODUCT(($AM$11:$AM3623&lt;&gt;"")*($AS$11:$AS3623&lt;&gt;"✓")),"")</f>
        <v/>
      </c>
      <c r="AZ3623" s="21" t="str">
        <f>IF(AND($AM3623&lt;&gt;"",$AS3623="✓"),SUMPRODUCT(($AM$11:$AM3623&lt;&gt;"")*($AS$11:$AS3623="✓")),"")</f>
        <v/>
      </c>
      <c r="BA3623" s="21" t="str">
        <f>IF($AL3623="","",$AL3623&amp;"|"&amp;COUNTIF($AL$11:$AL3623,$AL3623))</f>
        <v/>
      </c>
    </row>
    <row r="3624" spans="38:53" ht="15" customHeight="1" x14ac:dyDescent="0.25">
      <c r="AL3624" s="31"/>
      <c r="AM3624" s="26"/>
      <c r="AN3624" s="32"/>
      <c r="AO3624" s="32"/>
      <c r="AP3624" s="24"/>
      <c r="AQ3624" s="24"/>
      <c r="AR3624" s="33"/>
      <c r="AS3624" s="34"/>
      <c r="AT3624" s="33"/>
      <c r="AV3624" s="21">
        <f>IF(AND($AL3624&lt;&gt;"",COUNTIF($AL$11:$AL3624,$AL3624)=1),1,0)</f>
        <v>0</v>
      </c>
      <c r="AW3624" s="21">
        <f t="shared" si="199"/>
        <v>0</v>
      </c>
      <c r="AX3624" s="21" t="str">
        <f t="shared" si="198"/>
        <v/>
      </c>
      <c r="AY3624" s="21" t="str">
        <f>IF(AND($AM3624&lt;&gt;"",$AS3624&lt;&gt;"✓"),SUMPRODUCT(($AM$11:$AM3624&lt;&gt;"")*($AS$11:$AS3624&lt;&gt;"✓")),"")</f>
        <v/>
      </c>
      <c r="AZ3624" s="21" t="str">
        <f>IF(AND($AM3624&lt;&gt;"",$AS3624="✓"),SUMPRODUCT(($AM$11:$AM3624&lt;&gt;"")*($AS$11:$AS3624="✓")),"")</f>
        <v/>
      </c>
      <c r="BA3624" s="21" t="str">
        <f>IF($AL3624="","",$AL3624&amp;"|"&amp;COUNTIF($AL$11:$AL3624,$AL3624))</f>
        <v/>
      </c>
    </row>
    <row r="3625" spans="38:53" ht="15" customHeight="1" x14ac:dyDescent="0.25">
      <c r="AL3625" s="17"/>
      <c r="AM3625" s="12"/>
      <c r="AN3625" s="18"/>
      <c r="AO3625" s="18"/>
      <c r="AP3625" s="10"/>
      <c r="AQ3625" s="10"/>
      <c r="AR3625" s="19"/>
      <c r="AS3625" s="20"/>
      <c r="AT3625" s="19"/>
      <c r="AV3625" s="21">
        <f>IF(AND($AL3625&lt;&gt;"",COUNTIF($AL$11:$AL3625,$AL3625)=1),1,0)</f>
        <v>0</v>
      </c>
      <c r="AW3625" s="21">
        <f t="shared" si="199"/>
        <v>0</v>
      </c>
      <c r="AX3625" s="21" t="str">
        <f t="shared" si="198"/>
        <v/>
      </c>
      <c r="AY3625" s="21" t="str">
        <f>IF(AND($AM3625&lt;&gt;"",$AS3625&lt;&gt;"✓"),SUMPRODUCT(($AM$11:$AM3625&lt;&gt;"")*($AS$11:$AS3625&lt;&gt;"✓")),"")</f>
        <v/>
      </c>
      <c r="AZ3625" s="21" t="str">
        <f>IF(AND($AM3625&lt;&gt;"",$AS3625="✓"),SUMPRODUCT(($AM$11:$AM3625&lt;&gt;"")*($AS$11:$AS3625="✓")),"")</f>
        <v/>
      </c>
      <c r="BA3625" s="21" t="str">
        <f>IF($AL3625="","",$AL3625&amp;"|"&amp;COUNTIF($AL$11:$AL3625,$AL3625))</f>
        <v/>
      </c>
    </row>
    <row r="3626" spans="38:53" ht="15" customHeight="1" x14ac:dyDescent="0.25">
      <c r="AL3626" s="31"/>
      <c r="AM3626" s="26"/>
      <c r="AN3626" s="32"/>
      <c r="AO3626" s="32"/>
      <c r="AP3626" s="24"/>
      <c r="AQ3626" s="24"/>
      <c r="AR3626" s="33"/>
      <c r="AS3626" s="34"/>
      <c r="AT3626" s="33"/>
      <c r="AV3626" s="21">
        <f>IF(AND($AL3626&lt;&gt;"",COUNTIF($AL$11:$AL3626,$AL3626)=1),1,0)</f>
        <v>0</v>
      </c>
      <c r="AW3626" s="21">
        <f t="shared" si="199"/>
        <v>0</v>
      </c>
      <c r="AX3626" s="21" t="str">
        <f t="shared" si="198"/>
        <v/>
      </c>
      <c r="AY3626" s="21" t="str">
        <f>IF(AND($AM3626&lt;&gt;"",$AS3626&lt;&gt;"✓"),SUMPRODUCT(($AM$11:$AM3626&lt;&gt;"")*($AS$11:$AS3626&lt;&gt;"✓")),"")</f>
        <v/>
      </c>
      <c r="AZ3626" s="21" t="str">
        <f>IF(AND($AM3626&lt;&gt;"",$AS3626="✓"),SUMPRODUCT(($AM$11:$AM3626&lt;&gt;"")*($AS$11:$AS3626="✓")),"")</f>
        <v/>
      </c>
      <c r="BA3626" s="21" t="str">
        <f>IF($AL3626="","",$AL3626&amp;"|"&amp;COUNTIF($AL$11:$AL3626,$AL3626))</f>
        <v/>
      </c>
    </row>
    <row r="3627" spans="38:53" ht="15" customHeight="1" x14ac:dyDescent="0.25">
      <c r="AL3627" s="17"/>
      <c r="AM3627" s="12"/>
      <c r="AN3627" s="18"/>
      <c r="AO3627" s="18"/>
      <c r="AP3627" s="10"/>
      <c r="AQ3627" s="10"/>
      <c r="AR3627" s="19"/>
      <c r="AS3627" s="20"/>
      <c r="AT3627" s="19"/>
      <c r="AV3627" s="21">
        <f>IF(AND($AL3627&lt;&gt;"",COUNTIF($AL$11:$AL3627,$AL3627)=1),1,0)</f>
        <v>0</v>
      </c>
      <c r="AW3627" s="21">
        <f t="shared" si="199"/>
        <v>0</v>
      </c>
      <c r="AX3627" s="21" t="str">
        <f t="shared" si="198"/>
        <v/>
      </c>
      <c r="AY3627" s="21" t="str">
        <f>IF(AND($AM3627&lt;&gt;"",$AS3627&lt;&gt;"✓"),SUMPRODUCT(($AM$11:$AM3627&lt;&gt;"")*($AS$11:$AS3627&lt;&gt;"✓")),"")</f>
        <v/>
      </c>
      <c r="AZ3627" s="21" t="str">
        <f>IF(AND($AM3627&lt;&gt;"",$AS3627="✓"),SUMPRODUCT(($AM$11:$AM3627&lt;&gt;"")*($AS$11:$AS3627="✓")),"")</f>
        <v/>
      </c>
      <c r="BA3627" s="21" t="str">
        <f>IF($AL3627="","",$AL3627&amp;"|"&amp;COUNTIF($AL$11:$AL3627,$AL3627))</f>
        <v/>
      </c>
    </row>
    <row r="3628" spans="38:53" ht="15" customHeight="1" x14ac:dyDescent="0.25">
      <c r="AL3628" s="31"/>
      <c r="AM3628" s="26"/>
      <c r="AN3628" s="32"/>
      <c r="AO3628" s="32"/>
      <c r="AP3628" s="24"/>
      <c r="AQ3628" s="24"/>
      <c r="AR3628" s="33"/>
      <c r="AS3628" s="34"/>
      <c r="AT3628" s="33"/>
      <c r="AV3628" s="21">
        <f>IF(AND($AL3628&lt;&gt;"",COUNTIF($AL$11:$AL3628,$AL3628)=1),1,0)</f>
        <v>0</v>
      </c>
      <c r="AW3628" s="21">
        <f t="shared" si="199"/>
        <v>0</v>
      </c>
      <c r="AX3628" s="21" t="str">
        <f t="shared" si="198"/>
        <v/>
      </c>
      <c r="AY3628" s="21" t="str">
        <f>IF(AND($AM3628&lt;&gt;"",$AS3628&lt;&gt;"✓"),SUMPRODUCT(($AM$11:$AM3628&lt;&gt;"")*($AS$11:$AS3628&lt;&gt;"✓")),"")</f>
        <v/>
      </c>
      <c r="AZ3628" s="21" t="str">
        <f>IF(AND($AM3628&lt;&gt;"",$AS3628="✓"),SUMPRODUCT(($AM$11:$AM3628&lt;&gt;"")*($AS$11:$AS3628="✓")),"")</f>
        <v/>
      </c>
      <c r="BA3628" s="21" t="str">
        <f>IF($AL3628="","",$AL3628&amp;"|"&amp;COUNTIF($AL$11:$AL3628,$AL3628))</f>
        <v/>
      </c>
    </row>
    <row r="3629" spans="38:53" ht="15" customHeight="1" x14ac:dyDescent="0.25">
      <c r="AL3629" s="17"/>
      <c r="AM3629" s="12"/>
      <c r="AN3629" s="18"/>
      <c r="AO3629" s="18"/>
      <c r="AP3629" s="10"/>
      <c r="AQ3629" s="10"/>
      <c r="AR3629" s="19"/>
      <c r="AS3629" s="20"/>
      <c r="AT3629" s="19"/>
      <c r="AV3629" s="21">
        <f>IF(AND($AL3629&lt;&gt;"",COUNTIF($AL$11:$AL3629,$AL3629)=1),1,0)</f>
        <v>0</v>
      </c>
      <c r="AW3629" s="21">
        <f t="shared" si="199"/>
        <v>0</v>
      </c>
      <c r="AX3629" s="21" t="str">
        <f t="shared" si="198"/>
        <v/>
      </c>
      <c r="AY3629" s="21" t="str">
        <f>IF(AND($AM3629&lt;&gt;"",$AS3629&lt;&gt;"✓"),SUMPRODUCT(($AM$11:$AM3629&lt;&gt;"")*($AS$11:$AS3629&lt;&gt;"✓")),"")</f>
        <v/>
      </c>
      <c r="AZ3629" s="21" t="str">
        <f>IF(AND($AM3629&lt;&gt;"",$AS3629="✓"),SUMPRODUCT(($AM$11:$AM3629&lt;&gt;"")*($AS$11:$AS3629="✓")),"")</f>
        <v/>
      </c>
      <c r="BA3629" s="21" t="str">
        <f>IF($AL3629="","",$AL3629&amp;"|"&amp;COUNTIF($AL$11:$AL3629,$AL3629))</f>
        <v/>
      </c>
    </row>
    <row r="3630" spans="38:53" ht="15" customHeight="1" x14ac:dyDescent="0.25">
      <c r="AL3630" s="31"/>
      <c r="AM3630" s="26"/>
      <c r="AN3630" s="32"/>
      <c r="AO3630" s="32"/>
      <c r="AP3630" s="24"/>
      <c r="AQ3630" s="24"/>
      <c r="AR3630" s="33"/>
      <c r="AS3630" s="34"/>
      <c r="AT3630" s="33"/>
      <c r="AV3630" s="21">
        <f>IF(AND($AL3630&lt;&gt;"",COUNTIF($AL$11:$AL3630,$AL3630)=1),1,0)</f>
        <v>0</v>
      </c>
      <c r="AW3630" s="21">
        <f t="shared" si="199"/>
        <v>0</v>
      </c>
      <c r="AX3630" s="21" t="str">
        <f t="shared" si="198"/>
        <v/>
      </c>
      <c r="AY3630" s="21" t="str">
        <f>IF(AND($AM3630&lt;&gt;"",$AS3630&lt;&gt;"✓"),SUMPRODUCT(($AM$11:$AM3630&lt;&gt;"")*($AS$11:$AS3630&lt;&gt;"✓")),"")</f>
        <v/>
      </c>
      <c r="AZ3630" s="21" t="str">
        <f>IF(AND($AM3630&lt;&gt;"",$AS3630="✓"),SUMPRODUCT(($AM$11:$AM3630&lt;&gt;"")*($AS$11:$AS3630="✓")),"")</f>
        <v/>
      </c>
      <c r="BA3630" s="21" t="str">
        <f>IF($AL3630="","",$AL3630&amp;"|"&amp;COUNTIF($AL$11:$AL3630,$AL3630))</f>
        <v/>
      </c>
    </row>
    <row r="3631" spans="38:53" ht="15" customHeight="1" x14ac:dyDescent="0.25">
      <c r="AL3631" s="17"/>
      <c r="AM3631" s="12"/>
      <c r="AN3631" s="18"/>
      <c r="AO3631" s="18"/>
      <c r="AP3631" s="10"/>
      <c r="AQ3631" s="10"/>
      <c r="AR3631" s="19"/>
      <c r="AS3631" s="20"/>
      <c r="AT3631" s="19"/>
      <c r="AV3631" s="21">
        <f>IF(AND($AL3631&lt;&gt;"",COUNTIF($AL$11:$AL3631,$AL3631)=1),1,0)</f>
        <v>0</v>
      </c>
      <c r="AW3631" s="21">
        <f t="shared" si="199"/>
        <v>0</v>
      </c>
      <c r="AX3631" s="21" t="str">
        <f t="shared" si="198"/>
        <v/>
      </c>
      <c r="AY3631" s="21" t="str">
        <f>IF(AND($AM3631&lt;&gt;"",$AS3631&lt;&gt;"✓"),SUMPRODUCT(($AM$11:$AM3631&lt;&gt;"")*($AS$11:$AS3631&lt;&gt;"✓")),"")</f>
        <v/>
      </c>
      <c r="AZ3631" s="21" t="str">
        <f>IF(AND($AM3631&lt;&gt;"",$AS3631="✓"),SUMPRODUCT(($AM$11:$AM3631&lt;&gt;"")*($AS$11:$AS3631="✓")),"")</f>
        <v/>
      </c>
      <c r="BA3631" s="21" t="str">
        <f>IF($AL3631="","",$AL3631&amp;"|"&amp;COUNTIF($AL$11:$AL3631,$AL3631))</f>
        <v/>
      </c>
    </row>
    <row r="3632" spans="38:53" ht="15" customHeight="1" x14ac:dyDescent="0.25">
      <c r="AL3632" s="31"/>
      <c r="AM3632" s="26"/>
      <c r="AN3632" s="32"/>
      <c r="AO3632" s="32"/>
      <c r="AP3632" s="24"/>
      <c r="AQ3632" s="24"/>
      <c r="AR3632" s="33"/>
      <c r="AS3632" s="34"/>
      <c r="AT3632" s="33"/>
      <c r="AV3632" s="21">
        <f>IF(AND($AL3632&lt;&gt;"",COUNTIF($AL$11:$AL3632,$AL3632)=1),1,0)</f>
        <v>0</v>
      </c>
      <c r="AW3632" s="21">
        <f t="shared" si="199"/>
        <v>0</v>
      </c>
      <c r="AX3632" s="21" t="str">
        <f t="shared" si="198"/>
        <v/>
      </c>
      <c r="AY3632" s="21" t="str">
        <f>IF(AND($AM3632&lt;&gt;"",$AS3632&lt;&gt;"✓"),SUMPRODUCT(($AM$11:$AM3632&lt;&gt;"")*($AS$11:$AS3632&lt;&gt;"✓")),"")</f>
        <v/>
      </c>
      <c r="AZ3632" s="21" t="str">
        <f>IF(AND($AM3632&lt;&gt;"",$AS3632="✓"),SUMPRODUCT(($AM$11:$AM3632&lt;&gt;"")*($AS$11:$AS3632="✓")),"")</f>
        <v/>
      </c>
      <c r="BA3632" s="21" t="str">
        <f>IF($AL3632="","",$AL3632&amp;"|"&amp;COUNTIF($AL$11:$AL3632,$AL3632))</f>
        <v/>
      </c>
    </row>
    <row r="3633" spans="38:53" ht="15" customHeight="1" x14ac:dyDescent="0.25">
      <c r="AL3633" s="17"/>
      <c r="AM3633" s="12"/>
      <c r="AN3633" s="18"/>
      <c r="AO3633" s="18"/>
      <c r="AP3633" s="10"/>
      <c r="AQ3633" s="10"/>
      <c r="AR3633" s="19"/>
      <c r="AS3633" s="20"/>
      <c r="AT3633" s="19"/>
      <c r="AV3633" s="21">
        <f>IF(AND($AL3633&lt;&gt;"",COUNTIF($AL$11:$AL3633,$AL3633)=1),1,0)</f>
        <v>0</v>
      </c>
      <c r="AW3633" s="21">
        <f t="shared" si="199"/>
        <v>0</v>
      </c>
      <c r="AX3633" s="21" t="str">
        <f t="shared" si="198"/>
        <v/>
      </c>
      <c r="AY3633" s="21" t="str">
        <f>IF(AND($AM3633&lt;&gt;"",$AS3633&lt;&gt;"✓"),SUMPRODUCT(($AM$11:$AM3633&lt;&gt;"")*($AS$11:$AS3633&lt;&gt;"✓")),"")</f>
        <v/>
      </c>
      <c r="AZ3633" s="21" t="str">
        <f>IF(AND($AM3633&lt;&gt;"",$AS3633="✓"),SUMPRODUCT(($AM$11:$AM3633&lt;&gt;"")*($AS$11:$AS3633="✓")),"")</f>
        <v/>
      </c>
      <c r="BA3633" s="21" t="str">
        <f>IF($AL3633="","",$AL3633&amp;"|"&amp;COUNTIF($AL$11:$AL3633,$AL3633))</f>
        <v/>
      </c>
    </row>
    <row r="3634" spans="38:53" ht="15" customHeight="1" x14ac:dyDescent="0.25">
      <c r="AL3634" s="31"/>
      <c r="AM3634" s="26"/>
      <c r="AN3634" s="32"/>
      <c r="AO3634" s="32"/>
      <c r="AP3634" s="24"/>
      <c r="AQ3634" s="24"/>
      <c r="AR3634" s="33"/>
      <c r="AS3634" s="34"/>
      <c r="AT3634" s="33"/>
      <c r="AV3634" s="21">
        <f>IF(AND($AL3634&lt;&gt;"",COUNTIF($AL$11:$AL3634,$AL3634)=1),1,0)</f>
        <v>0</v>
      </c>
      <c r="AW3634" s="21">
        <f t="shared" si="199"/>
        <v>0</v>
      </c>
      <c r="AX3634" s="21" t="str">
        <f t="shared" si="198"/>
        <v/>
      </c>
      <c r="AY3634" s="21" t="str">
        <f>IF(AND($AM3634&lt;&gt;"",$AS3634&lt;&gt;"✓"),SUMPRODUCT(($AM$11:$AM3634&lt;&gt;"")*($AS$11:$AS3634&lt;&gt;"✓")),"")</f>
        <v/>
      </c>
      <c r="AZ3634" s="21" t="str">
        <f>IF(AND($AM3634&lt;&gt;"",$AS3634="✓"),SUMPRODUCT(($AM$11:$AM3634&lt;&gt;"")*($AS$11:$AS3634="✓")),"")</f>
        <v/>
      </c>
      <c r="BA3634" s="21" t="str">
        <f>IF($AL3634="","",$AL3634&amp;"|"&amp;COUNTIF($AL$11:$AL3634,$AL3634))</f>
        <v/>
      </c>
    </row>
    <row r="3635" spans="38:53" ht="15" customHeight="1" x14ac:dyDescent="0.25">
      <c r="AL3635" s="17"/>
      <c r="AM3635" s="12"/>
      <c r="AN3635" s="18"/>
      <c r="AO3635" s="18"/>
      <c r="AP3635" s="10"/>
      <c r="AQ3635" s="10"/>
      <c r="AR3635" s="19"/>
      <c r="AS3635" s="20"/>
      <c r="AT3635" s="19"/>
      <c r="AV3635" s="21">
        <f>IF(AND($AL3635&lt;&gt;"",COUNTIF($AL$11:$AL3635,$AL3635)=1),1,0)</f>
        <v>0</v>
      </c>
      <c r="AW3635" s="21">
        <f t="shared" si="199"/>
        <v>0</v>
      </c>
      <c r="AX3635" s="21" t="str">
        <f t="shared" si="198"/>
        <v/>
      </c>
      <c r="AY3635" s="21" t="str">
        <f>IF(AND($AM3635&lt;&gt;"",$AS3635&lt;&gt;"✓"),SUMPRODUCT(($AM$11:$AM3635&lt;&gt;"")*($AS$11:$AS3635&lt;&gt;"✓")),"")</f>
        <v/>
      </c>
      <c r="AZ3635" s="21" t="str">
        <f>IF(AND($AM3635&lt;&gt;"",$AS3635="✓"),SUMPRODUCT(($AM$11:$AM3635&lt;&gt;"")*($AS$11:$AS3635="✓")),"")</f>
        <v/>
      </c>
      <c r="BA3635" s="21" t="str">
        <f>IF($AL3635="","",$AL3635&amp;"|"&amp;COUNTIF($AL$11:$AL3635,$AL3635))</f>
        <v/>
      </c>
    </row>
    <row r="3636" spans="38:53" ht="15" customHeight="1" x14ac:dyDescent="0.25">
      <c r="AL3636" s="31"/>
      <c r="AM3636" s="26"/>
      <c r="AN3636" s="32"/>
      <c r="AO3636" s="32"/>
      <c r="AP3636" s="24"/>
      <c r="AQ3636" s="24"/>
      <c r="AR3636" s="33"/>
      <c r="AS3636" s="34"/>
      <c r="AT3636" s="33"/>
      <c r="AV3636" s="21">
        <f>IF(AND($AL3636&lt;&gt;"",COUNTIF($AL$11:$AL3636,$AL3636)=1),1,0)</f>
        <v>0</v>
      </c>
      <c r="AW3636" s="21">
        <f t="shared" si="199"/>
        <v>0</v>
      </c>
      <c r="AX3636" s="21" t="str">
        <f t="shared" si="198"/>
        <v/>
      </c>
      <c r="AY3636" s="21" t="str">
        <f>IF(AND($AM3636&lt;&gt;"",$AS3636&lt;&gt;"✓"),SUMPRODUCT(($AM$11:$AM3636&lt;&gt;"")*($AS$11:$AS3636&lt;&gt;"✓")),"")</f>
        <v/>
      </c>
      <c r="AZ3636" s="21" t="str">
        <f>IF(AND($AM3636&lt;&gt;"",$AS3636="✓"),SUMPRODUCT(($AM$11:$AM3636&lt;&gt;"")*($AS$11:$AS3636="✓")),"")</f>
        <v/>
      </c>
      <c r="BA3636" s="21" t="str">
        <f>IF($AL3636="","",$AL3636&amp;"|"&amp;COUNTIF($AL$11:$AL3636,$AL3636))</f>
        <v/>
      </c>
    </row>
    <row r="3637" spans="38:53" ht="15" customHeight="1" x14ac:dyDescent="0.25">
      <c r="AL3637" s="17"/>
      <c r="AM3637" s="12"/>
      <c r="AN3637" s="18"/>
      <c r="AO3637" s="18"/>
      <c r="AP3637" s="10"/>
      <c r="AQ3637" s="10"/>
      <c r="AR3637" s="19"/>
      <c r="AS3637" s="20"/>
      <c r="AT3637" s="19"/>
      <c r="AV3637" s="21">
        <f>IF(AND($AL3637&lt;&gt;"",COUNTIF($AL$11:$AL3637,$AL3637)=1),1,0)</f>
        <v>0</v>
      </c>
      <c r="AW3637" s="21">
        <f t="shared" si="199"/>
        <v>0</v>
      </c>
      <c r="AX3637" s="21" t="str">
        <f t="shared" si="198"/>
        <v/>
      </c>
      <c r="AY3637" s="21" t="str">
        <f>IF(AND($AM3637&lt;&gt;"",$AS3637&lt;&gt;"✓"),SUMPRODUCT(($AM$11:$AM3637&lt;&gt;"")*($AS$11:$AS3637&lt;&gt;"✓")),"")</f>
        <v/>
      </c>
      <c r="AZ3637" s="21" t="str">
        <f>IF(AND($AM3637&lt;&gt;"",$AS3637="✓"),SUMPRODUCT(($AM$11:$AM3637&lt;&gt;"")*($AS$11:$AS3637="✓")),"")</f>
        <v/>
      </c>
      <c r="BA3637" s="21" t="str">
        <f>IF($AL3637="","",$AL3637&amp;"|"&amp;COUNTIF($AL$11:$AL3637,$AL3637))</f>
        <v/>
      </c>
    </row>
    <row r="3638" spans="38:53" ht="15" customHeight="1" x14ac:dyDescent="0.25">
      <c r="AL3638" s="31"/>
      <c r="AM3638" s="26"/>
      <c r="AN3638" s="32"/>
      <c r="AO3638" s="32"/>
      <c r="AP3638" s="24"/>
      <c r="AQ3638" s="24"/>
      <c r="AR3638" s="33"/>
      <c r="AS3638" s="34"/>
      <c r="AT3638" s="33"/>
      <c r="AV3638" s="21">
        <f>IF(AND($AL3638&lt;&gt;"",COUNTIF($AL$11:$AL3638,$AL3638)=1),1,0)</f>
        <v>0</v>
      </c>
      <c r="AW3638" s="21">
        <f t="shared" si="199"/>
        <v>0</v>
      </c>
      <c r="AX3638" s="21" t="str">
        <f t="shared" si="198"/>
        <v/>
      </c>
      <c r="AY3638" s="21" t="str">
        <f>IF(AND($AM3638&lt;&gt;"",$AS3638&lt;&gt;"✓"),SUMPRODUCT(($AM$11:$AM3638&lt;&gt;"")*($AS$11:$AS3638&lt;&gt;"✓")),"")</f>
        <v/>
      </c>
      <c r="AZ3638" s="21" t="str">
        <f>IF(AND($AM3638&lt;&gt;"",$AS3638="✓"),SUMPRODUCT(($AM$11:$AM3638&lt;&gt;"")*($AS$11:$AS3638="✓")),"")</f>
        <v/>
      </c>
      <c r="BA3638" s="21" t="str">
        <f>IF($AL3638="","",$AL3638&amp;"|"&amp;COUNTIF($AL$11:$AL3638,$AL3638))</f>
        <v/>
      </c>
    </row>
    <row r="3639" spans="38:53" ht="15" customHeight="1" x14ac:dyDescent="0.25">
      <c r="AL3639" s="17"/>
      <c r="AM3639" s="12"/>
      <c r="AN3639" s="18"/>
      <c r="AO3639" s="18"/>
      <c r="AP3639" s="10"/>
      <c r="AQ3639" s="10"/>
      <c r="AR3639" s="19"/>
      <c r="AS3639" s="20"/>
      <c r="AT3639" s="19"/>
      <c r="AV3639" s="21">
        <f>IF(AND($AL3639&lt;&gt;"",COUNTIF($AL$11:$AL3639,$AL3639)=1),1,0)</f>
        <v>0</v>
      </c>
      <c r="AW3639" s="21">
        <f t="shared" si="199"/>
        <v>0</v>
      </c>
      <c r="AX3639" s="21" t="str">
        <f t="shared" si="198"/>
        <v/>
      </c>
      <c r="AY3639" s="21" t="str">
        <f>IF(AND($AM3639&lt;&gt;"",$AS3639&lt;&gt;"✓"),SUMPRODUCT(($AM$11:$AM3639&lt;&gt;"")*($AS$11:$AS3639&lt;&gt;"✓")),"")</f>
        <v/>
      </c>
      <c r="AZ3639" s="21" t="str">
        <f>IF(AND($AM3639&lt;&gt;"",$AS3639="✓"),SUMPRODUCT(($AM$11:$AM3639&lt;&gt;"")*($AS$11:$AS3639="✓")),"")</f>
        <v/>
      </c>
      <c r="BA3639" s="21" t="str">
        <f>IF($AL3639="","",$AL3639&amp;"|"&amp;COUNTIF($AL$11:$AL3639,$AL3639))</f>
        <v/>
      </c>
    </row>
    <row r="3640" spans="38:53" ht="15" customHeight="1" x14ac:dyDescent="0.25">
      <c r="AL3640" s="31"/>
      <c r="AM3640" s="26"/>
      <c r="AN3640" s="32"/>
      <c r="AO3640" s="32"/>
      <c r="AP3640" s="24"/>
      <c r="AQ3640" s="24"/>
      <c r="AR3640" s="33"/>
      <c r="AS3640" s="34"/>
      <c r="AT3640" s="33"/>
      <c r="AV3640" s="21">
        <f>IF(AND($AL3640&lt;&gt;"",COUNTIF($AL$11:$AL3640,$AL3640)=1),1,0)</f>
        <v>0</v>
      </c>
      <c r="AW3640" s="21">
        <f t="shared" si="199"/>
        <v>0</v>
      </c>
      <c r="AX3640" s="21" t="str">
        <f t="shared" si="198"/>
        <v/>
      </c>
      <c r="AY3640" s="21" t="str">
        <f>IF(AND($AM3640&lt;&gt;"",$AS3640&lt;&gt;"✓"),SUMPRODUCT(($AM$11:$AM3640&lt;&gt;"")*($AS$11:$AS3640&lt;&gt;"✓")),"")</f>
        <v/>
      </c>
      <c r="AZ3640" s="21" t="str">
        <f>IF(AND($AM3640&lt;&gt;"",$AS3640="✓"),SUMPRODUCT(($AM$11:$AM3640&lt;&gt;"")*($AS$11:$AS3640="✓")),"")</f>
        <v/>
      </c>
      <c r="BA3640" s="21" t="str">
        <f>IF($AL3640="","",$AL3640&amp;"|"&amp;COUNTIF($AL$11:$AL3640,$AL3640))</f>
        <v/>
      </c>
    </row>
    <row r="3641" spans="38:53" ht="15" customHeight="1" x14ac:dyDescent="0.25">
      <c r="AL3641" s="17"/>
      <c r="AM3641" s="12"/>
      <c r="AN3641" s="18"/>
      <c r="AO3641" s="18"/>
      <c r="AP3641" s="10"/>
      <c r="AQ3641" s="10"/>
      <c r="AR3641" s="19"/>
      <c r="AS3641" s="20"/>
      <c r="AT3641" s="19"/>
      <c r="AV3641" s="21">
        <f>IF(AND($AL3641&lt;&gt;"",COUNTIF($AL$11:$AL3641,$AL3641)=1),1,0)</f>
        <v>0</v>
      </c>
      <c r="AW3641" s="21">
        <f t="shared" si="199"/>
        <v>0</v>
      </c>
      <c r="AX3641" s="21" t="str">
        <f t="shared" si="198"/>
        <v/>
      </c>
      <c r="AY3641" s="21" t="str">
        <f>IF(AND($AM3641&lt;&gt;"",$AS3641&lt;&gt;"✓"),SUMPRODUCT(($AM$11:$AM3641&lt;&gt;"")*($AS$11:$AS3641&lt;&gt;"✓")),"")</f>
        <v/>
      </c>
      <c r="AZ3641" s="21" t="str">
        <f>IF(AND($AM3641&lt;&gt;"",$AS3641="✓"),SUMPRODUCT(($AM$11:$AM3641&lt;&gt;"")*($AS$11:$AS3641="✓")),"")</f>
        <v/>
      </c>
      <c r="BA3641" s="21" t="str">
        <f>IF($AL3641="","",$AL3641&amp;"|"&amp;COUNTIF($AL$11:$AL3641,$AL3641))</f>
        <v/>
      </c>
    </row>
    <row r="3642" spans="38:53" ht="15" customHeight="1" x14ac:dyDescent="0.25">
      <c r="AL3642" s="31"/>
      <c r="AM3642" s="26"/>
      <c r="AN3642" s="32"/>
      <c r="AO3642" s="32"/>
      <c r="AP3642" s="24"/>
      <c r="AQ3642" s="24"/>
      <c r="AR3642" s="33"/>
      <c r="AS3642" s="34"/>
      <c r="AT3642" s="33"/>
      <c r="AV3642" s="21">
        <f>IF(AND($AL3642&lt;&gt;"",COUNTIF($AL$11:$AL3642,$AL3642)=1),1,0)</f>
        <v>0</v>
      </c>
      <c r="AW3642" s="21">
        <f t="shared" si="199"/>
        <v>0</v>
      </c>
      <c r="AX3642" s="21" t="str">
        <f t="shared" si="198"/>
        <v/>
      </c>
      <c r="AY3642" s="21" t="str">
        <f>IF(AND($AM3642&lt;&gt;"",$AS3642&lt;&gt;"✓"),SUMPRODUCT(($AM$11:$AM3642&lt;&gt;"")*($AS$11:$AS3642&lt;&gt;"✓")),"")</f>
        <v/>
      </c>
      <c r="AZ3642" s="21" t="str">
        <f>IF(AND($AM3642&lt;&gt;"",$AS3642="✓"),SUMPRODUCT(($AM$11:$AM3642&lt;&gt;"")*($AS$11:$AS3642="✓")),"")</f>
        <v/>
      </c>
      <c r="BA3642" s="21" t="str">
        <f>IF($AL3642="","",$AL3642&amp;"|"&amp;COUNTIF($AL$11:$AL3642,$AL3642))</f>
        <v/>
      </c>
    </row>
    <row r="3643" spans="38:53" ht="15" customHeight="1" x14ac:dyDescent="0.25">
      <c r="AL3643" s="17"/>
      <c r="AM3643" s="12"/>
      <c r="AN3643" s="18"/>
      <c r="AO3643" s="18"/>
      <c r="AP3643" s="10"/>
      <c r="AQ3643" s="10"/>
      <c r="AR3643" s="19"/>
      <c r="AS3643" s="20"/>
      <c r="AT3643" s="19"/>
      <c r="AV3643" s="21">
        <f>IF(AND($AL3643&lt;&gt;"",COUNTIF($AL$11:$AL3643,$AL3643)=1),1,0)</f>
        <v>0</v>
      </c>
      <c r="AW3643" s="21">
        <f t="shared" si="199"/>
        <v>0</v>
      </c>
      <c r="AX3643" s="21" t="str">
        <f t="shared" si="198"/>
        <v/>
      </c>
      <c r="AY3643" s="21" t="str">
        <f>IF(AND($AM3643&lt;&gt;"",$AS3643&lt;&gt;"✓"),SUMPRODUCT(($AM$11:$AM3643&lt;&gt;"")*($AS$11:$AS3643&lt;&gt;"✓")),"")</f>
        <v/>
      </c>
      <c r="AZ3643" s="21" t="str">
        <f>IF(AND($AM3643&lt;&gt;"",$AS3643="✓"),SUMPRODUCT(($AM$11:$AM3643&lt;&gt;"")*($AS$11:$AS3643="✓")),"")</f>
        <v/>
      </c>
      <c r="BA3643" s="21" t="str">
        <f>IF($AL3643="","",$AL3643&amp;"|"&amp;COUNTIF($AL$11:$AL3643,$AL3643))</f>
        <v/>
      </c>
    </row>
    <row r="3644" spans="38:53" ht="15" customHeight="1" x14ac:dyDescent="0.25">
      <c r="AL3644" s="31"/>
      <c r="AM3644" s="26"/>
      <c r="AN3644" s="32"/>
      <c r="AO3644" s="32"/>
      <c r="AP3644" s="24"/>
      <c r="AQ3644" s="24"/>
      <c r="AR3644" s="33"/>
      <c r="AS3644" s="34"/>
      <c r="AT3644" s="33"/>
      <c r="AV3644" s="21">
        <f>IF(AND($AL3644&lt;&gt;"",COUNTIF($AL$11:$AL3644,$AL3644)=1),1,0)</f>
        <v>0</v>
      </c>
      <c r="AW3644" s="21">
        <f t="shared" si="199"/>
        <v>0</v>
      </c>
      <c r="AX3644" s="21" t="str">
        <f t="shared" si="198"/>
        <v/>
      </c>
      <c r="AY3644" s="21" t="str">
        <f>IF(AND($AM3644&lt;&gt;"",$AS3644&lt;&gt;"✓"),SUMPRODUCT(($AM$11:$AM3644&lt;&gt;"")*($AS$11:$AS3644&lt;&gt;"✓")),"")</f>
        <v/>
      </c>
      <c r="AZ3644" s="21" t="str">
        <f>IF(AND($AM3644&lt;&gt;"",$AS3644="✓"),SUMPRODUCT(($AM$11:$AM3644&lt;&gt;"")*($AS$11:$AS3644="✓")),"")</f>
        <v/>
      </c>
      <c r="BA3644" s="21" t="str">
        <f>IF($AL3644="","",$AL3644&amp;"|"&amp;COUNTIF($AL$11:$AL3644,$AL3644))</f>
        <v/>
      </c>
    </row>
    <row r="3645" spans="38:53" ht="15" customHeight="1" x14ac:dyDescent="0.25">
      <c r="AL3645" s="17"/>
      <c r="AM3645" s="12"/>
      <c r="AN3645" s="18"/>
      <c r="AO3645" s="18"/>
      <c r="AP3645" s="10"/>
      <c r="AQ3645" s="10"/>
      <c r="AR3645" s="19"/>
      <c r="AS3645" s="20"/>
      <c r="AT3645" s="19"/>
      <c r="AV3645" s="21">
        <f>IF(AND($AL3645&lt;&gt;"",COUNTIF($AL$11:$AL3645,$AL3645)=1),1,0)</f>
        <v>0</v>
      </c>
      <c r="AW3645" s="21">
        <f t="shared" si="199"/>
        <v>0</v>
      </c>
      <c r="AX3645" s="21" t="str">
        <f t="shared" si="198"/>
        <v/>
      </c>
      <c r="AY3645" s="21" t="str">
        <f>IF(AND($AM3645&lt;&gt;"",$AS3645&lt;&gt;"✓"),SUMPRODUCT(($AM$11:$AM3645&lt;&gt;"")*($AS$11:$AS3645&lt;&gt;"✓")),"")</f>
        <v/>
      </c>
      <c r="AZ3645" s="21" t="str">
        <f>IF(AND($AM3645&lt;&gt;"",$AS3645="✓"),SUMPRODUCT(($AM$11:$AM3645&lt;&gt;"")*($AS$11:$AS3645="✓")),"")</f>
        <v/>
      </c>
      <c r="BA3645" s="21" t="str">
        <f>IF($AL3645="","",$AL3645&amp;"|"&amp;COUNTIF($AL$11:$AL3645,$AL3645))</f>
        <v/>
      </c>
    </row>
    <row r="3646" spans="38:53" ht="15" customHeight="1" x14ac:dyDescent="0.25">
      <c r="AL3646" s="31"/>
      <c r="AM3646" s="26"/>
      <c r="AN3646" s="32"/>
      <c r="AO3646" s="32"/>
      <c r="AP3646" s="24"/>
      <c r="AQ3646" s="24"/>
      <c r="AR3646" s="33"/>
      <c r="AS3646" s="34"/>
      <c r="AT3646" s="33"/>
      <c r="AV3646" s="21">
        <f>IF(AND($AL3646&lt;&gt;"",COUNTIF($AL$11:$AL3646,$AL3646)=1),1,0)</f>
        <v>0</v>
      </c>
      <c r="AW3646" s="21">
        <f t="shared" si="199"/>
        <v>0</v>
      </c>
      <c r="AX3646" s="21" t="str">
        <f t="shared" si="198"/>
        <v/>
      </c>
      <c r="AY3646" s="21" t="str">
        <f>IF(AND($AM3646&lt;&gt;"",$AS3646&lt;&gt;"✓"),SUMPRODUCT(($AM$11:$AM3646&lt;&gt;"")*($AS$11:$AS3646&lt;&gt;"✓")),"")</f>
        <v/>
      </c>
      <c r="AZ3646" s="21" t="str">
        <f>IF(AND($AM3646&lt;&gt;"",$AS3646="✓"),SUMPRODUCT(($AM$11:$AM3646&lt;&gt;"")*($AS$11:$AS3646="✓")),"")</f>
        <v/>
      </c>
      <c r="BA3646" s="21" t="str">
        <f>IF($AL3646="","",$AL3646&amp;"|"&amp;COUNTIF($AL$11:$AL3646,$AL3646))</f>
        <v/>
      </c>
    </row>
    <row r="3647" spans="38:53" ht="15" customHeight="1" x14ac:dyDescent="0.25">
      <c r="AL3647" s="17"/>
      <c r="AM3647" s="12"/>
      <c r="AN3647" s="18"/>
      <c r="AO3647" s="18"/>
      <c r="AP3647" s="10"/>
      <c r="AQ3647" s="10"/>
      <c r="AR3647" s="19"/>
      <c r="AS3647" s="20"/>
      <c r="AT3647" s="19"/>
      <c r="AV3647" s="21">
        <f>IF(AND($AL3647&lt;&gt;"",COUNTIF($AL$11:$AL3647,$AL3647)=1),1,0)</f>
        <v>0</v>
      </c>
      <c r="AW3647" s="21">
        <f t="shared" si="199"/>
        <v>0</v>
      </c>
      <c r="AX3647" s="21" t="str">
        <f t="shared" si="198"/>
        <v/>
      </c>
      <c r="AY3647" s="21" t="str">
        <f>IF(AND($AM3647&lt;&gt;"",$AS3647&lt;&gt;"✓"),SUMPRODUCT(($AM$11:$AM3647&lt;&gt;"")*($AS$11:$AS3647&lt;&gt;"✓")),"")</f>
        <v/>
      </c>
      <c r="AZ3647" s="21" t="str">
        <f>IF(AND($AM3647&lt;&gt;"",$AS3647="✓"),SUMPRODUCT(($AM$11:$AM3647&lt;&gt;"")*($AS$11:$AS3647="✓")),"")</f>
        <v/>
      </c>
      <c r="BA3647" s="21" t="str">
        <f>IF($AL3647="","",$AL3647&amp;"|"&amp;COUNTIF($AL$11:$AL3647,$AL3647))</f>
        <v/>
      </c>
    </row>
    <row r="3648" spans="38:53" ht="15" customHeight="1" x14ac:dyDescent="0.25">
      <c r="AL3648" s="31"/>
      <c r="AM3648" s="26"/>
      <c r="AN3648" s="32"/>
      <c r="AO3648" s="32"/>
      <c r="AP3648" s="24"/>
      <c r="AQ3648" s="24"/>
      <c r="AR3648" s="33"/>
      <c r="AS3648" s="34"/>
      <c r="AT3648" s="33"/>
      <c r="AV3648" s="21">
        <f>IF(AND($AL3648&lt;&gt;"",COUNTIF($AL$11:$AL3648,$AL3648)=1),1,0)</f>
        <v>0</v>
      </c>
      <c r="AW3648" s="21">
        <f t="shared" si="199"/>
        <v>0</v>
      </c>
      <c r="AX3648" s="21" t="str">
        <f t="shared" si="198"/>
        <v/>
      </c>
      <c r="AY3648" s="21" t="str">
        <f>IF(AND($AM3648&lt;&gt;"",$AS3648&lt;&gt;"✓"),SUMPRODUCT(($AM$11:$AM3648&lt;&gt;"")*($AS$11:$AS3648&lt;&gt;"✓")),"")</f>
        <v/>
      </c>
      <c r="AZ3648" s="21" t="str">
        <f>IF(AND($AM3648&lt;&gt;"",$AS3648="✓"),SUMPRODUCT(($AM$11:$AM3648&lt;&gt;"")*($AS$11:$AS3648="✓")),"")</f>
        <v/>
      </c>
      <c r="BA3648" s="21" t="str">
        <f>IF($AL3648="","",$AL3648&amp;"|"&amp;COUNTIF($AL$11:$AL3648,$AL3648))</f>
        <v/>
      </c>
    </row>
    <row r="3649" spans="38:53" ht="15" customHeight="1" x14ac:dyDescent="0.25">
      <c r="AL3649" s="17"/>
      <c r="AM3649" s="12"/>
      <c r="AN3649" s="18"/>
      <c r="AO3649" s="18"/>
      <c r="AP3649" s="10"/>
      <c r="AQ3649" s="10"/>
      <c r="AR3649" s="19"/>
      <c r="AS3649" s="20"/>
      <c r="AT3649" s="19"/>
      <c r="AV3649" s="21">
        <f>IF(AND($AL3649&lt;&gt;"",COUNTIF($AL$11:$AL3649,$AL3649)=1),1,0)</f>
        <v>0</v>
      </c>
      <c r="AW3649" s="21">
        <f t="shared" si="199"/>
        <v>0</v>
      </c>
      <c r="AX3649" s="21" t="str">
        <f t="shared" si="198"/>
        <v/>
      </c>
      <c r="AY3649" s="21" t="str">
        <f>IF(AND($AM3649&lt;&gt;"",$AS3649&lt;&gt;"✓"),SUMPRODUCT(($AM$11:$AM3649&lt;&gt;"")*($AS$11:$AS3649&lt;&gt;"✓")),"")</f>
        <v/>
      </c>
      <c r="AZ3649" s="21" t="str">
        <f>IF(AND($AM3649&lt;&gt;"",$AS3649="✓"),SUMPRODUCT(($AM$11:$AM3649&lt;&gt;"")*($AS$11:$AS3649="✓")),"")</f>
        <v/>
      </c>
      <c r="BA3649" s="21" t="str">
        <f>IF($AL3649="","",$AL3649&amp;"|"&amp;COUNTIF($AL$11:$AL3649,$AL3649))</f>
        <v/>
      </c>
    </row>
    <row r="3650" spans="38:53" ht="15" customHeight="1" x14ac:dyDescent="0.25">
      <c r="AL3650" s="31"/>
      <c r="AM3650" s="26"/>
      <c r="AN3650" s="32"/>
      <c r="AO3650" s="32"/>
      <c r="AP3650" s="24"/>
      <c r="AQ3650" s="24"/>
      <c r="AR3650" s="33"/>
      <c r="AS3650" s="34"/>
      <c r="AT3650" s="33"/>
      <c r="AV3650" s="21">
        <f>IF(AND($AL3650&lt;&gt;"",COUNTIF($AL$11:$AL3650,$AL3650)=1),1,0)</f>
        <v>0</v>
      </c>
      <c r="AW3650" s="21">
        <f t="shared" si="199"/>
        <v>0</v>
      </c>
      <c r="AX3650" s="21" t="str">
        <f t="shared" si="198"/>
        <v/>
      </c>
      <c r="AY3650" s="21" t="str">
        <f>IF(AND($AM3650&lt;&gt;"",$AS3650&lt;&gt;"✓"),SUMPRODUCT(($AM$11:$AM3650&lt;&gt;"")*($AS$11:$AS3650&lt;&gt;"✓")),"")</f>
        <v/>
      </c>
      <c r="AZ3650" s="21" t="str">
        <f>IF(AND($AM3650&lt;&gt;"",$AS3650="✓"),SUMPRODUCT(($AM$11:$AM3650&lt;&gt;"")*($AS$11:$AS3650="✓")),"")</f>
        <v/>
      </c>
      <c r="BA3650" s="21" t="str">
        <f>IF($AL3650="","",$AL3650&amp;"|"&amp;COUNTIF($AL$11:$AL3650,$AL3650))</f>
        <v/>
      </c>
    </row>
    <row r="3651" spans="38:53" ht="15" customHeight="1" x14ac:dyDescent="0.25">
      <c r="AL3651" s="17"/>
      <c r="AM3651" s="12"/>
      <c r="AN3651" s="18"/>
      <c r="AO3651" s="18"/>
      <c r="AP3651" s="10"/>
      <c r="AQ3651" s="10"/>
      <c r="AR3651" s="19"/>
      <c r="AS3651" s="20"/>
      <c r="AT3651" s="19"/>
      <c r="AV3651" s="21">
        <f>IF(AND($AL3651&lt;&gt;"",COUNTIF($AL$11:$AL3651,$AL3651)=1),1,0)</f>
        <v>0</v>
      </c>
      <c r="AW3651" s="21">
        <f t="shared" si="199"/>
        <v>0</v>
      </c>
      <c r="AX3651" s="21" t="str">
        <f t="shared" si="198"/>
        <v/>
      </c>
      <c r="AY3651" s="21" t="str">
        <f>IF(AND($AM3651&lt;&gt;"",$AS3651&lt;&gt;"✓"),SUMPRODUCT(($AM$11:$AM3651&lt;&gt;"")*($AS$11:$AS3651&lt;&gt;"✓")),"")</f>
        <v/>
      </c>
      <c r="AZ3651" s="21" t="str">
        <f>IF(AND($AM3651&lt;&gt;"",$AS3651="✓"),SUMPRODUCT(($AM$11:$AM3651&lt;&gt;"")*($AS$11:$AS3651="✓")),"")</f>
        <v/>
      </c>
      <c r="BA3651" s="21" t="str">
        <f>IF($AL3651="","",$AL3651&amp;"|"&amp;COUNTIF($AL$11:$AL3651,$AL3651))</f>
        <v/>
      </c>
    </row>
    <row r="3652" spans="38:53" ht="15" customHeight="1" x14ac:dyDescent="0.25">
      <c r="AL3652" s="31"/>
      <c r="AM3652" s="26"/>
      <c r="AN3652" s="32"/>
      <c r="AO3652" s="32"/>
      <c r="AP3652" s="24"/>
      <c r="AQ3652" s="24"/>
      <c r="AR3652" s="33"/>
      <c r="AS3652" s="34"/>
      <c r="AT3652" s="33"/>
      <c r="AV3652" s="21">
        <f>IF(AND($AL3652&lt;&gt;"",COUNTIF($AL$11:$AL3652,$AL3652)=1),1,0)</f>
        <v>0</v>
      </c>
      <c r="AW3652" s="21">
        <f t="shared" si="199"/>
        <v>0</v>
      </c>
      <c r="AX3652" s="21" t="str">
        <f t="shared" si="198"/>
        <v/>
      </c>
      <c r="AY3652" s="21" t="str">
        <f>IF(AND($AM3652&lt;&gt;"",$AS3652&lt;&gt;"✓"),SUMPRODUCT(($AM$11:$AM3652&lt;&gt;"")*($AS$11:$AS3652&lt;&gt;"✓")),"")</f>
        <v/>
      </c>
      <c r="AZ3652" s="21" t="str">
        <f>IF(AND($AM3652&lt;&gt;"",$AS3652="✓"),SUMPRODUCT(($AM$11:$AM3652&lt;&gt;"")*($AS$11:$AS3652="✓")),"")</f>
        <v/>
      </c>
      <c r="BA3652" s="21" t="str">
        <f>IF($AL3652="","",$AL3652&amp;"|"&amp;COUNTIF($AL$11:$AL3652,$AL3652))</f>
        <v/>
      </c>
    </row>
    <row r="3653" spans="38:53" ht="15" customHeight="1" x14ac:dyDescent="0.25">
      <c r="AL3653" s="17"/>
      <c r="AM3653" s="12"/>
      <c r="AN3653" s="18"/>
      <c r="AO3653" s="18"/>
      <c r="AP3653" s="10"/>
      <c r="AQ3653" s="10"/>
      <c r="AR3653" s="19"/>
      <c r="AS3653" s="20"/>
      <c r="AT3653" s="19"/>
      <c r="AV3653" s="21">
        <f>IF(AND($AL3653&lt;&gt;"",COUNTIF($AL$11:$AL3653,$AL3653)=1),1,0)</f>
        <v>0</v>
      </c>
      <c r="AW3653" s="21">
        <f t="shared" si="199"/>
        <v>0</v>
      </c>
      <c r="AX3653" s="21" t="str">
        <f t="shared" si="198"/>
        <v/>
      </c>
      <c r="AY3653" s="21" t="str">
        <f>IF(AND($AM3653&lt;&gt;"",$AS3653&lt;&gt;"✓"),SUMPRODUCT(($AM$11:$AM3653&lt;&gt;"")*($AS$11:$AS3653&lt;&gt;"✓")),"")</f>
        <v/>
      </c>
      <c r="AZ3653" s="21" t="str">
        <f>IF(AND($AM3653&lt;&gt;"",$AS3653="✓"),SUMPRODUCT(($AM$11:$AM3653&lt;&gt;"")*($AS$11:$AS3653="✓")),"")</f>
        <v/>
      </c>
      <c r="BA3653" s="21" t="str">
        <f>IF($AL3653="","",$AL3653&amp;"|"&amp;COUNTIF($AL$11:$AL3653,$AL3653))</f>
        <v/>
      </c>
    </row>
    <row r="3654" spans="38:53" ht="15" customHeight="1" x14ac:dyDescent="0.25">
      <c r="AL3654" s="31"/>
      <c r="AM3654" s="26"/>
      <c r="AN3654" s="32"/>
      <c r="AO3654" s="32"/>
      <c r="AP3654" s="24"/>
      <c r="AQ3654" s="24"/>
      <c r="AR3654" s="33"/>
      <c r="AS3654" s="34"/>
      <c r="AT3654" s="33"/>
      <c r="AV3654" s="21">
        <f>IF(AND($AL3654&lt;&gt;"",COUNTIF($AL$11:$AL3654,$AL3654)=1),1,0)</f>
        <v>0</v>
      </c>
      <c r="AW3654" s="21">
        <f t="shared" si="199"/>
        <v>0</v>
      </c>
      <c r="AX3654" s="21" t="str">
        <f t="shared" si="198"/>
        <v/>
      </c>
      <c r="AY3654" s="21" t="str">
        <f>IF(AND($AM3654&lt;&gt;"",$AS3654&lt;&gt;"✓"),SUMPRODUCT(($AM$11:$AM3654&lt;&gt;"")*($AS$11:$AS3654&lt;&gt;"✓")),"")</f>
        <v/>
      </c>
      <c r="AZ3654" s="21" t="str">
        <f>IF(AND($AM3654&lt;&gt;"",$AS3654="✓"),SUMPRODUCT(($AM$11:$AM3654&lt;&gt;"")*($AS$11:$AS3654="✓")),"")</f>
        <v/>
      </c>
      <c r="BA3654" s="21" t="str">
        <f>IF($AL3654="","",$AL3654&amp;"|"&amp;COUNTIF($AL$11:$AL3654,$AL3654))</f>
        <v/>
      </c>
    </row>
    <row r="3655" spans="38:53" ht="15" customHeight="1" x14ac:dyDescent="0.25">
      <c r="AL3655" s="17"/>
      <c r="AM3655" s="12"/>
      <c r="AN3655" s="18"/>
      <c r="AO3655" s="18"/>
      <c r="AP3655" s="10"/>
      <c r="AQ3655" s="10"/>
      <c r="AR3655" s="19"/>
      <c r="AS3655" s="20"/>
      <c r="AT3655" s="19"/>
      <c r="AV3655" s="21">
        <f>IF(AND($AL3655&lt;&gt;"",COUNTIF($AL$11:$AL3655,$AL3655)=1),1,0)</f>
        <v>0</v>
      </c>
      <c r="AW3655" s="21">
        <f t="shared" si="199"/>
        <v>0</v>
      </c>
      <c r="AX3655" s="21" t="str">
        <f t="shared" si="198"/>
        <v/>
      </c>
      <c r="AY3655" s="21" t="str">
        <f>IF(AND($AM3655&lt;&gt;"",$AS3655&lt;&gt;"✓"),SUMPRODUCT(($AM$11:$AM3655&lt;&gt;"")*($AS$11:$AS3655&lt;&gt;"✓")),"")</f>
        <v/>
      </c>
      <c r="AZ3655" s="21" t="str">
        <f>IF(AND($AM3655&lt;&gt;"",$AS3655="✓"),SUMPRODUCT(($AM$11:$AM3655&lt;&gt;"")*($AS$11:$AS3655="✓")),"")</f>
        <v/>
      </c>
      <c r="BA3655" s="21" t="str">
        <f>IF($AL3655="","",$AL3655&amp;"|"&amp;COUNTIF($AL$11:$AL3655,$AL3655))</f>
        <v/>
      </c>
    </row>
    <row r="3656" spans="38:53" ht="15" customHeight="1" x14ac:dyDescent="0.25">
      <c r="AL3656" s="31"/>
      <c r="AM3656" s="26"/>
      <c r="AN3656" s="32"/>
      <c r="AO3656" s="32"/>
      <c r="AP3656" s="24"/>
      <c r="AQ3656" s="24"/>
      <c r="AR3656" s="33"/>
      <c r="AS3656" s="34"/>
      <c r="AT3656" s="33"/>
      <c r="AV3656" s="21">
        <f>IF(AND($AL3656&lt;&gt;"",COUNTIF($AL$11:$AL3656,$AL3656)=1),1,0)</f>
        <v>0</v>
      </c>
      <c r="AW3656" s="21">
        <f t="shared" si="199"/>
        <v>0</v>
      </c>
      <c r="AX3656" s="21" t="str">
        <f t="shared" si="198"/>
        <v/>
      </c>
      <c r="AY3656" s="21" t="str">
        <f>IF(AND($AM3656&lt;&gt;"",$AS3656&lt;&gt;"✓"),SUMPRODUCT(($AM$11:$AM3656&lt;&gt;"")*($AS$11:$AS3656&lt;&gt;"✓")),"")</f>
        <v/>
      </c>
      <c r="AZ3656" s="21" t="str">
        <f>IF(AND($AM3656&lt;&gt;"",$AS3656="✓"),SUMPRODUCT(($AM$11:$AM3656&lt;&gt;"")*($AS$11:$AS3656="✓")),"")</f>
        <v/>
      </c>
      <c r="BA3656" s="21" t="str">
        <f>IF($AL3656="","",$AL3656&amp;"|"&amp;COUNTIF($AL$11:$AL3656,$AL3656))</f>
        <v/>
      </c>
    </row>
    <row r="3657" spans="38:53" ht="15" customHeight="1" x14ac:dyDescent="0.25">
      <c r="AL3657" s="17"/>
      <c r="AM3657" s="12"/>
      <c r="AN3657" s="18"/>
      <c r="AO3657" s="18"/>
      <c r="AP3657" s="10"/>
      <c r="AQ3657" s="10"/>
      <c r="AR3657" s="19"/>
      <c r="AS3657" s="20"/>
      <c r="AT3657" s="19"/>
      <c r="AV3657" s="21">
        <f>IF(AND($AL3657&lt;&gt;"",COUNTIF($AL$11:$AL3657,$AL3657)=1),1,0)</f>
        <v>0</v>
      </c>
      <c r="AW3657" s="21">
        <f t="shared" si="199"/>
        <v>0</v>
      </c>
      <c r="AX3657" s="21" t="str">
        <f t="shared" si="198"/>
        <v/>
      </c>
      <c r="AY3657" s="21" t="str">
        <f>IF(AND($AM3657&lt;&gt;"",$AS3657&lt;&gt;"✓"),SUMPRODUCT(($AM$11:$AM3657&lt;&gt;"")*($AS$11:$AS3657&lt;&gt;"✓")),"")</f>
        <v/>
      </c>
      <c r="AZ3657" s="21" t="str">
        <f>IF(AND($AM3657&lt;&gt;"",$AS3657="✓"),SUMPRODUCT(($AM$11:$AM3657&lt;&gt;"")*($AS$11:$AS3657="✓")),"")</f>
        <v/>
      </c>
      <c r="BA3657" s="21" t="str">
        <f>IF($AL3657="","",$AL3657&amp;"|"&amp;COUNTIF($AL$11:$AL3657,$AL3657))</f>
        <v/>
      </c>
    </row>
    <row r="3658" spans="38:53" ht="15" customHeight="1" x14ac:dyDescent="0.25">
      <c r="AL3658" s="31"/>
      <c r="AM3658" s="26"/>
      <c r="AN3658" s="32"/>
      <c r="AO3658" s="32"/>
      <c r="AP3658" s="24"/>
      <c r="AQ3658" s="24"/>
      <c r="AR3658" s="33"/>
      <c r="AS3658" s="34"/>
      <c r="AT3658" s="33"/>
      <c r="AV3658" s="21">
        <f>IF(AND($AL3658&lt;&gt;"",COUNTIF($AL$11:$AL3658,$AL3658)=1),1,0)</f>
        <v>0</v>
      </c>
      <c r="AW3658" s="21">
        <f t="shared" si="199"/>
        <v>0</v>
      </c>
      <c r="AX3658" s="21" t="str">
        <f t="shared" si="198"/>
        <v/>
      </c>
      <c r="AY3658" s="21" t="str">
        <f>IF(AND($AM3658&lt;&gt;"",$AS3658&lt;&gt;"✓"),SUMPRODUCT(($AM$11:$AM3658&lt;&gt;"")*($AS$11:$AS3658&lt;&gt;"✓")),"")</f>
        <v/>
      </c>
      <c r="AZ3658" s="21" t="str">
        <f>IF(AND($AM3658&lt;&gt;"",$AS3658="✓"),SUMPRODUCT(($AM$11:$AM3658&lt;&gt;"")*($AS$11:$AS3658="✓")),"")</f>
        <v/>
      </c>
      <c r="BA3658" s="21" t="str">
        <f>IF($AL3658="","",$AL3658&amp;"|"&amp;COUNTIF($AL$11:$AL3658,$AL3658))</f>
        <v/>
      </c>
    </row>
    <row r="3659" spans="38:53" ht="15" customHeight="1" x14ac:dyDescent="0.25">
      <c r="AL3659" s="17"/>
      <c r="AM3659" s="12"/>
      <c r="AN3659" s="18"/>
      <c r="AO3659" s="18"/>
      <c r="AP3659" s="10"/>
      <c r="AQ3659" s="10"/>
      <c r="AR3659" s="19"/>
      <c r="AS3659" s="20"/>
      <c r="AT3659" s="19"/>
      <c r="AV3659" s="21">
        <f>IF(AND($AL3659&lt;&gt;"",COUNTIF($AL$11:$AL3659,$AL3659)=1),1,0)</f>
        <v>0</v>
      </c>
      <c r="AW3659" s="21">
        <f t="shared" si="199"/>
        <v>0</v>
      </c>
      <c r="AX3659" s="21" t="str">
        <f t="shared" ref="AX3659:AX3722" si="200">IF(AV3659=1,AW3659,"")</f>
        <v/>
      </c>
      <c r="AY3659" s="21" t="str">
        <f>IF(AND($AM3659&lt;&gt;"",$AS3659&lt;&gt;"✓"),SUMPRODUCT(($AM$11:$AM3659&lt;&gt;"")*($AS$11:$AS3659&lt;&gt;"✓")),"")</f>
        <v/>
      </c>
      <c r="AZ3659" s="21" t="str">
        <f>IF(AND($AM3659&lt;&gt;"",$AS3659="✓"),SUMPRODUCT(($AM$11:$AM3659&lt;&gt;"")*($AS$11:$AS3659="✓")),"")</f>
        <v/>
      </c>
      <c r="BA3659" s="21" t="str">
        <f>IF($AL3659="","",$AL3659&amp;"|"&amp;COUNTIF($AL$11:$AL3659,$AL3659))</f>
        <v/>
      </c>
    </row>
    <row r="3660" spans="38:53" ht="15" customHeight="1" x14ac:dyDescent="0.25">
      <c r="AL3660" s="31"/>
      <c r="AM3660" s="26"/>
      <c r="AN3660" s="32"/>
      <c r="AO3660" s="32"/>
      <c r="AP3660" s="24"/>
      <c r="AQ3660" s="24"/>
      <c r="AR3660" s="33"/>
      <c r="AS3660" s="34"/>
      <c r="AT3660" s="33"/>
      <c r="AV3660" s="21">
        <f>IF(AND($AL3660&lt;&gt;"",COUNTIF($AL$11:$AL3660,$AL3660)=1),1,0)</f>
        <v>0</v>
      </c>
      <c r="AW3660" s="21">
        <f t="shared" ref="AW3660:AW3723" si="201">AW3659+AV3660</f>
        <v>0</v>
      </c>
      <c r="AX3660" s="21" t="str">
        <f t="shared" si="200"/>
        <v/>
      </c>
      <c r="AY3660" s="21" t="str">
        <f>IF(AND($AM3660&lt;&gt;"",$AS3660&lt;&gt;"✓"),SUMPRODUCT(($AM$11:$AM3660&lt;&gt;"")*($AS$11:$AS3660&lt;&gt;"✓")),"")</f>
        <v/>
      </c>
      <c r="AZ3660" s="21" t="str">
        <f>IF(AND($AM3660&lt;&gt;"",$AS3660="✓"),SUMPRODUCT(($AM$11:$AM3660&lt;&gt;"")*($AS$11:$AS3660="✓")),"")</f>
        <v/>
      </c>
      <c r="BA3660" s="21" t="str">
        <f>IF($AL3660="","",$AL3660&amp;"|"&amp;COUNTIF($AL$11:$AL3660,$AL3660))</f>
        <v/>
      </c>
    </row>
    <row r="3661" spans="38:53" ht="15" customHeight="1" x14ac:dyDescent="0.25">
      <c r="AL3661" s="17"/>
      <c r="AM3661" s="12"/>
      <c r="AN3661" s="18"/>
      <c r="AO3661" s="18"/>
      <c r="AP3661" s="10"/>
      <c r="AQ3661" s="10"/>
      <c r="AR3661" s="19"/>
      <c r="AS3661" s="20"/>
      <c r="AT3661" s="19"/>
      <c r="AV3661" s="21">
        <f>IF(AND($AL3661&lt;&gt;"",COUNTIF($AL$11:$AL3661,$AL3661)=1),1,0)</f>
        <v>0</v>
      </c>
      <c r="AW3661" s="21">
        <f t="shared" si="201"/>
        <v>0</v>
      </c>
      <c r="AX3661" s="21" t="str">
        <f t="shared" si="200"/>
        <v/>
      </c>
      <c r="AY3661" s="21" t="str">
        <f>IF(AND($AM3661&lt;&gt;"",$AS3661&lt;&gt;"✓"),SUMPRODUCT(($AM$11:$AM3661&lt;&gt;"")*($AS$11:$AS3661&lt;&gt;"✓")),"")</f>
        <v/>
      </c>
      <c r="AZ3661" s="21" t="str">
        <f>IF(AND($AM3661&lt;&gt;"",$AS3661="✓"),SUMPRODUCT(($AM$11:$AM3661&lt;&gt;"")*($AS$11:$AS3661="✓")),"")</f>
        <v/>
      </c>
      <c r="BA3661" s="21" t="str">
        <f>IF($AL3661="","",$AL3661&amp;"|"&amp;COUNTIF($AL$11:$AL3661,$AL3661))</f>
        <v/>
      </c>
    </row>
    <row r="3662" spans="38:53" ht="15" customHeight="1" x14ac:dyDescent="0.25">
      <c r="AL3662" s="31"/>
      <c r="AM3662" s="26"/>
      <c r="AN3662" s="32"/>
      <c r="AO3662" s="32"/>
      <c r="AP3662" s="24"/>
      <c r="AQ3662" s="24"/>
      <c r="AR3662" s="33"/>
      <c r="AS3662" s="34"/>
      <c r="AT3662" s="33"/>
      <c r="AV3662" s="21">
        <f>IF(AND($AL3662&lt;&gt;"",COUNTIF($AL$11:$AL3662,$AL3662)=1),1,0)</f>
        <v>0</v>
      </c>
      <c r="AW3662" s="21">
        <f t="shared" si="201"/>
        <v>0</v>
      </c>
      <c r="AX3662" s="21" t="str">
        <f t="shared" si="200"/>
        <v/>
      </c>
      <c r="AY3662" s="21" t="str">
        <f>IF(AND($AM3662&lt;&gt;"",$AS3662&lt;&gt;"✓"),SUMPRODUCT(($AM$11:$AM3662&lt;&gt;"")*($AS$11:$AS3662&lt;&gt;"✓")),"")</f>
        <v/>
      </c>
      <c r="AZ3662" s="21" t="str">
        <f>IF(AND($AM3662&lt;&gt;"",$AS3662="✓"),SUMPRODUCT(($AM$11:$AM3662&lt;&gt;"")*($AS$11:$AS3662="✓")),"")</f>
        <v/>
      </c>
      <c r="BA3662" s="21" t="str">
        <f>IF($AL3662="","",$AL3662&amp;"|"&amp;COUNTIF($AL$11:$AL3662,$AL3662))</f>
        <v/>
      </c>
    </row>
    <row r="3663" spans="38:53" ht="15" customHeight="1" x14ac:dyDescent="0.25">
      <c r="AL3663" s="17"/>
      <c r="AM3663" s="12"/>
      <c r="AN3663" s="18"/>
      <c r="AO3663" s="18"/>
      <c r="AP3663" s="10"/>
      <c r="AQ3663" s="10"/>
      <c r="AR3663" s="19"/>
      <c r="AS3663" s="20"/>
      <c r="AT3663" s="19"/>
      <c r="AV3663" s="21">
        <f>IF(AND($AL3663&lt;&gt;"",COUNTIF($AL$11:$AL3663,$AL3663)=1),1,0)</f>
        <v>0</v>
      </c>
      <c r="AW3663" s="21">
        <f t="shared" si="201"/>
        <v>0</v>
      </c>
      <c r="AX3663" s="21" t="str">
        <f t="shared" si="200"/>
        <v/>
      </c>
      <c r="AY3663" s="21" t="str">
        <f>IF(AND($AM3663&lt;&gt;"",$AS3663&lt;&gt;"✓"),SUMPRODUCT(($AM$11:$AM3663&lt;&gt;"")*($AS$11:$AS3663&lt;&gt;"✓")),"")</f>
        <v/>
      </c>
      <c r="AZ3663" s="21" t="str">
        <f>IF(AND($AM3663&lt;&gt;"",$AS3663="✓"),SUMPRODUCT(($AM$11:$AM3663&lt;&gt;"")*($AS$11:$AS3663="✓")),"")</f>
        <v/>
      </c>
      <c r="BA3663" s="21" t="str">
        <f>IF($AL3663="","",$AL3663&amp;"|"&amp;COUNTIF($AL$11:$AL3663,$AL3663))</f>
        <v/>
      </c>
    </row>
    <row r="3664" spans="38:53" ht="15" customHeight="1" x14ac:dyDescent="0.25">
      <c r="AL3664" s="31"/>
      <c r="AM3664" s="26"/>
      <c r="AN3664" s="32"/>
      <c r="AO3664" s="32"/>
      <c r="AP3664" s="24"/>
      <c r="AQ3664" s="24"/>
      <c r="AR3664" s="33"/>
      <c r="AS3664" s="34"/>
      <c r="AT3664" s="33"/>
      <c r="AV3664" s="21">
        <f>IF(AND($AL3664&lt;&gt;"",COUNTIF($AL$11:$AL3664,$AL3664)=1),1,0)</f>
        <v>0</v>
      </c>
      <c r="AW3664" s="21">
        <f t="shared" si="201"/>
        <v>0</v>
      </c>
      <c r="AX3664" s="21" t="str">
        <f t="shared" si="200"/>
        <v/>
      </c>
      <c r="AY3664" s="21" t="str">
        <f>IF(AND($AM3664&lt;&gt;"",$AS3664&lt;&gt;"✓"),SUMPRODUCT(($AM$11:$AM3664&lt;&gt;"")*($AS$11:$AS3664&lt;&gt;"✓")),"")</f>
        <v/>
      </c>
      <c r="AZ3664" s="21" t="str">
        <f>IF(AND($AM3664&lt;&gt;"",$AS3664="✓"),SUMPRODUCT(($AM$11:$AM3664&lt;&gt;"")*($AS$11:$AS3664="✓")),"")</f>
        <v/>
      </c>
      <c r="BA3664" s="21" t="str">
        <f>IF($AL3664="","",$AL3664&amp;"|"&amp;COUNTIF($AL$11:$AL3664,$AL3664))</f>
        <v/>
      </c>
    </row>
    <row r="3665" spans="38:53" ht="15" customHeight="1" x14ac:dyDescent="0.25">
      <c r="AL3665" s="17"/>
      <c r="AM3665" s="12"/>
      <c r="AN3665" s="18"/>
      <c r="AO3665" s="18"/>
      <c r="AP3665" s="10"/>
      <c r="AQ3665" s="10"/>
      <c r="AR3665" s="19"/>
      <c r="AS3665" s="20"/>
      <c r="AT3665" s="19"/>
      <c r="AV3665" s="21">
        <f>IF(AND($AL3665&lt;&gt;"",COUNTIF($AL$11:$AL3665,$AL3665)=1),1,0)</f>
        <v>0</v>
      </c>
      <c r="AW3665" s="21">
        <f t="shared" si="201"/>
        <v>0</v>
      </c>
      <c r="AX3665" s="21" t="str">
        <f t="shared" si="200"/>
        <v/>
      </c>
      <c r="AY3665" s="21" t="str">
        <f>IF(AND($AM3665&lt;&gt;"",$AS3665&lt;&gt;"✓"),SUMPRODUCT(($AM$11:$AM3665&lt;&gt;"")*($AS$11:$AS3665&lt;&gt;"✓")),"")</f>
        <v/>
      </c>
      <c r="AZ3665" s="21" t="str">
        <f>IF(AND($AM3665&lt;&gt;"",$AS3665="✓"),SUMPRODUCT(($AM$11:$AM3665&lt;&gt;"")*($AS$11:$AS3665="✓")),"")</f>
        <v/>
      </c>
      <c r="BA3665" s="21" t="str">
        <f>IF($AL3665="","",$AL3665&amp;"|"&amp;COUNTIF($AL$11:$AL3665,$AL3665))</f>
        <v/>
      </c>
    </row>
    <row r="3666" spans="38:53" ht="15" customHeight="1" x14ac:dyDescent="0.25">
      <c r="AL3666" s="31"/>
      <c r="AM3666" s="26"/>
      <c r="AN3666" s="32"/>
      <c r="AO3666" s="32"/>
      <c r="AP3666" s="24"/>
      <c r="AQ3666" s="24"/>
      <c r="AR3666" s="33"/>
      <c r="AS3666" s="34"/>
      <c r="AT3666" s="33"/>
      <c r="AV3666" s="21">
        <f>IF(AND($AL3666&lt;&gt;"",COUNTIF($AL$11:$AL3666,$AL3666)=1),1,0)</f>
        <v>0</v>
      </c>
      <c r="AW3666" s="21">
        <f t="shared" si="201"/>
        <v>0</v>
      </c>
      <c r="AX3666" s="21" t="str">
        <f t="shared" si="200"/>
        <v/>
      </c>
      <c r="AY3666" s="21" t="str">
        <f>IF(AND($AM3666&lt;&gt;"",$AS3666&lt;&gt;"✓"),SUMPRODUCT(($AM$11:$AM3666&lt;&gt;"")*($AS$11:$AS3666&lt;&gt;"✓")),"")</f>
        <v/>
      </c>
      <c r="AZ3666" s="21" t="str">
        <f>IF(AND($AM3666&lt;&gt;"",$AS3666="✓"),SUMPRODUCT(($AM$11:$AM3666&lt;&gt;"")*($AS$11:$AS3666="✓")),"")</f>
        <v/>
      </c>
      <c r="BA3666" s="21" t="str">
        <f>IF($AL3666="","",$AL3666&amp;"|"&amp;COUNTIF($AL$11:$AL3666,$AL3666))</f>
        <v/>
      </c>
    </row>
    <row r="3667" spans="38:53" ht="15" customHeight="1" x14ac:dyDescent="0.25">
      <c r="AL3667" s="17"/>
      <c r="AM3667" s="12"/>
      <c r="AN3667" s="18"/>
      <c r="AO3667" s="18"/>
      <c r="AP3667" s="10"/>
      <c r="AQ3667" s="10"/>
      <c r="AR3667" s="19"/>
      <c r="AS3667" s="20"/>
      <c r="AT3667" s="19"/>
      <c r="AV3667" s="21">
        <f>IF(AND($AL3667&lt;&gt;"",COUNTIF($AL$11:$AL3667,$AL3667)=1),1,0)</f>
        <v>0</v>
      </c>
      <c r="AW3667" s="21">
        <f t="shared" si="201"/>
        <v>0</v>
      </c>
      <c r="AX3667" s="21" t="str">
        <f t="shared" si="200"/>
        <v/>
      </c>
      <c r="AY3667" s="21" t="str">
        <f>IF(AND($AM3667&lt;&gt;"",$AS3667&lt;&gt;"✓"),SUMPRODUCT(($AM$11:$AM3667&lt;&gt;"")*($AS$11:$AS3667&lt;&gt;"✓")),"")</f>
        <v/>
      </c>
      <c r="AZ3667" s="21" t="str">
        <f>IF(AND($AM3667&lt;&gt;"",$AS3667="✓"),SUMPRODUCT(($AM$11:$AM3667&lt;&gt;"")*($AS$11:$AS3667="✓")),"")</f>
        <v/>
      </c>
      <c r="BA3667" s="21" t="str">
        <f>IF($AL3667="","",$AL3667&amp;"|"&amp;COUNTIF($AL$11:$AL3667,$AL3667))</f>
        <v/>
      </c>
    </row>
    <row r="3668" spans="38:53" ht="15" customHeight="1" x14ac:dyDescent="0.25">
      <c r="AL3668" s="31"/>
      <c r="AM3668" s="26"/>
      <c r="AN3668" s="32"/>
      <c r="AO3668" s="32"/>
      <c r="AP3668" s="24"/>
      <c r="AQ3668" s="24"/>
      <c r="AR3668" s="33"/>
      <c r="AS3668" s="34"/>
      <c r="AT3668" s="33"/>
      <c r="AV3668" s="21">
        <f>IF(AND($AL3668&lt;&gt;"",COUNTIF($AL$11:$AL3668,$AL3668)=1),1,0)</f>
        <v>0</v>
      </c>
      <c r="AW3668" s="21">
        <f t="shared" si="201"/>
        <v>0</v>
      </c>
      <c r="AX3668" s="21" t="str">
        <f t="shared" si="200"/>
        <v/>
      </c>
      <c r="AY3668" s="21" t="str">
        <f>IF(AND($AM3668&lt;&gt;"",$AS3668&lt;&gt;"✓"),SUMPRODUCT(($AM$11:$AM3668&lt;&gt;"")*($AS$11:$AS3668&lt;&gt;"✓")),"")</f>
        <v/>
      </c>
      <c r="AZ3668" s="21" t="str">
        <f>IF(AND($AM3668&lt;&gt;"",$AS3668="✓"),SUMPRODUCT(($AM$11:$AM3668&lt;&gt;"")*($AS$11:$AS3668="✓")),"")</f>
        <v/>
      </c>
      <c r="BA3668" s="21" t="str">
        <f>IF($AL3668="","",$AL3668&amp;"|"&amp;COUNTIF($AL$11:$AL3668,$AL3668))</f>
        <v/>
      </c>
    </row>
    <row r="3669" spans="38:53" ht="15" customHeight="1" x14ac:dyDescent="0.25">
      <c r="AL3669" s="17"/>
      <c r="AM3669" s="12"/>
      <c r="AN3669" s="18"/>
      <c r="AO3669" s="18"/>
      <c r="AP3669" s="10"/>
      <c r="AQ3669" s="10"/>
      <c r="AR3669" s="19"/>
      <c r="AS3669" s="20"/>
      <c r="AT3669" s="19"/>
      <c r="AV3669" s="21">
        <f>IF(AND($AL3669&lt;&gt;"",COUNTIF($AL$11:$AL3669,$AL3669)=1),1,0)</f>
        <v>0</v>
      </c>
      <c r="AW3669" s="21">
        <f t="shared" si="201"/>
        <v>0</v>
      </c>
      <c r="AX3669" s="21" t="str">
        <f t="shared" si="200"/>
        <v/>
      </c>
      <c r="AY3669" s="21" t="str">
        <f>IF(AND($AM3669&lt;&gt;"",$AS3669&lt;&gt;"✓"),SUMPRODUCT(($AM$11:$AM3669&lt;&gt;"")*($AS$11:$AS3669&lt;&gt;"✓")),"")</f>
        <v/>
      </c>
      <c r="AZ3669" s="21" t="str">
        <f>IF(AND($AM3669&lt;&gt;"",$AS3669="✓"),SUMPRODUCT(($AM$11:$AM3669&lt;&gt;"")*($AS$11:$AS3669="✓")),"")</f>
        <v/>
      </c>
      <c r="BA3669" s="21" t="str">
        <f>IF($AL3669="","",$AL3669&amp;"|"&amp;COUNTIF($AL$11:$AL3669,$AL3669))</f>
        <v/>
      </c>
    </row>
    <row r="3670" spans="38:53" ht="15" customHeight="1" x14ac:dyDescent="0.25">
      <c r="AL3670" s="31"/>
      <c r="AM3670" s="26"/>
      <c r="AN3670" s="32"/>
      <c r="AO3670" s="32"/>
      <c r="AP3670" s="24"/>
      <c r="AQ3670" s="24"/>
      <c r="AR3670" s="33"/>
      <c r="AS3670" s="34"/>
      <c r="AT3670" s="33"/>
      <c r="AV3670" s="21">
        <f>IF(AND($AL3670&lt;&gt;"",COUNTIF($AL$11:$AL3670,$AL3670)=1),1,0)</f>
        <v>0</v>
      </c>
      <c r="AW3670" s="21">
        <f t="shared" si="201"/>
        <v>0</v>
      </c>
      <c r="AX3670" s="21" t="str">
        <f t="shared" si="200"/>
        <v/>
      </c>
      <c r="AY3670" s="21" t="str">
        <f>IF(AND($AM3670&lt;&gt;"",$AS3670&lt;&gt;"✓"),SUMPRODUCT(($AM$11:$AM3670&lt;&gt;"")*($AS$11:$AS3670&lt;&gt;"✓")),"")</f>
        <v/>
      </c>
      <c r="AZ3670" s="21" t="str">
        <f>IF(AND($AM3670&lt;&gt;"",$AS3670="✓"),SUMPRODUCT(($AM$11:$AM3670&lt;&gt;"")*($AS$11:$AS3670="✓")),"")</f>
        <v/>
      </c>
      <c r="BA3670" s="21" t="str">
        <f>IF($AL3670="","",$AL3670&amp;"|"&amp;COUNTIF($AL$11:$AL3670,$AL3670))</f>
        <v/>
      </c>
    </row>
    <row r="3671" spans="38:53" ht="15" customHeight="1" x14ac:dyDescent="0.25">
      <c r="AL3671" s="17"/>
      <c r="AM3671" s="12"/>
      <c r="AN3671" s="18"/>
      <c r="AO3671" s="18"/>
      <c r="AP3671" s="10"/>
      <c r="AQ3671" s="10"/>
      <c r="AR3671" s="19"/>
      <c r="AS3671" s="20"/>
      <c r="AT3671" s="19"/>
      <c r="AV3671" s="21">
        <f>IF(AND($AL3671&lt;&gt;"",COUNTIF($AL$11:$AL3671,$AL3671)=1),1,0)</f>
        <v>0</v>
      </c>
      <c r="AW3671" s="21">
        <f t="shared" si="201"/>
        <v>0</v>
      </c>
      <c r="AX3671" s="21" t="str">
        <f t="shared" si="200"/>
        <v/>
      </c>
      <c r="AY3671" s="21" t="str">
        <f>IF(AND($AM3671&lt;&gt;"",$AS3671&lt;&gt;"✓"),SUMPRODUCT(($AM$11:$AM3671&lt;&gt;"")*($AS$11:$AS3671&lt;&gt;"✓")),"")</f>
        <v/>
      </c>
      <c r="AZ3671" s="21" t="str">
        <f>IF(AND($AM3671&lt;&gt;"",$AS3671="✓"),SUMPRODUCT(($AM$11:$AM3671&lt;&gt;"")*($AS$11:$AS3671="✓")),"")</f>
        <v/>
      </c>
      <c r="BA3671" s="21" t="str">
        <f>IF($AL3671="","",$AL3671&amp;"|"&amp;COUNTIF($AL$11:$AL3671,$AL3671))</f>
        <v/>
      </c>
    </row>
    <row r="3672" spans="38:53" ht="15" customHeight="1" x14ac:dyDescent="0.25">
      <c r="AL3672" s="31"/>
      <c r="AM3672" s="26"/>
      <c r="AN3672" s="32"/>
      <c r="AO3672" s="32"/>
      <c r="AP3672" s="24"/>
      <c r="AQ3672" s="24"/>
      <c r="AR3672" s="33"/>
      <c r="AS3672" s="34"/>
      <c r="AT3672" s="33"/>
      <c r="AV3672" s="21">
        <f>IF(AND($AL3672&lt;&gt;"",COUNTIF($AL$11:$AL3672,$AL3672)=1),1,0)</f>
        <v>0</v>
      </c>
      <c r="AW3672" s="21">
        <f t="shared" si="201"/>
        <v>0</v>
      </c>
      <c r="AX3672" s="21" t="str">
        <f t="shared" si="200"/>
        <v/>
      </c>
      <c r="AY3672" s="21" t="str">
        <f>IF(AND($AM3672&lt;&gt;"",$AS3672&lt;&gt;"✓"),SUMPRODUCT(($AM$11:$AM3672&lt;&gt;"")*($AS$11:$AS3672&lt;&gt;"✓")),"")</f>
        <v/>
      </c>
      <c r="AZ3672" s="21" t="str">
        <f>IF(AND($AM3672&lt;&gt;"",$AS3672="✓"),SUMPRODUCT(($AM$11:$AM3672&lt;&gt;"")*($AS$11:$AS3672="✓")),"")</f>
        <v/>
      </c>
      <c r="BA3672" s="21" t="str">
        <f>IF($AL3672="","",$AL3672&amp;"|"&amp;COUNTIF($AL$11:$AL3672,$AL3672))</f>
        <v/>
      </c>
    </row>
    <row r="3673" spans="38:53" ht="15" customHeight="1" x14ac:dyDescent="0.25">
      <c r="AL3673" s="17"/>
      <c r="AM3673" s="12"/>
      <c r="AN3673" s="18"/>
      <c r="AO3673" s="18"/>
      <c r="AP3673" s="10"/>
      <c r="AQ3673" s="10"/>
      <c r="AR3673" s="19"/>
      <c r="AS3673" s="20"/>
      <c r="AT3673" s="19"/>
      <c r="AV3673" s="21">
        <f>IF(AND($AL3673&lt;&gt;"",COUNTIF($AL$11:$AL3673,$AL3673)=1),1,0)</f>
        <v>0</v>
      </c>
      <c r="AW3673" s="21">
        <f t="shared" si="201"/>
        <v>0</v>
      </c>
      <c r="AX3673" s="21" t="str">
        <f t="shared" si="200"/>
        <v/>
      </c>
      <c r="AY3673" s="21" t="str">
        <f>IF(AND($AM3673&lt;&gt;"",$AS3673&lt;&gt;"✓"),SUMPRODUCT(($AM$11:$AM3673&lt;&gt;"")*($AS$11:$AS3673&lt;&gt;"✓")),"")</f>
        <v/>
      </c>
      <c r="AZ3673" s="21" t="str">
        <f>IF(AND($AM3673&lt;&gt;"",$AS3673="✓"),SUMPRODUCT(($AM$11:$AM3673&lt;&gt;"")*($AS$11:$AS3673="✓")),"")</f>
        <v/>
      </c>
      <c r="BA3673" s="21" t="str">
        <f>IF($AL3673="","",$AL3673&amp;"|"&amp;COUNTIF($AL$11:$AL3673,$AL3673))</f>
        <v/>
      </c>
    </row>
    <row r="3674" spans="38:53" ht="15" customHeight="1" x14ac:dyDescent="0.25">
      <c r="AL3674" s="31"/>
      <c r="AM3674" s="26"/>
      <c r="AN3674" s="32"/>
      <c r="AO3674" s="32"/>
      <c r="AP3674" s="24"/>
      <c r="AQ3674" s="24"/>
      <c r="AR3674" s="33"/>
      <c r="AS3674" s="34"/>
      <c r="AT3674" s="33"/>
      <c r="AV3674" s="21">
        <f>IF(AND($AL3674&lt;&gt;"",COUNTIF($AL$11:$AL3674,$AL3674)=1),1,0)</f>
        <v>0</v>
      </c>
      <c r="AW3674" s="21">
        <f t="shared" si="201"/>
        <v>0</v>
      </c>
      <c r="AX3674" s="21" t="str">
        <f t="shared" si="200"/>
        <v/>
      </c>
      <c r="AY3674" s="21" t="str">
        <f>IF(AND($AM3674&lt;&gt;"",$AS3674&lt;&gt;"✓"),SUMPRODUCT(($AM$11:$AM3674&lt;&gt;"")*($AS$11:$AS3674&lt;&gt;"✓")),"")</f>
        <v/>
      </c>
      <c r="AZ3674" s="21" t="str">
        <f>IF(AND($AM3674&lt;&gt;"",$AS3674="✓"),SUMPRODUCT(($AM$11:$AM3674&lt;&gt;"")*($AS$11:$AS3674="✓")),"")</f>
        <v/>
      </c>
      <c r="BA3674" s="21" t="str">
        <f>IF($AL3674="","",$AL3674&amp;"|"&amp;COUNTIF($AL$11:$AL3674,$AL3674))</f>
        <v/>
      </c>
    </row>
    <row r="3675" spans="38:53" ht="15" customHeight="1" x14ac:dyDescent="0.25">
      <c r="AL3675" s="17"/>
      <c r="AM3675" s="12"/>
      <c r="AN3675" s="18"/>
      <c r="AO3675" s="18"/>
      <c r="AP3675" s="10"/>
      <c r="AQ3675" s="10"/>
      <c r="AR3675" s="19"/>
      <c r="AS3675" s="20"/>
      <c r="AT3675" s="19"/>
      <c r="AV3675" s="21">
        <f>IF(AND($AL3675&lt;&gt;"",COUNTIF($AL$11:$AL3675,$AL3675)=1),1,0)</f>
        <v>0</v>
      </c>
      <c r="AW3675" s="21">
        <f t="shared" si="201"/>
        <v>0</v>
      </c>
      <c r="AX3675" s="21" t="str">
        <f t="shared" si="200"/>
        <v/>
      </c>
      <c r="AY3675" s="21" t="str">
        <f>IF(AND($AM3675&lt;&gt;"",$AS3675&lt;&gt;"✓"),SUMPRODUCT(($AM$11:$AM3675&lt;&gt;"")*($AS$11:$AS3675&lt;&gt;"✓")),"")</f>
        <v/>
      </c>
      <c r="AZ3675" s="21" t="str">
        <f>IF(AND($AM3675&lt;&gt;"",$AS3675="✓"),SUMPRODUCT(($AM$11:$AM3675&lt;&gt;"")*($AS$11:$AS3675="✓")),"")</f>
        <v/>
      </c>
      <c r="BA3675" s="21" t="str">
        <f>IF($AL3675="","",$AL3675&amp;"|"&amp;COUNTIF($AL$11:$AL3675,$AL3675))</f>
        <v/>
      </c>
    </row>
    <row r="3676" spans="38:53" ht="15" customHeight="1" x14ac:dyDescent="0.25">
      <c r="AL3676" s="31"/>
      <c r="AM3676" s="26"/>
      <c r="AN3676" s="32"/>
      <c r="AO3676" s="32"/>
      <c r="AP3676" s="24"/>
      <c r="AQ3676" s="24"/>
      <c r="AR3676" s="33"/>
      <c r="AS3676" s="34"/>
      <c r="AT3676" s="33"/>
      <c r="AV3676" s="21">
        <f>IF(AND($AL3676&lt;&gt;"",COUNTIF($AL$11:$AL3676,$AL3676)=1),1,0)</f>
        <v>0</v>
      </c>
      <c r="AW3676" s="21">
        <f t="shared" si="201"/>
        <v>0</v>
      </c>
      <c r="AX3676" s="21" t="str">
        <f t="shared" si="200"/>
        <v/>
      </c>
      <c r="AY3676" s="21" t="str">
        <f>IF(AND($AM3676&lt;&gt;"",$AS3676&lt;&gt;"✓"),SUMPRODUCT(($AM$11:$AM3676&lt;&gt;"")*($AS$11:$AS3676&lt;&gt;"✓")),"")</f>
        <v/>
      </c>
      <c r="AZ3676" s="21" t="str">
        <f>IF(AND($AM3676&lt;&gt;"",$AS3676="✓"),SUMPRODUCT(($AM$11:$AM3676&lt;&gt;"")*($AS$11:$AS3676="✓")),"")</f>
        <v/>
      </c>
      <c r="BA3676" s="21" t="str">
        <f>IF($AL3676="","",$AL3676&amp;"|"&amp;COUNTIF($AL$11:$AL3676,$AL3676))</f>
        <v/>
      </c>
    </row>
    <row r="3677" spans="38:53" ht="15" customHeight="1" x14ac:dyDescent="0.25">
      <c r="AL3677" s="17"/>
      <c r="AM3677" s="12"/>
      <c r="AN3677" s="18"/>
      <c r="AO3677" s="18"/>
      <c r="AP3677" s="10"/>
      <c r="AQ3677" s="10"/>
      <c r="AR3677" s="19"/>
      <c r="AS3677" s="20"/>
      <c r="AT3677" s="19"/>
      <c r="AV3677" s="21">
        <f>IF(AND($AL3677&lt;&gt;"",COUNTIF($AL$11:$AL3677,$AL3677)=1),1,0)</f>
        <v>0</v>
      </c>
      <c r="AW3677" s="21">
        <f t="shared" si="201"/>
        <v>0</v>
      </c>
      <c r="AX3677" s="21" t="str">
        <f t="shared" si="200"/>
        <v/>
      </c>
      <c r="AY3677" s="21" t="str">
        <f>IF(AND($AM3677&lt;&gt;"",$AS3677&lt;&gt;"✓"),SUMPRODUCT(($AM$11:$AM3677&lt;&gt;"")*($AS$11:$AS3677&lt;&gt;"✓")),"")</f>
        <v/>
      </c>
      <c r="AZ3677" s="21" t="str">
        <f>IF(AND($AM3677&lt;&gt;"",$AS3677="✓"),SUMPRODUCT(($AM$11:$AM3677&lt;&gt;"")*($AS$11:$AS3677="✓")),"")</f>
        <v/>
      </c>
      <c r="BA3677" s="21" t="str">
        <f>IF($AL3677="","",$AL3677&amp;"|"&amp;COUNTIF($AL$11:$AL3677,$AL3677))</f>
        <v/>
      </c>
    </row>
    <row r="3678" spans="38:53" ht="15" customHeight="1" x14ac:dyDescent="0.25">
      <c r="AL3678" s="31"/>
      <c r="AM3678" s="26"/>
      <c r="AN3678" s="32"/>
      <c r="AO3678" s="32"/>
      <c r="AP3678" s="24"/>
      <c r="AQ3678" s="24"/>
      <c r="AR3678" s="33"/>
      <c r="AS3678" s="34"/>
      <c r="AT3678" s="33"/>
      <c r="AV3678" s="21">
        <f>IF(AND($AL3678&lt;&gt;"",COUNTIF($AL$11:$AL3678,$AL3678)=1),1,0)</f>
        <v>0</v>
      </c>
      <c r="AW3678" s="21">
        <f t="shared" si="201"/>
        <v>0</v>
      </c>
      <c r="AX3678" s="21" t="str">
        <f t="shared" si="200"/>
        <v/>
      </c>
      <c r="AY3678" s="21" t="str">
        <f>IF(AND($AM3678&lt;&gt;"",$AS3678&lt;&gt;"✓"),SUMPRODUCT(($AM$11:$AM3678&lt;&gt;"")*($AS$11:$AS3678&lt;&gt;"✓")),"")</f>
        <v/>
      </c>
      <c r="AZ3678" s="21" t="str">
        <f>IF(AND($AM3678&lt;&gt;"",$AS3678="✓"),SUMPRODUCT(($AM$11:$AM3678&lt;&gt;"")*($AS$11:$AS3678="✓")),"")</f>
        <v/>
      </c>
      <c r="BA3678" s="21" t="str">
        <f>IF($AL3678="","",$AL3678&amp;"|"&amp;COUNTIF($AL$11:$AL3678,$AL3678))</f>
        <v/>
      </c>
    </row>
    <row r="3679" spans="38:53" ht="15" customHeight="1" x14ac:dyDescent="0.25">
      <c r="AL3679" s="17"/>
      <c r="AM3679" s="12"/>
      <c r="AN3679" s="18"/>
      <c r="AO3679" s="18"/>
      <c r="AP3679" s="10"/>
      <c r="AQ3679" s="10"/>
      <c r="AR3679" s="19"/>
      <c r="AS3679" s="20"/>
      <c r="AT3679" s="19"/>
      <c r="AV3679" s="21">
        <f>IF(AND($AL3679&lt;&gt;"",COUNTIF($AL$11:$AL3679,$AL3679)=1),1,0)</f>
        <v>0</v>
      </c>
      <c r="AW3679" s="21">
        <f t="shared" si="201"/>
        <v>0</v>
      </c>
      <c r="AX3679" s="21" t="str">
        <f t="shared" si="200"/>
        <v/>
      </c>
      <c r="AY3679" s="21" t="str">
        <f>IF(AND($AM3679&lt;&gt;"",$AS3679&lt;&gt;"✓"),SUMPRODUCT(($AM$11:$AM3679&lt;&gt;"")*($AS$11:$AS3679&lt;&gt;"✓")),"")</f>
        <v/>
      </c>
      <c r="AZ3679" s="21" t="str">
        <f>IF(AND($AM3679&lt;&gt;"",$AS3679="✓"),SUMPRODUCT(($AM$11:$AM3679&lt;&gt;"")*($AS$11:$AS3679="✓")),"")</f>
        <v/>
      </c>
      <c r="BA3679" s="21" t="str">
        <f>IF($AL3679="","",$AL3679&amp;"|"&amp;COUNTIF($AL$11:$AL3679,$AL3679))</f>
        <v/>
      </c>
    </row>
    <row r="3680" spans="38:53" ht="15" customHeight="1" x14ac:dyDescent="0.25">
      <c r="AL3680" s="31"/>
      <c r="AM3680" s="26"/>
      <c r="AN3680" s="32"/>
      <c r="AO3680" s="32"/>
      <c r="AP3680" s="24"/>
      <c r="AQ3680" s="24"/>
      <c r="AR3680" s="33"/>
      <c r="AS3680" s="34"/>
      <c r="AT3680" s="33"/>
      <c r="AV3680" s="21">
        <f>IF(AND($AL3680&lt;&gt;"",COUNTIF($AL$11:$AL3680,$AL3680)=1),1,0)</f>
        <v>0</v>
      </c>
      <c r="AW3680" s="21">
        <f t="shared" si="201"/>
        <v>0</v>
      </c>
      <c r="AX3680" s="21" t="str">
        <f t="shared" si="200"/>
        <v/>
      </c>
      <c r="AY3680" s="21" t="str">
        <f>IF(AND($AM3680&lt;&gt;"",$AS3680&lt;&gt;"✓"),SUMPRODUCT(($AM$11:$AM3680&lt;&gt;"")*($AS$11:$AS3680&lt;&gt;"✓")),"")</f>
        <v/>
      </c>
      <c r="AZ3680" s="21" t="str">
        <f>IF(AND($AM3680&lt;&gt;"",$AS3680="✓"),SUMPRODUCT(($AM$11:$AM3680&lt;&gt;"")*($AS$11:$AS3680="✓")),"")</f>
        <v/>
      </c>
      <c r="BA3680" s="21" t="str">
        <f>IF($AL3680="","",$AL3680&amp;"|"&amp;COUNTIF($AL$11:$AL3680,$AL3680))</f>
        <v/>
      </c>
    </row>
    <row r="3681" spans="38:53" ht="15" customHeight="1" x14ac:dyDescent="0.25">
      <c r="AL3681" s="17"/>
      <c r="AM3681" s="12"/>
      <c r="AN3681" s="18"/>
      <c r="AO3681" s="18"/>
      <c r="AP3681" s="10"/>
      <c r="AQ3681" s="10"/>
      <c r="AR3681" s="19"/>
      <c r="AS3681" s="20"/>
      <c r="AT3681" s="19"/>
      <c r="AV3681" s="21">
        <f>IF(AND($AL3681&lt;&gt;"",COUNTIF($AL$11:$AL3681,$AL3681)=1),1,0)</f>
        <v>0</v>
      </c>
      <c r="AW3681" s="21">
        <f t="shared" si="201"/>
        <v>0</v>
      </c>
      <c r="AX3681" s="21" t="str">
        <f t="shared" si="200"/>
        <v/>
      </c>
      <c r="AY3681" s="21" t="str">
        <f>IF(AND($AM3681&lt;&gt;"",$AS3681&lt;&gt;"✓"),SUMPRODUCT(($AM$11:$AM3681&lt;&gt;"")*($AS$11:$AS3681&lt;&gt;"✓")),"")</f>
        <v/>
      </c>
      <c r="AZ3681" s="21" t="str">
        <f>IF(AND($AM3681&lt;&gt;"",$AS3681="✓"),SUMPRODUCT(($AM$11:$AM3681&lt;&gt;"")*($AS$11:$AS3681="✓")),"")</f>
        <v/>
      </c>
      <c r="BA3681" s="21" t="str">
        <f>IF($AL3681="","",$AL3681&amp;"|"&amp;COUNTIF($AL$11:$AL3681,$AL3681))</f>
        <v/>
      </c>
    </row>
    <row r="3682" spans="38:53" ht="15" customHeight="1" x14ac:dyDescent="0.25">
      <c r="AL3682" s="31"/>
      <c r="AM3682" s="26"/>
      <c r="AN3682" s="32"/>
      <c r="AO3682" s="32"/>
      <c r="AP3682" s="24"/>
      <c r="AQ3682" s="24"/>
      <c r="AR3682" s="33"/>
      <c r="AS3682" s="34"/>
      <c r="AT3682" s="33"/>
      <c r="AV3682" s="21">
        <f>IF(AND($AL3682&lt;&gt;"",COUNTIF($AL$11:$AL3682,$AL3682)=1),1,0)</f>
        <v>0</v>
      </c>
      <c r="AW3682" s="21">
        <f t="shared" si="201"/>
        <v>0</v>
      </c>
      <c r="AX3682" s="21" t="str">
        <f t="shared" si="200"/>
        <v/>
      </c>
      <c r="AY3682" s="21" t="str">
        <f>IF(AND($AM3682&lt;&gt;"",$AS3682&lt;&gt;"✓"),SUMPRODUCT(($AM$11:$AM3682&lt;&gt;"")*($AS$11:$AS3682&lt;&gt;"✓")),"")</f>
        <v/>
      </c>
      <c r="AZ3682" s="21" t="str">
        <f>IF(AND($AM3682&lt;&gt;"",$AS3682="✓"),SUMPRODUCT(($AM$11:$AM3682&lt;&gt;"")*($AS$11:$AS3682="✓")),"")</f>
        <v/>
      </c>
      <c r="BA3682" s="21" t="str">
        <f>IF($AL3682="","",$AL3682&amp;"|"&amp;COUNTIF($AL$11:$AL3682,$AL3682))</f>
        <v/>
      </c>
    </row>
    <row r="3683" spans="38:53" ht="15" customHeight="1" x14ac:dyDescent="0.25">
      <c r="AL3683" s="17"/>
      <c r="AM3683" s="12"/>
      <c r="AN3683" s="18"/>
      <c r="AO3683" s="18"/>
      <c r="AP3683" s="10"/>
      <c r="AQ3683" s="10"/>
      <c r="AR3683" s="19"/>
      <c r="AS3683" s="20"/>
      <c r="AT3683" s="19"/>
      <c r="AV3683" s="21">
        <f>IF(AND($AL3683&lt;&gt;"",COUNTIF($AL$11:$AL3683,$AL3683)=1),1,0)</f>
        <v>0</v>
      </c>
      <c r="AW3683" s="21">
        <f t="shared" si="201"/>
        <v>0</v>
      </c>
      <c r="AX3683" s="21" t="str">
        <f t="shared" si="200"/>
        <v/>
      </c>
      <c r="AY3683" s="21" t="str">
        <f>IF(AND($AM3683&lt;&gt;"",$AS3683&lt;&gt;"✓"),SUMPRODUCT(($AM$11:$AM3683&lt;&gt;"")*($AS$11:$AS3683&lt;&gt;"✓")),"")</f>
        <v/>
      </c>
      <c r="AZ3683" s="21" t="str">
        <f>IF(AND($AM3683&lt;&gt;"",$AS3683="✓"),SUMPRODUCT(($AM$11:$AM3683&lt;&gt;"")*($AS$11:$AS3683="✓")),"")</f>
        <v/>
      </c>
      <c r="BA3683" s="21" t="str">
        <f>IF($AL3683="","",$AL3683&amp;"|"&amp;COUNTIF($AL$11:$AL3683,$AL3683))</f>
        <v/>
      </c>
    </row>
    <row r="3684" spans="38:53" ht="15" customHeight="1" x14ac:dyDescent="0.25">
      <c r="AL3684" s="31"/>
      <c r="AM3684" s="26"/>
      <c r="AN3684" s="32"/>
      <c r="AO3684" s="32"/>
      <c r="AP3684" s="24"/>
      <c r="AQ3684" s="24"/>
      <c r="AR3684" s="33"/>
      <c r="AS3684" s="34"/>
      <c r="AT3684" s="33"/>
      <c r="AV3684" s="21">
        <f>IF(AND($AL3684&lt;&gt;"",COUNTIF($AL$11:$AL3684,$AL3684)=1),1,0)</f>
        <v>0</v>
      </c>
      <c r="AW3684" s="21">
        <f t="shared" si="201"/>
        <v>0</v>
      </c>
      <c r="AX3684" s="21" t="str">
        <f t="shared" si="200"/>
        <v/>
      </c>
      <c r="AY3684" s="21" t="str">
        <f>IF(AND($AM3684&lt;&gt;"",$AS3684&lt;&gt;"✓"),SUMPRODUCT(($AM$11:$AM3684&lt;&gt;"")*($AS$11:$AS3684&lt;&gt;"✓")),"")</f>
        <v/>
      </c>
      <c r="AZ3684" s="21" t="str">
        <f>IF(AND($AM3684&lt;&gt;"",$AS3684="✓"),SUMPRODUCT(($AM$11:$AM3684&lt;&gt;"")*($AS$11:$AS3684="✓")),"")</f>
        <v/>
      </c>
      <c r="BA3684" s="21" t="str">
        <f>IF($AL3684="","",$AL3684&amp;"|"&amp;COUNTIF($AL$11:$AL3684,$AL3684))</f>
        <v/>
      </c>
    </row>
    <row r="3685" spans="38:53" ht="15" customHeight="1" x14ac:dyDescent="0.25">
      <c r="AL3685" s="17"/>
      <c r="AM3685" s="12"/>
      <c r="AN3685" s="18"/>
      <c r="AO3685" s="18"/>
      <c r="AP3685" s="10"/>
      <c r="AQ3685" s="10"/>
      <c r="AR3685" s="19"/>
      <c r="AS3685" s="20"/>
      <c r="AT3685" s="19"/>
      <c r="AV3685" s="21">
        <f>IF(AND($AL3685&lt;&gt;"",COUNTIF($AL$11:$AL3685,$AL3685)=1),1,0)</f>
        <v>0</v>
      </c>
      <c r="AW3685" s="21">
        <f t="shared" si="201"/>
        <v>0</v>
      </c>
      <c r="AX3685" s="21" t="str">
        <f t="shared" si="200"/>
        <v/>
      </c>
      <c r="AY3685" s="21" t="str">
        <f>IF(AND($AM3685&lt;&gt;"",$AS3685&lt;&gt;"✓"),SUMPRODUCT(($AM$11:$AM3685&lt;&gt;"")*($AS$11:$AS3685&lt;&gt;"✓")),"")</f>
        <v/>
      </c>
      <c r="AZ3685" s="21" t="str">
        <f>IF(AND($AM3685&lt;&gt;"",$AS3685="✓"),SUMPRODUCT(($AM$11:$AM3685&lt;&gt;"")*($AS$11:$AS3685="✓")),"")</f>
        <v/>
      </c>
      <c r="BA3685" s="21" t="str">
        <f>IF($AL3685="","",$AL3685&amp;"|"&amp;COUNTIF($AL$11:$AL3685,$AL3685))</f>
        <v/>
      </c>
    </row>
    <row r="3686" spans="38:53" ht="15" customHeight="1" x14ac:dyDescent="0.25">
      <c r="AL3686" s="31"/>
      <c r="AM3686" s="26"/>
      <c r="AN3686" s="32"/>
      <c r="AO3686" s="32"/>
      <c r="AP3686" s="24"/>
      <c r="AQ3686" s="24"/>
      <c r="AR3686" s="33"/>
      <c r="AS3686" s="34"/>
      <c r="AT3686" s="33"/>
      <c r="AV3686" s="21">
        <f>IF(AND($AL3686&lt;&gt;"",COUNTIF($AL$11:$AL3686,$AL3686)=1),1,0)</f>
        <v>0</v>
      </c>
      <c r="AW3686" s="21">
        <f t="shared" si="201"/>
        <v>0</v>
      </c>
      <c r="AX3686" s="21" t="str">
        <f t="shared" si="200"/>
        <v/>
      </c>
      <c r="AY3686" s="21" t="str">
        <f>IF(AND($AM3686&lt;&gt;"",$AS3686&lt;&gt;"✓"),SUMPRODUCT(($AM$11:$AM3686&lt;&gt;"")*($AS$11:$AS3686&lt;&gt;"✓")),"")</f>
        <v/>
      </c>
      <c r="AZ3686" s="21" t="str">
        <f>IF(AND($AM3686&lt;&gt;"",$AS3686="✓"),SUMPRODUCT(($AM$11:$AM3686&lt;&gt;"")*($AS$11:$AS3686="✓")),"")</f>
        <v/>
      </c>
      <c r="BA3686" s="21" t="str">
        <f>IF($AL3686="","",$AL3686&amp;"|"&amp;COUNTIF($AL$11:$AL3686,$AL3686))</f>
        <v/>
      </c>
    </row>
    <row r="3687" spans="38:53" ht="15" customHeight="1" x14ac:dyDescent="0.25">
      <c r="AL3687" s="17"/>
      <c r="AM3687" s="12"/>
      <c r="AN3687" s="18"/>
      <c r="AO3687" s="18"/>
      <c r="AP3687" s="10"/>
      <c r="AQ3687" s="10"/>
      <c r="AR3687" s="19"/>
      <c r="AS3687" s="20"/>
      <c r="AT3687" s="19"/>
      <c r="AV3687" s="21">
        <f>IF(AND($AL3687&lt;&gt;"",COUNTIF($AL$11:$AL3687,$AL3687)=1),1,0)</f>
        <v>0</v>
      </c>
      <c r="AW3687" s="21">
        <f t="shared" si="201"/>
        <v>0</v>
      </c>
      <c r="AX3687" s="21" t="str">
        <f t="shared" si="200"/>
        <v/>
      </c>
      <c r="AY3687" s="21" t="str">
        <f>IF(AND($AM3687&lt;&gt;"",$AS3687&lt;&gt;"✓"),SUMPRODUCT(($AM$11:$AM3687&lt;&gt;"")*($AS$11:$AS3687&lt;&gt;"✓")),"")</f>
        <v/>
      </c>
      <c r="AZ3687" s="21" t="str">
        <f>IF(AND($AM3687&lt;&gt;"",$AS3687="✓"),SUMPRODUCT(($AM$11:$AM3687&lt;&gt;"")*($AS$11:$AS3687="✓")),"")</f>
        <v/>
      </c>
      <c r="BA3687" s="21" t="str">
        <f>IF($AL3687="","",$AL3687&amp;"|"&amp;COUNTIF($AL$11:$AL3687,$AL3687))</f>
        <v/>
      </c>
    </row>
    <row r="3688" spans="38:53" ht="15" customHeight="1" x14ac:dyDescent="0.25">
      <c r="AL3688" s="31"/>
      <c r="AM3688" s="26"/>
      <c r="AN3688" s="32"/>
      <c r="AO3688" s="32"/>
      <c r="AP3688" s="24"/>
      <c r="AQ3688" s="24"/>
      <c r="AR3688" s="33"/>
      <c r="AS3688" s="34"/>
      <c r="AT3688" s="33"/>
      <c r="AV3688" s="21">
        <f>IF(AND($AL3688&lt;&gt;"",COUNTIF($AL$11:$AL3688,$AL3688)=1),1,0)</f>
        <v>0</v>
      </c>
      <c r="AW3688" s="21">
        <f t="shared" si="201"/>
        <v>0</v>
      </c>
      <c r="AX3688" s="21" t="str">
        <f t="shared" si="200"/>
        <v/>
      </c>
      <c r="AY3688" s="21" t="str">
        <f>IF(AND($AM3688&lt;&gt;"",$AS3688&lt;&gt;"✓"),SUMPRODUCT(($AM$11:$AM3688&lt;&gt;"")*($AS$11:$AS3688&lt;&gt;"✓")),"")</f>
        <v/>
      </c>
      <c r="AZ3688" s="21" t="str">
        <f>IF(AND($AM3688&lt;&gt;"",$AS3688="✓"),SUMPRODUCT(($AM$11:$AM3688&lt;&gt;"")*($AS$11:$AS3688="✓")),"")</f>
        <v/>
      </c>
      <c r="BA3688" s="21" t="str">
        <f>IF($AL3688="","",$AL3688&amp;"|"&amp;COUNTIF($AL$11:$AL3688,$AL3688))</f>
        <v/>
      </c>
    </row>
    <row r="3689" spans="38:53" ht="15" customHeight="1" x14ac:dyDescent="0.25">
      <c r="AL3689" s="17"/>
      <c r="AM3689" s="12"/>
      <c r="AN3689" s="18"/>
      <c r="AO3689" s="18"/>
      <c r="AP3689" s="10"/>
      <c r="AQ3689" s="10"/>
      <c r="AR3689" s="19"/>
      <c r="AS3689" s="20"/>
      <c r="AT3689" s="19"/>
      <c r="AV3689" s="21">
        <f>IF(AND($AL3689&lt;&gt;"",COUNTIF($AL$11:$AL3689,$AL3689)=1),1,0)</f>
        <v>0</v>
      </c>
      <c r="AW3689" s="21">
        <f t="shared" si="201"/>
        <v>0</v>
      </c>
      <c r="AX3689" s="21" t="str">
        <f t="shared" si="200"/>
        <v/>
      </c>
      <c r="AY3689" s="21" t="str">
        <f>IF(AND($AM3689&lt;&gt;"",$AS3689&lt;&gt;"✓"),SUMPRODUCT(($AM$11:$AM3689&lt;&gt;"")*($AS$11:$AS3689&lt;&gt;"✓")),"")</f>
        <v/>
      </c>
      <c r="AZ3689" s="21" t="str">
        <f>IF(AND($AM3689&lt;&gt;"",$AS3689="✓"),SUMPRODUCT(($AM$11:$AM3689&lt;&gt;"")*($AS$11:$AS3689="✓")),"")</f>
        <v/>
      </c>
      <c r="BA3689" s="21" t="str">
        <f>IF($AL3689="","",$AL3689&amp;"|"&amp;COUNTIF($AL$11:$AL3689,$AL3689))</f>
        <v/>
      </c>
    </row>
    <row r="3690" spans="38:53" ht="15" customHeight="1" x14ac:dyDescent="0.25">
      <c r="AL3690" s="31"/>
      <c r="AM3690" s="26"/>
      <c r="AN3690" s="32"/>
      <c r="AO3690" s="32"/>
      <c r="AP3690" s="24"/>
      <c r="AQ3690" s="24"/>
      <c r="AR3690" s="33"/>
      <c r="AS3690" s="34"/>
      <c r="AT3690" s="33"/>
      <c r="AV3690" s="21">
        <f>IF(AND($AL3690&lt;&gt;"",COUNTIF($AL$11:$AL3690,$AL3690)=1),1,0)</f>
        <v>0</v>
      </c>
      <c r="AW3690" s="21">
        <f t="shared" si="201"/>
        <v>0</v>
      </c>
      <c r="AX3690" s="21" t="str">
        <f t="shared" si="200"/>
        <v/>
      </c>
      <c r="AY3690" s="21" t="str">
        <f>IF(AND($AM3690&lt;&gt;"",$AS3690&lt;&gt;"✓"),SUMPRODUCT(($AM$11:$AM3690&lt;&gt;"")*($AS$11:$AS3690&lt;&gt;"✓")),"")</f>
        <v/>
      </c>
      <c r="AZ3690" s="21" t="str">
        <f>IF(AND($AM3690&lt;&gt;"",$AS3690="✓"),SUMPRODUCT(($AM$11:$AM3690&lt;&gt;"")*($AS$11:$AS3690="✓")),"")</f>
        <v/>
      </c>
      <c r="BA3690" s="21" t="str">
        <f>IF($AL3690="","",$AL3690&amp;"|"&amp;COUNTIF($AL$11:$AL3690,$AL3690))</f>
        <v/>
      </c>
    </row>
    <row r="3691" spans="38:53" ht="15" customHeight="1" x14ac:dyDescent="0.25">
      <c r="AL3691" s="17"/>
      <c r="AM3691" s="12"/>
      <c r="AN3691" s="18"/>
      <c r="AO3691" s="18"/>
      <c r="AP3691" s="10"/>
      <c r="AQ3691" s="10"/>
      <c r="AR3691" s="19"/>
      <c r="AS3691" s="20"/>
      <c r="AT3691" s="19"/>
      <c r="AV3691" s="21">
        <f>IF(AND($AL3691&lt;&gt;"",COUNTIF($AL$11:$AL3691,$AL3691)=1),1,0)</f>
        <v>0</v>
      </c>
      <c r="AW3691" s="21">
        <f t="shared" si="201"/>
        <v>0</v>
      </c>
      <c r="AX3691" s="21" t="str">
        <f t="shared" si="200"/>
        <v/>
      </c>
      <c r="AY3691" s="21" t="str">
        <f>IF(AND($AM3691&lt;&gt;"",$AS3691&lt;&gt;"✓"),SUMPRODUCT(($AM$11:$AM3691&lt;&gt;"")*($AS$11:$AS3691&lt;&gt;"✓")),"")</f>
        <v/>
      </c>
      <c r="AZ3691" s="21" t="str">
        <f>IF(AND($AM3691&lt;&gt;"",$AS3691="✓"),SUMPRODUCT(($AM$11:$AM3691&lt;&gt;"")*($AS$11:$AS3691="✓")),"")</f>
        <v/>
      </c>
      <c r="BA3691" s="21" t="str">
        <f>IF($AL3691="","",$AL3691&amp;"|"&amp;COUNTIF($AL$11:$AL3691,$AL3691))</f>
        <v/>
      </c>
    </row>
    <row r="3692" spans="38:53" ht="15" customHeight="1" x14ac:dyDescent="0.25">
      <c r="AL3692" s="31"/>
      <c r="AM3692" s="26"/>
      <c r="AN3692" s="32"/>
      <c r="AO3692" s="32"/>
      <c r="AP3692" s="24"/>
      <c r="AQ3692" s="24"/>
      <c r="AR3692" s="33"/>
      <c r="AS3692" s="34"/>
      <c r="AT3692" s="33"/>
      <c r="AV3692" s="21">
        <f>IF(AND($AL3692&lt;&gt;"",COUNTIF($AL$11:$AL3692,$AL3692)=1),1,0)</f>
        <v>0</v>
      </c>
      <c r="AW3692" s="21">
        <f t="shared" si="201"/>
        <v>0</v>
      </c>
      <c r="AX3692" s="21" t="str">
        <f t="shared" si="200"/>
        <v/>
      </c>
      <c r="AY3692" s="21" t="str">
        <f>IF(AND($AM3692&lt;&gt;"",$AS3692&lt;&gt;"✓"),SUMPRODUCT(($AM$11:$AM3692&lt;&gt;"")*($AS$11:$AS3692&lt;&gt;"✓")),"")</f>
        <v/>
      </c>
      <c r="AZ3692" s="21" t="str">
        <f>IF(AND($AM3692&lt;&gt;"",$AS3692="✓"),SUMPRODUCT(($AM$11:$AM3692&lt;&gt;"")*($AS$11:$AS3692="✓")),"")</f>
        <v/>
      </c>
      <c r="BA3692" s="21" t="str">
        <f>IF($AL3692="","",$AL3692&amp;"|"&amp;COUNTIF($AL$11:$AL3692,$AL3692))</f>
        <v/>
      </c>
    </row>
    <row r="3693" spans="38:53" ht="15" customHeight="1" x14ac:dyDescent="0.25">
      <c r="AL3693" s="17"/>
      <c r="AM3693" s="12"/>
      <c r="AN3693" s="18"/>
      <c r="AO3693" s="18"/>
      <c r="AP3693" s="10"/>
      <c r="AQ3693" s="10"/>
      <c r="AR3693" s="19"/>
      <c r="AS3693" s="20"/>
      <c r="AT3693" s="19"/>
      <c r="AV3693" s="21">
        <f>IF(AND($AL3693&lt;&gt;"",COUNTIF($AL$11:$AL3693,$AL3693)=1),1,0)</f>
        <v>0</v>
      </c>
      <c r="AW3693" s="21">
        <f t="shared" si="201"/>
        <v>0</v>
      </c>
      <c r="AX3693" s="21" t="str">
        <f t="shared" si="200"/>
        <v/>
      </c>
      <c r="AY3693" s="21" t="str">
        <f>IF(AND($AM3693&lt;&gt;"",$AS3693&lt;&gt;"✓"),SUMPRODUCT(($AM$11:$AM3693&lt;&gt;"")*($AS$11:$AS3693&lt;&gt;"✓")),"")</f>
        <v/>
      </c>
      <c r="AZ3693" s="21" t="str">
        <f>IF(AND($AM3693&lt;&gt;"",$AS3693="✓"),SUMPRODUCT(($AM$11:$AM3693&lt;&gt;"")*($AS$11:$AS3693="✓")),"")</f>
        <v/>
      </c>
      <c r="BA3693" s="21" t="str">
        <f>IF($AL3693="","",$AL3693&amp;"|"&amp;COUNTIF($AL$11:$AL3693,$AL3693))</f>
        <v/>
      </c>
    </row>
    <row r="3694" spans="38:53" ht="15" customHeight="1" x14ac:dyDescent="0.25">
      <c r="AL3694" s="31"/>
      <c r="AM3694" s="26"/>
      <c r="AN3694" s="32"/>
      <c r="AO3694" s="32"/>
      <c r="AP3694" s="24"/>
      <c r="AQ3694" s="24"/>
      <c r="AR3694" s="33"/>
      <c r="AS3694" s="34"/>
      <c r="AT3694" s="33"/>
      <c r="AV3694" s="21">
        <f>IF(AND($AL3694&lt;&gt;"",COUNTIF($AL$11:$AL3694,$AL3694)=1),1,0)</f>
        <v>0</v>
      </c>
      <c r="AW3694" s="21">
        <f t="shared" si="201"/>
        <v>0</v>
      </c>
      <c r="AX3694" s="21" t="str">
        <f t="shared" si="200"/>
        <v/>
      </c>
      <c r="AY3694" s="21" t="str">
        <f>IF(AND($AM3694&lt;&gt;"",$AS3694&lt;&gt;"✓"),SUMPRODUCT(($AM$11:$AM3694&lt;&gt;"")*($AS$11:$AS3694&lt;&gt;"✓")),"")</f>
        <v/>
      </c>
      <c r="AZ3694" s="21" t="str">
        <f>IF(AND($AM3694&lt;&gt;"",$AS3694="✓"),SUMPRODUCT(($AM$11:$AM3694&lt;&gt;"")*($AS$11:$AS3694="✓")),"")</f>
        <v/>
      </c>
      <c r="BA3694" s="21" t="str">
        <f>IF($AL3694="","",$AL3694&amp;"|"&amp;COUNTIF($AL$11:$AL3694,$AL3694))</f>
        <v/>
      </c>
    </row>
    <row r="3695" spans="38:53" ht="15" customHeight="1" x14ac:dyDescent="0.25">
      <c r="AL3695" s="17"/>
      <c r="AM3695" s="12"/>
      <c r="AN3695" s="18"/>
      <c r="AO3695" s="18"/>
      <c r="AP3695" s="10"/>
      <c r="AQ3695" s="10"/>
      <c r="AR3695" s="19"/>
      <c r="AS3695" s="20"/>
      <c r="AT3695" s="19"/>
      <c r="AV3695" s="21">
        <f>IF(AND($AL3695&lt;&gt;"",COUNTIF($AL$11:$AL3695,$AL3695)=1),1,0)</f>
        <v>0</v>
      </c>
      <c r="AW3695" s="21">
        <f t="shared" si="201"/>
        <v>0</v>
      </c>
      <c r="AX3695" s="21" t="str">
        <f t="shared" si="200"/>
        <v/>
      </c>
      <c r="AY3695" s="21" t="str">
        <f>IF(AND($AM3695&lt;&gt;"",$AS3695&lt;&gt;"✓"),SUMPRODUCT(($AM$11:$AM3695&lt;&gt;"")*($AS$11:$AS3695&lt;&gt;"✓")),"")</f>
        <v/>
      </c>
      <c r="AZ3695" s="21" t="str">
        <f>IF(AND($AM3695&lt;&gt;"",$AS3695="✓"),SUMPRODUCT(($AM$11:$AM3695&lt;&gt;"")*($AS$11:$AS3695="✓")),"")</f>
        <v/>
      </c>
      <c r="BA3695" s="21" t="str">
        <f>IF($AL3695="","",$AL3695&amp;"|"&amp;COUNTIF($AL$11:$AL3695,$AL3695))</f>
        <v/>
      </c>
    </row>
    <row r="3696" spans="38:53" ht="15" customHeight="1" x14ac:dyDescent="0.25">
      <c r="AL3696" s="31"/>
      <c r="AM3696" s="26"/>
      <c r="AN3696" s="32"/>
      <c r="AO3696" s="32"/>
      <c r="AP3696" s="24"/>
      <c r="AQ3696" s="24"/>
      <c r="AR3696" s="33"/>
      <c r="AS3696" s="34"/>
      <c r="AT3696" s="33"/>
      <c r="AV3696" s="21">
        <f>IF(AND($AL3696&lt;&gt;"",COUNTIF($AL$11:$AL3696,$AL3696)=1),1,0)</f>
        <v>0</v>
      </c>
      <c r="AW3696" s="21">
        <f t="shared" si="201"/>
        <v>0</v>
      </c>
      <c r="AX3696" s="21" t="str">
        <f t="shared" si="200"/>
        <v/>
      </c>
      <c r="AY3696" s="21" t="str">
        <f>IF(AND($AM3696&lt;&gt;"",$AS3696&lt;&gt;"✓"),SUMPRODUCT(($AM$11:$AM3696&lt;&gt;"")*($AS$11:$AS3696&lt;&gt;"✓")),"")</f>
        <v/>
      </c>
      <c r="AZ3696" s="21" t="str">
        <f>IF(AND($AM3696&lt;&gt;"",$AS3696="✓"),SUMPRODUCT(($AM$11:$AM3696&lt;&gt;"")*($AS$11:$AS3696="✓")),"")</f>
        <v/>
      </c>
      <c r="BA3696" s="21" t="str">
        <f>IF($AL3696="","",$AL3696&amp;"|"&amp;COUNTIF($AL$11:$AL3696,$AL3696))</f>
        <v/>
      </c>
    </row>
    <row r="3697" spans="38:53" ht="15" customHeight="1" x14ac:dyDescent="0.25">
      <c r="AL3697" s="17"/>
      <c r="AM3697" s="12"/>
      <c r="AN3697" s="18"/>
      <c r="AO3697" s="18"/>
      <c r="AP3697" s="10"/>
      <c r="AQ3697" s="10"/>
      <c r="AR3697" s="19"/>
      <c r="AS3697" s="20"/>
      <c r="AT3697" s="19"/>
      <c r="AV3697" s="21">
        <f>IF(AND($AL3697&lt;&gt;"",COUNTIF($AL$11:$AL3697,$AL3697)=1),1,0)</f>
        <v>0</v>
      </c>
      <c r="AW3697" s="21">
        <f t="shared" si="201"/>
        <v>0</v>
      </c>
      <c r="AX3697" s="21" t="str">
        <f t="shared" si="200"/>
        <v/>
      </c>
      <c r="AY3697" s="21" t="str">
        <f>IF(AND($AM3697&lt;&gt;"",$AS3697&lt;&gt;"✓"),SUMPRODUCT(($AM$11:$AM3697&lt;&gt;"")*($AS$11:$AS3697&lt;&gt;"✓")),"")</f>
        <v/>
      </c>
      <c r="AZ3697" s="21" t="str">
        <f>IF(AND($AM3697&lt;&gt;"",$AS3697="✓"),SUMPRODUCT(($AM$11:$AM3697&lt;&gt;"")*($AS$11:$AS3697="✓")),"")</f>
        <v/>
      </c>
      <c r="BA3697" s="21" t="str">
        <f>IF($AL3697="","",$AL3697&amp;"|"&amp;COUNTIF($AL$11:$AL3697,$AL3697))</f>
        <v/>
      </c>
    </row>
    <row r="3698" spans="38:53" ht="15" customHeight="1" x14ac:dyDescent="0.25">
      <c r="AL3698" s="31"/>
      <c r="AM3698" s="26"/>
      <c r="AN3698" s="32"/>
      <c r="AO3698" s="32"/>
      <c r="AP3698" s="24"/>
      <c r="AQ3698" s="24"/>
      <c r="AR3698" s="33"/>
      <c r="AS3698" s="34"/>
      <c r="AT3698" s="33"/>
      <c r="AV3698" s="21">
        <f>IF(AND($AL3698&lt;&gt;"",COUNTIF($AL$11:$AL3698,$AL3698)=1),1,0)</f>
        <v>0</v>
      </c>
      <c r="AW3698" s="21">
        <f t="shared" si="201"/>
        <v>0</v>
      </c>
      <c r="AX3698" s="21" t="str">
        <f t="shared" si="200"/>
        <v/>
      </c>
      <c r="AY3698" s="21" t="str">
        <f>IF(AND($AM3698&lt;&gt;"",$AS3698&lt;&gt;"✓"),SUMPRODUCT(($AM$11:$AM3698&lt;&gt;"")*($AS$11:$AS3698&lt;&gt;"✓")),"")</f>
        <v/>
      </c>
      <c r="AZ3698" s="21" t="str">
        <f>IF(AND($AM3698&lt;&gt;"",$AS3698="✓"),SUMPRODUCT(($AM$11:$AM3698&lt;&gt;"")*($AS$11:$AS3698="✓")),"")</f>
        <v/>
      </c>
      <c r="BA3698" s="21" t="str">
        <f>IF($AL3698="","",$AL3698&amp;"|"&amp;COUNTIF($AL$11:$AL3698,$AL3698))</f>
        <v/>
      </c>
    </row>
    <row r="3699" spans="38:53" ht="15" customHeight="1" x14ac:dyDescent="0.25">
      <c r="AL3699" s="17"/>
      <c r="AM3699" s="12"/>
      <c r="AN3699" s="18"/>
      <c r="AO3699" s="18"/>
      <c r="AP3699" s="10"/>
      <c r="AQ3699" s="10"/>
      <c r="AR3699" s="19"/>
      <c r="AS3699" s="20"/>
      <c r="AT3699" s="19"/>
      <c r="AV3699" s="21">
        <f>IF(AND($AL3699&lt;&gt;"",COUNTIF($AL$11:$AL3699,$AL3699)=1),1,0)</f>
        <v>0</v>
      </c>
      <c r="AW3699" s="21">
        <f t="shared" si="201"/>
        <v>0</v>
      </c>
      <c r="AX3699" s="21" t="str">
        <f t="shared" si="200"/>
        <v/>
      </c>
      <c r="AY3699" s="21" t="str">
        <f>IF(AND($AM3699&lt;&gt;"",$AS3699&lt;&gt;"✓"),SUMPRODUCT(($AM$11:$AM3699&lt;&gt;"")*($AS$11:$AS3699&lt;&gt;"✓")),"")</f>
        <v/>
      </c>
      <c r="AZ3699" s="21" t="str">
        <f>IF(AND($AM3699&lt;&gt;"",$AS3699="✓"),SUMPRODUCT(($AM$11:$AM3699&lt;&gt;"")*($AS$11:$AS3699="✓")),"")</f>
        <v/>
      </c>
      <c r="BA3699" s="21" t="str">
        <f>IF($AL3699="","",$AL3699&amp;"|"&amp;COUNTIF($AL$11:$AL3699,$AL3699))</f>
        <v/>
      </c>
    </row>
    <row r="3700" spans="38:53" ht="15" customHeight="1" x14ac:dyDescent="0.25">
      <c r="AL3700" s="31"/>
      <c r="AM3700" s="26"/>
      <c r="AN3700" s="32"/>
      <c r="AO3700" s="32"/>
      <c r="AP3700" s="24"/>
      <c r="AQ3700" s="24"/>
      <c r="AR3700" s="33"/>
      <c r="AS3700" s="34"/>
      <c r="AT3700" s="33"/>
      <c r="AV3700" s="21">
        <f>IF(AND($AL3700&lt;&gt;"",COUNTIF($AL$11:$AL3700,$AL3700)=1),1,0)</f>
        <v>0</v>
      </c>
      <c r="AW3700" s="21">
        <f t="shared" si="201"/>
        <v>0</v>
      </c>
      <c r="AX3700" s="21" t="str">
        <f t="shared" si="200"/>
        <v/>
      </c>
      <c r="AY3700" s="21" t="str">
        <f>IF(AND($AM3700&lt;&gt;"",$AS3700&lt;&gt;"✓"),SUMPRODUCT(($AM$11:$AM3700&lt;&gt;"")*($AS$11:$AS3700&lt;&gt;"✓")),"")</f>
        <v/>
      </c>
      <c r="AZ3700" s="21" t="str">
        <f>IF(AND($AM3700&lt;&gt;"",$AS3700="✓"),SUMPRODUCT(($AM$11:$AM3700&lt;&gt;"")*($AS$11:$AS3700="✓")),"")</f>
        <v/>
      </c>
      <c r="BA3700" s="21" t="str">
        <f>IF($AL3700="","",$AL3700&amp;"|"&amp;COUNTIF($AL$11:$AL3700,$AL3700))</f>
        <v/>
      </c>
    </row>
    <row r="3701" spans="38:53" ht="15" customHeight="1" x14ac:dyDescent="0.25">
      <c r="AL3701" s="17"/>
      <c r="AM3701" s="12"/>
      <c r="AN3701" s="18"/>
      <c r="AO3701" s="18"/>
      <c r="AP3701" s="10"/>
      <c r="AQ3701" s="10"/>
      <c r="AR3701" s="19"/>
      <c r="AS3701" s="20"/>
      <c r="AT3701" s="19"/>
      <c r="AV3701" s="21">
        <f>IF(AND($AL3701&lt;&gt;"",COUNTIF($AL$11:$AL3701,$AL3701)=1),1,0)</f>
        <v>0</v>
      </c>
      <c r="AW3701" s="21">
        <f t="shared" si="201"/>
        <v>0</v>
      </c>
      <c r="AX3701" s="21" t="str">
        <f t="shared" si="200"/>
        <v/>
      </c>
      <c r="AY3701" s="21" t="str">
        <f>IF(AND($AM3701&lt;&gt;"",$AS3701&lt;&gt;"✓"),SUMPRODUCT(($AM$11:$AM3701&lt;&gt;"")*($AS$11:$AS3701&lt;&gt;"✓")),"")</f>
        <v/>
      </c>
      <c r="AZ3701" s="21" t="str">
        <f>IF(AND($AM3701&lt;&gt;"",$AS3701="✓"),SUMPRODUCT(($AM$11:$AM3701&lt;&gt;"")*($AS$11:$AS3701="✓")),"")</f>
        <v/>
      </c>
      <c r="BA3701" s="21" t="str">
        <f>IF($AL3701="","",$AL3701&amp;"|"&amp;COUNTIF($AL$11:$AL3701,$AL3701))</f>
        <v/>
      </c>
    </row>
    <row r="3702" spans="38:53" ht="15" customHeight="1" x14ac:dyDescent="0.25">
      <c r="AL3702" s="31"/>
      <c r="AM3702" s="26"/>
      <c r="AN3702" s="32"/>
      <c r="AO3702" s="32"/>
      <c r="AP3702" s="24"/>
      <c r="AQ3702" s="24"/>
      <c r="AR3702" s="33"/>
      <c r="AS3702" s="34"/>
      <c r="AT3702" s="33"/>
      <c r="AV3702" s="21">
        <f>IF(AND($AL3702&lt;&gt;"",COUNTIF($AL$11:$AL3702,$AL3702)=1),1,0)</f>
        <v>0</v>
      </c>
      <c r="AW3702" s="21">
        <f t="shared" si="201"/>
        <v>0</v>
      </c>
      <c r="AX3702" s="21" t="str">
        <f t="shared" si="200"/>
        <v/>
      </c>
      <c r="AY3702" s="21" t="str">
        <f>IF(AND($AM3702&lt;&gt;"",$AS3702&lt;&gt;"✓"),SUMPRODUCT(($AM$11:$AM3702&lt;&gt;"")*($AS$11:$AS3702&lt;&gt;"✓")),"")</f>
        <v/>
      </c>
      <c r="AZ3702" s="21" t="str">
        <f>IF(AND($AM3702&lt;&gt;"",$AS3702="✓"),SUMPRODUCT(($AM$11:$AM3702&lt;&gt;"")*($AS$11:$AS3702="✓")),"")</f>
        <v/>
      </c>
      <c r="BA3702" s="21" t="str">
        <f>IF($AL3702="","",$AL3702&amp;"|"&amp;COUNTIF($AL$11:$AL3702,$AL3702))</f>
        <v/>
      </c>
    </row>
    <row r="3703" spans="38:53" ht="15" customHeight="1" x14ac:dyDescent="0.25">
      <c r="AL3703" s="17"/>
      <c r="AM3703" s="12"/>
      <c r="AN3703" s="18"/>
      <c r="AO3703" s="18"/>
      <c r="AP3703" s="10"/>
      <c r="AQ3703" s="10"/>
      <c r="AR3703" s="19"/>
      <c r="AS3703" s="20"/>
      <c r="AT3703" s="19"/>
      <c r="AV3703" s="21">
        <f>IF(AND($AL3703&lt;&gt;"",COUNTIF($AL$11:$AL3703,$AL3703)=1),1,0)</f>
        <v>0</v>
      </c>
      <c r="AW3703" s="21">
        <f t="shared" si="201"/>
        <v>0</v>
      </c>
      <c r="AX3703" s="21" t="str">
        <f t="shared" si="200"/>
        <v/>
      </c>
      <c r="AY3703" s="21" t="str">
        <f>IF(AND($AM3703&lt;&gt;"",$AS3703&lt;&gt;"✓"),SUMPRODUCT(($AM$11:$AM3703&lt;&gt;"")*($AS$11:$AS3703&lt;&gt;"✓")),"")</f>
        <v/>
      </c>
      <c r="AZ3703" s="21" t="str">
        <f>IF(AND($AM3703&lt;&gt;"",$AS3703="✓"),SUMPRODUCT(($AM$11:$AM3703&lt;&gt;"")*($AS$11:$AS3703="✓")),"")</f>
        <v/>
      </c>
      <c r="BA3703" s="21" t="str">
        <f>IF($AL3703="","",$AL3703&amp;"|"&amp;COUNTIF($AL$11:$AL3703,$AL3703))</f>
        <v/>
      </c>
    </row>
    <row r="3704" spans="38:53" ht="15" customHeight="1" x14ac:dyDescent="0.25">
      <c r="AL3704" s="31"/>
      <c r="AM3704" s="26"/>
      <c r="AN3704" s="32"/>
      <c r="AO3704" s="32"/>
      <c r="AP3704" s="24"/>
      <c r="AQ3704" s="24"/>
      <c r="AR3704" s="33"/>
      <c r="AS3704" s="34"/>
      <c r="AT3704" s="33"/>
      <c r="AV3704" s="21">
        <f>IF(AND($AL3704&lt;&gt;"",COUNTIF($AL$11:$AL3704,$AL3704)=1),1,0)</f>
        <v>0</v>
      </c>
      <c r="AW3704" s="21">
        <f t="shared" si="201"/>
        <v>0</v>
      </c>
      <c r="AX3704" s="21" t="str">
        <f t="shared" si="200"/>
        <v/>
      </c>
      <c r="AY3704" s="21" t="str">
        <f>IF(AND($AM3704&lt;&gt;"",$AS3704&lt;&gt;"✓"),SUMPRODUCT(($AM$11:$AM3704&lt;&gt;"")*($AS$11:$AS3704&lt;&gt;"✓")),"")</f>
        <v/>
      </c>
      <c r="AZ3704" s="21" t="str">
        <f>IF(AND($AM3704&lt;&gt;"",$AS3704="✓"),SUMPRODUCT(($AM$11:$AM3704&lt;&gt;"")*($AS$11:$AS3704="✓")),"")</f>
        <v/>
      </c>
      <c r="BA3704" s="21" t="str">
        <f>IF($AL3704="","",$AL3704&amp;"|"&amp;COUNTIF($AL$11:$AL3704,$AL3704))</f>
        <v/>
      </c>
    </row>
    <row r="3705" spans="38:53" ht="15" customHeight="1" x14ac:dyDescent="0.25">
      <c r="AL3705" s="17"/>
      <c r="AM3705" s="12"/>
      <c r="AN3705" s="18"/>
      <c r="AO3705" s="18"/>
      <c r="AP3705" s="10"/>
      <c r="AQ3705" s="10"/>
      <c r="AR3705" s="19"/>
      <c r="AS3705" s="20"/>
      <c r="AT3705" s="19"/>
      <c r="AV3705" s="21">
        <f>IF(AND($AL3705&lt;&gt;"",COUNTIF($AL$11:$AL3705,$AL3705)=1),1,0)</f>
        <v>0</v>
      </c>
      <c r="AW3705" s="21">
        <f t="shared" si="201"/>
        <v>0</v>
      </c>
      <c r="AX3705" s="21" t="str">
        <f t="shared" si="200"/>
        <v/>
      </c>
      <c r="AY3705" s="21" t="str">
        <f>IF(AND($AM3705&lt;&gt;"",$AS3705&lt;&gt;"✓"),SUMPRODUCT(($AM$11:$AM3705&lt;&gt;"")*($AS$11:$AS3705&lt;&gt;"✓")),"")</f>
        <v/>
      </c>
      <c r="AZ3705" s="21" t="str">
        <f>IF(AND($AM3705&lt;&gt;"",$AS3705="✓"),SUMPRODUCT(($AM$11:$AM3705&lt;&gt;"")*($AS$11:$AS3705="✓")),"")</f>
        <v/>
      </c>
      <c r="BA3705" s="21" t="str">
        <f>IF($AL3705="","",$AL3705&amp;"|"&amp;COUNTIF($AL$11:$AL3705,$AL3705))</f>
        <v/>
      </c>
    </row>
    <row r="3706" spans="38:53" ht="15" customHeight="1" x14ac:dyDescent="0.25">
      <c r="AL3706" s="31"/>
      <c r="AM3706" s="26"/>
      <c r="AN3706" s="32"/>
      <c r="AO3706" s="32"/>
      <c r="AP3706" s="24"/>
      <c r="AQ3706" s="24"/>
      <c r="AR3706" s="33"/>
      <c r="AS3706" s="34"/>
      <c r="AT3706" s="33"/>
      <c r="AV3706" s="21">
        <f>IF(AND($AL3706&lt;&gt;"",COUNTIF($AL$11:$AL3706,$AL3706)=1),1,0)</f>
        <v>0</v>
      </c>
      <c r="AW3706" s="21">
        <f t="shared" si="201"/>
        <v>0</v>
      </c>
      <c r="AX3706" s="21" t="str">
        <f t="shared" si="200"/>
        <v/>
      </c>
      <c r="AY3706" s="21" t="str">
        <f>IF(AND($AM3706&lt;&gt;"",$AS3706&lt;&gt;"✓"),SUMPRODUCT(($AM$11:$AM3706&lt;&gt;"")*($AS$11:$AS3706&lt;&gt;"✓")),"")</f>
        <v/>
      </c>
      <c r="AZ3706" s="21" t="str">
        <f>IF(AND($AM3706&lt;&gt;"",$AS3706="✓"),SUMPRODUCT(($AM$11:$AM3706&lt;&gt;"")*($AS$11:$AS3706="✓")),"")</f>
        <v/>
      </c>
      <c r="BA3706" s="21" t="str">
        <f>IF($AL3706="","",$AL3706&amp;"|"&amp;COUNTIF($AL$11:$AL3706,$AL3706))</f>
        <v/>
      </c>
    </row>
    <row r="3707" spans="38:53" ht="15" customHeight="1" x14ac:dyDescent="0.25">
      <c r="AL3707" s="17"/>
      <c r="AM3707" s="12"/>
      <c r="AN3707" s="18"/>
      <c r="AO3707" s="18"/>
      <c r="AP3707" s="10"/>
      <c r="AQ3707" s="10"/>
      <c r="AR3707" s="19"/>
      <c r="AS3707" s="20"/>
      <c r="AT3707" s="19"/>
      <c r="AV3707" s="21">
        <f>IF(AND($AL3707&lt;&gt;"",COUNTIF($AL$11:$AL3707,$AL3707)=1),1,0)</f>
        <v>0</v>
      </c>
      <c r="AW3707" s="21">
        <f t="shared" si="201"/>
        <v>0</v>
      </c>
      <c r="AX3707" s="21" t="str">
        <f t="shared" si="200"/>
        <v/>
      </c>
      <c r="AY3707" s="21" t="str">
        <f>IF(AND($AM3707&lt;&gt;"",$AS3707&lt;&gt;"✓"),SUMPRODUCT(($AM$11:$AM3707&lt;&gt;"")*($AS$11:$AS3707&lt;&gt;"✓")),"")</f>
        <v/>
      </c>
      <c r="AZ3707" s="21" t="str">
        <f>IF(AND($AM3707&lt;&gt;"",$AS3707="✓"),SUMPRODUCT(($AM$11:$AM3707&lt;&gt;"")*($AS$11:$AS3707="✓")),"")</f>
        <v/>
      </c>
      <c r="BA3707" s="21" t="str">
        <f>IF($AL3707="","",$AL3707&amp;"|"&amp;COUNTIF($AL$11:$AL3707,$AL3707))</f>
        <v/>
      </c>
    </row>
    <row r="3708" spans="38:53" ht="15" customHeight="1" x14ac:dyDescent="0.25">
      <c r="AL3708" s="31"/>
      <c r="AM3708" s="26"/>
      <c r="AN3708" s="32"/>
      <c r="AO3708" s="32"/>
      <c r="AP3708" s="24"/>
      <c r="AQ3708" s="24"/>
      <c r="AR3708" s="33"/>
      <c r="AS3708" s="34"/>
      <c r="AT3708" s="33"/>
      <c r="AV3708" s="21">
        <f>IF(AND($AL3708&lt;&gt;"",COUNTIF($AL$11:$AL3708,$AL3708)=1),1,0)</f>
        <v>0</v>
      </c>
      <c r="AW3708" s="21">
        <f t="shared" si="201"/>
        <v>0</v>
      </c>
      <c r="AX3708" s="21" t="str">
        <f t="shared" si="200"/>
        <v/>
      </c>
      <c r="AY3708" s="21" t="str">
        <f>IF(AND($AM3708&lt;&gt;"",$AS3708&lt;&gt;"✓"),SUMPRODUCT(($AM$11:$AM3708&lt;&gt;"")*($AS$11:$AS3708&lt;&gt;"✓")),"")</f>
        <v/>
      </c>
      <c r="AZ3708" s="21" t="str">
        <f>IF(AND($AM3708&lt;&gt;"",$AS3708="✓"),SUMPRODUCT(($AM$11:$AM3708&lt;&gt;"")*($AS$11:$AS3708="✓")),"")</f>
        <v/>
      </c>
      <c r="BA3708" s="21" t="str">
        <f>IF($AL3708="","",$AL3708&amp;"|"&amp;COUNTIF($AL$11:$AL3708,$AL3708))</f>
        <v/>
      </c>
    </row>
    <row r="3709" spans="38:53" ht="15" customHeight="1" x14ac:dyDescent="0.25">
      <c r="AL3709" s="17"/>
      <c r="AM3709" s="12"/>
      <c r="AN3709" s="18"/>
      <c r="AO3709" s="18"/>
      <c r="AP3709" s="10"/>
      <c r="AQ3709" s="10"/>
      <c r="AR3709" s="19"/>
      <c r="AS3709" s="20"/>
      <c r="AT3709" s="19"/>
      <c r="AV3709" s="21">
        <f>IF(AND($AL3709&lt;&gt;"",COUNTIF($AL$11:$AL3709,$AL3709)=1),1,0)</f>
        <v>0</v>
      </c>
      <c r="AW3709" s="21">
        <f t="shared" si="201"/>
        <v>0</v>
      </c>
      <c r="AX3709" s="21" t="str">
        <f t="shared" si="200"/>
        <v/>
      </c>
      <c r="AY3709" s="21" t="str">
        <f>IF(AND($AM3709&lt;&gt;"",$AS3709&lt;&gt;"✓"),SUMPRODUCT(($AM$11:$AM3709&lt;&gt;"")*($AS$11:$AS3709&lt;&gt;"✓")),"")</f>
        <v/>
      </c>
      <c r="AZ3709" s="21" t="str">
        <f>IF(AND($AM3709&lt;&gt;"",$AS3709="✓"),SUMPRODUCT(($AM$11:$AM3709&lt;&gt;"")*($AS$11:$AS3709="✓")),"")</f>
        <v/>
      </c>
      <c r="BA3709" s="21" t="str">
        <f>IF($AL3709="","",$AL3709&amp;"|"&amp;COUNTIF($AL$11:$AL3709,$AL3709))</f>
        <v/>
      </c>
    </row>
    <row r="3710" spans="38:53" ht="15" customHeight="1" x14ac:dyDescent="0.25">
      <c r="AL3710" s="31"/>
      <c r="AM3710" s="26"/>
      <c r="AN3710" s="32"/>
      <c r="AO3710" s="32"/>
      <c r="AP3710" s="24"/>
      <c r="AQ3710" s="24"/>
      <c r="AR3710" s="33"/>
      <c r="AS3710" s="34"/>
      <c r="AT3710" s="33"/>
      <c r="AV3710" s="21">
        <f>IF(AND($AL3710&lt;&gt;"",COUNTIF($AL$11:$AL3710,$AL3710)=1),1,0)</f>
        <v>0</v>
      </c>
      <c r="AW3710" s="21">
        <f t="shared" si="201"/>
        <v>0</v>
      </c>
      <c r="AX3710" s="21" t="str">
        <f t="shared" si="200"/>
        <v/>
      </c>
      <c r="AY3710" s="21" t="str">
        <f>IF(AND($AM3710&lt;&gt;"",$AS3710&lt;&gt;"✓"),SUMPRODUCT(($AM$11:$AM3710&lt;&gt;"")*($AS$11:$AS3710&lt;&gt;"✓")),"")</f>
        <v/>
      </c>
      <c r="AZ3710" s="21" t="str">
        <f>IF(AND($AM3710&lt;&gt;"",$AS3710="✓"),SUMPRODUCT(($AM$11:$AM3710&lt;&gt;"")*($AS$11:$AS3710="✓")),"")</f>
        <v/>
      </c>
      <c r="BA3710" s="21" t="str">
        <f>IF($AL3710="","",$AL3710&amp;"|"&amp;COUNTIF($AL$11:$AL3710,$AL3710))</f>
        <v/>
      </c>
    </row>
    <row r="3711" spans="38:53" ht="15" customHeight="1" x14ac:dyDescent="0.25">
      <c r="AL3711" s="17"/>
      <c r="AM3711" s="12"/>
      <c r="AN3711" s="18"/>
      <c r="AO3711" s="18"/>
      <c r="AP3711" s="10"/>
      <c r="AQ3711" s="10"/>
      <c r="AR3711" s="19"/>
      <c r="AS3711" s="20"/>
      <c r="AT3711" s="19"/>
      <c r="AV3711" s="21">
        <f>IF(AND($AL3711&lt;&gt;"",COUNTIF($AL$11:$AL3711,$AL3711)=1),1,0)</f>
        <v>0</v>
      </c>
      <c r="AW3711" s="21">
        <f t="shared" si="201"/>
        <v>0</v>
      </c>
      <c r="AX3711" s="21" t="str">
        <f t="shared" si="200"/>
        <v/>
      </c>
      <c r="AY3711" s="21" t="str">
        <f>IF(AND($AM3711&lt;&gt;"",$AS3711&lt;&gt;"✓"),SUMPRODUCT(($AM$11:$AM3711&lt;&gt;"")*($AS$11:$AS3711&lt;&gt;"✓")),"")</f>
        <v/>
      </c>
      <c r="AZ3711" s="21" t="str">
        <f>IF(AND($AM3711&lt;&gt;"",$AS3711="✓"),SUMPRODUCT(($AM$11:$AM3711&lt;&gt;"")*($AS$11:$AS3711="✓")),"")</f>
        <v/>
      </c>
      <c r="BA3711" s="21" t="str">
        <f>IF($AL3711="","",$AL3711&amp;"|"&amp;COUNTIF($AL$11:$AL3711,$AL3711))</f>
        <v/>
      </c>
    </row>
    <row r="3712" spans="38:53" ht="15" customHeight="1" x14ac:dyDescent="0.25">
      <c r="AL3712" s="31"/>
      <c r="AM3712" s="26"/>
      <c r="AN3712" s="32"/>
      <c r="AO3712" s="32"/>
      <c r="AP3712" s="24"/>
      <c r="AQ3712" s="24"/>
      <c r="AR3712" s="33"/>
      <c r="AS3712" s="34"/>
      <c r="AT3712" s="33"/>
      <c r="AV3712" s="21">
        <f>IF(AND($AL3712&lt;&gt;"",COUNTIF($AL$11:$AL3712,$AL3712)=1),1,0)</f>
        <v>0</v>
      </c>
      <c r="AW3712" s="21">
        <f t="shared" si="201"/>
        <v>0</v>
      </c>
      <c r="AX3712" s="21" t="str">
        <f t="shared" si="200"/>
        <v/>
      </c>
      <c r="AY3712" s="21" t="str">
        <f>IF(AND($AM3712&lt;&gt;"",$AS3712&lt;&gt;"✓"),SUMPRODUCT(($AM$11:$AM3712&lt;&gt;"")*($AS$11:$AS3712&lt;&gt;"✓")),"")</f>
        <v/>
      </c>
      <c r="AZ3712" s="21" t="str">
        <f>IF(AND($AM3712&lt;&gt;"",$AS3712="✓"),SUMPRODUCT(($AM$11:$AM3712&lt;&gt;"")*($AS$11:$AS3712="✓")),"")</f>
        <v/>
      </c>
      <c r="BA3712" s="21" t="str">
        <f>IF($AL3712="","",$AL3712&amp;"|"&amp;COUNTIF($AL$11:$AL3712,$AL3712))</f>
        <v/>
      </c>
    </row>
    <row r="3713" spans="38:53" ht="15" customHeight="1" x14ac:dyDescent="0.25">
      <c r="AL3713" s="17"/>
      <c r="AM3713" s="12"/>
      <c r="AN3713" s="18"/>
      <c r="AO3713" s="18"/>
      <c r="AP3713" s="10"/>
      <c r="AQ3713" s="10"/>
      <c r="AR3713" s="19"/>
      <c r="AS3713" s="20"/>
      <c r="AT3713" s="19"/>
      <c r="AV3713" s="21">
        <f>IF(AND($AL3713&lt;&gt;"",COUNTIF($AL$11:$AL3713,$AL3713)=1),1,0)</f>
        <v>0</v>
      </c>
      <c r="AW3713" s="21">
        <f t="shared" si="201"/>
        <v>0</v>
      </c>
      <c r="AX3713" s="21" t="str">
        <f t="shared" si="200"/>
        <v/>
      </c>
      <c r="AY3713" s="21" t="str">
        <f>IF(AND($AM3713&lt;&gt;"",$AS3713&lt;&gt;"✓"),SUMPRODUCT(($AM$11:$AM3713&lt;&gt;"")*($AS$11:$AS3713&lt;&gt;"✓")),"")</f>
        <v/>
      </c>
      <c r="AZ3713" s="21" t="str">
        <f>IF(AND($AM3713&lt;&gt;"",$AS3713="✓"),SUMPRODUCT(($AM$11:$AM3713&lt;&gt;"")*($AS$11:$AS3713="✓")),"")</f>
        <v/>
      </c>
      <c r="BA3713" s="21" t="str">
        <f>IF($AL3713="","",$AL3713&amp;"|"&amp;COUNTIF($AL$11:$AL3713,$AL3713))</f>
        <v/>
      </c>
    </row>
    <row r="3714" spans="38:53" ht="15" customHeight="1" x14ac:dyDescent="0.25">
      <c r="AL3714" s="31"/>
      <c r="AM3714" s="26"/>
      <c r="AN3714" s="32"/>
      <c r="AO3714" s="32"/>
      <c r="AP3714" s="24"/>
      <c r="AQ3714" s="24"/>
      <c r="AR3714" s="33"/>
      <c r="AS3714" s="34"/>
      <c r="AT3714" s="33"/>
      <c r="AV3714" s="21">
        <f>IF(AND($AL3714&lt;&gt;"",COUNTIF($AL$11:$AL3714,$AL3714)=1),1,0)</f>
        <v>0</v>
      </c>
      <c r="AW3714" s="21">
        <f t="shared" si="201"/>
        <v>0</v>
      </c>
      <c r="AX3714" s="21" t="str">
        <f t="shared" si="200"/>
        <v/>
      </c>
      <c r="AY3714" s="21" t="str">
        <f>IF(AND($AM3714&lt;&gt;"",$AS3714&lt;&gt;"✓"),SUMPRODUCT(($AM$11:$AM3714&lt;&gt;"")*($AS$11:$AS3714&lt;&gt;"✓")),"")</f>
        <v/>
      </c>
      <c r="AZ3714" s="21" t="str">
        <f>IF(AND($AM3714&lt;&gt;"",$AS3714="✓"),SUMPRODUCT(($AM$11:$AM3714&lt;&gt;"")*($AS$11:$AS3714="✓")),"")</f>
        <v/>
      </c>
      <c r="BA3714" s="21" t="str">
        <f>IF($AL3714="","",$AL3714&amp;"|"&amp;COUNTIF($AL$11:$AL3714,$AL3714))</f>
        <v/>
      </c>
    </row>
    <row r="3715" spans="38:53" ht="15" customHeight="1" x14ac:dyDescent="0.25">
      <c r="AL3715" s="17"/>
      <c r="AM3715" s="12"/>
      <c r="AN3715" s="18"/>
      <c r="AO3715" s="18"/>
      <c r="AP3715" s="10"/>
      <c r="AQ3715" s="10"/>
      <c r="AR3715" s="19"/>
      <c r="AS3715" s="20"/>
      <c r="AT3715" s="19"/>
      <c r="AV3715" s="21">
        <f>IF(AND($AL3715&lt;&gt;"",COUNTIF($AL$11:$AL3715,$AL3715)=1),1,0)</f>
        <v>0</v>
      </c>
      <c r="AW3715" s="21">
        <f t="shared" si="201"/>
        <v>0</v>
      </c>
      <c r="AX3715" s="21" t="str">
        <f t="shared" si="200"/>
        <v/>
      </c>
      <c r="AY3715" s="21" t="str">
        <f>IF(AND($AM3715&lt;&gt;"",$AS3715&lt;&gt;"✓"),SUMPRODUCT(($AM$11:$AM3715&lt;&gt;"")*($AS$11:$AS3715&lt;&gt;"✓")),"")</f>
        <v/>
      </c>
      <c r="AZ3715" s="21" t="str">
        <f>IF(AND($AM3715&lt;&gt;"",$AS3715="✓"),SUMPRODUCT(($AM$11:$AM3715&lt;&gt;"")*($AS$11:$AS3715="✓")),"")</f>
        <v/>
      </c>
      <c r="BA3715" s="21" t="str">
        <f>IF($AL3715="","",$AL3715&amp;"|"&amp;COUNTIF($AL$11:$AL3715,$AL3715))</f>
        <v/>
      </c>
    </row>
    <row r="3716" spans="38:53" ht="15" customHeight="1" x14ac:dyDescent="0.25">
      <c r="AL3716" s="31"/>
      <c r="AM3716" s="26"/>
      <c r="AN3716" s="32"/>
      <c r="AO3716" s="32"/>
      <c r="AP3716" s="24"/>
      <c r="AQ3716" s="24"/>
      <c r="AR3716" s="33"/>
      <c r="AS3716" s="34"/>
      <c r="AT3716" s="33"/>
      <c r="AV3716" s="21">
        <f>IF(AND($AL3716&lt;&gt;"",COUNTIF($AL$11:$AL3716,$AL3716)=1),1,0)</f>
        <v>0</v>
      </c>
      <c r="AW3716" s="21">
        <f t="shared" si="201"/>
        <v>0</v>
      </c>
      <c r="AX3716" s="21" t="str">
        <f t="shared" si="200"/>
        <v/>
      </c>
      <c r="AY3716" s="21" t="str">
        <f>IF(AND($AM3716&lt;&gt;"",$AS3716&lt;&gt;"✓"),SUMPRODUCT(($AM$11:$AM3716&lt;&gt;"")*($AS$11:$AS3716&lt;&gt;"✓")),"")</f>
        <v/>
      </c>
      <c r="AZ3716" s="21" t="str">
        <f>IF(AND($AM3716&lt;&gt;"",$AS3716="✓"),SUMPRODUCT(($AM$11:$AM3716&lt;&gt;"")*($AS$11:$AS3716="✓")),"")</f>
        <v/>
      </c>
      <c r="BA3716" s="21" t="str">
        <f>IF($AL3716="","",$AL3716&amp;"|"&amp;COUNTIF($AL$11:$AL3716,$AL3716))</f>
        <v/>
      </c>
    </row>
    <row r="3717" spans="38:53" ht="15" customHeight="1" x14ac:dyDescent="0.25">
      <c r="AL3717" s="17"/>
      <c r="AM3717" s="12"/>
      <c r="AN3717" s="18"/>
      <c r="AO3717" s="18"/>
      <c r="AP3717" s="10"/>
      <c r="AQ3717" s="10"/>
      <c r="AR3717" s="19"/>
      <c r="AS3717" s="20"/>
      <c r="AT3717" s="19"/>
      <c r="AV3717" s="21">
        <f>IF(AND($AL3717&lt;&gt;"",COUNTIF($AL$11:$AL3717,$AL3717)=1),1,0)</f>
        <v>0</v>
      </c>
      <c r="AW3717" s="21">
        <f t="shared" si="201"/>
        <v>0</v>
      </c>
      <c r="AX3717" s="21" t="str">
        <f t="shared" si="200"/>
        <v/>
      </c>
      <c r="AY3717" s="21" t="str">
        <f>IF(AND($AM3717&lt;&gt;"",$AS3717&lt;&gt;"✓"),SUMPRODUCT(($AM$11:$AM3717&lt;&gt;"")*($AS$11:$AS3717&lt;&gt;"✓")),"")</f>
        <v/>
      </c>
      <c r="AZ3717" s="21" t="str">
        <f>IF(AND($AM3717&lt;&gt;"",$AS3717="✓"),SUMPRODUCT(($AM$11:$AM3717&lt;&gt;"")*($AS$11:$AS3717="✓")),"")</f>
        <v/>
      </c>
      <c r="BA3717" s="21" t="str">
        <f>IF($AL3717="","",$AL3717&amp;"|"&amp;COUNTIF($AL$11:$AL3717,$AL3717))</f>
        <v/>
      </c>
    </row>
    <row r="3718" spans="38:53" ht="15" customHeight="1" x14ac:dyDescent="0.25">
      <c r="AL3718" s="31"/>
      <c r="AM3718" s="26"/>
      <c r="AN3718" s="32"/>
      <c r="AO3718" s="32"/>
      <c r="AP3718" s="24"/>
      <c r="AQ3718" s="24"/>
      <c r="AR3718" s="33"/>
      <c r="AS3718" s="34"/>
      <c r="AT3718" s="33"/>
      <c r="AV3718" s="21">
        <f>IF(AND($AL3718&lt;&gt;"",COUNTIF($AL$11:$AL3718,$AL3718)=1),1,0)</f>
        <v>0</v>
      </c>
      <c r="AW3718" s="21">
        <f t="shared" si="201"/>
        <v>0</v>
      </c>
      <c r="AX3718" s="21" t="str">
        <f t="shared" si="200"/>
        <v/>
      </c>
      <c r="AY3718" s="21" t="str">
        <f>IF(AND($AM3718&lt;&gt;"",$AS3718&lt;&gt;"✓"),SUMPRODUCT(($AM$11:$AM3718&lt;&gt;"")*($AS$11:$AS3718&lt;&gt;"✓")),"")</f>
        <v/>
      </c>
      <c r="AZ3718" s="21" t="str">
        <f>IF(AND($AM3718&lt;&gt;"",$AS3718="✓"),SUMPRODUCT(($AM$11:$AM3718&lt;&gt;"")*($AS$11:$AS3718="✓")),"")</f>
        <v/>
      </c>
      <c r="BA3718" s="21" t="str">
        <f>IF($AL3718="","",$AL3718&amp;"|"&amp;COUNTIF($AL$11:$AL3718,$AL3718))</f>
        <v/>
      </c>
    </row>
    <row r="3719" spans="38:53" ht="15" customHeight="1" x14ac:dyDescent="0.25">
      <c r="AL3719" s="17"/>
      <c r="AM3719" s="12"/>
      <c r="AN3719" s="18"/>
      <c r="AO3719" s="18"/>
      <c r="AP3719" s="10"/>
      <c r="AQ3719" s="10"/>
      <c r="AR3719" s="19"/>
      <c r="AS3719" s="20"/>
      <c r="AT3719" s="19"/>
      <c r="AV3719" s="21">
        <f>IF(AND($AL3719&lt;&gt;"",COUNTIF($AL$11:$AL3719,$AL3719)=1),1,0)</f>
        <v>0</v>
      </c>
      <c r="AW3719" s="21">
        <f t="shared" si="201"/>
        <v>0</v>
      </c>
      <c r="AX3719" s="21" t="str">
        <f t="shared" si="200"/>
        <v/>
      </c>
      <c r="AY3719" s="21" t="str">
        <f>IF(AND($AM3719&lt;&gt;"",$AS3719&lt;&gt;"✓"),SUMPRODUCT(($AM$11:$AM3719&lt;&gt;"")*($AS$11:$AS3719&lt;&gt;"✓")),"")</f>
        <v/>
      </c>
      <c r="AZ3719" s="21" t="str">
        <f>IF(AND($AM3719&lt;&gt;"",$AS3719="✓"),SUMPRODUCT(($AM$11:$AM3719&lt;&gt;"")*($AS$11:$AS3719="✓")),"")</f>
        <v/>
      </c>
      <c r="BA3719" s="21" t="str">
        <f>IF($AL3719="","",$AL3719&amp;"|"&amp;COUNTIF($AL$11:$AL3719,$AL3719))</f>
        <v/>
      </c>
    </row>
    <row r="3720" spans="38:53" ht="15" customHeight="1" x14ac:dyDescent="0.25">
      <c r="AL3720" s="31"/>
      <c r="AM3720" s="26"/>
      <c r="AN3720" s="32"/>
      <c r="AO3720" s="32"/>
      <c r="AP3720" s="24"/>
      <c r="AQ3720" s="24"/>
      <c r="AR3720" s="33"/>
      <c r="AS3720" s="34"/>
      <c r="AT3720" s="33"/>
      <c r="AV3720" s="21">
        <f>IF(AND($AL3720&lt;&gt;"",COUNTIF($AL$11:$AL3720,$AL3720)=1),1,0)</f>
        <v>0</v>
      </c>
      <c r="AW3720" s="21">
        <f t="shared" si="201"/>
        <v>0</v>
      </c>
      <c r="AX3720" s="21" t="str">
        <f t="shared" si="200"/>
        <v/>
      </c>
      <c r="AY3720" s="21" t="str">
        <f>IF(AND($AM3720&lt;&gt;"",$AS3720&lt;&gt;"✓"),SUMPRODUCT(($AM$11:$AM3720&lt;&gt;"")*($AS$11:$AS3720&lt;&gt;"✓")),"")</f>
        <v/>
      </c>
      <c r="AZ3720" s="21" t="str">
        <f>IF(AND($AM3720&lt;&gt;"",$AS3720="✓"),SUMPRODUCT(($AM$11:$AM3720&lt;&gt;"")*($AS$11:$AS3720="✓")),"")</f>
        <v/>
      </c>
      <c r="BA3720" s="21" t="str">
        <f>IF($AL3720="","",$AL3720&amp;"|"&amp;COUNTIF($AL$11:$AL3720,$AL3720))</f>
        <v/>
      </c>
    </row>
    <row r="3721" spans="38:53" ht="15" customHeight="1" x14ac:dyDescent="0.25">
      <c r="AL3721" s="17"/>
      <c r="AM3721" s="12"/>
      <c r="AN3721" s="18"/>
      <c r="AO3721" s="18"/>
      <c r="AP3721" s="10"/>
      <c r="AQ3721" s="10"/>
      <c r="AR3721" s="19"/>
      <c r="AS3721" s="20"/>
      <c r="AT3721" s="19"/>
      <c r="AV3721" s="21">
        <f>IF(AND($AL3721&lt;&gt;"",COUNTIF($AL$11:$AL3721,$AL3721)=1),1,0)</f>
        <v>0</v>
      </c>
      <c r="AW3721" s="21">
        <f t="shared" si="201"/>
        <v>0</v>
      </c>
      <c r="AX3721" s="21" t="str">
        <f t="shared" si="200"/>
        <v/>
      </c>
      <c r="AY3721" s="21" t="str">
        <f>IF(AND($AM3721&lt;&gt;"",$AS3721&lt;&gt;"✓"),SUMPRODUCT(($AM$11:$AM3721&lt;&gt;"")*($AS$11:$AS3721&lt;&gt;"✓")),"")</f>
        <v/>
      </c>
      <c r="AZ3721" s="21" t="str">
        <f>IF(AND($AM3721&lt;&gt;"",$AS3721="✓"),SUMPRODUCT(($AM$11:$AM3721&lt;&gt;"")*($AS$11:$AS3721="✓")),"")</f>
        <v/>
      </c>
      <c r="BA3721" s="21" t="str">
        <f>IF($AL3721="","",$AL3721&amp;"|"&amp;COUNTIF($AL$11:$AL3721,$AL3721))</f>
        <v/>
      </c>
    </row>
    <row r="3722" spans="38:53" ht="15" customHeight="1" x14ac:dyDescent="0.25">
      <c r="AL3722" s="31"/>
      <c r="AM3722" s="26"/>
      <c r="AN3722" s="32"/>
      <c r="AO3722" s="32"/>
      <c r="AP3722" s="24"/>
      <c r="AQ3722" s="24"/>
      <c r="AR3722" s="33"/>
      <c r="AS3722" s="34"/>
      <c r="AT3722" s="33"/>
      <c r="AV3722" s="21">
        <f>IF(AND($AL3722&lt;&gt;"",COUNTIF($AL$11:$AL3722,$AL3722)=1),1,0)</f>
        <v>0</v>
      </c>
      <c r="AW3722" s="21">
        <f t="shared" si="201"/>
        <v>0</v>
      </c>
      <c r="AX3722" s="21" t="str">
        <f t="shared" si="200"/>
        <v/>
      </c>
      <c r="AY3722" s="21" t="str">
        <f>IF(AND($AM3722&lt;&gt;"",$AS3722&lt;&gt;"✓"),SUMPRODUCT(($AM$11:$AM3722&lt;&gt;"")*($AS$11:$AS3722&lt;&gt;"✓")),"")</f>
        <v/>
      </c>
      <c r="AZ3722" s="21" t="str">
        <f>IF(AND($AM3722&lt;&gt;"",$AS3722="✓"),SUMPRODUCT(($AM$11:$AM3722&lt;&gt;"")*($AS$11:$AS3722="✓")),"")</f>
        <v/>
      </c>
      <c r="BA3722" s="21" t="str">
        <f>IF($AL3722="","",$AL3722&amp;"|"&amp;COUNTIF($AL$11:$AL3722,$AL3722))</f>
        <v/>
      </c>
    </row>
    <row r="3723" spans="38:53" ht="15" customHeight="1" x14ac:dyDescent="0.25">
      <c r="AL3723" s="17"/>
      <c r="AM3723" s="12"/>
      <c r="AN3723" s="18"/>
      <c r="AO3723" s="18"/>
      <c r="AP3723" s="10"/>
      <c r="AQ3723" s="10"/>
      <c r="AR3723" s="19"/>
      <c r="AS3723" s="20"/>
      <c r="AT3723" s="19"/>
      <c r="AV3723" s="21">
        <f>IF(AND($AL3723&lt;&gt;"",COUNTIF($AL$11:$AL3723,$AL3723)=1),1,0)</f>
        <v>0</v>
      </c>
      <c r="AW3723" s="21">
        <f t="shared" si="201"/>
        <v>0</v>
      </c>
      <c r="AX3723" s="21" t="str">
        <f t="shared" ref="AX3723:AX3786" si="202">IF(AV3723=1,AW3723,"")</f>
        <v/>
      </c>
      <c r="AY3723" s="21" t="str">
        <f>IF(AND($AM3723&lt;&gt;"",$AS3723&lt;&gt;"✓"),SUMPRODUCT(($AM$11:$AM3723&lt;&gt;"")*($AS$11:$AS3723&lt;&gt;"✓")),"")</f>
        <v/>
      </c>
      <c r="AZ3723" s="21" t="str">
        <f>IF(AND($AM3723&lt;&gt;"",$AS3723="✓"),SUMPRODUCT(($AM$11:$AM3723&lt;&gt;"")*($AS$11:$AS3723="✓")),"")</f>
        <v/>
      </c>
      <c r="BA3723" s="21" t="str">
        <f>IF($AL3723="","",$AL3723&amp;"|"&amp;COUNTIF($AL$11:$AL3723,$AL3723))</f>
        <v/>
      </c>
    </row>
    <row r="3724" spans="38:53" ht="15" customHeight="1" x14ac:dyDescent="0.25">
      <c r="AL3724" s="31"/>
      <c r="AM3724" s="26"/>
      <c r="AN3724" s="32"/>
      <c r="AO3724" s="32"/>
      <c r="AP3724" s="24"/>
      <c r="AQ3724" s="24"/>
      <c r="AR3724" s="33"/>
      <c r="AS3724" s="34"/>
      <c r="AT3724" s="33"/>
      <c r="AV3724" s="21">
        <f>IF(AND($AL3724&lt;&gt;"",COUNTIF($AL$11:$AL3724,$AL3724)=1),1,0)</f>
        <v>0</v>
      </c>
      <c r="AW3724" s="21">
        <f t="shared" ref="AW3724:AW3787" si="203">AW3723+AV3724</f>
        <v>0</v>
      </c>
      <c r="AX3724" s="21" t="str">
        <f t="shared" si="202"/>
        <v/>
      </c>
      <c r="AY3724" s="21" t="str">
        <f>IF(AND($AM3724&lt;&gt;"",$AS3724&lt;&gt;"✓"),SUMPRODUCT(($AM$11:$AM3724&lt;&gt;"")*($AS$11:$AS3724&lt;&gt;"✓")),"")</f>
        <v/>
      </c>
      <c r="AZ3724" s="21" t="str">
        <f>IF(AND($AM3724&lt;&gt;"",$AS3724="✓"),SUMPRODUCT(($AM$11:$AM3724&lt;&gt;"")*($AS$11:$AS3724="✓")),"")</f>
        <v/>
      </c>
      <c r="BA3724" s="21" t="str">
        <f>IF($AL3724="","",$AL3724&amp;"|"&amp;COUNTIF($AL$11:$AL3724,$AL3724))</f>
        <v/>
      </c>
    </row>
    <row r="3725" spans="38:53" ht="15" customHeight="1" x14ac:dyDescent="0.25">
      <c r="AL3725" s="17"/>
      <c r="AM3725" s="12"/>
      <c r="AN3725" s="18"/>
      <c r="AO3725" s="18"/>
      <c r="AP3725" s="10"/>
      <c r="AQ3725" s="10"/>
      <c r="AR3725" s="19"/>
      <c r="AS3725" s="20"/>
      <c r="AT3725" s="19"/>
      <c r="AV3725" s="21">
        <f>IF(AND($AL3725&lt;&gt;"",COUNTIF($AL$11:$AL3725,$AL3725)=1),1,0)</f>
        <v>0</v>
      </c>
      <c r="AW3725" s="21">
        <f t="shared" si="203"/>
        <v>0</v>
      </c>
      <c r="AX3725" s="21" t="str">
        <f t="shared" si="202"/>
        <v/>
      </c>
      <c r="AY3725" s="21" t="str">
        <f>IF(AND($AM3725&lt;&gt;"",$AS3725&lt;&gt;"✓"),SUMPRODUCT(($AM$11:$AM3725&lt;&gt;"")*($AS$11:$AS3725&lt;&gt;"✓")),"")</f>
        <v/>
      </c>
      <c r="AZ3725" s="21" t="str">
        <f>IF(AND($AM3725&lt;&gt;"",$AS3725="✓"),SUMPRODUCT(($AM$11:$AM3725&lt;&gt;"")*($AS$11:$AS3725="✓")),"")</f>
        <v/>
      </c>
      <c r="BA3725" s="21" t="str">
        <f>IF($AL3725="","",$AL3725&amp;"|"&amp;COUNTIF($AL$11:$AL3725,$AL3725))</f>
        <v/>
      </c>
    </row>
    <row r="3726" spans="38:53" ht="15" customHeight="1" x14ac:dyDescent="0.25">
      <c r="AL3726" s="31"/>
      <c r="AM3726" s="26"/>
      <c r="AN3726" s="32"/>
      <c r="AO3726" s="32"/>
      <c r="AP3726" s="24"/>
      <c r="AQ3726" s="24"/>
      <c r="AR3726" s="33"/>
      <c r="AS3726" s="34"/>
      <c r="AT3726" s="33"/>
      <c r="AV3726" s="21">
        <f>IF(AND($AL3726&lt;&gt;"",COUNTIF($AL$11:$AL3726,$AL3726)=1),1,0)</f>
        <v>0</v>
      </c>
      <c r="AW3726" s="21">
        <f t="shared" si="203"/>
        <v>0</v>
      </c>
      <c r="AX3726" s="21" t="str">
        <f t="shared" si="202"/>
        <v/>
      </c>
      <c r="AY3726" s="21" t="str">
        <f>IF(AND($AM3726&lt;&gt;"",$AS3726&lt;&gt;"✓"),SUMPRODUCT(($AM$11:$AM3726&lt;&gt;"")*($AS$11:$AS3726&lt;&gt;"✓")),"")</f>
        <v/>
      </c>
      <c r="AZ3726" s="21" t="str">
        <f>IF(AND($AM3726&lt;&gt;"",$AS3726="✓"),SUMPRODUCT(($AM$11:$AM3726&lt;&gt;"")*($AS$11:$AS3726="✓")),"")</f>
        <v/>
      </c>
      <c r="BA3726" s="21" t="str">
        <f>IF($AL3726="","",$AL3726&amp;"|"&amp;COUNTIF($AL$11:$AL3726,$AL3726))</f>
        <v/>
      </c>
    </row>
    <row r="3727" spans="38:53" ht="15" customHeight="1" x14ac:dyDescent="0.25">
      <c r="AL3727" s="17"/>
      <c r="AM3727" s="12"/>
      <c r="AN3727" s="18"/>
      <c r="AO3727" s="18"/>
      <c r="AP3727" s="10"/>
      <c r="AQ3727" s="10"/>
      <c r="AR3727" s="19"/>
      <c r="AS3727" s="20"/>
      <c r="AT3727" s="19"/>
      <c r="AV3727" s="21">
        <f>IF(AND($AL3727&lt;&gt;"",COUNTIF($AL$11:$AL3727,$AL3727)=1),1,0)</f>
        <v>0</v>
      </c>
      <c r="AW3727" s="21">
        <f t="shared" si="203"/>
        <v>0</v>
      </c>
      <c r="AX3727" s="21" t="str">
        <f t="shared" si="202"/>
        <v/>
      </c>
      <c r="AY3727" s="21" t="str">
        <f>IF(AND($AM3727&lt;&gt;"",$AS3727&lt;&gt;"✓"),SUMPRODUCT(($AM$11:$AM3727&lt;&gt;"")*($AS$11:$AS3727&lt;&gt;"✓")),"")</f>
        <v/>
      </c>
      <c r="AZ3727" s="21" t="str">
        <f>IF(AND($AM3727&lt;&gt;"",$AS3727="✓"),SUMPRODUCT(($AM$11:$AM3727&lt;&gt;"")*($AS$11:$AS3727="✓")),"")</f>
        <v/>
      </c>
      <c r="BA3727" s="21" t="str">
        <f>IF($AL3727="","",$AL3727&amp;"|"&amp;COUNTIF($AL$11:$AL3727,$AL3727))</f>
        <v/>
      </c>
    </row>
    <row r="3728" spans="38:53" ht="15" customHeight="1" x14ac:dyDescent="0.25">
      <c r="AL3728" s="31"/>
      <c r="AM3728" s="26"/>
      <c r="AN3728" s="32"/>
      <c r="AO3728" s="32"/>
      <c r="AP3728" s="24"/>
      <c r="AQ3728" s="24"/>
      <c r="AR3728" s="33"/>
      <c r="AS3728" s="34"/>
      <c r="AT3728" s="33"/>
      <c r="AV3728" s="21">
        <f>IF(AND($AL3728&lt;&gt;"",COUNTIF($AL$11:$AL3728,$AL3728)=1),1,0)</f>
        <v>0</v>
      </c>
      <c r="AW3728" s="21">
        <f t="shared" si="203"/>
        <v>0</v>
      </c>
      <c r="AX3728" s="21" t="str">
        <f t="shared" si="202"/>
        <v/>
      </c>
      <c r="AY3728" s="21" t="str">
        <f>IF(AND($AM3728&lt;&gt;"",$AS3728&lt;&gt;"✓"),SUMPRODUCT(($AM$11:$AM3728&lt;&gt;"")*($AS$11:$AS3728&lt;&gt;"✓")),"")</f>
        <v/>
      </c>
      <c r="AZ3728" s="21" t="str">
        <f>IF(AND($AM3728&lt;&gt;"",$AS3728="✓"),SUMPRODUCT(($AM$11:$AM3728&lt;&gt;"")*($AS$11:$AS3728="✓")),"")</f>
        <v/>
      </c>
      <c r="BA3728" s="21" t="str">
        <f>IF($AL3728="","",$AL3728&amp;"|"&amp;COUNTIF($AL$11:$AL3728,$AL3728))</f>
        <v/>
      </c>
    </row>
    <row r="3729" spans="38:53" ht="15" customHeight="1" x14ac:dyDescent="0.25">
      <c r="AL3729" s="17"/>
      <c r="AM3729" s="12"/>
      <c r="AN3729" s="18"/>
      <c r="AO3729" s="18"/>
      <c r="AP3729" s="10"/>
      <c r="AQ3729" s="10"/>
      <c r="AR3729" s="19"/>
      <c r="AS3729" s="20"/>
      <c r="AT3729" s="19"/>
      <c r="AV3729" s="21">
        <f>IF(AND($AL3729&lt;&gt;"",COUNTIF($AL$11:$AL3729,$AL3729)=1),1,0)</f>
        <v>0</v>
      </c>
      <c r="AW3729" s="21">
        <f t="shared" si="203"/>
        <v>0</v>
      </c>
      <c r="AX3729" s="21" t="str">
        <f t="shared" si="202"/>
        <v/>
      </c>
      <c r="AY3729" s="21" t="str">
        <f>IF(AND($AM3729&lt;&gt;"",$AS3729&lt;&gt;"✓"),SUMPRODUCT(($AM$11:$AM3729&lt;&gt;"")*($AS$11:$AS3729&lt;&gt;"✓")),"")</f>
        <v/>
      </c>
      <c r="AZ3729" s="21" t="str">
        <f>IF(AND($AM3729&lt;&gt;"",$AS3729="✓"),SUMPRODUCT(($AM$11:$AM3729&lt;&gt;"")*($AS$11:$AS3729="✓")),"")</f>
        <v/>
      </c>
      <c r="BA3729" s="21" t="str">
        <f>IF($AL3729="","",$AL3729&amp;"|"&amp;COUNTIF($AL$11:$AL3729,$AL3729))</f>
        <v/>
      </c>
    </row>
    <row r="3730" spans="38:53" ht="15" customHeight="1" x14ac:dyDescent="0.25">
      <c r="AL3730" s="31"/>
      <c r="AM3730" s="26"/>
      <c r="AN3730" s="32"/>
      <c r="AO3730" s="32"/>
      <c r="AP3730" s="24"/>
      <c r="AQ3730" s="24"/>
      <c r="AR3730" s="33"/>
      <c r="AS3730" s="34"/>
      <c r="AT3730" s="33"/>
      <c r="AV3730" s="21">
        <f>IF(AND($AL3730&lt;&gt;"",COUNTIF($AL$11:$AL3730,$AL3730)=1),1,0)</f>
        <v>0</v>
      </c>
      <c r="AW3730" s="21">
        <f t="shared" si="203"/>
        <v>0</v>
      </c>
      <c r="AX3730" s="21" t="str">
        <f t="shared" si="202"/>
        <v/>
      </c>
      <c r="AY3730" s="21" t="str">
        <f>IF(AND($AM3730&lt;&gt;"",$AS3730&lt;&gt;"✓"),SUMPRODUCT(($AM$11:$AM3730&lt;&gt;"")*($AS$11:$AS3730&lt;&gt;"✓")),"")</f>
        <v/>
      </c>
      <c r="AZ3730" s="21" t="str">
        <f>IF(AND($AM3730&lt;&gt;"",$AS3730="✓"),SUMPRODUCT(($AM$11:$AM3730&lt;&gt;"")*($AS$11:$AS3730="✓")),"")</f>
        <v/>
      </c>
      <c r="BA3730" s="21" t="str">
        <f>IF($AL3730="","",$AL3730&amp;"|"&amp;COUNTIF($AL$11:$AL3730,$AL3730))</f>
        <v/>
      </c>
    </row>
    <row r="3731" spans="38:53" ht="15" customHeight="1" x14ac:dyDescent="0.25">
      <c r="AL3731" s="17"/>
      <c r="AM3731" s="12"/>
      <c r="AN3731" s="18"/>
      <c r="AO3731" s="18"/>
      <c r="AP3731" s="10"/>
      <c r="AQ3731" s="10"/>
      <c r="AR3731" s="19"/>
      <c r="AS3731" s="20"/>
      <c r="AT3731" s="19"/>
      <c r="AV3731" s="21">
        <f>IF(AND($AL3731&lt;&gt;"",COUNTIF($AL$11:$AL3731,$AL3731)=1),1,0)</f>
        <v>0</v>
      </c>
      <c r="AW3731" s="21">
        <f t="shared" si="203"/>
        <v>0</v>
      </c>
      <c r="AX3731" s="21" t="str">
        <f t="shared" si="202"/>
        <v/>
      </c>
      <c r="AY3731" s="21" t="str">
        <f>IF(AND($AM3731&lt;&gt;"",$AS3731&lt;&gt;"✓"),SUMPRODUCT(($AM$11:$AM3731&lt;&gt;"")*($AS$11:$AS3731&lt;&gt;"✓")),"")</f>
        <v/>
      </c>
      <c r="AZ3731" s="21" t="str">
        <f>IF(AND($AM3731&lt;&gt;"",$AS3731="✓"),SUMPRODUCT(($AM$11:$AM3731&lt;&gt;"")*($AS$11:$AS3731="✓")),"")</f>
        <v/>
      </c>
      <c r="BA3731" s="21" t="str">
        <f>IF($AL3731="","",$AL3731&amp;"|"&amp;COUNTIF($AL$11:$AL3731,$AL3731))</f>
        <v/>
      </c>
    </row>
    <row r="3732" spans="38:53" ht="15" customHeight="1" x14ac:dyDescent="0.25">
      <c r="AL3732" s="31"/>
      <c r="AM3732" s="26"/>
      <c r="AN3732" s="32"/>
      <c r="AO3732" s="32"/>
      <c r="AP3732" s="24"/>
      <c r="AQ3732" s="24"/>
      <c r="AR3732" s="33"/>
      <c r="AS3732" s="34"/>
      <c r="AT3732" s="33"/>
      <c r="AV3732" s="21">
        <f>IF(AND($AL3732&lt;&gt;"",COUNTIF($AL$11:$AL3732,$AL3732)=1),1,0)</f>
        <v>0</v>
      </c>
      <c r="AW3732" s="21">
        <f t="shared" si="203"/>
        <v>0</v>
      </c>
      <c r="AX3732" s="21" t="str">
        <f t="shared" si="202"/>
        <v/>
      </c>
      <c r="AY3732" s="21" t="str">
        <f>IF(AND($AM3732&lt;&gt;"",$AS3732&lt;&gt;"✓"),SUMPRODUCT(($AM$11:$AM3732&lt;&gt;"")*($AS$11:$AS3732&lt;&gt;"✓")),"")</f>
        <v/>
      </c>
      <c r="AZ3732" s="21" t="str">
        <f>IF(AND($AM3732&lt;&gt;"",$AS3732="✓"),SUMPRODUCT(($AM$11:$AM3732&lt;&gt;"")*($AS$11:$AS3732="✓")),"")</f>
        <v/>
      </c>
      <c r="BA3732" s="21" t="str">
        <f>IF($AL3732="","",$AL3732&amp;"|"&amp;COUNTIF($AL$11:$AL3732,$AL3732))</f>
        <v/>
      </c>
    </row>
    <row r="3733" spans="38:53" ht="15" customHeight="1" x14ac:dyDescent="0.25">
      <c r="AL3733" s="17"/>
      <c r="AM3733" s="12"/>
      <c r="AN3733" s="18"/>
      <c r="AO3733" s="18"/>
      <c r="AP3733" s="10"/>
      <c r="AQ3733" s="10"/>
      <c r="AR3733" s="19"/>
      <c r="AS3733" s="20"/>
      <c r="AT3733" s="19"/>
      <c r="AV3733" s="21">
        <f>IF(AND($AL3733&lt;&gt;"",COUNTIF($AL$11:$AL3733,$AL3733)=1),1,0)</f>
        <v>0</v>
      </c>
      <c r="AW3733" s="21">
        <f t="shared" si="203"/>
        <v>0</v>
      </c>
      <c r="AX3733" s="21" t="str">
        <f t="shared" si="202"/>
        <v/>
      </c>
      <c r="AY3733" s="21" t="str">
        <f>IF(AND($AM3733&lt;&gt;"",$AS3733&lt;&gt;"✓"),SUMPRODUCT(($AM$11:$AM3733&lt;&gt;"")*($AS$11:$AS3733&lt;&gt;"✓")),"")</f>
        <v/>
      </c>
      <c r="AZ3733" s="21" t="str">
        <f>IF(AND($AM3733&lt;&gt;"",$AS3733="✓"),SUMPRODUCT(($AM$11:$AM3733&lt;&gt;"")*($AS$11:$AS3733="✓")),"")</f>
        <v/>
      </c>
      <c r="BA3733" s="21" t="str">
        <f>IF($AL3733="","",$AL3733&amp;"|"&amp;COUNTIF($AL$11:$AL3733,$AL3733))</f>
        <v/>
      </c>
    </row>
    <row r="3734" spans="38:53" ht="15" customHeight="1" x14ac:dyDescent="0.25">
      <c r="AL3734" s="31"/>
      <c r="AM3734" s="26"/>
      <c r="AN3734" s="32"/>
      <c r="AO3734" s="32"/>
      <c r="AP3734" s="24"/>
      <c r="AQ3734" s="24"/>
      <c r="AR3734" s="33"/>
      <c r="AS3734" s="34"/>
      <c r="AT3734" s="33"/>
      <c r="AV3734" s="21">
        <f>IF(AND($AL3734&lt;&gt;"",COUNTIF($AL$11:$AL3734,$AL3734)=1),1,0)</f>
        <v>0</v>
      </c>
      <c r="AW3734" s="21">
        <f t="shared" si="203"/>
        <v>0</v>
      </c>
      <c r="AX3734" s="21" t="str">
        <f t="shared" si="202"/>
        <v/>
      </c>
      <c r="AY3734" s="21" t="str">
        <f>IF(AND($AM3734&lt;&gt;"",$AS3734&lt;&gt;"✓"),SUMPRODUCT(($AM$11:$AM3734&lt;&gt;"")*($AS$11:$AS3734&lt;&gt;"✓")),"")</f>
        <v/>
      </c>
      <c r="AZ3734" s="21" t="str">
        <f>IF(AND($AM3734&lt;&gt;"",$AS3734="✓"),SUMPRODUCT(($AM$11:$AM3734&lt;&gt;"")*($AS$11:$AS3734="✓")),"")</f>
        <v/>
      </c>
      <c r="BA3734" s="21" t="str">
        <f>IF($AL3734="","",$AL3734&amp;"|"&amp;COUNTIF($AL$11:$AL3734,$AL3734))</f>
        <v/>
      </c>
    </row>
    <row r="3735" spans="38:53" ht="15" customHeight="1" x14ac:dyDescent="0.25">
      <c r="AL3735" s="17"/>
      <c r="AM3735" s="12"/>
      <c r="AN3735" s="18"/>
      <c r="AO3735" s="18"/>
      <c r="AP3735" s="10"/>
      <c r="AQ3735" s="10"/>
      <c r="AR3735" s="19"/>
      <c r="AS3735" s="20"/>
      <c r="AT3735" s="19"/>
      <c r="AV3735" s="21">
        <f>IF(AND($AL3735&lt;&gt;"",COUNTIF($AL$11:$AL3735,$AL3735)=1),1,0)</f>
        <v>0</v>
      </c>
      <c r="AW3735" s="21">
        <f t="shared" si="203"/>
        <v>0</v>
      </c>
      <c r="AX3735" s="21" t="str">
        <f t="shared" si="202"/>
        <v/>
      </c>
      <c r="AY3735" s="21" t="str">
        <f>IF(AND($AM3735&lt;&gt;"",$AS3735&lt;&gt;"✓"),SUMPRODUCT(($AM$11:$AM3735&lt;&gt;"")*($AS$11:$AS3735&lt;&gt;"✓")),"")</f>
        <v/>
      </c>
      <c r="AZ3735" s="21" t="str">
        <f>IF(AND($AM3735&lt;&gt;"",$AS3735="✓"),SUMPRODUCT(($AM$11:$AM3735&lt;&gt;"")*($AS$11:$AS3735="✓")),"")</f>
        <v/>
      </c>
      <c r="BA3735" s="21" t="str">
        <f>IF($AL3735="","",$AL3735&amp;"|"&amp;COUNTIF($AL$11:$AL3735,$AL3735))</f>
        <v/>
      </c>
    </row>
    <row r="3736" spans="38:53" ht="15" customHeight="1" x14ac:dyDescent="0.25">
      <c r="AL3736" s="31"/>
      <c r="AM3736" s="26"/>
      <c r="AN3736" s="32"/>
      <c r="AO3736" s="32"/>
      <c r="AP3736" s="24"/>
      <c r="AQ3736" s="24"/>
      <c r="AR3736" s="33"/>
      <c r="AS3736" s="34"/>
      <c r="AT3736" s="33"/>
      <c r="AV3736" s="21">
        <f>IF(AND($AL3736&lt;&gt;"",COUNTIF($AL$11:$AL3736,$AL3736)=1),1,0)</f>
        <v>0</v>
      </c>
      <c r="AW3736" s="21">
        <f t="shared" si="203"/>
        <v>0</v>
      </c>
      <c r="AX3736" s="21" t="str">
        <f t="shared" si="202"/>
        <v/>
      </c>
      <c r="AY3736" s="21" t="str">
        <f>IF(AND($AM3736&lt;&gt;"",$AS3736&lt;&gt;"✓"),SUMPRODUCT(($AM$11:$AM3736&lt;&gt;"")*($AS$11:$AS3736&lt;&gt;"✓")),"")</f>
        <v/>
      </c>
      <c r="AZ3736" s="21" t="str">
        <f>IF(AND($AM3736&lt;&gt;"",$AS3736="✓"),SUMPRODUCT(($AM$11:$AM3736&lt;&gt;"")*($AS$11:$AS3736="✓")),"")</f>
        <v/>
      </c>
      <c r="BA3736" s="21" t="str">
        <f>IF($AL3736="","",$AL3736&amp;"|"&amp;COUNTIF($AL$11:$AL3736,$AL3736))</f>
        <v/>
      </c>
    </row>
    <row r="3737" spans="38:53" ht="15" customHeight="1" x14ac:dyDescent="0.25">
      <c r="AL3737" s="17"/>
      <c r="AM3737" s="12"/>
      <c r="AN3737" s="18"/>
      <c r="AO3737" s="18"/>
      <c r="AP3737" s="10"/>
      <c r="AQ3737" s="10"/>
      <c r="AR3737" s="19"/>
      <c r="AS3737" s="20"/>
      <c r="AT3737" s="19"/>
      <c r="AV3737" s="21">
        <f>IF(AND($AL3737&lt;&gt;"",COUNTIF($AL$11:$AL3737,$AL3737)=1),1,0)</f>
        <v>0</v>
      </c>
      <c r="AW3737" s="21">
        <f t="shared" si="203"/>
        <v>0</v>
      </c>
      <c r="AX3737" s="21" t="str">
        <f t="shared" si="202"/>
        <v/>
      </c>
      <c r="AY3737" s="21" t="str">
        <f>IF(AND($AM3737&lt;&gt;"",$AS3737&lt;&gt;"✓"),SUMPRODUCT(($AM$11:$AM3737&lt;&gt;"")*($AS$11:$AS3737&lt;&gt;"✓")),"")</f>
        <v/>
      </c>
      <c r="AZ3737" s="21" t="str">
        <f>IF(AND($AM3737&lt;&gt;"",$AS3737="✓"),SUMPRODUCT(($AM$11:$AM3737&lt;&gt;"")*($AS$11:$AS3737="✓")),"")</f>
        <v/>
      </c>
      <c r="BA3737" s="21" t="str">
        <f>IF($AL3737="","",$AL3737&amp;"|"&amp;COUNTIF($AL$11:$AL3737,$AL3737))</f>
        <v/>
      </c>
    </row>
    <row r="3738" spans="38:53" ht="15" customHeight="1" x14ac:dyDescent="0.25">
      <c r="AL3738" s="31"/>
      <c r="AM3738" s="26"/>
      <c r="AN3738" s="32"/>
      <c r="AO3738" s="32"/>
      <c r="AP3738" s="24"/>
      <c r="AQ3738" s="24"/>
      <c r="AR3738" s="33"/>
      <c r="AS3738" s="34"/>
      <c r="AT3738" s="33"/>
      <c r="AV3738" s="21">
        <f>IF(AND($AL3738&lt;&gt;"",COUNTIF($AL$11:$AL3738,$AL3738)=1),1,0)</f>
        <v>0</v>
      </c>
      <c r="AW3738" s="21">
        <f t="shared" si="203"/>
        <v>0</v>
      </c>
      <c r="AX3738" s="21" t="str">
        <f t="shared" si="202"/>
        <v/>
      </c>
      <c r="AY3738" s="21" t="str">
        <f>IF(AND($AM3738&lt;&gt;"",$AS3738&lt;&gt;"✓"),SUMPRODUCT(($AM$11:$AM3738&lt;&gt;"")*($AS$11:$AS3738&lt;&gt;"✓")),"")</f>
        <v/>
      </c>
      <c r="AZ3738" s="21" t="str">
        <f>IF(AND($AM3738&lt;&gt;"",$AS3738="✓"),SUMPRODUCT(($AM$11:$AM3738&lt;&gt;"")*($AS$11:$AS3738="✓")),"")</f>
        <v/>
      </c>
      <c r="BA3738" s="21" t="str">
        <f>IF($AL3738="","",$AL3738&amp;"|"&amp;COUNTIF($AL$11:$AL3738,$AL3738))</f>
        <v/>
      </c>
    </row>
    <row r="3739" spans="38:53" ht="15" customHeight="1" x14ac:dyDescent="0.25">
      <c r="AL3739" s="17"/>
      <c r="AM3739" s="12"/>
      <c r="AN3739" s="18"/>
      <c r="AO3739" s="18"/>
      <c r="AP3739" s="10"/>
      <c r="AQ3739" s="10"/>
      <c r="AR3739" s="19"/>
      <c r="AS3739" s="20"/>
      <c r="AT3739" s="19"/>
      <c r="AV3739" s="21">
        <f>IF(AND($AL3739&lt;&gt;"",COUNTIF($AL$11:$AL3739,$AL3739)=1),1,0)</f>
        <v>0</v>
      </c>
      <c r="AW3739" s="21">
        <f t="shared" si="203"/>
        <v>0</v>
      </c>
      <c r="AX3739" s="21" t="str">
        <f t="shared" si="202"/>
        <v/>
      </c>
      <c r="AY3739" s="21" t="str">
        <f>IF(AND($AM3739&lt;&gt;"",$AS3739&lt;&gt;"✓"),SUMPRODUCT(($AM$11:$AM3739&lt;&gt;"")*($AS$11:$AS3739&lt;&gt;"✓")),"")</f>
        <v/>
      </c>
      <c r="AZ3739" s="21" t="str">
        <f>IF(AND($AM3739&lt;&gt;"",$AS3739="✓"),SUMPRODUCT(($AM$11:$AM3739&lt;&gt;"")*($AS$11:$AS3739="✓")),"")</f>
        <v/>
      </c>
      <c r="BA3739" s="21" t="str">
        <f>IF($AL3739="","",$AL3739&amp;"|"&amp;COUNTIF($AL$11:$AL3739,$AL3739))</f>
        <v/>
      </c>
    </row>
    <row r="3740" spans="38:53" ht="15" customHeight="1" x14ac:dyDescent="0.25">
      <c r="AL3740" s="31"/>
      <c r="AM3740" s="26"/>
      <c r="AN3740" s="32"/>
      <c r="AO3740" s="32"/>
      <c r="AP3740" s="24"/>
      <c r="AQ3740" s="24"/>
      <c r="AR3740" s="33"/>
      <c r="AS3740" s="34"/>
      <c r="AT3740" s="33"/>
      <c r="AV3740" s="21">
        <f>IF(AND($AL3740&lt;&gt;"",COUNTIF($AL$11:$AL3740,$AL3740)=1),1,0)</f>
        <v>0</v>
      </c>
      <c r="AW3740" s="21">
        <f t="shared" si="203"/>
        <v>0</v>
      </c>
      <c r="AX3740" s="21" t="str">
        <f t="shared" si="202"/>
        <v/>
      </c>
      <c r="AY3740" s="21" t="str">
        <f>IF(AND($AM3740&lt;&gt;"",$AS3740&lt;&gt;"✓"),SUMPRODUCT(($AM$11:$AM3740&lt;&gt;"")*($AS$11:$AS3740&lt;&gt;"✓")),"")</f>
        <v/>
      </c>
      <c r="AZ3740" s="21" t="str">
        <f>IF(AND($AM3740&lt;&gt;"",$AS3740="✓"),SUMPRODUCT(($AM$11:$AM3740&lt;&gt;"")*($AS$11:$AS3740="✓")),"")</f>
        <v/>
      </c>
      <c r="BA3740" s="21" t="str">
        <f>IF($AL3740="","",$AL3740&amp;"|"&amp;COUNTIF($AL$11:$AL3740,$AL3740))</f>
        <v/>
      </c>
    </row>
    <row r="3741" spans="38:53" ht="15" customHeight="1" x14ac:dyDescent="0.25">
      <c r="AL3741" s="17"/>
      <c r="AM3741" s="12"/>
      <c r="AN3741" s="18"/>
      <c r="AO3741" s="18"/>
      <c r="AP3741" s="10"/>
      <c r="AQ3741" s="10"/>
      <c r="AR3741" s="19"/>
      <c r="AS3741" s="20"/>
      <c r="AT3741" s="19"/>
      <c r="AV3741" s="21">
        <f>IF(AND($AL3741&lt;&gt;"",COUNTIF($AL$11:$AL3741,$AL3741)=1),1,0)</f>
        <v>0</v>
      </c>
      <c r="AW3741" s="21">
        <f t="shared" si="203"/>
        <v>0</v>
      </c>
      <c r="AX3741" s="21" t="str">
        <f t="shared" si="202"/>
        <v/>
      </c>
      <c r="AY3741" s="21" t="str">
        <f>IF(AND($AM3741&lt;&gt;"",$AS3741&lt;&gt;"✓"),SUMPRODUCT(($AM$11:$AM3741&lt;&gt;"")*($AS$11:$AS3741&lt;&gt;"✓")),"")</f>
        <v/>
      </c>
      <c r="AZ3741" s="21" t="str">
        <f>IF(AND($AM3741&lt;&gt;"",$AS3741="✓"),SUMPRODUCT(($AM$11:$AM3741&lt;&gt;"")*($AS$11:$AS3741="✓")),"")</f>
        <v/>
      </c>
      <c r="BA3741" s="21" t="str">
        <f>IF($AL3741="","",$AL3741&amp;"|"&amp;COUNTIF($AL$11:$AL3741,$AL3741))</f>
        <v/>
      </c>
    </row>
    <row r="3742" spans="38:53" ht="15" customHeight="1" x14ac:dyDescent="0.25">
      <c r="AL3742" s="31"/>
      <c r="AM3742" s="26"/>
      <c r="AN3742" s="32"/>
      <c r="AO3742" s="32"/>
      <c r="AP3742" s="24"/>
      <c r="AQ3742" s="24"/>
      <c r="AR3742" s="33"/>
      <c r="AS3742" s="34"/>
      <c r="AT3742" s="33"/>
      <c r="AV3742" s="21">
        <f>IF(AND($AL3742&lt;&gt;"",COUNTIF($AL$11:$AL3742,$AL3742)=1),1,0)</f>
        <v>0</v>
      </c>
      <c r="AW3742" s="21">
        <f t="shared" si="203"/>
        <v>0</v>
      </c>
      <c r="AX3742" s="21" t="str">
        <f t="shared" si="202"/>
        <v/>
      </c>
      <c r="AY3742" s="21" t="str">
        <f>IF(AND($AM3742&lt;&gt;"",$AS3742&lt;&gt;"✓"),SUMPRODUCT(($AM$11:$AM3742&lt;&gt;"")*($AS$11:$AS3742&lt;&gt;"✓")),"")</f>
        <v/>
      </c>
      <c r="AZ3742" s="21" t="str">
        <f>IF(AND($AM3742&lt;&gt;"",$AS3742="✓"),SUMPRODUCT(($AM$11:$AM3742&lt;&gt;"")*($AS$11:$AS3742="✓")),"")</f>
        <v/>
      </c>
      <c r="BA3742" s="21" t="str">
        <f>IF($AL3742="","",$AL3742&amp;"|"&amp;COUNTIF($AL$11:$AL3742,$AL3742))</f>
        <v/>
      </c>
    </row>
    <row r="3743" spans="38:53" ht="15" customHeight="1" x14ac:dyDescent="0.25">
      <c r="AL3743" s="17"/>
      <c r="AM3743" s="12"/>
      <c r="AN3743" s="18"/>
      <c r="AO3743" s="18"/>
      <c r="AP3743" s="10"/>
      <c r="AQ3743" s="10"/>
      <c r="AR3743" s="19"/>
      <c r="AS3743" s="20"/>
      <c r="AT3743" s="19"/>
      <c r="AV3743" s="21">
        <f>IF(AND($AL3743&lt;&gt;"",COUNTIF($AL$11:$AL3743,$AL3743)=1),1,0)</f>
        <v>0</v>
      </c>
      <c r="AW3743" s="21">
        <f t="shared" si="203"/>
        <v>0</v>
      </c>
      <c r="AX3743" s="21" t="str">
        <f t="shared" si="202"/>
        <v/>
      </c>
      <c r="AY3743" s="21" t="str">
        <f>IF(AND($AM3743&lt;&gt;"",$AS3743&lt;&gt;"✓"),SUMPRODUCT(($AM$11:$AM3743&lt;&gt;"")*($AS$11:$AS3743&lt;&gt;"✓")),"")</f>
        <v/>
      </c>
      <c r="AZ3743" s="21" t="str">
        <f>IF(AND($AM3743&lt;&gt;"",$AS3743="✓"),SUMPRODUCT(($AM$11:$AM3743&lt;&gt;"")*($AS$11:$AS3743="✓")),"")</f>
        <v/>
      </c>
      <c r="BA3743" s="21" t="str">
        <f>IF($AL3743="","",$AL3743&amp;"|"&amp;COUNTIF($AL$11:$AL3743,$AL3743))</f>
        <v/>
      </c>
    </row>
    <row r="3744" spans="38:53" ht="15" customHeight="1" x14ac:dyDescent="0.25">
      <c r="AL3744" s="31"/>
      <c r="AM3744" s="26"/>
      <c r="AN3744" s="32"/>
      <c r="AO3744" s="32"/>
      <c r="AP3744" s="24"/>
      <c r="AQ3744" s="24"/>
      <c r="AR3744" s="33"/>
      <c r="AS3744" s="34"/>
      <c r="AT3744" s="33"/>
      <c r="AV3744" s="21">
        <f>IF(AND($AL3744&lt;&gt;"",COUNTIF($AL$11:$AL3744,$AL3744)=1),1,0)</f>
        <v>0</v>
      </c>
      <c r="AW3744" s="21">
        <f t="shared" si="203"/>
        <v>0</v>
      </c>
      <c r="AX3744" s="21" t="str">
        <f t="shared" si="202"/>
        <v/>
      </c>
      <c r="AY3744" s="21" t="str">
        <f>IF(AND($AM3744&lt;&gt;"",$AS3744&lt;&gt;"✓"),SUMPRODUCT(($AM$11:$AM3744&lt;&gt;"")*($AS$11:$AS3744&lt;&gt;"✓")),"")</f>
        <v/>
      </c>
      <c r="AZ3744" s="21" t="str">
        <f>IF(AND($AM3744&lt;&gt;"",$AS3744="✓"),SUMPRODUCT(($AM$11:$AM3744&lt;&gt;"")*($AS$11:$AS3744="✓")),"")</f>
        <v/>
      </c>
      <c r="BA3744" s="21" t="str">
        <f>IF($AL3744="","",$AL3744&amp;"|"&amp;COUNTIF($AL$11:$AL3744,$AL3744))</f>
        <v/>
      </c>
    </row>
    <row r="3745" spans="38:53" ht="15" customHeight="1" x14ac:dyDescent="0.25">
      <c r="AL3745" s="17"/>
      <c r="AM3745" s="12"/>
      <c r="AN3745" s="18"/>
      <c r="AO3745" s="18"/>
      <c r="AP3745" s="10"/>
      <c r="AQ3745" s="10"/>
      <c r="AR3745" s="19"/>
      <c r="AS3745" s="20"/>
      <c r="AT3745" s="19"/>
      <c r="AV3745" s="21">
        <f>IF(AND($AL3745&lt;&gt;"",COUNTIF($AL$11:$AL3745,$AL3745)=1),1,0)</f>
        <v>0</v>
      </c>
      <c r="AW3745" s="21">
        <f t="shared" si="203"/>
        <v>0</v>
      </c>
      <c r="AX3745" s="21" t="str">
        <f t="shared" si="202"/>
        <v/>
      </c>
      <c r="AY3745" s="21" t="str">
        <f>IF(AND($AM3745&lt;&gt;"",$AS3745&lt;&gt;"✓"),SUMPRODUCT(($AM$11:$AM3745&lt;&gt;"")*($AS$11:$AS3745&lt;&gt;"✓")),"")</f>
        <v/>
      </c>
      <c r="AZ3745" s="21" t="str">
        <f>IF(AND($AM3745&lt;&gt;"",$AS3745="✓"),SUMPRODUCT(($AM$11:$AM3745&lt;&gt;"")*($AS$11:$AS3745="✓")),"")</f>
        <v/>
      </c>
      <c r="BA3745" s="21" t="str">
        <f>IF($AL3745="","",$AL3745&amp;"|"&amp;COUNTIF($AL$11:$AL3745,$AL3745))</f>
        <v/>
      </c>
    </row>
    <row r="3746" spans="38:53" ht="15" customHeight="1" x14ac:dyDescent="0.25">
      <c r="AL3746" s="31"/>
      <c r="AM3746" s="26"/>
      <c r="AN3746" s="32"/>
      <c r="AO3746" s="32"/>
      <c r="AP3746" s="24"/>
      <c r="AQ3746" s="24"/>
      <c r="AR3746" s="33"/>
      <c r="AS3746" s="34"/>
      <c r="AT3746" s="33"/>
      <c r="AV3746" s="21">
        <f>IF(AND($AL3746&lt;&gt;"",COUNTIF($AL$11:$AL3746,$AL3746)=1),1,0)</f>
        <v>0</v>
      </c>
      <c r="AW3746" s="21">
        <f t="shared" si="203"/>
        <v>0</v>
      </c>
      <c r="AX3746" s="21" t="str">
        <f t="shared" si="202"/>
        <v/>
      </c>
      <c r="AY3746" s="21" t="str">
        <f>IF(AND($AM3746&lt;&gt;"",$AS3746&lt;&gt;"✓"),SUMPRODUCT(($AM$11:$AM3746&lt;&gt;"")*($AS$11:$AS3746&lt;&gt;"✓")),"")</f>
        <v/>
      </c>
      <c r="AZ3746" s="21" t="str">
        <f>IF(AND($AM3746&lt;&gt;"",$AS3746="✓"),SUMPRODUCT(($AM$11:$AM3746&lt;&gt;"")*($AS$11:$AS3746="✓")),"")</f>
        <v/>
      </c>
      <c r="BA3746" s="21" t="str">
        <f>IF($AL3746="","",$AL3746&amp;"|"&amp;COUNTIF($AL$11:$AL3746,$AL3746))</f>
        <v/>
      </c>
    </row>
    <row r="3747" spans="38:53" ht="15" customHeight="1" x14ac:dyDescent="0.25">
      <c r="AL3747" s="17"/>
      <c r="AM3747" s="12"/>
      <c r="AN3747" s="18"/>
      <c r="AO3747" s="18"/>
      <c r="AP3747" s="10"/>
      <c r="AQ3747" s="10"/>
      <c r="AR3747" s="19"/>
      <c r="AS3747" s="20"/>
      <c r="AT3747" s="19"/>
      <c r="AV3747" s="21">
        <f>IF(AND($AL3747&lt;&gt;"",COUNTIF($AL$11:$AL3747,$AL3747)=1),1,0)</f>
        <v>0</v>
      </c>
      <c r="AW3747" s="21">
        <f t="shared" si="203"/>
        <v>0</v>
      </c>
      <c r="AX3747" s="21" t="str">
        <f t="shared" si="202"/>
        <v/>
      </c>
      <c r="AY3747" s="21" t="str">
        <f>IF(AND($AM3747&lt;&gt;"",$AS3747&lt;&gt;"✓"),SUMPRODUCT(($AM$11:$AM3747&lt;&gt;"")*($AS$11:$AS3747&lt;&gt;"✓")),"")</f>
        <v/>
      </c>
      <c r="AZ3747" s="21" t="str">
        <f>IF(AND($AM3747&lt;&gt;"",$AS3747="✓"),SUMPRODUCT(($AM$11:$AM3747&lt;&gt;"")*($AS$11:$AS3747="✓")),"")</f>
        <v/>
      </c>
      <c r="BA3747" s="21" t="str">
        <f>IF($AL3747="","",$AL3747&amp;"|"&amp;COUNTIF($AL$11:$AL3747,$AL3747))</f>
        <v/>
      </c>
    </row>
    <row r="3748" spans="38:53" ht="15" customHeight="1" x14ac:dyDescent="0.25">
      <c r="AL3748" s="31"/>
      <c r="AM3748" s="26"/>
      <c r="AN3748" s="32"/>
      <c r="AO3748" s="32"/>
      <c r="AP3748" s="24"/>
      <c r="AQ3748" s="24"/>
      <c r="AR3748" s="33"/>
      <c r="AS3748" s="34"/>
      <c r="AT3748" s="33"/>
      <c r="AV3748" s="21">
        <f>IF(AND($AL3748&lt;&gt;"",COUNTIF($AL$11:$AL3748,$AL3748)=1),1,0)</f>
        <v>0</v>
      </c>
      <c r="AW3748" s="21">
        <f t="shared" si="203"/>
        <v>0</v>
      </c>
      <c r="AX3748" s="21" t="str">
        <f t="shared" si="202"/>
        <v/>
      </c>
      <c r="AY3748" s="21" t="str">
        <f>IF(AND($AM3748&lt;&gt;"",$AS3748&lt;&gt;"✓"),SUMPRODUCT(($AM$11:$AM3748&lt;&gt;"")*($AS$11:$AS3748&lt;&gt;"✓")),"")</f>
        <v/>
      </c>
      <c r="AZ3748" s="21" t="str">
        <f>IF(AND($AM3748&lt;&gt;"",$AS3748="✓"),SUMPRODUCT(($AM$11:$AM3748&lt;&gt;"")*($AS$11:$AS3748="✓")),"")</f>
        <v/>
      </c>
      <c r="BA3748" s="21" t="str">
        <f>IF($AL3748="","",$AL3748&amp;"|"&amp;COUNTIF($AL$11:$AL3748,$AL3748))</f>
        <v/>
      </c>
    </row>
    <row r="3749" spans="38:53" ht="15" customHeight="1" x14ac:dyDescent="0.25">
      <c r="AL3749" s="17"/>
      <c r="AM3749" s="12"/>
      <c r="AN3749" s="18"/>
      <c r="AO3749" s="18"/>
      <c r="AP3749" s="10"/>
      <c r="AQ3749" s="10"/>
      <c r="AR3749" s="19"/>
      <c r="AS3749" s="20"/>
      <c r="AT3749" s="19"/>
      <c r="AV3749" s="21">
        <f>IF(AND($AL3749&lt;&gt;"",COUNTIF($AL$11:$AL3749,$AL3749)=1),1,0)</f>
        <v>0</v>
      </c>
      <c r="AW3749" s="21">
        <f t="shared" si="203"/>
        <v>0</v>
      </c>
      <c r="AX3749" s="21" t="str">
        <f t="shared" si="202"/>
        <v/>
      </c>
      <c r="AY3749" s="21" t="str">
        <f>IF(AND($AM3749&lt;&gt;"",$AS3749&lt;&gt;"✓"),SUMPRODUCT(($AM$11:$AM3749&lt;&gt;"")*($AS$11:$AS3749&lt;&gt;"✓")),"")</f>
        <v/>
      </c>
      <c r="AZ3749" s="21" t="str">
        <f>IF(AND($AM3749&lt;&gt;"",$AS3749="✓"),SUMPRODUCT(($AM$11:$AM3749&lt;&gt;"")*($AS$11:$AS3749="✓")),"")</f>
        <v/>
      </c>
      <c r="BA3749" s="21" t="str">
        <f>IF($AL3749="","",$AL3749&amp;"|"&amp;COUNTIF($AL$11:$AL3749,$AL3749))</f>
        <v/>
      </c>
    </row>
    <row r="3750" spans="38:53" ht="15" customHeight="1" x14ac:dyDescent="0.25">
      <c r="AL3750" s="31"/>
      <c r="AM3750" s="26"/>
      <c r="AN3750" s="32"/>
      <c r="AO3750" s="32"/>
      <c r="AP3750" s="24"/>
      <c r="AQ3750" s="24"/>
      <c r="AR3750" s="33"/>
      <c r="AS3750" s="34"/>
      <c r="AT3750" s="33"/>
      <c r="AV3750" s="21">
        <f>IF(AND($AL3750&lt;&gt;"",COUNTIF($AL$11:$AL3750,$AL3750)=1),1,0)</f>
        <v>0</v>
      </c>
      <c r="AW3750" s="21">
        <f t="shared" si="203"/>
        <v>0</v>
      </c>
      <c r="AX3750" s="21" t="str">
        <f t="shared" si="202"/>
        <v/>
      </c>
      <c r="AY3750" s="21" t="str">
        <f>IF(AND($AM3750&lt;&gt;"",$AS3750&lt;&gt;"✓"),SUMPRODUCT(($AM$11:$AM3750&lt;&gt;"")*($AS$11:$AS3750&lt;&gt;"✓")),"")</f>
        <v/>
      </c>
      <c r="AZ3750" s="21" t="str">
        <f>IF(AND($AM3750&lt;&gt;"",$AS3750="✓"),SUMPRODUCT(($AM$11:$AM3750&lt;&gt;"")*($AS$11:$AS3750="✓")),"")</f>
        <v/>
      </c>
      <c r="BA3750" s="21" t="str">
        <f>IF($AL3750="","",$AL3750&amp;"|"&amp;COUNTIF($AL$11:$AL3750,$AL3750))</f>
        <v/>
      </c>
    </row>
    <row r="3751" spans="38:53" ht="15" customHeight="1" x14ac:dyDescent="0.25">
      <c r="AL3751" s="17"/>
      <c r="AM3751" s="12"/>
      <c r="AN3751" s="18"/>
      <c r="AO3751" s="18"/>
      <c r="AP3751" s="10"/>
      <c r="AQ3751" s="10"/>
      <c r="AR3751" s="19"/>
      <c r="AS3751" s="20"/>
      <c r="AT3751" s="19"/>
      <c r="AV3751" s="21">
        <f>IF(AND($AL3751&lt;&gt;"",COUNTIF($AL$11:$AL3751,$AL3751)=1),1,0)</f>
        <v>0</v>
      </c>
      <c r="AW3751" s="21">
        <f t="shared" si="203"/>
        <v>0</v>
      </c>
      <c r="AX3751" s="21" t="str">
        <f t="shared" si="202"/>
        <v/>
      </c>
      <c r="AY3751" s="21" t="str">
        <f>IF(AND($AM3751&lt;&gt;"",$AS3751&lt;&gt;"✓"),SUMPRODUCT(($AM$11:$AM3751&lt;&gt;"")*($AS$11:$AS3751&lt;&gt;"✓")),"")</f>
        <v/>
      </c>
      <c r="AZ3751" s="21" t="str">
        <f>IF(AND($AM3751&lt;&gt;"",$AS3751="✓"),SUMPRODUCT(($AM$11:$AM3751&lt;&gt;"")*($AS$11:$AS3751="✓")),"")</f>
        <v/>
      </c>
      <c r="BA3751" s="21" t="str">
        <f>IF($AL3751="","",$AL3751&amp;"|"&amp;COUNTIF($AL$11:$AL3751,$AL3751))</f>
        <v/>
      </c>
    </row>
    <row r="3752" spans="38:53" ht="15" customHeight="1" x14ac:dyDescent="0.25">
      <c r="AL3752" s="31"/>
      <c r="AM3752" s="26"/>
      <c r="AN3752" s="32"/>
      <c r="AO3752" s="32"/>
      <c r="AP3752" s="24"/>
      <c r="AQ3752" s="24"/>
      <c r="AR3752" s="33"/>
      <c r="AS3752" s="34"/>
      <c r="AT3752" s="33"/>
      <c r="AV3752" s="21">
        <f>IF(AND($AL3752&lt;&gt;"",COUNTIF($AL$11:$AL3752,$AL3752)=1),1,0)</f>
        <v>0</v>
      </c>
      <c r="AW3752" s="21">
        <f t="shared" si="203"/>
        <v>0</v>
      </c>
      <c r="AX3752" s="21" t="str">
        <f t="shared" si="202"/>
        <v/>
      </c>
      <c r="AY3752" s="21" t="str">
        <f>IF(AND($AM3752&lt;&gt;"",$AS3752&lt;&gt;"✓"),SUMPRODUCT(($AM$11:$AM3752&lt;&gt;"")*($AS$11:$AS3752&lt;&gt;"✓")),"")</f>
        <v/>
      </c>
      <c r="AZ3752" s="21" t="str">
        <f>IF(AND($AM3752&lt;&gt;"",$AS3752="✓"),SUMPRODUCT(($AM$11:$AM3752&lt;&gt;"")*($AS$11:$AS3752="✓")),"")</f>
        <v/>
      </c>
      <c r="BA3752" s="21" t="str">
        <f>IF($AL3752="","",$AL3752&amp;"|"&amp;COUNTIF($AL$11:$AL3752,$AL3752))</f>
        <v/>
      </c>
    </row>
    <row r="3753" spans="38:53" ht="15" customHeight="1" x14ac:dyDescent="0.25">
      <c r="AL3753" s="17"/>
      <c r="AM3753" s="12"/>
      <c r="AN3753" s="18"/>
      <c r="AO3753" s="18"/>
      <c r="AP3753" s="10"/>
      <c r="AQ3753" s="10"/>
      <c r="AR3753" s="19"/>
      <c r="AS3753" s="20"/>
      <c r="AT3753" s="19"/>
      <c r="AV3753" s="21">
        <f>IF(AND($AL3753&lt;&gt;"",COUNTIF($AL$11:$AL3753,$AL3753)=1),1,0)</f>
        <v>0</v>
      </c>
      <c r="AW3753" s="21">
        <f t="shared" si="203"/>
        <v>0</v>
      </c>
      <c r="AX3753" s="21" t="str">
        <f t="shared" si="202"/>
        <v/>
      </c>
      <c r="AY3753" s="21" t="str">
        <f>IF(AND($AM3753&lt;&gt;"",$AS3753&lt;&gt;"✓"),SUMPRODUCT(($AM$11:$AM3753&lt;&gt;"")*($AS$11:$AS3753&lt;&gt;"✓")),"")</f>
        <v/>
      </c>
      <c r="AZ3753" s="21" t="str">
        <f>IF(AND($AM3753&lt;&gt;"",$AS3753="✓"),SUMPRODUCT(($AM$11:$AM3753&lt;&gt;"")*($AS$11:$AS3753="✓")),"")</f>
        <v/>
      </c>
      <c r="BA3753" s="21" t="str">
        <f>IF($AL3753="","",$AL3753&amp;"|"&amp;COUNTIF($AL$11:$AL3753,$AL3753))</f>
        <v/>
      </c>
    </row>
    <row r="3754" spans="38:53" ht="15" customHeight="1" x14ac:dyDescent="0.25">
      <c r="AL3754" s="31"/>
      <c r="AM3754" s="26"/>
      <c r="AN3754" s="32"/>
      <c r="AO3754" s="32"/>
      <c r="AP3754" s="24"/>
      <c r="AQ3754" s="24"/>
      <c r="AR3754" s="33"/>
      <c r="AS3754" s="34"/>
      <c r="AT3754" s="33"/>
      <c r="AV3754" s="21">
        <f>IF(AND($AL3754&lt;&gt;"",COUNTIF($AL$11:$AL3754,$AL3754)=1),1,0)</f>
        <v>0</v>
      </c>
      <c r="AW3754" s="21">
        <f t="shared" si="203"/>
        <v>0</v>
      </c>
      <c r="AX3754" s="21" t="str">
        <f t="shared" si="202"/>
        <v/>
      </c>
      <c r="AY3754" s="21" t="str">
        <f>IF(AND($AM3754&lt;&gt;"",$AS3754&lt;&gt;"✓"),SUMPRODUCT(($AM$11:$AM3754&lt;&gt;"")*($AS$11:$AS3754&lt;&gt;"✓")),"")</f>
        <v/>
      </c>
      <c r="AZ3754" s="21" t="str">
        <f>IF(AND($AM3754&lt;&gt;"",$AS3754="✓"),SUMPRODUCT(($AM$11:$AM3754&lt;&gt;"")*($AS$11:$AS3754="✓")),"")</f>
        <v/>
      </c>
      <c r="BA3754" s="21" t="str">
        <f>IF($AL3754="","",$AL3754&amp;"|"&amp;COUNTIF($AL$11:$AL3754,$AL3754))</f>
        <v/>
      </c>
    </row>
    <row r="3755" spans="38:53" ht="15" customHeight="1" x14ac:dyDescent="0.25">
      <c r="AL3755" s="17"/>
      <c r="AM3755" s="12"/>
      <c r="AN3755" s="18"/>
      <c r="AO3755" s="18"/>
      <c r="AP3755" s="10"/>
      <c r="AQ3755" s="10"/>
      <c r="AR3755" s="19"/>
      <c r="AS3755" s="20"/>
      <c r="AT3755" s="19"/>
      <c r="AV3755" s="21">
        <f>IF(AND($AL3755&lt;&gt;"",COUNTIF($AL$11:$AL3755,$AL3755)=1),1,0)</f>
        <v>0</v>
      </c>
      <c r="AW3755" s="21">
        <f t="shared" si="203"/>
        <v>0</v>
      </c>
      <c r="AX3755" s="21" t="str">
        <f t="shared" si="202"/>
        <v/>
      </c>
      <c r="AY3755" s="21" t="str">
        <f>IF(AND($AM3755&lt;&gt;"",$AS3755&lt;&gt;"✓"),SUMPRODUCT(($AM$11:$AM3755&lt;&gt;"")*($AS$11:$AS3755&lt;&gt;"✓")),"")</f>
        <v/>
      </c>
      <c r="AZ3755" s="21" t="str">
        <f>IF(AND($AM3755&lt;&gt;"",$AS3755="✓"),SUMPRODUCT(($AM$11:$AM3755&lt;&gt;"")*($AS$11:$AS3755="✓")),"")</f>
        <v/>
      </c>
      <c r="BA3755" s="21" t="str">
        <f>IF($AL3755="","",$AL3755&amp;"|"&amp;COUNTIF($AL$11:$AL3755,$AL3755))</f>
        <v/>
      </c>
    </row>
    <row r="3756" spans="38:53" ht="15" customHeight="1" x14ac:dyDescent="0.25">
      <c r="AL3756" s="31"/>
      <c r="AM3756" s="26"/>
      <c r="AN3756" s="32"/>
      <c r="AO3756" s="32"/>
      <c r="AP3756" s="24"/>
      <c r="AQ3756" s="24"/>
      <c r="AR3756" s="33"/>
      <c r="AS3756" s="34"/>
      <c r="AT3756" s="33"/>
      <c r="AV3756" s="21">
        <f>IF(AND($AL3756&lt;&gt;"",COUNTIF($AL$11:$AL3756,$AL3756)=1),1,0)</f>
        <v>0</v>
      </c>
      <c r="AW3756" s="21">
        <f t="shared" si="203"/>
        <v>0</v>
      </c>
      <c r="AX3756" s="21" t="str">
        <f t="shared" si="202"/>
        <v/>
      </c>
      <c r="AY3756" s="21" t="str">
        <f>IF(AND($AM3756&lt;&gt;"",$AS3756&lt;&gt;"✓"),SUMPRODUCT(($AM$11:$AM3756&lt;&gt;"")*($AS$11:$AS3756&lt;&gt;"✓")),"")</f>
        <v/>
      </c>
      <c r="AZ3756" s="21" t="str">
        <f>IF(AND($AM3756&lt;&gt;"",$AS3756="✓"),SUMPRODUCT(($AM$11:$AM3756&lt;&gt;"")*($AS$11:$AS3756="✓")),"")</f>
        <v/>
      </c>
      <c r="BA3756" s="21" t="str">
        <f>IF($AL3756="","",$AL3756&amp;"|"&amp;COUNTIF($AL$11:$AL3756,$AL3756))</f>
        <v/>
      </c>
    </row>
    <row r="3757" spans="38:53" ht="15" customHeight="1" x14ac:dyDescent="0.25">
      <c r="AL3757" s="17"/>
      <c r="AM3757" s="12"/>
      <c r="AN3757" s="18"/>
      <c r="AO3757" s="18"/>
      <c r="AP3757" s="10"/>
      <c r="AQ3757" s="10"/>
      <c r="AR3757" s="19"/>
      <c r="AS3757" s="20"/>
      <c r="AT3757" s="19"/>
      <c r="AV3757" s="21">
        <f>IF(AND($AL3757&lt;&gt;"",COUNTIF($AL$11:$AL3757,$AL3757)=1),1,0)</f>
        <v>0</v>
      </c>
      <c r="AW3757" s="21">
        <f t="shared" si="203"/>
        <v>0</v>
      </c>
      <c r="AX3757" s="21" t="str">
        <f t="shared" si="202"/>
        <v/>
      </c>
      <c r="AY3757" s="21" t="str">
        <f>IF(AND($AM3757&lt;&gt;"",$AS3757&lt;&gt;"✓"),SUMPRODUCT(($AM$11:$AM3757&lt;&gt;"")*($AS$11:$AS3757&lt;&gt;"✓")),"")</f>
        <v/>
      </c>
      <c r="AZ3757" s="21" t="str">
        <f>IF(AND($AM3757&lt;&gt;"",$AS3757="✓"),SUMPRODUCT(($AM$11:$AM3757&lt;&gt;"")*($AS$11:$AS3757="✓")),"")</f>
        <v/>
      </c>
      <c r="BA3757" s="21" t="str">
        <f>IF($AL3757="","",$AL3757&amp;"|"&amp;COUNTIF($AL$11:$AL3757,$AL3757))</f>
        <v/>
      </c>
    </row>
    <row r="3758" spans="38:53" ht="15" customHeight="1" x14ac:dyDescent="0.25">
      <c r="AL3758" s="31"/>
      <c r="AM3758" s="26"/>
      <c r="AN3758" s="32"/>
      <c r="AO3758" s="32"/>
      <c r="AP3758" s="24"/>
      <c r="AQ3758" s="24"/>
      <c r="AR3758" s="33"/>
      <c r="AS3758" s="34"/>
      <c r="AT3758" s="33"/>
      <c r="AV3758" s="21">
        <f>IF(AND($AL3758&lt;&gt;"",COUNTIF($AL$11:$AL3758,$AL3758)=1),1,0)</f>
        <v>0</v>
      </c>
      <c r="AW3758" s="21">
        <f t="shared" si="203"/>
        <v>0</v>
      </c>
      <c r="AX3758" s="21" t="str">
        <f t="shared" si="202"/>
        <v/>
      </c>
      <c r="AY3758" s="21" t="str">
        <f>IF(AND($AM3758&lt;&gt;"",$AS3758&lt;&gt;"✓"),SUMPRODUCT(($AM$11:$AM3758&lt;&gt;"")*($AS$11:$AS3758&lt;&gt;"✓")),"")</f>
        <v/>
      </c>
      <c r="AZ3758" s="21" t="str">
        <f>IF(AND($AM3758&lt;&gt;"",$AS3758="✓"),SUMPRODUCT(($AM$11:$AM3758&lt;&gt;"")*($AS$11:$AS3758="✓")),"")</f>
        <v/>
      </c>
      <c r="BA3758" s="21" t="str">
        <f>IF($AL3758="","",$AL3758&amp;"|"&amp;COUNTIF($AL$11:$AL3758,$AL3758))</f>
        <v/>
      </c>
    </row>
    <row r="3759" spans="38:53" ht="15" customHeight="1" x14ac:dyDescent="0.25">
      <c r="AL3759" s="17"/>
      <c r="AM3759" s="12"/>
      <c r="AN3759" s="18"/>
      <c r="AO3759" s="18"/>
      <c r="AP3759" s="10"/>
      <c r="AQ3759" s="10"/>
      <c r="AR3759" s="19"/>
      <c r="AS3759" s="20"/>
      <c r="AT3759" s="19"/>
      <c r="AV3759" s="21">
        <f>IF(AND($AL3759&lt;&gt;"",COUNTIF($AL$11:$AL3759,$AL3759)=1),1,0)</f>
        <v>0</v>
      </c>
      <c r="AW3759" s="21">
        <f t="shared" si="203"/>
        <v>0</v>
      </c>
      <c r="AX3759" s="21" t="str">
        <f t="shared" si="202"/>
        <v/>
      </c>
      <c r="AY3759" s="21" t="str">
        <f>IF(AND($AM3759&lt;&gt;"",$AS3759&lt;&gt;"✓"),SUMPRODUCT(($AM$11:$AM3759&lt;&gt;"")*($AS$11:$AS3759&lt;&gt;"✓")),"")</f>
        <v/>
      </c>
      <c r="AZ3759" s="21" t="str">
        <f>IF(AND($AM3759&lt;&gt;"",$AS3759="✓"),SUMPRODUCT(($AM$11:$AM3759&lt;&gt;"")*($AS$11:$AS3759="✓")),"")</f>
        <v/>
      </c>
      <c r="BA3759" s="21" t="str">
        <f>IF($AL3759="","",$AL3759&amp;"|"&amp;COUNTIF($AL$11:$AL3759,$AL3759))</f>
        <v/>
      </c>
    </row>
    <row r="3760" spans="38:53" ht="15" customHeight="1" x14ac:dyDescent="0.25">
      <c r="AL3760" s="31"/>
      <c r="AM3760" s="26"/>
      <c r="AN3760" s="32"/>
      <c r="AO3760" s="32"/>
      <c r="AP3760" s="24"/>
      <c r="AQ3760" s="24"/>
      <c r="AR3760" s="33"/>
      <c r="AS3760" s="34"/>
      <c r="AT3760" s="33"/>
      <c r="AV3760" s="21">
        <f>IF(AND($AL3760&lt;&gt;"",COUNTIF($AL$11:$AL3760,$AL3760)=1),1,0)</f>
        <v>0</v>
      </c>
      <c r="AW3760" s="21">
        <f t="shared" si="203"/>
        <v>0</v>
      </c>
      <c r="AX3760" s="21" t="str">
        <f t="shared" si="202"/>
        <v/>
      </c>
      <c r="AY3760" s="21" t="str">
        <f>IF(AND($AM3760&lt;&gt;"",$AS3760&lt;&gt;"✓"),SUMPRODUCT(($AM$11:$AM3760&lt;&gt;"")*($AS$11:$AS3760&lt;&gt;"✓")),"")</f>
        <v/>
      </c>
      <c r="AZ3760" s="21" t="str">
        <f>IF(AND($AM3760&lt;&gt;"",$AS3760="✓"),SUMPRODUCT(($AM$11:$AM3760&lt;&gt;"")*($AS$11:$AS3760="✓")),"")</f>
        <v/>
      </c>
      <c r="BA3760" s="21" t="str">
        <f>IF($AL3760="","",$AL3760&amp;"|"&amp;COUNTIF($AL$11:$AL3760,$AL3760))</f>
        <v/>
      </c>
    </row>
    <row r="3761" spans="38:53" ht="15" customHeight="1" x14ac:dyDescent="0.25">
      <c r="AL3761" s="17"/>
      <c r="AM3761" s="12"/>
      <c r="AN3761" s="18"/>
      <c r="AO3761" s="18"/>
      <c r="AP3761" s="10"/>
      <c r="AQ3761" s="10"/>
      <c r="AR3761" s="19"/>
      <c r="AS3761" s="20"/>
      <c r="AT3761" s="19"/>
      <c r="AV3761" s="21">
        <f>IF(AND($AL3761&lt;&gt;"",COUNTIF($AL$11:$AL3761,$AL3761)=1),1,0)</f>
        <v>0</v>
      </c>
      <c r="AW3761" s="21">
        <f t="shared" si="203"/>
        <v>0</v>
      </c>
      <c r="AX3761" s="21" t="str">
        <f t="shared" si="202"/>
        <v/>
      </c>
      <c r="AY3761" s="21" t="str">
        <f>IF(AND($AM3761&lt;&gt;"",$AS3761&lt;&gt;"✓"),SUMPRODUCT(($AM$11:$AM3761&lt;&gt;"")*($AS$11:$AS3761&lt;&gt;"✓")),"")</f>
        <v/>
      </c>
      <c r="AZ3761" s="21" t="str">
        <f>IF(AND($AM3761&lt;&gt;"",$AS3761="✓"),SUMPRODUCT(($AM$11:$AM3761&lt;&gt;"")*($AS$11:$AS3761="✓")),"")</f>
        <v/>
      </c>
      <c r="BA3761" s="21" t="str">
        <f>IF($AL3761="","",$AL3761&amp;"|"&amp;COUNTIF($AL$11:$AL3761,$AL3761))</f>
        <v/>
      </c>
    </row>
    <row r="3762" spans="38:53" ht="15" customHeight="1" x14ac:dyDescent="0.25">
      <c r="AL3762" s="31"/>
      <c r="AM3762" s="26"/>
      <c r="AN3762" s="32"/>
      <c r="AO3762" s="32"/>
      <c r="AP3762" s="24"/>
      <c r="AQ3762" s="24"/>
      <c r="AR3762" s="33"/>
      <c r="AS3762" s="34"/>
      <c r="AT3762" s="33"/>
      <c r="AV3762" s="21">
        <f>IF(AND($AL3762&lt;&gt;"",COUNTIF($AL$11:$AL3762,$AL3762)=1),1,0)</f>
        <v>0</v>
      </c>
      <c r="AW3762" s="21">
        <f t="shared" si="203"/>
        <v>0</v>
      </c>
      <c r="AX3762" s="21" t="str">
        <f t="shared" si="202"/>
        <v/>
      </c>
      <c r="AY3762" s="21" t="str">
        <f>IF(AND($AM3762&lt;&gt;"",$AS3762&lt;&gt;"✓"),SUMPRODUCT(($AM$11:$AM3762&lt;&gt;"")*($AS$11:$AS3762&lt;&gt;"✓")),"")</f>
        <v/>
      </c>
      <c r="AZ3762" s="21" t="str">
        <f>IF(AND($AM3762&lt;&gt;"",$AS3762="✓"),SUMPRODUCT(($AM$11:$AM3762&lt;&gt;"")*($AS$11:$AS3762="✓")),"")</f>
        <v/>
      </c>
      <c r="BA3762" s="21" t="str">
        <f>IF($AL3762="","",$AL3762&amp;"|"&amp;COUNTIF($AL$11:$AL3762,$AL3762))</f>
        <v/>
      </c>
    </row>
    <row r="3763" spans="38:53" ht="15" customHeight="1" x14ac:dyDescent="0.25">
      <c r="AL3763" s="17"/>
      <c r="AM3763" s="12"/>
      <c r="AN3763" s="18"/>
      <c r="AO3763" s="18"/>
      <c r="AP3763" s="10"/>
      <c r="AQ3763" s="10"/>
      <c r="AR3763" s="19"/>
      <c r="AS3763" s="20"/>
      <c r="AT3763" s="19"/>
      <c r="AV3763" s="21">
        <f>IF(AND($AL3763&lt;&gt;"",COUNTIF($AL$11:$AL3763,$AL3763)=1),1,0)</f>
        <v>0</v>
      </c>
      <c r="AW3763" s="21">
        <f t="shared" si="203"/>
        <v>0</v>
      </c>
      <c r="AX3763" s="21" t="str">
        <f t="shared" si="202"/>
        <v/>
      </c>
      <c r="AY3763" s="21" t="str">
        <f>IF(AND($AM3763&lt;&gt;"",$AS3763&lt;&gt;"✓"),SUMPRODUCT(($AM$11:$AM3763&lt;&gt;"")*($AS$11:$AS3763&lt;&gt;"✓")),"")</f>
        <v/>
      </c>
      <c r="AZ3763" s="21" t="str">
        <f>IF(AND($AM3763&lt;&gt;"",$AS3763="✓"),SUMPRODUCT(($AM$11:$AM3763&lt;&gt;"")*($AS$11:$AS3763="✓")),"")</f>
        <v/>
      </c>
      <c r="BA3763" s="21" t="str">
        <f>IF($AL3763="","",$AL3763&amp;"|"&amp;COUNTIF($AL$11:$AL3763,$AL3763))</f>
        <v/>
      </c>
    </row>
    <row r="3764" spans="38:53" ht="15" customHeight="1" x14ac:dyDescent="0.25">
      <c r="AL3764" s="31"/>
      <c r="AM3764" s="26"/>
      <c r="AN3764" s="32"/>
      <c r="AO3764" s="32"/>
      <c r="AP3764" s="24"/>
      <c r="AQ3764" s="24"/>
      <c r="AR3764" s="33"/>
      <c r="AS3764" s="34"/>
      <c r="AT3764" s="33"/>
      <c r="AV3764" s="21">
        <f>IF(AND($AL3764&lt;&gt;"",COUNTIF($AL$11:$AL3764,$AL3764)=1),1,0)</f>
        <v>0</v>
      </c>
      <c r="AW3764" s="21">
        <f t="shared" si="203"/>
        <v>0</v>
      </c>
      <c r="AX3764" s="21" t="str">
        <f t="shared" si="202"/>
        <v/>
      </c>
      <c r="AY3764" s="21" t="str">
        <f>IF(AND($AM3764&lt;&gt;"",$AS3764&lt;&gt;"✓"),SUMPRODUCT(($AM$11:$AM3764&lt;&gt;"")*($AS$11:$AS3764&lt;&gt;"✓")),"")</f>
        <v/>
      </c>
      <c r="AZ3764" s="21" t="str">
        <f>IF(AND($AM3764&lt;&gt;"",$AS3764="✓"),SUMPRODUCT(($AM$11:$AM3764&lt;&gt;"")*($AS$11:$AS3764="✓")),"")</f>
        <v/>
      </c>
      <c r="BA3764" s="21" t="str">
        <f>IF($AL3764="","",$AL3764&amp;"|"&amp;COUNTIF($AL$11:$AL3764,$AL3764))</f>
        <v/>
      </c>
    </row>
    <row r="3765" spans="38:53" ht="15" customHeight="1" x14ac:dyDescent="0.25">
      <c r="AL3765" s="17"/>
      <c r="AM3765" s="12"/>
      <c r="AN3765" s="18"/>
      <c r="AO3765" s="18"/>
      <c r="AP3765" s="10"/>
      <c r="AQ3765" s="10"/>
      <c r="AR3765" s="19"/>
      <c r="AS3765" s="20"/>
      <c r="AT3765" s="19"/>
      <c r="AV3765" s="21">
        <f>IF(AND($AL3765&lt;&gt;"",COUNTIF($AL$11:$AL3765,$AL3765)=1),1,0)</f>
        <v>0</v>
      </c>
      <c r="AW3765" s="21">
        <f t="shared" si="203"/>
        <v>0</v>
      </c>
      <c r="AX3765" s="21" t="str">
        <f t="shared" si="202"/>
        <v/>
      </c>
      <c r="AY3765" s="21" t="str">
        <f>IF(AND($AM3765&lt;&gt;"",$AS3765&lt;&gt;"✓"),SUMPRODUCT(($AM$11:$AM3765&lt;&gt;"")*($AS$11:$AS3765&lt;&gt;"✓")),"")</f>
        <v/>
      </c>
      <c r="AZ3765" s="21" t="str">
        <f>IF(AND($AM3765&lt;&gt;"",$AS3765="✓"),SUMPRODUCT(($AM$11:$AM3765&lt;&gt;"")*($AS$11:$AS3765="✓")),"")</f>
        <v/>
      </c>
      <c r="BA3765" s="21" t="str">
        <f>IF($AL3765="","",$AL3765&amp;"|"&amp;COUNTIF($AL$11:$AL3765,$AL3765))</f>
        <v/>
      </c>
    </row>
    <row r="3766" spans="38:53" ht="15" customHeight="1" x14ac:dyDescent="0.25">
      <c r="AL3766" s="31"/>
      <c r="AM3766" s="26"/>
      <c r="AN3766" s="32"/>
      <c r="AO3766" s="32"/>
      <c r="AP3766" s="24"/>
      <c r="AQ3766" s="24"/>
      <c r="AR3766" s="33"/>
      <c r="AS3766" s="34"/>
      <c r="AT3766" s="33"/>
      <c r="AV3766" s="21">
        <f>IF(AND($AL3766&lt;&gt;"",COUNTIF($AL$11:$AL3766,$AL3766)=1),1,0)</f>
        <v>0</v>
      </c>
      <c r="AW3766" s="21">
        <f t="shared" si="203"/>
        <v>0</v>
      </c>
      <c r="AX3766" s="21" t="str">
        <f t="shared" si="202"/>
        <v/>
      </c>
      <c r="AY3766" s="21" t="str">
        <f>IF(AND($AM3766&lt;&gt;"",$AS3766&lt;&gt;"✓"),SUMPRODUCT(($AM$11:$AM3766&lt;&gt;"")*($AS$11:$AS3766&lt;&gt;"✓")),"")</f>
        <v/>
      </c>
      <c r="AZ3766" s="21" t="str">
        <f>IF(AND($AM3766&lt;&gt;"",$AS3766="✓"),SUMPRODUCT(($AM$11:$AM3766&lt;&gt;"")*($AS$11:$AS3766="✓")),"")</f>
        <v/>
      </c>
      <c r="BA3766" s="21" t="str">
        <f>IF($AL3766="","",$AL3766&amp;"|"&amp;COUNTIF($AL$11:$AL3766,$AL3766))</f>
        <v/>
      </c>
    </row>
    <row r="3767" spans="38:53" ht="15" customHeight="1" x14ac:dyDescent="0.25">
      <c r="AL3767" s="17"/>
      <c r="AM3767" s="12"/>
      <c r="AN3767" s="18"/>
      <c r="AO3767" s="18"/>
      <c r="AP3767" s="10"/>
      <c r="AQ3767" s="10"/>
      <c r="AR3767" s="19"/>
      <c r="AS3767" s="20"/>
      <c r="AT3767" s="19"/>
      <c r="AV3767" s="21">
        <f>IF(AND($AL3767&lt;&gt;"",COUNTIF($AL$11:$AL3767,$AL3767)=1),1,0)</f>
        <v>0</v>
      </c>
      <c r="AW3767" s="21">
        <f t="shared" si="203"/>
        <v>0</v>
      </c>
      <c r="AX3767" s="21" t="str">
        <f t="shared" si="202"/>
        <v/>
      </c>
      <c r="AY3767" s="21" t="str">
        <f>IF(AND($AM3767&lt;&gt;"",$AS3767&lt;&gt;"✓"),SUMPRODUCT(($AM$11:$AM3767&lt;&gt;"")*($AS$11:$AS3767&lt;&gt;"✓")),"")</f>
        <v/>
      </c>
      <c r="AZ3767" s="21" t="str">
        <f>IF(AND($AM3767&lt;&gt;"",$AS3767="✓"),SUMPRODUCT(($AM$11:$AM3767&lt;&gt;"")*($AS$11:$AS3767="✓")),"")</f>
        <v/>
      </c>
      <c r="BA3767" s="21" t="str">
        <f>IF($AL3767="","",$AL3767&amp;"|"&amp;COUNTIF($AL$11:$AL3767,$AL3767))</f>
        <v/>
      </c>
    </row>
    <row r="3768" spans="38:53" ht="15" customHeight="1" x14ac:dyDescent="0.25">
      <c r="AL3768" s="31"/>
      <c r="AM3768" s="26"/>
      <c r="AN3768" s="32"/>
      <c r="AO3768" s="32"/>
      <c r="AP3768" s="24"/>
      <c r="AQ3768" s="24"/>
      <c r="AR3768" s="33"/>
      <c r="AS3768" s="34"/>
      <c r="AT3768" s="33"/>
      <c r="AV3768" s="21">
        <f>IF(AND($AL3768&lt;&gt;"",COUNTIF($AL$11:$AL3768,$AL3768)=1),1,0)</f>
        <v>0</v>
      </c>
      <c r="AW3768" s="21">
        <f t="shared" si="203"/>
        <v>0</v>
      </c>
      <c r="AX3768" s="21" t="str">
        <f t="shared" si="202"/>
        <v/>
      </c>
      <c r="AY3768" s="21" t="str">
        <f>IF(AND($AM3768&lt;&gt;"",$AS3768&lt;&gt;"✓"),SUMPRODUCT(($AM$11:$AM3768&lt;&gt;"")*($AS$11:$AS3768&lt;&gt;"✓")),"")</f>
        <v/>
      </c>
      <c r="AZ3768" s="21" t="str">
        <f>IF(AND($AM3768&lt;&gt;"",$AS3768="✓"),SUMPRODUCT(($AM$11:$AM3768&lt;&gt;"")*($AS$11:$AS3768="✓")),"")</f>
        <v/>
      </c>
      <c r="BA3768" s="21" t="str">
        <f>IF($AL3768="","",$AL3768&amp;"|"&amp;COUNTIF($AL$11:$AL3768,$AL3768))</f>
        <v/>
      </c>
    </row>
    <row r="3769" spans="38:53" ht="15" customHeight="1" x14ac:dyDescent="0.25">
      <c r="AL3769" s="17"/>
      <c r="AM3769" s="12"/>
      <c r="AN3769" s="18"/>
      <c r="AO3769" s="18"/>
      <c r="AP3769" s="10"/>
      <c r="AQ3769" s="10"/>
      <c r="AR3769" s="19"/>
      <c r="AS3769" s="20"/>
      <c r="AT3769" s="19"/>
      <c r="AV3769" s="21">
        <f>IF(AND($AL3769&lt;&gt;"",COUNTIF($AL$11:$AL3769,$AL3769)=1),1,0)</f>
        <v>0</v>
      </c>
      <c r="AW3769" s="21">
        <f t="shared" si="203"/>
        <v>0</v>
      </c>
      <c r="AX3769" s="21" t="str">
        <f t="shared" si="202"/>
        <v/>
      </c>
      <c r="AY3769" s="21" t="str">
        <f>IF(AND($AM3769&lt;&gt;"",$AS3769&lt;&gt;"✓"),SUMPRODUCT(($AM$11:$AM3769&lt;&gt;"")*($AS$11:$AS3769&lt;&gt;"✓")),"")</f>
        <v/>
      </c>
      <c r="AZ3769" s="21" t="str">
        <f>IF(AND($AM3769&lt;&gt;"",$AS3769="✓"),SUMPRODUCT(($AM$11:$AM3769&lt;&gt;"")*($AS$11:$AS3769="✓")),"")</f>
        <v/>
      </c>
      <c r="BA3769" s="21" t="str">
        <f>IF($AL3769="","",$AL3769&amp;"|"&amp;COUNTIF($AL$11:$AL3769,$AL3769))</f>
        <v/>
      </c>
    </row>
    <row r="3770" spans="38:53" ht="15" customHeight="1" x14ac:dyDescent="0.25">
      <c r="AL3770" s="31"/>
      <c r="AM3770" s="26"/>
      <c r="AN3770" s="32"/>
      <c r="AO3770" s="32"/>
      <c r="AP3770" s="24"/>
      <c r="AQ3770" s="24"/>
      <c r="AR3770" s="33"/>
      <c r="AS3770" s="34"/>
      <c r="AT3770" s="33"/>
      <c r="AV3770" s="21">
        <f>IF(AND($AL3770&lt;&gt;"",COUNTIF($AL$11:$AL3770,$AL3770)=1),1,0)</f>
        <v>0</v>
      </c>
      <c r="AW3770" s="21">
        <f t="shared" si="203"/>
        <v>0</v>
      </c>
      <c r="AX3770" s="21" t="str">
        <f t="shared" si="202"/>
        <v/>
      </c>
      <c r="AY3770" s="21" t="str">
        <f>IF(AND($AM3770&lt;&gt;"",$AS3770&lt;&gt;"✓"),SUMPRODUCT(($AM$11:$AM3770&lt;&gt;"")*($AS$11:$AS3770&lt;&gt;"✓")),"")</f>
        <v/>
      </c>
      <c r="AZ3770" s="21" t="str">
        <f>IF(AND($AM3770&lt;&gt;"",$AS3770="✓"),SUMPRODUCT(($AM$11:$AM3770&lt;&gt;"")*($AS$11:$AS3770="✓")),"")</f>
        <v/>
      </c>
      <c r="BA3770" s="21" t="str">
        <f>IF($AL3770="","",$AL3770&amp;"|"&amp;COUNTIF($AL$11:$AL3770,$AL3770))</f>
        <v/>
      </c>
    </row>
    <row r="3771" spans="38:53" ht="15" customHeight="1" x14ac:dyDescent="0.25">
      <c r="AL3771" s="17"/>
      <c r="AM3771" s="12"/>
      <c r="AN3771" s="18"/>
      <c r="AO3771" s="18"/>
      <c r="AP3771" s="10"/>
      <c r="AQ3771" s="10"/>
      <c r="AR3771" s="19"/>
      <c r="AS3771" s="20"/>
      <c r="AT3771" s="19"/>
      <c r="AV3771" s="21">
        <f>IF(AND($AL3771&lt;&gt;"",COUNTIF($AL$11:$AL3771,$AL3771)=1),1,0)</f>
        <v>0</v>
      </c>
      <c r="AW3771" s="21">
        <f t="shared" si="203"/>
        <v>0</v>
      </c>
      <c r="AX3771" s="21" t="str">
        <f t="shared" si="202"/>
        <v/>
      </c>
      <c r="AY3771" s="21" t="str">
        <f>IF(AND($AM3771&lt;&gt;"",$AS3771&lt;&gt;"✓"),SUMPRODUCT(($AM$11:$AM3771&lt;&gt;"")*($AS$11:$AS3771&lt;&gt;"✓")),"")</f>
        <v/>
      </c>
      <c r="AZ3771" s="21" t="str">
        <f>IF(AND($AM3771&lt;&gt;"",$AS3771="✓"),SUMPRODUCT(($AM$11:$AM3771&lt;&gt;"")*($AS$11:$AS3771="✓")),"")</f>
        <v/>
      </c>
      <c r="BA3771" s="21" t="str">
        <f>IF($AL3771="","",$AL3771&amp;"|"&amp;COUNTIF($AL$11:$AL3771,$AL3771))</f>
        <v/>
      </c>
    </row>
    <row r="3772" spans="38:53" ht="15" customHeight="1" x14ac:dyDescent="0.25">
      <c r="AL3772" s="31"/>
      <c r="AM3772" s="26"/>
      <c r="AN3772" s="32"/>
      <c r="AO3772" s="32"/>
      <c r="AP3772" s="24"/>
      <c r="AQ3772" s="24"/>
      <c r="AR3772" s="33"/>
      <c r="AS3772" s="34"/>
      <c r="AT3772" s="33"/>
      <c r="AV3772" s="21">
        <f>IF(AND($AL3772&lt;&gt;"",COUNTIF($AL$11:$AL3772,$AL3772)=1),1,0)</f>
        <v>0</v>
      </c>
      <c r="AW3772" s="21">
        <f t="shared" si="203"/>
        <v>0</v>
      </c>
      <c r="AX3772" s="21" t="str">
        <f t="shared" si="202"/>
        <v/>
      </c>
      <c r="AY3772" s="21" t="str">
        <f>IF(AND($AM3772&lt;&gt;"",$AS3772&lt;&gt;"✓"),SUMPRODUCT(($AM$11:$AM3772&lt;&gt;"")*($AS$11:$AS3772&lt;&gt;"✓")),"")</f>
        <v/>
      </c>
      <c r="AZ3772" s="21" t="str">
        <f>IF(AND($AM3772&lt;&gt;"",$AS3772="✓"),SUMPRODUCT(($AM$11:$AM3772&lt;&gt;"")*($AS$11:$AS3772="✓")),"")</f>
        <v/>
      </c>
      <c r="BA3772" s="21" t="str">
        <f>IF($AL3772="","",$AL3772&amp;"|"&amp;COUNTIF($AL$11:$AL3772,$AL3772))</f>
        <v/>
      </c>
    </row>
    <row r="3773" spans="38:53" ht="15" customHeight="1" x14ac:dyDescent="0.25">
      <c r="AL3773" s="17"/>
      <c r="AM3773" s="12"/>
      <c r="AN3773" s="18"/>
      <c r="AO3773" s="18"/>
      <c r="AP3773" s="10"/>
      <c r="AQ3773" s="10"/>
      <c r="AR3773" s="19"/>
      <c r="AS3773" s="20"/>
      <c r="AT3773" s="19"/>
      <c r="AV3773" s="21">
        <f>IF(AND($AL3773&lt;&gt;"",COUNTIF($AL$11:$AL3773,$AL3773)=1),1,0)</f>
        <v>0</v>
      </c>
      <c r="AW3773" s="21">
        <f t="shared" si="203"/>
        <v>0</v>
      </c>
      <c r="AX3773" s="21" t="str">
        <f t="shared" si="202"/>
        <v/>
      </c>
      <c r="AY3773" s="21" t="str">
        <f>IF(AND($AM3773&lt;&gt;"",$AS3773&lt;&gt;"✓"),SUMPRODUCT(($AM$11:$AM3773&lt;&gt;"")*($AS$11:$AS3773&lt;&gt;"✓")),"")</f>
        <v/>
      </c>
      <c r="AZ3773" s="21" t="str">
        <f>IF(AND($AM3773&lt;&gt;"",$AS3773="✓"),SUMPRODUCT(($AM$11:$AM3773&lt;&gt;"")*($AS$11:$AS3773="✓")),"")</f>
        <v/>
      </c>
      <c r="BA3773" s="21" t="str">
        <f>IF($AL3773="","",$AL3773&amp;"|"&amp;COUNTIF($AL$11:$AL3773,$AL3773))</f>
        <v/>
      </c>
    </row>
    <row r="3774" spans="38:53" ht="15" customHeight="1" x14ac:dyDescent="0.25">
      <c r="AL3774" s="31"/>
      <c r="AM3774" s="26"/>
      <c r="AN3774" s="32"/>
      <c r="AO3774" s="32"/>
      <c r="AP3774" s="24"/>
      <c r="AQ3774" s="24"/>
      <c r="AR3774" s="33"/>
      <c r="AS3774" s="34"/>
      <c r="AT3774" s="33"/>
      <c r="AV3774" s="21">
        <f>IF(AND($AL3774&lt;&gt;"",COUNTIF($AL$11:$AL3774,$AL3774)=1),1,0)</f>
        <v>0</v>
      </c>
      <c r="AW3774" s="21">
        <f t="shared" si="203"/>
        <v>0</v>
      </c>
      <c r="AX3774" s="21" t="str">
        <f t="shared" si="202"/>
        <v/>
      </c>
      <c r="AY3774" s="21" t="str">
        <f>IF(AND($AM3774&lt;&gt;"",$AS3774&lt;&gt;"✓"),SUMPRODUCT(($AM$11:$AM3774&lt;&gt;"")*($AS$11:$AS3774&lt;&gt;"✓")),"")</f>
        <v/>
      </c>
      <c r="AZ3774" s="21" t="str">
        <f>IF(AND($AM3774&lt;&gt;"",$AS3774="✓"),SUMPRODUCT(($AM$11:$AM3774&lt;&gt;"")*($AS$11:$AS3774="✓")),"")</f>
        <v/>
      </c>
      <c r="BA3774" s="21" t="str">
        <f>IF($AL3774="","",$AL3774&amp;"|"&amp;COUNTIF($AL$11:$AL3774,$AL3774))</f>
        <v/>
      </c>
    </row>
    <row r="3775" spans="38:53" ht="15" customHeight="1" x14ac:dyDescent="0.25">
      <c r="AL3775" s="17"/>
      <c r="AM3775" s="12"/>
      <c r="AN3775" s="18"/>
      <c r="AO3775" s="18"/>
      <c r="AP3775" s="10"/>
      <c r="AQ3775" s="10"/>
      <c r="AR3775" s="19"/>
      <c r="AS3775" s="20"/>
      <c r="AT3775" s="19"/>
      <c r="AV3775" s="21">
        <f>IF(AND($AL3775&lt;&gt;"",COUNTIF($AL$11:$AL3775,$AL3775)=1),1,0)</f>
        <v>0</v>
      </c>
      <c r="AW3775" s="21">
        <f t="shared" si="203"/>
        <v>0</v>
      </c>
      <c r="AX3775" s="21" t="str">
        <f t="shared" si="202"/>
        <v/>
      </c>
      <c r="AY3775" s="21" t="str">
        <f>IF(AND($AM3775&lt;&gt;"",$AS3775&lt;&gt;"✓"),SUMPRODUCT(($AM$11:$AM3775&lt;&gt;"")*($AS$11:$AS3775&lt;&gt;"✓")),"")</f>
        <v/>
      </c>
      <c r="AZ3775" s="21" t="str">
        <f>IF(AND($AM3775&lt;&gt;"",$AS3775="✓"),SUMPRODUCT(($AM$11:$AM3775&lt;&gt;"")*($AS$11:$AS3775="✓")),"")</f>
        <v/>
      </c>
      <c r="BA3775" s="21" t="str">
        <f>IF($AL3775="","",$AL3775&amp;"|"&amp;COUNTIF($AL$11:$AL3775,$AL3775))</f>
        <v/>
      </c>
    </row>
    <row r="3776" spans="38:53" ht="15" customHeight="1" x14ac:dyDescent="0.25">
      <c r="AL3776" s="31"/>
      <c r="AM3776" s="26"/>
      <c r="AN3776" s="32"/>
      <c r="AO3776" s="32"/>
      <c r="AP3776" s="24"/>
      <c r="AQ3776" s="24"/>
      <c r="AR3776" s="33"/>
      <c r="AS3776" s="34"/>
      <c r="AT3776" s="33"/>
      <c r="AV3776" s="21">
        <f>IF(AND($AL3776&lt;&gt;"",COUNTIF($AL$11:$AL3776,$AL3776)=1),1,0)</f>
        <v>0</v>
      </c>
      <c r="AW3776" s="21">
        <f t="shared" si="203"/>
        <v>0</v>
      </c>
      <c r="AX3776" s="21" t="str">
        <f t="shared" si="202"/>
        <v/>
      </c>
      <c r="AY3776" s="21" t="str">
        <f>IF(AND($AM3776&lt;&gt;"",$AS3776&lt;&gt;"✓"),SUMPRODUCT(($AM$11:$AM3776&lt;&gt;"")*($AS$11:$AS3776&lt;&gt;"✓")),"")</f>
        <v/>
      </c>
      <c r="AZ3776" s="21" t="str">
        <f>IF(AND($AM3776&lt;&gt;"",$AS3776="✓"),SUMPRODUCT(($AM$11:$AM3776&lt;&gt;"")*($AS$11:$AS3776="✓")),"")</f>
        <v/>
      </c>
      <c r="BA3776" s="21" t="str">
        <f>IF($AL3776="","",$AL3776&amp;"|"&amp;COUNTIF($AL$11:$AL3776,$AL3776))</f>
        <v/>
      </c>
    </row>
    <row r="3777" spans="38:53" ht="15" customHeight="1" x14ac:dyDescent="0.25">
      <c r="AL3777" s="17"/>
      <c r="AM3777" s="12"/>
      <c r="AN3777" s="18"/>
      <c r="AO3777" s="18"/>
      <c r="AP3777" s="10"/>
      <c r="AQ3777" s="10"/>
      <c r="AR3777" s="19"/>
      <c r="AS3777" s="20"/>
      <c r="AT3777" s="19"/>
      <c r="AV3777" s="21">
        <f>IF(AND($AL3777&lt;&gt;"",COUNTIF($AL$11:$AL3777,$AL3777)=1),1,0)</f>
        <v>0</v>
      </c>
      <c r="AW3777" s="21">
        <f t="shared" si="203"/>
        <v>0</v>
      </c>
      <c r="AX3777" s="21" t="str">
        <f t="shared" si="202"/>
        <v/>
      </c>
      <c r="AY3777" s="21" t="str">
        <f>IF(AND($AM3777&lt;&gt;"",$AS3777&lt;&gt;"✓"),SUMPRODUCT(($AM$11:$AM3777&lt;&gt;"")*($AS$11:$AS3777&lt;&gt;"✓")),"")</f>
        <v/>
      </c>
      <c r="AZ3777" s="21" t="str">
        <f>IF(AND($AM3777&lt;&gt;"",$AS3777="✓"),SUMPRODUCT(($AM$11:$AM3777&lt;&gt;"")*($AS$11:$AS3777="✓")),"")</f>
        <v/>
      </c>
      <c r="BA3777" s="21" t="str">
        <f>IF($AL3777="","",$AL3777&amp;"|"&amp;COUNTIF($AL$11:$AL3777,$AL3777))</f>
        <v/>
      </c>
    </row>
    <row r="3778" spans="38:53" ht="15" customHeight="1" x14ac:dyDescent="0.25">
      <c r="AL3778" s="31"/>
      <c r="AM3778" s="26"/>
      <c r="AN3778" s="32"/>
      <c r="AO3778" s="32"/>
      <c r="AP3778" s="24"/>
      <c r="AQ3778" s="24"/>
      <c r="AR3778" s="33"/>
      <c r="AS3778" s="34"/>
      <c r="AT3778" s="33"/>
      <c r="AV3778" s="21">
        <f>IF(AND($AL3778&lt;&gt;"",COUNTIF($AL$11:$AL3778,$AL3778)=1),1,0)</f>
        <v>0</v>
      </c>
      <c r="AW3778" s="21">
        <f t="shared" si="203"/>
        <v>0</v>
      </c>
      <c r="AX3778" s="21" t="str">
        <f t="shared" si="202"/>
        <v/>
      </c>
      <c r="AY3778" s="21" t="str">
        <f>IF(AND($AM3778&lt;&gt;"",$AS3778&lt;&gt;"✓"),SUMPRODUCT(($AM$11:$AM3778&lt;&gt;"")*($AS$11:$AS3778&lt;&gt;"✓")),"")</f>
        <v/>
      </c>
      <c r="AZ3778" s="21" t="str">
        <f>IF(AND($AM3778&lt;&gt;"",$AS3778="✓"),SUMPRODUCT(($AM$11:$AM3778&lt;&gt;"")*($AS$11:$AS3778="✓")),"")</f>
        <v/>
      </c>
      <c r="BA3778" s="21" t="str">
        <f>IF($AL3778="","",$AL3778&amp;"|"&amp;COUNTIF($AL$11:$AL3778,$AL3778))</f>
        <v/>
      </c>
    </row>
    <row r="3779" spans="38:53" ht="15" customHeight="1" x14ac:dyDescent="0.25">
      <c r="AL3779" s="17"/>
      <c r="AM3779" s="12"/>
      <c r="AN3779" s="18"/>
      <c r="AO3779" s="18"/>
      <c r="AP3779" s="10"/>
      <c r="AQ3779" s="10"/>
      <c r="AR3779" s="19"/>
      <c r="AS3779" s="20"/>
      <c r="AT3779" s="19"/>
      <c r="AV3779" s="21">
        <f>IF(AND($AL3779&lt;&gt;"",COUNTIF($AL$11:$AL3779,$AL3779)=1),1,0)</f>
        <v>0</v>
      </c>
      <c r="AW3779" s="21">
        <f t="shared" si="203"/>
        <v>0</v>
      </c>
      <c r="AX3779" s="21" t="str">
        <f t="shared" si="202"/>
        <v/>
      </c>
      <c r="AY3779" s="21" t="str">
        <f>IF(AND($AM3779&lt;&gt;"",$AS3779&lt;&gt;"✓"),SUMPRODUCT(($AM$11:$AM3779&lt;&gt;"")*($AS$11:$AS3779&lt;&gt;"✓")),"")</f>
        <v/>
      </c>
      <c r="AZ3779" s="21" t="str">
        <f>IF(AND($AM3779&lt;&gt;"",$AS3779="✓"),SUMPRODUCT(($AM$11:$AM3779&lt;&gt;"")*($AS$11:$AS3779="✓")),"")</f>
        <v/>
      </c>
      <c r="BA3779" s="21" t="str">
        <f>IF($AL3779="","",$AL3779&amp;"|"&amp;COUNTIF($AL$11:$AL3779,$AL3779))</f>
        <v/>
      </c>
    </row>
    <row r="3780" spans="38:53" ht="15" customHeight="1" x14ac:dyDescent="0.25">
      <c r="AL3780" s="31"/>
      <c r="AM3780" s="26"/>
      <c r="AN3780" s="32"/>
      <c r="AO3780" s="32"/>
      <c r="AP3780" s="24"/>
      <c r="AQ3780" s="24"/>
      <c r="AR3780" s="33"/>
      <c r="AS3780" s="34"/>
      <c r="AT3780" s="33"/>
      <c r="AV3780" s="21">
        <f>IF(AND($AL3780&lt;&gt;"",COUNTIF($AL$11:$AL3780,$AL3780)=1),1,0)</f>
        <v>0</v>
      </c>
      <c r="AW3780" s="21">
        <f t="shared" si="203"/>
        <v>0</v>
      </c>
      <c r="AX3780" s="21" t="str">
        <f t="shared" si="202"/>
        <v/>
      </c>
      <c r="AY3780" s="21" t="str">
        <f>IF(AND($AM3780&lt;&gt;"",$AS3780&lt;&gt;"✓"),SUMPRODUCT(($AM$11:$AM3780&lt;&gt;"")*($AS$11:$AS3780&lt;&gt;"✓")),"")</f>
        <v/>
      </c>
      <c r="AZ3780" s="21" t="str">
        <f>IF(AND($AM3780&lt;&gt;"",$AS3780="✓"),SUMPRODUCT(($AM$11:$AM3780&lt;&gt;"")*($AS$11:$AS3780="✓")),"")</f>
        <v/>
      </c>
      <c r="BA3780" s="21" t="str">
        <f>IF($AL3780="","",$AL3780&amp;"|"&amp;COUNTIF($AL$11:$AL3780,$AL3780))</f>
        <v/>
      </c>
    </row>
    <row r="3781" spans="38:53" ht="15" customHeight="1" x14ac:dyDescent="0.25">
      <c r="AL3781" s="17"/>
      <c r="AM3781" s="12"/>
      <c r="AN3781" s="18"/>
      <c r="AO3781" s="18"/>
      <c r="AP3781" s="10"/>
      <c r="AQ3781" s="10"/>
      <c r="AR3781" s="19"/>
      <c r="AS3781" s="20"/>
      <c r="AT3781" s="19"/>
      <c r="AV3781" s="21">
        <f>IF(AND($AL3781&lt;&gt;"",COUNTIF($AL$11:$AL3781,$AL3781)=1),1,0)</f>
        <v>0</v>
      </c>
      <c r="AW3781" s="21">
        <f t="shared" si="203"/>
        <v>0</v>
      </c>
      <c r="AX3781" s="21" t="str">
        <f t="shared" si="202"/>
        <v/>
      </c>
      <c r="AY3781" s="21" t="str">
        <f>IF(AND($AM3781&lt;&gt;"",$AS3781&lt;&gt;"✓"),SUMPRODUCT(($AM$11:$AM3781&lt;&gt;"")*($AS$11:$AS3781&lt;&gt;"✓")),"")</f>
        <v/>
      </c>
      <c r="AZ3781" s="21" t="str">
        <f>IF(AND($AM3781&lt;&gt;"",$AS3781="✓"),SUMPRODUCT(($AM$11:$AM3781&lt;&gt;"")*($AS$11:$AS3781="✓")),"")</f>
        <v/>
      </c>
      <c r="BA3781" s="21" t="str">
        <f>IF($AL3781="","",$AL3781&amp;"|"&amp;COUNTIF($AL$11:$AL3781,$AL3781))</f>
        <v/>
      </c>
    </row>
    <row r="3782" spans="38:53" ht="15" customHeight="1" x14ac:dyDescent="0.25">
      <c r="AL3782" s="31"/>
      <c r="AM3782" s="26"/>
      <c r="AN3782" s="32"/>
      <c r="AO3782" s="32"/>
      <c r="AP3782" s="24"/>
      <c r="AQ3782" s="24"/>
      <c r="AR3782" s="33"/>
      <c r="AS3782" s="34"/>
      <c r="AT3782" s="33"/>
      <c r="AV3782" s="21">
        <f>IF(AND($AL3782&lt;&gt;"",COUNTIF($AL$11:$AL3782,$AL3782)=1),1,0)</f>
        <v>0</v>
      </c>
      <c r="AW3782" s="21">
        <f t="shared" si="203"/>
        <v>0</v>
      </c>
      <c r="AX3782" s="21" t="str">
        <f t="shared" si="202"/>
        <v/>
      </c>
      <c r="AY3782" s="21" t="str">
        <f>IF(AND($AM3782&lt;&gt;"",$AS3782&lt;&gt;"✓"),SUMPRODUCT(($AM$11:$AM3782&lt;&gt;"")*($AS$11:$AS3782&lt;&gt;"✓")),"")</f>
        <v/>
      </c>
      <c r="AZ3782" s="21" t="str">
        <f>IF(AND($AM3782&lt;&gt;"",$AS3782="✓"),SUMPRODUCT(($AM$11:$AM3782&lt;&gt;"")*($AS$11:$AS3782="✓")),"")</f>
        <v/>
      </c>
      <c r="BA3782" s="21" t="str">
        <f>IF($AL3782="","",$AL3782&amp;"|"&amp;COUNTIF($AL$11:$AL3782,$AL3782))</f>
        <v/>
      </c>
    </row>
    <row r="3783" spans="38:53" ht="15" customHeight="1" x14ac:dyDescent="0.25">
      <c r="AL3783" s="17"/>
      <c r="AM3783" s="12"/>
      <c r="AN3783" s="18"/>
      <c r="AO3783" s="18"/>
      <c r="AP3783" s="10"/>
      <c r="AQ3783" s="10"/>
      <c r="AR3783" s="19"/>
      <c r="AS3783" s="20"/>
      <c r="AT3783" s="19"/>
      <c r="AV3783" s="21">
        <f>IF(AND($AL3783&lt;&gt;"",COUNTIF($AL$11:$AL3783,$AL3783)=1),1,0)</f>
        <v>0</v>
      </c>
      <c r="AW3783" s="21">
        <f t="shared" si="203"/>
        <v>0</v>
      </c>
      <c r="AX3783" s="21" t="str">
        <f t="shared" si="202"/>
        <v/>
      </c>
      <c r="AY3783" s="21" t="str">
        <f>IF(AND($AM3783&lt;&gt;"",$AS3783&lt;&gt;"✓"),SUMPRODUCT(($AM$11:$AM3783&lt;&gt;"")*($AS$11:$AS3783&lt;&gt;"✓")),"")</f>
        <v/>
      </c>
      <c r="AZ3783" s="21" t="str">
        <f>IF(AND($AM3783&lt;&gt;"",$AS3783="✓"),SUMPRODUCT(($AM$11:$AM3783&lt;&gt;"")*($AS$11:$AS3783="✓")),"")</f>
        <v/>
      </c>
      <c r="BA3783" s="21" t="str">
        <f>IF($AL3783="","",$AL3783&amp;"|"&amp;COUNTIF($AL$11:$AL3783,$AL3783))</f>
        <v/>
      </c>
    </row>
    <row r="3784" spans="38:53" ht="15" customHeight="1" x14ac:dyDescent="0.25">
      <c r="AL3784" s="31"/>
      <c r="AM3784" s="26"/>
      <c r="AN3784" s="32"/>
      <c r="AO3784" s="32"/>
      <c r="AP3784" s="24"/>
      <c r="AQ3784" s="24"/>
      <c r="AR3784" s="33"/>
      <c r="AS3784" s="34"/>
      <c r="AT3784" s="33"/>
      <c r="AV3784" s="21">
        <f>IF(AND($AL3784&lt;&gt;"",COUNTIF($AL$11:$AL3784,$AL3784)=1),1,0)</f>
        <v>0</v>
      </c>
      <c r="AW3784" s="21">
        <f t="shared" si="203"/>
        <v>0</v>
      </c>
      <c r="AX3784" s="21" t="str">
        <f t="shared" si="202"/>
        <v/>
      </c>
      <c r="AY3784" s="21" t="str">
        <f>IF(AND($AM3784&lt;&gt;"",$AS3784&lt;&gt;"✓"),SUMPRODUCT(($AM$11:$AM3784&lt;&gt;"")*($AS$11:$AS3784&lt;&gt;"✓")),"")</f>
        <v/>
      </c>
      <c r="AZ3784" s="21" t="str">
        <f>IF(AND($AM3784&lt;&gt;"",$AS3784="✓"),SUMPRODUCT(($AM$11:$AM3784&lt;&gt;"")*($AS$11:$AS3784="✓")),"")</f>
        <v/>
      </c>
      <c r="BA3784" s="21" t="str">
        <f>IF($AL3784="","",$AL3784&amp;"|"&amp;COUNTIF($AL$11:$AL3784,$AL3784))</f>
        <v/>
      </c>
    </row>
    <row r="3785" spans="38:53" ht="15" customHeight="1" x14ac:dyDescent="0.25">
      <c r="AL3785" s="17"/>
      <c r="AM3785" s="12"/>
      <c r="AN3785" s="18"/>
      <c r="AO3785" s="18"/>
      <c r="AP3785" s="10"/>
      <c r="AQ3785" s="10"/>
      <c r="AR3785" s="19"/>
      <c r="AS3785" s="20"/>
      <c r="AT3785" s="19"/>
      <c r="AV3785" s="21">
        <f>IF(AND($AL3785&lt;&gt;"",COUNTIF($AL$11:$AL3785,$AL3785)=1),1,0)</f>
        <v>0</v>
      </c>
      <c r="AW3785" s="21">
        <f t="shared" si="203"/>
        <v>0</v>
      </c>
      <c r="AX3785" s="21" t="str">
        <f t="shared" si="202"/>
        <v/>
      </c>
      <c r="AY3785" s="21" t="str">
        <f>IF(AND($AM3785&lt;&gt;"",$AS3785&lt;&gt;"✓"),SUMPRODUCT(($AM$11:$AM3785&lt;&gt;"")*($AS$11:$AS3785&lt;&gt;"✓")),"")</f>
        <v/>
      </c>
      <c r="AZ3785" s="21" t="str">
        <f>IF(AND($AM3785&lt;&gt;"",$AS3785="✓"),SUMPRODUCT(($AM$11:$AM3785&lt;&gt;"")*($AS$11:$AS3785="✓")),"")</f>
        <v/>
      </c>
      <c r="BA3785" s="21" t="str">
        <f>IF($AL3785="","",$AL3785&amp;"|"&amp;COUNTIF($AL$11:$AL3785,$AL3785))</f>
        <v/>
      </c>
    </row>
    <row r="3786" spans="38:53" ht="15" customHeight="1" x14ac:dyDescent="0.25">
      <c r="AL3786" s="31"/>
      <c r="AM3786" s="26"/>
      <c r="AN3786" s="32"/>
      <c r="AO3786" s="32"/>
      <c r="AP3786" s="24"/>
      <c r="AQ3786" s="24"/>
      <c r="AR3786" s="33"/>
      <c r="AS3786" s="34"/>
      <c r="AT3786" s="33"/>
      <c r="AV3786" s="21">
        <f>IF(AND($AL3786&lt;&gt;"",COUNTIF($AL$11:$AL3786,$AL3786)=1),1,0)</f>
        <v>0</v>
      </c>
      <c r="AW3786" s="21">
        <f t="shared" si="203"/>
        <v>0</v>
      </c>
      <c r="AX3786" s="21" t="str">
        <f t="shared" si="202"/>
        <v/>
      </c>
      <c r="AY3786" s="21" t="str">
        <f>IF(AND($AM3786&lt;&gt;"",$AS3786&lt;&gt;"✓"),SUMPRODUCT(($AM$11:$AM3786&lt;&gt;"")*($AS$11:$AS3786&lt;&gt;"✓")),"")</f>
        <v/>
      </c>
      <c r="AZ3786" s="21" t="str">
        <f>IF(AND($AM3786&lt;&gt;"",$AS3786="✓"),SUMPRODUCT(($AM$11:$AM3786&lt;&gt;"")*($AS$11:$AS3786="✓")),"")</f>
        <v/>
      </c>
      <c r="BA3786" s="21" t="str">
        <f>IF($AL3786="","",$AL3786&amp;"|"&amp;COUNTIF($AL$11:$AL3786,$AL3786))</f>
        <v/>
      </c>
    </row>
    <row r="3787" spans="38:53" ht="15" customHeight="1" x14ac:dyDescent="0.25">
      <c r="AL3787" s="17"/>
      <c r="AM3787" s="12"/>
      <c r="AN3787" s="18"/>
      <c r="AO3787" s="18"/>
      <c r="AP3787" s="10"/>
      <c r="AQ3787" s="10"/>
      <c r="AR3787" s="19"/>
      <c r="AS3787" s="20"/>
      <c r="AT3787" s="19"/>
      <c r="AV3787" s="21">
        <f>IF(AND($AL3787&lt;&gt;"",COUNTIF($AL$11:$AL3787,$AL3787)=1),1,0)</f>
        <v>0</v>
      </c>
      <c r="AW3787" s="21">
        <f t="shared" si="203"/>
        <v>0</v>
      </c>
      <c r="AX3787" s="21" t="str">
        <f t="shared" ref="AX3787:AX3850" si="204">IF(AV3787=1,AW3787,"")</f>
        <v/>
      </c>
      <c r="AY3787" s="21" t="str">
        <f>IF(AND($AM3787&lt;&gt;"",$AS3787&lt;&gt;"✓"),SUMPRODUCT(($AM$11:$AM3787&lt;&gt;"")*($AS$11:$AS3787&lt;&gt;"✓")),"")</f>
        <v/>
      </c>
      <c r="AZ3787" s="21" t="str">
        <f>IF(AND($AM3787&lt;&gt;"",$AS3787="✓"),SUMPRODUCT(($AM$11:$AM3787&lt;&gt;"")*($AS$11:$AS3787="✓")),"")</f>
        <v/>
      </c>
      <c r="BA3787" s="21" t="str">
        <f>IF($AL3787="","",$AL3787&amp;"|"&amp;COUNTIF($AL$11:$AL3787,$AL3787))</f>
        <v/>
      </c>
    </row>
    <row r="3788" spans="38:53" ht="15" customHeight="1" x14ac:dyDescent="0.25">
      <c r="AL3788" s="31"/>
      <c r="AM3788" s="26"/>
      <c r="AN3788" s="32"/>
      <c r="AO3788" s="32"/>
      <c r="AP3788" s="24"/>
      <c r="AQ3788" s="24"/>
      <c r="AR3788" s="33"/>
      <c r="AS3788" s="34"/>
      <c r="AT3788" s="33"/>
      <c r="AV3788" s="21">
        <f>IF(AND($AL3788&lt;&gt;"",COUNTIF($AL$11:$AL3788,$AL3788)=1),1,0)</f>
        <v>0</v>
      </c>
      <c r="AW3788" s="21">
        <f t="shared" ref="AW3788:AW3851" si="205">AW3787+AV3788</f>
        <v>0</v>
      </c>
      <c r="AX3788" s="21" t="str">
        <f t="shared" si="204"/>
        <v/>
      </c>
      <c r="AY3788" s="21" t="str">
        <f>IF(AND($AM3788&lt;&gt;"",$AS3788&lt;&gt;"✓"),SUMPRODUCT(($AM$11:$AM3788&lt;&gt;"")*($AS$11:$AS3788&lt;&gt;"✓")),"")</f>
        <v/>
      </c>
      <c r="AZ3788" s="21" t="str">
        <f>IF(AND($AM3788&lt;&gt;"",$AS3788="✓"),SUMPRODUCT(($AM$11:$AM3788&lt;&gt;"")*($AS$11:$AS3788="✓")),"")</f>
        <v/>
      </c>
      <c r="BA3788" s="21" t="str">
        <f>IF($AL3788="","",$AL3788&amp;"|"&amp;COUNTIF($AL$11:$AL3788,$AL3788))</f>
        <v/>
      </c>
    </row>
    <row r="3789" spans="38:53" ht="15" customHeight="1" x14ac:dyDescent="0.25">
      <c r="AL3789" s="17"/>
      <c r="AM3789" s="12"/>
      <c r="AN3789" s="18"/>
      <c r="AO3789" s="18"/>
      <c r="AP3789" s="10"/>
      <c r="AQ3789" s="10"/>
      <c r="AR3789" s="19"/>
      <c r="AS3789" s="20"/>
      <c r="AT3789" s="19"/>
      <c r="AV3789" s="21">
        <f>IF(AND($AL3789&lt;&gt;"",COUNTIF($AL$11:$AL3789,$AL3789)=1),1,0)</f>
        <v>0</v>
      </c>
      <c r="AW3789" s="21">
        <f t="shared" si="205"/>
        <v>0</v>
      </c>
      <c r="AX3789" s="21" t="str">
        <f t="shared" si="204"/>
        <v/>
      </c>
      <c r="AY3789" s="21" t="str">
        <f>IF(AND($AM3789&lt;&gt;"",$AS3789&lt;&gt;"✓"),SUMPRODUCT(($AM$11:$AM3789&lt;&gt;"")*($AS$11:$AS3789&lt;&gt;"✓")),"")</f>
        <v/>
      </c>
      <c r="AZ3789" s="21" t="str">
        <f>IF(AND($AM3789&lt;&gt;"",$AS3789="✓"),SUMPRODUCT(($AM$11:$AM3789&lt;&gt;"")*($AS$11:$AS3789="✓")),"")</f>
        <v/>
      </c>
      <c r="BA3789" s="21" t="str">
        <f>IF($AL3789="","",$AL3789&amp;"|"&amp;COUNTIF($AL$11:$AL3789,$AL3789))</f>
        <v/>
      </c>
    </row>
    <row r="3790" spans="38:53" ht="15" customHeight="1" x14ac:dyDescent="0.25">
      <c r="AL3790" s="31"/>
      <c r="AM3790" s="26"/>
      <c r="AN3790" s="32"/>
      <c r="AO3790" s="32"/>
      <c r="AP3790" s="24"/>
      <c r="AQ3790" s="24"/>
      <c r="AR3790" s="33"/>
      <c r="AS3790" s="34"/>
      <c r="AT3790" s="33"/>
      <c r="AV3790" s="21">
        <f>IF(AND($AL3790&lt;&gt;"",COUNTIF($AL$11:$AL3790,$AL3790)=1),1,0)</f>
        <v>0</v>
      </c>
      <c r="AW3790" s="21">
        <f t="shared" si="205"/>
        <v>0</v>
      </c>
      <c r="AX3790" s="21" t="str">
        <f t="shared" si="204"/>
        <v/>
      </c>
      <c r="AY3790" s="21" t="str">
        <f>IF(AND($AM3790&lt;&gt;"",$AS3790&lt;&gt;"✓"),SUMPRODUCT(($AM$11:$AM3790&lt;&gt;"")*($AS$11:$AS3790&lt;&gt;"✓")),"")</f>
        <v/>
      </c>
      <c r="AZ3790" s="21" t="str">
        <f>IF(AND($AM3790&lt;&gt;"",$AS3790="✓"),SUMPRODUCT(($AM$11:$AM3790&lt;&gt;"")*($AS$11:$AS3790="✓")),"")</f>
        <v/>
      </c>
      <c r="BA3790" s="21" t="str">
        <f>IF($AL3790="","",$AL3790&amp;"|"&amp;COUNTIF($AL$11:$AL3790,$AL3790))</f>
        <v/>
      </c>
    </row>
    <row r="3791" spans="38:53" ht="15" customHeight="1" x14ac:dyDescent="0.25">
      <c r="AL3791" s="17"/>
      <c r="AM3791" s="12"/>
      <c r="AN3791" s="18"/>
      <c r="AO3791" s="18"/>
      <c r="AP3791" s="10"/>
      <c r="AQ3791" s="10"/>
      <c r="AR3791" s="19"/>
      <c r="AS3791" s="20"/>
      <c r="AT3791" s="19"/>
      <c r="AV3791" s="21">
        <f>IF(AND($AL3791&lt;&gt;"",COUNTIF($AL$11:$AL3791,$AL3791)=1),1,0)</f>
        <v>0</v>
      </c>
      <c r="AW3791" s="21">
        <f t="shared" si="205"/>
        <v>0</v>
      </c>
      <c r="AX3791" s="21" t="str">
        <f t="shared" si="204"/>
        <v/>
      </c>
      <c r="AY3791" s="21" t="str">
        <f>IF(AND($AM3791&lt;&gt;"",$AS3791&lt;&gt;"✓"),SUMPRODUCT(($AM$11:$AM3791&lt;&gt;"")*($AS$11:$AS3791&lt;&gt;"✓")),"")</f>
        <v/>
      </c>
      <c r="AZ3791" s="21" t="str">
        <f>IF(AND($AM3791&lt;&gt;"",$AS3791="✓"),SUMPRODUCT(($AM$11:$AM3791&lt;&gt;"")*($AS$11:$AS3791="✓")),"")</f>
        <v/>
      </c>
      <c r="BA3791" s="21" t="str">
        <f>IF($AL3791="","",$AL3791&amp;"|"&amp;COUNTIF($AL$11:$AL3791,$AL3791))</f>
        <v/>
      </c>
    </row>
    <row r="3792" spans="38:53" ht="15" customHeight="1" x14ac:dyDescent="0.25">
      <c r="AL3792" s="31"/>
      <c r="AM3792" s="26"/>
      <c r="AN3792" s="32"/>
      <c r="AO3792" s="32"/>
      <c r="AP3792" s="24"/>
      <c r="AQ3792" s="24"/>
      <c r="AR3792" s="33"/>
      <c r="AS3792" s="34"/>
      <c r="AT3792" s="33"/>
      <c r="AV3792" s="21">
        <f>IF(AND($AL3792&lt;&gt;"",COUNTIF($AL$11:$AL3792,$AL3792)=1),1,0)</f>
        <v>0</v>
      </c>
      <c r="AW3792" s="21">
        <f t="shared" si="205"/>
        <v>0</v>
      </c>
      <c r="AX3792" s="21" t="str">
        <f t="shared" si="204"/>
        <v/>
      </c>
      <c r="AY3792" s="21" t="str">
        <f>IF(AND($AM3792&lt;&gt;"",$AS3792&lt;&gt;"✓"),SUMPRODUCT(($AM$11:$AM3792&lt;&gt;"")*($AS$11:$AS3792&lt;&gt;"✓")),"")</f>
        <v/>
      </c>
      <c r="AZ3792" s="21" t="str">
        <f>IF(AND($AM3792&lt;&gt;"",$AS3792="✓"),SUMPRODUCT(($AM$11:$AM3792&lt;&gt;"")*($AS$11:$AS3792="✓")),"")</f>
        <v/>
      </c>
      <c r="BA3792" s="21" t="str">
        <f>IF($AL3792="","",$AL3792&amp;"|"&amp;COUNTIF($AL$11:$AL3792,$AL3792))</f>
        <v/>
      </c>
    </row>
    <row r="3793" spans="38:53" ht="15" customHeight="1" x14ac:dyDescent="0.25">
      <c r="AL3793" s="17"/>
      <c r="AM3793" s="12"/>
      <c r="AN3793" s="18"/>
      <c r="AO3793" s="18"/>
      <c r="AP3793" s="10"/>
      <c r="AQ3793" s="10"/>
      <c r="AR3793" s="19"/>
      <c r="AS3793" s="20"/>
      <c r="AT3793" s="19"/>
      <c r="AV3793" s="21">
        <f>IF(AND($AL3793&lt;&gt;"",COUNTIF($AL$11:$AL3793,$AL3793)=1),1,0)</f>
        <v>0</v>
      </c>
      <c r="AW3793" s="21">
        <f t="shared" si="205"/>
        <v>0</v>
      </c>
      <c r="AX3793" s="21" t="str">
        <f t="shared" si="204"/>
        <v/>
      </c>
      <c r="AY3793" s="21" t="str">
        <f>IF(AND($AM3793&lt;&gt;"",$AS3793&lt;&gt;"✓"),SUMPRODUCT(($AM$11:$AM3793&lt;&gt;"")*($AS$11:$AS3793&lt;&gt;"✓")),"")</f>
        <v/>
      </c>
      <c r="AZ3793" s="21" t="str">
        <f>IF(AND($AM3793&lt;&gt;"",$AS3793="✓"),SUMPRODUCT(($AM$11:$AM3793&lt;&gt;"")*($AS$11:$AS3793="✓")),"")</f>
        <v/>
      </c>
      <c r="BA3793" s="21" t="str">
        <f>IF($AL3793="","",$AL3793&amp;"|"&amp;COUNTIF($AL$11:$AL3793,$AL3793))</f>
        <v/>
      </c>
    </row>
    <row r="3794" spans="38:53" ht="15" customHeight="1" x14ac:dyDescent="0.25">
      <c r="AL3794" s="31"/>
      <c r="AM3794" s="26"/>
      <c r="AN3794" s="32"/>
      <c r="AO3794" s="32"/>
      <c r="AP3794" s="24"/>
      <c r="AQ3794" s="24"/>
      <c r="AR3794" s="33"/>
      <c r="AS3794" s="34"/>
      <c r="AT3794" s="33"/>
      <c r="AV3794" s="21">
        <f>IF(AND($AL3794&lt;&gt;"",COUNTIF($AL$11:$AL3794,$AL3794)=1),1,0)</f>
        <v>0</v>
      </c>
      <c r="AW3794" s="21">
        <f t="shared" si="205"/>
        <v>0</v>
      </c>
      <c r="AX3794" s="21" t="str">
        <f t="shared" si="204"/>
        <v/>
      </c>
      <c r="AY3794" s="21" t="str">
        <f>IF(AND($AM3794&lt;&gt;"",$AS3794&lt;&gt;"✓"),SUMPRODUCT(($AM$11:$AM3794&lt;&gt;"")*($AS$11:$AS3794&lt;&gt;"✓")),"")</f>
        <v/>
      </c>
      <c r="AZ3794" s="21" t="str">
        <f>IF(AND($AM3794&lt;&gt;"",$AS3794="✓"),SUMPRODUCT(($AM$11:$AM3794&lt;&gt;"")*($AS$11:$AS3794="✓")),"")</f>
        <v/>
      </c>
      <c r="BA3794" s="21" t="str">
        <f>IF($AL3794="","",$AL3794&amp;"|"&amp;COUNTIF($AL$11:$AL3794,$AL3794))</f>
        <v/>
      </c>
    </row>
    <row r="3795" spans="38:53" ht="15" customHeight="1" x14ac:dyDescent="0.25">
      <c r="AL3795" s="17"/>
      <c r="AM3795" s="12"/>
      <c r="AN3795" s="18"/>
      <c r="AO3795" s="18"/>
      <c r="AP3795" s="10"/>
      <c r="AQ3795" s="10"/>
      <c r="AR3795" s="19"/>
      <c r="AS3795" s="20"/>
      <c r="AT3795" s="19"/>
      <c r="AV3795" s="21">
        <f>IF(AND($AL3795&lt;&gt;"",COUNTIF($AL$11:$AL3795,$AL3795)=1),1,0)</f>
        <v>0</v>
      </c>
      <c r="AW3795" s="21">
        <f t="shared" si="205"/>
        <v>0</v>
      </c>
      <c r="AX3795" s="21" t="str">
        <f t="shared" si="204"/>
        <v/>
      </c>
      <c r="AY3795" s="21" t="str">
        <f>IF(AND($AM3795&lt;&gt;"",$AS3795&lt;&gt;"✓"),SUMPRODUCT(($AM$11:$AM3795&lt;&gt;"")*($AS$11:$AS3795&lt;&gt;"✓")),"")</f>
        <v/>
      </c>
      <c r="AZ3795" s="21" t="str">
        <f>IF(AND($AM3795&lt;&gt;"",$AS3795="✓"),SUMPRODUCT(($AM$11:$AM3795&lt;&gt;"")*($AS$11:$AS3795="✓")),"")</f>
        <v/>
      </c>
      <c r="BA3795" s="21" t="str">
        <f>IF($AL3795="","",$AL3795&amp;"|"&amp;COUNTIF($AL$11:$AL3795,$AL3795))</f>
        <v/>
      </c>
    </row>
    <row r="3796" spans="38:53" ht="15" customHeight="1" x14ac:dyDescent="0.25">
      <c r="AL3796" s="31"/>
      <c r="AM3796" s="26"/>
      <c r="AN3796" s="32"/>
      <c r="AO3796" s="32"/>
      <c r="AP3796" s="24"/>
      <c r="AQ3796" s="24"/>
      <c r="AR3796" s="33"/>
      <c r="AS3796" s="34"/>
      <c r="AT3796" s="33"/>
      <c r="AV3796" s="21">
        <f>IF(AND($AL3796&lt;&gt;"",COUNTIF($AL$11:$AL3796,$AL3796)=1),1,0)</f>
        <v>0</v>
      </c>
      <c r="AW3796" s="21">
        <f t="shared" si="205"/>
        <v>0</v>
      </c>
      <c r="AX3796" s="21" t="str">
        <f t="shared" si="204"/>
        <v/>
      </c>
      <c r="AY3796" s="21" t="str">
        <f>IF(AND($AM3796&lt;&gt;"",$AS3796&lt;&gt;"✓"),SUMPRODUCT(($AM$11:$AM3796&lt;&gt;"")*($AS$11:$AS3796&lt;&gt;"✓")),"")</f>
        <v/>
      </c>
      <c r="AZ3796" s="21" t="str">
        <f>IF(AND($AM3796&lt;&gt;"",$AS3796="✓"),SUMPRODUCT(($AM$11:$AM3796&lt;&gt;"")*($AS$11:$AS3796="✓")),"")</f>
        <v/>
      </c>
      <c r="BA3796" s="21" t="str">
        <f>IF($AL3796="","",$AL3796&amp;"|"&amp;COUNTIF($AL$11:$AL3796,$AL3796))</f>
        <v/>
      </c>
    </row>
    <row r="3797" spans="38:53" ht="15" customHeight="1" x14ac:dyDescent="0.25">
      <c r="AL3797" s="17"/>
      <c r="AM3797" s="12"/>
      <c r="AN3797" s="18"/>
      <c r="AO3797" s="18"/>
      <c r="AP3797" s="10"/>
      <c r="AQ3797" s="10"/>
      <c r="AR3797" s="19"/>
      <c r="AS3797" s="20"/>
      <c r="AT3797" s="19"/>
      <c r="AV3797" s="21">
        <f>IF(AND($AL3797&lt;&gt;"",COUNTIF($AL$11:$AL3797,$AL3797)=1),1,0)</f>
        <v>0</v>
      </c>
      <c r="AW3797" s="21">
        <f t="shared" si="205"/>
        <v>0</v>
      </c>
      <c r="AX3797" s="21" t="str">
        <f t="shared" si="204"/>
        <v/>
      </c>
      <c r="AY3797" s="21" t="str">
        <f>IF(AND($AM3797&lt;&gt;"",$AS3797&lt;&gt;"✓"),SUMPRODUCT(($AM$11:$AM3797&lt;&gt;"")*($AS$11:$AS3797&lt;&gt;"✓")),"")</f>
        <v/>
      </c>
      <c r="AZ3797" s="21" t="str">
        <f>IF(AND($AM3797&lt;&gt;"",$AS3797="✓"),SUMPRODUCT(($AM$11:$AM3797&lt;&gt;"")*($AS$11:$AS3797="✓")),"")</f>
        <v/>
      </c>
      <c r="BA3797" s="21" t="str">
        <f>IF($AL3797="","",$AL3797&amp;"|"&amp;COUNTIF($AL$11:$AL3797,$AL3797))</f>
        <v/>
      </c>
    </row>
    <row r="3798" spans="38:53" ht="15" customHeight="1" x14ac:dyDescent="0.25">
      <c r="AL3798" s="31"/>
      <c r="AM3798" s="26"/>
      <c r="AN3798" s="32"/>
      <c r="AO3798" s="32"/>
      <c r="AP3798" s="24"/>
      <c r="AQ3798" s="24"/>
      <c r="AR3798" s="33"/>
      <c r="AS3798" s="34"/>
      <c r="AT3798" s="33"/>
      <c r="AV3798" s="21">
        <f>IF(AND($AL3798&lt;&gt;"",COUNTIF($AL$11:$AL3798,$AL3798)=1),1,0)</f>
        <v>0</v>
      </c>
      <c r="AW3798" s="21">
        <f t="shared" si="205"/>
        <v>0</v>
      </c>
      <c r="AX3798" s="21" t="str">
        <f t="shared" si="204"/>
        <v/>
      </c>
      <c r="AY3798" s="21" t="str">
        <f>IF(AND($AM3798&lt;&gt;"",$AS3798&lt;&gt;"✓"),SUMPRODUCT(($AM$11:$AM3798&lt;&gt;"")*($AS$11:$AS3798&lt;&gt;"✓")),"")</f>
        <v/>
      </c>
      <c r="AZ3798" s="21" t="str">
        <f>IF(AND($AM3798&lt;&gt;"",$AS3798="✓"),SUMPRODUCT(($AM$11:$AM3798&lt;&gt;"")*($AS$11:$AS3798="✓")),"")</f>
        <v/>
      </c>
      <c r="BA3798" s="21" t="str">
        <f>IF($AL3798="","",$AL3798&amp;"|"&amp;COUNTIF($AL$11:$AL3798,$AL3798))</f>
        <v/>
      </c>
    </row>
    <row r="3799" spans="38:53" ht="15" customHeight="1" x14ac:dyDescent="0.25">
      <c r="AL3799" s="17"/>
      <c r="AM3799" s="12"/>
      <c r="AN3799" s="18"/>
      <c r="AO3799" s="18"/>
      <c r="AP3799" s="10"/>
      <c r="AQ3799" s="10"/>
      <c r="AR3799" s="19"/>
      <c r="AS3799" s="20"/>
      <c r="AT3799" s="19"/>
      <c r="AV3799" s="21">
        <f>IF(AND($AL3799&lt;&gt;"",COUNTIF($AL$11:$AL3799,$AL3799)=1),1,0)</f>
        <v>0</v>
      </c>
      <c r="AW3799" s="21">
        <f t="shared" si="205"/>
        <v>0</v>
      </c>
      <c r="AX3799" s="21" t="str">
        <f t="shared" si="204"/>
        <v/>
      </c>
      <c r="AY3799" s="21" t="str">
        <f>IF(AND($AM3799&lt;&gt;"",$AS3799&lt;&gt;"✓"),SUMPRODUCT(($AM$11:$AM3799&lt;&gt;"")*($AS$11:$AS3799&lt;&gt;"✓")),"")</f>
        <v/>
      </c>
      <c r="AZ3799" s="21" t="str">
        <f>IF(AND($AM3799&lt;&gt;"",$AS3799="✓"),SUMPRODUCT(($AM$11:$AM3799&lt;&gt;"")*($AS$11:$AS3799="✓")),"")</f>
        <v/>
      </c>
      <c r="BA3799" s="21" t="str">
        <f>IF($AL3799="","",$AL3799&amp;"|"&amp;COUNTIF($AL$11:$AL3799,$AL3799))</f>
        <v/>
      </c>
    </row>
    <row r="3800" spans="38:53" ht="15" customHeight="1" x14ac:dyDescent="0.25">
      <c r="AL3800" s="31"/>
      <c r="AM3800" s="26"/>
      <c r="AN3800" s="32"/>
      <c r="AO3800" s="32"/>
      <c r="AP3800" s="24"/>
      <c r="AQ3800" s="24"/>
      <c r="AR3800" s="33"/>
      <c r="AS3800" s="34"/>
      <c r="AT3800" s="33"/>
      <c r="AV3800" s="21">
        <f>IF(AND($AL3800&lt;&gt;"",COUNTIF($AL$11:$AL3800,$AL3800)=1),1,0)</f>
        <v>0</v>
      </c>
      <c r="AW3800" s="21">
        <f t="shared" si="205"/>
        <v>0</v>
      </c>
      <c r="AX3800" s="21" t="str">
        <f t="shared" si="204"/>
        <v/>
      </c>
      <c r="AY3800" s="21" t="str">
        <f>IF(AND($AM3800&lt;&gt;"",$AS3800&lt;&gt;"✓"),SUMPRODUCT(($AM$11:$AM3800&lt;&gt;"")*($AS$11:$AS3800&lt;&gt;"✓")),"")</f>
        <v/>
      </c>
      <c r="AZ3800" s="21" t="str">
        <f>IF(AND($AM3800&lt;&gt;"",$AS3800="✓"),SUMPRODUCT(($AM$11:$AM3800&lt;&gt;"")*($AS$11:$AS3800="✓")),"")</f>
        <v/>
      </c>
      <c r="BA3800" s="21" t="str">
        <f>IF($AL3800="","",$AL3800&amp;"|"&amp;COUNTIF($AL$11:$AL3800,$AL3800))</f>
        <v/>
      </c>
    </row>
    <row r="3801" spans="38:53" ht="15" customHeight="1" x14ac:dyDescent="0.25">
      <c r="AL3801" s="17"/>
      <c r="AM3801" s="12"/>
      <c r="AN3801" s="18"/>
      <c r="AO3801" s="18"/>
      <c r="AP3801" s="10"/>
      <c r="AQ3801" s="10"/>
      <c r="AR3801" s="19"/>
      <c r="AS3801" s="20"/>
      <c r="AT3801" s="19"/>
      <c r="AV3801" s="21">
        <f>IF(AND($AL3801&lt;&gt;"",COUNTIF($AL$11:$AL3801,$AL3801)=1),1,0)</f>
        <v>0</v>
      </c>
      <c r="AW3801" s="21">
        <f t="shared" si="205"/>
        <v>0</v>
      </c>
      <c r="AX3801" s="21" t="str">
        <f t="shared" si="204"/>
        <v/>
      </c>
      <c r="AY3801" s="21" t="str">
        <f>IF(AND($AM3801&lt;&gt;"",$AS3801&lt;&gt;"✓"),SUMPRODUCT(($AM$11:$AM3801&lt;&gt;"")*($AS$11:$AS3801&lt;&gt;"✓")),"")</f>
        <v/>
      </c>
      <c r="AZ3801" s="21" t="str">
        <f>IF(AND($AM3801&lt;&gt;"",$AS3801="✓"),SUMPRODUCT(($AM$11:$AM3801&lt;&gt;"")*($AS$11:$AS3801="✓")),"")</f>
        <v/>
      </c>
      <c r="BA3801" s="21" t="str">
        <f>IF($AL3801="","",$AL3801&amp;"|"&amp;COUNTIF($AL$11:$AL3801,$AL3801))</f>
        <v/>
      </c>
    </row>
    <row r="3802" spans="38:53" ht="15" customHeight="1" x14ac:dyDescent="0.25">
      <c r="AL3802" s="31"/>
      <c r="AM3802" s="26"/>
      <c r="AN3802" s="32"/>
      <c r="AO3802" s="32"/>
      <c r="AP3802" s="24"/>
      <c r="AQ3802" s="24"/>
      <c r="AR3802" s="33"/>
      <c r="AS3802" s="34"/>
      <c r="AT3802" s="33"/>
      <c r="AV3802" s="21">
        <f>IF(AND($AL3802&lt;&gt;"",COUNTIF($AL$11:$AL3802,$AL3802)=1),1,0)</f>
        <v>0</v>
      </c>
      <c r="AW3802" s="21">
        <f t="shared" si="205"/>
        <v>0</v>
      </c>
      <c r="AX3802" s="21" t="str">
        <f t="shared" si="204"/>
        <v/>
      </c>
      <c r="AY3802" s="21" t="str">
        <f>IF(AND($AM3802&lt;&gt;"",$AS3802&lt;&gt;"✓"),SUMPRODUCT(($AM$11:$AM3802&lt;&gt;"")*($AS$11:$AS3802&lt;&gt;"✓")),"")</f>
        <v/>
      </c>
      <c r="AZ3802" s="21" t="str">
        <f>IF(AND($AM3802&lt;&gt;"",$AS3802="✓"),SUMPRODUCT(($AM$11:$AM3802&lt;&gt;"")*($AS$11:$AS3802="✓")),"")</f>
        <v/>
      </c>
      <c r="BA3802" s="21" t="str">
        <f>IF($AL3802="","",$AL3802&amp;"|"&amp;COUNTIF($AL$11:$AL3802,$AL3802))</f>
        <v/>
      </c>
    </row>
    <row r="3803" spans="38:53" ht="15" customHeight="1" x14ac:dyDescent="0.25">
      <c r="AL3803" s="17"/>
      <c r="AM3803" s="12"/>
      <c r="AN3803" s="18"/>
      <c r="AO3803" s="18"/>
      <c r="AP3803" s="10"/>
      <c r="AQ3803" s="10"/>
      <c r="AR3803" s="19"/>
      <c r="AS3803" s="20"/>
      <c r="AT3803" s="19"/>
      <c r="AV3803" s="21">
        <f>IF(AND($AL3803&lt;&gt;"",COUNTIF($AL$11:$AL3803,$AL3803)=1),1,0)</f>
        <v>0</v>
      </c>
      <c r="AW3803" s="21">
        <f t="shared" si="205"/>
        <v>0</v>
      </c>
      <c r="AX3803" s="21" t="str">
        <f t="shared" si="204"/>
        <v/>
      </c>
      <c r="AY3803" s="21" t="str">
        <f>IF(AND($AM3803&lt;&gt;"",$AS3803&lt;&gt;"✓"),SUMPRODUCT(($AM$11:$AM3803&lt;&gt;"")*($AS$11:$AS3803&lt;&gt;"✓")),"")</f>
        <v/>
      </c>
      <c r="AZ3803" s="21" t="str">
        <f>IF(AND($AM3803&lt;&gt;"",$AS3803="✓"),SUMPRODUCT(($AM$11:$AM3803&lt;&gt;"")*($AS$11:$AS3803="✓")),"")</f>
        <v/>
      </c>
      <c r="BA3803" s="21" t="str">
        <f>IF($AL3803="","",$AL3803&amp;"|"&amp;COUNTIF($AL$11:$AL3803,$AL3803))</f>
        <v/>
      </c>
    </row>
    <row r="3804" spans="38:53" ht="15" customHeight="1" x14ac:dyDescent="0.25">
      <c r="AL3804" s="31"/>
      <c r="AM3804" s="26"/>
      <c r="AN3804" s="32"/>
      <c r="AO3804" s="32"/>
      <c r="AP3804" s="24"/>
      <c r="AQ3804" s="24"/>
      <c r="AR3804" s="33"/>
      <c r="AS3804" s="34"/>
      <c r="AT3804" s="33"/>
      <c r="AV3804" s="21">
        <f>IF(AND($AL3804&lt;&gt;"",COUNTIF($AL$11:$AL3804,$AL3804)=1),1,0)</f>
        <v>0</v>
      </c>
      <c r="AW3804" s="21">
        <f t="shared" si="205"/>
        <v>0</v>
      </c>
      <c r="AX3804" s="21" t="str">
        <f t="shared" si="204"/>
        <v/>
      </c>
      <c r="AY3804" s="21" t="str">
        <f>IF(AND($AM3804&lt;&gt;"",$AS3804&lt;&gt;"✓"),SUMPRODUCT(($AM$11:$AM3804&lt;&gt;"")*($AS$11:$AS3804&lt;&gt;"✓")),"")</f>
        <v/>
      </c>
      <c r="AZ3804" s="21" t="str">
        <f>IF(AND($AM3804&lt;&gt;"",$AS3804="✓"),SUMPRODUCT(($AM$11:$AM3804&lt;&gt;"")*($AS$11:$AS3804="✓")),"")</f>
        <v/>
      </c>
      <c r="BA3804" s="21" t="str">
        <f>IF($AL3804="","",$AL3804&amp;"|"&amp;COUNTIF($AL$11:$AL3804,$AL3804))</f>
        <v/>
      </c>
    </row>
    <row r="3805" spans="38:53" ht="15" customHeight="1" x14ac:dyDescent="0.25">
      <c r="AL3805" s="17"/>
      <c r="AM3805" s="12"/>
      <c r="AN3805" s="18"/>
      <c r="AO3805" s="18"/>
      <c r="AP3805" s="10"/>
      <c r="AQ3805" s="10"/>
      <c r="AR3805" s="19"/>
      <c r="AS3805" s="20"/>
      <c r="AT3805" s="19"/>
      <c r="AV3805" s="21">
        <f>IF(AND($AL3805&lt;&gt;"",COUNTIF($AL$11:$AL3805,$AL3805)=1),1,0)</f>
        <v>0</v>
      </c>
      <c r="AW3805" s="21">
        <f t="shared" si="205"/>
        <v>0</v>
      </c>
      <c r="AX3805" s="21" t="str">
        <f t="shared" si="204"/>
        <v/>
      </c>
      <c r="AY3805" s="21" t="str">
        <f>IF(AND($AM3805&lt;&gt;"",$AS3805&lt;&gt;"✓"),SUMPRODUCT(($AM$11:$AM3805&lt;&gt;"")*($AS$11:$AS3805&lt;&gt;"✓")),"")</f>
        <v/>
      </c>
      <c r="AZ3805" s="21" t="str">
        <f>IF(AND($AM3805&lt;&gt;"",$AS3805="✓"),SUMPRODUCT(($AM$11:$AM3805&lt;&gt;"")*($AS$11:$AS3805="✓")),"")</f>
        <v/>
      </c>
      <c r="BA3805" s="21" t="str">
        <f>IF($AL3805="","",$AL3805&amp;"|"&amp;COUNTIF($AL$11:$AL3805,$AL3805))</f>
        <v/>
      </c>
    </row>
    <row r="3806" spans="38:53" ht="15" customHeight="1" x14ac:dyDescent="0.25">
      <c r="AL3806" s="31"/>
      <c r="AM3806" s="26"/>
      <c r="AN3806" s="32"/>
      <c r="AO3806" s="32"/>
      <c r="AP3806" s="24"/>
      <c r="AQ3806" s="24"/>
      <c r="AR3806" s="33"/>
      <c r="AS3806" s="34"/>
      <c r="AT3806" s="33"/>
      <c r="AV3806" s="21">
        <f>IF(AND($AL3806&lt;&gt;"",COUNTIF($AL$11:$AL3806,$AL3806)=1),1,0)</f>
        <v>0</v>
      </c>
      <c r="AW3806" s="21">
        <f t="shared" si="205"/>
        <v>0</v>
      </c>
      <c r="AX3806" s="21" t="str">
        <f t="shared" si="204"/>
        <v/>
      </c>
      <c r="AY3806" s="21" t="str">
        <f>IF(AND($AM3806&lt;&gt;"",$AS3806&lt;&gt;"✓"),SUMPRODUCT(($AM$11:$AM3806&lt;&gt;"")*($AS$11:$AS3806&lt;&gt;"✓")),"")</f>
        <v/>
      </c>
      <c r="AZ3806" s="21" t="str">
        <f>IF(AND($AM3806&lt;&gt;"",$AS3806="✓"),SUMPRODUCT(($AM$11:$AM3806&lt;&gt;"")*($AS$11:$AS3806="✓")),"")</f>
        <v/>
      </c>
      <c r="BA3806" s="21" t="str">
        <f>IF($AL3806="","",$AL3806&amp;"|"&amp;COUNTIF($AL$11:$AL3806,$AL3806))</f>
        <v/>
      </c>
    </row>
    <row r="3807" spans="38:53" ht="15" customHeight="1" x14ac:dyDescent="0.25">
      <c r="AL3807" s="17"/>
      <c r="AM3807" s="12"/>
      <c r="AN3807" s="18"/>
      <c r="AO3807" s="18"/>
      <c r="AP3807" s="10"/>
      <c r="AQ3807" s="10"/>
      <c r="AR3807" s="19"/>
      <c r="AS3807" s="20"/>
      <c r="AT3807" s="19"/>
      <c r="AV3807" s="21">
        <f>IF(AND($AL3807&lt;&gt;"",COUNTIF($AL$11:$AL3807,$AL3807)=1),1,0)</f>
        <v>0</v>
      </c>
      <c r="AW3807" s="21">
        <f t="shared" si="205"/>
        <v>0</v>
      </c>
      <c r="AX3807" s="21" t="str">
        <f t="shared" si="204"/>
        <v/>
      </c>
      <c r="AY3807" s="21" t="str">
        <f>IF(AND($AM3807&lt;&gt;"",$AS3807&lt;&gt;"✓"),SUMPRODUCT(($AM$11:$AM3807&lt;&gt;"")*($AS$11:$AS3807&lt;&gt;"✓")),"")</f>
        <v/>
      </c>
      <c r="AZ3807" s="21" t="str">
        <f>IF(AND($AM3807&lt;&gt;"",$AS3807="✓"),SUMPRODUCT(($AM$11:$AM3807&lt;&gt;"")*($AS$11:$AS3807="✓")),"")</f>
        <v/>
      </c>
      <c r="BA3807" s="21" t="str">
        <f>IF($AL3807="","",$AL3807&amp;"|"&amp;COUNTIF($AL$11:$AL3807,$AL3807))</f>
        <v/>
      </c>
    </row>
    <row r="3808" spans="38:53" ht="15" customHeight="1" x14ac:dyDescent="0.25">
      <c r="AL3808" s="31"/>
      <c r="AM3808" s="26"/>
      <c r="AN3808" s="32"/>
      <c r="AO3808" s="32"/>
      <c r="AP3808" s="24"/>
      <c r="AQ3808" s="24"/>
      <c r="AR3808" s="33"/>
      <c r="AS3808" s="34"/>
      <c r="AT3808" s="33"/>
      <c r="AV3808" s="21">
        <f>IF(AND($AL3808&lt;&gt;"",COUNTIF($AL$11:$AL3808,$AL3808)=1),1,0)</f>
        <v>0</v>
      </c>
      <c r="AW3808" s="21">
        <f t="shared" si="205"/>
        <v>0</v>
      </c>
      <c r="AX3808" s="21" t="str">
        <f t="shared" si="204"/>
        <v/>
      </c>
      <c r="AY3808" s="21" t="str">
        <f>IF(AND($AM3808&lt;&gt;"",$AS3808&lt;&gt;"✓"),SUMPRODUCT(($AM$11:$AM3808&lt;&gt;"")*($AS$11:$AS3808&lt;&gt;"✓")),"")</f>
        <v/>
      </c>
      <c r="AZ3808" s="21" t="str">
        <f>IF(AND($AM3808&lt;&gt;"",$AS3808="✓"),SUMPRODUCT(($AM$11:$AM3808&lt;&gt;"")*($AS$11:$AS3808="✓")),"")</f>
        <v/>
      </c>
      <c r="BA3808" s="21" t="str">
        <f>IF($AL3808="","",$AL3808&amp;"|"&amp;COUNTIF($AL$11:$AL3808,$AL3808))</f>
        <v/>
      </c>
    </row>
    <row r="3809" spans="38:53" ht="15" customHeight="1" x14ac:dyDescent="0.25">
      <c r="AL3809" s="17"/>
      <c r="AM3809" s="12"/>
      <c r="AN3809" s="18"/>
      <c r="AO3809" s="18"/>
      <c r="AP3809" s="10"/>
      <c r="AQ3809" s="10"/>
      <c r="AR3809" s="19"/>
      <c r="AS3809" s="20"/>
      <c r="AT3809" s="19"/>
      <c r="AV3809" s="21">
        <f>IF(AND($AL3809&lt;&gt;"",COUNTIF($AL$11:$AL3809,$AL3809)=1),1,0)</f>
        <v>0</v>
      </c>
      <c r="AW3809" s="21">
        <f t="shared" si="205"/>
        <v>0</v>
      </c>
      <c r="AX3809" s="21" t="str">
        <f t="shared" si="204"/>
        <v/>
      </c>
      <c r="AY3809" s="21" t="str">
        <f>IF(AND($AM3809&lt;&gt;"",$AS3809&lt;&gt;"✓"),SUMPRODUCT(($AM$11:$AM3809&lt;&gt;"")*($AS$11:$AS3809&lt;&gt;"✓")),"")</f>
        <v/>
      </c>
      <c r="AZ3809" s="21" t="str">
        <f>IF(AND($AM3809&lt;&gt;"",$AS3809="✓"),SUMPRODUCT(($AM$11:$AM3809&lt;&gt;"")*($AS$11:$AS3809="✓")),"")</f>
        <v/>
      </c>
      <c r="BA3809" s="21" t="str">
        <f>IF($AL3809="","",$AL3809&amp;"|"&amp;COUNTIF($AL$11:$AL3809,$AL3809))</f>
        <v/>
      </c>
    </row>
    <row r="3810" spans="38:53" ht="15" customHeight="1" x14ac:dyDescent="0.25">
      <c r="AL3810" s="31"/>
      <c r="AM3810" s="26"/>
      <c r="AN3810" s="32"/>
      <c r="AO3810" s="32"/>
      <c r="AP3810" s="24"/>
      <c r="AQ3810" s="24"/>
      <c r="AR3810" s="33"/>
      <c r="AS3810" s="34"/>
      <c r="AT3810" s="33"/>
      <c r="AV3810" s="21">
        <f>IF(AND($AL3810&lt;&gt;"",COUNTIF($AL$11:$AL3810,$AL3810)=1),1,0)</f>
        <v>0</v>
      </c>
      <c r="AW3810" s="21">
        <f t="shared" si="205"/>
        <v>0</v>
      </c>
      <c r="AX3810" s="21" t="str">
        <f t="shared" si="204"/>
        <v/>
      </c>
      <c r="AY3810" s="21" t="str">
        <f>IF(AND($AM3810&lt;&gt;"",$AS3810&lt;&gt;"✓"),SUMPRODUCT(($AM$11:$AM3810&lt;&gt;"")*($AS$11:$AS3810&lt;&gt;"✓")),"")</f>
        <v/>
      </c>
      <c r="AZ3810" s="21" t="str">
        <f>IF(AND($AM3810&lt;&gt;"",$AS3810="✓"),SUMPRODUCT(($AM$11:$AM3810&lt;&gt;"")*($AS$11:$AS3810="✓")),"")</f>
        <v/>
      </c>
      <c r="BA3810" s="21" t="str">
        <f>IF($AL3810="","",$AL3810&amp;"|"&amp;COUNTIF($AL$11:$AL3810,$AL3810))</f>
        <v/>
      </c>
    </row>
    <row r="3811" spans="38:53" ht="15" customHeight="1" x14ac:dyDescent="0.25">
      <c r="AL3811" s="17"/>
      <c r="AM3811" s="12"/>
      <c r="AN3811" s="18"/>
      <c r="AO3811" s="18"/>
      <c r="AP3811" s="10"/>
      <c r="AQ3811" s="10"/>
      <c r="AR3811" s="19"/>
      <c r="AS3811" s="20"/>
      <c r="AT3811" s="19"/>
      <c r="AV3811" s="21">
        <f>IF(AND($AL3811&lt;&gt;"",COUNTIF($AL$11:$AL3811,$AL3811)=1),1,0)</f>
        <v>0</v>
      </c>
      <c r="AW3811" s="21">
        <f t="shared" si="205"/>
        <v>0</v>
      </c>
      <c r="AX3811" s="21" t="str">
        <f t="shared" si="204"/>
        <v/>
      </c>
      <c r="AY3811" s="21" t="str">
        <f>IF(AND($AM3811&lt;&gt;"",$AS3811&lt;&gt;"✓"),SUMPRODUCT(($AM$11:$AM3811&lt;&gt;"")*($AS$11:$AS3811&lt;&gt;"✓")),"")</f>
        <v/>
      </c>
      <c r="AZ3811" s="21" t="str">
        <f>IF(AND($AM3811&lt;&gt;"",$AS3811="✓"),SUMPRODUCT(($AM$11:$AM3811&lt;&gt;"")*($AS$11:$AS3811="✓")),"")</f>
        <v/>
      </c>
      <c r="BA3811" s="21" t="str">
        <f>IF($AL3811="","",$AL3811&amp;"|"&amp;COUNTIF($AL$11:$AL3811,$AL3811))</f>
        <v/>
      </c>
    </row>
    <row r="3812" spans="38:53" ht="15" customHeight="1" x14ac:dyDescent="0.25">
      <c r="AL3812" s="31"/>
      <c r="AM3812" s="26"/>
      <c r="AN3812" s="32"/>
      <c r="AO3812" s="32"/>
      <c r="AP3812" s="24"/>
      <c r="AQ3812" s="24"/>
      <c r="AR3812" s="33"/>
      <c r="AS3812" s="34"/>
      <c r="AT3812" s="33"/>
      <c r="AV3812" s="21">
        <f>IF(AND($AL3812&lt;&gt;"",COUNTIF($AL$11:$AL3812,$AL3812)=1),1,0)</f>
        <v>0</v>
      </c>
      <c r="AW3812" s="21">
        <f t="shared" si="205"/>
        <v>0</v>
      </c>
      <c r="AX3812" s="21" t="str">
        <f t="shared" si="204"/>
        <v/>
      </c>
      <c r="AY3812" s="21" t="str">
        <f>IF(AND($AM3812&lt;&gt;"",$AS3812&lt;&gt;"✓"),SUMPRODUCT(($AM$11:$AM3812&lt;&gt;"")*($AS$11:$AS3812&lt;&gt;"✓")),"")</f>
        <v/>
      </c>
      <c r="AZ3812" s="21" t="str">
        <f>IF(AND($AM3812&lt;&gt;"",$AS3812="✓"),SUMPRODUCT(($AM$11:$AM3812&lt;&gt;"")*($AS$11:$AS3812="✓")),"")</f>
        <v/>
      </c>
      <c r="BA3812" s="21" t="str">
        <f>IF($AL3812="","",$AL3812&amp;"|"&amp;COUNTIF($AL$11:$AL3812,$AL3812))</f>
        <v/>
      </c>
    </row>
    <row r="3813" spans="38:53" ht="15" customHeight="1" x14ac:dyDescent="0.25">
      <c r="AL3813" s="17"/>
      <c r="AM3813" s="12"/>
      <c r="AN3813" s="18"/>
      <c r="AO3813" s="18"/>
      <c r="AP3813" s="10"/>
      <c r="AQ3813" s="10"/>
      <c r="AR3813" s="19"/>
      <c r="AS3813" s="20"/>
      <c r="AT3813" s="19"/>
      <c r="AV3813" s="21">
        <f>IF(AND($AL3813&lt;&gt;"",COUNTIF($AL$11:$AL3813,$AL3813)=1),1,0)</f>
        <v>0</v>
      </c>
      <c r="AW3813" s="21">
        <f t="shared" si="205"/>
        <v>0</v>
      </c>
      <c r="AX3813" s="21" t="str">
        <f t="shared" si="204"/>
        <v/>
      </c>
      <c r="AY3813" s="21" t="str">
        <f>IF(AND($AM3813&lt;&gt;"",$AS3813&lt;&gt;"✓"),SUMPRODUCT(($AM$11:$AM3813&lt;&gt;"")*($AS$11:$AS3813&lt;&gt;"✓")),"")</f>
        <v/>
      </c>
      <c r="AZ3813" s="21" t="str">
        <f>IF(AND($AM3813&lt;&gt;"",$AS3813="✓"),SUMPRODUCT(($AM$11:$AM3813&lt;&gt;"")*($AS$11:$AS3813="✓")),"")</f>
        <v/>
      </c>
      <c r="BA3813" s="21" t="str">
        <f>IF($AL3813="","",$AL3813&amp;"|"&amp;COUNTIF($AL$11:$AL3813,$AL3813))</f>
        <v/>
      </c>
    </row>
    <row r="3814" spans="38:53" ht="15" customHeight="1" x14ac:dyDescent="0.25">
      <c r="AL3814" s="31"/>
      <c r="AM3814" s="26"/>
      <c r="AN3814" s="32"/>
      <c r="AO3814" s="32"/>
      <c r="AP3814" s="24"/>
      <c r="AQ3814" s="24"/>
      <c r="AR3814" s="33"/>
      <c r="AS3814" s="34"/>
      <c r="AT3814" s="33"/>
      <c r="AV3814" s="21">
        <f>IF(AND($AL3814&lt;&gt;"",COUNTIF($AL$11:$AL3814,$AL3814)=1),1,0)</f>
        <v>0</v>
      </c>
      <c r="AW3814" s="21">
        <f t="shared" si="205"/>
        <v>0</v>
      </c>
      <c r="AX3814" s="21" t="str">
        <f t="shared" si="204"/>
        <v/>
      </c>
      <c r="AY3814" s="21" t="str">
        <f>IF(AND($AM3814&lt;&gt;"",$AS3814&lt;&gt;"✓"),SUMPRODUCT(($AM$11:$AM3814&lt;&gt;"")*($AS$11:$AS3814&lt;&gt;"✓")),"")</f>
        <v/>
      </c>
      <c r="AZ3814" s="21" t="str">
        <f>IF(AND($AM3814&lt;&gt;"",$AS3814="✓"),SUMPRODUCT(($AM$11:$AM3814&lt;&gt;"")*($AS$11:$AS3814="✓")),"")</f>
        <v/>
      </c>
      <c r="BA3814" s="21" t="str">
        <f>IF($AL3814="","",$AL3814&amp;"|"&amp;COUNTIF($AL$11:$AL3814,$AL3814))</f>
        <v/>
      </c>
    </row>
    <row r="3815" spans="38:53" ht="15" customHeight="1" x14ac:dyDescent="0.25">
      <c r="AL3815" s="17"/>
      <c r="AM3815" s="12"/>
      <c r="AN3815" s="18"/>
      <c r="AO3815" s="18"/>
      <c r="AP3815" s="10"/>
      <c r="AQ3815" s="10"/>
      <c r="AR3815" s="19"/>
      <c r="AS3815" s="20"/>
      <c r="AT3815" s="19"/>
      <c r="AV3815" s="21">
        <f>IF(AND($AL3815&lt;&gt;"",COUNTIF($AL$11:$AL3815,$AL3815)=1),1,0)</f>
        <v>0</v>
      </c>
      <c r="AW3815" s="21">
        <f t="shared" si="205"/>
        <v>0</v>
      </c>
      <c r="AX3815" s="21" t="str">
        <f t="shared" si="204"/>
        <v/>
      </c>
      <c r="AY3815" s="21" t="str">
        <f>IF(AND($AM3815&lt;&gt;"",$AS3815&lt;&gt;"✓"),SUMPRODUCT(($AM$11:$AM3815&lt;&gt;"")*($AS$11:$AS3815&lt;&gt;"✓")),"")</f>
        <v/>
      </c>
      <c r="AZ3815" s="21" t="str">
        <f>IF(AND($AM3815&lt;&gt;"",$AS3815="✓"),SUMPRODUCT(($AM$11:$AM3815&lt;&gt;"")*($AS$11:$AS3815="✓")),"")</f>
        <v/>
      </c>
      <c r="BA3815" s="21" t="str">
        <f>IF($AL3815="","",$AL3815&amp;"|"&amp;COUNTIF($AL$11:$AL3815,$AL3815))</f>
        <v/>
      </c>
    </row>
    <row r="3816" spans="38:53" ht="15" customHeight="1" x14ac:dyDescent="0.25">
      <c r="AL3816" s="31"/>
      <c r="AM3816" s="26"/>
      <c r="AN3816" s="32"/>
      <c r="AO3816" s="32"/>
      <c r="AP3816" s="24"/>
      <c r="AQ3816" s="24"/>
      <c r="AR3816" s="33"/>
      <c r="AS3816" s="34"/>
      <c r="AT3816" s="33"/>
      <c r="AV3816" s="21">
        <f>IF(AND($AL3816&lt;&gt;"",COUNTIF($AL$11:$AL3816,$AL3816)=1),1,0)</f>
        <v>0</v>
      </c>
      <c r="AW3816" s="21">
        <f t="shared" si="205"/>
        <v>0</v>
      </c>
      <c r="AX3816" s="21" t="str">
        <f t="shared" si="204"/>
        <v/>
      </c>
      <c r="AY3816" s="21" t="str">
        <f>IF(AND($AM3816&lt;&gt;"",$AS3816&lt;&gt;"✓"),SUMPRODUCT(($AM$11:$AM3816&lt;&gt;"")*($AS$11:$AS3816&lt;&gt;"✓")),"")</f>
        <v/>
      </c>
      <c r="AZ3816" s="21" t="str">
        <f>IF(AND($AM3816&lt;&gt;"",$AS3816="✓"),SUMPRODUCT(($AM$11:$AM3816&lt;&gt;"")*($AS$11:$AS3816="✓")),"")</f>
        <v/>
      </c>
      <c r="BA3816" s="21" t="str">
        <f>IF($AL3816="","",$AL3816&amp;"|"&amp;COUNTIF($AL$11:$AL3816,$AL3816))</f>
        <v/>
      </c>
    </row>
    <row r="3817" spans="38:53" ht="15" customHeight="1" x14ac:dyDescent="0.25">
      <c r="AL3817" s="17"/>
      <c r="AM3817" s="12"/>
      <c r="AN3817" s="18"/>
      <c r="AO3817" s="18"/>
      <c r="AP3817" s="10"/>
      <c r="AQ3817" s="10"/>
      <c r="AR3817" s="19"/>
      <c r="AS3817" s="20"/>
      <c r="AT3817" s="19"/>
      <c r="AV3817" s="21">
        <f>IF(AND($AL3817&lt;&gt;"",COUNTIF($AL$11:$AL3817,$AL3817)=1),1,0)</f>
        <v>0</v>
      </c>
      <c r="AW3817" s="21">
        <f t="shared" si="205"/>
        <v>0</v>
      </c>
      <c r="AX3817" s="21" t="str">
        <f t="shared" si="204"/>
        <v/>
      </c>
      <c r="AY3817" s="21" t="str">
        <f>IF(AND($AM3817&lt;&gt;"",$AS3817&lt;&gt;"✓"),SUMPRODUCT(($AM$11:$AM3817&lt;&gt;"")*($AS$11:$AS3817&lt;&gt;"✓")),"")</f>
        <v/>
      </c>
      <c r="AZ3817" s="21" t="str">
        <f>IF(AND($AM3817&lt;&gt;"",$AS3817="✓"),SUMPRODUCT(($AM$11:$AM3817&lt;&gt;"")*($AS$11:$AS3817="✓")),"")</f>
        <v/>
      </c>
      <c r="BA3817" s="21" t="str">
        <f>IF($AL3817="","",$AL3817&amp;"|"&amp;COUNTIF($AL$11:$AL3817,$AL3817))</f>
        <v/>
      </c>
    </row>
    <row r="3818" spans="38:53" ht="15" customHeight="1" x14ac:dyDescent="0.25">
      <c r="AL3818" s="31"/>
      <c r="AM3818" s="26"/>
      <c r="AN3818" s="32"/>
      <c r="AO3818" s="32"/>
      <c r="AP3818" s="24"/>
      <c r="AQ3818" s="24"/>
      <c r="AR3818" s="33"/>
      <c r="AS3818" s="34"/>
      <c r="AT3818" s="33"/>
      <c r="AV3818" s="21">
        <f>IF(AND($AL3818&lt;&gt;"",COUNTIF($AL$11:$AL3818,$AL3818)=1),1,0)</f>
        <v>0</v>
      </c>
      <c r="AW3818" s="21">
        <f t="shared" si="205"/>
        <v>0</v>
      </c>
      <c r="AX3818" s="21" t="str">
        <f t="shared" si="204"/>
        <v/>
      </c>
      <c r="AY3818" s="21" t="str">
        <f>IF(AND($AM3818&lt;&gt;"",$AS3818&lt;&gt;"✓"),SUMPRODUCT(($AM$11:$AM3818&lt;&gt;"")*($AS$11:$AS3818&lt;&gt;"✓")),"")</f>
        <v/>
      </c>
      <c r="AZ3818" s="21" t="str">
        <f>IF(AND($AM3818&lt;&gt;"",$AS3818="✓"),SUMPRODUCT(($AM$11:$AM3818&lt;&gt;"")*($AS$11:$AS3818="✓")),"")</f>
        <v/>
      </c>
      <c r="BA3818" s="21" t="str">
        <f>IF($AL3818="","",$AL3818&amp;"|"&amp;COUNTIF($AL$11:$AL3818,$AL3818))</f>
        <v/>
      </c>
    </row>
    <row r="3819" spans="38:53" ht="15" customHeight="1" x14ac:dyDescent="0.25">
      <c r="AL3819" s="17"/>
      <c r="AM3819" s="12"/>
      <c r="AN3819" s="18"/>
      <c r="AO3819" s="18"/>
      <c r="AP3819" s="10"/>
      <c r="AQ3819" s="10"/>
      <c r="AR3819" s="19"/>
      <c r="AS3819" s="20"/>
      <c r="AT3819" s="19"/>
      <c r="AV3819" s="21">
        <f>IF(AND($AL3819&lt;&gt;"",COUNTIF($AL$11:$AL3819,$AL3819)=1),1,0)</f>
        <v>0</v>
      </c>
      <c r="AW3819" s="21">
        <f t="shared" si="205"/>
        <v>0</v>
      </c>
      <c r="AX3819" s="21" t="str">
        <f t="shared" si="204"/>
        <v/>
      </c>
      <c r="AY3819" s="21" t="str">
        <f>IF(AND($AM3819&lt;&gt;"",$AS3819&lt;&gt;"✓"),SUMPRODUCT(($AM$11:$AM3819&lt;&gt;"")*($AS$11:$AS3819&lt;&gt;"✓")),"")</f>
        <v/>
      </c>
      <c r="AZ3819" s="21" t="str">
        <f>IF(AND($AM3819&lt;&gt;"",$AS3819="✓"),SUMPRODUCT(($AM$11:$AM3819&lt;&gt;"")*($AS$11:$AS3819="✓")),"")</f>
        <v/>
      </c>
      <c r="BA3819" s="21" t="str">
        <f>IF($AL3819="","",$AL3819&amp;"|"&amp;COUNTIF($AL$11:$AL3819,$AL3819))</f>
        <v/>
      </c>
    </row>
    <row r="3820" spans="38:53" ht="15" customHeight="1" x14ac:dyDescent="0.25">
      <c r="AL3820" s="31"/>
      <c r="AM3820" s="26"/>
      <c r="AN3820" s="32"/>
      <c r="AO3820" s="32"/>
      <c r="AP3820" s="24"/>
      <c r="AQ3820" s="24"/>
      <c r="AR3820" s="33"/>
      <c r="AS3820" s="34"/>
      <c r="AT3820" s="33"/>
      <c r="AV3820" s="21">
        <f>IF(AND($AL3820&lt;&gt;"",COUNTIF($AL$11:$AL3820,$AL3820)=1),1,0)</f>
        <v>0</v>
      </c>
      <c r="AW3820" s="21">
        <f t="shared" si="205"/>
        <v>0</v>
      </c>
      <c r="AX3820" s="21" t="str">
        <f t="shared" si="204"/>
        <v/>
      </c>
      <c r="AY3820" s="21" t="str">
        <f>IF(AND($AM3820&lt;&gt;"",$AS3820&lt;&gt;"✓"),SUMPRODUCT(($AM$11:$AM3820&lt;&gt;"")*($AS$11:$AS3820&lt;&gt;"✓")),"")</f>
        <v/>
      </c>
      <c r="AZ3820" s="21" t="str">
        <f>IF(AND($AM3820&lt;&gt;"",$AS3820="✓"),SUMPRODUCT(($AM$11:$AM3820&lt;&gt;"")*($AS$11:$AS3820="✓")),"")</f>
        <v/>
      </c>
      <c r="BA3820" s="21" t="str">
        <f>IF($AL3820="","",$AL3820&amp;"|"&amp;COUNTIF($AL$11:$AL3820,$AL3820))</f>
        <v/>
      </c>
    </row>
    <row r="3821" spans="38:53" ht="15" customHeight="1" x14ac:dyDescent="0.25">
      <c r="AL3821" s="17"/>
      <c r="AM3821" s="12"/>
      <c r="AN3821" s="18"/>
      <c r="AO3821" s="18"/>
      <c r="AP3821" s="10"/>
      <c r="AQ3821" s="10"/>
      <c r="AR3821" s="19"/>
      <c r="AS3821" s="20"/>
      <c r="AT3821" s="19"/>
      <c r="AV3821" s="21">
        <f>IF(AND($AL3821&lt;&gt;"",COUNTIF($AL$11:$AL3821,$AL3821)=1),1,0)</f>
        <v>0</v>
      </c>
      <c r="AW3821" s="21">
        <f t="shared" si="205"/>
        <v>0</v>
      </c>
      <c r="AX3821" s="21" t="str">
        <f t="shared" si="204"/>
        <v/>
      </c>
      <c r="AY3821" s="21" t="str">
        <f>IF(AND($AM3821&lt;&gt;"",$AS3821&lt;&gt;"✓"),SUMPRODUCT(($AM$11:$AM3821&lt;&gt;"")*($AS$11:$AS3821&lt;&gt;"✓")),"")</f>
        <v/>
      </c>
      <c r="AZ3821" s="21" t="str">
        <f>IF(AND($AM3821&lt;&gt;"",$AS3821="✓"),SUMPRODUCT(($AM$11:$AM3821&lt;&gt;"")*($AS$11:$AS3821="✓")),"")</f>
        <v/>
      </c>
      <c r="BA3821" s="21" t="str">
        <f>IF($AL3821="","",$AL3821&amp;"|"&amp;COUNTIF($AL$11:$AL3821,$AL3821))</f>
        <v/>
      </c>
    </row>
    <row r="3822" spans="38:53" ht="15" customHeight="1" x14ac:dyDescent="0.25">
      <c r="AL3822" s="31"/>
      <c r="AM3822" s="26"/>
      <c r="AN3822" s="32"/>
      <c r="AO3822" s="32"/>
      <c r="AP3822" s="24"/>
      <c r="AQ3822" s="24"/>
      <c r="AR3822" s="33"/>
      <c r="AS3822" s="34"/>
      <c r="AT3822" s="33"/>
      <c r="AV3822" s="21">
        <f>IF(AND($AL3822&lt;&gt;"",COUNTIF($AL$11:$AL3822,$AL3822)=1),1,0)</f>
        <v>0</v>
      </c>
      <c r="AW3822" s="21">
        <f t="shared" si="205"/>
        <v>0</v>
      </c>
      <c r="AX3822" s="21" t="str">
        <f t="shared" si="204"/>
        <v/>
      </c>
      <c r="AY3822" s="21" t="str">
        <f>IF(AND($AM3822&lt;&gt;"",$AS3822&lt;&gt;"✓"),SUMPRODUCT(($AM$11:$AM3822&lt;&gt;"")*($AS$11:$AS3822&lt;&gt;"✓")),"")</f>
        <v/>
      </c>
      <c r="AZ3822" s="21" t="str">
        <f>IF(AND($AM3822&lt;&gt;"",$AS3822="✓"),SUMPRODUCT(($AM$11:$AM3822&lt;&gt;"")*($AS$11:$AS3822="✓")),"")</f>
        <v/>
      </c>
      <c r="BA3822" s="21" t="str">
        <f>IF($AL3822="","",$AL3822&amp;"|"&amp;COUNTIF($AL$11:$AL3822,$AL3822))</f>
        <v/>
      </c>
    </row>
    <row r="3823" spans="38:53" ht="15" customHeight="1" x14ac:dyDescent="0.25">
      <c r="AL3823" s="17"/>
      <c r="AM3823" s="12"/>
      <c r="AN3823" s="18"/>
      <c r="AO3823" s="18"/>
      <c r="AP3823" s="10"/>
      <c r="AQ3823" s="10"/>
      <c r="AR3823" s="19"/>
      <c r="AS3823" s="20"/>
      <c r="AT3823" s="19"/>
      <c r="AV3823" s="21">
        <f>IF(AND($AL3823&lt;&gt;"",COUNTIF($AL$11:$AL3823,$AL3823)=1),1,0)</f>
        <v>0</v>
      </c>
      <c r="AW3823" s="21">
        <f t="shared" si="205"/>
        <v>0</v>
      </c>
      <c r="AX3823" s="21" t="str">
        <f t="shared" si="204"/>
        <v/>
      </c>
      <c r="AY3823" s="21" t="str">
        <f>IF(AND($AM3823&lt;&gt;"",$AS3823&lt;&gt;"✓"),SUMPRODUCT(($AM$11:$AM3823&lt;&gt;"")*($AS$11:$AS3823&lt;&gt;"✓")),"")</f>
        <v/>
      </c>
      <c r="AZ3823" s="21" t="str">
        <f>IF(AND($AM3823&lt;&gt;"",$AS3823="✓"),SUMPRODUCT(($AM$11:$AM3823&lt;&gt;"")*($AS$11:$AS3823="✓")),"")</f>
        <v/>
      </c>
      <c r="BA3823" s="21" t="str">
        <f>IF($AL3823="","",$AL3823&amp;"|"&amp;COUNTIF($AL$11:$AL3823,$AL3823))</f>
        <v/>
      </c>
    </row>
    <row r="3824" spans="38:53" ht="15" customHeight="1" x14ac:dyDescent="0.25">
      <c r="AL3824" s="31"/>
      <c r="AM3824" s="26"/>
      <c r="AN3824" s="32"/>
      <c r="AO3824" s="32"/>
      <c r="AP3824" s="24"/>
      <c r="AQ3824" s="24"/>
      <c r="AR3824" s="33"/>
      <c r="AS3824" s="34"/>
      <c r="AT3824" s="33"/>
      <c r="AV3824" s="21">
        <f>IF(AND($AL3824&lt;&gt;"",COUNTIF($AL$11:$AL3824,$AL3824)=1),1,0)</f>
        <v>0</v>
      </c>
      <c r="AW3824" s="21">
        <f t="shared" si="205"/>
        <v>0</v>
      </c>
      <c r="AX3824" s="21" t="str">
        <f t="shared" si="204"/>
        <v/>
      </c>
      <c r="AY3824" s="21" t="str">
        <f>IF(AND($AM3824&lt;&gt;"",$AS3824&lt;&gt;"✓"),SUMPRODUCT(($AM$11:$AM3824&lt;&gt;"")*($AS$11:$AS3824&lt;&gt;"✓")),"")</f>
        <v/>
      </c>
      <c r="AZ3824" s="21" t="str">
        <f>IF(AND($AM3824&lt;&gt;"",$AS3824="✓"),SUMPRODUCT(($AM$11:$AM3824&lt;&gt;"")*($AS$11:$AS3824="✓")),"")</f>
        <v/>
      </c>
      <c r="BA3824" s="21" t="str">
        <f>IF($AL3824="","",$AL3824&amp;"|"&amp;COUNTIF($AL$11:$AL3824,$AL3824))</f>
        <v/>
      </c>
    </row>
    <row r="3825" spans="38:53" ht="15" customHeight="1" x14ac:dyDescent="0.25">
      <c r="AL3825" s="17"/>
      <c r="AM3825" s="12"/>
      <c r="AN3825" s="18"/>
      <c r="AO3825" s="18"/>
      <c r="AP3825" s="10"/>
      <c r="AQ3825" s="10"/>
      <c r="AR3825" s="19"/>
      <c r="AS3825" s="20"/>
      <c r="AT3825" s="19"/>
      <c r="AV3825" s="21">
        <f>IF(AND($AL3825&lt;&gt;"",COUNTIF($AL$11:$AL3825,$AL3825)=1),1,0)</f>
        <v>0</v>
      </c>
      <c r="AW3825" s="21">
        <f t="shared" si="205"/>
        <v>0</v>
      </c>
      <c r="AX3825" s="21" t="str">
        <f t="shared" si="204"/>
        <v/>
      </c>
      <c r="AY3825" s="21" t="str">
        <f>IF(AND($AM3825&lt;&gt;"",$AS3825&lt;&gt;"✓"),SUMPRODUCT(($AM$11:$AM3825&lt;&gt;"")*($AS$11:$AS3825&lt;&gt;"✓")),"")</f>
        <v/>
      </c>
      <c r="AZ3825" s="21" t="str">
        <f>IF(AND($AM3825&lt;&gt;"",$AS3825="✓"),SUMPRODUCT(($AM$11:$AM3825&lt;&gt;"")*($AS$11:$AS3825="✓")),"")</f>
        <v/>
      </c>
      <c r="BA3825" s="21" t="str">
        <f>IF($AL3825="","",$AL3825&amp;"|"&amp;COUNTIF($AL$11:$AL3825,$AL3825))</f>
        <v/>
      </c>
    </row>
    <row r="3826" spans="38:53" ht="15" customHeight="1" x14ac:dyDescent="0.25">
      <c r="AL3826" s="31"/>
      <c r="AM3826" s="26"/>
      <c r="AN3826" s="32"/>
      <c r="AO3826" s="32"/>
      <c r="AP3826" s="24"/>
      <c r="AQ3826" s="24"/>
      <c r="AR3826" s="33"/>
      <c r="AS3826" s="34"/>
      <c r="AT3826" s="33"/>
      <c r="AV3826" s="21">
        <f>IF(AND($AL3826&lt;&gt;"",COUNTIF($AL$11:$AL3826,$AL3826)=1),1,0)</f>
        <v>0</v>
      </c>
      <c r="AW3826" s="21">
        <f t="shared" si="205"/>
        <v>0</v>
      </c>
      <c r="AX3826" s="21" t="str">
        <f t="shared" si="204"/>
        <v/>
      </c>
      <c r="AY3826" s="21" t="str">
        <f>IF(AND($AM3826&lt;&gt;"",$AS3826&lt;&gt;"✓"),SUMPRODUCT(($AM$11:$AM3826&lt;&gt;"")*($AS$11:$AS3826&lt;&gt;"✓")),"")</f>
        <v/>
      </c>
      <c r="AZ3826" s="21" t="str">
        <f>IF(AND($AM3826&lt;&gt;"",$AS3826="✓"),SUMPRODUCT(($AM$11:$AM3826&lt;&gt;"")*($AS$11:$AS3826="✓")),"")</f>
        <v/>
      </c>
      <c r="BA3826" s="21" t="str">
        <f>IF($AL3826="","",$AL3826&amp;"|"&amp;COUNTIF($AL$11:$AL3826,$AL3826))</f>
        <v/>
      </c>
    </row>
    <row r="3827" spans="38:53" ht="15" customHeight="1" x14ac:dyDescent="0.25">
      <c r="AL3827" s="17"/>
      <c r="AM3827" s="12"/>
      <c r="AN3827" s="18"/>
      <c r="AO3827" s="18"/>
      <c r="AP3827" s="10"/>
      <c r="AQ3827" s="10"/>
      <c r="AR3827" s="19"/>
      <c r="AS3827" s="20"/>
      <c r="AT3827" s="19"/>
      <c r="AV3827" s="21">
        <f>IF(AND($AL3827&lt;&gt;"",COUNTIF($AL$11:$AL3827,$AL3827)=1),1,0)</f>
        <v>0</v>
      </c>
      <c r="AW3827" s="21">
        <f t="shared" si="205"/>
        <v>0</v>
      </c>
      <c r="AX3827" s="21" t="str">
        <f t="shared" si="204"/>
        <v/>
      </c>
      <c r="AY3827" s="21" t="str">
        <f>IF(AND($AM3827&lt;&gt;"",$AS3827&lt;&gt;"✓"),SUMPRODUCT(($AM$11:$AM3827&lt;&gt;"")*($AS$11:$AS3827&lt;&gt;"✓")),"")</f>
        <v/>
      </c>
      <c r="AZ3827" s="21" t="str">
        <f>IF(AND($AM3827&lt;&gt;"",$AS3827="✓"),SUMPRODUCT(($AM$11:$AM3827&lt;&gt;"")*($AS$11:$AS3827="✓")),"")</f>
        <v/>
      </c>
      <c r="BA3827" s="21" t="str">
        <f>IF($AL3827="","",$AL3827&amp;"|"&amp;COUNTIF($AL$11:$AL3827,$AL3827))</f>
        <v/>
      </c>
    </row>
    <row r="3828" spans="38:53" ht="15" customHeight="1" x14ac:dyDescent="0.25">
      <c r="AL3828" s="31"/>
      <c r="AM3828" s="26"/>
      <c r="AN3828" s="32"/>
      <c r="AO3828" s="32"/>
      <c r="AP3828" s="24"/>
      <c r="AQ3828" s="24"/>
      <c r="AR3828" s="33"/>
      <c r="AS3828" s="34"/>
      <c r="AT3828" s="33"/>
      <c r="AV3828" s="21">
        <f>IF(AND($AL3828&lt;&gt;"",COUNTIF($AL$11:$AL3828,$AL3828)=1),1,0)</f>
        <v>0</v>
      </c>
      <c r="AW3828" s="21">
        <f t="shared" si="205"/>
        <v>0</v>
      </c>
      <c r="AX3828" s="21" t="str">
        <f t="shared" si="204"/>
        <v/>
      </c>
      <c r="AY3828" s="21" t="str">
        <f>IF(AND($AM3828&lt;&gt;"",$AS3828&lt;&gt;"✓"),SUMPRODUCT(($AM$11:$AM3828&lt;&gt;"")*($AS$11:$AS3828&lt;&gt;"✓")),"")</f>
        <v/>
      </c>
      <c r="AZ3828" s="21" t="str">
        <f>IF(AND($AM3828&lt;&gt;"",$AS3828="✓"),SUMPRODUCT(($AM$11:$AM3828&lt;&gt;"")*($AS$11:$AS3828="✓")),"")</f>
        <v/>
      </c>
      <c r="BA3828" s="21" t="str">
        <f>IF($AL3828="","",$AL3828&amp;"|"&amp;COUNTIF($AL$11:$AL3828,$AL3828))</f>
        <v/>
      </c>
    </row>
    <row r="3829" spans="38:53" ht="15" customHeight="1" x14ac:dyDescent="0.25">
      <c r="AL3829" s="17"/>
      <c r="AM3829" s="12"/>
      <c r="AN3829" s="18"/>
      <c r="AO3829" s="18"/>
      <c r="AP3829" s="10"/>
      <c r="AQ3829" s="10"/>
      <c r="AR3829" s="19"/>
      <c r="AS3829" s="20"/>
      <c r="AT3829" s="19"/>
      <c r="AV3829" s="21">
        <f>IF(AND($AL3829&lt;&gt;"",COUNTIF($AL$11:$AL3829,$AL3829)=1),1,0)</f>
        <v>0</v>
      </c>
      <c r="AW3829" s="21">
        <f t="shared" si="205"/>
        <v>0</v>
      </c>
      <c r="AX3829" s="21" t="str">
        <f t="shared" si="204"/>
        <v/>
      </c>
      <c r="AY3829" s="21" t="str">
        <f>IF(AND($AM3829&lt;&gt;"",$AS3829&lt;&gt;"✓"),SUMPRODUCT(($AM$11:$AM3829&lt;&gt;"")*($AS$11:$AS3829&lt;&gt;"✓")),"")</f>
        <v/>
      </c>
      <c r="AZ3829" s="21" t="str">
        <f>IF(AND($AM3829&lt;&gt;"",$AS3829="✓"),SUMPRODUCT(($AM$11:$AM3829&lt;&gt;"")*($AS$11:$AS3829="✓")),"")</f>
        <v/>
      </c>
      <c r="BA3829" s="21" t="str">
        <f>IF($AL3829="","",$AL3829&amp;"|"&amp;COUNTIF($AL$11:$AL3829,$AL3829))</f>
        <v/>
      </c>
    </row>
    <row r="3830" spans="38:53" ht="15" customHeight="1" x14ac:dyDescent="0.25">
      <c r="AL3830" s="31"/>
      <c r="AM3830" s="26"/>
      <c r="AN3830" s="32"/>
      <c r="AO3830" s="32"/>
      <c r="AP3830" s="24"/>
      <c r="AQ3830" s="24"/>
      <c r="AR3830" s="33"/>
      <c r="AS3830" s="34"/>
      <c r="AT3830" s="33"/>
      <c r="AV3830" s="21">
        <f>IF(AND($AL3830&lt;&gt;"",COUNTIF($AL$11:$AL3830,$AL3830)=1),1,0)</f>
        <v>0</v>
      </c>
      <c r="AW3830" s="21">
        <f t="shared" si="205"/>
        <v>0</v>
      </c>
      <c r="AX3830" s="21" t="str">
        <f t="shared" si="204"/>
        <v/>
      </c>
      <c r="AY3830" s="21" t="str">
        <f>IF(AND($AM3830&lt;&gt;"",$AS3830&lt;&gt;"✓"),SUMPRODUCT(($AM$11:$AM3830&lt;&gt;"")*($AS$11:$AS3830&lt;&gt;"✓")),"")</f>
        <v/>
      </c>
      <c r="AZ3830" s="21" t="str">
        <f>IF(AND($AM3830&lt;&gt;"",$AS3830="✓"),SUMPRODUCT(($AM$11:$AM3830&lt;&gt;"")*($AS$11:$AS3830="✓")),"")</f>
        <v/>
      </c>
      <c r="BA3830" s="21" t="str">
        <f>IF($AL3830="","",$AL3830&amp;"|"&amp;COUNTIF($AL$11:$AL3830,$AL3830))</f>
        <v/>
      </c>
    </row>
    <row r="3831" spans="38:53" ht="15" customHeight="1" x14ac:dyDescent="0.25">
      <c r="AL3831" s="17"/>
      <c r="AM3831" s="12"/>
      <c r="AN3831" s="18"/>
      <c r="AO3831" s="18"/>
      <c r="AP3831" s="10"/>
      <c r="AQ3831" s="10"/>
      <c r="AR3831" s="19"/>
      <c r="AS3831" s="20"/>
      <c r="AT3831" s="19"/>
      <c r="AV3831" s="21">
        <f>IF(AND($AL3831&lt;&gt;"",COUNTIF($AL$11:$AL3831,$AL3831)=1),1,0)</f>
        <v>0</v>
      </c>
      <c r="AW3831" s="21">
        <f t="shared" si="205"/>
        <v>0</v>
      </c>
      <c r="AX3831" s="21" t="str">
        <f t="shared" si="204"/>
        <v/>
      </c>
      <c r="AY3831" s="21" t="str">
        <f>IF(AND($AM3831&lt;&gt;"",$AS3831&lt;&gt;"✓"),SUMPRODUCT(($AM$11:$AM3831&lt;&gt;"")*($AS$11:$AS3831&lt;&gt;"✓")),"")</f>
        <v/>
      </c>
      <c r="AZ3831" s="21" t="str">
        <f>IF(AND($AM3831&lt;&gt;"",$AS3831="✓"),SUMPRODUCT(($AM$11:$AM3831&lt;&gt;"")*($AS$11:$AS3831="✓")),"")</f>
        <v/>
      </c>
      <c r="BA3831" s="21" t="str">
        <f>IF($AL3831="","",$AL3831&amp;"|"&amp;COUNTIF($AL$11:$AL3831,$AL3831))</f>
        <v/>
      </c>
    </row>
    <row r="3832" spans="38:53" ht="15" customHeight="1" x14ac:dyDescent="0.25">
      <c r="AL3832" s="31"/>
      <c r="AM3832" s="26"/>
      <c r="AN3832" s="32"/>
      <c r="AO3832" s="32"/>
      <c r="AP3832" s="24"/>
      <c r="AQ3832" s="24"/>
      <c r="AR3832" s="33"/>
      <c r="AS3832" s="34"/>
      <c r="AT3832" s="33"/>
      <c r="AV3832" s="21">
        <f>IF(AND($AL3832&lt;&gt;"",COUNTIF($AL$11:$AL3832,$AL3832)=1),1,0)</f>
        <v>0</v>
      </c>
      <c r="AW3832" s="21">
        <f t="shared" si="205"/>
        <v>0</v>
      </c>
      <c r="AX3832" s="21" t="str">
        <f t="shared" si="204"/>
        <v/>
      </c>
      <c r="AY3832" s="21" t="str">
        <f>IF(AND($AM3832&lt;&gt;"",$AS3832&lt;&gt;"✓"),SUMPRODUCT(($AM$11:$AM3832&lt;&gt;"")*($AS$11:$AS3832&lt;&gt;"✓")),"")</f>
        <v/>
      </c>
      <c r="AZ3832" s="21" t="str">
        <f>IF(AND($AM3832&lt;&gt;"",$AS3832="✓"),SUMPRODUCT(($AM$11:$AM3832&lt;&gt;"")*($AS$11:$AS3832="✓")),"")</f>
        <v/>
      </c>
      <c r="BA3832" s="21" t="str">
        <f>IF($AL3832="","",$AL3832&amp;"|"&amp;COUNTIF($AL$11:$AL3832,$AL3832))</f>
        <v/>
      </c>
    </row>
    <row r="3833" spans="38:53" ht="15" customHeight="1" x14ac:dyDescent="0.25">
      <c r="AL3833" s="17"/>
      <c r="AM3833" s="12"/>
      <c r="AN3833" s="18"/>
      <c r="AO3833" s="18"/>
      <c r="AP3833" s="10"/>
      <c r="AQ3833" s="10"/>
      <c r="AR3833" s="19"/>
      <c r="AS3833" s="20"/>
      <c r="AT3833" s="19"/>
      <c r="AV3833" s="21">
        <f>IF(AND($AL3833&lt;&gt;"",COUNTIF($AL$11:$AL3833,$AL3833)=1),1,0)</f>
        <v>0</v>
      </c>
      <c r="AW3833" s="21">
        <f t="shared" si="205"/>
        <v>0</v>
      </c>
      <c r="AX3833" s="21" t="str">
        <f t="shared" si="204"/>
        <v/>
      </c>
      <c r="AY3833" s="21" t="str">
        <f>IF(AND($AM3833&lt;&gt;"",$AS3833&lt;&gt;"✓"),SUMPRODUCT(($AM$11:$AM3833&lt;&gt;"")*($AS$11:$AS3833&lt;&gt;"✓")),"")</f>
        <v/>
      </c>
      <c r="AZ3833" s="21" t="str">
        <f>IF(AND($AM3833&lt;&gt;"",$AS3833="✓"),SUMPRODUCT(($AM$11:$AM3833&lt;&gt;"")*($AS$11:$AS3833="✓")),"")</f>
        <v/>
      </c>
      <c r="BA3833" s="21" t="str">
        <f>IF($AL3833="","",$AL3833&amp;"|"&amp;COUNTIF($AL$11:$AL3833,$AL3833))</f>
        <v/>
      </c>
    </row>
    <row r="3834" spans="38:53" ht="15" customHeight="1" x14ac:dyDescent="0.25">
      <c r="AL3834" s="31"/>
      <c r="AM3834" s="26"/>
      <c r="AN3834" s="32"/>
      <c r="AO3834" s="32"/>
      <c r="AP3834" s="24"/>
      <c r="AQ3834" s="24"/>
      <c r="AR3834" s="33"/>
      <c r="AS3834" s="34"/>
      <c r="AT3834" s="33"/>
      <c r="AV3834" s="21">
        <f>IF(AND($AL3834&lt;&gt;"",COUNTIF($AL$11:$AL3834,$AL3834)=1),1,0)</f>
        <v>0</v>
      </c>
      <c r="AW3834" s="21">
        <f t="shared" si="205"/>
        <v>0</v>
      </c>
      <c r="AX3834" s="21" t="str">
        <f t="shared" si="204"/>
        <v/>
      </c>
      <c r="AY3834" s="21" t="str">
        <f>IF(AND($AM3834&lt;&gt;"",$AS3834&lt;&gt;"✓"),SUMPRODUCT(($AM$11:$AM3834&lt;&gt;"")*($AS$11:$AS3834&lt;&gt;"✓")),"")</f>
        <v/>
      </c>
      <c r="AZ3834" s="21" t="str">
        <f>IF(AND($AM3834&lt;&gt;"",$AS3834="✓"),SUMPRODUCT(($AM$11:$AM3834&lt;&gt;"")*($AS$11:$AS3834="✓")),"")</f>
        <v/>
      </c>
      <c r="BA3834" s="21" t="str">
        <f>IF($AL3834="","",$AL3834&amp;"|"&amp;COUNTIF($AL$11:$AL3834,$AL3834))</f>
        <v/>
      </c>
    </row>
    <row r="3835" spans="38:53" ht="15" customHeight="1" x14ac:dyDescent="0.25">
      <c r="AL3835" s="17"/>
      <c r="AM3835" s="12"/>
      <c r="AN3835" s="18"/>
      <c r="AO3835" s="18"/>
      <c r="AP3835" s="10"/>
      <c r="AQ3835" s="10"/>
      <c r="AR3835" s="19"/>
      <c r="AS3835" s="20"/>
      <c r="AT3835" s="19"/>
      <c r="AV3835" s="21">
        <f>IF(AND($AL3835&lt;&gt;"",COUNTIF($AL$11:$AL3835,$AL3835)=1),1,0)</f>
        <v>0</v>
      </c>
      <c r="AW3835" s="21">
        <f t="shared" si="205"/>
        <v>0</v>
      </c>
      <c r="AX3835" s="21" t="str">
        <f t="shared" si="204"/>
        <v/>
      </c>
      <c r="AY3835" s="21" t="str">
        <f>IF(AND($AM3835&lt;&gt;"",$AS3835&lt;&gt;"✓"),SUMPRODUCT(($AM$11:$AM3835&lt;&gt;"")*($AS$11:$AS3835&lt;&gt;"✓")),"")</f>
        <v/>
      </c>
      <c r="AZ3835" s="21" t="str">
        <f>IF(AND($AM3835&lt;&gt;"",$AS3835="✓"),SUMPRODUCT(($AM$11:$AM3835&lt;&gt;"")*($AS$11:$AS3835="✓")),"")</f>
        <v/>
      </c>
      <c r="BA3835" s="21" t="str">
        <f>IF($AL3835="","",$AL3835&amp;"|"&amp;COUNTIF($AL$11:$AL3835,$AL3835))</f>
        <v/>
      </c>
    </row>
    <row r="3836" spans="38:53" ht="15" customHeight="1" x14ac:dyDescent="0.25">
      <c r="AL3836" s="31"/>
      <c r="AM3836" s="26"/>
      <c r="AN3836" s="32"/>
      <c r="AO3836" s="32"/>
      <c r="AP3836" s="24"/>
      <c r="AQ3836" s="24"/>
      <c r="AR3836" s="33"/>
      <c r="AS3836" s="34"/>
      <c r="AT3836" s="33"/>
      <c r="AV3836" s="21">
        <f>IF(AND($AL3836&lt;&gt;"",COUNTIF($AL$11:$AL3836,$AL3836)=1),1,0)</f>
        <v>0</v>
      </c>
      <c r="AW3836" s="21">
        <f t="shared" si="205"/>
        <v>0</v>
      </c>
      <c r="AX3836" s="21" t="str">
        <f t="shared" si="204"/>
        <v/>
      </c>
      <c r="AY3836" s="21" t="str">
        <f>IF(AND($AM3836&lt;&gt;"",$AS3836&lt;&gt;"✓"),SUMPRODUCT(($AM$11:$AM3836&lt;&gt;"")*($AS$11:$AS3836&lt;&gt;"✓")),"")</f>
        <v/>
      </c>
      <c r="AZ3836" s="21" t="str">
        <f>IF(AND($AM3836&lt;&gt;"",$AS3836="✓"),SUMPRODUCT(($AM$11:$AM3836&lt;&gt;"")*($AS$11:$AS3836="✓")),"")</f>
        <v/>
      </c>
      <c r="BA3836" s="21" t="str">
        <f>IF($AL3836="","",$AL3836&amp;"|"&amp;COUNTIF($AL$11:$AL3836,$AL3836))</f>
        <v/>
      </c>
    </row>
    <row r="3837" spans="38:53" ht="15" customHeight="1" x14ac:dyDescent="0.25">
      <c r="AL3837" s="17"/>
      <c r="AM3837" s="12"/>
      <c r="AN3837" s="18"/>
      <c r="AO3837" s="18"/>
      <c r="AP3837" s="10"/>
      <c r="AQ3837" s="10"/>
      <c r="AR3837" s="19"/>
      <c r="AS3837" s="20"/>
      <c r="AT3837" s="19"/>
      <c r="AV3837" s="21">
        <f>IF(AND($AL3837&lt;&gt;"",COUNTIF($AL$11:$AL3837,$AL3837)=1),1,0)</f>
        <v>0</v>
      </c>
      <c r="AW3837" s="21">
        <f t="shared" si="205"/>
        <v>0</v>
      </c>
      <c r="AX3837" s="21" t="str">
        <f t="shared" si="204"/>
        <v/>
      </c>
      <c r="AY3837" s="21" t="str">
        <f>IF(AND($AM3837&lt;&gt;"",$AS3837&lt;&gt;"✓"),SUMPRODUCT(($AM$11:$AM3837&lt;&gt;"")*($AS$11:$AS3837&lt;&gt;"✓")),"")</f>
        <v/>
      </c>
      <c r="AZ3837" s="21" t="str">
        <f>IF(AND($AM3837&lt;&gt;"",$AS3837="✓"),SUMPRODUCT(($AM$11:$AM3837&lt;&gt;"")*($AS$11:$AS3837="✓")),"")</f>
        <v/>
      </c>
      <c r="BA3837" s="21" t="str">
        <f>IF($AL3837="","",$AL3837&amp;"|"&amp;COUNTIF($AL$11:$AL3837,$AL3837))</f>
        <v/>
      </c>
    </row>
    <row r="3838" spans="38:53" ht="15" customHeight="1" x14ac:dyDescent="0.25">
      <c r="AL3838" s="31"/>
      <c r="AM3838" s="26"/>
      <c r="AN3838" s="32"/>
      <c r="AO3838" s="32"/>
      <c r="AP3838" s="24"/>
      <c r="AQ3838" s="24"/>
      <c r="AR3838" s="33"/>
      <c r="AS3838" s="34"/>
      <c r="AT3838" s="33"/>
      <c r="AV3838" s="21">
        <f>IF(AND($AL3838&lt;&gt;"",COUNTIF($AL$11:$AL3838,$AL3838)=1),1,0)</f>
        <v>0</v>
      </c>
      <c r="AW3838" s="21">
        <f t="shared" si="205"/>
        <v>0</v>
      </c>
      <c r="AX3838" s="21" t="str">
        <f t="shared" si="204"/>
        <v/>
      </c>
      <c r="AY3838" s="21" t="str">
        <f>IF(AND($AM3838&lt;&gt;"",$AS3838&lt;&gt;"✓"),SUMPRODUCT(($AM$11:$AM3838&lt;&gt;"")*($AS$11:$AS3838&lt;&gt;"✓")),"")</f>
        <v/>
      </c>
      <c r="AZ3838" s="21" t="str">
        <f>IF(AND($AM3838&lt;&gt;"",$AS3838="✓"),SUMPRODUCT(($AM$11:$AM3838&lt;&gt;"")*($AS$11:$AS3838="✓")),"")</f>
        <v/>
      </c>
      <c r="BA3838" s="21" t="str">
        <f>IF($AL3838="","",$AL3838&amp;"|"&amp;COUNTIF($AL$11:$AL3838,$AL3838))</f>
        <v/>
      </c>
    </row>
    <row r="3839" spans="38:53" ht="15" customHeight="1" x14ac:dyDescent="0.25">
      <c r="AL3839" s="17"/>
      <c r="AM3839" s="12"/>
      <c r="AN3839" s="18"/>
      <c r="AO3839" s="18"/>
      <c r="AP3839" s="10"/>
      <c r="AQ3839" s="10"/>
      <c r="AR3839" s="19"/>
      <c r="AS3839" s="20"/>
      <c r="AT3839" s="19"/>
      <c r="AV3839" s="21">
        <f>IF(AND($AL3839&lt;&gt;"",COUNTIF($AL$11:$AL3839,$AL3839)=1),1,0)</f>
        <v>0</v>
      </c>
      <c r="AW3839" s="21">
        <f t="shared" si="205"/>
        <v>0</v>
      </c>
      <c r="AX3839" s="21" t="str">
        <f t="shared" si="204"/>
        <v/>
      </c>
      <c r="AY3839" s="21" t="str">
        <f>IF(AND($AM3839&lt;&gt;"",$AS3839&lt;&gt;"✓"),SUMPRODUCT(($AM$11:$AM3839&lt;&gt;"")*($AS$11:$AS3839&lt;&gt;"✓")),"")</f>
        <v/>
      </c>
      <c r="AZ3839" s="21" t="str">
        <f>IF(AND($AM3839&lt;&gt;"",$AS3839="✓"),SUMPRODUCT(($AM$11:$AM3839&lt;&gt;"")*($AS$11:$AS3839="✓")),"")</f>
        <v/>
      </c>
      <c r="BA3839" s="21" t="str">
        <f>IF($AL3839="","",$AL3839&amp;"|"&amp;COUNTIF($AL$11:$AL3839,$AL3839))</f>
        <v/>
      </c>
    </row>
    <row r="3840" spans="38:53" ht="15" customHeight="1" x14ac:dyDescent="0.25">
      <c r="AL3840" s="31"/>
      <c r="AM3840" s="26"/>
      <c r="AN3840" s="32"/>
      <c r="AO3840" s="32"/>
      <c r="AP3840" s="24"/>
      <c r="AQ3840" s="24"/>
      <c r="AR3840" s="33"/>
      <c r="AS3840" s="34"/>
      <c r="AT3840" s="33"/>
      <c r="AV3840" s="21">
        <f>IF(AND($AL3840&lt;&gt;"",COUNTIF($AL$11:$AL3840,$AL3840)=1),1,0)</f>
        <v>0</v>
      </c>
      <c r="AW3840" s="21">
        <f t="shared" si="205"/>
        <v>0</v>
      </c>
      <c r="AX3840" s="21" t="str">
        <f t="shared" si="204"/>
        <v/>
      </c>
      <c r="AY3840" s="21" t="str">
        <f>IF(AND($AM3840&lt;&gt;"",$AS3840&lt;&gt;"✓"),SUMPRODUCT(($AM$11:$AM3840&lt;&gt;"")*($AS$11:$AS3840&lt;&gt;"✓")),"")</f>
        <v/>
      </c>
      <c r="AZ3840" s="21" t="str">
        <f>IF(AND($AM3840&lt;&gt;"",$AS3840="✓"),SUMPRODUCT(($AM$11:$AM3840&lt;&gt;"")*($AS$11:$AS3840="✓")),"")</f>
        <v/>
      </c>
      <c r="BA3840" s="21" t="str">
        <f>IF($AL3840="","",$AL3840&amp;"|"&amp;COUNTIF($AL$11:$AL3840,$AL3840))</f>
        <v/>
      </c>
    </row>
    <row r="3841" spans="38:53" ht="15" customHeight="1" x14ac:dyDescent="0.25">
      <c r="AL3841" s="17"/>
      <c r="AM3841" s="12"/>
      <c r="AN3841" s="18"/>
      <c r="AO3841" s="18"/>
      <c r="AP3841" s="10"/>
      <c r="AQ3841" s="10"/>
      <c r="AR3841" s="19"/>
      <c r="AS3841" s="20"/>
      <c r="AT3841" s="19"/>
      <c r="AV3841" s="21">
        <f>IF(AND($AL3841&lt;&gt;"",COUNTIF($AL$11:$AL3841,$AL3841)=1),1,0)</f>
        <v>0</v>
      </c>
      <c r="AW3841" s="21">
        <f t="shared" si="205"/>
        <v>0</v>
      </c>
      <c r="AX3841" s="21" t="str">
        <f t="shared" si="204"/>
        <v/>
      </c>
      <c r="AY3841" s="21" t="str">
        <f>IF(AND($AM3841&lt;&gt;"",$AS3841&lt;&gt;"✓"),SUMPRODUCT(($AM$11:$AM3841&lt;&gt;"")*($AS$11:$AS3841&lt;&gt;"✓")),"")</f>
        <v/>
      </c>
      <c r="AZ3841" s="21" t="str">
        <f>IF(AND($AM3841&lt;&gt;"",$AS3841="✓"),SUMPRODUCT(($AM$11:$AM3841&lt;&gt;"")*($AS$11:$AS3841="✓")),"")</f>
        <v/>
      </c>
      <c r="BA3841" s="21" t="str">
        <f>IF($AL3841="","",$AL3841&amp;"|"&amp;COUNTIF($AL$11:$AL3841,$AL3841))</f>
        <v/>
      </c>
    </row>
    <row r="3842" spans="38:53" ht="15" customHeight="1" x14ac:dyDescent="0.25">
      <c r="AL3842" s="31"/>
      <c r="AM3842" s="26"/>
      <c r="AN3842" s="32"/>
      <c r="AO3842" s="32"/>
      <c r="AP3842" s="24"/>
      <c r="AQ3842" s="24"/>
      <c r="AR3842" s="33"/>
      <c r="AS3842" s="34"/>
      <c r="AT3842" s="33"/>
      <c r="AV3842" s="21">
        <f>IF(AND($AL3842&lt;&gt;"",COUNTIF($AL$11:$AL3842,$AL3842)=1),1,0)</f>
        <v>0</v>
      </c>
      <c r="AW3842" s="21">
        <f t="shared" si="205"/>
        <v>0</v>
      </c>
      <c r="AX3842" s="21" t="str">
        <f t="shared" si="204"/>
        <v/>
      </c>
      <c r="AY3842" s="21" t="str">
        <f>IF(AND($AM3842&lt;&gt;"",$AS3842&lt;&gt;"✓"),SUMPRODUCT(($AM$11:$AM3842&lt;&gt;"")*($AS$11:$AS3842&lt;&gt;"✓")),"")</f>
        <v/>
      </c>
      <c r="AZ3842" s="21" t="str">
        <f>IF(AND($AM3842&lt;&gt;"",$AS3842="✓"),SUMPRODUCT(($AM$11:$AM3842&lt;&gt;"")*($AS$11:$AS3842="✓")),"")</f>
        <v/>
      </c>
      <c r="BA3842" s="21" t="str">
        <f>IF($AL3842="","",$AL3842&amp;"|"&amp;COUNTIF($AL$11:$AL3842,$AL3842))</f>
        <v/>
      </c>
    </row>
    <row r="3843" spans="38:53" ht="15" customHeight="1" x14ac:dyDescent="0.25">
      <c r="AL3843" s="17"/>
      <c r="AM3843" s="12"/>
      <c r="AN3843" s="18"/>
      <c r="AO3843" s="18"/>
      <c r="AP3843" s="10"/>
      <c r="AQ3843" s="10"/>
      <c r="AR3843" s="19"/>
      <c r="AS3843" s="20"/>
      <c r="AT3843" s="19"/>
      <c r="AV3843" s="21">
        <f>IF(AND($AL3843&lt;&gt;"",COUNTIF($AL$11:$AL3843,$AL3843)=1),1,0)</f>
        <v>0</v>
      </c>
      <c r="AW3843" s="21">
        <f t="shared" si="205"/>
        <v>0</v>
      </c>
      <c r="AX3843" s="21" t="str">
        <f t="shared" si="204"/>
        <v/>
      </c>
      <c r="AY3843" s="21" t="str">
        <f>IF(AND($AM3843&lt;&gt;"",$AS3843&lt;&gt;"✓"),SUMPRODUCT(($AM$11:$AM3843&lt;&gt;"")*($AS$11:$AS3843&lt;&gt;"✓")),"")</f>
        <v/>
      </c>
      <c r="AZ3843" s="21" t="str">
        <f>IF(AND($AM3843&lt;&gt;"",$AS3843="✓"),SUMPRODUCT(($AM$11:$AM3843&lt;&gt;"")*($AS$11:$AS3843="✓")),"")</f>
        <v/>
      </c>
      <c r="BA3843" s="21" t="str">
        <f>IF($AL3843="","",$AL3843&amp;"|"&amp;COUNTIF($AL$11:$AL3843,$AL3843))</f>
        <v/>
      </c>
    </row>
    <row r="3844" spans="38:53" ht="15" customHeight="1" x14ac:dyDescent="0.25">
      <c r="AL3844" s="31"/>
      <c r="AM3844" s="26"/>
      <c r="AN3844" s="32"/>
      <c r="AO3844" s="32"/>
      <c r="AP3844" s="24"/>
      <c r="AQ3844" s="24"/>
      <c r="AR3844" s="33"/>
      <c r="AS3844" s="34"/>
      <c r="AT3844" s="33"/>
      <c r="AV3844" s="21">
        <f>IF(AND($AL3844&lt;&gt;"",COUNTIF($AL$11:$AL3844,$AL3844)=1),1,0)</f>
        <v>0</v>
      </c>
      <c r="AW3844" s="21">
        <f t="shared" si="205"/>
        <v>0</v>
      </c>
      <c r="AX3844" s="21" t="str">
        <f t="shared" si="204"/>
        <v/>
      </c>
      <c r="AY3844" s="21" t="str">
        <f>IF(AND($AM3844&lt;&gt;"",$AS3844&lt;&gt;"✓"),SUMPRODUCT(($AM$11:$AM3844&lt;&gt;"")*($AS$11:$AS3844&lt;&gt;"✓")),"")</f>
        <v/>
      </c>
      <c r="AZ3844" s="21" t="str">
        <f>IF(AND($AM3844&lt;&gt;"",$AS3844="✓"),SUMPRODUCT(($AM$11:$AM3844&lt;&gt;"")*($AS$11:$AS3844="✓")),"")</f>
        <v/>
      </c>
      <c r="BA3844" s="21" t="str">
        <f>IF($AL3844="","",$AL3844&amp;"|"&amp;COUNTIF($AL$11:$AL3844,$AL3844))</f>
        <v/>
      </c>
    </row>
    <row r="3845" spans="38:53" ht="15" customHeight="1" x14ac:dyDescent="0.25">
      <c r="AL3845" s="17"/>
      <c r="AM3845" s="12"/>
      <c r="AN3845" s="18"/>
      <c r="AO3845" s="18"/>
      <c r="AP3845" s="10"/>
      <c r="AQ3845" s="10"/>
      <c r="AR3845" s="19"/>
      <c r="AS3845" s="20"/>
      <c r="AT3845" s="19"/>
      <c r="AV3845" s="21">
        <f>IF(AND($AL3845&lt;&gt;"",COUNTIF($AL$11:$AL3845,$AL3845)=1),1,0)</f>
        <v>0</v>
      </c>
      <c r="AW3845" s="21">
        <f t="shared" si="205"/>
        <v>0</v>
      </c>
      <c r="AX3845" s="21" t="str">
        <f t="shared" si="204"/>
        <v/>
      </c>
      <c r="AY3845" s="21" t="str">
        <f>IF(AND($AM3845&lt;&gt;"",$AS3845&lt;&gt;"✓"),SUMPRODUCT(($AM$11:$AM3845&lt;&gt;"")*($AS$11:$AS3845&lt;&gt;"✓")),"")</f>
        <v/>
      </c>
      <c r="AZ3845" s="21" t="str">
        <f>IF(AND($AM3845&lt;&gt;"",$AS3845="✓"),SUMPRODUCT(($AM$11:$AM3845&lt;&gt;"")*($AS$11:$AS3845="✓")),"")</f>
        <v/>
      </c>
      <c r="BA3845" s="21" t="str">
        <f>IF($AL3845="","",$AL3845&amp;"|"&amp;COUNTIF($AL$11:$AL3845,$AL3845))</f>
        <v/>
      </c>
    </row>
    <row r="3846" spans="38:53" ht="15" customHeight="1" x14ac:dyDescent="0.25">
      <c r="AL3846" s="31"/>
      <c r="AM3846" s="26"/>
      <c r="AN3846" s="32"/>
      <c r="AO3846" s="32"/>
      <c r="AP3846" s="24"/>
      <c r="AQ3846" s="24"/>
      <c r="AR3846" s="33"/>
      <c r="AS3846" s="34"/>
      <c r="AT3846" s="33"/>
      <c r="AV3846" s="21">
        <f>IF(AND($AL3846&lt;&gt;"",COUNTIF($AL$11:$AL3846,$AL3846)=1),1,0)</f>
        <v>0</v>
      </c>
      <c r="AW3846" s="21">
        <f t="shared" si="205"/>
        <v>0</v>
      </c>
      <c r="AX3846" s="21" t="str">
        <f t="shared" si="204"/>
        <v/>
      </c>
      <c r="AY3846" s="21" t="str">
        <f>IF(AND($AM3846&lt;&gt;"",$AS3846&lt;&gt;"✓"),SUMPRODUCT(($AM$11:$AM3846&lt;&gt;"")*($AS$11:$AS3846&lt;&gt;"✓")),"")</f>
        <v/>
      </c>
      <c r="AZ3846" s="21" t="str">
        <f>IF(AND($AM3846&lt;&gt;"",$AS3846="✓"),SUMPRODUCT(($AM$11:$AM3846&lt;&gt;"")*($AS$11:$AS3846="✓")),"")</f>
        <v/>
      </c>
      <c r="BA3846" s="21" t="str">
        <f>IF($AL3846="","",$AL3846&amp;"|"&amp;COUNTIF($AL$11:$AL3846,$AL3846))</f>
        <v/>
      </c>
    </row>
    <row r="3847" spans="38:53" ht="15" customHeight="1" x14ac:dyDescent="0.25">
      <c r="AL3847" s="17"/>
      <c r="AM3847" s="12"/>
      <c r="AN3847" s="18"/>
      <c r="AO3847" s="18"/>
      <c r="AP3847" s="10"/>
      <c r="AQ3847" s="10"/>
      <c r="AR3847" s="19"/>
      <c r="AS3847" s="20"/>
      <c r="AT3847" s="19"/>
      <c r="AV3847" s="21">
        <f>IF(AND($AL3847&lt;&gt;"",COUNTIF($AL$11:$AL3847,$AL3847)=1),1,0)</f>
        <v>0</v>
      </c>
      <c r="AW3847" s="21">
        <f t="shared" si="205"/>
        <v>0</v>
      </c>
      <c r="AX3847" s="21" t="str">
        <f t="shared" si="204"/>
        <v/>
      </c>
      <c r="AY3847" s="21" t="str">
        <f>IF(AND($AM3847&lt;&gt;"",$AS3847&lt;&gt;"✓"),SUMPRODUCT(($AM$11:$AM3847&lt;&gt;"")*($AS$11:$AS3847&lt;&gt;"✓")),"")</f>
        <v/>
      </c>
      <c r="AZ3847" s="21" t="str">
        <f>IF(AND($AM3847&lt;&gt;"",$AS3847="✓"),SUMPRODUCT(($AM$11:$AM3847&lt;&gt;"")*($AS$11:$AS3847="✓")),"")</f>
        <v/>
      </c>
      <c r="BA3847" s="21" t="str">
        <f>IF($AL3847="","",$AL3847&amp;"|"&amp;COUNTIF($AL$11:$AL3847,$AL3847))</f>
        <v/>
      </c>
    </row>
    <row r="3848" spans="38:53" ht="15" customHeight="1" x14ac:dyDescent="0.25">
      <c r="AL3848" s="31"/>
      <c r="AM3848" s="26"/>
      <c r="AN3848" s="32"/>
      <c r="AO3848" s="32"/>
      <c r="AP3848" s="24"/>
      <c r="AQ3848" s="24"/>
      <c r="AR3848" s="33"/>
      <c r="AS3848" s="34"/>
      <c r="AT3848" s="33"/>
      <c r="AV3848" s="21">
        <f>IF(AND($AL3848&lt;&gt;"",COUNTIF($AL$11:$AL3848,$AL3848)=1),1,0)</f>
        <v>0</v>
      </c>
      <c r="AW3848" s="21">
        <f t="shared" si="205"/>
        <v>0</v>
      </c>
      <c r="AX3848" s="21" t="str">
        <f t="shared" si="204"/>
        <v/>
      </c>
      <c r="AY3848" s="21" t="str">
        <f>IF(AND($AM3848&lt;&gt;"",$AS3848&lt;&gt;"✓"),SUMPRODUCT(($AM$11:$AM3848&lt;&gt;"")*($AS$11:$AS3848&lt;&gt;"✓")),"")</f>
        <v/>
      </c>
      <c r="AZ3848" s="21" t="str">
        <f>IF(AND($AM3848&lt;&gt;"",$AS3848="✓"),SUMPRODUCT(($AM$11:$AM3848&lt;&gt;"")*($AS$11:$AS3848="✓")),"")</f>
        <v/>
      </c>
      <c r="BA3848" s="21" t="str">
        <f>IF($AL3848="","",$AL3848&amp;"|"&amp;COUNTIF($AL$11:$AL3848,$AL3848))</f>
        <v/>
      </c>
    </row>
    <row r="3849" spans="38:53" ht="15" customHeight="1" x14ac:dyDescent="0.25">
      <c r="AL3849" s="17"/>
      <c r="AM3849" s="12"/>
      <c r="AN3849" s="18"/>
      <c r="AO3849" s="18"/>
      <c r="AP3849" s="10"/>
      <c r="AQ3849" s="10"/>
      <c r="AR3849" s="19"/>
      <c r="AS3849" s="20"/>
      <c r="AT3849" s="19"/>
      <c r="AV3849" s="21">
        <f>IF(AND($AL3849&lt;&gt;"",COUNTIF($AL$11:$AL3849,$AL3849)=1),1,0)</f>
        <v>0</v>
      </c>
      <c r="AW3849" s="21">
        <f t="shared" si="205"/>
        <v>0</v>
      </c>
      <c r="AX3849" s="21" t="str">
        <f t="shared" si="204"/>
        <v/>
      </c>
      <c r="AY3849" s="21" t="str">
        <f>IF(AND($AM3849&lt;&gt;"",$AS3849&lt;&gt;"✓"),SUMPRODUCT(($AM$11:$AM3849&lt;&gt;"")*($AS$11:$AS3849&lt;&gt;"✓")),"")</f>
        <v/>
      </c>
      <c r="AZ3849" s="21" t="str">
        <f>IF(AND($AM3849&lt;&gt;"",$AS3849="✓"),SUMPRODUCT(($AM$11:$AM3849&lt;&gt;"")*($AS$11:$AS3849="✓")),"")</f>
        <v/>
      </c>
      <c r="BA3849" s="21" t="str">
        <f>IF($AL3849="","",$AL3849&amp;"|"&amp;COUNTIF($AL$11:$AL3849,$AL3849))</f>
        <v/>
      </c>
    </row>
    <row r="3850" spans="38:53" ht="15" customHeight="1" x14ac:dyDescent="0.25">
      <c r="AL3850" s="31"/>
      <c r="AM3850" s="26"/>
      <c r="AN3850" s="32"/>
      <c r="AO3850" s="32"/>
      <c r="AP3850" s="24"/>
      <c r="AQ3850" s="24"/>
      <c r="AR3850" s="33"/>
      <c r="AS3850" s="34"/>
      <c r="AT3850" s="33"/>
      <c r="AV3850" s="21">
        <f>IF(AND($AL3850&lt;&gt;"",COUNTIF($AL$11:$AL3850,$AL3850)=1),1,0)</f>
        <v>0</v>
      </c>
      <c r="AW3850" s="21">
        <f t="shared" si="205"/>
        <v>0</v>
      </c>
      <c r="AX3850" s="21" t="str">
        <f t="shared" si="204"/>
        <v/>
      </c>
      <c r="AY3850" s="21" t="str">
        <f>IF(AND($AM3850&lt;&gt;"",$AS3850&lt;&gt;"✓"),SUMPRODUCT(($AM$11:$AM3850&lt;&gt;"")*($AS$11:$AS3850&lt;&gt;"✓")),"")</f>
        <v/>
      </c>
      <c r="AZ3850" s="21" t="str">
        <f>IF(AND($AM3850&lt;&gt;"",$AS3850="✓"),SUMPRODUCT(($AM$11:$AM3850&lt;&gt;"")*($AS$11:$AS3850="✓")),"")</f>
        <v/>
      </c>
      <c r="BA3850" s="21" t="str">
        <f>IF($AL3850="","",$AL3850&amp;"|"&amp;COUNTIF($AL$11:$AL3850,$AL3850))</f>
        <v/>
      </c>
    </row>
    <row r="3851" spans="38:53" ht="15" customHeight="1" x14ac:dyDescent="0.25">
      <c r="AL3851" s="17"/>
      <c r="AM3851" s="12"/>
      <c r="AN3851" s="18"/>
      <c r="AO3851" s="18"/>
      <c r="AP3851" s="10"/>
      <c r="AQ3851" s="10"/>
      <c r="AR3851" s="19"/>
      <c r="AS3851" s="20"/>
      <c r="AT3851" s="19"/>
      <c r="AV3851" s="21">
        <f>IF(AND($AL3851&lt;&gt;"",COUNTIF($AL$11:$AL3851,$AL3851)=1),1,0)</f>
        <v>0</v>
      </c>
      <c r="AW3851" s="21">
        <f t="shared" si="205"/>
        <v>0</v>
      </c>
      <c r="AX3851" s="21" t="str">
        <f t="shared" ref="AX3851:AX3914" si="206">IF(AV3851=1,AW3851,"")</f>
        <v/>
      </c>
      <c r="AY3851" s="21" t="str">
        <f>IF(AND($AM3851&lt;&gt;"",$AS3851&lt;&gt;"✓"),SUMPRODUCT(($AM$11:$AM3851&lt;&gt;"")*($AS$11:$AS3851&lt;&gt;"✓")),"")</f>
        <v/>
      </c>
      <c r="AZ3851" s="21" t="str">
        <f>IF(AND($AM3851&lt;&gt;"",$AS3851="✓"),SUMPRODUCT(($AM$11:$AM3851&lt;&gt;"")*($AS$11:$AS3851="✓")),"")</f>
        <v/>
      </c>
      <c r="BA3851" s="21" t="str">
        <f>IF($AL3851="","",$AL3851&amp;"|"&amp;COUNTIF($AL$11:$AL3851,$AL3851))</f>
        <v/>
      </c>
    </row>
    <row r="3852" spans="38:53" ht="15" customHeight="1" x14ac:dyDescent="0.25">
      <c r="AL3852" s="31"/>
      <c r="AM3852" s="26"/>
      <c r="AN3852" s="32"/>
      <c r="AO3852" s="32"/>
      <c r="AP3852" s="24"/>
      <c r="AQ3852" s="24"/>
      <c r="AR3852" s="33"/>
      <c r="AS3852" s="34"/>
      <c r="AT3852" s="33"/>
      <c r="AV3852" s="21">
        <f>IF(AND($AL3852&lt;&gt;"",COUNTIF($AL$11:$AL3852,$AL3852)=1),1,0)</f>
        <v>0</v>
      </c>
      <c r="AW3852" s="21">
        <f t="shared" ref="AW3852:AW3915" si="207">AW3851+AV3852</f>
        <v>0</v>
      </c>
      <c r="AX3852" s="21" t="str">
        <f t="shared" si="206"/>
        <v/>
      </c>
      <c r="AY3852" s="21" t="str">
        <f>IF(AND($AM3852&lt;&gt;"",$AS3852&lt;&gt;"✓"),SUMPRODUCT(($AM$11:$AM3852&lt;&gt;"")*($AS$11:$AS3852&lt;&gt;"✓")),"")</f>
        <v/>
      </c>
      <c r="AZ3852" s="21" t="str">
        <f>IF(AND($AM3852&lt;&gt;"",$AS3852="✓"),SUMPRODUCT(($AM$11:$AM3852&lt;&gt;"")*($AS$11:$AS3852="✓")),"")</f>
        <v/>
      </c>
      <c r="BA3852" s="21" t="str">
        <f>IF($AL3852="","",$AL3852&amp;"|"&amp;COUNTIF($AL$11:$AL3852,$AL3852))</f>
        <v/>
      </c>
    </row>
    <row r="3853" spans="38:53" ht="15" customHeight="1" x14ac:dyDescent="0.25">
      <c r="AL3853" s="17"/>
      <c r="AM3853" s="12"/>
      <c r="AN3853" s="18"/>
      <c r="AO3853" s="18"/>
      <c r="AP3853" s="10"/>
      <c r="AQ3853" s="10"/>
      <c r="AR3853" s="19"/>
      <c r="AS3853" s="20"/>
      <c r="AT3853" s="19"/>
      <c r="AV3853" s="21">
        <f>IF(AND($AL3853&lt;&gt;"",COUNTIF($AL$11:$AL3853,$AL3853)=1),1,0)</f>
        <v>0</v>
      </c>
      <c r="AW3853" s="21">
        <f t="shared" si="207"/>
        <v>0</v>
      </c>
      <c r="AX3853" s="21" t="str">
        <f t="shared" si="206"/>
        <v/>
      </c>
      <c r="AY3853" s="21" t="str">
        <f>IF(AND($AM3853&lt;&gt;"",$AS3853&lt;&gt;"✓"),SUMPRODUCT(($AM$11:$AM3853&lt;&gt;"")*($AS$11:$AS3853&lt;&gt;"✓")),"")</f>
        <v/>
      </c>
      <c r="AZ3853" s="21" t="str">
        <f>IF(AND($AM3853&lt;&gt;"",$AS3853="✓"),SUMPRODUCT(($AM$11:$AM3853&lt;&gt;"")*($AS$11:$AS3853="✓")),"")</f>
        <v/>
      </c>
      <c r="BA3853" s="21" t="str">
        <f>IF($AL3853="","",$AL3853&amp;"|"&amp;COUNTIF($AL$11:$AL3853,$AL3853))</f>
        <v/>
      </c>
    </row>
    <row r="3854" spans="38:53" ht="15" customHeight="1" x14ac:dyDescent="0.25">
      <c r="AL3854" s="31"/>
      <c r="AM3854" s="26"/>
      <c r="AN3854" s="32"/>
      <c r="AO3854" s="32"/>
      <c r="AP3854" s="24"/>
      <c r="AQ3854" s="24"/>
      <c r="AR3854" s="33"/>
      <c r="AS3854" s="34"/>
      <c r="AT3854" s="33"/>
      <c r="AV3854" s="21">
        <f>IF(AND($AL3854&lt;&gt;"",COUNTIF($AL$11:$AL3854,$AL3854)=1),1,0)</f>
        <v>0</v>
      </c>
      <c r="AW3854" s="21">
        <f t="shared" si="207"/>
        <v>0</v>
      </c>
      <c r="AX3854" s="21" t="str">
        <f t="shared" si="206"/>
        <v/>
      </c>
      <c r="AY3854" s="21" t="str">
        <f>IF(AND($AM3854&lt;&gt;"",$AS3854&lt;&gt;"✓"),SUMPRODUCT(($AM$11:$AM3854&lt;&gt;"")*($AS$11:$AS3854&lt;&gt;"✓")),"")</f>
        <v/>
      </c>
      <c r="AZ3854" s="21" t="str">
        <f>IF(AND($AM3854&lt;&gt;"",$AS3854="✓"),SUMPRODUCT(($AM$11:$AM3854&lt;&gt;"")*($AS$11:$AS3854="✓")),"")</f>
        <v/>
      </c>
      <c r="BA3854" s="21" t="str">
        <f>IF($AL3854="","",$AL3854&amp;"|"&amp;COUNTIF($AL$11:$AL3854,$AL3854))</f>
        <v/>
      </c>
    </row>
    <row r="3855" spans="38:53" ht="15" customHeight="1" x14ac:dyDescent="0.25">
      <c r="AL3855" s="17"/>
      <c r="AM3855" s="12"/>
      <c r="AN3855" s="18"/>
      <c r="AO3855" s="18"/>
      <c r="AP3855" s="10"/>
      <c r="AQ3855" s="10"/>
      <c r="AR3855" s="19"/>
      <c r="AS3855" s="20"/>
      <c r="AT3855" s="19"/>
      <c r="AV3855" s="21">
        <f>IF(AND($AL3855&lt;&gt;"",COUNTIF($AL$11:$AL3855,$AL3855)=1),1,0)</f>
        <v>0</v>
      </c>
      <c r="AW3855" s="21">
        <f t="shared" si="207"/>
        <v>0</v>
      </c>
      <c r="AX3855" s="21" t="str">
        <f t="shared" si="206"/>
        <v/>
      </c>
      <c r="AY3855" s="21" t="str">
        <f>IF(AND($AM3855&lt;&gt;"",$AS3855&lt;&gt;"✓"),SUMPRODUCT(($AM$11:$AM3855&lt;&gt;"")*($AS$11:$AS3855&lt;&gt;"✓")),"")</f>
        <v/>
      </c>
      <c r="AZ3855" s="21" t="str">
        <f>IF(AND($AM3855&lt;&gt;"",$AS3855="✓"),SUMPRODUCT(($AM$11:$AM3855&lt;&gt;"")*($AS$11:$AS3855="✓")),"")</f>
        <v/>
      </c>
      <c r="BA3855" s="21" t="str">
        <f>IF($AL3855="","",$AL3855&amp;"|"&amp;COUNTIF($AL$11:$AL3855,$AL3855))</f>
        <v/>
      </c>
    </row>
    <row r="3856" spans="38:53" ht="15" customHeight="1" x14ac:dyDescent="0.25">
      <c r="AL3856" s="31"/>
      <c r="AM3856" s="26"/>
      <c r="AN3856" s="32"/>
      <c r="AO3856" s="32"/>
      <c r="AP3856" s="24"/>
      <c r="AQ3856" s="24"/>
      <c r="AR3856" s="33"/>
      <c r="AS3856" s="34"/>
      <c r="AT3856" s="33"/>
      <c r="AV3856" s="21">
        <f>IF(AND($AL3856&lt;&gt;"",COUNTIF($AL$11:$AL3856,$AL3856)=1),1,0)</f>
        <v>0</v>
      </c>
      <c r="AW3856" s="21">
        <f t="shared" si="207"/>
        <v>0</v>
      </c>
      <c r="AX3856" s="21" t="str">
        <f t="shared" si="206"/>
        <v/>
      </c>
      <c r="AY3856" s="21" t="str">
        <f>IF(AND($AM3856&lt;&gt;"",$AS3856&lt;&gt;"✓"),SUMPRODUCT(($AM$11:$AM3856&lt;&gt;"")*($AS$11:$AS3856&lt;&gt;"✓")),"")</f>
        <v/>
      </c>
      <c r="AZ3856" s="21" t="str">
        <f>IF(AND($AM3856&lt;&gt;"",$AS3856="✓"),SUMPRODUCT(($AM$11:$AM3856&lt;&gt;"")*($AS$11:$AS3856="✓")),"")</f>
        <v/>
      </c>
      <c r="BA3856" s="21" t="str">
        <f>IF($AL3856="","",$AL3856&amp;"|"&amp;COUNTIF($AL$11:$AL3856,$AL3856))</f>
        <v/>
      </c>
    </row>
    <row r="3857" spans="38:53" ht="15" customHeight="1" x14ac:dyDescent="0.25">
      <c r="AL3857" s="17"/>
      <c r="AM3857" s="12"/>
      <c r="AN3857" s="18"/>
      <c r="AO3857" s="18"/>
      <c r="AP3857" s="10"/>
      <c r="AQ3857" s="10"/>
      <c r="AR3857" s="19"/>
      <c r="AS3857" s="20"/>
      <c r="AT3857" s="19"/>
      <c r="AV3857" s="21">
        <f>IF(AND($AL3857&lt;&gt;"",COUNTIF($AL$11:$AL3857,$AL3857)=1),1,0)</f>
        <v>0</v>
      </c>
      <c r="AW3857" s="21">
        <f t="shared" si="207"/>
        <v>0</v>
      </c>
      <c r="AX3857" s="21" t="str">
        <f t="shared" si="206"/>
        <v/>
      </c>
      <c r="AY3857" s="21" t="str">
        <f>IF(AND($AM3857&lt;&gt;"",$AS3857&lt;&gt;"✓"),SUMPRODUCT(($AM$11:$AM3857&lt;&gt;"")*($AS$11:$AS3857&lt;&gt;"✓")),"")</f>
        <v/>
      </c>
      <c r="AZ3857" s="21" t="str">
        <f>IF(AND($AM3857&lt;&gt;"",$AS3857="✓"),SUMPRODUCT(($AM$11:$AM3857&lt;&gt;"")*($AS$11:$AS3857="✓")),"")</f>
        <v/>
      </c>
      <c r="BA3857" s="21" t="str">
        <f>IF($AL3857="","",$AL3857&amp;"|"&amp;COUNTIF($AL$11:$AL3857,$AL3857))</f>
        <v/>
      </c>
    </row>
    <row r="3858" spans="38:53" ht="15" customHeight="1" x14ac:dyDescent="0.25">
      <c r="AL3858" s="31"/>
      <c r="AM3858" s="26"/>
      <c r="AN3858" s="32"/>
      <c r="AO3858" s="32"/>
      <c r="AP3858" s="24"/>
      <c r="AQ3858" s="24"/>
      <c r="AR3858" s="33"/>
      <c r="AS3858" s="34"/>
      <c r="AT3858" s="33"/>
      <c r="AV3858" s="21">
        <f>IF(AND($AL3858&lt;&gt;"",COUNTIF($AL$11:$AL3858,$AL3858)=1),1,0)</f>
        <v>0</v>
      </c>
      <c r="AW3858" s="21">
        <f t="shared" si="207"/>
        <v>0</v>
      </c>
      <c r="AX3858" s="21" t="str">
        <f t="shared" si="206"/>
        <v/>
      </c>
      <c r="AY3858" s="21" t="str">
        <f>IF(AND($AM3858&lt;&gt;"",$AS3858&lt;&gt;"✓"),SUMPRODUCT(($AM$11:$AM3858&lt;&gt;"")*($AS$11:$AS3858&lt;&gt;"✓")),"")</f>
        <v/>
      </c>
      <c r="AZ3858" s="21" t="str">
        <f>IF(AND($AM3858&lt;&gt;"",$AS3858="✓"),SUMPRODUCT(($AM$11:$AM3858&lt;&gt;"")*($AS$11:$AS3858="✓")),"")</f>
        <v/>
      </c>
      <c r="BA3858" s="21" t="str">
        <f>IF($AL3858="","",$AL3858&amp;"|"&amp;COUNTIF($AL$11:$AL3858,$AL3858))</f>
        <v/>
      </c>
    </row>
    <row r="3859" spans="38:53" ht="15" customHeight="1" x14ac:dyDescent="0.25">
      <c r="AL3859" s="17"/>
      <c r="AM3859" s="12"/>
      <c r="AN3859" s="18"/>
      <c r="AO3859" s="18"/>
      <c r="AP3859" s="10"/>
      <c r="AQ3859" s="10"/>
      <c r="AR3859" s="19"/>
      <c r="AS3859" s="20"/>
      <c r="AT3859" s="19"/>
      <c r="AV3859" s="21">
        <f>IF(AND($AL3859&lt;&gt;"",COUNTIF($AL$11:$AL3859,$AL3859)=1),1,0)</f>
        <v>0</v>
      </c>
      <c r="AW3859" s="21">
        <f t="shared" si="207"/>
        <v>0</v>
      </c>
      <c r="AX3859" s="21" t="str">
        <f t="shared" si="206"/>
        <v/>
      </c>
      <c r="AY3859" s="21" t="str">
        <f>IF(AND($AM3859&lt;&gt;"",$AS3859&lt;&gt;"✓"),SUMPRODUCT(($AM$11:$AM3859&lt;&gt;"")*($AS$11:$AS3859&lt;&gt;"✓")),"")</f>
        <v/>
      </c>
      <c r="AZ3859" s="21" t="str">
        <f>IF(AND($AM3859&lt;&gt;"",$AS3859="✓"),SUMPRODUCT(($AM$11:$AM3859&lt;&gt;"")*($AS$11:$AS3859="✓")),"")</f>
        <v/>
      </c>
      <c r="BA3859" s="21" t="str">
        <f>IF($AL3859="","",$AL3859&amp;"|"&amp;COUNTIF($AL$11:$AL3859,$AL3859))</f>
        <v/>
      </c>
    </row>
    <row r="3860" spans="38:53" ht="15" customHeight="1" x14ac:dyDescent="0.25">
      <c r="AL3860" s="31"/>
      <c r="AM3860" s="26"/>
      <c r="AN3860" s="32"/>
      <c r="AO3860" s="32"/>
      <c r="AP3860" s="24"/>
      <c r="AQ3860" s="24"/>
      <c r="AR3860" s="33"/>
      <c r="AS3860" s="34"/>
      <c r="AT3860" s="33"/>
      <c r="AV3860" s="21">
        <f>IF(AND($AL3860&lt;&gt;"",COUNTIF($AL$11:$AL3860,$AL3860)=1),1,0)</f>
        <v>0</v>
      </c>
      <c r="AW3860" s="21">
        <f t="shared" si="207"/>
        <v>0</v>
      </c>
      <c r="AX3860" s="21" t="str">
        <f t="shared" si="206"/>
        <v/>
      </c>
      <c r="AY3860" s="21" t="str">
        <f>IF(AND($AM3860&lt;&gt;"",$AS3860&lt;&gt;"✓"),SUMPRODUCT(($AM$11:$AM3860&lt;&gt;"")*($AS$11:$AS3860&lt;&gt;"✓")),"")</f>
        <v/>
      </c>
      <c r="AZ3860" s="21" t="str">
        <f>IF(AND($AM3860&lt;&gt;"",$AS3860="✓"),SUMPRODUCT(($AM$11:$AM3860&lt;&gt;"")*($AS$11:$AS3860="✓")),"")</f>
        <v/>
      </c>
      <c r="BA3860" s="21" t="str">
        <f>IF($AL3860="","",$AL3860&amp;"|"&amp;COUNTIF($AL$11:$AL3860,$AL3860))</f>
        <v/>
      </c>
    </row>
    <row r="3861" spans="38:53" ht="15" customHeight="1" x14ac:dyDescent="0.25">
      <c r="AL3861" s="17"/>
      <c r="AM3861" s="12"/>
      <c r="AN3861" s="18"/>
      <c r="AO3861" s="18"/>
      <c r="AP3861" s="10"/>
      <c r="AQ3861" s="10"/>
      <c r="AR3861" s="19"/>
      <c r="AS3861" s="20"/>
      <c r="AT3861" s="19"/>
      <c r="AV3861" s="21">
        <f>IF(AND($AL3861&lt;&gt;"",COUNTIF($AL$11:$AL3861,$AL3861)=1),1,0)</f>
        <v>0</v>
      </c>
      <c r="AW3861" s="21">
        <f t="shared" si="207"/>
        <v>0</v>
      </c>
      <c r="AX3861" s="21" t="str">
        <f t="shared" si="206"/>
        <v/>
      </c>
      <c r="AY3861" s="21" t="str">
        <f>IF(AND($AM3861&lt;&gt;"",$AS3861&lt;&gt;"✓"),SUMPRODUCT(($AM$11:$AM3861&lt;&gt;"")*($AS$11:$AS3861&lt;&gt;"✓")),"")</f>
        <v/>
      </c>
      <c r="AZ3861" s="21" t="str">
        <f>IF(AND($AM3861&lt;&gt;"",$AS3861="✓"),SUMPRODUCT(($AM$11:$AM3861&lt;&gt;"")*($AS$11:$AS3861="✓")),"")</f>
        <v/>
      </c>
      <c r="BA3861" s="21" t="str">
        <f>IF($AL3861="","",$AL3861&amp;"|"&amp;COUNTIF($AL$11:$AL3861,$AL3861))</f>
        <v/>
      </c>
    </row>
    <row r="3862" spans="38:53" ht="15" customHeight="1" x14ac:dyDescent="0.25">
      <c r="AL3862" s="31"/>
      <c r="AM3862" s="26"/>
      <c r="AN3862" s="32"/>
      <c r="AO3862" s="32"/>
      <c r="AP3862" s="24"/>
      <c r="AQ3862" s="24"/>
      <c r="AR3862" s="33"/>
      <c r="AS3862" s="34"/>
      <c r="AT3862" s="33"/>
      <c r="AV3862" s="21">
        <f>IF(AND($AL3862&lt;&gt;"",COUNTIF($AL$11:$AL3862,$AL3862)=1),1,0)</f>
        <v>0</v>
      </c>
      <c r="AW3862" s="21">
        <f t="shared" si="207"/>
        <v>0</v>
      </c>
      <c r="AX3862" s="21" t="str">
        <f t="shared" si="206"/>
        <v/>
      </c>
      <c r="AY3862" s="21" t="str">
        <f>IF(AND($AM3862&lt;&gt;"",$AS3862&lt;&gt;"✓"),SUMPRODUCT(($AM$11:$AM3862&lt;&gt;"")*($AS$11:$AS3862&lt;&gt;"✓")),"")</f>
        <v/>
      </c>
      <c r="AZ3862" s="21" t="str">
        <f>IF(AND($AM3862&lt;&gt;"",$AS3862="✓"),SUMPRODUCT(($AM$11:$AM3862&lt;&gt;"")*($AS$11:$AS3862="✓")),"")</f>
        <v/>
      </c>
      <c r="BA3862" s="21" t="str">
        <f>IF($AL3862="","",$AL3862&amp;"|"&amp;COUNTIF($AL$11:$AL3862,$AL3862))</f>
        <v/>
      </c>
    </row>
    <row r="3863" spans="38:53" ht="15" customHeight="1" x14ac:dyDescent="0.25">
      <c r="AL3863" s="17"/>
      <c r="AM3863" s="12"/>
      <c r="AN3863" s="18"/>
      <c r="AO3863" s="18"/>
      <c r="AP3863" s="10"/>
      <c r="AQ3863" s="10"/>
      <c r="AR3863" s="19"/>
      <c r="AS3863" s="20"/>
      <c r="AT3863" s="19"/>
      <c r="AV3863" s="21">
        <f>IF(AND($AL3863&lt;&gt;"",COUNTIF($AL$11:$AL3863,$AL3863)=1),1,0)</f>
        <v>0</v>
      </c>
      <c r="AW3863" s="21">
        <f t="shared" si="207"/>
        <v>0</v>
      </c>
      <c r="AX3863" s="21" t="str">
        <f t="shared" si="206"/>
        <v/>
      </c>
      <c r="AY3863" s="21" t="str">
        <f>IF(AND($AM3863&lt;&gt;"",$AS3863&lt;&gt;"✓"),SUMPRODUCT(($AM$11:$AM3863&lt;&gt;"")*($AS$11:$AS3863&lt;&gt;"✓")),"")</f>
        <v/>
      </c>
      <c r="AZ3863" s="21" t="str">
        <f>IF(AND($AM3863&lt;&gt;"",$AS3863="✓"),SUMPRODUCT(($AM$11:$AM3863&lt;&gt;"")*($AS$11:$AS3863="✓")),"")</f>
        <v/>
      </c>
      <c r="BA3863" s="21" t="str">
        <f>IF($AL3863="","",$AL3863&amp;"|"&amp;COUNTIF($AL$11:$AL3863,$AL3863))</f>
        <v/>
      </c>
    </row>
    <row r="3864" spans="38:53" ht="15" customHeight="1" x14ac:dyDescent="0.25">
      <c r="AL3864" s="31"/>
      <c r="AM3864" s="26"/>
      <c r="AN3864" s="32"/>
      <c r="AO3864" s="32"/>
      <c r="AP3864" s="24"/>
      <c r="AQ3864" s="24"/>
      <c r="AR3864" s="33"/>
      <c r="AS3864" s="34"/>
      <c r="AT3864" s="33"/>
      <c r="AV3864" s="21">
        <f>IF(AND($AL3864&lt;&gt;"",COUNTIF($AL$11:$AL3864,$AL3864)=1),1,0)</f>
        <v>0</v>
      </c>
      <c r="AW3864" s="21">
        <f t="shared" si="207"/>
        <v>0</v>
      </c>
      <c r="AX3864" s="21" t="str">
        <f t="shared" si="206"/>
        <v/>
      </c>
      <c r="AY3864" s="21" t="str">
        <f>IF(AND($AM3864&lt;&gt;"",$AS3864&lt;&gt;"✓"),SUMPRODUCT(($AM$11:$AM3864&lt;&gt;"")*($AS$11:$AS3864&lt;&gt;"✓")),"")</f>
        <v/>
      </c>
      <c r="AZ3864" s="21" t="str">
        <f>IF(AND($AM3864&lt;&gt;"",$AS3864="✓"),SUMPRODUCT(($AM$11:$AM3864&lt;&gt;"")*($AS$11:$AS3864="✓")),"")</f>
        <v/>
      </c>
      <c r="BA3864" s="21" t="str">
        <f>IF($AL3864="","",$AL3864&amp;"|"&amp;COUNTIF($AL$11:$AL3864,$AL3864))</f>
        <v/>
      </c>
    </row>
    <row r="3865" spans="38:53" ht="15" customHeight="1" x14ac:dyDescent="0.25">
      <c r="AL3865" s="17"/>
      <c r="AM3865" s="12"/>
      <c r="AN3865" s="18"/>
      <c r="AO3865" s="18"/>
      <c r="AP3865" s="10"/>
      <c r="AQ3865" s="10"/>
      <c r="AR3865" s="19"/>
      <c r="AS3865" s="20"/>
      <c r="AT3865" s="19"/>
      <c r="AV3865" s="21">
        <f>IF(AND($AL3865&lt;&gt;"",COUNTIF($AL$11:$AL3865,$AL3865)=1),1,0)</f>
        <v>0</v>
      </c>
      <c r="AW3865" s="21">
        <f t="shared" si="207"/>
        <v>0</v>
      </c>
      <c r="AX3865" s="21" t="str">
        <f t="shared" si="206"/>
        <v/>
      </c>
      <c r="AY3865" s="21" t="str">
        <f>IF(AND($AM3865&lt;&gt;"",$AS3865&lt;&gt;"✓"),SUMPRODUCT(($AM$11:$AM3865&lt;&gt;"")*($AS$11:$AS3865&lt;&gt;"✓")),"")</f>
        <v/>
      </c>
      <c r="AZ3865" s="21" t="str">
        <f>IF(AND($AM3865&lt;&gt;"",$AS3865="✓"),SUMPRODUCT(($AM$11:$AM3865&lt;&gt;"")*($AS$11:$AS3865="✓")),"")</f>
        <v/>
      </c>
      <c r="BA3865" s="21" t="str">
        <f>IF($AL3865="","",$AL3865&amp;"|"&amp;COUNTIF($AL$11:$AL3865,$AL3865))</f>
        <v/>
      </c>
    </row>
    <row r="3866" spans="38:53" ht="15" customHeight="1" x14ac:dyDescent="0.25">
      <c r="AL3866" s="31"/>
      <c r="AM3866" s="26"/>
      <c r="AN3866" s="32"/>
      <c r="AO3866" s="32"/>
      <c r="AP3866" s="24"/>
      <c r="AQ3866" s="24"/>
      <c r="AR3866" s="33"/>
      <c r="AS3866" s="34"/>
      <c r="AT3866" s="33"/>
      <c r="AV3866" s="21">
        <f>IF(AND($AL3866&lt;&gt;"",COUNTIF($AL$11:$AL3866,$AL3866)=1),1,0)</f>
        <v>0</v>
      </c>
      <c r="AW3866" s="21">
        <f t="shared" si="207"/>
        <v>0</v>
      </c>
      <c r="AX3866" s="21" t="str">
        <f t="shared" si="206"/>
        <v/>
      </c>
      <c r="AY3866" s="21" t="str">
        <f>IF(AND($AM3866&lt;&gt;"",$AS3866&lt;&gt;"✓"),SUMPRODUCT(($AM$11:$AM3866&lt;&gt;"")*($AS$11:$AS3866&lt;&gt;"✓")),"")</f>
        <v/>
      </c>
      <c r="AZ3866" s="21" t="str">
        <f>IF(AND($AM3866&lt;&gt;"",$AS3866="✓"),SUMPRODUCT(($AM$11:$AM3866&lt;&gt;"")*($AS$11:$AS3866="✓")),"")</f>
        <v/>
      </c>
      <c r="BA3866" s="21" t="str">
        <f>IF($AL3866="","",$AL3866&amp;"|"&amp;COUNTIF($AL$11:$AL3866,$AL3866))</f>
        <v/>
      </c>
    </row>
    <row r="3867" spans="38:53" ht="15" customHeight="1" x14ac:dyDescent="0.25">
      <c r="AL3867" s="17"/>
      <c r="AM3867" s="12"/>
      <c r="AN3867" s="18"/>
      <c r="AO3867" s="18"/>
      <c r="AP3867" s="10"/>
      <c r="AQ3867" s="10"/>
      <c r="AR3867" s="19"/>
      <c r="AS3867" s="20"/>
      <c r="AT3867" s="19"/>
      <c r="AV3867" s="21">
        <f>IF(AND($AL3867&lt;&gt;"",COUNTIF($AL$11:$AL3867,$AL3867)=1),1,0)</f>
        <v>0</v>
      </c>
      <c r="AW3867" s="21">
        <f t="shared" si="207"/>
        <v>0</v>
      </c>
      <c r="AX3867" s="21" t="str">
        <f t="shared" si="206"/>
        <v/>
      </c>
      <c r="AY3867" s="21" t="str">
        <f>IF(AND($AM3867&lt;&gt;"",$AS3867&lt;&gt;"✓"),SUMPRODUCT(($AM$11:$AM3867&lt;&gt;"")*($AS$11:$AS3867&lt;&gt;"✓")),"")</f>
        <v/>
      </c>
      <c r="AZ3867" s="21" t="str">
        <f>IF(AND($AM3867&lt;&gt;"",$AS3867="✓"),SUMPRODUCT(($AM$11:$AM3867&lt;&gt;"")*($AS$11:$AS3867="✓")),"")</f>
        <v/>
      </c>
      <c r="BA3867" s="21" t="str">
        <f>IF($AL3867="","",$AL3867&amp;"|"&amp;COUNTIF($AL$11:$AL3867,$AL3867))</f>
        <v/>
      </c>
    </row>
    <row r="3868" spans="38:53" ht="15" customHeight="1" x14ac:dyDescent="0.25">
      <c r="AL3868" s="31"/>
      <c r="AM3868" s="26"/>
      <c r="AN3868" s="32"/>
      <c r="AO3868" s="32"/>
      <c r="AP3868" s="24"/>
      <c r="AQ3868" s="24"/>
      <c r="AR3868" s="33"/>
      <c r="AS3868" s="34"/>
      <c r="AT3868" s="33"/>
      <c r="AV3868" s="21">
        <f>IF(AND($AL3868&lt;&gt;"",COUNTIF($AL$11:$AL3868,$AL3868)=1),1,0)</f>
        <v>0</v>
      </c>
      <c r="AW3868" s="21">
        <f t="shared" si="207"/>
        <v>0</v>
      </c>
      <c r="AX3868" s="21" t="str">
        <f t="shared" si="206"/>
        <v/>
      </c>
      <c r="AY3868" s="21" t="str">
        <f>IF(AND($AM3868&lt;&gt;"",$AS3868&lt;&gt;"✓"),SUMPRODUCT(($AM$11:$AM3868&lt;&gt;"")*($AS$11:$AS3868&lt;&gt;"✓")),"")</f>
        <v/>
      </c>
      <c r="AZ3868" s="21" t="str">
        <f>IF(AND($AM3868&lt;&gt;"",$AS3868="✓"),SUMPRODUCT(($AM$11:$AM3868&lt;&gt;"")*($AS$11:$AS3868="✓")),"")</f>
        <v/>
      </c>
      <c r="BA3868" s="21" t="str">
        <f>IF($AL3868="","",$AL3868&amp;"|"&amp;COUNTIF($AL$11:$AL3868,$AL3868))</f>
        <v/>
      </c>
    </row>
    <row r="3869" spans="38:53" ht="15" customHeight="1" x14ac:dyDescent="0.25">
      <c r="AL3869" s="17"/>
      <c r="AM3869" s="12"/>
      <c r="AN3869" s="18"/>
      <c r="AO3869" s="18"/>
      <c r="AP3869" s="10"/>
      <c r="AQ3869" s="10"/>
      <c r="AR3869" s="19"/>
      <c r="AS3869" s="20"/>
      <c r="AT3869" s="19"/>
      <c r="AV3869" s="21">
        <f>IF(AND($AL3869&lt;&gt;"",COUNTIF($AL$11:$AL3869,$AL3869)=1),1,0)</f>
        <v>0</v>
      </c>
      <c r="AW3869" s="21">
        <f t="shared" si="207"/>
        <v>0</v>
      </c>
      <c r="AX3869" s="21" t="str">
        <f t="shared" si="206"/>
        <v/>
      </c>
      <c r="AY3869" s="21" t="str">
        <f>IF(AND($AM3869&lt;&gt;"",$AS3869&lt;&gt;"✓"),SUMPRODUCT(($AM$11:$AM3869&lt;&gt;"")*($AS$11:$AS3869&lt;&gt;"✓")),"")</f>
        <v/>
      </c>
      <c r="AZ3869" s="21" t="str">
        <f>IF(AND($AM3869&lt;&gt;"",$AS3869="✓"),SUMPRODUCT(($AM$11:$AM3869&lt;&gt;"")*($AS$11:$AS3869="✓")),"")</f>
        <v/>
      </c>
      <c r="BA3869" s="21" t="str">
        <f>IF($AL3869="","",$AL3869&amp;"|"&amp;COUNTIF($AL$11:$AL3869,$AL3869))</f>
        <v/>
      </c>
    </row>
    <row r="3870" spans="38:53" ht="15" customHeight="1" x14ac:dyDescent="0.25">
      <c r="AL3870" s="31"/>
      <c r="AM3870" s="26"/>
      <c r="AN3870" s="32"/>
      <c r="AO3870" s="32"/>
      <c r="AP3870" s="24"/>
      <c r="AQ3870" s="24"/>
      <c r="AR3870" s="33"/>
      <c r="AS3870" s="34"/>
      <c r="AT3870" s="33"/>
      <c r="AV3870" s="21">
        <f>IF(AND($AL3870&lt;&gt;"",COUNTIF($AL$11:$AL3870,$AL3870)=1),1,0)</f>
        <v>0</v>
      </c>
      <c r="AW3870" s="21">
        <f t="shared" si="207"/>
        <v>0</v>
      </c>
      <c r="AX3870" s="21" t="str">
        <f t="shared" si="206"/>
        <v/>
      </c>
      <c r="AY3870" s="21" t="str">
        <f>IF(AND($AM3870&lt;&gt;"",$AS3870&lt;&gt;"✓"),SUMPRODUCT(($AM$11:$AM3870&lt;&gt;"")*($AS$11:$AS3870&lt;&gt;"✓")),"")</f>
        <v/>
      </c>
      <c r="AZ3870" s="21" t="str">
        <f>IF(AND($AM3870&lt;&gt;"",$AS3870="✓"),SUMPRODUCT(($AM$11:$AM3870&lt;&gt;"")*($AS$11:$AS3870="✓")),"")</f>
        <v/>
      </c>
      <c r="BA3870" s="21" t="str">
        <f>IF($AL3870="","",$AL3870&amp;"|"&amp;COUNTIF($AL$11:$AL3870,$AL3870))</f>
        <v/>
      </c>
    </row>
    <row r="3871" spans="38:53" ht="15" customHeight="1" x14ac:dyDescent="0.25">
      <c r="AL3871" s="17"/>
      <c r="AM3871" s="12"/>
      <c r="AN3871" s="18"/>
      <c r="AO3871" s="18"/>
      <c r="AP3871" s="10"/>
      <c r="AQ3871" s="10"/>
      <c r="AR3871" s="19"/>
      <c r="AS3871" s="20"/>
      <c r="AT3871" s="19"/>
      <c r="AV3871" s="21">
        <f>IF(AND($AL3871&lt;&gt;"",COUNTIF($AL$11:$AL3871,$AL3871)=1),1,0)</f>
        <v>0</v>
      </c>
      <c r="AW3871" s="21">
        <f t="shared" si="207"/>
        <v>0</v>
      </c>
      <c r="AX3871" s="21" t="str">
        <f t="shared" si="206"/>
        <v/>
      </c>
      <c r="AY3871" s="21" t="str">
        <f>IF(AND($AM3871&lt;&gt;"",$AS3871&lt;&gt;"✓"),SUMPRODUCT(($AM$11:$AM3871&lt;&gt;"")*($AS$11:$AS3871&lt;&gt;"✓")),"")</f>
        <v/>
      </c>
      <c r="AZ3871" s="21" t="str">
        <f>IF(AND($AM3871&lt;&gt;"",$AS3871="✓"),SUMPRODUCT(($AM$11:$AM3871&lt;&gt;"")*($AS$11:$AS3871="✓")),"")</f>
        <v/>
      </c>
      <c r="BA3871" s="21" t="str">
        <f>IF($AL3871="","",$AL3871&amp;"|"&amp;COUNTIF($AL$11:$AL3871,$AL3871))</f>
        <v/>
      </c>
    </row>
    <row r="3872" spans="38:53" ht="15" customHeight="1" x14ac:dyDescent="0.25">
      <c r="AL3872" s="31"/>
      <c r="AM3872" s="26"/>
      <c r="AN3872" s="32"/>
      <c r="AO3872" s="32"/>
      <c r="AP3872" s="24"/>
      <c r="AQ3872" s="24"/>
      <c r="AR3872" s="33"/>
      <c r="AS3872" s="34"/>
      <c r="AT3872" s="33"/>
      <c r="AV3872" s="21">
        <f>IF(AND($AL3872&lt;&gt;"",COUNTIF($AL$11:$AL3872,$AL3872)=1),1,0)</f>
        <v>0</v>
      </c>
      <c r="AW3872" s="21">
        <f t="shared" si="207"/>
        <v>0</v>
      </c>
      <c r="AX3872" s="21" t="str">
        <f t="shared" si="206"/>
        <v/>
      </c>
      <c r="AY3872" s="21" t="str">
        <f>IF(AND($AM3872&lt;&gt;"",$AS3872&lt;&gt;"✓"),SUMPRODUCT(($AM$11:$AM3872&lt;&gt;"")*($AS$11:$AS3872&lt;&gt;"✓")),"")</f>
        <v/>
      </c>
      <c r="AZ3872" s="21" t="str">
        <f>IF(AND($AM3872&lt;&gt;"",$AS3872="✓"),SUMPRODUCT(($AM$11:$AM3872&lt;&gt;"")*($AS$11:$AS3872="✓")),"")</f>
        <v/>
      </c>
      <c r="BA3872" s="21" t="str">
        <f>IF($AL3872="","",$AL3872&amp;"|"&amp;COUNTIF($AL$11:$AL3872,$AL3872))</f>
        <v/>
      </c>
    </row>
    <row r="3873" spans="38:53" ht="15" customHeight="1" x14ac:dyDescent="0.25">
      <c r="AL3873" s="17"/>
      <c r="AM3873" s="12"/>
      <c r="AN3873" s="18"/>
      <c r="AO3873" s="18"/>
      <c r="AP3873" s="10"/>
      <c r="AQ3873" s="10"/>
      <c r="AR3873" s="19"/>
      <c r="AS3873" s="20"/>
      <c r="AT3873" s="19"/>
      <c r="AV3873" s="21">
        <f>IF(AND($AL3873&lt;&gt;"",COUNTIF($AL$11:$AL3873,$AL3873)=1),1,0)</f>
        <v>0</v>
      </c>
      <c r="AW3873" s="21">
        <f t="shared" si="207"/>
        <v>0</v>
      </c>
      <c r="AX3873" s="21" t="str">
        <f t="shared" si="206"/>
        <v/>
      </c>
      <c r="AY3873" s="21" t="str">
        <f>IF(AND($AM3873&lt;&gt;"",$AS3873&lt;&gt;"✓"),SUMPRODUCT(($AM$11:$AM3873&lt;&gt;"")*($AS$11:$AS3873&lt;&gt;"✓")),"")</f>
        <v/>
      </c>
      <c r="AZ3873" s="21" t="str">
        <f>IF(AND($AM3873&lt;&gt;"",$AS3873="✓"),SUMPRODUCT(($AM$11:$AM3873&lt;&gt;"")*($AS$11:$AS3873="✓")),"")</f>
        <v/>
      </c>
      <c r="BA3873" s="21" t="str">
        <f>IF($AL3873="","",$AL3873&amp;"|"&amp;COUNTIF($AL$11:$AL3873,$AL3873))</f>
        <v/>
      </c>
    </row>
    <row r="3874" spans="38:53" ht="15" customHeight="1" x14ac:dyDescent="0.25">
      <c r="AL3874" s="31"/>
      <c r="AM3874" s="26"/>
      <c r="AN3874" s="32"/>
      <c r="AO3874" s="32"/>
      <c r="AP3874" s="24"/>
      <c r="AQ3874" s="24"/>
      <c r="AR3874" s="33"/>
      <c r="AS3874" s="34"/>
      <c r="AT3874" s="33"/>
      <c r="AV3874" s="21">
        <f>IF(AND($AL3874&lt;&gt;"",COUNTIF($AL$11:$AL3874,$AL3874)=1),1,0)</f>
        <v>0</v>
      </c>
      <c r="AW3874" s="21">
        <f t="shared" si="207"/>
        <v>0</v>
      </c>
      <c r="AX3874" s="21" t="str">
        <f t="shared" si="206"/>
        <v/>
      </c>
      <c r="AY3874" s="21" t="str">
        <f>IF(AND($AM3874&lt;&gt;"",$AS3874&lt;&gt;"✓"),SUMPRODUCT(($AM$11:$AM3874&lt;&gt;"")*($AS$11:$AS3874&lt;&gt;"✓")),"")</f>
        <v/>
      </c>
      <c r="AZ3874" s="21" t="str">
        <f>IF(AND($AM3874&lt;&gt;"",$AS3874="✓"),SUMPRODUCT(($AM$11:$AM3874&lt;&gt;"")*($AS$11:$AS3874="✓")),"")</f>
        <v/>
      </c>
      <c r="BA3874" s="21" t="str">
        <f>IF($AL3874="","",$AL3874&amp;"|"&amp;COUNTIF($AL$11:$AL3874,$AL3874))</f>
        <v/>
      </c>
    </row>
    <row r="3875" spans="38:53" ht="15" customHeight="1" x14ac:dyDescent="0.25">
      <c r="AL3875" s="17"/>
      <c r="AM3875" s="12"/>
      <c r="AN3875" s="18"/>
      <c r="AO3875" s="18"/>
      <c r="AP3875" s="10"/>
      <c r="AQ3875" s="10"/>
      <c r="AR3875" s="19"/>
      <c r="AS3875" s="20"/>
      <c r="AT3875" s="19"/>
      <c r="AV3875" s="21">
        <f>IF(AND($AL3875&lt;&gt;"",COUNTIF($AL$11:$AL3875,$AL3875)=1),1,0)</f>
        <v>0</v>
      </c>
      <c r="AW3875" s="21">
        <f t="shared" si="207"/>
        <v>0</v>
      </c>
      <c r="AX3875" s="21" t="str">
        <f t="shared" si="206"/>
        <v/>
      </c>
      <c r="AY3875" s="21" t="str">
        <f>IF(AND($AM3875&lt;&gt;"",$AS3875&lt;&gt;"✓"),SUMPRODUCT(($AM$11:$AM3875&lt;&gt;"")*($AS$11:$AS3875&lt;&gt;"✓")),"")</f>
        <v/>
      </c>
      <c r="AZ3875" s="21" t="str">
        <f>IF(AND($AM3875&lt;&gt;"",$AS3875="✓"),SUMPRODUCT(($AM$11:$AM3875&lt;&gt;"")*($AS$11:$AS3875="✓")),"")</f>
        <v/>
      </c>
      <c r="BA3875" s="21" t="str">
        <f>IF($AL3875="","",$AL3875&amp;"|"&amp;COUNTIF($AL$11:$AL3875,$AL3875))</f>
        <v/>
      </c>
    </row>
    <row r="3876" spans="38:53" ht="15" customHeight="1" x14ac:dyDescent="0.25">
      <c r="AL3876" s="31"/>
      <c r="AM3876" s="26"/>
      <c r="AN3876" s="32"/>
      <c r="AO3876" s="32"/>
      <c r="AP3876" s="24"/>
      <c r="AQ3876" s="24"/>
      <c r="AR3876" s="33"/>
      <c r="AS3876" s="34"/>
      <c r="AT3876" s="33"/>
      <c r="AV3876" s="21">
        <f>IF(AND($AL3876&lt;&gt;"",COUNTIF($AL$11:$AL3876,$AL3876)=1),1,0)</f>
        <v>0</v>
      </c>
      <c r="AW3876" s="21">
        <f t="shared" si="207"/>
        <v>0</v>
      </c>
      <c r="AX3876" s="21" t="str">
        <f t="shared" si="206"/>
        <v/>
      </c>
      <c r="AY3876" s="21" t="str">
        <f>IF(AND($AM3876&lt;&gt;"",$AS3876&lt;&gt;"✓"),SUMPRODUCT(($AM$11:$AM3876&lt;&gt;"")*($AS$11:$AS3876&lt;&gt;"✓")),"")</f>
        <v/>
      </c>
      <c r="AZ3876" s="21" t="str">
        <f>IF(AND($AM3876&lt;&gt;"",$AS3876="✓"),SUMPRODUCT(($AM$11:$AM3876&lt;&gt;"")*($AS$11:$AS3876="✓")),"")</f>
        <v/>
      </c>
      <c r="BA3876" s="21" t="str">
        <f>IF($AL3876="","",$AL3876&amp;"|"&amp;COUNTIF($AL$11:$AL3876,$AL3876))</f>
        <v/>
      </c>
    </row>
    <row r="3877" spans="38:53" ht="15" customHeight="1" x14ac:dyDescent="0.25">
      <c r="AL3877" s="17"/>
      <c r="AM3877" s="12"/>
      <c r="AN3877" s="18"/>
      <c r="AO3877" s="18"/>
      <c r="AP3877" s="10"/>
      <c r="AQ3877" s="10"/>
      <c r="AR3877" s="19"/>
      <c r="AS3877" s="20"/>
      <c r="AT3877" s="19"/>
      <c r="AV3877" s="21">
        <f>IF(AND($AL3877&lt;&gt;"",COUNTIF($AL$11:$AL3877,$AL3877)=1),1,0)</f>
        <v>0</v>
      </c>
      <c r="AW3877" s="21">
        <f t="shared" si="207"/>
        <v>0</v>
      </c>
      <c r="AX3877" s="21" t="str">
        <f t="shared" si="206"/>
        <v/>
      </c>
      <c r="AY3877" s="21" t="str">
        <f>IF(AND($AM3877&lt;&gt;"",$AS3877&lt;&gt;"✓"),SUMPRODUCT(($AM$11:$AM3877&lt;&gt;"")*($AS$11:$AS3877&lt;&gt;"✓")),"")</f>
        <v/>
      </c>
      <c r="AZ3877" s="21" t="str">
        <f>IF(AND($AM3877&lt;&gt;"",$AS3877="✓"),SUMPRODUCT(($AM$11:$AM3877&lt;&gt;"")*($AS$11:$AS3877="✓")),"")</f>
        <v/>
      </c>
      <c r="BA3877" s="21" t="str">
        <f>IF($AL3877="","",$AL3877&amp;"|"&amp;COUNTIF($AL$11:$AL3877,$AL3877))</f>
        <v/>
      </c>
    </row>
    <row r="3878" spans="38:53" ht="15" customHeight="1" x14ac:dyDescent="0.25">
      <c r="AL3878" s="31"/>
      <c r="AM3878" s="26"/>
      <c r="AN3878" s="32"/>
      <c r="AO3878" s="32"/>
      <c r="AP3878" s="24"/>
      <c r="AQ3878" s="24"/>
      <c r="AR3878" s="33"/>
      <c r="AS3878" s="34"/>
      <c r="AT3878" s="33"/>
      <c r="AV3878" s="21">
        <f>IF(AND($AL3878&lt;&gt;"",COUNTIF($AL$11:$AL3878,$AL3878)=1),1,0)</f>
        <v>0</v>
      </c>
      <c r="AW3878" s="21">
        <f t="shared" si="207"/>
        <v>0</v>
      </c>
      <c r="AX3878" s="21" t="str">
        <f t="shared" si="206"/>
        <v/>
      </c>
      <c r="AY3878" s="21" t="str">
        <f>IF(AND($AM3878&lt;&gt;"",$AS3878&lt;&gt;"✓"),SUMPRODUCT(($AM$11:$AM3878&lt;&gt;"")*($AS$11:$AS3878&lt;&gt;"✓")),"")</f>
        <v/>
      </c>
      <c r="AZ3878" s="21" t="str">
        <f>IF(AND($AM3878&lt;&gt;"",$AS3878="✓"),SUMPRODUCT(($AM$11:$AM3878&lt;&gt;"")*($AS$11:$AS3878="✓")),"")</f>
        <v/>
      </c>
      <c r="BA3878" s="21" t="str">
        <f>IF($AL3878="","",$AL3878&amp;"|"&amp;COUNTIF($AL$11:$AL3878,$AL3878))</f>
        <v/>
      </c>
    </row>
    <row r="3879" spans="38:53" ht="15" customHeight="1" x14ac:dyDescent="0.25">
      <c r="AL3879" s="17"/>
      <c r="AM3879" s="12"/>
      <c r="AN3879" s="18"/>
      <c r="AO3879" s="18"/>
      <c r="AP3879" s="10"/>
      <c r="AQ3879" s="10"/>
      <c r="AR3879" s="19"/>
      <c r="AS3879" s="20"/>
      <c r="AT3879" s="19"/>
      <c r="AV3879" s="21">
        <f>IF(AND($AL3879&lt;&gt;"",COUNTIF($AL$11:$AL3879,$AL3879)=1),1,0)</f>
        <v>0</v>
      </c>
      <c r="AW3879" s="21">
        <f t="shared" si="207"/>
        <v>0</v>
      </c>
      <c r="AX3879" s="21" t="str">
        <f t="shared" si="206"/>
        <v/>
      </c>
      <c r="AY3879" s="21" t="str">
        <f>IF(AND($AM3879&lt;&gt;"",$AS3879&lt;&gt;"✓"),SUMPRODUCT(($AM$11:$AM3879&lt;&gt;"")*($AS$11:$AS3879&lt;&gt;"✓")),"")</f>
        <v/>
      </c>
      <c r="AZ3879" s="21" t="str">
        <f>IF(AND($AM3879&lt;&gt;"",$AS3879="✓"),SUMPRODUCT(($AM$11:$AM3879&lt;&gt;"")*($AS$11:$AS3879="✓")),"")</f>
        <v/>
      </c>
      <c r="BA3879" s="21" t="str">
        <f>IF($AL3879="","",$AL3879&amp;"|"&amp;COUNTIF($AL$11:$AL3879,$AL3879))</f>
        <v/>
      </c>
    </row>
    <row r="3880" spans="38:53" ht="15" customHeight="1" x14ac:dyDescent="0.25">
      <c r="AL3880" s="31"/>
      <c r="AM3880" s="26"/>
      <c r="AN3880" s="32"/>
      <c r="AO3880" s="32"/>
      <c r="AP3880" s="24"/>
      <c r="AQ3880" s="24"/>
      <c r="AR3880" s="33"/>
      <c r="AS3880" s="34"/>
      <c r="AT3880" s="33"/>
      <c r="AV3880" s="21">
        <f>IF(AND($AL3880&lt;&gt;"",COUNTIF($AL$11:$AL3880,$AL3880)=1),1,0)</f>
        <v>0</v>
      </c>
      <c r="AW3880" s="21">
        <f t="shared" si="207"/>
        <v>0</v>
      </c>
      <c r="AX3880" s="21" t="str">
        <f t="shared" si="206"/>
        <v/>
      </c>
      <c r="AY3880" s="21" t="str">
        <f>IF(AND($AM3880&lt;&gt;"",$AS3880&lt;&gt;"✓"),SUMPRODUCT(($AM$11:$AM3880&lt;&gt;"")*($AS$11:$AS3880&lt;&gt;"✓")),"")</f>
        <v/>
      </c>
      <c r="AZ3880" s="21" t="str">
        <f>IF(AND($AM3880&lt;&gt;"",$AS3880="✓"),SUMPRODUCT(($AM$11:$AM3880&lt;&gt;"")*($AS$11:$AS3880="✓")),"")</f>
        <v/>
      </c>
      <c r="BA3880" s="21" t="str">
        <f>IF($AL3880="","",$AL3880&amp;"|"&amp;COUNTIF($AL$11:$AL3880,$AL3880))</f>
        <v/>
      </c>
    </row>
    <row r="3881" spans="38:53" ht="15" customHeight="1" x14ac:dyDescent="0.25">
      <c r="AL3881" s="17"/>
      <c r="AM3881" s="12"/>
      <c r="AN3881" s="18"/>
      <c r="AO3881" s="18"/>
      <c r="AP3881" s="10"/>
      <c r="AQ3881" s="10"/>
      <c r="AR3881" s="19"/>
      <c r="AS3881" s="20"/>
      <c r="AT3881" s="19"/>
      <c r="AV3881" s="21">
        <f>IF(AND($AL3881&lt;&gt;"",COUNTIF($AL$11:$AL3881,$AL3881)=1),1,0)</f>
        <v>0</v>
      </c>
      <c r="AW3881" s="21">
        <f t="shared" si="207"/>
        <v>0</v>
      </c>
      <c r="AX3881" s="21" t="str">
        <f t="shared" si="206"/>
        <v/>
      </c>
      <c r="AY3881" s="21" t="str">
        <f>IF(AND($AM3881&lt;&gt;"",$AS3881&lt;&gt;"✓"),SUMPRODUCT(($AM$11:$AM3881&lt;&gt;"")*($AS$11:$AS3881&lt;&gt;"✓")),"")</f>
        <v/>
      </c>
      <c r="AZ3881" s="21" t="str">
        <f>IF(AND($AM3881&lt;&gt;"",$AS3881="✓"),SUMPRODUCT(($AM$11:$AM3881&lt;&gt;"")*($AS$11:$AS3881="✓")),"")</f>
        <v/>
      </c>
      <c r="BA3881" s="21" t="str">
        <f>IF($AL3881="","",$AL3881&amp;"|"&amp;COUNTIF($AL$11:$AL3881,$AL3881))</f>
        <v/>
      </c>
    </row>
    <row r="3882" spans="38:53" ht="15" customHeight="1" x14ac:dyDescent="0.25">
      <c r="AL3882" s="31"/>
      <c r="AM3882" s="26"/>
      <c r="AN3882" s="32"/>
      <c r="AO3882" s="32"/>
      <c r="AP3882" s="24"/>
      <c r="AQ3882" s="24"/>
      <c r="AR3882" s="33"/>
      <c r="AS3882" s="34"/>
      <c r="AT3882" s="33"/>
      <c r="AV3882" s="21">
        <f>IF(AND($AL3882&lt;&gt;"",COUNTIF($AL$11:$AL3882,$AL3882)=1),1,0)</f>
        <v>0</v>
      </c>
      <c r="AW3882" s="21">
        <f t="shared" si="207"/>
        <v>0</v>
      </c>
      <c r="AX3882" s="21" t="str">
        <f t="shared" si="206"/>
        <v/>
      </c>
      <c r="AY3882" s="21" t="str">
        <f>IF(AND($AM3882&lt;&gt;"",$AS3882&lt;&gt;"✓"),SUMPRODUCT(($AM$11:$AM3882&lt;&gt;"")*($AS$11:$AS3882&lt;&gt;"✓")),"")</f>
        <v/>
      </c>
      <c r="AZ3882" s="21" t="str">
        <f>IF(AND($AM3882&lt;&gt;"",$AS3882="✓"),SUMPRODUCT(($AM$11:$AM3882&lt;&gt;"")*($AS$11:$AS3882="✓")),"")</f>
        <v/>
      </c>
      <c r="BA3882" s="21" t="str">
        <f>IF($AL3882="","",$AL3882&amp;"|"&amp;COUNTIF($AL$11:$AL3882,$AL3882))</f>
        <v/>
      </c>
    </row>
    <row r="3883" spans="38:53" ht="15" customHeight="1" x14ac:dyDescent="0.25">
      <c r="AL3883" s="17"/>
      <c r="AM3883" s="12"/>
      <c r="AN3883" s="18"/>
      <c r="AO3883" s="18"/>
      <c r="AP3883" s="10"/>
      <c r="AQ3883" s="10"/>
      <c r="AR3883" s="19"/>
      <c r="AS3883" s="20"/>
      <c r="AT3883" s="19"/>
      <c r="AV3883" s="21">
        <f>IF(AND($AL3883&lt;&gt;"",COUNTIF($AL$11:$AL3883,$AL3883)=1),1,0)</f>
        <v>0</v>
      </c>
      <c r="AW3883" s="21">
        <f t="shared" si="207"/>
        <v>0</v>
      </c>
      <c r="AX3883" s="21" t="str">
        <f t="shared" si="206"/>
        <v/>
      </c>
      <c r="AY3883" s="21" t="str">
        <f>IF(AND($AM3883&lt;&gt;"",$AS3883&lt;&gt;"✓"),SUMPRODUCT(($AM$11:$AM3883&lt;&gt;"")*($AS$11:$AS3883&lt;&gt;"✓")),"")</f>
        <v/>
      </c>
      <c r="AZ3883" s="21" t="str">
        <f>IF(AND($AM3883&lt;&gt;"",$AS3883="✓"),SUMPRODUCT(($AM$11:$AM3883&lt;&gt;"")*($AS$11:$AS3883="✓")),"")</f>
        <v/>
      </c>
      <c r="BA3883" s="21" t="str">
        <f>IF($AL3883="","",$AL3883&amp;"|"&amp;COUNTIF($AL$11:$AL3883,$AL3883))</f>
        <v/>
      </c>
    </row>
    <row r="3884" spans="38:53" ht="15" customHeight="1" x14ac:dyDescent="0.25">
      <c r="AL3884" s="31"/>
      <c r="AM3884" s="26"/>
      <c r="AN3884" s="32"/>
      <c r="AO3884" s="32"/>
      <c r="AP3884" s="24"/>
      <c r="AQ3884" s="24"/>
      <c r="AR3884" s="33"/>
      <c r="AS3884" s="34"/>
      <c r="AT3884" s="33"/>
      <c r="AV3884" s="21">
        <f>IF(AND($AL3884&lt;&gt;"",COUNTIF($AL$11:$AL3884,$AL3884)=1),1,0)</f>
        <v>0</v>
      </c>
      <c r="AW3884" s="21">
        <f t="shared" si="207"/>
        <v>0</v>
      </c>
      <c r="AX3884" s="21" t="str">
        <f t="shared" si="206"/>
        <v/>
      </c>
      <c r="AY3884" s="21" t="str">
        <f>IF(AND($AM3884&lt;&gt;"",$AS3884&lt;&gt;"✓"),SUMPRODUCT(($AM$11:$AM3884&lt;&gt;"")*($AS$11:$AS3884&lt;&gt;"✓")),"")</f>
        <v/>
      </c>
      <c r="AZ3884" s="21" t="str">
        <f>IF(AND($AM3884&lt;&gt;"",$AS3884="✓"),SUMPRODUCT(($AM$11:$AM3884&lt;&gt;"")*($AS$11:$AS3884="✓")),"")</f>
        <v/>
      </c>
      <c r="BA3884" s="21" t="str">
        <f>IF($AL3884="","",$AL3884&amp;"|"&amp;COUNTIF($AL$11:$AL3884,$AL3884))</f>
        <v/>
      </c>
    </row>
    <row r="3885" spans="38:53" ht="15" customHeight="1" x14ac:dyDescent="0.25">
      <c r="AL3885" s="17"/>
      <c r="AM3885" s="12"/>
      <c r="AN3885" s="18"/>
      <c r="AO3885" s="18"/>
      <c r="AP3885" s="10"/>
      <c r="AQ3885" s="10"/>
      <c r="AR3885" s="19"/>
      <c r="AS3885" s="20"/>
      <c r="AT3885" s="19"/>
      <c r="AV3885" s="21">
        <f>IF(AND($AL3885&lt;&gt;"",COUNTIF($AL$11:$AL3885,$AL3885)=1),1,0)</f>
        <v>0</v>
      </c>
      <c r="AW3885" s="21">
        <f t="shared" si="207"/>
        <v>0</v>
      </c>
      <c r="AX3885" s="21" t="str">
        <f t="shared" si="206"/>
        <v/>
      </c>
      <c r="AY3885" s="21" t="str">
        <f>IF(AND($AM3885&lt;&gt;"",$AS3885&lt;&gt;"✓"),SUMPRODUCT(($AM$11:$AM3885&lt;&gt;"")*($AS$11:$AS3885&lt;&gt;"✓")),"")</f>
        <v/>
      </c>
      <c r="AZ3885" s="21" t="str">
        <f>IF(AND($AM3885&lt;&gt;"",$AS3885="✓"),SUMPRODUCT(($AM$11:$AM3885&lt;&gt;"")*($AS$11:$AS3885="✓")),"")</f>
        <v/>
      </c>
      <c r="BA3885" s="21" t="str">
        <f>IF($AL3885="","",$AL3885&amp;"|"&amp;COUNTIF($AL$11:$AL3885,$AL3885))</f>
        <v/>
      </c>
    </row>
    <row r="3886" spans="38:53" ht="15" customHeight="1" x14ac:dyDescent="0.25">
      <c r="AL3886" s="31"/>
      <c r="AM3886" s="26"/>
      <c r="AN3886" s="32"/>
      <c r="AO3886" s="32"/>
      <c r="AP3886" s="24"/>
      <c r="AQ3886" s="24"/>
      <c r="AR3886" s="33"/>
      <c r="AS3886" s="34"/>
      <c r="AT3886" s="33"/>
      <c r="AV3886" s="21">
        <f>IF(AND($AL3886&lt;&gt;"",COUNTIF($AL$11:$AL3886,$AL3886)=1),1,0)</f>
        <v>0</v>
      </c>
      <c r="AW3886" s="21">
        <f t="shared" si="207"/>
        <v>0</v>
      </c>
      <c r="AX3886" s="21" t="str">
        <f t="shared" si="206"/>
        <v/>
      </c>
      <c r="AY3886" s="21" t="str">
        <f>IF(AND($AM3886&lt;&gt;"",$AS3886&lt;&gt;"✓"),SUMPRODUCT(($AM$11:$AM3886&lt;&gt;"")*($AS$11:$AS3886&lt;&gt;"✓")),"")</f>
        <v/>
      </c>
      <c r="AZ3886" s="21" t="str">
        <f>IF(AND($AM3886&lt;&gt;"",$AS3886="✓"),SUMPRODUCT(($AM$11:$AM3886&lt;&gt;"")*($AS$11:$AS3886="✓")),"")</f>
        <v/>
      </c>
      <c r="BA3886" s="21" t="str">
        <f>IF($AL3886="","",$AL3886&amp;"|"&amp;COUNTIF($AL$11:$AL3886,$AL3886))</f>
        <v/>
      </c>
    </row>
    <row r="3887" spans="38:53" ht="15" customHeight="1" x14ac:dyDescent="0.25">
      <c r="AL3887" s="17"/>
      <c r="AM3887" s="12"/>
      <c r="AN3887" s="18"/>
      <c r="AO3887" s="18"/>
      <c r="AP3887" s="10"/>
      <c r="AQ3887" s="10"/>
      <c r="AR3887" s="19"/>
      <c r="AS3887" s="20"/>
      <c r="AT3887" s="19"/>
      <c r="AV3887" s="21">
        <f>IF(AND($AL3887&lt;&gt;"",COUNTIF($AL$11:$AL3887,$AL3887)=1),1,0)</f>
        <v>0</v>
      </c>
      <c r="AW3887" s="21">
        <f t="shared" si="207"/>
        <v>0</v>
      </c>
      <c r="AX3887" s="21" t="str">
        <f t="shared" si="206"/>
        <v/>
      </c>
      <c r="AY3887" s="21" t="str">
        <f>IF(AND($AM3887&lt;&gt;"",$AS3887&lt;&gt;"✓"),SUMPRODUCT(($AM$11:$AM3887&lt;&gt;"")*($AS$11:$AS3887&lt;&gt;"✓")),"")</f>
        <v/>
      </c>
      <c r="AZ3887" s="21" t="str">
        <f>IF(AND($AM3887&lt;&gt;"",$AS3887="✓"),SUMPRODUCT(($AM$11:$AM3887&lt;&gt;"")*($AS$11:$AS3887="✓")),"")</f>
        <v/>
      </c>
      <c r="BA3887" s="21" t="str">
        <f>IF($AL3887="","",$AL3887&amp;"|"&amp;COUNTIF($AL$11:$AL3887,$AL3887))</f>
        <v/>
      </c>
    </row>
    <row r="3888" spans="38:53" ht="15" customHeight="1" x14ac:dyDescent="0.25">
      <c r="AL3888" s="31"/>
      <c r="AM3888" s="26"/>
      <c r="AN3888" s="32"/>
      <c r="AO3888" s="32"/>
      <c r="AP3888" s="24"/>
      <c r="AQ3888" s="24"/>
      <c r="AR3888" s="33"/>
      <c r="AS3888" s="34"/>
      <c r="AT3888" s="33"/>
      <c r="AV3888" s="21">
        <f>IF(AND($AL3888&lt;&gt;"",COUNTIF($AL$11:$AL3888,$AL3888)=1),1,0)</f>
        <v>0</v>
      </c>
      <c r="AW3888" s="21">
        <f t="shared" si="207"/>
        <v>0</v>
      </c>
      <c r="AX3888" s="21" t="str">
        <f t="shared" si="206"/>
        <v/>
      </c>
      <c r="AY3888" s="21" t="str">
        <f>IF(AND($AM3888&lt;&gt;"",$AS3888&lt;&gt;"✓"),SUMPRODUCT(($AM$11:$AM3888&lt;&gt;"")*($AS$11:$AS3888&lt;&gt;"✓")),"")</f>
        <v/>
      </c>
      <c r="AZ3888" s="21" t="str">
        <f>IF(AND($AM3888&lt;&gt;"",$AS3888="✓"),SUMPRODUCT(($AM$11:$AM3888&lt;&gt;"")*($AS$11:$AS3888="✓")),"")</f>
        <v/>
      </c>
      <c r="BA3888" s="21" t="str">
        <f>IF($AL3888="","",$AL3888&amp;"|"&amp;COUNTIF($AL$11:$AL3888,$AL3888))</f>
        <v/>
      </c>
    </row>
    <row r="3889" spans="38:53" ht="15" customHeight="1" x14ac:dyDescent="0.25">
      <c r="AL3889" s="17"/>
      <c r="AM3889" s="12"/>
      <c r="AN3889" s="18"/>
      <c r="AO3889" s="18"/>
      <c r="AP3889" s="10"/>
      <c r="AQ3889" s="10"/>
      <c r="AR3889" s="19"/>
      <c r="AS3889" s="20"/>
      <c r="AT3889" s="19"/>
      <c r="AV3889" s="21">
        <f>IF(AND($AL3889&lt;&gt;"",COUNTIF($AL$11:$AL3889,$AL3889)=1),1,0)</f>
        <v>0</v>
      </c>
      <c r="AW3889" s="21">
        <f t="shared" si="207"/>
        <v>0</v>
      </c>
      <c r="AX3889" s="21" t="str">
        <f t="shared" si="206"/>
        <v/>
      </c>
      <c r="AY3889" s="21" t="str">
        <f>IF(AND($AM3889&lt;&gt;"",$AS3889&lt;&gt;"✓"),SUMPRODUCT(($AM$11:$AM3889&lt;&gt;"")*($AS$11:$AS3889&lt;&gt;"✓")),"")</f>
        <v/>
      </c>
      <c r="AZ3889" s="21" t="str">
        <f>IF(AND($AM3889&lt;&gt;"",$AS3889="✓"),SUMPRODUCT(($AM$11:$AM3889&lt;&gt;"")*($AS$11:$AS3889="✓")),"")</f>
        <v/>
      </c>
      <c r="BA3889" s="21" t="str">
        <f>IF($AL3889="","",$AL3889&amp;"|"&amp;COUNTIF($AL$11:$AL3889,$AL3889))</f>
        <v/>
      </c>
    </row>
    <row r="3890" spans="38:53" ht="15" customHeight="1" x14ac:dyDescent="0.25">
      <c r="AL3890" s="31"/>
      <c r="AM3890" s="26"/>
      <c r="AN3890" s="32"/>
      <c r="AO3890" s="32"/>
      <c r="AP3890" s="24"/>
      <c r="AQ3890" s="24"/>
      <c r="AR3890" s="33"/>
      <c r="AS3890" s="34"/>
      <c r="AT3890" s="33"/>
      <c r="AV3890" s="21">
        <f>IF(AND($AL3890&lt;&gt;"",COUNTIF($AL$11:$AL3890,$AL3890)=1),1,0)</f>
        <v>0</v>
      </c>
      <c r="AW3890" s="21">
        <f t="shared" si="207"/>
        <v>0</v>
      </c>
      <c r="AX3890" s="21" t="str">
        <f t="shared" si="206"/>
        <v/>
      </c>
      <c r="AY3890" s="21" t="str">
        <f>IF(AND($AM3890&lt;&gt;"",$AS3890&lt;&gt;"✓"),SUMPRODUCT(($AM$11:$AM3890&lt;&gt;"")*($AS$11:$AS3890&lt;&gt;"✓")),"")</f>
        <v/>
      </c>
      <c r="AZ3890" s="21" t="str">
        <f>IF(AND($AM3890&lt;&gt;"",$AS3890="✓"),SUMPRODUCT(($AM$11:$AM3890&lt;&gt;"")*($AS$11:$AS3890="✓")),"")</f>
        <v/>
      </c>
      <c r="BA3890" s="21" t="str">
        <f>IF($AL3890="","",$AL3890&amp;"|"&amp;COUNTIF($AL$11:$AL3890,$AL3890))</f>
        <v/>
      </c>
    </row>
    <row r="3891" spans="38:53" ht="15" customHeight="1" x14ac:dyDescent="0.25">
      <c r="AL3891" s="17"/>
      <c r="AM3891" s="12"/>
      <c r="AN3891" s="18"/>
      <c r="AO3891" s="18"/>
      <c r="AP3891" s="10"/>
      <c r="AQ3891" s="10"/>
      <c r="AR3891" s="19"/>
      <c r="AS3891" s="20"/>
      <c r="AT3891" s="19"/>
      <c r="AV3891" s="21">
        <f>IF(AND($AL3891&lt;&gt;"",COUNTIF($AL$11:$AL3891,$AL3891)=1),1,0)</f>
        <v>0</v>
      </c>
      <c r="AW3891" s="21">
        <f t="shared" si="207"/>
        <v>0</v>
      </c>
      <c r="AX3891" s="21" t="str">
        <f t="shared" si="206"/>
        <v/>
      </c>
      <c r="AY3891" s="21" t="str">
        <f>IF(AND($AM3891&lt;&gt;"",$AS3891&lt;&gt;"✓"),SUMPRODUCT(($AM$11:$AM3891&lt;&gt;"")*($AS$11:$AS3891&lt;&gt;"✓")),"")</f>
        <v/>
      </c>
      <c r="AZ3891" s="21" t="str">
        <f>IF(AND($AM3891&lt;&gt;"",$AS3891="✓"),SUMPRODUCT(($AM$11:$AM3891&lt;&gt;"")*($AS$11:$AS3891="✓")),"")</f>
        <v/>
      </c>
      <c r="BA3891" s="21" t="str">
        <f>IF($AL3891="","",$AL3891&amp;"|"&amp;COUNTIF($AL$11:$AL3891,$AL3891))</f>
        <v/>
      </c>
    </row>
    <row r="3892" spans="38:53" ht="15" customHeight="1" x14ac:dyDescent="0.25">
      <c r="AL3892" s="31"/>
      <c r="AM3892" s="26"/>
      <c r="AN3892" s="32"/>
      <c r="AO3892" s="32"/>
      <c r="AP3892" s="24"/>
      <c r="AQ3892" s="24"/>
      <c r="AR3892" s="33"/>
      <c r="AS3892" s="34"/>
      <c r="AT3892" s="33"/>
      <c r="AV3892" s="21">
        <f>IF(AND($AL3892&lt;&gt;"",COUNTIF($AL$11:$AL3892,$AL3892)=1),1,0)</f>
        <v>0</v>
      </c>
      <c r="AW3892" s="21">
        <f t="shared" si="207"/>
        <v>0</v>
      </c>
      <c r="AX3892" s="21" t="str">
        <f t="shared" si="206"/>
        <v/>
      </c>
      <c r="AY3892" s="21" t="str">
        <f>IF(AND($AM3892&lt;&gt;"",$AS3892&lt;&gt;"✓"),SUMPRODUCT(($AM$11:$AM3892&lt;&gt;"")*($AS$11:$AS3892&lt;&gt;"✓")),"")</f>
        <v/>
      </c>
      <c r="AZ3892" s="21" t="str">
        <f>IF(AND($AM3892&lt;&gt;"",$AS3892="✓"),SUMPRODUCT(($AM$11:$AM3892&lt;&gt;"")*($AS$11:$AS3892="✓")),"")</f>
        <v/>
      </c>
      <c r="BA3892" s="21" t="str">
        <f>IF($AL3892="","",$AL3892&amp;"|"&amp;COUNTIF($AL$11:$AL3892,$AL3892))</f>
        <v/>
      </c>
    </row>
    <row r="3893" spans="38:53" ht="15" customHeight="1" x14ac:dyDescent="0.25">
      <c r="AL3893" s="17"/>
      <c r="AM3893" s="12"/>
      <c r="AN3893" s="18"/>
      <c r="AO3893" s="18"/>
      <c r="AP3893" s="10"/>
      <c r="AQ3893" s="10"/>
      <c r="AR3893" s="19"/>
      <c r="AS3893" s="20"/>
      <c r="AT3893" s="19"/>
      <c r="AV3893" s="21">
        <f>IF(AND($AL3893&lt;&gt;"",COUNTIF($AL$11:$AL3893,$AL3893)=1),1,0)</f>
        <v>0</v>
      </c>
      <c r="AW3893" s="21">
        <f t="shared" si="207"/>
        <v>0</v>
      </c>
      <c r="AX3893" s="21" t="str">
        <f t="shared" si="206"/>
        <v/>
      </c>
      <c r="AY3893" s="21" t="str">
        <f>IF(AND($AM3893&lt;&gt;"",$AS3893&lt;&gt;"✓"),SUMPRODUCT(($AM$11:$AM3893&lt;&gt;"")*($AS$11:$AS3893&lt;&gt;"✓")),"")</f>
        <v/>
      </c>
      <c r="AZ3893" s="21" t="str">
        <f>IF(AND($AM3893&lt;&gt;"",$AS3893="✓"),SUMPRODUCT(($AM$11:$AM3893&lt;&gt;"")*($AS$11:$AS3893="✓")),"")</f>
        <v/>
      </c>
      <c r="BA3893" s="21" t="str">
        <f>IF($AL3893="","",$AL3893&amp;"|"&amp;COUNTIF($AL$11:$AL3893,$AL3893))</f>
        <v/>
      </c>
    </row>
    <row r="3894" spans="38:53" ht="15" customHeight="1" x14ac:dyDescent="0.25">
      <c r="AL3894" s="31"/>
      <c r="AM3894" s="26"/>
      <c r="AN3894" s="32"/>
      <c r="AO3894" s="32"/>
      <c r="AP3894" s="24"/>
      <c r="AQ3894" s="24"/>
      <c r="AR3894" s="33"/>
      <c r="AS3894" s="34"/>
      <c r="AT3894" s="33"/>
      <c r="AV3894" s="21">
        <f>IF(AND($AL3894&lt;&gt;"",COUNTIF($AL$11:$AL3894,$AL3894)=1),1,0)</f>
        <v>0</v>
      </c>
      <c r="AW3894" s="21">
        <f t="shared" si="207"/>
        <v>0</v>
      </c>
      <c r="AX3894" s="21" t="str">
        <f t="shared" si="206"/>
        <v/>
      </c>
      <c r="AY3894" s="21" t="str">
        <f>IF(AND($AM3894&lt;&gt;"",$AS3894&lt;&gt;"✓"),SUMPRODUCT(($AM$11:$AM3894&lt;&gt;"")*($AS$11:$AS3894&lt;&gt;"✓")),"")</f>
        <v/>
      </c>
      <c r="AZ3894" s="21" t="str">
        <f>IF(AND($AM3894&lt;&gt;"",$AS3894="✓"),SUMPRODUCT(($AM$11:$AM3894&lt;&gt;"")*($AS$11:$AS3894="✓")),"")</f>
        <v/>
      </c>
      <c r="BA3894" s="21" t="str">
        <f>IF($AL3894="","",$AL3894&amp;"|"&amp;COUNTIF($AL$11:$AL3894,$AL3894))</f>
        <v/>
      </c>
    </row>
    <row r="3895" spans="38:53" ht="15" customHeight="1" x14ac:dyDescent="0.25">
      <c r="AL3895" s="17"/>
      <c r="AM3895" s="12"/>
      <c r="AN3895" s="18"/>
      <c r="AO3895" s="18"/>
      <c r="AP3895" s="10"/>
      <c r="AQ3895" s="10"/>
      <c r="AR3895" s="19"/>
      <c r="AS3895" s="20"/>
      <c r="AT3895" s="19"/>
      <c r="AV3895" s="21">
        <f>IF(AND($AL3895&lt;&gt;"",COUNTIF($AL$11:$AL3895,$AL3895)=1),1,0)</f>
        <v>0</v>
      </c>
      <c r="AW3895" s="21">
        <f t="shared" si="207"/>
        <v>0</v>
      </c>
      <c r="AX3895" s="21" t="str">
        <f t="shared" si="206"/>
        <v/>
      </c>
      <c r="AY3895" s="21" t="str">
        <f>IF(AND($AM3895&lt;&gt;"",$AS3895&lt;&gt;"✓"),SUMPRODUCT(($AM$11:$AM3895&lt;&gt;"")*($AS$11:$AS3895&lt;&gt;"✓")),"")</f>
        <v/>
      </c>
      <c r="AZ3895" s="21" t="str">
        <f>IF(AND($AM3895&lt;&gt;"",$AS3895="✓"),SUMPRODUCT(($AM$11:$AM3895&lt;&gt;"")*($AS$11:$AS3895="✓")),"")</f>
        <v/>
      </c>
      <c r="BA3895" s="21" t="str">
        <f>IF($AL3895="","",$AL3895&amp;"|"&amp;COUNTIF($AL$11:$AL3895,$AL3895))</f>
        <v/>
      </c>
    </row>
    <row r="3896" spans="38:53" ht="15" customHeight="1" x14ac:dyDescent="0.25">
      <c r="AL3896" s="31"/>
      <c r="AM3896" s="26"/>
      <c r="AN3896" s="32"/>
      <c r="AO3896" s="32"/>
      <c r="AP3896" s="24"/>
      <c r="AQ3896" s="24"/>
      <c r="AR3896" s="33"/>
      <c r="AS3896" s="34"/>
      <c r="AT3896" s="33"/>
      <c r="AV3896" s="21">
        <f>IF(AND($AL3896&lt;&gt;"",COUNTIF($AL$11:$AL3896,$AL3896)=1),1,0)</f>
        <v>0</v>
      </c>
      <c r="AW3896" s="21">
        <f t="shared" si="207"/>
        <v>0</v>
      </c>
      <c r="AX3896" s="21" t="str">
        <f t="shared" si="206"/>
        <v/>
      </c>
      <c r="AY3896" s="21" t="str">
        <f>IF(AND($AM3896&lt;&gt;"",$AS3896&lt;&gt;"✓"),SUMPRODUCT(($AM$11:$AM3896&lt;&gt;"")*($AS$11:$AS3896&lt;&gt;"✓")),"")</f>
        <v/>
      </c>
      <c r="AZ3896" s="21" t="str">
        <f>IF(AND($AM3896&lt;&gt;"",$AS3896="✓"),SUMPRODUCT(($AM$11:$AM3896&lt;&gt;"")*($AS$11:$AS3896="✓")),"")</f>
        <v/>
      </c>
      <c r="BA3896" s="21" t="str">
        <f>IF($AL3896="","",$AL3896&amp;"|"&amp;COUNTIF($AL$11:$AL3896,$AL3896))</f>
        <v/>
      </c>
    </row>
    <row r="3897" spans="38:53" ht="15" customHeight="1" x14ac:dyDescent="0.25">
      <c r="AL3897" s="17"/>
      <c r="AM3897" s="12"/>
      <c r="AN3897" s="18"/>
      <c r="AO3897" s="18"/>
      <c r="AP3897" s="10"/>
      <c r="AQ3897" s="10"/>
      <c r="AR3897" s="19"/>
      <c r="AS3897" s="20"/>
      <c r="AT3897" s="19"/>
      <c r="AV3897" s="21">
        <f>IF(AND($AL3897&lt;&gt;"",COUNTIF($AL$11:$AL3897,$AL3897)=1),1,0)</f>
        <v>0</v>
      </c>
      <c r="AW3897" s="21">
        <f t="shared" si="207"/>
        <v>0</v>
      </c>
      <c r="AX3897" s="21" t="str">
        <f t="shared" si="206"/>
        <v/>
      </c>
      <c r="AY3897" s="21" t="str">
        <f>IF(AND($AM3897&lt;&gt;"",$AS3897&lt;&gt;"✓"),SUMPRODUCT(($AM$11:$AM3897&lt;&gt;"")*($AS$11:$AS3897&lt;&gt;"✓")),"")</f>
        <v/>
      </c>
      <c r="AZ3897" s="21" t="str">
        <f>IF(AND($AM3897&lt;&gt;"",$AS3897="✓"),SUMPRODUCT(($AM$11:$AM3897&lt;&gt;"")*($AS$11:$AS3897="✓")),"")</f>
        <v/>
      </c>
      <c r="BA3897" s="21" t="str">
        <f>IF($AL3897="","",$AL3897&amp;"|"&amp;COUNTIF($AL$11:$AL3897,$AL3897))</f>
        <v/>
      </c>
    </row>
    <row r="3898" spans="38:53" ht="15" customHeight="1" x14ac:dyDescent="0.25">
      <c r="AL3898" s="31"/>
      <c r="AM3898" s="26"/>
      <c r="AN3898" s="32"/>
      <c r="AO3898" s="32"/>
      <c r="AP3898" s="24"/>
      <c r="AQ3898" s="24"/>
      <c r="AR3898" s="33"/>
      <c r="AS3898" s="34"/>
      <c r="AT3898" s="33"/>
      <c r="AV3898" s="21">
        <f>IF(AND($AL3898&lt;&gt;"",COUNTIF($AL$11:$AL3898,$AL3898)=1),1,0)</f>
        <v>0</v>
      </c>
      <c r="AW3898" s="21">
        <f t="shared" si="207"/>
        <v>0</v>
      </c>
      <c r="AX3898" s="21" t="str">
        <f t="shared" si="206"/>
        <v/>
      </c>
      <c r="AY3898" s="21" t="str">
        <f>IF(AND($AM3898&lt;&gt;"",$AS3898&lt;&gt;"✓"),SUMPRODUCT(($AM$11:$AM3898&lt;&gt;"")*($AS$11:$AS3898&lt;&gt;"✓")),"")</f>
        <v/>
      </c>
      <c r="AZ3898" s="21" t="str">
        <f>IF(AND($AM3898&lt;&gt;"",$AS3898="✓"),SUMPRODUCT(($AM$11:$AM3898&lt;&gt;"")*($AS$11:$AS3898="✓")),"")</f>
        <v/>
      </c>
      <c r="BA3898" s="21" t="str">
        <f>IF($AL3898="","",$AL3898&amp;"|"&amp;COUNTIF($AL$11:$AL3898,$AL3898))</f>
        <v/>
      </c>
    </row>
    <row r="3899" spans="38:53" ht="15" customHeight="1" x14ac:dyDescent="0.25">
      <c r="AL3899" s="17"/>
      <c r="AM3899" s="12"/>
      <c r="AN3899" s="18"/>
      <c r="AO3899" s="18"/>
      <c r="AP3899" s="10"/>
      <c r="AQ3899" s="10"/>
      <c r="AR3899" s="19"/>
      <c r="AS3899" s="20"/>
      <c r="AT3899" s="19"/>
      <c r="AV3899" s="21">
        <f>IF(AND($AL3899&lt;&gt;"",COUNTIF($AL$11:$AL3899,$AL3899)=1),1,0)</f>
        <v>0</v>
      </c>
      <c r="AW3899" s="21">
        <f t="shared" si="207"/>
        <v>0</v>
      </c>
      <c r="AX3899" s="21" t="str">
        <f t="shared" si="206"/>
        <v/>
      </c>
      <c r="AY3899" s="21" t="str">
        <f>IF(AND($AM3899&lt;&gt;"",$AS3899&lt;&gt;"✓"),SUMPRODUCT(($AM$11:$AM3899&lt;&gt;"")*($AS$11:$AS3899&lt;&gt;"✓")),"")</f>
        <v/>
      </c>
      <c r="AZ3899" s="21" t="str">
        <f>IF(AND($AM3899&lt;&gt;"",$AS3899="✓"),SUMPRODUCT(($AM$11:$AM3899&lt;&gt;"")*($AS$11:$AS3899="✓")),"")</f>
        <v/>
      </c>
      <c r="BA3899" s="21" t="str">
        <f>IF($AL3899="","",$AL3899&amp;"|"&amp;COUNTIF($AL$11:$AL3899,$AL3899))</f>
        <v/>
      </c>
    </row>
    <row r="3900" spans="38:53" ht="15" customHeight="1" x14ac:dyDescent="0.25">
      <c r="AL3900" s="31"/>
      <c r="AM3900" s="26"/>
      <c r="AN3900" s="32"/>
      <c r="AO3900" s="32"/>
      <c r="AP3900" s="24"/>
      <c r="AQ3900" s="24"/>
      <c r="AR3900" s="33"/>
      <c r="AS3900" s="34"/>
      <c r="AT3900" s="33"/>
      <c r="AV3900" s="21">
        <f>IF(AND($AL3900&lt;&gt;"",COUNTIF($AL$11:$AL3900,$AL3900)=1),1,0)</f>
        <v>0</v>
      </c>
      <c r="AW3900" s="21">
        <f t="shared" si="207"/>
        <v>0</v>
      </c>
      <c r="AX3900" s="21" t="str">
        <f t="shared" si="206"/>
        <v/>
      </c>
      <c r="AY3900" s="21" t="str">
        <f>IF(AND($AM3900&lt;&gt;"",$AS3900&lt;&gt;"✓"),SUMPRODUCT(($AM$11:$AM3900&lt;&gt;"")*($AS$11:$AS3900&lt;&gt;"✓")),"")</f>
        <v/>
      </c>
      <c r="AZ3900" s="21" t="str">
        <f>IF(AND($AM3900&lt;&gt;"",$AS3900="✓"),SUMPRODUCT(($AM$11:$AM3900&lt;&gt;"")*($AS$11:$AS3900="✓")),"")</f>
        <v/>
      </c>
      <c r="BA3900" s="21" t="str">
        <f>IF($AL3900="","",$AL3900&amp;"|"&amp;COUNTIF($AL$11:$AL3900,$AL3900))</f>
        <v/>
      </c>
    </row>
    <row r="3901" spans="38:53" ht="15" customHeight="1" x14ac:dyDescent="0.25">
      <c r="AL3901" s="17"/>
      <c r="AM3901" s="12"/>
      <c r="AN3901" s="18"/>
      <c r="AO3901" s="18"/>
      <c r="AP3901" s="10"/>
      <c r="AQ3901" s="10"/>
      <c r="AR3901" s="19"/>
      <c r="AS3901" s="20"/>
      <c r="AT3901" s="19"/>
      <c r="AV3901" s="21">
        <f>IF(AND($AL3901&lt;&gt;"",COUNTIF($AL$11:$AL3901,$AL3901)=1),1,0)</f>
        <v>0</v>
      </c>
      <c r="AW3901" s="21">
        <f t="shared" si="207"/>
        <v>0</v>
      </c>
      <c r="AX3901" s="21" t="str">
        <f t="shared" si="206"/>
        <v/>
      </c>
      <c r="AY3901" s="21" t="str">
        <f>IF(AND($AM3901&lt;&gt;"",$AS3901&lt;&gt;"✓"),SUMPRODUCT(($AM$11:$AM3901&lt;&gt;"")*($AS$11:$AS3901&lt;&gt;"✓")),"")</f>
        <v/>
      </c>
      <c r="AZ3901" s="21" t="str">
        <f>IF(AND($AM3901&lt;&gt;"",$AS3901="✓"),SUMPRODUCT(($AM$11:$AM3901&lt;&gt;"")*($AS$11:$AS3901="✓")),"")</f>
        <v/>
      </c>
      <c r="BA3901" s="21" t="str">
        <f>IF($AL3901="","",$AL3901&amp;"|"&amp;COUNTIF($AL$11:$AL3901,$AL3901))</f>
        <v/>
      </c>
    </row>
    <row r="3902" spans="38:53" ht="15" customHeight="1" x14ac:dyDescent="0.25">
      <c r="AL3902" s="31"/>
      <c r="AM3902" s="26"/>
      <c r="AN3902" s="32"/>
      <c r="AO3902" s="32"/>
      <c r="AP3902" s="24"/>
      <c r="AQ3902" s="24"/>
      <c r="AR3902" s="33"/>
      <c r="AS3902" s="34"/>
      <c r="AT3902" s="33"/>
      <c r="AV3902" s="21">
        <f>IF(AND($AL3902&lt;&gt;"",COUNTIF($AL$11:$AL3902,$AL3902)=1),1,0)</f>
        <v>0</v>
      </c>
      <c r="AW3902" s="21">
        <f t="shared" si="207"/>
        <v>0</v>
      </c>
      <c r="AX3902" s="21" t="str">
        <f t="shared" si="206"/>
        <v/>
      </c>
      <c r="AY3902" s="21" t="str">
        <f>IF(AND($AM3902&lt;&gt;"",$AS3902&lt;&gt;"✓"),SUMPRODUCT(($AM$11:$AM3902&lt;&gt;"")*($AS$11:$AS3902&lt;&gt;"✓")),"")</f>
        <v/>
      </c>
      <c r="AZ3902" s="21" t="str">
        <f>IF(AND($AM3902&lt;&gt;"",$AS3902="✓"),SUMPRODUCT(($AM$11:$AM3902&lt;&gt;"")*($AS$11:$AS3902="✓")),"")</f>
        <v/>
      </c>
      <c r="BA3902" s="21" t="str">
        <f>IF($AL3902="","",$AL3902&amp;"|"&amp;COUNTIF($AL$11:$AL3902,$AL3902))</f>
        <v/>
      </c>
    </row>
    <row r="3903" spans="38:53" ht="15" customHeight="1" x14ac:dyDescent="0.25">
      <c r="AL3903" s="17"/>
      <c r="AM3903" s="12"/>
      <c r="AN3903" s="18"/>
      <c r="AO3903" s="18"/>
      <c r="AP3903" s="10"/>
      <c r="AQ3903" s="10"/>
      <c r="AR3903" s="19"/>
      <c r="AS3903" s="20"/>
      <c r="AT3903" s="19"/>
      <c r="AV3903" s="21">
        <f>IF(AND($AL3903&lt;&gt;"",COUNTIF($AL$11:$AL3903,$AL3903)=1),1,0)</f>
        <v>0</v>
      </c>
      <c r="AW3903" s="21">
        <f t="shared" si="207"/>
        <v>0</v>
      </c>
      <c r="AX3903" s="21" t="str">
        <f t="shared" si="206"/>
        <v/>
      </c>
      <c r="AY3903" s="21" t="str">
        <f>IF(AND($AM3903&lt;&gt;"",$AS3903&lt;&gt;"✓"),SUMPRODUCT(($AM$11:$AM3903&lt;&gt;"")*($AS$11:$AS3903&lt;&gt;"✓")),"")</f>
        <v/>
      </c>
      <c r="AZ3903" s="21" t="str">
        <f>IF(AND($AM3903&lt;&gt;"",$AS3903="✓"),SUMPRODUCT(($AM$11:$AM3903&lt;&gt;"")*($AS$11:$AS3903="✓")),"")</f>
        <v/>
      </c>
      <c r="BA3903" s="21" t="str">
        <f>IF($AL3903="","",$AL3903&amp;"|"&amp;COUNTIF($AL$11:$AL3903,$AL3903))</f>
        <v/>
      </c>
    </row>
    <row r="3904" spans="38:53" ht="15" customHeight="1" x14ac:dyDescent="0.25">
      <c r="AL3904" s="31"/>
      <c r="AM3904" s="26"/>
      <c r="AN3904" s="32"/>
      <c r="AO3904" s="32"/>
      <c r="AP3904" s="24"/>
      <c r="AQ3904" s="24"/>
      <c r="AR3904" s="33"/>
      <c r="AS3904" s="34"/>
      <c r="AT3904" s="33"/>
      <c r="AV3904" s="21">
        <f>IF(AND($AL3904&lt;&gt;"",COUNTIF($AL$11:$AL3904,$AL3904)=1),1,0)</f>
        <v>0</v>
      </c>
      <c r="AW3904" s="21">
        <f t="shared" si="207"/>
        <v>0</v>
      </c>
      <c r="AX3904" s="21" t="str">
        <f t="shared" si="206"/>
        <v/>
      </c>
      <c r="AY3904" s="21" t="str">
        <f>IF(AND($AM3904&lt;&gt;"",$AS3904&lt;&gt;"✓"),SUMPRODUCT(($AM$11:$AM3904&lt;&gt;"")*($AS$11:$AS3904&lt;&gt;"✓")),"")</f>
        <v/>
      </c>
      <c r="AZ3904" s="21" t="str">
        <f>IF(AND($AM3904&lt;&gt;"",$AS3904="✓"),SUMPRODUCT(($AM$11:$AM3904&lt;&gt;"")*($AS$11:$AS3904="✓")),"")</f>
        <v/>
      </c>
      <c r="BA3904" s="21" t="str">
        <f>IF($AL3904="","",$AL3904&amp;"|"&amp;COUNTIF($AL$11:$AL3904,$AL3904))</f>
        <v/>
      </c>
    </row>
    <row r="3905" spans="38:53" ht="15" customHeight="1" x14ac:dyDescent="0.25">
      <c r="AL3905" s="17"/>
      <c r="AM3905" s="12"/>
      <c r="AN3905" s="18"/>
      <c r="AO3905" s="18"/>
      <c r="AP3905" s="10"/>
      <c r="AQ3905" s="10"/>
      <c r="AR3905" s="19"/>
      <c r="AS3905" s="20"/>
      <c r="AT3905" s="19"/>
      <c r="AV3905" s="21">
        <f>IF(AND($AL3905&lt;&gt;"",COUNTIF($AL$11:$AL3905,$AL3905)=1),1,0)</f>
        <v>0</v>
      </c>
      <c r="AW3905" s="21">
        <f t="shared" si="207"/>
        <v>0</v>
      </c>
      <c r="AX3905" s="21" t="str">
        <f t="shared" si="206"/>
        <v/>
      </c>
      <c r="AY3905" s="21" t="str">
        <f>IF(AND($AM3905&lt;&gt;"",$AS3905&lt;&gt;"✓"),SUMPRODUCT(($AM$11:$AM3905&lt;&gt;"")*($AS$11:$AS3905&lt;&gt;"✓")),"")</f>
        <v/>
      </c>
      <c r="AZ3905" s="21" t="str">
        <f>IF(AND($AM3905&lt;&gt;"",$AS3905="✓"),SUMPRODUCT(($AM$11:$AM3905&lt;&gt;"")*($AS$11:$AS3905="✓")),"")</f>
        <v/>
      </c>
      <c r="BA3905" s="21" t="str">
        <f>IF($AL3905="","",$AL3905&amp;"|"&amp;COUNTIF($AL$11:$AL3905,$AL3905))</f>
        <v/>
      </c>
    </row>
    <row r="3906" spans="38:53" ht="15" customHeight="1" x14ac:dyDescent="0.25">
      <c r="AL3906" s="31"/>
      <c r="AM3906" s="26"/>
      <c r="AN3906" s="32"/>
      <c r="AO3906" s="32"/>
      <c r="AP3906" s="24"/>
      <c r="AQ3906" s="24"/>
      <c r="AR3906" s="33"/>
      <c r="AS3906" s="34"/>
      <c r="AT3906" s="33"/>
      <c r="AV3906" s="21">
        <f>IF(AND($AL3906&lt;&gt;"",COUNTIF($AL$11:$AL3906,$AL3906)=1),1,0)</f>
        <v>0</v>
      </c>
      <c r="AW3906" s="21">
        <f t="shared" si="207"/>
        <v>0</v>
      </c>
      <c r="AX3906" s="21" t="str">
        <f t="shared" si="206"/>
        <v/>
      </c>
      <c r="AY3906" s="21" t="str">
        <f>IF(AND($AM3906&lt;&gt;"",$AS3906&lt;&gt;"✓"),SUMPRODUCT(($AM$11:$AM3906&lt;&gt;"")*($AS$11:$AS3906&lt;&gt;"✓")),"")</f>
        <v/>
      </c>
      <c r="AZ3906" s="21" t="str">
        <f>IF(AND($AM3906&lt;&gt;"",$AS3906="✓"),SUMPRODUCT(($AM$11:$AM3906&lt;&gt;"")*($AS$11:$AS3906="✓")),"")</f>
        <v/>
      </c>
      <c r="BA3906" s="21" t="str">
        <f>IF($AL3906="","",$AL3906&amp;"|"&amp;COUNTIF($AL$11:$AL3906,$AL3906))</f>
        <v/>
      </c>
    </row>
    <row r="3907" spans="38:53" ht="15" customHeight="1" x14ac:dyDescent="0.25">
      <c r="AL3907" s="17"/>
      <c r="AM3907" s="12"/>
      <c r="AN3907" s="18"/>
      <c r="AO3907" s="18"/>
      <c r="AP3907" s="10"/>
      <c r="AQ3907" s="10"/>
      <c r="AR3907" s="19"/>
      <c r="AS3907" s="20"/>
      <c r="AT3907" s="19"/>
      <c r="AV3907" s="21">
        <f>IF(AND($AL3907&lt;&gt;"",COUNTIF($AL$11:$AL3907,$AL3907)=1),1,0)</f>
        <v>0</v>
      </c>
      <c r="AW3907" s="21">
        <f t="shared" si="207"/>
        <v>0</v>
      </c>
      <c r="AX3907" s="21" t="str">
        <f t="shared" si="206"/>
        <v/>
      </c>
      <c r="AY3907" s="21" t="str">
        <f>IF(AND($AM3907&lt;&gt;"",$AS3907&lt;&gt;"✓"),SUMPRODUCT(($AM$11:$AM3907&lt;&gt;"")*($AS$11:$AS3907&lt;&gt;"✓")),"")</f>
        <v/>
      </c>
      <c r="AZ3907" s="21" t="str">
        <f>IF(AND($AM3907&lt;&gt;"",$AS3907="✓"),SUMPRODUCT(($AM$11:$AM3907&lt;&gt;"")*($AS$11:$AS3907="✓")),"")</f>
        <v/>
      </c>
      <c r="BA3907" s="21" t="str">
        <f>IF($AL3907="","",$AL3907&amp;"|"&amp;COUNTIF($AL$11:$AL3907,$AL3907))</f>
        <v/>
      </c>
    </row>
    <row r="3908" spans="38:53" ht="15" customHeight="1" x14ac:dyDescent="0.25">
      <c r="AL3908" s="31"/>
      <c r="AM3908" s="26"/>
      <c r="AN3908" s="32"/>
      <c r="AO3908" s="32"/>
      <c r="AP3908" s="24"/>
      <c r="AQ3908" s="24"/>
      <c r="AR3908" s="33"/>
      <c r="AS3908" s="34"/>
      <c r="AT3908" s="33"/>
      <c r="AV3908" s="21">
        <f>IF(AND($AL3908&lt;&gt;"",COUNTIF($AL$11:$AL3908,$AL3908)=1),1,0)</f>
        <v>0</v>
      </c>
      <c r="AW3908" s="21">
        <f t="shared" si="207"/>
        <v>0</v>
      </c>
      <c r="AX3908" s="21" t="str">
        <f t="shared" si="206"/>
        <v/>
      </c>
      <c r="AY3908" s="21" t="str">
        <f>IF(AND($AM3908&lt;&gt;"",$AS3908&lt;&gt;"✓"),SUMPRODUCT(($AM$11:$AM3908&lt;&gt;"")*($AS$11:$AS3908&lt;&gt;"✓")),"")</f>
        <v/>
      </c>
      <c r="AZ3908" s="21" t="str">
        <f>IF(AND($AM3908&lt;&gt;"",$AS3908="✓"),SUMPRODUCT(($AM$11:$AM3908&lt;&gt;"")*($AS$11:$AS3908="✓")),"")</f>
        <v/>
      </c>
      <c r="BA3908" s="21" t="str">
        <f>IF($AL3908="","",$AL3908&amp;"|"&amp;COUNTIF($AL$11:$AL3908,$AL3908))</f>
        <v/>
      </c>
    </row>
    <row r="3909" spans="38:53" ht="15" customHeight="1" x14ac:dyDescent="0.25">
      <c r="AL3909" s="17"/>
      <c r="AM3909" s="12"/>
      <c r="AN3909" s="18"/>
      <c r="AO3909" s="18"/>
      <c r="AP3909" s="10"/>
      <c r="AQ3909" s="10"/>
      <c r="AR3909" s="19"/>
      <c r="AS3909" s="20"/>
      <c r="AT3909" s="19"/>
      <c r="AV3909" s="21">
        <f>IF(AND($AL3909&lt;&gt;"",COUNTIF($AL$11:$AL3909,$AL3909)=1),1,0)</f>
        <v>0</v>
      </c>
      <c r="AW3909" s="21">
        <f t="shared" si="207"/>
        <v>0</v>
      </c>
      <c r="AX3909" s="21" t="str">
        <f t="shared" si="206"/>
        <v/>
      </c>
      <c r="AY3909" s="21" t="str">
        <f>IF(AND($AM3909&lt;&gt;"",$AS3909&lt;&gt;"✓"),SUMPRODUCT(($AM$11:$AM3909&lt;&gt;"")*($AS$11:$AS3909&lt;&gt;"✓")),"")</f>
        <v/>
      </c>
      <c r="AZ3909" s="21" t="str">
        <f>IF(AND($AM3909&lt;&gt;"",$AS3909="✓"),SUMPRODUCT(($AM$11:$AM3909&lt;&gt;"")*($AS$11:$AS3909="✓")),"")</f>
        <v/>
      </c>
      <c r="BA3909" s="21" t="str">
        <f>IF($AL3909="","",$AL3909&amp;"|"&amp;COUNTIF($AL$11:$AL3909,$AL3909))</f>
        <v/>
      </c>
    </row>
    <row r="3910" spans="38:53" ht="15" customHeight="1" x14ac:dyDescent="0.25">
      <c r="AL3910" s="31"/>
      <c r="AM3910" s="26"/>
      <c r="AN3910" s="32"/>
      <c r="AO3910" s="32"/>
      <c r="AP3910" s="24"/>
      <c r="AQ3910" s="24"/>
      <c r="AR3910" s="33"/>
      <c r="AS3910" s="34"/>
      <c r="AT3910" s="33"/>
      <c r="AV3910" s="21">
        <f>IF(AND($AL3910&lt;&gt;"",COUNTIF($AL$11:$AL3910,$AL3910)=1),1,0)</f>
        <v>0</v>
      </c>
      <c r="AW3910" s="21">
        <f t="shared" si="207"/>
        <v>0</v>
      </c>
      <c r="AX3910" s="21" t="str">
        <f t="shared" si="206"/>
        <v/>
      </c>
      <c r="AY3910" s="21" t="str">
        <f>IF(AND($AM3910&lt;&gt;"",$AS3910&lt;&gt;"✓"),SUMPRODUCT(($AM$11:$AM3910&lt;&gt;"")*($AS$11:$AS3910&lt;&gt;"✓")),"")</f>
        <v/>
      </c>
      <c r="AZ3910" s="21" t="str">
        <f>IF(AND($AM3910&lt;&gt;"",$AS3910="✓"),SUMPRODUCT(($AM$11:$AM3910&lt;&gt;"")*($AS$11:$AS3910="✓")),"")</f>
        <v/>
      </c>
      <c r="BA3910" s="21" t="str">
        <f>IF($AL3910="","",$AL3910&amp;"|"&amp;COUNTIF($AL$11:$AL3910,$AL3910))</f>
        <v/>
      </c>
    </row>
    <row r="3911" spans="38:53" ht="15" customHeight="1" x14ac:dyDescent="0.25">
      <c r="AL3911" s="17"/>
      <c r="AM3911" s="12"/>
      <c r="AN3911" s="18"/>
      <c r="AO3911" s="18"/>
      <c r="AP3911" s="10"/>
      <c r="AQ3911" s="10"/>
      <c r="AR3911" s="19"/>
      <c r="AS3911" s="20"/>
      <c r="AT3911" s="19"/>
      <c r="AV3911" s="21">
        <f>IF(AND($AL3911&lt;&gt;"",COUNTIF($AL$11:$AL3911,$AL3911)=1),1,0)</f>
        <v>0</v>
      </c>
      <c r="AW3911" s="21">
        <f t="shared" si="207"/>
        <v>0</v>
      </c>
      <c r="AX3911" s="21" t="str">
        <f t="shared" si="206"/>
        <v/>
      </c>
      <c r="AY3911" s="21" t="str">
        <f>IF(AND($AM3911&lt;&gt;"",$AS3911&lt;&gt;"✓"),SUMPRODUCT(($AM$11:$AM3911&lt;&gt;"")*($AS$11:$AS3911&lt;&gt;"✓")),"")</f>
        <v/>
      </c>
      <c r="AZ3911" s="21" t="str">
        <f>IF(AND($AM3911&lt;&gt;"",$AS3911="✓"),SUMPRODUCT(($AM$11:$AM3911&lt;&gt;"")*($AS$11:$AS3911="✓")),"")</f>
        <v/>
      </c>
      <c r="BA3911" s="21" t="str">
        <f>IF($AL3911="","",$AL3911&amp;"|"&amp;COUNTIF($AL$11:$AL3911,$AL3911))</f>
        <v/>
      </c>
    </row>
    <row r="3912" spans="38:53" ht="15" customHeight="1" x14ac:dyDescent="0.25">
      <c r="AL3912" s="31"/>
      <c r="AM3912" s="26"/>
      <c r="AN3912" s="32"/>
      <c r="AO3912" s="32"/>
      <c r="AP3912" s="24"/>
      <c r="AQ3912" s="24"/>
      <c r="AR3912" s="33"/>
      <c r="AS3912" s="34"/>
      <c r="AT3912" s="33"/>
      <c r="AV3912" s="21">
        <f>IF(AND($AL3912&lt;&gt;"",COUNTIF($AL$11:$AL3912,$AL3912)=1),1,0)</f>
        <v>0</v>
      </c>
      <c r="AW3912" s="21">
        <f t="shared" si="207"/>
        <v>0</v>
      </c>
      <c r="AX3912" s="21" t="str">
        <f t="shared" si="206"/>
        <v/>
      </c>
      <c r="AY3912" s="21" t="str">
        <f>IF(AND($AM3912&lt;&gt;"",$AS3912&lt;&gt;"✓"),SUMPRODUCT(($AM$11:$AM3912&lt;&gt;"")*($AS$11:$AS3912&lt;&gt;"✓")),"")</f>
        <v/>
      </c>
      <c r="AZ3912" s="21" t="str">
        <f>IF(AND($AM3912&lt;&gt;"",$AS3912="✓"),SUMPRODUCT(($AM$11:$AM3912&lt;&gt;"")*($AS$11:$AS3912="✓")),"")</f>
        <v/>
      </c>
      <c r="BA3912" s="21" t="str">
        <f>IF($AL3912="","",$AL3912&amp;"|"&amp;COUNTIF($AL$11:$AL3912,$AL3912))</f>
        <v/>
      </c>
    </row>
    <row r="3913" spans="38:53" ht="15" customHeight="1" x14ac:dyDescent="0.25">
      <c r="AL3913" s="17"/>
      <c r="AM3913" s="12"/>
      <c r="AN3913" s="18"/>
      <c r="AO3913" s="18"/>
      <c r="AP3913" s="10"/>
      <c r="AQ3913" s="10"/>
      <c r="AR3913" s="19"/>
      <c r="AS3913" s="20"/>
      <c r="AT3913" s="19"/>
      <c r="AV3913" s="21">
        <f>IF(AND($AL3913&lt;&gt;"",COUNTIF($AL$11:$AL3913,$AL3913)=1),1,0)</f>
        <v>0</v>
      </c>
      <c r="AW3913" s="21">
        <f t="shared" si="207"/>
        <v>0</v>
      </c>
      <c r="AX3913" s="21" t="str">
        <f t="shared" si="206"/>
        <v/>
      </c>
      <c r="AY3913" s="21" t="str">
        <f>IF(AND($AM3913&lt;&gt;"",$AS3913&lt;&gt;"✓"),SUMPRODUCT(($AM$11:$AM3913&lt;&gt;"")*($AS$11:$AS3913&lt;&gt;"✓")),"")</f>
        <v/>
      </c>
      <c r="AZ3913" s="21" t="str">
        <f>IF(AND($AM3913&lt;&gt;"",$AS3913="✓"),SUMPRODUCT(($AM$11:$AM3913&lt;&gt;"")*($AS$11:$AS3913="✓")),"")</f>
        <v/>
      </c>
      <c r="BA3913" s="21" t="str">
        <f>IF($AL3913="","",$AL3913&amp;"|"&amp;COUNTIF($AL$11:$AL3913,$AL3913))</f>
        <v/>
      </c>
    </row>
    <row r="3914" spans="38:53" ht="15" customHeight="1" x14ac:dyDescent="0.25">
      <c r="AL3914" s="31"/>
      <c r="AM3914" s="26"/>
      <c r="AN3914" s="32"/>
      <c r="AO3914" s="32"/>
      <c r="AP3914" s="24"/>
      <c r="AQ3914" s="24"/>
      <c r="AR3914" s="33"/>
      <c r="AS3914" s="34"/>
      <c r="AT3914" s="33"/>
      <c r="AV3914" s="21">
        <f>IF(AND($AL3914&lt;&gt;"",COUNTIF($AL$11:$AL3914,$AL3914)=1),1,0)</f>
        <v>0</v>
      </c>
      <c r="AW3914" s="21">
        <f t="shared" si="207"/>
        <v>0</v>
      </c>
      <c r="AX3914" s="21" t="str">
        <f t="shared" si="206"/>
        <v/>
      </c>
      <c r="AY3914" s="21" t="str">
        <f>IF(AND($AM3914&lt;&gt;"",$AS3914&lt;&gt;"✓"),SUMPRODUCT(($AM$11:$AM3914&lt;&gt;"")*($AS$11:$AS3914&lt;&gt;"✓")),"")</f>
        <v/>
      </c>
      <c r="AZ3914" s="21" t="str">
        <f>IF(AND($AM3914&lt;&gt;"",$AS3914="✓"),SUMPRODUCT(($AM$11:$AM3914&lt;&gt;"")*($AS$11:$AS3914="✓")),"")</f>
        <v/>
      </c>
      <c r="BA3914" s="21" t="str">
        <f>IF($AL3914="","",$AL3914&amp;"|"&amp;COUNTIF($AL$11:$AL3914,$AL3914))</f>
        <v/>
      </c>
    </row>
    <row r="3915" spans="38:53" ht="15" customHeight="1" x14ac:dyDescent="0.25">
      <c r="AL3915" s="17"/>
      <c r="AM3915" s="12"/>
      <c r="AN3915" s="18"/>
      <c r="AO3915" s="18"/>
      <c r="AP3915" s="10"/>
      <c r="AQ3915" s="10"/>
      <c r="AR3915" s="19"/>
      <c r="AS3915" s="20"/>
      <c r="AT3915" s="19"/>
      <c r="AV3915" s="21">
        <f>IF(AND($AL3915&lt;&gt;"",COUNTIF($AL$11:$AL3915,$AL3915)=1),1,0)</f>
        <v>0</v>
      </c>
      <c r="AW3915" s="21">
        <f t="shared" si="207"/>
        <v>0</v>
      </c>
      <c r="AX3915" s="21" t="str">
        <f t="shared" ref="AX3915:AX3978" si="208">IF(AV3915=1,AW3915,"")</f>
        <v/>
      </c>
      <c r="AY3915" s="21" t="str">
        <f>IF(AND($AM3915&lt;&gt;"",$AS3915&lt;&gt;"✓"),SUMPRODUCT(($AM$11:$AM3915&lt;&gt;"")*($AS$11:$AS3915&lt;&gt;"✓")),"")</f>
        <v/>
      </c>
      <c r="AZ3915" s="21" t="str">
        <f>IF(AND($AM3915&lt;&gt;"",$AS3915="✓"),SUMPRODUCT(($AM$11:$AM3915&lt;&gt;"")*($AS$11:$AS3915="✓")),"")</f>
        <v/>
      </c>
      <c r="BA3915" s="21" t="str">
        <f>IF($AL3915="","",$AL3915&amp;"|"&amp;COUNTIF($AL$11:$AL3915,$AL3915))</f>
        <v/>
      </c>
    </row>
    <row r="3916" spans="38:53" ht="15" customHeight="1" x14ac:dyDescent="0.25">
      <c r="AL3916" s="31"/>
      <c r="AM3916" s="26"/>
      <c r="AN3916" s="32"/>
      <c r="AO3916" s="32"/>
      <c r="AP3916" s="24"/>
      <c r="AQ3916" s="24"/>
      <c r="AR3916" s="33"/>
      <c r="AS3916" s="34"/>
      <c r="AT3916" s="33"/>
      <c r="AV3916" s="21">
        <f>IF(AND($AL3916&lt;&gt;"",COUNTIF($AL$11:$AL3916,$AL3916)=1),1,0)</f>
        <v>0</v>
      </c>
      <c r="AW3916" s="21">
        <f t="shared" ref="AW3916:AW3979" si="209">AW3915+AV3916</f>
        <v>0</v>
      </c>
      <c r="AX3916" s="21" t="str">
        <f t="shared" si="208"/>
        <v/>
      </c>
      <c r="AY3916" s="21" t="str">
        <f>IF(AND($AM3916&lt;&gt;"",$AS3916&lt;&gt;"✓"),SUMPRODUCT(($AM$11:$AM3916&lt;&gt;"")*($AS$11:$AS3916&lt;&gt;"✓")),"")</f>
        <v/>
      </c>
      <c r="AZ3916" s="21" t="str">
        <f>IF(AND($AM3916&lt;&gt;"",$AS3916="✓"),SUMPRODUCT(($AM$11:$AM3916&lt;&gt;"")*($AS$11:$AS3916="✓")),"")</f>
        <v/>
      </c>
      <c r="BA3916" s="21" t="str">
        <f>IF($AL3916="","",$AL3916&amp;"|"&amp;COUNTIF($AL$11:$AL3916,$AL3916))</f>
        <v/>
      </c>
    </row>
    <row r="3917" spans="38:53" ht="15" customHeight="1" x14ac:dyDescent="0.25">
      <c r="AL3917" s="17"/>
      <c r="AM3917" s="12"/>
      <c r="AN3917" s="18"/>
      <c r="AO3917" s="18"/>
      <c r="AP3917" s="10"/>
      <c r="AQ3917" s="10"/>
      <c r="AR3917" s="19"/>
      <c r="AS3917" s="20"/>
      <c r="AT3917" s="19"/>
      <c r="AV3917" s="21">
        <f>IF(AND($AL3917&lt;&gt;"",COUNTIF($AL$11:$AL3917,$AL3917)=1),1,0)</f>
        <v>0</v>
      </c>
      <c r="AW3917" s="21">
        <f t="shared" si="209"/>
        <v>0</v>
      </c>
      <c r="AX3917" s="21" t="str">
        <f t="shared" si="208"/>
        <v/>
      </c>
      <c r="AY3917" s="21" t="str">
        <f>IF(AND($AM3917&lt;&gt;"",$AS3917&lt;&gt;"✓"),SUMPRODUCT(($AM$11:$AM3917&lt;&gt;"")*($AS$11:$AS3917&lt;&gt;"✓")),"")</f>
        <v/>
      </c>
      <c r="AZ3917" s="21" t="str">
        <f>IF(AND($AM3917&lt;&gt;"",$AS3917="✓"),SUMPRODUCT(($AM$11:$AM3917&lt;&gt;"")*($AS$11:$AS3917="✓")),"")</f>
        <v/>
      </c>
      <c r="BA3917" s="21" t="str">
        <f>IF($AL3917="","",$AL3917&amp;"|"&amp;COUNTIF($AL$11:$AL3917,$AL3917))</f>
        <v/>
      </c>
    </row>
    <row r="3918" spans="38:53" ht="15" customHeight="1" x14ac:dyDescent="0.25">
      <c r="AL3918" s="31"/>
      <c r="AM3918" s="26"/>
      <c r="AN3918" s="32"/>
      <c r="AO3918" s="32"/>
      <c r="AP3918" s="24"/>
      <c r="AQ3918" s="24"/>
      <c r="AR3918" s="33"/>
      <c r="AS3918" s="34"/>
      <c r="AT3918" s="33"/>
      <c r="AV3918" s="21">
        <f>IF(AND($AL3918&lt;&gt;"",COUNTIF($AL$11:$AL3918,$AL3918)=1),1,0)</f>
        <v>0</v>
      </c>
      <c r="AW3918" s="21">
        <f t="shared" si="209"/>
        <v>0</v>
      </c>
      <c r="AX3918" s="21" t="str">
        <f t="shared" si="208"/>
        <v/>
      </c>
      <c r="AY3918" s="21" t="str">
        <f>IF(AND($AM3918&lt;&gt;"",$AS3918&lt;&gt;"✓"),SUMPRODUCT(($AM$11:$AM3918&lt;&gt;"")*($AS$11:$AS3918&lt;&gt;"✓")),"")</f>
        <v/>
      </c>
      <c r="AZ3918" s="21" t="str">
        <f>IF(AND($AM3918&lt;&gt;"",$AS3918="✓"),SUMPRODUCT(($AM$11:$AM3918&lt;&gt;"")*($AS$11:$AS3918="✓")),"")</f>
        <v/>
      </c>
      <c r="BA3918" s="21" t="str">
        <f>IF($AL3918="","",$AL3918&amp;"|"&amp;COUNTIF($AL$11:$AL3918,$AL3918))</f>
        <v/>
      </c>
    </row>
    <row r="3919" spans="38:53" ht="15" customHeight="1" x14ac:dyDescent="0.25">
      <c r="AL3919" s="17"/>
      <c r="AM3919" s="12"/>
      <c r="AN3919" s="18"/>
      <c r="AO3919" s="18"/>
      <c r="AP3919" s="10"/>
      <c r="AQ3919" s="10"/>
      <c r="AR3919" s="19"/>
      <c r="AS3919" s="20"/>
      <c r="AT3919" s="19"/>
      <c r="AV3919" s="21">
        <f>IF(AND($AL3919&lt;&gt;"",COUNTIF($AL$11:$AL3919,$AL3919)=1),1,0)</f>
        <v>0</v>
      </c>
      <c r="AW3919" s="21">
        <f t="shared" si="209"/>
        <v>0</v>
      </c>
      <c r="AX3919" s="21" t="str">
        <f t="shared" si="208"/>
        <v/>
      </c>
      <c r="AY3919" s="21" t="str">
        <f>IF(AND($AM3919&lt;&gt;"",$AS3919&lt;&gt;"✓"),SUMPRODUCT(($AM$11:$AM3919&lt;&gt;"")*($AS$11:$AS3919&lt;&gt;"✓")),"")</f>
        <v/>
      </c>
      <c r="AZ3919" s="21" t="str">
        <f>IF(AND($AM3919&lt;&gt;"",$AS3919="✓"),SUMPRODUCT(($AM$11:$AM3919&lt;&gt;"")*($AS$11:$AS3919="✓")),"")</f>
        <v/>
      </c>
      <c r="BA3919" s="21" t="str">
        <f>IF($AL3919="","",$AL3919&amp;"|"&amp;COUNTIF($AL$11:$AL3919,$AL3919))</f>
        <v/>
      </c>
    </row>
    <row r="3920" spans="38:53" ht="15" customHeight="1" x14ac:dyDescent="0.25">
      <c r="AL3920" s="31"/>
      <c r="AM3920" s="26"/>
      <c r="AN3920" s="32"/>
      <c r="AO3920" s="32"/>
      <c r="AP3920" s="24"/>
      <c r="AQ3920" s="24"/>
      <c r="AR3920" s="33"/>
      <c r="AS3920" s="34"/>
      <c r="AT3920" s="33"/>
      <c r="AV3920" s="21">
        <f>IF(AND($AL3920&lt;&gt;"",COUNTIF($AL$11:$AL3920,$AL3920)=1),1,0)</f>
        <v>0</v>
      </c>
      <c r="AW3920" s="21">
        <f t="shared" si="209"/>
        <v>0</v>
      </c>
      <c r="AX3920" s="21" t="str">
        <f t="shared" si="208"/>
        <v/>
      </c>
      <c r="AY3920" s="21" t="str">
        <f>IF(AND($AM3920&lt;&gt;"",$AS3920&lt;&gt;"✓"),SUMPRODUCT(($AM$11:$AM3920&lt;&gt;"")*($AS$11:$AS3920&lt;&gt;"✓")),"")</f>
        <v/>
      </c>
      <c r="AZ3920" s="21" t="str">
        <f>IF(AND($AM3920&lt;&gt;"",$AS3920="✓"),SUMPRODUCT(($AM$11:$AM3920&lt;&gt;"")*($AS$11:$AS3920="✓")),"")</f>
        <v/>
      </c>
      <c r="BA3920" s="21" t="str">
        <f>IF($AL3920="","",$AL3920&amp;"|"&amp;COUNTIF($AL$11:$AL3920,$AL3920))</f>
        <v/>
      </c>
    </row>
    <row r="3921" spans="38:53" ht="15" customHeight="1" x14ac:dyDescent="0.25">
      <c r="AL3921" s="17"/>
      <c r="AM3921" s="12"/>
      <c r="AN3921" s="18"/>
      <c r="AO3921" s="18"/>
      <c r="AP3921" s="10"/>
      <c r="AQ3921" s="10"/>
      <c r="AR3921" s="19"/>
      <c r="AS3921" s="20"/>
      <c r="AT3921" s="19"/>
      <c r="AV3921" s="21">
        <f>IF(AND($AL3921&lt;&gt;"",COUNTIF($AL$11:$AL3921,$AL3921)=1),1,0)</f>
        <v>0</v>
      </c>
      <c r="AW3921" s="21">
        <f t="shared" si="209"/>
        <v>0</v>
      </c>
      <c r="AX3921" s="21" t="str">
        <f t="shared" si="208"/>
        <v/>
      </c>
      <c r="AY3921" s="21" t="str">
        <f>IF(AND($AM3921&lt;&gt;"",$AS3921&lt;&gt;"✓"),SUMPRODUCT(($AM$11:$AM3921&lt;&gt;"")*($AS$11:$AS3921&lt;&gt;"✓")),"")</f>
        <v/>
      </c>
      <c r="AZ3921" s="21" t="str">
        <f>IF(AND($AM3921&lt;&gt;"",$AS3921="✓"),SUMPRODUCT(($AM$11:$AM3921&lt;&gt;"")*($AS$11:$AS3921="✓")),"")</f>
        <v/>
      </c>
      <c r="BA3921" s="21" t="str">
        <f>IF($AL3921="","",$AL3921&amp;"|"&amp;COUNTIF($AL$11:$AL3921,$AL3921))</f>
        <v/>
      </c>
    </row>
    <row r="3922" spans="38:53" ht="15" customHeight="1" x14ac:dyDescent="0.25">
      <c r="AL3922" s="31"/>
      <c r="AM3922" s="26"/>
      <c r="AN3922" s="32"/>
      <c r="AO3922" s="32"/>
      <c r="AP3922" s="24"/>
      <c r="AQ3922" s="24"/>
      <c r="AR3922" s="33"/>
      <c r="AS3922" s="34"/>
      <c r="AT3922" s="33"/>
      <c r="AV3922" s="21">
        <f>IF(AND($AL3922&lt;&gt;"",COUNTIF($AL$11:$AL3922,$AL3922)=1),1,0)</f>
        <v>0</v>
      </c>
      <c r="AW3922" s="21">
        <f t="shared" si="209"/>
        <v>0</v>
      </c>
      <c r="AX3922" s="21" t="str">
        <f t="shared" si="208"/>
        <v/>
      </c>
      <c r="AY3922" s="21" t="str">
        <f>IF(AND($AM3922&lt;&gt;"",$AS3922&lt;&gt;"✓"),SUMPRODUCT(($AM$11:$AM3922&lt;&gt;"")*($AS$11:$AS3922&lt;&gt;"✓")),"")</f>
        <v/>
      </c>
      <c r="AZ3922" s="21" t="str">
        <f>IF(AND($AM3922&lt;&gt;"",$AS3922="✓"),SUMPRODUCT(($AM$11:$AM3922&lt;&gt;"")*($AS$11:$AS3922="✓")),"")</f>
        <v/>
      </c>
      <c r="BA3922" s="21" t="str">
        <f>IF($AL3922="","",$AL3922&amp;"|"&amp;COUNTIF($AL$11:$AL3922,$AL3922))</f>
        <v/>
      </c>
    </row>
    <row r="3923" spans="38:53" ht="15" customHeight="1" x14ac:dyDescent="0.25">
      <c r="AL3923" s="17"/>
      <c r="AM3923" s="12"/>
      <c r="AN3923" s="18"/>
      <c r="AO3923" s="18"/>
      <c r="AP3923" s="10"/>
      <c r="AQ3923" s="10"/>
      <c r="AR3923" s="19"/>
      <c r="AS3923" s="20"/>
      <c r="AT3923" s="19"/>
      <c r="AV3923" s="21">
        <f>IF(AND($AL3923&lt;&gt;"",COUNTIF($AL$11:$AL3923,$AL3923)=1),1,0)</f>
        <v>0</v>
      </c>
      <c r="AW3923" s="21">
        <f t="shared" si="209"/>
        <v>0</v>
      </c>
      <c r="AX3923" s="21" t="str">
        <f t="shared" si="208"/>
        <v/>
      </c>
      <c r="AY3923" s="21" t="str">
        <f>IF(AND($AM3923&lt;&gt;"",$AS3923&lt;&gt;"✓"),SUMPRODUCT(($AM$11:$AM3923&lt;&gt;"")*($AS$11:$AS3923&lt;&gt;"✓")),"")</f>
        <v/>
      </c>
      <c r="AZ3923" s="21" t="str">
        <f>IF(AND($AM3923&lt;&gt;"",$AS3923="✓"),SUMPRODUCT(($AM$11:$AM3923&lt;&gt;"")*($AS$11:$AS3923="✓")),"")</f>
        <v/>
      </c>
      <c r="BA3923" s="21" t="str">
        <f>IF($AL3923="","",$AL3923&amp;"|"&amp;COUNTIF($AL$11:$AL3923,$AL3923))</f>
        <v/>
      </c>
    </row>
    <row r="3924" spans="38:53" ht="15" customHeight="1" x14ac:dyDescent="0.25">
      <c r="AL3924" s="31"/>
      <c r="AM3924" s="26"/>
      <c r="AN3924" s="32"/>
      <c r="AO3924" s="32"/>
      <c r="AP3924" s="24"/>
      <c r="AQ3924" s="24"/>
      <c r="AR3924" s="33"/>
      <c r="AS3924" s="34"/>
      <c r="AT3924" s="33"/>
      <c r="AV3924" s="21">
        <f>IF(AND($AL3924&lt;&gt;"",COUNTIF($AL$11:$AL3924,$AL3924)=1),1,0)</f>
        <v>0</v>
      </c>
      <c r="AW3924" s="21">
        <f t="shared" si="209"/>
        <v>0</v>
      </c>
      <c r="AX3924" s="21" t="str">
        <f t="shared" si="208"/>
        <v/>
      </c>
      <c r="AY3924" s="21" t="str">
        <f>IF(AND($AM3924&lt;&gt;"",$AS3924&lt;&gt;"✓"),SUMPRODUCT(($AM$11:$AM3924&lt;&gt;"")*($AS$11:$AS3924&lt;&gt;"✓")),"")</f>
        <v/>
      </c>
      <c r="AZ3924" s="21" t="str">
        <f>IF(AND($AM3924&lt;&gt;"",$AS3924="✓"),SUMPRODUCT(($AM$11:$AM3924&lt;&gt;"")*($AS$11:$AS3924="✓")),"")</f>
        <v/>
      </c>
      <c r="BA3924" s="21" t="str">
        <f>IF($AL3924="","",$AL3924&amp;"|"&amp;COUNTIF($AL$11:$AL3924,$AL3924))</f>
        <v/>
      </c>
    </row>
    <row r="3925" spans="38:53" ht="15" customHeight="1" x14ac:dyDescent="0.25">
      <c r="AL3925" s="17"/>
      <c r="AM3925" s="12"/>
      <c r="AN3925" s="18"/>
      <c r="AO3925" s="18"/>
      <c r="AP3925" s="10"/>
      <c r="AQ3925" s="10"/>
      <c r="AR3925" s="19"/>
      <c r="AS3925" s="20"/>
      <c r="AT3925" s="19"/>
      <c r="AV3925" s="21">
        <f>IF(AND($AL3925&lt;&gt;"",COUNTIF($AL$11:$AL3925,$AL3925)=1),1,0)</f>
        <v>0</v>
      </c>
      <c r="AW3925" s="21">
        <f t="shared" si="209"/>
        <v>0</v>
      </c>
      <c r="AX3925" s="21" t="str">
        <f t="shared" si="208"/>
        <v/>
      </c>
      <c r="AY3925" s="21" t="str">
        <f>IF(AND($AM3925&lt;&gt;"",$AS3925&lt;&gt;"✓"),SUMPRODUCT(($AM$11:$AM3925&lt;&gt;"")*($AS$11:$AS3925&lt;&gt;"✓")),"")</f>
        <v/>
      </c>
      <c r="AZ3925" s="21" t="str">
        <f>IF(AND($AM3925&lt;&gt;"",$AS3925="✓"),SUMPRODUCT(($AM$11:$AM3925&lt;&gt;"")*($AS$11:$AS3925="✓")),"")</f>
        <v/>
      </c>
      <c r="BA3925" s="21" t="str">
        <f>IF($AL3925="","",$AL3925&amp;"|"&amp;COUNTIF($AL$11:$AL3925,$AL3925))</f>
        <v/>
      </c>
    </row>
    <row r="3926" spans="38:53" ht="15" customHeight="1" x14ac:dyDescent="0.25">
      <c r="AL3926" s="31"/>
      <c r="AM3926" s="26"/>
      <c r="AN3926" s="32"/>
      <c r="AO3926" s="32"/>
      <c r="AP3926" s="24"/>
      <c r="AQ3926" s="24"/>
      <c r="AR3926" s="33"/>
      <c r="AS3926" s="34"/>
      <c r="AT3926" s="33"/>
      <c r="AV3926" s="21">
        <f>IF(AND($AL3926&lt;&gt;"",COUNTIF($AL$11:$AL3926,$AL3926)=1),1,0)</f>
        <v>0</v>
      </c>
      <c r="AW3926" s="21">
        <f t="shared" si="209"/>
        <v>0</v>
      </c>
      <c r="AX3926" s="21" t="str">
        <f t="shared" si="208"/>
        <v/>
      </c>
      <c r="AY3926" s="21" t="str">
        <f>IF(AND($AM3926&lt;&gt;"",$AS3926&lt;&gt;"✓"),SUMPRODUCT(($AM$11:$AM3926&lt;&gt;"")*($AS$11:$AS3926&lt;&gt;"✓")),"")</f>
        <v/>
      </c>
      <c r="AZ3926" s="21" t="str">
        <f>IF(AND($AM3926&lt;&gt;"",$AS3926="✓"),SUMPRODUCT(($AM$11:$AM3926&lt;&gt;"")*($AS$11:$AS3926="✓")),"")</f>
        <v/>
      </c>
      <c r="BA3926" s="21" t="str">
        <f>IF($AL3926="","",$AL3926&amp;"|"&amp;COUNTIF($AL$11:$AL3926,$AL3926))</f>
        <v/>
      </c>
    </row>
    <row r="3927" spans="38:53" ht="15" customHeight="1" x14ac:dyDescent="0.25">
      <c r="AL3927" s="17"/>
      <c r="AM3927" s="12"/>
      <c r="AN3927" s="18"/>
      <c r="AO3927" s="18"/>
      <c r="AP3927" s="10"/>
      <c r="AQ3927" s="10"/>
      <c r="AR3927" s="19"/>
      <c r="AS3927" s="20"/>
      <c r="AT3927" s="19"/>
      <c r="AV3927" s="21">
        <f>IF(AND($AL3927&lt;&gt;"",COUNTIF($AL$11:$AL3927,$AL3927)=1),1,0)</f>
        <v>0</v>
      </c>
      <c r="AW3927" s="21">
        <f t="shared" si="209"/>
        <v>0</v>
      </c>
      <c r="AX3927" s="21" t="str">
        <f t="shared" si="208"/>
        <v/>
      </c>
      <c r="AY3927" s="21" t="str">
        <f>IF(AND($AM3927&lt;&gt;"",$AS3927&lt;&gt;"✓"),SUMPRODUCT(($AM$11:$AM3927&lt;&gt;"")*($AS$11:$AS3927&lt;&gt;"✓")),"")</f>
        <v/>
      </c>
      <c r="AZ3927" s="21" t="str">
        <f>IF(AND($AM3927&lt;&gt;"",$AS3927="✓"),SUMPRODUCT(($AM$11:$AM3927&lt;&gt;"")*($AS$11:$AS3927="✓")),"")</f>
        <v/>
      </c>
      <c r="BA3927" s="21" t="str">
        <f>IF($AL3927="","",$AL3927&amp;"|"&amp;COUNTIF($AL$11:$AL3927,$AL3927))</f>
        <v/>
      </c>
    </row>
    <row r="3928" spans="38:53" ht="15" customHeight="1" x14ac:dyDescent="0.25">
      <c r="AL3928" s="31"/>
      <c r="AM3928" s="26"/>
      <c r="AN3928" s="32"/>
      <c r="AO3928" s="32"/>
      <c r="AP3928" s="24"/>
      <c r="AQ3928" s="24"/>
      <c r="AR3928" s="33"/>
      <c r="AS3928" s="34"/>
      <c r="AT3928" s="33"/>
      <c r="AV3928" s="21">
        <f>IF(AND($AL3928&lt;&gt;"",COUNTIF($AL$11:$AL3928,$AL3928)=1),1,0)</f>
        <v>0</v>
      </c>
      <c r="AW3928" s="21">
        <f t="shared" si="209"/>
        <v>0</v>
      </c>
      <c r="AX3928" s="21" t="str">
        <f t="shared" si="208"/>
        <v/>
      </c>
      <c r="AY3928" s="21" t="str">
        <f>IF(AND($AM3928&lt;&gt;"",$AS3928&lt;&gt;"✓"),SUMPRODUCT(($AM$11:$AM3928&lt;&gt;"")*($AS$11:$AS3928&lt;&gt;"✓")),"")</f>
        <v/>
      </c>
      <c r="AZ3928" s="21" t="str">
        <f>IF(AND($AM3928&lt;&gt;"",$AS3928="✓"),SUMPRODUCT(($AM$11:$AM3928&lt;&gt;"")*($AS$11:$AS3928="✓")),"")</f>
        <v/>
      </c>
      <c r="BA3928" s="21" t="str">
        <f>IF($AL3928="","",$AL3928&amp;"|"&amp;COUNTIF($AL$11:$AL3928,$AL3928))</f>
        <v/>
      </c>
    </row>
    <row r="3929" spans="38:53" ht="15" customHeight="1" x14ac:dyDescent="0.25">
      <c r="AL3929" s="17"/>
      <c r="AM3929" s="12"/>
      <c r="AN3929" s="18"/>
      <c r="AO3929" s="18"/>
      <c r="AP3929" s="10"/>
      <c r="AQ3929" s="10"/>
      <c r="AR3929" s="19"/>
      <c r="AS3929" s="20"/>
      <c r="AT3929" s="19"/>
      <c r="AV3929" s="21">
        <f>IF(AND($AL3929&lt;&gt;"",COUNTIF($AL$11:$AL3929,$AL3929)=1),1,0)</f>
        <v>0</v>
      </c>
      <c r="AW3929" s="21">
        <f t="shared" si="209"/>
        <v>0</v>
      </c>
      <c r="AX3929" s="21" t="str">
        <f t="shared" si="208"/>
        <v/>
      </c>
      <c r="AY3929" s="21" t="str">
        <f>IF(AND($AM3929&lt;&gt;"",$AS3929&lt;&gt;"✓"),SUMPRODUCT(($AM$11:$AM3929&lt;&gt;"")*($AS$11:$AS3929&lt;&gt;"✓")),"")</f>
        <v/>
      </c>
      <c r="AZ3929" s="21" t="str">
        <f>IF(AND($AM3929&lt;&gt;"",$AS3929="✓"),SUMPRODUCT(($AM$11:$AM3929&lt;&gt;"")*($AS$11:$AS3929="✓")),"")</f>
        <v/>
      </c>
      <c r="BA3929" s="21" t="str">
        <f>IF($AL3929="","",$AL3929&amp;"|"&amp;COUNTIF($AL$11:$AL3929,$AL3929))</f>
        <v/>
      </c>
    </row>
    <row r="3930" spans="38:53" ht="15" customHeight="1" x14ac:dyDescent="0.25">
      <c r="AL3930" s="31"/>
      <c r="AM3930" s="26"/>
      <c r="AN3930" s="32"/>
      <c r="AO3930" s="32"/>
      <c r="AP3930" s="24"/>
      <c r="AQ3930" s="24"/>
      <c r="AR3930" s="33"/>
      <c r="AS3930" s="34"/>
      <c r="AT3930" s="33"/>
      <c r="AV3930" s="21">
        <f>IF(AND($AL3930&lt;&gt;"",COUNTIF($AL$11:$AL3930,$AL3930)=1),1,0)</f>
        <v>0</v>
      </c>
      <c r="AW3930" s="21">
        <f t="shared" si="209"/>
        <v>0</v>
      </c>
      <c r="AX3930" s="21" t="str">
        <f t="shared" si="208"/>
        <v/>
      </c>
      <c r="AY3930" s="21" t="str">
        <f>IF(AND($AM3930&lt;&gt;"",$AS3930&lt;&gt;"✓"),SUMPRODUCT(($AM$11:$AM3930&lt;&gt;"")*($AS$11:$AS3930&lt;&gt;"✓")),"")</f>
        <v/>
      </c>
      <c r="AZ3930" s="21" t="str">
        <f>IF(AND($AM3930&lt;&gt;"",$AS3930="✓"),SUMPRODUCT(($AM$11:$AM3930&lt;&gt;"")*($AS$11:$AS3930="✓")),"")</f>
        <v/>
      </c>
      <c r="BA3930" s="21" t="str">
        <f>IF($AL3930="","",$AL3930&amp;"|"&amp;COUNTIF($AL$11:$AL3930,$AL3930))</f>
        <v/>
      </c>
    </row>
    <row r="3931" spans="38:53" ht="15" customHeight="1" x14ac:dyDescent="0.25">
      <c r="AL3931" s="17"/>
      <c r="AM3931" s="12"/>
      <c r="AN3931" s="18"/>
      <c r="AO3931" s="18"/>
      <c r="AP3931" s="10"/>
      <c r="AQ3931" s="10"/>
      <c r="AR3931" s="19"/>
      <c r="AS3931" s="20"/>
      <c r="AT3931" s="19"/>
      <c r="AV3931" s="21">
        <f>IF(AND($AL3931&lt;&gt;"",COUNTIF($AL$11:$AL3931,$AL3931)=1),1,0)</f>
        <v>0</v>
      </c>
      <c r="AW3931" s="21">
        <f t="shared" si="209"/>
        <v>0</v>
      </c>
      <c r="AX3931" s="21" t="str">
        <f t="shared" si="208"/>
        <v/>
      </c>
      <c r="AY3931" s="21" t="str">
        <f>IF(AND($AM3931&lt;&gt;"",$AS3931&lt;&gt;"✓"),SUMPRODUCT(($AM$11:$AM3931&lt;&gt;"")*($AS$11:$AS3931&lt;&gt;"✓")),"")</f>
        <v/>
      </c>
      <c r="AZ3931" s="21" t="str">
        <f>IF(AND($AM3931&lt;&gt;"",$AS3931="✓"),SUMPRODUCT(($AM$11:$AM3931&lt;&gt;"")*($AS$11:$AS3931="✓")),"")</f>
        <v/>
      </c>
      <c r="BA3931" s="21" t="str">
        <f>IF($AL3931="","",$AL3931&amp;"|"&amp;COUNTIF($AL$11:$AL3931,$AL3931))</f>
        <v/>
      </c>
    </row>
    <row r="3932" spans="38:53" ht="15" customHeight="1" x14ac:dyDescent="0.25">
      <c r="AL3932" s="31"/>
      <c r="AM3932" s="26"/>
      <c r="AN3932" s="32"/>
      <c r="AO3932" s="32"/>
      <c r="AP3932" s="24"/>
      <c r="AQ3932" s="24"/>
      <c r="AR3932" s="33"/>
      <c r="AS3932" s="34"/>
      <c r="AT3932" s="33"/>
      <c r="AV3932" s="21">
        <f>IF(AND($AL3932&lt;&gt;"",COUNTIF($AL$11:$AL3932,$AL3932)=1),1,0)</f>
        <v>0</v>
      </c>
      <c r="AW3932" s="21">
        <f t="shared" si="209"/>
        <v>0</v>
      </c>
      <c r="AX3932" s="21" t="str">
        <f t="shared" si="208"/>
        <v/>
      </c>
      <c r="AY3932" s="21" t="str">
        <f>IF(AND($AM3932&lt;&gt;"",$AS3932&lt;&gt;"✓"),SUMPRODUCT(($AM$11:$AM3932&lt;&gt;"")*($AS$11:$AS3932&lt;&gt;"✓")),"")</f>
        <v/>
      </c>
      <c r="AZ3932" s="21" t="str">
        <f>IF(AND($AM3932&lt;&gt;"",$AS3932="✓"),SUMPRODUCT(($AM$11:$AM3932&lt;&gt;"")*($AS$11:$AS3932="✓")),"")</f>
        <v/>
      </c>
      <c r="BA3932" s="21" t="str">
        <f>IF($AL3932="","",$AL3932&amp;"|"&amp;COUNTIF($AL$11:$AL3932,$AL3932))</f>
        <v/>
      </c>
    </row>
    <row r="3933" spans="38:53" ht="15" customHeight="1" x14ac:dyDescent="0.25">
      <c r="AL3933" s="17"/>
      <c r="AM3933" s="12"/>
      <c r="AN3933" s="18"/>
      <c r="AO3933" s="18"/>
      <c r="AP3933" s="10"/>
      <c r="AQ3933" s="10"/>
      <c r="AR3933" s="19"/>
      <c r="AS3933" s="20"/>
      <c r="AT3933" s="19"/>
      <c r="AV3933" s="21">
        <f>IF(AND($AL3933&lt;&gt;"",COUNTIF($AL$11:$AL3933,$AL3933)=1),1,0)</f>
        <v>0</v>
      </c>
      <c r="AW3933" s="21">
        <f t="shared" si="209"/>
        <v>0</v>
      </c>
      <c r="AX3933" s="21" t="str">
        <f t="shared" si="208"/>
        <v/>
      </c>
      <c r="AY3933" s="21" t="str">
        <f>IF(AND($AM3933&lt;&gt;"",$AS3933&lt;&gt;"✓"),SUMPRODUCT(($AM$11:$AM3933&lt;&gt;"")*($AS$11:$AS3933&lt;&gt;"✓")),"")</f>
        <v/>
      </c>
      <c r="AZ3933" s="21" t="str">
        <f>IF(AND($AM3933&lt;&gt;"",$AS3933="✓"),SUMPRODUCT(($AM$11:$AM3933&lt;&gt;"")*($AS$11:$AS3933="✓")),"")</f>
        <v/>
      </c>
      <c r="BA3933" s="21" t="str">
        <f>IF($AL3933="","",$AL3933&amp;"|"&amp;COUNTIF($AL$11:$AL3933,$AL3933))</f>
        <v/>
      </c>
    </row>
    <row r="3934" spans="38:53" ht="15" customHeight="1" x14ac:dyDescent="0.25">
      <c r="AL3934" s="31"/>
      <c r="AM3934" s="26"/>
      <c r="AN3934" s="32"/>
      <c r="AO3934" s="32"/>
      <c r="AP3934" s="24"/>
      <c r="AQ3934" s="24"/>
      <c r="AR3934" s="33"/>
      <c r="AS3934" s="34"/>
      <c r="AT3934" s="33"/>
      <c r="AV3934" s="21">
        <f>IF(AND($AL3934&lt;&gt;"",COUNTIF($AL$11:$AL3934,$AL3934)=1),1,0)</f>
        <v>0</v>
      </c>
      <c r="AW3934" s="21">
        <f t="shared" si="209"/>
        <v>0</v>
      </c>
      <c r="AX3934" s="21" t="str">
        <f t="shared" si="208"/>
        <v/>
      </c>
      <c r="AY3934" s="21" t="str">
        <f>IF(AND($AM3934&lt;&gt;"",$AS3934&lt;&gt;"✓"),SUMPRODUCT(($AM$11:$AM3934&lt;&gt;"")*($AS$11:$AS3934&lt;&gt;"✓")),"")</f>
        <v/>
      </c>
      <c r="AZ3934" s="21" t="str">
        <f>IF(AND($AM3934&lt;&gt;"",$AS3934="✓"),SUMPRODUCT(($AM$11:$AM3934&lt;&gt;"")*($AS$11:$AS3934="✓")),"")</f>
        <v/>
      </c>
      <c r="BA3934" s="21" t="str">
        <f>IF($AL3934="","",$AL3934&amp;"|"&amp;COUNTIF($AL$11:$AL3934,$AL3934))</f>
        <v/>
      </c>
    </row>
    <row r="3935" spans="38:53" ht="15" customHeight="1" x14ac:dyDescent="0.25">
      <c r="AL3935" s="17"/>
      <c r="AM3935" s="12"/>
      <c r="AN3935" s="18"/>
      <c r="AO3935" s="18"/>
      <c r="AP3935" s="10"/>
      <c r="AQ3935" s="10"/>
      <c r="AR3935" s="19"/>
      <c r="AS3935" s="20"/>
      <c r="AT3935" s="19"/>
      <c r="AV3935" s="21">
        <f>IF(AND($AL3935&lt;&gt;"",COUNTIF($AL$11:$AL3935,$AL3935)=1),1,0)</f>
        <v>0</v>
      </c>
      <c r="AW3935" s="21">
        <f t="shared" si="209"/>
        <v>0</v>
      </c>
      <c r="AX3935" s="21" t="str">
        <f t="shared" si="208"/>
        <v/>
      </c>
      <c r="AY3935" s="21" t="str">
        <f>IF(AND($AM3935&lt;&gt;"",$AS3935&lt;&gt;"✓"),SUMPRODUCT(($AM$11:$AM3935&lt;&gt;"")*($AS$11:$AS3935&lt;&gt;"✓")),"")</f>
        <v/>
      </c>
      <c r="AZ3935" s="21" t="str">
        <f>IF(AND($AM3935&lt;&gt;"",$AS3935="✓"),SUMPRODUCT(($AM$11:$AM3935&lt;&gt;"")*($AS$11:$AS3935="✓")),"")</f>
        <v/>
      </c>
      <c r="BA3935" s="21" t="str">
        <f>IF($AL3935="","",$AL3935&amp;"|"&amp;COUNTIF($AL$11:$AL3935,$AL3935))</f>
        <v/>
      </c>
    </row>
    <row r="3936" spans="38:53" ht="15" customHeight="1" x14ac:dyDescent="0.25">
      <c r="AL3936" s="31"/>
      <c r="AM3936" s="26"/>
      <c r="AN3936" s="32"/>
      <c r="AO3936" s="32"/>
      <c r="AP3936" s="24"/>
      <c r="AQ3936" s="24"/>
      <c r="AR3936" s="33"/>
      <c r="AS3936" s="34"/>
      <c r="AT3936" s="33"/>
      <c r="AV3936" s="21">
        <f>IF(AND($AL3936&lt;&gt;"",COUNTIF($AL$11:$AL3936,$AL3936)=1),1,0)</f>
        <v>0</v>
      </c>
      <c r="AW3936" s="21">
        <f t="shared" si="209"/>
        <v>0</v>
      </c>
      <c r="AX3936" s="21" t="str">
        <f t="shared" si="208"/>
        <v/>
      </c>
      <c r="AY3936" s="21" t="str">
        <f>IF(AND($AM3936&lt;&gt;"",$AS3936&lt;&gt;"✓"),SUMPRODUCT(($AM$11:$AM3936&lt;&gt;"")*($AS$11:$AS3936&lt;&gt;"✓")),"")</f>
        <v/>
      </c>
      <c r="AZ3936" s="21" t="str">
        <f>IF(AND($AM3936&lt;&gt;"",$AS3936="✓"),SUMPRODUCT(($AM$11:$AM3936&lt;&gt;"")*($AS$11:$AS3936="✓")),"")</f>
        <v/>
      </c>
      <c r="BA3936" s="21" t="str">
        <f>IF($AL3936="","",$AL3936&amp;"|"&amp;COUNTIF($AL$11:$AL3936,$AL3936))</f>
        <v/>
      </c>
    </row>
    <row r="3937" spans="38:53" ht="15" customHeight="1" x14ac:dyDescent="0.25">
      <c r="AL3937" s="17"/>
      <c r="AM3937" s="12"/>
      <c r="AN3937" s="18"/>
      <c r="AO3937" s="18"/>
      <c r="AP3937" s="10"/>
      <c r="AQ3937" s="10"/>
      <c r="AR3937" s="19"/>
      <c r="AS3937" s="20"/>
      <c r="AT3937" s="19"/>
      <c r="AV3937" s="21">
        <f>IF(AND($AL3937&lt;&gt;"",COUNTIF($AL$11:$AL3937,$AL3937)=1),1,0)</f>
        <v>0</v>
      </c>
      <c r="AW3937" s="21">
        <f t="shared" si="209"/>
        <v>0</v>
      </c>
      <c r="AX3937" s="21" t="str">
        <f t="shared" si="208"/>
        <v/>
      </c>
      <c r="AY3937" s="21" t="str">
        <f>IF(AND($AM3937&lt;&gt;"",$AS3937&lt;&gt;"✓"),SUMPRODUCT(($AM$11:$AM3937&lt;&gt;"")*($AS$11:$AS3937&lt;&gt;"✓")),"")</f>
        <v/>
      </c>
      <c r="AZ3937" s="21" t="str">
        <f>IF(AND($AM3937&lt;&gt;"",$AS3937="✓"),SUMPRODUCT(($AM$11:$AM3937&lt;&gt;"")*($AS$11:$AS3937="✓")),"")</f>
        <v/>
      </c>
      <c r="BA3937" s="21" t="str">
        <f>IF($AL3937="","",$AL3937&amp;"|"&amp;COUNTIF($AL$11:$AL3937,$AL3937))</f>
        <v/>
      </c>
    </row>
    <row r="3938" spans="38:53" ht="15" customHeight="1" x14ac:dyDescent="0.25">
      <c r="AL3938" s="31"/>
      <c r="AM3938" s="26"/>
      <c r="AN3938" s="32"/>
      <c r="AO3938" s="32"/>
      <c r="AP3938" s="24"/>
      <c r="AQ3938" s="24"/>
      <c r="AR3938" s="33"/>
      <c r="AS3938" s="34"/>
      <c r="AT3938" s="33"/>
      <c r="AV3938" s="21">
        <f>IF(AND($AL3938&lt;&gt;"",COUNTIF($AL$11:$AL3938,$AL3938)=1),1,0)</f>
        <v>0</v>
      </c>
      <c r="AW3938" s="21">
        <f t="shared" si="209"/>
        <v>0</v>
      </c>
      <c r="AX3938" s="21" t="str">
        <f t="shared" si="208"/>
        <v/>
      </c>
      <c r="AY3938" s="21" t="str">
        <f>IF(AND($AM3938&lt;&gt;"",$AS3938&lt;&gt;"✓"),SUMPRODUCT(($AM$11:$AM3938&lt;&gt;"")*($AS$11:$AS3938&lt;&gt;"✓")),"")</f>
        <v/>
      </c>
      <c r="AZ3938" s="21" t="str">
        <f>IF(AND($AM3938&lt;&gt;"",$AS3938="✓"),SUMPRODUCT(($AM$11:$AM3938&lt;&gt;"")*($AS$11:$AS3938="✓")),"")</f>
        <v/>
      </c>
      <c r="BA3938" s="21" t="str">
        <f>IF($AL3938="","",$AL3938&amp;"|"&amp;COUNTIF($AL$11:$AL3938,$AL3938))</f>
        <v/>
      </c>
    </row>
    <row r="3939" spans="38:53" ht="15" customHeight="1" x14ac:dyDescent="0.25">
      <c r="AL3939" s="17"/>
      <c r="AM3939" s="12"/>
      <c r="AN3939" s="18"/>
      <c r="AO3939" s="18"/>
      <c r="AP3939" s="10"/>
      <c r="AQ3939" s="10"/>
      <c r="AR3939" s="19"/>
      <c r="AS3939" s="20"/>
      <c r="AT3939" s="19"/>
      <c r="AV3939" s="21">
        <f>IF(AND($AL3939&lt;&gt;"",COUNTIF($AL$11:$AL3939,$AL3939)=1),1,0)</f>
        <v>0</v>
      </c>
      <c r="AW3939" s="21">
        <f t="shared" si="209"/>
        <v>0</v>
      </c>
      <c r="AX3939" s="21" t="str">
        <f t="shared" si="208"/>
        <v/>
      </c>
      <c r="AY3939" s="21" t="str">
        <f>IF(AND($AM3939&lt;&gt;"",$AS3939&lt;&gt;"✓"),SUMPRODUCT(($AM$11:$AM3939&lt;&gt;"")*($AS$11:$AS3939&lt;&gt;"✓")),"")</f>
        <v/>
      </c>
      <c r="AZ3939" s="21" t="str">
        <f>IF(AND($AM3939&lt;&gt;"",$AS3939="✓"),SUMPRODUCT(($AM$11:$AM3939&lt;&gt;"")*($AS$11:$AS3939="✓")),"")</f>
        <v/>
      </c>
      <c r="BA3939" s="21" t="str">
        <f>IF($AL3939="","",$AL3939&amp;"|"&amp;COUNTIF($AL$11:$AL3939,$AL3939))</f>
        <v/>
      </c>
    </row>
    <row r="3940" spans="38:53" ht="15" customHeight="1" x14ac:dyDescent="0.25">
      <c r="AL3940" s="31"/>
      <c r="AM3940" s="26"/>
      <c r="AN3940" s="32"/>
      <c r="AO3940" s="32"/>
      <c r="AP3940" s="24"/>
      <c r="AQ3940" s="24"/>
      <c r="AR3940" s="33"/>
      <c r="AS3940" s="34"/>
      <c r="AT3940" s="33"/>
      <c r="AV3940" s="21">
        <f>IF(AND($AL3940&lt;&gt;"",COUNTIF($AL$11:$AL3940,$AL3940)=1),1,0)</f>
        <v>0</v>
      </c>
      <c r="AW3940" s="21">
        <f t="shared" si="209"/>
        <v>0</v>
      </c>
      <c r="AX3940" s="21" t="str">
        <f t="shared" si="208"/>
        <v/>
      </c>
      <c r="AY3940" s="21" t="str">
        <f>IF(AND($AM3940&lt;&gt;"",$AS3940&lt;&gt;"✓"),SUMPRODUCT(($AM$11:$AM3940&lt;&gt;"")*($AS$11:$AS3940&lt;&gt;"✓")),"")</f>
        <v/>
      </c>
      <c r="AZ3940" s="21" t="str">
        <f>IF(AND($AM3940&lt;&gt;"",$AS3940="✓"),SUMPRODUCT(($AM$11:$AM3940&lt;&gt;"")*($AS$11:$AS3940="✓")),"")</f>
        <v/>
      </c>
      <c r="BA3940" s="21" t="str">
        <f>IF($AL3940="","",$AL3940&amp;"|"&amp;COUNTIF($AL$11:$AL3940,$AL3940))</f>
        <v/>
      </c>
    </row>
    <row r="3941" spans="38:53" ht="15" customHeight="1" x14ac:dyDescent="0.25">
      <c r="AL3941" s="17"/>
      <c r="AM3941" s="12"/>
      <c r="AN3941" s="18"/>
      <c r="AO3941" s="18"/>
      <c r="AP3941" s="10"/>
      <c r="AQ3941" s="10"/>
      <c r="AR3941" s="19"/>
      <c r="AS3941" s="20"/>
      <c r="AT3941" s="19"/>
      <c r="AV3941" s="21">
        <f>IF(AND($AL3941&lt;&gt;"",COUNTIF($AL$11:$AL3941,$AL3941)=1),1,0)</f>
        <v>0</v>
      </c>
      <c r="AW3941" s="21">
        <f t="shared" si="209"/>
        <v>0</v>
      </c>
      <c r="AX3941" s="21" t="str">
        <f t="shared" si="208"/>
        <v/>
      </c>
      <c r="AY3941" s="21" t="str">
        <f>IF(AND($AM3941&lt;&gt;"",$AS3941&lt;&gt;"✓"),SUMPRODUCT(($AM$11:$AM3941&lt;&gt;"")*($AS$11:$AS3941&lt;&gt;"✓")),"")</f>
        <v/>
      </c>
      <c r="AZ3941" s="21" t="str">
        <f>IF(AND($AM3941&lt;&gt;"",$AS3941="✓"),SUMPRODUCT(($AM$11:$AM3941&lt;&gt;"")*($AS$11:$AS3941="✓")),"")</f>
        <v/>
      </c>
      <c r="BA3941" s="21" t="str">
        <f>IF($AL3941="","",$AL3941&amp;"|"&amp;COUNTIF($AL$11:$AL3941,$AL3941))</f>
        <v/>
      </c>
    </row>
    <row r="3942" spans="38:53" ht="15" customHeight="1" x14ac:dyDescent="0.25">
      <c r="AL3942" s="31"/>
      <c r="AM3942" s="26"/>
      <c r="AN3942" s="32"/>
      <c r="AO3942" s="32"/>
      <c r="AP3942" s="24"/>
      <c r="AQ3942" s="24"/>
      <c r="AR3942" s="33"/>
      <c r="AS3942" s="34"/>
      <c r="AT3942" s="33"/>
      <c r="AV3942" s="21">
        <f>IF(AND($AL3942&lt;&gt;"",COUNTIF($AL$11:$AL3942,$AL3942)=1),1,0)</f>
        <v>0</v>
      </c>
      <c r="AW3942" s="21">
        <f t="shared" si="209"/>
        <v>0</v>
      </c>
      <c r="AX3942" s="21" t="str">
        <f t="shared" si="208"/>
        <v/>
      </c>
      <c r="AY3942" s="21" t="str">
        <f>IF(AND($AM3942&lt;&gt;"",$AS3942&lt;&gt;"✓"),SUMPRODUCT(($AM$11:$AM3942&lt;&gt;"")*($AS$11:$AS3942&lt;&gt;"✓")),"")</f>
        <v/>
      </c>
      <c r="AZ3942" s="21" t="str">
        <f>IF(AND($AM3942&lt;&gt;"",$AS3942="✓"),SUMPRODUCT(($AM$11:$AM3942&lt;&gt;"")*($AS$11:$AS3942="✓")),"")</f>
        <v/>
      </c>
      <c r="BA3942" s="21" t="str">
        <f>IF($AL3942="","",$AL3942&amp;"|"&amp;COUNTIF($AL$11:$AL3942,$AL3942))</f>
        <v/>
      </c>
    </row>
    <row r="3943" spans="38:53" ht="15" customHeight="1" x14ac:dyDescent="0.25">
      <c r="AL3943" s="17"/>
      <c r="AM3943" s="12"/>
      <c r="AN3943" s="18"/>
      <c r="AO3943" s="18"/>
      <c r="AP3943" s="10"/>
      <c r="AQ3943" s="10"/>
      <c r="AR3943" s="19"/>
      <c r="AS3943" s="20"/>
      <c r="AT3943" s="19"/>
      <c r="AV3943" s="21">
        <f>IF(AND($AL3943&lt;&gt;"",COUNTIF($AL$11:$AL3943,$AL3943)=1),1,0)</f>
        <v>0</v>
      </c>
      <c r="AW3943" s="21">
        <f t="shared" si="209"/>
        <v>0</v>
      </c>
      <c r="AX3943" s="21" t="str">
        <f t="shared" si="208"/>
        <v/>
      </c>
      <c r="AY3943" s="21" t="str">
        <f>IF(AND($AM3943&lt;&gt;"",$AS3943&lt;&gt;"✓"),SUMPRODUCT(($AM$11:$AM3943&lt;&gt;"")*($AS$11:$AS3943&lt;&gt;"✓")),"")</f>
        <v/>
      </c>
      <c r="AZ3943" s="21" t="str">
        <f>IF(AND($AM3943&lt;&gt;"",$AS3943="✓"),SUMPRODUCT(($AM$11:$AM3943&lt;&gt;"")*($AS$11:$AS3943="✓")),"")</f>
        <v/>
      </c>
      <c r="BA3943" s="21" t="str">
        <f>IF($AL3943="","",$AL3943&amp;"|"&amp;COUNTIF($AL$11:$AL3943,$AL3943))</f>
        <v/>
      </c>
    </row>
    <row r="3944" spans="38:53" ht="15" customHeight="1" x14ac:dyDescent="0.25">
      <c r="AL3944" s="31"/>
      <c r="AM3944" s="26"/>
      <c r="AN3944" s="32"/>
      <c r="AO3944" s="32"/>
      <c r="AP3944" s="24"/>
      <c r="AQ3944" s="24"/>
      <c r="AR3944" s="33"/>
      <c r="AS3944" s="34"/>
      <c r="AT3944" s="33"/>
      <c r="AV3944" s="21">
        <f>IF(AND($AL3944&lt;&gt;"",COUNTIF($AL$11:$AL3944,$AL3944)=1),1,0)</f>
        <v>0</v>
      </c>
      <c r="AW3944" s="21">
        <f t="shared" si="209"/>
        <v>0</v>
      </c>
      <c r="AX3944" s="21" t="str">
        <f t="shared" si="208"/>
        <v/>
      </c>
      <c r="AY3944" s="21" t="str">
        <f>IF(AND($AM3944&lt;&gt;"",$AS3944&lt;&gt;"✓"),SUMPRODUCT(($AM$11:$AM3944&lt;&gt;"")*($AS$11:$AS3944&lt;&gt;"✓")),"")</f>
        <v/>
      </c>
      <c r="AZ3944" s="21" t="str">
        <f>IF(AND($AM3944&lt;&gt;"",$AS3944="✓"),SUMPRODUCT(($AM$11:$AM3944&lt;&gt;"")*($AS$11:$AS3944="✓")),"")</f>
        <v/>
      </c>
      <c r="BA3944" s="21" t="str">
        <f>IF($AL3944="","",$AL3944&amp;"|"&amp;COUNTIF($AL$11:$AL3944,$AL3944))</f>
        <v/>
      </c>
    </row>
    <row r="3945" spans="38:53" ht="15" customHeight="1" x14ac:dyDescent="0.25">
      <c r="AL3945" s="17"/>
      <c r="AM3945" s="12"/>
      <c r="AN3945" s="18"/>
      <c r="AO3945" s="18"/>
      <c r="AP3945" s="10"/>
      <c r="AQ3945" s="10"/>
      <c r="AR3945" s="19"/>
      <c r="AS3945" s="20"/>
      <c r="AT3945" s="19"/>
      <c r="AV3945" s="21">
        <f>IF(AND($AL3945&lt;&gt;"",COUNTIF($AL$11:$AL3945,$AL3945)=1),1,0)</f>
        <v>0</v>
      </c>
      <c r="AW3945" s="21">
        <f t="shared" si="209"/>
        <v>0</v>
      </c>
      <c r="AX3945" s="21" t="str">
        <f t="shared" si="208"/>
        <v/>
      </c>
      <c r="AY3945" s="21" t="str">
        <f>IF(AND($AM3945&lt;&gt;"",$AS3945&lt;&gt;"✓"),SUMPRODUCT(($AM$11:$AM3945&lt;&gt;"")*($AS$11:$AS3945&lt;&gt;"✓")),"")</f>
        <v/>
      </c>
      <c r="AZ3945" s="21" t="str">
        <f>IF(AND($AM3945&lt;&gt;"",$AS3945="✓"),SUMPRODUCT(($AM$11:$AM3945&lt;&gt;"")*($AS$11:$AS3945="✓")),"")</f>
        <v/>
      </c>
      <c r="BA3945" s="21" t="str">
        <f>IF($AL3945="","",$AL3945&amp;"|"&amp;COUNTIF($AL$11:$AL3945,$AL3945))</f>
        <v/>
      </c>
    </row>
    <row r="3946" spans="38:53" ht="15" customHeight="1" x14ac:dyDescent="0.25">
      <c r="AL3946" s="31"/>
      <c r="AM3946" s="26"/>
      <c r="AN3946" s="32"/>
      <c r="AO3946" s="32"/>
      <c r="AP3946" s="24"/>
      <c r="AQ3946" s="24"/>
      <c r="AR3946" s="33"/>
      <c r="AS3946" s="34"/>
      <c r="AT3946" s="33"/>
      <c r="AV3946" s="21">
        <f>IF(AND($AL3946&lt;&gt;"",COUNTIF($AL$11:$AL3946,$AL3946)=1),1,0)</f>
        <v>0</v>
      </c>
      <c r="AW3946" s="21">
        <f t="shared" si="209"/>
        <v>0</v>
      </c>
      <c r="AX3946" s="21" t="str">
        <f t="shared" si="208"/>
        <v/>
      </c>
      <c r="AY3946" s="21" t="str">
        <f>IF(AND($AM3946&lt;&gt;"",$AS3946&lt;&gt;"✓"),SUMPRODUCT(($AM$11:$AM3946&lt;&gt;"")*($AS$11:$AS3946&lt;&gt;"✓")),"")</f>
        <v/>
      </c>
      <c r="AZ3946" s="21" t="str">
        <f>IF(AND($AM3946&lt;&gt;"",$AS3946="✓"),SUMPRODUCT(($AM$11:$AM3946&lt;&gt;"")*($AS$11:$AS3946="✓")),"")</f>
        <v/>
      </c>
      <c r="BA3946" s="21" t="str">
        <f>IF($AL3946="","",$AL3946&amp;"|"&amp;COUNTIF($AL$11:$AL3946,$AL3946))</f>
        <v/>
      </c>
    </row>
    <row r="3947" spans="38:53" ht="15" customHeight="1" x14ac:dyDescent="0.25">
      <c r="AL3947" s="17"/>
      <c r="AM3947" s="12"/>
      <c r="AN3947" s="18"/>
      <c r="AO3947" s="18"/>
      <c r="AP3947" s="10"/>
      <c r="AQ3947" s="10"/>
      <c r="AR3947" s="19"/>
      <c r="AS3947" s="20"/>
      <c r="AT3947" s="19"/>
      <c r="AV3947" s="21">
        <f>IF(AND($AL3947&lt;&gt;"",COUNTIF($AL$11:$AL3947,$AL3947)=1),1,0)</f>
        <v>0</v>
      </c>
      <c r="AW3947" s="21">
        <f t="shared" si="209"/>
        <v>0</v>
      </c>
      <c r="AX3947" s="21" t="str">
        <f t="shared" si="208"/>
        <v/>
      </c>
      <c r="AY3947" s="21" t="str">
        <f>IF(AND($AM3947&lt;&gt;"",$AS3947&lt;&gt;"✓"),SUMPRODUCT(($AM$11:$AM3947&lt;&gt;"")*($AS$11:$AS3947&lt;&gt;"✓")),"")</f>
        <v/>
      </c>
      <c r="AZ3947" s="21" t="str">
        <f>IF(AND($AM3947&lt;&gt;"",$AS3947="✓"),SUMPRODUCT(($AM$11:$AM3947&lt;&gt;"")*($AS$11:$AS3947="✓")),"")</f>
        <v/>
      </c>
      <c r="BA3947" s="21" t="str">
        <f>IF($AL3947="","",$AL3947&amp;"|"&amp;COUNTIF($AL$11:$AL3947,$AL3947))</f>
        <v/>
      </c>
    </row>
    <row r="3948" spans="38:53" ht="15" customHeight="1" x14ac:dyDescent="0.25">
      <c r="AL3948" s="31"/>
      <c r="AM3948" s="26"/>
      <c r="AN3948" s="32"/>
      <c r="AO3948" s="32"/>
      <c r="AP3948" s="24"/>
      <c r="AQ3948" s="24"/>
      <c r="AR3948" s="33"/>
      <c r="AS3948" s="34"/>
      <c r="AT3948" s="33"/>
      <c r="AV3948" s="21">
        <f>IF(AND($AL3948&lt;&gt;"",COUNTIF($AL$11:$AL3948,$AL3948)=1),1,0)</f>
        <v>0</v>
      </c>
      <c r="AW3948" s="21">
        <f t="shared" si="209"/>
        <v>0</v>
      </c>
      <c r="AX3948" s="21" t="str">
        <f t="shared" si="208"/>
        <v/>
      </c>
      <c r="AY3948" s="21" t="str">
        <f>IF(AND($AM3948&lt;&gt;"",$AS3948&lt;&gt;"✓"),SUMPRODUCT(($AM$11:$AM3948&lt;&gt;"")*($AS$11:$AS3948&lt;&gt;"✓")),"")</f>
        <v/>
      </c>
      <c r="AZ3948" s="21" t="str">
        <f>IF(AND($AM3948&lt;&gt;"",$AS3948="✓"),SUMPRODUCT(($AM$11:$AM3948&lt;&gt;"")*($AS$11:$AS3948="✓")),"")</f>
        <v/>
      </c>
      <c r="BA3948" s="21" t="str">
        <f>IF($AL3948="","",$AL3948&amp;"|"&amp;COUNTIF($AL$11:$AL3948,$AL3948))</f>
        <v/>
      </c>
    </row>
    <row r="3949" spans="38:53" ht="15" customHeight="1" x14ac:dyDescent="0.25">
      <c r="AL3949" s="17"/>
      <c r="AM3949" s="12"/>
      <c r="AN3949" s="18"/>
      <c r="AO3949" s="18"/>
      <c r="AP3949" s="10"/>
      <c r="AQ3949" s="10"/>
      <c r="AR3949" s="19"/>
      <c r="AS3949" s="20"/>
      <c r="AT3949" s="19"/>
      <c r="AV3949" s="21">
        <f>IF(AND($AL3949&lt;&gt;"",COUNTIF($AL$11:$AL3949,$AL3949)=1),1,0)</f>
        <v>0</v>
      </c>
      <c r="AW3949" s="21">
        <f t="shared" si="209"/>
        <v>0</v>
      </c>
      <c r="AX3949" s="21" t="str">
        <f t="shared" si="208"/>
        <v/>
      </c>
      <c r="AY3949" s="21" t="str">
        <f>IF(AND($AM3949&lt;&gt;"",$AS3949&lt;&gt;"✓"),SUMPRODUCT(($AM$11:$AM3949&lt;&gt;"")*($AS$11:$AS3949&lt;&gt;"✓")),"")</f>
        <v/>
      </c>
      <c r="AZ3949" s="21" t="str">
        <f>IF(AND($AM3949&lt;&gt;"",$AS3949="✓"),SUMPRODUCT(($AM$11:$AM3949&lt;&gt;"")*($AS$11:$AS3949="✓")),"")</f>
        <v/>
      </c>
      <c r="BA3949" s="21" t="str">
        <f>IF($AL3949="","",$AL3949&amp;"|"&amp;COUNTIF($AL$11:$AL3949,$AL3949))</f>
        <v/>
      </c>
    </row>
    <row r="3950" spans="38:53" ht="15" customHeight="1" x14ac:dyDescent="0.25">
      <c r="AL3950" s="31"/>
      <c r="AM3950" s="26"/>
      <c r="AN3950" s="32"/>
      <c r="AO3950" s="32"/>
      <c r="AP3950" s="24"/>
      <c r="AQ3950" s="24"/>
      <c r="AR3950" s="33"/>
      <c r="AS3950" s="34"/>
      <c r="AT3950" s="33"/>
      <c r="AV3950" s="21">
        <f>IF(AND($AL3950&lt;&gt;"",COUNTIF($AL$11:$AL3950,$AL3950)=1),1,0)</f>
        <v>0</v>
      </c>
      <c r="AW3950" s="21">
        <f t="shared" si="209"/>
        <v>0</v>
      </c>
      <c r="AX3950" s="21" t="str">
        <f t="shared" si="208"/>
        <v/>
      </c>
      <c r="AY3950" s="21" t="str">
        <f>IF(AND($AM3950&lt;&gt;"",$AS3950&lt;&gt;"✓"),SUMPRODUCT(($AM$11:$AM3950&lt;&gt;"")*($AS$11:$AS3950&lt;&gt;"✓")),"")</f>
        <v/>
      </c>
      <c r="AZ3950" s="21" t="str">
        <f>IF(AND($AM3950&lt;&gt;"",$AS3950="✓"),SUMPRODUCT(($AM$11:$AM3950&lt;&gt;"")*($AS$11:$AS3950="✓")),"")</f>
        <v/>
      </c>
      <c r="BA3950" s="21" t="str">
        <f>IF($AL3950="","",$AL3950&amp;"|"&amp;COUNTIF($AL$11:$AL3950,$AL3950))</f>
        <v/>
      </c>
    </row>
    <row r="3951" spans="38:53" ht="15" customHeight="1" x14ac:dyDescent="0.25">
      <c r="AL3951" s="17"/>
      <c r="AM3951" s="12"/>
      <c r="AN3951" s="18"/>
      <c r="AO3951" s="18"/>
      <c r="AP3951" s="10"/>
      <c r="AQ3951" s="10"/>
      <c r="AR3951" s="19"/>
      <c r="AS3951" s="20"/>
      <c r="AT3951" s="19"/>
      <c r="AV3951" s="21">
        <f>IF(AND($AL3951&lt;&gt;"",COUNTIF($AL$11:$AL3951,$AL3951)=1),1,0)</f>
        <v>0</v>
      </c>
      <c r="AW3951" s="21">
        <f t="shared" si="209"/>
        <v>0</v>
      </c>
      <c r="AX3951" s="21" t="str">
        <f t="shared" si="208"/>
        <v/>
      </c>
      <c r="AY3951" s="21" t="str">
        <f>IF(AND($AM3951&lt;&gt;"",$AS3951&lt;&gt;"✓"),SUMPRODUCT(($AM$11:$AM3951&lt;&gt;"")*($AS$11:$AS3951&lt;&gt;"✓")),"")</f>
        <v/>
      </c>
      <c r="AZ3951" s="21" t="str">
        <f>IF(AND($AM3951&lt;&gt;"",$AS3951="✓"),SUMPRODUCT(($AM$11:$AM3951&lt;&gt;"")*($AS$11:$AS3951="✓")),"")</f>
        <v/>
      </c>
      <c r="BA3951" s="21" t="str">
        <f>IF($AL3951="","",$AL3951&amp;"|"&amp;COUNTIF($AL$11:$AL3951,$AL3951))</f>
        <v/>
      </c>
    </row>
    <row r="3952" spans="38:53" ht="15" customHeight="1" x14ac:dyDescent="0.25">
      <c r="AL3952" s="31"/>
      <c r="AM3952" s="26"/>
      <c r="AN3952" s="32"/>
      <c r="AO3952" s="32"/>
      <c r="AP3952" s="24"/>
      <c r="AQ3952" s="24"/>
      <c r="AR3952" s="33"/>
      <c r="AS3952" s="34"/>
      <c r="AT3952" s="33"/>
      <c r="AV3952" s="21">
        <f>IF(AND($AL3952&lt;&gt;"",COUNTIF($AL$11:$AL3952,$AL3952)=1),1,0)</f>
        <v>0</v>
      </c>
      <c r="AW3952" s="21">
        <f t="shared" si="209"/>
        <v>0</v>
      </c>
      <c r="AX3952" s="21" t="str">
        <f t="shared" si="208"/>
        <v/>
      </c>
      <c r="AY3952" s="21" t="str">
        <f>IF(AND($AM3952&lt;&gt;"",$AS3952&lt;&gt;"✓"),SUMPRODUCT(($AM$11:$AM3952&lt;&gt;"")*($AS$11:$AS3952&lt;&gt;"✓")),"")</f>
        <v/>
      </c>
      <c r="AZ3952" s="21" t="str">
        <f>IF(AND($AM3952&lt;&gt;"",$AS3952="✓"),SUMPRODUCT(($AM$11:$AM3952&lt;&gt;"")*($AS$11:$AS3952="✓")),"")</f>
        <v/>
      </c>
      <c r="BA3952" s="21" t="str">
        <f>IF($AL3952="","",$AL3952&amp;"|"&amp;COUNTIF($AL$11:$AL3952,$AL3952))</f>
        <v/>
      </c>
    </row>
    <row r="3953" spans="38:53" ht="15" customHeight="1" x14ac:dyDescent="0.25">
      <c r="AL3953" s="17"/>
      <c r="AM3953" s="12"/>
      <c r="AN3953" s="18"/>
      <c r="AO3953" s="18"/>
      <c r="AP3953" s="10"/>
      <c r="AQ3953" s="10"/>
      <c r="AR3953" s="19"/>
      <c r="AS3953" s="20"/>
      <c r="AT3953" s="19"/>
      <c r="AV3953" s="21">
        <f>IF(AND($AL3953&lt;&gt;"",COUNTIF($AL$11:$AL3953,$AL3953)=1),1,0)</f>
        <v>0</v>
      </c>
      <c r="AW3953" s="21">
        <f t="shared" si="209"/>
        <v>0</v>
      </c>
      <c r="AX3953" s="21" t="str">
        <f t="shared" si="208"/>
        <v/>
      </c>
      <c r="AY3953" s="21" t="str">
        <f>IF(AND($AM3953&lt;&gt;"",$AS3953&lt;&gt;"✓"),SUMPRODUCT(($AM$11:$AM3953&lt;&gt;"")*($AS$11:$AS3953&lt;&gt;"✓")),"")</f>
        <v/>
      </c>
      <c r="AZ3953" s="21" t="str">
        <f>IF(AND($AM3953&lt;&gt;"",$AS3953="✓"),SUMPRODUCT(($AM$11:$AM3953&lt;&gt;"")*($AS$11:$AS3953="✓")),"")</f>
        <v/>
      </c>
      <c r="BA3953" s="21" t="str">
        <f>IF($AL3953="","",$AL3953&amp;"|"&amp;COUNTIF($AL$11:$AL3953,$AL3953))</f>
        <v/>
      </c>
    </row>
    <row r="3954" spans="38:53" ht="15" customHeight="1" x14ac:dyDescent="0.25">
      <c r="AL3954" s="31"/>
      <c r="AM3954" s="26"/>
      <c r="AN3954" s="32"/>
      <c r="AO3954" s="32"/>
      <c r="AP3954" s="24"/>
      <c r="AQ3954" s="24"/>
      <c r="AR3954" s="33"/>
      <c r="AS3954" s="34"/>
      <c r="AT3954" s="33"/>
      <c r="AV3954" s="21">
        <f>IF(AND($AL3954&lt;&gt;"",COUNTIF($AL$11:$AL3954,$AL3954)=1),1,0)</f>
        <v>0</v>
      </c>
      <c r="AW3954" s="21">
        <f t="shared" si="209"/>
        <v>0</v>
      </c>
      <c r="AX3954" s="21" t="str">
        <f t="shared" si="208"/>
        <v/>
      </c>
      <c r="AY3954" s="21" t="str">
        <f>IF(AND($AM3954&lt;&gt;"",$AS3954&lt;&gt;"✓"),SUMPRODUCT(($AM$11:$AM3954&lt;&gt;"")*($AS$11:$AS3954&lt;&gt;"✓")),"")</f>
        <v/>
      </c>
      <c r="AZ3954" s="21" t="str">
        <f>IF(AND($AM3954&lt;&gt;"",$AS3954="✓"),SUMPRODUCT(($AM$11:$AM3954&lt;&gt;"")*($AS$11:$AS3954="✓")),"")</f>
        <v/>
      </c>
      <c r="BA3954" s="21" t="str">
        <f>IF($AL3954="","",$AL3954&amp;"|"&amp;COUNTIF($AL$11:$AL3954,$AL3954))</f>
        <v/>
      </c>
    </row>
    <row r="3955" spans="38:53" ht="15" customHeight="1" x14ac:dyDescent="0.25">
      <c r="AL3955" s="17"/>
      <c r="AM3955" s="12"/>
      <c r="AN3955" s="18"/>
      <c r="AO3955" s="18"/>
      <c r="AP3955" s="10"/>
      <c r="AQ3955" s="10"/>
      <c r="AR3955" s="19"/>
      <c r="AS3955" s="20"/>
      <c r="AT3955" s="19"/>
      <c r="AV3955" s="21">
        <f>IF(AND($AL3955&lt;&gt;"",COUNTIF($AL$11:$AL3955,$AL3955)=1),1,0)</f>
        <v>0</v>
      </c>
      <c r="AW3955" s="21">
        <f t="shared" si="209"/>
        <v>0</v>
      </c>
      <c r="AX3955" s="21" t="str">
        <f t="shared" si="208"/>
        <v/>
      </c>
      <c r="AY3955" s="21" t="str">
        <f>IF(AND($AM3955&lt;&gt;"",$AS3955&lt;&gt;"✓"),SUMPRODUCT(($AM$11:$AM3955&lt;&gt;"")*($AS$11:$AS3955&lt;&gt;"✓")),"")</f>
        <v/>
      </c>
      <c r="AZ3955" s="21" t="str">
        <f>IF(AND($AM3955&lt;&gt;"",$AS3955="✓"),SUMPRODUCT(($AM$11:$AM3955&lt;&gt;"")*($AS$11:$AS3955="✓")),"")</f>
        <v/>
      </c>
      <c r="BA3955" s="21" t="str">
        <f>IF($AL3955="","",$AL3955&amp;"|"&amp;COUNTIF($AL$11:$AL3955,$AL3955))</f>
        <v/>
      </c>
    </row>
    <row r="3956" spans="38:53" ht="15" customHeight="1" x14ac:dyDescent="0.25">
      <c r="AL3956" s="31"/>
      <c r="AM3956" s="26"/>
      <c r="AN3956" s="32"/>
      <c r="AO3956" s="32"/>
      <c r="AP3956" s="24"/>
      <c r="AQ3956" s="24"/>
      <c r="AR3956" s="33"/>
      <c r="AS3956" s="34"/>
      <c r="AT3956" s="33"/>
      <c r="AV3956" s="21">
        <f>IF(AND($AL3956&lt;&gt;"",COUNTIF($AL$11:$AL3956,$AL3956)=1),1,0)</f>
        <v>0</v>
      </c>
      <c r="AW3956" s="21">
        <f t="shared" si="209"/>
        <v>0</v>
      </c>
      <c r="AX3956" s="21" t="str">
        <f t="shared" si="208"/>
        <v/>
      </c>
      <c r="AY3956" s="21" t="str">
        <f>IF(AND($AM3956&lt;&gt;"",$AS3956&lt;&gt;"✓"),SUMPRODUCT(($AM$11:$AM3956&lt;&gt;"")*($AS$11:$AS3956&lt;&gt;"✓")),"")</f>
        <v/>
      </c>
      <c r="AZ3956" s="21" t="str">
        <f>IF(AND($AM3956&lt;&gt;"",$AS3956="✓"),SUMPRODUCT(($AM$11:$AM3956&lt;&gt;"")*($AS$11:$AS3956="✓")),"")</f>
        <v/>
      </c>
      <c r="BA3956" s="21" t="str">
        <f>IF($AL3956="","",$AL3956&amp;"|"&amp;COUNTIF($AL$11:$AL3956,$AL3956))</f>
        <v/>
      </c>
    </row>
    <row r="3957" spans="38:53" ht="15" customHeight="1" x14ac:dyDescent="0.25">
      <c r="AL3957" s="17"/>
      <c r="AM3957" s="12"/>
      <c r="AN3957" s="18"/>
      <c r="AO3957" s="18"/>
      <c r="AP3957" s="10"/>
      <c r="AQ3957" s="10"/>
      <c r="AR3957" s="19"/>
      <c r="AS3957" s="20"/>
      <c r="AT3957" s="19"/>
      <c r="AV3957" s="21">
        <f>IF(AND($AL3957&lt;&gt;"",COUNTIF($AL$11:$AL3957,$AL3957)=1),1,0)</f>
        <v>0</v>
      </c>
      <c r="AW3957" s="21">
        <f t="shared" si="209"/>
        <v>0</v>
      </c>
      <c r="AX3957" s="21" t="str">
        <f t="shared" si="208"/>
        <v/>
      </c>
      <c r="AY3957" s="21" t="str">
        <f>IF(AND($AM3957&lt;&gt;"",$AS3957&lt;&gt;"✓"),SUMPRODUCT(($AM$11:$AM3957&lt;&gt;"")*($AS$11:$AS3957&lt;&gt;"✓")),"")</f>
        <v/>
      </c>
      <c r="AZ3957" s="21" t="str">
        <f>IF(AND($AM3957&lt;&gt;"",$AS3957="✓"),SUMPRODUCT(($AM$11:$AM3957&lt;&gt;"")*($AS$11:$AS3957="✓")),"")</f>
        <v/>
      </c>
      <c r="BA3957" s="21" t="str">
        <f>IF($AL3957="","",$AL3957&amp;"|"&amp;COUNTIF($AL$11:$AL3957,$AL3957))</f>
        <v/>
      </c>
    </row>
    <row r="3958" spans="38:53" ht="15" customHeight="1" x14ac:dyDescent="0.25">
      <c r="AL3958" s="31"/>
      <c r="AM3958" s="26"/>
      <c r="AN3958" s="32"/>
      <c r="AO3958" s="32"/>
      <c r="AP3958" s="24"/>
      <c r="AQ3958" s="24"/>
      <c r="AR3958" s="33"/>
      <c r="AS3958" s="34"/>
      <c r="AT3958" s="33"/>
      <c r="AV3958" s="21">
        <f>IF(AND($AL3958&lt;&gt;"",COUNTIF($AL$11:$AL3958,$AL3958)=1),1,0)</f>
        <v>0</v>
      </c>
      <c r="AW3958" s="21">
        <f t="shared" si="209"/>
        <v>0</v>
      </c>
      <c r="AX3958" s="21" t="str">
        <f t="shared" si="208"/>
        <v/>
      </c>
      <c r="AY3958" s="21" t="str">
        <f>IF(AND($AM3958&lt;&gt;"",$AS3958&lt;&gt;"✓"),SUMPRODUCT(($AM$11:$AM3958&lt;&gt;"")*($AS$11:$AS3958&lt;&gt;"✓")),"")</f>
        <v/>
      </c>
      <c r="AZ3958" s="21" t="str">
        <f>IF(AND($AM3958&lt;&gt;"",$AS3958="✓"),SUMPRODUCT(($AM$11:$AM3958&lt;&gt;"")*($AS$11:$AS3958="✓")),"")</f>
        <v/>
      </c>
      <c r="BA3958" s="21" t="str">
        <f>IF($AL3958="","",$AL3958&amp;"|"&amp;COUNTIF($AL$11:$AL3958,$AL3958))</f>
        <v/>
      </c>
    </row>
    <row r="3959" spans="38:53" ht="15" customHeight="1" x14ac:dyDescent="0.25">
      <c r="AL3959" s="17"/>
      <c r="AM3959" s="12"/>
      <c r="AN3959" s="18"/>
      <c r="AO3959" s="18"/>
      <c r="AP3959" s="10"/>
      <c r="AQ3959" s="10"/>
      <c r="AR3959" s="19"/>
      <c r="AS3959" s="20"/>
      <c r="AT3959" s="19"/>
      <c r="AV3959" s="21">
        <f>IF(AND($AL3959&lt;&gt;"",COUNTIF($AL$11:$AL3959,$AL3959)=1),1,0)</f>
        <v>0</v>
      </c>
      <c r="AW3959" s="21">
        <f t="shared" si="209"/>
        <v>0</v>
      </c>
      <c r="AX3959" s="21" t="str">
        <f t="shared" si="208"/>
        <v/>
      </c>
      <c r="AY3959" s="21" t="str">
        <f>IF(AND($AM3959&lt;&gt;"",$AS3959&lt;&gt;"✓"),SUMPRODUCT(($AM$11:$AM3959&lt;&gt;"")*($AS$11:$AS3959&lt;&gt;"✓")),"")</f>
        <v/>
      </c>
      <c r="AZ3959" s="21" t="str">
        <f>IF(AND($AM3959&lt;&gt;"",$AS3959="✓"),SUMPRODUCT(($AM$11:$AM3959&lt;&gt;"")*($AS$11:$AS3959="✓")),"")</f>
        <v/>
      </c>
      <c r="BA3959" s="21" t="str">
        <f>IF($AL3959="","",$AL3959&amp;"|"&amp;COUNTIF($AL$11:$AL3959,$AL3959))</f>
        <v/>
      </c>
    </row>
    <row r="3960" spans="38:53" ht="15" customHeight="1" x14ac:dyDescent="0.25">
      <c r="AL3960" s="31"/>
      <c r="AM3960" s="26"/>
      <c r="AN3960" s="32"/>
      <c r="AO3960" s="32"/>
      <c r="AP3960" s="24"/>
      <c r="AQ3960" s="24"/>
      <c r="AR3960" s="33"/>
      <c r="AS3960" s="34"/>
      <c r="AT3960" s="33"/>
      <c r="AV3960" s="21">
        <f>IF(AND($AL3960&lt;&gt;"",COUNTIF($AL$11:$AL3960,$AL3960)=1),1,0)</f>
        <v>0</v>
      </c>
      <c r="AW3960" s="21">
        <f t="shared" si="209"/>
        <v>0</v>
      </c>
      <c r="AX3960" s="21" t="str">
        <f t="shared" si="208"/>
        <v/>
      </c>
      <c r="AY3960" s="21" t="str">
        <f>IF(AND($AM3960&lt;&gt;"",$AS3960&lt;&gt;"✓"),SUMPRODUCT(($AM$11:$AM3960&lt;&gt;"")*($AS$11:$AS3960&lt;&gt;"✓")),"")</f>
        <v/>
      </c>
      <c r="AZ3960" s="21" t="str">
        <f>IF(AND($AM3960&lt;&gt;"",$AS3960="✓"),SUMPRODUCT(($AM$11:$AM3960&lt;&gt;"")*($AS$11:$AS3960="✓")),"")</f>
        <v/>
      </c>
      <c r="BA3960" s="21" t="str">
        <f>IF($AL3960="","",$AL3960&amp;"|"&amp;COUNTIF($AL$11:$AL3960,$AL3960))</f>
        <v/>
      </c>
    </row>
    <row r="3961" spans="38:53" ht="15" customHeight="1" x14ac:dyDescent="0.25">
      <c r="AL3961" s="17"/>
      <c r="AM3961" s="12"/>
      <c r="AN3961" s="18"/>
      <c r="AO3961" s="18"/>
      <c r="AP3961" s="10"/>
      <c r="AQ3961" s="10"/>
      <c r="AR3961" s="19"/>
      <c r="AS3961" s="20"/>
      <c r="AT3961" s="19"/>
      <c r="AV3961" s="21">
        <f>IF(AND($AL3961&lt;&gt;"",COUNTIF($AL$11:$AL3961,$AL3961)=1),1,0)</f>
        <v>0</v>
      </c>
      <c r="AW3961" s="21">
        <f t="shared" si="209"/>
        <v>0</v>
      </c>
      <c r="AX3961" s="21" t="str">
        <f t="shared" si="208"/>
        <v/>
      </c>
      <c r="AY3961" s="21" t="str">
        <f>IF(AND($AM3961&lt;&gt;"",$AS3961&lt;&gt;"✓"),SUMPRODUCT(($AM$11:$AM3961&lt;&gt;"")*($AS$11:$AS3961&lt;&gt;"✓")),"")</f>
        <v/>
      </c>
      <c r="AZ3961" s="21" t="str">
        <f>IF(AND($AM3961&lt;&gt;"",$AS3961="✓"),SUMPRODUCT(($AM$11:$AM3961&lt;&gt;"")*($AS$11:$AS3961="✓")),"")</f>
        <v/>
      </c>
      <c r="BA3961" s="21" t="str">
        <f>IF($AL3961="","",$AL3961&amp;"|"&amp;COUNTIF($AL$11:$AL3961,$AL3961))</f>
        <v/>
      </c>
    </row>
    <row r="3962" spans="38:53" ht="15" customHeight="1" x14ac:dyDescent="0.25">
      <c r="AL3962" s="31"/>
      <c r="AM3962" s="26"/>
      <c r="AN3962" s="32"/>
      <c r="AO3962" s="32"/>
      <c r="AP3962" s="24"/>
      <c r="AQ3962" s="24"/>
      <c r="AR3962" s="33"/>
      <c r="AS3962" s="34"/>
      <c r="AT3962" s="33"/>
      <c r="AV3962" s="21">
        <f>IF(AND($AL3962&lt;&gt;"",COUNTIF($AL$11:$AL3962,$AL3962)=1),1,0)</f>
        <v>0</v>
      </c>
      <c r="AW3962" s="21">
        <f t="shared" si="209"/>
        <v>0</v>
      </c>
      <c r="AX3962" s="21" t="str">
        <f t="shared" si="208"/>
        <v/>
      </c>
      <c r="AY3962" s="21" t="str">
        <f>IF(AND($AM3962&lt;&gt;"",$AS3962&lt;&gt;"✓"),SUMPRODUCT(($AM$11:$AM3962&lt;&gt;"")*($AS$11:$AS3962&lt;&gt;"✓")),"")</f>
        <v/>
      </c>
      <c r="AZ3962" s="21" t="str">
        <f>IF(AND($AM3962&lt;&gt;"",$AS3962="✓"),SUMPRODUCT(($AM$11:$AM3962&lt;&gt;"")*($AS$11:$AS3962="✓")),"")</f>
        <v/>
      </c>
      <c r="BA3962" s="21" t="str">
        <f>IF($AL3962="","",$AL3962&amp;"|"&amp;COUNTIF($AL$11:$AL3962,$AL3962))</f>
        <v/>
      </c>
    </row>
    <row r="3963" spans="38:53" ht="15" customHeight="1" x14ac:dyDescent="0.25">
      <c r="AL3963" s="17"/>
      <c r="AM3963" s="12"/>
      <c r="AN3963" s="18"/>
      <c r="AO3963" s="18"/>
      <c r="AP3963" s="10"/>
      <c r="AQ3963" s="10"/>
      <c r="AR3963" s="19"/>
      <c r="AS3963" s="20"/>
      <c r="AT3963" s="19"/>
      <c r="AV3963" s="21">
        <f>IF(AND($AL3963&lt;&gt;"",COUNTIF($AL$11:$AL3963,$AL3963)=1),1,0)</f>
        <v>0</v>
      </c>
      <c r="AW3963" s="21">
        <f t="shared" si="209"/>
        <v>0</v>
      </c>
      <c r="AX3963" s="21" t="str">
        <f t="shared" si="208"/>
        <v/>
      </c>
      <c r="AY3963" s="21" t="str">
        <f>IF(AND($AM3963&lt;&gt;"",$AS3963&lt;&gt;"✓"),SUMPRODUCT(($AM$11:$AM3963&lt;&gt;"")*($AS$11:$AS3963&lt;&gt;"✓")),"")</f>
        <v/>
      </c>
      <c r="AZ3963" s="21" t="str">
        <f>IF(AND($AM3963&lt;&gt;"",$AS3963="✓"),SUMPRODUCT(($AM$11:$AM3963&lt;&gt;"")*($AS$11:$AS3963="✓")),"")</f>
        <v/>
      </c>
      <c r="BA3963" s="21" t="str">
        <f>IF($AL3963="","",$AL3963&amp;"|"&amp;COUNTIF($AL$11:$AL3963,$AL3963))</f>
        <v/>
      </c>
    </row>
    <row r="3964" spans="38:53" ht="15" customHeight="1" x14ac:dyDescent="0.25">
      <c r="AL3964" s="31"/>
      <c r="AM3964" s="26"/>
      <c r="AN3964" s="32"/>
      <c r="AO3964" s="32"/>
      <c r="AP3964" s="24"/>
      <c r="AQ3964" s="24"/>
      <c r="AR3964" s="33"/>
      <c r="AS3964" s="34"/>
      <c r="AT3964" s="33"/>
      <c r="AV3964" s="21">
        <f>IF(AND($AL3964&lt;&gt;"",COUNTIF($AL$11:$AL3964,$AL3964)=1),1,0)</f>
        <v>0</v>
      </c>
      <c r="AW3964" s="21">
        <f t="shared" si="209"/>
        <v>0</v>
      </c>
      <c r="AX3964" s="21" t="str">
        <f t="shared" si="208"/>
        <v/>
      </c>
      <c r="AY3964" s="21" t="str">
        <f>IF(AND($AM3964&lt;&gt;"",$AS3964&lt;&gt;"✓"),SUMPRODUCT(($AM$11:$AM3964&lt;&gt;"")*($AS$11:$AS3964&lt;&gt;"✓")),"")</f>
        <v/>
      </c>
      <c r="AZ3964" s="21" t="str">
        <f>IF(AND($AM3964&lt;&gt;"",$AS3964="✓"),SUMPRODUCT(($AM$11:$AM3964&lt;&gt;"")*($AS$11:$AS3964="✓")),"")</f>
        <v/>
      </c>
      <c r="BA3964" s="21" t="str">
        <f>IF($AL3964="","",$AL3964&amp;"|"&amp;COUNTIF($AL$11:$AL3964,$AL3964))</f>
        <v/>
      </c>
    </row>
    <row r="3965" spans="38:53" ht="15" customHeight="1" x14ac:dyDescent="0.25">
      <c r="AL3965" s="17"/>
      <c r="AM3965" s="12"/>
      <c r="AN3965" s="18"/>
      <c r="AO3965" s="18"/>
      <c r="AP3965" s="10"/>
      <c r="AQ3965" s="10"/>
      <c r="AR3965" s="19"/>
      <c r="AS3965" s="20"/>
      <c r="AT3965" s="19"/>
      <c r="AV3965" s="21">
        <f>IF(AND($AL3965&lt;&gt;"",COUNTIF($AL$11:$AL3965,$AL3965)=1),1,0)</f>
        <v>0</v>
      </c>
      <c r="AW3965" s="21">
        <f t="shared" si="209"/>
        <v>0</v>
      </c>
      <c r="AX3965" s="21" t="str">
        <f t="shared" si="208"/>
        <v/>
      </c>
      <c r="AY3965" s="21" t="str">
        <f>IF(AND($AM3965&lt;&gt;"",$AS3965&lt;&gt;"✓"),SUMPRODUCT(($AM$11:$AM3965&lt;&gt;"")*($AS$11:$AS3965&lt;&gt;"✓")),"")</f>
        <v/>
      </c>
      <c r="AZ3965" s="21" t="str">
        <f>IF(AND($AM3965&lt;&gt;"",$AS3965="✓"),SUMPRODUCT(($AM$11:$AM3965&lt;&gt;"")*($AS$11:$AS3965="✓")),"")</f>
        <v/>
      </c>
      <c r="BA3965" s="21" t="str">
        <f>IF($AL3965="","",$AL3965&amp;"|"&amp;COUNTIF($AL$11:$AL3965,$AL3965))</f>
        <v/>
      </c>
    </row>
    <row r="3966" spans="38:53" ht="15" customHeight="1" x14ac:dyDescent="0.25">
      <c r="AL3966" s="31"/>
      <c r="AM3966" s="26"/>
      <c r="AN3966" s="32"/>
      <c r="AO3966" s="32"/>
      <c r="AP3966" s="24"/>
      <c r="AQ3966" s="24"/>
      <c r="AR3966" s="33"/>
      <c r="AS3966" s="34"/>
      <c r="AT3966" s="33"/>
      <c r="AV3966" s="21">
        <f>IF(AND($AL3966&lt;&gt;"",COUNTIF($AL$11:$AL3966,$AL3966)=1),1,0)</f>
        <v>0</v>
      </c>
      <c r="AW3966" s="21">
        <f t="shared" si="209"/>
        <v>0</v>
      </c>
      <c r="AX3966" s="21" t="str">
        <f t="shared" si="208"/>
        <v/>
      </c>
      <c r="AY3966" s="21" t="str">
        <f>IF(AND($AM3966&lt;&gt;"",$AS3966&lt;&gt;"✓"),SUMPRODUCT(($AM$11:$AM3966&lt;&gt;"")*($AS$11:$AS3966&lt;&gt;"✓")),"")</f>
        <v/>
      </c>
      <c r="AZ3966" s="21" t="str">
        <f>IF(AND($AM3966&lt;&gt;"",$AS3966="✓"),SUMPRODUCT(($AM$11:$AM3966&lt;&gt;"")*($AS$11:$AS3966="✓")),"")</f>
        <v/>
      </c>
      <c r="BA3966" s="21" t="str">
        <f>IF($AL3966="","",$AL3966&amp;"|"&amp;COUNTIF($AL$11:$AL3966,$AL3966))</f>
        <v/>
      </c>
    </row>
    <row r="3967" spans="38:53" ht="15" customHeight="1" x14ac:dyDescent="0.25">
      <c r="AL3967" s="17"/>
      <c r="AM3967" s="12"/>
      <c r="AN3967" s="18"/>
      <c r="AO3967" s="18"/>
      <c r="AP3967" s="10"/>
      <c r="AQ3967" s="10"/>
      <c r="AR3967" s="19"/>
      <c r="AS3967" s="20"/>
      <c r="AT3967" s="19"/>
      <c r="AV3967" s="21">
        <f>IF(AND($AL3967&lt;&gt;"",COUNTIF($AL$11:$AL3967,$AL3967)=1),1,0)</f>
        <v>0</v>
      </c>
      <c r="AW3967" s="21">
        <f t="shared" si="209"/>
        <v>0</v>
      </c>
      <c r="AX3967" s="21" t="str">
        <f t="shared" si="208"/>
        <v/>
      </c>
      <c r="AY3967" s="21" t="str">
        <f>IF(AND($AM3967&lt;&gt;"",$AS3967&lt;&gt;"✓"),SUMPRODUCT(($AM$11:$AM3967&lt;&gt;"")*($AS$11:$AS3967&lt;&gt;"✓")),"")</f>
        <v/>
      </c>
      <c r="AZ3967" s="21" t="str">
        <f>IF(AND($AM3967&lt;&gt;"",$AS3967="✓"),SUMPRODUCT(($AM$11:$AM3967&lt;&gt;"")*($AS$11:$AS3967="✓")),"")</f>
        <v/>
      </c>
      <c r="BA3967" s="21" t="str">
        <f>IF($AL3967="","",$AL3967&amp;"|"&amp;COUNTIF($AL$11:$AL3967,$AL3967))</f>
        <v/>
      </c>
    </row>
    <row r="3968" spans="38:53" ht="15" customHeight="1" x14ac:dyDescent="0.25">
      <c r="AL3968" s="31"/>
      <c r="AM3968" s="26"/>
      <c r="AN3968" s="32"/>
      <c r="AO3968" s="32"/>
      <c r="AP3968" s="24"/>
      <c r="AQ3968" s="24"/>
      <c r="AR3968" s="33"/>
      <c r="AS3968" s="34"/>
      <c r="AT3968" s="33"/>
      <c r="AV3968" s="21">
        <f>IF(AND($AL3968&lt;&gt;"",COUNTIF($AL$11:$AL3968,$AL3968)=1),1,0)</f>
        <v>0</v>
      </c>
      <c r="AW3968" s="21">
        <f t="shared" si="209"/>
        <v>0</v>
      </c>
      <c r="AX3968" s="21" t="str">
        <f t="shared" si="208"/>
        <v/>
      </c>
      <c r="AY3968" s="21" t="str">
        <f>IF(AND($AM3968&lt;&gt;"",$AS3968&lt;&gt;"✓"),SUMPRODUCT(($AM$11:$AM3968&lt;&gt;"")*($AS$11:$AS3968&lt;&gt;"✓")),"")</f>
        <v/>
      </c>
      <c r="AZ3968" s="21" t="str">
        <f>IF(AND($AM3968&lt;&gt;"",$AS3968="✓"),SUMPRODUCT(($AM$11:$AM3968&lt;&gt;"")*($AS$11:$AS3968="✓")),"")</f>
        <v/>
      </c>
      <c r="BA3968" s="21" t="str">
        <f>IF($AL3968="","",$AL3968&amp;"|"&amp;COUNTIF($AL$11:$AL3968,$AL3968))</f>
        <v/>
      </c>
    </row>
    <row r="3969" spans="38:53" ht="15" customHeight="1" x14ac:dyDescent="0.25">
      <c r="AL3969" s="17"/>
      <c r="AM3969" s="12"/>
      <c r="AN3969" s="18"/>
      <c r="AO3969" s="18"/>
      <c r="AP3969" s="10"/>
      <c r="AQ3969" s="10"/>
      <c r="AR3969" s="19"/>
      <c r="AS3969" s="20"/>
      <c r="AT3969" s="19"/>
      <c r="AV3969" s="21">
        <f>IF(AND($AL3969&lt;&gt;"",COUNTIF($AL$11:$AL3969,$AL3969)=1),1,0)</f>
        <v>0</v>
      </c>
      <c r="AW3969" s="21">
        <f t="shared" si="209"/>
        <v>0</v>
      </c>
      <c r="AX3969" s="21" t="str">
        <f t="shared" si="208"/>
        <v/>
      </c>
      <c r="AY3969" s="21" t="str">
        <f>IF(AND($AM3969&lt;&gt;"",$AS3969&lt;&gt;"✓"),SUMPRODUCT(($AM$11:$AM3969&lt;&gt;"")*($AS$11:$AS3969&lt;&gt;"✓")),"")</f>
        <v/>
      </c>
      <c r="AZ3969" s="21" t="str">
        <f>IF(AND($AM3969&lt;&gt;"",$AS3969="✓"),SUMPRODUCT(($AM$11:$AM3969&lt;&gt;"")*($AS$11:$AS3969="✓")),"")</f>
        <v/>
      </c>
      <c r="BA3969" s="21" t="str">
        <f>IF($AL3969="","",$AL3969&amp;"|"&amp;COUNTIF($AL$11:$AL3969,$AL3969))</f>
        <v/>
      </c>
    </row>
    <row r="3970" spans="38:53" ht="15" customHeight="1" x14ac:dyDescent="0.25">
      <c r="AL3970" s="31"/>
      <c r="AM3970" s="26"/>
      <c r="AN3970" s="32"/>
      <c r="AO3970" s="32"/>
      <c r="AP3970" s="24"/>
      <c r="AQ3970" s="24"/>
      <c r="AR3970" s="33"/>
      <c r="AS3970" s="34"/>
      <c r="AT3970" s="33"/>
      <c r="AV3970" s="21">
        <f>IF(AND($AL3970&lt;&gt;"",COUNTIF($AL$11:$AL3970,$AL3970)=1),1,0)</f>
        <v>0</v>
      </c>
      <c r="AW3970" s="21">
        <f t="shared" si="209"/>
        <v>0</v>
      </c>
      <c r="AX3970" s="21" t="str">
        <f t="shared" si="208"/>
        <v/>
      </c>
      <c r="AY3970" s="21" t="str">
        <f>IF(AND($AM3970&lt;&gt;"",$AS3970&lt;&gt;"✓"),SUMPRODUCT(($AM$11:$AM3970&lt;&gt;"")*($AS$11:$AS3970&lt;&gt;"✓")),"")</f>
        <v/>
      </c>
      <c r="AZ3970" s="21" t="str">
        <f>IF(AND($AM3970&lt;&gt;"",$AS3970="✓"),SUMPRODUCT(($AM$11:$AM3970&lt;&gt;"")*($AS$11:$AS3970="✓")),"")</f>
        <v/>
      </c>
      <c r="BA3970" s="21" t="str">
        <f>IF($AL3970="","",$AL3970&amp;"|"&amp;COUNTIF($AL$11:$AL3970,$AL3970))</f>
        <v/>
      </c>
    </row>
    <row r="3971" spans="38:53" ht="15" customHeight="1" x14ac:dyDescent="0.25">
      <c r="AL3971" s="17"/>
      <c r="AM3971" s="12"/>
      <c r="AN3971" s="18"/>
      <c r="AO3971" s="18"/>
      <c r="AP3971" s="10"/>
      <c r="AQ3971" s="10"/>
      <c r="AR3971" s="19"/>
      <c r="AS3971" s="20"/>
      <c r="AT3971" s="19"/>
      <c r="AV3971" s="21">
        <f>IF(AND($AL3971&lt;&gt;"",COUNTIF($AL$11:$AL3971,$AL3971)=1),1,0)</f>
        <v>0</v>
      </c>
      <c r="AW3971" s="21">
        <f t="shared" si="209"/>
        <v>0</v>
      </c>
      <c r="AX3971" s="21" t="str">
        <f t="shared" si="208"/>
        <v/>
      </c>
      <c r="AY3971" s="21" t="str">
        <f>IF(AND($AM3971&lt;&gt;"",$AS3971&lt;&gt;"✓"),SUMPRODUCT(($AM$11:$AM3971&lt;&gt;"")*($AS$11:$AS3971&lt;&gt;"✓")),"")</f>
        <v/>
      </c>
      <c r="AZ3971" s="21" t="str">
        <f>IF(AND($AM3971&lt;&gt;"",$AS3971="✓"),SUMPRODUCT(($AM$11:$AM3971&lt;&gt;"")*($AS$11:$AS3971="✓")),"")</f>
        <v/>
      </c>
      <c r="BA3971" s="21" t="str">
        <f>IF($AL3971="","",$AL3971&amp;"|"&amp;COUNTIF($AL$11:$AL3971,$AL3971))</f>
        <v/>
      </c>
    </row>
    <row r="3972" spans="38:53" ht="15" customHeight="1" x14ac:dyDescent="0.25">
      <c r="AL3972" s="31"/>
      <c r="AM3972" s="26"/>
      <c r="AN3972" s="32"/>
      <c r="AO3972" s="32"/>
      <c r="AP3972" s="24"/>
      <c r="AQ3972" s="24"/>
      <c r="AR3972" s="33"/>
      <c r="AS3972" s="34"/>
      <c r="AT3972" s="33"/>
      <c r="AV3972" s="21">
        <f>IF(AND($AL3972&lt;&gt;"",COUNTIF($AL$11:$AL3972,$AL3972)=1),1,0)</f>
        <v>0</v>
      </c>
      <c r="AW3972" s="21">
        <f t="shared" si="209"/>
        <v>0</v>
      </c>
      <c r="AX3972" s="21" t="str">
        <f t="shared" si="208"/>
        <v/>
      </c>
      <c r="AY3972" s="21" t="str">
        <f>IF(AND($AM3972&lt;&gt;"",$AS3972&lt;&gt;"✓"),SUMPRODUCT(($AM$11:$AM3972&lt;&gt;"")*($AS$11:$AS3972&lt;&gt;"✓")),"")</f>
        <v/>
      </c>
      <c r="AZ3972" s="21" t="str">
        <f>IF(AND($AM3972&lt;&gt;"",$AS3972="✓"),SUMPRODUCT(($AM$11:$AM3972&lt;&gt;"")*($AS$11:$AS3972="✓")),"")</f>
        <v/>
      </c>
      <c r="BA3972" s="21" t="str">
        <f>IF($AL3972="","",$AL3972&amp;"|"&amp;COUNTIF($AL$11:$AL3972,$AL3972))</f>
        <v/>
      </c>
    </row>
    <row r="3973" spans="38:53" ht="15" customHeight="1" x14ac:dyDescent="0.25">
      <c r="AL3973" s="17"/>
      <c r="AM3973" s="12"/>
      <c r="AN3973" s="18"/>
      <c r="AO3973" s="18"/>
      <c r="AP3973" s="10"/>
      <c r="AQ3973" s="10"/>
      <c r="AR3973" s="19"/>
      <c r="AS3973" s="20"/>
      <c r="AT3973" s="19"/>
      <c r="AV3973" s="21">
        <f>IF(AND($AL3973&lt;&gt;"",COUNTIF($AL$11:$AL3973,$AL3973)=1),1,0)</f>
        <v>0</v>
      </c>
      <c r="AW3973" s="21">
        <f t="shared" si="209"/>
        <v>0</v>
      </c>
      <c r="AX3973" s="21" t="str">
        <f t="shared" si="208"/>
        <v/>
      </c>
      <c r="AY3973" s="21" t="str">
        <f>IF(AND($AM3973&lt;&gt;"",$AS3973&lt;&gt;"✓"),SUMPRODUCT(($AM$11:$AM3973&lt;&gt;"")*($AS$11:$AS3973&lt;&gt;"✓")),"")</f>
        <v/>
      </c>
      <c r="AZ3973" s="21" t="str">
        <f>IF(AND($AM3973&lt;&gt;"",$AS3973="✓"),SUMPRODUCT(($AM$11:$AM3973&lt;&gt;"")*($AS$11:$AS3973="✓")),"")</f>
        <v/>
      </c>
      <c r="BA3973" s="21" t="str">
        <f>IF($AL3973="","",$AL3973&amp;"|"&amp;COUNTIF($AL$11:$AL3973,$AL3973))</f>
        <v/>
      </c>
    </row>
    <row r="3974" spans="38:53" ht="15" customHeight="1" x14ac:dyDescent="0.25">
      <c r="AL3974" s="31"/>
      <c r="AM3974" s="26"/>
      <c r="AN3974" s="32"/>
      <c r="AO3974" s="32"/>
      <c r="AP3974" s="24"/>
      <c r="AQ3974" s="24"/>
      <c r="AR3974" s="33"/>
      <c r="AS3974" s="34"/>
      <c r="AT3974" s="33"/>
      <c r="AV3974" s="21">
        <f>IF(AND($AL3974&lt;&gt;"",COUNTIF($AL$11:$AL3974,$AL3974)=1),1,0)</f>
        <v>0</v>
      </c>
      <c r="AW3974" s="21">
        <f t="shared" si="209"/>
        <v>0</v>
      </c>
      <c r="AX3974" s="21" t="str">
        <f t="shared" si="208"/>
        <v/>
      </c>
      <c r="AY3974" s="21" t="str">
        <f>IF(AND($AM3974&lt;&gt;"",$AS3974&lt;&gt;"✓"),SUMPRODUCT(($AM$11:$AM3974&lt;&gt;"")*($AS$11:$AS3974&lt;&gt;"✓")),"")</f>
        <v/>
      </c>
      <c r="AZ3974" s="21" t="str">
        <f>IF(AND($AM3974&lt;&gt;"",$AS3974="✓"),SUMPRODUCT(($AM$11:$AM3974&lt;&gt;"")*($AS$11:$AS3974="✓")),"")</f>
        <v/>
      </c>
      <c r="BA3974" s="21" t="str">
        <f>IF($AL3974="","",$AL3974&amp;"|"&amp;COUNTIF($AL$11:$AL3974,$AL3974))</f>
        <v/>
      </c>
    </row>
    <row r="3975" spans="38:53" ht="15" customHeight="1" x14ac:dyDescent="0.25">
      <c r="AL3975" s="17"/>
      <c r="AM3975" s="12"/>
      <c r="AN3975" s="18"/>
      <c r="AO3975" s="18"/>
      <c r="AP3975" s="10"/>
      <c r="AQ3975" s="10"/>
      <c r="AR3975" s="19"/>
      <c r="AS3975" s="20"/>
      <c r="AT3975" s="19"/>
      <c r="AV3975" s="21">
        <f>IF(AND($AL3975&lt;&gt;"",COUNTIF($AL$11:$AL3975,$AL3975)=1),1,0)</f>
        <v>0</v>
      </c>
      <c r="AW3975" s="21">
        <f t="shared" si="209"/>
        <v>0</v>
      </c>
      <c r="AX3975" s="21" t="str">
        <f t="shared" si="208"/>
        <v/>
      </c>
      <c r="AY3975" s="21" t="str">
        <f>IF(AND($AM3975&lt;&gt;"",$AS3975&lt;&gt;"✓"),SUMPRODUCT(($AM$11:$AM3975&lt;&gt;"")*($AS$11:$AS3975&lt;&gt;"✓")),"")</f>
        <v/>
      </c>
      <c r="AZ3975" s="21" t="str">
        <f>IF(AND($AM3975&lt;&gt;"",$AS3975="✓"),SUMPRODUCT(($AM$11:$AM3975&lt;&gt;"")*($AS$11:$AS3975="✓")),"")</f>
        <v/>
      </c>
      <c r="BA3975" s="21" t="str">
        <f>IF($AL3975="","",$AL3975&amp;"|"&amp;COUNTIF($AL$11:$AL3975,$AL3975))</f>
        <v/>
      </c>
    </row>
    <row r="3976" spans="38:53" ht="15" customHeight="1" x14ac:dyDescent="0.25">
      <c r="AL3976" s="31"/>
      <c r="AM3976" s="26"/>
      <c r="AN3976" s="32"/>
      <c r="AO3976" s="32"/>
      <c r="AP3976" s="24"/>
      <c r="AQ3976" s="24"/>
      <c r="AR3976" s="33"/>
      <c r="AS3976" s="34"/>
      <c r="AT3976" s="33"/>
      <c r="AV3976" s="21">
        <f>IF(AND($AL3976&lt;&gt;"",COUNTIF($AL$11:$AL3976,$AL3976)=1),1,0)</f>
        <v>0</v>
      </c>
      <c r="AW3976" s="21">
        <f t="shared" si="209"/>
        <v>0</v>
      </c>
      <c r="AX3976" s="21" t="str">
        <f t="shared" si="208"/>
        <v/>
      </c>
      <c r="AY3976" s="21" t="str">
        <f>IF(AND($AM3976&lt;&gt;"",$AS3976&lt;&gt;"✓"),SUMPRODUCT(($AM$11:$AM3976&lt;&gt;"")*($AS$11:$AS3976&lt;&gt;"✓")),"")</f>
        <v/>
      </c>
      <c r="AZ3976" s="21" t="str">
        <f>IF(AND($AM3976&lt;&gt;"",$AS3976="✓"),SUMPRODUCT(($AM$11:$AM3976&lt;&gt;"")*($AS$11:$AS3976="✓")),"")</f>
        <v/>
      </c>
      <c r="BA3976" s="21" t="str">
        <f>IF($AL3976="","",$AL3976&amp;"|"&amp;COUNTIF($AL$11:$AL3976,$AL3976))</f>
        <v/>
      </c>
    </row>
    <row r="3977" spans="38:53" ht="15" customHeight="1" x14ac:dyDescent="0.25">
      <c r="AL3977" s="17"/>
      <c r="AM3977" s="12"/>
      <c r="AN3977" s="18"/>
      <c r="AO3977" s="18"/>
      <c r="AP3977" s="10"/>
      <c r="AQ3977" s="10"/>
      <c r="AR3977" s="19"/>
      <c r="AS3977" s="20"/>
      <c r="AT3977" s="19"/>
      <c r="AV3977" s="21">
        <f>IF(AND($AL3977&lt;&gt;"",COUNTIF($AL$11:$AL3977,$AL3977)=1),1,0)</f>
        <v>0</v>
      </c>
      <c r="AW3977" s="21">
        <f t="shared" si="209"/>
        <v>0</v>
      </c>
      <c r="AX3977" s="21" t="str">
        <f t="shared" si="208"/>
        <v/>
      </c>
      <c r="AY3977" s="21" t="str">
        <f>IF(AND($AM3977&lt;&gt;"",$AS3977&lt;&gt;"✓"),SUMPRODUCT(($AM$11:$AM3977&lt;&gt;"")*($AS$11:$AS3977&lt;&gt;"✓")),"")</f>
        <v/>
      </c>
      <c r="AZ3977" s="21" t="str">
        <f>IF(AND($AM3977&lt;&gt;"",$AS3977="✓"),SUMPRODUCT(($AM$11:$AM3977&lt;&gt;"")*($AS$11:$AS3977="✓")),"")</f>
        <v/>
      </c>
      <c r="BA3977" s="21" t="str">
        <f>IF($AL3977="","",$AL3977&amp;"|"&amp;COUNTIF($AL$11:$AL3977,$AL3977))</f>
        <v/>
      </c>
    </row>
    <row r="3978" spans="38:53" ht="15" customHeight="1" x14ac:dyDescent="0.25">
      <c r="AL3978" s="31"/>
      <c r="AM3978" s="26"/>
      <c r="AN3978" s="32"/>
      <c r="AO3978" s="32"/>
      <c r="AP3978" s="24"/>
      <c r="AQ3978" s="24"/>
      <c r="AR3978" s="33"/>
      <c r="AS3978" s="34"/>
      <c r="AT3978" s="33"/>
      <c r="AV3978" s="21">
        <f>IF(AND($AL3978&lt;&gt;"",COUNTIF($AL$11:$AL3978,$AL3978)=1),1,0)</f>
        <v>0</v>
      </c>
      <c r="AW3978" s="21">
        <f t="shared" si="209"/>
        <v>0</v>
      </c>
      <c r="AX3978" s="21" t="str">
        <f t="shared" si="208"/>
        <v/>
      </c>
      <c r="AY3978" s="21" t="str">
        <f>IF(AND($AM3978&lt;&gt;"",$AS3978&lt;&gt;"✓"),SUMPRODUCT(($AM$11:$AM3978&lt;&gt;"")*($AS$11:$AS3978&lt;&gt;"✓")),"")</f>
        <v/>
      </c>
      <c r="AZ3978" s="21" t="str">
        <f>IF(AND($AM3978&lt;&gt;"",$AS3978="✓"),SUMPRODUCT(($AM$11:$AM3978&lt;&gt;"")*($AS$11:$AS3978="✓")),"")</f>
        <v/>
      </c>
      <c r="BA3978" s="21" t="str">
        <f>IF($AL3978="","",$AL3978&amp;"|"&amp;COUNTIF($AL$11:$AL3978,$AL3978))</f>
        <v/>
      </c>
    </row>
    <row r="3979" spans="38:53" ht="15" customHeight="1" x14ac:dyDescent="0.25">
      <c r="AL3979" s="17"/>
      <c r="AM3979" s="12"/>
      <c r="AN3979" s="18"/>
      <c r="AO3979" s="18"/>
      <c r="AP3979" s="10"/>
      <c r="AQ3979" s="10"/>
      <c r="AR3979" s="19"/>
      <c r="AS3979" s="20"/>
      <c r="AT3979" s="19"/>
      <c r="AV3979" s="21">
        <f>IF(AND($AL3979&lt;&gt;"",COUNTIF($AL$11:$AL3979,$AL3979)=1),1,0)</f>
        <v>0</v>
      </c>
      <c r="AW3979" s="21">
        <f t="shared" si="209"/>
        <v>0</v>
      </c>
      <c r="AX3979" s="21" t="str">
        <f t="shared" ref="AX3979:AX4042" si="210">IF(AV3979=1,AW3979,"")</f>
        <v/>
      </c>
      <c r="AY3979" s="21" t="str">
        <f>IF(AND($AM3979&lt;&gt;"",$AS3979&lt;&gt;"✓"),SUMPRODUCT(($AM$11:$AM3979&lt;&gt;"")*($AS$11:$AS3979&lt;&gt;"✓")),"")</f>
        <v/>
      </c>
      <c r="AZ3979" s="21" t="str">
        <f>IF(AND($AM3979&lt;&gt;"",$AS3979="✓"),SUMPRODUCT(($AM$11:$AM3979&lt;&gt;"")*($AS$11:$AS3979="✓")),"")</f>
        <v/>
      </c>
      <c r="BA3979" s="21" t="str">
        <f>IF($AL3979="","",$AL3979&amp;"|"&amp;COUNTIF($AL$11:$AL3979,$AL3979))</f>
        <v/>
      </c>
    </row>
    <row r="3980" spans="38:53" ht="15" customHeight="1" x14ac:dyDescent="0.25">
      <c r="AL3980" s="31"/>
      <c r="AM3980" s="26"/>
      <c r="AN3980" s="32"/>
      <c r="AO3980" s="32"/>
      <c r="AP3980" s="24"/>
      <c r="AQ3980" s="24"/>
      <c r="AR3980" s="33"/>
      <c r="AS3980" s="34"/>
      <c r="AT3980" s="33"/>
      <c r="AV3980" s="21">
        <f>IF(AND($AL3980&lt;&gt;"",COUNTIF($AL$11:$AL3980,$AL3980)=1),1,0)</f>
        <v>0</v>
      </c>
      <c r="AW3980" s="21">
        <f t="shared" ref="AW3980:AW4043" si="211">AW3979+AV3980</f>
        <v>0</v>
      </c>
      <c r="AX3980" s="21" t="str">
        <f t="shared" si="210"/>
        <v/>
      </c>
      <c r="AY3980" s="21" t="str">
        <f>IF(AND($AM3980&lt;&gt;"",$AS3980&lt;&gt;"✓"),SUMPRODUCT(($AM$11:$AM3980&lt;&gt;"")*($AS$11:$AS3980&lt;&gt;"✓")),"")</f>
        <v/>
      </c>
      <c r="AZ3980" s="21" t="str">
        <f>IF(AND($AM3980&lt;&gt;"",$AS3980="✓"),SUMPRODUCT(($AM$11:$AM3980&lt;&gt;"")*($AS$11:$AS3980="✓")),"")</f>
        <v/>
      </c>
      <c r="BA3980" s="21" t="str">
        <f>IF($AL3980="","",$AL3980&amp;"|"&amp;COUNTIF($AL$11:$AL3980,$AL3980))</f>
        <v/>
      </c>
    </row>
    <row r="3981" spans="38:53" ht="15" customHeight="1" x14ac:dyDescent="0.25">
      <c r="AL3981" s="17"/>
      <c r="AM3981" s="12"/>
      <c r="AN3981" s="18"/>
      <c r="AO3981" s="18"/>
      <c r="AP3981" s="10"/>
      <c r="AQ3981" s="10"/>
      <c r="AR3981" s="19"/>
      <c r="AS3981" s="20"/>
      <c r="AT3981" s="19"/>
      <c r="AV3981" s="21">
        <f>IF(AND($AL3981&lt;&gt;"",COUNTIF($AL$11:$AL3981,$AL3981)=1),1,0)</f>
        <v>0</v>
      </c>
      <c r="AW3981" s="21">
        <f t="shared" si="211"/>
        <v>0</v>
      </c>
      <c r="AX3981" s="21" t="str">
        <f t="shared" si="210"/>
        <v/>
      </c>
      <c r="AY3981" s="21" t="str">
        <f>IF(AND($AM3981&lt;&gt;"",$AS3981&lt;&gt;"✓"),SUMPRODUCT(($AM$11:$AM3981&lt;&gt;"")*($AS$11:$AS3981&lt;&gt;"✓")),"")</f>
        <v/>
      </c>
      <c r="AZ3981" s="21" t="str">
        <f>IF(AND($AM3981&lt;&gt;"",$AS3981="✓"),SUMPRODUCT(($AM$11:$AM3981&lt;&gt;"")*($AS$11:$AS3981="✓")),"")</f>
        <v/>
      </c>
      <c r="BA3981" s="21" t="str">
        <f>IF($AL3981="","",$AL3981&amp;"|"&amp;COUNTIF($AL$11:$AL3981,$AL3981))</f>
        <v/>
      </c>
    </row>
    <row r="3982" spans="38:53" ht="15" customHeight="1" x14ac:dyDescent="0.25">
      <c r="AL3982" s="31"/>
      <c r="AM3982" s="26"/>
      <c r="AN3982" s="32"/>
      <c r="AO3982" s="32"/>
      <c r="AP3982" s="24"/>
      <c r="AQ3982" s="24"/>
      <c r="AR3982" s="33"/>
      <c r="AS3982" s="34"/>
      <c r="AT3982" s="33"/>
      <c r="AV3982" s="21">
        <f>IF(AND($AL3982&lt;&gt;"",COUNTIF($AL$11:$AL3982,$AL3982)=1),1,0)</f>
        <v>0</v>
      </c>
      <c r="AW3982" s="21">
        <f t="shared" si="211"/>
        <v>0</v>
      </c>
      <c r="AX3982" s="21" t="str">
        <f t="shared" si="210"/>
        <v/>
      </c>
      <c r="AY3982" s="21" t="str">
        <f>IF(AND($AM3982&lt;&gt;"",$AS3982&lt;&gt;"✓"),SUMPRODUCT(($AM$11:$AM3982&lt;&gt;"")*($AS$11:$AS3982&lt;&gt;"✓")),"")</f>
        <v/>
      </c>
      <c r="AZ3982" s="21" t="str">
        <f>IF(AND($AM3982&lt;&gt;"",$AS3982="✓"),SUMPRODUCT(($AM$11:$AM3982&lt;&gt;"")*($AS$11:$AS3982="✓")),"")</f>
        <v/>
      </c>
      <c r="BA3982" s="21" t="str">
        <f>IF($AL3982="","",$AL3982&amp;"|"&amp;COUNTIF($AL$11:$AL3982,$AL3982))</f>
        <v/>
      </c>
    </row>
    <row r="3983" spans="38:53" ht="15" customHeight="1" x14ac:dyDescent="0.25">
      <c r="AL3983" s="17"/>
      <c r="AM3983" s="12"/>
      <c r="AN3983" s="18"/>
      <c r="AO3983" s="18"/>
      <c r="AP3983" s="10"/>
      <c r="AQ3983" s="10"/>
      <c r="AR3983" s="19"/>
      <c r="AS3983" s="20"/>
      <c r="AT3983" s="19"/>
      <c r="AV3983" s="21">
        <f>IF(AND($AL3983&lt;&gt;"",COUNTIF($AL$11:$AL3983,$AL3983)=1),1,0)</f>
        <v>0</v>
      </c>
      <c r="AW3983" s="21">
        <f t="shared" si="211"/>
        <v>0</v>
      </c>
      <c r="AX3983" s="21" t="str">
        <f t="shared" si="210"/>
        <v/>
      </c>
      <c r="AY3983" s="21" t="str">
        <f>IF(AND($AM3983&lt;&gt;"",$AS3983&lt;&gt;"✓"),SUMPRODUCT(($AM$11:$AM3983&lt;&gt;"")*($AS$11:$AS3983&lt;&gt;"✓")),"")</f>
        <v/>
      </c>
      <c r="AZ3983" s="21" t="str">
        <f>IF(AND($AM3983&lt;&gt;"",$AS3983="✓"),SUMPRODUCT(($AM$11:$AM3983&lt;&gt;"")*($AS$11:$AS3983="✓")),"")</f>
        <v/>
      </c>
      <c r="BA3983" s="21" t="str">
        <f>IF($AL3983="","",$AL3983&amp;"|"&amp;COUNTIF($AL$11:$AL3983,$AL3983))</f>
        <v/>
      </c>
    </row>
    <row r="3984" spans="38:53" ht="15" customHeight="1" x14ac:dyDescent="0.25">
      <c r="AL3984" s="31"/>
      <c r="AM3984" s="26"/>
      <c r="AN3984" s="32"/>
      <c r="AO3984" s="32"/>
      <c r="AP3984" s="24"/>
      <c r="AQ3984" s="24"/>
      <c r="AR3984" s="33"/>
      <c r="AS3984" s="34"/>
      <c r="AT3984" s="33"/>
      <c r="AV3984" s="21">
        <f>IF(AND($AL3984&lt;&gt;"",COUNTIF($AL$11:$AL3984,$AL3984)=1),1,0)</f>
        <v>0</v>
      </c>
      <c r="AW3984" s="21">
        <f t="shared" si="211"/>
        <v>0</v>
      </c>
      <c r="AX3984" s="21" t="str">
        <f t="shared" si="210"/>
        <v/>
      </c>
      <c r="AY3984" s="21" t="str">
        <f>IF(AND($AM3984&lt;&gt;"",$AS3984&lt;&gt;"✓"),SUMPRODUCT(($AM$11:$AM3984&lt;&gt;"")*($AS$11:$AS3984&lt;&gt;"✓")),"")</f>
        <v/>
      </c>
      <c r="AZ3984" s="21" t="str">
        <f>IF(AND($AM3984&lt;&gt;"",$AS3984="✓"),SUMPRODUCT(($AM$11:$AM3984&lt;&gt;"")*($AS$11:$AS3984="✓")),"")</f>
        <v/>
      </c>
      <c r="BA3984" s="21" t="str">
        <f>IF($AL3984="","",$AL3984&amp;"|"&amp;COUNTIF($AL$11:$AL3984,$AL3984))</f>
        <v/>
      </c>
    </row>
    <row r="3985" spans="38:53" ht="15" customHeight="1" x14ac:dyDescent="0.25">
      <c r="AL3985" s="17"/>
      <c r="AM3985" s="12"/>
      <c r="AN3985" s="18"/>
      <c r="AO3985" s="18"/>
      <c r="AP3985" s="10"/>
      <c r="AQ3985" s="10"/>
      <c r="AR3985" s="19"/>
      <c r="AS3985" s="20"/>
      <c r="AT3985" s="19"/>
      <c r="AV3985" s="21">
        <f>IF(AND($AL3985&lt;&gt;"",COUNTIF($AL$11:$AL3985,$AL3985)=1),1,0)</f>
        <v>0</v>
      </c>
      <c r="AW3985" s="21">
        <f t="shared" si="211"/>
        <v>0</v>
      </c>
      <c r="AX3985" s="21" t="str">
        <f t="shared" si="210"/>
        <v/>
      </c>
      <c r="AY3985" s="21" t="str">
        <f>IF(AND($AM3985&lt;&gt;"",$AS3985&lt;&gt;"✓"),SUMPRODUCT(($AM$11:$AM3985&lt;&gt;"")*($AS$11:$AS3985&lt;&gt;"✓")),"")</f>
        <v/>
      </c>
      <c r="AZ3985" s="21" t="str">
        <f>IF(AND($AM3985&lt;&gt;"",$AS3985="✓"),SUMPRODUCT(($AM$11:$AM3985&lt;&gt;"")*($AS$11:$AS3985="✓")),"")</f>
        <v/>
      </c>
      <c r="BA3985" s="21" t="str">
        <f>IF($AL3985="","",$AL3985&amp;"|"&amp;COUNTIF($AL$11:$AL3985,$AL3985))</f>
        <v/>
      </c>
    </row>
    <row r="3986" spans="38:53" ht="15" customHeight="1" x14ac:dyDescent="0.25">
      <c r="AL3986" s="31"/>
      <c r="AM3986" s="26"/>
      <c r="AN3986" s="32"/>
      <c r="AO3986" s="32"/>
      <c r="AP3986" s="24"/>
      <c r="AQ3986" s="24"/>
      <c r="AR3986" s="33"/>
      <c r="AS3986" s="34"/>
      <c r="AT3986" s="33"/>
      <c r="AV3986" s="21">
        <f>IF(AND($AL3986&lt;&gt;"",COUNTIF($AL$11:$AL3986,$AL3986)=1),1,0)</f>
        <v>0</v>
      </c>
      <c r="AW3986" s="21">
        <f t="shared" si="211"/>
        <v>0</v>
      </c>
      <c r="AX3986" s="21" t="str">
        <f t="shared" si="210"/>
        <v/>
      </c>
      <c r="AY3986" s="21" t="str">
        <f>IF(AND($AM3986&lt;&gt;"",$AS3986&lt;&gt;"✓"),SUMPRODUCT(($AM$11:$AM3986&lt;&gt;"")*($AS$11:$AS3986&lt;&gt;"✓")),"")</f>
        <v/>
      </c>
      <c r="AZ3986" s="21" t="str">
        <f>IF(AND($AM3986&lt;&gt;"",$AS3986="✓"),SUMPRODUCT(($AM$11:$AM3986&lt;&gt;"")*($AS$11:$AS3986="✓")),"")</f>
        <v/>
      </c>
      <c r="BA3986" s="21" t="str">
        <f>IF($AL3986="","",$AL3986&amp;"|"&amp;COUNTIF($AL$11:$AL3986,$AL3986))</f>
        <v/>
      </c>
    </row>
    <row r="3987" spans="38:53" ht="15" customHeight="1" x14ac:dyDescent="0.25">
      <c r="AL3987" s="17"/>
      <c r="AM3987" s="12"/>
      <c r="AN3987" s="18"/>
      <c r="AO3987" s="18"/>
      <c r="AP3987" s="10"/>
      <c r="AQ3987" s="10"/>
      <c r="AR3987" s="19"/>
      <c r="AS3987" s="20"/>
      <c r="AT3987" s="19"/>
      <c r="AV3987" s="21">
        <f>IF(AND($AL3987&lt;&gt;"",COUNTIF($AL$11:$AL3987,$AL3987)=1),1,0)</f>
        <v>0</v>
      </c>
      <c r="AW3987" s="21">
        <f t="shared" si="211"/>
        <v>0</v>
      </c>
      <c r="AX3987" s="21" t="str">
        <f t="shared" si="210"/>
        <v/>
      </c>
      <c r="AY3987" s="21" t="str">
        <f>IF(AND($AM3987&lt;&gt;"",$AS3987&lt;&gt;"✓"),SUMPRODUCT(($AM$11:$AM3987&lt;&gt;"")*($AS$11:$AS3987&lt;&gt;"✓")),"")</f>
        <v/>
      </c>
      <c r="AZ3987" s="21" t="str">
        <f>IF(AND($AM3987&lt;&gt;"",$AS3987="✓"),SUMPRODUCT(($AM$11:$AM3987&lt;&gt;"")*($AS$11:$AS3987="✓")),"")</f>
        <v/>
      </c>
      <c r="BA3987" s="21" t="str">
        <f>IF($AL3987="","",$AL3987&amp;"|"&amp;COUNTIF($AL$11:$AL3987,$AL3987))</f>
        <v/>
      </c>
    </row>
    <row r="3988" spans="38:53" ht="15" customHeight="1" x14ac:dyDescent="0.25">
      <c r="AL3988" s="31"/>
      <c r="AM3988" s="26"/>
      <c r="AN3988" s="32"/>
      <c r="AO3988" s="32"/>
      <c r="AP3988" s="24"/>
      <c r="AQ3988" s="24"/>
      <c r="AR3988" s="33"/>
      <c r="AS3988" s="34"/>
      <c r="AT3988" s="33"/>
      <c r="AV3988" s="21">
        <f>IF(AND($AL3988&lt;&gt;"",COUNTIF($AL$11:$AL3988,$AL3988)=1),1,0)</f>
        <v>0</v>
      </c>
      <c r="AW3988" s="21">
        <f t="shared" si="211"/>
        <v>0</v>
      </c>
      <c r="AX3988" s="21" t="str">
        <f t="shared" si="210"/>
        <v/>
      </c>
      <c r="AY3988" s="21" t="str">
        <f>IF(AND($AM3988&lt;&gt;"",$AS3988&lt;&gt;"✓"),SUMPRODUCT(($AM$11:$AM3988&lt;&gt;"")*($AS$11:$AS3988&lt;&gt;"✓")),"")</f>
        <v/>
      </c>
      <c r="AZ3988" s="21" t="str">
        <f>IF(AND($AM3988&lt;&gt;"",$AS3988="✓"),SUMPRODUCT(($AM$11:$AM3988&lt;&gt;"")*($AS$11:$AS3988="✓")),"")</f>
        <v/>
      </c>
      <c r="BA3988" s="21" t="str">
        <f>IF($AL3988="","",$AL3988&amp;"|"&amp;COUNTIF($AL$11:$AL3988,$AL3988))</f>
        <v/>
      </c>
    </row>
    <row r="3989" spans="38:53" ht="15" customHeight="1" x14ac:dyDescent="0.25">
      <c r="AL3989" s="17"/>
      <c r="AM3989" s="12"/>
      <c r="AN3989" s="18"/>
      <c r="AO3989" s="18"/>
      <c r="AP3989" s="10"/>
      <c r="AQ3989" s="10"/>
      <c r="AR3989" s="19"/>
      <c r="AS3989" s="20"/>
      <c r="AT3989" s="19"/>
      <c r="AV3989" s="21">
        <f>IF(AND($AL3989&lt;&gt;"",COUNTIF($AL$11:$AL3989,$AL3989)=1),1,0)</f>
        <v>0</v>
      </c>
      <c r="AW3989" s="21">
        <f t="shared" si="211"/>
        <v>0</v>
      </c>
      <c r="AX3989" s="21" t="str">
        <f t="shared" si="210"/>
        <v/>
      </c>
      <c r="AY3989" s="21" t="str">
        <f>IF(AND($AM3989&lt;&gt;"",$AS3989&lt;&gt;"✓"),SUMPRODUCT(($AM$11:$AM3989&lt;&gt;"")*($AS$11:$AS3989&lt;&gt;"✓")),"")</f>
        <v/>
      </c>
      <c r="AZ3989" s="21" t="str">
        <f>IF(AND($AM3989&lt;&gt;"",$AS3989="✓"),SUMPRODUCT(($AM$11:$AM3989&lt;&gt;"")*($AS$11:$AS3989="✓")),"")</f>
        <v/>
      </c>
      <c r="BA3989" s="21" t="str">
        <f>IF($AL3989="","",$AL3989&amp;"|"&amp;COUNTIF($AL$11:$AL3989,$AL3989))</f>
        <v/>
      </c>
    </row>
    <row r="3990" spans="38:53" ht="15" customHeight="1" x14ac:dyDescent="0.25">
      <c r="AL3990" s="31"/>
      <c r="AM3990" s="26"/>
      <c r="AN3990" s="32"/>
      <c r="AO3990" s="32"/>
      <c r="AP3990" s="24"/>
      <c r="AQ3990" s="24"/>
      <c r="AR3990" s="33"/>
      <c r="AS3990" s="34"/>
      <c r="AT3990" s="33"/>
      <c r="AV3990" s="21">
        <f>IF(AND($AL3990&lt;&gt;"",COUNTIF($AL$11:$AL3990,$AL3990)=1),1,0)</f>
        <v>0</v>
      </c>
      <c r="AW3990" s="21">
        <f t="shared" si="211"/>
        <v>0</v>
      </c>
      <c r="AX3990" s="21" t="str">
        <f t="shared" si="210"/>
        <v/>
      </c>
      <c r="AY3990" s="21" t="str">
        <f>IF(AND($AM3990&lt;&gt;"",$AS3990&lt;&gt;"✓"),SUMPRODUCT(($AM$11:$AM3990&lt;&gt;"")*($AS$11:$AS3990&lt;&gt;"✓")),"")</f>
        <v/>
      </c>
      <c r="AZ3990" s="21" t="str">
        <f>IF(AND($AM3990&lt;&gt;"",$AS3990="✓"),SUMPRODUCT(($AM$11:$AM3990&lt;&gt;"")*($AS$11:$AS3990="✓")),"")</f>
        <v/>
      </c>
      <c r="BA3990" s="21" t="str">
        <f>IF($AL3990="","",$AL3990&amp;"|"&amp;COUNTIF($AL$11:$AL3990,$AL3990))</f>
        <v/>
      </c>
    </row>
    <row r="3991" spans="38:53" ht="15" customHeight="1" x14ac:dyDescent="0.25">
      <c r="AL3991" s="17"/>
      <c r="AM3991" s="12"/>
      <c r="AN3991" s="18"/>
      <c r="AO3991" s="18"/>
      <c r="AP3991" s="10"/>
      <c r="AQ3991" s="10"/>
      <c r="AR3991" s="19"/>
      <c r="AS3991" s="20"/>
      <c r="AT3991" s="19"/>
      <c r="AV3991" s="21">
        <f>IF(AND($AL3991&lt;&gt;"",COUNTIF($AL$11:$AL3991,$AL3991)=1),1,0)</f>
        <v>0</v>
      </c>
      <c r="AW3991" s="21">
        <f t="shared" si="211"/>
        <v>0</v>
      </c>
      <c r="AX3991" s="21" t="str">
        <f t="shared" si="210"/>
        <v/>
      </c>
      <c r="AY3991" s="21" t="str">
        <f>IF(AND($AM3991&lt;&gt;"",$AS3991&lt;&gt;"✓"),SUMPRODUCT(($AM$11:$AM3991&lt;&gt;"")*($AS$11:$AS3991&lt;&gt;"✓")),"")</f>
        <v/>
      </c>
      <c r="AZ3991" s="21" t="str">
        <f>IF(AND($AM3991&lt;&gt;"",$AS3991="✓"),SUMPRODUCT(($AM$11:$AM3991&lt;&gt;"")*($AS$11:$AS3991="✓")),"")</f>
        <v/>
      </c>
      <c r="BA3991" s="21" t="str">
        <f>IF($AL3991="","",$AL3991&amp;"|"&amp;COUNTIF($AL$11:$AL3991,$AL3991))</f>
        <v/>
      </c>
    </row>
    <row r="3992" spans="38:53" ht="15" customHeight="1" x14ac:dyDescent="0.25">
      <c r="AL3992" s="31"/>
      <c r="AM3992" s="26"/>
      <c r="AN3992" s="32"/>
      <c r="AO3992" s="32"/>
      <c r="AP3992" s="24"/>
      <c r="AQ3992" s="24"/>
      <c r="AR3992" s="33"/>
      <c r="AS3992" s="34"/>
      <c r="AT3992" s="33"/>
      <c r="AV3992" s="21">
        <f>IF(AND($AL3992&lt;&gt;"",COUNTIF($AL$11:$AL3992,$AL3992)=1),1,0)</f>
        <v>0</v>
      </c>
      <c r="AW3992" s="21">
        <f t="shared" si="211"/>
        <v>0</v>
      </c>
      <c r="AX3992" s="21" t="str">
        <f t="shared" si="210"/>
        <v/>
      </c>
      <c r="AY3992" s="21" t="str">
        <f>IF(AND($AM3992&lt;&gt;"",$AS3992&lt;&gt;"✓"),SUMPRODUCT(($AM$11:$AM3992&lt;&gt;"")*($AS$11:$AS3992&lt;&gt;"✓")),"")</f>
        <v/>
      </c>
      <c r="AZ3992" s="21" t="str">
        <f>IF(AND($AM3992&lt;&gt;"",$AS3992="✓"),SUMPRODUCT(($AM$11:$AM3992&lt;&gt;"")*($AS$11:$AS3992="✓")),"")</f>
        <v/>
      </c>
      <c r="BA3992" s="21" t="str">
        <f>IF($AL3992="","",$AL3992&amp;"|"&amp;COUNTIF($AL$11:$AL3992,$AL3992))</f>
        <v/>
      </c>
    </row>
    <row r="3993" spans="38:53" ht="15" customHeight="1" x14ac:dyDescent="0.25">
      <c r="AL3993" s="17"/>
      <c r="AM3993" s="12"/>
      <c r="AN3993" s="18"/>
      <c r="AO3993" s="18"/>
      <c r="AP3993" s="10"/>
      <c r="AQ3993" s="10"/>
      <c r="AR3993" s="19"/>
      <c r="AS3993" s="20"/>
      <c r="AT3993" s="19"/>
      <c r="AV3993" s="21">
        <f>IF(AND($AL3993&lt;&gt;"",COUNTIF($AL$11:$AL3993,$AL3993)=1),1,0)</f>
        <v>0</v>
      </c>
      <c r="AW3993" s="21">
        <f t="shared" si="211"/>
        <v>0</v>
      </c>
      <c r="AX3993" s="21" t="str">
        <f t="shared" si="210"/>
        <v/>
      </c>
      <c r="AY3993" s="21" t="str">
        <f>IF(AND($AM3993&lt;&gt;"",$AS3993&lt;&gt;"✓"),SUMPRODUCT(($AM$11:$AM3993&lt;&gt;"")*($AS$11:$AS3993&lt;&gt;"✓")),"")</f>
        <v/>
      </c>
      <c r="AZ3993" s="21" t="str">
        <f>IF(AND($AM3993&lt;&gt;"",$AS3993="✓"),SUMPRODUCT(($AM$11:$AM3993&lt;&gt;"")*($AS$11:$AS3993="✓")),"")</f>
        <v/>
      </c>
      <c r="BA3993" s="21" t="str">
        <f>IF($AL3993="","",$AL3993&amp;"|"&amp;COUNTIF($AL$11:$AL3993,$AL3993))</f>
        <v/>
      </c>
    </row>
    <row r="3994" spans="38:53" ht="15" customHeight="1" x14ac:dyDescent="0.25">
      <c r="AL3994" s="31"/>
      <c r="AM3994" s="26"/>
      <c r="AN3994" s="32"/>
      <c r="AO3994" s="32"/>
      <c r="AP3994" s="24"/>
      <c r="AQ3994" s="24"/>
      <c r="AR3994" s="33"/>
      <c r="AS3994" s="34"/>
      <c r="AT3994" s="33"/>
      <c r="AV3994" s="21">
        <f>IF(AND($AL3994&lt;&gt;"",COUNTIF($AL$11:$AL3994,$AL3994)=1),1,0)</f>
        <v>0</v>
      </c>
      <c r="AW3994" s="21">
        <f t="shared" si="211"/>
        <v>0</v>
      </c>
      <c r="AX3994" s="21" t="str">
        <f t="shared" si="210"/>
        <v/>
      </c>
      <c r="AY3994" s="21" t="str">
        <f>IF(AND($AM3994&lt;&gt;"",$AS3994&lt;&gt;"✓"),SUMPRODUCT(($AM$11:$AM3994&lt;&gt;"")*($AS$11:$AS3994&lt;&gt;"✓")),"")</f>
        <v/>
      </c>
      <c r="AZ3994" s="21" t="str">
        <f>IF(AND($AM3994&lt;&gt;"",$AS3994="✓"),SUMPRODUCT(($AM$11:$AM3994&lt;&gt;"")*($AS$11:$AS3994="✓")),"")</f>
        <v/>
      </c>
      <c r="BA3994" s="21" t="str">
        <f>IF($AL3994="","",$AL3994&amp;"|"&amp;COUNTIF($AL$11:$AL3994,$AL3994))</f>
        <v/>
      </c>
    </row>
    <row r="3995" spans="38:53" ht="15" customHeight="1" x14ac:dyDescent="0.25">
      <c r="AL3995" s="17"/>
      <c r="AM3995" s="12"/>
      <c r="AN3995" s="18"/>
      <c r="AO3995" s="18"/>
      <c r="AP3995" s="10"/>
      <c r="AQ3995" s="10"/>
      <c r="AR3995" s="19"/>
      <c r="AS3995" s="20"/>
      <c r="AT3995" s="19"/>
      <c r="AV3995" s="21">
        <f>IF(AND($AL3995&lt;&gt;"",COUNTIF($AL$11:$AL3995,$AL3995)=1),1,0)</f>
        <v>0</v>
      </c>
      <c r="AW3995" s="21">
        <f t="shared" si="211"/>
        <v>0</v>
      </c>
      <c r="AX3995" s="21" t="str">
        <f t="shared" si="210"/>
        <v/>
      </c>
      <c r="AY3995" s="21" t="str">
        <f>IF(AND($AM3995&lt;&gt;"",$AS3995&lt;&gt;"✓"),SUMPRODUCT(($AM$11:$AM3995&lt;&gt;"")*($AS$11:$AS3995&lt;&gt;"✓")),"")</f>
        <v/>
      </c>
      <c r="AZ3995" s="21" t="str">
        <f>IF(AND($AM3995&lt;&gt;"",$AS3995="✓"),SUMPRODUCT(($AM$11:$AM3995&lt;&gt;"")*($AS$11:$AS3995="✓")),"")</f>
        <v/>
      </c>
      <c r="BA3995" s="21" t="str">
        <f>IF($AL3995="","",$AL3995&amp;"|"&amp;COUNTIF($AL$11:$AL3995,$AL3995))</f>
        <v/>
      </c>
    </row>
    <row r="3996" spans="38:53" ht="15" customHeight="1" x14ac:dyDescent="0.25">
      <c r="AL3996" s="31"/>
      <c r="AM3996" s="26"/>
      <c r="AN3996" s="32"/>
      <c r="AO3996" s="32"/>
      <c r="AP3996" s="24"/>
      <c r="AQ3996" s="24"/>
      <c r="AR3996" s="33"/>
      <c r="AS3996" s="34"/>
      <c r="AT3996" s="33"/>
      <c r="AV3996" s="21">
        <f>IF(AND($AL3996&lt;&gt;"",COUNTIF($AL$11:$AL3996,$AL3996)=1),1,0)</f>
        <v>0</v>
      </c>
      <c r="AW3996" s="21">
        <f t="shared" si="211"/>
        <v>0</v>
      </c>
      <c r="AX3996" s="21" t="str">
        <f t="shared" si="210"/>
        <v/>
      </c>
      <c r="AY3996" s="21" t="str">
        <f>IF(AND($AM3996&lt;&gt;"",$AS3996&lt;&gt;"✓"),SUMPRODUCT(($AM$11:$AM3996&lt;&gt;"")*($AS$11:$AS3996&lt;&gt;"✓")),"")</f>
        <v/>
      </c>
      <c r="AZ3996" s="21" t="str">
        <f>IF(AND($AM3996&lt;&gt;"",$AS3996="✓"),SUMPRODUCT(($AM$11:$AM3996&lt;&gt;"")*($AS$11:$AS3996="✓")),"")</f>
        <v/>
      </c>
      <c r="BA3996" s="21" t="str">
        <f>IF($AL3996="","",$AL3996&amp;"|"&amp;COUNTIF($AL$11:$AL3996,$AL3996))</f>
        <v/>
      </c>
    </row>
    <row r="3997" spans="38:53" ht="15" customHeight="1" x14ac:dyDescent="0.25">
      <c r="AL3997" s="17"/>
      <c r="AM3997" s="12"/>
      <c r="AN3997" s="18"/>
      <c r="AO3997" s="18"/>
      <c r="AP3997" s="10"/>
      <c r="AQ3997" s="10"/>
      <c r="AR3997" s="19"/>
      <c r="AS3997" s="20"/>
      <c r="AT3997" s="19"/>
      <c r="AV3997" s="21">
        <f>IF(AND($AL3997&lt;&gt;"",COUNTIF($AL$11:$AL3997,$AL3997)=1),1,0)</f>
        <v>0</v>
      </c>
      <c r="AW3997" s="21">
        <f t="shared" si="211"/>
        <v>0</v>
      </c>
      <c r="AX3997" s="21" t="str">
        <f t="shared" si="210"/>
        <v/>
      </c>
      <c r="AY3997" s="21" t="str">
        <f>IF(AND($AM3997&lt;&gt;"",$AS3997&lt;&gt;"✓"),SUMPRODUCT(($AM$11:$AM3997&lt;&gt;"")*($AS$11:$AS3997&lt;&gt;"✓")),"")</f>
        <v/>
      </c>
      <c r="AZ3997" s="21" t="str">
        <f>IF(AND($AM3997&lt;&gt;"",$AS3997="✓"),SUMPRODUCT(($AM$11:$AM3997&lt;&gt;"")*($AS$11:$AS3997="✓")),"")</f>
        <v/>
      </c>
      <c r="BA3997" s="21" t="str">
        <f>IF($AL3997="","",$AL3997&amp;"|"&amp;COUNTIF($AL$11:$AL3997,$AL3997))</f>
        <v/>
      </c>
    </row>
    <row r="3998" spans="38:53" ht="15" customHeight="1" x14ac:dyDescent="0.25">
      <c r="AL3998" s="31"/>
      <c r="AM3998" s="26"/>
      <c r="AN3998" s="32"/>
      <c r="AO3998" s="32"/>
      <c r="AP3998" s="24"/>
      <c r="AQ3998" s="24"/>
      <c r="AR3998" s="33"/>
      <c r="AS3998" s="34"/>
      <c r="AT3998" s="33"/>
      <c r="AV3998" s="21">
        <f>IF(AND($AL3998&lt;&gt;"",COUNTIF($AL$11:$AL3998,$AL3998)=1),1,0)</f>
        <v>0</v>
      </c>
      <c r="AW3998" s="21">
        <f t="shared" si="211"/>
        <v>0</v>
      </c>
      <c r="AX3998" s="21" t="str">
        <f t="shared" si="210"/>
        <v/>
      </c>
      <c r="AY3998" s="21" t="str">
        <f>IF(AND($AM3998&lt;&gt;"",$AS3998&lt;&gt;"✓"),SUMPRODUCT(($AM$11:$AM3998&lt;&gt;"")*($AS$11:$AS3998&lt;&gt;"✓")),"")</f>
        <v/>
      </c>
      <c r="AZ3998" s="21" t="str">
        <f>IF(AND($AM3998&lt;&gt;"",$AS3998="✓"),SUMPRODUCT(($AM$11:$AM3998&lt;&gt;"")*($AS$11:$AS3998="✓")),"")</f>
        <v/>
      </c>
      <c r="BA3998" s="21" t="str">
        <f>IF($AL3998="","",$AL3998&amp;"|"&amp;COUNTIF($AL$11:$AL3998,$AL3998))</f>
        <v/>
      </c>
    </row>
    <row r="3999" spans="38:53" ht="15" customHeight="1" x14ac:dyDescent="0.25">
      <c r="AL3999" s="17"/>
      <c r="AM3999" s="12"/>
      <c r="AN3999" s="18"/>
      <c r="AO3999" s="18"/>
      <c r="AP3999" s="10"/>
      <c r="AQ3999" s="10"/>
      <c r="AR3999" s="19"/>
      <c r="AS3999" s="20"/>
      <c r="AT3999" s="19"/>
      <c r="AV3999" s="21">
        <f>IF(AND($AL3999&lt;&gt;"",COUNTIF($AL$11:$AL3999,$AL3999)=1),1,0)</f>
        <v>0</v>
      </c>
      <c r="AW3999" s="21">
        <f t="shared" si="211"/>
        <v>0</v>
      </c>
      <c r="AX3999" s="21" t="str">
        <f t="shared" si="210"/>
        <v/>
      </c>
      <c r="AY3999" s="21" t="str">
        <f>IF(AND($AM3999&lt;&gt;"",$AS3999&lt;&gt;"✓"),SUMPRODUCT(($AM$11:$AM3999&lt;&gt;"")*($AS$11:$AS3999&lt;&gt;"✓")),"")</f>
        <v/>
      </c>
      <c r="AZ3999" s="21" t="str">
        <f>IF(AND($AM3999&lt;&gt;"",$AS3999="✓"),SUMPRODUCT(($AM$11:$AM3999&lt;&gt;"")*($AS$11:$AS3999="✓")),"")</f>
        <v/>
      </c>
      <c r="BA3999" s="21" t="str">
        <f>IF($AL3999="","",$AL3999&amp;"|"&amp;COUNTIF($AL$11:$AL3999,$AL3999))</f>
        <v/>
      </c>
    </row>
    <row r="4000" spans="38:53" ht="15" customHeight="1" x14ac:dyDescent="0.25">
      <c r="AL4000" s="31"/>
      <c r="AM4000" s="26"/>
      <c r="AN4000" s="32"/>
      <c r="AO4000" s="32"/>
      <c r="AP4000" s="24"/>
      <c r="AQ4000" s="24"/>
      <c r="AR4000" s="33"/>
      <c r="AS4000" s="34"/>
      <c r="AT4000" s="33"/>
      <c r="AV4000" s="21">
        <f>IF(AND($AL4000&lt;&gt;"",COUNTIF($AL$11:$AL4000,$AL4000)=1),1,0)</f>
        <v>0</v>
      </c>
      <c r="AW4000" s="21">
        <f t="shared" si="211"/>
        <v>0</v>
      </c>
      <c r="AX4000" s="21" t="str">
        <f t="shared" si="210"/>
        <v/>
      </c>
      <c r="AY4000" s="21" t="str">
        <f>IF(AND($AM4000&lt;&gt;"",$AS4000&lt;&gt;"✓"),SUMPRODUCT(($AM$11:$AM4000&lt;&gt;"")*($AS$11:$AS4000&lt;&gt;"✓")),"")</f>
        <v/>
      </c>
      <c r="AZ4000" s="21" t="str">
        <f>IF(AND($AM4000&lt;&gt;"",$AS4000="✓"),SUMPRODUCT(($AM$11:$AM4000&lt;&gt;"")*($AS$11:$AS4000="✓")),"")</f>
        <v/>
      </c>
      <c r="BA4000" s="21" t="str">
        <f>IF($AL4000="","",$AL4000&amp;"|"&amp;COUNTIF($AL$11:$AL4000,$AL4000))</f>
        <v/>
      </c>
    </row>
    <row r="4001" spans="38:53" ht="15" customHeight="1" x14ac:dyDescent="0.25">
      <c r="AL4001" s="17"/>
      <c r="AM4001" s="12"/>
      <c r="AN4001" s="18"/>
      <c r="AO4001" s="18"/>
      <c r="AP4001" s="10"/>
      <c r="AQ4001" s="10"/>
      <c r="AR4001" s="19"/>
      <c r="AS4001" s="20"/>
      <c r="AT4001" s="19"/>
      <c r="AV4001" s="21">
        <f>IF(AND($AL4001&lt;&gt;"",COUNTIF($AL$11:$AL4001,$AL4001)=1),1,0)</f>
        <v>0</v>
      </c>
      <c r="AW4001" s="21">
        <f t="shared" si="211"/>
        <v>0</v>
      </c>
      <c r="AX4001" s="21" t="str">
        <f t="shared" si="210"/>
        <v/>
      </c>
      <c r="AY4001" s="21" t="str">
        <f>IF(AND($AM4001&lt;&gt;"",$AS4001&lt;&gt;"✓"),SUMPRODUCT(($AM$11:$AM4001&lt;&gt;"")*($AS$11:$AS4001&lt;&gt;"✓")),"")</f>
        <v/>
      </c>
      <c r="AZ4001" s="21" t="str">
        <f>IF(AND($AM4001&lt;&gt;"",$AS4001="✓"),SUMPRODUCT(($AM$11:$AM4001&lt;&gt;"")*($AS$11:$AS4001="✓")),"")</f>
        <v/>
      </c>
      <c r="BA4001" s="21" t="str">
        <f>IF($AL4001="","",$AL4001&amp;"|"&amp;COUNTIF($AL$11:$AL4001,$AL4001))</f>
        <v/>
      </c>
    </row>
    <row r="4002" spans="38:53" ht="15" customHeight="1" x14ac:dyDescent="0.25">
      <c r="AL4002" s="31"/>
      <c r="AM4002" s="26"/>
      <c r="AN4002" s="32"/>
      <c r="AO4002" s="32"/>
      <c r="AP4002" s="24"/>
      <c r="AQ4002" s="24"/>
      <c r="AR4002" s="33"/>
      <c r="AS4002" s="34"/>
      <c r="AT4002" s="33"/>
      <c r="AV4002" s="21">
        <f>IF(AND($AL4002&lt;&gt;"",COUNTIF($AL$11:$AL4002,$AL4002)=1),1,0)</f>
        <v>0</v>
      </c>
      <c r="AW4002" s="21">
        <f t="shared" si="211"/>
        <v>0</v>
      </c>
      <c r="AX4002" s="21" t="str">
        <f t="shared" si="210"/>
        <v/>
      </c>
      <c r="AY4002" s="21" t="str">
        <f>IF(AND($AM4002&lt;&gt;"",$AS4002&lt;&gt;"✓"),SUMPRODUCT(($AM$11:$AM4002&lt;&gt;"")*($AS$11:$AS4002&lt;&gt;"✓")),"")</f>
        <v/>
      </c>
      <c r="AZ4002" s="21" t="str">
        <f>IF(AND($AM4002&lt;&gt;"",$AS4002="✓"),SUMPRODUCT(($AM$11:$AM4002&lt;&gt;"")*($AS$11:$AS4002="✓")),"")</f>
        <v/>
      </c>
      <c r="BA4002" s="21" t="str">
        <f>IF($AL4002="","",$AL4002&amp;"|"&amp;COUNTIF($AL$11:$AL4002,$AL4002))</f>
        <v/>
      </c>
    </row>
    <row r="4003" spans="38:53" ht="15" customHeight="1" x14ac:dyDescent="0.25">
      <c r="AL4003" s="17"/>
      <c r="AM4003" s="12"/>
      <c r="AN4003" s="18"/>
      <c r="AO4003" s="18"/>
      <c r="AP4003" s="10"/>
      <c r="AQ4003" s="10"/>
      <c r="AR4003" s="19"/>
      <c r="AS4003" s="20"/>
      <c r="AT4003" s="19"/>
      <c r="AV4003" s="21">
        <f>IF(AND($AL4003&lt;&gt;"",COUNTIF($AL$11:$AL4003,$AL4003)=1),1,0)</f>
        <v>0</v>
      </c>
      <c r="AW4003" s="21">
        <f t="shared" si="211"/>
        <v>0</v>
      </c>
      <c r="AX4003" s="21" t="str">
        <f t="shared" si="210"/>
        <v/>
      </c>
      <c r="AY4003" s="21" t="str">
        <f>IF(AND($AM4003&lt;&gt;"",$AS4003&lt;&gt;"✓"),SUMPRODUCT(($AM$11:$AM4003&lt;&gt;"")*($AS$11:$AS4003&lt;&gt;"✓")),"")</f>
        <v/>
      </c>
      <c r="AZ4003" s="21" t="str">
        <f>IF(AND($AM4003&lt;&gt;"",$AS4003="✓"),SUMPRODUCT(($AM$11:$AM4003&lt;&gt;"")*($AS$11:$AS4003="✓")),"")</f>
        <v/>
      </c>
      <c r="BA4003" s="21" t="str">
        <f>IF($AL4003="","",$AL4003&amp;"|"&amp;COUNTIF($AL$11:$AL4003,$AL4003))</f>
        <v/>
      </c>
    </row>
    <row r="4004" spans="38:53" ht="15" customHeight="1" x14ac:dyDescent="0.25">
      <c r="AL4004" s="31"/>
      <c r="AM4004" s="26"/>
      <c r="AN4004" s="32"/>
      <c r="AO4004" s="32"/>
      <c r="AP4004" s="24"/>
      <c r="AQ4004" s="24"/>
      <c r="AR4004" s="33"/>
      <c r="AS4004" s="34"/>
      <c r="AT4004" s="33"/>
      <c r="AV4004" s="21">
        <f>IF(AND($AL4004&lt;&gt;"",COUNTIF($AL$11:$AL4004,$AL4004)=1),1,0)</f>
        <v>0</v>
      </c>
      <c r="AW4004" s="21">
        <f t="shared" si="211"/>
        <v>0</v>
      </c>
      <c r="AX4004" s="21" t="str">
        <f t="shared" si="210"/>
        <v/>
      </c>
      <c r="AY4004" s="21" t="str">
        <f>IF(AND($AM4004&lt;&gt;"",$AS4004&lt;&gt;"✓"),SUMPRODUCT(($AM$11:$AM4004&lt;&gt;"")*($AS$11:$AS4004&lt;&gt;"✓")),"")</f>
        <v/>
      </c>
      <c r="AZ4004" s="21" t="str">
        <f>IF(AND($AM4004&lt;&gt;"",$AS4004="✓"),SUMPRODUCT(($AM$11:$AM4004&lt;&gt;"")*($AS$11:$AS4004="✓")),"")</f>
        <v/>
      </c>
      <c r="BA4004" s="21" t="str">
        <f>IF($AL4004="","",$AL4004&amp;"|"&amp;COUNTIF($AL$11:$AL4004,$AL4004))</f>
        <v/>
      </c>
    </row>
    <row r="4005" spans="38:53" ht="15" customHeight="1" x14ac:dyDescent="0.25">
      <c r="AL4005" s="17"/>
      <c r="AM4005" s="12"/>
      <c r="AN4005" s="18"/>
      <c r="AO4005" s="18"/>
      <c r="AP4005" s="10"/>
      <c r="AQ4005" s="10"/>
      <c r="AR4005" s="19"/>
      <c r="AS4005" s="20"/>
      <c r="AT4005" s="19"/>
      <c r="AV4005" s="21">
        <f>IF(AND($AL4005&lt;&gt;"",COUNTIF($AL$11:$AL4005,$AL4005)=1),1,0)</f>
        <v>0</v>
      </c>
      <c r="AW4005" s="21">
        <f t="shared" si="211"/>
        <v>0</v>
      </c>
      <c r="AX4005" s="21" t="str">
        <f t="shared" si="210"/>
        <v/>
      </c>
      <c r="AY4005" s="21" t="str">
        <f>IF(AND($AM4005&lt;&gt;"",$AS4005&lt;&gt;"✓"),SUMPRODUCT(($AM$11:$AM4005&lt;&gt;"")*($AS$11:$AS4005&lt;&gt;"✓")),"")</f>
        <v/>
      </c>
      <c r="AZ4005" s="21" t="str">
        <f>IF(AND($AM4005&lt;&gt;"",$AS4005="✓"),SUMPRODUCT(($AM$11:$AM4005&lt;&gt;"")*($AS$11:$AS4005="✓")),"")</f>
        <v/>
      </c>
      <c r="BA4005" s="21" t="str">
        <f>IF($AL4005="","",$AL4005&amp;"|"&amp;COUNTIF($AL$11:$AL4005,$AL4005))</f>
        <v/>
      </c>
    </row>
    <row r="4006" spans="38:53" ht="15" customHeight="1" x14ac:dyDescent="0.25">
      <c r="AL4006" s="31"/>
      <c r="AM4006" s="26"/>
      <c r="AN4006" s="32"/>
      <c r="AO4006" s="32"/>
      <c r="AP4006" s="24"/>
      <c r="AQ4006" s="24"/>
      <c r="AR4006" s="33"/>
      <c r="AS4006" s="34"/>
      <c r="AT4006" s="33"/>
      <c r="AV4006" s="21">
        <f>IF(AND($AL4006&lt;&gt;"",COUNTIF($AL$11:$AL4006,$AL4006)=1),1,0)</f>
        <v>0</v>
      </c>
      <c r="AW4006" s="21">
        <f t="shared" si="211"/>
        <v>0</v>
      </c>
      <c r="AX4006" s="21" t="str">
        <f t="shared" si="210"/>
        <v/>
      </c>
      <c r="AY4006" s="21" t="str">
        <f>IF(AND($AM4006&lt;&gt;"",$AS4006&lt;&gt;"✓"),SUMPRODUCT(($AM$11:$AM4006&lt;&gt;"")*($AS$11:$AS4006&lt;&gt;"✓")),"")</f>
        <v/>
      </c>
      <c r="AZ4006" s="21" t="str">
        <f>IF(AND($AM4006&lt;&gt;"",$AS4006="✓"),SUMPRODUCT(($AM$11:$AM4006&lt;&gt;"")*($AS$11:$AS4006="✓")),"")</f>
        <v/>
      </c>
      <c r="BA4006" s="21" t="str">
        <f>IF($AL4006="","",$AL4006&amp;"|"&amp;COUNTIF($AL$11:$AL4006,$AL4006))</f>
        <v/>
      </c>
    </row>
    <row r="4007" spans="38:53" ht="15" customHeight="1" x14ac:dyDescent="0.25">
      <c r="AL4007" s="17"/>
      <c r="AM4007" s="12"/>
      <c r="AN4007" s="18"/>
      <c r="AO4007" s="18"/>
      <c r="AP4007" s="10"/>
      <c r="AQ4007" s="10"/>
      <c r="AR4007" s="19"/>
      <c r="AS4007" s="20"/>
      <c r="AT4007" s="19"/>
      <c r="AV4007" s="21">
        <f>IF(AND($AL4007&lt;&gt;"",COUNTIF($AL$11:$AL4007,$AL4007)=1),1,0)</f>
        <v>0</v>
      </c>
      <c r="AW4007" s="21">
        <f t="shared" si="211"/>
        <v>0</v>
      </c>
      <c r="AX4007" s="21" t="str">
        <f t="shared" si="210"/>
        <v/>
      </c>
      <c r="AY4007" s="21" t="str">
        <f>IF(AND($AM4007&lt;&gt;"",$AS4007&lt;&gt;"✓"),SUMPRODUCT(($AM$11:$AM4007&lt;&gt;"")*($AS$11:$AS4007&lt;&gt;"✓")),"")</f>
        <v/>
      </c>
      <c r="AZ4007" s="21" t="str">
        <f>IF(AND($AM4007&lt;&gt;"",$AS4007="✓"),SUMPRODUCT(($AM$11:$AM4007&lt;&gt;"")*($AS$11:$AS4007="✓")),"")</f>
        <v/>
      </c>
      <c r="BA4007" s="21" t="str">
        <f>IF($AL4007="","",$AL4007&amp;"|"&amp;COUNTIF($AL$11:$AL4007,$AL4007))</f>
        <v/>
      </c>
    </row>
    <row r="4008" spans="38:53" ht="15" customHeight="1" x14ac:dyDescent="0.25">
      <c r="AL4008" s="31"/>
      <c r="AM4008" s="26"/>
      <c r="AN4008" s="32"/>
      <c r="AO4008" s="32"/>
      <c r="AP4008" s="24"/>
      <c r="AQ4008" s="24"/>
      <c r="AR4008" s="33"/>
      <c r="AS4008" s="34"/>
      <c r="AT4008" s="33"/>
      <c r="AV4008" s="21">
        <f>IF(AND($AL4008&lt;&gt;"",COUNTIF($AL$11:$AL4008,$AL4008)=1),1,0)</f>
        <v>0</v>
      </c>
      <c r="AW4008" s="21">
        <f t="shared" si="211"/>
        <v>0</v>
      </c>
      <c r="AX4008" s="21" t="str">
        <f t="shared" si="210"/>
        <v/>
      </c>
      <c r="AY4008" s="21" t="str">
        <f>IF(AND($AM4008&lt;&gt;"",$AS4008&lt;&gt;"✓"),SUMPRODUCT(($AM$11:$AM4008&lt;&gt;"")*($AS$11:$AS4008&lt;&gt;"✓")),"")</f>
        <v/>
      </c>
      <c r="AZ4008" s="21" t="str">
        <f>IF(AND($AM4008&lt;&gt;"",$AS4008="✓"),SUMPRODUCT(($AM$11:$AM4008&lt;&gt;"")*($AS$11:$AS4008="✓")),"")</f>
        <v/>
      </c>
      <c r="BA4008" s="21" t="str">
        <f>IF($AL4008="","",$AL4008&amp;"|"&amp;COUNTIF($AL$11:$AL4008,$AL4008))</f>
        <v/>
      </c>
    </row>
    <row r="4009" spans="38:53" ht="15" customHeight="1" x14ac:dyDescent="0.25">
      <c r="AL4009" s="17"/>
      <c r="AM4009" s="12"/>
      <c r="AN4009" s="18"/>
      <c r="AO4009" s="18"/>
      <c r="AP4009" s="10"/>
      <c r="AQ4009" s="10"/>
      <c r="AR4009" s="19"/>
      <c r="AS4009" s="20"/>
      <c r="AT4009" s="19"/>
      <c r="AV4009" s="21">
        <f>IF(AND($AL4009&lt;&gt;"",COUNTIF($AL$11:$AL4009,$AL4009)=1),1,0)</f>
        <v>0</v>
      </c>
      <c r="AW4009" s="21">
        <f t="shared" si="211"/>
        <v>0</v>
      </c>
      <c r="AX4009" s="21" t="str">
        <f t="shared" si="210"/>
        <v/>
      </c>
      <c r="AY4009" s="21" t="str">
        <f>IF(AND($AM4009&lt;&gt;"",$AS4009&lt;&gt;"✓"),SUMPRODUCT(($AM$11:$AM4009&lt;&gt;"")*($AS$11:$AS4009&lt;&gt;"✓")),"")</f>
        <v/>
      </c>
      <c r="AZ4009" s="21" t="str">
        <f>IF(AND($AM4009&lt;&gt;"",$AS4009="✓"),SUMPRODUCT(($AM$11:$AM4009&lt;&gt;"")*($AS$11:$AS4009="✓")),"")</f>
        <v/>
      </c>
      <c r="BA4009" s="21" t="str">
        <f>IF($AL4009="","",$AL4009&amp;"|"&amp;COUNTIF($AL$11:$AL4009,$AL4009))</f>
        <v/>
      </c>
    </row>
    <row r="4010" spans="38:53" ht="15" customHeight="1" x14ac:dyDescent="0.25">
      <c r="AL4010" s="31"/>
      <c r="AM4010" s="26"/>
      <c r="AN4010" s="32"/>
      <c r="AO4010" s="32"/>
      <c r="AP4010" s="24"/>
      <c r="AQ4010" s="24"/>
      <c r="AR4010" s="33"/>
      <c r="AS4010" s="34"/>
      <c r="AT4010" s="33"/>
      <c r="AV4010" s="21">
        <f>IF(AND($AL4010&lt;&gt;"",COUNTIF($AL$11:$AL4010,$AL4010)=1),1,0)</f>
        <v>0</v>
      </c>
      <c r="AW4010" s="21">
        <f t="shared" si="211"/>
        <v>0</v>
      </c>
      <c r="AX4010" s="21" t="str">
        <f t="shared" si="210"/>
        <v/>
      </c>
      <c r="AY4010" s="21" t="str">
        <f>IF(AND($AM4010&lt;&gt;"",$AS4010&lt;&gt;"✓"),SUMPRODUCT(($AM$11:$AM4010&lt;&gt;"")*($AS$11:$AS4010&lt;&gt;"✓")),"")</f>
        <v/>
      </c>
      <c r="AZ4010" s="21" t="str">
        <f>IF(AND($AM4010&lt;&gt;"",$AS4010="✓"),SUMPRODUCT(($AM$11:$AM4010&lt;&gt;"")*($AS$11:$AS4010="✓")),"")</f>
        <v/>
      </c>
      <c r="BA4010" s="21" t="str">
        <f>IF($AL4010="","",$AL4010&amp;"|"&amp;COUNTIF($AL$11:$AL4010,$AL4010))</f>
        <v/>
      </c>
    </row>
  </sheetData>
  <mergeCells count="27">
    <mergeCell ref="S8:U8"/>
    <mergeCell ref="BP11:BQ11"/>
    <mergeCell ref="W8:AB9"/>
    <mergeCell ref="AL8:AT9"/>
    <mergeCell ref="E4:F4"/>
    <mergeCell ref="P7:U7"/>
    <mergeCell ref="G5:I5"/>
    <mergeCell ref="B2:I2"/>
    <mergeCell ref="G4:I4"/>
    <mergeCell ref="B5:D5"/>
    <mergeCell ref="B4:D4"/>
    <mergeCell ref="P8:R8"/>
    <mergeCell ref="B7:I7"/>
    <mergeCell ref="AL7:AT7"/>
    <mergeCell ref="E5:F5"/>
    <mergeCell ref="BL11:BN11"/>
    <mergeCell ref="K7:N7"/>
    <mergeCell ref="AD7:AJ7"/>
    <mergeCell ref="G8:H8"/>
    <mergeCell ref="W7:AB7"/>
    <mergeCell ref="BD11:BF11"/>
    <mergeCell ref="B8:F8"/>
    <mergeCell ref="K8:N9"/>
    <mergeCell ref="B9:I9"/>
    <mergeCell ref="P9:U9"/>
    <mergeCell ref="BH11:BI11"/>
    <mergeCell ref="AD8:AJ9"/>
  </mergeCells>
  <conditionalFormatting sqref="AD11:AJ1010">
    <cfRule type="expression" dxfId="1" priority="3">
      <formula>$AE11&lt;&gt;""</formula>
    </cfRule>
  </conditionalFormatting>
  <conditionalFormatting sqref="AL11:AT4010">
    <cfRule type="expression" dxfId="0" priority="2">
      <formula>$AS11="✓"</formula>
    </cfRule>
  </conditionalFormatting>
  <dataValidations count="6">
    <dataValidation type="decimal" operator="greaterThanOrEqual" allowBlank="1" sqref="F11:G510" xr:uid="{00000000-0002-0000-0300-000000000000}">
      <formula1>0</formula1>
      <formula2>0</formula2>
    </dataValidation>
    <dataValidation type="whole" operator="greaterThanOrEqual" allowBlank="1" sqref="I11:I510" xr:uid="{00000000-0002-0000-0300-000001000000}">
      <formula1>1</formula1>
      <formula2>0</formula2>
    </dataValidation>
    <dataValidation type="list" allowBlank="1" promptTitle="Received" prompt="Tick ✓ to receive (macro stamps date)" sqref="AS11:AS4010" xr:uid="{00000000-0002-0000-0300-000002000000}">
      <formula1>"✓"</formula1>
      <formula2>0</formula2>
    </dataValidation>
    <dataValidation type="list" allowBlank="1" sqref="D11:D510" xr:uid="{00000000-0002-0000-0300-000003000000}">
      <formula1>"D,E,F,G,H,I,J,K,L,M"</formula1>
      <formula2>0</formula2>
    </dataValidation>
    <dataValidation type="list" allowBlank="1" sqref="E11:E510" xr:uid="{00000000-0002-0000-0300-000004000000}">
      <formula1>"FL,IF,VVS1,VVS2,VS1,VS2,SI1,SI2,I1,I2,I3"</formula1>
      <formula2>0</formula2>
    </dataValidation>
    <dataValidation type="date" operator="greaterThanOrEqual" allowBlank="1" sqref="H11:H510" xr:uid="{00000000-0002-0000-0300-000005000000}">
      <formula1>DATE(2000,1,1)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Dashboard</vt:lpstr>
      <vt:lpstr>Ramesh</vt:lpstr>
      <vt:lpstr>Suresh</vt:lpstr>
      <vt:lpstr>Mahesh</vt:lpstr>
      <vt:lpstr>Mahesh!Print_Area</vt:lpstr>
      <vt:lpstr>Ramesh!Print_Area</vt:lpstr>
      <vt:lpstr>Suresh!Print_Area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revision>0</cp:revision>
  <dcterms:created xsi:type="dcterms:W3CDTF">2026-06-30T13:23:14Z</dcterms:created>
  <dcterms:modified xsi:type="dcterms:W3CDTF">2026-06-30T13:33:28Z</dcterms:modified>
  <dc:language>en-US</dc:language>
</cp:coreProperties>
</file>